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miralles/Library/Application Support/Mountain Duck/Volumes.noindex/OneDrive Personal.localized/My Files/_CORE/_MIS APP/DASHBOARDS/"/>
    </mc:Choice>
  </mc:AlternateContent>
  <xr:revisionPtr revIDLastSave="0" documentId="13_ncr:1_{892B93B8-D343-8745-92AA-102748377339}" xr6:coauthVersionLast="47" xr6:coauthVersionMax="47" xr10:uidLastSave="{00000000-0000-0000-0000-000000000000}"/>
  <bookViews>
    <workbookView xWindow="0" yWindow="2920" windowWidth="29400" windowHeight="14220" xr2:uid="{00000000-000D-0000-FFFF-FFFF00000000}"/>
  </bookViews>
  <sheets>
    <sheet name="PORTADA_EPM" sheetId="10" r:id="rId1"/>
    <sheet name="CONFIG_ASIGNATURAS" sheetId="2" r:id="rId2"/>
    <sheet name="CONFIG_METADATA" sheetId="3" r:id="rId3"/>
    <sheet name="CONFIG_CORRELACIONES" sheetId="4" r:id="rId4"/>
    <sheet name="DATOS" sheetId="5" r:id="rId5"/>
    <sheet name="CALC_EPM" sheetId="6" r:id="rId6"/>
    <sheet name="DAT_CORRELACION" sheetId="7" r:id="rId7"/>
    <sheet name="CALC_CORRELACIONES" sheetId="8" r:id="rId8"/>
    <sheet name="EXPORTADOR" sheetId="9" r:id="rId9"/>
  </sheets>
  <definedNames>
    <definedName name="nNIA">DATOS!$A$2:INDEX(DATOS!$A:$A,CONFIG_METADATA!$B$8)</definedName>
    <definedName name="nCURSO">DATOS!$D$2:INDEX(DATOS!$D:$D,CONFIG_METADATA!$B$8)</definedName>
    <definedName name="nESPEC">DATOS!$E$2:INDEX(DATOS!$E:$E,CONFIG_METADATA!$B$8)</definedName>
    <definedName name="nEVAL">DATOS!$G$2:INDEX(DATOS!$G:$G,CONFIG_METADATA!$B$8)</definedName>
    <definedName name="nASIG">DATOS!$I$2:INDEX(DATOS!$I:$I,CONFIG_METADATA!$B$8)</definedName>
    <definedName name="nNOTA">DATOS!$K$2:INDEX(DATOS!$K:$K,CONFIG_METADATA!$B$8)</definedName>
    <definedName name="nAPTO">DATOS!$L$2:INDEX(DATOS!$L:$L,CONFIG_METADATA!$B$8)</definedName>
    <definedName name="nCUENTA">CONFIG_METADATA!$G$2:INDEX(CONFIG_METADATA!$G:$G,CONFIG_METADATA!$B$8)</definedName>
    <definedName name="nCLAVE">CONFIG_METADATA!$F$2:INDEX(CONFIG_METADATA!$F:$F,CONFIG_METADATA!$B$8)</definedName>
    <definedName name="nEXSINOR">CONFIG_METADATA!$H$2:INDEX(CONFIG_METADATA!$H:$H,CONFIG_METADATA!$B$8)</definedName>
    <definedName name="nCLASE_I">CONFIG_METADATA!$I$2:INDEX(CONFIG_METADATA!$I:$I,CONFIG_METADATA!$B$8)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<sst xmlns="http://schemas.openxmlformats.org/spreadsheetml/2006/main" count="1444" uniqueCount="211">
  <si>
    <t>ESTRUCTURA DEL ARCHIVO</t>
  </si>
  <si>
    <t>ID</t>
  </si>
  <si>
    <t>Asignatura</t>
  </si>
  <si>
    <t>Cursos</t>
  </si>
  <si>
    <t>Grupo1</t>
  </si>
  <si>
    <t>Grupo2</t>
  </si>
  <si>
    <t>EsEspecialidad</t>
  </si>
  <si>
    <t>Activa</t>
  </si>
  <si>
    <t>NOTA: Especialidades están en filas 7-27. Para añadir nuevas, insertar en ese bloque.</t>
  </si>
  <si>
    <t>Lenguaje Musical</t>
  </si>
  <si>
    <t>1EPM;2EPM</t>
  </si>
  <si>
    <t>Referencia</t>
  </si>
  <si>
    <t>TeoricaTroncal</t>
  </si>
  <si>
    <t>No</t>
  </si>
  <si>
    <t>Sí</t>
  </si>
  <si>
    <t>Armonía</t>
  </si>
  <si>
    <t>3EPM;4EPM</t>
  </si>
  <si>
    <t>Análisis</t>
  </si>
  <si>
    <t>5EPM;6EPM</t>
  </si>
  <si>
    <t>Música de Cámara</t>
  </si>
  <si>
    <t>3EPM;4EPM;5EPM;6EPM</t>
  </si>
  <si>
    <t>NoEspecialidad</t>
  </si>
  <si>
    <t>Orquesta/Banda/Conjunto</t>
  </si>
  <si>
    <t>1EPM;2EPM;3EPM;4EPM;5EPM;6EPM</t>
  </si>
  <si>
    <t>Arpa</t>
  </si>
  <si>
    <t>Especialidad</t>
  </si>
  <si>
    <t>Cuerda</t>
  </si>
  <si>
    <t>Bajo Eléctrico</t>
  </si>
  <si>
    <t>Canto</t>
  </si>
  <si>
    <t>LenguajeVoz</t>
  </si>
  <si>
    <t>Clarinete</t>
  </si>
  <si>
    <t>Madera</t>
  </si>
  <si>
    <t>Contrabajo</t>
  </si>
  <si>
    <t>Dulzaina</t>
  </si>
  <si>
    <t>Fagot</t>
  </si>
  <si>
    <t>Flauta Travesera</t>
  </si>
  <si>
    <t>Guitarra</t>
  </si>
  <si>
    <t>Guitarra Eléctrica</t>
  </si>
  <si>
    <t>Oboe</t>
  </si>
  <si>
    <t>Percusión</t>
  </si>
  <si>
    <t>Metal</t>
  </si>
  <si>
    <t>Piano</t>
  </si>
  <si>
    <t>Tecla</t>
  </si>
  <si>
    <t>Saxofón</t>
  </si>
  <si>
    <t>Trombón</t>
  </si>
  <si>
    <t>Trompa</t>
  </si>
  <si>
    <t>Trompeta</t>
  </si>
  <si>
    <t>Tuba</t>
  </si>
  <si>
    <t>Viola</t>
  </si>
  <si>
    <t>Violín</t>
  </si>
  <si>
    <t>Violoncello</t>
  </si>
  <si>
    <t>Piano Complementario</t>
  </si>
  <si>
    <t>2EPM;3EPM;4EPM</t>
  </si>
  <si>
    <t>Conjunto</t>
  </si>
  <si>
    <t>Acompañamiento</t>
  </si>
  <si>
    <t>Coro</t>
  </si>
  <si>
    <t>Idioma Aplicado al Canto</t>
  </si>
  <si>
    <t>Tabalet</t>
  </si>
  <si>
    <t>Historia de la Música</t>
  </si>
  <si>
    <t>Creatividad y Música</t>
  </si>
  <si>
    <t>Optativas</t>
  </si>
  <si>
    <t>Cultura Audiovisual</t>
  </si>
  <si>
    <t>Complemento Coral</t>
  </si>
  <si>
    <t>Fundamentos de Composición</t>
  </si>
  <si>
    <t>Introducción a la Pedagogía Musical</t>
  </si>
  <si>
    <t>Estética de la Música</t>
  </si>
  <si>
    <t>Improvisación y Jazz</t>
  </si>
  <si>
    <t>Campo</t>
  </si>
  <si>
    <t>Valor</t>
  </si>
  <si>
    <t>Centro</t>
  </si>
  <si>
    <t>CPM Mestre Tárrega</t>
  </si>
  <si>
    <t>CursoAcademico</t>
  </si>
  <si>
    <t>25/26</t>
  </si>
  <si>
    <t>Evaluacion</t>
  </si>
  <si>
    <t>1EV</t>
  </si>
  <si>
    <t>Curso</t>
  </si>
  <si>
    <t>Asignatura1</t>
  </si>
  <si>
    <t>Asignatura2</t>
  </si>
  <si>
    <t>1EPM</t>
  </si>
  <si>
    <t>2EPM</t>
  </si>
  <si>
    <t>3EPM</t>
  </si>
  <si>
    <t>4EPM</t>
  </si>
  <si>
    <t>5EPM</t>
  </si>
  <si>
    <t>6EPM</t>
  </si>
  <si>
    <t>NIA</t>
  </si>
  <si>
    <t>Apellidos</t>
  </si>
  <si>
    <t>Nombre</t>
  </si>
  <si>
    <t>Repite</t>
  </si>
  <si>
    <t>Evaluación</t>
  </si>
  <si>
    <t>Código Asig</t>
  </si>
  <si>
    <t>Contenido</t>
  </si>
  <si>
    <t>Nota</t>
  </si>
  <si>
    <t>Nota Numérica</t>
  </si>
  <si>
    <t>Apto</t>
  </si>
  <si>
    <t>Profesor</t>
  </si>
  <si>
    <t>Observ.</t>
  </si>
  <si>
    <t>Nivel</t>
  </si>
  <si>
    <t>TipoAsig</t>
  </si>
  <si>
    <t>Registros</t>
  </si>
  <si>
    <t>NotaMedia</t>
  </si>
  <si>
    <t>Desviacion</t>
  </si>
  <si>
    <t>Moda</t>
  </si>
  <si>
    <t>PctAprobados</t>
  </si>
  <si>
    <t>PctSuspendidos</t>
  </si>
  <si>
    <t>ModaAprobados</t>
  </si>
  <si>
    <t>ModaSuspendidos</t>
  </si>
  <si>
    <t>Dist1</t>
  </si>
  <si>
    <t>Dist2</t>
  </si>
  <si>
    <t>Dist3</t>
  </si>
  <si>
    <t>Dist4</t>
  </si>
  <si>
    <t>Dist5</t>
  </si>
  <si>
    <t>Dist6</t>
  </si>
  <si>
    <t>Dist7</t>
  </si>
  <si>
    <t>Dist8</t>
  </si>
  <si>
    <t>Dist9</t>
  </si>
  <si>
    <t>Dist10</t>
  </si>
  <si>
    <t>GLOBAL</t>
  </si>
  <si>
    <t>Total</t>
  </si>
  <si>
    <t>Total Especialidad</t>
  </si>
  <si>
    <t>TotalEsp</t>
  </si>
  <si>
    <t>Total No Especialidad</t>
  </si>
  <si>
    <t>TotalNoEsp</t>
  </si>
  <si>
    <t>Teórica Troncal</t>
  </si>
  <si>
    <t>DATOS PIVOTEADOS PARA CORRELACIONES</t>
  </si>
  <si>
    <t>⚠️ IMPORTANTE: Las celdas amarillas (A6, G6, M6, S6, Y6, AE6) requieren fórmulas manuales - ver INSTRUCCIONES</t>
  </si>
  <si>
    <t>CURSO</t>
  </si>
  <si>
    <t>Teórica</t>
  </si>
  <si>
    <t>Orquesta</t>
  </si>
  <si>
    <t>Conjun</t>
  </si>
  <si>
    <t>Esp</t>
  </si>
  <si>
    <t>Música</t>
  </si>
  <si>
    <t>Correlacion</t>
  </si>
  <si>
    <t>N_Muestras</t>
  </si>
  <si>
    <t>Interpretacion</t>
  </si>
  <si>
    <t>INTERPRETACIÓN</t>
  </si>
  <si>
    <t>0.80 – 1.00</t>
  </si>
  <si>
    <t>Muy fuerte</t>
  </si>
  <si>
    <t>0.60 – 0.79</t>
  </si>
  <si>
    <t>Fuerte</t>
  </si>
  <si>
    <t>0.40 – 0.59</t>
  </si>
  <si>
    <t>Moderada</t>
  </si>
  <si>
    <t>0.20 – 0.39</t>
  </si>
  <si>
    <t>Débil</t>
  </si>
  <si>
    <t>0.00 – 0.19</t>
  </si>
  <si>
    <t>Muy débil</t>
  </si>
  <si>
    <t>&lt; 0</t>
  </si>
  <si>
    <t>Inversa</t>
  </si>
  <si>
    <t>#METADATA</t>
  </si>
  <si>
    <t>Trimestre</t>
  </si>
  <si>
    <t>#ESTADISTICAS</t>
  </si>
  <si>
    <t>Tipo</t>
  </si>
  <si>
    <t>#CORRELACIONES</t>
  </si>
  <si>
    <t>COR</t>
  </si>
  <si>
    <t>#AGRUPACIONES</t>
  </si>
  <si>
    <t>Grupos</t>
  </si>
  <si>
    <t>AGR</t>
  </si>
  <si>
    <t>FUNDAMENTOS DE INFORMÁTICA MUSICAL Y EDICIÓN DE PARTITURAS</t>
  </si>
  <si>
    <t>COMPLEMENTO PIANÍSTICO / CLAVECINÍSTICO</t>
  </si>
  <si>
    <t>Optativa</t>
  </si>
  <si>
    <t>Versión 1.0  ·  Diciembre 2024</t>
  </si>
  <si>
    <t>━━━━━━━━━━━━━━━━━━━━━━━━━━━━━━━━━━━━━━━━━━━━━━━━━━</t>
  </si>
  <si>
    <t xml:space="preserve">     Salida CSV con secciones #METADATA, #ESTADISTICAS, #CORRELACIONES, #AGRUPACIONES.</t>
  </si>
  <si>
    <t>◆  EXPORTADOR</t>
  </si>
  <si>
    <t xml:space="preserve">     Resultados de correlaciones con interpretación.</t>
  </si>
  <si>
    <t>◆  CALC_CORRELACIONES</t>
  </si>
  <si>
    <t xml:space="preserve">     Datos pivoteados por alumno. </t>
  </si>
  <si>
    <t>◆  DAT_CORRELACION</t>
  </si>
  <si>
    <t xml:space="preserve">     Cálculos estadísticos: Global, por curso, especialidades y optativas.</t>
  </si>
  <si>
    <t>◆  CALC_EPM</t>
  </si>
  <si>
    <t xml:space="preserve">     Importar aquí todos los registros de calificaciones.</t>
  </si>
  <si>
    <t>◆  DATOS</t>
  </si>
  <si>
    <t xml:space="preserve">     Pares de asignaturas para calcular correlaciones por curso.</t>
  </si>
  <si>
    <t>◆  CONFIG_CORRELACIONES</t>
  </si>
  <si>
    <t xml:space="preserve">     Centro, curso académico y selector de evaluación (1EV, 2EV, 3EV, FINAL).</t>
  </si>
  <si>
    <t>◆  CONFIG_METADATA</t>
  </si>
  <si>
    <t xml:space="preserve">     Lista maestra de asignaturas, cursos y agrupaciones. Especialidades en filas 7-27.</t>
  </si>
  <si>
    <t>◆  CONFIG_ASIGNATURAS</t>
  </si>
  <si>
    <t xml:space="preserve">     Esta portada con las instrucciones de uso.</t>
  </si>
  <si>
    <t>◆  INSTRUCCIONES</t>
  </si>
  <si>
    <t xml:space="preserve">  Si no, contacta con el desarrollador para solicitar modificaciones.</t>
  </si>
  <si>
    <t>• Si tienes conocimientos de Excel, puedes adaptar las asignaturas que falten.</t>
  </si>
  <si>
    <t>• Capacidad máxima: 1.000 alumnos.</t>
  </si>
  <si>
    <t xml:space="preserve">  Verifica que coincidan con las de tu centro.</t>
  </si>
  <si>
    <t>• Consulta CONFIG_ASIGNATURAS para ver las asignaturas implementadas.</t>
  </si>
  <si>
    <t xml:space="preserve">  Puede requerir adaptaciones para otras comunidades autónomas.</t>
  </si>
  <si>
    <t>• El plan de estudios está basado en la normativa de la Comunitat Valenciana.</t>
  </si>
  <si>
    <t>• Este analizador es exclusivo para Enseñanzas Profesionales de Música en Conservatorios.</t>
  </si>
  <si>
    <t>⚠  AVISOS IMPORTANTES</t>
  </si>
  <si>
    <t xml:space="preserve">      Sube el CSV a la APP para visualizar los datos.</t>
  </si>
  <si>
    <t xml:space="preserve">      Copia toda la hoja EXPORTADOR y guárdala como CSV.</t>
  </si>
  <si>
    <t>4. EXPORTAR</t>
  </si>
  <si>
    <t xml:space="preserve">      Revisa CALC_CORRELACIONES para ver las correlaciones entre asignaturas.</t>
  </si>
  <si>
    <t xml:space="preserve">      Revisa CALC_EEM / CALC_EPM para ver las estadísticas calculadas.</t>
  </si>
  <si>
    <t>3. VERIFICAR CÁLCULOS</t>
  </si>
  <si>
    <t xml:space="preserve">      En CONFIG_METADATA, cambia la celda B4 para filtrar la evaluación deseada.</t>
  </si>
  <si>
    <t>2. SELECCIONAR EVALUACIÓN</t>
  </si>
  <si>
    <t xml:space="preserve">      Incluye solo una única evaluación. Duplica este excel para analizar cada evaluación por separado.</t>
  </si>
  <si>
    <t xml:space="preserve">      Pega los datos de calificaciones en la hoja DATOS.</t>
  </si>
  <si>
    <t>1. IMPORTAR DATOS</t>
  </si>
  <si>
    <t>CÓMO USAR ESTE ANALIZADOR</t>
  </si>
  <si>
    <t>ENLACES</t>
  </si>
  <si>
    <t>Desarrollado con Claude (Anthropic)</t>
  </si>
  <si>
    <t>www.jlmirall.es  ·  joseluismirallesbono@gmail.com</t>
  </si>
  <si>
    <t>José Luis Miralles Bono</t>
  </si>
  <si>
    <t>Creado mediante Vibe Coding por:</t>
  </si>
  <si>
    <t>Analizador de Calificaciones de Enseñanzas Profesionales de Música
para Conservatorios</t>
  </si>
  <si>
    <t>ANALIZADOR EPM</t>
  </si>
  <si>
    <t>▸ APP para visualizar los datos exportados: https://jlmirallesb.github.io/DashboardAcademico/</t>
  </si>
  <si>
    <t>▸ Repositorio en GitHub: https://github.com/JLMirallesB/DashboardAcademico</t>
  </si>
  <si>
    <t>▸ Reporta errores o bugs: https://github.com/JLMirallesB/DashboardAcademico/issues</t>
  </si>
  <si>
    <t>▸ ¿Te ha sido útil? Invita a un café al desarrollador: https://ko-fi.com/miralles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</si>
</sst>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1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color rgb="FFFF0000"/>
      <name val="Calibri"/>
      <family val="2"/>
    </font>
    <font>
      <b/>
      <sz val="11"/>
      <name val="Calibri"/>
      <family val="2"/>
    </font>
    <font>
      <b/>
      <sz val="12"/>
      <name val="Calibri"/>
      <family val="2"/>
    </font>
    <font>
      <sz val="11"/>
      <color theme="1"/>
      <name val="Calibri"/>
      <family val="2"/>
      <scheme val="minor"/>
    </font>
    <font>
      <sz val="10"/>
      <color theme="1"/>
      <name val="Arial Unicode MS"/>
      <family val="2"/>
    </font>
    <font>
      <sz val="11"/>
      <color rgb="FF000000"/>
      <name val="Calibri"/>
      <family val="2"/>
      <scheme val="minor"/>
    </font>
    <font>
      <i/>
      <sz val="9"/>
      <color rgb="FF999999"/>
      <name val="Calibri"/>
      <family val="2"/>
    </font>
    <font>
      <sz val="8"/>
      <color rgb="FFCCCCCC"/>
      <name val="Calibri"/>
      <family val="2"/>
    </font>
    <font>
      <sz val="10"/>
      <color rgb="FF555555"/>
      <name val="Calibri"/>
      <family val="2"/>
    </font>
    <font>
      <b/>
      <sz val="14"/>
      <color rgb="FFFFFFFF"/>
      <name val="Calibri"/>
      <family val="2"/>
    </font>
    <font>
      <sz val="10"/>
      <color rgb="FF333333"/>
      <name val="Calibri"/>
      <family val="2"/>
    </font>
    <font>
      <sz val="11"/>
      <color rgb="FF333333"/>
      <name val="Calibri"/>
      <family val="2"/>
    </font>
    <font>
      <i/>
      <sz val="10"/>
      <color rgb="FF999999"/>
      <name val="Calibri"/>
      <family val="2"/>
    </font>
    <font>
      <sz val="10"/>
      <color rgb="FF666666"/>
      <name val="Calibri"/>
      <family val="2"/>
    </font>
    <font>
      <b/>
      <sz val="12"/>
      <color rgb="FF000000"/>
      <name val="Calibri"/>
      <family val="2"/>
    </font>
    <font>
      <i/>
      <sz val="14"/>
      <color rgb="FF333333"/>
      <name val="Calibri"/>
      <family val="2"/>
    </font>
    <font>
      <sz val="8"/>
      <color rgb="FF999999"/>
      <name val="Calibri"/>
      <family val="2"/>
    </font>
    <font>
      <b/>
      <sz val="28"/>
      <color rgb="FF000000"/>
      <name val="Calibri"/>
      <family val="2"/>
    </font>
    <font>
      <u/>
      <sz val="11"/>
      <color theme="10"/>
      <name val="Calibri"/>
      <family val="2"/>
      <scheme val="minor"/>
    </font>
    <font>
      <sz val="30"/>
      <color rgb="FF111827"/>
      <name val="Calibri Light"/>
      <family val="2"/>
    </font>
    <font>
      <sz val="13"/>
      <color rgb="FF6B7280"/>
      <name val="Calibri"/>
      <family val="2"/>
    </font>
    <font>
      <b/>
      <sz val="12"/>
      <color rgb="FF1D4ED8"/>
      <name val="Calibri"/>
      <family val="2"/>
    </font>
    <font>
      <sz val="11"/>
      <color rgb="FF374151"/>
      <name val="Calibri"/>
      <family val="2"/>
    </font>
    <font>
      <b/>
      <sz val="11"/>
      <color rgb="FF111827"/>
      <name val="Calibri"/>
      <family val="2"/>
    </font>
    <font>
      <sz val="9"/>
      <color rgb="FF9CA3AF"/>
      <name val="Calibri"/>
      <family val="2"/>
    </font>
    <font>
      <b/>
      <sz val="11"/>
      <color rgb="FF1D4ED8"/>
      <name val="Consolas"/>
      <family val="3"/>
    </font>
    <font>
      <b/>
      <sz val="12"/>
      <color rgb="FF92400E"/>
      <name val="Calibri"/>
      <family val="2"/>
    </font>
    <font>
      <sz val="11"/>
      <color rgb="FF92400E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E2F3"/>
      </patternFill>
    </fill>
    <fill>
      <patternFill patternType="solid">
        <fgColor rgb="FFFFFF00"/>
      </patternFill>
    </fill>
    <fill>
      <patternFill patternType="solid">
        <fgColor rgb="FFFFC000"/>
      </patternFill>
    </fill>
    <fill>
      <patternFill patternType="solid"/>
    </fill>
    <fill>
      <patternFill patternType="solid">
        <fgColor rgb="FF333333"/>
      </patternFill>
    </fill>
    <fill>
      <patternFill patternType="solid">
        <fgColor rgb="FFF8FAFC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FEF7E7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E5E7EB"/>
      </bottom>
      <diagonal/>
    </border>
    <border>
      <left/>
      <right/>
      <top/>
      <bottom style="medium">
        <color rgb="FF1D4ED8"/>
      </bottom>
      <diagonal/>
    </border>
  </borders>
  <cellStyleXfs count="4">
    <xf numFmtId="0" fontId="0" fillId="0" borderId="0"/>
    <xf numFmtId="9" fontId="6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6" fillId="0" borderId="0"/>
  </cellStyleXfs>
  <cellXfs count="40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0" fillId="3" borderId="0" xfId="0" applyFill="1"/>
    <xf numFmtId="0" fontId="4" fillId="4" borderId="0" xfId="0" applyFont="1" applyFill="1"/>
    <xf numFmtId="0" fontId="5" fillId="0" borderId="0" xfId="0" applyFont="1"/>
    <xf numFmtId="0" fontId="4" fillId="3" borderId="0" xfId="0" applyFont="1" applyFill="1"/>
    <xf numFmtId="0" fontId="4" fillId="0" borderId="0" xfId="0" applyFont="1"/>
    <xf numFmtId="0" fontId="4" fillId="5" borderId="0" xfId="0" applyFont="1" applyFill="1"/>
    <xf numFmtId="2" fontId="0" fillId="0" borderId="0" xfId="0" applyNumberFormat="1"/>
    <xf numFmtId="164" fontId="0" fillId="0" borderId="0" xfId="1" applyNumberFormat="1" applyFont="1"/>
    <xf numFmtId="0" fontId="7" fillId="0" borderId="0" xfId="0" applyFont="1"/>
    <xf numFmtId="0" fontId="8" fillId="0" borderId="0" xfId="0" applyFont="1"/>
    <xf numFmtId="0" fontId="9" fillId="0" borderId="0" xfId="0" applyFont="1" applyAlignment="1">
      <alignment horizontal="center"/>
    </xf>
    <xf numFmtId="0" fontId="11" fillId="0" borderId="0" xfId="0" applyFont="1"/>
    <xf numFmtId="0" fontId="12" fillId="6" borderId="0" xfId="0" applyFont="1" applyFill="1" applyAlignment="1">
      <alignment horizontal="center"/>
    </xf>
    <xf numFmtId="0" fontId="13" fillId="0" borderId="0" xfId="0" applyFont="1"/>
    <xf numFmtId="0" fontId="12" fillId="7" borderId="0" xfId="0" applyFont="1" applyFill="1" applyAlignment="1">
      <alignment horizontal="center"/>
    </xf>
    <xf numFmtId="0" fontId="15" fillId="0" borderId="0" xfId="0" applyFont="1"/>
    <xf numFmtId="0" fontId="16" fillId="0" borderId="0" xfId="0" applyFont="1"/>
    <xf numFmtId="0" fontId="17" fillId="0" borderId="0" xfId="0" applyFont="1"/>
    <xf numFmtId="0" fontId="19" fillId="0" borderId="0" xfId="0" applyFont="1" applyAlignment="1">
      <alignment horizontal="center"/>
    </xf>
    <xf numFmtId="0" fontId="18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21" fillId="0" borderId="0" xfId="2"/>
    <xf numFmtId="0" fontId="14" fillId="0" borderId="0" xfId="3" applyFont="1"/>
    <xf numFmtId="0" fontId="22" fillId="0" borderId="0" xfId="2" applyFont="1" applyAlignment="1">
      <alignment horizontal="left" vertical="center" wrapText="1"/>
    </xf>
    <xf numFmtId="0" fontId="23" fillId="0" borderId="0" xfId="2" applyFont="1" applyAlignment="1">
      <alignment horizontal="left" vertical="center" wrapText="1"/>
    </xf>
    <xf numFmtId="0" fontId="24" fillId="0" borderId="2" xfId="2" applyFont="1" applyBorder="1" applyAlignment="1">
      <alignment horizontal="left" vertical="center" wrapText="1"/>
    </xf>
    <xf numFmtId="0" fontId="25" fillId="0" borderId="0" xfId="2" applyFont="1" applyAlignment="1">
      <alignment horizontal="left" vertical="center" wrapText="1"/>
    </xf>
    <xf numFmtId="0" fontId="26" fillId="0" borderId="0" xfId="2" applyFont="1" applyAlignment="1">
      <alignment horizontal="left" vertical="center" wrapText="1"/>
    </xf>
    <xf numFmtId="0" fontId="27" fillId="0" borderId="0" xfId="2" applyFont="1" applyAlignment="1">
      <alignment horizontal="left" vertical="center" wrapText="1"/>
    </xf>
    <xf numFmtId="0" fontId="28" fillId="9" borderId="0" xfId="2" applyFont="1" applyFill="1" applyAlignment="1">
      <alignment horizontal="left" vertical="center" wrapText="1"/>
    </xf>
    <xf numFmtId="0" fontId="29" fillId="10" borderId="0" xfId="2" applyFont="1" applyFill="1" applyAlignment="1">
      <alignment horizontal="left" vertical="center" wrapText="1"/>
    </xf>
    <xf numFmtId="0" fontId="30" fillId="10" borderId="0" xfId="2" applyFont="1" applyFill="1" applyAlignment="1">
      <alignment horizontal="left" vertical="center" wrapText="1"/>
    </xf>
    <xf numFmtId="0" fontId="25" fillId="8" borderId="0" xfId="2" applyFont="1" applyFill="1" applyAlignment="1">
      <alignment horizontal="left" vertical="center" wrapText="1"/>
    </xf>
    <xf numFmtId="0" fontId="26" fillId="0" borderId="1" xfId="2" applyFont="1" applyBorder="1" applyAlignment="1">
      <alignment horizontal="left" vertical="center" wrapText="1"/>
    </xf>
    <xf numFmtId="0" fontId="25" fillId="0" borderId="0" xfId="2" applyFont="1" applyAlignment="1">
      <alignment horizontal="right" vertical="center" wrapText="1"/>
    </xf>
  </cellXfs>
  <cellStyles count="4">
    <cellStyle name="Hipervínculo" xfId="2" builtinId="8"/>
    <cellStyle name="Normal" xfId="0" builtinId="0"/>
    <cellStyle name="Normal 2" xfId="3" xr:uid="{2727EBD7-7F9E-CD4D-9959-B7DE39ED8E93}"/>
    <cellStyle name="Porcentaje" xfId="1" builtinId="5"/>
  </cellStyles>
  <dxfs count="1">
    <dxf>
      <font>
        <color rgb="FF9CA3AF"/>
      </font>
      <fill>
        <patternFill>
          <bgColor rgb="FFFDF2F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JLMirallesB/DashboardAcademico/issues" TargetMode="External"/><Relationship Id="rId2" Type="http://schemas.openxmlformats.org/officeDocument/2006/relationships/hyperlink" Target="https://github.com/JLMirallesB/DashboardAcademico" TargetMode="External"/><Relationship Id="rId1" Type="http://schemas.openxmlformats.org/officeDocument/2006/relationships/hyperlink" Target="https://jlmirallesb.github.io/DashboardAcademico/" TargetMode="External"/><Relationship Id="rId4" Type="http://schemas.openxmlformats.org/officeDocument/2006/relationships/hyperlink" Target="https://ko-fi.com/mirall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54903-DAA7-2D4F-B744-498A2CF8E535}">
  <dimension ref="A1:C61"/>
  <sheetViews>
    <sheetView showGridLines="0" tabSelected="1" workbookViewId="0">
      <selection activeCell="F14" sqref="F14"/>
    </sheetView>
  </sheetViews>
  <sheetFormatPr baseColWidth="10" defaultColWidth="8.83203125" defaultRowHeight="15" x14ac:dyDescent="0.2"/>
  <cols>
    <col min="1" max="1" width="4" customWidth="1"/>
    <col min="2" max="2" width="104" customWidth="1"/>
    <col min="3" max="3" width="4" customWidth="1"/>
  </cols>
  <sheetData>
    <row r="2" ht="34" customHeight="1">
      <c r="B2" s="28" t="inlineStr">
        <is>
          <t xml:space="preserve">Analizador de calificaciones</t>
        </is>
      </c>
    </row>
    <row r="3" ht="20" customHeight="1">
      <c r="B3" s="29" t="inlineStr">
        <is>
          <t xml:space="preserve">Enseñanzas Profesionales de Música · Conservatorios</t>
        </is>
      </c>
    </row>
    <row r="5" ht="20" customHeight="1">
      <c r="B5" s="30" t="inlineStr">
        <is>
          <t xml:space="preserve">EMPEZAR</t>
        </is>
      </c>
    </row>
    <row r="6" ht="16" customHeight="1">
      <c r="B6" s="32" t="inlineStr">
        <is>
          <t xml:space="preserve">1 · Pega las calificaciones en la hoja DATOS</t>
        </is>
      </c>
    </row>
    <row r="7" ht="16" customHeight="1">
      <c r="B7" s="31" t="inlineStr">
        <is>
          <t xml:space="preserve">Una fila por alumno, asignatura y evaluación. Las columnas ya están puestas: respeta su orden y sus nombres.</t>
        </is>
      </c>
    </row>
    <row r="9" ht="16" customHeight="1">
      <c r="B9" s="32" t="inlineStr">
        <is>
          <t xml:space="preserve">2 · Elige la evaluación</t>
        </is>
      </c>
    </row>
    <row r="10" ht="16" customHeight="1">
      <c r="B10" s="34" t="inlineStr">
        <is>
          <t xml:space="preserve">CONFIG_METADATA!B4</t>
        </is>
      </c>
    </row>
    <row r="11" ht="16" customHeight="1">
      <c r="B11" s="31" t="inlineStr">
        <is>
          <t xml:space="preserve">Códigos: 1EV · 2EV · 3EV · OR · EX · OR+EX</t>
        </is>
      </c>
    </row>
    <row r="12" ht="16" customHeight="1">
      <c r="B12" s="31" t="inlineStr">
        <is>
          <t xml:space="preserve">OR+EX es la foto definitiva del curso: la ordinaria como base, y cada recuperación de la extraordinaria sustituyendo a la suya.</t>
        </is>
      </c>
    </row>
    <row r="13" ht="16" customHeight="1">
      <c r="B13" s="31" t="inlineStr">
        <is>
          <t xml:space="preserve">Para usarla, pega la ordinaria y AÑADE DEBAJO las filas de la extraordinaria. No las sustituyas: hacen falta las dos.</t>
        </is>
      </c>
    </row>
    <row r="14" ht="16" customHeight="1">
      <c r="B14" s="31" t="inlineStr">
        <is>
          <t xml:space="preserve">EX a solas enseña solo lo que se suspendió en junio, así que su media no es la del centro.</t>
        </is>
      </c>
    </row>
    <row r="16" ht="16" customHeight="1">
      <c r="B16" s="32" t="inlineStr">
        <is>
          <t xml:space="preserve">3 · Mira los avisos antes de fiarte de las cifras</t>
        </is>
      </c>
    </row>
    <row r="17" ht="16" customHeight="1">
      <c r="B17" s="31" t="inlineStr">
        <is>
          <t xml:space="preserve">Están en CONFIG_METADATA, debajo de la configuración. Cada uno dice qué significa que no sea cero.</t>
        </is>
      </c>
    </row>
    <row r="19" ht="16" customHeight="1">
      <c r="B19" s="32" t="inlineStr">
        <is>
          <t xml:space="preserve">4 · Exporta</t>
        </is>
      </c>
    </row>
    <row r="20" ht="16" customHeight="1">
      <c r="B20" s="31" t="inlineStr">
        <is>
          <t xml:space="preserve">Copia la hoja EXPORTADOR entera y guárdala como CSV. Ese CSV es lo que lee la aplicación de visualización.</t>
        </is>
      </c>
    </row>
    <row r="22" ht="20" customHeight="1">
      <c r="B22" s="30" t="inlineStr">
        <is>
          <t xml:space="preserve">AÑADIR UNA ASIGNATURA</t>
        </is>
      </c>
    </row>
    <row r="23" ht="16" customHeight="1">
      <c r="B23" s="31" t="inlineStr">
        <is>
          <t xml:space="preserve">Escríbela en la primera fila libre de CONFIG_ASIGNATURAS: está marcada con una flecha, y al lado tienes las instrucciones.</t>
        </is>
      </c>
    </row>
    <row r="24" ht="16" customHeight="1">
      <c r="B24" s="32" t="inlineStr">
        <is>
          <t xml:space="preserve">No hay que insertar filas ni ordenar nada.</t>
        </is>
      </c>
    </row>
    <row r="25" ht="16" customHeight="1">
      <c r="B25" s="31" t="inlineStr">
        <is>
          <t xml:space="preserve">Las fórmulas no miran posiciones, miran columnas.</t>
        </is>
      </c>
    </row>
    <row r="27" ht="16" customHeight="1">
      <c r="B27" s="32" t="inlineStr">
        <is>
          <t xml:space="preserve">El nombre tiene que coincidir letra por letra con el que traen tus datos.</t>
        </is>
      </c>
    </row>
    <row r="28" ht="16" customHeight="1">
      <c r="B28" s="31" t="inlineStr">
        <is>
          <t xml:space="preserve">Si no coincide, esa asignatura no aparece: ni siquiera con un cero. Los registros que se queden fuera los cuenta el aviso «FueraDeLasCifras».</t>
        </is>
      </c>
    </row>
    <row r="30" ht="20" customHeight="1">
      <c r="B30" s="30" t="inlineStr">
        <is>
          <t xml:space="preserve">QUÉ HAY EN CADA HOJA</t>
        </is>
      </c>
    </row>
    <row r="31" ht="16" customHeight="1">
      <c r="B31" s="32" t="inlineStr">
        <is>
          <t xml:space="preserve">CONFIG_ASIGNATURAS</t>
        </is>
      </c>
    </row>
    <row r="32" ht="16" customHeight="1">
      <c r="B32" s="31" t="inlineStr">
        <is>
          <t xml:space="preserve">La lista maestra. Manda ella: de aquí salen los nombres, los cursos y qué cuenta como especialidad.</t>
        </is>
      </c>
    </row>
    <row r="33" ht="16" customHeight="1">
      <c r="B33" s="32" t="inlineStr">
        <is>
          <t xml:space="preserve">CONFIG_METADATA</t>
        </is>
      </c>
    </row>
    <row r="34" ht="16" customHeight="1">
      <c r="B34" s="31" t="inlineStr">
        <is>
          <t xml:space="preserve">Centro, curso académico, selector de evaluación y los avisos.</t>
        </is>
      </c>
    </row>
    <row r="35" ht="16" customHeight="1">
      <c r="B35" s="32" t="inlineStr">
        <is>
          <t xml:space="preserve">CONFIG_CORRELACIONES</t>
        </is>
      </c>
    </row>
    <row r="36" ht="16" customHeight="1">
      <c r="B36" s="31" t="inlineStr">
        <is>
          <t xml:space="preserve">Los pares de asignaturas que se comparan entre sí.</t>
        </is>
      </c>
    </row>
    <row r="37" ht="16" customHeight="1">
      <c r="B37" s="32" t="inlineStr">
        <is>
          <t xml:space="preserve">DATOS</t>
        </is>
      </c>
    </row>
    <row r="38" ht="16" customHeight="1">
      <c r="B38" s="31" t="inlineStr">
        <is>
          <t xml:space="preserve">Donde se pegan las calificaciones. Es la única hoja que se toca a mano.</t>
        </is>
      </c>
    </row>
    <row r="39" ht="16" customHeight="1">
      <c r="B39" s="32" t="inlineStr">
        <is>
          <t xml:space="preserve">CALC_EPM</t>
        </is>
      </c>
    </row>
    <row r="40" ht="16" customHeight="1">
      <c r="B40" s="31" t="inlineStr">
        <is>
          <t xml:space="preserve">Los cálculos: recuento, media, desviación, moda, aprobados y reparto de notas.</t>
        </is>
      </c>
    </row>
    <row r="41" ht="16" customHeight="1">
      <c r="B41" s="32" t="inlineStr">
        <is>
          <t xml:space="preserve">DAT_CORRELACION  ·  CALC_CORRELACIONES</t>
        </is>
      </c>
    </row>
    <row r="42" ht="16" customHeight="1">
      <c r="B42" s="31" t="inlineStr">
        <is>
          <t xml:space="preserve">El cruce entre asignaturas y su resultado.</t>
        </is>
      </c>
    </row>
    <row r="43" ht="16" customHeight="1">
      <c r="B43" s="32" t="inlineStr">
        <is>
          <t xml:space="preserve">EXPORTADOR</t>
        </is>
      </c>
    </row>
    <row r="44" ht="16" customHeight="1">
      <c r="B44" s="31" t="inlineStr">
        <is>
          <t xml:space="preserve">La salida en CSV, con sus secciones #METADATA, #ESTADISTICAS, #CORRELACIONES y #AGRUPACIONES.</t>
        </is>
      </c>
    </row>
    <row r="46" ht="20" customHeight="1">
      <c r="B46" s="35" t="inlineStr">
        <is>
          <t xml:space="preserve">ANTES DE FIARTE</t>
        </is>
      </c>
    </row>
    <row r="47" ht="16" customHeight="1">
      <c r="B47" s="36" t="inlineStr">
        <is>
          <t xml:space="preserve">El plan de estudios sigue la normativa de la Comunitat Valenciana. Otra comunidad puede necesitar ajustes en CONFIG_ASIGNATURAS.</t>
        </is>
      </c>
    </row>
    <row r="48" ht="16" customHeight="1">
      <c r="B48" s="36" t="inlineStr">
        <is>
          <t xml:space="preserve">Comprueba que las asignaturas activas son las de tu centro. Lo que no esté activo no sale por ningún sitio.</t>
        </is>
      </c>
    </row>
    <row r="49" ht="16" customHeight="1">
      <c r="B49" s="36" t="inlineStr">
        <is>
          <t xml:space="preserve">Caben hasta 20.000 filas de calificaciones. Los cálculos llegan hasta la última fila con datos, no más allá.</t>
        </is>
      </c>
    </row>
    <row r="50" ht="16" customHeight="1">
      <c r="B50" s="36" t="inlineStr">
        <is>
          <t xml:space="preserve">El libro se recalcula solo al abrirse. Si lo cierras sin guardar, no pasa nada: las cifras se rehacen.</t>
        </is>
      </c>
    </row>
    <row r="52" ht="20" customHeight="1">
      <c r="B52" s="30" t="inlineStr">
        <is>
          <t xml:space="preserve">ENLACES</t>
        </is>
      </c>
    </row>
    <row r="53" ht="16" customHeight="1">
      <c r="B53" s="31" t="inlineStr">
        <is>
          <t xml:space="preserve">Aplicación para visualizar los datos exportados</t>
        </is>
      </c>
    </row>
    <row r="54" ht="16" customHeight="1">
      <c r="B54" s="31" t="inlineStr">
        <is>
          <t xml:space="preserve">Repositorio del proyecto</t>
        </is>
      </c>
    </row>
    <row r="55" ht="16" customHeight="1">
      <c r="B55" s="31" t="inlineStr">
        <is>
          <t xml:space="preserve">Avisar de un fallo</t>
        </is>
      </c>
    </row>
    <row r="56" ht="16" customHeight="1">
      <c r="B56" s="31" t="inlineStr">
        <is>
          <t xml:space="preserve">¿Te ha resultado útil? Invita a un café al desarrollador</t>
        </is>
      </c>
    </row>
    <row r="58" ht="16" customHeight="1">
      <c r="B58" s="33" t="inlineStr">
        <is>
          <t xml:space="preserve">José Luis Miralles Bono · www.jlmirall.es · joseluismirallesbono@gmail.com</t>
        </is>
      </c>
    </row>
    <row r="59" ht="16" customHeight="1">
      <c r="B59" s="33" t="inlineStr">
        <is>
          <t xml:space="preserve">Desarrollado con Claude (Anthropic)</t>
        </is>
      </c>
    </row>
    <row r="61" ht="16" customHeight="1">
      <c r="B61" s="33" t="inlineStr">
        <is>
          <t xml:space="preserve">Versión 2.0 · agosto 2026</t>
        </is>
      </c>
    </row>
  </sheetData>
  <hyperlinks>
    <hyperlink ref="B53" r:id="rId1"/>
    <hyperlink ref="B54" r:id="rId2"/>
    <hyperlink ref="B55" r:id="rId3"/>
    <hyperlink ref="B56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1"/>
  <sheetViews>
    <sheetView workbookViewId="0">
      <selection activeCell="B42" sqref="B42"/>
    </sheetView>
  </sheetViews>
  <sheetFormatPr baseColWidth="10" defaultColWidth="8.83203125" defaultRowHeight="15" x14ac:dyDescent="0.2"/>
  <cols>
    <col min="1" max="1" width="5" customWidth="1"/>
    <col min="2" max="2" width="35" customWidth="1"/>
    <col min="3" max="3" width="40" customWidth="1"/>
    <col min="4" max="6" width="15" customWidth="1"/>
    <col min="7" max="7" width="8" customWidth="1"/>
  </cols>
  <sheetData>
    <row r="1" spans="1:9" x14ac:dyDescent="0.2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inlineStr">
        <is>
          <t xml:space="preserve">UnaSolaVez</t>
        </is>
      </c>
      <c r="I1" s="2" t="inlineStr">
        <is>
          <t xml:space="preserve">Tipo</t>
        </is>
      </c>
      <c r="J1" s="2" t="inlineStr">
        <is>
          <t xml:space="preserve">Clase (calculada)</t>
        </is>
      </c>
      <c r="K1" t="inlineStr">
        <is>
          <t xml:space="preserve">CÓMO AÑADIR UNA ASIGNATURA</t>
        </is>
      </c>
    </row>
    <row r="2">
      <c r="A2">
        <v>1</v>
      </c>
      <c r="B2" t="inlineStr">
        <is>
          <t xml:space="preserve">Lenguaje Musical</t>
        </is>
      </c>
      <c r="C2" t="inlineStr">
        <is>
          <t xml:space="preserve">1EPM;2EPM</t>
        </is>
      </c>
      <c r="D2" t="inlineStr">
        <is>
          <t xml:space="preserve">Referencia</t>
        </is>
      </c>
      <c r="E2" t="inlineStr">
        <is>
          <t xml:space="preserve">TeoricaTroncal</t>
        </is>
      </c>
      <c r="F2" t="inlineStr">
        <is>
          <t xml:space="preserve">No</t>
        </is>
      </c>
      <c r="G2" t="inlineStr">
        <is>
          <t xml:space="preserve">Sí</t>
        </is>
      </c>
      <c r="H2" t="inlineStr">
        <is>
          <t xml:space="preserve">Sí</t>
        </is>
      </c>
      <c r="I2" t="inlineStr">
        <is>
          <t xml:space="preserve">Obligatoria</t>
        </is>
      </c>
      <c r="J2">
        <f>IF($G2&lt;&gt;"Sí","",IF($D2="Especialidad","E",IF($E2="TeoricaTroncal","NT","N")))</f>
      </c>
      <c r="K2" t="inlineStr">
        <is>
          <t xml:space="preserve">1. Escríbela en la primera fila libre (marcada abajo con una flecha). No hace falta</t>
        </is>
      </c>
    </row>
    <row r="3">
      <c r="A3">
        <v>2</v>
      </c>
      <c r="B3" t="inlineStr">
        <is>
          <t xml:space="preserve">Armonía</t>
        </is>
      </c>
      <c r="C3" t="inlineStr">
        <is>
          <t xml:space="preserve">3EPM;4EPM</t>
        </is>
      </c>
      <c r="D3" t="inlineStr">
        <is>
          <t xml:space="preserve">Referencia</t>
        </is>
      </c>
      <c r="E3" t="inlineStr">
        <is>
          <t xml:space="preserve">TeoricaTroncal</t>
        </is>
      </c>
      <c r="F3" t="inlineStr">
        <is>
          <t xml:space="preserve">No</t>
        </is>
      </c>
      <c r="G3" t="inlineStr">
        <is>
          <t xml:space="preserve">Sí</t>
        </is>
      </c>
      <c r="H3" t="inlineStr">
        <is>
          <t xml:space="preserve">Sí</t>
        </is>
      </c>
      <c r="I3" t="inlineStr">
        <is>
          <t xml:space="preserve">Obligatoria</t>
        </is>
      </c>
      <c r="J3">
        <f>IF($G3&lt;&gt;"Sí","",IF($D3="Especialidad","E",IF($E3="TeoricaTroncal","NT","N")))</f>
      </c>
      <c r="K3" t="inlineStr">
        <is>
          <t xml:space="preserve">   insertar filas ni ordenar nada: las fórmulas no miran POSICIONES, miran columnas.</t>
        </is>
      </c>
    </row>
    <row r="4">
      <c r="A4">
        <v>3</v>
      </c>
      <c r="B4" t="inlineStr">
        <is>
          <t xml:space="preserve">Análisis</t>
        </is>
      </c>
      <c r="C4" t="inlineStr">
        <is>
          <t xml:space="preserve">5EPM;6EPM</t>
        </is>
      </c>
      <c r="D4" t="inlineStr">
        <is>
          <t xml:space="preserve">Referencia</t>
        </is>
      </c>
      <c r="E4" t="inlineStr">
        <is>
          <t xml:space="preserve">TeoricaTroncal</t>
        </is>
      </c>
      <c r="F4" t="inlineStr">
        <is>
          <t xml:space="preserve">No</t>
        </is>
      </c>
      <c r="G4" t="inlineStr">
        <is>
          <t xml:space="preserve">Sí</t>
        </is>
      </c>
      <c r="H4" t="inlineStr">
        <is>
          <t xml:space="preserve">Sí</t>
        </is>
      </c>
      <c r="I4" t="inlineStr">
        <is>
          <t xml:space="preserve">Obligatoria</t>
        </is>
      </c>
      <c r="J4">
        <f>IF($G4&lt;&gt;"Sí","",IF($D4="Especialidad","E",IF($E4="TeoricaTroncal","NT","N")))</f>
      </c>
      <c r="K4" t="inlineStr">
        <is>
          <t xml:space="preserve">2. B  Asignatura — EXACTAMENTE igual que en el fichero de calificaciones que</t>
        </is>
      </c>
    </row>
    <row r="5">
      <c r="A5">
        <v>4</v>
      </c>
      <c r="B5" t="inlineStr">
        <is>
          <t xml:space="preserve">Música de Cámara</t>
        </is>
      </c>
      <c r="C5" t="inlineStr">
        <is>
          <t xml:space="preserve">3EPM;4EPM;5EPM;6EPM</t>
        </is>
      </c>
      <c r="D5" t="inlineStr">
        <is>
          <t xml:space="preserve">Referencia</t>
        </is>
      </c>
      <c r="E5" t="inlineStr">
        <is>
          <t xml:space="preserve">NoEspecialidad</t>
        </is>
      </c>
      <c r="F5" t="inlineStr">
        <is>
          <t xml:space="preserve">No</t>
        </is>
      </c>
      <c r="G5" t="inlineStr">
        <is>
          <t xml:space="preserve">Sí</t>
        </is>
      </c>
      <c r="H5" t="inlineStr">
        <is>
          <t xml:space="preserve">No</t>
        </is>
      </c>
      <c r="I5" t="inlineStr">
        <is>
          <t xml:space="preserve">Obligatoria</t>
        </is>
      </c>
      <c r="J5">
        <f>IF($G5&lt;&gt;"Sí","",IF($D5="Especialidad","E",IF($E5="TeoricaTroncal","NT","N")))</f>
      </c>
      <c r="K5" t="inlineStr">
        <is>
          <t xml:space="preserve">      pegas en DATOS. Si no coincide letra por letra, esa asignatura no aparece</t>
        </is>
      </c>
    </row>
    <row r="6">
      <c r="A6">
        <v>5</v>
      </c>
      <c r="B6" t="inlineStr">
        <is>
          <t xml:space="preserve">Orquesta/Banda/Conjunto</t>
        </is>
      </c>
      <c r="C6" t="inlineStr">
        <is>
          <t xml:space="preserve">1EPM;2EPM;3EPM;4EPM;5EPM;6EPM</t>
        </is>
      </c>
      <c r="D6" t="inlineStr">
        <is>
          <t xml:space="preserve">Referencia</t>
        </is>
      </c>
      <c r="E6" t="inlineStr">
        <is>
          <t xml:space="preserve">NoEspecialidad</t>
        </is>
      </c>
      <c r="F6" t="inlineStr">
        <is>
          <t xml:space="preserve">No</t>
        </is>
      </c>
      <c r="G6" t="inlineStr">
        <is>
          <t xml:space="preserve">Sí</t>
        </is>
      </c>
      <c r="H6" t="inlineStr">
        <is>
          <t xml:space="preserve">No</t>
        </is>
      </c>
      <c r="I6" t="inlineStr">
        <is>
          <t xml:space="preserve">Obligatoria</t>
        </is>
      </c>
      <c r="J6">
        <f>IF($G6&lt;&gt;"Sí","",IF($D6="Especialidad","E",IF($E6="TeoricaTroncal","NT","N")))</f>
      </c>
      <c r="K6" t="inlineStr">
        <is>
          <t xml:space="preserve">      ni con un cero, y sus registros los cuenta el aviso «FueraDeLasCifras».</t>
        </is>
      </c>
    </row>
    <row r="7">
      <c r="A7">
        <v>6</v>
      </c>
      <c r="B7" t="inlineStr">
        <is>
          <t xml:space="preserve">Arpa</t>
        </is>
      </c>
      <c r="C7" t="inlineStr">
        <is>
          <t xml:space="preserve">1EPM;2EPM;3EPM;4EPM;5EPM;6EPM</t>
        </is>
      </c>
      <c r="D7" t="inlineStr">
        <is>
          <t xml:space="preserve">Especialidad</t>
        </is>
      </c>
      <c r="E7" t="inlineStr">
        <is>
          <t xml:space="preserve">Cuerda</t>
        </is>
      </c>
      <c r="F7" t="inlineStr">
        <is>
          <t xml:space="preserve">Sí</t>
        </is>
      </c>
      <c r="G7" t="inlineStr">
        <is>
          <t xml:space="preserve">Sí</t>
        </is>
      </c>
      <c r="H7" t="inlineStr">
        <is>
          <t xml:space="preserve">No</t>
        </is>
      </c>
      <c r="I7" t="inlineStr">
        <is>
          <t xml:space="preserve">Obligatoria</t>
        </is>
      </c>
      <c r="J7">
        <f>IF($G7&lt;&gt;"Sí","",IF($D7="Especialidad","E",IF($E7="TeoricaTroncal","NT","N")))</f>
      </c>
      <c r="K7" t="inlineStr">
        <is>
          <t xml:space="preserve">3. C  Cursos — separados por punto y coma. Solo sale en los cursos que pongas.</t>
        </is>
      </c>
    </row>
    <row r="8">
      <c r="A8">
        <v>7</v>
      </c>
      <c r="B8" t="inlineStr">
        <is>
          <t xml:space="preserve">Bajo Eléctrico</t>
        </is>
      </c>
      <c r="C8" t="inlineStr">
        <is>
          <t xml:space="preserve">1EPM;2EPM;3EPM;4EPM;5EPM;6EPM</t>
        </is>
      </c>
      <c r="D8" t="inlineStr">
        <is>
          <t xml:space="preserve">Especialidad</t>
        </is>
      </c>
      <c r="E8" t="inlineStr">
        <is>
          <t xml:space="preserve">Cuerda</t>
        </is>
      </c>
      <c r="F8" t="inlineStr">
        <is>
          <t xml:space="preserve">Sí</t>
        </is>
      </c>
      <c r="G8" t="inlineStr">
        <is>
          <t xml:space="preserve">Sí</t>
        </is>
      </c>
      <c r="H8" t="inlineStr">
        <is>
          <t xml:space="preserve">No</t>
        </is>
      </c>
      <c r="I8" t="inlineStr">
        <is>
          <t xml:space="preserve">Obligatoria</t>
        </is>
      </c>
      <c r="J8">
        <f>IF($G8&lt;&gt;"Sí","",IF($D8="Especialidad","E",IF($E8="TeoricaTroncal","NT","N")))</f>
      </c>
      <c r="K8" t="inlineStr">
        <is>
          <t xml:space="preserve">4. D  Grupo1 — «Especialidad» si es un instrumento: decide en qué total cuenta.</t>
        </is>
      </c>
    </row>
    <row r="9">
      <c r="A9">
        <v>8</v>
      </c>
      <c r="B9" t="inlineStr">
        <is>
          <t xml:space="preserve">Canto</t>
        </is>
      </c>
      <c r="C9" t="inlineStr">
        <is>
          <t xml:space="preserve">1EPM;2EPM;3EPM;4EPM;5EPM;6EPM</t>
        </is>
      </c>
      <c r="D9" t="inlineStr">
        <is>
          <t xml:space="preserve">Especialidad</t>
        </is>
      </c>
      <c r="E9"/>
      <c r="F9" t="inlineStr">
        <is>
          <t xml:space="preserve">Sí</t>
        </is>
      </c>
      <c r="G9" t="inlineStr">
        <is>
          <t xml:space="preserve">Sí</t>
        </is>
      </c>
      <c r="H9" t="inlineStr">
        <is>
          <t xml:space="preserve">No</t>
        </is>
      </c>
      <c r="I9" t="inlineStr">
        <is>
          <t xml:space="preserve">Obligatoria</t>
        </is>
      </c>
      <c r="J9">
        <f>IF($G9&lt;&gt;"Sí","",IF($D9="Especialidad","E",IF($E9="TeoricaTroncal","NT","N")))</f>
      </c>
      <c r="K9" t="inlineStr">
        <is>
          <t xml:space="preserve">5. G  Activa — «Sí». Sin eso no sale por ningún sitio.</t>
        </is>
      </c>
    </row>
    <row r="10">
      <c r="A10">
        <v>9</v>
      </c>
      <c r="B10" t="inlineStr">
        <is>
          <t xml:space="preserve">Clarinete</t>
        </is>
      </c>
      <c r="C10" t="inlineStr">
        <is>
          <t xml:space="preserve">1EPM;2EPM;3EPM;4EPM;5EPM;6EPM</t>
        </is>
      </c>
      <c r="D10" t="inlineStr">
        <is>
          <t xml:space="preserve">Especialidad</t>
        </is>
      </c>
      <c r="E10" t="inlineStr">
        <is>
          <t xml:space="preserve">Madera</t>
        </is>
      </c>
      <c r="F10" t="inlineStr">
        <is>
          <t xml:space="preserve">Sí</t>
        </is>
      </c>
      <c r="G10" t="inlineStr">
        <is>
          <t xml:space="preserve">Sí</t>
        </is>
      </c>
      <c r="H10" t="inlineStr">
        <is>
          <t xml:space="preserve">No</t>
        </is>
      </c>
      <c r="I10" t="inlineStr">
        <is>
          <t xml:space="preserve">Obligatoria</t>
        </is>
      </c>
      <c r="J10">
        <f>IF($G10&lt;&gt;"Sí","",IF($D10="Especialidad","E",IF($E10="TeoricaTroncal","NT","N")))</f>
      </c>
      <c r="K10" t="inlineStr">
        <is>
          <t xml:space="preserve">6. H  UnaSolaVez — «Sí» solo si NO se vuelve a cursar con un segundo instrumento.</t>
        </is>
      </c>
    </row>
    <row r="11">
      <c r="A11">
        <v>10</v>
      </c>
      <c r="B11" t="inlineStr">
        <is>
          <t xml:space="preserve">Contrabajo</t>
        </is>
      </c>
      <c r="C11" t="inlineStr">
        <is>
          <t xml:space="preserve">1EPM;2EPM;3EPM;4EPM;5EPM;6EPM</t>
        </is>
      </c>
      <c r="D11" t="inlineStr">
        <is>
          <t xml:space="preserve">Especialidad</t>
        </is>
      </c>
      <c r="E11" t="inlineStr">
        <is>
          <t xml:space="preserve">Cuerda</t>
        </is>
      </c>
      <c r="F11" t="inlineStr">
        <is>
          <t xml:space="preserve">Sí</t>
        </is>
      </c>
      <c r="G11" t="inlineStr">
        <is>
          <t xml:space="preserve">Sí</t>
        </is>
      </c>
      <c r="H11" t="inlineStr">
        <is>
          <t xml:space="preserve">No</t>
        </is>
      </c>
      <c r="I11" t="inlineStr">
        <is>
          <t xml:space="preserve">Obligatoria</t>
        </is>
      </c>
      <c r="J11">
        <f>IF($G11&lt;&gt;"Sí","",IF($D11="Especialidad","E",IF($E11="TeoricaTroncal","NT","N")))</f>
      </c>
      <c r="K11" t="inlineStr">
        <is>
          <t xml:space="preserve">7. I  Tipo — Obligatoria / Optativa / De centro.</t>
        </is>
      </c>
    </row>
    <row r="12">
      <c r="A12">
        <v>11</v>
      </c>
      <c r="B12" t="inlineStr">
        <is>
          <t xml:space="preserve">Dulzaina</t>
        </is>
      </c>
      <c r="C12" t="inlineStr">
        <is>
          <t xml:space="preserve">1EPM;2EPM;3EPM;4EPM;5EPM;6EPM</t>
        </is>
      </c>
      <c r="D12" t="inlineStr">
        <is>
          <t xml:space="preserve">Especialidad</t>
        </is>
      </c>
      <c r="E12" t="inlineStr">
        <is>
          <t xml:space="preserve">Madera</t>
        </is>
      </c>
      <c r="F12" t="inlineStr">
        <is>
          <t xml:space="preserve">Sí</t>
        </is>
      </c>
      <c r="G12" t="inlineStr">
        <is>
          <t xml:space="preserve">Sí</t>
        </is>
      </c>
      <c r="H12" t="inlineStr">
        <is>
          <t xml:space="preserve">No</t>
        </is>
      </c>
      <c r="I12" t="inlineStr">
        <is>
          <t xml:space="preserve">Obligatoria</t>
        </is>
      </c>
      <c r="J12">
        <f>IF($G12&lt;&gt;"Sí","",IF($D12="Especialidad","E",IF($E12="TeoricaTroncal","NT","N")))</f>
      </c>
      <c r="K12" t="inlineStr">
        <is>
          <t xml:space="preserve">J  Clase se calcula sola. Si sale vacía, esa fila no está activa.</t>
        </is>
      </c>
    </row>
    <row r="13">
      <c r="A13">
        <v>12</v>
      </c>
      <c r="B13" t="inlineStr">
        <is>
          <t xml:space="preserve">Fagot</t>
        </is>
      </c>
      <c r="C13" t="inlineStr">
        <is>
          <t xml:space="preserve">1EPM;2EPM;3EPM;4EPM;5EPM;6EPM</t>
        </is>
      </c>
      <c r="D13" t="inlineStr">
        <is>
          <t xml:space="preserve">Especialidad</t>
        </is>
      </c>
      <c r="E13" t="inlineStr">
        <is>
          <t xml:space="preserve">Madera</t>
        </is>
      </c>
      <c r="F13" t="inlineStr">
        <is>
          <t xml:space="preserve">Sí</t>
        </is>
      </c>
      <c r="G13" t="inlineStr">
        <is>
          <t xml:space="preserve">Sí</t>
        </is>
      </c>
      <c r="H13" t="inlineStr">
        <is>
          <t xml:space="preserve">No</t>
        </is>
      </c>
      <c r="I13" t="inlineStr">
        <is>
          <t xml:space="preserve">Obligatoria</t>
        </is>
      </c>
      <c r="J13">
        <f>IF($G13&lt;&gt;"Sí","",IF($D13="Especialidad","E",IF($E13="TeoricaTroncal","NT","N")))</f>
      </c>
    </row>
    <row r="14">
      <c r="A14">
        <v>13</v>
      </c>
      <c r="B14" t="inlineStr">
        <is>
          <t xml:space="preserve">Flauta Travesera</t>
        </is>
      </c>
      <c r="C14" t="inlineStr">
        <is>
          <t xml:space="preserve">1EPM;2EPM;3EPM;4EPM;5EPM;6EPM</t>
        </is>
      </c>
      <c r="D14" t="inlineStr">
        <is>
          <t xml:space="preserve">Especialidad</t>
        </is>
      </c>
      <c r="E14" t="inlineStr">
        <is>
          <t xml:space="preserve">Madera</t>
        </is>
      </c>
      <c r="F14" t="inlineStr">
        <is>
          <t xml:space="preserve">Sí</t>
        </is>
      </c>
      <c r="G14" t="inlineStr">
        <is>
          <t xml:space="preserve">Sí</t>
        </is>
      </c>
      <c r="H14" t="inlineStr">
        <is>
          <t xml:space="preserve">No</t>
        </is>
      </c>
      <c r="I14" t="inlineStr">
        <is>
          <t xml:space="preserve">Obligatoria</t>
        </is>
      </c>
      <c r="J14">
        <f>IF($G14&lt;&gt;"Sí","",IF($D14="Especialidad","E",IF($E14="TeoricaTroncal","NT","N")))</f>
      </c>
    </row>
    <row r="15">
      <c r="A15">
        <v>14</v>
      </c>
      <c r="B15" t="inlineStr">
        <is>
          <t xml:space="preserve">Guitarra</t>
        </is>
      </c>
      <c r="C15" t="inlineStr">
        <is>
          <t xml:space="preserve">1EPM;2EPM;3EPM;4EPM;5EPM;6EPM</t>
        </is>
      </c>
      <c r="D15" t="inlineStr">
        <is>
          <t xml:space="preserve">Especialidad</t>
        </is>
      </c>
      <c r="E15" t="inlineStr">
        <is>
          <t xml:space="preserve">Cuerda</t>
        </is>
      </c>
      <c r="F15" t="inlineStr">
        <is>
          <t xml:space="preserve">Sí</t>
        </is>
      </c>
      <c r="G15" t="inlineStr">
        <is>
          <t xml:space="preserve">Sí</t>
        </is>
      </c>
      <c r="H15" t="inlineStr">
        <is>
          <t xml:space="preserve">No</t>
        </is>
      </c>
      <c r="I15" t="inlineStr">
        <is>
          <t xml:space="preserve">Obligatoria</t>
        </is>
      </c>
      <c r="J15">
        <f>IF($G15&lt;&gt;"Sí","",IF($D15="Especialidad","E",IF($E15="TeoricaTroncal","NT","N")))</f>
      </c>
    </row>
    <row r="16">
      <c r="A16">
        <v>15</v>
      </c>
      <c r="B16" t="inlineStr">
        <is>
          <t xml:space="preserve">Guitarra Eléctrica</t>
        </is>
      </c>
      <c r="C16" t="inlineStr">
        <is>
          <t xml:space="preserve">1EPM;2EPM;3EPM;4EPM;5EPM;6EPM</t>
        </is>
      </c>
      <c r="D16" t="inlineStr">
        <is>
          <t xml:space="preserve">Especialidad</t>
        </is>
      </c>
      <c r="E16" t="inlineStr">
        <is>
          <t xml:space="preserve">Cuerda</t>
        </is>
      </c>
      <c r="F16" t="inlineStr">
        <is>
          <t xml:space="preserve">Sí</t>
        </is>
      </c>
      <c r="G16" t="inlineStr">
        <is>
          <t xml:space="preserve">Sí</t>
        </is>
      </c>
      <c r="H16" t="inlineStr">
        <is>
          <t xml:space="preserve">No</t>
        </is>
      </c>
      <c r="I16" t="inlineStr">
        <is>
          <t xml:space="preserve">Obligatoria</t>
        </is>
      </c>
      <c r="J16">
        <f>IF($G16&lt;&gt;"Sí","",IF($D16="Especialidad","E",IF($E16="TeoricaTroncal","NT","N")))</f>
      </c>
    </row>
    <row r="17">
      <c r="A17">
        <v>16</v>
      </c>
      <c r="B17" t="inlineStr">
        <is>
          <t xml:space="preserve">Oboe</t>
        </is>
      </c>
      <c r="C17" t="inlineStr">
        <is>
          <t xml:space="preserve">1EPM;2EPM;3EPM;4EPM;5EPM;6EPM</t>
        </is>
      </c>
      <c r="D17" t="inlineStr">
        <is>
          <t xml:space="preserve">Especialidad</t>
        </is>
      </c>
      <c r="E17" t="inlineStr">
        <is>
          <t xml:space="preserve">Madera</t>
        </is>
      </c>
      <c r="F17" t="inlineStr">
        <is>
          <t xml:space="preserve">Sí</t>
        </is>
      </c>
      <c r="G17" t="inlineStr">
        <is>
          <t xml:space="preserve">Sí</t>
        </is>
      </c>
      <c r="H17" t="inlineStr">
        <is>
          <t xml:space="preserve">No</t>
        </is>
      </c>
      <c r="I17" t="inlineStr">
        <is>
          <t xml:space="preserve">Obligatoria</t>
        </is>
      </c>
      <c r="J17">
        <f>IF($G17&lt;&gt;"Sí","",IF($D17="Especialidad","E",IF($E17="TeoricaTroncal","NT","N")))</f>
      </c>
    </row>
    <row r="18">
      <c r="A18">
        <v>17</v>
      </c>
      <c r="B18" t="inlineStr">
        <is>
          <t xml:space="preserve">Percusión</t>
        </is>
      </c>
      <c r="C18" t="inlineStr">
        <is>
          <t xml:space="preserve">1EPM;2EPM;3EPM;4EPM;5EPM;6EPM</t>
        </is>
      </c>
      <c r="D18" t="inlineStr">
        <is>
          <t xml:space="preserve">Especialidad</t>
        </is>
      </c>
      <c r="E18" t="inlineStr">
        <is>
          <t xml:space="preserve">Metal</t>
        </is>
      </c>
      <c r="F18" t="inlineStr">
        <is>
          <t xml:space="preserve">Sí</t>
        </is>
      </c>
      <c r="G18" t="inlineStr">
        <is>
          <t xml:space="preserve">Sí</t>
        </is>
      </c>
      <c r="H18" t="inlineStr">
        <is>
          <t xml:space="preserve">No</t>
        </is>
      </c>
      <c r="I18" t="inlineStr">
        <is>
          <t xml:space="preserve">Obligatoria</t>
        </is>
      </c>
      <c r="J18">
        <f>IF($G18&lt;&gt;"Sí","",IF($D18="Especialidad","E",IF($E18="TeoricaTroncal","NT","N")))</f>
      </c>
    </row>
    <row r="19">
      <c r="A19">
        <v>18</v>
      </c>
      <c r="B19" t="inlineStr">
        <is>
          <t xml:space="preserve">Piano</t>
        </is>
      </c>
      <c r="C19" t="inlineStr">
        <is>
          <t xml:space="preserve">1EPM;2EPM;3EPM;4EPM;5EPM;6EPM</t>
        </is>
      </c>
      <c r="D19" t="inlineStr">
        <is>
          <t xml:space="preserve">Especialidad</t>
        </is>
      </c>
      <c r="E19" t="inlineStr">
        <is>
          <t xml:space="preserve">Tecla</t>
        </is>
      </c>
      <c r="F19" t="inlineStr">
        <is>
          <t xml:space="preserve">Sí</t>
        </is>
      </c>
      <c r="G19" t="inlineStr">
        <is>
          <t xml:space="preserve">Sí</t>
        </is>
      </c>
      <c r="H19" t="inlineStr">
        <is>
          <t xml:space="preserve">No</t>
        </is>
      </c>
      <c r="I19" t="inlineStr">
        <is>
          <t xml:space="preserve">Obligatoria</t>
        </is>
      </c>
      <c r="J19">
        <f>IF($G19&lt;&gt;"Sí","",IF($D19="Especialidad","E",IF($E19="TeoricaTroncal","NT","N")))</f>
      </c>
    </row>
    <row r="20">
      <c r="A20">
        <v>19</v>
      </c>
      <c r="B20" t="inlineStr">
        <is>
          <t xml:space="preserve">Saxofón</t>
        </is>
      </c>
      <c r="C20" t="inlineStr">
        <is>
          <t xml:space="preserve">1EPM;2EPM;3EPM;4EPM;5EPM;6EPM</t>
        </is>
      </c>
      <c r="D20" t="inlineStr">
        <is>
          <t xml:space="preserve">Especialidad</t>
        </is>
      </c>
      <c r="E20" t="inlineStr">
        <is>
          <t xml:space="preserve">Madera</t>
        </is>
      </c>
      <c r="F20" t="inlineStr">
        <is>
          <t xml:space="preserve">Sí</t>
        </is>
      </c>
      <c r="G20" t="inlineStr">
        <is>
          <t xml:space="preserve">Sí</t>
        </is>
      </c>
      <c r="H20" t="inlineStr">
        <is>
          <t xml:space="preserve">No</t>
        </is>
      </c>
      <c r="I20" t="inlineStr">
        <is>
          <t xml:space="preserve">Obligatoria</t>
        </is>
      </c>
      <c r="J20">
        <f>IF($G20&lt;&gt;"Sí","",IF($D20="Especialidad","E",IF($E20="TeoricaTroncal","NT","N")))</f>
      </c>
    </row>
    <row r="21">
      <c r="A21">
        <v>20</v>
      </c>
      <c r="B21" t="inlineStr">
        <is>
          <t xml:space="preserve">Trombón</t>
        </is>
      </c>
      <c r="C21" t="inlineStr">
        <is>
          <t xml:space="preserve">1EPM;2EPM;3EPM;4EPM;5EPM;6EPM</t>
        </is>
      </c>
      <c r="D21" t="inlineStr">
        <is>
          <t xml:space="preserve">Especialidad</t>
        </is>
      </c>
      <c r="E21" t="inlineStr">
        <is>
          <t xml:space="preserve">Metal</t>
        </is>
      </c>
      <c r="F21" t="inlineStr">
        <is>
          <t xml:space="preserve">Sí</t>
        </is>
      </c>
      <c r="G21" t="inlineStr">
        <is>
          <t xml:space="preserve">Sí</t>
        </is>
      </c>
      <c r="H21" t="inlineStr">
        <is>
          <t xml:space="preserve">No</t>
        </is>
      </c>
      <c r="I21" t="inlineStr">
        <is>
          <t xml:space="preserve">Obligatoria</t>
        </is>
      </c>
      <c r="J21">
        <f>IF($G21&lt;&gt;"Sí","",IF($D21="Especialidad","E",IF($E21="TeoricaTroncal","NT","N")))</f>
      </c>
    </row>
    <row r="22">
      <c r="A22">
        <v>21</v>
      </c>
      <c r="B22" t="inlineStr">
        <is>
          <t xml:space="preserve">Trompa</t>
        </is>
      </c>
      <c r="C22" t="inlineStr">
        <is>
          <t xml:space="preserve">1EPM;2EPM;3EPM;4EPM;5EPM;6EPM</t>
        </is>
      </c>
      <c r="D22" t="inlineStr">
        <is>
          <t xml:space="preserve">Especialidad</t>
        </is>
      </c>
      <c r="E22" t="inlineStr">
        <is>
          <t xml:space="preserve">Metal</t>
        </is>
      </c>
      <c r="F22" t="inlineStr">
        <is>
          <t xml:space="preserve">Sí</t>
        </is>
      </c>
      <c r="G22" t="inlineStr">
        <is>
          <t xml:space="preserve">Sí</t>
        </is>
      </c>
      <c r="H22" t="inlineStr">
        <is>
          <t xml:space="preserve">No</t>
        </is>
      </c>
      <c r="I22" t="inlineStr">
        <is>
          <t xml:space="preserve">Obligatoria</t>
        </is>
      </c>
      <c r="J22">
        <f>IF($G22&lt;&gt;"Sí","",IF($D22="Especialidad","E",IF($E22="TeoricaTroncal","NT","N")))</f>
      </c>
    </row>
    <row r="23">
      <c r="A23">
        <v>22</v>
      </c>
      <c r="B23" t="inlineStr">
        <is>
          <t xml:space="preserve">Trompeta</t>
        </is>
      </c>
      <c r="C23" t="inlineStr">
        <is>
          <t xml:space="preserve">1EPM;2EPM;3EPM;4EPM;5EPM;6EPM</t>
        </is>
      </c>
      <c r="D23" t="inlineStr">
        <is>
          <t xml:space="preserve">Especialidad</t>
        </is>
      </c>
      <c r="E23" t="inlineStr">
        <is>
          <t xml:space="preserve">Metal</t>
        </is>
      </c>
      <c r="F23" t="inlineStr">
        <is>
          <t xml:space="preserve">Sí</t>
        </is>
      </c>
      <c r="G23" t="inlineStr">
        <is>
          <t xml:space="preserve">Sí</t>
        </is>
      </c>
      <c r="H23" t="inlineStr">
        <is>
          <t xml:space="preserve">No</t>
        </is>
      </c>
      <c r="I23" t="inlineStr">
        <is>
          <t xml:space="preserve">Obligatoria</t>
        </is>
      </c>
      <c r="J23">
        <f>IF($G23&lt;&gt;"Sí","",IF($D23="Especialidad","E",IF($E23="TeoricaTroncal","NT","N")))</f>
      </c>
    </row>
    <row r="24">
      <c r="A24">
        <v>23</v>
      </c>
      <c r="B24" t="inlineStr">
        <is>
          <t xml:space="preserve">Tuba</t>
        </is>
      </c>
      <c r="C24" t="inlineStr">
        <is>
          <t xml:space="preserve">1EPM;2EPM;3EPM;4EPM;5EPM;6EPM</t>
        </is>
      </c>
      <c r="D24" t="inlineStr">
        <is>
          <t xml:space="preserve">Especialidad</t>
        </is>
      </c>
      <c r="E24" t="inlineStr">
        <is>
          <t xml:space="preserve">Metal</t>
        </is>
      </c>
      <c r="F24" t="inlineStr">
        <is>
          <t xml:space="preserve">Sí</t>
        </is>
      </c>
      <c r="G24" t="inlineStr">
        <is>
          <t xml:space="preserve">Sí</t>
        </is>
      </c>
      <c r="H24" t="inlineStr">
        <is>
          <t xml:space="preserve">No</t>
        </is>
      </c>
      <c r="I24" t="inlineStr">
        <is>
          <t xml:space="preserve">Obligatoria</t>
        </is>
      </c>
      <c r="J24">
        <f>IF($G24&lt;&gt;"Sí","",IF($D24="Especialidad","E",IF($E24="TeoricaTroncal","NT","N")))</f>
      </c>
    </row>
    <row r="25">
      <c r="A25">
        <v>24</v>
      </c>
      <c r="B25" t="inlineStr">
        <is>
          <t xml:space="preserve">Viola</t>
        </is>
      </c>
      <c r="C25" t="inlineStr">
        <is>
          <t xml:space="preserve">1EPM;2EPM;3EPM;4EPM;5EPM;6EPM</t>
        </is>
      </c>
      <c r="D25" t="inlineStr">
        <is>
          <t xml:space="preserve">Especialidad</t>
        </is>
      </c>
      <c r="E25" t="inlineStr">
        <is>
          <t xml:space="preserve">Cuerda</t>
        </is>
      </c>
      <c r="F25" t="inlineStr">
        <is>
          <t xml:space="preserve">Sí</t>
        </is>
      </c>
      <c r="G25" t="inlineStr">
        <is>
          <t xml:space="preserve">Sí</t>
        </is>
      </c>
      <c r="H25" t="inlineStr">
        <is>
          <t xml:space="preserve">No</t>
        </is>
      </c>
      <c r="I25" t="inlineStr">
        <is>
          <t xml:space="preserve">Obligatoria</t>
        </is>
      </c>
      <c r="J25">
        <f>IF($G25&lt;&gt;"Sí","",IF($D25="Especialidad","E",IF($E25="TeoricaTroncal","NT","N")))</f>
      </c>
    </row>
    <row r="26">
      <c r="A26">
        <v>25</v>
      </c>
      <c r="B26" t="inlineStr">
        <is>
          <t xml:space="preserve">Violín</t>
        </is>
      </c>
      <c r="C26" t="inlineStr">
        <is>
          <t xml:space="preserve">1EPM;2EPM;3EPM;4EPM;5EPM;6EPM</t>
        </is>
      </c>
      <c r="D26" t="inlineStr">
        <is>
          <t xml:space="preserve">Especialidad</t>
        </is>
      </c>
      <c r="E26" t="inlineStr">
        <is>
          <t xml:space="preserve">Cuerda</t>
        </is>
      </c>
      <c r="F26" t="inlineStr">
        <is>
          <t xml:space="preserve">Sí</t>
        </is>
      </c>
      <c r="G26" t="inlineStr">
        <is>
          <t xml:space="preserve">Sí</t>
        </is>
      </c>
      <c r="H26" t="inlineStr">
        <is>
          <t xml:space="preserve">No</t>
        </is>
      </c>
      <c r="I26" t="inlineStr">
        <is>
          <t xml:space="preserve">Obligatoria</t>
        </is>
      </c>
      <c r="J26">
        <f>IF($G26&lt;&gt;"Sí","",IF($D26="Especialidad","E",IF($E26="TeoricaTroncal","NT","N")))</f>
      </c>
    </row>
    <row r="27">
      <c r="A27">
        <v>26</v>
      </c>
      <c r="B27" t="inlineStr">
        <is>
          <t xml:space="preserve">Violoncello</t>
        </is>
      </c>
      <c r="C27" t="inlineStr">
        <is>
          <t xml:space="preserve">1EPM;2EPM;3EPM;4EPM;5EPM;6EPM</t>
        </is>
      </c>
      <c r="D27" t="inlineStr">
        <is>
          <t xml:space="preserve">Especialidad</t>
        </is>
      </c>
      <c r="E27" t="inlineStr">
        <is>
          <t xml:space="preserve">Cuerda</t>
        </is>
      </c>
      <c r="F27" t="inlineStr">
        <is>
          <t xml:space="preserve">Sí</t>
        </is>
      </c>
      <c r="G27" t="inlineStr">
        <is>
          <t xml:space="preserve">Sí</t>
        </is>
      </c>
      <c r="H27" t="inlineStr">
        <is>
          <t xml:space="preserve">No</t>
        </is>
      </c>
      <c r="I27" t="inlineStr">
        <is>
          <t xml:space="preserve">Obligatoria</t>
        </is>
      </c>
      <c r="J27">
        <f>IF($G27&lt;&gt;"Sí","",IF($D27="Especialidad","E",IF($E27="TeoricaTroncal","NT","N")))</f>
      </c>
    </row>
    <row r="28">
      <c r="A28">
        <v>27</v>
      </c>
      <c r="B28" t="inlineStr">
        <is>
          <t xml:space="preserve">Piano Complementario</t>
        </is>
      </c>
      <c r="C28" t="inlineStr">
        <is>
          <t xml:space="preserve">2EPM;3EPM;4EPM</t>
        </is>
      </c>
      <c r="D28" t="inlineStr">
        <is>
          <t xml:space="preserve">NoEspecialidad</t>
        </is>
      </c>
      <c r="E28"/>
      <c r="F28" t="inlineStr">
        <is>
          <t xml:space="preserve">No</t>
        </is>
      </c>
      <c r="G28" t="inlineStr">
        <is>
          <t xml:space="preserve">Sí</t>
        </is>
      </c>
      <c r="H28" t="inlineStr">
        <is>
          <t xml:space="preserve">Sí</t>
        </is>
      </c>
      <c r="I28" t="inlineStr">
        <is>
          <t xml:space="preserve">Obligatoria</t>
        </is>
      </c>
      <c r="J28">
        <f>IF($G28&lt;&gt;"Sí","",IF($D28="Especialidad","E",IF($E28="TeoricaTroncal","NT","N")))</f>
      </c>
    </row>
    <row r="29">
      <c r="A29">
        <v>28</v>
      </c>
      <c r="B29" t="inlineStr">
        <is>
          <t xml:space="preserve">Conjunto</t>
        </is>
      </c>
      <c r="C29" t="inlineStr">
        <is>
          <t xml:space="preserve">1EPM;2EPM</t>
        </is>
      </c>
      <c r="D29" t="inlineStr">
        <is>
          <t xml:space="preserve">NoEspecialidad</t>
        </is>
      </c>
      <c r="E29"/>
      <c r="F29" t="inlineStr">
        <is>
          <t xml:space="preserve">No</t>
        </is>
      </c>
      <c r="G29" t="inlineStr">
        <is>
          <t xml:space="preserve">Sí</t>
        </is>
      </c>
      <c r="H29" t="inlineStr">
        <is>
          <t xml:space="preserve">No</t>
        </is>
      </c>
      <c r="I29" t="inlineStr">
        <is>
          <t xml:space="preserve">Obligatoria</t>
        </is>
      </c>
      <c r="J29">
        <f>IF($G29&lt;&gt;"Sí","",IF($D29="Especialidad","E",IF($E29="TeoricaTroncal","NT","N")))</f>
      </c>
    </row>
    <row r="30">
      <c r="A30">
        <v>29</v>
      </c>
      <c r="B30" t="inlineStr">
        <is>
          <t xml:space="preserve">Acompañamiento</t>
        </is>
      </c>
      <c r="C30" t="inlineStr">
        <is>
          <t xml:space="preserve">5EPM;6EPM</t>
        </is>
      </c>
      <c r="D30" t="inlineStr">
        <is>
          <t xml:space="preserve">NoEspecialidad</t>
        </is>
      </c>
      <c r="E30"/>
      <c r="F30" t="inlineStr">
        <is>
          <t xml:space="preserve">No</t>
        </is>
      </c>
      <c r="G30" t="inlineStr">
        <is>
          <t xml:space="preserve">Sí</t>
        </is>
      </c>
      <c r="H30" t="inlineStr">
        <is>
          <t xml:space="preserve">No</t>
        </is>
      </c>
      <c r="I30" t="inlineStr">
        <is>
          <t xml:space="preserve">Obligatoria</t>
        </is>
      </c>
      <c r="J30">
        <f>IF($G30&lt;&gt;"Sí","",IF($D30="Especialidad","E",IF($E30="TeoricaTroncal","NT","N")))</f>
      </c>
    </row>
    <row r="31">
      <c r="A31">
        <v>30</v>
      </c>
      <c r="B31" t="inlineStr">
        <is>
          <t xml:space="preserve">Coro</t>
        </is>
      </c>
      <c r="C31" t="inlineStr">
        <is>
          <t xml:space="preserve">3EPM;4EPM</t>
        </is>
      </c>
      <c r="D31" t="inlineStr">
        <is>
          <t xml:space="preserve">NoEspecialidad</t>
        </is>
      </c>
      <c r="E31"/>
      <c r="F31" t="inlineStr">
        <is>
          <t xml:space="preserve">No</t>
        </is>
      </c>
      <c r="G31" t="inlineStr">
        <is>
          <t xml:space="preserve">Sí</t>
        </is>
      </c>
      <c r="H31" t="inlineStr">
        <is>
          <t xml:space="preserve">Sí</t>
        </is>
      </c>
      <c r="I31" t="inlineStr">
        <is>
          <t xml:space="preserve">Obligatoria</t>
        </is>
      </c>
      <c r="J31">
        <f>IF($G31&lt;&gt;"Sí","",IF($D31="Especialidad","E",IF($E31="TeoricaTroncal","NT","N")))</f>
      </c>
    </row>
    <row r="32">
      <c r="A32">
        <v>31</v>
      </c>
      <c r="B32" t="inlineStr">
        <is>
          <t xml:space="preserve">Idioma Aplicado al Canto</t>
        </is>
      </c>
      <c r="C32" t="inlineStr">
        <is>
          <t xml:space="preserve">1EPM;2EPM;3EPM;4EPM;5EPM;6EPM</t>
        </is>
      </c>
      <c r="D32" t="inlineStr">
        <is>
          <t xml:space="preserve">NoEspecialidad</t>
        </is>
      </c>
      <c r="E32"/>
      <c r="F32" t="inlineStr">
        <is>
          <t xml:space="preserve">No</t>
        </is>
      </c>
      <c r="G32" t="inlineStr">
        <is>
          <t xml:space="preserve">Sí</t>
        </is>
      </c>
      <c r="H32" t="inlineStr">
        <is>
          <t xml:space="preserve">No</t>
        </is>
      </c>
      <c r="I32" t="inlineStr">
        <is>
          <t xml:space="preserve">Obligatoria</t>
        </is>
      </c>
      <c r="J32">
        <f>IF($G32&lt;&gt;"Sí","",IF($D32="Especialidad","E",IF($E32="TeoricaTroncal","NT","N")))</f>
      </c>
    </row>
    <row r="33">
      <c r="A33">
        <v>32</v>
      </c>
      <c r="B33" t="inlineStr">
        <is>
          <t xml:space="preserve">Tabalet</t>
        </is>
      </c>
      <c r="C33" t="inlineStr">
        <is>
          <t xml:space="preserve">1EPM;2EPM</t>
        </is>
      </c>
      <c r="D33" t="inlineStr">
        <is>
          <t xml:space="preserve">NoEspecialidad</t>
        </is>
      </c>
      <c r="E33"/>
      <c r="F33" t="inlineStr">
        <is>
          <t xml:space="preserve">No</t>
        </is>
      </c>
      <c r="G33" t="inlineStr">
        <is>
          <t xml:space="preserve">Sí</t>
        </is>
      </c>
      <c r="H33" t="inlineStr">
        <is>
          <t xml:space="preserve">No</t>
        </is>
      </c>
      <c r="I33" t="inlineStr">
        <is>
          <t xml:space="preserve">Obligatoria</t>
        </is>
      </c>
      <c r="J33">
        <f>IF($G33&lt;&gt;"Sí","",IF($D33="Especialidad","E",IF($E33="TeoricaTroncal","NT","N")))</f>
      </c>
    </row>
    <row r="34">
      <c r="A34">
        <v>33</v>
      </c>
      <c r="B34" t="inlineStr">
        <is>
          <t xml:space="preserve">Historia de la Música</t>
        </is>
      </c>
      <c r="C34" t="inlineStr">
        <is>
          <t xml:space="preserve">5EPM;6EPM</t>
        </is>
      </c>
      <c r="D34" t="inlineStr">
        <is>
          <t xml:space="preserve">NoEspecialidad</t>
        </is>
      </c>
      <c r="E34"/>
      <c r="F34" t="inlineStr">
        <is>
          <t xml:space="preserve">No</t>
        </is>
      </c>
      <c r="G34" t="inlineStr">
        <is>
          <t xml:space="preserve">Sí</t>
        </is>
      </c>
      <c r="H34" t="inlineStr">
        <is>
          <t xml:space="preserve">Sí</t>
        </is>
      </c>
      <c r="I34" t="inlineStr">
        <is>
          <t xml:space="preserve">Obligatoria</t>
        </is>
      </c>
      <c r="J34">
        <f>IF($G34&lt;&gt;"Sí","",IF($D34="Especialidad","E",IF($E34="TeoricaTroncal","NT","N")))</f>
      </c>
    </row>
    <row r="35">
      <c r="A35">
        <v>34</v>
      </c>
      <c r="B35" t="inlineStr">
        <is>
          <t xml:space="preserve">Creatividad y Música</t>
        </is>
      </c>
      <c r="C35" t="inlineStr">
        <is>
          <t xml:space="preserve">5EPM;6EPM</t>
        </is>
      </c>
      <c r="D35" t="inlineStr">
        <is>
          <t xml:space="preserve">Optativas</t>
        </is>
      </c>
      <c r="E35"/>
      <c r="F35" t="inlineStr">
        <is>
          <t xml:space="preserve">No</t>
        </is>
      </c>
      <c r="G35" t="inlineStr">
        <is>
          <t xml:space="preserve">Sí</t>
        </is>
      </c>
      <c r="H35" t="inlineStr">
        <is>
          <t xml:space="preserve">No</t>
        </is>
      </c>
      <c r="I35" t="inlineStr">
        <is>
          <t xml:space="preserve">Optativa</t>
        </is>
      </c>
      <c r="J35">
        <f>IF($G35&lt;&gt;"Sí","",IF($D35="Especialidad","E",IF($E35="TeoricaTroncal","NT","N")))</f>
      </c>
    </row>
    <row r="36">
      <c r="A36">
        <v>35</v>
      </c>
      <c r="B36" t="inlineStr">
        <is>
          <t xml:space="preserve">Cultura Audiovisual</t>
        </is>
      </c>
      <c r="C36" t="inlineStr">
        <is>
          <t xml:space="preserve">5EPM;6EPM</t>
        </is>
      </c>
      <c r="D36" t="inlineStr">
        <is>
          <t xml:space="preserve">Optativas</t>
        </is>
      </c>
      <c r="E36"/>
      <c r="F36" t="inlineStr">
        <is>
          <t xml:space="preserve">No</t>
        </is>
      </c>
      <c r="G36" t="inlineStr">
        <is>
          <t xml:space="preserve">Sí</t>
        </is>
      </c>
      <c r="H36" t="inlineStr">
        <is>
          <t xml:space="preserve">No</t>
        </is>
      </c>
      <c r="I36" t="inlineStr">
        <is>
          <t xml:space="preserve">Optativa</t>
        </is>
      </c>
      <c r="J36">
        <f>IF($G36&lt;&gt;"Sí","",IF($D36="Especialidad","E",IF($E36="TeoricaTroncal","NT","N")))</f>
      </c>
    </row>
    <row r="37">
      <c r="A37">
        <v>36</v>
      </c>
      <c r="B37" t="inlineStr">
        <is>
          <t xml:space="preserve">Complemento Coral</t>
        </is>
      </c>
      <c r="C37" t="inlineStr">
        <is>
          <t xml:space="preserve">5EPM;6EPM</t>
        </is>
      </c>
      <c r="D37" t="inlineStr">
        <is>
          <t xml:space="preserve">Optativas</t>
        </is>
      </c>
      <c r="E37"/>
      <c r="F37" t="inlineStr">
        <is>
          <t xml:space="preserve">No</t>
        </is>
      </c>
      <c r="G37" t="inlineStr">
        <is>
          <t xml:space="preserve">Sí</t>
        </is>
      </c>
      <c r="H37" t="inlineStr">
        <is>
          <t xml:space="preserve">No</t>
        </is>
      </c>
      <c r="I37" t="inlineStr">
        <is>
          <t xml:space="preserve">Optativa</t>
        </is>
      </c>
      <c r="J37">
        <f>IF($G37&lt;&gt;"Sí","",IF($D37="Especialidad","E",IF($E37="TeoricaTroncal","NT","N")))</f>
      </c>
    </row>
    <row r="38">
      <c r="A38">
        <v>37</v>
      </c>
      <c r="B38" t="inlineStr">
        <is>
          <t xml:space="preserve">Fundamentos de Composición</t>
        </is>
      </c>
      <c r="C38" t="inlineStr">
        <is>
          <t xml:space="preserve">5EPM;6EPM</t>
        </is>
      </c>
      <c r="D38" t="inlineStr">
        <is>
          <t xml:space="preserve">Optativas</t>
        </is>
      </c>
      <c r="E38"/>
      <c r="F38" t="inlineStr">
        <is>
          <t xml:space="preserve">No</t>
        </is>
      </c>
      <c r="G38" t="inlineStr">
        <is>
          <t xml:space="preserve">Sí</t>
        </is>
      </c>
      <c r="H38" t="inlineStr">
        <is>
          <t xml:space="preserve">No</t>
        </is>
      </c>
      <c r="I38" t="inlineStr">
        <is>
          <t xml:space="preserve">Optativa</t>
        </is>
      </c>
      <c r="J38">
        <f>IF($G38&lt;&gt;"Sí","",IF($D38="Especialidad","E",IF($E38="TeoricaTroncal","NT","N")))</f>
      </c>
    </row>
    <row r="39">
      <c r="A39">
        <v>38</v>
      </c>
      <c r="B39" t="inlineStr">
        <is>
          <t xml:space="preserve">Introducción a la Pedagogía Musical</t>
        </is>
      </c>
      <c r="C39" t="inlineStr">
        <is>
          <t xml:space="preserve">5EPM;6EPM</t>
        </is>
      </c>
      <c r="D39" t="inlineStr">
        <is>
          <t xml:space="preserve">Optativas</t>
        </is>
      </c>
      <c r="E39"/>
      <c r="F39" t="inlineStr">
        <is>
          <t xml:space="preserve">No</t>
        </is>
      </c>
      <c r="G39" t="inlineStr">
        <is>
          <t xml:space="preserve">Sí</t>
        </is>
      </c>
      <c r="H39" t="inlineStr">
        <is>
          <t xml:space="preserve">No</t>
        </is>
      </c>
      <c r="I39" t="inlineStr">
        <is>
          <t xml:space="preserve">De centro</t>
        </is>
      </c>
      <c r="J39">
        <f>IF($G39&lt;&gt;"Sí","",IF($D39="Especialidad","E",IF($E39="TeoricaTroncal","NT","N")))</f>
      </c>
    </row>
    <row r="40">
      <c r="A40">
        <v>39</v>
      </c>
      <c r="B40" t="inlineStr">
        <is>
          <t xml:space="preserve">Fundamentos de Informática Musical y Edición de Partituras</t>
        </is>
      </c>
      <c r="C40" t="inlineStr">
        <is>
          <t xml:space="preserve">5EPM;6EPM</t>
        </is>
      </c>
      <c r="D40" t="inlineStr">
        <is>
          <t xml:space="preserve">Optativas</t>
        </is>
      </c>
      <c r="E40"/>
      <c r="F40" t="inlineStr">
        <is>
          <t xml:space="preserve">No</t>
        </is>
      </c>
      <c r="G40" t="inlineStr">
        <is>
          <t xml:space="preserve">Sí</t>
        </is>
      </c>
      <c r="H40" t="inlineStr">
        <is>
          <t xml:space="preserve">No</t>
        </is>
      </c>
      <c r="I40" t="inlineStr">
        <is>
          <t xml:space="preserve">Optativa</t>
        </is>
      </c>
      <c r="J40">
        <f>IF($G40&lt;&gt;"Sí","",IF($D40="Especialidad","E",IF($E40="TeoricaTroncal","NT","N")))</f>
      </c>
    </row>
    <row r="41">
      <c r="A41">
        <v>40</v>
      </c>
      <c r="B41" t="inlineStr">
        <is>
          <t xml:space="preserve">Complemento Pianístico / Clavecinístico</t>
        </is>
      </c>
      <c r="C41" t="inlineStr">
        <is>
          <t xml:space="preserve">5EPM;6EPM</t>
        </is>
      </c>
      <c r="D41" t="inlineStr">
        <is>
          <t xml:space="preserve">Optativas</t>
        </is>
      </c>
      <c r="E41"/>
      <c r="F41" t="inlineStr">
        <is>
          <t xml:space="preserve">No</t>
        </is>
      </c>
      <c r="G41" t="inlineStr">
        <is>
          <t xml:space="preserve">Sí</t>
        </is>
      </c>
      <c r="H41" t="inlineStr">
        <is>
          <t xml:space="preserve">No</t>
        </is>
      </c>
      <c r="I41" t="inlineStr">
        <is>
          <t xml:space="preserve">Optativa</t>
        </is>
      </c>
      <c r="J41">
        <f>IF($G41&lt;&gt;"Sí","",IF($D41="Especialidad","E",IF($E41="TeoricaTroncal","NT","N")))</f>
      </c>
    </row>
    <row r="42">
      <c r="A42">
        <v>41</v>
      </c>
      <c r="B42" t="inlineStr">
        <is>
          <t xml:space="preserve">Estética de la Música</t>
        </is>
      </c>
      <c r="C42" t="inlineStr">
        <is>
          <t xml:space="preserve">5EPM;6EPM</t>
        </is>
      </c>
      <c r="D42" t="inlineStr">
        <is>
          <t xml:space="preserve">Optativas</t>
        </is>
      </c>
      <c r="E42"/>
      <c r="F42" t="inlineStr">
        <is>
          <t xml:space="preserve">No</t>
        </is>
      </c>
      <c r="G42" t="inlineStr">
        <is>
          <t xml:space="preserve">Sí</t>
        </is>
      </c>
      <c r="H42" t="inlineStr">
        <is>
          <t xml:space="preserve">No</t>
        </is>
      </c>
      <c r="I42" t="inlineStr">
        <is>
          <t xml:space="preserve">Optativa</t>
        </is>
      </c>
      <c r="J42">
        <f>IF($G42&lt;&gt;"Sí","",IF($D42="Especialidad","E",IF($E42="TeoricaTroncal","NT","N")))</f>
      </c>
    </row>
    <row r="43">
      <c r="A43">
        <v>42</v>
      </c>
      <c r="B43" t="inlineStr">
        <is>
          <t xml:space="preserve">Improvisación y Jazz</t>
        </is>
      </c>
      <c r="C43" t="inlineStr">
        <is>
          <t xml:space="preserve">5EPM;6EPM</t>
        </is>
      </c>
      <c r="D43" t="inlineStr">
        <is>
          <t xml:space="preserve">Optativas</t>
        </is>
      </c>
      <c r="E43"/>
      <c r="F43" t="inlineStr">
        <is>
          <t xml:space="preserve">No</t>
        </is>
      </c>
      <c r="G43" t="inlineStr">
        <is>
          <t xml:space="preserve">Sí</t>
        </is>
      </c>
      <c r="H43" t="inlineStr">
        <is>
          <t xml:space="preserve">No</t>
        </is>
      </c>
      <c r="I43" t="inlineStr">
        <is>
          <t xml:space="preserve">De centro</t>
        </is>
      </c>
      <c r="J43">
        <f>IF($G43&lt;&gt;"Sí","",IF($D43="Especialidad","E",IF($E43="TeoricaTroncal","NT","N")))</f>
      </c>
    </row>
    <row r="44">
      <c r="J44">
        <f>IF($G44&lt;&gt;"Sí","",IF($D44="Especialidad","E",IF($E44="TeoricaTroncal","NT","N")))</f>
      </c>
      <c r="M44" t="inlineStr">
        <is>
          <t xml:space="preserve">↓ primera fila libre</t>
        </is>
      </c>
    </row>
    <row r="45">
      <c r="J45">
        <f>IF($G45&lt;&gt;"Sí","",IF($D45="Especialidad","E",IF($E45="TeoricaTroncal","NT","N")))</f>
      </c>
    </row>
    <row r="46">
      <c r="J46">
        <f>IF($G46&lt;&gt;"Sí","",IF($D46="Especialidad","E",IF($E46="TeoricaTroncal","NT","N")))</f>
      </c>
    </row>
    <row r="47">
      <c r="J47">
        <f>IF($G47&lt;&gt;"Sí","",IF($D47="Especialidad","E",IF($E47="TeoricaTroncal","NT","N")))</f>
      </c>
    </row>
    <row r="48">
      <c r="J48">
        <f>IF($G48&lt;&gt;"Sí","",IF($D48="Especialidad","E",IF($E48="TeoricaTroncal","NT","N")))</f>
      </c>
    </row>
    <row r="49">
      <c r="J49">
        <f>IF($G49&lt;&gt;"Sí","",IF($D49="Especialidad","E",IF($E49="TeoricaTroncal","NT","N")))</f>
      </c>
    </row>
    <row r="50">
      <c r="J50">
        <f>IF($G50&lt;&gt;"Sí","",IF($D50="Especialidad","E",IF($E50="TeoricaTroncal","NT","N")))</f>
      </c>
    </row>
    <row r="51">
      <c r="J51">
        <f>IF($G51&lt;&gt;"Sí","",IF($D51="Especialidad","E",IF($E51="TeoricaTroncal","NT","N")))</f>
      </c>
    </row>
    <row r="52">
      <c r="J52">
        <f>IF($G52&lt;&gt;"Sí","",IF($D52="Especialidad","E",IF($E52="TeoricaTroncal","NT","N")))</f>
      </c>
    </row>
    <row r="53">
      <c r="J53">
        <f>IF($G53&lt;&gt;"Sí","",IF($D53="Especialidad","E",IF($E53="TeoricaTroncal","NT","N")))</f>
      </c>
    </row>
    <row r="54">
      <c r="J54">
        <f>IF($G54&lt;&gt;"Sí","",IF($D54="Especialidad","E",IF($E54="TeoricaTroncal","NT","N")))</f>
      </c>
    </row>
    <row r="55">
      <c r="J55">
        <f>IF($G55&lt;&gt;"Sí","",IF($D55="Especialidad","E",IF($E55="TeoricaTroncal","NT","N")))</f>
      </c>
    </row>
    <row r="56">
      <c r="J56">
        <f>IF($G56&lt;&gt;"Sí","",IF($D56="Especialidad","E",IF($E56="TeoricaTroncal","NT","N")))</f>
      </c>
    </row>
    <row r="57">
      <c r="J57">
        <f>IF($G57&lt;&gt;"Sí","",IF($D57="Especialidad","E",IF($E57="TeoricaTroncal","NT","N")))</f>
      </c>
    </row>
    <row r="58">
      <c r="J58">
        <f>IF($G58&lt;&gt;"Sí","",IF($D58="Especialidad","E",IF($E58="TeoricaTroncal","NT","N")))</f>
      </c>
    </row>
    <row r="59">
      <c r="J59">
        <f>IF($G59&lt;&gt;"Sí","",IF($D59="Especialidad","E",IF($E59="TeoricaTroncal","NT","N")))</f>
      </c>
    </row>
    <row r="60">
      <c r="J60">
        <f>IF($G60&lt;&gt;"Sí","",IF($D60="Especialidad","E",IF($E60="TeoricaTroncal","NT","N")))</f>
      </c>
    </row>
    <row r="61">
      <c r="J61">
        <f>IF($G61&lt;&gt;"Sí","",IF($D61="Especialidad","E",IF($E61="TeoricaTroncal","NT","N")))</f>
      </c>
    </row>
    <row r="62">
      <c r="J62">
        <f>IF($G62&lt;&gt;"Sí","",IF($D62="Especialidad","E",IF($E62="TeoricaTroncal","NT","N")))</f>
      </c>
    </row>
    <row r="63">
      <c r="J63">
        <f>IF($G63&lt;&gt;"Sí","",IF($D63="Especialidad","E",IF($E63="TeoricaTroncal","NT","N")))</f>
      </c>
    </row>
    <row r="64">
      <c r="J64">
        <f>IF($G64&lt;&gt;"Sí","",IF($D64="Especialidad","E",IF($E64="TeoricaTroncal","NT","N")))</f>
      </c>
    </row>
    <row r="65">
      <c r="J65">
        <f>IF($G65&lt;&gt;"Sí","",IF($D65="Especialidad","E",IF($E65="TeoricaTroncal","NT","N")))</f>
      </c>
    </row>
    <row r="66">
      <c r="J66">
        <f>IF($G66&lt;&gt;"Sí","",IF($D66="Especialidad","E",IF($E66="TeoricaTroncal","NT","N")))</f>
      </c>
    </row>
    <row r="67">
      <c r="J67">
        <f>IF($G67&lt;&gt;"Sí","",IF($D67="Especialidad","E",IF($E67="TeoricaTroncal","NT","N")))</f>
      </c>
    </row>
    <row r="68">
      <c r="J68">
        <f>IF($G68&lt;&gt;"Sí","",IF($D68="Especialidad","E",IF($E68="TeoricaTroncal","NT","N")))</f>
      </c>
    </row>
    <row r="69">
      <c r="J69">
        <f>IF($G69&lt;&gt;"Sí","",IF($D69="Especialidad","E",IF($E69="TeoricaTroncal","NT","N")))</f>
      </c>
    </row>
    <row r="70">
      <c r="J70">
        <f>IF($G70&lt;&gt;"Sí","",IF($D70="Especialidad","E",IF($E70="TeoricaTroncal","NT","N")))</f>
      </c>
    </row>
    <row r="71">
      <c r="J71">
        <f>IF($G71&lt;&gt;"Sí","",IF($D71="Especialidad","E",IF($E71="TeoricaTroncal","NT","N")))</f>
      </c>
    </row>
    <row r="72">
      <c r="J72">
        <f>IF($G72&lt;&gt;"Sí","",IF($D72="Especialidad","E",IF($E72="TeoricaTroncal","NT","N")))</f>
      </c>
    </row>
    <row r="73">
      <c r="J73">
        <f>IF($G73&lt;&gt;"Sí","",IF($D73="Especialidad","E",IF($E73="TeoricaTroncal","NT","N")))</f>
      </c>
    </row>
    <row r="74">
      <c r="J74">
        <f>IF($G74&lt;&gt;"Sí","",IF($D74="Especialidad","E",IF($E74="TeoricaTroncal","NT","N")))</f>
      </c>
    </row>
    <row r="75">
      <c r="J75">
        <f>IF($G75&lt;&gt;"Sí","",IF($D75="Especialidad","E",IF($E75="TeoricaTroncal","NT","N")))</f>
      </c>
    </row>
    <row r="76">
      <c r="J76">
        <f>IF($G76&lt;&gt;"Sí","",IF($D76="Especialidad","E",IF($E76="TeoricaTroncal","NT","N")))</f>
      </c>
    </row>
    <row r="77">
      <c r="J77">
        <f>IF($G77&lt;&gt;"Sí","",IF($D77="Especialidad","E",IF($E77="TeoricaTroncal","NT","N")))</f>
      </c>
    </row>
    <row r="78">
      <c r="J78">
        <f>IF($G78&lt;&gt;"Sí","",IF($D78="Especialidad","E",IF($E78="TeoricaTroncal","NT","N")))</f>
      </c>
    </row>
    <row r="79">
      <c r="J79">
        <f>IF($G79&lt;&gt;"Sí","",IF($D79="Especialidad","E",IF($E79="TeoricaTroncal","NT","N")))</f>
      </c>
    </row>
    <row r="80">
      <c r="J80">
        <f>IF($G80&lt;&gt;"Sí","",IF($D80="Especialidad","E",IF($E80="TeoricaTroncal","NT","N")))</f>
      </c>
    </row>
    <row r="81">
      <c r="J81">
        <f>IF($G81&lt;&gt;"Sí","",IF($D81="Especialidad","E",IF($E81="TeoricaTroncal","NT","N")))</f>
      </c>
    </row>
    <row r="82">
      <c r="J82">
        <f>IF($G82&lt;&gt;"Sí","",IF($D82="Especialidad","E",IF($E82="TeoricaTroncal","NT","N")))</f>
      </c>
    </row>
    <row r="83">
      <c r="J83">
        <f>IF($G83&lt;&gt;"Sí","",IF($D83="Especialidad","E",IF($E83="TeoricaTroncal","NT","N")))</f>
      </c>
    </row>
    <row r="84">
      <c r="J84">
        <f>IF($G84&lt;&gt;"Sí","",IF($D84="Especialidad","E",IF($E84="TeoricaTroncal","NT","N")))</f>
      </c>
    </row>
    <row r="85">
      <c r="J85">
        <f>IF($G85&lt;&gt;"Sí","",IF($D85="Especialidad","E",IF($E85="TeoricaTroncal","NT","N")))</f>
      </c>
    </row>
    <row r="86">
      <c r="J86">
        <f>IF($G86&lt;&gt;"Sí","",IF($D86="Especialidad","E",IF($E86="TeoricaTroncal","NT","N")))</f>
      </c>
    </row>
    <row r="87">
      <c r="J87">
        <f>IF($G87&lt;&gt;"Sí","",IF($D87="Especialidad","E",IF($E87="TeoricaTroncal","NT","N")))</f>
      </c>
    </row>
    <row r="88">
      <c r="J88">
        <f>IF($G88&lt;&gt;"Sí","",IF($D88="Especialidad","E",IF($E88="TeoricaTroncal","NT","N")))</f>
      </c>
    </row>
    <row r="89">
      <c r="J89">
        <f>IF($G89&lt;&gt;"Sí","",IF($D89="Especialidad","E",IF($E89="TeoricaTroncal","NT","N")))</f>
      </c>
    </row>
    <row r="90">
      <c r="J90">
        <f>IF($G90&lt;&gt;"Sí","",IF($D90="Especialidad","E",IF($E90="TeoricaTroncal","NT","N")))</f>
      </c>
    </row>
    <row r="91">
      <c r="J91">
        <f>IF($G91&lt;&gt;"Sí","",IF($D91="Especialidad","E",IF($E91="TeoricaTroncal","NT","N")))</f>
      </c>
      <c r="M91" t="inlineStr">
        <is>
          <t xml:space="preserve">↑ última fila que miran las fórmulas</t>
        </is>
      </c>
    </row>
  </sheetData>
  <conditionalFormatting sqref="A2:J91">
    <cfRule type="expression" dxfId="0" priority="1">
      <formula>AND($B2&lt;&gt;"",$G2&lt;&gt;"Sí")</formula>
    </cfRule>
  </conditionalFormatting>
  <dataValidations count="5">
    <dataValidation type="list" allowBlank="1" showInputMessage="1" showErrorMessage="1" errorTitle="Valor no válido" error="Elige uno de la lista: Referencia, NoEspecialidad, Especialidad, Optativas." promptTitle="Grupo1" prompt="Decide en qué total cuenta la asignatura. «Especialidad» es un instrumento." sqref="D2:D91">
      <formula1>"Referencia,NoEspecialidad,Especialidad,Optativas"</formula1>
    </dataValidation>
    <dataValidation type="list" allowBlank="1" showInputMessage="1" showErrorMessage="1" errorTitle="Valor no válido" error="Elige uno de la lista: Sí, No." promptTitle="¿Es especialidad?" prompt="Tiene que decir lo mismo que Grupo1." sqref="F2:F91">
      <formula1>"Sí,No"</formula1>
    </dataValidation>
    <dataValidation type="list" allowBlank="1" showInputMessage="1" showErrorMessage="1" errorTitle="Valor no válido" error="Elige uno de la lista: Sí, No." promptTitle="Activa" prompt="Con «No» la asignatura no sale por ningún sitio, y sus registros los cuenta el aviso «FueraDeLasCifras»." sqref="G2:G91">
      <formula1>"Sí,No"</formula1>
    </dataValidation>
    <dataValidation type="list" allowBlank="1" showInputMessage="1" showErrorMessage="1" errorTitle="Valor no válido" error="Elige uno de la lista: Sí, No." promptTitle="¿Se cursa una sola vez?" prompt="«Sí» solo si NO se vuelve a cursar al coger un segundo instrumento." sqref="H2:H91">
      <formula1>"Sí,No"</formula1>
    </dataValidation>
    <dataValidation type="list" allowBlank="1" showInputMessage="1" showErrorMessage="1" errorTitle="Valor no válido" error="Elige uno de la lista: Obligatoria, Optativa, De centro." promptTitle="Tipo" prompt="Obligatoria la pone el currículo; De centro es de diseño propio." sqref="I2:I91">
      <formula1>"Obligatoria,Optativa,De centro"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0000"/>
  <sheetViews>
    <sheetView workbookViewId="0"/>
  </sheetViews>
  <sheetFormatPr baseColWidth="10" defaultColWidth="8.83203125" defaultRowHeight="15" x14ac:dyDescent="0.2"/>
  <cols>
    <col min="1" max="2" width="25" customWidth="1"/>
  </cols>
  <sheetData>
    <row r="1" spans="1:2" x14ac:dyDescent="0.2">
      <c r="A1" s="2" t="s">
        <v>67</v>
      </c>
      <c r="B1" s="2" t="s">
        <v>68</v>
      </c>
      <c r="D1" t="inlineStr">
        <is>
          <t xml:space="preserve">Evaluaciones</t>
        </is>
      </c>
      <c r="F1" t="inlineStr">
        <is>
          <t xml:space="preserve">Clave de matrícula</t>
        </is>
      </c>
      <c r="G1" t="inlineStr">
        <is>
          <t xml:space="preserve">Cuenta</t>
        </is>
      </c>
      <c r="H1" t="inlineStr">
        <is>
          <t xml:space="preserve">EX sin OR</t>
        </is>
      </c>
      <c r="I1">
        <f>IF(DATOS!$I1="","",IFERROR(VLOOKUP(DATOS!$I1,CONFIG_ASIGNATURAS!$B$2:$J$91,9,FALSE()),""))</f>
      </c>
    </row>
    <row r="2" spans="1:2" x14ac:dyDescent="0.2">
      <c r="A2" t="s">
        <v>69</v>
      </c>
      <c r="B2" t="s">
        <v>70</v>
      </c>
      <c r="D2" t="inlineStr">
        <is>
          <t xml:space="preserve">1EV</t>
        </is>
      </c>
      <c r="F2">
        <f>IF(DATOS!$A2="","",DATOS!$A2&amp;"|"&amp;DATOS!$D2&amp;"|"&amp;DATOS!$E2&amp;"|"&amp;DATOS!$I2)</f>
      </c>
      <c r="G2">
        <f>IF(DATOS!$A2="",0,IF(CONFIG_METADATA!$B$4&lt;&gt;"OR+EX",--(DATOS!$G2=CONFIG_METADATA!$B$4),IF(DATOS!$G2="EX",1,IF(DATOS!$G2="OR",--(COUNTIFS(nNIA,DATOS!$A2,nCURSO,DATOS!$D2,nESPEC,DATOS!$E2,nASIG,DATOS!$I2,nEVAL,"EX")=0),0))))</f>
      </c>
      <c r="H2">
        <f>IF(DATOS!$G2&lt;&gt;"EX",0,--(COUNTIFS(nNIA,DATOS!$A2,nCURSO,DATOS!$D2,nESPEC,DATOS!$E2,nASIG,DATOS!$I2,nEVAL,"OR")=0))</f>
      </c>
      <c r="I2">
        <f>IF(DATOS!$I2="","",IFERROR(VLOOKUP(DATOS!$I2,CONFIG_ASIGNATURAS!$B$2:$J$91,9,FALSE()),""))</f>
      </c>
    </row>
    <row r="3" spans="1:2" x14ac:dyDescent="0.2">
      <c r="A3" t="s">
        <v>71</v>
      </c>
      <c r="B3" t="s">
        <v>72</v>
      </c>
      <c r="D3" t="inlineStr">
        <is>
          <t xml:space="preserve">2EV</t>
        </is>
      </c>
      <c r="F3">
        <f>IF(DATOS!$A3="","",DATOS!$A3&amp;"|"&amp;DATOS!$D3&amp;"|"&amp;DATOS!$E3&amp;"|"&amp;DATOS!$I3)</f>
      </c>
      <c r="G3">
        <f>IF(DATOS!$A3="",0,IF(CONFIG_METADATA!$B$4&lt;&gt;"OR+EX",--(DATOS!$G3=CONFIG_METADATA!$B$4),IF(DATOS!$G3="EX",1,IF(DATOS!$G3="OR",--(COUNTIFS(nNIA,DATOS!$A3,nCURSO,DATOS!$D3,nESPEC,DATOS!$E3,nASIG,DATOS!$I3,nEVAL,"EX")=0),0))))</f>
      </c>
      <c r="H3">
        <f>IF(DATOS!$G3&lt;&gt;"EX",0,--(COUNTIFS(nNIA,DATOS!$A3,nCURSO,DATOS!$D3,nESPEC,DATOS!$E3,nASIG,DATOS!$I3,nEVAL,"OR")=0))</f>
      </c>
      <c r="I3">
        <f>IF(DATOS!$I3="","",IFERROR(VLOOKUP(DATOS!$I3,CONFIG_ASIGNATURAS!$B$2:$J$91,9,FALSE()),""))</f>
      </c>
    </row>
    <row r="4" spans="1:2" x14ac:dyDescent="0.2">
      <c r="A4" t="s">
        <v>73</v>
      </c>
      <c r="B4" s="5" t="s">
        <v>74</v>
      </c>
      <c r="D4" t="inlineStr">
        <is>
          <t xml:space="preserve">3EV</t>
        </is>
      </c>
      <c r="F4">
        <f>IF(DATOS!$A4="","",DATOS!$A4&amp;"|"&amp;DATOS!$D4&amp;"|"&amp;DATOS!$E4&amp;"|"&amp;DATOS!$I4)</f>
      </c>
      <c r="G4">
        <f>IF(DATOS!$A4="",0,IF(CONFIG_METADATA!$B$4&lt;&gt;"OR+EX",--(DATOS!$G4=CONFIG_METADATA!$B$4),IF(DATOS!$G4="EX",1,IF(DATOS!$G4="OR",--(COUNTIFS(nNIA,DATOS!$A4,nCURSO,DATOS!$D4,nESPEC,DATOS!$E4,nASIG,DATOS!$I4,nEVAL,"EX")=0),0))))</f>
      </c>
      <c r="H4">
        <f>IF(DATOS!$G4&lt;&gt;"EX",0,--(COUNTIFS(nNIA,DATOS!$A4,nCURSO,DATOS!$D4,nESPEC,DATOS!$E4,nASIG,DATOS!$I4,nEVAL,"OR")=0))</f>
      </c>
      <c r="I4">
        <f>IF(DATOS!$I4="","",IFERROR(VLOOKUP(DATOS!$I4,CONFIG_ASIGNATURAS!$B$2:$J$91,9,FALSE()),""))</f>
      </c>
    </row>
    <row r="5">
      <c r="D5" t="inlineStr">
        <is>
          <t xml:space="preserve">OR</t>
        </is>
      </c>
      <c r="F5">
        <f>IF(DATOS!$A5="","",DATOS!$A5&amp;"|"&amp;DATOS!$D5&amp;"|"&amp;DATOS!$E5&amp;"|"&amp;DATOS!$I5)</f>
      </c>
      <c r="G5">
        <f>IF(DATOS!$A5="",0,IF(CONFIG_METADATA!$B$4&lt;&gt;"OR+EX",--(DATOS!$G5=CONFIG_METADATA!$B$4),IF(DATOS!$G5="EX",1,IF(DATOS!$G5="OR",--(COUNTIFS(nNIA,DATOS!$A5,nCURSO,DATOS!$D5,nESPEC,DATOS!$E5,nASIG,DATOS!$I5,nEVAL,"EX")=0),0))))</f>
      </c>
      <c r="H5">
        <f>IF(DATOS!$G5&lt;&gt;"EX",0,--(COUNTIFS(nNIA,DATOS!$A5,nCURSO,DATOS!$D5,nESPEC,DATOS!$E5,nASIG,DATOS!$I5,nEVAL,"OR")=0))</f>
      </c>
      <c r="I5">
        <f>IF(DATOS!$I5="","",IFERROR(VLOOKUP(DATOS!$I5,CONFIG_ASIGNATURAS!$B$2:$J$91,9,FALSE()),""))</f>
      </c>
    </row>
    <row r="6">
      <c r="A6" t="inlineStr">
        <is>
          <t xml:space="preserve">ExtraordinariaSinOrdinaria</t>
        </is>
      </c>
      <c r="B6">
        <f>SUM(nEXSINOR)</f>
      </c>
      <c r="C6" t="inlineStr">
        <is>
          <t xml:space="preserve">Filas de extraordinaria que no tienen su fila de ordinaria. No se recupera lo que no se suspendió: si no es cero, falta por pegar la ordinaria o sobra algo en la extraordinaria.</t>
        </is>
      </c>
      <c r="D6" t="inlineStr">
        <is>
          <t xml:space="preserve">EX</t>
        </is>
      </c>
      <c r="F6">
        <f>IF(DATOS!$A6="","",DATOS!$A6&amp;"|"&amp;DATOS!$D6&amp;"|"&amp;DATOS!$E6&amp;"|"&amp;DATOS!$I6)</f>
      </c>
      <c r="G6">
        <f>IF(DATOS!$A6="",0,IF(CONFIG_METADATA!$B$4&lt;&gt;"OR+EX",--(DATOS!$G6=CONFIG_METADATA!$B$4),IF(DATOS!$G6="EX",1,IF(DATOS!$G6="OR",--(COUNTIFS(nNIA,DATOS!$A6,nCURSO,DATOS!$D6,nESPEC,DATOS!$E6,nASIG,DATOS!$I6,nEVAL,"EX")=0),0))))</f>
      </c>
      <c r="H6">
        <f>IF(DATOS!$G6&lt;&gt;"EX",0,--(COUNTIFS(nNIA,DATOS!$A6,nCURSO,DATOS!$D6,nESPEC,DATOS!$E6,nASIG,DATOS!$I6,nEVAL,"OR")=0))</f>
      </c>
      <c r="I6">
        <f>IF(DATOS!$I6="","",IFERROR(VLOOKUP(DATOS!$I6,CONFIG_ASIGNATURAS!$B$2:$J$91,9,FALSE()),""))</f>
      </c>
    </row>
    <row r="7">
      <c r="A7" t="inlineStr">
        <is>
          <t xml:space="preserve">ComoSeLee</t>
        </is>
      </c>
      <c r="C7" t="inlineStr">
        <is>
          <t xml:space="preserve">Con OR+EX manda la ordinaria y cada fila de extraordinaria pisa la suya. Es la única opción que da la foto definitiva del curso: EX a solas enseña solo lo que se suspendió en junio.</t>
        </is>
      </c>
      <c r="D7" t="inlineStr">
        <is>
          <t xml:space="preserve">OR+EX</t>
        </is>
      </c>
      <c r="F7">
        <f>IF(DATOS!$A7="","",DATOS!$A7&amp;"|"&amp;DATOS!$D7&amp;"|"&amp;DATOS!$E7&amp;"|"&amp;DATOS!$I7)</f>
      </c>
      <c r="G7">
        <f>IF(DATOS!$A7="",0,IF(CONFIG_METADATA!$B$4&lt;&gt;"OR+EX",--(DATOS!$G7=CONFIG_METADATA!$B$4),IF(DATOS!$G7="EX",1,IF(DATOS!$G7="OR",--(COUNTIFS(nNIA,DATOS!$A7,nCURSO,DATOS!$D7,nESPEC,DATOS!$E7,nASIG,DATOS!$I7,nEVAL,"EX")=0),0))))</f>
      </c>
      <c r="H7">
        <f>IF(DATOS!$G7&lt;&gt;"EX",0,--(COUNTIFS(nNIA,DATOS!$A7,nCURSO,DATOS!$D7,nESPEC,DATOS!$E7,nASIG,DATOS!$I7,nEVAL,"OR")=0))</f>
      </c>
      <c r="I7">
        <f>IF(DATOS!$I7="","",IFERROR(VLOOKUP(DATOS!$I7,CONFIG_ASIGNATURAS!$B$2:$J$91,9,FALSE()),""))</f>
      </c>
    </row>
    <row r="8">
      <c r="A8" t="inlineStr">
        <is>
          <t>FilasConDatos</t>
        </is>
      </c>
      <c r="B8">
        <f>IFERROR(LOOKUP(2,1/(DATOS!$A$2:$A20000&lt;&gt;""),ROW(DATOS!$A$2:$A20000)),2)</f>
      </c>
      <c r="C8" t="inlineStr">
        <is>
          <t xml:space="preserve">Última fila de DATOS con algo. Es hasta donde miran todas las fórmulas: sin esto recorrerían las 20.000 filas siempre, y diecinueve de cada veinte lecturas serían de celdas vacías.</t>
        </is>
      </c>
      <c r="F8">
        <f>IF(DATOS!$A8="","",DATOS!$A8&amp;"|"&amp;DATOS!$D8&amp;"|"&amp;DATOS!$E8&amp;"|"&amp;DATOS!$I8)</f>
      </c>
      <c r="G8">
        <f>IF(DATOS!$A8="",0,IF(CONFIG_METADATA!$B$4&lt;&gt;"OR+EX",--(DATOS!$G8=CONFIG_METADATA!$B$4),IF(DATOS!$G8="EX",1,IF(DATOS!$G8="OR",--(COUNTIFS(nNIA,DATOS!$A8,nCURSO,DATOS!$D8,nESPEC,DATOS!$E8,nASIG,DATOS!$I8,nEVAL,"EX")=0),0))))</f>
      </c>
      <c r="H8">
        <f>IF(DATOS!$G8&lt;&gt;"EX",0,--(COUNTIFS(nNIA,DATOS!$A8,nCURSO,DATOS!$D8,nESPEC,DATOS!$E8,nASIG,DATOS!$I8,nEVAL,"OR")=0))</f>
      </c>
      <c r="I8">
        <f>IF(DATOS!$I8="","",IFERROR(VLOOKUP(DATOS!$I8,CONFIG_ASIGNATURAS!$B$2:$J$91,9,FALSE()),""))</f>
      </c>
    </row>
    <row r="9">
      <c r="A9" t="inlineStr">
        <is>
          <t xml:space="preserve">DobleEspecialidad</t>
        </is>
      </c>
      <c r="B9" cm="1">
        <f t="array" ref="B9">IFERROR(SUMPRODUCT((nCUENTA=1)*(COUNTIFS(CONFIG_ASIGNATURAS!$B$2:$B$91,nASIG,CONFIG_ASIGNATURAS!$H$2:$H$91,"Sí",CONFIG_ASIGNATURAS!$G$2:$G$91,"Sí")&gt;0)*1)-COUNTA(_xlfn.UNIQUE(_xlfn._xlws.FILTER(nCLAVE,(nCUENTA=1)*(COUNTIFS(CONFIG_ASIGNATURAS!$B$2:$B$91,nASIG,CONFIG_ASIGNATURAS!$H$2:$H$91,"Sí",CONFIG_ASIGNATURAS!$G$2:$G$91,"Sí")&gt;0)))),0)</f>
      </c>
      <c r="C9" t="inlineStr">
        <is>
          <t xml:space="preserve">Registros de más: quien cursa dos especialidades aparece dos veces en las asignaturas de una sola vez, con la misma nota. Cuentan doble en la media, en la moda y en el reparto.</t>
        </is>
      </c>
      <c r="F9">
        <f>IF(DATOS!$A9="","",DATOS!$A9&amp;"|"&amp;DATOS!$D9&amp;"|"&amp;DATOS!$E9&amp;"|"&amp;DATOS!$I9)</f>
      </c>
      <c r="G9">
        <f>IF(DATOS!$A9="",0,IF(CONFIG_METADATA!$B$4&lt;&gt;"OR+EX",--(DATOS!$G9=CONFIG_METADATA!$B$4),IF(DATOS!$G9="EX",1,IF(DATOS!$G9="OR",--(COUNTIFS(nNIA,DATOS!$A9,nCURSO,DATOS!$D9,nESPEC,DATOS!$E9,nASIG,DATOS!$I9,nEVAL,"EX")=0),0))))</f>
      </c>
      <c r="H9">
        <f>IF(DATOS!$G9&lt;&gt;"EX",0,--(COUNTIFS(nNIA,DATOS!$A9,nCURSO,DATOS!$D9,nESPEC,DATOS!$E9,nASIG,DATOS!$I9,nEVAL,"OR")=0))</f>
      </c>
      <c r="I9">
        <f>IF(DATOS!$I9="","",IFERROR(VLOOKUP(DATOS!$I9,CONFIG_ASIGNATURAS!$B$2:$J$91,9,FALSE()),""))</f>
      </c>
    </row>
    <row r="10">
      <c r="A10" t="inlineStr">
        <is>
          <t xml:space="preserve">FueraDeLasCifras</t>
        </is>
      </c>
      <c r="B10">
        <f>CALC_EPM!$D$2-CALC_EPM!$D$3-CALC_EPM!$D$4</f>
      </c>
      <c r="C10" t="inlineStr">
        <is>
          <t xml:space="preserve">Registros que no entran en ninguna cifra: su asignatura no está en CONFIG_ASIGNATURAS, o está pero con Activa = No. Si no es cero, falta algo en la configuración o sobra un No.</t>
        </is>
      </c>
      <c r="F10">
        <f>IF(DATOS!$A10="","",DATOS!$A10&amp;"|"&amp;DATOS!$D10&amp;"|"&amp;DATOS!$E10&amp;"|"&amp;DATOS!$I10)</f>
      </c>
      <c r="G10">
        <f>IF(DATOS!$A10="",0,IF(CONFIG_METADATA!$B$4&lt;&gt;"OR+EX",--(DATOS!$G10=CONFIG_METADATA!$B$4),IF(DATOS!$G10="EX",1,IF(DATOS!$G10="OR",--(COUNTIFS(nNIA,DATOS!$A10,nCURSO,DATOS!$D10,nESPEC,DATOS!$E10,nASIG,DATOS!$I10,nEVAL,"EX")=0),0))))</f>
      </c>
      <c r="H10">
        <f>IF(DATOS!$G10&lt;&gt;"EX",0,--(COUNTIFS(nNIA,DATOS!$A10,nCURSO,DATOS!$D10,nESPEC,DATOS!$E10,nASIG,DATOS!$I10,nEVAL,"OR")=0))</f>
      </c>
      <c r="I10">
        <f>IF(DATOS!$I10="","",IFERROR(VLOOKUP(DATOS!$I10,CONFIG_ASIGNATURAS!$B$2:$J$91,9,FALSE()),""))</f>
      </c>
    </row>
    <row r="11">
      <c r="F11">
        <f>IF(DATOS!$A11="","",DATOS!$A11&amp;"|"&amp;DATOS!$D11&amp;"|"&amp;DATOS!$E11&amp;"|"&amp;DATOS!$I11)</f>
      </c>
      <c r="G11">
        <f>IF(DATOS!$A11="",0,IF(CONFIG_METADATA!$B$4&lt;&gt;"OR+EX",--(DATOS!$G11=CONFIG_METADATA!$B$4),IF(DATOS!$G11="EX",1,IF(DATOS!$G11="OR",--(COUNTIFS(nNIA,DATOS!$A11,nCURSO,DATOS!$D11,nESPEC,DATOS!$E11,nASIG,DATOS!$I11,nEVAL,"EX")=0),0))))</f>
      </c>
      <c r="H11">
        <f>IF(DATOS!$G11&lt;&gt;"EX",0,--(COUNTIFS(nNIA,DATOS!$A11,nCURSO,DATOS!$D11,nESPEC,DATOS!$E11,nASIG,DATOS!$I11,nEVAL,"OR")=0))</f>
      </c>
      <c r="I11">
        <f>IF(DATOS!$I11="","",IFERROR(VLOOKUP(DATOS!$I11,CONFIG_ASIGNATURAS!$B$2:$J$91,9,FALSE()),""))</f>
      </c>
    </row>
    <row r="12">
      <c r="F12">
        <f>IF(DATOS!$A12="","",DATOS!$A12&amp;"|"&amp;DATOS!$D12&amp;"|"&amp;DATOS!$E12&amp;"|"&amp;DATOS!$I12)</f>
      </c>
      <c r="G12">
        <f>IF(DATOS!$A12="",0,IF(CONFIG_METADATA!$B$4&lt;&gt;"OR+EX",--(DATOS!$G12=CONFIG_METADATA!$B$4),IF(DATOS!$G12="EX",1,IF(DATOS!$G12="OR",--(COUNTIFS(nNIA,DATOS!$A12,nCURSO,DATOS!$D12,nESPEC,DATOS!$E12,nASIG,DATOS!$I12,nEVAL,"EX")=0),0))))</f>
      </c>
      <c r="H12">
        <f>IF(DATOS!$G12&lt;&gt;"EX",0,--(COUNTIFS(nNIA,DATOS!$A12,nCURSO,DATOS!$D12,nESPEC,DATOS!$E12,nASIG,DATOS!$I12,nEVAL,"OR")=0))</f>
      </c>
      <c r="I12">
        <f>IF(DATOS!$I12="","",IFERROR(VLOOKUP(DATOS!$I12,CONFIG_ASIGNATURAS!$B$2:$J$91,9,FALSE()),""))</f>
      </c>
    </row>
    <row r="13">
      <c r="F13">
        <f>IF(DATOS!$A13="","",DATOS!$A13&amp;"|"&amp;DATOS!$D13&amp;"|"&amp;DATOS!$E13&amp;"|"&amp;DATOS!$I13)</f>
      </c>
      <c r="G13">
        <f>IF(DATOS!$A13="",0,IF(CONFIG_METADATA!$B$4&lt;&gt;"OR+EX",--(DATOS!$G13=CONFIG_METADATA!$B$4),IF(DATOS!$G13="EX",1,IF(DATOS!$G13="OR",--(COUNTIFS(nNIA,DATOS!$A13,nCURSO,DATOS!$D13,nESPEC,DATOS!$E13,nASIG,DATOS!$I13,nEVAL,"EX")=0),0))))</f>
      </c>
      <c r="H13">
        <f>IF(DATOS!$G13&lt;&gt;"EX",0,--(COUNTIFS(nNIA,DATOS!$A13,nCURSO,DATOS!$D13,nESPEC,DATOS!$E13,nASIG,DATOS!$I13,nEVAL,"OR")=0))</f>
      </c>
      <c r="I13">
        <f>IF(DATOS!$I13="","",IFERROR(VLOOKUP(DATOS!$I13,CONFIG_ASIGNATURAS!$B$2:$J$91,9,FALSE()),""))</f>
      </c>
    </row>
    <row r="14">
      <c r="F14">
        <f>IF(DATOS!$A14="","",DATOS!$A14&amp;"|"&amp;DATOS!$D14&amp;"|"&amp;DATOS!$E14&amp;"|"&amp;DATOS!$I14)</f>
      </c>
      <c r="G14">
        <f>IF(DATOS!$A14="",0,IF(CONFIG_METADATA!$B$4&lt;&gt;"OR+EX",--(DATOS!$G14=CONFIG_METADATA!$B$4),IF(DATOS!$G14="EX",1,IF(DATOS!$G14="OR",--(COUNTIFS(nNIA,DATOS!$A14,nCURSO,DATOS!$D14,nESPEC,DATOS!$E14,nASIG,DATOS!$I14,nEVAL,"EX")=0),0))))</f>
      </c>
      <c r="H14">
        <f>IF(DATOS!$G14&lt;&gt;"EX",0,--(COUNTIFS(nNIA,DATOS!$A14,nCURSO,DATOS!$D14,nESPEC,DATOS!$E14,nASIG,DATOS!$I14,nEVAL,"OR")=0))</f>
      </c>
      <c r="I14">
        <f>IF(DATOS!$I14="","",IFERROR(VLOOKUP(DATOS!$I14,CONFIG_ASIGNATURAS!$B$2:$J$91,9,FALSE()),""))</f>
      </c>
    </row>
    <row r="15">
      <c r="F15">
        <f>IF(DATOS!$A15="","",DATOS!$A15&amp;"|"&amp;DATOS!$D15&amp;"|"&amp;DATOS!$E15&amp;"|"&amp;DATOS!$I15)</f>
      </c>
      <c r="G15">
        <f>IF(DATOS!$A15="",0,IF(CONFIG_METADATA!$B$4&lt;&gt;"OR+EX",--(DATOS!$G15=CONFIG_METADATA!$B$4),IF(DATOS!$G15="EX",1,IF(DATOS!$G15="OR",--(COUNTIFS(nNIA,DATOS!$A15,nCURSO,DATOS!$D15,nESPEC,DATOS!$E15,nASIG,DATOS!$I15,nEVAL,"EX")=0),0))))</f>
      </c>
      <c r="H15">
        <f>IF(DATOS!$G15&lt;&gt;"EX",0,--(COUNTIFS(nNIA,DATOS!$A15,nCURSO,DATOS!$D15,nESPEC,DATOS!$E15,nASIG,DATOS!$I15,nEVAL,"OR")=0))</f>
      </c>
      <c r="I15">
        <f>IF(DATOS!$I15="","",IFERROR(VLOOKUP(DATOS!$I15,CONFIG_ASIGNATURAS!$B$2:$J$91,9,FALSE()),""))</f>
      </c>
    </row>
    <row r="16">
      <c r="F16">
        <f>IF(DATOS!$A16="","",DATOS!$A16&amp;"|"&amp;DATOS!$D16&amp;"|"&amp;DATOS!$E16&amp;"|"&amp;DATOS!$I16)</f>
      </c>
      <c r="G16">
        <f>IF(DATOS!$A16="",0,IF(CONFIG_METADATA!$B$4&lt;&gt;"OR+EX",--(DATOS!$G16=CONFIG_METADATA!$B$4),IF(DATOS!$G16="EX",1,IF(DATOS!$G16="OR",--(COUNTIFS(nNIA,DATOS!$A16,nCURSO,DATOS!$D16,nESPEC,DATOS!$E16,nASIG,DATOS!$I16,nEVAL,"EX")=0),0))))</f>
      </c>
      <c r="H16">
        <f>IF(DATOS!$G16&lt;&gt;"EX",0,--(COUNTIFS(nNIA,DATOS!$A16,nCURSO,DATOS!$D16,nESPEC,DATOS!$E16,nASIG,DATOS!$I16,nEVAL,"OR")=0))</f>
      </c>
      <c r="I16">
        <f>IF(DATOS!$I16="","",IFERROR(VLOOKUP(DATOS!$I16,CONFIG_ASIGNATURAS!$B$2:$J$91,9,FALSE()),""))</f>
      </c>
    </row>
    <row r="17">
      <c r="F17">
        <f>IF(DATOS!$A17="","",DATOS!$A17&amp;"|"&amp;DATOS!$D17&amp;"|"&amp;DATOS!$E17&amp;"|"&amp;DATOS!$I17)</f>
      </c>
      <c r="G17">
        <f>IF(DATOS!$A17="",0,IF(CONFIG_METADATA!$B$4&lt;&gt;"OR+EX",--(DATOS!$G17=CONFIG_METADATA!$B$4),IF(DATOS!$G17="EX",1,IF(DATOS!$G17="OR",--(COUNTIFS(nNIA,DATOS!$A17,nCURSO,DATOS!$D17,nESPEC,DATOS!$E17,nASIG,DATOS!$I17,nEVAL,"EX")=0),0))))</f>
      </c>
      <c r="H17">
        <f>IF(DATOS!$G17&lt;&gt;"EX",0,--(COUNTIFS(nNIA,DATOS!$A17,nCURSO,DATOS!$D17,nESPEC,DATOS!$E17,nASIG,DATOS!$I17,nEVAL,"OR")=0))</f>
      </c>
      <c r="I17">
        <f>IF(DATOS!$I17="","",IFERROR(VLOOKUP(DATOS!$I17,CONFIG_ASIGNATURAS!$B$2:$J$91,9,FALSE()),""))</f>
      </c>
    </row>
    <row r="18">
      <c r="F18">
        <f>IF(DATOS!$A18="","",DATOS!$A18&amp;"|"&amp;DATOS!$D18&amp;"|"&amp;DATOS!$E18&amp;"|"&amp;DATOS!$I18)</f>
      </c>
      <c r="G18">
        <f>IF(DATOS!$A18="",0,IF(CONFIG_METADATA!$B$4&lt;&gt;"OR+EX",--(DATOS!$G18=CONFIG_METADATA!$B$4),IF(DATOS!$G18="EX",1,IF(DATOS!$G18="OR",--(COUNTIFS(nNIA,DATOS!$A18,nCURSO,DATOS!$D18,nESPEC,DATOS!$E18,nASIG,DATOS!$I18,nEVAL,"EX")=0),0))))</f>
      </c>
      <c r="H18">
        <f>IF(DATOS!$G18&lt;&gt;"EX",0,--(COUNTIFS(nNIA,DATOS!$A18,nCURSO,DATOS!$D18,nESPEC,DATOS!$E18,nASIG,DATOS!$I18,nEVAL,"OR")=0))</f>
      </c>
      <c r="I18">
        <f>IF(DATOS!$I18="","",IFERROR(VLOOKUP(DATOS!$I18,CONFIG_ASIGNATURAS!$B$2:$J$91,9,FALSE()),""))</f>
      </c>
    </row>
    <row r="19">
      <c r="F19">
        <f>IF(DATOS!$A19="","",DATOS!$A19&amp;"|"&amp;DATOS!$D19&amp;"|"&amp;DATOS!$E19&amp;"|"&amp;DATOS!$I19)</f>
      </c>
      <c r="G19">
        <f>IF(DATOS!$A19="",0,IF(CONFIG_METADATA!$B$4&lt;&gt;"OR+EX",--(DATOS!$G19=CONFIG_METADATA!$B$4),IF(DATOS!$G19="EX",1,IF(DATOS!$G19="OR",--(COUNTIFS(nNIA,DATOS!$A19,nCURSO,DATOS!$D19,nESPEC,DATOS!$E19,nASIG,DATOS!$I19,nEVAL,"EX")=0),0))))</f>
      </c>
      <c r="H19">
        <f>IF(DATOS!$G19&lt;&gt;"EX",0,--(COUNTIFS(nNIA,DATOS!$A19,nCURSO,DATOS!$D19,nESPEC,DATOS!$E19,nASIG,DATOS!$I19,nEVAL,"OR")=0))</f>
      </c>
      <c r="I19">
        <f>IF(DATOS!$I19="","",IFERROR(VLOOKUP(DATOS!$I19,CONFIG_ASIGNATURAS!$B$2:$J$91,9,FALSE()),""))</f>
      </c>
    </row>
    <row r="20">
      <c r="F20">
        <f>IF(DATOS!$A20="","",DATOS!$A20&amp;"|"&amp;DATOS!$D20&amp;"|"&amp;DATOS!$E20&amp;"|"&amp;DATOS!$I20)</f>
      </c>
      <c r="G20">
        <f>IF(DATOS!$A20="",0,IF(CONFIG_METADATA!$B$4&lt;&gt;"OR+EX",--(DATOS!$G20=CONFIG_METADATA!$B$4),IF(DATOS!$G20="EX",1,IF(DATOS!$G20="OR",--(COUNTIFS(nNIA,DATOS!$A20,nCURSO,DATOS!$D20,nESPEC,DATOS!$E20,nASIG,DATOS!$I20,nEVAL,"EX")=0),0))))</f>
      </c>
      <c r="H20">
        <f>IF(DATOS!$G20&lt;&gt;"EX",0,--(COUNTIFS(nNIA,DATOS!$A20,nCURSO,DATOS!$D20,nESPEC,DATOS!$E20,nASIG,DATOS!$I20,nEVAL,"OR")=0))</f>
      </c>
      <c r="I20">
        <f>IF(DATOS!$I20="","",IFERROR(VLOOKUP(DATOS!$I20,CONFIG_ASIGNATURAS!$B$2:$J$91,9,FALSE()),""))</f>
      </c>
    </row>
    <row r="21">
      <c r="F21">
        <f>IF(DATOS!$A21="","",DATOS!$A21&amp;"|"&amp;DATOS!$D21&amp;"|"&amp;DATOS!$E21&amp;"|"&amp;DATOS!$I21)</f>
      </c>
      <c r="G21">
        <f>IF(DATOS!$A21="",0,IF(CONFIG_METADATA!$B$4&lt;&gt;"OR+EX",--(DATOS!$G21=CONFIG_METADATA!$B$4),IF(DATOS!$G21="EX",1,IF(DATOS!$G21="OR",--(COUNTIFS(nNIA,DATOS!$A21,nCURSO,DATOS!$D21,nESPEC,DATOS!$E21,nASIG,DATOS!$I21,nEVAL,"EX")=0),0))))</f>
      </c>
      <c r="H21">
        <f>IF(DATOS!$G21&lt;&gt;"EX",0,--(COUNTIFS(nNIA,DATOS!$A21,nCURSO,DATOS!$D21,nESPEC,DATOS!$E21,nASIG,DATOS!$I21,nEVAL,"OR")=0))</f>
      </c>
      <c r="I21">
        <f>IF(DATOS!$I21="","",IFERROR(VLOOKUP(DATOS!$I21,CONFIG_ASIGNATURAS!$B$2:$J$91,9,FALSE()),""))</f>
      </c>
    </row>
    <row r="22">
      <c r="F22">
        <f>IF(DATOS!$A22="","",DATOS!$A22&amp;"|"&amp;DATOS!$D22&amp;"|"&amp;DATOS!$E22&amp;"|"&amp;DATOS!$I22)</f>
      </c>
      <c r="G22">
        <f>IF(DATOS!$A22="",0,IF(CONFIG_METADATA!$B$4&lt;&gt;"OR+EX",--(DATOS!$G22=CONFIG_METADATA!$B$4),IF(DATOS!$G22="EX",1,IF(DATOS!$G22="OR",--(COUNTIFS(nNIA,DATOS!$A22,nCURSO,DATOS!$D22,nESPEC,DATOS!$E22,nASIG,DATOS!$I22,nEVAL,"EX")=0),0))))</f>
      </c>
      <c r="H22">
        <f>IF(DATOS!$G22&lt;&gt;"EX",0,--(COUNTIFS(nNIA,DATOS!$A22,nCURSO,DATOS!$D22,nESPEC,DATOS!$E22,nASIG,DATOS!$I22,nEVAL,"OR")=0))</f>
      </c>
      <c r="I22">
        <f>IF(DATOS!$I22="","",IFERROR(VLOOKUP(DATOS!$I22,CONFIG_ASIGNATURAS!$B$2:$J$91,9,FALSE()),""))</f>
      </c>
    </row>
    <row r="23">
      <c r="F23">
        <f>IF(DATOS!$A23="","",DATOS!$A23&amp;"|"&amp;DATOS!$D23&amp;"|"&amp;DATOS!$E23&amp;"|"&amp;DATOS!$I23)</f>
      </c>
      <c r="G23">
        <f>IF(DATOS!$A23="",0,IF(CONFIG_METADATA!$B$4&lt;&gt;"OR+EX",--(DATOS!$G23=CONFIG_METADATA!$B$4),IF(DATOS!$G23="EX",1,IF(DATOS!$G23="OR",--(COUNTIFS(nNIA,DATOS!$A23,nCURSO,DATOS!$D23,nESPEC,DATOS!$E23,nASIG,DATOS!$I23,nEVAL,"EX")=0),0))))</f>
      </c>
      <c r="H23">
        <f>IF(DATOS!$G23&lt;&gt;"EX",0,--(COUNTIFS(nNIA,DATOS!$A23,nCURSO,DATOS!$D23,nESPEC,DATOS!$E23,nASIG,DATOS!$I23,nEVAL,"OR")=0))</f>
      </c>
      <c r="I23">
        <f>IF(DATOS!$I23="","",IFERROR(VLOOKUP(DATOS!$I23,CONFIG_ASIGNATURAS!$B$2:$J$91,9,FALSE()),""))</f>
      </c>
    </row>
    <row r="24">
      <c r="F24">
        <f>IF(DATOS!$A24="","",DATOS!$A24&amp;"|"&amp;DATOS!$D24&amp;"|"&amp;DATOS!$E24&amp;"|"&amp;DATOS!$I24)</f>
      </c>
      <c r="G24">
        <f>IF(DATOS!$A24="",0,IF(CONFIG_METADATA!$B$4&lt;&gt;"OR+EX",--(DATOS!$G24=CONFIG_METADATA!$B$4),IF(DATOS!$G24="EX",1,IF(DATOS!$G24="OR",--(COUNTIFS(nNIA,DATOS!$A24,nCURSO,DATOS!$D24,nESPEC,DATOS!$E24,nASIG,DATOS!$I24,nEVAL,"EX")=0),0))))</f>
      </c>
      <c r="H24">
        <f>IF(DATOS!$G24&lt;&gt;"EX",0,--(COUNTIFS(nNIA,DATOS!$A24,nCURSO,DATOS!$D24,nESPEC,DATOS!$E24,nASIG,DATOS!$I24,nEVAL,"OR")=0))</f>
      </c>
      <c r="I24">
        <f>IF(DATOS!$I24="","",IFERROR(VLOOKUP(DATOS!$I24,CONFIG_ASIGNATURAS!$B$2:$J$91,9,FALSE()),""))</f>
      </c>
    </row>
    <row r="25">
      <c r="F25">
        <f>IF(DATOS!$A25="","",DATOS!$A25&amp;"|"&amp;DATOS!$D25&amp;"|"&amp;DATOS!$E25&amp;"|"&amp;DATOS!$I25)</f>
      </c>
      <c r="G25">
        <f>IF(DATOS!$A25="",0,IF(CONFIG_METADATA!$B$4&lt;&gt;"OR+EX",--(DATOS!$G25=CONFIG_METADATA!$B$4),IF(DATOS!$G25="EX",1,IF(DATOS!$G25="OR",--(COUNTIFS(nNIA,DATOS!$A25,nCURSO,DATOS!$D25,nESPEC,DATOS!$E25,nASIG,DATOS!$I25,nEVAL,"EX")=0),0))))</f>
      </c>
      <c r="H25">
        <f>IF(DATOS!$G25&lt;&gt;"EX",0,--(COUNTIFS(nNIA,DATOS!$A25,nCURSO,DATOS!$D25,nESPEC,DATOS!$E25,nASIG,DATOS!$I25,nEVAL,"OR")=0))</f>
      </c>
      <c r="I25">
        <f>IF(DATOS!$I25="","",IFERROR(VLOOKUP(DATOS!$I25,CONFIG_ASIGNATURAS!$B$2:$J$91,9,FALSE()),""))</f>
      </c>
    </row>
    <row r="26">
      <c r="F26">
        <f>IF(DATOS!$A26="","",DATOS!$A26&amp;"|"&amp;DATOS!$D26&amp;"|"&amp;DATOS!$E26&amp;"|"&amp;DATOS!$I26)</f>
      </c>
      <c r="G26">
        <f>IF(DATOS!$A26="",0,IF(CONFIG_METADATA!$B$4&lt;&gt;"OR+EX",--(DATOS!$G26=CONFIG_METADATA!$B$4),IF(DATOS!$G26="EX",1,IF(DATOS!$G26="OR",--(COUNTIFS(nNIA,DATOS!$A26,nCURSO,DATOS!$D26,nESPEC,DATOS!$E26,nASIG,DATOS!$I26,nEVAL,"EX")=0),0))))</f>
      </c>
      <c r="H26">
        <f>IF(DATOS!$G26&lt;&gt;"EX",0,--(COUNTIFS(nNIA,DATOS!$A26,nCURSO,DATOS!$D26,nESPEC,DATOS!$E26,nASIG,DATOS!$I26,nEVAL,"OR")=0))</f>
      </c>
      <c r="I26">
        <f>IF(DATOS!$I26="","",IFERROR(VLOOKUP(DATOS!$I26,CONFIG_ASIGNATURAS!$B$2:$J$91,9,FALSE()),""))</f>
      </c>
    </row>
    <row r="27">
      <c r="F27">
        <f>IF(DATOS!$A27="","",DATOS!$A27&amp;"|"&amp;DATOS!$D27&amp;"|"&amp;DATOS!$E27&amp;"|"&amp;DATOS!$I27)</f>
      </c>
      <c r="G27">
        <f>IF(DATOS!$A27="",0,IF(CONFIG_METADATA!$B$4&lt;&gt;"OR+EX",--(DATOS!$G27=CONFIG_METADATA!$B$4),IF(DATOS!$G27="EX",1,IF(DATOS!$G27="OR",--(COUNTIFS(nNIA,DATOS!$A27,nCURSO,DATOS!$D27,nESPEC,DATOS!$E27,nASIG,DATOS!$I27,nEVAL,"EX")=0),0))))</f>
      </c>
      <c r="H27">
        <f>IF(DATOS!$G27&lt;&gt;"EX",0,--(COUNTIFS(nNIA,DATOS!$A27,nCURSO,DATOS!$D27,nESPEC,DATOS!$E27,nASIG,DATOS!$I27,nEVAL,"OR")=0))</f>
      </c>
      <c r="I27">
        <f>IF(DATOS!$I27="","",IFERROR(VLOOKUP(DATOS!$I27,CONFIG_ASIGNATURAS!$B$2:$J$91,9,FALSE()),""))</f>
      </c>
    </row>
    <row r="28">
      <c r="F28">
        <f>IF(DATOS!$A28="","",DATOS!$A28&amp;"|"&amp;DATOS!$D28&amp;"|"&amp;DATOS!$E28&amp;"|"&amp;DATOS!$I28)</f>
      </c>
      <c r="G28">
        <f>IF(DATOS!$A28="",0,IF(CONFIG_METADATA!$B$4&lt;&gt;"OR+EX",--(DATOS!$G28=CONFIG_METADATA!$B$4),IF(DATOS!$G28="EX",1,IF(DATOS!$G28="OR",--(COUNTIFS(nNIA,DATOS!$A28,nCURSO,DATOS!$D28,nESPEC,DATOS!$E28,nASIG,DATOS!$I28,nEVAL,"EX")=0),0))))</f>
      </c>
      <c r="H28">
        <f>IF(DATOS!$G28&lt;&gt;"EX",0,--(COUNTIFS(nNIA,DATOS!$A28,nCURSO,DATOS!$D28,nESPEC,DATOS!$E28,nASIG,DATOS!$I28,nEVAL,"OR")=0))</f>
      </c>
      <c r="I28">
        <f>IF(DATOS!$I28="","",IFERROR(VLOOKUP(DATOS!$I28,CONFIG_ASIGNATURAS!$B$2:$J$91,9,FALSE()),""))</f>
      </c>
    </row>
    <row r="29">
      <c r="F29">
        <f>IF(DATOS!$A29="","",DATOS!$A29&amp;"|"&amp;DATOS!$D29&amp;"|"&amp;DATOS!$E29&amp;"|"&amp;DATOS!$I29)</f>
      </c>
      <c r="G29">
        <f>IF(DATOS!$A29="",0,IF(CONFIG_METADATA!$B$4&lt;&gt;"OR+EX",--(DATOS!$G29=CONFIG_METADATA!$B$4),IF(DATOS!$G29="EX",1,IF(DATOS!$G29="OR",--(COUNTIFS(nNIA,DATOS!$A29,nCURSO,DATOS!$D29,nESPEC,DATOS!$E29,nASIG,DATOS!$I29,nEVAL,"EX")=0),0))))</f>
      </c>
      <c r="H29">
        <f>IF(DATOS!$G29&lt;&gt;"EX",0,--(COUNTIFS(nNIA,DATOS!$A29,nCURSO,DATOS!$D29,nESPEC,DATOS!$E29,nASIG,DATOS!$I29,nEVAL,"OR")=0))</f>
      </c>
      <c r="I29">
        <f>IF(DATOS!$I29="","",IFERROR(VLOOKUP(DATOS!$I29,CONFIG_ASIGNATURAS!$B$2:$J$91,9,FALSE()),""))</f>
      </c>
    </row>
    <row r="30">
      <c r="F30">
        <f>IF(DATOS!$A30="","",DATOS!$A30&amp;"|"&amp;DATOS!$D30&amp;"|"&amp;DATOS!$E30&amp;"|"&amp;DATOS!$I30)</f>
      </c>
      <c r="G30">
        <f>IF(DATOS!$A30="",0,IF(CONFIG_METADATA!$B$4&lt;&gt;"OR+EX",--(DATOS!$G30=CONFIG_METADATA!$B$4),IF(DATOS!$G30="EX",1,IF(DATOS!$G30="OR",--(COUNTIFS(nNIA,DATOS!$A30,nCURSO,DATOS!$D30,nESPEC,DATOS!$E30,nASIG,DATOS!$I30,nEVAL,"EX")=0),0))))</f>
      </c>
      <c r="H30">
        <f>IF(DATOS!$G30&lt;&gt;"EX",0,--(COUNTIFS(nNIA,DATOS!$A30,nCURSO,DATOS!$D30,nESPEC,DATOS!$E30,nASIG,DATOS!$I30,nEVAL,"OR")=0))</f>
      </c>
      <c r="I30">
        <f>IF(DATOS!$I30="","",IFERROR(VLOOKUP(DATOS!$I30,CONFIG_ASIGNATURAS!$B$2:$J$91,9,FALSE()),""))</f>
      </c>
    </row>
    <row r="31">
      <c r="F31">
        <f>IF(DATOS!$A31="","",DATOS!$A31&amp;"|"&amp;DATOS!$D31&amp;"|"&amp;DATOS!$E31&amp;"|"&amp;DATOS!$I31)</f>
      </c>
      <c r="G31">
        <f>IF(DATOS!$A31="",0,IF(CONFIG_METADATA!$B$4&lt;&gt;"OR+EX",--(DATOS!$G31=CONFIG_METADATA!$B$4),IF(DATOS!$G31="EX",1,IF(DATOS!$G31="OR",--(COUNTIFS(nNIA,DATOS!$A31,nCURSO,DATOS!$D31,nESPEC,DATOS!$E31,nASIG,DATOS!$I31,nEVAL,"EX")=0),0))))</f>
      </c>
      <c r="H31">
        <f>IF(DATOS!$G31&lt;&gt;"EX",0,--(COUNTIFS(nNIA,DATOS!$A31,nCURSO,DATOS!$D31,nESPEC,DATOS!$E31,nASIG,DATOS!$I31,nEVAL,"OR")=0))</f>
      </c>
      <c r="I31">
        <f>IF(DATOS!$I31="","",IFERROR(VLOOKUP(DATOS!$I31,CONFIG_ASIGNATURAS!$B$2:$J$91,9,FALSE()),""))</f>
      </c>
    </row>
    <row r="32">
      <c r="F32">
        <f>IF(DATOS!$A32="","",DATOS!$A32&amp;"|"&amp;DATOS!$D32&amp;"|"&amp;DATOS!$E32&amp;"|"&amp;DATOS!$I32)</f>
      </c>
      <c r="G32">
        <f>IF(DATOS!$A32="",0,IF(CONFIG_METADATA!$B$4&lt;&gt;"OR+EX",--(DATOS!$G32=CONFIG_METADATA!$B$4),IF(DATOS!$G32="EX",1,IF(DATOS!$G32="OR",--(COUNTIFS(nNIA,DATOS!$A32,nCURSO,DATOS!$D32,nESPEC,DATOS!$E32,nASIG,DATOS!$I32,nEVAL,"EX")=0),0))))</f>
      </c>
      <c r="H32">
        <f>IF(DATOS!$G32&lt;&gt;"EX",0,--(COUNTIFS(nNIA,DATOS!$A32,nCURSO,DATOS!$D32,nESPEC,DATOS!$E32,nASIG,DATOS!$I32,nEVAL,"OR")=0))</f>
      </c>
      <c r="I32">
        <f>IF(DATOS!$I32="","",IFERROR(VLOOKUP(DATOS!$I32,CONFIG_ASIGNATURAS!$B$2:$J$91,9,FALSE()),""))</f>
      </c>
    </row>
    <row r="33">
      <c r="F33">
        <f>IF(DATOS!$A33="","",DATOS!$A33&amp;"|"&amp;DATOS!$D33&amp;"|"&amp;DATOS!$E33&amp;"|"&amp;DATOS!$I33)</f>
      </c>
      <c r="G33">
        <f>IF(DATOS!$A33="",0,IF(CONFIG_METADATA!$B$4&lt;&gt;"OR+EX",--(DATOS!$G33=CONFIG_METADATA!$B$4),IF(DATOS!$G33="EX",1,IF(DATOS!$G33="OR",--(COUNTIFS(nNIA,DATOS!$A33,nCURSO,DATOS!$D33,nESPEC,DATOS!$E33,nASIG,DATOS!$I33,nEVAL,"EX")=0),0))))</f>
      </c>
      <c r="H33">
        <f>IF(DATOS!$G33&lt;&gt;"EX",0,--(COUNTIFS(nNIA,DATOS!$A33,nCURSO,DATOS!$D33,nESPEC,DATOS!$E33,nASIG,DATOS!$I33,nEVAL,"OR")=0))</f>
      </c>
      <c r="I33">
        <f>IF(DATOS!$I33="","",IFERROR(VLOOKUP(DATOS!$I33,CONFIG_ASIGNATURAS!$B$2:$J$91,9,FALSE()),""))</f>
      </c>
    </row>
    <row r="34">
      <c r="F34">
        <f>IF(DATOS!$A34="","",DATOS!$A34&amp;"|"&amp;DATOS!$D34&amp;"|"&amp;DATOS!$E34&amp;"|"&amp;DATOS!$I34)</f>
      </c>
      <c r="G34">
        <f>IF(DATOS!$A34="",0,IF(CONFIG_METADATA!$B$4&lt;&gt;"OR+EX",--(DATOS!$G34=CONFIG_METADATA!$B$4),IF(DATOS!$G34="EX",1,IF(DATOS!$G34="OR",--(COUNTIFS(nNIA,DATOS!$A34,nCURSO,DATOS!$D34,nESPEC,DATOS!$E34,nASIG,DATOS!$I34,nEVAL,"EX")=0),0))))</f>
      </c>
      <c r="H34">
        <f>IF(DATOS!$G34&lt;&gt;"EX",0,--(COUNTIFS(nNIA,DATOS!$A34,nCURSO,DATOS!$D34,nESPEC,DATOS!$E34,nASIG,DATOS!$I34,nEVAL,"OR")=0))</f>
      </c>
      <c r="I34">
        <f>IF(DATOS!$I34="","",IFERROR(VLOOKUP(DATOS!$I34,CONFIG_ASIGNATURAS!$B$2:$J$91,9,FALSE()),""))</f>
      </c>
    </row>
    <row r="35">
      <c r="F35">
        <f>IF(DATOS!$A35="","",DATOS!$A35&amp;"|"&amp;DATOS!$D35&amp;"|"&amp;DATOS!$E35&amp;"|"&amp;DATOS!$I35)</f>
      </c>
      <c r="G35">
        <f>IF(DATOS!$A35="",0,IF(CONFIG_METADATA!$B$4&lt;&gt;"OR+EX",--(DATOS!$G35=CONFIG_METADATA!$B$4),IF(DATOS!$G35="EX",1,IF(DATOS!$G35="OR",--(COUNTIFS(nNIA,DATOS!$A35,nCURSO,DATOS!$D35,nESPEC,DATOS!$E35,nASIG,DATOS!$I35,nEVAL,"EX")=0),0))))</f>
      </c>
      <c r="H35">
        <f>IF(DATOS!$G35&lt;&gt;"EX",0,--(COUNTIFS(nNIA,DATOS!$A35,nCURSO,DATOS!$D35,nESPEC,DATOS!$E35,nASIG,DATOS!$I35,nEVAL,"OR")=0))</f>
      </c>
      <c r="I35">
        <f>IF(DATOS!$I35="","",IFERROR(VLOOKUP(DATOS!$I35,CONFIG_ASIGNATURAS!$B$2:$J$91,9,FALSE()),""))</f>
      </c>
    </row>
    <row r="36">
      <c r="F36">
        <f>IF(DATOS!$A36="","",DATOS!$A36&amp;"|"&amp;DATOS!$D36&amp;"|"&amp;DATOS!$E36&amp;"|"&amp;DATOS!$I36)</f>
      </c>
      <c r="G36">
        <f>IF(DATOS!$A36="",0,IF(CONFIG_METADATA!$B$4&lt;&gt;"OR+EX",--(DATOS!$G36=CONFIG_METADATA!$B$4),IF(DATOS!$G36="EX",1,IF(DATOS!$G36="OR",--(COUNTIFS(nNIA,DATOS!$A36,nCURSO,DATOS!$D36,nESPEC,DATOS!$E36,nASIG,DATOS!$I36,nEVAL,"EX")=0),0))))</f>
      </c>
      <c r="H36">
        <f>IF(DATOS!$G36&lt;&gt;"EX",0,--(COUNTIFS(nNIA,DATOS!$A36,nCURSO,DATOS!$D36,nESPEC,DATOS!$E36,nASIG,DATOS!$I36,nEVAL,"OR")=0))</f>
      </c>
      <c r="I36">
        <f>IF(DATOS!$I36="","",IFERROR(VLOOKUP(DATOS!$I36,CONFIG_ASIGNATURAS!$B$2:$J$91,9,FALSE()),""))</f>
      </c>
    </row>
    <row r="37">
      <c r="F37">
        <f>IF(DATOS!$A37="","",DATOS!$A37&amp;"|"&amp;DATOS!$D37&amp;"|"&amp;DATOS!$E37&amp;"|"&amp;DATOS!$I37)</f>
      </c>
      <c r="G37">
        <f>IF(DATOS!$A37="",0,IF(CONFIG_METADATA!$B$4&lt;&gt;"OR+EX",--(DATOS!$G37=CONFIG_METADATA!$B$4),IF(DATOS!$G37="EX",1,IF(DATOS!$G37="OR",--(COUNTIFS(nNIA,DATOS!$A37,nCURSO,DATOS!$D37,nESPEC,DATOS!$E37,nASIG,DATOS!$I37,nEVAL,"EX")=0),0))))</f>
      </c>
      <c r="H37">
        <f>IF(DATOS!$G37&lt;&gt;"EX",0,--(COUNTIFS(nNIA,DATOS!$A37,nCURSO,DATOS!$D37,nESPEC,DATOS!$E37,nASIG,DATOS!$I37,nEVAL,"OR")=0))</f>
      </c>
      <c r="I37">
        <f>IF(DATOS!$I37="","",IFERROR(VLOOKUP(DATOS!$I37,CONFIG_ASIGNATURAS!$B$2:$J$91,9,FALSE()),""))</f>
      </c>
    </row>
    <row r="38">
      <c r="F38">
        <f>IF(DATOS!$A38="","",DATOS!$A38&amp;"|"&amp;DATOS!$D38&amp;"|"&amp;DATOS!$E38&amp;"|"&amp;DATOS!$I38)</f>
      </c>
      <c r="G38">
        <f>IF(DATOS!$A38="",0,IF(CONFIG_METADATA!$B$4&lt;&gt;"OR+EX",--(DATOS!$G38=CONFIG_METADATA!$B$4),IF(DATOS!$G38="EX",1,IF(DATOS!$G38="OR",--(COUNTIFS(nNIA,DATOS!$A38,nCURSO,DATOS!$D38,nESPEC,DATOS!$E38,nASIG,DATOS!$I38,nEVAL,"EX")=0),0))))</f>
      </c>
      <c r="H38">
        <f>IF(DATOS!$G38&lt;&gt;"EX",0,--(COUNTIFS(nNIA,DATOS!$A38,nCURSO,DATOS!$D38,nESPEC,DATOS!$E38,nASIG,DATOS!$I38,nEVAL,"OR")=0))</f>
      </c>
      <c r="I38">
        <f>IF(DATOS!$I38="","",IFERROR(VLOOKUP(DATOS!$I38,CONFIG_ASIGNATURAS!$B$2:$J$91,9,FALSE()),""))</f>
      </c>
    </row>
    <row r="39">
      <c r="F39">
        <f>IF(DATOS!$A39="","",DATOS!$A39&amp;"|"&amp;DATOS!$D39&amp;"|"&amp;DATOS!$E39&amp;"|"&amp;DATOS!$I39)</f>
      </c>
      <c r="G39">
        <f>IF(DATOS!$A39="",0,IF(CONFIG_METADATA!$B$4&lt;&gt;"OR+EX",--(DATOS!$G39=CONFIG_METADATA!$B$4),IF(DATOS!$G39="EX",1,IF(DATOS!$G39="OR",--(COUNTIFS(nNIA,DATOS!$A39,nCURSO,DATOS!$D39,nESPEC,DATOS!$E39,nASIG,DATOS!$I39,nEVAL,"EX")=0),0))))</f>
      </c>
      <c r="H39">
        <f>IF(DATOS!$G39&lt;&gt;"EX",0,--(COUNTIFS(nNIA,DATOS!$A39,nCURSO,DATOS!$D39,nESPEC,DATOS!$E39,nASIG,DATOS!$I39,nEVAL,"OR")=0))</f>
      </c>
      <c r="I39">
        <f>IF(DATOS!$I39="","",IFERROR(VLOOKUP(DATOS!$I39,CONFIG_ASIGNATURAS!$B$2:$J$91,9,FALSE()),""))</f>
      </c>
    </row>
    <row r="40">
      <c r="F40">
        <f>IF(DATOS!$A40="","",DATOS!$A40&amp;"|"&amp;DATOS!$D40&amp;"|"&amp;DATOS!$E40&amp;"|"&amp;DATOS!$I40)</f>
      </c>
      <c r="G40">
        <f>IF(DATOS!$A40="",0,IF(CONFIG_METADATA!$B$4&lt;&gt;"OR+EX",--(DATOS!$G40=CONFIG_METADATA!$B$4),IF(DATOS!$G40="EX",1,IF(DATOS!$G40="OR",--(COUNTIFS(nNIA,DATOS!$A40,nCURSO,DATOS!$D40,nESPEC,DATOS!$E40,nASIG,DATOS!$I40,nEVAL,"EX")=0),0))))</f>
      </c>
      <c r="H40">
        <f>IF(DATOS!$G40&lt;&gt;"EX",0,--(COUNTIFS(nNIA,DATOS!$A40,nCURSO,DATOS!$D40,nESPEC,DATOS!$E40,nASIG,DATOS!$I40,nEVAL,"OR")=0))</f>
      </c>
      <c r="I40">
        <f>IF(DATOS!$I40="","",IFERROR(VLOOKUP(DATOS!$I40,CONFIG_ASIGNATURAS!$B$2:$J$91,9,FALSE()),""))</f>
      </c>
    </row>
    <row r="41">
      <c r="F41">
        <f>IF(DATOS!$A41="","",DATOS!$A41&amp;"|"&amp;DATOS!$D41&amp;"|"&amp;DATOS!$E41&amp;"|"&amp;DATOS!$I41)</f>
      </c>
      <c r="G41">
        <f>IF(DATOS!$A41="",0,IF(CONFIG_METADATA!$B$4&lt;&gt;"OR+EX",--(DATOS!$G41=CONFIG_METADATA!$B$4),IF(DATOS!$G41="EX",1,IF(DATOS!$G41="OR",--(COUNTIFS(nNIA,DATOS!$A41,nCURSO,DATOS!$D41,nESPEC,DATOS!$E41,nASIG,DATOS!$I41,nEVAL,"EX")=0),0))))</f>
      </c>
      <c r="H41">
        <f>IF(DATOS!$G41&lt;&gt;"EX",0,--(COUNTIFS(nNIA,DATOS!$A41,nCURSO,DATOS!$D41,nESPEC,DATOS!$E41,nASIG,DATOS!$I41,nEVAL,"OR")=0))</f>
      </c>
      <c r="I41">
        <f>IF(DATOS!$I41="","",IFERROR(VLOOKUP(DATOS!$I41,CONFIG_ASIGNATURAS!$B$2:$J$91,9,FALSE()),""))</f>
      </c>
    </row>
    <row r="42">
      <c r="F42">
        <f>IF(DATOS!$A42="","",DATOS!$A42&amp;"|"&amp;DATOS!$D42&amp;"|"&amp;DATOS!$E42&amp;"|"&amp;DATOS!$I42)</f>
      </c>
      <c r="G42">
        <f>IF(DATOS!$A42="",0,IF(CONFIG_METADATA!$B$4&lt;&gt;"OR+EX",--(DATOS!$G42=CONFIG_METADATA!$B$4),IF(DATOS!$G42="EX",1,IF(DATOS!$G42="OR",--(COUNTIFS(nNIA,DATOS!$A42,nCURSO,DATOS!$D42,nESPEC,DATOS!$E42,nASIG,DATOS!$I42,nEVAL,"EX")=0),0))))</f>
      </c>
      <c r="H42">
        <f>IF(DATOS!$G42&lt;&gt;"EX",0,--(COUNTIFS(nNIA,DATOS!$A42,nCURSO,DATOS!$D42,nESPEC,DATOS!$E42,nASIG,DATOS!$I42,nEVAL,"OR")=0))</f>
      </c>
      <c r="I42">
        <f>IF(DATOS!$I42="","",IFERROR(VLOOKUP(DATOS!$I42,CONFIG_ASIGNATURAS!$B$2:$J$91,9,FALSE()),""))</f>
      </c>
    </row>
    <row r="43">
      <c r="F43">
        <f>IF(DATOS!$A43="","",DATOS!$A43&amp;"|"&amp;DATOS!$D43&amp;"|"&amp;DATOS!$E43&amp;"|"&amp;DATOS!$I43)</f>
      </c>
      <c r="G43">
        <f>IF(DATOS!$A43="",0,IF(CONFIG_METADATA!$B$4&lt;&gt;"OR+EX",--(DATOS!$G43=CONFIG_METADATA!$B$4),IF(DATOS!$G43="EX",1,IF(DATOS!$G43="OR",--(COUNTIFS(nNIA,DATOS!$A43,nCURSO,DATOS!$D43,nESPEC,DATOS!$E43,nASIG,DATOS!$I43,nEVAL,"EX")=0),0))))</f>
      </c>
      <c r="H43">
        <f>IF(DATOS!$G43&lt;&gt;"EX",0,--(COUNTIFS(nNIA,DATOS!$A43,nCURSO,DATOS!$D43,nESPEC,DATOS!$E43,nASIG,DATOS!$I43,nEVAL,"OR")=0))</f>
      </c>
      <c r="I43">
        <f>IF(DATOS!$I43="","",IFERROR(VLOOKUP(DATOS!$I43,CONFIG_ASIGNATURAS!$B$2:$J$91,9,FALSE()),""))</f>
      </c>
    </row>
    <row r="44">
      <c r="F44">
        <f>IF(DATOS!$A44="","",DATOS!$A44&amp;"|"&amp;DATOS!$D44&amp;"|"&amp;DATOS!$E44&amp;"|"&amp;DATOS!$I44)</f>
      </c>
      <c r="G44">
        <f>IF(DATOS!$A44="",0,IF(CONFIG_METADATA!$B$4&lt;&gt;"OR+EX",--(DATOS!$G44=CONFIG_METADATA!$B$4),IF(DATOS!$G44="EX",1,IF(DATOS!$G44="OR",--(COUNTIFS(nNIA,DATOS!$A44,nCURSO,DATOS!$D44,nESPEC,DATOS!$E44,nASIG,DATOS!$I44,nEVAL,"EX")=0),0))))</f>
      </c>
      <c r="H44">
        <f>IF(DATOS!$G44&lt;&gt;"EX",0,--(COUNTIFS(nNIA,DATOS!$A44,nCURSO,DATOS!$D44,nESPEC,DATOS!$E44,nASIG,DATOS!$I44,nEVAL,"OR")=0))</f>
      </c>
      <c r="I44">
        <f>IF(DATOS!$I44="","",IFERROR(VLOOKUP(DATOS!$I44,CONFIG_ASIGNATURAS!$B$2:$J$91,9,FALSE()),""))</f>
      </c>
    </row>
    <row r="45">
      <c r="F45">
        <f>IF(DATOS!$A45="","",DATOS!$A45&amp;"|"&amp;DATOS!$D45&amp;"|"&amp;DATOS!$E45&amp;"|"&amp;DATOS!$I45)</f>
      </c>
      <c r="G45">
        <f>IF(DATOS!$A45="",0,IF(CONFIG_METADATA!$B$4&lt;&gt;"OR+EX",--(DATOS!$G45=CONFIG_METADATA!$B$4),IF(DATOS!$G45="EX",1,IF(DATOS!$G45="OR",--(COUNTIFS(nNIA,DATOS!$A45,nCURSO,DATOS!$D45,nESPEC,DATOS!$E45,nASIG,DATOS!$I45,nEVAL,"EX")=0),0))))</f>
      </c>
      <c r="H45">
        <f>IF(DATOS!$G45&lt;&gt;"EX",0,--(COUNTIFS(nNIA,DATOS!$A45,nCURSO,DATOS!$D45,nESPEC,DATOS!$E45,nASIG,DATOS!$I45,nEVAL,"OR")=0))</f>
      </c>
      <c r="I45">
        <f>IF(DATOS!$I45="","",IFERROR(VLOOKUP(DATOS!$I45,CONFIG_ASIGNATURAS!$B$2:$J$91,9,FALSE()),""))</f>
      </c>
    </row>
    <row r="46">
      <c r="F46">
        <f>IF(DATOS!$A46="","",DATOS!$A46&amp;"|"&amp;DATOS!$D46&amp;"|"&amp;DATOS!$E46&amp;"|"&amp;DATOS!$I46)</f>
      </c>
      <c r="G46">
        <f>IF(DATOS!$A46="",0,IF(CONFIG_METADATA!$B$4&lt;&gt;"OR+EX",--(DATOS!$G46=CONFIG_METADATA!$B$4),IF(DATOS!$G46="EX",1,IF(DATOS!$G46="OR",--(COUNTIFS(nNIA,DATOS!$A46,nCURSO,DATOS!$D46,nESPEC,DATOS!$E46,nASIG,DATOS!$I46,nEVAL,"EX")=0),0))))</f>
      </c>
      <c r="H46">
        <f>IF(DATOS!$G46&lt;&gt;"EX",0,--(COUNTIFS(nNIA,DATOS!$A46,nCURSO,DATOS!$D46,nESPEC,DATOS!$E46,nASIG,DATOS!$I46,nEVAL,"OR")=0))</f>
      </c>
      <c r="I46">
        <f>IF(DATOS!$I46="","",IFERROR(VLOOKUP(DATOS!$I46,CONFIG_ASIGNATURAS!$B$2:$J$91,9,FALSE()),""))</f>
      </c>
    </row>
    <row r="47">
      <c r="F47">
        <f>IF(DATOS!$A47="","",DATOS!$A47&amp;"|"&amp;DATOS!$D47&amp;"|"&amp;DATOS!$E47&amp;"|"&amp;DATOS!$I47)</f>
      </c>
      <c r="G47">
        <f>IF(DATOS!$A47="",0,IF(CONFIG_METADATA!$B$4&lt;&gt;"OR+EX",--(DATOS!$G47=CONFIG_METADATA!$B$4),IF(DATOS!$G47="EX",1,IF(DATOS!$G47="OR",--(COUNTIFS(nNIA,DATOS!$A47,nCURSO,DATOS!$D47,nESPEC,DATOS!$E47,nASIG,DATOS!$I47,nEVAL,"EX")=0),0))))</f>
      </c>
      <c r="H47">
        <f>IF(DATOS!$G47&lt;&gt;"EX",0,--(COUNTIFS(nNIA,DATOS!$A47,nCURSO,DATOS!$D47,nESPEC,DATOS!$E47,nASIG,DATOS!$I47,nEVAL,"OR")=0))</f>
      </c>
      <c r="I47">
        <f>IF(DATOS!$I47="","",IFERROR(VLOOKUP(DATOS!$I47,CONFIG_ASIGNATURAS!$B$2:$J$91,9,FALSE()),""))</f>
      </c>
    </row>
    <row r="48">
      <c r="F48">
        <f>IF(DATOS!$A48="","",DATOS!$A48&amp;"|"&amp;DATOS!$D48&amp;"|"&amp;DATOS!$E48&amp;"|"&amp;DATOS!$I48)</f>
      </c>
      <c r="G48">
        <f>IF(DATOS!$A48="",0,IF(CONFIG_METADATA!$B$4&lt;&gt;"OR+EX",--(DATOS!$G48=CONFIG_METADATA!$B$4),IF(DATOS!$G48="EX",1,IF(DATOS!$G48="OR",--(COUNTIFS(nNIA,DATOS!$A48,nCURSO,DATOS!$D48,nESPEC,DATOS!$E48,nASIG,DATOS!$I48,nEVAL,"EX")=0),0))))</f>
      </c>
      <c r="H48">
        <f>IF(DATOS!$G48&lt;&gt;"EX",0,--(COUNTIFS(nNIA,DATOS!$A48,nCURSO,DATOS!$D48,nESPEC,DATOS!$E48,nASIG,DATOS!$I48,nEVAL,"OR")=0))</f>
      </c>
      <c r="I48">
        <f>IF(DATOS!$I48="","",IFERROR(VLOOKUP(DATOS!$I48,CONFIG_ASIGNATURAS!$B$2:$J$91,9,FALSE()),""))</f>
      </c>
    </row>
    <row r="49">
      <c r="F49">
        <f>IF(DATOS!$A49="","",DATOS!$A49&amp;"|"&amp;DATOS!$D49&amp;"|"&amp;DATOS!$E49&amp;"|"&amp;DATOS!$I49)</f>
      </c>
      <c r="G49">
        <f>IF(DATOS!$A49="",0,IF(CONFIG_METADATA!$B$4&lt;&gt;"OR+EX",--(DATOS!$G49=CONFIG_METADATA!$B$4),IF(DATOS!$G49="EX",1,IF(DATOS!$G49="OR",--(COUNTIFS(nNIA,DATOS!$A49,nCURSO,DATOS!$D49,nESPEC,DATOS!$E49,nASIG,DATOS!$I49,nEVAL,"EX")=0),0))))</f>
      </c>
      <c r="H49">
        <f>IF(DATOS!$G49&lt;&gt;"EX",0,--(COUNTIFS(nNIA,DATOS!$A49,nCURSO,DATOS!$D49,nESPEC,DATOS!$E49,nASIG,DATOS!$I49,nEVAL,"OR")=0))</f>
      </c>
      <c r="I49">
        <f>IF(DATOS!$I49="","",IFERROR(VLOOKUP(DATOS!$I49,CONFIG_ASIGNATURAS!$B$2:$J$91,9,FALSE()),""))</f>
      </c>
    </row>
    <row r="50">
      <c r="F50">
        <f>IF(DATOS!$A50="","",DATOS!$A50&amp;"|"&amp;DATOS!$D50&amp;"|"&amp;DATOS!$E50&amp;"|"&amp;DATOS!$I50)</f>
      </c>
      <c r="G50">
        <f>IF(DATOS!$A50="",0,IF(CONFIG_METADATA!$B$4&lt;&gt;"OR+EX",--(DATOS!$G50=CONFIG_METADATA!$B$4),IF(DATOS!$G50="EX",1,IF(DATOS!$G50="OR",--(COUNTIFS(nNIA,DATOS!$A50,nCURSO,DATOS!$D50,nESPEC,DATOS!$E50,nASIG,DATOS!$I50,nEVAL,"EX")=0),0))))</f>
      </c>
      <c r="H50">
        <f>IF(DATOS!$G50&lt;&gt;"EX",0,--(COUNTIFS(nNIA,DATOS!$A50,nCURSO,DATOS!$D50,nESPEC,DATOS!$E50,nASIG,DATOS!$I50,nEVAL,"OR")=0))</f>
      </c>
      <c r="I50">
        <f>IF(DATOS!$I50="","",IFERROR(VLOOKUP(DATOS!$I50,CONFIG_ASIGNATURAS!$B$2:$J$91,9,FALSE()),""))</f>
      </c>
    </row>
    <row r="51">
      <c r="F51">
        <f>IF(DATOS!$A51="","",DATOS!$A51&amp;"|"&amp;DATOS!$D51&amp;"|"&amp;DATOS!$E51&amp;"|"&amp;DATOS!$I51)</f>
      </c>
      <c r="G51">
        <f>IF(DATOS!$A51="",0,IF(CONFIG_METADATA!$B$4&lt;&gt;"OR+EX",--(DATOS!$G51=CONFIG_METADATA!$B$4),IF(DATOS!$G51="EX",1,IF(DATOS!$G51="OR",--(COUNTIFS(nNIA,DATOS!$A51,nCURSO,DATOS!$D51,nESPEC,DATOS!$E51,nASIG,DATOS!$I51,nEVAL,"EX")=0),0))))</f>
      </c>
      <c r="H51">
        <f>IF(DATOS!$G51&lt;&gt;"EX",0,--(COUNTIFS(nNIA,DATOS!$A51,nCURSO,DATOS!$D51,nESPEC,DATOS!$E51,nASIG,DATOS!$I51,nEVAL,"OR")=0))</f>
      </c>
      <c r="I51">
        <f>IF(DATOS!$I51="","",IFERROR(VLOOKUP(DATOS!$I51,CONFIG_ASIGNATURAS!$B$2:$J$91,9,FALSE()),""))</f>
      </c>
    </row>
    <row r="52">
      <c r="F52">
        <f>IF(DATOS!$A52="","",DATOS!$A52&amp;"|"&amp;DATOS!$D52&amp;"|"&amp;DATOS!$E52&amp;"|"&amp;DATOS!$I52)</f>
      </c>
      <c r="G52">
        <f>IF(DATOS!$A52="",0,IF(CONFIG_METADATA!$B$4&lt;&gt;"OR+EX",--(DATOS!$G52=CONFIG_METADATA!$B$4),IF(DATOS!$G52="EX",1,IF(DATOS!$G52="OR",--(COUNTIFS(nNIA,DATOS!$A52,nCURSO,DATOS!$D52,nESPEC,DATOS!$E52,nASIG,DATOS!$I52,nEVAL,"EX")=0),0))))</f>
      </c>
      <c r="H52">
        <f>IF(DATOS!$G52&lt;&gt;"EX",0,--(COUNTIFS(nNIA,DATOS!$A52,nCURSO,DATOS!$D52,nESPEC,DATOS!$E52,nASIG,DATOS!$I52,nEVAL,"OR")=0))</f>
      </c>
      <c r="I52">
        <f>IF(DATOS!$I52="","",IFERROR(VLOOKUP(DATOS!$I52,CONFIG_ASIGNATURAS!$B$2:$J$91,9,FALSE()),""))</f>
      </c>
    </row>
    <row r="53">
      <c r="F53">
        <f>IF(DATOS!$A53="","",DATOS!$A53&amp;"|"&amp;DATOS!$D53&amp;"|"&amp;DATOS!$E53&amp;"|"&amp;DATOS!$I53)</f>
      </c>
      <c r="G53">
        <f>IF(DATOS!$A53="",0,IF(CONFIG_METADATA!$B$4&lt;&gt;"OR+EX",--(DATOS!$G53=CONFIG_METADATA!$B$4),IF(DATOS!$G53="EX",1,IF(DATOS!$G53="OR",--(COUNTIFS(nNIA,DATOS!$A53,nCURSO,DATOS!$D53,nESPEC,DATOS!$E53,nASIG,DATOS!$I53,nEVAL,"EX")=0),0))))</f>
      </c>
      <c r="H53">
        <f>IF(DATOS!$G53&lt;&gt;"EX",0,--(COUNTIFS(nNIA,DATOS!$A53,nCURSO,DATOS!$D53,nESPEC,DATOS!$E53,nASIG,DATOS!$I53,nEVAL,"OR")=0))</f>
      </c>
      <c r="I53">
        <f>IF(DATOS!$I53="","",IFERROR(VLOOKUP(DATOS!$I53,CONFIG_ASIGNATURAS!$B$2:$J$91,9,FALSE()),""))</f>
      </c>
    </row>
    <row r="54">
      <c r="F54">
        <f>IF(DATOS!$A54="","",DATOS!$A54&amp;"|"&amp;DATOS!$D54&amp;"|"&amp;DATOS!$E54&amp;"|"&amp;DATOS!$I54)</f>
      </c>
      <c r="G54">
        <f>IF(DATOS!$A54="",0,IF(CONFIG_METADATA!$B$4&lt;&gt;"OR+EX",--(DATOS!$G54=CONFIG_METADATA!$B$4),IF(DATOS!$G54="EX",1,IF(DATOS!$G54="OR",--(COUNTIFS(nNIA,DATOS!$A54,nCURSO,DATOS!$D54,nESPEC,DATOS!$E54,nASIG,DATOS!$I54,nEVAL,"EX")=0),0))))</f>
      </c>
      <c r="H54">
        <f>IF(DATOS!$G54&lt;&gt;"EX",0,--(COUNTIFS(nNIA,DATOS!$A54,nCURSO,DATOS!$D54,nESPEC,DATOS!$E54,nASIG,DATOS!$I54,nEVAL,"OR")=0))</f>
      </c>
      <c r="I54">
        <f>IF(DATOS!$I54="","",IFERROR(VLOOKUP(DATOS!$I54,CONFIG_ASIGNATURAS!$B$2:$J$91,9,FALSE()),""))</f>
      </c>
    </row>
    <row r="55">
      <c r="F55">
        <f>IF(DATOS!$A55="","",DATOS!$A55&amp;"|"&amp;DATOS!$D55&amp;"|"&amp;DATOS!$E55&amp;"|"&amp;DATOS!$I55)</f>
      </c>
      <c r="G55">
        <f>IF(DATOS!$A55="",0,IF(CONFIG_METADATA!$B$4&lt;&gt;"OR+EX",--(DATOS!$G55=CONFIG_METADATA!$B$4),IF(DATOS!$G55="EX",1,IF(DATOS!$G55="OR",--(COUNTIFS(nNIA,DATOS!$A55,nCURSO,DATOS!$D55,nESPEC,DATOS!$E55,nASIG,DATOS!$I55,nEVAL,"EX")=0),0))))</f>
      </c>
      <c r="H55">
        <f>IF(DATOS!$G55&lt;&gt;"EX",0,--(COUNTIFS(nNIA,DATOS!$A55,nCURSO,DATOS!$D55,nESPEC,DATOS!$E55,nASIG,DATOS!$I55,nEVAL,"OR")=0))</f>
      </c>
      <c r="I55">
        <f>IF(DATOS!$I55="","",IFERROR(VLOOKUP(DATOS!$I55,CONFIG_ASIGNATURAS!$B$2:$J$91,9,FALSE()),""))</f>
      </c>
    </row>
    <row r="56">
      <c r="F56">
        <f>IF(DATOS!$A56="","",DATOS!$A56&amp;"|"&amp;DATOS!$D56&amp;"|"&amp;DATOS!$E56&amp;"|"&amp;DATOS!$I56)</f>
      </c>
      <c r="G56">
        <f>IF(DATOS!$A56="",0,IF(CONFIG_METADATA!$B$4&lt;&gt;"OR+EX",--(DATOS!$G56=CONFIG_METADATA!$B$4),IF(DATOS!$G56="EX",1,IF(DATOS!$G56="OR",--(COUNTIFS(nNIA,DATOS!$A56,nCURSO,DATOS!$D56,nESPEC,DATOS!$E56,nASIG,DATOS!$I56,nEVAL,"EX")=0),0))))</f>
      </c>
      <c r="H56">
        <f>IF(DATOS!$G56&lt;&gt;"EX",0,--(COUNTIFS(nNIA,DATOS!$A56,nCURSO,DATOS!$D56,nESPEC,DATOS!$E56,nASIG,DATOS!$I56,nEVAL,"OR")=0))</f>
      </c>
      <c r="I56">
        <f>IF(DATOS!$I56="","",IFERROR(VLOOKUP(DATOS!$I56,CONFIG_ASIGNATURAS!$B$2:$J$91,9,FALSE()),""))</f>
      </c>
    </row>
    <row r="57">
      <c r="F57">
        <f>IF(DATOS!$A57="","",DATOS!$A57&amp;"|"&amp;DATOS!$D57&amp;"|"&amp;DATOS!$E57&amp;"|"&amp;DATOS!$I57)</f>
      </c>
      <c r="G57">
        <f>IF(DATOS!$A57="",0,IF(CONFIG_METADATA!$B$4&lt;&gt;"OR+EX",--(DATOS!$G57=CONFIG_METADATA!$B$4),IF(DATOS!$G57="EX",1,IF(DATOS!$G57="OR",--(COUNTIFS(nNIA,DATOS!$A57,nCURSO,DATOS!$D57,nESPEC,DATOS!$E57,nASIG,DATOS!$I57,nEVAL,"EX")=0),0))))</f>
      </c>
      <c r="H57">
        <f>IF(DATOS!$G57&lt;&gt;"EX",0,--(COUNTIFS(nNIA,DATOS!$A57,nCURSO,DATOS!$D57,nESPEC,DATOS!$E57,nASIG,DATOS!$I57,nEVAL,"OR")=0))</f>
      </c>
      <c r="I57">
        <f>IF(DATOS!$I57="","",IFERROR(VLOOKUP(DATOS!$I57,CONFIG_ASIGNATURAS!$B$2:$J$91,9,FALSE()),""))</f>
      </c>
    </row>
    <row r="58">
      <c r="F58">
        <f>IF(DATOS!$A58="","",DATOS!$A58&amp;"|"&amp;DATOS!$D58&amp;"|"&amp;DATOS!$E58&amp;"|"&amp;DATOS!$I58)</f>
      </c>
      <c r="G58">
        <f>IF(DATOS!$A58="",0,IF(CONFIG_METADATA!$B$4&lt;&gt;"OR+EX",--(DATOS!$G58=CONFIG_METADATA!$B$4),IF(DATOS!$G58="EX",1,IF(DATOS!$G58="OR",--(COUNTIFS(nNIA,DATOS!$A58,nCURSO,DATOS!$D58,nESPEC,DATOS!$E58,nASIG,DATOS!$I58,nEVAL,"EX")=0),0))))</f>
      </c>
      <c r="H58">
        <f>IF(DATOS!$G58&lt;&gt;"EX",0,--(COUNTIFS(nNIA,DATOS!$A58,nCURSO,DATOS!$D58,nESPEC,DATOS!$E58,nASIG,DATOS!$I58,nEVAL,"OR")=0))</f>
      </c>
      <c r="I58">
        <f>IF(DATOS!$I58="","",IFERROR(VLOOKUP(DATOS!$I58,CONFIG_ASIGNATURAS!$B$2:$J$91,9,FALSE()),""))</f>
      </c>
    </row>
    <row r="59">
      <c r="F59">
        <f>IF(DATOS!$A59="","",DATOS!$A59&amp;"|"&amp;DATOS!$D59&amp;"|"&amp;DATOS!$E59&amp;"|"&amp;DATOS!$I59)</f>
      </c>
      <c r="G59">
        <f>IF(DATOS!$A59="",0,IF(CONFIG_METADATA!$B$4&lt;&gt;"OR+EX",--(DATOS!$G59=CONFIG_METADATA!$B$4),IF(DATOS!$G59="EX",1,IF(DATOS!$G59="OR",--(COUNTIFS(nNIA,DATOS!$A59,nCURSO,DATOS!$D59,nESPEC,DATOS!$E59,nASIG,DATOS!$I59,nEVAL,"EX")=0),0))))</f>
      </c>
      <c r="H59">
        <f>IF(DATOS!$G59&lt;&gt;"EX",0,--(COUNTIFS(nNIA,DATOS!$A59,nCURSO,DATOS!$D59,nESPEC,DATOS!$E59,nASIG,DATOS!$I59,nEVAL,"OR")=0))</f>
      </c>
      <c r="I59">
        <f>IF(DATOS!$I59="","",IFERROR(VLOOKUP(DATOS!$I59,CONFIG_ASIGNATURAS!$B$2:$J$91,9,FALSE()),""))</f>
      </c>
    </row>
    <row r="60">
      <c r="F60">
        <f>IF(DATOS!$A60="","",DATOS!$A60&amp;"|"&amp;DATOS!$D60&amp;"|"&amp;DATOS!$E60&amp;"|"&amp;DATOS!$I60)</f>
      </c>
      <c r="G60">
        <f>IF(DATOS!$A60="",0,IF(CONFIG_METADATA!$B$4&lt;&gt;"OR+EX",--(DATOS!$G60=CONFIG_METADATA!$B$4),IF(DATOS!$G60="EX",1,IF(DATOS!$G60="OR",--(COUNTIFS(nNIA,DATOS!$A60,nCURSO,DATOS!$D60,nESPEC,DATOS!$E60,nASIG,DATOS!$I60,nEVAL,"EX")=0),0))))</f>
      </c>
      <c r="H60">
        <f>IF(DATOS!$G60&lt;&gt;"EX",0,--(COUNTIFS(nNIA,DATOS!$A60,nCURSO,DATOS!$D60,nESPEC,DATOS!$E60,nASIG,DATOS!$I60,nEVAL,"OR")=0))</f>
      </c>
      <c r="I60">
        <f>IF(DATOS!$I60="","",IFERROR(VLOOKUP(DATOS!$I60,CONFIG_ASIGNATURAS!$B$2:$J$91,9,FALSE()),""))</f>
      </c>
    </row>
    <row r="61">
      <c r="F61">
        <f>IF(DATOS!$A61="","",DATOS!$A61&amp;"|"&amp;DATOS!$D61&amp;"|"&amp;DATOS!$E61&amp;"|"&amp;DATOS!$I61)</f>
      </c>
      <c r="G61">
        <f>IF(DATOS!$A61="",0,IF(CONFIG_METADATA!$B$4&lt;&gt;"OR+EX",--(DATOS!$G61=CONFIG_METADATA!$B$4),IF(DATOS!$G61="EX",1,IF(DATOS!$G61="OR",--(COUNTIFS(nNIA,DATOS!$A61,nCURSO,DATOS!$D61,nESPEC,DATOS!$E61,nASIG,DATOS!$I61,nEVAL,"EX")=0),0))))</f>
      </c>
      <c r="H61">
        <f>IF(DATOS!$G61&lt;&gt;"EX",0,--(COUNTIFS(nNIA,DATOS!$A61,nCURSO,DATOS!$D61,nESPEC,DATOS!$E61,nASIG,DATOS!$I61,nEVAL,"OR")=0))</f>
      </c>
      <c r="I61">
        <f>IF(DATOS!$I61="","",IFERROR(VLOOKUP(DATOS!$I61,CONFIG_ASIGNATURAS!$B$2:$J$91,9,FALSE()),""))</f>
      </c>
    </row>
    <row r="62">
      <c r="F62">
        <f>IF(DATOS!$A62="","",DATOS!$A62&amp;"|"&amp;DATOS!$D62&amp;"|"&amp;DATOS!$E62&amp;"|"&amp;DATOS!$I62)</f>
      </c>
      <c r="G62">
        <f>IF(DATOS!$A62="",0,IF(CONFIG_METADATA!$B$4&lt;&gt;"OR+EX",--(DATOS!$G62=CONFIG_METADATA!$B$4),IF(DATOS!$G62="EX",1,IF(DATOS!$G62="OR",--(COUNTIFS(nNIA,DATOS!$A62,nCURSO,DATOS!$D62,nESPEC,DATOS!$E62,nASIG,DATOS!$I62,nEVAL,"EX")=0),0))))</f>
      </c>
      <c r="H62">
        <f>IF(DATOS!$G62&lt;&gt;"EX",0,--(COUNTIFS(nNIA,DATOS!$A62,nCURSO,DATOS!$D62,nESPEC,DATOS!$E62,nASIG,DATOS!$I62,nEVAL,"OR")=0))</f>
      </c>
      <c r="I62">
        <f>IF(DATOS!$I62="","",IFERROR(VLOOKUP(DATOS!$I62,CONFIG_ASIGNATURAS!$B$2:$J$91,9,FALSE()),""))</f>
      </c>
    </row>
    <row r="63">
      <c r="F63">
        <f>IF(DATOS!$A63="","",DATOS!$A63&amp;"|"&amp;DATOS!$D63&amp;"|"&amp;DATOS!$E63&amp;"|"&amp;DATOS!$I63)</f>
      </c>
      <c r="G63">
        <f>IF(DATOS!$A63="",0,IF(CONFIG_METADATA!$B$4&lt;&gt;"OR+EX",--(DATOS!$G63=CONFIG_METADATA!$B$4),IF(DATOS!$G63="EX",1,IF(DATOS!$G63="OR",--(COUNTIFS(nNIA,DATOS!$A63,nCURSO,DATOS!$D63,nESPEC,DATOS!$E63,nASIG,DATOS!$I63,nEVAL,"EX")=0),0))))</f>
      </c>
      <c r="H63">
        <f>IF(DATOS!$G63&lt;&gt;"EX",0,--(COUNTIFS(nNIA,DATOS!$A63,nCURSO,DATOS!$D63,nESPEC,DATOS!$E63,nASIG,DATOS!$I63,nEVAL,"OR")=0))</f>
      </c>
      <c r="I63">
        <f>IF(DATOS!$I63="","",IFERROR(VLOOKUP(DATOS!$I63,CONFIG_ASIGNATURAS!$B$2:$J$91,9,FALSE()),""))</f>
      </c>
    </row>
    <row r="64">
      <c r="F64">
        <f>IF(DATOS!$A64="","",DATOS!$A64&amp;"|"&amp;DATOS!$D64&amp;"|"&amp;DATOS!$E64&amp;"|"&amp;DATOS!$I64)</f>
      </c>
      <c r="G64">
        <f>IF(DATOS!$A64="",0,IF(CONFIG_METADATA!$B$4&lt;&gt;"OR+EX",--(DATOS!$G64=CONFIG_METADATA!$B$4),IF(DATOS!$G64="EX",1,IF(DATOS!$G64="OR",--(COUNTIFS(nNIA,DATOS!$A64,nCURSO,DATOS!$D64,nESPEC,DATOS!$E64,nASIG,DATOS!$I64,nEVAL,"EX")=0),0))))</f>
      </c>
      <c r="H64">
        <f>IF(DATOS!$G64&lt;&gt;"EX",0,--(COUNTIFS(nNIA,DATOS!$A64,nCURSO,DATOS!$D64,nESPEC,DATOS!$E64,nASIG,DATOS!$I64,nEVAL,"OR")=0))</f>
      </c>
      <c r="I64">
        <f>IF(DATOS!$I64="","",IFERROR(VLOOKUP(DATOS!$I64,CONFIG_ASIGNATURAS!$B$2:$J$91,9,FALSE()),""))</f>
      </c>
    </row>
    <row r="65">
      <c r="F65">
        <f>IF(DATOS!$A65="","",DATOS!$A65&amp;"|"&amp;DATOS!$D65&amp;"|"&amp;DATOS!$E65&amp;"|"&amp;DATOS!$I65)</f>
      </c>
      <c r="G65">
        <f>IF(DATOS!$A65="",0,IF(CONFIG_METADATA!$B$4&lt;&gt;"OR+EX",--(DATOS!$G65=CONFIG_METADATA!$B$4),IF(DATOS!$G65="EX",1,IF(DATOS!$G65="OR",--(COUNTIFS(nNIA,DATOS!$A65,nCURSO,DATOS!$D65,nESPEC,DATOS!$E65,nASIG,DATOS!$I65,nEVAL,"EX")=0),0))))</f>
      </c>
      <c r="H65">
        <f>IF(DATOS!$G65&lt;&gt;"EX",0,--(COUNTIFS(nNIA,DATOS!$A65,nCURSO,DATOS!$D65,nESPEC,DATOS!$E65,nASIG,DATOS!$I65,nEVAL,"OR")=0))</f>
      </c>
      <c r="I65">
        <f>IF(DATOS!$I65="","",IFERROR(VLOOKUP(DATOS!$I65,CONFIG_ASIGNATURAS!$B$2:$J$91,9,FALSE()),""))</f>
      </c>
    </row>
    <row r="66">
      <c r="F66">
        <f>IF(DATOS!$A66="","",DATOS!$A66&amp;"|"&amp;DATOS!$D66&amp;"|"&amp;DATOS!$E66&amp;"|"&amp;DATOS!$I66)</f>
      </c>
      <c r="G66">
        <f>IF(DATOS!$A66="",0,IF(CONFIG_METADATA!$B$4&lt;&gt;"OR+EX",--(DATOS!$G66=CONFIG_METADATA!$B$4),IF(DATOS!$G66="EX",1,IF(DATOS!$G66="OR",--(COUNTIFS(nNIA,DATOS!$A66,nCURSO,DATOS!$D66,nESPEC,DATOS!$E66,nASIG,DATOS!$I66,nEVAL,"EX")=0),0))))</f>
      </c>
      <c r="H66">
        <f>IF(DATOS!$G66&lt;&gt;"EX",0,--(COUNTIFS(nNIA,DATOS!$A66,nCURSO,DATOS!$D66,nESPEC,DATOS!$E66,nASIG,DATOS!$I66,nEVAL,"OR")=0))</f>
      </c>
      <c r="I66">
        <f>IF(DATOS!$I66="","",IFERROR(VLOOKUP(DATOS!$I66,CONFIG_ASIGNATURAS!$B$2:$J$91,9,FALSE()),""))</f>
      </c>
    </row>
    <row r="67">
      <c r="F67">
        <f>IF(DATOS!$A67="","",DATOS!$A67&amp;"|"&amp;DATOS!$D67&amp;"|"&amp;DATOS!$E67&amp;"|"&amp;DATOS!$I67)</f>
      </c>
      <c r="G67">
        <f>IF(DATOS!$A67="",0,IF(CONFIG_METADATA!$B$4&lt;&gt;"OR+EX",--(DATOS!$G67=CONFIG_METADATA!$B$4),IF(DATOS!$G67="EX",1,IF(DATOS!$G67="OR",--(COUNTIFS(nNIA,DATOS!$A67,nCURSO,DATOS!$D67,nESPEC,DATOS!$E67,nASIG,DATOS!$I67,nEVAL,"EX")=0),0))))</f>
      </c>
      <c r="H67">
        <f>IF(DATOS!$G67&lt;&gt;"EX",0,--(COUNTIFS(nNIA,DATOS!$A67,nCURSO,DATOS!$D67,nESPEC,DATOS!$E67,nASIG,DATOS!$I67,nEVAL,"OR")=0))</f>
      </c>
      <c r="I67">
        <f>IF(DATOS!$I67="","",IFERROR(VLOOKUP(DATOS!$I67,CONFIG_ASIGNATURAS!$B$2:$J$91,9,FALSE()),""))</f>
      </c>
    </row>
    <row r="68">
      <c r="F68">
        <f>IF(DATOS!$A68="","",DATOS!$A68&amp;"|"&amp;DATOS!$D68&amp;"|"&amp;DATOS!$E68&amp;"|"&amp;DATOS!$I68)</f>
      </c>
      <c r="G68">
        <f>IF(DATOS!$A68="",0,IF(CONFIG_METADATA!$B$4&lt;&gt;"OR+EX",--(DATOS!$G68=CONFIG_METADATA!$B$4),IF(DATOS!$G68="EX",1,IF(DATOS!$G68="OR",--(COUNTIFS(nNIA,DATOS!$A68,nCURSO,DATOS!$D68,nESPEC,DATOS!$E68,nASIG,DATOS!$I68,nEVAL,"EX")=0),0))))</f>
      </c>
      <c r="H68">
        <f>IF(DATOS!$G68&lt;&gt;"EX",0,--(COUNTIFS(nNIA,DATOS!$A68,nCURSO,DATOS!$D68,nESPEC,DATOS!$E68,nASIG,DATOS!$I68,nEVAL,"OR")=0))</f>
      </c>
      <c r="I68">
        <f>IF(DATOS!$I68="","",IFERROR(VLOOKUP(DATOS!$I68,CONFIG_ASIGNATURAS!$B$2:$J$91,9,FALSE()),""))</f>
      </c>
    </row>
    <row r="69">
      <c r="F69">
        <f>IF(DATOS!$A69="","",DATOS!$A69&amp;"|"&amp;DATOS!$D69&amp;"|"&amp;DATOS!$E69&amp;"|"&amp;DATOS!$I69)</f>
      </c>
      <c r="G69">
        <f>IF(DATOS!$A69="",0,IF(CONFIG_METADATA!$B$4&lt;&gt;"OR+EX",--(DATOS!$G69=CONFIG_METADATA!$B$4),IF(DATOS!$G69="EX",1,IF(DATOS!$G69="OR",--(COUNTIFS(nNIA,DATOS!$A69,nCURSO,DATOS!$D69,nESPEC,DATOS!$E69,nASIG,DATOS!$I69,nEVAL,"EX")=0),0))))</f>
      </c>
      <c r="H69">
        <f>IF(DATOS!$G69&lt;&gt;"EX",0,--(COUNTIFS(nNIA,DATOS!$A69,nCURSO,DATOS!$D69,nESPEC,DATOS!$E69,nASIG,DATOS!$I69,nEVAL,"OR")=0))</f>
      </c>
      <c r="I69">
        <f>IF(DATOS!$I69="","",IFERROR(VLOOKUP(DATOS!$I69,CONFIG_ASIGNATURAS!$B$2:$J$91,9,FALSE()),""))</f>
      </c>
    </row>
    <row r="70">
      <c r="F70">
        <f>IF(DATOS!$A70="","",DATOS!$A70&amp;"|"&amp;DATOS!$D70&amp;"|"&amp;DATOS!$E70&amp;"|"&amp;DATOS!$I70)</f>
      </c>
      <c r="G70">
        <f>IF(DATOS!$A70="",0,IF(CONFIG_METADATA!$B$4&lt;&gt;"OR+EX",--(DATOS!$G70=CONFIG_METADATA!$B$4),IF(DATOS!$G70="EX",1,IF(DATOS!$G70="OR",--(COUNTIFS(nNIA,DATOS!$A70,nCURSO,DATOS!$D70,nESPEC,DATOS!$E70,nASIG,DATOS!$I70,nEVAL,"EX")=0),0))))</f>
      </c>
      <c r="H70">
        <f>IF(DATOS!$G70&lt;&gt;"EX",0,--(COUNTIFS(nNIA,DATOS!$A70,nCURSO,DATOS!$D70,nESPEC,DATOS!$E70,nASIG,DATOS!$I70,nEVAL,"OR")=0))</f>
      </c>
      <c r="I70">
        <f>IF(DATOS!$I70="","",IFERROR(VLOOKUP(DATOS!$I70,CONFIG_ASIGNATURAS!$B$2:$J$91,9,FALSE()),""))</f>
      </c>
    </row>
    <row r="71">
      <c r="F71">
        <f>IF(DATOS!$A71="","",DATOS!$A71&amp;"|"&amp;DATOS!$D71&amp;"|"&amp;DATOS!$E71&amp;"|"&amp;DATOS!$I71)</f>
      </c>
      <c r="G71">
        <f>IF(DATOS!$A71="",0,IF(CONFIG_METADATA!$B$4&lt;&gt;"OR+EX",--(DATOS!$G71=CONFIG_METADATA!$B$4),IF(DATOS!$G71="EX",1,IF(DATOS!$G71="OR",--(COUNTIFS(nNIA,DATOS!$A71,nCURSO,DATOS!$D71,nESPEC,DATOS!$E71,nASIG,DATOS!$I71,nEVAL,"EX")=0),0))))</f>
      </c>
      <c r="H71">
        <f>IF(DATOS!$G71&lt;&gt;"EX",0,--(COUNTIFS(nNIA,DATOS!$A71,nCURSO,DATOS!$D71,nESPEC,DATOS!$E71,nASIG,DATOS!$I71,nEVAL,"OR")=0))</f>
      </c>
      <c r="I71">
        <f>IF(DATOS!$I71="","",IFERROR(VLOOKUP(DATOS!$I71,CONFIG_ASIGNATURAS!$B$2:$J$91,9,FALSE()),""))</f>
      </c>
    </row>
    <row r="72">
      <c r="F72">
        <f>IF(DATOS!$A72="","",DATOS!$A72&amp;"|"&amp;DATOS!$D72&amp;"|"&amp;DATOS!$E72&amp;"|"&amp;DATOS!$I72)</f>
      </c>
      <c r="G72">
        <f>IF(DATOS!$A72="",0,IF(CONFIG_METADATA!$B$4&lt;&gt;"OR+EX",--(DATOS!$G72=CONFIG_METADATA!$B$4),IF(DATOS!$G72="EX",1,IF(DATOS!$G72="OR",--(COUNTIFS(nNIA,DATOS!$A72,nCURSO,DATOS!$D72,nESPEC,DATOS!$E72,nASIG,DATOS!$I72,nEVAL,"EX")=0),0))))</f>
      </c>
      <c r="H72">
        <f>IF(DATOS!$G72&lt;&gt;"EX",0,--(COUNTIFS(nNIA,DATOS!$A72,nCURSO,DATOS!$D72,nESPEC,DATOS!$E72,nASIG,DATOS!$I72,nEVAL,"OR")=0))</f>
      </c>
      <c r="I72">
        <f>IF(DATOS!$I72="","",IFERROR(VLOOKUP(DATOS!$I72,CONFIG_ASIGNATURAS!$B$2:$J$91,9,FALSE()),""))</f>
      </c>
    </row>
    <row r="73">
      <c r="F73">
        <f>IF(DATOS!$A73="","",DATOS!$A73&amp;"|"&amp;DATOS!$D73&amp;"|"&amp;DATOS!$E73&amp;"|"&amp;DATOS!$I73)</f>
      </c>
      <c r="G73">
        <f>IF(DATOS!$A73="",0,IF(CONFIG_METADATA!$B$4&lt;&gt;"OR+EX",--(DATOS!$G73=CONFIG_METADATA!$B$4),IF(DATOS!$G73="EX",1,IF(DATOS!$G73="OR",--(COUNTIFS(nNIA,DATOS!$A73,nCURSO,DATOS!$D73,nESPEC,DATOS!$E73,nASIG,DATOS!$I73,nEVAL,"EX")=0),0))))</f>
      </c>
      <c r="H73">
        <f>IF(DATOS!$G73&lt;&gt;"EX",0,--(COUNTIFS(nNIA,DATOS!$A73,nCURSO,DATOS!$D73,nESPEC,DATOS!$E73,nASIG,DATOS!$I73,nEVAL,"OR")=0))</f>
      </c>
      <c r="I73">
        <f>IF(DATOS!$I73="","",IFERROR(VLOOKUP(DATOS!$I73,CONFIG_ASIGNATURAS!$B$2:$J$91,9,FALSE()),""))</f>
      </c>
    </row>
    <row r="74">
      <c r="F74">
        <f>IF(DATOS!$A74="","",DATOS!$A74&amp;"|"&amp;DATOS!$D74&amp;"|"&amp;DATOS!$E74&amp;"|"&amp;DATOS!$I74)</f>
      </c>
      <c r="G74">
        <f>IF(DATOS!$A74="",0,IF(CONFIG_METADATA!$B$4&lt;&gt;"OR+EX",--(DATOS!$G74=CONFIG_METADATA!$B$4),IF(DATOS!$G74="EX",1,IF(DATOS!$G74="OR",--(COUNTIFS(nNIA,DATOS!$A74,nCURSO,DATOS!$D74,nESPEC,DATOS!$E74,nASIG,DATOS!$I74,nEVAL,"EX")=0),0))))</f>
      </c>
      <c r="H74">
        <f>IF(DATOS!$G74&lt;&gt;"EX",0,--(COUNTIFS(nNIA,DATOS!$A74,nCURSO,DATOS!$D74,nESPEC,DATOS!$E74,nASIG,DATOS!$I74,nEVAL,"OR")=0))</f>
      </c>
      <c r="I74">
        <f>IF(DATOS!$I74="","",IFERROR(VLOOKUP(DATOS!$I74,CONFIG_ASIGNATURAS!$B$2:$J$91,9,FALSE()),""))</f>
      </c>
    </row>
    <row r="75">
      <c r="F75">
        <f>IF(DATOS!$A75="","",DATOS!$A75&amp;"|"&amp;DATOS!$D75&amp;"|"&amp;DATOS!$E75&amp;"|"&amp;DATOS!$I75)</f>
      </c>
      <c r="G75">
        <f>IF(DATOS!$A75="",0,IF(CONFIG_METADATA!$B$4&lt;&gt;"OR+EX",--(DATOS!$G75=CONFIG_METADATA!$B$4),IF(DATOS!$G75="EX",1,IF(DATOS!$G75="OR",--(COUNTIFS(nNIA,DATOS!$A75,nCURSO,DATOS!$D75,nESPEC,DATOS!$E75,nASIG,DATOS!$I75,nEVAL,"EX")=0),0))))</f>
      </c>
      <c r="H75">
        <f>IF(DATOS!$G75&lt;&gt;"EX",0,--(COUNTIFS(nNIA,DATOS!$A75,nCURSO,DATOS!$D75,nESPEC,DATOS!$E75,nASIG,DATOS!$I75,nEVAL,"OR")=0))</f>
      </c>
      <c r="I75">
        <f>IF(DATOS!$I75="","",IFERROR(VLOOKUP(DATOS!$I75,CONFIG_ASIGNATURAS!$B$2:$J$91,9,FALSE()),""))</f>
      </c>
    </row>
    <row r="76">
      <c r="F76">
        <f>IF(DATOS!$A76="","",DATOS!$A76&amp;"|"&amp;DATOS!$D76&amp;"|"&amp;DATOS!$E76&amp;"|"&amp;DATOS!$I76)</f>
      </c>
      <c r="G76">
        <f>IF(DATOS!$A76="",0,IF(CONFIG_METADATA!$B$4&lt;&gt;"OR+EX",--(DATOS!$G76=CONFIG_METADATA!$B$4),IF(DATOS!$G76="EX",1,IF(DATOS!$G76="OR",--(COUNTIFS(nNIA,DATOS!$A76,nCURSO,DATOS!$D76,nESPEC,DATOS!$E76,nASIG,DATOS!$I76,nEVAL,"EX")=0),0))))</f>
      </c>
      <c r="H76">
        <f>IF(DATOS!$G76&lt;&gt;"EX",0,--(COUNTIFS(nNIA,DATOS!$A76,nCURSO,DATOS!$D76,nESPEC,DATOS!$E76,nASIG,DATOS!$I76,nEVAL,"OR")=0))</f>
      </c>
      <c r="I76">
        <f>IF(DATOS!$I76="","",IFERROR(VLOOKUP(DATOS!$I76,CONFIG_ASIGNATURAS!$B$2:$J$91,9,FALSE()),""))</f>
      </c>
    </row>
    <row r="77">
      <c r="F77">
        <f>IF(DATOS!$A77="","",DATOS!$A77&amp;"|"&amp;DATOS!$D77&amp;"|"&amp;DATOS!$E77&amp;"|"&amp;DATOS!$I77)</f>
      </c>
      <c r="G77">
        <f>IF(DATOS!$A77="",0,IF(CONFIG_METADATA!$B$4&lt;&gt;"OR+EX",--(DATOS!$G77=CONFIG_METADATA!$B$4),IF(DATOS!$G77="EX",1,IF(DATOS!$G77="OR",--(COUNTIFS(nNIA,DATOS!$A77,nCURSO,DATOS!$D77,nESPEC,DATOS!$E77,nASIG,DATOS!$I77,nEVAL,"EX")=0),0))))</f>
      </c>
      <c r="H77">
        <f>IF(DATOS!$G77&lt;&gt;"EX",0,--(COUNTIFS(nNIA,DATOS!$A77,nCURSO,DATOS!$D77,nESPEC,DATOS!$E77,nASIG,DATOS!$I77,nEVAL,"OR")=0))</f>
      </c>
      <c r="I77">
        <f>IF(DATOS!$I77="","",IFERROR(VLOOKUP(DATOS!$I77,CONFIG_ASIGNATURAS!$B$2:$J$91,9,FALSE()),""))</f>
      </c>
    </row>
    <row r="78">
      <c r="F78">
        <f>IF(DATOS!$A78="","",DATOS!$A78&amp;"|"&amp;DATOS!$D78&amp;"|"&amp;DATOS!$E78&amp;"|"&amp;DATOS!$I78)</f>
      </c>
      <c r="G78">
        <f>IF(DATOS!$A78="",0,IF(CONFIG_METADATA!$B$4&lt;&gt;"OR+EX",--(DATOS!$G78=CONFIG_METADATA!$B$4),IF(DATOS!$G78="EX",1,IF(DATOS!$G78="OR",--(COUNTIFS(nNIA,DATOS!$A78,nCURSO,DATOS!$D78,nESPEC,DATOS!$E78,nASIG,DATOS!$I78,nEVAL,"EX")=0),0))))</f>
      </c>
      <c r="H78">
        <f>IF(DATOS!$G78&lt;&gt;"EX",0,--(COUNTIFS(nNIA,DATOS!$A78,nCURSO,DATOS!$D78,nESPEC,DATOS!$E78,nASIG,DATOS!$I78,nEVAL,"OR")=0))</f>
      </c>
      <c r="I78">
        <f>IF(DATOS!$I78="","",IFERROR(VLOOKUP(DATOS!$I78,CONFIG_ASIGNATURAS!$B$2:$J$91,9,FALSE()),""))</f>
      </c>
    </row>
    <row r="79">
      <c r="F79">
        <f>IF(DATOS!$A79="","",DATOS!$A79&amp;"|"&amp;DATOS!$D79&amp;"|"&amp;DATOS!$E79&amp;"|"&amp;DATOS!$I79)</f>
      </c>
      <c r="G79">
        <f>IF(DATOS!$A79="",0,IF(CONFIG_METADATA!$B$4&lt;&gt;"OR+EX",--(DATOS!$G79=CONFIG_METADATA!$B$4),IF(DATOS!$G79="EX",1,IF(DATOS!$G79="OR",--(COUNTIFS(nNIA,DATOS!$A79,nCURSO,DATOS!$D79,nESPEC,DATOS!$E79,nASIG,DATOS!$I79,nEVAL,"EX")=0),0))))</f>
      </c>
      <c r="H79">
        <f>IF(DATOS!$G79&lt;&gt;"EX",0,--(COUNTIFS(nNIA,DATOS!$A79,nCURSO,DATOS!$D79,nESPEC,DATOS!$E79,nASIG,DATOS!$I79,nEVAL,"OR")=0))</f>
      </c>
      <c r="I79">
        <f>IF(DATOS!$I79="","",IFERROR(VLOOKUP(DATOS!$I79,CONFIG_ASIGNATURAS!$B$2:$J$91,9,FALSE()),""))</f>
      </c>
    </row>
    <row r="80">
      <c r="F80">
        <f>IF(DATOS!$A80="","",DATOS!$A80&amp;"|"&amp;DATOS!$D80&amp;"|"&amp;DATOS!$E80&amp;"|"&amp;DATOS!$I80)</f>
      </c>
      <c r="G80">
        <f>IF(DATOS!$A80="",0,IF(CONFIG_METADATA!$B$4&lt;&gt;"OR+EX",--(DATOS!$G80=CONFIG_METADATA!$B$4),IF(DATOS!$G80="EX",1,IF(DATOS!$G80="OR",--(COUNTIFS(nNIA,DATOS!$A80,nCURSO,DATOS!$D80,nESPEC,DATOS!$E80,nASIG,DATOS!$I80,nEVAL,"EX")=0),0))))</f>
      </c>
      <c r="H80">
        <f>IF(DATOS!$G80&lt;&gt;"EX",0,--(COUNTIFS(nNIA,DATOS!$A80,nCURSO,DATOS!$D80,nESPEC,DATOS!$E80,nASIG,DATOS!$I80,nEVAL,"OR")=0))</f>
      </c>
      <c r="I80">
        <f>IF(DATOS!$I80="","",IFERROR(VLOOKUP(DATOS!$I80,CONFIG_ASIGNATURAS!$B$2:$J$91,9,FALSE()),""))</f>
      </c>
    </row>
    <row r="81">
      <c r="F81">
        <f>IF(DATOS!$A81="","",DATOS!$A81&amp;"|"&amp;DATOS!$D81&amp;"|"&amp;DATOS!$E81&amp;"|"&amp;DATOS!$I81)</f>
      </c>
      <c r="G81">
        <f>IF(DATOS!$A81="",0,IF(CONFIG_METADATA!$B$4&lt;&gt;"OR+EX",--(DATOS!$G81=CONFIG_METADATA!$B$4),IF(DATOS!$G81="EX",1,IF(DATOS!$G81="OR",--(COUNTIFS(nNIA,DATOS!$A81,nCURSO,DATOS!$D81,nESPEC,DATOS!$E81,nASIG,DATOS!$I81,nEVAL,"EX")=0),0))))</f>
      </c>
      <c r="H81">
        <f>IF(DATOS!$G81&lt;&gt;"EX",0,--(COUNTIFS(nNIA,DATOS!$A81,nCURSO,DATOS!$D81,nESPEC,DATOS!$E81,nASIG,DATOS!$I81,nEVAL,"OR")=0))</f>
      </c>
      <c r="I81">
        <f>IF(DATOS!$I81="","",IFERROR(VLOOKUP(DATOS!$I81,CONFIG_ASIGNATURAS!$B$2:$J$91,9,FALSE()),""))</f>
      </c>
    </row>
    <row r="82">
      <c r="F82">
        <f>IF(DATOS!$A82="","",DATOS!$A82&amp;"|"&amp;DATOS!$D82&amp;"|"&amp;DATOS!$E82&amp;"|"&amp;DATOS!$I82)</f>
      </c>
      <c r="G82">
        <f>IF(DATOS!$A82="",0,IF(CONFIG_METADATA!$B$4&lt;&gt;"OR+EX",--(DATOS!$G82=CONFIG_METADATA!$B$4),IF(DATOS!$G82="EX",1,IF(DATOS!$G82="OR",--(COUNTIFS(nNIA,DATOS!$A82,nCURSO,DATOS!$D82,nESPEC,DATOS!$E82,nASIG,DATOS!$I82,nEVAL,"EX")=0),0))))</f>
      </c>
      <c r="H82">
        <f>IF(DATOS!$G82&lt;&gt;"EX",0,--(COUNTIFS(nNIA,DATOS!$A82,nCURSO,DATOS!$D82,nESPEC,DATOS!$E82,nASIG,DATOS!$I82,nEVAL,"OR")=0))</f>
      </c>
      <c r="I82">
        <f>IF(DATOS!$I82="","",IFERROR(VLOOKUP(DATOS!$I82,CONFIG_ASIGNATURAS!$B$2:$J$91,9,FALSE()),""))</f>
      </c>
    </row>
    <row r="83">
      <c r="F83">
        <f>IF(DATOS!$A83="","",DATOS!$A83&amp;"|"&amp;DATOS!$D83&amp;"|"&amp;DATOS!$E83&amp;"|"&amp;DATOS!$I83)</f>
      </c>
      <c r="G83">
        <f>IF(DATOS!$A83="",0,IF(CONFIG_METADATA!$B$4&lt;&gt;"OR+EX",--(DATOS!$G83=CONFIG_METADATA!$B$4),IF(DATOS!$G83="EX",1,IF(DATOS!$G83="OR",--(COUNTIFS(nNIA,DATOS!$A83,nCURSO,DATOS!$D83,nESPEC,DATOS!$E83,nASIG,DATOS!$I83,nEVAL,"EX")=0),0))))</f>
      </c>
      <c r="H83">
        <f>IF(DATOS!$G83&lt;&gt;"EX",0,--(COUNTIFS(nNIA,DATOS!$A83,nCURSO,DATOS!$D83,nESPEC,DATOS!$E83,nASIG,DATOS!$I83,nEVAL,"OR")=0))</f>
      </c>
      <c r="I83">
        <f>IF(DATOS!$I83="","",IFERROR(VLOOKUP(DATOS!$I83,CONFIG_ASIGNATURAS!$B$2:$J$91,9,FALSE()),""))</f>
      </c>
    </row>
    <row r="84">
      <c r="F84">
        <f>IF(DATOS!$A84="","",DATOS!$A84&amp;"|"&amp;DATOS!$D84&amp;"|"&amp;DATOS!$E84&amp;"|"&amp;DATOS!$I84)</f>
      </c>
      <c r="G84">
        <f>IF(DATOS!$A84="",0,IF(CONFIG_METADATA!$B$4&lt;&gt;"OR+EX",--(DATOS!$G84=CONFIG_METADATA!$B$4),IF(DATOS!$G84="EX",1,IF(DATOS!$G84="OR",--(COUNTIFS(nNIA,DATOS!$A84,nCURSO,DATOS!$D84,nESPEC,DATOS!$E84,nASIG,DATOS!$I84,nEVAL,"EX")=0),0))))</f>
      </c>
      <c r="H84">
        <f>IF(DATOS!$G84&lt;&gt;"EX",0,--(COUNTIFS(nNIA,DATOS!$A84,nCURSO,DATOS!$D84,nESPEC,DATOS!$E84,nASIG,DATOS!$I84,nEVAL,"OR")=0))</f>
      </c>
      <c r="I84">
        <f>IF(DATOS!$I84="","",IFERROR(VLOOKUP(DATOS!$I84,CONFIG_ASIGNATURAS!$B$2:$J$91,9,FALSE()),""))</f>
      </c>
    </row>
    <row r="85">
      <c r="F85">
        <f>IF(DATOS!$A85="","",DATOS!$A85&amp;"|"&amp;DATOS!$D85&amp;"|"&amp;DATOS!$E85&amp;"|"&amp;DATOS!$I85)</f>
      </c>
      <c r="G85">
        <f>IF(DATOS!$A85="",0,IF(CONFIG_METADATA!$B$4&lt;&gt;"OR+EX",--(DATOS!$G85=CONFIG_METADATA!$B$4),IF(DATOS!$G85="EX",1,IF(DATOS!$G85="OR",--(COUNTIFS(nNIA,DATOS!$A85,nCURSO,DATOS!$D85,nESPEC,DATOS!$E85,nASIG,DATOS!$I85,nEVAL,"EX")=0),0))))</f>
      </c>
      <c r="H85">
        <f>IF(DATOS!$G85&lt;&gt;"EX",0,--(COUNTIFS(nNIA,DATOS!$A85,nCURSO,DATOS!$D85,nESPEC,DATOS!$E85,nASIG,DATOS!$I85,nEVAL,"OR")=0))</f>
      </c>
      <c r="I85">
        <f>IF(DATOS!$I85="","",IFERROR(VLOOKUP(DATOS!$I85,CONFIG_ASIGNATURAS!$B$2:$J$91,9,FALSE()),""))</f>
      </c>
    </row>
    <row r="86">
      <c r="F86">
        <f>IF(DATOS!$A86="","",DATOS!$A86&amp;"|"&amp;DATOS!$D86&amp;"|"&amp;DATOS!$E86&amp;"|"&amp;DATOS!$I86)</f>
      </c>
      <c r="G86">
        <f>IF(DATOS!$A86="",0,IF(CONFIG_METADATA!$B$4&lt;&gt;"OR+EX",--(DATOS!$G86=CONFIG_METADATA!$B$4),IF(DATOS!$G86="EX",1,IF(DATOS!$G86="OR",--(COUNTIFS(nNIA,DATOS!$A86,nCURSO,DATOS!$D86,nESPEC,DATOS!$E86,nASIG,DATOS!$I86,nEVAL,"EX")=0),0))))</f>
      </c>
      <c r="H86">
        <f>IF(DATOS!$G86&lt;&gt;"EX",0,--(COUNTIFS(nNIA,DATOS!$A86,nCURSO,DATOS!$D86,nESPEC,DATOS!$E86,nASIG,DATOS!$I86,nEVAL,"OR")=0))</f>
      </c>
      <c r="I86">
        <f>IF(DATOS!$I86="","",IFERROR(VLOOKUP(DATOS!$I86,CONFIG_ASIGNATURAS!$B$2:$J$91,9,FALSE()),""))</f>
      </c>
    </row>
    <row r="87">
      <c r="F87">
        <f>IF(DATOS!$A87="","",DATOS!$A87&amp;"|"&amp;DATOS!$D87&amp;"|"&amp;DATOS!$E87&amp;"|"&amp;DATOS!$I87)</f>
      </c>
      <c r="G87">
        <f>IF(DATOS!$A87="",0,IF(CONFIG_METADATA!$B$4&lt;&gt;"OR+EX",--(DATOS!$G87=CONFIG_METADATA!$B$4),IF(DATOS!$G87="EX",1,IF(DATOS!$G87="OR",--(COUNTIFS(nNIA,DATOS!$A87,nCURSO,DATOS!$D87,nESPEC,DATOS!$E87,nASIG,DATOS!$I87,nEVAL,"EX")=0),0))))</f>
      </c>
      <c r="H87">
        <f>IF(DATOS!$G87&lt;&gt;"EX",0,--(COUNTIFS(nNIA,DATOS!$A87,nCURSO,DATOS!$D87,nESPEC,DATOS!$E87,nASIG,DATOS!$I87,nEVAL,"OR")=0))</f>
      </c>
      <c r="I87">
        <f>IF(DATOS!$I87="","",IFERROR(VLOOKUP(DATOS!$I87,CONFIG_ASIGNATURAS!$B$2:$J$91,9,FALSE()),""))</f>
      </c>
    </row>
    <row r="88">
      <c r="F88">
        <f>IF(DATOS!$A88="","",DATOS!$A88&amp;"|"&amp;DATOS!$D88&amp;"|"&amp;DATOS!$E88&amp;"|"&amp;DATOS!$I88)</f>
      </c>
      <c r="G88">
        <f>IF(DATOS!$A88="",0,IF(CONFIG_METADATA!$B$4&lt;&gt;"OR+EX",--(DATOS!$G88=CONFIG_METADATA!$B$4),IF(DATOS!$G88="EX",1,IF(DATOS!$G88="OR",--(COUNTIFS(nNIA,DATOS!$A88,nCURSO,DATOS!$D88,nESPEC,DATOS!$E88,nASIG,DATOS!$I88,nEVAL,"EX")=0),0))))</f>
      </c>
      <c r="H88">
        <f>IF(DATOS!$G88&lt;&gt;"EX",0,--(COUNTIFS(nNIA,DATOS!$A88,nCURSO,DATOS!$D88,nESPEC,DATOS!$E88,nASIG,DATOS!$I88,nEVAL,"OR")=0))</f>
      </c>
      <c r="I88">
        <f>IF(DATOS!$I88="","",IFERROR(VLOOKUP(DATOS!$I88,CONFIG_ASIGNATURAS!$B$2:$J$91,9,FALSE()),""))</f>
      </c>
    </row>
    <row r="89">
      <c r="F89">
        <f>IF(DATOS!$A89="","",DATOS!$A89&amp;"|"&amp;DATOS!$D89&amp;"|"&amp;DATOS!$E89&amp;"|"&amp;DATOS!$I89)</f>
      </c>
      <c r="G89">
        <f>IF(DATOS!$A89="",0,IF(CONFIG_METADATA!$B$4&lt;&gt;"OR+EX",--(DATOS!$G89=CONFIG_METADATA!$B$4),IF(DATOS!$G89="EX",1,IF(DATOS!$G89="OR",--(COUNTIFS(nNIA,DATOS!$A89,nCURSO,DATOS!$D89,nESPEC,DATOS!$E89,nASIG,DATOS!$I89,nEVAL,"EX")=0),0))))</f>
      </c>
      <c r="H89">
        <f>IF(DATOS!$G89&lt;&gt;"EX",0,--(COUNTIFS(nNIA,DATOS!$A89,nCURSO,DATOS!$D89,nESPEC,DATOS!$E89,nASIG,DATOS!$I89,nEVAL,"OR")=0))</f>
      </c>
      <c r="I89">
        <f>IF(DATOS!$I89="","",IFERROR(VLOOKUP(DATOS!$I89,CONFIG_ASIGNATURAS!$B$2:$J$91,9,FALSE()),""))</f>
      </c>
    </row>
    <row r="90">
      <c r="F90">
        <f>IF(DATOS!$A90="","",DATOS!$A90&amp;"|"&amp;DATOS!$D90&amp;"|"&amp;DATOS!$E90&amp;"|"&amp;DATOS!$I90)</f>
      </c>
      <c r="G90">
        <f>IF(DATOS!$A90="",0,IF(CONFIG_METADATA!$B$4&lt;&gt;"OR+EX",--(DATOS!$G90=CONFIG_METADATA!$B$4),IF(DATOS!$G90="EX",1,IF(DATOS!$G90="OR",--(COUNTIFS(nNIA,DATOS!$A90,nCURSO,DATOS!$D90,nESPEC,DATOS!$E90,nASIG,DATOS!$I90,nEVAL,"EX")=0),0))))</f>
      </c>
      <c r="H90">
        <f>IF(DATOS!$G90&lt;&gt;"EX",0,--(COUNTIFS(nNIA,DATOS!$A90,nCURSO,DATOS!$D90,nESPEC,DATOS!$E90,nASIG,DATOS!$I90,nEVAL,"OR")=0))</f>
      </c>
      <c r="I90">
        <f>IF(DATOS!$I90="","",IFERROR(VLOOKUP(DATOS!$I90,CONFIG_ASIGNATURAS!$B$2:$J$91,9,FALSE()),""))</f>
      </c>
    </row>
    <row r="91">
      <c r="F91">
        <f>IF(DATOS!$A91="","",DATOS!$A91&amp;"|"&amp;DATOS!$D91&amp;"|"&amp;DATOS!$E91&amp;"|"&amp;DATOS!$I91)</f>
      </c>
      <c r="G91">
        <f>IF(DATOS!$A91="",0,IF(CONFIG_METADATA!$B$4&lt;&gt;"OR+EX",--(DATOS!$G91=CONFIG_METADATA!$B$4),IF(DATOS!$G91="EX",1,IF(DATOS!$G91="OR",--(COUNTIFS(nNIA,DATOS!$A91,nCURSO,DATOS!$D91,nESPEC,DATOS!$E91,nASIG,DATOS!$I91,nEVAL,"EX")=0),0))))</f>
      </c>
      <c r="H91">
        <f>IF(DATOS!$G91&lt;&gt;"EX",0,--(COUNTIFS(nNIA,DATOS!$A91,nCURSO,DATOS!$D91,nESPEC,DATOS!$E91,nASIG,DATOS!$I91,nEVAL,"OR")=0))</f>
      </c>
      <c r="I91">
        <f>IF(DATOS!$I91="","",IFERROR(VLOOKUP(DATOS!$I91,CONFIG_ASIGNATURAS!$B$2:$J$91,9,FALSE()),""))</f>
      </c>
    </row>
    <row r="92">
      <c r="F92">
        <f>IF(DATOS!$A92="","",DATOS!$A92&amp;"|"&amp;DATOS!$D92&amp;"|"&amp;DATOS!$E92&amp;"|"&amp;DATOS!$I92)</f>
      </c>
      <c r="G92">
        <f>IF(DATOS!$A92="",0,IF(CONFIG_METADATA!$B$4&lt;&gt;"OR+EX",--(DATOS!$G92=CONFIG_METADATA!$B$4),IF(DATOS!$G92="EX",1,IF(DATOS!$G92="OR",--(COUNTIFS(nNIA,DATOS!$A92,nCURSO,DATOS!$D92,nESPEC,DATOS!$E92,nASIG,DATOS!$I92,nEVAL,"EX")=0),0))))</f>
      </c>
      <c r="H92">
        <f>IF(DATOS!$G92&lt;&gt;"EX",0,--(COUNTIFS(nNIA,DATOS!$A92,nCURSO,DATOS!$D92,nESPEC,DATOS!$E92,nASIG,DATOS!$I92,nEVAL,"OR")=0))</f>
      </c>
      <c r="I92">
        <f>IF(DATOS!$I92="","",IFERROR(VLOOKUP(DATOS!$I92,CONFIG_ASIGNATURAS!$B$2:$J$91,9,FALSE()),""))</f>
      </c>
    </row>
    <row r="93">
      <c r="F93">
        <f>IF(DATOS!$A93="","",DATOS!$A93&amp;"|"&amp;DATOS!$D93&amp;"|"&amp;DATOS!$E93&amp;"|"&amp;DATOS!$I93)</f>
      </c>
      <c r="G93">
        <f>IF(DATOS!$A93="",0,IF(CONFIG_METADATA!$B$4&lt;&gt;"OR+EX",--(DATOS!$G93=CONFIG_METADATA!$B$4),IF(DATOS!$G93="EX",1,IF(DATOS!$G93="OR",--(COUNTIFS(nNIA,DATOS!$A93,nCURSO,DATOS!$D93,nESPEC,DATOS!$E93,nASIG,DATOS!$I93,nEVAL,"EX")=0),0))))</f>
      </c>
      <c r="H93">
        <f>IF(DATOS!$G93&lt;&gt;"EX",0,--(COUNTIFS(nNIA,DATOS!$A93,nCURSO,DATOS!$D93,nESPEC,DATOS!$E93,nASIG,DATOS!$I93,nEVAL,"OR")=0))</f>
      </c>
      <c r="I93">
        <f>IF(DATOS!$I93="","",IFERROR(VLOOKUP(DATOS!$I93,CONFIG_ASIGNATURAS!$B$2:$J$91,9,FALSE()),""))</f>
      </c>
    </row>
    <row r="94">
      <c r="F94">
        <f>IF(DATOS!$A94="","",DATOS!$A94&amp;"|"&amp;DATOS!$D94&amp;"|"&amp;DATOS!$E94&amp;"|"&amp;DATOS!$I94)</f>
      </c>
      <c r="G94">
        <f>IF(DATOS!$A94="",0,IF(CONFIG_METADATA!$B$4&lt;&gt;"OR+EX",--(DATOS!$G94=CONFIG_METADATA!$B$4),IF(DATOS!$G94="EX",1,IF(DATOS!$G94="OR",--(COUNTIFS(nNIA,DATOS!$A94,nCURSO,DATOS!$D94,nESPEC,DATOS!$E94,nASIG,DATOS!$I94,nEVAL,"EX")=0),0))))</f>
      </c>
      <c r="H94">
        <f>IF(DATOS!$G94&lt;&gt;"EX",0,--(COUNTIFS(nNIA,DATOS!$A94,nCURSO,DATOS!$D94,nESPEC,DATOS!$E94,nASIG,DATOS!$I94,nEVAL,"OR")=0))</f>
      </c>
      <c r="I94">
        <f>IF(DATOS!$I94="","",IFERROR(VLOOKUP(DATOS!$I94,CONFIG_ASIGNATURAS!$B$2:$J$91,9,FALSE()),""))</f>
      </c>
    </row>
    <row r="95">
      <c r="F95">
        <f>IF(DATOS!$A95="","",DATOS!$A95&amp;"|"&amp;DATOS!$D95&amp;"|"&amp;DATOS!$E95&amp;"|"&amp;DATOS!$I95)</f>
      </c>
      <c r="G95">
        <f>IF(DATOS!$A95="",0,IF(CONFIG_METADATA!$B$4&lt;&gt;"OR+EX",--(DATOS!$G95=CONFIG_METADATA!$B$4),IF(DATOS!$G95="EX",1,IF(DATOS!$G95="OR",--(COUNTIFS(nNIA,DATOS!$A95,nCURSO,DATOS!$D95,nESPEC,DATOS!$E95,nASIG,DATOS!$I95,nEVAL,"EX")=0),0))))</f>
      </c>
      <c r="H95">
        <f>IF(DATOS!$G95&lt;&gt;"EX",0,--(COUNTIFS(nNIA,DATOS!$A95,nCURSO,DATOS!$D95,nESPEC,DATOS!$E95,nASIG,DATOS!$I95,nEVAL,"OR")=0))</f>
      </c>
      <c r="I95">
        <f>IF(DATOS!$I95="","",IFERROR(VLOOKUP(DATOS!$I95,CONFIG_ASIGNATURAS!$B$2:$J$91,9,FALSE()),""))</f>
      </c>
    </row>
    <row r="96">
      <c r="F96">
        <f>IF(DATOS!$A96="","",DATOS!$A96&amp;"|"&amp;DATOS!$D96&amp;"|"&amp;DATOS!$E96&amp;"|"&amp;DATOS!$I96)</f>
      </c>
      <c r="G96">
        <f>IF(DATOS!$A96="",0,IF(CONFIG_METADATA!$B$4&lt;&gt;"OR+EX",--(DATOS!$G96=CONFIG_METADATA!$B$4),IF(DATOS!$G96="EX",1,IF(DATOS!$G96="OR",--(COUNTIFS(nNIA,DATOS!$A96,nCURSO,DATOS!$D96,nESPEC,DATOS!$E96,nASIG,DATOS!$I96,nEVAL,"EX")=0),0))))</f>
      </c>
      <c r="H96">
        <f>IF(DATOS!$G96&lt;&gt;"EX",0,--(COUNTIFS(nNIA,DATOS!$A96,nCURSO,DATOS!$D96,nESPEC,DATOS!$E96,nASIG,DATOS!$I96,nEVAL,"OR")=0))</f>
      </c>
      <c r="I96">
        <f>IF(DATOS!$I96="","",IFERROR(VLOOKUP(DATOS!$I96,CONFIG_ASIGNATURAS!$B$2:$J$91,9,FALSE()),""))</f>
      </c>
    </row>
    <row r="97">
      <c r="F97">
        <f>IF(DATOS!$A97="","",DATOS!$A97&amp;"|"&amp;DATOS!$D97&amp;"|"&amp;DATOS!$E97&amp;"|"&amp;DATOS!$I97)</f>
      </c>
      <c r="G97">
        <f>IF(DATOS!$A97="",0,IF(CONFIG_METADATA!$B$4&lt;&gt;"OR+EX",--(DATOS!$G97=CONFIG_METADATA!$B$4),IF(DATOS!$G97="EX",1,IF(DATOS!$G97="OR",--(COUNTIFS(nNIA,DATOS!$A97,nCURSO,DATOS!$D97,nESPEC,DATOS!$E97,nASIG,DATOS!$I97,nEVAL,"EX")=0),0))))</f>
      </c>
      <c r="H97">
        <f>IF(DATOS!$G97&lt;&gt;"EX",0,--(COUNTIFS(nNIA,DATOS!$A97,nCURSO,DATOS!$D97,nESPEC,DATOS!$E97,nASIG,DATOS!$I97,nEVAL,"OR")=0))</f>
      </c>
      <c r="I97">
        <f>IF(DATOS!$I97="","",IFERROR(VLOOKUP(DATOS!$I97,CONFIG_ASIGNATURAS!$B$2:$J$91,9,FALSE()),""))</f>
      </c>
    </row>
    <row r="98">
      <c r="F98">
        <f>IF(DATOS!$A98="","",DATOS!$A98&amp;"|"&amp;DATOS!$D98&amp;"|"&amp;DATOS!$E98&amp;"|"&amp;DATOS!$I98)</f>
      </c>
      <c r="G98">
        <f>IF(DATOS!$A98="",0,IF(CONFIG_METADATA!$B$4&lt;&gt;"OR+EX",--(DATOS!$G98=CONFIG_METADATA!$B$4),IF(DATOS!$G98="EX",1,IF(DATOS!$G98="OR",--(COUNTIFS(nNIA,DATOS!$A98,nCURSO,DATOS!$D98,nESPEC,DATOS!$E98,nASIG,DATOS!$I98,nEVAL,"EX")=0),0))))</f>
      </c>
      <c r="H98">
        <f>IF(DATOS!$G98&lt;&gt;"EX",0,--(COUNTIFS(nNIA,DATOS!$A98,nCURSO,DATOS!$D98,nESPEC,DATOS!$E98,nASIG,DATOS!$I98,nEVAL,"OR")=0))</f>
      </c>
      <c r="I98">
        <f>IF(DATOS!$I98="","",IFERROR(VLOOKUP(DATOS!$I98,CONFIG_ASIGNATURAS!$B$2:$J$91,9,FALSE()),""))</f>
      </c>
    </row>
    <row r="99">
      <c r="F99">
        <f>IF(DATOS!$A99="","",DATOS!$A99&amp;"|"&amp;DATOS!$D99&amp;"|"&amp;DATOS!$E99&amp;"|"&amp;DATOS!$I99)</f>
      </c>
      <c r="G99">
        <f>IF(DATOS!$A99="",0,IF(CONFIG_METADATA!$B$4&lt;&gt;"OR+EX",--(DATOS!$G99=CONFIG_METADATA!$B$4),IF(DATOS!$G99="EX",1,IF(DATOS!$G99="OR",--(COUNTIFS(nNIA,DATOS!$A99,nCURSO,DATOS!$D99,nESPEC,DATOS!$E99,nASIG,DATOS!$I99,nEVAL,"EX")=0),0))))</f>
      </c>
      <c r="H99">
        <f>IF(DATOS!$G99&lt;&gt;"EX",0,--(COUNTIFS(nNIA,DATOS!$A99,nCURSO,DATOS!$D99,nESPEC,DATOS!$E99,nASIG,DATOS!$I99,nEVAL,"OR")=0))</f>
      </c>
      <c r="I99">
        <f>IF(DATOS!$I99="","",IFERROR(VLOOKUP(DATOS!$I99,CONFIG_ASIGNATURAS!$B$2:$J$91,9,FALSE()),""))</f>
      </c>
    </row>
    <row r="100">
      <c r="F100">
        <f>IF(DATOS!$A100="","",DATOS!$A100&amp;"|"&amp;DATOS!$D100&amp;"|"&amp;DATOS!$E100&amp;"|"&amp;DATOS!$I100)</f>
      </c>
      <c r="G100">
        <f>IF(DATOS!$A100="",0,IF(CONFIG_METADATA!$B$4&lt;&gt;"OR+EX",--(DATOS!$G100=CONFIG_METADATA!$B$4),IF(DATOS!$G100="EX",1,IF(DATOS!$G100="OR",--(COUNTIFS(nNIA,DATOS!$A100,nCURSO,DATOS!$D100,nESPEC,DATOS!$E100,nASIG,DATOS!$I100,nEVAL,"EX")=0),0))))</f>
      </c>
      <c r="H100">
        <f>IF(DATOS!$G100&lt;&gt;"EX",0,--(COUNTIFS(nNIA,DATOS!$A100,nCURSO,DATOS!$D100,nESPEC,DATOS!$E100,nASIG,DATOS!$I100,nEVAL,"OR")=0))</f>
      </c>
      <c r="I100">
        <f>IF(DATOS!$I100="","",IFERROR(VLOOKUP(DATOS!$I100,CONFIG_ASIGNATURAS!$B$2:$J$91,9,FALSE()),""))</f>
      </c>
    </row>
    <row r="101">
      <c r="F101">
        <f>IF(DATOS!$A101="","",DATOS!$A101&amp;"|"&amp;DATOS!$D101&amp;"|"&amp;DATOS!$E101&amp;"|"&amp;DATOS!$I101)</f>
      </c>
      <c r="G101">
        <f>IF(DATOS!$A101="",0,IF(CONFIG_METADATA!$B$4&lt;&gt;"OR+EX",--(DATOS!$G101=CONFIG_METADATA!$B$4),IF(DATOS!$G101="EX",1,IF(DATOS!$G101="OR",--(COUNTIFS(nNIA,DATOS!$A101,nCURSO,DATOS!$D101,nESPEC,DATOS!$E101,nASIG,DATOS!$I101,nEVAL,"EX")=0),0))))</f>
      </c>
      <c r="H101">
        <f>IF(DATOS!$G101&lt;&gt;"EX",0,--(COUNTIFS(nNIA,DATOS!$A101,nCURSO,DATOS!$D101,nESPEC,DATOS!$E101,nASIG,DATOS!$I101,nEVAL,"OR")=0))</f>
      </c>
      <c r="I101">
        <f>IF(DATOS!$I101="","",IFERROR(VLOOKUP(DATOS!$I101,CONFIG_ASIGNATURAS!$B$2:$J$91,9,FALSE()),""))</f>
      </c>
    </row>
    <row r="102">
      <c r="F102">
        <f>IF(DATOS!$A102="","",DATOS!$A102&amp;"|"&amp;DATOS!$D102&amp;"|"&amp;DATOS!$E102&amp;"|"&amp;DATOS!$I102)</f>
      </c>
      <c r="G102">
        <f>IF(DATOS!$A102="",0,IF(CONFIG_METADATA!$B$4&lt;&gt;"OR+EX",--(DATOS!$G102=CONFIG_METADATA!$B$4),IF(DATOS!$G102="EX",1,IF(DATOS!$G102="OR",--(COUNTIFS(nNIA,DATOS!$A102,nCURSO,DATOS!$D102,nESPEC,DATOS!$E102,nASIG,DATOS!$I102,nEVAL,"EX")=0),0))))</f>
      </c>
      <c r="H102">
        <f>IF(DATOS!$G102&lt;&gt;"EX",0,--(COUNTIFS(nNIA,DATOS!$A102,nCURSO,DATOS!$D102,nESPEC,DATOS!$E102,nASIG,DATOS!$I102,nEVAL,"OR")=0))</f>
      </c>
      <c r="I102">
        <f>IF(DATOS!$I102="","",IFERROR(VLOOKUP(DATOS!$I102,CONFIG_ASIGNATURAS!$B$2:$J$91,9,FALSE()),""))</f>
      </c>
    </row>
    <row r="103">
      <c r="F103">
        <f>IF(DATOS!$A103="","",DATOS!$A103&amp;"|"&amp;DATOS!$D103&amp;"|"&amp;DATOS!$E103&amp;"|"&amp;DATOS!$I103)</f>
      </c>
      <c r="G103">
        <f>IF(DATOS!$A103="",0,IF(CONFIG_METADATA!$B$4&lt;&gt;"OR+EX",--(DATOS!$G103=CONFIG_METADATA!$B$4),IF(DATOS!$G103="EX",1,IF(DATOS!$G103="OR",--(COUNTIFS(nNIA,DATOS!$A103,nCURSO,DATOS!$D103,nESPEC,DATOS!$E103,nASIG,DATOS!$I103,nEVAL,"EX")=0),0))))</f>
      </c>
      <c r="H103">
        <f>IF(DATOS!$G103&lt;&gt;"EX",0,--(COUNTIFS(nNIA,DATOS!$A103,nCURSO,DATOS!$D103,nESPEC,DATOS!$E103,nASIG,DATOS!$I103,nEVAL,"OR")=0))</f>
      </c>
      <c r="I103">
        <f>IF(DATOS!$I103="","",IFERROR(VLOOKUP(DATOS!$I103,CONFIG_ASIGNATURAS!$B$2:$J$91,9,FALSE()),""))</f>
      </c>
    </row>
    <row r="104">
      <c r="F104">
        <f>IF(DATOS!$A104="","",DATOS!$A104&amp;"|"&amp;DATOS!$D104&amp;"|"&amp;DATOS!$E104&amp;"|"&amp;DATOS!$I104)</f>
      </c>
      <c r="G104">
        <f>IF(DATOS!$A104="",0,IF(CONFIG_METADATA!$B$4&lt;&gt;"OR+EX",--(DATOS!$G104=CONFIG_METADATA!$B$4),IF(DATOS!$G104="EX",1,IF(DATOS!$G104="OR",--(COUNTIFS(nNIA,DATOS!$A104,nCURSO,DATOS!$D104,nESPEC,DATOS!$E104,nASIG,DATOS!$I104,nEVAL,"EX")=0),0))))</f>
      </c>
      <c r="H104">
        <f>IF(DATOS!$G104&lt;&gt;"EX",0,--(COUNTIFS(nNIA,DATOS!$A104,nCURSO,DATOS!$D104,nESPEC,DATOS!$E104,nASIG,DATOS!$I104,nEVAL,"OR")=0))</f>
      </c>
      <c r="I104">
        <f>IF(DATOS!$I104="","",IFERROR(VLOOKUP(DATOS!$I104,CONFIG_ASIGNATURAS!$B$2:$J$91,9,FALSE()),""))</f>
      </c>
    </row>
    <row r="105">
      <c r="F105">
        <f>IF(DATOS!$A105="","",DATOS!$A105&amp;"|"&amp;DATOS!$D105&amp;"|"&amp;DATOS!$E105&amp;"|"&amp;DATOS!$I105)</f>
      </c>
      <c r="G105">
        <f>IF(DATOS!$A105="",0,IF(CONFIG_METADATA!$B$4&lt;&gt;"OR+EX",--(DATOS!$G105=CONFIG_METADATA!$B$4),IF(DATOS!$G105="EX",1,IF(DATOS!$G105="OR",--(COUNTIFS(nNIA,DATOS!$A105,nCURSO,DATOS!$D105,nESPEC,DATOS!$E105,nASIG,DATOS!$I105,nEVAL,"EX")=0),0))))</f>
      </c>
      <c r="H105">
        <f>IF(DATOS!$G105&lt;&gt;"EX",0,--(COUNTIFS(nNIA,DATOS!$A105,nCURSO,DATOS!$D105,nESPEC,DATOS!$E105,nASIG,DATOS!$I105,nEVAL,"OR")=0))</f>
      </c>
      <c r="I105">
        <f>IF(DATOS!$I105="","",IFERROR(VLOOKUP(DATOS!$I105,CONFIG_ASIGNATURAS!$B$2:$J$91,9,FALSE()),""))</f>
      </c>
    </row>
    <row r="106">
      <c r="F106">
        <f>IF(DATOS!$A106="","",DATOS!$A106&amp;"|"&amp;DATOS!$D106&amp;"|"&amp;DATOS!$E106&amp;"|"&amp;DATOS!$I106)</f>
      </c>
      <c r="G106">
        <f>IF(DATOS!$A106="",0,IF(CONFIG_METADATA!$B$4&lt;&gt;"OR+EX",--(DATOS!$G106=CONFIG_METADATA!$B$4),IF(DATOS!$G106="EX",1,IF(DATOS!$G106="OR",--(COUNTIFS(nNIA,DATOS!$A106,nCURSO,DATOS!$D106,nESPEC,DATOS!$E106,nASIG,DATOS!$I106,nEVAL,"EX")=0),0))))</f>
      </c>
      <c r="H106">
        <f>IF(DATOS!$G106&lt;&gt;"EX",0,--(COUNTIFS(nNIA,DATOS!$A106,nCURSO,DATOS!$D106,nESPEC,DATOS!$E106,nASIG,DATOS!$I106,nEVAL,"OR")=0))</f>
      </c>
      <c r="I106">
        <f>IF(DATOS!$I106="","",IFERROR(VLOOKUP(DATOS!$I106,CONFIG_ASIGNATURAS!$B$2:$J$91,9,FALSE()),""))</f>
      </c>
    </row>
    <row r="107">
      <c r="F107">
        <f>IF(DATOS!$A107="","",DATOS!$A107&amp;"|"&amp;DATOS!$D107&amp;"|"&amp;DATOS!$E107&amp;"|"&amp;DATOS!$I107)</f>
      </c>
      <c r="G107">
        <f>IF(DATOS!$A107="",0,IF(CONFIG_METADATA!$B$4&lt;&gt;"OR+EX",--(DATOS!$G107=CONFIG_METADATA!$B$4),IF(DATOS!$G107="EX",1,IF(DATOS!$G107="OR",--(COUNTIFS(nNIA,DATOS!$A107,nCURSO,DATOS!$D107,nESPEC,DATOS!$E107,nASIG,DATOS!$I107,nEVAL,"EX")=0),0))))</f>
      </c>
      <c r="H107">
        <f>IF(DATOS!$G107&lt;&gt;"EX",0,--(COUNTIFS(nNIA,DATOS!$A107,nCURSO,DATOS!$D107,nESPEC,DATOS!$E107,nASIG,DATOS!$I107,nEVAL,"OR")=0))</f>
      </c>
      <c r="I107">
        <f>IF(DATOS!$I107="","",IFERROR(VLOOKUP(DATOS!$I107,CONFIG_ASIGNATURAS!$B$2:$J$91,9,FALSE()),""))</f>
      </c>
    </row>
    <row r="108">
      <c r="F108">
        <f>IF(DATOS!$A108="","",DATOS!$A108&amp;"|"&amp;DATOS!$D108&amp;"|"&amp;DATOS!$E108&amp;"|"&amp;DATOS!$I108)</f>
      </c>
      <c r="G108">
        <f>IF(DATOS!$A108="",0,IF(CONFIG_METADATA!$B$4&lt;&gt;"OR+EX",--(DATOS!$G108=CONFIG_METADATA!$B$4),IF(DATOS!$G108="EX",1,IF(DATOS!$G108="OR",--(COUNTIFS(nNIA,DATOS!$A108,nCURSO,DATOS!$D108,nESPEC,DATOS!$E108,nASIG,DATOS!$I108,nEVAL,"EX")=0),0))))</f>
      </c>
      <c r="H108">
        <f>IF(DATOS!$G108&lt;&gt;"EX",0,--(COUNTIFS(nNIA,DATOS!$A108,nCURSO,DATOS!$D108,nESPEC,DATOS!$E108,nASIG,DATOS!$I108,nEVAL,"OR")=0))</f>
      </c>
      <c r="I108">
        <f>IF(DATOS!$I108="","",IFERROR(VLOOKUP(DATOS!$I108,CONFIG_ASIGNATURAS!$B$2:$J$91,9,FALSE()),""))</f>
      </c>
    </row>
    <row r="109">
      <c r="F109">
        <f>IF(DATOS!$A109="","",DATOS!$A109&amp;"|"&amp;DATOS!$D109&amp;"|"&amp;DATOS!$E109&amp;"|"&amp;DATOS!$I109)</f>
      </c>
      <c r="G109">
        <f>IF(DATOS!$A109="",0,IF(CONFIG_METADATA!$B$4&lt;&gt;"OR+EX",--(DATOS!$G109=CONFIG_METADATA!$B$4),IF(DATOS!$G109="EX",1,IF(DATOS!$G109="OR",--(COUNTIFS(nNIA,DATOS!$A109,nCURSO,DATOS!$D109,nESPEC,DATOS!$E109,nASIG,DATOS!$I109,nEVAL,"EX")=0),0))))</f>
      </c>
      <c r="H109">
        <f>IF(DATOS!$G109&lt;&gt;"EX",0,--(COUNTIFS(nNIA,DATOS!$A109,nCURSO,DATOS!$D109,nESPEC,DATOS!$E109,nASIG,DATOS!$I109,nEVAL,"OR")=0))</f>
      </c>
      <c r="I109">
        <f>IF(DATOS!$I109="","",IFERROR(VLOOKUP(DATOS!$I109,CONFIG_ASIGNATURAS!$B$2:$J$91,9,FALSE()),""))</f>
      </c>
    </row>
    <row r="110">
      <c r="F110">
        <f>IF(DATOS!$A110="","",DATOS!$A110&amp;"|"&amp;DATOS!$D110&amp;"|"&amp;DATOS!$E110&amp;"|"&amp;DATOS!$I110)</f>
      </c>
      <c r="G110">
        <f>IF(DATOS!$A110="",0,IF(CONFIG_METADATA!$B$4&lt;&gt;"OR+EX",--(DATOS!$G110=CONFIG_METADATA!$B$4),IF(DATOS!$G110="EX",1,IF(DATOS!$G110="OR",--(COUNTIFS(nNIA,DATOS!$A110,nCURSO,DATOS!$D110,nESPEC,DATOS!$E110,nASIG,DATOS!$I110,nEVAL,"EX")=0),0))))</f>
      </c>
      <c r="H110">
        <f>IF(DATOS!$G110&lt;&gt;"EX",0,--(COUNTIFS(nNIA,DATOS!$A110,nCURSO,DATOS!$D110,nESPEC,DATOS!$E110,nASIG,DATOS!$I110,nEVAL,"OR")=0))</f>
      </c>
      <c r="I110">
        <f>IF(DATOS!$I110="","",IFERROR(VLOOKUP(DATOS!$I110,CONFIG_ASIGNATURAS!$B$2:$J$91,9,FALSE()),""))</f>
      </c>
    </row>
    <row r="111">
      <c r="F111">
        <f>IF(DATOS!$A111="","",DATOS!$A111&amp;"|"&amp;DATOS!$D111&amp;"|"&amp;DATOS!$E111&amp;"|"&amp;DATOS!$I111)</f>
      </c>
      <c r="G111">
        <f>IF(DATOS!$A111="",0,IF(CONFIG_METADATA!$B$4&lt;&gt;"OR+EX",--(DATOS!$G111=CONFIG_METADATA!$B$4),IF(DATOS!$G111="EX",1,IF(DATOS!$G111="OR",--(COUNTIFS(nNIA,DATOS!$A111,nCURSO,DATOS!$D111,nESPEC,DATOS!$E111,nASIG,DATOS!$I111,nEVAL,"EX")=0),0))))</f>
      </c>
      <c r="H111">
        <f>IF(DATOS!$G111&lt;&gt;"EX",0,--(COUNTIFS(nNIA,DATOS!$A111,nCURSO,DATOS!$D111,nESPEC,DATOS!$E111,nASIG,DATOS!$I111,nEVAL,"OR")=0))</f>
      </c>
      <c r="I111">
        <f>IF(DATOS!$I111="","",IFERROR(VLOOKUP(DATOS!$I111,CONFIG_ASIGNATURAS!$B$2:$J$91,9,FALSE()),""))</f>
      </c>
    </row>
    <row r="112">
      <c r="F112">
        <f>IF(DATOS!$A112="","",DATOS!$A112&amp;"|"&amp;DATOS!$D112&amp;"|"&amp;DATOS!$E112&amp;"|"&amp;DATOS!$I112)</f>
      </c>
      <c r="G112">
        <f>IF(DATOS!$A112="",0,IF(CONFIG_METADATA!$B$4&lt;&gt;"OR+EX",--(DATOS!$G112=CONFIG_METADATA!$B$4),IF(DATOS!$G112="EX",1,IF(DATOS!$G112="OR",--(COUNTIFS(nNIA,DATOS!$A112,nCURSO,DATOS!$D112,nESPEC,DATOS!$E112,nASIG,DATOS!$I112,nEVAL,"EX")=0),0))))</f>
      </c>
      <c r="H112">
        <f>IF(DATOS!$G112&lt;&gt;"EX",0,--(COUNTIFS(nNIA,DATOS!$A112,nCURSO,DATOS!$D112,nESPEC,DATOS!$E112,nASIG,DATOS!$I112,nEVAL,"OR")=0))</f>
      </c>
      <c r="I112">
        <f>IF(DATOS!$I112="","",IFERROR(VLOOKUP(DATOS!$I112,CONFIG_ASIGNATURAS!$B$2:$J$91,9,FALSE()),""))</f>
      </c>
    </row>
    <row r="113">
      <c r="F113">
        <f>IF(DATOS!$A113="","",DATOS!$A113&amp;"|"&amp;DATOS!$D113&amp;"|"&amp;DATOS!$E113&amp;"|"&amp;DATOS!$I113)</f>
      </c>
      <c r="G113">
        <f>IF(DATOS!$A113="",0,IF(CONFIG_METADATA!$B$4&lt;&gt;"OR+EX",--(DATOS!$G113=CONFIG_METADATA!$B$4),IF(DATOS!$G113="EX",1,IF(DATOS!$G113="OR",--(COUNTIFS(nNIA,DATOS!$A113,nCURSO,DATOS!$D113,nESPEC,DATOS!$E113,nASIG,DATOS!$I113,nEVAL,"EX")=0),0))))</f>
      </c>
      <c r="H113">
        <f>IF(DATOS!$G113&lt;&gt;"EX",0,--(COUNTIFS(nNIA,DATOS!$A113,nCURSO,DATOS!$D113,nESPEC,DATOS!$E113,nASIG,DATOS!$I113,nEVAL,"OR")=0))</f>
      </c>
      <c r="I113">
        <f>IF(DATOS!$I113="","",IFERROR(VLOOKUP(DATOS!$I113,CONFIG_ASIGNATURAS!$B$2:$J$91,9,FALSE()),""))</f>
      </c>
    </row>
    <row r="114">
      <c r="F114">
        <f>IF(DATOS!$A114="","",DATOS!$A114&amp;"|"&amp;DATOS!$D114&amp;"|"&amp;DATOS!$E114&amp;"|"&amp;DATOS!$I114)</f>
      </c>
      <c r="G114">
        <f>IF(DATOS!$A114="",0,IF(CONFIG_METADATA!$B$4&lt;&gt;"OR+EX",--(DATOS!$G114=CONFIG_METADATA!$B$4),IF(DATOS!$G114="EX",1,IF(DATOS!$G114="OR",--(COUNTIFS(nNIA,DATOS!$A114,nCURSO,DATOS!$D114,nESPEC,DATOS!$E114,nASIG,DATOS!$I114,nEVAL,"EX")=0),0))))</f>
      </c>
      <c r="H114">
        <f>IF(DATOS!$G114&lt;&gt;"EX",0,--(COUNTIFS(nNIA,DATOS!$A114,nCURSO,DATOS!$D114,nESPEC,DATOS!$E114,nASIG,DATOS!$I114,nEVAL,"OR")=0))</f>
      </c>
      <c r="I114">
        <f>IF(DATOS!$I114="","",IFERROR(VLOOKUP(DATOS!$I114,CONFIG_ASIGNATURAS!$B$2:$J$91,9,FALSE()),""))</f>
      </c>
    </row>
    <row r="115">
      <c r="F115">
        <f>IF(DATOS!$A115="","",DATOS!$A115&amp;"|"&amp;DATOS!$D115&amp;"|"&amp;DATOS!$E115&amp;"|"&amp;DATOS!$I115)</f>
      </c>
      <c r="G115">
        <f>IF(DATOS!$A115="",0,IF(CONFIG_METADATA!$B$4&lt;&gt;"OR+EX",--(DATOS!$G115=CONFIG_METADATA!$B$4),IF(DATOS!$G115="EX",1,IF(DATOS!$G115="OR",--(COUNTIFS(nNIA,DATOS!$A115,nCURSO,DATOS!$D115,nESPEC,DATOS!$E115,nASIG,DATOS!$I115,nEVAL,"EX")=0),0))))</f>
      </c>
      <c r="H115">
        <f>IF(DATOS!$G115&lt;&gt;"EX",0,--(COUNTIFS(nNIA,DATOS!$A115,nCURSO,DATOS!$D115,nESPEC,DATOS!$E115,nASIG,DATOS!$I115,nEVAL,"OR")=0))</f>
      </c>
      <c r="I115">
        <f>IF(DATOS!$I115="","",IFERROR(VLOOKUP(DATOS!$I115,CONFIG_ASIGNATURAS!$B$2:$J$91,9,FALSE()),""))</f>
      </c>
    </row>
    <row r="116">
      <c r="F116">
        <f>IF(DATOS!$A116="","",DATOS!$A116&amp;"|"&amp;DATOS!$D116&amp;"|"&amp;DATOS!$E116&amp;"|"&amp;DATOS!$I116)</f>
      </c>
      <c r="G116">
        <f>IF(DATOS!$A116="",0,IF(CONFIG_METADATA!$B$4&lt;&gt;"OR+EX",--(DATOS!$G116=CONFIG_METADATA!$B$4),IF(DATOS!$G116="EX",1,IF(DATOS!$G116="OR",--(COUNTIFS(nNIA,DATOS!$A116,nCURSO,DATOS!$D116,nESPEC,DATOS!$E116,nASIG,DATOS!$I116,nEVAL,"EX")=0),0))))</f>
      </c>
      <c r="H116">
        <f>IF(DATOS!$G116&lt;&gt;"EX",0,--(COUNTIFS(nNIA,DATOS!$A116,nCURSO,DATOS!$D116,nESPEC,DATOS!$E116,nASIG,DATOS!$I116,nEVAL,"OR")=0))</f>
      </c>
      <c r="I116">
        <f>IF(DATOS!$I116="","",IFERROR(VLOOKUP(DATOS!$I116,CONFIG_ASIGNATURAS!$B$2:$J$91,9,FALSE()),""))</f>
      </c>
    </row>
    <row r="117">
      <c r="F117">
        <f>IF(DATOS!$A117="","",DATOS!$A117&amp;"|"&amp;DATOS!$D117&amp;"|"&amp;DATOS!$E117&amp;"|"&amp;DATOS!$I117)</f>
      </c>
      <c r="G117">
        <f>IF(DATOS!$A117="",0,IF(CONFIG_METADATA!$B$4&lt;&gt;"OR+EX",--(DATOS!$G117=CONFIG_METADATA!$B$4),IF(DATOS!$G117="EX",1,IF(DATOS!$G117="OR",--(COUNTIFS(nNIA,DATOS!$A117,nCURSO,DATOS!$D117,nESPEC,DATOS!$E117,nASIG,DATOS!$I117,nEVAL,"EX")=0),0))))</f>
      </c>
      <c r="H117">
        <f>IF(DATOS!$G117&lt;&gt;"EX",0,--(COUNTIFS(nNIA,DATOS!$A117,nCURSO,DATOS!$D117,nESPEC,DATOS!$E117,nASIG,DATOS!$I117,nEVAL,"OR")=0))</f>
      </c>
      <c r="I117">
        <f>IF(DATOS!$I117="","",IFERROR(VLOOKUP(DATOS!$I117,CONFIG_ASIGNATURAS!$B$2:$J$91,9,FALSE()),""))</f>
      </c>
    </row>
    <row r="118">
      <c r="F118">
        <f>IF(DATOS!$A118="","",DATOS!$A118&amp;"|"&amp;DATOS!$D118&amp;"|"&amp;DATOS!$E118&amp;"|"&amp;DATOS!$I118)</f>
      </c>
      <c r="G118">
        <f>IF(DATOS!$A118="",0,IF(CONFIG_METADATA!$B$4&lt;&gt;"OR+EX",--(DATOS!$G118=CONFIG_METADATA!$B$4),IF(DATOS!$G118="EX",1,IF(DATOS!$G118="OR",--(COUNTIFS(nNIA,DATOS!$A118,nCURSO,DATOS!$D118,nESPEC,DATOS!$E118,nASIG,DATOS!$I118,nEVAL,"EX")=0),0))))</f>
      </c>
      <c r="H118">
        <f>IF(DATOS!$G118&lt;&gt;"EX",0,--(COUNTIFS(nNIA,DATOS!$A118,nCURSO,DATOS!$D118,nESPEC,DATOS!$E118,nASIG,DATOS!$I118,nEVAL,"OR")=0))</f>
      </c>
      <c r="I118">
        <f>IF(DATOS!$I118="","",IFERROR(VLOOKUP(DATOS!$I118,CONFIG_ASIGNATURAS!$B$2:$J$91,9,FALSE()),""))</f>
      </c>
    </row>
    <row r="119">
      <c r="F119">
        <f>IF(DATOS!$A119="","",DATOS!$A119&amp;"|"&amp;DATOS!$D119&amp;"|"&amp;DATOS!$E119&amp;"|"&amp;DATOS!$I119)</f>
      </c>
      <c r="G119">
        <f>IF(DATOS!$A119="",0,IF(CONFIG_METADATA!$B$4&lt;&gt;"OR+EX",--(DATOS!$G119=CONFIG_METADATA!$B$4),IF(DATOS!$G119="EX",1,IF(DATOS!$G119="OR",--(COUNTIFS(nNIA,DATOS!$A119,nCURSO,DATOS!$D119,nESPEC,DATOS!$E119,nASIG,DATOS!$I119,nEVAL,"EX")=0),0))))</f>
      </c>
      <c r="H119">
        <f>IF(DATOS!$G119&lt;&gt;"EX",0,--(COUNTIFS(nNIA,DATOS!$A119,nCURSO,DATOS!$D119,nESPEC,DATOS!$E119,nASIG,DATOS!$I119,nEVAL,"OR")=0))</f>
      </c>
      <c r="I119">
        <f>IF(DATOS!$I119="","",IFERROR(VLOOKUP(DATOS!$I119,CONFIG_ASIGNATURAS!$B$2:$J$91,9,FALSE()),""))</f>
      </c>
    </row>
    <row r="120">
      <c r="F120">
        <f>IF(DATOS!$A120="","",DATOS!$A120&amp;"|"&amp;DATOS!$D120&amp;"|"&amp;DATOS!$E120&amp;"|"&amp;DATOS!$I120)</f>
      </c>
      <c r="G120">
        <f>IF(DATOS!$A120="",0,IF(CONFIG_METADATA!$B$4&lt;&gt;"OR+EX",--(DATOS!$G120=CONFIG_METADATA!$B$4),IF(DATOS!$G120="EX",1,IF(DATOS!$G120="OR",--(COUNTIFS(nNIA,DATOS!$A120,nCURSO,DATOS!$D120,nESPEC,DATOS!$E120,nASIG,DATOS!$I120,nEVAL,"EX")=0),0))))</f>
      </c>
      <c r="H120">
        <f>IF(DATOS!$G120&lt;&gt;"EX",0,--(COUNTIFS(nNIA,DATOS!$A120,nCURSO,DATOS!$D120,nESPEC,DATOS!$E120,nASIG,DATOS!$I120,nEVAL,"OR")=0))</f>
      </c>
      <c r="I120">
        <f>IF(DATOS!$I120="","",IFERROR(VLOOKUP(DATOS!$I120,CONFIG_ASIGNATURAS!$B$2:$J$91,9,FALSE()),""))</f>
      </c>
    </row>
    <row r="121">
      <c r="F121">
        <f>IF(DATOS!$A121="","",DATOS!$A121&amp;"|"&amp;DATOS!$D121&amp;"|"&amp;DATOS!$E121&amp;"|"&amp;DATOS!$I121)</f>
      </c>
      <c r="G121">
        <f>IF(DATOS!$A121="",0,IF(CONFIG_METADATA!$B$4&lt;&gt;"OR+EX",--(DATOS!$G121=CONFIG_METADATA!$B$4),IF(DATOS!$G121="EX",1,IF(DATOS!$G121="OR",--(COUNTIFS(nNIA,DATOS!$A121,nCURSO,DATOS!$D121,nESPEC,DATOS!$E121,nASIG,DATOS!$I121,nEVAL,"EX")=0),0))))</f>
      </c>
      <c r="H121">
        <f>IF(DATOS!$G121&lt;&gt;"EX",0,--(COUNTIFS(nNIA,DATOS!$A121,nCURSO,DATOS!$D121,nESPEC,DATOS!$E121,nASIG,DATOS!$I121,nEVAL,"OR")=0))</f>
      </c>
      <c r="I121">
        <f>IF(DATOS!$I121="","",IFERROR(VLOOKUP(DATOS!$I121,CONFIG_ASIGNATURAS!$B$2:$J$91,9,FALSE()),""))</f>
      </c>
    </row>
    <row r="122">
      <c r="F122">
        <f>IF(DATOS!$A122="","",DATOS!$A122&amp;"|"&amp;DATOS!$D122&amp;"|"&amp;DATOS!$E122&amp;"|"&amp;DATOS!$I122)</f>
      </c>
      <c r="G122">
        <f>IF(DATOS!$A122="",0,IF(CONFIG_METADATA!$B$4&lt;&gt;"OR+EX",--(DATOS!$G122=CONFIG_METADATA!$B$4),IF(DATOS!$G122="EX",1,IF(DATOS!$G122="OR",--(COUNTIFS(nNIA,DATOS!$A122,nCURSO,DATOS!$D122,nESPEC,DATOS!$E122,nASIG,DATOS!$I122,nEVAL,"EX")=0),0))))</f>
      </c>
      <c r="H122">
        <f>IF(DATOS!$G122&lt;&gt;"EX",0,--(COUNTIFS(nNIA,DATOS!$A122,nCURSO,DATOS!$D122,nESPEC,DATOS!$E122,nASIG,DATOS!$I122,nEVAL,"OR")=0))</f>
      </c>
      <c r="I122">
        <f>IF(DATOS!$I122="","",IFERROR(VLOOKUP(DATOS!$I122,CONFIG_ASIGNATURAS!$B$2:$J$91,9,FALSE()),""))</f>
      </c>
    </row>
    <row r="123">
      <c r="F123">
        <f>IF(DATOS!$A123="","",DATOS!$A123&amp;"|"&amp;DATOS!$D123&amp;"|"&amp;DATOS!$E123&amp;"|"&amp;DATOS!$I123)</f>
      </c>
      <c r="G123">
        <f>IF(DATOS!$A123="",0,IF(CONFIG_METADATA!$B$4&lt;&gt;"OR+EX",--(DATOS!$G123=CONFIG_METADATA!$B$4),IF(DATOS!$G123="EX",1,IF(DATOS!$G123="OR",--(COUNTIFS(nNIA,DATOS!$A123,nCURSO,DATOS!$D123,nESPEC,DATOS!$E123,nASIG,DATOS!$I123,nEVAL,"EX")=0),0))))</f>
      </c>
      <c r="H123">
        <f>IF(DATOS!$G123&lt;&gt;"EX",0,--(COUNTIFS(nNIA,DATOS!$A123,nCURSO,DATOS!$D123,nESPEC,DATOS!$E123,nASIG,DATOS!$I123,nEVAL,"OR")=0))</f>
      </c>
      <c r="I123">
        <f>IF(DATOS!$I123="","",IFERROR(VLOOKUP(DATOS!$I123,CONFIG_ASIGNATURAS!$B$2:$J$91,9,FALSE()),""))</f>
      </c>
    </row>
    <row r="124">
      <c r="F124">
        <f>IF(DATOS!$A124="","",DATOS!$A124&amp;"|"&amp;DATOS!$D124&amp;"|"&amp;DATOS!$E124&amp;"|"&amp;DATOS!$I124)</f>
      </c>
      <c r="G124">
        <f>IF(DATOS!$A124="",0,IF(CONFIG_METADATA!$B$4&lt;&gt;"OR+EX",--(DATOS!$G124=CONFIG_METADATA!$B$4),IF(DATOS!$G124="EX",1,IF(DATOS!$G124="OR",--(COUNTIFS(nNIA,DATOS!$A124,nCURSO,DATOS!$D124,nESPEC,DATOS!$E124,nASIG,DATOS!$I124,nEVAL,"EX")=0),0))))</f>
      </c>
      <c r="H124">
        <f>IF(DATOS!$G124&lt;&gt;"EX",0,--(COUNTIFS(nNIA,DATOS!$A124,nCURSO,DATOS!$D124,nESPEC,DATOS!$E124,nASIG,DATOS!$I124,nEVAL,"OR")=0))</f>
      </c>
      <c r="I124">
        <f>IF(DATOS!$I124="","",IFERROR(VLOOKUP(DATOS!$I124,CONFIG_ASIGNATURAS!$B$2:$J$91,9,FALSE()),""))</f>
      </c>
    </row>
    <row r="125">
      <c r="F125">
        <f>IF(DATOS!$A125="","",DATOS!$A125&amp;"|"&amp;DATOS!$D125&amp;"|"&amp;DATOS!$E125&amp;"|"&amp;DATOS!$I125)</f>
      </c>
      <c r="G125">
        <f>IF(DATOS!$A125="",0,IF(CONFIG_METADATA!$B$4&lt;&gt;"OR+EX",--(DATOS!$G125=CONFIG_METADATA!$B$4),IF(DATOS!$G125="EX",1,IF(DATOS!$G125="OR",--(COUNTIFS(nNIA,DATOS!$A125,nCURSO,DATOS!$D125,nESPEC,DATOS!$E125,nASIG,DATOS!$I125,nEVAL,"EX")=0),0))))</f>
      </c>
      <c r="H125">
        <f>IF(DATOS!$G125&lt;&gt;"EX",0,--(COUNTIFS(nNIA,DATOS!$A125,nCURSO,DATOS!$D125,nESPEC,DATOS!$E125,nASIG,DATOS!$I125,nEVAL,"OR")=0))</f>
      </c>
      <c r="I125">
        <f>IF(DATOS!$I125="","",IFERROR(VLOOKUP(DATOS!$I125,CONFIG_ASIGNATURAS!$B$2:$J$91,9,FALSE()),""))</f>
      </c>
    </row>
    <row r="126">
      <c r="F126">
        <f>IF(DATOS!$A126="","",DATOS!$A126&amp;"|"&amp;DATOS!$D126&amp;"|"&amp;DATOS!$E126&amp;"|"&amp;DATOS!$I126)</f>
      </c>
      <c r="G126">
        <f>IF(DATOS!$A126="",0,IF(CONFIG_METADATA!$B$4&lt;&gt;"OR+EX",--(DATOS!$G126=CONFIG_METADATA!$B$4),IF(DATOS!$G126="EX",1,IF(DATOS!$G126="OR",--(COUNTIFS(nNIA,DATOS!$A126,nCURSO,DATOS!$D126,nESPEC,DATOS!$E126,nASIG,DATOS!$I126,nEVAL,"EX")=0),0))))</f>
      </c>
      <c r="H126">
        <f>IF(DATOS!$G126&lt;&gt;"EX",0,--(COUNTIFS(nNIA,DATOS!$A126,nCURSO,DATOS!$D126,nESPEC,DATOS!$E126,nASIG,DATOS!$I126,nEVAL,"OR")=0))</f>
      </c>
      <c r="I126">
        <f>IF(DATOS!$I126="","",IFERROR(VLOOKUP(DATOS!$I126,CONFIG_ASIGNATURAS!$B$2:$J$91,9,FALSE()),""))</f>
      </c>
    </row>
    <row r="127">
      <c r="F127">
        <f>IF(DATOS!$A127="","",DATOS!$A127&amp;"|"&amp;DATOS!$D127&amp;"|"&amp;DATOS!$E127&amp;"|"&amp;DATOS!$I127)</f>
      </c>
      <c r="G127">
        <f>IF(DATOS!$A127="",0,IF(CONFIG_METADATA!$B$4&lt;&gt;"OR+EX",--(DATOS!$G127=CONFIG_METADATA!$B$4),IF(DATOS!$G127="EX",1,IF(DATOS!$G127="OR",--(COUNTIFS(nNIA,DATOS!$A127,nCURSO,DATOS!$D127,nESPEC,DATOS!$E127,nASIG,DATOS!$I127,nEVAL,"EX")=0),0))))</f>
      </c>
      <c r="H127">
        <f>IF(DATOS!$G127&lt;&gt;"EX",0,--(COUNTIFS(nNIA,DATOS!$A127,nCURSO,DATOS!$D127,nESPEC,DATOS!$E127,nASIG,DATOS!$I127,nEVAL,"OR")=0))</f>
      </c>
      <c r="I127">
        <f>IF(DATOS!$I127="","",IFERROR(VLOOKUP(DATOS!$I127,CONFIG_ASIGNATURAS!$B$2:$J$91,9,FALSE()),""))</f>
      </c>
    </row>
    <row r="128">
      <c r="F128">
        <f>IF(DATOS!$A128="","",DATOS!$A128&amp;"|"&amp;DATOS!$D128&amp;"|"&amp;DATOS!$E128&amp;"|"&amp;DATOS!$I128)</f>
      </c>
      <c r="G128">
        <f>IF(DATOS!$A128="",0,IF(CONFIG_METADATA!$B$4&lt;&gt;"OR+EX",--(DATOS!$G128=CONFIG_METADATA!$B$4),IF(DATOS!$G128="EX",1,IF(DATOS!$G128="OR",--(COUNTIFS(nNIA,DATOS!$A128,nCURSO,DATOS!$D128,nESPEC,DATOS!$E128,nASIG,DATOS!$I128,nEVAL,"EX")=0),0))))</f>
      </c>
      <c r="H128">
        <f>IF(DATOS!$G128&lt;&gt;"EX",0,--(COUNTIFS(nNIA,DATOS!$A128,nCURSO,DATOS!$D128,nESPEC,DATOS!$E128,nASIG,DATOS!$I128,nEVAL,"OR")=0))</f>
      </c>
      <c r="I128">
        <f>IF(DATOS!$I128="","",IFERROR(VLOOKUP(DATOS!$I128,CONFIG_ASIGNATURAS!$B$2:$J$91,9,FALSE()),""))</f>
      </c>
    </row>
    <row r="129">
      <c r="F129">
        <f>IF(DATOS!$A129="","",DATOS!$A129&amp;"|"&amp;DATOS!$D129&amp;"|"&amp;DATOS!$E129&amp;"|"&amp;DATOS!$I129)</f>
      </c>
      <c r="G129">
        <f>IF(DATOS!$A129="",0,IF(CONFIG_METADATA!$B$4&lt;&gt;"OR+EX",--(DATOS!$G129=CONFIG_METADATA!$B$4),IF(DATOS!$G129="EX",1,IF(DATOS!$G129="OR",--(COUNTIFS(nNIA,DATOS!$A129,nCURSO,DATOS!$D129,nESPEC,DATOS!$E129,nASIG,DATOS!$I129,nEVAL,"EX")=0),0))))</f>
      </c>
      <c r="H129">
        <f>IF(DATOS!$G129&lt;&gt;"EX",0,--(COUNTIFS(nNIA,DATOS!$A129,nCURSO,DATOS!$D129,nESPEC,DATOS!$E129,nASIG,DATOS!$I129,nEVAL,"OR")=0))</f>
      </c>
      <c r="I129">
        <f>IF(DATOS!$I129="","",IFERROR(VLOOKUP(DATOS!$I129,CONFIG_ASIGNATURAS!$B$2:$J$91,9,FALSE()),""))</f>
      </c>
    </row>
    <row r="130">
      <c r="F130">
        <f>IF(DATOS!$A130="","",DATOS!$A130&amp;"|"&amp;DATOS!$D130&amp;"|"&amp;DATOS!$E130&amp;"|"&amp;DATOS!$I130)</f>
      </c>
      <c r="G130">
        <f>IF(DATOS!$A130="",0,IF(CONFIG_METADATA!$B$4&lt;&gt;"OR+EX",--(DATOS!$G130=CONFIG_METADATA!$B$4),IF(DATOS!$G130="EX",1,IF(DATOS!$G130="OR",--(COUNTIFS(nNIA,DATOS!$A130,nCURSO,DATOS!$D130,nESPEC,DATOS!$E130,nASIG,DATOS!$I130,nEVAL,"EX")=0),0))))</f>
      </c>
      <c r="H130">
        <f>IF(DATOS!$G130&lt;&gt;"EX",0,--(COUNTIFS(nNIA,DATOS!$A130,nCURSO,DATOS!$D130,nESPEC,DATOS!$E130,nASIG,DATOS!$I130,nEVAL,"OR")=0))</f>
      </c>
      <c r="I130">
        <f>IF(DATOS!$I130="","",IFERROR(VLOOKUP(DATOS!$I130,CONFIG_ASIGNATURAS!$B$2:$J$91,9,FALSE()),""))</f>
      </c>
    </row>
    <row r="131">
      <c r="F131">
        <f>IF(DATOS!$A131="","",DATOS!$A131&amp;"|"&amp;DATOS!$D131&amp;"|"&amp;DATOS!$E131&amp;"|"&amp;DATOS!$I131)</f>
      </c>
      <c r="G131">
        <f>IF(DATOS!$A131="",0,IF(CONFIG_METADATA!$B$4&lt;&gt;"OR+EX",--(DATOS!$G131=CONFIG_METADATA!$B$4),IF(DATOS!$G131="EX",1,IF(DATOS!$G131="OR",--(COUNTIFS(nNIA,DATOS!$A131,nCURSO,DATOS!$D131,nESPEC,DATOS!$E131,nASIG,DATOS!$I131,nEVAL,"EX")=0),0))))</f>
      </c>
      <c r="H131">
        <f>IF(DATOS!$G131&lt;&gt;"EX",0,--(COUNTIFS(nNIA,DATOS!$A131,nCURSO,DATOS!$D131,nESPEC,DATOS!$E131,nASIG,DATOS!$I131,nEVAL,"OR")=0))</f>
      </c>
      <c r="I131">
        <f>IF(DATOS!$I131="","",IFERROR(VLOOKUP(DATOS!$I131,CONFIG_ASIGNATURAS!$B$2:$J$91,9,FALSE()),""))</f>
      </c>
    </row>
    <row r="132">
      <c r="F132">
        <f>IF(DATOS!$A132="","",DATOS!$A132&amp;"|"&amp;DATOS!$D132&amp;"|"&amp;DATOS!$E132&amp;"|"&amp;DATOS!$I132)</f>
      </c>
      <c r="G132">
        <f>IF(DATOS!$A132="",0,IF(CONFIG_METADATA!$B$4&lt;&gt;"OR+EX",--(DATOS!$G132=CONFIG_METADATA!$B$4),IF(DATOS!$G132="EX",1,IF(DATOS!$G132="OR",--(COUNTIFS(nNIA,DATOS!$A132,nCURSO,DATOS!$D132,nESPEC,DATOS!$E132,nASIG,DATOS!$I132,nEVAL,"EX")=0),0))))</f>
      </c>
      <c r="H132">
        <f>IF(DATOS!$G132&lt;&gt;"EX",0,--(COUNTIFS(nNIA,DATOS!$A132,nCURSO,DATOS!$D132,nESPEC,DATOS!$E132,nASIG,DATOS!$I132,nEVAL,"OR")=0))</f>
      </c>
      <c r="I132">
        <f>IF(DATOS!$I132="","",IFERROR(VLOOKUP(DATOS!$I132,CONFIG_ASIGNATURAS!$B$2:$J$91,9,FALSE()),""))</f>
      </c>
    </row>
    <row r="133">
      <c r="F133">
        <f>IF(DATOS!$A133="","",DATOS!$A133&amp;"|"&amp;DATOS!$D133&amp;"|"&amp;DATOS!$E133&amp;"|"&amp;DATOS!$I133)</f>
      </c>
      <c r="G133">
        <f>IF(DATOS!$A133="",0,IF(CONFIG_METADATA!$B$4&lt;&gt;"OR+EX",--(DATOS!$G133=CONFIG_METADATA!$B$4),IF(DATOS!$G133="EX",1,IF(DATOS!$G133="OR",--(COUNTIFS(nNIA,DATOS!$A133,nCURSO,DATOS!$D133,nESPEC,DATOS!$E133,nASIG,DATOS!$I133,nEVAL,"EX")=0),0))))</f>
      </c>
      <c r="H133">
        <f>IF(DATOS!$G133&lt;&gt;"EX",0,--(COUNTIFS(nNIA,DATOS!$A133,nCURSO,DATOS!$D133,nESPEC,DATOS!$E133,nASIG,DATOS!$I133,nEVAL,"OR")=0))</f>
      </c>
      <c r="I133">
        <f>IF(DATOS!$I133="","",IFERROR(VLOOKUP(DATOS!$I133,CONFIG_ASIGNATURAS!$B$2:$J$91,9,FALSE()),""))</f>
      </c>
    </row>
    <row r="134">
      <c r="F134">
        <f>IF(DATOS!$A134="","",DATOS!$A134&amp;"|"&amp;DATOS!$D134&amp;"|"&amp;DATOS!$E134&amp;"|"&amp;DATOS!$I134)</f>
      </c>
      <c r="G134">
        <f>IF(DATOS!$A134="",0,IF(CONFIG_METADATA!$B$4&lt;&gt;"OR+EX",--(DATOS!$G134=CONFIG_METADATA!$B$4),IF(DATOS!$G134="EX",1,IF(DATOS!$G134="OR",--(COUNTIFS(nNIA,DATOS!$A134,nCURSO,DATOS!$D134,nESPEC,DATOS!$E134,nASIG,DATOS!$I134,nEVAL,"EX")=0),0))))</f>
      </c>
      <c r="H134">
        <f>IF(DATOS!$G134&lt;&gt;"EX",0,--(COUNTIFS(nNIA,DATOS!$A134,nCURSO,DATOS!$D134,nESPEC,DATOS!$E134,nASIG,DATOS!$I134,nEVAL,"OR")=0))</f>
      </c>
      <c r="I134">
        <f>IF(DATOS!$I134="","",IFERROR(VLOOKUP(DATOS!$I134,CONFIG_ASIGNATURAS!$B$2:$J$91,9,FALSE()),""))</f>
      </c>
    </row>
    <row r="135">
      <c r="F135">
        <f>IF(DATOS!$A135="","",DATOS!$A135&amp;"|"&amp;DATOS!$D135&amp;"|"&amp;DATOS!$E135&amp;"|"&amp;DATOS!$I135)</f>
      </c>
      <c r="G135">
        <f>IF(DATOS!$A135="",0,IF(CONFIG_METADATA!$B$4&lt;&gt;"OR+EX",--(DATOS!$G135=CONFIG_METADATA!$B$4),IF(DATOS!$G135="EX",1,IF(DATOS!$G135="OR",--(COUNTIFS(nNIA,DATOS!$A135,nCURSO,DATOS!$D135,nESPEC,DATOS!$E135,nASIG,DATOS!$I135,nEVAL,"EX")=0),0))))</f>
      </c>
      <c r="H135">
        <f>IF(DATOS!$G135&lt;&gt;"EX",0,--(COUNTIFS(nNIA,DATOS!$A135,nCURSO,DATOS!$D135,nESPEC,DATOS!$E135,nASIG,DATOS!$I135,nEVAL,"OR")=0))</f>
      </c>
      <c r="I135">
        <f>IF(DATOS!$I135="","",IFERROR(VLOOKUP(DATOS!$I135,CONFIG_ASIGNATURAS!$B$2:$J$91,9,FALSE()),""))</f>
      </c>
    </row>
    <row r="136">
      <c r="F136">
        <f>IF(DATOS!$A136="","",DATOS!$A136&amp;"|"&amp;DATOS!$D136&amp;"|"&amp;DATOS!$E136&amp;"|"&amp;DATOS!$I136)</f>
      </c>
      <c r="G136">
        <f>IF(DATOS!$A136="",0,IF(CONFIG_METADATA!$B$4&lt;&gt;"OR+EX",--(DATOS!$G136=CONFIG_METADATA!$B$4),IF(DATOS!$G136="EX",1,IF(DATOS!$G136="OR",--(COUNTIFS(nNIA,DATOS!$A136,nCURSO,DATOS!$D136,nESPEC,DATOS!$E136,nASIG,DATOS!$I136,nEVAL,"EX")=0),0))))</f>
      </c>
      <c r="H136">
        <f>IF(DATOS!$G136&lt;&gt;"EX",0,--(COUNTIFS(nNIA,DATOS!$A136,nCURSO,DATOS!$D136,nESPEC,DATOS!$E136,nASIG,DATOS!$I136,nEVAL,"OR")=0))</f>
      </c>
      <c r="I136">
        <f>IF(DATOS!$I136="","",IFERROR(VLOOKUP(DATOS!$I136,CONFIG_ASIGNATURAS!$B$2:$J$91,9,FALSE()),""))</f>
      </c>
    </row>
    <row r="137">
      <c r="F137">
        <f>IF(DATOS!$A137="","",DATOS!$A137&amp;"|"&amp;DATOS!$D137&amp;"|"&amp;DATOS!$E137&amp;"|"&amp;DATOS!$I137)</f>
      </c>
      <c r="G137">
        <f>IF(DATOS!$A137="",0,IF(CONFIG_METADATA!$B$4&lt;&gt;"OR+EX",--(DATOS!$G137=CONFIG_METADATA!$B$4),IF(DATOS!$G137="EX",1,IF(DATOS!$G137="OR",--(COUNTIFS(nNIA,DATOS!$A137,nCURSO,DATOS!$D137,nESPEC,DATOS!$E137,nASIG,DATOS!$I137,nEVAL,"EX")=0),0))))</f>
      </c>
      <c r="H137">
        <f>IF(DATOS!$G137&lt;&gt;"EX",0,--(COUNTIFS(nNIA,DATOS!$A137,nCURSO,DATOS!$D137,nESPEC,DATOS!$E137,nASIG,DATOS!$I137,nEVAL,"OR")=0))</f>
      </c>
      <c r="I137">
        <f>IF(DATOS!$I137="","",IFERROR(VLOOKUP(DATOS!$I137,CONFIG_ASIGNATURAS!$B$2:$J$91,9,FALSE()),""))</f>
      </c>
    </row>
    <row r="138">
      <c r="F138">
        <f>IF(DATOS!$A138="","",DATOS!$A138&amp;"|"&amp;DATOS!$D138&amp;"|"&amp;DATOS!$E138&amp;"|"&amp;DATOS!$I138)</f>
      </c>
      <c r="G138">
        <f>IF(DATOS!$A138="",0,IF(CONFIG_METADATA!$B$4&lt;&gt;"OR+EX",--(DATOS!$G138=CONFIG_METADATA!$B$4),IF(DATOS!$G138="EX",1,IF(DATOS!$G138="OR",--(COUNTIFS(nNIA,DATOS!$A138,nCURSO,DATOS!$D138,nESPEC,DATOS!$E138,nASIG,DATOS!$I138,nEVAL,"EX")=0),0))))</f>
      </c>
      <c r="H138">
        <f>IF(DATOS!$G138&lt;&gt;"EX",0,--(COUNTIFS(nNIA,DATOS!$A138,nCURSO,DATOS!$D138,nESPEC,DATOS!$E138,nASIG,DATOS!$I138,nEVAL,"OR")=0))</f>
      </c>
      <c r="I138">
        <f>IF(DATOS!$I138="","",IFERROR(VLOOKUP(DATOS!$I138,CONFIG_ASIGNATURAS!$B$2:$J$91,9,FALSE()),""))</f>
      </c>
    </row>
    <row r="139">
      <c r="F139">
        <f>IF(DATOS!$A139="","",DATOS!$A139&amp;"|"&amp;DATOS!$D139&amp;"|"&amp;DATOS!$E139&amp;"|"&amp;DATOS!$I139)</f>
      </c>
      <c r="G139">
        <f>IF(DATOS!$A139="",0,IF(CONFIG_METADATA!$B$4&lt;&gt;"OR+EX",--(DATOS!$G139=CONFIG_METADATA!$B$4),IF(DATOS!$G139="EX",1,IF(DATOS!$G139="OR",--(COUNTIFS(nNIA,DATOS!$A139,nCURSO,DATOS!$D139,nESPEC,DATOS!$E139,nASIG,DATOS!$I139,nEVAL,"EX")=0),0))))</f>
      </c>
      <c r="H139">
        <f>IF(DATOS!$G139&lt;&gt;"EX",0,--(COUNTIFS(nNIA,DATOS!$A139,nCURSO,DATOS!$D139,nESPEC,DATOS!$E139,nASIG,DATOS!$I139,nEVAL,"OR")=0))</f>
      </c>
      <c r="I139">
        <f>IF(DATOS!$I139="","",IFERROR(VLOOKUP(DATOS!$I139,CONFIG_ASIGNATURAS!$B$2:$J$91,9,FALSE()),""))</f>
      </c>
    </row>
    <row r="140">
      <c r="F140">
        <f>IF(DATOS!$A140="","",DATOS!$A140&amp;"|"&amp;DATOS!$D140&amp;"|"&amp;DATOS!$E140&amp;"|"&amp;DATOS!$I140)</f>
      </c>
      <c r="G140">
        <f>IF(DATOS!$A140="",0,IF(CONFIG_METADATA!$B$4&lt;&gt;"OR+EX",--(DATOS!$G140=CONFIG_METADATA!$B$4),IF(DATOS!$G140="EX",1,IF(DATOS!$G140="OR",--(COUNTIFS(nNIA,DATOS!$A140,nCURSO,DATOS!$D140,nESPEC,DATOS!$E140,nASIG,DATOS!$I140,nEVAL,"EX")=0),0))))</f>
      </c>
      <c r="H140">
        <f>IF(DATOS!$G140&lt;&gt;"EX",0,--(COUNTIFS(nNIA,DATOS!$A140,nCURSO,DATOS!$D140,nESPEC,DATOS!$E140,nASIG,DATOS!$I140,nEVAL,"OR")=0))</f>
      </c>
      <c r="I140">
        <f>IF(DATOS!$I140="","",IFERROR(VLOOKUP(DATOS!$I140,CONFIG_ASIGNATURAS!$B$2:$J$91,9,FALSE()),""))</f>
      </c>
    </row>
    <row r="141">
      <c r="F141">
        <f>IF(DATOS!$A141="","",DATOS!$A141&amp;"|"&amp;DATOS!$D141&amp;"|"&amp;DATOS!$E141&amp;"|"&amp;DATOS!$I141)</f>
      </c>
      <c r="G141">
        <f>IF(DATOS!$A141="",0,IF(CONFIG_METADATA!$B$4&lt;&gt;"OR+EX",--(DATOS!$G141=CONFIG_METADATA!$B$4),IF(DATOS!$G141="EX",1,IF(DATOS!$G141="OR",--(COUNTIFS(nNIA,DATOS!$A141,nCURSO,DATOS!$D141,nESPEC,DATOS!$E141,nASIG,DATOS!$I141,nEVAL,"EX")=0),0))))</f>
      </c>
      <c r="H141">
        <f>IF(DATOS!$G141&lt;&gt;"EX",0,--(COUNTIFS(nNIA,DATOS!$A141,nCURSO,DATOS!$D141,nESPEC,DATOS!$E141,nASIG,DATOS!$I141,nEVAL,"OR")=0))</f>
      </c>
      <c r="I141">
        <f>IF(DATOS!$I141="","",IFERROR(VLOOKUP(DATOS!$I141,CONFIG_ASIGNATURAS!$B$2:$J$91,9,FALSE()),""))</f>
      </c>
    </row>
    <row r="142">
      <c r="F142">
        <f>IF(DATOS!$A142="","",DATOS!$A142&amp;"|"&amp;DATOS!$D142&amp;"|"&amp;DATOS!$E142&amp;"|"&amp;DATOS!$I142)</f>
      </c>
      <c r="G142">
        <f>IF(DATOS!$A142="",0,IF(CONFIG_METADATA!$B$4&lt;&gt;"OR+EX",--(DATOS!$G142=CONFIG_METADATA!$B$4),IF(DATOS!$G142="EX",1,IF(DATOS!$G142="OR",--(COUNTIFS(nNIA,DATOS!$A142,nCURSO,DATOS!$D142,nESPEC,DATOS!$E142,nASIG,DATOS!$I142,nEVAL,"EX")=0),0))))</f>
      </c>
      <c r="H142">
        <f>IF(DATOS!$G142&lt;&gt;"EX",0,--(COUNTIFS(nNIA,DATOS!$A142,nCURSO,DATOS!$D142,nESPEC,DATOS!$E142,nASIG,DATOS!$I142,nEVAL,"OR")=0))</f>
      </c>
      <c r="I142">
        <f>IF(DATOS!$I142="","",IFERROR(VLOOKUP(DATOS!$I142,CONFIG_ASIGNATURAS!$B$2:$J$91,9,FALSE()),""))</f>
      </c>
    </row>
    <row r="143">
      <c r="F143">
        <f>IF(DATOS!$A143="","",DATOS!$A143&amp;"|"&amp;DATOS!$D143&amp;"|"&amp;DATOS!$E143&amp;"|"&amp;DATOS!$I143)</f>
      </c>
      <c r="G143">
        <f>IF(DATOS!$A143="",0,IF(CONFIG_METADATA!$B$4&lt;&gt;"OR+EX",--(DATOS!$G143=CONFIG_METADATA!$B$4),IF(DATOS!$G143="EX",1,IF(DATOS!$G143="OR",--(COUNTIFS(nNIA,DATOS!$A143,nCURSO,DATOS!$D143,nESPEC,DATOS!$E143,nASIG,DATOS!$I143,nEVAL,"EX")=0),0))))</f>
      </c>
      <c r="H143">
        <f>IF(DATOS!$G143&lt;&gt;"EX",0,--(COUNTIFS(nNIA,DATOS!$A143,nCURSO,DATOS!$D143,nESPEC,DATOS!$E143,nASIG,DATOS!$I143,nEVAL,"OR")=0))</f>
      </c>
      <c r="I143">
        <f>IF(DATOS!$I143="","",IFERROR(VLOOKUP(DATOS!$I143,CONFIG_ASIGNATURAS!$B$2:$J$91,9,FALSE()),""))</f>
      </c>
    </row>
    <row r="144">
      <c r="F144">
        <f>IF(DATOS!$A144="","",DATOS!$A144&amp;"|"&amp;DATOS!$D144&amp;"|"&amp;DATOS!$E144&amp;"|"&amp;DATOS!$I144)</f>
      </c>
      <c r="G144">
        <f>IF(DATOS!$A144="",0,IF(CONFIG_METADATA!$B$4&lt;&gt;"OR+EX",--(DATOS!$G144=CONFIG_METADATA!$B$4),IF(DATOS!$G144="EX",1,IF(DATOS!$G144="OR",--(COUNTIFS(nNIA,DATOS!$A144,nCURSO,DATOS!$D144,nESPEC,DATOS!$E144,nASIG,DATOS!$I144,nEVAL,"EX")=0),0))))</f>
      </c>
      <c r="H144">
        <f>IF(DATOS!$G144&lt;&gt;"EX",0,--(COUNTIFS(nNIA,DATOS!$A144,nCURSO,DATOS!$D144,nESPEC,DATOS!$E144,nASIG,DATOS!$I144,nEVAL,"OR")=0))</f>
      </c>
      <c r="I144">
        <f>IF(DATOS!$I144="","",IFERROR(VLOOKUP(DATOS!$I144,CONFIG_ASIGNATURAS!$B$2:$J$91,9,FALSE()),""))</f>
      </c>
    </row>
    <row r="145">
      <c r="F145">
        <f>IF(DATOS!$A145="","",DATOS!$A145&amp;"|"&amp;DATOS!$D145&amp;"|"&amp;DATOS!$E145&amp;"|"&amp;DATOS!$I145)</f>
      </c>
      <c r="G145">
        <f>IF(DATOS!$A145="",0,IF(CONFIG_METADATA!$B$4&lt;&gt;"OR+EX",--(DATOS!$G145=CONFIG_METADATA!$B$4),IF(DATOS!$G145="EX",1,IF(DATOS!$G145="OR",--(COUNTIFS(nNIA,DATOS!$A145,nCURSO,DATOS!$D145,nESPEC,DATOS!$E145,nASIG,DATOS!$I145,nEVAL,"EX")=0),0))))</f>
      </c>
      <c r="H145">
        <f>IF(DATOS!$G145&lt;&gt;"EX",0,--(COUNTIFS(nNIA,DATOS!$A145,nCURSO,DATOS!$D145,nESPEC,DATOS!$E145,nASIG,DATOS!$I145,nEVAL,"OR")=0))</f>
      </c>
      <c r="I145">
        <f>IF(DATOS!$I145="","",IFERROR(VLOOKUP(DATOS!$I145,CONFIG_ASIGNATURAS!$B$2:$J$91,9,FALSE()),""))</f>
      </c>
    </row>
    <row r="146">
      <c r="F146">
        <f>IF(DATOS!$A146="","",DATOS!$A146&amp;"|"&amp;DATOS!$D146&amp;"|"&amp;DATOS!$E146&amp;"|"&amp;DATOS!$I146)</f>
      </c>
      <c r="G146">
        <f>IF(DATOS!$A146="",0,IF(CONFIG_METADATA!$B$4&lt;&gt;"OR+EX",--(DATOS!$G146=CONFIG_METADATA!$B$4),IF(DATOS!$G146="EX",1,IF(DATOS!$G146="OR",--(COUNTIFS(nNIA,DATOS!$A146,nCURSO,DATOS!$D146,nESPEC,DATOS!$E146,nASIG,DATOS!$I146,nEVAL,"EX")=0),0))))</f>
      </c>
      <c r="H146">
        <f>IF(DATOS!$G146&lt;&gt;"EX",0,--(COUNTIFS(nNIA,DATOS!$A146,nCURSO,DATOS!$D146,nESPEC,DATOS!$E146,nASIG,DATOS!$I146,nEVAL,"OR")=0))</f>
      </c>
      <c r="I146">
        <f>IF(DATOS!$I146="","",IFERROR(VLOOKUP(DATOS!$I146,CONFIG_ASIGNATURAS!$B$2:$J$91,9,FALSE()),""))</f>
      </c>
    </row>
    <row r="147">
      <c r="F147">
        <f>IF(DATOS!$A147="","",DATOS!$A147&amp;"|"&amp;DATOS!$D147&amp;"|"&amp;DATOS!$E147&amp;"|"&amp;DATOS!$I147)</f>
      </c>
      <c r="G147">
        <f>IF(DATOS!$A147="",0,IF(CONFIG_METADATA!$B$4&lt;&gt;"OR+EX",--(DATOS!$G147=CONFIG_METADATA!$B$4),IF(DATOS!$G147="EX",1,IF(DATOS!$G147="OR",--(COUNTIFS(nNIA,DATOS!$A147,nCURSO,DATOS!$D147,nESPEC,DATOS!$E147,nASIG,DATOS!$I147,nEVAL,"EX")=0),0))))</f>
      </c>
      <c r="H147">
        <f>IF(DATOS!$G147&lt;&gt;"EX",0,--(COUNTIFS(nNIA,DATOS!$A147,nCURSO,DATOS!$D147,nESPEC,DATOS!$E147,nASIG,DATOS!$I147,nEVAL,"OR")=0))</f>
      </c>
      <c r="I147">
        <f>IF(DATOS!$I147="","",IFERROR(VLOOKUP(DATOS!$I147,CONFIG_ASIGNATURAS!$B$2:$J$91,9,FALSE()),""))</f>
      </c>
    </row>
    <row r="148">
      <c r="F148">
        <f>IF(DATOS!$A148="","",DATOS!$A148&amp;"|"&amp;DATOS!$D148&amp;"|"&amp;DATOS!$E148&amp;"|"&amp;DATOS!$I148)</f>
      </c>
      <c r="G148">
        <f>IF(DATOS!$A148="",0,IF(CONFIG_METADATA!$B$4&lt;&gt;"OR+EX",--(DATOS!$G148=CONFIG_METADATA!$B$4),IF(DATOS!$G148="EX",1,IF(DATOS!$G148="OR",--(COUNTIFS(nNIA,DATOS!$A148,nCURSO,DATOS!$D148,nESPEC,DATOS!$E148,nASIG,DATOS!$I148,nEVAL,"EX")=0),0))))</f>
      </c>
      <c r="H148">
        <f>IF(DATOS!$G148&lt;&gt;"EX",0,--(COUNTIFS(nNIA,DATOS!$A148,nCURSO,DATOS!$D148,nESPEC,DATOS!$E148,nASIG,DATOS!$I148,nEVAL,"OR")=0))</f>
      </c>
      <c r="I148">
        <f>IF(DATOS!$I148="","",IFERROR(VLOOKUP(DATOS!$I148,CONFIG_ASIGNATURAS!$B$2:$J$91,9,FALSE()),""))</f>
      </c>
    </row>
    <row r="149">
      <c r="F149">
        <f>IF(DATOS!$A149="","",DATOS!$A149&amp;"|"&amp;DATOS!$D149&amp;"|"&amp;DATOS!$E149&amp;"|"&amp;DATOS!$I149)</f>
      </c>
      <c r="G149">
        <f>IF(DATOS!$A149="",0,IF(CONFIG_METADATA!$B$4&lt;&gt;"OR+EX",--(DATOS!$G149=CONFIG_METADATA!$B$4),IF(DATOS!$G149="EX",1,IF(DATOS!$G149="OR",--(COUNTIFS(nNIA,DATOS!$A149,nCURSO,DATOS!$D149,nESPEC,DATOS!$E149,nASIG,DATOS!$I149,nEVAL,"EX")=0),0))))</f>
      </c>
      <c r="H149">
        <f>IF(DATOS!$G149&lt;&gt;"EX",0,--(COUNTIFS(nNIA,DATOS!$A149,nCURSO,DATOS!$D149,nESPEC,DATOS!$E149,nASIG,DATOS!$I149,nEVAL,"OR")=0))</f>
      </c>
      <c r="I149">
        <f>IF(DATOS!$I149="","",IFERROR(VLOOKUP(DATOS!$I149,CONFIG_ASIGNATURAS!$B$2:$J$91,9,FALSE()),""))</f>
      </c>
    </row>
    <row r="150">
      <c r="F150">
        <f>IF(DATOS!$A150="","",DATOS!$A150&amp;"|"&amp;DATOS!$D150&amp;"|"&amp;DATOS!$E150&amp;"|"&amp;DATOS!$I150)</f>
      </c>
      <c r="G150">
        <f>IF(DATOS!$A150="",0,IF(CONFIG_METADATA!$B$4&lt;&gt;"OR+EX",--(DATOS!$G150=CONFIG_METADATA!$B$4),IF(DATOS!$G150="EX",1,IF(DATOS!$G150="OR",--(COUNTIFS(nNIA,DATOS!$A150,nCURSO,DATOS!$D150,nESPEC,DATOS!$E150,nASIG,DATOS!$I150,nEVAL,"EX")=0),0))))</f>
      </c>
      <c r="H150">
        <f>IF(DATOS!$G150&lt;&gt;"EX",0,--(COUNTIFS(nNIA,DATOS!$A150,nCURSO,DATOS!$D150,nESPEC,DATOS!$E150,nASIG,DATOS!$I150,nEVAL,"OR")=0))</f>
      </c>
      <c r="I150">
        <f>IF(DATOS!$I150="","",IFERROR(VLOOKUP(DATOS!$I150,CONFIG_ASIGNATURAS!$B$2:$J$91,9,FALSE()),""))</f>
      </c>
    </row>
    <row r="151">
      <c r="F151">
        <f>IF(DATOS!$A151="","",DATOS!$A151&amp;"|"&amp;DATOS!$D151&amp;"|"&amp;DATOS!$E151&amp;"|"&amp;DATOS!$I151)</f>
      </c>
      <c r="G151">
        <f>IF(DATOS!$A151="",0,IF(CONFIG_METADATA!$B$4&lt;&gt;"OR+EX",--(DATOS!$G151=CONFIG_METADATA!$B$4),IF(DATOS!$G151="EX",1,IF(DATOS!$G151="OR",--(COUNTIFS(nNIA,DATOS!$A151,nCURSO,DATOS!$D151,nESPEC,DATOS!$E151,nASIG,DATOS!$I151,nEVAL,"EX")=0),0))))</f>
      </c>
      <c r="H151">
        <f>IF(DATOS!$G151&lt;&gt;"EX",0,--(COUNTIFS(nNIA,DATOS!$A151,nCURSO,DATOS!$D151,nESPEC,DATOS!$E151,nASIG,DATOS!$I151,nEVAL,"OR")=0))</f>
      </c>
      <c r="I151">
        <f>IF(DATOS!$I151="","",IFERROR(VLOOKUP(DATOS!$I151,CONFIG_ASIGNATURAS!$B$2:$J$91,9,FALSE()),""))</f>
      </c>
    </row>
    <row r="152">
      <c r="F152">
        <f>IF(DATOS!$A152="","",DATOS!$A152&amp;"|"&amp;DATOS!$D152&amp;"|"&amp;DATOS!$E152&amp;"|"&amp;DATOS!$I152)</f>
      </c>
      <c r="G152">
        <f>IF(DATOS!$A152="",0,IF(CONFIG_METADATA!$B$4&lt;&gt;"OR+EX",--(DATOS!$G152=CONFIG_METADATA!$B$4),IF(DATOS!$G152="EX",1,IF(DATOS!$G152="OR",--(COUNTIFS(nNIA,DATOS!$A152,nCURSO,DATOS!$D152,nESPEC,DATOS!$E152,nASIG,DATOS!$I152,nEVAL,"EX")=0),0))))</f>
      </c>
      <c r="H152">
        <f>IF(DATOS!$G152&lt;&gt;"EX",0,--(COUNTIFS(nNIA,DATOS!$A152,nCURSO,DATOS!$D152,nESPEC,DATOS!$E152,nASIG,DATOS!$I152,nEVAL,"OR")=0))</f>
      </c>
      <c r="I152">
        <f>IF(DATOS!$I152="","",IFERROR(VLOOKUP(DATOS!$I152,CONFIG_ASIGNATURAS!$B$2:$J$91,9,FALSE()),""))</f>
      </c>
    </row>
    <row r="153">
      <c r="F153">
        <f>IF(DATOS!$A153="","",DATOS!$A153&amp;"|"&amp;DATOS!$D153&amp;"|"&amp;DATOS!$E153&amp;"|"&amp;DATOS!$I153)</f>
      </c>
      <c r="G153">
        <f>IF(DATOS!$A153="",0,IF(CONFIG_METADATA!$B$4&lt;&gt;"OR+EX",--(DATOS!$G153=CONFIG_METADATA!$B$4),IF(DATOS!$G153="EX",1,IF(DATOS!$G153="OR",--(COUNTIFS(nNIA,DATOS!$A153,nCURSO,DATOS!$D153,nESPEC,DATOS!$E153,nASIG,DATOS!$I153,nEVAL,"EX")=0),0))))</f>
      </c>
      <c r="H153">
        <f>IF(DATOS!$G153&lt;&gt;"EX",0,--(COUNTIFS(nNIA,DATOS!$A153,nCURSO,DATOS!$D153,nESPEC,DATOS!$E153,nASIG,DATOS!$I153,nEVAL,"OR")=0))</f>
      </c>
      <c r="I153">
        <f>IF(DATOS!$I153="","",IFERROR(VLOOKUP(DATOS!$I153,CONFIG_ASIGNATURAS!$B$2:$J$91,9,FALSE()),""))</f>
      </c>
    </row>
    <row r="154">
      <c r="F154">
        <f>IF(DATOS!$A154="","",DATOS!$A154&amp;"|"&amp;DATOS!$D154&amp;"|"&amp;DATOS!$E154&amp;"|"&amp;DATOS!$I154)</f>
      </c>
      <c r="G154">
        <f>IF(DATOS!$A154="",0,IF(CONFIG_METADATA!$B$4&lt;&gt;"OR+EX",--(DATOS!$G154=CONFIG_METADATA!$B$4),IF(DATOS!$G154="EX",1,IF(DATOS!$G154="OR",--(COUNTIFS(nNIA,DATOS!$A154,nCURSO,DATOS!$D154,nESPEC,DATOS!$E154,nASIG,DATOS!$I154,nEVAL,"EX")=0),0))))</f>
      </c>
      <c r="H154">
        <f>IF(DATOS!$G154&lt;&gt;"EX",0,--(COUNTIFS(nNIA,DATOS!$A154,nCURSO,DATOS!$D154,nESPEC,DATOS!$E154,nASIG,DATOS!$I154,nEVAL,"OR")=0))</f>
      </c>
      <c r="I154">
        <f>IF(DATOS!$I154="","",IFERROR(VLOOKUP(DATOS!$I154,CONFIG_ASIGNATURAS!$B$2:$J$91,9,FALSE()),""))</f>
      </c>
    </row>
    <row r="155">
      <c r="F155">
        <f>IF(DATOS!$A155="","",DATOS!$A155&amp;"|"&amp;DATOS!$D155&amp;"|"&amp;DATOS!$E155&amp;"|"&amp;DATOS!$I155)</f>
      </c>
      <c r="G155">
        <f>IF(DATOS!$A155="",0,IF(CONFIG_METADATA!$B$4&lt;&gt;"OR+EX",--(DATOS!$G155=CONFIG_METADATA!$B$4),IF(DATOS!$G155="EX",1,IF(DATOS!$G155="OR",--(COUNTIFS(nNIA,DATOS!$A155,nCURSO,DATOS!$D155,nESPEC,DATOS!$E155,nASIG,DATOS!$I155,nEVAL,"EX")=0),0))))</f>
      </c>
      <c r="H155">
        <f>IF(DATOS!$G155&lt;&gt;"EX",0,--(COUNTIFS(nNIA,DATOS!$A155,nCURSO,DATOS!$D155,nESPEC,DATOS!$E155,nASIG,DATOS!$I155,nEVAL,"OR")=0))</f>
      </c>
      <c r="I155">
        <f>IF(DATOS!$I155="","",IFERROR(VLOOKUP(DATOS!$I155,CONFIG_ASIGNATURAS!$B$2:$J$91,9,FALSE()),""))</f>
      </c>
    </row>
    <row r="156">
      <c r="F156">
        <f>IF(DATOS!$A156="","",DATOS!$A156&amp;"|"&amp;DATOS!$D156&amp;"|"&amp;DATOS!$E156&amp;"|"&amp;DATOS!$I156)</f>
      </c>
      <c r="G156">
        <f>IF(DATOS!$A156="",0,IF(CONFIG_METADATA!$B$4&lt;&gt;"OR+EX",--(DATOS!$G156=CONFIG_METADATA!$B$4),IF(DATOS!$G156="EX",1,IF(DATOS!$G156="OR",--(COUNTIFS(nNIA,DATOS!$A156,nCURSO,DATOS!$D156,nESPEC,DATOS!$E156,nASIG,DATOS!$I156,nEVAL,"EX")=0),0))))</f>
      </c>
      <c r="H156">
        <f>IF(DATOS!$G156&lt;&gt;"EX",0,--(COUNTIFS(nNIA,DATOS!$A156,nCURSO,DATOS!$D156,nESPEC,DATOS!$E156,nASIG,DATOS!$I156,nEVAL,"OR")=0))</f>
      </c>
      <c r="I156">
        <f>IF(DATOS!$I156="","",IFERROR(VLOOKUP(DATOS!$I156,CONFIG_ASIGNATURAS!$B$2:$J$91,9,FALSE()),""))</f>
      </c>
    </row>
    <row r="157">
      <c r="F157">
        <f>IF(DATOS!$A157="","",DATOS!$A157&amp;"|"&amp;DATOS!$D157&amp;"|"&amp;DATOS!$E157&amp;"|"&amp;DATOS!$I157)</f>
      </c>
      <c r="G157">
        <f>IF(DATOS!$A157="",0,IF(CONFIG_METADATA!$B$4&lt;&gt;"OR+EX",--(DATOS!$G157=CONFIG_METADATA!$B$4),IF(DATOS!$G157="EX",1,IF(DATOS!$G157="OR",--(COUNTIFS(nNIA,DATOS!$A157,nCURSO,DATOS!$D157,nESPEC,DATOS!$E157,nASIG,DATOS!$I157,nEVAL,"EX")=0),0))))</f>
      </c>
      <c r="H157">
        <f>IF(DATOS!$G157&lt;&gt;"EX",0,--(COUNTIFS(nNIA,DATOS!$A157,nCURSO,DATOS!$D157,nESPEC,DATOS!$E157,nASIG,DATOS!$I157,nEVAL,"OR")=0))</f>
      </c>
      <c r="I157">
        <f>IF(DATOS!$I157="","",IFERROR(VLOOKUP(DATOS!$I157,CONFIG_ASIGNATURAS!$B$2:$J$91,9,FALSE()),""))</f>
      </c>
    </row>
    <row r="158">
      <c r="F158">
        <f>IF(DATOS!$A158="","",DATOS!$A158&amp;"|"&amp;DATOS!$D158&amp;"|"&amp;DATOS!$E158&amp;"|"&amp;DATOS!$I158)</f>
      </c>
      <c r="G158">
        <f>IF(DATOS!$A158="",0,IF(CONFIG_METADATA!$B$4&lt;&gt;"OR+EX",--(DATOS!$G158=CONFIG_METADATA!$B$4),IF(DATOS!$G158="EX",1,IF(DATOS!$G158="OR",--(COUNTIFS(nNIA,DATOS!$A158,nCURSO,DATOS!$D158,nESPEC,DATOS!$E158,nASIG,DATOS!$I158,nEVAL,"EX")=0),0))))</f>
      </c>
      <c r="H158">
        <f>IF(DATOS!$G158&lt;&gt;"EX",0,--(COUNTIFS(nNIA,DATOS!$A158,nCURSO,DATOS!$D158,nESPEC,DATOS!$E158,nASIG,DATOS!$I158,nEVAL,"OR")=0))</f>
      </c>
      <c r="I158">
        <f>IF(DATOS!$I158="","",IFERROR(VLOOKUP(DATOS!$I158,CONFIG_ASIGNATURAS!$B$2:$J$91,9,FALSE()),""))</f>
      </c>
    </row>
    <row r="159">
      <c r="F159">
        <f>IF(DATOS!$A159="","",DATOS!$A159&amp;"|"&amp;DATOS!$D159&amp;"|"&amp;DATOS!$E159&amp;"|"&amp;DATOS!$I159)</f>
      </c>
      <c r="G159">
        <f>IF(DATOS!$A159="",0,IF(CONFIG_METADATA!$B$4&lt;&gt;"OR+EX",--(DATOS!$G159=CONFIG_METADATA!$B$4),IF(DATOS!$G159="EX",1,IF(DATOS!$G159="OR",--(COUNTIFS(nNIA,DATOS!$A159,nCURSO,DATOS!$D159,nESPEC,DATOS!$E159,nASIG,DATOS!$I159,nEVAL,"EX")=0),0))))</f>
      </c>
      <c r="H159">
        <f>IF(DATOS!$G159&lt;&gt;"EX",0,--(COUNTIFS(nNIA,DATOS!$A159,nCURSO,DATOS!$D159,nESPEC,DATOS!$E159,nASIG,DATOS!$I159,nEVAL,"OR")=0))</f>
      </c>
      <c r="I159">
        <f>IF(DATOS!$I159="","",IFERROR(VLOOKUP(DATOS!$I159,CONFIG_ASIGNATURAS!$B$2:$J$91,9,FALSE()),""))</f>
      </c>
    </row>
    <row r="160">
      <c r="F160">
        <f>IF(DATOS!$A160="","",DATOS!$A160&amp;"|"&amp;DATOS!$D160&amp;"|"&amp;DATOS!$E160&amp;"|"&amp;DATOS!$I160)</f>
      </c>
      <c r="G160">
        <f>IF(DATOS!$A160="",0,IF(CONFIG_METADATA!$B$4&lt;&gt;"OR+EX",--(DATOS!$G160=CONFIG_METADATA!$B$4),IF(DATOS!$G160="EX",1,IF(DATOS!$G160="OR",--(COUNTIFS(nNIA,DATOS!$A160,nCURSO,DATOS!$D160,nESPEC,DATOS!$E160,nASIG,DATOS!$I160,nEVAL,"EX")=0),0))))</f>
      </c>
      <c r="H160">
        <f>IF(DATOS!$G160&lt;&gt;"EX",0,--(COUNTIFS(nNIA,DATOS!$A160,nCURSO,DATOS!$D160,nESPEC,DATOS!$E160,nASIG,DATOS!$I160,nEVAL,"OR")=0))</f>
      </c>
      <c r="I160">
        <f>IF(DATOS!$I160="","",IFERROR(VLOOKUP(DATOS!$I160,CONFIG_ASIGNATURAS!$B$2:$J$91,9,FALSE()),""))</f>
      </c>
    </row>
    <row r="161">
      <c r="F161">
        <f>IF(DATOS!$A161="","",DATOS!$A161&amp;"|"&amp;DATOS!$D161&amp;"|"&amp;DATOS!$E161&amp;"|"&amp;DATOS!$I161)</f>
      </c>
      <c r="G161">
        <f>IF(DATOS!$A161="",0,IF(CONFIG_METADATA!$B$4&lt;&gt;"OR+EX",--(DATOS!$G161=CONFIG_METADATA!$B$4),IF(DATOS!$G161="EX",1,IF(DATOS!$G161="OR",--(COUNTIFS(nNIA,DATOS!$A161,nCURSO,DATOS!$D161,nESPEC,DATOS!$E161,nASIG,DATOS!$I161,nEVAL,"EX")=0),0))))</f>
      </c>
      <c r="H161">
        <f>IF(DATOS!$G161&lt;&gt;"EX",0,--(COUNTIFS(nNIA,DATOS!$A161,nCURSO,DATOS!$D161,nESPEC,DATOS!$E161,nASIG,DATOS!$I161,nEVAL,"OR")=0))</f>
      </c>
      <c r="I161">
        <f>IF(DATOS!$I161="","",IFERROR(VLOOKUP(DATOS!$I161,CONFIG_ASIGNATURAS!$B$2:$J$91,9,FALSE()),""))</f>
      </c>
    </row>
    <row r="162">
      <c r="F162">
        <f>IF(DATOS!$A162="","",DATOS!$A162&amp;"|"&amp;DATOS!$D162&amp;"|"&amp;DATOS!$E162&amp;"|"&amp;DATOS!$I162)</f>
      </c>
      <c r="G162">
        <f>IF(DATOS!$A162="",0,IF(CONFIG_METADATA!$B$4&lt;&gt;"OR+EX",--(DATOS!$G162=CONFIG_METADATA!$B$4),IF(DATOS!$G162="EX",1,IF(DATOS!$G162="OR",--(COUNTIFS(nNIA,DATOS!$A162,nCURSO,DATOS!$D162,nESPEC,DATOS!$E162,nASIG,DATOS!$I162,nEVAL,"EX")=0),0))))</f>
      </c>
      <c r="H162">
        <f>IF(DATOS!$G162&lt;&gt;"EX",0,--(COUNTIFS(nNIA,DATOS!$A162,nCURSO,DATOS!$D162,nESPEC,DATOS!$E162,nASIG,DATOS!$I162,nEVAL,"OR")=0))</f>
      </c>
      <c r="I162">
        <f>IF(DATOS!$I162="","",IFERROR(VLOOKUP(DATOS!$I162,CONFIG_ASIGNATURAS!$B$2:$J$91,9,FALSE()),""))</f>
      </c>
    </row>
    <row r="163">
      <c r="F163">
        <f>IF(DATOS!$A163="","",DATOS!$A163&amp;"|"&amp;DATOS!$D163&amp;"|"&amp;DATOS!$E163&amp;"|"&amp;DATOS!$I163)</f>
      </c>
      <c r="G163">
        <f>IF(DATOS!$A163="",0,IF(CONFIG_METADATA!$B$4&lt;&gt;"OR+EX",--(DATOS!$G163=CONFIG_METADATA!$B$4),IF(DATOS!$G163="EX",1,IF(DATOS!$G163="OR",--(COUNTIFS(nNIA,DATOS!$A163,nCURSO,DATOS!$D163,nESPEC,DATOS!$E163,nASIG,DATOS!$I163,nEVAL,"EX")=0),0))))</f>
      </c>
      <c r="H163">
        <f>IF(DATOS!$G163&lt;&gt;"EX",0,--(COUNTIFS(nNIA,DATOS!$A163,nCURSO,DATOS!$D163,nESPEC,DATOS!$E163,nASIG,DATOS!$I163,nEVAL,"OR")=0))</f>
      </c>
      <c r="I163">
        <f>IF(DATOS!$I163="","",IFERROR(VLOOKUP(DATOS!$I163,CONFIG_ASIGNATURAS!$B$2:$J$91,9,FALSE()),""))</f>
      </c>
    </row>
    <row r="164">
      <c r="F164">
        <f>IF(DATOS!$A164="","",DATOS!$A164&amp;"|"&amp;DATOS!$D164&amp;"|"&amp;DATOS!$E164&amp;"|"&amp;DATOS!$I164)</f>
      </c>
      <c r="G164">
        <f>IF(DATOS!$A164="",0,IF(CONFIG_METADATA!$B$4&lt;&gt;"OR+EX",--(DATOS!$G164=CONFIG_METADATA!$B$4),IF(DATOS!$G164="EX",1,IF(DATOS!$G164="OR",--(COUNTIFS(nNIA,DATOS!$A164,nCURSO,DATOS!$D164,nESPEC,DATOS!$E164,nASIG,DATOS!$I164,nEVAL,"EX")=0),0))))</f>
      </c>
      <c r="H164">
        <f>IF(DATOS!$G164&lt;&gt;"EX",0,--(COUNTIFS(nNIA,DATOS!$A164,nCURSO,DATOS!$D164,nESPEC,DATOS!$E164,nASIG,DATOS!$I164,nEVAL,"OR")=0))</f>
      </c>
      <c r="I164">
        <f>IF(DATOS!$I164="","",IFERROR(VLOOKUP(DATOS!$I164,CONFIG_ASIGNATURAS!$B$2:$J$91,9,FALSE()),""))</f>
      </c>
    </row>
    <row r="165">
      <c r="F165">
        <f>IF(DATOS!$A165="","",DATOS!$A165&amp;"|"&amp;DATOS!$D165&amp;"|"&amp;DATOS!$E165&amp;"|"&amp;DATOS!$I165)</f>
      </c>
      <c r="G165">
        <f>IF(DATOS!$A165="",0,IF(CONFIG_METADATA!$B$4&lt;&gt;"OR+EX",--(DATOS!$G165=CONFIG_METADATA!$B$4),IF(DATOS!$G165="EX",1,IF(DATOS!$G165="OR",--(COUNTIFS(nNIA,DATOS!$A165,nCURSO,DATOS!$D165,nESPEC,DATOS!$E165,nASIG,DATOS!$I165,nEVAL,"EX")=0),0))))</f>
      </c>
      <c r="H165">
        <f>IF(DATOS!$G165&lt;&gt;"EX",0,--(COUNTIFS(nNIA,DATOS!$A165,nCURSO,DATOS!$D165,nESPEC,DATOS!$E165,nASIG,DATOS!$I165,nEVAL,"OR")=0))</f>
      </c>
      <c r="I165">
        <f>IF(DATOS!$I165="","",IFERROR(VLOOKUP(DATOS!$I165,CONFIG_ASIGNATURAS!$B$2:$J$91,9,FALSE()),""))</f>
      </c>
    </row>
    <row r="166">
      <c r="F166">
        <f>IF(DATOS!$A166="","",DATOS!$A166&amp;"|"&amp;DATOS!$D166&amp;"|"&amp;DATOS!$E166&amp;"|"&amp;DATOS!$I166)</f>
      </c>
      <c r="G166">
        <f>IF(DATOS!$A166="",0,IF(CONFIG_METADATA!$B$4&lt;&gt;"OR+EX",--(DATOS!$G166=CONFIG_METADATA!$B$4),IF(DATOS!$G166="EX",1,IF(DATOS!$G166="OR",--(COUNTIFS(nNIA,DATOS!$A166,nCURSO,DATOS!$D166,nESPEC,DATOS!$E166,nASIG,DATOS!$I166,nEVAL,"EX")=0),0))))</f>
      </c>
      <c r="H166">
        <f>IF(DATOS!$G166&lt;&gt;"EX",0,--(COUNTIFS(nNIA,DATOS!$A166,nCURSO,DATOS!$D166,nESPEC,DATOS!$E166,nASIG,DATOS!$I166,nEVAL,"OR")=0))</f>
      </c>
      <c r="I166">
        <f>IF(DATOS!$I166="","",IFERROR(VLOOKUP(DATOS!$I166,CONFIG_ASIGNATURAS!$B$2:$J$91,9,FALSE()),""))</f>
      </c>
    </row>
    <row r="167">
      <c r="F167">
        <f>IF(DATOS!$A167="","",DATOS!$A167&amp;"|"&amp;DATOS!$D167&amp;"|"&amp;DATOS!$E167&amp;"|"&amp;DATOS!$I167)</f>
      </c>
      <c r="G167">
        <f>IF(DATOS!$A167="",0,IF(CONFIG_METADATA!$B$4&lt;&gt;"OR+EX",--(DATOS!$G167=CONFIG_METADATA!$B$4),IF(DATOS!$G167="EX",1,IF(DATOS!$G167="OR",--(COUNTIFS(nNIA,DATOS!$A167,nCURSO,DATOS!$D167,nESPEC,DATOS!$E167,nASIG,DATOS!$I167,nEVAL,"EX")=0),0))))</f>
      </c>
      <c r="H167">
        <f>IF(DATOS!$G167&lt;&gt;"EX",0,--(COUNTIFS(nNIA,DATOS!$A167,nCURSO,DATOS!$D167,nESPEC,DATOS!$E167,nASIG,DATOS!$I167,nEVAL,"OR")=0))</f>
      </c>
      <c r="I167">
        <f>IF(DATOS!$I167="","",IFERROR(VLOOKUP(DATOS!$I167,CONFIG_ASIGNATURAS!$B$2:$J$91,9,FALSE()),""))</f>
      </c>
    </row>
    <row r="168">
      <c r="F168">
        <f>IF(DATOS!$A168="","",DATOS!$A168&amp;"|"&amp;DATOS!$D168&amp;"|"&amp;DATOS!$E168&amp;"|"&amp;DATOS!$I168)</f>
      </c>
      <c r="G168">
        <f>IF(DATOS!$A168="",0,IF(CONFIG_METADATA!$B$4&lt;&gt;"OR+EX",--(DATOS!$G168=CONFIG_METADATA!$B$4),IF(DATOS!$G168="EX",1,IF(DATOS!$G168="OR",--(COUNTIFS(nNIA,DATOS!$A168,nCURSO,DATOS!$D168,nESPEC,DATOS!$E168,nASIG,DATOS!$I168,nEVAL,"EX")=0),0))))</f>
      </c>
      <c r="H168">
        <f>IF(DATOS!$G168&lt;&gt;"EX",0,--(COUNTIFS(nNIA,DATOS!$A168,nCURSO,DATOS!$D168,nESPEC,DATOS!$E168,nASIG,DATOS!$I168,nEVAL,"OR")=0))</f>
      </c>
      <c r="I168">
        <f>IF(DATOS!$I168="","",IFERROR(VLOOKUP(DATOS!$I168,CONFIG_ASIGNATURAS!$B$2:$J$91,9,FALSE()),""))</f>
      </c>
    </row>
    <row r="169">
      <c r="F169">
        <f>IF(DATOS!$A169="","",DATOS!$A169&amp;"|"&amp;DATOS!$D169&amp;"|"&amp;DATOS!$E169&amp;"|"&amp;DATOS!$I169)</f>
      </c>
      <c r="G169">
        <f>IF(DATOS!$A169="",0,IF(CONFIG_METADATA!$B$4&lt;&gt;"OR+EX",--(DATOS!$G169=CONFIG_METADATA!$B$4),IF(DATOS!$G169="EX",1,IF(DATOS!$G169="OR",--(COUNTIFS(nNIA,DATOS!$A169,nCURSO,DATOS!$D169,nESPEC,DATOS!$E169,nASIG,DATOS!$I169,nEVAL,"EX")=0),0))))</f>
      </c>
      <c r="H169">
        <f>IF(DATOS!$G169&lt;&gt;"EX",0,--(COUNTIFS(nNIA,DATOS!$A169,nCURSO,DATOS!$D169,nESPEC,DATOS!$E169,nASIG,DATOS!$I169,nEVAL,"OR")=0))</f>
      </c>
      <c r="I169">
        <f>IF(DATOS!$I169="","",IFERROR(VLOOKUP(DATOS!$I169,CONFIG_ASIGNATURAS!$B$2:$J$91,9,FALSE()),""))</f>
      </c>
    </row>
    <row r="170">
      <c r="F170">
        <f>IF(DATOS!$A170="","",DATOS!$A170&amp;"|"&amp;DATOS!$D170&amp;"|"&amp;DATOS!$E170&amp;"|"&amp;DATOS!$I170)</f>
      </c>
      <c r="G170">
        <f>IF(DATOS!$A170="",0,IF(CONFIG_METADATA!$B$4&lt;&gt;"OR+EX",--(DATOS!$G170=CONFIG_METADATA!$B$4),IF(DATOS!$G170="EX",1,IF(DATOS!$G170="OR",--(COUNTIFS(nNIA,DATOS!$A170,nCURSO,DATOS!$D170,nESPEC,DATOS!$E170,nASIG,DATOS!$I170,nEVAL,"EX")=0),0))))</f>
      </c>
      <c r="H170">
        <f>IF(DATOS!$G170&lt;&gt;"EX",0,--(COUNTIFS(nNIA,DATOS!$A170,nCURSO,DATOS!$D170,nESPEC,DATOS!$E170,nASIG,DATOS!$I170,nEVAL,"OR")=0))</f>
      </c>
      <c r="I170">
        <f>IF(DATOS!$I170="","",IFERROR(VLOOKUP(DATOS!$I170,CONFIG_ASIGNATURAS!$B$2:$J$91,9,FALSE()),""))</f>
      </c>
    </row>
    <row r="171">
      <c r="F171">
        <f>IF(DATOS!$A171="","",DATOS!$A171&amp;"|"&amp;DATOS!$D171&amp;"|"&amp;DATOS!$E171&amp;"|"&amp;DATOS!$I171)</f>
      </c>
      <c r="G171">
        <f>IF(DATOS!$A171="",0,IF(CONFIG_METADATA!$B$4&lt;&gt;"OR+EX",--(DATOS!$G171=CONFIG_METADATA!$B$4),IF(DATOS!$G171="EX",1,IF(DATOS!$G171="OR",--(COUNTIFS(nNIA,DATOS!$A171,nCURSO,DATOS!$D171,nESPEC,DATOS!$E171,nASIG,DATOS!$I171,nEVAL,"EX")=0),0))))</f>
      </c>
      <c r="H171">
        <f>IF(DATOS!$G171&lt;&gt;"EX",0,--(COUNTIFS(nNIA,DATOS!$A171,nCURSO,DATOS!$D171,nESPEC,DATOS!$E171,nASIG,DATOS!$I171,nEVAL,"OR")=0))</f>
      </c>
      <c r="I171">
        <f>IF(DATOS!$I171="","",IFERROR(VLOOKUP(DATOS!$I171,CONFIG_ASIGNATURAS!$B$2:$J$91,9,FALSE()),""))</f>
      </c>
    </row>
    <row r="172">
      <c r="F172">
        <f>IF(DATOS!$A172="","",DATOS!$A172&amp;"|"&amp;DATOS!$D172&amp;"|"&amp;DATOS!$E172&amp;"|"&amp;DATOS!$I172)</f>
      </c>
      <c r="G172">
        <f>IF(DATOS!$A172="",0,IF(CONFIG_METADATA!$B$4&lt;&gt;"OR+EX",--(DATOS!$G172=CONFIG_METADATA!$B$4),IF(DATOS!$G172="EX",1,IF(DATOS!$G172="OR",--(COUNTIFS(nNIA,DATOS!$A172,nCURSO,DATOS!$D172,nESPEC,DATOS!$E172,nASIG,DATOS!$I172,nEVAL,"EX")=0),0))))</f>
      </c>
      <c r="H172">
        <f>IF(DATOS!$G172&lt;&gt;"EX",0,--(COUNTIFS(nNIA,DATOS!$A172,nCURSO,DATOS!$D172,nESPEC,DATOS!$E172,nASIG,DATOS!$I172,nEVAL,"OR")=0))</f>
      </c>
      <c r="I172">
        <f>IF(DATOS!$I172="","",IFERROR(VLOOKUP(DATOS!$I172,CONFIG_ASIGNATURAS!$B$2:$J$91,9,FALSE()),""))</f>
      </c>
    </row>
    <row r="173">
      <c r="F173">
        <f>IF(DATOS!$A173="","",DATOS!$A173&amp;"|"&amp;DATOS!$D173&amp;"|"&amp;DATOS!$E173&amp;"|"&amp;DATOS!$I173)</f>
      </c>
      <c r="G173">
        <f>IF(DATOS!$A173="",0,IF(CONFIG_METADATA!$B$4&lt;&gt;"OR+EX",--(DATOS!$G173=CONFIG_METADATA!$B$4),IF(DATOS!$G173="EX",1,IF(DATOS!$G173="OR",--(COUNTIFS(nNIA,DATOS!$A173,nCURSO,DATOS!$D173,nESPEC,DATOS!$E173,nASIG,DATOS!$I173,nEVAL,"EX")=0),0))))</f>
      </c>
      <c r="H173">
        <f>IF(DATOS!$G173&lt;&gt;"EX",0,--(COUNTIFS(nNIA,DATOS!$A173,nCURSO,DATOS!$D173,nESPEC,DATOS!$E173,nASIG,DATOS!$I173,nEVAL,"OR")=0))</f>
      </c>
      <c r="I173">
        <f>IF(DATOS!$I173="","",IFERROR(VLOOKUP(DATOS!$I173,CONFIG_ASIGNATURAS!$B$2:$J$91,9,FALSE()),""))</f>
      </c>
    </row>
    <row r="174">
      <c r="F174">
        <f>IF(DATOS!$A174="","",DATOS!$A174&amp;"|"&amp;DATOS!$D174&amp;"|"&amp;DATOS!$E174&amp;"|"&amp;DATOS!$I174)</f>
      </c>
      <c r="G174">
        <f>IF(DATOS!$A174="",0,IF(CONFIG_METADATA!$B$4&lt;&gt;"OR+EX",--(DATOS!$G174=CONFIG_METADATA!$B$4),IF(DATOS!$G174="EX",1,IF(DATOS!$G174="OR",--(COUNTIFS(nNIA,DATOS!$A174,nCURSO,DATOS!$D174,nESPEC,DATOS!$E174,nASIG,DATOS!$I174,nEVAL,"EX")=0),0))))</f>
      </c>
      <c r="H174">
        <f>IF(DATOS!$G174&lt;&gt;"EX",0,--(COUNTIFS(nNIA,DATOS!$A174,nCURSO,DATOS!$D174,nESPEC,DATOS!$E174,nASIG,DATOS!$I174,nEVAL,"OR")=0))</f>
      </c>
      <c r="I174">
        <f>IF(DATOS!$I174="","",IFERROR(VLOOKUP(DATOS!$I174,CONFIG_ASIGNATURAS!$B$2:$J$91,9,FALSE()),""))</f>
      </c>
    </row>
    <row r="175">
      <c r="F175">
        <f>IF(DATOS!$A175="","",DATOS!$A175&amp;"|"&amp;DATOS!$D175&amp;"|"&amp;DATOS!$E175&amp;"|"&amp;DATOS!$I175)</f>
      </c>
      <c r="G175">
        <f>IF(DATOS!$A175="",0,IF(CONFIG_METADATA!$B$4&lt;&gt;"OR+EX",--(DATOS!$G175=CONFIG_METADATA!$B$4),IF(DATOS!$G175="EX",1,IF(DATOS!$G175="OR",--(COUNTIFS(nNIA,DATOS!$A175,nCURSO,DATOS!$D175,nESPEC,DATOS!$E175,nASIG,DATOS!$I175,nEVAL,"EX")=0),0))))</f>
      </c>
      <c r="H175">
        <f>IF(DATOS!$G175&lt;&gt;"EX",0,--(COUNTIFS(nNIA,DATOS!$A175,nCURSO,DATOS!$D175,nESPEC,DATOS!$E175,nASIG,DATOS!$I175,nEVAL,"OR")=0))</f>
      </c>
      <c r="I175">
        <f>IF(DATOS!$I175="","",IFERROR(VLOOKUP(DATOS!$I175,CONFIG_ASIGNATURAS!$B$2:$J$91,9,FALSE()),""))</f>
      </c>
    </row>
    <row r="176">
      <c r="F176">
        <f>IF(DATOS!$A176="","",DATOS!$A176&amp;"|"&amp;DATOS!$D176&amp;"|"&amp;DATOS!$E176&amp;"|"&amp;DATOS!$I176)</f>
      </c>
      <c r="G176">
        <f>IF(DATOS!$A176="",0,IF(CONFIG_METADATA!$B$4&lt;&gt;"OR+EX",--(DATOS!$G176=CONFIG_METADATA!$B$4),IF(DATOS!$G176="EX",1,IF(DATOS!$G176="OR",--(COUNTIFS(nNIA,DATOS!$A176,nCURSO,DATOS!$D176,nESPEC,DATOS!$E176,nASIG,DATOS!$I176,nEVAL,"EX")=0),0))))</f>
      </c>
      <c r="H176">
        <f>IF(DATOS!$G176&lt;&gt;"EX",0,--(COUNTIFS(nNIA,DATOS!$A176,nCURSO,DATOS!$D176,nESPEC,DATOS!$E176,nASIG,DATOS!$I176,nEVAL,"OR")=0))</f>
      </c>
      <c r="I176">
        <f>IF(DATOS!$I176="","",IFERROR(VLOOKUP(DATOS!$I176,CONFIG_ASIGNATURAS!$B$2:$J$91,9,FALSE()),""))</f>
      </c>
    </row>
    <row r="177">
      <c r="F177">
        <f>IF(DATOS!$A177="","",DATOS!$A177&amp;"|"&amp;DATOS!$D177&amp;"|"&amp;DATOS!$E177&amp;"|"&amp;DATOS!$I177)</f>
      </c>
      <c r="G177">
        <f>IF(DATOS!$A177="",0,IF(CONFIG_METADATA!$B$4&lt;&gt;"OR+EX",--(DATOS!$G177=CONFIG_METADATA!$B$4),IF(DATOS!$G177="EX",1,IF(DATOS!$G177="OR",--(COUNTIFS(nNIA,DATOS!$A177,nCURSO,DATOS!$D177,nESPEC,DATOS!$E177,nASIG,DATOS!$I177,nEVAL,"EX")=0),0))))</f>
      </c>
      <c r="H177">
        <f>IF(DATOS!$G177&lt;&gt;"EX",0,--(COUNTIFS(nNIA,DATOS!$A177,nCURSO,DATOS!$D177,nESPEC,DATOS!$E177,nASIG,DATOS!$I177,nEVAL,"OR")=0))</f>
      </c>
      <c r="I177">
        <f>IF(DATOS!$I177="","",IFERROR(VLOOKUP(DATOS!$I177,CONFIG_ASIGNATURAS!$B$2:$J$91,9,FALSE()),""))</f>
      </c>
    </row>
    <row r="178">
      <c r="F178">
        <f>IF(DATOS!$A178="","",DATOS!$A178&amp;"|"&amp;DATOS!$D178&amp;"|"&amp;DATOS!$E178&amp;"|"&amp;DATOS!$I178)</f>
      </c>
      <c r="G178">
        <f>IF(DATOS!$A178="",0,IF(CONFIG_METADATA!$B$4&lt;&gt;"OR+EX",--(DATOS!$G178=CONFIG_METADATA!$B$4),IF(DATOS!$G178="EX",1,IF(DATOS!$G178="OR",--(COUNTIFS(nNIA,DATOS!$A178,nCURSO,DATOS!$D178,nESPEC,DATOS!$E178,nASIG,DATOS!$I178,nEVAL,"EX")=0),0))))</f>
      </c>
      <c r="H178">
        <f>IF(DATOS!$G178&lt;&gt;"EX",0,--(COUNTIFS(nNIA,DATOS!$A178,nCURSO,DATOS!$D178,nESPEC,DATOS!$E178,nASIG,DATOS!$I178,nEVAL,"OR")=0))</f>
      </c>
      <c r="I178">
        <f>IF(DATOS!$I178="","",IFERROR(VLOOKUP(DATOS!$I178,CONFIG_ASIGNATURAS!$B$2:$J$91,9,FALSE()),""))</f>
      </c>
    </row>
    <row r="179">
      <c r="F179">
        <f>IF(DATOS!$A179="","",DATOS!$A179&amp;"|"&amp;DATOS!$D179&amp;"|"&amp;DATOS!$E179&amp;"|"&amp;DATOS!$I179)</f>
      </c>
      <c r="G179">
        <f>IF(DATOS!$A179="",0,IF(CONFIG_METADATA!$B$4&lt;&gt;"OR+EX",--(DATOS!$G179=CONFIG_METADATA!$B$4),IF(DATOS!$G179="EX",1,IF(DATOS!$G179="OR",--(COUNTIFS(nNIA,DATOS!$A179,nCURSO,DATOS!$D179,nESPEC,DATOS!$E179,nASIG,DATOS!$I179,nEVAL,"EX")=0),0))))</f>
      </c>
      <c r="H179">
        <f>IF(DATOS!$G179&lt;&gt;"EX",0,--(COUNTIFS(nNIA,DATOS!$A179,nCURSO,DATOS!$D179,nESPEC,DATOS!$E179,nASIG,DATOS!$I179,nEVAL,"OR")=0))</f>
      </c>
      <c r="I179">
        <f>IF(DATOS!$I179="","",IFERROR(VLOOKUP(DATOS!$I179,CONFIG_ASIGNATURAS!$B$2:$J$91,9,FALSE()),""))</f>
      </c>
    </row>
    <row r="180">
      <c r="F180">
        <f>IF(DATOS!$A180="","",DATOS!$A180&amp;"|"&amp;DATOS!$D180&amp;"|"&amp;DATOS!$E180&amp;"|"&amp;DATOS!$I180)</f>
      </c>
      <c r="G180">
        <f>IF(DATOS!$A180="",0,IF(CONFIG_METADATA!$B$4&lt;&gt;"OR+EX",--(DATOS!$G180=CONFIG_METADATA!$B$4),IF(DATOS!$G180="EX",1,IF(DATOS!$G180="OR",--(COUNTIFS(nNIA,DATOS!$A180,nCURSO,DATOS!$D180,nESPEC,DATOS!$E180,nASIG,DATOS!$I180,nEVAL,"EX")=0),0))))</f>
      </c>
      <c r="H180">
        <f>IF(DATOS!$G180&lt;&gt;"EX",0,--(COUNTIFS(nNIA,DATOS!$A180,nCURSO,DATOS!$D180,nESPEC,DATOS!$E180,nASIG,DATOS!$I180,nEVAL,"OR")=0))</f>
      </c>
      <c r="I180">
        <f>IF(DATOS!$I180="","",IFERROR(VLOOKUP(DATOS!$I180,CONFIG_ASIGNATURAS!$B$2:$J$91,9,FALSE()),""))</f>
      </c>
    </row>
    <row r="181">
      <c r="F181">
        <f>IF(DATOS!$A181="","",DATOS!$A181&amp;"|"&amp;DATOS!$D181&amp;"|"&amp;DATOS!$E181&amp;"|"&amp;DATOS!$I181)</f>
      </c>
      <c r="G181">
        <f>IF(DATOS!$A181="",0,IF(CONFIG_METADATA!$B$4&lt;&gt;"OR+EX",--(DATOS!$G181=CONFIG_METADATA!$B$4),IF(DATOS!$G181="EX",1,IF(DATOS!$G181="OR",--(COUNTIFS(nNIA,DATOS!$A181,nCURSO,DATOS!$D181,nESPEC,DATOS!$E181,nASIG,DATOS!$I181,nEVAL,"EX")=0),0))))</f>
      </c>
      <c r="H181">
        <f>IF(DATOS!$G181&lt;&gt;"EX",0,--(COUNTIFS(nNIA,DATOS!$A181,nCURSO,DATOS!$D181,nESPEC,DATOS!$E181,nASIG,DATOS!$I181,nEVAL,"OR")=0))</f>
      </c>
      <c r="I181">
        <f>IF(DATOS!$I181="","",IFERROR(VLOOKUP(DATOS!$I181,CONFIG_ASIGNATURAS!$B$2:$J$91,9,FALSE()),""))</f>
      </c>
    </row>
    <row r="182">
      <c r="F182">
        <f>IF(DATOS!$A182="","",DATOS!$A182&amp;"|"&amp;DATOS!$D182&amp;"|"&amp;DATOS!$E182&amp;"|"&amp;DATOS!$I182)</f>
      </c>
      <c r="G182">
        <f>IF(DATOS!$A182="",0,IF(CONFIG_METADATA!$B$4&lt;&gt;"OR+EX",--(DATOS!$G182=CONFIG_METADATA!$B$4),IF(DATOS!$G182="EX",1,IF(DATOS!$G182="OR",--(COUNTIFS(nNIA,DATOS!$A182,nCURSO,DATOS!$D182,nESPEC,DATOS!$E182,nASIG,DATOS!$I182,nEVAL,"EX")=0),0))))</f>
      </c>
      <c r="H182">
        <f>IF(DATOS!$G182&lt;&gt;"EX",0,--(COUNTIFS(nNIA,DATOS!$A182,nCURSO,DATOS!$D182,nESPEC,DATOS!$E182,nASIG,DATOS!$I182,nEVAL,"OR")=0))</f>
      </c>
      <c r="I182">
        <f>IF(DATOS!$I182="","",IFERROR(VLOOKUP(DATOS!$I182,CONFIG_ASIGNATURAS!$B$2:$J$91,9,FALSE()),""))</f>
      </c>
    </row>
    <row r="183">
      <c r="F183">
        <f>IF(DATOS!$A183="","",DATOS!$A183&amp;"|"&amp;DATOS!$D183&amp;"|"&amp;DATOS!$E183&amp;"|"&amp;DATOS!$I183)</f>
      </c>
      <c r="G183">
        <f>IF(DATOS!$A183="",0,IF(CONFIG_METADATA!$B$4&lt;&gt;"OR+EX",--(DATOS!$G183=CONFIG_METADATA!$B$4),IF(DATOS!$G183="EX",1,IF(DATOS!$G183="OR",--(COUNTIFS(nNIA,DATOS!$A183,nCURSO,DATOS!$D183,nESPEC,DATOS!$E183,nASIG,DATOS!$I183,nEVAL,"EX")=0),0))))</f>
      </c>
      <c r="H183">
        <f>IF(DATOS!$G183&lt;&gt;"EX",0,--(COUNTIFS(nNIA,DATOS!$A183,nCURSO,DATOS!$D183,nESPEC,DATOS!$E183,nASIG,DATOS!$I183,nEVAL,"OR")=0))</f>
      </c>
      <c r="I183">
        <f>IF(DATOS!$I183="","",IFERROR(VLOOKUP(DATOS!$I183,CONFIG_ASIGNATURAS!$B$2:$J$91,9,FALSE()),""))</f>
      </c>
    </row>
    <row r="184">
      <c r="F184">
        <f>IF(DATOS!$A184="","",DATOS!$A184&amp;"|"&amp;DATOS!$D184&amp;"|"&amp;DATOS!$E184&amp;"|"&amp;DATOS!$I184)</f>
      </c>
      <c r="G184">
        <f>IF(DATOS!$A184="",0,IF(CONFIG_METADATA!$B$4&lt;&gt;"OR+EX",--(DATOS!$G184=CONFIG_METADATA!$B$4),IF(DATOS!$G184="EX",1,IF(DATOS!$G184="OR",--(COUNTIFS(nNIA,DATOS!$A184,nCURSO,DATOS!$D184,nESPEC,DATOS!$E184,nASIG,DATOS!$I184,nEVAL,"EX")=0),0))))</f>
      </c>
      <c r="H184">
        <f>IF(DATOS!$G184&lt;&gt;"EX",0,--(COUNTIFS(nNIA,DATOS!$A184,nCURSO,DATOS!$D184,nESPEC,DATOS!$E184,nASIG,DATOS!$I184,nEVAL,"OR")=0))</f>
      </c>
      <c r="I184">
        <f>IF(DATOS!$I184="","",IFERROR(VLOOKUP(DATOS!$I184,CONFIG_ASIGNATURAS!$B$2:$J$91,9,FALSE()),""))</f>
      </c>
    </row>
    <row r="185">
      <c r="F185">
        <f>IF(DATOS!$A185="","",DATOS!$A185&amp;"|"&amp;DATOS!$D185&amp;"|"&amp;DATOS!$E185&amp;"|"&amp;DATOS!$I185)</f>
      </c>
      <c r="G185">
        <f>IF(DATOS!$A185="",0,IF(CONFIG_METADATA!$B$4&lt;&gt;"OR+EX",--(DATOS!$G185=CONFIG_METADATA!$B$4),IF(DATOS!$G185="EX",1,IF(DATOS!$G185="OR",--(COUNTIFS(nNIA,DATOS!$A185,nCURSO,DATOS!$D185,nESPEC,DATOS!$E185,nASIG,DATOS!$I185,nEVAL,"EX")=0),0))))</f>
      </c>
      <c r="H185">
        <f>IF(DATOS!$G185&lt;&gt;"EX",0,--(COUNTIFS(nNIA,DATOS!$A185,nCURSO,DATOS!$D185,nESPEC,DATOS!$E185,nASIG,DATOS!$I185,nEVAL,"OR")=0))</f>
      </c>
      <c r="I185">
        <f>IF(DATOS!$I185="","",IFERROR(VLOOKUP(DATOS!$I185,CONFIG_ASIGNATURAS!$B$2:$J$91,9,FALSE()),""))</f>
      </c>
    </row>
    <row r="186">
      <c r="F186">
        <f>IF(DATOS!$A186="","",DATOS!$A186&amp;"|"&amp;DATOS!$D186&amp;"|"&amp;DATOS!$E186&amp;"|"&amp;DATOS!$I186)</f>
      </c>
      <c r="G186">
        <f>IF(DATOS!$A186="",0,IF(CONFIG_METADATA!$B$4&lt;&gt;"OR+EX",--(DATOS!$G186=CONFIG_METADATA!$B$4),IF(DATOS!$G186="EX",1,IF(DATOS!$G186="OR",--(COUNTIFS(nNIA,DATOS!$A186,nCURSO,DATOS!$D186,nESPEC,DATOS!$E186,nASIG,DATOS!$I186,nEVAL,"EX")=0),0))))</f>
      </c>
      <c r="H186">
        <f>IF(DATOS!$G186&lt;&gt;"EX",0,--(COUNTIFS(nNIA,DATOS!$A186,nCURSO,DATOS!$D186,nESPEC,DATOS!$E186,nASIG,DATOS!$I186,nEVAL,"OR")=0))</f>
      </c>
      <c r="I186">
        <f>IF(DATOS!$I186="","",IFERROR(VLOOKUP(DATOS!$I186,CONFIG_ASIGNATURAS!$B$2:$J$91,9,FALSE()),""))</f>
      </c>
    </row>
    <row r="187">
      <c r="F187">
        <f>IF(DATOS!$A187="","",DATOS!$A187&amp;"|"&amp;DATOS!$D187&amp;"|"&amp;DATOS!$E187&amp;"|"&amp;DATOS!$I187)</f>
      </c>
      <c r="G187">
        <f>IF(DATOS!$A187="",0,IF(CONFIG_METADATA!$B$4&lt;&gt;"OR+EX",--(DATOS!$G187=CONFIG_METADATA!$B$4),IF(DATOS!$G187="EX",1,IF(DATOS!$G187="OR",--(COUNTIFS(nNIA,DATOS!$A187,nCURSO,DATOS!$D187,nESPEC,DATOS!$E187,nASIG,DATOS!$I187,nEVAL,"EX")=0),0))))</f>
      </c>
      <c r="H187">
        <f>IF(DATOS!$G187&lt;&gt;"EX",0,--(COUNTIFS(nNIA,DATOS!$A187,nCURSO,DATOS!$D187,nESPEC,DATOS!$E187,nASIG,DATOS!$I187,nEVAL,"OR")=0))</f>
      </c>
      <c r="I187">
        <f>IF(DATOS!$I187="","",IFERROR(VLOOKUP(DATOS!$I187,CONFIG_ASIGNATURAS!$B$2:$J$91,9,FALSE()),""))</f>
      </c>
    </row>
    <row r="188">
      <c r="F188">
        <f>IF(DATOS!$A188="","",DATOS!$A188&amp;"|"&amp;DATOS!$D188&amp;"|"&amp;DATOS!$E188&amp;"|"&amp;DATOS!$I188)</f>
      </c>
      <c r="G188">
        <f>IF(DATOS!$A188="",0,IF(CONFIG_METADATA!$B$4&lt;&gt;"OR+EX",--(DATOS!$G188=CONFIG_METADATA!$B$4),IF(DATOS!$G188="EX",1,IF(DATOS!$G188="OR",--(COUNTIFS(nNIA,DATOS!$A188,nCURSO,DATOS!$D188,nESPEC,DATOS!$E188,nASIG,DATOS!$I188,nEVAL,"EX")=0),0))))</f>
      </c>
      <c r="H188">
        <f>IF(DATOS!$G188&lt;&gt;"EX",0,--(COUNTIFS(nNIA,DATOS!$A188,nCURSO,DATOS!$D188,nESPEC,DATOS!$E188,nASIG,DATOS!$I188,nEVAL,"OR")=0))</f>
      </c>
      <c r="I188">
        <f>IF(DATOS!$I188="","",IFERROR(VLOOKUP(DATOS!$I188,CONFIG_ASIGNATURAS!$B$2:$J$91,9,FALSE()),""))</f>
      </c>
    </row>
    <row r="189">
      <c r="F189">
        <f>IF(DATOS!$A189="","",DATOS!$A189&amp;"|"&amp;DATOS!$D189&amp;"|"&amp;DATOS!$E189&amp;"|"&amp;DATOS!$I189)</f>
      </c>
      <c r="G189">
        <f>IF(DATOS!$A189="",0,IF(CONFIG_METADATA!$B$4&lt;&gt;"OR+EX",--(DATOS!$G189=CONFIG_METADATA!$B$4),IF(DATOS!$G189="EX",1,IF(DATOS!$G189="OR",--(COUNTIFS(nNIA,DATOS!$A189,nCURSO,DATOS!$D189,nESPEC,DATOS!$E189,nASIG,DATOS!$I189,nEVAL,"EX")=0),0))))</f>
      </c>
      <c r="H189">
        <f>IF(DATOS!$G189&lt;&gt;"EX",0,--(COUNTIFS(nNIA,DATOS!$A189,nCURSO,DATOS!$D189,nESPEC,DATOS!$E189,nASIG,DATOS!$I189,nEVAL,"OR")=0))</f>
      </c>
      <c r="I189">
        <f>IF(DATOS!$I189="","",IFERROR(VLOOKUP(DATOS!$I189,CONFIG_ASIGNATURAS!$B$2:$J$91,9,FALSE()),""))</f>
      </c>
    </row>
    <row r="190">
      <c r="F190">
        <f>IF(DATOS!$A190="","",DATOS!$A190&amp;"|"&amp;DATOS!$D190&amp;"|"&amp;DATOS!$E190&amp;"|"&amp;DATOS!$I190)</f>
      </c>
      <c r="G190">
        <f>IF(DATOS!$A190="",0,IF(CONFIG_METADATA!$B$4&lt;&gt;"OR+EX",--(DATOS!$G190=CONFIG_METADATA!$B$4),IF(DATOS!$G190="EX",1,IF(DATOS!$G190="OR",--(COUNTIFS(nNIA,DATOS!$A190,nCURSO,DATOS!$D190,nESPEC,DATOS!$E190,nASIG,DATOS!$I190,nEVAL,"EX")=0),0))))</f>
      </c>
      <c r="H190">
        <f>IF(DATOS!$G190&lt;&gt;"EX",0,--(COUNTIFS(nNIA,DATOS!$A190,nCURSO,DATOS!$D190,nESPEC,DATOS!$E190,nASIG,DATOS!$I190,nEVAL,"OR")=0))</f>
      </c>
      <c r="I190">
        <f>IF(DATOS!$I190="","",IFERROR(VLOOKUP(DATOS!$I190,CONFIG_ASIGNATURAS!$B$2:$J$91,9,FALSE()),""))</f>
      </c>
    </row>
    <row r="191">
      <c r="F191">
        <f>IF(DATOS!$A191="","",DATOS!$A191&amp;"|"&amp;DATOS!$D191&amp;"|"&amp;DATOS!$E191&amp;"|"&amp;DATOS!$I191)</f>
      </c>
      <c r="G191">
        <f>IF(DATOS!$A191="",0,IF(CONFIG_METADATA!$B$4&lt;&gt;"OR+EX",--(DATOS!$G191=CONFIG_METADATA!$B$4),IF(DATOS!$G191="EX",1,IF(DATOS!$G191="OR",--(COUNTIFS(nNIA,DATOS!$A191,nCURSO,DATOS!$D191,nESPEC,DATOS!$E191,nASIG,DATOS!$I191,nEVAL,"EX")=0),0))))</f>
      </c>
      <c r="H191">
        <f>IF(DATOS!$G191&lt;&gt;"EX",0,--(COUNTIFS(nNIA,DATOS!$A191,nCURSO,DATOS!$D191,nESPEC,DATOS!$E191,nASIG,DATOS!$I191,nEVAL,"OR")=0))</f>
      </c>
      <c r="I191">
        <f>IF(DATOS!$I191="","",IFERROR(VLOOKUP(DATOS!$I191,CONFIG_ASIGNATURAS!$B$2:$J$91,9,FALSE()),""))</f>
      </c>
    </row>
    <row r="192">
      <c r="F192">
        <f>IF(DATOS!$A192="","",DATOS!$A192&amp;"|"&amp;DATOS!$D192&amp;"|"&amp;DATOS!$E192&amp;"|"&amp;DATOS!$I192)</f>
      </c>
      <c r="G192">
        <f>IF(DATOS!$A192="",0,IF(CONFIG_METADATA!$B$4&lt;&gt;"OR+EX",--(DATOS!$G192=CONFIG_METADATA!$B$4),IF(DATOS!$G192="EX",1,IF(DATOS!$G192="OR",--(COUNTIFS(nNIA,DATOS!$A192,nCURSO,DATOS!$D192,nESPEC,DATOS!$E192,nASIG,DATOS!$I192,nEVAL,"EX")=0),0))))</f>
      </c>
      <c r="H192">
        <f>IF(DATOS!$G192&lt;&gt;"EX",0,--(COUNTIFS(nNIA,DATOS!$A192,nCURSO,DATOS!$D192,nESPEC,DATOS!$E192,nASIG,DATOS!$I192,nEVAL,"OR")=0))</f>
      </c>
      <c r="I192">
        <f>IF(DATOS!$I192="","",IFERROR(VLOOKUP(DATOS!$I192,CONFIG_ASIGNATURAS!$B$2:$J$91,9,FALSE()),""))</f>
      </c>
    </row>
    <row r="193">
      <c r="F193">
        <f>IF(DATOS!$A193="","",DATOS!$A193&amp;"|"&amp;DATOS!$D193&amp;"|"&amp;DATOS!$E193&amp;"|"&amp;DATOS!$I193)</f>
      </c>
      <c r="G193">
        <f>IF(DATOS!$A193="",0,IF(CONFIG_METADATA!$B$4&lt;&gt;"OR+EX",--(DATOS!$G193=CONFIG_METADATA!$B$4),IF(DATOS!$G193="EX",1,IF(DATOS!$G193="OR",--(COUNTIFS(nNIA,DATOS!$A193,nCURSO,DATOS!$D193,nESPEC,DATOS!$E193,nASIG,DATOS!$I193,nEVAL,"EX")=0),0))))</f>
      </c>
      <c r="H193">
        <f>IF(DATOS!$G193&lt;&gt;"EX",0,--(COUNTIFS(nNIA,DATOS!$A193,nCURSO,DATOS!$D193,nESPEC,DATOS!$E193,nASIG,DATOS!$I193,nEVAL,"OR")=0))</f>
      </c>
      <c r="I193">
        <f>IF(DATOS!$I193="","",IFERROR(VLOOKUP(DATOS!$I193,CONFIG_ASIGNATURAS!$B$2:$J$91,9,FALSE()),""))</f>
      </c>
    </row>
    <row r="194">
      <c r="F194">
        <f>IF(DATOS!$A194="","",DATOS!$A194&amp;"|"&amp;DATOS!$D194&amp;"|"&amp;DATOS!$E194&amp;"|"&amp;DATOS!$I194)</f>
      </c>
      <c r="G194">
        <f>IF(DATOS!$A194="",0,IF(CONFIG_METADATA!$B$4&lt;&gt;"OR+EX",--(DATOS!$G194=CONFIG_METADATA!$B$4),IF(DATOS!$G194="EX",1,IF(DATOS!$G194="OR",--(COUNTIFS(nNIA,DATOS!$A194,nCURSO,DATOS!$D194,nESPEC,DATOS!$E194,nASIG,DATOS!$I194,nEVAL,"EX")=0),0))))</f>
      </c>
      <c r="H194">
        <f>IF(DATOS!$G194&lt;&gt;"EX",0,--(COUNTIFS(nNIA,DATOS!$A194,nCURSO,DATOS!$D194,nESPEC,DATOS!$E194,nASIG,DATOS!$I194,nEVAL,"OR")=0))</f>
      </c>
      <c r="I194">
        <f>IF(DATOS!$I194="","",IFERROR(VLOOKUP(DATOS!$I194,CONFIG_ASIGNATURAS!$B$2:$J$91,9,FALSE()),""))</f>
      </c>
    </row>
    <row r="195">
      <c r="F195">
        <f>IF(DATOS!$A195="","",DATOS!$A195&amp;"|"&amp;DATOS!$D195&amp;"|"&amp;DATOS!$E195&amp;"|"&amp;DATOS!$I195)</f>
      </c>
      <c r="G195">
        <f>IF(DATOS!$A195="",0,IF(CONFIG_METADATA!$B$4&lt;&gt;"OR+EX",--(DATOS!$G195=CONFIG_METADATA!$B$4),IF(DATOS!$G195="EX",1,IF(DATOS!$G195="OR",--(COUNTIFS(nNIA,DATOS!$A195,nCURSO,DATOS!$D195,nESPEC,DATOS!$E195,nASIG,DATOS!$I195,nEVAL,"EX")=0),0))))</f>
      </c>
      <c r="H195">
        <f>IF(DATOS!$G195&lt;&gt;"EX",0,--(COUNTIFS(nNIA,DATOS!$A195,nCURSO,DATOS!$D195,nESPEC,DATOS!$E195,nASIG,DATOS!$I195,nEVAL,"OR")=0))</f>
      </c>
      <c r="I195">
        <f>IF(DATOS!$I195="","",IFERROR(VLOOKUP(DATOS!$I195,CONFIG_ASIGNATURAS!$B$2:$J$91,9,FALSE()),""))</f>
      </c>
    </row>
    <row r="196">
      <c r="F196">
        <f>IF(DATOS!$A196="","",DATOS!$A196&amp;"|"&amp;DATOS!$D196&amp;"|"&amp;DATOS!$E196&amp;"|"&amp;DATOS!$I196)</f>
      </c>
      <c r="G196">
        <f>IF(DATOS!$A196="",0,IF(CONFIG_METADATA!$B$4&lt;&gt;"OR+EX",--(DATOS!$G196=CONFIG_METADATA!$B$4),IF(DATOS!$G196="EX",1,IF(DATOS!$G196="OR",--(COUNTIFS(nNIA,DATOS!$A196,nCURSO,DATOS!$D196,nESPEC,DATOS!$E196,nASIG,DATOS!$I196,nEVAL,"EX")=0),0))))</f>
      </c>
      <c r="H196">
        <f>IF(DATOS!$G196&lt;&gt;"EX",0,--(COUNTIFS(nNIA,DATOS!$A196,nCURSO,DATOS!$D196,nESPEC,DATOS!$E196,nASIG,DATOS!$I196,nEVAL,"OR")=0))</f>
      </c>
      <c r="I196">
        <f>IF(DATOS!$I196="","",IFERROR(VLOOKUP(DATOS!$I196,CONFIG_ASIGNATURAS!$B$2:$J$91,9,FALSE()),""))</f>
      </c>
    </row>
    <row r="197">
      <c r="F197">
        <f>IF(DATOS!$A197="","",DATOS!$A197&amp;"|"&amp;DATOS!$D197&amp;"|"&amp;DATOS!$E197&amp;"|"&amp;DATOS!$I197)</f>
      </c>
      <c r="G197">
        <f>IF(DATOS!$A197="",0,IF(CONFIG_METADATA!$B$4&lt;&gt;"OR+EX",--(DATOS!$G197=CONFIG_METADATA!$B$4),IF(DATOS!$G197="EX",1,IF(DATOS!$G197="OR",--(COUNTIFS(nNIA,DATOS!$A197,nCURSO,DATOS!$D197,nESPEC,DATOS!$E197,nASIG,DATOS!$I197,nEVAL,"EX")=0),0))))</f>
      </c>
      <c r="H197">
        <f>IF(DATOS!$G197&lt;&gt;"EX",0,--(COUNTIFS(nNIA,DATOS!$A197,nCURSO,DATOS!$D197,nESPEC,DATOS!$E197,nASIG,DATOS!$I197,nEVAL,"OR")=0))</f>
      </c>
      <c r="I197">
        <f>IF(DATOS!$I197="","",IFERROR(VLOOKUP(DATOS!$I197,CONFIG_ASIGNATURAS!$B$2:$J$91,9,FALSE()),""))</f>
      </c>
    </row>
    <row r="198">
      <c r="F198">
        <f>IF(DATOS!$A198="","",DATOS!$A198&amp;"|"&amp;DATOS!$D198&amp;"|"&amp;DATOS!$E198&amp;"|"&amp;DATOS!$I198)</f>
      </c>
      <c r="G198">
        <f>IF(DATOS!$A198="",0,IF(CONFIG_METADATA!$B$4&lt;&gt;"OR+EX",--(DATOS!$G198=CONFIG_METADATA!$B$4),IF(DATOS!$G198="EX",1,IF(DATOS!$G198="OR",--(COUNTIFS(nNIA,DATOS!$A198,nCURSO,DATOS!$D198,nESPEC,DATOS!$E198,nASIG,DATOS!$I198,nEVAL,"EX")=0),0))))</f>
      </c>
      <c r="H198">
        <f>IF(DATOS!$G198&lt;&gt;"EX",0,--(COUNTIFS(nNIA,DATOS!$A198,nCURSO,DATOS!$D198,nESPEC,DATOS!$E198,nASIG,DATOS!$I198,nEVAL,"OR")=0))</f>
      </c>
      <c r="I198">
        <f>IF(DATOS!$I198="","",IFERROR(VLOOKUP(DATOS!$I198,CONFIG_ASIGNATURAS!$B$2:$J$91,9,FALSE()),""))</f>
      </c>
    </row>
    <row r="199">
      <c r="F199">
        <f>IF(DATOS!$A199="","",DATOS!$A199&amp;"|"&amp;DATOS!$D199&amp;"|"&amp;DATOS!$E199&amp;"|"&amp;DATOS!$I199)</f>
      </c>
      <c r="G199">
        <f>IF(DATOS!$A199="",0,IF(CONFIG_METADATA!$B$4&lt;&gt;"OR+EX",--(DATOS!$G199=CONFIG_METADATA!$B$4),IF(DATOS!$G199="EX",1,IF(DATOS!$G199="OR",--(COUNTIFS(nNIA,DATOS!$A199,nCURSO,DATOS!$D199,nESPEC,DATOS!$E199,nASIG,DATOS!$I199,nEVAL,"EX")=0),0))))</f>
      </c>
      <c r="H199">
        <f>IF(DATOS!$G199&lt;&gt;"EX",0,--(COUNTIFS(nNIA,DATOS!$A199,nCURSO,DATOS!$D199,nESPEC,DATOS!$E199,nASIG,DATOS!$I199,nEVAL,"OR")=0))</f>
      </c>
      <c r="I199">
        <f>IF(DATOS!$I199="","",IFERROR(VLOOKUP(DATOS!$I199,CONFIG_ASIGNATURAS!$B$2:$J$91,9,FALSE()),""))</f>
      </c>
    </row>
    <row r="200">
      <c r="F200">
        <f>IF(DATOS!$A200="","",DATOS!$A200&amp;"|"&amp;DATOS!$D200&amp;"|"&amp;DATOS!$E200&amp;"|"&amp;DATOS!$I200)</f>
      </c>
      <c r="G200">
        <f>IF(DATOS!$A200="",0,IF(CONFIG_METADATA!$B$4&lt;&gt;"OR+EX",--(DATOS!$G200=CONFIG_METADATA!$B$4),IF(DATOS!$G200="EX",1,IF(DATOS!$G200="OR",--(COUNTIFS(nNIA,DATOS!$A200,nCURSO,DATOS!$D200,nESPEC,DATOS!$E200,nASIG,DATOS!$I200,nEVAL,"EX")=0),0))))</f>
      </c>
      <c r="H200">
        <f>IF(DATOS!$G200&lt;&gt;"EX",0,--(COUNTIFS(nNIA,DATOS!$A200,nCURSO,DATOS!$D200,nESPEC,DATOS!$E200,nASIG,DATOS!$I200,nEVAL,"OR")=0))</f>
      </c>
      <c r="I200">
        <f>IF(DATOS!$I200="","",IFERROR(VLOOKUP(DATOS!$I200,CONFIG_ASIGNATURAS!$B$2:$J$91,9,FALSE()),""))</f>
      </c>
    </row>
    <row r="201">
      <c r="F201">
        <f>IF(DATOS!$A201="","",DATOS!$A201&amp;"|"&amp;DATOS!$D201&amp;"|"&amp;DATOS!$E201&amp;"|"&amp;DATOS!$I201)</f>
      </c>
      <c r="G201">
        <f>IF(DATOS!$A201="",0,IF(CONFIG_METADATA!$B$4&lt;&gt;"OR+EX",--(DATOS!$G201=CONFIG_METADATA!$B$4),IF(DATOS!$G201="EX",1,IF(DATOS!$G201="OR",--(COUNTIFS(nNIA,DATOS!$A201,nCURSO,DATOS!$D201,nESPEC,DATOS!$E201,nASIG,DATOS!$I201,nEVAL,"EX")=0),0))))</f>
      </c>
      <c r="H201">
        <f>IF(DATOS!$G201&lt;&gt;"EX",0,--(COUNTIFS(nNIA,DATOS!$A201,nCURSO,DATOS!$D201,nESPEC,DATOS!$E201,nASIG,DATOS!$I201,nEVAL,"OR")=0))</f>
      </c>
      <c r="I201">
        <f>IF(DATOS!$I201="","",IFERROR(VLOOKUP(DATOS!$I201,CONFIG_ASIGNATURAS!$B$2:$J$91,9,FALSE()),""))</f>
      </c>
    </row>
    <row r="202">
      <c r="F202">
        <f>IF(DATOS!$A202="","",DATOS!$A202&amp;"|"&amp;DATOS!$D202&amp;"|"&amp;DATOS!$E202&amp;"|"&amp;DATOS!$I202)</f>
      </c>
      <c r="G202">
        <f>IF(DATOS!$A202="",0,IF(CONFIG_METADATA!$B$4&lt;&gt;"OR+EX",--(DATOS!$G202=CONFIG_METADATA!$B$4),IF(DATOS!$G202="EX",1,IF(DATOS!$G202="OR",--(COUNTIFS(nNIA,DATOS!$A202,nCURSO,DATOS!$D202,nESPEC,DATOS!$E202,nASIG,DATOS!$I202,nEVAL,"EX")=0),0))))</f>
      </c>
      <c r="H202">
        <f>IF(DATOS!$G202&lt;&gt;"EX",0,--(COUNTIFS(nNIA,DATOS!$A202,nCURSO,DATOS!$D202,nESPEC,DATOS!$E202,nASIG,DATOS!$I202,nEVAL,"OR")=0))</f>
      </c>
      <c r="I202">
        <f>IF(DATOS!$I202="","",IFERROR(VLOOKUP(DATOS!$I202,CONFIG_ASIGNATURAS!$B$2:$J$91,9,FALSE()),""))</f>
      </c>
    </row>
    <row r="203">
      <c r="F203">
        <f>IF(DATOS!$A203="","",DATOS!$A203&amp;"|"&amp;DATOS!$D203&amp;"|"&amp;DATOS!$E203&amp;"|"&amp;DATOS!$I203)</f>
      </c>
      <c r="G203">
        <f>IF(DATOS!$A203="",0,IF(CONFIG_METADATA!$B$4&lt;&gt;"OR+EX",--(DATOS!$G203=CONFIG_METADATA!$B$4),IF(DATOS!$G203="EX",1,IF(DATOS!$G203="OR",--(COUNTIFS(nNIA,DATOS!$A203,nCURSO,DATOS!$D203,nESPEC,DATOS!$E203,nASIG,DATOS!$I203,nEVAL,"EX")=0),0))))</f>
      </c>
      <c r="H203">
        <f>IF(DATOS!$G203&lt;&gt;"EX",0,--(COUNTIFS(nNIA,DATOS!$A203,nCURSO,DATOS!$D203,nESPEC,DATOS!$E203,nASIG,DATOS!$I203,nEVAL,"OR")=0))</f>
      </c>
      <c r="I203">
        <f>IF(DATOS!$I203="","",IFERROR(VLOOKUP(DATOS!$I203,CONFIG_ASIGNATURAS!$B$2:$J$91,9,FALSE()),""))</f>
      </c>
    </row>
    <row r="204">
      <c r="F204">
        <f>IF(DATOS!$A204="","",DATOS!$A204&amp;"|"&amp;DATOS!$D204&amp;"|"&amp;DATOS!$E204&amp;"|"&amp;DATOS!$I204)</f>
      </c>
      <c r="G204">
        <f>IF(DATOS!$A204="",0,IF(CONFIG_METADATA!$B$4&lt;&gt;"OR+EX",--(DATOS!$G204=CONFIG_METADATA!$B$4),IF(DATOS!$G204="EX",1,IF(DATOS!$G204="OR",--(COUNTIFS(nNIA,DATOS!$A204,nCURSO,DATOS!$D204,nESPEC,DATOS!$E204,nASIG,DATOS!$I204,nEVAL,"EX")=0),0))))</f>
      </c>
      <c r="H204">
        <f>IF(DATOS!$G204&lt;&gt;"EX",0,--(COUNTIFS(nNIA,DATOS!$A204,nCURSO,DATOS!$D204,nESPEC,DATOS!$E204,nASIG,DATOS!$I204,nEVAL,"OR")=0))</f>
      </c>
      <c r="I204">
        <f>IF(DATOS!$I204="","",IFERROR(VLOOKUP(DATOS!$I204,CONFIG_ASIGNATURAS!$B$2:$J$91,9,FALSE()),""))</f>
      </c>
    </row>
    <row r="205">
      <c r="F205">
        <f>IF(DATOS!$A205="","",DATOS!$A205&amp;"|"&amp;DATOS!$D205&amp;"|"&amp;DATOS!$E205&amp;"|"&amp;DATOS!$I205)</f>
      </c>
      <c r="G205">
        <f>IF(DATOS!$A205="",0,IF(CONFIG_METADATA!$B$4&lt;&gt;"OR+EX",--(DATOS!$G205=CONFIG_METADATA!$B$4),IF(DATOS!$G205="EX",1,IF(DATOS!$G205="OR",--(COUNTIFS(nNIA,DATOS!$A205,nCURSO,DATOS!$D205,nESPEC,DATOS!$E205,nASIG,DATOS!$I205,nEVAL,"EX")=0),0))))</f>
      </c>
      <c r="H205">
        <f>IF(DATOS!$G205&lt;&gt;"EX",0,--(COUNTIFS(nNIA,DATOS!$A205,nCURSO,DATOS!$D205,nESPEC,DATOS!$E205,nASIG,DATOS!$I205,nEVAL,"OR")=0))</f>
      </c>
      <c r="I205">
        <f>IF(DATOS!$I205="","",IFERROR(VLOOKUP(DATOS!$I205,CONFIG_ASIGNATURAS!$B$2:$J$91,9,FALSE()),""))</f>
      </c>
    </row>
    <row r="206">
      <c r="F206">
        <f>IF(DATOS!$A206="","",DATOS!$A206&amp;"|"&amp;DATOS!$D206&amp;"|"&amp;DATOS!$E206&amp;"|"&amp;DATOS!$I206)</f>
      </c>
      <c r="G206">
        <f>IF(DATOS!$A206="",0,IF(CONFIG_METADATA!$B$4&lt;&gt;"OR+EX",--(DATOS!$G206=CONFIG_METADATA!$B$4),IF(DATOS!$G206="EX",1,IF(DATOS!$G206="OR",--(COUNTIFS(nNIA,DATOS!$A206,nCURSO,DATOS!$D206,nESPEC,DATOS!$E206,nASIG,DATOS!$I206,nEVAL,"EX")=0),0))))</f>
      </c>
      <c r="H206">
        <f>IF(DATOS!$G206&lt;&gt;"EX",0,--(COUNTIFS(nNIA,DATOS!$A206,nCURSO,DATOS!$D206,nESPEC,DATOS!$E206,nASIG,DATOS!$I206,nEVAL,"OR")=0))</f>
      </c>
      <c r="I206">
        <f>IF(DATOS!$I206="","",IFERROR(VLOOKUP(DATOS!$I206,CONFIG_ASIGNATURAS!$B$2:$J$91,9,FALSE()),""))</f>
      </c>
    </row>
    <row r="207">
      <c r="F207">
        <f>IF(DATOS!$A207="","",DATOS!$A207&amp;"|"&amp;DATOS!$D207&amp;"|"&amp;DATOS!$E207&amp;"|"&amp;DATOS!$I207)</f>
      </c>
      <c r="G207">
        <f>IF(DATOS!$A207="",0,IF(CONFIG_METADATA!$B$4&lt;&gt;"OR+EX",--(DATOS!$G207=CONFIG_METADATA!$B$4),IF(DATOS!$G207="EX",1,IF(DATOS!$G207="OR",--(COUNTIFS(nNIA,DATOS!$A207,nCURSO,DATOS!$D207,nESPEC,DATOS!$E207,nASIG,DATOS!$I207,nEVAL,"EX")=0),0))))</f>
      </c>
      <c r="H207">
        <f>IF(DATOS!$G207&lt;&gt;"EX",0,--(COUNTIFS(nNIA,DATOS!$A207,nCURSO,DATOS!$D207,nESPEC,DATOS!$E207,nASIG,DATOS!$I207,nEVAL,"OR")=0))</f>
      </c>
      <c r="I207">
        <f>IF(DATOS!$I207="","",IFERROR(VLOOKUP(DATOS!$I207,CONFIG_ASIGNATURAS!$B$2:$J$91,9,FALSE()),""))</f>
      </c>
    </row>
    <row r="208">
      <c r="F208">
        <f>IF(DATOS!$A208="","",DATOS!$A208&amp;"|"&amp;DATOS!$D208&amp;"|"&amp;DATOS!$E208&amp;"|"&amp;DATOS!$I208)</f>
      </c>
      <c r="G208">
        <f>IF(DATOS!$A208="",0,IF(CONFIG_METADATA!$B$4&lt;&gt;"OR+EX",--(DATOS!$G208=CONFIG_METADATA!$B$4),IF(DATOS!$G208="EX",1,IF(DATOS!$G208="OR",--(COUNTIFS(nNIA,DATOS!$A208,nCURSO,DATOS!$D208,nESPEC,DATOS!$E208,nASIG,DATOS!$I208,nEVAL,"EX")=0),0))))</f>
      </c>
      <c r="H208">
        <f>IF(DATOS!$G208&lt;&gt;"EX",0,--(COUNTIFS(nNIA,DATOS!$A208,nCURSO,DATOS!$D208,nESPEC,DATOS!$E208,nASIG,DATOS!$I208,nEVAL,"OR")=0))</f>
      </c>
      <c r="I208">
        <f>IF(DATOS!$I208="","",IFERROR(VLOOKUP(DATOS!$I208,CONFIG_ASIGNATURAS!$B$2:$J$91,9,FALSE()),""))</f>
      </c>
    </row>
    <row r="209">
      <c r="F209">
        <f>IF(DATOS!$A209="","",DATOS!$A209&amp;"|"&amp;DATOS!$D209&amp;"|"&amp;DATOS!$E209&amp;"|"&amp;DATOS!$I209)</f>
      </c>
      <c r="G209">
        <f>IF(DATOS!$A209="",0,IF(CONFIG_METADATA!$B$4&lt;&gt;"OR+EX",--(DATOS!$G209=CONFIG_METADATA!$B$4),IF(DATOS!$G209="EX",1,IF(DATOS!$G209="OR",--(COUNTIFS(nNIA,DATOS!$A209,nCURSO,DATOS!$D209,nESPEC,DATOS!$E209,nASIG,DATOS!$I209,nEVAL,"EX")=0),0))))</f>
      </c>
      <c r="H209">
        <f>IF(DATOS!$G209&lt;&gt;"EX",0,--(COUNTIFS(nNIA,DATOS!$A209,nCURSO,DATOS!$D209,nESPEC,DATOS!$E209,nASIG,DATOS!$I209,nEVAL,"OR")=0))</f>
      </c>
      <c r="I209">
        <f>IF(DATOS!$I209="","",IFERROR(VLOOKUP(DATOS!$I209,CONFIG_ASIGNATURAS!$B$2:$J$91,9,FALSE()),""))</f>
      </c>
    </row>
    <row r="210">
      <c r="F210">
        <f>IF(DATOS!$A210="","",DATOS!$A210&amp;"|"&amp;DATOS!$D210&amp;"|"&amp;DATOS!$E210&amp;"|"&amp;DATOS!$I210)</f>
      </c>
      <c r="G210">
        <f>IF(DATOS!$A210="",0,IF(CONFIG_METADATA!$B$4&lt;&gt;"OR+EX",--(DATOS!$G210=CONFIG_METADATA!$B$4),IF(DATOS!$G210="EX",1,IF(DATOS!$G210="OR",--(COUNTIFS(nNIA,DATOS!$A210,nCURSO,DATOS!$D210,nESPEC,DATOS!$E210,nASIG,DATOS!$I210,nEVAL,"EX")=0),0))))</f>
      </c>
      <c r="H210">
        <f>IF(DATOS!$G210&lt;&gt;"EX",0,--(COUNTIFS(nNIA,DATOS!$A210,nCURSO,DATOS!$D210,nESPEC,DATOS!$E210,nASIG,DATOS!$I210,nEVAL,"OR")=0))</f>
      </c>
      <c r="I210">
        <f>IF(DATOS!$I210="","",IFERROR(VLOOKUP(DATOS!$I210,CONFIG_ASIGNATURAS!$B$2:$J$91,9,FALSE()),""))</f>
      </c>
    </row>
    <row r="211">
      <c r="F211">
        <f>IF(DATOS!$A211="","",DATOS!$A211&amp;"|"&amp;DATOS!$D211&amp;"|"&amp;DATOS!$E211&amp;"|"&amp;DATOS!$I211)</f>
      </c>
      <c r="G211">
        <f>IF(DATOS!$A211="",0,IF(CONFIG_METADATA!$B$4&lt;&gt;"OR+EX",--(DATOS!$G211=CONFIG_METADATA!$B$4),IF(DATOS!$G211="EX",1,IF(DATOS!$G211="OR",--(COUNTIFS(nNIA,DATOS!$A211,nCURSO,DATOS!$D211,nESPEC,DATOS!$E211,nASIG,DATOS!$I211,nEVAL,"EX")=0),0))))</f>
      </c>
      <c r="H211">
        <f>IF(DATOS!$G211&lt;&gt;"EX",0,--(COUNTIFS(nNIA,DATOS!$A211,nCURSO,DATOS!$D211,nESPEC,DATOS!$E211,nASIG,DATOS!$I211,nEVAL,"OR")=0))</f>
      </c>
      <c r="I211">
        <f>IF(DATOS!$I211="","",IFERROR(VLOOKUP(DATOS!$I211,CONFIG_ASIGNATURAS!$B$2:$J$91,9,FALSE()),""))</f>
      </c>
    </row>
    <row r="212">
      <c r="F212">
        <f>IF(DATOS!$A212="","",DATOS!$A212&amp;"|"&amp;DATOS!$D212&amp;"|"&amp;DATOS!$E212&amp;"|"&amp;DATOS!$I212)</f>
      </c>
      <c r="G212">
        <f>IF(DATOS!$A212="",0,IF(CONFIG_METADATA!$B$4&lt;&gt;"OR+EX",--(DATOS!$G212=CONFIG_METADATA!$B$4),IF(DATOS!$G212="EX",1,IF(DATOS!$G212="OR",--(COUNTIFS(nNIA,DATOS!$A212,nCURSO,DATOS!$D212,nESPEC,DATOS!$E212,nASIG,DATOS!$I212,nEVAL,"EX")=0),0))))</f>
      </c>
      <c r="H212">
        <f>IF(DATOS!$G212&lt;&gt;"EX",0,--(COUNTIFS(nNIA,DATOS!$A212,nCURSO,DATOS!$D212,nESPEC,DATOS!$E212,nASIG,DATOS!$I212,nEVAL,"OR")=0))</f>
      </c>
      <c r="I212">
        <f>IF(DATOS!$I212="","",IFERROR(VLOOKUP(DATOS!$I212,CONFIG_ASIGNATURAS!$B$2:$J$91,9,FALSE()),""))</f>
      </c>
    </row>
    <row r="213">
      <c r="F213">
        <f>IF(DATOS!$A213="","",DATOS!$A213&amp;"|"&amp;DATOS!$D213&amp;"|"&amp;DATOS!$E213&amp;"|"&amp;DATOS!$I213)</f>
      </c>
      <c r="G213">
        <f>IF(DATOS!$A213="",0,IF(CONFIG_METADATA!$B$4&lt;&gt;"OR+EX",--(DATOS!$G213=CONFIG_METADATA!$B$4),IF(DATOS!$G213="EX",1,IF(DATOS!$G213="OR",--(COUNTIFS(nNIA,DATOS!$A213,nCURSO,DATOS!$D213,nESPEC,DATOS!$E213,nASIG,DATOS!$I213,nEVAL,"EX")=0),0))))</f>
      </c>
      <c r="H213">
        <f>IF(DATOS!$G213&lt;&gt;"EX",0,--(COUNTIFS(nNIA,DATOS!$A213,nCURSO,DATOS!$D213,nESPEC,DATOS!$E213,nASIG,DATOS!$I213,nEVAL,"OR")=0))</f>
      </c>
      <c r="I213">
        <f>IF(DATOS!$I213="","",IFERROR(VLOOKUP(DATOS!$I213,CONFIG_ASIGNATURAS!$B$2:$J$91,9,FALSE()),""))</f>
      </c>
    </row>
    <row r="214">
      <c r="F214">
        <f>IF(DATOS!$A214="","",DATOS!$A214&amp;"|"&amp;DATOS!$D214&amp;"|"&amp;DATOS!$E214&amp;"|"&amp;DATOS!$I214)</f>
      </c>
      <c r="G214">
        <f>IF(DATOS!$A214="",0,IF(CONFIG_METADATA!$B$4&lt;&gt;"OR+EX",--(DATOS!$G214=CONFIG_METADATA!$B$4),IF(DATOS!$G214="EX",1,IF(DATOS!$G214="OR",--(COUNTIFS(nNIA,DATOS!$A214,nCURSO,DATOS!$D214,nESPEC,DATOS!$E214,nASIG,DATOS!$I214,nEVAL,"EX")=0),0))))</f>
      </c>
      <c r="H214">
        <f>IF(DATOS!$G214&lt;&gt;"EX",0,--(COUNTIFS(nNIA,DATOS!$A214,nCURSO,DATOS!$D214,nESPEC,DATOS!$E214,nASIG,DATOS!$I214,nEVAL,"OR")=0))</f>
      </c>
      <c r="I214">
        <f>IF(DATOS!$I214="","",IFERROR(VLOOKUP(DATOS!$I214,CONFIG_ASIGNATURAS!$B$2:$J$91,9,FALSE()),""))</f>
      </c>
    </row>
    <row r="215">
      <c r="F215">
        <f>IF(DATOS!$A215="","",DATOS!$A215&amp;"|"&amp;DATOS!$D215&amp;"|"&amp;DATOS!$E215&amp;"|"&amp;DATOS!$I215)</f>
      </c>
      <c r="G215">
        <f>IF(DATOS!$A215="",0,IF(CONFIG_METADATA!$B$4&lt;&gt;"OR+EX",--(DATOS!$G215=CONFIG_METADATA!$B$4),IF(DATOS!$G215="EX",1,IF(DATOS!$G215="OR",--(COUNTIFS(nNIA,DATOS!$A215,nCURSO,DATOS!$D215,nESPEC,DATOS!$E215,nASIG,DATOS!$I215,nEVAL,"EX")=0),0))))</f>
      </c>
      <c r="H215">
        <f>IF(DATOS!$G215&lt;&gt;"EX",0,--(COUNTIFS(nNIA,DATOS!$A215,nCURSO,DATOS!$D215,nESPEC,DATOS!$E215,nASIG,DATOS!$I215,nEVAL,"OR")=0))</f>
      </c>
      <c r="I215">
        <f>IF(DATOS!$I215="","",IFERROR(VLOOKUP(DATOS!$I215,CONFIG_ASIGNATURAS!$B$2:$J$91,9,FALSE()),""))</f>
      </c>
    </row>
    <row r="216">
      <c r="F216">
        <f>IF(DATOS!$A216="","",DATOS!$A216&amp;"|"&amp;DATOS!$D216&amp;"|"&amp;DATOS!$E216&amp;"|"&amp;DATOS!$I216)</f>
      </c>
      <c r="G216">
        <f>IF(DATOS!$A216="",0,IF(CONFIG_METADATA!$B$4&lt;&gt;"OR+EX",--(DATOS!$G216=CONFIG_METADATA!$B$4),IF(DATOS!$G216="EX",1,IF(DATOS!$G216="OR",--(COUNTIFS(nNIA,DATOS!$A216,nCURSO,DATOS!$D216,nESPEC,DATOS!$E216,nASIG,DATOS!$I216,nEVAL,"EX")=0),0))))</f>
      </c>
      <c r="H216">
        <f>IF(DATOS!$G216&lt;&gt;"EX",0,--(COUNTIFS(nNIA,DATOS!$A216,nCURSO,DATOS!$D216,nESPEC,DATOS!$E216,nASIG,DATOS!$I216,nEVAL,"OR")=0))</f>
      </c>
      <c r="I216">
        <f>IF(DATOS!$I216="","",IFERROR(VLOOKUP(DATOS!$I216,CONFIG_ASIGNATURAS!$B$2:$J$91,9,FALSE()),""))</f>
      </c>
    </row>
    <row r="217">
      <c r="F217">
        <f>IF(DATOS!$A217="","",DATOS!$A217&amp;"|"&amp;DATOS!$D217&amp;"|"&amp;DATOS!$E217&amp;"|"&amp;DATOS!$I217)</f>
      </c>
      <c r="G217">
        <f>IF(DATOS!$A217="",0,IF(CONFIG_METADATA!$B$4&lt;&gt;"OR+EX",--(DATOS!$G217=CONFIG_METADATA!$B$4),IF(DATOS!$G217="EX",1,IF(DATOS!$G217="OR",--(COUNTIFS(nNIA,DATOS!$A217,nCURSO,DATOS!$D217,nESPEC,DATOS!$E217,nASIG,DATOS!$I217,nEVAL,"EX")=0),0))))</f>
      </c>
      <c r="H217">
        <f>IF(DATOS!$G217&lt;&gt;"EX",0,--(COUNTIFS(nNIA,DATOS!$A217,nCURSO,DATOS!$D217,nESPEC,DATOS!$E217,nASIG,DATOS!$I217,nEVAL,"OR")=0))</f>
      </c>
      <c r="I217">
        <f>IF(DATOS!$I217="","",IFERROR(VLOOKUP(DATOS!$I217,CONFIG_ASIGNATURAS!$B$2:$J$91,9,FALSE()),""))</f>
      </c>
    </row>
    <row r="218">
      <c r="F218">
        <f>IF(DATOS!$A218="","",DATOS!$A218&amp;"|"&amp;DATOS!$D218&amp;"|"&amp;DATOS!$E218&amp;"|"&amp;DATOS!$I218)</f>
      </c>
      <c r="G218">
        <f>IF(DATOS!$A218="",0,IF(CONFIG_METADATA!$B$4&lt;&gt;"OR+EX",--(DATOS!$G218=CONFIG_METADATA!$B$4),IF(DATOS!$G218="EX",1,IF(DATOS!$G218="OR",--(COUNTIFS(nNIA,DATOS!$A218,nCURSO,DATOS!$D218,nESPEC,DATOS!$E218,nASIG,DATOS!$I218,nEVAL,"EX")=0),0))))</f>
      </c>
      <c r="H218">
        <f>IF(DATOS!$G218&lt;&gt;"EX",0,--(COUNTIFS(nNIA,DATOS!$A218,nCURSO,DATOS!$D218,nESPEC,DATOS!$E218,nASIG,DATOS!$I218,nEVAL,"OR")=0))</f>
      </c>
      <c r="I218">
        <f>IF(DATOS!$I218="","",IFERROR(VLOOKUP(DATOS!$I218,CONFIG_ASIGNATURAS!$B$2:$J$91,9,FALSE()),""))</f>
      </c>
    </row>
    <row r="219">
      <c r="F219">
        <f>IF(DATOS!$A219="","",DATOS!$A219&amp;"|"&amp;DATOS!$D219&amp;"|"&amp;DATOS!$E219&amp;"|"&amp;DATOS!$I219)</f>
      </c>
      <c r="G219">
        <f>IF(DATOS!$A219="",0,IF(CONFIG_METADATA!$B$4&lt;&gt;"OR+EX",--(DATOS!$G219=CONFIG_METADATA!$B$4),IF(DATOS!$G219="EX",1,IF(DATOS!$G219="OR",--(COUNTIFS(nNIA,DATOS!$A219,nCURSO,DATOS!$D219,nESPEC,DATOS!$E219,nASIG,DATOS!$I219,nEVAL,"EX")=0),0))))</f>
      </c>
      <c r="H219">
        <f>IF(DATOS!$G219&lt;&gt;"EX",0,--(COUNTIFS(nNIA,DATOS!$A219,nCURSO,DATOS!$D219,nESPEC,DATOS!$E219,nASIG,DATOS!$I219,nEVAL,"OR")=0))</f>
      </c>
      <c r="I219">
        <f>IF(DATOS!$I219="","",IFERROR(VLOOKUP(DATOS!$I219,CONFIG_ASIGNATURAS!$B$2:$J$91,9,FALSE()),""))</f>
      </c>
    </row>
    <row r="220">
      <c r="F220">
        <f>IF(DATOS!$A220="","",DATOS!$A220&amp;"|"&amp;DATOS!$D220&amp;"|"&amp;DATOS!$E220&amp;"|"&amp;DATOS!$I220)</f>
      </c>
      <c r="G220">
        <f>IF(DATOS!$A220="",0,IF(CONFIG_METADATA!$B$4&lt;&gt;"OR+EX",--(DATOS!$G220=CONFIG_METADATA!$B$4),IF(DATOS!$G220="EX",1,IF(DATOS!$G220="OR",--(COUNTIFS(nNIA,DATOS!$A220,nCURSO,DATOS!$D220,nESPEC,DATOS!$E220,nASIG,DATOS!$I220,nEVAL,"EX")=0),0))))</f>
      </c>
      <c r="H220">
        <f>IF(DATOS!$G220&lt;&gt;"EX",0,--(COUNTIFS(nNIA,DATOS!$A220,nCURSO,DATOS!$D220,nESPEC,DATOS!$E220,nASIG,DATOS!$I220,nEVAL,"OR")=0))</f>
      </c>
      <c r="I220">
        <f>IF(DATOS!$I220="","",IFERROR(VLOOKUP(DATOS!$I220,CONFIG_ASIGNATURAS!$B$2:$J$91,9,FALSE()),""))</f>
      </c>
    </row>
    <row r="221">
      <c r="F221">
        <f>IF(DATOS!$A221="","",DATOS!$A221&amp;"|"&amp;DATOS!$D221&amp;"|"&amp;DATOS!$E221&amp;"|"&amp;DATOS!$I221)</f>
      </c>
      <c r="G221">
        <f>IF(DATOS!$A221="",0,IF(CONFIG_METADATA!$B$4&lt;&gt;"OR+EX",--(DATOS!$G221=CONFIG_METADATA!$B$4),IF(DATOS!$G221="EX",1,IF(DATOS!$G221="OR",--(COUNTIFS(nNIA,DATOS!$A221,nCURSO,DATOS!$D221,nESPEC,DATOS!$E221,nASIG,DATOS!$I221,nEVAL,"EX")=0),0))))</f>
      </c>
      <c r="H221">
        <f>IF(DATOS!$G221&lt;&gt;"EX",0,--(COUNTIFS(nNIA,DATOS!$A221,nCURSO,DATOS!$D221,nESPEC,DATOS!$E221,nASIG,DATOS!$I221,nEVAL,"OR")=0))</f>
      </c>
      <c r="I221">
        <f>IF(DATOS!$I221="","",IFERROR(VLOOKUP(DATOS!$I221,CONFIG_ASIGNATURAS!$B$2:$J$91,9,FALSE()),""))</f>
      </c>
    </row>
    <row r="222">
      <c r="F222">
        <f>IF(DATOS!$A222="","",DATOS!$A222&amp;"|"&amp;DATOS!$D222&amp;"|"&amp;DATOS!$E222&amp;"|"&amp;DATOS!$I222)</f>
      </c>
      <c r="G222">
        <f>IF(DATOS!$A222="",0,IF(CONFIG_METADATA!$B$4&lt;&gt;"OR+EX",--(DATOS!$G222=CONFIG_METADATA!$B$4),IF(DATOS!$G222="EX",1,IF(DATOS!$G222="OR",--(COUNTIFS(nNIA,DATOS!$A222,nCURSO,DATOS!$D222,nESPEC,DATOS!$E222,nASIG,DATOS!$I222,nEVAL,"EX")=0),0))))</f>
      </c>
      <c r="H222">
        <f>IF(DATOS!$G222&lt;&gt;"EX",0,--(COUNTIFS(nNIA,DATOS!$A222,nCURSO,DATOS!$D222,nESPEC,DATOS!$E222,nASIG,DATOS!$I222,nEVAL,"OR")=0))</f>
      </c>
      <c r="I222">
        <f>IF(DATOS!$I222="","",IFERROR(VLOOKUP(DATOS!$I222,CONFIG_ASIGNATURAS!$B$2:$J$91,9,FALSE()),""))</f>
      </c>
    </row>
    <row r="223">
      <c r="F223">
        <f>IF(DATOS!$A223="","",DATOS!$A223&amp;"|"&amp;DATOS!$D223&amp;"|"&amp;DATOS!$E223&amp;"|"&amp;DATOS!$I223)</f>
      </c>
      <c r="G223">
        <f>IF(DATOS!$A223="",0,IF(CONFIG_METADATA!$B$4&lt;&gt;"OR+EX",--(DATOS!$G223=CONFIG_METADATA!$B$4),IF(DATOS!$G223="EX",1,IF(DATOS!$G223="OR",--(COUNTIFS(nNIA,DATOS!$A223,nCURSO,DATOS!$D223,nESPEC,DATOS!$E223,nASIG,DATOS!$I223,nEVAL,"EX")=0),0))))</f>
      </c>
      <c r="H223">
        <f>IF(DATOS!$G223&lt;&gt;"EX",0,--(COUNTIFS(nNIA,DATOS!$A223,nCURSO,DATOS!$D223,nESPEC,DATOS!$E223,nASIG,DATOS!$I223,nEVAL,"OR")=0))</f>
      </c>
      <c r="I223">
        <f>IF(DATOS!$I223="","",IFERROR(VLOOKUP(DATOS!$I223,CONFIG_ASIGNATURAS!$B$2:$J$91,9,FALSE()),""))</f>
      </c>
    </row>
    <row r="224">
      <c r="F224">
        <f>IF(DATOS!$A224="","",DATOS!$A224&amp;"|"&amp;DATOS!$D224&amp;"|"&amp;DATOS!$E224&amp;"|"&amp;DATOS!$I224)</f>
      </c>
      <c r="G224">
        <f>IF(DATOS!$A224="",0,IF(CONFIG_METADATA!$B$4&lt;&gt;"OR+EX",--(DATOS!$G224=CONFIG_METADATA!$B$4),IF(DATOS!$G224="EX",1,IF(DATOS!$G224="OR",--(COUNTIFS(nNIA,DATOS!$A224,nCURSO,DATOS!$D224,nESPEC,DATOS!$E224,nASIG,DATOS!$I224,nEVAL,"EX")=0),0))))</f>
      </c>
      <c r="H224">
        <f>IF(DATOS!$G224&lt;&gt;"EX",0,--(COUNTIFS(nNIA,DATOS!$A224,nCURSO,DATOS!$D224,nESPEC,DATOS!$E224,nASIG,DATOS!$I224,nEVAL,"OR")=0))</f>
      </c>
      <c r="I224">
        <f>IF(DATOS!$I224="","",IFERROR(VLOOKUP(DATOS!$I224,CONFIG_ASIGNATURAS!$B$2:$J$91,9,FALSE()),""))</f>
      </c>
    </row>
    <row r="225">
      <c r="F225">
        <f>IF(DATOS!$A225="","",DATOS!$A225&amp;"|"&amp;DATOS!$D225&amp;"|"&amp;DATOS!$E225&amp;"|"&amp;DATOS!$I225)</f>
      </c>
      <c r="G225">
        <f>IF(DATOS!$A225="",0,IF(CONFIG_METADATA!$B$4&lt;&gt;"OR+EX",--(DATOS!$G225=CONFIG_METADATA!$B$4),IF(DATOS!$G225="EX",1,IF(DATOS!$G225="OR",--(COUNTIFS(nNIA,DATOS!$A225,nCURSO,DATOS!$D225,nESPEC,DATOS!$E225,nASIG,DATOS!$I225,nEVAL,"EX")=0),0))))</f>
      </c>
      <c r="H225">
        <f>IF(DATOS!$G225&lt;&gt;"EX",0,--(COUNTIFS(nNIA,DATOS!$A225,nCURSO,DATOS!$D225,nESPEC,DATOS!$E225,nASIG,DATOS!$I225,nEVAL,"OR")=0))</f>
      </c>
      <c r="I225">
        <f>IF(DATOS!$I225="","",IFERROR(VLOOKUP(DATOS!$I225,CONFIG_ASIGNATURAS!$B$2:$J$91,9,FALSE()),""))</f>
      </c>
    </row>
    <row r="226">
      <c r="F226">
        <f>IF(DATOS!$A226="","",DATOS!$A226&amp;"|"&amp;DATOS!$D226&amp;"|"&amp;DATOS!$E226&amp;"|"&amp;DATOS!$I226)</f>
      </c>
      <c r="G226">
        <f>IF(DATOS!$A226="",0,IF(CONFIG_METADATA!$B$4&lt;&gt;"OR+EX",--(DATOS!$G226=CONFIG_METADATA!$B$4),IF(DATOS!$G226="EX",1,IF(DATOS!$G226="OR",--(COUNTIFS(nNIA,DATOS!$A226,nCURSO,DATOS!$D226,nESPEC,DATOS!$E226,nASIG,DATOS!$I226,nEVAL,"EX")=0),0))))</f>
      </c>
      <c r="H226">
        <f>IF(DATOS!$G226&lt;&gt;"EX",0,--(COUNTIFS(nNIA,DATOS!$A226,nCURSO,DATOS!$D226,nESPEC,DATOS!$E226,nASIG,DATOS!$I226,nEVAL,"OR")=0))</f>
      </c>
      <c r="I226">
        <f>IF(DATOS!$I226="","",IFERROR(VLOOKUP(DATOS!$I226,CONFIG_ASIGNATURAS!$B$2:$J$91,9,FALSE()),""))</f>
      </c>
    </row>
    <row r="227">
      <c r="F227">
        <f>IF(DATOS!$A227="","",DATOS!$A227&amp;"|"&amp;DATOS!$D227&amp;"|"&amp;DATOS!$E227&amp;"|"&amp;DATOS!$I227)</f>
      </c>
      <c r="G227">
        <f>IF(DATOS!$A227="",0,IF(CONFIG_METADATA!$B$4&lt;&gt;"OR+EX",--(DATOS!$G227=CONFIG_METADATA!$B$4),IF(DATOS!$G227="EX",1,IF(DATOS!$G227="OR",--(COUNTIFS(nNIA,DATOS!$A227,nCURSO,DATOS!$D227,nESPEC,DATOS!$E227,nASIG,DATOS!$I227,nEVAL,"EX")=0),0))))</f>
      </c>
      <c r="H227">
        <f>IF(DATOS!$G227&lt;&gt;"EX",0,--(COUNTIFS(nNIA,DATOS!$A227,nCURSO,DATOS!$D227,nESPEC,DATOS!$E227,nASIG,DATOS!$I227,nEVAL,"OR")=0))</f>
      </c>
      <c r="I227">
        <f>IF(DATOS!$I227="","",IFERROR(VLOOKUP(DATOS!$I227,CONFIG_ASIGNATURAS!$B$2:$J$91,9,FALSE()),""))</f>
      </c>
    </row>
    <row r="228">
      <c r="F228">
        <f>IF(DATOS!$A228="","",DATOS!$A228&amp;"|"&amp;DATOS!$D228&amp;"|"&amp;DATOS!$E228&amp;"|"&amp;DATOS!$I228)</f>
      </c>
      <c r="G228">
        <f>IF(DATOS!$A228="",0,IF(CONFIG_METADATA!$B$4&lt;&gt;"OR+EX",--(DATOS!$G228=CONFIG_METADATA!$B$4),IF(DATOS!$G228="EX",1,IF(DATOS!$G228="OR",--(COUNTIFS(nNIA,DATOS!$A228,nCURSO,DATOS!$D228,nESPEC,DATOS!$E228,nASIG,DATOS!$I228,nEVAL,"EX")=0),0))))</f>
      </c>
      <c r="H228">
        <f>IF(DATOS!$G228&lt;&gt;"EX",0,--(COUNTIFS(nNIA,DATOS!$A228,nCURSO,DATOS!$D228,nESPEC,DATOS!$E228,nASIG,DATOS!$I228,nEVAL,"OR")=0))</f>
      </c>
      <c r="I228">
        <f>IF(DATOS!$I228="","",IFERROR(VLOOKUP(DATOS!$I228,CONFIG_ASIGNATURAS!$B$2:$J$91,9,FALSE()),""))</f>
      </c>
    </row>
    <row r="229">
      <c r="F229">
        <f>IF(DATOS!$A229="","",DATOS!$A229&amp;"|"&amp;DATOS!$D229&amp;"|"&amp;DATOS!$E229&amp;"|"&amp;DATOS!$I229)</f>
      </c>
      <c r="G229">
        <f>IF(DATOS!$A229="",0,IF(CONFIG_METADATA!$B$4&lt;&gt;"OR+EX",--(DATOS!$G229=CONFIG_METADATA!$B$4),IF(DATOS!$G229="EX",1,IF(DATOS!$G229="OR",--(COUNTIFS(nNIA,DATOS!$A229,nCURSO,DATOS!$D229,nESPEC,DATOS!$E229,nASIG,DATOS!$I229,nEVAL,"EX")=0),0))))</f>
      </c>
      <c r="H229">
        <f>IF(DATOS!$G229&lt;&gt;"EX",0,--(COUNTIFS(nNIA,DATOS!$A229,nCURSO,DATOS!$D229,nESPEC,DATOS!$E229,nASIG,DATOS!$I229,nEVAL,"OR")=0))</f>
      </c>
      <c r="I229">
        <f>IF(DATOS!$I229="","",IFERROR(VLOOKUP(DATOS!$I229,CONFIG_ASIGNATURAS!$B$2:$J$91,9,FALSE()),""))</f>
      </c>
    </row>
    <row r="230">
      <c r="F230">
        <f>IF(DATOS!$A230="","",DATOS!$A230&amp;"|"&amp;DATOS!$D230&amp;"|"&amp;DATOS!$E230&amp;"|"&amp;DATOS!$I230)</f>
      </c>
      <c r="G230">
        <f>IF(DATOS!$A230="",0,IF(CONFIG_METADATA!$B$4&lt;&gt;"OR+EX",--(DATOS!$G230=CONFIG_METADATA!$B$4),IF(DATOS!$G230="EX",1,IF(DATOS!$G230="OR",--(COUNTIFS(nNIA,DATOS!$A230,nCURSO,DATOS!$D230,nESPEC,DATOS!$E230,nASIG,DATOS!$I230,nEVAL,"EX")=0),0))))</f>
      </c>
      <c r="H230">
        <f>IF(DATOS!$G230&lt;&gt;"EX",0,--(COUNTIFS(nNIA,DATOS!$A230,nCURSO,DATOS!$D230,nESPEC,DATOS!$E230,nASIG,DATOS!$I230,nEVAL,"OR")=0))</f>
      </c>
      <c r="I230">
        <f>IF(DATOS!$I230="","",IFERROR(VLOOKUP(DATOS!$I230,CONFIG_ASIGNATURAS!$B$2:$J$91,9,FALSE()),""))</f>
      </c>
    </row>
    <row r="231">
      <c r="F231">
        <f>IF(DATOS!$A231="","",DATOS!$A231&amp;"|"&amp;DATOS!$D231&amp;"|"&amp;DATOS!$E231&amp;"|"&amp;DATOS!$I231)</f>
      </c>
      <c r="G231">
        <f>IF(DATOS!$A231="",0,IF(CONFIG_METADATA!$B$4&lt;&gt;"OR+EX",--(DATOS!$G231=CONFIG_METADATA!$B$4),IF(DATOS!$G231="EX",1,IF(DATOS!$G231="OR",--(COUNTIFS(nNIA,DATOS!$A231,nCURSO,DATOS!$D231,nESPEC,DATOS!$E231,nASIG,DATOS!$I231,nEVAL,"EX")=0),0))))</f>
      </c>
      <c r="H231">
        <f>IF(DATOS!$G231&lt;&gt;"EX",0,--(COUNTIFS(nNIA,DATOS!$A231,nCURSO,DATOS!$D231,nESPEC,DATOS!$E231,nASIG,DATOS!$I231,nEVAL,"OR")=0))</f>
      </c>
      <c r="I231">
        <f>IF(DATOS!$I231="","",IFERROR(VLOOKUP(DATOS!$I231,CONFIG_ASIGNATURAS!$B$2:$J$91,9,FALSE()),""))</f>
      </c>
    </row>
    <row r="232">
      <c r="F232">
        <f>IF(DATOS!$A232="","",DATOS!$A232&amp;"|"&amp;DATOS!$D232&amp;"|"&amp;DATOS!$E232&amp;"|"&amp;DATOS!$I232)</f>
      </c>
      <c r="G232">
        <f>IF(DATOS!$A232="",0,IF(CONFIG_METADATA!$B$4&lt;&gt;"OR+EX",--(DATOS!$G232=CONFIG_METADATA!$B$4),IF(DATOS!$G232="EX",1,IF(DATOS!$G232="OR",--(COUNTIFS(nNIA,DATOS!$A232,nCURSO,DATOS!$D232,nESPEC,DATOS!$E232,nASIG,DATOS!$I232,nEVAL,"EX")=0),0))))</f>
      </c>
      <c r="H232">
        <f>IF(DATOS!$G232&lt;&gt;"EX",0,--(COUNTIFS(nNIA,DATOS!$A232,nCURSO,DATOS!$D232,nESPEC,DATOS!$E232,nASIG,DATOS!$I232,nEVAL,"OR")=0))</f>
      </c>
      <c r="I232">
        <f>IF(DATOS!$I232="","",IFERROR(VLOOKUP(DATOS!$I232,CONFIG_ASIGNATURAS!$B$2:$J$91,9,FALSE()),""))</f>
      </c>
    </row>
    <row r="233">
      <c r="F233">
        <f>IF(DATOS!$A233="","",DATOS!$A233&amp;"|"&amp;DATOS!$D233&amp;"|"&amp;DATOS!$E233&amp;"|"&amp;DATOS!$I233)</f>
      </c>
      <c r="G233">
        <f>IF(DATOS!$A233="",0,IF(CONFIG_METADATA!$B$4&lt;&gt;"OR+EX",--(DATOS!$G233=CONFIG_METADATA!$B$4),IF(DATOS!$G233="EX",1,IF(DATOS!$G233="OR",--(COUNTIFS(nNIA,DATOS!$A233,nCURSO,DATOS!$D233,nESPEC,DATOS!$E233,nASIG,DATOS!$I233,nEVAL,"EX")=0),0))))</f>
      </c>
      <c r="H233">
        <f>IF(DATOS!$G233&lt;&gt;"EX",0,--(COUNTIFS(nNIA,DATOS!$A233,nCURSO,DATOS!$D233,nESPEC,DATOS!$E233,nASIG,DATOS!$I233,nEVAL,"OR")=0))</f>
      </c>
      <c r="I233">
        <f>IF(DATOS!$I233="","",IFERROR(VLOOKUP(DATOS!$I233,CONFIG_ASIGNATURAS!$B$2:$J$91,9,FALSE()),""))</f>
      </c>
    </row>
    <row r="234">
      <c r="F234">
        <f>IF(DATOS!$A234="","",DATOS!$A234&amp;"|"&amp;DATOS!$D234&amp;"|"&amp;DATOS!$E234&amp;"|"&amp;DATOS!$I234)</f>
      </c>
      <c r="G234">
        <f>IF(DATOS!$A234="",0,IF(CONFIG_METADATA!$B$4&lt;&gt;"OR+EX",--(DATOS!$G234=CONFIG_METADATA!$B$4),IF(DATOS!$G234="EX",1,IF(DATOS!$G234="OR",--(COUNTIFS(nNIA,DATOS!$A234,nCURSO,DATOS!$D234,nESPEC,DATOS!$E234,nASIG,DATOS!$I234,nEVAL,"EX")=0),0))))</f>
      </c>
      <c r="H234">
        <f>IF(DATOS!$G234&lt;&gt;"EX",0,--(COUNTIFS(nNIA,DATOS!$A234,nCURSO,DATOS!$D234,nESPEC,DATOS!$E234,nASIG,DATOS!$I234,nEVAL,"OR")=0))</f>
      </c>
      <c r="I234">
        <f>IF(DATOS!$I234="","",IFERROR(VLOOKUP(DATOS!$I234,CONFIG_ASIGNATURAS!$B$2:$J$91,9,FALSE()),""))</f>
      </c>
    </row>
    <row r="235">
      <c r="F235">
        <f>IF(DATOS!$A235="","",DATOS!$A235&amp;"|"&amp;DATOS!$D235&amp;"|"&amp;DATOS!$E235&amp;"|"&amp;DATOS!$I235)</f>
      </c>
      <c r="G235">
        <f>IF(DATOS!$A235="",0,IF(CONFIG_METADATA!$B$4&lt;&gt;"OR+EX",--(DATOS!$G235=CONFIG_METADATA!$B$4),IF(DATOS!$G235="EX",1,IF(DATOS!$G235="OR",--(COUNTIFS(nNIA,DATOS!$A235,nCURSO,DATOS!$D235,nESPEC,DATOS!$E235,nASIG,DATOS!$I235,nEVAL,"EX")=0),0))))</f>
      </c>
      <c r="H235">
        <f>IF(DATOS!$G235&lt;&gt;"EX",0,--(COUNTIFS(nNIA,DATOS!$A235,nCURSO,DATOS!$D235,nESPEC,DATOS!$E235,nASIG,DATOS!$I235,nEVAL,"OR")=0))</f>
      </c>
      <c r="I235">
        <f>IF(DATOS!$I235="","",IFERROR(VLOOKUP(DATOS!$I235,CONFIG_ASIGNATURAS!$B$2:$J$91,9,FALSE()),""))</f>
      </c>
    </row>
    <row r="236">
      <c r="F236">
        <f>IF(DATOS!$A236="","",DATOS!$A236&amp;"|"&amp;DATOS!$D236&amp;"|"&amp;DATOS!$E236&amp;"|"&amp;DATOS!$I236)</f>
      </c>
      <c r="G236">
        <f>IF(DATOS!$A236="",0,IF(CONFIG_METADATA!$B$4&lt;&gt;"OR+EX",--(DATOS!$G236=CONFIG_METADATA!$B$4),IF(DATOS!$G236="EX",1,IF(DATOS!$G236="OR",--(COUNTIFS(nNIA,DATOS!$A236,nCURSO,DATOS!$D236,nESPEC,DATOS!$E236,nASIG,DATOS!$I236,nEVAL,"EX")=0),0))))</f>
      </c>
      <c r="H236">
        <f>IF(DATOS!$G236&lt;&gt;"EX",0,--(COUNTIFS(nNIA,DATOS!$A236,nCURSO,DATOS!$D236,nESPEC,DATOS!$E236,nASIG,DATOS!$I236,nEVAL,"OR")=0))</f>
      </c>
      <c r="I236">
        <f>IF(DATOS!$I236="","",IFERROR(VLOOKUP(DATOS!$I236,CONFIG_ASIGNATURAS!$B$2:$J$91,9,FALSE()),""))</f>
      </c>
    </row>
    <row r="237">
      <c r="F237">
        <f>IF(DATOS!$A237="","",DATOS!$A237&amp;"|"&amp;DATOS!$D237&amp;"|"&amp;DATOS!$E237&amp;"|"&amp;DATOS!$I237)</f>
      </c>
      <c r="G237">
        <f>IF(DATOS!$A237="",0,IF(CONFIG_METADATA!$B$4&lt;&gt;"OR+EX",--(DATOS!$G237=CONFIG_METADATA!$B$4),IF(DATOS!$G237="EX",1,IF(DATOS!$G237="OR",--(COUNTIFS(nNIA,DATOS!$A237,nCURSO,DATOS!$D237,nESPEC,DATOS!$E237,nASIG,DATOS!$I237,nEVAL,"EX")=0),0))))</f>
      </c>
      <c r="H237">
        <f>IF(DATOS!$G237&lt;&gt;"EX",0,--(COUNTIFS(nNIA,DATOS!$A237,nCURSO,DATOS!$D237,nESPEC,DATOS!$E237,nASIG,DATOS!$I237,nEVAL,"OR")=0))</f>
      </c>
      <c r="I237">
        <f>IF(DATOS!$I237="","",IFERROR(VLOOKUP(DATOS!$I237,CONFIG_ASIGNATURAS!$B$2:$J$91,9,FALSE()),""))</f>
      </c>
    </row>
    <row r="238">
      <c r="F238">
        <f>IF(DATOS!$A238="","",DATOS!$A238&amp;"|"&amp;DATOS!$D238&amp;"|"&amp;DATOS!$E238&amp;"|"&amp;DATOS!$I238)</f>
      </c>
      <c r="G238">
        <f>IF(DATOS!$A238="",0,IF(CONFIG_METADATA!$B$4&lt;&gt;"OR+EX",--(DATOS!$G238=CONFIG_METADATA!$B$4),IF(DATOS!$G238="EX",1,IF(DATOS!$G238="OR",--(COUNTIFS(nNIA,DATOS!$A238,nCURSO,DATOS!$D238,nESPEC,DATOS!$E238,nASIG,DATOS!$I238,nEVAL,"EX")=0),0))))</f>
      </c>
      <c r="H238">
        <f>IF(DATOS!$G238&lt;&gt;"EX",0,--(COUNTIFS(nNIA,DATOS!$A238,nCURSO,DATOS!$D238,nESPEC,DATOS!$E238,nASIG,DATOS!$I238,nEVAL,"OR")=0))</f>
      </c>
      <c r="I238">
        <f>IF(DATOS!$I238="","",IFERROR(VLOOKUP(DATOS!$I238,CONFIG_ASIGNATURAS!$B$2:$J$91,9,FALSE()),""))</f>
      </c>
    </row>
    <row r="239">
      <c r="F239">
        <f>IF(DATOS!$A239="","",DATOS!$A239&amp;"|"&amp;DATOS!$D239&amp;"|"&amp;DATOS!$E239&amp;"|"&amp;DATOS!$I239)</f>
      </c>
      <c r="G239">
        <f>IF(DATOS!$A239="",0,IF(CONFIG_METADATA!$B$4&lt;&gt;"OR+EX",--(DATOS!$G239=CONFIG_METADATA!$B$4),IF(DATOS!$G239="EX",1,IF(DATOS!$G239="OR",--(COUNTIFS(nNIA,DATOS!$A239,nCURSO,DATOS!$D239,nESPEC,DATOS!$E239,nASIG,DATOS!$I239,nEVAL,"EX")=0),0))))</f>
      </c>
      <c r="H239">
        <f>IF(DATOS!$G239&lt;&gt;"EX",0,--(COUNTIFS(nNIA,DATOS!$A239,nCURSO,DATOS!$D239,nESPEC,DATOS!$E239,nASIG,DATOS!$I239,nEVAL,"OR")=0))</f>
      </c>
      <c r="I239">
        <f>IF(DATOS!$I239="","",IFERROR(VLOOKUP(DATOS!$I239,CONFIG_ASIGNATURAS!$B$2:$J$91,9,FALSE()),""))</f>
      </c>
    </row>
    <row r="240">
      <c r="F240">
        <f>IF(DATOS!$A240="","",DATOS!$A240&amp;"|"&amp;DATOS!$D240&amp;"|"&amp;DATOS!$E240&amp;"|"&amp;DATOS!$I240)</f>
      </c>
      <c r="G240">
        <f>IF(DATOS!$A240="",0,IF(CONFIG_METADATA!$B$4&lt;&gt;"OR+EX",--(DATOS!$G240=CONFIG_METADATA!$B$4),IF(DATOS!$G240="EX",1,IF(DATOS!$G240="OR",--(COUNTIFS(nNIA,DATOS!$A240,nCURSO,DATOS!$D240,nESPEC,DATOS!$E240,nASIG,DATOS!$I240,nEVAL,"EX")=0),0))))</f>
      </c>
      <c r="H240">
        <f>IF(DATOS!$G240&lt;&gt;"EX",0,--(COUNTIFS(nNIA,DATOS!$A240,nCURSO,DATOS!$D240,nESPEC,DATOS!$E240,nASIG,DATOS!$I240,nEVAL,"OR")=0))</f>
      </c>
      <c r="I240">
        <f>IF(DATOS!$I240="","",IFERROR(VLOOKUP(DATOS!$I240,CONFIG_ASIGNATURAS!$B$2:$J$91,9,FALSE()),""))</f>
      </c>
    </row>
    <row r="241">
      <c r="F241">
        <f>IF(DATOS!$A241="","",DATOS!$A241&amp;"|"&amp;DATOS!$D241&amp;"|"&amp;DATOS!$E241&amp;"|"&amp;DATOS!$I241)</f>
      </c>
      <c r="G241">
        <f>IF(DATOS!$A241="",0,IF(CONFIG_METADATA!$B$4&lt;&gt;"OR+EX",--(DATOS!$G241=CONFIG_METADATA!$B$4),IF(DATOS!$G241="EX",1,IF(DATOS!$G241="OR",--(COUNTIFS(nNIA,DATOS!$A241,nCURSO,DATOS!$D241,nESPEC,DATOS!$E241,nASIG,DATOS!$I241,nEVAL,"EX")=0),0))))</f>
      </c>
      <c r="H241">
        <f>IF(DATOS!$G241&lt;&gt;"EX",0,--(COUNTIFS(nNIA,DATOS!$A241,nCURSO,DATOS!$D241,nESPEC,DATOS!$E241,nASIG,DATOS!$I241,nEVAL,"OR")=0))</f>
      </c>
      <c r="I241">
        <f>IF(DATOS!$I241="","",IFERROR(VLOOKUP(DATOS!$I241,CONFIG_ASIGNATURAS!$B$2:$J$91,9,FALSE()),""))</f>
      </c>
    </row>
    <row r="242">
      <c r="F242">
        <f>IF(DATOS!$A242="","",DATOS!$A242&amp;"|"&amp;DATOS!$D242&amp;"|"&amp;DATOS!$E242&amp;"|"&amp;DATOS!$I242)</f>
      </c>
      <c r="G242">
        <f>IF(DATOS!$A242="",0,IF(CONFIG_METADATA!$B$4&lt;&gt;"OR+EX",--(DATOS!$G242=CONFIG_METADATA!$B$4),IF(DATOS!$G242="EX",1,IF(DATOS!$G242="OR",--(COUNTIFS(nNIA,DATOS!$A242,nCURSO,DATOS!$D242,nESPEC,DATOS!$E242,nASIG,DATOS!$I242,nEVAL,"EX")=0),0))))</f>
      </c>
      <c r="H242">
        <f>IF(DATOS!$G242&lt;&gt;"EX",0,--(COUNTIFS(nNIA,DATOS!$A242,nCURSO,DATOS!$D242,nESPEC,DATOS!$E242,nASIG,DATOS!$I242,nEVAL,"OR")=0))</f>
      </c>
      <c r="I242">
        <f>IF(DATOS!$I242="","",IFERROR(VLOOKUP(DATOS!$I242,CONFIG_ASIGNATURAS!$B$2:$J$91,9,FALSE()),""))</f>
      </c>
    </row>
    <row r="243">
      <c r="F243">
        <f>IF(DATOS!$A243="","",DATOS!$A243&amp;"|"&amp;DATOS!$D243&amp;"|"&amp;DATOS!$E243&amp;"|"&amp;DATOS!$I243)</f>
      </c>
      <c r="G243">
        <f>IF(DATOS!$A243="",0,IF(CONFIG_METADATA!$B$4&lt;&gt;"OR+EX",--(DATOS!$G243=CONFIG_METADATA!$B$4),IF(DATOS!$G243="EX",1,IF(DATOS!$G243="OR",--(COUNTIFS(nNIA,DATOS!$A243,nCURSO,DATOS!$D243,nESPEC,DATOS!$E243,nASIG,DATOS!$I243,nEVAL,"EX")=0),0))))</f>
      </c>
      <c r="H243">
        <f>IF(DATOS!$G243&lt;&gt;"EX",0,--(COUNTIFS(nNIA,DATOS!$A243,nCURSO,DATOS!$D243,nESPEC,DATOS!$E243,nASIG,DATOS!$I243,nEVAL,"OR")=0))</f>
      </c>
      <c r="I243">
        <f>IF(DATOS!$I243="","",IFERROR(VLOOKUP(DATOS!$I243,CONFIG_ASIGNATURAS!$B$2:$J$91,9,FALSE()),""))</f>
      </c>
    </row>
    <row r="244">
      <c r="F244">
        <f>IF(DATOS!$A244="","",DATOS!$A244&amp;"|"&amp;DATOS!$D244&amp;"|"&amp;DATOS!$E244&amp;"|"&amp;DATOS!$I244)</f>
      </c>
      <c r="G244">
        <f>IF(DATOS!$A244="",0,IF(CONFIG_METADATA!$B$4&lt;&gt;"OR+EX",--(DATOS!$G244=CONFIG_METADATA!$B$4),IF(DATOS!$G244="EX",1,IF(DATOS!$G244="OR",--(COUNTIFS(nNIA,DATOS!$A244,nCURSO,DATOS!$D244,nESPEC,DATOS!$E244,nASIG,DATOS!$I244,nEVAL,"EX")=0),0))))</f>
      </c>
      <c r="H244">
        <f>IF(DATOS!$G244&lt;&gt;"EX",0,--(COUNTIFS(nNIA,DATOS!$A244,nCURSO,DATOS!$D244,nESPEC,DATOS!$E244,nASIG,DATOS!$I244,nEVAL,"OR")=0))</f>
      </c>
      <c r="I244">
        <f>IF(DATOS!$I244="","",IFERROR(VLOOKUP(DATOS!$I244,CONFIG_ASIGNATURAS!$B$2:$J$91,9,FALSE()),""))</f>
      </c>
    </row>
    <row r="245">
      <c r="F245">
        <f>IF(DATOS!$A245="","",DATOS!$A245&amp;"|"&amp;DATOS!$D245&amp;"|"&amp;DATOS!$E245&amp;"|"&amp;DATOS!$I245)</f>
      </c>
      <c r="G245">
        <f>IF(DATOS!$A245="",0,IF(CONFIG_METADATA!$B$4&lt;&gt;"OR+EX",--(DATOS!$G245=CONFIG_METADATA!$B$4),IF(DATOS!$G245="EX",1,IF(DATOS!$G245="OR",--(COUNTIFS(nNIA,DATOS!$A245,nCURSO,DATOS!$D245,nESPEC,DATOS!$E245,nASIG,DATOS!$I245,nEVAL,"EX")=0),0))))</f>
      </c>
      <c r="H245">
        <f>IF(DATOS!$G245&lt;&gt;"EX",0,--(COUNTIFS(nNIA,DATOS!$A245,nCURSO,DATOS!$D245,nESPEC,DATOS!$E245,nASIG,DATOS!$I245,nEVAL,"OR")=0))</f>
      </c>
      <c r="I245">
        <f>IF(DATOS!$I245="","",IFERROR(VLOOKUP(DATOS!$I245,CONFIG_ASIGNATURAS!$B$2:$J$91,9,FALSE()),""))</f>
      </c>
    </row>
    <row r="246">
      <c r="F246">
        <f>IF(DATOS!$A246="","",DATOS!$A246&amp;"|"&amp;DATOS!$D246&amp;"|"&amp;DATOS!$E246&amp;"|"&amp;DATOS!$I246)</f>
      </c>
      <c r="G246">
        <f>IF(DATOS!$A246="",0,IF(CONFIG_METADATA!$B$4&lt;&gt;"OR+EX",--(DATOS!$G246=CONFIG_METADATA!$B$4),IF(DATOS!$G246="EX",1,IF(DATOS!$G246="OR",--(COUNTIFS(nNIA,DATOS!$A246,nCURSO,DATOS!$D246,nESPEC,DATOS!$E246,nASIG,DATOS!$I246,nEVAL,"EX")=0),0))))</f>
      </c>
      <c r="H246">
        <f>IF(DATOS!$G246&lt;&gt;"EX",0,--(COUNTIFS(nNIA,DATOS!$A246,nCURSO,DATOS!$D246,nESPEC,DATOS!$E246,nASIG,DATOS!$I246,nEVAL,"OR")=0))</f>
      </c>
      <c r="I246">
        <f>IF(DATOS!$I246="","",IFERROR(VLOOKUP(DATOS!$I246,CONFIG_ASIGNATURAS!$B$2:$J$91,9,FALSE()),""))</f>
      </c>
    </row>
    <row r="247">
      <c r="F247">
        <f>IF(DATOS!$A247="","",DATOS!$A247&amp;"|"&amp;DATOS!$D247&amp;"|"&amp;DATOS!$E247&amp;"|"&amp;DATOS!$I247)</f>
      </c>
      <c r="G247">
        <f>IF(DATOS!$A247="",0,IF(CONFIG_METADATA!$B$4&lt;&gt;"OR+EX",--(DATOS!$G247=CONFIG_METADATA!$B$4),IF(DATOS!$G247="EX",1,IF(DATOS!$G247="OR",--(COUNTIFS(nNIA,DATOS!$A247,nCURSO,DATOS!$D247,nESPEC,DATOS!$E247,nASIG,DATOS!$I247,nEVAL,"EX")=0),0))))</f>
      </c>
      <c r="H247">
        <f>IF(DATOS!$G247&lt;&gt;"EX",0,--(COUNTIFS(nNIA,DATOS!$A247,nCURSO,DATOS!$D247,nESPEC,DATOS!$E247,nASIG,DATOS!$I247,nEVAL,"OR")=0))</f>
      </c>
      <c r="I247">
        <f>IF(DATOS!$I247="","",IFERROR(VLOOKUP(DATOS!$I247,CONFIG_ASIGNATURAS!$B$2:$J$91,9,FALSE()),""))</f>
      </c>
    </row>
    <row r="248">
      <c r="F248">
        <f>IF(DATOS!$A248="","",DATOS!$A248&amp;"|"&amp;DATOS!$D248&amp;"|"&amp;DATOS!$E248&amp;"|"&amp;DATOS!$I248)</f>
      </c>
      <c r="G248">
        <f>IF(DATOS!$A248="",0,IF(CONFIG_METADATA!$B$4&lt;&gt;"OR+EX",--(DATOS!$G248=CONFIG_METADATA!$B$4),IF(DATOS!$G248="EX",1,IF(DATOS!$G248="OR",--(COUNTIFS(nNIA,DATOS!$A248,nCURSO,DATOS!$D248,nESPEC,DATOS!$E248,nASIG,DATOS!$I248,nEVAL,"EX")=0),0))))</f>
      </c>
      <c r="H248">
        <f>IF(DATOS!$G248&lt;&gt;"EX",0,--(COUNTIFS(nNIA,DATOS!$A248,nCURSO,DATOS!$D248,nESPEC,DATOS!$E248,nASIG,DATOS!$I248,nEVAL,"OR")=0))</f>
      </c>
      <c r="I248">
        <f>IF(DATOS!$I248="","",IFERROR(VLOOKUP(DATOS!$I248,CONFIG_ASIGNATURAS!$B$2:$J$91,9,FALSE()),""))</f>
      </c>
    </row>
    <row r="249">
      <c r="F249">
        <f>IF(DATOS!$A249="","",DATOS!$A249&amp;"|"&amp;DATOS!$D249&amp;"|"&amp;DATOS!$E249&amp;"|"&amp;DATOS!$I249)</f>
      </c>
      <c r="G249">
        <f>IF(DATOS!$A249="",0,IF(CONFIG_METADATA!$B$4&lt;&gt;"OR+EX",--(DATOS!$G249=CONFIG_METADATA!$B$4),IF(DATOS!$G249="EX",1,IF(DATOS!$G249="OR",--(COUNTIFS(nNIA,DATOS!$A249,nCURSO,DATOS!$D249,nESPEC,DATOS!$E249,nASIG,DATOS!$I249,nEVAL,"EX")=0),0))))</f>
      </c>
      <c r="H249">
        <f>IF(DATOS!$G249&lt;&gt;"EX",0,--(COUNTIFS(nNIA,DATOS!$A249,nCURSO,DATOS!$D249,nESPEC,DATOS!$E249,nASIG,DATOS!$I249,nEVAL,"OR")=0))</f>
      </c>
      <c r="I249">
        <f>IF(DATOS!$I249="","",IFERROR(VLOOKUP(DATOS!$I249,CONFIG_ASIGNATURAS!$B$2:$J$91,9,FALSE()),""))</f>
      </c>
    </row>
    <row r="250">
      <c r="F250">
        <f>IF(DATOS!$A250="","",DATOS!$A250&amp;"|"&amp;DATOS!$D250&amp;"|"&amp;DATOS!$E250&amp;"|"&amp;DATOS!$I250)</f>
      </c>
      <c r="G250">
        <f>IF(DATOS!$A250="",0,IF(CONFIG_METADATA!$B$4&lt;&gt;"OR+EX",--(DATOS!$G250=CONFIG_METADATA!$B$4),IF(DATOS!$G250="EX",1,IF(DATOS!$G250="OR",--(COUNTIFS(nNIA,DATOS!$A250,nCURSO,DATOS!$D250,nESPEC,DATOS!$E250,nASIG,DATOS!$I250,nEVAL,"EX")=0),0))))</f>
      </c>
      <c r="H250">
        <f>IF(DATOS!$G250&lt;&gt;"EX",0,--(COUNTIFS(nNIA,DATOS!$A250,nCURSO,DATOS!$D250,nESPEC,DATOS!$E250,nASIG,DATOS!$I250,nEVAL,"OR")=0))</f>
      </c>
      <c r="I250">
        <f>IF(DATOS!$I250="","",IFERROR(VLOOKUP(DATOS!$I250,CONFIG_ASIGNATURAS!$B$2:$J$91,9,FALSE()),""))</f>
      </c>
    </row>
    <row r="251">
      <c r="F251">
        <f>IF(DATOS!$A251="","",DATOS!$A251&amp;"|"&amp;DATOS!$D251&amp;"|"&amp;DATOS!$E251&amp;"|"&amp;DATOS!$I251)</f>
      </c>
      <c r="G251">
        <f>IF(DATOS!$A251="",0,IF(CONFIG_METADATA!$B$4&lt;&gt;"OR+EX",--(DATOS!$G251=CONFIG_METADATA!$B$4),IF(DATOS!$G251="EX",1,IF(DATOS!$G251="OR",--(COUNTIFS(nNIA,DATOS!$A251,nCURSO,DATOS!$D251,nESPEC,DATOS!$E251,nASIG,DATOS!$I251,nEVAL,"EX")=0),0))))</f>
      </c>
      <c r="H251">
        <f>IF(DATOS!$G251&lt;&gt;"EX",0,--(COUNTIFS(nNIA,DATOS!$A251,nCURSO,DATOS!$D251,nESPEC,DATOS!$E251,nASIG,DATOS!$I251,nEVAL,"OR")=0))</f>
      </c>
      <c r="I251">
        <f>IF(DATOS!$I251="","",IFERROR(VLOOKUP(DATOS!$I251,CONFIG_ASIGNATURAS!$B$2:$J$91,9,FALSE()),""))</f>
      </c>
    </row>
    <row r="252">
      <c r="F252">
        <f>IF(DATOS!$A252="","",DATOS!$A252&amp;"|"&amp;DATOS!$D252&amp;"|"&amp;DATOS!$E252&amp;"|"&amp;DATOS!$I252)</f>
      </c>
      <c r="G252">
        <f>IF(DATOS!$A252="",0,IF(CONFIG_METADATA!$B$4&lt;&gt;"OR+EX",--(DATOS!$G252=CONFIG_METADATA!$B$4),IF(DATOS!$G252="EX",1,IF(DATOS!$G252="OR",--(COUNTIFS(nNIA,DATOS!$A252,nCURSO,DATOS!$D252,nESPEC,DATOS!$E252,nASIG,DATOS!$I252,nEVAL,"EX")=0),0))))</f>
      </c>
      <c r="H252">
        <f>IF(DATOS!$G252&lt;&gt;"EX",0,--(COUNTIFS(nNIA,DATOS!$A252,nCURSO,DATOS!$D252,nESPEC,DATOS!$E252,nASIG,DATOS!$I252,nEVAL,"OR")=0))</f>
      </c>
      <c r="I252">
        <f>IF(DATOS!$I252="","",IFERROR(VLOOKUP(DATOS!$I252,CONFIG_ASIGNATURAS!$B$2:$J$91,9,FALSE()),""))</f>
      </c>
    </row>
    <row r="253">
      <c r="F253">
        <f>IF(DATOS!$A253="","",DATOS!$A253&amp;"|"&amp;DATOS!$D253&amp;"|"&amp;DATOS!$E253&amp;"|"&amp;DATOS!$I253)</f>
      </c>
      <c r="G253">
        <f>IF(DATOS!$A253="",0,IF(CONFIG_METADATA!$B$4&lt;&gt;"OR+EX",--(DATOS!$G253=CONFIG_METADATA!$B$4),IF(DATOS!$G253="EX",1,IF(DATOS!$G253="OR",--(COUNTIFS(nNIA,DATOS!$A253,nCURSO,DATOS!$D253,nESPEC,DATOS!$E253,nASIG,DATOS!$I253,nEVAL,"EX")=0),0))))</f>
      </c>
      <c r="H253">
        <f>IF(DATOS!$G253&lt;&gt;"EX",0,--(COUNTIFS(nNIA,DATOS!$A253,nCURSO,DATOS!$D253,nESPEC,DATOS!$E253,nASIG,DATOS!$I253,nEVAL,"OR")=0))</f>
      </c>
      <c r="I253">
        <f>IF(DATOS!$I253="","",IFERROR(VLOOKUP(DATOS!$I253,CONFIG_ASIGNATURAS!$B$2:$J$91,9,FALSE()),""))</f>
      </c>
    </row>
    <row r="254">
      <c r="F254">
        <f>IF(DATOS!$A254="","",DATOS!$A254&amp;"|"&amp;DATOS!$D254&amp;"|"&amp;DATOS!$E254&amp;"|"&amp;DATOS!$I254)</f>
      </c>
      <c r="G254">
        <f>IF(DATOS!$A254="",0,IF(CONFIG_METADATA!$B$4&lt;&gt;"OR+EX",--(DATOS!$G254=CONFIG_METADATA!$B$4),IF(DATOS!$G254="EX",1,IF(DATOS!$G254="OR",--(COUNTIFS(nNIA,DATOS!$A254,nCURSO,DATOS!$D254,nESPEC,DATOS!$E254,nASIG,DATOS!$I254,nEVAL,"EX")=0),0))))</f>
      </c>
      <c r="H254">
        <f>IF(DATOS!$G254&lt;&gt;"EX",0,--(COUNTIFS(nNIA,DATOS!$A254,nCURSO,DATOS!$D254,nESPEC,DATOS!$E254,nASIG,DATOS!$I254,nEVAL,"OR")=0))</f>
      </c>
      <c r="I254">
        <f>IF(DATOS!$I254="","",IFERROR(VLOOKUP(DATOS!$I254,CONFIG_ASIGNATURAS!$B$2:$J$91,9,FALSE()),""))</f>
      </c>
    </row>
    <row r="255">
      <c r="F255">
        <f>IF(DATOS!$A255="","",DATOS!$A255&amp;"|"&amp;DATOS!$D255&amp;"|"&amp;DATOS!$E255&amp;"|"&amp;DATOS!$I255)</f>
      </c>
      <c r="G255">
        <f>IF(DATOS!$A255="",0,IF(CONFIG_METADATA!$B$4&lt;&gt;"OR+EX",--(DATOS!$G255=CONFIG_METADATA!$B$4),IF(DATOS!$G255="EX",1,IF(DATOS!$G255="OR",--(COUNTIFS(nNIA,DATOS!$A255,nCURSO,DATOS!$D255,nESPEC,DATOS!$E255,nASIG,DATOS!$I255,nEVAL,"EX")=0),0))))</f>
      </c>
      <c r="H255">
        <f>IF(DATOS!$G255&lt;&gt;"EX",0,--(COUNTIFS(nNIA,DATOS!$A255,nCURSO,DATOS!$D255,nESPEC,DATOS!$E255,nASIG,DATOS!$I255,nEVAL,"OR")=0))</f>
      </c>
      <c r="I255">
        <f>IF(DATOS!$I255="","",IFERROR(VLOOKUP(DATOS!$I255,CONFIG_ASIGNATURAS!$B$2:$J$91,9,FALSE()),""))</f>
      </c>
    </row>
    <row r="256">
      <c r="F256">
        <f>IF(DATOS!$A256="","",DATOS!$A256&amp;"|"&amp;DATOS!$D256&amp;"|"&amp;DATOS!$E256&amp;"|"&amp;DATOS!$I256)</f>
      </c>
      <c r="G256">
        <f>IF(DATOS!$A256="",0,IF(CONFIG_METADATA!$B$4&lt;&gt;"OR+EX",--(DATOS!$G256=CONFIG_METADATA!$B$4),IF(DATOS!$G256="EX",1,IF(DATOS!$G256="OR",--(COUNTIFS(nNIA,DATOS!$A256,nCURSO,DATOS!$D256,nESPEC,DATOS!$E256,nASIG,DATOS!$I256,nEVAL,"EX")=0),0))))</f>
      </c>
      <c r="H256">
        <f>IF(DATOS!$G256&lt;&gt;"EX",0,--(COUNTIFS(nNIA,DATOS!$A256,nCURSO,DATOS!$D256,nESPEC,DATOS!$E256,nASIG,DATOS!$I256,nEVAL,"OR")=0))</f>
      </c>
      <c r="I256">
        <f>IF(DATOS!$I256="","",IFERROR(VLOOKUP(DATOS!$I256,CONFIG_ASIGNATURAS!$B$2:$J$91,9,FALSE()),""))</f>
      </c>
    </row>
    <row r="257">
      <c r="F257">
        <f>IF(DATOS!$A257="","",DATOS!$A257&amp;"|"&amp;DATOS!$D257&amp;"|"&amp;DATOS!$E257&amp;"|"&amp;DATOS!$I257)</f>
      </c>
      <c r="G257">
        <f>IF(DATOS!$A257="",0,IF(CONFIG_METADATA!$B$4&lt;&gt;"OR+EX",--(DATOS!$G257=CONFIG_METADATA!$B$4),IF(DATOS!$G257="EX",1,IF(DATOS!$G257="OR",--(COUNTIFS(nNIA,DATOS!$A257,nCURSO,DATOS!$D257,nESPEC,DATOS!$E257,nASIG,DATOS!$I257,nEVAL,"EX")=0),0))))</f>
      </c>
      <c r="H257">
        <f>IF(DATOS!$G257&lt;&gt;"EX",0,--(COUNTIFS(nNIA,DATOS!$A257,nCURSO,DATOS!$D257,nESPEC,DATOS!$E257,nASIG,DATOS!$I257,nEVAL,"OR")=0))</f>
      </c>
      <c r="I257">
        <f>IF(DATOS!$I257="","",IFERROR(VLOOKUP(DATOS!$I257,CONFIG_ASIGNATURAS!$B$2:$J$91,9,FALSE()),""))</f>
      </c>
    </row>
    <row r="258">
      <c r="F258">
        <f>IF(DATOS!$A258="","",DATOS!$A258&amp;"|"&amp;DATOS!$D258&amp;"|"&amp;DATOS!$E258&amp;"|"&amp;DATOS!$I258)</f>
      </c>
      <c r="G258">
        <f>IF(DATOS!$A258="",0,IF(CONFIG_METADATA!$B$4&lt;&gt;"OR+EX",--(DATOS!$G258=CONFIG_METADATA!$B$4),IF(DATOS!$G258="EX",1,IF(DATOS!$G258="OR",--(COUNTIFS(nNIA,DATOS!$A258,nCURSO,DATOS!$D258,nESPEC,DATOS!$E258,nASIG,DATOS!$I258,nEVAL,"EX")=0),0))))</f>
      </c>
      <c r="H258">
        <f>IF(DATOS!$G258&lt;&gt;"EX",0,--(COUNTIFS(nNIA,DATOS!$A258,nCURSO,DATOS!$D258,nESPEC,DATOS!$E258,nASIG,DATOS!$I258,nEVAL,"OR")=0))</f>
      </c>
      <c r="I258">
        <f>IF(DATOS!$I258="","",IFERROR(VLOOKUP(DATOS!$I258,CONFIG_ASIGNATURAS!$B$2:$J$91,9,FALSE()),""))</f>
      </c>
    </row>
    <row r="259">
      <c r="F259">
        <f>IF(DATOS!$A259="","",DATOS!$A259&amp;"|"&amp;DATOS!$D259&amp;"|"&amp;DATOS!$E259&amp;"|"&amp;DATOS!$I259)</f>
      </c>
      <c r="G259">
        <f>IF(DATOS!$A259="",0,IF(CONFIG_METADATA!$B$4&lt;&gt;"OR+EX",--(DATOS!$G259=CONFIG_METADATA!$B$4),IF(DATOS!$G259="EX",1,IF(DATOS!$G259="OR",--(COUNTIFS(nNIA,DATOS!$A259,nCURSO,DATOS!$D259,nESPEC,DATOS!$E259,nASIG,DATOS!$I259,nEVAL,"EX")=0),0))))</f>
      </c>
      <c r="H259">
        <f>IF(DATOS!$G259&lt;&gt;"EX",0,--(COUNTIFS(nNIA,DATOS!$A259,nCURSO,DATOS!$D259,nESPEC,DATOS!$E259,nASIG,DATOS!$I259,nEVAL,"OR")=0))</f>
      </c>
      <c r="I259">
        <f>IF(DATOS!$I259="","",IFERROR(VLOOKUP(DATOS!$I259,CONFIG_ASIGNATURAS!$B$2:$J$91,9,FALSE()),""))</f>
      </c>
    </row>
    <row r="260">
      <c r="F260">
        <f>IF(DATOS!$A260="","",DATOS!$A260&amp;"|"&amp;DATOS!$D260&amp;"|"&amp;DATOS!$E260&amp;"|"&amp;DATOS!$I260)</f>
      </c>
      <c r="G260">
        <f>IF(DATOS!$A260="",0,IF(CONFIG_METADATA!$B$4&lt;&gt;"OR+EX",--(DATOS!$G260=CONFIG_METADATA!$B$4),IF(DATOS!$G260="EX",1,IF(DATOS!$G260="OR",--(COUNTIFS(nNIA,DATOS!$A260,nCURSO,DATOS!$D260,nESPEC,DATOS!$E260,nASIG,DATOS!$I260,nEVAL,"EX")=0),0))))</f>
      </c>
      <c r="H260">
        <f>IF(DATOS!$G260&lt;&gt;"EX",0,--(COUNTIFS(nNIA,DATOS!$A260,nCURSO,DATOS!$D260,nESPEC,DATOS!$E260,nASIG,DATOS!$I260,nEVAL,"OR")=0))</f>
      </c>
      <c r="I260">
        <f>IF(DATOS!$I260="","",IFERROR(VLOOKUP(DATOS!$I260,CONFIG_ASIGNATURAS!$B$2:$J$91,9,FALSE()),""))</f>
      </c>
    </row>
    <row r="261">
      <c r="F261">
        <f>IF(DATOS!$A261="","",DATOS!$A261&amp;"|"&amp;DATOS!$D261&amp;"|"&amp;DATOS!$E261&amp;"|"&amp;DATOS!$I261)</f>
      </c>
      <c r="G261">
        <f>IF(DATOS!$A261="",0,IF(CONFIG_METADATA!$B$4&lt;&gt;"OR+EX",--(DATOS!$G261=CONFIG_METADATA!$B$4),IF(DATOS!$G261="EX",1,IF(DATOS!$G261="OR",--(COUNTIFS(nNIA,DATOS!$A261,nCURSO,DATOS!$D261,nESPEC,DATOS!$E261,nASIG,DATOS!$I261,nEVAL,"EX")=0),0))))</f>
      </c>
      <c r="H261">
        <f>IF(DATOS!$G261&lt;&gt;"EX",0,--(COUNTIFS(nNIA,DATOS!$A261,nCURSO,DATOS!$D261,nESPEC,DATOS!$E261,nASIG,DATOS!$I261,nEVAL,"OR")=0))</f>
      </c>
      <c r="I261">
        <f>IF(DATOS!$I261="","",IFERROR(VLOOKUP(DATOS!$I261,CONFIG_ASIGNATURAS!$B$2:$J$91,9,FALSE()),""))</f>
      </c>
    </row>
    <row r="262">
      <c r="F262">
        <f>IF(DATOS!$A262="","",DATOS!$A262&amp;"|"&amp;DATOS!$D262&amp;"|"&amp;DATOS!$E262&amp;"|"&amp;DATOS!$I262)</f>
      </c>
      <c r="G262">
        <f>IF(DATOS!$A262="",0,IF(CONFIG_METADATA!$B$4&lt;&gt;"OR+EX",--(DATOS!$G262=CONFIG_METADATA!$B$4),IF(DATOS!$G262="EX",1,IF(DATOS!$G262="OR",--(COUNTIFS(nNIA,DATOS!$A262,nCURSO,DATOS!$D262,nESPEC,DATOS!$E262,nASIG,DATOS!$I262,nEVAL,"EX")=0),0))))</f>
      </c>
      <c r="H262">
        <f>IF(DATOS!$G262&lt;&gt;"EX",0,--(COUNTIFS(nNIA,DATOS!$A262,nCURSO,DATOS!$D262,nESPEC,DATOS!$E262,nASIG,DATOS!$I262,nEVAL,"OR")=0))</f>
      </c>
      <c r="I262">
        <f>IF(DATOS!$I262="","",IFERROR(VLOOKUP(DATOS!$I262,CONFIG_ASIGNATURAS!$B$2:$J$91,9,FALSE()),""))</f>
      </c>
    </row>
    <row r="263">
      <c r="F263">
        <f>IF(DATOS!$A263="","",DATOS!$A263&amp;"|"&amp;DATOS!$D263&amp;"|"&amp;DATOS!$E263&amp;"|"&amp;DATOS!$I263)</f>
      </c>
      <c r="G263">
        <f>IF(DATOS!$A263="",0,IF(CONFIG_METADATA!$B$4&lt;&gt;"OR+EX",--(DATOS!$G263=CONFIG_METADATA!$B$4),IF(DATOS!$G263="EX",1,IF(DATOS!$G263="OR",--(COUNTIFS(nNIA,DATOS!$A263,nCURSO,DATOS!$D263,nESPEC,DATOS!$E263,nASIG,DATOS!$I263,nEVAL,"EX")=0),0))))</f>
      </c>
      <c r="H263">
        <f>IF(DATOS!$G263&lt;&gt;"EX",0,--(COUNTIFS(nNIA,DATOS!$A263,nCURSO,DATOS!$D263,nESPEC,DATOS!$E263,nASIG,DATOS!$I263,nEVAL,"OR")=0))</f>
      </c>
      <c r="I263">
        <f>IF(DATOS!$I263="","",IFERROR(VLOOKUP(DATOS!$I263,CONFIG_ASIGNATURAS!$B$2:$J$91,9,FALSE()),""))</f>
      </c>
    </row>
    <row r="264">
      <c r="F264">
        <f>IF(DATOS!$A264="","",DATOS!$A264&amp;"|"&amp;DATOS!$D264&amp;"|"&amp;DATOS!$E264&amp;"|"&amp;DATOS!$I264)</f>
      </c>
      <c r="G264">
        <f>IF(DATOS!$A264="",0,IF(CONFIG_METADATA!$B$4&lt;&gt;"OR+EX",--(DATOS!$G264=CONFIG_METADATA!$B$4),IF(DATOS!$G264="EX",1,IF(DATOS!$G264="OR",--(COUNTIFS(nNIA,DATOS!$A264,nCURSO,DATOS!$D264,nESPEC,DATOS!$E264,nASIG,DATOS!$I264,nEVAL,"EX")=0),0))))</f>
      </c>
      <c r="H264">
        <f>IF(DATOS!$G264&lt;&gt;"EX",0,--(COUNTIFS(nNIA,DATOS!$A264,nCURSO,DATOS!$D264,nESPEC,DATOS!$E264,nASIG,DATOS!$I264,nEVAL,"OR")=0))</f>
      </c>
      <c r="I264">
        <f>IF(DATOS!$I264="","",IFERROR(VLOOKUP(DATOS!$I264,CONFIG_ASIGNATURAS!$B$2:$J$91,9,FALSE()),""))</f>
      </c>
    </row>
    <row r="265">
      <c r="F265">
        <f>IF(DATOS!$A265="","",DATOS!$A265&amp;"|"&amp;DATOS!$D265&amp;"|"&amp;DATOS!$E265&amp;"|"&amp;DATOS!$I265)</f>
      </c>
      <c r="G265">
        <f>IF(DATOS!$A265="",0,IF(CONFIG_METADATA!$B$4&lt;&gt;"OR+EX",--(DATOS!$G265=CONFIG_METADATA!$B$4),IF(DATOS!$G265="EX",1,IF(DATOS!$G265="OR",--(COUNTIFS(nNIA,DATOS!$A265,nCURSO,DATOS!$D265,nESPEC,DATOS!$E265,nASIG,DATOS!$I265,nEVAL,"EX")=0),0))))</f>
      </c>
      <c r="H265">
        <f>IF(DATOS!$G265&lt;&gt;"EX",0,--(COUNTIFS(nNIA,DATOS!$A265,nCURSO,DATOS!$D265,nESPEC,DATOS!$E265,nASIG,DATOS!$I265,nEVAL,"OR")=0))</f>
      </c>
      <c r="I265">
        <f>IF(DATOS!$I265="","",IFERROR(VLOOKUP(DATOS!$I265,CONFIG_ASIGNATURAS!$B$2:$J$91,9,FALSE()),""))</f>
      </c>
    </row>
    <row r="266">
      <c r="F266">
        <f>IF(DATOS!$A266="","",DATOS!$A266&amp;"|"&amp;DATOS!$D266&amp;"|"&amp;DATOS!$E266&amp;"|"&amp;DATOS!$I266)</f>
      </c>
      <c r="G266">
        <f>IF(DATOS!$A266="",0,IF(CONFIG_METADATA!$B$4&lt;&gt;"OR+EX",--(DATOS!$G266=CONFIG_METADATA!$B$4),IF(DATOS!$G266="EX",1,IF(DATOS!$G266="OR",--(COUNTIFS(nNIA,DATOS!$A266,nCURSO,DATOS!$D266,nESPEC,DATOS!$E266,nASIG,DATOS!$I266,nEVAL,"EX")=0),0))))</f>
      </c>
      <c r="H266">
        <f>IF(DATOS!$G266&lt;&gt;"EX",0,--(COUNTIFS(nNIA,DATOS!$A266,nCURSO,DATOS!$D266,nESPEC,DATOS!$E266,nASIG,DATOS!$I266,nEVAL,"OR")=0))</f>
      </c>
      <c r="I266">
        <f>IF(DATOS!$I266="","",IFERROR(VLOOKUP(DATOS!$I266,CONFIG_ASIGNATURAS!$B$2:$J$91,9,FALSE()),""))</f>
      </c>
    </row>
    <row r="267">
      <c r="F267">
        <f>IF(DATOS!$A267="","",DATOS!$A267&amp;"|"&amp;DATOS!$D267&amp;"|"&amp;DATOS!$E267&amp;"|"&amp;DATOS!$I267)</f>
      </c>
      <c r="G267">
        <f>IF(DATOS!$A267="",0,IF(CONFIG_METADATA!$B$4&lt;&gt;"OR+EX",--(DATOS!$G267=CONFIG_METADATA!$B$4),IF(DATOS!$G267="EX",1,IF(DATOS!$G267="OR",--(COUNTIFS(nNIA,DATOS!$A267,nCURSO,DATOS!$D267,nESPEC,DATOS!$E267,nASIG,DATOS!$I267,nEVAL,"EX")=0),0))))</f>
      </c>
      <c r="H267">
        <f>IF(DATOS!$G267&lt;&gt;"EX",0,--(COUNTIFS(nNIA,DATOS!$A267,nCURSO,DATOS!$D267,nESPEC,DATOS!$E267,nASIG,DATOS!$I267,nEVAL,"OR")=0))</f>
      </c>
      <c r="I267">
        <f>IF(DATOS!$I267="","",IFERROR(VLOOKUP(DATOS!$I267,CONFIG_ASIGNATURAS!$B$2:$J$91,9,FALSE()),""))</f>
      </c>
    </row>
    <row r="268">
      <c r="F268">
        <f>IF(DATOS!$A268="","",DATOS!$A268&amp;"|"&amp;DATOS!$D268&amp;"|"&amp;DATOS!$E268&amp;"|"&amp;DATOS!$I268)</f>
      </c>
      <c r="G268">
        <f>IF(DATOS!$A268="",0,IF(CONFIG_METADATA!$B$4&lt;&gt;"OR+EX",--(DATOS!$G268=CONFIG_METADATA!$B$4),IF(DATOS!$G268="EX",1,IF(DATOS!$G268="OR",--(COUNTIFS(nNIA,DATOS!$A268,nCURSO,DATOS!$D268,nESPEC,DATOS!$E268,nASIG,DATOS!$I268,nEVAL,"EX")=0),0))))</f>
      </c>
      <c r="H268">
        <f>IF(DATOS!$G268&lt;&gt;"EX",0,--(COUNTIFS(nNIA,DATOS!$A268,nCURSO,DATOS!$D268,nESPEC,DATOS!$E268,nASIG,DATOS!$I268,nEVAL,"OR")=0))</f>
      </c>
      <c r="I268">
        <f>IF(DATOS!$I268="","",IFERROR(VLOOKUP(DATOS!$I268,CONFIG_ASIGNATURAS!$B$2:$J$91,9,FALSE()),""))</f>
      </c>
    </row>
    <row r="269">
      <c r="F269">
        <f>IF(DATOS!$A269="","",DATOS!$A269&amp;"|"&amp;DATOS!$D269&amp;"|"&amp;DATOS!$E269&amp;"|"&amp;DATOS!$I269)</f>
      </c>
      <c r="G269">
        <f>IF(DATOS!$A269="",0,IF(CONFIG_METADATA!$B$4&lt;&gt;"OR+EX",--(DATOS!$G269=CONFIG_METADATA!$B$4),IF(DATOS!$G269="EX",1,IF(DATOS!$G269="OR",--(COUNTIFS(nNIA,DATOS!$A269,nCURSO,DATOS!$D269,nESPEC,DATOS!$E269,nASIG,DATOS!$I269,nEVAL,"EX")=0),0))))</f>
      </c>
      <c r="H269">
        <f>IF(DATOS!$G269&lt;&gt;"EX",0,--(COUNTIFS(nNIA,DATOS!$A269,nCURSO,DATOS!$D269,nESPEC,DATOS!$E269,nASIG,DATOS!$I269,nEVAL,"OR")=0))</f>
      </c>
      <c r="I269">
        <f>IF(DATOS!$I269="","",IFERROR(VLOOKUP(DATOS!$I269,CONFIG_ASIGNATURAS!$B$2:$J$91,9,FALSE()),""))</f>
      </c>
    </row>
    <row r="270">
      <c r="F270">
        <f>IF(DATOS!$A270="","",DATOS!$A270&amp;"|"&amp;DATOS!$D270&amp;"|"&amp;DATOS!$E270&amp;"|"&amp;DATOS!$I270)</f>
      </c>
      <c r="G270">
        <f>IF(DATOS!$A270="",0,IF(CONFIG_METADATA!$B$4&lt;&gt;"OR+EX",--(DATOS!$G270=CONFIG_METADATA!$B$4),IF(DATOS!$G270="EX",1,IF(DATOS!$G270="OR",--(COUNTIFS(nNIA,DATOS!$A270,nCURSO,DATOS!$D270,nESPEC,DATOS!$E270,nASIG,DATOS!$I270,nEVAL,"EX")=0),0))))</f>
      </c>
      <c r="H270">
        <f>IF(DATOS!$G270&lt;&gt;"EX",0,--(COUNTIFS(nNIA,DATOS!$A270,nCURSO,DATOS!$D270,nESPEC,DATOS!$E270,nASIG,DATOS!$I270,nEVAL,"OR")=0))</f>
      </c>
      <c r="I270">
        <f>IF(DATOS!$I270="","",IFERROR(VLOOKUP(DATOS!$I270,CONFIG_ASIGNATURAS!$B$2:$J$91,9,FALSE()),""))</f>
      </c>
    </row>
    <row r="271">
      <c r="F271">
        <f>IF(DATOS!$A271="","",DATOS!$A271&amp;"|"&amp;DATOS!$D271&amp;"|"&amp;DATOS!$E271&amp;"|"&amp;DATOS!$I271)</f>
      </c>
      <c r="G271">
        <f>IF(DATOS!$A271="",0,IF(CONFIG_METADATA!$B$4&lt;&gt;"OR+EX",--(DATOS!$G271=CONFIG_METADATA!$B$4),IF(DATOS!$G271="EX",1,IF(DATOS!$G271="OR",--(COUNTIFS(nNIA,DATOS!$A271,nCURSO,DATOS!$D271,nESPEC,DATOS!$E271,nASIG,DATOS!$I271,nEVAL,"EX")=0),0))))</f>
      </c>
      <c r="H271">
        <f>IF(DATOS!$G271&lt;&gt;"EX",0,--(COUNTIFS(nNIA,DATOS!$A271,nCURSO,DATOS!$D271,nESPEC,DATOS!$E271,nASIG,DATOS!$I271,nEVAL,"OR")=0))</f>
      </c>
      <c r="I271">
        <f>IF(DATOS!$I271="","",IFERROR(VLOOKUP(DATOS!$I271,CONFIG_ASIGNATURAS!$B$2:$J$91,9,FALSE()),""))</f>
      </c>
    </row>
    <row r="272">
      <c r="F272">
        <f>IF(DATOS!$A272="","",DATOS!$A272&amp;"|"&amp;DATOS!$D272&amp;"|"&amp;DATOS!$E272&amp;"|"&amp;DATOS!$I272)</f>
      </c>
      <c r="G272">
        <f>IF(DATOS!$A272="",0,IF(CONFIG_METADATA!$B$4&lt;&gt;"OR+EX",--(DATOS!$G272=CONFIG_METADATA!$B$4),IF(DATOS!$G272="EX",1,IF(DATOS!$G272="OR",--(COUNTIFS(nNIA,DATOS!$A272,nCURSO,DATOS!$D272,nESPEC,DATOS!$E272,nASIG,DATOS!$I272,nEVAL,"EX")=0),0))))</f>
      </c>
      <c r="H272">
        <f>IF(DATOS!$G272&lt;&gt;"EX",0,--(COUNTIFS(nNIA,DATOS!$A272,nCURSO,DATOS!$D272,nESPEC,DATOS!$E272,nASIG,DATOS!$I272,nEVAL,"OR")=0))</f>
      </c>
      <c r="I272">
        <f>IF(DATOS!$I272="","",IFERROR(VLOOKUP(DATOS!$I272,CONFIG_ASIGNATURAS!$B$2:$J$91,9,FALSE()),""))</f>
      </c>
    </row>
    <row r="273">
      <c r="F273">
        <f>IF(DATOS!$A273="","",DATOS!$A273&amp;"|"&amp;DATOS!$D273&amp;"|"&amp;DATOS!$E273&amp;"|"&amp;DATOS!$I273)</f>
      </c>
      <c r="G273">
        <f>IF(DATOS!$A273="",0,IF(CONFIG_METADATA!$B$4&lt;&gt;"OR+EX",--(DATOS!$G273=CONFIG_METADATA!$B$4),IF(DATOS!$G273="EX",1,IF(DATOS!$G273="OR",--(COUNTIFS(nNIA,DATOS!$A273,nCURSO,DATOS!$D273,nESPEC,DATOS!$E273,nASIG,DATOS!$I273,nEVAL,"EX")=0),0))))</f>
      </c>
      <c r="H273">
        <f>IF(DATOS!$G273&lt;&gt;"EX",0,--(COUNTIFS(nNIA,DATOS!$A273,nCURSO,DATOS!$D273,nESPEC,DATOS!$E273,nASIG,DATOS!$I273,nEVAL,"OR")=0))</f>
      </c>
      <c r="I273">
        <f>IF(DATOS!$I273="","",IFERROR(VLOOKUP(DATOS!$I273,CONFIG_ASIGNATURAS!$B$2:$J$91,9,FALSE()),""))</f>
      </c>
    </row>
    <row r="274">
      <c r="F274">
        <f>IF(DATOS!$A274="","",DATOS!$A274&amp;"|"&amp;DATOS!$D274&amp;"|"&amp;DATOS!$E274&amp;"|"&amp;DATOS!$I274)</f>
      </c>
      <c r="G274">
        <f>IF(DATOS!$A274="",0,IF(CONFIG_METADATA!$B$4&lt;&gt;"OR+EX",--(DATOS!$G274=CONFIG_METADATA!$B$4),IF(DATOS!$G274="EX",1,IF(DATOS!$G274="OR",--(COUNTIFS(nNIA,DATOS!$A274,nCURSO,DATOS!$D274,nESPEC,DATOS!$E274,nASIG,DATOS!$I274,nEVAL,"EX")=0),0))))</f>
      </c>
      <c r="H274">
        <f>IF(DATOS!$G274&lt;&gt;"EX",0,--(COUNTIFS(nNIA,DATOS!$A274,nCURSO,DATOS!$D274,nESPEC,DATOS!$E274,nASIG,DATOS!$I274,nEVAL,"OR")=0))</f>
      </c>
      <c r="I274">
        <f>IF(DATOS!$I274="","",IFERROR(VLOOKUP(DATOS!$I274,CONFIG_ASIGNATURAS!$B$2:$J$91,9,FALSE()),""))</f>
      </c>
    </row>
    <row r="275">
      <c r="F275">
        <f>IF(DATOS!$A275="","",DATOS!$A275&amp;"|"&amp;DATOS!$D275&amp;"|"&amp;DATOS!$E275&amp;"|"&amp;DATOS!$I275)</f>
      </c>
      <c r="G275">
        <f>IF(DATOS!$A275="",0,IF(CONFIG_METADATA!$B$4&lt;&gt;"OR+EX",--(DATOS!$G275=CONFIG_METADATA!$B$4),IF(DATOS!$G275="EX",1,IF(DATOS!$G275="OR",--(COUNTIFS(nNIA,DATOS!$A275,nCURSO,DATOS!$D275,nESPEC,DATOS!$E275,nASIG,DATOS!$I275,nEVAL,"EX")=0),0))))</f>
      </c>
      <c r="H275">
        <f>IF(DATOS!$G275&lt;&gt;"EX",0,--(COUNTIFS(nNIA,DATOS!$A275,nCURSO,DATOS!$D275,nESPEC,DATOS!$E275,nASIG,DATOS!$I275,nEVAL,"OR")=0))</f>
      </c>
      <c r="I275">
        <f>IF(DATOS!$I275="","",IFERROR(VLOOKUP(DATOS!$I275,CONFIG_ASIGNATURAS!$B$2:$J$91,9,FALSE()),""))</f>
      </c>
    </row>
    <row r="276">
      <c r="F276">
        <f>IF(DATOS!$A276="","",DATOS!$A276&amp;"|"&amp;DATOS!$D276&amp;"|"&amp;DATOS!$E276&amp;"|"&amp;DATOS!$I276)</f>
      </c>
      <c r="G276">
        <f>IF(DATOS!$A276="",0,IF(CONFIG_METADATA!$B$4&lt;&gt;"OR+EX",--(DATOS!$G276=CONFIG_METADATA!$B$4),IF(DATOS!$G276="EX",1,IF(DATOS!$G276="OR",--(COUNTIFS(nNIA,DATOS!$A276,nCURSO,DATOS!$D276,nESPEC,DATOS!$E276,nASIG,DATOS!$I276,nEVAL,"EX")=0),0))))</f>
      </c>
      <c r="H276">
        <f>IF(DATOS!$G276&lt;&gt;"EX",0,--(COUNTIFS(nNIA,DATOS!$A276,nCURSO,DATOS!$D276,nESPEC,DATOS!$E276,nASIG,DATOS!$I276,nEVAL,"OR")=0))</f>
      </c>
      <c r="I276">
        <f>IF(DATOS!$I276="","",IFERROR(VLOOKUP(DATOS!$I276,CONFIG_ASIGNATURAS!$B$2:$J$91,9,FALSE()),""))</f>
      </c>
    </row>
    <row r="277">
      <c r="F277">
        <f>IF(DATOS!$A277="","",DATOS!$A277&amp;"|"&amp;DATOS!$D277&amp;"|"&amp;DATOS!$E277&amp;"|"&amp;DATOS!$I277)</f>
      </c>
      <c r="G277">
        <f>IF(DATOS!$A277="",0,IF(CONFIG_METADATA!$B$4&lt;&gt;"OR+EX",--(DATOS!$G277=CONFIG_METADATA!$B$4),IF(DATOS!$G277="EX",1,IF(DATOS!$G277="OR",--(COUNTIFS(nNIA,DATOS!$A277,nCURSO,DATOS!$D277,nESPEC,DATOS!$E277,nASIG,DATOS!$I277,nEVAL,"EX")=0),0))))</f>
      </c>
      <c r="H277">
        <f>IF(DATOS!$G277&lt;&gt;"EX",0,--(COUNTIFS(nNIA,DATOS!$A277,nCURSO,DATOS!$D277,nESPEC,DATOS!$E277,nASIG,DATOS!$I277,nEVAL,"OR")=0))</f>
      </c>
      <c r="I277">
        <f>IF(DATOS!$I277="","",IFERROR(VLOOKUP(DATOS!$I277,CONFIG_ASIGNATURAS!$B$2:$J$91,9,FALSE()),""))</f>
      </c>
    </row>
    <row r="278">
      <c r="F278">
        <f>IF(DATOS!$A278="","",DATOS!$A278&amp;"|"&amp;DATOS!$D278&amp;"|"&amp;DATOS!$E278&amp;"|"&amp;DATOS!$I278)</f>
      </c>
      <c r="G278">
        <f>IF(DATOS!$A278="",0,IF(CONFIG_METADATA!$B$4&lt;&gt;"OR+EX",--(DATOS!$G278=CONFIG_METADATA!$B$4),IF(DATOS!$G278="EX",1,IF(DATOS!$G278="OR",--(COUNTIFS(nNIA,DATOS!$A278,nCURSO,DATOS!$D278,nESPEC,DATOS!$E278,nASIG,DATOS!$I278,nEVAL,"EX")=0),0))))</f>
      </c>
      <c r="H278">
        <f>IF(DATOS!$G278&lt;&gt;"EX",0,--(COUNTIFS(nNIA,DATOS!$A278,nCURSO,DATOS!$D278,nESPEC,DATOS!$E278,nASIG,DATOS!$I278,nEVAL,"OR")=0))</f>
      </c>
      <c r="I278">
        <f>IF(DATOS!$I278="","",IFERROR(VLOOKUP(DATOS!$I278,CONFIG_ASIGNATURAS!$B$2:$J$91,9,FALSE()),""))</f>
      </c>
    </row>
    <row r="279">
      <c r="F279">
        <f>IF(DATOS!$A279="","",DATOS!$A279&amp;"|"&amp;DATOS!$D279&amp;"|"&amp;DATOS!$E279&amp;"|"&amp;DATOS!$I279)</f>
      </c>
      <c r="G279">
        <f>IF(DATOS!$A279="",0,IF(CONFIG_METADATA!$B$4&lt;&gt;"OR+EX",--(DATOS!$G279=CONFIG_METADATA!$B$4),IF(DATOS!$G279="EX",1,IF(DATOS!$G279="OR",--(COUNTIFS(nNIA,DATOS!$A279,nCURSO,DATOS!$D279,nESPEC,DATOS!$E279,nASIG,DATOS!$I279,nEVAL,"EX")=0),0))))</f>
      </c>
      <c r="H279">
        <f>IF(DATOS!$G279&lt;&gt;"EX",0,--(COUNTIFS(nNIA,DATOS!$A279,nCURSO,DATOS!$D279,nESPEC,DATOS!$E279,nASIG,DATOS!$I279,nEVAL,"OR")=0))</f>
      </c>
      <c r="I279">
        <f>IF(DATOS!$I279="","",IFERROR(VLOOKUP(DATOS!$I279,CONFIG_ASIGNATURAS!$B$2:$J$91,9,FALSE()),""))</f>
      </c>
    </row>
    <row r="280">
      <c r="F280">
        <f>IF(DATOS!$A280="","",DATOS!$A280&amp;"|"&amp;DATOS!$D280&amp;"|"&amp;DATOS!$E280&amp;"|"&amp;DATOS!$I280)</f>
      </c>
      <c r="G280">
        <f>IF(DATOS!$A280="",0,IF(CONFIG_METADATA!$B$4&lt;&gt;"OR+EX",--(DATOS!$G280=CONFIG_METADATA!$B$4),IF(DATOS!$G280="EX",1,IF(DATOS!$G280="OR",--(COUNTIFS(nNIA,DATOS!$A280,nCURSO,DATOS!$D280,nESPEC,DATOS!$E280,nASIG,DATOS!$I280,nEVAL,"EX")=0),0))))</f>
      </c>
      <c r="H280">
        <f>IF(DATOS!$G280&lt;&gt;"EX",0,--(COUNTIFS(nNIA,DATOS!$A280,nCURSO,DATOS!$D280,nESPEC,DATOS!$E280,nASIG,DATOS!$I280,nEVAL,"OR")=0))</f>
      </c>
      <c r="I280">
        <f>IF(DATOS!$I280="","",IFERROR(VLOOKUP(DATOS!$I280,CONFIG_ASIGNATURAS!$B$2:$J$91,9,FALSE()),""))</f>
      </c>
    </row>
    <row r="281">
      <c r="F281">
        <f>IF(DATOS!$A281="","",DATOS!$A281&amp;"|"&amp;DATOS!$D281&amp;"|"&amp;DATOS!$E281&amp;"|"&amp;DATOS!$I281)</f>
      </c>
      <c r="G281">
        <f>IF(DATOS!$A281="",0,IF(CONFIG_METADATA!$B$4&lt;&gt;"OR+EX",--(DATOS!$G281=CONFIG_METADATA!$B$4),IF(DATOS!$G281="EX",1,IF(DATOS!$G281="OR",--(COUNTIFS(nNIA,DATOS!$A281,nCURSO,DATOS!$D281,nESPEC,DATOS!$E281,nASIG,DATOS!$I281,nEVAL,"EX")=0),0))))</f>
      </c>
      <c r="H281">
        <f>IF(DATOS!$G281&lt;&gt;"EX",0,--(COUNTIFS(nNIA,DATOS!$A281,nCURSO,DATOS!$D281,nESPEC,DATOS!$E281,nASIG,DATOS!$I281,nEVAL,"OR")=0))</f>
      </c>
      <c r="I281">
        <f>IF(DATOS!$I281="","",IFERROR(VLOOKUP(DATOS!$I281,CONFIG_ASIGNATURAS!$B$2:$J$91,9,FALSE()),""))</f>
      </c>
    </row>
    <row r="282">
      <c r="F282">
        <f>IF(DATOS!$A282="","",DATOS!$A282&amp;"|"&amp;DATOS!$D282&amp;"|"&amp;DATOS!$E282&amp;"|"&amp;DATOS!$I282)</f>
      </c>
      <c r="G282">
        <f>IF(DATOS!$A282="",0,IF(CONFIG_METADATA!$B$4&lt;&gt;"OR+EX",--(DATOS!$G282=CONFIG_METADATA!$B$4),IF(DATOS!$G282="EX",1,IF(DATOS!$G282="OR",--(COUNTIFS(nNIA,DATOS!$A282,nCURSO,DATOS!$D282,nESPEC,DATOS!$E282,nASIG,DATOS!$I282,nEVAL,"EX")=0),0))))</f>
      </c>
      <c r="H282">
        <f>IF(DATOS!$G282&lt;&gt;"EX",0,--(COUNTIFS(nNIA,DATOS!$A282,nCURSO,DATOS!$D282,nESPEC,DATOS!$E282,nASIG,DATOS!$I282,nEVAL,"OR")=0))</f>
      </c>
      <c r="I282">
        <f>IF(DATOS!$I282="","",IFERROR(VLOOKUP(DATOS!$I282,CONFIG_ASIGNATURAS!$B$2:$J$91,9,FALSE()),""))</f>
      </c>
    </row>
    <row r="283">
      <c r="F283">
        <f>IF(DATOS!$A283="","",DATOS!$A283&amp;"|"&amp;DATOS!$D283&amp;"|"&amp;DATOS!$E283&amp;"|"&amp;DATOS!$I283)</f>
      </c>
      <c r="G283">
        <f>IF(DATOS!$A283="",0,IF(CONFIG_METADATA!$B$4&lt;&gt;"OR+EX",--(DATOS!$G283=CONFIG_METADATA!$B$4),IF(DATOS!$G283="EX",1,IF(DATOS!$G283="OR",--(COUNTIFS(nNIA,DATOS!$A283,nCURSO,DATOS!$D283,nESPEC,DATOS!$E283,nASIG,DATOS!$I283,nEVAL,"EX")=0),0))))</f>
      </c>
      <c r="H283">
        <f>IF(DATOS!$G283&lt;&gt;"EX",0,--(COUNTIFS(nNIA,DATOS!$A283,nCURSO,DATOS!$D283,nESPEC,DATOS!$E283,nASIG,DATOS!$I283,nEVAL,"OR")=0))</f>
      </c>
      <c r="I283">
        <f>IF(DATOS!$I283="","",IFERROR(VLOOKUP(DATOS!$I283,CONFIG_ASIGNATURAS!$B$2:$J$91,9,FALSE()),""))</f>
      </c>
    </row>
    <row r="284">
      <c r="F284">
        <f>IF(DATOS!$A284="","",DATOS!$A284&amp;"|"&amp;DATOS!$D284&amp;"|"&amp;DATOS!$E284&amp;"|"&amp;DATOS!$I284)</f>
      </c>
      <c r="G284">
        <f>IF(DATOS!$A284="",0,IF(CONFIG_METADATA!$B$4&lt;&gt;"OR+EX",--(DATOS!$G284=CONFIG_METADATA!$B$4),IF(DATOS!$G284="EX",1,IF(DATOS!$G284="OR",--(COUNTIFS(nNIA,DATOS!$A284,nCURSO,DATOS!$D284,nESPEC,DATOS!$E284,nASIG,DATOS!$I284,nEVAL,"EX")=0),0))))</f>
      </c>
      <c r="H284">
        <f>IF(DATOS!$G284&lt;&gt;"EX",0,--(COUNTIFS(nNIA,DATOS!$A284,nCURSO,DATOS!$D284,nESPEC,DATOS!$E284,nASIG,DATOS!$I284,nEVAL,"OR")=0))</f>
      </c>
      <c r="I284">
        <f>IF(DATOS!$I284="","",IFERROR(VLOOKUP(DATOS!$I284,CONFIG_ASIGNATURAS!$B$2:$J$91,9,FALSE()),""))</f>
      </c>
    </row>
    <row r="285">
      <c r="F285">
        <f>IF(DATOS!$A285="","",DATOS!$A285&amp;"|"&amp;DATOS!$D285&amp;"|"&amp;DATOS!$E285&amp;"|"&amp;DATOS!$I285)</f>
      </c>
      <c r="G285">
        <f>IF(DATOS!$A285="",0,IF(CONFIG_METADATA!$B$4&lt;&gt;"OR+EX",--(DATOS!$G285=CONFIG_METADATA!$B$4),IF(DATOS!$G285="EX",1,IF(DATOS!$G285="OR",--(COUNTIFS(nNIA,DATOS!$A285,nCURSO,DATOS!$D285,nESPEC,DATOS!$E285,nASIG,DATOS!$I285,nEVAL,"EX")=0),0))))</f>
      </c>
      <c r="H285">
        <f>IF(DATOS!$G285&lt;&gt;"EX",0,--(COUNTIFS(nNIA,DATOS!$A285,nCURSO,DATOS!$D285,nESPEC,DATOS!$E285,nASIG,DATOS!$I285,nEVAL,"OR")=0))</f>
      </c>
      <c r="I285">
        <f>IF(DATOS!$I285="","",IFERROR(VLOOKUP(DATOS!$I285,CONFIG_ASIGNATURAS!$B$2:$J$91,9,FALSE()),""))</f>
      </c>
    </row>
    <row r="286">
      <c r="F286">
        <f>IF(DATOS!$A286="","",DATOS!$A286&amp;"|"&amp;DATOS!$D286&amp;"|"&amp;DATOS!$E286&amp;"|"&amp;DATOS!$I286)</f>
      </c>
      <c r="G286">
        <f>IF(DATOS!$A286="",0,IF(CONFIG_METADATA!$B$4&lt;&gt;"OR+EX",--(DATOS!$G286=CONFIG_METADATA!$B$4),IF(DATOS!$G286="EX",1,IF(DATOS!$G286="OR",--(COUNTIFS(nNIA,DATOS!$A286,nCURSO,DATOS!$D286,nESPEC,DATOS!$E286,nASIG,DATOS!$I286,nEVAL,"EX")=0),0))))</f>
      </c>
      <c r="H286">
        <f>IF(DATOS!$G286&lt;&gt;"EX",0,--(COUNTIFS(nNIA,DATOS!$A286,nCURSO,DATOS!$D286,nESPEC,DATOS!$E286,nASIG,DATOS!$I286,nEVAL,"OR")=0))</f>
      </c>
      <c r="I286">
        <f>IF(DATOS!$I286="","",IFERROR(VLOOKUP(DATOS!$I286,CONFIG_ASIGNATURAS!$B$2:$J$91,9,FALSE()),""))</f>
      </c>
    </row>
    <row r="287">
      <c r="F287">
        <f>IF(DATOS!$A287="","",DATOS!$A287&amp;"|"&amp;DATOS!$D287&amp;"|"&amp;DATOS!$E287&amp;"|"&amp;DATOS!$I287)</f>
      </c>
      <c r="G287">
        <f>IF(DATOS!$A287="",0,IF(CONFIG_METADATA!$B$4&lt;&gt;"OR+EX",--(DATOS!$G287=CONFIG_METADATA!$B$4),IF(DATOS!$G287="EX",1,IF(DATOS!$G287="OR",--(COUNTIFS(nNIA,DATOS!$A287,nCURSO,DATOS!$D287,nESPEC,DATOS!$E287,nASIG,DATOS!$I287,nEVAL,"EX")=0),0))))</f>
      </c>
      <c r="H287">
        <f>IF(DATOS!$G287&lt;&gt;"EX",0,--(COUNTIFS(nNIA,DATOS!$A287,nCURSO,DATOS!$D287,nESPEC,DATOS!$E287,nASIG,DATOS!$I287,nEVAL,"OR")=0))</f>
      </c>
      <c r="I287">
        <f>IF(DATOS!$I287="","",IFERROR(VLOOKUP(DATOS!$I287,CONFIG_ASIGNATURAS!$B$2:$J$91,9,FALSE()),""))</f>
      </c>
    </row>
    <row r="288">
      <c r="F288">
        <f>IF(DATOS!$A288="","",DATOS!$A288&amp;"|"&amp;DATOS!$D288&amp;"|"&amp;DATOS!$E288&amp;"|"&amp;DATOS!$I288)</f>
      </c>
      <c r="G288">
        <f>IF(DATOS!$A288="",0,IF(CONFIG_METADATA!$B$4&lt;&gt;"OR+EX",--(DATOS!$G288=CONFIG_METADATA!$B$4),IF(DATOS!$G288="EX",1,IF(DATOS!$G288="OR",--(COUNTIFS(nNIA,DATOS!$A288,nCURSO,DATOS!$D288,nESPEC,DATOS!$E288,nASIG,DATOS!$I288,nEVAL,"EX")=0),0))))</f>
      </c>
      <c r="H288">
        <f>IF(DATOS!$G288&lt;&gt;"EX",0,--(COUNTIFS(nNIA,DATOS!$A288,nCURSO,DATOS!$D288,nESPEC,DATOS!$E288,nASIG,DATOS!$I288,nEVAL,"OR")=0))</f>
      </c>
      <c r="I288">
        <f>IF(DATOS!$I288="","",IFERROR(VLOOKUP(DATOS!$I288,CONFIG_ASIGNATURAS!$B$2:$J$91,9,FALSE()),""))</f>
      </c>
    </row>
    <row r="289">
      <c r="F289">
        <f>IF(DATOS!$A289="","",DATOS!$A289&amp;"|"&amp;DATOS!$D289&amp;"|"&amp;DATOS!$E289&amp;"|"&amp;DATOS!$I289)</f>
      </c>
      <c r="G289">
        <f>IF(DATOS!$A289="",0,IF(CONFIG_METADATA!$B$4&lt;&gt;"OR+EX",--(DATOS!$G289=CONFIG_METADATA!$B$4),IF(DATOS!$G289="EX",1,IF(DATOS!$G289="OR",--(COUNTIFS(nNIA,DATOS!$A289,nCURSO,DATOS!$D289,nESPEC,DATOS!$E289,nASIG,DATOS!$I289,nEVAL,"EX")=0),0))))</f>
      </c>
      <c r="H289">
        <f>IF(DATOS!$G289&lt;&gt;"EX",0,--(COUNTIFS(nNIA,DATOS!$A289,nCURSO,DATOS!$D289,nESPEC,DATOS!$E289,nASIG,DATOS!$I289,nEVAL,"OR")=0))</f>
      </c>
      <c r="I289">
        <f>IF(DATOS!$I289="","",IFERROR(VLOOKUP(DATOS!$I289,CONFIG_ASIGNATURAS!$B$2:$J$91,9,FALSE()),""))</f>
      </c>
    </row>
    <row r="290">
      <c r="F290">
        <f>IF(DATOS!$A290="","",DATOS!$A290&amp;"|"&amp;DATOS!$D290&amp;"|"&amp;DATOS!$E290&amp;"|"&amp;DATOS!$I290)</f>
      </c>
      <c r="G290">
        <f>IF(DATOS!$A290="",0,IF(CONFIG_METADATA!$B$4&lt;&gt;"OR+EX",--(DATOS!$G290=CONFIG_METADATA!$B$4),IF(DATOS!$G290="EX",1,IF(DATOS!$G290="OR",--(COUNTIFS(nNIA,DATOS!$A290,nCURSO,DATOS!$D290,nESPEC,DATOS!$E290,nASIG,DATOS!$I290,nEVAL,"EX")=0),0))))</f>
      </c>
      <c r="H290">
        <f>IF(DATOS!$G290&lt;&gt;"EX",0,--(COUNTIFS(nNIA,DATOS!$A290,nCURSO,DATOS!$D290,nESPEC,DATOS!$E290,nASIG,DATOS!$I290,nEVAL,"OR")=0))</f>
      </c>
      <c r="I290">
        <f>IF(DATOS!$I290="","",IFERROR(VLOOKUP(DATOS!$I290,CONFIG_ASIGNATURAS!$B$2:$J$91,9,FALSE()),""))</f>
      </c>
    </row>
    <row r="291">
      <c r="F291">
        <f>IF(DATOS!$A291="","",DATOS!$A291&amp;"|"&amp;DATOS!$D291&amp;"|"&amp;DATOS!$E291&amp;"|"&amp;DATOS!$I291)</f>
      </c>
      <c r="G291">
        <f>IF(DATOS!$A291="",0,IF(CONFIG_METADATA!$B$4&lt;&gt;"OR+EX",--(DATOS!$G291=CONFIG_METADATA!$B$4),IF(DATOS!$G291="EX",1,IF(DATOS!$G291="OR",--(COUNTIFS(nNIA,DATOS!$A291,nCURSO,DATOS!$D291,nESPEC,DATOS!$E291,nASIG,DATOS!$I291,nEVAL,"EX")=0),0))))</f>
      </c>
      <c r="H291">
        <f>IF(DATOS!$G291&lt;&gt;"EX",0,--(COUNTIFS(nNIA,DATOS!$A291,nCURSO,DATOS!$D291,nESPEC,DATOS!$E291,nASIG,DATOS!$I291,nEVAL,"OR")=0))</f>
      </c>
      <c r="I291">
        <f>IF(DATOS!$I291="","",IFERROR(VLOOKUP(DATOS!$I291,CONFIG_ASIGNATURAS!$B$2:$J$91,9,FALSE()),""))</f>
      </c>
    </row>
    <row r="292">
      <c r="F292">
        <f>IF(DATOS!$A292="","",DATOS!$A292&amp;"|"&amp;DATOS!$D292&amp;"|"&amp;DATOS!$E292&amp;"|"&amp;DATOS!$I292)</f>
      </c>
      <c r="G292">
        <f>IF(DATOS!$A292="",0,IF(CONFIG_METADATA!$B$4&lt;&gt;"OR+EX",--(DATOS!$G292=CONFIG_METADATA!$B$4),IF(DATOS!$G292="EX",1,IF(DATOS!$G292="OR",--(COUNTIFS(nNIA,DATOS!$A292,nCURSO,DATOS!$D292,nESPEC,DATOS!$E292,nASIG,DATOS!$I292,nEVAL,"EX")=0),0))))</f>
      </c>
      <c r="H292">
        <f>IF(DATOS!$G292&lt;&gt;"EX",0,--(COUNTIFS(nNIA,DATOS!$A292,nCURSO,DATOS!$D292,nESPEC,DATOS!$E292,nASIG,DATOS!$I292,nEVAL,"OR")=0))</f>
      </c>
      <c r="I292">
        <f>IF(DATOS!$I292="","",IFERROR(VLOOKUP(DATOS!$I292,CONFIG_ASIGNATURAS!$B$2:$J$91,9,FALSE()),""))</f>
      </c>
    </row>
    <row r="293">
      <c r="F293">
        <f>IF(DATOS!$A293="","",DATOS!$A293&amp;"|"&amp;DATOS!$D293&amp;"|"&amp;DATOS!$E293&amp;"|"&amp;DATOS!$I293)</f>
      </c>
      <c r="G293">
        <f>IF(DATOS!$A293="",0,IF(CONFIG_METADATA!$B$4&lt;&gt;"OR+EX",--(DATOS!$G293=CONFIG_METADATA!$B$4),IF(DATOS!$G293="EX",1,IF(DATOS!$G293="OR",--(COUNTIFS(nNIA,DATOS!$A293,nCURSO,DATOS!$D293,nESPEC,DATOS!$E293,nASIG,DATOS!$I293,nEVAL,"EX")=0),0))))</f>
      </c>
      <c r="H293">
        <f>IF(DATOS!$G293&lt;&gt;"EX",0,--(COUNTIFS(nNIA,DATOS!$A293,nCURSO,DATOS!$D293,nESPEC,DATOS!$E293,nASIG,DATOS!$I293,nEVAL,"OR")=0))</f>
      </c>
      <c r="I293">
        <f>IF(DATOS!$I293="","",IFERROR(VLOOKUP(DATOS!$I293,CONFIG_ASIGNATURAS!$B$2:$J$91,9,FALSE()),""))</f>
      </c>
    </row>
    <row r="294">
      <c r="F294">
        <f>IF(DATOS!$A294="","",DATOS!$A294&amp;"|"&amp;DATOS!$D294&amp;"|"&amp;DATOS!$E294&amp;"|"&amp;DATOS!$I294)</f>
      </c>
      <c r="G294">
        <f>IF(DATOS!$A294="",0,IF(CONFIG_METADATA!$B$4&lt;&gt;"OR+EX",--(DATOS!$G294=CONFIG_METADATA!$B$4),IF(DATOS!$G294="EX",1,IF(DATOS!$G294="OR",--(COUNTIFS(nNIA,DATOS!$A294,nCURSO,DATOS!$D294,nESPEC,DATOS!$E294,nASIG,DATOS!$I294,nEVAL,"EX")=0),0))))</f>
      </c>
      <c r="H294">
        <f>IF(DATOS!$G294&lt;&gt;"EX",0,--(COUNTIFS(nNIA,DATOS!$A294,nCURSO,DATOS!$D294,nESPEC,DATOS!$E294,nASIG,DATOS!$I294,nEVAL,"OR")=0))</f>
      </c>
      <c r="I294">
        <f>IF(DATOS!$I294="","",IFERROR(VLOOKUP(DATOS!$I294,CONFIG_ASIGNATURAS!$B$2:$J$91,9,FALSE()),""))</f>
      </c>
    </row>
    <row r="295">
      <c r="F295">
        <f>IF(DATOS!$A295="","",DATOS!$A295&amp;"|"&amp;DATOS!$D295&amp;"|"&amp;DATOS!$E295&amp;"|"&amp;DATOS!$I295)</f>
      </c>
      <c r="G295">
        <f>IF(DATOS!$A295="",0,IF(CONFIG_METADATA!$B$4&lt;&gt;"OR+EX",--(DATOS!$G295=CONFIG_METADATA!$B$4),IF(DATOS!$G295="EX",1,IF(DATOS!$G295="OR",--(COUNTIFS(nNIA,DATOS!$A295,nCURSO,DATOS!$D295,nESPEC,DATOS!$E295,nASIG,DATOS!$I295,nEVAL,"EX")=0),0))))</f>
      </c>
      <c r="H295">
        <f>IF(DATOS!$G295&lt;&gt;"EX",0,--(COUNTIFS(nNIA,DATOS!$A295,nCURSO,DATOS!$D295,nESPEC,DATOS!$E295,nASIG,DATOS!$I295,nEVAL,"OR")=0))</f>
      </c>
      <c r="I295">
        <f>IF(DATOS!$I295="","",IFERROR(VLOOKUP(DATOS!$I295,CONFIG_ASIGNATURAS!$B$2:$J$91,9,FALSE()),""))</f>
      </c>
    </row>
    <row r="296">
      <c r="F296">
        <f>IF(DATOS!$A296="","",DATOS!$A296&amp;"|"&amp;DATOS!$D296&amp;"|"&amp;DATOS!$E296&amp;"|"&amp;DATOS!$I296)</f>
      </c>
      <c r="G296">
        <f>IF(DATOS!$A296="",0,IF(CONFIG_METADATA!$B$4&lt;&gt;"OR+EX",--(DATOS!$G296=CONFIG_METADATA!$B$4),IF(DATOS!$G296="EX",1,IF(DATOS!$G296="OR",--(COUNTIFS(nNIA,DATOS!$A296,nCURSO,DATOS!$D296,nESPEC,DATOS!$E296,nASIG,DATOS!$I296,nEVAL,"EX")=0),0))))</f>
      </c>
      <c r="H296">
        <f>IF(DATOS!$G296&lt;&gt;"EX",0,--(COUNTIFS(nNIA,DATOS!$A296,nCURSO,DATOS!$D296,nESPEC,DATOS!$E296,nASIG,DATOS!$I296,nEVAL,"OR")=0))</f>
      </c>
      <c r="I296">
        <f>IF(DATOS!$I296="","",IFERROR(VLOOKUP(DATOS!$I296,CONFIG_ASIGNATURAS!$B$2:$J$91,9,FALSE()),""))</f>
      </c>
    </row>
    <row r="297">
      <c r="F297">
        <f>IF(DATOS!$A297="","",DATOS!$A297&amp;"|"&amp;DATOS!$D297&amp;"|"&amp;DATOS!$E297&amp;"|"&amp;DATOS!$I297)</f>
      </c>
      <c r="G297">
        <f>IF(DATOS!$A297="",0,IF(CONFIG_METADATA!$B$4&lt;&gt;"OR+EX",--(DATOS!$G297=CONFIG_METADATA!$B$4),IF(DATOS!$G297="EX",1,IF(DATOS!$G297="OR",--(COUNTIFS(nNIA,DATOS!$A297,nCURSO,DATOS!$D297,nESPEC,DATOS!$E297,nASIG,DATOS!$I297,nEVAL,"EX")=0),0))))</f>
      </c>
      <c r="H297">
        <f>IF(DATOS!$G297&lt;&gt;"EX",0,--(COUNTIFS(nNIA,DATOS!$A297,nCURSO,DATOS!$D297,nESPEC,DATOS!$E297,nASIG,DATOS!$I297,nEVAL,"OR")=0))</f>
      </c>
      <c r="I297">
        <f>IF(DATOS!$I297="","",IFERROR(VLOOKUP(DATOS!$I297,CONFIG_ASIGNATURAS!$B$2:$J$91,9,FALSE()),""))</f>
      </c>
    </row>
    <row r="298">
      <c r="F298">
        <f>IF(DATOS!$A298="","",DATOS!$A298&amp;"|"&amp;DATOS!$D298&amp;"|"&amp;DATOS!$E298&amp;"|"&amp;DATOS!$I298)</f>
      </c>
      <c r="G298">
        <f>IF(DATOS!$A298="",0,IF(CONFIG_METADATA!$B$4&lt;&gt;"OR+EX",--(DATOS!$G298=CONFIG_METADATA!$B$4),IF(DATOS!$G298="EX",1,IF(DATOS!$G298="OR",--(COUNTIFS(nNIA,DATOS!$A298,nCURSO,DATOS!$D298,nESPEC,DATOS!$E298,nASIG,DATOS!$I298,nEVAL,"EX")=0),0))))</f>
      </c>
      <c r="H298">
        <f>IF(DATOS!$G298&lt;&gt;"EX",0,--(COUNTIFS(nNIA,DATOS!$A298,nCURSO,DATOS!$D298,nESPEC,DATOS!$E298,nASIG,DATOS!$I298,nEVAL,"OR")=0))</f>
      </c>
      <c r="I298">
        <f>IF(DATOS!$I298="","",IFERROR(VLOOKUP(DATOS!$I298,CONFIG_ASIGNATURAS!$B$2:$J$91,9,FALSE()),""))</f>
      </c>
    </row>
    <row r="299">
      <c r="F299">
        <f>IF(DATOS!$A299="","",DATOS!$A299&amp;"|"&amp;DATOS!$D299&amp;"|"&amp;DATOS!$E299&amp;"|"&amp;DATOS!$I299)</f>
      </c>
      <c r="G299">
        <f>IF(DATOS!$A299="",0,IF(CONFIG_METADATA!$B$4&lt;&gt;"OR+EX",--(DATOS!$G299=CONFIG_METADATA!$B$4),IF(DATOS!$G299="EX",1,IF(DATOS!$G299="OR",--(COUNTIFS(nNIA,DATOS!$A299,nCURSO,DATOS!$D299,nESPEC,DATOS!$E299,nASIG,DATOS!$I299,nEVAL,"EX")=0),0))))</f>
      </c>
      <c r="H299">
        <f>IF(DATOS!$G299&lt;&gt;"EX",0,--(COUNTIFS(nNIA,DATOS!$A299,nCURSO,DATOS!$D299,nESPEC,DATOS!$E299,nASIG,DATOS!$I299,nEVAL,"OR")=0))</f>
      </c>
      <c r="I299">
        <f>IF(DATOS!$I299="","",IFERROR(VLOOKUP(DATOS!$I299,CONFIG_ASIGNATURAS!$B$2:$J$91,9,FALSE()),""))</f>
      </c>
    </row>
    <row r="300">
      <c r="F300">
        <f>IF(DATOS!$A300="","",DATOS!$A300&amp;"|"&amp;DATOS!$D300&amp;"|"&amp;DATOS!$E300&amp;"|"&amp;DATOS!$I300)</f>
      </c>
      <c r="G300">
        <f>IF(DATOS!$A300="",0,IF(CONFIG_METADATA!$B$4&lt;&gt;"OR+EX",--(DATOS!$G300=CONFIG_METADATA!$B$4),IF(DATOS!$G300="EX",1,IF(DATOS!$G300="OR",--(COUNTIFS(nNIA,DATOS!$A300,nCURSO,DATOS!$D300,nESPEC,DATOS!$E300,nASIG,DATOS!$I300,nEVAL,"EX")=0),0))))</f>
      </c>
      <c r="H300">
        <f>IF(DATOS!$G300&lt;&gt;"EX",0,--(COUNTIFS(nNIA,DATOS!$A300,nCURSO,DATOS!$D300,nESPEC,DATOS!$E300,nASIG,DATOS!$I300,nEVAL,"OR")=0))</f>
      </c>
      <c r="I300">
        <f>IF(DATOS!$I300="","",IFERROR(VLOOKUP(DATOS!$I300,CONFIG_ASIGNATURAS!$B$2:$J$91,9,FALSE()),""))</f>
      </c>
    </row>
    <row r="301">
      <c r="F301">
        <f>IF(DATOS!$A301="","",DATOS!$A301&amp;"|"&amp;DATOS!$D301&amp;"|"&amp;DATOS!$E301&amp;"|"&amp;DATOS!$I301)</f>
      </c>
      <c r="G301">
        <f>IF(DATOS!$A301="",0,IF(CONFIG_METADATA!$B$4&lt;&gt;"OR+EX",--(DATOS!$G301=CONFIG_METADATA!$B$4),IF(DATOS!$G301="EX",1,IF(DATOS!$G301="OR",--(COUNTIFS(nNIA,DATOS!$A301,nCURSO,DATOS!$D301,nESPEC,DATOS!$E301,nASIG,DATOS!$I301,nEVAL,"EX")=0),0))))</f>
      </c>
      <c r="H301">
        <f>IF(DATOS!$G301&lt;&gt;"EX",0,--(COUNTIFS(nNIA,DATOS!$A301,nCURSO,DATOS!$D301,nESPEC,DATOS!$E301,nASIG,DATOS!$I301,nEVAL,"OR")=0))</f>
      </c>
      <c r="I301">
        <f>IF(DATOS!$I301="","",IFERROR(VLOOKUP(DATOS!$I301,CONFIG_ASIGNATURAS!$B$2:$J$91,9,FALSE()),""))</f>
      </c>
    </row>
    <row r="302">
      <c r="F302">
        <f>IF(DATOS!$A302="","",DATOS!$A302&amp;"|"&amp;DATOS!$D302&amp;"|"&amp;DATOS!$E302&amp;"|"&amp;DATOS!$I302)</f>
      </c>
      <c r="G302">
        <f>IF(DATOS!$A302="",0,IF(CONFIG_METADATA!$B$4&lt;&gt;"OR+EX",--(DATOS!$G302=CONFIG_METADATA!$B$4),IF(DATOS!$G302="EX",1,IF(DATOS!$G302="OR",--(COUNTIFS(nNIA,DATOS!$A302,nCURSO,DATOS!$D302,nESPEC,DATOS!$E302,nASIG,DATOS!$I302,nEVAL,"EX")=0),0))))</f>
      </c>
      <c r="H302">
        <f>IF(DATOS!$G302&lt;&gt;"EX",0,--(COUNTIFS(nNIA,DATOS!$A302,nCURSO,DATOS!$D302,nESPEC,DATOS!$E302,nASIG,DATOS!$I302,nEVAL,"OR")=0))</f>
      </c>
      <c r="I302">
        <f>IF(DATOS!$I302="","",IFERROR(VLOOKUP(DATOS!$I302,CONFIG_ASIGNATURAS!$B$2:$J$91,9,FALSE()),""))</f>
      </c>
    </row>
    <row r="303">
      <c r="F303">
        <f>IF(DATOS!$A303="","",DATOS!$A303&amp;"|"&amp;DATOS!$D303&amp;"|"&amp;DATOS!$E303&amp;"|"&amp;DATOS!$I303)</f>
      </c>
      <c r="G303">
        <f>IF(DATOS!$A303="",0,IF(CONFIG_METADATA!$B$4&lt;&gt;"OR+EX",--(DATOS!$G303=CONFIG_METADATA!$B$4),IF(DATOS!$G303="EX",1,IF(DATOS!$G303="OR",--(COUNTIFS(nNIA,DATOS!$A303,nCURSO,DATOS!$D303,nESPEC,DATOS!$E303,nASIG,DATOS!$I303,nEVAL,"EX")=0),0))))</f>
      </c>
      <c r="H303">
        <f>IF(DATOS!$G303&lt;&gt;"EX",0,--(COUNTIFS(nNIA,DATOS!$A303,nCURSO,DATOS!$D303,nESPEC,DATOS!$E303,nASIG,DATOS!$I303,nEVAL,"OR")=0))</f>
      </c>
      <c r="I303">
        <f>IF(DATOS!$I303="","",IFERROR(VLOOKUP(DATOS!$I303,CONFIG_ASIGNATURAS!$B$2:$J$91,9,FALSE()),""))</f>
      </c>
    </row>
    <row r="304">
      <c r="F304">
        <f>IF(DATOS!$A304="","",DATOS!$A304&amp;"|"&amp;DATOS!$D304&amp;"|"&amp;DATOS!$E304&amp;"|"&amp;DATOS!$I304)</f>
      </c>
      <c r="G304">
        <f>IF(DATOS!$A304="",0,IF(CONFIG_METADATA!$B$4&lt;&gt;"OR+EX",--(DATOS!$G304=CONFIG_METADATA!$B$4),IF(DATOS!$G304="EX",1,IF(DATOS!$G304="OR",--(COUNTIFS(nNIA,DATOS!$A304,nCURSO,DATOS!$D304,nESPEC,DATOS!$E304,nASIG,DATOS!$I304,nEVAL,"EX")=0),0))))</f>
      </c>
      <c r="H304">
        <f>IF(DATOS!$G304&lt;&gt;"EX",0,--(COUNTIFS(nNIA,DATOS!$A304,nCURSO,DATOS!$D304,nESPEC,DATOS!$E304,nASIG,DATOS!$I304,nEVAL,"OR")=0))</f>
      </c>
      <c r="I304">
        <f>IF(DATOS!$I304="","",IFERROR(VLOOKUP(DATOS!$I304,CONFIG_ASIGNATURAS!$B$2:$J$91,9,FALSE()),""))</f>
      </c>
    </row>
    <row r="305">
      <c r="F305">
        <f>IF(DATOS!$A305="","",DATOS!$A305&amp;"|"&amp;DATOS!$D305&amp;"|"&amp;DATOS!$E305&amp;"|"&amp;DATOS!$I305)</f>
      </c>
      <c r="G305">
        <f>IF(DATOS!$A305="",0,IF(CONFIG_METADATA!$B$4&lt;&gt;"OR+EX",--(DATOS!$G305=CONFIG_METADATA!$B$4),IF(DATOS!$G305="EX",1,IF(DATOS!$G305="OR",--(COUNTIFS(nNIA,DATOS!$A305,nCURSO,DATOS!$D305,nESPEC,DATOS!$E305,nASIG,DATOS!$I305,nEVAL,"EX")=0),0))))</f>
      </c>
      <c r="H305">
        <f>IF(DATOS!$G305&lt;&gt;"EX",0,--(COUNTIFS(nNIA,DATOS!$A305,nCURSO,DATOS!$D305,nESPEC,DATOS!$E305,nASIG,DATOS!$I305,nEVAL,"OR")=0))</f>
      </c>
      <c r="I305">
        <f>IF(DATOS!$I305="","",IFERROR(VLOOKUP(DATOS!$I305,CONFIG_ASIGNATURAS!$B$2:$J$91,9,FALSE()),""))</f>
      </c>
    </row>
    <row r="306">
      <c r="F306">
        <f>IF(DATOS!$A306="","",DATOS!$A306&amp;"|"&amp;DATOS!$D306&amp;"|"&amp;DATOS!$E306&amp;"|"&amp;DATOS!$I306)</f>
      </c>
      <c r="G306">
        <f>IF(DATOS!$A306="",0,IF(CONFIG_METADATA!$B$4&lt;&gt;"OR+EX",--(DATOS!$G306=CONFIG_METADATA!$B$4),IF(DATOS!$G306="EX",1,IF(DATOS!$G306="OR",--(COUNTIFS(nNIA,DATOS!$A306,nCURSO,DATOS!$D306,nESPEC,DATOS!$E306,nASIG,DATOS!$I306,nEVAL,"EX")=0),0))))</f>
      </c>
      <c r="H306">
        <f>IF(DATOS!$G306&lt;&gt;"EX",0,--(COUNTIFS(nNIA,DATOS!$A306,nCURSO,DATOS!$D306,nESPEC,DATOS!$E306,nASIG,DATOS!$I306,nEVAL,"OR")=0))</f>
      </c>
      <c r="I306">
        <f>IF(DATOS!$I306="","",IFERROR(VLOOKUP(DATOS!$I306,CONFIG_ASIGNATURAS!$B$2:$J$91,9,FALSE()),""))</f>
      </c>
    </row>
    <row r="307">
      <c r="F307">
        <f>IF(DATOS!$A307="","",DATOS!$A307&amp;"|"&amp;DATOS!$D307&amp;"|"&amp;DATOS!$E307&amp;"|"&amp;DATOS!$I307)</f>
      </c>
      <c r="G307">
        <f>IF(DATOS!$A307="",0,IF(CONFIG_METADATA!$B$4&lt;&gt;"OR+EX",--(DATOS!$G307=CONFIG_METADATA!$B$4),IF(DATOS!$G307="EX",1,IF(DATOS!$G307="OR",--(COUNTIFS(nNIA,DATOS!$A307,nCURSO,DATOS!$D307,nESPEC,DATOS!$E307,nASIG,DATOS!$I307,nEVAL,"EX")=0),0))))</f>
      </c>
      <c r="H307">
        <f>IF(DATOS!$G307&lt;&gt;"EX",0,--(COUNTIFS(nNIA,DATOS!$A307,nCURSO,DATOS!$D307,nESPEC,DATOS!$E307,nASIG,DATOS!$I307,nEVAL,"OR")=0))</f>
      </c>
      <c r="I307">
        <f>IF(DATOS!$I307="","",IFERROR(VLOOKUP(DATOS!$I307,CONFIG_ASIGNATURAS!$B$2:$J$91,9,FALSE()),""))</f>
      </c>
    </row>
    <row r="308">
      <c r="F308">
        <f>IF(DATOS!$A308="","",DATOS!$A308&amp;"|"&amp;DATOS!$D308&amp;"|"&amp;DATOS!$E308&amp;"|"&amp;DATOS!$I308)</f>
      </c>
      <c r="G308">
        <f>IF(DATOS!$A308="",0,IF(CONFIG_METADATA!$B$4&lt;&gt;"OR+EX",--(DATOS!$G308=CONFIG_METADATA!$B$4),IF(DATOS!$G308="EX",1,IF(DATOS!$G308="OR",--(COUNTIFS(nNIA,DATOS!$A308,nCURSO,DATOS!$D308,nESPEC,DATOS!$E308,nASIG,DATOS!$I308,nEVAL,"EX")=0),0))))</f>
      </c>
      <c r="H308">
        <f>IF(DATOS!$G308&lt;&gt;"EX",0,--(COUNTIFS(nNIA,DATOS!$A308,nCURSO,DATOS!$D308,nESPEC,DATOS!$E308,nASIG,DATOS!$I308,nEVAL,"OR")=0))</f>
      </c>
      <c r="I308">
        <f>IF(DATOS!$I308="","",IFERROR(VLOOKUP(DATOS!$I308,CONFIG_ASIGNATURAS!$B$2:$J$91,9,FALSE()),""))</f>
      </c>
    </row>
    <row r="309">
      <c r="F309">
        <f>IF(DATOS!$A309="","",DATOS!$A309&amp;"|"&amp;DATOS!$D309&amp;"|"&amp;DATOS!$E309&amp;"|"&amp;DATOS!$I309)</f>
      </c>
      <c r="G309">
        <f>IF(DATOS!$A309="",0,IF(CONFIG_METADATA!$B$4&lt;&gt;"OR+EX",--(DATOS!$G309=CONFIG_METADATA!$B$4),IF(DATOS!$G309="EX",1,IF(DATOS!$G309="OR",--(COUNTIFS(nNIA,DATOS!$A309,nCURSO,DATOS!$D309,nESPEC,DATOS!$E309,nASIG,DATOS!$I309,nEVAL,"EX")=0),0))))</f>
      </c>
      <c r="H309">
        <f>IF(DATOS!$G309&lt;&gt;"EX",0,--(COUNTIFS(nNIA,DATOS!$A309,nCURSO,DATOS!$D309,nESPEC,DATOS!$E309,nASIG,DATOS!$I309,nEVAL,"OR")=0))</f>
      </c>
      <c r="I309">
        <f>IF(DATOS!$I309="","",IFERROR(VLOOKUP(DATOS!$I309,CONFIG_ASIGNATURAS!$B$2:$J$91,9,FALSE()),""))</f>
      </c>
    </row>
    <row r="310">
      <c r="F310">
        <f>IF(DATOS!$A310="","",DATOS!$A310&amp;"|"&amp;DATOS!$D310&amp;"|"&amp;DATOS!$E310&amp;"|"&amp;DATOS!$I310)</f>
      </c>
      <c r="G310">
        <f>IF(DATOS!$A310="",0,IF(CONFIG_METADATA!$B$4&lt;&gt;"OR+EX",--(DATOS!$G310=CONFIG_METADATA!$B$4),IF(DATOS!$G310="EX",1,IF(DATOS!$G310="OR",--(COUNTIFS(nNIA,DATOS!$A310,nCURSO,DATOS!$D310,nESPEC,DATOS!$E310,nASIG,DATOS!$I310,nEVAL,"EX")=0),0))))</f>
      </c>
      <c r="H310">
        <f>IF(DATOS!$G310&lt;&gt;"EX",0,--(COUNTIFS(nNIA,DATOS!$A310,nCURSO,DATOS!$D310,nESPEC,DATOS!$E310,nASIG,DATOS!$I310,nEVAL,"OR")=0))</f>
      </c>
      <c r="I310">
        <f>IF(DATOS!$I310="","",IFERROR(VLOOKUP(DATOS!$I310,CONFIG_ASIGNATURAS!$B$2:$J$91,9,FALSE()),""))</f>
      </c>
    </row>
    <row r="311">
      <c r="F311">
        <f>IF(DATOS!$A311="","",DATOS!$A311&amp;"|"&amp;DATOS!$D311&amp;"|"&amp;DATOS!$E311&amp;"|"&amp;DATOS!$I311)</f>
      </c>
      <c r="G311">
        <f>IF(DATOS!$A311="",0,IF(CONFIG_METADATA!$B$4&lt;&gt;"OR+EX",--(DATOS!$G311=CONFIG_METADATA!$B$4),IF(DATOS!$G311="EX",1,IF(DATOS!$G311="OR",--(COUNTIFS(nNIA,DATOS!$A311,nCURSO,DATOS!$D311,nESPEC,DATOS!$E311,nASIG,DATOS!$I311,nEVAL,"EX")=0),0))))</f>
      </c>
      <c r="H311">
        <f>IF(DATOS!$G311&lt;&gt;"EX",0,--(COUNTIFS(nNIA,DATOS!$A311,nCURSO,DATOS!$D311,nESPEC,DATOS!$E311,nASIG,DATOS!$I311,nEVAL,"OR")=0))</f>
      </c>
      <c r="I311">
        <f>IF(DATOS!$I311="","",IFERROR(VLOOKUP(DATOS!$I311,CONFIG_ASIGNATURAS!$B$2:$J$91,9,FALSE()),""))</f>
      </c>
    </row>
    <row r="312">
      <c r="F312">
        <f>IF(DATOS!$A312="","",DATOS!$A312&amp;"|"&amp;DATOS!$D312&amp;"|"&amp;DATOS!$E312&amp;"|"&amp;DATOS!$I312)</f>
      </c>
      <c r="G312">
        <f>IF(DATOS!$A312="",0,IF(CONFIG_METADATA!$B$4&lt;&gt;"OR+EX",--(DATOS!$G312=CONFIG_METADATA!$B$4),IF(DATOS!$G312="EX",1,IF(DATOS!$G312="OR",--(COUNTIFS(nNIA,DATOS!$A312,nCURSO,DATOS!$D312,nESPEC,DATOS!$E312,nASIG,DATOS!$I312,nEVAL,"EX")=0),0))))</f>
      </c>
      <c r="H312">
        <f>IF(DATOS!$G312&lt;&gt;"EX",0,--(COUNTIFS(nNIA,DATOS!$A312,nCURSO,DATOS!$D312,nESPEC,DATOS!$E312,nASIG,DATOS!$I312,nEVAL,"OR")=0))</f>
      </c>
      <c r="I312">
        <f>IF(DATOS!$I312="","",IFERROR(VLOOKUP(DATOS!$I312,CONFIG_ASIGNATURAS!$B$2:$J$91,9,FALSE()),""))</f>
      </c>
    </row>
    <row r="313">
      <c r="F313">
        <f>IF(DATOS!$A313="","",DATOS!$A313&amp;"|"&amp;DATOS!$D313&amp;"|"&amp;DATOS!$E313&amp;"|"&amp;DATOS!$I313)</f>
      </c>
      <c r="G313">
        <f>IF(DATOS!$A313="",0,IF(CONFIG_METADATA!$B$4&lt;&gt;"OR+EX",--(DATOS!$G313=CONFIG_METADATA!$B$4),IF(DATOS!$G313="EX",1,IF(DATOS!$G313="OR",--(COUNTIFS(nNIA,DATOS!$A313,nCURSO,DATOS!$D313,nESPEC,DATOS!$E313,nASIG,DATOS!$I313,nEVAL,"EX")=0),0))))</f>
      </c>
      <c r="H313">
        <f>IF(DATOS!$G313&lt;&gt;"EX",0,--(COUNTIFS(nNIA,DATOS!$A313,nCURSO,DATOS!$D313,nESPEC,DATOS!$E313,nASIG,DATOS!$I313,nEVAL,"OR")=0))</f>
      </c>
      <c r="I313">
        <f>IF(DATOS!$I313="","",IFERROR(VLOOKUP(DATOS!$I313,CONFIG_ASIGNATURAS!$B$2:$J$91,9,FALSE()),""))</f>
      </c>
    </row>
    <row r="314">
      <c r="F314">
        <f>IF(DATOS!$A314="","",DATOS!$A314&amp;"|"&amp;DATOS!$D314&amp;"|"&amp;DATOS!$E314&amp;"|"&amp;DATOS!$I314)</f>
      </c>
      <c r="G314">
        <f>IF(DATOS!$A314="",0,IF(CONFIG_METADATA!$B$4&lt;&gt;"OR+EX",--(DATOS!$G314=CONFIG_METADATA!$B$4),IF(DATOS!$G314="EX",1,IF(DATOS!$G314="OR",--(COUNTIFS(nNIA,DATOS!$A314,nCURSO,DATOS!$D314,nESPEC,DATOS!$E314,nASIG,DATOS!$I314,nEVAL,"EX")=0),0))))</f>
      </c>
      <c r="H314">
        <f>IF(DATOS!$G314&lt;&gt;"EX",0,--(COUNTIFS(nNIA,DATOS!$A314,nCURSO,DATOS!$D314,nESPEC,DATOS!$E314,nASIG,DATOS!$I314,nEVAL,"OR")=0))</f>
      </c>
      <c r="I314">
        <f>IF(DATOS!$I314="","",IFERROR(VLOOKUP(DATOS!$I314,CONFIG_ASIGNATURAS!$B$2:$J$91,9,FALSE()),""))</f>
      </c>
    </row>
    <row r="315">
      <c r="F315">
        <f>IF(DATOS!$A315="","",DATOS!$A315&amp;"|"&amp;DATOS!$D315&amp;"|"&amp;DATOS!$E315&amp;"|"&amp;DATOS!$I315)</f>
      </c>
      <c r="G315">
        <f>IF(DATOS!$A315="",0,IF(CONFIG_METADATA!$B$4&lt;&gt;"OR+EX",--(DATOS!$G315=CONFIG_METADATA!$B$4),IF(DATOS!$G315="EX",1,IF(DATOS!$G315="OR",--(COUNTIFS(nNIA,DATOS!$A315,nCURSO,DATOS!$D315,nESPEC,DATOS!$E315,nASIG,DATOS!$I315,nEVAL,"EX")=0),0))))</f>
      </c>
      <c r="H315">
        <f>IF(DATOS!$G315&lt;&gt;"EX",0,--(COUNTIFS(nNIA,DATOS!$A315,nCURSO,DATOS!$D315,nESPEC,DATOS!$E315,nASIG,DATOS!$I315,nEVAL,"OR")=0))</f>
      </c>
      <c r="I315">
        <f>IF(DATOS!$I315="","",IFERROR(VLOOKUP(DATOS!$I315,CONFIG_ASIGNATURAS!$B$2:$J$91,9,FALSE()),""))</f>
      </c>
    </row>
    <row r="316">
      <c r="F316">
        <f>IF(DATOS!$A316="","",DATOS!$A316&amp;"|"&amp;DATOS!$D316&amp;"|"&amp;DATOS!$E316&amp;"|"&amp;DATOS!$I316)</f>
      </c>
      <c r="G316">
        <f>IF(DATOS!$A316="",0,IF(CONFIG_METADATA!$B$4&lt;&gt;"OR+EX",--(DATOS!$G316=CONFIG_METADATA!$B$4),IF(DATOS!$G316="EX",1,IF(DATOS!$G316="OR",--(COUNTIFS(nNIA,DATOS!$A316,nCURSO,DATOS!$D316,nESPEC,DATOS!$E316,nASIG,DATOS!$I316,nEVAL,"EX")=0),0))))</f>
      </c>
      <c r="H316">
        <f>IF(DATOS!$G316&lt;&gt;"EX",0,--(COUNTIFS(nNIA,DATOS!$A316,nCURSO,DATOS!$D316,nESPEC,DATOS!$E316,nASIG,DATOS!$I316,nEVAL,"OR")=0))</f>
      </c>
      <c r="I316">
        <f>IF(DATOS!$I316="","",IFERROR(VLOOKUP(DATOS!$I316,CONFIG_ASIGNATURAS!$B$2:$J$91,9,FALSE()),""))</f>
      </c>
    </row>
    <row r="317">
      <c r="F317">
        <f>IF(DATOS!$A317="","",DATOS!$A317&amp;"|"&amp;DATOS!$D317&amp;"|"&amp;DATOS!$E317&amp;"|"&amp;DATOS!$I317)</f>
      </c>
      <c r="G317">
        <f>IF(DATOS!$A317="",0,IF(CONFIG_METADATA!$B$4&lt;&gt;"OR+EX",--(DATOS!$G317=CONFIG_METADATA!$B$4),IF(DATOS!$G317="EX",1,IF(DATOS!$G317="OR",--(COUNTIFS(nNIA,DATOS!$A317,nCURSO,DATOS!$D317,nESPEC,DATOS!$E317,nASIG,DATOS!$I317,nEVAL,"EX")=0),0))))</f>
      </c>
      <c r="H317">
        <f>IF(DATOS!$G317&lt;&gt;"EX",0,--(COUNTIFS(nNIA,DATOS!$A317,nCURSO,DATOS!$D317,nESPEC,DATOS!$E317,nASIG,DATOS!$I317,nEVAL,"OR")=0))</f>
      </c>
      <c r="I317">
        <f>IF(DATOS!$I317="","",IFERROR(VLOOKUP(DATOS!$I317,CONFIG_ASIGNATURAS!$B$2:$J$91,9,FALSE()),""))</f>
      </c>
    </row>
    <row r="318">
      <c r="F318">
        <f>IF(DATOS!$A318="","",DATOS!$A318&amp;"|"&amp;DATOS!$D318&amp;"|"&amp;DATOS!$E318&amp;"|"&amp;DATOS!$I318)</f>
      </c>
      <c r="G318">
        <f>IF(DATOS!$A318="",0,IF(CONFIG_METADATA!$B$4&lt;&gt;"OR+EX",--(DATOS!$G318=CONFIG_METADATA!$B$4),IF(DATOS!$G318="EX",1,IF(DATOS!$G318="OR",--(COUNTIFS(nNIA,DATOS!$A318,nCURSO,DATOS!$D318,nESPEC,DATOS!$E318,nASIG,DATOS!$I318,nEVAL,"EX")=0),0))))</f>
      </c>
      <c r="H318">
        <f>IF(DATOS!$G318&lt;&gt;"EX",0,--(COUNTIFS(nNIA,DATOS!$A318,nCURSO,DATOS!$D318,nESPEC,DATOS!$E318,nASIG,DATOS!$I318,nEVAL,"OR")=0))</f>
      </c>
      <c r="I318">
        <f>IF(DATOS!$I318="","",IFERROR(VLOOKUP(DATOS!$I318,CONFIG_ASIGNATURAS!$B$2:$J$91,9,FALSE()),""))</f>
      </c>
    </row>
    <row r="319">
      <c r="F319">
        <f>IF(DATOS!$A319="","",DATOS!$A319&amp;"|"&amp;DATOS!$D319&amp;"|"&amp;DATOS!$E319&amp;"|"&amp;DATOS!$I319)</f>
      </c>
      <c r="G319">
        <f>IF(DATOS!$A319="",0,IF(CONFIG_METADATA!$B$4&lt;&gt;"OR+EX",--(DATOS!$G319=CONFIG_METADATA!$B$4),IF(DATOS!$G319="EX",1,IF(DATOS!$G319="OR",--(COUNTIFS(nNIA,DATOS!$A319,nCURSO,DATOS!$D319,nESPEC,DATOS!$E319,nASIG,DATOS!$I319,nEVAL,"EX")=0),0))))</f>
      </c>
      <c r="H319">
        <f>IF(DATOS!$G319&lt;&gt;"EX",0,--(COUNTIFS(nNIA,DATOS!$A319,nCURSO,DATOS!$D319,nESPEC,DATOS!$E319,nASIG,DATOS!$I319,nEVAL,"OR")=0))</f>
      </c>
      <c r="I319">
        <f>IF(DATOS!$I319="","",IFERROR(VLOOKUP(DATOS!$I319,CONFIG_ASIGNATURAS!$B$2:$J$91,9,FALSE()),""))</f>
      </c>
    </row>
    <row r="320">
      <c r="F320">
        <f>IF(DATOS!$A320="","",DATOS!$A320&amp;"|"&amp;DATOS!$D320&amp;"|"&amp;DATOS!$E320&amp;"|"&amp;DATOS!$I320)</f>
      </c>
      <c r="G320">
        <f>IF(DATOS!$A320="",0,IF(CONFIG_METADATA!$B$4&lt;&gt;"OR+EX",--(DATOS!$G320=CONFIG_METADATA!$B$4),IF(DATOS!$G320="EX",1,IF(DATOS!$G320="OR",--(COUNTIFS(nNIA,DATOS!$A320,nCURSO,DATOS!$D320,nESPEC,DATOS!$E320,nASIG,DATOS!$I320,nEVAL,"EX")=0),0))))</f>
      </c>
      <c r="H320">
        <f>IF(DATOS!$G320&lt;&gt;"EX",0,--(COUNTIFS(nNIA,DATOS!$A320,nCURSO,DATOS!$D320,nESPEC,DATOS!$E320,nASIG,DATOS!$I320,nEVAL,"OR")=0))</f>
      </c>
      <c r="I320">
        <f>IF(DATOS!$I320="","",IFERROR(VLOOKUP(DATOS!$I320,CONFIG_ASIGNATURAS!$B$2:$J$91,9,FALSE()),""))</f>
      </c>
    </row>
    <row r="321">
      <c r="F321">
        <f>IF(DATOS!$A321="","",DATOS!$A321&amp;"|"&amp;DATOS!$D321&amp;"|"&amp;DATOS!$E321&amp;"|"&amp;DATOS!$I321)</f>
      </c>
      <c r="G321">
        <f>IF(DATOS!$A321="",0,IF(CONFIG_METADATA!$B$4&lt;&gt;"OR+EX",--(DATOS!$G321=CONFIG_METADATA!$B$4),IF(DATOS!$G321="EX",1,IF(DATOS!$G321="OR",--(COUNTIFS(nNIA,DATOS!$A321,nCURSO,DATOS!$D321,nESPEC,DATOS!$E321,nASIG,DATOS!$I321,nEVAL,"EX")=0),0))))</f>
      </c>
      <c r="H321">
        <f>IF(DATOS!$G321&lt;&gt;"EX",0,--(COUNTIFS(nNIA,DATOS!$A321,nCURSO,DATOS!$D321,nESPEC,DATOS!$E321,nASIG,DATOS!$I321,nEVAL,"OR")=0))</f>
      </c>
      <c r="I321">
        <f>IF(DATOS!$I321="","",IFERROR(VLOOKUP(DATOS!$I321,CONFIG_ASIGNATURAS!$B$2:$J$91,9,FALSE()),""))</f>
      </c>
    </row>
    <row r="322">
      <c r="F322">
        <f>IF(DATOS!$A322="","",DATOS!$A322&amp;"|"&amp;DATOS!$D322&amp;"|"&amp;DATOS!$E322&amp;"|"&amp;DATOS!$I322)</f>
      </c>
      <c r="G322">
        <f>IF(DATOS!$A322="",0,IF(CONFIG_METADATA!$B$4&lt;&gt;"OR+EX",--(DATOS!$G322=CONFIG_METADATA!$B$4),IF(DATOS!$G322="EX",1,IF(DATOS!$G322="OR",--(COUNTIFS(nNIA,DATOS!$A322,nCURSO,DATOS!$D322,nESPEC,DATOS!$E322,nASIG,DATOS!$I322,nEVAL,"EX")=0),0))))</f>
      </c>
      <c r="H322">
        <f>IF(DATOS!$G322&lt;&gt;"EX",0,--(COUNTIFS(nNIA,DATOS!$A322,nCURSO,DATOS!$D322,nESPEC,DATOS!$E322,nASIG,DATOS!$I322,nEVAL,"OR")=0))</f>
      </c>
      <c r="I322">
        <f>IF(DATOS!$I322="","",IFERROR(VLOOKUP(DATOS!$I322,CONFIG_ASIGNATURAS!$B$2:$J$91,9,FALSE()),""))</f>
      </c>
    </row>
    <row r="323">
      <c r="F323">
        <f>IF(DATOS!$A323="","",DATOS!$A323&amp;"|"&amp;DATOS!$D323&amp;"|"&amp;DATOS!$E323&amp;"|"&amp;DATOS!$I323)</f>
      </c>
      <c r="G323">
        <f>IF(DATOS!$A323="",0,IF(CONFIG_METADATA!$B$4&lt;&gt;"OR+EX",--(DATOS!$G323=CONFIG_METADATA!$B$4),IF(DATOS!$G323="EX",1,IF(DATOS!$G323="OR",--(COUNTIFS(nNIA,DATOS!$A323,nCURSO,DATOS!$D323,nESPEC,DATOS!$E323,nASIG,DATOS!$I323,nEVAL,"EX")=0),0))))</f>
      </c>
      <c r="H323">
        <f>IF(DATOS!$G323&lt;&gt;"EX",0,--(COUNTIFS(nNIA,DATOS!$A323,nCURSO,DATOS!$D323,nESPEC,DATOS!$E323,nASIG,DATOS!$I323,nEVAL,"OR")=0))</f>
      </c>
      <c r="I323">
        <f>IF(DATOS!$I323="","",IFERROR(VLOOKUP(DATOS!$I323,CONFIG_ASIGNATURAS!$B$2:$J$91,9,FALSE()),""))</f>
      </c>
    </row>
    <row r="324">
      <c r="F324">
        <f>IF(DATOS!$A324="","",DATOS!$A324&amp;"|"&amp;DATOS!$D324&amp;"|"&amp;DATOS!$E324&amp;"|"&amp;DATOS!$I324)</f>
      </c>
      <c r="G324">
        <f>IF(DATOS!$A324="",0,IF(CONFIG_METADATA!$B$4&lt;&gt;"OR+EX",--(DATOS!$G324=CONFIG_METADATA!$B$4),IF(DATOS!$G324="EX",1,IF(DATOS!$G324="OR",--(COUNTIFS(nNIA,DATOS!$A324,nCURSO,DATOS!$D324,nESPEC,DATOS!$E324,nASIG,DATOS!$I324,nEVAL,"EX")=0),0))))</f>
      </c>
      <c r="H324">
        <f>IF(DATOS!$G324&lt;&gt;"EX",0,--(COUNTIFS(nNIA,DATOS!$A324,nCURSO,DATOS!$D324,nESPEC,DATOS!$E324,nASIG,DATOS!$I324,nEVAL,"OR")=0))</f>
      </c>
      <c r="I324">
        <f>IF(DATOS!$I324="","",IFERROR(VLOOKUP(DATOS!$I324,CONFIG_ASIGNATURAS!$B$2:$J$91,9,FALSE()),""))</f>
      </c>
    </row>
    <row r="325">
      <c r="F325">
        <f>IF(DATOS!$A325="","",DATOS!$A325&amp;"|"&amp;DATOS!$D325&amp;"|"&amp;DATOS!$E325&amp;"|"&amp;DATOS!$I325)</f>
      </c>
      <c r="G325">
        <f>IF(DATOS!$A325="",0,IF(CONFIG_METADATA!$B$4&lt;&gt;"OR+EX",--(DATOS!$G325=CONFIG_METADATA!$B$4),IF(DATOS!$G325="EX",1,IF(DATOS!$G325="OR",--(COUNTIFS(nNIA,DATOS!$A325,nCURSO,DATOS!$D325,nESPEC,DATOS!$E325,nASIG,DATOS!$I325,nEVAL,"EX")=0),0))))</f>
      </c>
      <c r="H325">
        <f>IF(DATOS!$G325&lt;&gt;"EX",0,--(COUNTIFS(nNIA,DATOS!$A325,nCURSO,DATOS!$D325,nESPEC,DATOS!$E325,nASIG,DATOS!$I325,nEVAL,"OR")=0))</f>
      </c>
      <c r="I325">
        <f>IF(DATOS!$I325="","",IFERROR(VLOOKUP(DATOS!$I325,CONFIG_ASIGNATURAS!$B$2:$J$91,9,FALSE()),""))</f>
      </c>
    </row>
    <row r="326">
      <c r="F326">
        <f>IF(DATOS!$A326="","",DATOS!$A326&amp;"|"&amp;DATOS!$D326&amp;"|"&amp;DATOS!$E326&amp;"|"&amp;DATOS!$I326)</f>
      </c>
      <c r="G326">
        <f>IF(DATOS!$A326="",0,IF(CONFIG_METADATA!$B$4&lt;&gt;"OR+EX",--(DATOS!$G326=CONFIG_METADATA!$B$4),IF(DATOS!$G326="EX",1,IF(DATOS!$G326="OR",--(COUNTIFS(nNIA,DATOS!$A326,nCURSO,DATOS!$D326,nESPEC,DATOS!$E326,nASIG,DATOS!$I326,nEVAL,"EX")=0),0))))</f>
      </c>
      <c r="H326">
        <f>IF(DATOS!$G326&lt;&gt;"EX",0,--(COUNTIFS(nNIA,DATOS!$A326,nCURSO,DATOS!$D326,nESPEC,DATOS!$E326,nASIG,DATOS!$I326,nEVAL,"OR")=0))</f>
      </c>
      <c r="I326">
        <f>IF(DATOS!$I326="","",IFERROR(VLOOKUP(DATOS!$I326,CONFIG_ASIGNATURAS!$B$2:$J$91,9,FALSE()),""))</f>
      </c>
    </row>
    <row r="327">
      <c r="F327">
        <f>IF(DATOS!$A327="","",DATOS!$A327&amp;"|"&amp;DATOS!$D327&amp;"|"&amp;DATOS!$E327&amp;"|"&amp;DATOS!$I327)</f>
      </c>
      <c r="G327">
        <f>IF(DATOS!$A327="",0,IF(CONFIG_METADATA!$B$4&lt;&gt;"OR+EX",--(DATOS!$G327=CONFIG_METADATA!$B$4),IF(DATOS!$G327="EX",1,IF(DATOS!$G327="OR",--(COUNTIFS(nNIA,DATOS!$A327,nCURSO,DATOS!$D327,nESPEC,DATOS!$E327,nASIG,DATOS!$I327,nEVAL,"EX")=0),0))))</f>
      </c>
      <c r="H327">
        <f>IF(DATOS!$G327&lt;&gt;"EX",0,--(COUNTIFS(nNIA,DATOS!$A327,nCURSO,DATOS!$D327,nESPEC,DATOS!$E327,nASIG,DATOS!$I327,nEVAL,"OR")=0))</f>
      </c>
      <c r="I327">
        <f>IF(DATOS!$I327="","",IFERROR(VLOOKUP(DATOS!$I327,CONFIG_ASIGNATURAS!$B$2:$J$91,9,FALSE()),""))</f>
      </c>
    </row>
    <row r="328">
      <c r="F328">
        <f>IF(DATOS!$A328="","",DATOS!$A328&amp;"|"&amp;DATOS!$D328&amp;"|"&amp;DATOS!$E328&amp;"|"&amp;DATOS!$I328)</f>
      </c>
      <c r="G328">
        <f>IF(DATOS!$A328="",0,IF(CONFIG_METADATA!$B$4&lt;&gt;"OR+EX",--(DATOS!$G328=CONFIG_METADATA!$B$4),IF(DATOS!$G328="EX",1,IF(DATOS!$G328="OR",--(COUNTIFS(nNIA,DATOS!$A328,nCURSO,DATOS!$D328,nESPEC,DATOS!$E328,nASIG,DATOS!$I328,nEVAL,"EX")=0),0))))</f>
      </c>
      <c r="H328">
        <f>IF(DATOS!$G328&lt;&gt;"EX",0,--(COUNTIFS(nNIA,DATOS!$A328,nCURSO,DATOS!$D328,nESPEC,DATOS!$E328,nASIG,DATOS!$I328,nEVAL,"OR")=0))</f>
      </c>
      <c r="I328">
        <f>IF(DATOS!$I328="","",IFERROR(VLOOKUP(DATOS!$I328,CONFIG_ASIGNATURAS!$B$2:$J$91,9,FALSE()),""))</f>
      </c>
    </row>
    <row r="329">
      <c r="F329">
        <f>IF(DATOS!$A329="","",DATOS!$A329&amp;"|"&amp;DATOS!$D329&amp;"|"&amp;DATOS!$E329&amp;"|"&amp;DATOS!$I329)</f>
      </c>
      <c r="G329">
        <f>IF(DATOS!$A329="",0,IF(CONFIG_METADATA!$B$4&lt;&gt;"OR+EX",--(DATOS!$G329=CONFIG_METADATA!$B$4),IF(DATOS!$G329="EX",1,IF(DATOS!$G329="OR",--(COUNTIFS(nNIA,DATOS!$A329,nCURSO,DATOS!$D329,nESPEC,DATOS!$E329,nASIG,DATOS!$I329,nEVAL,"EX")=0),0))))</f>
      </c>
      <c r="H329">
        <f>IF(DATOS!$G329&lt;&gt;"EX",0,--(COUNTIFS(nNIA,DATOS!$A329,nCURSO,DATOS!$D329,nESPEC,DATOS!$E329,nASIG,DATOS!$I329,nEVAL,"OR")=0))</f>
      </c>
      <c r="I329">
        <f>IF(DATOS!$I329="","",IFERROR(VLOOKUP(DATOS!$I329,CONFIG_ASIGNATURAS!$B$2:$J$91,9,FALSE()),""))</f>
      </c>
    </row>
    <row r="330">
      <c r="F330">
        <f>IF(DATOS!$A330="","",DATOS!$A330&amp;"|"&amp;DATOS!$D330&amp;"|"&amp;DATOS!$E330&amp;"|"&amp;DATOS!$I330)</f>
      </c>
      <c r="G330">
        <f>IF(DATOS!$A330="",0,IF(CONFIG_METADATA!$B$4&lt;&gt;"OR+EX",--(DATOS!$G330=CONFIG_METADATA!$B$4),IF(DATOS!$G330="EX",1,IF(DATOS!$G330="OR",--(COUNTIFS(nNIA,DATOS!$A330,nCURSO,DATOS!$D330,nESPEC,DATOS!$E330,nASIG,DATOS!$I330,nEVAL,"EX")=0),0))))</f>
      </c>
      <c r="H330">
        <f>IF(DATOS!$G330&lt;&gt;"EX",0,--(COUNTIFS(nNIA,DATOS!$A330,nCURSO,DATOS!$D330,nESPEC,DATOS!$E330,nASIG,DATOS!$I330,nEVAL,"OR")=0))</f>
      </c>
      <c r="I330">
        <f>IF(DATOS!$I330="","",IFERROR(VLOOKUP(DATOS!$I330,CONFIG_ASIGNATURAS!$B$2:$J$91,9,FALSE()),""))</f>
      </c>
    </row>
    <row r="331">
      <c r="F331">
        <f>IF(DATOS!$A331="","",DATOS!$A331&amp;"|"&amp;DATOS!$D331&amp;"|"&amp;DATOS!$E331&amp;"|"&amp;DATOS!$I331)</f>
      </c>
      <c r="G331">
        <f>IF(DATOS!$A331="",0,IF(CONFIG_METADATA!$B$4&lt;&gt;"OR+EX",--(DATOS!$G331=CONFIG_METADATA!$B$4),IF(DATOS!$G331="EX",1,IF(DATOS!$G331="OR",--(COUNTIFS(nNIA,DATOS!$A331,nCURSO,DATOS!$D331,nESPEC,DATOS!$E331,nASIG,DATOS!$I331,nEVAL,"EX")=0),0))))</f>
      </c>
      <c r="H331">
        <f>IF(DATOS!$G331&lt;&gt;"EX",0,--(COUNTIFS(nNIA,DATOS!$A331,nCURSO,DATOS!$D331,nESPEC,DATOS!$E331,nASIG,DATOS!$I331,nEVAL,"OR")=0))</f>
      </c>
      <c r="I331">
        <f>IF(DATOS!$I331="","",IFERROR(VLOOKUP(DATOS!$I331,CONFIG_ASIGNATURAS!$B$2:$J$91,9,FALSE()),""))</f>
      </c>
    </row>
    <row r="332">
      <c r="F332">
        <f>IF(DATOS!$A332="","",DATOS!$A332&amp;"|"&amp;DATOS!$D332&amp;"|"&amp;DATOS!$E332&amp;"|"&amp;DATOS!$I332)</f>
      </c>
      <c r="G332">
        <f>IF(DATOS!$A332="",0,IF(CONFIG_METADATA!$B$4&lt;&gt;"OR+EX",--(DATOS!$G332=CONFIG_METADATA!$B$4),IF(DATOS!$G332="EX",1,IF(DATOS!$G332="OR",--(COUNTIFS(nNIA,DATOS!$A332,nCURSO,DATOS!$D332,nESPEC,DATOS!$E332,nASIG,DATOS!$I332,nEVAL,"EX")=0),0))))</f>
      </c>
      <c r="H332">
        <f>IF(DATOS!$G332&lt;&gt;"EX",0,--(COUNTIFS(nNIA,DATOS!$A332,nCURSO,DATOS!$D332,nESPEC,DATOS!$E332,nASIG,DATOS!$I332,nEVAL,"OR")=0))</f>
      </c>
      <c r="I332">
        <f>IF(DATOS!$I332="","",IFERROR(VLOOKUP(DATOS!$I332,CONFIG_ASIGNATURAS!$B$2:$J$91,9,FALSE()),""))</f>
      </c>
    </row>
    <row r="333">
      <c r="F333">
        <f>IF(DATOS!$A333="","",DATOS!$A333&amp;"|"&amp;DATOS!$D333&amp;"|"&amp;DATOS!$E333&amp;"|"&amp;DATOS!$I333)</f>
      </c>
      <c r="G333">
        <f>IF(DATOS!$A333="",0,IF(CONFIG_METADATA!$B$4&lt;&gt;"OR+EX",--(DATOS!$G333=CONFIG_METADATA!$B$4),IF(DATOS!$G333="EX",1,IF(DATOS!$G333="OR",--(COUNTIFS(nNIA,DATOS!$A333,nCURSO,DATOS!$D333,nESPEC,DATOS!$E333,nASIG,DATOS!$I333,nEVAL,"EX")=0),0))))</f>
      </c>
      <c r="H333">
        <f>IF(DATOS!$G333&lt;&gt;"EX",0,--(COUNTIFS(nNIA,DATOS!$A333,nCURSO,DATOS!$D333,nESPEC,DATOS!$E333,nASIG,DATOS!$I333,nEVAL,"OR")=0))</f>
      </c>
      <c r="I333">
        <f>IF(DATOS!$I333="","",IFERROR(VLOOKUP(DATOS!$I333,CONFIG_ASIGNATURAS!$B$2:$J$91,9,FALSE()),""))</f>
      </c>
    </row>
    <row r="334">
      <c r="F334">
        <f>IF(DATOS!$A334="","",DATOS!$A334&amp;"|"&amp;DATOS!$D334&amp;"|"&amp;DATOS!$E334&amp;"|"&amp;DATOS!$I334)</f>
      </c>
      <c r="G334">
        <f>IF(DATOS!$A334="",0,IF(CONFIG_METADATA!$B$4&lt;&gt;"OR+EX",--(DATOS!$G334=CONFIG_METADATA!$B$4),IF(DATOS!$G334="EX",1,IF(DATOS!$G334="OR",--(COUNTIFS(nNIA,DATOS!$A334,nCURSO,DATOS!$D334,nESPEC,DATOS!$E334,nASIG,DATOS!$I334,nEVAL,"EX")=0),0))))</f>
      </c>
      <c r="H334">
        <f>IF(DATOS!$G334&lt;&gt;"EX",0,--(COUNTIFS(nNIA,DATOS!$A334,nCURSO,DATOS!$D334,nESPEC,DATOS!$E334,nASIG,DATOS!$I334,nEVAL,"OR")=0))</f>
      </c>
      <c r="I334">
        <f>IF(DATOS!$I334="","",IFERROR(VLOOKUP(DATOS!$I334,CONFIG_ASIGNATURAS!$B$2:$J$91,9,FALSE()),""))</f>
      </c>
    </row>
    <row r="335">
      <c r="F335">
        <f>IF(DATOS!$A335="","",DATOS!$A335&amp;"|"&amp;DATOS!$D335&amp;"|"&amp;DATOS!$E335&amp;"|"&amp;DATOS!$I335)</f>
      </c>
      <c r="G335">
        <f>IF(DATOS!$A335="",0,IF(CONFIG_METADATA!$B$4&lt;&gt;"OR+EX",--(DATOS!$G335=CONFIG_METADATA!$B$4),IF(DATOS!$G335="EX",1,IF(DATOS!$G335="OR",--(COUNTIFS(nNIA,DATOS!$A335,nCURSO,DATOS!$D335,nESPEC,DATOS!$E335,nASIG,DATOS!$I335,nEVAL,"EX")=0),0))))</f>
      </c>
      <c r="H335">
        <f>IF(DATOS!$G335&lt;&gt;"EX",0,--(COUNTIFS(nNIA,DATOS!$A335,nCURSO,DATOS!$D335,nESPEC,DATOS!$E335,nASIG,DATOS!$I335,nEVAL,"OR")=0))</f>
      </c>
      <c r="I335">
        <f>IF(DATOS!$I335="","",IFERROR(VLOOKUP(DATOS!$I335,CONFIG_ASIGNATURAS!$B$2:$J$91,9,FALSE()),""))</f>
      </c>
    </row>
    <row r="336">
      <c r="F336">
        <f>IF(DATOS!$A336="","",DATOS!$A336&amp;"|"&amp;DATOS!$D336&amp;"|"&amp;DATOS!$E336&amp;"|"&amp;DATOS!$I336)</f>
      </c>
      <c r="G336">
        <f>IF(DATOS!$A336="",0,IF(CONFIG_METADATA!$B$4&lt;&gt;"OR+EX",--(DATOS!$G336=CONFIG_METADATA!$B$4),IF(DATOS!$G336="EX",1,IF(DATOS!$G336="OR",--(COUNTIFS(nNIA,DATOS!$A336,nCURSO,DATOS!$D336,nESPEC,DATOS!$E336,nASIG,DATOS!$I336,nEVAL,"EX")=0),0))))</f>
      </c>
      <c r="H336">
        <f>IF(DATOS!$G336&lt;&gt;"EX",0,--(COUNTIFS(nNIA,DATOS!$A336,nCURSO,DATOS!$D336,nESPEC,DATOS!$E336,nASIG,DATOS!$I336,nEVAL,"OR")=0))</f>
      </c>
      <c r="I336">
        <f>IF(DATOS!$I336="","",IFERROR(VLOOKUP(DATOS!$I336,CONFIG_ASIGNATURAS!$B$2:$J$91,9,FALSE()),""))</f>
      </c>
    </row>
    <row r="337">
      <c r="F337">
        <f>IF(DATOS!$A337="","",DATOS!$A337&amp;"|"&amp;DATOS!$D337&amp;"|"&amp;DATOS!$E337&amp;"|"&amp;DATOS!$I337)</f>
      </c>
      <c r="G337">
        <f>IF(DATOS!$A337="",0,IF(CONFIG_METADATA!$B$4&lt;&gt;"OR+EX",--(DATOS!$G337=CONFIG_METADATA!$B$4),IF(DATOS!$G337="EX",1,IF(DATOS!$G337="OR",--(COUNTIFS(nNIA,DATOS!$A337,nCURSO,DATOS!$D337,nESPEC,DATOS!$E337,nASIG,DATOS!$I337,nEVAL,"EX")=0),0))))</f>
      </c>
      <c r="H337">
        <f>IF(DATOS!$G337&lt;&gt;"EX",0,--(COUNTIFS(nNIA,DATOS!$A337,nCURSO,DATOS!$D337,nESPEC,DATOS!$E337,nASIG,DATOS!$I337,nEVAL,"OR")=0))</f>
      </c>
      <c r="I337">
        <f>IF(DATOS!$I337="","",IFERROR(VLOOKUP(DATOS!$I337,CONFIG_ASIGNATURAS!$B$2:$J$91,9,FALSE()),""))</f>
      </c>
    </row>
    <row r="338">
      <c r="F338">
        <f>IF(DATOS!$A338="","",DATOS!$A338&amp;"|"&amp;DATOS!$D338&amp;"|"&amp;DATOS!$E338&amp;"|"&amp;DATOS!$I338)</f>
      </c>
      <c r="G338">
        <f>IF(DATOS!$A338="",0,IF(CONFIG_METADATA!$B$4&lt;&gt;"OR+EX",--(DATOS!$G338=CONFIG_METADATA!$B$4),IF(DATOS!$G338="EX",1,IF(DATOS!$G338="OR",--(COUNTIFS(nNIA,DATOS!$A338,nCURSO,DATOS!$D338,nESPEC,DATOS!$E338,nASIG,DATOS!$I338,nEVAL,"EX")=0),0))))</f>
      </c>
      <c r="H338">
        <f>IF(DATOS!$G338&lt;&gt;"EX",0,--(COUNTIFS(nNIA,DATOS!$A338,nCURSO,DATOS!$D338,nESPEC,DATOS!$E338,nASIG,DATOS!$I338,nEVAL,"OR")=0))</f>
      </c>
      <c r="I338">
        <f>IF(DATOS!$I338="","",IFERROR(VLOOKUP(DATOS!$I338,CONFIG_ASIGNATURAS!$B$2:$J$91,9,FALSE()),""))</f>
      </c>
    </row>
    <row r="339">
      <c r="F339">
        <f>IF(DATOS!$A339="","",DATOS!$A339&amp;"|"&amp;DATOS!$D339&amp;"|"&amp;DATOS!$E339&amp;"|"&amp;DATOS!$I339)</f>
      </c>
      <c r="G339">
        <f>IF(DATOS!$A339="",0,IF(CONFIG_METADATA!$B$4&lt;&gt;"OR+EX",--(DATOS!$G339=CONFIG_METADATA!$B$4),IF(DATOS!$G339="EX",1,IF(DATOS!$G339="OR",--(COUNTIFS(nNIA,DATOS!$A339,nCURSO,DATOS!$D339,nESPEC,DATOS!$E339,nASIG,DATOS!$I339,nEVAL,"EX")=0),0))))</f>
      </c>
      <c r="H339">
        <f>IF(DATOS!$G339&lt;&gt;"EX",0,--(COUNTIFS(nNIA,DATOS!$A339,nCURSO,DATOS!$D339,nESPEC,DATOS!$E339,nASIG,DATOS!$I339,nEVAL,"OR")=0))</f>
      </c>
      <c r="I339">
        <f>IF(DATOS!$I339="","",IFERROR(VLOOKUP(DATOS!$I339,CONFIG_ASIGNATURAS!$B$2:$J$91,9,FALSE()),""))</f>
      </c>
    </row>
    <row r="340">
      <c r="F340">
        <f>IF(DATOS!$A340="","",DATOS!$A340&amp;"|"&amp;DATOS!$D340&amp;"|"&amp;DATOS!$E340&amp;"|"&amp;DATOS!$I340)</f>
      </c>
      <c r="G340">
        <f>IF(DATOS!$A340="",0,IF(CONFIG_METADATA!$B$4&lt;&gt;"OR+EX",--(DATOS!$G340=CONFIG_METADATA!$B$4),IF(DATOS!$G340="EX",1,IF(DATOS!$G340="OR",--(COUNTIFS(nNIA,DATOS!$A340,nCURSO,DATOS!$D340,nESPEC,DATOS!$E340,nASIG,DATOS!$I340,nEVAL,"EX")=0),0))))</f>
      </c>
      <c r="H340">
        <f>IF(DATOS!$G340&lt;&gt;"EX",0,--(COUNTIFS(nNIA,DATOS!$A340,nCURSO,DATOS!$D340,nESPEC,DATOS!$E340,nASIG,DATOS!$I340,nEVAL,"OR")=0))</f>
      </c>
      <c r="I340">
        <f>IF(DATOS!$I340="","",IFERROR(VLOOKUP(DATOS!$I340,CONFIG_ASIGNATURAS!$B$2:$J$91,9,FALSE()),""))</f>
      </c>
    </row>
    <row r="341">
      <c r="F341">
        <f>IF(DATOS!$A341="","",DATOS!$A341&amp;"|"&amp;DATOS!$D341&amp;"|"&amp;DATOS!$E341&amp;"|"&amp;DATOS!$I341)</f>
      </c>
      <c r="G341">
        <f>IF(DATOS!$A341="",0,IF(CONFIG_METADATA!$B$4&lt;&gt;"OR+EX",--(DATOS!$G341=CONFIG_METADATA!$B$4),IF(DATOS!$G341="EX",1,IF(DATOS!$G341="OR",--(COUNTIFS(nNIA,DATOS!$A341,nCURSO,DATOS!$D341,nESPEC,DATOS!$E341,nASIG,DATOS!$I341,nEVAL,"EX")=0),0))))</f>
      </c>
      <c r="H341">
        <f>IF(DATOS!$G341&lt;&gt;"EX",0,--(COUNTIFS(nNIA,DATOS!$A341,nCURSO,DATOS!$D341,nESPEC,DATOS!$E341,nASIG,DATOS!$I341,nEVAL,"OR")=0))</f>
      </c>
      <c r="I341">
        <f>IF(DATOS!$I341="","",IFERROR(VLOOKUP(DATOS!$I341,CONFIG_ASIGNATURAS!$B$2:$J$91,9,FALSE()),""))</f>
      </c>
    </row>
    <row r="342">
      <c r="F342">
        <f>IF(DATOS!$A342="","",DATOS!$A342&amp;"|"&amp;DATOS!$D342&amp;"|"&amp;DATOS!$E342&amp;"|"&amp;DATOS!$I342)</f>
      </c>
      <c r="G342">
        <f>IF(DATOS!$A342="",0,IF(CONFIG_METADATA!$B$4&lt;&gt;"OR+EX",--(DATOS!$G342=CONFIG_METADATA!$B$4),IF(DATOS!$G342="EX",1,IF(DATOS!$G342="OR",--(COUNTIFS(nNIA,DATOS!$A342,nCURSO,DATOS!$D342,nESPEC,DATOS!$E342,nASIG,DATOS!$I342,nEVAL,"EX")=0),0))))</f>
      </c>
      <c r="H342">
        <f>IF(DATOS!$G342&lt;&gt;"EX",0,--(COUNTIFS(nNIA,DATOS!$A342,nCURSO,DATOS!$D342,nESPEC,DATOS!$E342,nASIG,DATOS!$I342,nEVAL,"OR")=0))</f>
      </c>
      <c r="I342">
        <f>IF(DATOS!$I342="","",IFERROR(VLOOKUP(DATOS!$I342,CONFIG_ASIGNATURAS!$B$2:$J$91,9,FALSE()),""))</f>
      </c>
    </row>
    <row r="343">
      <c r="F343">
        <f>IF(DATOS!$A343="","",DATOS!$A343&amp;"|"&amp;DATOS!$D343&amp;"|"&amp;DATOS!$E343&amp;"|"&amp;DATOS!$I343)</f>
      </c>
      <c r="G343">
        <f>IF(DATOS!$A343="",0,IF(CONFIG_METADATA!$B$4&lt;&gt;"OR+EX",--(DATOS!$G343=CONFIG_METADATA!$B$4),IF(DATOS!$G343="EX",1,IF(DATOS!$G343="OR",--(COUNTIFS(nNIA,DATOS!$A343,nCURSO,DATOS!$D343,nESPEC,DATOS!$E343,nASIG,DATOS!$I343,nEVAL,"EX")=0),0))))</f>
      </c>
      <c r="H343">
        <f>IF(DATOS!$G343&lt;&gt;"EX",0,--(COUNTIFS(nNIA,DATOS!$A343,nCURSO,DATOS!$D343,nESPEC,DATOS!$E343,nASIG,DATOS!$I343,nEVAL,"OR")=0))</f>
      </c>
      <c r="I343">
        <f>IF(DATOS!$I343="","",IFERROR(VLOOKUP(DATOS!$I343,CONFIG_ASIGNATURAS!$B$2:$J$91,9,FALSE()),""))</f>
      </c>
    </row>
    <row r="344">
      <c r="F344">
        <f>IF(DATOS!$A344="","",DATOS!$A344&amp;"|"&amp;DATOS!$D344&amp;"|"&amp;DATOS!$E344&amp;"|"&amp;DATOS!$I344)</f>
      </c>
      <c r="G344">
        <f>IF(DATOS!$A344="",0,IF(CONFIG_METADATA!$B$4&lt;&gt;"OR+EX",--(DATOS!$G344=CONFIG_METADATA!$B$4),IF(DATOS!$G344="EX",1,IF(DATOS!$G344="OR",--(COUNTIFS(nNIA,DATOS!$A344,nCURSO,DATOS!$D344,nESPEC,DATOS!$E344,nASIG,DATOS!$I344,nEVAL,"EX")=0),0))))</f>
      </c>
      <c r="H344">
        <f>IF(DATOS!$G344&lt;&gt;"EX",0,--(COUNTIFS(nNIA,DATOS!$A344,nCURSO,DATOS!$D344,nESPEC,DATOS!$E344,nASIG,DATOS!$I344,nEVAL,"OR")=0))</f>
      </c>
      <c r="I344">
        <f>IF(DATOS!$I344="","",IFERROR(VLOOKUP(DATOS!$I344,CONFIG_ASIGNATURAS!$B$2:$J$91,9,FALSE()),""))</f>
      </c>
    </row>
    <row r="345">
      <c r="F345">
        <f>IF(DATOS!$A345="","",DATOS!$A345&amp;"|"&amp;DATOS!$D345&amp;"|"&amp;DATOS!$E345&amp;"|"&amp;DATOS!$I345)</f>
      </c>
      <c r="G345">
        <f>IF(DATOS!$A345="",0,IF(CONFIG_METADATA!$B$4&lt;&gt;"OR+EX",--(DATOS!$G345=CONFIG_METADATA!$B$4),IF(DATOS!$G345="EX",1,IF(DATOS!$G345="OR",--(COUNTIFS(nNIA,DATOS!$A345,nCURSO,DATOS!$D345,nESPEC,DATOS!$E345,nASIG,DATOS!$I345,nEVAL,"EX")=0),0))))</f>
      </c>
      <c r="H345">
        <f>IF(DATOS!$G345&lt;&gt;"EX",0,--(COUNTIFS(nNIA,DATOS!$A345,nCURSO,DATOS!$D345,nESPEC,DATOS!$E345,nASIG,DATOS!$I345,nEVAL,"OR")=0))</f>
      </c>
      <c r="I345">
        <f>IF(DATOS!$I345="","",IFERROR(VLOOKUP(DATOS!$I345,CONFIG_ASIGNATURAS!$B$2:$J$91,9,FALSE()),""))</f>
      </c>
    </row>
    <row r="346">
      <c r="F346">
        <f>IF(DATOS!$A346="","",DATOS!$A346&amp;"|"&amp;DATOS!$D346&amp;"|"&amp;DATOS!$E346&amp;"|"&amp;DATOS!$I346)</f>
      </c>
      <c r="G346">
        <f>IF(DATOS!$A346="",0,IF(CONFIG_METADATA!$B$4&lt;&gt;"OR+EX",--(DATOS!$G346=CONFIG_METADATA!$B$4),IF(DATOS!$G346="EX",1,IF(DATOS!$G346="OR",--(COUNTIFS(nNIA,DATOS!$A346,nCURSO,DATOS!$D346,nESPEC,DATOS!$E346,nASIG,DATOS!$I346,nEVAL,"EX")=0),0))))</f>
      </c>
      <c r="H346">
        <f>IF(DATOS!$G346&lt;&gt;"EX",0,--(COUNTIFS(nNIA,DATOS!$A346,nCURSO,DATOS!$D346,nESPEC,DATOS!$E346,nASIG,DATOS!$I346,nEVAL,"OR")=0))</f>
      </c>
      <c r="I346">
        <f>IF(DATOS!$I346="","",IFERROR(VLOOKUP(DATOS!$I346,CONFIG_ASIGNATURAS!$B$2:$J$91,9,FALSE()),""))</f>
      </c>
    </row>
    <row r="347">
      <c r="F347">
        <f>IF(DATOS!$A347="","",DATOS!$A347&amp;"|"&amp;DATOS!$D347&amp;"|"&amp;DATOS!$E347&amp;"|"&amp;DATOS!$I347)</f>
      </c>
      <c r="G347">
        <f>IF(DATOS!$A347="",0,IF(CONFIG_METADATA!$B$4&lt;&gt;"OR+EX",--(DATOS!$G347=CONFIG_METADATA!$B$4),IF(DATOS!$G347="EX",1,IF(DATOS!$G347="OR",--(COUNTIFS(nNIA,DATOS!$A347,nCURSO,DATOS!$D347,nESPEC,DATOS!$E347,nASIG,DATOS!$I347,nEVAL,"EX")=0),0))))</f>
      </c>
      <c r="H347">
        <f>IF(DATOS!$G347&lt;&gt;"EX",0,--(COUNTIFS(nNIA,DATOS!$A347,nCURSO,DATOS!$D347,nESPEC,DATOS!$E347,nASIG,DATOS!$I347,nEVAL,"OR")=0))</f>
      </c>
      <c r="I347">
        <f>IF(DATOS!$I347="","",IFERROR(VLOOKUP(DATOS!$I347,CONFIG_ASIGNATURAS!$B$2:$J$91,9,FALSE()),""))</f>
      </c>
    </row>
    <row r="348">
      <c r="F348">
        <f>IF(DATOS!$A348="","",DATOS!$A348&amp;"|"&amp;DATOS!$D348&amp;"|"&amp;DATOS!$E348&amp;"|"&amp;DATOS!$I348)</f>
      </c>
      <c r="G348">
        <f>IF(DATOS!$A348="",0,IF(CONFIG_METADATA!$B$4&lt;&gt;"OR+EX",--(DATOS!$G348=CONFIG_METADATA!$B$4),IF(DATOS!$G348="EX",1,IF(DATOS!$G348="OR",--(COUNTIFS(nNIA,DATOS!$A348,nCURSO,DATOS!$D348,nESPEC,DATOS!$E348,nASIG,DATOS!$I348,nEVAL,"EX")=0),0))))</f>
      </c>
      <c r="H348">
        <f>IF(DATOS!$G348&lt;&gt;"EX",0,--(COUNTIFS(nNIA,DATOS!$A348,nCURSO,DATOS!$D348,nESPEC,DATOS!$E348,nASIG,DATOS!$I348,nEVAL,"OR")=0))</f>
      </c>
      <c r="I348">
        <f>IF(DATOS!$I348="","",IFERROR(VLOOKUP(DATOS!$I348,CONFIG_ASIGNATURAS!$B$2:$J$91,9,FALSE()),""))</f>
      </c>
    </row>
    <row r="349">
      <c r="F349">
        <f>IF(DATOS!$A349="","",DATOS!$A349&amp;"|"&amp;DATOS!$D349&amp;"|"&amp;DATOS!$E349&amp;"|"&amp;DATOS!$I349)</f>
      </c>
      <c r="G349">
        <f>IF(DATOS!$A349="",0,IF(CONFIG_METADATA!$B$4&lt;&gt;"OR+EX",--(DATOS!$G349=CONFIG_METADATA!$B$4),IF(DATOS!$G349="EX",1,IF(DATOS!$G349="OR",--(COUNTIFS(nNIA,DATOS!$A349,nCURSO,DATOS!$D349,nESPEC,DATOS!$E349,nASIG,DATOS!$I349,nEVAL,"EX")=0),0))))</f>
      </c>
      <c r="H349">
        <f>IF(DATOS!$G349&lt;&gt;"EX",0,--(COUNTIFS(nNIA,DATOS!$A349,nCURSO,DATOS!$D349,nESPEC,DATOS!$E349,nASIG,DATOS!$I349,nEVAL,"OR")=0))</f>
      </c>
      <c r="I349">
        <f>IF(DATOS!$I349="","",IFERROR(VLOOKUP(DATOS!$I349,CONFIG_ASIGNATURAS!$B$2:$J$91,9,FALSE()),""))</f>
      </c>
    </row>
    <row r="350">
      <c r="F350">
        <f>IF(DATOS!$A350="","",DATOS!$A350&amp;"|"&amp;DATOS!$D350&amp;"|"&amp;DATOS!$E350&amp;"|"&amp;DATOS!$I350)</f>
      </c>
      <c r="G350">
        <f>IF(DATOS!$A350="",0,IF(CONFIG_METADATA!$B$4&lt;&gt;"OR+EX",--(DATOS!$G350=CONFIG_METADATA!$B$4),IF(DATOS!$G350="EX",1,IF(DATOS!$G350="OR",--(COUNTIFS(nNIA,DATOS!$A350,nCURSO,DATOS!$D350,nESPEC,DATOS!$E350,nASIG,DATOS!$I350,nEVAL,"EX")=0),0))))</f>
      </c>
      <c r="H350">
        <f>IF(DATOS!$G350&lt;&gt;"EX",0,--(COUNTIFS(nNIA,DATOS!$A350,nCURSO,DATOS!$D350,nESPEC,DATOS!$E350,nASIG,DATOS!$I350,nEVAL,"OR")=0))</f>
      </c>
      <c r="I350">
        <f>IF(DATOS!$I350="","",IFERROR(VLOOKUP(DATOS!$I350,CONFIG_ASIGNATURAS!$B$2:$J$91,9,FALSE()),""))</f>
      </c>
    </row>
    <row r="351">
      <c r="F351">
        <f>IF(DATOS!$A351="","",DATOS!$A351&amp;"|"&amp;DATOS!$D351&amp;"|"&amp;DATOS!$E351&amp;"|"&amp;DATOS!$I351)</f>
      </c>
      <c r="G351">
        <f>IF(DATOS!$A351="",0,IF(CONFIG_METADATA!$B$4&lt;&gt;"OR+EX",--(DATOS!$G351=CONFIG_METADATA!$B$4),IF(DATOS!$G351="EX",1,IF(DATOS!$G351="OR",--(COUNTIFS(nNIA,DATOS!$A351,nCURSO,DATOS!$D351,nESPEC,DATOS!$E351,nASIG,DATOS!$I351,nEVAL,"EX")=0),0))))</f>
      </c>
      <c r="H351">
        <f>IF(DATOS!$G351&lt;&gt;"EX",0,--(COUNTIFS(nNIA,DATOS!$A351,nCURSO,DATOS!$D351,nESPEC,DATOS!$E351,nASIG,DATOS!$I351,nEVAL,"OR")=0))</f>
      </c>
      <c r="I351">
        <f>IF(DATOS!$I351="","",IFERROR(VLOOKUP(DATOS!$I351,CONFIG_ASIGNATURAS!$B$2:$J$91,9,FALSE()),""))</f>
      </c>
    </row>
    <row r="352">
      <c r="F352">
        <f>IF(DATOS!$A352="","",DATOS!$A352&amp;"|"&amp;DATOS!$D352&amp;"|"&amp;DATOS!$E352&amp;"|"&amp;DATOS!$I352)</f>
      </c>
      <c r="G352">
        <f>IF(DATOS!$A352="",0,IF(CONFIG_METADATA!$B$4&lt;&gt;"OR+EX",--(DATOS!$G352=CONFIG_METADATA!$B$4),IF(DATOS!$G352="EX",1,IF(DATOS!$G352="OR",--(COUNTIFS(nNIA,DATOS!$A352,nCURSO,DATOS!$D352,nESPEC,DATOS!$E352,nASIG,DATOS!$I352,nEVAL,"EX")=0),0))))</f>
      </c>
      <c r="H352">
        <f>IF(DATOS!$G352&lt;&gt;"EX",0,--(COUNTIFS(nNIA,DATOS!$A352,nCURSO,DATOS!$D352,nESPEC,DATOS!$E352,nASIG,DATOS!$I352,nEVAL,"OR")=0))</f>
      </c>
      <c r="I352">
        <f>IF(DATOS!$I352="","",IFERROR(VLOOKUP(DATOS!$I352,CONFIG_ASIGNATURAS!$B$2:$J$91,9,FALSE()),""))</f>
      </c>
    </row>
    <row r="353">
      <c r="F353">
        <f>IF(DATOS!$A353="","",DATOS!$A353&amp;"|"&amp;DATOS!$D353&amp;"|"&amp;DATOS!$E353&amp;"|"&amp;DATOS!$I353)</f>
      </c>
      <c r="G353">
        <f>IF(DATOS!$A353="",0,IF(CONFIG_METADATA!$B$4&lt;&gt;"OR+EX",--(DATOS!$G353=CONFIG_METADATA!$B$4),IF(DATOS!$G353="EX",1,IF(DATOS!$G353="OR",--(COUNTIFS(nNIA,DATOS!$A353,nCURSO,DATOS!$D353,nESPEC,DATOS!$E353,nASIG,DATOS!$I353,nEVAL,"EX")=0),0))))</f>
      </c>
      <c r="H353">
        <f>IF(DATOS!$G353&lt;&gt;"EX",0,--(COUNTIFS(nNIA,DATOS!$A353,nCURSO,DATOS!$D353,nESPEC,DATOS!$E353,nASIG,DATOS!$I353,nEVAL,"OR")=0))</f>
      </c>
      <c r="I353">
        <f>IF(DATOS!$I353="","",IFERROR(VLOOKUP(DATOS!$I353,CONFIG_ASIGNATURAS!$B$2:$J$91,9,FALSE()),""))</f>
      </c>
    </row>
    <row r="354">
      <c r="F354">
        <f>IF(DATOS!$A354="","",DATOS!$A354&amp;"|"&amp;DATOS!$D354&amp;"|"&amp;DATOS!$E354&amp;"|"&amp;DATOS!$I354)</f>
      </c>
      <c r="G354">
        <f>IF(DATOS!$A354="",0,IF(CONFIG_METADATA!$B$4&lt;&gt;"OR+EX",--(DATOS!$G354=CONFIG_METADATA!$B$4),IF(DATOS!$G354="EX",1,IF(DATOS!$G354="OR",--(COUNTIFS(nNIA,DATOS!$A354,nCURSO,DATOS!$D354,nESPEC,DATOS!$E354,nASIG,DATOS!$I354,nEVAL,"EX")=0),0))))</f>
      </c>
      <c r="H354">
        <f>IF(DATOS!$G354&lt;&gt;"EX",0,--(COUNTIFS(nNIA,DATOS!$A354,nCURSO,DATOS!$D354,nESPEC,DATOS!$E354,nASIG,DATOS!$I354,nEVAL,"OR")=0))</f>
      </c>
      <c r="I354">
        <f>IF(DATOS!$I354="","",IFERROR(VLOOKUP(DATOS!$I354,CONFIG_ASIGNATURAS!$B$2:$J$91,9,FALSE()),""))</f>
      </c>
    </row>
    <row r="355">
      <c r="F355">
        <f>IF(DATOS!$A355="","",DATOS!$A355&amp;"|"&amp;DATOS!$D355&amp;"|"&amp;DATOS!$E355&amp;"|"&amp;DATOS!$I355)</f>
      </c>
      <c r="G355">
        <f>IF(DATOS!$A355="",0,IF(CONFIG_METADATA!$B$4&lt;&gt;"OR+EX",--(DATOS!$G355=CONFIG_METADATA!$B$4),IF(DATOS!$G355="EX",1,IF(DATOS!$G355="OR",--(COUNTIFS(nNIA,DATOS!$A355,nCURSO,DATOS!$D355,nESPEC,DATOS!$E355,nASIG,DATOS!$I355,nEVAL,"EX")=0),0))))</f>
      </c>
      <c r="H355">
        <f>IF(DATOS!$G355&lt;&gt;"EX",0,--(COUNTIFS(nNIA,DATOS!$A355,nCURSO,DATOS!$D355,nESPEC,DATOS!$E355,nASIG,DATOS!$I355,nEVAL,"OR")=0))</f>
      </c>
      <c r="I355">
        <f>IF(DATOS!$I355="","",IFERROR(VLOOKUP(DATOS!$I355,CONFIG_ASIGNATURAS!$B$2:$J$91,9,FALSE()),""))</f>
      </c>
    </row>
    <row r="356">
      <c r="F356">
        <f>IF(DATOS!$A356="","",DATOS!$A356&amp;"|"&amp;DATOS!$D356&amp;"|"&amp;DATOS!$E356&amp;"|"&amp;DATOS!$I356)</f>
      </c>
      <c r="G356">
        <f>IF(DATOS!$A356="",0,IF(CONFIG_METADATA!$B$4&lt;&gt;"OR+EX",--(DATOS!$G356=CONFIG_METADATA!$B$4),IF(DATOS!$G356="EX",1,IF(DATOS!$G356="OR",--(COUNTIFS(nNIA,DATOS!$A356,nCURSO,DATOS!$D356,nESPEC,DATOS!$E356,nASIG,DATOS!$I356,nEVAL,"EX")=0),0))))</f>
      </c>
      <c r="H356">
        <f>IF(DATOS!$G356&lt;&gt;"EX",0,--(COUNTIFS(nNIA,DATOS!$A356,nCURSO,DATOS!$D356,nESPEC,DATOS!$E356,nASIG,DATOS!$I356,nEVAL,"OR")=0))</f>
      </c>
      <c r="I356">
        <f>IF(DATOS!$I356="","",IFERROR(VLOOKUP(DATOS!$I356,CONFIG_ASIGNATURAS!$B$2:$J$91,9,FALSE()),""))</f>
      </c>
    </row>
    <row r="357">
      <c r="F357">
        <f>IF(DATOS!$A357="","",DATOS!$A357&amp;"|"&amp;DATOS!$D357&amp;"|"&amp;DATOS!$E357&amp;"|"&amp;DATOS!$I357)</f>
      </c>
      <c r="G357">
        <f>IF(DATOS!$A357="",0,IF(CONFIG_METADATA!$B$4&lt;&gt;"OR+EX",--(DATOS!$G357=CONFIG_METADATA!$B$4),IF(DATOS!$G357="EX",1,IF(DATOS!$G357="OR",--(COUNTIFS(nNIA,DATOS!$A357,nCURSO,DATOS!$D357,nESPEC,DATOS!$E357,nASIG,DATOS!$I357,nEVAL,"EX")=0),0))))</f>
      </c>
      <c r="H357">
        <f>IF(DATOS!$G357&lt;&gt;"EX",0,--(COUNTIFS(nNIA,DATOS!$A357,nCURSO,DATOS!$D357,nESPEC,DATOS!$E357,nASIG,DATOS!$I357,nEVAL,"OR")=0))</f>
      </c>
      <c r="I357">
        <f>IF(DATOS!$I357="","",IFERROR(VLOOKUP(DATOS!$I357,CONFIG_ASIGNATURAS!$B$2:$J$91,9,FALSE()),""))</f>
      </c>
    </row>
    <row r="358">
      <c r="F358">
        <f>IF(DATOS!$A358="","",DATOS!$A358&amp;"|"&amp;DATOS!$D358&amp;"|"&amp;DATOS!$E358&amp;"|"&amp;DATOS!$I358)</f>
      </c>
      <c r="G358">
        <f>IF(DATOS!$A358="",0,IF(CONFIG_METADATA!$B$4&lt;&gt;"OR+EX",--(DATOS!$G358=CONFIG_METADATA!$B$4),IF(DATOS!$G358="EX",1,IF(DATOS!$G358="OR",--(COUNTIFS(nNIA,DATOS!$A358,nCURSO,DATOS!$D358,nESPEC,DATOS!$E358,nASIG,DATOS!$I358,nEVAL,"EX")=0),0))))</f>
      </c>
      <c r="H358">
        <f>IF(DATOS!$G358&lt;&gt;"EX",0,--(COUNTIFS(nNIA,DATOS!$A358,nCURSO,DATOS!$D358,nESPEC,DATOS!$E358,nASIG,DATOS!$I358,nEVAL,"OR")=0))</f>
      </c>
      <c r="I358">
        <f>IF(DATOS!$I358="","",IFERROR(VLOOKUP(DATOS!$I358,CONFIG_ASIGNATURAS!$B$2:$J$91,9,FALSE()),""))</f>
      </c>
    </row>
    <row r="359">
      <c r="F359">
        <f>IF(DATOS!$A359="","",DATOS!$A359&amp;"|"&amp;DATOS!$D359&amp;"|"&amp;DATOS!$E359&amp;"|"&amp;DATOS!$I359)</f>
      </c>
      <c r="G359">
        <f>IF(DATOS!$A359="",0,IF(CONFIG_METADATA!$B$4&lt;&gt;"OR+EX",--(DATOS!$G359=CONFIG_METADATA!$B$4),IF(DATOS!$G359="EX",1,IF(DATOS!$G359="OR",--(COUNTIFS(nNIA,DATOS!$A359,nCURSO,DATOS!$D359,nESPEC,DATOS!$E359,nASIG,DATOS!$I359,nEVAL,"EX")=0),0))))</f>
      </c>
      <c r="H359">
        <f>IF(DATOS!$G359&lt;&gt;"EX",0,--(COUNTIFS(nNIA,DATOS!$A359,nCURSO,DATOS!$D359,nESPEC,DATOS!$E359,nASIG,DATOS!$I359,nEVAL,"OR")=0))</f>
      </c>
      <c r="I359">
        <f>IF(DATOS!$I359="","",IFERROR(VLOOKUP(DATOS!$I359,CONFIG_ASIGNATURAS!$B$2:$J$91,9,FALSE()),""))</f>
      </c>
    </row>
    <row r="360">
      <c r="F360">
        <f>IF(DATOS!$A360="","",DATOS!$A360&amp;"|"&amp;DATOS!$D360&amp;"|"&amp;DATOS!$E360&amp;"|"&amp;DATOS!$I360)</f>
      </c>
      <c r="G360">
        <f>IF(DATOS!$A360="",0,IF(CONFIG_METADATA!$B$4&lt;&gt;"OR+EX",--(DATOS!$G360=CONFIG_METADATA!$B$4),IF(DATOS!$G360="EX",1,IF(DATOS!$G360="OR",--(COUNTIFS(nNIA,DATOS!$A360,nCURSO,DATOS!$D360,nESPEC,DATOS!$E360,nASIG,DATOS!$I360,nEVAL,"EX")=0),0))))</f>
      </c>
      <c r="H360">
        <f>IF(DATOS!$G360&lt;&gt;"EX",0,--(COUNTIFS(nNIA,DATOS!$A360,nCURSO,DATOS!$D360,nESPEC,DATOS!$E360,nASIG,DATOS!$I360,nEVAL,"OR")=0))</f>
      </c>
      <c r="I360">
        <f>IF(DATOS!$I360="","",IFERROR(VLOOKUP(DATOS!$I360,CONFIG_ASIGNATURAS!$B$2:$J$91,9,FALSE()),""))</f>
      </c>
    </row>
    <row r="361">
      <c r="F361">
        <f>IF(DATOS!$A361="","",DATOS!$A361&amp;"|"&amp;DATOS!$D361&amp;"|"&amp;DATOS!$E361&amp;"|"&amp;DATOS!$I361)</f>
      </c>
      <c r="G361">
        <f>IF(DATOS!$A361="",0,IF(CONFIG_METADATA!$B$4&lt;&gt;"OR+EX",--(DATOS!$G361=CONFIG_METADATA!$B$4),IF(DATOS!$G361="EX",1,IF(DATOS!$G361="OR",--(COUNTIFS(nNIA,DATOS!$A361,nCURSO,DATOS!$D361,nESPEC,DATOS!$E361,nASIG,DATOS!$I361,nEVAL,"EX")=0),0))))</f>
      </c>
      <c r="H361">
        <f>IF(DATOS!$G361&lt;&gt;"EX",0,--(COUNTIFS(nNIA,DATOS!$A361,nCURSO,DATOS!$D361,nESPEC,DATOS!$E361,nASIG,DATOS!$I361,nEVAL,"OR")=0))</f>
      </c>
      <c r="I361">
        <f>IF(DATOS!$I361="","",IFERROR(VLOOKUP(DATOS!$I361,CONFIG_ASIGNATURAS!$B$2:$J$91,9,FALSE()),""))</f>
      </c>
    </row>
    <row r="362">
      <c r="F362">
        <f>IF(DATOS!$A362="","",DATOS!$A362&amp;"|"&amp;DATOS!$D362&amp;"|"&amp;DATOS!$E362&amp;"|"&amp;DATOS!$I362)</f>
      </c>
      <c r="G362">
        <f>IF(DATOS!$A362="",0,IF(CONFIG_METADATA!$B$4&lt;&gt;"OR+EX",--(DATOS!$G362=CONFIG_METADATA!$B$4),IF(DATOS!$G362="EX",1,IF(DATOS!$G362="OR",--(COUNTIFS(nNIA,DATOS!$A362,nCURSO,DATOS!$D362,nESPEC,DATOS!$E362,nASIG,DATOS!$I362,nEVAL,"EX")=0),0))))</f>
      </c>
      <c r="H362">
        <f>IF(DATOS!$G362&lt;&gt;"EX",0,--(COUNTIFS(nNIA,DATOS!$A362,nCURSO,DATOS!$D362,nESPEC,DATOS!$E362,nASIG,DATOS!$I362,nEVAL,"OR")=0))</f>
      </c>
      <c r="I362">
        <f>IF(DATOS!$I362="","",IFERROR(VLOOKUP(DATOS!$I362,CONFIG_ASIGNATURAS!$B$2:$J$91,9,FALSE()),""))</f>
      </c>
    </row>
    <row r="363">
      <c r="F363">
        <f>IF(DATOS!$A363="","",DATOS!$A363&amp;"|"&amp;DATOS!$D363&amp;"|"&amp;DATOS!$E363&amp;"|"&amp;DATOS!$I363)</f>
      </c>
      <c r="G363">
        <f>IF(DATOS!$A363="",0,IF(CONFIG_METADATA!$B$4&lt;&gt;"OR+EX",--(DATOS!$G363=CONFIG_METADATA!$B$4),IF(DATOS!$G363="EX",1,IF(DATOS!$G363="OR",--(COUNTIFS(nNIA,DATOS!$A363,nCURSO,DATOS!$D363,nESPEC,DATOS!$E363,nASIG,DATOS!$I363,nEVAL,"EX")=0),0))))</f>
      </c>
      <c r="H363">
        <f>IF(DATOS!$G363&lt;&gt;"EX",0,--(COUNTIFS(nNIA,DATOS!$A363,nCURSO,DATOS!$D363,nESPEC,DATOS!$E363,nASIG,DATOS!$I363,nEVAL,"OR")=0))</f>
      </c>
      <c r="I363">
        <f>IF(DATOS!$I363="","",IFERROR(VLOOKUP(DATOS!$I363,CONFIG_ASIGNATURAS!$B$2:$J$91,9,FALSE()),""))</f>
      </c>
    </row>
    <row r="364">
      <c r="F364">
        <f>IF(DATOS!$A364="","",DATOS!$A364&amp;"|"&amp;DATOS!$D364&amp;"|"&amp;DATOS!$E364&amp;"|"&amp;DATOS!$I364)</f>
      </c>
      <c r="G364">
        <f>IF(DATOS!$A364="",0,IF(CONFIG_METADATA!$B$4&lt;&gt;"OR+EX",--(DATOS!$G364=CONFIG_METADATA!$B$4),IF(DATOS!$G364="EX",1,IF(DATOS!$G364="OR",--(COUNTIFS(nNIA,DATOS!$A364,nCURSO,DATOS!$D364,nESPEC,DATOS!$E364,nASIG,DATOS!$I364,nEVAL,"EX")=0),0))))</f>
      </c>
      <c r="H364">
        <f>IF(DATOS!$G364&lt;&gt;"EX",0,--(COUNTIFS(nNIA,DATOS!$A364,nCURSO,DATOS!$D364,nESPEC,DATOS!$E364,nASIG,DATOS!$I364,nEVAL,"OR")=0))</f>
      </c>
      <c r="I364">
        <f>IF(DATOS!$I364="","",IFERROR(VLOOKUP(DATOS!$I364,CONFIG_ASIGNATURAS!$B$2:$J$91,9,FALSE()),""))</f>
      </c>
    </row>
    <row r="365">
      <c r="F365">
        <f>IF(DATOS!$A365="","",DATOS!$A365&amp;"|"&amp;DATOS!$D365&amp;"|"&amp;DATOS!$E365&amp;"|"&amp;DATOS!$I365)</f>
      </c>
      <c r="G365">
        <f>IF(DATOS!$A365="",0,IF(CONFIG_METADATA!$B$4&lt;&gt;"OR+EX",--(DATOS!$G365=CONFIG_METADATA!$B$4),IF(DATOS!$G365="EX",1,IF(DATOS!$G365="OR",--(COUNTIFS(nNIA,DATOS!$A365,nCURSO,DATOS!$D365,nESPEC,DATOS!$E365,nASIG,DATOS!$I365,nEVAL,"EX")=0),0))))</f>
      </c>
      <c r="H365">
        <f>IF(DATOS!$G365&lt;&gt;"EX",0,--(COUNTIFS(nNIA,DATOS!$A365,nCURSO,DATOS!$D365,nESPEC,DATOS!$E365,nASIG,DATOS!$I365,nEVAL,"OR")=0))</f>
      </c>
      <c r="I365">
        <f>IF(DATOS!$I365="","",IFERROR(VLOOKUP(DATOS!$I365,CONFIG_ASIGNATURAS!$B$2:$J$91,9,FALSE()),""))</f>
      </c>
    </row>
    <row r="366">
      <c r="F366">
        <f>IF(DATOS!$A366="","",DATOS!$A366&amp;"|"&amp;DATOS!$D366&amp;"|"&amp;DATOS!$E366&amp;"|"&amp;DATOS!$I366)</f>
      </c>
      <c r="G366">
        <f>IF(DATOS!$A366="",0,IF(CONFIG_METADATA!$B$4&lt;&gt;"OR+EX",--(DATOS!$G366=CONFIG_METADATA!$B$4),IF(DATOS!$G366="EX",1,IF(DATOS!$G366="OR",--(COUNTIFS(nNIA,DATOS!$A366,nCURSO,DATOS!$D366,nESPEC,DATOS!$E366,nASIG,DATOS!$I366,nEVAL,"EX")=0),0))))</f>
      </c>
      <c r="H366">
        <f>IF(DATOS!$G366&lt;&gt;"EX",0,--(COUNTIFS(nNIA,DATOS!$A366,nCURSO,DATOS!$D366,nESPEC,DATOS!$E366,nASIG,DATOS!$I366,nEVAL,"OR")=0))</f>
      </c>
      <c r="I366">
        <f>IF(DATOS!$I366="","",IFERROR(VLOOKUP(DATOS!$I366,CONFIG_ASIGNATURAS!$B$2:$J$91,9,FALSE()),""))</f>
      </c>
    </row>
    <row r="367">
      <c r="F367">
        <f>IF(DATOS!$A367="","",DATOS!$A367&amp;"|"&amp;DATOS!$D367&amp;"|"&amp;DATOS!$E367&amp;"|"&amp;DATOS!$I367)</f>
      </c>
      <c r="G367">
        <f>IF(DATOS!$A367="",0,IF(CONFIG_METADATA!$B$4&lt;&gt;"OR+EX",--(DATOS!$G367=CONFIG_METADATA!$B$4),IF(DATOS!$G367="EX",1,IF(DATOS!$G367="OR",--(COUNTIFS(nNIA,DATOS!$A367,nCURSO,DATOS!$D367,nESPEC,DATOS!$E367,nASIG,DATOS!$I367,nEVAL,"EX")=0),0))))</f>
      </c>
      <c r="H367">
        <f>IF(DATOS!$G367&lt;&gt;"EX",0,--(COUNTIFS(nNIA,DATOS!$A367,nCURSO,DATOS!$D367,nESPEC,DATOS!$E367,nASIG,DATOS!$I367,nEVAL,"OR")=0))</f>
      </c>
      <c r="I367">
        <f>IF(DATOS!$I367="","",IFERROR(VLOOKUP(DATOS!$I367,CONFIG_ASIGNATURAS!$B$2:$J$91,9,FALSE()),""))</f>
      </c>
    </row>
    <row r="368">
      <c r="F368">
        <f>IF(DATOS!$A368="","",DATOS!$A368&amp;"|"&amp;DATOS!$D368&amp;"|"&amp;DATOS!$E368&amp;"|"&amp;DATOS!$I368)</f>
      </c>
      <c r="G368">
        <f>IF(DATOS!$A368="",0,IF(CONFIG_METADATA!$B$4&lt;&gt;"OR+EX",--(DATOS!$G368=CONFIG_METADATA!$B$4),IF(DATOS!$G368="EX",1,IF(DATOS!$G368="OR",--(COUNTIFS(nNIA,DATOS!$A368,nCURSO,DATOS!$D368,nESPEC,DATOS!$E368,nASIG,DATOS!$I368,nEVAL,"EX")=0),0))))</f>
      </c>
      <c r="H368">
        <f>IF(DATOS!$G368&lt;&gt;"EX",0,--(COUNTIFS(nNIA,DATOS!$A368,nCURSO,DATOS!$D368,nESPEC,DATOS!$E368,nASIG,DATOS!$I368,nEVAL,"OR")=0))</f>
      </c>
      <c r="I368">
        <f>IF(DATOS!$I368="","",IFERROR(VLOOKUP(DATOS!$I368,CONFIG_ASIGNATURAS!$B$2:$J$91,9,FALSE()),""))</f>
      </c>
    </row>
    <row r="369">
      <c r="F369">
        <f>IF(DATOS!$A369="","",DATOS!$A369&amp;"|"&amp;DATOS!$D369&amp;"|"&amp;DATOS!$E369&amp;"|"&amp;DATOS!$I369)</f>
      </c>
      <c r="G369">
        <f>IF(DATOS!$A369="",0,IF(CONFIG_METADATA!$B$4&lt;&gt;"OR+EX",--(DATOS!$G369=CONFIG_METADATA!$B$4),IF(DATOS!$G369="EX",1,IF(DATOS!$G369="OR",--(COUNTIFS(nNIA,DATOS!$A369,nCURSO,DATOS!$D369,nESPEC,DATOS!$E369,nASIG,DATOS!$I369,nEVAL,"EX")=0),0))))</f>
      </c>
      <c r="H369">
        <f>IF(DATOS!$G369&lt;&gt;"EX",0,--(COUNTIFS(nNIA,DATOS!$A369,nCURSO,DATOS!$D369,nESPEC,DATOS!$E369,nASIG,DATOS!$I369,nEVAL,"OR")=0))</f>
      </c>
      <c r="I369">
        <f>IF(DATOS!$I369="","",IFERROR(VLOOKUP(DATOS!$I369,CONFIG_ASIGNATURAS!$B$2:$J$91,9,FALSE()),""))</f>
      </c>
    </row>
    <row r="370">
      <c r="F370">
        <f>IF(DATOS!$A370="","",DATOS!$A370&amp;"|"&amp;DATOS!$D370&amp;"|"&amp;DATOS!$E370&amp;"|"&amp;DATOS!$I370)</f>
      </c>
      <c r="G370">
        <f>IF(DATOS!$A370="",0,IF(CONFIG_METADATA!$B$4&lt;&gt;"OR+EX",--(DATOS!$G370=CONFIG_METADATA!$B$4),IF(DATOS!$G370="EX",1,IF(DATOS!$G370="OR",--(COUNTIFS(nNIA,DATOS!$A370,nCURSO,DATOS!$D370,nESPEC,DATOS!$E370,nASIG,DATOS!$I370,nEVAL,"EX")=0),0))))</f>
      </c>
      <c r="H370">
        <f>IF(DATOS!$G370&lt;&gt;"EX",0,--(COUNTIFS(nNIA,DATOS!$A370,nCURSO,DATOS!$D370,nESPEC,DATOS!$E370,nASIG,DATOS!$I370,nEVAL,"OR")=0))</f>
      </c>
      <c r="I370">
        <f>IF(DATOS!$I370="","",IFERROR(VLOOKUP(DATOS!$I370,CONFIG_ASIGNATURAS!$B$2:$J$91,9,FALSE()),""))</f>
      </c>
    </row>
    <row r="371">
      <c r="F371">
        <f>IF(DATOS!$A371="","",DATOS!$A371&amp;"|"&amp;DATOS!$D371&amp;"|"&amp;DATOS!$E371&amp;"|"&amp;DATOS!$I371)</f>
      </c>
      <c r="G371">
        <f>IF(DATOS!$A371="",0,IF(CONFIG_METADATA!$B$4&lt;&gt;"OR+EX",--(DATOS!$G371=CONFIG_METADATA!$B$4),IF(DATOS!$G371="EX",1,IF(DATOS!$G371="OR",--(COUNTIFS(nNIA,DATOS!$A371,nCURSO,DATOS!$D371,nESPEC,DATOS!$E371,nASIG,DATOS!$I371,nEVAL,"EX")=0),0))))</f>
      </c>
      <c r="H371">
        <f>IF(DATOS!$G371&lt;&gt;"EX",0,--(COUNTIFS(nNIA,DATOS!$A371,nCURSO,DATOS!$D371,nESPEC,DATOS!$E371,nASIG,DATOS!$I371,nEVAL,"OR")=0))</f>
      </c>
      <c r="I371">
        <f>IF(DATOS!$I371="","",IFERROR(VLOOKUP(DATOS!$I371,CONFIG_ASIGNATURAS!$B$2:$J$91,9,FALSE()),""))</f>
      </c>
    </row>
    <row r="372">
      <c r="F372">
        <f>IF(DATOS!$A372="","",DATOS!$A372&amp;"|"&amp;DATOS!$D372&amp;"|"&amp;DATOS!$E372&amp;"|"&amp;DATOS!$I372)</f>
      </c>
      <c r="G372">
        <f>IF(DATOS!$A372="",0,IF(CONFIG_METADATA!$B$4&lt;&gt;"OR+EX",--(DATOS!$G372=CONFIG_METADATA!$B$4),IF(DATOS!$G372="EX",1,IF(DATOS!$G372="OR",--(COUNTIFS(nNIA,DATOS!$A372,nCURSO,DATOS!$D372,nESPEC,DATOS!$E372,nASIG,DATOS!$I372,nEVAL,"EX")=0),0))))</f>
      </c>
      <c r="H372">
        <f>IF(DATOS!$G372&lt;&gt;"EX",0,--(COUNTIFS(nNIA,DATOS!$A372,nCURSO,DATOS!$D372,nESPEC,DATOS!$E372,nASIG,DATOS!$I372,nEVAL,"OR")=0))</f>
      </c>
      <c r="I372">
        <f>IF(DATOS!$I372="","",IFERROR(VLOOKUP(DATOS!$I372,CONFIG_ASIGNATURAS!$B$2:$J$91,9,FALSE()),""))</f>
      </c>
    </row>
    <row r="373">
      <c r="F373">
        <f>IF(DATOS!$A373="","",DATOS!$A373&amp;"|"&amp;DATOS!$D373&amp;"|"&amp;DATOS!$E373&amp;"|"&amp;DATOS!$I373)</f>
      </c>
      <c r="G373">
        <f>IF(DATOS!$A373="",0,IF(CONFIG_METADATA!$B$4&lt;&gt;"OR+EX",--(DATOS!$G373=CONFIG_METADATA!$B$4),IF(DATOS!$G373="EX",1,IF(DATOS!$G373="OR",--(COUNTIFS(nNIA,DATOS!$A373,nCURSO,DATOS!$D373,nESPEC,DATOS!$E373,nASIG,DATOS!$I373,nEVAL,"EX")=0),0))))</f>
      </c>
      <c r="H373">
        <f>IF(DATOS!$G373&lt;&gt;"EX",0,--(COUNTIFS(nNIA,DATOS!$A373,nCURSO,DATOS!$D373,nESPEC,DATOS!$E373,nASIG,DATOS!$I373,nEVAL,"OR")=0))</f>
      </c>
      <c r="I373">
        <f>IF(DATOS!$I373="","",IFERROR(VLOOKUP(DATOS!$I373,CONFIG_ASIGNATURAS!$B$2:$J$91,9,FALSE()),""))</f>
      </c>
    </row>
    <row r="374">
      <c r="F374">
        <f>IF(DATOS!$A374="","",DATOS!$A374&amp;"|"&amp;DATOS!$D374&amp;"|"&amp;DATOS!$E374&amp;"|"&amp;DATOS!$I374)</f>
      </c>
      <c r="G374">
        <f>IF(DATOS!$A374="",0,IF(CONFIG_METADATA!$B$4&lt;&gt;"OR+EX",--(DATOS!$G374=CONFIG_METADATA!$B$4),IF(DATOS!$G374="EX",1,IF(DATOS!$G374="OR",--(COUNTIFS(nNIA,DATOS!$A374,nCURSO,DATOS!$D374,nESPEC,DATOS!$E374,nASIG,DATOS!$I374,nEVAL,"EX")=0),0))))</f>
      </c>
      <c r="H374">
        <f>IF(DATOS!$G374&lt;&gt;"EX",0,--(COUNTIFS(nNIA,DATOS!$A374,nCURSO,DATOS!$D374,nESPEC,DATOS!$E374,nASIG,DATOS!$I374,nEVAL,"OR")=0))</f>
      </c>
      <c r="I374">
        <f>IF(DATOS!$I374="","",IFERROR(VLOOKUP(DATOS!$I374,CONFIG_ASIGNATURAS!$B$2:$J$91,9,FALSE()),""))</f>
      </c>
    </row>
    <row r="375">
      <c r="F375">
        <f>IF(DATOS!$A375="","",DATOS!$A375&amp;"|"&amp;DATOS!$D375&amp;"|"&amp;DATOS!$E375&amp;"|"&amp;DATOS!$I375)</f>
      </c>
      <c r="G375">
        <f>IF(DATOS!$A375="",0,IF(CONFIG_METADATA!$B$4&lt;&gt;"OR+EX",--(DATOS!$G375=CONFIG_METADATA!$B$4),IF(DATOS!$G375="EX",1,IF(DATOS!$G375="OR",--(COUNTIFS(nNIA,DATOS!$A375,nCURSO,DATOS!$D375,nESPEC,DATOS!$E375,nASIG,DATOS!$I375,nEVAL,"EX")=0),0))))</f>
      </c>
      <c r="H375">
        <f>IF(DATOS!$G375&lt;&gt;"EX",0,--(COUNTIFS(nNIA,DATOS!$A375,nCURSO,DATOS!$D375,nESPEC,DATOS!$E375,nASIG,DATOS!$I375,nEVAL,"OR")=0))</f>
      </c>
      <c r="I375">
        <f>IF(DATOS!$I375="","",IFERROR(VLOOKUP(DATOS!$I375,CONFIG_ASIGNATURAS!$B$2:$J$91,9,FALSE()),""))</f>
      </c>
    </row>
    <row r="376">
      <c r="F376">
        <f>IF(DATOS!$A376="","",DATOS!$A376&amp;"|"&amp;DATOS!$D376&amp;"|"&amp;DATOS!$E376&amp;"|"&amp;DATOS!$I376)</f>
      </c>
      <c r="G376">
        <f>IF(DATOS!$A376="",0,IF(CONFIG_METADATA!$B$4&lt;&gt;"OR+EX",--(DATOS!$G376=CONFIG_METADATA!$B$4),IF(DATOS!$G376="EX",1,IF(DATOS!$G376="OR",--(COUNTIFS(nNIA,DATOS!$A376,nCURSO,DATOS!$D376,nESPEC,DATOS!$E376,nASIG,DATOS!$I376,nEVAL,"EX")=0),0))))</f>
      </c>
      <c r="H376">
        <f>IF(DATOS!$G376&lt;&gt;"EX",0,--(COUNTIFS(nNIA,DATOS!$A376,nCURSO,DATOS!$D376,nESPEC,DATOS!$E376,nASIG,DATOS!$I376,nEVAL,"OR")=0))</f>
      </c>
      <c r="I376">
        <f>IF(DATOS!$I376="","",IFERROR(VLOOKUP(DATOS!$I376,CONFIG_ASIGNATURAS!$B$2:$J$91,9,FALSE()),""))</f>
      </c>
    </row>
    <row r="377">
      <c r="F377">
        <f>IF(DATOS!$A377="","",DATOS!$A377&amp;"|"&amp;DATOS!$D377&amp;"|"&amp;DATOS!$E377&amp;"|"&amp;DATOS!$I377)</f>
      </c>
      <c r="G377">
        <f>IF(DATOS!$A377="",0,IF(CONFIG_METADATA!$B$4&lt;&gt;"OR+EX",--(DATOS!$G377=CONFIG_METADATA!$B$4),IF(DATOS!$G377="EX",1,IF(DATOS!$G377="OR",--(COUNTIFS(nNIA,DATOS!$A377,nCURSO,DATOS!$D377,nESPEC,DATOS!$E377,nASIG,DATOS!$I377,nEVAL,"EX")=0),0))))</f>
      </c>
      <c r="H377">
        <f>IF(DATOS!$G377&lt;&gt;"EX",0,--(COUNTIFS(nNIA,DATOS!$A377,nCURSO,DATOS!$D377,nESPEC,DATOS!$E377,nASIG,DATOS!$I377,nEVAL,"OR")=0))</f>
      </c>
      <c r="I377">
        <f>IF(DATOS!$I377="","",IFERROR(VLOOKUP(DATOS!$I377,CONFIG_ASIGNATURAS!$B$2:$J$91,9,FALSE()),""))</f>
      </c>
    </row>
    <row r="378">
      <c r="F378">
        <f>IF(DATOS!$A378="","",DATOS!$A378&amp;"|"&amp;DATOS!$D378&amp;"|"&amp;DATOS!$E378&amp;"|"&amp;DATOS!$I378)</f>
      </c>
      <c r="G378">
        <f>IF(DATOS!$A378="",0,IF(CONFIG_METADATA!$B$4&lt;&gt;"OR+EX",--(DATOS!$G378=CONFIG_METADATA!$B$4),IF(DATOS!$G378="EX",1,IF(DATOS!$G378="OR",--(COUNTIFS(nNIA,DATOS!$A378,nCURSO,DATOS!$D378,nESPEC,DATOS!$E378,nASIG,DATOS!$I378,nEVAL,"EX")=0),0))))</f>
      </c>
      <c r="H378">
        <f>IF(DATOS!$G378&lt;&gt;"EX",0,--(COUNTIFS(nNIA,DATOS!$A378,nCURSO,DATOS!$D378,nESPEC,DATOS!$E378,nASIG,DATOS!$I378,nEVAL,"OR")=0))</f>
      </c>
      <c r="I378">
        <f>IF(DATOS!$I378="","",IFERROR(VLOOKUP(DATOS!$I378,CONFIG_ASIGNATURAS!$B$2:$J$91,9,FALSE()),""))</f>
      </c>
    </row>
    <row r="379">
      <c r="F379">
        <f>IF(DATOS!$A379="","",DATOS!$A379&amp;"|"&amp;DATOS!$D379&amp;"|"&amp;DATOS!$E379&amp;"|"&amp;DATOS!$I379)</f>
      </c>
      <c r="G379">
        <f>IF(DATOS!$A379="",0,IF(CONFIG_METADATA!$B$4&lt;&gt;"OR+EX",--(DATOS!$G379=CONFIG_METADATA!$B$4),IF(DATOS!$G379="EX",1,IF(DATOS!$G379="OR",--(COUNTIFS(nNIA,DATOS!$A379,nCURSO,DATOS!$D379,nESPEC,DATOS!$E379,nASIG,DATOS!$I379,nEVAL,"EX")=0),0))))</f>
      </c>
      <c r="H379">
        <f>IF(DATOS!$G379&lt;&gt;"EX",0,--(COUNTIFS(nNIA,DATOS!$A379,nCURSO,DATOS!$D379,nESPEC,DATOS!$E379,nASIG,DATOS!$I379,nEVAL,"OR")=0))</f>
      </c>
      <c r="I379">
        <f>IF(DATOS!$I379="","",IFERROR(VLOOKUP(DATOS!$I379,CONFIG_ASIGNATURAS!$B$2:$J$91,9,FALSE()),""))</f>
      </c>
    </row>
    <row r="380">
      <c r="F380">
        <f>IF(DATOS!$A380="","",DATOS!$A380&amp;"|"&amp;DATOS!$D380&amp;"|"&amp;DATOS!$E380&amp;"|"&amp;DATOS!$I380)</f>
      </c>
      <c r="G380">
        <f>IF(DATOS!$A380="",0,IF(CONFIG_METADATA!$B$4&lt;&gt;"OR+EX",--(DATOS!$G380=CONFIG_METADATA!$B$4),IF(DATOS!$G380="EX",1,IF(DATOS!$G380="OR",--(COUNTIFS(nNIA,DATOS!$A380,nCURSO,DATOS!$D380,nESPEC,DATOS!$E380,nASIG,DATOS!$I380,nEVAL,"EX")=0),0))))</f>
      </c>
      <c r="H380">
        <f>IF(DATOS!$G380&lt;&gt;"EX",0,--(COUNTIFS(nNIA,DATOS!$A380,nCURSO,DATOS!$D380,nESPEC,DATOS!$E380,nASIG,DATOS!$I380,nEVAL,"OR")=0))</f>
      </c>
      <c r="I380">
        <f>IF(DATOS!$I380="","",IFERROR(VLOOKUP(DATOS!$I380,CONFIG_ASIGNATURAS!$B$2:$J$91,9,FALSE()),""))</f>
      </c>
    </row>
    <row r="381">
      <c r="F381">
        <f>IF(DATOS!$A381="","",DATOS!$A381&amp;"|"&amp;DATOS!$D381&amp;"|"&amp;DATOS!$E381&amp;"|"&amp;DATOS!$I381)</f>
      </c>
      <c r="G381">
        <f>IF(DATOS!$A381="",0,IF(CONFIG_METADATA!$B$4&lt;&gt;"OR+EX",--(DATOS!$G381=CONFIG_METADATA!$B$4),IF(DATOS!$G381="EX",1,IF(DATOS!$G381="OR",--(COUNTIFS(nNIA,DATOS!$A381,nCURSO,DATOS!$D381,nESPEC,DATOS!$E381,nASIG,DATOS!$I381,nEVAL,"EX")=0),0))))</f>
      </c>
      <c r="H381">
        <f>IF(DATOS!$G381&lt;&gt;"EX",0,--(COUNTIFS(nNIA,DATOS!$A381,nCURSO,DATOS!$D381,nESPEC,DATOS!$E381,nASIG,DATOS!$I381,nEVAL,"OR")=0))</f>
      </c>
      <c r="I381">
        <f>IF(DATOS!$I381="","",IFERROR(VLOOKUP(DATOS!$I381,CONFIG_ASIGNATURAS!$B$2:$J$91,9,FALSE()),""))</f>
      </c>
    </row>
    <row r="382">
      <c r="F382">
        <f>IF(DATOS!$A382="","",DATOS!$A382&amp;"|"&amp;DATOS!$D382&amp;"|"&amp;DATOS!$E382&amp;"|"&amp;DATOS!$I382)</f>
      </c>
      <c r="G382">
        <f>IF(DATOS!$A382="",0,IF(CONFIG_METADATA!$B$4&lt;&gt;"OR+EX",--(DATOS!$G382=CONFIG_METADATA!$B$4),IF(DATOS!$G382="EX",1,IF(DATOS!$G382="OR",--(COUNTIFS(nNIA,DATOS!$A382,nCURSO,DATOS!$D382,nESPEC,DATOS!$E382,nASIG,DATOS!$I382,nEVAL,"EX")=0),0))))</f>
      </c>
      <c r="H382">
        <f>IF(DATOS!$G382&lt;&gt;"EX",0,--(COUNTIFS(nNIA,DATOS!$A382,nCURSO,DATOS!$D382,nESPEC,DATOS!$E382,nASIG,DATOS!$I382,nEVAL,"OR")=0))</f>
      </c>
      <c r="I382">
        <f>IF(DATOS!$I382="","",IFERROR(VLOOKUP(DATOS!$I382,CONFIG_ASIGNATURAS!$B$2:$J$91,9,FALSE()),""))</f>
      </c>
    </row>
    <row r="383">
      <c r="F383">
        <f>IF(DATOS!$A383="","",DATOS!$A383&amp;"|"&amp;DATOS!$D383&amp;"|"&amp;DATOS!$E383&amp;"|"&amp;DATOS!$I383)</f>
      </c>
      <c r="G383">
        <f>IF(DATOS!$A383="",0,IF(CONFIG_METADATA!$B$4&lt;&gt;"OR+EX",--(DATOS!$G383=CONFIG_METADATA!$B$4),IF(DATOS!$G383="EX",1,IF(DATOS!$G383="OR",--(COUNTIFS(nNIA,DATOS!$A383,nCURSO,DATOS!$D383,nESPEC,DATOS!$E383,nASIG,DATOS!$I383,nEVAL,"EX")=0),0))))</f>
      </c>
      <c r="H383">
        <f>IF(DATOS!$G383&lt;&gt;"EX",0,--(COUNTIFS(nNIA,DATOS!$A383,nCURSO,DATOS!$D383,nESPEC,DATOS!$E383,nASIG,DATOS!$I383,nEVAL,"OR")=0))</f>
      </c>
      <c r="I383">
        <f>IF(DATOS!$I383="","",IFERROR(VLOOKUP(DATOS!$I383,CONFIG_ASIGNATURAS!$B$2:$J$91,9,FALSE()),""))</f>
      </c>
    </row>
    <row r="384">
      <c r="F384">
        <f>IF(DATOS!$A384="","",DATOS!$A384&amp;"|"&amp;DATOS!$D384&amp;"|"&amp;DATOS!$E384&amp;"|"&amp;DATOS!$I384)</f>
      </c>
      <c r="G384">
        <f>IF(DATOS!$A384="",0,IF(CONFIG_METADATA!$B$4&lt;&gt;"OR+EX",--(DATOS!$G384=CONFIG_METADATA!$B$4),IF(DATOS!$G384="EX",1,IF(DATOS!$G384="OR",--(COUNTIFS(nNIA,DATOS!$A384,nCURSO,DATOS!$D384,nESPEC,DATOS!$E384,nASIG,DATOS!$I384,nEVAL,"EX")=0),0))))</f>
      </c>
      <c r="H384">
        <f>IF(DATOS!$G384&lt;&gt;"EX",0,--(COUNTIFS(nNIA,DATOS!$A384,nCURSO,DATOS!$D384,nESPEC,DATOS!$E384,nASIG,DATOS!$I384,nEVAL,"OR")=0))</f>
      </c>
      <c r="I384">
        <f>IF(DATOS!$I384="","",IFERROR(VLOOKUP(DATOS!$I384,CONFIG_ASIGNATURAS!$B$2:$J$91,9,FALSE()),""))</f>
      </c>
    </row>
    <row r="385">
      <c r="F385">
        <f>IF(DATOS!$A385="","",DATOS!$A385&amp;"|"&amp;DATOS!$D385&amp;"|"&amp;DATOS!$E385&amp;"|"&amp;DATOS!$I385)</f>
      </c>
      <c r="G385">
        <f>IF(DATOS!$A385="",0,IF(CONFIG_METADATA!$B$4&lt;&gt;"OR+EX",--(DATOS!$G385=CONFIG_METADATA!$B$4),IF(DATOS!$G385="EX",1,IF(DATOS!$G385="OR",--(COUNTIFS(nNIA,DATOS!$A385,nCURSO,DATOS!$D385,nESPEC,DATOS!$E385,nASIG,DATOS!$I385,nEVAL,"EX")=0),0))))</f>
      </c>
      <c r="H385">
        <f>IF(DATOS!$G385&lt;&gt;"EX",0,--(COUNTIFS(nNIA,DATOS!$A385,nCURSO,DATOS!$D385,nESPEC,DATOS!$E385,nASIG,DATOS!$I385,nEVAL,"OR")=0))</f>
      </c>
      <c r="I385">
        <f>IF(DATOS!$I385="","",IFERROR(VLOOKUP(DATOS!$I385,CONFIG_ASIGNATURAS!$B$2:$J$91,9,FALSE()),""))</f>
      </c>
    </row>
    <row r="386">
      <c r="F386">
        <f>IF(DATOS!$A386="","",DATOS!$A386&amp;"|"&amp;DATOS!$D386&amp;"|"&amp;DATOS!$E386&amp;"|"&amp;DATOS!$I386)</f>
      </c>
      <c r="G386">
        <f>IF(DATOS!$A386="",0,IF(CONFIG_METADATA!$B$4&lt;&gt;"OR+EX",--(DATOS!$G386=CONFIG_METADATA!$B$4),IF(DATOS!$G386="EX",1,IF(DATOS!$G386="OR",--(COUNTIFS(nNIA,DATOS!$A386,nCURSO,DATOS!$D386,nESPEC,DATOS!$E386,nASIG,DATOS!$I386,nEVAL,"EX")=0),0))))</f>
      </c>
      <c r="H386">
        <f>IF(DATOS!$G386&lt;&gt;"EX",0,--(COUNTIFS(nNIA,DATOS!$A386,nCURSO,DATOS!$D386,nESPEC,DATOS!$E386,nASIG,DATOS!$I386,nEVAL,"OR")=0))</f>
      </c>
      <c r="I386">
        <f>IF(DATOS!$I386="","",IFERROR(VLOOKUP(DATOS!$I386,CONFIG_ASIGNATURAS!$B$2:$J$91,9,FALSE()),""))</f>
      </c>
    </row>
    <row r="387">
      <c r="F387">
        <f>IF(DATOS!$A387="","",DATOS!$A387&amp;"|"&amp;DATOS!$D387&amp;"|"&amp;DATOS!$E387&amp;"|"&amp;DATOS!$I387)</f>
      </c>
      <c r="G387">
        <f>IF(DATOS!$A387="",0,IF(CONFIG_METADATA!$B$4&lt;&gt;"OR+EX",--(DATOS!$G387=CONFIG_METADATA!$B$4),IF(DATOS!$G387="EX",1,IF(DATOS!$G387="OR",--(COUNTIFS(nNIA,DATOS!$A387,nCURSO,DATOS!$D387,nESPEC,DATOS!$E387,nASIG,DATOS!$I387,nEVAL,"EX")=0),0))))</f>
      </c>
      <c r="H387">
        <f>IF(DATOS!$G387&lt;&gt;"EX",0,--(COUNTIFS(nNIA,DATOS!$A387,nCURSO,DATOS!$D387,nESPEC,DATOS!$E387,nASIG,DATOS!$I387,nEVAL,"OR")=0))</f>
      </c>
      <c r="I387">
        <f>IF(DATOS!$I387="","",IFERROR(VLOOKUP(DATOS!$I387,CONFIG_ASIGNATURAS!$B$2:$J$91,9,FALSE()),""))</f>
      </c>
    </row>
    <row r="388">
      <c r="F388">
        <f>IF(DATOS!$A388="","",DATOS!$A388&amp;"|"&amp;DATOS!$D388&amp;"|"&amp;DATOS!$E388&amp;"|"&amp;DATOS!$I388)</f>
      </c>
      <c r="G388">
        <f>IF(DATOS!$A388="",0,IF(CONFIG_METADATA!$B$4&lt;&gt;"OR+EX",--(DATOS!$G388=CONFIG_METADATA!$B$4),IF(DATOS!$G388="EX",1,IF(DATOS!$G388="OR",--(COUNTIFS(nNIA,DATOS!$A388,nCURSO,DATOS!$D388,nESPEC,DATOS!$E388,nASIG,DATOS!$I388,nEVAL,"EX")=0),0))))</f>
      </c>
      <c r="H388">
        <f>IF(DATOS!$G388&lt;&gt;"EX",0,--(COUNTIFS(nNIA,DATOS!$A388,nCURSO,DATOS!$D388,nESPEC,DATOS!$E388,nASIG,DATOS!$I388,nEVAL,"OR")=0))</f>
      </c>
      <c r="I388">
        <f>IF(DATOS!$I388="","",IFERROR(VLOOKUP(DATOS!$I388,CONFIG_ASIGNATURAS!$B$2:$J$91,9,FALSE()),""))</f>
      </c>
    </row>
    <row r="389">
      <c r="F389">
        <f>IF(DATOS!$A389="","",DATOS!$A389&amp;"|"&amp;DATOS!$D389&amp;"|"&amp;DATOS!$E389&amp;"|"&amp;DATOS!$I389)</f>
      </c>
      <c r="G389">
        <f>IF(DATOS!$A389="",0,IF(CONFIG_METADATA!$B$4&lt;&gt;"OR+EX",--(DATOS!$G389=CONFIG_METADATA!$B$4),IF(DATOS!$G389="EX",1,IF(DATOS!$G389="OR",--(COUNTIFS(nNIA,DATOS!$A389,nCURSO,DATOS!$D389,nESPEC,DATOS!$E389,nASIG,DATOS!$I389,nEVAL,"EX")=0),0))))</f>
      </c>
      <c r="H389">
        <f>IF(DATOS!$G389&lt;&gt;"EX",0,--(COUNTIFS(nNIA,DATOS!$A389,nCURSO,DATOS!$D389,nESPEC,DATOS!$E389,nASIG,DATOS!$I389,nEVAL,"OR")=0))</f>
      </c>
      <c r="I389">
        <f>IF(DATOS!$I389="","",IFERROR(VLOOKUP(DATOS!$I389,CONFIG_ASIGNATURAS!$B$2:$J$91,9,FALSE()),""))</f>
      </c>
    </row>
    <row r="390">
      <c r="F390">
        <f>IF(DATOS!$A390="","",DATOS!$A390&amp;"|"&amp;DATOS!$D390&amp;"|"&amp;DATOS!$E390&amp;"|"&amp;DATOS!$I390)</f>
      </c>
      <c r="G390">
        <f>IF(DATOS!$A390="",0,IF(CONFIG_METADATA!$B$4&lt;&gt;"OR+EX",--(DATOS!$G390=CONFIG_METADATA!$B$4),IF(DATOS!$G390="EX",1,IF(DATOS!$G390="OR",--(COUNTIFS(nNIA,DATOS!$A390,nCURSO,DATOS!$D390,nESPEC,DATOS!$E390,nASIG,DATOS!$I390,nEVAL,"EX")=0),0))))</f>
      </c>
      <c r="H390">
        <f>IF(DATOS!$G390&lt;&gt;"EX",0,--(COUNTIFS(nNIA,DATOS!$A390,nCURSO,DATOS!$D390,nESPEC,DATOS!$E390,nASIG,DATOS!$I390,nEVAL,"OR")=0))</f>
      </c>
      <c r="I390">
        <f>IF(DATOS!$I390="","",IFERROR(VLOOKUP(DATOS!$I390,CONFIG_ASIGNATURAS!$B$2:$J$91,9,FALSE()),""))</f>
      </c>
    </row>
    <row r="391">
      <c r="F391">
        <f>IF(DATOS!$A391="","",DATOS!$A391&amp;"|"&amp;DATOS!$D391&amp;"|"&amp;DATOS!$E391&amp;"|"&amp;DATOS!$I391)</f>
      </c>
      <c r="G391">
        <f>IF(DATOS!$A391="",0,IF(CONFIG_METADATA!$B$4&lt;&gt;"OR+EX",--(DATOS!$G391=CONFIG_METADATA!$B$4),IF(DATOS!$G391="EX",1,IF(DATOS!$G391="OR",--(COUNTIFS(nNIA,DATOS!$A391,nCURSO,DATOS!$D391,nESPEC,DATOS!$E391,nASIG,DATOS!$I391,nEVAL,"EX")=0),0))))</f>
      </c>
      <c r="H391">
        <f>IF(DATOS!$G391&lt;&gt;"EX",0,--(COUNTIFS(nNIA,DATOS!$A391,nCURSO,DATOS!$D391,nESPEC,DATOS!$E391,nASIG,DATOS!$I391,nEVAL,"OR")=0))</f>
      </c>
      <c r="I391">
        <f>IF(DATOS!$I391="","",IFERROR(VLOOKUP(DATOS!$I391,CONFIG_ASIGNATURAS!$B$2:$J$91,9,FALSE()),""))</f>
      </c>
    </row>
    <row r="392">
      <c r="F392">
        <f>IF(DATOS!$A392="","",DATOS!$A392&amp;"|"&amp;DATOS!$D392&amp;"|"&amp;DATOS!$E392&amp;"|"&amp;DATOS!$I392)</f>
      </c>
      <c r="G392">
        <f>IF(DATOS!$A392="",0,IF(CONFIG_METADATA!$B$4&lt;&gt;"OR+EX",--(DATOS!$G392=CONFIG_METADATA!$B$4),IF(DATOS!$G392="EX",1,IF(DATOS!$G392="OR",--(COUNTIFS(nNIA,DATOS!$A392,nCURSO,DATOS!$D392,nESPEC,DATOS!$E392,nASIG,DATOS!$I392,nEVAL,"EX")=0),0))))</f>
      </c>
      <c r="H392">
        <f>IF(DATOS!$G392&lt;&gt;"EX",0,--(COUNTIFS(nNIA,DATOS!$A392,nCURSO,DATOS!$D392,nESPEC,DATOS!$E392,nASIG,DATOS!$I392,nEVAL,"OR")=0))</f>
      </c>
      <c r="I392">
        <f>IF(DATOS!$I392="","",IFERROR(VLOOKUP(DATOS!$I392,CONFIG_ASIGNATURAS!$B$2:$J$91,9,FALSE()),""))</f>
      </c>
    </row>
    <row r="393">
      <c r="F393">
        <f>IF(DATOS!$A393="","",DATOS!$A393&amp;"|"&amp;DATOS!$D393&amp;"|"&amp;DATOS!$E393&amp;"|"&amp;DATOS!$I393)</f>
      </c>
      <c r="G393">
        <f>IF(DATOS!$A393="",0,IF(CONFIG_METADATA!$B$4&lt;&gt;"OR+EX",--(DATOS!$G393=CONFIG_METADATA!$B$4),IF(DATOS!$G393="EX",1,IF(DATOS!$G393="OR",--(COUNTIFS(nNIA,DATOS!$A393,nCURSO,DATOS!$D393,nESPEC,DATOS!$E393,nASIG,DATOS!$I393,nEVAL,"EX")=0),0))))</f>
      </c>
      <c r="H393">
        <f>IF(DATOS!$G393&lt;&gt;"EX",0,--(COUNTIFS(nNIA,DATOS!$A393,nCURSO,DATOS!$D393,nESPEC,DATOS!$E393,nASIG,DATOS!$I393,nEVAL,"OR")=0))</f>
      </c>
      <c r="I393">
        <f>IF(DATOS!$I393="","",IFERROR(VLOOKUP(DATOS!$I393,CONFIG_ASIGNATURAS!$B$2:$J$91,9,FALSE()),""))</f>
      </c>
    </row>
    <row r="394">
      <c r="F394">
        <f>IF(DATOS!$A394="","",DATOS!$A394&amp;"|"&amp;DATOS!$D394&amp;"|"&amp;DATOS!$E394&amp;"|"&amp;DATOS!$I394)</f>
      </c>
      <c r="G394">
        <f>IF(DATOS!$A394="",0,IF(CONFIG_METADATA!$B$4&lt;&gt;"OR+EX",--(DATOS!$G394=CONFIG_METADATA!$B$4),IF(DATOS!$G394="EX",1,IF(DATOS!$G394="OR",--(COUNTIFS(nNIA,DATOS!$A394,nCURSO,DATOS!$D394,nESPEC,DATOS!$E394,nASIG,DATOS!$I394,nEVAL,"EX")=0),0))))</f>
      </c>
      <c r="H394">
        <f>IF(DATOS!$G394&lt;&gt;"EX",0,--(COUNTIFS(nNIA,DATOS!$A394,nCURSO,DATOS!$D394,nESPEC,DATOS!$E394,nASIG,DATOS!$I394,nEVAL,"OR")=0))</f>
      </c>
      <c r="I394">
        <f>IF(DATOS!$I394="","",IFERROR(VLOOKUP(DATOS!$I394,CONFIG_ASIGNATURAS!$B$2:$J$91,9,FALSE()),""))</f>
      </c>
    </row>
    <row r="395">
      <c r="F395">
        <f>IF(DATOS!$A395="","",DATOS!$A395&amp;"|"&amp;DATOS!$D395&amp;"|"&amp;DATOS!$E395&amp;"|"&amp;DATOS!$I395)</f>
      </c>
      <c r="G395">
        <f>IF(DATOS!$A395="",0,IF(CONFIG_METADATA!$B$4&lt;&gt;"OR+EX",--(DATOS!$G395=CONFIG_METADATA!$B$4),IF(DATOS!$G395="EX",1,IF(DATOS!$G395="OR",--(COUNTIFS(nNIA,DATOS!$A395,nCURSO,DATOS!$D395,nESPEC,DATOS!$E395,nASIG,DATOS!$I395,nEVAL,"EX")=0),0))))</f>
      </c>
      <c r="H395">
        <f>IF(DATOS!$G395&lt;&gt;"EX",0,--(COUNTIFS(nNIA,DATOS!$A395,nCURSO,DATOS!$D395,nESPEC,DATOS!$E395,nASIG,DATOS!$I395,nEVAL,"OR")=0))</f>
      </c>
      <c r="I395">
        <f>IF(DATOS!$I395="","",IFERROR(VLOOKUP(DATOS!$I395,CONFIG_ASIGNATURAS!$B$2:$J$91,9,FALSE()),""))</f>
      </c>
    </row>
    <row r="396">
      <c r="F396">
        <f>IF(DATOS!$A396="","",DATOS!$A396&amp;"|"&amp;DATOS!$D396&amp;"|"&amp;DATOS!$E396&amp;"|"&amp;DATOS!$I396)</f>
      </c>
      <c r="G396">
        <f>IF(DATOS!$A396="",0,IF(CONFIG_METADATA!$B$4&lt;&gt;"OR+EX",--(DATOS!$G396=CONFIG_METADATA!$B$4),IF(DATOS!$G396="EX",1,IF(DATOS!$G396="OR",--(COUNTIFS(nNIA,DATOS!$A396,nCURSO,DATOS!$D396,nESPEC,DATOS!$E396,nASIG,DATOS!$I396,nEVAL,"EX")=0),0))))</f>
      </c>
      <c r="H396">
        <f>IF(DATOS!$G396&lt;&gt;"EX",0,--(COUNTIFS(nNIA,DATOS!$A396,nCURSO,DATOS!$D396,nESPEC,DATOS!$E396,nASIG,DATOS!$I396,nEVAL,"OR")=0))</f>
      </c>
      <c r="I396">
        <f>IF(DATOS!$I396="","",IFERROR(VLOOKUP(DATOS!$I396,CONFIG_ASIGNATURAS!$B$2:$J$91,9,FALSE()),""))</f>
      </c>
    </row>
    <row r="397">
      <c r="F397">
        <f>IF(DATOS!$A397="","",DATOS!$A397&amp;"|"&amp;DATOS!$D397&amp;"|"&amp;DATOS!$E397&amp;"|"&amp;DATOS!$I397)</f>
      </c>
      <c r="G397">
        <f>IF(DATOS!$A397="",0,IF(CONFIG_METADATA!$B$4&lt;&gt;"OR+EX",--(DATOS!$G397=CONFIG_METADATA!$B$4),IF(DATOS!$G397="EX",1,IF(DATOS!$G397="OR",--(COUNTIFS(nNIA,DATOS!$A397,nCURSO,DATOS!$D397,nESPEC,DATOS!$E397,nASIG,DATOS!$I397,nEVAL,"EX")=0),0))))</f>
      </c>
      <c r="H397">
        <f>IF(DATOS!$G397&lt;&gt;"EX",0,--(COUNTIFS(nNIA,DATOS!$A397,nCURSO,DATOS!$D397,nESPEC,DATOS!$E397,nASIG,DATOS!$I397,nEVAL,"OR")=0))</f>
      </c>
      <c r="I397">
        <f>IF(DATOS!$I397="","",IFERROR(VLOOKUP(DATOS!$I397,CONFIG_ASIGNATURAS!$B$2:$J$91,9,FALSE()),""))</f>
      </c>
    </row>
    <row r="398">
      <c r="F398">
        <f>IF(DATOS!$A398="","",DATOS!$A398&amp;"|"&amp;DATOS!$D398&amp;"|"&amp;DATOS!$E398&amp;"|"&amp;DATOS!$I398)</f>
      </c>
      <c r="G398">
        <f>IF(DATOS!$A398="",0,IF(CONFIG_METADATA!$B$4&lt;&gt;"OR+EX",--(DATOS!$G398=CONFIG_METADATA!$B$4),IF(DATOS!$G398="EX",1,IF(DATOS!$G398="OR",--(COUNTIFS(nNIA,DATOS!$A398,nCURSO,DATOS!$D398,nESPEC,DATOS!$E398,nASIG,DATOS!$I398,nEVAL,"EX")=0),0))))</f>
      </c>
      <c r="H398">
        <f>IF(DATOS!$G398&lt;&gt;"EX",0,--(COUNTIFS(nNIA,DATOS!$A398,nCURSO,DATOS!$D398,nESPEC,DATOS!$E398,nASIG,DATOS!$I398,nEVAL,"OR")=0))</f>
      </c>
      <c r="I398">
        <f>IF(DATOS!$I398="","",IFERROR(VLOOKUP(DATOS!$I398,CONFIG_ASIGNATURAS!$B$2:$J$91,9,FALSE()),""))</f>
      </c>
    </row>
    <row r="399">
      <c r="F399">
        <f>IF(DATOS!$A399="","",DATOS!$A399&amp;"|"&amp;DATOS!$D399&amp;"|"&amp;DATOS!$E399&amp;"|"&amp;DATOS!$I399)</f>
      </c>
      <c r="G399">
        <f>IF(DATOS!$A399="",0,IF(CONFIG_METADATA!$B$4&lt;&gt;"OR+EX",--(DATOS!$G399=CONFIG_METADATA!$B$4),IF(DATOS!$G399="EX",1,IF(DATOS!$G399="OR",--(COUNTIFS(nNIA,DATOS!$A399,nCURSO,DATOS!$D399,nESPEC,DATOS!$E399,nASIG,DATOS!$I399,nEVAL,"EX")=0),0))))</f>
      </c>
      <c r="H399">
        <f>IF(DATOS!$G399&lt;&gt;"EX",0,--(COUNTIFS(nNIA,DATOS!$A399,nCURSO,DATOS!$D399,nESPEC,DATOS!$E399,nASIG,DATOS!$I399,nEVAL,"OR")=0))</f>
      </c>
      <c r="I399">
        <f>IF(DATOS!$I399="","",IFERROR(VLOOKUP(DATOS!$I399,CONFIG_ASIGNATURAS!$B$2:$J$91,9,FALSE()),""))</f>
      </c>
    </row>
    <row r="400">
      <c r="F400">
        <f>IF(DATOS!$A400="","",DATOS!$A400&amp;"|"&amp;DATOS!$D400&amp;"|"&amp;DATOS!$E400&amp;"|"&amp;DATOS!$I400)</f>
      </c>
      <c r="G400">
        <f>IF(DATOS!$A400="",0,IF(CONFIG_METADATA!$B$4&lt;&gt;"OR+EX",--(DATOS!$G400=CONFIG_METADATA!$B$4),IF(DATOS!$G400="EX",1,IF(DATOS!$G400="OR",--(COUNTIFS(nNIA,DATOS!$A400,nCURSO,DATOS!$D400,nESPEC,DATOS!$E400,nASIG,DATOS!$I400,nEVAL,"EX")=0),0))))</f>
      </c>
      <c r="H400">
        <f>IF(DATOS!$G400&lt;&gt;"EX",0,--(COUNTIFS(nNIA,DATOS!$A400,nCURSO,DATOS!$D400,nESPEC,DATOS!$E400,nASIG,DATOS!$I400,nEVAL,"OR")=0))</f>
      </c>
      <c r="I400">
        <f>IF(DATOS!$I400="","",IFERROR(VLOOKUP(DATOS!$I400,CONFIG_ASIGNATURAS!$B$2:$J$91,9,FALSE()),""))</f>
      </c>
    </row>
    <row r="401">
      <c r="F401">
        <f>IF(DATOS!$A401="","",DATOS!$A401&amp;"|"&amp;DATOS!$D401&amp;"|"&amp;DATOS!$E401&amp;"|"&amp;DATOS!$I401)</f>
      </c>
      <c r="G401">
        <f>IF(DATOS!$A401="",0,IF(CONFIG_METADATA!$B$4&lt;&gt;"OR+EX",--(DATOS!$G401=CONFIG_METADATA!$B$4),IF(DATOS!$G401="EX",1,IF(DATOS!$G401="OR",--(COUNTIFS(nNIA,DATOS!$A401,nCURSO,DATOS!$D401,nESPEC,DATOS!$E401,nASIG,DATOS!$I401,nEVAL,"EX")=0),0))))</f>
      </c>
      <c r="H401">
        <f>IF(DATOS!$G401&lt;&gt;"EX",0,--(COUNTIFS(nNIA,DATOS!$A401,nCURSO,DATOS!$D401,nESPEC,DATOS!$E401,nASIG,DATOS!$I401,nEVAL,"OR")=0))</f>
      </c>
      <c r="I401">
        <f>IF(DATOS!$I401="","",IFERROR(VLOOKUP(DATOS!$I401,CONFIG_ASIGNATURAS!$B$2:$J$91,9,FALSE()),""))</f>
      </c>
    </row>
    <row r="402">
      <c r="F402">
        <f>IF(DATOS!$A402="","",DATOS!$A402&amp;"|"&amp;DATOS!$D402&amp;"|"&amp;DATOS!$E402&amp;"|"&amp;DATOS!$I402)</f>
      </c>
      <c r="G402">
        <f>IF(DATOS!$A402="",0,IF(CONFIG_METADATA!$B$4&lt;&gt;"OR+EX",--(DATOS!$G402=CONFIG_METADATA!$B$4),IF(DATOS!$G402="EX",1,IF(DATOS!$G402="OR",--(COUNTIFS(nNIA,DATOS!$A402,nCURSO,DATOS!$D402,nESPEC,DATOS!$E402,nASIG,DATOS!$I402,nEVAL,"EX")=0),0))))</f>
      </c>
      <c r="H402">
        <f>IF(DATOS!$G402&lt;&gt;"EX",0,--(COUNTIFS(nNIA,DATOS!$A402,nCURSO,DATOS!$D402,nESPEC,DATOS!$E402,nASIG,DATOS!$I402,nEVAL,"OR")=0))</f>
      </c>
      <c r="I402">
        <f>IF(DATOS!$I402="","",IFERROR(VLOOKUP(DATOS!$I402,CONFIG_ASIGNATURAS!$B$2:$J$91,9,FALSE()),""))</f>
      </c>
    </row>
    <row r="403">
      <c r="F403">
        <f>IF(DATOS!$A403="","",DATOS!$A403&amp;"|"&amp;DATOS!$D403&amp;"|"&amp;DATOS!$E403&amp;"|"&amp;DATOS!$I403)</f>
      </c>
      <c r="G403">
        <f>IF(DATOS!$A403="",0,IF(CONFIG_METADATA!$B$4&lt;&gt;"OR+EX",--(DATOS!$G403=CONFIG_METADATA!$B$4),IF(DATOS!$G403="EX",1,IF(DATOS!$G403="OR",--(COUNTIFS(nNIA,DATOS!$A403,nCURSO,DATOS!$D403,nESPEC,DATOS!$E403,nASIG,DATOS!$I403,nEVAL,"EX")=0),0))))</f>
      </c>
      <c r="H403">
        <f>IF(DATOS!$G403&lt;&gt;"EX",0,--(COUNTIFS(nNIA,DATOS!$A403,nCURSO,DATOS!$D403,nESPEC,DATOS!$E403,nASIG,DATOS!$I403,nEVAL,"OR")=0))</f>
      </c>
      <c r="I403">
        <f>IF(DATOS!$I403="","",IFERROR(VLOOKUP(DATOS!$I403,CONFIG_ASIGNATURAS!$B$2:$J$91,9,FALSE()),""))</f>
      </c>
    </row>
    <row r="404">
      <c r="F404">
        <f>IF(DATOS!$A404="","",DATOS!$A404&amp;"|"&amp;DATOS!$D404&amp;"|"&amp;DATOS!$E404&amp;"|"&amp;DATOS!$I404)</f>
      </c>
      <c r="G404">
        <f>IF(DATOS!$A404="",0,IF(CONFIG_METADATA!$B$4&lt;&gt;"OR+EX",--(DATOS!$G404=CONFIG_METADATA!$B$4),IF(DATOS!$G404="EX",1,IF(DATOS!$G404="OR",--(COUNTIFS(nNIA,DATOS!$A404,nCURSO,DATOS!$D404,nESPEC,DATOS!$E404,nASIG,DATOS!$I404,nEVAL,"EX")=0),0))))</f>
      </c>
      <c r="H404">
        <f>IF(DATOS!$G404&lt;&gt;"EX",0,--(COUNTIFS(nNIA,DATOS!$A404,nCURSO,DATOS!$D404,nESPEC,DATOS!$E404,nASIG,DATOS!$I404,nEVAL,"OR")=0))</f>
      </c>
      <c r="I404">
        <f>IF(DATOS!$I404="","",IFERROR(VLOOKUP(DATOS!$I404,CONFIG_ASIGNATURAS!$B$2:$J$91,9,FALSE()),""))</f>
      </c>
    </row>
    <row r="405">
      <c r="F405">
        <f>IF(DATOS!$A405="","",DATOS!$A405&amp;"|"&amp;DATOS!$D405&amp;"|"&amp;DATOS!$E405&amp;"|"&amp;DATOS!$I405)</f>
      </c>
      <c r="G405">
        <f>IF(DATOS!$A405="",0,IF(CONFIG_METADATA!$B$4&lt;&gt;"OR+EX",--(DATOS!$G405=CONFIG_METADATA!$B$4),IF(DATOS!$G405="EX",1,IF(DATOS!$G405="OR",--(COUNTIFS(nNIA,DATOS!$A405,nCURSO,DATOS!$D405,nESPEC,DATOS!$E405,nASIG,DATOS!$I405,nEVAL,"EX")=0),0))))</f>
      </c>
      <c r="H405">
        <f>IF(DATOS!$G405&lt;&gt;"EX",0,--(COUNTIFS(nNIA,DATOS!$A405,nCURSO,DATOS!$D405,nESPEC,DATOS!$E405,nASIG,DATOS!$I405,nEVAL,"OR")=0))</f>
      </c>
      <c r="I405">
        <f>IF(DATOS!$I405="","",IFERROR(VLOOKUP(DATOS!$I405,CONFIG_ASIGNATURAS!$B$2:$J$91,9,FALSE()),""))</f>
      </c>
    </row>
    <row r="406">
      <c r="F406">
        <f>IF(DATOS!$A406="","",DATOS!$A406&amp;"|"&amp;DATOS!$D406&amp;"|"&amp;DATOS!$E406&amp;"|"&amp;DATOS!$I406)</f>
      </c>
      <c r="G406">
        <f>IF(DATOS!$A406="",0,IF(CONFIG_METADATA!$B$4&lt;&gt;"OR+EX",--(DATOS!$G406=CONFIG_METADATA!$B$4),IF(DATOS!$G406="EX",1,IF(DATOS!$G406="OR",--(COUNTIFS(nNIA,DATOS!$A406,nCURSO,DATOS!$D406,nESPEC,DATOS!$E406,nASIG,DATOS!$I406,nEVAL,"EX")=0),0))))</f>
      </c>
      <c r="H406">
        <f>IF(DATOS!$G406&lt;&gt;"EX",0,--(COUNTIFS(nNIA,DATOS!$A406,nCURSO,DATOS!$D406,nESPEC,DATOS!$E406,nASIG,DATOS!$I406,nEVAL,"OR")=0))</f>
      </c>
      <c r="I406">
        <f>IF(DATOS!$I406="","",IFERROR(VLOOKUP(DATOS!$I406,CONFIG_ASIGNATURAS!$B$2:$J$91,9,FALSE()),""))</f>
      </c>
    </row>
    <row r="407">
      <c r="F407">
        <f>IF(DATOS!$A407="","",DATOS!$A407&amp;"|"&amp;DATOS!$D407&amp;"|"&amp;DATOS!$E407&amp;"|"&amp;DATOS!$I407)</f>
      </c>
      <c r="G407">
        <f>IF(DATOS!$A407="",0,IF(CONFIG_METADATA!$B$4&lt;&gt;"OR+EX",--(DATOS!$G407=CONFIG_METADATA!$B$4),IF(DATOS!$G407="EX",1,IF(DATOS!$G407="OR",--(COUNTIFS(nNIA,DATOS!$A407,nCURSO,DATOS!$D407,nESPEC,DATOS!$E407,nASIG,DATOS!$I407,nEVAL,"EX")=0),0))))</f>
      </c>
      <c r="H407">
        <f>IF(DATOS!$G407&lt;&gt;"EX",0,--(COUNTIFS(nNIA,DATOS!$A407,nCURSO,DATOS!$D407,nESPEC,DATOS!$E407,nASIG,DATOS!$I407,nEVAL,"OR")=0))</f>
      </c>
      <c r="I407">
        <f>IF(DATOS!$I407="","",IFERROR(VLOOKUP(DATOS!$I407,CONFIG_ASIGNATURAS!$B$2:$J$91,9,FALSE()),""))</f>
      </c>
    </row>
    <row r="408">
      <c r="F408">
        <f>IF(DATOS!$A408="","",DATOS!$A408&amp;"|"&amp;DATOS!$D408&amp;"|"&amp;DATOS!$E408&amp;"|"&amp;DATOS!$I408)</f>
      </c>
      <c r="G408">
        <f>IF(DATOS!$A408="",0,IF(CONFIG_METADATA!$B$4&lt;&gt;"OR+EX",--(DATOS!$G408=CONFIG_METADATA!$B$4),IF(DATOS!$G408="EX",1,IF(DATOS!$G408="OR",--(COUNTIFS(nNIA,DATOS!$A408,nCURSO,DATOS!$D408,nESPEC,DATOS!$E408,nASIG,DATOS!$I408,nEVAL,"EX")=0),0))))</f>
      </c>
      <c r="H408">
        <f>IF(DATOS!$G408&lt;&gt;"EX",0,--(COUNTIFS(nNIA,DATOS!$A408,nCURSO,DATOS!$D408,nESPEC,DATOS!$E408,nASIG,DATOS!$I408,nEVAL,"OR")=0))</f>
      </c>
      <c r="I408">
        <f>IF(DATOS!$I408="","",IFERROR(VLOOKUP(DATOS!$I408,CONFIG_ASIGNATURAS!$B$2:$J$91,9,FALSE()),""))</f>
      </c>
    </row>
    <row r="409">
      <c r="F409">
        <f>IF(DATOS!$A409="","",DATOS!$A409&amp;"|"&amp;DATOS!$D409&amp;"|"&amp;DATOS!$E409&amp;"|"&amp;DATOS!$I409)</f>
      </c>
      <c r="G409">
        <f>IF(DATOS!$A409="",0,IF(CONFIG_METADATA!$B$4&lt;&gt;"OR+EX",--(DATOS!$G409=CONFIG_METADATA!$B$4),IF(DATOS!$G409="EX",1,IF(DATOS!$G409="OR",--(COUNTIFS(nNIA,DATOS!$A409,nCURSO,DATOS!$D409,nESPEC,DATOS!$E409,nASIG,DATOS!$I409,nEVAL,"EX")=0),0))))</f>
      </c>
      <c r="H409">
        <f>IF(DATOS!$G409&lt;&gt;"EX",0,--(COUNTIFS(nNIA,DATOS!$A409,nCURSO,DATOS!$D409,nESPEC,DATOS!$E409,nASIG,DATOS!$I409,nEVAL,"OR")=0))</f>
      </c>
      <c r="I409">
        <f>IF(DATOS!$I409="","",IFERROR(VLOOKUP(DATOS!$I409,CONFIG_ASIGNATURAS!$B$2:$J$91,9,FALSE()),""))</f>
      </c>
    </row>
    <row r="410">
      <c r="F410">
        <f>IF(DATOS!$A410="","",DATOS!$A410&amp;"|"&amp;DATOS!$D410&amp;"|"&amp;DATOS!$E410&amp;"|"&amp;DATOS!$I410)</f>
      </c>
      <c r="G410">
        <f>IF(DATOS!$A410="",0,IF(CONFIG_METADATA!$B$4&lt;&gt;"OR+EX",--(DATOS!$G410=CONFIG_METADATA!$B$4),IF(DATOS!$G410="EX",1,IF(DATOS!$G410="OR",--(COUNTIFS(nNIA,DATOS!$A410,nCURSO,DATOS!$D410,nESPEC,DATOS!$E410,nASIG,DATOS!$I410,nEVAL,"EX")=0),0))))</f>
      </c>
      <c r="H410">
        <f>IF(DATOS!$G410&lt;&gt;"EX",0,--(COUNTIFS(nNIA,DATOS!$A410,nCURSO,DATOS!$D410,nESPEC,DATOS!$E410,nASIG,DATOS!$I410,nEVAL,"OR")=0))</f>
      </c>
      <c r="I410">
        <f>IF(DATOS!$I410="","",IFERROR(VLOOKUP(DATOS!$I410,CONFIG_ASIGNATURAS!$B$2:$J$91,9,FALSE()),""))</f>
      </c>
    </row>
    <row r="411">
      <c r="F411">
        <f>IF(DATOS!$A411="","",DATOS!$A411&amp;"|"&amp;DATOS!$D411&amp;"|"&amp;DATOS!$E411&amp;"|"&amp;DATOS!$I411)</f>
      </c>
      <c r="G411">
        <f>IF(DATOS!$A411="",0,IF(CONFIG_METADATA!$B$4&lt;&gt;"OR+EX",--(DATOS!$G411=CONFIG_METADATA!$B$4),IF(DATOS!$G411="EX",1,IF(DATOS!$G411="OR",--(COUNTIFS(nNIA,DATOS!$A411,nCURSO,DATOS!$D411,nESPEC,DATOS!$E411,nASIG,DATOS!$I411,nEVAL,"EX")=0),0))))</f>
      </c>
      <c r="H411">
        <f>IF(DATOS!$G411&lt;&gt;"EX",0,--(COUNTIFS(nNIA,DATOS!$A411,nCURSO,DATOS!$D411,nESPEC,DATOS!$E411,nASIG,DATOS!$I411,nEVAL,"OR")=0))</f>
      </c>
      <c r="I411">
        <f>IF(DATOS!$I411="","",IFERROR(VLOOKUP(DATOS!$I411,CONFIG_ASIGNATURAS!$B$2:$J$91,9,FALSE()),""))</f>
      </c>
    </row>
    <row r="412">
      <c r="F412">
        <f>IF(DATOS!$A412="","",DATOS!$A412&amp;"|"&amp;DATOS!$D412&amp;"|"&amp;DATOS!$E412&amp;"|"&amp;DATOS!$I412)</f>
      </c>
      <c r="G412">
        <f>IF(DATOS!$A412="",0,IF(CONFIG_METADATA!$B$4&lt;&gt;"OR+EX",--(DATOS!$G412=CONFIG_METADATA!$B$4),IF(DATOS!$G412="EX",1,IF(DATOS!$G412="OR",--(COUNTIFS(nNIA,DATOS!$A412,nCURSO,DATOS!$D412,nESPEC,DATOS!$E412,nASIG,DATOS!$I412,nEVAL,"EX")=0),0))))</f>
      </c>
      <c r="H412">
        <f>IF(DATOS!$G412&lt;&gt;"EX",0,--(COUNTIFS(nNIA,DATOS!$A412,nCURSO,DATOS!$D412,nESPEC,DATOS!$E412,nASIG,DATOS!$I412,nEVAL,"OR")=0))</f>
      </c>
      <c r="I412">
        <f>IF(DATOS!$I412="","",IFERROR(VLOOKUP(DATOS!$I412,CONFIG_ASIGNATURAS!$B$2:$J$91,9,FALSE()),""))</f>
      </c>
    </row>
    <row r="413">
      <c r="F413">
        <f>IF(DATOS!$A413="","",DATOS!$A413&amp;"|"&amp;DATOS!$D413&amp;"|"&amp;DATOS!$E413&amp;"|"&amp;DATOS!$I413)</f>
      </c>
      <c r="G413">
        <f>IF(DATOS!$A413="",0,IF(CONFIG_METADATA!$B$4&lt;&gt;"OR+EX",--(DATOS!$G413=CONFIG_METADATA!$B$4),IF(DATOS!$G413="EX",1,IF(DATOS!$G413="OR",--(COUNTIFS(nNIA,DATOS!$A413,nCURSO,DATOS!$D413,nESPEC,DATOS!$E413,nASIG,DATOS!$I413,nEVAL,"EX")=0),0))))</f>
      </c>
      <c r="H413">
        <f>IF(DATOS!$G413&lt;&gt;"EX",0,--(COUNTIFS(nNIA,DATOS!$A413,nCURSO,DATOS!$D413,nESPEC,DATOS!$E413,nASIG,DATOS!$I413,nEVAL,"OR")=0))</f>
      </c>
      <c r="I413">
        <f>IF(DATOS!$I413="","",IFERROR(VLOOKUP(DATOS!$I413,CONFIG_ASIGNATURAS!$B$2:$J$91,9,FALSE()),""))</f>
      </c>
    </row>
    <row r="414">
      <c r="F414">
        <f>IF(DATOS!$A414="","",DATOS!$A414&amp;"|"&amp;DATOS!$D414&amp;"|"&amp;DATOS!$E414&amp;"|"&amp;DATOS!$I414)</f>
      </c>
      <c r="G414">
        <f>IF(DATOS!$A414="",0,IF(CONFIG_METADATA!$B$4&lt;&gt;"OR+EX",--(DATOS!$G414=CONFIG_METADATA!$B$4),IF(DATOS!$G414="EX",1,IF(DATOS!$G414="OR",--(COUNTIFS(nNIA,DATOS!$A414,nCURSO,DATOS!$D414,nESPEC,DATOS!$E414,nASIG,DATOS!$I414,nEVAL,"EX")=0),0))))</f>
      </c>
      <c r="H414">
        <f>IF(DATOS!$G414&lt;&gt;"EX",0,--(COUNTIFS(nNIA,DATOS!$A414,nCURSO,DATOS!$D414,nESPEC,DATOS!$E414,nASIG,DATOS!$I414,nEVAL,"OR")=0))</f>
      </c>
      <c r="I414">
        <f>IF(DATOS!$I414="","",IFERROR(VLOOKUP(DATOS!$I414,CONFIG_ASIGNATURAS!$B$2:$J$91,9,FALSE()),""))</f>
      </c>
    </row>
    <row r="415">
      <c r="F415">
        <f>IF(DATOS!$A415="","",DATOS!$A415&amp;"|"&amp;DATOS!$D415&amp;"|"&amp;DATOS!$E415&amp;"|"&amp;DATOS!$I415)</f>
      </c>
      <c r="G415">
        <f>IF(DATOS!$A415="",0,IF(CONFIG_METADATA!$B$4&lt;&gt;"OR+EX",--(DATOS!$G415=CONFIG_METADATA!$B$4),IF(DATOS!$G415="EX",1,IF(DATOS!$G415="OR",--(COUNTIFS(nNIA,DATOS!$A415,nCURSO,DATOS!$D415,nESPEC,DATOS!$E415,nASIG,DATOS!$I415,nEVAL,"EX")=0),0))))</f>
      </c>
      <c r="H415">
        <f>IF(DATOS!$G415&lt;&gt;"EX",0,--(COUNTIFS(nNIA,DATOS!$A415,nCURSO,DATOS!$D415,nESPEC,DATOS!$E415,nASIG,DATOS!$I415,nEVAL,"OR")=0))</f>
      </c>
      <c r="I415">
        <f>IF(DATOS!$I415="","",IFERROR(VLOOKUP(DATOS!$I415,CONFIG_ASIGNATURAS!$B$2:$J$91,9,FALSE()),""))</f>
      </c>
    </row>
    <row r="416">
      <c r="F416">
        <f>IF(DATOS!$A416="","",DATOS!$A416&amp;"|"&amp;DATOS!$D416&amp;"|"&amp;DATOS!$E416&amp;"|"&amp;DATOS!$I416)</f>
      </c>
      <c r="G416">
        <f>IF(DATOS!$A416="",0,IF(CONFIG_METADATA!$B$4&lt;&gt;"OR+EX",--(DATOS!$G416=CONFIG_METADATA!$B$4),IF(DATOS!$G416="EX",1,IF(DATOS!$G416="OR",--(COUNTIFS(nNIA,DATOS!$A416,nCURSO,DATOS!$D416,nESPEC,DATOS!$E416,nASIG,DATOS!$I416,nEVAL,"EX")=0),0))))</f>
      </c>
      <c r="H416">
        <f>IF(DATOS!$G416&lt;&gt;"EX",0,--(COUNTIFS(nNIA,DATOS!$A416,nCURSO,DATOS!$D416,nESPEC,DATOS!$E416,nASIG,DATOS!$I416,nEVAL,"OR")=0))</f>
      </c>
      <c r="I416">
        <f>IF(DATOS!$I416="","",IFERROR(VLOOKUP(DATOS!$I416,CONFIG_ASIGNATURAS!$B$2:$J$91,9,FALSE()),""))</f>
      </c>
    </row>
    <row r="417">
      <c r="F417">
        <f>IF(DATOS!$A417="","",DATOS!$A417&amp;"|"&amp;DATOS!$D417&amp;"|"&amp;DATOS!$E417&amp;"|"&amp;DATOS!$I417)</f>
      </c>
      <c r="G417">
        <f>IF(DATOS!$A417="",0,IF(CONFIG_METADATA!$B$4&lt;&gt;"OR+EX",--(DATOS!$G417=CONFIG_METADATA!$B$4),IF(DATOS!$G417="EX",1,IF(DATOS!$G417="OR",--(COUNTIFS(nNIA,DATOS!$A417,nCURSO,DATOS!$D417,nESPEC,DATOS!$E417,nASIG,DATOS!$I417,nEVAL,"EX")=0),0))))</f>
      </c>
      <c r="H417">
        <f>IF(DATOS!$G417&lt;&gt;"EX",0,--(COUNTIFS(nNIA,DATOS!$A417,nCURSO,DATOS!$D417,nESPEC,DATOS!$E417,nASIG,DATOS!$I417,nEVAL,"OR")=0))</f>
      </c>
      <c r="I417">
        <f>IF(DATOS!$I417="","",IFERROR(VLOOKUP(DATOS!$I417,CONFIG_ASIGNATURAS!$B$2:$J$91,9,FALSE()),""))</f>
      </c>
    </row>
    <row r="418">
      <c r="F418">
        <f>IF(DATOS!$A418="","",DATOS!$A418&amp;"|"&amp;DATOS!$D418&amp;"|"&amp;DATOS!$E418&amp;"|"&amp;DATOS!$I418)</f>
      </c>
      <c r="G418">
        <f>IF(DATOS!$A418="",0,IF(CONFIG_METADATA!$B$4&lt;&gt;"OR+EX",--(DATOS!$G418=CONFIG_METADATA!$B$4),IF(DATOS!$G418="EX",1,IF(DATOS!$G418="OR",--(COUNTIFS(nNIA,DATOS!$A418,nCURSO,DATOS!$D418,nESPEC,DATOS!$E418,nASIG,DATOS!$I418,nEVAL,"EX")=0),0))))</f>
      </c>
      <c r="H418">
        <f>IF(DATOS!$G418&lt;&gt;"EX",0,--(COUNTIFS(nNIA,DATOS!$A418,nCURSO,DATOS!$D418,nESPEC,DATOS!$E418,nASIG,DATOS!$I418,nEVAL,"OR")=0))</f>
      </c>
      <c r="I418">
        <f>IF(DATOS!$I418="","",IFERROR(VLOOKUP(DATOS!$I418,CONFIG_ASIGNATURAS!$B$2:$J$91,9,FALSE()),""))</f>
      </c>
    </row>
    <row r="419">
      <c r="F419">
        <f>IF(DATOS!$A419="","",DATOS!$A419&amp;"|"&amp;DATOS!$D419&amp;"|"&amp;DATOS!$E419&amp;"|"&amp;DATOS!$I419)</f>
      </c>
      <c r="G419">
        <f>IF(DATOS!$A419="",0,IF(CONFIG_METADATA!$B$4&lt;&gt;"OR+EX",--(DATOS!$G419=CONFIG_METADATA!$B$4),IF(DATOS!$G419="EX",1,IF(DATOS!$G419="OR",--(COUNTIFS(nNIA,DATOS!$A419,nCURSO,DATOS!$D419,nESPEC,DATOS!$E419,nASIG,DATOS!$I419,nEVAL,"EX")=0),0))))</f>
      </c>
      <c r="H419">
        <f>IF(DATOS!$G419&lt;&gt;"EX",0,--(COUNTIFS(nNIA,DATOS!$A419,nCURSO,DATOS!$D419,nESPEC,DATOS!$E419,nASIG,DATOS!$I419,nEVAL,"OR")=0))</f>
      </c>
      <c r="I419">
        <f>IF(DATOS!$I419="","",IFERROR(VLOOKUP(DATOS!$I419,CONFIG_ASIGNATURAS!$B$2:$J$91,9,FALSE()),""))</f>
      </c>
    </row>
    <row r="420">
      <c r="F420">
        <f>IF(DATOS!$A420="","",DATOS!$A420&amp;"|"&amp;DATOS!$D420&amp;"|"&amp;DATOS!$E420&amp;"|"&amp;DATOS!$I420)</f>
      </c>
      <c r="G420">
        <f>IF(DATOS!$A420="",0,IF(CONFIG_METADATA!$B$4&lt;&gt;"OR+EX",--(DATOS!$G420=CONFIG_METADATA!$B$4),IF(DATOS!$G420="EX",1,IF(DATOS!$G420="OR",--(COUNTIFS(nNIA,DATOS!$A420,nCURSO,DATOS!$D420,nESPEC,DATOS!$E420,nASIG,DATOS!$I420,nEVAL,"EX")=0),0))))</f>
      </c>
      <c r="H420">
        <f>IF(DATOS!$G420&lt;&gt;"EX",0,--(COUNTIFS(nNIA,DATOS!$A420,nCURSO,DATOS!$D420,nESPEC,DATOS!$E420,nASIG,DATOS!$I420,nEVAL,"OR")=0))</f>
      </c>
      <c r="I420">
        <f>IF(DATOS!$I420="","",IFERROR(VLOOKUP(DATOS!$I420,CONFIG_ASIGNATURAS!$B$2:$J$91,9,FALSE()),""))</f>
      </c>
    </row>
    <row r="421">
      <c r="F421">
        <f>IF(DATOS!$A421="","",DATOS!$A421&amp;"|"&amp;DATOS!$D421&amp;"|"&amp;DATOS!$E421&amp;"|"&amp;DATOS!$I421)</f>
      </c>
      <c r="G421">
        <f>IF(DATOS!$A421="",0,IF(CONFIG_METADATA!$B$4&lt;&gt;"OR+EX",--(DATOS!$G421=CONFIG_METADATA!$B$4),IF(DATOS!$G421="EX",1,IF(DATOS!$G421="OR",--(COUNTIFS(nNIA,DATOS!$A421,nCURSO,DATOS!$D421,nESPEC,DATOS!$E421,nASIG,DATOS!$I421,nEVAL,"EX")=0),0))))</f>
      </c>
      <c r="H421">
        <f>IF(DATOS!$G421&lt;&gt;"EX",0,--(COUNTIFS(nNIA,DATOS!$A421,nCURSO,DATOS!$D421,nESPEC,DATOS!$E421,nASIG,DATOS!$I421,nEVAL,"OR")=0))</f>
      </c>
      <c r="I421">
        <f>IF(DATOS!$I421="","",IFERROR(VLOOKUP(DATOS!$I421,CONFIG_ASIGNATURAS!$B$2:$J$91,9,FALSE()),""))</f>
      </c>
    </row>
    <row r="422">
      <c r="F422">
        <f>IF(DATOS!$A422="","",DATOS!$A422&amp;"|"&amp;DATOS!$D422&amp;"|"&amp;DATOS!$E422&amp;"|"&amp;DATOS!$I422)</f>
      </c>
      <c r="G422">
        <f>IF(DATOS!$A422="",0,IF(CONFIG_METADATA!$B$4&lt;&gt;"OR+EX",--(DATOS!$G422=CONFIG_METADATA!$B$4),IF(DATOS!$G422="EX",1,IF(DATOS!$G422="OR",--(COUNTIFS(nNIA,DATOS!$A422,nCURSO,DATOS!$D422,nESPEC,DATOS!$E422,nASIG,DATOS!$I422,nEVAL,"EX")=0),0))))</f>
      </c>
      <c r="H422">
        <f>IF(DATOS!$G422&lt;&gt;"EX",0,--(COUNTIFS(nNIA,DATOS!$A422,nCURSO,DATOS!$D422,nESPEC,DATOS!$E422,nASIG,DATOS!$I422,nEVAL,"OR")=0))</f>
      </c>
      <c r="I422">
        <f>IF(DATOS!$I422="","",IFERROR(VLOOKUP(DATOS!$I422,CONFIG_ASIGNATURAS!$B$2:$J$91,9,FALSE()),""))</f>
      </c>
    </row>
    <row r="423">
      <c r="F423">
        <f>IF(DATOS!$A423="","",DATOS!$A423&amp;"|"&amp;DATOS!$D423&amp;"|"&amp;DATOS!$E423&amp;"|"&amp;DATOS!$I423)</f>
      </c>
      <c r="G423">
        <f>IF(DATOS!$A423="",0,IF(CONFIG_METADATA!$B$4&lt;&gt;"OR+EX",--(DATOS!$G423=CONFIG_METADATA!$B$4),IF(DATOS!$G423="EX",1,IF(DATOS!$G423="OR",--(COUNTIFS(nNIA,DATOS!$A423,nCURSO,DATOS!$D423,nESPEC,DATOS!$E423,nASIG,DATOS!$I423,nEVAL,"EX")=0),0))))</f>
      </c>
      <c r="H423">
        <f>IF(DATOS!$G423&lt;&gt;"EX",0,--(COUNTIFS(nNIA,DATOS!$A423,nCURSO,DATOS!$D423,nESPEC,DATOS!$E423,nASIG,DATOS!$I423,nEVAL,"OR")=0))</f>
      </c>
      <c r="I423">
        <f>IF(DATOS!$I423="","",IFERROR(VLOOKUP(DATOS!$I423,CONFIG_ASIGNATURAS!$B$2:$J$91,9,FALSE()),""))</f>
      </c>
    </row>
    <row r="424">
      <c r="F424">
        <f>IF(DATOS!$A424="","",DATOS!$A424&amp;"|"&amp;DATOS!$D424&amp;"|"&amp;DATOS!$E424&amp;"|"&amp;DATOS!$I424)</f>
      </c>
      <c r="G424">
        <f>IF(DATOS!$A424="",0,IF(CONFIG_METADATA!$B$4&lt;&gt;"OR+EX",--(DATOS!$G424=CONFIG_METADATA!$B$4),IF(DATOS!$G424="EX",1,IF(DATOS!$G424="OR",--(COUNTIFS(nNIA,DATOS!$A424,nCURSO,DATOS!$D424,nESPEC,DATOS!$E424,nASIG,DATOS!$I424,nEVAL,"EX")=0),0))))</f>
      </c>
      <c r="H424">
        <f>IF(DATOS!$G424&lt;&gt;"EX",0,--(COUNTIFS(nNIA,DATOS!$A424,nCURSO,DATOS!$D424,nESPEC,DATOS!$E424,nASIG,DATOS!$I424,nEVAL,"OR")=0))</f>
      </c>
      <c r="I424">
        <f>IF(DATOS!$I424="","",IFERROR(VLOOKUP(DATOS!$I424,CONFIG_ASIGNATURAS!$B$2:$J$91,9,FALSE()),""))</f>
      </c>
    </row>
    <row r="425">
      <c r="F425">
        <f>IF(DATOS!$A425="","",DATOS!$A425&amp;"|"&amp;DATOS!$D425&amp;"|"&amp;DATOS!$E425&amp;"|"&amp;DATOS!$I425)</f>
      </c>
      <c r="G425">
        <f>IF(DATOS!$A425="",0,IF(CONFIG_METADATA!$B$4&lt;&gt;"OR+EX",--(DATOS!$G425=CONFIG_METADATA!$B$4),IF(DATOS!$G425="EX",1,IF(DATOS!$G425="OR",--(COUNTIFS(nNIA,DATOS!$A425,nCURSO,DATOS!$D425,nESPEC,DATOS!$E425,nASIG,DATOS!$I425,nEVAL,"EX")=0),0))))</f>
      </c>
      <c r="H425">
        <f>IF(DATOS!$G425&lt;&gt;"EX",0,--(COUNTIFS(nNIA,DATOS!$A425,nCURSO,DATOS!$D425,nESPEC,DATOS!$E425,nASIG,DATOS!$I425,nEVAL,"OR")=0))</f>
      </c>
      <c r="I425">
        <f>IF(DATOS!$I425="","",IFERROR(VLOOKUP(DATOS!$I425,CONFIG_ASIGNATURAS!$B$2:$J$91,9,FALSE()),""))</f>
      </c>
    </row>
    <row r="426">
      <c r="F426">
        <f>IF(DATOS!$A426="","",DATOS!$A426&amp;"|"&amp;DATOS!$D426&amp;"|"&amp;DATOS!$E426&amp;"|"&amp;DATOS!$I426)</f>
      </c>
      <c r="G426">
        <f>IF(DATOS!$A426="",0,IF(CONFIG_METADATA!$B$4&lt;&gt;"OR+EX",--(DATOS!$G426=CONFIG_METADATA!$B$4),IF(DATOS!$G426="EX",1,IF(DATOS!$G426="OR",--(COUNTIFS(nNIA,DATOS!$A426,nCURSO,DATOS!$D426,nESPEC,DATOS!$E426,nASIG,DATOS!$I426,nEVAL,"EX")=0),0))))</f>
      </c>
      <c r="H426">
        <f>IF(DATOS!$G426&lt;&gt;"EX",0,--(COUNTIFS(nNIA,DATOS!$A426,nCURSO,DATOS!$D426,nESPEC,DATOS!$E426,nASIG,DATOS!$I426,nEVAL,"OR")=0))</f>
      </c>
      <c r="I426">
        <f>IF(DATOS!$I426="","",IFERROR(VLOOKUP(DATOS!$I426,CONFIG_ASIGNATURAS!$B$2:$J$91,9,FALSE()),""))</f>
      </c>
    </row>
    <row r="427">
      <c r="F427">
        <f>IF(DATOS!$A427="","",DATOS!$A427&amp;"|"&amp;DATOS!$D427&amp;"|"&amp;DATOS!$E427&amp;"|"&amp;DATOS!$I427)</f>
      </c>
      <c r="G427">
        <f>IF(DATOS!$A427="",0,IF(CONFIG_METADATA!$B$4&lt;&gt;"OR+EX",--(DATOS!$G427=CONFIG_METADATA!$B$4),IF(DATOS!$G427="EX",1,IF(DATOS!$G427="OR",--(COUNTIFS(nNIA,DATOS!$A427,nCURSO,DATOS!$D427,nESPEC,DATOS!$E427,nASIG,DATOS!$I427,nEVAL,"EX")=0),0))))</f>
      </c>
      <c r="H427">
        <f>IF(DATOS!$G427&lt;&gt;"EX",0,--(COUNTIFS(nNIA,DATOS!$A427,nCURSO,DATOS!$D427,nESPEC,DATOS!$E427,nASIG,DATOS!$I427,nEVAL,"OR")=0))</f>
      </c>
      <c r="I427">
        <f>IF(DATOS!$I427="","",IFERROR(VLOOKUP(DATOS!$I427,CONFIG_ASIGNATURAS!$B$2:$J$91,9,FALSE()),""))</f>
      </c>
    </row>
    <row r="428">
      <c r="F428">
        <f>IF(DATOS!$A428="","",DATOS!$A428&amp;"|"&amp;DATOS!$D428&amp;"|"&amp;DATOS!$E428&amp;"|"&amp;DATOS!$I428)</f>
      </c>
      <c r="G428">
        <f>IF(DATOS!$A428="",0,IF(CONFIG_METADATA!$B$4&lt;&gt;"OR+EX",--(DATOS!$G428=CONFIG_METADATA!$B$4),IF(DATOS!$G428="EX",1,IF(DATOS!$G428="OR",--(COUNTIFS(nNIA,DATOS!$A428,nCURSO,DATOS!$D428,nESPEC,DATOS!$E428,nASIG,DATOS!$I428,nEVAL,"EX")=0),0))))</f>
      </c>
      <c r="H428">
        <f>IF(DATOS!$G428&lt;&gt;"EX",0,--(COUNTIFS(nNIA,DATOS!$A428,nCURSO,DATOS!$D428,nESPEC,DATOS!$E428,nASIG,DATOS!$I428,nEVAL,"OR")=0))</f>
      </c>
      <c r="I428">
        <f>IF(DATOS!$I428="","",IFERROR(VLOOKUP(DATOS!$I428,CONFIG_ASIGNATURAS!$B$2:$J$91,9,FALSE()),""))</f>
      </c>
    </row>
    <row r="429">
      <c r="F429">
        <f>IF(DATOS!$A429="","",DATOS!$A429&amp;"|"&amp;DATOS!$D429&amp;"|"&amp;DATOS!$E429&amp;"|"&amp;DATOS!$I429)</f>
      </c>
      <c r="G429">
        <f>IF(DATOS!$A429="",0,IF(CONFIG_METADATA!$B$4&lt;&gt;"OR+EX",--(DATOS!$G429=CONFIG_METADATA!$B$4),IF(DATOS!$G429="EX",1,IF(DATOS!$G429="OR",--(COUNTIFS(nNIA,DATOS!$A429,nCURSO,DATOS!$D429,nESPEC,DATOS!$E429,nASIG,DATOS!$I429,nEVAL,"EX")=0),0))))</f>
      </c>
      <c r="H429">
        <f>IF(DATOS!$G429&lt;&gt;"EX",0,--(COUNTIFS(nNIA,DATOS!$A429,nCURSO,DATOS!$D429,nESPEC,DATOS!$E429,nASIG,DATOS!$I429,nEVAL,"OR")=0))</f>
      </c>
      <c r="I429">
        <f>IF(DATOS!$I429="","",IFERROR(VLOOKUP(DATOS!$I429,CONFIG_ASIGNATURAS!$B$2:$J$91,9,FALSE()),""))</f>
      </c>
    </row>
    <row r="430">
      <c r="F430">
        <f>IF(DATOS!$A430="","",DATOS!$A430&amp;"|"&amp;DATOS!$D430&amp;"|"&amp;DATOS!$E430&amp;"|"&amp;DATOS!$I430)</f>
      </c>
      <c r="G430">
        <f>IF(DATOS!$A430="",0,IF(CONFIG_METADATA!$B$4&lt;&gt;"OR+EX",--(DATOS!$G430=CONFIG_METADATA!$B$4),IF(DATOS!$G430="EX",1,IF(DATOS!$G430="OR",--(COUNTIFS(nNIA,DATOS!$A430,nCURSO,DATOS!$D430,nESPEC,DATOS!$E430,nASIG,DATOS!$I430,nEVAL,"EX")=0),0))))</f>
      </c>
      <c r="H430">
        <f>IF(DATOS!$G430&lt;&gt;"EX",0,--(COUNTIFS(nNIA,DATOS!$A430,nCURSO,DATOS!$D430,nESPEC,DATOS!$E430,nASIG,DATOS!$I430,nEVAL,"OR")=0))</f>
      </c>
      <c r="I430">
        <f>IF(DATOS!$I430="","",IFERROR(VLOOKUP(DATOS!$I430,CONFIG_ASIGNATURAS!$B$2:$J$91,9,FALSE()),""))</f>
      </c>
    </row>
    <row r="431">
      <c r="F431">
        <f>IF(DATOS!$A431="","",DATOS!$A431&amp;"|"&amp;DATOS!$D431&amp;"|"&amp;DATOS!$E431&amp;"|"&amp;DATOS!$I431)</f>
      </c>
      <c r="G431">
        <f>IF(DATOS!$A431="",0,IF(CONFIG_METADATA!$B$4&lt;&gt;"OR+EX",--(DATOS!$G431=CONFIG_METADATA!$B$4),IF(DATOS!$G431="EX",1,IF(DATOS!$G431="OR",--(COUNTIFS(nNIA,DATOS!$A431,nCURSO,DATOS!$D431,nESPEC,DATOS!$E431,nASIG,DATOS!$I431,nEVAL,"EX")=0),0))))</f>
      </c>
      <c r="H431">
        <f>IF(DATOS!$G431&lt;&gt;"EX",0,--(COUNTIFS(nNIA,DATOS!$A431,nCURSO,DATOS!$D431,nESPEC,DATOS!$E431,nASIG,DATOS!$I431,nEVAL,"OR")=0))</f>
      </c>
      <c r="I431">
        <f>IF(DATOS!$I431="","",IFERROR(VLOOKUP(DATOS!$I431,CONFIG_ASIGNATURAS!$B$2:$J$91,9,FALSE()),""))</f>
      </c>
    </row>
    <row r="432">
      <c r="F432">
        <f>IF(DATOS!$A432="","",DATOS!$A432&amp;"|"&amp;DATOS!$D432&amp;"|"&amp;DATOS!$E432&amp;"|"&amp;DATOS!$I432)</f>
      </c>
      <c r="G432">
        <f>IF(DATOS!$A432="",0,IF(CONFIG_METADATA!$B$4&lt;&gt;"OR+EX",--(DATOS!$G432=CONFIG_METADATA!$B$4),IF(DATOS!$G432="EX",1,IF(DATOS!$G432="OR",--(COUNTIFS(nNIA,DATOS!$A432,nCURSO,DATOS!$D432,nESPEC,DATOS!$E432,nASIG,DATOS!$I432,nEVAL,"EX")=0),0))))</f>
      </c>
      <c r="H432">
        <f>IF(DATOS!$G432&lt;&gt;"EX",0,--(COUNTIFS(nNIA,DATOS!$A432,nCURSO,DATOS!$D432,nESPEC,DATOS!$E432,nASIG,DATOS!$I432,nEVAL,"OR")=0))</f>
      </c>
      <c r="I432">
        <f>IF(DATOS!$I432="","",IFERROR(VLOOKUP(DATOS!$I432,CONFIG_ASIGNATURAS!$B$2:$J$91,9,FALSE()),""))</f>
      </c>
    </row>
    <row r="433">
      <c r="F433">
        <f>IF(DATOS!$A433="","",DATOS!$A433&amp;"|"&amp;DATOS!$D433&amp;"|"&amp;DATOS!$E433&amp;"|"&amp;DATOS!$I433)</f>
      </c>
      <c r="G433">
        <f>IF(DATOS!$A433="",0,IF(CONFIG_METADATA!$B$4&lt;&gt;"OR+EX",--(DATOS!$G433=CONFIG_METADATA!$B$4),IF(DATOS!$G433="EX",1,IF(DATOS!$G433="OR",--(COUNTIFS(nNIA,DATOS!$A433,nCURSO,DATOS!$D433,nESPEC,DATOS!$E433,nASIG,DATOS!$I433,nEVAL,"EX")=0),0))))</f>
      </c>
      <c r="H433">
        <f>IF(DATOS!$G433&lt;&gt;"EX",0,--(COUNTIFS(nNIA,DATOS!$A433,nCURSO,DATOS!$D433,nESPEC,DATOS!$E433,nASIG,DATOS!$I433,nEVAL,"OR")=0))</f>
      </c>
      <c r="I433">
        <f>IF(DATOS!$I433="","",IFERROR(VLOOKUP(DATOS!$I433,CONFIG_ASIGNATURAS!$B$2:$J$91,9,FALSE()),""))</f>
      </c>
    </row>
    <row r="434">
      <c r="F434">
        <f>IF(DATOS!$A434="","",DATOS!$A434&amp;"|"&amp;DATOS!$D434&amp;"|"&amp;DATOS!$E434&amp;"|"&amp;DATOS!$I434)</f>
      </c>
      <c r="G434">
        <f>IF(DATOS!$A434="",0,IF(CONFIG_METADATA!$B$4&lt;&gt;"OR+EX",--(DATOS!$G434=CONFIG_METADATA!$B$4),IF(DATOS!$G434="EX",1,IF(DATOS!$G434="OR",--(COUNTIFS(nNIA,DATOS!$A434,nCURSO,DATOS!$D434,nESPEC,DATOS!$E434,nASIG,DATOS!$I434,nEVAL,"EX")=0),0))))</f>
      </c>
      <c r="H434">
        <f>IF(DATOS!$G434&lt;&gt;"EX",0,--(COUNTIFS(nNIA,DATOS!$A434,nCURSO,DATOS!$D434,nESPEC,DATOS!$E434,nASIG,DATOS!$I434,nEVAL,"OR")=0))</f>
      </c>
      <c r="I434">
        <f>IF(DATOS!$I434="","",IFERROR(VLOOKUP(DATOS!$I434,CONFIG_ASIGNATURAS!$B$2:$J$91,9,FALSE()),""))</f>
      </c>
    </row>
    <row r="435">
      <c r="F435">
        <f>IF(DATOS!$A435="","",DATOS!$A435&amp;"|"&amp;DATOS!$D435&amp;"|"&amp;DATOS!$E435&amp;"|"&amp;DATOS!$I435)</f>
      </c>
      <c r="G435">
        <f>IF(DATOS!$A435="",0,IF(CONFIG_METADATA!$B$4&lt;&gt;"OR+EX",--(DATOS!$G435=CONFIG_METADATA!$B$4),IF(DATOS!$G435="EX",1,IF(DATOS!$G435="OR",--(COUNTIFS(nNIA,DATOS!$A435,nCURSO,DATOS!$D435,nESPEC,DATOS!$E435,nASIG,DATOS!$I435,nEVAL,"EX")=0),0))))</f>
      </c>
      <c r="H435">
        <f>IF(DATOS!$G435&lt;&gt;"EX",0,--(COUNTIFS(nNIA,DATOS!$A435,nCURSO,DATOS!$D435,nESPEC,DATOS!$E435,nASIG,DATOS!$I435,nEVAL,"OR")=0))</f>
      </c>
      <c r="I435">
        <f>IF(DATOS!$I435="","",IFERROR(VLOOKUP(DATOS!$I435,CONFIG_ASIGNATURAS!$B$2:$J$91,9,FALSE()),""))</f>
      </c>
    </row>
    <row r="436">
      <c r="F436">
        <f>IF(DATOS!$A436="","",DATOS!$A436&amp;"|"&amp;DATOS!$D436&amp;"|"&amp;DATOS!$E436&amp;"|"&amp;DATOS!$I436)</f>
      </c>
      <c r="G436">
        <f>IF(DATOS!$A436="",0,IF(CONFIG_METADATA!$B$4&lt;&gt;"OR+EX",--(DATOS!$G436=CONFIG_METADATA!$B$4),IF(DATOS!$G436="EX",1,IF(DATOS!$G436="OR",--(COUNTIFS(nNIA,DATOS!$A436,nCURSO,DATOS!$D436,nESPEC,DATOS!$E436,nASIG,DATOS!$I436,nEVAL,"EX")=0),0))))</f>
      </c>
      <c r="H436">
        <f>IF(DATOS!$G436&lt;&gt;"EX",0,--(COUNTIFS(nNIA,DATOS!$A436,nCURSO,DATOS!$D436,nESPEC,DATOS!$E436,nASIG,DATOS!$I436,nEVAL,"OR")=0))</f>
      </c>
      <c r="I436">
        <f>IF(DATOS!$I436="","",IFERROR(VLOOKUP(DATOS!$I436,CONFIG_ASIGNATURAS!$B$2:$J$91,9,FALSE()),""))</f>
      </c>
    </row>
    <row r="437">
      <c r="F437">
        <f>IF(DATOS!$A437="","",DATOS!$A437&amp;"|"&amp;DATOS!$D437&amp;"|"&amp;DATOS!$E437&amp;"|"&amp;DATOS!$I437)</f>
      </c>
      <c r="G437">
        <f>IF(DATOS!$A437="",0,IF(CONFIG_METADATA!$B$4&lt;&gt;"OR+EX",--(DATOS!$G437=CONFIG_METADATA!$B$4),IF(DATOS!$G437="EX",1,IF(DATOS!$G437="OR",--(COUNTIFS(nNIA,DATOS!$A437,nCURSO,DATOS!$D437,nESPEC,DATOS!$E437,nASIG,DATOS!$I437,nEVAL,"EX")=0),0))))</f>
      </c>
      <c r="H437">
        <f>IF(DATOS!$G437&lt;&gt;"EX",0,--(COUNTIFS(nNIA,DATOS!$A437,nCURSO,DATOS!$D437,nESPEC,DATOS!$E437,nASIG,DATOS!$I437,nEVAL,"OR")=0))</f>
      </c>
      <c r="I437">
        <f>IF(DATOS!$I437="","",IFERROR(VLOOKUP(DATOS!$I437,CONFIG_ASIGNATURAS!$B$2:$J$91,9,FALSE()),""))</f>
      </c>
    </row>
    <row r="438">
      <c r="F438">
        <f>IF(DATOS!$A438="","",DATOS!$A438&amp;"|"&amp;DATOS!$D438&amp;"|"&amp;DATOS!$E438&amp;"|"&amp;DATOS!$I438)</f>
      </c>
      <c r="G438">
        <f>IF(DATOS!$A438="",0,IF(CONFIG_METADATA!$B$4&lt;&gt;"OR+EX",--(DATOS!$G438=CONFIG_METADATA!$B$4),IF(DATOS!$G438="EX",1,IF(DATOS!$G438="OR",--(COUNTIFS(nNIA,DATOS!$A438,nCURSO,DATOS!$D438,nESPEC,DATOS!$E438,nASIG,DATOS!$I438,nEVAL,"EX")=0),0))))</f>
      </c>
      <c r="H438">
        <f>IF(DATOS!$G438&lt;&gt;"EX",0,--(COUNTIFS(nNIA,DATOS!$A438,nCURSO,DATOS!$D438,nESPEC,DATOS!$E438,nASIG,DATOS!$I438,nEVAL,"OR")=0))</f>
      </c>
      <c r="I438">
        <f>IF(DATOS!$I438="","",IFERROR(VLOOKUP(DATOS!$I438,CONFIG_ASIGNATURAS!$B$2:$J$91,9,FALSE()),""))</f>
      </c>
    </row>
    <row r="439">
      <c r="F439">
        <f>IF(DATOS!$A439="","",DATOS!$A439&amp;"|"&amp;DATOS!$D439&amp;"|"&amp;DATOS!$E439&amp;"|"&amp;DATOS!$I439)</f>
      </c>
      <c r="G439">
        <f>IF(DATOS!$A439="",0,IF(CONFIG_METADATA!$B$4&lt;&gt;"OR+EX",--(DATOS!$G439=CONFIG_METADATA!$B$4),IF(DATOS!$G439="EX",1,IF(DATOS!$G439="OR",--(COUNTIFS(nNIA,DATOS!$A439,nCURSO,DATOS!$D439,nESPEC,DATOS!$E439,nASIG,DATOS!$I439,nEVAL,"EX")=0),0))))</f>
      </c>
      <c r="H439">
        <f>IF(DATOS!$G439&lt;&gt;"EX",0,--(COUNTIFS(nNIA,DATOS!$A439,nCURSO,DATOS!$D439,nESPEC,DATOS!$E439,nASIG,DATOS!$I439,nEVAL,"OR")=0))</f>
      </c>
      <c r="I439">
        <f>IF(DATOS!$I439="","",IFERROR(VLOOKUP(DATOS!$I439,CONFIG_ASIGNATURAS!$B$2:$J$91,9,FALSE()),""))</f>
      </c>
    </row>
    <row r="440">
      <c r="F440">
        <f>IF(DATOS!$A440="","",DATOS!$A440&amp;"|"&amp;DATOS!$D440&amp;"|"&amp;DATOS!$E440&amp;"|"&amp;DATOS!$I440)</f>
      </c>
      <c r="G440">
        <f>IF(DATOS!$A440="",0,IF(CONFIG_METADATA!$B$4&lt;&gt;"OR+EX",--(DATOS!$G440=CONFIG_METADATA!$B$4),IF(DATOS!$G440="EX",1,IF(DATOS!$G440="OR",--(COUNTIFS(nNIA,DATOS!$A440,nCURSO,DATOS!$D440,nESPEC,DATOS!$E440,nASIG,DATOS!$I440,nEVAL,"EX")=0),0))))</f>
      </c>
      <c r="H440">
        <f>IF(DATOS!$G440&lt;&gt;"EX",0,--(COUNTIFS(nNIA,DATOS!$A440,nCURSO,DATOS!$D440,nESPEC,DATOS!$E440,nASIG,DATOS!$I440,nEVAL,"OR")=0))</f>
      </c>
      <c r="I440">
        <f>IF(DATOS!$I440="","",IFERROR(VLOOKUP(DATOS!$I440,CONFIG_ASIGNATURAS!$B$2:$J$91,9,FALSE()),""))</f>
      </c>
    </row>
    <row r="441">
      <c r="F441">
        <f>IF(DATOS!$A441="","",DATOS!$A441&amp;"|"&amp;DATOS!$D441&amp;"|"&amp;DATOS!$E441&amp;"|"&amp;DATOS!$I441)</f>
      </c>
      <c r="G441">
        <f>IF(DATOS!$A441="",0,IF(CONFIG_METADATA!$B$4&lt;&gt;"OR+EX",--(DATOS!$G441=CONFIG_METADATA!$B$4),IF(DATOS!$G441="EX",1,IF(DATOS!$G441="OR",--(COUNTIFS(nNIA,DATOS!$A441,nCURSO,DATOS!$D441,nESPEC,DATOS!$E441,nASIG,DATOS!$I441,nEVAL,"EX")=0),0))))</f>
      </c>
      <c r="H441">
        <f>IF(DATOS!$G441&lt;&gt;"EX",0,--(COUNTIFS(nNIA,DATOS!$A441,nCURSO,DATOS!$D441,nESPEC,DATOS!$E441,nASIG,DATOS!$I441,nEVAL,"OR")=0))</f>
      </c>
      <c r="I441">
        <f>IF(DATOS!$I441="","",IFERROR(VLOOKUP(DATOS!$I441,CONFIG_ASIGNATURAS!$B$2:$J$91,9,FALSE()),""))</f>
      </c>
    </row>
    <row r="442">
      <c r="F442">
        <f>IF(DATOS!$A442="","",DATOS!$A442&amp;"|"&amp;DATOS!$D442&amp;"|"&amp;DATOS!$E442&amp;"|"&amp;DATOS!$I442)</f>
      </c>
      <c r="G442">
        <f>IF(DATOS!$A442="",0,IF(CONFIG_METADATA!$B$4&lt;&gt;"OR+EX",--(DATOS!$G442=CONFIG_METADATA!$B$4),IF(DATOS!$G442="EX",1,IF(DATOS!$G442="OR",--(COUNTIFS(nNIA,DATOS!$A442,nCURSO,DATOS!$D442,nESPEC,DATOS!$E442,nASIG,DATOS!$I442,nEVAL,"EX")=0),0))))</f>
      </c>
      <c r="H442">
        <f>IF(DATOS!$G442&lt;&gt;"EX",0,--(COUNTIFS(nNIA,DATOS!$A442,nCURSO,DATOS!$D442,nESPEC,DATOS!$E442,nASIG,DATOS!$I442,nEVAL,"OR")=0))</f>
      </c>
      <c r="I442">
        <f>IF(DATOS!$I442="","",IFERROR(VLOOKUP(DATOS!$I442,CONFIG_ASIGNATURAS!$B$2:$J$91,9,FALSE()),""))</f>
      </c>
    </row>
    <row r="443">
      <c r="F443">
        <f>IF(DATOS!$A443="","",DATOS!$A443&amp;"|"&amp;DATOS!$D443&amp;"|"&amp;DATOS!$E443&amp;"|"&amp;DATOS!$I443)</f>
      </c>
      <c r="G443">
        <f>IF(DATOS!$A443="",0,IF(CONFIG_METADATA!$B$4&lt;&gt;"OR+EX",--(DATOS!$G443=CONFIG_METADATA!$B$4),IF(DATOS!$G443="EX",1,IF(DATOS!$G443="OR",--(COUNTIFS(nNIA,DATOS!$A443,nCURSO,DATOS!$D443,nESPEC,DATOS!$E443,nASIG,DATOS!$I443,nEVAL,"EX")=0),0))))</f>
      </c>
      <c r="H443">
        <f>IF(DATOS!$G443&lt;&gt;"EX",0,--(COUNTIFS(nNIA,DATOS!$A443,nCURSO,DATOS!$D443,nESPEC,DATOS!$E443,nASIG,DATOS!$I443,nEVAL,"OR")=0))</f>
      </c>
      <c r="I443">
        <f>IF(DATOS!$I443="","",IFERROR(VLOOKUP(DATOS!$I443,CONFIG_ASIGNATURAS!$B$2:$J$91,9,FALSE()),""))</f>
      </c>
    </row>
    <row r="444">
      <c r="F444">
        <f>IF(DATOS!$A444="","",DATOS!$A444&amp;"|"&amp;DATOS!$D444&amp;"|"&amp;DATOS!$E444&amp;"|"&amp;DATOS!$I444)</f>
      </c>
      <c r="G444">
        <f>IF(DATOS!$A444="",0,IF(CONFIG_METADATA!$B$4&lt;&gt;"OR+EX",--(DATOS!$G444=CONFIG_METADATA!$B$4),IF(DATOS!$G444="EX",1,IF(DATOS!$G444="OR",--(COUNTIFS(nNIA,DATOS!$A444,nCURSO,DATOS!$D444,nESPEC,DATOS!$E444,nASIG,DATOS!$I444,nEVAL,"EX")=0),0))))</f>
      </c>
      <c r="H444">
        <f>IF(DATOS!$G444&lt;&gt;"EX",0,--(COUNTIFS(nNIA,DATOS!$A444,nCURSO,DATOS!$D444,nESPEC,DATOS!$E444,nASIG,DATOS!$I444,nEVAL,"OR")=0))</f>
      </c>
      <c r="I444">
        <f>IF(DATOS!$I444="","",IFERROR(VLOOKUP(DATOS!$I444,CONFIG_ASIGNATURAS!$B$2:$J$91,9,FALSE()),""))</f>
      </c>
    </row>
    <row r="445">
      <c r="F445">
        <f>IF(DATOS!$A445="","",DATOS!$A445&amp;"|"&amp;DATOS!$D445&amp;"|"&amp;DATOS!$E445&amp;"|"&amp;DATOS!$I445)</f>
      </c>
      <c r="G445">
        <f>IF(DATOS!$A445="",0,IF(CONFIG_METADATA!$B$4&lt;&gt;"OR+EX",--(DATOS!$G445=CONFIG_METADATA!$B$4),IF(DATOS!$G445="EX",1,IF(DATOS!$G445="OR",--(COUNTIFS(nNIA,DATOS!$A445,nCURSO,DATOS!$D445,nESPEC,DATOS!$E445,nASIG,DATOS!$I445,nEVAL,"EX")=0),0))))</f>
      </c>
      <c r="H445">
        <f>IF(DATOS!$G445&lt;&gt;"EX",0,--(COUNTIFS(nNIA,DATOS!$A445,nCURSO,DATOS!$D445,nESPEC,DATOS!$E445,nASIG,DATOS!$I445,nEVAL,"OR")=0))</f>
      </c>
      <c r="I445">
        <f>IF(DATOS!$I445="","",IFERROR(VLOOKUP(DATOS!$I445,CONFIG_ASIGNATURAS!$B$2:$J$91,9,FALSE()),""))</f>
      </c>
    </row>
    <row r="446">
      <c r="F446">
        <f>IF(DATOS!$A446="","",DATOS!$A446&amp;"|"&amp;DATOS!$D446&amp;"|"&amp;DATOS!$E446&amp;"|"&amp;DATOS!$I446)</f>
      </c>
      <c r="G446">
        <f>IF(DATOS!$A446="",0,IF(CONFIG_METADATA!$B$4&lt;&gt;"OR+EX",--(DATOS!$G446=CONFIG_METADATA!$B$4),IF(DATOS!$G446="EX",1,IF(DATOS!$G446="OR",--(COUNTIFS(nNIA,DATOS!$A446,nCURSO,DATOS!$D446,nESPEC,DATOS!$E446,nASIG,DATOS!$I446,nEVAL,"EX")=0),0))))</f>
      </c>
      <c r="H446">
        <f>IF(DATOS!$G446&lt;&gt;"EX",0,--(COUNTIFS(nNIA,DATOS!$A446,nCURSO,DATOS!$D446,nESPEC,DATOS!$E446,nASIG,DATOS!$I446,nEVAL,"OR")=0))</f>
      </c>
      <c r="I446">
        <f>IF(DATOS!$I446="","",IFERROR(VLOOKUP(DATOS!$I446,CONFIG_ASIGNATURAS!$B$2:$J$91,9,FALSE()),""))</f>
      </c>
    </row>
    <row r="447">
      <c r="F447">
        <f>IF(DATOS!$A447="","",DATOS!$A447&amp;"|"&amp;DATOS!$D447&amp;"|"&amp;DATOS!$E447&amp;"|"&amp;DATOS!$I447)</f>
      </c>
      <c r="G447">
        <f>IF(DATOS!$A447="",0,IF(CONFIG_METADATA!$B$4&lt;&gt;"OR+EX",--(DATOS!$G447=CONFIG_METADATA!$B$4),IF(DATOS!$G447="EX",1,IF(DATOS!$G447="OR",--(COUNTIFS(nNIA,DATOS!$A447,nCURSO,DATOS!$D447,nESPEC,DATOS!$E447,nASIG,DATOS!$I447,nEVAL,"EX")=0),0))))</f>
      </c>
      <c r="H447">
        <f>IF(DATOS!$G447&lt;&gt;"EX",0,--(COUNTIFS(nNIA,DATOS!$A447,nCURSO,DATOS!$D447,nESPEC,DATOS!$E447,nASIG,DATOS!$I447,nEVAL,"OR")=0))</f>
      </c>
      <c r="I447">
        <f>IF(DATOS!$I447="","",IFERROR(VLOOKUP(DATOS!$I447,CONFIG_ASIGNATURAS!$B$2:$J$91,9,FALSE()),""))</f>
      </c>
    </row>
    <row r="448">
      <c r="F448">
        <f>IF(DATOS!$A448="","",DATOS!$A448&amp;"|"&amp;DATOS!$D448&amp;"|"&amp;DATOS!$E448&amp;"|"&amp;DATOS!$I448)</f>
      </c>
      <c r="G448">
        <f>IF(DATOS!$A448="",0,IF(CONFIG_METADATA!$B$4&lt;&gt;"OR+EX",--(DATOS!$G448=CONFIG_METADATA!$B$4),IF(DATOS!$G448="EX",1,IF(DATOS!$G448="OR",--(COUNTIFS(nNIA,DATOS!$A448,nCURSO,DATOS!$D448,nESPEC,DATOS!$E448,nASIG,DATOS!$I448,nEVAL,"EX")=0),0))))</f>
      </c>
      <c r="H448">
        <f>IF(DATOS!$G448&lt;&gt;"EX",0,--(COUNTIFS(nNIA,DATOS!$A448,nCURSO,DATOS!$D448,nESPEC,DATOS!$E448,nASIG,DATOS!$I448,nEVAL,"OR")=0))</f>
      </c>
      <c r="I448">
        <f>IF(DATOS!$I448="","",IFERROR(VLOOKUP(DATOS!$I448,CONFIG_ASIGNATURAS!$B$2:$J$91,9,FALSE()),""))</f>
      </c>
    </row>
    <row r="449">
      <c r="F449">
        <f>IF(DATOS!$A449="","",DATOS!$A449&amp;"|"&amp;DATOS!$D449&amp;"|"&amp;DATOS!$E449&amp;"|"&amp;DATOS!$I449)</f>
      </c>
      <c r="G449">
        <f>IF(DATOS!$A449="",0,IF(CONFIG_METADATA!$B$4&lt;&gt;"OR+EX",--(DATOS!$G449=CONFIG_METADATA!$B$4),IF(DATOS!$G449="EX",1,IF(DATOS!$G449="OR",--(COUNTIFS(nNIA,DATOS!$A449,nCURSO,DATOS!$D449,nESPEC,DATOS!$E449,nASIG,DATOS!$I449,nEVAL,"EX")=0),0))))</f>
      </c>
      <c r="H449">
        <f>IF(DATOS!$G449&lt;&gt;"EX",0,--(COUNTIFS(nNIA,DATOS!$A449,nCURSO,DATOS!$D449,nESPEC,DATOS!$E449,nASIG,DATOS!$I449,nEVAL,"OR")=0))</f>
      </c>
      <c r="I449">
        <f>IF(DATOS!$I449="","",IFERROR(VLOOKUP(DATOS!$I449,CONFIG_ASIGNATURAS!$B$2:$J$91,9,FALSE()),""))</f>
      </c>
    </row>
    <row r="450">
      <c r="F450">
        <f>IF(DATOS!$A450="","",DATOS!$A450&amp;"|"&amp;DATOS!$D450&amp;"|"&amp;DATOS!$E450&amp;"|"&amp;DATOS!$I450)</f>
      </c>
      <c r="G450">
        <f>IF(DATOS!$A450="",0,IF(CONFIG_METADATA!$B$4&lt;&gt;"OR+EX",--(DATOS!$G450=CONFIG_METADATA!$B$4),IF(DATOS!$G450="EX",1,IF(DATOS!$G450="OR",--(COUNTIFS(nNIA,DATOS!$A450,nCURSO,DATOS!$D450,nESPEC,DATOS!$E450,nASIG,DATOS!$I450,nEVAL,"EX")=0),0))))</f>
      </c>
      <c r="H450">
        <f>IF(DATOS!$G450&lt;&gt;"EX",0,--(COUNTIFS(nNIA,DATOS!$A450,nCURSO,DATOS!$D450,nESPEC,DATOS!$E450,nASIG,DATOS!$I450,nEVAL,"OR")=0))</f>
      </c>
      <c r="I450">
        <f>IF(DATOS!$I450="","",IFERROR(VLOOKUP(DATOS!$I450,CONFIG_ASIGNATURAS!$B$2:$J$91,9,FALSE()),""))</f>
      </c>
    </row>
    <row r="451">
      <c r="F451">
        <f>IF(DATOS!$A451="","",DATOS!$A451&amp;"|"&amp;DATOS!$D451&amp;"|"&amp;DATOS!$E451&amp;"|"&amp;DATOS!$I451)</f>
      </c>
      <c r="G451">
        <f>IF(DATOS!$A451="",0,IF(CONFIG_METADATA!$B$4&lt;&gt;"OR+EX",--(DATOS!$G451=CONFIG_METADATA!$B$4),IF(DATOS!$G451="EX",1,IF(DATOS!$G451="OR",--(COUNTIFS(nNIA,DATOS!$A451,nCURSO,DATOS!$D451,nESPEC,DATOS!$E451,nASIG,DATOS!$I451,nEVAL,"EX")=0),0))))</f>
      </c>
      <c r="H451">
        <f>IF(DATOS!$G451&lt;&gt;"EX",0,--(COUNTIFS(nNIA,DATOS!$A451,nCURSO,DATOS!$D451,nESPEC,DATOS!$E451,nASIG,DATOS!$I451,nEVAL,"OR")=0))</f>
      </c>
      <c r="I451">
        <f>IF(DATOS!$I451="","",IFERROR(VLOOKUP(DATOS!$I451,CONFIG_ASIGNATURAS!$B$2:$J$91,9,FALSE()),""))</f>
      </c>
    </row>
    <row r="452">
      <c r="F452">
        <f>IF(DATOS!$A452="","",DATOS!$A452&amp;"|"&amp;DATOS!$D452&amp;"|"&amp;DATOS!$E452&amp;"|"&amp;DATOS!$I452)</f>
      </c>
      <c r="G452">
        <f>IF(DATOS!$A452="",0,IF(CONFIG_METADATA!$B$4&lt;&gt;"OR+EX",--(DATOS!$G452=CONFIG_METADATA!$B$4),IF(DATOS!$G452="EX",1,IF(DATOS!$G452="OR",--(COUNTIFS(nNIA,DATOS!$A452,nCURSO,DATOS!$D452,nESPEC,DATOS!$E452,nASIG,DATOS!$I452,nEVAL,"EX")=0),0))))</f>
      </c>
      <c r="H452">
        <f>IF(DATOS!$G452&lt;&gt;"EX",0,--(COUNTIFS(nNIA,DATOS!$A452,nCURSO,DATOS!$D452,nESPEC,DATOS!$E452,nASIG,DATOS!$I452,nEVAL,"OR")=0))</f>
      </c>
      <c r="I452">
        <f>IF(DATOS!$I452="","",IFERROR(VLOOKUP(DATOS!$I452,CONFIG_ASIGNATURAS!$B$2:$J$91,9,FALSE()),""))</f>
      </c>
    </row>
    <row r="453">
      <c r="F453">
        <f>IF(DATOS!$A453="","",DATOS!$A453&amp;"|"&amp;DATOS!$D453&amp;"|"&amp;DATOS!$E453&amp;"|"&amp;DATOS!$I453)</f>
      </c>
      <c r="G453">
        <f>IF(DATOS!$A453="",0,IF(CONFIG_METADATA!$B$4&lt;&gt;"OR+EX",--(DATOS!$G453=CONFIG_METADATA!$B$4),IF(DATOS!$G453="EX",1,IF(DATOS!$G453="OR",--(COUNTIFS(nNIA,DATOS!$A453,nCURSO,DATOS!$D453,nESPEC,DATOS!$E453,nASIG,DATOS!$I453,nEVAL,"EX")=0),0))))</f>
      </c>
      <c r="H453">
        <f>IF(DATOS!$G453&lt;&gt;"EX",0,--(COUNTIFS(nNIA,DATOS!$A453,nCURSO,DATOS!$D453,nESPEC,DATOS!$E453,nASIG,DATOS!$I453,nEVAL,"OR")=0))</f>
      </c>
      <c r="I453">
        <f>IF(DATOS!$I453="","",IFERROR(VLOOKUP(DATOS!$I453,CONFIG_ASIGNATURAS!$B$2:$J$91,9,FALSE()),""))</f>
      </c>
    </row>
    <row r="454">
      <c r="F454">
        <f>IF(DATOS!$A454="","",DATOS!$A454&amp;"|"&amp;DATOS!$D454&amp;"|"&amp;DATOS!$E454&amp;"|"&amp;DATOS!$I454)</f>
      </c>
      <c r="G454">
        <f>IF(DATOS!$A454="",0,IF(CONFIG_METADATA!$B$4&lt;&gt;"OR+EX",--(DATOS!$G454=CONFIG_METADATA!$B$4),IF(DATOS!$G454="EX",1,IF(DATOS!$G454="OR",--(COUNTIFS(nNIA,DATOS!$A454,nCURSO,DATOS!$D454,nESPEC,DATOS!$E454,nASIG,DATOS!$I454,nEVAL,"EX")=0),0))))</f>
      </c>
      <c r="H454">
        <f>IF(DATOS!$G454&lt;&gt;"EX",0,--(COUNTIFS(nNIA,DATOS!$A454,nCURSO,DATOS!$D454,nESPEC,DATOS!$E454,nASIG,DATOS!$I454,nEVAL,"OR")=0))</f>
      </c>
      <c r="I454">
        <f>IF(DATOS!$I454="","",IFERROR(VLOOKUP(DATOS!$I454,CONFIG_ASIGNATURAS!$B$2:$J$91,9,FALSE()),""))</f>
      </c>
    </row>
    <row r="455">
      <c r="F455">
        <f>IF(DATOS!$A455="","",DATOS!$A455&amp;"|"&amp;DATOS!$D455&amp;"|"&amp;DATOS!$E455&amp;"|"&amp;DATOS!$I455)</f>
      </c>
      <c r="G455">
        <f>IF(DATOS!$A455="",0,IF(CONFIG_METADATA!$B$4&lt;&gt;"OR+EX",--(DATOS!$G455=CONFIG_METADATA!$B$4),IF(DATOS!$G455="EX",1,IF(DATOS!$G455="OR",--(COUNTIFS(nNIA,DATOS!$A455,nCURSO,DATOS!$D455,nESPEC,DATOS!$E455,nASIG,DATOS!$I455,nEVAL,"EX")=0),0))))</f>
      </c>
      <c r="H455">
        <f>IF(DATOS!$G455&lt;&gt;"EX",0,--(COUNTIFS(nNIA,DATOS!$A455,nCURSO,DATOS!$D455,nESPEC,DATOS!$E455,nASIG,DATOS!$I455,nEVAL,"OR")=0))</f>
      </c>
      <c r="I455">
        <f>IF(DATOS!$I455="","",IFERROR(VLOOKUP(DATOS!$I455,CONFIG_ASIGNATURAS!$B$2:$J$91,9,FALSE()),""))</f>
      </c>
    </row>
    <row r="456">
      <c r="F456">
        <f>IF(DATOS!$A456="","",DATOS!$A456&amp;"|"&amp;DATOS!$D456&amp;"|"&amp;DATOS!$E456&amp;"|"&amp;DATOS!$I456)</f>
      </c>
      <c r="G456">
        <f>IF(DATOS!$A456="",0,IF(CONFIG_METADATA!$B$4&lt;&gt;"OR+EX",--(DATOS!$G456=CONFIG_METADATA!$B$4),IF(DATOS!$G456="EX",1,IF(DATOS!$G456="OR",--(COUNTIFS(nNIA,DATOS!$A456,nCURSO,DATOS!$D456,nESPEC,DATOS!$E456,nASIG,DATOS!$I456,nEVAL,"EX")=0),0))))</f>
      </c>
      <c r="H456">
        <f>IF(DATOS!$G456&lt;&gt;"EX",0,--(COUNTIFS(nNIA,DATOS!$A456,nCURSO,DATOS!$D456,nESPEC,DATOS!$E456,nASIG,DATOS!$I456,nEVAL,"OR")=0))</f>
      </c>
      <c r="I456">
        <f>IF(DATOS!$I456="","",IFERROR(VLOOKUP(DATOS!$I456,CONFIG_ASIGNATURAS!$B$2:$J$91,9,FALSE()),""))</f>
      </c>
    </row>
    <row r="457">
      <c r="F457">
        <f>IF(DATOS!$A457="","",DATOS!$A457&amp;"|"&amp;DATOS!$D457&amp;"|"&amp;DATOS!$E457&amp;"|"&amp;DATOS!$I457)</f>
      </c>
      <c r="G457">
        <f>IF(DATOS!$A457="",0,IF(CONFIG_METADATA!$B$4&lt;&gt;"OR+EX",--(DATOS!$G457=CONFIG_METADATA!$B$4),IF(DATOS!$G457="EX",1,IF(DATOS!$G457="OR",--(COUNTIFS(nNIA,DATOS!$A457,nCURSO,DATOS!$D457,nESPEC,DATOS!$E457,nASIG,DATOS!$I457,nEVAL,"EX")=0),0))))</f>
      </c>
      <c r="H457">
        <f>IF(DATOS!$G457&lt;&gt;"EX",0,--(COUNTIFS(nNIA,DATOS!$A457,nCURSO,DATOS!$D457,nESPEC,DATOS!$E457,nASIG,DATOS!$I457,nEVAL,"OR")=0))</f>
      </c>
      <c r="I457">
        <f>IF(DATOS!$I457="","",IFERROR(VLOOKUP(DATOS!$I457,CONFIG_ASIGNATURAS!$B$2:$J$91,9,FALSE()),""))</f>
      </c>
    </row>
    <row r="458">
      <c r="F458">
        <f>IF(DATOS!$A458="","",DATOS!$A458&amp;"|"&amp;DATOS!$D458&amp;"|"&amp;DATOS!$E458&amp;"|"&amp;DATOS!$I458)</f>
      </c>
      <c r="G458">
        <f>IF(DATOS!$A458="",0,IF(CONFIG_METADATA!$B$4&lt;&gt;"OR+EX",--(DATOS!$G458=CONFIG_METADATA!$B$4),IF(DATOS!$G458="EX",1,IF(DATOS!$G458="OR",--(COUNTIFS(nNIA,DATOS!$A458,nCURSO,DATOS!$D458,nESPEC,DATOS!$E458,nASIG,DATOS!$I458,nEVAL,"EX")=0),0))))</f>
      </c>
      <c r="H458">
        <f>IF(DATOS!$G458&lt;&gt;"EX",0,--(COUNTIFS(nNIA,DATOS!$A458,nCURSO,DATOS!$D458,nESPEC,DATOS!$E458,nASIG,DATOS!$I458,nEVAL,"OR")=0))</f>
      </c>
      <c r="I458">
        <f>IF(DATOS!$I458="","",IFERROR(VLOOKUP(DATOS!$I458,CONFIG_ASIGNATURAS!$B$2:$J$91,9,FALSE()),""))</f>
      </c>
    </row>
    <row r="459">
      <c r="F459">
        <f>IF(DATOS!$A459="","",DATOS!$A459&amp;"|"&amp;DATOS!$D459&amp;"|"&amp;DATOS!$E459&amp;"|"&amp;DATOS!$I459)</f>
      </c>
      <c r="G459">
        <f>IF(DATOS!$A459="",0,IF(CONFIG_METADATA!$B$4&lt;&gt;"OR+EX",--(DATOS!$G459=CONFIG_METADATA!$B$4),IF(DATOS!$G459="EX",1,IF(DATOS!$G459="OR",--(COUNTIFS(nNIA,DATOS!$A459,nCURSO,DATOS!$D459,nESPEC,DATOS!$E459,nASIG,DATOS!$I459,nEVAL,"EX")=0),0))))</f>
      </c>
      <c r="H459">
        <f>IF(DATOS!$G459&lt;&gt;"EX",0,--(COUNTIFS(nNIA,DATOS!$A459,nCURSO,DATOS!$D459,nESPEC,DATOS!$E459,nASIG,DATOS!$I459,nEVAL,"OR")=0))</f>
      </c>
      <c r="I459">
        <f>IF(DATOS!$I459="","",IFERROR(VLOOKUP(DATOS!$I459,CONFIG_ASIGNATURAS!$B$2:$J$91,9,FALSE()),""))</f>
      </c>
    </row>
    <row r="460">
      <c r="F460">
        <f>IF(DATOS!$A460="","",DATOS!$A460&amp;"|"&amp;DATOS!$D460&amp;"|"&amp;DATOS!$E460&amp;"|"&amp;DATOS!$I460)</f>
      </c>
      <c r="G460">
        <f>IF(DATOS!$A460="",0,IF(CONFIG_METADATA!$B$4&lt;&gt;"OR+EX",--(DATOS!$G460=CONFIG_METADATA!$B$4),IF(DATOS!$G460="EX",1,IF(DATOS!$G460="OR",--(COUNTIFS(nNIA,DATOS!$A460,nCURSO,DATOS!$D460,nESPEC,DATOS!$E460,nASIG,DATOS!$I460,nEVAL,"EX")=0),0))))</f>
      </c>
      <c r="H460">
        <f>IF(DATOS!$G460&lt;&gt;"EX",0,--(COUNTIFS(nNIA,DATOS!$A460,nCURSO,DATOS!$D460,nESPEC,DATOS!$E460,nASIG,DATOS!$I460,nEVAL,"OR")=0))</f>
      </c>
      <c r="I460">
        <f>IF(DATOS!$I460="","",IFERROR(VLOOKUP(DATOS!$I460,CONFIG_ASIGNATURAS!$B$2:$J$91,9,FALSE()),""))</f>
      </c>
    </row>
    <row r="461">
      <c r="F461">
        <f>IF(DATOS!$A461="","",DATOS!$A461&amp;"|"&amp;DATOS!$D461&amp;"|"&amp;DATOS!$E461&amp;"|"&amp;DATOS!$I461)</f>
      </c>
      <c r="G461">
        <f>IF(DATOS!$A461="",0,IF(CONFIG_METADATA!$B$4&lt;&gt;"OR+EX",--(DATOS!$G461=CONFIG_METADATA!$B$4),IF(DATOS!$G461="EX",1,IF(DATOS!$G461="OR",--(COUNTIFS(nNIA,DATOS!$A461,nCURSO,DATOS!$D461,nESPEC,DATOS!$E461,nASIG,DATOS!$I461,nEVAL,"EX")=0),0))))</f>
      </c>
      <c r="H461">
        <f>IF(DATOS!$G461&lt;&gt;"EX",0,--(COUNTIFS(nNIA,DATOS!$A461,nCURSO,DATOS!$D461,nESPEC,DATOS!$E461,nASIG,DATOS!$I461,nEVAL,"OR")=0))</f>
      </c>
      <c r="I461">
        <f>IF(DATOS!$I461="","",IFERROR(VLOOKUP(DATOS!$I461,CONFIG_ASIGNATURAS!$B$2:$J$91,9,FALSE()),""))</f>
      </c>
    </row>
    <row r="462">
      <c r="F462">
        <f>IF(DATOS!$A462="","",DATOS!$A462&amp;"|"&amp;DATOS!$D462&amp;"|"&amp;DATOS!$E462&amp;"|"&amp;DATOS!$I462)</f>
      </c>
      <c r="G462">
        <f>IF(DATOS!$A462="",0,IF(CONFIG_METADATA!$B$4&lt;&gt;"OR+EX",--(DATOS!$G462=CONFIG_METADATA!$B$4),IF(DATOS!$G462="EX",1,IF(DATOS!$G462="OR",--(COUNTIFS(nNIA,DATOS!$A462,nCURSO,DATOS!$D462,nESPEC,DATOS!$E462,nASIG,DATOS!$I462,nEVAL,"EX")=0),0))))</f>
      </c>
      <c r="H462">
        <f>IF(DATOS!$G462&lt;&gt;"EX",0,--(COUNTIFS(nNIA,DATOS!$A462,nCURSO,DATOS!$D462,nESPEC,DATOS!$E462,nASIG,DATOS!$I462,nEVAL,"OR")=0))</f>
      </c>
      <c r="I462">
        <f>IF(DATOS!$I462="","",IFERROR(VLOOKUP(DATOS!$I462,CONFIG_ASIGNATURAS!$B$2:$J$91,9,FALSE()),""))</f>
      </c>
    </row>
    <row r="463">
      <c r="F463">
        <f>IF(DATOS!$A463="","",DATOS!$A463&amp;"|"&amp;DATOS!$D463&amp;"|"&amp;DATOS!$E463&amp;"|"&amp;DATOS!$I463)</f>
      </c>
      <c r="G463">
        <f>IF(DATOS!$A463="",0,IF(CONFIG_METADATA!$B$4&lt;&gt;"OR+EX",--(DATOS!$G463=CONFIG_METADATA!$B$4),IF(DATOS!$G463="EX",1,IF(DATOS!$G463="OR",--(COUNTIFS(nNIA,DATOS!$A463,nCURSO,DATOS!$D463,nESPEC,DATOS!$E463,nASIG,DATOS!$I463,nEVAL,"EX")=0),0))))</f>
      </c>
      <c r="H463">
        <f>IF(DATOS!$G463&lt;&gt;"EX",0,--(COUNTIFS(nNIA,DATOS!$A463,nCURSO,DATOS!$D463,nESPEC,DATOS!$E463,nASIG,DATOS!$I463,nEVAL,"OR")=0))</f>
      </c>
      <c r="I463">
        <f>IF(DATOS!$I463="","",IFERROR(VLOOKUP(DATOS!$I463,CONFIG_ASIGNATURAS!$B$2:$J$91,9,FALSE()),""))</f>
      </c>
    </row>
    <row r="464">
      <c r="F464">
        <f>IF(DATOS!$A464="","",DATOS!$A464&amp;"|"&amp;DATOS!$D464&amp;"|"&amp;DATOS!$E464&amp;"|"&amp;DATOS!$I464)</f>
      </c>
      <c r="G464">
        <f>IF(DATOS!$A464="",0,IF(CONFIG_METADATA!$B$4&lt;&gt;"OR+EX",--(DATOS!$G464=CONFIG_METADATA!$B$4),IF(DATOS!$G464="EX",1,IF(DATOS!$G464="OR",--(COUNTIFS(nNIA,DATOS!$A464,nCURSO,DATOS!$D464,nESPEC,DATOS!$E464,nASIG,DATOS!$I464,nEVAL,"EX")=0),0))))</f>
      </c>
      <c r="H464">
        <f>IF(DATOS!$G464&lt;&gt;"EX",0,--(COUNTIFS(nNIA,DATOS!$A464,nCURSO,DATOS!$D464,nESPEC,DATOS!$E464,nASIG,DATOS!$I464,nEVAL,"OR")=0))</f>
      </c>
      <c r="I464">
        <f>IF(DATOS!$I464="","",IFERROR(VLOOKUP(DATOS!$I464,CONFIG_ASIGNATURAS!$B$2:$J$91,9,FALSE()),""))</f>
      </c>
    </row>
    <row r="465">
      <c r="F465">
        <f>IF(DATOS!$A465="","",DATOS!$A465&amp;"|"&amp;DATOS!$D465&amp;"|"&amp;DATOS!$E465&amp;"|"&amp;DATOS!$I465)</f>
      </c>
      <c r="G465">
        <f>IF(DATOS!$A465="",0,IF(CONFIG_METADATA!$B$4&lt;&gt;"OR+EX",--(DATOS!$G465=CONFIG_METADATA!$B$4),IF(DATOS!$G465="EX",1,IF(DATOS!$G465="OR",--(COUNTIFS(nNIA,DATOS!$A465,nCURSO,DATOS!$D465,nESPEC,DATOS!$E465,nASIG,DATOS!$I465,nEVAL,"EX")=0),0))))</f>
      </c>
      <c r="H465">
        <f>IF(DATOS!$G465&lt;&gt;"EX",0,--(COUNTIFS(nNIA,DATOS!$A465,nCURSO,DATOS!$D465,nESPEC,DATOS!$E465,nASIG,DATOS!$I465,nEVAL,"OR")=0))</f>
      </c>
      <c r="I465">
        <f>IF(DATOS!$I465="","",IFERROR(VLOOKUP(DATOS!$I465,CONFIG_ASIGNATURAS!$B$2:$J$91,9,FALSE()),""))</f>
      </c>
    </row>
    <row r="466">
      <c r="F466">
        <f>IF(DATOS!$A466="","",DATOS!$A466&amp;"|"&amp;DATOS!$D466&amp;"|"&amp;DATOS!$E466&amp;"|"&amp;DATOS!$I466)</f>
      </c>
      <c r="G466">
        <f>IF(DATOS!$A466="",0,IF(CONFIG_METADATA!$B$4&lt;&gt;"OR+EX",--(DATOS!$G466=CONFIG_METADATA!$B$4),IF(DATOS!$G466="EX",1,IF(DATOS!$G466="OR",--(COUNTIFS(nNIA,DATOS!$A466,nCURSO,DATOS!$D466,nESPEC,DATOS!$E466,nASIG,DATOS!$I466,nEVAL,"EX")=0),0))))</f>
      </c>
      <c r="H466">
        <f>IF(DATOS!$G466&lt;&gt;"EX",0,--(COUNTIFS(nNIA,DATOS!$A466,nCURSO,DATOS!$D466,nESPEC,DATOS!$E466,nASIG,DATOS!$I466,nEVAL,"OR")=0))</f>
      </c>
      <c r="I466">
        <f>IF(DATOS!$I466="","",IFERROR(VLOOKUP(DATOS!$I466,CONFIG_ASIGNATURAS!$B$2:$J$91,9,FALSE()),""))</f>
      </c>
    </row>
    <row r="467">
      <c r="F467">
        <f>IF(DATOS!$A467="","",DATOS!$A467&amp;"|"&amp;DATOS!$D467&amp;"|"&amp;DATOS!$E467&amp;"|"&amp;DATOS!$I467)</f>
      </c>
      <c r="G467">
        <f>IF(DATOS!$A467="",0,IF(CONFIG_METADATA!$B$4&lt;&gt;"OR+EX",--(DATOS!$G467=CONFIG_METADATA!$B$4),IF(DATOS!$G467="EX",1,IF(DATOS!$G467="OR",--(COUNTIFS(nNIA,DATOS!$A467,nCURSO,DATOS!$D467,nESPEC,DATOS!$E467,nASIG,DATOS!$I467,nEVAL,"EX")=0),0))))</f>
      </c>
      <c r="H467">
        <f>IF(DATOS!$G467&lt;&gt;"EX",0,--(COUNTIFS(nNIA,DATOS!$A467,nCURSO,DATOS!$D467,nESPEC,DATOS!$E467,nASIG,DATOS!$I467,nEVAL,"OR")=0))</f>
      </c>
      <c r="I467">
        <f>IF(DATOS!$I467="","",IFERROR(VLOOKUP(DATOS!$I467,CONFIG_ASIGNATURAS!$B$2:$J$91,9,FALSE()),""))</f>
      </c>
    </row>
    <row r="468">
      <c r="F468">
        <f>IF(DATOS!$A468="","",DATOS!$A468&amp;"|"&amp;DATOS!$D468&amp;"|"&amp;DATOS!$E468&amp;"|"&amp;DATOS!$I468)</f>
      </c>
      <c r="G468">
        <f>IF(DATOS!$A468="",0,IF(CONFIG_METADATA!$B$4&lt;&gt;"OR+EX",--(DATOS!$G468=CONFIG_METADATA!$B$4),IF(DATOS!$G468="EX",1,IF(DATOS!$G468="OR",--(COUNTIFS(nNIA,DATOS!$A468,nCURSO,DATOS!$D468,nESPEC,DATOS!$E468,nASIG,DATOS!$I468,nEVAL,"EX")=0),0))))</f>
      </c>
      <c r="H468">
        <f>IF(DATOS!$G468&lt;&gt;"EX",0,--(COUNTIFS(nNIA,DATOS!$A468,nCURSO,DATOS!$D468,nESPEC,DATOS!$E468,nASIG,DATOS!$I468,nEVAL,"OR")=0))</f>
      </c>
      <c r="I468">
        <f>IF(DATOS!$I468="","",IFERROR(VLOOKUP(DATOS!$I468,CONFIG_ASIGNATURAS!$B$2:$J$91,9,FALSE()),""))</f>
      </c>
    </row>
    <row r="469">
      <c r="F469">
        <f>IF(DATOS!$A469="","",DATOS!$A469&amp;"|"&amp;DATOS!$D469&amp;"|"&amp;DATOS!$E469&amp;"|"&amp;DATOS!$I469)</f>
      </c>
      <c r="G469">
        <f>IF(DATOS!$A469="",0,IF(CONFIG_METADATA!$B$4&lt;&gt;"OR+EX",--(DATOS!$G469=CONFIG_METADATA!$B$4),IF(DATOS!$G469="EX",1,IF(DATOS!$G469="OR",--(COUNTIFS(nNIA,DATOS!$A469,nCURSO,DATOS!$D469,nESPEC,DATOS!$E469,nASIG,DATOS!$I469,nEVAL,"EX")=0),0))))</f>
      </c>
      <c r="H469">
        <f>IF(DATOS!$G469&lt;&gt;"EX",0,--(COUNTIFS(nNIA,DATOS!$A469,nCURSO,DATOS!$D469,nESPEC,DATOS!$E469,nASIG,DATOS!$I469,nEVAL,"OR")=0))</f>
      </c>
      <c r="I469">
        <f>IF(DATOS!$I469="","",IFERROR(VLOOKUP(DATOS!$I469,CONFIG_ASIGNATURAS!$B$2:$J$91,9,FALSE()),""))</f>
      </c>
    </row>
    <row r="470">
      <c r="F470">
        <f>IF(DATOS!$A470="","",DATOS!$A470&amp;"|"&amp;DATOS!$D470&amp;"|"&amp;DATOS!$E470&amp;"|"&amp;DATOS!$I470)</f>
      </c>
      <c r="G470">
        <f>IF(DATOS!$A470="",0,IF(CONFIG_METADATA!$B$4&lt;&gt;"OR+EX",--(DATOS!$G470=CONFIG_METADATA!$B$4),IF(DATOS!$G470="EX",1,IF(DATOS!$G470="OR",--(COUNTIFS(nNIA,DATOS!$A470,nCURSO,DATOS!$D470,nESPEC,DATOS!$E470,nASIG,DATOS!$I470,nEVAL,"EX")=0),0))))</f>
      </c>
      <c r="H470">
        <f>IF(DATOS!$G470&lt;&gt;"EX",0,--(COUNTIFS(nNIA,DATOS!$A470,nCURSO,DATOS!$D470,nESPEC,DATOS!$E470,nASIG,DATOS!$I470,nEVAL,"OR")=0))</f>
      </c>
      <c r="I470">
        <f>IF(DATOS!$I470="","",IFERROR(VLOOKUP(DATOS!$I470,CONFIG_ASIGNATURAS!$B$2:$J$91,9,FALSE()),""))</f>
      </c>
    </row>
    <row r="471">
      <c r="F471">
        <f>IF(DATOS!$A471="","",DATOS!$A471&amp;"|"&amp;DATOS!$D471&amp;"|"&amp;DATOS!$E471&amp;"|"&amp;DATOS!$I471)</f>
      </c>
      <c r="G471">
        <f>IF(DATOS!$A471="",0,IF(CONFIG_METADATA!$B$4&lt;&gt;"OR+EX",--(DATOS!$G471=CONFIG_METADATA!$B$4),IF(DATOS!$G471="EX",1,IF(DATOS!$G471="OR",--(COUNTIFS(nNIA,DATOS!$A471,nCURSO,DATOS!$D471,nESPEC,DATOS!$E471,nASIG,DATOS!$I471,nEVAL,"EX")=0),0))))</f>
      </c>
      <c r="H471">
        <f>IF(DATOS!$G471&lt;&gt;"EX",0,--(COUNTIFS(nNIA,DATOS!$A471,nCURSO,DATOS!$D471,nESPEC,DATOS!$E471,nASIG,DATOS!$I471,nEVAL,"OR")=0))</f>
      </c>
      <c r="I471">
        <f>IF(DATOS!$I471="","",IFERROR(VLOOKUP(DATOS!$I471,CONFIG_ASIGNATURAS!$B$2:$J$91,9,FALSE()),""))</f>
      </c>
    </row>
    <row r="472">
      <c r="F472">
        <f>IF(DATOS!$A472="","",DATOS!$A472&amp;"|"&amp;DATOS!$D472&amp;"|"&amp;DATOS!$E472&amp;"|"&amp;DATOS!$I472)</f>
      </c>
      <c r="G472">
        <f>IF(DATOS!$A472="",0,IF(CONFIG_METADATA!$B$4&lt;&gt;"OR+EX",--(DATOS!$G472=CONFIG_METADATA!$B$4),IF(DATOS!$G472="EX",1,IF(DATOS!$G472="OR",--(COUNTIFS(nNIA,DATOS!$A472,nCURSO,DATOS!$D472,nESPEC,DATOS!$E472,nASIG,DATOS!$I472,nEVAL,"EX")=0),0))))</f>
      </c>
      <c r="H472">
        <f>IF(DATOS!$G472&lt;&gt;"EX",0,--(COUNTIFS(nNIA,DATOS!$A472,nCURSO,DATOS!$D472,nESPEC,DATOS!$E472,nASIG,DATOS!$I472,nEVAL,"OR")=0))</f>
      </c>
      <c r="I472">
        <f>IF(DATOS!$I472="","",IFERROR(VLOOKUP(DATOS!$I472,CONFIG_ASIGNATURAS!$B$2:$J$91,9,FALSE()),""))</f>
      </c>
    </row>
    <row r="473">
      <c r="F473">
        <f>IF(DATOS!$A473="","",DATOS!$A473&amp;"|"&amp;DATOS!$D473&amp;"|"&amp;DATOS!$E473&amp;"|"&amp;DATOS!$I473)</f>
      </c>
      <c r="G473">
        <f>IF(DATOS!$A473="",0,IF(CONFIG_METADATA!$B$4&lt;&gt;"OR+EX",--(DATOS!$G473=CONFIG_METADATA!$B$4),IF(DATOS!$G473="EX",1,IF(DATOS!$G473="OR",--(COUNTIFS(nNIA,DATOS!$A473,nCURSO,DATOS!$D473,nESPEC,DATOS!$E473,nASIG,DATOS!$I473,nEVAL,"EX")=0),0))))</f>
      </c>
      <c r="H473">
        <f>IF(DATOS!$G473&lt;&gt;"EX",0,--(COUNTIFS(nNIA,DATOS!$A473,nCURSO,DATOS!$D473,nESPEC,DATOS!$E473,nASIG,DATOS!$I473,nEVAL,"OR")=0))</f>
      </c>
      <c r="I473">
        <f>IF(DATOS!$I473="","",IFERROR(VLOOKUP(DATOS!$I473,CONFIG_ASIGNATURAS!$B$2:$J$91,9,FALSE()),""))</f>
      </c>
    </row>
    <row r="474">
      <c r="F474">
        <f>IF(DATOS!$A474="","",DATOS!$A474&amp;"|"&amp;DATOS!$D474&amp;"|"&amp;DATOS!$E474&amp;"|"&amp;DATOS!$I474)</f>
      </c>
      <c r="G474">
        <f>IF(DATOS!$A474="",0,IF(CONFIG_METADATA!$B$4&lt;&gt;"OR+EX",--(DATOS!$G474=CONFIG_METADATA!$B$4),IF(DATOS!$G474="EX",1,IF(DATOS!$G474="OR",--(COUNTIFS(nNIA,DATOS!$A474,nCURSO,DATOS!$D474,nESPEC,DATOS!$E474,nASIG,DATOS!$I474,nEVAL,"EX")=0),0))))</f>
      </c>
      <c r="H474">
        <f>IF(DATOS!$G474&lt;&gt;"EX",0,--(COUNTIFS(nNIA,DATOS!$A474,nCURSO,DATOS!$D474,nESPEC,DATOS!$E474,nASIG,DATOS!$I474,nEVAL,"OR")=0))</f>
      </c>
      <c r="I474">
        <f>IF(DATOS!$I474="","",IFERROR(VLOOKUP(DATOS!$I474,CONFIG_ASIGNATURAS!$B$2:$J$91,9,FALSE()),""))</f>
      </c>
    </row>
    <row r="475">
      <c r="F475">
        <f>IF(DATOS!$A475="","",DATOS!$A475&amp;"|"&amp;DATOS!$D475&amp;"|"&amp;DATOS!$E475&amp;"|"&amp;DATOS!$I475)</f>
      </c>
      <c r="G475">
        <f>IF(DATOS!$A475="",0,IF(CONFIG_METADATA!$B$4&lt;&gt;"OR+EX",--(DATOS!$G475=CONFIG_METADATA!$B$4),IF(DATOS!$G475="EX",1,IF(DATOS!$G475="OR",--(COUNTIFS(nNIA,DATOS!$A475,nCURSO,DATOS!$D475,nESPEC,DATOS!$E475,nASIG,DATOS!$I475,nEVAL,"EX")=0),0))))</f>
      </c>
      <c r="H475">
        <f>IF(DATOS!$G475&lt;&gt;"EX",0,--(COUNTIFS(nNIA,DATOS!$A475,nCURSO,DATOS!$D475,nESPEC,DATOS!$E475,nASIG,DATOS!$I475,nEVAL,"OR")=0))</f>
      </c>
      <c r="I475">
        <f>IF(DATOS!$I475="","",IFERROR(VLOOKUP(DATOS!$I475,CONFIG_ASIGNATURAS!$B$2:$J$91,9,FALSE()),""))</f>
      </c>
    </row>
    <row r="476">
      <c r="F476">
        <f>IF(DATOS!$A476="","",DATOS!$A476&amp;"|"&amp;DATOS!$D476&amp;"|"&amp;DATOS!$E476&amp;"|"&amp;DATOS!$I476)</f>
      </c>
      <c r="G476">
        <f>IF(DATOS!$A476="",0,IF(CONFIG_METADATA!$B$4&lt;&gt;"OR+EX",--(DATOS!$G476=CONFIG_METADATA!$B$4),IF(DATOS!$G476="EX",1,IF(DATOS!$G476="OR",--(COUNTIFS(nNIA,DATOS!$A476,nCURSO,DATOS!$D476,nESPEC,DATOS!$E476,nASIG,DATOS!$I476,nEVAL,"EX")=0),0))))</f>
      </c>
      <c r="H476">
        <f>IF(DATOS!$G476&lt;&gt;"EX",0,--(COUNTIFS(nNIA,DATOS!$A476,nCURSO,DATOS!$D476,nESPEC,DATOS!$E476,nASIG,DATOS!$I476,nEVAL,"OR")=0))</f>
      </c>
      <c r="I476">
        <f>IF(DATOS!$I476="","",IFERROR(VLOOKUP(DATOS!$I476,CONFIG_ASIGNATURAS!$B$2:$J$91,9,FALSE()),""))</f>
      </c>
    </row>
    <row r="477">
      <c r="F477">
        <f>IF(DATOS!$A477="","",DATOS!$A477&amp;"|"&amp;DATOS!$D477&amp;"|"&amp;DATOS!$E477&amp;"|"&amp;DATOS!$I477)</f>
      </c>
      <c r="G477">
        <f>IF(DATOS!$A477="",0,IF(CONFIG_METADATA!$B$4&lt;&gt;"OR+EX",--(DATOS!$G477=CONFIG_METADATA!$B$4),IF(DATOS!$G477="EX",1,IF(DATOS!$G477="OR",--(COUNTIFS(nNIA,DATOS!$A477,nCURSO,DATOS!$D477,nESPEC,DATOS!$E477,nASIG,DATOS!$I477,nEVAL,"EX")=0),0))))</f>
      </c>
      <c r="H477">
        <f>IF(DATOS!$G477&lt;&gt;"EX",0,--(COUNTIFS(nNIA,DATOS!$A477,nCURSO,DATOS!$D477,nESPEC,DATOS!$E477,nASIG,DATOS!$I477,nEVAL,"OR")=0))</f>
      </c>
      <c r="I477">
        <f>IF(DATOS!$I477="","",IFERROR(VLOOKUP(DATOS!$I477,CONFIG_ASIGNATURAS!$B$2:$J$91,9,FALSE()),""))</f>
      </c>
    </row>
    <row r="478">
      <c r="F478">
        <f>IF(DATOS!$A478="","",DATOS!$A478&amp;"|"&amp;DATOS!$D478&amp;"|"&amp;DATOS!$E478&amp;"|"&amp;DATOS!$I478)</f>
      </c>
      <c r="G478">
        <f>IF(DATOS!$A478="",0,IF(CONFIG_METADATA!$B$4&lt;&gt;"OR+EX",--(DATOS!$G478=CONFIG_METADATA!$B$4),IF(DATOS!$G478="EX",1,IF(DATOS!$G478="OR",--(COUNTIFS(nNIA,DATOS!$A478,nCURSO,DATOS!$D478,nESPEC,DATOS!$E478,nASIG,DATOS!$I478,nEVAL,"EX")=0),0))))</f>
      </c>
      <c r="H478">
        <f>IF(DATOS!$G478&lt;&gt;"EX",0,--(COUNTIFS(nNIA,DATOS!$A478,nCURSO,DATOS!$D478,nESPEC,DATOS!$E478,nASIG,DATOS!$I478,nEVAL,"OR")=0))</f>
      </c>
      <c r="I478">
        <f>IF(DATOS!$I478="","",IFERROR(VLOOKUP(DATOS!$I478,CONFIG_ASIGNATURAS!$B$2:$J$91,9,FALSE()),""))</f>
      </c>
    </row>
    <row r="479">
      <c r="F479">
        <f>IF(DATOS!$A479="","",DATOS!$A479&amp;"|"&amp;DATOS!$D479&amp;"|"&amp;DATOS!$E479&amp;"|"&amp;DATOS!$I479)</f>
      </c>
      <c r="G479">
        <f>IF(DATOS!$A479="",0,IF(CONFIG_METADATA!$B$4&lt;&gt;"OR+EX",--(DATOS!$G479=CONFIG_METADATA!$B$4),IF(DATOS!$G479="EX",1,IF(DATOS!$G479="OR",--(COUNTIFS(nNIA,DATOS!$A479,nCURSO,DATOS!$D479,nESPEC,DATOS!$E479,nASIG,DATOS!$I479,nEVAL,"EX")=0),0))))</f>
      </c>
      <c r="H479">
        <f>IF(DATOS!$G479&lt;&gt;"EX",0,--(COUNTIFS(nNIA,DATOS!$A479,nCURSO,DATOS!$D479,nESPEC,DATOS!$E479,nASIG,DATOS!$I479,nEVAL,"OR")=0))</f>
      </c>
      <c r="I479">
        <f>IF(DATOS!$I479="","",IFERROR(VLOOKUP(DATOS!$I479,CONFIG_ASIGNATURAS!$B$2:$J$91,9,FALSE()),""))</f>
      </c>
    </row>
    <row r="480">
      <c r="F480">
        <f>IF(DATOS!$A480="","",DATOS!$A480&amp;"|"&amp;DATOS!$D480&amp;"|"&amp;DATOS!$E480&amp;"|"&amp;DATOS!$I480)</f>
      </c>
      <c r="G480">
        <f>IF(DATOS!$A480="",0,IF(CONFIG_METADATA!$B$4&lt;&gt;"OR+EX",--(DATOS!$G480=CONFIG_METADATA!$B$4),IF(DATOS!$G480="EX",1,IF(DATOS!$G480="OR",--(COUNTIFS(nNIA,DATOS!$A480,nCURSO,DATOS!$D480,nESPEC,DATOS!$E480,nASIG,DATOS!$I480,nEVAL,"EX")=0),0))))</f>
      </c>
      <c r="H480">
        <f>IF(DATOS!$G480&lt;&gt;"EX",0,--(COUNTIFS(nNIA,DATOS!$A480,nCURSO,DATOS!$D480,nESPEC,DATOS!$E480,nASIG,DATOS!$I480,nEVAL,"OR")=0))</f>
      </c>
      <c r="I480">
        <f>IF(DATOS!$I480="","",IFERROR(VLOOKUP(DATOS!$I480,CONFIG_ASIGNATURAS!$B$2:$J$91,9,FALSE()),""))</f>
      </c>
    </row>
    <row r="481">
      <c r="F481">
        <f>IF(DATOS!$A481="","",DATOS!$A481&amp;"|"&amp;DATOS!$D481&amp;"|"&amp;DATOS!$E481&amp;"|"&amp;DATOS!$I481)</f>
      </c>
      <c r="G481">
        <f>IF(DATOS!$A481="",0,IF(CONFIG_METADATA!$B$4&lt;&gt;"OR+EX",--(DATOS!$G481=CONFIG_METADATA!$B$4),IF(DATOS!$G481="EX",1,IF(DATOS!$G481="OR",--(COUNTIFS(nNIA,DATOS!$A481,nCURSO,DATOS!$D481,nESPEC,DATOS!$E481,nASIG,DATOS!$I481,nEVAL,"EX")=0),0))))</f>
      </c>
      <c r="H481">
        <f>IF(DATOS!$G481&lt;&gt;"EX",0,--(COUNTIFS(nNIA,DATOS!$A481,nCURSO,DATOS!$D481,nESPEC,DATOS!$E481,nASIG,DATOS!$I481,nEVAL,"OR")=0))</f>
      </c>
      <c r="I481">
        <f>IF(DATOS!$I481="","",IFERROR(VLOOKUP(DATOS!$I481,CONFIG_ASIGNATURAS!$B$2:$J$91,9,FALSE()),""))</f>
      </c>
    </row>
    <row r="482">
      <c r="F482">
        <f>IF(DATOS!$A482="","",DATOS!$A482&amp;"|"&amp;DATOS!$D482&amp;"|"&amp;DATOS!$E482&amp;"|"&amp;DATOS!$I482)</f>
      </c>
      <c r="G482">
        <f>IF(DATOS!$A482="",0,IF(CONFIG_METADATA!$B$4&lt;&gt;"OR+EX",--(DATOS!$G482=CONFIG_METADATA!$B$4),IF(DATOS!$G482="EX",1,IF(DATOS!$G482="OR",--(COUNTIFS(nNIA,DATOS!$A482,nCURSO,DATOS!$D482,nESPEC,DATOS!$E482,nASIG,DATOS!$I482,nEVAL,"EX")=0),0))))</f>
      </c>
      <c r="H482">
        <f>IF(DATOS!$G482&lt;&gt;"EX",0,--(COUNTIFS(nNIA,DATOS!$A482,nCURSO,DATOS!$D482,nESPEC,DATOS!$E482,nASIG,DATOS!$I482,nEVAL,"OR")=0))</f>
      </c>
      <c r="I482">
        <f>IF(DATOS!$I482="","",IFERROR(VLOOKUP(DATOS!$I482,CONFIG_ASIGNATURAS!$B$2:$J$91,9,FALSE()),""))</f>
      </c>
    </row>
    <row r="483">
      <c r="F483">
        <f>IF(DATOS!$A483="","",DATOS!$A483&amp;"|"&amp;DATOS!$D483&amp;"|"&amp;DATOS!$E483&amp;"|"&amp;DATOS!$I483)</f>
      </c>
      <c r="G483">
        <f>IF(DATOS!$A483="",0,IF(CONFIG_METADATA!$B$4&lt;&gt;"OR+EX",--(DATOS!$G483=CONFIG_METADATA!$B$4),IF(DATOS!$G483="EX",1,IF(DATOS!$G483="OR",--(COUNTIFS(nNIA,DATOS!$A483,nCURSO,DATOS!$D483,nESPEC,DATOS!$E483,nASIG,DATOS!$I483,nEVAL,"EX")=0),0))))</f>
      </c>
      <c r="H483">
        <f>IF(DATOS!$G483&lt;&gt;"EX",0,--(COUNTIFS(nNIA,DATOS!$A483,nCURSO,DATOS!$D483,nESPEC,DATOS!$E483,nASIG,DATOS!$I483,nEVAL,"OR")=0))</f>
      </c>
      <c r="I483">
        <f>IF(DATOS!$I483="","",IFERROR(VLOOKUP(DATOS!$I483,CONFIG_ASIGNATURAS!$B$2:$J$91,9,FALSE()),""))</f>
      </c>
    </row>
    <row r="484">
      <c r="F484">
        <f>IF(DATOS!$A484="","",DATOS!$A484&amp;"|"&amp;DATOS!$D484&amp;"|"&amp;DATOS!$E484&amp;"|"&amp;DATOS!$I484)</f>
      </c>
      <c r="G484">
        <f>IF(DATOS!$A484="",0,IF(CONFIG_METADATA!$B$4&lt;&gt;"OR+EX",--(DATOS!$G484=CONFIG_METADATA!$B$4),IF(DATOS!$G484="EX",1,IF(DATOS!$G484="OR",--(COUNTIFS(nNIA,DATOS!$A484,nCURSO,DATOS!$D484,nESPEC,DATOS!$E484,nASIG,DATOS!$I484,nEVAL,"EX")=0),0))))</f>
      </c>
      <c r="H484">
        <f>IF(DATOS!$G484&lt;&gt;"EX",0,--(COUNTIFS(nNIA,DATOS!$A484,nCURSO,DATOS!$D484,nESPEC,DATOS!$E484,nASIG,DATOS!$I484,nEVAL,"OR")=0))</f>
      </c>
      <c r="I484">
        <f>IF(DATOS!$I484="","",IFERROR(VLOOKUP(DATOS!$I484,CONFIG_ASIGNATURAS!$B$2:$J$91,9,FALSE()),""))</f>
      </c>
    </row>
    <row r="485">
      <c r="F485">
        <f>IF(DATOS!$A485="","",DATOS!$A485&amp;"|"&amp;DATOS!$D485&amp;"|"&amp;DATOS!$E485&amp;"|"&amp;DATOS!$I485)</f>
      </c>
      <c r="G485">
        <f>IF(DATOS!$A485="",0,IF(CONFIG_METADATA!$B$4&lt;&gt;"OR+EX",--(DATOS!$G485=CONFIG_METADATA!$B$4),IF(DATOS!$G485="EX",1,IF(DATOS!$G485="OR",--(COUNTIFS(nNIA,DATOS!$A485,nCURSO,DATOS!$D485,nESPEC,DATOS!$E485,nASIG,DATOS!$I485,nEVAL,"EX")=0),0))))</f>
      </c>
      <c r="H485">
        <f>IF(DATOS!$G485&lt;&gt;"EX",0,--(COUNTIFS(nNIA,DATOS!$A485,nCURSO,DATOS!$D485,nESPEC,DATOS!$E485,nASIG,DATOS!$I485,nEVAL,"OR")=0))</f>
      </c>
      <c r="I485">
        <f>IF(DATOS!$I485="","",IFERROR(VLOOKUP(DATOS!$I485,CONFIG_ASIGNATURAS!$B$2:$J$91,9,FALSE()),""))</f>
      </c>
    </row>
    <row r="486">
      <c r="F486">
        <f>IF(DATOS!$A486="","",DATOS!$A486&amp;"|"&amp;DATOS!$D486&amp;"|"&amp;DATOS!$E486&amp;"|"&amp;DATOS!$I486)</f>
      </c>
      <c r="G486">
        <f>IF(DATOS!$A486="",0,IF(CONFIG_METADATA!$B$4&lt;&gt;"OR+EX",--(DATOS!$G486=CONFIG_METADATA!$B$4),IF(DATOS!$G486="EX",1,IF(DATOS!$G486="OR",--(COUNTIFS(nNIA,DATOS!$A486,nCURSO,DATOS!$D486,nESPEC,DATOS!$E486,nASIG,DATOS!$I486,nEVAL,"EX")=0),0))))</f>
      </c>
      <c r="H486">
        <f>IF(DATOS!$G486&lt;&gt;"EX",0,--(COUNTIFS(nNIA,DATOS!$A486,nCURSO,DATOS!$D486,nESPEC,DATOS!$E486,nASIG,DATOS!$I486,nEVAL,"OR")=0))</f>
      </c>
      <c r="I486">
        <f>IF(DATOS!$I486="","",IFERROR(VLOOKUP(DATOS!$I486,CONFIG_ASIGNATURAS!$B$2:$J$91,9,FALSE()),""))</f>
      </c>
    </row>
    <row r="487">
      <c r="F487">
        <f>IF(DATOS!$A487="","",DATOS!$A487&amp;"|"&amp;DATOS!$D487&amp;"|"&amp;DATOS!$E487&amp;"|"&amp;DATOS!$I487)</f>
      </c>
      <c r="G487">
        <f>IF(DATOS!$A487="",0,IF(CONFIG_METADATA!$B$4&lt;&gt;"OR+EX",--(DATOS!$G487=CONFIG_METADATA!$B$4),IF(DATOS!$G487="EX",1,IF(DATOS!$G487="OR",--(COUNTIFS(nNIA,DATOS!$A487,nCURSO,DATOS!$D487,nESPEC,DATOS!$E487,nASIG,DATOS!$I487,nEVAL,"EX")=0),0))))</f>
      </c>
      <c r="H487">
        <f>IF(DATOS!$G487&lt;&gt;"EX",0,--(COUNTIFS(nNIA,DATOS!$A487,nCURSO,DATOS!$D487,nESPEC,DATOS!$E487,nASIG,DATOS!$I487,nEVAL,"OR")=0))</f>
      </c>
      <c r="I487">
        <f>IF(DATOS!$I487="","",IFERROR(VLOOKUP(DATOS!$I487,CONFIG_ASIGNATURAS!$B$2:$J$91,9,FALSE()),""))</f>
      </c>
    </row>
    <row r="488">
      <c r="F488">
        <f>IF(DATOS!$A488="","",DATOS!$A488&amp;"|"&amp;DATOS!$D488&amp;"|"&amp;DATOS!$E488&amp;"|"&amp;DATOS!$I488)</f>
      </c>
      <c r="G488">
        <f>IF(DATOS!$A488="",0,IF(CONFIG_METADATA!$B$4&lt;&gt;"OR+EX",--(DATOS!$G488=CONFIG_METADATA!$B$4),IF(DATOS!$G488="EX",1,IF(DATOS!$G488="OR",--(COUNTIFS(nNIA,DATOS!$A488,nCURSO,DATOS!$D488,nESPEC,DATOS!$E488,nASIG,DATOS!$I488,nEVAL,"EX")=0),0))))</f>
      </c>
      <c r="H488">
        <f>IF(DATOS!$G488&lt;&gt;"EX",0,--(COUNTIFS(nNIA,DATOS!$A488,nCURSO,DATOS!$D488,nESPEC,DATOS!$E488,nASIG,DATOS!$I488,nEVAL,"OR")=0))</f>
      </c>
      <c r="I488">
        <f>IF(DATOS!$I488="","",IFERROR(VLOOKUP(DATOS!$I488,CONFIG_ASIGNATURAS!$B$2:$J$91,9,FALSE()),""))</f>
      </c>
    </row>
    <row r="489">
      <c r="F489">
        <f>IF(DATOS!$A489="","",DATOS!$A489&amp;"|"&amp;DATOS!$D489&amp;"|"&amp;DATOS!$E489&amp;"|"&amp;DATOS!$I489)</f>
      </c>
      <c r="G489">
        <f>IF(DATOS!$A489="",0,IF(CONFIG_METADATA!$B$4&lt;&gt;"OR+EX",--(DATOS!$G489=CONFIG_METADATA!$B$4),IF(DATOS!$G489="EX",1,IF(DATOS!$G489="OR",--(COUNTIFS(nNIA,DATOS!$A489,nCURSO,DATOS!$D489,nESPEC,DATOS!$E489,nASIG,DATOS!$I489,nEVAL,"EX")=0),0))))</f>
      </c>
      <c r="H489">
        <f>IF(DATOS!$G489&lt;&gt;"EX",0,--(COUNTIFS(nNIA,DATOS!$A489,nCURSO,DATOS!$D489,nESPEC,DATOS!$E489,nASIG,DATOS!$I489,nEVAL,"OR")=0))</f>
      </c>
      <c r="I489">
        <f>IF(DATOS!$I489="","",IFERROR(VLOOKUP(DATOS!$I489,CONFIG_ASIGNATURAS!$B$2:$J$91,9,FALSE()),""))</f>
      </c>
    </row>
    <row r="490">
      <c r="F490">
        <f>IF(DATOS!$A490="","",DATOS!$A490&amp;"|"&amp;DATOS!$D490&amp;"|"&amp;DATOS!$E490&amp;"|"&amp;DATOS!$I490)</f>
      </c>
      <c r="G490">
        <f>IF(DATOS!$A490="",0,IF(CONFIG_METADATA!$B$4&lt;&gt;"OR+EX",--(DATOS!$G490=CONFIG_METADATA!$B$4),IF(DATOS!$G490="EX",1,IF(DATOS!$G490="OR",--(COUNTIFS(nNIA,DATOS!$A490,nCURSO,DATOS!$D490,nESPEC,DATOS!$E490,nASIG,DATOS!$I490,nEVAL,"EX")=0),0))))</f>
      </c>
      <c r="H490">
        <f>IF(DATOS!$G490&lt;&gt;"EX",0,--(COUNTIFS(nNIA,DATOS!$A490,nCURSO,DATOS!$D490,nESPEC,DATOS!$E490,nASIG,DATOS!$I490,nEVAL,"OR")=0))</f>
      </c>
      <c r="I490">
        <f>IF(DATOS!$I490="","",IFERROR(VLOOKUP(DATOS!$I490,CONFIG_ASIGNATURAS!$B$2:$J$91,9,FALSE()),""))</f>
      </c>
    </row>
    <row r="491">
      <c r="F491">
        <f>IF(DATOS!$A491="","",DATOS!$A491&amp;"|"&amp;DATOS!$D491&amp;"|"&amp;DATOS!$E491&amp;"|"&amp;DATOS!$I491)</f>
      </c>
      <c r="G491">
        <f>IF(DATOS!$A491="",0,IF(CONFIG_METADATA!$B$4&lt;&gt;"OR+EX",--(DATOS!$G491=CONFIG_METADATA!$B$4),IF(DATOS!$G491="EX",1,IF(DATOS!$G491="OR",--(COUNTIFS(nNIA,DATOS!$A491,nCURSO,DATOS!$D491,nESPEC,DATOS!$E491,nASIG,DATOS!$I491,nEVAL,"EX")=0),0))))</f>
      </c>
      <c r="H491">
        <f>IF(DATOS!$G491&lt;&gt;"EX",0,--(COUNTIFS(nNIA,DATOS!$A491,nCURSO,DATOS!$D491,nESPEC,DATOS!$E491,nASIG,DATOS!$I491,nEVAL,"OR")=0))</f>
      </c>
      <c r="I491">
        <f>IF(DATOS!$I491="","",IFERROR(VLOOKUP(DATOS!$I491,CONFIG_ASIGNATURAS!$B$2:$J$91,9,FALSE()),""))</f>
      </c>
    </row>
    <row r="492">
      <c r="F492">
        <f>IF(DATOS!$A492="","",DATOS!$A492&amp;"|"&amp;DATOS!$D492&amp;"|"&amp;DATOS!$E492&amp;"|"&amp;DATOS!$I492)</f>
      </c>
      <c r="G492">
        <f>IF(DATOS!$A492="",0,IF(CONFIG_METADATA!$B$4&lt;&gt;"OR+EX",--(DATOS!$G492=CONFIG_METADATA!$B$4),IF(DATOS!$G492="EX",1,IF(DATOS!$G492="OR",--(COUNTIFS(nNIA,DATOS!$A492,nCURSO,DATOS!$D492,nESPEC,DATOS!$E492,nASIG,DATOS!$I492,nEVAL,"EX")=0),0))))</f>
      </c>
      <c r="H492">
        <f>IF(DATOS!$G492&lt;&gt;"EX",0,--(COUNTIFS(nNIA,DATOS!$A492,nCURSO,DATOS!$D492,nESPEC,DATOS!$E492,nASIG,DATOS!$I492,nEVAL,"OR")=0))</f>
      </c>
      <c r="I492">
        <f>IF(DATOS!$I492="","",IFERROR(VLOOKUP(DATOS!$I492,CONFIG_ASIGNATURAS!$B$2:$J$91,9,FALSE()),""))</f>
      </c>
    </row>
    <row r="493">
      <c r="F493">
        <f>IF(DATOS!$A493="","",DATOS!$A493&amp;"|"&amp;DATOS!$D493&amp;"|"&amp;DATOS!$E493&amp;"|"&amp;DATOS!$I493)</f>
      </c>
      <c r="G493">
        <f>IF(DATOS!$A493="",0,IF(CONFIG_METADATA!$B$4&lt;&gt;"OR+EX",--(DATOS!$G493=CONFIG_METADATA!$B$4),IF(DATOS!$G493="EX",1,IF(DATOS!$G493="OR",--(COUNTIFS(nNIA,DATOS!$A493,nCURSO,DATOS!$D493,nESPEC,DATOS!$E493,nASIG,DATOS!$I493,nEVAL,"EX")=0),0))))</f>
      </c>
      <c r="H493">
        <f>IF(DATOS!$G493&lt;&gt;"EX",0,--(COUNTIFS(nNIA,DATOS!$A493,nCURSO,DATOS!$D493,nESPEC,DATOS!$E493,nASIG,DATOS!$I493,nEVAL,"OR")=0))</f>
      </c>
      <c r="I493">
        <f>IF(DATOS!$I493="","",IFERROR(VLOOKUP(DATOS!$I493,CONFIG_ASIGNATURAS!$B$2:$J$91,9,FALSE()),""))</f>
      </c>
    </row>
    <row r="494">
      <c r="F494">
        <f>IF(DATOS!$A494="","",DATOS!$A494&amp;"|"&amp;DATOS!$D494&amp;"|"&amp;DATOS!$E494&amp;"|"&amp;DATOS!$I494)</f>
      </c>
      <c r="G494">
        <f>IF(DATOS!$A494="",0,IF(CONFIG_METADATA!$B$4&lt;&gt;"OR+EX",--(DATOS!$G494=CONFIG_METADATA!$B$4),IF(DATOS!$G494="EX",1,IF(DATOS!$G494="OR",--(COUNTIFS(nNIA,DATOS!$A494,nCURSO,DATOS!$D494,nESPEC,DATOS!$E494,nASIG,DATOS!$I494,nEVAL,"EX")=0),0))))</f>
      </c>
      <c r="H494">
        <f>IF(DATOS!$G494&lt;&gt;"EX",0,--(COUNTIFS(nNIA,DATOS!$A494,nCURSO,DATOS!$D494,nESPEC,DATOS!$E494,nASIG,DATOS!$I494,nEVAL,"OR")=0))</f>
      </c>
      <c r="I494">
        <f>IF(DATOS!$I494="","",IFERROR(VLOOKUP(DATOS!$I494,CONFIG_ASIGNATURAS!$B$2:$J$91,9,FALSE()),""))</f>
      </c>
    </row>
    <row r="495">
      <c r="F495">
        <f>IF(DATOS!$A495="","",DATOS!$A495&amp;"|"&amp;DATOS!$D495&amp;"|"&amp;DATOS!$E495&amp;"|"&amp;DATOS!$I495)</f>
      </c>
      <c r="G495">
        <f>IF(DATOS!$A495="",0,IF(CONFIG_METADATA!$B$4&lt;&gt;"OR+EX",--(DATOS!$G495=CONFIG_METADATA!$B$4),IF(DATOS!$G495="EX",1,IF(DATOS!$G495="OR",--(COUNTIFS(nNIA,DATOS!$A495,nCURSO,DATOS!$D495,nESPEC,DATOS!$E495,nASIG,DATOS!$I495,nEVAL,"EX")=0),0))))</f>
      </c>
      <c r="H495">
        <f>IF(DATOS!$G495&lt;&gt;"EX",0,--(COUNTIFS(nNIA,DATOS!$A495,nCURSO,DATOS!$D495,nESPEC,DATOS!$E495,nASIG,DATOS!$I495,nEVAL,"OR")=0))</f>
      </c>
      <c r="I495">
        <f>IF(DATOS!$I495="","",IFERROR(VLOOKUP(DATOS!$I495,CONFIG_ASIGNATURAS!$B$2:$J$91,9,FALSE()),""))</f>
      </c>
    </row>
    <row r="496">
      <c r="F496">
        <f>IF(DATOS!$A496="","",DATOS!$A496&amp;"|"&amp;DATOS!$D496&amp;"|"&amp;DATOS!$E496&amp;"|"&amp;DATOS!$I496)</f>
      </c>
      <c r="G496">
        <f>IF(DATOS!$A496="",0,IF(CONFIG_METADATA!$B$4&lt;&gt;"OR+EX",--(DATOS!$G496=CONFIG_METADATA!$B$4),IF(DATOS!$G496="EX",1,IF(DATOS!$G496="OR",--(COUNTIFS(nNIA,DATOS!$A496,nCURSO,DATOS!$D496,nESPEC,DATOS!$E496,nASIG,DATOS!$I496,nEVAL,"EX")=0),0))))</f>
      </c>
      <c r="H496">
        <f>IF(DATOS!$G496&lt;&gt;"EX",0,--(COUNTIFS(nNIA,DATOS!$A496,nCURSO,DATOS!$D496,nESPEC,DATOS!$E496,nASIG,DATOS!$I496,nEVAL,"OR")=0))</f>
      </c>
      <c r="I496">
        <f>IF(DATOS!$I496="","",IFERROR(VLOOKUP(DATOS!$I496,CONFIG_ASIGNATURAS!$B$2:$J$91,9,FALSE()),""))</f>
      </c>
    </row>
    <row r="497">
      <c r="F497">
        <f>IF(DATOS!$A497="","",DATOS!$A497&amp;"|"&amp;DATOS!$D497&amp;"|"&amp;DATOS!$E497&amp;"|"&amp;DATOS!$I497)</f>
      </c>
      <c r="G497">
        <f>IF(DATOS!$A497="",0,IF(CONFIG_METADATA!$B$4&lt;&gt;"OR+EX",--(DATOS!$G497=CONFIG_METADATA!$B$4),IF(DATOS!$G497="EX",1,IF(DATOS!$G497="OR",--(COUNTIFS(nNIA,DATOS!$A497,nCURSO,DATOS!$D497,nESPEC,DATOS!$E497,nASIG,DATOS!$I497,nEVAL,"EX")=0),0))))</f>
      </c>
      <c r="H497">
        <f>IF(DATOS!$G497&lt;&gt;"EX",0,--(COUNTIFS(nNIA,DATOS!$A497,nCURSO,DATOS!$D497,nESPEC,DATOS!$E497,nASIG,DATOS!$I497,nEVAL,"OR")=0))</f>
      </c>
      <c r="I497">
        <f>IF(DATOS!$I497="","",IFERROR(VLOOKUP(DATOS!$I497,CONFIG_ASIGNATURAS!$B$2:$J$91,9,FALSE()),""))</f>
      </c>
    </row>
    <row r="498">
      <c r="F498">
        <f>IF(DATOS!$A498="","",DATOS!$A498&amp;"|"&amp;DATOS!$D498&amp;"|"&amp;DATOS!$E498&amp;"|"&amp;DATOS!$I498)</f>
      </c>
      <c r="G498">
        <f>IF(DATOS!$A498="",0,IF(CONFIG_METADATA!$B$4&lt;&gt;"OR+EX",--(DATOS!$G498=CONFIG_METADATA!$B$4),IF(DATOS!$G498="EX",1,IF(DATOS!$G498="OR",--(COUNTIFS(nNIA,DATOS!$A498,nCURSO,DATOS!$D498,nESPEC,DATOS!$E498,nASIG,DATOS!$I498,nEVAL,"EX")=0),0))))</f>
      </c>
      <c r="H498">
        <f>IF(DATOS!$G498&lt;&gt;"EX",0,--(COUNTIFS(nNIA,DATOS!$A498,nCURSO,DATOS!$D498,nESPEC,DATOS!$E498,nASIG,DATOS!$I498,nEVAL,"OR")=0))</f>
      </c>
      <c r="I498">
        <f>IF(DATOS!$I498="","",IFERROR(VLOOKUP(DATOS!$I498,CONFIG_ASIGNATURAS!$B$2:$J$91,9,FALSE()),""))</f>
      </c>
    </row>
    <row r="499">
      <c r="F499">
        <f>IF(DATOS!$A499="","",DATOS!$A499&amp;"|"&amp;DATOS!$D499&amp;"|"&amp;DATOS!$E499&amp;"|"&amp;DATOS!$I499)</f>
      </c>
      <c r="G499">
        <f>IF(DATOS!$A499="",0,IF(CONFIG_METADATA!$B$4&lt;&gt;"OR+EX",--(DATOS!$G499=CONFIG_METADATA!$B$4),IF(DATOS!$G499="EX",1,IF(DATOS!$G499="OR",--(COUNTIFS(nNIA,DATOS!$A499,nCURSO,DATOS!$D499,nESPEC,DATOS!$E499,nASIG,DATOS!$I499,nEVAL,"EX")=0),0))))</f>
      </c>
      <c r="H499">
        <f>IF(DATOS!$G499&lt;&gt;"EX",0,--(COUNTIFS(nNIA,DATOS!$A499,nCURSO,DATOS!$D499,nESPEC,DATOS!$E499,nASIG,DATOS!$I499,nEVAL,"OR")=0))</f>
      </c>
      <c r="I499">
        <f>IF(DATOS!$I499="","",IFERROR(VLOOKUP(DATOS!$I499,CONFIG_ASIGNATURAS!$B$2:$J$91,9,FALSE()),""))</f>
      </c>
    </row>
    <row r="500">
      <c r="F500">
        <f>IF(DATOS!$A500="","",DATOS!$A500&amp;"|"&amp;DATOS!$D500&amp;"|"&amp;DATOS!$E500&amp;"|"&amp;DATOS!$I500)</f>
      </c>
      <c r="G500">
        <f>IF(DATOS!$A500="",0,IF(CONFIG_METADATA!$B$4&lt;&gt;"OR+EX",--(DATOS!$G500=CONFIG_METADATA!$B$4),IF(DATOS!$G500="EX",1,IF(DATOS!$G500="OR",--(COUNTIFS(nNIA,DATOS!$A500,nCURSO,DATOS!$D500,nESPEC,DATOS!$E500,nASIG,DATOS!$I500,nEVAL,"EX")=0),0))))</f>
      </c>
      <c r="H500">
        <f>IF(DATOS!$G500&lt;&gt;"EX",0,--(COUNTIFS(nNIA,DATOS!$A500,nCURSO,DATOS!$D500,nESPEC,DATOS!$E500,nASIG,DATOS!$I500,nEVAL,"OR")=0))</f>
      </c>
      <c r="I500">
        <f>IF(DATOS!$I500="","",IFERROR(VLOOKUP(DATOS!$I500,CONFIG_ASIGNATURAS!$B$2:$J$91,9,FALSE()),""))</f>
      </c>
    </row>
    <row r="501">
      <c r="F501">
        <f>IF(DATOS!$A501="","",DATOS!$A501&amp;"|"&amp;DATOS!$D501&amp;"|"&amp;DATOS!$E501&amp;"|"&amp;DATOS!$I501)</f>
      </c>
      <c r="G501">
        <f>IF(DATOS!$A501="",0,IF(CONFIG_METADATA!$B$4&lt;&gt;"OR+EX",--(DATOS!$G501=CONFIG_METADATA!$B$4),IF(DATOS!$G501="EX",1,IF(DATOS!$G501="OR",--(COUNTIFS(nNIA,DATOS!$A501,nCURSO,DATOS!$D501,nESPEC,DATOS!$E501,nASIG,DATOS!$I501,nEVAL,"EX")=0),0))))</f>
      </c>
      <c r="H501">
        <f>IF(DATOS!$G501&lt;&gt;"EX",0,--(COUNTIFS(nNIA,DATOS!$A501,nCURSO,DATOS!$D501,nESPEC,DATOS!$E501,nASIG,DATOS!$I501,nEVAL,"OR")=0))</f>
      </c>
      <c r="I501">
        <f>IF(DATOS!$I501="","",IFERROR(VLOOKUP(DATOS!$I501,CONFIG_ASIGNATURAS!$B$2:$J$91,9,FALSE()),""))</f>
      </c>
    </row>
    <row r="502">
      <c r="F502">
        <f>IF(DATOS!$A502="","",DATOS!$A502&amp;"|"&amp;DATOS!$D502&amp;"|"&amp;DATOS!$E502&amp;"|"&amp;DATOS!$I502)</f>
      </c>
      <c r="G502">
        <f>IF(DATOS!$A502="",0,IF(CONFIG_METADATA!$B$4&lt;&gt;"OR+EX",--(DATOS!$G502=CONFIG_METADATA!$B$4),IF(DATOS!$G502="EX",1,IF(DATOS!$G502="OR",--(COUNTIFS(nNIA,DATOS!$A502,nCURSO,DATOS!$D502,nESPEC,DATOS!$E502,nASIG,DATOS!$I502,nEVAL,"EX")=0),0))))</f>
      </c>
      <c r="H502">
        <f>IF(DATOS!$G502&lt;&gt;"EX",0,--(COUNTIFS(nNIA,DATOS!$A502,nCURSO,DATOS!$D502,nESPEC,DATOS!$E502,nASIG,DATOS!$I502,nEVAL,"OR")=0))</f>
      </c>
      <c r="I502">
        <f>IF(DATOS!$I502="","",IFERROR(VLOOKUP(DATOS!$I502,CONFIG_ASIGNATURAS!$B$2:$J$91,9,FALSE()),""))</f>
      </c>
    </row>
    <row r="503">
      <c r="F503">
        <f>IF(DATOS!$A503="","",DATOS!$A503&amp;"|"&amp;DATOS!$D503&amp;"|"&amp;DATOS!$E503&amp;"|"&amp;DATOS!$I503)</f>
      </c>
      <c r="G503">
        <f>IF(DATOS!$A503="",0,IF(CONFIG_METADATA!$B$4&lt;&gt;"OR+EX",--(DATOS!$G503=CONFIG_METADATA!$B$4),IF(DATOS!$G503="EX",1,IF(DATOS!$G503="OR",--(COUNTIFS(nNIA,DATOS!$A503,nCURSO,DATOS!$D503,nESPEC,DATOS!$E503,nASIG,DATOS!$I503,nEVAL,"EX")=0),0))))</f>
      </c>
      <c r="H503">
        <f>IF(DATOS!$G503&lt;&gt;"EX",0,--(COUNTIFS(nNIA,DATOS!$A503,nCURSO,DATOS!$D503,nESPEC,DATOS!$E503,nASIG,DATOS!$I503,nEVAL,"OR")=0))</f>
      </c>
      <c r="I503">
        <f>IF(DATOS!$I503="","",IFERROR(VLOOKUP(DATOS!$I503,CONFIG_ASIGNATURAS!$B$2:$J$91,9,FALSE()),""))</f>
      </c>
    </row>
    <row r="504">
      <c r="F504">
        <f>IF(DATOS!$A504="","",DATOS!$A504&amp;"|"&amp;DATOS!$D504&amp;"|"&amp;DATOS!$E504&amp;"|"&amp;DATOS!$I504)</f>
      </c>
      <c r="G504">
        <f>IF(DATOS!$A504="",0,IF(CONFIG_METADATA!$B$4&lt;&gt;"OR+EX",--(DATOS!$G504=CONFIG_METADATA!$B$4),IF(DATOS!$G504="EX",1,IF(DATOS!$G504="OR",--(COUNTIFS(nNIA,DATOS!$A504,nCURSO,DATOS!$D504,nESPEC,DATOS!$E504,nASIG,DATOS!$I504,nEVAL,"EX")=0),0))))</f>
      </c>
      <c r="H504">
        <f>IF(DATOS!$G504&lt;&gt;"EX",0,--(COUNTIFS(nNIA,DATOS!$A504,nCURSO,DATOS!$D504,nESPEC,DATOS!$E504,nASIG,DATOS!$I504,nEVAL,"OR")=0))</f>
      </c>
      <c r="I504">
        <f>IF(DATOS!$I504="","",IFERROR(VLOOKUP(DATOS!$I504,CONFIG_ASIGNATURAS!$B$2:$J$91,9,FALSE()),""))</f>
      </c>
    </row>
    <row r="505">
      <c r="F505">
        <f>IF(DATOS!$A505="","",DATOS!$A505&amp;"|"&amp;DATOS!$D505&amp;"|"&amp;DATOS!$E505&amp;"|"&amp;DATOS!$I505)</f>
      </c>
      <c r="G505">
        <f>IF(DATOS!$A505="",0,IF(CONFIG_METADATA!$B$4&lt;&gt;"OR+EX",--(DATOS!$G505=CONFIG_METADATA!$B$4),IF(DATOS!$G505="EX",1,IF(DATOS!$G505="OR",--(COUNTIFS(nNIA,DATOS!$A505,nCURSO,DATOS!$D505,nESPEC,DATOS!$E505,nASIG,DATOS!$I505,nEVAL,"EX")=0),0))))</f>
      </c>
      <c r="H505">
        <f>IF(DATOS!$G505&lt;&gt;"EX",0,--(COUNTIFS(nNIA,DATOS!$A505,nCURSO,DATOS!$D505,nESPEC,DATOS!$E505,nASIG,DATOS!$I505,nEVAL,"OR")=0))</f>
      </c>
      <c r="I505">
        <f>IF(DATOS!$I505="","",IFERROR(VLOOKUP(DATOS!$I505,CONFIG_ASIGNATURAS!$B$2:$J$91,9,FALSE()),""))</f>
      </c>
    </row>
    <row r="506">
      <c r="F506">
        <f>IF(DATOS!$A506="","",DATOS!$A506&amp;"|"&amp;DATOS!$D506&amp;"|"&amp;DATOS!$E506&amp;"|"&amp;DATOS!$I506)</f>
      </c>
      <c r="G506">
        <f>IF(DATOS!$A506="",0,IF(CONFIG_METADATA!$B$4&lt;&gt;"OR+EX",--(DATOS!$G506=CONFIG_METADATA!$B$4),IF(DATOS!$G506="EX",1,IF(DATOS!$G506="OR",--(COUNTIFS(nNIA,DATOS!$A506,nCURSO,DATOS!$D506,nESPEC,DATOS!$E506,nASIG,DATOS!$I506,nEVAL,"EX")=0),0))))</f>
      </c>
      <c r="H506">
        <f>IF(DATOS!$G506&lt;&gt;"EX",0,--(COUNTIFS(nNIA,DATOS!$A506,nCURSO,DATOS!$D506,nESPEC,DATOS!$E506,nASIG,DATOS!$I506,nEVAL,"OR")=0))</f>
      </c>
      <c r="I506">
        <f>IF(DATOS!$I506="","",IFERROR(VLOOKUP(DATOS!$I506,CONFIG_ASIGNATURAS!$B$2:$J$91,9,FALSE()),""))</f>
      </c>
    </row>
    <row r="507">
      <c r="F507">
        <f>IF(DATOS!$A507="","",DATOS!$A507&amp;"|"&amp;DATOS!$D507&amp;"|"&amp;DATOS!$E507&amp;"|"&amp;DATOS!$I507)</f>
      </c>
      <c r="G507">
        <f>IF(DATOS!$A507="",0,IF(CONFIG_METADATA!$B$4&lt;&gt;"OR+EX",--(DATOS!$G507=CONFIG_METADATA!$B$4),IF(DATOS!$G507="EX",1,IF(DATOS!$G507="OR",--(COUNTIFS(nNIA,DATOS!$A507,nCURSO,DATOS!$D507,nESPEC,DATOS!$E507,nASIG,DATOS!$I507,nEVAL,"EX")=0),0))))</f>
      </c>
      <c r="H507">
        <f>IF(DATOS!$G507&lt;&gt;"EX",0,--(COUNTIFS(nNIA,DATOS!$A507,nCURSO,DATOS!$D507,nESPEC,DATOS!$E507,nASIG,DATOS!$I507,nEVAL,"OR")=0))</f>
      </c>
      <c r="I507">
        <f>IF(DATOS!$I507="","",IFERROR(VLOOKUP(DATOS!$I507,CONFIG_ASIGNATURAS!$B$2:$J$91,9,FALSE()),""))</f>
      </c>
    </row>
    <row r="508">
      <c r="F508">
        <f>IF(DATOS!$A508="","",DATOS!$A508&amp;"|"&amp;DATOS!$D508&amp;"|"&amp;DATOS!$E508&amp;"|"&amp;DATOS!$I508)</f>
      </c>
      <c r="G508">
        <f>IF(DATOS!$A508="",0,IF(CONFIG_METADATA!$B$4&lt;&gt;"OR+EX",--(DATOS!$G508=CONFIG_METADATA!$B$4),IF(DATOS!$G508="EX",1,IF(DATOS!$G508="OR",--(COUNTIFS(nNIA,DATOS!$A508,nCURSO,DATOS!$D508,nESPEC,DATOS!$E508,nASIG,DATOS!$I508,nEVAL,"EX")=0),0))))</f>
      </c>
      <c r="H508">
        <f>IF(DATOS!$G508&lt;&gt;"EX",0,--(COUNTIFS(nNIA,DATOS!$A508,nCURSO,DATOS!$D508,nESPEC,DATOS!$E508,nASIG,DATOS!$I508,nEVAL,"OR")=0))</f>
      </c>
      <c r="I508">
        <f>IF(DATOS!$I508="","",IFERROR(VLOOKUP(DATOS!$I508,CONFIG_ASIGNATURAS!$B$2:$J$91,9,FALSE()),""))</f>
      </c>
    </row>
    <row r="509">
      <c r="F509">
        <f>IF(DATOS!$A509="","",DATOS!$A509&amp;"|"&amp;DATOS!$D509&amp;"|"&amp;DATOS!$E509&amp;"|"&amp;DATOS!$I509)</f>
      </c>
      <c r="G509">
        <f>IF(DATOS!$A509="",0,IF(CONFIG_METADATA!$B$4&lt;&gt;"OR+EX",--(DATOS!$G509=CONFIG_METADATA!$B$4),IF(DATOS!$G509="EX",1,IF(DATOS!$G509="OR",--(COUNTIFS(nNIA,DATOS!$A509,nCURSO,DATOS!$D509,nESPEC,DATOS!$E509,nASIG,DATOS!$I509,nEVAL,"EX")=0),0))))</f>
      </c>
      <c r="H509">
        <f>IF(DATOS!$G509&lt;&gt;"EX",0,--(COUNTIFS(nNIA,DATOS!$A509,nCURSO,DATOS!$D509,nESPEC,DATOS!$E509,nASIG,DATOS!$I509,nEVAL,"OR")=0))</f>
      </c>
      <c r="I509">
        <f>IF(DATOS!$I509="","",IFERROR(VLOOKUP(DATOS!$I509,CONFIG_ASIGNATURAS!$B$2:$J$91,9,FALSE()),""))</f>
      </c>
    </row>
    <row r="510">
      <c r="F510">
        <f>IF(DATOS!$A510="","",DATOS!$A510&amp;"|"&amp;DATOS!$D510&amp;"|"&amp;DATOS!$E510&amp;"|"&amp;DATOS!$I510)</f>
      </c>
      <c r="G510">
        <f>IF(DATOS!$A510="",0,IF(CONFIG_METADATA!$B$4&lt;&gt;"OR+EX",--(DATOS!$G510=CONFIG_METADATA!$B$4),IF(DATOS!$G510="EX",1,IF(DATOS!$G510="OR",--(COUNTIFS(nNIA,DATOS!$A510,nCURSO,DATOS!$D510,nESPEC,DATOS!$E510,nASIG,DATOS!$I510,nEVAL,"EX")=0),0))))</f>
      </c>
      <c r="H510">
        <f>IF(DATOS!$G510&lt;&gt;"EX",0,--(COUNTIFS(nNIA,DATOS!$A510,nCURSO,DATOS!$D510,nESPEC,DATOS!$E510,nASIG,DATOS!$I510,nEVAL,"OR")=0))</f>
      </c>
      <c r="I510">
        <f>IF(DATOS!$I510="","",IFERROR(VLOOKUP(DATOS!$I510,CONFIG_ASIGNATURAS!$B$2:$J$91,9,FALSE()),""))</f>
      </c>
    </row>
    <row r="511">
      <c r="F511">
        <f>IF(DATOS!$A511="","",DATOS!$A511&amp;"|"&amp;DATOS!$D511&amp;"|"&amp;DATOS!$E511&amp;"|"&amp;DATOS!$I511)</f>
      </c>
      <c r="G511">
        <f>IF(DATOS!$A511="",0,IF(CONFIG_METADATA!$B$4&lt;&gt;"OR+EX",--(DATOS!$G511=CONFIG_METADATA!$B$4),IF(DATOS!$G511="EX",1,IF(DATOS!$G511="OR",--(COUNTIFS(nNIA,DATOS!$A511,nCURSO,DATOS!$D511,nESPEC,DATOS!$E511,nASIG,DATOS!$I511,nEVAL,"EX")=0),0))))</f>
      </c>
      <c r="H511">
        <f>IF(DATOS!$G511&lt;&gt;"EX",0,--(COUNTIFS(nNIA,DATOS!$A511,nCURSO,DATOS!$D511,nESPEC,DATOS!$E511,nASIG,DATOS!$I511,nEVAL,"OR")=0))</f>
      </c>
      <c r="I511">
        <f>IF(DATOS!$I511="","",IFERROR(VLOOKUP(DATOS!$I511,CONFIG_ASIGNATURAS!$B$2:$J$91,9,FALSE()),""))</f>
      </c>
    </row>
    <row r="512">
      <c r="F512">
        <f>IF(DATOS!$A512="","",DATOS!$A512&amp;"|"&amp;DATOS!$D512&amp;"|"&amp;DATOS!$E512&amp;"|"&amp;DATOS!$I512)</f>
      </c>
      <c r="G512">
        <f>IF(DATOS!$A512="",0,IF(CONFIG_METADATA!$B$4&lt;&gt;"OR+EX",--(DATOS!$G512=CONFIG_METADATA!$B$4),IF(DATOS!$G512="EX",1,IF(DATOS!$G512="OR",--(COUNTIFS(nNIA,DATOS!$A512,nCURSO,DATOS!$D512,nESPEC,DATOS!$E512,nASIG,DATOS!$I512,nEVAL,"EX")=0),0))))</f>
      </c>
      <c r="H512">
        <f>IF(DATOS!$G512&lt;&gt;"EX",0,--(COUNTIFS(nNIA,DATOS!$A512,nCURSO,DATOS!$D512,nESPEC,DATOS!$E512,nASIG,DATOS!$I512,nEVAL,"OR")=0))</f>
      </c>
      <c r="I512">
        <f>IF(DATOS!$I512="","",IFERROR(VLOOKUP(DATOS!$I512,CONFIG_ASIGNATURAS!$B$2:$J$91,9,FALSE()),""))</f>
      </c>
    </row>
    <row r="513">
      <c r="F513">
        <f>IF(DATOS!$A513="","",DATOS!$A513&amp;"|"&amp;DATOS!$D513&amp;"|"&amp;DATOS!$E513&amp;"|"&amp;DATOS!$I513)</f>
      </c>
      <c r="G513">
        <f>IF(DATOS!$A513="",0,IF(CONFIG_METADATA!$B$4&lt;&gt;"OR+EX",--(DATOS!$G513=CONFIG_METADATA!$B$4),IF(DATOS!$G513="EX",1,IF(DATOS!$G513="OR",--(COUNTIFS(nNIA,DATOS!$A513,nCURSO,DATOS!$D513,nESPEC,DATOS!$E513,nASIG,DATOS!$I513,nEVAL,"EX")=0),0))))</f>
      </c>
      <c r="H513">
        <f>IF(DATOS!$G513&lt;&gt;"EX",0,--(COUNTIFS(nNIA,DATOS!$A513,nCURSO,DATOS!$D513,nESPEC,DATOS!$E513,nASIG,DATOS!$I513,nEVAL,"OR")=0))</f>
      </c>
      <c r="I513">
        <f>IF(DATOS!$I513="","",IFERROR(VLOOKUP(DATOS!$I513,CONFIG_ASIGNATURAS!$B$2:$J$91,9,FALSE()),""))</f>
      </c>
    </row>
    <row r="514">
      <c r="F514">
        <f>IF(DATOS!$A514="","",DATOS!$A514&amp;"|"&amp;DATOS!$D514&amp;"|"&amp;DATOS!$E514&amp;"|"&amp;DATOS!$I514)</f>
      </c>
      <c r="G514">
        <f>IF(DATOS!$A514="",0,IF(CONFIG_METADATA!$B$4&lt;&gt;"OR+EX",--(DATOS!$G514=CONFIG_METADATA!$B$4),IF(DATOS!$G514="EX",1,IF(DATOS!$G514="OR",--(COUNTIFS(nNIA,DATOS!$A514,nCURSO,DATOS!$D514,nESPEC,DATOS!$E514,nASIG,DATOS!$I514,nEVAL,"EX")=0),0))))</f>
      </c>
      <c r="H514">
        <f>IF(DATOS!$G514&lt;&gt;"EX",0,--(COUNTIFS(nNIA,DATOS!$A514,nCURSO,DATOS!$D514,nESPEC,DATOS!$E514,nASIG,DATOS!$I514,nEVAL,"OR")=0))</f>
      </c>
      <c r="I514">
        <f>IF(DATOS!$I514="","",IFERROR(VLOOKUP(DATOS!$I514,CONFIG_ASIGNATURAS!$B$2:$J$91,9,FALSE()),""))</f>
      </c>
    </row>
    <row r="515">
      <c r="F515">
        <f>IF(DATOS!$A515="","",DATOS!$A515&amp;"|"&amp;DATOS!$D515&amp;"|"&amp;DATOS!$E515&amp;"|"&amp;DATOS!$I515)</f>
      </c>
      <c r="G515">
        <f>IF(DATOS!$A515="",0,IF(CONFIG_METADATA!$B$4&lt;&gt;"OR+EX",--(DATOS!$G515=CONFIG_METADATA!$B$4),IF(DATOS!$G515="EX",1,IF(DATOS!$G515="OR",--(COUNTIFS(nNIA,DATOS!$A515,nCURSO,DATOS!$D515,nESPEC,DATOS!$E515,nASIG,DATOS!$I515,nEVAL,"EX")=0),0))))</f>
      </c>
      <c r="H515">
        <f>IF(DATOS!$G515&lt;&gt;"EX",0,--(COUNTIFS(nNIA,DATOS!$A515,nCURSO,DATOS!$D515,nESPEC,DATOS!$E515,nASIG,DATOS!$I515,nEVAL,"OR")=0))</f>
      </c>
      <c r="I515">
        <f>IF(DATOS!$I515="","",IFERROR(VLOOKUP(DATOS!$I515,CONFIG_ASIGNATURAS!$B$2:$J$91,9,FALSE()),""))</f>
      </c>
    </row>
    <row r="516">
      <c r="F516">
        <f>IF(DATOS!$A516="","",DATOS!$A516&amp;"|"&amp;DATOS!$D516&amp;"|"&amp;DATOS!$E516&amp;"|"&amp;DATOS!$I516)</f>
      </c>
      <c r="G516">
        <f>IF(DATOS!$A516="",0,IF(CONFIG_METADATA!$B$4&lt;&gt;"OR+EX",--(DATOS!$G516=CONFIG_METADATA!$B$4),IF(DATOS!$G516="EX",1,IF(DATOS!$G516="OR",--(COUNTIFS(nNIA,DATOS!$A516,nCURSO,DATOS!$D516,nESPEC,DATOS!$E516,nASIG,DATOS!$I516,nEVAL,"EX")=0),0))))</f>
      </c>
      <c r="H516">
        <f>IF(DATOS!$G516&lt;&gt;"EX",0,--(COUNTIFS(nNIA,DATOS!$A516,nCURSO,DATOS!$D516,nESPEC,DATOS!$E516,nASIG,DATOS!$I516,nEVAL,"OR")=0))</f>
      </c>
      <c r="I516">
        <f>IF(DATOS!$I516="","",IFERROR(VLOOKUP(DATOS!$I516,CONFIG_ASIGNATURAS!$B$2:$J$91,9,FALSE()),""))</f>
      </c>
    </row>
    <row r="517">
      <c r="F517">
        <f>IF(DATOS!$A517="","",DATOS!$A517&amp;"|"&amp;DATOS!$D517&amp;"|"&amp;DATOS!$E517&amp;"|"&amp;DATOS!$I517)</f>
      </c>
      <c r="G517">
        <f>IF(DATOS!$A517="",0,IF(CONFIG_METADATA!$B$4&lt;&gt;"OR+EX",--(DATOS!$G517=CONFIG_METADATA!$B$4),IF(DATOS!$G517="EX",1,IF(DATOS!$G517="OR",--(COUNTIFS(nNIA,DATOS!$A517,nCURSO,DATOS!$D517,nESPEC,DATOS!$E517,nASIG,DATOS!$I517,nEVAL,"EX")=0),0))))</f>
      </c>
      <c r="H517">
        <f>IF(DATOS!$G517&lt;&gt;"EX",0,--(COUNTIFS(nNIA,DATOS!$A517,nCURSO,DATOS!$D517,nESPEC,DATOS!$E517,nASIG,DATOS!$I517,nEVAL,"OR")=0))</f>
      </c>
      <c r="I517">
        <f>IF(DATOS!$I517="","",IFERROR(VLOOKUP(DATOS!$I517,CONFIG_ASIGNATURAS!$B$2:$J$91,9,FALSE()),""))</f>
      </c>
    </row>
    <row r="518">
      <c r="F518">
        <f>IF(DATOS!$A518="","",DATOS!$A518&amp;"|"&amp;DATOS!$D518&amp;"|"&amp;DATOS!$E518&amp;"|"&amp;DATOS!$I518)</f>
      </c>
      <c r="G518">
        <f>IF(DATOS!$A518="",0,IF(CONFIG_METADATA!$B$4&lt;&gt;"OR+EX",--(DATOS!$G518=CONFIG_METADATA!$B$4),IF(DATOS!$G518="EX",1,IF(DATOS!$G518="OR",--(COUNTIFS(nNIA,DATOS!$A518,nCURSO,DATOS!$D518,nESPEC,DATOS!$E518,nASIG,DATOS!$I518,nEVAL,"EX")=0),0))))</f>
      </c>
      <c r="H518">
        <f>IF(DATOS!$G518&lt;&gt;"EX",0,--(COUNTIFS(nNIA,DATOS!$A518,nCURSO,DATOS!$D518,nESPEC,DATOS!$E518,nASIG,DATOS!$I518,nEVAL,"OR")=0))</f>
      </c>
      <c r="I518">
        <f>IF(DATOS!$I518="","",IFERROR(VLOOKUP(DATOS!$I518,CONFIG_ASIGNATURAS!$B$2:$J$91,9,FALSE()),""))</f>
      </c>
    </row>
    <row r="519">
      <c r="F519">
        <f>IF(DATOS!$A519="","",DATOS!$A519&amp;"|"&amp;DATOS!$D519&amp;"|"&amp;DATOS!$E519&amp;"|"&amp;DATOS!$I519)</f>
      </c>
      <c r="G519">
        <f>IF(DATOS!$A519="",0,IF(CONFIG_METADATA!$B$4&lt;&gt;"OR+EX",--(DATOS!$G519=CONFIG_METADATA!$B$4),IF(DATOS!$G519="EX",1,IF(DATOS!$G519="OR",--(COUNTIFS(nNIA,DATOS!$A519,nCURSO,DATOS!$D519,nESPEC,DATOS!$E519,nASIG,DATOS!$I519,nEVAL,"EX")=0),0))))</f>
      </c>
      <c r="H519">
        <f>IF(DATOS!$G519&lt;&gt;"EX",0,--(COUNTIFS(nNIA,DATOS!$A519,nCURSO,DATOS!$D519,nESPEC,DATOS!$E519,nASIG,DATOS!$I519,nEVAL,"OR")=0))</f>
      </c>
      <c r="I519">
        <f>IF(DATOS!$I519="","",IFERROR(VLOOKUP(DATOS!$I519,CONFIG_ASIGNATURAS!$B$2:$J$91,9,FALSE()),""))</f>
      </c>
    </row>
    <row r="520">
      <c r="F520">
        <f>IF(DATOS!$A520="","",DATOS!$A520&amp;"|"&amp;DATOS!$D520&amp;"|"&amp;DATOS!$E520&amp;"|"&amp;DATOS!$I520)</f>
      </c>
      <c r="G520">
        <f>IF(DATOS!$A520="",0,IF(CONFIG_METADATA!$B$4&lt;&gt;"OR+EX",--(DATOS!$G520=CONFIG_METADATA!$B$4),IF(DATOS!$G520="EX",1,IF(DATOS!$G520="OR",--(COUNTIFS(nNIA,DATOS!$A520,nCURSO,DATOS!$D520,nESPEC,DATOS!$E520,nASIG,DATOS!$I520,nEVAL,"EX")=0),0))))</f>
      </c>
      <c r="H520">
        <f>IF(DATOS!$G520&lt;&gt;"EX",0,--(COUNTIFS(nNIA,DATOS!$A520,nCURSO,DATOS!$D520,nESPEC,DATOS!$E520,nASIG,DATOS!$I520,nEVAL,"OR")=0))</f>
      </c>
      <c r="I520">
        <f>IF(DATOS!$I520="","",IFERROR(VLOOKUP(DATOS!$I520,CONFIG_ASIGNATURAS!$B$2:$J$91,9,FALSE()),""))</f>
      </c>
    </row>
    <row r="521">
      <c r="F521">
        <f>IF(DATOS!$A521="","",DATOS!$A521&amp;"|"&amp;DATOS!$D521&amp;"|"&amp;DATOS!$E521&amp;"|"&amp;DATOS!$I521)</f>
      </c>
      <c r="G521">
        <f>IF(DATOS!$A521="",0,IF(CONFIG_METADATA!$B$4&lt;&gt;"OR+EX",--(DATOS!$G521=CONFIG_METADATA!$B$4),IF(DATOS!$G521="EX",1,IF(DATOS!$G521="OR",--(COUNTIFS(nNIA,DATOS!$A521,nCURSO,DATOS!$D521,nESPEC,DATOS!$E521,nASIG,DATOS!$I521,nEVAL,"EX")=0),0))))</f>
      </c>
      <c r="H521">
        <f>IF(DATOS!$G521&lt;&gt;"EX",0,--(COUNTIFS(nNIA,DATOS!$A521,nCURSO,DATOS!$D521,nESPEC,DATOS!$E521,nASIG,DATOS!$I521,nEVAL,"OR")=0))</f>
      </c>
      <c r="I521">
        <f>IF(DATOS!$I521="","",IFERROR(VLOOKUP(DATOS!$I521,CONFIG_ASIGNATURAS!$B$2:$J$91,9,FALSE()),""))</f>
      </c>
    </row>
    <row r="522">
      <c r="F522">
        <f>IF(DATOS!$A522="","",DATOS!$A522&amp;"|"&amp;DATOS!$D522&amp;"|"&amp;DATOS!$E522&amp;"|"&amp;DATOS!$I522)</f>
      </c>
      <c r="G522">
        <f>IF(DATOS!$A522="",0,IF(CONFIG_METADATA!$B$4&lt;&gt;"OR+EX",--(DATOS!$G522=CONFIG_METADATA!$B$4),IF(DATOS!$G522="EX",1,IF(DATOS!$G522="OR",--(COUNTIFS(nNIA,DATOS!$A522,nCURSO,DATOS!$D522,nESPEC,DATOS!$E522,nASIG,DATOS!$I522,nEVAL,"EX")=0),0))))</f>
      </c>
      <c r="H522">
        <f>IF(DATOS!$G522&lt;&gt;"EX",0,--(COUNTIFS(nNIA,DATOS!$A522,nCURSO,DATOS!$D522,nESPEC,DATOS!$E522,nASIG,DATOS!$I522,nEVAL,"OR")=0))</f>
      </c>
      <c r="I522">
        <f>IF(DATOS!$I522="","",IFERROR(VLOOKUP(DATOS!$I522,CONFIG_ASIGNATURAS!$B$2:$J$91,9,FALSE()),""))</f>
      </c>
    </row>
    <row r="523">
      <c r="F523">
        <f>IF(DATOS!$A523="","",DATOS!$A523&amp;"|"&amp;DATOS!$D523&amp;"|"&amp;DATOS!$E523&amp;"|"&amp;DATOS!$I523)</f>
      </c>
      <c r="G523">
        <f>IF(DATOS!$A523="",0,IF(CONFIG_METADATA!$B$4&lt;&gt;"OR+EX",--(DATOS!$G523=CONFIG_METADATA!$B$4),IF(DATOS!$G523="EX",1,IF(DATOS!$G523="OR",--(COUNTIFS(nNIA,DATOS!$A523,nCURSO,DATOS!$D523,nESPEC,DATOS!$E523,nASIG,DATOS!$I523,nEVAL,"EX")=0),0))))</f>
      </c>
      <c r="H523">
        <f>IF(DATOS!$G523&lt;&gt;"EX",0,--(COUNTIFS(nNIA,DATOS!$A523,nCURSO,DATOS!$D523,nESPEC,DATOS!$E523,nASIG,DATOS!$I523,nEVAL,"OR")=0))</f>
      </c>
      <c r="I523">
        <f>IF(DATOS!$I523="","",IFERROR(VLOOKUP(DATOS!$I523,CONFIG_ASIGNATURAS!$B$2:$J$91,9,FALSE()),""))</f>
      </c>
    </row>
    <row r="524">
      <c r="F524">
        <f>IF(DATOS!$A524="","",DATOS!$A524&amp;"|"&amp;DATOS!$D524&amp;"|"&amp;DATOS!$E524&amp;"|"&amp;DATOS!$I524)</f>
      </c>
      <c r="G524">
        <f>IF(DATOS!$A524="",0,IF(CONFIG_METADATA!$B$4&lt;&gt;"OR+EX",--(DATOS!$G524=CONFIG_METADATA!$B$4),IF(DATOS!$G524="EX",1,IF(DATOS!$G524="OR",--(COUNTIFS(nNIA,DATOS!$A524,nCURSO,DATOS!$D524,nESPEC,DATOS!$E524,nASIG,DATOS!$I524,nEVAL,"EX")=0),0))))</f>
      </c>
      <c r="H524">
        <f>IF(DATOS!$G524&lt;&gt;"EX",0,--(COUNTIFS(nNIA,DATOS!$A524,nCURSO,DATOS!$D524,nESPEC,DATOS!$E524,nASIG,DATOS!$I524,nEVAL,"OR")=0))</f>
      </c>
      <c r="I524">
        <f>IF(DATOS!$I524="","",IFERROR(VLOOKUP(DATOS!$I524,CONFIG_ASIGNATURAS!$B$2:$J$91,9,FALSE()),""))</f>
      </c>
    </row>
    <row r="525">
      <c r="F525">
        <f>IF(DATOS!$A525="","",DATOS!$A525&amp;"|"&amp;DATOS!$D525&amp;"|"&amp;DATOS!$E525&amp;"|"&amp;DATOS!$I525)</f>
      </c>
      <c r="G525">
        <f>IF(DATOS!$A525="",0,IF(CONFIG_METADATA!$B$4&lt;&gt;"OR+EX",--(DATOS!$G525=CONFIG_METADATA!$B$4),IF(DATOS!$G525="EX",1,IF(DATOS!$G525="OR",--(COUNTIFS(nNIA,DATOS!$A525,nCURSO,DATOS!$D525,nESPEC,DATOS!$E525,nASIG,DATOS!$I525,nEVAL,"EX")=0),0))))</f>
      </c>
      <c r="H525">
        <f>IF(DATOS!$G525&lt;&gt;"EX",0,--(COUNTIFS(nNIA,DATOS!$A525,nCURSO,DATOS!$D525,nESPEC,DATOS!$E525,nASIG,DATOS!$I525,nEVAL,"OR")=0))</f>
      </c>
      <c r="I525">
        <f>IF(DATOS!$I525="","",IFERROR(VLOOKUP(DATOS!$I525,CONFIG_ASIGNATURAS!$B$2:$J$91,9,FALSE()),""))</f>
      </c>
    </row>
    <row r="526">
      <c r="F526">
        <f>IF(DATOS!$A526="","",DATOS!$A526&amp;"|"&amp;DATOS!$D526&amp;"|"&amp;DATOS!$E526&amp;"|"&amp;DATOS!$I526)</f>
      </c>
      <c r="G526">
        <f>IF(DATOS!$A526="",0,IF(CONFIG_METADATA!$B$4&lt;&gt;"OR+EX",--(DATOS!$G526=CONFIG_METADATA!$B$4),IF(DATOS!$G526="EX",1,IF(DATOS!$G526="OR",--(COUNTIFS(nNIA,DATOS!$A526,nCURSO,DATOS!$D526,nESPEC,DATOS!$E526,nASIG,DATOS!$I526,nEVAL,"EX")=0),0))))</f>
      </c>
      <c r="H526">
        <f>IF(DATOS!$G526&lt;&gt;"EX",0,--(COUNTIFS(nNIA,DATOS!$A526,nCURSO,DATOS!$D526,nESPEC,DATOS!$E526,nASIG,DATOS!$I526,nEVAL,"OR")=0))</f>
      </c>
      <c r="I526">
        <f>IF(DATOS!$I526="","",IFERROR(VLOOKUP(DATOS!$I526,CONFIG_ASIGNATURAS!$B$2:$J$91,9,FALSE()),""))</f>
      </c>
    </row>
    <row r="527">
      <c r="F527">
        <f>IF(DATOS!$A527="","",DATOS!$A527&amp;"|"&amp;DATOS!$D527&amp;"|"&amp;DATOS!$E527&amp;"|"&amp;DATOS!$I527)</f>
      </c>
      <c r="G527">
        <f>IF(DATOS!$A527="",0,IF(CONFIG_METADATA!$B$4&lt;&gt;"OR+EX",--(DATOS!$G527=CONFIG_METADATA!$B$4),IF(DATOS!$G527="EX",1,IF(DATOS!$G527="OR",--(COUNTIFS(nNIA,DATOS!$A527,nCURSO,DATOS!$D527,nESPEC,DATOS!$E527,nASIG,DATOS!$I527,nEVAL,"EX")=0),0))))</f>
      </c>
      <c r="H527">
        <f>IF(DATOS!$G527&lt;&gt;"EX",0,--(COUNTIFS(nNIA,DATOS!$A527,nCURSO,DATOS!$D527,nESPEC,DATOS!$E527,nASIG,DATOS!$I527,nEVAL,"OR")=0))</f>
      </c>
      <c r="I527">
        <f>IF(DATOS!$I527="","",IFERROR(VLOOKUP(DATOS!$I527,CONFIG_ASIGNATURAS!$B$2:$J$91,9,FALSE()),""))</f>
      </c>
    </row>
    <row r="528">
      <c r="F528">
        <f>IF(DATOS!$A528="","",DATOS!$A528&amp;"|"&amp;DATOS!$D528&amp;"|"&amp;DATOS!$E528&amp;"|"&amp;DATOS!$I528)</f>
      </c>
      <c r="G528">
        <f>IF(DATOS!$A528="",0,IF(CONFIG_METADATA!$B$4&lt;&gt;"OR+EX",--(DATOS!$G528=CONFIG_METADATA!$B$4),IF(DATOS!$G528="EX",1,IF(DATOS!$G528="OR",--(COUNTIFS(nNIA,DATOS!$A528,nCURSO,DATOS!$D528,nESPEC,DATOS!$E528,nASIG,DATOS!$I528,nEVAL,"EX")=0),0))))</f>
      </c>
      <c r="H528">
        <f>IF(DATOS!$G528&lt;&gt;"EX",0,--(COUNTIFS(nNIA,DATOS!$A528,nCURSO,DATOS!$D528,nESPEC,DATOS!$E528,nASIG,DATOS!$I528,nEVAL,"OR")=0))</f>
      </c>
      <c r="I528">
        <f>IF(DATOS!$I528="","",IFERROR(VLOOKUP(DATOS!$I528,CONFIG_ASIGNATURAS!$B$2:$J$91,9,FALSE()),""))</f>
      </c>
    </row>
    <row r="529">
      <c r="F529">
        <f>IF(DATOS!$A529="","",DATOS!$A529&amp;"|"&amp;DATOS!$D529&amp;"|"&amp;DATOS!$E529&amp;"|"&amp;DATOS!$I529)</f>
      </c>
      <c r="G529">
        <f>IF(DATOS!$A529="",0,IF(CONFIG_METADATA!$B$4&lt;&gt;"OR+EX",--(DATOS!$G529=CONFIG_METADATA!$B$4),IF(DATOS!$G529="EX",1,IF(DATOS!$G529="OR",--(COUNTIFS(nNIA,DATOS!$A529,nCURSO,DATOS!$D529,nESPEC,DATOS!$E529,nASIG,DATOS!$I529,nEVAL,"EX")=0),0))))</f>
      </c>
      <c r="H529">
        <f>IF(DATOS!$G529&lt;&gt;"EX",0,--(COUNTIFS(nNIA,DATOS!$A529,nCURSO,DATOS!$D529,nESPEC,DATOS!$E529,nASIG,DATOS!$I529,nEVAL,"OR")=0))</f>
      </c>
      <c r="I529">
        <f>IF(DATOS!$I529="","",IFERROR(VLOOKUP(DATOS!$I529,CONFIG_ASIGNATURAS!$B$2:$J$91,9,FALSE()),""))</f>
      </c>
    </row>
    <row r="530">
      <c r="F530">
        <f>IF(DATOS!$A530="","",DATOS!$A530&amp;"|"&amp;DATOS!$D530&amp;"|"&amp;DATOS!$E530&amp;"|"&amp;DATOS!$I530)</f>
      </c>
      <c r="G530">
        <f>IF(DATOS!$A530="",0,IF(CONFIG_METADATA!$B$4&lt;&gt;"OR+EX",--(DATOS!$G530=CONFIG_METADATA!$B$4),IF(DATOS!$G530="EX",1,IF(DATOS!$G530="OR",--(COUNTIFS(nNIA,DATOS!$A530,nCURSO,DATOS!$D530,nESPEC,DATOS!$E530,nASIG,DATOS!$I530,nEVAL,"EX")=0),0))))</f>
      </c>
      <c r="H530">
        <f>IF(DATOS!$G530&lt;&gt;"EX",0,--(COUNTIFS(nNIA,DATOS!$A530,nCURSO,DATOS!$D530,nESPEC,DATOS!$E530,nASIG,DATOS!$I530,nEVAL,"OR")=0))</f>
      </c>
      <c r="I530">
        <f>IF(DATOS!$I530="","",IFERROR(VLOOKUP(DATOS!$I530,CONFIG_ASIGNATURAS!$B$2:$J$91,9,FALSE()),""))</f>
      </c>
    </row>
    <row r="531">
      <c r="F531">
        <f>IF(DATOS!$A531="","",DATOS!$A531&amp;"|"&amp;DATOS!$D531&amp;"|"&amp;DATOS!$E531&amp;"|"&amp;DATOS!$I531)</f>
      </c>
      <c r="G531">
        <f>IF(DATOS!$A531="",0,IF(CONFIG_METADATA!$B$4&lt;&gt;"OR+EX",--(DATOS!$G531=CONFIG_METADATA!$B$4),IF(DATOS!$G531="EX",1,IF(DATOS!$G531="OR",--(COUNTIFS(nNIA,DATOS!$A531,nCURSO,DATOS!$D531,nESPEC,DATOS!$E531,nASIG,DATOS!$I531,nEVAL,"EX")=0),0))))</f>
      </c>
      <c r="H531">
        <f>IF(DATOS!$G531&lt;&gt;"EX",0,--(COUNTIFS(nNIA,DATOS!$A531,nCURSO,DATOS!$D531,nESPEC,DATOS!$E531,nASIG,DATOS!$I531,nEVAL,"OR")=0))</f>
      </c>
      <c r="I531">
        <f>IF(DATOS!$I531="","",IFERROR(VLOOKUP(DATOS!$I531,CONFIG_ASIGNATURAS!$B$2:$J$91,9,FALSE()),""))</f>
      </c>
    </row>
    <row r="532">
      <c r="F532">
        <f>IF(DATOS!$A532="","",DATOS!$A532&amp;"|"&amp;DATOS!$D532&amp;"|"&amp;DATOS!$E532&amp;"|"&amp;DATOS!$I532)</f>
      </c>
      <c r="G532">
        <f>IF(DATOS!$A532="",0,IF(CONFIG_METADATA!$B$4&lt;&gt;"OR+EX",--(DATOS!$G532=CONFIG_METADATA!$B$4),IF(DATOS!$G532="EX",1,IF(DATOS!$G532="OR",--(COUNTIFS(nNIA,DATOS!$A532,nCURSO,DATOS!$D532,nESPEC,DATOS!$E532,nASIG,DATOS!$I532,nEVAL,"EX")=0),0))))</f>
      </c>
      <c r="H532">
        <f>IF(DATOS!$G532&lt;&gt;"EX",0,--(COUNTIFS(nNIA,DATOS!$A532,nCURSO,DATOS!$D532,nESPEC,DATOS!$E532,nASIG,DATOS!$I532,nEVAL,"OR")=0))</f>
      </c>
      <c r="I532">
        <f>IF(DATOS!$I532="","",IFERROR(VLOOKUP(DATOS!$I532,CONFIG_ASIGNATURAS!$B$2:$J$91,9,FALSE()),""))</f>
      </c>
    </row>
    <row r="533">
      <c r="F533">
        <f>IF(DATOS!$A533="","",DATOS!$A533&amp;"|"&amp;DATOS!$D533&amp;"|"&amp;DATOS!$E533&amp;"|"&amp;DATOS!$I533)</f>
      </c>
      <c r="G533">
        <f>IF(DATOS!$A533="",0,IF(CONFIG_METADATA!$B$4&lt;&gt;"OR+EX",--(DATOS!$G533=CONFIG_METADATA!$B$4),IF(DATOS!$G533="EX",1,IF(DATOS!$G533="OR",--(COUNTIFS(nNIA,DATOS!$A533,nCURSO,DATOS!$D533,nESPEC,DATOS!$E533,nASIG,DATOS!$I533,nEVAL,"EX")=0),0))))</f>
      </c>
      <c r="H533">
        <f>IF(DATOS!$G533&lt;&gt;"EX",0,--(COUNTIFS(nNIA,DATOS!$A533,nCURSO,DATOS!$D533,nESPEC,DATOS!$E533,nASIG,DATOS!$I533,nEVAL,"OR")=0))</f>
      </c>
      <c r="I533">
        <f>IF(DATOS!$I533="","",IFERROR(VLOOKUP(DATOS!$I533,CONFIG_ASIGNATURAS!$B$2:$J$91,9,FALSE()),""))</f>
      </c>
    </row>
    <row r="534">
      <c r="F534">
        <f>IF(DATOS!$A534="","",DATOS!$A534&amp;"|"&amp;DATOS!$D534&amp;"|"&amp;DATOS!$E534&amp;"|"&amp;DATOS!$I534)</f>
      </c>
      <c r="G534">
        <f>IF(DATOS!$A534="",0,IF(CONFIG_METADATA!$B$4&lt;&gt;"OR+EX",--(DATOS!$G534=CONFIG_METADATA!$B$4),IF(DATOS!$G534="EX",1,IF(DATOS!$G534="OR",--(COUNTIFS(nNIA,DATOS!$A534,nCURSO,DATOS!$D534,nESPEC,DATOS!$E534,nASIG,DATOS!$I534,nEVAL,"EX")=0),0))))</f>
      </c>
      <c r="H534">
        <f>IF(DATOS!$G534&lt;&gt;"EX",0,--(COUNTIFS(nNIA,DATOS!$A534,nCURSO,DATOS!$D534,nESPEC,DATOS!$E534,nASIG,DATOS!$I534,nEVAL,"OR")=0))</f>
      </c>
      <c r="I534">
        <f>IF(DATOS!$I534="","",IFERROR(VLOOKUP(DATOS!$I534,CONFIG_ASIGNATURAS!$B$2:$J$91,9,FALSE()),""))</f>
      </c>
    </row>
    <row r="535">
      <c r="F535">
        <f>IF(DATOS!$A535="","",DATOS!$A535&amp;"|"&amp;DATOS!$D535&amp;"|"&amp;DATOS!$E535&amp;"|"&amp;DATOS!$I535)</f>
      </c>
      <c r="G535">
        <f>IF(DATOS!$A535="",0,IF(CONFIG_METADATA!$B$4&lt;&gt;"OR+EX",--(DATOS!$G535=CONFIG_METADATA!$B$4),IF(DATOS!$G535="EX",1,IF(DATOS!$G535="OR",--(COUNTIFS(nNIA,DATOS!$A535,nCURSO,DATOS!$D535,nESPEC,DATOS!$E535,nASIG,DATOS!$I535,nEVAL,"EX")=0),0))))</f>
      </c>
      <c r="H535">
        <f>IF(DATOS!$G535&lt;&gt;"EX",0,--(COUNTIFS(nNIA,DATOS!$A535,nCURSO,DATOS!$D535,nESPEC,DATOS!$E535,nASIG,DATOS!$I535,nEVAL,"OR")=0))</f>
      </c>
      <c r="I535">
        <f>IF(DATOS!$I535="","",IFERROR(VLOOKUP(DATOS!$I535,CONFIG_ASIGNATURAS!$B$2:$J$91,9,FALSE()),""))</f>
      </c>
    </row>
    <row r="536">
      <c r="F536">
        <f>IF(DATOS!$A536="","",DATOS!$A536&amp;"|"&amp;DATOS!$D536&amp;"|"&amp;DATOS!$E536&amp;"|"&amp;DATOS!$I536)</f>
      </c>
      <c r="G536">
        <f>IF(DATOS!$A536="",0,IF(CONFIG_METADATA!$B$4&lt;&gt;"OR+EX",--(DATOS!$G536=CONFIG_METADATA!$B$4),IF(DATOS!$G536="EX",1,IF(DATOS!$G536="OR",--(COUNTIFS(nNIA,DATOS!$A536,nCURSO,DATOS!$D536,nESPEC,DATOS!$E536,nASIG,DATOS!$I536,nEVAL,"EX")=0),0))))</f>
      </c>
      <c r="H536">
        <f>IF(DATOS!$G536&lt;&gt;"EX",0,--(COUNTIFS(nNIA,DATOS!$A536,nCURSO,DATOS!$D536,nESPEC,DATOS!$E536,nASIG,DATOS!$I536,nEVAL,"OR")=0))</f>
      </c>
      <c r="I536">
        <f>IF(DATOS!$I536="","",IFERROR(VLOOKUP(DATOS!$I536,CONFIG_ASIGNATURAS!$B$2:$J$91,9,FALSE()),""))</f>
      </c>
    </row>
    <row r="537">
      <c r="F537">
        <f>IF(DATOS!$A537="","",DATOS!$A537&amp;"|"&amp;DATOS!$D537&amp;"|"&amp;DATOS!$E537&amp;"|"&amp;DATOS!$I537)</f>
      </c>
      <c r="G537">
        <f>IF(DATOS!$A537="",0,IF(CONFIG_METADATA!$B$4&lt;&gt;"OR+EX",--(DATOS!$G537=CONFIG_METADATA!$B$4),IF(DATOS!$G537="EX",1,IF(DATOS!$G537="OR",--(COUNTIFS(nNIA,DATOS!$A537,nCURSO,DATOS!$D537,nESPEC,DATOS!$E537,nASIG,DATOS!$I537,nEVAL,"EX")=0),0))))</f>
      </c>
      <c r="H537">
        <f>IF(DATOS!$G537&lt;&gt;"EX",0,--(COUNTIFS(nNIA,DATOS!$A537,nCURSO,DATOS!$D537,nESPEC,DATOS!$E537,nASIG,DATOS!$I537,nEVAL,"OR")=0))</f>
      </c>
      <c r="I537">
        <f>IF(DATOS!$I537="","",IFERROR(VLOOKUP(DATOS!$I537,CONFIG_ASIGNATURAS!$B$2:$J$91,9,FALSE()),""))</f>
      </c>
    </row>
    <row r="538">
      <c r="F538">
        <f>IF(DATOS!$A538="","",DATOS!$A538&amp;"|"&amp;DATOS!$D538&amp;"|"&amp;DATOS!$E538&amp;"|"&amp;DATOS!$I538)</f>
      </c>
      <c r="G538">
        <f>IF(DATOS!$A538="",0,IF(CONFIG_METADATA!$B$4&lt;&gt;"OR+EX",--(DATOS!$G538=CONFIG_METADATA!$B$4),IF(DATOS!$G538="EX",1,IF(DATOS!$G538="OR",--(COUNTIFS(nNIA,DATOS!$A538,nCURSO,DATOS!$D538,nESPEC,DATOS!$E538,nASIG,DATOS!$I538,nEVAL,"EX")=0),0))))</f>
      </c>
      <c r="H538">
        <f>IF(DATOS!$G538&lt;&gt;"EX",0,--(COUNTIFS(nNIA,DATOS!$A538,nCURSO,DATOS!$D538,nESPEC,DATOS!$E538,nASIG,DATOS!$I538,nEVAL,"OR")=0))</f>
      </c>
      <c r="I538">
        <f>IF(DATOS!$I538="","",IFERROR(VLOOKUP(DATOS!$I538,CONFIG_ASIGNATURAS!$B$2:$J$91,9,FALSE()),""))</f>
      </c>
    </row>
    <row r="539">
      <c r="F539">
        <f>IF(DATOS!$A539="","",DATOS!$A539&amp;"|"&amp;DATOS!$D539&amp;"|"&amp;DATOS!$E539&amp;"|"&amp;DATOS!$I539)</f>
      </c>
      <c r="G539">
        <f>IF(DATOS!$A539="",0,IF(CONFIG_METADATA!$B$4&lt;&gt;"OR+EX",--(DATOS!$G539=CONFIG_METADATA!$B$4),IF(DATOS!$G539="EX",1,IF(DATOS!$G539="OR",--(COUNTIFS(nNIA,DATOS!$A539,nCURSO,DATOS!$D539,nESPEC,DATOS!$E539,nASIG,DATOS!$I539,nEVAL,"EX")=0),0))))</f>
      </c>
      <c r="H539">
        <f>IF(DATOS!$G539&lt;&gt;"EX",0,--(COUNTIFS(nNIA,DATOS!$A539,nCURSO,DATOS!$D539,nESPEC,DATOS!$E539,nASIG,DATOS!$I539,nEVAL,"OR")=0))</f>
      </c>
      <c r="I539">
        <f>IF(DATOS!$I539="","",IFERROR(VLOOKUP(DATOS!$I539,CONFIG_ASIGNATURAS!$B$2:$J$91,9,FALSE()),""))</f>
      </c>
    </row>
    <row r="540">
      <c r="F540">
        <f>IF(DATOS!$A540="","",DATOS!$A540&amp;"|"&amp;DATOS!$D540&amp;"|"&amp;DATOS!$E540&amp;"|"&amp;DATOS!$I540)</f>
      </c>
      <c r="G540">
        <f>IF(DATOS!$A540="",0,IF(CONFIG_METADATA!$B$4&lt;&gt;"OR+EX",--(DATOS!$G540=CONFIG_METADATA!$B$4),IF(DATOS!$G540="EX",1,IF(DATOS!$G540="OR",--(COUNTIFS(nNIA,DATOS!$A540,nCURSO,DATOS!$D540,nESPEC,DATOS!$E540,nASIG,DATOS!$I540,nEVAL,"EX")=0),0))))</f>
      </c>
      <c r="H540">
        <f>IF(DATOS!$G540&lt;&gt;"EX",0,--(COUNTIFS(nNIA,DATOS!$A540,nCURSO,DATOS!$D540,nESPEC,DATOS!$E540,nASIG,DATOS!$I540,nEVAL,"OR")=0))</f>
      </c>
      <c r="I540">
        <f>IF(DATOS!$I540="","",IFERROR(VLOOKUP(DATOS!$I540,CONFIG_ASIGNATURAS!$B$2:$J$91,9,FALSE()),""))</f>
      </c>
    </row>
    <row r="541">
      <c r="F541">
        <f>IF(DATOS!$A541="","",DATOS!$A541&amp;"|"&amp;DATOS!$D541&amp;"|"&amp;DATOS!$E541&amp;"|"&amp;DATOS!$I541)</f>
      </c>
      <c r="G541">
        <f>IF(DATOS!$A541="",0,IF(CONFIG_METADATA!$B$4&lt;&gt;"OR+EX",--(DATOS!$G541=CONFIG_METADATA!$B$4),IF(DATOS!$G541="EX",1,IF(DATOS!$G541="OR",--(COUNTIFS(nNIA,DATOS!$A541,nCURSO,DATOS!$D541,nESPEC,DATOS!$E541,nASIG,DATOS!$I541,nEVAL,"EX")=0),0))))</f>
      </c>
      <c r="H541">
        <f>IF(DATOS!$G541&lt;&gt;"EX",0,--(COUNTIFS(nNIA,DATOS!$A541,nCURSO,DATOS!$D541,nESPEC,DATOS!$E541,nASIG,DATOS!$I541,nEVAL,"OR")=0))</f>
      </c>
      <c r="I541">
        <f>IF(DATOS!$I541="","",IFERROR(VLOOKUP(DATOS!$I541,CONFIG_ASIGNATURAS!$B$2:$J$91,9,FALSE()),""))</f>
      </c>
    </row>
    <row r="542">
      <c r="F542">
        <f>IF(DATOS!$A542="","",DATOS!$A542&amp;"|"&amp;DATOS!$D542&amp;"|"&amp;DATOS!$E542&amp;"|"&amp;DATOS!$I542)</f>
      </c>
      <c r="G542">
        <f>IF(DATOS!$A542="",0,IF(CONFIG_METADATA!$B$4&lt;&gt;"OR+EX",--(DATOS!$G542=CONFIG_METADATA!$B$4),IF(DATOS!$G542="EX",1,IF(DATOS!$G542="OR",--(COUNTIFS(nNIA,DATOS!$A542,nCURSO,DATOS!$D542,nESPEC,DATOS!$E542,nASIG,DATOS!$I542,nEVAL,"EX")=0),0))))</f>
      </c>
      <c r="H542">
        <f>IF(DATOS!$G542&lt;&gt;"EX",0,--(COUNTIFS(nNIA,DATOS!$A542,nCURSO,DATOS!$D542,nESPEC,DATOS!$E542,nASIG,DATOS!$I542,nEVAL,"OR")=0))</f>
      </c>
      <c r="I542">
        <f>IF(DATOS!$I542="","",IFERROR(VLOOKUP(DATOS!$I542,CONFIG_ASIGNATURAS!$B$2:$J$91,9,FALSE()),""))</f>
      </c>
    </row>
    <row r="543">
      <c r="F543">
        <f>IF(DATOS!$A543="","",DATOS!$A543&amp;"|"&amp;DATOS!$D543&amp;"|"&amp;DATOS!$E543&amp;"|"&amp;DATOS!$I543)</f>
      </c>
      <c r="G543">
        <f>IF(DATOS!$A543="",0,IF(CONFIG_METADATA!$B$4&lt;&gt;"OR+EX",--(DATOS!$G543=CONFIG_METADATA!$B$4),IF(DATOS!$G543="EX",1,IF(DATOS!$G543="OR",--(COUNTIFS(nNIA,DATOS!$A543,nCURSO,DATOS!$D543,nESPEC,DATOS!$E543,nASIG,DATOS!$I543,nEVAL,"EX")=0),0))))</f>
      </c>
      <c r="H543">
        <f>IF(DATOS!$G543&lt;&gt;"EX",0,--(COUNTIFS(nNIA,DATOS!$A543,nCURSO,DATOS!$D543,nESPEC,DATOS!$E543,nASIG,DATOS!$I543,nEVAL,"OR")=0))</f>
      </c>
      <c r="I543">
        <f>IF(DATOS!$I543="","",IFERROR(VLOOKUP(DATOS!$I543,CONFIG_ASIGNATURAS!$B$2:$J$91,9,FALSE()),""))</f>
      </c>
    </row>
    <row r="544">
      <c r="F544">
        <f>IF(DATOS!$A544="","",DATOS!$A544&amp;"|"&amp;DATOS!$D544&amp;"|"&amp;DATOS!$E544&amp;"|"&amp;DATOS!$I544)</f>
      </c>
      <c r="G544">
        <f>IF(DATOS!$A544="",0,IF(CONFIG_METADATA!$B$4&lt;&gt;"OR+EX",--(DATOS!$G544=CONFIG_METADATA!$B$4),IF(DATOS!$G544="EX",1,IF(DATOS!$G544="OR",--(COUNTIFS(nNIA,DATOS!$A544,nCURSO,DATOS!$D544,nESPEC,DATOS!$E544,nASIG,DATOS!$I544,nEVAL,"EX")=0),0))))</f>
      </c>
      <c r="H544">
        <f>IF(DATOS!$G544&lt;&gt;"EX",0,--(COUNTIFS(nNIA,DATOS!$A544,nCURSO,DATOS!$D544,nESPEC,DATOS!$E544,nASIG,DATOS!$I544,nEVAL,"OR")=0))</f>
      </c>
      <c r="I544">
        <f>IF(DATOS!$I544="","",IFERROR(VLOOKUP(DATOS!$I544,CONFIG_ASIGNATURAS!$B$2:$J$91,9,FALSE()),""))</f>
      </c>
    </row>
    <row r="545">
      <c r="F545">
        <f>IF(DATOS!$A545="","",DATOS!$A545&amp;"|"&amp;DATOS!$D545&amp;"|"&amp;DATOS!$E545&amp;"|"&amp;DATOS!$I545)</f>
      </c>
      <c r="G545">
        <f>IF(DATOS!$A545="",0,IF(CONFIG_METADATA!$B$4&lt;&gt;"OR+EX",--(DATOS!$G545=CONFIG_METADATA!$B$4),IF(DATOS!$G545="EX",1,IF(DATOS!$G545="OR",--(COUNTIFS(nNIA,DATOS!$A545,nCURSO,DATOS!$D545,nESPEC,DATOS!$E545,nASIG,DATOS!$I545,nEVAL,"EX")=0),0))))</f>
      </c>
      <c r="H545">
        <f>IF(DATOS!$G545&lt;&gt;"EX",0,--(COUNTIFS(nNIA,DATOS!$A545,nCURSO,DATOS!$D545,nESPEC,DATOS!$E545,nASIG,DATOS!$I545,nEVAL,"OR")=0))</f>
      </c>
      <c r="I545">
        <f>IF(DATOS!$I545="","",IFERROR(VLOOKUP(DATOS!$I545,CONFIG_ASIGNATURAS!$B$2:$J$91,9,FALSE()),""))</f>
      </c>
    </row>
    <row r="546">
      <c r="F546">
        <f>IF(DATOS!$A546="","",DATOS!$A546&amp;"|"&amp;DATOS!$D546&amp;"|"&amp;DATOS!$E546&amp;"|"&amp;DATOS!$I546)</f>
      </c>
      <c r="G546">
        <f>IF(DATOS!$A546="",0,IF(CONFIG_METADATA!$B$4&lt;&gt;"OR+EX",--(DATOS!$G546=CONFIG_METADATA!$B$4),IF(DATOS!$G546="EX",1,IF(DATOS!$G546="OR",--(COUNTIFS(nNIA,DATOS!$A546,nCURSO,DATOS!$D546,nESPEC,DATOS!$E546,nASIG,DATOS!$I546,nEVAL,"EX")=0),0))))</f>
      </c>
      <c r="H546">
        <f>IF(DATOS!$G546&lt;&gt;"EX",0,--(COUNTIFS(nNIA,DATOS!$A546,nCURSO,DATOS!$D546,nESPEC,DATOS!$E546,nASIG,DATOS!$I546,nEVAL,"OR")=0))</f>
      </c>
      <c r="I546">
        <f>IF(DATOS!$I546="","",IFERROR(VLOOKUP(DATOS!$I546,CONFIG_ASIGNATURAS!$B$2:$J$91,9,FALSE()),""))</f>
      </c>
    </row>
    <row r="547">
      <c r="F547">
        <f>IF(DATOS!$A547="","",DATOS!$A547&amp;"|"&amp;DATOS!$D547&amp;"|"&amp;DATOS!$E547&amp;"|"&amp;DATOS!$I547)</f>
      </c>
      <c r="G547">
        <f>IF(DATOS!$A547="",0,IF(CONFIG_METADATA!$B$4&lt;&gt;"OR+EX",--(DATOS!$G547=CONFIG_METADATA!$B$4),IF(DATOS!$G547="EX",1,IF(DATOS!$G547="OR",--(COUNTIFS(nNIA,DATOS!$A547,nCURSO,DATOS!$D547,nESPEC,DATOS!$E547,nASIG,DATOS!$I547,nEVAL,"EX")=0),0))))</f>
      </c>
      <c r="H547">
        <f>IF(DATOS!$G547&lt;&gt;"EX",0,--(COUNTIFS(nNIA,DATOS!$A547,nCURSO,DATOS!$D547,nESPEC,DATOS!$E547,nASIG,DATOS!$I547,nEVAL,"OR")=0))</f>
      </c>
      <c r="I547">
        <f>IF(DATOS!$I547="","",IFERROR(VLOOKUP(DATOS!$I547,CONFIG_ASIGNATURAS!$B$2:$J$91,9,FALSE()),""))</f>
      </c>
    </row>
    <row r="548">
      <c r="F548">
        <f>IF(DATOS!$A548="","",DATOS!$A548&amp;"|"&amp;DATOS!$D548&amp;"|"&amp;DATOS!$E548&amp;"|"&amp;DATOS!$I548)</f>
      </c>
      <c r="G548">
        <f>IF(DATOS!$A548="",0,IF(CONFIG_METADATA!$B$4&lt;&gt;"OR+EX",--(DATOS!$G548=CONFIG_METADATA!$B$4),IF(DATOS!$G548="EX",1,IF(DATOS!$G548="OR",--(COUNTIFS(nNIA,DATOS!$A548,nCURSO,DATOS!$D548,nESPEC,DATOS!$E548,nASIG,DATOS!$I548,nEVAL,"EX")=0),0))))</f>
      </c>
      <c r="H548">
        <f>IF(DATOS!$G548&lt;&gt;"EX",0,--(COUNTIFS(nNIA,DATOS!$A548,nCURSO,DATOS!$D548,nESPEC,DATOS!$E548,nASIG,DATOS!$I548,nEVAL,"OR")=0))</f>
      </c>
      <c r="I548">
        <f>IF(DATOS!$I548="","",IFERROR(VLOOKUP(DATOS!$I548,CONFIG_ASIGNATURAS!$B$2:$J$91,9,FALSE()),""))</f>
      </c>
    </row>
    <row r="549">
      <c r="F549">
        <f>IF(DATOS!$A549="","",DATOS!$A549&amp;"|"&amp;DATOS!$D549&amp;"|"&amp;DATOS!$E549&amp;"|"&amp;DATOS!$I549)</f>
      </c>
      <c r="G549">
        <f>IF(DATOS!$A549="",0,IF(CONFIG_METADATA!$B$4&lt;&gt;"OR+EX",--(DATOS!$G549=CONFIG_METADATA!$B$4),IF(DATOS!$G549="EX",1,IF(DATOS!$G549="OR",--(COUNTIFS(nNIA,DATOS!$A549,nCURSO,DATOS!$D549,nESPEC,DATOS!$E549,nASIG,DATOS!$I549,nEVAL,"EX")=0),0))))</f>
      </c>
      <c r="H549">
        <f>IF(DATOS!$G549&lt;&gt;"EX",0,--(COUNTIFS(nNIA,DATOS!$A549,nCURSO,DATOS!$D549,nESPEC,DATOS!$E549,nASIG,DATOS!$I549,nEVAL,"OR")=0))</f>
      </c>
      <c r="I549">
        <f>IF(DATOS!$I549="","",IFERROR(VLOOKUP(DATOS!$I549,CONFIG_ASIGNATURAS!$B$2:$J$91,9,FALSE()),""))</f>
      </c>
    </row>
    <row r="550">
      <c r="F550">
        <f>IF(DATOS!$A550="","",DATOS!$A550&amp;"|"&amp;DATOS!$D550&amp;"|"&amp;DATOS!$E550&amp;"|"&amp;DATOS!$I550)</f>
      </c>
      <c r="G550">
        <f>IF(DATOS!$A550="",0,IF(CONFIG_METADATA!$B$4&lt;&gt;"OR+EX",--(DATOS!$G550=CONFIG_METADATA!$B$4),IF(DATOS!$G550="EX",1,IF(DATOS!$G550="OR",--(COUNTIFS(nNIA,DATOS!$A550,nCURSO,DATOS!$D550,nESPEC,DATOS!$E550,nASIG,DATOS!$I550,nEVAL,"EX")=0),0))))</f>
      </c>
      <c r="H550">
        <f>IF(DATOS!$G550&lt;&gt;"EX",0,--(COUNTIFS(nNIA,DATOS!$A550,nCURSO,DATOS!$D550,nESPEC,DATOS!$E550,nASIG,DATOS!$I550,nEVAL,"OR")=0))</f>
      </c>
      <c r="I550">
        <f>IF(DATOS!$I550="","",IFERROR(VLOOKUP(DATOS!$I550,CONFIG_ASIGNATURAS!$B$2:$J$91,9,FALSE()),""))</f>
      </c>
    </row>
    <row r="551">
      <c r="F551">
        <f>IF(DATOS!$A551="","",DATOS!$A551&amp;"|"&amp;DATOS!$D551&amp;"|"&amp;DATOS!$E551&amp;"|"&amp;DATOS!$I551)</f>
      </c>
      <c r="G551">
        <f>IF(DATOS!$A551="",0,IF(CONFIG_METADATA!$B$4&lt;&gt;"OR+EX",--(DATOS!$G551=CONFIG_METADATA!$B$4),IF(DATOS!$G551="EX",1,IF(DATOS!$G551="OR",--(COUNTIFS(nNIA,DATOS!$A551,nCURSO,DATOS!$D551,nESPEC,DATOS!$E551,nASIG,DATOS!$I551,nEVAL,"EX")=0),0))))</f>
      </c>
      <c r="H551">
        <f>IF(DATOS!$G551&lt;&gt;"EX",0,--(COUNTIFS(nNIA,DATOS!$A551,nCURSO,DATOS!$D551,nESPEC,DATOS!$E551,nASIG,DATOS!$I551,nEVAL,"OR")=0))</f>
      </c>
      <c r="I551">
        <f>IF(DATOS!$I551="","",IFERROR(VLOOKUP(DATOS!$I551,CONFIG_ASIGNATURAS!$B$2:$J$91,9,FALSE()),""))</f>
      </c>
    </row>
    <row r="552">
      <c r="F552">
        <f>IF(DATOS!$A552="","",DATOS!$A552&amp;"|"&amp;DATOS!$D552&amp;"|"&amp;DATOS!$E552&amp;"|"&amp;DATOS!$I552)</f>
      </c>
      <c r="G552">
        <f>IF(DATOS!$A552="",0,IF(CONFIG_METADATA!$B$4&lt;&gt;"OR+EX",--(DATOS!$G552=CONFIG_METADATA!$B$4),IF(DATOS!$G552="EX",1,IF(DATOS!$G552="OR",--(COUNTIFS(nNIA,DATOS!$A552,nCURSO,DATOS!$D552,nESPEC,DATOS!$E552,nASIG,DATOS!$I552,nEVAL,"EX")=0),0))))</f>
      </c>
      <c r="H552">
        <f>IF(DATOS!$G552&lt;&gt;"EX",0,--(COUNTIFS(nNIA,DATOS!$A552,nCURSO,DATOS!$D552,nESPEC,DATOS!$E552,nASIG,DATOS!$I552,nEVAL,"OR")=0))</f>
      </c>
      <c r="I552">
        <f>IF(DATOS!$I552="","",IFERROR(VLOOKUP(DATOS!$I552,CONFIG_ASIGNATURAS!$B$2:$J$91,9,FALSE()),""))</f>
      </c>
    </row>
    <row r="553">
      <c r="F553">
        <f>IF(DATOS!$A553="","",DATOS!$A553&amp;"|"&amp;DATOS!$D553&amp;"|"&amp;DATOS!$E553&amp;"|"&amp;DATOS!$I553)</f>
      </c>
      <c r="G553">
        <f>IF(DATOS!$A553="",0,IF(CONFIG_METADATA!$B$4&lt;&gt;"OR+EX",--(DATOS!$G553=CONFIG_METADATA!$B$4),IF(DATOS!$G553="EX",1,IF(DATOS!$G553="OR",--(COUNTIFS(nNIA,DATOS!$A553,nCURSO,DATOS!$D553,nESPEC,DATOS!$E553,nASIG,DATOS!$I553,nEVAL,"EX")=0),0))))</f>
      </c>
      <c r="H553">
        <f>IF(DATOS!$G553&lt;&gt;"EX",0,--(COUNTIFS(nNIA,DATOS!$A553,nCURSO,DATOS!$D553,nESPEC,DATOS!$E553,nASIG,DATOS!$I553,nEVAL,"OR")=0))</f>
      </c>
      <c r="I553">
        <f>IF(DATOS!$I553="","",IFERROR(VLOOKUP(DATOS!$I553,CONFIG_ASIGNATURAS!$B$2:$J$91,9,FALSE()),""))</f>
      </c>
    </row>
    <row r="554">
      <c r="F554">
        <f>IF(DATOS!$A554="","",DATOS!$A554&amp;"|"&amp;DATOS!$D554&amp;"|"&amp;DATOS!$E554&amp;"|"&amp;DATOS!$I554)</f>
      </c>
      <c r="G554">
        <f>IF(DATOS!$A554="",0,IF(CONFIG_METADATA!$B$4&lt;&gt;"OR+EX",--(DATOS!$G554=CONFIG_METADATA!$B$4),IF(DATOS!$G554="EX",1,IF(DATOS!$G554="OR",--(COUNTIFS(nNIA,DATOS!$A554,nCURSO,DATOS!$D554,nESPEC,DATOS!$E554,nASIG,DATOS!$I554,nEVAL,"EX")=0),0))))</f>
      </c>
      <c r="H554">
        <f>IF(DATOS!$G554&lt;&gt;"EX",0,--(COUNTIFS(nNIA,DATOS!$A554,nCURSO,DATOS!$D554,nESPEC,DATOS!$E554,nASIG,DATOS!$I554,nEVAL,"OR")=0))</f>
      </c>
      <c r="I554">
        <f>IF(DATOS!$I554="","",IFERROR(VLOOKUP(DATOS!$I554,CONFIG_ASIGNATURAS!$B$2:$J$91,9,FALSE()),""))</f>
      </c>
    </row>
    <row r="555">
      <c r="F555">
        <f>IF(DATOS!$A555="","",DATOS!$A555&amp;"|"&amp;DATOS!$D555&amp;"|"&amp;DATOS!$E555&amp;"|"&amp;DATOS!$I555)</f>
      </c>
      <c r="G555">
        <f>IF(DATOS!$A555="",0,IF(CONFIG_METADATA!$B$4&lt;&gt;"OR+EX",--(DATOS!$G555=CONFIG_METADATA!$B$4),IF(DATOS!$G555="EX",1,IF(DATOS!$G555="OR",--(COUNTIFS(nNIA,DATOS!$A555,nCURSO,DATOS!$D555,nESPEC,DATOS!$E555,nASIG,DATOS!$I555,nEVAL,"EX")=0),0))))</f>
      </c>
      <c r="H555">
        <f>IF(DATOS!$G555&lt;&gt;"EX",0,--(COUNTIFS(nNIA,DATOS!$A555,nCURSO,DATOS!$D555,nESPEC,DATOS!$E555,nASIG,DATOS!$I555,nEVAL,"OR")=0))</f>
      </c>
      <c r="I555">
        <f>IF(DATOS!$I555="","",IFERROR(VLOOKUP(DATOS!$I555,CONFIG_ASIGNATURAS!$B$2:$J$91,9,FALSE()),""))</f>
      </c>
    </row>
    <row r="556">
      <c r="F556">
        <f>IF(DATOS!$A556="","",DATOS!$A556&amp;"|"&amp;DATOS!$D556&amp;"|"&amp;DATOS!$E556&amp;"|"&amp;DATOS!$I556)</f>
      </c>
      <c r="G556">
        <f>IF(DATOS!$A556="",0,IF(CONFIG_METADATA!$B$4&lt;&gt;"OR+EX",--(DATOS!$G556=CONFIG_METADATA!$B$4),IF(DATOS!$G556="EX",1,IF(DATOS!$G556="OR",--(COUNTIFS(nNIA,DATOS!$A556,nCURSO,DATOS!$D556,nESPEC,DATOS!$E556,nASIG,DATOS!$I556,nEVAL,"EX")=0),0))))</f>
      </c>
      <c r="H556">
        <f>IF(DATOS!$G556&lt;&gt;"EX",0,--(COUNTIFS(nNIA,DATOS!$A556,nCURSO,DATOS!$D556,nESPEC,DATOS!$E556,nASIG,DATOS!$I556,nEVAL,"OR")=0))</f>
      </c>
      <c r="I556">
        <f>IF(DATOS!$I556="","",IFERROR(VLOOKUP(DATOS!$I556,CONFIG_ASIGNATURAS!$B$2:$J$91,9,FALSE()),""))</f>
      </c>
    </row>
    <row r="557">
      <c r="F557">
        <f>IF(DATOS!$A557="","",DATOS!$A557&amp;"|"&amp;DATOS!$D557&amp;"|"&amp;DATOS!$E557&amp;"|"&amp;DATOS!$I557)</f>
      </c>
      <c r="G557">
        <f>IF(DATOS!$A557="",0,IF(CONFIG_METADATA!$B$4&lt;&gt;"OR+EX",--(DATOS!$G557=CONFIG_METADATA!$B$4),IF(DATOS!$G557="EX",1,IF(DATOS!$G557="OR",--(COUNTIFS(nNIA,DATOS!$A557,nCURSO,DATOS!$D557,nESPEC,DATOS!$E557,nASIG,DATOS!$I557,nEVAL,"EX")=0),0))))</f>
      </c>
      <c r="H557">
        <f>IF(DATOS!$G557&lt;&gt;"EX",0,--(COUNTIFS(nNIA,DATOS!$A557,nCURSO,DATOS!$D557,nESPEC,DATOS!$E557,nASIG,DATOS!$I557,nEVAL,"OR")=0))</f>
      </c>
      <c r="I557">
        <f>IF(DATOS!$I557="","",IFERROR(VLOOKUP(DATOS!$I557,CONFIG_ASIGNATURAS!$B$2:$J$91,9,FALSE()),""))</f>
      </c>
    </row>
    <row r="558">
      <c r="F558">
        <f>IF(DATOS!$A558="","",DATOS!$A558&amp;"|"&amp;DATOS!$D558&amp;"|"&amp;DATOS!$E558&amp;"|"&amp;DATOS!$I558)</f>
      </c>
      <c r="G558">
        <f>IF(DATOS!$A558="",0,IF(CONFIG_METADATA!$B$4&lt;&gt;"OR+EX",--(DATOS!$G558=CONFIG_METADATA!$B$4),IF(DATOS!$G558="EX",1,IF(DATOS!$G558="OR",--(COUNTIFS(nNIA,DATOS!$A558,nCURSO,DATOS!$D558,nESPEC,DATOS!$E558,nASIG,DATOS!$I558,nEVAL,"EX")=0),0))))</f>
      </c>
      <c r="H558">
        <f>IF(DATOS!$G558&lt;&gt;"EX",0,--(COUNTIFS(nNIA,DATOS!$A558,nCURSO,DATOS!$D558,nESPEC,DATOS!$E558,nASIG,DATOS!$I558,nEVAL,"OR")=0))</f>
      </c>
      <c r="I558">
        <f>IF(DATOS!$I558="","",IFERROR(VLOOKUP(DATOS!$I558,CONFIG_ASIGNATURAS!$B$2:$J$91,9,FALSE()),""))</f>
      </c>
    </row>
    <row r="559">
      <c r="F559">
        <f>IF(DATOS!$A559="","",DATOS!$A559&amp;"|"&amp;DATOS!$D559&amp;"|"&amp;DATOS!$E559&amp;"|"&amp;DATOS!$I559)</f>
      </c>
      <c r="G559">
        <f>IF(DATOS!$A559="",0,IF(CONFIG_METADATA!$B$4&lt;&gt;"OR+EX",--(DATOS!$G559=CONFIG_METADATA!$B$4),IF(DATOS!$G559="EX",1,IF(DATOS!$G559="OR",--(COUNTIFS(nNIA,DATOS!$A559,nCURSO,DATOS!$D559,nESPEC,DATOS!$E559,nASIG,DATOS!$I559,nEVAL,"EX")=0),0))))</f>
      </c>
      <c r="H559">
        <f>IF(DATOS!$G559&lt;&gt;"EX",0,--(COUNTIFS(nNIA,DATOS!$A559,nCURSO,DATOS!$D559,nESPEC,DATOS!$E559,nASIG,DATOS!$I559,nEVAL,"OR")=0))</f>
      </c>
      <c r="I559">
        <f>IF(DATOS!$I559="","",IFERROR(VLOOKUP(DATOS!$I559,CONFIG_ASIGNATURAS!$B$2:$J$91,9,FALSE()),""))</f>
      </c>
    </row>
    <row r="560">
      <c r="F560">
        <f>IF(DATOS!$A560="","",DATOS!$A560&amp;"|"&amp;DATOS!$D560&amp;"|"&amp;DATOS!$E560&amp;"|"&amp;DATOS!$I560)</f>
      </c>
      <c r="G560">
        <f>IF(DATOS!$A560="",0,IF(CONFIG_METADATA!$B$4&lt;&gt;"OR+EX",--(DATOS!$G560=CONFIG_METADATA!$B$4),IF(DATOS!$G560="EX",1,IF(DATOS!$G560="OR",--(COUNTIFS(nNIA,DATOS!$A560,nCURSO,DATOS!$D560,nESPEC,DATOS!$E560,nASIG,DATOS!$I560,nEVAL,"EX")=0),0))))</f>
      </c>
      <c r="H560">
        <f>IF(DATOS!$G560&lt;&gt;"EX",0,--(COUNTIFS(nNIA,DATOS!$A560,nCURSO,DATOS!$D560,nESPEC,DATOS!$E560,nASIG,DATOS!$I560,nEVAL,"OR")=0))</f>
      </c>
      <c r="I560">
        <f>IF(DATOS!$I560="","",IFERROR(VLOOKUP(DATOS!$I560,CONFIG_ASIGNATURAS!$B$2:$J$91,9,FALSE()),""))</f>
      </c>
    </row>
    <row r="561">
      <c r="F561">
        <f>IF(DATOS!$A561="","",DATOS!$A561&amp;"|"&amp;DATOS!$D561&amp;"|"&amp;DATOS!$E561&amp;"|"&amp;DATOS!$I561)</f>
      </c>
      <c r="G561">
        <f>IF(DATOS!$A561="",0,IF(CONFIG_METADATA!$B$4&lt;&gt;"OR+EX",--(DATOS!$G561=CONFIG_METADATA!$B$4),IF(DATOS!$G561="EX",1,IF(DATOS!$G561="OR",--(COUNTIFS(nNIA,DATOS!$A561,nCURSO,DATOS!$D561,nESPEC,DATOS!$E561,nASIG,DATOS!$I561,nEVAL,"EX")=0),0))))</f>
      </c>
      <c r="H561">
        <f>IF(DATOS!$G561&lt;&gt;"EX",0,--(COUNTIFS(nNIA,DATOS!$A561,nCURSO,DATOS!$D561,nESPEC,DATOS!$E561,nASIG,DATOS!$I561,nEVAL,"OR")=0))</f>
      </c>
      <c r="I561">
        <f>IF(DATOS!$I561="","",IFERROR(VLOOKUP(DATOS!$I561,CONFIG_ASIGNATURAS!$B$2:$J$91,9,FALSE()),""))</f>
      </c>
    </row>
    <row r="562">
      <c r="F562">
        <f>IF(DATOS!$A562="","",DATOS!$A562&amp;"|"&amp;DATOS!$D562&amp;"|"&amp;DATOS!$E562&amp;"|"&amp;DATOS!$I562)</f>
      </c>
      <c r="G562">
        <f>IF(DATOS!$A562="",0,IF(CONFIG_METADATA!$B$4&lt;&gt;"OR+EX",--(DATOS!$G562=CONFIG_METADATA!$B$4),IF(DATOS!$G562="EX",1,IF(DATOS!$G562="OR",--(COUNTIFS(nNIA,DATOS!$A562,nCURSO,DATOS!$D562,nESPEC,DATOS!$E562,nASIG,DATOS!$I562,nEVAL,"EX")=0),0))))</f>
      </c>
      <c r="H562">
        <f>IF(DATOS!$G562&lt;&gt;"EX",0,--(COUNTIFS(nNIA,DATOS!$A562,nCURSO,DATOS!$D562,nESPEC,DATOS!$E562,nASIG,DATOS!$I562,nEVAL,"OR")=0))</f>
      </c>
      <c r="I562">
        <f>IF(DATOS!$I562="","",IFERROR(VLOOKUP(DATOS!$I562,CONFIG_ASIGNATURAS!$B$2:$J$91,9,FALSE()),""))</f>
      </c>
    </row>
    <row r="563">
      <c r="F563">
        <f>IF(DATOS!$A563="","",DATOS!$A563&amp;"|"&amp;DATOS!$D563&amp;"|"&amp;DATOS!$E563&amp;"|"&amp;DATOS!$I563)</f>
      </c>
      <c r="G563">
        <f>IF(DATOS!$A563="",0,IF(CONFIG_METADATA!$B$4&lt;&gt;"OR+EX",--(DATOS!$G563=CONFIG_METADATA!$B$4),IF(DATOS!$G563="EX",1,IF(DATOS!$G563="OR",--(COUNTIFS(nNIA,DATOS!$A563,nCURSO,DATOS!$D563,nESPEC,DATOS!$E563,nASIG,DATOS!$I563,nEVAL,"EX")=0),0))))</f>
      </c>
      <c r="H563">
        <f>IF(DATOS!$G563&lt;&gt;"EX",0,--(COUNTIFS(nNIA,DATOS!$A563,nCURSO,DATOS!$D563,nESPEC,DATOS!$E563,nASIG,DATOS!$I563,nEVAL,"OR")=0))</f>
      </c>
      <c r="I563">
        <f>IF(DATOS!$I563="","",IFERROR(VLOOKUP(DATOS!$I563,CONFIG_ASIGNATURAS!$B$2:$J$91,9,FALSE()),""))</f>
      </c>
    </row>
    <row r="564">
      <c r="F564">
        <f>IF(DATOS!$A564="","",DATOS!$A564&amp;"|"&amp;DATOS!$D564&amp;"|"&amp;DATOS!$E564&amp;"|"&amp;DATOS!$I564)</f>
      </c>
      <c r="G564">
        <f>IF(DATOS!$A564="",0,IF(CONFIG_METADATA!$B$4&lt;&gt;"OR+EX",--(DATOS!$G564=CONFIG_METADATA!$B$4),IF(DATOS!$G564="EX",1,IF(DATOS!$G564="OR",--(COUNTIFS(nNIA,DATOS!$A564,nCURSO,DATOS!$D564,nESPEC,DATOS!$E564,nASIG,DATOS!$I564,nEVAL,"EX")=0),0))))</f>
      </c>
      <c r="H564">
        <f>IF(DATOS!$G564&lt;&gt;"EX",0,--(COUNTIFS(nNIA,DATOS!$A564,nCURSO,DATOS!$D564,nESPEC,DATOS!$E564,nASIG,DATOS!$I564,nEVAL,"OR")=0))</f>
      </c>
      <c r="I564">
        <f>IF(DATOS!$I564="","",IFERROR(VLOOKUP(DATOS!$I564,CONFIG_ASIGNATURAS!$B$2:$J$91,9,FALSE()),""))</f>
      </c>
    </row>
    <row r="565">
      <c r="F565">
        <f>IF(DATOS!$A565="","",DATOS!$A565&amp;"|"&amp;DATOS!$D565&amp;"|"&amp;DATOS!$E565&amp;"|"&amp;DATOS!$I565)</f>
      </c>
      <c r="G565">
        <f>IF(DATOS!$A565="",0,IF(CONFIG_METADATA!$B$4&lt;&gt;"OR+EX",--(DATOS!$G565=CONFIG_METADATA!$B$4),IF(DATOS!$G565="EX",1,IF(DATOS!$G565="OR",--(COUNTIFS(nNIA,DATOS!$A565,nCURSO,DATOS!$D565,nESPEC,DATOS!$E565,nASIG,DATOS!$I565,nEVAL,"EX")=0),0))))</f>
      </c>
      <c r="H565">
        <f>IF(DATOS!$G565&lt;&gt;"EX",0,--(COUNTIFS(nNIA,DATOS!$A565,nCURSO,DATOS!$D565,nESPEC,DATOS!$E565,nASIG,DATOS!$I565,nEVAL,"OR")=0))</f>
      </c>
      <c r="I565">
        <f>IF(DATOS!$I565="","",IFERROR(VLOOKUP(DATOS!$I565,CONFIG_ASIGNATURAS!$B$2:$J$91,9,FALSE()),""))</f>
      </c>
    </row>
    <row r="566">
      <c r="F566">
        <f>IF(DATOS!$A566="","",DATOS!$A566&amp;"|"&amp;DATOS!$D566&amp;"|"&amp;DATOS!$E566&amp;"|"&amp;DATOS!$I566)</f>
      </c>
      <c r="G566">
        <f>IF(DATOS!$A566="",0,IF(CONFIG_METADATA!$B$4&lt;&gt;"OR+EX",--(DATOS!$G566=CONFIG_METADATA!$B$4),IF(DATOS!$G566="EX",1,IF(DATOS!$G566="OR",--(COUNTIFS(nNIA,DATOS!$A566,nCURSO,DATOS!$D566,nESPEC,DATOS!$E566,nASIG,DATOS!$I566,nEVAL,"EX")=0),0))))</f>
      </c>
      <c r="H566">
        <f>IF(DATOS!$G566&lt;&gt;"EX",0,--(COUNTIFS(nNIA,DATOS!$A566,nCURSO,DATOS!$D566,nESPEC,DATOS!$E566,nASIG,DATOS!$I566,nEVAL,"OR")=0))</f>
      </c>
      <c r="I566">
        <f>IF(DATOS!$I566="","",IFERROR(VLOOKUP(DATOS!$I566,CONFIG_ASIGNATURAS!$B$2:$J$91,9,FALSE()),""))</f>
      </c>
    </row>
    <row r="567">
      <c r="F567">
        <f>IF(DATOS!$A567="","",DATOS!$A567&amp;"|"&amp;DATOS!$D567&amp;"|"&amp;DATOS!$E567&amp;"|"&amp;DATOS!$I567)</f>
      </c>
      <c r="G567">
        <f>IF(DATOS!$A567="",0,IF(CONFIG_METADATA!$B$4&lt;&gt;"OR+EX",--(DATOS!$G567=CONFIG_METADATA!$B$4),IF(DATOS!$G567="EX",1,IF(DATOS!$G567="OR",--(COUNTIFS(nNIA,DATOS!$A567,nCURSO,DATOS!$D567,nESPEC,DATOS!$E567,nASIG,DATOS!$I567,nEVAL,"EX")=0),0))))</f>
      </c>
      <c r="H567">
        <f>IF(DATOS!$G567&lt;&gt;"EX",0,--(COUNTIFS(nNIA,DATOS!$A567,nCURSO,DATOS!$D567,nESPEC,DATOS!$E567,nASIG,DATOS!$I567,nEVAL,"OR")=0))</f>
      </c>
      <c r="I567">
        <f>IF(DATOS!$I567="","",IFERROR(VLOOKUP(DATOS!$I567,CONFIG_ASIGNATURAS!$B$2:$J$91,9,FALSE()),""))</f>
      </c>
    </row>
    <row r="568">
      <c r="F568">
        <f>IF(DATOS!$A568="","",DATOS!$A568&amp;"|"&amp;DATOS!$D568&amp;"|"&amp;DATOS!$E568&amp;"|"&amp;DATOS!$I568)</f>
      </c>
      <c r="G568">
        <f>IF(DATOS!$A568="",0,IF(CONFIG_METADATA!$B$4&lt;&gt;"OR+EX",--(DATOS!$G568=CONFIG_METADATA!$B$4),IF(DATOS!$G568="EX",1,IF(DATOS!$G568="OR",--(COUNTIFS(nNIA,DATOS!$A568,nCURSO,DATOS!$D568,nESPEC,DATOS!$E568,nASIG,DATOS!$I568,nEVAL,"EX")=0),0))))</f>
      </c>
      <c r="H568">
        <f>IF(DATOS!$G568&lt;&gt;"EX",0,--(COUNTIFS(nNIA,DATOS!$A568,nCURSO,DATOS!$D568,nESPEC,DATOS!$E568,nASIG,DATOS!$I568,nEVAL,"OR")=0))</f>
      </c>
      <c r="I568">
        <f>IF(DATOS!$I568="","",IFERROR(VLOOKUP(DATOS!$I568,CONFIG_ASIGNATURAS!$B$2:$J$91,9,FALSE()),""))</f>
      </c>
    </row>
    <row r="569">
      <c r="F569">
        <f>IF(DATOS!$A569="","",DATOS!$A569&amp;"|"&amp;DATOS!$D569&amp;"|"&amp;DATOS!$E569&amp;"|"&amp;DATOS!$I569)</f>
      </c>
      <c r="G569">
        <f>IF(DATOS!$A569="",0,IF(CONFIG_METADATA!$B$4&lt;&gt;"OR+EX",--(DATOS!$G569=CONFIG_METADATA!$B$4),IF(DATOS!$G569="EX",1,IF(DATOS!$G569="OR",--(COUNTIFS(nNIA,DATOS!$A569,nCURSO,DATOS!$D569,nESPEC,DATOS!$E569,nASIG,DATOS!$I569,nEVAL,"EX")=0),0))))</f>
      </c>
      <c r="H569">
        <f>IF(DATOS!$G569&lt;&gt;"EX",0,--(COUNTIFS(nNIA,DATOS!$A569,nCURSO,DATOS!$D569,nESPEC,DATOS!$E569,nASIG,DATOS!$I569,nEVAL,"OR")=0))</f>
      </c>
      <c r="I569">
        <f>IF(DATOS!$I569="","",IFERROR(VLOOKUP(DATOS!$I569,CONFIG_ASIGNATURAS!$B$2:$J$91,9,FALSE()),""))</f>
      </c>
    </row>
    <row r="570">
      <c r="F570">
        <f>IF(DATOS!$A570="","",DATOS!$A570&amp;"|"&amp;DATOS!$D570&amp;"|"&amp;DATOS!$E570&amp;"|"&amp;DATOS!$I570)</f>
      </c>
      <c r="G570">
        <f>IF(DATOS!$A570="",0,IF(CONFIG_METADATA!$B$4&lt;&gt;"OR+EX",--(DATOS!$G570=CONFIG_METADATA!$B$4),IF(DATOS!$G570="EX",1,IF(DATOS!$G570="OR",--(COUNTIFS(nNIA,DATOS!$A570,nCURSO,DATOS!$D570,nESPEC,DATOS!$E570,nASIG,DATOS!$I570,nEVAL,"EX")=0),0))))</f>
      </c>
      <c r="H570">
        <f>IF(DATOS!$G570&lt;&gt;"EX",0,--(COUNTIFS(nNIA,DATOS!$A570,nCURSO,DATOS!$D570,nESPEC,DATOS!$E570,nASIG,DATOS!$I570,nEVAL,"OR")=0))</f>
      </c>
      <c r="I570">
        <f>IF(DATOS!$I570="","",IFERROR(VLOOKUP(DATOS!$I570,CONFIG_ASIGNATURAS!$B$2:$J$91,9,FALSE()),""))</f>
      </c>
    </row>
    <row r="571">
      <c r="F571">
        <f>IF(DATOS!$A571="","",DATOS!$A571&amp;"|"&amp;DATOS!$D571&amp;"|"&amp;DATOS!$E571&amp;"|"&amp;DATOS!$I571)</f>
      </c>
      <c r="G571">
        <f>IF(DATOS!$A571="",0,IF(CONFIG_METADATA!$B$4&lt;&gt;"OR+EX",--(DATOS!$G571=CONFIG_METADATA!$B$4),IF(DATOS!$G571="EX",1,IF(DATOS!$G571="OR",--(COUNTIFS(nNIA,DATOS!$A571,nCURSO,DATOS!$D571,nESPEC,DATOS!$E571,nASIG,DATOS!$I571,nEVAL,"EX")=0),0))))</f>
      </c>
      <c r="H571">
        <f>IF(DATOS!$G571&lt;&gt;"EX",0,--(COUNTIFS(nNIA,DATOS!$A571,nCURSO,DATOS!$D571,nESPEC,DATOS!$E571,nASIG,DATOS!$I571,nEVAL,"OR")=0))</f>
      </c>
      <c r="I571">
        <f>IF(DATOS!$I571="","",IFERROR(VLOOKUP(DATOS!$I571,CONFIG_ASIGNATURAS!$B$2:$J$91,9,FALSE()),""))</f>
      </c>
    </row>
    <row r="572">
      <c r="F572">
        <f>IF(DATOS!$A572="","",DATOS!$A572&amp;"|"&amp;DATOS!$D572&amp;"|"&amp;DATOS!$E572&amp;"|"&amp;DATOS!$I572)</f>
      </c>
      <c r="G572">
        <f>IF(DATOS!$A572="",0,IF(CONFIG_METADATA!$B$4&lt;&gt;"OR+EX",--(DATOS!$G572=CONFIG_METADATA!$B$4),IF(DATOS!$G572="EX",1,IF(DATOS!$G572="OR",--(COUNTIFS(nNIA,DATOS!$A572,nCURSO,DATOS!$D572,nESPEC,DATOS!$E572,nASIG,DATOS!$I572,nEVAL,"EX")=0),0))))</f>
      </c>
      <c r="H572">
        <f>IF(DATOS!$G572&lt;&gt;"EX",0,--(COUNTIFS(nNIA,DATOS!$A572,nCURSO,DATOS!$D572,nESPEC,DATOS!$E572,nASIG,DATOS!$I572,nEVAL,"OR")=0))</f>
      </c>
      <c r="I572">
        <f>IF(DATOS!$I572="","",IFERROR(VLOOKUP(DATOS!$I572,CONFIG_ASIGNATURAS!$B$2:$J$91,9,FALSE()),""))</f>
      </c>
    </row>
    <row r="573">
      <c r="F573">
        <f>IF(DATOS!$A573="","",DATOS!$A573&amp;"|"&amp;DATOS!$D573&amp;"|"&amp;DATOS!$E573&amp;"|"&amp;DATOS!$I573)</f>
      </c>
      <c r="G573">
        <f>IF(DATOS!$A573="",0,IF(CONFIG_METADATA!$B$4&lt;&gt;"OR+EX",--(DATOS!$G573=CONFIG_METADATA!$B$4),IF(DATOS!$G573="EX",1,IF(DATOS!$G573="OR",--(COUNTIFS(nNIA,DATOS!$A573,nCURSO,DATOS!$D573,nESPEC,DATOS!$E573,nASIG,DATOS!$I573,nEVAL,"EX")=0),0))))</f>
      </c>
      <c r="H573">
        <f>IF(DATOS!$G573&lt;&gt;"EX",0,--(COUNTIFS(nNIA,DATOS!$A573,nCURSO,DATOS!$D573,nESPEC,DATOS!$E573,nASIG,DATOS!$I573,nEVAL,"OR")=0))</f>
      </c>
      <c r="I573">
        <f>IF(DATOS!$I573="","",IFERROR(VLOOKUP(DATOS!$I573,CONFIG_ASIGNATURAS!$B$2:$J$91,9,FALSE()),""))</f>
      </c>
    </row>
    <row r="574">
      <c r="F574">
        <f>IF(DATOS!$A574="","",DATOS!$A574&amp;"|"&amp;DATOS!$D574&amp;"|"&amp;DATOS!$E574&amp;"|"&amp;DATOS!$I574)</f>
      </c>
      <c r="G574">
        <f>IF(DATOS!$A574="",0,IF(CONFIG_METADATA!$B$4&lt;&gt;"OR+EX",--(DATOS!$G574=CONFIG_METADATA!$B$4),IF(DATOS!$G574="EX",1,IF(DATOS!$G574="OR",--(COUNTIFS(nNIA,DATOS!$A574,nCURSO,DATOS!$D574,nESPEC,DATOS!$E574,nASIG,DATOS!$I574,nEVAL,"EX")=0),0))))</f>
      </c>
      <c r="H574">
        <f>IF(DATOS!$G574&lt;&gt;"EX",0,--(COUNTIFS(nNIA,DATOS!$A574,nCURSO,DATOS!$D574,nESPEC,DATOS!$E574,nASIG,DATOS!$I574,nEVAL,"OR")=0))</f>
      </c>
      <c r="I574">
        <f>IF(DATOS!$I574="","",IFERROR(VLOOKUP(DATOS!$I574,CONFIG_ASIGNATURAS!$B$2:$J$91,9,FALSE()),""))</f>
      </c>
    </row>
    <row r="575">
      <c r="F575">
        <f>IF(DATOS!$A575="","",DATOS!$A575&amp;"|"&amp;DATOS!$D575&amp;"|"&amp;DATOS!$E575&amp;"|"&amp;DATOS!$I575)</f>
      </c>
      <c r="G575">
        <f>IF(DATOS!$A575="",0,IF(CONFIG_METADATA!$B$4&lt;&gt;"OR+EX",--(DATOS!$G575=CONFIG_METADATA!$B$4),IF(DATOS!$G575="EX",1,IF(DATOS!$G575="OR",--(COUNTIFS(nNIA,DATOS!$A575,nCURSO,DATOS!$D575,nESPEC,DATOS!$E575,nASIG,DATOS!$I575,nEVAL,"EX")=0),0))))</f>
      </c>
      <c r="H575">
        <f>IF(DATOS!$G575&lt;&gt;"EX",0,--(COUNTIFS(nNIA,DATOS!$A575,nCURSO,DATOS!$D575,nESPEC,DATOS!$E575,nASIG,DATOS!$I575,nEVAL,"OR")=0))</f>
      </c>
      <c r="I575">
        <f>IF(DATOS!$I575="","",IFERROR(VLOOKUP(DATOS!$I575,CONFIG_ASIGNATURAS!$B$2:$J$91,9,FALSE()),""))</f>
      </c>
    </row>
    <row r="576">
      <c r="F576">
        <f>IF(DATOS!$A576="","",DATOS!$A576&amp;"|"&amp;DATOS!$D576&amp;"|"&amp;DATOS!$E576&amp;"|"&amp;DATOS!$I576)</f>
      </c>
      <c r="G576">
        <f>IF(DATOS!$A576="",0,IF(CONFIG_METADATA!$B$4&lt;&gt;"OR+EX",--(DATOS!$G576=CONFIG_METADATA!$B$4),IF(DATOS!$G576="EX",1,IF(DATOS!$G576="OR",--(COUNTIFS(nNIA,DATOS!$A576,nCURSO,DATOS!$D576,nESPEC,DATOS!$E576,nASIG,DATOS!$I576,nEVAL,"EX")=0),0))))</f>
      </c>
      <c r="H576">
        <f>IF(DATOS!$G576&lt;&gt;"EX",0,--(COUNTIFS(nNIA,DATOS!$A576,nCURSO,DATOS!$D576,nESPEC,DATOS!$E576,nASIG,DATOS!$I576,nEVAL,"OR")=0))</f>
      </c>
      <c r="I576">
        <f>IF(DATOS!$I576="","",IFERROR(VLOOKUP(DATOS!$I576,CONFIG_ASIGNATURAS!$B$2:$J$91,9,FALSE()),""))</f>
      </c>
    </row>
    <row r="577">
      <c r="F577">
        <f>IF(DATOS!$A577="","",DATOS!$A577&amp;"|"&amp;DATOS!$D577&amp;"|"&amp;DATOS!$E577&amp;"|"&amp;DATOS!$I577)</f>
      </c>
      <c r="G577">
        <f>IF(DATOS!$A577="",0,IF(CONFIG_METADATA!$B$4&lt;&gt;"OR+EX",--(DATOS!$G577=CONFIG_METADATA!$B$4),IF(DATOS!$G577="EX",1,IF(DATOS!$G577="OR",--(COUNTIFS(nNIA,DATOS!$A577,nCURSO,DATOS!$D577,nESPEC,DATOS!$E577,nASIG,DATOS!$I577,nEVAL,"EX")=0),0))))</f>
      </c>
      <c r="H577">
        <f>IF(DATOS!$G577&lt;&gt;"EX",0,--(COUNTIFS(nNIA,DATOS!$A577,nCURSO,DATOS!$D577,nESPEC,DATOS!$E577,nASIG,DATOS!$I577,nEVAL,"OR")=0))</f>
      </c>
      <c r="I577">
        <f>IF(DATOS!$I577="","",IFERROR(VLOOKUP(DATOS!$I577,CONFIG_ASIGNATURAS!$B$2:$J$91,9,FALSE()),""))</f>
      </c>
    </row>
    <row r="578">
      <c r="F578">
        <f>IF(DATOS!$A578="","",DATOS!$A578&amp;"|"&amp;DATOS!$D578&amp;"|"&amp;DATOS!$E578&amp;"|"&amp;DATOS!$I578)</f>
      </c>
      <c r="G578">
        <f>IF(DATOS!$A578="",0,IF(CONFIG_METADATA!$B$4&lt;&gt;"OR+EX",--(DATOS!$G578=CONFIG_METADATA!$B$4),IF(DATOS!$G578="EX",1,IF(DATOS!$G578="OR",--(COUNTIFS(nNIA,DATOS!$A578,nCURSO,DATOS!$D578,nESPEC,DATOS!$E578,nASIG,DATOS!$I578,nEVAL,"EX")=0),0))))</f>
      </c>
      <c r="H578">
        <f>IF(DATOS!$G578&lt;&gt;"EX",0,--(COUNTIFS(nNIA,DATOS!$A578,nCURSO,DATOS!$D578,nESPEC,DATOS!$E578,nASIG,DATOS!$I578,nEVAL,"OR")=0))</f>
      </c>
      <c r="I578">
        <f>IF(DATOS!$I578="","",IFERROR(VLOOKUP(DATOS!$I578,CONFIG_ASIGNATURAS!$B$2:$J$91,9,FALSE()),""))</f>
      </c>
    </row>
    <row r="579">
      <c r="F579">
        <f>IF(DATOS!$A579="","",DATOS!$A579&amp;"|"&amp;DATOS!$D579&amp;"|"&amp;DATOS!$E579&amp;"|"&amp;DATOS!$I579)</f>
      </c>
      <c r="G579">
        <f>IF(DATOS!$A579="",0,IF(CONFIG_METADATA!$B$4&lt;&gt;"OR+EX",--(DATOS!$G579=CONFIG_METADATA!$B$4),IF(DATOS!$G579="EX",1,IF(DATOS!$G579="OR",--(COUNTIFS(nNIA,DATOS!$A579,nCURSO,DATOS!$D579,nESPEC,DATOS!$E579,nASIG,DATOS!$I579,nEVAL,"EX")=0),0))))</f>
      </c>
      <c r="H579">
        <f>IF(DATOS!$G579&lt;&gt;"EX",0,--(COUNTIFS(nNIA,DATOS!$A579,nCURSO,DATOS!$D579,nESPEC,DATOS!$E579,nASIG,DATOS!$I579,nEVAL,"OR")=0))</f>
      </c>
      <c r="I579">
        <f>IF(DATOS!$I579="","",IFERROR(VLOOKUP(DATOS!$I579,CONFIG_ASIGNATURAS!$B$2:$J$91,9,FALSE()),""))</f>
      </c>
    </row>
    <row r="580">
      <c r="F580">
        <f>IF(DATOS!$A580="","",DATOS!$A580&amp;"|"&amp;DATOS!$D580&amp;"|"&amp;DATOS!$E580&amp;"|"&amp;DATOS!$I580)</f>
      </c>
      <c r="G580">
        <f>IF(DATOS!$A580="",0,IF(CONFIG_METADATA!$B$4&lt;&gt;"OR+EX",--(DATOS!$G580=CONFIG_METADATA!$B$4),IF(DATOS!$G580="EX",1,IF(DATOS!$G580="OR",--(COUNTIFS(nNIA,DATOS!$A580,nCURSO,DATOS!$D580,nESPEC,DATOS!$E580,nASIG,DATOS!$I580,nEVAL,"EX")=0),0))))</f>
      </c>
      <c r="H580">
        <f>IF(DATOS!$G580&lt;&gt;"EX",0,--(COUNTIFS(nNIA,DATOS!$A580,nCURSO,DATOS!$D580,nESPEC,DATOS!$E580,nASIG,DATOS!$I580,nEVAL,"OR")=0))</f>
      </c>
      <c r="I580">
        <f>IF(DATOS!$I580="","",IFERROR(VLOOKUP(DATOS!$I580,CONFIG_ASIGNATURAS!$B$2:$J$91,9,FALSE()),""))</f>
      </c>
    </row>
    <row r="581">
      <c r="F581">
        <f>IF(DATOS!$A581="","",DATOS!$A581&amp;"|"&amp;DATOS!$D581&amp;"|"&amp;DATOS!$E581&amp;"|"&amp;DATOS!$I581)</f>
      </c>
      <c r="G581">
        <f>IF(DATOS!$A581="",0,IF(CONFIG_METADATA!$B$4&lt;&gt;"OR+EX",--(DATOS!$G581=CONFIG_METADATA!$B$4),IF(DATOS!$G581="EX",1,IF(DATOS!$G581="OR",--(COUNTIFS(nNIA,DATOS!$A581,nCURSO,DATOS!$D581,nESPEC,DATOS!$E581,nASIG,DATOS!$I581,nEVAL,"EX")=0),0))))</f>
      </c>
      <c r="H581">
        <f>IF(DATOS!$G581&lt;&gt;"EX",0,--(COUNTIFS(nNIA,DATOS!$A581,nCURSO,DATOS!$D581,nESPEC,DATOS!$E581,nASIG,DATOS!$I581,nEVAL,"OR")=0))</f>
      </c>
      <c r="I581">
        <f>IF(DATOS!$I581="","",IFERROR(VLOOKUP(DATOS!$I581,CONFIG_ASIGNATURAS!$B$2:$J$91,9,FALSE()),""))</f>
      </c>
    </row>
    <row r="582">
      <c r="F582">
        <f>IF(DATOS!$A582="","",DATOS!$A582&amp;"|"&amp;DATOS!$D582&amp;"|"&amp;DATOS!$E582&amp;"|"&amp;DATOS!$I582)</f>
      </c>
      <c r="G582">
        <f>IF(DATOS!$A582="",0,IF(CONFIG_METADATA!$B$4&lt;&gt;"OR+EX",--(DATOS!$G582=CONFIG_METADATA!$B$4),IF(DATOS!$G582="EX",1,IF(DATOS!$G582="OR",--(COUNTIFS(nNIA,DATOS!$A582,nCURSO,DATOS!$D582,nESPEC,DATOS!$E582,nASIG,DATOS!$I582,nEVAL,"EX")=0),0))))</f>
      </c>
      <c r="H582">
        <f>IF(DATOS!$G582&lt;&gt;"EX",0,--(COUNTIFS(nNIA,DATOS!$A582,nCURSO,DATOS!$D582,nESPEC,DATOS!$E582,nASIG,DATOS!$I582,nEVAL,"OR")=0))</f>
      </c>
      <c r="I582">
        <f>IF(DATOS!$I582="","",IFERROR(VLOOKUP(DATOS!$I582,CONFIG_ASIGNATURAS!$B$2:$J$91,9,FALSE()),""))</f>
      </c>
    </row>
    <row r="583">
      <c r="F583">
        <f>IF(DATOS!$A583="","",DATOS!$A583&amp;"|"&amp;DATOS!$D583&amp;"|"&amp;DATOS!$E583&amp;"|"&amp;DATOS!$I583)</f>
      </c>
      <c r="G583">
        <f>IF(DATOS!$A583="",0,IF(CONFIG_METADATA!$B$4&lt;&gt;"OR+EX",--(DATOS!$G583=CONFIG_METADATA!$B$4),IF(DATOS!$G583="EX",1,IF(DATOS!$G583="OR",--(COUNTIFS(nNIA,DATOS!$A583,nCURSO,DATOS!$D583,nESPEC,DATOS!$E583,nASIG,DATOS!$I583,nEVAL,"EX")=0),0))))</f>
      </c>
      <c r="H583">
        <f>IF(DATOS!$G583&lt;&gt;"EX",0,--(COUNTIFS(nNIA,DATOS!$A583,nCURSO,DATOS!$D583,nESPEC,DATOS!$E583,nASIG,DATOS!$I583,nEVAL,"OR")=0))</f>
      </c>
      <c r="I583">
        <f>IF(DATOS!$I583="","",IFERROR(VLOOKUP(DATOS!$I583,CONFIG_ASIGNATURAS!$B$2:$J$91,9,FALSE()),""))</f>
      </c>
    </row>
    <row r="584">
      <c r="F584">
        <f>IF(DATOS!$A584="","",DATOS!$A584&amp;"|"&amp;DATOS!$D584&amp;"|"&amp;DATOS!$E584&amp;"|"&amp;DATOS!$I584)</f>
      </c>
      <c r="G584">
        <f>IF(DATOS!$A584="",0,IF(CONFIG_METADATA!$B$4&lt;&gt;"OR+EX",--(DATOS!$G584=CONFIG_METADATA!$B$4),IF(DATOS!$G584="EX",1,IF(DATOS!$G584="OR",--(COUNTIFS(nNIA,DATOS!$A584,nCURSO,DATOS!$D584,nESPEC,DATOS!$E584,nASIG,DATOS!$I584,nEVAL,"EX")=0),0))))</f>
      </c>
      <c r="H584">
        <f>IF(DATOS!$G584&lt;&gt;"EX",0,--(COUNTIFS(nNIA,DATOS!$A584,nCURSO,DATOS!$D584,nESPEC,DATOS!$E584,nASIG,DATOS!$I584,nEVAL,"OR")=0))</f>
      </c>
      <c r="I584">
        <f>IF(DATOS!$I584="","",IFERROR(VLOOKUP(DATOS!$I584,CONFIG_ASIGNATURAS!$B$2:$J$91,9,FALSE()),""))</f>
      </c>
    </row>
    <row r="585">
      <c r="F585">
        <f>IF(DATOS!$A585="","",DATOS!$A585&amp;"|"&amp;DATOS!$D585&amp;"|"&amp;DATOS!$E585&amp;"|"&amp;DATOS!$I585)</f>
      </c>
      <c r="G585">
        <f>IF(DATOS!$A585="",0,IF(CONFIG_METADATA!$B$4&lt;&gt;"OR+EX",--(DATOS!$G585=CONFIG_METADATA!$B$4),IF(DATOS!$G585="EX",1,IF(DATOS!$G585="OR",--(COUNTIFS(nNIA,DATOS!$A585,nCURSO,DATOS!$D585,nESPEC,DATOS!$E585,nASIG,DATOS!$I585,nEVAL,"EX")=0),0))))</f>
      </c>
      <c r="H585">
        <f>IF(DATOS!$G585&lt;&gt;"EX",0,--(COUNTIFS(nNIA,DATOS!$A585,nCURSO,DATOS!$D585,nESPEC,DATOS!$E585,nASIG,DATOS!$I585,nEVAL,"OR")=0))</f>
      </c>
      <c r="I585">
        <f>IF(DATOS!$I585="","",IFERROR(VLOOKUP(DATOS!$I585,CONFIG_ASIGNATURAS!$B$2:$J$91,9,FALSE()),""))</f>
      </c>
    </row>
    <row r="586">
      <c r="F586">
        <f>IF(DATOS!$A586="","",DATOS!$A586&amp;"|"&amp;DATOS!$D586&amp;"|"&amp;DATOS!$E586&amp;"|"&amp;DATOS!$I586)</f>
      </c>
      <c r="G586">
        <f>IF(DATOS!$A586="",0,IF(CONFIG_METADATA!$B$4&lt;&gt;"OR+EX",--(DATOS!$G586=CONFIG_METADATA!$B$4),IF(DATOS!$G586="EX",1,IF(DATOS!$G586="OR",--(COUNTIFS(nNIA,DATOS!$A586,nCURSO,DATOS!$D586,nESPEC,DATOS!$E586,nASIG,DATOS!$I586,nEVAL,"EX")=0),0))))</f>
      </c>
      <c r="H586">
        <f>IF(DATOS!$G586&lt;&gt;"EX",0,--(COUNTIFS(nNIA,DATOS!$A586,nCURSO,DATOS!$D586,nESPEC,DATOS!$E586,nASIG,DATOS!$I586,nEVAL,"OR")=0))</f>
      </c>
      <c r="I586">
        <f>IF(DATOS!$I586="","",IFERROR(VLOOKUP(DATOS!$I586,CONFIG_ASIGNATURAS!$B$2:$J$91,9,FALSE()),""))</f>
      </c>
    </row>
    <row r="587">
      <c r="F587">
        <f>IF(DATOS!$A587="","",DATOS!$A587&amp;"|"&amp;DATOS!$D587&amp;"|"&amp;DATOS!$E587&amp;"|"&amp;DATOS!$I587)</f>
      </c>
      <c r="G587">
        <f>IF(DATOS!$A587="",0,IF(CONFIG_METADATA!$B$4&lt;&gt;"OR+EX",--(DATOS!$G587=CONFIG_METADATA!$B$4),IF(DATOS!$G587="EX",1,IF(DATOS!$G587="OR",--(COUNTIFS(nNIA,DATOS!$A587,nCURSO,DATOS!$D587,nESPEC,DATOS!$E587,nASIG,DATOS!$I587,nEVAL,"EX")=0),0))))</f>
      </c>
      <c r="H587">
        <f>IF(DATOS!$G587&lt;&gt;"EX",0,--(COUNTIFS(nNIA,DATOS!$A587,nCURSO,DATOS!$D587,nESPEC,DATOS!$E587,nASIG,DATOS!$I587,nEVAL,"OR")=0))</f>
      </c>
      <c r="I587">
        <f>IF(DATOS!$I587="","",IFERROR(VLOOKUP(DATOS!$I587,CONFIG_ASIGNATURAS!$B$2:$J$91,9,FALSE()),""))</f>
      </c>
    </row>
    <row r="588">
      <c r="F588">
        <f>IF(DATOS!$A588="","",DATOS!$A588&amp;"|"&amp;DATOS!$D588&amp;"|"&amp;DATOS!$E588&amp;"|"&amp;DATOS!$I588)</f>
      </c>
      <c r="G588">
        <f>IF(DATOS!$A588="",0,IF(CONFIG_METADATA!$B$4&lt;&gt;"OR+EX",--(DATOS!$G588=CONFIG_METADATA!$B$4),IF(DATOS!$G588="EX",1,IF(DATOS!$G588="OR",--(COUNTIFS(nNIA,DATOS!$A588,nCURSO,DATOS!$D588,nESPEC,DATOS!$E588,nASIG,DATOS!$I588,nEVAL,"EX")=0),0))))</f>
      </c>
      <c r="H588">
        <f>IF(DATOS!$G588&lt;&gt;"EX",0,--(COUNTIFS(nNIA,DATOS!$A588,nCURSO,DATOS!$D588,nESPEC,DATOS!$E588,nASIG,DATOS!$I588,nEVAL,"OR")=0))</f>
      </c>
      <c r="I588">
        <f>IF(DATOS!$I588="","",IFERROR(VLOOKUP(DATOS!$I588,CONFIG_ASIGNATURAS!$B$2:$J$91,9,FALSE()),""))</f>
      </c>
    </row>
    <row r="589">
      <c r="F589">
        <f>IF(DATOS!$A589="","",DATOS!$A589&amp;"|"&amp;DATOS!$D589&amp;"|"&amp;DATOS!$E589&amp;"|"&amp;DATOS!$I589)</f>
      </c>
      <c r="G589">
        <f>IF(DATOS!$A589="",0,IF(CONFIG_METADATA!$B$4&lt;&gt;"OR+EX",--(DATOS!$G589=CONFIG_METADATA!$B$4),IF(DATOS!$G589="EX",1,IF(DATOS!$G589="OR",--(COUNTIFS(nNIA,DATOS!$A589,nCURSO,DATOS!$D589,nESPEC,DATOS!$E589,nASIG,DATOS!$I589,nEVAL,"EX")=0),0))))</f>
      </c>
      <c r="H589">
        <f>IF(DATOS!$G589&lt;&gt;"EX",0,--(COUNTIFS(nNIA,DATOS!$A589,nCURSO,DATOS!$D589,nESPEC,DATOS!$E589,nASIG,DATOS!$I589,nEVAL,"OR")=0))</f>
      </c>
      <c r="I589">
        <f>IF(DATOS!$I589="","",IFERROR(VLOOKUP(DATOS!$I589,CONFIG_ASIGNATURAS!$B$2:$J$91,9,FALSE()),""))</f>
      </c>
    </row>
    <row r="590">
      <c r="F590">
        <f>IF(DATOS!$A590="","",DATOS!$A590&amp;"|"&amp;DATOS!$D590&amp;"|"&amp;DATOS!$E590&amp;"|"&amp;DATOS!$I590)</f>
      </c>
      <c r="G590">
        <f>IF(DATOS!$A590="",0,IF(CONFIG_METADATA!$B$4&lt;&gt;"OR+EX",--(DATOS!$G590=CONFIG_METADATA!$B$4),IF(DATOS!$G590="EX",1,IF(DATOS!$G590="OR",--(COUNTIFS(nNIA,DATOS!$A590,nCURSO,DATOS!$D590,nESPEC,DATOS!$E590,nASIG,DATOS!$I590,nEVAL,"EX")=0),0))))</f>
      </c>
      <c r="H590">
        <f>IF(DATOS!$G590&lt;&gt;"EX",0,--(COUNTIFS(nNIA,DATOS!$A590,nCURSO,DATOS!$D590,nESPEC,DATOS!$E590,nASIG,DATOS!$I590,nEVAL,"OR")=0))</f>
      </c>
      <c r="I590">
        <f>IF(DATOS!$I590="","",IFERROR(VLOOKUP(DATOS!$I590,CONFIG_ASIGNATURAS!$B$2:$J$91,9,FALSE()),""))</f>
      </c>
    </row>
    <row r="591">
      <c r="F591">
        <f>IF(DATOS!$A591="","",DATOS!$A591&amp;"|"&amp;DATOS!$D591&amp;"|"&amp;DATOS!$E591&amp;"|"&amp;DATOS!$I591)</f>
      </c>
      <c r="G591">
        <f>IF(DATOS!$A591="",0,IF(CONFIG_METADATA!$B$4&lt;&gt;"OR+EX",--(DATOS!$G591=CONFIG_METADATA!$B$4),IF(DATOS!$G591="EX",1,IF(DATOS!$G591="OR",--(COUNTIFS(nNIA,DATOS!$A591,nCURSO,DATOS!$D591,nESPEC,DATOS!$E591,nASIG,DATOS!$I591,nEVAL,"EX")=0),0))))</f>
      </c>
      <c r="H591">
        <f>IF(DATOS!$G591&lt;&gt;"EX",0,--(COUNTIFS(nNIA,DATOS!$A591,nCURSO,DATOS!$D591,nESPEC,DATOS!$E591,nASIG,DATOS!$I591,nEVAL,"OR")=0))</f>
      </c>
      <c r="I591">
        <f>IF(DATOS!$I591="","",IFERROR(VLOOKUP(DATOS!$I591,CONFIG_ASIGNATURAS!$B$2:$J$91,9,FALSE()),""))</f>
      </c>
    </row>
    <row r="592">
      <c r="F592">
        <f>IF(DATOS!$A592="","",DATOS!$A592&amp;"|"&amp;DATOS!$D592&amp;"|"&amp;DATOS!$E592&amp;"|"&amp;DATOS!$I592)</f>
      </c>
      <c r="G592">
        <f>IF(DATOS!$A592="",0,IF(CONFIG_METADATA!$B$4&lt;&gt;"OR+EX",--(DATOS!$G592=CONFIG_METADATA!$B$4),IF(DATOS!$G592="EX",1,IF(DATOS!$G592="OR",--(COUNTIFS(nNIA,DATOS!$A592,nCURSO,DATOS!$D592,nESPEC,DATOS!$E592,nASIG,DATOS!$I592,nEVAL,"EX")=0),0))))</f>
      </c>
      <c r="H592">
        <f>IF(DATOS!$G592&lt;&gt;"EX",0,--(COUNTIFS(nNIA,DATOS!$A592,nCURSO,DATOS!$D592,nESPEC,DATOS!$E592,nASIG,DATOS!$I592,nEVAL,"OR")=0))</f>
      </c>
      <c r="I592">
        <f>IF(DATOS!$I592="","",IFERROR(VLOOKUP(DATOS!$I592,CONFIG_ASIGNATURAS!$B$2:$J$91,9,FALSE()),""))</f>
      </c>
    </row>
    <row r="593">
      <c r="F593">
        <f>IF(DATOS!$A593="","",DATOS!$A593&amp;"|"&amp;DATOS!$D593&amp;"|"&amp;DATOS!$E593&amp;"|"&amp;DATOS!$I593)</f>
      </c>
      <c r="G593">
        <f>IF(DATOS!$A593="",0,IF(CONFIG_METADATA!$B$4&lt;&gt;"OR+EX",--(DATOS!$G593=CONFIG_METADATA!$B$4),IF(DATOS!$G593="EX",1,IF(DATOS!$G593="OR",--(COUNTIFS(nNIA,DATOS!$A593,nCURSO,DATOS!$D593,nESPEC,DATOS!$E593,nASIG,DATOS!$I593,nEVAL,"EX")=0),0))))</f>
      </c>
      <c r="H593">
        <f>IF(DATOS!$G593&lt;&gt;"EX",0,--(COUNTIFS(nNIA,DATOS!$A593,nCURSO,DATOS!$D593,nESPEC,DATOS!$E593,nASIG,DATOS!$I593,nEVAL,"OR")=0))</f>
      </c>
      <c r="I593">
        <f>IF(DATOS!$I593="","",IFERROR(VLOOKUP(DATOS!$I593,CONFIG_ASIGNATURAS!$B$2:$J$91,9,FALSE()),""))</f>
      </c>
    </row>
    <row r="594">
      <c r="F594">
        <f>IF(DATOS!$A594="","",DATOS!$A594&amp;"|"&amp;DATOS!$D594&amp;"|"&amp;DATOS!$E594&amp;"|"&amp;DATOS!$I594)</f>
      </c>
      <c r="G594">
        <f>IF(DATOS!$A594="",0,IF(CONFIG_METADATA!$B$4&lt;&gt;"OR+EX",--(DATOS!$G594=CONFIG_METADATA!$B$4),IF(DATOS!$G594="EX",1,IF(DATOS!$G594="OR",--(COUNTIFS(nNIA,DATOS!$A594,nCURSO,DATOS!$D594,nESPEC,DATOS!$E594,nASIG,DATOS!$I594,nEVAL,"EX")=0),0))))</f>
      </c>
      <c r="H594">
        <f>IF(DATOS!$G594&lt;&gt;"EX",0,--(COUNTIFS(nNIA,DATOS!$A594,nCURSO,DATOS!$D594,nESPEC,DATOS!$E594,nASIG,DATOS!$I594,nEVAL,"OR")=0))</f>
      </c>
      <c r="I594">
        <f>IF(DATOS!$I594="","",IFERROR(VLOOKUP(DATOS!$I594,CONFIG_ASIGNATURAS!$B$2:$J$91,9,FALSE()),""))</f>
      </c>
    </row>
    <row r="595">
      <c r="F595">
        <f>IF(DATOS!$A595="","",DATOS!$A595&amp;"|"&amp;DATOS!$D595&amp;"|"&amp;DATOS!$E595&amp;"|"&amp;DATOS!$I595)</f>
      </c>
      <c r="G595">
        <f>IF(DATOS!$A595="",0,IF(CONFIG_METADATA!$B$4&lt;&gt;"OR+EX",--(DATOS!$G595=CONFIG_METADATA!$B$4),IF(DATOS!$G595="EX",1,IF(DATOS!$G595="OR",--(COUNTIFS(nNIA,DATOS!$A595,nCURSO,DATOS!$D595,nESPEC,DATOS!$E595,nASIG,DATOS!$I595,nEVAL,"EX")=0),0))))</f>
      </c>
      <c r="H595">
        <f>IF(DATOS!$G595&lt;&gt;"EX",0,--(COUNTIFS(nNIA,DATOS!$A595,nCURSO,DATOS!$D595,nESPEC,DATOS!$E595,nASIG,DATOS!$I595,nEVAL,"OR")=0))</f>
      </c>
      <c r="I595">
        <f>IF(DATOS!$I595="","",IFERROR(VLOOKUP(DATOS!$I595,CONFIG_ASIGNATURAS!$B$2:$J$91,9,FALSE()),""))</f>
      </c>
    </row>
    <row r="596">
      <c r="F596">
        <f>IF(DATOS!$A596="","",DATOS!$A596&amp;"|"&amp;DATOS!$D596&amp;"|"&amp;DATOS!$E596&amp;"|"&amp;DATOS!$I596)</f>
      </c>
      <c r="G596">
        <f>IF(DATOS!$A596="",0,IF(CONFIG_METADATA!$B$4&lt;&gt;"OR+EX",--(DATOS!$G596=CONFIG_METADATA!$B$4),IF(DATOS!$G596="EX",1,IF(DATOS!$G596="OR",--(COUNTIFS(nNIA,DATOS!$A596,nCURSO,DATOS!$D596,nESPEC,DATOS!$E596,nASIG,DATOS!$I596,nEVAL,"EX")=0),0))))</f>
      </c>
      <c r="H596">
        <f>IF(DATOS!$G596&lt;&gt;"EX",0,--(COUNTIFS(nNIA,DATOS!$A596,nCURSO,DATOS!$D596,nESPEC,DATOS!$E596,nASIG,DATOS!$I596,nEVAL,"OR")=0))</f>
      </c>
      <c r="I596">
        <f>IF(DATOS!$I596="","",IFERROR(VLOOKUP(DATOS!$I596,CONFIG_ASIGNATURAS!$B$2:$J$91,9,FALSE()),""))</f>
      </c>
    </row>
    <row r="597">
      <c r="F597">
        <f>IF(DATOS!$A597="","",DATOS!$A597&amp;"|"&amp;DATOS!$D597&amp;"|"&amp;DATOS!$E597&amp;"|"&amp;DATOS!$I597)</f>
      </c>
      <c r="G597">
        <f>IF(DATOS!$A597="",0,IF(CONFIG_METADATA!$B$4&lt;&gt;"OR+EX",--(DATOS!$G597=CONFIG_METADATA!$B$4),IF(DATOS!$G597="EX",1,IF(DATOS!$G597="OR",--(COUNTIFS(nNIA,DATOS!$A597,nCURSO,DATOS!$D597,nESPEC,DATOS!$E597,nASIG,DATOS!$I597,nEVAL,"EX")=0),0))))</f>
      </c>
      <c r="H597">
        <f>IF(DATOS!$G597&lt;&gt;"EX",0,--(COUNTIFS(nNIA,DATOS!$A597,nCURSO,DATOS!$D597,nESPEC,DATOS!$E597,nASIG,DATOS!$I597,nEVAL,"OR")=0))</f>
      </c>
      <c r="I597">
        <f>IF(DATOS!$I597="","",IFERROR(VLOOKUP(DATOS!$I597,CONFIG_ASIGNATURAS!$B$2:$J$91,9,FALSE()),""))</f>
      </c>
    </row>
    <row r="598">
      <c r="F598">
        <f>IF(DATOS!$A598="","",DATOS!$A598&amp;"|"&amp;DATOS!$D598&amp;"|"&amp;DATOS!$E598&amp;"|"&amp;DATOS!$I598)</f>
      </c>
      <c r="G598">
        <f>IF(DATOS!$A598="",0,IF(CONFIG_METADATA!$B$4&lt;&gt;"OR+EX",--(DATOS!$G598=CONFIG_METADATA!$B$4),IF(DATOS!$G598="EX",1,IF(DATOS!$G598="OR",--(COUNTIFS(nNIA,DATOS!$A598,nCURSO,DATOS!$D598,nESPEC,DATOS!$E598,nASIG,DATOS!$I598,nEVAL,"EX")=0),0))))</f>
      </c>
      <c r="H598">
        <f>IF(DATOS!$G598&lt;&gt;"EX",0,--(COUNTIFS(nNIA,DATOS!$A598,nCURSO,DATOS!$D598,nESPEC,DATOS!$E598,nASIG,DATOS!$I598,nEVAL,"OR")=0))</f>
      </c>
      <c r="I598">
        <f>IF(DATOS!$I598="","",IFERROR(VLOOKUP(DATOS!$I598,CONFIG_ASIGNATURAS!$B$2:$J$91,9,FALSE()),""))</f>
      </c>
    </row>
    <row r="599">
      <c r="F599">
        <f>IF(DATOS!$A599="","",DATOS!$A599&amp;"|"&amp;DATOS!$D599&amp;"|"&amp;DATOS!$E599&amp;"|"&amp;DATOS!$I599)</f>
      </c>
      <c r="G599">
        <f>IF(DATOS!$A599="",0,IF(CONFIG_METADATA!$B$4&lt;&gt;"OR+EX",--(DATOS!$G599=CONFIG_METADATA!$B$4),IF(DATOS!$G599="EX",1,IF(DATOS!$G599="OR",--(COUNTIFS(nNIA,DATOS!$A599,nCURSO,DATOS!$D599,nESPEC,DATOS!$E599,nASIG,DATOS!$I599,nEVAL,"EX")=0),0))))</f>
      </c>
      <c r="H599">
        <f>IF(DATOS!$G599&lt;&gt;"EX",0,--(COUNTIFS(nNIA,DATOS!$A599,nCURSO,DATOS!$D599,nESPEC,DATOS!$E599,nASIG,DATOS!$I599,nEVAL,"OR")=0))</f>
      </c>
      <c r="I599">
        <f>IF(DATOS!$I599="","",IFERROR(VLOOKUP(DATOS!$I599,CONFIG_ASIGNATURAS!$B$2:$J$91,9,FALSE()),""))</f>
      </c>
    </row>
    <row r="600">
      <c r="F600">
        <f>IF(DATOS!$A600="","",DATOS!$A600&amp;"|"&amp;DATOS!$D600&amp;"|"&amp;DATOS!$E600&amp;"|"&amp;DATOS!$I600)</f>
      </c>
      <c r="G600">
        <f>IF(DATOS!$A600="",0,IF(CONFIG_METADATA!$B$4&lt;&gt;"OR+EX",--(DATOS!$G600=CONFIG_METADATA!$B$4),IF(DATOS!$G600="EX",1,IF(DATOS!$G600="OR",--(COUNTIFS(nNIA,DATOS!$A600,nCURSO,DATOS!$D600,nESPEC,DATOS!$E600,nASIG,DATOS!$I600,nEVAL,"EX")=0),0))))</f>
      </c>
      <c r="H600">
        <f>IF(DATOS!$G600&lt;&gt;"EX",0,--(COUNTIFS(nNIA,DATOS!$A600,nCURSO,DATOS!$D600,nESPEC,DATOS!$E600,nASIG,DATOS!$I600,nEVAL,"OR")=0))</f>
      </c>
      <c r="I600">
        <f>IF(DATOS!$I600="","",IFERROR(VLOOKUP(DATOS!$I600,CONFIG_ASIGNATURAS!$B$2:$J$91,9,FALSE()),""))</f>
      </c>
    </row>
    <row r="601">
      <c r="F601">
        <f>IF(DATOS!$A601="","",DATOS!$A601&amp;"|"&amp;DATOS!$D601&amp;"|"&amp;DATOS!$E601&amp;"|"&amp;DATOS!$I601)</f>
      </c>
      <c r="G601">
        <f>IF(DATOS!$A601="",0,IF(CONFIG_METADATA!$B$4&lt;&gt;"OR+EX",--(DATOS!$G601=CONFIG_METADATA!$B$4),IF(DATOS!$G601="EX",1,IF(DATOS!$G601="OR",--(COUNTIFS(nNIA,DATOS!$A601,nCURSO,DATOS!$D601,nESPEC,DATOS!$E601,nASIG,DATOS!$I601,nEVAL,"EX")=0),0))))</f>
      </c>
      <c r="H601">
        <f>IF(DATOS!$G601&lt;&gt;"EX",0,--(COUNTIFS(nNIA,DATOS!$A601,nCURSO,DATOS!$D601,nESPEC,DATOS!$E601,nASIG,DATOS!$I601,nEVAL,"OR")=0))</f>
      </c>
      <c r="I601">
        <f>IF(DATOS!$I601="","",IFERROR(VLOOKUP(DATOS!$I601,CONFIG_ASIGNATURAS!$B$2:$J$91,9,FALSE()),""))</f>
      </c>
    </row>
    <row r="602">
      <c r="F602">
        <f>IF(DATOS!$A602="","",DATOS!$A602&amp;"|"&amp;DATOS!$D602&amp;"|"&amp;DATOS!$E602&amp;"|"&amp;DATOS!$I602)</f>
      </c>
      <c r="G602">
        <f>IF(DATOS!$A602="",0,IF(CONFIG_METADATA!$B$4&lt;&gt;"OR+EX",--(DATOS!$G602=CONFIG_METADATA!$B$4),IF(DATOS!$G602="EX",1,IF(DATOS!$G602="OR",--(COUNTIFS(nNIA,DATOS!$A602,nCURSO,DATOS!$D602,nESPEC,DATOS!$E602,nASIG,DATOS!$I602,nEVAL,"EX")=0),0))))</f>
      </c>
      <c r="H602">
        <f>IF(DATOS!$G602&lt;&gt;"EX",0,--(COUNTIFS(nNIA,DATOS!$A602,nCURSO,DATOS!$D602,nESPEC,DATOS!$E602,nASIG,DATOS!$I602,nEVAL,"OR")=0))</f>
      </c>
      <c r="I602">
        <f>IF(DATOS!$I602="","",IFERROR(VLOOKUP(DATOS!$I602,CONFIG_ASIGNATURAS!$B$2:$J$91,9,FALSE()),""))</f>
      </c>
    </row>
    <row r="603">
      <c r="F603">
        <f>IF(DATOS!$A603="","",DATOS!$A603&amp;"|"&amp;DATOS!$D603&amp;"|"&amp;DATOS!$E603&amp;"|"&amp;DATOS!$I603)</f>
      </c>
      <c r="G603">
        <f>IF(DATOS!$A603="",0,IF(CONFIG_METADATA!$B$4&lt;&gt;"OR+EX",--(DATOS!$G603=CONFIG_METADATA!$B$4),IF(DATOS!$G603="EX",1,IF(DATOS!$G603="OR",--(COUNTIFS(nNIA,DATOS!$A603,nCURSO,DATOS!$D603,nESPEC,DATOS!$E603,nASIG,DATOS!$I603,nEVAL,"EX")=0),0))))</f>
      </c>
      <c r="H603">
        <f>IF(DATOS!$G603&lt;&gt;"EX",0,--(COUNTIFS(nNIA,DATOS!$A603,nCURSO,DATOS!$D603,nESPEC,DATOS!$E603,nASIG,DATOS!$I603,nEVAL,"OR")=0))</f>
      </c>
      <c r="I603">
        <f>IF(DATOS!$I603="","",IFERROR(VLOOKUP(DATOS!$I603,CONFIG_ASIGNATURAS!$B$2:$J$91,9,FALSE()),""))</f>
      </c>
    </row>
    <row r="604">
      <c r="F604">
        <f>IF(DATOS!$A604="","",DATOS!$A604&amp;"|"&amp;DATOS!$D604&amp;"|"&amp;DATOS!$E604&amp;"|"&amp;DATOS!$I604)</f>
      </c>
      <c r="G604">
        <f>IF(DATOS!$A604="",0,IF(CONFIG_METADATA!$B$4&lt;&gt;"OR+EX",--(DATOS!$G604=CONFIG_METADATA!$B$4),IF(DATOS!$G604="EX",1,IF(DATOS!$G604="OR",--(COUNTIFS(nNIA,DATOS!$A604,nCURSO,DATOS!$D604,nESPEC,DATOS!$E604,nASIG,DATOS!$I604,nEVAL,"EX")=0),0))))</f>
      </c>
      <c r="H604">
        <f>IF(DATOS!$G604&lt;&gt;"EX",0,--(COUNTIFS(nNIA,DATOS!$A604,nCURSO,DATOS!$D604,nESPEC,DATOS!$E604,nASIG,DATOS!$I604,nEVAL,"OR")=0))</f>
      </c>
      <c r="I604">
        <f>IF(DATOS!$I604="","",IFERROR(VLOOKUP(DATOS!$I604,CONFIG_ASIGNATURAS!$B$2:$J$91,9,FALSE()),""))</f>
      </c>
    </row>
    <row r="605">
      <c r="F605">
        <f>IF(DATOS!$A605="","",DATOS!$A605&amp;"|"&amp;DATOS!$D605&amp;"|"&amp;DATOS!$E605&amp;"|"&amp;DATOS!$I605)</f>
      </c>
      <c r="G605">
        <f>IF(DATOS!$A605="",0,IF(CONFIG_METADATA!$B$4&lt;&gt;"OR+EX",--(DATOS!$G605=CONFIG_METADATA!$B$4),IF(DATOS!$G605="EX",1,IF(DATOS!$G605="OR",--(COUNTIFS(nNIA,DATOS!$A605,nCURSO,DATOS!$D605,nESPEC,DATOS!$E605,nASIG,DATOS!$I605,nEVAL,"EX")=0),0))))</f>
      </c>
      <c r="H605">
        <f>IF(DATOS!$G605&lt;&gt;"EX",0,--(COUNTIFS(nNIA,DATOS!$A605,nCURSO,DATOS!$D605,nESPEC,DATOS!$E605,nASIG,DATOS!$I605,nEVAL,"OR")=0))</f>
      </c>
      <c r="I605">
        <f>IF(DATOS!$I605="","",IFERROR(VLOOKUP(DATOS!$I605,CONFIG_ASIGNATURAS!$B$2:$J$91,9,FALSE()),""))</f>
      </c>
    </row>
    <row r="606">
      <c r="F606">
        <f>IF(DATOS!$A606="","",DATOS!$A606&amp;"|"&amp;DATOS!$D606&amp;"|"&amp;DATOS!$E606&amp;"|"&amp;DATOS!$I606)</f>
      </c>
      <c r="G606">
        <f>IF(DATOS!$A606="",0,IF(CONFIG_METADATA!$B$4&lt;&gt;"OR+EX",--(DATOS!$G606=CONFIG_METADATA!$B$4),IF(DATOS!$G606="EX",1,IF(DATOS!$G606="OR",--(COUNTIFS(nNIA,DATOS!$A606,nCURSO,DATOS!$D606,nESPEC,DATOS!$E606,nASIG,DATOS!$I606,nEVAL,"EX")=0),0))))</f>
      </c>
      <c r="H606">
        <f>IF(DATOS!$G606&lt;&gt;"EX",0,--(COUNTIFS(nNIA,DATOS!$A606,nCURSO,DATOS!$D606,nESPEC,DATOS!$E606,nASIG,DATOS!$I606,nEVAL,"OR")=0))</f>
      </c>
      <c r="I606">
        <f>IF(DATOS!$I606="","",IFERROR(VLOOKUP(DATOS!$I606,CONFIG_ASIGNATURAS!$B$2:$J$91,9,FALSE()),""))</f>
      </c>
    </row>
    <row r="607">
      <c r="F607">
        <f>IF(DATOS!$A607="","",DATOS!$A607&amp;"|"&amp;DATOS!$D607&amp;"|"&amp;DATOS!$E607&amp;"|"&amp;DATOS!$I607)</f>
      </c>
      <c r="G607">
        <f>IF(DATOS!$A607="",0,IF(CONFIG_METADATA!$B$4&lt;&gt;"OR+EX",--(DATOS!$G607=CONFIG_METADATA!$B$4),IF(DATOS!$G607="EX",1,IF(DATOS!$G607="OR",--(COUNTIFS(nNIA,DATOS!$A607,nCURSO,DATOS!$D607,nESPEC,DATOS!$E607,nASIG,DATOS!$I607,nEVAL,"EX")=0),0))))</f>
      </c>
      <c r="H607">
        <f>IF(DATOS!$G607&lt;&gt;"EX",0,--(COUNTIFS(nNIA,DATOS!$A607,nCURSO,DATOS!$D607,nESPEC,DATOS!$E607,nASIG,DATOS!$I607,nEVAL,"OR")=0))</f>
      </c>
      <c r="I607">
        <f>IF(DATOS!$I607="","",IFERROR(VLOOKUP(DATOS!$I607,CONFIG_ASIGNATURAS!$B$2:$J$91,9,FALSE()),""))</f>
      </c>
    </row>
    <row r="608">
      <c r="F608">
        <f>IF(DATOS!$A608="","",DATOS!$A608&amp;"|"&amp;DATOS!$D608&amp;"|"&amp;DATOS!$E608&amp;"|"&amp;DATOS!$I608)</f>
      </c>
      <c r="G608">
        <f>IF(DATOS!$A608="",0,IF(CONFIG_METADATA!$B$4&lt;&gt;"OR+EX",--(DATOS!$G608=CONFIG_METADATA!$B$4),IF(DATOS!$G608="EX",1,IF(DATOS!$G608="OR",--(COUNTIFS(nNIA,DATOS!$A608,nCURSO,DATOS!$D608,nESPEC,DATOS!$E608,nASIG,DATOS!$I608,nEVAL,"EX")=0),0))))</f>
      </c>
      <c r="H608">
        <f>IF(DATOS!$G608&lt;&gt;"EX",0,--(COUNTIFS(nNIA,DATOS!$A608,nCURSO,DATOS!$D608,nESPEC,DATOS!$E608,nASIG,DATOS!$I608,nEVAL,"OR")=0))</f>
      </c>
      <c r="I608">
        <f>IF(DATOS!$I608="","",IFERROR(VLOOKUP(DATOS!$I608,CONFIG_ASIGNATURAS!$B$2:$J$91,9,FALSE()),""))</f>
      </c>
    </row>
    <row r="609">
      <c r="F609">
        <f>IF(DATOS!$A609="","",DATOS!$A609&amp;"|"&amp;DATOS!$D609&amp;"|"&amp;DATOS!$E609&amp;"|"&amp;DATOS!$I609)</f>
      </c>
      <c r="G609">
        <f>IF(DATOS!$A609="",0,IF(CONFIG_METADATA!$B$4&lt;&gt;"OR+EX",--(DATOS!$G609=CONFIG_METADATA!$B$4),IF(DATOS!$G609="EX",1,IF(DATOS!$G609="OR",--(COUNTIFS(nNIA,DATOS!$A609,nCURSO,DATOS!$D609,nESPEC,DATOS!$E609,nASIG,DATOS!$I609,nEVAL,"EX")=0),0))))</f>
      </c>
      <c r="H609">
        <f>IF(DATOS!$G609&lt;&gt;"EX",0,--(COUNTIFS(nNIA,DATOS!$A609,nCURSO,DATOS!$D609,nESPEC,DATOS!$E609,nASIG,DATOS!$I609,nEVAL,"OR")=0))</f>
      </c>
      <c r="I609">
        <f>IF(DATOS!$I609="","",IFERROR(VLOOKUP(DATOS!$I609,CONFIG_ASIGNATURAS!$B$2:$J$91,9,FALSE()),""))</f>
      </c>
    </row>
    <row r="610">
      <c r="F610">
        <f>IF(DATOS!$A610="","",DATOS!$A610&amp;"|"&amp;DATOS!$D610&amp;"|"&amp;DATOS!$E610&amp;"|"&amp;DATOS!$I610)</f>
      </c>
      <c r="G610">
        <f>IF(DATOS!$A610="",0,IF(CONFIG_METADATA!$B$4&lt;&gt;"OR+EX",--(DATOS!$G610=CONFIG_METADATA!$B$4),IF(DATOS!$G610="EX",1,IF(DATOS!$G610="OR",--(COUNTIFS(nNIA,DATOS!$A610,nCURSO,DATOS!$D610,nESPEC,DATOS!$E610,nASIG,DATOS!$I610,nEVAL,"EX")=0),0))))</f>
      </c>
      <c r="H610">
        <f>IF(DATOS!$G610&lt;&gt;"EX",0,--(COUNTIFS(nNIA,DATOS!$A610,nCURSO,DATOS!$D610,nESPEC,DATOS!$E610,nASIG,DATOS!$I610,nEVAL,"OR")=0))</f>
      </c>
      <c r="I610">
        <f>IF(DATOS!$I610="","",IFERROR(VLOOKUP(DATOS!$I610,CONFIG_ASIGNATURAS!$B$2:$J$91,9,FALSE()),""))</f>
      </c>
    </row>
    <row r="611">
      <c r="F611">
        <f>IF(DATOS!$A611="","",DATOS!$A611&amp;"|"&amp;DATOS!$D611&amp;"|"&amp;DATOS!$E611&amp;"|"&amp;DATOS!$I611)</f>
      </c>
      <c r="G611">
        <f>IF(DATOS!$A611="",0,IF(CONFIG_METADATA!$B$4&lt;&gt;"OR+EX",--(DATOS!$G611=CONFIG_METADATA!$B$4),IF(DATOS!$G611="EX",1,IF(DATOS!$G611="OR",--(COUNTIFS(nNIA,DATOS!$A611,nCURSO,DATOS!$D611,nESPEC,DATOS!$E611,nASIG,DATOS!$I611,nEVAL,"EX")=0),0))))</f>
      </c>
      <c r="H611">
        <f>IF(DATOS!$G611&lt;&gt;"EX",0,--(COUNTIFS(nNIA,DATOS!$A611,nCURSO,DATOS!$D611,nESPEC,DATOS!$E611,nASIG,DATOS!$I611,nEVAL,"OR")=0))</f>
      </c>
      <c r="I611">
        <f>IF(DATOS!$I611="","",IFERROR(VLOOKUP(DATOS!$I611,CONFIG_ASIGNATURAS!$B$2:$J$91,9,FALSE()),""))</f>
      </c>
    </row>
    <row r="612">
      <c r="F612">
        <f>IF(DATOS!$A612="","",DATOS!$A612&amp;"|"&amp;DATOS!$D612&amp;"|"&amp;DATOS!$E612&amp;"|"&amp;DATOS!$I612)</f>
      </c>
      <c r="G612">
        <f>IF(DATOS!$A612="",0,IF(CONFIG_METADATA!$B$4&lt;&gt;"OR+EX",--(DATOS!$G612=CONFIG_METADATA!$B$4),IF(DATOS!$G612="EX",1,IF(DATOS!$G612="OR",--(COUNTIFS(nNIA,DATOS!$A612,nCURSO,DATOS!$D612,nESPEC,DATOS!$E612,nASIG,DATOS!$I612,nEVAL,"EX")=0),0))))</f>
      </c>
      <c r="H612">
        <f>IF(DATOS!$G612&lt;&gt;"EX",0,--(COUNTIFS(nNIA,DATOS!$A612,nCURSO,DATOS!$D612,nESPEC,DATOS!$E612,nASIG,DATOS!$I612,nEVAL,"OR")=0))</f>
      </c>
      <c r="I612">
        <f>IF(DATOS!$I612="","",IFERROR(VLOOKUP(DATOS!$I612,CONFIG_ASIGNATURAS!$B$2:$J$91,9,FALSE()),""))</f>
      </c>
    </row>
    <row r="613">
      <c r="F613">
        <f>IF(DATOS!$A613="","",DATOS!$A613&amp;"|"&amp;DATOS!$D613&amp;"|"&amp;DATOS!$E613&amp;"|"&amp;DATOS!$I613)</f>
      </c>
      <c r="G613">
        <f>IF(DATOS!$A613="",0,IF(CONFIG_METADATA!$B$4&lt;&gt;"OR+EX",--(DATOS!$G613=CONFIG_METADATA!$B$4),IF(DATOS!$G613="EX",1,IF(DATOS!$G613="OR",--(COUNTIFS(nNIA,DATOS!$A613,nCURSO,DATOS!$D613,nESPEC,DATOS!$E613,nASIG,DATOS!$I613,nEVAL,"EX")=0),0))))</f>
      </c>
      <c r="H613">
        <f>IF(DATOS!$G613&lt;&gt;"EX",0,--(COUNTIFS(nNIA,DATOS!$A613,nCURSO,DATOS!$D613,nESPEC,DATOS!$E613,nASIG,DATOS!$I613,nEVAL,"OR")=0))</f>
      </c>
      <c r="I613">
        <f>IF(DATOS!$I613="","",IFERROR(VLOOKUP(DATOS!$I613,CONFIG_ASIGNATURAS!$B$2:$J$91,9,FALSE()),""))</f>
      </c>
    </row>
    <row r="614">
      <c r="F614">
        <f>IF(DATOS!$A614="","",DATOS!$A614&amp;"|"&amp;DATOS!$D614&amp;"|"&amp;DATOS!$E614&amp;"|"&amp;DATOS!$I614)</f>
      </c>
      <c r="G614">
        <f>IF(DATOS!$A614="",0,IF(CONFIG_METADATA!$B$4&lt;&gt;"OR+EX",--(DATOS!$G614=CONFIG_METADATA!$B$4),IF(DATOS!$G614="EX",1,IF(DATOS!$G614="OR",--(COUNTIFS(nNIA,DATOS!$A614,nCURSO,DATOS!$D614,nESPEC,DATOS!$E614,nASIG,DATOS!$I614,nEVAL,"EX")=0),0))))</f>
      </c>
      <c r="H614">
        <f>IF(DATOS!$G614&lt;&gt;"EX",0,--(COUNTIFS(nNIA,DATOS!$A614,nCURSO,DATOS!$D614,nESPEC,DATOS!$E614,nASIG,DATOS!$I614,nEVAL,"OR")=0))</f>
      </c>
      <c r="I614">
        <f>IF(DATOS!$I614="","",IFERROR(VLOOKUP(DATOS!$I614,CONFIG_ASIGNATURAS!$B$2:$J$91,9,FALSE()),""))</f>
      </c>
    </row>
    <row r="615">
      <c r="F615">
        <f>IF(DATOS!$A615="","",DATOS!$A615&amp;"|"&amp;DATOS!$D615&amp;"|"&amp;DATOS!$E615&amp;"|"&amp;DATOS!$I615)</f>
      </c>
      <c r="G615">
        <f>IF(DATOS!$A615="",0,IF(CONFIG_METADATA!$B$4&lt;&gt;"OR+EX",--(DATOS!$G615=CONFIG_METADATA!$B$4),IF(DATOS!$G615="EX",1,IF(DATOS!$G615="OR",--(COUNTIFS(nNIA,DATOS!$A615,nCURSO,DATOS!$D615,nESPEC,DATOS!$E615,nASIG,DATOS!$I615,nEVAL,"EX")=0),0))))</f>
      </c>
      <c r="H615">
        <f>IF(DATOS!$G615&lt;&gt;"EX",0,--(COUNTIFS(nNIA,DATOS!$A615,nCURSO,DATOS!$D615,nESPEC,DATOS!$E615,nASIG,DATOS!$I615,nEVAL,"OR")=0))</f>
      </c>
      <c r="I615">
        <f>IF(DATOS!$I615="","",IFERROR(VLOOKUP(DATOS!$I615,CONFIG_ASIGNATURAS!$B$2:$J$91,9,FALSE()),""))</f>
      </c>
    </row>
    <row r="616">
      <c r="F616">
        <f>IF(DATOS!$A616="","",DATOS!$A616&amp;"|"&amp;DATOS!$D616&amp;"|"&amp;DATOS!$E616&amp;"|"&amp;DATOS!$I616)</f>
      </c>
      <c r="G616">
        <f>IF(DATOS!$A616="",0,IF(CONFIG_METADATA!$B$4&lt;&gt;"OR+EX",--(DATOS!$G616=CONFIG_METADATA!$B$4),IF(DATOS!$G616="EX",1,IF(DATOS!$G616="OR",--(COUNTIFS(nNIA,DATOS!$A616,nCURSO,DATOS!$D616,nESPEC,DATOS!$E616,nASIG,DATOS!$I616,nEVAL,"EX")=0),0))))</f>
      </c>
      <c r="H616">
        <f>IF(DATOS!$G616&lt;&gt;"EX",0,--(COUNTIFS(nNIA,DATOS!$A616,nCURSO,DATOS!$D616,nESPEC,DATOS!$E616,nASIG,DATOS!$I616,nEVAL,"OR")=0))</f>
      </c>
      <c r="I616">
        <f>IF(DATOS!$I616="","",IFERROR(VLOOKUP(DATOS!$I616,CONFIG_ASIGNATURAS!$B$2:$J$91,9,FALSE()),""))</f>
      </c>
    </row>
    <row r="617">
      <c r="F617">
        <f>IF(DATOS!$A617="","",DATOS!$A617&amp;"|"&amp;DATOS!$D617&amp;"|"&amp;DATOS!$E617&amp;"|"&amp;DATOS!$I617)</f>
      </c>
      <c r="G617">
        <f>IF(DATOS!$A617="",0,IF(CONFIG_METADATA!$B$4&lt;&gt;"OR+EX",--(DATOS!$G617=CONFIG_METADATA!$B$4),IF(DATOS!$G617="EX",1,IF(DATOS!$G617="OR",--(COUNTIFS(nNIA,DATOS!$A617,nCURSO,DATOS!$D617,nESPEC,DATOS!$E617,nASIG,DATOS!$I617,nEVAL,"EX")=0),0))))</f>
      </c>
      <c r="H617">
        <f>IF(DATOS!$G617&lt;&gt;"EX",0,--(COUNTIFS(nNIA,DATOS!$A617,nCURSO,DATOS!$D617,nESPEC,DATOS!$E617,nASIG,DATOS!$I617,nEVAL,"OR")=0))</f>
      </c>
      <c r="I617">
        <f>IF(DATOS!$I617="","",IFERROR(VLOOKUP(DATOS!$I617,CONFIG_ASIGNATURAS!$B$2:$J$91,9,FALSE()),""))</f>
      </c>
    </row>
    <row r="618">
      <c r="F618">
        <f>IF(DATOS!$A618="","",DATOS!$A618&amp;"|"&amp;DATOS!$D618&amp;"|"&amp;DATOS!$E618&amp;"|"&amp;DATOS!$I618)</f>
      </c>
      <c r="G618">
        <f>IF(DATOS!$A618="",0,IF(CONFIG_METADATA!$B$4&lt;&gt;"OR+EX",--(DATOS!$G618=CONFIG_METADATA!$B$4),IF(DATOS!$G618="EX",1,IF(DATOS!$G618="OR",--(COUNTIFS(nNIA,DATOS!$A618,nCURSO,DATOS!$D618,nESPEC,DATOS!$E618,nASIG,DATOS!$I618,nEVAL,"EX")=0),0))))</f>
      </c>
      <c r="H618">
        <f>IF(DATOS!$G618&lt;&gt;"EX",0,--(COUNTIFS(nNIA,DATOS!$A618,nCURSO,DATOS!$D618,nESPEC,DATOS!$E618,nASIG,DATOS!$I618,nEVAL,"OR")=0))</f>
      </c>
      <c r="I618">
        <f>IF(DATOS!$I618="","",IFERROR(VLOOKUP(DATOS!$I618,CONFIG_ASIGNATURAS!$B$2:$J$91,9,FALSE()),""))</f>
      </c>
    </row>
    <row r="619">
      <c r="F619">
        <f>IF(DATOS!$A619="","",DATOS!$A619&amp;"|"&amp;DATOS!$D619&amp;"|"&amp;DATOS!$E619&amp;"|"&amp;DATOS!$I619)</f>
      </c>
      <c r="G619">
        <f>IF(DATOS!$A619="",0,IF(CONFIG_METADATA!$B$4&lt;&gt;"OR+EX",--(DATOS!$G619=CONFIG_METADATA!$B$4),IF(DATOS!$G619="EX",1,IF(DATOS!$G619="OR",--(COUNTIFS(nNIA,DATOS!$A619,nCURSO,DATOS!$D619,nESPEC,DATOS!$E619,nASIG,DATOS!$I619,nEVAL,"EX")=0),0))))</f>
      </c>
      <c r="H619">
        <f>IF(DATOS!$G619&lt;&gt;"EX",0,--(COUNTIFS(nNIA,DATOS!$A619,nCURSO,DATOS!$D619,nESPEC,DATOS!$E619,nASIG,DATOS!$I619,nEVAL,"OR")=0))</f>
      </c>
      <c r="I619">
        <f>IF(DATOS!$I619="","",IFERROR(VLOOKUP(DATOS!$I619,CONFIG_ASIGNATURAS!$B$2:$J$91,9,FALSE()),""))</f>
      </c>
    </row>
    <row r="620">
      <c r="F620">
        <f>IF(DATOS!$A620="","",DATOS!$A620&amp;"|"&amp;DATOS!$D620&amp;"|"&amp;DATOS!$E620&amp;"|"&amp;DATOS!$I620)</f>
      </c>
      <c r="G620">
        <f>IF(DATOS!$A620="",0,IF(CONFIG_METADATA!$B$4&lt;&gt;"OR+EX",--(DATOS!$G620=CONFIG_METADATA!$B$4),IF(DATOS!$G620="EX",1,IF(DATOS!$G620="OR",--(COUNTIFS(nNIA,DATOS!$A620,nCURSO,DATOS!$D620,nESPEC,DATOS!$E620,nASIG,DATOS!$I620,nEVAL,"EX")=0),0))))</f>
      </c>
      <c r="H620">
        <f>IF(DATOS!$G620&lt;&gt;"EX",0,--(COUNTIFS(nNIA,DATOS!$A620,nCURSO,DATOS!$D620,nESPEC,DATOS!$E620,nASIG,DATOS!$I620,nEVAL,"OR")=0))</f>
      </c>
      <c r="I620">
        <f>IF(DATOS!$I620="","",IFERROR(VLOOKUP(DATOS!$I620,CONFIG_ASIGNATURAS!$B$2:$J$91,9,FALSE()),""))</f>
      </c>
    </row>
    <row r="621">
      <c r="F621">
        <f>IF(DATOS!$A621="","",DATOS!$A621&amp;"|"&amp;DATOS!$D621&amp;"|"&amp;DATOS!$E621&amp;"|"&amp;DATOS!$I621)</f>
      </c>
      <c r="G621">
        <f>IF(DATOS!$A621="",0,IF(CONFIG_METADATA!$B$4&lt;&gt;"OR+EX",--(DATOS!$G621=CONFIG_METADATA!$B$4),IF(DATOS!$G621="EX",1,IF(DATOS!$G621="OR",--(COUNTIFS(nNIA,DATOS!$A621,nCURSO,DATOS!$D621,nESPEC,DATOS!$E621,nASIG,DATOS!$I621,nEVAL,"EX")=0),0))))</f>
      </c>
      <c r="H621">
        <f>IF(DATOS!$G621&lt;&gt;"EX",0,--(COUNTIFS(nNIA,DATOS!$A621,nCURSO,DATOS!$D621,nESPEC,DATOS!$E621,nASIG,DATOS!$I621,nEVAL,"OR")=0))</f>
      </c>
      <c r="I621">
        <f>IF(DATOS!$I621="","",IFERROR(VLOOKUP(DATOS!$I621,CONFIG_ASIGNATURAS!$B$2:$J$91,9,FALSE()),""))</f>
      </c>
    </row>
    <row r="622">
      <c r="F622">
        <f>IF(DATOS!$A622="","",DATOS!$A622&amp;"|"&amp;DATOS!$D622&amp;"|"&amp;DATOS!$E622&amp;"|"&amp;DATOS!$I622)</f>
      </c>
      <c r="G622">
        <f>IF(DATOS!$A622="",0,IF(CONFIG_METADATA!$B$4&lt;&gt;"OR+EX",--(DATOS!$G622=CONFIG_METADATA!$B$4),IF(DATOS!$G622="EX",1,IF(DATOS!$G622="OR",--(COUNTIFS(nNIA,DATOS!$A622,nCURSO,DATOS!$D622,nESPEC,DATOS!$E622,nASIG,DATOS!$I622,nEVAL,"EX")=0),0))))</f>
      </c>
      <c r="H622">
        <f>IF(DATOS!$G622&lt;&gt;"EX",0,--(COUNTIFS(nNIA,DATOS!$A622,nCURSO,DATOS!$D622,nESPEC,DATOS!$E622,nASIG,DATOS!$I622,nEVAL,"OR")=0))</f>
      </c>
      <c r="I622">
        <f>IF(DATOS!$I622="","",IFERROR(VLOOKUP(DATOS!$I622,CONFIG_ASIGNATURAS!$B$2:$J$91,9,FALSE()),""))</f>
      </c>
    </row>
    <row r="623">
      <c r="F623">
        <f>IF(DATOS!$A623="","",DATOS!$A623&amp;"|"&amp;DATOS!$D623&amp;"|"&amp;DATOS!$E623&amp;"|"&amp;DATOS!$I623)</f>
      </c>
      <c r="G623">
        <f>IF(DATOS!$A623="",0,IF(CONFIG_METADATA!$B$4&lt;&gt;"OR+EX",--(DATOS!$G623=CONFIG_METADATA!$B$4),IF(DATOS!$G623="EX",1,IF(DATOS!$G623="OR",--(COUNTIFS(nNIA,DATOS!$A623,nCURSO,DATOS!$D623,nESPEC,DATOS!$E623,nASIG,DATOS!$I623,nEVAL,"EX")=0),0))))</f>
      </c>
      <c r="H623">
        <f>IF(DATOS!$G623&lt;&gt;"EX",0,--(COUNTIFS(nNIA,DATOS!$A623,nCURSO,DATOS!$D623,nESPEC,DATOS!$E623,nASIG,DATOS!$I623,nEVAL,"OR")=0))</f>
      </c>
      <c r="I623">
        <f>IF(DATOS!$I623="","",IFERROR(VLOOKUP(DATOS!$I623,CONFIG_ASIGNATURAS!$B$2:$J$91,9,FALSE()),""))</f>
      </c>
    </row>
    <row r="624">
      <c r="F624">
        <f>IF(DATOS!$A624="","",DATOS!$A624&amp;"|"&amp;DATOS!$D624&amp;"|"&amp;DATOS!$E624&amp;"|"&amp;DATOS!$I624)</f>
      </c>
      <c r="G624">
        <f>IF(DATOS!$A624="",0,IF(CONFIG_METADATA!$B$4&lt;&gt;"OR+EX",--(DATOS!$G624=CONFIG_METADATA!$B$4),IF(DATOS!$G624="EX",1,IF(DATOS!$G624="OR",--(COUNTIFS(nNIA,DATOS!$A624,nCURSO,DATOS!$D624,nESPEC,DATOS!$E624,nASIG,DATOS!$I624,nEVAL,"EX")=0),0))))</f>
      </c>
      <c r="H624">
        <f>IF(DATOS!$G624&lt;&gt;"EX",0,--(COUNTIFS(nNIA,DATOS!$A624,nCURSO,DATOS!$D624,nESPEC,DATOS!$E624,nASIG,DATOS!$I624,nEVAL,"OR")=0))</f>
      </c>
      <c r="I624">
        <f>IF(DATOS!$I624="","",IFERROR(VLOOKUP(DATOS!$I624,CONFIG_ASIGNATURAS!$B$2:$J$91,9,FALSE()),""))</f>
      </c>
    </row>
    <row r="625">
      <c r="F625">
        <f>IF(DATOS!$A625="","",DATOS!$A625&amp;"|"&amp;DATOS!$D625&amp;"|"&amp;DATOS!$E625&amp;"|"&amp;DATOS!$I625)</f>
      </c>
      <c r="G625">
        <f>IF(DATOS!$A625="",0,IF(CONFIG_METADATA!$B$4&lt;&gt;"OR+EX",--(DATOS!$G625=CONFIG_METADATA!$B$4),IF(DATOS!$G625="EX",1,IF(DATOS!$G625="OR",--(COUNTIFS(nNIA,DATOS!$A625,nCURSO,DATOS!$D625,nESPEC,DATOS!$E625,nASIG,DATOS!$I625,nEVAL,"EX")=0),0))))</f>
      </c>
      <c r="H625">
        <f>IF(DATOS!$G625&lt;&gt;"EX",0,--(COUNTIFS(nNIA,DATOS!$A625,nCURSO,DATOS!$D625,nESPEC,DATOS!$E625,nASIG,DATOS!$I625,nEVAL,"OR")=0))</f>
      </c>
      <c r="I625">
        <f>IF(DATOS!$I625="","",IFERROR(VLOOKUP(DATOS!$I625,CONFIG_ASIGNATURAS!$B$2:$J$91,9,FALSE()),""))</f>
      </c>
    </row>
    <row r="626">
      <c r="F626">
        <f>IF(DATOS!$A626="","",DATOS!$A626&amp;"|"&amp;DATOS!$D626&amp;"|"&amp;DATOS!$E626&amp;"|"&amp;DATOS!$I626)</f>
      </c>
      <c r="G626">
        <f>IF(DATOS!$A626="",0,IF(CONFIG_METADATA!$B$4&lt;&gt;"OR+EX",--(DATOS!$G626=CONFIG_METADATA!$B$4),IF(DATOS!$G626="EX",1,IF(DATOS!$G626="OR",--(COUNTIFS(nNIA,DATOS!$A626,nCURSO,DATOS!$D626,nESPEC,DATOS!$E626,nASIG,DATOS!$I626,nEVAL,"EX")=0),0))))</f>
      </c>
      <c r="H626">
        <f>IF(DATOS!$G626&lt;&gt;"EX",0,--(COUNTIFS(nNIA,DATOS!$A626,nCURSO,DATOS!$D626,nESPEC,DATOS!$E626,nASIG,DATOS!$I626,nEVAL,"OR")=0))</f>
      </c>
      <c r="I626">
        <f>IF(DATOS!$I626="","",IFERROR(VLOOKUP(DATOS!$I626,CONFIG_ASIGNATURAS!$B$2:$J$91,9,FALSE()),""))</f>
      </c>
    </row>
    <row r="627">
      <c r="F627">
        <f>IF(DATOS!$A627="","",DATOS!$A627&amp;"|"&amp;DATOS!$D627&amp;"|"&amp;DATOS!$E627&amp;"|"&amp;DATOS!$I627)</f>
      </c>
      <c r="G627">
        <f>IF(DATOS!$A627="",0,IF(CONFIG_METADATA!$B$4&lt;&gt;"OR+EX",--(DATOS!$G627=CONFIG_METADATA!$B$4),IF(DATOS!$G627="EX",1,IF(DATOS!$G627="OR",--(COUNTIFS(nNIA,DATOS!$A627,nCURSO,DATOS!$D627,nESPEC,DATOS!$E627,nASIG,DATOS!$I627,nEVAL,"EX")=0),0))))</f>
      </c>
      <c r="H627">
        <f>IF(DATOS!$G627&lt;&gt;"EX",0,--(COUNTIFS(nNIA,DATOS!$A627,nCURSO,DATOS!$D627,nESPEC,DATOS!$E627,nASIG,DATOS!$I627,nEVAL,"OR")=0))</f>
      </c>
      <c r="I627">
        <f>IF(DATOS!$I627="","",IFERROR(VLOOKUP(DATOS!$I627,CONFIG_ASIGNATURAS!$B$2:$J$91,9,FALSE()),""))</f>
      </c>
    </row>
    <row r="628">
      <c r="F628">
        <f>IF(DATOS!$A628="","",DATOS!$A628&amp;"|"&amp;DATOS!$D628&amp;"|"&amp;DATOS!$E628&amp;"|"&amp;DATOS!$I628)</f>
      </c>
      <c r="G628">
        <f>IF(DATOS!$A628="",0,IF(CONFIG_METADATA!$B$4&lt;&gt;"OR+EX",--(DATOS!$G628=CONFIG_METADATA!$B$4),IF(DATOS!$G628="EX",1,IF(DATOS!$G628="OR",--(COUNTIFS(nNIA,DATOS!$A628,nCURSO,DATOS!$D628,nESPEC,DATOS!$E628,nASIG,DATOS!$I628,nEVAL,"EX")=0),0))))</f>
      </c>
      <c r="H628">
        <f>IF(DATOS!$G628&lt;&gt;"EX",0,--(COUNTIFS(nNIA,DATOS!$A628,nCURSO,DATOS!$D628,nESPEC,DATOS!$E628,nASIG,DATOS!$I628,nEVAL,"OR")=0))</f>
      </c>
      <c r="I628">
        <f>IF(DATOS!$I628="","",IFERROR(VLOOKUP(DATOS!$I628,CONFIG_ASIGNATURAS!$B$2:$J$91,9,FALSE()),""))</f>
      </c>
    </row>
    <row r="629">
      <c r="F629">
        <f>IF(DATOS!$A629="","",DATOS!$A629&amp;"|"&amp;DATOS!$D629&amp;"|"&amp;DATOS!$E629&amp;"|"&amp;DATOS!$I629)</f>
      </c>
      <c r="G629">
        <f>IF(DATOS!$A629="",0,IF(CONFIG_METADATA!$B$4&lt;&gt;"OR+EX",--(DATOS!$G629=CONFIG_METADATA!$B$4),IF(DATOS!$G629="EX",1,IF(DATOS!$G629="OR",--(COUNTIFS(nNIA,DATOS!$A629,nCURSO,DATOS!$D629,nESPEC,DATOS!$E629,nASIG,DATOS!$I629,nEVAL,"EX")=0),0))))</f>
      </c>
      <c r="H629">
        <f>IF(DATOS!$G629&lt;&gt;"EX",0,--(COUNTIFS(nNIA,DATOS!$A629,nCURSO,DATOS!$D629,nESPEC,DATOS!$E629,nASIG,DATOS!$I629,nEVAL,"OR")=0))</f>
      </c>
      <c r="I629">
        <f>IF(DATOS!$I629="","",IFERROR(VLOOKUP(DATOS!$I629,CONFIG_ASIGNATURAS!$B$2:$J$91,9,FALSE()),""))</f>
      </c>
    </row>
    <row r="630">
      <c r="F630">
        <f>IF(DATOS!$A630="","",DATOS!$A630&amp;"|"&amp;DATOS!$D630&amp;"|"&amp;DATOS!$E630&amp;"|"&amp;DATOS!$I630)</f>
      </c>
      <c r="G630">
        <f>IF(DATOS!$A630="",0,IF(CONFIG_METADATA!$B$4&lt;&gt;"OR+EX",--(DATOS!$G630=CONFIG_METADATA!$B$4),IF(DATOS!$G630="EX",1,IF(DATOS!$G630="OR",--(COUNTIFS(nNIA,DATOS!$A630,nCURSO,DATOS!$D630,nESPEC,DATOS!$E630,nASIG,DATOS!$I630,nEVAL,"EX")=0),0))))</f>
      </c>
      <c r="H630">
        <f>IF(DATOS!$G630&lt;&gt;"EX",0,--(COUNTIFS(nNIA,DATOS!$A630,nCURSO,DATOS!$D630,nESPEC,DATOS!$E630,nASIG,DATOS!$I630,nEVAL,"OR")=0))</f>
      </c>
      <c r="I630">
        <f>IF(DATOS!$I630="","",IFERROR(VLOOKUP(DATOS!$I630,CONFIG_ASIGNATURAS!$B$2:$J$91,9,FALSE()),""))</f>
      </c>
    </row>
    <row r="631">
      <c r="F631">
        <f>IF(DATOS!$A631="","",DATOS!$A631&amp;"|"&amp;DATOS!$D631&amp;"|"&amp;DATOS!$E631&amp;"|"&amp;DATOS!$I631)</f>
      </c>
      <c r="G631">
        <f>IF(DATOS!$A631="",0,IF(CONFIG_METADATA!$B$4&lt;&gt;"OR+EX",--(DATOS!$G631=CONFIG_METADATA!$B$4),IF(DATOS!$G631="EX",1,IF(DATOS!$G631="OR",--(COUNTIFS(nNIA,DATOS!$A631,nCURSO,DATOS!$D631,nESPEC,DATOS!$E631,nASIG,DATOS!$I631,nEVAL,"EX")=0),0))))</f>
      </c>
      <c r="H631">
        <f>IF(DATOS!$G631&lt;&gt;"EX",0,--(COUNTIFS(nNIA,DATOS!$A631,nCURSO,DATOS!$D631,nESPEC,DATOS!$E631,nASIG,DATOS!$I631,nEVAL,"OR")=0))</f>
      </c>
      <c r="I631">
        <f>IF(DATOS!$I631="","",IFERROR(VLOOKUP(DATOS!$I631,CONFIG_ASIGNATURAS!$B$2:$J$91,9,FALSE()),""))</f>
      </c>
    </row>
    <row r="632">
      <c r="F632">
        <f>IF(DATOS!$A632="","",DATOS!$A632&amp;"|"&amp;DATOS!$D632&amp;"|"&amp;DATOS!$E632&amp;"|"&amp;DATOS!$I632)</f>
      </c>
      <c r="G632">
        <f>IF(DATOS!$A632="",0,IF(CONFIG_METADATA!$B$4&lt;&gt;"OR+EX",--(DATOS!$G632=CONFIG_METADATA!$B$4),IF(DATOS!$G632="EX",1,IF(DATOS!$G632="OR",--(COUNTIFS(nNIA,DATOS!$A632,nCURSO,DATOS!$D632,nESPEC,DATOS!$E632,nASIG,DATOS!$I632,nEVAL,"EX")=0),0))))</f>
      </c>
      <c r="H632">
        <f>IF(DATOS!$G632&lt;&gt;"EX",0,--(COUNTIFS(nNIA,DATOS!$A632,nCURSO,DATOS!$D632,nESPEC,DATOS!$E632,nASIG,DATOS!$I632,nEVAL,"OR")=0))</f>
      </c>
      <c r="I632">
        <f>IF(DATOS!$I632="","",IFERROR(VLOOKUP(DATOS!$I632,CONFIG_ASIGNATURAS!$B$2:$J$91,9,FALSE()),""))</f>
      </c>
    </row>
    <row r="633">
      <c r="F633">
        <f>IF(DATOS!$A633="","",DATOS!$A633&amp;"|"&amp;DATOS!$D633&amp;"|"&amp;DATOS!$E633&amp;"|"&amp;DATOS!$I633)</f>
      </c>
      <c r="G633">
        <f>IF(DATOS!$A633="",0,IF(CONFIG_METADATA!$B$4&lt;&gt;"OR+EX",--(DATOS!$G633=CONFIG_METADATA!$B$4),IF(DATOS!$G633="EX",1,IF(DATOS!$G633="OR",--(COUNTIFS(nNIA,DATOS!$A633,nCURSO,DATOS!$D633,nESPEC,DATOS!$E633,nASIG,DATOS!$I633,nEVAL,"EX")=0),0))))</f>
      </c>
      <c r="H633">
        <f>IF(DATOS!$G633&lt;&gt;"EX",0,--(COUNTIFS(nNIA,DATOS!$A633,nCURSO,DATOS!$D633,nESPEC,DATOS!$E633,nASIG,DATOS!$I633,nEVAL,"OR")=0))</f>
      </c>
      <c r="I633">
        <f>IF(DATOS!$I633="","",IFERROR(VLOOKUP(DATOS!$I633,CONFIG_ASIGNATURAS!$B$2:$J$91,9,FALSE()),""))</f>
      </c>
    </row>
    <row r="634">
      <c r="F634">
        <f>IF(DATOS!$A634="","",DATOS!$A634&amp;"|"&amp;DATOS!$D634&amp;"|"&amp;DATOS!$E634&amp;"|"&amp;DATOS!$I634)</f>
      </c>
      <c r="G634">
        <f>IF(DATOS!$A634="",0,IF(CONFIG_METADATA!$B$4&lt;&gt;"OR+EX",--(DATOS!$G634=CONFIG_METADATA!$B$4),IF(DATOS!$G634="EX",1,IF(DATOS!$G634="OR",--(COUNTIFS(nNIA,DATOS!$A634,nCURSO,DATOS!$D634,nESPEC,DATOS!$E634,nASIG,DATOS!$I634,nEVAL,"EX")=0),0))))</f>
      </c>
      <c r="H634">
        <f>IF(DATOS!$G634&lt;&gt;"EX",0,--(COUNTIFS(nNIA,DATOS!$A634,nCURSO,DATOS!$D634,nESPEC,DATOS!$E634,nASIG,DATOS!$I634,nEVAL,"OR")=0))</f>
      </c>
      <c r="I634">
        <f>IF(DATOS!$I634="","",IFERROR(VLOOKUP(DATOS!$I634,CONFIG_ASIGNATURAS!$B$2:$J$91,9,FALSE()),""))</f>
      </c>
    </row>
    <row r="635">
      <c r="F635">
        <f>IF(DATOS!$A635="","",DATOS!$A635&amp;"|"&amp;DATOS!$D635&amp;"|"&amp;DATOS!$E635&amp;"|"&amp;DATOS!$I635)</f>
      </c>
      <c r="G635">
        <f>IF(DATOS!$A635="",0,IF(CONFIG_METADATA!$B$4&lt;&gt;"OR+EX",--(DATOS!$G635=CONFIG_METADATA!$B$4),IF(DATOS!$G635="EX",1,IF(DATOS!$G635="OR",--(COUNTIFS(nNIA,DATOS!$A635,nCURSO,DATOS!$D635,nESPEC,DATOS!$E635,nASIG,DATOS!$I635,nEVAL,"EX")=0),0))))</f>
      </c>
      <c r="H635">
        <f>IF(DATOS!$G635&lt;&gt;"EX",0,--(COUNTIFS(nNIA,DATOS!$A635,nCURSO,DATOS!$D635,nESPEC,DATOS!$E635,nASIG,DATOS!$I635,nEVAL,"OR")=0))</f>
      </c>
      <c r="I635">
        <f>IF(DATOS!$I635="","",IFERROR(VLOOKUP(DATOS!$I635,CONFIG_ASIGNATURAS!$B$2:$J$91,9,FALSE()),""))</f>
      </c>
    </row>
    <row r="636">
      <c r="F636">
        <f>IF(DATOS!$A636="","",DATOS!$A636&amp;"|"&amp;DATOS!$D636&amp;"|"&amp;DATOS!$E636&amp;"|"&amp;DATOS!$I636)</f>
      </c>
      <c r="G636">
        <f>IF(DATOS!$A636="",0,IF(CONFIG_METADATA!$B$4&lt;&gt;"OR+EX",--(DATOS!$G636=CONFIG_METADATA!$B$4),IF(DATOS!$G636="EX",1,IF(DATOS!$G636="OR",--(COUNTIFS(nNIA,DATOS!$A636,nCURSO,DATOS!$D636,nESPEC,DATOS!$E636,nASIG,DATOS!$I636,nEVAL,"EX")=0),0))))</f>
      </c>
      <c r="H636">
        <f>IF(DATOS!$G636&lt;&gt;"EX",0,--(COUNTIFS(nNIA,DATOS!$A636,nCURSO,DATOS!$D636,nESPEC,DATOS!$E636,nASIG,DATOS!$I636,nEVAL,"OR")=0))</f>
      </c>
      <c r="I636">
        <f>IF(DATOS!$I636="","",IFERROR(VLOOKUP(DATOS!$I636,CONFIG_ASIGNATURAS!$B$2:$J$91,9,FALSE()),""))</f>
      </c>
    </row>
    <row r="637">
      <c r="F637">
        <f>IF(DATOS!$A637="","",DATOS!$A637&amp;"|"&amp;DATOS!$D637&amp;"|"&amp;DATOS!$E637&amp;"|"&amp;DATOS!$I637)</f>
      </c>
      <c r="G637">
        <f>IF(DATOS!$A637="",0,IF(CONFIG_METADATA!$B$4&lt;&gt;"OR+EX",--(DATOS!$G637=CONFIG_METADATA!$B$4),IF(DATOS!$G637="EX",1,IF(DATOS!$G637="OR",--(COUNTIFS(nNIA,DATOS!$A637,nCURSO,DATOS!$D637,nESPEC,DATOS!$E637,nASIG,DATOS!$I637,nEVAL,"EX")=0),0))))</f>
      </c>
      <c r="H637">
        <f>IF(DATOS!$G637&lt;&gt;"EX",0,--(COUNTIFS(nNIA,DATOS!$A637,nCURSO,DATOS!$D637,nESPEC,DATOS!$E637,nASIG,DATOS!$I637,nEVAL,"OR")=0))</f>
      </c>
      <c r="I637">
        <f>IF(DATOS!$I637="","",IFERROR(VLOOKUP(DATOS!$I637,CONFIG_ASIGNATURAS!$B$2:$J$91,9,FALSE()),""))</f>
      </c>
    </row>
    <row r="638">
      <c r="F638">
        <f>IF(DATOS!$A638="","",DATOS!$A638&amp;"|"&amp;DATOS!$D638&amp;"|"&amp;DATOS!$E638&amp;"|"&amp;DATOS!$I638)</f>
      </c>
      <c r="G638">
        <f>IF(DATOS!$A638="",0,IF(CONFIG_METADATA!$B$4&lt;&gt;"OR+EX",--(DATOS!$G638=CONFIG_METADATA!$B$4),IF(DATOS!$G638="EX",1,IF(DATOS!$G638="OR",--(COUNTIFS(nNIA,DATOS!$A638,nCURSO,DATOS!$D638,nESPEC,DATOS!$E638,nASIG,DATOS!$I638,nEVAL,"EX")=0),0))))</f>
      </c>
      <c r="H638">
        <f>IF(DATOS!$G638&lt;&gt;"EX",0,--(COUNTIFS(nNIA,DATOS!$A638,nCURSO,DATOS!$D638,nESPEC,DATOS!$E638,nASIG,DATOS!$I638,nEVAL,"OR")=0))</f>
      </c>
      <c r="I638">
        <f>IF(DATOS!$I638="","",IFERROR(VLOOKUP(DATOS!$I638,CONFIG_ASIGNATURAS!$B$2:$J$91,9,FALSE()),""))</f>
      </c>
    </row>
    <row r="639">
      <c r="F639">
        <f>IF(DATOS!$A639="","",DATOS!$A639&amp;"|"&amp;DATOS!$D639&amp;"|"&amp;DATOS!$E639&amp;"|"&amp;DATOS!$I639)</f>
      </c>
      <c r="G639">
        <f>IF(DATOS!$A639="",0,IF(CONFIG_METADATA!$B$4&lt;&gt;"OR+EX",--(DATOS!$G639=CONFIG_METADATA!$B$4),IF(DATOS!$G639="EX",1,IF(DATOS!$G639="OR",--(COUNTIFS(nNIA,DATOS!$A639,nCURSO,DATOS!$D639,nESPEC,DATOS!$E639,nASIG,DATOS!$I639,nEVAL,"EX")=0),0))))</f>
      </c>
      <c r="H639">
        <f>IF(DATOS!$G639&lt;&gt;"EX",0,--(COUNTIFS(nNIA,DATOS!$A639,nCURSO,DATOS!$D639,nESPEC,DATOS!$E639,nASIG,DATOS!$I639,nEVAL,"OR")=0))</f>
      </c>
      <c r="I639">
        <f>IF(DATOS!$I639="","",IFERROR(VLOOKUP(DATOS!$I639,CONFIG_ASIGNATURAS!$B$2:$J$91,9,FALSE()),""))</f>
      </c>
    </row>
    <row r="640">
      <c r="F640">
        <f>IF(DATOS!$A640="","",DATOS!$A640&amp;"|"&amp;DATOS!$D640&amp;"|"&amp;DATOS!$E640&amp;"|"&amp;DATOS!$I640)</f>
      </c>
      <c r="G640">
        <f>IF(DATOS!$A640="",0,IF(CONFIG_METADATA!$B$4&lt;&gt;"OR+EX",--(DATOS!$G640=CONFIG_METADATA!$B$4),IF(DATOS!$G640="EX",1,IF(DATOS!$G640="OR",--(COUNTIFS(nNIA,DATOS!$A640,nCURSO,DATOS!$D640,nESPEC,DATOS!$E640,nASIG,DATOS!$I640,nEVAL,"EX")=0),0))))</f>
      </c>
      <c r="H640">
        <f>IF(DATOS!$G640&lt;&gt;"EX",0,--(COUNTIFS(nNIA,DATOS!$A640,nCURSO,DATOS!$D640,nESPEC,DATOS!$E640,nASIG,DATOS!$I640,nEVAL,"OR")=0))</f>
      </c>
      <c r="I640">
        <f>IF(DATOS!$I640="","",IFERROR(VLOOKUP(DATOS!$I640,CONFIG_ASIGNATURAS!$B$2:$J$91,9,FALSE()),""))</f>
      </c>
    </row>
    <row r="641">
      <c r="F641">
        <f>IF(DATOS!$A641="","",DATOS!$A641&amp;"|"&amp;DATOS!$D641&amp;"|"&amp;DATOS!$E641&amp;"|"&amp;DATOS!$I641)</f>
      </c>
      <c r="G641">
        <f>IF(DATOS!$A641="",0,IF(CONFIG_METADATA!$B$4&lt;&gt;"OR+EX",--(DATOS!$G641=CONFIG_METADATA!$B$4),IF(DATOS!$G641="EX",1,IF(DATOS!$G641="OR",--(COUNTIFS(nNIA,DATOS!$A641,nCURSO,DATOS!$D641,nESPEC,DATOS!$E641,nASIG,DATOS!$I641,nEVAL,"EX")=0),0))))</f>
      </c>
      <c r="H641">
        <f>IF(DATOS!$G641&lt;&gt;"EX",0,--(COUNTIFS(nNIA,DATOS!$A641,nCURSO,DATOS!$D641,nESPEC,DATOS!$E641,nASIG,DATOS!$I641,nEVAL,"OR")=0))</f>
      </c>
      <c r="I641">
        <f>IF(DATOS!$I641="","",IFERROR(VLOOKUP(DATOS!$I641,CONFIG_ASIGNATURAS!$B$2:$J$91,9,FALSE()),""))</f>
      </c>
    </row>
    <row r="642">
      <c r="F642">
        <f>IF(DATOS!$A642="","",DATOS!$A642&amp;"|"&amp;DATOS!$D642&amp;"|"&amp;DATOS!$E642&amp;"|"&amp;DATOS!$I642)</f>
      </c>
      <c r="G642">
        <f>IF(DATOS!$A642="",0,IF(CONFIG_METADATA!$B$4&lt;&gt;"OR+EX",--(DATOS!$G642=CONFIG_METADATA!$B$4),IF(DATOS!$G642="EX",1,IF(DATOS!$G642="OR",--(COUNTIFS(nNIA,DATOS!$A642,nCURSO,DATOS!$D642,nESPEC,DATOS!$E642,nASIG,DATOS!$I642,nEVAL,"EX")=0),0))))</f>
      </c>
      <c r="H642">
        <f>IF(DATOS!$G642&lt;&gt;"EX",0,--(COUNTIFS(nNIA,DATOS!$A642,nCURSO,DATOS!$D642,nESPEC,DATOS!$E642,nASIG,DATOS!$I642,nEVAL,"OR")=0))</f>
      </c>
      <c r="I642">
        <f>IF(DATOS!$I642="","",IFERROR(VLOOKUP(DATOS!$I642,CONFIG_ASIGNATURAS!$B$2:$J$91,9,FALSE()),""))</f>
      </c>
    </row>
    <row r="643">
      <c r="F643">
        <f>IF(DATOS!$A643="","",DATOS!$A643&amp;"|"&amp;DATOS!$D643&amp;"|"&amp;DATOS!$E643&amp;"|"&amp;DATOS!$I643)</f>
      </c>
      <c r="G643">
        <f>IF(DATOS!$A643="",0,IF(CONFIG_METADATA!$B$4&lt;&gt;"OR+EX",--(DATOS!$G643=CONFIG_METADATA!$B$4),IF(DATOS!$G643="EX",1,IF(DATOS!$G643="OR",--(COUNTIFS(nNIA,DATOS!$A643,nCURSO,DATOS!$D643,nESPEC,DATOS!$E643,nASIG,DATOS!$I643,nEVAL,"EX")=0),0))))</f>
      </c>
      <c r="H643">
        <f>IF(DATOS!$G643&lt;&gt;"EX",0,--(COUNTIFS(nNIA,DATOS!$A643,nCURSO,DATOS!$D643,nESPEC,DATOS!$E643,nASIG,DATOS!$I643,nEVAL,"OR")=0))</f>
      </c>
      <c r="I643">
        <f>IF(DATOS!$I643="","",IFERROR(VLOOKUP(DATOS!$I643,CONFIG_ASIGNATURAS!$B$2:$J$91,9,FALSE()),""))</f>
      </c>
    </row>
    <row r="644">
      <c r="F644">
        <f>IF(DATOS!$A644="","",DATOS!$A644&amp;"|"&amp;DATOS!$D644&amp;"|"&amp;DATOS!$E644&amp;"|"&amp;DATOS!$I644)</f>
      </c>
      <c r="G644">
        <f>IF(DATOS!$A644="",0,IF(CONFIG_METADATA!$B$4&lt;&gt;"OR+EX",--(DATOS!$G644=CONFIG_METADATA!$B$4),IF(DATOS!$G644="EX",1,IF(DATOS!$G644="OR",--(COUNTIFS(nNIA,DATOS!$A644,nCURSO,DATOS!$D644,nESPEC,DATOS!$E644,nASIG,DATOS!$I644,nEVAL,"EX")=0),0))))</f>
      </c>
      <c r="H644">
        <f>IF(DATOS!$G644&lt;&gt;"EX",0,--(COUNTIFS(nNIA,DATOS!$A644,nCURSO,DATOS!$D644,nESPEC,DATOS!$E644,nASIG,DATOS!$I644,nEVAL,"OR")=0))</f>
      </c>
      <c r="I644">
        <f>IF(DATOS!$I644="","",IFERROR(VLOOKUP(DATOS!$I644,CONFIG_ASIGNATURAS!$B$2:$J$91,9,FALSE()),""))</f>
      </c>
    </row>
    <row r="645">
      <c r="F645">
        <f>IF(DATOS!$A645="","",DATOS!$A645&amp;"|"&amp;DATOS!$D645&amp;"|"&amp;DATOS!$E645&amp;"|"&amp;DATOS!$I645)</f>
      </c>
      <c r="G645">
        <f>IF(DATOS!$A645="",0,IF(CONFIG_METADATA!$B$4&lt;&gt;"OR+EX",--(DATOS!$G645=CONFIG_METADATA!$B$4),IF(DATOS!$G645="EX",1,IF(DATOS!$G645="OR",--(COUNTIFS(nNIA,DATOS!$A645,nCURSO,DATOS!$D645,nESPEC,DATOS!$E645,nASIG,DATOS!$I645,nEVAL,"EX")=0),0))))</f>
      </c>
      <c r="H645">
        <f>IF(DATOS!$G645&lt;&gt;"EX",0,--(COUNTIFS(nNIA,DATOS!$A645,nCURSO,DATOS!$D645,nESPEC,DATOS!$E645,nASIG,DATOS!$I645,nEVAL,"OR")=0))</f>
      </c>
      <c r="I645">
        <f>IF(DATOS!$I645="","",IFERROR(VLOOKUP(DATOS!$I645,CONFIG_ASIGNATURAS!$B$2:$J$91,9,FALSE()),""))</f>
      </c>
    </row>
    <row r="646">
      <c r="F646">
        <f>IF(DATOS!$A646="","",DATOS!$A646&amp;"|"&amp;DATOS!$D646&amp;"|"&amp;DATOS!$E646&amp;"|"&amp;DATOS!$I646)</f>
      </c>
      <c r="G646">
        <f>IF(DATOS!$A646="",0,IF(CONFIG_METADATA!$B$4&lt;&gt;"OR+EX",--(DATOS!$G646=CONFIG_METADATA!$B$4),IF(DATOS!$G646="EX",1,IF(DATOS!$G646="OR",--(COUNTIFS(nNIA,DATOS!$A646,nCURSO,DATOS!$D646,nESPEC,DATOS!$E646,nASIG,DATOS!$I646,nEVAL,"EX")=0),0))))</f>
      </c>
      <c r="H646">
        <f>IF(DATOS!$G646&lt;&gt;"EX",0,--(COUNTIFS(nNIA,DATOS!$A646,nCURSO,DATOS!$D646,nESPEC,DATOS!$E646,nASIG,DATOS!$I646,nEVAL,"OR")=0))</f>
      </c>
      <c r="I646">
        <f>IF(DATOS!$I646="","",IFERROR(VLOOKUP(DATOS!$I646,CONFIG_ASIGNATURAS!$B$2:$J$91,9,FALSE()),""))</f>
      </c>
    </row>
    <row r="647">
      <c r="F647">
        <f>IF(DATOS!$A647="","",DATOS!$A647&amp;"|"&amp;DATOS!$D647&amp;"|"&amp;DATOS!$E647&amp;"|"&amp;DATOS!$I647)</f>
      </c>
      <c r="G647">
        <f>IF(DATOS!$A647="",0,IF(CONFIG_METADATA!$B$4&lt;&gt;"OR+EX",--(DATOS!$G647=CONFIG_METADATA!$B$4),IF(DATOS!$G647="EX",1,IF(DATOS!$G647="OR",--(COUNTIFS(nNIA,DATOS!$A647,nCURSO,DATOS!$D647,nESPEC,DATOS!$E647,nASIG,DATOS!$I647,nEVAL,"EX")=0),0))))</f>
      </c>
      <c r="H647">
        <f>IF(DATOS!$G647&lt;&gt;"EX",0,--(COUNTIFS(nNIA,DATOS!$A647,nCURSO,DATOS!$D647,nESPEC,DATOS!$E647,nASIG,DATOS!$I647,nEVAL,"OR")=0))</f>
      </c>
      <c r="I647">
        <f>IF(DATOS!$I647="","",IFERROR(VLOOKUP(DATOS!$I647,CONFIG_ASIGNATURAS!$B$2:$J$91,9,FALSE()),""))</f>
      </c>
    </row>
    <row r="648">
      <c r="F648">
        <f>IF(DATOS!$A648="","",DATOS!$A648&amp;"|"&amp;DATOS!$D648&amp;"|"&amp;DATOS!$E648&amp;"|"&amp;DATOS!$I648)</f>
      </c>
      <c r="G648">
        <f>IF(DATOS!$A648="",0,IF(CONFIG_METADATA!$B$4&lt;&gt;"OR+EX",--(DATOS!$G648=CONFIG_METADATA!$B$4),IF(DATOS!$G648="EX",1,IF(DATOS!$G648="OR",--(COUNTIFS(nNIA,DATOS!$A648,nCURSO,DATOS!$D648,nESPEC,DATOS!$E648,nASIG,DATOS!$I648,nEVAL,"EX")=0),0))))</f>
      </c>
      <c r="H648">
        <f>IF(DATOS!$G648&lt;&gt;"EX",0,--(COUNTIFS(nNIA,DATOS!$A648,nCURSO,DATOS!$D648,nESPEC,DATOS!$E648,nASIG,DATOS!$I648,nEVAL,"OR")=0))</f>
      </c>
      <c r="I648">
        <f>IF(DATOS!$I648="","",IFERROR(VLOOKUP(DATOS!$I648,CONFIG_ASIGNATURAS!$B$2:$J$91,9,FALSE()),""))</f>
      </c>
    </row>
    <row r="649">
      <c r="F649">
        <f>IF(DATOS!$A649="","",DATOS!$A649&amp;"|"&amp;DATOS!$D649&amp;"|"&amp;DATOS!$E649&amp;"|"&amp;DATOS!$I649)</f>
      </c>
      <c r="G649">
        <f>IF(DATOS!$A649="",0,IF(CONFIG_METADATA!$B$4&lt;&gt;"OR+EX",--(DATOS!$G649=CONFIG_METADATA!$B$4),IF(DATOS!$G649="EX",1,IF(DATOS!$G649="OR",--(COUNTIFS(nNIA,DATOS!$A649,nCURSO,DATOS!$D649,nESPEC,DATOS!$E649,nASIG,DATOS!$I649,nEVAL,"EX")=0),0))))</f>
      </c>
      <c r="H649">
        <f>IF(DATOS!$G649&lt;&gt;"EX",0,--(COUNTIFS(nNIA,DATOS!$A649,nCURSO,DATOS!$D649,nESPEC,DATOS!$E649,nASIG,DATOS!$I649,nEVAL,"OR")=0))</f>
      </c>
      <c r="I649">
        <f>IF(DATOS!$I649="","",IFERROR(VLOOKUP(DATOS!$I649,CONFIG_ASIGNATURAS!$B$2:$J$91,9,FALSE()),""))</f>
      </c>
    </row>
    <row r="650">
      <c r="F650">
        <f>IF(DATOS!$A650="","",DATOS!$A650&amp;"|"&amp;DATOS!$D650&amp;"|"&amp;DATOS!$E650&amp;"|"&amp;DATOS!$I650)</f>
      </c>
      <c r="G650">
        <f>IF(DATOS!$A650="",0,IF(CONFIG_METADATA!$B$4&lt;&gt;"OR+EX",--(DATOS!$G650=CONFIG_METADATA!$B$4),IF(DATOS!$G650="EX",1,IF(DATOS!$G650="OR",--(COUNTIFS(nNIA,DATOS!$A650,nCURSO,DATOS!$D650,nESPEC,DATOS!$E650,nASIG,DATOS!$I650,nEVAL,"EX")=0),0))))</f>
      </c>
      <c r="H650">
        <f>IF(DATOS!$G650&lt;&gt;"EX",0,--(COUNTIFS(nNIA,DATOS!$A650,nCURSO,DATOS!$D650,nESPEC,DATOS!$E650,nASIG,DATOS!$I650,nEVAL,"OR")=0))</f>
      </c>
      <c r="I650">
        <f>IF(DATOS!$I650="","",IFERROR(VLOOKUP(DATOS!$I650,CONFIG_ASIGNATURAS!$B$2:$J$91,9,FALSE()),""))</f>
      </c>
    </row>
    <row r="651">
      <c r="F651">
        <f>IF(DATOS!$A651="","",DATOS!$A651&amp;"|"&amp;DATOS!$D651&amp;"|"&amp;DATOS!$E651&amp;"|"&amp;DATOS!$I651)</f>
      </c>
      <c r="G651">
        <f>IF(DATOS!$A651="",0,IF(CONFIG_METADATA!$B$4&lt;&gt;"OR+EX",--(DATOS!$G651=CONFIG_METADATA!$B$4),IF(DATOS!$G651="EX",1,IF(DATOS!$G651="OR",--(COUNTIFS(nNIA,DATOS!$A651,nCURSO,DATOS!$D651,nESPEC,DATOS!$E651,nASIG,DATOS!$I651,nEVAL,"EX")=0),0))))</f>
      </c>
      <c r="H651">
        <f>IF(DATOS!$G651&lt;&gt;"EX",0,--(COUNTIFS(nNIA,DATOS!$A651,nCURSO,DATOS!$D651,nESPEC,DATOS!$E651,nASIG,DATOS!$I651,nEVAL,"OR")=0))</f>
      </c>
      <c r="I651">
        <f>IF(DATOS!$I651="","",IFERROR(VLOOKUP(DATOS!$I651,CONFIG_ASIGNATURAS!$B$2:$J$91,9,FALSE()),""))</f>
      </c>
    </row>
    <row r="652">
      <c r="F652">
        <f>IF(DATOS!$A652="","",DATOS!$A652&amp;"|"&amp;DATOS!$D652&amp;"|"&amp;DATOS!$E652&amp;"|"&amp;DATOS!$I652)</f>
      </c>
      <c r="G652">
        <f>IF(DATOS!$A652="",0,IF(CONFIG_METADATA!$B$4&lt;&gt;"OR+EX",--(DATOS!$G652=CONFIG_METADATA!$B$4),IF(DATOS!$G652="EX",1,IF(DATOS!$G652="OR",--(COUNTIFS(nNIA,DATOS!$A652,nCURSO,DATOS!$D652,nESPEC,DATOS!$E652,nASIG,DATOS!$I652,nEVAL,"EX")=0),0))))</f>
      </c>
      <c r="H652">
        <f>IF(DATOS!$G652&lt;&gt;"EX",0,--(COUNTIFS(nNIA,DATOS!$A652,nCURSO,DATOS!$D652,nESPEC,DATOS!$E652,nASIG,DATOS!$I652,nEVAL,"OR")=0))</f>
      </c>
      <c r="I652">
        <f>IF(DATOS!$I652="","",IFERROR(VLOOKUP(DATOS!$I652,CONFIG_ASIGNATURAS!$B$2:$J$91,9,FALSE()),""))</f>
      </c>
    </row>
    <row r="653">
      <c r="F653">
        <f>IF(DATOS!$A653="","",DATOS!$A653&amp;"|"&amp;DATOS!$D653&amp;"|"&amp;DATOS!$E653&amp;"|"&amp;DATOS!$I653)</f>
      </c>
      <c r="G653">
        <f>IF(DATOS!$A653="",0,IF(CONFIG_METADATA!$B$4&lt;&gt;"OR+EX",--(DATOS!$G653=CONFIG_METADATA!$B$4),IF(DATOS!$G653="EX",1,IF(DATOS!$G653="OR",--(COUNTIFS(nNIA,DATOS!$A653,nCURSO,DATOS!$D653,nESPEC,DATOS!$E653,nASIG,DATOS!$I653,nEVAL,"EX")=0),0))))</f>
      </c>
      <c r="H653">
        <f>IF(DATOS!$G653&lt;&gt;"EX",0,--(COUNTIFS(nNIA,DATOS!$A653,nCURSO,DATOS!$D653,nESPEC,DATOS!$E653,nASIG,DATOS!$I653,nEVAL,"OR")=0))</f>
      </c>
      <c r="I653">
        <f>IF(DATOS!$I653="","",IFERROR(VLOOKUP(DATOS!$I653,CONFIG_ASIGNATURAS!$B$2:$J$91,9,FALSE()),""))</f>
      </c>
    </row>
    <row r="654">
      <c r="F654">
        <f>IF(DATOS!$A654="","",DATOS!$A654&amp;"|"&amp;DATOS!$D654&amp;"|"&amp;DATOS!$E654&amp;"|"&amp;DATOS!$I654)</f>
      </c>
      <c r="G654">
        <f>IF(DATOS!$A654="",0,IF(CONFIG_METADATA!$B$4&lt;&gt;"OR+EX",--(DATOS!$G654=CONFIG_METADATA!$B$4),IF(DATOS!$G654="EX",1,IF(DATOS!$G654="OR",--(COUNTIFS(nNIA,DATOS!$A654,nCURSO,DATOS!$D654,nESPEC,DATOS!$E654,nASIG,DATOS!$I654,nEVAL,"EX")=0),0))))</f>
      </c>
      <c r="H654">
        <f>IF(DATOS!$G654&lt;&gt;"EX",0,--(COUNTIFS(nNIA,DATOS!$A654,nCURSO,DATOS!$D654,nESPEC,DATOS!$E654,nASIG,DATOS!$I654,nEVAL,"OR")=0))</f>
      </c>
      <c r="I654">
        <f>IF(DATOS!$I654="","",IFERROR(VLOOKUP(DATOS!$I654,CONFIG_ASIGNATURAS!$B$2:$J$91,9,FALSE()),""))</f>
      </c>
    </row>
    <row r="655">
      <c r="F655">
        <f>IF(DATOS!$A655="","",DATOS!$A655&amp;"|"&amp;DATOS!$D655&amp;"|"&amp;DATOS!$E655&amp;"|"&amp;DATOS!$I655)</f>
      </c>
      <c r="G655">
        <f>IF(DATOS!$A655="",0,IF(CONFIG_METADATA!$B$4&lt;&gt;"OR+EX",--(DATOS!$G655=CONFIG_METADATA!$B$4),IF(DATOS!$G655="EX",1,IF(DATOS!$G655="OR",--(COUNTIFS(nNIA,DATOS!$A655,nCURSO,DATOS!$D655,nESPEC,DATOS!$E655,nASIG,DATOS!$I655,nEVAL,"EX")=0),0))))</f>
      </c>
      <c r="H655">
        <f>IF(DATOS!$G655&lt;&gt;"EX",0,--(COUNTIFS(nNIA,DATOS!$A655,nCURSO,DATOS!$D655,nESPEC,DATOS!$E655,nASIG,DATOS!$I655,nEVAL,"OR")=0))</f>
      </c>
      <c r="I655">
        <f>IF(DATOS!$I655="","",IFERROR(VLOOKUP(DATOS!$I655,CONFIG_ASIGNATURAS!$B$2:$J$91,9,FALSE()),""))</f>
      </c>
    </row>
    <row r="656">
      <c r="F656">
        <f>IF(DATOS!$A656="","",DATOS!$A656&amp;"|"&amp;DATOS!$D656&amp;"|"&amp;DATOS!$E656&amp;"|"&amp;DATOS!$I656)</f>
      </c>
      <c r="G656">
        <f>IF(DATOS!$A656="",0,IF(CONFIG_METADATA!$B$4&lt;&gt;"OR+EX",--(DATOS!$G656=CONFIG_METADATA!$B$4),IF(DATOS!$G656="EX",1,IF(DATOS!$G656="OR",--(COUNTIFS(nNIA,DATOS!$A656,nCURSO,DATOS!$D656,nESPEC,DATOS!$E656,nASIG,DATOS!$I656,nEVAL,"EX")=0),0))))</f>
      </c>
      <c r="H656">
        <f>IF(DATOS!$G656&lt;&gt;"EX",0,--(COUNTIFS(nNIA,DATOS!$A656,nCURSO,DATOS!$D656,nESPEC,DATOS!$E656,nASIG,DATOS!$I656,nEVAL,"OR")=0))</f>
      </c>
      <c r="I656">
        <f>IF(DATOS!$I656="","",IFERROR(VLOOKUP(DATOS!$I656,CONFIG_ASIGNATURAS!$B$2:$J$91,9,FALSE()),""))</f>
      </c>
    </row>
    <row r="657">
      <c r="F657">
        <f>IF(DATOS!$A657="","",DATOS!$A657&amp;"|"&amp;DATOS!$D657&amp;"|"&amp;DATOS!$E657&amp;"|"&amp;DATOS!$I657)</f>
      </c>
      <c r="G657">
        <f>IF(DATOS!$A657="",0,IF(CONFIG_METADATA!$B$4&lt;&gt;"OR+EX",--(DATOS!$G657=CONFIG_METADATA!$B$4),IF(DATOS!$G657="EX",1,IF(DATOS!$G657="OR",--(COUNTIFS(nNIA,DATOS!$A657,nCURSO,DATOS!$D657,nESPEC,DATOS!$E657,nASIG,DATOS!$I657,nEVAL,"EX")=0),0))))</f>
      </c>
      <c r="H657">
        <f>IF(DATOS!$G657&lt;&gt;"EX",0,--(COUNTIFS(nNIA,DATOS!$A657,nCURSO,DATOS!$D657,nESPEC,DATOS!$E657,nASIG,DATOS!$I657,nEVAL,"OR")=0))</f>
      </c>
      <c r="I657">
        <f>IF(DATOS!$I657="","",IFERROR(VLOOKUP(DATOS!$I657,CONFIG_ASIGNATURAS!$B$2:$J$91,9,FALSE()),""))</f>
      </c>
    </row>
    <row r="658">
      <c r="F658">
        <f>IF(DATOS!$A658="","",DATOS!$A658&amp;"|"&amp;DATOS!$D658&amp;"|"&amp;DATOS!$E658&amp;"|"&amp;DATOS!$I658)</f>
      </c>
      <c r="G658">
        <f>IF(DATOS!$A658="",0,IF(CONFIG_METADATA!$B$4&lt;&gt;"OR+EX",--(DATOS!$G658=CONFIG_METADATA!$B$4),IF(DATOS!$G658="EX",1,IF(DATOS!$G658="OR",--(COUNTIFS(nNIA,DATOS!$A658,nCURSO,DATOS!$D658,nESPEC,DATOS!$E658,nASIG,DATOS!$I658,nEVAL,"EX")=0),0))))</f>
      </c>
      <c r="H658">
        <f>IF(DATOS!$G658&lt;&gt;"EX",0,--(COUNTIFS(nNIA,DATOS!$A658,nCURSO,DATOS!$D658,nESPEC,DATOS!$E658,nASIG,DATOS!$I658,nEVAL,"OR")=0))</f>
      </c>
      <c r="I658">
        <f>IF(DATOS!$I658="","",IFERROR(VLOOKUP(DATOS!$I658,CONFIG_ASIGNATURAS!$B$2:$J$91,9,FALSE()),""))</f>
      </c>
    </row>
    <row r="659">
      <c r="F659">
        <f>IF(DATOS!$A659="","",DATOS!$A659&amp;"|"&amp;DATOS!$D659&amp;"|"&amp;DATOS!$E659&amp;"|"&amp;DATOS!$I659)</f>
      </c>
      <c r="G659">
        <f>IF(DATOS!$A659="",0,IF(CONFIG_METADATA!$B$4&lt;&gt;"OR+EX",--(DATOS!$G659=CONFIG_METADATA!$B$4),IF(DATOS!$G659="EX",1,IF(DATOS!$G659="OR",--(COUNTIFS(nNIA,DATOS!$A659,nCURSO,DATOS!$D659,nESPEC,DATOS!$E659,nASIG,DATOS!$I659,nEVAL,"EX")=0),0))))</f>
      </c>
      <c r="H659">
        <f>IF(DATOS!$G659&lt;&gt;"EX",0,--(COUNTIFS(nNIA,DATOS!$A659,nCURSO,DATOS!$D659,nESPEC,DATOS!$E659,nASIG,DATOS!$I659,nEVAL,"OR")=0))</f>
      </c>
      <c r="I659">
        <f>IF(DATOS!$I659="","",IFERROR(VLOOKUP(DATOS!$I659,CONFIG_ASIGNATURAS!$B$2:$J$91,9,FALSE()),""))</f>
      </c>
    </row>
    <row r="660">
      <c r="F660">
        <f>IF(DATOS!$A660="","",DATOS!$A660&amp;"|"&amp;DATOS!$D660&amp;"|"&amp;DATOS!$E660&amp;"|"&amp;DATOS!$I660)</f>
      </c>
      <c r="G660">
        <f>IF(DATOS!$A660="",0,IF(CONFIG_METADATA!$B$4&lt;&gt;"OR+EX",--(DATOS!$G660=CONFIG_METADATA!$B$4),IF(DATOS!$G660="EX",1,IF(DATOS!$G660="OR",--(COUNTIFS(nNIA,DATOS!$A660,nCURSO,DATOS!$D660,nESPEC,DATOS!$E660,nASIG,DATOS!$I660,nEVAL,"EX")=0),0))))</f>
      </c>
      <c r="H660">
        <f>IF(DATOS!$G660&lt;&gt;"EX",0,--(COUNTIFS(nNIA,DATOS!$A660,nCURSO,DATOS!$D660,nESPEC,DATOS!$E660,nASIG,DATOS!$I660,nEVAL,"OR")=0))</f>
      </c>
      <c r="I660">
        <f>IF(DATOS!$I660="","",IFERROR(VLOOKUP(DATOS!$I660,CONFIG_ASIGNATURAS!$B$2:$J$91,9,FALSE()),""))</f>
      </c>
    </row>
    <row r="661">
      <c r="F661">
        <f>IF(DATOS!$A661="","",DATOS!$A661&amp;"|"&amp;DATOS!$D661&amp;"|"&amp;DATOS!$E661&amp;"|"&amp;DATOS!$I661)</f>
      </c>
      <c r="G661">
        <f>IF(DATOS!$A661="",0,IF(CONFIG_METADATA!$B$4&lt;&gt;"OR+EX",--(DATOS!$G661=CONFIG_METADATA!$B$4),IF(DATOS!$G661="EX",1,IF(DATOS!$G661="OR",--(COUNTIFS(nNIA,DATOS!$A661,nCURSO,DATOS!$D661,nESPEC,DATOS!$E661,nASIG,DATOS!$I661,nEVAL,"EX")=0),0))))</f>
      </c>
      <c r="H661">
        <f>IF(DATOS!$G661&lt;&gt;"EX",0,--(COUNTIFS(nNIA,DATOS!$A661,nCURSO,DATOS!$D661,nESPEC,DATOS!$E661,nASIG,DATOS!$I661,nEVAL,"OR")=0))</f>
      </c>
      <c r="I661">
        <f>IF(DATOS!$I661="","",IFERROR(VLOOKUP(DATOS!$I661,CONFIG_ASIGNATURAS!$B$2:$J$91,9,FALSE()),""))</f>
      </c>
    </row>
    <row r="662">
      <c r="F662">
        <f>IF(DATOS!$A662="","",DATOS!$A662&amp;"|"&amp;DATOS!$D662&amp;"|"&amp;DATOS!$E662&amp;"|"&amp;DATOS!$I662)</f>
      </c>
      <c r="G662">
        <f>IF(DATOS!$A662="",0,IF(CONFIG_METADATA!$B$4&lt;&gt;"OR+EX",--(DATOS!$G662=CONFIG_METADATA!$B$4),IF(DATOS!$G662="EX",1,IF(DATOS!$G662="OR",--(COUNTIFS(nNIA,DATOS!$A662,nCURSO,DATOS!$D662,nESPEC,DATOS!$E662,nASIG,DATOS!$I662,nEVAL,"EX")=0),0))))</f>
      </c>
      <c r="H662">
        <f>IF(DATOS!$G662&lt;&gt;"EX",0,--(COUNTIFS(nNIA,DATOS!$A662,nCURSO,DATOS!$D662,nESPEC,DATOS!$E662,nASIG,DATOS!$I662,nEVAL,"OR")=0))</f>
      </c>
      <c r="I662">
        <f>IF(DATOS!$I662="","",IFERROR(VLOOKUP(DATOS!$I662,CONFIG_ASIGNATURAS!$B$2:$J$91,9,FALSE()),""))</f>
      </c>
    </row>
    <row r="663">
      <c r="F663">
        <f>IF(DATOS!$A663="","",DATOS!$A663&amp;"|"&amp;DATOS!$D663&amp;"|"&amp;DATOS!$E663&amp;"|"&amp;DATOS!$I663)</f>
      </c>
      <c r="G663">
        <f>IF(DATOS!$A663="",0,IF(CONFIG_METADATA!$B$4&lt;&gt;"OR+EX",--(DATOS!$G663=CONFIG_METADATA!$B$4),IF(DATOS!$G663="EX",1,IF(DATOS!$G663="OR",--(COUNTIFS(nNIA,DATOS!$A663,nCURSO,DATOS!$D663,nESPEC,DATOS!$E663,nASIG,DATOS!$I663,nEVAL,"EX")=0),0))))</f>
      </c>
      <c r="H663">
        <f>IF(DATOS!$G663&lt;&gt;"EX",0,--(COUNTIFS(nNIA,DATOS!$A663,nCURSO,DATOS!$D663,nESPEC,DATOS!$E663,nASIG,DATOS!$I663,nEVAL,"OR")=0))</f>
      </c>
      <c r="I663">
        <f>IF(DATOS!$I663="","",IFERROR(VLOOKUP(DATOS!$I663,CONFIG_ASIGNATURAS!$B$2:$J$91,9,FALSE()),""))</f>
      </c>
    </row>
    <row r="664">
      <c r="F664">
        <f>IF(DATOS!$A664="","",DATOS!$A664&amp;"|"&amp;DATOS!$D664&amp;"|"&amp;DATOS!$E664&amp;"|"&amp;DATOS!$I664)</f>
      </c>
      <c r="G664">
        <f>IF(DATOS!$A664="",0,IF(CONFIG_METADATA!$B$4&lt;&gt;"OR+EX",--(DATOS!$G664=CONFIG_METADATA!$B$4),IF(DATOS!$G664="EX",1,IF(DATOS!$G664="OR",--(COUNTIFS(nNIA,DATOS!$A664,nCURSO,DATOS!$D664,nESPEC,DATOS!$E664,nASIG,DATOS!$I664,nEVAL,"EX")=0),0))))</f>
      </c>
      <c r="H664">
        <f>IF(DATOS!$G664&lt;&gt;"EX",0,--(COUNTIFS(nNIA,DATOS!$A664,nCURSO,DATOS!$D664,nESPEC,DATOS!$E664,nASIG,DATOS!$I664,nEVAL,"OR")=0))</f>
      </c>
      <c r="I664">
        <f>IF(DATOS!$I664="","",IFERROR(VLOOKUP(DATOS!$I664,CONFIG_ASIGNATURAS!$B$2:$J$91,9,FALSE()),""))</f>
      </c>
    </row>
    <row r="665">
      <c r="F665">
        <f>IF(DATOS!$A665="","",DATOS!$A665&amp;"|"&amp;DATOS!$D665&amp;"|"&amp;DATOS!$E665&amp;"|"&amp;DATOS!$I665)</f>
      </c>
      <c r="G665">
        <f>IF(DATOS!$A665="",0,IF(CONFIG_METADATA!$B$4&lt;&gt;"OR+EX",--(DATOS!$G665=CONFIG_METADATA!$B$4),IF(DATOS!$G665="EX",1,IF(DATOS!$G665="OR",--(COUNTIFS(nNIA,DATOS!$A665,nCURSO,DATOS!$D665,nESPEC,DATOS!$E665,nASIG,DATOS!$I665,nEVAL,"EX")=0),0))))</f>
      </c>
      <c r="H665">
        <f>IF(DATOS!$G665&lt;&gt;"EX",0,--(COUNTIFS(nNIA,DATOS!$A665,nCURSO,DATOS!$D665,nESPEC,DATOS!$E665,nASIG,DATOS!$I665,nEVAL,"OR")=0))</f>
      </c>
      <c r="I665">
        <f>IF(DATOS!$I665="","",IFERROR(VLOOKUP(DATOS!$I665,CONFIG_ASIGNATURAS!$B$2:$J$91,9,FALSE()),""))</f>
      </c>
    </row>
    <row r="666">
      <c r="F666">
        <f>IF(DATOS!$A666="","",DATOS!$A666&amp;"|"&amp;DATOS!$D666&amp;"|"&amp;DATOS!$E666&amp;"|"&amp;DATOS!$I666)</f>
      </c>
      <c r="G666">
        <f>IF(DATOS!$A666="",0,IF(CONFIG_METADATA!$B$4&lt;&gt;"OR+EX",--(DATOS!$G666=CONFIG_METADATA!$B$4),IF(DATOS!$G666="EX",1,IF(DATOS!$G666="OR",--(COUNTIFS(nNIA,DATOS!$A666,nCURSO,DATOS!$D666,nESPEC,DATOS!$E666,nASIG,DATOS!$I666,nEVAL,"EX")=0),0))))</f>
      </c>
      <c r="H666">
        <f>IF(DATOS!$G666&lt;&gt;"EX",0,--(COUNTIFS(nNIA,DATOS!$A666,nCURSO,DATOS!$D666,nESPEC,DATOS!$E666,nASIG,DATOS!$I666,nEVAL,"OR")=0))</f>
      </c>
      <c r="I666">
        <f>IF(DATOS!$I666="","",IFERROR(VLOOKUP(DATOS!$I666,CONFIG_ASIGNATURAS!$B$2:$J$91,9,FALSE()),""))</f>
      </c>
    </row>
    <row r="667">
      <c r="F667">
        <f>IF(DATOS!$A667="","",DATOS!$A667&amp;"|"&amp;DATOS!$D667&amp;"|"&amp;DATOS!$E667&amp;"|"&amp;DATOS!$I667)</f>
      </c>
      <c r="G667">
        <f>IF(DATOS!$A667="",0,IF(CONFIG_METADATA!$B$4&lt;&gt;"OR+EX",--(DATOS!$G667=CONFIG_METADATA!$B$4),IF(DATOS!$G667="EX",1,IF(DATOS!$G667="OR",--(COUNTIFS(nNIA,DATOS!$A667,nCURSO,DATOS!$D667,nESPEC,DATOS!$E667,nASIG,DATOS!$I667,nEVAL,"EX")=0),0))))</f>
      </c>
      <c r="H667">
        <f>IF(DATOS!$G667&lt;&gt;"EX",0,--(COUNTIFS(nNIA,DATOS!$A667,nCURSO,DATOS!$D667,nESPEC,DATOS!$E667,nASIG,DATOS!$I667,nEVAL,"OR")=0))</f>
      </c>
      <c r="I667">
        <f>IF(DATOS!$I667="","",IFERROR(VLOOKUP(DATOS!$I667,CONFIG_ASIGNATURAS!$B$2:$J$91,9,FALSE()),""))</f>
      </c>
    </row>
    <row r="668">
      <c r="F668">
        <f>IF(DATOS!$A668="","",DATOS!$A668&amp;"|"&amp;DATOS!$D668&amp;"|"&amp;DATOS!$E668&amp;"|"&amp;DATOS!$I668)</f>
      </c>
      <c r="G668">
        <f>IF(DATOS!$A668="",0,IF(CONFIG_METADATA!$B$4&lt;&gt;"OR+EX",--(DATOS!$G668=CONFIG_METADATA!$B$4),IF(DATOS!$G668="EX",1,IF(DATOS!$G668="OR",--(COUNTIFS(nNIA,DATOS!$A668,nCURSO,DATOS!$D668,nESPEC,DATOS!$E668,nASIG,DATOS!$I668,nEVAL,"EX")=0),0))))</f>
      </c>
      <c r="H668">
        <f>IF(DATOS!$G668&lt;&gt;"EX",0,--(COUNTIFS(nNIA,DATOS!$A668,nCURSO,DATOS!$D668,nESPEC,DATOS!$E668,nASIG,DATOS!$I668,nEVAL,"OR")=0))</f>
      </c>
      <c r="I668">
        <f>IF(DATOS!$I668="","",IFERROR(VLOOKUP(DATOS!$I668,CONFIG_ASIGNATURAS!$B$2:$J$91,9,FALSE()),""))</f>
      </c>
    </row>
    <row r="669">
      <c r="F669">
        <f>IF(DATOS!$A669="","",DATOS!$A669&amp;"|"&amp;DATOS!$D669&amp;"|"&amp;DATOS!$E669&amp;"|"&amp;DATOS!$I669)</f>
      </c>
      <c r="G669">
        <f>IF(DATOS!$A669="",0,IF(CONFIG_METADATA!$B$4&lt;&gt;"OR+EX",--(DATOS!$G669=CONFIG_METADATA!$B$4),IF(DATOS!$G669="EX",1,IF(DATOS!$G669="OR",--(COUNTIFS(nNIA,DATOS!$A669,nCURSO,DATOS!$D669,nESPEC,DATOS!$E669,nASIG,DATOS!$I669,nEVAL,"EX")=0),0))))</f>
      </c>
      <c r="H669">
        <f>IF(DATOS!$G669&lt;&gt;"EX",0,--(COUNTIFS(nNIA,DATOS!$A669,nCURSO,DATOS!$D669,nESPEC,DATOS!$E669,nASIG,DATOS!$I669,nEVAL,"OR")=0))</f>
      </c>
      <c r="I669">
        <f>IF(DATOS!$I669="","",IFERROR(VLOOKUP(DATOS!$I669,CONFIG_ASIGNATURAS!$B$2:$J$91,9,FALSE()),""))</f>
      </c>
    </row>
    <row r="670">
      <c r="F670">
        <f>IF(DATOS!$A670="","",DATOS!$A670&amp;"|"&amp;DATOS!$D670&amp;"|"&amp;DATOS!$E670&amp;"|"&amp;DATOS!$I670)</f>
      </c>
      <c r="G670">
        <f>IF(DATOS!$A670="",0,IF(CONFIG_METADATA!$B$4&lt;&gt;"OR+EX",--(DATOS!$G670=CONFIG_METADATA!$B$4),IF(DATOS!$G670="EX",1,IF(DATOS!$G670="OR",--(COUNTIFS(nNIA,DATOS!$A670,nCURSO,DATOS!$D670,nESPEC,DATOS!$E670,nASIG,DATOS!$I670,nEVAL,"EX")=0),0))))</f>
      </c>
      <c r="H670">
        <f>IF(DATOS!$G670&lt;&gt;"EX",0,--(COUNTIFS(nNIA,DATOS!$A670,nCURSO,DATOS!$D670,nESPEC,DATOS!$E670,nASIG,DATOS!$I670,nEVAL,"OR")=0))</f>
      </c>
      <c r="I670">
        <f>IF(DATOS!$I670="","",IFERROR(VLOOKUP(DATOS!$I670,CONFIG_ASIGNATURAS!$B$2:$J$91,9,FALSE()),""))</f>
      </c>
    </row>
    <row r="671">
      <c r="F671">
        <f>IF(DATOS!$A671="","",DATOS!$A671&amp;"|"&amp;DATOS!$D671&amp;"|"&amp;DATOS!$E671&amp;"|"&amp;DATOS!$I671)</f>
      </c>
      <c r="G671">
        <f>IF(DATOS!$A671="",0,IF(CONFIG_METADATA!$B$4&lt;&gt;"OR+EX",--(DATOS!$G671=CONFIG_METADATA!$B$4),IF(DATOS!$G671="EX",1,IF(DATOS!$G671="OR",--(COUNTIFS(nNIA,DATOS!$A671,nCURSO,DATOS!$D671,nESPEC,DATOS!$E671,nASIG,DATOS!$I671,nEVAL,"EX")=0),0))))</f>
      </c>
      <c r="H671">
        <f>IF(DATOS!$G671&lt;&gt;"EX",0,--(COUNTIFS(nNIA,DATOS!$A671,nCURSO,DATOS!$D671,nESPEC,DATOS!$E671,nASIG,DATOS!$I671,nEVAL,"OR")=0))</f>
      </c>
      <c r="I671">
        <f>IF(DATOS!$I671="","",IFERROR(VLOOKUP(DATOS!$I671,CONFIG_ASIGNATURAS!$B$2:$J$91,9,FALSE()),""))</f>
      </c>
    </row>
    <row r="672">
      <c r="F672">
        <f>IF(DATOS!$A672="","",DATOS!$A672&amp;"|"&amp;DATOS!$D672&amp;"|"&amp;DATOS!$E672&amp;"|"&amp;DATOS!$I672)</f>
      </c>
      <c r="G672">
        <f>IF(DATOS!$A672="",0,IF(CONFIG_METADATA!$B$4&lt;&gt;"OR+EX",--(DATOS!$G672=CONFIG_METADATA!$B$4),IF(DATOS!$G672="EX",1,IF(DATOS!$G672="OR",--(COUNTIFS(nNIA,DATOS!$A672,nCURSO,DATOS!$D672,nESPEC,DATOS!$E672,nASIG,DATOS!$I672,nEVAL,"EX")=0),0))))</f>
      </c>
      <c r="H672">
        <f>IF(DATOS!$G672&lt;&gt;"EX",0,--(COUNTIFS(nNIA,DATOS!$A672,nCURSO,DATOS!$D672,nESPEC,DATOS!$E672,nASIG,DATOS!$I672,nEVAL,"OR")=0))</f>
      </c>
      <c r="I672">
        <f>IF(DATOS!$I672="","",IFERROR(VLOOKUP(DATOS!$I672,CONFIG_ASIGNATURAS!$B$2:$J$91,9,FALSE()),""))</f>
      </c>
    </row>
    <row r="673">
      <c r="F673">
        <f>IF(DATOS!$A673="","",DATOS!$A673&amp;"|"&amp;DATOS!$D673&amp;"|"&amp;DATOS!$E673&amp;"|"&amp;DATOS!$I673)</f>
      </c>
      <c r="G673">
        <f>IF(DATOS!$A673="",0,IF(CONFIG_METADATA!$B$4&lt;&gt;"OR+EX",--(DATOS!$G673=CONFIG_METADATA!$B$4),IF(DATOS!$G673="EX",1,IF(DATOS!$G673="OR",--(COUNTIFS(nNIA,DATOS!$A673,nCURSO,DATOS!$D673,nESPEC,DATOS!$E673,nASIG,DATOS!$I673,nEVAL,"EX")=0),0))))</f>
      </c>
      <c r="H673">
        <f>IF(DATOS!$G673&lt;&gt;"EX",0,--(COUNTIFS(nNIA,DATOS!$A673,nCURSO,DATOS!$D673,nESPEC,DATOS!$E673,nASIG,DATOS!$I673,nEVAL,"OR")=0))</f>
      </c>
      <c r="I673">
        <f>IF(DATOS!$I673="","",IFERROR(VLOOKUP(DATOS!$I673,CONFIG_ASIGNATURAS!$B$2:$J$91,9,FALSE()),""))</f>
      </c>
    </row>
    <row r="674">
      <c r="F674">
        <f>IF(DATOS!$A674="","",DATOS!$A674&amp;"|"&amp;DATOS!$D674&amp;"|"&amp;DATOS!$E674&amp;"|"&amp;DATOS!$I674)</f>
      </c>
      <c r="G674">
        <f>IF(DATOS!$A674="",0,IF(CONFIG_METADATA!$B$4&lt;&gt;"OR+EX",--(DATOS!$G674=CONFIG_METADATA!$B$4),IF(DATOS!$G674="EX",1,IF(DATOS!$G674="OR",--(COUNTIFS(nNIA,DATOS!$A674,nCURSO,DATOS!$D674,nESPEC,DATOS!$E674,nASIG,DATOS!$I674,nEVAL,"EX")=0),0))))</f>
      </c>
      <c r="H674">
        <f>IF(DATOS!$G674&lt;&gt;"EX",0,--(COUNTIFS(nNIA,DATOS!$A674,nCURSO,DATOS!$D674,nESPEC,DATOS!$E674,nASIG,DATOS!$I674,nEVAL,"OR")=0))</f>
      </c>
      <c r="I674">
        <f>IF(DATOS!$I674="","",IFERROR(VLOOKUP(DATOS!$I674,CONFIG_ASIGNATURAS!$B$2:$J$91,9,FALSE()),""))</f>
      </c>
    </row>
    <row r="675">
      <c r="F675">
        <f>IF(DATOS!$A675="","",DATOS!$A675&amp;"|"&amp;DATOS!$D675&amp;"|"&amp;DATOS!$E675&amp;"|"&amp;DATOS!$I675)</f>
      </c>
      <c r="G675">
        <f>IF(DATOS!$A675="",0,IF(CONFIG_METADATA!$B$4&lt;&gt;"OR+EX",--(DATOS!$G675=CONFIG_METADATA!$B$4),IF(DATOS!$G675="EX",1,IF(DATOS!$G675="OR",--(COUNTIFS(nNIA,DATOS!$A675,nCURSO,DATOS!$D675,nESPEC,DATOS!$E675,nASIG,DATOS!$I675,nEVAL,"EX")=0),0))))</f>
      </c>
      <c r="H675">
        <f>IF(DATOS!$G675&lt;&gt;"EX",0,--(COUNTIFS(nNIA,DATOS!$A675,nCURSO,DATOS!$D675,nESPEC,DATOS!$E675,nASIG,DATOS!$I675,nEVAL,"OR")=0))</f>
      </c>
      <c r="I675">
        <f>IF(DATOS!$I675="","",IFERROR(VLOOKUP(DATOS!$I675,CONFIG_ASIGNATURAS!$B$2:$J$91,9,FALSE()),""))</f>
      </c>
    </row>
    <row r="676">
      <c r="F676">
        <f>IF(DATOS!$A676="","",DATOS!$A676&amp;"|"&amp;DATOS!$D676&amp;"|"&amp;DATOS!$E676&amp;"|"&amp;DATOS!$I676)</f>
      </c>
      <c r="G676">
        <f>IF(DATOS!$A676="",0,IF(CONFIG_METADATA!$B$4&lt;&gt;"OR+EX",--(DATOS!$G676=CONFIG_METADATA!$B$4),IF(DATOS!$G676="EX",1,IF(DATOS!$G676="OR",--(COUNTIFS(nNIA,DATOS!$A676,nCURSO,DATOS!$D676,nESPEC,DATOS!$E676,nASIG,DATOS!$I676,nEVAL,"EX")=0),0))))</f>
      </c>
      <c r="H676">
        <f>IF(DATOS!$G676&lt;&gt;"EX",0,--(COUNTIFS(nNIA,DATOS!$A676,nCURSO,DATOS!$D676,nESPEC,DATOS!$E676,nASIG,DATOS!$I676,nEVAL,"OR")=0))</f>
      </c>
      <c r="I676">
        <f>IF(DATOS!$I676="","",IFERROR(VLOOKUP(DATOS!$I676,CONFIG_ASIGNATURAS!$B$2:$J$91,9,FALSE()),""))</f>
      </c>
    </row>
    <row r="677">
      <c r="F677">
        <f>IF(DATOS!$A677="","",DATOS!$A677&amp;"|"&amp;DATOS!$D677&amp;"|"&amp;DATOS!$E677&amp;"|"&amp;DATOS!$I677)</f>
      </c>
      <c r="G677">
        <f>IF(DATOS!$A677="",0,IF(CONFIG_METADATA!$B$4&lt;&gt;"OR+EX",--(DATOS!$G677=CONFIG_METADATA!$B$4),IF(DATOS!$G677="EX",1,IF(DATOS!$G677="OR",--(COUNTIFS(nNIA,DATOS!$A677,nCURSO,DATOS!$D677,nESPEC,DATOS!$E677,nASIG,DATOS!$I677,nEVAL,"EX")=0),0))))</f>
      </c>
      <c r="H677">
        <f>IF(DATOS!$G677&lt;&gt;"EX",0,--(COUNTIFS(nNIA,DATOS!$A677,nCURSO,DATOS!$D677,nESPEC,DATOS!$E677,nASIG,DATOS!$I677,nEVAL,"OR")=0))</f>
      </c>
      <c r="I677">
        <f>IF(DATOS!$I677="","",IFERROR(VLOOKUP(DATOS!$I677,CONFIG_ASIGNATURAS!$B$2:$J$91,9,FALSE()),""))</f>
      </c>
    </row>
    <row r="678">
      <c r="F678">
        <f>IF(DATOS!$A678="","",DATOS!$A678&amp;"|"&amp;DATOS!$D678&amp;"|"&amp;DATOS!$E678&amp;"|"&amp;DATOS!$I678)</f>
      </c>
      <c r="G678">
        <f>IF(DATOS!$A678="",0,IF(CONFIG_METADATA!$B$4&lt;&gt;"OR+EX",--(DATOS!$G678=CONFIG_METADATA!$B$4),IF(DATOS!$G678="EX",1,IF(DATOS!$G678="OR",--(COUNTIFS(nNIA,DATOS!$A678,nCURSO,DATOS!$D678,nESPEC,DATOS!$E678,nASIG,DATOS!$I678,nEVAL,"EX")=0),0))))</f>
      </c>
      <c r="H678">
        <f>IF(DATOS!$G678&lt;&gt;"EX",0,--(COUNTIFS(nNIA,DATOS!$A678,nCURSO,DATOS!$D678,nESPEC,DATOS!$E678,nASIG,DATOS!$I678,nEVAL,"OR")=0))</f>
      </c>
      <c r="I678">
        <f>IF(DATOS!$I678="","",IFERROR(VLOOKUP(DATOS!$I678,CONFIG_ASIGNATURAS!$B$2:$J$91,9,FALSE()),""))</f>
      </c>
    </row>
    <row r="679">
      <c r="F679">
        <f>IF(DATOS!$A679="","",DATOS!$A679&amp;"|"&amp;DATOS!$D679&amp;"|"&amp;DATOS!$E679&amp;"|"&amp;DATOS!$I679)</f>
      </c>
      <c r="G679">
        <f>IF(DATOS!$A679="",0,IF(CONFIG_METADATA!$B$4&lt;&gt;"OR+EX",--(DATOS!$G679=CONFIG_METADATA!$B$4),IF(DATOS!$G679="EX",1,IF(DATOS!$G679="OR",--(COUNTIFS(nNIA,DATOS!$A679,nCURSO,DATOS!$D679,nESPEC,DATOS!$E679,nASIG,DATOS!$I679,nEVAL,"EX")=0),0))))</f>
      </c>
      <c r="H679">
        <f>IF(DATOS!$G679&lt;&gt;"EX",0,--(COUNTIFS(nNIA,DATOS!$A679,nCURSO,DATOS!$D679,nESPEC,DATOS!$E679,nASIG,DATOS!$I679,nEVAL,"OR")=0))</f>
      </c>
      <c r="I679">
        <f>IF(DATOS!$I679="","",IFERROR(VLOOKUP(DATOS!$I679,CONFIG_ASIGNATURAS!$B$2:$J$91,9,FALSE()),""))</f>
      </c>
    </row>
    <row r="680">
      <c r="F680">
        <f>IF(DATOS!$A680="","",DATOS!$A680&amp;"|"&amp;DATOS!$D680&amp;"|"&amp;DATOS!$E680&amp;"|"&amp;DATOS!$I680)</f>
      </c>
      <c r="G680">
        <f>IF(DATOS!$A680="",0,IF(CONFIG_METADATA!$B$4&lt;&gt;"OR+EX",--(DATOS!$G680=CONFIG_METADATA!$B$4),IF(DATOS!$G680="EX",1,IF(DATOS!$G680="OR",--(COUNTIFS(nNIA,DATOS!$A680,nCURSO,DATOS!$D680,nESPEC,DATOS!$E680,nASIG,DATOS!$I680,nEVAL,"EX")=0),0))))</f>
      </c>
      <c r="H680">
        <f>IF(DATOS!$G680&lt;&gt;"EX",0,--(COUNTIFS(nNIA,DATOS!$A680,nCURSO,DATOS!$D680,nESPEC,DATOS!$E680,nASIG,DATOS!$I680,nEVAL,"OR")=0))</f>
      </c>
      <c r="I680">
        <f>IF(DATOS!$I680="","",IFERROR(VLOOKUP(DATOS!$I680,CONFIG_ASIGNATURAS!$B$2:$J$91,9,FALSE()),""))</f>
      </c>
    </row>
    <row r="681">
      <c r="F681">
        <f>IF(DATOS!$A681="","",DATOS!$A681&amp;"|"&amp;DATOS!$D681&amp;"|"&amp;DATOS!$E681&amp;"|"&amp;DATOS!$I681)</f>
      </c>
      <c r="G681">
        <f>IF(DATOS!$A681="",0,IF(CONFIG_METADATA!$B$4&lt;&gt;"OR+EX",--(DATOS!$G681=CONFIG_METADATA!$B$4),IF(DATOS!$G681="EX",1,IF(DATOS!$G681="OR",--(COUNTIFS(nNIA,DATOS!$A681,nCURSO,DATOS!$D681,nESPEC,DATOS!$E681,nASIG,DATOS!$I681,nEVAL,"EX")=0),0))))</f>
      </c>
      <c r="H681">
        <f>IF(DATOS!$G681&lt;&gt;"EX",0,--(COUNTIFS(nNIA,DATOS!$A681,nCURSO,DATOS!$D681,nESPEC,DATOS!$E681,nASIG,DATOS!$I681,nEVAL,"OR")=0))</f>
      </c>
      <c r="I681">
        <f>IF(DATOS!$I681="","",IFERROR(VLOOKUP(DATOS!$I681,CONFIG_ASIGNATURAS!$B$2:$J$91,9,FALSE()),""))</f>
      </c>
    </row>
    <row r="682">
      <c r="F682">
        <f>IF(DATOS!$A682="","",DATOS!$A682&amp;"|"&amp;DATOS!$D682&amp;"|"&amp;DATOS!$E682&amp;"|"&amp;DATOS!$I682)</f>
      </c>
      <c r="G682">
        <f>IF(DATOS!$A682="",0,IF(CONFIG_METADATA!$B$4&lt;&gt;"OR+EX",--(DATOS!$G682=CONFIG_METADATA!$B$4),IF(DATOS!$G682="EX",1,IF(DATOS!$G682="OR",--(COUNTIFS(nNIA,DATOS!$A682,nCURSO,DATOS!$D682,nESPEC,DATOS!$E682,nASIG,DATOS!$I682,nEVAL,"EX")=0),0))))</f>
      </c>
      <c r="H682">
        <f>IF(DATOS!$G682&lt;&gt;"EX",0,--(COUNTIFS(nNIA,DATOS!$A682,nCURSO,DATOS!$D682,nESPEC,DATOS!$E682,nASIG,DATOS!$I682,nEVAL,"OR")=0))</f>
      </c>
      <c r="I682">
        <f>IF(DATOS!$I682="","",IFERROR(VLOOKUP(DATOS!$I682,CONFIG_ASIGNATURAS!$B$2:$J$91,9,FALSE()),""))</f>
      </c>
    </row>
    <row r="683">
      <c r="F683">
        <f>IF(DATOS!$A683="","",DATOS!$A683&amp;"|"&amp;DATOS!$D683&amp;"|"&amp;DATOS!$E683&amp;"|"&amp;DATOS!$I683)</f>
      </c>
      <c r="G683">
        <f>IF(DATOS!$A683="",0,IF(CONFIG_METADATA!$B$4&lt;&gt;"OR+EX",--(DATOS!$G683=CONFIG_METADATA!$B$4),IF(DATOS!$G683="EX",1,IF(DATOS!$G683="OR",--(COUNTIFS(nNIA,DATOS!$A683,nCURSO,DATOS!$D683,nESPEC,DATOS!$E683,nASIG,DATOS!$I683,nEVAL,"EX")=0),0))))</f>
      </c>
      <c r="H683">
        <f>IF(DATOS!$G683&lt;&gt;"EX",0,--(COUNTIFS(nNIA,DATOS!$A683,nCURSO,DATOS!$D683,nESPEC,DATOS!$E683,nASIG,DATOS!$I683,nEVAL,"OR")=0))</f>
      </c>
      <c r="I683">
        <f>IF(DATOS!$I683="","",IFERROR(VLOOKUP(DATOS!$I683,CONFIG_ASIGNATURAS!$B$2:$J$91,9,FALSE()),""))</f>
      </c>
    </row>
    <row r="684">
      <c r="F684">
        <f>IF(DATOS!$A684="","",DATOS!$A684&amp;"|"&amp;DATOS!$D684&amp;"|"&amp;DATOS!$E684&amp;"|"&amp;DATOS!$I684)</f>
      </c>
      <c r="G684">
        <f>IF(DATOS!$A684="",0,IF(CONFIG_METADATA!$B$4&lt;&gt;"OR+EX",--(DATOS!$G684=CONFIG_METADATA!$B$4),IF(DATOS!$G684="EX",1,IF(DATOS!$G684="OR",--(COUNTIFS(nNIA,DATOS!$A684,nCURSO,DATOS!$D684,nESPEC,DATOS!$E684,nASIG,DATOS!$I684,nEVAL,"EX")=0),0))))</f>
      </c>
      <c r="H684">
        <f>IF(DATOS!$G684&lt;&gt;"EX",0,--(COUNTIFS(nNIA,DATOS!$A684,nCURSO,DATOS!$D684,nESPEC,DATOS!$E684,nASIG,DATOS!$I684,nEVAL,"OR")=0))</f>
      </c>
      <c r="I684">
        <f>IF(DATOS!$I684="","",IFERROR(VLOOKUP(DATOS!$I684,CONFIG_ASIGNATURAS!$B$2:$J$91,9,FALSE()),""))</f>
      </c>
    </row>
    <row r="685">
      <c r="F685">
        <f>IF(DATOS!$A685="","",DATOS!$A685&amp;"|"&amp;DATOS!$D685&amp;"|"&amp;DATOS!$E685&amp;"|"&amp;DATOS!$I685)</f>
      </c>
      <c r="G685">
        <f>IF(DATOS!$A685="",0,IF(CONFIG_METADATA!$B$4&lt;&gt;"OR+EX",--(DATOS!$G685=CONFIG_METADATA!$B$4),IF(DATOS!$G685="EX",1,IF(DATOS!$G685="OR",--(COUNTIFS(nNIA,DATOS!$A685,nCURSO,DATOS!$D685,nESPEC,DATOS!$E685,nASIG,DATOS!$I685,nEVAL,"EX")=0),0))))</f>
      </c>
      <c r="H685">
        <f>IF(DATOS!$G685&lt;&gt;"EX",0,--(COUNTIFS(nNIA,DATOS!$A685,nCURSO,DATOS!$D685,nESPEC,DATOS!$E685,nASIG,DATOS!$I685,nEVAL,"OR")=0))</f>
      </c>
      <c r="I685">
        <f>IF(DATOS!$I685="","",IFERROR(VLOOKUP(DATOS!$I685,CONFIG_ASIGNATURAS!$B$2:$J$91,9,FALSE()),""))</f>
      </c>
    </row>
    <row r="686">
      <c r="F686">
        <f>IF(DATOS!$A686="","",DATOS!$A686&amp;"|"&amp;DATOS!$D686&amp;"|"&amp;DATOS!$E686&amp;"|"&amp;DATOS!$I686)</f>
      </c>
      <c r="G686">
        <f>IF(DATOS!$A686="",0,IF(CONFIG_METADATA!$B$4&lt;&gt;"OR+EX",--(DATOS!$G686=CONFIG_METADATA!$B$4),IF(DATOS!$G686="EX",1,IF(DATOS!$G686="OR",--(COUNTIFS(nNIA,DATOS!$A686,nCURSO,DATOS!$D686,nESPEC,DATOS!$E686,nASIG,DATOS!$I686,nEVAL,"EX")=0),0))))</f>
      </c>
      <c r="H686">
        <f>IF(DATOS!$G686&lt;&gt;"EX",0,--(COUNTIFS(nNIA,DATOS!$A686,nCURSO,DATOS!$D686,nESPEC,DATOS!$E686,nASIG,DATOS!$I686,nEVAL,"OR")=0))</f>
      </c>
      <c r="I686">
        <f>IF(DATOS!$I686="","",IFERROR(VLOOKUP(DATOS!$I686,CONFIG_ASIGNATURAS!$B$2:$J$91,9,FALSE()),""))</f>
      </c>
    </row>
    <row r="687">
      <c r="F687">
        <f>IF(DATOS!$A687="","",DATOS!$A687&amp;"|"&amp;DATOS!$D687&amp;"|"&amp;DATOS!$E687&amp;"|"&amp;DATOS!$I687)</f>
      </c>
      <c r="G687">
        <f>IF(DATOS!$A687="",0,IF(CONFIG_METADATA!$B$4&lt;&gt;"OR+EX",--(DATOS!$G687=CONFIG_METADATA!$B$4),IF(DATOS!$G687="EX",1,IF(DATOS!$G687="OR",--(COUNTIFS(nNIA,DATOS!$A687,nCURSO,DATOS!$D687,nESPEC,DATOS!$E687,nASIG,DATOS!$I687,nEVAL,"EX")=0),0))))</f>
      </c>
      <c r="H687">
        <f>IF(DATOS!$G687&lt;&gt;"EX",0,--(COUNTIFS(nNIA,DATOS!$A687,nCURSO,DATOS!$D687,nESPEC,DATOS!$E687,nASIG,DATOS!$I687,nEVAL,"OR")=0))</f>
      </c>
      <c r="I687">
        <f>IF(DATOS!$I687="","",IFERROR(VLOOKUP(DATOS!$I687,CONFIG_ASIGNATURAS!$B$2:$J$91,9,FALSE()),""))</f>
      </c>
    </row>
    <row r="688">
      <c r="F688">
        <f>IF(DATOS!$A688="","",DATOS!$A688&amp;"|"&amp;DATOS!$D688&amp;"|"&amp;DATOS!$E688&amp;"|"&amp;DATOS!$I688)</f>
      </c>
      <c r="G688">
        <f>IF(DATOS!$A688="",0,IF(CONFIG_METADATA!$B$4&lt;&gt;"OR+EX",--(DATOS!$G688=CONFIG_METADATA!$B$4),IF(DATOS!$G688="EX",1,IF(DATOS!$G688="OR",--(COUNTIFS(nNIA,DATOS!$A688,nCURSO,DATOS!$D688,nESPEC,DATOS!$E688,nASIG,DATOS!$I688,nEVAL,"EX")=0),0))))</f>
      </c>
      <c r="H688">
        <f>IF(DATOS!$G688&lt;&gt;"EX",0,--(COUNTIFS(nNIA,DATOS!$A688,nCURSO,DATOS!$D688,nESPEC,DATOS!$E688,nASIG,DATOS!$I688,nEVAL,"OR")=0))</f>
      </c>
      <c r="I688">
        <f>IF(DATOS!$I688="","",IFERROR(VLOOKUP(DATOS!$I688,CONFIG_ASIGNATURAS!$B$2:$J$91,9,FALSE()),""))</f>
      </c>
    </row>
    <row r="689">
      <c r="F689">
        <f>IF(DATOS!$A689="","",DATOS!$A689&amp;"|"&amp;DATOS!$D689&amp;"|"&amp;DATOS!$E689&amp;"|"&amp;DATOS!$I689)</f>
      </c>
      <c r="G689">
        <f>IF(DATOS!$A689="",0,IF(CONFIG_METADATA!$B$4&lt;&gt;"OR+EX",--(DATOS!$G689=CONFIG_METADATA!$B$4),IF(DATOS!$G689="EX",1,IF(DATOS!$G689="OR",--(COUNTIFS(nNIA,DATOS!$A689,nCURSO,DATOS!$D689,nESPEC,DATOS!$E689,nASIG,DATOS!$I689,nEVAL,"EX")=0),0))))</f>
      </c>
      <c r="H689">
        <f>IF(DATOS!$G689&lt;&gt;"EX",0,--(COUNTIFS(nNIA,DATOS!$A689,nCURSO,DATOS!$D689,nESPEC,DATOS!$E689,nASIG,DATOS!$I689,nEVAL,"OR")=0))</f>
      </c>
      <c r="I689">
        <f>IF(DATOS!$I689="","",IFERROR(VLOOKUP(DATOS!$I689,CONFIG_ASIGNATURAS!$B$2:$J$91,9,FALSE()),""))</f>
      </c>
    </row>
    <row r="690">
      <c r="F690">
        <f>IF(DATOS!$A690="","",DATOS!$A690&amp;"|"&amp;DATOS!$D690&amp;"|"&amp;DATOS!$E690&amp;"|"&amp;DATOS!$I690)</f>
      </c>
      <c r="G690">
        <f>IF(DATOS!$A690="",0,IF(CONFIG_METADATA!$B$4&lt;&gt;"OR+EX",--(DATOS!$G690=CONFIG_METADATA!$B$4),IF(DATOS!$G690="EX",1,IF(DATOS!$G690="OR",--(COUNTIFS(nNIA,DATOS!$A690,nCURSO,DATOS!$D690,nESPEC,DATOS!$E690,nASIG,DATOS!$I690,nEVAL,"EX")=0),0))))</f>
      </c>
      <c r="H690">
        <f>IF(DATOS!$G690&lt;&gt;"EX",0,--(COUNTIFS(nNIA,DATOS!$A690,nCURSO,DATOS!$D690,nESPEC,DATOS!$E690,nASIG,DATOS!$I690,nEVAL,"OR")=0))</f>
      </c>
      <c r="I690">
        <f>IF(DATOS!$I690="","",IFERROR(VLOOKUP(DATOS!$I690,CONFIG_ASIGNATURAS!$B$2:$J$91,9,FALSE()),""))</f>
      </c>
    </row>
    <row r="691">
      <c r="F691">
        <f>IF(DATOS!$A691="","",DATOS!$A691&amp;"|"&amp;DATOS!$D691&amp;"|"&amp;DATOS!$E691&amp;"|"&amp;DATOS!$I691)</f>
      </c>
      <c r="G691">
        <f>IF(DATOS!$A691="",0,IF(CONFIG_METADATA!$B$4&lt;&gt;"OR+EX",--(DATOS!$G691=CONFIG_METADATA!$B$4),IF(DATOS!$G691="EX",1,IF(DATOS!$G691="OR",--(COUNTIFS(nNIA,DATOS!$A691,nCURSO,DATOS!$D691,nESPEC,DATOS!$E691,nASIG,DATOS!$I691,nEVAL,"EX")=0),0))))</f>
      </c>
      <c r="H691">
        <f>IF(DATOS!$G691&lt;&gt;"EX",0,--(COUNTIFS(nNIA,DATOS!$A691,nCURSO,DATOS!$D691,nESPEC,DATOS!$E691,nASIG,DATOS!$I691,nEVAL,"OR")=0))</f>
      </c>
      <c r="I691">
        <f>IF(DATOS!$I691="","",IFERROR(VLOOKUP(DATOS!$I691,CONFIG_ASIGNATURAS!$B$2:$J$91,9,FALSE()),""))</f>
      </c>
    </row>
    <row r="692">
      <c r="F692">
        <f>IF(DATOS!$A692="","",DATOS!$A692&amp;"|"&amp;DATOS!$D692&amp;"|"&amp;DATOS!$E692&amp;"|"&amp;DATOS!$I692)</f>
      </c>
      <c r="G692">
        <f>IF(DATOS!$A692="",0,IF(CONFIG_METADATA!$B$4&lt;&gt;"OR+EX",--(DATOS!$G692=CONFIG_METADATA!$B$4),IF(DATOS!$G692="EX",1,IF(DATOS!$G692="OR",--(COUNTIFS(nNIA,DATOS!$A692,nCURSO,DATOS!$D692,nESPEC,DATOS!$E692,nASIG,DATOS!$I692,nEVAL,"EX")=0),0))))</f>
      </c>
      <c r="H692">
        <f>IF(DATOS!$G692&lt;&gt;"EX",0,--(COUNTIFS(nNIA,DATOS!$A692,nCURSO,DATOS!$D692,nESPEC,DATOS!$E692,nASIG,DATOS!$I692,nEVAL,"OR")=0))</f>
      </c>
      <c r="I692">
        <f>IF(DATOS!$I692="","",IFERROR(VLOOKUP(DATOS!$I692,CONFIG_ASIGNATURAS!$B$2:$J$91,9,FALSE()),""))</f>
      </c>
    </row>
    <row r="693">
      <c r="F693">
        <f>IF(DATOS!$A693="","",DATOS!$A693&amp;"|"&amp;DATOS!$D693&amp;"|"&amp;DATOS!$E693&amp;"|"&amp;DATOS!$I693)</f>
      </c>
      <c r="G693">
        <f>IF(DATOS!$A693="",0,IF(CONFIG_METADATA!$B$4&lt;&gt;"OR+EX",--(DATOS!$G693=CONFIG_METADATA!$B$4),IF(DATOS!$G693="EX",1,IF(DATOS!$G693="OR",--(COUNTIFS(nNIA,DATOS!$A693,nCURSO,DATOS!$D693,nESPEC,DATOS!$E693,nASIG,DATOS!$I693,nEVAL,"EX")=0),0))))</f>
      </c>
      <c r="H693">
        <f>IF(DATOS!$G693&lt;&gt;"EX",0,--(COUNTIFS(nNIA,DATOS!$A693,nCURSO,DATOS!$D693,nESPEC,DATOS!$E693,nASIG,DATOS!$I693,nEVAL,"OR")=0))</f>
      </c>
      <c r="I693">
        <f>IF(DATOS!$I693="","",IFERROR(VLOOKUP(DATOS!$I693,CONFIG_ASIGNATURAS!$B$2:$J$91,9,FALSE()),""))</f>
      </c>
    </row>
    <row r="694">
      <c r="F694">
        <f>IF(DATOS!$A694="","",DATOS!$A694&amp;"|"&amp;DATOS!$D694&amp;"|"&amp;DATOS!$E694&amp;"|"&amp;DATOS!$I694)</f>
      </c>
      <c r="G694">
        <f>IF(DATOS!$A694="",0,IF(CONFIG_METADATA!$B$4&lt;&gt;"OR+EX",--(DATOS!$G694=CONFIG_METADATA!$B$4),IF(DATOS!$G694="EX",1,IF(DATOS!$G694="OR",--(COUNTIFS(nNIA,DATOS!$A694,nCURSO,DATOS!$D694,nESPEC,DATOS!$E694,nASIG,DATOS!$I694,nEVAL,"EX")=0),0))))</f>
      </c>
      <c r="H694">
        <f>IF(DATOS!$G694&lt;&gt;"EX",0,--(COUNTIFS(nNIA,DATOS!$A694,nCURSO,DATOS!$D694,nESPEC,DATOS!$E694,nASIG,DATOS!$I694,nEVAL,"OR")=0))</f>
      </c>
      <c r="I694">
        <f>IF(DATOS!$I694="","",IFERROR(VLOOKUP(DATOS!$I694,CONFIG_ASIGNATURAS!$B$2:$J$91,9,FALSE()),""))</f>
      </c>
    </row>
    <row r="695">
      <c r="F695">
        <f>IF(DATOS!$A695="","",DATOS!$A695&amp;"|"&amp;DATOS!$D695&amp;"|"&amp;DATOS!$E695&amp;"|"&amp;DATOS!$I695)</f>
      </c>
      <c r="G695">
        <f>IF(DATOS!$A695="",0,IF(CONFIG_METADATA!$B$4&lt;&gt;"OR+EX",--(DATOS!$G695=CONFIG_METADATA!$B$4),IF(DATOS!$G695="EX",1,IF(DATOS!$G695="OR",--(COUNTIFS(nNIA,DATOS!$A695,nCURSO,DATOS!$D695,nESPEC,DATOS!$E695,nASIG,DATOS!$I695,nEVAL,"EX")=0),0))))</f>
      </c>
      <c r="H695">
        <f>IF(DATOS!$G695&lt;&gt;"EX",0,--(COUNTIFS(nNIA,DATOS!$A695,nCURSO,DATOS!$D695,nESPEC,DATOS!$E695,nASIG,DATOS!$I695,nEVAL,"OR")=0))</f>
      </c>
      <c r="I695">
        <f>IF(DATOS!$I695="","",IFERROR(VLOOKUP(DATOS!$I695,CONFIG_ASIGNATURAS!$B$2:$J$91,9,FALSE()),""))</f>
      </c>
    </row>
    <row r="696">
      <c r="F696">
        <f>IF(DATOS!$A696="","",DATOS!$A696&amp;"|"&amp;DATOS!$D696&amp;"|"&amp;DATOS!$E696&amp;"|"&amp;DATOS!$I696)</f>
      </c>
      <c r="G696">
        <f>IF(DATOS!$A696="",0,IF(CONFIG_METADATA!$B$4&lt;&gt;"OR+EX",--(DATOS!$G696=CONFIG_METADATA!$B$4),IF(DATOS!$G696="EX",1,IF(DATOS!$G696="OR",--(COUNTIFS(nNIA,DATOS!$A696,nCURSO,DATOS!$D696,nESPEC,DATOS!$E696,nASIG,DATOS!$I696,nEVAL,"EX")=0),0))))</f>
      </c>
      <c r="H696">
        <f>IF(DATOS!$G696&lt;&gt;"EX",0,--(COUNTIFS(nNIA,DATOS!$A696,nCURSO,DATOS!$D696,nESPEC,DATOS!$E696,nASIG,DATOS!$I696,nEVAL,"OR")=0))</f>
      </c>
      <c r="I696">
        <f>IF(DATOS!$I696="","",IFERROR(VLOOKUP(DATOS!$I696,CONFIG_ASIGNATURAS!$B$2:$J$91,9,FALSE()),""))</f>
      </c>
    </row>
    <row r="697">
      <c r="F697">
        <f>IF(DATOS!$A697="","",DATOS!$A697&amp;"|"&amp;DATOS!$D697&amp;"|"&amp;DATOS!$E697&amp;"|"&amp;DATOS!$I697)</f>
      </c>
      <c r="G697">
        <f>IF(DATOS!$A697="",0,IF(CONFIG_METADATA!$B$4&lt;&gt;"OR+EX",--(DATOS!$G697=CONFIG_METADATA!$B$4),IF(DATOS!$G697="EX",1,IF(DATOS!$G697="OR",--(COUNTIFS(nNIA,DATOS!$A697,nCURSO,DATOS!$D697,nESPEC,DATOS!$E697,nASIG,DATOS!$I697,nEVAL,"EX")=0),0))))</f>
      </c>
      <c r="H697">
        <f>IF(DATOS!$G697&lt;&gt;"EX",0,--(COUNTIFS(nNIA,DATOS!$A697,nCURSO,DATOS!$D697,nESPEC,DATOS!$E697,nASIG,DATOS!$I697,nEVAL,"OR")=0))</f>
      </c>
      <c r="I697">
        <f>IF(DATOS!$I697="","",IFERROR(VLOOKUP(DATOS!$I697,CONFIG_ASIGNATURAS!$B$2:$J$91,9,FALSE()),""))</f>
      </c>
    </row>
    <row r="698">
      <c r="F698">
        <f>IF(DATOS!$A698="","",DATOS!$A698&amp;"|"&amp;DATOS!$D698&amp;"|"&amp;DATOS!$E698&amp;"|"&amp;DATOS!$I698)</f>
      </c>
      <c r="G698">
        <f>IF(DATOS!$A698="",0,IF(CONFIG_METADATA!$B$4&lt;&gt;"OR+EX",--(DATOS!$G698=CONFIG_METADATA!$B$4),IF(DATOS!$G698="EX",1,IF(DATOS!$G698="OR",--(COUNTIFS(nNIA,DATOS!$A698,nCURSO,DATOS!$D698,nESPEC,DATOS!$E698,nASIG,DATOS!$I698,nEVAL,"EX")=0),0))))</f>
      </c>
      <c r="H698">
        <f>IF(DATOS!$G698&lt;&gt;"EX",0,--(COUNTIFS(nNIA,DATOS!$A698,nCURSO,DATOS!$D698,nESPEC,DATOS!$E698,nASIG,DATOS!$I698,nEVAL,"OR")=0))</f>
      </c>
      <c r="I698">
        <f>IF(DATOS!$I698="","",IFERROR(VLOOKUP(DATOS!$I698,CONFIG_ASIGNATURAS!$B$2:$J$91,9,FALSE()),""))</f>
      </c>
    </row>
    <row r="699">
      <c r="F699">
        <f>IF(DATOS!$A699="","",DATOS!$A699&amp;"|"&amp;DATOS!$D699&amp;"|"&amp;DATOS!$E699&amp;"|"&amp;DATOS!$I699)</f>
      </c>
      <c r="G699">
        <f>IF(DATOS!$A699="",0,IF(CONFIG_METADATA!$B$4&lt;&gt;"OR+EX",--(DATOS!$G699=CONFIG_METADATA!$B$4),IF(DATOS!$G699="EX",1,IF(DATOS!$G699="OR",--(COUNTIFS(nNIA,DATOS!$A699,nCURSO,DATOS!$D699,nESPEC,DATOS!$E699,nASIG,DATOS!$I699,nEVAL,"EX")=0),0))))</f>
      </c>
      <c r="H699">
        <f>IF(DATOS!$G699&lt;&gt;"EX",0,--(COUNTIFS(nNIA,DATOS!$A699,nCURSO,DATOS!$D699,nESPEC,DATOS!$E699,nASIG,DATOS!$I699,nEVAL,"OR")=0))</f>
      </c>
      <c r="I699">
        <f>IF(DATOS!$I699="","",IFERROR(VLOOKUP(DATOS!$I699,CONFIG_ASIGNATURAS!$B$2:$J$91,9,FALSE()),""))</f>
      </c>
    </row>
    <row r="700">
      <c r="F700">
        <f>IF(DATOS!$A700="","",DATOS!$A700&amp;"|"&amp;DATOS!$D700&amp;"|"&amp;DATOS!$E700&amp;"|"&amp;DATOS!$I700)</f>
      </c>
      <c r="G700">
        <f>IF(DATOS!$A700="",0,IF(CONFIG_METADATA!$B$4&lt;&gt;"OR+EX",--(DATOS!$G700=CONFIG_METADATA!$B$4),IF(DATOS!$G700="EX",1,IF(DATOS!$G700="OR",--(COUNTIFS(nNIA,DATOS!$A700,nCURSO,DATOS!$D700,nESPEC,DATOS!$E700,nASIG,DATOS!$I700,nEVAL,"EX")=0),0))))</f>
      </c>
      <c r="H700">
        <f>IF(DATOS!$G700&lt;&gt;"EX",0,--(COUNTIFS(nNIA,DATOS!$A700,nCURSO,DATOS!$D700,nESPEC,DATOS!$E700,nASIG,DATOS!$I700,nEVAL,"OR")=0))</f>
      </c>
      <c r="I700">
        <f>IF(DATOS!$I700="","",IFERROR(VLOOKUP(DATOS!$I700,CONFIG_ASIGNATURAS!$B$2:$J$91,9,FALSE()),""))</f>
      </c>
    </row>
    <row r="701">
      <c r="F701">
        <f>IF(DATOS!$A701="","",DATOS!$A701&amp;"|"&amp;DATOS!$D701&amp;"|"&amp;DATOS!$E701&amp;"|"&amp;DATOS!$I701)</f>
      </c>
      <c r="G701">
        <f>IF(DATOS!$A701="",0,IF(CONFIG_METADATA!$B$4&lt;&gt;"OR+EX",--(DATOS!$G701=CONFIG_METADATA!$B$4),IF(DATOS!$G701="EX",1,IF(DATOS!$G701="OR",--(COUNTIFS(nNIA,DATOS!$A701,nCURSO,DATOS!$D701,nESPEC,DATOS!$E701,nASIG,DATOS!$I701,nEVAL,"EX")=0),0))))</f>
      </c>
      <c r="H701">
        <f>IF(DATOS!$G701&lt;&gt;"EX",0,--(COUNTIFS(nNIA,DATOS!$A701,nCURSO,DATOS!$D701,nESPEC,DATOS!$E701,nASIG,DATOS!$I701,nEVAL,"OR")=0))</f>
      </c>
      <c r="I701">
        <f>IF(DATOS!$I701="","",IFERROR(VLOOKUP(DATOS!$I701,CONFIG_ASIGNATURAS!$B$2:$J$91,9,FALSE()),""))</f>
      </c>
    </row>
    <row r="702">
      <c r="F702">
        <f>IF(DATOS!$A702="","",DATOS!$A702&amp;"|"&amp;DATOS!$D702&amp;"|"&amp;DATOS!$E702&amp;"|"&amp;DATOS!$I702)</f>
      </c>
      <c r="G702">
        <f>IF(DATOS!$A702="",0,IF(CONFIG_METADATA!$B$4&lt;&gt;"OR+EX",--(DATOS!$G702=CONFIG_METADATA!$B$4),IF(DATOS!$G702="EX",1,IF(DATOS!$G702="OR",--(COUNTIFS(nNIA,DATOS!$A702,nCURSO,DATOS!$D702,nESPEC,DATOS!$E702,nASIG,DATOS!$I702,nEVAL,"EX")=0),0))))</f>
      </c>
      <c r="H702">
        <f>IF(DATOS!$G702&lt;&gt;"EX",0,--(COUNTIFS(nNIA,DATOS!$A702,nCURSO,DATOS!$D702,nESPEC,DATOS!$E702,nASIG,DATOS!$I702,nEVAL,"OR")=0))</f>
      </c>
      <c r="I702">
        <f>IF(DATOS!$I702="","",IFERROR(VLOOKUP(DATOS!$I702,CONFIG_ASIGNATURAS!$B$2:$J$91,9,FALSE()),""))</f>
      </c>
    </row>
    <row r="703">
      <c r="F703">
        <f>IF(DATOS!$A703="","",DATOS!$A703&amp;"|"&amp;DATOS!$D703&amp;"|"&amp;DATOS!$E703&amp;"|"&amp;DATOS!$I703)</f>
      </c>
      <c r="G703">
        <f>IF(DATOS!$A703="",0,IF(CONFIG_METADATA!$B$4&lt;&gt;"OR+EX",--(DATOS!$G703=CONFIG_METADATA!$B$4),IF(DATOS!$G703="EX",1,IF(DATOS!$G703="OR",--(COUNTIFS(nNIA,DATOS!$A703,nCURSO,DATOS!$D703,nESPEC,DATOS!$E703,nASIG,DATOS!$I703,nEVAL,"EX")=0),0))))</f>
      </c>
      <c r="H703">
        <f>IF(DATOS!$G703&lt;&gt;"EX",0,--(COUNTIFS(nNIA,DATOS!$A703,nCURSO,DATOS!$D703,nESPEC,DATOS!$E703,nASIG,DATOS!$I703,nEVAL,"OR")=0))</f>
      </c>
      <c r="I703">
        <f>IF(DATOS!$I703="","",IFERROR(VLOOKUP(DATOS!$I703,CONFIG_ASIGNATURAS!$B$2:$J$91,9,FALSE()),""))</f>
      </c>
    </row>
    <row r="704">
      <c r="F704">
        <f>IF(DATOS!$A704="","",DATOS!$A704&amp;"|"&amp;DATOS!$D704&amp;"|"&amp;DATOS!$E704&amp;"|"&amp;DATOS!$I704)</f>
      </c>
      <c r="G704">
        <f>IF(DATOS!$A704="",0,IF(CONFIG_METADATA!$B$4&lt;&gt;"OR+EX",--(DATOS!$G704=CONFIG_METADATA!$B$4),IF(DATOS!$G704="EX",1,IF(DATOS!$G704="OR",--(COUNTIFS(nNIA,DATOS!$A704,nCURSO,DATOS!$D704,nESPEC,DATOS!$E704,nASIG,DATOS!$I704,nEVAL,"EX")=0),0))))</f>
      </c>
      <c r="H704">
        <f>IF(DATOS!$G704&lt;&gt;"EX",0,--(COUNTIFS(nNIA,DATOS!$A704,nCURSO,DATOS!$D704,nESPEC,DATOS!$E704,nASIG,DATOS!$I704,nEVAL,"OR")=0))</f>
      </c>
      <c r="I704">
        <f>IF(DATOS!$I704="","",IFERROR(VLOOKUP(DATOS!$I704,CONFIG_ASIGNATURAS!$B$2:$J$91,9,FALSE()),""))</f>
      </c>
    </row>
    <row r="705">
      <c r="F705">
        <f>IF(DATOS!$A705="","",DATOS!$A705&amp;"|"&amp;DATOS!$D705&amp;"|"&amp;DATOS!$E705&amp;"|"&amp;DATOS!$I705)</f>
      </c>
      <c r="G705">
        <f>IF(DATOS!$A705="",0,IF(CONFIG_METADATA!$B$4&lt;&gt;"OR+EX",--(DATOS!$G705=CONFIG_METADATA!$B$4),IF(DATOS!$G705="EX",1,IF(DATOS!$G705="OR",--(COUNTIFS(nNIA,DATOS!$A705,nCURSO,DATOS!$D705,nESPEC,DATOS!$E705,nASIG,DATOS!$I705,nEVAL,"EX")=0),0))))</f>
      </c>
      <c r="H705">
        <f>IF(DATOS!$G705&lt;&gt;"EX",0,--(COUNTIFS(nNIA,DATOS!$A705,nCURSO,DATOS!$D705,nESPEC,DATOS!$E705,nASIG,DATOS!$I705,nEVAL,"OR")=0))</f>
      </c>
      <c r="I705">
        <f>IF(DATOS!$I705="","",IFERROR(VLOOKUP(DATOS!$I705,CONFIG_ASIGNATURAS!$B$2:$J$91,9,FALSE()),""))</f>
      </c>
    </row>
    <row r="706">
      <c r="F706">
        <f>IF(DATOS!$A706="","",DATOS!$A706&amp;"|"&amp;DATOS!$D706&amp;"|"&amp;DATOS!$E706&amp;"|"&amp;DATOS!$I706)</f>
      </c>
      <c r="G706">
        <f>IF(DATOS!$A706="",0,IF(CONFIG_METADATA!$B$4&lt;&gt;"OR+EX",--(DATOS!$G706=CONFIG_METADATA!$B$4),IF(DATOS!$G706="EX",1,IF(DATOS!$G706="OR",--(COUNTIFS(nNIA,DATOS!$A706,nCURSO,DATOS!$D706,nESPEC,DATOS!$E706,nASIG,DATOS!$I706,nEVAL,"EX")=0),0))))</f>
      </c>
      <c r="H706">
        <f>IF(DATOS!$G706&lt;&gt;"EX",0,--(COUNTIFS(nNIA,DATOS!$A706,nCURSO,DATOS!$D706,nESPEC,DATOS!$E706,nASIG,DATOS!$I706,nEVAL,"OR")=0))</f>
      </c>
      <c r="I706">
        <f>IF(DATOS!$I706="","",IFERROR(VLOOKUP(DATOS!$I706,CONFIG_ASIGNATURAS!$B$2:$J$91,9,FALSE()),""))</f>
      </c>
    </row>
    <row r="707">
      <c r="F707">
        <f>IF(DATOS!$A707="","",DATOS!$A707&amp;"|"&amp;DATOS!$D707&amp;"|"&amp;DATOS!$E707&amp;"|"&amp;DATOS!$I707)</f>
      </c>
      <c r="G707">
        <f>IF(DATOS!$A707="",0,IF(CONFIG_METADATA!$B$4&lt;&gt;"OR+EX",--(DATOS!$G707=CONFIG_METADATA!$B$4),IF(DATOS!$G707="EX",1,IF(DATOS!$G707="OR",--(COUNTIFS(nNIA,DATOS!$A707,nCURSO,DATOS!$D707,nESPEC,DATOS!$E707,nASIG,DATOS!$I707,nEVAL,"EX")=0),0))))</f>
      </c>
      <c r="H707">
        <f>IF(DATOS!$G707&lt;&gt;"EX",0,--(COUNTIFS(nNIA,DATOS!$A707,nCURSO,DATOS!$D707,nESPEC,DATOS!$E707,nASIG,DATOS!$I707,nEVAL,"OR")=0))</f>
      </c>
      <c r="I707">
        <f>IF(DATOS!$I707="","",IFERROR(VLOOKUP(DATOS!$I707,CONFIG_ASIGNATURAS!$B$2:$J$91,9,FALSE()),""))</f>
      </c>
    </row>
    <row r="708">
      <c r="F708">
        <f>IF(DATOS!$A708="","",DATOS!$A708&amp;"|"&amp;DATOS!$D708&amp;"|"&amp;DATOS!$E708&amp;"|"&amp;DATOS!$I708)</f>
      </c>
      <c r="G708">
        <f>IF(DATOS!$A708="",0,IF(CONFIG_METADATA!$B$4&lt;&gt;"OR+EX",--(DATOS!$G708=CONFIG_METADATA!$B$4),IF(DATOS!$G708="EX",1,IF(DATOS!$G708="OR",--(COUNTIFS(nNIA,DATOS!$A708,nCURSO,DATOS!$D708,nESPEC,DATOS!$E708,nASIG,DATOS!$I708,nEVAL,"EX")=0),0))))</f>
      </c>
      <c r="H708">
        <f>IF(DATOS!$G708&lt;&gt;"EX",0,--(COUNTIFS(nNIA,DATOS!$A708,nCURSO,DATOS!$D708,nESPEC,DATOS!$E708,nASIG,DATOS!$I708,nEVAL,"OR")=0))</f>
      </c>
      <c r="I708">
        <f>IF(DATOS!$I708="","",IFERROR(VLOOKUP(DATOS!$I708,CONFIG_ASIGNATURAS!$B$2:$J$91,9,FALSE()),""))</f>
      </c>
    </row>
    <row r="709">
      <c r="F709">
        <f>IF(DATOS!$A709="","",DATOS!$A709&amp;"|"&amp;DATOS!$D709&amp;"|"&amp;DATOS!$E709&amp;"|"&amp;DATOS!$I709)</f>
      </c>
      <c r="G709">
        <f>IF(DATOS!$A709="",0,IF(CONFIG_METADATA!$B$4&lt;&gt;"OR+EX",--(DATOS!$G709=CONFIG_METADATA!$B$4),IF(DATOS!$G709="EX",1,IF(DATOS!$G709="OR",--(COUNTIFS(nNIA,DATOS!$A709,nCURSO,DATOS!$D709,nESPEC,DATOS!$E709,nASIG,DATOS!$I709,nEVAL,"EX")=0),0))))</f>
      </c>
      <c r="H709">
        <f>IF(DATOS!$G709&lt;&gt;"EX",0,--(COUNTIFS(nNIA,DATOS!$A709,nCURSO,DATOS!$D709,nESPEC,DATOS!$E709,nASIG,DATOS!$I709,nEVAL,"OR")=0))</f>
      </c>
      <c r="I709">
        <f>IF(DATOS!$I709="","",IFERROR(VLOOKUP(DATOS!$I709,CONFIG_ASIGNATURAS!$B$2:$J$91,9,FALSE()),""))</f>
      </c>
    </row>
    <row r="710">
      <c r="F710">
        <f>IF(DATOS!$A710="","",DATOS!$A710&amp;"|"&amp;DATOS!$D710&amp;"|"&amp;DATOS!$E710&amp;"|"&amp;DATOS!$I710)</f>
      </c>
      <c r="G710">
        <f>IF(DATOS!$A710="",0,IF(CONFIG_METADATA!$B$4&lt;&gt;"OR+EX",--(DATOS!$G710=CONFIG_METADATA!$B$4),IF(DATOS!$G710="EX",1,IF(DATOS!$G710="OR",--(COUNTIFS(nNIA,DATOS!$A710,nCURSO,DATOS!$D710,nESPEC,DATOS!$E710,nASIG,DATOS!$I710,nEVAL,"EX")=0),0))))</f>
      </c>
      <c r="H710">
        <f>IF(DATOS!$G710&lt;&gt;"EX",0,--(COUNTIFS(nNIA,DATOS!$A710,nCURSO,DATOS!$D710,nESPEC,DATOS!$E710,nASIG,DATOS!$I710,nEVAL,"OR")=0))</f>
      </c>
      <c r="I710">
        <f>IF(DATOS!$I710="","",IFERROR(VLOOKUP(DATOS!$I710,CONFIG_ASIGNATURAS!$B$2:$J$91,9,FALSE()),""))</f>
      </c>
    </row>
    <row r="711">
      <c r="F711">
        <f>IF(DATOS!$A711="","",DATOS!$A711&amp;"|"&amp;DATOS!$D711&amp;"|"&amp;DATOS!$E711&amp;"|"&amp;DATOS!$I711)</f>
      </c>
      <c r="G711">
        <f>IF(DATOS!$A711="",0,IF(CONFIG_METADATA!$B$4&lt;&gt;"OR+EX",--(DATOS!$G711=CONFIG_METADATA!$B$4),IF(DATOS!$G711="EX",1,IF(DATOS!$G711="OR",--(COUNTIFS(nNIA,DATOS!$A711,nCURSO,DATOS!$D711,nESPEC,DATOS!$E711,nASIG,DATOS!$I711,nEVAL,"EX")=0),0))))</f>
      </c>
      <c r="H711">
        <f>IF(DATOS!$G711&lt;&gt;"EX",0,--(COUNTIFS(nNIA,DATOS!$A711,nCURSO,DATOS!$D711,nESPEC,DATOS!$E711,nASIG,DATOS!$I711,nEVAL,"OR")=0))</f>
      </c>
      <c r="I711">
        <f>IF(DATOS!$I711="","",IFERROR(VLOOKUP(DATOS!$I711,CONFIG_ASIGNATURAS!$B$2:$J$91,9,FALSE()),""))</f>
      </c>
    </row>
    <row r="712">
      <c r="F712">
        <f>IF(DATOS!$A712="","",DATOS!$A712&amp;"|"&amp;DATOS!$D712&amp;"|"&amp;DATOS!$E712&amp;"|"&amp;DATOS!$I712)</f>
      </c>
      <c r="G712">
        <f>IF(DATOS!$A712="",0,IF(CONFIG_METADATA!$B$4&lt;&gt;"OR+EX",--(DATOS!$G712=CONFIG_METADATA!$B$4),IF(DATOS!$G712="EX",1,IF(DATOS!$G712="OR",--(COUNTIFS(nNIA,DATOS!$A712,nCURSO,DATOS!$D712,nESPEC,DATOS!$E712,nASIG,DATOS!$I712,nEVAL,"EX")=0),0))))</f>
      </c>
      <c r="H712">
        <f>IF(DATOS!$G712&lt;&gt;"EX",0,--(COUNTIFS(nNIA,DATOS!$A712,nCURSO,DATOS!$D712,nESPEC,DATOS!$E712,nASIG,DATOS!$I712,nEVAL,"OR")=0))</f>
      </c>
      <c r="I712">
        <f>IF(DATOS!$I712="","",IFERROR(VLOOKUP(DATOS!$I712,CONFIG_ASIGNATURAS!$B$2:$J$91,9,FALSE()),""))</f>
      </c>
    </row>
    <row r="713">
      <c r="F713">
        <f>IF(DATOS!$A713="","",DATOS!$A713&amp;"|"&amp;DATOS!$D713&amp;"|"&amp;DATOS!$E713&amp;"|"&amp;DATOS!$I713)</f>
      </c>
      <c r="G713">
        <f>IF(DATOS!$A713="",0,IF(CONFIG_METADATA!$B$4&lt;&gt;"OR+EX",--(DATOS!$G713=CONFIG_METADATA!$B$4),IF(DATOS!$G713="EX",1,IF(DATOS!$G713="OR",--(COUNTIFS(nNIA,DATOS!$A713,nCURSO,DATOS!$D713,nESPEC,DATOS!$E713,nASIG,DATOS!$I713,nEVAL,"EX")=0),0))))</f>
      </c>
      <c r="H713">
        <f>IF(DATOS!$G713&lt;&gt;"EX",0,--(COUNTIFS(nNIA,DATOS!$A713,nCURSO,DATOS!$D713,nESPEC,DATOS!$E713,nASIG,DATOS!$I713,nEVAL,"OR")=0))</f>
      </c>
      <c r="I713">
        <f>IF(DATOS!$I713="","",IFERROR(VLOOKUP(DATOS!$I713,CONFIG_ASIGNATURAS!$B$2:$J$91,9,FALSE()),""))</f>
      </c>
    </row>
    <row r="714">
      <c r="F714">
        <f>IF(DATOS!$A714="","",DATOS!$A714&amp;"|"&amp;DATOS!$D714&amp;"|"&amp;DATOS!$E714&amp;"|"&amp;DATOS!$I714)</f>
      </c>
      <c r="G714">
        <f>IF(DATOS!$A714="",0,IF(CONFIG_METADATA!$B$4&lt;&gt;"OR+EX",--(DATOS!$G714=CONFIG_METADATA!$B$4),IF(DATOS!$G714="EX",1,IF(DATOS!$G714="OR",--(COUNTIFS(nNIA,DATOS!$A714,nCURSO,DATOS!$D714,nESPEC,DATOS!$E714,nASIG,DATOS!$I714,nEVAL,"EX")=0),0))))</f>
      </c>
      <c r="H714">
        <f>IF(DATOS!$G714&lt;&gt;"EX",0,--(COUNTIFS(nNIA,DATOS!$A714,nCURSO,DATOS!$D714,nESPEC,DATOS!$E714,nASIG,DATOS!$I714,nEVAL,"OR")=0))</f>
      </c>
      <c r="I714">
        <f>IF(DATOS!$I714="","",IFERROR(VLOOKUP(DATOS!$I714,CONFIG_ASIGNATURAS!$B$2:$J$91,9,FALSE()),""))</f>
      </c>
    </row>
    <row r="715">
      <c r="F715">
        <f>IF(DATOS!$A715="","",DATOS!$A715&amp;"|"&amp;DATOS!$D715&amp;"|"&amp;DATOS!$E715&amp;"|"&amp;DATOS!$I715)</f>
      </c>
      <c r="G715">
        <f>IF(DATOS!$A715="",0,IF(CONFIG_METADATA!$B$4&lt;&gt;"OR+EX",--(DATOS!$G715=CONFIG_METADATA!$B$4),IF(DATOS!$G715="EX",1,IF(DATOS!$G715="OR",--(COUNTIFS(nNIA,DATOS!$A715,nCURSO,DATOS!$D715,nESPEC,DATOS!$E715,nASIG,DATOS!$I715,nEVAL,"EX")=0),0))))</f>
      </c>
      <c r="H715">
        <f>IF(DATOS!$G715&lt;&gt;"EX",0,--(COUNTIFS(nNIA,DATOS!$A715,nCURSO,DATOS!$D715,nESPEC,DATOS!$E715,nASIG,DATOS!$I715,nEVAL,"OR")=0))</f>
      </c>
      <c r="I715">
        <f>IF(DATOS!$I715="","",IFERROR(VLOOKUP(DATOS!$I715,CONFIG_ASIGNATURAS!$B$2:$J$91,9,FALSE()),""))</f>
      </c>
    </row>
    <row r="716">
      <c r="F716">
        <f>IF(DATOS!$A716="","",DATOS!$A716&amp;"|"&amp;DATOS!$D716&amp;"|"&amp;DATOS!$E716&amp;"|"&amp;DATOS!$I716)</f>
      </c>
      <c r="G716">
        <f>IF(DATOS!$A716="",0,IF(CONFIG_METADATA!$B$4&lt;&gt;"OR+EX",--(DATOS!$G716=CONFIG_METADATA!$B$4),IF(DATOS!$G716="EX",1,IF(DATOS!$G716="OR",--(COUNTIFS(nNIA,DATOS!$A716,nCURSO,DATOS!$D716,nESPEC,DATOS!$E716,nASIG,DATOS!$I716,nEVAL,"EX")=0),0))))</f>
      </c>
      <c r="H716">
        <f>IF(DATOS!$G716&lt;&gt;"EX",0,--(COUNTIFS(nNIA,DATOS!$A716,nCURSO,DATOS!$D716,nESPEC,DATOS!$E716,nASIG,DATOS!$I716,nEVAL,"OR")=0))</f>
      </c>
      <c r="I716">
        <f>IF(DATOS!$I716="","",IFERROR(VLOOKUP(DATOS!$I716,CONFIG_ASIGNATURAS!$B$2:$J$91,9,FALSE()),""))</f>
      </c>
    </row>
    <row r="717">
      <c r="F717">
        <f>IF(DATOS!$A717="","",DATOS!$A717&amp;"|"&amp;DATOS!$D717&amp;"|"&amp;DATOS!$E717&amp;"|"&amp;DATOS!$I717)</f>
      </c>
      <c r="G717">
        <f>IF(DATOS!$A717="",0,IF(CONFIG_METADATA!$B$4&lt;&gt;"OR+EX",--(DATOS!$G717=CONFIG_METADATA!$B$4),IF(DATOS!$G717="EX",1,IF(DATOS!$G717="OR",--(COUNTIFS(nNIA,DATOS!$A717,nCURSO,DATOS!$D717,nESPEC,DATOS!$E717,nASIG,DATOS!$I717,nEVAL,"EX")=0),0))))</f>
      </c>
      <c r="H717">
        <f>IF(DATOS!$G717&lt;&gt;"EX",0,--(COUNTIFS(nNIA,DATOS!$A717,nCURSO,DATOS!$D717,nESPEC,DATOS!$E717,nASIG,DATOS!$I717,nEVAL,"OR")=0))</f>
      </c>
      <c r="I717">
        <f>IF(DATOS!$I717="","",IFERROR(VLOOKUP(DATOS!$I717,CONFIG_ASIGNATURAS!$B$2:$J$91,9,FALSE()),""))</f>
      </c>
    </row>
    <row r="718">
      <c r="F718">
        <f>IF(DATOS!$A718="","",DATOS!$A718&amp;"|"&amp;DATOS!$D718&amp;"|"&amp;DATOS!$E718&amp;"|"&amp;DATOS!$I718)</f>
      </c>
      <c r="G718">
        <f>IF(DATOS!$A718="",0,IF(CONFIG_METADATA!$B$4&lt;&gt;"OR+EX",--(DATOS!$G718=CONFIG_METADATA!$B$4),IF(DATOS!$G718="EX",1,IF(DATOS!$G718="OR",--(COUNTIFS(nNIA,DATOS!$A718,nCURSO,DATOS!$D718,nESPEC,DATOS!$E718,nASIG,DATOS!$I718,nEVAL,"EX")=0),0))))</f>
      </c>
      <c r="H718">
        <f>IF(DATOS!$G718&lt;&gt;"EX",0,--(COUNTIFS(nNIA,DATOS!$A718,nCURSO,DATOS!$D718,nESPEC,DATOS!$E718,nASIG,DATOS!$I718,nEVAL,"OR")=0))</f>
      </c>
      <c r="I718">
        <f>IF(DATOS!$I718="","",IFERROR(VLOOKUP(DATOS!$I718,CONFIG_ASIGNATURAS!$B$2:$J$91,9,FALSE()),""))</f>
      </c>
    </row>
    <row r="719">
      <c r="F719">
        <f>IF(DATOS!$A719="","",DATOS!$A719&amp;"|"&amp;DATOS!$D719&amp;"|"&amp;DATOS!$E719&amp;"|"&amp;DATOS!$I719)</f>
      </c>
      <c r="G719">
        <f>IF(DATOS!$A719="",0,IF(CONFIG_METADATA!$B$4&lt;&gt;"OR+EX",--(DATOS!$G719=CONFIG_METADATA!$B$4),IF(DATOS!$G719="EX",1,IF(DATOS!$G719="OR",--(COUNTIFS(nNIA,DATOS!$A719,nCURSO,DATOS!$D719,nESPEC,DATOS!$E719,nASIG,DATOS!$I719,nEVAL,"EX")=0),0))))</f>
      </c>
      <c r="H719">
        <f>IF(DATOS!$G719&lt;&gt;"EX",0,--(COUNTIFS(nNIA,DATOS!$A719,nCURSO,DATOS!$D719,nESPEC,DATOS!$E719,nASIG,DATOS!$I719,nEVAL,"OR")=0))</f>
      </c>
      <c r="I719">
        <f>IF(DATOS!$I719="","",IFERROR(VLOOKUP(DATOS!$I719,CONFIG_ASIGNATURAS!$B$2:$J$91,9,FALSE()),""))</f>
      </c>
    </row>
    <row r="720">
      <c r="F720">
        <f>IF(DATOS!$A720="","",DATOS!$A720&amp;"|"&amp;DATOS!$D720&amp;"|"&amp;DATOS!$E720&amp;"|"&amp;DATOS!$I720)</f>
      </c>
      <c r="G720">
        <f>IF(DATOS!$A720="",0,IF(CONFIG_METADATA!$B$4&lt;&gt;"OR+EX",--(DATOS!$G720=CONFIG_METADATA!$B$4),IF(DATOS!$G720="EX",1,IF(DATOS!$G720="OR",--(COUNTIFS(nNIA,DATOS!$A720,nCURSO,DATOS!$D720,nESPEC,DATOS!$E720,nASIG,DATOS!$I720,nEVAL,"EX")=0),0))))</f>
      </c>
      <c r="H720">
        <f>IF(DATOS!$G720&lt;&gt;"EX",0,--(COUNTIFS(nNIA,DATOS!$A720,nCURSO,DATOS!$D720,nESPEC,DATOS!$E720,nASIG,DATOS!$I720,nEVAL,"OR")=0))</f>
      </c>
      <c r="I720">
        <f>IF(DATOS!$I720="","",IFERROR(VLOOKUP(DATOS!$I720,CONFIG_ASIGNATURAS!$B$2:$J$91,9,FALSE()),""))</f>
      </c>
    </row>
    <row r="721">
      <c r="F721">
        <f>IF(DATOS!$A721="","",DATOS!$A721&amp;"|"&amp;DATOS!$D721&amp;"|"&amp;DATOS!$E721&amp;"|"&amp;DATOS!$I721)</f>
      </c>
      <c r="G721">
        <f>IF(DATOS!$A721="",0,IF(CONFIG_METADATA!$B$4&lt;&gt;"OR+EX",--(DATOS!$G721=CONFIG_METADATA!$B$4),IF(DATOS!$G721="EX",1,IF(DATOS!$G721="OR",--(COUNTIFS(nNIA,DATOS!$A721,nCURSO,DATOS!$D721,nESPEC,DATOS!$E721,nASIG,DATOS!$I721,nEVAL,"EX")=0),0))))</f>
      </c>
      <c r="H721">
        <f>IF(DATOS!$G721&lt;&gt;"EX",0,--(COUNTIFS(nNIA,DATOS!$A721,nCURSO,DATOS!$D721,nESPEC,DATOS!$E721,nASIG,DATOS!$I721,nEVAL,"OR")=0))</f>
      </c>
      <c r="I721">
        <f>IF(DATOS!$I721="","",IFERROR(VLOOKUP(DATOS!$I721,CONFIG_ASIGNATURAS!$B$2:$J$91,9,FALSE()),""))</f>
      </c>
    </row>
    <row r="722">
      <c r="F722">
        <f>IF(DATOS!$A722="","",DATOS!$A722&amp;"|"&amp;DATOS!$D722&amp;"|"&amp;DATOS!$E722&amp;"|"&amp;DATOS!$I722)</f>
      </c>
      <c r="G722">
        <f>IF(DATOS!$A722="",0,IF(CONFIG_METADATA!$B$4&lt;&gt;"OR+EX",--(DATOS!$G722=CONFIG_METADATA!$B$4),IF(DATOS!$G722="EX",1,IF(DATOS!$G722="OR",--(COUNTIFS(nNIA,DATOS!$A722,nCURSO,DATOS!$D722,nESPEC,DATOS!$E722,nASIG,DATOS!$I722,nEVAL,"EX")=0),0))))</f>
      </c>
      <c r="H722">
        <f>IF(DATOS!$G722&lt;&gt;"EX",0,--(COUNTIFS(nNIA,DATOS!$A722,nCURSO,DATOS!$D722,nESPEC,DATOS!$E722,nASIG,DATOS!$I722,nEVAL,"OR")=0))</f>
      </c>
      <c r="I722">
        <f>IF(DATOS!$I722="","",IFERROR(VLOOKUP(DATOS!$I722,CONFIG_ASIGNATURAS!$B$2:$J$91,9,FALSE()),""))</f>
      </c>
    </row>
    <row r="723">
      <c r="F723">
        <f>IF(DATOS!$A723="","",DATOS!$A723&amp;"|"&amp;DATOS!$D723&amp;"|"&amp;DATOS!$E723&amp;"|"&amp;DATOS!$I723)</f>
      </c>
      <c r="G723">
        <f>IF(DATOS!$A723="",0,IF(CONFIG_METADATA!$B$4&lt;&gt;"OR+EX",--(DATOS!$G723=CONFIG_METADATA!$B$4),IF(DATOS!$G723="EX",1,IF(DATOS!$G723="OR",--(COUNTIFS(nNIA,DATOS!$A723,nCURSO,DATOS!$D723,nESPEC,DATOS!$E723,nASIG,DATOS!$I723,nEVAL,"EX")=0),0))))</f>
      </c>
      <c r="H723">
        <f>IF(DATOS!$G723&lt;&gt;"EX",0,--(COUNTIFS(nNIA,DATOS!$A723,nCURSO,DATOS!$D723,nESPEC,DATOS!$E723,nASIG,DATOS!$I723,nEVAL,"OR")=0))</f>
      </c>
      <c r="I723">
        <f>IF(DATOS!$I723="","",IFERROR(VLOOKUP(DATOS!$I723,CONFIG_ASIGNATURAS!$B$2:$J$91,9,FALSE()),""))</f>
      </c>
    </row>
    <row r="724">
      <c r="F724">
        <f>IF(DATOS!$A724="","",DATOS!$A724&amp;"|"&amp;DATOS!$D724&amp;"|"&amp;DATOS!$E724&amp;"|"&amp;DATOS!$I724)</f>
      </c>
      <c r="G724">
        <f>IF(DATOS!$A724="",0,IF(CONFIG_METADATA!$B$4&lt;&gt;"OR+EX",--(DATOS!$G724=CONFIG_METADATA!$B$4),IF(DATOS!$G724="EX",1,IF(DATOS!$G724="OR",--(COUNTIFS(nNIA,DATOS!$A724,nCURSO,DATOS!$D724,nESPEC,DATOS!$E724,nASIG,DATOS!$I724,nEVAL,"EX")=0),0))))</f>
      </c>
      <c r="H724">
        <f>IF(DATOS!$G724&lt;&gt;"EX",0,--(COUNTIFS(nNIA,DATOS!$A724,nCURSO,DATOS!$D724,nESPEC,DATOS!$E724,nASIG,DATOS!$I724,nEVAL,"OR")=0))</f>
      </c>
      <c r="I724">
        <f>IF(DATOS!$I724="","",IFERROR(VLOOKUP(DATOS!$I724,CONFIG_ASIGNATURAS!$B$2:$J$91,9,FALSE()),""))</f>
      </c>
    </row>
    <row r="725">
      <c r="F725">
        <f>IF(DATOS!$A725="","",DATOS!$A725&amp;"|"&amp;DATOS!$D725&amp;"|"&amp;DATOS!$E725&amp;"|"&amp;DATOS!$I725)</f>
      </c>
      <c r="G725">
        <f>IF(DATOS!$A725="",0,IF(CONFIG_METADATA!$B$4&lt;&gt;"OR+EX",--(DATOS!$G725=CONFIG_METADATA!$B$4),IF(DATOS!$G725="EX",1,IF(DATOS!$G725="OR",--(COUNTIFS(nNIA,DATOS!$A725,nCURSO,DATOS!$D725,nESPEC,DATOS!$E725,nASIG,DATOS!$I725,nEVAL,"EX")=0),0))))</f>
      </c>
      <c r="H725">
        <f>IF(DATOS!$G725&lt;&gt;"EX",0,--(COUNTIFS(nNIA,DATOS!$A725,nCURSO,DATOS!$D725,nESPEC,DATOS!$E725,nASIG,DATOS!$I725,nEVAL,"OR")=0))</f>
      </c>
      <c r="I725">
        <f>IF(DATOS!$I725="","",IFERROR(VLOOKUP(DATOS!$I725,CONFIG_ASIGNATURAS!$B$2:$J$91,9,FALSE()),""))</f>
      </c>
    </row>
    <row r="726">
      <c r="F726">
        <f>IF(DATOS!$A726="","",DATOS!$A726&amp;"|"&amp;DATOS!$D726&amp;"|"&amp;DATOS!$E726&amp;"|"&amp;DATOS!$I726)</f>
      </c>
      <c r="G726">
        <f>IF(DATOS!$A726="",0,IF(CONFIG_METADATA!$B$4&lt;&gt;"OR+EX",--(DATOS!$G726=CONFIG_METADATA!$B$4),IF(DATOS!$G726="EX",1,IF(DATOS!$G726="OR",--(COUNTIFS(nNIA,DATOS!$A726,nCURSO,DATOS!$D726,nESPEC,DATOS!$E726,nASIG,DATOS!$I726,nEVAL,"EX")=0),0))))</f>
      </c>
      <c r="H726">
        <f>IF(DATOS!$G726&lt;&gt;"EX",0,--(COUNTIFS(nNIA,DATOS!$A726,nCURSO,DATOS!$D726,nESPEC,DATOS!$E726,nASIG,DATOS!$I726,nEVAL,"OR")=0))</f>
      </c>
      <c r="I726">
        <f>IF(DATOS!$I726="","",IFERROR(VLOOKUP(DATOS!$I726,CONFIG_ASIGNATURAS!$B$2:$J$91,9,FALSE()),""))</f>
      </c>
    </row>
    <row r="727">
      <c r="F727">
        <f>IF(DATOS!$A727="","",DATOS!$A727&amp;"|"&amp;DATOS!$D727&amp;"|"&amp;DATOS!$E727&amp;"|"&amp;DATOS!$I727)</f>
      </c>
      <c r="G727">
        <f>IF(DATOS!$A727="",0,IF(CONFIG_METADATA!$B$4&lt;&gt;"OR+EX",--(DATOS!$G727=CONFIG_METADATA!$B$4),IF(DATOS!$G727="EX",1,IF(DATOS!$G727="OR",--(COUNTIFS(nNIA,DATOS!$A727,nCURSO,DATOS!$D727,nESPEC,DATOS!$E727,nASIG,DATOS!$I727,nEVAL,"EX")=0),0))))</f>
      </c>
      <c r="H727">
        <f>IF(DATOS!$G727&lt;&gt;"EX",0,--(COUNTIFS(nNIA,DATOS!$A727,nCURSO,DATOS!$D727,nESPEC,DATOS!$E727,nASIG,DATOS!$I727,nEVAL,"OR")=0))</f>
      </c>
      <c r="I727">
        <f>IF(DATOS!$I727="","",IFERROR(VLOOKUP(DATOS!$I727,CONFIG_ASIGNATURAS!$B$2:$J$91,9,FALSE()),""))</f>
      </c>
    </row>
    <row r="728">
      <c r="F728">
        <f>IF(DATOS!$A728="","",DATOS!$A728&amp;"|"&amp;DATOS!$D728&amp;"|"&amp;DATOS!$E728&amp;"|"&amp;DATOS!$I728)</f>
      </c>
      <c r="G728">
        <f>IF(DATOS!$A728="",0,IF(CONFIG_METADATA!$B$4&lt;&gt;"OR+EX",--(DATOS!$G728=CONFIG_METADATA!$B$4),IF(DATOS!$G728="EX",1,IF(DATOS!$G728="OR",--(COUNTIFS(nNIA,DATOS!$A728,nCURSO,DATOS!$D728,nESPEC,DATOS!$E728,nASIG,DATOS!$I728,nEVAL,"EX")=0),0))))</f>
      </c>
      <c r="H728">
        <f>IF(DATOS!$G728&lt;&gt;"EX",0,--(COUNTIFS(nNIA,DATOS!$A728,nCURSO,DATOS!$D728,nESPEC,DATOS!$E728,nASIG,DATOS!$I728,nEVAL,"OR")=0))</f>
      </c>
      <c r="I728">
        <f>IF(DATOS!$I728="","",IFERROR(VLOOKUP(DATOS!$I728,CONFIG_ASIGNATURAS!$B$2:$J$91,9,FALSE()),""))</f>
      </c>
    </row>
    <row r="729">
      <c r="F729">
        <f>IF(DATOS!$A729="","",DATOS!$A729&amp;"|"&amp;DATOS!$D729&amp;"|"&amp;DATOS!$E729&amp;"|"&amp;DATOS!$I729)</f>
      </c>
      <c r="G729">
        <f>IF(DATOS!$A729="",0,IF(CONFIG_METADATA!$B$4&lt;&gt;"OR+EX",--(DATOS!$G729=CONFIG_METADATA!$B$4),IF(DATOS!$G729="EX",1,IF(DATOS!$G729="OR",--(COUNTIFS(nNIA,DATOS!$A729,nCURSO,DATOS!$D729,nESPEC,DATOS!$E729,nASIG,DATOS!$I729,nEVAL,"EX")=0),0))))</f>
      </c>
      <c r="H729">
        <f>IF(DATOS!$G729&lt;&gt;"EX",0,--(COUNTIFS(nNIA,DATOS!$A729,nCURSO,DATOS!$D729,nESPEC,DATOS!$E729,nASIG,DATOS!$I729,nEVAL,"OR")=0))</f>
      </c>
      <c r="I729">
        <f>IF(DATOS!$I729="","",IFERROR(VLOOKUP(DATOS!$I729,CONFIG_ASIGNATURAS!$B$2:$J$91,9,FALSE()),""))</f>
      </c>
    </row>
    <row r="730">
      <c r="F730">
        <f>IF(DATOS!$A730="","",DATOS!$A730&amp;"|"&amp;DATOS!$D730&amp;"|"&amp;DATOS!$E730&amp;"|"&amp;DATOS!$I730)</f>
      </c>
      <c r="G730">
        <f>IF(DATOS!$A730="",0,IF(CONFIG_METADATA!$B$4&lt;&gt;"OR+EX",--(DATOS!$G730=CONFIG_METADATA!$B$4),IF(DATOS!$G730="EX",1,IF(DATOS!$G730="OR",--(COUNTIFS(nNIA,DATOS!$A730,nCURSO,DATOS!$D730,nESPEC,DATOS!$E730,nASIG,DATOS!$I730,nEVAL,"EX")=0),0))))</f>
      </c>
      <c r="H730">
        <f>IF(DATOS!$G730&lt;&gt;"EX",0,--(COUNTIFS(nNIA,DATOS!$A730,nCURSO,DATOS!$D730,nESPEC,DATOS!$E730,nASIG,DATOS!$I730,nEVAL,"OR")=0))</f>
      </c>
      <c r="I730">
        <f>IF(DATOS!$I730="","",IFERROR(VLOOKUP(DATOS!$I730,CONFIG_ASIGNATURAS!$B$2:$J$91,9,FALSE()),""))</f>
      </c>
    </row>
    <row r="731">
      <c r="F731">
        <f>IF(DATOS!$A731="","",DATOS!$A731&amp;"|"&amp;DATOS!$D731&amp;"|"&amp;DATOS!$E731&amp;"|"&amp;DATOS!$I731)</f>
      </c>
      <c r="G731">
        <f>IF(DATOS!$A731="",0,IF(CONFIG_METADATA!$B$4&lt;&gt;"OR+EX",--(DATOS!$G731=CONFIG_METADATA!$B$4),IF(DATOS!$G731="EX",1,IF(DATOS!$G731="OR",--(COUNTIFS(nNIA,DATOS!$A731,nCURSO,DATOS!$D731,nESPEC,DATOS!$E731,nASIG,DATOS!$I731,nEVAL,"EX")=0),0))))</f>
      </c>
      <c r="H731">
        <f>IF(DATOS!$G731&lt;&gt;"EX",0,--(COUNTIFS(nNIA,DATOS!$A731,nCURSO,DATOS!$D731,nESPEC,DATOS!$E731,nASIG,DATOS!$I731,nEVAL,"OR")=0))</f>
      </c>
      <c r="I731">
        <f>IF(DATOS!$I731="","",IFERROR(VLOOKUP(DATOS!$I731,CONFIG_ASIGNATURAS!$B$2:$J$91,9,FALSE()),""))</f>
      </c>
    </row>
    <row r="732">
      <c r="F732">
        <f>IF(DATOS!$A732="","",DATOS!$A732&amp;"|"&amp;DATOS!$D732&amp;"|"&amp;DATOS!$E732&amp;"|"&amp;DATOS!$I732)</f>
      </c>
      <c r="G732">
        <f>IF(DATOS!$A732="",0,IF(CONFIG_METADATA!$B$4&lt;&gt;"OR+EX",--(DATOS!$G732=CONFIG_METADATA!$B$4),IF(DATOS!$G732="EX",1,IF(DATOS!$G732="OR",--(COUNTIFS(nNIA,DATOS!$A732,nCURSO,DATOS!$D732,nESPEC,DATOS!$E732,nASIG,DATOS!$I732,nEVAL,"EX")=0),0))))</f>
      </c>
      <c r="H732">
        <f>IF(DATOS!$G732&lt;&gt;"EX",0,--(COUNTIFS(nNIA,DATOS!$A732,nCURSO,DATOS!$D732,nESPEC,DATOS!$E732,nASIG,DATOS!$I732,nEVAL,"OR")=0))</f>
      </c>
      <c r="I732">
        <f>IF(DATOS!$I732="","",IFERROR(VLOOKUP(DATOS!$I732,CONFIG_ASIGNATURAS!$B$2:$J$91,9,FALSE()),""))</f>
      </c>
    </row>
    <row r="733">
      <c r="F733">
        <f>IF(DATOS!$A733="","",DATOS!$A733&amp;"|"&amp;DATOS!$D733&amp;"|"&amp;DATOS!$E733&amp;"|"&amp;DATOS!$I733)</f>
      </c>
      <c r="G733">
        <f>IF(DATOS!$A733="",0,IF(CONFIG_METADATA!$B$4&lt;&gt;"OR+EX",--(DATOS!$G733=CONFIG_METADATA!$B$4),IF(DATOS!$G733="EX",1,IF(DATOS!$G733="OR",--(COUNTIFS(nNIA,DATOS!$A733,nCURSO,DATOS!$D733,nESPEC,DATOS!$E733,nASIG,DATOS!$I733,nEVAL,"EX")=0),0))))</f>
      </c>
      <c r="H733">
        <f>IF(DATOS!$G733&lt;&gt;"EX",0,--(COUNTIFS(nNIA,DATOS!$A733,nCURSO,DATOS!$D733,nESPEC,DATOS!$E733,nASIG,DATOS!$I733,nEVAL,"OR")=0))</f>
      </c>
      <c r="I733">
        <f>IF(DATOS!$I733="","",IFERROR(VLOOKUP(DATOS!$I733,CONFIG_ASIGNATURAS!$B$2:$J$91,9,FALSE()),""))</f>
      </c>
    </row>
    <row r="734">
      <c r="F734">
        <f>IF(DATOS!$A734="","",DATOS!$A734&amp;"|"&amp;DATOS!$D734&amp;"|"&amp;DATOS!$E734&amp;"|"&amp;DATOS!$I734)</f>
      </c>
      <c r="G734">
        <f>IF(DATOS!$A734="",0,IF(CONFIG_METADATA!$B$4&lt;&gt;"OR+EX",--(DATOS!$G734=CONFIG_METADATA!$B$4),IF(DATOS!$G734="EX",1,IF(DATOS!$G734="OR",--(COUNTIFS(nNIA,DATOS!$A734,nCURSO,DATOS!$D734,nESPEC,DATOS!$E734,nASIG,DATOS!$I734,nEVAL,"EX")=0),0))))</f>
      </c>
      <c r="H734">
        <f>IF(DATOS!$G734&lt;&gt;"EX",0,--(COUNTIFS(nNIA,DATOS!$A734,nCURSO,DATOS!$D734,nESPEC,DATOS!$E734,nASIG,DATOS!$I734,nEVAL,"OR")=0))</f>
      </c>
      <c r="I734">
        <f>IF(DATOS!$I734="","",IFERROR(VLOOKUP(DATOS!$I734,CONFIG_ASIGNATURAS!$B$2:$J$91,9,FALSE()),""))</f>
      </c>
    </row>
    <row r="735">
      <c r="F735">
        <f>IF(DATOS!$A735="","",DATOS!$A735&amp;"|"&amp;DATOS!$D735&amp;"|"&amp;DATOS!$E735&amp;"|"&amp;DATOS!$I735)</f>
      </c>
      <c r="G735">
        <f>IF(DATOS!$A735="",0,IF(CONFIG_METADATA!$B$4&lt;&gt;"OR+EX",--(DATOS!$G735=CONFIG_METADATA!$B$4),IF(DATOS!$G735="EX",1,IF(DATOS!$G735="OR",--(COUNTIFS(nNIA,DATOS!$A735,nCURSO,DATOS!$D735,nESPEC,DATOS!$E735,nASIG,DATOS!$I735,nEVAL,"EX")=0),0))))</f>
      </c>
      <c r="H735">
        <f>IF(DATOS!$G735&lt;&gt;"EX",0,--(COUNTIFS(nNIA,DATOS!$A735,nCURSO,DATOS!$D735,nESPEC,DATOS!$E735,nASIG,DATOS!$I735,nEVAL,"OR")=0))</f>
      </c>
      <c r="I735">
        <f>IF(DATOS!$I735="","",IFERROR(VLOOKUP(DATOS!$I735,CONFIG_ASIGNATURAS!$B$2:$J$91,9,FALSE()),""))</f>
      </c>
    </row>
    <row r="736">
      <c r="F736">
        <f>IF(DATOS!$A736="","",DATOS!$A736&amp;"|"&amp;DATOS!$D736&amp;"|"&amp;DATOS!$E736&amp;"|"&amp;DATOS!$I736)</f>
      </c>
      <c r="G736">
        <f>IF(DATOS!$A736="",0,IF(CONFIG_METADATA!$B$4&lt;&gt;"OR+EX",--(DATOS!$G736=CONFIG_METADATA!$B$4),IF(DATOS!$G736="EX",1,IF(DATOS!$G736="OR",--(COUNTIFS(nNIA,DATOS!$A736,nCURSO,DATOS!$D736,nESPEC,DATOS!$E736,nASIG,DATOS!$I736,nEVAL,"EX")=0),0))))</f>
      </c>
      <c r="H736">
        <f>IF(DATOS!$G736&lt;&gt;"EX",0,--(COUNTIFS(nNIA,DATOS!$A736,nCURSO,DATOS!$D736,nESPEC,DATOS!$E736,nASIG,DATOS!$I736,nEVAL,"OR")=0))</f>
      </c>
      <c r="I736">
        <f>IF(DATOS!$I736="","",IFERROR(VLOOKUP(DATOS!$I736,CONFIG_ASIGNATURAS!$B$2:$J$91,9,FALSE()),""))</f>
      </c>
    </row>
    <row r="737">
      <c r="F737">
        <f>IF(DATOS!$A737="","",DATOS!$A737&amp;"|"&amp;DATOS!$D737&amp;"|"&amp;DATOS!$E737&amp;"|"&amp;DATOS!$I737)</f>
      </c>
      <c r="G737">
        <f>IF(DATOS!$A737="",0,IF(CONFIG_METADATA!$B$4&lt;&gt;"OR+EX",--(DATOS!$G737=CONFIG_METADATA!$B$4),IF(DATOS!$G737="EX",1,IF(DATOS!$G737="OR",--(COUNTIFS(nNIA,DATOS!$A737,nCURSO,DATOS!$D737,nESPEC,DATOS!$E737,nASIG,DATOS!$I737,nEVAL,"EX")=0),0))))</f>
      </c>
      <c r="H737">
        <f>IF(DATOS!$G737&lt;&gt;"EX",0,--(COUNTIFS(nNIA,DATOS!$A737,nCURSO,DATOS!$D737,nESPEC,DATOS!$E737,nASIG,DATOS!$I737,nEVAL,"OR")=0))</f>
      </c>
      <c r="I737">
        <f>IF(DATOS!$I737="","",IFERROR(VLOOKUP(DATOS!$I737,CONFIG_ASIGNATURAS!$B$2:$J$91,9,FALSE()),""))</f>
      </c>
    </row>
    <row r="738">
      <c r="F738">
        <f>IF(DATOS!$A738="","",DATOS!$A738&amp;"|"&amp;DATOS!$D738&amp;"|"&amp;DATOS!$E738&amp;"|"&amp;DATOS!$I738)</f>
      </c>
      <c r="G738">
        <f>IF(DATOS!$A738="",0,IF(CONFIG_METADATA!$B$4&lt;&gt;"OR+EX",--(DATOS!$G738=CONFIG_METADATA!$B$4),IF(DATOS!$G738="EX",1,IF(DATOS!$G738="OR",--(COUNTIFS(nNIA,DATOS!$A738,nCURSO,DATOS!$D738,nESPEC,DATOS!$E738,nASIG,DATOS!$I738,nEVAL,"EX")=0),0))))</f>
      </c>
      <c r="H738">
        <f>IF(DATOS!$G738&lt;&gt;"EX",0,--(COUNTIFS(nNIA,DATOS!$A738,nCURSO,DATOS!$D738,nESPEC,DATOS!$E738,nASIG,DATOS!$I738,nEVAL,"OR")=0))</f>
      </c>
      <c r="I738">
        <f>IF(DATOS!$I738="","",IFERROR(VLOOKUP(DATOS!$I738,CONFIG_ASIGNATURAS!$B$2:$J$91,9,FALSE()),""))</f>
      </c>
    </row>
    <row r="739">
      <c r="F739">
        <f>IF(DATOS!$A739="","",DATOS!$A739&amp;"|"&amp;DATOS!$D739&amp;"|"&amp;DATOS!$E739&amp;"|"&amp;DATOS!$I739)</f>
      </c>
      <c r="G739">
        <f>IF(DATOS!$A739="",0,IF(CONFIG_METADATA!$B$4&lt;&gt;"OR+EX",--(DATOS!$G739=CONFIG_METADATA!$B$4),IF(DATOS!$G739="EX",1,IF(DATOS!$G739="OR",--(COUNTIFS(nNIA,DATOS!$A739,nCURSO,DATOS!$D739,nESPEC,DATOS!$E739,nASIG,DATOS!$I739,nEVAL,"EX")=0),0))))</f>
      </c>
      <c r="H739">
        <f>IF(DATOS!$G739&lt;&gt;"EX",0,--(COUNTIFS(nNIA,DATOS!$A739,nCURSO,DATOS!$D739,nESPEC,DATOS!$E739,nASIG,DATOS!$I739,nEVAL,"OR")=0))</f>
      </c>
      <c r="I739">
        <f>IF(DATOS!$I739="","",IFERROR(VLOOKUP(DATOS!$I739,CONFIG_ASIGNATURAS!$B$2:$J$91,9,FALSE()),""))</f>
      </c>
    </row>
    <row r="740">
      <c r="F740">
        <f>IF(DATOS!$A740="","",DATOS!$A740&amp;"|"&amp;DATOS!$D740&amp;"|"&amp;DATOS!$E740&amp;"|"&amp;DATOS!$I740)</f>
      </c>
      <c r="G740">
        <f>IF(DATOS!$A740="",0,IF(CONFIG_METADATA!$B$4&lt;&gt;"OR+EX",--(DATOS!$G740=CONFIG_METADATA!$B$4),IF(DATOS!$G740="EX",1,IF(DATOS!$G740="OR",--(COUNTIFS(nNIA,DATOS!$A740,nCURSO,DATOS!$D740,nESPEC,DATOS!$E740,nASIG,DATOS!$I740,nEVAL,"EX")=0),0))))</f>
      </c>
      <c r="H740">
        <f>IF(DATOS!$G740&lt;&gt;"EX",0,--(COUNTIFS(nNIA,DATOS!$A740,nCURSO,DATOS!$D740,nESPEC,DATOS!$E740,nASIG,DATOS!$I740,nEVAL,"OR")=0))</f>
      </c>
      <c r="I740">
        <f>IF(DATOS!$I740="","",IFERROR(VLOOKUP(DATOS!$I740,CONFIG_ASIGNATURAS!$B$2:$J$91,9,FALSE()),""))</f>
      </c>
    </row>
    <row r="741">
      <c r="F741">
        <f>IF(DATOS!$A741="","",DATOS!$A741&amp;"|"&amp;DATOS!$D741&amp;"|"&amp;DATOS!$E741&amp;"|"&amp;DATOS!$I741)</f>
      </c>
      <c r="G741">
        <f>IF(DATOS!$A741="",0,IF(CONFIG_METADATA!$B$4&lt;&gt;"OR+EX",--(DATOS!$G741=CONFIG_METADATA!$B$4),IF(DATOS!$G741="EX",1,IF(DATOS!$G741="OR",--(COUNTIFS(nNIA,DATOS!$A741,nCURSO,DATOS!$D741,nESPEC,DATOS!$E741,nASIG,DATOS!$I741,nEVAL,"EX")=0),0))))</f>
      </c>
      <c r="H741">
        <f>IF(DATOS!$G741&lt;&gt;"EX",0,--(COUNTIFS(nNIA,DATOS!$A741,nCURSO,DATOS!$D741,nESPEC,DATOS!$E741,nASIG,DATOS!$I741,nEVAL,"OR")=0))</f>
      </c>
      <c r="I741">
        <f>IF(DATOS!$I741="","",IFERROR(VLOOKUP(DATOS!$I741,CONFIG_ASIGNATURAS!$B$2:$J$91,9,FALSE()),""))</f>
      </c>
    </row>
    <row r="742">
      <c r="F742">
        <f>IF(DATOS!$A742="","",DATOS!$A742&amp;"|"&amp;DATOS!$D742&amp;"|"&amp;DATOS!$E742&amp;"|"&amp;DATOS!$I742)</f>
      </c>
      <c r="G742">
        <f>IF(DATOS!$A742="",0,IF(CONFIG_METADATA!$B$4&lt;&gt;"OR+EX",--(DATOS!$G742=CONFIG_METADATA!$B$4),IF(DATOS!$G742="EX",1,IF(DATOS!$G742="OR",--(COUNTIFS(nNIA,DATOS!$A742,nCURSO,DATOS!$D742,nESPEC,DATOS!$E742,nASIG,DATOS!$I742,nEVAL,"EX")=0),0))))</f>
      </c>
      <c r="H742">
        <f>IF(DATOS!$G742&lt;&gt;"EX",0,--(COUNTIFS(nNIA,DATOS!$A742,nCURSO,DATOS!$D742,nESPEC,DATOS!$E742,nASIG,DATOS!$I742,nEVAL,"OR")=0))</f>
      </c>
      <c r="I742">
        <f>IF(DATOS!$I742="","",IFERROR(VLOOKUP(DATOS!$I742,CONFIG_ASIGNATURAS!$B$2:$J$91,9,FALSE()),""))</f>
      </c>
    </row>
    <row r="743">
      <c r="F743">
        <f>IF(DATOS!$A743="","",DATOS!$A743&amp;"|"&amp;DATOS!$D743&amp;"|"&amp;DATOS!$E743&amp;"|"&amp;DATOS!$I743)</f>
      </c>
      <c r="G743">
        <f>IF(DATOS!$A743="",0,IF(CONFIG_METADATA!$B$4&lt;&gt;"OR+EX",--(DATOS!$G743=CONFIG_METADATA!$B$4),IF(DATOS!$G743="EX",1,IF(DATOS!$G743="OR",--(COUNTIFS(nNIA,DATOS!$A743,nCURSO,DATOS!$D743,nESPEC,DATOS!$E743,nASIG,DATOS!$I743,nEVAL,"EX")=0),0))))</f>
      </c>
      <c r="H743">
        <f>IF(DATOS!$G743&lt;&gt;"EX",0,--(COUNTIFS(nNIA,DATOS!$A743,nCURSO,DATOS!$D743,nESPEC,DATOS!$E743,nASIG,DATOS!$I743,nEVAL,"OR")=0))</f>
      </c>
      <c r="I743">
        <f>IF(DATOS!$I743="","",IFERROR(VLOOKUP(DATOS!$I743,CONFIG_ASIGNATURAS!$B$2:$J$91,9,FALSE()),""))</f>
      </c>
    </row>
    <row r="744">
      <c r="F744">
        <f>IF(DATOS!$A744="","",DATOS!$A744&amp;"|"&amp;DATOS!$D744&amp;"|"&amp;DATOS!$E744&amp;"|"&amp;DATOS!$I744)</f>
      </c>
      <c r="G744">
        <f>IF(DATOS!$A744="",0,IF(CONFIG_METADATA!$B$4&lt;&gt;"OR+EX",--(DATOS!$G744=CONFIG_METADATA!$B$4),IF(DATOS!$G744="EX",1,IF(DATOS!$G744="OR",--(COUNTIFS(nNIA,DATOS!$A744,nCURSO,DATOS!$D744,nESPEC,DATOS!$E744,nASIG,DATOS!$I744,nEVAL,"EX")=0),0))))</f>
      </c>
      <c r="H744">
        <f>IF(DATOS!$G744&lt;&gt;"EX",0,--(COUNTIFS(nNIA,DATOS!$A744,nCURSO,DATOS!$D744,nESPEC,DATOS!$E744,nASIG,DATOS!$I744,nEVAL,"OR")=0))</f>
      </c>
      <c r="I744">
        <f>IF(DATOS!$I744="","",IFERROR(VLOOKUP(DATOS!$I744,CONFIG_ASIGNATURAS!$B$2:$J$91,9,FALSE()),""))</f>
      </c>
    </row>
    <row r="745">
      <c r="F745">
        <f>IF(DATOS!$A745="","",DATOS!$A745&amp;"|"&amp;DATOS!$D745&amp;"|"&amp;DATOS!$E745&amp;"|"&amp;DATOS!$I745)</f>
      </c>
      <c r="G745">
        <f>IF(DATOS!$A745="",0,IF(CONFIG_METADATA!$B$4&lt;&gt;"OR+EX",--(DATOS!$G745=CONFIG_METADATA!$B$4),IF(DATOS!$G745="EX",1,IF(DATOS!$G745="OR",--(COUNTIFS(nNIA,DATOS!$A745,nCURSO,DATOS!$D745,nESPEC,DATOS!$E745,nASIG,DATOS!$I745,nEVAL,"EX")=0),0))))</f>
      </c>
      <c r="H745">
        <f>IF(DATOS!$G745&lt;&gt;"EX",0,--(COUNTIFS(nNIA,DATOS!$A745,nCURSO,DATOS!$D745,nESPEC,DATOS!$E745,nASIG,DATOS!$I745,nEVAL,"OR")=0))</f>
      </c>
      <c r="I745">
        <f>IF(DATOS!$I745="","",IFERROR(VLOOKUP(DATOS!$I745,CONFIG_ASIGNATURAS!$B$2:$J$91,9,FALSE()),""))</f>
      </c>
    </row>
    <row r="746">
      <c r="F746">
        <f>IF(DATOS!$A746="","",DATOS!$A746&amp;"|"&amp;DATOS!$D746&amp;"|"&amp;DATOS!$E746&amp;"|"&amp;DATOS!$I746)</f>
      </c>
      <c r="G746">
        <f>IF(DATOS!$A746="",0,IF(CONFIG_METADATA!$B$4&lt;&gt;"OR+EX",--(DATOS!$G746=CONFIG_METADATA!$B$4),IF(DATOS!$G746="EX",1,IF(DATOS!$G746="OR",--(COUNTIFS(nNIA,DATOS!$A746,nCURSO,DATOS!$D746,nESPEC,DATOS!$E746,nASIG,DATOS!$I746,nEVAL,"EX")=0),0))))</f>
      </c>
      <c r="H746">
        <f>IF(DATOS!$G746&lt;&gt;"EX",0,--(COUNTIFS(nNIA,DATOS!$A746,nCURSO,DATOS!$D746,nESPEC,DATOS!$E746,nASIG,DATOS!$I746,nEVAL,"OR")=0))</f>
      </c>
      <c r="I746">
        <f>IF(DATOS!$I746="","",IFERROR(VLOOKUP(DATOS!$I746,CONFIG_ASIGNATURAS!$B$2:$J$91,9,FALSE()),""))</f>
      </c>
    </row>
    <row r="747">
      <c r="F747">
        <f>IF(DATOS!$A747="","",DATOS!$A747&amp;"|"&amp;DATOS!$D747&amp;"|"&amp;DATOS!$E747&amp;"|"&amp;DATOS!$I747)</f>
      </c>
      <c r="G747">
        <f>IF(DATOS!$A747="",0,IF(CONFIG_METADATA!$B$4&lt;&gt;"OR+EX",--(DATOS!$G747=CONFIG_METADATA!$B$4),IF(DATOS!$G747="EX",1,IF(DATOS!$G747="OR",--(COUNTIFS(nNIA,DATOS!$A747,nCURSO,DATOS!$D747,nESPEC,DATOS!$E747,nASIG,DATOS!$I747,nEVAL,"EX")=0),0))))</f>
      </c>
      <c r="H747">
        <f>IF(DATOS!$G747&lt;&gt;"EX",0,--(COUNTIFS(nNIA,DATOS!$A747,nCURSO,DATOS!$D747,nESPEC,DATOS!$E747,nASIG,DATOS!$I747,nEVAL,"OR")=0))</f>
      </c>
      <c r="I747">
        <f>IF(DATOS!$I747="","",IFERROR(VLOOKUP(DATOS!$I747,CONFIG_ASIGNATURAS!$B$2:$J$91,9,FALSE()),""))</f>
      </c>
    </row>
    <row r="748">
      <c r="F748">
        <f>IF(DATOS!$A748="","",DATOS!$A748&amp;"|"&amp;DATOS!$D748&amp;"|"&amp;DATOS!$E748&amp;"|"&amp;DATOS!$I748)</f>
      </c>
      <c r="G748">
        <f>IF(DATOS!$A748="",0,IF(CONFIG_METADATA!$B$4&lt;&gt;"OR+EX",--(DATOS!$G748=CONFIG_METADATA!$B$4),IF(DATOS!$G748="EX",1,IF(DATOS!$G748="OR",--(COUNTIFS(nNIA,DATOS!$A748,nCURSO,DATOS!$D748,nESPEC,DATOS!$E748,nASIG,DATOS!$I748,nEVAL,"EX")=0),0))))</f>
      </c>
      <c r="H748">
        <f>IF(DATOS!$G748&lt;&gt;"EX",0,--(COUNTIFS(nNIA,DATOS!$A748,nCURSO,DATOS!$D748,nESPEC,DATOS!$E748,nASIG,DATOS!$I748,nEVAL,"OR")=0))</f>
      </c>
      <c r="I748">
        <f>IF(DATOS!$I748="","",IFERROR(VLOOKUP(DATOS!$I748,CONFIG_ASIGNATURAS!$B$2:$J$91,9,FALSE()),""))</f>
      </c>
    </row>
    <row r="749">
      <c r="F749">
        <f>IF(DATOS!$A749="","",DATOS!$A749&amp;"|"&amp;DATOS!$D749&amp;"|"&amp;DATOS!$E749&amp;"|"&amp;DATOS!$I749)</f>
      </c>
      <c r="G749">
        <f>IF(DATOS!$A749="",0,IF(CONFIG_METADATA!$B$4&lt;&gt;"OR+EX",--(DATOS!$G749=CONFIG_METADATA!$B$4),IF(DATOS!$G749="EX",1,IF(DATOS!$G749="OR",--(COUNTIFS(nNIA,DATOS!$A749,nCURSO,DATOS!$D749,nESPEC,DATOS!$E749,nASIG,DATOS!$I749,nEVAL,"EX")=0),0))))</f>
      </c>
      <c r="H749">
        <f>IF(DATOS!$G749&lt;&gt;"EX",0,--(COUNTIFS(nNIA,DATOS!$A749,nCURSO,DATOS!$D749,nESPEC,DATOS!$E749,nASIG,DATOS!$I749,nEVAL,"OR")=0))</f>
      </c>
      <c r="I749">
        <f>IF(DATOS!$I749="","",IFERROR(VLOOKUP(DATOS!$I749,CONFIG_ASIGNATURAS!$B$2:$J$91,9,FALSE()),""))</f>
      </c>
    </row>
    <row r="750">
      <c r="F750">
        <f>IF(DATOS!$A750="","",DATOS!$A750&amp;"|"&amp;DATOS!$D750&amp;"|"&amp;DATOS!$E750&amp;"|"&amp;DATOS!$I750)</f>
      </c>
      <c r="G750">
        <f>IF(DATOS!$A750="",0,IF(CONFIG_METADATA!$B$4&lt;&gt;"OR+EX",--(DATOS!$G750=CONFIG_METADATA!$B$4),IF(DATOS!$G750="EX",1,IF(DATOS!$G750="OR",--(COUNTIFS(nNIA,DATOS!$A750,nCURSO,DATOS!$D750,nESPEC,DATOS!$E750,nASIG,DATOS!$I750,nEVAL,"EX")=0),0))))</f>
      </c>
      <c r="H750">
        <f>IF(DATOS!$G750&lt;&gt;"EX",0,--(COUNTIFS(nNIA,DATOS!$A750,nCURSO,DATOS!$D750,nESPEC,DATOS!$E750,nASIG,DATOS!$I750,nEVAL,"OR")=0))</f>
      </c>
      <c r="I750">
        <f>IF(DATOS!$I750="","",IFERROR(VLOOKUP(DATOS!$I750,CONFIG_ASIGNATURAS!$B$2:$J$91,9,FALSE()),""))</f>
      </c>
    </row>
    <row r="751">
      <c r="F751">
        <f>IF(DATOS!$A751="","",DATOS!$A751&amp;"|"&amp;DATOS!$D751&amp;"|"&amp;DATOS!$E751&amp;"|"&amp;DATOS!$I751)</f>
      </c>
      <c r="G751">
        <f>IF(DATOS!$A751="",0,IF(CONFIG_METADATA!$B$4&lt;&gt;"OR+EX",--(DATOS!$G751=CONFIG_METADATA!$B$4),IF(DATOS!$G751="EX",1,IF(DATOS!$G751="OR",--(COUNTIFS(nNIA,DATOS!$A751,nCURSO,DATOS!$D751,nESPEC,DATOS!$E751,nASIG,DATOS!$I751,nEVAL,"EX")=0),0))))</f>
      </c>
      <c r="H751">
        <f>IF(DATOS!$G751&lt;&gt;"EX",0,--(COUNTIFS(nNIA,DATOS!$A751,nCURSO,DATOS!$D751,nESPEC,DATOS!$E751,nASIG,DATOS!$I751,nEVAL,"OR")=0))</f>
      </c>
      <c r="I751">
        <f>IF(DATOS!$I751="","",IFERROR(VLOOKUP(DATOS!$I751,CONFIG_ASIGNATURAS!$B$2:$J$91,9,FALSE()),""))</f>
      </c>
    </row>
    <row r="752">
      <c r="F752">
        <f>IF(DATOS!$A752="","",DATOS!$A752&amp;"|"&amp;DATOS!$D752&amp;"|"&amp;DATOS!$E752&amp;"|"&amp;DATOS!$I752)</f>
      </c>
      <c r="G752">
        <f>IF(DATOS!$A752="",0,IF(CONFIG_METADATA!$B$4&lt;&gt;"OR+EX",--(DATOS!$G752=CONFIG_METADATA!$B$4),IF(DATOS!$G752="EX",1,IF(DATOS!$G752="OR",--(COUNTIFS(nNIA,DATOS!$A752,nCURSO,DATOS!$D752,nESPEC,DATOS!$E752,nASIG,DATOS!$I752,nEVAL,"EX")=0),0))))</f>
      </c>
      <c r="H752">
        <f>IF(DATOS!$G752&lt;&gt;"EX",0,--(COUNTIFS(nNIA,DATOS!$A752,nCURSO,DATOS!$D752,nESPEC,DATOS!$E752,nASIG,DATOS!$I752,nEVAL,"OR")=0))</f>
      </c>
      <c r="I752">
        <f>IF(DATOS!$I752="","",IFERROR(VLOOKUP(DATOS!$I752,CONFIG_ASIGNATURAS!$B$2:$J$91,9,FALSE()),""))</f>
      </c>
    </row>
    <row r="753">
      <c r="F753">
        <f>IF(DATOS!$A753="","",DATOS!$A753&amp;"|"&amp;DATOS!$D753&amp;"|"&amp;DATOS!$E753&amp;"|"&amp;DATOS!$I753)</f>
      </c>
      <c r="G753">
        <f>IF(DATOS!$A753="",0,IF(CONFIG_METADATA!$B$4&lt;&gt;"OR+EX",--(DATOS!$G753=CONFIG_METADATA!$B$4),IF(DATOS!$G753="EX",1,IF(DATOS!$G753="OR",--(COUNTIFS(nNIA,DATOS!$A753,nCURSO,DATOS!$D753,nESPEC,DATOS!$E753,nASIG,DATOS!$I753,nEVAL,"EX")=0),0))))</f>
      </c>
      <c r="H753">
        <f>IF(DATOS!$G753&lt;&gt;"EX",0,--(COUNTIFS(nNIA,DATOS!$A753,nCURSO,DATOS!$D753,nESPEC,DATOS!$E753,nASIG,DATOS!$I753,nEVAL,"OR")=0))</f>
      </c>
      <c r="I753">
        <f>IF(DATOS!$I753="","",IFERROR(VLOOKUP(DATOS!$I753,CONFIG_ASIGNATURAS!$B$2:$J$91,9,FALSE()),""))</f>
      </c>
    </row>
    <row r="754">
      <c r="F754">
        <f>IF(DATOS!$A754="","",DATOS!$A754&amp;"|"&amp;DATOS!$D754&amp;"|"&amp;DATOS!$E754&amp;"|"&amp;DATOS!$I754)</f>
      </c>
      <c r="G754">
        <f>IF(DATOS!$A754="",0,IF(CONFIG_METADATA!$B$4&lt;&gt;"OR+EX",--(DATOS!$G754=CONFIG_METADATA!$B$4),IF(DATOS!$G754="EX",1,IF(DATOS!$G754="OR",--(COUNTIFS(nNIA,DATOS!$A754,nCURSO,DATOS!$D754,nESPEC,DATOS!$E754,nASIG,DATOS!$I754,nEVAL,"EX")=0),0))))</f>
      </c>
      <c r="H754">
        <f>IF(DATOS!$G754&lt;&gt;"EX",0,--(COUNTIFS(nNIA,DATOS!$A754,nCURSO,DATOS!$D754,nESPEC,DATOS!$E754,nASIG,DATOS!$I754,nEVAL,"OR")=0))</f>
      </c>
      <c r="I754">
        <f>IF(DATOS!$I754="","",IFERROR(VLOOKUP(DATOS!$I754,CONFIG_ASIGNATURAS!$B$2:$J$91,9,FALSE()),""))</f>
      </c>
    </row>
    <row r="755">
      <c r="F755">
        <f>IF(DATOS!$A755="","",DATOS!$A755&amp;"|"&amp;DATOS!$D755&amp;"|"&amp;DATOS!$E755&amp;"|"&amp;DATOS!$I755)</f>
      </c>
      <c r="G755">
        <f>IF(DATOS!$A755="",0,IF(CONFIG_METADATA!$B$4&lt;&gt;"OR+EX",--(DATOS!$G755=CONFIG_METADATA!$B$4),IF(DATOS!$G755="EX",1,IF(DATOS!$G755="OR",--(COUNTIFS(nNIA,DATOS!$A755,nCURSO,DATOS!$D755,nESPEC,DATOS!$E755,nASIG,DATOS!$I755,nEVAL,"EX")=0),0))))</f>
      </c>
      <c r="H755">
        <f>IF(DATOS!$G755&lt;&gt;"EX",0,--(COUNTIFS(nNIA,DATOS!$A755,nCURSO,DATOS!$D755,nESPEC,DATOS!$E755,nASIG,DATOS!$I755,nEVAL,"OR")=0))</f>
      </c>
      <c r="I755">
        <f>IF(DATOS!$I755="","",IFERROR(VLOOKUP(DATOS!$I755,CONFIG_ASIGNATURAS!$B$2:$J$91,9,FALSE()),""))</f>
      </c>
    </row>
    <row r="756">
      <c r="F756">
        <f>IF(DATOS!$A756="","",DATOS!$A756&amp;"|"&amp;DATOS!$D756&amp;"|"&amp;DATOS!$E756&amp;"|"&amp;DATOS!$I756)</f>
      </c>
      <c r="G756">
        <f>IF(DATOS!$A756="",0,IF(CONFIG_METADATA!$B$4&lt;&gt;"OR+EX",--(DATOS!$G756=CONFIG_METADATA!$B$4),IF(DATOS!$G756="EX",1,IF(DATOS!$G756="OR",--(COUNTIFS(nNIA,DATOS!$A756,nCURSO,DATOS!$D756,nESPEC,DATOS!$E756,nASIG,DATOS!$I756,nEVAL,"EX")=0),0))))</f>
      </c>
      <c r="H756">
        <f>IF(DATOS!$G756&lt;&gt;"EX",0,--(COUNTIFS(nNIA,DATOS!$A756,nCURSO,DATOS!$D756,nESPEC,DATOS!$E756,nASIG,DATOS!$I756,nEVAL,"OR")=0))</f>
      </c>
      <c r="I756">
        <f>IF(DATOS!$I756="","",IFERROR(VLOOKUP(DATOS!$I756,CONFIG_ASIGNATURAS!$B$2:$J$91,9,FALSE()),""))</f>
      </c>
    </row>
    <row r="757">
      <c r="F757">
        <f>IF(DATOS!$A757="","",DATOS!$A757&amp;"|"&amp;DATOS!$D757&amp;"|"&amp;DATOS!$E757&amp;"|"&amp;DATOS!$I757)</f>
      </c>
      <c r="G757">
        <f>IF(DATOS!$A757="",0,IF(CONFIG_METADATA!$B$4&lt;&gt;"OR+EX",--(DATOS!$G757=CONFIG_METADATA!$B$4),IF(DATOS!$G757="EX",1,IF(DATOS!$G757="OR",--(COUNTIFS(nNIA,DATOS!$A757,nCURSO,DATOS!$D757,nESPEC,DATOS!$E757,nASIG,DATOS!$I757,nEVAL,"EX")=0),0))))</f>
      </c>
      <c r="H757">
        <f>IF(DATOS!$G757&lt;&gt;"EX",0,--(COUNTIFS(nNIA,DATOS!$A757,nCURSO,DATOS!$D757,nESPEC,DATOS!$E757,nASIG,DATOS!$I757,nEVAL,"OR")=0))</f>
      </c>
      <c r="I757">
        <f>IF(DATOS!$I757="","",IFERROR(VLOOKUP(DATOS!$I757,CONFIG_ASIGNATURAS!$B$2:$J$91,9,FALSE()),""))</f>
      </c>
    </row>
    <row r="758">
      <c r="F758">
        <f>IF(DATOS!$A758="","",DATOS!$A758&amp;"|"&amp;DATOS!$D758&amp;"|"&amp;DATOS!$E758&amp;"|"&amp;DATOS!$I758)</f>
      </c>
      <c r="G758">
        <f>IF(DATOS!$A758="",0,IF(CONFIG_METADATA!$B$4&lt;&gt;"OR+EX",--(DATOS!$G758=CONFIG_METADATA!$B$4),IF(DATOS!$G758="EX",1,IF(DATOS!$G758="OR",--(COUNTIFS(nNIA,DATOS!$A758,nCURSO,DATOS!$D758,nESPEC,DATOS!$E758,nASIG,DATOS!$I758,nEVAL,"EX")=0),0))))</f>
      </c>
      <c r="H758">
        <f>IF(DATOS!$G758&lt;&gt;"EX",0,--(COUNTIFS(nNIA,DATOS!$A758,nCURSO,DATOS!$D758,nESPEC,DATOS!$E758,nASIG,DATOS!$I758,nEVAL,"OR")=0))</f>
      </c>
      <c r="I758">
        <f>IF(DATOS!$I758="","",IFERROR(VLOOKUP(DATOS!$I758,CONFIG_ASIGNATURAS!$B$2:$J$91,9,FALSE()),""))</f>
      </c>
    </row>
    <row r="759">
      <c r="F759">
        <f>IF(DATOS!$A759="","",DATOS!$A759&amp;"|"&amp;DATOS!$D759&amp;"|"&amp;DATOS!$E759&amp;"|"&amp;DATOS!$I759)</f>
      </c>
      <c r="G759">
        <f>IF(DATOS!$A759="",0,IF(CONFIG_METADATA!$B$4&lt;&gt;"OR+EX",--(DATOS!$G759=CONFIG_METADATA!$B$4),IF(DATOS!$G759="EX",1,IF(DATOS!$G759="OR",--(COUNTIFS(nNIA,DATOS!$A759,nCURSO,DATOS!$D759,nESPEC,DATOS!$E759,nASIG,DATOS!$I759,nEVAL,"EX")=0),0))))</f>
      </c>
      <c r="H759">
        <f>IF(DATOS!$G759&lt;&gt;"EX",0,--(COUNTIFS(nNIA,DATOS!$A759,nCURSO,DATOS!$D759,nESPEC,DATOS!$E759,nASIG,DATOS!$I759,nEVAL,"OR")=0))</f>
      </c>
      <c r="I759">
        <f>IF(DATOS!$I759="","",IFERROR(VLOOKUP(DATOS!$I759,CONFIG_ASIGNATURAS!$B$2:$J$91,9,FALSE()),""))</f>
      </c>
    </row>
    <row r="760">
      <c r="F760">
        <f>IF(DATOS!$A760="","",DATOS!$A760&amp;"|"&amp;DATOS!$D760&amp;"|"&amp;DATOS!$E760&amp;"|"&amp;DATOS!$I760)</f>
      </c>
      <c r="G760">
        <f>IF(DATOS!$A760="",0,IF(CONFIG_METADATA!$B$4&lt;&gt;"OR+EX",--(DATOS!$G760=CONFIG_METADATA!$B$4),IF(DATOS!$G760="EX",1,IF(DATOS!$G760="OR",--(COUNTIFS(nNIA,DATOS!$A760,nCURSO,DATOS!$D760,nESPEC,DATOS!$E760,nASIG,DATOS!$I760,nEVAL,"EX")=0),0))))</f>
      </c>
      <c r="H760">
        <f>IF(DATOS!$G760&lt;&gt;"EX",0,--(COUNTIFS(nNIA,DATOS!$A760,nCURSO,DATOS!$D760,nESPEC,DATOS!$E760,nASIG,DATOS!$I760,nEVAL,"OR")=0))</f>
      </c>
      <c r="I760">
        <f>IF(DATOS!$I760="","",IFERROR(VLOOKUP(DATOS!$I760,CONFIG_ASIGNATURAS!$B$2:$J$91,9,FALSE()),""))</f>
      </c>
    </row>
    <row r="761">
      <c r="F761">
        <f>IF(DATOS!$A761="","",DATOS!$A761&amp;"|"&amp;DATOS!$D761&amp;"|"&amp;DATOS!$E761&amp;"|"&amp;DATOS!$I761)</f>
      </c>
      <c r="G761">
        <f>IF(DATOS!$A761="",0,IF(CONFIG_METADATA!$B$4&lt;&gt;"OR+EX",--(DATOS!$G761=CONFIG_METADATA!$B$4),IF(DATOS!$G761="EX",1,IF(DATOS!$G761="OR",--(COUNTIFS(nNIA,DATOS!$A761,nCURSO,DATOS!$D761,nESPEC,DATOS!$E761,nASIG,DATOS!$I761,nEVAL,"EX")=0),0))))</f>
      </c>
      <c r="H761">
        <f>IF(DATOS!$G761&lt;&gt;"EX",0,--(COUNTIFS(nNIA,DATOS!$A761,nCURSO,DATOS!$D761,nESPEC,DATOS!$E761,nASIG,DATOS!$I761,nEVAL,"OR")=0))</f>
      </c>
      <c r="I761">
        <f>IF(DATOS!$I761="","",IFERROR(VLOOKUP(DATOS!$I761,CONFIG_ASIGNATURAS!$B$2:$J$91,9,FALSE()),""))</f>
      </c>
    </row>
    <row r="762">
      <c r="F762">
        <f>IF(DATOS!$A762="","",DATOS!$A762&amp;"|"&amp;DATOS!$D762&amp;"|"&amp;DATOS!$E762&amp;"|"&amp;DATOS!$I762)</f>
      </c>
      <c r="G762">
        <f>IF(DATOS!$A762="",0,IF(CONFIG_METADATA!$B$4&lt;&gt;"OR+EX",--(DATOS!$G762=CONFIG_METADATA!$B$4),IF(DATOS!$G762="EX",1,IF(DATOS!$G762="OR",--(COUNTIFS(nNIA,DATOS!$A762,nCURSO,DATOS!$D762,nESPEC,DATOS!$E762,nASIG,DATOS!$I762,nEVAL,"EX")=0),0))))</f>
      </c>
      <c r="H762">
        <f>IF(DATOS!$G762&lt;&gt;"EX",0,--(COUNTIFS(nNIA,DATOS!$A762,nCURSO,DATOS!$D762,nESPEC,DATOS!$E762,nASIG,DATOS!$I762,nEVAL,"OR")=0))</f>
      </c>
      <c r="I762">
        <f>IF(DATOS!$I762="","",IFERROR(VLOOKUP(DATOS!$I762,CONFIG_ASIGNATURAS!$B$2:$J$91,9,FALSE()),""))</f>
      </c>
    </row>
    <row r="763">
      <c r="F763">
        <f>IF(DATOS!$A763="","",DATOS!$A763&amp;"|"&amp;DATOS!$D763&amp;"|"&amp;DATOS!$E763&amp;"|"&amp;DATOS!$I763)</f>
      </c>
      <c r="G763">
        <f>IF(DATOS!$A763="",0,IF(CONFIG_METADATA!$B$4&lt;&gt;"OR+EX",--(DATOS!$G763=CONFIG_METADATA!$B$4),IF(DATOS!$G763="EX",1,IF(DATOS!$G763="OR",--(COUNTIFS(nNIA,DATOS!$A763,nCURSO,DATOS!$D763,nESPEC,DATOS!$E763,nASIG,DATOS!$I763,nEVAL,"EX")=0),0))))</f>
      </c>
      <c r="H763">
        <f>IF(DATOS!$G763&lt;&gt;"EX",0,--(COUNTIFS(nNIA,DATOS!$A763,nCURSO,DATOS!$D763,nESPEC,DATOS!$E763,nASIG,DATOS!$I763,nEVAL,"OR")=0))</f>
      </c>
      <c r="I763">
        <f>IF(DATOS!$I763="","",IFERROR(VLOOKUP(DATOS!$I763,CONFIG_ASIGNATURAS!$B$2:$J$91,9,FALSE()),""))</f>
      </c>
    </row>
    <row r="764">
      <c r="F764">
        <f>IF(DATOS!$A764="","",DATOS!$A764&amp;"|"&amp;DATOS!$D764&amp;"|"&amp;DATOS!$E764&amp;"|"&amp;DATOS!$I764)</f>
      </c>
      <c r="G764">
        <f>IF(DATOS!$A764="",0,IF(CONFIG_METADATA!$B$4&lt;&gt;"OR+EX",--(DATOS!$G764=CONFIG_METADATA!$B$4),IF(DATOS!$G764="EX",1,IF(DATOS!$G764="OR",--(COUNTIFS(nNIA,DATOS!$A764,nCURSO,DATOS!$D764,nESPEC,DATOS!$E764,nASIG,DATOS!$I764,nEVAL,"EX")=0),0))))</f>
      </c>
      <c r="H764">
        <f>IF(DATOS!$G764&lt;&gt;"EX",0,--(COUNTIFS(nNIA,DATOS!$A764,nCURSO,DATOS!$D764,nESPEC,DATOS!$E764,nASIG,DATOS!$I764,nEVAL,"OR")=0))</f>
      </c>
      <c r="I764">
        <f>IF(DATOS!$I764="","",IFERROR(VLOOKUP(DATOS!$I764,CONFIG_ASIGNATURAS!$B$2:$J$91,9,FALSE()),""))</f>
      </c>
    </row>
    <row r="765">
      <c r="F765">
        <f>IF(DATOS!$A765="","",DATOS!$A765&amp;"|"&amp;DATOS!$D765&amp;"|"&amp;DATOS!$E765&amp;"|"&amp;DATOS!$I765)</f>
      </c>
      <c r="G765">
        <f>IF(DATOS!$A765="",0,IF(CONFIG_METADATA!$B$4&lt;&gt;"OR+EX",--(DATOS!$G765=CONFIG_METADATA!$B$4),IF(DATOS!$G765="EX",1,IF(DATOS!$G765="OR",--(COUNTIFS(nNIA,DATOS!$A765,nCURSO,DATOS!$D765,nESPEC,DATOS!$E765,nASIG,DATOS!$I765,nEVAL,"EX")=0),0))))</f>
      </c>
      <c r="H765">
        <f>IF(DATOS!$G765&lt;&gt;"EX",0,--(COUNTIFS(nNIA,DATOS!$A765,nCURSO,DATOS!$D765,nESPEC,DATOS!$E765,nASIG,DATOS!$I765,nEVAL,"OR")=0))</f>
      </c>
      <c r="I765">
        <f>IF(DATOS!$I765="","",IFERROR(VLOOKUP(DATOS!$I765,CONFIG_ASIGNATURAS!$B$2:$J$91,9,FALSE()),""))</f>
      </c>
    </row>
    <row r="766">
      <c r="F766">
        <f>IF(DATOS!$A766="","",DATOS!$A766&amp;"|"&amp;DATOS!$D766&amp;"|"&amp;DATOS!$E766&amp;"|"&amp;DATOS!$I766)</f>
      </c>
      <c r="G766">
        <f>IF(DATOS!$A766="",0,IF(CONFIG_METADATA!$B$4&lt;&gt;"OR+EX",--(DATOS!$G766=CONFIG_METADATA!$B$4),IF(DATOS!$G766="EX",1,IF(DATOS!$G766="OR",--(COUNTIFS(nNIA,DATOS!$A766,nCURSO,DATOS!$D766,nESPEC,DATOS!$E766,nASIG,DATOS!$I766,nEVAL,"EX")=0),0))))</f>
      </c>
      <c r="H766">
        <f>IF(DATOS!$G766&lt;&gt;"EX",0,--(COUNTIFS(nNIA,DATOS!$A766,nCURSO,DATOS!$D766,nESPEC,DATOS!$E766,nASIG,DATOS!$I766,nEVAL,"OR")=0))</f>
      </c>
      <c r="I766">
        <f>IF(DATOS!$I766="","",IFERROR(VLOOKUP(DATOS!$I766,CONFIG_ASIGNATURAS!$B$2:$J$91,9,FALSE()),""))</f>
      </c>
    </row>
    <row r="767">
      <c r="F767">
        <f>IF(DATOS!$A767="","",DATOS!$A767&amp;"|"&amp;DATOS!$D767&amp;"|"&amp;DATOS!$E767&amp;"|"&amp;DATOS!$I767)</f>
      </c>
      <c r="G767">
        <f>IF(DATOS!$A767="",0,IF(CONFIG_METADATA!$B$4&lt;&gt;"OR+EX",--(DATOS!$G767=CONFIG_METADATA!$B$4),IF(DATOS!$G767="EX",1,IF(DATOS!$G767="OR",--(COUNTIFS(nNIA,DATOS!$A767,nCURSO,DATOS!$D767,nESPEC,DATOS!$E767,nASIG,DATOS!$I767,nEVAL,"EX")=0),0))))</f>
      </c>
      <c r="H767">
        <f>IF(DATOS!$G767&lt;&gt;"EX",0,--(COUNTIFS(nNIA,DATOS!$A767,nCURSO,DATOS!$D767,nESPEC,DATOS!$E767,nASIG,DATOS!$I767,nEVAL,"OR")=0))</f>
      </c>
      <c r="I767">
        <f>IF(DATOS!$I767="","",IFERROR(VLOOKUP(DATOS!$I767,CONFIG_ASIGNATURAS!$B$2:$J$91,9,FALSE()),""))</f>
      </c>
    </row>
    <row r="768">
      <c r="F768">
        <f>IF(DATOS!$A768="","",DATOS!$A768&amp;"|"&amp;DATOS!$D768&amp;"|"&amp;DATOS!$E768&amp;"|"&amp;DATOS!$I768)</f>
      </c>
      <c r="G768">
        <f>IF(DATOS!$A768="",0,IF(CONFIG_METADATA!$B$4&lt;&gt;"OR+EX",--(DATOS!$G768=CONFIG_METADATA!$B$4),IF(DATOS!$G768="EX",1,IF(DATOS!$G768="OR",--(COUNTIFS(nNIA,DATOS!$A768,nCURSO,DATOS!$D768,nESPEC,DATOS!$E768,nASIG,DATOS!$I768,nEVAL,"EX")=0),0))))</f>
      </c>
      <c r="H768">
        <f>IF(DATOS!$G768&lt;&gt;"EX",0,--(COUNTIFS(nNIA,DATOS!$A768,nCURSO,DATOS!$D768,nESPEC,DATOS!$E768,nASIG,DATOS!$I768,nEVAL,"OR")=0))</f>
      </c>
      <c r="I768">
        <f>IF(DATOS!$I768="","",IFERROR(VLOOKUP(DATOS!$I768,CONFIG_ASIGNATURAS!$B$2:$J$91,9,FALSE()),""))</f>
      </c>
    </row>
    <row r="769">
      <c r="F769">
        <f>IF(DATOS!$A769="","",DATOS!$A769&amp;"|"&amp;DATOS!$D769&amp;"|"&amp;DATOS!$E769&amp;"|"&amp;DATOS!$I769)</f>
      </c>
      <c r="G769">
        <f>IF(DATOS!$A769="",0,IF(CONFIG_METADATA!$B$4&lt;&gt;"OR+EX",--(DATOS!$G769=CONFIG_METADATA!$B$4),IF(DATOS!$G769="EX",1,IF(DATOS!$G769="OR",--(COUNTIFS(nNIA,DATOS!$A769,nCURSO,DATOS!$D769,nESPEC,DATOS!$E769,nASIG,DATOS!$I769,nEVAL,"EX")=0),0))))</f>
      </c>
      <c r="H769">
        <f>IF(DATOS!$G769&lt;&gt;"EX",0,--(COUNTIFS(nNIA,DATOS!$A769,nCURSO,DATOS!$D769,nESPEC,DATOS!$E769,nASIG,DATOS!$I769,nEVAL,"OR")=0))</f>
      </c>
      <c r="I769">
        <f>IF(DATOS!$I769="","",IFERROR(VLOOKUP(DATOS!$I769,CONFIG_ASIGNATURAS!$B$2:$J$91,9,FALSE()),""))</f>
      </c>
    </row>
    <row r="770">
      <c r="F770">
        <f>IF(DATOS!$A770="","",DATOS!$A770&amp;"|"&amp;DATOS!$D770&amp;"|"&amp;DATOS!$E770&amp;"|"&amp;DATOS!$I770)</f>
      </c>
      <c r="G770">
        <f>IF(DATOS!$A770="",0,IF(CONFIG_METADATA!$B$4&lt;&gt;"OR+EX",--(DATOS!$G770=CONFIG_METADATA!$B$4),IF(DATOS!$G770="EX",1,IF(DATOS!$G770="OR",--(COUNTIFS(nNIA,DATOS!$A770,nCURSO,DATOS!$D770,nESPEC,DATOS!$E770,nASIG,DATOS!$I770,nEVAL,"EX")=0),0))))</f>
      </c>
      <c r="H770">
        <f>IF(DATOS!$G770&lt;&gt;"EX",0,--(COUNTIFS(nNIA,DATOS!$A770,nCURSO,DATOS!$D770,nESPEC,DATOS!$E770,nASIG,DATOS!$I770,nEVAL,"OR")=0))</f>
      </c>
      <c r="I770">
        <f>IF(DATOS!$I770="","",IFERROR(VLOOKUP(DATOS!$I770,CONFIG_ASIGNATURAS!$B$2:$J$91,9,FALSE()),""))</f>
      </c>
    </row>
    <row r="771">
      <c r="F771">
        <f>IF(DATOS!$A771="","",DATOS!$A771&amp;"|"&amp;DATOS!$D771&amp;"|"&amp;DATOS!$E771&amp;"|"&amp;DATOS!$I771)</f>
      </c>
      <c r="G771">
        <f>IF(DATOS!$A771="",0,IF(CONFIG_METADATA!$B$4&lt;&gt;"OR+EX",--(DATOS!$G771=CONFIG_METADATA!$B$4),IF(DATOS!$G771="EX",1,IF(DATOS!$G771="OR",--(COUNTIFS(nNIA,DATOS!$A771,nCURSO,DATOS!$D771,nESPEC,DATOS!$E771,nASIG,DATOS!$I771,nEVAL,"EX")=0),0))))</f>
      </c>
      <c r="H771">
        <f>IF(DATOS!$G771&lt;&gt;"EX",0,--(COUNTIFS(nNIA,DATOS!$A771,nCURSO,DATOS!$D771,nESPEC,DATOS!$E771,nASIG,DATOS!$I771,nEVAL,"OR")=0))</f>
      </c>
      <c r="I771">
        <f>IF(DATOS!$I771="","",IFERROR(VLOOKUP(DATOS!$I771,CONFIG_ASIGNATURAS!$B$2:$J$91,9,FALSE()),""))</f>
      </c>
    </row>
    <row r="772">
      <c r="F772">
        <f>IF(DATOS!$A772="","",DATOS!$A772&amp;"|"&amp;DATOS!$D772&amp;"|"&amp;DATOS!$E772&amp;"|"&amp;DATOS!$I772)</f>
      </c>
      <c r="G772">
        <f>IF(DATOS!$A772="",0,IF(CONFIG_METADATA!$B$4&lt;&gt;"OR+EX",--(DATOS!$G772=CONFIG_METADATA!$B$4),IF(DATOS!$G772="EX",1,IF(DATOS!$G772="OR",--(COUNTIFS(nNIA,DATOS!$A772,nCURSO,DATOS!$D772,nESPEC,DATOS!$E772,nASIG,DATOS!$I772,nEVAL,"EX")=0),0))))</f>
      </c>
      <c r="H772">
        <f>IF(DATOS!$G772&lt;&gt;"EX",0,--(COUNTIFS(nNIA,DATOS!$A772,nCURSO,DATOS!$D772,nESPEC,DATOS!$E772,nASIG,DATOS!$I772,nEVAL,"OR")=0))</f>
      </c>
      <c r="I772">
        <f>IF(DATOS!$I772="","",IFERROR(VLOOKUP(DATOS!$I772,CONFIG_ASIGNATURAS!$B$2:$J$91,9,FALSE()),""))</f>
      </c>
    </row>
    <row r="773">
      <c r="F773">
        <f>IF(DATOS!$A773="","",DATOS!$A773&amp;"|"&amp;DATOS!$D773&amp;"|"&amp;DATOS!$E773&amp;"|"&amp;DATOS!$I773)</f>
      </c>
      <c r="G773">
        <f>IF(DATOS!$A773="",0,IF(CONFIG_METADATA!$B$4&lt;&gt;"OR+EX",--(DATOS!$G773=CONFIG_METADATA!$B$4),IF(DATOS!$G773="EX",1,IF(DATOS!$G773="OR",--(COUNTIFS(nNIA,DATOS!$A773,nCURSO,DATOS!$D773,nESPEC,DATOS!$E773,nASIG,DATOS!$I773,nEVAL,"EX")=0),0))))</f>
      </c>
      <c r="H773">
        <f>IF(DATOS!$G773&lt;&gt;"EX",0,--(COUNTIFS(nNIA,DATOS!$A773,nCURSO,DATOS!$D773,nESPEC,DATOS!$E773,nASIG,DATOS!$I773,nEVAL,"OR")=0))</f>
      </c>
      <c r="I773">
        <f>IF(DATOS!$I773="","",IFERROR(VLOOKUP(DATOS!$I773,CONFIG_ASIGNATURAS!$B$2:$J$91,9,FALSE()),""))</f>
      </c>
    </row>
    <row r="774">
      <c r="F774">
        <f>IF(DATOS!$A774="","",DATOS!$A774&amp;"|"&amp;DATOS!$D774&amp;"|"&amp;DATOS!$E774&amp;"|"&amp;DATOS!$I774)</f>
      </c>
      <c r="G774">
        <f>IF(DATOS!$A774="",0,IF(CONFIG_METADATA!$B$4&lt;&gt;"OR+EX",--(DATOS!$G774=CONFIG_METADATA!$B$4),IF(DATOS!$G774="EX",1,IF(DATOS!$G774="OR",--(COUNTIFS(nNIA,DATOS!$A774,nCURSO,DATOS!$D774,nESPEC,DATOS!$E774,nASIG,DATOS!$I774,nEVAL,"EX")=0),0))))</f>
      </c>
      <c r="H774">
        <f>IF(DATOS!$G774&lt;&gt;"EX",0,--(COUNTIFS(nNIA,DATOS!$A774,nCURSO,DATOS!$D774,nESPEC,DATOS!$E774,nASIG,DATOS!$I774,nEVAL,"OR")=0))</f>
      </c>
      <c r="I774">
        <f>IF(DATOS!$I774="","",IFERROR(VLOOKUP(DATOS!$I774,CONFIG_ASIGNATURAS!$B$2:$J$91,9,FALSE()),""))</f>
      </c>
    </row>
    <row r="775">
      <c r="F775">
        <f>IF(DATOS!$A775="","",DATOS!$A775&amp;"|"&amp;DATOS!$D775&amp;"|"&amp;DATOS!$E775&amp;"|"&amp;DATOS!$I775)</f>
      </c>
      <c r="G775">
        <f>IF(DATOS!$A775="",0,IF(CONFIG_METADATA!$B$4&lt;&gt;"OR+EX",--(DATOS!$G775=CONFIG_METADATA!$B$4),IF(DATOS!$G775="EX",1,IF(DATOS!$G775="OR",--(COUNTIFS(nNIA,DATOS!$A775,nCURSO,DATOS!$D775,nESPEC,DATOS!$E775,nASIG,DATOS!$I775,nEVAL,"EX")=0),0))))</f>
      </c>
      <c r="H775">
        <f>IF(DATOS!$G775&lt;&gt;"EX",0,--(COUNTIFS(nNIA,DATOS!$A775,nCURSO,DATOS!$D775,nESPEC,DATOS!$E775,nASIG,DATOS!$I775,nEVAL,"OR")=0))</f>
      </c>
      <c r="I775">
        <f>IF(DATOS!$I775="","",IFERROR(VLOOKUP(DATOS!$I775,CONFIG_ASIGNATURAS!$B$2:$J$91,9,FALSE()),""))</f>
      </c>
    </row>
    <row r="776">
      <c r="F776">
        <f>IF(DATOS!$A776="","",DATOS!$A776&amp;"|"&amp;DATOS!$D776&amp;"|"&amp;DATOS!$E776&amp;"|"&amp;DATOS!$I776)</f>
      </c>
      <c r="G776">
        <f>IF(DATOS!$A776="",0,IF(CONFIG_METADATA!$B$4&lt;&gt;"OR+EX",--(DATOS!$G776=CONFIG_METADATA!$B$4),IF(DATOS!$G776="EX",1,IF(DATOS!$G776="OR",--(COUNTIFS(nNIA,DATOS!$A776,nCURSO,DATOS!$D776,nESPEC,DATOS!$E776,nASIG,DATOS!$I776,nEVAL,"EX")=0),0))))</f>
      </c>
      <c r="H776">
        <f>IF(DATOS!$G776&lt;&gt;"EX",0,--(COUNTIFS(nNIA,DATOS!$A776,nCURSO,DATOS!$D776,nESPEC,DATOS!$E776,nASIG,DATOS!$I776,nEVAL,"OR")=0))</f>
      </c>
      <c r="I776">
        <f>IF(DATOS!$I776="","",IFERROR(VLOOKUP(DATOS!$I776,CONFIG_ASIGNATURAS!$B$2:$J$91,9,FALSE()),""))</f>
      </c>
    </row>
    <row r="777">
      <c r="F777">
        <f>IF(DATOS!$A777="","",DATOS!$A777&amp;"|"&amp;DATOS!$D777&amp;"|"&amp;DATOS!$E777&amp;"|"&amp;DATOS!$I777)</f>
      </c>
      <c r="G777">
        <f>IF(DATOS!$A777="",0,IF(CONFIG_METADATA!$B$4&lt;&gt;"OR+EX",--(DATOS!$G777=CONFIG_METADATA!$B$4),IF(DATOS!$G777="EX",1,IF(DATOS!$G777="OR",--(COUNTIFS(nNIA,DATOS!$A777,nCURSO,DATOS!$D777,nESPEC,DATOS!$E777,nASIG,DATOS!$I777,nEVAL,"EX")=0),0))))</f>
      </c>
      <c r="H777">
        <f>IF(DATOS!$G777&lt;&gt;"EX",0,--(COUNTIFS(nNIA,DATOS!$A777,nCURSO,DATOS!$D777,nESPEC,DATOS!$E777,nASIG,DATOS!$I777,nEVAL,"OR")=0))</f>
      </c>
      <c r="I777">
        <f>IF(DATOS!$I777="","",IFERROR(VLOOKUP(DATOS!$I777,CONFIG_ASIGNATURAS!$B$2:$J$91,9,FALSE()),""))</f>
      </c>
    </row>
    <row r="778">
      <c r="F778">
        <f>IF(DATOS!$A778="","",DATOS!$A778&amp;"|"&amp;DATOS!$D778&amp;"|"&amp;DATOS!$E778&amp;"|"&amp;DATOS!$I778)</f>
      </c>
      <c r="G778">
        <f>IF(DATOS!$A778="",0,IF(CONFIG_METADATA!$B$4&lt;&gt;"OR+EX",--(DATOS!$G778=CONFIG_METADATA!$B$4),IF(DATOS!$G778="EX",1,IF(DATOS!$G778="OR",--(COUNTIFS(nNIA,DATOS!$A778,nCURSO,DATOS!$D778,nESPEC,DATOS!$E778,nASIG,DATOS!$I778,nEVAL,"EX")=0),0))))</f>
      </c>
      <c r="H778">
        <f>IF(DATOS!$G778&lt;&gt;"EX",0,--(COUNTIFS(nNIA,DATOS!$A778,nCURSO,DATOS!$D778,nESPEC,DATOS!$E778,nASIG,DATOS!$I778,nEVAL,"OR")=0))</f>
      </c>
      <c r="I778">
        <f>IF(DATOS!$I778="","",IFERROR(VLOOKUP(DATOS!$I778,CONFIG_ASIGNATURAS!$B$2:$J$91,9,FALSE()),""))</f>
      </c>
    </row>
    <row r="779">
      <c r="F779">
        <f>IF(DATOS!$A779="","",DATOS!$A779&amp;"|"&amp;DATOS!$D779&amp;"|"&amp;DATOS!$E779&amp;"|"&amp;DATOS!$I779)</f>
      </c>
      <c r="G779">
        <f>IF(DATOS!$A779="",0,IF(CONFIG_METADATA!$B$4&lt;&gt;"OR+EX",--(DATOS!$G779=CONFIG_METADATA!$B$4),IF(DATOS!$G779="EX",1,IF(DATOS!$G779="OR",--(COUNTIFS(nNIA,DATOS!$A779,nCURSO,DATOS!$D779,nESPEC,DATOS!$E779,nASIG,DATOS!$I779,nEVAL,"EX")=0),0))))</f>
      </c>
      <c r="H779">
        <f>IF(DATOS!$G779&lt;&gt;"EX",0,--(COUNTIFS(nNIA,DATOS!$A779,nCURSO,DATOS!$D779,nESPEC,DATOS!$E779,nASIG,DATOS!$I779,nEVAL,"OR")=0))</f>
      </c>
      <c r="I779">
        <f>IF(DATOS!$I779="","",IFERROR(VLOOKUP(DATOS!$I779,CONFIG_ASIGNATURAS!$B$2:$J$91,9,FALSE()),""))</f>
      </c>
    </row>
    <row r="780">
      <c r="F780">
        <f>IF(DATOS!$A780="","",DATOS!$A780&amp;"|"&amp;DATOS!$D780&amp;"|"&amp;DATOS!$E780&amp;"|"&amp;DATOS!$I780)</f>
      </c>
      <c r="G780">
        <f>IF(DATOS!$A780="",0,IF(CONFIG_METADATA!$B$4&lt;&gt;"OR+EX",--(DATOS!$G780=CONFIG_METADATA!$B$4),IF(DATOS!$G780="EX",1,IF(DATOS!$G780="OR",--(COUNTIFS(nNIA,DATOS!$A780,nCURSO,DATOS!$D780,nESPEC,DATOS!$E780,nASIG,DATOS!$I780,nEVAL,"EX")=0),0))))</f>
      </c>
      <c r="H780">
        <f>IF(DATOS!$G780&lt;&gt;"EX",0,--(COUNTIFS(nNIA,DATOS!$A780,nCURSO,DATOS!$D780,nESPEC,DATOS!$E780,nASIG,DATOS!$I780,nEVAL,"OR")=0))</f>
      </c>
      <c r="I780">
        <f>IF(DATOS!$I780="","",IFERROR(VLOOKUP(DATOS!$I780,CONFIG_ASIGNATURAS!$B$2:$J$91,9,FALSE()),""))</f>
      </c>
    </row>
    <row r="781">
      <c r="F781">
        <f>IF(DATOS!$A781="","",DATOS!$A781&amp;"|"&amp;DATOS!$D781&amp;"|"&amp;DATOS!$E781&amp;"|"&amp;DATOS!$I781)</f>
      </c>
      <c r="G781">
        <f>IF(DATOS!$A781="",0,IF(CONFIG_METADATA!$B$4&lt;&gt;"OR+EX",--(DATOS!$G781=CONFIG_METADATA!$B$4),IF(DATOS!$G781="EX",1,IF(DATOS!$G781="OR",--(COUNTIFS(nNIA,DATOS!$A781,nCURSO,DATOS!$D781,nESPEC,DATOS!$E781,nASIG,DATOS!$I781,nEVAL,"EX")=0),0))))</f>
      </c>
      <c r="H781">
        <f>IF(DATOS!$G781&lt;&gt;"EX",0,--(COUNTIFS(nNIA,DATOS!$A781,nCURSO,DATOS!$D781,nESPEC,DATOS!$E781,nASIG,DATOS!$I781,nEVAL,"OR")=0))</f>
      </c>
      <c r="I781">
        <f>IF(DATOS!$I781="","",IFERROR(VLOOKUP(DATOS!$I781,CONFIG_ASIGNATURAS!$B$2:$J$91,9,FALSE()),""))</f>
      </c>
    </row>
    <row r="782">
      <c r="F782">
        <f>IF(DATOS!$A782="","",DATOS!$A782&amp;"|"&amp;DATOS!$D782&amp;"|"&amp;DATOS!$E782&amp;"|"&amp;DATOS!$I782)</f>
      </c>
      <c r="G782">
        <f>IF(DATOS!$A782="",0,IF(CONFIG_METADATA!$B$4&lt;&gt;"OR+EX",--(DATOS!$G782=CONFIG_METADATA!$B$4),IF(DATOS!$G782="EX",1,IF(DATOS!$G782="OR",--(COUNTIFS(nNIA,DATOS!$A782,nCURSO,DATOS!$D782,nESPEC,DATOS!$E782,nASIG,DATOS!$I782,nEVAL,"EX")=0),0))))</f>
      </c>
      <c r="H782">
        <f>IF(DATOS!$G782&lt;&gt;"EX",0,--(COUNTIFS(nNIA,DATOS!$A782,nCURSO,DATOS!$D782,nESPEC,DATOS!$E782,nASIG,DATOS!$I782,nEVAL,"OR")=0))</f>
      </c>
      <c r="I782">
        <f>IF(DATOS!$I782="","",IFERROR(VLOOKUP(DATOS!$I782,CONFIG_ASIGNATURAS!$B$2:$J$91,9,FALSE()),""))</f>
      </c>
    </row>
    <row r="783">
      <c r="F783">
        <f>IF(DATOS!$A783="","",DATOS!$A783&amp;"|"&amp;DATOS!$D783&amp;"|"&amp;DATOS!$E783&amp;"|"&amp;DATOS!$I783)</f>
      </c>
      <c r="G783">
        <f>IF(DATOS!$A783="",0,IF(CONFIG_METADATA!$B$4&lt;&gt;"OR+EX",--(DATOS!$G783=CONFIG_METADATA!$B$4),IF(DATOS!$G783="EX",1,IF(DATOS!$G783="OR",--(COUNTIFS(nNIA,DATOS!$A783,nCURSO,DATOS!$D783,nESPEC,DATOS!$E783,nASIG,DATOS!$I783,nEVAL,"EX")=0),0))))</f>
      </c>
      <c r="H783">
        <f>IF(DATOS!$G783&lt;&gt;"EX",0,--(COUNTIFS(nNIA,DATOS!$A783,nCURSO,DATOS!$D783,nESPEC,DATOS!$E783,nASIG,DATOS!$I783,nEVAL,"OR")=0))</f>
      </c>
      <c r="I783">
        <f>IF(DATOS!$I783="","",IFERROR(VLOOKUP(DATOS!$I783,CONFIG_ASIGNATURAS!$B$2:$J$91,9,FALSE()),""))</f>
      </c>
    </row>
    <row r="784">
      <c r="F784">
        <f>IF(DATOS!$A784="","",DATOS!$A784&amp;"|"&amp;DATOS!$D784&amp;"|"&amp;DATOS!$E784&amp;"|"&amp;DATOS!$I784)</f>
      </c>
      <c r="G784">
        <f>IF(DATOS!$A784="",0,IF(CONFIG_METADATA!$B$4&lt;&gt;"OR+EX",--(DATOS!$G784=CONFIG_METADATA!$B$4),IF(DATOS!$G784="EX",1,IF(DATOS!$G784="OR",--(COUNTIFS(nNIA,DATOS!$A784,nCURSO,DATOS!$D784,nESPEC,DATOS!$E784,nASIG,DATOS!$I784,nEVAL,"EX")=0),0))))</f>
      </c>
      <c r="H784">
        <f>IF(DATOS!$G784&lt;&gt;"EX",0,--(COUNTIFS(nNIA,DATOS!$A784,nCURSO,DATOS!$D784,nESPEC,DATOS!$E784,nASIG,DATOS!$I784,nEVAL,"OR")=0))</f>
      </c>
      <c r="I784">
        <f>IF(DATOS!$I784="","",IFERROR(VLOOKUP(DATOS!$I784,CONFIG_ASIGNATURAS!$B$2:$J$91,9,FALSE()),""))</f>
      </c>
    </row>
    <row r="785">
      <c r="F785">
        <f>IF(DATOS!$A785="","",DATOS!$A785&amp;"|"&amp;DATOS!$D785&amp;"|"&amp;DATOS!$E785&amp;"|"&amp;DATOS!$I785)</f>
      </c>
      <c r="G785">
        <f>IF(DATOS!$A785="",0,IF(CONFIG_METADATA!$B$4&lt;&gt;"OR+EX",--(DATOS!$G785=CONFIG_METADATA!$B$4),IF(DATOS!$G785="EX",1,IF(DATOS!$G785="OR",--(COUNTIFS(nNIA,DATOS!$A785,nCURSO,DATOS!$D785,nESPEC,DATOS!$E785,nASIG,DATOS!$I785,nEVAL,"EX")=0),0))))</f>
      </c>
      <c r="H785">
        <f>IF(DATOS!$G785&lt;&gt;"EX",0,--(COUNTIFS(nNIA,DATOS!$A785,nCURSO,DATOS!$D785,nESPEC,DATOS!$E785,nASIG,DATOS!$I785,nEVAL,"OR")=0))</f>
      </c>
      <c r="I785">
        <f>IF(DATOS!$I785="","",IFERROR(VLOOKUP(DATOS!$I785,CONFIG_ASIGNATURAS!$B$2:$J$91,9,FALSE()),""))</f>
      </c>
    </row>
    <row r="786">
      <c r="F786">
        <f>IF(DATOS!$A786="","",DATOS!$A786&amp;"|"&amp;DATOS!$D786&amp;"|"&amp;DATOS!$E786&amp;"|"&amp;DATOS!$I786)</f>
      </c>
      <c r="G786">
        <f>IF(DATOS!$A786="",0,IF(CONFIG_METADATA!$B$4&lt;&gt;"OR+EX",--(DATOS!$G786=CONFIG_METADATA!$B$4),IF(DATOS!$G786="EX",1,IF(DATOS!$G786="OR",--(COUNTIFS(nNIA,DATOS!$A786,nCURSO,DATOS!$D786,nESPEC,DATOS!$E786,nASIG,DATOS!$I786,nEVAL,"EX")=0),0))))</f>
      </c>
      <c r="H786">
        <f>IF(DATOS!$G786&lt;&gt;"EX",0,--(COUNTIFS(nNIA,DATOS!$A786,nCURSO,DATOS!$D786,nESPEC,DATOS!$E786,nASIG,DATOS!$I786,nEVAL,"OR")=0))</f>
      </c>
      <c r="I786">
        <f>IF(DATOS!$I786="","",IFERROR(VLOOKUP(DATOS!$I786,CONFIG_ASIGNATURAS!$B$2:$J$91,9,FALSE()),""))</f>
      </c>
    </row>
    <row r="787">
      <c r="F787">
        <f>IF(DATOS!$A787="","",DATOS!$A787&amp;"|"&amp;DATOS!$D787&amp;"|"&amp;DATOS!$E787&amp;"|"&amp;DATOS!$I787)</f>
      </c>
      <c r="G787">
        <f>IF(DATOS!$A787="",0,IF(CONFIG_METADATA!$B$4&lt;&gt;"OR+EX",--(DATOS!$G787=CONFIG_METADATA!$B$4),IF(DATOS!$G787="EX",1,IF(DATOS!$G787="OR",--(COUNTIFS(nNIA,DATOS!$A787,nCURSO,DATOS!$D787,nESPEC,DATOS!$E787,nASIG,DATOS!$I787,nEVAL,"EX")=0),0))))</f>
      </c>
      <c r="H787">
        <f>IF(DATOS!$G787&lt;&gt;"EX",0,--(COUNTIFS(nNIA,DATOS!$A787,nCURSO,DATOS!$D787,nESPEC,DATOS!$E787,nASIG,DATOS!$I787,nEVAL,"OR")=0))</f>
      </c>
      <c r="I787">
        <f>IF(DATOS!$I787="","",IFERROR(VLOOKUP(DATOS!$I787,CONFIG_ASIGNATURAS!$B$2:$J$91,9,FALSE()),""))</f>
      </c>
    </row>
    <row r="788">
      <c r="F788">
        <f>IF(DATOS!$A788="","",DATOS!$A788&amp;"|"&amp;DATOS!$D788&amp;"|"&amp;DATOS!$E788&amp;"|"&amp;DATOS!$I788)</f>
      </c>
      <c r="G788">
        <f>IF(DATOS!$A788="",0,IF(CONFIG_METADATA!$B$4&lt;&gt;"OR+EX",--(DATOS!$G788=CONFIG_METADATA!$B$4),IF(DATOS!$G788="EX",1,IF(DATOS!$G788="OR",--(COUNTIFS(nNIA,DATOS!$A788,nCURSO,DATOS!$D788,nESPEC,DATOS!$E788,nASIG,DATOS!$I788,nEVAL,"EX")=0),0))))</f>
      </c>
      <c r="H788">
        <f>IF(DATOS!$G788&lt;&gt;"EX",0,--(COUNTIFS(nNIA,DATOS!$A788,nCURSO,DATOS!$D788,nESPEC,DATOS!$E788,nASIG,DATOS!$I788,nEVAL,"OR")=0))</f>
      </c>
      <c r="I788">
        <f>IF(DATOS!$I788="","",IFERROR(VLOOKUP(DATOS!$I788,CONFIG_ASIGNATURAS!$B$2:$J$91,9,FALSE()),""))</f>
      </c>
    </row>
    <row r="789">
      <c r="F789">
        <f>IF(DATOS!$A789="","",DATOS!$A789&amp;"|"&amp;DATOS!$D789&amp;"|"&amp;DATOS!$E789&amp;"|"&amp;DATOS!$I789)</f>
      </c>
      <c r="G789">
        <f>IF(DATOS!$A789="",0,IF(CONFIG_METADATA!$B$4&lt;&gt;"OR+EX",--(DATOS!$G789=CONFIG_METADATA!$B$4),IF(DATOS!$G789="EX",1,IF(DATOS!$G789="OR",--(COUNTIFS(nNIA,DATOS!$A789,nCURSO,DATOS!$D789,nESPEC,DATOS!$E789,nASIG,DATOS!$I789,nEVAL,"EX")=0),0))))</f>
      </c>
      <c r="H789">
        <f>IF(DATOS!$G789&lt;&gt;"EX",0,--(COUNTIFS(nNIA,DATOS!$A789,nCURSO,DATOS!$D789,nESPEC,DATOS!$E789,nASIG,DATOS!$I789,nEVAL,"OR")=0))</f>
      </c>
      <c r="I789">
        <f>IF(DATOS!$I789="","",IFERROR(VLOOKUP(DATOS!$I789,CONFIG_ASIGNATURAS!$B$2:$J$91,9,FALSE()),""))</f>
      </c>
    </row>
    <row r="790">
      <c r="F790">
        <f>IF(DATOS!$A790="","",DATOS!$A790&amp;"|"&amp;DATOS!$D790&amp;"|"&amp;DATOS!$E790&amp;"|"&amp;DATOS!$I790)</f>
      </c>
      <c r="G790">
        <f>IF(DATOS!$A790="",0,IF(CONFIG_METADATA!$B$4&lt;&gt;"OR+EX",--(DATOS!$G790=CONFIG_METADATA!$B$4),IF(DATOS!$G790="EX",1,IF(DATOS!$G790="OR",--(COUNTIFS(nNIA,DATOS!$A790,nCURSO,DATOS!$D790,nESPEC,DATOS!$E790,nASIG,DATOS!$I790,nEVAL,"EX")=0),0))))</f>
      </c>
      <c r="H790">
        <f>IF(DATOS!$G790&lt;&gt;"EX",0,--(COUNTIFS(nNIA,DATOS!$A790,nCURSO,DATOS!$D790,nESPEC,DATOS!$E790,nASIG,DATOS!$I790,nEVAL,"OR")=0))</f>
      </c>
      <c r="I790">
        <f>IF(DATOS!$I790="","",IFERROR(VLOOKUP(DATOS!$I790,CONFIG_ASIGNATURAS!$B$2:$J$91,9,FALSE()),""))</f>
      </c>
    </row>
    <row r="791">
      <c r="F791">
        <f>IF(DATOS!$A791="","",DATOS!$A791&amp;"|"&amp;DATOS!$D791&amp;"|"&amp;DATOS!$E791&amp;"|"&amp;DATOS!$I791)</f>
      </c>
      <c r="G791">
        <f>IF(DATOS!$A791="",0,IF(CONFIG_METADATA!$B$4&lt;&gt;"OR+EX",--(DATOS!$G791=CONFIG_METADATA!$B$4),IF(DATOS!$G791="EX",1,IF(DATOS!$G791="OR",--(COUNTIFS(nNIA,DATOS!$A791,nCURSO,DATOS!$D791,nESPEC,DATOS!$E791,nASIG,DATOS!$I791,nEVAL,"EX")=0),0))))</f>
      </c>
      <c r="H791">
        <f>IF(DATOS!$G791&lt;&gt;"EX",0,--(COUNTIFS(nNIA,DATOS!$A791,nCURSO,DATOS!$D791,nESPEC,DATOS!$E791,nASIG,DATOS!$I791,nEVAL,"OR")=0))</f>
      </c>
      <c r="I791">
        <f>IF(DATOS!$I791="","",IFERROR(VLOOKUP(DATOS!$I791,CONFIG_ASIGNATURAS!$B$2:$J$91,9,FALSE()),""))</f>
      </c>
    </row>
    <row r="792">
      <c r="F792">
        <f>IF(DATOS!$A792="","",DATOS!$A792&amp;"|"&amp;DATOS!$D792&amp;"|"&amp;DATOS!$E792&amp;"|"&amp;DATOS!$I792)</f>
      </c>
      <c r="G792">
        <f>IF(DATOS!$A792="",0,IF(CONFIG_METADATA!$B$4&lt;&gt;"OR+EX",--(DATOS!$G792=CONFIG_METADATA!$B$4),IF(DATOS!$G792="EX",1,IF(DATOS!$G792="OR",--(COUNTIFS(nNIA,DATOS!$A792,nCURSO,DATOS!$D792,nESPEC,DATOS!$E792,nASIG,DATOS!$I792,nEVAL,"EX")=0),0))))</f>
      </c>
      <c r="H792">
        <f>IF(DATOS!$G792&lt;&gt;"EX",0,--(COUNTIFS(nNIA,DATOS!$A792,nCURSO,DATOS!$D792,nESPEC,DATOS!$E792,nASIG,DATOS!$I792,nEVAL,"OR")=0))</f>
      </c>
      <c r="I792">
        <f>IF(DATOS!$I792="","",IFERROR(VLOOKUP(DATOS!$I792,CONFIG_ASIGNATURAS!$B$2:$J$91,9,FALSE()),""))</f>
      </c>
    </row>
    <row r="793">
      <c r="F793">
        <f>IF(DATOS!$A793="","",DATOS!$A793&amp;"|"&amp;DATOS!$D793&amp;"|"&amp;DATOS!$E793&amp;"|"&amp;DATOS!$I793)</f>
      </c>
      <c r="G793">
        <f>IF(DATOS!$A793="",0,IF(CONFIG_METADATA!$B$4&lt;&gt;"OR+EX",--(DATOS!$G793=CONFIG_METADATA!$B$4),IF(DATOS!$G793="EX",1,IF(DATOS!$G793="OR",--(COUNTIFS(nNIA,DATOS!$A793,nCURSO,DATOS!$D793,nESPEC,DATOS!$E793,nASIG,DATOS!$I793,nEVAL,"EX")=0),0))))</f>
      </c>
      <c r="H793">
        <f>IF(DATOS!$G793&lt;&gt;"EX",0,--(COUNTIFS(nNIA,DATOS!$A793,nCURSO,DATOS!$D793,nESPEC,DATOS!$E793,nASIG,DATOS!$I793,nEVAL,"OR")=0))</f>
      </c>
      <c r="I793">
        <f>IF(DATOS!$I793="","",IFERROR(VLOOKUP(DATOS!$I793,CONFIG_ASIGNATURAS!$B$2:$J$91,9,FALSE()),""))</f>
      </c>
    </row>
    <row r="794">
      <c r="F794">
        <f>IF(DATOS!$A794="","",DATOS!$A794&amp;"|"&amp;DATOS!$D794&amp;"|"&amp;DATOS!$E794&amp;"|"&amp;DATOS!$I794)</f>
      </c>
      <c r="G794">
        <f>IF(DATOS!$A794="",0,IF(CONFIG_METADATA!$B$4&lt;&gt;"OR+EX",--(DATOS!$G794=CONFIG_METADATA!$B$4),IF(DATOS!$G794="EX",1,IF(DATOS!$G794="OR",--(COUNTIFS(nNIA,DATOS!$A794,nCURSO,DATOS!$D794,nESPEC,DATOS!$E794,nASIG,DATOS!$I794,nEVAL,"EX")=0),0))))</f>
      </c>
      <c r="H794">
        <f>IF(DATOS!$G794&lt;&gt;"EX",0,--(COUNTIFS(nNIA,DATOS!$A794,nCURSO,DATOS!$D794,nESPEC,DATOS!$E794,nASIG,DATOS!$I794,nEVAL,"OR")=0))</f>
      </c>
      <c r="I794">
        <f>IF(DATOS!$I794="","",IFERROR(VLOOKUP(DATOS!$I794,CONFIG_ASIGNATURAS!$B$2:$J$91,9,FALSE()),""))</f>
      </c>
    </row>
    <row r="795">
      <c r="F795">
        <f>IF(DATOS!$A795="","",DATOS!$A795&amp;"|"&amp;DATOS!$D795&amp;"|"&amp;DATOS!$E795&amp;"|"&amp;DATOS!$I795)</f>
      </c>
      <c r="G795">
        <f>IF(DATOS!$A795="",0,IF(CONFIG_METADATA!$B$4&lt;&gt;"OR+EX",--(DATOS!$G795=CONFIG_METADATA!$B$4),IF(DATOS!$G795="EX",1,IF(DATOS!$G795="OR",--(COUNTIFS(nNIA,DATOS!$A795,nCURSO,DATOS!$D795,nESPEC,DATOS!$E795,nASIG,DATOS!$I795,nEVAL,"EX")=0),0))))</f>
      </c>
      <c r="H795">
        <f>IF(DATOS!$G795&lt;&gt;"EX",0,--(COUNTIFS(nNIA,DATOS!$A795,nCURSO,DATOS!$D795,nESPEC,DATOS!$E795,nASIG,DATOS!$I795,nEVAL,"OR")=0))</f>
      </c>
      <c r="I795">
        <f>IF(DATOS!$I795="","",IFERROR(VLOOKUP(DATOS!$I795,CONFIG_ASIGNATURAS!$B$2:$J$91,9,FALSE()),""))</f>
      </c>
    </row>
    <row r="796">
      <c r="F796">
        <f>IF(DATOS!$A796="","",DATOS!$A796&amp;"|"&amp;DATOS!$D796&amp;"|"&amp;DATOS!$E796&amp;"|"&amp;DATOS!$I796)</f>
      </c>
      <c r="G796">
        <f>IF(DATOS!$A796="",0,IF(CONFIG_METADATA!$B$4&lt;&gt;"OR+EX",--(DATOS!$G796=CONFIG_METADATA!$B$4),IF(DATOS!$G796="EX",1,IF(DATOS!$G796="OR",--(COUNTIFS(nNIA,DATOS!$A796,nCURSO,DATOS!$D796,nESPEC,DATOS!$E796,nASIG,DATOS!$I796,nEVAL,"EX")=0),0))))</f>
      </c>
      <c r="H796">
        <f>IF(DATOS!$G796&lt;&gt;"EX",0,--(COUNTIFS(nNIA,DATOS!$A796,nCURSO,DATOS!$D796,nESPEC,DATOS!$E796,nASIG,DATOS!$I796,nEVAL,"OR")=0))</f>
      </c>
      <c r="I796">
        <f>IF(DATOS!$I796="","",IFERROR(VLOOKUP(DATOS!$I796,CONFIG_ASIGNATURAS!$B$2:$J$91,9,FALSE()),""))</f>
      </c>
    </row>
    <row r="797">
      <c r="F797">
        <f>IF(DATOS!$A797="","",DATOS!$A797&amp;"|"&amp;DATOS!$D797&amp;"|"&amp;DATOS!$E797&amp;"|"&amp;DATOS!$I797)</f>
      </c>
      <c r="G797">
        <f>IF(DATOS!$A797="",0,IF(CONFIG_METADATA!$B$4&lt;&gt;"OR+EX",--(DATOS!$G797=CONFIG_METADATA!$B$4),IF(DATOS!$G797="EX",1,IF(DATOS!$G797="OR",--(COUNTIFS(nNIA,DATOS!$A797,nCURSO,DATOS!$D797,nESPEC,DATOS!$E797,nASIG,DATOS!$I797,nEVAL,"EX")=0),0))))</f>
      </c>
      <c r="H797">
        <f>IF(DATOS!$G797&lt;&gt;"EX",0,--(COUNTIFS(nNIA,DATOS!$A797,nCURSO,DATOS!$D797,nESPEC,DATOS!$E797,nASIG,DATOS!$I797,nEVAL,"OR")=0))</f>
      </c>
      <c r="I797">
        <f>IF(DATOS!$I797="","",IFERROR(VLOOKUP(DATOS!$I797,CONFIG_ASIGNATURAS!$B$2:$J$91,9,FALSE()),""))</f>
      </c>
    </row>
    <row r="798">
      <c r="F798">
        <f>IF(DATOS!$A798="","",DATOS!$A798&amp;"|"&amp;DATOS!$D798&amp;"|"&amp;DATOS!$E798&amp;"|"&amp;DATOS!$I798)</f>
      </c>
      <c r="G798">
        <f>IF(DATOS!$A798="",0,IF(CONFIG_METADATA!$B$4&lt;&gt;"OR+EX",--(DATOS!$G798=CONFIG_METADATA!$B$4),IF(DATOS!$G798="EX",1,IF(DATOS!$G798="OR",--(COUNTIFS(nNIA,DATOS!$A798,nCURSO,DATOS!$D798,nESPEC,DATOS!$E798,nASIG,DATOS!$I798,nEVAL,"EX")=0),0))))</f>
      </c>
      <c r="H798">
        <f>IF(DATOS!$G798&lt;&gt;"EX",0,--(COUNTIFS(nNIA,DATOS!$A798,nCURSO,DATOS!$D798,nESPEC,DATOS!$E798,nASIG,DATOS!$I798,nEVAL,"OR")=0))</f>
      </c>
      <c r="I798">
        <f>IF(DATOS!$I798="","",IFERROR(VLOOKUP(DATOS!$I798,CONFIG_ASIGNATURAS!$B$2:$J$91,9,FALSE()),""))</f>
      </c>
    </row>
    <row r="799">
      <c r="F799">
        <f>IF(DATOS!$A799="","",DATOS!$A799&amp;"|"&amp;DATOS!$D799&amp;"|"&amp;DATOS!$E799&amp;"|"&amp;DATOS!$I799)</f>
      </c>
      <c r="G799">
        <f>IF(DATOS!$A799="",0,IF(CONFIG_METADATA!$B$4&lt;&gt;"OR+EX",--(DATOS!$G799=CONFIG_METADATA!$B$4),IF(DATOS!$G799="EX",1,IF(DATOS!$G799="OR",--(COUNTIFS(nNIA,DATOS!$A799,nCURSO,DATOS!$D799,nESPEC,DATOS!$E799,nASIG,DATOS!$I799,nEVAL,"EX")=0),0))))</f>
      </c>
      <c r="H799">
        <f>IF(DATOS!$G799&lt;&gt;"EX",0,--(COUNTIFS(nNIA,DATOS!$A799,nCURSO,DATOS!$D799,nESPEC,DATOS!$E799,nASIG,DATOS!$I799,nEVAL,"OR")=0))</f>
      </c>
      <c r="I799">
        <f>IF(DATOS!$I799="","",IFERROR(VLOOKUP(DATOS!$I799,CONFIG_ASIGNATURAS!$B$2:$J$91,9,FALSE()),""))</f>
      </c>
    </row>
    <row r="800">
      <c r="F800">
        <f>IF(DATOS!$A800="","",DATOS!$A800&amp;"|"&amp;DATOS!$D800&amp;"|"&amp;DATOS!$E800&amp;"|"&amp;DATOS!$I800)</f>
      </c>
      <c r="G800">
        <f>IF(DATOS!$A800="",0,IF(CONFIG_METADATA!$B$4&lt;&gt;"OR+EX",--(DATOS!$G800=CONFIG_METADATA!$B$4),IF(DATOS!$G800="EX",1,IF(DATOS!$G800="OR",--(COUNTIFS(nNIA,DATOS!$A800,nCURSO,DATOS!$D800,nESPEC,DATOS!$E800,nASIG,DATOS!$I800,nEVAL,"EX")=0),0))))</f>
      </c>
      <c r="H800">
        <f>IF(DATOS!$G800&lt;&gt;"EX",0,--(COUNTIFS(nNIA,DATOS!$A800,nCURSO,DATOS!$D800,nESPEC,DATOS!$E800,nASIG,DATOS!$I800,nEVAL,"OR")=0))</f>
      </c>
      <c r="I800">
        <f>IF(DATOS!$I800="","",IFERROR(VLOOKUP(DATOS!$I800,CONFIG_ASIGNATURAS!$B$2:$J$91,9,FALSE()),""))</f>
      </c>
    </row>
    <row r="801">
      <c r="F801">
        <f>IF(DATOS!$A801="","",DATOS!$A801&amp;"|"&amp;DATOS!$D801&amp;"|"&amp;DATOS!$E801&amp;"|"&amp;DATOS!$I801)</f>
      </c>
      <c r="G801">
        <f>IF(DATOS!$A801="",0,IF(CONFIG_METADATA!$B$4&lt;&gt;"OR+EX",--(DATOS!$G801=CONFIG_METADATA!$B$4),IF(DATOS!$G801="EX",1,IF(DATOS!$G801="OR",--(COUNTIFS(nNIA,DATOS!$A801,nCURSO,DATOS!$D801,nESPEC,DATOS!$E801,nASIG,DATOS!$I801,nEVAL,"EX")=0),0))))</f>
      </c>
      <c r="H801">
        <f>IF(DATOS!$G801&lt;&gt;"EX",0,--(COUNTIFS(nNIA,DATOS!$A801,nCURSO,DATOS!$D801,nESPEC,DATOS!$E801,nASIG,DATOS!$I801,nEVAL,"OR")=0))</f>
      </c>
      <c r="I801">
        <f>IF(DATOS!$I801="","",IFERROR(VLOOKUP(DATOS!$I801,CONFIG_ASIGNATURAS!$B$2:$J$91,9,FALSE()),""))</f>
      </c>
    </row>
    <row r="802">
      <c r="F802">
        <f>IF(DATOS!$A802="","",DATOS!$A802&amp;"|"&amp;DATOS!$D802&amp;"|"&amp;DATOS!$E802&amp;"|"&amp;DATOS!$I802)</f>
      </c>
      <c r="G802">
        <f>IF(DATOS!$A802="",0,IF(CONFIG_METADATA!$B$4&lt;&gt;"OR+EX",--(DATOS!$G802=CONFIG_METADATA!$B$4),IF(DATOS!$G802="EX",1,IF(DATOS!$G802="OR",--(COUNTIFS(nNIA,DATOS!$A802,nCURSO,DATOS!$D802,nESPEC,DATOS!$E802,nASIG,DATOS!$I802,nEVAL,"EX")=0),0))))</f>
      </c>
      <c r="H802">
        <f>IF(DATOS!$G802&lt;&gt;"EX",0,--(COUNTIFS(nNIA,DATOS!$A802,nCURSO,DATOS!$D802,nESPEC,DATOS!$E802,nASIG,DATOS!$I802,nEVAL,"OR")=0))</f>
      </c>
      <c r="I802">
        <f>IF(DATOS!$I802="","",IFERROR(VLOOKUP(DATOS!$I802,CONFIG_ASIGNATURAS!$B$2:$J$91,9,FALSE()),""))</f>
      </c>
    </row>
    <row r="803">
      <c r="F803">
        <f>IF(DATOS!$A803="","",DATOS!$A803&amp;"|"&amp;DATOS!$D803&amp;"|"&amp;DATOS!$E803&amp;"|"&amp;DATOS!$I803)</f>
      </c>
      <c r="G803">
        <f>IF(DATOS!$A803="",0,IF(CONFIG_METADATA!$B$4&lt;&gt;"OR+EX",--(DATOS!$G803=CONFIG_METADATA!$B$4),IF(DATOS!$G803="EX",1,IF(DATOS!$G803="OR",--(COUNTIFS(nNIA,DATOS!$A803,nCURSO,DATOS!$D803,nESPEC,DATOS!$E803,nASIG,DATOS!$I803,nEVAL,"EX")=0),0))))</f>
      </c>
      <c r="H803">
        <f>IF(DATOS!$G803&lt;&gt;"EX",0,--(COUNTIFS(nNIA,DATOS!$A803,nCURSO,DATOS!$D803,nESPEC,DATOS!$E803,nASIG,DATOS!$I803,nEVAL,"OR")=0))</f>
      </c>
      <c r="I803">
        <f>IF(DATOS!$I803="","",IFERROR(VLOOKUP(DATOS!$I803,CONFIG_ASIGNATURAS!$B$2:$J$91,9,FALSE()),""))</f>
      </c>
    </row>
    <row r="804">
      <c r="F804">
        <f>IF(DATOS!$A804="","",DATOS!$A804&amp;"|"&amp;DATOS!$D804&amp;"|"&amp;DATOS!$E804&amp;"|"&amp;DATOS!$I804)</f>
      </c>
      <c r="G804">
        <f>IF(DATOS!$A804="",0,IF(CONFIG_METADATA!$B$4&lt;&gt;"OR+EX",--(DATOS!$G804=CONFIG_METADATA!$B$4),IF(DATOS!$G804="EX",1,IF(DATOS!$G804="OR",--(COUNTIFS(nNIA,DATOS!$A804,nCURSO,DATOS!$D804,nESPEC,DATOS!$E804,nASIG,DATOS!$I804,nEVAL,"EX")=0),0))))</f>
      </c>
      <c r="H804">
        <f>IF(DATOS!$G804&lt;&gt;"EX",0,--(COUNTIFS(nNIA,DATOS!$A804,nCURSO,DATOS!$D804,nESPEC,DATOS!$E804,nASIG,DATOS!$I804,nEVAL,"OR")=0))</f>
      </c>
      <c r="I804">
        <f>IF(DATOS!$I804="","",IFERROR(VLOOKUP(DATOS!$I804,CONFIG_ASIGNATURAS!$B$2:$J$91,9,FALSE()),""))</f>
      </c>
    </row>
    <row r="805">
      <c r="F805">
        <f>IF(DATOS!$A805="","",DATOS!$A805&amp;"|"&amp;DATOS!$D805&amp;"|"&amp;DATOS!$E805&amp;"|"&amp;DATOS!$I805)</f>
      </c>
      <c r="G805">
        <f>IF(DATOS!$A805="",0,IF(CONFIG_METADATA!$B$4&lt;&gt;"OR+EX",--(DATOS!$G805=CONFIG_METADATA!$B$4),IF(DATOS!$G805="EX",1,IF(DATOS!$G805="OR",--(COUNTIFS(nNIA,DATOS!$A805,nCURSO,DATOS!$D805,nESPEC,DATOS!$E805,nASIG,DATOS!$I805,nEVAL,"EX")=0),0))))</f>
      </c>
      <c r="H805">
        <f>IF(DATOS!$G805&lt;&gt;"EX",0,--(COUNTIFS(nNIA,DATOS!$A805,nCURSO,DATOS!$D805,nESPEC,DATOS!$E805,nASIG,DATOS!$I805,nEVAL,"OR")=0))</f>
      </c>
      <c r="I805">
        <f>IF(DATOS!$I805="","",IFERROR(VLOOKUP(DATOS!$I805,CONFIG_ASIGNATURAS!$B$2:$J$91,9,FALSE()),""))</f>
      </c>
    </row>
    <row r="806">
      <c r="F806">
        <f>IF(DATOS!$A806="","",DATOS!$A806&amp;"|"&amp;DATOS!$D806&amp;"|"&amp;DATOS!$E806&amp;"|"&amp;DATOS!$I806)</f>
      </c>
      <c r="G806">
        <f>IF(DATOS!$A806="",0,IF(CONFIG_METADATA!$B$4&lt;&gt;"OR+EX",--(DATOS!$G806=CONFIG_METADATA!$B$4),IF(DATOS!$G806="EX",1,IF(DATOS!$G806="OR",--(COUNTIFS(nNIA,DATOS!$A806,nCURSO,DATOS!$D806,nESPEC,DATOS!$E806,nASIG,DATOS!$I806,nEVAL,"EX")=0),0))))</f>
      </c>
      <c r="H806">
        <f>IF(DATOS!$G806&lt;&gt;"EX",0,--(COUNTIFS(nNIA,DATOS!$A806,nCURSO,DATOS!$D806,nESPEC,DATOS!$E806,nASIG,DATOS!$I806,nEVAL,"OR")=0))</f>
      </c>
      <c r="I806">
        <f>IF(DATOS!$I806="","",IFERROR(VLOOKUP(DATOS!$I806,CONFIG_ASIGNATURAS!$B$2:$J$91,9,FALSE()),""))</f>
      </c>
    </row>
    <row r="807">
      <c r="F807">
        <f>IF(DATOS!$A807="","",DATOS!$A807&amp;"|"&amp;DATOS!$D807&amp;"|"&amp;DATOS!$E807&amp;"|"&amp;DATOS!$I807)</f>
      </c>
      <c r="G807">
        <f>IF(DATOS!$A807="",0,IF(CONFIG_METADATA!$B$4&lt;&gt;"OR+EX",--(DATOS!$G807=CONFIG_METADATA!$B$4),IF(DATOS!$G807="EX",1,IF(DATOS!$G807="OR",--(COUNTIFS(nNIA,DATOS!$A807,nCURSO,DATOS!$D807,nESPEC,DATOS!$E807,nASIG,DATOS!$I807,nEVAL,"EX")=0),0))))</f>
      </c>
      <c r="H807">
        <f>IF(DATOS!$G807&lt;&gt;"EX",0,--(COUNTIFS(nNIA,DATOS!$A807,nCURSO,DATOS!$D807,nESPEC,DATOS!$E807,nASIG,DATOS!$I807,nEVAL,"OR")=0))</f>
      </c>
      <c r="I807">
        <f>IF(DATOS!$I807="","",IFERROR(VLOOKUP(DATOS!$I807,CONFIG_ASIGNATURAS!$B$2:$J$91,9,FALSE()),""))</f>
      </c>
    </row>
    <row r="808">
      <c r="F808">
        <f>IF(DATOS!$A808="","",DATOS!$A808&amp;"|"&amp;DATOS!$D808&amp;"|"&amp;DATOS!$E808&amp;"|"&amp;DATOS!$I808)</f>
      </c>
      <c r="G808">
        <f>IF(DATOS!$A808="",0,IF(CONFIG_METADATA!$B$4&lt;&gt;"OR+EX",--(DATOS!$G808=CONFIG_METADATA!$B$4),IF(DATOS!$G808="EX",1,IF(DATOS!$G808="OR",--(COUNTIFS(nNIA,DATOS!$A808,nCURSO,DATOS!$D808,nESPEC,DATOS!$E808,nASIG,DATOS!$I808,nEVAL,"EX")=0),0))))</f>
      </c>
      <c r="H808">
        <f>IF(DATOS!$G808&lt;&gt;"EX",0,--(COUNTIFS(nNIA,DATOS!$A808,nCURSO,DATOS!$D808,nESPEC,DATOS!$E808,nASIG,DATOS!$I808,nEVAL,"OR")=0))</f>
      </c>
      <c r="I808">
        <f>IF(DATOS!$I808="","",IFERROR(VLOOKUP(DATOS!$I808,CONFIG_ASIGNATURAS!$B$2:$J$91,9,FALSE()),""))</f>
      </c>
    </row>
    <row r="809">
      <c r="F809">
        <f>IF(DATOS!$A809="","",DATOS!$A809&amp;"|"&amp;DATOS!$D809&amp;"|"&amp;DATOS!$E809&amp;"|"&amp;DATOS!$I809)</f>
      </c>
      <c r="G809">
        <f>IF(DATOS!$A809="",0,IF(CONFIG_METADATA!$B$4&lt;&gt;"OR+EX",--(DATOS!$G809=CONFIG_METADATA!$B$4),IF(DATOS!$G809="EX",1,IF(DATOS!$G809="OR",--(COUNTIFS(nNIA,DATOS!$A809,nCURSO,DATOS!$D809,nESPEC,DATOS!$E809,nASIG,DATOS!$I809,nEVAL,"EX")=0),0))))</f>
      </c>
      <c r="H809">
        <f>IF(DATOS!$G809&lt;&gt;"EX",0,--(COUNTIFS(nNIA,DATOS!$A809,nCURSO,DATOS!$D809,nESPEC,DATOS!$E809,nASIG,DATOS!$I809,nEVAL,"OR")=0))</f>
      </c>
      <c r="I809">
        <f>IF(DATOS!$I809="","",IFERROR(VLOOKUP(DATOS!$I809,CONFIG_ASIGNATURAS!$B$2:$J$91,9,FALSE()),""))</f>
      </c>
    </row>
    <row r="810">
      <c r="F810">
        <f>IF(DATOS!$A810="","",DATOS!$A810&amp;"|"&amp;DATOS!$D810&amp;"|"&amp;DATOS!$E810&amp;"|"&amp;DATOS!$I810)</f>
      </c>
      <c r="G810">
        <f>IF(DATOS!$A810="",0,IF(CONFIG_METADATA!$B$4&lt;&gt;"OR+EX",--(DATOS!$G810=CONFIG_METADATA!$B$4),IF(DATOS!$G810="EX",1,IF(DATOS!$G810="OR",--(COUNTIFS(nNIA,DATOS!$A810,nCURSO,DATOS!$D810,nESPEC,DATOS!$E810,nASIG,DATOS!$I810,nEVAL,"EX")=0),0))))</f>
      </c>
      <c r="H810">
        <f>IF(DATOS!$G810&lt;&gt;"EX",0,--(COUNTIFS(nNIA,DATOS!$A810,nCURSO,DATOS!$D810,nESPEC,DATOS!$E810,nASIG,DATOS!$I810,nEVAL,"OR")=0))</f>
      </c>
      <c r="I810">
        <f>IF(DATOS!$I810="","",IFERROR(VLOOKUP(DATOS!$I810,CONFIG_ASIGNATURAS!$B$2:$J$91,9,FALSE()),""))</f>
      </c>
    </row>
    <row r="811">
      <c r="F811">
        <f>IF(DATOS!$A811="","",DATOS!$A811&amp;"|"&amp;DATOS!$D811&amp;"|"&amp;DATOS!$E811&amp;"|"&amp;DATOS!$I811)</f>
      </c>
      <c r="G811">
        <f>IF(DATOS!$A811="",0,IF(CONFIG_METADATA!$B$4&lt;&gt;"OR+EX",--(DATOS!$G811=CONFIG_METADATA!$B$4),IF(DATOS!$G811="EX",1,IF(DATOS!$G811="OR",--(COUNTIFS(nNIA,DATOS!$A811,nCURSO,DATOS!$D811,nESPEC,DATOS!$E811,nASIG,DATOS!$I811,nEVAL,"EX")=0),0))))</f>
      </c>
      <c r="H811">
        <f>IF(DATOS!$G811&lt;&gt;"EX",0,--(COUNTIFS(nNIA,DATOS!$A811,nCURSO,DATOS!$D811,nESPEC,DATOS!$E811,nASIG,DATOS!$I811,nEVAL,"OR")=0))</f>
      </c>
      <c r="I811">
        <f>IF(DATOS!$I811="","",IFERROR(VLOOKUP(DATOS!$I811,CONFIG_ASIGNATURAS!$B$2:$J$91,9,FALSE()),""))</f>
      </c>
    </row>
    <row r="812">
      <c r="F812">
        <f>IF(DATOS!$A812="","",DATOS!$A812&amp;"|"&amp;DATOS!$D812&amp;"|"&amp;DATOS!$E812&amp;"|"&amp;DATOS!$I812)</f>
      </c>
      <c r="G812">
        <f>IF(DATOS!$A812="",0,IF(CONFIG_METADATA!$B$4&lt;&gt;"OR+EX",--(DATOS!$G812=CONFIG_METADATA!$B$4),IF(DATOS!$G812="EX",1,IF(DATOS!$G812="OR",--(COUNTIFS(nNIA,DATOS!$A812,nCURSO,DATOS!$D812,nESPEC,DATOS!$E812,nASIG,DATOS!$I812,nEVAL,"EX")=0),0))))</f>
      </c>
      <c r="H812">
        <f>IF(DATOS!$G812&lt;&gt;"EX",0,--(COUNTIFS(nNIA,DATOS!$A812,nCURSO,DATOS!$D812,nESPEC,DATOS!$E812,nASIG,DATOS!$I812,nEVAL,"OR")=0))</f>
      </c>
      <c r="I812">
        <f>IF(DATOS!$I812="","",IFERROR(VLOOKUP(DATOS!$I812,CONFIG_ASIGNATURAS!$B$2:$J$91,9,FALSE()),""))</f>
      </c>
    </row>
    <row r="813">
      <c r="F813">
        <f>IF(DATOS!$A813="","",DATOS!$A813&amp;"|"&amp;DATOS!$D813&amp;"|"&amp;DATOS!$E813&amp;"|"&amp;DATOS!$I813)</f>
      </c>
      <c r="G813">
        <f>IF(DATOS!$A813="",0,IF(CONFIG_METADATA!$B$4&lt;&gt;"OR+EX",--(DATOS!$G813=CONFIG_METADATA!$B$4),IF(DATOS!$G813="EX",1,IF(DATOS!$G813="OR",--(COUNTIFS(nNIA,DATOS!$A813,nCURSO,DATOS!$D813,nESPEC,DATOS!$E813,nASIG,DATOS!$I813,nEVAL,"EX")=0),0))))</f>
      </c>
      <c r="H813">
        <f>IF(DATOS!$G813&lt;&gt;"EX",0,--(COUNTIFS(nNIA,DATOS!$A813,nCURSO,DATOS!$D813,nESPEC,DATOS!$E813,nASIG,DATOS!$I813,nEVAL,"OR")=0))</f>
      </c>
      <c r="I813">
        <f>IF(DATOS!$I813="","",IFERROR(VLOOKUP(DATOS!$I813,CONFIG_ASIGNATURAS!$B$2:$J$91,9,FALSE()),""))</f>
      </c>
    </row>
    <row r="814">
      <c r="F814">
        <f>IF(DATOS!$A814="","",DATOS!$A814&amp;"|"&amp;DATOS!$D814&amp;"|"&amp;DATOS!$E814&amp;"|"&amp;DATOS!$I814)</f>
      </c>
      <c r="G814">
        <f>IF(DATOS!$A814="",0,IF(CONFIG_METADATA!$B$4&lt;&gt;"OR+EX",--(DATOS!$G814=CONFIG_METADATA!$B$4),IF(DATOS!$G814="EX",1,IF(DATOS!$G814="OR",--(COUNTIFS(nNIA,DATOS!$A814,nCURSO,DATOS!$D814,nESPEC,DATOS!$E814,nASIG,DATOS!$I814,nEVAL,"EX")=0),0))))</f>
      </c>
      <c r="H814">
        <f>IF(DATOS!$G814&lt;&gt;"EX",0,--(COUNTIFS(nNIA,DATOS!$A814,nCURSO,DATOS!$D814,nESPEC,DATOS!$E814,nASIG,DATOS!$I814,nEVAL,"OR")=0))</f>
      </c>
      <c r="I814">
        <f>IF(DATOS!$I814="","",IFERROR(VLOOKUP(DATOS!$I814,CONFIG_ASIGNATURAS!$B$2:$J$91,9,FALSE()),""))</f>
      </c>
    </row>
    <row r="815">
      <c r="F815">
        <f>IF(DATOS!$A815="","",DATOS!$A815&amp;"|"&amp;DATOS!$D815&amp;"|"&amp;DATOS!$E815&amp;"|"&amp;DATOS!$I815)</f>
      </c>
      <c r="G815">
        <f>IF(DATOS!$A815="",0,IF(CONFIG_METADATA!$B$4&lt;&gt;"OR+EX",--(DATOS!$G815=CONFIG_METADATA!$B$4),IF(DATOS!$G815="EX",1,IF(DATOS!$G815="OR",--(COUNTIFS(nNIA,DATOS!$A815,nCURSO,DATOS!$D815,nESPEC,DATOS!$E815,nASIG,DATOS!$I815,nEVAL,"EX")=0),0))))</f>
      </c>
      <c r="H815">
        <f>IF(DATOS!$G815&lt;&gt;"EX",0,--(COUNTIFS(nNIA,DATOS!$A815,nCURSO,DATOS!$D815,nESPEC,DATOS!$E815,nASIG,DATOS!$I815,nEVAL,"OR")=0))</f>
      </c>
      <c r="I815">
        <f>IF(DATOS!$I815="","",IFERROR(VLOOKUP(DATOS!$I815,CONFIG_ASIGNATURAS!$B$2:$J$91,9,FALSE()),""))</f>
      </c>
    </row>
    <row r="816">
      <c r="F816">
        <f>IF(DATOS!$A816="","",DATOS!$A816&amp;"|"&amp;DATOS!$D816&amp;"|"&amp;DATOS!$E816&amp;"|"&amp;DATOS!$I816)</f>
      </c>
      <c r="G816">
        <f>IF(DATOS!$A816="",0,IF(CONFIG_METADATA!$B$4&lt;&gt;"OR+EX",--(DATOS!$G816=CONFIG_METADATA!$B$4),IF(DATOS!$G816="EX",1,IF(DATOS!$G816="OR",--(COUNTIFS(nNIA,DATOS!$A816,nCURSO,DATOS!$D816,nESPEC,DATOS!$E816,nASIG,DATOS!$I816,nEVAL,"EX")=0),0))))</f>
      </c>
      <c r="H816">
        <f>IF(DATOS!$G816&lt;&gt;"EX",0,--(COUNTIFS(nNIA,DATOS!$A816,nCURSO,DATOS!$D816,nESPEC,DATOS!$E816,nASIG,DATOS!$I816,nEVAL,"OR")=0))</f>
      </c>
      <c r="I816">
        <f>IF(DATOS!$I816="","",IFERROR(VLOOKUP(DATOS!$I816,CONFIG_ASIGNATURAS!$B$2:$J$91,9,FALSE()),""))</f>
      </c>
    </row>
    <row r="817">
      <c r="F817">
        <f>IF(DATOS!$A817="","",DATOS!$A817&amp;"|"&amp;DATOS!$D817&amp;"|"&amp;DATOS!$E817&amp;"|"&amp;DATOS!$I817)</f>
      </c>
      <c r="G817">
        <f>IF(DATOS!$A817="",0,IF(CONFIG_METADATA!$B$4&lt;&gt;"OR+EX",--(DATOS!$G817=CONFIG_METADATA!$B$4),IF(DATOS!$G817="EX",1,IF(DATOS!$G817="OR",--(COUNTIFS(nNIA,DATOS!$A817,nCURSO,DATOS!$D817,nESPEC,DATOS!$E817,nASIG,DATOS!$I817,nEVAL,"EX")=0),0))))</f>
      </c>
      <c r="H817">
        <f>IF(DATOS!$G817&lt;&gt;"EX",0,--(COUNTIFS(nNIA,DATOS!$A817,nCURSO,DATOS!$D817,nESPEC,DATOS!$E817,nASIG,DATOS!$I817,nEVAL,"OR")=0))</f>
      </c>
      <c r="I817">
        <f>IF(DATOS!$I817="","",IFERROR(VLOOKUP(DATOS!$I817,CONFIG_ASIGNATURAS!$B$2:$J$91,9,FALSE()),""))</f>
      </c>
    </row>
    <row r="818">
      <c r="F818">
        <f>IF(DATOS!$A818="","",DATOS!$A818&amp;"|"&amp;DATOS!$D818&amp;"|"&amp;DATOS!$E818&amp;"|"&amp;DATOS!$I818)</f>
      </c>
      <c r="G818">
        <f>IF(DATOS!$A818="",0,IF(CONFIG_METADATA!$B$4&lt;&gt;"OR+EX",--(DATOS!$G818=CONFIG_METADATA!$B$4),IF(DATOS!$G818="EX",1,IF(DATOS!$G818="OR",--(COUNTIFS(nNIA,DATOS!$A818,nCURSO,DATOS!$D818,nESPEC,DATOS!$E818,nASIG,DATOS!$I818,nEVAL,"EX")=0),0))))</f>
      </c>
      <c r="H818">
        <f>IF(DATOS!$G818&lt;&gt;"EX",0,--(COUNTIFS(nNIA,DATOS!$A818,nCURSO,DATOS!$D818,nESPEC,DATOS!$E818,nASIG,DATOS!$I818,nEVAL,"OR")=0))</f>
      </c>
      <c r="I818">
        <f>IF(DATOS!$I818="","",IFERROR(VLOOKUP(DATOS!$I818,CONFIG_ASIGNATURAS!$B$2:$J$91,9,FALSE()),""))</f>
      </c>
    </row>
    <row r="819">
      <c r="F819">
        <f>IF(DATOS!$A819="","",DATOS!$A819&amp;"|"&amp;DATOS!$D819&amp;"|"&amp;DATOS!$E819&amp;"|"&amp;DATOS!$I819)</f>
      </c>
      <c r="G819">
        <f>IF(DATOS!$A819="",0,IF(CONFIG_METADATA!$B$4&lt;&gt;"OR+EX",--(DATOS!$G819=CONFIG_METADATA!$B$4),IF(DATOS!$G819="EX",1,IF(DATOS!$G819="OR",--(COUNTIFS(nNIA,DATOS!$A819,nCURSO,DATOS!$D819,nESPEC,DATOS!$E819,nASIG,DATOS!$I819,nEVAL,"EX")=0),0))))</f>
      </c>
      <c r="H819">
        <f>IF(DATOS!$G819&lt;&gt;"EX",0,--(COUNTIFS(nNIA,DATOS!$A819,nCURSO,DATOS!$D819,nESPEC,DATOS!$E819,nASIG,DATOS!$I819,nEVAL,"OR")=0))</f>
      </c>
      <c r="I819">
        <f>IF(DATOS!$I819="","",IFERROR(VLOOKUP(DATOS!$I819,CONFIG_ASIGNATURAS!$B$2:$J$91,9,FALSE()),""))</f>
      </c>
    </row>
    <row r="820">
      <c r="F820">
        <f>IF(DATOS!$A820="","",DATOS!$A820&amp;"|"&amp;DATOS!$D820&amp;"|"&amp;DATOS!$E820&amp;"|"&amp;DATOS!$I820)</f>
      </c>
      <c r="G820">
        <f>IF(DATOS!$A820="",0,IF(CONFIG_METADATA!$B$4&lt;&gt;"OR+EX",--(DATOS!$G820=CONFIG_METADATA!$B$4),IF(DATOS!$G820="EX",1,IF(DATOS!$G820="OR",--(COUNTIFS(nNIA,DATOS!$A820,nCURSO,DATOS!$D820,nESPEC,DATOS!$E820,nASIG,DATOS!$I820,nEVAL,"EX")=0),0))))</f>
      </c>
      <c r="H820">
        <f>IF(DATOS!$G820&lt;&gt;"EX",0,--(COUNTIFS(nNIA,DATOS!$A820,nCURSO,DATOS!$D820,nESPEC,DATOS!$E820,nASIG,DATOS!$I820,nEVAL,"OR")=0))</f>
      </c>
      <c r="I820">
        <f>IF(DATOS!$I820="","",IFERROR(VLOOKUP(DATOS!$I820,CONFIG_ASIGNATURAS!$B$2:$J$91,9,FALSE()),""))</f>
      </c>
    </row>
    <row r="821">
      <c r="F821">
        <f>IF(DATOS!$A821="","",DATOS!$A821&amp;"|"&amp;DATOS!$D821&amp;"|"&amp;DATOS!$E821&amp;"|"&amp;DATOS!$I821)</f>
      </c>
      <c r="G821">
        <f>IF(DATOS!$A821="",0,IF(CONFIG_METADATA!$B$4&lt;&gt;"OR+EX",--(DATOS!$G821=CONFIG_METADATA!$B$4),IF(DATOS!$G821="EX",1,IF(DATOS!$G821="OR",--(COUNTIFS(nNIA,DATOS!$A821,nCURSO,DATOS!$D821,nESPEC,DATOS!$E821,nASIG,DATOS!$I821,nEVAL,"EX")=0),0))))</f>
      </c>
      <c r="H821">
        <f>IF(DATOS!$G821&lt;&gt;"EX",0,--(COUNTIFS(nNIA,DATOS!$A821,nCURSO,DATOS!$D821,nESPEC,DATOS!$E821,nASIG,DATOS!$I821,nEVAL,"OR")=0))</f>
      </c>
      <c r="I821">
        <f>IF(DATOS!$I821="","",IFERROR(VLOOKUP(DATOS!$I821,CONFIG_ASIGNATURAS!$B$2:$J$91,9,FALSE()),""))</f>
      </c>
    </row>
    <row r="822">
      <c r="F822">
        <f>IF(DATOS!$A822="","",DATOS!$A822&amp;"|"&amp;DATOS!$D822&amp;"|"&amp;DATOS!$E822&amp;"|"&amp;DATOS!$I822)</f>
      </c>
      <c r="G822">
        <f>IF(DATOS!$A822="",0,IF(CONFIG_METADATA!$B$4&lt;&gt;"OR+EX",--(DATOS!$G822=CONFIG_METADATA!$B$4),IF(DATOS!$G822="EX",1,IF(DATOS!$G822="OR",--(COUNTIFS(nNIA,DATOS!$A822,nCURSO,DATOS!$D822,nESPEC,DATOS!$E822,nASIG,DATOS!$I822,nEVAL,"EX")=0),0))))</f>
      </c>
      <c r="H822">
        <f>IF(DATOS!$G822&lt;&gt;"EX",0,--(COUNTIFS(nNIA,DATOS!$A822,nCURSO,DATOS!$D822,nESPEC,DATOS!$E822,nASIG,DATOS!$I822,nEVAL,"OR")=0))</f>
      </c>
      <c r="I822">
        <f>IF(DATOS!$I822="","",IFERROR(VLOOKUP(DATOS!$I822,CONFIG_ASIGNATURAS!$B$2:$J$91,9,FALSE()),""))</f>
      </c>
    </row>
    <row r="823">
      <c r="F823">
        <f>IF(DATOS!$A823="","",DATOS!$A823&amp;"|"&amp;DATOS!$D823&amp;"|"&amp;DATOS!$E823&amp;"|"&amp;DATOS!$I823)</f>
      </c>
      <c r="G823">
        <f>IF(DATOS!$A823="",0,IF(CONFIG_METADATA!$B$4&lt;&gt;"OR+EX",--(DATOS!$G823=CONFIG_METADATA!$B$4),IF(DATOS!$G823="EX",1,IF(DATOS!$G823="OR",--(COUNTIFS(nNIA,DATOS!$A823,nCURSO,DATOS!$D823,nESPEC,DATOS!$E823,nASIG,DATOS!$I823,nEVAL,"EX")=0),0))))</f>
      </c>
      <c r="H823">
        <f>IF(DATOS!$G823&lt;&gt;"EX",0,--(COUNTIFS(nNIA,DATOS!$A823,nCURSO,DATOS!$D823,nESPEC,DATOS!$E823,nASIG,DATOS!$I823,nEVAL,"OR")=0))</f>
      </c>
      <c r="I823">
        <f>IF(DATOS!$I823="","",IFERROR(VLOOKUP(DATOS!$I823,CONFIG_ASIGNATURAS!$B$2:$J$91,9,FALSE()),""))</f>
      </c>
    </row>
    <row r="824">
      <c r="F824">
        <f>IF(DATOS!$A824="","",DATOS!$A824&amp;"|"&amp;DATOS!$D824&amp;"|"&amp;DATOS!$E824&amp;"|"&amp;DATOS!$I824)</f>
      </c>
      <c r="G824">
        <f>IF(DATOS!$A824="",0,IF(CONFIG_METADATA!$B$4&lt;&gt;"OR+EX",--(DATOS!$G824=CONFIG_METADATA!$B$4),IF(DATOS!$G824="EX",1,IF(DATOS!$G824="OR",--(COUNTIFS(nNIA,DATOS!$A824,nCURSO,DATOS!$D824,nESPEC,DATOS!$E824,nASIG,DATOS!$I824,nEVAL,"EX")=0),0))))</f>
      </c>
      <c r="H824">
        <f>IF(DATOS!$G824&lt;&gt;"EX",0,--(COUNTIFS(nNIA,DATOS!$A824,nCURSO,DATOS!$D824,nESPEC,DATOS!$E824,nASIG,DATOS!$I824,nEVAL,"OR")=0))</f>
      </c>
      <c r="I824">
        <f>IF(DATOS!$I824="","",IFERROR(VLOOKUP(DATOS!$I824,CONFIG_ASIGNATURAS!$B$2:$J$91,9,FALSE()),""))</f>
      </c>
    </row>
    <row r="825">
      <c r="F825">
        <f>IF(DATOS!$A825="","",DATOS!$A825&amp;"|"&amp;DATOS!$D825&amp;"|"&amp;DATOS!$E825&amp;"|"&amp;DATOS!$I825)</f>
      </c>
      <c r="G825">
        <f>IF(DATOS!$A825="",0,IF(CONFIG_METADATA!$B$4&lt;&gt;"OR+EX",--(DATOS!$G825=CONFIG_METADATA!$B$4),IF(DATOS!$G825="EX",1,IF(DATOS!$G825="OR",--(COUNTIFS(nNIA,DATOS!$A825,nCURSO,DATOS!$D825,nESPEC,DATOS!$E825,nASIG,DATOS!$I825,nEVAL,"EX")=0),0))))</f>
      </c>
      <c r="H825">
        <f>IF(DATOS!$G825&lt;&gt;"EX",0,--(COUNTIFS(nNIA,DATOS!$A825,nCURSO,DATOS!$D825,nESPEC,DATOS!$E825,nASIG,DATOS!$I825,nEVAL,"OR")=0))</f>
      </c>
      <c r="I825">
        <f>IF(DATOS!$I825="","",IFERROR(VLOOKUP(DATOS!$I825,CONFIG_ASIGNATURAS!$B$2:$J$91,9,FALSE()),""))</f>
      </c>
    </row>
    <row r="826">
      <c r="F826">
        <f>IF(DATOS!$A826="","",DATOS!$A826&amp;"|"&amp;DATOS!$D826&amp;"|"&amp;DATOS!$E826&amp;"|"&amp;DATOS!$I826)</f>
      </c>
      <c r="G826">
        <f>IF(DATOS!$A826="",0,IF(CONFIG_METADATA!$B$4&lt;&gt;"OR+EX",--(DATOS!$G826=CONFIG_METADATA!$B$4),IF(DATOS!$G826="EX",1,IF(DATOS!$G826="OR",--(COUNTIFS(nNIA,DATOS!$A826,nCURSO,DATOS!$D826,nESPEC,DATOS!$E826,nASIG,DATOS!$I826,nEVAL,"EX")=0),0))))</f>
      </c>
      <c r="H826">
        <f>IF(DATOS!$G826&lt;&gt;"EX",0,--(COUNTIFS(nNIA,DATOS!$A826,nCURSO,DATOS!$D826,nESPEC,DATOS!$E826,nASIG,DATOS!$I826,nEVAL,"OR")=0))</f>
      </c>
      <c r="I826">
        <f>IF(DATOS!$I826="","",IFERROR(VLOOKUP(DATOS!$I826,CONFIG_ASIGNATURAS!$B$2:$J$91,9,FALSE()),""))</f>
      </c>
    </row>
    <row r="827">
      <c r="F827">
        <f>IF(DATOS!$A827="","",DATOS!$A827&amp;"|"&amp;DATOS!$D827&amp;"|"&amp;DATOS!$E827&amp;"|"&amp;DATOS!$I827)</f>
      </c>
      <c r="G827">
        <f>IF(DATOS!$A827="",0,IF(CONFIG_METADATA!$B$4&lt;&gt;"OR+EX",--(DATOS!$G827=CONFIG_METADATA!$B$4),IF(DATOS!$G827="EX",1,IF(DATOS!$G827="OR",--(COUNTIFS(nNIA,DATOS!$A827,nCURSO,DATOS!$D827,nESPEC,DATOS!$E827,nASIG,DATOS!$I827,nEVAL,"EX")=0),0))))</f>
      </c>
      <c r="H827">
        <f>IF(DATOS!$G827&lt;&gt;"EX",0,--(COUNTIFS(nNIA,DATOS!$A827,nCURSO,DATOS!$D827,nESPEC,DATOS!$E827,nASIG,DATOS!$I827,nEVAL,"OR")=0))</f>
      </c>
      <c r="I827">
        <f>IF(DATOS!$I827="","",IFERROR(VLOOKUP(DATOS!$I827,CONFIG_ASIGNATURAS!$B$2:$J$91,9,FALSE()),""))</f>
      </c>
    </row>
    <row r="828">
      <c r="F828">
        <f>IF(DATOS!$A828="","",DATOS!$A828&amp;"|"&amp;DATOS!$D828&amp;"|"&amp;DATOS!$E828&amp;"|"&amp;DATOS!$I828)</f>
      </c>
      <c r="G828">
        <f>IF(DATOS!$A828="",0,IF(CONFIG_METADATA!$B$4&lt;&gt;"OR+EX",--(DATOS!$G828=CONFIG_METADATA!$B$4),IF(DATOS!$G828="EX",1,IF(DATOS!$G828="OR",--(COUNTIFS(nNIA,DATOS!$A828,nCURSO,DATOS!$D828,nESPEC,DATOS!$E828,nASIG,DATOS!$I828,nEVAL,"EX")=0),0))))</f>
      </c>
      <c r="H828">
        <f>IF(DATOS!$G828&lt;&gt;"EX",0,--(COUNTIFS(nNIA,DATOS!$A828,nCURSO,DATOS!$D828,nESPEC,DATOS!$E828,nASIG,DATOS!$I828,nEVAL,"OR")=0))</f>
      </c>
      <c r="I828">
        <f>IF(DATOS!$I828="","",IFERROR(VLOOKUP(DATOS!$I828,CONFIG_ASIGNATURAS!$B$2:$J$91,9,FALSE()),""))</f>
      </c>
    </row>
    <row r="829">
      <c r="F829">
        <f>IF(DATOS!$A829="","",DATOS!$A829&amp;"|"&amp;DATOS!$D829&amp;"|"&amp;DATOS!$E829&amp;"|"&amp;DATOS!$I829)</f>
      </c>
      <c r="G829">
        <f>IF(DATOS!$A829="",0,IF(CONFIG_METADATA!$B$4&lt;&gt;"OR+EX",--(DATOS!$G829=CONFIG_METADATA!$B$4),IF(DATOS!$G829="EX",1,IF(DATOS!$G829="OR",--(COUNTIFS(nNIA,DATOS!$A829,nCURSO,DATOS!$D829,nESPEC,DATOS!$E829,nASIG,DATOS!$I829,nEVAL,"EX")=0),0))))</f>
      </c>
      <c r="H829">
        <f>IF(DATOS!$G829&lt;&gt;"EX",0,--(COUNTIFS(nNIA,DATOS!$A829,nCURSO,DATOS!$D829,nESPEC,DATOS!$E829,nASIG,DATOS!$I829,nEVAL,"OR")=0))</f>
      </c>
      <c r="I829">
        <f>IF(DATOS!$I829="","",IFERROR(VLOOKUP(DATOS!$I829,CONFIG_ASIGNATURAS!$B$2:$J$91,9,FALSE()),""))</f>
      </c>
    </row>
    <row r="830">
      <c r="F830">
        <f>IF(DATOS!$A830="","",DATOS!$A830&amp;"|"&amp;DATOS!$D830&amp;"|"&amp;DATOS!$E830&amp;"|"&amp;DATOS!$I830)</f>
      </c>
      <c r="G830">
        <f>IF(DATOS!$A830="",0,IF(CONFIG_METADATA!$B$4&lt;&gt;"OR+EX",--(DATOS!$G830=CONFIG_METADATA!$B$4),IF(DATOS!$G830="EX",1,IF(DATOS!$G830="OR",--(COUNTIFS(nNIA,DATOS!$A830,nCURSO,DATOS!$D830,nESPEC,DATOS!$E830,nASIG,DATOS!$I830,nEVAL,"EX")=0),0))))</f>
      </c>
      <c r="H830">
        <f>IF(DATOS!$G830&lt;&gt;"EX",0,--(COUNTIFS(nNIA,DATOS!$A830,nCURSO,DATOS!$D830,nESPEC,DATOS!$E830,nASIG,DATOS!$I830,nEVAL,"OR")=0))</f>
      </c>
      <c r="I830">
        <f>IF(DATOS!$I830="","",IFERROR(VLOOKUP(DATOS!$I830,CONFIG_ASIGNATURAS!$B$2:$J$91,9,FALSE()),""))</f>
      </c>
    </row>
    <row r="831">
      <c r="F831">
        <f>IF(DATOS!$A831="","",DATOS!$A831&amp;"|"&amp;DATOS!$D831&amp;"|"&amp;DATOS!$E831&amp;"|"&amp;DATOS!$I831)</f>
      </c>
      <c r="G831">
        <f>IF(DATOS!$A831="",0,IF(CONFIG_METADATA!$B$4&lt;&gt;"OR+EX",--(DATOS!$G831=CONFIG_METADATA!$B$4),IF(DATOS!$G831="EX",1,IF(DATOS!$G831="OR",--(COUNTIFS(nNIA,DATOS!$A831,nCURSO,DATOS!$D831,nESPEC,DATOS!$E831,nASIG,DATOS!$I831,nEVAL,"EX")=0),0))))</f>
      </c>
      <c r="H831">
        <f>IF(DATOS!$G831&lt;&gt;"EX",0,--(COUNTIFS(nNIA,DATOS!$A831,nCURSO,DATOS!$D831,nESPEC,DATOS!$E831,nASIG,DATOS!$I831,nEVAL,"OR")=0))</f>
      </c>
      <c r="I831">
        <f>IF(DATOS!$I831="","",IFERROR(VLOOKUP(DATOS!$I831,CONFIG_ASIGNATURAS!$B$2:$J$91,9,FALSE()),""))</f>
      </c>
    </row>
    <row r="832">
      <c r="F832">
        <f>IF(DATOS!$A832="","",DATOS!$A832&amp;"|"&amp;DATOS!$D832&amp;"|"&amp;DATOS!$E832&amp;"|"&amp;DATOS!$I832)</f>
      </c>
      <c r="G832">
        <f>IF(DATOS!$A832="",0,IF(CONFIG_METADATA!$B$4&lt;&gt;"OR+EX",--(DATOS!$G832=CONFIG_METADATA!$B$4),IF(DATOS!$G832="EX",1,IF(DATOS!$G832="OR",--(COUNTIFS(nNIA,DATOS!$A832,nCURSO,DATOS!$D832,nESPEC,DATOS!$E832,nASIG,DATOS!$I832,nEVAL,"EX")=0),0))))</f>
      </c>
      <c r="H832">
        <f>IF(DATOS!$G832&lt;&gt;"EX",0,--(COUNTIFS(nNIA,DATOS!$A832,nCURSO,DATOS!$D832,nESPEC,DATOS!$E832,nASIG,DATOS!$I832,nEVAL,"OR")=0))</f>
      </c>
      <c r="I832">
        <f>IF(DATOS!$I832="","",IFERROR(VLOOKUP(DATOS!$I832,CONFIG_ASIGNATURAS!$B$2:$J$91,9,FALSE()),""))</f>
      </c>
    </row>
    <row r="833">
      <c r="F833">
        <f>IF(DATOS!$A833="","",DATOS!$A833&amp;"|"&amp;DATOS!$D833&amp;"|"&amp;DATOS!$E833&amp;"|"&amp;DATOS!$I833)</f>
      </c>
      <c r="G833">
        <f>IF(DATOS!$A833="",0,IF(CONFIG_METADATA!$B$4&lt;&gt;"OR+EX",--(DATOS!$G833=CONFIG_METADATA!$B$4),IF(DATOS!$G833="EX",1,IF(DATOS!$G833="OR",--(COUNTIFS(nNIA,DATOS!$A833,nCURSO,DATOS!$D833,nESPEC,DATOS!$E833,nASIG,DATOS!$I833,nEVAL,"EX")=0),0))))</f>
      </c>
      <c r="H833">
        <f>IF(DATOS!$G833&lt;&gt;"EX",0,--(COUNTIFS(nNIA,DATOS!$A833,nCURSO,DATOS!$D833,nESPEC,DATOS!$E833,nASIG,DATOS!$I833,nEVAL,"OR")=0))</f>
      </c>
      <c r="I833">
        <f>IF(DATOS!$I833="","",IFERROR(VLOOKUP(DATOS!$I833,CONFIG_ASIGNATURAS!$B$2:$J$91,9,FALSE()),""))</f>
      </c>
    </row>
    <row r="834">
      <c r="F834">
        <f>IF(DATOS!$A834="","",DATOS!$A834&amp;"|"&amp;DATOS!$D834&amp;"|"&amp;DATOS!$E834&amp;"|"&amp;DATOS!$I834)</f>
      </c>
      <c r="G834">
        <f>IF(DATOS!$A834="",0,IF(CONFIG_METADATA!$B$4&lt;&gt;"OR+EX",--(DATOS!$G834=CONFIG_METADATA!$B$4),IF(DATOS!$G834="EX",1,IF(DATOS!$G834="OR",--(COUNTIFS(nNIA,DATOS!$A834,nCURSO,DATOS!$D834,nESPEC,DATOS!$E834,nASIG,DATOS!$I834,nEVAL,"EX")=0),0))))</f>
      </c>
      <c r="H834">
        <f>IF(DATOS!$G834&lt;&gt;"EX",0,--(COUNTIFS(nNIA,DATOS!$A834,nCURSO,DATOS!$D834,nESPEC,DATOS!$E834,nASIG,DATOS!$I834,nEVAL,"OR")=0))</f>
      </c>
      <c r="I834">
        <f>IF(DATOS!$I834="","",IFERROR(VLOOKUP(DATOS!$I834,CONFIG_ASIGNATURAS!$B$2:$J$91,9,FALSE()),""))</f>
      </c>
    </row>
    <row r="835">
      <c r="F835">
        <f>IF(DATOS!$A835="","",DATOS!$A835&amp;"|"&amp;DATOS!$D835&amp;"|"&amp;DATOS!$E835&amp;"|"&amp;DATOS!$I835)</f>
      </c>
      <c r="G835">
        <f>IF(DATOS!$A835="",0,IF(CONFIG_METADATA!$B$4&lt;&gt;"OR+EX",--(DATOS!$G835=CONFIG_METADATA!$B$4),IF(DATOS!$G835="EX",1,IF(DATOS!$G835="OR",--(COUNTIFS(nNIA,DATOS!$A835,nCURSO,DATOS!$D835,nESPEC,DATOS!$E835,nASIG,DATOS!$I835,nEVAL,"EX")=0),0))))</f>
      </c>
      <c r="H835">
        <f>IF(DATOS!$G835&lt;&gt;"EX",0,--(COUNTIFS(nNIA,DATOS!$A835,nCURSO,DATOS!$D835,nESPEC,DATOS!$E835,nASIG,DATOS!$I835,nEVAL,"OR")=0))</f>
      </c>
      <c r="I835">
        <f>IF(DATOS!$I835="","",IFERROR(VLOOKUP(DATOS!$I835,CONFIG_ASIGNATURAS!$B$2:$J$91,9,FALSE()),""))</f>
      </c>
    </row>
    <row r="836">
      <c r="F836">
        <f>IF(DATOS!$A836="","",DATOS!$A836&amp;"|"&amp;DATOS!$D836&amp;"|"&amp;DATOS!$E836&amp;"|"&amp;DATOS!$I836)</f>
      </c>
      <c r="G836">
        <f>IF(DATOS!$A836="",0,IF(CONFIG_METADATA!$B$4&lt;&gt;"OR+EX",--(DATOS!$G836=CONFIG_METADATA!$B$4),IF(DATOS!$G836="EX",1,IF(DATOS!$G836="OR",--(COUNTIFS(nNIA,DATOS!$A836,nCURSO,DATOS!$D836,nESPEC,DATOS!$E836,nASIG,DATOS!$I836,nEVAL,"EX")=0),0))))</f>
      </c>
      <c r="H836">
        <f>IF(DATOS!$G836&lt;&gt;"EX",0,--(COUNTIFS(nNIA,DATOS!$A836,nCURSO,DATOS!$D836,nESPEC,DATOS!$E836,nASIG,DATOS!$I836,nEVAL,"OR")=0))</f>
      </c>
      <c r="I836">
        <f>IF(DATOS!$I836="","",IFERROR(VLOOKUP(DATOS!$I836,CONFIG_ASIGNATURAS!$B$2:$J$91,9,FALSE()),""))</f>
      </c>
    </row>
    <row r="837">
      <c r="F837">
        <f>IF(DATOS!$A837="","",DATOS!$A837&amp;"|"&amp;DATOS!$D837&amp;"|"&amp;DATOS!$E837&amp;"|"&amp;DATOS!$I837)</f>
      </c>
      <c r="G837">
        <f>IF(DATOS!$A837="",0,IF(CONFIG_METADATA!$B$4&lt;&gt;"OR+EX",--(DATOS!$G837=CONFIG_METADATA!$B$4),IF(DATOS!$G837="EX",1,IF(DATOS!$G837="OR",--(COUNTIFS(nNIA,DATOS!$A837,nCURSO,DATOS!$D837,nESPEC,DATOS!$E837,nASIG,DATOS!$I837,nEVAL,"EX")=0),0))))</f>
      </c>
      <c r="H837">
        <f>IF(DATOS!$G837&lt;&gt;"EX",0,--(COUNTIFS(nNIA,DATOS!$A837,nCURSO,DATOS!$D837,nESPEC,DATOS!$E837,nASIG,DATOS!$I837,nEVAL,"OR")=0))</f>
      </c>
      <c r="I837">
        <f>IF(DATOS!$I837="","",IFERROR(VLOOKUP(DATOS!$I837,CONFIG_ASIGNATURAS!$B$2:$J$91,9,FALSE()),""))</f>
      </c>
    </row>
    <row r="838">
      <c r="F838">
        <f>IF(DATOS!$A838="","",DATOS!$A838&amp;"|"&amp;DATOS!$D838&amp;"|"&amp;DATOS!$E838&amp;"|"&amp;DATOS!$I838)</f>
      </c>
      <c r="G838">
        <f>IF(DATOS!$A838="",0,IF(CONFIG_METADATA!$B$4&lt;&gt;"OR+EX",--(DATOS!$G838=CONFIG_METADATA!$B$4),IF(DATOS!$G838="EX",1,IF(DATOS!$G838="OR",--(COUNTIFS(nNIA,DATOS!$A838,nCURSO,DATOS!$D838,nESPEC,DATOS!$E838,nASIG,DATOS!$I838,nEVAL,"EX")=0),0))))</f>
      </c>
      <c r="H838">
        <f>IF(DATOS!$G838&lt;&gt;"EX",0,--(COUNTIFS(nNIA,DATOS!$A838,nCURSO,DATOS!$D838,nESPEC,DATOS!$E838,nASIG,DATOS!$I838,nEVAL,"OR")=0))</f>
      </c>
      <c r="I838">
        <f>IF(DATOS!$I838="","",IFERROR(VLOOKUP(DATOS!$I838,CONFIG_ASIGNATURAS!$B$2:$J$91,9,FALSE()),""))</f>
      </c>
    </row>
    <row r="839">
      <c r="F839">
        <f>IF(DATOS!$A839="","",DATOS!$A839&amp;"|"&amp;DATOS!$D839&amp;"|"&amp;DATOS!$E839&amp;"|"&amp;DATOS!$I839)</f>
      </c>
      <c r="G839">
        <f>IF(DATOS!$A839="",0,IF(CONFIG_METADATA!$B$4&lt;&gt;"OR+EX",--(DATOS!$G839=CONFIG_METADATA!$B$4),IF(DATOS!$G839="EX",1,IF(DATOS!$G839="OR",--(COUNTIFS(nNIA,DATOS!$A839,nCURSO,DATOS!$D839,nESPEC,DATOS!$E839,nASIG,DATOS!$I839,nEVAL,"EX")=0),0))))</f>
      </c>
      <c r="H839">
        <f>IF(DATOS!$G839&lt;&gt;"EX",0,--(COUNTIFS(nNIA,DATOS!$A839,nCURSO,DATOS!$D839,nESPEC,DATOS!$E839,nASIG,DATOS!$I839,nEVAL,"OR")=0))</f>
      </c>
      <c r="I839">
        <f>IF(DATOS!$I839="","",IFERROR(VLOOKUP(DATOS!$I839,CONFIG_ASIGNATURAS!$B$2:$J$91,9,FALSE()),""))</f>
      </c>
    </row>
    <row r="840">
      <c r="F840">
        <f>IF(DATOS!$A840="","",DATOS!$A840&amp;"|"&amp;DATOS!$D840&amp;"|"&amp;DATOS!$E840&amp;"|"&amp;DATOS!$I840)</f>
      </c>
      <c r="G840">
        <f>IF(DATOS!$A840="",0,IF(CONFIG_METADATA!$B$4&lt;&gt;"OR+EX",--(DATOS!$G840=CONFIG_METADATA!$B$4),IF(DATOS!$G840="EX",1,IF(DATOS!$G840="OR",--(COUNTIFS(nNIA,DATOS!$A840,nCURSO,DATOS!$D840,nESPEC,DATOS!$E840,nASIG,DATOS!$I840,nEVAL,"EX")=0),0))))</f>
      </c>
      <c r="H840">
        <f>IF(DATOS!$G840&lt;&gt;"EX",0,--(COUNTIFS(nNIA,DATOS!$A840,nCURSO,DATOS!$D840,nESPEC,DATOS!$E840,nASIG,DATOS!$I840,nEVAL,"OR")=0))</f>
      </c>
      <c r="I840">
        <f>IF(DATOS!$I840="","",IFERROR(VLOOKUP(DATOS!$I840,CONFIG_ASIGNATURAS!$B$2:$J$91,9,FALSE()),""))</f>
      </c>
    </row>
    <row r="841">
      <c r="F841">
        <f>IF(DATOS!$A841="","",DATOS!$A841&amp;"|"&amp;DATOS!$D841&amp;"|"&amp;DATOS!$E841&amp;"|"&amp;DATOS!$I841)</f>
      </c>
      <c r="G841">
        <f>IF(DATOS!$A841="",0,IF(CONFIG_METADATA!$B$4&lt;&gt;"OR+EX",--(DATOS!$G841=CONFIG_METADATA!$B$4),IF(DATOS!$G841="EX",1,IF(DATOS!$G841="OR",--(COUNTIFS(nNIA,DATOS!$A841,nCURSO,DATOS!$D841,nESPEC,DATOS!$E841,nASIG,DATOS!$I841,nEVAL,"EX")=0),0))))</f>
      </c>
      <c r="H841">
        <f>IF(DATOS!$G841&lt;&gt;"EX",0,--(COUNTIFS(nNIA,DATOS!$A841,nCURSO,DATOS!$D841,nESPEC,DATOS!$E841,nASIG,DATOS!$I841,nEVAL,"OR")=0))</f>
      </c>
      <c r="I841">
        <f>IF(DATOS!$I841="","",IFERROR(VLOOKUP(DATOS!$I841,CONFIG_ASIGNATURAS!$B$2:$J$91,9,FALSE()),""))</f>
      </c>
    </row>
    <row r="842">
      <c r="F842">
        <f>IF(DATOS!$A842="","",DATOS!$A842&amp;"|"&amp;DATOS!$D842&amp;"|"&amp;DATOS!$E842&amp;"|"&amp;DATOS!$I842)</f>
      </c>
      <c r="G842">
        <f>IF(DATOS!$A842="",0,IF(CONFIG_METADATA!$B$4&lt;&gt;"OR+EX",--(DATOS!$G842=CONFIG_METADATA!$B$4),IF(DATOS!$G842="EX",1,IF(DATOS!$G842="OR",--(COUNTIFS(nNIA,DATOS!$A842,nCURSO,DATOS!$D842,nESPEC,DATOS!$E842,nASIG,DATOS!$I842,nEVAL,"EX")=0),0))))</f>
      </c>
      <c r="H842">
        <f>IF(DATOS!$G842&lt;&gt;"EX",0,--(COUNTIFS(nNIA,DATOS!$A842,nCURSO,DATOS!$D842,nESPEC,DATOS!$E842,nASIG,DATOS!$I842,nEVAL,"OR")=0))</f>
      </c>
      <c r="I842">
        <f>IF(DATOS!$I842="","",IFERROR(VLOOKUP(DATOS!$I842,CONFIG_ASIGNATURAS!$B$2:$J$91,9,FALSE()),""))</f>
      </c>
    </row>
    <row r="843">
      <c r="F843">
        <f>IF(DATOS!$A843="","",DATOS!$A843&amp;"|"&amp;DATOS!$D843&amp;"|"&amp;DATOS!$E843&amp;"|"&amp;DATOS!$I843)</f>
      </c>
      <c r="G843">
        <f>IF(DATOS!$A843="",0,IF(CONFIG_METADATA!$B$4&lt;&gt;"OR+EX",--(DATOS!$G843=CONFIG_METADATA!$B$4),IF(DATOS!$G843="EX",1,IF(DATOS!$G843="OR",--(COUNTIFS(nNIA,DATOS!$A843,nCURSO,DATOS!$D843,nESPEC,DATOS!$E843,nASIG,DATOS!$I843,nEVAL,"EX")=0),0))))</f>
      </c>
      <c r="H843">
        <f>IF(DATOS!$G843&lt;&gt;"EX",0,--(COUNTIFS(nNIA,DATOS!$A843,nCURSO,DATOS!$D843,nESPEC,DATOS!$E843,nASIG,DATOS!$I843,nEVAL,"OR")=0))</f>
      </c>
      <c r="I843">
        <f>IF(DATOS!$I843="","",IFERROR(VLOOKUP(DATOS!$I843,CONFIG_ASIGNATURAS!$B$2:$J$91,9,FALSE()),""))</f>
      </c>
    </row>
    <row r="844">
      <c r="F844">
        <f>IF(DATOS!$A844="","",DATOS!$A844&amp;"|"&amp;DATOS!$D844&amp;"|"&amp;DATOS!$E844&amp;"|"&amp;DATOS!$I844)</f>
      </c>
      <c r="G844">
        <f>IF(DATOS!$A844="",0,IF(CONFIG_METADATA!$B$4&lt;&gt;"OR+EX",--(DATOS!$G844=CONFIG_METADATA!$B$4),IF(DATOS!$G844="EX",1,IF(DATOS!$G844="OR",--(COUNTIFS(nNIA,DATOS!$A844,nCURSO,DATOS!$D844,nESPEC,DATOS!$E844,nASIG,DATOS!$I844,nEVAL,"EX")=0),0))))</f>
      </c>
      <c r="H844">
        <f>IF(DATOS!$G844&lt;&gt;"EX",0,--(COUNTIFS(nNIA,DATOS!$A844,nCURSO,DATOS!$D844,nESPEC,DATOS!$E844,nASIG,DATOS!$I844,nEVAL,"OR")=0))</f>
      </c>
      <c r="I844">
        <f>IF(DATOS!$I844="","",IFERROR(VLOOKUP(DATOS!$I844,CONFIG_ASIGNATURAS!$B$2:$J$91,9,FALSE()),""))</f>
      </c>
    </row>
    <row r="845">
      <c r="F845">
        <f>IF(DATOS!$A845="","",DATOS!$A845&amp;"|"&amp;DATOS!$D845&amp;"|"&amp;DATOS!$E845&amp;"|"&amp;DATOS!$I845)</f>
      </c>
      <c r="G845">
        <f>IF(DATOS!$A845="",0,IF(CONFIG_METADATA!$B$4&lt;&gt;"OR+EX",--(DATOS!$G845=CONFIG_METADATA!$B$4),IF(DATOS!$G845="EX",1,IF(DATOS!$G845="OR",--(COUNTIFS(nNIA,DATOS!$A845,nCURSO,DATOS!$D845,nESPEC,DATOS!$E845,nASIG,DATOS!$I845,nEVAL,"EX")=0),0))))</f>
      </c>
      <c r="H845">
        <f>IF(DATOS!$G845&lt;&gt;"EX",0,--(COUNTIFS(nNIA,DATOS!$A845,nCURSO,DATOS!$D845,nESPEC,DATOS!$E845,nASIG,DATOS!$I845,nEVAL,"OR")=0))</f>
      </c>
      <c r="I845">
        <f>IF(DATOS!$I845="","",IFERROR(VLOOKUP(DATOS!$I845,CONFIG_ASIGNATURAS!$B$2:$J$91,9,FALSE()),""))</f>
      </c>
    </row>
    <row r="846">
      <c r="F846">
        <f>IF(DATOS!$A846="","",DATOS!$A846&amp;"|"&amp;DATOS!$D846&amp;"|"&amp;DATOS!$E846&amp;"|"&amp;DATOS!$I846)</f>
      </c>
      <c r="G846">
        <f>IF(DATOS!$A846="",0,IF(CONFIG_METADATA!$B$4&lt;&gt;"OR+EX",--(DATOS!$G846=CONFIG_METADATA!$B$4),IF(DATOS!$G846="EX",1,IF(DATOS!$G846="OR",--(COUNTIFS(nNIA,DATOS!$A846,nCURSO,DATOS!$D846,nESPEC,DATOS!$E846,nASIG,DATOS!$I846,nEVAL,"EX")=0),0))))</f>
      </c>
      <c r="H846">
        <f>IF(DATOS!$G846&lt;&gt;"EX",0,--(COUNTIFS(nNIA,DATOS!$A846,nCURSO,DATOS!$D846,nESPEC,DATOS!$E846,nASIG,DATOS!$I846,nEVAL,"OR")=0))</f>
      </c>
      <c r="I846">
        <f>IF(DATOS!$I846="","",IFERROR(VLOOKUP(DATOS!$I846,CONFIG_ASIGNATURAS!$B$2:$J$91,9,FALSE()),""))</f>
      </c>
    </row>
    <row r="847">
      <c r="F847">
        <f>IF(DATOS!$A847="","",DATOS!$A847&amp;"|"&amp;DATOS!$D847&amp;"|"&amp;DATOS!$E847&amp;"|"&amp;DATOS!$I847)</f>
      </c>
      <c r="G847">
        <f>IF(DATOS!$A847="",0,IF(CONFIG_METADATA!$B$4&lt;&gt;"OR+EX",--(DATOS!$G847=CONFIG_METADATA!$B$4),IF(DATOS!$G847="EX",1,IF(DATOS!$G847="OR",--(COUNTIFS(nNIA,DATOS!$A847,nCURSO,DATOS!$D847,nESPEC,DATOS!$E847,nASIG,DATOS!$I847,nEVAL,"EX")=0),0))))</f>
      </c>
      <c r="H847">
        <f>IF(DATOS!$G847&lt;&gt;"EX",0,--(COUNTIFS(nNIA,DATOS!$A847,nCURSO,DATOS!$D847,nESPEC,DATOS!$E847,nASIG,DATOS!$I847,nEVAL,"OR")=0))</f>
      </c>
      <c r="I847">
        <f>IF(DATOS!$I847="","",IFERROR(VLOOKUP(DATOS!$I847,CONFIG_ASIGNATURAS!$B$2:$J$91,9,FALSE()),""))</f>
      </c>
    </row>
    <row r="848">
      <c r="F848">
        <f>IF(DATOS!$A848="","",DATOS!$A848&amp;"|"&amp;DATOS!$D848&amp;"|"&amp;DATOS!$E848&amp;"|"&amp;DATOS!$I848)</f>
      </c>
      <c r="G848">
        <f>IF(DATOS!$A848="",0,IF(CONFIG_METADATA!$B$4&lt;&gt;"OR+EX",--(DATOS!$G848=CONFIG_METADATA!$B$4),IF(DATOS!$G848="EX",1,IF(DATOS!$G848="OR",--(COUNTIFS(nNIA,DATOS!$A848,nCURSO,DATOS!$D848,nESPEC,DATOS!$E848,nASIG,DATOS!$I848,nEVAL,"EX")=0),0))))</f>
      </c>
      <c r="H848">
        <f>IF(DATOS!$G848&lt;&gt;"EX",0,--(COUNTIFS(nNIA,DATOS!$A848,nCURSO,DATOS!$D848,nESPEC,DATOS!$E848,nASIG,DATOS!$I848,nEVAL,"OR")=0))</f>
      </c>
      <c r="I848">
        <f>IF(DATOS!$I848="","",IFERROR(VLOOKUP(DATOS!$I848,CONFIG_ASIGNATURAS!$B$2:$J$91,9,FALSE()),""))</f>
      </c>
    </row>
    <row r="849">
      <c r="F849">
        <f>IF(DATOS!$A849="","",DATOS!$A849&amp;"|"&amp;DATOS!$D849&amp;"|"&amp;DATOS!$E849&amp;"|"&amp;DATOS!$I849)</f>
      </c>
      <c r="G849">
        <f>IF(DATOS!$A849="",0,IF(CONFIG_METADATA!$B$4&lt;&gt;"OR+EX",--(DATOS!$G849=CONFIG_METADATA!$B$4),IF(DATOS!$G849="EX",1,IF(DATOS!$G849="OR",--(COUNTIFS(nNIA,DATOS!$A849,nCURSO,DATOS!$D849,nESPEC,DATOS!$E849,nASIG,DATOS!$I849,nEVAL,"EX")=0),0))))</f>
      </c>
      <c r="H849">
        <f>IF(DATOS!$G849&lt;&gt;"EX",0,--(COUNTIFS(nNIA,DATOS!$A849,nCURSO,DATOS!$D849,nESPEC,DATOS!$E849,nASIG,DATOS!$I849,nEVAL,"OR")=0))</f>
      </c>
      <c r="I849">
        <f>IF(DATOS!$I849="","",IFERROR(VLOOKUP(DATOS!$I849,CONFIG_ASIGNATURAS!$B$2:$J$91,9,FALSE()),""))</f>
      </c>
    </row>
    <row r="850">
      <c r="F850">
        <f>IF(DATOS!$A850="","",DATOS!$A850&amp;"|"&amp;DATOS!$D850&amp;"|"&amp;DATOS!$E850&amp;"|"&amp;DATOS!$I850)</f>
      </c>
      <c r="G850">
        <f>IF(DATOS!$A850="",0,IF(CONFIG_METADATA!$B$4&lt;&gt;"OR+EX",--(DATOS!$G850=CONFIG_METADATA!$B$4),IF(DATOS!$G850="EX",1,IF(DATOS!$G850="OR",--(COUNTIFS(nNIA,DATOS!$A850,nCURSO,DATOS!$D850,nESPEC,DATOS!$E850,nASIG,DATOS!$I850,nEVAL,"EX")=0),0))))</f>
      </c>
      <c r="H850">
        <f>IF(DATOS!$G850&lt;&gt;"EX",0,--(COUNTIFS(nNIA,DATOS!$A850,nCURSO,DATOS!$D850,nESPEC,DATOS!$E850,nASIG,DATOS!$I850,nEVAL,"OR")=0))</f>
      </c>
      <c r="I850">
        <f>IF(DATOS!$I850="","",IFERROR(VLOOKUP(DATOS!$I850,CONFIG_ASIGNATURAS!$B$2:$J$91,9,FALSE()),""))</f>
      </c>
    </row>
    <row r="851">
      <c r="F851">
        <f>IF(DATOS!$A851="","",DATOS!$A851&amp;"|"&amp;DATOS!$D851&amp;"|"&amp;DATOS!$E851&amp;"|"&amp;DATOS!$I851)</f>
      </c>
      <c r="G851">
        <f>IF(DATOS!$A851="",0,IF(CONFIG_METADATA!$B$4&lt;&gt;"OR+EX",--(DATOS!$G851=CONFIG_METADATA!$B$4),IF(DATOS!$G851="EX",1,IF(DATOS!$G851="OR",--(COUNTIFS(nNIA,DATOS!$A851,nCURSO,DATOS!$D851,nESPEC,DATOS!$E851,nASIG,DATOS!$I851,nEVAL,"EX")=0),0))))</f>
      </c>
      <c r="H851">
        <f>IF(DATOS!$G851&lt;&gt;"EX",0,--(COUNTIFS(nNIA,DATOS!$A851,nCURSO,DATOS!$D851,nESPEC,DATOS!$E851,nASIG,DATOS!$I851,nEVAL,"OR")=0))</f>
      </c>
      <c r="I851">
        <f>IF(DATOS!$I851="","",IFERROR(VLOOKUP(DATOS!$I851,CONFIG_ASIGNATURAS!$B$2:$J$91,9,FALSE()),""))</f>
      </c>
    </row>
    <row r="852">
      <c r="F852">
        <f>IF(DATOS!$A852="","",DATOS!$A852&amp;"|"&amp;DATOS!$D852&amp;"|"&amp;DATOS!$E852&amp;"|"&amp;DATOS!$I852)</f>
      </c>
      <c r="G852">
        <f>IF(DATOS!$A852="",0,IF(CONFIG_METADATA!$B$4&lt;&gt;"OR+EX",--(DATOS!$G852=CONFIG_METADATA!$B$4),IF(DATOS!$G852="EX",1,IF(DATOS!$G852="OR",--(COUNTIFS(nNIA,DATOS!$A852,nCURSO,DATOS!$D852,nESPEC,DATOS!$E852,nASIG,DATOS!$I852,nEVAL,"EX")=0),0))))</f>
      </c>
      <c r="H852">
        <f>IF(DATOS!$G852&lt;&gt;"EX",0,--(COUNTIFS(nNIA,DATOS!$A852,nCURSO,DATOS!$D852,nESPEC,DATOS!$E852,nASIG,DATOS!$I852,nEVAL,"OR")=0))</f>
      </c>
      <c r="I852">
        <f>IF(DATOS!$I852="","",IFERROR(VLOOKUP(DATOS!$I852,CONFIG_ASIGNATURAS!$B$2:$J$91,9,FALSE()),""))</f>
      </c>
    </row>
    <row r="853">
      <c r="F853">
        <f>IF(DATOS!$A853="","",DATOS!$A853&amp;"|"&amp;DATOS!$D853&amp;"|"&amp;DATOS!$E853&amp;"|"&amp;DATOS!$I853)</f>
      </c>
      <c r="G853">
        <f>IF(DATOS!$A853="",0,IF(CONFIG_METADATA!$B$4&lt;&gt;"OR+EX",--(DATOS!$G853=CONFIG_METADATA!$B$4),IF(DATOS!$G853="EX",1,IF(DATOS!$G853="OR",--(COUNTIFS(nNIA,DATOS!$A853,nCURSO,DATOS!$D853,nESPEC,DATOS!$E853,nASIG,DATOS!$I853,nEVAL,"EX")=0),0))))</f>
      </c>
      <c r="H853">
        <f>IF(DATOS!$G853&lt;&gt;"EX",0,--(COUNTIFS(nNIA,DATOS!$A853,nCURSO,DATOS!$D853,nESPEC,DATOS!$E853,nASIG,DATOS!$I853,nEVAL,"OR")=0))</f>
      </c>
      <c r="I853">
        <f>IF(DATOS!$I853="","",IFERROR(VLOOKUP(DATOS!$I853,CONFIG_ASIGNATURAS!$B$2:$J$91,9,FALSE()),""))</f>
      </c>
    </row>
    <row r="854">
      <c r="F854">
        <f>IF(DATOS!$A854="","",DATOS!$A854&amp;"|"&amp;DATOS!$D854&amp;"|"&amp;DATOS!$E854&amp;"|"&amp;DATOS!$I854)</f>
      </c>
      <c r="G854">
        <f>IF(DATOS!$A854="",0,IF(CONFIG_METADATA!$B$4&lt;&gt;"OR+EX",--(DATOS!$G854=CONFIG_METADATA!$B$4),IF(DATOS!$G854="EX",1,IF(DATOS!$G854="OR",--(COUNTIFS(nNIA,DATOS!$A854,nCURSO,DATOS!$D854,nESPEC,DATOS!$E854,nASIG,DATOS!$I854,nEVAL,"EX")=0),0))))</f>
      </c>
      <c r="H854">
        <f>IF(DATOS!$G854&lt;&gt;"EX",0,--(COUNTIFS(nNIA,DATOS!$A854,nCURSO,DATOS!$D854,nESPEC,DATOS!$E854,nASIG,DATOS!$I854,nEVAL,"OR")=0))</f>
      </c>
      <c r="I854">
        <f>IF(DATOS!$I854="","",IFERROR(VLOOKUP(DATOS!$I854,CONFIG_ASIGNATURAS!$B$2:$J$91,9,FALSE()),""))</f>
      </c>
    </row>
    <row r="855">
      <c r="F855">
        <f>IF(DATOS!$A855="","",DATOS!$A855&amp;"|"&amp;DATOS!$D855&amp;"|"&amp;DATOS!$E855&amp;"|"&amp;DATOS!$I855)</f>
      </c>
      <c r="G855">
        <f>IF(DATOS!$A855="",0,IF(CONFIG_METADATA!$B$4&lt;&gt;"OR+EX",--(DATOS!$G855=CONFIG_METADATA!$B$4),IF(DATOS!$G855="EX",1,IF(DATOS!$G855="OR",--(COUNTIFS(nNIA,DATOS!$A855,nCURSO,DATOS!$D855,nESPEC,DATOS!$E855,nASIG,DATOS!$I855,nEVAL,"EX")=0),0))))</f>
      </c>
      <c r="H855">
        <f>IF(DATOS!$G855&lt;&gt;"EX",0,--(COUNTIFS(nNIA,DATOS!$A855,nCURSO,DATOS!$D855,nESPEC,DATOS!$E855,nASIG,DATOS!$I855,nEVAL,"OR")=0))</f>
      </c>
      <c r="I855">
        <f>IF(DATOS!$I855="","",IFERROR(VLOOKUP(DATOS!$I855,CONFIG_ASIGNATURAS!$B$2:$J$91,9,FALSE()),""))</f>
      </c>
    </row>
    <row r="856">
      <c r="F856">
        <f>IF(DATOS!$A856="","",DATOS!$A856&amp;"|"&amp;DATOS!$D856&amp;"|"&amp;DATOS!$E856&amp;"|"&amp;DATOS!$I856)</f>
      </c>
      <c r="G856">
        <f>IF(DATOS!$A856="",0,IF(CONFIG_METADATA!$B$4&lt;&gt;"OR+EX",--(DATOS!$G856=CONFIG_METADATA!$B$4),IF(DATOS!$G856="EX",1,IF(DATOS!$G856="OR",--(COUNTIFS(nNIA,DATOS!$A856,nCURSO,DATOS!$D856,nESPEC,DATOS!$E856,nASIG,DATOS!$I856,nEVAL,"EX")=0),0))))</f>
      </c>
      <c r="H856">
        <f>IF(DATOS!$G856&lt;&gt;"EX",0,--(COUNTIFS(nNIA,DATOS!$A856,nCURSO,DATOS!$D856,nESPEC,DATOS!$E856,nASIG,DATOS!$I856,nEVAL,"OR")=0))</f>
      </c>
      <c r="I856">
        <f>IF(DATOS!$I856="","",IFERROR(VLOOKUP(DATOS!$I856,CONFIG_ASIGNATURAS!$B$2:$J$91,9,FALSE()),""))</f>
      </c>
    </row>
    <row r="857">
      <c r="F857">
        <f>IF(DATOS!$A857="","",DATOS!$A857&amp;"|"&amp;DATOS!$D857&amp;"|"&amp;DATOS!$E857&amp;"|"&amp;DATOS!$I857)</f>
      </c>
      <c r="G857">
        <f>IF(DATOS!$A857="",0,IF(CONFIG_METADATA!$B$4&lt;&gt;"OR+EX",--(DATOS!$G857=CONFIG_METADATA!$B$4),IF(DATOS!$G857="EX",1,IF(DATOS!$G857="OR",--(COUNTIFS(nNIA,DATOS!$A857,nCURSO,DATOS!$D857,nESPEC,DATOS!$E857,nASIG,DATOS!$I857,nEVAL,"EX")=0),0))))</f>
      </c>
      <c r="H857">
        <f>IF(DATOS!$G857&lt;&gt;"EX",0,--(COUNTIFS(nNIA,DATOS!$A857,nCURSO,DATOS!$D857,nESPEC,DATOS!$E857,nASIG,DATOS!$I857,nEVAL,"OR")=0))</f>
      </c>
      <c r="I857">
        <f>IF(DATOS!$I857="","",IFERROR(VLOOKUP(DATOS!$I857,CONFIG_ASIGNATURAS!$B$2:$J$91,9,FALSE()),""))</f>
      </c>
    </row>
    <row r="858">
      <c r="F858">
        <f>IF(DATOS!$A858="","",DATOS!$A858&amp;"|"&amp;DATOS!$D858&amp;"|"&amp;DATOS!$E858&amp;"|"&amp;DATOS!$I858)</f>
      </c>
      <c r="G858">
        <f>IF(DATOS!$A858="",0,IF(CONFIG_METADATA!$B$4&lt;&gt;"OR+EX",--(DATOS!$G858=CONFIG_METADATA!$B$4),IF(DATOS!$G858="EX",1,IF(DATOS!$G858="OR",--(COUNTIFS(nNIA,DATOS!$A858,nCURSO,DATOS!$D858,nESPEC,DATOS!$E858,nASIG,DATOS!$I858,nEVAL,"EX")=0),0))))</f>
      </c>
      <c r="H858">
        <f>IF(DATOS!$G858&lt;&gt;"EX",0,--(COUNTIFS(nNIA,DATOS!$A858,nCURSO,DATOS!$D858,nESPEC,DATOS!$E858,nASIG,DATOS!$I858,nEVAL,"OR")=0))</f>
      </c>
      <c r="I858">
        <f>IF(DATOS!$I858="","",IFERROR(VLOOKUP(DATOS!$I858,CONFIG_ASIGNATURAS!$B$2:$J$91,9,FALSE()),""))</f>
      </c>
    </row>
    <row r="859">
      <c r="F859">
        <f>IF(DATOS!$A859="","",DATOS!$A859&amp;"|"&amp;DATOS!$D859&amp;"|"&amp;DATOS!$E859&amp;"|"&amp;DATOS!$I859)</f>
      </c>
      <c r="G859">
        <f>IF(DATOS!$A859="",0,IF(CONFIG_METADATA!$B$4&lt;&gt;"OR+EX",--(DATOS!$G859=CONFIG_METADATA!$B$4),IF(DATOS!$G859="EX",1,IF(DATOS!$G859="OR",--(COUNTIFS(nNIA,DATOS!$A859,nCURSO,DATOS!$D859,nESPEC,DATOS!$E859,nASIG,DATOS!$I859,nEVAL,"EX")=0),0))))</f>
      </c>
      <c r="H859">
        <f>IF(DATOS!$G859&lt;&gt;"EX",0,--(COUNTIFS(nNIA,DATOS!$A859,nCURSO,DATOS!$D859,nESPEC,DATOS!$E859,nASIG,DATOS!$I859,nEVAL,"OR")=0))</f>
      </c>
      <c r="I859">
        <f>IF(DATOS!$I859="","",IFERROR(VLOOKUP(DATOS!$I859,CONFIG_ASIGNATURAS!$B$2:$J$91,9,FALSE()),""))</f>
      </c>
    </row>
    <row r="860">
      <c r="F860">
        <f>IF(DATOS!$A860="","",DATOS!$A860&amp;"|"&amp;DATOS!$D860&amp;"|"&amp;DATOS!$E860&amp;"|"&amp;DATOS!$I860)</f>
      </c>
      <c r="G860">
        <f>IF(DATOS!$A860="",0,IF(CONFIG_METADATA!$B$4&lt;&gt;"OR+EX",--(DATOS!$G860=CONFIG_METADATA!$B$4),IF(DATOS!$G860="EX",1,IF(DATOS!$G860="OR",--(COUNTIFS(nNIA,DATOS!$A860,nCURSO,DATOS!$D860,nESPEC,DATOS!$E860,nASIG,DATOS!$I860,nEVAL,"EX")=0),0))))</f>
      </c>
      <c r="H860">
        <f>IF(DATOS!$G860&lt;&gt;"EX",0,--(COUNTIFS(nNIA,DATOS!$A860,nCURSO,DATOS!$D860,nESPEC,DATOS!$E860,nASIG,DATOS!$I860,nEVAL,"OR")=0))</f>
      </c>
      <c r="I860">
        <f>IF(DATOS!$I860="","",IFERROR(VLOOKUP(DATOS!$I860,CONFIG_ASIGNATURAS!$B$2:$J$91,9,FALSE()),""))</f>
      </c>
    </row>
    <row r="861">
      <c r="F861">
        <f>IF(DATOS!$A861="","",DATOS!$A861&amp;"|"&amp;DATOS!$D861&amp;"|"&amp;DATOS!$E861&amp;"|"&amp;DATOS!$I861)</f>
      </c>
      <c r="G861">
        <f>IF(DATOS!$A861="",0,IF(CONFIG_METADATA!$B$4&lt;&gt;"OR+EX",--(DATOS!$G861=CONFIG_METADATA!$B$4),IF(DATOS!$G861="EX",1,IF(DATOS!$G861="OR",--(COUNTIFS(nNIA,DATOS!$A861,nCURSO,DATOS!$D861,nESPEC,DATOS!$E861,nASIG,DATOS!$I861,nEVAL,"EX")=0),0))))</f>
      </c>
      <c r="H861">
        <f>IF(DATOS!$G861&lt;&gt;"EX",0,--(COUNTIFS(nNIA,DATOS!$A861,nCURSO,DATOS!$D861,nESPEC,DATOS!$E861,nASIG,DATOS!$I861,nEVAL,"OR")=0))</f>
      </c>
      <c r="I861">
        <f>IF(DATOS!$I861="","",IFERROR(VLOOKUP(DATOS!$I861,CONFIG_ASIGNATURAS!$B$2:$J$91,9,FALSE()),""))</f>
      </c>
    </row>
    <row r="862">
      <c r="F862">
        <f>IF(DATOS!$A862="","",DATOS!$A862&amp;"|"&amp;DATOS!$D862&amp;"|"&amp;DATOS!$E862&amp;"|"&amp;DATOS!$I862)</f>
      </c>
      <c r="G862">
        <f>IF(DATOS!$A862="",0,IF(CONFIG_METADATA!$B$4&lt;&gt;"OR+EX",--(DATOS!$G862=CONFIG_METADATA!$B$4),IF(DATOS!$G862="EX",1,IF(DATOS!$G862="OR",--(COUNTIFS(nNIA,DATOS!$A862,nCURSO,DATOS!$D862,nESPEC,DATOS!$E862,nASIG,DATOS!$I862,nEVAL,"EX")=0),0))))</f>
      </c>
      <c r="H862">
        <f>IF(DATOS!$G862&lt;&gt;"EX",0,--(COUNTIFS(nNIA,DATOS!$A862,nCURSO,DATOS!$D862,nESPEC,DATOS!$E862,nASIG,DATOS!$I862,nEVAL,"OR")=0))</f>
      </c>
      <c r="I862">
        <f>IF(DATOS!$I862="","",IFERROR(VLOOKUP(DATOS!$I862,CONFIG_ASIGNATURAS!$B$2:$J$91,9,FALSE()),""))</f>
      </c>
    </row>
    <row r="863">
      <c r="F863">
        <f>IF(DATOS!$A863="","",DATOS!$A863&amp;"|"&amp;DATOS!$D863&amp;"|"&amp;DATOS!$E863&amp;"|"&amp;DATOS!$I863)</f>
      </c>
      <c r="G863">
        <f>IF(DATOS!$A863="",0,IF(CONFIG_METADATA!$B$4&lt;&gt;"OR+EX",--(DATOS!$G863=CONFIG_METADATA!$B$4),IF(DATOS!$G863="EX",1,IF(DATOS!$G863="OR",--(COUNTIFS(nNIA,DATOS!$A863,nCURSO,DATOS!$D863,nESPEC,DATOS!$E863,nASIG,DATOS!$I863,nEVAL,"EX")=0),0))))</f>
      </c>
      <c r="H863">
        <f>IF(DATOS!$G863&lt;&gt;"EX",0,--(COUNTIFS(nNIA,DATOS!$A863,nCURSO,DATOS!$D863,nESPEC,DATOS!$E863,nASIG,DATOS!$I863,nEVAL,"OR")=0))</f>
      </c>
      <c r="I863">
        <f>IF(DATOS!$I863="","",IFERROR(VLOOKUP(DATOS!$I863,CONFIG_ASIGNATURAS!$B$2:$J$91,9,FALSE()),""))</f>
      </c>
    </row>
    <row r="864">
      <c r="F864">
        <f>IF(DATOS!$A864="","",DATOS!$A864&amp;"|"&amp;DATOS!$D864&amp;"|"&amp;DATOS!$E864&amp;"|"&amp;DATOS!$I864)</f>
      </c>
      <c r="G864">
        <f>IF(DATOS!$A864="",0,IF(CONFIG_METADATA!$B$4&lt;&gt;"OR+EX",--(DATOS!$G864=CONFIG_METADATA!$B$4),IF(DATOS!$G864="EX",1,IF(DATOS!$G864="OR",--(COUNTIFS(nNIA,DATOS!$A864,nCURSO,DATOS!$D864,nESPEC,DATOS!$E864,nASIG,DATOS!$I864,nEVAL,"EX")=0),0))))</f>
      </c>
      <c r="H864">
        <f>IF(DATOS!$G864&lt;&gt;"EX",0,--(COUNTIFS(nNIA,DATOS!$A864,nCURSO,DATOS!$D864,nESPEC,DATOS!$E864,nASIG,DATOS!$I864,nEVAL,"OR")=0))</f>
      </c>
      <c r="I864">
        <f>IF(DATOS!$I864="","",IFERROR(VLOOKUP(DATOS!$I864,CONFIG_ASIGNATURAS!$B$2:$J$91,9,FALSE()),""))</f>
      </c>
    </row>
    <row r="865">
      <c r="F865">
        <f>IF(DATOS!$A865="","",DATOS!$A865&amp;"|"&amp;DATOS!$D865&amp;"|"&amp;DATOS!$E865&amp;"|"&amp;DATOS!$I865)</f>
      </c>
      <c r="G865">
        <f>IF(DATOS!$A865="",0,IF(CONFIG_METADATA!$B$4&lt;&gt;"OR+EX",--(DATOS!$G865=CONFIG_METADATA!$B$4),IF(DATOS!$G865="EX",1,IF(DATOS!$G865="OR",--(COUNTIFS(nNIA,DATOS!$A865,nCURSO,DATOS!$D865,nESPEC,DATOS!$E865,nASIG,DATOS!$I865,nEVAL,"EX")=0),0))))</f>
      </c>
      <c r="H865">
        <f>IF(DATOS!$G865&lt;&gt;"EX",0,--(COUNTIFS(nNIA,DATOS!$A865,nCURSO,DATOS!$D865,nESPEC,DATOS!$E865,nASIG,DATOS!$I865,nEVAL,"OR")=0))</f>
      </c>
      <c r="I865">
        <f>IF(DATOS!$I865="","",IFERROR(VLOOKUP(DATOS!$I865,CONFIG_ASIGNATURAS!$B$2:$J$91,9,FALSE()),""))</f>
      </c>
    </row>
    <row r="866">
      <c r="F866">
        <f>IF(DATOS!$A866="","",DATOS!$A866&amp;"|"&amp;DATOS!$D866&amp;"|"&amp;DATOS!$E866&amp;"|"&amp;DATOS!$I866)</f>
      </c>
      <c r="G866">
        <f>IF(DATOS!$A866="",0,IF(CONFIG_METADATA!$B$4&lt;&gt;"OR+EX",--(DATOS!$G866=CONFIG_METADATA!$B$4),IF(DATOS!$G866="EX",1,IF(DATOS!$G866="OR",--(COUNTIFS(nNIA,DATOS!$A866,nCURSO,DATOS!$D866,nESPEC,DATOS!$E866,nASIG,DATOS!$I866,nEVAL,"EX")=0),0))))</f>
      </c>
      <c r="H866">
        <f>IF(DATOS!$G866&lt;&gt;"EX",0,--(COUNTIFS(nNIA,DATOS!$A866,nCURSO,DATOS!$D866,nESPEC,DATOS!$E866,nASIG,DATOS!$I866,nEVAL,"OR")=0))</f>
      </c>
      <c r="I866">
        <f>IF(DATOS!$I866="","",IFERROR(VLOOKUP(DATOS!$I866,CONFIG_ASIGNATURAS!$B$2:$J$91,9,FALSE()),""))</f>
      </c>
    </row>
    <row r="867">
      <c r="F867">
        <f>IF(DATOS!$A867="","",DATOS!$A867&amp;"|"&amp;DATOS!$D867&amp;"|"&amp;DATOS!$E867&amp;"|"&amp;DATOS!$I867)</f>
      </c>
      <c r="G867">
        <f>IF(DATOS!$A867="",0,IF(CONFIG_METADATA!$B$4&lt;&gt;"OR+EX",--(DATOS!$G867=CONFIG_METADATA!$B$4),IF(DATOS!$G867="EX",1,IF(DATOS!$G867="OR",--(COUNTIFS(nNIA,DATOS!$A867,nCURSO,DATOS!$D867,nESPEC,DATOS!$E867,nASIG,DATOS!$I867,nEVAL,"EX")=0),0))))</f>
      </c>
      <c r="H867">
        <f>IF(DATOS!$G867&lt;&gt;"EX",0,--(COUNTIFS(nNIA,DATOS!$A867,nCURSO,DATOS!$D867,nESPEC,DATOS!$E867,nASIG,DATOS!$I867,nEVAL,"OR")=0))</f>
      </c>
      <c r="I867">
        <f>IF(DATOS!$I867="","",IFERROR(VLOOKUP(DATOS!$I867,CONFIG_ASIGNATURAS!$B$2:$J$91,9,FALSE()),""))</f>
      </c>
    </row>
    <row r="868">
      <c r="F868">
        <f>IF(DATOS!$A868="","",DATOS!$A868&amp;"|"&amp;DATOS!$D868&amp;"|"&amp;DATOS!$E868&amp;"|"&amp;DATOS!$I868)</f>
      </c>
      <c r="G868">
        <f>IF(DATOS!$A868="",0,IF(CONFIG_METADATA!$B$4&lt;&gt;"OR+EX",--(DATOS!$G868=CONFIG_METADATA!$B$4),IF(DATOS!$G868="EX",1,IF(DATOS!$G868="OR",--(COUNTIFS(nNIA,DATOS!$A868,nCURSO,DATOS!$D868,nESPEC,DATOS!$E868,nASIG,DATOS!$I868,nEVAL,"EX")=0),0))))</f>
      </c>
      <c r="H868">
        <f>IF(DATOS!$G868&lt;&gt;"EX",0,--(COUNTIFS(nNIA,DATOS!$A868,nCURSO,DATOS!$D868,nESPEC,DATOS!$E868,nASIG,DATOS!$I868,nEVAL,"OR")=0))</f>
      </c>
      <c r="I868">
        <f>IF(DATOS!$I868="","",IFERROR(VLOOKUP(DATOS!$I868,CONFIG_ASIGNATURAS!$B$2:$J$91,9,FALSE()),""))</f>
      </c>
    </row>
    <row r="869">
      <c r="F869">
        <f>IF(DATOS!$A869="","",DATOS!$A869&amp;"|"&amp;DATOS!$D869&amp;"|"&amp;DATOS!$E869&amp;"|"&amp;DATOS!$I869)</f>
      </c>
      <c r="G869">
        <f>IF(DATOS!$A869="",0,IF(CONFIG_METADATA!$B$4&lt;&gt;"OR+EX",--(DATOS!$G869=CONFIG_METADATA!$B$4),IF(DATOS!$G869="EX",1,IF(DATOS!$G869="OR",--(COUNTIFS(nNIA,DATOS!$A869,nCURSO,DATOS!$D869,nESPEC,DATOS!$E869,nASIG,DATOS!$I869,nEVAL,"EX")=0),0))))</f>
      </c>
      <c r="H869">
        <f>IF(DATOS!$G869&lt;&gt;"EX",0,--(COUNTIFS(nNIA,DATOS!$A869,nCURSO,DATOS!$D869,nESPEC,DATOS!$E869,nASIG,DATOS!$I869,nEVAL,"OR")=0))</f>
      </c>
      <c r="I869">
        <f>IF(DATOS!$I869="","",IFERROR(VLOOKUP(DATOS!$I869,CONFIG_ASIGNATURAS!$B$2:$J$91,9,FALSE()),""))</f>
      </c>
    </row>
    <row r="870">
      <c r="F870">
        <f>IF(DATOS!$A870="","",DATOS!$A870&amp;"|"&amp;DATOS!$D870&amp;"|"&amp;DATOS!$E870&amp;"|"&amp;DATOS!$I870)</f>
      </c>
      <c r="G870">
        <f>IF(DATOS!$A870="",0,IF(CONFIG_METADATA!$B$4&lt;&gt;"OR+EX",--(DATOS!$G870=CONFIG_METADATA!$B$4),IF(DATOS!$G870="EX",1,IF(DATOS!$G870="OR",--(COUNTIFS(nNIA,DATOS!$A870,nCURSO,DATOS!$D870,nESPEC,DATOS!$E870,nASIG,DATOS!$I870,nEVAL,"EX")=0),0))))</f>
      </c>
      <c r="H870">
        <f>IF(DATOS!$G870&lt;&gt;"EX",0,--(COUNTIFS(nNIA,DATOS!$A870,nCURSO,DATOS!$D870,nESPEC,DATOS!$E870,nASIG,DATOS!$I870,nEVAL,"OR")=0))</f>
      </c>
      <c r="I870">
        <f>IF(DATOS!$I870="","",IFERROR(VLOOKUP(DATOS!$I870,CONFIG_ASIGNATURAS!$B$2:$J$91,9,FALSE()),""))</f>
      </c>
    </row>
    <row r="871">
      <c r="F871">
        <f>IF(DATOS!$A871="","",DATOS!$A871&amp;"|"&amp;DATOS!$D871&amp;"|"&amp;DATOS!$E871&amp;"|"&amp;DATOS!$I871)</f>
      </c>
      <c r="G871">
        <f>IF(DATOS!$A871="",0,IF(CONFIG_METADATA!$B$4&lt;&gt;"OR+EX",--(DATOS!$G871=CONFIG_METADATA!$B$4),IF(DATOS!$G871="EX",1,IF(DATOS!$G871="OR",--(COUNTIFS(nNIA,DATOS!$A871,nCURSO,DATOS!$D871,nESPEC,DATOS!$E871,nASIG,DATOS!$I871,nEVAL,"EX")=0),0))))</f>
      </c>
      <c r="H871">
        <f>IF(DATOS!$G871&lt;&gt;"EX",0,--(COUNTIFS(nNIA,DATOS!$A871,nCURSO,DATOS!$D871,nESPEC,DATOS!$E871,nASIG,DATOS!$I871,nEVAL,"OR")=0))</f>
      </c>
      <c r="I871">
        <f>IF(DATOS!$I871="","",IFERROR(VLOOKUP(DATOS!$I871,CONFIG_ASIGNATURAS!$B$2:$J$91,9,FALSE()),""))</f>
      </c>
    </row>
    <row r="872">
      <c r="F872">
        <f>IF(DATOS!$A872="","",DATOS!$A872&amp;"|"&amp;DATOS!$D872&amp;"|"&amp;DATOS!$E872&amp;"|"&amp;DATOS!$I872)</f>
      </c>
      <c r="G872">
        <f>IF(DATOS!$A872="",0,IF(CONFIG_METADATA!$B$4&lt;&gt;"OR+EX",--(DATOS!$G872=CONFIG_METADATA!$B$4),IF(DATOS!$G872="EX",1,IF(DATOS!$G872="OR",--(COUNTIFS(nNIA,DATOS!$A872,nCURSO,DATOS!$D872,nESPEC,DATOS!$E872,nASIG,DATOS!$I872,nEVAL,"EX")=0),0))))</f>
      </c>
      <c r="H872">
        <f>IF(DATOS!$G872&lt;&gt;"EX",0,--(COUNTIFS(nNIA,DATOS!$A872,nCURSO,DATOS!$D872,nESPEC,DATOS!$E872,nASIG,DATOS!$I872,nEVAL,"OR")=0))</f>
      </c>
      <c r="I872">
        <f>IF(DATOS!$I872="","",IFERROR(VLOOKUP(DATOS!$I872,CONFIG_ASIGNATURAS!$B$2:$J$91,9,FALSE()),""))</f>
      </c>
    </row>
    <row r="873">
      <c r="F873">
        <f>IF(DATOS!$A873="","",DATOS!$A873&amp;"|"&amp;DATOS!$D873&amp;"|"&amp;DATOS!$E873&amp;"|"&amp;DATOS!$I873)</f>
      </c>
      <c r="G873">
        <f>IF(DATOS!$A873="",0,IF(CONFIG_METADATA!$B$4&lt;&gt;"OR+EX",--(DATOS!$G873=CONFIG_METADATA!$B$4),IF(DATOS!$G873="EX",1,IF(DATOS!$G873="OR",--(COUNTIFS(nNIA,DATOS!$A873,nCURSO,DATOS!$D873,nESPEC,DATOS!$E873,nASIG,DATOS!$I873,nEVAL,"EX")=0),0))))</f>
      </c>
      <c r="H873">
        <f>IF(DATOS!$G873&lt;&gt;"EX",0,--(COUNTIFS(nNIA,DATOS!$A873,nCURSO,DATOS!$D873,nESPEC,DATOS!$E873,nASIG,DATOS!$I873,nEVAL,"OR")=0))</f>
      </c>
      <c r="I873">
        <f>IF(DATOS!$I873="","",IFERROR(VLOOKUP(DATOS!$I873,CONFIG_ASIGNATURAS!$B$2:$J$91,9,FALSE()),""))</f>
      </c>
    </row>
    <row r="874">
      <c r="F874">
        <f>IF(DATOS!$A874="","",DATOS!$A874&amp;"|"&amp;DATOS!$D874&amp;"|"&amp;DATOS!$E874&amp;"|"&amp;DATOS!$I874)</f>
      </c>
      <c r="G874">
        <f>IF(DATOS!$A874="",0,IF(CONFIG_METADATA!$B$4&lt;&gt;"OR+EX",--(DATOS!$G874=CONFIG_METADATA!$B$4),IF(DATOS!$G874="EX",1,IF(DATOS!$G874="OR",--(COUNTIFS(nNIA,DATOS!$A874,nCURSO,DATOS!$D874,nESPEC,DATOS!$E874,nASIG,DATOS!$I874,nEVAL,"EX")=0),0))))</f>
      </c>
      <c r="H874">
        <f>IF(DATOS!$G874&lt;&gt;"EX",0,--(COUNTIFS(nNIA,DATOS!$A874,nCURSO,DATOS!$D874,nESPEC,DATOS!$E874,nASIG,DATOS!$I874,nEVAL,"OR")=0))</f>
      </c>
      <c r="I874">
        <f>IF(DATOS!$I874="","",IFERROR(VLOOKUP(DATOS!$I874,CONFIG_ASIGNATURAS!$B$2:$J$91,9,FALSE()),""))</f>
      </c>
    </row>
    <row r="875">
      <c r="F875">
        <f>IF(DATOS!$A875="","",DATOS!$A875&amp;"|"&amp;DATOS!$D875&amp;"|"&amp;DATOS!$E875&amp;"|"&amp;DATOS!$I875)</f>
      </c>
      <c r="G875">
        <f>IF(DATOS!$A875="",0,IF(CONFIG_METADATA!$B$4&lt;&gt;"OR+EX",--(DATOS!$G875=CONFIG_METADATA!$B$4),IF(DATOS!$G875="EX",1,IF(DATOS!$G875="OR",--(COUNTIFS(nNIA,DATOS!$A875,nCURSO,DATOS!$D875,nESPEC,DATOS!$E875,nASIG,DATOS!$I875,nEVAL,"EX")=0),0))))</f>
      </c>
      <c r="H875">
        <f>IF(DATOS!$G875&lt;&gt;"EX",0,--(COUNTIFS(nNIA,DATOS!$A875,nCURSO,DATOS!$D875,nESPEC,DATOS!$E875,nASIG,DATOS!$I875,nEVAL,"OR")=0))</f>
      </c>
      <c r="I875">
        <f>IF(DATOS!$I875="","",IFERROR(VLOOKUP(DATOS!$I875,CONFIG_ASIGNATURAS!$B$2:$J$91,9,FALSE()),""))</f>
      </c>
    </row>
    <row r="876">
      <c r="F876">
        <f>IF(DATOS!$A876="","",DATOS!$A876&amp;"|"&amp;DATOS!$D876&amp;"|"&amp;DATOS!$E876&amp;"|"&amp;DATOS!$I876)</f>
      </c>
      <c r="G876">
        <f>IF(DATOS!$A876="",0,IF(CONFIG_METADATA!$B$4&lt;&gt;"OR+EX",--(DATOS!$G876=CONFIG_METADATA!$B$4),IF(DATOS!$G876="EX",1,IF(DATOS!$G876="OR",--(COUNTIFS(nNIA,DATOS!$A876,nCURSO,DATOS!$D876,nESPEC,DATOS!$E876,nASIG,DATOS!$I876,nEVAL,"EX")=0),0))))</f>
      </c>
      <c r="H876">
        <f>IF(DATOS!$G876&lt;&gt;"EX",0,--(COUNTIFS(nNIA,DATOS!$A876,nCURSO,DATOS!$D876,nESPEC,DATOS!$E876,nASIG,DATOS!$I876,nEVAL,"OR")=0))</f>
      </c>
      <c r="I876">
        <f>IF(DATOS!$I876="","",IFERROR(VLOOKUP(DATOS!$I876,CONFIG_ASIGNATURAS!$B$2:$J$91,9,FALSE()),""))</f>
      </c>
    </row>
    <row r="877">
      <c r="F877">
        <f>IF(DATOS!$A877="","",DATOS!$A877&amp;"|"&amp;DATOS!$D877&amp;"|"&amp;DATOS!$E877&amp;"|"&amp;DATOS!$I877)</f>
      </c>
      <c r="G877">
        <f>IF(DATOS!$A877="",0,IF(CONFIG_METADATA!$B$4&lt;&gt;"OR+EX",--(DATOS!$G877=CONFIG_METADATA!$B$4),IF(DATOS!$G877="EX",1,IF(DATOS!$G877="OR",--(COUNTIFS(nNIA,DATOS!$A877,nCURSO,DATOS!$D877,nESPEC,DATOS!$E877,nASIG,DATOS!$I877,nEVAL,"EX")=0),0))))</f>
      </c>
      <c r="H877">
        <f>IF(DATOS!$G877&lt;&gt;"EX",0,--(COUNTIFS(nNIA,DATOS!$A877,nCURSO,DATOS!$D877,nESPEC,DATOS!$E877,nASIG,DATOS!$I877,nEVAL,"OR")=0))</f>
      </c>
      <c r="I877">
        <f>IF(DATOS!$I877="","",IFERROR(VLOOKUP(DATOS!$I877,CONFIG_ASIGNATURAS!$B$2:$J$91,9,FALSE()),""))</f>
      </c>
    </row>
    <row r="878">
      <c r="F878">
        <f>IF(DATOS!$A878="","",DATOS!$A878&amp;"|"&amp;DATOS!$D878&amp;"|"&amp;DATOS!$E878&amp;"|"&amp;DATOS!$I878)</f>
      </c>
      <c r="G878">
        <f>IF(DATOS!$A878="",0,IF(CONFIG_METADATA!$B$4&lt;&gt;"OR+EX",--(DATOS!$G878=CONFIG_METADATA!$B$4),IF(DATOS!$G878="EX",1,IF(DATOS!$G878="OR",--(COUNTIFS(nNIA,DATOS!$A878,nCURSO,DATOS!$D878,nESPEC,DATOS!$E878,nASIG,DATOS!$I878,nEVAL,"EX")=0),0))))</f>
      </c>
      <c r="H878">
        <f>IF(DATOS!$G878&lt;&gt;"EX",0,--(COUNTIFS(nNIA,DATOS!$A878,nCURSO,DATOS!$D878,nESPEC,DATOS!$E878,nASIG,DATOS!$I878,nEVAL,"OR")=0))</f>
      </c>
      <c r="I878">
        <f>IF(DATOS!$I878="","",IFERROR(VLOOKUP(DATOS!$I878,CONFIG_ASIGNATURAS!$B$2:$J$91,9,FALSE()),""))</f>
      </c>
    </row>
    <row r="879">
      <c r="F879">
        <f>IF(DATOS!$A879="","",DATOS!$A879&amp;"|"&amp;DATOS!$D879&amp;"|"&amp;DATOS!$E879&amp;"|"&amp;DATOS!$I879)</f>
      </c>
      <c r="G879">
        <f>IF(DATOS!$A879="",0,IF(CONFIG_METADATA!$B$4&lt;&gt;"OR+EX",--(DATOS!$G879=CONFIG_METADATA!$B$4),IF(DATOS!$G879="EX",1,IF(DATOS!$G879="OR",--(COUNTIFS(nNIA,DATOS!$A879,nCURSO,DATOS!$D879,nESPEC,DATOS!$E879,nASIG,DATOS!$I879,nEVAL,"EX")=0),0))))</f>
      </c>
      <c r="H879">
        <f>IF(DATOS!$G879&lt;&gt;"EX",0,--(COUNTIFS(nNIA,DATOS!$A879,nCURSO,DATOS!$D879,nESPEC,DATOS!$E879,nASIG,DATOS!$I879,nEVAL,"OR")=0))</f>
      </c>
      <c r="I879">
        <f>IF(DATOS!$I879="","",IFERROR(VLOOKUP(DATOS!$I879,CONFIG_ASIGNATURAS!$B$2:$J$91,9,FALSE()),""))</f>
      </c>
    </row>
    <row r="880">
      <c r="F880">
        <f>IF(DATOS!$A880="","",DATOS!$A880&amp;"|"&amp;DATOS!$D880&amp;"|"&amp;DATOS!$E880&amp;"|"&amp;DATOS!$I880)</f>
      </c>
      <c r="G880">
        <f>IF(DATOS!$A880="",0,IF(CONFIG_METADATA!$B$4&lt;&gt;"OR+EX",--(DATOS!$G880=CONFIG_METADATA!$B$4),IF(DATOS!$G880="EX",1,IF(DATOS!$G880="OR",--(COUNTIFS(nNIA,DATOS!$A880,nCURSO,DATOS!$D880,nESPEC,DATOS!$E880,nASIG,DATOS!$I880,nEVAL,"EX")=0),0))))</f>
      </c>
      <c r="H880">
        <f>IF(DATOS!$G880&lt;&gt;"EX",0,--(COUNTIFS(nNIA,DATOS!$A880,nCURSO,DATOS!$D880,nESPEC,DATOS!$E880,nASIG,DATOS!$I880,nEVAL,"OR")=0))</f>
      </c>
      <c r="I880">
        <f>IF(DATOS!$I880="","",IFERROR(VLOOKUP(DATOS!$I880,CONFIG_ASIGNATURAS!$B$2:$J$91,9,FALSE()),""))</f>
      </c>
    </row>
    <row r="881">
      <c r="F881">
        <f>IF(DATOS!$A881="","",DATOS!$A881&amp;"|"&amp;DATOS!$D881&amp;"|"&amp;DATOS!$E881&amp;"|"&amp;DATOS!$I881)</f>
      </c>
      <c r="G881">
        <f>IF(DATOS!$A881="",0,IF(CONFIG_METADATA!$B$4&lt;&gt;"OR+EX",--(DATOS!$G881=CONFIG_METADATA!$B$4),IF(DATOS!$G881="EX",1,IF(DATOS!$G881="OR",--(COUNTIFS(nNIA,DATOS!$A881,nCURSO,DATOS!$D881,nESPEC,DATOS!$E881,nASIG,DATOS!$I881,nEVAL,"EX")=0),0))))</f>
      </c>
      <c r="H881">
        <f>IF(DATOS!$G881&lt;&gt;"EX",0,--(COUNTIFS(nNIA,DATOS!$A881,nCURSO,DATOS!$D881,nESPEC,DATOS!$E881,nASIG,DATOS!$I881,nEVAL,"OR")=0))</f>
      </c>
      <c r="I881">
        <f>IF(DATOS!$I881="","",IFERROR(VLOOKUP(DATOS!$I881,CONFIG_ASIGNATURAS!$B$2:$J$91,9,FALSE()),""))</f>
      </c>
    </row>
    <row r="882">
      <c r="F882">
        <f>IF(DATOS!$A882="","",DATOS!$A882&amp;"|"&amp;DATOS!$D882&amp;"|"&amp;DATOS!$E882&amp;"|"&amp;DATOS!$I882)</f>
      </c>
      <c r="G882">
        <f>IF(DATOS!$A882="",0,IF(CONFIG_METADATA!$B$4&lt;&gt;"OR+EX",--(DATOS!$G882=CONFIG_METADATA!$B$4),IF(DATOS!$G882="EX",1,IF(DATOS!$G882="OR",--(COUNTIFS(nNIA,DATOS!$A882,nCURSO,DATOS!$D882,nESPEC,DATOS!$E882,nASIG,DATOS!$I882,nEVAL,"EX")=0),0))))</f>
      </c>
      <c r="H882">
        <f>IF(DATOS!$G882&lt;&gt;"EX",0,--(COUNTIFS(nNIA,DATOS!$A882,nCURSO,DATOS!$D882,nESPEC,DATOS!$E882,nASIG,DATOS!$I882,nEVAL,"OR")=0))</f>
      </c>
      <c r="I882">
        <f>IF(DATOS!$I882="","",IFERROR(VLOOKUP(DATOS!$I882,CONFIG_ASIGNATURAS!$B$2:$J$91,9,FALSE()),""))</f>
      </c>
    </row>
    <row r="883">
      <c r="F883">
        <f>IF(DATOS!$A883="","",DATOS!$A883&amp;"|"&amp;DATOS!$D883&amp;"|"&amp;DATOS!$E883&amp;"|"&amp;DATOS!$I883)</f>
      </c>
      <c r="G883">
        <f>IF(DATOS!$A883="",0,IF(CONFIG_METADATA!$B$4&lt;&gt;"OR+EX",--(DATOS!$G883=CONFIG_METADATA!$B$4),IF(DATOS!$G883="EX",1,IF(DATOS!$G883="OR",--(COUNTIFS(nNIA,DATOS!$A883,nCURSO,DATOS!$D883,nESPEC,DATOS!$E883,nASIG,DATOS!$I883,nEVAL,"EX")=0),0))))</f>
      </c>
      <c r="H883">
        <f>IF(DATOS!$G883&lt;&gt;"EX",0,--(COUNTIFS(nNIA,DATOS!$A883,nCURSO,DATOS!$D883,nESPEC,DATOS!$E883,nASIG,DATOS!$I883,nEVAL,"OR")=0))</f>
      </c>
      <c r="I883">
        <f>IF(DATOS!$I883="","",IFERROR(VLOOKUP(DATOS!$I883,CONFIG_ASIGNATURAS!$B$2:$J$91,9,FALSE()),""))</f>
      </c>
    </row>
    <row r="884">
      <c r="F884">
        <f>IF(DATOS!$A884="","",DATOS!$A884&amp;"|"&amp;DATOS!$D884&amp;"|"&amp;DATOS!$E884&amp;"|"&amp;DATOS!$I884)</f>
      </c>
      <c r="G884">
        <f>IF(DATOS!$A884="",0,IF(CONFIG_METADATA!$B$4&lt;&gt;"OR+EX",--(DATOS!$G884=CONFIG_METADATA!$B$4),IF(DATOS!$G884="EX",1,IF(DATOS!$G884="OR",--(COUNTIFS(nNIA,DATOS!$A884,nCURSO,DATOS!$D884,nESPEC,DATOS!$E884,nASIG,DATOS!$I884,nEVAL,"EX")=0),0))))</f>
      </c>
      <c r="H884">
        <f>IF(DATOS!$G884&lt;&gt;"EX",0,--(COUNTIFS(nNIA,DATOS!$A884,nCURSO,DATOS!$D884,nESPEC,DATOS!$E884,nASIG,DATOS!$I884,nEVAL,"OR")=0))</f>
      </c>
      <c r="I884">
        <f>IF(DATOS!$I884="","",IFERROR(VLOOKUP(DATOS!$I884,CONFIG_ASIGNATURAS!$B$2:$J$91,9,FALSE()),""))</f>
      </c>
    </row>
    <row r="885">
      <c r="F885">
        <f>IF(DATOS!$A885="","",DATOS!$A885&amp;"|"&amp;DATOS!$D885&amp;"|"&amp;DATOS!$E885&amp;"|"&amp;DATOS!$I885)</f>
      </c>
      <c r="G885">
        <f>IF(DATOS!$A885="",0,IF(CONFIG_METADATA!$B$4&lt;&gt;"OR+EX",--(DATOS!$G885=CONFIG_METADATA!$B$4),IF(DATOS!$G885="EX",1,IF(DATOS!$G885="OR",--(COUNTIFS(nNIA,DATOS!$A885,nCURSO,DATOS!$D885,nESPEC,DATOS!$E885,nASIG,DATOS!$I885,nEVAL,"EX")=0),0))))</f>
      </c>
      <c r="H885">
        <f>IF(DATOS!$G885&lt;&gt;"EX",0,--(COUNTIFS(nNIA,DATOS!$A885,nCURSO,DATOS!$D885,nESPEC,DATOS!$E885,nASIG,DATOS!$I885,nEVAL,"OR")=0))</f>
      </c>
      <c r="I885">
        <f>IF(DATOS!$I885="","",IFERROR(VLOOKUP(DATOS!$I885,CONFIG_ASIGNATURAS!$B$2:$J$91,9,FALSE()),""))</f>
      </c>
    </row>
    <row r="886">
      <c r="F886">
        <f>IF(DATOS!$A886="","",DATOS!$A886&amp;"|"&amp;DATOS!$D886&amp;"|"&amp;DATOS!$E886&amp;"|"&amp;DATOS!$I886)</f>
      </c>
      <c r="G886">
        <f>IF(DATOS!$A886="",0,IF(CONFIG_METADATA!$B$4&lt;&gt;"OR+EX",--(DATOS!$G886=CONFIG_METADATA!$B$4),IF(DATOS!$G886="EX",1,IF(DATOS!$G886="OR",--(COUNTIFS(nNIA,DATOS!$A886,nCURSO,DATOS!$D886,nESPEC,DATOS!$E886,nASIG,DATOS!$I886,nEVAL,"EX")=0),0))))</f>
      </c>
      <c r="H886">
        <f>IF(DATOS!$G886&lt;&gt;"EX",0,--(COUNTIFS(nNIA,DATOS!$A886,nCURSO,DATOS!$D886,nESPEC,DATOS!$E886,nASIG,DATOS!$I886,nEVAL,"OR")=0))</f>
      </c>
      <c r="I886">
        <f>IF(DATOS!$I886="","",IFERROR(VLOOKUP(DATOS!$I886,CONFIG_ASIGNATURAS!$B$2:$J$91,9,FALSE()),""))</f>
      </c>
    </row>
    <row r="887">
      <c r="F887">
        <f>IF(DATOS!$A887="","",DATOS!$A887&amp;"|"&amp;DATOS!$D887&amp;"|"&amp;DATOS!$E887&amp;"|"&amp;DATOS!$I887)</f>
      </c>
      <c r="G887">
        <f>IF(DATOS!$A887="",0,IF(CONFIG_METADATA!$B$4&lt;&gt;"OR+EX",--(DATOS!$G887=CONFIG_METADATA!$B$4),IF(DATOS!$G887="EX",1,IF(DATOS!$G887="OR",--(COUNTIFS(nNIA,DATOS!$A887,nCURSO,DATOS!$D887,nESPEC,DATOS!$E887,nASIG,DATOS!$I887,nEVAL,"EX")=0),0))))</f>
      </c>
      <c r="H887">
        <f>IF(DATOS!$G887&lt;&gt;"EX",0,--(COUNTIFS(nNIA,DATOS!$A887,nCURSO,DATOS!$D887,nESPEC,DATOS!$E887,nASIG,DATOS!$I887,nEVAL,"OR")=0))</f>
      </c>
      <c r="I887">
        <f>IF(DATOS!$I887="","",IFERROR(VLOOKUP(DATOS!$I887,CONFIG_ASIGNATURAS!$B$2:$J$91,9,FALSE()),""))</f>
      </c>
    </row>
    <row r="888">
      <c r="F888">
        <f>IF(DATOS!$A888="","",DATOS!$A888&amp;"|"&amp;DATOS!$D888&amp;"|"&amp;DATOS!$E888&amp;"|"&amp;DATOS!$I888)</f>
      </c>
      <c r="G888">
        <f>IF(DATOS!$A888="",0,IF(CONFIG_METADATA!$B$4&lt;&gt;"OR+EX",--(DATOS!$G888=CONFIG_METADATA!$B$4),IF(DATOS!$G888="EX",1,IF(DATOS!$G888="OR",--(COUNTIFS(nNIA,DATOS!$A888,nCURSO,DATOS!$D888,nESPEC,DATOS!$E888,nASIG,DATOS!$I888,nEVAL,"EX")=0),0))))</f>
      </c>
      <c r="H888">
        <f>IF(DATOS!$G888&lt;&gt;"EX",0,--(COUNTIFS(nNIA,DATOS!$A888,nCURSO,DATOS!$D888,nESPEC,DATOS!$E888,nASIG,DATOS!$I888,nEVAL,"OR")=0))</f>
      </c>
      <c r="I888">
        <f>IF(DATOS!$I888="","",IFERROR(VLOOKUP(DATOS!$I888,CONFIG_ASIGNATURAS!$B$2:$J$91,9,FALSE()),""))</f>
      </c>
    </row>
    <row r="889">
      <c r="F889">
        <f>IF(DATOS!$A889="","",DATOS!$A889&amp;"|"&amp;DATOS!$D889&amp;"|"&amp;DATOS!$E889&amp;"|"&amp;DATOS!$I889)</f>
      </c>
      <c r="G889">
        <f>IF(DATOS!$A889="",0,IF(CONFIG_METADATA!$B$4&lt;&gt;"OR+EX",--(DATOS!$G889=CONFIG_METADATA!$B$4),IF(DATOS!$G889="EX",1,IF(DATOS!$G889="OR",--(COUNTIFS(nNIA,DATOS!$A889,nCURSO,DATOS!$D889,nESPEC,DATOS!$E889,nASIG,DATOS!$I889,nEVAL,"EX")=0),0))))</f>
      </c>
      <c r="H889">
        <f>IF(DATOS!$G889&lt;&gt;"EX",0,--(COUNTIFS(nNIA,DATOS!$A889,nCURSO,DATOS!$D889,nESPEC,DATOS!$E889,nASIG,DATOS!$I889,nEVAL,"OR")=0))</f>
      </c>
      <c r="I889">
        <f>IF(DATOS!$I889="","",IFERROR(VLOOKUP(DATOS!$I889,CONFIG_ASIGNATURAS!$B$2:$J$91,9,FALSE()),""))</f>
      </c>
    </row>
    <row r="890">
      <c r="F890">
        <f>IF(DATOS!$A890="","",DATOS!$A890&amp;"|"&amp;DATOS!$D890&amp;"|"&amp;DATOS!$E890&amp;"|"&amp;DATOS!$I890)</f>
      </c>
      <c r="G890">
        <f>IF(DATOS!$A890="",0,IF(CONFIG_METADATA!$B$4&lt;&gt;"OR+EX",--(DATOS!$G890=CONFIG_METADATA!$B$4),IF(DATOS!$G890="EX",1,IF(DATOS!$G890="OR",--(COUNTIFS(nNIA,DATOS!$A890,nCURSO,DATOS!$D890,nESPEC,DATOS!$E890,nASIG,DATOS!$I890,nEVAL,"EX")=0),0))))</f>
      </c>
      <c r="H890">
        <f>IF(DATOS!$G890&lt;&gt;"EX",0,--(COUNTIFS(nNIA,DATOS!$A890,nCURSO,DATOS!$D890,nESPEC,DATOS!$E890,nASIG,DATOS!$I890,nEVAL,"OR")=0))</f>
      </c>
      <c r="I890">
        <f>IF(DATOS!$I890="","",IFERROR(VLOOKUP(DATOS!$I890,CONFIG_ASIGNATURAS!$B$2:$J$91,9,FALSE()),""))</f>
      </c>
    </row>
    <row r="891">
      <c r="F891">
        <f>IF(DATOS!$A891="","",DATOS!$A891&amp;"|"&amp;DATOS!$D891&amp;"|"&amp;DATOS!$E891&amp;"|"&amp;DATOS!$I891)</f>
      </c>
      <c r="G891">
        <f>IF(DATOS!$A891="",0,IF(CONFIG_METADATA!$B$4&lt;&gt;"OR+EX",--(DATOS!$G891=CONFIG_METADATA!$B$4),IF(DATOS!$G891="EX",1,IF(DATOS!$G891="OR",--(COUNTIFS(nNIA,DATOS!$A891,nCURSO,DATOS!$D891,nESPEC,DATOS!$E891,nASIG,DATOS!$I891,nEVAL,"EX")=0),0))))</f>
      </c>
      <c r="H891">
        <f>IF(DATOS!$G891&lt;&gt;"EX",0,--(COUNTIFS(nNIA,DATOS!$A891,nCURSO,DATOS!$D891,nESPEC,DATOS!$E891,nASIG,DATOS!$I891,nEVAL,"OR")=0))</f>
      </c>
      <c r="I891">
        <f>IF(DATOS!$I891="","",IFERROR(VLOOKUP(DATOS!$I891,CONFIG_ASIGNATURAS!$B$2:$J$91,9,FALSE()),""))</f>
      </c>
    </row>
    <row r="892">
      <c r="F892">
        <f>IF(DATOS!$A892="","",DATOS!$A892&amp;"|"&amp;DATOS!$D892&amp;"|"&amp;DATOS!$E892&amp;"|"&amp;DATOS!$I892)</f>
      </c>
      <c r="G892">
        <f>IF(DATOS!$A892="",0,IF(CONFIG_METADATA!$B$4&lt;&gt;"OR+EX",--(DATOS!$G892=CONFIG_METADATA!$B$4),IF(DATOS!$G892="EX",1,IF(DATOS!$G892="OR",--(COUNTIFS(nNIA,DATOS!$A892,nCURSO,DATOS!$D892,nESPEC,DATOS!$E892,nASIG,DATOS!$I892,nEVAL,"EX")=0),0))))</f>
      </c>
      <c r="H892">
        <f>IF(DATOS!$G892&lt;&gt;"EX",0,--(COUNTIFS(nNIA,DATOS!$A892,nCURSO,DATOS!$D892,nESPEC,DATOS!$E892,nASIG,DATOS!$I892,nEVAL,"OR")=0))</f>
      </c>
      <c r="I892">
        <f>IF(DATOS!$I892="","",IFERROR(VLOOKUP(DATOS!$I892,CONFIG_ASIGNATURAS!$B$2:$J$91,9,FALSE()),""))</f>
      </c>
    </row>
    <row r="893">
      <c r="F893">
        <f>IF(DATOS!$A893="","",DATOS!$A893&amp;"|"&amp;DATOS!$D893&amp;"|"&amp;DATOS!$E893&amp;"|"&amp;DATOS!$I893)</f>
      </c>
      <c r="G893">
        <f>IF(DATOS!$A893="",0,IF(CONFIG_METADATA!$B$4&lt;&gt;"OR+EX",--(DATOS!$G893=CONFIG_METADATA!$B$4),IF(DATOS!$G893="EX",1,IF(DATOS!$G893="OR",--(COUNTIFS(nNIA,DATOS!$A893,nCURSO,DATOS!$D893,nESPEC,DATOS!$E893,nASIG,DATOS!$I893,nEVAL,"EX")=0),0))))</f>
      </c>
      <c r="H893">
        <f>IF(DATOS!$G893&lt;&gt;"EX",0,--(COUNTIFS(nNIA,DATOS!$A893,nCURSO,DATOS!$D893,nESPEC,DATOS!$E893,nASIG,DATOS!$I893,nEVAL,"OR")=0))</f>
      </c>
      <c r="I893">
        <f>IF(DATOS!$I893="","",IFERROR(VLOOKUP(DATOS!$I893,CONFIG_ASIGNATURAS!$B$2:$J$91,9,FALSE()),""))</f>
      </c>
    </row>
    <row r="894">
      <c r="F894">
        <f>IF(DATOS!$A894="","",DATOS!$A894&amp;"|"&amp;DATOS!$D894&amp;"|"&amp;DATOS!$E894&amp;"|"&amp;DATOS!$I894)</f>
      </c>
      <c r="G894">
        <f>IF(DATOS!$A894="",0,IF(CONFIG_METADATA!$B$4&lt;&gt;"OR+EX",--(DATOS!$G894=CONFIG_METADATA!$B$4),IF(DATOS!$G894="EX",1,IF(DATOS!$G894="OR",--(COUNTIFS(nNIA,DATOS!$A894,nCURSO,DATOS!$D894,nESPEC,DATOS!$E894,nASIG,DATOS!$I894,nEVAL,"EX")=0),0))))</f>
      </c>
      <c r="H894">
        <f>IF(DATOS!$G894&lt;&gt;"EX",0,--(COUNTIFS(nNIA,DATOS!$A894,nCURSO,DATOS!$D894,nESPEC,DATOS!$E894,nASIG,DATOS!$I894,nEVAL,"OR")=0))</f>
      </c>
      <c r="I894">
        <f>IF(DATOS!$I894="","",IFERROR(VLOOKUP(DATOS!$I894,CONFIG_ASIGNATURAS!$B$2:$J$91,9,FALSE()),""))</f>
      </c>
    </row>
    <row r="895">
      <c r="F895">
        <f>IF(DATOS!$A895="","",DATOS!$A895&amp;"|"&amp;DATOS!$D895&amp;"|"&amp;DATOS!$E895&amp;"|"&amp;DATOS!$I895)</f>
      </c>
      <c r="G895">
        <f>IF(DATOS!$A895="",0,IF(CONFIG_METADATA!$B$4&lt;&gt;"OR+EX",--(DATOS!$G895=CONFIG_METADATA!$B$4),IF(DATOS!$G895="EX",1,IF(DATOS!$G895="OR",--(COUNTIFS(nNIA,DATOS!$A895,nCURSO,DATOS!$D895,nESPEC,DATOS!$E895,nASIG,DATOS!$I895,nEVAL,"EX")=0),0))))</f>
      </c>
      <c r="H895">
        <f>IF(DATOS!$G895&lt;&gt;"EX",0,--(COUNTIFS(nNIA,DATOS!$A895,nCURSO,DATOS!$D895,nESPEC,DATOS!$E895,nASIG,DATOS!$I895,nEVAL,"OR")=0))</f>
      </c>
      <c r="I895">
        <f>IF(DATOS!$I895="","",IFERROR(VLOOKUP(DATOS!$I895,CONFIG_ASIGNATURAS!$B$2:$J$91,9,FALSE()),""))</f>
      </c>
    </row>
    <row r="896">
      <c r="F896">
        <f>IF(DATOS!$A896="","",DATOS!$A896&amp;"|"&amp;DATOS!$D896&amp;"|"&amp;DATOS!$E896&amp;"|"&amp;DATOS!$I896)</f>
      </c>
      <c r="G896">
        <f>IF(DATOS!$A896="",0,IF(CONFIG_METADATA!$B$4&lt;&gt;"OR+EX",--(DATOS!$G896=CONFIG_METADATA!$B$4),IF(DATOS!$G896="EX",1,IF(DATOS!$G896="OR",--(COUNTIFS(nNIA,DATOS!$A896,nCURSO,DATOS!$D896,nESPEC,DATOS!$E896,nASIG,DATOS!$I896,nEVAL,"EX")=0),0))))</f>
      </c>
      <c r="H896">
        <f>IF(DATOS!$G896&lt;&gt;"EX",0,--(COUNTIFS(nNIA,DATOS!$A896,nCURSO,DATOS!$D896,nESPEC,DATOS!$E896,nASIG,DATOS!$I896,nEVAL,"OR")=0))</f>
      </c>
      <c r="I896">
        <f>IF(DATOS!$I896="","",IFERROR(VLOOKUP(DATOS!$I896,CONFIG_ASIGNATURAS!$B$2:$J$91,9,FALSE()),""))</f>
      </c>
    </row>
    <row r="897">
      <c r="F897">
        <f>IF(DATOS!$A897="","",DATOS!$A897&amp;"|"&amp;DATOS!$D897&amp;"|"&amp;DATOS!$E897&amp;"|"&amp;DATOS!$I897)</f>
      </c>
      <c r="G897">
        <f>IF(DATOS!$A897="",0,IF(CONFIG_METADATA!$B$4&lt;&gt;"OR+EX",--(DATOS!$G897=CONFIG_METADATA!$B$4),IF(DATOS!$G897="EX",1,IF(DATOS!$G897="OR",--(COUNTIFS(nNIA,DATOS!$A897,nCURSO,DATOS!$D897,nESPEC,DATOS!$E897,nASIG,DATOS!$I897,nEVAL,"EX")=0),0))))</f>
      </c>
      <c r="H897">
        <f>IF(DATOS!$G897&lt;&gt;"EX",0,--(COUNTIFS(nNIA,DATOS!$A897,nCURSO,DATOS!$D897,nESPEC,DATOS!$E897,nASIG,DATOS!$I897,nEVAL,"OR")=0))</f>
      </c>
      <c r="I897">
        <f>IF(DATOS!$I897="","",IFERROR(VLOOKUP(DATOS!$I897,CONFIG_ASIGNATURAS!$B$2:$J$91,9,FALSE()),""))</f>
      </c>
    </row>
    <row r="898">
      <c r="F898">
        <f>IF(DATOS!$A898="","",DATOS!$A898&amp;"|"&amp;DATOS!$D898&amp;"|"&amp;DATOS!$E898&amp;"|"&amp;DATOS!$I898)</f>
      </c>
      <c r="G898">
        <f>IF(DATOS!$A898="",0,IF(CONFIG_METADATA!$B$4&lt;&gt;"OR+EX",--(DATOS!$G898=CONFIG_METADATA!$B$4),IF(DATOS!$G898="EX",1,IF(DATOS!$G898="OR",--(COUNTIFS(nNIA,DATOS!$A898,nCURSO,DATOS!$D898,nESPEC,DATOS!$E898,nASIG,DATOS!$I898,nEVAL,"EX")=0),0))))</f>
      </c>
      <c r="H898">
        <f>IF(DATOS!$G898&lt;&gt;"EX",0,--(COUNTIFS(nNIA,DATOS!$A898,nCURSO,DATOS!$D898,nESPEC,DATOS!$E898,nASIG,DATOS!$I898,nEVAL,"OR")=0))</f>
      </c>
      <c r="I898">
        <f>IF(DATOS!$I898="","",IFERROR(VLOOKUP(DATOS!$I898,CONFIG_ASIGNATURAS!$B$2:$J$91,9,FALSE()),""))</f>
      </c>
    </row>
    <row r="899">
      <c r="F899">
        <f>IF(DATOS!$A899="","",DATOS!$A899&amp;"|"&amp;DATOS!$D899&amp;"|"&amp;DATOS!$E899&amp;"|"&amp;DATOS!$I899)</f>
      </c>
      <c r="G899">
        <f>IF(DATOS!$A899="",0,IF(CONFIG_METADATA!$B$4&lt;&gt;"OR+EX",--(DATOS!$G899=CONFIG_METADATA!$B$4),IF(DATOS!$G899="EX",1,IF(DATOS!$G899="OR",--(COUNTIFS(nNIA,DATOS!$A899,nCURSO,DATOS!$D899,nESPEC,DATOS!$E899,nASIG,DATOS!$I899,nEVAL,"EX")=0),0))))</f>
      </c>
      <c r="H899">
        <f>IF(DATOS!$G899&lt;&gt;"EX",0,--(COUNTIFS(nNIA,DATOS!$A899,nCURSO,DATOS!$D899,nESPEC,DATOS!$E899,nASIG,DATOS!$I899,nEVAL,"OR")=0))</f>
      </c>
      <c r="I899">
        <f>IF(DATOS!$I899="","",IFERROR(VLOOKUP(DATOS!$I899,CONFIG_ASIGNATURAS!$B$2:$J$91,9,FALSE()),""))</f>
      </c>
    </row>
    <row r="900">
      <c r="F900">
        <f>IF(DATOS!$A900="","",DATOS!$A900&amp;"|"&amp;DATOS!$D900&amp;"|"&amp;DATOS!$E900&amp;"|"&amp;DATOS!$I900)</f>
      </c>
      <c r="G900">
        <f>IF(DATOS!$A900="",0,IF(CONFIG_METADATA!$B$4&lt;&gt;"OR+EX",--(DATOS!$G900=CONFIG_METADATA!$B$4),IF(DATOS!$G900="EX",1,IF(DATOS!$G900="OR",--(COUNTIFS(nNIA,DATOS!$A900,nCURSO,DATOS!$D900,nESPEC,DATOS!$E900,nASIG,DATOS!$I900,nEVAL,"EX")=0),0))))</f>
      </c>
      <c r="H900">
        <f>IF(DATOS!$G900&lt;&gt;"EX",0,--(COUNTIFS(nNIA,DATOS!$A900,nCURSO,DATOS!$D900,nESPEC,DATOS!$E900,nASIG,DATOS!$I900,nEVAL,"OR")=0))</f>
      </c>
      <c r="I900">
        <f>IF(DATOS!$I900="","",IFERROR(VLOOKUP(DATOS!$I900,CONFIG_ASIGNATURAS!$B$2:$J$91,9,FALSE()),""))</f>
      </c>
    </row>
    <row r="901">
      <c r="F901">
        <f>IF(DATOS!$A901="","",DATOS!$A901&amp;"|"&amp;DATOS!$D901&amp;"|"&amp;DATOS!$E901&amp;"|"&amp;DATOS!$I901)</f>
      </c>
      <c r="G901">
        <f>IF(DATOS!$A901="",0,IF(CONFIG_METADATA!$B$4&lt;&gt;"OR+EX",--(DATOS!$G901=CONFIG_METADATA!$B$4),IF(DATOS!$G901="EX",1,IF(DATOS!$G901="OR",--(COUNTIFS(nNIA,DATOS!$A901,nCURSO,DATOS!$D901,nESPEC,DATOS!$E901,nASIG,DATOS!$I901,nEVAL,"EX")=0),0))))</f>
      </c>
      <c r="H901">
        <f>IF(DATOS!$G901&lt;&gt;"EX",0,--(COUNTIFS(nNIA,DATOS!$A901,nCURSO,DATOS!$D901,nESPEC,DATOS!$E901,nASIG,DATOS!$I901,nEVAL,"OR")=0))</f>
      </c>
      <c r="I901">
        <f>IF(DATOS!$I901="","",IFERROR(VLOOKUP(DATOS!$I901,CONFIG_ASIGNATURAS!$B$2:$J$91,9,FALSE()),""))</f>
      </c>
    </row>
    <row r="902">
      <c r="F902">
        <f>IF(DATOS!$A902="","",DATOS!$A902&amp;"|"&amp;DATOS!$D902&amp;"|"&amp;DATOS!$E902&amp;"|"&amp;DATOS!$I902)</f>
      </c>
      <c r="G902">
        <f>IF(DATOS!$A902="",0,IF(CONFIG_METADATA!$B$4&lt;&gt;"OR+EX",--(DATOS!$G902=CONFIG_METADATA!$B$4),IF(DATOS!$G902="EX",1,IF(DATOS!$G902="OR",--(COUNTIFS(nNIA,DATOS!$A902,nCURSO,DATOS!$D902,nESPEC,DATOS!$E902,nASIG,DATOS!$I902,nEVAL,"EX")=0),0))))</f>
      </c>
      <c r="H902">
        <f>IF(DATOS!$G902&lt;&gt;"EX",0,--(COUNTIFS(nNIA,DATOS!$A902,nCURSO,DATOS!$D902,nESPEC,DATOS!$E902,nASIG,DATOS!$I902,nEVAL,"OR")=0))</f>
      </c>
      <c r="I902">
        <f>IF(DATOS!$I902="","",IFERROR(VLOOKUP(DATOS!$I902,CONFIG_ASIGNATURAS!$B$2:$J$91,9,FALSE()),""))</f>
      </c>
    </row>
    <row r="903">
      <c r="F903">
        <f>IF(DATOS!$A903="","",DATOS!$A903&amp;"|"&amp;DATOS!$D903&amp;"|"&amp;DATOS!$E903&amp;"|"&amp;DATOS!$I903)</f>
      </c>
      <c r="G903">
        <f>IF(DATOS!$A903="",0,IF(CONFIG_METADATA!$B$4&lt;&gt;"OR+EX",--(DATOS!$G903=CONFIG_METADATA!$B$4),IF(DATOS!$G903="EX",1,IF(DATOS!$G903="OR",--(COUNTIFS(nNIA,DATOS!$A903,nCURSO,DATOS!$D903,nESPEC,DATOS!$E903,nASIG,DATOS!$I903,nEVAL,"EX")=0),0))))</f>
      </c>
      <c r="H903">
        <f>IF(DATOS!$G903&lt;&gt;"EX",0,--(COUNTIFS(nNIA,DATOS!$A903,nCURSO,DATOS!$D903,nESPEC,DATOS!$E903,nASIG,DATOS!$I903,nEVAL,"OR")=0))</f>
      </c>
      <c r="I903">
        <f>IF(DATOS!$I903="","",IFERROR(VLOOKUP(DATOS!$I903,CONFIG_ASIGNATURAS!$B$2:$J$91,9,FALSE()),""))</f>
      </c>
    </row>
    <row r="904">
      <c r="F904">
        <f>IF(DATOS!$A904="","",DATOS!$A904&amp;"|"&amp;DATOS!$D904&amp;"|"&amp;DATOS!$E904&amp;"|"&amp;DATOS!$I904)</f>
      </c>
      <c r="G904">
        <f>IF(DATOS!$A904="",0,IF(CONFIG_METADATA!$B$4&lt;&gt;"OR+EX",--(DATOS!$G904=CONFIG_METADATA!$B$4),IF(DATOS!$G904="EX",1,IF(DATOS!$G904="OR",--(COUNTIFS(nNIA,DATOS!$A904,nCURSO,DATOS!$D904,nESPEC,DATOS!$E904,nASIG,DATOS!$I904,nEVAL,"EX")=0),0))))</f>
      </c>
      <c r="H904">
        <f>IF(DATOS!$G904&lt;&gt;"EX",0,--(COUNTIFS(nNIA,DATOS!$A904,nCURSO,DATOS!$D904,nESPEC,DATOS!$E904,nASIG,DATOS!$I904,nEVAL,"OR")=0))</f>
      </c>
      <c r="I904">
        <f>IF(DATOS!$I904="","",IFERROR(VLOOKUP(DATOS!$I904,CONFIG_ASIGNATURAS!$B$2:$J$91,9,FALSE()),""))</f>
      </c>
    </row>
    <row r="905">
      <c r="F905">
        <f>IF(DATOS!$A905="","",DATOS!$A905&amp;"|"&amp;DATOS!$D905&amp;"|"&amp;DATOS!$E905&amp;"|"&amp;DATOS!$I905)</f>
      </c>
      <c r="G905">
        <f>IF(DATOS!$A905="",0,IF(CONFIG_METADATA!$B$4&lt;&gt;"OR+EX",--(DATOS!$G905=CONFIG_METADATA!$B$4),IF(DATOS!$G905="EX",1,IF(DATOS!$G905="OR",--(COUNTIFS(nNIA,DATOS!$A905,nCURSO,DATOS!$D905,nESPEC,DATOS!$E905,nASIG,DATOS!$I905,nEVAL,"EX")=0),0))))</f>
      </c>
      <c r="H905">
        <f>IF(DATOS!$G905&lt;&gt;"EX",0,--(COUNTIFS(nNIA,DATOS!$A905,nCURSO,DATOS!$D905,nESPEC,DATOS!$E905,nASIG,DATOS!$I905,nEVAL,"OR")=0))</f>
      </c>
      <c r="I905">
        <f>IF(DATOS!$I905="","",IFERROR(VLOOKUP(DATOS!$I905,CONFIG_ASIGNATURAS!$B$2:$J$91,9,FALSE()),""))</f>
      </c>
    </row>
    <row r="906">
      <c r="F906">
        <f>IF(DATOS!$A906="","",DATOS!$A906&amp;"|"&amp;DATOS!$D906&amp;"|"&amp;DATOS!$E906&amp;"|"&amp;DATOS!$I906)</f>
      </c>
      <c r="G906">
        <f>IF(DATOS!$A906="",0,IF(CONFIG_METADATA!$B$4&lt;&gt;"OR+EX",--(DATOS!$G906=CONFIG_METADATA!$B$4),IF(DATOS!$G906="EX",1,IF(DATOS!$G906="OR",--(COUNTIFS(nNIA,DATOS!$A906,nCURSO,DATOS!$D906,nESPEC,DATOS!$E906,nASIG,DATOS!$I906,nEVAL,"EX")=0),0))))</f>
      </c>
      <c r="H906">
        <f>IF(DATOS!$G906&lt;&gt;"EX",0,--(COUNTIFS(nNIA,DATOS!$A906,nCURSO,DATOS!$D906,nESPEC,DATOS!$E906,nASIG,DATOS!$I906,nEVAL,"OR")=0))</f>
      </c>
      <c r="I906">
        <f>IF(DATOS!$I906="","",IFERROR(VLOOKUP(DATOS!$I906,CONFIG_ASIGNATURAS!$B$2:$J$91,9,FALSE()),""))</f>
      </c>
    </row>
    <row r="907">
      <c r="F907">
        <f>IF(DATOS!$A907="","",DATOS!$A907&amp;"|"&amp;DATOS!$D907&amp;"|"&amp;DATOS!$E907&amp;"|"&amp;DATOS!$I907)</f>
      </c>
      <c r="G907">
        <f>IF(DATOS!$A907="",0,IF(CONFIG_METADATA!$B$4&lt;&gt;"OR+EX",--(DATOS!$G907=CONFIG_METADATA!$B$4),IF(DATOS!$G907="EX",1,IF(DATOS!$G907="OR",--(COUNTIFS(nNIA,DATOS!$A907,nCURSO,DATOS!$D907,nESPEC,DATOS!$E907,nASIG,DATOS!$I907,nEVAL,"EX")=0),0))))</f>
      </c>
      <c r="H907">
        <f>IF(DATOS!$G907&lt;&gt;"EX",0,--(COUNTIFS(nNIA,DATOS!$A907,nCURSO,DATOS!$D907,nESPEC,DATOS!$E907,nASIG,DATOS!$I907,nEVAL,"OR")=0))</f>
      </c>
      <c r="I907">
        <f>IF(DATOS!$I907="","",IFERROR(VLOOKUP(DATOS!$I907,CONFIG_ASIGNATURAS!$B$2:$J$91,9,FALSE()),""))</f>
      </c>
    </row>
    <row r="908">
      <c r="F908">
        <f>IF(DATOS!$A908="","",DATOS!$A908&amp;"|"&amp;DATOS!$D908&amp;"|"&amp;DATOS!$E908&amp;"|"&amp;DATOS!$I908)</f>
      </c>
      <c r="G908">
        <f>IF(DATOS!$A908="",0,IF(CONFIG_METADATA!$B$4&lt;&gt;"OR+EX",--(DATOS!$G908=CONFIG_METADATA!$B$4),IF(DATOS!$G908="EX",1,IF(DATOS!$G908="OR",--(COUNTIFS(nNIA,DATOS!$A908,nCURSO,DATOS!$D908,nESPEC,DATOS!$E908,nASIG,DATOS!$I908,nEVAL,"EX")=0),0))))</f>
      </c>
      <c r="H908">
        <f>IF(DATOS!$G908&lt;&gt;"EX",0,--(COUNTIFS(nNIA,DATOS!$A908,nCURSO,DATOS!$D908,nESPEC,DATOS!$E908,nASIG,DATOS!$I908,nEVAL,"OR")=0))</f>
      </c>
      <c r="I908">
        <f>IF(DATOS!$I908="","",IFERROR(VLOOKUP(DATOS!$I908,CONFIG_ASIGNATURAS!$B$2:$J$91,9,FALSE()),""))</f>
      </c>
    </row>
    <row r="909">
      <c r="F909">
        <f>IF(DATOS!$A909="","",DATOS!$A909&amp;"|"&amp;DATOS!$D909&amp;"|"&amp;DATOS!$E909&amp;"|"&amp;DATOS!$I909)</f>
      </c>
      <c r="G909">
        <f>IF(DATOS!$A909="",0,IF(CONFIG_METADATA!$B$4&lt;&gt;"OR+EX",--(DATOS!$G909=CONFIG_METADATA!$B$4),IF(DATOS!$G909="EX",1,IF(DATOS!$G909="OR",--(COUNTIFS(nNIA,DATOS!$A909,nCURSO,DATOS!$D909,nESPEC,DATOS!$E909,nASIG,DATOS!$I909,nEVAL,"EX")=0),0))))</f>
      </c>
      <c r="H909">
        <f>IF(DATOS!$G909&lt;&gt;"EX",0,--(COUNTIFS(nNIA,DATOS!$A909,nCURSO,DATOS!$D909,nESPEC,DATOS!$E909,nASIG,DATOS!$I909,nEVAL,"OR")=0))</f>
      </c>
      <c r="I909">
        <f>IF(DATOS!$I909="","",IFERROR(VLOOKUP(DATOS!$I909,CONFIG_ASIGNATURAS!$B$2:$J$91,9,FALSE()),""))</f>
      </c>
    </row>
    <row r="910">
      <c r="F910">
        <f>IF(DATOS!$A910="","",DATOS!$A910&amp;"|"&amp;DATOS!$D910&amp;"|"&amp;DATOS!$E910&amp;"|"&amp;DATOS!$I910)</f>
      </c>
      <c r="G910">
        <f>IF(DATOS!$A910="",0,IF(CONFIG_METADATA!$B$4&lt;&gt;"OR+EX",--(DATOS!$G910=CONFIG_METADATA!$B$4),IF(DATOS!$G910="EX",1,IF(DATOS!$G910="OR",--(COUNTIFS(nNIA,DATOS!$A910,nCURSO,DATOS!$D910,nESPEC,DATOS!$E910,nASIG,DATOS!$I910,nEVAL,"EX")=0),0))))</f>
      </c>
      <c r="H910">
        <f>IF(DATOS!$G910&lt;&gt;"EX",0,--(COUNTIFS(nNIA,DATOS!$A910,nCURSO,DATOS!$D910,nESPEC,DATOS!$E910,nASIG,DATOS!$I910,nEVAL,"OR")=0))</f>
      </c>
      <c r="I910">
        <f>IF(DATOS!$I910="","",IFERROR(VLOOKUP(DATOS!$I910,CONFIG_ASIGNATURAS!$B$2:$J$91,9,FALSE()),""))</f>
      </c>
    </row>
    <row r="911">
      <c r="F911">
        <f>IF(DATOS!$A911="","",DATOS!$A911&amp;"|"&amp;DATOS!$D911&amp;"|"&amp;DATOS!$E911&amp;"|"&amp;DATOS!$I911)</f>
      </c>
      <c r="G911">
        <f>IF(DATOS!$A911="",0,IF(CONFIG_METADATA!$B$4&lt;&gt;"OR+EX",--(DATOS!$G911=CONFIG_METADATA!$B$4),IF(DATOS!$G911="EX",1,IF(DATOS!$G911="OR",--(COUNTIFS(nNIA,DATOS!$A911,nCURSO,DATOS!$D911,nESPEC,DATOS!$E911,nASIG,DATOS!$I911,nEVAL,"EX")=0),0))))</f>
      </c>
      <c r="H911">
        <f>IF(DATOS!$G911&lt;&gt;"EX",0,--(COUNTIFS(nNIA,DATOS!$A911,nCURSO,DATOS!$D911,nESPEC,DATOS!$E911,nASIG,DATOS!$I911,nEVAL,"OR")=0))</f>
      </c>
      <c r="I911">
        <f>IF(DATOS!$I911="","",IFERROR(VLOOKUP(DATOS!$I911,CONFIG_ASIGNATURAS!$B$2:$J$91,9,FALSE()),""))</f>
      </c>
    </row>
    <row r="912">
      <c r="F912">
        <f>IF(DATOS!$A912="","",DATOS!$A912&amp;"|"&amp;DATOS!$D912&amp;"|"&amp;DATOS!$E912&amp;"|"&amp;DATOS!$I912)</f>
      </c>
      <c r="G912">
        <f>IF(DATOS!$A912="",0,IF(CONFIG_METADATA!$B$4&lt;&gt;"OR+EX",--(DATOS!$G912=CONFIG_METADATA!$B$4),IF(DATOS!$G912="EX",1,IF(DATOS!$G912="OR",--(COUNTIFS(nNIA,DATOS!$A912,nCURSO,DATOS!$D912,nESPEC,DATOS!$E912,nASIG,DATOS!$I912,nEVAL,"EX")=0),0))))</f>
      </c>
      <c r="H912">
        <f>IF(DATOS!$G912&lt;&gt;"EX",0,--(COUNTIFS(nNIA,DATOS!$A912,nCURSO,DATOS!$D912,nESPEC,DATOS!$E912,nASIG,DATOS!$I912,nEVAL,"OR")=0))</f>
      </c>
      <c r="I912">
        <f>IF(DATOS!$I912="","",IFERROR(VLOOKUP(DATOS!$I912,CONFIG_ASIGNATURAS!$B$2:$J$91,9,FALSE()),""))</f>
      </c>
    </row>
    <row r="913">
      <c r="F913">
        <f>IF(DATOS!$A913="","",DATOS!$A913&amp;"|"&amp;DATOS!$D913&amp;"|"&amp;DATOS!$E913&amp;"|"&amp;DATOS!$I913)</f>
      </c>
      <c r="G913">
        <f>IF(DATOS!$A913="",0,IF(CONFIG_METADATA!$B$4&lt;&gt;"OR+EX",--(DATOS!$G913=CONFIG_METADATA!$B$4),IF(DATOS!$G913="EX",1,IF(DATOS!$G913="OR",--(COUNTIFS(nNIA,DATOS!$A913,nCURSO,DATOS!$D913,nESPEC,DATOS!$E913,nASIG,DATOS!$I913,nEVAL,"EX")=0),0))))</f>
      </c>
      <c r="H913">
        <f>IF(DATOS!$G913&lt;&gt;"EX",0,--(COUNTIFS(nNIA,DATOS!$A913,nCURSO,DATOS!$D913,nESPEC,DATOS!$E913,nASIG,DATOS!$I913,nEVAL,"OR")=0))</f>
      </c>
      <c r="I913">
        <f>IF(DATOS!$I913="","",IFERROR(VLOOKUP(DATOS!$I913,CONFIG_ASIGNATURAS!$B$2:$J$91,9,FALSE()),""))</f>
      </c>
    </row>
    <row r="914">
      <c r="F914">
        <f>IF(DATOS!$A914="","",DATOS!$A914&amp;"|"&amp;DATOS!$D914&amp;"|"&amp;DATOS!$E914&amp;"|"&amp;DATOS!$I914)</f>
      </c>
      <c r="G914">
        <f>IF(DATOS!$A914="",0,IF(CONFIG_METADATA!$B$4&lt;&gt;"OR+EX",--(DATOS!$G914=CONFIG_METADATA!$B$4),IF(DATOS!$G914="EX",1,IF(DATOS!$G914="OR",--(COUNTIFS(nNIA,DATOS!$A914,nCURSO,DATOS!$D914,nESPEC,DATOS!$E914,nASIG,DATOS!$I914,nEVAL,"EX")=0),0))))</f>
      </c>
      <c r="H914">
        <f>IF(DATOS!$G914&lt;&gt;"EX",0,--(COUNTIFS(nNIA,DATOS!$A914,nCURSO,DATOS!$D914,nESPEC,DATOS!$E914,nASIG,DATOS!$I914,nEVAL,"OR")=0))</f>
      </c>
      <c r="I914">
        <f>IF(DATOS!$I914="","",IFERROR(VLOOKUP(DATOS!$I914,CONFIG_ASIGNATURAS!$B$2:$J$91,9,FALSE()),""))</f>
      </c>
    </row>
    <row r="915">
      <c r="F915">
        <f>IF(DATOS!$A915="","",DATOS!$A915&amp;"|"&amp;DATOS!$D915&amp;"|"&amp;DATOS!$E915&amp;"|"&amp;DATOS!$I915)</f>
      </c>
      <c r="G915">
        <f>IF(DATOS!$A915="",0,IF(CONFIG_METADATA!$B$4&lt;&gt;"OR+EX",--(DATOS!$G915=CONFIG_METADATA!$B$4),IF(DATOS!$G915="EX",1,IF(DATOS!$G915="OR",--(COUNTIFS(nNIA,DATOS!$A915,nCURSO,DATOS!$D915,nESPEC,DATOS!$E915,nASIG,DATOS!$I915,nEVAL,"EX")=0),0))))</f>
      </c>
      <c r="H915">
        <f>IF(DATOS!$G915&lt;&gt;"EX",0,--(COUNTIFS(nNIA,DATOS!$A915,nCURSO,DATOS!$D915,nESPEC,DATOS!$E915,nASIG,DATOS!$I915,nEVAL,"OR")=0))</f>
      </c>
      <c r="I915">
        <f>IF(DATOS!$I915="","",IFERROR(VLOOKUP(DATOS!$I915,CONFIG_ASIGNATURAS!$B$2:$J$91,9,FALSE()),""))</f>
      </c>
    </row>
    <row r="916">
      <c r="F916">
        <f>IF(DATOS!$A916="","",DATOS!$A916&amp;"|"&amp;DATOS!$D916&amp;"|"&amp;DATOS!$E916&amp;"|"&amp;DATOS!$I916)</f>
      </c>
      <c r="G916">
        <f>IF(DATOS!$A916="",0,IF(CONFIG_METADATA!$B$4&lt;&gt;"OR+EX",--(DATOS!$G916=CONFIG_METADATA!$B$4),IF(DATOS!$G916="EX",1,IF(DATOS!$G916="OR",--(COUNTIFS(nNIA,DATOS!$A916,nCURSO,DATOS!$D916,nESPEC,DATOS!$E916,nASIG,DATOS!$I916,nEVAL,"EX")=0),0))))</f>
      </c>
      <c r="H916">
        <f>IF(DATOS!$G916&lt;&gt;"EX",0,--(COUNTIFS(nNIA,DATOS!$A916,nCURSO,DATOS!$D916,nESPEC,DATOS!$E916,nASIG,DATOS!$I916,nEVAL,"OR")=0))</f>
      </c>
      <c r="I916">
        <f>IF(DATOS!$I916="","",IFERROR(VLOOKUP(DATOS!$I916,CONFIG_ASIGNATURAS!$B$2:$J$91,9,FALSE()),""))</f>
      </c>
    </row>
    <row r="917">
      <c r="F917">
        <f>IF(DATOS!$A917="","",DATOS!$A917&amp;"|"&amp;DATOS!$D917&amp;"|"&amp;DATOS!$E917&amp;"|"&amp;DATOS!$I917)</f>
      </c>
      <c r="G917">
        <f>IF(DATOS!$A917="",0,IF(CONFIG_METADATA!$B$4&lt;&gt;"OR+EX",--(DATOS!$G917=CONFIG_METADATA!$B$4),IF(DATOS!$G917="EX",1,IF(DATOS!$G917="OR",--(COUNTIFS(nNIA,DATOS!$A917,nCURSO,DATOS!$D917,nESPEC,DATOS!$E917,nASIG,DATOS!$I917,nEVAL,"EX")=0),0))))</f>
      </c>
      <c r="H917">
        <f>IF(DATOS!$G917&lt;&gt;"EX",0,--(COUNTIFS(nNIA,DATOS!$A917,nCURSO,DATOS!$D917,nESPEC,DATOS!$E917,nASIG,DATOS!$I917,nEVAL,"OR")=0))</f>
      </c>
      <c r="I917">
        <f>IF(DATOS!$I917="","",IFERROR(VLOOKUP(DATOS!$I917,CONFIG_ASIGNATURAS!$B$2:$J$91,9,FALSE()),""))</f>
      </c>
    </row>
    <row r="918">
      <c r="F918">
        <f>IF(DATOS!$A918="","",DATOS!$A918&amp;"|"&amp;DATOS!$D918&amp;"|"&amp;DATOS!$E918&amp;"|"&amp;DATOS!$I918)</f>
      </c>
      <c r="G918">
        <f>IF(DATOS!$A918="",0,IF(CONFIG_METADATA!$B$4&lt;&gt;"OR+EX",--(DATOS!$G918=CONFIG_METADATA!$B$4),IF(DATOS!$G918="EX",1,IF(DATOS!$G918="OR",--(COUNTIFS(nNIA,DATOS!$A918,nCURSO,DATOS!$D918,nESPEC,DATOS!$E918,nASIG,DATOS!$I918,nEVAL,"EX")=0),0))))</f>
      </c>
      <c r="H918">
        <f>IF(DATOS!$G918&lt;&gt;"EX",0,--(COUNTIFS(nNIA,DATOS!$A918,nCURSO,DATOS!$D918,nESPEC,DATOS!$E918,nASIG,DATOS!$I918,nEVAL,"OR")=0))</f>
      </c>
      <c r="I918">
        <f>IF(DATOS!$I918="","",IFERROR(VLOOKUP(DATOS!$I918,CONFIG_ASIGNATURAS!$B$2:$J$91,9,FALSE()),""))</f>
      </c>
    </row>
    <row r="919">
      <c r="F919">
        <f>IF(DATOS!$A919="","",DATOS!$A919&amp;"|"&amp;DATOS!$D919&amp;"|"&amp;DATOS!$E919&amp;"|"&amp;DATOS!$I919)</f>
      </c>
      <c r="G919">
        <f>IF(DATOS!$A919="",0,IF(CONFIG_METADATA!$B$4&lt;&gt;"OR+EX",--(DATOS!$G919=CONFIG_METADATA!$B$4),IF(DATOS!$G919="EX",1,IF(DATOS!$G919="OR",--(COUNTIFS(nNIA,DATOS!$A919,nCURSO,DATOS!$D919,nESPEC,DATOS!$E919,nASIG,DATOS!$I919,nEVAL,"EX")=0),0))))</f>
      </c>
      <c r="H919">
        <f>IF(DATOS!$G919&lt;&gt;"EX",0,--(COUNTIFS(nNIA,DATOS!$A919,nCURSO,DATOS!$D919,nESPEC,DATOS!$E919,nASIG,DATOS!$I919,nEVAL,"OR")=0))</f>
      </c>
      <c r="I919">
        <f>IF(DATOS!$I919="","",IFERROR(VLOOKUP(DATOS!$I919,CONFIG_ASIGNATURAS!$B$2:$J$91,9,FALSE()),""))</f>
      </c>
    </row>
    <row r="920">
      <c r="F920">
        <f>IF(DATOS!$A920="","",DATOS!$A920&amp;"|"&amp;DATOS!$D920&amp;"|"&amp;DATOS!$E920&amp;"|"&amp;DATOS!$I920)</f>
      </c>
      <c r="G920">
        <f>IF(DATOS!$A920="",0,IF(CONFIG_METADATA!$B$4&lt;&gt;"OR+EX",--(DATOS!$G920=CONFIG_METADATA!$B$4),IF(DATOS!$G920="EX",1,IF(DATOS!$G920="OR",--(COUNTIFS(nNIA,DATOS!$A920,nCURSO,DATOS!$D920,nESPEC,DATOS!$E920,nASIG,DATOS!$I920,nEVAL,"EX")=0),0))))</f>
      </c>
      <c r="H920">
        <f>IF(DATOS!$G920&lt;&gt;"EX",0,--(COUNTIFS(nNIA,DATOS!$A920,nCURSO,DATOS!$D920,nESPEC,DATOS!$E920,nASIG,DATOS!$I920,nEVAL,"OR")=0))</f>
      </c>
      <c r="I920">
        <f>IF(DATOS!$I920="","",IFERROR(VLOOKUP(DATOS!$I920,CONFIG_ASIGNATURAS!$B$2:$J$91,9,FALSE()),""))</f>
      </c>
    </row>
    <row r="921">
      <c r="F921">
        <f>IF(DATOS!$A921="","",DATOS!$A921&amp;"|"&amp;DATOS!$D921&amp;"|"&amp;DATOS!$E921&amp;"|"&amp;DATOS!$I921)</f>
      </c>
      <c r="G921">
        <f>IF(DATOS!$A921="",0,IF(CONFIG_METADATA!$B$4&lt;&gt;"OR+EX",--(DATOS!$G921=CONFIG_METADATA!$B$4),IF(DATOS!$G921="EX",1,IF(DATOS!$G921="OR",--(COUNTIFS(nNIA,DATOS!$A921,nCURSO,DATOS!$D921,nESPEC,DATOS!$E921,nASIG,DATOS!$I921,nEVAL,"EX")=0),0))))</f>
      </c>
      <c r="H921">
        <f>IF(DATOS!$G921&lt;&gt;"EX",0,--(COUNTIFS(nNIA,DATOS!$A921,nCURSO,DATOS!$D921,nESPEC,DATOS!$E921,nASIG,DATOS!$I921,nEVAL,"OR")=0))</f>
      </c>
      <c r="I921">
        <f>IF(DATOS!$I921="","",IFERROR(VLOOKUP(DATOS!$I921,CONFIG_ASIGNATURAS!$B$2:$J$91,9,FALSE()),""))</f>
      </c>
    </row>
    <row r="922">
      <c r="F922">
        <f>IF(DATOS!$A922="","",DATOS!$A922&amp;"|"&amp;DATOS!$D922&amp;"|"&amp;DATOS!$E922&amp;"|"&amp;DATOS!$I922)</f>
      </c>
      <c r="G922">
        <f>IF(DATOS!$A922="",0,IF(CONFIG_METADATA!$B$4&lt;&gt;"OR+EX",--(DATOS!$G922=CONFIG_METADATA!$B$4),IF(DATOS!$G922="EX",1,IF(DATOS!$G922="OR",--(COUNTIFS(nNIA,DATOS!$A922,nCURSO,DATOS!$D922,nESPEC,DATOS!$E922,nASIG,DATOS!$I922,nEVAL,"EX")=0),0))))</f>
      </c>
      <c r="H922">
        <f>IF(DATOS!$G922&lt;&gt;"EX",0,--(COUNTIFS(nNIA,DATOS!$A922,nCURSO,DATOS!$D922,nESPEC,DATOS!$E922,nASIG,DATOS!$I922,nEVAL,"OR")=0))</f>
      </c>
      <c r="I922">
        <f>IF(DATOS!$I922="","",IFERROR(VLOOKUP(DATOS!$I922,CONFIG_ASIGNATURAS!$B$2:$J$91,9,FALSE()),""))</f>
      </c>
    </row>
    <row r="923">
      <c r="F923">
        <f>IF(DATOS!$A923="","",DATOS!$A923&amp;"|"&amp;DATOS!$D923&amp;"|"&amp;DATOS!$E923&amp;"|"&amp;DATOS!$I923)</f>
      </c>
      <c r="G923">
        <f>IF(DATOS!$A923="",0,IF(CONFIG_METADATA!$B$4&lt;&gt;"OR+EX",--(DATOS!$G923=CONFIG_METADATA!$B$4),IF(DATOS!$G923="EX",1,IF(DATOS!$G923="OR",--(COUNTIFS(nNIA,DATOS!$A923,nCURSO,DATOS!$D923,nESPEC,DATOS!$E923,nASIG,DATOS!$I923,nEVAL,"EX")=0),0))))</f>
      </c>
      <c r="H923">
        <f>IF(DATOS!$G923&lt;&gt;"EX",0,--(COUNTIFS(nNIA,DATOS!$A923,nCURSO,DATOS!$D923,nESPEC,DATOS!$E923,nASIG,DATOS!$I923,nEVAL,"OR")=0))</f>
      </c>
      <c r="I923">
        <f>IF(DATOS!$I923="","",IFERROR(VLOOKUP(DATOS!$I923,CONFIG_ASIGNATURAS!$B$2:$J$91,9,FALSE()),""))</f>
      </c>
    </row>
    <row r="924">
      <c r="F924">
        <f>IF(DATOS!$A924="","",DATOS!$A924&amp;"|"&amp;DATOS!$D924&amp;"|"&amp;DATOS!$E924&amp;"|"&amp;DATOS!$I924)</f>
      </c>
      <c r="G924">
        <f>IF(DATOS!$A924="",0,IF(CONFIG_METADATA!$B$4&lt;&gt;"OR+EX",--(DATOS!$G924=CONFIG_METADATA!$B$4),IF(DATOS!$G924="EX",1,IF(DATOS!$G924="OR",--(COUNTIFS(nNIA,DATOS!$A924,nCURSO,DATOS!$D924,nESPEC,DATOS!$E924,nASIG,DATOS!$I924,nEVAL,"EX")=0),0))))</f>
      </c>
      <c r="H924">
        <f>IF(DATOS!$G924&lt;&gt;"EX",0,--(COUNTIFS(nNIA,DATOS!$A924,nCURSO,DATOS!$D924,nESPEC,DATOS!$E924,nASIG,DATOS!$I924,nEVAL,"OR")=0))</f>
      </c>
      <c r="I924">
        <f>IF(DATOS!$I924="","",IFERROR(VLOOKUP(DATOS!$I924,CONFIG_ASIGNATURAS!$B$2:$J$91,9,FALSE()),""))</f>
      </c>
    </row>
    <row r="925">
      <c r="F925">
        <f>IF(DATOS!$A925="","",DATOS!$A925&amp;"|"&amp;DATOS!$D925&amp;"|"&amp;DATOS!$E925&amp;"|"&amp;DATOS!$I925)</f>
      </c>
      <c r="G925">
        <f>IF(DATOS!$A925="",0,IF(CONFIG_METADATA!$B$4&lt;&gt;"OR+EX",--(DATOS!$G925=CONFIG_METADATA!$B$4),IF(DATOS!$G925="EX",1,IF(DATOS!$G925="OR",--(COUNTIFS(nNIA,DATOS!$A925,nCURSO,DATOS!$D925,nESPEC,DATOS!$E925,nASIG,DATOS!$I925,nEVAL,"EX")=0),0))))</f>
      </c>
      <c r="H925">
        <f>IF(DATOS!$G925&lt;&gt;"EX",0,--(COUNTIFS(nNIA,DATOS!$A925,nCURSO,DATOS!$D925,nESPEC,DATOS!$E925,nASIG,DATOS!$I925,nEVAL,"OR")=0))</f>
      </c>
      <c r="I925">
        <f>IF(DATOS!$I925="","",IFERROR(VLOOKUP(DATOS!$I925,CONFIG_ASIGNATURAS!$B$2:$J$91,9,FALSE()),""))</f>
      </c>
    </row>
    <row r="926">
      <c r="F926">
        <f>IF(DATOS!$A926="","",DATOS!$A926&amp;"|"&amp;DATOS!$D926&amp;"|"&amp;DATOS!$E926&amp;"|"&amp;DATOS!$I926)</f>
      </c>
      <c r="G926">
        <f>IF(DATOS!$A926="",0,IF(CONFIG_METADATA!$B$4&lt;&gt;"OR+EX",--(DATOS!$G926=CONFIG_METADATA!$B$4),IF(DATOS!$G926="EX",1,IF(DATOS!$G926="OR",--(COUNTIFS(nNIA,DATOS!$A926,nCURSO,DATOS!$D926,nESPEC,DATOS!$E926,nASIG,DATOS!$I926,nEVAL,"EX")=0),0))))</f>
      </c>
      <c r="H926">
        <f>IF(DATOS!$G926&lt;&gt;"EX",0,--(COUNTIFS(nNIA,DATOS!$A926,nCURSO,DATOS!$D926,nESPEC,DATOS!$E926,nASIG,DATOS!$I926,nEVAL,"OR")=0))</f>
      </c>
      <c r="I926">
        <f>IF(DATOS!$I926="","",IFERROR(VLOOKUP(DATOS!$I926,CONFIG_ASIGNATURAS!$B$2:$J$91,9,FALSE()),""))</f>
      </c>
    </row>
    <row r="927">
      <c r="F927">
        <f>IF(DATOS!$A927="","",DATOS!$A927&amp;"|"&amp;DATOS!$D927&amp;"|"&amp;DATOS!$E927&amp;"|"&amp;DATOS!$I927)</f>
      </c>
      <c r="G927">
        <f>IF(DATOS!$A927="",0,IF(CONFIG_METADATA!$B$4&lt;&gt;"OR+EX",--(DATOS!$G927=CONFIG_METADATA!$B$4),IF(DATOS!$G927="EX",1,IF(DATOS!$G927="OR",--(COUNTIFS(nNIA,DATOS!$A927,nCURSO,DATOS!$D927,nESPEC,DATOS!$E927,nASIG,DATOS!$I927,nEVAL,"EX")=0),0))))</f>
      </c>
      <c r="H927">
        <f>IF(DATOS!$G927&lt;&gt;"EX",0,--(COUNTIFS(nNIA,DATOS!$A927,nCURSO,DATOS!$D927,nESPEC,DATOS!$E927,nASIG,DATOS!$I927,nEVAL,"OR")=0))</f>
      </c>
      <c r="I927">
        <f>IF(DATOS!$I927="","",IFERROR(VLOOKUP(DATOS!$I927,CONFIG_ASIGNATURAS!$B$2:$J$91,9,FALSE()),""))</f>
      </c>
    </row>
    <row r="928">
      <c r="F928">
        <f>IF(DATOS!$A928="","",DATOS!$A928&amp;"|"&amp;DATOS!$D928&amp;"|"&amp;DATOS!$E928&amp;"|"&amp;DATOS!$I928)</f>
      </c>
      <c r="G928">
        <f>IF(DATOS!$A928="",0,IF(CONFIG_METADATA!$B$4&lt;&gt;"OR+EX",--(DATOS!$G928=CONFIG_METADATA!$B$4),IF(DATOS!$G928="EX",1,IF(DATOS!$G928="OR",--(COUNTIFS(nNIA,DATOS!$A928,nCURSO,DATOS!$D928,nESPEC,DATOS!$E928,nASIG,DATOS!$I928,nEVAL,"EX")=0),0))))</f>
      </c>
      <c r="H928">
        <f>IF(DATOS!$G928&lt;&gt;"EX",0,--(COUNTIFS(nNIA,DATOS!$A928,nCURSO,DATOS!$D928,nESPEC,DATOS!$E928,nASIG,DATOS!$I928,nEVAL,"OR")=0))</f>
      </c>
      <c r="I928">
        <f>IF(DATOS!$I928="","",IFERROR(VLOOKUP(DATOS!$I928,CONFIG_ASIGNATURAS!$B$2:$J$91,9,FALSE()),""))</f>
      </c>
    </row>
    <row r="929">
      <c r="F929">
        <f>IF(DATOS!$A929="","",DATOS!$A929&amp;"|"&amp;DATOS!$D929&amp;"|"&amp;DATOS!$E929&amp;"|"&amp;DATOS!$I929)</f>
      </c>
      <c r="G929">
        <f>IF(DATOS!$A929="",0,IF(CONFIG_METADATA!$B$4&lt;&gt;"OR+EX",--(DATOS!$G929=CONFIG_METADATA!$B$4),IF(DATOS!$G929="EX",1,IF(DATOS!$G929="OR",--(COUNTIFS(nNIA,DATOS!$A929,nCURSO,DATOS!$D929,nESPEC,DATOS!$E929,nASIG,DATOS!$I929,nEVAL,"EX")=0),0))))</f>
      </c>
      <c r="H929">
        <f>IF(DATOS!$G929&lt;&gt;"EX",0,--(COUNTIFS(nNIA,DATOS!$A929,nCURSO,DATOS!$D929,nESPEC,DATOS!$E929,nASIG,DATOS!$I929,nEVAL,"OR")=0))</f>
      </c>
      <c r="I929">
        <f>IF(DATOS!$I929="","",IFERROR(VLOOKUP(DATOS!$I929,CONFIG_ASIGNATURAS!$B$2:$J$91,9,FALSE()),""))</f>
      </c>
    </row>
    <row r="930">
      <c r="F930">
        <f>IF(DATOS!$A930="","",DATOS!$A930&amp;"|"&amp;DATOS!$D930&amp;"|"&amp;DATOS!$E930&amp;"|"&amp;DATOS!$I930)</f>
      </c>
      <c r="G930">
        <f>IF(DATOS!$A930="",0,IF(CONFIG_METADATA!$B$4&lt;&gt;"OR+EX",--(DATOS!$G930=CONFIG_METADATA!$B$4),IF(DATOS!$G930="EX",1,IF(DATOS!$G930="OR",--(COUNTIFS(nNIA,DATOS!$A930,nCURSO,DATOS!$D930,nESPEC,DATOS!$E930,nASIG,DATOS!$I930,nEVAL,"EX")=0),0))))</f>
      </c>
      <c r="H930">
        <f>IF(DATOS!$G930&lt;&gt;"EX",0,--(COUNTIFS(nNIA,DATOS!$A930,nCURSO,DATOS!$D930,nESPEC,DATOS!$E930,nASIG,DATOS!$I930,nEVAL,"OR")=0))</f>
      </c>
      <c r="I930">
        <f>IF(DATOS!$I930="","",IFERROR(VLOOKUP(DATOS!$I930,CONFIG_ASIGNATURAS!$B$2:$J$91,9,FALSE()),""))</f>
      </c>
    </row>
    <row r="931">
      <c r="F931">
        <f>IF(DATOS!$A931="","",DATOS!$A931&amp;"|"&amp;DATOS!$D931&amp;"|"&amp;DATOS!$E931&amp;"|"&amp;DATOS!$I931)</f>
      </c>
      <c r="G931">
        <f>IF(DATOS!$A931="",0,IF(CONFIG_METADATA!$B$4&lt;&gt;"OR+EX",--(DATOS!$G931=CONFIG_METADATA!$B$4),IF(DATOS!$G931="EX",1,IF(DATOS!$G931="OR",--(COUNTIFS(nNIA,DATOS!$A931,nCURSO,DATOS!$D931,nESPEC,DATOS!$E931,nASIG,DATOS!$I931,nEVAL,"EX")=0),0))))</f>
      </c>
      <c r="H931">
        <f>IF(DATOS!$G931&lt;&gt;"EX",0,--(COUNTIFS(nNIA,DATOS!$A931,nCURSO,DATOS!$D931,nESPEC,DATOS!$E931,nASIG,DATOS!$I931,nEVAL,"OR")=0))</f>
      </c>
      <c r="I931">
        <f>IF(DATOS!$I931="","",IFERROR(VLOOKUP(DATOS!$I931,CONFIG_ASIGNATURAS!$B$2:$J$91,9,FALSE()),""))</f>
      </c>
    </row>
    <row r="932">
      <c r="F932">
        <f>IF(DATOS!$A932="","",DATOS!$A932&amp;"|"&amp;DATOS!$D932&amp;"|"&amp;DATOS!$E932&amp;"|"&amp;DATOS!$I932)</f>
      </c>
      <c r="G932">
        <f>IF(DATOS!$A932="",0,IF(CONFIG_METADATA!$B$4&lt;&gt;"OR+EX",--(DATOS!$G932=CONFIG_METADATA!$B$4),IF(DATOS!$G932="EX",1,IF(DATOS!$G932="OR",--(COUNTIFS(nNIA,DATOS!$A932,nCURSO,DATOS!$D932,nESPEC,DATOS!$E932,nASIG,DATOS!$I932,nEVAL,"EX")=0),0))))</f>
      </c>
      <c r="H932">
        <f>IF(DATOS!$G932&lt;&gt;"EX",0,--(COUNTIFS(nNIA,DATOS!$A932,nCURSO,DATOS!$D932,nESPEC,DATOS!$E932,nASIG,DATOS!$I932,nEVAL,"OR")=0))</f>
      </c>
      <c r="I932">
        <f>IF(DATOS!$I932="","",IFERROR(VLOOKUP(DATOS!$I932,CONFIG_ASIGNATURAS!$B$2:$J$91,9,FALSE()),""))</f>
      </c>
    </row>
    <row r="933">
      <c r="F933">
        <f>IF(DATOS!$A933="","",DATOS!$A933&amp;"|"&amp;DATOS!$D933&amp;"|"&amp;DATOS!$E933&amp;"|"&amp;DATOS!$I933)</f>
      </c>
      <c r="G933">
        <f>IF(DATOS!$A933="",0,IF(CONFIG_METADATA!$B$4&lt;&gt;"OR+EX",--(DATOS!$G933=CONFIG_METADATA!$B$4),IF(DATOS!$G933="EX",1,IF(DATOS!$G933="OR",--(COUNTIFS(nNIA,DATOS!$A933,nCURSO,DATOS!$D933,nESPEC,DATOS!$E933,nASIG,DATOS!$I933,nEVAL,"EX")=0),0))))</f>
      </c>
      <c r="H933">
        <f>IF(DATOS!$G933&lt;&gt;"EX",0,--(COUNTIFS(nNIA,DATOS!$A933,nCURSO,DATOS!$D933,nESPEC,DATOS!$E933,nASIG,DATOS!$I933,nEVAL,"OR")=0))</f>
      </c>
      <c r="I933">
        <f>IF(DATOS!$I933="","",IFERROR(VLOOKUP(DATOS!$I933,CONFIG_ASIGNATURAS!$B$2:$J$91,9,FALSE()),""))</f>
      </c>
    </row>
    <row r="934">
      <c r="F934">
        <f>IF(DATOS!$A934="","",DATOS!$A934&amp;"|"&amp;DATOS!$D934&amp;"|"&amp;DATOS!$E934&amp;"|"&amp;DATOS!$I934)</f>
      </c>
      <c r="G934">
        <f>IF(DATOS!$A934="",0,IF(CONFIG_METADATA!$B$4&lt;&gt;"OR+EX",--(DATOS!$G934=CONFIG_METADATA!$B$4),IF(DATOS!$G934="EX",1,IF(DATOS!$G934="OR",--(COUNTIFS(nNIA,DATOS!$A934,nCURSO,DATOS!$D934,nESPEC,DATOS!$E934,nASIG,DATOS!$I934,nEVAL,"EX")=0),0))))</f>
      </c>
      <c r="H934">
        <f>IF(DATOS!$G934&lt;&gt;"EX",0,--(COUNTIFS(nNIA,DATOS!$A934,nCURSO,DATOS!$D934,nESPEC,DATOS!$E934,nASIG,DATOS!$I934,nEVAL,"OR")=0))</f>
      </c>
      <c r="I934">
        <f>IF(DATOS!$I934="","",IFERROR(VLOOKUP(DATOS!$I934,CONFIG_ASIGNATURAS!$B$2:$J$91,9,FALSE()),""))</f>
      </c>
    </row>
    <row r="935">
      <c r="F935">
        <f>IF(DATOS!$A935="","",DATOS!$A935&amp;"|"&amp;DATOS!$D935&amp;"|"&amp;DATOS!$E935&amp;"|"&amp;DATOS!$I935)</f>
      </c>
      <c r="G935">
        <f>IF(DATOS!$A935="",0,IF(CONFIG_METADATA!$B$4&lt;&gt;"OR+EX",--(DATOS!$G935=CONFIG_METADATA!$B$4),IF(DATOS!$G935="EX",1,IF(DATOS!$G935="OR",--(COUNTIFS(nNIA,DATOS!$A935,nCURSO,DATOS!$D935,nESPEC,DATOS!$E935,nASIG,DATOS!$I935,nEVAL,"EX")=0),0))))</f>
      </c>
      <c r="H935">
        <f>IF(DATOS!$G935&lt;&gt;"EX",0,--(COUNTIFS(nNIA,DATOS!$A935,nCURSO,DATOS!$D935,nESPEC,DATOS!$E935,nASIG,DATOS!$I935,nEVAL,"OR")=0))</f>
      </c>
      <c r="I935">
        <f>IF(DATOS!$I935="","",IFERROR(VLOOKUP(DATOS!$I935,CONFIG_ASIGNATURAS!$B$2:$J$91,9,FALSE()),""))</f>
      </c>
    </row>
    <row r="936">
      <c r="F936">
        <f>IF(DATOS!$A936="","",DATOS!$A936&amp;"|"&amp;DATOS!$D936&amp;"|"&amp;DATOS!$E936&amp;"|"&amp;DATOS!$I936)</f>
      </c>
      <c r="G936">
        <f>IF(DATOS!$A936="",0,IF(CONFIG_METADATA!$B$4&lt;&gt;"OR+EX",--(DATOS!$G936=CONFIG_METADATA!$B$4),IF(DATOS!$G936="EX",1,IF(DATOS!$G936="OR",--(COUNTIFS(nNIA,DATOS!$A936,nCURSO,DATOS!$D936,nESPEC,DATOS!$E936,nASIG,DATOS!$I936,nEVAL,"EX")=0),0))))</f>
      </c>
      <c r="H936">
        <f>IF(DATOS!$G936&lt;&gt;"EX",0,--(COUNTIFS(nNIA,DATOS!$A936,nCURSO,DATOS!$D936,nESPEC,DATOS!$E936,nASIG,DATOS!$I936,nEVAL,"OR")=0))</f>
      </c>
      <c r="I936">
        <f>IF(DATOS!$I936="","",IFERROR(VLOOKUP(DATOS!$I936,CONFIG_ASIGNATURAS!$B$2:$J$91,9,FALSE()),""))</f>
      </c>
    </row>
    <row r="937">
      <c r="F937">
        <f>IF(DATOS!$A937="","",DATOS!$A937&amp;"|"&amp;DATOS!$D937&amp;"|"&amp;DATOS!$E937&amp;"|"&amp;DATOS!$I937)</f>
      </c>
      <c r="G937">
        <f>IF(DATOS!$A937="",0,IF(CONFIG_METADATA!$B$4&lt;&gt;"OR+EX",--(DATOS!$G937=CONFIG_METADATA!$B$4),IF(DATOS!$G937="EX",1,IF(DATOS!$G937="OR",--(COUNTIFS(nNIA,DATOS!$A937,nCURSO,DATOS!$D937,nESPEC,DATOS!$E937,nASIG,DATOS!$I937,nEVAL,"EX")=0),0))))</f>
      </c>
      <c r="H937">
        <f>IF(DATOS!$G937&lt;&gt;"EX",0,--(COUNTIFS(nNIA,DATOS!$A937,nCURSO,DATOS!$D937,nESPEC,DATOS!$E937,nASIG,DATOS!$I937,nEVAL,"OR")=0))</f>
      </c>
      <c r="I937">
        <f>IF(DATOS!$I937="","",IFERROR(VLOOKUP(DATOS!$I937,CONFIG_ASIGNATURAS!$B$2:$J$91,9,FALSE()),""))</f>
      </c>
    </row>
    <row r="938">
      <c r="F938">
        <f>IF(DATOS!$A938="","",DATOS!$A938&amp;"|"&amp;DATOS!$D938&amp;"|"&amp;DATOS!$E938&amp;"|"&amp;DATOS!$I938)</f>
      </c>
      <c r="G938">
        <f>IF(DATOS!$A938="",0,IF(CONFIG_METADATA!$B$4&lt;&gt;"OR+EX",--(DATOS!$G938=CONFIG_METADATA!$B$4),IF(DATOS!$G938="EX",1,IF(DATOS!$G938="OR",--(COUNTIFS(nNIA,DATOS!$A938,nCURSO,DATOS!$D938,nESPEC,DATOS!$E938,nASIG,DATOS!$I938,nEVAL,"EX")=0),0))))</f>
      </c>
      <c r="H938">
        <f>IF(DATOS!$G938&lt;&gt;"EX",0,--(COUNTIFS(nNIA,DATOS!$A938,nCURSO,DATOS!$D938,nESPEC,DATOS!$E938,nASIG,DATOS!$I938,nEVAL,"OR")=0))</f>
      </c>
      <c r="I938">
        <f>IF(DATOS!$I938="","",IFERROR(VLOOKUP(DATOS!$I938,CONFIG_ASIGNATURAS!$B$2:$J$91,9,FALSE()),""))</f>
      </c>
    </row>
    <row r="939">
      <c r="F939">
        <f>IF(DATOS!$A939="","",DATOS!$A939&amp;"|"&amp;DATOS!$D939&amp;"|"&amp;DATOS!$E939&amp;"|"&amp;DATOS!$I939)</f>
      </c>
      <c r="G939">
        <f>IF(DATOS!$A939="",0,IF(CONFIG_METADATA!$B$4&lt;&gt;"OR+EX",--(DATOS!$G939=CONFIG_METADATA!$B$4),IF(DATOS!$G939="EX",1,IF(DATOS!$G939="OR",--(COUNTIFS(nNIA,DATOS!$A939,nCURSO,DATOS!$D939,nESPEC,DATOS!$E939,nASIG,DATOS!$I939,nEVAL,"EX")=0),0))))</f>
      </c>
      <c r="H939">
        <f>IF(DATOS!$G939&lt;&gt;"EX",0,--(COUNTIFS(nNIA,DATOS!$A939,nCURSO,DATOS!$D939,nESPEC,DATOS!$E939,nASIG,DATOS!$I939,nEVAL,"OR")=0))</f>
      </c>
      <c r="I939">
        <f>IF(DATOS!$I939="","",IFERROR(VLOOKUP(DATOS!$I939,CONFIG_ASIGNATURAS!$B$2:$J$91,9,FALSE()),""))</f>
      </c>
    </row>
    <row r="940">
      <c r="F940">
        <f>IF(DATOS!$A940="","",DATOS!$A940&amp;"|"&amp;DATOS!$D940&amp;"|"&amp;DATOS!$E940&amp;"|"&amp;DATOS!$I940)</f>
      </c>
      <c r="G940">
        <f>IF(DATOS!$A940="",0,IF(CONFIG_METADATA!$B$4&lt;&gt;"OR+EX",--(DATOS!$G940=CONFIG_METADATA!$B$4),IF(DATOS!$G940="EX",1,IF(DATOS!$G940="OR",--(COUNTIFS(nNIA,DATOS!$A940,nCURSO,DATOS!$D940,nESPEC,DATOS!$E940,nASIG,DATOS!$I940,nEVAL,"EX")=0),0))))</f>
      </c>
      <c r="H940">
        <f>IF(DATOS!$G940&lt;&gt;"EX",0,--(COUNTIFS(nNIA,DATOS!$A940,nCURSO,DATOS!$D940,nESPEC,DATOS!$E940,nASIG,DATOS!$I940,nEVAL,"OR")=0))</f>
      </c>
      <c r="I940">
        <f>IF(DATOS!$I940="","",IFERROR(VLOOKUP(DATOS!$I940,CONFIG_ASIGNATURAS!$B$2:$J$91,9,FALSE()),""))</f>
      </c>
    </row>
    <row r="941">
      <c r="F941">
        <f>IF(DATOS!$A941="","",DATOS!$A941&amp;"|"&amp;DATOS!$D941&amp;"|"&amp;DATOS!$E941&amp;"|"&amp;DATOS!$I941)</f>
      </c>
      <c r="G941">
        <f>IF(DATOS!$A941="",0,IF(CONFIG_METADATA!$B$4&lt;&gt;"OR+EX",--(DATOS!$G941=CONFIG_METADATA!$B$4),IF(DATOS!$G941="EX",1,IF(DATOS!$G941="OR",--(COUNTIFS(nNIA,DATOS!$A941,nCURSO,DATOS!$D941,nESPEC,DATOS!$E941,nASIG,DATOS!$I941,nEVAL,"EX")=0),0))))</f>
      </c>
      <c r="H941">
        <f>IF(DATOS!$G941&lt;&gt;"EX",0,--(COUNTIFS(nNIA,DATOS!$A941,nCURSO,DATOS!$D941,nESPEC,DATOS!$E941,nASIG,DATOS!$I941,nEVAL,"OR")=0))</f>
      </c>
      <c r="I941">
        <f>IF(DATOS!$I941="","",IFERROR(VLOOKUP(DATOS!$I941,CONFIG_ASIGNATURAS!$B$2:$J$91,9,FALSE()),""))</f>
      </c>
    </row>
    <row r="942">
      <c r="F942">
        <f>IF(DATOS!$A942="","",DATOS!$A942&amp;"|"&amp;DATOS!$D942&amp;"|"&amp;DATOS!$E942&amp;"|"&amp;DATOS!$I942)</f>
      </c>
      <c r="G942">
        <f>IF(DATOS!$A942="",0,IF(CONFIG_METADATA!$B$4&lt;&gt;"OR+EX",--(DATOS!$G942=CONFIG_METADATA!$B$4),IF(DATOS!$G942="EX",1,IF(DATOS!$G942="OR",--(COUNTIFS(nNIA,DATOS!$A942,nCURSO,DATOS!$D942,nESPEC,DATOS!$E942,nASIG,DATOS!$I942,nEVAL,"EX")=0),0))))</f>
      </c>
      <c r="H942">
        <f>IF(DATOS!$G942&lt;&gt;"EX",0,--(COUNTIFS(nNIA,DATOS!$A942,nCURSO,DATOS!$D942,nESPEC,DATOS!$E942,nASIG,DATOS!$I942,nEVAL,"OR")=0))</f>
      </c>
      <c r="I942">
        <f>IF(DATOS!$I942="","",IFERROR(VLOOKUP(DATOS!$I942,CONFIG_ASIGNATURAS!$B$2:$J$91,9,FALSE()),""))</f>
      </c>
    </row>
    <row r="943">
      <c r="F943">
        <f>IF(DATOS!$A943="","",DATOS!$A943&amp;"|"&amp;DATOS!$D943&amp;"|"&amp;DATOS!$E943&amp;"|"&amp;DATOS!$I943)</f>
      </c>
      <c r="G943">
        <f>IF(DATOS!$A943="",0,IF(CONFIG_METADATA!$B$4&lt;&gt;"OR+EX",--(DATOS!$G943=CONFIG_METADATA!$B$4),IF(DATOS!$G943="EX",1,IF(DATOS!$G943="OR",--(COUNTIFS(nNIA,DATOS!$A943,nCURSO,DATOS!$D943,nESPEC,DATOS!$E943,nASIG,DATOS!$I943,nEVAL,"EX")=0),0))))</f>
      </c>
      <c r="H943">
        <f>IF(DATOS!$G943&lt;&gt;"EX",0,--(COUNTIFS(nNIA,DATOS!$A943,nCURSO,DATOS!$D943,nESPEC,DATOS!$E943,nASIG,DATOS!$I943,nEVAL,"OR")=0))</f>
      </c>
      <c r="I943">
        <f>IF(DATOS!$I943="","",IFERROR(VLOOKUP(DATOS!$I943,CONFIG_ASIGNATURAS!$B$2:$J$91,9,FALSE()),""))</f>
      </c>
    </row>
    <row r="944">
      <c r="F944">
        <f>IF(DATOS!$A944="","",DATOS!$A944&amp;"|"&amp;DATOS!$D944&amp;"|"&amp;DATOS!$E944&amp;"|"&amp;DATOS!$I944)</f>
      </c>
      <c r="G944">
        <f>IF(DATOS!$A944="",0,IF(CONFIG_METADATA!$B$4&lt;&gt;"OR+EX",--(DATOS!$G944=CONFIG_METADATA!$B$4),IF(DATOS!$G944="EX",1,IF(DATOS!$G944="OR",--(COUNTIFS(nNIA,DATOS!$A944,nCURSO,DATOS!$D944,nESPEC,DATOS!$E944,nASIG,DATOS!$I944,nEVAL,"EX")=0),0))))</f>
      </c>
      <c r="H944">
        <f>IF(DATOS!$G944&lt;&gt;"EX",0,--(COUNTIFS(nNIA,DATOS!$A944,nCURSO,DATOS!$D944,nESPEC,DATOS!$E944,nASIG,DATOS!$I944,nEVAL,"OR")=0))</f>
      </c>
      <c r="I944">
        <f>IF(DATOS!$I944="","",IFERROR(VLOOKUP(DATOS!$I944,CONFIG_ASIGNATURAS!$B$2:$J$91,9,FALSE()),""))</f>
      </c>
    </row>
    <row r="945">
      <c r="F945">
        <f>IF(DATOS!$A945="","",DATOS!$A945&amp;"|"&amp;DATOS!$D945&amp;"|"&amp;DATOS!$E945&amp;"|"&amp;DATOS!$I945)</f>
      </c>
      <c r="G945">
        <f>IF(DATOS!$A945="",0,IF(CONFIG_METADATA!$B$4&lt;&gt;"OR+EX",--(DATOS!$G945=CONFIG_METADATA!$B$4),IF(DATOS!$G945="EX",1,IF(DATOS!$G945="OR",--(COUNTIFS(nNIA,DATOS!$A945,nCURSO,DATOS!$D945,nESPEC,DATOS!$E945,nASIG,DATOS!$I945,nEVAL,"EX")=0),0))))</f>
      </c>
      <c r="H945">
        <f>IF(DATOS!$G945&lt;&gt;"EX",0,--(COUNTIFS(nNIA,DATOS!$A945,nCURSO,DATOS!$D945,nESPEC,DATOS!$E945,nASIG,DATOS!$I945,nEVAL,"OR")=0))</f>
      </c>
      <c r="I945">
        <f>IF(DATOS!$I945="","",IFERROR(VLOOKUP(DATOS!$I945,CONFIG_ASIGNATURAS!$B$2:$J$91,9,FALSE()),""))</f>
      </c>
    </row>
    <row r="946">
      <c r="F946">
        <f>IF(DATOS!$A946="","",DATOS!$A946&amp;"|"&amp;DATOS!$D946&amp;"|"&amp;DATOS!$E946&amp;"|"&amp;DATOS!$I946)</f>
      </c>
      <c r="G946">
        <f>IF(DATOS!$A946="",0,IF(CONFIG_METADATA!$B$4&lt;&gt;"OR+EX",--(DATOS!$G946=CONFIG_METADATA!$B$4),IF(DATOS!$G946="EX",1,IF(DATOS!$G946="OR",--(COUNTIFS(nNIA,DATOS!$A946,nCURSO,DATOS!$D946,nESPEC,DATOS!$E946,nASIG,DATOS!$I946,nEVAL,"EX")=0),0))))</f>
      </c>
      <c r="H946">
        <f>IF(DATOS!$G946&lt;&gt;"EX",0,--(COUNTIFS(nNIA,DATOS!$A946,nCURSO,DATOS!$D946,nESPEC,DATOS!$E946,nASIG,DATOS!$I946,nEVAL,"OR")=0))</f>
      </c>
      <c r="I946">
        <f>IF(DATOS!$I946="","",IFERROR(VLOOKUP(DATOS!$I946,CONFIG_ASIGNATURAS!$B$2:$J$91,9,FALSE()),""))</f>
      </c>
    </row>
    <row r="947">
      <c r="F947">
        <f>IF(DATOS!$A947="","",DATOS!$A947&amp;"|"&amp;DATOS!$D947&amp;"|"&amp;DATOS!$E947&amp;"|"&amp;DATOS!$I947)</f>
      </c>
      <c r="G947">
        <f>IF(DATOS!$A947="",0,IF(CONFIG_METADATA!$B$4&lt;&gt;"OR+EX",--(DATOS!$G947=CONFIG_METADATA!$B$4),IF(DATOS!$G947="EX",1,IF(DATOS!$G947="OR",--(COUNTIFS(nNIA,DATOS!$A947,nCURSO,DATOS!$D947,nESPEC,DATOS!$E947,nASIG,DATOS!$I947,nEVAL,"EX")=0),0))))</f>
      </c>
      <c r="H947">
        <f>IF(DATOS!$G947&lt;&gt;"EX",0,--(COUNTIFS(nNIA,DATOS!$A947,nCURSO,DATOS!$D947,nESPEC,DATOS!$E947,nASIG,DATOS!$I947,nEVAL,"OR")=0))</f>
      </c>
      <c r="I947">
        <f>IF(DATOS!$I947="","",IFERROR(VLOOKUP(DATOS!$I947,CONFIG_ASIGNATURAS!$B$2:$J$91,9,FALSE()),""))</f>
      </c>
    </row>
    <row r="948">
      <c r="F948">
        <f>IF(DATOS!$A948="","",DATOS!$A948&amp;"|"&amp;DATOS!$D948&amp;"|"&amp;DATOS!$E948&amp;"|"&amp;DATOS!$I948)</f>
      </c>
      <c r="G948">
        <f>IF(DATOS!$A948="",0,IF(CONFIG_METADATA!$B$4&lt;&gt;"OR+EX",--(DATOS!$G948=CONFIG_METADATA!$B$4),IF(DATOS!$G948="EX",1,IF(DATOS!$G948="OR",--(COUNTIFS(nNIA,DATOS!$A948,nCURSO,DATOS!$D948,nESPEC,DATOS!$E948,nASIG,DATOS!$I948,nEVAL,"EX")=0),0))))</f>
      </c>
      <c r="H948">
        <f>IF(DATOS!$G948&lt;&gt;"EX",0,--(COUNTIFS(nNIA,DATOS!$A948,nCURSO,DATOS!$D948,nESPEC,DATOS!$E948,nASIG,DATOS!$I948,nEVAL,"OR")=0))</f>
      </c>
      <c r="I948">
        <f>IF(DATOS!$I948="","",IFERROR(VLOOKUP(DATOS!$I948,CONFIG_ASIGNATURAS!$B$2:$J$91,9,FALSE()),""))</f>
      </c>
    </row>
    <row r="949">
      <c r="F949">
        <f>IF(DATOS!$A949="","",DATOS!$A949&amp;"|"&amp;DATOS!$D949&amp;"|"&amp;DATOS!$E949&amp;"|"&amp;DATOS!$I949)</f>
      </c>
      <c r="G949">
        <f>IF(DATOS!$A949="",0,IF(CONFIG_METADATA!$B$4&lt;&gt;"OR+EX",--(DATOS!$G949=CONFIG_METADATA!$B$4),IF(DATOS!$G949="EX",1,IF(DATOS!$G949="OR",--(COUNTIFS(nNIA,DATOS!$A949,nCURSO,DATOS!$D949,nESPEC,DATOS!$E949,nASIG,DATOS!$I949,nEVAL,"EX")=0),0))))</f>
      </c>
      <c r="H949">
        <f>IF(DATOS!$G949&lt;&gt;"EX",0,--(COUNTIFS(nNIA,DATOS!$A949,nCURSO,DATOS!$D949,nESPEC,DATOS!$E949,nASIG,DATOS!$I949,nEVAL,"OR")=0))</f>
      </c>
      <c r="I949">
        <f>IF(DATOS!$I949="","",IFERROR(VLOOKUP(DATOS!$I949,CONFIG_ASIGNATURAS!$B$2:$J$91,9,FALSE()),""))</f>
      </c>
    </row>
    <row r="950">
      <c r="F950">
        <f>IF(DATOS!$A950="","",DATOS!$A950&amp;"|"&amp;DATOS!$D950&amp;"|"&amp;DATOS!$E950&amp;"|"&amp;DATOS!$I950)</f>
      </c>
      <c r="G950">
        <f>IF(DATOS!$A950="",0,IF(CONFIG_METADATA!$B$4&lt;&gt;"OR+EX",--(DATOS!$G950=CONFIG_METADATA!$B$4),IF(DATOS!$G950="EX",1,IF(DATOS!$G950="OR",--(COUNTIFS(nNIA,DATOS!$A950,nCURSO,DATOS!$D950,nESPEC,DATOS!$E950,nASIG,DATOS!$I950,nEVAL,"EX")=0),0))))</f>
      </c>
      <c r="H950">
        <f>IF(DATOS!$G950&lt;&gt;"EX",0,--(COUNTIFS(nNIA,DATOS!$A950,nCURSO,DATOS!$D950,nESPEC,DATOS!$E950,nASIG,DATOS!$I950,nEVAL,"OR")=0))</f>
      </c>
      <c r="I950">
        <f>IF(DATOS!$I950="","",IFERROR(VLOOKUP(DATOS!$I950,CONFIG_ASIGNATURAS!$B$2:$J$91,9,FALSE()),""))</f>
      </c>
    </row>
    <row r="951">
      <c r="F951">
        <f>IF(DATOS!$A951="","",DATOS!$A951&amp;"|"&amp;DATOS!$D951&amp;"|"&amp;DATOS!$E951&amp;"|"&amp;DATOS!$I951)</f>
      </c>
      <c r="G951">
        <f>IF(DATOS!$A951="",0,IF(CONFIG_METADATA!$B$4&lt;&gt;"OR+EX",--(DATOS!$G951=CONFIG_METADATA!$B$4),IF(DATOS!$G951="EX",1,IF(DATOS!$G951="OR",--(COUNTIFS(nNIA,DATOS!$A951,nCURSO,DATOS!$D951,nESPEC,DATOS!$E951,nASIG,DATOS!$I951,nEVAL,"EX")=0),0))))</f>
      </c>
      <c r="H951">
        <f>IF(DATOS!$G951&lt;&gt;"EX",0,--(COUNTIFS(nNIA,DATOS!$A951,nCURSO,DATOS!$D951,nESPEC,DATOS!$E951,nASIG,DATOS!$I951,nEVAL,"OR")=0))</f>
      </c>
      <c r="I951">
        <f>IF(DATOS!$I951="","",IFERROR(VLOOKUP(DATOS!$I951,CONFIG_ASIGNATURAS!$B$2:$J$91,9,FALSE()),""))</f>
      </c>
    </row>
    <row r="952">
      <c r="F952">
        <f>IF(DATOS!$A952="","",DATOS!$A952&amp;"|"&amp;DATOS!$D952&amp;"|"&amp;DATOS!$E952&amp;"|"&amp;DATOS!$I952)</f>
      </c>
      <c r="G952">
        <f>IF(DATOS!$A952="",0,IF(CONFIG_METADATA!$B$4&lt;&gt;"OR+EX",--(DATOS!$G952=CONFIG_METADATA!$B$4),IF(DATOS!$G952="EX",1,IF(DATOS!$G952="OR",--(COUNTIFS(nNIA,DATOS!$A952,nCURSO,DATOS!$D952,nESPEC,DATOS!$E952,nASIG,DATOS!$I952,nEVAL,"EX")=0),0))))</f>
      </c>
      <c r="H952">
        <f>IF(DATOS!$G952&lt;&gt;"EX",0,--(COUNTIFS(nNIA,DATOS!$A952,nCURSO,DATOS!$D952,nESPEC,DATOS!$E952,nASIG,DATOS!$I952,nEVAL,"OR")=0))</f>
      </c>
      <c r="I952">
        <f>IF(DATOS!$I952="","",IFERROR(VLOOKUP(DATOS!$I952,CONFIG_ASIGNATURAS!$B$2:$J$91,9,FALSE()),""))</f>
      </c>
    </row>
    <row r="953">
      <c r="F953">
        <f>IF(DATOS!$A953="","",DATOS!$A953&amp;"|"&amp;DATOS!$D953&amp;"|"&amp;DATOS!$E953&amp;"|"&amp;DATOS!$I953)</f>
      </c>
      <c r="G953">
        <f>IF(DATOS!$A953="",0,IF(CONFIG_METADATA!$B$4&lt;&gt;"OR+EX",--(DATOS!$G953=CONFIG_METADATA!$B$4),IF(DATOS!$G953="EX",1,IF(DATOS!$G953="OR",--(COUNTIFS(nNIA,DATOS!$A953,nCURSO,DATOS!$D953,nESPEC,DATOS!$E953,nASIG,DATOS!$I953,nEVAL,"EX")=0),0))))</f>
      </c>
      <c r="H953">
        <f>IF(DATOS!$G953&lt;&gt;"EX",0,--(COUNTIFS(nNIA,DATOS!$A953,nCURSO,DATOS!$D953,nESPEC,DATOS!$E953,nASIG,DATOS!$I953,nEVAL,"OR")=0))</f>
      </c>
      <c r="I953">
        <f>IF(DATOS!$I953="","",IFERROR(VLOOKUP(DATOS!$I953,CONFIG_ASIGNATURAS!$B$2:$J$91,9,FALSE()),""))</f>
      </c>
    </row>
    <row r="954">
      <c r="F954">
        <f>IF(DATOS!$A954="","",DATOS!$A954&amp;"|"&amp;DATOS!$D954&amp;"|"&amp;DATOS!$E954&amp;"|"&amp;DATOS!$I954)</f>
      </c>
      <c r="G954">
        <f>IF(DATOS!$A954="",0,IF(CONFIG_METADATA!$B$4&lt;&gt;"OR+EX",--(DATOS!$G954=CONFIG_METADATA!$B$4),IF(DATOS!$G954="EX",1,IF(DATOS!$G954="OR",--(COUNTIFS(nNIA,DATOS!$A954,nCURSO,DATOS!$D954,nESPEC,DATOS!$E954,nASIG,DATOS!$I954,nEVAL,"EX")=0),0))))</f>
      </c>
      <c r="H954">
        <f>IF(DATOS!$G954&lt;&gt;"EX",0,--(COUNTIFS(nNIA,DATOS!$A954,nCURSO,DATOS!$D954,nESPEC,DATOS!$E954,nASIG,DATOS!$I954,nEVAL,"OR")=0))</f>
      </c>
      <c r="I954">
        <f>IF(DATOS!$I954="","",IFERROR(VLOOKUP(DATOS!$I954,CONFIG_ASIGNATURAS!$B$2:$J$91,9,FALSE()),""))</f>
      </c>
    </row>
    <row r="955">
      <c r="F955">
        <f>IF(DATOS!$A955="","",DATOS!$A955&amp;"|"&amp;DATOS!$D955&amp;"|"&amp;DATOS!$E955&amp;"|"&amp;DATOS!$I955)</f>
      </c>
      <c r="G955">
        <f>IF(DATOS!$A955="",0,IF(CONFIG_METADATA!$B$4&lt;&gt;"OR+EX",--(DATOS!$G955=CONFIG_METADATA!$B$4),IF(DATOS!$G955="EX",1,IF(DATOS!$G955="OR",--(COUNTIFS(nNIA,DATOS!$A955,nCURSO,DATOS!$D955,nESPEC,DATOS!$E955,nASIG,DATOS!$I955,nEVAL,"EX")=0),0))))</f>
      </c>
      <c r="H955">
        <f>IF(DATOS!$G955&lt;&gt;"EX",0,--(COUNTIFS(nNIA,DATOS!$A955,nCURSO,DATOS!$D955,nESPEC,DATOS!$E955,nASIG,DATOS!$I955,nEVAL,"OR")=0))</f>
      </c>
      <c r="I955">
        <f>IF(DATOS!$I955="","",IFERROR(VLOOKUP(DATOS!$I955,CONFIG_ASIGNATURAS!$B$2:$J$91,9,FALSE()),""))</f>
      </c>
    </row>
    <row r="956">
      <c r="F956">
        <f>IF(DATOS!$A956="","",DATOS!$A956&amp;"|"&amp;DATOS!$D956&amp;"|"&amp;DATOS!$E956&amp;"|"&amp;DATOS!$I956)</f>
      </c>
      <c r="G956">
        <f>IF(DATOS!$A956="",0,IF(CONFIG_METADATA!$B$4&lt;&gt;"OR+EX",--(DATOS!$G956=CONFIG_METADATA!$B$4),IF(DATOS!$G956="EX",1,IF(DATOS!$G956="OR",--(COUNTIFS(nNIA,DATOS!$A956,nCURSO,DATOS!$D956,nESPEC,DATOS!$E956,nASIG,DATOS!$I956,nEVAL,"EX")=0),0))))</f>
      </c>
      <c r="H956">
        <f>IF(DATOS!$G956&lt;&gt;"EX",0,--(COUNTIFS(nNIA,DATOS!$A956,nCURSO,DATOS!$D956,nESPEC,DATOS!$E956,nASIG,DATOS!$I956,nEVAL,"OR")=0))</f>
      </c>
      <c r="I956">
        <f>IF(DATOS!$I956="","",IFERROR(VLOOKUP(DATOS!$I956,CONFIG_ASIGNATURAS!$B$2:$J$91,9,FALSE()),""))</f>
      </c>
    </row>
    <row r="957">
      <c r="F957">
        <f>IF(DATOS!$A957="","",DATOS!$A957&amp;"|"&amp;DATOS!$D957&amp;"|"&amp;DATOS!$E957&amp;"|"&amp;DATOS!$I957)</f>
      </c>
      <c r="G957">
        <f>IF(DATOS!$A957="",0,IF(CONFIG_METADATA!$B$4&lt;&gt;"OR+EX",--(DATOS!$G957=CONFIG_METADATA!$B$4),IF(DATOS!$G957="EX",1,IF(DATOS!$G957="OR",--(COUNTIFS(nNIA,DATOS!$A957,nCURSO,DATOS!$D957,nESPEC,DATOS!$E957,nASIG,DATOS!$I957,nEVAL,"EX")=0),0))))</f>
      </c>
      <c r="H957">
        <f>IF(DATOS!$G957&lt;&gt;"EX",0,--(COUNTIFS(nNIA,DATOS!$A957,nCURSO,DATOS!$D957,nESPEC,DATOS!$E957,nASIG,DATOS!$I957,nEVAL,"OR")=0))</f>
      </c>
      <c r="I957">
        <f>IF(DATOS!$I957="","",IFERROR(VLOOKUP(DATOS!$I957,CONFIG_ASIGNATURAS!$B$2:$J$91,9,FALSE()),""))</f>
      </c>
    </row>
    <row r="958">
      <c r="F958">
        <f>IF(DATOS!$A958="","",DATOS!$A958&amp;"|"&amp;DATOS!$D958&amp;"|"&amp;DATOS!$E958&amp;"|"&amp;DATOS!$I958)</f>
      </c>
      <c r="G958">
        <f>IF(DATOS!$A958="",0,IF(CONFIG_METADATA!$B$4&lt;&gt;"OR+EX",--(DATOS!$G958=CONFIG_METADATA!$B$4),IF(DATOS!$G958="EX",1,IF(DATOS!$G958="OR",--(COUNTIFS(nNIA,DATOS!$A958,nCURSO,DATOS!$D958,nESPEC,DATOS!$E958,nASIG,DATOS!$I958,nEVAL,"EX")=0),0))))</f>
      </c>
      <c r="H958">
        <f>IF(DATOS!$G958&lt;&gt;"EX",0,--(COUNTIFS(nNIA,DATOS!$A958,nCURSO,DATOS!$D958,nESPEC,DATOS!$E958,nASIG,DATOS!$I958,nEVAL,"OR")=0))</f>
      </c>
      <c r="I958">
        <f>IF(DATOS!$I958="","",IFERROR(VLOOKUP(DATOS!$I958,CONFIG_ASIGNATURAS!$B$2:$J$91,9,FALSE()),""))</f>
      </c>
    </row>
    <row r="959">
      <c r="F959">
        <f>IF(DATOS!$A959="","",DATOS!$A959&amp;"|"&amp;DATOS!$D959&amp;"|"&amp;DATOS!$E959&amp;"|"&amp;DATOS!$I959)</f>
      </c>
      <c r="G959">
        <f>IF(DATOS!$A959="",0,IF(CONFIG_METADATA!$B$4&lt;&gt;"OR+EX",--(DATOS!$G959=CONFIG_METADATA!$B$4),IF(DATOS!$G959="EX",1,IF(DATOS!$G959="OR",--(COUNTIFS(nNIA,DATOS!$A959,nCURSO,DATOS!$D959,nESPEC,DATOS!$E959,nASIG,DATOS!$I959,nEVAL,"EX")=0),0))))</f>
      </c>
      <c r="H959">
        <f>IF(DATOS!$G959&lt;&gt;"EX",0,--(COUNTIFS(nNIA,DATOS!$A959,nCURSO,DATOS!$D959,nESPEC,DATOS!$E959,nASIG,DATOS!$I959,nEVAL,"OR")=0))</f>
      </c>
      <c r="I959">
        <f>IF(DATOS!$I959="","",IFERROR(VLOOKUP(DATOS!$I959,CONFIG_ASIGNATURAS!$B$2:$J$91,9,FALSE()),""))</f>
      </c>
    </row>
    <row r="960">
      <c r="F960">
        <f>IF(DATOS!$A960="","",DATOS!$A960&amp;"|"&amp;DATOS!$D960&amp;"|"&amp;DATOS!$E960&amp;"|"&amp;DATOS!$I960)</f>
      </c>
      <c r="G960">
        <f>IF(DATOS!$A960="",0,IF(CONFIG_METADATA!$B$4&lt;&gt;"OR+EX",--(DATOS!$G960=CONFIG_METADATA!$B$4),IF(DATOS!$G960="EX",1,IF(DATOS!$G960="OR",--(COUNTIFS(nNIA,DATOS!$A960,nCURSO,DATOS!$D960,nESPEC,DATOS!$E960,nASIG,DATOS!$I960,nEVAL,"EX")=0),0))))</f>
      </c>
      <c r="H960">
        <f>IF(DATOS!$G960&lt;&gt;"EX",0,--(COUNTIFS(nNIA,DATOS!$A960,nCURSO,DATOS!$D960,nESPEC,DATOS!$E960,nASIG,DATOS!$I960,nEVAL,"OR")=0))</f>
      </c>
      <c r="I960">
        <f>IF(DATOS!$I960="","",IFERROR(VLOOKUP(DATOS!$I960,CONFIG_ASIGNATURAS!$B$2:$J$91,9,FALSE()),""))</f>
      </c>
    </row>
    <row r="961">
      <c r="F961">
        <f>IF(DATOS!$A961="","",DATOS!$A961&amp;"|"&amp;DATOS!$D961&amp;"|"&amp;DATOS!$E961&amp;"|"&amp;DATOS!$I961)</f>
      </c>
      <c r="G961">
        <f>IF(DATOS!$A961="",0,IF(CONFIG_METADATA!$B$4&lt;&gt;"OR+EX",--(DATOS!$G961=CONFIG_METADATA!$B$4),IF(DATOS!$G961="EX",1,IF(DATOS!$G961="OR",--(COUNTIFS(nNIA,DATOS!$A961,nCURSO,DATOS!$D961,nESPEC,DATOS!$E961,nASIG,DATOS!$I961,nEVAL,"EX")=0),0))))</f>
      </c>
      <c r="H961">
        <f>IF(DATOS!$G961&lt;&gt;"EX",0,--(COUNTIFS(nNIA,DATOS!$A961,nCURSO,DATOS!$D961,nESPEC,DATOS!$E961,nASIG,DATOS!$I961,nEVAL,"OR")=0))</f>
      </c>
      <c r="I961">
        <f>IF(DATOS!$I961="","",IFERROR(VLOOKUP(DATOS!$I961,CONFIG_ASIGNATURAS!$B$2:$J$91,9,FALSE()),""))</f>
      </c>
    </row>
    <row r="962">
      <c r="F962">
        <f>IF(DATOS!$A962="","",DATOS!$A962&amp;"|"&amp;DATOS!$D962&amp;"|"&amp;DATOS!$E962&amp;"|"&amp;DATOS!$I962)</f>
      </c>
      <c r="G962">
        <f>IF(DATOS!$A962="",0,IF(CONFIG_METADATA!$B$4&lt;&gt;"OR+EX",--(DATOS!$G962=CONFIG_METADATA!$B$4),IF(DATOS!$G962="EX",1,IF(DATOS!$G962="OR",--(COUNTIFS(nNIA,DATOS!$A962,nCURSO,DATOS!$D962,nESPEC,DATOS!$E962,nASIG,DATOS!$I962,nEVAL,"EX")=0),0))))</f>
      </c>
      <c r="H962">
        <f>IF(DATOS!$G962&lt;&gt;"EX",0,--(COUNTIFS(nNIA,DATOS!$A962,nCURSO,DATOS!$D962,nESPEC,DATOS!$E962,nASIG,DATOS!$I962,nEVAL,"OR")=0))</f>
      </c>
      <c r="I962">
        <f>IF(DATOS!$I962="","",IFERROR(VLOOKUP(DATOS!$I962,CONFIG_ASIGNATURAS!$B$2:$J$91,9,FALSE()),""))</f>
      </c>
    </row>
    <row r="963">
      <c r="F963">
        <f>IF(DATOS!$A963="","",DATOS!$A963&amp;"|"&amp;DATOS!$D963&amp;"|"&amp;DATOS!$E963&amp;"|"&amp;DATOS!$I963)</f>
      </c>
      <c r="G963">
        <f>IF(DATOS!$A963="",0,IF(CONFIG_METADATA!$B$4&lt;&gt;"OR+EX",--(DATOS!$G963=CONFIG_METADATA!$B$4),IF(DATOS!$G963="EX",1,IF(DATOS!$G963="OR",--(COUNTIFS(nNIA,DATOS!$A963,nCURSO,DATOS!$D963,nESPEC,DATOS!$E963,nASIG,DATOS!$I963,nEVAL,"EX")=0),0))))</f>
      </c>
      <c r="H963">
        <f>IF(DATOS!$G963&lt;&gt;"EX",0,--(COUNTIFS(nNIA,DATOS!$A963,nCURSO,DATOS!$D963,nESPEC,DATOS!$E963,nASIG,DATOS!$I963,nEVAL,"OR")=0))</f>
      </c>
      <c r="I963">
        <f>IF(DATOS!$I963="","",IFERROR(VLOOKUP(DATOS!$I963,CONFIG_ASIGNATURAS!$B$2:$J$91,9,FALSE()),""))</f>
      </c>
    </row>
    <row r="964">
      <c r="F964">
        <f>IF(DATOS!$A964="","",DATOS!$A964&amp;"|"&amp;DATOS!$D964&amp;"|"&amp;DATOS!$E964&amp;"|"&amp;DATOS!$I964)</f>
      </c>
      <c r="G964">
        <f>IF(DATOS!$A964="",0,IF(CONFIG_METADATA!$B$4&lt;&gt;"OR+EX",--(DATOS!$G964=CONFIG_METADATA!$B$4),IF(DATOS!$G964="EX",1,IF(DATOS!$G964="OR",--(COUNTIFS(nNIA,DATOS!$A964,nCURSO,DATOS!$D964,nESPEC,DATOS!$E964,nASIG,DATOS!$I964,nEVAL,"EX")=0),0))))</f>
      </c>
      <c r="H964">
        <f>IF(DATOS!$G964&lt;&gt;"EX",0,--(COUNTIFS(nNIA,DATOS!$A964,nCURSO,DATOS!$D964,nESPEC,DATOS!$E964,nASIG,DATOS!$I964,nEVAL,"OR")=0))</f>
      </c>
      <c r="I964">
        <f>IF(DATOS!$I964="","",IFERROR(VLOOKUP(DATOS!$I964,CONFIG_ASIGNATURAS!$B$2:$J$91,9,FALSE()),""))</f>
      </c>
    </row>
    <row r="965">
      <c r="F965">
        <f>IF(DATOS!$A965="","",DATOS!$A965&amp;"|"&amp;DATOS!$D965&amp;"|"&amp;DATOS!$E965&amp;"|"&amp;DATOS!$I965)</f>
      </c>
      <c r="G965">
        <f>IF(DATOS!$A965="",0,IF(CONFIG_METADATA!$B$4&lt;&gt;"OR+EX",--(DATOS!$G965=CONFIG_METADATA!$B$4),IF(DATOS!$G965="EX",1,IF(DATOS!$G965="OR",--(COUNTIFS(nNIA,DATOS!$A965,nCURSO,DATOS!$D965,nESPEC,DATOS!$E965,nASIG,DATOS!$I965,nEVAL,"EX")=0),0))))</f>
      </c>
      <c r="H965">
        <f>IF(DATOS!$G965&lt;&gt;"EX",0,--(COUNTIFS(nNIA,DATOS!$A965,nCURSO,DATOS!$D965,nESPEC,DATOS!$E965,nASIG,DATOS!$I965,nEVAL,"OR")=0))</f>
      </c>
      <c r="I965">
        <f>IF(DATOS!$I965="","",IFERROR(VLOOKUP(DATOS!$I965,CONFIG_ASIGNATURAS!$B$2:$J$91,9,FALSE()),""))</f>
      </c>
    </row>
    <row r="966">
      <c r="F966">
        <f>IF(DATOS!$A966="","",DATOS!$A966&amp;"|"&amp;DATOS!$D966&amp;"|"&amp;DATOS!$E966&amp;"|"&amp;DATOS!$I966)</f>
      </c>
      <c r="G966">
        <f>IF(DATOS!$A966="",0,IF(CONFIG_METADATA!$B$4&lt;&gt;"OR+EX",--(DATOS!$G966=CONFIG_METADATA!$B$4),IF(DATOS!$G966="EX",1,IF(DATOS!$G966="OR",--(COUNTIFS(nNIA,DATOS!$A966,nCURSO,DATOS!$D966,nESPEC,DATOS!$E966,nASIG,DATOS!$I966,nEVAL,"EX")=0),0))))</f>
      </c>
      <c r="H966">
        <f>IF(DATOS!$G966&lt;&gt;"EX",0,--(COUNTIFS(nNIA,DATOS!$A966,nCURSO,DATOS!$D966,nESPEC,DATOS!$E966,nASIG,DATOS!$I966,nEVAL,"OR")=0))</f>
      </c>
      <c r="I966">
        <f>IF(DATOS!$I966="","",IFERROR(VLOOKUP(DATOS!$I966,CONFIG_ASIGNATURAS!$B$2:$J$91,9,FALSE()),""))</f>
      </c>
    </row>
    <row r="967">
      <c r="F967">
        <f>IF(DATOS!$A967="","",DATOS!$A967&amp;"|"&amp;DATOS!$D967&amp;"|"&amp;DATOS!$E967&amp;"|"&amp;DATOS!$I967)</f>
      </c>
      <c r="G967">
        <f>IF(DATOS!$A967="",0,IF(CONFIG_METADATA!$B$4&lt;&gt;"OR+EX",--(DATOS!$G967=CONFIG_METADATA!$B$4),IF(DATOS!$G967="EX",1,IF(DATOS!$G967="OR",--(COUNTIFS(nNIA,DATOS!$A967,nCURSO,DATOS!$D967,nESPEC,DATOS!$E967,nASIG,DATOS!$I967,nEVAL,"EX")=0),0))))</f>
      </c>
      <c r="H967">
        <f>IF(DATOS!$G967&lt;&gt;"EX",0,--(COUNTIFS(nNIA,DATOS!$A967,nCURSO,DATOS!$D967,nESPEC,DATOS!$E967,nASIG,DATOS!$I967,nEVAL,"OR")=0))</f>
      </c>
      <c r="I967">
        <f>IF(DATOS!$I967="","",IFERROR(VLOOKUP(DATOS!$I967,CONFIG_ASIGNATURAS!$B$2:$J$91,9,FALSE()),""))</f>
      </c>
    </row>
    <row r="968">
      <c r="F968">
        <f>IF(DATOS!$A968="","",DATOS!$A968&amp;"|"&amp;DATOS!$D968&amp;"|"&amp;DATOS!$E968&amp;"|"&amp;DATOS!$I968)</f>
      </c>
      <c r="G968">
        <f>IF(DATOS!$A968="",0,IF(CONFIG_METADATA!$B$4&lt;&gt;"OR+EX",--(DATOS!$G968=CONFIG_METADATA!$B$4),IF(DATOS!$G968="EX",1,IF(DATOS!$G968="OR",--(COUNTIFS(nNIA,DATOS!$A968,nCURSO,DATOS!$D968,nESPEC,DATOS!$E968,nASIG,DATOS!$I968,nEVAL,"EX")=0),0))))</f>
      </c>
      <c r="H968">
        <f>IF(DATOS!$G968&lt;&gt;"EX",0,--(COUNTIFS(nNIA,DATOS!$A968,nCURSO,DATOS!$D968,nESPEC,DATOS!$E968,nASIG,DATOS!$I968,nEVAL,"OR")=0))</f>
      </c>
      <c r="I968">
        <f>IF(DATOS!$I968="","",IFERROR(VLOOKUP(DATOS!$I968,CONFIG_ASIGNATURAS!$B$2:$J$91,9,FALSE()),""))</f>
      </c>
    </row>
    <row r="969">
      <c r="F969">
        <f>IF(DATOS!$A969="","",DATOS!$A969&amp;"|"&amp;DATOS!$D969&amp;"|"&amp;DATOS!$E969&amp;"|"&amp;DATOS!$I969)</f>
      </c>
      <c r="G969">
        <f>IF(DATOS!$A969="",0,IF(CONFIG_METADATA!$B$4&lt;&gt;"OR+EX",--(DATOS!$G969=CONFIG_METADATA!$B$4),IF(DATOS!$G969="EX",1,IF(DATOS!$G969="OR",--(COUNTIFS(nNIA,DATOS!$A969,nCURSO,DATOS!$D969,nESPEC,DATOS!$E969,nASIG,DATOS!$I969,nEVAL,"EX")=0),0))))</f>
      </c>
      <c r="H969">
        <f>IF(DATOS!$G969&lt;&gt;"EX",0,--(COUNTIFS(nNIA,DATOS!$A969,nCURSO,DATOS!$D969,nESPEC,DATOS!$E969,nASIG,DATOS!$I969,nEVAL,"OR")=0))</f>
      </c>
      <c r="I969">
        <f>IF(DATOS!$I969="","",IFERROR(VLOOKUP(DATOS!$I969,CONFIG_ASIGNATURAS!$B$2:$J$91,9,FALSE()),""))</f>
      </c>
    </row>
    <row r="970">
      <c r="F970">
        <f>IF(DATOS!$A970="","",DATOS!$A970&amp;"|"&amp;DATOS!$D970&amp;"|"&amp;DATOS!$E970&amp;"|"&amp;DATOS!$I970)</f>
      </c>
      <c r="G970">
        <f>IF(DATOS!$A970="",0,IF(CONFIG_METADATA!$B$4&lt;&gt;"OR+EX",--(DATOS!$G970=CONFIG_METADATA!$B$4),IF(DATOS!$G970="EX",1,IF(DATOS!$G970="OR",--(COUNTIFS(nNIA,DATOS!$A970,nCURSO,DATOS!$D970,nESPEC,DATOS!$E970,nASIG,DATOS!$I970,nEVAL,"EX")=0),0))))</f>
      </c>
      <c r="H970">
        <f>IF(DATOS!$G970&lt;&gt;"EX",0,--(COUNTIFS(nNIA,DATOS!$A970,nCURSO,DATOS!$D970,nESPEC,DATOS!$E970,nASIG,DATOS!$I970,nEVAL,"OR")=0))</f>
      </c>
      <c r="I970">
        <f>IF(DATOS!$I970="","",IFERROR(VLOOKUP(DATOS!$I970,CONFIG_ASIGNATURAS!$B$2:$J$91,9,FALSE()),""))</f>
      </c>
    </row>
    <row r="971">
      <c r="F971">
        <f>IF(DATOS!$A971="","",DATOS!$A971&amp;"|"&amp;DATOS!$D971&amp;"|"&amp;DATOS!$E971&amp;"|"&amp;DATOS!$I971)</f>
      </c>
      <c r="G971">
        <f>IF(DATOS!$A971="",0,IF(CONFIG_METADATA!$B$4&lt;&gt;"OR+EX",--(DATOS!$G971=CONFIG_METADATA!$B$4),IF(DATOS!$G971="EX",1,IF(DATOS!$G971="OR",--(COUNTIFS(nNIA,DATOS!$A971,nCURSO,DATOS!$D971,nESPEC,DATOS!$E971,nASIG,DATOS!$I971,nEVAL,"EX")=0),0))))</f>
      </c>
      <c r="H971">
        <f>IF(DATOS!$G971&lt;&gt;"EX",0,--(COUNTIFS(nNIA,DATOS!$A971,nCURSO,DATOS!$D971,nESPEC,DATOS!$E971,nASIG,DATOS!$I971,nEVAL,"OR")=0))</f>
      </c>
      <c r="I971">
        <f>IF(DATOS!$I971="","",IFERROR(VLOOKUP(DATOS!$I971,CONFIG_ASIGNATURAS!$B$2:$J$91,9,FALSE()),""))</f>
      </c>
    </row>
    <row r="972">
      <c r="F972">
        <f>IF(DATOS!$A972="","",DATOS!$A972&amp;"|"&amp;DATOS!$D972&amp;"|"&amp;DATOS!$E972&amp;"|"&amp;DATOS!$I972)</f>
      </c>
      <c r="G972">
        <f>IF(DATOS!$A972="",0,IF(CONFIG_METADATA!$B$4&lt;&gt;"OR+EX",--(DATOS!$G972=CONFIG_METADATA!$B$4),IF(DATOS!$G972="EX",1,IF(DATOS!$G972="OR",--(COUNTIFS(nNIA,DATOS!$A972,nCURSO,DATOS!$D972,nESPEC,DATOS!$E972,nASIG,DATOS!$I972,nEVAL,"EX")=0),0))))</f>
      </c>
      <c r="H972">
        <f>IF(DATOS!$G972&lt;&gt;"EX",0,--(COUNTIFS(nNIA,DATOS!$A972,nCURSO,DATOS!$D972,nESPEC,DATOS!$E972,nASIG,DATOS!$I972,nEVAL,"OR")=0))</f>
      </c>
      <c r="I972">
        <f>IF(DATOS!$I972="","",IFERROR(VLOOKUP(DATOS!$I972,CONFIG_ASIGNATURAS!$B$2:$J$91,9,FALSE()),""))</f>
      </c>
    </row>
    <row r="973">
      <c r="F973">
        <f>IF(DATOS!$A973="","",DATOS!$A973&amp;"|"&amp;DATOS!$D973&amp;"|"&amp;DATOS!$E973&amp;"|"&amp;DATOS!$I973)</f>
      </c>
      <c r="G973">
        <f>IF(DATOS!$A973="",0,IF(CONFIG_METADATA!$B$4&lt;&gt;"OR+EX",--(DATOS!$G973=CONFIG_METADATA!$B$4),IF(DATOS!$G973="EX",1,IF(DATOS!$G973="OR",--(COUNTIFS(nNIA,DATOS!$A973,nCURSO,DATOS!$D973,nESPEC,DATOS!$E973,nASIG,DATOS!$I973,nEVAL,"EX")=0),0))))</f>
      </c>
      <c r="H973">
        <f>IF(DATOS!$G973&lt;&gt;"EX",0,--(COUNTIFS(nNIA,DATOS!$A973,nCURSO,DATOS!$D973,nESPEC,DATOS!$E973,nASIG,DATOS!$I973,nEVAL,"OR")=0))</f>
      </c>
      <c r="I973">
        <f>IF(DATOS!$I973="","",IFERROR(VLOOKUP(DATOS!$I973,CONFIG_ASIGNATURAS!$B$2:$J$91,9,FALSE()),""))</f>
      </c>
    </row>
    <row r="974">
      <c r="F974">
        <f>IF(DATOS!$A974="","",DATOS!$A974&amp;"|"&amp;DATOS!$D974&amp;"|"&amp;DATOS!$E974&amp;"|"&amp;DATOS!$I974)</f>
      </c>
      <c r="G974">
        <f>IF(DATOS!$A974="",0,IF(CONFIG_METADATA!$B$4&lt;&gt;"OR+EX",--(DATOS!$G974=CONFIG_METADATA!$B$4),IF(DATOS!$G974="EX",1,IF(DATOS!$G974="OR",--(COUNTIFS(nNIA,DATOS!$A974,nCURSO,DATOS!$D974,nESPEC,DATOS!$E974,nASIG,DATOS!$I974,nEVAL,"EX")=0),0))))</f>
      </c>
      <c r="H974">
        <f>IF(DATOS!$G974&lt;&gt;"EX",0,--(COUNTIFS(nNIA,DATOS!$A974,nCURSO,DATOS!$D974,nESPEC,DATOS!$E974,nASIG,DATOS!$I974,nEVAL,"OR")=0))</f>
      </c>
      <c r="I974">
        <f>IF(DATOS!$I974="","",IFERROR(VLOOKUP(DATOS!$I974,CONFIG_ASIGNATURAS!$B$2:$J$91,9,FALSE()),""))</f>
      </c>
    </row>
    <row r="975">
      <c r="F975">
        <f>IF(DATOS!$A975="","",DATOS!$A975&amp;"|"&amp;DATOS!$D975&amp;"|"&amp;DATOS!$E975&amp;"|"&amp;DATOS!$I975)</f>
      </c>
      <c r="G975">
        <f>IF(DATOS!$A975="",0,IF(CONFIG_METADATA!$B$4&lt;&gt;"OR+EX",--(DATOS!$G975=CONFIG_METADATA!$B$4),IF(DATOS!$G975="EX",1,IF(DATOS!$G975="OR",--(COUNTIFS(nNIA,DATOS!$A975,nCURSO,DATOS!$D975,nESPEC,DATOS!$E975,nASIG,DATOS!$I975,nEVAL,"EX")=0),0))))</f>
      </c>
      <c r="H975">
        <f>IF(DATOS!$G975&lt;&gt;"EX",0,--(COUNTIFS(nNIA,DATOS!$A975,nCURSO,DATOS!$D975,nESPEC,DATOS!$E975,nASIG,DATOS!$I975,nEVAL,"OR")=0))</f>
      </c>
      <c r="I975">
        <f>IF(DATOS!$I975="","",IFERROR(VLOOKUP(DATOS!$I975,CONFIG_ASIGNATURAS!$B$2:$J$91,9,FALSE()),""))</f>
      </c>
    </row>
    <row r="976">
      <c r="F976">
        <f>IF(DATOS!$A976="","",DATOS!$A976&amp;"|"&amp;DATOS!$D976&amp;"|"&amp;DATOS!$E976&amp;"|"&amp;DATOS!$I976)</f>
      </c>
      <c r="G976">
        <f>IF(DATOS!$A976="",0,IF(CONFIG_METADATA!$B$4&lt;&gt;"OR+EX",--(DATOS!$G976=CONFIG_METADATA!$B$4),IF(DATOS!$G976="EX",1,IF(DATOS!$G976="OR",--(COUNTIFS(nNIA,DATOS!$A976,nCURSO,DATOS!$D976,nESPEC,DATOS!$E976,nASIG,DATOS!$I976,nEVAL,"EX")=0),0))))</f>
      </c>
      <c r="H976">
        <f>IF(DATOS!$G976&lt;&gt;"EX",0,--(COUNTIFS(nNIA,DATOS!$A976,nCURSO,DATOS!$D976,nESPEC,DATOS!$E976,nASIG,DATOS!$I976,nEVAL,"OR")=0))</f>
      </c>
      <c r="I976">
        <f>IF(DATOS!$I976="","",IFERROR(VLOOKUP(DATOS!$I976,CONFIG_ASIGNATURAS!$B$2:$J$91,9,FALSE()),""))</f>
      </c>
    </row>
    <row r="977">
      <c r="F977">
        <f>IF(DATOS!$A977="","",DATOS!$A977&amp;"|"&amp;DATOS!$D977&amp;"|"&amp;DATOS!$E977&amp;"|"&amp;DATOS!$I977)</f>
      </c>
      <c r="G977">
        <f>IF(DATOS!$A977="",0,IF(CONFIG_METADATA!$B$4&lt;&gt;"OR+EX",--(DATOS!$G977=CONFIG_METADATA!$B$4),IF(DATOS!$G977="EX",1,IF(DATOS!$G977="OR",--(COUNTIFS(nNIA,DATOS!$A977,nCURSO,DATOS!$D977,nESPEC,DATOS!$E977,nASIG,DATOS!$I977,nEVAL,"EX")=0),0))))</f>
      </c>
      <c r="H977">
        <f>IF(DATOS!$G977&lt;&gt;"EX",0,--(COUNTIFS(nNIA,DATOS!$A977,nCURSO,DATOS!$D977,nESPEC,DATOS!$E977,nASIG,DATOS!$I977,nEVAL,"OR")=0))</f>
      </c>
      <c r="I977">
        <f>IF(DATOS!$I977="","",IFERROR(VLOOKUP(DATOS!$I977,CONFIG_ASIGNATURAS!$B$2:$J$91,9,FALSE()),""))</f>
      </c>
    </row>
    <row r="978">
      <c r="F978">
        <f>IF(DATOS!$A978="","",DATOS!$A978&amp;"|"&amp;DATOS!$D978&amp;"|"&amp;DATOS!$E978&amp;"|"&amp;DATOS!$I978)</f>
      </c>
      <c r="G978">
        <f>IF(DATOS!$A978="",0,IF(CONFIG_METADATA!$B$4&lt;&gt;"OR+EX",--(DATOS!$G978=CONFIG_METADATA!$B$4),IF(DATOS!$G978="EX",1,IF(DATOS!$G978="OR",--(COUNTIFS(nNIA,DATOS!$A978,nCURSO,DATOS!$D978,nESPEC,DATOS!$E978,nASIG,DATOS!$I978,nEVAL,"EX")=0),0))))</f>
      </c>
      <c r="H978">
        <f>IF(DATOS!$G978&lt;&gt;"EX",0,--(COUNTIFS(nNIA,DATOS!$A978,nCURSO,DATOS!$D978,nESPEC,DATOS!$E978,nASIG,DATOS!$I978,nEVAL,"OR")=0))</f>
      </c>
      <c r="I978">
        <f>IF(DATOS!$I978="","",IFERROR(VLOOKUP(DATOS!$I978,CONFIG_ASIGNATURAS!$B$2:$J$91,9,FALSE()),""))</f>
      </c>
    </row>
    <row r="979">
      <c r="F979">
        <f>IF(DATOS!$A979="","",DATOS!$A979&amp;"|"&amp;DATOS!$D979&amp;"|"&amp;DATOS!$E979&amp;"|"&amp;DATOS!$I979)</f>
      </c>
      <c r="G979">
        <f>IF(DATOS!$A979="",0,IF(CONFIG_METADATA!$B$4&lt;&gt;"OR+EX",--(DATOS!$G979=CONFIG_METADATA!$B$4),IF(DATOS!$G979="EX",1,IF(DATOS!$G979="OR",--(COUNTIFS(nNIA,DATOS!$A979,nCURSO,DATOS!$D979,nESPEC,DATOS!$E979,nASIG,DATOS!$I979,nEVAL,"EX")=0),0))))</f>
      </c>
      <c r="H979">
        <f>IF(DATOS!$G979&lt;&gt;"EX",0,--(COUNTIFS(nNIA,DATOS!$A979,nCURSO,DATOS!$D979,nESPEC,DATOS!$E979,nASIG,DATOS!$I979,nEVAL,"OR")=0))</f>
      </c>
      <c r="I979">
        <f>IF(DATOS!$I979="","",IFERROR(VLOOKUP(DATOS!$I979,CONFIG_ASIGNATURAS!$B$2:$J$91,9,FALSE()),""))</f>
      </c>
    </row>
    <row r="980">
      <c r="F980">
        <f>IF(DATOS!$A980="","",DATOS!$A980&amp;"|"&amp;DATOS!$D980&amp;"|"&amp;DATOS!$E980&amp;"|"&amp;DATOS!$I980)</f>
      </c>
      <c r="G980">
        <f>IF(DATOS!$A980="",0,IF(CONFIG_METADATA!$B$4&lt;&gt;"OR+EX",--(DATOS!$G980=CONFIG_METADATA!$B$4),IF(DATOS!$G980="EX",1,IF(DATOS!$G980="OR",--(COUNTIFS(nNIA,DATOS!$A980,nCURSO,DATOS!$D980,nESPEC,DATOS!$E980,nASIG,DATOS!$I980,nEVAL,"EX")=0),0))))</f>
      </c>
      <c r="H980">
        <f>IF(DATOS!$G980&lt;&gt;"EX",0,--(COUNTIFS(nNIA,DATOS!$A980,nCURSO,DATOS!$D980,nESPEC,DATOS!$E980,nASIG,DATOS!$I980,nEVAL,"OR")=0))</f>
      </c>
      <c r="I980">
        <f>IF(DATOS!$I980="","",IFERROR(VLOOKUP(DATOS!$I980,CONFIG_ASIGNATURAS!$B$2:$J$91,9,FALSE()),""))</f>
      </c>
    </row>
    <row r="981">
      <c r="F981">
        <f>IF(DATOS!$A981="","",DATOS!$A981&amp;"|"&amp;DATOS!$D981&amp;"|"&amp;DATOS!$E981&amp;"|"&amp;DATOS!$I981)</f>
      </c>
      <c r="G981">
        <f>IF(DATOS!$A981="",0,IF(CONFIG_METADATA!$B$4&lt;&gt;"OR+EX",--(DATOS!$G981=CONFIG_METADATA!$B$4),IF(DATOS!$G981="EX",1,IF(DATOS!$G981="OR",--(COUNTIFS(nNIA,DATOS!$A981,nCURSO,DATOS!$D981,nESPEC,DATOS!$E981,nASIG,DATOS!$I981,nEVAL,"EX")=0),0))))</f>
      </c>
      <c r="H981">
        <f>IF(DATOS!$G981&lt;&gt;"EX",0,--(COUNTIFS(nNIA,DATOS!$A981,nCURSO,DATOS!$D981,nESPEC,DATOS!$E981,nASIG,DATOS!$I981,nEVAL,"OR")=0))</f>
      </c>
      <c r="I981">
        <f>IF(DATOS!$I981="","",IFERROR(VLOOKUP(DATOS!$I981,CONFIG_ASIGNATURAS!$B$2:$J$91,9,FALSE()),""))</f>
      </c>
    </row>
    <row r="982">
      <c r="F982">
        <f>IF(DATOS!$A982="","",DATOS!$A982&amp;"|"&amp;DATOS!$D982&amp;"|"&amp;DATOS!$E982&amp;"|"&amp;DATOS!$I982)</f>
      </c>
      <c r="G982">
        <f>IF(DATOS!$A982="",0,IF(CONFIG_METADATA!$B$4&lt;&gt;"OR+EX",--(DATOS!$G982=CONFIG_METADATA!$B$4),IF(DATOS!$G982="EX",1,IF(DATOS!$G982="OR",--(COUNTIFS(nNIA,DATOS!$A982,nCURSO,DATOS!$D982,nESPEC,DATOS!$E982,nASIG,DATOS!$I982,nEVAL,"EX")=0),0))))</f>
      </c>
      <c r="H982">
        <f>IF(DATOS!$G982&lt;&gt;"EX",0,--(COUNTIFS(nNIA,DATOS!$A982,nCURSO,DATOS!$D982,nESPEC,DATOS!$E982,nASIG,DATOS!$I982,nEVAL,"OR")=0))</f>
      </c>
      <c r="I982">
        <f>IF(DATOS!$I982="","",IFERROR(VLOOKUP(DATOS!$I982,CONFIG_ASIGNATURAS!$B$2:$J$91,9,FALSE()),""))</f>
      </c>
    </row>
    <row r="983">
      <c r="F983">
        <f>IF(DATOS!$A983="","",DATOS!$A983&amp;"|"&amp;DATOS!$D983&amp;"|"&amp;DATOS!$E983&amp;"|"&amp;DATOS!$I983)</f>
      </c>
      <c r="G983">
        <f>IF(DATOS!$A983="",0,IF(CONFIG_METADATA!$B$4&lt;&gt;"OR+EX",--(DATOS!$G983=CONFIG_METADATA!$B$4),IF(DATOS!$G983="EX",1,IF(DATOS!$G983="OR",--(COUNTIFS(nNIA,DATOS!$A983,nCURSO,DATOS!$D983,nESPEC,DATOS!$E983,nASIG,DATOS!$I983,nEVAL,"EX")=0),0))))</f>
      </c>
      <c r="H983">
        <f>IF(DATOS!$G983&lt;&gt;"EX",0,--(COUNTIFS(nNIA,DATOS!$A983,nCURSO,DATOS!$D983,nESPEC,DATOS!$E983,nASIG,DATOS!$I983,nEVAL,"OR")=0))</f>
      </c>
      <c r="I983">
        <f>IF(DATOS!$I983="","",IFERROR(VLOOKUP(DATOS!$I983,CONFIG_ASIGNATURAS!$B$2:$J$91,9,FALSE()),""))</f>
      </c>
    </row>
    <row r="984">
      <c r="F984">
        <f>IF(DATOS!$A984="","",DATOS!$A984&amp;"|"&amp;DATOS!$D984&amp;"|"&amp;DATOS!$E984&amp;"|"&amp;DATOS!$I984)</f>
      </c>
      <c r="G984">
        <f>IF(DATOS!$A984="",0,IF(CONFIG_METADATA!$B$4&lt;&gt;"OR+EX",--(DATOS!$G984=CONFIG_METADATA!$B$4),IF(DATOS!$G984="EX",1,IF(DATOS!$G984="OR",--(COUNTIFS(nNIA,DATOS!$A984,nCURSO,DATOS!$D984,nESPEC,DATOS!$E984,nASIG,DATOS!$I984,nEVAL,"EX")=0),0))))</f>
      </c>
      <c r="H984">
        <f>IF(DATOS!$G984&lt;&gt;"EX",0,--(COUNTIFS(nNIA,DATOS!$A984,nCURSO,DATOS!$D984,nESPEC,DATOS!$E984,nASIG,DATOS!$I984,nEVAL,"OR")=0))</f>
      </c>
      <c r="I984">
        <f>IF(DATOS!$I984="","",IFERROR(VLOOKUP(DATOS!$I984,CONFIG_ASIGNATURAS!$B$2:$J$91,9,FALSE()),""))</f>
      </c>
    </row>
    <row r="985">
      <c r="F985">
        <f>IF(DATOS!$A985="","",DATOS!$A985&amp;"|"&amp;DATOS!$D985&amp;"|"&amp;DATOS!$E985&amp;"|"&amp;DATOS!$I985)</f>
      </c>
      <c r="G985">
        <f>IF(DATOS!$A985="",0,IF(CONFIG_METADATA!$B$4&lt;&gt;"OR+EX",--(DATOS!$G985=CONFIG_METADATA!$B$4),IF(DATOS!$G985="EX",1,IF(DATOS!$G985="OR",--(COUNTIFS(nNIA,DATOS!$A985,nCURSO,DATOS!$D985,nESPEC,DATOS!$E985,nASIG,DATOS!$I985,nEVAL,"EX")=0),0))))</f>
      </c>
      <c r="H985">
        <f>IF(DATOS!$G985&lt;&gt;"EX",0,--(COUNTIFS(nNIA,DATOS!$A985,nCURSO,DATOS!$D985,nESPEC,DATOS!$E985,nASIG,DATOS!$I985,nEVAL,"OR")=0))</f>
      </c>
      <c r="I985">
        <f>IF(DATOS!$I985="","",IFERROR(VLOOKUP(DATOS!$I985,CONFIG_ASIGNATURAS!$B$2:$J$91,9,FALSE()),""))</f>
      </c>
    </row>
    <row r="986">
      <c r="F986">
        <f>IF(DATOS!$A986="","",DATOS!$A986&amp;"|"&amp;DATOS!$D986&amp;"|"&amp;DATOS!$E986&amp;"|"&amp;DATOS!$I986)</f>
      </c>
      <c r="G986">
        <f>IF(DATOS!$A986="",0,IF(CONFIG_METADATA!$B$4&lt;&gt;"OR+EX",--(DATOS!$G986=CONFIG_METADATA!$B$4),IF(DATOS!$G986="EX",1,IF(DATOS!$G986="OR",--(COUNTIFS(nNIA,DATOS!$A986,nCURSO,DATOS!$D986,nESPEC,DATOS!$E986,nASIG,DATOS!$I986,nEVAL,"EX")=0),0))))</f>
      </c>
      <c r="H986">
        <f>IF(DATOS!$G986&lt;&gt;"EX",0,--(COUNTIFS(nNIA,DATOS!$A986,nCURSO,DATOS!$D986,nESPEC,DATOS!$E986,nASIG,DATOS!$I986,nEVAL,"OR")=0))</f>
      </c>
      <c r="I986">
        <f>IF(DATOS!$I986="","",IFERROR(VLOOKUP(DATOS!$I986,CONFIG_ASIGNATURAS!$B$2:$J$91,9,FALSE()),""))</f>
      </c>
    </row>
    <row r="987">
      <c r="F987">
        <f>IF(DATOS!$A987="","",DATOS!$A987&amp;"|"&amp;DATOS!$D987&amp;"|"&amp;DATOS!$E987&amp;"|"&amp;DATOS!$I987)</f>
      </c>
      <c r="G987">
        <f>IF(DATOS!$A987="",0,IF(CONFIG_METADATA!$B$4&lt;&gt;"OR+EX",--(DATOS!$G987=CONFIG_METADATA!$B$4),IF(DATOS!$G987="EX",1,IF(DATOS!$G987="OR",--(COUNTIFS(nNIA,DATOS!$A987,nCURSO,DATOS!$D987,nESPEC,DATOS!$E987,nASIG,DATOS!$I987,nEVAL,"EX")=0),0))))</f>
      </c>
      <c r="H987">
        <f>IF(DATOS!$G987&lt;&gt;"EX",0,--(COUNTIFS(nNIA,DATOS!$A987,nCURSO,DATOS!$D987,nESPEC,DATOS!$E987,nASIG,DATOS!$I987,nEVAL,"OR")=0))</f>
      </c>
      <c r="I987">
        <f>IF(DATOS!$I987="","",IFERROR(VLOOKUP(DATOS!$I987,CONFIG_ASIGNATURAS!$B$2:$J$91,9,FALSE()),""))</f>
      </c>
    </row>
    <row r="988">
      <c r="F988">
        <f>IF(DATOS!$A988="","",DATOS!$A988&amp;"|"&amp;DATOS!$D988&amp;"|"&amp;DATOS!$E988&amp;"|"&amp;DATOS!$I988)</f>
      </c>
      <c r="G988">
        <f>IF(DATOS!$A988="",0,IF(CONFIG_METADATA!$B$4&lt;&gt;"OR+EX",--(DATOS!$G988=CONFIG_METADATA!$B$4),IF(DATOS!$G988="EX",1,IF(DATOS!$G988="OR",--(COUNTIFS(nNIA,DATOS!$A988,nCURSO,DATOS!$D988,nESPEC,DATOS!$E988,nASIG,DATOS!$I988,nEVAL,"EX")=0),0))))</f>
      </c>
      <c r="H988">
        <f>IF(DATOS!$G988&lt;&gt;"EX",0,--(COUNTIFS(nNIA,DATOS!$A988,nCURSO,DATOS!$D988,nESPEC,DATOS!$E988,nASIG,DATOS!$I988,nEVAL,"OR")=0))</f>
      </c>
      <c r="I988">
        <f>IF(DATOS!$I988="","",IFERROR(VLOOKUP(DATOS!$I988,CONFIG_ASIGNATURAS!$B$2:$J$91,9,FALSE()),""))</f>
      </c>
    </row>
    <row r="989">
      <c r="F989">
        <f>IF(DATOS!$A989="","",DATOS!$A989&amp;"|"&amp;DATOS!$D989&amp;"|"&amp;DATOS!$E989&amp;"|"&amp;DATOS!$I989)</f>
      </c>
      <c r="G989">
        <f>IF(DATOS!$A989="",0,IF(CONFIG_METADATA!$B$4&lt;&gt;"OR+EX",--(DATOS!$G989=CONFIG_METADATA!$B$4),IF(DATOS!$G989="EX",1,IF(DATOS!$G989="OR",--(COUNTIFS(nNIA,DATOS!$A989,nCURSO,DATOS!$D989,nESPEC,DATOS!$E989,nASIG,DATOS!$I989,nEVAL,"EX")=0),0))))</f>
      </c>
      <c r="H989">
        <f>IF(DATOS!$G989&lt;&gt;"EX",0,--(COUNTIFS(nNIA,DATOS!$A989,nCURSO,DATOS!$D989,nESPEC,DATOS!$E989,nASIG,DATOS!$I989,nEVAL,"OR")=0))</f>
      </c>
      <c r="I989">
        <f>IF(DATOS!$I989="","",IFERROR(VLOOKUP(DATOS!$I989,CONFIG_ASIGNATURAS!$B$2:$J$91,9,FALSE()),""))</f>
      </c>
    </row>
    <row r="990">
      <c r="F990">
        <f>IF(DATOS!$A990="","",DATOS!$A990&amp;"|"&amp;DATOS!$D990&amp;"|"&amp;DATOS!$E990&amp;"|"&amp;DATOS!$I990)</f>
      </c>
      <c r="G990">
        <f>IF(DATOS!$A990="",0,IF(CONFIG_METADATA!$B$4&lt;&gt;"OR+EX",--(DATOS!$G990=CONFIG_METADATA!$B$4),IF(DATOS!$G990="EX",1,IF(DATOS!$G990="OR",--(COUNTIFS(nNIA,DATOS!$A990,nCURSO,DATOS!$D990,nESPEC,DATOS!$E990,nASIG,DATOS!$I990,nEVAL,"EX")=0),0))))</f>
      </c>
      <c r="H990">
        <f>IF(DATOS!$G990&lt;&gt;"EX",0,--(COUNTIFS(nNIA,DATOS!$A990,nCURSO,DATOS!$D990,nESPEC,DATOS!$E990,nASIG,DATOS!$I990,nEVAL,"OR")=0))</f>
      </c>
      <c r="I990">
        <f>IF(DATOS!$I990="","",IFERROR(VLOOKUP(DATOS!$I990,CONFIG_ASIGNATURAS!$B$2:$J$91,9,FALSE()),""))</f>
      </c>
    </row>
    <row r="991">
      <c r="F991">
        <f>IF(DATOS!$A991="","",DATOS!$A991&amp;"|"&amp;DATOS!$D991&amp;"|"&amp;DATOS!$E991&amp;"|"&amp;DATOS!$I991)</f>
      </c>
      <c r="G991">
        <f>IF(DATOS!$A991="",0,IF(CONFIG_METADATA!$B$4&lt;&gt;"OR+EX",--(DATOS!$G991=CONFIG_METADATA!$B$4),IF(DATOS!$G991="EX",1,IF(DATOS!$G991="OR",--(COUNTIFS(nNIA,DATOS!$A991,nCURSO,DATOS!$D991,nESPEC,DATOS!$E991,nASIG,DATOS!$I991,nEVAL,"EX")=0),0))))</f>
      </c>
      <c r="H991">
        <f>IF(DATOS!$G991&lt;&gt;"EX",0,--(COUNTIFS(nNIA,DATOS!$A991,nCURSO,DATOS!$D991,nESPEC,DATOS!$E991,nASIG,DATOS!$I991,nEVAL,"OR")=0))</f>
      </c>
      <c r="I991">
        <f>IF(DATOS!$I991="","",IFERROR(VLOOKUP(DATOS!$I991,CONFIG_ASIGNATURAS!$B$2:$J$91,9,FALSE()),""))</f>
      </c>
    </row>
    <row r="992">
      <c r="F992">
        <f>IF(DATOS!$A992="","",DATOS!$A992&amp;"|"&amp;DATOS!$D992&amp;"|"&amp;DATOS!$E992&amp;"|"&amp;DATOS!$I992)</f>
      </c>
      <c r="G992">
        <f>IF(DATOS!$A992="",0,IF(CONFIG_METADATA!$B$4&lt;&gt;"OR+EX",--(DATOS!$G992=CONFIG_METADATA!$B$4),IF(DATOS!$G992="EX",1,IF(DATOS!$G992="OR",--(COUNTIFS(nNIA,DATOS!$A992,nCURSO,DATOS!$D992,nESPEC,DATOS!$E992,nASIG,DATOS!$I992,nEVAL,"EX")=0),0))))</f>
      </c>
      <c r="H992">
        <f>IF(DATOS!$G992&lt;&gt;"EX",0,--(COUNTIFS(nNIA,DATOS!$A992,nCURSO,DATOS!$D992,nESPEC,DATOS!$E992,nASIG,DATOS!$I992,nEVAL,"OR")=0))</f>
      </c>
      <c r="I992">
        <f>IF(DATOS!$I992="","",IFERROR(VLOOKUP(DATOS!$I992,CONFIG_ASIGNATURAS!$B$2:$J$91,9,FALSE()),""))</f>
      </c>
    </row>
    <row r="993">
      <c r="F993">
        <f>IF(DATOS!$A993="","",DATOS!$A993&amp;"|"&amp;DATOS!$D993&amp;"|"&amp;DATOS!$E993&amp;"|"&amp;DATOS!$I993)</f>
      </c>
      <c r="G993">
        <f>IF(DATOS!$A993="",0,IF(CONFIG_METADATA!$B$4&lt;&gt;"OR+EX",--(DATOS!$G993=CONFIG_METADATA!$B$4),IF(DATOS!$G993="EX",1,IF(DATOS!$G993="OR",--(COUNTIFS(nNIA,DATOS!$A993,nCURSO,DATOS!$D993,nESPEC,DATOS!$E993,nASIG,DATOS!$I993,nEVAL,"EX")=0),0))))</f>
      </c>
      <c r="H993">
        <f>IF(DATOS!$G993&lt;&gt;"EX",0,--(COUNTIFS(nNIA,DATOS!$A993,nCURSO,DATOS!$D993,nESPEC,DATOS!$E993,nASIG,DATOS!$I993,nEVAL,"OR")=0))</f>
      </c>
      <c r="I993">
        <f>IF(DATOS!$I993="","",IFERROR(VLOOKUP(DATOS!$I993,CONFIG_ASIGNATURAS!$B$2:$J$91,9,FALSE()),""))</f>
      </c>
    </row>
    <row r="994">
      <c r="F994">
        <f>IF(DATOS!$A994="","",DATOS!$A994&amp;"|"&amp;DATOS!$D994&amp;"|"&amp;DATOS!$E994&amp;"|"&amp;DATOS!$I994)</f>
      </c>
      <c r="G994">
        <f>IF(DATOS!$A994="",0,IF(CONFIG_METADATA!$B$4&lt;&gt;"OR+EX",--(DATOS!$G994=CONFIG_METADATA!$B$4),IF(DATOS!$G994="EX",1,IF(DATOS!$G994="OR",--(COUNTIFS(nNIA,DATOS!$A994,nCURSO,DATOS!$D994,nESPEC,DATOS!$E994,nASIG,DATOS!$I994,nEVAL,"EX")=0),0))))</f>
      </c>
      <c r="H994">
        <f>IF(DATOS!$G994&lt;&gt;"EX",0,--(COUNTIFS(nNIA,DATOS!$A994,nCURSO,DATOS!$D994,nESPEC,DATOS!$E994,nASIG,DATOS!$I994,nEVAL,"OR")=0))</f>
      </c>
      <c r="I994">
        <f>IF(DATOS!$I994="","",IFERROR(VLOOKUP(DATOS!$I994,CONFIG_ASIGNATURAS!$B$2:$J$91,9,FALSE()),""))</f>
      </c>
    </row>
    <row r="995">
      <c r="F995">
        <f>IF(DATOS!$A995="","",DATOS!$A995&amp;"|"&amp;DATOS!$D995&amp;"|"&amp;DATOS!$E995&amp;"|"&amp;DATOS!$I995)</f>
      </c>
      <c r="G995">
        <f>IF(DATOS!$A995="",0,IF(CONFIG_METADATA!$B$4&lt;&gt;"OR+EX",--(DATOS!$G995=CONFIG_METADATA!$B$4),IF(DATOS!$G995="EX",1,IF(DATOS!$G995="OR",--(COUNTIFS(nNIA,DATOS!$A995,nCURSO,DATOS!$D995,nESPEC,DATOS!$E995,nASIG,DATOS!$I995,nEVAL,"EX")=0),0))))</f>
      </c>
      <c r="H995">
        <f>IF(DATOS!$G995&lt;&gt;"EX",0,--(COUNTIFS(nNIA,DATOS!$A995,nCURSO,DATOS!$D995,nESPEC,DATOS!$E995,nASIG,DATOS!$I995,nEVAL,"OR")=0))</f>
      </c>
      <c r="I995">
        <f>IF(DATOS!$I995="","",IFERROR(VLOOKUP(DATOS!$I995,CONFIG_ASIGNATURAS!$B$2:$J$91,9,FALSE()),""))</f>
      </c>
    </row>
    <row r="996">
      <c r="F996">
        <f>IF(DATOS!$A996="","",DATOS!$A996&amp;"|"&amp;DATOS!$D996&amp;"|"&amp;DATOS!$E996&amp;"|"&amp;DATOS!$I996)</f>
      </c>
      <c r="G996">
        <f>IF(DATOS!$A996="",0,IF(CONFIG_METADATA!$B$4&lt;&gt;"OR+EX",--(DATOS!$G996=CONFIG_METADATA!$B$4),IF(DATOS!$G996="EX",1,IF(DATOS!$G996="OR",--(COUNTIFS(nNIA,DATOS!$A996,nCURSO,DATOS!$D996,nESPEC,DATOS!$E996,nASIG,DATOS!$I996,nEVAL,"EX")=0),0))))</f>
      </c>
      <c r="H996">
        <f>IF(DATOS!$G996&lt;&gt;"EX",0,--(COUNTIFS(nNIA,DATOS!$A996,nCURSO,DATOS!$D996,nESPEC,DATOS!$E996,nASIG,DATOS!$I996,nEVAL,"OR")=0))</f>
      </c>
      <c r="I996">
        <f>IF(DATOS!$I996="","",IFERROR(VLOOKUP(DATOS!$I996,CONFIG_ASIGNATURAS!$B$2:$J$91,9,FALSE()),""))</f>
      </c>
    </row>
    <row r="997">
      <c r="F997">
        <f>IF(DATOS!$A997="","",DATOS!$A997&amp;"|"&amp;DATOS!$D997&amp;"|"&amp;DATOS!$E997&amp;"|"&amp;DATOS!$I997)</f>
      </c>
      <c r="G997">
        <f>IF(DATOS!$A997="",0,IF(CONFIG_METADATA!$B$4&lt;&gt;"OR+EX",--(DATOS!$G997=CONFIG_METADATA!$B$4),IF(DATOS!$G997="EX",1,IF(DATOS!$G997="OR",--(COUNTIFS(nNIA,DATOS!$A997,nCURSO,DATOS!$D997,nESPEC,DATOS!$E997,nASIG,DATOS!$I997,nEVAL,"EX")=0),0))))</f>
      </c>
      <c r="H997">
        <f>IF(DATOS!$G997&lt;&gt;"EX",0,--(COUNTIFS(nNIA,DATOS!$A997,nCURSO,DATOS!$D997,nESPEC,DATOS!$E997,nASIG,DATOS!$I997,nEVAL,"OR")=0))</f>
      </c>
      <c r="I997">
        <f>IF(DATOS!$I997="","",IFERROR(VLOOKUP(DATOS!$I997,CONFIG_ASIGNATURAS!$B$2:$J$91,9,FALSE()),""))</f>
      </c>
    </row>
    <row r="998">
      <c r="F998">
        <f>IF(DATOS!$A998="","",DATOS!$A998&amp;"|"&amp;DATOS!$D998&amp;"|"&amp;DATOS!$E998&amp;"|"&amp;DATOS!$I998)</f>
      </c>
      <c r="G998">
        <f>IF(DATOS!$A998="",0,IF(CONFIG_METADATA!$B$4&lt;&gt;"OR+EX",--(DATOS!$G998=CONFIG_METADATA!$B$4),IF(DATOS!$G998="EX",1,IF(DATOS!$G998="OR",--(COUNTIFS(nNIA,DATOS!$A998,nCURSO,DATOS!$D998,nESPEC,DATOS!$E998,nASIG,DATOS!$I998,nEVAL,"EX")=0),0))))</f>
      </c>
      <c r="H998">
        <f>IF(DATOS!$G998&lt;&gt;"EX",0,--(COUNTIFS(nNIA,DATOS!$A998,nCURSO,DATOS!$D998,nESPEC,DATOS!$E998,nASIG,DATOS!$I998,nEVAL,"OR")=0))</f>
      </c>
      <c r="I998">
        <f>IF(DATOS!$I998="","",IFERROR(VLOOKUP(DATOS!$I998,CONFIG_ASIGNATURAS!$B$2:$J$91,9,FALSE()),""))</f>
      </c>
    </row>
    <row r="999">
      <c r="F999">
        <f>IF(DATOS!$A999="","",DATOS!$A999&amp;"|"&amp;DATOS!$D999&amp;"|"&amp;DATOS!$E999&amp;"|"&amp;DATOS!$I999)</f>
      </c>
      <c r="G999">
        <f>IF(DATOS!$A999="",0,IF(CONFIG_METADATA!$B$4&lt;&gt;"OR+EX",--(DATOS!$G999=CONFIG_METADATA!$B$4),IF(DATOS!$G999="EX",1,IF(DATOS!$G999="OR",--(COUNTIFS(nNIA,DATOS!$A999,nCURSO,DATOS!$D999,nESPEC,DATOS!$E999,nASIG,DATOS!$I999,nEVAL,"EX")=0),0))))</f>
      </c>
      <c r="H999">
        <f>IF(DATOS!$G999&lt;&gt;"EX",0,--(COUNTIFS(nNIA,DATOS!$A999,nCURSO,DATOS!$D999,nESPEC,DATOS!$E999,nASIG,DATOS!$I999,nEVAL,"OR")=0))</f>
      </c>
      <c r="I999">
        <f>IF(DATOS!$I999="","",IFERROR(VLOOKUP(DATOS!$I999,CONFIG_ASIGNATURAS!$B$2:$J$91,9,FALSE()),""))</f>
      </c>
    </row>
    <row r="1000">
      <c r="F1000">
        <f>IF(DATOS!$A1000="","",DATOS!$A1000&amp;"|"&amp;DATOS!$D1000&amp;"|"&amp;DATOS!$E1000&amp;"|"&amp;DATOS!$I1000)</f>
      </c>
      <c r="G1000">
        <f>IF(DATOS!$A1000="",0,IF(CONFIG_METADATA!$B$4&lt;&gt;"OR+EX",--(DATOS!$G1000=CONFIG_METADATA!$B$4),IF(DATOS!$G1000="EX",1,IF(DATOS!$G1000="OR",--(COUNTIFS(nNIA,DATOS!$A1000,nCURSO,DATOS!$D1000,nESPEC,DATOS!$E1000,nASIG,DATOS!$I1000,nEVAL,"EX")=0),0))))</f>
      </c>
      <c r="H1000">
        <f>IF(DATOS!$G1000&lt;&gt;"EX",0,--(COUNTIFS(nNIA,DATOS!$A1000,nCURSO,DATOS!$D1000,nESPEC,DATOS!$E1000,nASIG,DATOS!$I1000,nEVAL,"OR")=0))</f>
      </c>
      <c r="I1000">
        <f>IF(DATOS!$I1000="","",IFERROR(VLOOKUP(DATOS!$I1000,CONFIG_ASIGNATURAS!$B$2:$J$91,9,FALSE()),""))</f>
      </c>
    </row>
    <row r="1001">
      <c r="F1001">
        <f>IF(DATOS!$A1001="","",DATOS!$A1001&amp;"|"&amp;DATOS!$D1001&amp;"|"&amp;DATOS!$E1001&amp;"|"&amp;DATOS!$I1001)</f>
      </c>
      <c r="G1001">
        <f>IF(DATOS!$A1001="",0,IF(CONFIG_METADATA!$B$4&lt;&gt;"OR+EX",--(DATOS!$G1001=CONFIG_METADATA!$B$4),IF(DATOS!$G1001="EX",1,IF(DATOS!$G1001="OR",--(COUNTIFS(nNIA,DATOS!$A1001,nCURSO,DATOS!$D1001,nESPEC,DATOS!$E1001,nASIG,DATOS!$I1001,nEVAL,"EX")=0),0))))</f>
      </c>
      <c r="H1001">
        <f>IF(DATOS!$G1001&lt;&gt;"EX",0,--(COUNTIFS(nNIA,DATOS!$A1001,nCURSO,DATOS!$D1001,nESPEC,DATOS!$E1001,nASIG,DATOS!$I1001,nEVAL,"OR")=0))</f>
      </c>
      <c r="I1001">
        <f>IF(DATOS!$I1001="","",IFERROR(VLOOKUP(DATOS!$I1001,CONFIG_ASIGNATURAS!$B$2:$J$91,9,FALSE()),""))</f>
      </c>
    </row>
    <row r="1002">
      <c r="F1002">
        <f>IF(DATOS!$A1002="","",DATOS!$A1002&amp;"|"&amp;DATOS!$D1002&amp;"|"&amp;DATOS!$E1002&amp;"|"&amp;DATOS!$I1002)</f>
      </c>
      <c r="G1002">
        <f>IF(DATOS!$A1002="",0,IF(CONFIG_METADATA!$B$4&lt;&gt;"OR+EX",--(DATOS!$G1002=CONFIG_METADATA!$B$4),IF(DATOS!$G1002="EX",1,IF(DATOS!$G1002="OR",--(COUNTIFS(nNIA,DATOS!$A1002,nCURSO,DATOS!$D1002,nESPEC,DATOS!$E1002,nASIG,DATOS!$I1002,nEVAL,"EX")=0),0))))</f>
      </c>
      <c r="H1002">
        <f>IF(DATOS!$G1002&lt;&gt;"EX",0,--(COUNTIFS(nNIA,DATOS!$A1002,nCURSO,DATOS!$D1002,nESPEC,DATOS!$E1002,nASIG,DATOS!$I1002,nEVAL,"OR")=0))</f>
      </c>
      <c r="I1002">
        <f>IF(DATOS!$I1002="","",IFERROR(VLOOKUP(DATOS!$I1002,CONFIG_ASIGNATURAS!$B$2:$J$91,9,FALSE()),""))</f>
      </c>
    </row>
    <row r="1003">
      <c r="F1003">
        <f>IF(DATOS!$A1003="","",DATOS!$A1003&amp;"|"&amp;DATOS!$D1003&amp;"|"&amp;DATOS!$E1003&amp;"|"&amp;DATOS!$I1003)</f>
      </c>
      <c r="G1003">
        <f>IF(DATOS!$A1003="",0,IF(CONFIG_METADATA!$B$4&lt;&gt;"OR+EX",--(DATOS!$G1003=CONFIG_METADATA!$B$4),IF(DATOS!$G1003="EX",1,IF(DATOS!$G1003="OR",--(COUNTIFS(nNIA,DATOS!$A1003,nCURSO,DATOS!$D1003,nESPEC,DATOS!$E1003,nASIG,DATOS!$I1003,nEVAL,"EX")=0),0))))</f>
      </c>
      <c r="H1003">
        <f>IF(DATOS!$G1003&lt;&gt;"EX",0,--(COUNTIFS(nNIA,DATOS!$A1003,nCURSO,DATOS!$D1003,nESPEC,DATOS!$E1003,nASIG,DATOS!$I1003,nEVAL,"OR")=0))</f>
      </c>
      <c r="I1003">
        <f>IF(DATOS!$I1003="","",IFERROR(VLOOKUP(DATOS!$I1003,CONFIG_ASIGNATURAS!$B$2:$J$91,9,FALSE()),""))</f>
      </c>
    </row>
    <row r="1004">
      <c r="F1004">
        <f>IF(DATOS!$A1004="","",DATOS!$A1004&amp;"|"&amp;DATOS!$D1004&amp;"|"&amp;DATOS!$E1004&amp;"|"&amp;DATOS!$I1004)</f>
      </c>
      <c r="G1004">
        <f>IF(DATOS!$A1004="",0,IF(CONFIG_METADATA!$B$4&lt;&gt;"OR+EX",--(DATOS!$G1004=CONFIG_METADATA!$B$4),IF(DATOS!$G1004="EX",1,IF(DATOS!$G1004="OR",--(COUNTIFS(nNIA,DATOS!$A1004,nCURSO,DATOS!$D1004,nESPEC,DATOS!$E1004,nASIG,DATOS!$I1004,nEVAL,"EX")=0),0))))</f>
      </c>
      <c r="H1004">
        <f>IF(DATOS!$G1004&lt;&gt;"EX",0,--(COUNTIFS(nNIA,DATOS!$A1004,nCURSO,DATOS!$D1004,nESPEC,DATOS!$E1004,nASIG,DATOS!$I1004,nEVAL,"OR")=0))</f>
      </c>
      <c r="I1004">
        <f>IF(DATOS!$I1004="","",IFERROR(VLOOKUP(DATOS!$I1004,CONFIG_ASIGNATURAS!$B$2:$J$91,9,FALSE()),""))</f>
      </c>
    </row>
    <row r="1005">
      <c r="F1005">
        <f>IF(DATOS!$A1005="","",DATOS!$A1005&amp;"|"&amp;DATOS!$D1005&amp;"|"&amp;DATOS!$E1005&amp;"|"&amp;DATOS!$I1005)</f>
      </c>
      <c r="G1005">
        <f>IF(DATOS!$A1005="",0,IF(CONFIG_METADATA!$B$4&lt;&gt;"OR+EX",--(DATOS!$G1005=CONFIG_METADATA!$B$4),IF(DATOS!$G1005="EX",1,IF(DATOS!$G1005="OR",--(COUNTIFS(nNIA,DATOS!$A1005,nCURSO,DATOS!$D1005,nESPEC,DATOS!$E1005,nASIG,DATOS!$I1005,nEVAL,"EX")=0),0))))</f>
      </c>
      <c r="H1005">
        <f>IF(DATOS!$G1005&lt;&gt;"EX",0,--(COUNTIFS(nNIA,DATOS!$A1005,nCURSO,DATOS!$D1005,nESPEC,DATOS!$E1005,nASIG,DATOS!$I1005,nEVAL,"OR")=0))</f>
      </c>
      <c r="I1005">
        <f>IF(DATOS!$I1005="","",IFERROR(VLOOKUP(DATOS!$I1005,CONFIG_ASIGNATURAS!$B$2:$J$91,9,FALSE()),""))</f>
      </c>
    </row>
    <row r="1006">
      <c r="F1006">
        <f>IF(DATOS!$A1006="","",DATOS!$A1006&amp;"|"&amp;DATOS!$D1006&amp;"|"&amp;DATOS!$E1006&amp;"|"&amp;DATOS!$I1006)</f>
      </c>
      <c r="G1006">
        <f>IF(DATOS!$A1006="",0,IF(CONFIG_METADATA!$B$4&lt;&gt;"OR+EX",--(DATOS!$G1006=CONFIG_METADATA!$B$4),IF(DATOS!$G1006="EX",1,IF(DATOS!$G1006="OR",--(COUNTIFS(nNIA,DATOS!$A1006,nCURSO,DATOS!$D1006,nESPEC,DATOS!$E1006,nASIG,DATOS!$I1006,nEVAL,"EX")=0),0))))</f>
      </c>
      <c r="H1006">
        <f>IF(DATOS!$G1006&lt;&gt;"EX",0,--(COUNTIFS(nNIA,DATOS!$A1006,nCURSO,DATOS!$D1006,nESPEC,DATOS!$E1006,nASIG,DATOS!$I1006,nEVAL,"OR")=0))</f>
      </c>
      <c r="I1006">
        <f>IF(DATOS!$I1006="","",IFERROR(VLOOKUP(DATOS!$I1006,CONFIG_ASIGNATURAS!$B$2:$J$91,9,FALSE()),""))</f>
      </c>
    </row>
    <row r="1007">
      <c r="F1007">
        <f>IF(DATOS!$A1007="","",DATOS!$A1007&amp;"|"&amp;DATOS!$D1007&amp;"|"&amp;DATOS!$E1007&amp;"|"&amp;DATOS!$I1007)</f>
      </c>
      <c r="G1007">
        <f>IF(DATOS!$A1007="",0,IF(CONFIG_METADATA!$B$4&lt;&gt;"OR+EX",--(DATOS!$G1007=CONFIG_METADATA!$B$4),IF(DATOS!$G1007="EX",1,IF(DATOS!$G1007="OR",--(COUNTIFS(nNIA,DATOS!$A1007,nCURSO,DATOS!$D1007,nESPEC,DATOS!$E1007,nASIG,DATOS!$I1007,nEVAL,"EX")=0),0))))</f>
      </c>
      <c r="H1007">
        <f>IF(DATOS!$G1007&lt;&gt;"EX",0,--(COUNTIFS(nNIA,DATOS!$A1007,nCURSO,DATOS!$D1007,nESPEC,DATOS!$E1007,nASIG,DATOS!$I1007,nEVAL,"OR")=0))</f>
      </c>
      <c r="I1007">
        <f>IF(DATOS!$I1007="","",IFERROR(VLOOKUP(DATOS!$I1007,CONFIG_ASIGNATURAS!$B$2:$J$91,9,FALSE()),""))</f>
      </c>
    </row>
    <row r="1008">
      <c r="F1008">
        <f>IF(DATOS!$A1008="","",DATOS!$A1008&amp;"|"&amp;DATOS!$D1008&amp;"|"&amp;DATOS!$E1008&amp;"|"&amp;DATOS!$I1008)</f>
      </c>
      <c r="G1008">
        <f>IF(DATOS!$A1008="",0,IF(CONFIG_METADATA!$B$4&lt;&gt;"OR+EX",--(DATOS!$G1008=CONFIG_METADATA!$B$4),IF(DATOS!$G1008="EX",1,IF(DATOS!$G1008="OR",--(COUNTIFS(nNIA,DATOS!$A1008,nCURSO,DATOS!$D1008,nESPEC,DATOS!$E1008,nASIG,DATOS!$I1008,nEVAL,"EX")=0),0))))</f>
      </c>
      <c r="H1008">
        <f>IF(DATOS!$G1008&lt;&gt;"EX",0,--(COUNTIFS(nNIA,DATOS!$A1008,nCURSO,DATOS!$D1008,nESPEC,DATOS!$E1008,nASIG,DATOS!$I1008,nEVAL,"OR")=0))</f>
      </c>
      <c r="I1008">
        <f>IF(DATOS!$I1008="","",IFERROR(VLOOKUP(DATOS!$I1008,CONFIG_ASIGNATURAS!$B$2:$J$91,9,FALSE()),""))</f>
      </c>
    </row>
    <row r="1009">
      <c r="F1009">
        <f>IF(DATOS!$A1009="","",DATOS!$A1009&amp;"|"&amp;DATOS!$D1009&amp;"|"&amp;DATOS!$E1009&amp;"|"&amp;DATOS!$I1009)</f>
      </c>
      <c r="G1009">
        <f>IF(DATOS!$A1009="",0,IF(CONFIG_METADATA!$B$4&lt;&gt;"OR+EX",--(DATOS!$G1009=CONFIG_METADATA!$B$4),IF(DATOS!$G1009="EX",1,IF(DATOS!$G1009="OR",--(COUNTIFS(nNIA,DATOS!$A1009,nCURSO,DATOS!$D1009,nESPEC,DATOS!$E1009,nASIG,DATOS!$I1009,nEVAL,"EX")=0),0))))</f>
      </c>
      <c r="H1009">
        <f>IF(DATOS!$G1009&lt;&gt;"EX",0,--(COUNTIFS(nNIA,DATOS!$A1009,nCURSO,DATOS!$D1009,nESPEC,DATOS!$E1009,nASIG,DATOS!$I1009,nEVAL,"OR")=0))</f>
      </c>
      <c r="I1009">
        <f>IF(DATOS!$I1009="","",IFERROR(VLOOKUP(DATOS!$I1009,CONFIG_ASIGNATURAS!$B$2:$J$91,9,FALSE()),""))</f>
      </c>
    </row>
    <row r="1010">
      <c r="F1010">
        <f>IF(DATOS!$A1010="","",DATOS!$A1010&amp;"|"&amp;DATOS!$D1010&amp;"|"&amp;DATOS!$E1010&amp;"|"&amp;DATOS!$I1010)</f>
      </c>
      <c r="G1010">
        <f>IF(DATOS!$A1010="",0,IF(CONFIG_METADATA!$B$4&lt;&gt;"OR+EX",--(DATOS!$G1010=CONFIG_METADATA!$B$4),IF(DATOS!$G1010="EX",1,IF(DATOS!$G1010="OR",--(COUNTIFS(nNIA,DATOS!$A1010,nCURSO,DATOS!$D1010,nESPEC,DATOS!$E1010,nASIG,DATOS!$I1010,nEVAL,"EX")=0),0))))</f>
      </c>
      <c r="H1010">
        <f>IF(DATOS!$G1010&lt;&gt;"EX",0,--(COUNTIFS(nNIA,DATOS!$A1010,nCURSO,DATOS!$D1010,nESPEC,DATOS!$E1010,nASIG,DATOS!$I1010,nEVAL,"OR")=0))</f>
      </c>
      <c r="I1010">
        <f>IF(DATOS!$I1010="","",IFERROR(VLOOKUP(DATOS!$I1010,CONFIG_ASIGNATURAS!$B$2:$J$91,9,FALSE()),""))</f>
      </c>
    </row>
    <row r="1011">
      <c r="F1011">
        <f>IF(DATOS!$A1011="","",DATOS!$A1011&amp;"|"&amp;DATOS!$D1011&amp;"|"&amp;DATOS!$E1011&amp;"|"&amp;DATOS!$I1011)</f>
      </c>
      <c r="G1011">
        <f>IF(DATOS!$A1011="",0,IF(CONFIG_METADATA!$B$4&lt;&gt;"OR+EX",--(DATOS!$G1011=CONFIG_METADATA!$B$4),IF(DATOS!$G1011="EX",1,IF(DATOS!$G1011="OR",--(COUNTIFS(nNIA,DATOS!$A1011,nCURSO,DATOS!$D1011,nESPEC,DATOS!$E1011,nASIG,DATOS!$I1011,nEVAL,"EX")=0),0))))</f>
      </c>
      <c r="H1011">
        <f>IF(DATOS!$G1011&lt;&gt;"EX",0,--(COUNTIFS(nNIA,DATOS!$A1011,nCURSO,DATOS!$D1011,nESPEC,DATOS!$E1011,nASIG,DATOS!$I1011,nEVAL,"OR")=0))</f>
      </c>
      <c r="I1011">
        <f>IF(DATOS!$I1011="","",IFERROR(VLOOKUP(DATOS!$I1011,CONFIG_ASIGNATURAS!$B$2:$J$91,9,FALSE()),""))</f>
      </c>
    </row>
    <row r="1012">
      <c r="F1012">
        <f>IF(DATOS!$A1012="","",DATOS!$A1012&amp;"|"&amp;DATOS!$D1012&amp;"|"&amp;DATOS!$E1012&amp;"|"&amp;DATOS!$I1012)</f>
      </c>
      <c r="G1012">
        <f>IF(DATOS!$A1012="",0,IF(CONFIG_METADATA!$B$4&lt;&gt;"OR+EX",--(DATOS!$G1012=CONFIG_METADATA!$B$4),IF(DATOS!$G1012="EX",1,IF(DATOS!$G1012="OR",--(COUNTIFS(nNIA,DATOS!$A1012,nCURSO,DATOS!$D1012,nESPEC,DATOS!$E1012,nASIG,DATOS!$I1012,nEVAL,"EX")=0),0))))</f>
      </c>
      <c r="H1012">
        <f>IF(DATOS!$G1012&lt;&gt;"EX",0,--(COUNTIFS(nNIA,DATOS!$A1012,nCURSO,DATOS!$D1012,nESPEC,DATOS!$E1012,nASIG,DATOS!$I1012,nEVAL,"OR")=0))</f>
      </c>
      <c r="I1012">
        <f>IF(DATOS!$I1012="","",IFERROR(VLOOKUP(DATOS!$I1012,CONFIG_ASIGNATURAS!$B$2:$J$91,9,FALSE()),""))</f>
      </c>
    </row>
    <row r="1013">
      <c r="F1013">
        <f>IF(DATOS!$A1013="","",DATOS!$A1013&amp;"|"&amp;DATOS!$D1013&amp;"|"&amp;DATOS!$E1013&amp;"|"&amp;DATOS!$I1013)</f>
      </c>
      <c r="G1013">
        <f>IF(DATOS!$A1013="",0,IF(CONFIG_METADATA!$B$4&lt;&gt;"OR+EX",--(DATOS!$G1013=CONFIG_METADATA!$B$4),IF(DATOS!$G1013="EX",1,IF(DATOS!$G1013="OR",--(COUNTIFS(nNIA,DATOS!$A1013,nCURSO,DATOS!$D1013,nESPEC,DATOS!$E1013,nASIG,DATOS!$I1013,nEVAL,"EX")=0),0))))</f>
      </c>
      <c r="H1013">
        <f>IF(DATOS!$G1013&lt;&gt;"EX",0,--(COUNTIFS(nNIA,DATOS!$A1013,nCURSO,DATOS!$D1013,nESPEC,DATOS!$E1013,nASIG,DATOS!$I1013,nEVAL,"OR")=0))</f>
      </c>
      <c r="I1013">
        <f>IF(DATOS!$I1013="","",IFERROR(VLOOKUP(DATOS!$I1013,CONFIG_ASIGNATURAS!$B$2:$J$91,9,FALSE()),""))</f>
      </c>
    </row>
    <row r="1014">
      <c r="F1014">
        <f>IF(DATOS!$A1014="","",DATOS!$A1014&amp;"|"&amp;DATOS!$D1014&amp;"|"&amp;DATOS!$E1014&amp;"|"&amp;DATOS!$I1014)</f>
      </c>
      <c r="G1014">
        <f>IF(DATOS!$A1014="",0,IF(CONFIG_METADATA!$B$4&lt;&gt;"OR+EX",--(DATOS!$G1014=CONFIG_METADATA!$B$4),IF(DATOS!$G1014="EX",1,IF(DATOS!$G1014="OR",--(COUNTIFS(nNIA,DATOS!$A1014,nCURSO,DATOS!$D1014,nESPEC,DATOS!$E1014,nASIG,DATOS!$I1014,nEVAL,"EX")=0),0))))</f>
      </c>
      <c r="H1014">
        <f>IF(DATOS!$G1014&lt;&gt;"EX",0,--(COUNTIFS(nNIA,DATOS!$A1014,nCURSO,DATOS!$D1014,nESPEC,DATOS!$E1014,nASIG,DATOS!$I1014,nEVAL,"OR")=0))</f>
      </c>
      <c r="I1014">
        <f>IF(DATOS!$I1014="","",IFERROR(VLOOKUP(DATOS!$I1014,CONFIG_ASIGNATURAS!$B$2:$J$91,9,FALSE()),""))</f>
      </c>
    </row>
    <row r="1015">
      <c r="F1015">
        <f>IF(DATOS!$A1015="","",DATOS!$A1015&amp;"|"&amp;DATOS!$D1015&amp;"|"&amp;DATOS!$E1015&amp;"|"&amp;DATOS!$I1015)</f>
      </c>
      <c r="G1015">
        <f>IF(DATOS!$A1015="",0,IF(CONFIG_METADATA!$B$4&lt;&gt;"OR+EX",--(DATOS!$G1015=CONFIG_METADATA!$B$4),IF(DATOS!$G1015="EX",1,IF(DATOS!$G1015="OR",--(COUNTIFS(nNIA,DATOS!$A1015,nCURSO,DATOS!$D1015,nESPEC,DATOS!$E1015,nASIG,DATOS!$I1015,nEVAL,"EX")=0),0))))</f>
      </c>
      <c r="H1015">
        <f>IF(DATOS!$G1015&lt;&gt;"EX",0,--(COUNTIFS(nNIA,DATOS!$A1015,nCURSO,DATOS!$D1015,nESPEC,DATOS!$E1015,nASIG,DATOS!$I1015,nEVAL,"OR")=0))</f>
      </c>
      <c r="I1015">
        <f>IF(DATOS!$I1015="","",IFERROR(VLOOKUP(DATOS!$I1015,CONFIG_ASIGNATURAS!$B$2:$J$91,9,FALSE()),""))</f>
      </c>
    </row>
    <row r="1016">
      <c r="F1016">
        <f>IF(DATOS!$A1016="","",DATOS!$A1016&amp;"|"&amp;DATOS!$D1016&amp;"|"&amp;DATOS!$E1016&amp;"|"&amp;DATOS!$I1016)</f>
      </c>
      <c r="G1016">
        <f>IF(DATOS!$A1016="",0,IF(CONFIG_METADATA!$B$4&lt;&gt;"OR+EX",--(DATOS!$G1016=CONFIG_METADATA!$B$4),IF(DATOS!$G1016="EX",1,IF(DATOS!$G1016="OR",--(COUNTIFS(nNIA,DATOS!$A1016,nCURSO,DATOS!$D1016,nESPEC,DATOS!$E1016,nASIG,DATOS!$I1016,nEVAL,"EX")=0),0))))</f>
      </c>
      <c r="H1016">
        <f>IF(DATOS!$G1016&lt;&gt;"EX",0,--(COUNTIFS(nNIA,DATOS!$A1016,nCURSO,DATOS!$D1016,nESPEC,DATOS!$E1016,nASIG,DATOS!$I1016,nEVAL,"OR")=0))</f>
      </c>
      <c r="I1016">
        <f>IF(DATOS!$I1016="","",IFERROR(VLOOKUP(DATOS!$I1016,CONFIG_ASIGNATURAS!$B$2:$J$91,9,FALSE()),""))</f>
      </c>
    </row>
    <row r="1017">
      <c r="F1017">
        <f>IF(DATOS!$A1017="","",DATOS!$A1017&amp;"|"&amp;DATOS!$D1017&amp;"|"&amp;DATOS!$E1017&amp;"|"&amp;DATOS!$I1017)</f>
      </c>
      <c r="G1017">
        <f>IF(DATOS!$A1017="",0,IF(CONFIG_METADATA!$B$4&lt;&gt;"OR+EX",--(DATOS!$G1017=CONFIG_METADATA!$B$4),IF(DATOS!$G1017="EX",1,IF(DATOS!$G1017="OR",--(COUNTIFS(nNIA,DATOS!$A1017,nCURSO,DATOS!$D1017,nESPEC,DATOS!$E1017,nASIG,DATOS!$I1017,nEVAL,"EX")=0),0))))</f>
      </c>
      <c r="H1017">
        <f>IF(DATOS!$G1017&lt;&gt;"EX",0,--(COUNTIFS(nNIA,DATOS!$A1017,nCURSO,DATOS!$D1017,nESPEC,DATOS!$E1017,nASIG,DATOS!$I1017,nEVAL,"OR")=0))</f>
      </c>
      <c r="I1017">
        <f>IF(DATOS!$I1017="","",IFERROR(VLOOKUP(DATOS!$I1017,CONFIG_ASIGNATURAS!$B$2:$J$91,9,FALSE()),""))</f>
      </c>
    </row>
    <row r="1018">
      <c r="F1018">
        <f>IF(DATOS!$A1018="","",DATOS!$A1018&amp;"|"&amp;DATOS!$D1018&amp;"|"&amp;DATOS!$E1018&amp;"|"&amp;DATOS!$I1018)</f>
      </c>
      <c r="G1018">
        <f>IF(DATOS!$A1018="",0,IF(CONFIG_METADATA!$B$4&lt;&gt;"OR+EX",--(DATOS!$G1018=CONFIG_METADATA!$B$4),IF(DATOS!$G1018="EX",1,IF(DATOS!$G1018="OR",--(COUNTIFS(nNIA,DATOS!$A1018,nCURSO,DATOS!$D1018,nESPEC,DATOS!$E1018,nASIG,DATOS!$I1018,nEVAL,"EX")=0),0))))</f>
      </c>
      <c r="H1018">
        <f>IF(DATOS!$G1018&lt;&gt;"EX",0,--(COUNTIFS(nNIA,DATOS!$A1018,nCURSO,DATOS!$D1018,nESPEC,DATOS!$E1018,nASIG,DATOS!$I1018,nEVAL,"OR")=0))</f>
      </c>
      <c r="I1018">
        <f>IF(DATOS!$I1018="","",IFERROR(VLOOKUP(DATOS!$I1018,CONFIG_ASIGNATURAS!$B$2:$J$91,9,FALSE()),""))</f>
      </c>
    </row>
    <row r="1019">
      <c r="F1019">
        <f>IF(DATOS!$A1019="","",DATOS!$A1019&amp;"|"&amp;DATOS!$D1019&amp;"|"&amp;DATOS!$E1019&amp;"|"&amp;DATOS!$I1019)</f>
      </c>
      <c r="G1019">
        <f>IF(DATOS!$A1019="",0,IF(CONFIG_METADATA!$B$4&lt;&gt;"OR+EX",--(DATOS!$G1019=CONFIG_METADATA!$B$4),IF(DATOS!$G1019="EX",1,IF(DATOS!$G1019="OR",--(COUNTIFS(nNIA,DATOS!$A1019,nCURSO,DATOS!$D1019,nESPEC,DATOS!$E1019,nASIG,DATOS!$I1019,nEVAL,"EX")=0),0))))</f>
      </c>
      <c r="H1019">
        <f>IF(DATOS!$G1019&lt;&gt;"EX",0,--(COUNTIFS(nNIA,DATOS!$A1019,nCURSO,DATOS!$D1019,nESPEC,DATOS!$E1019,nASIG,DATOS!$I1019,nEVAL,"OR")=0))</f>
      </c>
      <c r="I1019">
        <f>IF(DATOS!$I1019="","",IFERROR(VLOOKUP(DATOS!$I1019,CONFIG_ASIGNATURAS!$B$2:$J$91,9,FALSE()),""))</f>
      </c>
    </row>
    <row r="1020">
      <c r="F1020">
        <f>IF(DATOS!$A1020="","",DATOS!$A1020&amp;"|"&amp;DATOS!$D1020&amp;"|"&amp;DATOS!$E1020&amp;"|"&amp;DATOS!$I1020)</f>
      </c>
      <c r="G1020">
        <f>IF(DATOS!$A1020="",0,IF(CONFIG_METADATA!$B$4&lt;&gt;"OR+EX",--(DATOS!$G1020=CONFIG_METADATA!$B$4),IF(DATOS!$G1020="EX",1,IF(DATOS!$G1020="OR",--(COUNTIFS(nNIA,DATOS!$A1020,nCURSO,DATOS!$D1020,nESPEC,DATOS!$E1020,nASIG,DATOS!$I1020,nEVAL,"EX")=0),0))))</f>
      </c>
      <c r="H1020">
        <f>IF(DATOS!$G1020&lt;&gt;"EX",0,--(COUNTIFS(nNIA,DATOS!$A1020,nCURSO,DATOS!$D1020,nESPEC,DATOS!$E1020,nASIG,DATOS!$I1020,nEVAL,"OR")=0))</f>
      </c>
      <c r="I1020">
        <f>IF(DATOS!$I1020="","",IFERROR(VLOOKUP(DATOS!$I1020,CONFIG_ASIGNATURAS!$B$2:$J$91,9,FALSE()),""))</f>
      </c>
    </row>
    <row r="1021">
      <c r="F1021">
        <f>IF(DATOS!$A1021="","",DATOS!$A1021&amp;"|"&amp;DATOS!$D1021&amp;"|"&amp;DATOS!$E1021&amp;"|"&amp;DATOS!$I1021)</f>
      </c>
      <c r="G1021">
        <f>IF(DATOS!$A1021="",0,IF(CONFIG_METADATA!$B$4&lt;&gt;"OR+EX",--(DATOS!$G1021=CONFIG_METADATA!$B$4),IF(DATOS!$G1021="EX",1,IF(DATOS!$G1021="OR",--(COUNTIFS(nNIA,DATOS!$A1021,nCURSO,DATOS!$D1021,nESPEC,DATOS!$E1021,nASIG,DATOS!$I1021,nEVAL,"EX")=0),0))))</f>
      </c>
      <c r="H1021">
        <f>IF(DATOS!$G1021&lt;&gt;"EX",0,--(COUNTIFS(nNIA,DATOS!$A1021,nCURSO,DATOS!$D1021,nESPEC,DATOS!$E1021,nASIG,DATOS!$I1021,nEVAL,"OR")=0))</f>
      </c>
      <c r="I1021">
        <f>IF(DATOS!$I1021="","",IFERROR(VLOOKUP(DATOS!$I1021,CONFIG_ASIGNATURAS!$B$2:$J$91,9,FALSE()),""))</f>
      </c>
    </row>
    <row r="1022">
      <c r="F1022">
        <f>IF(DATOS!$A1022="","",DATOS!$A1022&amp;"|"&amp;DATOS!$D1022&amp;"|"&amp;DATOS!$E1022&amp;"|"&amp;DATOS!$I1022)</f>
      </c>
      <c r="G1022">
        <f>IF(DATOS!$A1022="",0,IF(CONFIG_METADATA!$B$4&lt;&gt;"OR+EX",--(DATOS!$G1022=CONFIG_METADATA!$B$4),IF(DATOS!$G1022="EX",1,IF(DATOS!$G1022="OR",--(COUNTIFS(nNIA,DATOS!$A1022,nCURSO,DATOS!$D1022,nESPEC,DATOS!$E1022,nASIG,DATOS!$I1022,nEVAL,"EX")=0),0))))</f>
      </c>
      <c r="H1022">
        <f>IF(DATOS!$G1022&lt;&gt;"EX",0,--(COUNTIFS(nNIA,DATOS!$A1022,nCURSO,DATOS!$D1022,nESPEC,DATOS!$E1022,nASIG,DATOS!$I1022,nEVAL,"OR")=0))</f>
      </c>
      <c r="I1022">
        <f>IF(DATOS!$I1022="","",IFERROR(VLOOKUP(DATOS!$I1022,CONFIG_ASIGNATURAS!$B$2:$J$91,9,FALSE()),""))</f>
      </c>
    </row>
    <row r="1023">
      <c r="F1023">
        <f>IF(DATOS!$A1023="","",DATOS!$A1023&amp;"|"&amp;DATOS!$D1023&amp;"|"&amp;DATOS!$E1023&amp;"|"&amp;DATOS!$I1023)</f>
      </c>
      <c r="G1023">
        <f>IF(DATOS!$A1023="",0,IF(CONFIG_METADATA!$B$4&lt;&gt;"OR+EX",--(DATOS!$G1023=CONFIG_METADATA!$B$4),IF(DATOS!$G1023="EX",1,IF(DATOS!$G1023="OR",--(COUNTIFS(nNIA,DATOS!$A1023,nCURSO,DATOS!$D1023,nESPEC,DATOS!$E1023,nASIG,DATOS!$I1023,nEVAL,"EX")=0),0))))</f>
      </c>
      <c r="H1023">
        <f>IF(DATOS!$G1023&lt;&gt;"EX",0,--(COUNTIFS(nNIA,DATOS!$A1023,nCURSO,DATOS!$D1023,nESPEC,DATOS!$E1023,nASIG,DATOS!$I1023,nEVAL,"OR")=0))</f>
      </c>
      <c r="I1023">
        <f>IF(DATOS!$I1023="","",IFERROR(VLOOKUP(DATOS!$I1023,CONFIG_ASIGNATURAS!$B$2:$J$91,9,FALSE()),""))</f>
      </c>
    </row>
    <row r="1024">
      <c r="F1024">
        <f>IF(DATOS!$A1024="","",DATOS!$A1024&amp;"|"&amp;DATOS!$D1024&amp;"|"&amp;DATOS!$E1024&amp;"|"&amp;DATOS!$I1024)</f>
      </c>
      <c r="G1024">
        <f>IF(DATOS!$A1024="",0,IF(CONFIG_METADATA!$B$4&lt;&gt;"OR+EX",--(DATOS!$G1024=CONFIG_METADATA!$B$4),IF(DATOS!$G1024="EX",1,IF(DATOS!$G1024="OR",--(COUNTIFS(nNIA,DATOS!$A1024,nCURSO,DATOS!$D1024,nESPEC,DATOS!$E1024,nASIG,DATOS!$I1024,nEVAL,"EX")=0),0))))</f>
      </c>
      <c r="H1024">
        <f>IF(DATOS!$G1024&lt;&gt;"EX",0,--(COUNTIFS(nNIA,DATOS!$A1024,nCURSO,DATOS!$D1024,nESPEC,DATOS!$E1024,nASIG,DATOS!$I1024,nEVAL,"OR")=0))</f>
      </c>
      <c r="I1024">
        <f>IF(DATOS!$I1024="","",IFERROR(VLOOKUP(DATOS!$I1024,CONFIG_ASIGNATURAS!$B$2:$J$91,9,FALSE()),""))</f>
      </c>
    </row>
    <row r="1025">
      <c r="F1025">
        <f>IF(DATOS!$A1025="","",DATOS!$A1025&amp;"|"&amp;DATOS!$D1025&amp;"|"&amp;DATOS!$E1025&amp;"|"&amp;DATOS!$I1025)</f>
      </c>
      <c r="G1025">
        <f>IF(DATOS!$A1025="",0,IF(CONFIG_METADATA!$B$4&lt;&gt;"OR+EX",--(DATOS!$G1025=CONFIG_METADATA!$B$4),IF(DATOS!$G1025="EX",1,IF(DATOS!$G1025="OR",--(COUNTIFS(nNIA,DATOS!$A1025,nCURSO,DATOS!$D1025,nESPEC,DATOS!$E1025,nASIG,DATOS!$I1025,nEVAL,"EX")=0),0))))</f>
      </c>
      <c r="H1025">
        <f>IF(DATOS!$G1025&lt;&gt;"EX",0,--(COUNTIFS(nNIA,DATOS!$A1025,nCURSO,DATOS!$D1025,nESPEC,DATOS!$E1025,nASIG,DATOS!$I1025,nEVAL,"OR")=0))</f>
      </c>
      <c r="I1025">
        <f>IF(DATOS!$I1025="","",IFERROR(VLOOKUP(DATOS!$I1025,CONFIG_ASIGNATURAS!$B$2:$J$91,9,FALSE()),""))</f>
      </c>
    </row>
    <row r="1026">
      <c r="F1026">
        <f>IF(DATOS!$A1026="","",DATOS!$A1026&amp;"|"&amp;DATOS!$D1026&amp;"|"&amp;DATOS!$E1026&amp;"|"&amp;DATOS!$I1026)</f>
      </c>
      <c r="G1026">
        <f>IF(DATOS!$A1026="",0,IF(CONFIG_METADATA!$B$4&lt;&gt;"OR+EX",--(DATOS!$G1026=CONFIG_METADATA!$B$4),IF(DATOS!$G1026="EX",1,IF(DATOS!$G1026="OR",--(COUNTIFS(nNIA,DATOS!$A1026,nCURSO,DATOS!$D1026,nESPEC,DATOS!$E1026,nASIG,DATOS!$I1026,nEVAL,"EX")=0),0))))</f>
      </c>
      <c r="H1026">
        <f>IF(DATOS!$G1026&lt;&gt;"EX",0,--(COUNTIFS(nNIA,DATOS!$A1026,nCURSO,DATOS!$D1026,nESPEC,DATOS!$E1026,nASIG,DATOS!$I1026,nEVAL,"OR")=0))</f>
      </c>
      <c r="I1026">
        <f>IF(DATOS!$I1026="","",IFERROR(VLOOKUP(DATOS!$I1026,CONFIG_ASIGNATURAS!$B$2:$J$91,9,FALSE()),""))</f>
      </c>
    </row>
    <row r="1027">
      <c r="F1027">
        <f>IF(DATOS!$A1027="","",DATOS!$A1027&amp;"|"&amp;DATOS!$D1027&amp;"|"&amp;DATOS!$E1027&amp;"|"&amp;DATOS!$I1027)</f>
      </c>
      <c r="G1027">
        <f>IF(DATOS!$A1027="",0,IF(CONFIG_METADATA!$B$4&lt;&gt;"OR+EX",--(DATOS!$G1027=CONFIG_METADATA!$B$4),IF(DATOS!$G1027="EX",1,IF(DATOS!$G1027="OR",--(COUNTIFS(nNIA,DATOS!$A1027,nCURSO,DATOS!$D1027,nESPEC,DATOS!$E1027,nASIG,DATOS!$I1027,nEVAL,"EX")=0),0))))</f>
      </c>
      <c r="H1027">
        <f>IF(DATOS!$G1027&lt;&gt;"EX",0,--(COUNTIFS(nNIA,DATOS!$A1027,nCURSO,DATOS!$D1027,nESPEC,DATOS!$E1027,nASIG,DATOS!$I1027,nEVAL,"OR")=0))</f>
      </c>
      <c r="I1027">
        <f>IF(DATOS!$I1027="","",IFERROR(VLOOKUP(DATOS!$I1027,CONFIG_ASIGNATURAS!$B$2:$J$91,9,FALSE()),""))</f>
      </c>
    </row>
    <row r="1028">
      <c r="F1028">
        <f>IF(DATOS!$A1028="","",DATOS!$A1028&amp;"|"&amp;DATOS!$D1028&amp;"|"&amp;DATOS!$E1028&amp;"|"&amp;DATOS!$I1028)</f>
      </c>
      <c r="G1028">
        <f>IF(DATOS!$A1028="",0,IF(CONFIG_METADATA!$B$4&lt;&gt;"OR+EX",--(DATOS!$G1028=CONFIG_METADATA!$B$4),IF(DATOS!$G1028="EX",1,IF(DATOS!$G1028="OR",--(COUNTIFS(nNIA,DATOS!$A1028,nCURSO,DATOS!$D1028,nESPEC,DATOS!$E1028,nASIG,DATOS!$I1028,nEVAL,"EX")=0),0))))</f>
      </c>
      <c r="H1028">
        <f>IF(DATOS!$G1028&lt;&gt;"EX",0,--(COUNTIFS(nNIA,DATOS!$A1028,nCURSO,DATOS!$D1028,nESPEC,DATOS!$E1028,nASIG,DATOS!$I1028,nEVAL,"OR")=0))</f>
      </c>
      <c r="I1028">
        <f>IF(DATOS!$I1028="","",IFERROR(VLOOKUP(DATOS!$I1028,CONFIG_ASIGNATURAS!$B$2:$J$91,9,FALSE()),""))</f>
      </c>
    </row>
    <row r="1029">
      <c r="F1029">
        <f>IF(DATOS!$A1029="","",DATOS!$A1029&amp;"|"&amp;DATOS!$D1029&amp;"|"&amp;DATOS!$E1029&amp;"|"&amp;DATOS!$I1029)</f>
      </c>
      <c r="G1029">
        <f>IF(DATOS!$A1029="",0,IF(CONFIG_METADATA!$B$4&lt;&gt;"OR+EX",--(DATOS!$G1029=CONFIG_METADATA!$B$4),IF(DATOS!$G1029="EX",1,IF(DATOS!$G1029="OR",--(COUNTIFS(nNIA,DATOS!$A1029,nCURSO,DATOS!$D1029,nESPEC,DATOS!$E1029,nASIG,DATOS!$I1029,nEVAL,"EX")=0),0))))</f>
      </c>
      <c r="H1029">
        <f>IF(DATOS!$G1029&lt;&gt;"EX",0,--(COUNTIFS(nNIA,DATOS!$A1029,nCURSO,DATOS!$D1029,nESPEC,DATOS!$E1029,nASIG,DATOS!$I1029,nEVAL,"OR")=0))</f>
      </c>
      <c r="I1029">
        <f>IF(DATOS!$I1029="","",IFERROR(VLOOKUP(DATOS!$I1029,CONFIG_ASIGNATURAS!$B$2:$J$91,9,FALSE()),""))</f>
      </c>
    </row>
    <row r="1030">
      <c r="F1030">
        <f>IF(DATOS!$A1030="","",DATOS!$A1030&amp;"|"&amp;DATOS!$D1030&amp;"|"&amp;DATOS!$E1030&amp;"|"&amp;DATOS!$I1030)</f>
      </c>
      <c r="G1030">
        <f>IF(DATOS!$A1030="",0,IF(CONFIG_METADATA!$B$4&lt;&gt;"OR+EX",--(DATOS!$G1030=CONFIG_METADATA!$B$4),IF(DATOS!$G1030="EX",1,IF(DATOS!$G1030="OR",--(COUNTIFS(nNIA,DATOS!$A1030,nCURSO,DATOS!$D1030,nESPEC,DATOS!$E1030,nASIG,DATOS!$I1030,nEVAL,"EX")=0),0))))</f>
      </c>
      <c r="H1030">
        <f>IF(DATOS!$G1030&lt;&gt;"EX",0,--(COUNTIFS(nNIA,DATOS!$A1030,nCURSO,DATOS!$D1030,nESPEC,DATOS!$E1030,nASIG,DATOS!$I1030,nEVAL,"OR")=0))</f>
      </c>
      <c r="I1030">
        <f>IF(DATOS!$I1030="","",IFERROR(VLOOKUP(DATOS!$I1030,CONFIG_ASIGNATURAS!$B$2:$J$91,9,FALSE()),""))</f>
      </c>
    </row>
    <row r="1031">
      <c r="F1031">
        <f>IF(DATOS!$A1031="","",DATOS!$A1031&amp;"|"&amp;DATOS!$D1031&amp;"|"&amp;DATOS!$E1031&amp;"|"&amp;DATOS!$I1031)</f>
      </c>
      <c r="G1031">
        <f>IF(DATOS!$A1031="",0,IF(CONFIG_METADATA!$B$4&lt;&gt;"OR+EX",--(DATOS!$G1031=CONFIG_METADATA!$B$4),IF(DATOS!$G1031="EX",1,IF(DATOS!$G1031="OR",--(COUNTIFS(nNIA,DATOS!$A1031,nCURSO,DATOS!$D1031,nESPEC,DATOS!$E1031,nASIG,DATOS!$I1031,nEVAL,"EX")=0),0))))</f>
      </c>
      <c r="H1031">
        <f>IF(DATOS!$G1031&lt;&gt;"EX",0,--(COUNTIFS(nNIA,DATOS!$A1031,nCURSO,DATOS!$D1031,nESPEC,DATOS!$E1031,nASIG,DATOS!$I1031,nEVAL,"OR")=0))</f>
      </c>
      <c r="I1031">
        <f>IF(DATOS!$I1031="","",IFERROR(VLOOKUP(DATOS!$I1031,CONFIG_ASIGNATURAS!$B$2:$J$91,9,FALSE()),""))</f>
      </c>
    </row>
    <row r="1032">
      <c r="F1032">
        <f>IF(DATOS!$A1032="","",DATOS!$A1032&amp;"|"&amp;DATOS!$D1032&amp;"|"&amp;DATOS!$E1032&amp;"|"&amp;DATOS!$I1032)</f>
      </c>
      <c r="G1032">
        <f>IF(DATOS!$A1032="",0,IF(CONFIG_METADATA!$B$4&lt;&gt;"OR+EX",--(DATOS!$G1032=CONFIG_METADATA!$B$4),IF(DATOS!$G1032="EX",1,IF(DATOS!$G1032="OR",--(COUNTIFS(nNIA,DATOS!$A1032,nCURSO,DATOS!$D1032,nESPEC,DATOS!$E1032,nASIG,DATOS!$I1032,nEVAL,"EX")=0),0))))</f>
      </c>
      <c r="H1032">
        <f>IF(DATOS!$G1032&lt;&gt;"EX",0,--(COUNTIFS(nNIA,DATOS!$A1032,nCURSO,DATOS!$D1032,nESPEC,DATOS!$E1032,nASIG,DATOS!$I1032,nEVAL,"OR")=0))</f>
      </c>
      <c r="I1032">
        <f>IF(DATOS!$I1032="","",IFERROR(VLOOKUP(DATOS!$I1032,CONFIG_ASIGNATURAS!$B$2:$J$91,9,FALSE()),""))</f>
      </c>
    </row>
    <row r="1033">
      <c r="F1033">
        <f>IF(DATOS!$A1033="","",DATOS!$A1033&amp;"|"&amp;DATOS!$D1033&amp;"|"&amp;DATOS!$E1033&amp;"|"&amp;DATOS!$I1033)</f>
      </c>
      <c r="G1033">
        <f>IF(DATOS!$A1033="",0,IF(CONFIG_METADATA!$B$4&lt;&gt;"OR+EX",--(DATOS!$G1033=CONFIG_METADATA!$B$4),IF(DATOS!$G1033="EX",1,IF(DATOS!$G1033="OR",--(COUNTIFS(nNIA,DATOS!$A1033,nCURSO,DATOS!$D1033,nESPEC,DATOS!$E1033,nASIG,DATOS!$I1033,nEVAL,"EX")=0),0))))</f>
      </c>
      <c r="H1033">
        <f>IF(DATOS!$G1033&lt;&gt;"EX",0,--(COUNTIFS(nNIA,DATOS!$A1033,nCURSO,DATOS!$D1033,nESPEC,DATOS!$E1033,nASIG,DATOS!$I1033,nEVAL,"OR")=0))</f>
      </c>
      <c r="I1033">
        <f>IF(DATOS!$I1033="","",IFERROR(VLOOKUP(DATOS!$I1033,CONFIG_ASIGNATURAS!$B$2:$J$91,9,FALSE()),""))</f>
      </c>
    </row>
    <row r="1034">
      <c r="F1034">
        <f>IF(DATOS!$A1034="","",DATOS!$A1034&amp;"|"&amp;DATOS!$D1034&amp;"|"&amp;DATOS!$E1034&amp;"|"&amp;DATOS!$I1034)</f>
      </c>
      <c r="G1034">
        <f>IF(DATOS!$A1034="",0,IF(CONFIG_METADATA!$B$4&lt;&gt;"OR+EX",--(DATOS!$G1034=CONFIG_METADATA!$B$4),IF(DATOS!$G1034="EX",1,IF(DATOS!$G1034="OR",--(COUNTIFS(nNIA,DATOS!$A1034,nCURSO,DATOS!$D1034,nESPEC,DATOS!$E1034,nASIG,DATOS!$I1034,nEVAL,"EX")=0),0))))</f>
      </c>
      <c r="H1034">
        <f>IF(DATOS!$G1034&lt;&gt;"EX",0,--(COUNTIFS(nNIA,DATOS!$A1034,nCURSO,DATOS!$D1034,nESPEC,DATOS!$E1034,nASIG,DATOS!$I1034,nEVAL,"OR")=0))</f>
      </c>
      <c r="I1034">
        <f>IF(DATOS!$I1034="","",IFERROR(VLOOKUP(DATOS!$I1034,CONFIG_ASIGNATURAS!$B$2:$J$91,9,FALSE()),""))</f>
      </c>
    </row>
    <row r="1035">
      <c r="F1035">
        <f>IF(DATOS!$A1035="","",DATOS!$A1035&amp;"|"&amp;DATOS!$D1035&amp;"|"&amp;DATOS!$E1035&amp;"|"&amp;DATOS!$I1035)</f>
      </c>
      <c r="G1035">
        <f>IF(DATOS!$A1035="",0,IF(CONFIG_METADATA!$B$4&lt;&gt;"OR+EX",--(DATOS!$G1035=CONFIG_METADATA!$B$4),IF(DATOS!$G1035="EX",1,IF(DATOS!$G1035="OR",--(COUNTIFS(nNIA,DATOS!$A1035,nCURSO,DATOS!$D1035,nESPEC,DATOS!$E1035,nASIG,DATOS!$I1035,nEVAL,"EX")=0),0))))</f>
      </c>
      <c r="H1035">
        <f>IF(DATOS!$G1035&lt;&gt;"EX",0,--(COUNTIFS(nNIA,DATOS!$A1035,nCURSO,DATOS!$D1035,nESPEC,DATOS!$E1035,nASIG,DATOS!$I1035,nEVAL,"OR")=0))</f>
      </c>
      <c r="I1035">
        <f>IF(DATOS!$I1035="","",IFERROR(VLOOKUP(DATOS!$I1035,CONFIG_ASIGNATURAS!$B$2:$J$91,9,FALSE()),""))</f>
      </c>
    </row>
    <row r="1036">
      <c r="F1036">
        <f>IF(DATOS!$A1036="","",DATOS!$A1036&amp;"|"&amp;DATOS!$D1036&amp;"|"&amp;DATOS!$E1036&amp;"|"&amp;DATOS!$I1036)</f>
      </c>
      <c r="G1036">
        <f>IF(DATOS!$A1036="",0,IF(CONFIG_METADATA!$B$4&lt;&gt;"OR+EX",--(DATOS!$G1036=CONFIG_METADATA!$B$4),IF(DATOS!$G1036="EX",1,IF(DATOS!$G1036="OR",--(COUNTIFS(nNIA,DATOS!$A1036,nCURSO,DATOS!$D1036,nESPEC,DATOS!$E1036,nASIG,DATOS!$I1036,nEVAL,"EX")=0),0))))</f>
      </c>
      <c r="H1036">
        <f>IF(DATOS!$G1036&lt;&gt;"EX",0,--(COUNTIFS(nNIA,DATOS!$A1036,nCURSO,DATOS!$D1036,nESPEC,DATOS!$E1036,nASIG,DATOS!$I1036,nEVAL,"OR")=0))</f>
      </c>
      <c r="I1036">
        <f>IF(DATOS!$I1036="","",IFERROR(VLOOKUP(DATOS!$I1036,CONFIG_ASIGNATURAS!$B$2:$J$91,9,FALSE()),""))</f>
      </c>
    </row>
    <row r="1037">
      <c r="F1037">
        <f>IF(DATOS!$A1037="","",DATOS!$A1037&amp;"|"&amp;DATOS!$D1037&amp;"|"&amp;DATOS!$E1037&amp;"|"&amp;DATOS!$I1037)</f>
      </c>
      <c r="G1037">
        <f>IF(DATOS!$A1037="",0,IF(CONFIG_METADATA!$B$4&lt;&gt;"OR+EX",--(DATOS!$G1037=CONFIG_METADATA!$B$4),IF(DATOS!$G1037="EX",1,IF(DATOS!$G1037="OR",--(COUNTIFS(nNIA,DATOS!$A1037,nCURSO,DATOS!$D1037,nESPEC,DATOS!$E1037,nASIG,DATOS!$I1037,nEVAL,"EX")=0),0))))</f>
      </c>
      <c r="H1037">
        <f>IF(DATOS!$G1037&lt;&gt;"EX",0,--(COUNTIFS(nNIA,DATOS!$A1037,nCURSO,DATOS!$D1037,nESPEC,DATOS!$E1037,nASIG,DATOS!$I1037,nEVAL,"OR")=0))</f>
      </c>
      <c r="I1037">
        <f>IF(DATOS!$I1037="","",IFERROR(VLOOKUP(DATOS!$I1037,CONFIG_ASIGNATURAS!$B$2:$J$91,9,FALSE()),""))</f>
      </c>
    </row>
    <row r="1038">
      <c r="F1038">
        <f>IF(DATOS!$A1038="","",DATOS!$A1038&amp;"|"&amp;DATOS!$D1038&amp;"|"&amp;DATOS!$E1038&amp;"|"&amp;DATOS!$I1038)</f>
      </c>
      <c r="G1038">
        <f>IF(DATOS!$A1038="",0,IF(CONFIG_METADATA!$B$4&lt;&gt;"OR+EX",--(DATOS!$G1038=CONFIG_METADATA!$B$4),IF(DATOS!$G1038="EX",1,IF(DATOS!$G1038="OR",--(COUNTIFS(nNIA,DATOS!$A1038,nCURSO,DATOS!$D1038,nESPEC,DATOS!$E1038,nASIG,DATOS!$I1038,nEVAL,"EX")=0),0))))</f>
      </c>
      <c r="H1038">
        <f>IF(DATOS!$G1038&lt;&gt;"EX",0,--(COUNTIFS(nNIA,DATOS!$A1038,nCURSO,DATOS!$D1038,nESPEC,DATOS!$E1038,nASIG,DATOS!$I1038,nEVAL,"OR")=0))</f>
      </c>
      <c r="I1038">
        <f>IF(DATOS!$I1038="","",IFERROR(VLOOKUP(DATOS!$I1038,CONFIG_ASIGNATURAS!$B$2:$J$91,9,FALSE()),""))</f>
      </c>
    </row>
    <row r="1039">
      <c r="F1039">
        <f>IF(DATOS!$A1039="","",DATOS!$A1039&amp;"|"&amp;DATOS!$D1039&amp;"|"&amp;DATOS!$E1039&amp;"|"&amp;DATOS!$I1039)</f>
      </c>
      <c r="G1039">
        <f>IF(DATOS!$A1039="",0,IF(CONFIG_METADATA!$B$4&lt;&gt;"OR+EX",--(DATOS!$G1039=CONFIG_METADATA!$B$4),IF(DATOS!$G1039="EX",1,IF(DATOS!$G1039="OR",--(COUNTIFS(nNIA,DATOS!$A1039,nCURSO,DATOS!$D1039,nESPEC,DATOS!$E1039,nASIG,DATOS!$I1039,nEVAL,"EX")=0),0))))</f>
      </c>
      <c r="H1039">
        <f>IF(DATOS!$G1039&lt;&gt;"EX",0,--(COUNTIFS(nNIA,DATOS!$A1039,nCURSO,DATOS!$D1039,nESPEC,DATOS!$E1039,nASIG,DATOS!$I1039,nEVAL,"OR")=0))</f>
      </c>
      <c r="I1039">
        <f>IF(DATOS!$I1039="","",IFERROR(VLOOKUP(DATOS!$I1039,CONFIG_ASIGNATURAS!$B$2:$J$91,9,FALSE()),""))</f>
      </c>
    </row>
    <row r="1040">
      <c r="F1040">
        <f>IF(DATOS!$A1040="","",DATOS!$A1040&amp;"|"&amp;DATOS!$D1040&amp;"|"&amp;DATOS!$E1040&amp;"|"&amp;DATOS!$I1040)</f>
      </c>
      <c r="G1040">
        <f>IF(DATOS!$A1040="",0,IF(CONFIG_METADATA!$B$4&lt;&gt;"OR+EX",--(DATOS!$G1040=CONFIG_METADATA!$B$4),IF(DATOS!$G1040="EX",1,IF(DATOS!$G1040="OR",--(COUNTIFS(nNIA,DATOS!$A1040,nCURSO,DATOS!$D1040,nESPEC,DATOS!$E1040,nASIG,DATOS!$I1040,nEVAL,"EX")=0),0))))</f>
      </c>
      <c r="H1040">
        <f>IF(DATOS!$G1040&lt;&gt;"EX",0,--(COUNTIFS(nNIA,DATOS!$A1040,nCURSO,DATOS!$D1040,nESPEC,DATOS!$E1040,nASIG,DATOS!$I1040,nEVAL,"OR")=0))</f>
      </c>
      <c r="I1040">
        <f>IF(DATOS!$I1040="","",IFERROR(VLOOKUP(DATOS!$I1040,CONFIG_ASIGNATURAS!$B$2:$J$91,9,FALSE()),""))</f>
      </c>
    </row>
    <row r="1041">
      <c r="F1041">
        <f>IF(DATOS!$A1041="","",DATOS!$A1041&amp;"|"&amp;DATOS!$D1041&amp;"|"&amp;DATOS!$E1041&amp;"|"&amp;DATOS!$I1041)</f>
      </c>
      <c r="G1041">
        <f>IF(DATOS!$A1041="",0,IF(CONFIG_METADATA!$B$4&lt;&gt;"OR+EX",--(DATOS!$G1041=CONFIG_METADATA!$B$4),IF(DATOS!$G1041="EX",1,IF(DATOS!$G1041="OR",--(COUNTIFS(nNIA,DATOS!$A1041,nCURSO,DATOS!$D1041,nESPEC,DATOS!$E1041,nASIG,DATOS!$I1041,nEVAL,"EX")=0),0))))</f>
      </c>
      <c r="H1041">
        <f>IF(DATOS!$G1041&lt;&gt;"EX",0,--(COUNTIFS(nNIA,DATOS!$A1041,nCURSO,DATOS!$D1041,nESPEC,DATOS!$E1041,nASIG,DATOS!$I1041,nEVAL,"OR")=0))</f>
      </c>
      <c r="I1041">
        <f>IF(DATOS!$I1041="","",IFERROR(VLOOKUP(DATOS!$I1041,CONFIG_ASIGNATURAS!$B$2:$J$91,9,FALSE()),""))</f>
      </c>
    </row>
    <row r="1042">
      <c r="F1042">
        <f>IF(DATOS!$A1042="","",DATOS!$A1042&amp;"|"&amp;DATOS!$D1042&amp;"|"&amp;DATOS!$E1042&amp;"|"&amp;DATOS!$I1042)</f>
      </c>
      <c r="G1042">
        <f>IF(DATOS!$A1042="",0,IF(CONFIG_METADATA!$B$4&lt;&gt;"OR+EX",--(DATOS!$G1042=CONFIG_METADATA!$B$4),IF(DATOS!$G1042="EX",1,IF(DATOS!$G1042="OR",--(COUNTIFS(nNIA,DATOS!$A1042,nCURSO,DATOS!$D1042,nESPEC,DATOS!$E1042,nASIG,DATOS!$I1042,nEVAL,"EX")=0),0))))</f>
      </c>
      <c r="H1042">
        <f>IF(DATOS!$G1042&lt;&gt;"EX",0,--(COUNTIFS(nNIA,DATOS!$A1042,nCURSO,DATOS!$D1042,nESPEC,DATOS!$E1042,nASIG,DATOS!$I1042,nEVAL,"OR")=0))</f>
      </c>
      <c r="I1042">
        <f>IF(DATOS!$I1042="","",IFERROR(VLOOKUP(DATOS!$I1042,CONFIG_ASIGNATURAS!$B$2:$J$91,9,FALSE()),""))</f>
      </c>
    </row>
    <row r="1043">
      <c r="F1043">
        <f>IF(DATOS!$A1043="","",DATOS!$A1043&amp;"|"&amp;DATOS!$D1043&amp;"|"&amp;DATOS!$E1043&amp;"|"&amp;DATOS!$I1043)</f>
      </c>
      <c r="G1043">
        <f>IF(DATOS!$A1043="",0,IF(CONFIG_METADATA!$B$4&lt;&gt;"OR+EX",--(DATOS!$G1043=CONFIG_METADATA!$B$4),IF(DATOS!$G1043="EX",1,IF(DATOS!$G1043="OR",--(COUNTIFS(nNIA,DATOS!$A1043,nCURSO,DATOS!$D1043,nESPEC,DATOS!$E1043,nASIG,DATOS!$I1043,nEVAL,"EX")=0),0))))</f>
      </c>
      <c r="H1043">
        <f>IF(DATOS!$G1043&lt;&gt;"EX",0,--(COUNTIFS(nNIA,DATOS!$A1043,nCURSO,DATOS!$D1043,nESPEC,DATOS!$E1043,nASIG,DATOS!$I1043,nEVAL,"OR")=0))</f>
      </c>
      <c r="I1043">
        <f>IF(DATOS!$I1043="","",IFERROR(VLOOKUP(DATOS!$I1043,CONFIG_ASIGNATURAS!$B$2:$J$91,9,FALSE()),""))</f>
      </c>
    </row>
    <row r="1044">
      <c r="F1044">
        <f>IF(DATOS!$A1044="","",DATOS!$A1044&amp;"|"&amp;DATOS!$D1044&amp;"|"&amp;DATOS!$E1044&amp;"|"&amp;DATOS!$I1044)</f>
      </c>
      <c r="G1044">
        <f>IF(DATOS!$A1044="",0,IF(CONFIG_METADATA!$B$4&lt;&gt;"OR+EX",--(DATOS!$G1044=CONFIG_METADATA!$B$4),IF(DATOS!$G1044="EX",1,IF(DATOS!$G1044="OR",--(COUNTIFS(nNIA,DATOS!$A1044,nCURSO,DATOS!$D1044,nESPEC,DATOS!$E1044,nASIG,DATOS!$I1044,nEVAL,"EX")=0),0))))</f>
      </c>
      <c r="H1044">
        <f>IF(DATOS!$G1044&lt;&gt;"EX",0,--(COUNTIFS(nNIA,DATOS!$A1044,nCURSO,DATOS!$D1044,nESPEC,DATOS!$E1044,nASIG,DATOS!$I1044,nEVAL,"OR")=0))</f>
      </c>
      <c r="I1044">
        <f>IF(DATOS!$I1044="","",IFERROR(VLOOKUP(DATOS!$I1044,CONFIG_ASIGNATURAS!$B$2:$J$91,9,FALSE()),""))</f>
      </c>
    </row>
    <row r="1045">
      <c r="F1045">
        <f>IF(DATOS!$A1045="","",DATOS!$A1045&amp;"|"&amp;DATOS!$D1045&amp;"|"&amp;DATOS!$E1045&amp;"|"&amp;DATOS!$I1045)</f>
      </c>
      <c r="G1045">
        <f>IF(DATOS!$A1045="",0,IF(CONFIG_METADATA!$B$4&lt;&gt;"OR+EX",--(DATOS!$G1045=CONFIG_METADATA!$B$4),IF(DATOS!$G1045="EX",1,IF(DATOS!$G1045="OR",--(COUNTIFS(nNIA,DATOS!$A1045,nCURSO,DATOS!$D1045,nESPEC,DATOS!$E1045,nASIG,DATOS!$I1045,nEVAL,"EX")=0),0))))</f>
      </c>
      <c r="H1045">
        <f>IF(DATOS!$G1045&lt;&gt;"EX",0,--(COUNTIFS(nNIA,DATOS!$A1045,nCURSO,DATOS!$D1045,nESPEC,DATOS!$E1045,nASIG,DATOS!$I1045,nEVAL,"OR")=0))</f>
      </c>
      <c r="I1045">
        <f>IF(DATOS!$I1045="","",IFERROR(VLOOKUP(DATOS!$I1045,CONFIG_ASIGNATURAS!$B$2:$J$91,9,FALSE()),""))</f>
      </c>
    </row>
    <row r="1046">
      <c r="F1046">
        <f>IF(DATOS!$A1046="","",DATOS!$A1046&amp;"|"&amp;DATOS!$D1046&amp;"|"&amp;DATOS!$E1046&amp;"|"&amp;DATOS!$I1046)</f>
      </c>
      <c r="G1046">
        <f>IF(DATOS!$A1046="",0,IF(CONFIG_METADATA!$B$4&lt;&gt;"OR+EX",--(DATOS!$G1046=CONFIG_METADATA!$B$4),IF(DATOS!$G1046="EX",1,IF(DATOS!$G1046="OR",--(COUNTIFS(nNIA,DATOS!$A1046,nCURSO,DATOS!$D1046,nESPEC,DATOS!$E1046,nASIG,DATOS!$I1046,nEVAL,"EX")=0),0))))</f>
      </c>
      <c r="H1046">
        <f>IF(DATOS!$G1046&lt;&gt;"EX",0,--(COUNTIFS(nNIA,DATOS!$A1046,nCURSO,DATOS!$D1046,nESPEC,DATOS!$E1046,nASIG,DATOS!$I1046,nEVAL,"OR")=0))</f>
      </c>
      <c r="I1046">
        <f>IF(DATOS!$I1046="","",IFERROR(VLOOKUP(DATOS!$I1046,CONFIG_ASIGNATURAS!$B$2:$J$91,9,FALSE()),""))</f>
      </c>
    </row>
    <row r="1047">
      <c r="F1047">
        <f>IF(DATOS!$A1047="","",DATOS!$A1047&amp;"|"&amp;DATOS!$D1047&amp;"|"&amp;DATOS!$E1047&amp;"|"&amp;DATOS!$I1047)</f>
      </c>
      <c r="G1047">
        <f>IF(DATOS!$A1047="",0,IF(CONFIG_METADATA!$B$4&lt;&gt;"OR+EX",--(DATOS!$G1047=CONFIG_METADATA!$B$4),IF(DATOS!$G1047="EX",1,IF(DATOS!$G1047="OR",--(COUNTIFS(nNIA,DATOS!$A1047,nCURSO,DATOS!$D1047,nESPEC,DATOS!$E1047,nASIG,DATOS!$I1047,nEVAL,"EX")=0),0))))</f>
      </c>
      <c r="H1047">
        <f>IF(DATOS!$G1047&lt;&gt;"EX",0,--(COUNTIFS(nNIA,DATOS!$A1047,nCURSO,DATOS!$D1047,nESPEC,DATOS!$E1047,nASIG,DATOS!$I1047,nEVAL,"OR")=0))</f>
      </c>
      <c r="I1047">
        <f>IF(DATOS!$I1047="","",IFERROR(VLOOKUP(DATOS!$I1047,CONFIG_ASIGNATURAS!$B$2:$J$91,9,FALSE()),""))</f>
      </c>
    </row>
    <row r="1048">
      <c r="F1048">
        <f>IF(DATOS!$A1048="","",DATOS!$A1048&amp;"|"&amp;DATOS!$D1048&amp;"|"&amp;DATOS!$E1048&amp;"|"&amp;DATOS!$I1048)</f>
      </c>
      <c r="G1048">
        <f>IF(DATOS!$A1048="",0,IF(CONFIG_METADATA!$B$4&lt;&gt;"OR+EX",--(DATOS!$G1048=CONFIG_METADATA!$B$4),IF(DATOS!$G1048="EX",1,IF(DATOS!$G1048="OR",--(COUNTIFS(nNIA,DATOS!$A1048,nCURSO,DATOS!$D1048,nESPEC,DATOS!$E1048,nASIG,DATOS!$I1048,nEVAL,"EX")=0),0))))</f>
      </c>
      <c r="H1048">
        <f>IF(DATOS!$G1048&lt;&gt;"EX",0,--(COUNTIFS(nNIA,DATOS!$A1048,nCURSO,DATOS!$D1048,nESPEC,DATOS!$E1048,nASIG,DATOS!$I1048,nEVAL,"OR")=0))</f>
      </c>
      <c r="I1048">
        <f>IF(DATOS!$I1048="","",IFERROR(VLOOKUP(DATOS!$I1048,CONFIG_ASIGNATURAS!$B$2:$J$91,9,FALSE()),""))</f>
      </c>
    </row>
    <row r="1049">
      <c r="F1049">
        <f>IF(DATOS!$A1049="","",DATOS!$A1049&amp;"|"&amp;DATOS!$D1049&amp;"|"&amp;DATOS!$E1049&amp;"|"&amp;DATOS!$I1049)</f>
      </c>
      <c r="G1049">
        <f>IF(DATOS!$A1049="",0,IF(CONFIG_METADATA!$B$4&lt;&gt;"OR+EX",--(DATOS!$G1049=CONFIG_METADATA!$B$4),IF(DATOS!$G1049="EX",1,IF(DATOS!$G1049="OR",--(COUNTIFS(nNIA,DATOS!$A1049,nCURSO,DATOS!$D1049,nESPEC,DATOS!$E1049,nASIG,DATOS!$I1049,nEVAL,"EX")=0),0))))</f>
      </c>
      <c r="H1049">
        <f>IF(DATOS!$G1049&lt;&gt;"EX",0,--(COUNTIFS(nNIA,DATOS!$A1049,nCURSO,DATOS!$D1049,nESPEC,DATOS!$E1049,nASIG,DATOS!$I1049,nEVAL,"OR")=0))</f>
      </c>
      <c r="I1049">
        <f>IF(DATOS!$I1049="","",IFERROR(VLOOKUP(DATOS!$I1049,CONFIG_ASIGNATURAS!$B$2:$J$91,9,FALSE()),""))</f>
      </c>
    </row>
    <row r="1050">
      <c r="F1050">
        <f>IF(DATOS!$A1050="","",DATOS!$A1050&amp;"|"&amp;DATOS!$D1050&amp;"|"&amp;DATOS!$E1050&amp;"|"&amp;DATOS!$I1050)</f>
      </c>
      <c r="G1050">
        <f>IF(DATOS!$A1050="",0,IF(CONFIG_METADATA!$B$4&lt;&gt;"OR+EX",--(DATOS!$G1050=CONFIG_METADATA!$B$4),IF(DATOS!$G1050="EX",1,IF(DATOS!$G1050="OR",--(COUNTIFS(nNIA,DATOS!$A1050,nCURSO,DATOS!$D1050,nESPEC,DATOS!$E1050,nASIG,DATOS!$I1050,nEVAL,"EX")=0),0))))</f>
      </c>
      <c r="H1050">
        <f>IF(DATOS!$G1050&lt;&gt;"EX",0,--(COUNTIFS(nNIA,DATOS!$A1050,nCURSO,DATOS!$D1050,nESPEC,DATOS!$E1050,nASIG,DATOS!$I1050,nEVAL,"OR")=0))</f>
      </c>
      <c r="I1050">
        <f>IF(DATOS!$I1050="","",IFERROR(VLOOKUP(DATOS!$I1050,CONFIG_ASIGNATURAS!$B$2:$J$91,9,FALSE()),""))</f>
      </c>
    </row>
    <row r="1051">
      <c r="F1051">
        <f>IF(DATOS!$A1051="","",DATOS!$A1051&amp;"|"&amp;DATOS!$D1051&amp;"|"&amp;DATOS!$E1051&amp;"|"&amp;DATOS!$I1051)</f>
      </c>
      <c r="G1051">
        <f>IF(DATOS!$A1051="",0,IF(CONFIG_METADATA!$B$4&lt;&gt;"OR+EX",--(DATOS!$G1051=CONFIG_METADATA!$B$4),IF(DATOS!$G1051="EX",1,IF(DATOS!$G1051="OR",--(COUNTIFS(nNIA,DATOS!$A1051,nCURSO,DATOS!$D1051,nESPEC,DATOS!$E1051,nASIG,DATOS!$I1051,nEVAL,"EX")=0),0))))</f>
      </c>
      <c r="H1051">
        <f>IF(DATOS!$G1051&lt;&gt;"EX",0,--(COUNTIFS(nNIA,DATOS!$A1051,nCURSO,DATOS!$D1051,nESPEC,DATOS!$E1051,nASIG,DATOS!$I1051,nEVAL,"OR")=0))</f>
      </c>
      <c r="I1051">
        <f>IF(DATOS!$I1051="","",IFERROR(VLOOKUP(DATOS!$I1051,CONFIG_ASIGNATURAS!$B$2:$J$91,9,FALSE()),""))</f>
      </c>
    </row>
    <row r="1052">
      <c r="F1052">
        <f>IF(DATOS!$A1052="","",DATOS!$A1052&amp;"|"&amp;DATOS!$D1052&amp;"|"&amp;DATOS!$E1052&amp;"|"&amp;DATOS!$I1052)</f>
      </c>
      <c r="G1052">
        <f>IF(DATOS!$A1052="",0,IF(CONFIG_METADATA!$B$4&lt;&gt;"OR+EX",--(DATOS!$G1052=CONFIG_METADATA!$B$4),IF(DATOS!$G1052="EX",1,IF(DATOS!$G1052="OR",--(COUNTIFS(nNIA,DATOS!$A1052,nCURSO,DATOS!$D1052,nESPEC,DATOS!$E1052,nASIG,DATOS!$I1052,nEVAL,"EX")=0),0))))</f>
      </c>
      <c r="H1052">
        <f>IF(DATOS!$G1052&lt;&gt;"EX",0,--(COUNTIFS(nNIA,DATOS!$A1052,nCURSO,DATOS!$D1052,nESPEC,DATOS!$E1052,nASIG,DATOS!$I1052,nEVAL,"OR")=0))</f>
      </c>
      <c r="I1052">
        <f>IF(DATOS!$I1052="","",IFERROR(VLOOKUP(DATOS!$I1052,CONFIG_ASIGNATURAS!$B$2:$J$91,9,FALSE()),""))</f>
      </c>
    </row>
    <row r="1053">
      <c r="F1053">
        <f>IF(DATOS!$A1053="","",DATOS!$A1053&amp;"|"&amp;DATOS!$D1053&amp;"|"&amp;DATOS!$E1053&amp;"|"&amp;DATOS!$I1053)</f>
      </c>
      <c r="G1053">
        <f>IF(DATOS!$A1053="",0,IF(CONFIG_METADATA!$B$4&lt;&gt;"OR+EX",--(DATOS!$G1053=CONFIG_METADATA!$B$4),IF(DATOS!$G1053="EX",1,IF(DATOS!$G1053="OR",--(COUNTIFS(nNIA,DATOS!$A1053,nCURSO,DATOS!$D1053,nESPEC,DATOS!$E1053,nASIG,DATOS!$I1053,nEVAL,"EX")=0),0))))</f>
      </c>
      <c r="H1053">
        <f>IF(DATOS!$G1053&lt;&gt;"EX",0,--(COUNTIFS(nNIA,DATOS!$A1053,nCURSO,DATOS!$D1053,nESPEC,DATOS!$E1053,nASIG,DATOS!$I1053,nEVAL,"OR")=0))</f>
      </c>
      <c r="I1053">
        <f>IF(DATOS!$I1053="","",IFERROR(VLOOKUP(DATOS!$I1053,CONFIG_ASIGNATURAS!$B$2:$J$91,9,FALSE()),""))</f>
      </c>
    </row>
    <row r="1054">
      <c r="F1054">
        <f>IF(DATOS!$A1054="","",DATOS!$A1054&amp;"|"&amp;DATOS!$D1054&amp;"|"&amp;DATOS!$E1054&amp;"|"&amp;DATOS!$I1054)</f>
      </c>
      <c r="G1054">
        <f>IF(DATOS!$A1054="",0,IF(CONFIG_METADATA!$B$4&lt;&gt;"OR+EX",--(DATOS!$G1054=CONFIG_METADATA!$B$4),IF(DATOS!$G1054="EX",1,IF(DATOS!$G1054="OR",--(COUNTIFS(nNIA,DATOS!$A1054,nCURSO,DATOS!$D1054,nESPEC,DATOS!$E1054,nASIG,DATOS!$I1054,nEVAL,"EX")=0),0))))</f>
      </c>
      <c r="H1054">
        <f>IF(DATOS!$G1054&lt;&gt;"EX",0,--(COUNTIFS(nNIA,DATOS!$A1054,nCURSO,DATOS!$D1054,nESPEC,DATOS!$E1054,nASIG,DATOS!$I1054,nEVAL,"OR")=0))</f>
      </c>
      <c r="I1054">
        <f>IF(DATOS!$I1054="","",IFERROR(VLOOKUP(DATOS!$I1054,CONFIG_ASIGNATURAS!$B$2:$J$91,9,FALSE()),""))</f>
      </c>
    </row>
    <row r="1055">
      <c r="F1055">
        <f>IF(DATOS!$A1055="","",DATOS!$A1055&amp;"|"&amp;DATOS!$D1055&amp;"|"&amp;DATOS!$E1055&amp;"|"&amp;DATOS!$I1055)</f>
      </c>
      <c r="G1055">
        <f>IF(DATOS!$A1055="",0,IF(CONFIG_METADATA!$B$4&lt;&gt;"OR+EX",--(DATOS!$G1055=CONFIG_METADATA!$B$4),IF(DATOS!$G1055="EX",1,IF(DATOS!$G1055="OR",--(COUNTIFS(nNIA,DATOS!$A1055,nCURSO,DATOS!$D1055,nESPEC,DATOS!$E1055,nASIG,DATOS!$I1055,nEVAL,"EX")=0),0))))</f>
      </c>
      <c r="H1055">
        <f>IF(DATOS!$G1055&lt;&gt;"EX",0,--(COUNTIFS(nNIA,DATOS!$A1055,nCURSO,DATOS!$D1055,nESPEC,DATOS!$E1055,nASIG,DATOS!$I1055,nEVAL,"OR")=0))</f>
      </c>
      <c r="I1055">
        <f>IF(DATOS!$I1055="","",IFERROR(VLOOKUP(DATOS!$I1055,CONFIG_ASIGNATURAS!$B$2:$J$91,9,FALSE()),""))</f>
      </c>
    </row>
    <row r="1056">
      <c r="F1056">
        <f>IF(DATOS!$A1056="","",DATOS!$A1056&amp;"|"&amp;DATOS!$D1056&amp;"|"&amp;DATOS!$E1056&amp;"|"&amp;DATOS!$I1056)</f>
      </c>
      <c r="G1056">
        <f>IF(DATOS!$A1056="",0,IF(CONFIG_METADATA!$B$4&lt;&gt;"OR+EX",--(DATOS!$G1056=CONFIG_METADATA!$B$4),IF(DATOS!$G1056="EX",1,IF(DATOS!$G1056="OR",--(COUNTIFS(nNIA,DATOS!$A1056,nCURSO,DATOS!$D1056,nESPEC,DATOS!$E1056,nASIG,DATOS!$I1056,nEVAL,"EX")=0),0))))</f>
      </c>
      <c r="H1056">
        <f>IF(DATOS!$G1056&lt;&gt;"EX",0,--(COUNTIFS(nNIA,DATOS!$A1056,nCURSO,DATOS!$D1056,nESPEC,DATOS!$E1056,nASIG,DATOS!$I1056,nEVAL,"OR")=0))</f>
      </c>
      <c r="I1056">
        <f>IF(DATOS!$I1056="","",IFERROR(VLOOKUP(DATOS!$I1056,CONFIG_ASIGNATURAS!$B$2:$J$91,9,FALSE()),""))</f>
      </c>
    </row>
    <row r="1057">
      <c r="F1057">
        <f>IF(DATOS!$A1057="","",DATOS!$A1057&amp;"|"&amp;DATOS!$D1057&amp;"|"&amp;DATOS!$E1057&amp;"|"&amp;DATOS!$I1057)</f>
      </c>
      <c r="G1057">
        <f>IF(DATOS!$A1057="",0,IF(CONFIG_METADATA!$B$4&lt;&gt;"OR+EX",--(DATOS!$G1057=CONFIG_METADATA!$B$4),IF(DATOS!$G1057="EX",1,IF(DATOS!$G1057="OR",--(COUNTIFS(nNIA,DATOS!$A1057,nCURSO,DATOS!$D1057,nESPEC,DATOS!$E1057,nASIG,DATOS!$I1057,nEVAL,"EX")=0),0))))</f>
      </c>
      <c r="H1057">
        <f>IF(DATOS!$G1057&lt;&gt;"EX",0,--(COUNTIFS(nNIA,DATOS!$A1057,nCURSO,DATOS!$D1057,nESPEC,DATOS!$E1057,nASIG,DATOS!$I1057,nEVAL,"OR")=0))</f>
      </c>
      <c r="I1057">
        <f>IF(DATOS!$I1057="","",IFERROR(VLOOKUP(DATOS!$I1057,CONFIG_ASIGNATURAS!$B$2:$J$91,9,FALSE()),""))</f>
      </c>
    </row>
    <row r="1058">
      <c r="F1058">
        <f>IF(DATOS!$A1058="","",DATOS!$A1058&amp;"|"&amp;DATOS!$D1058&amp;"|"&amp;DATOS!$E1058&amp;"|"&amp;DATOS!$I1058)</f>
      </c>
      <c r="G1058">
        <f>IF(DATOS!$A1058="",0,IF(CONFIG_METADATA!$B$4&lt;&gt;"OR+EX",--(DATOS!$G1058=CONFIG_METADATA!$B$4),IF(DATOS!$G1058="EX",1,IF(DATOS!$G1058="OR",--(COUNTIFS(nNIA,DATOS!$A1058,nCURSO,DATOS!$D1058,nESPEC,DATOS!$E1058,nASIG,DATOS!$I1058,nEVAL,"EX")=0),0))))</f>
      </c>
      <c r="H1058">
        <f>IF(DATOS!$G1058&lt;&gt;"EX",0,--(COUNTIFS(nNIA,DATOS!$A1058,nCURSO,DATOS!$D1058,nESPEC,DATOS!$E1058,nASIG,DATOS!$I1058,nEVAL,"OR")=0))</f>
      </c>
      <c r="I1058">
        <f>IF(DATOS!$I1058="","",IFERROR(VLOOKUP(DATOS!$I1058,CONFIG_ASIGNATURAS!$B$2:$J$91,9,FALSE()),""))</f>
      </c>
    </row>
    <row r="1059">
      <c r="F1059">
        <f>IF(DATOS!$A1059="","",DATOS!$A1059&amp;"|"&amp;DATOS!$D1059&amp;"|"&amp;DATOS!$E1059&amp;"|"&amp;DATOS!$I1059)</f>
      </c>
      <c r="G1059">
        <f>IF(DATOS!$A1059="",0,IF(CONFIG_METADATA!$B$4&lt;&gt;"OR+EX",--(DATOS!$G1059=CONFIG_METADATA!$B$4),IF(DATOS!$G1059="EX",1,IF(DATOS!$G1059="OR",--(COUNTIFS(nNIA,DATOS!$A1059,nCURSO,DATOS!$D1059,nESPEC,DATOS!$E1059,nASIG,DATOS!$I1059,nEVAL,"EX")=0),0))))</f>
      </c>
      <c r="H1059">
        <f>IF(DATOS!$G1059&lt;&gt;"EX",0,--(COUNTIFS(nNIA,DATOS!$A1059,nCURSO,DATOS!$D1059,nESPEC,DATOS!$E1059,nASIG,DATOS!$I1059,nEVAL,"OR")=0))</f>
      </c>
      <c r="I1059">
        <f>IF(DATOS!$I1059="","",IFERROR(VLOOKUP(DATOS!$I1059,CONFIG_ASIGNATURAS!$B$2:$J$91,9,FALSE()),""))</f>
      </c>
    </row>
    <row r="1060">
      <c r="F1060">
        <f>IF(DATOS!$A1060="","",DATOS!$A1060&amp;"|"&amp;DATOS!$D1060&amp;"|"&amp;DATOS!$E1060&amp;"|"&amp;DATOS!$I1060)</f>
      </c>
      <c r="G1060">
        <f>IF(DATOS!$A1060="",0,IF(CONFIG_METADATA!$B$4&lt;&gt;"OR+EX",--(DATOS!$G1060=CONFIG_METADATA!$B$4),IF(DATOS!$G1060="EX",1,IF(DATOS!$G1060="OR",--(COUNTIFS(nNIA,DATOS!$A1060,nCURSO,DATOS!$D1060,nESPEC,DATOS!$E1060,nASIG,DATOS!$I1060,nEVAL,"EX")=0),0))))</f>
      </c>
      <c r="H1060">
        <f>IF(DATOS!$G1060&lt;&gt;"EX",0,--(COUNTIFS(nNIA,DATOS!$A1060,nCURSO,DATOS!$D1060,nESPEC,DATOS!$E1060,nASIG,DATOS!$I1060,nEVAL,"OR")=0))</f>
      </c>
      <c r="I1060">
        <f>IF(DATOS!$I1060="","",IFERROR(VLOOKUP(DATOS!$I1060,CONFIG_ASIGNATURAS!$B$2:$J$91,9,FALSE()),""))</f>
      </c>
    </row>
    <row r="1061">
      <c r="F1061">
        <f>IF(DATOS!$A1061="","",DATOS!$A1061&amp;"|"&amp;DATOS!$D1061&amp;"|"&amp;DATOS!$E1061&amp;"|"&amp;DATOS!$I1061)</f>
      </c>
      <c r="G1061">
        <f>IF(DATOS!$A1061="",0,IF(CONFIG_METADATA!$B$4&lt;&gt;"OR+EX",--(DATOS!$G1061=CONFIG_METADATA!$B$4),IF(DATOS!$G1061="EX",1,IF(DATOS!$G1061="OR",--(COUNTIFS(nNIA,DATOS!$A1061,nCURSO,DATOS!$D1061,nESPEC,DATOS!$E1061,nASIG,DATOS!$I1061,nEVAL,"EX")=0),0))))</f>
      </c>
      <c r="H1061">
        <f>IF(DATOS!$G1061&lt;&gt;"EX",0,--(COUNTIFS(nNIA,DATOS!$A1061,nCURSO,DATOS!$D1061,nESPEC,DATOS!$E1061,nASIG,DATOS!$I1061,nEVAL,"OR")=0))</f>
      </c>
      <c r="I1061">
        <f>IF(DATOS!$I1061="","",IFERROR(VLOOKUP(DATOS!$I1061,CONFIG_ASIGNATURAS!$B$2:$J$91,9,FALSE()),""))</f>
      </c>
    </row>
    <row r="1062">
      <c r="F1062">
        <f>IF(DATOS!$A1062="","",DATOS!$A1062&amp;"|"&amp;DATOS!$D1062&amp;"|"&amp;DATOS!$E1062&amp;"|"&amp;DATOS!$I1062)</f>
      </c>
      <c r="G1062">
        <f>IF(DATOS!$A1062="",0,IF(CONFIG_METADATA!$B$4&lt;&gt;"OR+EX",--(DATOS!$G1062=CONFIG_METADATA!$B$4),IF(DATOS!$G1062="EX",1,IF(DATOS!$G1062="OR",--(COUNTIFS(nNIA,DATOS!$A1062,nCURSO,DATOS!$D1062,nESPEC,DATOS!$E1062,nASIG,DATOS!$I1062,nEVAL,"EX")=0),0))))</f>
      </c>
      <c r="H1062">
        <f>IF(DATOS!$G1062&lt;&gt;"EX",0,--(COUNTIFS(nNIA,DATOS!$A1062,nCURSO,DATOS!$D1062,nESPEC,DATOS!$E1062,nASIG,DATOS!$I1062,nEVAL,"OR")=0))</f>
      </c>
      <c r="I1062">
        <f>IF(DATOS!$I1062="","",IFERROR(VLOOKUP(DATOS!$I1062,CONFIG_ASIGNATURAS!$B$2:$J$91,9,FALSE()),""))</f>
      </c>
    </row>
    <row r="1063">
      <c r="F1063">
        <f>IF(DATOS!$A1063="","",DATOS!$A1063&amp;"|"&amp;DATOS!$D1063&amp;"|"&amp;DATOS!$E1063&amp;"|"&amp;DATOS!$I1063)</f>
      </c>
      <c r="G1063">
        <f>IF(DATOS!$A1063="",0,IF(CONFIG_METADATA!$B$4&lt;&gt;"OR+EX",--(DATOS!$G1063=CONFIG_METADATA!$B$4),IF(DATOS!$G1063="EX",1,IF(DATOS!$G1063="OR",--(COUNTIFS(nNIA,DATOS!$A1063,nCURSO,DATOS!$D1063,nESPEC,DATOS!$E1063,nASIG,DATOS!$I1063,nEVAL,"EX")=0),0))))</f>
      </c>
      <c r="H1063">
        <f>IF(DATOS!$G1063&lt;&gt;"EX",0,--(COUNTIFS(nNIA,DATOS!$A1063,nCURSO,DATOS!$D1063,nESPEC,DATOS!$E1063,nASIG,DATOS!$I1063,nEVAL,"OR")=0))</f>
      </c>
      <c r="I1063">
        <f>IF(DATOS!$I1063="","",IFERROR(VLOOKUP(DATOS!$I1063,CONFIG_ASIGNATURAS!$B$2:$J$91,9,FALSE()),""))</f>
      </c>
    </row>
    <row r="1064">
      <c r="F1064">
        <f>IF(DATOS!$A1064="","",DATOS!$A1064&amp;"|"&amp;DATOS!$D1064&amp;"|"&amp;DATOS!$E1064&amp;"|"&amp;DATOS!$I1064)</f>
      </c>
      <c r="G1064">
        <f>IF(DATOS!$A1064="",0,IF(CONFIG_METADATA!$B$4&lt;&gt;"OR+EX",--(DATOS!$G1064=CONFIG_METADATA!$B$4),IF(DATOS!$G1064="EX",1,IF(DATOS!$G1064="OR",--(COUNTIFS(nNIA,DATOS!$A1064,nCURSO,DATOS!$D1064,nESPEC,DATOS!$E1064,nASIG,DATOS!$I1064,nEVAL,"EX")=0),0))))</f>
      </c>
      <c r="H1064">
        <f>IF(DATOS!$G1064&lt;&gt;"EX",0,--(COUNTIFS(nNIA,DATOS!$A1064,nCURSO,DATOS!$D1064,nESPEC,DATOS!$E1064,nASIG,DATOS!$I1064,nEVAL,"OR")=0))</f>
      </c>
      <c r="I1064">
        <f>IF(DATOS!$I1064="","",IFERROR(VLOOKUP(DATOS!$I1064,CONFIG_ASIGNATURAS!$B$2:$J$91,9,FALSE()),""))</f>
      </c>
    </row>
    <row r="1065">
      <c r="F1065">
        <f>IF(DATOS!$A1065="","",DATOS!$A1065&amp;"|"&amp;DATOS!$D1065&amp;"|"&amp;DATOS!$E1065&amp;"|"&amp;DATOS!$I1065)</f>
      </c>
      <c r="G1065">
        <f>IF(DATOS!$A1065="",0,IF(CONFIG_METADATA!$B$4&lt;&gt;"OR+EX",--(DATOS!$G1065=CONFIG_METADATA!$B$4),IF(DATOS!$G1065="EX",1,IF(DATOS!$G1065="OR",--(COUNTIFS(nNIA,DATOS!$A1065,nCURSO,DATOS!$D1065,nESPEC,DATOS!$E1065,nASIG,DATOS!$I1065,nEVAL,"EX")=0),0))))</f>
      </c>
      <c r="H1065">
        <f>IF(DATOS!$G1065&lt;&gt;"EX",0,--(COUNTIFS(nNIA,DATOS!$A1065,nCURSO,DATOS!$D1065,nESPEC,DATOS!$E1065,nASIG,DATOS!$I1065,nEVAL,"OR")=0))</f>
      </c>
      <c r="I1065">
        <f>IF(DATOS!$I1065="","",IFERROR(VLOOKUP(DATOS!$I1065,CONFIG_ASIGNATURAS!$B$2:$J$91,9,FALSE()),""))</f>
      </c>
    </row>
    <row r="1066">
      <c r="F1066">
        <f>IF(DATOS!$A1066="","",DATOS!$A1066&amp;"|"&amp;DATOS!$D1066&amp;"|"&amp;DATOS!$E1066&amp;"|"&amp;DATOS!$I1066)</f>
      </c>
      <c r="G1066">
        <f>IF(DATOS!$A1066="",0,IF(CONFIG_METADATA!$B$4&lt;&gt;"OR+EX",--(DATOS!$G1066=CONFIG_METADATA!$B$4),IF(DATOS!$G1066="EX",1,IF(DATOS!$G1066="OR",--(COUNTIFS(nNIA,DATOS!$A1066,nCURSO,DATOS!$D1066,nESPEC,DATOS!$E1066,nASIG,DATOS!$I1066,nEVAL,"EX")=0),0))))</f>
      </c>
      <c r="H1066">
        <f>IF(DATOS!$G1066&lt;&gt;"EX",0,--(COUNTIFS(nNIA,DATOS!$A1066,nCURSO,DATOS!$D1066,nESPEC,DATOS!$E1066,nASIG,DATOS!$I1066,nEVAL,"OR")=0))</f>
      </c>
      <c r="I1066">
        <f>IF(DATOS!$I1066="","",IFERROR(VLOOKUP(DATOS!$I1066,CONFIG_ASIGNATURAS!$B$2:$J$91,9,FALSE()),""))</f>
      </c>
    </row>
    <row r="1067">
      <c r="F1067">
        <f>IF(DATOS!$A1067="","",DATOS!$A1067&amp;"|"&amp;DATOS!$D1067&amp;"|"&amp;DATOS!$E1067&amp;"|"&amp;DATOS!$I1067)</f>
      </c>
      <c r="G1067">
        <f>IF(DATOS!$A1067="",0,IF(CONFIG_METADATA!$B$4&lt;&gt;"OR+EX",--(DATOS!$G1067=CONFIG_METADATA!$B$4),IF(DATOS!$G1067="EX",1,IF(DATOS!$G1067="OR",--(COUNTIFS(nNIA,DATOS!$A1067,nCURSO,DATOS!$D1067,nESPEC,DATOS!$E1067,nASIG,DATOS!$I1067,nEVAL,"EX")=0),0))))</f>
      </c>
      <c r="H1067">
        <f>IF(DATOS!$G1067&lt;&gt;"EX",0,--(COUNTIFS(nNIA,DATOS!$A1067,nCURSO,DATOS!$D1067,nESPEC,DATOS!$E1067,nASIG,DATOS!$I1067,nEVAL,"OR")=0))</f>
      </c>
      <c r="I1067">
        <f>IF(DATOS!$I1067="","",IFERROR(VLOOKUP(DATOS!$I1067,CONFIG_ASIGNATURAS!$B$2:$J$91,9,FALSE()),""))</f>
      </c>
    </row>
    <row r="1068">
      <c r="F1068">
        <f>IF(DATOS!$A1068="","",DATOS!$A1068&amp;"|"&amp;DATOS!$D1068&amp;"|"&amp;DATOS!$E1068&amp;"|"&amp;DATOS!$I1068)</f>
      </c>
      <c r="G1068">
        <f>IF(DATOS!$A1068="",0,IF(CONFIG_METADATA!$B$4&lt;&gt;"OR+EX",--(DATOS!$G1068=CONFIG_METADATA!$B$4),IF(DATOS!$G1068="EX",1,IF(DATOS!$G1068="OR",--(COUNTIFS(nNIA,DATOS!$A1068,nCURSO,DATOS!$D1068,nESPEC,DATOS!$E1068,nASIG,DATOS!$I1068,nEVAL,"EX")=0),0))))</f>
      </c>
      <c r="H1068">
        <f>IF(DATOS!$G1068&lt;&gt;"EX",0,--(COUNTIFS(nNIA,DATOS!$A1068,nCURSO,DATOS!$D1068,nESPEC,DATOS!$E1068,nASIG,DATOS!$I1068,nEVAL,"OR")=0))</f>
      </c>
      <c r="I1068">
        <f>IF(DATOS!$I1068="","",IFERROR(VLOOKUP(DATOS!$I1068,CONFIG_ASIGNATURAS!$B$2:$J$91,9,FALSE()),""))</f>
      </c>
    </row>
    <row r="1069">
      <c r="F1069">
        <f>IF(DATOS!$A1069="","",DATOS!$A1069&amp;"|"&amp;DATOS!$D1069&amp;"|"&amp;DATOS!$E1069&amp;"|"&amp;DATOS!$I1069)</f>
      </c>
      <c r="G1069">
        <f>IF(DATOS!$A1069="",0,IF(CONFIG_METADATA!$B$4&lt;&gt;"OR+EX",--(DATOS!$G1069=CONFIG_METADATA!$B$4),IF(DATOS!$G1069="EX",1,IF(DATOS!$G1069="OR",--(COUNTIFS(nNIA,DATOS!$A1069,nCURSO,DATOS!$D1069,nESPEC,DATOS!$E1069,nASIG,DATOS!$I1069,nEVAL,"EX")=0),0))))</f>
      </c>
      <c r="H1069">
        <f>IF(DATOS!$G1069&lt;&gt;"EX",0,--(COUNTIFS(nNIA,DATOS!$A1069,nCURSO,DATOS!$D1069,nESPEC,DATOS!$E1069,nASIG,DATOS!$I1069,nEVAL,"OR")=0))</f>
      </c>
      <c r="I1069">
        <f>IF(DATOS!$I1069="","",IFERROR(VLOOKUP(DATOS!$I1069,CONFIG_ASIGNATURAS!$B$2:$J$91,9,FALSE()),""))</f>
      </c>
    </row>
    <row r="1070">
      <c r="F1070">
        <f>IF(DATOS!$A1070="","",DATOS!$A1070&amp;"|"&amp;DATOS!$D1070&amp;"|"&amp;DATOS!$E1070&amp;"|"&amp;DATOS!$I1070)</f>
      </c>
      <c r="G1070">
        <f>IF(DATOS!$A1070="",0,IF(CONFIG_METADATA!$B$4&lt;&gt;"OR+EX",--(DATOS!$G1070=CONFIG_METADATA!$B$4),IF(DATOS!$G1070="EX",1,IF(DATOS!$G1070="OR",--(COUNTIFS(nNIA,DATOS!$A1070,nCURSO,DATOS!$D1070,nESPEC,DATOS!$E1070,nASIG,DATOS!$I1070,nEVAL,"EX")=0),0))))</f>
      </c>
      <c r="H1070">
        <f>IF(DATOS!$G1070&lt;&gt;"EX",0,--(COUNTIFS(nNIA,DATOS!$A1070,nCURSO,DATOS!$D1070,nESPEC,DATOS!$E1070,nASIG,DATOS!$I1070,nEVAL,"OR")=0))</f>
      </c>
      <c r="I1070">
        <f>IF(DATOS!$I1070="","",IFERROR(VLOOKUP(DATOS!$I1070,CONFIG_ASIGNATURAS!$B$2:$J$91,9,FALSE()),""))</f>
      </c>
    </row>
    <row r="1071">
      <c r="F1071">
        <f>IF(DATOS!$A1071="","",DATOS!$A1071&amp;"|"&amp;DATOS!$D1071&amp;"|"&amp;DATOS!$E1071&amp;"|"&amp;DATOS!$I1071)</f>
      </c>
      <c r="G1071">
        <f>IF(DATOS!$A1071="",0,IF(CONFIG_METADATA!$B$4&lt;&gt;"OR+EX",--(DATOS!$G1071=CONFIG_METADATA!$B$4),IF(DATOS!$G1071="EX",1,IF(DATOS!$G1071="OR",--(COUNTIFS(nNIA,DATOS!$A1071,nCURSO,DATOS!$D1071,nESPEC,DATOS!$E1071,nASIG,DATOS!$I1071,nEVAL,"EX")=0),0))))</f>
      </c>
      <c r="H1071">
        <f>IF(DATOS!$G1071&lt;&gt;"EX",0,--(COUNTIFS(nNIA,DATOS!$A1071,nCURSO,DATOS!$D1071,nESPEC,DATOS!$E1071,nASIG,DATOS!$I1071,nEVAL,"OR")=0))</f>
      </c>
      <c r="I1071">
        <f>IF(DATOS!$I1071="","",IFERROR(VLOOKUP(DATOS!$I1071,CONFIG_ASIGNATURAS!$B$2:$J$91,9,FALSE()),""))</f>
      </c>
    </row>
    <row r="1072">
      <c r="F1072">
        <f>IF(DATOS!$A1072="","",DATOS!$A1072&amp;"|"&amp;DATOS!$D1072&amp;"|"&amp;DATOS!$E1072&amp;"|"&amp;DATOS!$I1072)</f>
      </c>
      <c r="G1072">
        <f>IF(DATOS!$A1072="",0,IF(CONFIG_METADATA!$B$4&lt;&gt;"OR+EX",--(DATOS!$G1072=CONFIG_METADATA!$B$4),IF(DATOS!$G1072="EX",1,IF(DATOS!$G1072="OR",--(COUNTIFS(nNIA,DATOS!$A1072,nCURSO,DATOS!$D1072,nESPEC,DATOS!$E1072,nASIG,DATOS!$I1072,nEVAL,"EX")=0),0))))</f>
      </c>
      <c r="H1072">
        <f>IF(DATOS!$G1072&lt;&gt;"EX",0,--(COUNTIFS(nNIA,DATOS!$A1072,nCURSO,DATOS!$D1072,nESPEC,DATOS!$E1072,nASIG,DATOS!$I1072,nEVAL,"OR")=0))</f>
      </c>
      <c r="I1072">
        <f>IF(DATOS!$I1072="","",IFERROR(VLOOKUP(DATOS!$I1072,CONFIG_ASIGNATURAS!$B$2:$J$91,9,FALSE()),""))</f>
      </c>
    </row>
    <row r="1073">
      <c r="F1073">
        <f>IF(DATOS!$A1073="","",DATOS!$A1073&amp;"|"&amp;DATOS!$D1073&amp;"|"&amp;DATOS!$E1073&amp;"|"&amp;DATOS!$I1073)</f>
      </c>
      <c r="G1073">
        <f>IF(DATOS!$A1073="",0,IF(CONFIG_METADATA!$B$4&lt;&gt;"OR+EX",--(DATOS!$G1073=CONFIG_METADATA!$B$4),IF(DATOS!$G1073="EX",1,IF(DATOS!$G1073="OR",--(COUNTIFS(nNIA,DATOS!$A1073,nCURSO,DATOS!$D1073,nESPEC,DATOS!$E1073,nASIG,DATOS!$I1073,nEVAL,"EX")=0),0))))</f>
      </c>
      <c r="H1073">
        <f>IF(DATOS!$G1073&lt;&gt;"EX",0,--(COUNTIFS(nNIA,DATOS!$A1073,nCURSO,DATOS!$D1073,nESPEC,DATOS!$E1073,nASIG,DATOS!$I1073,nEVAL,"OR")=0))</f>
      </c>
      <c r="I1073">
        <f>IF(DATOS!$I1073="","",IFERROR(VLOOKUP(DATOS!$I1073,CONFIG_ASIGNATURAS!$B$2:$J$91,9,FALSE()),""))</f>
      </c>
    </row>
    <row r="1074">
      <c r="F1074">
        <f>IF(DATOS!$A1074="","",DATOS!$A1074&amp;"|"&amp;DATOS!$D1074&amp;"|"&amp;DATOS!$E1074&amp;"|"&amp;DATOS!$I1074)</f>
      </c>
      <c r="G1074">
        <f>IF(DATOS!$A1074="",0,IF(CONFIG_METADATA!$B$4&lt;&gt;"OR+EX",--(DATOS!$G1074=CONFIG_METADATA!$B$4),IF(DATOS!$G1074="EX",1,IF(DATOS!$G1074="OR",--(COUNTIFS(nNIA,DATOS!$A1074,nCURSO,DATOS!$D1074,nESPEC,DATOS!$E1074,nASIG,DATOS!$I1074,nEVAL,"EX")=0),0))))</f>
      </c>
      <c r="H1074">
        <f>IF(DATOS!$G1074&lt;&gt;"EX",0,--(COUNTIFS(nNIA,DATOS!$A1074,nCURSO,DATOS!$D1074,nESPEC,DATOS!$E1074,nASIG,DATOS!$I1074,nEVAL,"OR")=0))</f>
      </c>
      <c r="I1074">
        <f>IF(DATOS!$I1074="","",IFERROR(VLOOKUP(DATOS!$I1074,CONFIG_ASIGNATURAS!$B$2:$J$91,9,FALSE()),""))</f>
      </c>
    </row>
    <row r="1075">
      <c r="F1075">
        <f>IF(DATOS!$A1075="","",DATOS!$A1075&amp;"|"&amp;DATOS!$D1075&amp;"|"&amp;DATOS!$E1075&amp;"|"&amp;DATOS!$I1075)</f>
      </c>
      <c r="G1075">
        <f>IF(DATOS!$A1075="",0,IF(CONFIG_METADATA!$B$4&lt;&gt;"OR+EX",--(DATOS!$G1075=CONFIG_METADATA!$B$4),IF(DATOS!$G1075="EX",1,IF(DATOS!$G1075="OR",--(COUNTIFS(nNIA,DATOS!$A1075,nCURSO,DATOS!$D1075,nESPEC,DATOS!$E1075,nASIG,DATOS!$I1075,nEVAL,"EX")=0),0))))</f>
      </c>
      <c r="H1075">
        <f>IF(DATOS!$G1075&lt;&gt;"EX",0,--(COUNTIFS(nNIA,DATOS!$A1075,nCURSO,DATOS!$D1075,nESPEC,DATOS!$E1075,nASIG,DATOS!$I1075,nEVAL,"OR")=0))</f>
      </c>
      <c r="I1075">
        <f>IF(DATOS!$I1075="","",IFERROR(VLOOKUP(DATOS!$I1075,CONFIG_ASIGNATURAS!$B$2:$J$91,9,FALSE()),""))</f>
      </c>
    </row>
    <row r="1076">
      <c r="F1076">
        <f>IF(DATOS!$A1076="","",DATOS!$A1076&amp;"|"&amp;DATOS!$D1076&amp;"|"&amp;DATOS!$E1076&amp;"|"&amp;DATOS!$I1076)</f>
      </c>
      <c r="G1076">
        <f>IF(DATOS!$A1076="",0,IF(CONFIG_METADATA!$B$4&lt;&gt;"OR+EX",--(DATOS!$G1076=CONFIG_METADATA!$B$4),IF(DATOS!$G1076="EX",1,IF(DATOS!$G1076="OR",--(COUNTIFS(nNIA,DATOS!$A1076,nCURSO,DATOS!$D1076,nESPEC,DATOS!$E1076,nASIG,DATOS!$I1076,nEVAL,"EX")=0),0))))</f>
      </c>
      <c r="H1076">
        <f>IF(DATOS!$G1076&lt;&gt;"EX",0,--(COUNTIFS(nNIA,DATOS!$A1076,nCURSO,DATOS!$D1076,nESPEC,DATOS!$E1076,nASIG,DATOS!$I1076,nEVAL,"OR")=0))</f>
      </c>
      <c r="I1076">
        <f>IF(DATOS!$I1076="","",IFERROR(VLOOKUP(DATOS!$I1076,CONFIG_ASIGNATURAS!$B$2:$J$91,9,FALSE()),""))</f>
      </c>
    </row>
    <row r="1077">
      <c r="F1077">
        <f>IF(DATOS!$A1077="","",DATOS!$A1077&amp;"|"&amp;DATOS!$D1077&amp;"|"&amp;DATOS!$E1077&amp;"|"&amp;DATOS!$I1077)</f>
      </c>
      <c r="G1077">
        <f>IF(DATOS!$A1077="",0,IF(CONFIG_METADATA!$B$4&lt;&gt;"OR+EX",--(DATOS!$G1077=CONFIG_METADATA!$B$4),IF(DATOS!$G1077="EX",1,IF(DATOS!$G1077="OR",--(COUNTIFS(nNIA,DATOS!$A1077,nCURSO,DATOS!$D1077,nESPEC,DATOS!$E1077,nASIG,DATOS!$I1077,nEVAL,"EX")=0),0))))</f>
      </c>
      <c r="H1077">
        <f>IF(DATOS!$G1077&lt;&gt;"EX",0,--(COUNTIFS(nNIA,DATOS!$A1077,nCURSO,DATOS!$D1077,nESPEC,DATOS!$E1077,nASIG,DATOS!$I1077,nEVAL,"OR")=0))</f>
      </c>
      <c r="I1077">
        <f>IF(DATOS!$I1077="","",IFERROR(VLOOKUP(DATOS!$I1077,CONFIG_ASIGNATURAS!$B$2:$J$91,9,FALSE()),""))</f>
      </c>
    </row>
    <row r="1078">
      <c r="F1078">
        <f>IF(DATOS!$A1078="","",DATOS!$A1078&amp;"|"&amp;DATOS!$D1078&amp;"|"&amp;DATOS!$E1078&amp;"|"&amp;DATOS!$I1078)</f>
      </c>
      <c r="G1078">
        <f>IF(DATOS!$A1078="",0,IF(CONFIG_METADATA!$B$4&lt;&gt;"OR+EX",--(DATOS!$G1078=CONFIG_METADATA!$B$4),IF(DATOS!$G1078="EX",1,IF(DATOS!$G1078="OR",--(COUNTIFS(nNIA,DATOS!$A1078,nCURSO,DATOS!$D1078,nESPEC,DATOS!$E1078,nASIG,DATOS!$I1078,nEVAL,"EX")=0),0))))</f>
      </c>
      <c r="H1078">
        <f>IF(DATOS!$G1078&lt;&gt;"EX",0,--(COUNTIFS(nNIA,DATOS!$A1078,nCURSO,DATOS!$D1078,nESPEC,DATOS!$E1078,nASIG,DATOS!$I1078,nEVAL,"OR")=0))</f>
      </c>
      <c r="I1078">
        <f>IF(DATOS!$I1078="","",IFERROR(VLOOKUP(DATOS!$I1078,CONFIG_ASIGNATURAS!$B$2:$J$91,9,FALSE()),""))</f>
      </c>
    </row>
    <row r="1079">
      <c r="F1079">
        <f>IF(DATOS!$A1079="","",DATOS!$A1079&amp;"|"&amp;DATOS!$D1079&amp;"|"&amp;DATOS!$E1079&amp;"|"&amp;DATOS!$I1079)</f>
      </c>
      <c r="G1079">
        <f>IF(DATOS!$A1079="",0,IF(CONFIG_METADATA!$B$4&lt;&gt;"OR+EX",--(DATOS!$G1079=CONFIG_METADATA!$B$4),IF(DATOS!$G1079="EX",1,IF(DATOS!$G1079="OR",--(COUNTIFS(nNIA,DATOS!$A1079,nCURSO,DATOS!$D1079,nESPEC,DATOS!$E1079,nASIG,DATOS!$I1079,nEVAL,"EX")=0),0))))</f>
      </c>
      <c r="H1079">
        <f>IF(DATOS!$G1079&lt;&gt;"EX",0,--(COUNTIFS(nNIA,DATOS!$A1079,nCURSO,DATOS!$D1079,nESPEC,DATOS!$E1079,nASIG,DATOS!$I1079,nEVAL,"OR")=0))</f>
      </c>
      <c r="I1079">
        <f>IF(DATOS!$I1079="","",IFERROR(VLOOKUP(DATOS!$I1079,CONFIG_ASIGNATURAS!$B$2:$J$91,9,FALSE()),""))</f>
      </c>
    </row>
    <row r="1080">
      <c r="F1080">
        <f>IF(DATOS!$A1080="","",DATOS!$A1080&amp;"|"&amp;DATOS!$D1080&amp;"|"&amp;DATOS!$E1080&amp;"|"&amp;DATOS!$I1080)</f>
      </c>
      <c r="G1080">
        <f>IF(DATOS!$A1080="",0,IF(CONFIG_METADATA!$B$4&lt;&gt;"OR+EX",--(DATOS!$G1080=CONFIG_METADATA!$B$4),IF(DATOS!$G1080="EX",1,IF(DATOS!$G1080="OR",--(COUNTIFS(nNIA,DATOS!$A1080,nCURSO,DATOS!$D1080,nESPEC,DATOS!$E1080,nASIG,DATOS!$I1080,nEVAL,"EX")=0),0))))</f>
      </c>
      <c r="H1080">
        <f>IF(DATOS!$G1080&lt;&gt;"EX",0,--(COUNTIFS(nNIA,DATOS!$A1080,nCURSO,DATOS!$D1080,nESPEC,DATOS!$E1080,nASIG,DATOS!$I1080,nEVAL,"OR")=0))</f>
      </c>
      <c r="I1080">
        <f>IF(DATOS!$I1080="","",IFERROR(VLOOKUP(DATOS!$I1080,CONFIG_ASIGNATURAS!$B$2:$J$91,9,FALSE()),""))</f>
      </c>
    </row>
    <row r="1081">
      <c r="F1081">
        <f>IF(DATOS!$A1081="","",DATOS!$A1081&amp;"|"&amp;DATOS!$D1081&amp;"|"&amp;DATOS!$E1081&amp;"|"&amp;DATOS!$I1081)</f>
      </c>
      <c r="G1081">
        <f>IF(DATOS!$A1081="",0,IF(CONFIG_METADATA!$B$4&lt;&gt;"OR+EX",--(DATOS!$G1081=CONFIG_METADATA!$B$4),IF(DATOS!$G1081="EX",1,IF(DATOS!$G1081="OR",--(COUNTIFS(nNIA,DATOS!$A1081,nCURSO,DATOS!$D1081,nESPEC,DATOS!$E1081,nASIG,DATOS!$I1081,nEVAL,"EX")=0),0))))</f>
      </c>
      <c r="H1081">
        <f>IF(DATOS!$G1081&lt;&gt;"EX",0,--(COUNTIFS(nNIA,DATOS!$A1081,nCURSO,DATOS!$D1081,nESPEC,DATOS!$E1081,nASIG,DATOS!$I1081,nEVAL,"OR")=0))</f>
      </c>
      <c r="I1081">
        <f>IF(DATOS!$I1081="","",IFERROR(VLOOKUP(DATOS!$I1081,CONFIG_ASIGNATURAS!$B$2:$J$91,9,FALSE()),""))</f>
      </c>
    </row>
    <row r="1082">
      <c r="F1082">
        <f>IF(DATOS!$A1082="","",DATOS!$A1082&amp;"|"&amp;DATOS!$D1082&amp;"|"&amp;DATOS!$E1082&amp;"|"&amp;DATOS!$I1082)</f>
      </c>
      <c r="G1082">
        <f>IF(DATOS!$A1082="",0,IF(CONFIG_METADATA!$B$4&lt;&gt;"OR+EX",--(DATOS!$G1082=CONFIG_METADATA!$B$4),IF(DATOS!$G1082="EX",1,IF(DATOS!$G1082="OR",--(COUNTIFS(nNIA,DATOS!$A1082,nCURSO,DATOS!$D1082,nESPEC,DATOS!$E1082,nASIG,DATOS!$I1082,nEVAL,"EX")=0),0))))</f>
      </c>
      <c r="H1082">
        <f>IF(DATOS!$G1082&lt;&gt;"EX",0,--(COUNTIFS(nNIA,DATOS!$A1082,nCURSO,DATOS!$D1082,nESPEC,DATOS!$E1082,nASIG,DATOS!$I1082,nEVAL,"OR")=0))</f>
      </c>
      <c r="I1082">
        <f>IF(DATOS!$I1082="","",IFERROR(VLOOKUP(DATOS!$I1082,CONFIG_ASIGNATURAS!$B$2:$J$91,9,FALSE()),""))</f>
      </c>
    </row>
    <row r="1083">
      <c r="F1083">
        <f>IF(DATOS!$A1083="","",DATOS!$A1083&amp;"|"&amp;DATOS!$D1083&amp;"|"&amp;DATOS!$E1083&amp;"|"&amp;DATOS!$I1083)</f>
      </c>
      <c r="G1083">
        <f>IF(DATOS!$A1083="",0,IF(CONFIG_METADATA!$B$4&lt;&gt;"OR+EX",--(DATOS!$G1083=CONFIG_METADATA!$B$4),IF(DATOS!$G1083="EX",1,IF(DATOS!$G1083="OR",--(COUNTIFS(nNIA,DATOS!$A1083,nCURSO,DATOS!$D1083,nESPEC,DATOS!$E1083,nASIG,DATOS!$I1083,nEVAL,"EX")=0),0))))</f>
      </c>
      <c r="H1083">
        <f>IF(DATOS!$G1083&lt;&gt;"EX",0,--(COUNTIFS(nNIA,DATOS!$A1083,nCURSO,DATOS!$D1083,nESPEC,DATOS!$E1083,nASIG,DATOS!$I1083,nEVAL,"OR")=0))</f>
      </c>
      <c r="I1083">
        <f>IF(DATOS!$I1083="","",IFERROR(VLOOKUP(DATOS!$I1083,CONFIG_ASIGNATURAS!$B$2:$J$91,9,FALSE()),""))</f>
      </c>
    </row>
    <row r="1084">
      <c r="F1084">
        <f>IF(DATOS!$A1084="","",DATOS!$A1084&amp;"|"&amp;DATOS!$D1084&amp;"|"&amp;DATOS!$E1084&amp;"|"&amp;DATOS!$I1084)</f>
      </c>
      <c r="G1084">
        <f>IF(DATOS!$A1084="",0,IF(CONFIG_METADATA!$B$4&lt;&gt;"OR+EX",--(DATOS!$G1084=CONFIG_METADATA!$B$4),IF(DATOS!$G1084="EX",1,IF(DATOS!$G1084="OR",--(COUNTIFS(nNIA,DATOS!$A1084,nCURSO,DATOS!$D1084,nESPEC,DATOS!$E1084,nASIG,DATOS!$I1084,nEVAL,"EX")=0),0))))</f>
      </c>
      <c r="H1084">
        <f>IF(DATOS!$G1084&lt;&gt;"EX",0,--(COUNTIFS(nNIA,DATOS!$A1084,nCURSO,DATOS!$D1084,nESPEC,DATOS!$E1084,nASIG,DATOS!$I1084,nEVAL,"OR")=0))</f>
      </c>
      <c r="I1084">
        <f>IF(DATOS!$I1084="","",IFERROR(VLOOKUP(DATOS!$I1084,CONFIG_ASIGNATURAS!$B$2:$J$91,9,FALSE()),""))</f>
      </c>
    </row>
    <row r="1085">
      <c r="F1085">
        <f>IF(DATOS!$A1085="","",DATOS!$A1085&amp;"|"&amp;DATOS!$D1085&amp;"|"&amp;DATOS!$E1085&amp;"|"&amp;DATOS!$I1085)</f>
      </c>
      <c r="G1085">
        <f>IF(DATOS!$A1085="",0,IF(CONFIG_METADATA!$B$4&lt;&gt;"OR+EX",--(DATOS!$G1085=CONFIG_METADATA!$B$4),IF(DATOS!$G1085="EX",1,IF(DATOS!$G1085="OR",--(COUNTIFS(nNIA,DATOS!$A1085,nCURSO,DATOS!$D1085,nESPEC,DATOS!$E1085,nASIG,DATOS!$I1085,nEVAL,"EX")=0),0))))</f>
      </c>
      <c r="H1085">
        <f>IF(DATOS!$G1085&lt;&gt;"EX",0,--(COUNTIFS(nNIA,DATOS!$A1085,nCURSO,DATOS!$D1085,nESPEC,DATOS!$E1085,nASIG,DATOS!$I1085,nEVAL,"OR")=0))</f>
      </c>
      <c r="I1085">
        <f>IF(DATOS!$I1085="","",IFERROR(VLOOKUP(DATOS!$I1085,CONFIG_ASIGNATURAS!$B$2:$J$91,9,FALSE()),""))</f>
      </c>
    </row>
    <row r="1086">
      <c r="F1086">
        <f>IF(DATOS!$A1086="","",DATOS!$A1086&amp;"|"&amp;DATOS!$D1086&amp;"|"&amp;DATOS!$E1086&amp;"|"&amp;DATOS!$I1086)</f>
      </c>
      <c r="G1086">
        <f>IF(DATOS!$A1086="",0,IF(CONFIG_METADATA!$B$4&lt;&gt;"OR+EX",--(DATOS!$G1086=CONFIG_METADATA!$B$4),IF(DATOS!$G1086="EX",1,IF(DATOS!$G1086="OR",--(COUNTIFS(nNIA,DATOS!$A1086,nCURSO,DATOS!$D1086,nESPEC,DATOS!$E1086,nASIG,DATOS!$I1086,nEVAL,"EX")=0),0))))</f>
      </c>
      <c r="H1086">
        <f>IF(DATOS!$G1086&lt;&gt;"EX",0,--(COUNTIFS(nNIA,DATOS!$A1086,nCURSO,DATOS!$D1086,nESPEC,DATOS!$E1086,nASIG,DATOS!$I1086,nEVAL,"OR")=0))</f>
      </c>
      <c r="I1086">
        <f>IF(DATOS!$I1086="","",IFERROR(VLOOKUP(DATOS!$I1086,CONFIG_ASIGNATURAS!$B$2:$J$91,9,FALSE()),""))</f>
      </c>
    </row>
    <row r="1087">
      <c r="F1087">
        <f>IF(DATOS!$A1087="","",DATOS!$A1087&amp;"|"&amp;DATOS!$D1087&amp;"|"&amp;DATOS!$E1087&amp;"|"&amp;DATOS!$I1087)</f>
      </c>
      <c r="G1087">
        <f>IF(DATOS!$A1087="",0,IF(CONFIG_METADATA!$B$4&lt;&gt;"OR+EX",--(DATOS!$G1087=CONFIG_METADATA!$B$4),IF(DATOS!$G1087="EX",1,IF(DATOS!$G1087="OR",--(COUNTIFS(nNIA,DATOS!$A1087,nCURSO,DATOS!$D1087,nESPEC,DATOS!$E1087,nASIG,DATOS!$I1087,nEVAL,"EX")=0),0))))</f>
      </c>
      <c r="H1087">
        <f>IF(DATOS!$G1087&lt;&gt;"EX",0,--(COUNTIFS(nNIA,DATOS!$A1087,nCURSO,DATOS!$D1087,nESPEC,DATOS!$E1087,nASIG,DATOS!$I1087,nEVAL,"OR")=0))</f>
      </c>
      <c r="I1087">
        <f>IF(DATOS!$I1087="","",IFERROR(VLOOKUP(DATOS!$I1087,CONFIG_ASIGNATURAS!$B$2:$J$91,9,FALSE()),""))</f>
      </c>
    </row>
    <row r="1088">
      <c r="F1088">
        <f>IF(DATOS!$A1088="","",DATOS!$A1088&amp;"|"&amp;DATOS!$D1088&amp;"|"&amp;DATOS!$E1088&amp;"|"&amp;DATOS!$I1088)</f>
      </c>
      <c r="G1088">
        <f>IF(DATOS!$A1088="",0,IF(CONFIG_METADATA!$B$4&lt;&gt;"OR+EX",--(DATOS!$G1088=CONFIG_METADATA!$B$4),IF(DATOS!$G1088="EX",1,IF(DATOS!$G1088="OR",--(COUNTIFS(nNIA,DATOS!$A1088,nCURSO,DATOS!$D1088,nESPEC,DATOS!$E1088,nASIG,DATOS!$I1088,nEVAL,"EX")=0),0))))</f>
      </c>
      <c r="H1088">
        <f>IF(DATOS!$G1088&lt;&gt;"EX",0,--(COUNTIFS(nNIA,DATOS!$A1088,nCURSO,DATOS!$D1088,nESPEC,DATOS!$E1088,nASIG,DATOS!$I1088,nEVAL,"OR")=0))</f>
      </c>
      <c r="I1088">
        <f>IF(DATOS!$I1088="","",IFERROR(VLOOKUP(DATOS!$I1088,CONFIG_ASIGNATURAS!$B$2:$J$91,9,FALSE()),""))</f>
      </c>
    </row>
    <row r="1089">
      <c r="F1089">
        <f>IF(DATOS!$A1089="","",DATOS!$A1089&amp;"|"&amp;DATOS!$D1089&amp;"|"&amp;DATOS!$E1089&amp;"|"&amp;DATOS!$I1089)</f>
      </c>
      <c r="G1089">
        <f>IF(DATOS!$A1089="",0,IF(CONFIG_METADATA!$B$4&lt;&gt;"OR+EX",--(DATOS!$G1089=CONFIG_METADATA!$B$4),IF(DATOS!$G1089="EX",1,IF(DATOS!$G1089="OR",--(COUNTIFS(nNIA,DATOS!$A1089,nCURSO,DATOS!$D1089,nESPEC,DATOS!$E1089,nASIG,DATOS!$I1089,nEVAL,"EX")=0),0))))</f>
      </c>
      <c r="H1089">
        <f>IF(DATOS!$G1089&lt;&gt;"EX",0,--(COUNTIFS(nNIA,DATOS!$A1089,nCURSO,DATOS!$D1089,nESPEC,DATOS!$E1089,nASIG,DATOS!$I1089,nEVAL,"OR")=0))</f>
      </c>
      <c r="I1089">
        <f>IF(DATOS!$I1089="","",IFERROR(VLOOKUP(DATOS!$I1089,CONFIG_ASIGNATURAS!$B$2:$J$91,9,FALSE()),""))</f>
      </c>
    </row>
    <row r="1090">
      <c r="F1090">
        <f>IF(DATOS!$A1090="","",DATOS!$A1090&amp;"|"&amp;DATOS!$D1090&amp;"|"&amp;DATOS!$E1090&amp;"|"&amp;DATOS!$I1090)</f>
      </c>
      <c r="G1090">
        <f>IF(DATOS!$A1090="",0,IF(CONFIG_METADATA!$B$4&lt;&gt;"OR+EX",--(DATOS!$G1090=CONFIG_METADATA!$B$4),IF(DATOS!$G1090="EX",1,IF(DATOS!$G1090="OR",--(COUNTIFS(nNIA,DATOS!$A1090,nCURSO,DATOS!$D1090,nESPEC,DATOS!$E1090,nASIG,DATOS!$I1090,nEVAL,"EX")=0),0))))</f>
      </c>
      <c r="H1090">
        <f>IF(DATOS!$G1090&lt;&gt;"EX",0,--(COUNTIFS(nNIA,DATOS!$A1090,nCURSO,DATOS!$D1090,nESPEC,DATOS!$E1090,nASIG,DATOS!$I1090,nEVAL,"OR")=0))</f>
      </c>
      <c r="I1090">
        <f>IF(DATOS!$I1090="","",IFERROR(VLOOKUP(DATOS!$I1090,CONFIG_ASIGNATURAS!$B$2:$J$91,9,FALSE()),""))</f>
      </c>
    </row>
    <row r="1091">
      <c r="F1091">
        <f>IF(DATOS!$A1091="","",DATOS!$A1091&amp;"|"&amp;DATOS!$D1091&amp;"|"&amp;DATOS!$E1091&amp;"|"&amp;DATOS!$I1091)</f>
      </c>
      <c r="G1091">
        <f>IF(DATOS!$A1091="",0,IF(CONFIG_METADATA!$B$4&lt;&gt;"OR+EX",--(DATOS!$G1091=CONFIG_METADATA!$B$4),IF(DATOS!$G1091="EX",1,IF(DATOS!$G1091="OR",--(COUNTIFS(nNIA,DATOS!$A1091,nCURSO,DATOS!$D1091,nESPEC,DATOS!$E1091,nASIG,DATOS!$I1091,nEVAL,"EX")=0),0))))</f>
      </c>
      <c r="H1091">
        <f>IF(DATOS!$G1091&lt;&gt;"EX",0,--(COUNTIFS(nNIA,DATOS!$A1091,nCURSO,DATOS!$D1091,nESPEC,DATOS!$E1091,nASIG,DATOS!$I1091,nEVAL,"OR")=0))</f>
      </c>
      <c r="I1091">
        <f>IF(DATOS!$I1091="","",IFERROR(VLOOKUP(DATOS!$I1091,CONFIG_ASIGNATURAS!$B$2:$J$91,9,FALSE()),""))</f>
      </c>
    </row>
    <row r="1092">
      <c r="F1092">
        <f>IF(DATOS!$A1092="","",DATOS!$A1092&amp;"|"&amp;DATOS!$D1092&amp;"|"&amp;DATOS!$E1092&amp;"|"&amp;DATOS!$I1092)</f>
      </c>
      <c r="G1092">
        <f>IF(DATOS!$A1092="",0,IF(CONFIG_METADATA!$B$4&lt;&gt;"OR+EX",--(DATOS!$G1092=CONFIG_METADATA!$B$4),IF(DATOS!$G1092="EX",1,IF(DATOS!$G1092="OR",--(COUNTIFS(nNIA,DATOS!$A1092,nCURSO,DATOS!$D1092,nESPEC,DATOS!$E1092,nASIG,DATOS!$I1092,nEVAL,"EX")=0),0))))</f>
      </c>
      <c r="H1092">
        <f>IF(DATOS!$G1092&lt;&gt;"EX",0,--(COUNTIFS(nNIA,DATOS!$A1092,nCURSO,DATOS!$D1092,nESPEC,DATOS!$E1092,nASIG,DATOS!$I1092,nEVAL,"OR")=0))</f>
      </c>
      <c r="I1092">
        <f>IF(DATOS!$I1092="","",IFERROR(VLOOKUP(DATOS!$I1092,CONFIG_ASIGNATURAS!$B$2:$J$91,9,FALSE()),""))</f>
      </c>
    </row>
    <row r="1093">
      <c r="F1093">
        <f>IF(DATOS!$A1093="","",DATOS!$A1093&amp;"|"&amp;DATOS!$D1093&amp;"|"&amp;DATOS!$E1093&amp;"|"&amp;DATOS!$I1093)</f>
      </c>
      <c r="G1093">
        <f>IF(DATOS!$A1093="",0,IF(CONFIG_METADATA!$B$4&lt;&gt;"OR+EX",--(DATOS!$G1093=CONFIG_METADATA!$B$4),IF(DATOS!$G1093="EX",1,IF(DATOS!$G1093="OR",--(COUNTIFS(nNIA,DATOS!$A1093,nCURSO,DATOS!$D1093,nESPEC,DATOS!$E1093,nASIG,DATOS!$I1093,nEVAL,"EX")=0),0))))</f>
      </c>
      <c r="H1093">
        <f>IF(DATOS!$G1093&lt;&gt;"EX",0,--(COUNTIFS(nNIA,DATOS!$A1093,nCURSO,DATOS!$D1093,nESPEC,DATOS!$E1093,nASIG,DATOS!$I1093,nEVAL,"OR")=0))</f>
      </c>
      <c r="I1093">
        <f>IF(DATOS!$I1093="","",IFERROR(VLOOKUP(DATOS!$I1093,CONFIG_ASIGNATURAS!$B$2:$J$91,9,FALSE()),""))</f>
      </c>
    </row>
    <row r="1094">
      <c r="F1094">
        <f>IF(DATOS!$A1094="","",DATOS!$A1094&amp;"|"&amp;DATOS!$D1094&amp;"|"&amp;DATOS!$E1094&amp;"|"&amp;DATOS!$I1094)</f>
      </c>
      <c r="G1094">
        <f>IF(DATOS!$A1094="",0,IF(CONFIG_METADATA!$B$4&lt;&gt;"OR+EX",--(DATOS!$G1094=CONFIG_METADATA!$B$4),IF(DATOS!$G1094="EX",1,IF(DATOS!$G1094="OR",--(COUNTIFS(nNIA,DATOS!$A1094,nCURSO,DATOS!$D1094,nESPEC,DATOS!$E1094,nASIG,DATOS!$I1094,nEVAL,"EX")=0),0))))</f>
      </c>
      <c r="H1094">
        <f>IF(DATOS!$G1094&lt;&gt;"EX",0,--(COUNTIFS(nNIA,DATOS!$A1094,nCURSO,DATOS!$D1094,nESPEC,DATOS!$E1094,nASIG,DATOS!$I1094,nEVAL,"OR")=0))</f>
      </c>
      <c r="I1094">
        <f>IF(DATOS!$I1094="","",IFERROR(VLOOKUP(DATOS!$I1094,CONFIG_ASIGNATURAS!$B$2:$J$91,9,FALSE()),""))</f>
      </c>
    </row>
    <row r="1095">
      <c r="F1095">
        <f>IF(DATOS!$A1095="","",DATOS!$A1095&amp;"|"&amp;DATOS!$D1095&amp;"|"&amp;DATOS!$E1095&amp;"|"&amp;DATOS!$I1095)</f>
      </c>
      <c r="G1095">
        <f>IF(DATOS!$A1095="",0,IF(CONFIG_METADATA!$B$4&lt;&gt;"OR+EX",--(DATOS!$G1095=CONFIG_METADATA!$B$4),IF(DATOS!$G1095="EX",1,IF(DATOS!$G1095="OR",--(COUNTIFS(nNIA,DATOS!$A1095,nCURSO,DATOS!$D1095,nESPEC,DATOS!$E1095,nASIG,DATOS!$I1095,nEVAL,"EX")=0),0))))</f>
      </c>
      <c r="H1095">
        <f>IF(DATOS!$G1095&lt;&gt;"EX",0,--(COUNTIFS(nNIA,DATOS!$A1095,nCURSO,DATOS!$D1095,nESPEC,DATOS!$E1095,nASIG,DATOS!$I1095,nEVAL,"OR")=0))</f>
      </c>
      <c r="I1095">
        <f>IF(DATOS!$I1095="","",IFERROR(VLOOKUP(DATOS!$I1095,CONFIG_ASIGNATURAS!$B$2:$J$91,9,FALSE()),""))</f>
      </c>
    </row>
    <row r="1096">
      <c r="F1096">
        <f>IF(DATOS!$A1096="","",DATOS!$A1096&amp;"|"&amp;DATOS!$D1096&amp;"|"&amp;DATOS!$E1096&amp;"|"&amp;DATOS!$I1096)</f>
      </c>
      <c r="G1096">
        <f>IF(DATOS!$A1096="",0,IF(CONFIG_METADATA!$B$4&lt;&gt;"OR+EX",--(DATOS!$G1096=CONFIG_METADATA!$B$4),IF(DATOS!$G1096="EX",1,IF(DATOS!$G1096="OR",--(COUNTIFS(nNIA,DATOS!$A1096,nCURSO,DATOS!$D1096,nESPEC,DATOS!$E1096,nASIG,DATOS!$I1096,nEVAL,"EX")=0),0))))</f>
      </c>
      <c r="H1096">
        <f>IF(DATOS!$G1096&lt;&gt;"EX",0,--(COUNTIFS(nNIA,DATOS!$A1096,nCURSO,DATOS!$D1096,nESPEC,DATOS!$E1096,nASIG,DATOS!$I1096,nEVAL,"OR")=0))</f>
      </c>
      <c r="I1096">
        <f>IF(DATOS!$I1096="","",IFERROR(VLOOKUP(DATOS!$I1096,CONFIG_ASIGNATURAS!$B$2:$J$91,9,FALSE()),""))</f>
      </c>
    </row>
    <row r="1097">
      <c r="F1097">
        <f>IF(DATOS!$A1097="","",DATOS!$A1097&amp;"|"&amp;DATOS!$D1097&amp;"|"&amp;DATOS!$E1097&amp;"|"&amp;DATOS!$I1097)</f>
      </c>
      <c r="G1097">
        <f>IF(DATOS!$A1097="",0,IF(CONFIG_METADATA!$B$4&lt;&gt;"OR+EX",--(DATOS!$G1097=CONFIG_METADATA!$B$4),IF(DATOS!$G1097="EX",1,IF(DATOS!$G1097="OR",--(COUNTIFS(nNIA,DATOS!$A1097,nCURSO,DATOS!$D1097,nESPEC,DATOS!$E1097,nASIG,DATOS!$I1097,nEVAL,"EX")=0),0))))</f>
      </c>
      <c r="H1097">
        <f>IF(DATOS!$G1097&lt;&gt;"EX",0,--(COUNTIFS(nNIA,DATOS!$A1097,nCURSO,DATOS!$D1097,nESPEC,DATOS!$E1097,nASIG,DATOS!$I1097,nEVAL,"OR")=0))</f>
      </c>
      <c r="I1097">
        <f>IF(DATOS!$I1097="","",IFERROR(VLOOKUP(DATOS!$I1097,CONFIG_ASIGNATURAS!$B$2:$J$91,9,FALSE()),""))</f>
      </c>
    </row>
    <row r="1098">
      <c r="F1098">
        <f>IF(DATOS!$A1098="","",DATOS!$A1098&amp;"|"&amp;DATOS!$D1098&amp;"|"&amp;DATOS!$E1098&amp;"|"&amp;DATOS!$I1098)</f>
      </c>
      <c r="G1098">
        <f>IF(DATOS!$A1098="",0,IF(CONFIG_METADATA!$B$4&lt;&gt;"OR+EX",--(DATOS!$G1098=CONFIG_METADATA!$B$4),IF(DATOS!$G1098="EX",1,IF(DATOS!$G1098="OR",--(COUNTIFS(nNIA,DATOS!$A1098,nCURSO,DATOS!$D1098,nESPEC,DATOS!$E1098,nASIG,DATOS!$I1098,nEVAL,"EX")=0),0))))</f>
      </c>
      <c r="H1098">
        <f>IF(DATOS!$G1098&lt;&gt;"EX",0,--(COUNTIFS(nNIA,DATOS!$A1098,nCURSO,DATOS!$D1098,nESPEC,DATOS!$E1098,nASIG,DATOS!$I1098,nEVAL,"OR")=0))</f>
      </c>
      <c r="I1098">
        <f>IF(DATOS!$I1098="","",IFERROR(VLOOKUP(DATOS!$I1098,CONFIG_ASIGNATURAS!$B$2:$J$91,9,FALSE()),""))</f>
      </c>
    </row>
    <row r="1099">
      <c r="F1099">
        <f>IF(DATOS!$A1099="","",DATOS!$A1099&amp;"|"&amp;DATOS!$D1099&amp;"|"&amp;DATOS!$E1099&amp;"|"&amp;DATOS!$I1099)</f>
      </c>
      <c r="G1099">
        <f>IF(DATOS!$A1099="",0,IF(CONFIG_METADATA!$B$4&lt;&gt;"OR+EX",--(DATOS!$G1099=CONFIG_METADATA!$B$4),IF(DATOS!$G1099="EX",1,IF(DATOS!$G1099="OR",--(COUNTIFS(nNIA,DATOS!$A1099,nCURSO,DATOS!$D1099,nESPEC,DATOS!$E1099,nASIG,DATOS!$I1099,nEVAL,"EX")=0),0))))</f>
      </c>
      <c r="H1099">
        <f>IF(DATOS!$G1099&lt;&gt;"EX",0,--(COUNTIFS(nNIA,DATOS!$A1099,nCURSO,DATOS!$D1099,nESPEC,DATOS!$E1099,nASIG,DATOS!$I1099,nEVAL,"OR")=0))</f>
      </c>
      <c r="I1099">
        <f>IF(DATOS!$I1099="","",IFERROR(VLOOKUP(DATOS!$I1099,CONFIG_ASIGNATURAS!$B$2:$J$91,9,FALSE()),""))</f>
      </c>
    </row>
    <row r="1100">
      <c r="F1100">
        <f>IF(DATOS!$A1100="","",DATOS!$A1100&amp;"|"&amp;DATOS!$D1100&amp;"|"&amp;DATOS!$E1100&amp;"|"&amp;DATOS!$I1100)</f>
      </c>
      <c r="G1100">
        <f>IF(DATOS!$A1100="",0,IF(CONFIG_METADATA!$B$4&lt;&gt;"OR+EX",--(DATOS!$G1100=CONFIG_METADATA!$B$4),IF(DATOS!$G1100="EX",1,IF(DATOS!$G1100="OR",--(COUNTIFS(nNIA,DATOS!$A1100,nCURSO,DATOS!$D1100,nESPEC,DATOS!$E1100,nASIG,DATOS!$I1100,nEVAL,"EX")=0),0))))</f>
      </c>
      <c r="H1100">
        <f>IF(DATOS!$G1100&lt;&gt;"EX",0,--(COUNTIFS(nNIA,DATOS!$A1100,nCURSO,DATOS!$D1100,nESPEC,DATOS!$E1100,nASIG,DATOS!$I1100,nEVAL,"OR")=0))</f>
      </c>
      <c r="I1100">
        <f>IF(DATOS!$I1100="","",IFERROR(VLOOKUP(DATOS!$I1100,CONFIG_ASIGNATURAS!$B$2:$J$91,9,FALSE()),""))</f>
      </c>
    </row>
    <row r="1101">
      <c r="F1101">
        <f>IF(DATOS!$A1101="","",DATOS!$A1101&amp;"|"&amp;DATOS!$D1101&amp;"|"&amp;DATOS!$E1101&amp;"|"&amp;DATOS!$I1101)</f>
      </c>
      <c r="G1101">
        <f>IF(DATOS!$A1101="",0,IF(CONFIG_METADATA!$B$4&lt;&gt;"OR+EX",--(DATOS!$G1101=CONFIG_METADATA!$B$4),IF(DATOS!$G1101="EX",1,IF(DATOS!$G1101="OR",--(COUNTIFS(nNIA,DATOS!$A1101,nCURSO,DATOS!$D1101,nESPEC,DATOS!$E1101,nASIG,DATOS!$I1101,nEVAL,"EX")=0),0))))</f>
      </c>
      <c r="H1101">
        <f>IF(DATOS!$G1101&lt;&gt;"EX",0,--(COUNTIFS(nNIA,DATOS!$A1101,nCURSO,DATOS!$D1101,nESPEC,DATOS!$E1101,nASIG,DATOS!$I1101,nEVAL,"OR")=0))</f>
      </c>
      <c r="I1101">
        <f>IF(DATOS!$I1101="","",IFERROR(VLOOKUP(DATOS!$I1101,CONFIG_ASIGNATURAS!$B$2:$J$91,9,FALSE()),""))</f>
      </c>
    </row>
    <row r="1102">
      <c r="F1102">
        <f>IF(DATOS!$A1102="","",DATOS!$A1102&amp;"|"&amp;DATOS!$D1102&amp;"|"&amp;DATOS!$E1102&amp;"|"&amp;DATOS!$I1102)</f>
      </c>
      <c r="G1102">
        <f>IF(DATOS!$A1102="",0,IF(CONFIG_METADATA!$B$4&lt;&gt;"OR+EX",--(DATOS!$G1102=CONFIG_METADATA!$B$4),IF(DATOS!$G1102="EX",1,IF(DATOS!$G1102="OR",--(COUNTIFS(nNIA,DATOS!$A1102,nCURSO,DATOS!$D1102,nESPEC,DATOS!$E1102,nASIG,DATOS!$I1102,nEVAL,"EX")=0),0))))</f>
      </c>
      <c r="H1102">
        <f>IF(DATOS!$G1102&lt;&gt;"EX",0,--(COUNTIFS(nNIA,DATOS!$A1102,nCURSO,DATOS!$D1102,nESPEC,DATOS!$E1102,nASIG,DATOS!$I1102,nEVAL,"OR")=0))</f>
      </c>
      <c r="I1102">
        <f>IF(DATOS!$I1102="","",IFERROR(VLOOKUP(DATOS!$I1102,CONFIG_ASIGNATURAS!$B$2:$J$91,9,FALSE()),""))</f>
      </c>
    </row>
    <row r="1103">
      <c r="F1103">
        <f>IF(DATOS!$A1103="","",DATOS!$A1103&amp;"|"&amp;DATOS!$D1103&amp;"|"&amp;DATOS!$E1103&amp;"|"&amp;DATOS!$I1103)</f>
      </c>
      <c r="G1103">
        <f>IF(DATOS!$A1103="",0,IF(CONFIG_METADATA!$B$4&lt;&gt;"OR+EX",--(DATOS!$G1103=CONFIG_METADATA!$B$4),IF(DATOS!$G1103="EX",1,IF(DATOS!$G1103="OR",--(COUNTIFS(nNIA,DATOS!$A1103,nCURSO,DATOS!$D1103,nESPEC,DATOS!$E1103,nASIG,DATOS!$I1103,nEVAL,"EX")=0),0))))</f>
      </c>
      <c r="H1103">
        <f>IF(DATOS!$G1103&lt;&gt;"EX",0,--(COUNTIFS(nNIA,DATOS!$A1103,nCURSO,DATOS!$D1103,nESPEC,DATOS!$E1103,nASIG,DATOS!$I1103,nEVAL,"OR")=0))</f>
      </c>
      <c r="I1103">
        <f>IF(DATOS!$I1103="","",IFERROR(VLOOKUP(DATOS!$I1103,CONFIG_ASIGNATURAS!$B$2:$J$91,9,FALSE()),""))</f>
      </c>
    </row>
    <row r="1104">
      <c r="F1104">
        <f>IF(DATOS!$A1104="","",DATOS!$A1104&amp;"|"&amp;DATOS!$D1104&amp;"|"&amp;DATOS!$E1104&amp;"|"&amp;DATOS!$I1104)</f>
      </c>
      <c r="G1104">
        <f>IF(DATOS!$A1104="",0,IF(CONFIG_METADATA!$B$4&lt;&gt;"OR+EX",--(DATOS!$G1104=CONFIG_METADATA!$B$4),IF(DATOS!$G1104="EX",1,IF(DATOS!$G1104="OR",--(COUNTIFS(nNIA,DATOS!$A1104,nCURSO,DATOS!$D1104,nESPEC,DATOS!$E1104,nASIG,DATOS!$I1104,nEVAL,"EX")=0),0))))</f>
      </c>
      <c r="H1104">
        <f>IF(DATOS!$G1104&lt;&gt;"EX",0,--(COUNTIFS(nNIA,DATOS!$A1104,nCURSO,DATOS!$D1104,nESPEC,DATOS!$E1104,nASIG,DATOS!$I1104,nEVAL,"OR")=0))</f>
      </c>
      <c r="I1104">
        <f>IF(DATOS!$I1104="","",IFERROR(VLOOKUP(DATOS!$I1104,CONFIG_ASIGNATURAS!$B$2:$J$91,9,FALSE()),""))</f>
      </c>
    </row>
    <row r="1105">
      <c r="F1105">
        <f>IF(DATOS!$A1105="","",DATOS!$A1105&amp;"|"&amp;DATOS!$D1105&amp;"|"&amp;DATOS!$E1105&amp;"|"&amp;DATOS!$I1105)</f>
      </c>
      <c r="G1105">
        <f>IF(DATOS!$A1105="",0,IF(CONFIG_METADATA!$B$4&lt;&gt;"OR+EX",--(DATOS!$G1105=CONFIG_METADATA!$B$4),IF(DATOS!$G1105="EX",1,IF(DATOS!$G1105="OR",--(COUNTIFS(nNIA,DATOS!$A1105,nCURSO,DATOS!$D1105,nESPEC,DATOS!$E1105,nASIG,DATOS!$I1105,nEVAL,"EX")=0),0))))</f>
      </c>
      <c r="H1105">
        <f>IF(DATOS!$G1105&lt;&gt;"EX",0,--(COUNTIFS(nNIA,DATOS!$A1105,nCURSO,DATOS!$D1105,nESPEC,DATOS!$E1105,nASIG,DATOS!$I1105,nEVAL,"OR")=0))</f>
      </c>
      <c r="I1105">
        <f>IF(DATOS!$I1105="","",IFERROR(VLOOKUP(DATOS!$I1105,CONFIG_ASIGNATURAS!$B$2:$J$91,9,FALSE()),""))</f>
      </c>
    </row>
    <row r="1106">
      <c r="F1106">
        <f>IF(DATOS!$A1106="","",DATOS!$A1106&amp;"|"&amp;DATOS!$D1106&amp;"|"&amp;DATOS!$E1106&amp;"|"&amp;DATOS!$I1106)</f>
      </c>
      <c r="G1106">
        <f>IF(DATOS!$A1106="",0,IF(CONFIG_METADATA!$B$4&lt;&gt;"OR+EX",--(DATOS!$G1106=CONFIG_METADATA!$B$4),IF(DATOS!$G1106="EX",1,IF(DATOS!$G1106="OR",--(COUNTIFS(nNIA,DATOS!$A1106,nCURSO,DATOS!$D1106,nESPEC,DATOS!$E1106,nASIG,DATOS!$I1106,nEVAL,"EX")=0),0))))</f>
      </c>
      <c r="H1106">
        <f>IF(DATOS!$G1106&lt;&gt;"EX",0,--(COUNTIFS(nNIA,DATOS!$A1106,nCURSO,DATOS!$D1106,nESPEC,DATOS!$E1106,nASIG,DATOS!$I1106,nEVAL,"OR")=0))</f>
      </c>
      <c r="I1106">
        <f>IF(DATOS!$I1106="","",IFERROR(VLOOKUP(DATOS!$I1106,CONFIG_ASIGNATURAS!$B$2:$J$91,9,FALSE()),""))</f>
      </c>
    </row>
    <row r="1107">
      <c r="F1107">
        <f>IF(DATOS!$A1107="","",DATOS!$A1107&amp;"|"&amp;DATOS!$D1107&amp;"|"&amp;DATOS!$E1107&amp;"|"&amp;DATOS!$I1107)</f>
      </c>
      <c r="G1107">
        <f>IF(DATOS!$A1107="",0,IF(CONFIG_METADATA!$B$4&lt;&gt;"OR+EX",--(DATOS!$G1107=CONFIG_METADATA!$B$4),IF(DATOS!$G1107="EX",1,IF(DATOS!$G1107="OR",--(COUNTIFS(nNIA,DATOS!$A1107,nCURSO,DATOS!$D1107,nESPEC,DATOS!$E1107,nASIG,DATOS!$I1107,nEVAL,"EX")=0),0))))</f>
      </c>
      <c r="H1107">
        <f>IF(DATOS!$G1107&lt;&gt;"EX",0,--(COUNTIFS(nNIA,DATOS!$A1107,nCURSO,DATOS!$D1107,nESPEC,DATOS!$E1107,nASIG,DATOS!$I1107,nEVAL,"OR")=0))</f>
      </c>
      <c r="I1107">
        <f>IF(DATOS!$I1107="","",IFERROR(VLOOKUP(DATOS!$I1107,CONFIG_ASIGNATURAS!$B$2:$J$91,9,FALSE()),""))</f>
      </c>
    </row>
    <row r="1108">
      <c r="F1108">
        <f>IF(DATOS!$A1108="","",DATOS!$A1108&amp;"|"&amp;DATOS!$D1108&amp;"|"&amp;DATOS!$E1108&amp;"|"&amp;DATOS!$I1108)</f>
      </c>
      <c r="G1108">
        <f>IF(DATOS!$A1108="",0,IF(CONFIG_METADATA!$B$4&lt;&gt;"OR+EX",--(DATOS!$G1108=CONFIG_METADATA!$B$4),IF(DATOS!$G1108="EX",1,IF(DATOS!$G1108="OR",--(COUNTIFS(nNIA,DATOS!$A1108,nCURSO,DATOS!$D1108,nESPEC,DATOS!$E1108,nASIG,DATOS!$I1108,nEVAL,"EX")=0),0))))</f>
      </c>
      <c r="H1108">
        <f>IF(DATOS!$G1108&lt;&gt;"EX",0,--(COUNTIFS(nNIA,DATOS!$A1108,nCURSO,DATOS!$D1108,nESPEC,DATOS!$E1108,nASIG,DATOS!$I1108,nEVAL,"OR")=0))</f>
      </c>
      <c r="I1108">
        <f>IF(DATOS!$I1108="","",IFERROR(VLOOKUP(DATOS!$I1108,CONFIG_ASIGNATURAS!$B$2:$J$91,9,FALSE()),""))</f>
      </c>
    </row>
    <row r="1109">
      <c r="F1109">
        <f>IF(DATOS!$A1109="","",DATOS!$A1109&amp;"|"&amp;DATOS!$D1109&amp;"|"&amp;DATOS!$E1109&amp;"|"&amp;DATOS!$I1109)</f>
      </c>
      <c r="G1109">
        <f>IF(DATOS!$A1109="",0,IF(CONFIG_METADATA!$B$4&lt;&gt;"OR+EX",--(DATOS!$G1109=CONFIG_METADATA!$B$4),IF(DATOS!$G1109="EX",1,IF(DATOS!$G1109="OR",--(COUNTIFS(nNIA,DATOS!$A1109,nCURSO,DATOS!$D1109,nESPEC,DATOS!$E1109,nASIG,DATOS!$I1109,nEVAL,"EX")=0),0))))</f>
      </c>
      <c r="H1109">
        <f>IF(DATOS!$G1109&lt;&gt;"EX",0,--(COUNTIFS(nNIA,DATOS!$A1109,nCURSO,DATOS!$D1109,nESPEC,DATOS!$E1109,nASIG,DATOS!$I1109,nEVAL,"OR")=0))</f>
      </c>
      <c r="I1109">
        <f>IF(DATOS!$I1109="","",IFERROR(VLOOKUP(DATOS!$I1109,CONFIG_ASIGNATURAS!$B$2:$J$91,9,FALSE()),""))</f>
      </c>
    </row>
    <row r="1110">
      <c r="F1110">
        <f>IF(DATOS!$A1110="","",DATOS!$A1110&amp;"|"&amp;DATOS!$D1110&amp;"|"&amp;DATOS!$E1110&amp;"|"&amp;DATOS!$I1110)</f>
      </c>
      <c r="G1110">
        <f>IF(DATOS!$A1110="",0,IF(CONFIG_METADATA!$B$4&lt;&gt;"OR+EX",--(DATOS!$G1110=CONFIG_METADATA!$B$4),IF(DATOS!$G1110="EX",1,IF(DATOS!$G1110="OR",--(COUNTIFS(nNIA,DATOS!$A1110,nCURSO,DATOS!$D1110,nESPEC,DATOS!$E1110,nASIG,DATOS!$I1110,nEVAL,"EX")=0),0))))</f>
      </c>
      <c r="H1110">
        <f>IF(DATOS!$G1110&lt;&gt;"EX",0,--(COUNTIFS(nNIA,DATOS!$A1110,nCURSO,DATOS!$D1110,nESPEC,DATOS!$E1110,nASIG,DATOS!$I1110,nEVAL,"OR")=0))</f>
      </c>
      <c r="I1110">
        <f>IF(DATOS!$I1110="","",IFERROR(VLOOKUP(DATOS!$I1110,CONFIG_ASIGNATURAS!$B$2:$J$91,9,FALSE()),""))</f>
      </c>
    </row>
    <row r="1111">
      <c r="F1111">
        <f>IF(DATOS!$A1111="","",DATOS!$A1111&amp;"|"&amp;DATOS!$D1111&amp;"|"&amp;DATOS!$E1111&amp;"|"&amp;DATOS!$I1111)</f>
      </c>
      <c r="G1111">
        <f>IF(DATOS!$A1111="",0,IF(CONFIG_METADATA!$B$4&lt;&gt;"OR+EX",--(DATOS!$G1111=CONFIG_METADATA!$B$4),IF(DATOS!$G1111="EX",1,IF(DATOS!$G1111="OR",--(COUNTIFS(nNIA,DATOS!$A1111,nCURSO,DATOS!$D1111,nESPEC,DATOS!$E1111,nASIG,DATOS!$I1111,nEVAL,"EX")=0),0))))</f>
      </c>
      <c r="H1111">
        <f>IF(DATOS!$G1111&lt;&gt;"EX",0,--(COUNTIFS(nNIA,DATOS!$A1111,nCURSO,DATOS!$D1111,nESPEC,DATOS!$E1111,nASIG,DATOS!$I1111,nEVAL,"OR")=0))</f>
      </c>
      <c r="I1111">
        <f>IF(DATOS!$I1111="","",IFERROR(VLOOKUP(DATOS!$I1111,CONFIG_ASIGNATURAS!$B$2:$J$91,9,FALSE()),""))</f>
      </c>
    </row>
    <row r="1112">
      <c r="F1112">
        <f>IF(DATOS!$A1112="","",DATOS!$A1112&amp;"|"&amp;DATOS!$D1112&amp;"|"&amp;DATOS!$E1112&amp;"|"&amp;DATOS!$I1112)</f>
      </c>
      <c r="G1112">
        <f>IF(DATOS!$A1112="",0,IF(CONFIG_METADATA!$B$4&lt;&gt;"OR+EX",--(DATOS!$G1112=CONFIG_METADATA!$B$4),IF(DATOS!$G1112="EX",1,IF(DATOS!$G1112="OR",--(COUNTIFS(nNIA,DATOS!$A1112,nCURSO,DATOS!$D1112,nESPEC,DATOS!$E1112,nASIG,DATOS!$I1112,nEVAL,"EX")=0),0))))</f>
      </c>
      <c r="H1112">
        <f>IF(DATOS!$G1112&lt;&gt;"EX",0,--(COUNTIFS(nNIA,DATOS!$A1112,nCURSO,DATOS!$D1112,nESPEC,DATOS!$E1112,nASIG,DATOS!$I1112,nEVAL,"OR")=0))</f>
      </c>
      <c r="I1112">
        <f>IF(DATOS!$I1112="","",IFERROR(VLOOKUP(DATOS!$I1112,CONFIG_ASIGNATURAS!$B$2:$J$91,9,FALSE()),""))</f>
      </c>
    </row>
    <row r="1113">
      <c r="F1113">
        <f>IF(DATOS!$A1113="","",DATOS!$A1113&amp;"|"&amp;DATOS!$D1113&amp;"|"&amp;DATOS!$E1113&amp;"|"&amp;DATOS!$I1113)</f>
      </c>
      <c r="G1113">
        <f>IF(DATOS!$A1113="",0,IF(CONFIG_METADATA!$B$4&lt;&gt;"OR+EX",--(DATOS!$G1113=CONFIG_METADATA!$B$4),IF(DATOS!$G1113="EX",1,IF(DATOS!$G1113="OR",--(COUNTIFS(nNIA,DATOS!$A1113,nCURSO,DATOS!$D1113,nESPEC,DATOS!$E1113,nASIG,DATOS!$I1113,nEVAL,"EX")=0),0))))</f>
      </c>
      <c r="H1113">
        <f>IF(DATOS!$G1113&lt;&gt;"EX",0,--(COUNTIFS(nNIA,DATOS!$A1113,nCURSO,DATOS!$D1113,nESPEC,DATOS!$E1113,nASIG,DATOS!$I1113,nEVAL,"OR")=0))</f>
      </c>
      <c r="I1113">
        <f>IF(DATOS!$I1113="","",IFERROR(VLOOKUP(DATOS!$I1113,CONFIG_ASIGNATURAS!$B$2:$J$91,9,FALSE()),""))</f>
      </c>
    </row>
    <row r="1114">
      <c r="F1114">
        <f>IF(DATOS!$A1114="","",DATOS!$A1114&amp;"|"&amp;DATOS!$D1114&amp;"|"&amp;DATOS!$E1114&amp;"|"&amp;DATOS!$I1114)</f>
      </c>
      <c r="G1114">
        <f>IF(DATOS!$A1114="",0,IF(CONFIG_METADATA!$B$4&lt;&gt;"OR+EX",--(DATOS!$G1114=CONFIG_METADATA!$B$4),IF(DATOS!$G1114="EX",1,IF(DATOS!$G1114="OR",--(COUNTIFS(nNIA,DATOS!$A1114,nCURSO,DATOS!$D1114,nESPEC,DATOS!$E1114,nASIG,DATOS!$I1114,nEVAL,"EX")=0),0))))</f>
      </c>
      <c r="H1114">
        <f>IF(DATOS!$G1114&lt;&gt;"EX",0,--(COUNTIFS(nNIA,DATOS!$A1114,nCURSO,DATOS!$D1114,nESPEC,DATOS!$E1114,nASIG,DATOS!$I1114,nEVAL,"OR")=0))</f>
      </c>
      <c r="I1114">
        <f>IF(DATOS!$I1114="","",IFERROR(VLOOKUP(DATOS!$I1114,CONFIG_ASIGNATURAS!$B$2:$J$91,9,FALSE()),""))</f>
      </c>
    </row>
    <row r="1115">
      <c r="F1115">
        <f>IF(DATOS!$A1115="","",DATOS!$A1115&amp;"|"&amp;DATOS!$D1115&amp;"|"&amp;DATOS!$E1115&amp;"|"&amp;DATOS!$I1115)</f>
      </c>
      <c r="G1115">
        <f>IF(DATOS!$A1115="",0,IF(CONFIG_METADATA!$B$4&lt;&gt;"OR+EX",--(DATOS!$G1115=CONFIG_METADATA!$B$4),IF(DATOS!$G1115="EX",1,IF(DATOS!$G1115="OR",--(COUNTIFS(nNIA,DATOS!$A1115,nCURSO,DATOS!$D1115,nESPEC,DATOS!$E1115,nASIG,DATOS!$I1115,nEVAL,"EX")=0),0))))</f>
      </c>
      <c r="H1115">
        <f>IF(DATOS!$G1115&lt;&gt;"EX",0,--(COUNTIFS(nNIA,DATOS!$A1115,nCURSO,DATOS!$D1115,nESPEC,DATOS!$E1115,nASIG,DATOS!$I1115,nEVAL,"OR")=0))</f>
      </c>
      <c r="I1115">
        <f>IF(DATOS!$I1115="","",IFERROR(VLOOKUP(DATOS!$I1115,CONFIG_ASIGNATURAS!$B$2:$J$91,9,FALSE()),""))</f>
      </c>
    </row>
    <row r="1116">
      <c r="F1116">
        <f>IF(DATOS!$A1116="","",DATOS!$A1116&amp;"|"&amp;DATOS!$D1116&amp;"|"&amp;DATOS!$E1116&amp;"|"&amp;DATOS!$I1116)</f>
      </c>
      <c r="G1116">
        <f>IF(DATOS!$A1116="",0,IF(CONFIG_METADATA!$B$4&lt;&gt;"OR+EX",--(DATOS!$G1116=CONFIG_METADATA!$B$4),IF(DATOS!$G1116="EX",1,IF(DATOS!$G1116="OR",--(COUNTIFS(nNIA,DATOS!$A1116,nCURSO,DATOS!$D1116,nESPEC,DATOS!$E1116,nASIG,DATOS!$I1116,nEVAL,"EX")=0),0))))</f>
      </c>
      <c r="H1116">
        <f>IF(DATOS!$G1116&lt;&gt;"EX",0,--(COUNTIFS(nNIA,DATOS!$A1116,nCURSO,DATOS!$D1116,nESPEC,DATOS!$E1116,nASIG,DATOS!$I1116,nEVAL,"OR")=0))</f>
      </c>
      <c r="I1116">
        <f>IF(DATOS!$I1116="","",IFERROR(VLOOKUP(DATOS!$I1116,CONFIG_ASIGNATURAS!$B$2:$J$91,9,FALSE()),""))</f>
      </c>
    </row>
    <row r="1117">
      <c r="F1117">
        <f>IF(DATOS!$A1117="","",DATOS!$A1117&amp;"|"&amp;DATOS!$D1117&amp;"|"&amp;DATOS!$E1117&amp;"|"&amp;DATOS!$I1117)</f>
      </c>
      <c r="G1117">
        <f>IF(DATOS!$A1117="",0,IF(CONFIG_METADATA!$B$4&lt;&gt;"OR+EX",--(DATOS!$G1117=CONFIG_METADATA!$B$4),IF(DATOS!$G1117="EX",1,IF(DATOS!$G1117="OR",--(COUNTIFS(nNIA,DATOS!$A1117,nCURSO,DATOS!$D1117,nESPEC,DATOS!$E1117,nASIG,DATOS!$I1117,nEVAL,"EX")=0),0))))</f>
      </c>
      <c r="H1117">
        <f>IF(DATOS!$G1117&lt;&gt;"EX",0,--(COUNTIFS(nNIA,DATOS!$A1117,nCURSO,DATOS!$D1117,nESPEC,DATOS!$E1117,nASIG,DATOS!$I1117,nEVAL,"OR")=0))</f>
      </c>
      <c r="I1117">
        <f>IF(DATOS!$I1117="","",IFERROR(VLOOKUP(DATOS!$I1117,CONFIG_ASIGNATURAS!$B$2:$J$91,9,FALSE()),""))</f>
      </c>
    </row>
    <row r="1118">
      <c r="F1118">
        <f>IF(DATOS!$A1118="","",DATOS!$A1118&amp;"|"&amp;DATOS!$D1118&amp;"|"&amp;DATOS!$E1118&amp;"|"&amp;DATOS!$I1118)</f>
      </c>
      <c r="G1118">
        <f>IF(DATOS!$A1118="",0,IF(CONFIG_METADATA!$B$4&lt;&gt;"OR+EX",--(DATOS!$G1118=CONFIG_METADATA!$B$4),IF(DATOS!$G1118="EX",1,IF(DATOS!$G1118="OR",--(COUNTIFS(nNIA,DATOS!$A1118,nCURSO,DATOS!$D1118,nESPEC,DATOS!$E1118,nASIG,DATOS!$I1118,nEVAL,"EX")=0),0))))</f>
      </c>
      <c r="H1118">
        <f>IF(DATOS!$G1118&lt;&gt;"EX",0,--(COUNTIFS(nNIA,DATOS!$A1118,nCURSO,DATOS!$D1118,nESPEC,DATOS!$E1118,nASIG,DATOS!$I1118,nEVAL,"OR")=0))</f>
      </c>
      <c r="I1118">
        <f>IF(DATOS!$I1118="","",IFERROR(VLOOKUP(DATOS!$I1118,CONFIG_ASIGNATURAS!$B$2:$J$91,9,FALSE()),""))</f>
      </c>
    </row>
    <row r="1119">
      <c r="F1119">
        <f>IF(DATOS!$A1119="","",DATOS!$A1119&amp;"|"&amp;DATOS!$D1119&amp;"|"&amp;DATOS!$E1119&amp;"|"&amp;DATOS!$I1119)</f>
      </c>
      <c r="G1119">
        <f>IF(DATOS!$A1119="",0,IF(CONFIG_METADATA!$B$4&lt;&gt;"OR+EX",--(DATOS!$G1119=CONFIG_METADATA!$B$4),IF(DATOS!$G1119="EX",1,IF(DATOS!$G1119="OR",--(COUNTIFS(nNIA,DATOS!$A1119,nCURSO,DATOS!$D1119,nESPEC,DATOS!$E1119,nASIG,DATOS!$I1119,nEVAL,"EX")=0),0))))</f>
      </c>
      <c r="H1119">
        <f>IF(DATOS!$G1119&lt;&gt;"EX",0,--(COUNTIFS(nNIA,DATOS!$A1119,nCURSO,DATOS!$D1119,nESPEC,DATOS!$E1119,nASIG,DATOS!$I1119,nEVAL,"OR")=0))</f>
      </c>
      <c r="I1119">
        <f>IF(DATOS!$I1119="","",IFERROR(VLOOKUP(DATOS!$I1119,CONFIG_ASIGNATURAS!$B$2:$J$91,9,FALSE()),""))</f>
      </c>
    </row>
    <row r="1120">
      <c r="F1120">
        <f>IF(DATOS!$A1120="","",DATOS!$A1120&amp;"|"&amp;DATOS!$D1120&amp;"|"&amp;DATOS!$E1120&amp;"|"&amp;DATOS!$I1120)</f>
      </c>
      <c r="G1120">
        <f>IF(DATOS!$A1120="",0,IF(CONFIG_METADATA!$B$4&lt;&gt;"OR+EX",--(DATOS!$G1120=CONFIG_METADATA!$B$4),IF(DATOS!$G1120="EX",1,IF(DATOS!$G1120="OR",--(COUNTIFS(nNIA,DATOS!$A1120,nCURSO,DATOS!$D1120,nESPEC,DATOS!$E1120,nASIG,DATOS!$I1120,nEVAL,"EX")=0),0))))</f>
      </c>
      <c r="H1120">
        <f>IF(DATOS!$G1120&lt;&gt;"EX",0,--(COUNTIFS(nNIA,DATOS!$A1120,nCURSO,DATOS!$D1120,nESPEC,DATOS!$E1120,nASIG,DATOS!$I1120,nEVAL,"OR")=0))</f>
      </c>
      <c r="I1120">
        <f>IF(DATOS!$I1120="","",IFERROR(VLOOKUP(DATOS!$I1120,CONFIG_ASIGNATURAS!$B$2:$J$91,9,FALSE()),""))</f>
      </c>
    </row>
    <row r="1121">
      <c r="F1121">
        <f>IF(DATOS!$A1121="","",DATOS!$A1121&amp;"|"&amp;DATOS!$D1121&amp;"|"&amp;DATOS!$E1121&amp;"|"&amp;DATOS!$I1121)</f>
      </c>
      <c r="G1121">
        <f>IF(DATOS!$A1121="",0,IF(CONFIG_METADATA!$B$4&lt;&gt;"OR+EX",--(DATOS!$G1121=CONFIG_METADATA!$B$4),IF(DATOS!$G1121="EX",1,IF(DATOS!$G1121="OR",--(COUNTIFS(nNIA,DATOS!$A1121,nCURSO,DATOS!$D1121,nESPEC,DATOS!$E1121,nASIG,DATOS!$I1121,nEVAL,"EX")=0),0))))</f>
      </c>
      <c r="H1121">
        <f>IF(DATOS!$G1121&lt;&gt;"EX",0,--(COUNTIFS(nNIA,DATOS!$A1121,nCURSO,DATOS!$D1121,nESPEC,DATOS!$E1121,nASIG,DATOS!$I1121,nEVAL,"OR")=0))</f>
      </c>
      <c r="I1121">
        <f>IF(DATOS!$I1121="","",IFERROR(VLOOKUP(DATOS!$I1121,CONFIG_ASIGNATURAS!$B$2:$J$91,9,FALSE()),""))</f>
      </c>
    </row>
    <row r="1122">
      <c r="F1122">
        <f>IF(DATOS!$A1122="","",DATOS!$A1122&amp;"|"&amp;DATOS!$D1122&amp;"|"&amp;DATOS!$E1122&amp;"|"&amp;DATOS!$I1122)</f>
      </c>
      <c r="G1122">
        <f>IF(DATOS!$A1122="",0,IF(CONFIG_METADATA!$B$4&lt;&gt;"OR+EX",--(DATOS!$G1122=CONFIG_METADATA!$B$4),IF(DATOS!$G1122="EX",1,IF(DATOS!$G1122="OR",--(COUNTIFS(nNIA,DATOS!$A1122,nCURSO,DATOS!$D1122,nESPEC,DATOS!$E1122,nASIG,DATOS!$I1122,nEVAL,"EX")=0),0))))</f>
      </c>
      <c r="H1122">
        <f>IF(DATOS!$G1122&lt;&gt;"EX",0,--(COUNTIFS(nNIA,DATOS!$A1122,nCURSO,DATOS!$D1122,nESPEC,DATOS!$E1122,nASIG,DATOS!$I1122,nEVAL,"OR")=0))</f>
      </c>
      <c r="I1122">
        <f>IF(DATOS!$I1122="","",IFERROR(VLOOKUP(DATOS!$I1122,CONFIG_ASIGNATURAS!$B$2:$J$91,9,FALSE()),""))</f>
      </c>
    </row>
    <row r="1123">
      <c r="F1123">
        <f>IF(DATOS!$A1123="","",DATOS!$A1123&amp;"|"&amp;DATOS!$D1123&amp;"|"&amp;DATOS!$E1123&amp;"|"&amp;DATOS!$I1123)</f>
      </c>
      <c r="G1123">
        <f>IF(DATOS!$A1123="",0,IF(CONFIG_METADATA!$B$4&lt;&gt;"OR+EX",--(DATOS!$G1123=CONFIG_METADATA!$B$4),IF(DATOS!$G1123="EX",1,IF(DATOS!$G1123="OR",--(COUNTIFS(nNIA,DATOS!$A1123,nCURSO,DATOS!$D1123,nESPEC,DATOS!$E1123,nASIG,DATOS!$I1123,nEVAL,"EX")=0),0))))</f>
      </c>
      <c r="H1123">
        <f>IF(DATOS!$G1123&lt;&gt;"EX",0,--(COUNTIFS(nNIA,DATOS!$A1123,nCURSO,DATOS!$D1123,nESPEC,DATOS!$E1123,nASIG,DATOS!$I1123,nEVAL,"OR")=0))</f>
      </c>
      <c r="I1123">
        <f>IF(DATOS!$I1123="","",IFERROR(VLOOKUP(DATOS!$I1123,CONFIG_ASIGNATURAS!$B$2:$J$91,9,FALSE()),""))</f>
      </c>
    </row>
    <row r="1124">
      <c r="F1124">
        <f>IF(DATOS!$A1124="","",DATOS!$A1124&amp;"|"&amp;DATOS!$D1124&amp;"|"&amp;DATOS!$E1124&amp;"|"&amp;DATOS!$I1124)</f>
      </c>
      <c r="G1124">
        <f>IF(DATOS!$A1124="",0,IF(CONFIG_METADATA!$B$4&lt;&gt;"OR+EX",--(DATOS!$G1124=CONFIG_METADATA!$B$4),IF(DATOS!$G1124="EX",1,IF(DATOS!$G1124="OR",--(COUNTIFS(nNIA,DATOS!$A1124,nCURSO,DATOS!$D1124,nESPEC,DATOS!$E1124,nASIG,DATOS!$I1124,nEVAL,"EX")=0),0))))</f>
      </c>
      <c r="H1124">
        <f>IF(DATOS!$G1124&lt;&gt;"EX",0,--(COUNTIFS(nNIA,DATOS!$A1124,nCURSO,DATOS!$D1124,nESPEC,DATOS!$E1124,nASIG,DATOS!$I1124,nEVAL,"OR")=0))</f>
      </c>
      <c r="I1124">
        <f>IF(DATOS!$I1124="","",IFERROR(VLOOKUP(DATOS!$I1124,CONFIG_ASIGNATURAS!$B$2:$J$91,9,FALSE()),""))</f>
      </c>
    </row>
    <row r="1125">
      <c r="F1125">
        <f>IF(DATOS!$A1125="","",DATOS!$A1125&amp;"|"&amp;DATOS!$D1125&amp;"|"&amp;DATOS!$E1125&amp;"|"&amp;DATOS!$I1125)</f>
      </c>
      <c r="G1125">
        <f>IF(DATOS!$A1125="",0,IF(CONFIG_METADATA!$B$4&lt;&gt;"OR+EX",--(DATOS!$G1125=CONFIG_METADATA!$B$4),IF(DATOS!$G1125="EX",1,IF(DATOS!$G1125="OR",--(COUNTIFS(nNIA,DATOS!$A1125,nCURSO,DATOS!$D1125,nESPEC,DATOS!$E1125,nASIG,DATOS!$I1125,nEVAL,"EX")=0),0))))</f>
      </c>
      <c r="H1125">
        <f>IF(DATOS!$G1125&lt;&gt;"EX",0,--(COUNTIFS(nNIA,DATOS!$A1125,nCURSO,DATOS!$D1125,nESPEC,DATOS!$E1125,nASIG,DATOS!$I1125,nEVAL,"OR")=0))</f>
      </c>
      <c r="I1125">
        <f>IF(DATOS!$I1125="","",IFERROR(VLOOKUP(DATOS!$I1125,CONFIG_ASIGNATURAS!$B$2:$J$91,9,FALSE()),""))</f>
      </c>
    </row>
    <row r="1126">
      <c r="F1126">
        <f>IF(DATOS!$A1126="","",DATOS!$A1126&amp;"|"&amp;DATOS!$D1126&amp;"|"&amp;DATOS!$E1126&amp;"|"&amp;DATOS!$I1126)</f>
      </c>
      <c r="G1126">
        <f>IF(DATOS!$A1126="",0,IF(CONFIG_METADATA!$B$4&lt;&gt;"OR+EX",--(DATOS!$G1126=CONFIG_METADATA!$B$4),IF(DATOS!$G1126="EX",1,IF(DATOS!$G1126="OR",--(COUNTIFS(nNIA,DATOS!$A1126,nCURSO,DATOS!$D1126,nESPEC,DATOS!$E1126,nASIG,DATOS!$I1126,nEVAL,"EX")=0),0))))</f>
      </c>
      <c r="H1126">
        <f>IF(DATOS!$G1126&lt;&gt;"EX",0,--(COUNTIFS(nNIA,DATOS!$A1126,nCURSO,DATOS!$D1126,nESPEC,DATOS!$E1126,nASIG,DATOS!$I1126,nEVAL,"OR")=0))</f>
      </c>
      <c r="I1126">
        <f>IF(DATOS!$I1126="","",IFERROR(VLOOKUP(DATOS!$I1126,CONFIG_ASIGNATURAS!$B$2:$J$91,9,FALSE()),""))</f>
      </c>
    </row>
    <row r="1127">
      <c r="F1127">
        <f>IF(DATOS!$A1127="","",DATOS!$A1127&amp;"|"&amp;DATOS!$D1127&amp;"|"&amp;DATOS!$E1127&amp;"|"&amp;DATOS!$I1127)</f>
      </c>
      <c r="G1127">
        <f>IF(DATOS!$A1127="",0,IF(CONFIG_METADATA!$B$4&lt;&gt;"OR+EX",--(DATOS!$G1127=CONFIG_METADATA!$B$4),IF(DATOS!$G1127="EX",1,IF(DATOS!$G1127="OR",--(COUNTIFS(nNIA,DATOS!$A1127,nCURSO,DATOS!$D1127,nESPEC,DATOS!$E1127,nASIG,DATOS!$I1127,nEVAL,"EX")=0),0))))</f>
      </c>
      <c r="H1127">
        <f>IF(DATOS!$G1127&lt;&gt;"EX",0,--(COUNTIFS(nNIA,DATOS!$A1127,nCURSO,DATOS!$D1127,nESPEC,DATOS!$E1127,nASIG,DATOS!$I1127,nEVAL,"OR")=0))</f>
      </c>
      <c r="I1127">
        <f>IF(DATOS!$I1127="","",IFERROR(VLOOKUP(DATOS!$I1127,CONFIG_ASIGNATURAS!$B$2:$J$91,9,FALSE()),""))</f>
      </c>
    </row>
    <row r="1128">
      <c r="F1128">
        <f>IF(DATOS!$A1128="","",DATOS!$A1128&amp;"|"&amp;DATOS!$D1128&amp;"|"&amp;DATOS!$E1128&amp;"|"&amp;DATOS!$I1128)</f>
      </c>
      <c r="G1128">
        <f>IF(DATOS!$A1128="",0,IF(CONFIG_METADATA!$B$4&lt;&gt;"OR+EX",--(DATOS!$G1128=CONFIG_METADATA!$B$4),IF(DATOS!$G1128="EX",1,IF(DATOS!$G1128="OR",--(COUNTIFS(nNIA,DATOS!$A1128,nCURSO,DATOS!$D1128,nESPEC,DATOS!$E1128,nASIG,DATOS!$I1128,nEVAL,"EX")=0),0))))</f>
      </c>
      <c r="H1128">
        <f>IF(DATOS!$G1128&lt;&gt;"EX",0,--(COUNTIFS(nNIA,DATOS!$A1128,nCURSO,DATOS!$D1128,nESPEC,DATOS!$E1128,nASIG,DATOS!$I1128,nEVAL,"OR")=0))</f>
      </c>
      <c r="I1128">
        <f>IF(DATOS!$I1128="","",IFERROR(VLOOKUP(DATOS!$I1128,CONFIG_ASIGNATURAS!$B$2:$J$91,9,FALSE()),""))</f>
      </c>
    </row>
    <row r="1129">
      <c r="F1129">
        <f>IF(DATOS!$A1129="","",DATOS!$A1129&amp;"|"&amp;DATOS!$D1129&amp;"|"&amp;DATOS!$E1129&amp;"|"&amp;DATOS!$I1129)</f>
      </c>
      <c r="G1129">
        <f>IF(DATOS!$A1129="",0,IF(CONFIG_METADATA!$B$4&lt;&gt;"OR+EX",--(DATOS!$G1129=CONFIG_METADATA!$B$4),IF(DATOS!$G1129="EX",1,IF(DATOS!$G1129="OR",--(COUNTIFS(nNIA,DATOS!$A1129,nCURSO,DATOS!$D1129,nESPEC,DATOS!$E1129,nASIG,DATOS!$I1129,nEVAL,"EX")=0),0))))</f>
      </c>
      <c r="H1129">
        <f>IF(DATOS!$G1129&lt;&gt;"EX",0,--(COUNTIFS(nNIA,DATOS!$A1129,nCURSO,DATOS!$D1129,nESPEC,DATOS!$E1129,nASIG,DATOS!$I1129,nEVAL,"OR")=0))</f>
      </c>
      <c r="I1129">
        <f>IF(DATOS!$I1129="","",IFERROR(VLOOKUP(DATOS!$I1129,CONFIG_ASIGNATURAS!$B$2:$J$91,9,FALSE()),""))</f>
      </c>
    </row>
    <row r="1130">
      <c r="F1130">
        <f>IF(DATOS!$A1130="","",DATOS!$A1130&amp;"|"&amp;DATOS!$D1130&amp;"|"&amp;DATOS!$E1130&amp;"|"&amp;DATOS!$I1130)</f>
      </c>
      <c r="G1130">
        <f>IF(DATOS!$A1130="",0,IF(CONFIG_METADATA!$B$4&lt;&gt;"OR+EX",--(DATOS!$G1130=CONFIG_METADATA!$B$4),IF(DATOS!$G1130="EX",1,IF(DATOS!$G1130="OR",--(COUNTIFS(nNIA,DATOS!$A1130,nCURSO,DATOS!$D1130,nESPEC,DATOS!$E1130,nASIG,DATOS!$I1130,nEVAL,"EX")=0),0))))</f>
      </c>
      <c r="H1130">
        <f>IF(DATOS!$G1130&lt;&gt;"EX",0,--(COUNTIFS(nNIA,DATOS!$A1130,nCURSO,DATOS!$D1130,nESPEC,DATOS!$E1130,nASIG,DATOS!$I1130,nEVAL,"OR")=0))</f>
      </c>
      <c r="I1130">
        <f>IF(DATOS!$I1130="","",IFERROR(VLOOKUP(DATOS!$I1130,CONFIG_ASIGNATURAS!$B$2:$J$91,9,FALSE()),""))</f>
      </c>
    </row>
    <row r="1131">
      <c r="F1131">
        <f>IF(DATOS!$A1131="","",DATOS!$A1131&amp;"|"&amp;DATOS!$D1131&amp;"|"&amp;DATOS!$E1131&amp;"|"&amp;DATOS!$I1131)</f>
      </c>
      <c r="G1131">
        <f>IF(DATOS!$A1131="",0,IF(CONFIG_METADATA!$B$4&lt;&gt;"OR+EX",--(DATOS!$G1131=CONFIG_METADATA!$B$4),IF(DATOS!$G1131="EX",1,IF(DATOS!$G1131="OR",--(COUNTIFS(nNIA,DATOS!$A1131,nCURSO,DATOS!$D1131,nESPEC,DATOS!$E1131,nASIG,DATOS!$I1131,nEVAL,"EX")=0),0))))</f>
      </c>
      <c r="H1131">
        <f>IF(DATOS!$G1131&lt;&gt;"EX",0,--(COUNTIFS(nNIA,DATOS!$A1131,nCURSO,DATOS!$D1131,nESPEC,DATOS!$E1131,nASIG,DATOS!$I1131,nEVAL,"OR")=0))</f>
      </c>
      <c r="I1131">
        <f>IF(DATOS!$I1131="","",IFERROR(VLOOKUP(DATOS!$I1131,CONFIG_ASIGNATURAS!$B$2:$J$91,9,FALSE()),""))</f>
      </c>
    </row>
    <row r="1132">
      <c r="F1132">
        <f>IF(DATOS!$A1132="","",DATOS!$A1132&amp;"|"&amp;DATOS!$D1132&amp;"|"&amp;DATOS!$E1132&amp;"|"&amp;DATOS!$I1132)</f>
      </c>
      <c r="G1132">
        <f>IF(DATOS!$A1132="",0,IF(CONFIG_METADATA!$B$4&lt;&gt;"OR+EX",--(DATOS!$G1132=CONFIG_METADATA!$B$4),IF(DATOS!$G1132="EX",1,IF(DATOS!$G1132="OR",--(COUNTIFS(nNIA,DATOS!$A1132,nCURSO,DATOS!$D1132,nESPEC,DATOS!$E1132,nASIG,DATOS!$I1132,nEVAL,"EX")=0),0))))</f>
      </c>
      <c r="H1132">
        <f>IF(DATOS!$G1132&lt;&gt;"EX",0,--(COUNTIFS(nNIA,DATOS!$A1132,nCURSO,DATOS!$D1132,nESPEC,DATOS!$E1132,nASIG,DATOS!$I1132,nEVAL,"OR")=0))</f>
      </c>
      <c r="I1132">
        <f>IF(DATOS!$I1132="","",IFERROR(VLOOKUP(DATOS!$I1132,CONFIG_ASIGNATURAS!$B$2:$J$91,9,FALSE()),""))</f>
      </c>
    </row>
    <row r="1133">
      <c r="F1133">
        <f>IF(DATOS!$A1133="","",DATOS!$A1133&amp;"|"&amp;DATOS!$D1133&amp;"|"&amp;DATOS!$E1133&amp;"|"&amp;DATOS!$I1133)</f>
      </c>
      <c r="G1133">
        <f>IF(DATOS!$A1133="",0,IF(CONFIG_METADATA!$B$4&lt;&gt;"OR+EX",--(DATOS!$G1133=CONFIG_METADATA!$B$4),IF(DATOS!$G1133="EX",1,IF(DATOS!$G1133="OR",--(COUNTIFS(nNIA,DATOS!$A1133,nCURSO,DATOS!$D1133,nESPEC,DATOS!$E1133,nASIG,DATOS!$I1133,nEVAL,"EX")=0),0))))</f>
      </c>
      <c r="H1133">
        <f>IF(DATOS!$G1133&lt;&gt;"EX",0,--(COUNTIFS(nNIA,DATOS!$A1133,nCURSO,DATOS!$D1133,nESPEC,DATOS!$E1133,nASIG,DATOS!$I1133,nEVAL,"OR")=0))</f>
      </c>
      <c r="I1133">
        <f>IF(DATOS!$I1133="","",IFERROR(VLOOKUP(DATOS!$I1133,CONFIG_ASIGNATURAS!$B$2:$J$91,9,FALSE()),""))</f>
      </c>
    </row>
    <row r="1134">
      <c r="F1134">
        <f>IF(DATOS!$A1134="","",DATOS!$A1134&amp;"|"&amp;DATOS!$D1134&amp;"|"&amp;DATOS!$E1134&amp;"|"&amp;DATOS!$I1134)</f>
      </c>
      <c r="G1134">
        <f>IF(DATOS!$A1134="",0,IF(CONFIG_METADATA!$B$4&lt;&gt;"OR+EX",--(DATOS!$G1134=CONFIG_METADATA!$B$4),IF(DATOS!$G1134="EX",1,IF(DATOS!$G1134="OR",--(COUNTIFS(nNIA,DATOS!$A1134,nCURSO,DATOS!$D1134,nESPEC,DATOS!$E1134,nASIG,DATOS!$I1134,nEVAL,"EX")=0),0))))</f>
      </c>
      <c r="H1134">
        <f>IF(DATOS!$G1134&lt;&gt;"EX",0,--(COUNTIFS(nNIA,DATOS!$A1134,nCURSO,DATOS!$D1134,nESPEC,DATOS!$E1134,nASIG,DATOS!$I1134,nEVAL,"OR")=0))</f>
      </c>
      <c r="I1134">
        <f>IF(DATOS!$I1134="","",IFERROR(VLOOKUP(DATOS!$I1134,CONFIG_ASIGNATURAS!$B$2:$J$91,9,FALSE()),""))</f>
      </c>
    </row>
    <row r="1135">
      <c r="F1135">
        <f>IF(DATOS!$A1135="","",DATOS!$A1135&amp;"|"&amp;DATOS!$D1135&amp;"|"&amp;DATOS!$E1135&amp;"|"&amp;DATOS!$I1135)</f>
      </c>
      <c r="G1135">
        <f>IF(DATOS!$A1135="",0,IF(CONFIG_METADATA!$B$4&lt;&gt;"OR+EX",--(DATOS!$G1135=CONFIG_METADATA!$B$4),IF(DATOS!$G1135="EX",1,IF(DATOS!$G1135="OR",--(COUNTIFS(nNIA,DATOS!$A1135,nCURSO,DATOS!$D1135,nESPEC,DATOS!$E1135,nASIG,DATOS!$I1135,nEVAL,"EX")=0),0))))</f>
      </c>
      <c r="H1135">
        <f>IF(DATOS!$G1135&lt;&gt;"EX",0,--(COUNTIFS(nNIA,DATOS!$A1135,nCURSO,DATOS!$D1135,nESPEC,DATOS!$E1135,nASIG,DATOS!$I1135,nEVAL,"OR")=0))</f>
      </c>
      <c r="I1135">
        <f>IF(DATOS!$I1135="","",IFERROR(VLOOKUP(DATOS!$I1135,CONFIG_ASIGNATURAS!$B$2:$J$91,9,FALSE()),""))</f>
      </c>
    </row>
    <row r="1136">
      <c r="F1136">
        <f>IF(DATOS!$A1136="","",DATOS!$A1136&amp;"|"&amp;DATOS!$D1136&amp;"|"&amp;DATOS!$E1136&amp;"|"&amp;DATOS!$I1136)</f>
      </c>
      <c r="G1136">
        <f>IF(DATOS!$A1136="",0,IF(CONFIG_METADATA!$B$4&lt;&gt;"OR+EX",--(DATOS!$G1136=CONFIG_METADATA!$B$4),IF(DATOS!$G1136="EX",1,IF(DATOS!$G1136="OR",--(COUNTIFS(nNIA,DATOS!$A1136,nCURSO,DATOS!$D1136,nESPEC,DATOS!$E1136,nASIG,DATOS!$I1136,nEVAL,"EX")=0),0))))</f>
      </c>
      <c r="H1136">
        <f>IF(DATOS!$G1136&lt;&gt;"EX",0,--(COUNTIFS(nNIA,DATOS!$A1136,nCURSO,DATOS!$D1136,nESPEC,DATOS!$E1136,nASIG,DATOS!$I1136,nEVAL,"OR")=0))</f>
      </c>
      <c r="I1136">
        <f>IF(DATOS!$I1136="","",IFERROR(VLOOKUP(DATOS!$I1136,CONFIG_ASIGNATURAS!$B$2:$J$91,9,FALSE()),""))</f>
      </c>
    </row>
    <row r="1137">
      <c r="F1137">
        <f>IF(DATOS!$A1137="","",DATOS!$A1137&amp;"|"&amp;DATOS!$D1137&amp;"|"&amp;DATOS!$E1137&amp;"|"&amp;DATOS!$I1137)</f>
      </c>
      <c r="G1137">
        <f>IF(DATOS!$A1137="",0,IF(CONFIG_METADATA!$B$4&lt;&gt;"OR+EX",--(DATOS!$G1137=CONFIG_METADATA!$B$4),IF(DATOS!$G1137="EX",1,IF(DATOS!$G1137="OR",--(COUNTIFS(nNIA,DATOS!$A1137,nCURSO,DATOS!$D1137,nESPEC,DATOS!$E1137,nASIG,DATOS!$I1137,nEVAL,"EX")=0),0))))</f>
      </c>
      <c r="H1137">
        <f>IF(DATOS!$G1137&lt;&gt;"EX",0,--(COUNTIFS(nNIA,DATOS!$A1137,nCURSO,DATOS!$D1137,nESPEC,DATOS!$E1137,nASIG,DATOS!$I1137,nEVAL,"OR")=0))</f>
      </c>
      <c r="I1137">
        <f>IF(DATOS!$I1137="","",IFERROR(VLOOKUP(DATOS!$I1137,CONFIG_ASIGNATURAS!$B$2:$J$91,9,FALSE()),""))</f>
      </c>
    </row>
    <row r="1138">
      <c r="F1138">
        <f>IF(DATOS!$A1138="","",DATOS!$A1138&amp;"|"&amp;DATOS!$D1138&amp;"|"&amp;DATOS!$E1138&amp;"|"&amp;DATOS!$I1138)</f>
      </c>
      <c r="G1138">
        <f>IF(DATOS!$A1138="",0,IF(CONFIG_METADATA!$B$4&lt;&gt;"OR+EX",--(DATOS!$G1138=CONFIG_METADATA!$B$4),IF(DATOS!$G1138="EX",1,IF(DATOS!$G1138="OR",--(COUNTIFS(nNIA,DATOS!$A1138,nCURSO,DATOS!$D1138,nESPEC,DATOS!$E1138,nASIG,DATOS!$I1138,nEVAL,"EX")=0),0))))</f>
      </c>
      <c r="H1138">
        <f>IF(DATOS!$G1138&lt;&gt;"EX",0,--(COUNTIFS(nNIA,DATOS!$A1138,nCURSO,DATOS!$D1138,nESPEC,DATOS!$E1138,nASIG,DATOS!$I1138,nEVAL,"OR")=0))</f>
      </c>
      <c r="I1138">
        <f>IF(DATOS!$I1138="","",IFERROR(VLOOKUP(DATOS!$I1138,CONFIG_ASIGNATURAS!$B$2:$J$91,9,FALSE()),""))</f>
      </c>
    </row>
    <row r="1139">
      <c r="F1139">
        <f>IF(DATOS!$A1139="","",DATOS!$A1139&amp;"|"&amp;DATOS!$D1139&amp;"|"&amp;DATOS!$E1139&amp;"|"&amp;DATOS!$I1139)</f>
      </c>
      <c r="G1139">
        <f>IF(DATOS!$A1139="",0,IF(CONFIG_METADATA!$B$4&lt;&gt;"OR+EX",--(DATOS!$G1139=CONFIG_METADATA!$B$4),IF(DATOS!$G1139="EX",1,IF(DATOS!$G1139="OR",--(COUNTIFS(nNIA,DATOS!$A1139,nCURSO,DATOS!$D1139,nESPEC,DATOS!$E1139,nASIG,DATOS!$I1139,nEVAL,"EX")=0),0))))</f>
      </c>
      <c r="H1139">
        <f>IF(DATOS!$G1139&lt;&gt;"EX",0,--(COUNTIFS(nNIA,DATOS!$A1139,nCURSO,DATOS!$D1139,nESPEC,DATOS!$E1139,nASIG,DATOS!$I1139,nEVAL,"OR")=0))</f>
      </c>
      <c r="I1139">
        <f>IF(DATOS!$I1139="","",IFERROR(VLOOKUP(DATOS!$I1139,CONFIG_ASIGNATURAS!$B$2:$J$91,9,FALSE()),""))</f>
      </c>
    </row>
    <row r="1140">
      <c r="F1140">
        <f>IF(DATOS!$A1140="","",DATOS!$A1140&amp;"|"&amp;DATOS!$D1140&amp;"|"&amp;DATOS!$E1140&amp;"|"&amp;DATOS!$I1140)</f>
      </c>
      <c r="G1140">
        <f>IF(DATOS!$A1140="",0,IF(CONFIG_METADATA!$B$4&lt;&gt;"OR+EX",--(DATOS!$G1140=CONFIG_METADATA!$B$4),IF(DATOS!$G1140="EX",1,IF(DATOS!$G1140="OR",--(COUNTIFS(nNIA,DATOS!$A1140,nCURSO,DATOS!$D1140,nESPEC,DATOS!$E1140,nASIG,DATOS!$I1140,nEVAL,"EX")=0),0))))</f>
      </c>
      <c r="H1140">
        <f>IF(DATOS!$G1140&lt;&gt;"EX",0,--(COUNTIFS(nNIA,DATOS!$A1140,nCURSO,DATOS!$D1140,nESPEC,DATOS!$E1140,nASIG,DATOS!$I1140,nEVAL,"OR")=0))</f>
      </c>
      <c r="I1140">
        <f>IF(DATOS!$I1140="","",IFERROR(VLOOKUP(DATOS!$I1140,CONFIG_ASIGNATURAS!$B$2:$J$91,9,FALSE()),""))</f>
      </c>
    </row>
    <row r="1141">
      <c r="F1141">
        <f>IF(DATOS!$A1141="","",DATOS!$A1141&amp;"|"&amp;DATOS!$D1141&amp;"|"&amp;DATOS!$E1141&amp;"|"&amp;DATOS!$I1141)</f>
      </c>
      <c r="G1141">
        <f>IF(DATOS!$A1141="",0,IF(CONFIG_METADATA!$B$4&lt;&gt;"OR+EX",--(DATOS!$G1141=CONFIG_METADATA!$B$4),IF(DATOS!$G1141="EX",1,IF(DATOS!$G1141="OR",--(COUNTIFS(nNIA,DATOS!$A1141,nCURSO,DATOS!$D1141,nESPEC,DATOS!$E1141,nASIG,DATOS!$I1141,nEVAL,"EX")=0),0))))</f>
      </c>
      <c r="H1141">
        <f>IF(DATOS!$G1141&lt;&gt;"EX",0,--(COUNTIFS(nNIA,DATOS!$A1141,nCURSO,DATOS!$D1141,nESPEC,DATOS!$E1141,nASIG,DATOS!$I1141,nEVAL,"OR")=0))</f>
      </c>
      <c r="I1141">
        <f>IF(DATOS!$I1141="","",IFERROR(VLOOKUP(DATOS!$I1141,CONFIG_ASIGNATURAS!$B$2:$J$91,9,FALSE()),""))</f>
      </c>
    </row>
    <row r="1142">
      <c r="F1142">
        <f>IF(DATOS!$A1142="","",DATOS!$A1142&amp;"|"&amp;DATOS!$D1142&amp;"|"&amp;DATOS!$E1142&amp;"|"&amp;DATOS!$I1142)</f>
      </c>
      <c r="G1142">
        <f>IF(DATOS!$A1142="",0,IF(CONFIG_METADATA!$B$4&lt;&gt;"OR+EX",--(DATOS!$G1142=CONFIG_METADATA!$B$4),IF(DATOS!$G1142="EX",1,IF(DATOS!$G1142="OR",--(COUNTIFS(nNIA,DATOS!$A1142,nCURSO,DATOS!$D1142,nESPEC,DATOS!$E1142,nASIG,DATOS!$I1142,nEVAL,"EX")=0),0))))</f>
      </c>
      <c r="H1142">
        <f>IF(DATOS!$G1142&lt;&gt;"EX",0,--(COUNTIFS(nNIA,DATOS!$A1142,nCURSO,DATOS!$D1142,nESPEC,DATOS!$E1142,nASIG,DATOS!$I1142,nEVAL,"OR")=0))</f>
      </c>
      <c r="I1142">
        <f>IF(DATOS!$I1142="","",IFERROR(VLOOKUP(DATOS!$I1142,CONFIG_ASIGNATURAS!$B$2:$J$91,9,FALSE()),""))</f>
      </c>
    </row>
    <row r="1143">
      <c r="F1143">
        <f>IF(DATOS!$A1143="","",DATOS!$A1143&amp;"|"&amp;DATOS!$D1143&amp;"|"&amp;DATOS!$E1143&amp;"|"&amp;DATOS!$I1143)</f>
      </c>
      <c r="G1143">
        <f>IF(DATOS!$A1143="",0,IF(CONFIG_METADATA!$B$4&lt;&gt;"OR+EX",--(DATOS!$G1143=CONFIG_METADATA!$B$4),IF(DATOS!$G1143="EX",1,IF(DATOS!$G1143="OR",--(COUNTIFS(nNIA,DATOS!$A1143,nCURSO,DATOS!$D1143,nESPEC,DATOS!$E1143,nASIG,DATOS!$I1143,nEVAL,"EX")=0),0))))</f>
      </c>
      <c r="H1143">
        <f>IF(DATOS!$G1143&lt;&gt;"EX",0,--(COUNTIFS(nNIA,DATOS!$A1143,nCURSO,DATOS!$D1143,nESPEC,DATOS!$E1143,nASIG,DATOS!$I1143,nEVAL,"OR")=0))</f>
      </c>
      <c r="I1143">
        <f>IF(DATOS!$I1143="","",IFERROR(VLOOKUP(DATOS!$I1143,CONFIG_ASIGNATURAS!$B$2:$J$91,9,FALSE()),""))</f>
      </c>
    </row>
    <row r="1144">
      <c r="F1144">
        <f>IF(DATOS!$A1144="","",DATOS!$A1144&amp;"|"&amp;DATOS!$D1144&amp;"|"&amp;DATOS!$E1144&amp;"|"&amp;DATOS!$I1144)</f>
      </c>
      <c r="G1144">
        <f>IF(DATOS!$A1144="",0,IF(CONFIG_METADATA!$B$4&lt;&gt;"OR+EX",--(DATOS!$G1144=CONFIG_METADATA!$B$4),IF(DATOS!$G1144="EX",1,IF(DATOS!$G1144="OR",--(COUNTIFS(nNIA,DATOS!$A1144,nCURSO,DATOS!$D1144,nESPEC,DATOS!$E1144,nASIG,DATOS!$I1144,nEVAL,"EX")=0),0))))</f>
      </c>
      <c r="H1144">
        <f>IF(DATOS!$G1144&lt;&gt;"EX",0,--(COUNTIFS(nNIA,DATOS!$A1144,nCURSO,DATOS!$D1144,nESPEC,DATOS!$E1144,nASIG,DATOS!$I1144,nEVAL,"OR")=0))</f>
      </c>
      <c r="I1144">
        <f>IF(DATOS!$I1144="","",IFERROR(VLOOKUP(DATOS!$I1144,CONFIG_ASIGNATURAS!$B$2:$J$91,9,FALSE()),""))</f>
      </c>
    </row>
    <row r="1145">
      <c r="F1145">
        <f>IF(DATOS!$A1145="","",DATOS!$A1145&amp;"|"&amp;DATOS!$D1145&amp;"|"&amp;DATOS!$E1145&amp;"|"&amp;DATOS!$I1145)</f>
      </c>
      <c r="G1145">
        <f>IF(DATOS!$A1145="",0,IF(CONFIG_METADATA!$B$4&lt;&gt;"OR+EX",--(DATOS!$G1145=CONFIG_METADATA!$B$4),IF(DATOS!$G1145="EX",1,IF(DATOS!$G1145="OR",--(COUNTIFS(nNIA,DATOS!$A1145,nCURSO,DATOS!$D1145,nESPEC,DATOS!$E1145,nASIG,DATOS!$I1145,nEVAL,"EX")=0),0))))</f>
      </c>
      <c r="H1145">
        <f>IF(DATOS!$G1145&lt;&gt;"EX",0,--(COUNTIFS(nNIA,DATOS!$A1145,nCURSO,DATOS!$D1145,nESPEC,DATOS!$E1145,nASIG,DATOS!$I1145,nEVAL,"OR")=0))</f>
      </c>
      <c r="I1145">
        <f>IF(DATOS!$I1145="","",IFERROR(VLOOKUP(DATOS!$I1145,CONFIG_ASIGNATURAS!$B$2:$J$91,9,FALSE()),""))</f>
      </c>
    </row>
    <row r="1146">
      <c r="F1146">
        <f>IF(DATOS!$A1146="","",DATOS!$A1146&amp;"|"&amp;DATOS!$D1146&amp;"|"&amp;DATOS!$E1146&amp;"|"&amp;DATOS!$I1146)</f>
      </c>
      <c r="G1146">
        <f>IF(DATOS!$A1146="",0,IF(CONFIG_METADATA!$B$4&lt;&gt;"OR+EX",--(DATOS!$G1146=CONFIG_METADATA!$B$4),IF(DATOS!$G1146="EX",1,IF(DATOS!$G1146="OR",--(COUNTIFS(nNIA,DATOS!$A1146,nCURSO,DATOS!$D1146,nESPEC,DATOS!$E1146,nASIG,DATOS!$I1146,nEVAL,"EX")=0),0))))</f>
      </c>
      <c r="H1146">
        <f>IF(DATOS!$G1146&lt;&gt;"EX",0,--(COUNTIFS(nNIA,DATOS!$A1146,nCURSO,DATOS!$D1146,nESPEC,DATOS!$E1146,nASIG,DATOS!$I1146,nEVAL,"OR")=0))</f>
      </c>
      <c r="I1146">
        <f>IF(DATOS!$I1146="","",IFERROR(VLOOKUP(DATOS!$I1146,CONFIG_ASIGNATURAS!$B$2:$J$91,9,FALSE()),""))</f>
      </c>
    </row>
    <row r="1147">
      <c r="F1147">
        <f>IF(DATOS!$A1147="","",DATOS!$A1147&amp;"|"&amp;DATOS!$D1147&amp;"|"&amp;DATOS!$E1147&amp;"|"&amp;DATOS!$I1147)</f>
      </c>
      <c r="G1147">
        <f>IF(DATOS!$A1147="",0,IF(CONFIG_METADATA!$B$4&lt;&gt;"OR+EX",--(DATOS!$G1147=CONFIG_METADATA!$B$4),IF(DATOS!$G1147="EX",1,IF(DATOS!$G1147="OR",--(COUNTIFS(nNIA,DATOS!$A1147,nCURSO,DATOS!$D1147,nESPEC,DATOS!$E1147,nASIG,DATOS!$I1147,nEVAL,"EX")=0),0))))</f>
      </c>
      <c r="H1147">
        <f>IF(DATOS!$G1147&lt;&gt;"EX",0,--(COUNTIFS(nNIA,DATOS!$A1147,nCURSO,DATOS!$D1147,nESPEC,DATOS!$E1147,nASIG,DATOS!$I1147,nEVAL,"OR")=0))</f>
      </c>
      <c r="I1147">
        <f>IF(DATOS!$I1147="","",IFERROR(VLOOKUP(DATOS!$I1147,CONFIG_ASIGNATURAS!$B$2:$J$91,9,FALSE()),""))</f>
      </c>
    </row>
    <row r="1148">
      <c r="F1148">
        <f>IF(DATOS!$A1148="","",DATOS!$A1148&amp;"|"&amp;DATOS!$D1148&amp;"|"&amp;DATOS!$E1148&amp;"|"&amp;DATOS!$I1148)</f>
      </c>
      <c r="G1148">
        <f>IF(DATOS!$A1148="",0,IF(CONFIG_METADATA!$B$4&lt;&gt;"OR+EX",--(DATOS!$G1148=CONFIG_METADATA!$B$4),IF(DATOS!$G1148="EX",1,IF(DATOS!$G1148="OR",--(COUNTIFS(nNIA,DATOS!$A1148,nCURSO,DATOS!$D1148,nESPEC,DATOS!$E1148,nASIG,DATOS!$I1148,nEVAL,"EX")=0),0))))</f>
      </c>
      <c r="H1148">
        <f>IF(DATOS!$G1148&lt;&gt;"EX",0,--(COUNTIFS(nNIA,DATOS!$A1148,nCURSO,DATOS!$D1148,nESPEC,DATOS!$E1148,nASIG,DATOS!$I1148,nEVAL,"OR")=0))</f>
      </c>
      <c r="I1148">
        <f>IF(DATOS!$I1148="","",IFERROR(VLOOKUP(DATOS!$I1148,CONFIG_ASIGNATURAS!$B$2:$J$91,9,FALSE()),""))</f>
      </c>
    </row>
    <row r="1149">
      <c r="F1149">
        <f>IF(DATOS!$A1149="","",DATOS!$A1149&amp;"|"&amp;DATOS!$D1149&amp;"|"&amp;DATOS!$E1149&amp;"|"&amp;DATOS!$I1149)</f>
      </c>
      <c r="G1149">
        <f>IF(DATOS!$A1149="",0,IF(CONFIG_METADATA!$B$4&lt;&gt;"OR+EX",--(DATOS!$G1149=CONFIG_METADATA!$B$4),IF(DATOS!$G1149="EX",1,IF(DATOS!$G1149="OR",--(COUNTIFS(nNIA,DATOS!$A1149,nCURSO,DATOS!$D1149,nESPEC,DATOS!$E1149,nASIG,DATOS!$I1149,nEVAL,"EX")=0),0))))</f>
      </c>
      <c r="H1149">
        <f>IF(DATOS!$G1149&lt;&gt;"EX",0,--(COUNTIFS(nNIA,DATOS!$A1149,nCURSO,DATOS!$D1149,nESPEC,DATOS!$E1149,nASIG,DATOS!$I1149,nEVAL,"OR")=0))</f>
      </c>
      <c r="I1149">
        <f>IF(DATOS!$I1149="","",IFERROR(VLOOKUP(DATOS!$I1149,CONFIG_ASIGNATURAS!$B$2:$J$91,9,FALSE()),""))</f>
      </c>
    </row>
    <row r="1150">
      <c r="F1150">
        <f>IF(DATOS!$A1150="","",DATOS!$A1150&amp;"|"&amp;DATOS!$D1150&amp;"|"&amp;DATOS!$E1150&amp;"|"&amp;DATOS!$I1150)</f>
      </c>
      <c r="G1150">
        <f>IF(DATOS!$A1150="",0,IF(CONFIG_METADATA!$B$4&lt;&gt;"OR+EX",--(DATOS!$G1150=CONFIG_METADATA!$B$4),IF(DATOS!$G1150="EX",1,IF(DATOS!$G1150="OR",--(COUNTIFS(nNIA,DATOS!$A1150,nCURSO,DATOS!$D1150,nESPEC,DATOS!$E1150,nASIG,DATOS!$I1150,nEVAL,"EX")=0),0))))</f>
      </c>
      <c r="H1150">
        <f>IF(DATOS!$G1150&lt;&gt;"EX",0,--(COUNTIFS(nNIA,DATOS!$A1150,nCURSO,DATOS!$D1150,nESPEC,DATOS!$E1150,nASIG,DATOS!$I1150,nEVAL,"OR")=0))</f>
      </c>
      <c r="I1150">
        <f>IF(DATOS!$I1150="","",IFERROR(VLOOKUP(DATOS!$I1150,CONFIG_ASIGNATURAS!$B$2:$J$91,9,FALSE()),""))</f>
      </c>
    </row>
    <row r="1151">
      <c r="F1151">
        <f>IF(DATOS!$A1151="","",DATOS!$A1151&amp;"|"&amp;DATOS!$D1151&amp;"|"&amp;DATOS!$E1151&amp;"|"&amp;DATOS!$I1151)</f>
      </c>
      <c r="G1151">
        <f>IF(DATOS!$A1151="",0,IF(CONFIG_METADATA!$B$4&lt;&gt;"OR+EX",--(DATOS!$G1151=CONFIG_METADATA!$B$4),IF(DATOS!$G1151="EX",1,IF(DATOS!$G1151="OR",--(COUNTIFS(nNIA,DATOS!$A1151,nCURSO,DATOS!$D1151,nESPEC,DATOS!$E1151,nASIG,DATOS!$I1151,nEVAL,"EX")=0),0))))</f>
      </c>
      <c r="H1151">
        <f>IF(DATOS!$G1151&lt;&gt;"EX",0,--(COUNTIFS(nNIA,DATOS!$A1151,nCURSO,DATOS!$D1151,nESPEC,DATOS!$E1151,nASIG,DATOS!$I1151,nEVAL,"OR")=0))</f>
      </c>
      <c r="I1151">
        <f>IF(DATOS!$I1151="","",IFERROR(VLOOKUP(DATOS!$I1151,CONFIG_ASIGNATURAS!$B$2:$J$91,9,FALSE()),""))</f>
      </c>
    </row>
    <row r="1152">
      <c r="F1152">
        <f>IF(DATOS!$A1152="","",DATOS!$A1152&amp;"|"&amp;DATOS!$D1152&amp;"|"&amp;DATOS!$E1152&amp;"|"&amp;DATOS!$I1152)</f>
      </c>
      <c r="G1152">
        <f>IF(DATOS!$A1152="",0,IF(CONFIG_METADATA!$B$4&lt;&gt;"OR+EX",--(DATOS!$G1152=CONFIG_METADATA!$B$4),IF(DATOS!$G1152="EX",1,IF(DATOS!$G1152="OR",--(COUNTIFS(nNIA,DATOS!$A1152,nCURSO,DATOS!$D1152,nESPEC,DATOS!$E1152,nASIG,DATOS!$I1152,nEVAL,"EX")=0),0))))</f>
      </c>
      <c r="H1152">
        <f>IF(DATOS!$G1152&lt;&gt;"EX",0,--(COUNTIFS(nNIA,DATOS!$A1152,nCURSO,DATOS!$D1152,nESPEC,DATOS!$E1152,nASIG,DATOS!$I1152,nEVAL,"OR")=0))</f>
      </c>
      <c r="I1152">
        <f>IF(DATOS!$I1152="","",IFERROR(VLOOKUP(DATOS!$I1152,CONFIG_ASIGNATURAS!$B$2:$J$91,9,FALSE()),""))</f>
      </c>
    </row>
    <row r="1153">
      <c r="F1153">
        <f>IF(DATOS!$A1153="","",DATOS!$A1153&amp;"|"&amp;DATOS!$D1153&amp;"|"&amp;DATOS!$E1153&amp;"|"&amp;DATOS!$I1153)</f>
      </c>
      <c r="G1153">
        <f>IF(DATOS!$A1153="",0,IF(CONFIG_METADATA!$B$4&lt;&gt;"OR+EX",--(DATOS!$G1153=CONFIG_METADATA!$B$4),IF(DATOS!$G1153="EX",1,IF(DATOS!$G1153="OR",--(COUNTIFS(nNIA,DATOS!$A1153,nCURSO,DATOS!$D1153,nESPEC,DATOS!$E1153,nASIG,DATOS!$I1153,nEVAL,"EX")=0),0))))</f>
      </c>
      <c r="H1153">
        <f>IF(DATOS!$G1153&lt;&gt;"EX",0,--(COUNTIFS(nNIA,DATOS!$A1153,nCURSO,DATOS!$D1153,nESPEC,DATOS!$E1153,nASIG,DATOS!$I1153,nEVAL,"OR")=0))</f>
      </c>
      <c r="I1153">
        <f>IF(DATOS!$I1153="","",IFERROR(VLOOKUP(DATOS!$I1153,CONFIG_ASIGNATURAS!$B$2:$J$91,9,FALSE()),""))</f>
      </c>
    </row>
    <row r="1154">
      <c r="F1154">
        <f>IF(DATOS!$A1154="","",DATOS!$A1154&amp;"|"&amp;DATOS!$D1154&amp;"|"&amp;DATOS!$E1154&amp;"|"&amp;DATOS!$I1154)</f>
      </c>
      <c r="G1154">
        <f>IF(DATOS!$A1154="",0,IF(CONFIG_METADATA!$B$4&lt;&gt;"OR+EX",--(DATOS!$G1154=CONFIG_METADATA!$B$4),IF(DATOS!$G1154="EX",1,IF(DATOS!$G1154="OR",--(COUNTIFS(nNIA,DATOS!$A1154,nCURSO,DATOS!$D1154,nESPEC,DATOS!$E1154,nASIG,DATOS!$I1154,nEVAL,"EX")=0),0))))</f>
      </c>
      <c r="H1154">
        <f>IF(DATOS!$G1154&lt;&gt;"EX",0,--(COUNTIFS(nNIA,DATOS!$A1154,nCURSO,DATOS!$D1154,nESPEC,DATOS!$E1154,nASIG,DATOS!$I1154,nEVAL,"OR")=0))</f>
      </c>
      <c r="I1154">
        <f>IF(DATOS!$I1154="","",IFERROR(VLOOKUP(DATOS!$I1154,CONFIG_ASIGNATURAS!$B$2:$J$91,9,FALSE()),""))</f>
      </c>
    </row>
    <row r="1155">
      <c r="F1155">
        <f>IF(DATOS!$A1155="","",DATOS!$A1155&amp;"|"&amp;DATOS!$D1155&amp;"|"&amp;DATOS!$E1155&amp;"|"&amp;DATOS!$I1155)</f>
      </c>
      <c r="G1155">
        <f>IF(DATOS!$A1155="",0,IF(CONFIG_METADATA!$B$4&lt;&gt;"OR+EX",--(DATOS!$G1155=CONFIG_METADATA!$B$4),IF(DATOS!$G1155="EX",1,IF(DATOS!$G1155="OR",--(COUNTIFS(nNIA,DATOS!$A1155,nCURSO,DATOS!$D1155,nESPEC,DATOS!$E1155,nASIG,DATOS!$I1155,nEVAL,"EX")=0),0))))</f>
      </c>
      <c r="H1155">
        <f>IF(DATOS!$G1155&lt;&gt;"EX",0,--(COUNTIFS(nNIA,DATOS!$A1155,nCURSO,DATOS!$D1155,nESPEC,DATOS!$E1155,nASIG,DATOS!$I1155,nEVAL,"OR")=0))</f>
      </c>
      <c r="I1155">
        <f>IF(DATOS!$I1155="","",IFERROR(VLOOKUP(DATOS!$I1155,CONFIG_ASIGNATURAS!$B$2:$J$91,9,FALSE()),""))</f>
      </c>
    </row>
    <row r="1156">
      <c r="F1156">
        <f>IF(DATOS!$A1156="","",DATOS!$A1156&amp;"|"&amp;DATOS!$D1156&amp;"|"&amp;DATOS!$E1156&amp;"|"&amp;DATOS!$I1156)</f>
      </c>
      <c r="G1156">
        <f>IF(DATOS!$A1156="",0,IF(CONFIG_METADATA!$B$4&lt;&gt;"OR+EX",--(DATOS!$G1156=CONFIG_METADATA!$B$4),IF(DATOS!$G1156="EX",1,IF(DATOS!$G1156="OR",--(COUNTIFS(nNIA,DATOS!$A1156,nCURSO,DATOS!$D1156,nESPEC,DATOS!$E1156,nASIG,DATOS!$I1156,nEVAL,"EX")=0),0))))</f>
      </c>
      <c r="H1156">
        <f>IF(DATOS!$G1156&lt;&gt;"EX",0,--(COUNTIFS(nNIA,DATOS!$A1156,nCURSO,DATOS!$D1156,nESPEC,DATOS!$E1156,nASIG,DATOS!$I1156,nEVAL,"OR")=0))</f>
      </c>
      <c r="I1156">
        <f>IF(DATOS!$I1156="","",IFERROR(VLOOKUP(DATOS!$I1156,CONFIG_ASIGNATURAS!$B$2:$J$91,9,FALSE()),""))</f>
      </c>
    </row>
    <row r="1157">
      <c r="F1157">
        <f>IF(DATOS!$A1157="","",DATOS!$A1157&amp;"|"&amp;DATOS!$D1157&amp;"|"&amp;DATOS!$E1157&amp;"|"&amp;DATOS!$I1157)</f>
      </c>
      <c r="G1157">
        <f>IF(DATOS!$A1157="",0,IF(CONFIG_METADATA!$B$4&lt;&gt;"OR+EX",--(DATOS!$G1157=CONFIG_METADATA!$B$4),IF(DATOS!$G1157="EX",1,IF(DATOS!$G1157="OR",--(COUNTIFS(nNIA,DATOS!$A1157,nCURSO,DATOS!$D1157,nESPEC,DATOS!$E1157,nASIG,DATOS!$I1157,nEVAL,"EX")=0),0))))</f>
      </c>
      <c r="H1157">
        <f>IF(DATOS!$G1157&lt;&gt;"EX",0,--(COUNTIFS(nNIA,DATOS!$A1157,nCURSO,DATOS!$D1157,nESPEC,DATOS!$E1157,nASIG,DATOS!$I1157,nEVAL,"OR")=0))</f>
      </c>
      <c r="I1157">
        <f>IF(DATOS!$I1157="","",IFERROR(VLOOKUP(DATOS!$I1157,CONFIG_ASIGNATURAS!$B$2:$J$91,9,FALSE()),""))</f>
      </c>
    </row>
    <row r="1158">
      <c r="F1158">
        <f>IF(DATOS!$A1158="","",DATOS!$A1158&amp;"|"&amp;DATOS!$D1158&amp;"|"&amp;DATOS!$E1158&amp;"|"&amp;DATOS!$I1158)</f>
      </c>
      <c r="G1158">
        <f>IF(DATOS!$A1158="",0,IF(CONFIG_METADATA!$B$4&lt;&gt;"OR+EX",--(DATOS!$G1158=CONFIG_METADATA!$B$4),IF(DATOS!$G1158="EX",1,IF(DATOS!$G1158="OR",--(COUNTIFS(nNIA,DATOS!$A1158,nCURSO,DATOS!$D1158,nESPEC,DATOS!$E1158,nASIG,DATOS!$I1158,nEVAL,"EX")=0),0))))</f>
      </c>
      <c r="H1158">
        <f>IF(DATOS!$G1158&lt;&gt;"EX",0,--(COUNTIFS(nNIA,DATOS!$A1158,nCURSO,DATOS!$D1158,nESPEC,DATOS!$E1158,nASIG,DATOS!$I1158,nEVAL,"OR")=0))</f>
      </c>
      <c r="I1158">
        <f>IF(DATOS!$I1158="","",IFERROR(VLOOKUP(DATOS!$I1158,CONFIG_ASIGNATURAS!$B$2:$J$91,9,FALSE()),""))</f>
      </c>
    </row>
    <row r="1159">
      <c r="F1159">
        <f>IF(DATOS!$A1159="","",DATOS!$A1159&amp;"|"&amp;DATOS!$D1159&amp;"|"&amp;DATOS!$E1159&amp;"|"&amp;DATOS!$I1159)</f>
      </c>
      <c r="G1159">
        <f>IF(DATOS!$A1159="",0,IF(CONFIG_METADATA!$B$4&lt;&gt;"OR+EX",--(DATOS!$G1159=CONFIG_METADATA!$B$4),IF(DATOS!$G1159="EX",1,IF(DATOS!$G1159="OR",--(COUNTIFS(nNIA,DATOS!$A1159,nCURSO,DATOS!$D1159,nESPEC,DATOS!$E1159,nASIG,DATOS!$I1159,nEVAL,"EX")=0),0))))</f>
      </c>
      <c r="H1159">
        <f>IF(DATOS!$G1159&lt;&gt;"EX",0,--(COUNTIFS(nNIA,DATOS!$A1159,nCURSO,DATOS!$D1159,nESPEC,DATOS!$E1159,nASIG,DATOS!$I1159,nEVAL,"OR")=0))</f>
      </c>
      <c r="I1159">
        <f>IF(DATOS!$I1159="","",IFERROR(VLOOKUP(DATOS!$I1159,CONFIG_ASIGNATURAS!$B$2:$J$91,9,FALSE()),""))</f>
      </c>
    </row>
    <row r="1160">
      <c r="F1160">
        <f>IF(DATOS!$A1160="","",DATOS!$A1160&amp;"|"&amp;DATOS!$D1160&amp;"|"&amp;DATOS!$E1160&amp;"|"&amp;DATOS!$I1160)</f>
      </c>
      <c r="G1160">
        <f>IF(DATOS!$A1160="",0,IF(CONFIG_METADATA!$B$4&lt;&gt;"OR+EX",--(DATOS!$G1160=CONFIG_METADATA!$B$4),IF(DATOS!$G1160="EX",1,IF(DATOS!$G1160="OR",--(COUNTIFS(nNIA,DATOS!$A1160,nCURSO,DATOS!$D1160,nESPEC,DATOS!$E1160,nASIG,DATOS!$I1160,nEVAL,"EX")=0),0))))</f>
      </c>
      <c r="H1160">
        <f>IF(DATOS!$G1160&lt;&gt;"EX",0,--(COUNTIFS(nNIA,DATOS!$A1160,nCURSO,DATOS!$D1160,nESPEC,DATOS!$E1160,nASIG,DATOS!$I1160,nEVAL,"OR")=0))</f>
      </c>
      <c r="I1160">
        <f>IF(DATOS!$I1160="","",IFERROR(VLOOKUP(DATOS!$I1160,CONFIG_ASIGNATURAS!$B$2:$J$91,9,FALSE()),""))</f>
      </c>
    </row>
    <row r="1161">
      <c r="F1161">
        <f>IF(DATOS!$A1161="","",DATOS!$A1161&amp;"|"&amp;DATOS!$D1161&amp;"|"&amp;DATOS!$E1161&amp;"|"&amp;DATOS!$I1161)</f>
      </c>
      <c r="G1161">
        <f>IF(DATOS!$A1161="",0,IF(CONFIG_METADATA!$B$4&lt;&gt;"OR+EX",--(DATOS!$G1161=CONFIG_METADATA!$B$4),IF(DATOS!$G1161="EX",1,IF(DATOS!$G1161="OR",--(COUNTIFS(nNIA,DATOS!$A1161,nCURSO,DATOS!$D1161,nESPEC,DATOS!$E1161,nASIG,DATOS!$I1161,nEVAL,"EX")=0),0))))</f>
      </c>
      <c r="H1161">
        <f>IF(DATOS!$G1161&lt;&gt;"EX",0,--(COUNTIFS(nNIA,DATOS!$A1161,nCURSO,DATOS!$D1161,nESPEC,DATOS!$E1161,nASIG,DATOS!$I1161,nEVAL,"OR")=0))</f>
      </c>
      <c r="I1161">
        <f>IF(DATOS!$I1161="","",IFERROR(VLOOKUP(DATOS!$I1161,CONFIG_ASIGNATURAS!$B$2:$J$91,9,FALSE()),""))</f>
      </c>
    </row>
    <row r="1162">
      <c r="F1162">
        <f>IF(DATOS!$A1162="","",DATOS!$A1162&amp;"|"&amp;DATOS!$D1162&amp;"|"&amp;DATOS!$E1162&amp;"|"&amp;DATOS!$I1162)</f>
      </c>
      <c r="G1162">
        <f>IF(DATOS!$A1162="",0,IF(CONFIG_METADATA!$B$4&lt;&gt;"OR+EX",--(DATOS!$G1162=CONFIG_METADATA!$B$4),IF(DATOS!$G1162="EX",1,IF(DATOS!$G1162="OR",--(COUNTIFS(nNIA,DATOS!$A1162,nCURSO,DATOS!$D1162,nESPEC,DATOS!$E1162,nASIG,DATOS!$I1162,nEVAL,"EX")=0),0))))</f>
      </c>
      <c r="H1162">
        <f>IF(DATOS!$G1162&lt;&gt;"EX",0,--(COUNTIFS(nNIA,DATOS!$A1162,nCURSO,DATOS!$D1162,nESPEC,DATOS!$E1162,nASIG,DATOS!$I1162,nEVAL,"OR")=0))</f>
      </c>
      <c r="I1162">
        <f>IF(DATOS!$I1162="","",IFERROR(VLOOKUP(DATOS!$I1162,CONFIG_ASIGNATURAS!$B$2:$J$91,9,FALSE()),""))</f>
      </c>
    </row>
    <row r="1163">
      <c r="F1163">
        <f>IF(DATOS!$A1163="","",DATOS!$A1163&amp;"|"&amp;DATOS!$D1163&amp;"|"&amp;DATOS!$E1163&amp;"|"&amp;DATOS!$I1163)</f>
      </c>
      <c r="G1163">
        <f>IF(DATOS!$A1163="",0,IF(CONFIG_METADATA!$B$4&lt;&gt;"OR+EX",--(DATOS!$G1163=CONFIG_METADATA!$B$4),IF(DATOS!$G1163="EX",1,IF(DATOS!$G1163="OR",--(COUNTIFS(nNIA,DATOS!$A1163,nCURSO,DATOS!$D1163,nESPEC,DATOS!$E1163,nASIG,DATOS!$I1163,nEVAL,"EX")=0),0))))</f>
      </c>
      <c r="H1163">
        <f>IF(DATOS!$G1163&lt;&gt;"EX",0,--(COUNTIFS(nNIA,DATOS!$A1163,nCURSO,DATOS!$D1163,nESPEC,DATOS!$E1163,nASIG,DATOS!$I1163,nEVAL,"OR")=0))</f>
      </c>
      <c r="I1163">
        <f>IF(DATOS!$I1163="","",IFERROR(VLOOKUP(DATOS!$I1163,CONFIG_ASIGNATURAS!$B$2:$J$91,9,FALSE()),""))</f>
      </c>
    </row>
    <row r="1164">
      <c r="F1164">
        <f>IF(DATOS!$A1164="","",DATOS!$A1164&amp;"|"&amp;DATOS!$D1164&amp;"|"&amp;DATOS!$E1164&amp;"|"&amp;DATOS!$I1164)</f>
      </c>
      <c r="G1164">
        <f>IF(DATOS!$A1164="",0,IF(CONFIG_METADATA!$B$4&lt;&gt;"OR+EX",--(DATOS!$G1164=CONFIG_METADATA!$B$4),IF(DATOS!$G1164="EX",1,IF(DATOS!$G1164="OR",--(COUNTIFS(nNIA,DATOS!$A1164,nCURSO,DATOS!$D1164,nESPEC,DATOS!$E1164,nASIG,DATOS!$I1164,nEVAL,"EX")=0),0))))</f>
      </c>
      <c r="H1164">
        <f>IF(DATOS!$G1164&lt;&gt;"EX",0,--(COUNTIFS(nNIA,DATOS!$A1164,nCURSO,DATOS!$D1164,nESPEC,DATOS!$E1164,nASIG,DATOS!$I1164,nEVAL,"OR")=0))</f>
      </c>
      <c r="I1164">
        <f>IF(DATOS!$I1164="","",IFERROR(VLOOKUP(DATOS!$I1164,CONFIG_ASIGNATURAS!$B$2:$J$91,9,FALSE()),""))</f>
      </c>
    </row>
    <row r="1165">
      <c r="F1165">
        <f>IF(DATOS!$A1165="","",DATOS!$A1165&amp;"|"&amp;DATOS!$D1165&amp;"|"&amp;DATOS!$E1165&amp;"|"&amp;DATOS!$I1165)</f>
      </c>
      <c r="G1165">
        <f>IF(DATOS!$A1165="",0,IF(CONFIG_METADATA!$B$4&lt;&gt;"OR+EX",--(DATOS!$G1165=CONFIG_METADATA!$B$4),IF(DATOS!$G1165="EX",1,IF(DATOS!$G1165="OR",--(COUNTIFS(nNIA,DATOS!$A1165,nCURSO,DATOS!$D1165,nESPEC,DATOS!$E1165,nASIG,DATOS!$I1165,nEVAL,"EX")=0),0))))</f>
      </c>
      <c r="H1165">
        <f>IF(DATOS!$G1165&lt;&gt;"EX",0,--(COUNTIFS(nNIA,DATOS!$A1165,nCURSO,DATOS!$D1165,nESPEC,DATOS!$E1165,nASIG,DATOS!$I1165,nEVAL,"OR")=0))</f>
      </c>
      <c r="I1165">
        <f>IF(DATOS!$I1165="","",IFERROR(VLOOKUP(DATOS!$I1165,CONFIG_ASIGNATURAS!$B$2:$J$91,9,FALSE()),""))</f>
      </c>
    </row>
    <row r="1166">
      <c r="F1166">
        <f>IF(DATOS!$A1166="","",DATOS!$A1166&amp;"|"&amp;DATOS!$D1166&amp;"|"&amp;DATOS!$E1166&amp;"|"&amp;DATOS!$I1166)</f>
      </c>
      <c r="G1166">
        <f>IF(DATOS!$A1166="",0,IF(CONFIG_METADATA!$B$4&lt;&gt;"OR+EX",--(DATOS!$G1166=CONFIG_METADATA!$B$4),IF(DATOS!$G1166="EX",1,IF(DATOS!$G1166="OR",--(COUNTIFS(nNIA,DATOS!$A1166,nCURSO,DATOS!$D1166,nESPEC,DATOS!$E1166,nASIG,DATOS!$I1166,nEVAL,"EX")=0),0))))</f>
      </c>
      <c r="H1166">
        <f>IF(DATOS!$G1166&lt;&gt;"EX",0,--(COUNTIFS(nNIA,DATOS!$A1166,nCURSO,DATOS!$D1166,nESPEC,DATOS!$E1166,nASIG,DATOS!$I1166,nEVAL,"OR")=0))</f>
      </c>
      <c r="I1166">
        <f>IF(DATOS!$I1166="","",IFERROR(VLOOKUP(DATOS!$I1166,CONFIG_ASIGNATURAS!$B$2:$J$91,9,FALSE()),""))</f>
      </c>
    </row>
    <row r="1167">
      <c r="F1167">
        <f>IF(DATOS!$A1167="","",DATOS!$A1167&amp;"|"&amp;DATOS!$D1167&amp;"|"&amp;DATOS!$E1167&amp;"|"&amp;DATOS!$I1167)</f>
      </c>
      <c r="G1167">
        <f>IF(DATOS!$A1167="",0,IF(CONFIG_METADATA!$B$4&lt;&gt;"OR+EX",--(DATOS!$G1167=CONFIG_METADATA!$B$4),IF(DATOS!$G1167="EX",1,IF(DATOS!$G1167="OR",--(COUNTIFS(nNIA,DATOS!$A1167,nCURSO,DATOS!$D1167,nESPEC,DATOS!$E1167,nASIG,DATOS!$I1167,nEVAL,"EX")=0),0))))</f>
      </c>
      <c r="H1167">
        <f>IF(DATOS!$G1167&lt;&gt;"EX",0,--(COUNTIFS(nNIA,DATOS!$A1167,nCURSO,DATOS!$D1167,nESPEC,DATOS!$E1167,nASIG,DATOS!$I1167,nEVAL,"OR")=0))</f>
      </c>
      <c r="I1167">
        <f>IF(DATOS!$I1167="","",IFERROR(VLOOKUP(DATOS!$I1167,CONFIG_ASIGNATURAS!$B$2:$J$91,9,FALSE()),""))</f>
      </c>
    </row>
    <row r="1168">
      <c r="F1168">
        <f>IF(DATOS!$A1168="","",DATOS!$A1168&amp;"|"&amp;DATOS!$D1168&amp;"|"&amp;DATOS!$E1168&amp;"|"&amp;DATOS!$I1168)</f>
      </c>
      <c r="G1168">
        <f>IF(DATOS!$A1168="",0,IF(CONFIG_METADATA!$B$4&lt;&gt;"OR+EX",--(DATOS!$G1168=CONFIG_METADATA!$B$4),IF(DATOS!$G1168="EX",1,IF(DATOS!$G1168="OR",--(COUNTIFS(nNIA,DATOS!$A1168,nCURSO,DATOS!$D1168,nESPEC,DATOS!$E1168,nASIG,DATOS!$I1168,nEVAL,"EX")=0),0))))</f>
      </c>
      <c r="H1168">
        <f>IF(DATOS!$G1168&lt;&gt;"EX",0,--(COUNTIFS(nNIA,DATOS!$A1168,nCURSO,DATOS!$D1168,nESPEC,DATOS!$E1168,nASIG,DATOS!$I1168,nEVAL,"OR")=0))</f>
      </c>
      <c r="I1168">
        <f>IF(DATOS!$I1168="","",IFERROR(VLOOKUP(DATOS!$I1168,CONFIG_ASIGNATURAS!$B$2:$J$91,9,FALSE()),""))</f>
      </c>
    </row>
    <row r="1169">
      <c r="F1169">
        <f>IF(DATOS!$A1169="","",DATOS!$A1169&amp;"|"&amp;DATOS!$D1169&amp;"|"&amp;DATOS!$E1169&amp;"|"&amp;DATOS!$I1169)</f>
      </c>
      <c r="G1169">
        <f>IF(DATOS!$A1169="",0,IF(CONFIG_METADATA!$B$4&lt;&gt;"OR+EX",--(DATOS!$G1169=CONFIG_METADATA!$B$4),IF(DATOS!$G1169="EX",1,IF(DATOS!$G1169="OR",--(COUNTIFS(nNIA,DATOS!$A1169,nCURSO,DATOS!$D1169,nESPEC,DATOS!$E1169,nASIG,DATOS!$I1169,nEVAL,"EX")=0),0))))</f>
      </c>
      <c r="H1169">
        <f>IF(DATOS!$G1169&lt;&gt;"EX",0,--(COUNTIFS(nNIA,DATOS!$A1169,nCURSO,DATOS!$D1169,nESPEC,DATOS!$E1169,nASIG,DATOS!$I1169,nEVAL,"OR")=0))</f>
      </c>
      <c r="I1169">
        <f>IF(DATOS!$I1169="","",IFERROR(VLOOKUP(DATOS!$I1169,CONFIG_ASIGNATURAS!$B$2:$J$91,9,FALSE()),""))</f>
      </c>
    </row>
    <row r="1170">
      <c r="F1170">
        <f>IF(DATOS!$A1170="","",DATOS!$A1170&amp;"|"&amp;DATOS!$D1170&amp;"|"&amp;DATOS!$E1170&amp;"|"&amp;DATOS!$I1170)</f>
      </c>
      <c r="G1170">
        <f>IF(DATOS!$A1170="",0,IF(CONFIG_METADATA!$B$4&lt;&gt;"OR+EX",--(DATOS!$G1170=CONFIG_METADATA!$B$4),IF(DATOS!$G1170="EX",1,IF(DATOS!$G1170="OR",--(COUNTIFS(nNIA,DATOS!$A1170,nCURSO,DATOS!$D1170,nESPEC,DATOS!$E1170,nASIG,DATOS!$I1170,nEVAL,"EX")=0),0))))</f>
      </c>
      <c r="H1170">
        <f>IF(DATOS!$G1170&lt;&gt;"EX",0,--(COUNTIFS(nNIA,DATOS!$A1170,nCURSO,DATOS!$D1170,nESPEC,DATOS!$E1170,nASIG,DATOS!$I1170,nEVAL,"OR")=0))</f>
      </c>
      <c r="I1170">
        <f>IF(DATOS!$I1170="","",IFERROR(VLOOKUP(DATOS!$I1170,CONFIG_ASIGNATURAS!$B$2:$J$91,9,FALSE()),""))</f>
      </c>
    </row>
    <row r="1171">
      <c r="F1171">
        <f>IF(DATOS!$A1171="","",DATOS!$A1171&amp;"|"&amp;DATOS!$D1171&amp;"|"&amp;DATOS!$E1171&amp;"|"&amp;DATOS!$I1171)</f>
      </c>
      <c r="G1171">
        <f>IF(DATOS!$A1171="",0,IF(CONFIG_METADATA!$B$4&lt;&gt;"OR+EX",--(DATOS!$G1171=CONFIG_METADATA!$B$4),IF(DATOS!$G1171="EX",1,IF(DATOS!$G1171="OR",--(COUNTIFS(nNIA,DATOS!$A1171,nCURSO,DATOS!$D1171,nESPEC,DATOS!$E1171,nASIG,DATOS!$I1171,nEVAL,"EX")=0),0))))</f>
      </c>
      <c r="H1171">
        <f>IF(DATOS!$G1171&lt;&gt;"EX",0,--(COUNTIFS(nNIA,DATOS!$A1171,nCURSO,DATOS!$D1171,nESPEC,DATOS!$E1171,nASIG,DATOS!$I1171,nEVAL,"OR")=0))</f>
      </c>
      <c r="I1171">
        <f>IF(DATOS!$I1171="","",IFERROR(VLOOKUP(DATOS!$I1171,CONFIG_ASIGNATURAS!$B$2:$J$91,9,FALSE()),""))</f>
      </c>
    </row>
    <row r="1172">
      <c r="F1172">
        <f>IF(DATOS!$A1172="","",DATOS!$A1172&amp;"|"&amp;DATOS!$D1172&amp;"|"&amp;DATOS!$E1172&amp;"|"&amp;DATOS!$I1172)</f>
      </c>
      <c r="G1172">
        <f>IF(DATOS!$A1172="",0,IF(CONFIG_METADATA!$B$4&lt;&gt;"OR+EX",--(DATOS!$G1172=CONFIG_METADATA!$B$4),IF(DATOS!$G1172="EX",1,IF(DATOS!$G1172="OR",--(COUNTIFS(nNIA,DATOS!$A1172,nCURSO,DATOS!$D1172,nESPEC,DATOS!$E1172,nASIG,DATOS!$I1172,nEVAL,"EX")=0),0))))</f>
      </c>
      <c r="H1172">
        <f>IF(DATOS!$G1172&lt;&gt;"EX",0,--(COUNTIFS(nNIA,DATOS!$A1172,nCURSO,DATOS!$D1172,nESPEC,DATOS!$E1172,nASIG,DATOS!$I1172,nEVAL,"OR")=0))</f>
      </c>
      <c r="I1172">
        <f>IF(DATOS!$I1172="","",IFERROR(VLOOKUP(DATOS!$I1172,CONFIG_ASIGNATURAS!$B$2:$J$91,9,FALSE()),""))</f>
      </c>
    </row>
    <row r="1173">
      <c r="F1173">
        <f>IF(DATOS!$A1173="","",DATOS!$A1173&amp;"|"&amp;DATOS!$D1173&amp;"|"&amp;DATOS!$E1173&amp;"|"&amp;DATOS!$I1173)</f>
      </c>
      <c r="G1173">
        <f>IF(DATOS!$A1173="",0,IF(CONFIG_METADATA!$B$4&lt;&gt;"OR+EX",--(DATOS!$G1173=CONFIG_METADATA!$B$4),IF(DATOS!$G1173="EX",1,IF(DATOS!$G1173="OR",--(COUNTIFS(nNIA,DATOS!$A1173,nCURSO,DATOS!$D1173,nESPEC,DATOS!$E1173,nASIG,DATOS!$I1173,nEVAL,"EX")=0),0))))</f>
      </c>
      <c r="H1173">
        <f>IF(DATOS!$G1173&lt;&gt;"EX",0,--(COUNTIFS(nNIA,DATOS!$A1173,nCURSO,DATOS!$D1173,nESPEC,DATOS!$E1173,nASIG,DATOS!$I1173,nEVAL,"OR")=0))</f>
      </c>
      <c r="I1173">
        <f>IF(DATOS!$I1173="","",IFERROR(VLOOKUP(DATOS!$I1173,CONFIG_ASIGNATURAS!$B$2:$J$91,9,FALSE()),""))</f>
      </c>
    </row>
    <row r="1174">
      <c r="F1174">
        <f>IF(DATOS!$A1174="","",DATOS!$A1174&amp;"|"&amp;DATOS!$D1174&amp;"|"&amp;DATOS!$E1174&amp;"|"&amp;DATOS!$I1174)</f>
      </c>
      <c r="G1174">
        <f>IF(DATOS!$A1174="",0,IF(CONFIG_METADATA!$B$4&lt;&gt;"OR+EX",--(DATOS!$G1174=CONFIG_METADATA!$B$4),IF(DATOS!$G1174="EX",1,IF(DATOS!$G1174="OR",--(COUNTIFS(nNIA,DATOS!$A1174,nCURSO,DATOS!$D1174,nESPEC,DATOS!$E1174,nASIG,DATOS!$I1174,nEVAL,"EX")=0),0))))</f>
      </c>
      <c r="H1174">
        <f>IF(DATOS!$G1174&lt;&gt;"EX",0,--(COUNTIFS(nNIA,DATOS!$A1174,nCURSO,DATOS!$D1174,nESPEC,DATOS!$E1174,nASIG,DATOS!$I1174,nEVAL,"OR")=0))</f>
      </c>
      <c r="I1174">
        <f>IF(DATOS!$I1174="","",IFERROR(VLOOKUP(DATOS!$I1174,CONFIG_ASIGNATURAS!$B$2:$J$91,9,FALSE()),""))</f>
      </c>
    </row>
    <row r="1175">
      <c r="F1175">
        <f>IF(DATOS!$A1175="","",DATOS!$A1175&amp;"|"&amp;DATOS!$D1175&amp;"|"&amp;DATOS!$E1175&amp;"|"&amp;DATOS!$I1175)</f>
      </c>
      <c r="G1175">
        <f>IF(DATOS!$A1175="",0,IF(CONFIG_METADATA!$B$4&lt;&gt;"OR+EX",--(DATOS!$G1175=CONFIG_METADATA!$B$4),IF(DATOS!$G1175="EX",1,IF(DATOS!$G1175="OR",--(COUNTIFS(nNIA,DATOS!$A1175,nCURSO,DATOS!$D1175,nESPEC,DATOS!$E1175,nASIG,DATOS!$I1175,nEVAL,"EX")=0),0))))</f>
      </c>
      <c r="H1175">
        <f>IF(DATOS!$G1175&lt;&gt;"EX",0,--(COUNTIFS(nNIA,DATOS!$A1175,nCURSO,DATOS!$D1175,nESPEC,DATOS!$E1175,nASIG,DATOS!$I1175,nEVAL,"OR")=0))</f>
      </c>
      <c r="I1175">
        <f>IF(DATOS!$I1175="","",IFERROR(VLOOKUP(DATOS!$I1175,CONFIG_ASIGNATURAS!$B$2:$J$91,9,FALSE()),""))</f>
      </c>
    </row>
    <row r="1176">
      <c r="F1176">
        <f>IF(DATOS!$A1176="","",DATOS!$A1176&amp;"|"&amp;DATOS!$D1176&amp;"|"&amp;DATOS!$E1176&amp;"|"&amp;DATOS!$I1176)</f>
      </c>
      <c r="G1176">
        <f>IF(DATOS!$A1176="",0,IF(CONFIG_METADATA!$B$4&lt;&gt;"OR+EX",--(DATOS!$G1176=CONFIG_METADATA!$B$4),IF(DATOS!$G1176="EX",1,IF(DATOS!$G1176="OR",--(COUNTIFS(nNIA,DATOS!$A1176,nCURSO,DATOS!$D1176,nESPEC,DATOS!$E1176,nASIG,DATOS!$I1176,nEVAL,"EX")=0),0))))</f>
      </c>
      <c r="H1176">
        <f>IF(DATOS!$G1176&lt;&gt;"EX",0,--(COUNTIFS(nNIA,DATOS!$A1176,nCURSO,DATOS!$D1176,nESPEC,DATOS!$E1176,nASIG,DATOS!$I1176,nEVAL,"OR")=0))</f>
      </c>
      <c r="I1176">
        <f>IF(DATOS!$I1176="","",IFERROR(VLOOKUP(DATOS!$I1176,CONFIG_ASIGNATURAS!$B$2:$J$91,9,FALSE()),""))</f>
      </c>
    </row>
    <row r="1177">
      <c r="F1177">
        <f>IF(DATOS!$A1177="","",DATOS!$A1177&amp;"|"&amp;DATOS!$D1177&amp;"|"&amp;DATOS!$E1177&amp;"|"&amp;DATOS!$I1177)</f>
      </c>
      <c r="G1177">
        <f>IF(DATOS!$A1177="",0,IF(CONFIG_METADATA!$B$4&lt;&gt;"OR+EX",--(DATOS!$G1177=CONFIG_METADATA!$B$4),IF(DATOS!$G1177="EX",1,IF(DATOS!$G1177="OR",--(COUNTIFS(nNIA,DATOS!$A1177,nCURSO,DATOS!$D1177,nESPEC,DATOS!$E1177,nASIG,DATOS!$I1177,nEVAL,"EX")=0),0))))</f>
      </c>
      <c r="H1177">
        <f>IF(DATOS!$G1177&lt;&gt;"EX",0,--(COUNTIFS(nNIA,DATOS!$A1177,nCURSO,DATOS!$D1177,nESPEC,DATOS!$E1177,nASIG,DATOS!$I1177,nEVAL,"OR")=0))</f>
      </c>
      <c r="I1177">
        <f>IF(DATOS!$I1177="","",IFERROR(VLOOKUP(DATOS!$I1177,CONFIG_ASIGNATURAS!$B$2:$J$91,9,FALSE()),""))</f>
      </c>
    </row>
    <row r="1178">
      <c r="F1178">
        <f>IF(DATOS!$A1178="","",DATOS!$A1178&amp;"|"&amp;DATOS!$D1178&amp;"|"&amp;DATOS!$E1178&amp;"|"&amp;DATOS!$I1178)</f>
      </c>
      <c r="G1178">
        <f>IF(DATOS!$A1178="",0,IF(CONFIG_METADATA!$B$4&lt;&gt;"OR+EX",--(DATOS!$G1178=CONFIG_METADATA!$B$4),IF(DATOS!$G1178="EX",1,IF(DATOS!$G1178="OR",--(COUNTIFS(nNIA,DATOS!$A1178,nCURSO,DATOS!$D1178,nESPEC,DATOS!$E1178,nASIG,DATOS!$I1178,nEVAL,"EX")=0),0))))</f>
      </c>
      <c r="H1178">
        <f>IF(DATOS!$G1178&lt;&gt;"EX",0,--(COUNTIFS(nNIA,DATOS!$A1178,nCURSO,DATOS!$D1178,nESPEC,DATOS!$E1178,nASIG,DATOS!$I1178,nEVAL,"OR")=0))</f>
      </c>
      <c r="I1178">
        <f>IF(DATOS!$I1178="","",IFERROR(VLOOKUP(DATOS!$I1178,CONFIG_ASIGNATURAS!$B$2:$J$91,9,FALSE()),""))</f>
      </c>
    </row>
    <row r="1179">
      <c r="F1179">
        <f>IF(DATOS!$A1179="","",DATOS!$A1179&amp;"|"&amp;DATOS!$D1179&amp;"|"&amp;DATOS!$E1179&amp;"|"&amp;DATOS!$I1179)</f>
      </c>
      <c r="G1179">
        <f>IF(DATOS!$A1179="",0,IF(CONFIG_METADATA!$B$4&lt;&gt;"OR+EX",--(DATOS!$G1179=CONFIG_METADATA!$B$4),IF(DATOS!$G1179="EX",1,IF(DATOS!$G1179="OR",--(COUNTIFS(nNIA,DATOS!$A1179,nCURSO,DATOS!$D1179,nESPEC,DATOS!$E1179,nASIG,DATOS!$I1179,nEVAL,"EX")=0),0))))</f>
      </c>
      <c r="H1179">
        <f>IF(DATOS!$G1179&lt;&gt;"EX",0,--(COUNTIFS(nNIA,DATOS!$A1179,nCURSO,DATOS!$D1179,nESPEC,DATOS!$E1179,nASIG,DATOS!$I1179,nEVAL,"OR")=0))</f>
      </c>
      <c r="I1179">
        <f>IF(DATOS!$I1179="","",IFERROR(VLOOKUP(DATOS!$I1179,CONFIG_ASIGNATURAS!$B$2:$J$91,9,FALSE()),""))</f>
      </c>
    </row>
    <row r="1180">
      <c r="F1180">
        <f>IF(DATOS!$A1180="","",DATOS!$A1180&amp;"|"&amp;DATOS!$D1180&amp;"|"&amp;DATOS!$E1180&amp;"|"&amp;DATOS!$I1180)</f>
      </c>
      <c r="G1180">
        <f>IF(DATOS!$A1180="",0,IF(CONFIG_METADATA!$B$4&lt;&gt;"OR+EX",--(DATOS!$G1180=CONFIG_METADATA!$B$4),IF(DATOS!$G1180="EX",1,IF(DATOS!$G1180="OR",--(COUNTIFS(nNIA,DATOS!$A1180,nCURSO,DATOS!$D1180,nESPEC,DATOS!$E1180,nASIG,DATOS!$I1180,nEVAL,"EX")=0),0))))</f>
      </c>
      <c r="H1180">
        <f>IF(DATOS!$G1180&lt;&gt;"EX",0,--(COUNTIFS(nNIA,DATOS!$A1180,nCURSO,DATOS!$D1180,nESPEC,DATOS!$E1180,nASIG,DATOS!$I1180,nEVAL,"OR")=0))</f>
      </c>
      <c r="I1180">
        <f>IF(DATOS!$I1180="","",IFERROR(VLOOKUP(DATOS!$I1180,CONFIG_ASIGNATURAS!$B$2:$J$91,9,FALSE()),""))</f>
      </c>
    </row>
    <row r="1181">
      <c r="F1181">
        <f>IF(DATOS!$A1181="","",DATOS!$A1181&amp;"|"&amp;DATOS!$D1181&amp;"|"&amp;DATOS!$E1181&amp;"|"&amp;DATOS!$I1181)</f>
      </c>
      <c r="G1181">
        <f>IF(DATOS!$A1181="",0,IF(CONFIG_METADATA!$B$4&lt;&gt;"OR+EX",--(DATOS!$G1181=CONFIG_METADATA!$B$4),IF(DATOS!$G1181="EX",1,IF(DATOS!$G1181="OR",--(COUNTIFS(nNIA,DATOS!$A1181,nCURSO,DATOS!$D1181,nESPEC,DATOS!$E1181,nASIG,DATOS!$I1181,nEVAL,"EX")=0),0))))</f>
      </c>
      <c r="H1181">
        <f>IF(DATOS!$G1181&lt;&gt;"EX",0,--(COUNTIFS(nNIA,DATOS!$A1181,nCURSO,DATOS!$D1181,nESPEC,DATOS!$E1181,nASIG,DATOS!$I1181,nEVAL,"OR")=0))</f>
      </c>
      <c r="I1181">
        <f>IF(DATOS!$I1181="","",IFERROR(VLOOKUP(DATOS!$I1181,CONFIG_ASIGNATURAS!$B$2:$J$91,9,FALSE()),""))</f>
      </c>
    </row>
    <row r="1182">
      <c r="F1182">
        <f>IF(DATOS!$A1182="","",DATOS!$A1182&amp;"|"&amp;DATOS!$D1182&amp;"|"&amp;DATOS!$E1182&amp;"|"&amp;DATOS!$I1182)</f>
      </c>
      <c r="G1182">
        <f>IF(DATOS!$A1182="",0,IF(CONFIG_METADATA!$B$4&lt;&gt;"OR+EX",--(DATOS!$G1182=CONFIG_METADATA!$B$4),IF(DATOS!$G1182="EX",1,IF(DATOS!$G1182="OR",--(COUNTIFS(nNIA,DATOS!$A1182,nCURSO,DATOS!$D1182,nESPEC,DATOS!$E1182,nASIG,DATOS!$I1182,nEVAL,"EX")=0),0))))</f>
      </c>
      <c r="H1182">
        <f>IF(DATOS!$G1182&lt;&gt;"EX",0,--(COUNTIFS(nNIA,DATOS!$A1182,nCURSO,DATOS!$D1182,nESPEC,DATOS!$E1182,nASIG,DATOS!$I1182,nEVAL,"OR")=0))</f>
      </c>
      <c r="I1182">
        <f>IF(DATOS!$I1182="","",IFERROR(VLOOKUP(DATOS!$I1182,CONFIG_ASIGNATURAS!$B$2:$J$91,9,FALSE()),""))</f>
      </c>
    </row>
    <row r="1183">
      <c r="F1183">
        <f>IF(DATOS!$A1183="","",DATOS!$A1183&amp;"|"&amp;DATOS!$D1183&amp;"|"&amp;DATOS!$E1183&amp;"|"&amp;DATOS!$I1183)</f>
      </c>
      <c r="G1183">
        <f>IF(DATOS!$A1183="",0,IF(CONFIG_METADATA!$B$4&lt;&gt;"OR+EX",--(DATOS!$G1183=CONFIG_METADATA!$B$4),IF(DATOS!$G1183="EX",1,IF(DATOS!$G1183="OR",--(COUNTIFS(nNIA,DATOS!$A1183,nCURSO,DATOS!$D1183,nESPEC,DATOS!$E1183,nASIG,DATOS!$I1183,nEVAL,"EX")=0),0))))</f>
      </c>
      <c r="H1183">
        <f>IF(DATOS!$G1183&lt;&gt;"EX",0,--(COUNTIFS(nNIA,DATOS!$A1183,nCURSO,DATOS!$D1183,nESPEC,DATOS!$E1183,nASIG,DATOS!$I1183,nEVAL,"OR")=0))</f>
      </c>
      <c r="I1183">
        <f>IF(DATOS!$I1183="","",IFERROR(VLOOKUP(DATOS!$I1183,CONFIG_ASIGNATURAS!$B$2:$J$91,9,FALSE()),""))</f>
      </c>
    </row>
    <row r="1184">
      <c r="F1184">
        <f>IF(DATOS!$A1184="","",DATOS!$A1184&amp;"|"&amp;DATOS!$D1184&amp;"|"&amp;DATOS!$E1184&amp;"|"&amp;DATOS!$I1184)</f>
      </c>
      <c r="G1184">
        <f>IF(DATOS!$A1184="",0,IF(CONFIG_METADATA!$B$4&lt;&gt;"OR+EX",--(DATOS!$G1184=CONFIG_METADATA!$B$4),IF(DATOS!$G1184="EX",1,IF(DATOS!$G1184="OR",--(COUNTIFS(nNIA,DATOS!$A1184,nCURSO,DATOS!$D1184,nESPEC,DATOS!$E1184,nASIG,DATOS!$I1184,nEVAL,"EX")=0),0))))</f>
      </c>
      <c r="H1184">
        <f>IF(DATOS!$G1184&lt;&gt;"EX",0,--(COUNTIFS(nNIA,DATOS!$A1184,nCURSO,DATOS!$D1184,nESPEC,DATOS!$E1184,nASIG,DATOS!$I1184,nEVAL,"OR")=0))</f>
      </c>
      <c r="I1184">
        <f>IF(DATOS!$I1184="","",IFERROR(VLOOKUP(DATOS!$I1184,CONFIG_ASIGNATURAS!$B$2:$J$91,9,FALSE()),""))</f>
      </c>
    </row>
    <row r="1185">
      <c r="F1185">
        <f>IF(DATOS!$A1185="","",DATOS!$A1185&amp;"|"&amp;DATOS!$D1185&amp;"|"&amp;DATOS!$E1185&amp;"|"&amp;DATOS!$I1185)</f>
      </c>
      <c r="G1185">
        <f>IF(DATOS!$A1185="",0,IF(CONFIG_METADATA!$B$4&lt;&gt;"OR+EX",--(DATOS!$G1185=CONFIG_METADATA!$B$4),IF(DATOS!$G1185="EX",1,IF(DATOS!$G1185="OR",--(COUNTIFS(nNIA,DATOS!$A1185,nCURSO,DATOS!$D1185,nESPEC,DATOS!$E1185,nASIG,DATOS!$I1185,nEVAL,"EX")=0),0))))</f>
      </c>
      <c r="H1185">
        <f>IF(DATOS!$G1185&lt;&gt;"EX",0,--(COUNTIFS(nNIA,DATOS!$A1185,nCURSO,DATOS!$D1185,nESPEC,DATOS!$E1185,nASIG,DATOS!$I1185,nEVAL,"OR")=0))</f>
      </c>
      <c r="I1185">
        <f>IF(DATOS!$I1185="","",IFERROR(VLOOKUP(DATOS!$I1185,CONFIG_ASIGNATURAS!$B$2:$J$91,9,FALSE()),""))</f>
      </c>
    </row>
    <row r="1186">
      <c r="F1186">
        <f>IF(DATOS!$A1186="","",DATOS!$A1186&amp;"|"&amp;DATOS!$D1186&amp;"|"&amp;DATOS!$E1186&amp;"|"&amp;DATOS!$I1186)</f>
      </c>
      <c r="G1186">
        <f>IF(DATOS!$A1186="",0,IF(CONFIG_METADATA!$B$4&lt;&gt;"OR+EX",--(DATOS!$G1186=CONFIG_METADATA!$B$4),IF(DATOS!$G1186="EX",1,IF(DATOS!$G1186="OR",--(COUNTIFS(nNIA,DATOS!$A1186,nCURSO,DATOS!$D1186,nESPEC,DATOS!$E1186,nASIG,DATOS!$I1186,nEVAL,"EX")=0),0))))</f>
      </c>
      <c r="H1186">
        <f>IF(DATOS!$G1186&lt;&gt;"EX",0,--(COUNTIFS(nNIA,DATOS!$A1186,nCURSO,DATOS!$D1186,nESPEC,DATOS!$E1186,nASIG,DATOS!$I1186,nEVAL,"OR")=0))</f>
      </c>
      <c r="I1186">
        <f>IF(DATOS!$I1186="","",IFERROR(VLOOKUP(DATOS!$I1186,CONFIG_ASIGNATURAS!$B$2:$J$91,9,FALSE()),""))</f>
      </c>
    </row>
    <row r="1187">
      <c r="F1187">
        <f>IF(DATOS!$A1187="","",DATOS!$A1187&amp;"|"&amp;DATOS!$D1187&amp;"|"&amp;DATOS!$E1187&amp;"|"&amp;DATOS!$I1187)</f>
      </c>
      <c r="G1187">
        <f>IF(DATOS!$A1187="",0,IF(CONFIG_METADATA!$B$4&lt;&gt;"OR+EX",--(DATOS!$G1187=CONFIG_METADATA!$B$4),IF(DATOS!$G1187="EX",1,IF(DATOS!$G1187="OR",--(COUNTIFS(nNIA,DATOS!$A1187,nCURSO,DATOS!$D1187,nESPEC,DATOS!$E1187,nASIG,DATOS!$I1187,nEVAL,"EX")=0),0))))</f>
      </c>
      <c r="H1187">
        <f>IF(DATOS!$G1187&lt;&gt;"EX",0,--(COUNTIFS(nNIA,DATOS!$A1187,nCURSO,DATOS!$D1187,nESPEC,DATOS!$E1187,nASIG,DATOS!$I1187,nEVAL,"OR")=0))</f>
      </c>
      <c r="I1187">
        <f>IF(DATOS!$I1187="","",IFERROR(VLOOKUP(DATOS!$I1187,CONFIG_ASIGNATURAS!$B$2:$J$91,9,FALSE()),""))</f>
      </c>
    </row>
    <row r="1188">
      <c r="F1188">
        <f>IF(DATOS!$A1188="","",DATOS!$A1188&amp;"|"&amp;DATOS!$D1188&amp;"|"&amp;DATOS!$E1188&amp;"|"&amp;DATOS!$I1188)</f>
      </c>
      <c r="G1188">
        <f>IF(DATOS!$A1188="",0,IF(CONFIG_METADATA!$B$4&lt;&gt;"OR+EX",--(DATOS!$G1188=CONFIG_METADATA!$B$4),IF(DATOS!$G1188="EX",1,IF(DATOS!$G1188="OR",--(COUNTIFS(nNIA,DATOS!$A1188,nCURSO,DATOS!$D1188,nESPEC,DATOS!$E1188,nASIG,DATOS!$I1188,nEVAL,"EX")=0),0))))</f>
      </c>
      <c r="H1188">
        <f>IF(DATOS!$G1188&lt;&gt;"EX",0,--(COUNTIFS(nNIA,DATOS!$A1188,nCURSO,DATOS!$D1188,nESPEC,DATOS!$E1188,nASIG,DATOS!$I1188,nEVAL,"OR")=0))</f>
      </c>
      <c r="I1188">
        <f>IF(DATOS!$I1188="","",IFERROR(VLOOKUP(DATOS!$I1188,CONFIG_ASIGNATURAS!$B$2:$J$91,9,FALSE()),""))</f>
      </c>
    </row>
    <row r="1189">
      <c r="F1189">
        <f>IF(DATOS!$A1189="","",DATOS!$A1189&amp;"|"&amp;DATOS!$D1189&amp;"|"&amp;DATOS!$E1189&amp;"|"&amp;DATOS!$I1189)</f>
      </c>
      <c r="G1189">
        <f>IF(DATOS!$A1189="",0,IF(CONFIG_METADATA!$B$4&lt;&gt;"OR+EX",--(DATOS!$G1189=CONFIG_METADATA!$B$4),IF(DATOS!$G1189="EX",1,IF(DATOS!$G1189="OR",--(COUNTIFS(nNIA,DATOS!$A1189,nCURSO,DATOS!$D1189,nESPEC,DATOS!$E1189,nASIG,DATOS!$I1189,nEVAL,"EX")=0),0))))</f>
      </c>
      <c r="H1189">
        <f>IF(DATOS!$G1189&lt;&gt;"EX",0,--(COUNTIFS(nNIA,DATOS!$A1189,nCURSO,DATOS!$D1189,nESPEC,DATOS!$E1189,nASIG,DATOS!$I1189,nEVAL,"OR")=0))</f>
      </c>
      <c r="I1189">
        <f>IF(DATOS!$I1189="","",IFERROR(VLOOKUP(DATOS!$I1189,CONFIG_ASIGNATURAS!$B$2:$J$91,9,FALSE()),""))</f>
      </c>
    </row>
    <row r="1190">
      <c r="F1190">
        <f>IF(DATOS!$A1190="","",DATOS!$A1190&amp;"|"&amp;DATOS!$D1190&amp;"|"&amp;DATOS!$E1190&amp;"|"&amp;DATOS!$I1190)</f>
      </c>
      <c r="G1190">
        <f>IF(DATOS!$A1190="",0,IF(CONFIG_METADATA!$B$4&lt;&gt;"OR+EX",--(DATOS!$G1190=CONFIG_METADATA!$B$4),IF(DATOS!$G1190="EX",1,IF(DATOS!$G1190="OR",--(COUNTIFS(nNIA,DATOS!$A1190,nCURSO,DATOS!$D1190,nESPEC,DATOS!$E1190,nASIG,DATOS!$I1190,nEVAL,"EX")=0),0))))</f>
      </c>
      <c r="H1190">
        <f>IF(DATOS!$G1190&lt;&gt;"EX",0,--(COUNTIFS(nNIA,DATOS!$A1190,nCURSO,DATOS!$D1190,nESPEC,DATOS!$E1190,nASIG,DATOS!$I1190,nEVAL,"OR")=0))</f>
      </c>
      <c r="I1190">
        <f>IF(DATOS!$I1190="","",IFERROR(VLOOKUP(DATOS!$I1190,CONFIG_ASIGNATURAS!$B$2:$J$91,9,FALSE()),""))</f>
      </c>
    </row>
    <row r="1191">
      <c r="F1191">
        <f>IF(DATOS!$A1191="","",DATOS!$A1191&amp;"|"&amp;DATOS!$D1191&amp;"|"&amp;DATOS!$E1191&amp;"|"&amp;DATOS!$I1191)</f>
      </c>
      <c r="G1191">
        <f>IF(DATOS!$A1191="",0,IF(CONFIG_METADATA!$B$4&lt;&gt;"OR+EX",--(DATOS!$G1191=CONFIG_METADATA!$B$4),IF(DATOS!$G1191="EX",1,IF(DATOS!$G1191="OR",--(COUNTIFS(nNIA,DATOS!$A1191,nCURSO,DATOS!$D1191,nESPEC,DATOS!$E1191,nASIG,DATOS!$I1191,nEVAL,"EX")=0),0))))</f>
      </c>
      <c r="H1191">
        <f>IF(DATOS!$G1191&lt;&gt;"EX",0,--(COUNTIFS(nNIA,DATOS!$A1191,nCURSO,DATOS!$D1191,nESPEC,DATOS!$E1191,nASIG,DATOS!$I1191,nEVAL,"OR")=0))</f>
      </c>
      <c r="I1191">
        <f>IF(DATOS!$I1191="","",IFERROR(VLOOKUP(DATOS!$I1191,CONFIG_ASIGNATURAS!$B$2:$J$91,9,FALSE()),""))</f>
      </c>
    </row>
    <row r="1192">
      <c r="F1192">
        <f>IF(DATOS!$A1192="","",DATOS!$A1192&amp;"|"&amp;DATOS!$D1192&amp;"|"&amp;DATOS!$E1192&amp;"|"&amp;DATOS!$I1192)</f>
      </c>
      <c r="G1192">
        <f>IF(DATOS!$A1192="",0,IF(CONFIG_METADATA!$B$4&lt;&gt;"OR+EX",--(DATOS!$G1192=CONFIG_METADATA!$B$4),IF(DATOS!$G1192="EX",1,IF(DATOS!$G1192="OR",--(COUNTIFS(nNIA,DATOS!$A1192,nCURSO,DATOS!$D1192,nESPEC,DATOS!$E1192,nASIG,DATOS!$I1192,nEVAL,"EX")=0),0))))</f>
      </c>
      <c r="H1192">
        <f>IF(DATOS!$G1192&lt;&gt;"EX",0,--(COUNTIFS(nNIA,DATOS!$A1192,nCURSO,DATOS!$D1192,nESPEC,DATOS!$E1192,nASIG,DATOS!$I1192,nEVAL,"OR")=0))</f>
      </c>
      <c r="I1192">
        <f>IF(DATOS!$I1192="","",IFERROR(VLOOKUP(DATOS!$I1192,CONFIG_ASIGNATURAS!$B$2:$J$91,9,FALSE()),""))</f>
      </c>
    </row>
    <row r="1193">
      <c r="F1193">
        <f>IF(DATOS!$A1193="","",DATOS!$A1193&amp;"|"&amp;DATOS!$D1193&amp;"|"&amp;DATOS!$E1193&amp;"|"&amp;DATOS!$I1193)</f>
      </c>
      <c r="G1193">
        <f>IF(DATOS!$A1193="",0,IF(CONFIG_METADATA!$B$4&lt;&gt;"OR+EX",--(DATOS!$G1193=CONFIG_METADATA!$B$4),IF(DATOS!$G1193="EX",1,IF(DATOS!$G1193="OR",--(COUNTIFS(nNIA,DATOS!$A1193,nCURSO,DATOS!$D1193,nESPEC,DATOS!$E1193,nASIG,DATOS!$I1193,nEVAL,"EX")=0),0))))</f>
      </c>
      <c r="H1193">
        <f>IF(DATOS!$G1193&lt;&gt;"EX",0,--(COUNTIFS(nNIA,DATOS!$A1193,nCURSO,DATOS!$D1193,nESPEC,DATOS!$E1193,nASIG,DATOS!$I1193,nEVAL,"OR")=0))</f>
      </c>
      <c r="I1193">
        <f>IF(DATOS!$I1193="","",IFERROR(VLOOKUP(DATOS!$I1193,CONFIG_ASIGNATURAS!$B$2:$J$91,9,FALSE()),""))</f>
      </c>
    </row>
    <row r="1194">
      <c r="F1194">
        <f>IF(DATOS!$A1194="","",DATOS!$A1194&amp;"|"&amp;DATOS!$D1194&amp;"|"&amp;DATOS!$E1194&amp;"|"&amp;DATOS!$I1194)</f>
      </c>
      <c r="G1194">
        <f>IF(DATOS!$A1194="",0,IF(CONFIG_METADATA!$B$4&lt;&gt;"OR+EX",--(DATOS!$G1194=CONFIG_METADATA!$B$4),IF(DATOS!$G1194="EX",1,IF(DATOS!$G1194="OR",--(COUNTIFS(nNIA,DATOS!$A1194,nCURSO,DATOS!$D1194,nESPEC,DATOS!$E1194,nASIG,DATOS!$I1194,nEVAL,"EX")=0),0))))</f>
      </c>
      <c r="H1194">
        <f>IF(DATOS!$G1194&lt;&gt;"EX",0,--(COUNTIFS(nNIA,DATOS!$A1194,nCURSO,DATOS!$D1194,nESPEC,DATOS!$E1194,nASIG,DATOS!$I1194,nEVAL,"OR")=0))</f>
      </c>
      <c r="I1194">
        <f>IF(DATOS!$I1194="","",IFERROR(VLOOKUP(DATOS!$I1194,CONFIG_ASIGNATURAS!$B$2:$J$91,9,FALSE()),""))</f>
      </c>
    </row>
    <row r="1195">
      <c r="F1195">
        <f>IF(DATOS!$A1195="","",DATOS!$A1195&amp;"|"&amp;DATOS!$D1195&amp;"|"&amp;DATOS!$E1195&amp;"|"&amp;DATOS!$I1195)</f>
      </c>
      <c r="G1195">
        <f>IF(DATOS!$A1195="",0,IF(CONFIG_METADATA!$B$4&lt;&gt;"OR+EX",--(DATOS!$G1195=CONFIG_METADATA!$B$4),IF(DATOS!$G1195="EX",1,IF(DATOS!$G1195="OR",--(COUNTIFS(nNIA,DATOS!$A1195,nCURSO,DATOS!$D1195,nESPEC,DATOS!$E1195,nASIG,DATOS!$I1195,nEVAL,"EX")=0),0))))</f>
      </c>
      <c r="H1195">
        <f>IF(DATOS!$G1195&lt;&gt;"EX",0,--(COUNTIFS(nNIA,DATOS!$A1195,nCURSO,DATOS!$D1195,nESPEC,DATOS!$E1195,nASIG,DATOS!$I1195,nEVAL,"OR")=0))</f>
      </c>
      <c r="I1195">
        <f>IF(DATOS!$I1195="","",IFERROR(VLOOKUP(DATOS!$I1195,CONFIG_ASIGNATURAS!$B$2:$J$91,9,FALSE()),""))</f>
      </c>
    </row>
    <row r="1196">
      <c r="F1196">
        <f>IF(DATOS!$A1196="","",DATOS!$A1196&amp;"|"&amp;DATOS!$D1196&amp;"|"&amp;DATOS!$E1196&amp;"|"&amp;DATOS!$I1196)</f>
      </c>
      <c r="G1196">
        <f>IF(DATOS!$A1196="",0,IF(CONFIG_METADATA!$B$4&lt;&gt;"OR+EX",--(DATOS!$G1196=CONFIG_METADATA!$B$4),IF(DATOS!$G1196="EX",1,IF(DATOS!$G1196="OR",--(COUNTIFS(nNIA,DATOS!$A1196,nCURSO,DATOS!$D1196,nESPEC,DATOS!$E1196,nASIG,DATOS!$I1196,nEVAL,"EX")=0),0))))</f>
      </c>
      <c r="H1196">
        <f>IF(DATOS!$G1196&lt;&gt;"EX",0,--(COUNTIFS(nNIA,DATOS!$A1196,nCURSO,DATOS!$D1196,nESPEC,DATOS!$E1196,nASIG,DATOS!$I1196,nEVAL,"OR")=0))</f>
      </c>
      <c r="I1196">
        <f>IF(DATOS!$I1196="","",IFERROR(VLOOKUP(DATOS!$I1196,CONFIG_ASIGNATURAS!$B$2:$J$91,9,FALSE()),""))</f>
      </c>
    </row>
    <row r="1197">
      <c r="F1197">
        <f>IF(DATOS!$A1197="","",DATOS!$A1197&amp;"|"&amp;DATOS!$D1197&amp;"|"&amp;DATOS!$E1197&amp;"|"&amp;DATOS!$I1197)</f>
      </c>
      <c r="G1197">
        <f>IF(DATOS!$A1197="",0,IF(CONFIG_METADATA!$B$4&lt;&gt;"OR+EX",--(DATOS!$G1197=CONFIG_METADATA!$B$4),IF(DATOS!$G1197="EX",1,IF(DATOS!$G1197="OR",--(COUNTIFS(nNIA,DATOS!$A1197,nCURSO,DATOS!$D1197,nESPEC,DATOS!$E1197,nASIG,DATOS!$I1197,nEVAL,"EX")=0),0))))</f>
      </c>
      <c r="H1197">
        <f>IF(DATOS!$G1197&lt;&gt;"EX",0,--(COUNTIFS(nNIA,DATOS!$A1197,nCURSO,DATOS!$D1197,nESPEC,DATOS!$E1197,nASIG,DATOS!$I1197,nEVAL,"OR")=0))</f>
      </c>
      <c r="I1197">
        <f>IF(DATOS!$I1197="","",IFERROR(VLOOKUP(DATOS!$I1197,CONFIG_ASIGNATURAS!$B$2:$J$91,9,FALSE()),""))</f>
      </c>
    </row>
    <row r="1198">
      <c r="F1198">
        <f>IF(DATOS!$A1198="","",DATOS!$A1198&amp;"|"&amp;DATOS!$D1198&amp;"|"&amp;DATOS!$E1198&amp;"|"&amp;DATOS!$I1198)</f>
      </c>
      <c r="G1198">
        <f>IF(DATOS!$A1198="",0,IF(CONFIG_METADATA!$B$4&lt;&gt;"OR+EX",--(DATOS!$G1198=CONFIG_METADATA!$B$4),IF(DATOS!$G1198="EX",1,IF(DATOS!$G1198="OR",--(COUNTIFS(nNIA,DATOS!$A1198,nCURSO,DATOS!$D1198,nESPEC,DATOS!$E1198,nASIG,DATOS!$I1198,nEVAL,"EX")=0),0))))</f>
      </c>
      <c r="H1198">
        <f>IF(DATOS!$G1198&lt;&gt;"EX",0,--(COUNTIFS(nNIA,DATOS!$A1198,nCURSO,DATOS!$D1198,nESPEC,DATOS!$E1198,nASIG,DATOS!$I1198,nEVAL,"OR")=0))</f>
      </c>
      <c r="I1198">
        <f>IF(DATOS!$I1198="","",IFERROR(VLOOKUP(DATOS!$I1198,CONFIG_ASIGNATURAS!$B$2:$J$91,9,FALSE()),""))</f>
      </c>
    </row>
    <row r="1199">
      <c r="F1199">
        <f>IF(DATOS!$A1199="","",DATOS!$A1199&amp;"|"&amp;DATOS!$D1199&amp;"|"&amp;DATOS!$E1199&amp;"|"&amp;DATOS!$I1199)</f>
      </c>
      <c r="G1199">
        <f>IF(DATOS!$A1199="",0,IF(CONFIG_METADATA!$B$4&lt;&gt;"OR+EX",--(DATOS!$G1199=CONFIG_METADATA!$B$4),IF(DATOS!$G1199="EX",1,IF(DATOS!$G1199="OR",--(COUNTIFS(nNIA,DATOS!$A1199,nCURSO,DATOS!$D1199,nESPEC,DATOS!$E1199,nASIG,DATOS!$I1199,nEVAL,"EX")=0),0))))</f>
      </c>
      <c r="H1199">
        <f>IF(DATOS!$G1199&lt;&gt;"EX",0,--(COUNTIFS(nNIA,DATOS!$A1199,nCURSO,DATOS!$D1199,nESPEC,DATOS!$E1199,nASIG,DATOS!$I1199,nEVAL,"OR")=0))</f>
      </c>
      <c r="I1199">
        <f>IF(DATOS!$I1199="","",IFERROR(VLOOKUP(DATOS!$I1199,CONFIG_ASIGNATURAS!$B$2:$J$91,9,FALSE()),""))</f>
      </c>
    </row>
    <row r="1200">
      <c r="F1200">
        <f>IF(DATOS!$A1200="","",DATOS!$A1200&amp;"|"&amp;DATOS!$D1200&amp;"|"&amp;DATOS!$E1200&amp;"|"&amp;DATOS!$I1200)</f>
      </c>
      <c r="G1200">
        <f>IF(DATOS!$A1200="",0,IF(CONFIG_METADATA!$B$4&lt;&gt;"OR+EX",--(DATOS!$G1200=CONFIG_METADATA!$B$4),IF(DATOS!$G1200="EX",1,IF(DATOS!$G1200="OR",--(COUNTIFS(nNIA,DATOS!$A1200,nCURSO,DATOS!$D1200,nESPEC,DATOS!$E1200,nASIG,DATOS!$I1200,nEVAL,"EX")=0),0))))</f>
      </c>
      <c r="H1200">
        <f>IF(DATOS!$G1200&lt;&gt;"EX",0,--(COUNTIFS(nNIA,DATOS!$A1200,nCURSO,DATOS!$D1200,nESPEC,DATOS!$E1200,nASIG,DATOS!$I1200,nEVAL,"OR")=0))</f>
      </c>
      <c r="I1200">
        <f>IF(DATOS!$I1200="","",IFERROR(VLOOKUP(DATOS!$I1200,CONFIG_ASIGNATURAS!$B$2:$J$91,9,FALSE()),""))</f>
      </c>
    </row>
    <row r="1201">
      <c r="F1201">
        <f>IF(DATOS!$A1201="","",DATOS!$A1201&amp;"|"&amp;DATOS!$D1201&amp;"|"&amp;DATOS!$E1201&amp;"|"&amp;DATOS!$I1201)</f>
      </c>
      <c r="G1201">
        <f>IF(DATOS!$A1201="",0,IF(CONFIG_METADATA!$B$4&lt;&gt;"OR+EX",--(DATOS!$G1201=CONFIG_METADATA!$B$4),IF(DATOS!$G1201="EX",1,IF(DATOS!$G1201="OR",--(COUNTIFS(nNIA,DATOS!$A1201,nCURSO,DATOS!$D1201,nESPEC,DATOS!$E1201,nASIG,DATOS!$I1201,nEVAL,"EX")=0),0))))</f>
      </c>
      <c r="H1201">
        <f>IF(DATOS!$G1201&lt;&gt;"EX",0,--(COUNTIFS(nNIA,DATOS!$A1201,nCURSO,DATOS!$D1201,nESPEC,DATOS!$E1201,nASIG,DATOS!$I1201,nEVAL,"OR")=0))</f>
      </c>
      <c r="I1201">
        <f>IF(DATOS!$I1201="","",IFERROR(VLOOKUP(DATOS!$I1201,CONFIG_ASIGNATURAS!$B$2:$J$91,9,FALSE()),""))</f>
      </c>
    </row>
    <row r="1202">
      <c r="F1202">
        <f>IF(DATOS!$A1202="","",DATOS!$A1202&amp;"|"&amp;DATOS!$D1202&amp;"|"&amp;DATOS!$E1202&amp;"|"&amp;DATOS!$I1202)</f>
      </c>
      <c r="G1202">
        <f>IF(DATOS!$A1202="",0,IF(CONFIG_METADATA!$B$4&lt;&gt;"OR+EX",--(DATOS!$G1202=CONFIG_METADATA!$B$4),IF(DATOS!$G1202="EX",1,IF(DATOS!$G1202="OR",--(COUNTIFS(nNIA,DATOS!$A1202,nCURSO,DATOS!$D1202,nESPEC,DATOS!$E1202,nASIG,DATOS!$I1202,nEVAL,"EX")=0),0))))</f>
      </c>
      <c r="H1202">
        <f>IF(DATOS!$G1202&lt;&gt;"EX",0,--(COUNTIFS(nNIA,DATOS!$A1202,nCURSO,DATOS!$D1202,nESPEC,DATOS!$E1202,nASIG,DATOS!$I1202,nEVAL,"OR")=0))</f>
      </c>
      <c r="I1202">
        <f>IF(DATOS!$I1202="","",IFERROR(VLOOKUP(DATOS!$I1202,CONFIG_ASIGNATURAS!$B$2:$J$91,9,FALSE()),""))</f>
      </c>
    </row>
    <row r="1203">
      <c r="F1203">
        <f>IF(DATOS!$A1203="","",DATOS!$A1203&amp;"|"&amp;DATOS!$D1203&amp;"|"&amp;DATOS!$E1203&amp;"|"&amp;DATOS!$I1203)</f>
      </c>
      <c r="G1203">
        <f>IF(DATOS!$A1203="",0,IF(CONFIG_METADATA!$B$4&lt;&gt;"OR+EX",--(DATOS!$G1203=CONFIG_METADATA!$B$4),IF(DATOS!$G1203="EX",1,IF(DATOS!$G1203="OR",--(COUNTIFS(nNIA,DATOS!$A1203,nCURSO,DATOS!$D1203,nESPEC,DATOS!$E1203,nASIG,DATOS!$I1203,nEVAL,"EX")=0),0))))</f>
      </c>
      <c r="H1203">
        <f>IF(DATOS!$G1203&lt;&gt;"EX",0,--(COUNTIFS(nNIA,DATOS!$A1203,nCURSO,DATOS!$D1203,nESPEC,DATOS!$E1203,nASIG,DATOS!$I1203,nEVAL,"OR")=0))</f>
      </c>
      <c r="I1203">
        <f>IF(DATOS!$I1203="","",IFERROR(VLOOKUP(DATOS!$I1203,CONFIG_ASIGNATURAS!$B$2:$J$91,9,FALSE()),""))</f>
      </c>
    </row>
    <row r="1204">
      <c r="F1204">
        <f>IF(DATOS!$A1204="","",DATOS!$A1204&amp;"|"&amp;DATOS!$D1204&amp;"|"&amp;DATOS!$E1204&amp;"|"&amp;DATOS!$I1204)</f>
      </c>
      <c r="G1204">
        <f>IF(DATOS!$A1204="",0,IF(CONFIG_METADATA!$B$4&lt;&gt;"OR+EX",--(DATOS!$G1204=CONFIG_METADATA!$B$4),IF(DATOS!$G1204="EX",1,IF(DATOS!$G1204="OR",--(COUNTIFS(nNIA,DATOS!$A1204,nCURSO,DATOS!$D1204,nESPEC,DATOS!$E1204,nASIG,DATOS!$I1204,nEVAL,"EX")=0),0))))</f>
      </c>
      <c r="H1204">
        <f>IF(DATOS!$G1204&lt;&gt;"EX",0,--(COUNTIFS(nNIA,DATOS!$A1204,nCURSO,DATOS!$D1204,nESPEC,DATOS!$E1204,nASIG,DATOS!$I1204,nEVAL,"OR")=0))</f>
      </c>
      <c r="I1204">
        <f>IF(DATOS!$I1204="","",IFERROR(VLOOKUP(DATOS!$I1204,CONFIG_ASIGNATURAS!$B$2:$J$91,9,FALSE()),""))</f>
      </c>
    </row>
    <row r="1205">
      <c r="F1205">
        <f>IF(DATOS!$A1205="","",DATOS!$A1205&amp;"|"&amp;DATOS!$D1205&amp;"|"&amp;DATOS!$E1205&amp;"|"&amp;DATOS!$I1205)</f>
      </c>
      <c r="G1205">
        <f>IF(DATOS!$A1205="",0,IF(CONFIG_METADATA!$B$4&lt;&gt;"OR+EX",--(DATOS!$G1205=CONFIG_METADATA!$B$4),IF(DATOS!$G1205="EX",1,IF(DATOS!$G1205="OR",--(COUNTIFS(nNIA,DATOS!$A1205,nCURSO,DATOS!$D1205,nESPEC,DATOS!$E1205,nASIG,DATOS!$I1205,nEVAL,"EX")=0),0))))</f>
      </c>
      <c r="H1205">
        <f>IF(DATOS!$G1205&lt;&gt;"EX",0,--(COUNTIFS(nNIA,DATOS!$A1205,nCURSO,DATOS!$D1205,nESPEC,DATOS!$E1205,nASIG,DATOS!$I1205,nEVAL,"OR")=0))</f>
      </c>
      <c r="I1205">
        <f>IF(DATOS!$I1205="","",IFERROR(VLOOKUP(DATOS!$I1205,CONFIG_ASIGNATURAS!$B$2:$J$91,9,FALSE()),""))</f>
      </c>
    </row>
    <row r="1206">
      <c r="F1206">
        <f>IF(DATOS!$A1206="","",DATOS!$A1206&amp;"|"&amp;DATOS!$D1206&amp;"|"&amp;DATOS!$E1206&amp;"|"&amp;DATOS!$I1206)</f>
      </c>
      <c r="G1206">
        <f>IF(DATOS!$A1206="",0,IF(CONFIG_METADATA!$B$4&lt;&gt;"OR+EX",--(DATOS!$G1206=CONFIG_METADATA!$B$4),IF(DATOS!$G1206="EX",1,IF(DATOS!$G1206="OR",--(COUNTIFS(nNIA,DATOS!$A1206,nCURSO,DATOS!$D1206,nESPEC,DATOS!$E1206,nASIG,DATOS!$I1206,nEVAL,"EX")=0),0))))</f>
      </c>
      <c r="H1206">
        <f>IF(DATOS!$G1206&lt;&gt;"EX",0,--(COUNTIFS(nNIA,DATOS!$A1206,nCURSO,DATOS!$D1206,nESPEC,DATOS!$E1206,nASIG,DATOS!$I1206,nEVAL,"OR")=0))</f>
      </c>
      <c r="I1206">
        <f>IF(DATOS!$I1206="","",IFERROR(VLOOKUP(DATOS!$I1206,CONFIG_ASIGNATURAS!$B$2:$J$91,9,FALSE()),""))</f>
      </c>
    </row>
    <row r="1207">
      <c r="F1207">
        <f>IF(DATOS!$A1207="","",DATOS!$A1207&amp;"|"&amp;DATOS!$D1207&amp;"|"&amp;DATOS!$E1207&amp;"|"&amp;DATOS!$I1207)</f>
      </c>
      <c r="G1207">
        <f>IF(DATOS!$A1207="",0,IF(CONFIG_METADATA!$B$4&lt;&gt;"OR+EX",--(DATOS!$G1207=CONFIG_METADATA!$B$4),IF(DATOS!$G1207="EX",1,IF(DATOS!$G1207="OR",--(COUNTIFS(nNIA,DATOS!$A1207,nCURSO,DATOS!$D1207,nESPEC,DATOS!$E1207,nASIG,DATOS!$I1207,nEVAL,"EX")=0),0))))</f>
      </c>
      <c r="H1207">
        <f>IF(DATOS!$G1207&lt;&gt;"EX",0,--(COUNTIFS(nNIA,DATOS!$A1207,nCURSO,DATOS!$D1207,nESPEC,DATOS!$E1207,nASIG,DATOS!$I1207,nEVAL,"OR")=0))</f>
      </c>
      <c r="I1207">
        <f>IF(DATOS!$I1207="","",IFERROR(VLOOKUP(DATOS!$I1207,CONFIG_ASIGNATURAS!$B$2:$J$91,9,FALSE()),""))</f>
      </c>
    </row>
    <row r="1208">
      <c r="F1208">
        <f>IF(DATOS!$A1208="","",DATOS!$A1208&amp;"|"&amp;DATOS!$D1208&amp;"|"&amp;DATOS!$E1208&amp;"|"&amp;DATOS!$I1208)</f>
      </c>
      <c r="G1208">
        <f>IF(DATOS!$A1208="",0,IF(CONFIG_METADATA!$B$4&lt;&gt;"OR+EX",--(DATOS!$G1208=CONFIG_METADATA!$B$4),IF(DATOS!$G1208="EX",1,IF(DATOS!$G1208="OR",--(COUNTIFS(nNIA,DATOS!$A1208,nCURSO,DATOS!$D1208,nESPEC,DATOS!$E1208,nASIG,DATOS!$I1208,nEVAL,"EX")=0),0))))</f>
      </c>
      <c r="H1208">
        <f>IF(DATOS!$G1208&lt;&gt;"EX",0,--(COUNTIFS(nNIA,DATOS!$A1208,nCURSO,DATOS!$D1208,nESPEC,DATOS!$E1208,nASIG,DATOS!$I1208,nEVAL,"OR")=0))</f>
      </c>
      <c r="I1208">
        <f>IF(DATOS!$I1208="","",IFERROR(VLOOKUP(DATOS!$I1208,CONFIG_ASIGNATURAS!$B$2:$J$91,9,FALSE()),""))</f>
      </c>
    </row>
    <row r="1209">
      <c r="F1209">
        <f>IF(DATOS!$A1209="","",DATOS!$A1209&amp;"|"&amp;DATOS!$D1209&amp;"|"&amp;DATOS!$E1209&amp;"|"&amp;DATOS!$I1209)</f>
      </c>
      <c r="G1209">
        <f>IF(DATOS!$A1209="",0,IF(CONFIG_METADATA!$B$4&lt;&gt;"OR+EX",--(DATOS!$G1209=CONFIG_METADATA!$B$4),IF(DATOS!$G1209="EX",1,IF(DATOS!$G1209="OR",--(COUNTIFS(nNIA,DATOS!$A1209,nCURSO,DATOS!$D1209,nESPEC,DATOS!$E1209,nASIG,DATOS!$I1209,nEVAL,"EX")=0),0))))</f>
      </c>
      <c r="H1209">
        <f>IF(DATOS!$G1209&lt;&gt;"EX",0,--(COUNTIFS(nNIA,DATOS!$A1209,nCURSO,DATOS!$D1209,nESPEC,DATOS!$E1209,nASIG,DATOS!$I1209,nEVAL,"OR")=0))</f>
      </c>
      <c r="I1209">
        <f>IF(DATOS!$I1209="","",IFERROR(VLOOKUP(DATOS!$I1209,CONFIG_ASIGNATURAS!$B$2:$J$91,9,FALSE()),""))</f>
      </c>
    </row>
    <row r="1210">
      <c r="F1210">
        <f>IF(DATOS!$A1210="","",DATOS!$A1210&amp;"|"&amp;DATOS!$D1210&amp;"|"&amp;DATOS!$E1210&amp;"|"&amp;DATOS!$I1210)</f>
      </c>
      <c r="G1210">
        <f>IF(DATOS!$A1210="",0,IF(CONFIG_METADATA!$B$4&lt;&gt;"OR+EX",--(DATOS!$G1210=CONFIG_METADATA!$B$4),IF(DATOS!$G1210="EX",1,IF(DATOS!$G1210="OR",--(COUNTIFS(nNIA,DATOS!$A1210,nCURSO,DATOS!$D1210,nESPEC,DATOS!$E1210,nASIG,DATOS!$I1210,nEVAL,"EX")=0),0))))</f>
      </c>
      <c r="H1210">
        <f>IF(DATOS!$G1210&lt;&gt;"EX",0,--(COUNTIFS(nNIA,DATOS!$A1210,nCURSO,DATOS!$D1210,nESPEC,DATOS!$E1210,nASIG,DATOS!$I1210,nEVAL,"OR")=0))</f>
      </c>
      <c r="I1210">
        <f>IF(DATOS!$I1210="","",IFERROR(VLOOKUP(DATOS!$I1210,CONFIG_ASIGNATURAS!$B$2:$J$91,9,FALSE()),""))</f>
      </c>
    </row>
    <row r="1211">
      <c r="F1211">
        <f>IF(DATOS!$A1211="","",DATOS!$A1211&amp;"|"&amp;DATOS!$D1211&amp;"|"&amp;DATOS!$E1211&amp;"|"&amp;DATOS!$I1211)</f>
      </c>
      <c r="G1211">
        <f>IF(DATOS!$A1211="",0,IF(CONFIG_METADATA!$B$4&lt;&gt;"OR+EX",--(DATOS!$G1211=CONFIG_METADATA!$B$4),IF(DATOS!$G1211="EX",1,IF(DATOS!$G1211="OR",--(COUNTIFS(nNIA,DATOS!$A1211,nCURSO,DATOS!$D1211,nESPEC,DATOS!$E1211,nASIG,DATOS!$I1211,nEVAL,"EX")=0),0))))</f>
      </c>
      <c r="H1211">
        <f>IF(DATOS!$G1211&lt;&gt;"EX",0,--(COUNTIFS(nNIA,DATOS!$A1211,nCURSO,DATOS!$D1211,nESPEC,DATOS!$E1211,nASIG,DATOS!$I1211,nEVAL,"OR")=0))</f>
      </c>
      <c r="I1211">
        <f>IF(DATOS!$I1211="","",IFERROR(VLOOKUP(DATOS!$I1211,CONFIG_ASIGNATURAS!$B$2:$J$91,9,FALSE()),""))</f>
      </c>
    </row>
    <row r="1212">
      <c r="F1212">
        <f>IF(DATOS!$A1212="","",DATOS!$A1212&amp;"|"&amp;DATOS!$D1212&amp;"|"&amp;DATOS!$E1212&amp;"|"&amp;DATOS!$I1212)</f>
      </c>
      <c r="G1212">
        <f>IF(DATOS!$A1212="",0,IF(CONFIG_METADATA!$B$4&lt;&gt;"OR+EX",--(DATOS!$G1212=CONFIG_METADATA!$B$4),IF(DATOS!$G1212="EX",1,IF(DATOS!$G1212="OR",--(COUNTIFS(nNIA,DATOS!$A1212,nCURSO,DATOS!$D1212,nESPEC,DATOS!$E1212,nASIG,DATOS!$I1212,nEVAL,"EX")=0),0))))</f>
      </c>
      <c r="H1212">
        <f>IF(DATOS!$G1212&lt;&gt;"EX",0,--(COUNTIFS(nNIA,DATOS!$A1212,nCURSO,DATOS!$D1212,nESPEC,DATOS!$E1212,nASIG,DATOS!$I1212,nEVAL,"OR")=0))</f>
      </c>
      <c r="I1212">
        <f>IF(DATOS!$I1212="","",IFERROR(VLOOKUP(DATOS!$I1212,CONFIG_ASIGNATURAS!$B$2:$J$91,9,FALSE()),""))</f>
      </c>
    </row>
    <row r="1213">
      <c r="F1213">
        <f>IF(DATOS!$A1213="","",DATOS!$A1213&amp;"|"&amp;DATOS!$D1213&amp;"|"&amp;DATOS!$E1213&amp;"|"&amp;DATOS!$I1213)</f>
      </c>
      <c r="G1213">
        <f>IF(DATOS!$A1213="",0,IF(CONFIG_METADATA!$B$4&lt;&gt;"OR+EX",--(DATOS!$G1213=CONFIG_METADATA!$B$4),IF(DATOS!$G1213="EX",1,IF(DATOS!$G1213="OR",--(COUNTIFS(nNIA,DATOS!$A1213,nCURSO,DATOS!$D1213,nESPEC,DATOS!$E1213,nASIG,DATOS!$I1213,nEVAL,"EX")=0),0))))</f>
      </c>
      <c r="H1213">
        <f>IF(DATOS!$G1213&lt;&gt;"EX",0,--(COUNTIFS(nNIA,DATOS!$A1213,nCURSO,DATOS!$D1213,nESPEC,DATOS!$E1213,nASIG,DATOS!$I1213,nEVAL,"OR")=0))</f>
      </c>
      <c r="I1213">
        <f>IF(DATOS!$I1213="","",IFERROR(VLOOKUP(DATOS!$I1213,CONFIG_ASIGNATURAS!$B$2:$J$91,9,FALSE()),""))</f>
      </c>
    </row>
    <row r="1214">
      <c r="F1214">
        <f>IF(DATOS!$A1214="","",DATOS!$A1214&amp;"|"&amp;DATOS!$D1214&amp;"|"&amp;DATOS!$E1214&amp;"|"&amp;DATOS!$I1214)</f>
      </c>
      <c r="G1214">
        <f>IF(DATOS!$A1214="",0,IF(CONFIG_METADATA!$B$4&lt;&gt;"OR+EX",--(DATOS!$G1214=CONFIG_METADATA!$B$4),IF(DATOS!$G1214="EX",1,IF(DATOS!$G1214="OR",--(COUNTIFS(nNIA,DATOS!$A1214,nCURSO,DATOS!$D1214,nESPEC,DATOS!$E1214,nASIG,DATOS!$I1214,nEVAL,"EX")=0),0))))</f>
      </c>
      <c r="H1214">
        <f>IF(DATOS!$G1214&lt;&gt;"EX",0,--(COUNTIFS(nNIA,DATOS!$A1214,nCURSO,DATOS!$D1214,nESPEC,DATOS!$E1214,nASIG,DATOS!$I1214,nEVAL,"OR")=0))</f>
      </c>
      <c r="I1214">
        <f>IF(DATOS!$I1214="","",IFERROR(VLOOKUP(DATOS!$I1214,CONFIG_ASIGNATURAS!$B$2:$J$91,9,FALSE()),""))</f>
      </c>
    </row>
    <row r="1215">
      <c r="F1215">
        <f>IF(DATOS!$A1215="","",DATOS!$A1215&amp;"|"&amp;DATOS!$D1215&amp;"|"&amp;DATOS!$E1215&amp;"|"&amp;DATOS!$I1215)</f>
      </c>
      <c r="G1215">
        <f>IF(DATOS!$A1215="",0,IF(CONFIG_METADATA!$B$4&lt;&gt;"OR+EX",--(DATOS!$G1215=CONFIG_METADATA!$B$4),IF(DATOS!$G1215="EX",1,IF(DATOS!$G1215="OR",--(COUNTIFS(nNIA,DATOS!$A1215,nCURSO,DATOS!$D1215,nESPEC,DATOS!$E1215,nASIG,DATOS!$I1215,nEVAL,"EX")=0),0))))</f>
      </c>
      <c r="H1215">
        <f>IF(DATOS!$G1215&lt;&gt;"EX",0,--(COUNTIFS(nNIA,DATOS!$A1215,nCURSO,DATOS!$D1215,nESPEC,DATOS!$E1215,nASIG,DATOS!$I1215,nEVAL,"OR")=0))</f>
      </c>
      <c r="I1215">
        <f>IF(DATOS!$I1215="","",IFERROR(VLOOKUP(DATOS!$I1215,CONFIG_ASIGNATURAS!$B$2:$J$91,9,FALSE()),""))</f>
      </c>
    </row>
    <row r="1216">
      <c r="F1216">
        <f>IF(DATOS!$A1216="","",DATOS!$A1216&amp;"|"&amp;DATOS!$D1216&amp;"|"&amp;DATOS!$E1216&amp;"|"&amp;DATOS!$I1216)</f>
      </c>
      <c r="G1216">
        <f>IF(DATOS!$A1216="",0,IF(CONFIG_METADATA!$B$4&lt;&gt;"OR+EX",--(DATOS!$G1216=CONFIG_METADATA!$B$4),IF(DATOS!$G1216="EX",1,IF(DATOS!$G1216="OR",--(COUNTIFS(nNIA,DATOS!$A1216,nCURSO,DATOS!$D1216,nESPEC,DATOS!$E1216,nASIG,DATOS!$I1216,nEVAL,"EX")=0),0))))</f>
      </c>
      <c r="H1216">
        <f>IF(DATOS!$G1216&lt;&gt;"EX",0,--(COUNTIFS(nNIA,DATOS!$A1216,nCURSO,DATOS!$D1216,nESPEC,DATOS!$E1216,nASIG,DATOS!$I1216,nEVAL,"OR")=0))</f>
      </c>
      <c r="I1216">
        <f>IF(DATOS!$I1216="","",IFERROR(VLOOKUP(DATOS!$I1216,CONFIG_ASIGNATURAS!$B$2:$J$91,9,FALSE()),""))</f>
      </c>
    </row>
    <row r="1217">
      <c r="F1217">
        <f>IF(DATOS!$A1217="","",DATOS!$A1217&amp;"|"&amp;DATOS!$D1217&amp;"|"&amp;DATOS!$E1217&amp;"|"&amp;DATOS!$I1217)</f>
      </c>
      <c r="G1217">
        <f>IF(DATOS!$A1217="",0,IF(CONFIG_METADATA!$B$4&lt;&gt;"OR+EX",--(DATOS!$G1217=CONFIG_METADATA!$B$4),IF(DATOS!$G1217="EX",1,IF(DATOS!$G1217="OR",--(COUNTIFS(nNIA,DATOS!$A1217,nCURSO,DATOS!$D1217,nESPEC,DATOS!$E1217,nASIG,DATOS!$I1217,nEVAL,"EX")=0),0))))</f>
      </c>
      <c r="H1217">
        <f>IF(DATOS!$G1217&lt;&gt;"EX",0,--(COUNTIFS(nNIA,DATOS!$A1217,nCURSO,DATOS!$D1217,nESPEC,DATOS!$E1217,nASIG,DATOS!$I1217,nEVAL,"OR")=0))</f>
      </c>
      <c r="I1217">
        <f>IF(DATOS!$I1217="","",IFERROR(VLOOKUP(DATOS!$I1217,CONFIG_ASIGNATURAS!$B$2:$J$91,9,FALSE()),""))</f>
      </c>
    </row>
    <row r="1218">
      <c r="F1218">
        <f>IF(DATOS!$A1218="","",DATOS!$A1218&amp;"|"&amp;DATOS!$D1218&amp;"|"&amp;DATOS!$E1218&amp;"|"&amp;DATOS!$I1218)</f>
      </c>
      <c r="G1218">
        <f>IF(DATOS!$A1218="",0,IF(CONFIG_METADATA!$B$4&lt;&gt;"OR+EX",--(DATOS!$G1218=CONFIG_METADATA!$B$4),IF(DATOS!$G1218="EX",1,IF(DATOS!$G1218="OR",--(COUNTIFS(nNIA,DATOS!$A1218,nCURSO,DATOS!$D1218,nESPEC,DATOS!$E1218,nASIG,DATOS!$I1218,nEVAL,"EX")=0),0))))</f>
      </c>
      <c r="H1218">
        <f>IF(DATOS!$G1218&lt;&gt;"EX",0,--(COUNTIFS(nNIA,DATOS!$A1218,nCURSO,DATOS!$D1218,nESPEC,DATOS!$E1218,nASIG,DATOS!$I1218,nEVAL,"OR")=0))</f>
      </c>
      <c r="I1218">
        <f>IF(DATOS!$I1218="","",IFERROR(VLOOKUP(DATOS!$I1218,CONFIG_ASIGNATURAS!$B$2:$J$91,9,FALSE()),""))</f>
      </c>
    </row>
    <row r="1219">
      <c r="F1219">
        <f>IF(DATOS!$A1219="","",DATOS!$A1219&amp;"|"&amp;DATOS!$D1219&amp;"|"&amp;DATOS!$E1219&amp;"|"&amp;DATOS!$I1219)</f>
      </c>
      <c r="G1219">
        <f>IF(DATOS!$A1219="",0,IF(CONFIG_METADATA!$B$4&lt;&gt;"OR+EX",--(DATOS!$G1219=CONFIG_METADATA!$B$4),IF(DATOS!$G1219="EX",1,IF(DATOS!$G1219="OR",--(COUNTIFS(nNIA,DATOS!$A1219,nCURSO,DATOS!$D1219,nESPEC,DATOS!$E1219,nASIG,DATOS!$I1219,nEVAL,"EX")=0),0))))</f>
      </c>
      <c r="H1219">
        <f>IF(DATOS!$G1219&lt;&gt;"EX",0,--(COUNTIFS(nNIA,DATOS!$A1219,nCURSO,DATOS!$D1219,nESPEC,DATOS!$E1219,nASIG,DATOS!$I1219,nEVAL,"OR")=0))</f>
      </c>
      <c r="I1219">
        <f>IF(DATOS!$I1219="","",IFERROR(VLOOKUP(DATOS!$I1219,CONFIG_ASIGNATURAS!$B$2:$J$91,9,FALSE()),""))</f>
      </c>
    </row>
    <row r="1220">
      <c r="F1220">
        <f>IF(DATOS!$A1220="","",DATOS!$A1220&amp;"|"&amp;DATOS!$D1220&amp;"|"&amp;DATOS!$E1220&amp;"|"&amp;DATOS!$I1220)</f>
      </c>
      <c r="G1220">
        <f>IF(DATOS!$A1220="",0,IF(CONFIG_METADATA!$B$4&lt;&gt;"OR+EX",--(DATOS!$G1220=CONFIG_METADATA!$B$4),IF(DATOS!$G1220="EX",1,IF(DATOS!$G1220="OR",--(COUNTIFS(nNIA,DATOS!$A1220,nCURSO,DATOS!$D1220,nESPEC,DATOS!$E1220,nASIG,DATOS!$I1220,nEVAL,"EX")=0),0))))</f>
      </c>
      <c r="H1220">
        <f>IF(DATOS!$G1220&lt;&gt;"EX",0,--(COUNTIFS(nNIA,DATOS!$A1220,nCURSO,DATOS!$D1220,nESPEC,DATOS!$E1220,nASIG,DATOS!$I1220,nEVAL,"OR")=0))</f>
      </c>
      <c r="I1220">
        <f>IF(DATOS!$I1220="","",IFERROR(VLOOKUP(DATOS!$I1220,CONFIG_ASIGNATURAS!$B$2:$J$91,9,FALSE()),""))</f>
      </c>
    </row>
    <row r="1221">
      <c r="F1221">
        <f>IF(DATOS!$A1221="","",DATOS!$A1221&amp;"|"&amp;DATOS!$D1221&amp;"|"&amp;DATOS!$E1221&amp;"|"&amp;DATOS!$I1221)</f>
      </c>
      <c r="G1221">
        <f>IF(DATOS!$A1221="",0,IF(CONFIG_METADATA!$B$4&lt;&gt;"OR+EX",--(DATOS!$G1221=CONFIG_METADATA!$B$4),IF(DATOS!$G1221="EX",1,IF(DATOS!$G1221="OR",--(COUNTIFS(nNIA,DATOS!$A1221,nCURSO,DATOS!$D1221,nESPEC,DATOS!$E1221,nASIG,DATOS!$I1221,nEVAL,"EX")=0),0))))</f>
      </c>
      <c r="H1221">
        <f>IF(DATOS!$G1221&lt;&gt;"EX",0,--(COUNTIFS(nNIA,DATOS!$A1221,nCURSO,DATOS!$D1221,nESPEC,DATOS!$E1221,nASIG,DATOS!$I1221,nEVAL,"OR")=0))</f>
      </c>
      <c r="I1221">
        <f>IF(DATOS!$I1221="","",IFERROR(VLOOKUP(DATOS!$I1221,CONFIG_ASIGNATURAS!$B$2:$J$91,9,FALSE()),""))</f>
      </c>
    </row>
    <row r="1222">
      <c r="F1222">
        <f>IF(DATOS!$A1222="","",DATOS!$A1222&amp;"|"&amp;DATOS!$D1222&amp;"|"&amp;DATOS!$E1222&amp;"|"&amp;DATOS!$I1222)</f>
      </c>
      <c r="G1222">
        <f>IF(DATOS!$A1222="",0,IF(CONFIG_METADATA!$B$4&lt;&gt;"OR+EX",--(DATOS!$G1222=CONFIG_METADATA!$B$4),IF(DATOS!$G1222="EX",1,IF(DATOS!$G1222="OR",--(COUNTIFS(nNIA,DATOS!$A1222,nCURSO,DATOS!$D1222,nESPEC,DATOS!$E1222,nASIG,DATOS!$I1222,nEVAL,"EX")=0),0))))</f>
      </c>
      <c r="H1222">
        <f>IF(DATOS!$G1222&lt;&gt;"EX",0,--(COUNTIFS(nNIA,DATOS!$A1222,nCURSO,DATOS!$D1222,nESPEC,DATOS!$E1222,nASIG,DATOS!$I1222,nEVAL,"OR")=0))</f>
      </c>
      <c r="I1222">
        <f>IF(DATOS!$I1222="","",IFERROR(VLOOKUP(DATOS!$I1222,CONFIG_ASIGNATURAS!$B$2:$J$91,9,FALSE()),""))</f>
      </c>
    </row>
    <row r="1223">
      <c r="F1223">
        <f>IF(DATOS!$A1223="","",DATOS!$A1223&amp;"|"&amp;DATOS!$D1223&amp;"|"&amp;DATOS!$E1223&amp;"|"&amp;DATOS!$I1223)</f>
      </c>
      <c r="G1223">
        <f>IF(DATOS!$A1223="",0,IF(CONFIG_METADATA!$B$4&lt;&gt;"OR+EX",--(DATOS!$G1223=CONFIG_METADATA!$B$4),IF(DATOS!$G1223="EX",1,IF(DATOS!$G1223="OR",--(COUNTIFS(nNIA,DATOS!$A1223,nCURSO,DATOS!$D1223,nESPEC,DATOS!$E1223,nASIG,DATOS!$I1223,nEVAL,"EX")=0),0))))</f>
      </c>
      <c r="H1223">
        <f>IF(DATOS!$G1223&lt;&gt;"EX",0,--(COUNTIFS(nNIA,DATOS!$A1223,nCURSO,DATOS!$D1223,nESPEC,DATOS!$E1223,nASIG,DATOS!$I1223,nEVAL,"OR")=0))</f>
      </c>
      <c r="I1223">
        <f>IF(DATOS!$I1223="","",IFERROR(VLOOKUP(DATOS!$I1223,CONFIG_ASIGNATURAS!$B$2:$J$91,9,FALSE()),""))</f>
      </c>
    </row>
    <row r="1224">
      <c r="F1224">
        <f>IF(DATOS!$A1224="","",DATOS!$A1224&amp;"|"&amp;DATOS!$D1224&amp;"|"&amp;DATOS!$E1224&amp;"|"&amp;DATOS!$I1224)</f>
      </c>
      <c r="G1224">
        <f>IF(DATOS!$A1224="",0,IF(CONFIG_METADATA!$B$4&lt;&gt;"OR+EX",--(DATOS!$G1224=CONFIG_METADATA!$B$4),IF(DATOS!$G1224="EX",1,IF(DATOS!$G1224="OR",--(COUNTIFS(nNIA,DATOS!$A1224,nCURSO,DATOS!$D1224,nESPEC,DATOS!$E1224,nASIG,DATOS!$I1224,nEVAL,"EX")=0),0))))</f>
      </c>
      <c r="H1224">
        <f>IF(DATOS!$G1224&lt;&gt;"EX",0,--(COUNTIFS(nNIA,DATOS!$A1224,nCURSO,DATOS!$D1224,nESPEC,DATOS!$E1224,nASIG,DATOS!$I1224,nEVAL,"OR")=0))</f>
      </c>
      <c r="I1224">
        <f>IF(DATOS!$I1224="","",IFERROR(VLOOKUP(DATOS!$I1224,CONFIG_ASIGNATURAS!$B$2:$J$91,9,FALSE()),""))</f>
      </c>
    </row>
    <row r="1225">
      <c r="F1225">
        <f>IF(DATOS!$A1225="","",DATOS!$A1225&amp;"|"&amp;DATOS!$D1225&amp;"|"&amp;DATOS!$E1225&amp;"|"&amp;DATOS!$I1225)</f>
      </c>
      <c r="G1225">
        <f>IF(DATOS!$A1225="",0,IF(CONFIG_METADATA!$B$4&lt;&gt;"OR+EX",--(DATOS!$G1225=CONFIG_METADATA!$B$4),IF(DATOS!$G1225="EX",1,IF(DATOS!$G1225="OR",--(COUNTIFS(nNIA,DATOS!$A1225,nCURSO,DATOS!$D1225,nESPEC,DATOS!$E1225,nASIG,DATOS!$I1225,nEVAL,"EX")=0),0))))</f>
      </c>
      <c r="H1225">
        <f>IF(DATOS!$G1225&lt;&gt;"EX",0,--(COUNTIFS(nNIA,DATOS!$A1225,nCURSO,DATOS!$D1225,nESPEC,DATOS!$E1225,nASIG,DATOS!$I1225,nEVAL,"OR")=0))</f>
      </c>
      <c r="I1225">
        <f>IF(DATOS!$I1225="","",IFERROR(VLOOKUP(DATOS!$I1225,CONFIG_ASIGNATURAS!$B$2:$J$91,9,FALSE()),""))</f>
      </c>
    </row>
    <row r="1226">
      <c r="F1226">
        <f>IF(DATOS!$A1226="","",DATOS!$A1226&amp;"|"&amp;DATOS!$D1226&amp;"|"&amp;DATOS!$E1226&amp;"|"&amp;DATOS!$I1226)</f>
      </c>
      <c r="G1226">
        <f>IF(DATOS!$A1226="",0,IF(CONFIG_METADATA!$B$4&lt;&gt;"OR+EX",--(DATOS!$G1226=CONFIG_METADATA!$B$4),IF(DATOS!$G1226="EX",1,IF(DATOS!$G1226="OR",--(COUNTIFS(nNIA,DATOS!$A1226,nCURSO,DATOS!$D1226,nESPEC,DATOS!$E1226,nASIG,DATOS!$I1226,nEVAL,"EX")=0),0))))</f>
      </c>
      <c r="H1226">
        <f>IF(DATOS!$G1226&lt;&gt;"EX",0,--(COUNTIFS(nNIA,DATOS!$A1226,nCURSO,DATOS!$D1226,nESPEC,DATOS!$E1226,nASIG,DATOS!$I1226,nEVAL,"OR")=0))</f>
      </c>
      <c r="I1226">
        <f>IF(DATOS!$I1226="","",IFERROR(VLOOKUP(DATOS!$I1226,CONFIG_ASIGNATURAS!$B$2:$J$91,9,FALSE()),""))</f>
      </c>
    </row>
    <row r="1227">
      <c r="F1227">
        <f>IF(DATOS!$A1227="","",DATOS!$A1227&amp;"|"&amp;DATOS!$D1227&amp;"|"&amp;DATOS!$E1227&amp;"|"&amp;DATOS!$I1227)</f>
      </c>
      <c r="G1227">
        <f>IF(DATOS!$A1227="",0,IF(CONFIG_METADATA!$B$4&lt;&gt;"OR+EX",--(DATOS!$G1227=CONFIG_METADATA!$B$4),IF(DATOS!$G1227="EX",1,IF(DATOS!$G1227="OR",--(COUNTIFS(nNIA,DATOS!$A1227,nCURSO,DATOS!$D1227,nESPEC,DATOS!$E1227,nASIG,DATOS!$I1227,nEVAL,"EX")=0),0))))</f>
      </c>
      <c r="H1227">
        <f>IF(DATOS!$G1227&lt;&gt;"EX",0,--(COUNTIFS(nNIA,DATOS!$A1227,nCURSO,DATOS!$D1227,nESPEC,DATOS!$E1227,nASIG,DATOS!$I1227,nEVAL,"OR")=0))</f>
      </c>
      <c r="I1227">
        <f>IF(DATOS!$I1227="","",IFERROR(VLOOKUP(DATOS!$I1227,CONFIG_ASIGNATURAS!$B$2:$J$91,9,FALSE()),""))</f>
      </c>
    </row>
    <row r="1228">
      <c r="F1228">
        <f>IF(DATOS!$A1228="","",DATOS!$A1228&amp;"|"&amp;DATOS!$D1228&amp;"|"&amp;DATOS!$E1228&amp;"|"&amp;DATOS!$I1228)</f>
      </c>
      <c r="G1228">
        <f>IF(DATOS!$A1228="",0,IF(CONFIG_METADATA!$B$4&lt;&gt;"OR+EX",--(DATOS!$G1228=CONFIG_METADATA!$B$4),IF(DATOS!$G1228="EX",1,IF(DATOS!$G1228="OR",--(COUNTIFS(nNIA,DATOS!$A1228,nCURSO,DATOS!$D1228,nESPEC,DATOS!$E1228,nASIG,DATOS!$I1228,nEVAL,"EX")=0),0))))</f>
      </c>
      <c r="H1228">
        <f>IF(DATOS!$G1228&lt;&gt;"EX",0,--(COUNTIFS(nNIA,DATOS!$A1228,nCURSO,DATOS!$D1228,nESPEC,DATOS!$E1228,nASIG,DATOS!$I1228,nEVAL,"OR")=0))</f>
      </c>
      <c r="I1228">
        <f>IF(DATOS!$I1228="","",IFERROR(VLOOKUP(DATOS!$I1228,CONFIG_ASIGNATURAS!$B$2:$J$91,9,FALSE()),""))</f>
      </c>
    </row>
    <row r="1229">
      <c r="F1229">
        <f>IF(DATOS!$A1229="","",DATOS!$A1229&amp;"|"&amp;DATOS!$D1229&amp;"|"&amp;DATOS!$E1229&amp;"|"&amp;DATOS!$I1229)</f>
      </c>
      <c r="G1229">
        <f>IF(DATOS!$A1229="",0,IF(CONFIG_METADATA!$B$4&lt;&gt;"OR+EX",--(DATOS!$G1229=CONFIG_METADATA!$B$4),IF(DATOS!$G1229="EX",1,IF(DATOS!$G1229="OR",--(COUNTIFS(nNIA,DATOS!$A1229,nCURSO,DATOS!$D1229,nESPEC,DATOS!$E1229,nASIG,DATOS!$I1229,nEVAL,"EX")=0),0))))</f>
      </c>
      <c r="H1229">
        <f>IF(DATOS!$G1229&lt;&gt;"EX",0,--(COUNTIFS(nNIA,DATOS!$A1229,nCURSO,DATOS!$D1229,nESPEC,DATOS!$E1229,nASIG,DATOS!$I1229,nEVAL,"OR")=0))</f>
      </c>
      <c r="I1229">
        <f>IF(DATOS!$I1229="","",IFERROR(VLOOKUP(DATOS!$I1229,CONFIG_ASIGNATURAS!$B$2:$J$91,9,FALSE()),""))</f>
      </c>
    </row>
    <row r="1230">
      <c r="F1230">
        <f>IF(DATOS!$A1230="","",DATOS!$A1230&amp;"|"&amp;DATOS!$D1230&amp;"|"&amp;DATOS!$E1230&amp;"|"&amp;DATOS!$I1230)</f>
      </c>
      <c r="G1230">
        <f>IF(DATOS!$A1230="",0,IF(CONFIG_METADATA!$B$4&lt;&gt;"OR+EX",--(DATOS!$G1230=CONFIG_METADATA!$B$4),IF(DATOS!$G1230="EX",1,IF(DATOS!$G1230="OR",--(COUNTIFS(nNIA,DATOS!$A1230,nCURSO,DATOS!$D1230,nESPEC,DATOS!$E1230,nASIG,DATOS!$I1230,nEVAL,"EX")=0),0))))</f>
      </c>
      <c r="H1230">
        <f>IF(DATOS!$G1230&lt;&gt;"EX",0,--(COUNTIFS(nNIA,DATOS!$A1230,nCURSO,DATOS!$D1230,nESPEC,DATOS!$E1230,nASIG,DATOS!$I1230,nEVAL,"OR")=0))</f>
      </c>
      <c r="I1230">
        <f>IF(DATOS!$I1230="","",IFERROR(VLOOKUP(DATOS!$I1230,CONFIG_ASIGNATURAS!$B$2:$J$91,9,FALSE()),""))</f>
      </c>
    </row>
    <row r="1231">
      <c r="F1231">
        <f>IF(DATOS!$A1231="","",DATOS!$A1231&amp;"|"&amp;DATOS!$D1231&amp;"|"&amp;DATOS!$E1231&amp;"|"&amp;DATOS!$I1231)</f>
      </c>
      <c r="G1231">
        <f>IF(DATOS!$A1231="",0,IF(CONFIG_METADATA!$B$4&lt;&gt;"OR+EX",--(DATOS!$G1231=CONFIG_METADATA!$B$4),IF(DATOS!$G1231="EX",1,IF(DATOS!$G1231="OR",--(COUNTIFS(nNIA,DATOS!$A1231,nCURSO,DATOS!$D1231,nESPEC,DATOS!$E1231,nASIG,DATOS!$I1231,nEVAL,"EX")=0),0))))</f>
      </c>
      <c r="H1231">
        <f>IF(DATOS!$G1231&lt;&gt;"EX",0,--(COUNTIFS(nNIA,DATOS!$A1231,nCURSO,DATOS!$D1231,nESPEC,DATOS!$E1231,nASIG,DATOS!$I1231,nEVAL,"OR")=0))</f>
      </c>
      <c r="I1231">
        <f>IF(DATOS!$I1231="","",IFERROR(VLOOKUP(DATOS!$I1231,CONFIG_ASIGNATURAS!$B$2:$J$91,9,FALSE()),""))</f>
      </c>
    </row>
    <row r="1232">
      <c r="F1232">
        <f>IF(DATOS!$A1232="","",DATOS!$A1232&amp;"|"&amp;DATOS!$D1232&amp;"|"&amp;DATOS!$E1232&amp;"|"&amp;DATOS!$I1232)</f>
      </c>
      <c r="G1232">
        <f>IF(DATOS!$A1232="",0,IF(CONFIG_METADATA!$B$4&lt;&gt;"OR+EX",--(DATOS!$G1232=CONFIG_METADATA!$B$4),IF(DATOS!$G1232="EX",1,IF(DATOS!$G1232="OR",--(COUNTIFS(nNIA,DATOS!$A1232,nCURSO,DATOS!$D1232,nESPEC,DATOS!$E1232,nASIG,DATOS!$I1232,nEVAL,"EX")=0),0))))</f>
      </c>
      <c r="H1232">
        <f>IF(DATOS!$G1232&lt;&gt;"EX",0,--(COUNTIFS(nNIA,DATOS!$A1232,nCURSO,DATOS!$D1232,nESPEC,DATOS!$E1232,nASIG,DATOS!$I1232,nEVAL,"OR")=0))</f>
      </c>
      <c r="I1232">
        <f>IF(DATOS!$I1232="","",IFERROR(VLOOKUP(DATOS!$I1232,CONFIG_ASIGNATURAS!$B$2:$J$91,9,FALSE()),""))</f>
      </c>
    </row>
    <row r="1233">
      <c r="F1233">
        <f>IF(DATOS!$A1233="","",DATOS!$A1233&amp;"|"&amp;DATOS!$D1233&amp;"|"&amp;DATOS!$E1233&amp;"|"&amp;DATOS!$I1233)</f>
      </c>
      <c r="G1233">
        <f>IF(DATOS!$A1233="",0,IF(CONFIG_METADATA!$B$4&lt;&gt;"OR+EX",--(DATOS!$G1233=CONFIG_METADATA!$B$4),IF(DATOS!$G1233="EX",1,IF(DATOS!$G1233="OR",--(COUNTIFS(nNIA,DATOS!$A1233,nCURSO,DATOS!$D1233,nESPEC,DATOS!$E1233,nASIG,DATOS!$I1233,nEVAL,"EX")=0),0))))</f>
      </c>
      <c r="H1233">
        <f>IF(DATOS!$G1233&lt;&gt;"EX",0,--(COUNTIFS(nNIA,DATOS!$A1233,nCURSO,DATOS!$D1233,nESPEC,DATOS!$E1233,nASIG,DATOS!$I1233,nEVAL,"OR")=0))</f>
      </c>
      <c r="I1233">
        <f>IF(DATOS!$I1233="","",IFERROR(VLOOKUP(DATOS!$I1233,CONFIG_ASIGNATURAS!$B$2:$J$91,9,FALSE()),""))</f>
      </c>
    </row>
    <row r="1234">
      <c r="F1234">
        <f>IF(DATOS!$A1234="","",DATOS!$A1234&amp;"|"&amp;DATOS!$D1234&amp;"|"&amp;DATOS!$E1234&amp;"|"&amp;DATOS!$I1234)</f>
      </c>
      <c r="G1234">
        <f>IF(DATOS!$A1234="",0,IF(CONFIG_METADATA!$B$4&lt;&gt;"OR+EX",--(DATOS!$G1234=CONFIG_METADATA!$B$4),IF(DATOS!$G1234="EX",1,IF(DATOS!$G1234="OR",--(COUNTIFS(nNIA,DATOS!$A1234,nCURSO,DATOS!$D1234,nESPEC,DATOS!$E1234,nASIG,DATOS!$I1234,nEVAL,"EX")=0),0))))</f>
      </c>
      <c r="H1234">
        <f>IF(DATOS!$G1234&lt;&gt;"EX",0,--(COUNTIFS(nNIA,DATOS!$A1234,nCURSO,DATOS!$D1234,nESPEC,DATOS!$E1234,nASIG,DATOS!$I1234,nEVAL,"OR")=0))</f>
      </c>
      <c r="I1234">
        <f>IF(DATOS!$I1234="","",IFERROR(VLOOKUP(DATOS!$I1234,CONFIG_ASIGNATURAS!$B$2:$J$91,9,FALSE()),""))</f>
      </c>
    </row>
    <row r="1235">
      <c r="F1235">
        <f>IF(DATOS!$A1235="","",DATOS!$A1235&amp;"|"&amp;DATOS!$D1235&amp;"|"&amp;DATOS!$E1235&amp;"|"&amp;DATOS!$I1235)</f>
      </c>
      <c r="G1235">
        <f>IF(DATOS!$A1235="",0,IF(CONFIG_METADATA!$B$4&lt;&gt;"OR+EX",--(DATOS!$G1235=CONFIG_METADATA!$B$4),IF(DATOS!$G1235="EX",1,IF(DATOS!$G1235="OR",--(COUNTIFS(nNIA,DATOS!$A1235,nCURSO,DATOS!$D1235,nESPEC,DATOS!$E1235,nASIG,DATOS!$I1235,nEVAL,"EX")=0),0))))</f>
      </c>
      <c r="H1235">
        <f>IF(DATOS!$G1235&lt;&gt;"EX",0,--(COUNTIFS(nNIA,DATOS!$A1235,nCURSO,DATOS!$D1235,nESPEC,DATOS!$E1235,nASIG,DATOS!$I1235,nEVAL,"OR")=0))</f>
      </c>
      <c r="I1235">
        <f>IF(DATOS!$I1235="","",IFERROR(VLOOKUP(DATOS!$I1235,CONFIG_ASIGNATURAS!$B$2:$J$91,9,FALSE()),""))</f>
      </c>
    </row>
    <row r="1236">
      <c r="F1236">
        <f>IF(DATOS!$A1236="","",DATOS!$A1236&amp;"|"&amp;DATOS!$D1236&amp;"|"&amp;DATOS!$E1236&amp;"|"&amp;DATOS!$I1236)</f>
      </c>
      <c r="G1236">
        <f>IF(DATOS!$A1236="",0,IF(CONFIG_METADATA!$B$4&lt;&gt;"OR+EX",--(DATOS!$G1236=CONFIG_METADATA!$B$4),IF(DATOS!$G1236="EX",1,IF(DATOS!$G1236="OR",--(COUNTIFS(nNIA,DATOS!$A1236,nCURSO,DATOS!$D1236,nESPEC,DATOS!$E1236,nASIG,DATOS!$I1236,nEVAL,"EX")=0),0))))</f>
      </c>
      <c r="H1236">
        <f>IF(DATOS!$G1236&lt;&gt;"EX",0,--(COUNTIFS(nNIA,DATOS!$A1236,nCURSO,DATOS!$D1236,nESPEC,DATOS!$E1236,nASIG,DATOS!$I1236,nEVAL,"OR")=0))</f>
      </c>
      <c r="I1236">
        <f>IF(DATOS!$I1236="","",IFERROR(VLOOKUP(DATOS!$I1236,CONFIG_ASIGNATURAS!$B$2:$J$91,9,FALSE()),""))</f>
      </c>
    </row>
    <row r="1237">
      <c r="F1237">
        <f>IF(DATOS!$A1237="","",DATOS!$A1237&amp;"|"&amp;DATOS!$D1237&amp;"|"&amp;DATOS!$E1237&amp;"|"&amp;DATOS!$I1237)</f>
      </c>
      <c r="G1237">
        <f>IF(DATOS!$A1237="",0,IF(CONFIG_METADATA!$B$4&lt;&gt;"OR+EX",--(DATOS!$G1237=CONFIG_METADATA!$B$4),IF(DATOS!$G1237="EX",1,IF(DATOS!$G1237="OR",--(COUNTIFS(nNIA,DATOS!$A1237,nCURSO,DATOS!$D1237,nESPEC,DATOS!$E1237,nASIG,DATOS!$I1237,nEVAL,"EX")=0),0))))</f>
      </c>
      <c r="H1237">
        <f>IF(DATOS!$G1237&lt;&gt;"EX",0,--(COUNTIFS(nNIA,DATOS!$A1237,nCURSO,DATOS!$D1237,nESPEC,DATOS!$E1237,nASIG,DATOS!$I1237,nEVAL,"OR")=0))</f>
      </c>
      <c r="I1237">
        <f>IF(DATOS!$I1237="","",IFERROR(VLOOKUP(DATOS!$I1237,CONFIG_ASIGNATURAS!$B$2:$J$91,9,FALSE()),""))</f>
      </c>
    </row>
    <row r="1238">
      <c r="F1238">
        <f>IF(DATOS!$A1238="","",DATOS!$A1238&amp;"|"&amp;DATOS!$D1238&amp;"|"&amp;DATOS!$E1238&amp;"|"&amp;DATOS!$I1238)</f>
      </c>
      <c r="G1238">
        <f>IF(DATOS!$A1238="",0,IF(CONFIG_METADATA!$B$4&lt;&gt;"OR+EX",--(DATOS!$G1238=CONFIG_METADATA!$B$4),IF(DATOS!$G1238="EX",1,IF(DATOS!$G1238="OR",--(COUNTIFS(nNIA,DATOS!$A1238,nCURSO,DATOS!$D1238,nESPEC,DATOS!$E1238,nASIG,DATOS!$I1238,nEVAL,"EX")=0),0))))</f>
      </c>
      <c r="H1238">
        <f>IF(DATOS!$G1238&lt;&gt;"EX",0,--(COUNTIFS(nNIA,DATOS!$A1238,nCURSO,DATOS!$D1238,nESPEC,DATOS!$E1238,nASIG,DATOS!$I1238,nEVAL,"OR")=0))</f>
      </c>
      <c r="I1238">
        <f>IF(DATOS!$I1238="","",IFERROR(VLOOKUP(DATOS!$I1238,CONFIG_ASIGNATURAS!$B$2:$J$91,9,FALSE()),""))</f>
      </c>
    </row>
    <row r="1239">
      <c r="F1239">
        <f>IF(DATOS!$A1239="","",DATOS!$A1239&amp;"|"&amp;DATOS!$D1239&amp;"|"&amp;DATOS!$E1239&amp;"|"&amp;DATOS!$I1239)</f>
      </c>
      <c r="G1239">
        <f>IF(DATOS!$A1239="",0,IF(CONFIG_METADATA!$B$4&lt;&gt;"OR+EX",--(DATOS!$G1239=CONFIG_METADATA!$B$4),IF(DATOS!$G1239="EX",1,IF(DATOS!$G1239="OR",--(COUNTIFS(nNIA,DATOS!$A1239,nCURSO,DATOS!$D1239,nESPEC,DATOS!$E1239,nASIG,DATOS!$I1239,nEVAL,"EX")=0),0))))</f>
      </c>
      <c r="H1239">
        <f>IF(DATOS!$G1239&lt;&gt;"EX",0,--(COUNTIFS(nNIA,DATOS!$A1239,nCURSO,DATOS!$D1239,nESPEC,DATOS!$E1239,nASIG,DATOS!$I1239,nEVAL,"OR")=0))</f>
      </c>
      <c r="I1239">
        <f>IF(DATOS!$I1239="","",IFERROR(VLOOKUP(DATOS!$I1239,CONFIG_ASIGNATURAS!$B$2:$J$91,9,FALSE()),""))</f>
      </c>
    </row>
    <row r="1240">
      <c r="F1240">
        <f>IF(DATOS!$A1240="","",DATOS!$A1240&amp;"|"&amp;DATOS!$D1240&amp;"|"&amp;DATOS!$E1240&amp;"|"&amp;DATOS!$I1240)</f>
      </c>
      <c r="G1240">
        <f>IF(DATOS!$A1240="",0,IF(CONFIG_METADATA!$B$4&lt;&gt;"OR+EX",--(DATOS!$G1240=CONFIG_METADATA!$B$4),IF(DATOS!$G1240="EX",1,IF(DATOS!$G1240="OR",--(COUNTIFS(nNIA,DATOS!$A1240,nCURSO,DATOS!$D1240,nESPEC,DATOS!$E1240,nASIG,DATOS!$I1240,nEVAL,"EX")=0),0))))</f>
      </c>
      <c r="H1240">
        <f>IF(DATOS!$G1240&lt;&gt;"EX",0,--(COUNTIFS(nNIA,DATOS!$A1240,nCURSO,DATOS!$D1240,nESPEC,DATOS!$E1240,nASIG,DATOS!$I1240,nEVAL,"OR")=0))</f>
      </c>
      <c r="I1240">
        <f>IF(DATOS!$I1240="","",IFERROR(VLOOKUP(DATOS!$I1240,CONFIG_ASIGNATURAS!$B$2:$J$91,9,FALSE()),""))</f>
      </c>
    </row>
    <row r="1241">
      <c r="F1241">
        <f>IF(DATOS!$A1241="","",DATOS!$A1241&amp;"|"&amp;DATOS!$D1241&amp;"|"&amp;DATOS!$E1241&amp;"|"&amp;DATOS!$I1241)</f>
      </c>
      <c r="G1241">
        <f>IF(DATOS!$A1241="",0,IF(CONFIG_METADATA!$B$4&lt;&gt;"OR+EX",--(DATOS!$G1241=CONFIG_METADATA!$B$4),IF(DATOS!$G1241="EX",1,IF(DATOS!$G1241="OR",--(COUNTIFS(nNIA,DATOS!$A1241,nCURSO,DATOS!$D1241,nESPEC,DATOS!$E1241,nASIG,DATOS!$I1241,nEVAL,"EX")=0),0))))</f>
      </c>
      <c r="H1241">
        <f>IF(DATOS!$G1241&lt;&gt;"EX",0,--(COUNTIFS(nNIA,DATOS!$A1241,nCURSO,DATOS!$D1241,nESPEC,DATOS!$E1241,nASIG,DATOS!$I1241,nEVAL,"OR")=0))</f>
      </c>
      <c r="I1241">
        <f>IF(DATOS!$I1241="","",IFERROR(VLOOKUP(DATOS!$I1241,CONFIG_ASIGNATURAS!$B$2:$J$91,9,FALSE()),""))</f>
      </c>
    </row>
    <row r="1242">
      <c r="F1242">
        <f>IF(DATOS!$A1242="","",DATOS!$A1242&amp;"|"&amp;DATOS!$D1242&amp;"|"&amp;DATOS!$E1242&amp;"|"&amp;DATOS!$I1242)</f>
      </c>
      <c r="G1242">
        <f>IF(DATOS!$A1242="",0,IF(CONFIG_METADATA!$B$4&lt;&gt;"OR+EX",--(DATOS!$G1242=CONFIG_METADATA!$B$4),IF(DATOS!$G1242="EX",1,IF(DATOS!$G1242="OR",--(COUNTIFS(nNIA,DATOS!$A1242,nCURSO,DATOS!$D1242,nESPEC,DATOS!$E1242,nASIG,DATOS!$I1242,nEVAL,"EX")=0),0))))</f>
      </c>
      <c r="H1242">
        <f>IF(DATOS!$G1242&lt;&gt;"EX",0,--(COUNTIFS(nNIA,DATOS!$A1242,nCURSO,DATOS!$D1242,nESPEC,DATOS!$E1242,nASIG,DATOS!$I1242,nEVAL,"OR")=0))</f>
      </c>
      <c r="I1242">
        <f>IF(DATOS!$I1242="","",IFERROR(VLOOKUP(DATOS!$I1242,CONFIG_ASIGNATURAS!$B$2:$J$91,9,FALSE()),""))</f>
      </c>
    </row>
    <row r="1243">
      <c r="F1243">
        <f>IF(DATOS!$A1243="","",DATOS!$A1243&amp;"|"&amp;DATOS!$D1243&amp;"|"&amp;DATOS!$E1243&amp;"|"&amp;DATOS!$I1243)</f>
      </c>
      <c r="G1243">
        <f>IF(DATOS!$A1243="",0,IF(CONFIG_METADATA!$B$4&lt;&gt;"OR+EX",--(DATOS!$G1243=CONFIG_METADATA!$B$4),IF(DATOS!$G1243="EX",1,IF(DATOS!$G1243="OR",--(COUNTIFS(nNIA,DATOS!$A1243,nCURSO,DATOS!$D1243,nESPEC,DATOS!$E1243,nASIG,DATOS!$I1243,nEVAL,"EX")=0),0))))</f>
      </c>
      <c r="H1243">
        <f>IF(DATOS!$G1243&lt;&gt;"EX",0,--(COUNTIFS(nNIA,DATOS!$A1243,nCURSO,DATOS!$D1243,nESPEC,DATOS!$E1243,nASIG,DATOS!$I1243,nEVAL,"OR")=0))</f>
      </c>
      <c r="I1243">
        <f>IF(DATOS!$I1243="","",IFERROR(VLOOKUP(DATOS!$I1243,CONFIG_ASIGNATURAS!$B$2:$J$91,9,FALSE()),""))</f>
      </c>
    </row>
    <row r="1244">
      <c r="F1244">
        <f>IF(DATOS!$A1244="","",DATOS!$A1244&amp;"|"&amp;DATOS!$D1244&amp;"|"&amp;DATOS!$E1244&amp;"|"&amp;DATOS!$I1244)</f>
      </c>
      <c r="G1244">
        <f>IF(DATOS!$A1244="",0,IF(CONFIG_METADATA!$B$4&lt;&gt;"OR+EX",--(DATOS!$G1244=CONFIG_METADATA!$B$4),IF(DATOS!$G1244="EX",1,IF(DATOS!$G1244="OR",--(COUNTIFS(nNIA,DATOS!$A1244,nCURSO,DATOS!$D1244,nESPEC,DATOS!$E1244,nASIG,DATOS!$I1244,nEVAL,"EX")=0),0))))</f>
      </c>
      <c r="H1244">
        <f>IF(DATOS!$G1244&lt;&gt;"EX",0,--(COUNTIFS(nNIA,DATOS!$A1244,nCURSO,DATOS!$D1244,nESPEC,DATOS!$E1244,nASIG,DATOS!$I1244,nEVAL,"OR")=0))</f>
      </c>
      <c r="I1244">
        <f>IF(DATOS!$I1244="","",IFERROR(VLOOKUP(DATOS!$I1244,CONFIG_ASIGNATURAS!$B$2:$J$91,9,FALSE()),""))</f>
      </c>
    </row>
    <row r="1245">
      <c r="F1245">
        <f>IF(DATOS!$A1245="","",DATOS!$A1245&amp;"|"&amp;DATOS!$D1245&amp;"|"&amp;DATOS!$E1245&amp;"|"&amp;DATOS!$I1245)</f>
      </c>
      <c r="G1245">
        <f>IF(DATOS!$A1245="",0,IF(CONFIG_METADATA!$B$4&lt;&gt;"OR+EX",--(DATOS!$G1245=CONFIG_METADATA!$B$4),IF(DATOS!$G1245="EX",1,IF(DATOS!$G1245="OR",--(COUNTIFS(nNIA,DATOS!$A1245,nCURSO,DATOS!$D1245,nESPEC,DATOS!$E1245,nASIG,DATOS!$I1245,nEVAL,"EX")=0),0))))</f>
      </c>
      <c r="H1245">
        <f>IF(DATOS!$G1245&lt;&gt;"EX",0,--(COUNTIFS(nNIA,DATOS!$A1245,nCURSO,DATOS!$D1245,nESPEC,DATOS!$E1245,nASIG,DATOS!$I1245,nEVAL,"OR")=0))</f>
      </c>
      <c r="I1245">
        <f>IF(DATOS!$I1245="","",IFERROR(VLOOKUP(DATOS!$I1245,CONFIG_ASIGNATURAS!$B$2:$J$91,9,FALSE()),""))</f>
      </c>
    </row>
    <row r="1246">
      <c r="F1246">
        <f>IF(DATOS!$A1246="","",DATOS!$A1246&amp;"|"&amp;DATOS!$D1246&amp;"|"&amp;DATOS!$E1246&amp;"|"&amp;DATOS!$I1246)</f>
      </c>
      <c r="G1246">
        <f>IF(DATOS!$A1246="",0,IF(CONFIG_METADATA!$B$4&lt;&gt;"OR+EX",--(DATOS!$G1246=CONFIG_METADATA!$B$4),IF(DATOS!$G1246="EX",1,IF(DATOS!$G1246="OR",--(COUNTIFS(nNIA,DATOS!$A1246,nCURSO,DATOS!$D1246,nESPEC,DATOS!$E1246,nASIG,DATOS!$I1246,nEVAL,"EX")=0),0))))</f>
      </c>
      <c r="H1246">
        <f>IF(DATOS!$G1246&lt;&gt;"EX",0,--(COUNTIFS(nNIA,DATOS!$A1246,nCURSO,DATOS!$D1246,nESPEC,DATOS!$E1246,nASIG,DATOS!$I1246,nEVAL,"OR")=0))</f>
      </c>
      <c r="I1246">
        <f>IF(DATOS!$I1246="","",IFERROR(VLOOKUP(DATOS!$I1246,CONFIG_ASIGNATURAS!$B$2:$J$91,9,FALSE()),""))</f>
      </c>
    </row>
    <row r="1247">
      <c r="F1247">
        <f>IF(DATOS!$A1247="","",DATOS!$A1247&amp;"|"&amp;DATOS!$D1247&amp;"|"&amp;DATOS!$E1247&amp;"|"&amp;DATOS!$I1247)</f>
      </c>
      <c r="G1247">
        <f>IF(DATOS!$A1247="",0,IF(CONFIG_METADATA!$B$4&lt;&gt;"OR+EX",--(DATOS!$G1247=CONFIG_METADATA!$B$4),IF(DATOS!$G1247="EX",1,IF(DATOS!$G1247="OR",--(COUNTIFS(nNIA,DATOS!$A1247,nCURSO,DATOS!$D1247,nESPEC,DATOS!$E1247,nASIG,DATOS!$I1247,nEVAL,"EX")=0),0))))</f>
      </c>
      <c r="H1247">
        <f>IF(DATOS!$G1247&lt;&gt;"EX",0,--(COUNTIFS(nNIA,DATOS!$A1247,nCURSO,DATOS!$D1247,nESPEC,DATOS!$E1247,nASIG,DATOS!$I1247,nEVAL,"OR")=0))</f>
      </c>
      <c r="I1247">
        <f>IF(DATOS!$I1247="","",IFERROR(VLOOKUP(DATOS!$I1247,CONFIG_ASIGNATURAS!$B$2:$J$91,9,FALSE()),""))</f>
      </c>
    </row>
    <row r="1248">
      <c r="F1248">
        <f>IF(DATOS!$A1248="","",DATOS!$A1248&amp;"|"&amp;DATOS!$D1248&amp;"|"&amp;DATOS!$E1248&amp;"|"&amp;DATOS!$I1248)</f>
      </c>
      <c r="G1248">
        <f>IF(DATOS!$A1248="",0,IF(CONFIG_METADATA!$B$4&lt;&gt;"OR+EX",--(DATOS!$G1248=CONFIG_METADATA!$B$4),IF(DATOS!$G1248="EX",1,IF(DATOS!$G1248="OR",--(COUNTIFS(nNIA,DATOS!$A1248,nCURSO,DATOS!$D1248,nESPEC,DATOS!$E1248,nASIG,DATOS!$I1248,nEVAL,"EX")=0),0))))</f>
      </c>
      <c r="H1248">
        <f>IF(DATOS!$G1248&lt;&gt;"EX",0,--(COUNTIFS(nNIA,DATOS!$A1248,nCURSO,DATOS!$D1248,nESPEC,DATOS!$E1248,nASIG,DATOS!$I1248,nEVAL,"OR")=0))</f>
      </c>
      <c r="I1248">
        <f>IF(DATOS!$I1248="","",IFERROR(VLOOKUP(DATOS!$I1248,CONFIG_ASIGNATURAS!$B$2:$J$91,9,FALSE()),""))</f>
      </c>
    </row>
    <row r="1249">
      <c r="F1249">
        <f>IF(DATOS!$A1249="","",DATOS!$A1249&amp;"|"&amp;DATOS!$D1249&amp;"|"&amp;DATOS!$E1249&amp;"|"&amp;DATOS!$I1249)</f>
      </c>
      <c r="G1249">
        <f>IF(DATOS!$A1249="",0,IF(CONFIG_METADATA!$B$4&lt;&gt;"OR+EX",--(DATOS!$G1249=CONFIG_METADATA!$B$4),IF(DATOS!$G1249="EX",1,IF(DATOS!$G1249="OR",--(COUNTIFS(nNIA,DATOS!$A1249,nCURSO,DATOS!$D1249,nESPEC,DATOS!$E1249,nASIG,DATOS!$I1249,nEVAL,"EX")=0),0))))</f>
      </c>
      <c r="H1249">
        <f>IF(DATOS!$G1249&lt;&gt;"EX",0,--(COUNTIFS(nNIA,DATOS!$A1249,nCURSO,DATOS!$D1249,nESPEC,DATOS!$E1249,nASIG,DATOS!$I1249,nEVAL,"OR")=0))</f>
      </c>
      <c r="I1249">
        <f>IF(DATOS!$I1249="","",IFERROR(VLOOKUP(DATOS!$I1249,CONFIG_ASIGNATURAS!$B$2:$J$91,9,FALSE()),""))</f>
      </c>
    </row>
    <row r="1250">
      <c r="F1250">
        <f>IF(DATOS!$A1250="","",DATOS!$A1250&amp;"|"&amp;DATOS!$D1250&amp;"|"&amp;DATOS!$E1250&amp;"|"&amp;DATOS!$I1250)</f>
      </c>
      <c r="G1250">
        <f>IF(DATOS!$A1250="",0,IF(CONFIG_METADATA!$B$4&lt;&gt;"OR+EX",--(DATOS!$G1250=CONFIG_METADATA!$B$4),IF(DATOS!$G1250="EX",1,IF(DATOS!$G1250="OR",--(COUNTIFS(nNIA,DATOS!$A1250,nCURSO,DATOS!$D1250,nESPEC,DATOS!$E1250,nASIG,DATOS!$I1250,nEVAL,"EX")=0),0))))</f>
      </c>
      <c r="H1250">
        <f>IF(DATOS!$G1250&lt;&gt;"EX",0,--(COUNTIFS(nNIA,DATOS!$A1250,nCURSO,DATOS!$D1250,nESPEC,DATOS!$E1250,nASIG,DATOS!$I1250,nEVAL,"OR")=0))</f>
      </c>
      <c r="I1250">
        <f>IF(DATOS!$I1250="","",IFERROR(VLOOKUP(DATOS!$I1250,CONFIG_ASIGNATURAS!$B$2:$J$91,9,FALSE()),""))</f>
      </c>
    </row>
    <row r="1251">
      <c r="F1251">
        <f>IF(DATOS!$A1251="","",DATOS!$A1251&amp;"|"&amp;DATOS!$D1251&amp;"|"&amp;DATOS!$E1251&amp;"|"&amp;DATOS!$I1251)</f>
      </c>
      <c r="G1251">
        <f>IF(DATOS!$A1251="",0,IF(CONFIG_METADATA!$B$4&lt;&gt;"OR+EX",--(DATOS!$G1251=CONFIG_METADATA!$B$4),IF(DATOS!$G1251="EX",1,IF(DATOS!$G1251="OR",--(COUNTIFS(nNIA,DATOS!$A1251,nCURSO,DATOS!$D1251,nESPEC,DATOS!$E1251,nASIG,DATOS!$I1251,nEVAL,"EX")=0),0))))</f>
      </c>
      <c r="H1251">
        <f>IF(DATOS!$G1251&lt;&gt;"EX",0,--(COUNTIFS(nNIA,DATOS!$A1251,nCURSO,DATOS!$D1251,nESPEC,DATOS!$E1251,nASIG,DATOS!$I1251,nEVAL,"OR")=0))</f>
      </c>
      <c r="I1251">
        <f>IF(DATOS!$I1251="","",IFERROR(VLOOKUP(DATOS!$I1251,CONFIG_ASIGNATURAS!$B$2:$J$91,9,FALSE()),""))</f>
      </c>
    </row>
    <row r="1252">
      <c r="F1252">
        <f>IF(DATOS!$A1252="","",DATOS!$A1252&amp;"|"&amp;DATOS!$D1252&amp;"|"&amp;DATOS!$E1252&amp;"|"&amp;DATOS!$I1252)</f>
      </c>
      <c r="G1252">
        <f>IF(DATOS!$A1252="",0,IF(CONFIG_METADATA!$B$4&lt;&gt;"OR+EX",--(DATOS!$G1252=CONFIG_METADATA!$B$4),IF(DATOS!$G1252="EX",1,IF(DATOS!$G1252="OR",--(COUNTIFS(nNIA,DATOS!$A1252,nCURSO,DATOS!$D1252,nESPEC,DATOS!$E1252,nASIG,DATOS!$I1252,nEVAL,"EX")=0),0))))</f>
      </c>
      <c r="H1252">
        <f>IF(DATOS!$G1252&lt;&gt;"EX",0,--(COUNTIFS(nNIA,DATOS!$A1252,nCURSO,DATOS!$D1252,nESPEC,DATOS!$E1252,nASIG,DATOS!$I1252,nEVAL,"OR")=0))</f>
      </c>
      <c r="I1252">
        <f>IF(DATOS!$I1252="","",IFERROR(VLOOKUP(DATOS!$I1252,CONFIG_ASIGNATURAS!$B$2:$J$91,9,FALSE()),""))</f>
      </c>
    </row>
    <row r="1253">
      <c r="F1253">
        <f>IF(DATOS!$A1253="","",DATOS!$A1253&amp;"|"&amp;DATOS!$D1253&amp;"|"&amp;DATOS!$E1253&amp;"|"&amp;DATOS!$I1253)</f>
      </c>
      <c r="G1253">
        <f>IF(DATOS!$A1253="",0,IF(CONFIG_METADATA!$B$4&lt;&gt;"OR+EX",--(DATOS!$G1253=CONFIG_METADATA!$B$4),IF(DATOS!$G1253="EX",1,IF(DATOS!$G1253="OR",--(COUNTIFS(nNIA,DATOS!$A1253,nCURSO,DATOS!$D1253,nESPEC,DATOS!$E1253,nASIG,DATOS!$I1253,nEVAL,"EX")=0),0))))</f>
      </c>
      <c r="H1253">
        <f>IF(DATOS!$G1253&lt;&gt;"EX",0,--(COUNTIFS(nNIA,DATOS!$A1253,nCURSO,DATOS!$D1253,nESPEC,DATOS!$E1253,nASIG,DATOS!$I1253,nEVAL,"OR")=0))</f>
      </c>
      <c r="I1253">
        <f>IF(DATOS!$I1253="","",IFERROR(VLOOKUP(DATOS!$I1253,CONFIG_ASIGNATURAS!$B$2:$J$91,9,FALSE()),""))</f>
      </c>
    </row>
    <row r="1254">
      <c r="F1254">
        <f>IF(DATOS!$A1254="","",DATOS!$A1254&amp;"|"&amp;DATOS!$D1254&amp;"|"&amp;DATOS!$E1254&amp;"|"&amp;DATOS!$I1254)</f>
      </c>
      <c r="G1254">
        <f>IF(DATOS!$A1254="",0,IF(CONFIG_METADATA!$B$4&lt;&gt;"OR+EX",--(DATOS!$G1254=CONFIG_METADATA!$B$4),IF(DATOS!$G1254="EX",1,IF(DATOS!$G1254="OR",--(COUNTIFS(nNIA,DATOS!$A1254,nCURSO,DATOS!$D1254,nESPEC,DATOS!$E1254,nASIG,DATOS!$I1254,nEVAL,"EX")=0),0))))</f>
      </c>
      <c r="H1254">
        <f>IF(DATOS!$G1254&lt;&gt;"EX",0,--(COUNTIFS(nNIA,DATOS!$A1254,nCURSO,DATOS!$D1254,nESPEC,DATOS!$E1254,nASIG,DATOS!$I1254,nEVAL,"OR")=0))</f>
      </c>
      <c r="I1254">
        <f>IF(DATOS!$I1254="","",IFERROR(VLOOKUP(DATOS!$I1254,CONFIG_ASIGNATURAS!$B$2:$J$91,9,FALSE()),""))</f>
      </c>
    </row>
    <row r="1255">
      <c r="F1255">
        <f>IF(DATOS!$A1255="","",DATOS!$A1255&amp;"|"&amp;DATOS!$D1255&amp;"|"&amp;DATOS!$E1255&amp;"|"&amp;DATOS!$I1255)</f>
      </c>
      <c r="G1255">
        <f>IF(DATOS!$A1255="",0,IF(CONFIG_METADATA!$B$4&lt;&gt;"OR+EX",--(DATOS!$G1255=CONFIG_METADATA!$B$4),IF(DATOS!$G1255="EX",1,IF(DATOS!$G1255="OR",--(COUNTIFS(nNIA,DATOS!$A1255,nCURSO,DATOS!$D1255,nESPEC,DATOS!$E1255,nASIG,DATOS!$I1255,nEVAL,"EX")=0),0))))</f>
      </c>
      <c r="H1255">
        <f>IF(DATOS!$G1255&lt;&gt;"EX",0,--(COUNTIFS(nNIA,DATOS!$A1255,nCURSO,DATOS!$D1255,nESPEC,DATOS!$E1255,nASIG,DATOS!$I1255,nEVAL,"OR")=0))</f>
      </c>
      <c r="I1255">
        <f>IF(DATOS!$I1255="","",IFERROR(VLOOKUP(DATOS!$I1255,CONFIG_ASIGNATURAS!$B$2:$J$91,9,FALSE()),""))</f>
      </c>
    </row>
    <row r="1256">
      <c r="F1256">
        <f>IF(DATOS!$A1256="","",DATOS!$A1256&amp;"|"&amp;DATOS!$D1256&amp;"|"&amp;DATOS!$E1256&amp;"|"&amp;DATOS!$I1256)</f>
      </c>
      <c r="G1256">
        <f>IF(DATOS!$A1256="",0,IF(CONFIG_METADATA!$B$4&lt;&gt;"OR+EX",--(DATOS!$G1256=CONFIG_METADATA!$B$4),IF(DATOS!$G1256="EX",1,IF(DATOS!$G1256="OR",--(COUNTIFS(nNIA,DATOS!$A1256,nCURSO,DATOS!$D1256,nESPEC,DATOS!$E1256,nASIG,DATOS!$I1256,nEVAL,"EX")=0),0))))</f>
      </c>
      <c r="H1256">
        <f>IF(DATOS!$G1256&lt;&gt;"EX",0,--(COUNTIFS(nNIA,DATOS!$A1256,nCURSO,DATOS!$D1256,nESPEC,DATOS!$E1256,nASIG,DATOS!$I1256,nEVAL,"OR")=0))</f>
      </c>
      <c r="I1256">
        <f>IF(DATOS!$I1256="","",IFERROR(VLOOKUP(DATOS!$I1256,CONFIG_ASIGNATURAS!$B$2:$J$91,9,FALSE()),""))</f>
      </c>
    </row>
    <row r="1257">
      <c r="F1257">
        <f>IF(DATOS!$A1257="","",DATOS!$A1257&amp;"|"&amp;DATOS!$D1257&amp;"|"&amp;DATOS!$E1257&amp;"|"&amp;DATOS!$I1257)</f>
      </c>
      <c r="G1257">
        <f>IF(DATOS!$A1257="",0,IF(CONFIG_METADATA!$B$4&lt;&gt;"OR+EX",--(DATOS!$G1257=CONFIG_METADATA!$B$4),IF(DATOS!$G1257="EX",1,IF(DATOS!$G1257="OR",--(COUNTIFS(nNIA,DATOS!$A1257,nCURSO,DATOS!$D1257,nESPEC,DATOS!$E1257,nASIG,DATOS!$I1257,nEVAL,"EX")=0),0))))</f>
      </c>
      <c r="H1257">
        <f>IF(DATOS!$G1257&lt;&gt;"EX",0,--(COUNTIFS(nNIA,DATOS!$A1257,nCURSO,DATOS!$D1257,nESPEC,DATOS!$E1257,nASIG,DATOS!$I1257,nEVAL,"OR")=0))</f>
      </c>
      <c r="I1257">
        <f>IF(DATOS!$I1257="","",IFERROR(VLOOKUP(DATOS!$I1257,CONFIG_ASIGNATURAS!$B$2:$J$91,9,FALSE()),""))</f>
      </c>
    </row>
    <row r="1258">
      <c r="F1258">
        <f>IF(DATOS!$A1258="","",DATOS!$A1258&amp;"|"&amp;DATOS!$D1258&amp;"|"&amp;DATOS!$E1258&amp;"|"&amp;DATOS!$I1258)</f>
      </c>
      <c r="G1258">
        <f>IF(DATOS!$A1258="",0,IF(CONFIG_METADATA!$B$4&lt;&gt;"OR+EX",--(DATOS!$G1258=CONFIG_METADATA!$B$4),IF(DATOS!$G1258="EX",1,IF(DATOS!$G1258="OR",--(COUNTIFS(nNIA,DATOS!$A1258,nCURSO,DATOS!$D1258,nESPEC,DATOS!$E1258,nASIG,DATOS!$I1258,nEVAL,"EX")=0),0))))</f>
      </c>
      <c r="H1258">
        <f>IF(DATOS!$G1258&lt;&gt;"EX",0,--(COUNTIFS(nNIA,DATOS!$A1258,nCURSO,DATOS!$D1258,nESPEC,DATOS!$E1258,nASIG,DATOS!$I1258,nEVAL,"OR")=0))</f>
      </c>
      <c r="I1258">
        <f>IF(DATOS!$I1258="","",IFERROR(VLOOKUP(DATOS!$I1258,CONFIG_ASIGNATURAS!$B$2:$J$91,9,FALSE()),""))</f>
      </c>
    </row>
    <row r="1259">
      <c r="F1259">
        <f>IF(DATOS!$A1259="","",DATOS!$A1259&amp;"|"&amp;DATOS!$D1259&amp;"|"&amp;DATOS!$E1259&amp;"|"&amp;DATOS!$I1259)</f>
      </c>
      <c r="G1259">
        <f>IF(DATOS!$A1259="",0,IF(CONFIG_METADATA!$B$4&lt;&gt;"OR+EX",--(DATOS!$G1259=CONFIG_METADATA!$B$4),IF(DATOS!$G1259="EX",1,IF(DATOS!$G1259="OR",--(COUNTIFS(nNIA,DATOS!$A1259,nCURSO,DATOS!$D1259,nESPEC,DATOS!$E1259,nASIG,DATOS!$I1259,nEVAL,"EX")=0),0))))</f>
      </c>
      <c r="H1259">
        <f>IF(DATOS!$G1259&lt;&gt;"EX",0,--(COUNTIFS(nNIA,DATOS!$A1259,nCURSO,DATOS!$D1259,nESPEC,DATOS!$E1259,nASIG,DATOS!$I1259,nEVAL,"OR")=0))</f>
      </c>
      <c r="I1259">
        <f>IF(DATOS!$I1259="","",IFERROR(VLOOKUP(DATOS!$I1259,CONFIG_ASIGNATURAS!$B$2:$J$91,9,FALSE()),""))</f>
      </c>
    </row>
    <row r="1260">
      <c r="F1260">
        <f>IF(DATOS!$A1260="","",DATOS!$A1260&amp;"|"&amp;DATOS!$D1260&amp;"|"&amp;DATOS!$E1260&amp;"|"&amp;DATOS!$I1260)</f>
      </c>
      <c r="G1260">
        <f>IF(DATOS!$A1260="",0,IF(CONFIG_METADATA!$B$4&lt;&gt;"OR+EX",--(DATOS!$G1260=CONFIG_METADATA!$B$4),IF(DATOS!$G1260="EX",1,IF(DATOS!$G1260="OR",--(COUNTIFS(nNIA,DATOS!$A1260,nCURSO,DATOS!$D1260,nESPEC,DATOS!$E1260,nASIG,DATOS!$I1260,nEVAL,"EX")=0),0))))</f>
      </c>
      <c r="H1260">
        <f>IF(DATOS!$G1260&lt;&gt;"EX",0,--(COUNTIFS(nNIA,DATOS!$A1260,nCURSO,DATOS!$D1260,nESPEC,DATOS!$E1260,nASIG,DATOS!$I1260,nEVAL,"OR")=0))</f>
      </c>
      <c r="I1260">
        <f>IF(DATOS!$I1260="","",IFERROR(VLOOKUP(DATOS!$I1260,CONFIG_ASIGNATURAS!$B$2:$J$91,9,FALSE()),""))</f>
      </c>
    </row>
    <row r="1261">
      <c r="F1261">
        <f>IF(DATOS!$A1261="","",DATOS!$A1261&amp;"|"&amp;DATOS!$D1261&amp;"|"&amp;DATOS!$E1261&amp;"|"&amp;DATOS!$I1261)</f>
      </c>
      <c r="G1261">
        <f>IF(DATOS!$A1261="",0,IF(CONFIG_METADATA!$B$4&lt;&gt;"OR+EX",--(DATOS!$G1261=CONFIG_METADATA!$B$4),IF(DATOS!$G1261="EX",1,IF(DATOS!$G1261="OR",--(COUNTIFS(nNIA,DATOS!$A1261,nCURSO,DATOS!$D1261,nESPEC,DATOS!$E1261,nASIG,DATOS!$I1261,nEVAL,"EX")=0),0))))</f>
      </c>
      <c r="H1261">
        <f>IF(DATOS!$G1261&lt;&gt;"EX",0,--(COUNTIFS(nNIA,DATOS!$A1261,nCURSO,DATOS!$D1261,nESPEC,DATOS!$E1261,nASIG,DATOS!$I1261,nEVAL,"OR")=0))</f>
      </c>
      <c r="I1261">
        <f>IF(DATOS!$I1261="","",IFERROR(VLOOKUP(DATOS!$I1261,CONFIG_ASIGNATURAS!$B$2:$J$91,9,FALSE()),""))</f>
      </c>
    </row>
    <row r="1262">
      <c r="F1262">
        <f>IF(DATOS!$A1262="","",DATOS!$A1262&amp;"|"&amp;DATOS!$D1262&amp;"|"&amp;DATOS!$E1262&amp;"|"&amp;DATOS!$I1262)</f>
      </c>
      <c r="G1262">
        <f>IF(DATOS!$A1262="",0,IF(CONFIG_METADATA!$B$4&lt;&gt;"OR+EX",--(DATOS!$G1262=CONFIG_METADATA!$B$4),IF(DATOS!$G1262="EX",1,IF(DATOS!$G1262="OR",--(COUNTIFS(nNIA,DATOS!$A1262,nCURSO,DATOS!$D1262,nESPEC,DATOS!$E1262,nASIG,DATOS!$I1262,nEVAL,"EX")=0),0))))</f>
      </c>
      <c r="H1262">
        <f>IF(DATOS!$G1262&lt;&gt;"EX",0,--(COUNTIFS(nNIA,DATOS!$A1262,nCURSO,DATOS!$D1262,nESPEC,DATOS!$E1262,nASIG,DATOS!$I1262,nEVAL,"OR")=0))</f>
      </c>
      <c r="I1262">
        <f>IF(DATOS!$I1262="","",IFERROR(VLOOKUP(DATOS!$I1262,CONFIG_ASIGNATURAS!$B$2:$J$91,9,FALSE()),""))</f>
      </c>
    </row>
    <row r="1263">
      <c r="F1263">
        <f>IF(DATOS!$A1263="","",DATOS!$A1263&amp;"|"&amp;DATOS!$D1263&amp;"|"&amp;DATOS!$E1263&amp;"|"&amp;DATOS!$I1263)</f>
      </c>
      <c r="G1263">
        <f>IF(DATOS!$A1263="",0,IF(CONFIG_METADATA!$B$4&lt;&gt;"OR+EX",--(DATOS!$G1263=CONFIG_METADATA!$B$4),IF(DATOS!$G1263="EX",1,IF(DATOS!$G1263="OR",--(COUNTIFS(nNIA,DATOS!$A1263,nCURSO,DATOS!$D1263,nESPEC,DATOS!$E1263,nASIG,DATOS!$I1263,nEVAL,"EX")=0),0))))</f>
      </c>
      <c r="H1263">
        <f>IF(DATOS!$G1263&lt;&gt;"EX",0,--(COUNTIFS(nNIA,DATOS!$A1263,nCURSO,DATOS!$D1263,nESPEC,DATOS!$E1263,nASIG,DATOS!$I1263,nEVAL,"OR")=0))</f>
      </c>
      <c r="I1263">
        <f>IF(DATOS!$I1263="","",IFERROR(VLOOKUP(DATOS!$I1263,CONFIG_ASIGNATURAS!$B$2:$J$91,9,FALSE()),""))</f>
      </c>
    </row>
    <row r="1264">
      <c r="F1264">
        <f>IF(DATOS!$A1264="","",DATOS!$A1264&amp;"|"&amp;DATOS!$D1264&amp;"|"&amp;DATOS!$E1264&amp;"|"&amp;DATOS!$I1264)</f>
      </c>
      <c r="G1264">
        <f>IF(DATOS!$A1264="",0,IF(CONFIG_METADATA!$B$4&lt;&gt;"OR+EX",--(DATOS!$G1264=CONFIG_METADATA!$B$4),IF(DATOS!$G1264="EX",1,IF(DATOS!$G1264="OR",--(COUNTIFS(nNIA,DATOS!$A1264,nCURSO,DATOS!$D1264,nESPEC,DATOS!$E1264,nASIG,DATOS!$I1264,nEVAL,"EX")=0),0))))</f>
      </c>
      <c r="H1264">
        <f>IF(DATOS!$G1264&lt;&gt;"EX",0,--(COUNTIFS(nNIA,DATOS!$A1264,nCURSO,DATOS!$D1264,nESPEC,DATOS!$E1264,nASIG,DATOS!$I1264,nEVAL,"OR")=0))</f>
      </c>
      <c r="I1264">
        <f>IF(DATOS!$I1264="","",IFERROR(VLOOKUP(DATOS!$I1264,CONFIG_ASIGNATURAS!$B$2:$J$91,9,FALSE()),""))</f>
      </c>
    </row>
    <row r="1265">
      <c r="F1265">
        <f>IF(DATOS!$A1265="","",DATOS!$A1265&amp;"|"&amp;DATOS!$D1265&amp;"|"&amp;DATOS!$E1265&amp;"|"&amp;DATOS!$I1265)</f>
      </c>
      <c r="G1265">
        <f>IF(DATOS!$A1265="",0,IF(CONFIG_METADATA!$B$4&lt;&gt;"OR+EX",--(DATOS!$G1265=CONFIG_METADATA!$B$4),IF(DATOS!$G1265="EX",1,IF(DATOS!$G1265="OR",--(COUNTIFS(nNIA,DATOS!$A1265,nCURSO,DATOS!$D1265,nESPEC,DATOS!$E1265,nASIG,DATOS!$I1265,nEVAL,"EX")=0),0))))</f>
      </c>
      <c r="H1265">
        <f>IF(DATOS!$G1265&lt;&gt;"EX",0,--(COUNTIFS(nNIA,DATOS!$A1265,nCURSO,DATOS!$D1265,nESPEC,DATOS!$E1265,nASIG,DATOS!$I1265,nEVAL,"OR")=0))</f>
      </c>
      <c r="I1265">
        <f>IF(DATOS!$I1265="","",IFERROR(VLOOKUP(DATOS!$I1265,CONFIG_ASIGNATURAS!$B$2:$J$91,9,FALSE()),""))</f>
      </c>
    </row>
    <row r="1266">
      <c r="F1266">
        <f>IF(DATOS!$A1266="","",DATOS!$A1266&amp;"|"&amp;DATOS!$D1266&amp;"|"&amp;DATOS!$E1266&amp;"|"&amp;DATOS!$I1266)</f>
      </c>
      <c r="G1266">
        <f>IF(DATOS!$A1266="",0,IF(CONFIG_METADATA!$B$4&lt;&gt;"OR+EX",--(DATOS!$G1266=CONFIG_METADATA!$B$4),IF(DATOS!$G1266="EX",1,IF(DATOS!$G1266="OR",--(COUNTIFS(nNIA,DATOS!$A1266,nCURSO,DATOS!$D1266,nESPEC,DATOS!$E1266,nASIG,DATOS!$I1266,nEVAL,"EX")=0),0))))</f>
      </c>
      <c r="H1266">
        <f>IF(DATOS!$G1266&lt;&gt;"EX",0,--(COUNTIFS(nNIA,DATOS!$A1266,nCURSO,DATOS!$D1266,nESPEC,DATOS!$E1266,nASIG,DATOS!$I1266,nEVAL,"OR")=0))</f>
      </c>
      <c r="I1266">
        <f>IF(DATOS!$I1266="","",IFERROR(VLOOKUP(DATOS!$I1266,CONFIG_ASIGNATURAS!$B$2:$J$91,9,FALSE()),""))</f>
      </c>
    </row>
    <row r="1267">
      <c r="F1267">
        <f>IF(DATOS!$A1267="","",DATOS!$A1267&amp;"|"&amp;DATOS!$D1267&amp;"|"&amp;DATOS!$E1267&amp;"|"&amp;DATOS!$I1267)</f>
      </c>
      <c r="G1267">
        <f>IF(DATOS!$A1267="",0,IF(CONFIG_METADATA!$B$4&lt;&gt;"OR+EX",--(DATOS!$G1267=CONFIG_METADATA!$B$4),IF(DATOS!$G1267="EX",1,IF(DATOS!$G1267="OR",--(COUNTIFS(nNIA,DATOS!$A1267,nCURSO,DATOS!$D1267,nESPEC,DATOS!$E1267,nASIG,DATOS!$I1267,nEVAL,"EX")=0),0))))</f>
      </c>
      <c r="H1267">
        <f>IF(DATOS!$G1267&lt;&gt;"EX",0,--(COUNTIFS(nNIA,DATOS!$A1267,nCURSO,DATOS!$D1267,nESPEC,DATOS!$E1267,nASIG,DATOS!$I1267,nEVAL,"OR")=0))</f>
      </c>
      <c r="I1267">
        <f>IF(DATOS!$I1267="","",IFERROR(VLOOKUP(DATOS!$I1267,CONFIG_ASIGNATURAS!$B$2:$J$91,9,FALSE()),""))</f>
      </c>
    </row>
    <row r="1268">
      <c r="F1268">
        <f>IF(DATOS!$A1268="","",DATOS!$A1268&amp;"|"&amp;DATOS!$D1268&amp;"|"&amp;DATOS!$E1268&amp;"|"&amp;DATOS!$I1268)</f>
      </c>
      <c r="G1268">
        <f>IF(DATOS!$A1268="",0,IF(CONFIG_METADATA!$B$4&lt;&gt;"OR+EX",--(DATOS!$G1268=CONFIG_METADATA!$B$4),IF(DATOS!$G1268="EX",1,IF(DATOS!$G1268="OR",--(COUNTIFS(nNIA,DATOS!$A1268,nCURSO,DATOS!$D1268,nESPEC,DATOS!$E1268,nASIG,DATOS!$I1268,nEVAL,"EX")=0),0))))</f>
      </c>
      <c r="H1268">
        <f>IF(DATOS!$G1268&lt;&gt;"EX",0,--(COUNTIFS(nNIA,DATOS!$A1268,nCURSO,DATOS!$D1268,nESPEC,DATOS!$E1268,nASIG,DATOS!$I1268,nEVAL,"OR")=0))</f>
      </c>
      <c r="I1268">
        <f>IF(DATOS!$I1268="","",IFERROR(VLOOKUP(DATOS!$I1268,CONFIG_ASIGNATURAS!$B$2:$J$91,9,FALSE()),""))</f>
      </c>
    </row>
    <row r="1269">
      <c r="F1269">
        <f>IF(DATOS!$A1269="","",DATOS!$A1269&amp;"|"&amp;DATOS!$D1269&amp;"|"&amp;DATOS!$E1269&amp;"|"&amp;DATOS!$I1269)</f>
      </c>
      <c r="G1269">
        <f>IF(DATOS!$A1269="",0,IF(CONFIG_METADATA!$B$4&lt;&gt;"OR+EX",--(DATOS!$G1269=CONFIG_METADATA!$B$4),IF(DATOS!$G1269="EX",1,IF(DATOS!$G1269="OR",--(COUNTIFS(nNIA,DATOS!$A1269,nCURSO,DATOS!$D1269,nESPEC,DATOS!$E1269,nASIG,DATOS!$I1269,nEVAL,"EX")=0),0))))</f>
      </c>
      <c r="H1269">
        <f>IF(DATOS!$G1269&lt;&gt;"EX",0,--(COUNTIFS(nNIA,DATOS!$A1269,nCURSO,DATOS!$D1269,nESPEC,DATOS!$E1269,nASIG,DATOS!$I1269,nEVAL,"OR")=0))</f>
      </c>
      <c r="I1269">
        <f>IF(DATOS!$I1269="","",IFERROR(VLOOKUP(DATOS!$I1269,CONFIG_ASIGNATURAS!$B$2:$J$91,9,FALSE()),""))</f>
      </c>
    </row>
    <row r="1270">
      <c r="F1270">
        <f>IF(DATOS!$A1270="","",DATOS!$A1270&amp;"|"&amp;DATOS!$D1270&amp;"|"&amp;DATOS!$E1270&amp;"|"&amp;DATOS!$I1270)</f>
      </c>
      <c r="G1270">
        <f>IF(DATOS!$A1270="",0,IF(CONFIG_METADATA!$B$4&lt;&gt;"OR+EX",--(DATOS!$G1270=CONFIG_METADATA!$B$4),IF(DATOS!$G1270="EX",1,IF(DATOS!$G1270="OR",--(COUNTIFS(nNIA,DATOS!$A1270,nCURSO,DATOS!$D1270,nESPEC,DATOS!$E1270,nASIG,DATOS!$I1270,nEVAL,"EX")=0),0))))</f>
      </c>
      <c r="H1270">
        <f>IF(DATOS!$G1270&lt;&gt;"EX",0,--(COUNTIFS(nNIA,DATOS!$A1270,nCURSO,DATOS!$D1270,nESPEC,DATOS!$E1270,nASIG,DATOS!$I1270,nEVAL,"OR")=0))</f>
      </c>
      <c r="I1270">
        <f>IF(DATOS!$I1270="","",IFERROR(VLOOKUP(DATOS!$I1270,CONFIG_ASIGNATURAS!$B$2:$J$91,9,FALSE()),""))</f>
      </c>
    </row>
    <row r="1271">
      <c r="F1271">
        <f>IF(DATOS!$A1271="","",DATOS!$A1271&amp;"|"&amp;DATOS!$D1271&amp;"|"&amp;DATOS!$E1271&amp;"|"&amp;DATOS!$I1271)</f>
      </c>
      <c r="G1271">
        <f>IF(DATOS!$A1271="",0,IF(CONFIG_METADATA!$B$4&lt;&gt;"OR+EX",--(DATOS!$G1271=CONFIG_METADATA!$B$4),IF(DATOS!$G1271="EX",1,IF(DATOS!$G1271="OR",--(COUNTIFS(nNIA,DATOS!$A1271,nCURSO,DATOS!$D1271,nESPEC,DATOS!$E1271,nASIG,DATOS!$I1271,nEVAL,"EX")=0),0))))</f>
      </c>
      <c r="H1271">
        <f>IF(DATOS!$G1271&lt;&gt;"EX",0,--(COUNTIFS(nNIA,DATOS!$A1271,nCURSO,DATOS!$D1271,nESPEC,DATOS!$E1271,nASIG,DATOS!$I1271,nEVAL,"OR")=0))</f>
      </c>
      <c r="I1271">
        <f>IF(DATOS!$I1271="","",IFERROR(VLOOKUP(DATOS!$I1271,CONFIG_ASIGNATURAS!$B$2:$J$91,9,FALSE()),""))</f>
      </c>
    </row>
    <row r="1272">
      <c r="F1272">
        <f>IF(DATOS!$A1272="","",DATOS!$A1272&amp;"|"&amp;DATOS!$D1272&amp;"|"&amp;DATOS!$E1272&amp;"|"&amp;DATOS!$I1272)</f>
      </c>
      <c r="G1272">
        <f>IF(DATOS!$A1272="",0,IF(CONFIG_METADATA!$B$4&lt;&gt;"OR+EX",--(DATOS!$G1272=CONFIG_METADATA!$B$4),IF(DATOS!$G1272="EX",1,IF(DATOS!$G1272="OR",--(COUNTIFS(nNIA,DATOS!$A1272,nCURSO,DATOS!$D1272,nESPEC,DATOS!$E1272,nASIG,DATOS!$I1272,nEVAL,"EX")=0),0))))</f>
      </c>
      <c r="H1272">
        <f>IF(DATOS!$G1272&lt;&gt;"EX",0,--(COUNTIFS(nNIA,DATOS!$A1272,nCURSO,DATOS!$D1272,nESPEC,DATOS!$E1272,nASIG,DATOS!$I1272,nEVAL,"OR")=0))</f>
      </c>
      <c r="I1272">
        <f>IF(DATOS!$I1272="","",IFERROR(VLOOKUP(DATOS!$I1272,CONFIG_ASIGNATURAS!$B$2:$J$91,9,FALSE()),""))</f>
      </c>
    </row>
    <row r="1273">
      <c r="F1273">
        <f>IF(DATOS!$A1273="","",DATOS!$A1273&amp;"|"&amp;DATOS!$D1273&amp;"|"&amp;DATOS!$E1273&amp;"|"&amp;DATOS!$I1273)</f>
      </c>
      <c r="G1273">
        <f>IF(DATOS!$A1273="",0,IF(CONFIG_METADATA!$B$4&lt;&gt;"OR+EX",--(DATOS!$G1273=CONFIG_METADATA!$B$4),IF(DATOS!$G1273="EX",1,IF(DATOS!$G1273="OR",--(COUNTIFS(nNIA,DATOS!$A1273,nCURSO,DATOS!$D1273,nESPEC,DATOS!$E1273,nASIG,DATOS!$I1273,nEVAL,"EX")=0),0))))</f>
      </c>
      <c r="H1273">
        <f>IF(DATOS!$G1273&lt;&gt;"EX",0,--(COUNTIFS(nNIA,DATOS!$A1273,nCURSO,DATOS!$D1273,nESPEC,DATOS!$E1273,nASIG,DATOS!$I1273,nEVAL,"OR")=0))</f>
      </c>
      <c r="I1273">
        <f>IF(DATOS!$I1273="","",IFERROR(VLOOKUP(DATOS!$I1273,CONFIG_ASIGNATURAS!$B$2:$J$91,9,FALSE()),""))</f>
      </c>
    </row>
    <row r="1274">
      <c r="F1274">
        <f>IF(DATOS!$A1274="","",DATOS!$A1274&amp;"|"&amp;DATOS!$D1274&amp;"|"&amp;DATOS!$E1274&amp;"|"&amp;DATOS!$I1274)</f>
      </c>
      <c r="G1274">
        <f>IF(DATOS!$A1274="",0,IF(CONFIG_METADATA!$B$4&lt;&gt;"OR+EX",--(DATOS!$G1274=CONFIG_METADATA!$B$4),IF(DATOS!$G1274="EX",1,IF(DATOS!$G1274="OR",--(COUNTIFS(nNIA,DATOS!$A1274,nCURSO,DATOS!$D1274,nESPEC,DATOS!$E1274,nASIG,DATOS!$I1274,nEVAL,"EX")=0),0))))</f>
      </c>
      <c r="H1274">
        <f>IF(DATOS!$G1274&lt;&gt;"EX",0,--(COUNTIFS(nNIA,DATOS!$A1274,nCURSO,DATOS!$D1274,nESPEC,DATOS!$E1274,nASIG,DATOS!$I1274,nEVAL,"OR")=0))</f>
      </c>
      <c r="I1274">
        <f>IF(DATOS!$I1274="","",IFERROR(VLOOKUP(DATOS!$I1274,CONFIG_ASIGNATURAS!$B$2:$J$91,9,FALSE()),""))</f>
      </c>
    </row>
    <row r="1275">
      <c r="F1275">
        <f>IF(DATOS!$A1275="","",DATOS!$A1275&amp;"|"&amp;DATOS!$D1275&amp;"|"&amp;DATOS!$E1275&amp;"|"&amp;DATOS!$I1275)</f>
      </c>
      <c r="G1275">
        <f>IF(DATOS!$A1275="",0,IF(CONFIG_METADATA!$B$4&lt;&gt;"OR+EX",--(DATOS!$G1275=CONFIG_METADATA!$B$4),IF(DATOS!$G1275="EX",1,IF(DATOS!$G1275="OR",--(COUNTIFS(nNIA,DATOS!$A1275,nCURSO,DATOS!$D1275,nESPEC,DATOS!$E1275,nASIG,DATOS!$I1275,nEVAL,"EX")=0),0))))</f>
      </c>
      <c r="H1275">
        <f>IF(DATOS!$G1275&lt;&gt;"EX",0,--(COUNTIFS(nNIA,DATOS!$A1275,nCURSO,DATOS!$D1275,nESPEC,DATOS!$E1275,nASIG,DATOS!$I1275,nEVAL,"OR")=0))</f>
      </c>
      <c r="I1275">
        <f>IF(DATOS!$I1275="","",IFERROR(VLOOKUP(DATOS!$I1275,CONFIG_ASIGNATURAS!$B$2:$J$91,9,FALSE()),""))</f>
      </c>
    </row>
    <row r="1276">
      <c r="F1276">
        <f>IF(DATOS!$A1276="","",DATOS!$A1276&amp;"|"&amp;DATOS!$D1276&amp;"|"&amp;DATOS!$E1276&amp;"|"&amp;DATOS!$I1276)</f>
      </c>
      <c r="G1276">
        <f>IF(DATOS!$A1276="",0,IF(CONFIG_METADATA!$B$4&lt;&gt;"OR+EX",--(DATOS!$G1276=CONFIG_METADATA!$B$4),IF(DATOS!$G1276="EX",1,IF(DATOS!$G1276="OR",--(COUNTIFS(nNIA,DATOS!$A1276,nCURSO,DATOS!$D1276,nESPEC,DATOS!$E1276,nASIG,DATOS!$I1276,nEVAL,"EX")=0),0))))</f>
      </c>
      <c r="H1276">
        <f>IF(DATOS!$G1276&lt;&gt;"EX",0,--(COUNTIFS(nNIA,DATOS!$A1276,nCURSO,DATOS!$D1276,nESPEC,DATOS!$E1276,nASIG,DATOS!$I1276,nEVAL,"OR")=0))</f>
      </c>
      <c r="I1276">
        <f>IF(DATOS!$I1276="","",IFERROR(VLOOKUP(DATOS!$I1276,CONFIG_ASIGNATURAS!$B$2:$J$91,9,FALSE()),""))</f>
      </c>
    </row>
    <row r="1277">
      <c r="F1277">
        <f>IF(DATOS!$A1277="","",DATOS!$A1277&amp;"|"&amp;DATOS!$D1277&amp;"|"&amp;DATOS!$E1277&amp;"|"&amp;DATOS!$I1277)</f>
      </c>
      <c r="G1277">
        <f>IF(DATOS!$A1277="",0,IF(CONFIG_METADATA!$B$4&lt;&gt;"OR+EX",--(DATOS!$G1277=CONFIG_METADATA!$B$4),IF(DATOS!$G1277="EX",1,IF(DATOS!$G1277="OR",--(COUNTIFS(nNIA,DATOS!$A1277,nCURSO,DATOS!$D1277,nESPEC,DATOS!$E1277,nASIG,DATOS!$I1277,nEVAL,"EX")=0),0))))</f>
      </c>
      <c r="H1277">
        <f>IF(DATOS!$G1277&lt;&gt;"EX",0,--(COUNTIFS(nNIA,DATOS!$A1277,nCURSO,DATOS!$D1277,nESPEC,DATOS!$E1277,nASIG,DATOS!$I1277,nEVAL,"OR")=0))</f>
      </c>
      <c r="I1277">
        <f>IF(DATOS!$I1277="","",IFERROR(VLOOKUP(DATOS!$I1277,CONFIG_ASIGNATURAS!$B$2:$J$91,9,FALSE()),""))</f>
      </c>
    </row>
    <row r="1278">
      <c r="F1278">
        <f>IF(DATOS!$A1278="","",DATOS!$A1278&amp;"|"&amp;DATOS!$D1278&amp;"|"&amp;DATOS!$E1278&amp;"|"&amp;DATOS!$I1278)</f>
      </c>
      <c r="G1278">
        <f>IF(DATOS!$A1278="",0,IF(CONFIG_METADATA!$B$4&lt;&gt;"OR+EX",--(DATOS!$G1278=CONFIG_METADATA!$B$4),IF(DATOS!$G1278="EX",1,IF(DATOS!$G1278="OR",--(COUNTIFS(nNIA,DATOS!$A1278,nCURSO,DATOS!$D1278,nESPEC,DATOS!$E1278,nASIG,DATOS!$I1278,nEVAL,"EX")=0),0))))</f>
      </c>
      <c r="H1278">
        <f>IF(DATOS!$G1278&lt;&gt;"EX",0,--(COUNTIFS(nNIA,DATOS!$A1278,nCURSO,DATOS!$D1278,nESPEC,DATOS!$E1278,nASIG,DATOS!$I1278,nEVAL,"OR")=0))</f>
      </c>
      <c r="I1278">
        <f>IF(DATOS!$I1278="","",IFERROR(VLOOKUP(DATOS!$I1278,CONFIG_ASIGNATURAS!$B$2:$J$91,9,FALSE()),""))</f>
      </c>
    </row>
    <row r="1279">
      <c r="F1279">
        <f>IF(DATOS!$A1279="","",DATOS!$A1279&amp;"|"&amp;DATOS!$D1279&amp;"|"&amp;DATOS!$E1279&amp;"|"&amp;DATOS!$I1279)</f>
      </c>
      <c r="G1279">
        <f>IF(DATOS!$A1279="",0,IF(CONFIG_METADATA!$B$4&lt;&gt;"OR+EX",--(DATOS!$G1279=CONFIG_METADATA!$B$4),IF(DATOS!$G1279="EX",1,IF(DATOS!$G1279="OR",--(COUNTIFS(nNIA,DATOS!$A1279,nCURSO,DATOS!$D1279,nESPEC,DATOS!$E1279,nASIG,DATOS!$I1279,nEVAL,"EX")=0),0))))</f>
      </c>
      <c r="H1279">
        <f>IF(DATOS!$G1279&lt;&gt;"EX",0,--(COUNTIFS(nNIA,DATOS!$A1279,nCURSO,DATOS!$D1279,nESPEC,DATOS!$E1279,nASIG,DATOS!$I1279,nEVAL,"OR")=0))</f>
      </c>
      <c r="I1279">
        <f>IF(DATOS!$I1279="","",IFERROR(VLOOKUP(DATOS!$I1279,CONFIG_ASIGNATURAS!$B$2:$J$91,9,FALSE()),""))</f>
      </c>
    </row>
    <row r="1280">
      <c r="F1280">
        <f>IF(DATOS!$A1280="","",DATOS!$A1280&amp;"|"&amp;DATOS!$D1280&amp;"|"&amp;DATOS!$E1280&amp;"|"&amp;DATOS!$I1280)</f>
      </c>
      <c r="G1280">
        <f>IF(DATOS!$A1280="",0,IF(CONFIG_METADATA!$B$4&lt;&gt;"OR+EX",--(DATOS!$G1280=CONFIG_METADATA!$B$4),IF(DATOS!$G1280="EX",1,IF(DATOS!$G1280="OR",--(COUNTIFS(nNIA,DATOS!$A1280,nCURSO,DATOS!$D1280,nESPEC,DATOS!$E1280,nASIG,DATOS!$I1280,nEVAL,"EX")=0),0))))</f>
      </c>
      <c r="H1280">
        <f>IF(DATOS!$G1280&lt;&gt;"EX",0,--(COUNTIFS(nNIA,DATOS!$A1280,nCURSO,DATOS!$D1280,nESPEC,DATOS!$E1280,nASIG,DATOS!$I1280,nEVAL,"OR")=0))</f>
      </c>
      <c r="I1280">
        <f>IF(DATOS!$I1280="","",IFERROR(VLOOKUP(DATOS!$I1280,CONFIG_ASIGNATURAS!$B$2:$J$91,9,FALSE()),""))</f>
      </c>
    </row>
    <row r="1281">
      <c r="F1281">
        <f>IF(DATOS!$A1281="","",DATOS!$A1281&amp;"|"&amp;DATOS!$D1281&amp;"|"&amp;DATOS!$E1281&amp;"|"&amp;DATOS!$I1281)</f>
      </c>
      <c r="G1281">
        <f>IF(DATOS!$A1281="",0,IF(CONFIG_METADATA!$B$4&lt;&gt;"OR+EX",--(DATOS!$G1281=CONFIG_METADATA!$B$4),IF(DATOS!$G1281="EX",1,IF(DATOS!$G1281="OR",--(COUNTIFS(nNIA,DATOS!$A1281,nCURSO,DATOS!$D1281,nESPEC,DATOS!$E1281,nASIG,DATOS!$I1281,nEVAL,"EX")=0),0))))</f>
      </c>
      <c r="H1281">
        <f>IF(DATOS!$G1281&lt;&gt;"EX",0,--(COUNTIFS(nNIA,DATOS!$A1281,nCURSO,DATOS!$D1281,nESPEC,DATOS!$E1281,nASIG,DATOS!$I1281,nEVAL,"OR")=0))</f>
      </c>
      <c r="I1281">
        <f>IF(DATOS!$I1281="","",IFERROR(VLOOKUP(DATOS!$I1281,CONFIG_ASIGNATURAS!$B$2:$J$91,9,FALSE()),""))</f>
      </c>
    </row>
    <row r="1282">
      <c r="F1282">
        <f>IF(DATOS!$A1282="","",DATOS!$A1282&amp;"|"&amp;DATOS!$D1282&amp;"|"&amp;DATOS!$E1282&amp;"|"&amp;DATOS!$I1282)</f>
      </c>
      <c r="G1282">
        <f>IF(DATOS!$A1282="",0,IF(CONFIG_METADATA!$B$4&lt;&gt;"OR+EX",--(DATOS!$G1282=CONFIG_METADATA!$B$4),IF(DATOS!$G1282="EX",1,IF(DATOS!$G1282="OR",--(COUNTIFS(nNIA,DATOS!$A1282,nCURSO,DATOS!$D1282,nESPEC,DATOS!$E1282,nASIG,DATOS!$I1282,nEVAL,"EX")=0),0))))</f>
      </c>
      <c r="H1282">
        <f>IF(DATOS!$G1282&lt;&gt;"EX",0,--(COUNTIFS(nNIA,DATOS!$A1282,nCURSO,DATOS!$D1282,nESPEC,DATOS!$E1282,nASIG,DATOS!$I1282,nEVAL,"OR")=0))</f>
      </c>
      <c r="I1282">
        <f>IF(DATOS!$I1282="","",IFERROR(VLOOKUP(DATOS!$I1282,CONFIG_ASIGNATURAS!$B$2:$J$91,9,FALSE()),""))</f>
      </c>
    </row>
    <row r="1283">
      <c r="F1283">
        <f>IF(DATOS!$A1283="","",DATOS!$A1283&amp;"|"&amp;DATOS!$D1283&amp;"|"&amp;DATOS!$E1283&amp;"|"&amp;DATOS!$I1283)</f>
      </c>
      <c r="G1283">
        <f>IF(DATOS!$A1283="",0,IF(CONFIG_METADATA!$B$4&lt;&gt;"OR+EX",--(DATOS!$G1283=CONFIG_METADATA!$B$4),IF(DATOS!$G1283="EX",1,IF(DATOS!$G1283="OR",--(COUNTIFS(nNIA,DATOS!$A1283,nCURSO,DATOS!$D1283,nESPEC,DATOS!$E1283,nASIG,DATOS!$I1283,nEVAL,"EX")=0),0))))</f>
      </c>
      <c r="H1283">
        <f>IF(DATOS!$G1283&lt;&gt;"EX",0,--(COUNTIFS(nNIA,DATOS!$A1283,nCURSO,DATOS!$D1283,nESPEC,DATOS!$E1283,nASIG,DATOS!$I1283,nEVAL,"OR")=0))</f>
      </c>
      <c r="I1283">
        <f>IF(DATOS!$I1283="","",IFERROR(VLOOKUP(DATOS!$I1283,CONFIG_ASIGNATURAS!$B$2:$J$91,9,FALSE()),""))</f>
      </c>
    </row>
    <row r="1284">
      <c r="F1284">
        <f>IF(DATOS!$A1284="","",DATOS!$A1284&amp;"|"&amp;DATOS!$D1284&amp;"|"&amp;DATOS!$E1284&amp;"|"&amp;DATOS!$I1284)</f>
      </c>
      <c r="G1284">
        <f>IF(DATOS!$A1284="",0,IF(CONFIG_METADATA!$B$4&lt;&gt;"OR+EX",--(DATOS!$G1284=CONFIG_METADATA!$B$4),IF(DATOS!$G1284="EX",1,IF(DATOS!$G1284="OR",--(COUNTIFS(nNIA,DATOS!$A1284,nCURSO,DATOS!$D1284,nESPEC,DATOS!$E1284,nASIG,DATOS!$I1284,nEVAL,"EX")=0),0))))</f>
      </c>
      <c r="H1284">
        <f>IF(DATOS!$G1284&lt;&gt;"EX",0,--(COUNTIFS(nNIA,DATOS!$A1284,nCURSO,DATOS!$D1284,nESPEC,DATOS!$E1284,nASIG,DATOS!$I1284,nEVAL,"OR")=0))</f>
      </c>
      <c r="I1284">
        <f>IF(DATOS!$I1284="","",IFERROR(VLOOKUP(DATOS!$I1284,CONFIG_ASIGNATURAS!$B$2:$J$91,9,FALSE()),""))</f>
      </c>
    </row>
    <row r="1285">
      <c r="F1285">
        <f>IF(DATOS!$A1285="","",DATOS!$A1285&amp;"|"&amp;DATOS!$D1285&amp;"|"&amp;DATOS!$E1285&amp;"|"&amp;DATOS!$I1285)</f>
      </c>
      <c r="G1285">
        <f>IF(DATOS!$A1285="",0,IF(CONFIG_METADATA!$B$4&lt;&gt;"OR+EX",--(DATOS!$G1285=CONFIG_METADATA!$B$4),IF(DATOS!$G1285="EX",1,IF(DATOS!$G1285="OR",--(COUNTIFS(nNIA,DATOS!$A1285,nCURSO,DATOS!$D1285,nESPEC,DATOS!$E1285,nASIG,DATOS!$I1285,nEVAL,"EX")=0),0))))</f>
      </c>
      <c r="H1285">
        <f>IF(DATOS!$G1285&lt;&gt;"EX",0,--(COUNTIFS(nNIA,DATOS!$A1285,nCURSO,DATOS!$D1285,nESPEC,DATOS!$E1285,nASIG,DATOS!$I1285,nEVAL,"OR")=0))</f>
      </c>
      <c r="I1285">
        <f>IF(DATOS!$I1285="","",IFERROR(VLOOKUP(DATOS!$I1285,CONFIG_ASIGNATURAS!$B$2:$J$91,9,FALSE()),""))</f>
      </c>
    </row>
    <row r="1286">
      <c r="F1286">
        <f>IF(DATOS!$A1286="","",DATOS!$A1286&amp;"|"&amp;DATOS!$D1286&amp;"|"&amp;DATOS!$E1286&amp;"|"&amp;DATOS!$I1286)</f>
      </c>
      <c r="G1286">
        <f>IF(DATOS!$A1286="",0,IF(CONFIG_METADATA!$B$4&lt;&gt;"OR+EX",--(DATOS!$G1286=CONFIG_METADATA!$B$4),IF(DATOS!$G1286="EX",1,IF(DATOS!$G1286="OR",--(COUNTIFS(nNIA,DATOS!$A1286,nCURSO,DATOS!$D1286,nESPEC,DATOS!$E1286,nASIG,DATOS!$I1286,nEVAL,"EX")=0),0))))</f>
      </c>
      <c r="H1286">
        <f>IF(DATOS!$G1286&lt;&gt;"EX",0,--(COUNTIFS(nNIA,DATOS!$A1286,nCURSO,DATOS!$D1286,nESPEC,DATOS!$E1286,nASIG,DATOS!$I1286,nEVAL,"OR")=0))</f>
      </c>
      <c r="I1286">
        <f>IF(DATOS!$I1286="","",IFERROR(VLOOKUP(DATOS!$I1286,CONFIG_ASIGNATURAS!$B$2:$J$91,9,FALSE()),""))</f>
      </c>
    </row>
    <row r="1287">
      <c r="F1287">
        <f>IF(DATOS!$A1287="","",DATOS!$A1287&amp;"|"&amp;DATOS!$D1287&amp;"|"&amp;DATOS!$E1287&amp;"|"&amp;DATOS!$I1287)</f>
      </c>
      <c r="G1287">
        <f>IF(DATOS!$A1287="",0,IF(CONFIG_METADATA!$B$4&lt;&gt;"OR+EX",--(DATOS!$G1287=CONFIG_METADATA!$B$4),IF(DATOS!$G1287="EX",1,IF(DATOS!$G1287="OR",--(COUNTIFS(nNIA,DATOS!$A1287,nCURSO,DATOS!$D1287,nESPEC,DATOS!$E1287,nASIG,DATOS!$I1287,nEVAL,"EX")=0),0))))</f>
      </c>
      <c r="H1287">
        <f>IF(DATOS!$G1287&lt;&gt;"EX",0,--(COUNTIFS(nNIA,DATOS!$A1287,nCURSO,DATOS!$D1287,nESPEC,DATOS!$E1287,nASIG,DATOS!$I1287,nEVAL,"OR")=0))</f>
      </c>
      <c r="I1287">
        <f>IF(DATOS!$I1287="","",IFERROR(VLOOKUP(DATOS!$I1287,CONFIG_ASIGNATURAS!$B$2:$J$91,9,FALSE()),""))</f>
      </c>
    </row>
    <row r="1288">
      <c r="F1288">
        <f>IF(DATOS!$A1288="","",DATOS!$A1288&amp;"|"&amp;DATOS!$D1288&amp;"|"&amp;DATOS!$E1288&amp;"|"&amp;DATOS!$I1288)</f>
      </c>
      <c r="G1288">
        <f>IF(DATOS!$A1288="",0,IF(CONFIG_METADATA!$B$4&lt;&gt;"OR+EX",--(DATOS!$G1288=CONFIG_METADATA!$B$4),IF(DATOS!$G1288="EX",1,IF(DATOS!$G1288="OR",--(COUNTIFS(nNIA,DATOS!$A1288,nCURSO,DATOS!$D1288,nESPEC,DATOS!$E1288,nASIG,DATOS!$I1288,nEVAL,"EX")=0),0))))</f>
      </c>
      <c r="H1288">
        <f>IF(DATOS!$G1288&lt;&gt;"EX",0,--(COUNTIFS(nNIA,DATOS!$A1288,nCURSO,DATOS!$D1288,nESPEC,DATOS!$E1288,nASIG,DATOS!$I1288,nEVAL,"OR")=0))</f>
      </c>
      <c r="I1288">
        <f>IF(DATOS!$I1288="","",IFERROR(VLOOKUP(DATOS!$I1288,CONFIG_ASIGNATURAS!$B$2:$J$91,9,FALSE()),""))</f>
      </c>
    </row>
    <row r="1289">
      <c r="F1289">
        <f>IF(DATOS!$A1289="","",DATOS!$A1289&amp;"|"&amp;DATOS!$D1289&amp;"|"&amp;DATOS!$E1289&amp;"|"&amp;DATOS!$I1289)</f>
      </c>
      <c r="G1289">
        <f>IF(DATOS!$A1289="",0,IF(CONFIG_METADATA!$B$4&lt;&gt;"OR+EX",--(DATOS!$G1289=CONFIG_METADATA!$B$4),IF(DATOS!$G1289="EX",1,IF(DATOS!$G1289="OR",--(COUNTIFS(nNIA,DATOS!$A1289,nCURSO,DATOS!$D1289,nESPEC,DATOS!$E1289,nASIG,DATOS!$I1289,nEVAL,"EX")=0),0))))</f>
      </c>
      <c r="H1289">
        <f>IF(DATOS!$G1289&lt;&gt;"EX",0,--(COUNTIFS(nNIA,DATOS!$A1289,nCURSO,DATOS!$D1289,nESPEC,DATOS!$E1289,nASIG,DATOS!$I1289,nEVAL,"OR")=0))</f>
      </c>
      <c r="I1289">
        <f>IF(DATOS!$I1289="","",IFERROR(VLOOKUP(DATOS!$I1289,CONFIG_ASIGNATURAS!$B$2:$J$91,9,FALSE()),""))</f>
      </c>
    </row>
    <row r="1290">
      <c r="F1290">
        <f>IF(DATOS!$A1290="","",DATOS!$A1290&amp;"|"&amp;DATOS!$D1290&amp;"|"&amp;DATOS!$E1290&amp;"|"&amp;DATOS!$I1290)</f>
      </c>
      <c r="G1290">
        <f>IF(DATOS!$A1290="",0,IF(CONFIG_METADATA!$B$4&lt;&gt;"OR+EX",--(DATOS!$G1290=CONFIG_METADATA!$B$4),IF(DATOS!$G1290="EX",1,IF(DATOS!$G1290="OR",--(COUNTIFS(nNIA,DATOS!$A1290,nCURSO,DATOS!$D1290,nESPEC,DATOS!$E1290,nASIG,DATOS!$I1290,nEVAL,"EX")=0),0))))</f>
      </c>
      <c r="H1290">
        <f>IF(DATOS!$G1290&lt;&gt;"EX",0,--(COUNTIFS(nNIA,DATOS!$A1290,nCURSO,DATOS!$D1290,nESPEC,DATOS!$E1290,nASIG,DATOS!$I1290,nEVAL,"OR")=0))</f>
      </c>
      <c r="I1290">
        <f>IF(DATOS!$I1290="","",IFERROR(VLOOKUP(DATOS!$I1290,CONFIG_ASIGNATURAS!$B$2:$J$91,9,FALSE()),""))</f>
      </c>
    </row>
    <row r="1291">
      <c r="F1291">
        <f>IF(DATOS!$A1291="","",DATOS!$A1291&amp;"|"&amp;DATOS!$D1291&amp;"|"&amp;DATOS!$E1291&amp;"|"&amp;DATOS!$I1291)</f>
      </c>
      <c r="G1291">
        <f>IF(DATOS!$A1291="",0,IF(CONFIG_METADATA!$B$4&lt;&gt;"OR+EX",--(DATOS!$G1291=CONFIG_METADATA!$B$4),IF(DATOS!$G1291="EX",1,IF(DATOS!$G1291="OR",--(COUNTIFS(nNIA,DATOS!$A1291,nCURSO,DATOS!$D1291,nESPEC,DATOS!$E1291,nASIG,DATOS!$I1291,nEVAL,"EX")=0),0))))</f>
      </c>
      <c r="H1291">
        <f>IF(DATOS!$G1291&lt;&gt;"EX",0,--(COUNTIFS(nNIA,DATOS!$A1291,nCURSO,DATOS!$D1291,nESPEC,DATOS!$E1291,nASIG,DATOS!$I1291,nEVAL,"OR")=0))</f>
      </c>
      <c r="I1291">
        <f>IF(DATOS!$I1291="","",IFERROR(VLOOKUP(DATOS!$I1291,CONFIG_ASIGNATURAS!$B$2:$J$91,9,FALSE()),""))</f>
      </c>
    </row>
    <row r="1292">
      <c r="F1292">
        <f>IF(DATOS!$A1292="","",DATOS!$A1292&amp;"|"&amp;DATOS!$D1292&amp;"|"&amp;DATOS!$E1292&amp;"|"&amp;DATOS!$I1292)</f>
      </c>
      <c r="G1292">
        <f>IF(DATOS!$A1292="",0,IF(CONFIG_METADATA!$B$4&lt;&gt;"OR+EX",--(DATOS!$G1292=CONFIG_METADATA!$B$4),IF(DATOS!$G1292="EX",1,IF(DATOS!$G1292="OR",--(COUNTIFS(nNIA,DATOS!$A1292,nCURSO,DATOS!$D1292,nESPEC,DATOS!$E1292,nASIG,DATOS!$I1292,nEVAL,"EX")=0),0))))</f>
      </c>
      <c r="H1292">
        <f>IF(DATOS!$G1292&lt;&gt;"EX",0,--(COUNTIFS(nNIA,DATOS!$A1292,nCURSO,DATOS!$D1292,nESPEC,DATOS!$E1292,nASIG,DATOS!$I1292,nEVAL,"OR")=0))</f>
      </c>
      <c r="I1292">
        <f>IF(DATOS!$I1292="","",IFERROR(VLOOKUP(DATOS!$I1292,CONFIG_ASIGNATURAS!$B$2:$J$91,9,FALSE()),""))</f>
      </c>
    </row>
    <row r="1293">
      <c r="F1293">
        <f>IF(DATOS!$A1293="","",DATOS!$A1293&amp;"|"&amp;DATOS!$D1293&amp;"|"&amp;DATOS!$E1293&amp;"|"&amp;DATOS!$I1293)</f>
      </c>
      <c r="G1293">
        <f>IF(DATOS!$A1293="",0,IF(CONFIG_METADATA!$B$4&lt;&gt;"OR+EX",--(DATOS!$G1293=CONFIG_METADATA!$B$4),IF(DATOS!$G1293="EX",1,IF(DATOS!$G1293="OR",--(COUNTIFS(nNIA,DATOS!$A1293,nCURSO,DATOS!$D1293,nESPEC,DATOS!$E1293,nASIG,DATOS!$I1293,nEVAL,"EX")=0),0))))</f>
      </c>
      <c r="H1293">
        <f>IF(DATOS!$G1293&lt;&gt;"EX",0,--(COUNTIFS(nNIA,DATOS!$A1293,nCURSO,DATOS!$D1293,nESPEC,DATOS!$E1293,nASIG,DATOS!$I1293,nEVAL,"OR")=0))</f>
      </c>
      <c r="I1293">
        <f>IF(DATOS!$I1293="","",IFERROR(VLOOKUP(DATOS!$I1293,CONFIG_ASIGNATURAS!$B$2:$J$91,9,FALSE()),""))</f>
      </c>
    </row>
    <row r="1294">
      <c r="F1294">
        <f>IF(DATOS!$A1294="","",DATOS!$A1294&amp;"|"&amp;DATOS!$D1294&amp;"|"&amp;DATOS!$E1294&amp;"|"&amp;DATOS!$I1294)</f>
      </c>
      <c r="G1294">
        <f>IF(DATOS!$A1294="",0,IF(CONFIG_METADATA!$B$4&lt;&gt;"OR+EX",--(DATOS!$G1294=CONFIG_METADATA!$B$4),IF(DATOS!$G1294="EX",1,IF(DATOS!$G1294="OR",--(COUNTIFS(nNIA,DATOS!$A1294,nCURSO,DATOS!$D1294,nESPEC,DATOS!$E1294,nASIG,DATOS!$I1294,nEVAL,"EX")=0),0))))</f>
      </c>
      <c r="H1294">
        <f>IF(DATOS!$G1294&lt;&gt;"EX",0,--(COUNTIFS(nNIA,DATOS!$A1294,nCURSO,DATOS!$D1294,nESPEC,DATOS!$E1294,nASIG,DATOS!$I1294,nEVAL,"OR")=0))</f>
      </c>
      <c r="I1294">
        <f>IF(DATOS!$I1294="","",IFERROR(VLOOKUP(DATOS!$I1294,CONFIG_ASIGNATURAS!$B$2:$J$91,9,FALSE()),""))</f>
      </c>
    </row>
    <row r="1295">
      <c r="F1295">
        <f>IF(DATOS!$A1295="","",DATOS!$A1295&amp;"|"&amp;DATOS!$D1295&amp;"|"&amp;DATOS!$E1295&amp;"|"&amp;DATOS!$I1295)</f>
      </c>
      <c r="G1295">
        <f>IF(DATOS!$A1295="",0,IF(CONFIG_METADATA!$B$4&lt;&gt;"OR+EX",--(DATOS!$G1295=CONFIG_METADATA!$B$4),IF(DATOS!$G1295="EX",1,IF(DATOS!$G1295="OR",--(COUNTIFS(nNIA,DATOS!$A1295,nCURSO,DATOS!$D1295,nESPEC,DATOS!$E1295,nASIG,DATOS!$I1295,nEVAL,"EX")=0),0))))</f>
      </c>
      <c r="H1295">
        <f>IF(DATOS!$G1295&lt;&gt;"EX",0,--(COUNTIFS(nNIA,DATOS!$A1295,nCURSO,DATOS!$D1295,nESPEC,DATOS!$E1295,nASIG,DATOS!$I1295,nEVAL,"OR")=0))</f>
      </c>
      <c r="I1295">
        <f>IF(DATOS!$I1295="","",IFERROR(VLOOKUP(DATOS!$I1295,CONFIG_ASIGNATURAS!$B$2:$J$91,9,FALSE()),""))</f>
      </c>
    </row>
    <row r="1296">
      <c r="F1296">
        <f>IF(DATOS!$A1296="","",DATOS!$A1296&amp;"|"&amp;DATOS!$D1296&amp;"|"&amp;DATOS!$E1296&amp;"|"&amp;DATOS!$I1296)</f>
      </c>
      <c r="G1296">
        <f>IF(DATOS!$A1296="",0,IF(CONFIG_METADATA!$B$4&lt;&gt;"OR+EX",--(DATOS!$G1296=CONFIG_METADATA!$B$4),IF(DATOS!$G1296="EX",1,IF(DATOS!$G1296="OR",--(COUNTIFS(nNIA,DATOS!$A1296,nCURSO,DATOS!$D1296,nESPEC,DATOS!$E1296,nASIG,DATOS!$I1296,nEVAL,"EX")=0),0))))</f>
      </c>
      <c r="H1296">
        <f>IF(DATOS!$G1296&lt;&gt;"EX",0,--(COUNTIFS(nNIA,DATOS!$A1296,nCURSO,DATOS!$D1296,nESPEC,DATOS!$E1296,nASIG,DATOS!$I1296,nEVAL,"OR")=0))</f>
      </c>
      <c r="I1296">
        <f>IF(DATOS!$I1296="","",IFERROR(VLOOKUP(DATOS!$I1296,CONFIG_ASIGNATURAS!$B$2:$J$91,9,FALSE()),""))</f>
      </c>
    </row>
    <row r="1297">
      <c r="F1297">
        <f>IF(DATOS!$A1297="","",DATOS!$A1297&amp;"|"&amp;DATOS!$D1297&amp;"|"&amp;DATOS!$E1297&amp;"|"&amp;DATOS!$I1297)</f>
      </c>
      <c r="G1297">
        <f>IF(DATOS!$A1297="",0,IF(CONFIG_METADATA!$B$4&lt;&gt;"OR+EX",--(DATOS!$G1297=CONFIG_METADATA!$B$4),IF(DATOS!$G1297="EX",1,IF(DATOS!$G1297="OR",--(COUNTIFS(nNIA,DATOS!$A1297,nCURSO,DATOS!$D1297,nESPEC,DATOS!$E1297,nASIG,DATOS!$I1297,nEVAL,"EX")=0),0))))</f>
      </c>
      <c r="H1297">
        <f>IF(DATOS!$G1297&lt;&gt;"EX",0,--(COUNTIFS(nNIA,DATOS!$A1297,nCURSO,DATOS!$D1297,nESPEC,DATOS!$E1297,nASIG,DATOS!$I1297,nEVAL,"OR")=0))</f>
      </c>
      <c r="I1297">
        <f>IF(DATOS!$I1297="","",IFERROR(VLOOKUP(DATOS!$I1297,CONFIG_ASIGNATURAS!$B$2:$J$91,9,FALSE()),""))</f>
      </c>
    </row>
    <row r="1298">
      <c r="F1298">
        <f>IF(DATOS!$A1298="","",DATOS!$A1298&amp;"|"&amp;DATOS!$D1298&amp;"|"&amp;DATOS!$E1298&amp;"|"&amp;DATOS!$I1298)</f>
      </c>
      <c r="G1298">
        <f>IF(DATOS!$A1298="",0,IF(CONFIG_METADATA!$B$4&lt;&gt;"OR+EX",--(DATOS!$G1298=CONFIG_METADATA!$B$4),IF(DATOS!$G1298="EX",1,IF(DATOS!$G1298="OR",--(COUNTIFS(nNIA,DATOS!$A1298,nCURSO,DATOS!$D1298,nESPEC,DATOS!$E1298,nASIG,DATOS!$I1298,nEVAL,"EX")=0),0))))</f>
      </c>
      <c r="H1298">
        <f>IF(DATOS!$G1298&lt;&gt;"EX",0,--(COUNTIFS(nNIA,DATOS!$A1298,nCURSO,DATOS!$D1298,nESPEC,DATOS!$E1298,nASIG,DATOS!$I1298,nEVAL,"OR")=0))</f>
      </c>
      <c r="I1298">
        <f>IF(DATOS!$I1298="","",IFERROR(VLOOKUP(DATOS!$I1298,CONFIG_ASIGNATURAS!$B$2:$J$91,9,FALSE()),""))</f>
      </c>
    </row>
    <row r="1299">
      <c r="F1299">
        <f>IF(DATOS!$A1299="","",DATOS!$A1299&amp;"|"&amp;DATOS!$D1299&amp;"|"&amp;DATOS!$E1299&amp;"|"&amp;DATOS!$I1299)</f>
      </c>
      <c r="G1299">
        <f>IF(DATOS!$A1299="",0,IF(CONFIG_METADATA!$B$4&lt;&gt;"OR+EX",--(DATOS!$G1299=CONFIG_METADATA!$B$4),IF(DATOS!$G1299="EX",1,IF(DATOS!$G1299="OR",--(COUNTIFS(nNIA,DATOS!$A1299,nCURSO,DATOS!$D1299,nESPEC,DATOS!$E1299,nASIG,DATOS!$I1299,nEVAL,"EX")=0),0))))</f>
      </c>
      <c r="H1299">
        <f>IF(DATOS!$G1299&lt;&gt;"EX",0,--(COUNTIFS(nNIA,DATOS!$A1299,nCURSO,DATOS!$D1299,nESPEC,DATOS!$E1299,nASIG,DATOS!$I1299,nEVAL,"OR")=0))</f>
      </c>
      <c r="I1299">
        <f>IF(DATOS!$I1299="","",IFERROR(VLOOKUP(DATOS!$I1299,CONFIG_ASIGNATURAS!$B$2:$J$91,9,FALSE()),""))</f>
      </c>
    </row>
    <row r="1300">
      <c r="F1300">
        <f>IF(DATOS!$A1300="","",DATOS!$A1300&amp;"|"&amp;DATOS!$D1300&amp;"|"&amp;DATOS!$E1300&amp;"|"&amp;DATOS!$I1300)</f>
      </c>
      <c r="G1300">
        <f>IF(DATOS!$A1300="",0,IF(CONFIG_METADATA!$B$4&lt;&gt;"OR+EX",--(DATOS!$G1300=CONFIG_METADATA!$B$4),IF(DATOS!$G1300="EX",1,IF(DATOS!$G1300="OR",--(COUNTIFS(nNIA,DATOS!$A1300,nCURSO,DATOS!$D1300,nESPEC,DATOS!$E1300,nASIG,DATOS!$I1300,nEVAL,"EX")=0),0))))</f>
      </c>
      <c r="H1300">
        <f>IF(DATOS!$G1300&lt;&gt;"EX",0,--(COUNTIFS(nNIA,DATOS!$A1300,nCURSO,DATOS!$D1300,nESPEC,DATOS!$E1300,nASIG,DATOS!$I1300,nEVAL,"OR")=0))</f>
      </c>
      <c r="I1300">
        <f>IF(DATOS!$I1300="","",IFERROR(VLOOKUP(DATOS!$I1300,CONFIG_ASIGNATURAS!$B$2:$J$91,9,FALSE()),""))</f>
      </c>
    </row>
    <row r="1301">
      <c r="F1301">
        <f>IF(DATOS!$A1301="","",DATOS!$A1301&amp;"|"&amp;DATOS!$D1301&amp;"|"&amp;DATOS!$E1301&amp;"|"&amp;DATOS!$I1301)</f>
      </c>
      <c r="G1301">
        <f>IF(DATOS!$A1301="",0,IF(CONFIG_METADATA!$B$4&lt;&gt;"OR+EX",--(DATOS!$G1301=CONFIG_METADATA!$B$4),IF(DATOS!$G1301="EX",1,IF(DATOS!$G1301="OR",--(COUNTIFS(nNIA,DATOS!$A1301,nCURSO,DATOS!$D1301,nESPEC,DATOS!$E1301,nASIG,DATOS!$I1301,nEVAL,"EX")=0),0))))</f>
      </c>
      <c r="H1301">
        <f>IF(DATOS!$G1301&lt;&gt;"EX",0,--(COUNTIFS(nNIA,DATOS!$A1301,nCURSO,DATOS!$D1301,nESPEC,DATOS!$E1301,nASIG,DATOS!$I1301,nEVAL,"OR")=0))</f>
      </c>
      <c r="I1301">
        <f>IF(DATOS!$I1301="","",IFERROR(VLOOKUP(DATOS!$I1301,CONFIG_ASIGNATURAS!$B$2:$J$91,9,FALSE()),""))</f>
      </c>
    </row>
    <row r="1302">
      <c r="F1302">
        <f>IF(DATOS!$A1302="","",DATOS!$A1302&amp;"|"&amp;DATOS!$D1302&amp;"|"&amp;DATOS!$E1302&amp;"|"&amp;DATOS!$I1302)</f>
      </c>
      <c r="G1302">
        <f>IF(DATOS!$A1302="",0,IF(CONFIG_METADATA!$B$4&lt;&gt;"OR+EX",--(DATOS!$G1302=CONFIG_METADATA!$B$4),IF(DATOS!$G1302="EX",1,IF(DATOS!$G1302="OR",--(COUNTIFS(nNIA,DATOS!$A1302,nCURSO,DATOS!$D1302,nESPEC,DATOS!$E1302,nASIG,DATOS!$I1302,nEVAL,"EX")=0),0))))</f>
      </c>
      <c r="H1302">
        <f>IF(DATOS!$G1302&lt;&gt;"EX",0,--(COUNTIFS(nNIA,DATOS!$A1302,nCURSO,DATOS!$D1302,nESPEC,DATOS!$E1302,nASIG,DATOS!$I1302,nEVAL,"OR")=0))</f>
      </c>
      <c r="I1302">
        <f>IF(DATOS!$I1302="","",IFERROR(VLOOKUP(DATOS!$I1302,CONFIG_ASIGNATURAS!$B$2:$J$91,9,FALSE()),""))</f>
      </c>
    </row>
    <row r="1303">
      <c r="F1303">
        <f>IF(DATOS!$A1303="","",DATOS!$A1303&amp;"|"&amp;DATOS!$D1303&amp;"|"&amp;DATOS!$E1303&amp;"|"&amp;DATOS!$I1303)</f>
      </c>
      <c r="G1303">
        <f>IF(DATOS!$A1303="",0,IF(CONFIG_METADATA!$B$4&lt;&gt;"OR+EX",--(DATOS!$G1303=CONFIG_METADATA!$B$4),IF(DATOS!$G1303="EX",1,IF(DATOS!$G1303="OR",--(COUNTIFS(nNIA,DATOS!$A1303,nCURSO,DATOS!$D1303,nESPEC,DATOS!$E1303,nASIG,DATOS!$I1303,nEVAL,"EX")=0),0))))</f>
      </c>
      <c r="H1303">
        <f>IF(DATOS!$G1303&lt;&gt;"EX",0,--(COUNTIFS(nNIA,DATOS!$A1303,nCURSO,DATOS!$D1303,nESPEC,DATOS!$E1303,nASIG,DATOS!$I1303,nEVAL,"OR")=0))</f>
      </c>
      <c r="I1303">
        <f>IF(DATOS!$I1303="","",IFERROR(VLOOKUP(DATOS!$I1303,CONFIG_ASIGNATURAS!$B$2:$J$91,9,FALSE()),""))</f>
      </c>
    </row>
    <row r="1304">
      <c r="F1304">
        <f>IF(DATOS!$A1304="","",DATOS!$A1304&amp;"|"&amp;DATOS!$D1304&amp;"|"&amp;DATOS!$E1304&amp;"|"&amp;DATOS!$I1304)</f>
      </c>
      <c r="G1304">
        <f>IF(DATOS!$A1304="",0,IF(CONFIG_METADATA!$B$4&lt;&gt;"OR+EX",--(DATOS!$G1304=CONFIG_METADATA!$B$4),IF(DATOS!$G1304="EX",1,IF(DATOS!$G1304="OR",--(COUNTIFS(nNIA,DATOS!$A1304,nCURSO,DATOS!$D1304,nESPEC,DATOS!$E1304,nASIG,DATOS!$I1304,nEVAL,"EX")=0),0))))</f>
      </c>
      <c r="H1304">
        <f>IF(DATOS!$G1304&lt;&gt;"EX",0,--(COUNTIFS(nNIA,DATOS!$A1304,nCURSO,DATOS!$D1304,nESPEC,DATOS!$E1304,nASIG,DATOS!$I1304,nEVAL,"OR")=0))</f>
      </c>
      <c r="I1304">
        <f>IF(DATOS!$I1304="","",IFERROR(VLOOKUP(DATOS!$I1304,CONFIG_ASIGNATURAS!$B$2:$J$91,9,FALSE()),""))</f>
      </c>
    </row>
    <row r="1305">
      <c r="F1305">
        <f>IF(DATOS!$A1305="","",DATOS!$A1305&amp;"|"&amp;DATOS!$D1305&amp;"|"&amp;DATOS!$E1305&amp;"|"&amp;DATOS!$I1305)</f>
      </c>
      <c r="G1305">
        <f>IF(DATOS!$A1305="",0,IF(CONFIG_METADATA!$B$4&lt;&gt;"OR+EX",--(DATOS!$G1305=CONFIG_METADATA!$B$4),IF(DATOS!$G1305="EX",1,IF(DATOS!$G1305="OR",--(COUNTIFS(nNIA,DATOS!$A1305,nCURSO,DATOS!$D1305,nESPEC,DATOS!$E1305,nASIG,DATOS!$I1305,nEVAL,"EX")=0),0))))</f>
      </c>
      <c r="H1305">
        <f>IF(DATOS!$G1305&lt;&gt;"EX",0,--(COUNTIFS(nNIA,DATOS!$A1305,nCURSO,DATOS!$D1305,nESPEC,DATOS!$E1305,nASIG,DATOS!$I1305,nEVAL,"OR")=0))</f>
      </c>
      <c r="I1305">
        <f>IF(DATOS!$I1305="","",IFERROR(VLOOKUP(DATOS!$I1305,CONFIG_ASIGNATURAS!$B$2:$J$91,9,FALSE()),""))</f>
      </c>
    </row>
    <row r="1306">
      <c r="F1306">
        <f>IF(DATOS!$A1306="","",DATOS!$A1306&amp;"|"&amp;DATOS!$D1306&amp;"|"&amp;DATOS!$E1306&amp;"|"&amp;DATOS!$I1306)</f>
      </c>
      <c r="G1306">
        <f>IF(DATOS!$A1306="",0,IF(CONFIG_METADATA!$B$4&lt;&gt;"OR+EX",--(DATOS!$G1306=CONFIG_METADATA!$B$4),IF(DATOS!$G1306="EX",1,IF(DATOS!$G1306="OR",--(COUNTIFS(nNIA,DATOS!$A1306,nCURSO,DATOS!$D1306,nESPEC,DATOS!$E1306,nASIG,DATOS!$I1306,nEVAL,"EX")=0),0))))</f>
      </c>
      <c r="H1306">
        <f>IF(DATOS!$G1306&lt;&gt;"EX",0,--(COUNTIFS(nNIA,DATOS!$A1306,nCURSO,DATOS!$D1306,nESPEC,DATOS!$E1306,nASIG,DATOS!$I1306,nEVAL,"OR")=0))</f>
      </c>
      <c r="I1306">
        <f>IF(DATOS!$I1306="","",IFERROR(VLOOKUP(DATOS!$I1306,CONFIG_ASIGNATURAS!$B$2:$J$91,9,FALSE()),""))</f>
      </c>
    </row>
    <row r="1307">
      <c r="F1307">
        <f>IF(DATOS!$A1307="","",DATOS!$A1307&amp;"|"&amp;DATOS!$D1307&amp;"|"&amp;DATOS!$E1307&amp;"|"&amp;DATOS!$I1307)</f>
      </c>
      <c r="G1307">
        <f>IF(DATOS!$A1307="",0,IF(CONFIG_METADATA!$B$4&lt;&gt;"OR+EX",--(DATOS!$G1307=CONFIG_METADATA!$B$4),IF(DATOS!$G1307="EX",1,IF(DATOS!$G1307="OR",--(COUNTIFS(nNIA,DATOS!$A1307,nCURSO,DATOS!$D1307,nESPEC,DATOS!$E1307,nASIG,DATOS!$I1307,nEVAL,"EX")=0),0))))</f>
      </c>
      <c r="H1307">
        <f>IF(DATOS!$G1307&lt;&gt;"EX",0,--(COUNTIFS(nNIA,DATOS!$A1307,nCURSO,DATOS!$D1307,nESPEC,DATOS!$E1307,nASIG,DATOS!$I1307,nEVAL,"OR")=0))</f>
      </c>
      <c r="I1307">
        <f>IF(DATOS!$I1307="","",IFERROR(VLOOKUP(DATOS!$I1307,CONFIG_ASIGNATURAS!$B$2:$J$91,9,FALSE()),""))</f>
      </c>
    </row>
    <row r="1308">
      <c r="F1308">
        <f>IF(DATOS!$A1308="","",DATOS!$A1308&amp;"|"&amp;DATOS!$D1308&amp;"|"&amp;DATOS!$E1308&amp;"|"&amp;DATOS!$I1308)</f>
      </c>
      <c r="G1308">
        <f>IF(DATOS!$A1308="",0,IF(CONFIG_METADATA!$B$4&lt;&gt;"OR+EX",--(DATOS!$G1308=CONFIG_METADATA!$B$4),IF(DATOS!$G1308="EX",1,IF(DATOS!$G1308="OR",--(COUNTIFS(nNIA,DATOS!$A1308,nCURSO,DATOS!$D1308,nESPEC,DATOS!$E1308,nASIG,DATOS!$I1308,nEVAL,"EX")=0),0))))</f>
      </c>
      <c r="H1308">
        <f>IF(DATOS!$G1308&lt;&gt;"EX",0,--(COUNTIFS(nNIA,DATOS!$A1308,nCURSO,DATOS!$D1308,nESPEC,DATOS!$E1308,nASIG,DATOS!$I1308,nEVAL,"OR")=0))</f>
      </c>
      <c r="I1308">
        <f>IF(DATOS!$I1308="","",IFERROR(VLOOKUP(DATOS!$I1308,CONFIG_ASIGNATURAS!$B$2:$J$91,9,FALSE()),""))</f>
      </c>
    </row>
    <row r="1309">
      <c r="F1309">
        <f>IF(DATOS!$A1309="","",DATOS!$A1309&amp;"|"&amp;DATOS!$D1309&amp;"|"&amp;DATOS!$E1309&amp;"|"&amp;DATOS!$I1309)</f>
      </c>
      <c r="G1309">
        <f>IF(DATOS!$A1309="",0,IF(CONFIG_METADATA!$B$4&lt;&gt;"OR+EX",--(DATOS!$G1309=CONFIG_METADATA!$B$4),IF(DATOS!$G1309="EX",1,IF(DATOS!$G1309="OR",--(COUNTIFS(nNIA,DATOS!$A1309,nCURSO,DATOS!$D1309,nESPEC,DATOS!$E1309,nASIG,DATOS!$I1309,nEVAL,"EX")=0),0))))</f>
      </c>
      <c r="H1309">
        <f>IF(DATOS!$G1309&lt;&gt;"EX",0,--(COUNTIFS(nNIA,DATOS!$A1309,nCURSO,DATOS!$D1309,nESPEC,DATOS!$E1309,nASIG,DATOS!$I1309,nEVAL,"OR")=0))</f>
      </c>
      <c r="I1309">
        <f>IF(DATOS!$I1309="","",IFERROR(VLOOKUP(DATOS!$I1309,CONFIG_ASIGNATURAS!$B$2:$J$91,9,FALSE()),""))</f>
      </c>
    </row>
    <row r="1310">
      <c r="F1310">
        <f>IF(DATOS!$A1310="","",DATOS!$A1310&amp;"|"&amp;DATOS!$D1310&amp;"|"&amp;DATOS!$E1310&amp;"|"&amp;DATOS!$I1310)</f>
      </c>
      <c r="G1310">
        <f>IF(DATOS!$A1310="",0,IF(CONFIG_METADATA!$B$4&lt;&gt;"OR+EX",--(DATOS!$G1310=CONFIG_METADATA!$B$4),IF(DATOS!$G1310="EX",1,IF(DATOS!$G1310="OR",--(COUNTIFS(nNIA,DATOS!$A1310,nCURSO,DATOS!$D1310,nESPEC,DATOS!$E1310,nASIG,DATOS!$I1310,nEVAL,"EX")=0),0))))</f>
      </c>
      <c r="H1310">
        <f>IF(DATOS!$G1310&lt;&gt;"EX",0,--(COUNTIFS(nNIA,DATOS!$A1310,nCURSO,DATOS!$D1310,nESPEC,DATOS!$E1310,nASIG,DATOS!$I1310,nEVAL,"OR")=0))</f>
      </c>
      <c r="I1310">
        <f>IF(DATOS!$I1310="","",IFERROR(VLOOKUP(DATOS!$I1310,CONFIG_ASIGNATURAS!$B$2:$J$91,9,FALSE()),""))</f>
      </c>
    </row>
    <row r="1311">
      <c r="F1311">
        <f>IF(DATOS!$A1311="","",DATOS!$A1311&amp;"|"&amp;DATOS!$D1311&amp;"|"&amp;DATOS!$E1311&amp;"|"&amp;DATOS!$I1311)</f>
      </c>
      <c r="G1311">
        <f>IF(DATOS!$A1311="",0,IF(CONFIG_METADATA!$B$4&lt;&gt;"OR+EX",--(DATOS!$G1311=CONFIG_METADATA!$B$4),IF(DATOS!$G1311="EX",1,IF(DATOS!$G1311="OR",--(COUNTIFS(nNIA,DATOS!$A1311,nCURSO,DATOS!$D1311,nESPEC,DATOS!$E1311,nASIG,DATOS!$I1311,nEVAL,"EX")=0),0))))</f>
      </c>
      <c r="H1311">
        <f>IF(DATOS!$G1311&lt;&gt;"EX",0,--(COUNTIFS(nNIA,DATOS!$A1311,nCURSO,DATOS!$D1311,nESPEC,DATOS!$E1311,nASIG,DATOS!$I1311,nEVAL,"OR")=0))</f>
      </c>
      <c r="I1311">
        <f>IF(DATOS!$I1311="","",IFERROR(VLOOKUP(DATOS!$I1311,CONFIG_ASIGNATURAS!$B$2:$J$91,9,FALSE()),""))</f>
      </c>
    </row>
    <row r="1312">
      <c r="F1312">
        <f>IF(DATOS!$A1312="","",DATOS!$A1312&amp;"|"&amp;DATOS!$D1312&amp;"|"&amp;DATOS!$E1312&amp;"|"&amp;DATOS!$I1312)</f>
      </c>
      <c r="G1312">
        <f>IF(DATOS!$A1312="",0,IF(CONFIG_METADATA!$B$4&lt;&gt;"OR+EX",--(DATOS!$G1312=CONFIG_METADATA!$B$4),IF(DATOS!$G1312="EX",1,IF(DATOS!$G1312="OR",--(COUNTIFS(nNIA,DATOS!$A1312,nCURSO,DATOS!$D1312,nESPEC,DATOS!$E1312,nASIG,DATOS!$I1312,nEVAL,"EX")=0),0))))</f>
      </c>
      <c r="H1312">
        <f>IF(DATOS!$G1312&lt;&gt;"EX",0,--(COUNTIFS(nNIA,DATOS!$A1312,nCURSO,DATOS!$D1312,nESPEC,DATOS!$E1312,nASIG,DATOS!$I1312,nEVAL,"OR")=0))</f>
      </c>
      <c r="I1312">
        <f>IF(DATOS!$I1312="","",IFERROR(VLOOKUP(DATOS!$I1312,CONFIG_ASIGNATURAS!$B$2:$J$91,9,FALSE()),""))</f>
      </c>
    </row>
    <row r="1313">
      <c r="F1313">
        <f>IF(DATOS!$A1313="","",DATOS!$A1313&amp;"|"&amp;DATOS!$D1313&amp;"|"&amp;DATOS!$E1313&amp;"|"&amp;DATOS!$I1313)</f>
      </c>
      <c r="G1313">
        <f>IF(DATOS!$A1313="",0,IF(CONFIG_METADATA!$B$4&lt;&gt;"OR+EX",--(DATOS!$G1313=CONFIG_METADATA!$B$4),IF(DATOS!$G1313="EX",1,IF(DATOS!$G1313="OR",--(COUNTIFS(nNIA,DATOS!$A1313,nCURSO,DATOS!$D1313,nESPEC,DATOS!$E1313,nASIG,DATOS!$I1313,nEVAL,"EX")=0),0))))</f>
      </c>
      <c r="H1313">
        <f>IF(DATOS!$G1313&lt;&gt;"EX",0,--(COUNTIFS(nNIA,DATOS!$A1313,nCURSO,DATOS!$D1313,nESPEC,DATOS!$E1313,nASIG,DATOS!$I1313,nEVAL,"OR")=0))</f>
      </c>
      <c r="I1313">
        <f>IF(DATOS!$I1313="","",IFERROR(VLOOKUP(DATOS!$I1313,CONFIG_ASIGNATURAS!$B$2:$J$91,9,FALSE()),""))</f>
      </c>
    </row>
    <row r="1314">
      <c r="F1314">
        <f>IF(DATOS!$A1314="","",DATOS!$A1314&amp;"|"&amp;DATOS!$D1314&amp;"|"&amp;DATOS!$E1314&amp;"|"&amp;DATOS!$I1314)</f>
      </c>
      <c r="G1314">
        <f>IF(DATOS!$A1314="",0,IF(CONFIG_METADATA!$B$4&lt;&gt;"OR+EX",--(DATOS!$G1314=CONFIG_METADATA!$B$4),IF(DATOS!$G1314="EX",1,IF(DATOS!$G1314="OR",--(COUNTIFS(nNIA,DATOS!$A1314,nCURSO,DATOS!$D1314,nESPEC,DATOS!$E1314,nASIG,DATOS!$I1314,nEVAL,"EX")=0),0))))</f>
      </c>
      <c r="H1314">
        <f>IF(DATOS!$G1314&lt;&gt;"EX",0,--(COUNTIFS(nNIA,DATOS!$A1314,nCURSO,DATOS!$D1314,nESPEC,DATOS!$E1314,nASIG,DATOS!$I1314,nEVAL,"OR")=0))</f>
      </c>
      <c r="I1314">
        <f>IF(DATOS!$I1314="","",IFERROR(VLOOKUP(DATOS!$I1314,CONFIG_ASIGNATURAS!$B$2:$J$91,9,FALSE()),""))</f>
      </c>
    </row>
    <row r="1315">
      <c r="F1315">
        <f>IF(DATOS!$A1315="","",DATOS!$A1315&amp;"|"&amp;DATOS!$D1315&amp;"|"&amp;DATOS!$E1315&amp;"|"&amp;DATOS!$I1315)</f>
      </c>
      <c r="G1315">
        <f>IF(DATOS!$A1315="",0,IF(CONFIG_METADATA!$B$4&lt;&gt;"OR+EX",--(DATOS!$G1315=CONFIG_METADATA!$B$4),IF(DATOS!$G1315="EX",1,IF(DATOS!$G1315="OR",--(COUNTIFS(nNIA,DATOS!$A1315,nCURSO,DATOS!$D1315,nESPEC,DATOS!$E1315,nASIG,DATOS!$I1315,nEVAL,"EX")=0),0))))</f>
      </c>
      <c r="H1315">
        <f>IF(DATOS!$G1315&lt;&gt;"EX",0,--(COUNTIFS(nNIA,DATOS!$A1315,nCURSO,DATOS!$D1315,nESPEC,DATOS!$E1315,nASIG,DATOS!$I1315,nEVAL,"OR")=0))</f>
      </c>
      <c r="I1315">
        <f>IF(DATOS!$I1315="","",IFERROR(VLOOKUP(DATOS!$I1315,CONFIG_ASIGNATURAS!$B$2:$J$91,9,FALSE()),""))</f>
      </c>
    </row>
    <row r="1316">
      <c r="F1316">
        <f>IF(DATOS!$A1316="","",DATOS!$A1316&amp;"|"&amp;DATOS!$D1316&amp;"|"&amp;DATOS!$E1316&amp;"|"&amp;DATOS!$I1316)</f>
      </c>
      <c r="G1316">
        <f>IF(DATOS!$A1316="",0,IF(CONFIG_METADATA!$B$4&lt;&gt;"OR+EX",--(DATOS!$G1316=CONFIG_METADATA!$B$4),IF(DATOS!$G1316="EX",1,IF(DATOS!$G1316="OR",--(COUNTIFS(nNIA,DATOS!$A1316,nCURSO,DATOS!$D1316,nESPEC,DATOS!$E1316,nASIG,DATOS!$I1316,nEVAL,"EX")=0),0))))</f>
      </c>
      <c r="H1316">
        <f>IF(DATOS!$G1316&lt;&gt;"EX",0,--(COUNTIFS(nNIA,DATOS!$A1316,nCURSO,DATOS!$D1316,nESPEC,DATOS!$E1316,nASIG,DATOS!$I1316,nEVAL,"OR")=0))</f>
      </c>
      <c r="I1316">
        <f>IF(DATOS!$I1316="","",IFERROR(VLOOKUP(DATOS!$I1316,CONFIG_ASIGNATURAS!$B$2:$J$91,9,FALSE()),""))</f>
      </c>
    </row>
    <row r="1317">
      <c r="F1317">
        <f>IF(DATOS!$A1317="","",DATOS!$A1317&amp;"|"&amp;DATOS!$D1317&amp;"|"&amp;DATOS!$E1317&amp;"|"&amp;DATOS!$I1317)</f>
      </c>
      <c r="G1317">
        <f>IF(DATOS!$A1317="",0,IF(CONFIG_METADATA!$B$4&lt;&gt;"OR+EX",--(DATOS!$G1317=CONFIG_METADATA!$B$4),IF(DATOS!$G1317="EX",1,IF(DATOS!$G1317="OR",--(COUNTIFS(nNIA,DATOS!$A1317,nCURSO,DATOS!$D1317,nESPEC,DATOS!$E1317,nASIG,DATOS!$I1317,nEVAL,"EX")=0),0))))</f>
      </c>
      <c r="H1317">
        <f>IF(DATOS!$G1317&lt;&gt;"EX",0,--(COUNTIFS(nNIA,DATOS!$A1317,nCURSO,DATOS!$D1317,nESPEC,DATOS!$E1317,nASIG,DATOS!$I1317,nEVAL,"OR")=0))</f>
      </c>
      <c r="I1317">
        <f>IF(DATOS!$I1317="","",IFERROR(VLOOKUP(DATOS!$I1317,CONFIG_ASIGNATURAS!$B$2:$J$91,9,FALSE()),""))</f>
      </c>
    </row>
    <row r="1318">
      <c r="F1318">
        <f>IF(DATOS!$A1318="","",DATOS!$A1318&amp;"|"&amp;DATOS!$D1318&amp;"|"&amp;DATOS!$E1318&amp;"|"&amp;DATOS!$I1318)</f>
      </c>
      <c r="G1318">
        <f>IF(DATOS!$A1318="",0,IF(CONFIG_METADATA!$B$4&lt;&gt;"OR+EX",--(DATOS!$G1318=CONFIG_METADATA!$B$4),IF(DATOS!$G1318="EX",1,IF(DATOS!$G1318="OR",--(COUNTIFS(nNIA,DATOS!$A1318,nCURSO,DATOS!$D1318,nESPEC,DATOS!$E1318,nASIG,DATOS!$I1318,nEVAL,"EX")=0),0))))</f>
      </c>
      <c r="H1318">
        <f>IF(DATOS!$G1318&lt;&gt;"EX",0,--(COUNTIFS(nNIA,DATOS!$A1318,nCURSO,DATOS!$D1318,nESPEC,DATOS!$E1318,nASIG,DATOS!$I1318,nEVAL,"OR")=0))</f>
      </c>
      <c r="I1318">
        <f>IF(DATOS!$I1318="","",IFERROR(VLOOKUP(DATOS!$I1318,CONFIG_ASIGNATURAS!$B$2:$J$91,9,FALSE()),""))</f>
      </c>
    </row>
    <row r="1319">
      <c r="F1319">
        <f>IF(DATOS!$A1319="","",DATOS!$A1319&amp;"|"&amp;DATOS!$D1319&amp;"|"&amp;DATOS!$E1319&amp;"|"&amp;DATOS!$I1319)</f>
      </c>
      <c r="G1319">
        <f>IF(DATOS!$A1319="",0,IF(CONFIG_METADATA!$B$4&lt;&gt;"OR+EX",--(DATOS!$G1319=CONFIG_METADATA!$B$4),IF(DATOS!$G1319="EX",1,IF(DATOS!$G1319="OR",--(COUNTIFS(nNIA,DATOS!$A1319,nCURSO,DATOS!$D1319,nESPEC,DATOS!$E1319,nASIG,DATOS!$I1319,nEVAL,"EX")=0),0))))</f>
      </c>
      <c r="H1319">
        <f>IF(DATOS!$G1319&lt;&gt;"EX",0,--(COUNTIFS(nNIA,DATOS!$A1319,nCURSO,DATOS!$D1319,nESPEC,DATOS!$E1319,nASIG,DATOS!$I1319,nEVAL,"OR")=0))</f>
      </c>
      <c r="I1319">
        <f>IF(DATOS!$I1319="","",IFERROR(VLOOKUP(DATOS!$I1319,CONFIG_ASIGNATURAS!$B$2:$J$91,9,FALSE()),""))</f>
      </c>
    </row>
    <row r="1320">
      <c r="F1320">
        <f>IF(DATOS!$A1320="","",DATOS!$A1320&amp;"|"&amp;DATOS!$D1320&amp;"|"&amp;DATOS!$E1320&amp;"|"&amp;DATOS!$I1320)</f>
      </c>
      <c r="G1320">
        <f>IF(DATOS!$A1320="",0,IF(CONFIG_METADATA!$B$4&lt;&gt;"OR+EX",--(DATOS!$G1320=CONFIG_METADATA!$B$4),IF(DATOS!$G1320="EX",1,IF(DATOS!$G1320="OR",--(COUNTIFS(nNIA,DATOS!$A1320,nCURSO,DATOS!$D1320,nESPEC,DATOS!$E1320,nASIG,DATOS!$I1320,nEVAL,"EX")=0),0))))</f>
      </c>
      <c r="H1320">
        <f>IF(DATOS!$G1320&lt;&gt;"EX",0,--(COUNTIFS(nNIA,DATOS!$A1320,nCURSO,DATOS!$D1320,nESPEC,DATOS!$E1320,nASIG,DATOS!$I1320,nEVAL,"OR")=0))</f>
      </c>
      <c r="I1320">
        <f>IF(DATOS!$I1320="","",IFERROR(VLOOKUP(DATOS!$I1320,CONFIG_ASIGNATURAS!$B$2:$J$91,9,FALSE()),""))</f>
      </c>
    </row>
    <row r="1321">
      <c r="F1321">
        <f>IF(DATOS!$A1321="","",DATOS!$A1321&amp;"|"&amp;DATOS!$D1321&amp;"|"&amp;DATOS!$E1321&amp;"|"&amp;DATOS!$I1321)</f>
      </c>
      <c r="G1321">
        <f>IF(DATOS!$A1321="",0,IF(CONFIG_METADATA!$B$4&lt;&gt;"OR+EX",--(DATOS!$G1321=CONFIG_METADATA!$B$4),IF(DATOS!$G1321="EX",1,IF(DATOS!$G1321="OR",--(COUNTIFS(nNIA,DATOS!$A1321,nCURSO,DATOS!$D1321,nESPEC,DATOS!$E1321,nASIG,DATOS!$I1321,nEVAL,"EX")=0),0))))</f>
      </c>
      <c r="H1321">
        <f>IF(DATOS!$G1321&lt;&gt;"EX",0,--(COUNTIFS(nNIA,DATOS!$A1321,nCURSO,DATOS!$D1321,nESPEC,DATOS!$E1321,nASIG,DATOS!$I1321,nEVAL,"OR")=0))</f>
      </c>
      <c r="I1321">
        <f>IF(DATOS!$I1321="","",IFERROR(VLOOKUP(DATOS!$I1321,CONFIG_ASIGNATURAS!$B$2:$J$91,9,FALSE()),""))</f>
      </c>
    </row>
    <row r="1322">
      <c r="F1322">
        <f>IF(DATOS!$A1322="","",DATOS!$A1322&amp;"|"&amp;DATOS!$D1322&amp;"|"&amp;DATOS!$E1322&amp;"|"&amp;DATOS!$I1322)</f>
      </c>
      <c r="G1322">
        <f>IF(DATOS!$A1322="",0,IF(CONFIG_METADATA!$B$4&lt;&gt;"OR+EX",--(DATOS!$G1322=CONFIG_METADATA!$B$4),IF(DATOS!$G1322="EX",1,IF(DATOS!$G1322="OR",--(COUNTIFS(nNIA,DATOS!$A1322,nCURSO,DATOS!$D1322,nESPEC,DATOS!$E1322,nASIG,DATOS!$I1322,nEVAL,"EX")=0),0))))</f>
      </c>
      <c r="H1322">
        <f>IF(DATOS!$G1322&lt;&gt;"EX",0,--(COUNTIFS(nNIA,DATOS!$A1322,nCURSO,DATOS!$D1322,nESPEC,DATOS!$E1322,nASIG,DATOS!$I1322,nEVAL,"OR")=0))</f>
      </c>
      <c r="I1322">
        <f>IF(DATOS!$I1322="","",IFERROR(VLOOKUP(DATOS!$I1322,CONFIG_ASIGNATURAS!$B$2:$J$91,9,FALSE()),""))</f>
      </c>
    </row>
    <row r="1323">
      <c r="F1323">
        <f>IF(DATOS!$A1323="","",DATOS!$A1323&amp;"|"&amp;DATOS!$D1323&amp;"|"&amp;DATOS!$E1323&amp;"|"&amp;DATOS!$I1323)</f>
      </c>
      <c r="G1323">
        <f>IF(DATOS!$A1323="",0,IF(CONFIG_METADATA!$B$4&lt;&gt;"OR+EX",--(DATOS!$G1323=CONFIG_METADATA!$B$4),IF(DATOS!$G1323="EX",1,IF(DATOS!$G1323="OR",--(COUNTIFS(nNIA,DATOS!$A1323,nCURSO,DATOS!$D1323,nESPEC,DATOS!$E1323,nASIG,DATOS!$I1323,nEVAL,"EX")=0),0))))</f>
      </c>
      <c r="H1323">
        <f>IF(DATOS!$G1323&lt;&gt;"EX",0,--(COUNTIFS(nNIA,DATOS!$A1323,nCURSO,DATOS!$D1323,nESPEC,DATOS!$E1323,nASIG,DATOS!$I1323,nEVAL,"OR")=0))</f>
      </c>
      <c r="I1323">
        <f>IF(DATOS!$I1323="","",IFERROR(VLOOKUP(DATOS!$I1323,CONFIG_ASIGNATURAS!$B$2:$J$91,9,FALSE()),""))</f>
      </c>
    </row>
    <row r="1324">
      <c r="F1324">
        <f>IF(DATOS!$A1324="","",DATOS!$A1324&amp;"|"&amp;DATOS!$D1324&amp;"|"&amp;DATOS!$E1324&amp;"|"&amp;DATOS!$I1324)</f>
      </c>
      <c r="G1324">
        <f>IF(DATOS!$A1324="",0,IF(CONFIG_METADATA!$B$4&lt;&gt;"OR+EX",--(DATOS!$G1324=CONFIG_METADATA!$B$4),IF(DATOS!$G1324="EX",1,IF(DATOS!$G1324="OR",--(COUNTIFS(nNIA,DATOS!$A1324,nCURSO,DATOS!$D1324,nESPEC,DATOS!$E1324,nASIG,DATOS!$I1324,nEVAL,"EX")=0),0))))</f>
      </c>
      <c r="H1324">
        <f>IF(DATOS!$G1324&lt;&gt;"EX",0,--(COUNTIFS(nNIA,DATOS!$A1324,nCURSO,DATOS!$D1324,nESPEC,DATOS!$E1324,nASIG,DATOS!$I1324,nEVAL,"OR")=0))</f>
      </c>
      <c r="I1324">
        <f>IF(DATOS!$I1324="","",IFERROR(VLOOKUP(DATOS!$I1324,CONFIG_ASIGNATURAS!$B$2:$J$91,9,FALSE()),""))</f>
      </c>
    </row>
    <row r="1325">
      <c r="F1325">
        <f>IF(DATOS!$A1325="","",DATOS!$A1325&amp;"|"&amp;DATOS!$D1325&amp;"|"&amp;DATOS!$E1325&amp;"|"&amp;DATOS!$I1325)</f>
      </c>
      <c r="G1325">
        <f>IF(DATOS!$A1325="",0,IF(CONFIG_METADATA!$B$4&lt;&gt;"OR+EX",--(DATOS!$G1325=CONFIG_METADATA!$B$4),IF(DATOS!$G1325="EX",1,IF(DATOS!$G1325="OR",--(COUNTIFS(nNIA,DATOS!$A1325,nCURSO,DATOS!$D1325,nESPEC,DATOS!$E1325,nASIG,DATOS!$I1325,nEVAL,"EX")=0),0))))</f>
      </c>
      <c r="H1325">
        <f>IF(DATOS!$G1325&lt;&gt;"EX",0,--(COUNTIFS(nNIA,DATOS!$A1325,nCURSO,DATOS!$D1325,nESPEC,DATOS!$E1325,nASIG,DATOS!$I1325,nEVAL,"OR")=0))</f>
      </c>
      <c r="I1325">
        <f>IF(DATOS!$I1325="","",IFERROR(VLOOKUP(DATOS!$I1325,CONFIG_ASIGNATURAS!$B$2:$J$91,9,FALSE()),""))</f>
      </c>
    </row>
    <row r="1326">
      <c r="F1326">
        <f>IF(DATOS!$A1326="","",DATOS!$A1326&amp;"|"&amp;DATOS!$D1326&amp;"|"&amp;DATOS!$E1326&amp;"|"&amp;DATOS!$I1326)</f>
      </c>
      <c r="G1326">
        <f>IF(DATOS!$A1326="",0,IF(CONFIG_METADATA!$B$4&lt;&gt;"OR+EX",--(DATOS!$G1326=CONFIG_METADATA!$B$4),IF(DATOS!$G1326="EX",1,IF(DATOS!$G1326="OR",--(COUNTIFS(nNIA,DATOS!$A1326,nCURSO,DATOS!$D1326,nESPEC,DATOS!$E1326,nASIG,DATOS!$I1326,nEVAL,"EX")=0),0))))</f>
      </c>
      <c r="H1326">
        <f>IF(DATOS!$G1326&lt;&gt;"EX",0,--(COUNTIFS(nNIA,DATOS!$A1326,nCURSO,DATOS!$D1326,nESPEC,DATOS!$E1326,nASIG,DATOS!$I1326,nEVAL,"OR")=0))</f>
      </c>
      <c r="I1326">
        <f>IF(DATOS!$I1326="","",IFERROR(VLOOKUP(DATOS!$I1326,CONFIG_ASIGNATURAS!$B$2:$J$91,9,FALSE()),""))</f>
      </c>
    </row>
    <row r="1327">
      <c r="F1327">
        <f>IF(DATOS!$A1327="","",DATOS!$A1327&amp;"|"&amp;DATOS!$D1327&amp;"|"&amp;DATOS!$E1327&amp;"|"&amp;DATOS!$I1327)</f>
      </c>
      <c r="G1327">
        <f>IF(DATOS!$A1327="",0,IF(CONFIG_METADATA!$B$4&lt;&gt;"OR+EX",--(DATOS!$G1327=CONFIG_METADATA!$B$4),IF(DATOS!$G1327="EX",1,IF(DATOS!$G1327="OR",--(COUNTIFS(nNIA,DATOS!$A1327,nCURSO,DATOS!$D1327,nESPEC,DATOS!$E1327,nASIG,DATOS!$I1327,nEVAL,"EX")=0),0))))</f>
      </c>
      <c r="H1327">
        <f>IF(DATOS!$G1327&lt;&gt;"EX",0,--(COUNTIFS(nNIA,DATOS!$A1327,nCURSO,DATOS!$D1327,nESPEC,DATOS!$E1327,nASIG,DATOS!$I1327,nEVAL,"OR")=0))</f>
      </c>
      <c r="I1327">
        <f>IF(DATOS!$I1327="","",IFERROR(VLOOKUP(DATOS!$I1327,CONFIG_ASIGNATURAS!$B$2:$J$91,9,FALSE()),""))</f>
      </c>
    </row>
    <row r="1328">
      <c r="F1328">
        <f>IF(DATOS!$A1328="","",DATOS!$A1328&amp;"|"&amp;DATOS!$D1328&amp;"|"&amp;DATOS!$E1328&amp;"|"&amp;DATOS!$I1328)</f>
      </c>
      <c r="G1328">
        <f>IF(DATOS!$A1328="",0,IF(CONFIG_METADATA!$B$4&lt;&gt;"OR+EX",--(DATOS!$G1328=CONFIG_METADATA!$B$4),IF(DATOS!$G1328="EX",1,IF(DATOS!$G1328="OR",--(COUNTIFS(nNIA,DATOS!$A1328,nCURSO,DATOS!$D1328,nESPEC,DATOS!$E1328,nASIG,DATOS!$I1328,nEVAL,"EX")=0),0))))</f>
      </c>
      <c r="H1328">
        <f>IF(DATOS!$G1328&lt;&gt;"EX",0,--(COUNTIFS(nNIA,DATOS!$A1328,nCURSO,DATOS!$D1328,nESPEC,DATOS!$E1328,nASIG,DATOS!$I1328,nEVAL,"OR")=0))</f>
      </c>
      <c r="I1328">
        <f>IF(DATOS!$I1328="","",IFERROR(VLOOKUP(DATOS!$I1328,CONFIG_ASIGNATURAS!$B$2:$J$91,9,FALSE()),""))</f>
      </c>
    </row>
    <row r="1329">
      <c r="F1329">
        <f>IF(DATOS!$A1329="","",DATOS!$A1329&amp;"|"&amp;DATOS!$D1329&amp;"|"&amp;DATOS!$E1329&amp;"|"&amp;DATOS!$I1329)</f>
      </c>
      <c r="G1329">
        <f>IF(DATOS!$A1329="",0,IF(CONFIG_METADATA!$B$4&lt;&gt;"OR+EX",--(DATOS!$G1329=CONFIG_METADATA!$B$4),IF(DATOS!$G1329="EX",1,IF(DATOS!$G1329="OR",--(COUNTIFS(nNIA,DATOS!$A1329,nCURSO,DATOS!$D1329,nESPEC,DATOS!$E1329,nASIG,DATOS!$I1329,nEVAL,"EX")=0),0))))</f>
      </c>
      <c r="H1329">
        <f>IF(DATOS!$G1329&lt;&gt;"EX",0,--(COUNTIFS(nNIA,DATOS!$A1329,nCURSO,DATOS!$D1329,nESPEC,DATOS!$E1329,nASIG,DATOS!$I1329,nEVAL,"OR")=0))</f>
      </c>
      <c r="I1329">
        <f>IF(DATOS!$I1329="","",IFERROR(VLOOKUP(DATOS!$I1329,CONFIG_ASIGNATURAS!$B$2:$J$91,9,FALSE()),""))</f>
      </c>
    </row>
    <row r="1330">
      <c r="F1330">
        <f>IF(DATOS!$A1330="","",DATOS!$A1330&amp;"|"&amp;DATOS!$D1330&amp;"|"&amp;DATOS!$E1330&amp;"|"&amp;DATOS!$I1330)</f>
      </c>
      <c r="G1330">
        <f>IF(DATOS!$A1330="",0,IF(CONFIG_METADATA!$B$4&lt;&gt;"OR+EX",--(DATOS!$G1330=CONFIG_METADATA!$B$4),IF(DATOS!$G1330="EX",1,IF(DATOS!$G1330="OR",--(COUNTIFS(nNIA,DATOS!$A1330,nCURSO,DATOS!$D1330,nESPEC,DATOS!$E1330,nASIG,DATOS!$I1330,nEVAL,"EX")=0),0))))</f>
      </c>
      <c r="H1330">
        <f>IF(DATOS!$G1330&lt;&gt;"EX",0,--(COUNTIFS(nNIA,DATOS!$A1330,nCURSO,DATOS!$D1330,nESPEC,DATOS!$E1330,nASIG,DATOS!$I1330,nEVAL,"OR")=0))</f>
      </c>
      <c r="I1330">
        <f>IF(DATOS!$I1330="","",IFERROR(VLOOKUP(DATOS!$I1330,CONFIG_ASIGNATURAS!$B$2:$J$91,9,FALSE()),""))</f>
      </c>
    </row>
    <row r="1331">
      <c r="F1331">
        <f>IF(DATOS!$A1331="","",DATOS!$A1331&amp;"|"&amp;DATOS!$D1331&amp;"|"&amp;DATOS!$E1331&amp;"|"&amp;DATOS!$I1331)</f>
      </c>
      <c r="G1331">
        <f>IF(DATOS!$A1331="",0,IF(CONFIG_METADATA!$B$4&lt;&gt;"OR+EX",--(DATOS!$G1331=CONFIG_METADATA!$B$4),IF(DATOS!$G1331="EX",1,IF(DATOS!$G1331="OR",--(COUNTIFS(nNIA,DATOS!$A1331,nCURSO,DATOS!$D1331,nESPEC,DATOS!$E1331,nASIG,DATOS!$I1331,nEVAL,"EX")=0),0))))</f>
      </c>
      <c r="H1331">
        <f>IF(DATOS!$G1331&lt;&gt;"EX",0,--(COUNTIFS(nNIA,DATOS!$A1331,nCURSO,DATOS!$D1331,nESPEC,DATOS!$E1331,nASIG,DATOS!$I1331,nEVAL,"OR")=0))</f>
      </c>
      <c r="I1331">
        <f>IF(DATOS!$I1331="","",IFERROR(VLOOKUP(DATOS!$I1331,CONFIG_ASIGNATURAS!$B$2:$J$91,9,FALSE()),""))</f>
      </c>
    </row>
    <row r="1332">
      <c r="F1332">
        <f>IF(DATOS!$A1332="","",DATOS!$A1332&amp;"|"&amp;DATOS!$D1332&amp;"|"&amp;DATOS!$E1332&amp;"|"&amp;DATOS!$I1332)</f>
      </c>
      <c r="G1332">
        <f>IF(DATOS!$A1332="",0,IF(CONFIG_METADATA!$B$4&lt;&gt;"OR+EX",--(DATOS!$G1332=CONFIG_METADATA!$B$4),IF(DATOS!$G1332="EX",1,IF(DATOS!$G1332="OR",--(COUNTIFS(nNIA,DATOS!$A1332,nCURSO,DATOS!$D1332,nESPEC,DATOS!$E1332,nASIG,DATOS!$I1332,nEVAL,"EX")=0),0))))</f>
      </c>
      <c r="H1332">
        <f>IF(DATOS!$G1332&lt;&gt;"EX",0,--(COUNTIFS(nNIA,DATOS!$A1332,nCURSO,DATOS!$D1332,nESPEC,DATOS!$E1332,nASIG,DATOS!$I1332,nEVAL,"OR")=0))</f>
      </c>
      <c r="I1332">
        <f>IF(DATOS!$I1332="","",IFERROR(VLOOKUP(DATOS!$I1332,CONFIG_ASIGNATURAS!$B$2:$J$91,9,FALSE()),""))</f>
      </c>
    </row>
    <row r="1333">
      <c r="F1333">
        <f>IF(DATOS!$A1333="","",DATOS!$A1333&amp;"|"&amp;DATOS!$D1333&amp;"|"&amp;DATOS!$E1333&amp;"|"&amp;DATOS!$I1333)</f>
      </c>
      <c r="G1333">
        <f>IF(DATOS!$A1333="",0,IF(CONFIG_METADATA!$B$4&lt;&gt;"OR+EX",--(DATOS!$G1333=CONFIG_METADATA!$B$4),IF(DATOS!$G1333="EX",1,IF(DATOS!$G1333="OR",--(COUNTIFS(nNIA,DATOS!$A1333,nCURSO,DATOS!$D1333,nESPEC,DATOS!$E1333,nASIG,DATOS!$I1333,nEVAL,"EX")=0),0))))</f>
      </c>
      <c r="H1333">
        <f>IF(DATOS!$G1333&lt;&gt;"EX",0,--(COUNTIFS(nNIA,DATOS!$A1333,nCURSO,DATOS!$D1333,nESPEC,DATOS!$E1333,nASIG,DATOS!$I1333,nEVAL,"OR")=0))</f>
      </c>
      <c r="I1333">
        <f>IF(DATOS!$I1333="","",IFERROR(VLOOKUP(DATOS!$I1333,CONFIG_ASIGNATURAS!$B$2:$J$91,9,FALSE()),""))</f>
      </c>
    </row>
    <row r="1334">
      <c r="F1334">
        <f>IF(DATOS!$A1334="","",DATOS!$A1334&amp;"|"&amp;DATOS!$D1334&amp;"|"&amp;DATOS!$E1334&amp;"|"&amp;DATOS!$I1334)</f>
      </c>
      <c r="G1334">
        <f>IF(DATOS!$A1334="",0,IF(CONFIG_METADATA!$B$4&lt;&gt;"OR+EX",--(DATOS!$G1334=CONFIG_METADATA!$B$4),IF(DATOS!$G1334="EX",1,IF(DATOS!$G1334="OR",--(COUNTIFS(nNIA,DATOS!$A1334,nCURSO,DATOS!$D1334,nESPEC,DATOS!$E1334,nASIG,DATOS!$I1334,nEVAL,"EX")=0),0))))</f>
      </c>
      <c r="H1334">
        <f>IF(DATOS!$G1334&lt;&gt;"EX",0,--(COUNTIFS(nNIA,DATOS!$A1334,nCURSO,DATOS!$D1334,nESPEC,DATOS!$E1334,nASIG,DATOS!$I1334,nEVAL,"OR")=0))</f>
      </c>
      <c r="I1334">
        <f>IF(DATOS!$I1334="","",IFERROR(VLOOKUP(DATOS!$I1334,CONFIG_ASIGNATURAS!$B$2:$J$91,9,FALSE()),""))</f>
      </c>
    </row>
    <row r="1335">
      <c r="F1335">
        <f>IF(DATOS!$A1335="","",DATOS!$A1335&amp;"|"&amp;DATOS!$D1335&amp;"|"&amp;DATOS!$E1335&amp;"|"&amp;DATOS!$I1335)</f>
      </c>
      <c r="G1335">
        <f>IF(DATOS!$A1335="",0,IF(CONFIG_METADATA!$B$4&lt;&gt;"OR+EX",--(DATOS!$G1335=CONFIG_METADATA!$B$4),IF(DATOS!$G1335="EX",1,IF(DATOS!$G1335="OR",--(COUNTIFS(nNIA,DATOS!$A1335,nCURSO,DATOS!$D1335,nESPEC,DATOS!$E1335,nASIG,DATOS!$I1335,nEVAL,"EX")=0),0))))</f>
      </c>
      <c r="H1335">
        <f>IF(DATOS!$G1335&lt;&gt;"EX",0,--(COUNTIFS(nNIA,DATOS!$A1335,nCURSO,DATOS!$D1335,nESPEC,DATOS!$E1335,nASIG,DATOS!$I1335,nEVAL,"OR")=0))</f>
      </c>
      <c r="I1335">
        <f>IF(DATOS!$I1335="","",IFERROR(VLOOKUP(DATOS!$I1335,CONFIG_ASIGNATURAS!$B$2:$J$91,9,FALSE()),""))</f>
      </c>
    </row>
    <row r="1336">
      <c r="F1336">
        <f>IF(DATOS!$A1336="","",DATOS!$A1336&amp;"|"&amp;DATOS!$D1336&amp;"|"&amp;DATOS!$E1336&amp;"|"&amp;DATOS!$I1336)</f>
      </c>
      <c r="G1336">
        <f>IF(DATOS!$A1336="",0,IF(CONFIG_METADATA!$B$4&lt;&gt;"OR+EX",--(DATOS!$G1336=CONFIG_METADATA!$B$4),IF(DATOS!$G1336="EX",1,IF(DATOS!$G1336="OR",--(COUNTIFS(nNIA,DATOS!$A1336,nCURSO,DATOS!$D1336,nESPEC,DATOS!$E1336,nASIG,DATOS!$I1336,nEVAL,"EX")=0),0))))</f>
      </c>
      <c r="H1336">
        <f>IF(DATOS!$G1336&lt;&gt;"EX",0,--(COUNTIFS(nNIA,DATOS!$A1336,nCURSO,DATOS!$D1336,nESPEC,DATOS!$E1336,nASIG,DATOS!$I1336,nEVAL,"OR")=0))</f>
      </c>
      <c r="I1336">
        <f>IF(DATOS!$I1336="","",IFERROR(VLOOKUP(DATOS!$I1336,CONFIG_ASIGNATURAS!$B$2:$J$91,9,FALSE()),""))</f>
      </c>
    </row>
    <row r="1337">
      <c r="F1337">
        <f>IF(DATOS!$A1337="","",DATOS!$A1337&amp;"|"&amp;DATOS!$D1337&amp;"|"&amp;DATOS!$E1337&amp;"|"&amp;DATOS!$I1337)</f>
      </c>
      <c r="G1337">
        <f>IF(DATOS!$A1337="",0,IF(CONFIG_METADATA!$B$4&lt;&gt;"OR+EX",--(DATOS!$G1337=CONFIG_METADATA!$B$4),IF(DATOS!$G1337="EX",1,IF(DATOS!$G1337="OR",--(COUNTIFS(nNIA,DATOS!$A1337,nCURSO,DATOS!$D1337,nESPEC,DATOS!$E1337,nASIG,DATOS!$I1337,nEVAL,"EX")=0),0))))</f>
      </c>
      <c r="H1337">
        <f>IF(DATOS!$G1337&lt;&gt;"EX",0,--(COUNTIFS(nNIA,DATOS!$A1337,nCURSO,DATOS!$D1337,nESPEC,DATOS!$E1337,nASIG,DATOS!$I1337,nEVAL,"OR")=0))</f>
      </c>
      <c r="I1337">
        <f>IF(DATOS!$I1337="","",IFERROR(VLOOKUP(DATOS!$I1337,CONFIG_ASIGNATURAS!$B$2:$J$91,9,FALSE()),""))</f>
      </c>
    </row>
    <row r="1338">
      <c r="F1338">
        <f>IF(DATOS!$A1338="","",DATOS!$A1338&amp;"|"&amp;DATOS!$D1338&amp;"|"&amp;DATOS!$E1338&amp;"|"&amp;DATOS!$I1338)</f>
      </c>
      <c r="G1338">
        <f>IF(DATOS!$A1338="",0,IF(CONFIG_METADATA!$B$4&lt;&gt;"OR+EX",--(DATOS!$G1338=CONFIG_METADATA!$B$4),IF(DATOS!$G1338="EX",1,IF(DATOS!$G1338="OR",--(COUNTIFS(nNIA,DATOS!$A1338,nCURSO,DATOS!$D1338,nESPEC,DATOS!$E1338,nASIG,DATOS!$I1338,nEVAL,"EX")=0),0))))</f>
      </c>
      <c r="H1338">
        <f>IF(DATOS!$G1338&lt;&gt;"EX",0,--(COUNTIFS(nNIA,DATOS!$A1338,nCURSO,DATOS!$D1338,nESPEC,DATOS!$E1338,nASIG,DATOS!$I1338,nEVAL,"OR")=0))</f>
      </c>
      <c r="I1338">
        <f>IF(DATOS!$I1338="","",IFERROR(VLOOKUP(DATOS!$I1338,CONFIG_ASIGNATURAS!$B$2:$J$91,9,FALSE()),""))</f>
      </c>
    </row>
    <row r="1339">
      <c r="F1339">
        <f>IF(DATOS!$A1339="","",DATOS!$A1339&amp;"|"&amp;DATOS!$D1339&amp;"|"&amp;DATOS!$E1339&amp;"|"&amp;DATOS!$I1339)</f>
      </c>
      <c r="G1339">
        <f>IF(DATOS!$A1339="",0,IF(CONFIG_METADATA!$B$4&lt;&gt;"OR+EX",--(DATOS!$G1339=CONFIG_METADATA!$B$4),IF(DATOS!$G1339="EX",1,IF(DATOS!$G1339="OR",--(COUNTIFS(nNIA,DATOS!$A1339,nCURSO,DATOS!$D1339,nESPEC,DATOS!$E1339,nASIG,DATOS!$I1339,nEVAL,"EX")=0),0))))</f>
      </c>
      <c r="H1339">
        <f>IF(DATOS!$G1339&lt;&gt;"EX",0,--(COUNTIFS(nNIA,DATOS!$A1339,nCURSO,DATOS!$D1339,nESPEC,DATOS!$E1339,nASIG,DATOS!$I1339,nEVAL,"OR")=0))</f>
      </c>
      <c r="I1339">
        <f>IF(DATOS!$I1339="","",IFERROR(VLOOKUP(DATOS!$I1339,CONFIG_ASIGNATURAS!$B$2:$J$91,9,FALSE()),""))</f>
      </c>
    </row>
    <row r="1340">
      <c r="F1340">
        <f>IF(DATOS!$A1340="","",DATOS!$A1340&amp;"|"&amp;DATOS!$D1340&amp;"|"&amp;DATOS!$E1340&amp;"|"&amp;DATOS!$I1340)</f>
      </c>
      <c r="G1340">
        <f>IF(DATOS!$A1340="",0,IF(CONFIG_METADATA!$B$4&lt;&gt;"OR+EX",--(DATOS!$G1340=CONFIG_METADATA!$B$4),IF(DATOS!$G1340="EX",1,IF(DATOS!$G1340="OR",--(COUNTIFS(nNIA,DATOS!$A1340,nCURSO,DATOS!$D1340,nESPEC,DATOS!$E1340,nASIG,DATOS!$I1340,nEVAL,"EX")=0),0))))</f>
      </c>
      <c r="H1340">
        <f>IF(DATOS!$G1340&lt;&gt;"EX",0,--(COUNTIFS(nNIA,DATOS!$A1340,nCURSO,DATOS!$D1340,nESPEC,DATOS!$E1340,nASIG,DATOS!$I1340,nEVAL,"OR")=0))</f>
      </c>
      <c r="I1340">
        <f>IF(DATOS!$I1340="","",IFERROR(VLOOKUP(DATOS!$I1340,CONFIG_ASIGNATURAS!$B$2:$J$91,9,FALSE()),""))</f>
      </c>
    </row>
    <row r="1341">
      <c r="F1341">
        <f>IF(DATOS!$A1341="","",DATOS!$A1341&amp;"|"&amp;DATOS!$D1341&amp;"|"&amp;DATOS!$E1341&amp;"|"&amp;DATOS!$I1341)</f>
      </c>
      <c r="G1341">
        <f>IF(DATOS!$A1341="",0,IF(CONFIG_METADATA!$B$4&lt;&gt;"OR+EX",--(DATOS!$G1341=CONFIG_METADATA!$B$4),IF(DATOS!$G1341="EX",1,IF(DATOS!$G1341="OR",--(COUNTIFS(nNIA,DATOS!$A1341,nCURSO,DATOS!$D1341,nESPEC,DATOS!$E1341,nASIG,DATOS!$I1341,nEVAL,"EX")=0),0))))</f>
      </c>
      <c r="H1341">
        <f>IF(DATOS!$G1341&lt;&gt;"EX",0,--(COUNTIFS(nNIA,DATOS!$A1341,nCURSO,DATOS!$D1341,nESPEC,DATOS!$E1341,nASIG,DATOS!$I1341,nEVAL,"OR")=0))</f>
      </c>
      <c r="I1341">
        <f>IF(DATOS!$I1341="","",IFERROR(VLOOKUP(DATOS!$I1341,CONFIG_ASIGNATURAS!$B$2:$J$91,9,FALSE()),""))</f>
      </c>
    </row>
    <row r="1342">
      <c r="F1342">
        <f>IF(DATOS!$A1342="","",DATOS!$A1342&amp;"|"&amp;DATOS!$D1342&amp;"|"&amp;DATOS!$E1342&amp;"|"&amp;DATOS!$I1342)</f>
      </c>
      <c r="G1342">
        <f>IF(DATOS!$A1342="",0,IF(CONFIG_METADATA!$B$4&lt;&gt;"OR+EX",--(DATOS!$G1342=CONFIG_METADATA!$B$4),IF(DATOS!$G1342="EX",1,IF(DATOS!$G1342="OR",--(COUNTIFS(nNIA,DATOS!$A1342,nCURSO,DATOS!$D1342,nESPEC,DATOS!$E1342,nASIG,DATOS!$I1342,nEVAL,"EX")=0),0))))</f>
      </c>
      <c r="H1342">
        <f>IF(DATOS!$G1342&lt;&gt;"EX",0,--(COUNTIFS(nNIA,DATOS!$A1342,nCURSO,DATOS!$D1342,nESPEC,DATOS!$E1342,nASIG,DATOS!$I1342,nEVAL,"OR")=0))</f>
      </c>
      <c r="I1342">
        <f>IF(DATOS!$I1342="","",IFERROR(VLOOKUP(DATOS!$I1342,CONFIG_ASIGNATURAS!$B$2:$J$91,9,FALSE()),""))</f>
      </c>
    </row>
    <row r="1343">
      <c r="F1343">
        <f>IF(DATOS!$A1343="","",DATOS!$A1343&amp;"|"&amp;DATOS!$D1343&amp;"|"&amp;DATOS!$E1343&amp;"|"&amp;DATOS!$I1343)</f>
      </c>
      <c r="G1343">
        <f>IF(DATOS!$A1343="",0,IF(CONFIG_METADATA!$B$4&lt;&gt;"OR+EX",--(DATOS!$G1343=CONFIG_METADATA!$B$4),IF(DATOS!$G1343="EX",1,IF(DATOS!$G1343="OR",--(COUNTIFS(nNIA,DATOS!$A1343,nCURSO,DATOS!$D1343,nESPEC,DATOS!$E1343,nASIG,DATOS!$I1343,nEVAL,"EX")=0),0))))</f>
      </c>
      <c r="H1343">
        <f>IF(DATOS!$G1343&lt;&gt;"EX",0,--(COUNTIFS(nNIA,DATOS!$A1343,nCURSO,DATOS!$D1343,nESPEC,DATOS!$E1343,nASIG,DATOS!$I1343,nEVAL,"OR")=0))</f>
      </c>
      <c r="I1343">
        <f>IF(DATOS!$I1343="","",IFERROR(VLOOKUP(DATOS!$I1343,CONFIG_ASIGNATURAS!$B$2:$J$91,9,FALSE()),""))</f>
      </c>
    </row>
    <row r="1344">
      <c r="F1344">
        <f>IF(DATOS!$A1344="","",DATOS!$A1344&amp;"|"&amp;DATOS!$D1344&amp;"|"&amp;DATOS!$E1344&amp;"|"&amp;DATOS!$I1344)</f>
      </c>
      <c r="G1344">
        <f>IF(DATOS!$A1344="",0,IF(CONFIG_METADATA!$B$4&lt;&gt;"OR+EX",--(DATOS!$G1344=CONFIG_METADATA!$B$4),IF(DATOS!$G1344="EX",1,IF(DATOS!$G1344="OR",--(COUNTIFS(nNIA,DATOS!$A1344,nCURSO,DATOS!$D1344,nESPEC,DATOS!$E1344,nASIG,DATOS!$I1344,nEVAL,"EX")=0),0))))</f>
      </c>
      <c r="H1344">
        <f>IF(DATOS!$G1344&lt;&gt;"EX",0,--(COUNTIFS(nNIA,DATOS!$A1344,nCURSO,DATOS!$D1344,nESPEC,DATOS!$E1344,nASIG,DATOS!$I1344,nEVAL,"OR")=0))</f>
      </c>
      <c r="I1344">
        <f>IF(DATOS!$I1344="","",IFERROR(VLOOKUP(DATOS!$I1344,CONFIG_ASIGNATURAS!$B$2:$J$91,9,FALSE()),""))</f>
      </c>
    </row>
    <row r="1345">
      <c r="F1345">
        <f>IF(DATOS!$A1345="","",DATOS!$A1345&amp;"|"&amp;DATOS!$D1345&amp;"|"&amp;DATOS!$E1345&amp;"|"&amp;DATOS!$I1345)</f>
      </c>
      <c r="G1345">
        <f>IF(DATOS!$A1345="",0,IF(CONFIG_METADATA!$B$4&lt;&gt;"OR+EX",--(DATOS!$G1345=CONFIG_METADATA!$B$4),IF(DATOS!$G1345="EX",1,IF(DATOS!$G1345="OR",--(COUNTIFS(nNIA,DATOS!$A1345,nCURSO,DATOS!$D1345,nESPEC,DATOS!$E1345,nASIG,DATOS!$I1345,nEVAL,"EX")=0),0))))</f>
      </c>
      <c r="H1345">
        <f>IF(DATOS!$G1345&lt;&gt;"EX",0,--(COUNTIFS(nNIA,DATOS!$A1345,nCURSO,DATOS!$D1345,nESPEC,DATOS!$E1345,nASIG,DATOS!$I1345,nEVAL,"OR")=0))</f>
      </c>
      <c r="I1345">
        <f>IF(DATOS!$I1345="","",IFERROR(VLOOKUP(DATOS!$I1345,CONFIG_ASIGNATURAS!$B$2:$J$91,9,FALSE()),""))</f>
      </c>
    </row>
    <row r="1346">
      <c r="F1346">
        <f>IF(DATOS!$A1346="","",DATOS!$A1346&amp;"|"&amp;DATOS!$D1346&amp;"|"&amp;DATOS!$E1346&amp;"|"&amp;DATOS!$I1346)</f>
      </c>
      <c r="G1346">
        <f>IF(DATOS!$A1346="",0,IF(CONFIG_METADATA!$B$4&lt;&gt;"OR+EX",--(DATOS!$G1346=CONFIG_METADATA!$B$4),IF(DATOS!$G1346="EX",1,IF(DATOS!$G1346="OR",--(COUNTIFS(nNIA,DATOS!$A1346,nCURSO,DATOS!$D1346,nESPEC,DATOS!$E1346,nASIG,DATOS!$I1346,nEVAL,"EX")=0),0))))</f>
      </c>
      <c r="H1346">
        <f>IF(DATOS!$G1346&lt;&gt;"EX",0,--(COUNTIFS(nNIA,DATOS!$A1346,nCURSO,DATOS!$D1346,nESPEC,DATOS!$E1346,nASIG,DATOS!$I1346,nEVAL,"OR")=0))</f>
      </c>
      <c r="I1346">
        <f>IF(DATOS!$I1346="","",IFERROR(VLOOKUP(DATOS!$I1346,CONFIG_ASIGNATURAS!$B$2:$J$91,9,FALSE()),""))</f>
      </c>
    </row>
    <row r="1347">
      <c r="F1347">
        <f>IF(DATOS!$A1347="","",DATOS!$A1347&amp;"|"&amp;DATOS!$D1347&amp;"|"&amp;DATOS!$E1347&amp;"|"&amp;DATOS!$I1347)</f>
      </c>
      <c r="G1347">
        <f>IF(DATOS!$A1347="",0,IF(CONFIG_METADATA!$B$4&lt;&gt;"OR+EX",--(DATOS!$G1347=CONFIG_METADATA!$B$4),IF(DATOS!$G1347="EX",1,IF(DATOS!$G1347="OR",--(COUNTIFS(nNIA,DATOS!$A1347,nCURSO,DATOS!$D1347,nESPEC,DATOS!$E1347,nASIG,DATOS!$I1347,nEVAL,"EX")=0),0))))</f>
      </c>
      <c r="H1347">
        <f>IF(DATOS!$G1347&lt;&gt;"EX",0,--(COUNTIFS(nNIA,DATOS!$A1347,nCURSO,DATOS!$D1347,nESPEC,DATOS!$E1347,nASIG,DATOS!$I1347,nEVAL,"OR")=0))</f>
      </c>
      <c r="I1347">
        <f>IF(DATOS!$I1347="","",IFERROR(VLOOKUP(DATOS!$I1347,CONFIG_ASIGNATURAS!$B$2:$J$91,9,FALSE()),""))</f>
      </c>
    </row>
    <row r="1348">
      <c r="F1348">
        <f>IF(DATOS!$A1348="","",DATOS!$A1348&amp;"|"&amp;DATOS!$D1348&amp;"|"&amp;DATOS!$E1348&amp;"|"&amp;DATOS!$I1348)</f>
      </c>
      <c r="G1348">
        <f>IF(DATOS!$A1348="",0,IF(CONFIG_METADATA!$B$4&lt;&gt;"OR+EX",--(DATOS!$G1348=CONFIG_METADATA!$B$4),IF(DATOS!$G1348="EX",1,IF(DATOS!$G1348="OR",--(COUNTIFS(nNIA,DATOS!$A1348,nCURSO,DATOS!$D1348,nESPEC,DATOS!$E1348,nASIG,DATOS!$I1348,nEVAL,"EX")=0),0))))</f>
      </c>
      <c r="H1348">
        <f>IF(DATOS!$G1348&lt;&gt;"EX",0,--(COUNTIFS(nNIA,DATOS!$A1348,nCURSO,DATOS!$D1348,nESPEC,DATOS!$E1348,nASIG,DATOS!$I1348,nEVAL,"OR")=0))</f>
      </c>
      <c r="I1348">
        <f>IF(DATOS!$I1348="","",IFERROR(VLOOKUP(DATOS!$I1348,CONFIG_ASIGNATURAS!$B$2:$J$91,9,FALSE()),""))</f>
      </c>
    </row>
    <row r="1349">
      <c r="F1349">
        <f>IF(DATOS!$A1349="","",DATOS!$A1349&amp;"|"&amp;DATOS!$D1349&amp;"|"&amp;DATOS!$E1349&amp;"|"&amp;DATOS!$I1349)</f>
      </c>
      <c r="G1349">
        <f>IF(DATOS!$A1349="",0,IF(CONFIG_METADATA!$B$4&lt;&gt;"OR+EX",--(DATOS!$G1349=CONFIG_METADATA!$B$4),IF(DATOS!$G1349="EX",1,IF(DATOS!$G1349="OR",--(COUNTIFS(nNIA,DATOS!$A1349,nCURSO,DATOS!$D1349,nESPEC,DATOS!$E1349,nASIG,DATOS!$I1349,nEVAL,"EX")=0),0))))</f>
      </c>
      <c r="H1349">
        <f>IF(DATOS!$G1349&lt;&gt;"EX",0,--(COUNTIFS(nNIA,DATOS!$A1349,nCURSO,DATOS!$D1349,nESPEC,DATOS!$E1349,nASIG,DATOS!$I1349,nEVAL,"OR")=0))</f>
      </c>
      <c r="I1349">
        <f>IF(DATOS!$I1349="","",IFERROR(VLOOKUP(DATOS!$I1349,CONFIG_ASIGNATURAS!$B$2:$J$91,9,FALSE()),""))</f>
      </c>
    </row>
    <row r="1350">
      <c r="F1350">
        <f>IF(DATOS!$A1350="","",DATOS!$A1350&amp;"|"&amp;DATOS!$D1350&amp;"|"&amp;DATOS!$E1350&amp;"|"&amp;DATOS!$I1350)</f>
      </c>
      <c r="G1350">
        <f>IF(DATOS!$A1350="",0,IF(CONFIG_METADATA!$B$4&lt;&gt;"OR+EX",--(DATOS!$G1350=CONFIG_METADATA!$B$4),IF(DATOS!$G1350="EX",1,IF(DATOS!$G1350="OR",--(COUNTIFS(nNIA,DATOS!$A1350,nCURSO,DATOS!$D1350,nESPEC,DATOS!$E1350,nASIG,DATOS!$I1350,nEVAL,"EX")=0),0))))</f>
      </c>
      <c r="H1350">
        <f>IF(DATOS!$G1350&lt;&gt;"EX",0,--(COUNTIFS(nNIA,DATOS!$A1350,nCURSO,DATOS!$D1350,nESPEC,DATOS!$E1350,nASIG,DATOS!$I1350,nEVAL,"OR")=0))</f>
      </c>
      <c r="I1350">
        <f>IF(DATOS!$I1350="","",IFERROR(VLOOKUP(DATOS!$I1350,CONFIG_ASIGNATURAS!$B$2:$J$91,9,FALSE()),""))</f>
      </c>
    </row>
    <row r="1351">
      <c r="F1351">
        <f>IF(DATOS!$A1351="","",DATOS!$A1351&amp;"|"&amp;DATOS!$D1351&amp;"|"&amp;DATOS!$E1351&amp;"|"&amp;DATOS!$I1351)</f>
      </c>
      <c r="G1351">
        <f>IF(DATOS!$A1351="",0,IF(CONFIG_METADATA!$B$4&lt;&gt;"OR+EX",--(DATOS!$G1351=CONFIG_METADATA!$B$4),IF(DATOS!$G1351="EX",1,IF(DATOS!$G1351="OR",--(COUNTIFS(nNIA,DATOS!$A1351,nCURSO,DATOS!$D1351,nESPEC,DATOS!$E1351,nASIG,DATOS!$I1351,nEVAL,"EX")=0),0))))</f>
      </c>
      <c r="H1351">
        <f>IF(DATOS!$G1351&lt;&gt;"EX",0,--(COUNTIFS(nNIA,DATOS!$A1351,nCURSO,DATOS!$D1351,nESPEC,DATOS!$E1351,nASIG,DATOS!$I1351,nEVAL,"OR")=0))</f>
      </c>
      <c r="I1351">
        <f>IF(DATOS!$I1351="","",IFERROR(VLOOKUP(DATOS!$I1351,CONFIG_ASIGNATURAS!$B$2:$J$91,9,FALSE()),""))</f>
      </c>
    </row>
    <row r="1352">
      <c r="F1352">
        <f>IF(DATOS!$A1352="","",DATOS!$A1352&amp;"|"&amp;DATOS!$D1352&amp;"|"&amp;DATOS!$E1352&amp;"|"&amp;DATOS!$I1352)</f>
      </c>
      <c r="G1352">
        <f>IF(DATOS!$A1352="",0,IF(CONFIG_METADATA!$B$4&lt;&gt;"OR+EX",--(DATOS!$G1352=CONFIG_METADATA!$B$4),IF(DATOS!$G1352="EX",1,IF(DATOS!$G1352="OR",--(COUNTIFS(nNIA,DATOS!$A1352,nCURSO,DATOS!$D1352,nESPEC,DATOS!$E1352,nASIG,DATOS!$I1352,nEVAL,"EX")=0),0))))</f>
      </c>
      <c r="H1352">
        <f>IF(DATOS!$G1352&lt;&gt;"EX",0,--(COUNTIFS(nNIA,DATOS!$A1352,nCURSO,DATOS!$D1352,nESPEC,DATOS!$E1352,nASIG,DATOS!$I1352,nEVAL,"OR")=0))</f>
      </c>
      <c r="I1352">
        <f>IF(DATOS!$I1352="","",IFERROR(VLOOKUP(DATOS!$I1352,CONFIG_ASIGNATURAS!$B$2:$J$91,9,FALSE()),""))</f>
      </c>
    </row>
    <row r="1353">
      <c r="F1353">
        <f>IF(DATOS!$A1353="","",DATOS!$A1353&amp;"|"&amp;DATOS!$D1353&amp;"|"&amp;DATOS!$E1353&amp;"|"&amp;DATOS!$I1353)</f>
      </c>
      <c r="G1353">
        <f>IF(DATOS!$A1353="",0,IF(CONFIG_METADATA!$B$4&lt;&gt;"OR+EX",--(DATOS!$G1353=CONFIG_METADATA!$B$4),IF(DATOS!$G1353="EX",1,IF(DATOS!$G1353="OR",--(COUNTIFS(nNIA,DATOS!$A1353,nCURSO,DATOS!$D1353,nESPEC,DATOS!$E1353,nASIG,DATOS!$I1353,nEVAL,"EX")=0),0))))</f>
      </c>
      <c r="H1353">
        <f>IF(DATOS!$G1353&lt;&gt;"EX",0,--(COUNTIFS(nNIA,DATOS!$A1353,nCURSO,DATOS!$D1353,nESPEC,DATOS!$E1353,nASIG,DATOS!$I1353,nEVAL,"OR")=0))</f>
      </c>
      <c r="I1353">
        <f>IF(DATOS!$I1353="","",IFERROR(VLOOKUP(DATOS!$I1353,CONFIG_ASIGNATURAS!$B$2:$J$91,9,FALSE()),""))</f>
      </c>
    </row>
    <row r="1354">
      <c r="F1354">
        <f>IF(DATOS!$A1354="","",DATOS!$A1354&amp;"|"&amp;DATOS!$D1354&amp;"|"&amp;DATOS!$E1354&amp;"|"&amp;DATOS!$I1354)</f>
      </c>
      <c r="G1354">
        <f>IF(DATOS!$A1354="",0,IF(CONFIG_METADATA!$B$4&lt;&gt;"OR+EX",--(DATOS!$G1354=CONFIG_METADATA!$B$4),IF(DATOS!$G1354="EX",1,IF(DATOS!$G1354="OR",--(COUNTIFS(nNIA,DATOS!$A1354,nCURSO,DATOS!$D1354,nESPEC,DATOS!$E1354,nASIG,DATOS!$I1354,nEVAL,"EX")=0),0))))</f>
      </c>
      <c r="H1354">
        <f>IF(DATOS!$G1354&lt;&gt;"EX",0,--(COUNTIFS(nNIA,DATOS!$A1354,nCURSO,DATOS!$D1354,nESPEC,DATOS!$E1354,nASIG,DATOS!$I1354,nEVAL,"OR")=0))</f>
      </c>
      <c r="I1354">
        <f>IF(DATOS!$I1354="","",IFERROR(VLOOKUP(DATOS!$I1354,CONFIG_ASIGNATURAS!$B$2:$J$91,9,FALSE()),""))</f>
      </c>
    </row>
    <row r="1355">
      <c r="F1355">
        <f>IF(DATOS!$A1355="","",DATOS!$A1355&amp;"|"&amp;DATOS!$D1355&amp;"|"&amp;DATOS!$E1355&amp;"|"&amp;DATOS!$I1355)</f>
      </c>
      <c r="G1355">
        <f>IF(DATOS!$A1355="",0,IF(CONFIG_METADATA!$B$4&lt;&gt;"OR+EX",--(DATOS!$G1355=CONFIG_METADATA!$B$4),IF(DATOS!$G1355="EX",1,IF(DATOS!$G1355="OR",--(COUNTIFS(nNIA,DATOS!$A1355,nCURSO,DATOS!$D1355,nESPEC,DATOS!$E1355,nASIG,DATOS!$I1355,nEVAL,"EX")=0),0))))</f>
      </c>
      <c r="H1355">
        <f>IF(DATOS!$G1355&lt;&gt;"EX",0,--(COUNTIFS(nNIA,DATOS!$A1355,nCURSO,DATOS!$D1355,nESPEC,DATOS!$E1355,nASIG,DATOS!$I1355,nEVAL,"OR")=0))</f>
      </c>
      <c r="I1355">
        <f>IF(DATOS!$I1355="","",IFERROR(VLOOKUP(DATOS!$I1355,CONFIG_ASIGNATURAS!$B$2:$J$91,9,FALSE()),""))</f>
      </c>
    </row>
    <row r="1356">
      <c r="F1356">
        <f>IF(DATOS!$A1356="","",DATOS!$A1356&amp;"|"&amp;DATOS!$D1356&amp;"|"&amp;DATOS!$E1356&amp;"|"&amp;DATOS!$I1356)</f>
      </c>
      <c r="G1356">
        <f>IF(DATOS!$A1356="",0,IF(CONFIG_METADATA!$B$4&lt;&gt;"OR+EX",--(DATOS!$G1356=CONFIG_METADATA!$B$4),IF(DATOS!$G1356="EX",1,IF(DATOS!$G1356="OR",--(COUNTIFS(nNIA,DATOS!$A1356,nCURSO,DATOS!$D1356,nESPEC,DATOS!$E1356,nASIG,DATOS!$I1356,nEVAL,"EX")=0),0))))</f>
      </c>
      <c r="H1356">
        <f>IF(DATOS!$G1356&lt;&gt;"EX",0,--(COUNTIFS(nNIA,DATOS!$A1356,nCURSO,DATOS!$D1356,nESPEC,DATOS!$E1356,nASIG,DATOS!$I1356,nEVAL,"OR")=0))</f>
      </c>
      <c r="I1356">
        <f>IF(DATOS!$I1356="","",IFERROR(VLOOKUP(DATOS!$I1356,CONFIG_ASIGNATURAS!$B$2:$J$91,9,FALSE()),""))</f>
      </c>
    </row>
    <row r="1357">
      <c r="F1357">
        <f>IF(DATOS!$A1357="","",DATOS!$A1357&amp;"|"&amp;DATOS!$D1357&amp;"|"&amp;DATOS!$E1357&amp;"|"&amp;DATOS!$I1357)</f>
      </c>
      <c r="G1357">
        <f>IF(DATOS!$A1357="",0,IF(CONFIG_METADATA!$B$4&lt;&gt;"OR+EX",--(DATOS!$G1357=CONFIG_METADATA!$B$4),IF(DATOS!$G1357="EX",1,IF(DATOS!$G1357="OR",--(COUNTIFS(nNIA,DATOS!$A1357,nCURSO,DATOS!$D1357,nESPEC,DATOS!$E1357,nASIG,DATOS!$I1357,nEVAL,"EX")=0),0))))</f>
      </c>
      <c r="H1357">
        <f>IF(DATOS!$G1357&lt;&gt;"EX",0,--(COUNTIFS(nNIA,DATOS!$A1357,nCURSO,DATOS!$D1357,nESPEC,DATOS!$E1357,nASIG,DATOS!$I1357,nEVAL,"OR")=0))</f>
      </c>
      <c r="I1357">
        <f>IF(DATOS!$I1357="","",IFERROR(VLOOKUP(DATOS!$I1357,CONFIG_ASIGNATURAS!$B$2:$J$91,9,FALSE()),""))</f>
      </c>
    </row>
    <row r="1358">
      <c r="F1358">
        <f>IF(DATOS!$A1358="","",DATOS!$A1358&amp;"|"&amp;DATOS!$D1358&amp;"|"&amp;DATOS!$E1358&amp;"|"&amp;DATOS!$I1358)</f>
      </c>
      <c r="G1358">
        <f>IF(DATOS!$A1358="",0,IF(CONFIG_METADATA!$B$4&lt;&gt;"OR+EX",--(DATOS!$G1358=CONFIG_METADATA!$B$4),IF(DATOS!$G1358="EX",1,IF(DATOS!$G1358="OR",--(COUNTIFS(nNIA,DATOS!$A1358,nCURSO,DATOS!$D1358,nESPEC,DATOS!$E1358,nASIG,DATOS!$I1358,nEVAL,"EX")=0),0))))</f>
      </c>
      <c r="H1358">
        <f>IF(DATOS!$G1358&lt;&gt;"EX",0,--(COUNTIFS(nNIA,DATOS!$A1358,nCURSO,DATOS!$D1358,nESPEC,DATOS!$E1358,nASIG,DATOS!$I1358,nEVAL,"OR")=0))</f>
      </c>
      <c r="I1358">
        <f>IF(DATOS!$I1358="","",IFERROR(VLOOKUP(DATOS!$I1358,CONFIG_ASIGNATURAS!$B$2:$J$91,9,FALSE()),""))</f>
      </c>
    </row>
    <row r="1359">
      <c r="F1359">
        <f>IF(DATOS!$A1359="","",DATOS!$A1359&amp;"|"&amp;DATOS!$D1359&amp;"|"&amp;DATOS!$E1359&amp;"|"&amp;DATOS!$I1359)</f>
      </c>
      <c r="G1359">
        <f>IF(DATOS!$A1359="",0,IF(CONFIG_METADATA!$B$4&lt;&gt;"OR+EX",--(DATOS!$G1359=CONFIG_METADATA!$B$4),IF(DATOS!$G1359="EX",1,IF(DATOS!$G1359="OR",--(COUNTIFS(nNIA,DATOS!$A1359,nCURSO,DATOS!$D1359,nESPEC,DATOS!$E1359,nASIG,DATOS!$I1359,nEVAL,"EX")=0),0))))</f>
      </c>
      <c r="H1359">
        <f>IF(DATOS!$G1359&lt;&gt;"EX",0,--(COUNTIFS(nNIA,DATOS!$A1359,nCURSO,DATOS!$D1359,nESPEC,DATOS!$E1359,nASIG,DATOS!$I1359,nEVAL,"OR")=0))</f>
      </c>
      <c r="I1359">
        <f>IF(DATOS!$I1359="","",IFERROR(VLOOKUP(DATOS!$I1359,CONFIG_ASIGNATURAS!$B$2:$J$91,9,FALSE()),""))</f>
      </c>
    </row>
    <row r="1360">
      <c r="F1360">
        <f>IF(DATOS!$A1360="","",DATOS!$A1360&amp;"|"&amp;DATOS!$D1360&amp;"|"&amp;DATOS!$E1360&amp;"|"&amp;DATOS!$I1360)</f>
      </c>
      <c r="G1360">
        <f>IF(DATOS!$A1360="",0,IF(CONFIG_METADATA!$B$4&lt;&gt;"OR+EX",--(DATOS!$G1360=CONFIG_METADATA!$B$4),IF(DATOS!$G1360="EX",1,IF(DATOS!$G1360="OR",--(COUNTIFS(nNIA,DATOS!$A1360,nCURSO,DATOS!$D1360,nESPEC,DATOS!$E1360,nASIG,DATOS!$I1360,nEVAL,"EX")=0),0))))</f>
      </c>
      <c r="H1360">
        <f>IF(DATOS!$G1360&lt;&gt;"EX",0,--(COUNTIFS(nNIA,DATOS!$A1360,nCURSO,DATOS!$D1360,nESPEC,DATOS!$E1360,nASIG,DATOS!$I1360,nEVAL,"OR")=0))</f>
      </c>
      <c r="I1360">
        <f>IF(DATOS!$I1360="","",IFERROR(VLOOKUP(DATOS!$I1360,CONFIG_ASIGNATURAS!$B$2:$J$91,9,FALSE()),""))</f>
      </c>
    </row>
    <row r="1361">
      <c r="F1361">
        <f>IF(DATOS!$A1361="","",DATOS!$A1361&amp;"|"&amp;DATOS!$D1361&amp;"|"&amp;DATOS!$E1361&amp;"|"&amp;DATOS!$I1361)</f>
      </c>
      <c r="G1361">
        <f>IF(DATOS!$A1361="",0,IF(CONFIG_METADATA!$B$4&lt;&gt;"OR+EX",--(DATOS!$G1361=CONFIG_METADATA!$B$4),IF(DATOS!$G1361="EX",1,IF(DATOS!$G1361="OR",--(COUNTIFS(nNIA,DATOS!$A1361,nCURSO,DATOS!$D1361,nESPEC,DATOS!$E1361,nASIG,DATOS!$I1361,nEVAL,"EX")=0),0))))</f>
      </c>
      <c r="H1361">
        <f>IF(DATOS!$G1361&lt;&gt;"EX",0,--(COUNTIFS(nNIA,DATOS!$A1361,nCURSO,DATOS!$D1361,nESPEC,DATOS!$E1361,nASIG,DATOS!$I1361,nEVAL,"OR")=0))</f>
      </c>
      <c r="I1361">
        <f>IF(DATOS!$I1361="","",IFERROR(VLOOKUP(DATOS!$I1361,CONFIG_ASIGNATURAS!$B$2:$J$91,9,FALSE()),""))</f>
      </c>
    </row>
    <row r="1362">
      <c r="F1362">
        <f>IF(DATOS!$A1362="","",DATOS!$A1362&amp;"|"&amp;DATOS!$D1362&amp;"|"&amp;DATOS!$E1362&amp;"|"&amp;DATOS!$I1362)</f>
      </c>
      <c r="G1362">
        <f>IF(DATOS!$A1362="",0,IF(CONFIG_METADATA!$B$4&lt;&gt;"OR+EX",--(DATOS!$G1362=CONFIG_METADATA!$B$4),IF(DATOS!$G1362="EX",1,IF(DATOS!$G1362="OR",--(COUNTIFS(nNIA,DATOS!$A1362,nCURSO,DATOS!$D1362,nESPEC,DATOS!$E1362,nASIG,DATOS!$I1362,nEVAL,"EX")=0),0))))</f>
      </c>
      <c r="H1362">
        <f>IF(DATOS!$G1362&lt;&gt;"EX",0,--(COUNTIFS(nNIA,DATOS!$A1362,nCURSO,DATOS!$D1362,nESPEC,DATOS!$E1362,nASIG,DATOS!$I1362,nEVAL,"OR")=0))</f>
      </c>
      <c r="I1362">
        <f>IF(DATOS!$I1362="","",IFERROR(VLOOKUP(DATOS!$I1362,CONFIG_ASIGNATURAS!$B$2:$J$91,9,FALSE()),""))</f>
      </c>
    </row>
    <row r="1363">
      <c r="F1363">
        <f>IF(DATOS!$A1363="","",DATOS!$A1363&amp;"|"&amp;DATOS!$D1363&amp;"|"&amp;DATOS!$E1363&amp;"|"&amp;DATOS!$I1363)</f>
      </c>
      <c r="G1363">
        <f>IF(DATOS!$A1363="",0,IF(CONFIG_METADATA!$B$4&lt;&gt;"OR+EX",--(DATOS!$G1363=CONFIG_METADATA!$B$4),IF(DATOS!$G1363="EX",1,IF(DATOS!$G1363="OR",--(COUNTIFS(nNIA,DATOS!$A1363,nCURSO,DATOS!$D1363,nESPEC,DATOS!$E1363,nASIG,DATOS!$I1363,nEVAL,"EX")=0),0))))</f>
      </c>
      <c r="H1363">
        <f>IF(DATOS!$G1363&lt;&gt;"EX",0,--(COUNTIFS(nNIA,DATOS!$A1363,nCURSO,DATOS!$D1363,nESPEC,DATOS!$E1363,nASIG,DATOS!$I1363,nEVAL,"OR")=0))</f>
      </c>
      <c r="I1363">
        <f>IF(DATOS!$I1363="","",IFERROR(VLOOKUP(DATOS!$I1363,CONFIG_ASIGNATURAS!$B$2:$J$91,9,FALSE()),""))</f>
      </c>
    </row>
    <row r="1364">
      <c r="F1364">
        <f>IF(DATOS!$A1364="","",DATOS!$A1364&amp;"|"&amp;DATOS!$D1364&amp;"|"&amp;DATOS!$E1364&amp;"|"&amp;DATOS!$I1364)</f>
      </c>
      <c r="G1364">
        <f>IF(DATOS!$A1364="",0,IF(CONFIG_METADATA!$B$4&lt;&gt;"OR+EX",--(DATOS!$G1364=CONFIG_METADATA!$B$4),IF(DATOS!$G1364="EX",1,IF(DATOS!$G1364="OR",--(COUNTIFS(nNIA,DATOS!$A1364,nCURSO,DATOS!$D1364,nESPEC,DATOS!$E1364,nASIG,DATOS!$I1364,nEVAL,"EX")=0),0))))</f>
      </c>
      <c r="H1364">
        <f>IF(DATOS!$G1364&lt;&gt;"EX",0,--(COUNTIFS(nNIA,DATOS!$A1364,nCURSO,DATOS!$D1364,nESPEC,DATOS!$E1364,nASIG,DATOS!$I1364,nEVAL,"OR")=0))</f>
      </c>
      <c r="I1364">
        <f>IF(DATOS!$I1364="","",IFERROR(VLOOKUP(DATOS!$I1364,CONFIG_ASIGNATURAS!$B$2:$J$91,9,FALSE()),""))</f>
      </c>
    </row>
    <row r="1365">
      <c r="F1365">
        <f>IF(DATOS!$A1365="","",DATOS!$A1365&amp;"|"&amp;DATOS!$D1365&amp;"|"&amp;DATOS!$E1365&amp;"|"&amp;DATOS!$I1365)</f>
      </c>
      <c r="G1365">
        <f>IF(DATOS!$A1365="",0,IF(CONFIG_METADATA!$B$4&lt;&gt;"OR+EX",--(DATOS!$G1365=CONFIG_METADATA!$B$4),IF(DATOS!$G1365="EX",1,IF(DATOS!$G1365="OR",--(COUNTIFS(nNIA,DATOS!$A1365,nCURSO,DATOS!$D1365,nESPEC,DATOS!$E1365,nASIG,DATOS!$I1365,nEVAL,"EX")=0),0))))</f>
      </c>
      <c r="H1365">
        <f>IF(DATOS!$G1365&lt;&gt;"EX",0,--(COUNTIFS(nNIA,DATOS!$A1365,nCURSO,DATOS!$D1365,nESPEC,DATOS!$E1365,nASIG,DATOS!$I1365,nEVAL,"OR")=0))</f>
      </c>
      <c r="I1365">
        <f>IF(DATOS!$I1365="","",IFERROR(VLOOKUP(DATOS!$I1365,CONFIG_ASIGNATURAS!$B$2:$J$91,9,FALSE()),""))</f>
      </c>
    </row>
    <row r="1366">
      <c r="F1366">
        <f>IF(DATOS!$A1366="","",DATOS!$A1366&amp;"|"&amp;DATOS!$D1366&amp;"|"&amp;DATOS!$E1366&amp;"|"&amp;DATOS!$I1366)</f>
      </c>
      <c r="G1366">
        <f>IF(DATOS!$A1366="",0,IF(CONFIG_METADATA!$B$4&lt;&gt;"OR+EX",--(DATOS!$G1366=CONFIG_METADATA!$B$4),IF(DATOS!$G1366="EX",1,IF(DATOS!$G1366="OR",--(COUNTIFS(nNIA,DATOS!$A1366,nCURSO,DATOS!$D1366,nESPEC,DATOS!$E1366,nASIG,DATOS!$I1366,nEVAL,"EX")=0),0))))</f>
      </c>
      <c r="H1366">
        <f>IF(DATOS!$G1366&lt;&gt;"EX",0,--(COUNTIFS(nNIA,DATOS!$A1366,nCURSO,DATOS!$D1366,nESPEC,DATOS!$E1366,nASIG,DATOS!$I1366,nEVAL,"OR")=0))</f>
      </c>
      <c r="I1366">
        <f>IF(DATOS!$I1366="","",IFERROR(VLOOKUP(DATOS!$I1366,CONFIG_ASIGNATURAS!$B$2:$J$91,9,FALSE()),""))</f>
      </c>
    </row>
    <row r="1367">
      <c r="F1367">
        <f>IF(DATOS!$A1367="","",DATOS!$A1367&amp;"|"&amp;DATOS!$D1367&amp;"|"&amp;DATOS!$E1367&amp;"|"&amp;DATOS!$I1367)</f>
      </c>
      <c r="G1367">
        <f>IF(DATOS!$A1367="",0,IF(CONFIG_METADATA!$B$4&lt;&gt;"OR+EX",--(DATOS!$G1367=CONFIG_METADATA!$B$4),IF(DATOS!$G1367="EX",1,IF(DATOS!$G1367="OR",--(COUNTIFS(nNIA,DATOS!$A1367,nCURSO,DATOS!$D1367,nESPEC,DATOS!$E1367,nASIG,DATOS!$I1367,nEVAL,"EX")=0),0))))</f>
      </c>
      <c r="H1367">
        <f>IF(DATOS!$G1367&lt;&gt;"EX",0,--(COUNTIFS(nNIA,DATOS!$A1367,nCURSO,DATOS!$D1367,nESPEC,DATOS!$E1367,nASIG,DATOS!$I1367,nEVAL,"OR")=0))</f>
      </c>
      <c r="I1367">
        <f>IF(DATOS!$I1367="","",IFERROR(VLOOKUP(DATOS!$I1367,CONFIG_ASIGNATURAS!$B$2:$J$91,9,FALSE()),""))</f>
      </c>
    </row>
    <row r="1368">
      <c r="F1368">
        <f>IF(DATOS!$A1368="","",DATOS!$A1368&amp;"|"&amp;DATOS!$D1368&amp;"|"&amp;DATOS!$E1368&amp;"|"&amp;DATOS!$I1368)</f>
      </c>
      <c r="G1368">
        <f>IF(DATOS!$A1368="",0,IF(CONFIG_METADATA!$B$4&lt;&gt;"OR+EX",--(DATOS!$G1368=CONFIG_METADATA!$B$4),IF(DATOS!$G1368="EX",1,IF(DATOS!$G1368="OR",--(COUNTIFS(nNIA,DATOS!$A1368,nCURSO,DATOS!$D1368,nESPEC,DATOS!$E1368,nASIG,DATOS!$I1368,nEVAL,"EX")=0),0))))</f>
      </c>
      <c r="H1368">
        <f>IF(DATOS!$G1368&lt;&gt;"EX",0,--(COUNTIFS(nNIA,DATOS!$A1368,nCURSO,DATOS!$D1368,nESPEC,DATOS!$E1368,nASIG,DATOS!$I1368,nEVAL,"OR")=0))</f>
      </c>
      <c r="I1368">
        <f>IF(DATOS!$I1368="","",IFERROR(VLOOKUP(DATOS!$I1368,CONFIG_ASIGNATURAS!$B$2:$J$91,9,FALSE()),""))</f>
      </c>
    </row>
    <row r="1369">
      <c r="F1369">
        <f>IF(DATOS!$A1369="","",DATOS!$A1369&amp;"|"&amp;DATOS!$D1369&amp;"|"&amp;DATOS!$E1369&amp;"|"&amp;DATOS!$I1369)</f>
      </c>
      <c r="G1369">
        <f>IF(DATOS!$A1369="",0,IF(CONFIG_METADATA!$B$4&lt;&gt;"OR+EX",--(DATOS!$G1369=CONFIG_METADATA!$B$4),IF(DATOS!$G1369="EX",1,IF(DATOS!$G1369="OR",--(COUNTIFS(nNIA,DATOS!$A1369,nCURSO,DATOS!$D1369,nESPEC,DATOS!$E1369,nASIG,DATOS!$I1369,nEVAL,"EX")=0),0))))</f>
      </c>
      <c r="H1369">
        <f>IF(DATOS!$G1369&lt;&gt;"EX",0,--(COUNTIFS(nNIA,DATOS!$A1369,nCURSO,DATOS!$D1369,nESPEC,DATOS!$E1369,nASIG,DATOS!$I1369,nEVAL,"OR")=0))</f>
      </c>
      <c r="I1369">
        <f>IF(DATOS!$I1369="","",IFERROR(VLOOKUP(DATOS!$I1369,CONFIG_ASIGNATURAS!$B$2:$J$91,9,FALSE()),""))</f>
      </c>
    </row>
    <row r="1370">
      <c r="F1370">
        <f>IF(DATOS!$A1370="","",DATOS!$A1370&amp;"|"&amp;DATOS!$D1370&amp;"|"&amp;DATOS!$E1370&amp;"|"&amp;DATOS!$I1370)</f>
      </c>
      <c r="G1370">
        <f>IF(DATOS!$A1370="",0,IF(CONFIG_METADATA!$B$4&lt;&gt;"OR+EX",--(DATOS!$G1370=CONFIG_METADATA!$B$4),IF(DATOS!$G1370="EX",1,IF(DATOS!$G1370="OR",--(COUNTIFS(nNIA,DATOS!$A1370,nCURSO,DATOS!$D1370,nESPEC,DATOS!$E1370,nASIG,DATOS!$I1370,nEVAL,"EX")=0),0))))</f>
      </c>
      <c r="H1370">
        <f>IF(DATOS!$G1370&lt;&gt;"EX",0,--(COUNTIFS(nNIA,DATOS!$A1370,nCURSO,DATOS!$D1370,nESPEC,DATOS!$E1370,nASIG,DATOS!$I1370,nEVAL,"OR")=0))</f>
      </c>
      <c r="I1370">
        <f>IF(DATOS!$I1370="","",IFERROR(VLOOKUP(DATOS!$I1370,CONFIG_ASIGNATURAS!$B$2:$J$91,9,FALSE()),""))</f>
      </c>
    </row>
    <row r="1371">
      <c r="F1371">
        <f>IF(DATOS!$A1371="","",DATOS!$A1371&amp;"|"&amp;DATOS!$D1371&amp;"|"&amp;DATOS!$E1371&amp;"|"&amp;DATOS!$I1371)</f>
      </c>
      <c r="G1371">
        <f>IF(DATOS!$A1371="",0,IF(CONFIG_METADATA!$B$4&lt;&gt;"OR+EX",--(DATOS!$G1371=CONFIG_METADATA!$B$4),IF(DATOS!$G1371="EX",1,IF(DATOS!$G1371="OR",--(COUNTIFS(nNIA,DATOS!$A1371,nCURSO,DATOS!$D1371,nESPEC,DATOS!$E1371,nASIG,DATOS!$I1371,nEVAL,"EX")=0),0))))</f>
      </c>
      <c r="H1371">
        <f>IF(DATOS!$G1371&lt;&gt;"EX",0,--(COUNTIFS(nNIA,DATOS!$A1371,nCURSO,DATOS!$D1371,nESPEC,DATOS!$E1371,nASIG,DATOS!$I1371,nEVAL,"OR")=0))</f>
      </c>
      <c r="I1371">
        <f>IF(DATOS!$I1371="","",IFERROR(VLOOKUP(DATOS!$I1371,CONFIG_ASIGNATURAS!$B$2:$J$91,9,FALSE()),""))</f>
      </c>
    </row>
    <row r="1372">
      <c r="F1372">
        <f>IF(DATOS!$A1372="","",DATOS!$A1372&amp;"|"&amp;DATOS!$D1372&amp;"|"&amp;DATOS!$E1372&amp;"|"&amp;DATOS!$I1372)</f>
      </c>
      <c r="G1372">
        <f>IF(DATOS!$A1372="",0,IF(CONFIG_METADATA!$B$4&lt;&gt;"OR+EX",--(DATOS!$G1372=CONFIG_METADATA!$B$4),IF(DATOS!$G1372="EX",1,IF(DATOS!$G1372="OR",--(COUNTIFS(nNIA,DATOS!$A1372,nCURSO,DATOS!$D1372,nESPEC,DATOS!$E1372,nASIG,DATOS!$I1372,nEVAL,"EX")=0),0))))</f>
      </c>
      <c r="H1372">
        <f>IF(DATOS!$G1372&lt;&gt;"EX",0,--(COUNTIFS(nNIA,DATOS!$A1372,nCURSO,DATOS!$D1372,nESPEC,DATOS!$E1372,nASIG,DATOS!$I1372,nEVAL,"OR")=0))</f>
      </c>
      <c r="I1372">
        <f>IF(DATOS!$I1372="","",IFERROR(VLOOKUP(DATOS!$I1372,CONFIG_ASIGNATURAS!$B$2:$J$91,9,FALSE()),""))</f>
      </c>
    </row>
    <row r="1373">
      <c r="F1373">
        <f>IF(DATOS!$A1373="","",DATOS!$A1373&amp;"|"&amp;DATOS!$D1373&amp;"|"&amp;DATOS!$E1373&amp;"|"&amp;DATOS!$I1373)</f>
      </c>
      <c r="G1373">
        <f>IF(DATOS!$A1373="",0,IF(CONFIG_METADATA!$B$4&lt;&gt;"OR+EX",--(DATOS!$G1373=CONFIG_METADATA!$B$4),IF(DATOS!$G1373="EX",1,IF(DATOS!$G1373="OR",--(COUNTIFS(nNIA,DATOS!$A1373,nCURSO,DATOS!$D1373,nESPEC,DATOS!$E1373,nASIG,DATOS!$I1373,nEVAL,"EX")=0),0))))</f>
      </c>
      <c r="H1373">
        <f>IF(DATOS!$G1373&lt;&gt;"EX",0,--(COUNTIFS(nNIA,DATOS!$A1373,nCURSO,DATOS!$D1373,nESPEC,DATOS!$E1373,nASIG,DATOS!$I1373,nEVAL,"OR")=0))</f>
      </c>
      <c r="I1373">
        <f>IF(DATOS!$I1373="","",IFERROR(VLOOKUP(DATOS!$I1373,CONFIG_ASIGNATURAS!$B$2:$J$91,9,FALSE()),""))</f>
      </c>
    </row>
    <row r="1374">
      <c r="F1374">
        <f>IF(DATOS!$A1374="","",DATOS!$A1374&amp;"|"&amp;DATOS!$D1374&amp;"|"&amp;DATOS!$E1374&amp;"|"&amp;DATOS!$I1374)</f>
      </c>
      <c r="G1374">
        <f>IF(DATOS!$A1374="",0,IF(CONFIG_METADATA!$B$4&lt;&gt;"OR+EX",--(DATOS!$G1374=CONFIG_METADATA!$B$4),IF(DATOS!$G1374="EX",1,IF(DATOS!$G1374="OR",--(COUNTIFS(nNIA,DATOS!$A1374,nCURSO,DATOS!$D1374,nESPEC,DATOS!$E1374,nASIG,DATOS!$I1374,nEVAL,"EX")=0),0))))</f>
      </c>
      <c r="H1374">
        <f>IF(DATOS!$G1374&lt;&gt;"EX",0,--(COUNTIFS(nNIA,DATOS!$A1374,nCURSO,DATOS!$D1374,nESPEC,DATOS!$E1374,nASIG,DATOS!$I1374,nEVAL,"OR")=0))</f>
      </c>
      <c r="I1374">
        <f>IF(DATOS!$I1374="","",IFERROR(VLOOKUP(DATOS!$I1374,CONFIG_ASIGNATURAS!$B$2:$J$91,9,FALSE()),""))</f>
      </c>
    </row>
    <row r="1375">
      <c r="F1375">
        <f>IF(DATOS!$A1375="","",DATOS!$A1375&amp;"|"&amp;DATOS!$D1375&amp;"|"&amp;DATOS!$E1375&amp;"|"&amp;DATOS!$I1375)</f>
      </c>
      <c r="G1375">
        <f>IF(DATOS!$A1375="",0,IF(CONFIG_METADATA!$B$4&lt;&gt;"OR+EX",--(DATOS!$G1375=CONFIG_METADATA!$B$4),IF(DATOS!$G1375="EX",1,IF(DATOS!$G1375="OR",--(COUNTIFS(nNIA,DATOS!$A1375,nCURSO,DATOS!$D1375,nESPEC,DATOS!$E1375,nASIG,DATOS!$I1375,nEVAL,"EX")=0),0))))</f>
      </c>
      <c r="H1375">
        <f>IF(DATOS!$G1375&lt;&gt;"EX",0,--(COUNTIFS(nNIA,DATOS!$A1375,nCURSO,DATOS!$D1375,nESPEC,DATOS!$E1375,nASIG,DATOS!$I1375,nEVAL,"OR")=0))</f>
      </c>
      <c r="I1375">
        <f>IF(DATOS!$I1375="","",IFERROR(VLOOKUP(DATOS!$I1375,CONFIG_ASIGNATURAS!$B$2:$J$91,9,FALSE()),""))</f>
      </c>
    </row>
    <row r="1376">
      <c r="F1376">
        <f>IF(DATOS!$A1376="","",DATOS!$A1376&amp;"|"&amp;DATOS!$D1376&amp;"|"&amp;DATOS!$E1376&amp;"|"&amp;DATOS!$I1376)</f>
      </c>
      <c r="G1376">
        <f>IF(DATOS!$A1376="",0,IF(CONFIG_METADATA!$B$4&lt;&gt;"OR+EX",--(DATOS!$G1376=CONFIG_METADATA!$B$4),IF(DATOS!$G1376="EX",1,IF(DATOS!$G1376="OR",--(COUNTIFS(nNIA,DATOS!$A1376,nCURSO,DATOS!$D1376,nESPEC,DATOS!$E1376,nASIG,DATOS!$I1376,nEVAL,"EX")=0),0))))</f>
      </c>
      <c r="H1376">
        <f>IF(DATOS!$G1376&lt;&gt;"EX",0,--(COUNTIFS(nNIA,DATOS!$A1376,nCURSO,DATOS!$D1376,nESPEC,DATOS!$E1376,nASIG,DATOS!$I1376,nEVAL,"OR")=0))</f>
      </c>
      <c r="I1376">
        <f>IF(DATOS!$I1376="","",IFERROR(VLOOKUP(DATOS!$I1376,CONFIG_ASIGNATURAS!$B$2:$J$91,9,FALSE()),""))</f>
      </c>
    </row>
    <row r="1377">
      <c r="F1377">
        <f>IF(DATOS!$A1377="","",DATOS!$A1377&amp;"|"&amp;DATOS!$D1377&amp;"|"&amp;DATOS!$E1377&amp;"|"&amp;DATOS!$I1377)</f>
      </c>
      <c r="G1377">
        <f>IF(DATOS!$A1377="",0,IF(CONFIG_METADATA!$B$4&lt;&gt;"OR+EX",--(DATOS!$G1377=CONFIG_METADATA!$B$4),IF(DATOS!$G1377="EX",1,IF(DATOS!$G1377="OR",--(COUNTIFS(nNIA,DATOS!$A1377,nCURSO,DATOS!$D1377,nESPEC,DATOS!$E1377,nASIG,DATOS!$I1377,nEVAL,"EX")=0),0))))</f>
      </c>
      <c r="H1377">
        <f>IF(DATOS!$G1377&lt;&gt;"EX",0,--(COUNTIFS(nNIA,DATOS!$A1377,nCURSO,DATOS!$D1377,nESPEC,DATOS!$E1377,nASIG,DATOS!$I1377,nEVAL,"OR")=0))</f>
      </c>
      <c r="I1377">
        <f>IF(DATOS!$I1377="","",IFERROR(VLOOKUP(DATOS!$I1377,CONFIG_ASIGNATURAS!$B$2:$J$91,9,FALSE()),""))</f>
      </c>
    </row>
    <row r="1378">
      <c r="F1378">
        <f>IF(DATOS!$A1378="","",DATOS!$A1378&amp;"|"&amp;DATOS!$D1378&amp;"|"&amp;DATOS!$E1378&amp;"|"&amp;DATOS!$I1378)</f>
      </c>
      <c r="G1378">
        <f>IF(DATOS!$A1378="",0,IF(CONFIG_METADATA!$B$4&lt;&gt;"OR+EX",--(DATOS!$G1378=CONFIG_METADATA!$B$4),IF(DATOS!$G1378="EX",1,IF(DATOS!$G1378="OR",--(COUNTIFS(nNIA,DATOS!$A1378,nCURSO,DATOS!$D1378,nESPEC,DATOS!$E1378,nASIG,DATOS!$I1378,nEVAL,"EX")=0),0))))</f>
      </c>
      <c r="H1378">
        <f>IF(DATOS!$G1378&lt;&gt;"EX",0,--(COUNTIFS(nNIA,DATOS!$A1378,nCURSO,DATOS!$D1378,nESPEC,DATOS!$E1378,nASIG,DATOS!$I1378,nEVAL,"OR")=0))</f>
      </c>
      <c r="I1378">
        <f>IF(DATOS!$I1378="","",IFERROR(VLOOKUP(DATOS!$I1378,CONFIG_ASIGNATURAS!$B$2:$J$91,9,FALSE()),""))</f>
      </c>
    </row>
    <row r="1379">
      <c r="F1379">
        <f>IF(DATOS!$A1379="","",DATOS!$A1379&amp;"|"&amp;DATOS!$D1379&amp;"|"&amp;DATOS!$E1379&amp;"|"&amp;DATOS!$I1379)</f>
      </c>
      <c r="G1379">
        <f>IF(DATOS!$A1379="",0,IF(CONFIG_METADATA!$B$4&lt;&gt;"OR+EX",--(DATOS!$G1379=CONFIG_METADATA!$B$4),IF(DATOS!$G1379="EX",1,IF(DATOS!$G1379="OR",--(COUNTIFS(nNIA,DATOS!$A1379,nCURSO,DATOS!$D1379,nESPEC,DATOS!$E1379,nASIG,DATOS!$I1379,nEVAL,"EX")=0),0))))</f>
      </c>
      <c r="H1379">
        <f>IF(DATOS!$G1379&lt;&gt;"EX",0,--(COUNTIFS(nNIA,DATOS!$A1379,nCURSO,DATOS!$D1379,nESPEC,DATOS!$E1379,nASIG,DATOS!$I1379,nEVAL,"OR")=0))</f>
      </c>
      <c r="I1379">
        <f>IF(DATOS!$I1379="","",IFERROR(VLOOKUP(DATOS!$I1379,CONFIG_ASIGNATURAS!$B$2:$J$91,9,FALSE()),""))</f>
      </c>
    </row>
    <row r="1380">
      <c r="F1380">
        <f>IF(DATOS!$A1380="","",DATOS!$A1380&amp;"|"&amp;DATOS!$D1380&amp;"|"&amp;DATOS!$E1380&amp;"|"&amp;DATOS!$I1380)</f>
      </c>
      <c r="G1380">
        <f>IF(DATOS!$A1380="",0,IF(CONFIG_METADATA!$B$4&lt;&gt;"OR+EX",--(DATOS!$G1380=CONFIG_METADATA!$B$4),IF(DATOS!$G1380="EX",1,IF(DATOS!$G1380="OR",--(COUNTIFS(nNIA,DATOS!$A1380,nCURSO,DATOS!$D1380,nESPEC,DATOS!$E1380,nASIG,DATOS!$I1380,nEVAL,"EX")=0),0))))</f>
      </c>
      <c r="H1380">
        <f>IF(DATOS!$G1380&lt;&gt;"EX",0,--(COUNTIFS(nNIA,DATOS!$A1380,nCURSO,DATOS!$D1380,nESPEC,DATOS!$E1380,nASIG,DATOS!$I1380,nEVAL,"OR")=0))</f>
      </c>
      <c r="I1380">
        <f>IF(DATOS!$I1380="","",IFERROR(VLOOKUP(DATOS!$I1380,CONFIG_ASIGNATURAS!$B$2:$J$91,9,FALSE()),""))</f>
      </c>
    </row>
    <row r="1381">
      <c r="F1381">
        <f>IF(DATOS!$A1381="","",DATOS!$A1381&amp;"|"&amp;DATOS!$D1381&amp;"|"&amp;DATOS!$E1381&amp;"|"&amp;DATOS!$I1381)</f>
      </c>
      <c r="G1381">
        <f>IF(DATOS!$A1381="",0,IF(CONFIG_METADATA!$B$4&lt;&gt;"OR+EX",--(DATOS!$G1381=CONFIG_METADATA!$B$4),IF(DATOS!$G1381="EX",1,IF(DATOS!$G1381="OR",--(COUNTIFS(nNIA,DATOS!$A1381,nCURSO,DATOS!$D1381,nESPEC,DATOS!$E1381,nASIG,DATOS!$I1381,nEVAL,"EX")=0),0))))</f>
      </c>
      <c r="H1381">
        <f>IF(DATOS!$G1381&lt;&gt;"EX",0,--(COUNTIFS(nNIA,DATOS!$A1381,nCURSO,DATOS!$D1381,nESPEC,DATOS!$E1381,nASIG,DATOS!$I1381,nEVAL,"OR")=0))</f>
      </c>
      <c r="I1381">
        <f>IF(DATOS!$I1381="","",IFERROR(VLOOKUP(DATOS!$I1381,CONFIG_ASIGNATURAS!$B$2:$J$91,9,FALSE()),""))</f>
      </c>
    </row>
    <row r="1382">
      <c r="F1382">
        <f>IF(DATOS!$A1382="","",DATOS!$A1382&amp;"|"&amp;DATOS!$D1382&amp;"|"&amp;DATOS!$E1382&amp;"|"&amp;DATOS!$I1382)</f>
      </c>
      <c r="G1382">
        <f>IF(DATOS!$A1382="",0,IF(CONFIG_METADATA!$B$4&lt;&gt;"OR+EX",--(DATOS!$G1382=CONFIG_METADATA!$B$4),IF(DATOS!$G1382="EX",1,IF(DATOS!$G1382="OR",--(COUNTIFS(nNIA,DATOS!$A1382,nCURSO,DATOS!$D1382,nESPEC,DATOS!$E1382,nASIG,DATOS!$I1382,nEVAL,"EX")=0),0))))</f>
      </c>
      <c r="H1382">
        <f>IF(DATOS!$G1382&lt;&gt;"EX",0,--(COUNTIFS(nNIA,DATOS!$A1382,nCURSO,DATOS!$D1382,nESPEC,DATOS!$E1382,nASIG,DATOS!$I1382,nEVAL,"OR")=0))</f>
      </c>
      <c r="I1382">
        <f>IF(DATOS!$I1382="","",IFERROR(VLOOKUP(DATOS!$I1382,CONFIG_ASIGNATURAS!$B$2:$J$91,9,FALSE()),""))</f>
      </c>
    </row>
    <row r="1383">
      <c r="F1383">
        <f>IF(DATOS!$A1383="","",DATOS!$A1383&amp;"|"&amp;DATOS!$D1383&amp;"|"&amp;DATOS!$E1383&amp;"|"&amp;DATOS!$I1383)</f>
      </c>
      <c r="G1383">
        <f>IF(DATOS!$A1383="",0,IF(CONFIG_METADATA!$B$4&lt;&gt;"OR+EX",--(DATOS!$G1383=CONFIG_METADATA!$B$4),IF(DATOS!$G1383="EX",1,IF(DATOS!$G1383="OR",--(COUNTIFS(nNIA,DATOS!$A1383,nCURSO,DATOS!$D1383,nESPEC,DATOS!$E1383,nASIG,DATOS!$I1383,nEVAL,"EX")=0),0))))</f>
      </c>
      <c r="H1383">
        <f>IF(DATOS!$G1383&lt;&gt;"EX",0,--(COUNTIFS(nNIA,DATOS!$A1383,nCURSO,DATOS!$D1383,nESPEC,DATOS!$E1383,nASIG,DATOS!$I1383,nEVAL,"OR")=0))</f>
      </c>
      <c r="I1383">
        <f>IF(DATOS!$I1383="","",IFERROR(VLOOKUP(DATOS!$I1383,CONFIG_ASIGNATURAS!$B$2:$J$91,9,FALSE()),""))</f>
      </c>
    </row>
    <row r="1384">
      <c r="F1384">
        <f>IF(DATOS!$A1384="","",DATOS!$A1384&amp;"|"&amp;DATOS!$D1384&amp;"|"&amp;DATOS!$E1384&amp;"|"&amp;DATOS!$I1384)</f>
      </c>
      <c r="G1384">
        <f>IF(DATOS!$A1384="",0,IF(CONFIG_METADATA!$B$4&lt;&gt;"OR+EX",--(DATOS!$G1384=CONFIG_METADATA!$B$4),IF(DATOS!$G1384="EX",1,IF(DATOS!$G1384="OR",--(COUNTIFS(nNIA,DATOS!$A1384,nCURSO,DATOS!$D1384,nESPEC,DATOS!$E1384,nASIG,DATOS!$I1384,nEVAL,"EX")=0),0))))</f>
      </c>
      <c r="H1384">
        <f>IF(DATOS!$G1384&lt;&gt;"EX",0,--(COUNTIFS(nNIA,DATOS!$A1384,nCURSO,DATOS!$D1384,nESPEC,DATOS!$E1384,nASIG,DATOS!$I1384,nEVAL,"OR")=0))</f>
      </c>
      <c r="I1384">
        <f>IF(DATOS!$I1384="","",IFERROR(VLOOKUP(DATOS!$I1384,CONFIG_ASIGNATURAS!$B$2:$J$91,9,FALSE()),""))</f>
      </c>
    </row>
    <row r="1385">
      <c r="F1385">
        <f>IF(DATOS!$A1385="","",DATOS!$A1385&amp;"|"&amp;DATOS!$D1385&amp;"|"&amp;DATOS!$E1385&amp;"|"&amp;DATOS!$I1385)</f>
      </c>
      <c r="G1385">
        <f>IF(DATOS!$A1385="",0,IF(CONFIG_METADATA!$B$4&lt;&gt;"OR+EX",--(DATOS!$G1385=CONFIG_METADATA!$B$4),IF(DATOS!$G1385="EX",1,IF(DATOS!$G1385="OR",--(COUNTIFS(nNIA,DATOS!$A1385,nCURSO,DATOS!$D1385,nESPEC,DATOS!$E1385,nASIG,DATOS!$I1385,nEVAL,"EX")=0),0))))</f>
      </c>
      <c r="H1385">
        <f>IF(DATOS!$G1385&lt;&gt;"EX",0,--(COUNTIFS(nNIA,DATOS!$A1385,nCURSO,DATOS!$D1385,nESPEC,DATOS!$E1385,nASIG,DATOS!$I1385,nEVAL,"OR")=0))</f>
      </c>
      <c r="I1385">
        <f>IF(DATOS!$I1385="","",IFERROR(VLOOKUP(DATOS!$I1385,CONFIG_ASIGNATURAS!$B$2:$J$91,9,FALSE()),""))</f>
      </c>
    </row>
    <row r="1386">
      <c r="F1386">
        <f>IF(DATOS!$A1386="","",DATOS!$A1386&amp;"|"&amp;DATOS!$D1386&amp;"|"&amp;DATOS!$E1386&amp;"|"&amp;DATOS!$I1386)</f>
      </c>
      <c r="G1386">
        <f>IF(DATOS!$A1386="",0,IF(CONFIG_METADATA!$B$4&lt;&gt;"OR+EX",--(DATOS!$G1386=CONFIG_METADATA!$B$4),IF(DATOS!$G1386="EX",1,IF(DATOS!$G1386="OR",--(COUNTIFS(nNIA,DATOS!$A1386,nCURSO,DATOS!$D1386,nESPEC,DATOS!$E1386,nASIG,DATOS!$I1386,nEVAL,"EX")=0),0))))</f>
      </c>
      <c r="H1386">
        <f>IF(DATOS!$G1386&lt;&gt;"EX",0,--(COUNTIFS(nNIA,DATOS!$A1386,nCURSO,DATOS!$D1386,nESPEC,DATOS!$E1386,nASIG,DATOS!$I1386,nEVAL,"OR")=0))</f>
      </c>
      <c r="I1386">
        <f>IF(DATOS!$I1386="","",IFERROR(VLOOKUP(DATOS!$I1386,CONFIG_ASIGNATURAS!$B$2:$J$91,9,FALSE()),""))</f>
      </c>
    </row>
    <row r="1387">
      <c r="F1387">
        <f>IF(DATOS!$A1387="","",DATOS!$A1387&amp;"|"&amp;DATOS!$D1387&amp;"|"&amp;DATOS!$E1387&amp;"|"&amp;DATOS!$I1387)</f>
      </c>
      <c r="G1387">
        <f>IF(DATOS!$A1387="",0,IF(CONFIG_METADATA!$B$4&lt;&gt;"OR+EX",--(DATOS!$G1387=CONFIG_METADATA!$B$4),IF(DATOS!$G1387="EX",1,IF(DATOS!$G1387="OR",--(COUNTIFS(nNIA,DATOS!$A1387,nCURSO,DATOS!$D1387,nESPEC,DATOS!$E1387,nASIG,DATOS!$I1387,nEVAL,"EX")=0),0))))</f>
      </c>
      <c r="H1387">
        <f>IF(DATOS!$G1387&lt;&gt;"EX",0,--(COUNTIFS(nNIA,DATOS!$A1387,nCURSO,DATOS!$D1387,nESPEC,DATOS!$E1387,nASIG,DATOS!$I1387,nEVAL,"OR")=0))</f>
      </c>
      <c r="I1387">
        <f>IF(DATOS!$I1387="","",IFERROR(VLOOKUP(DATOS!$I1387,CONFIG_ASIGNATURAS!$B$2:$J$91,9,FALSE()),""))</f>
      </c>
    </row>
    <row r="1388">
      <c r="F1388">
        <f>IF(DATOS!$A1388="","",DATOS!$A1388&amp;"|"&amp;DATOS!$D1388&amp;"|"&amp;DATOS!$E1388&amp;"|"&amp;DATOS!$I1388)</f>
      </c>
      <c r="G1388">
        <f>IF(DATOS!$A1388="",0,IF(CONFIG_METADATA!$B$4&lt;&gt;"OR+EX",--(DATOS!$G1388=CONFIG_METADATA!$B$4),IF(DATOS!$G1388="EX",1,IF(DATOS!$G1388="OR",--(COUNTIFS(nNIA,DATOS!$A1388,nCURSO,DATOS!$D1388,nESPEC,DATOS!$E1388,nASIG,DATOS!$I1388,nEVAL,"EX")=0),0))))</f>
      </c>
      <c r="H1388">
        <f>IF(DATOS!$G1388&lt;&gt;"EX",0,--(COUNTIFS(nNIA,DATOS!$A1388,nCURSO,DATOS!$D1388,nESPEC,DATOS!$E1388,nASIG,DATOS!$I1388,nEVAL,"OR")=0))</f>
      </c>
      <c r="I1388">
        <f>IF(DATOS!$I1388="","",IFERROR(VLOOKUP(DATOS!$I1388,CONFIG_ASIGNATURAS!$B$2:$J$91,9,FALSE()),""))</f>
      </c>
    </row>
    <row r="1389">
      <c r="F1389">
        <f>IF(DATOS!$A1389="","",DATOS!$A1389&amp;"|"&amp;DATOS!$D1389&amp;"|"&amp;DATOS!$E1389&amp;"|"&amp;DATOS!$I1389)</f>
      </c>
      <c r="G1389">
        <f>IF(DATOS!$A1389="",0,IF(CONFIG_METADATA!$B$4&lt;&gt;"OR+EX",--(DATOS!$G1389=CONFIG_METADATA!$B$4),IF(DATOS!$G1389="EX",1,IF(DATOS!$G1389="OR",--(COUNTIFS(nNIA,DATOS!$A1389,nCURSO,DATOS!$D1389,nESPEC,DATOS!$E1389,nASIG,DATOS!$I1389,nEVAL,"EX")=0),0))))</f>
      </c>
      <c r="H1389">
        <f>IF(DATOS!$G1389&lt;&gt;"EX",0,--(COUNTIFS(nNIA,DATOS!$A1389,nCURSO,DATOS!$D1389,nESPEC,DATOS!$E1389,nASIG,DATOS!$I1389,nEVAL,"OR")=0))</f>
      </c>
      <c r="I1389">
        <f>IF(DATOS!$I1389="","",IFERROR(VLOOKUP(DATOS!$I1389,CONFIG_ASIGNATURAS!$B$2:$J$91,9,FALSE()),""))</f>
      </c>
    </row>
    <row r="1390">
      <c r="F1390">
        <f>IF(DATOS!$A1390="","",DATOS!$A1390&amp;"|"&amp;DATOS!$D1390&amp;"|"&amp;DATOS!$E1390&amp;"|"&amp;DATOS!$I1390)</f>
      </c>
      <c r="G1390">
        <f>IF(DATOS!$A1390="",0,IF(CONFIG_METADATA!$B$4&lt;&gt;"OR+EX",--(DATOS!$G1390=CONFIG_METADATA!$B$4),IF(DATOS!$G1390="EX",1,IF(DATOS!$G1390="OR",--(COUNTIFS(nNIA,DATOS!$A1390,nCURSO,DATOS!$D1390,nESPEC,DATOS!$E1390,nASIG,DATOS!$I1390,nEVAL,"EX")=0),0))))</f>
      </c>
      <c r="H1390">
        <f>IF(DATOS!$G1390&lt;&gt;"EX",0,--(COUNTIFS(nNIA,DATOS!$A1390,nCURSO,DATOS!$D1390,nESPEC,DATOS!$E1390,nASIG,DATOS!$I1390,nEVAL,"OR")=0))</f>
      </c>
      <c r="I1390">
        <f>IF(DATOS!$I1390="","",IFERROR(VLOOKUP(DATOS!$I1390,CONFIG_ASIGNATURAS!$B$2:$J$91,9,FALSE()),""))</f>
      </c>
    </row>
    <row r="1391">
      <c r="F1391">
        <f>IF(DATOS!$A1391="","",DATOS!$A1391&amp;"|"&amp;DATOS!$D1391&amp;"|"&amp;DATOS!$E1391&amp;"|"&amp;DATOS!$I1391)</f>
      </c>
      <c r="G1391">
        <f>IF(DATOS!$A1391="",0,IF(CONFIG_METADATA!$B$4&lt;&gt;"OR+EX",--(DATOS!$G1391=CONFIG_METADATA!$B$4),IF(DATOS!$G1391="EX",1,IF(DATOS!$G1391="OR",--(COUNTIFS(nNIA,DATOS!$A1391,nCURSO,DATOS!$D1391,nESPEC,DATOS!$E1391,nASIG,DATOS!$I1391,nEVAL,"EX")=0),0))))</f>
      </c>
      <c r="H1391">
        <f>IF(DATOS!$G1391&lt;&gt;"EX",0,--(COUNTIFS(nNIA,DATOS!$A1391,nCURSO,DATOS!$D1391,nESPEC,DATOS!$E1391,nASIG,DATOS!$I1391,nEVAL,"OR")=0))</f>
      </c>
      <c r="I1391">
        <f>IF(DATOS!$I1391="","",IFERROR(VLOOKUP(DATOS!$I1391,CONFIG_ASIGNATURAS!$B$2:$J$91,9,FALSE()),""))</f>
      </c>
    </row>
    <row r="1392">
      <c r="F1392">
        <f>IF(DATOS!$A1392="","",DATOS!$A1392&amp;"|"&amp;DATOS!$D1392&amp;"|"&amp;DATOS!$E1392&amp;"|"&amp;DATOS!$I1392)</f>
      </c>
      <c r="G1392">
        <f>IF(DATOS!$A1392="",0,IF(CONFIG_METADATA!$B$4&lt;&gt;"OR+EX",--(DATOS!$G1392=CONFIG_METADATA!$B$4),IF(DATOS!$G1392="EX",1,IF(DATOS!$G1392="OR",--(COUNTIFS(nNIA,DATOS!$A1392,nCURSO,DATOS!$D1392,nESPEC,DATOS!$E1392,nASIG,DATOS!$I1392,nEVAL,"EX")=0),0))))</f>
      </c>
      <c r="H1392">
        <f>IF(DATOS!$G1392&lt;&gt;"EX",0,--(COUNTIFS(nNIA,DATOS!$A1392,nCURSO,DATOS!$D1392,nESPEC,DATOS!$E1392,nASIG,DATOS!$I1392,nEVAL,"OR")=0))</f>
      </c>
      <c r="I1392">
        <f>IF(DATOS!$I1392="","",IFERROR(VLOOKUP(DATOS!$I1392,CONFIG_ASIGNATURAS!$B$2:$J$91,9,FALSE()),""))</f>
      </c>
    </row>
    <row r="1393">
      <c r="F1393">
        <f>IF(DATOS!$A1393="","",DATOS!$A1393&amp;"|"&amp;DATOS!$D1393&amp;"|"&amp;DATOS!$E1393&amp;"|"&amp;DATOS!$I1393)</f>
      </c>
      <c r="G1393">
        <f>IF(DATOS!$A1393="",0,IF(CONFIG_METADATA!$B$4&lt;&gt;"OR+EX",--(DATOS!$G1393=CONFIG_METADATA!$B$4),IF(DATOS!$G1393="EX",1,IF(DATOS!$G1393="OR",--(COUNTIFS(nNIA,DATOS!$A1393,nCURSO,DATOS!$D1393,nESPEC,DATOS!$E1393,nASIG,DATOS!$I1393,nEVAL,"EX")=0),0))))</f>
      </c>
      <c r="H1393">
        <f>IF(DATOS!$G1393&lt;&gt;"EX",0,--(COUNTIFS(nNIA,DATOS!$A1393,nCURSO,DATOS!$D1393,nESPEC,DATOS!$E1393,nASIG,DATOS!$I1393,nEVAL,"OR")=0))</f>
      </c>
      <c r="I1393">
        <f>IF(DATOS!$I1393="","",IFERROR(VLOOKUP(DATOS!$I1393,CONFIG_ASIGNATURAS!$B$2:$J$91,9,FALSE()),""))</f>
      </c>
    </row>
    <row r="1394">
      <c r="F1394">
        <f>IF(DATOS!$A1394="","",DATOS!$A1394&amp;"|"&amp;DATOS!$D1394&amp;"|"&amp;DATOS!$E1394&amp;"|"&amp;DATOS!$I1394)</f>
      </c>
      <c r="G1394">
        <f>IF(DATOS!$A1394="",0,IF(CONFIG_METADATA!$B$4&lt;&gt;"OR+EX",--(DATOS!$G1394=CONFIG_METADATA!$B$4),IF(DATOS!$G1394="EX",1,IF(DATOS!$G1394="OR",--(COUNTIFS(nNIA,DATOS!$A1394,nCURSO,DATOS!$D1394,nESPEC,DATOS!$E1394,nASIG,DATOS!$I1394,nEVAL,"EX")=0),0))))</f>
      </c>
      <c r="H1394">
        <f>IF(DATOS!$G1394&lt;&gt;"EX",0,--(COUNTIFS(nNIA,DATOS!$A1394,nCURSO,DATOS!$D1394,nESPEC,DATOS!$E1394,nASIG,DATOS!$I1394,nEVAL,"OR")=0))</f>
      </c>
      <c r="I1394">
        <f>IF(DATOS!$I1394="","",IFERROR(VLOOKUP(DATOS!$I1394,CONFIG_ASIGNATURAS!$B$2:$J$91,9,FALSE()),""))</f>
      </c>
    </row>
    <row r="1395">
      <c r="F1395">
        <f>IF(DATOS!$A1395="","",DATOS!$A1395&amp;"|"&amp;DATOS!$D1395&amp;"|"&amp;DATOS!$E1395&amp;"|"&amp;DATOS!$I1395)</f>
      </c>
      <c r="G1395">
        <f>IF(DATOS!$A1395="",0,IF(CONFIG_METADATA!$B$4&lt;&gt;"OR+EX",--(DATOS!$G1395=CONFIG_METADATA!$B$4),IF(DATOS!$G1395="EX",1,IF(DATOS!$G1395="OR",--(COUNTIFS(nNIA,DATOS!$A1395,nCURSO,DATOS!$D1395,nESPEC,DATOS!$E1395,nASIG,DATOS!$I1395,nEVAL,"EX")=0),0))))</f>
      </c>
      <c r="H1395">
        <f>IF(DATOS!$G1395&lt;&gt;"EX",0,--(COUNTIFS(nNIA,DATOS!$A1395,nCURSO,DATOS!$D1395,nESPEC,DATOS!$E1395,nASIG,DATOS!$I1395,nEVAL,"OR")=0))</f>
      </c>
      <c r="I1395">
        <f>IF(DATOS!$I1395="","",IFERROR(VLOOKUP(DATOS!$I1395,CONFIG_ASIGNATURAS!$B$2:$J$91,9,FALSE()),""))</f>
      </c>
    </row>
    <row r="1396">
      <c r="F1396">
        <f>IF(DATOS!$A1396="","",DATOS!$A1396&amp;"|"&amp;DATOS!$D1396&amp;"|"&amp;DATOS!$E1396&amp;"|"&amp;DATOS!$I1396)</f>
      </c>
      <c r="G1396">
        <f>IF(DATOS!$A1396="",0,IF(CONFIG_METADATA!$B$4&lt;&gt;"OR+EX",--(DATOS!$G1396=CONFIG_METADATA!$B$4),IF(DATOS!$G1396="EX",1,IF(DATOS!$G1396="OR",--(COUNTIFS(nNIA,DATOS!$A1396,nCURSO,DATOS!$D1396,nESPEC,DATOS!$E1396,nASIG,DATOS!$I1396,nEVAL,"EX")=0),0))))</f>
      </c>
      <c r="H1396">
        <f>IF(DATOS!$G1396&lt;&gt;"EX",0,--(COUNTIFS(nNIA,DATOS!$A1396,nCURSO,DATOS!$D1396,nESPEC,DATOS!$E1396,nASIG,DATOS!$I1396,nEVAL,"OR")=0))</f>
      </c>
      <c r="I1396">
        <f>IF(DATOS!$I1396="","",IFERROR(VLOOKUP(DATOS!$I1396,CONFIG_ASIGNATURAS!$B$2:$J$91,9,FALSE()),""))</f>
      </c>
    </row>
    <row r="1397">
      <c r="F1397">
        <f>IF(DATOS!$A1397="","",DATOS!$A1397&amp;"|"&amp;DATOS!$D1397&amp;"|"&amp;DATOS!$E1397&amp;"|"&amp;DATOS!$I1397)</f>
      </c>
      <c r="G1397">
        <f>IF(DATOS!$A1397="",0,IF(CONFIG_METADATA!$B$4&lt;&gt;"OR+EX",--(DATOS!$G1397=CONFIG_METADATA!$B$4),IF(DATOS!$G1397="EX",1,IF(DATOS!$G1397="OR",--(COUNTIFS(nNIA,DATOS!$A1397,nCURSO,DATOS!$D1397,nESPEC,DATOS!$E1397,nASIG,DATOS!$I1397,nEVAL,"EX")=0),0))))</f>
      </c>
      <c r="H1397">
        <f>IF(DATOS!$G1397&lt;&gt;"EX",0,--(COUNTIFS(nNIA,DATOS!$A1397,nCURSO,DATOS!$D1397,nESPEC,DATOS!$E1397,nASIG,DATOS!$I1397,nEVAL,"OR")=0))</f>
      </c>
      <c r="I1397">
        <f>IF(DATOS!$I1397="","",IFERROR(VLOOKUP(DATOS!$I1397,CONFIG_ASIGNATURAS!$B$2:$J$91,9,FALSE()),""))</f>
      </c>
    </row>
    <row r="1398">
      <c r="F1398">
        <f>IF(DATOS!$A1398="","",DATOS!$A1398&amp;"|"&amp;DATOS!$D1398&amp;"|"&amp;DATOS!$E1398&amp;"|"&amp;DATOS!$I1398)</f>
      </c>
      <c r="G1398">
        <f>IF(DATOS!$A1398="",0,IF(CONFIG_METADATA!$B$4&lt;&gt;"OR+EX",--(DATOS!$G1398=CONFIG_METADATA!$B$4),IF(DATOS!$G1398="EX",1,IF(DATOS!$G1398="OR",--(COUNTIFS(nNIA,DATOS!$A1398,nCURSO,DATOS!$D1398,nESPEC,DATOS!$E1398,nASIG,DATOS!$I1398,nEVAL,"EX")=0),0))))</f>
      </c>
      <c r="H1398">
        <f>IF(DATOS!$G1398&lt;&gt;"EX",0,--(COUNTIFS(nNIA,DATOS!$A1398,nCURSO,DATOS!$D1398,nESPEC,DATOS!$E1398,nASIG,DATOS!$I1398,nEVAL,"OR")=0))</f>
      </c>
      <c r="I1398">
        <f>IF(DATOS!$I1398="","",IFERROR(VLOOKUP(DATOS!$I1398,CONFIG_ASIGNATURAS!$B$2:$J$91,9,FALSE()),""))</f>
      </c>
    </row>
    <row r="1399">
      <c r="F1399">
        <f>IF(DATOS!$A1399="","",DATOS!$A1399&amp;"|"&amp;DATOS!$D1399&amp;"|"&amp;DATOS!$E1399&amp;"|"&amp;DATOS!$I1399)</f>
      </c>
      <c r="G1399">
        <f>IF(DATOS!$A1399="",0,IF(CONFIG_METADATA!$B$4&lt;&gt;"OR+EX",--(DATOS!$G1399=CONFIG_METADATA!$B$4),IF(DATOS!$G1399="EX",1,IF(DATOS!$G1399="OR",--(COUNTIFS(nNIA,DATOS!$A1399,nCURSO,DATOS!$D1399,nESPEC,DATOS!$E1399,nASIG,DATOS!$I1399,nEVAL,"EX")=0),0))))</f>
      </c>
      <c r="H1399">
        <f>IF(DATOS!$G1399&lt;&gt;"EX",0,--(COUNTIFS(nNIA,DATOS!$A1399,nCURSO,DATOS!$D1399,nESPEC,DATOS!$E1399,nASIG,DATOS!$I1399,nEVAL,"OR")=0))</f>
      </c>
      <c r="I1399">
        <f>IF(DATOS!$I1399="","",IFERROR(VLOOKUP(DATOS!$I1399,CONFIG_ASIGNATURAS!$B$2:$J$91,9,FALSE()),""))</f>
      </c>
    </row>
    <row r="1400">
      <c r="F1400">
        <f>IF(DATOS!$A1400="","",DATOS!$A1400&amp;"|"&amp;DATOS!$D1400&amp;"|"&amp;DATOS!$E1400&amp;"|"&amp;DATOS!$I1400)</f>
      </c>
      <c r="G1400">
        <f>IF(DATOS!$A1400="",0,IF(CONFIG_METADATA!$B$4&lt;&gt;"OR+EX",--(DATOS!$G1400=CONFIG_METADATA!$B$4),IF(DATOS!$G1400="EX",1,IF(DATOS!$G1400="OR",--(COUNTIFS(nNIA,DATOS!$A1400,nCURSO,DATOS!$D1400,nESPEC,DATOS!$E1400,nASIG,DATOS!$I1400,nEVAL,"EX")=0),0))))</f>
      </c>
      <c r="H1400">
        <f>IF(DATOS!$G1400&lt;&gt;"EX",0,--(COUNTIFS(nNIA,DATOS!$A1400,nCURSO,DATOS!$D1400,nESPEC,DATOS!$E1400,nASIG,DATOS!$I1400,nEVAL,"OR")=0))</f>
      </c>
      <c r="I1400">
        <f>IF(DATOS!$I1400="","",IFERROR(VLOOKUP(DATOS!$I1400,CONFIG_ASIGNATURAS!$B$2:$J$91,9,FALSE()),""))</f>
      </c>
    </row>
    <row r="1401">
      <c r="F1401">
        <f>IF(DATOS!$A1401="","",DATOS!$A1401&amp;"|"&amp;DATOS!$D1401&amp;"|"&amp;DATOS!$E1401&amp;"|"&amp;DATOS!$I1401)</f>
      </c>
      <c r="G1401">
        <f>IF(DATOS!$A1401="",0,IF(CONFIG_METADATA!$B$4&lt;&gt;"OR+EX",--(DATOS!$G1401=CONFIG_METADATA!$B$4),IF(DATOS!$G1401="EX",1,IF(DATOS!$G1401="OR",--(COUNTIFS(nNIA,DATOS!$A1401,nCURSO,DATOS!$D1401,nESPEC,DATOS!$E1401,nASIG,DATOS!$I1401,nEVAL,"EX")=0),0))))</f>
      </c>
      <c r="H1401">
        <f>IF(DATOS!$G1401&lt;&gt;"EX",0,--(COUNTIFS(nNIA,DATOS!$A1401,nCURSO,DATOS!$D1401,nESPEC,DATOS!$E1401,nASIG,DATOS!$I1401,nEVAL,"OR")=0))</f>
      </c>
      <c r="I1401">
        <f>IF(DATOS!$I1401="","",IFERROR(VLOOKUP(DATOS!$I1401,CONFIG_ASIGNATURAS!$B$2:$J$91,9,FALSE()),""))</f>
      </c>
    </row>
    <row r="1402">
      <c r="F1402">
        <f>IF(DATOS!$A1402="","",DATOS!$A1402&amp;"|"&amp;DATOS!$D1402&amp;"|"&amp;DATOS!$E1402&amp;"|"&amp;DATOS!$I1402)</f>
      </c>
      <c r="G1402">
        <f>IF(DATOS!$A1402="",0,IF(CONFIG_METADATA!$B$4&lt;&gt;"OR+EX",--(DATOS!$G1402=CONFIG_METADATA!$B$4),IF(DATOS!$G1402="EX",1,IF(DATOS!$G1402="OR",--(COUNTIFS(nNIA,DATOS!$A1402,nCURSO,DATOS!$D1402,nESPEC,DATOS!$E1402,nASIG,DATOS!$I1402,nEVAL,"EX")=0),0))))</f>
      </c>
      <c r="H1402">
        <f>IF(DATOS!$G1402&lt;&gt;"EX",0,--(COUNTIFS(nNIA,DATOS!$A1402,nCURSO,DATOS!$D1402,nESPEC,DATOS!$E1402,nASIG,DATOS!$I1402,nEVAL,"OR")=0))</f>
      </c>
      <c r="I1402">
        <f>IF(DATOS!$I1402="","",IFERROR(VLOOKUP(DATOS!$I1402,CONFIG_ASIGNATURAS!$B$2:$J$91,9,FALSE()),""))</f>
      </c>
    </row>
    <row r="1403">
      <c r="F1403">
        <f>IF(DATOS!$A1403="","",DATOS!$A1403&amp;"|"&amp;DATOS!$D1403&amp;"|"&amp;DATOS!$E1403&amp;"|"&amp;DATOS!$I1403)</f>
      </c>
      <c r="G1403">
        <f>IF(DATOS!$A1403="",0,IF(CONFIG_METADATA!$B$4&lt;&gt;"OR+EX",--(DATOS!$G1403=CONFIG_METADATA!$B$4),IF(DATOS!$G1403="EX",1,IF(DATOS!$G1403="OR",--(COUNTIFS(nNIA,DATOS!$A1403,nCURSO,DATOS!$D1403,nESPEC,DATOS!$E1403,nASIG,DATOS!$I1403,nEVAL,"EX")=0),0))))</f>
      </c>
      <c r="H1403">
        <f>IF(DATOS!$G1403&lt;&gt;"EX",0,--(COUNTIFS(nNIA,DATOS!$A1403,nCURSO,DATOS!$D1403,nESPEC,DATOS!$E1403,nASIG,DATOS!$I1403,nEVAL,"OR")=0))</f>
      </c>
      <c r="I1403">
        <f>IF(DATOS!$I1403="","",IFERROR(VLOOKUP(DATOS!$I1403,CONFIG_ASIGNATURAS!$B$2:$J$91,9,FALSE()),""))</f>
      </c>
    </row>
    <row r="1404">
      <c r="F1404">
        <f>IF(DATOS!$A1404="","",DATOS!$A1404&amp;"|"&amp;DATOS!$D1404&amp;"|"&amp;DATOS!$E1404&amp;"|"&amp;DATOS!$I1404)</f>
      </c>
      <c r="G1404">
        <f>IF(DATOS!$A1404="",0,IF(CONFIG_METADATA!$B$4&lt;&gt;"OR+EX",--(DATOS!$G1404=CONFIG_METADATA!$B$4),IF(DATOS!$G1404="EX",1,IF(DATOS!$G1404="OR",--(COUNTIFS(nNIA,DATOS!$A1404,nCURSO,DATOS!$D1404,nESPEC,DATOS!$E1404,nASIG,DATOS!$I1404,nEVAL,"EX")=0),0))))</f>
      </c>
      <c r="H1404">
        <f>IF(DATOS!$G1404&lt;&gt;"EX",0,--(COUNTIFS(nNIA,DATOS!$A1404,nCURSO,DATOS!$D1404,nESPEC,DATOS!$E1404,nASIG,DATOS!$I1404,nEVAL,"OR")=0))</f>
      </c>
      <c r="I1404">
        <f>IF(DATOS!$I1404="","",IFERROR(VLOOKUP(DATOS!$I1404,CONFIG_ASIGNATURAS!$B$2:$J$91,9,FALSE()),""))</f>
      </c>
    </row>
    <row r="1405">
      <c r="F1405">
        <f>IF(DATOS!$A1405="","",DATOS!$A1405&amp;"|"&amp;DATOS!$D1405&amp;"|"&amp;DATOS!$E1405&amp;"|"&amp;DATOS!$I1405)</f>
      </c>
      <c r="G1405">
        <f>IF(DATOS!$A1405="",0,IF(CONFIG_METADATA!$B$4&lt;&gt;"OR+EX",--(DATOS!$G1405=CONFIG_METADATA!$B$4),IF(DATOS!$G1405="EX",1,IF(DATOS!$G1405="OR",--(COUNTIFS(nNIA,DATOS!$A1405,nCURSO,DATOS!$D1405,nESPEC,DATOS!$E1405,nASIG,DATOS!$I1405,nEVAL,"EX")=0),0))))</f>
      </c>
      <c r="H1405">
        <f>IF(DATOS!$G1405&lt;&gt;"EX",0,--(COUNTIFS(nNIA,DATOS!$A1405,nCURSO,DATOS!$D1405,nESPEC,DATOS!$E1405,nASIG,DATOS!$I1405,nEVAL,"OR")=0))</f>
      </c>
      <c r="I1405">
        <f>IF(DATOS!$I1405="","",IFERROR(VLOOKUP(DATOS!$I1405,CONFIG_ASIGNATURAS!$B$2:$J$91,9,FALSE()),""))</f>
      </c>
    </row>
    <row r="1406">
      <c r="F1406">
        <f>IF(DATOS!$A1406="","",DATOS!$A1406&amp;"|"&amp;DATOS!$D1406&amp;"|"&amp;DATOS!$E1406&amp;"|"&amp;DATOS!$I1406)</f>
      </c>
      <c r="G1406">
        <f>IF(DATOS!$A1406="",0,IF(CONFIG_METADATA!$B$4&lt;&gt;"OR+EX",--(DATOS!$G1406=CONFIG_METADATA!$B$4),IF(DATOS!$G1406="EX",1,IF(DATOS!$G1406="OR",--(COUNTIFS(nNIA,DATOS!$A1406,nCURSO,DATOS!$D1406,nESPEC,DATOS!$E1406,nASIG,DATOS!$I1406,nEVAL,"EX")=0),0))))</f>
      </c>
      <c r="H1406">
        <f>IF(DATOS!$G1406&lt;&gt;"EX",0,--(COUNTIFS(nNIA,DATOS!$A1406,nCURSO,DATOS!$D1406,nESPEC,DATOS!$E1406,nASIG,DATOS!$I1406,nEVAL,"OR")=0))</f>
      </c>
      <c r="I1406">
        <f>IF(DATOS!$I1406="","",IFERROR(VLOOKUP(DATOS!$I1406,CONFIG_ASIGNATURAS!$B$2:$J$91,9,FALSE()),""))</f>
      </c>
    </row>
    <row r="1407">
      <c r="F1407">
        <f>IF(DATOS!$A1407="","",DATOS!$A1407&amp;"|"&amp;DATOS!$D1407&amp;"|"&amp;DATOS!$E1407&amp;"|"&amp;DATOS!$I1407)</f>
      </c>
      <c r="G1407">
        <f>IF(DATOS!$A1407="",0,IF(CONFIG_METADATA!$B$4&lt;&gt;"OR+EX",--(DATOS!$G1407=CONFIG_METADATA!$B$4),IF(DATOS!$G1407="EX",1,IF(DATOS!$G1407="OR",--(COUNTIFS(nNIA,DATOS!$A1407,nCURSO,DATOS!$D1407,nESPEC,DATOS!$E1407,nASIG,DATOS!$I1407,nEVAL,"EX")=0),0))))</f>
      </c>
      <c r="H1407">
        <f>IF(DATOS!$G1407&lt;&gt;"EX",0,--(COUNTIFS(nNIA,DATOS!$A1407,nCURSO,DATOS!$D1407,nESPEC,DATOS!$E1407,nASIG,DATOS!$I1407,nEVAL,"OR")=0))</f>
      </c>
      <c r="I1407">
        <f>IF(DATOS!$I1407="","",IFERROR(VLOOKUP(DATOS!$I1407,CONFIG_ASIGNATURAS!$B$2:$J$91,9,FALSE()),""))</f>
      </c>
    </row>
    <row r="1408">
      <c r="F1408">
        <f>IF(DATOS!$A1408="","",DATOS!$A1408&amp;"|"&amp;DATOS!$D1408&amp;"|"&amp;DATOS!$E1408&amp;"|"&amp;DATOS!$I1408)</f>
      </c>
      <c r="G1408">
        <f>IF(DATOS!$A1408="",0,IF(CONFIG_METADATA!$B$4&lt;&gt;"OR+EX",--(DATOS!$G1408=CONFIG_METADATA!$B$4),IF(DATOS!$G1408="EX",1,IF(DATOS!$G1408="OR",--(COUNTIFS(nNIA,DATOS!$A1408,nCURSO,DATOS!$D1408,nESPEC,DATOS!$E1408,nASIG,DATOS!$I1408,nEVAL,"EX")=0),0))))</f>
      </c>
      <c r="H1408">
        <f>IF(DATOS!$G1408&lt;&gt;"EX",0,--(COUNTIFS(nNIA,DATOS!$A1408,nCURSO,DATOS!$D1408,nESPEC,DATOS!$E1408,nASIG,DATOS!$I1408,nEVAL,"OR")=0))</f>
      </c>
      <c r="I1408">
        <f>IF(DATOS!$I1408="","",IFERROR(VLOOKUP(DATOS!$I1408,CONFIG_ASIGNATURAS!$B$2:$J$91,9,FALSE()),""))</f>
      </c>
    </row>
    <row r="1409">
      <c r="F1409">
        <f>IF(DATOS!$A1409="","",DATOS!$A1409&amp;"|"&amp;DATOS!$D1409&amp;"|"&amp;DATOS!$E1409&amp;"|"&amp;DATOS!$I1409)</f>
      </c>
      <c r="G1409">
        <f>IF(DATOS!$A1409="",0,IF(CONFIG_METADATA!$B$4&lt;&gt;"OR+EX",--(DATOS!$G1409=CONFIG_METADATA!$B$4),IF(DATOS!$G1409="EX",1,IF(DATOS!$G1409="OR",--(COUNTIFS(nNIA,DATOS!$A1409,nCURSO,DATOS!$D1409,nESPEC,DATOS!$E1409,nASIG,DATOS!$I1409,nEVAL,"EX")=0),0))))</f>
      </c>
      <c r="H1409">
        <f>IF(DATOS!$G1409&lt;&gt;"EX",0,--(COUNTIFS(nNIA,DATOS!$A1409,nCURSO,DATOS!$D1409,nESPEC,DATOS!$E1409,nASIG,DATOS!$I1409,nEVAL,"OR")=0))</f>
      </c>
      <c r="I1409">
        <f>IF(DATOS!$I1409="","",IFERROR(VLOOKUP(DATOS!$I1409,CONFIG_ASIGNATURAS!$B$2:$J$91,9,FALSE()),""))</f>
      </c>
    </row>
    <row r="1410">
      <c r="F1410">
        <f>IF(DATOS!$A1410="","",DATOS!$A1410&amp;"|"&amp;DATOS!$D1410&amp;"|"&amp;DATOS!$E1410&amp;"|"&amp;DATOS!$I1410)</f>
      </c>
      <c r="G1410">
        <f>IF(DATOS!$A1410="",0,IF(CONFIG_METADATA!$B$4&lt;&gt;"OR+EX",--(DATOS!$G1410=CONFIG_METADATA!$B$4),IF(DATOS!$G1410="EX",1,IF(DATOS!$G1410="OR",--(COUNTIFS(nNIA,DATOS!$A1410,nCURSO,DATOS!$D1410,nESPEC,DATOS!$E1410,nASIG,DATOS!$I1410,nEVAL,"EX")=0),0))))</f>
      </c>
      <c r="H1410">
        <f>IF(DATOS!$G1410&lt;&gt;"EX",0,--(COUNTIFS(nNIA,DATOS!$A1410,nCURSO,DATOS!$D1410,nESPEC,DATOS!$E1410,nASIG,DATOS!$I1410,nEVAL,"OR")=0))</f>
      </c>
      <c r="I1410">
        <f>IF(DATOS!$I1410="","",IFERROR(VLOOKUP(DATOS!$I1410,CONFIG_ASIGNATURAS!$B$2:$J$91,9,FALSE()),""))</f>
      </c>
    </row>
    <row r="1411">
      <c r="F1411">
        <f>IF(DATOS!$A1411="","",DATOS!$A1411&amp;"|"&amp;DATOS!$D1411&amp;"|"&amp;DATOS!$E1411&amp;"|"&amp;DATOS!$I1411)</f>
      </c>
      <c r="G1411">
        <f>IF(DATOS!$A1411="",0,IF(CONFIG_METADATA!$B$4&lt;&gt;"OR+EX",--(DATOS!$G1411=CONFIG_METADATA!$B$4),IF(DATOS!$G1411="EX",1,IF(DATOS!$G1411="OR",--(COUNTIFS(nNIA,DATOS!$A1411,nCURSO,DATOS!$D1411,nESPEC,DATOS!$E1411,nASIG,DATOS!$I1411,nEVAL,"EX")=0),0))))</f>
      </c>
      <c r="H1411">
        <f>IF(DATOS!$G1411&lt;&gt;"EX",0,--(COUNTIFS(nNIA,DATOS!$A1411,nCURSO,DATOS!$D1411,nESPEC,DATOS!$E1411,nASIG,DATOS!$I1411,nEVAL,"OR")=0))</f>
      </c>
      <c r="I1411">
        <f>IF(DATOS!$I1411="","",IFERROR(VLOOKUP(DATOS!$I1411,CONFIG_ASIGNATURAS!$B$2:$J$91,9,FALSE()),""))</f>
      </c>
    </row>
    <row r="1412">
      <c r="F1412">
        <f>IF(DATOS!$A1412="","",DATOS!$A1412&amp;"|"&amp;DATOS!$D1412&amp;"|"&amp;DATOS!$E1412&amp;"|"&amp;DATOS!$I1412)</f>
      </c>
      <c r="G1412">
        <f>IF(DATOS!$A1412="",0,IF(CONFIG_METADATA!$B$4&lt;&gt;"OR+EX",--(DATOS!$G1412=CONFIG_METADATA!$B$4),IF(DATOS!$G1412="EX",1,IF(DATOS!$G1412="OR",--(COUNTIFS(nNIA,DATOS!$A1412,nCURSO,DATOS!$D1412,nESPEC,DATOS!$E1412,nASIG,DATOS!$I1412,nEVAL,"EX")=0),0))))</f>
      </c>
      <c r="H1412">
        <f>IF(DATOS!$G1412&lt;&gt;"EX",0,--(COUNTIFS(nNIA,DATOS!$A1412,nCURSO,DATOS!$D1412,nESPEC,DATOS!$E1412,nASIG,DATOS!$I1412,nEVAL,"OR")=0))</f>
      </c>
      <c r="I1412">
        <f>IF(DATOS!$I1412="","",IFERROR(VLOOKUP(DATOS!$I1412,CONFIG_ASIGNATURAS!$B$2:$J$91,9,FALSE()),""))</f>
      </c>
    </row>
    <row r="1413">
      <c r="F1413">
        <f>IF(DATOS!$A1413="","",DATOS!$A1413&amp;"|"&amp;DATOS!$D1413&amp;"|"&amp;DATOS!$E1413&amp;"|"&amp;DATOS!$I1413)</f>
      </c>
      <c r="G1413">
        <f>IF(DATOS!$A1413="",0,IF(CONFIG_METADATA!$B$4&lt;&gt;"OR+EX",--(DATOS!$G1413=CONFIG_METADATA!$B$4),IF(DATOS!$G1413="EX",1,IF(DATOS!$G1413="OR",--(COUNTIFS(nNIA,DATOS!$A1413,nCURSO,DATOS!$D1413,nESPEC,DATOS!$E1413,nASIG,DATOS!$I1413,nEVAL,"EX")=0),0))))</f>
      </c>
      <c r="H1413">
        <f>IF(DATOS!$G1413&lt;&gt;"EX",0,--(COUNTIFS(nNIA,DATOS!$A1413,nCURSO,DATOS!$D1413,nESPEC,DATOS!$E1413,nASIG,DATOS!$I1413,nEVAL,"OR")=0))</f>
      </c>
      <c r="I1413">
        <f>IF(DATOS!$I1413="","",IFERROR(VLOOKUP(DATOS!$I1413,CONFIG_ASIGNATURAS!$B$2:$J$91,9,FALSE()),""))</f>
      </c>
    </row>
    <row r="1414">
      <c r="F1414">
        <f>IF(DATOS!$A1414="","",DATOS!$A1414&amp;"|"&amp;DATOS!$D1414&amp;"|"&amp;DATOS!$E1414&amp;"|"&amp;DATOS!$I1414)</f>
      </c>
      <c r="G1414">
        <f>IF(DATOS!$A1414="",0,IF(CONFIG_METADATA!$B$4&lt;&gt;"OR+EX",--(DATOS!$G1414=CONFIG_METADATA!$B$4),IF(DATOS!$G1414="EX",1,IF(DATOS!$G1414="OR",--(COUNTIFS(nNIA,DATOS!$A1414,nCURSO,DATOS!$D1414,nESPEC,DATOS!$E1414,nASIG,DATOS!$I1414,nEVAL,"EX")=0),0))))</f>
      </c>
      <c r="H1414">
        <f>IF(DATOS!$G1414&lt;&gt;"EX",0,--(COUNTIFS(nNIA,DATOS!$A1414,nCURSO,DATOS!$D1414,nESPEC,DATOS!$E1414,nASIG,DATOS!$I1414,nEVAL,"OR")=0))</f>
      </c>
      <c r="I1414">
        <f>IF(DATOS!$I1414="","",IFERROR(VLOOKUP(DATOS!$I1414,CONFIG_ASIGNATURAS!$B$2:$J$91,9,FALSE()),""))</f>
      </c>
    </row>
    <row r="1415">
      <c r="F1415">
        <f>IF(DATOS!$A1415="","",DATOS!$A1415&amp;"|"&amp;DATOS!$D1415&amp;"|"&amp;DATOS!$E1415&amp;"|"&amp;DATOS!$I1415)</f>
      </c>
      <c r="G1415">
        <f>IF(DATOS!$A1415="",0,IF(CONFIG_METADATA!$B$4&lt;&gt;"OR+EX",--(DATOS!$G1415=CONFIG_METADATA!$B$4),IF(DATOS!$G1415="EX",1,IF(DATOS!$G1415="OR",--(COUNTIFS(nNIA,DATOS!$A1415,nCURSO,DATOS!$D1415,nESPEC,DATOS!$E1415,nASIG,DATOS!$I1415,nEVAL,"EX")=0),0))))</f>
      </c>
      <c r="H1415">
        <f>IF(DATOS!$G1415&lt;&gt;"EX",0,--(COUNTIFS(nNIA,DATOS!$A1415,nCURSO,DATOS!$D1415,nESPEC,DATOS!$E1415,nASIG,DATOS!$I1415,nEVAL,"OR")=0))</f>
      </c>
      <c r="I1415">
        <f>IF(DATOS!$I1415="","",IFERROR(VLOOKUP(DATOS!$I1415,CONFIG_ASIGNATURAS!$B$2:$J$91,9,FALSE()),""))</f>
      </c>
    </row>
    <row r="1416">
      <c r="F1416">
        <f>IF(DATOS!$A1416="","",DATOS!$A1416&amp;"|"&amp;DATOS!$D1416&amp;"|"&amp;DATOS!$E1416&amp;"|"&amp;DATOS!$I1416)</f>
      </c>
      <c r="G1416">
        <f>IF(DATOS!$A1416="",0,IF(CONFIG_METADATA!$B$4&lt;&gt;"OR+EX",--(DATOS!$G1416=CONFIG_METADATA!$B$4),IF(DATOS!$G1416="EX",1,IF(DATOS!$G1416="OR",--(COUNTIFS(nNIA,DATOS!$A1416,nCURSO,DATOS!$D1416,nESPEC,DATOS!$E1416,nASIG,DATOS!$I1416,nEVAL,"EX")=0),0))))</f>
      </c>
      <c r="H1416">
        <f>IF(DATOS!$G1416&lt;&gt;"EX",0,--(COUNTIFS(nNIA,DATOS!$A1416,nCURSO,DATOS!$D1416,nESPEC,DATOS!$E1416,nASIG,DATOS!$I1416,nEVAL,"OR")=0))</f>
      </c>
      <c r="I1416">
        <f>IF(DATOS!$I1416="","",IFERROR(VLOOKUP(DATOS!$I1416,CONFIG_ASIGNATURAS!$B$2:$J$91,9,FALSE()),""))</f>
      </c>
    </row>
    <row r="1417">
      <c r="F1417">
        <f>IF(DATOS!$A1417="","",DATOS!$A1417&amp;"|"&amp;DATOS!$D1417&amp;"|"&amp;DATOS!$E1417&amp;"|"&amp;DATOS!$I1417)</f>
      </c>
      <c r="G1417">
        <f>IF(DATOS!$A1417="",0,IF(CONFIG_METADATA!$B$4&lt;&gt;"OR+EX",--(DATOS!$G1417=CONFIG_METADATA!$B$4),IF(DATOS!$G1417="EX",1,IF(DATOS!$G1417="OR",--(COUNTIFS(nNIA,DATOS!$A1417,nCURSO,DATOS!$D1417,nESPEC,DATOS!$E1417,nASIG,DATOS!$I1417,nEVAL,"EX")=0),0))))</f>
      </c>
      <c r="H1417">
        <f>IF(DATOS!$G1417&lt;&gt;"EX",0,--(COUNTIFS(nNIA,DATOS!$A1417,nCURSO,DATOS!$D1417,nESPEC,DATOS!$E1417,nASIG,DATOS!$I1417,nEVAL,"OR")=0))</f>
      </c>
      <c r="I1417">
        <f>IF(DATOS!$I1417="","",IFERROR(VLOOKUP(DATOS!$I1417,CONFIG_ASIGNATURAS!$B$2:$J$91,9,FALSE()),""))</f>
      </c>
    </row>
    <row r="1418">
      <c r="F1418">
        <f>IF(DATOS!$A1418="","",DATOS!$A1418&amp;"|"&amp;DATOS!$D1418&amp;"|"&amp;DATOS!$E1418&amp;"|"&amp;DATOS!$I1418)</f>
      </c>
      <c r="G1418">
        <f>IF(DATOS!$A1418="",0,IF(CONFIG_METADATA!$B$4&lt;&gt;"OR+EX",--(DATOS!$G1418=CONFIG_METADATA!$B$4),IF(DATOS!$G1418="EX",1,IF(DATOS!$G1418="OR",--(COUNTIFS(nNIA,DATOS!$A1418,nCURSO,DATOS!$D1418,nESPEC,DATOS!$E1418,nASIG,DATOS!$I1418,nEVAL,"EX")=0),0))))</f>
      </c>
      <c r="H1418">
        <f>IF(DATOS!$G1418&lt;&gt;"EX",0,--(COUNTIFS(nNIA,DATOS!$A1418,nCURSO,DATOS!$D1418,nESPEC,DATOS!$E1418,nASIG,DATOS!$I1418,nEVAL,"OR")=0))</f>
      </c>
      <c r="I1418">
        <f>IF(DATOS!$I1418="","",IFERROR(VLOOKUP(DATOS!$I1418,CONFIG_ASIGNATURAS!$B$2:$J$91,9,FALSE()),""))</f>
      </c>
    </row>
    <row r="1419">
      <c r="F1419">
        <f>IF(DATOS!$A1419="","",DATOS!$A1419&amp;"|"&amp;DATOS!$D1419&amp;"|"&amp;DATOS!$E1419&amp;"|"&amp;DATOS!$I1419)</f>
      </c>
      <c r="G1419">
        <f>IF(DATOS!$A1419="",0,IF(CONFIG_METADATA!$B$4&lt;&gt;"OR+EX",--(DATOS!$G1419=CONFIG_METADATA!$B$4),IF(DATOS!$G1419="EX",1,IF(DATOS!$G1419="OR",--(COUNTIFS(nNIA,DATOS!$A1419,nCURSO,DATOS!$D1419,nESPEC,DATOS!$E1419,nASIG,DATOS!$I1419,nEVAL,"EX")=0),0))))</f>
      </c>
      <c r="H1419">
        <f>IF(DATOS!$G1419&lt;&gt;"EX",0,--(COUNTIFS(nNIA,DATOS!$A1419,nCURSO,DATOS!$D1419,nESPEC,DATOS!$E1419,nASIG,DATOS!$I1419,nEVAL,"OR")=0))</f>
      </c>
      <c r="I1419">
        <f>IF(DATOS!$I1419="","",IFERROR(VLOOKUP(DATOS!$I1419,CONFIG_ASIGNATURAS!$B$2:$J$91,9,FALSE()),""))</f>
      </c>
    </row>
    <row r="1420">
      <c r="F1420">
        <f>IF(DATOS!$A1420="","",DATOS!$A1420&amp;"|"&amp;DATOS!$D1420&amp;"|"&amp;DATOS!$E1420&amp;"|"&amp;DATOS!$I1420)</f>
      </c>
      <c r="G1420">
        <f>IF(DATOS!$A1420="",0,IF(CONFIG_METADATA!$B$4&lt;&gt;"OR+EX",--(DATOS!$G1420=CONFIG_METADATA!$B$4),IF(DATOS!$G1420="EX",1,IF(DATOS!$G1420="OR",--(COUNTIFS(nNIA,DATOS!$A1420,nCURSO,DATOS!$D1420,nESPEC,DATOS!$E1420,nASIG,DATOS!$I1420,nEVAL,"EX")=0),0))))</f>
      </c>
      <c r="H1420">
        <f>IF(DATOS!$G1420&lt;&gt;"EX",0,--(COUNTIFS(nNIA,DATOS!$A1420,nCURSO,DATOS!$D1420,nESPEC,DATOS!$E1420,nASIG,DATOS!$I1420,nEVAL,"OR")=0))</f>
      </c>
      <c r="I1420">
        <f>IF(DATOS!$I1420="","",IFERROR(VLOOKUP(DATOS!$I1420,CONFIG_ASIGNATURAS!$B$2:$J$91,9,FALSE()),""))</f>
      </c>
    </row>
    <row r="1421">
      <c r="F1421">
        <f>IF(DATOS!$A1421="","",DATOS!$A1421&amp;"|"&amp;DATOS!$D1421&amp;"|"&amp;DATOS!$E1421&amp;"|"&amp;DATOS!$I1421)</f>
      </c>
      <c r="G1421">
        <f>IF(DATOS!$A1421="",0,IF(CONFIG_METADATA!$B$4&lt;&gt;"OR+EX",--(DATOS!$G1421=CONFIG_METADATA!$B$4),IF(DATOS!$G1421="EX",1,IF(DATOS!$G1421="OR",--(COUNTIFS(nNIA,DATOS!$A1421,nCURSO,DATOS!$D1421,nESPEC,DATOS!$E1421,nASIG,DATOS!$I1421,nEVAL,"EX")=0),0))))</f>
      </c>
      <c r="H1421">
        <f>IF(DATOS!$G1421&lt;&gt;"EX",0,--(COUNTIFS(nNIA,DATOS!$A1421,nCURSO,DATOS!$D1421,nESPEC,DATOS!$E1421,nASIG,DATOS!$I1421,nEVAL,"OR")=0))</f>
      </c>
      <c r="I1421">
        <f>IF(DATOS!$I1421="","",IFERROR(VLOOKUP(DATOS!$I1421,CONFIG_ASIGNATURAS!$B$2:$J$91,9,FALSE()),""))</f>
      </c>
    </row>
    <row r="1422">
      <c r="F1422">
        <f>IF(DATOS!$A1422="","",DATOS!$A1422&amp;"|"&amp;DATOS!$D1422&amp;"|"&amp;DATOS!$E1422&amp;"|"&amp;DATOS!$I1422)</f>
      </c>
      <c r="G1422">
        <f>IF(DATOS!$A1422="",0,IF(CONFIG_METADATA!$B$4&lt;&gt;"OR+EX",--(DATOS!$G1422=CONFIG_METADATA!$B$4),IF(DATOS!$G1422="EX",1,IF(DATOS!$G1422="OR",--(COUNTIFS(nNIA,DATOS!$A1422,nCURSO,DATOS!$D1422,nESPEC,DATOS!$E1422,nASIG,DATOS!$I1422,nEVAL,"EX")=0),0))))</f>
      </c>
      <c r="H1422">
        <f>IF(DATOS!$G1422&lt;&gt;"EX",0,--(COUNTIFS(nNIA,DATOS!$A1422,nCURSO,DATOS!$D1422,nESPEC,DATOS!$E1422,nASIG,DATOS!$I1422,nEVAL,"OR")=0))</f>
      </c>
      <c r="I1422">
        <f>IF(DATOS!$I1422="","",IFERROR(VLOOKUP(DATOS!$I1422,CONFIG_ASIGNATURAS!$B$2:$J$91,9,FALSE()),""))</f>
      </c>
    </row>
    <row r="1423">
      <c r="F1423">
        <f>IF(DATOS!$A1423="","",DATOS!$A1423&amp;"|"&amp;DATOS!$D1423&amp;"|"&amp;DATOS!$E1423&amp;"|"&amp;DATOS!$I1423)</f>
      </c>
      <c r="G1423">
        <f>IF(DATOS!$A1423="",0,IF(CONFIG_METADATA!$B$4&lt;&gt;"OR+EX",--(DATOS!$G1423=CONFIG_METADATA!$B$4),IF(DATOS!$G1423="EX",1,IF(DATOS!$G1423="OR",--(COUNTIFS(nNIA,DATOS!$A1423,nCURSO,DATOS!$D1423,nESPEC,DATOS!$E1423,nASIG,DATOS!$I1423,nEVAL,"EX")=0),0))))</f>
      </c>
      <c r="H1423">
        <f>IF(DATOS!$G1423&lt;&gt;"EX",0,--(COUNTIFS(nNIA,DATOS!$A1423,nCURSO,DATOS!$D1423,nESPEC,DATOS!$E1423,nASIG,DATOS!$I1423,nEVAL,"OR")=0))</f>
      </c>
      <c r="I1423">
        <f>IF(DATOS!$I1423="","",IFERROR(VLOOKUP(DATOS!$I1423,CONFIG_ASIGNATURAS!$B$2:$J$91,9,FALSE()),""))</f>
      </c>
    </row>
    <row r="1424">
      <c r="F1424">
        <f>IF(DATOS!$A1424="","",DATOS!$A1424&amp;"|"&amp;DATOS!$D1424&amp;"|"&amp;DATOS!$E1424&amp;"|"&amp;DATOS!$I1424)</f>
      </c>
      <c r="G1424">
        <f>IF(DATOS!$A1424="",0,IF(CONFIG_METADATA!$B$4&lt;&gt;"OR+EX",--(DATOS!$G1424=CONFIG_METADATA!$B$4),IF(DATOS!$G1424="EX",1,IF(DATOS!$G1424="OR",--(COUNTIFS(nNIA,DATOS!$A1424,nCURSO,DATOS!$D1424,nESPEC,DATOS!$E1424,nASIG,DATOS!$I1424,nEVAL,"EX")=0),0))))</f>
      </c>
      <c r="H1424">
        <f>IF(DATOS!$G1424&lt;&gt;"EX",0,--(COUNTIFS(nNIA,DATOS!$A1424,nCURSO,DATOS!$D1424,nESPEC,DATOS!$E1424,nASIG,DATOS!$I1424,nEVAL,"OR")=0))</f>
      </c>
      <c r="I1424">
        <f>IF(DATOS!$I1424="","",IFERROR(VLOOKUP(DATOS!$I1424,CONFIG_ASIGNATURAS!$B$2:$J$91,9,FALSE()),""))</f>
      </c>
    </row>
    <row r="1425">
      <c r="F1425">
        <f>IF(DATOS!$A1425="","",DATOS!$A1425&amp;"|"&amp;DATOS!$D1425&amp;"|"&amp;DATOS!$E1425&amp;"|"&amp;DATOS!$I1425)</f>
      </c>
      <c r="G1425">
        <f>IF(DATOS!$A1425="",0,IF(CONFIG_METADATA!$B$4&lt;&gt;"OR+EX",--(DATOS!$G1425=CONFIG_METADATA!$B$4),IF(DATOS!$G1425="EX",1,IF(DATOS!$G1425="OR",--(COUNTIFS(nNIA,DATOS!$A1425,nCURSO,DATOS!$D1425,nESPEC,DATOS!$E1425,nASIG,DATOS!$I1425,nEVAL,"EX")=0),0))))</f>
      </c>
      <c r="H1425">
        <f>IF(DATOS!$G1425&lt;&gt;"EX",0,--(COUNTIFS(nNIA,DATOS!$A1425,nCURSO,DATOS!$D1425,nESPEC,DATOS!$E1425,nASIG,DATOS!$I1425,nEVAL,"OR")=0))</f>
      </c>
      <c r="I1425">
        <f>IF(DATOS!$I1425="","",IFERROR(VLOOKUP(DATOS!$I1425,CONFIG_ASIGNATURAS!$B$2:$J$91,9,FALSE()),""))</f>
      </c>
    </row>
    <row r="1426">
      <c r="F1426">
        <f>IF(DATOS!$A1426="","",DATOS!$A1426&amp;"|"&amp;DATOS!$D1426&amp;"|"&amp;DATOS!$E1426&amp;"|"&amp;DATOS!$I1426)</f>
      </c>
      <c r="G1426">
        <f>IF(DATOS!$A1426="",0,IF(CONFIG_METADATA!$B$4&lt;&gt;"OR+EX",--(DATOS!$G1426=CONFIG_METADATA!$B$4),IF(DATOS!$G1426="EX",1,IF(DATOS!$G1426="OR",--(COUNTIFS(nNIA,DATOS!$A1426,nCURSO,DATOS!$D1426,nESPEC,DATOS!$E1426,nASIG,DATOS!$I1426,nEVAL,"EX")=0),0))))</f>
      </c>
      <c r="H1426">
        <f>IF(DATOS!$G1426&lt;&gt;"EX",0,--(COUNTIFS(nNIA,DATOS!$A1426,nCURSO,DATOS!$D1426,nESPEC,DATOS!$E1426,nASIG,DATOS!$I1426,nEVAL,"OR")=0))</f>
      </c>
      <c r="I1426">
        <f>IF(DATOS!$I1426="","",IFERROR(VLOOKUP(DATOS!$I1426,CONFIG_ASIGNATURAS!$B$2:$J$91,9,FALSE()),""))</f>
      </c>
    </row>
    <row r="1427">
      <c r="F1427">
        <f>IF(DATOS!$A1427="","",DATOS!$A1427&amp;"|"&amp;DATOS!$D1427&amp;"|"&amp;DATOS!$E1427&amp;"|"&amp;DATOS!$I1427)</f>
      </c>
      <c r="G1427">
        <f>IF(DATOS!$A1427="",0,IF(CONFIG_METADATA!$B$4&lt;&gt;"OR+EX",--(DATOS!$G1427=CONFIG_METADATA!$B$4),IF(DATOS!$G1427="EX",1,IF(DATOS!$G1427="OR",--(COUNTIFS(nNIA,DATOS!$A1427,nCURSO,DATOS!$D1427,nESPEC,DATOS!$E1427,nASIG,DATOS!$I1427,nEVAL,"EX")=0),0))))</f>
      </c>
      <c r="H1427">
        <f>IF(DATOS!$G1427&lt;&gt;"EX",0,--(COUNTIFS(nNIA,DATOS!$A1427,nCURSO,DATOS!$D1427,nESPEC,DATOS!$E1427,nASIG,DATOS!$I1427,nEVAL,"OR")=0))</f>
      </c>
      <c r="I1427">
        <f>IF(DATOS!$I1427="","",IFERROR(VLOOKUP(DATOS!$I1427,CONFIG_ASIGNATURAS!$B$2:$J$91,9,FALSE()),""))</f>
      </c>
    </row>
    <row r="1428">
      <c r="F1428">
        <f>IF(DATOS!$A1428="","",DATOS!$A1428&amp;"|"&amp;DATOS!$D1428&amp;"|"&amp;DATOS!$E1428&amp;"|"&amp;DATOS!$I1428)</f>
      </c>
      <c r="G1428">
        <f>IF(DATOS!$A1428="",0,IF(CONFIG_METADATA!$B$4&lt;&gt;"OR+EX",--(DATOS!$G1428=CONFIG_METADATA!$B$4),IF(DATOS!$G1428="EX",1,IF(DATOS!$G1428="OR",--(COUNTIFS(nNIA,DATOS!$A1428,nCURSO,DATOS!$D1428,nESPEC,DATOS!$E1428,nASIG,DATOS!$I1428,nEVAL,"EX")=0),0))))</f>
      </c>
      <c r="H1428">
        <f>IF(DATOS!$G1428&lt;&gt;"EX",0,--(COUNTIFS(nNIA,DATOS!$A1428,nCURSO,DATOS!$D1428,nESPEC,DATOS!$E1428,nASIG,DATOS!$I1428,nEVAL,"OR")=0))</f>
      </c>
      <c r="I1428">
        <f>IF(DATOS!$I1428="","",IFERROR(VLOOKUP(DATOS!$I1428,CONFIG_ASIGNATURAS!$B$2:$J$91,9,FALSE()),""))</f>
      </c>
    </row>
    <row r="1429">
      <c r="F1429">
        <f>IF(DATOS!$A1429="","",DATOS!$A1429&amp;"|"&amp;DATOS!$D1429&amp;"|"&amp;DATOS!$E1429&amp;"|"&amp;DATOS!$I1429)</f>
      </c>
      <c r="G1429">
        <f>IF(DATOS!$A1429="",0,IF(CONFIG_METADATA!$B$4&lt;&gt;"OR+EX",--(DATOS!$G1429=CONFIG_METADATA!$B$4),IF(DATOS!$G1429="EX",1,IF(DATOS!$G1429="OR",--(COUNTIFS(nNIA,DATOS!$A1429,nCURSO,DATOS!$D1429,nESPEC,DATOS!$E1429,nASIG,DATOS!$I1429,nEVAL,"EX")=0),0))))</f>
      </c>
      <c r="H1429">
        <f>IF(DATOS!$G1429&lt;&gt;"EX",0,--(COUNTIFS(nNIA,DATOS!$A1429,nCURSO,DATOS!$D1429,nESPEC,DATOS!$E1429,nASIG,DATOS!$I1429,nEVAL,"OR")=0))</f>
      </c>
      <c r="I1429">
        <f>IF(DATOS!$I1429="","",IFERROR(VLOOKUP(DATOS!$I1429,CONFIG_ASIGNATURAS!$B$2:$J$91,9,FALSE()),""))</f>
      </c>
    </row>
    <row r="1430">
      <c r="F1430">
        <f>IF(DATOS!$A1430="","",DATOS!$A1430&amp;"|"&amp;DATOS!$D1430&amp;"|"&amp;DATOS!$E1430&amp;"|"&amp;DATOS!$I1430)</f>
      </c>
      <c r="G1430">
        <f>IF(DATOS!$A1430="",0,IF(CONFIG_METADATA!$B$4&lt;&gt;"OR+EX",--(DATOS!$G1430=CONFIG_METADATA!$B$4),IF(DATOS!$G1430="EX",1,IF(DATOS!$G1430="OR",--(COUNTIFS(nNIA,DATOS!$A1430,nCURSO,DATOS!$D1430,nESPEC,DATOS!$E1430,nASIG,DATOS!$I1430,nEVAL,"EX")=0),0))))</f>
      </c>
      <c r="H1430">
        <f>IF(DATOS!$G1430&lt;&gt;"EX",0,--(COUNTIFS(nNIA,DATOS!$A1430,nCURSO,DATOS!$D1430,nESPEC,DATOS!$E1430,nASIG,DATOS!$I1430,nEVAL,"OR")=0))</f>
      </c>
      <c r="I1430">
        <f>IF(DATOS!$I1430="","",IFERROR(VLOOKUP(DATOS!$I1430,CONFIG_ASIGNATURAS!$B$2:$J$91,9,FALSE()),""))</f>
      </c>
    </row>
    <row r="1431">
      <c r="F1431">
        <f>IF(DATOS!$A1431="","",DATOS!$A1431&amp;"|"&amp;DATOS!$D1431&amp;"|"&amp;DATOS!$E1431&amp;"|"&amp;DATOS!$I1431)</f>
      </c>
      <c r="G1431">
        <f>IF(DATOS!$A1431="",0,IF(CONFIG_METADATA!$B$4&lt;&gt;"OR+EX",--(DATOS!$G1431=CONFIG_METADATA!$B$4),IF(DATOS!$G1431="EX",1,IF(DATOS!$G1431="OR",--(COUNTIFS(nNIA,DATOS!$A1431,nCURSO,DATOS!$D1431,nESPEC,DATOS!$E1431,nASIG,DATOS!$I1431,nEVAL,"EX")=0),0))))</f>
      </c>
      <c r="H1431">
        <f>IF(DATOS!$G1431&lt;&gt;"EX",0,--(COUNTIFS(nNIA,DATOS!$A1431,nCURSO,DATOS!$D1431,nESPEC,DATOS!$E1431,nASIG,DATOS!$I1431,nEVAL,"OR")=0))</f>
      </c>
      <c r="I1431">
        <f>IF(DATOS!$I1431="","",IFERROR(VLOOKUP(DATOS!$I1431,CONFIG_ASIGNATURAS!$B$2:$J$91,9,FALSE()),""))</f>
      </c>
    </row>
    <row r="1432">
      <c r="F1432">
        <f>IF(DATOS!$A1432="","",DATOS!$A1432&amp;"|"&amp;DATOS!$D1432&amp;"|"&amp;DATOS!$E1432&amp;"|"&amp;DATOS!$I1432)</f>
      </c>
      <c r="G1432">
        <f>IF(DATOS!$A1432="",0,IF(CONFIG_METADATA!$B$4&lt;&gt;"OR+EX",--(DATOS!$G1432=CONFIG_METADATA!$B$4),IF(DATOS!$G1432="EX",1,IF(DATOS!$G1432="OR",--(COUNTIFS(nNIA,DATOS!$A1432,nCURSO,DATOS!$D1432,nESPEC,DATOS!$E1432,nASIG,DATOS!$I1432,nEVAL,"EX")=0),0))))</f>
      </c>
      <c r="H1432">
        <f>IF(DATOS!$G1432&lt;&gt;"EX",0,--(COUNTIFS(nNIA,DATOS!$A1432,nCURSO,DATOS!$D1432,nESPEC,DATOS!$E1432,nASIG,DATOS!$I1432,nEVAL,"OR")=0))</f>
      </c>
      <c r="I1432">
        <f>IF(DATOS!$I1432="","",IFERROR(VLOOKUP(DATOS!$I1432,CONFIG_ASIGNATURAS!$B$2:$J$91,9,FALSE()),""))</f>
      </c>
    </row>
    <row r="1433">
      <c r="F1433">
        <f>IF(DATOS!$A1433="","",DATOS!$A1433&amp;"|"&amp;DATOS!$D1433&amp;"|"&amp;DATOS!$E1433&amp;"|"&amp;DATOS!$I1433)</f>
      </c>
      <c r="G1433">
        <f>IF(DATOS!$A1433="",0,IF(CONFIG_METADATA!$B$4&lt;&gt;"OR+EX",--(DATOS!$G1433=CONFIG_METADATA!$B$4),IF(DATOS!$G1433="EX",1,IF(DATOS!$G1433="OR",--(COUNTIFS(nNIA,DATOS!$A1433,nCURSO,DATOS!$D1433,nESPEC,DATOS!$E1433,nASIG,DATOS!$I1433,nEVAL,"EX")=0),0))))</f>
      </c>
      <c r="H1433">
        <f>IF(DATOS!$G1433&lt;&gt;"EX",0,--(COUNTIFS(nNIA,DATOS!$A1433,nCURSO,DATOS!$D1433,nESPEC,DATOS!$E1433,nASIG,DATOS!$I1433,nEVAL,"OR")=0))</f>
      </c>
      <c r="I1433">
        <f>IF(DATOS!$I1433="","",IFERROR(VLOOKUP(DATOS!$I1433,CONFIG_ASIGNATURAS!$B$2:$J$91,9,FALSE()),""))</f>
      </c>
    </row>
    <row r="1434">
      <c r="F1434">
        <f>IF(DATOS!$A1434="","",DATOS!$A1434&amp;"|"&amp;DATOS!$D1434&amp;"|"&amp;DATOS!$E1434&amp;"|"&amp;DATOS!$I1434)</f>
      </c>
      <c r="G1434">
        <f>IF(DATOS!$A1434="",0,IF(CONFIG_METADATA!$B$4&lt;&gt;"OR+EX",--(DATOS!$G1434=CONFIG_METADATA!$B$4),IF(DATOS!$G1434="EX",1,IF(DATOS!$G1434="OR",--(COUNTIFS(nNIA,DATOS!$A1434,nCURSO,DATOS!$D1434,nESPEC,DATOS!$E1434,nASIG,DATOS!$I1434,nEVAL,"EX")=0),0))))</f>
      </c>
      <c r="H1434">
        <f>IF(DATOS!$G1434&lt;&gt;"EX",0,--(COUNTIFS(nNIA,DATOS!$A1434,nCURSO,DATOS!$D1434,nESPEC,DATOS!$E1434,nASIG,DATOS!$I1434,nEVAL,"OR")=0))</f>
      </c>
      <c r="I1434">
        <f>IF(DATOS!$I1434="","",IFERROR(VLOOKUP(DATOS!$I1434,CONFIG_ASIGNATURAS!$B$2:$J$91,9,FALSE()),""))</f>
      </c>
    </row>
    <row r="1435">
      <c r="F1435">
        <f>IF(DATOS!$A1435="","",DATOS!$A1435&amp;"|"&amp;DATOS!$D1435&amp;"|"&amp;DATOS!$E1435&amp;"|"&amp;DATOS!$I1435)</f>
      </c>
      <c r="G1435">
        <f>IF(DATOS!$A1435="",0,IF(CONFIG_METADATA!$B$4&lt;&gt;"OR+EX",--(DATOS!$G1435=CONFIG_METADATA!$B$4),IF(DATOS!$G1435="EX",1,IF(DATOS!$G1435="OR",--(COUNTIFS(nNIA,DATOS!$A1435,nCURSO,DATOS!$D1435,nESPEC,DATOS!$E1435,nASIG,DATOS!$I1435,nEVAL,"EX")=0),0))))</f>
      </c>
      <c r="H1435">
        <f>IF(DATOS!$G1435&lt;&gt;"EX",0,--(COUNTIFS(nNIA,DATOS!$A1435,nCURSO,DATOS!$D1435,nESPEC,DATOS!$E1435,nASIG,DATOS!$I1435,nEVAL,"OR")=0))</f>
      </c>
      <c r="I1435">
        <f>IF(DATOS!$I1435="","",IFERROR(VLOOKUP(DATOS!$I1435,CONFIG_ASIGNATURAS!$B$2:$J$91,9,FALSE()),""))</f>
      </c>
    </row>
    <row r="1436">
      <c r="F1436">
        <f>IF(DATOS!$A1436="","",DATOS!$A1436&amp;"|"&amp;DATOS!$D1436&amp;"|"&amp;DATOS!$E1436&amp;"|"&amp;DATOS!$I1436)</f>
      </c>
      <c r="G1436">
        <f>IF(DATOS!$A1436="",0,IF(CONFIG_METADATA!$B$4&lt;&gt;"OR+EX",--(DATOS!$G1436=CONFIG_METADATA!$B$4),IF(DATOS!$G1436="EX",1,IF(DATOS!$G1436="OR",--(COUNTIFS(nNIA,DATOS!$A1436,nCURSO,DATOS!$D1436,nESPEC,DATOS!$E1436,nASIG,DATOS!$I1436,nEVAL,"EX")=0),0))))</f>
      </c>
      <c r="H1436">
        <f>IF(DATOS!$G1436&lt;&gt;"EX",0,--(COUNTIFS(nNIA,DATOS!$A1436,nCURSO,DATOS!$D1436,nESPEC,DATOS!$E1436,nASIG,DATOS!$I1436,nEVAL,"OR")=0))</f>
      </c>
      <c r="I1436">
        <f>IF(DATOS!$I1436="","",IFERROR(VLOOKUP(DATOS!$I1436,CONFIG_ASIGNATURAS!$B$2:$J$91,9,FALSE()),""))</f>
      </c>
    </row>
    <row r="1437">
      <c r="F1437">
        <f>IF(DATOS!$A1437="","",DATOS!$A1437&amp;"|"&amp;DATOS!$D1437&amp;"|"&amp;DATOS!$E1437&amp;"|"&amp;DATOS!$I1437)</f>
      </c>
      <c r="G1437">
        <f>IF(DATOS!$A1437="",0,IF(CONFIG_METADATA!$B$4&lt;&gt;"OR+EX",--(DATOS!$G1437=CONFIG_METADATA!$B$4),IF(DATOS!$G1437="EX",1,IF(DATOS!$G1437="OR",--(COUNTIFS(nNIA,DATOS!$A1437,nCURSO,DATOS!$D1437,nESPEC,DATOS!$E1437,nASIG,DATOS!$I1437,nEVAL,"EX")=0),0))))</f>
      </c>
      <c r="H1437">
        <f>IF(DATOS!$G1437&lt;&gt;"EX",0,--(COUNTIFS(nNIA,DATOS!$A1437,nCURSO,DATOS!$D1437,nESPEC,DATOS!$E1437,nASIG,DATOS!$I1437,nEVAL,"OR")=0))</f>
      </c>
      <c r="I1437">
        <f>IF(DATOS!$I1437="","",IFERROR(VLOOKUP(DATOS!$I1437,CONFIG_ASIGNATURAS!$B$2:$J$91,9,FALSE()),""))</f>
      </c>
    </row>
    <row r="1438">
      <c r="F1438">
        <f>IF(DATOS!$A1438="","",DATOS!$A1438&amp;"|"&amp;DATOS!$D1438&amp;"|"&amp;DATOS!$E1438&amp;"|"&amp;DATOS!$I1438)</f>
      </c>
      <c r="G1438">
        <f>IF(DATOS!$A1438="",0,IF(CONFIG_METADATA!$B$4&lt;&gt;"OR+EX",--(DATOS!$G1438=CONFIG_METADATA!$B$4),IF(DATOS!$G1438="EX",1,IF(DATOS!$G1438="OR",--(COUNTIFS(nNIA,DATOS!$A1438,nCURSO,DATOS!$D1438,nESPEC,DATOS!$E1438,nASIG,DATOS!$I1438,nEVAL,"EX")=0),0))))</f>
      </c>
      <c r="H1438">
        <f>IF(DATOS!$G1438&lt;&gt;"EX",0,--(COUNTIFS(nNIA,DATOS!$A1438,nCURSO,DATOS!$D1438,nESPEC,DATOS!$E1438,nASIG,DATOS!$I1438,nEVAL,"OR")=0))</f>
      </c>
      <c r="I1438">
        <f>IF(DATOS!$I1438="","",IFERROR(VLOOKUP(DATOS!$I1438,CONFIG_ASIGNATURAS!$B$2:$J$91,9,FALSE()),""))</f>
      </c>
    </row>
    <row r="1439">
      <c r="F1439">
        <f>IF(DATOS!$A1439="","",DATOS!$A1439&amp;"|"&amp;DATOS!$D1439&amp;"|"&amp;DATOS!$E1439&amp;"|"&amp;DATOS!$I1439)</f>
      </c>
      <c r="G1439">
        <f>IF(DATOS!$A1439="",0,IF(CONFIG_METADATA!$B$4&lt;&gt;"OR+EX",--(DATOS!$G1439=CONFIG_METADATA!$B$4),IF(DATOS!$G1439="EX",1,IF(DATOS!$G1439="OR",--(COUNTIFS(nNIA,DATOS!$A1439,nCURSO,DATOS!$D1439,nESPEC,DATOS!$E1439,nASIG,DATOS!$I1439,nEVAL,"EX")=0),0))))</f>
      </c>
      <c r="H1439">
        <f>IF(DATOS!$G1439&lt;&gt;"EX",0,--(COUNTIFS(nNIA,DATOS!$A1439,nCURSO,DATOS!$D1439,nESPEC,DATOS!$E1439,nASIG,DATOS!$I1439,nEVAL,"OR")=0))</f>
      </c>
      <c r="I1439">
        <f>IF(DATOS!$I1439="","",IFERROR(VLOOKUP(DATOS!$I1439,CONFIG_ASIGNATURAS!$B$2:$J$91,9,FALSE()),""))</f>
      </c>
    </row>
    <row r="1440">
      <c r="F1440">
        <f>IF(DATOS!$A1440="","",DATOS!$A1440&amp;"|"&amp;DATOS!$D1440&amp;"|"&amp;DATOS!$E1440&amp;"|"&amp;DATOS!$I1440)</f>
      </c>
      <c r="G1440">
        <f>IF(DATOS!$A1440="",0,IF(CONFIG_METADATA!$B$4&lt;&gt;"OR+EX",--(DATOS!$G1440=CONFIG_METADATA!$B$4),IF(DATOS!$G1440="EX",1,IF(DATOS!$G1440="OR",--(COUNTIFS(nNIA,DATOS!$A1440,nCURSO,DATOS!$D1440,nESPEC,DATOS!$E1440,nASIG,DATOS!$I1440,nEVAL,"EX")=0),0))))</f>
      </c>
      <c r="H1440">
        <f>IF(DATOS!$G1440&lt;&gt;"EX",0,--(COUNTIFS(nNIA,DATOS!$A1440,nCURSO,DATOS!$D1440,nESPEC,DATOS!$E1440,nASIG,DATOS!$I1440,nEVAL,"OR")=0))</f>
      </c>
      <c r="I1440">
        <f>IF(DATOS!$I1440="","",IFERROR(VLOOKUP(DATOS!$I1440,CONFIG_ASIGNATURAS!$B$2:$J$91,9,FALSE()),""))</f>
      </c>
    </row>
    <row r="1441">
      <c r="F1441">
        <f>IF(DATOS!$A1441="","",DATOS!$A1441&amp;"|"&amp;DATOS!$D1441&amp;"|"&amp;DATOS!$E1441&amp;"|"&amp;DATOS!$I1441)</f>
      </c>
      <c r="G1441">
        <f>IF(DATOS!$A1441="",0,IF(CONFIG_METADATA!$B$4&lt;&gt;"OR+EX",--(DATOS!$G1441=CONFIG_METADATA!$B$4),IF(DATOS!$G1441="EX",1,IF(DATOS!$G1441="OR",--(COUNTIFS(nNIA,DATOS!$A1441,nCURSO,DATOS!$D1441,nESPEC,DATOS!$E1441,nASIG,DATOS!$I1441,nEVAL,"EX")=0),0))))</f>
      </c>
      <c r="H1441">
        <f>IF(DATOS!$G1441&lt;&gt;"EX",0,--(COUNTIFS(nNIA,DATOS!$A1441,nCURSO,DATOS!$D1441,nESPEC,DATOS!$E1441,nASIG,DATOS!$I1441,nEVAL,"OR")=0))</f>
      </c>
      <c r="I1441">
        <f>IF(DATOS!$I1441="","",IFERROR(VLOOKUP(DATOS!$I1441,CONFIG_ASIGNATURAS!$B$2:$J$91,9,FALSE()),""))</f>
      </c>
    </row>
    <row r="1442">
      <c r="F1442">
        <f>IF(DATOS!$A1442="","",DATOS!$A1442&amp;"|"&amp;DATOS!$D1442&amp;"|"&amp;DATOS!$E1442&amp;"|"&amp;DATOS!$I1442)</f>
      </c>
      <c r="G1442">
        <f>IF(DATOS!$A1442="",0,IF(CONFIG_METADATA!$B$4&lt;&gt;"OR+EX",--(DATOS!$G1442=CONFIG_METADATA!$B$4),IF(DATOS!$G1442="EX",1,IF(DATOS!$G1442="OR",--(COUNTIFS(nNIA,DATOS!$A1442,nCURSO,DATOS!$D1442,nESPEC,DATOS!$E1442,nASIG,DATOS!$I1442,nEVAL,"EX")=0),0))))</f>
      </c>
      <c r="H1442">
        <f>IF(DATOS!$G1442&lt;&gt;"EX",0,--(COUNTIFS(nNIA,DATOS!$A1442,nCURSO,DATOS!$D1442,nESPEC,DATOS!$E1442,nASIG,DATOS!$I1442,nEVAL,"OR")=0))</f>
      </c>
      <c r="I1442">
        <f>IF(DATOS!$I1442="","",IFERROR(VLOOKUP(DATOS!$I1442,CONFIG_ASIGNATURAS!$B$2:$J$91,9,FALSE()),""))</f>
      </c>
    </row>
    <row r="1443">
      <c r="F1443">
        <f>IF(DATOS!$A1443="","",DATOS!$A1443&amp;"|"&amp;DATOS!$D1443&amp;"|"&amp;DATOS!$E1443&amp;"|"&amp;DATOS!$I1443)</f>
      </c>
      <c r="G1443">
        <f>IF(DATOS!$A1443="",0,IF(CONFIG_METADATA!$B$4&lt;&gt;"OR+EX",--(DATOS!$G1443=CONFIG_METADATA!$B$4),IF(DATOS!$G1443="EX",1,IF(DATOS!$G1443="OR",--(COUNTIFS(nNIA,DATOS!$A1443,nCURSO,DATOS!$D1443,nESPEC,DATOS!$E1443,nASIG,DATOS!$I1443,nEVAL,"EX")=0),0))))</f>
      </c>
      <c r="H1443">
        <f>IF(DATOS!$G1443&lt;&gt;"EX",0,--(COUNTIFS(nNIA,DATOS!$A1443,nCURSO,DATOS!$D1443,nESPEC,DATOS!$E1443,nASIG,DATOS!$I1443,nEVAL,"OR")=0))</f>
      </c>
      <c r="I1443">
        <f>IF(DATOS!$I1443="","",IFERROR(VLOOKUP(DATOS!$I1443,CONFIG_ASIGNATURAS!$B$2:$J$91,9,FALSE()),""))</f>
      </c>
    </row>
    <row r="1444">
      <c r="F1444">
        <f>IF(DATOS!$A1444="","",DATOS!$A1444&amp;"|"&amp;DATOS!$D1444&amp;"|"&amp;DATOS!$E1444&amp;"|"&amp;DATOS!$I1444)</f>
      </c>
      <c r="G1444">
        <f>IF(DATOS!$A1444="",0,IF(CONFIG_METADATA!$B$4&lt;&gt;"OR+EX",--(DATOS!$G1444=CONFIG_METADATA!$B$4),IF(DATOS!$G1444="EX",1,IF(DATOS!$G1444="OR",--(COUNTIFS(nNIA,DATOS!$A1444,nCURSO,DATOS!$D1444,nESPEC,DATOS!$E1444,nASIG,DATOS!$I1444,nEVAL,"EX")=0),0))))</f>
      </c>
      <c r="H1444">
        <f>IF(DATOS!$G1444&lt;&gt;"EX",0,--(COUNTIFS(nNIA,DATOS!$A1444,nCURSO,DATOS!$D1444,nESPEC,DATOS!$E1444,nASIG,DATOS!$I1444,nEVAL,"OR")=0))</f>
      </c>
      <c r="I1444">
        <f>IF(DATOS!$I1444="","",IFERROR(VLOOKUP(DATOS!$I1444,CONFIG_ASIGNATURAS!$B$2:$J$91,9,FALSE()),""))</f>
      </c>
    </row>
    <row r="1445">
      <c r="F1445">
        <f>IF(DATOS!$A1445="","",DATOS!$A1445&amp;"|"&amp;DATOS!$D1445&amp;"|"&amp;DATOS!$E1445&amp;"|"&amp;DATOS!$I1445)</f>
      </c>
      <c r="G1445">
        <f>IF(DATOS!$A1445="",0,IF(CONFIG_METADATA!$B$4&lt;&gt;"OR+EX",--(DATOS!$G1445=CONFIG_METADATA!$B$4),IF(DATOS!$G1445="EX",1,IF(DATOS!$G1445="OR",--(COUNTIFS(nNIA,DATOS!$A1445,nCURSO,DATOS!$D1445,nESPEC,DATOS!$E1445,nASIG,DATOS!$I1445,nEVAL,"EX")=0),0))))</f>
      </c>
      <c r="H1445">
        <f>IF(DATOS!$G1445&lt;&gt;"EX",0,--(COUNTIFS(nNIA,DATOS!$A1445,nCURSO,DATOS!$D1445,nESPEC,DATOS!$E1445,nASIG,DATOS!$I1445,nEVAL,"OR")=0))</f>
      </c>
      <c r="I1445">
        <f>IF(DATOS!$I1445="","",IFERROR(VLOOKUP(DATOS!$I1445,CONFIG_ASIGNATURAS!$B$2:$J$91,9,FALSE()),""))</f>
      </c>
    </row>
    <row r="1446">
      <c r="F1446">
        <f>IF(DATOS!$A1446="","",DATOS!$A1446&amp;"|"&amp;DATOS!$D1446&amp;"|"&amp;DATOS!$E1446&amp;"|"&amp;DATOS!$I1446)</f>
      </c>
      <c r="G1446">
        <f>IF(DATOS!$A1446="",0,IF(CONFIG_METADATA!$B$4&lt;&gt;"OR+EX",--(DATOS!$G1446=CONFIG_METADATA!$B$4),IF(DATOS!$G1446="EX",1,IF(DATOS!$G1446="OR",--(COUNTIFS(nNIA,DATOS!$A1446,nCURSO,DATOS!$D1446,nESPEC,DATOS!$E1446,nASIG,DATOS!$I1446,nEVAL,"EX")=0),0))))</f>
      </c>
      <c r="H1446">
        <f>IF(DATOS!$G1446&lt;&gt;"EX",0,--(COUNTIFS(nNIA,DATOS!$A1446,nCURSO,DATOS!$D1446,nESPEC,DATOS!$E1446,nASIG,DATOS!$I1446,nEVAL,"OR")=0))</f>
      </c>
      <c r="I1446">
        <f>IF(DATOS!$I1446="","",IFERROR(VLOOKUP(DATOS!$I1446,CONFIG_ASIGNATURAS!$B$2:$J$91,9,FALSE()),""))</f>
      </c>
    </row>
    <row r="1447">
      <c r="F1447">
        <f>IF(DATOS!$A1447="","",DATOS!$A1447&amp;"|"&amp;DATOS!$D1447&amp;"|"&amp;DATOS!$E1447&amp;"|"&amp;DATOS!$I1447)</f>
      </c>
      <c r="G1447">
        <f>IF(DATOS!$A1447="",0,IF(CONFIG_METADATA!$B$4&lt;&gt;"OR+EX",--(DATOS!$G1447=CONFIG_METADATA!$B$4),IF(DATOS!$G1447="EX",1,IF(DATOS!$G1447="OR",--(COUNTIFS(nNIA,DATOS!$A1447,nCURSO,DATOS!$D1447,nESPEC,DATOS!$E1447,nASIG,DATOS!$I1447,nEVAL,"EX")=0),0))))</f>
      </c>
      <c r="H1447">
        <f>IF(DATOS!$G1447&lt;&gt;"EX",0,--(COUNTIFS(nNIA,DATOS!$A1447,nCURSO,DATOS!$D1447,nESPEC,DATOS!$E1447,nASIG,DATOS!$I1447,nEVAL,"OR")=0))</f>
      </c>
      <c r="I1447">
        <f>IF(DATOS!$I1447="","",IFERROR(VLOOKUP(DATOS!$I1447,CONFIG_ASIGNATURAS!$B$2:$J$91,9,FALSE()),""))</f>
      </c>
    </row>
    <row r="1448">
      <c r="F1448">
        <f>IF(DATOS!$A1448="","",DATOS!$A1448&amp;"|"&amp;DATOS!$D1448&amp;"|"&amp;DATOS!$E1448&amp;"|"&amp;DATOS!$I1448)</f>
      </c>
      <c r="G1448">
        <f>IF(DATOS!$A1448="",0,IF(CONFIG_METADATA!$B$4&lt;&gt;"OR+EX",--(DATOS!$G1448=CONFIG_METADATA!$B$4),IF(DATOS!$G1448="EX",1,IF(DATOS!$G1448="OR",--(COUNTIFS(nNIA,DATOS!$A1448,nCURSO,DATOS!$D1448,nESPEC,DATOS!$E1448,nASIG,DATOS!$I1448,nEVAL,"EX")=0),0))))</f>
      </c>
      <c r="H1448">
        <f>IF(DATOS!$G1448&lt;&gt;"EX",0,--(COUNTIFS(nNIA,DATOS!$A1448,nCURSO,DATOS!$D1448,nESPEC,DATOS!$E1448,nASIG,DATOS!$I1448,nEVAL,"OR")=0))</f>
      </c>
      <c r="I1448">
        <f>IF(DATOS!$I1448="","",IFERROR(VLOOKUP(DATOS!$I1448,CONFIG_ASIGNATURAS!$B$2:$J$91,9,FALSE()),""))</f>
      </c>
    </row>
    <row r="1449">
      <c r="F1449">
        <f>IF(DATOS!$A1449="","",DATOS!$A1449&amp;"|"&amp;DATOS!$D1449&amp;"|"&amp;DATOS!$E1449&amp;"|"&amp;DATOS!$I1449)</f>
      </c>
      <c r="G1449">
        <f>IF(DATOS!$A1449="",0,IF(CONFIG_METADATA!$B$4&lt;&gt;"OR+EX",--(DATOS!$G1449=CONFIG_METADATA!$B$4),IF(DATOS!$G1449="EX",1,IF(DATOS!$G1449="OR",--(COUNTIFS(nNIA,DATOS!$A1449,nCURSO,DATOS!$D1449,nESPEC,DATOS!$E1449,nASIG,DATOS!$I1449,nEVAL,"EX")=0),0))))</f>
      </c>
      <c r="H1449">
        <f>IF(DATOS!$G1449&lt;&gt;"EX",0,--(COUNTIFS(nNIA,DATOS!$A1449,nCURSO,DATOS!$D1449,nESPEC,DATOS!$E1449,nASIG,DATOS!$I1449,nEVAL,"OR")=0))</f>
      </c>
      <c r="I1449">
        <f>IF(DATOS!$I1449="","",IFERROR(VLOOKUP(DATOS!$I1449,CONFIG_ASIGNATURAS!$B$2:$J$91,9,FALSE()),""))</f>
      </c>
    </row>
    <row r="1450">
      <c r="F1450">
        <f>IF(DATOS!$A1450="","",DATOS!$A1450&amp;"|"&amp;DATOS!$D1450&amp;"|"&amp;DATOS!$E1450&amp;"|"&amp;DATOS!$I1450)</f>
      </c>
      <c r="G1450">
        <f>IF(DATOS!$A1450="",0,IF(CONFIG_METADATA!$B$4&lt;&gt;"OR+EX",--(DATOS!$G1450=CONFIG_METADATA!$B$4),IF(DATOS!$G1450="EX",1,IF(DATOS!$G1450="OR",--(COUNTIFS(nNIA,DATOS!$A1450,nCURSO,DATOS!$D1450,nESPEC,DATOS!$E1450,nASIG,DATOS!$I1450,nEVAL,"EX")=0),0))))</f>
      </c>
      <c r="H1450">
        <f>IF(DATOS!$G1450&lt;&gt;"EX",0,--(COUNTIFS(nNIA,DATOS!$A1450,nCURSO,DATOS!$D1450,nESPEC,DATOS!$E1450,nASIG,DATOS!$I1450,nEVAL,"OR")=0))</f>
      </c>
      <c r="I1450">
        <f>IF(DATOS!$I1450="","",IFERROR(VLOOKUP(DATOS!$I1450,CONFIG_ASIGNATURAS!$B$2:$J$91,9,FALSE()),""))</f>
      </c>
    </row>
    <row r="1451">
      <c r="F1451">
        <f>IF(DATOS!$A1451="","",DATOS!$A1451&amp;"|"&amp;DATOS!$D1451&amp;"|"&amp;DATOS!$E1451&amp;"|"&amp;DATOS!$I1451)</f>
      </c>
      <c r="G1451">
        <f>IF(DATOS!$A1451="",0,IF(CONFIG_METADATA!$B$4&lt;&gt;"OR+EX",--(DATOS!$G1451=CONFIG_METADATA!$B$4),IF(DATOS!$G1451="EX",1,IF(DATOS!$G1451="OR",--(COUNTIFS(nNIA,DATOS!$A1451,nCURSO,DATOS!$D1451,nESPEC,DATOS!$E1451,nASIG,DATOS!$I1451,nEVAL,"EX")=0),0))))</f>
      </c>
      <c r="H1451">
        <f>IF(DATOS!$G1451&lt;&gt;"EX",0,--(COUNTIFS(nNIA,DATOS!$A1451,nCURSO,DATOS!$D1451,nESPEC,DATOS!$E1451,nASIG,DATOS!$I1451,nEVAL,"OR")=0))</f>
      </c>
      <c r="I1451">
        <f>IF(DATOS!$I1451="","",IFERROR(VLOOKUP(DATOS!$I1451,CONFIG_ASIGNATURAS!$B$2:$J$91,9,FALSE()),""))</f>
      </c>
    </row>
    <row r="1452">
      <c r="F1452">
        <f>IF(DATOS!$A1452="","",DATOS!$A1452&amp;"|"&amp;DATOS!$D1452&amp;"|"&amp;DATOS!$E1452&amp;"|"&amp;DATOS!$I1452)</f>
      </c>
      <c r="G1452">
        <f>IF(DATOS!$A1452="",0,IF(CONFIG_METADATA!$B$4&lt;&gt;"OR+EX",--(DATOS!$G1452=CONFIG_METADATA!$B$4),IF(DATOS!$G1452="EX",1,IF(DATOS!$G1452="OR",--(COUNTIFS(nNIA,DATOS!$A1452,nCURSO,DATOS!$D1452,nESPEC,DATOS!$E1452,nASIG,DATOS!$I1452,nEVAL,"EX")=0),0))))</f>
      </c>
      <c r="H1452">
        <f>IF(DATOS!$G1452&lt;&gt;"EX",0,--(COUNTIFS(nNIA,DATOS!$A1452,nCURSO,DATOS!$D1452,nESPEC,DATOS!$E1452,nASIG,DATOS!$I1452,nEVAL,"OR")=0))</f>
      </c>
      <c r="I1452">
        <f>IF(DATOS!$I1452="","",IFERROR(VLOOKUP(DATOS!$I1452,CONFIG_ASIGNATURAS!$B$2:$J$91,9,FALSE()),""))</f>
      </c>
    </row>
    <row r="1453">
      <c r="F1453">
        <f>IF(DATOS!$A1453="","",DATOS!$A1453&amp;"|"&amp;DATOS!$D1453&amp;"|"&amp;DATOS!$E1453&amp;"|"&amp;DATOS!$I1453)</f>
      </c>
      <c r="G1453">
        <f>IF(DATOS!$A1453="",0,IF(CONFIG_METADATA!$B$4&lt;&gt;"OR+EX",--(DATOS!$G1453=CONFIG_METADATA!$B$4),IF(DATOS!$G1453="EX",1,IF(DATOS!$G1453="OR",--(COUNTIFS(nNIA,DATOS!$A1453,nCURSO,DATOS!$D1453,nESPEC,DATOS!$E1453,nASIG,DATOS!$I1453,nEVAL,"EX")=0),0))))</f>
      </c>
      <c r="H1453">
        <f>IF(DATOS!$G1453&lt;&gt;"EX",0,--(COUNTIFS(nNIA,DATOS!$A1453,nCURSO,DATOS!$D1453,nESPEC,DATOS!$E1453,nASIG,DATOS!$I1453,nEVAL,"OR")=0))</f>
      </c>
      <c r="I1453">
        <f>IF(DATOS!$I1453="","",IFERROR(VLOOKUP(DATOS!$I1453,CONFIG_ASIGNATURAS!$B$2:$J$91,9,FALSE()),""))</f>
      </c>
    </row>
    <row r="1454">
      <c r="F1454">
        <f>IF(DATOS!$A1454="","",DATOS!$A1454&amp;"|"&amp;DATOS!$D1454&amp;"|"&amp;DATOS!$E1454&amp;"|"&amp;DATOS!$I1454)</f>
      </c>
      <c r="G1454">
        <f>IF(DATOS!$A1454="",0,IF(CONFIG_METADATA!$B$4&lt;&gt;"OR+EX",--(DATOS!$G1454=CONFIG_METADATA!$B$4),IF(DATOS!$G1454="EX",1,IF(DATOS!$G1454="OR",--(COUNTIFS(nNIA,DATOS!$A1454,nCURSO,DATOS!$D1454,nESPEC,DATOS!$E1454,nASIG,DATOS!$I1454,nEVAL,"EX")=0),0))))</f>
      </c>
      <c r="H1454">
        <f>IF(DATOS!$G1454&lt;&gt;"EX",0,--(COUNTIFS(nNIA,DATOS!$A1454,nCURSO,DATOS!$D1454,nESPEC,DATOS!$E1454,nASIG,DATOS!$I1454,nEVAL,"OR")=0))</f>
      </c>
      <c r="I1454">
        <f>IF(DATOS!$I1454="","",IFERROR(VLOOKUP(DATOS!$I1454,CONFIG_ASIGNATURAS!$B$2:$J$91,9,FALSE()),""))</f>
      </c>
    </row>
    <row r="1455">
      <c r="F1455">
        <f>IF(DATOS!$A1455="","",DATOS!$A1455&amp;"|"&amp;DATOS!$D1455&amp;"|"&amp;DATOS!$E1455&amp;"|"&amp;DATOS!$I1455)</f>
      </c>
      <c r="G1455">
        <f>IF(DATOS!$A1455="",0,IF(CONFIG_METADATA!$B$4&lt;&gt;"OR+EX",--(DATOS!$G1455=CONFIG_METADATA!$B$4),IF(DATOS!$G1455="EX",1,IF(DATOS!$G1455="OR",--(COUNTIFS(nNIA,DATOS!$A1455,nCURSO,DATOS!$D1455,nESPEC,DATOS!$E1455,nASIG,DATOS!$I1455,nEVAL,"EX")=0),0))))</f>
      </c>
      <c r="H1455">
        <f>IF(DATOS!$G1455&lt;&gt;"EX",0,--(COUNTIFS(nNIA,DATOS!$A1455,nCURSO,DATOS!$D1455,nESPEC,DATOS!$E1455,nASIG,DATOS!$I1455,nEVAL,"OR")=0))</f>
      </c>
      <c r="I1455">
        <f>IF(DATOS!$I1455="","",IFERROR(VLOOKUP(DATOS!$I1455,CONFIG_ASIGNATURAS!$B$2:$J$91,9,FALSE()),""))</f>
      </c>
    </row>
    <row r="1456">
      <c r="F1456">
        <f>IF(DATOS!$A1456="","",DATOS!$A1456&amp;"|"&amp;DATOS!$D1456&amp;"|"&amp;DATOS!$E1456&amp;"|"&amp;DATOS!$I1456)</f>
      </c>
      <c r="G1456">
        <f>IF(DATOS!$A1456="",0,IF(CONFIG_METADATA!$B$4&lt;&gt;"OR+EX",--(DATOS!$G1456=CONFIG_METADATA!$B$4),IF(DATOS!$G1456="EX",1,IF(DATOS!$G1456="OR",--(COUNTIFS(nNIA,DATOS!$A1456,nCURSO,DATOS!$D1456,nESPEC,DATOS!$E1456,nASIG,DATOS!$I1456,nEVAL,"EX")=0),0))))</f>
      </c>
      <c r="H1456">
        <f>IF(DATOS!$G1456&lt;&gt;"EX",0,--(COUNTIFS(nNIA,DATOS!$A1456,nCURSO,DATOS!$D1456,nESPEC,DATOS!$E1456,nASIG,DATOS!$I1456,nEVAL,"OR")=0))</f>
      </c>
      <c r="I1456">
        <f>IF(DATOS!$I1456="","",IFERROR(VLOOKUP(DATOS!$I1456,CONFIG_ASIGNATURAS!$B$2:$J$91,9,FALSE()),""))</f>
      </c>
    </row>
    <row r="1457">
      <c r="F1457">
        <f>IF(DATOS!$A1457="","",DATOS!$A1457&amp;"|"&amp;DATOS!$D1457&amp;"|"&amp;DATOS!$E1457&amp;"|"&amp;DATOS!$I1457)</f>
      </c>
      <c r="G1457">
        <f>IF(DATOS!$A1457="",0,IF(CONFIG_METADATA!$B$4&lt;&gt;"OR+EX",--(DATOS!$G1457=CONFIG_METADATA!$B$4),IF(DATOS!$G1457="EX",1,IF(DATOS!$G1457="OR",--(COUNTIFS(nNIA,DATOS!$A1457,nCURSO,DATOS!$D1457,nESPEC,DATOS!$E1457,nASIG,DATOS!$I1457,nEVAL,"EX")=0),0))))</f>
      </c>
      <c r="H1457">
        <f>IF(DATOS!$G1457&lt;&gt;"EX",0,--(COUNTIFS(nNIA,DATOS!$A1457,nCURSO,DATOS!$D1457,nESPEC,DATOS!$E1457,nASIG,DATOS!$I1457,nEVAL,"OR")=0))</f>
      </c>
      <c r="I1457">
        <f>IF(DATOS!$I1457="","",IFERROR(VLOOKUP(DATOS!$I1457,CONFIG_ASIGNATURAS!$B$2:$J$91,9,FALSE()),""))</f>
      </c>
    </row>
    <row r="1458">
      <c r="F1458">
        <f>IF(DATOS!$A1458="","",DATOS!$A1458&amp;"|"&amp;DATOS!$D1458&amp;"|"&amp;DATOS!$E1458&amp;"|"&amp;DATOS!$I1458)</f>
      </c>
      <c r="G1458">
        <f>IF(DATOS!$A1458="",0,IF(CONFIG_METADATA!$B$4&lt;&gt;"OR+EX",--(DATOS!$G1458=CONFIG_METADATA!$B$4),IF(DATOS!$G1458="EX",1,IF(DATOS!$G1458="OR",--(COUNTIFS(nNIA,DATOS!$A1458,nCURSO,DATOS!$D1458,nESPEC,DATOS!$E1458,nASIG,DATOS!$I1458,nEVAL,"EX")=0),0))))</f>
      </c>
      <c r="H1458">
        <f>IF(DATOS!$G1458&lt;&gt;"EX",0,--(COUNTIFS(nNIA,DATOS!$A1458,nCURSO,DATOS!$D1458,nESPEC,DATOS!$E1458,nASIG,DATOS!$I1458,nEVAL,"OR")=0))</f>
      </c>
      <c r="I1458">
        <f>IF(DATOS!$I1458="","",IFERROR(VLOOKUP(DATOS!$I1458,CONFIG_ASIGNATURAS!$B$2:$J$91,9,FALSE()),""))</f>
      </c>
    </row>
    <row r="1459">
      <c r="F1459">
        <f>IF(DATOS!$A1459="","",DATOS!$A1459&amp;"|"&amp;DATOS!$D1459&amp;"|"&amp;DATOS!$E1459&amp;"|"&amp;DATOS!$I1459)</f>
      </c>
      <c r="G1459">
        <f>IF(DATOS!$A1459="",0,IF(CONFIG_METADATA!$B$4&lt;&gt;"OR+EX",--(DATOS!$G1459=CONFIG_METADATA!$B$4),IF(DATOS!$G1459="EX",1,IF(DATOS!$G1459="OR",--(COUNTIFS(nNIA,DATOS!$A1459,nCURSO,DATOS!$D1459,nESPEC,DATOS!$E1459,nASIG,DATOS!$I1459,nEVAL,"EX")=0),0))))</f>
      </c>
      <c r="H1459">
        <f>IF(DATOS!$G1459&lt;&gt;"EX",0,--(COUNTIFS(nNIA,DATOS!$A1459,nCURSO,DATOS!$D1459,nESPEC,DATOS!$E1459,nASIG,DATOS!$I1459,nEVAL,"OR")=0))</f>
      </c>
      <c r="I1459">
        <f>IF(DATOS!$I1459="","",IFERROR(VLOOKUP(DATOS!$I1459,CONFIG_ASIGNATURAS!$B$2:$J$91,9,FALSE()),""))</f>
      </c>
    </row>
    <row r="1460">
      <c r="F1460">
        <f>IF(DATOS!$A1460="","",DATOS!$A1460&amp;"|"&amp;DATOS!$D1460&amp;"|"&amp;DATOS!$E1460&amp;"|"&amp;DATOS!$I1460)</f>
      </c>
      <c r="G1460">
        <f>IF(DATOS!$A1460="",0,IF(CONFIG_METADATA!$B$4&lt;&gt;"OR+EX",--(DATOS!$G1460=CONFIG_METADATA!$B$4),IF(DATOS!$G1460="EX",1,IF(DATOS!$G1460="OR",--(COUNTIFS(nNIA,DATOS!$A1460,nCURSO,DATOS!$D1460,nESPEC,DATOS!$E1460,nASIG,DATOS!$I1460,nEVAL,"EX")=0),0))))</f>
      </c>
      <c r="H1460">
        <f>IF(DATOS!$G1460&lt;&gt;"EX",0,--(COUNTIFS(nNIA,DATOS!$A1460,nCURSO,DATOS!$D1460,nESPEC,DATOS!$E1460,nASIG,DATOS!$I1460,nEVAL,"OR")=0))</f>
      </c>
      <c r="I1460">
        <f>IF(DATOS!$I1460="","",IFERROR(VLOOKUP(DATOS!$I1460,CONFIG_ASIGNATURAS!$B$2:$J$91,9,FALSE()),""))</f>
      </c>
    </row>
    <row r="1461">
      <c r="F1461">
        <f>IF(DATOS!$A1461="","",DATOS!$A1461&amp;"|"&amp;DATOS!$D1461&amp;"|"&amp;DATOS!$E1461&amp;"|"&amp;DATOS!$I1461)</f>
      </c>
      <c r="G1461">
        <f>IF(DATOS!$A1461="",0,IF(CONFIG_METADATA!$B$4&lt;&gt;"OR+EX",--(DATOS!$G1461=CONFIG_METADATA!$B$4),IF(DATOS!$G1461="EX",1,IF(DATOS!$G1461="OR",--(COUNTIFS(nNIA,DATOS!$A1461,nCURSO,DATOS!$D1461,nESPEC,DATOS!$E1461,nASIG,DATOS!$I1461,nEVAL,"EX")=0),0))))</f>
      </c>
      <c r="H1461">
        <f>IF(DATOS!$G1461&lt;&gt;"EX",0,--(COUNTIFS(nNIA,DATOS!$A1461,nCURSO,DATOS!$D1461,nESPEC,DATOS!$E1461,nASIG,DATOS!$I1461,nEVAL,"OR")=0))</f>
      </c>
      <c r="I1461">
        <f>IF(DATOS!$I1461="","",IFERROR(VLOOKUP(DATOS!$I1461,CONFIG_ASIGNATURAS!$B$2:$J$91,9,FALSE()),""))</f>
      </c>
    </row>
    <row r="1462">
      <c r="F1462">
        <f>IF(DATOS!$A1462="","",DATOS!$A1462&amp;"|"&amp;DATOS!$D1462&amp;"|"&amp;DATOS!$E1462&amp;"|"&amp;DATOS!$I1462)</f>
      </c>
      <c r="G1462">
        <f>IF(DATOS!$A1462="",0,IF(CONFIG_METADATA!$B$4&lt;&gt;"OR+EX",--(DATOS!$G1462=CONFIG_METADATA!$B$4),IF(DATOS!$G1462="EX",1,IF(DATOS!$G1462="OR",--(COUNTIFS(nNIA,DATOS!$A1462,nCURSO,DATOS!$D1462,nESPEC,DATOS!$E1462,nASIG,DATOS!$I1462,nEVAL,"EX")=0),0))))</f>
      </c>
      <c r="H1462">
        <f>IF(DATOS!$G1462&lt;&gt;"EX",0,--(COUNTIFS(nNIA,DATOS!$A1462,nCURSO,DATOS!$D1462,nESPEC,DATOS!$E1462,nASIG,DATOS!$I1462,nEVAL,"OR")=0))</f>
      </c>
      <c r="I1462">
        <f>IF(DATOS!$I1462="","",IFERROR(VLOOKUP(DATOS!$I1462,CONFIG_ASIGNATURAS!$B$2:$J$91,9,FALSE()),""))</f>
      </c>
    </row>
    <row r="1463">
      <c r="F1463">
        <f>IF(DATOS!$A1463="","",DATOS!$A1463&amp;"|"&amp;DATOS!$D1463&amp;"|"&amp;DATOS!$E1463&amp;"|"&amp;DATOS!$I1463)</f>
      </c>
      <c r="G1463">
        <f>IF(DATOS!$A1463="",0,IF(CONFIG_METADATA!$B$4&lt;&gt;"OR+EX",--(DATOS!$G1463=CONFIG_METADATA!$B$4),IF(DATOS!$G1463="EX",1,IF(DATOS!$G1463="OR",--(COUNTIFS(nNIA,DATOS!$A1463,nCURSO,DATOS!$D1463,nESPEC,DATOS!$E1463,nASIG,DATOS!$I1463,nEVAL,"EX")=0),0))))</f>
      </c>
      <c r="H1463">
        <f>IF(DATOS!$G1463&lt;&gt;"EX",0,--(COUNTIFS(nNIA,DATOS!$A1463,nCURSO,DATOS!$D1463,nESPEC,DATOS!$E1463,nASIG,DATOS!$I1463,nEVAL,"OR")=0))</f>
      </c>
      <c r="I1463">
        <f>IF(DATOS!$I1463="","",IFERROR(VLOOKUP(DATOS!$I1463,CONFIG_ASIGNATURAS!$B$2:$J$91,9,FALSE()),""))</f>
      </c>
    </row>
    <row r="1464">
      <c r="F1464">
        <f>IF(DATOS!$A1464="","",DATOS!$A1464&amp;"|"&amp;DATOS!$D1464&amp;"|"&amp;DATOS!$E1464&amp;"|"&amp;DATOS!$I1464)</f>
      </c>
      <c r="G1464">
        <f>IF(DATOS!$A1464="",0,IF(CONFIG_METADATA!$B$4&lt;&gt;"OR+EX",--(DATOS!$G1464=CONFIG_METADATA!$B$4),IF(DATOS!$G1464="EX",1,IF(DATOS!$G1464="OR",--(COUNTIFS(nNIA,DATOS!$A1464,nCURSO,DATOS!$D1464,nESPEC,DATOS!$E1464,nASIG,DATOS!$I1464,nEVAL,"EX")=0),0))))</f>
      </c>
      <c r="H1464">
        <f>IF(DATOS!$G1464&lt;&gt;"EX",0,--(COUNTIFS(nNIA,DATOS!$A1464,nCURSO,DATOS!$D1464,nESPEC,DATOS!$E1464,nASIG,DATOS!$I1464,nEVAL,"OR")=0))</f>
      </c>
      <c r="I1464">
        <f>IF(DATOS!$I1464="","",IFERROR(VLOOKUP(DATOS!$I1464,CONFIG_ASIGNATURAS!$B$2:$J$91,9,FALSE()),""))</f>
      </c>
    </row>
    <row r="1465">
      <c r="F1465">
        <f>IF(DATOS!$A1465="","",DATOS!$A1465&amp;"|"&amp;DATOS!$D1465&amp;"|"&amp;DATOS!$E1465&amp;"|"&amp;DATOS!$I1465)</f>
      </c>
      <c r="G1465">
        <f>IF(DATOS!$A1465="",0,IF(CONFIG_METADATA!$B$4&lt;&gt;"OR+EX",--(DATOS!$G1465=CONFIG_METADATA!$B$4),IF(DATOS!$G1465="EX",1,IF(DATOS!$G1465="OR",--(COUNTIFS(nNIA,DATOS!$A1465,nCURSO,DATOS!$D1465,nESPEC,DATOS!$E1465,nASIG,DATOS!$I1465,nEVAL,"EX")=0),0))))</f>
      </c>
      <c r="H1465">
        <f>IF(DATOS!$G1465&lt;&gt;"EX",0,--(COUNTIFS(nNIA,DATOS!$A1465,nCURSO,DATOS!$D1465,nESPEC,DATOS!$E1465,nASIG,DATOS!$I1465,nEVAL,"OR")=0))</f>
      </c>
      <c r="I1465">
        <f>IF(DATOS!$I1465="","",IFERROR(VLOOKUP(DATOS!$I1465,CONFIG_ASIGNATURAS!$B$2:$J$91,9,FALSE()),""))</f>
      </c>
    </row>
    <row r="1466">
      <c r="F1466">
        <f>IF(DATOS!$A1466="","",DATOS!$A1466&amp;"|"&amp;DATOS!$D1466&amp;"|"&amp;DATOS!$E1466&amp;"|"&amp;DATOS!$I1466)</f>
      </c>
      <c r="G1466">
        <f>IF(DATOS!$A1466="",0,IF(CONFIG_METADATA!$B$4&lt;&gt;"OR+EX",--(DATOS!$G1466=CONFIG_METADATA!$B$4),IF(DATOS!$G1466="EX",1,IF(DATOS!$G1466="OR",--(COUNTIFS(nNIA,DATOS!$A1466,nCURSO,DATOS!$D1466,nESPEC,DATOS!$E1466,nASIG,DATOS!$I1466,nEVAL,"EX")=0),0))))</f>
      </c>
      <c r="H1466">
        <f>IF(DATOS!$G1466&lt;&gt;"EX",0,--(COUNTIFS(nNIA,DATOS!$A1466,nCURSO,DATOS!$D1466,nESPEC,DATOS!$E1466,nASIG,DATOS!$I1466,nEVAL,"OR")=0))</f>
      </c>
      <c r="I1466">
        <f>IF(DATOS!$I1466="","",IFERROR(VLOOKUP(DATOS!$I1466,CONFIG_ASIGNATURAS!$B$2:$J$91,9,FALSE()),""))</f>
      </c>
    </row>
    <row r="1467">
      <c r="F1467">
        <f>IF(DATOS!$A1467="","",DATOS!$A1467&amp;"|"&amp;DATOS!$D1467&amp;"|"&amp;DATOS!$E1467&amp;"|"&amp;DATOS!$I1467)</f>
      </c>
      <c r="G1467">
        <f>IF(DATOS!$A1467="",0,IF(CONFIG_METADATA!$B$4&lt;&gt;"OR+EX",--(DATOS!$G1467=CONFIG_METADATA!$B$4),IF(DATOS!$G1467="EX",1,IF(DATOS!$G1467="OR",--(COUNTIFS(nNIA,DATOS!$A1467,nCURSO,DATOS!$D1467,nESPEC,DATOS!$E1467,nASIG,DATOS!$I1467,nEVAL,"EX")=0),0))))</f>
      </c>
      <c r="H1467">
        <f>IF(DATOS!$G1467&lt;&gt;"EX",0,--(COUNTIFS(nNIA,DATOS!$A1467,nCURSO,DATOS!$D1467,nESPEC,DATOS!$E1467,nASIG,DATOS!$I1467,nEVAL,"OR")=0))</f>
      </c>
      <c r="I1467">
        <f>IF(DATOS!$I1467="","",IFERROR(VLOOKUP(DATOS!$I1467,CONFIG_ASIGNATURAS!$B$2:$J$91,9,FALSE()),""))</f>
      </c>
    </row>
    <row r="1468">
      <c r="F1468">
        <f>IF(DATOS!$A1468="","",DATOS!$A1468&amp;"|"&amp;DATOS!$D1468&amp;"|"&amp;DATOS!$E1468&amp;"|"&amp;DATOS!$I1468)</f>
      </c>
      <c r="G1468">
        <f>IF(DATOS!$A1468="",0,IF(CONFIG_METADATA!$B$4&lt;&gt;"OR+EX",--(DATOS!$G1468=CONFIG_METADATA!$B$4),IF(DATOS!$G1468="EX",1,IF(DATOS!$G1468="OR",--(COUNTIFS(nNIA,DATOS!$A1468,nCURSO,DATOS!$D1468,nESPEC,DATOS!$E1468,nASIG,DATOS!$I1468,nEVAL,"EX")=0),0))))</f>
      </c>
      <c r="H1468">
        <f>IF(DATOS!$G1468&lt;&gt;"EX",0,--(COUNTIFS(nNIA,DATOS!$A1468,nCURSO,DATOS!$D1468,nESPEC,DATOS!$E1468,nASIG,DATOS!$I1468,nEVAL,"OR")=0))</f>
      </c>
      <c r="I1468">
        <f>IF(DATOS!$I1468="","",IFERROR(VLOOKUP(DATOS!$I1468,CONFIG_ASIGNATURAS!$B$2:$J$91,9,FALSE()),""))</f>
      </c>
    </row>
    <row r="1469">
      <c r="F1469">
        <f>IF(DATOS!$A1469="","",DATOS!$A1469&amp;"|"&amp;DATOS!$D1469&amp;"|"&amp;DATOS!$E1469&amp;"|"&amp;DATOS!$I1469)</f>
      </c>
      <c r="G1469">
        <f>IF(DATOS!$A1469="",0,IF(CONFIG_METADATA!$B$4&lt;&gt;"OR+EX",--(DATOS!$G1469=CONFIG_METADATA!$B$4),IF(DATOS!$G1469="EX",1,IF(DATOS!$G1469="OR",--(COUNTIFS(nNIA,DATOS!$A1469,nCURSO,DATOS!$D1469,nESPEC,DATOS!$E1469,nASIG,DATOS!$I1469,nEVAL,"EX")=0),0))))</f>
      </c>
      <c r="H1469">
        <f>IF(DATOS!$G1469&lt;&gt;"EX",0,--(COUNTIFS(nNIA,DATOS!$A1469,nCURSO,DATOS!$D1469,nESPEC,DATOS!$E1469,nASIG,DATOS!$I1469,nEVAL,"OR")=0))</f>
      </c>
      <c r="I1469">
        <f>IF(DATOS!$I1469="","",IFERROR(VLOOKUP(DATOS!$I1469,CONFIG_ASIGNATURAS!$B$2:$J$91,9,FALSE()),""))</f>
      </c>
    </row>
    <row r="1470">
      <c r="F1470">
        <f>IF(DATOS!$A1470="","",DATOS!$A1470&amp;"|"&amp;DATOS!$D1470&amp;"|"&amp;DATOS!$E1470&amp;"|"&amp;DATOS!$I1470)</f>
      </c>
      <c r="G1470">
        <f>IF(DATOS!$A1470="",0,IF(CONFIG_METADATA!$B$4&lt;&gt;"OR+EX",--(DATOS!$G1470=CONFIG_METADATA!$B$4),IF(DATOS!$G1470="EX",1,IF(DATOS!$G1470="OR",--(COUNTIFS(nNIA,DATOS!$A1470,nCURSO,DATOS!$D1470,nESPEC,DATOS!$E1470,nASIG,DATOS!$I1470,nEVAL,"EX")=0),0))))</f>
      </c>
      <c r="H1470">
        <f>IF(DATOS!$G1470&lt;&gt;"EX",0,--(COUNTIFS(nNIA,DATOS!$A1470,nCURSO,DATOS!$D1470,nESPEC,DATOS!$E1470,nASIG,DATOS!$I1470,nEVAL,"OR")=0))</f>
      </c>
      <c r="I1470">
        <f>IF(DATOS!$I1470="","",IFERROR(VLOOKUP(DATOS!$I1470,CONFIG_ASIGNATURAS!$B$2:$J$91,9,FALSE()),""))</f>
      </c>
    </row>
    <row r="1471">
      <c r="F1471">
        <f>IF(DATOS!$A1471="","",DATOS!$A1471&amp;"|"&amp;DATOS!$D1471&amp;"|"&amp;DATOS!$E1471&amp;"|"&amp;DATOS!$I1471)</f>
      </c>
      <c r="G1471">
        <f>IF(DATOS!$A1471="",0,IF(CONFIG_METADATA!$B$4&lt;&gt;"OR+EX",--(DATOS!$G1471=CONFIG_METADATA!$B$4),IF(DATOS!$G1471="EX",1,IF(DATOS!$G1471="OR",--(COUNTIFS(nNIA,DATOS!$A1471,nCURSO,DATOS!$D1471,nESPEC,DATOS!$E1471,nASIG,DATOS!$I1471,nEVAL,"EX")=0),0))))</f>
      </c>
      <c r="H1471">
        <f>IF(DATOS!$G1471&lt;&gt;"EX",0,--(COUNTIFS(nNIA,DATOS!$A1471,nCURSO,DATOS!$D1471,nESPEC,DATOS!$E1471,nASIG,DATOS!$I1471,nEVAL,"OR")=0))</f>
      </c>
      <c r="I1471">
        <f>IF(DATOS!$I1471="","",IFERROR(VLOOKUP(DATOS!$I1471,CONFIG_ASIGNATURAS!$B$2:$J$91,9,FALSE()),""))</f>
      </c>
    </row>
    <row r="1472">
      <c r="F1472">
        <f>IF(DATOS!$A1472="","",DATOS!$A1472&amp;"|"&amp;DATOS!$D1472&amp;"|"&amp;DATOS!$E1472&amp;"|"&amp;DATOS!$I1472)</f>
      </c>
      <c r="G1472">
        <f>IF(DATOS!$A1472="",0,IF(CONFIG_METADATA!$B$4&lt;&gt;"OR+EX",--(DATOS!$G1472=CONFIG_METADATA!$B$4),IF(DATOS!$G1472="EX",1,IF(DATOS!$G1472="OR",--(COUNTIFS(nNIA,DATOS!$A1472,nCURSO,DATOS!$D1472,nESPEC,DATOS!$E1472,nASIG,DATOS!$I1472,nEVAL,"EX")=0),0))))</f>
      </c>
      <c r="H1472">
        <f>IF(DATOS!$G1472&lt;&gt;"EX",0,--(COUNTIFS(nNIA,DATOS!$A1472,nCURSO,DATOS!$D1472,nESPEC,DATOS!$E1472,nASIG,DATOS!$I1472,nEVAL,"OR")=0))</f>
      </c>
      <c r="I1472">
        <f>IF(DATOS!$I1472="","",IFERROR(VLOOKUP(DATOS!$I1472,CONFIG_ASIGNATURAS!$B$2:$J$91,9,FALSE()),""))</f>
      </c>
    </row>
    <row r="1473">
      <c r="F1473">
        <f>IF(DATOS!$A1473="","",DATOS!$A1473&amp;"|"&amp;DATOS!$D1473&amp;"|"&amp;DATOS!$E1473&amp;"|"&amp;DATOS!$I1473)</f>
      </c>
      <c r="G1473">
        <f>IF(DATOS!$A1473="",0,IF(CONFIG_METADATA!$B$4&lt;&gt;"OR+EX",--(DATOS!$G1473=CONFIG_METADATA!$B$4),IF(DATOS!$G1473="EX",1,IF(DATOS!$G1473="OR",--(COUNTIFS(nNIA,DATOS!$A1473,nCURSO,DATOS!$D1473,nESPEC,DATOS!$E1473,nASIG,DATOS!$I1473,nEVAL,"EX")=0),0))))</f>
      </c>
      <c r="H1473">
        <f>IF(DATOS!$G1473&lt;&gt;"EX",0,--(COUNTIFS(nNIA,DATOS!$A1473,nCURSO,DATOS!$D1473,nESPEC,DATOS!$E1473,nASIG,DATOS!$I1473,nEVAL,"OR")=0))</f>
      </c>
      <c r="I1473">
        <f>IF(DATOS!$I1473="","",IFERROR(VLOOKUP(DATOS!$I1473,CONFIG_ASIGNATURAS!$B$2:$J$91,9,FALSE()),""))</f>
      </c>
    </row>
    <row r="1474">
      <c r="F1474">
        <f>IF(DATOS!$A1474="","",DATOS!$A1474&amp;"|"&amp;DATOS!$D1474&amp;"|"&amp;DATOS!$E1474&amp;"|"&amp;DATOS!$I1474)</f>
      </c>
      <c r="G1474">
        <f>IF(DATOS!$A1474="",0,IF(CONFIG_METADATA!$B$4&lt;&gt;"OR+EX",--(DATOS!$G1474=CONFIG_METADATA!$B$4),IF(DATOS!$G1474="EX",1,IF(DATOS!$G1474="OR",--(COUNTIFS(nNIA,DATOS!$A1474,nCURSO,DATOS!$D1474,nESPEC,DATOS!$E1474,nASIG,DATOS!$I1474,nEVAL,"EX")=0),0))))</f>
      </c>
      <c r="H1474">
        <f>IF(DATOS!$G1474&lt;&gt;"EX",0,--(COUNTIFS(nNIA,DATOS!$A1474,nCURSO,DATOS!$D1474,nESPEC,DATOS!$E1474,nASIG,DATOS!$I1474,nEVAL,"OR")=0))</f>
      </c>
      <c r="I1474">
        <f>IF(DATOS!$I1474="","",IFERROR(VLOOKUP(DATOS!$I1474,CONFIG_ASIGNATURAS!$B$2:$J$91,9,FALSE()),""))</f>
      </c>
    </row>
    <row r="1475">
      <c r="F1475">
        <f>IF(DATOS!$A1475="","",DATOS!$A1475&amp;"|"&amp;DATOS!$D1475&amp;"|"&amp;DATOS!$E1475&amp;"|"&amp;DATOS!$I1475)</f>
      </c>
      <c r="G1475">
        <f>IF(DATOS!$A1475="",0,IF(CONFIG_METADATA!$B$4&lt;&gt;"OR+EX",--(DATOS!$G1475=CONFIG_METADATA!$B$4),IF(DATOS!$G1475="EX",1,IF(DATOS!$G1475="OR",--(COUNTIFS(nNIA,DATOS!$A1475,nCURSO,DATOS!$D1475,nESPEC,DATOS!$E1475,nASIG,DATOS!$I1475,nEVAL,"EX")=0),0))))</f>
      </c>
      <c r="H1475">
        <f>IF(DATOS!$G1475&lt;&gt;"EX",0,--(COUNTIFS(nNIA,DATOS!$A1475,nCURSO,DATOS!$D1475,nESPEC,DATOS!$E1475,nASIG,DATOS!$I1475,nEVAL,"OR")=0))</f>
      </c>
      <c r="I1475">
        <f>IF(DATOS!$I1475="","",IFERROR(VLOOKUP(DATOS!$I1475,CONFIG_ASIGNATURAS!$B$2:$J$91,9,FALSE()),""))</f>
      </c>
    </row>
    <row r="1476">
      <c r="F1476">
        <f>IF(DATOS!$A1476="","",DATOS!$A1476&amp;"|"&amp;DATOS!$D1476&amp;"|"&amp;DATOS!$E1476&amp;"|"&amp;DATOS!$I1476)</f>
      </c>
      <c r="G1476">
        <f>IF(DATOS!$A1476="",0,IF(CONFIG_METADATA!$B$4&lt;&gt;"OR+EX",--(DATOS!$G1476=CONFIG_METADATA!$B$4),IF(DATOS!$G1476="EX",1,IF(DATOS!$G1476="OR",--(COUNTIFS(nNIA,DATOS!$A1476,nCURSO,DATOS!$D1476,nESPEC,DATOS!$E1476,nASIG,DATOS!$I1476,nEVAL,"EX")=0),0))))</f>
      </c>
      <c r="H1476">
        <f>IF(DATOS!$G1476&lt;&gt;"EX",0,--(COUNTIFS(nNIA,DATOS!$A1476,nCURSO,DATOS!$D1476,nESPEC,DATOS!$E1476,nASIG,DATOS!$I1476,nEVAL,"OR")=0))</f>
      </c>
      <c r="I1476">
        <f>IF(DATOS!$I1476="","",IFERROR(VLOOKUP(DATOS!$I1476,CONFIG_ASIGNATURAS!$B$2:$J$91,9,FALSE()),""))</f>
      </c>
    </row>
    <row r="1477">
      <c r="F1477">
        <f>IF(DATOS!$A1477="","",DATOS!$A1477&amp;"|"&amp;DATOS!$D1477&amp;"|"&amp;DATOS!$E1477&amp;"|"&amp;DATOS!$I1477)</f>
      </c>
      <c r="G1477">
        <f>IF(DATOS!$A1477="",0,IF(CONFIG_METADATA!$B$4&lt;&gt;"OR+EX",--(DATOS!$G1477=CONFIG_METADATA!$B$4),IF(DATOS!$G1477="EX",1,IF(DATOS!$G1477="OR",--(COUNTIFS(nNIA,DATOS!$A1477,nCURSO,DATOS!$D1477,nESPEC,DATOS!$E1477,nASIG,DATOS!$I1477,nEVAL,"EX")=0),0))))</f>
      </c>
      <c r="H1477">
        <f>IF(DATOS!$G1477&lt;&gt;"EX",0,--(COUNTIFS(nNIA,DATOS!$A1477,nCURSO,DATOS!$D1477,nESPEC,DATOS!$E1477,nASIG,DATOS!$I1477,nEVAL,"OR")=0))</f>
      </c>
      <c r="I1477">
        <f>IF(DATOS!$I1477="","",IFERROR(VLOOKUP(DATOS!$I1477,CONFIG_ASIGNATURAS!$B$2:$J$91,9,FALSE()),""))</f>
      </c>
    </row>
    <row r="1478">
      <c r="F1478">
        <f>IF(DATOS!$A1478="","",DATOS!$A1478&amp;"|"&amp;DATOS!$D1478&amp;"|"&amp;DATOS!$E1478&amp;"|"&amp;DATOS!$I1478)</f>
      </c>
      <c r="G1478">
        <f>IF(DATOS!$A1478="",0,IF(CONFIG_METADATA!$B$4&lt;&gt;"OR+EX",--(DATOS!$G1478=CONFIG_METADATA!$B$4),IF(DATOS!$G1478="EX",1,IF(DATOS!$G1478="OR",--(COUNTIFS(nNIA,DATOS!$A1478,nCURSO,DATOS!$D1478,nESPEC,DATOS!$E1478,nASIG,DATOS!$I1478,nEVAL,"EX")=0),0))))</f>
      </c>
      <c r="H1478">
        <f>IF(DATOS!$G1478&lt;&gt;"EX",0,--(COUNTIFS(nNIA,DATOS!$A1478,nCURSO,DATOS!$D1478,nESPEC,DATOS!$E1478,nASIG,DATOS!$I1478,nEVAL,"OR")=0))</f>
      </c>
      <c r="I1478">
        <f>IF(DATOS!$I1478="","",IFERROR(VLOOKUP(DATOS!$I1478,CONFIG_ASIGNATURAS!$B$2:$J$91,9,FALSE()),""))</f>
      </c>
    </row>
    <row r="1479">
      <c r="F1479">
        <f>IF(DATOS!$A1479="","",DATOS!$A1479&amp;"|"&amp;DATOS!$D1479&amp;"|"&amp;DATOS!$E1479&amp;"|"&amp;DATOS!$I1479)</f>
      </c>
      <c r="G1479">
        <f>IF(DATOS!$A1479="",0,IF(CONFIG_METADATA!$B$4&lt;&gt;"OR+EX",--(DATOS!$G1479=CONFIG_METADATA!$B$4),IF(DATOS!$G1479="EX",1,IF(DATOS!$G1479="OR",--(COUNTIFS(nNIA,DATOS!$A1479,nCURSO,DATOS!$D1479,nESPEC,DATOS!$E1479,nASIG,DATOS!$I1479,nEVAL,"EX")=0),0))))</f>
      </c>
      <c r="H1479">
        <f>IF(DATOS!$G1479&lt;&gt;"EX",0,--(COUNTIFS(nNIA,DATOS!$A1479,nCURSO,DATOS!$D1479,nESPEC,DATOS!$E1479,nASIG,DATOS!$I1479,nEVAL,"OR")=0))</f>
      </c>
      <c r="I1479">
        <f>IF(DATOS!$I1479="","",IFERROR(VLOOKUP(DATOS!$I1479,CONFIG_ASIGNATURAS!$B$2:$J$91,9,FALSE()),""))</f>
      </c>
    </row>
    <row r="1480">
      <c r="F1480">
        <f>IF(DATOS!$A1480="","",DATOS!$A1480&amp;"|"&amp;DATOS!$D1480&amp;"|"&amp;DATOS!$E1480&amp;"|"&amp;DATOS!$I1480)</f>
      </c>
      <c r="G1480">
        <f>IF(DATOS!$A1480="",0,IF(CONFIG_METADATA!$B$4&lt;&gt;"OR+EX",--(DATOS!$G1480=CONFIG_METADATA!$B$4),IF(DATOS!$G1480="EX",1,IF(DATOS!$G1480="OR",--(COUNTIFS(nNIA,DATOS!$A1480,nCURSO,DATOS!$D1480,nESPEC,DATOS!$E1480,nASIG,DATOS!$I1480,nEVAL,"EX")=0),0))))</f>
      </c>
      <c r="H1480">
        <f>IF(DATOS!$G1480&lt;&gt;"EX",0,--(COUNTIFS(nNIA,DATOS!$A1480,nCURSO,DATOS!$D1480,nESPEC,DATOS!$E1480,nASIG,DATOS!$I1480,nEVAL,"OR")=0))</f>
      </c>
      <c r="I1480">
        <f>IF(DATOS!$I1480="","",IFERROR(VLOOKUP(DATOS!$I1480,CONFIG_ASIGNATURAS!$B$2:$J$91,9,FALSE()),""))</f>
      </c>
    </row>
    <row r="1481">
      <c r="F1481">
        <f>IF(DATOS!$A1481="","",DATOS!$A1481&amp;"|"&amp;DATOS!$D1481&amp;"|"&amp;DATOS!$E1481&amp;"|"&amp;DATOS!$I1481)</f>
      </c>
      <c r="G1481">
        <f>IF(DATOS!$A1481="",0,IF(CONFIG_METADATA!$B$4&lt;&gt;"OR+EX",--(DATOS!$G1481=CONFIG_METADATA!$B$4),IF(DATOS!$G1481="EX",1,IF(DATOS!$G1481="OR",--(COUNTIFS(nNIA,DATOS!$A1481,nCURSO,DATOS!$D1481,nESPEC,DATOS!$E1481,nASIG,DATOS!$I1481,nEVAL,"EX")=0),0))))</f>
      </c>
      <c r="H1481">
        <f>IF(DATOS!$G1481&lt;&gt;"EX",0,--(COUNTIFS(nNIA,DATOS!$A1481,nCURSO,DATOS!$D1481,nESPEC,DATOS!$E1481,nASIG,DATOS!$I1481,nEVAL,"OR")=0))</f>
      </c>
      <c r="I1481">
        <f>IF(DATOS!$I1481="","",IFERROR(VLOOKUP(DATOS!$I1481,CONFIG_ASIGNATURAS!$B$2:$J$91,9,FALSE()),""))</f>
      </c>
    </row>
    <row r="1482">
      <c r="F1482">
        <f>IF(DATOS!$A1482="","",DATOS!$A1482&amp;"|"&amp;DATOS!$D1482&amp;"|"&amp;DATOS!$E1482&amp;"|"&amp;DATOS!$I1482)</f>
      </c>
      <c r="G1482">
        <f>IF(DATOS!$A1482="",0,IF(CONFIG_METADATA!$B$4&lt;&gt;"OR+EX",--(DATOS!$G1482=CONFIG_METADATA!$B$4),IF(DATOS!$G1482="EX",1,IF(DATOS!$G1482="OR",--(COUNTIFS(nNIA,DATOS!$A1482,nCURSO,DATOS!$D1482,nESPEC,DATOS!$E1482,nASIG,DATOS!$I1482,nEVAL,"EX")=0),0))))</f>
      </c>
      <c r="H1482">
        <f>IF(DATOS!$G1482&lt;&gt;"EX",0,--(COUNTIFS(nNIA,DATOS!$A1482,nCURSO,DATOS!$D1482,nESPEC,DATOS!$E1482,nASIG,DATOS!$I1482,nEVAL,"OR")=0))</f>
      </c>
      <c r="I1482">
        <f>IF(DATOS!$I1482="","",IFERROR(VLOOKUP(DATOS!$I1482,CONFIG_ASIGNATURAS!$B$2:$J$91,9,FALSE()),""))</f>
      </c>
    </row>
    <row r="1483">
      <c r="F1483">
        <f>IF(DATOS!$A1483="","",DATOS!$A1483&amp;"|"&amp;DATOS!$D1483&amp;"|"&amp;DATOS!$E1483&amp;"|"&amp;DATOS!$I1483)</f>
      </c>
      <c r="G1483">
        <f>IF(DATOS!$A1483="",0,IF(CONFIG_METADATA!$B$4&lt;&gt;"OR+EX",--(DATOS!$G1483=CONFIG_METADATA!$B$4),IF(DATOS!$G1483="EX",1,IF(DATOS!$G1483="OR",--(COUNTIFS(nNIA,DATOS!$A1483,nCURSO,DATOS!$D1483,nESPEC,DATOS!$E1483,nASIG,DATOS!$I1483,nEVAL,"EX")=0),0))))</f>
      </c>
      <c r="H1483">
        <f>IF(DATOS!$G1483&lt;&gt;"EX",0,--(COUNTIFS(nNIA,DATOS!$A1483,nCURSO,DATOS!$D1483,nESPEC,DATOS!$E1483,nASIG,DATOS!$I1483,nEVAL,"OR")=0))</f>
      </c>
      <c r="I1483">
        <f>IF(DATOS!$I1483="","",IFERROR(VLOOKUP(DATOS!$I1483,CONFIG_ASIGNATURAS!$B$2:$J$91,9,FALSE()),""))</f>
      </c>
    </row>
    <row r="1484">
      <c r="F1484">
        <f>IF(DATOS!$A1484="","",DATOS!$A1484&amp;"|"&amp;DATOS!$D1484&amp;"|"&amp;DATOS!$E1484&amp;"|"&amp;DATOS!$I1484)</f>
      </c>
      <c r="G1484">
        <f>IF(DATOS!$A1484="",0,IF(CONFIG_METADATA!$B$4&lt;&gt;"OR+EX",--(DATOS!$G1484=CONFIG_METADATA!$B$4),IF(DATOS!$G1484="EX",1,IF(DATOS!$G1484="OR",--(COUNTIFS(nNIA,DATOS!$A1484,nCURSO,DATOS!$D1484,nESPEC,DATOS!$E1484,nASIG,DATOS!$I1484,nEVAL,"EX")=0),0))))</f>
      </c>
      <c r="H1484">
        <f>IF(DATOS!$G1484&lt;&gt;"EX",0,--(COUNTIFS(nNIA,DATOS!$A1484,nCURSO,DATOS!$D1484,nESPEC,DATOS!$E1484,nASIG,DATOS!$I1484,nEVAL,"OR")=0))</f>
      </c>
      <c r="I1484">
        <f>IF(DATOS!$I1484="","",IFERROR(VLOOKUP(DATOS!$I1484,CONFIG_ASIGNATURAS!$B$2:$J$91,9,FALSE()),""))</f>
      </c>
    </row>
    <row r="1485">
      <c r="F1485">
        <f>IF(DATOS!$A1485="","",DATOS!$A1485&amp;"|"&amp;DATOS!$D1485&amp;"|"&amp;DATOS!$E1485&amp;"|"&amp;DATOS!$I1485)</f>
      </c>
      <c r="G1485">
        <f>IF(DATOS!$A1485="",0,IF(CONFIG_METADATA!$B$4&lt;&gt;"OR+EX",--(DATOS!$G1485=CONFIG_METADATA!$B$4),IF(DATOS!$G1485="EX",1,IF(DATOS!$G1485="OR",--(COUNTIFS(nNIA,DATOS!$A1485,nCURSO,DATOS!$D1485,nESPEC,DATOS!$E1485,nASIG,DATOS!$I1485,nEVAL,"EX")=0),0))))</f>
      </c>
      <c r="H1485">
        <f>IF(DATOS!$G1485&lt;&gt;"EX",0,--(COUNTIFS(nNIA,DATOS!$A1485,nCURSO,DATOS!$D1485,nESPEC,DATOS!$E1485,nASIG,DATOS!$I1485,nEVAL,"OR")=0))</f>
      </c>
      <c r="I1485">
        <f>IF(DATOS!$I1485="","",IFERROR(VLOOKUP(DATOS!$I1485,CONFIG_ASIGNATURAS!$B$2:$J$91,9,FALSE()),""))</f>
      </c>
    </row>
    <row r="1486">
      <c r="F1486">
        <f>IF(DATOS!$A1486="","",DATOS!$A1486&amp;"|"&amp;DATOS!$D1486&amp;"|"&amp;DATOS!$E1486&amp;"|"&amp;DATOS!$I1486)</f>
      </c>
      <c r="G1486">
        <f>IF(DATOS!$A1486="",0,IF(CONFIG_METADATA!$B$4&lt;&gt;"OR+EX",--(DATOS!$G1486=CONFIG_METADATA!$B$4),IF(DATOS!$G1486="EX",1,IF(DATOS!$G1486="OR",--(COUNTIFS(nNIA,DATOS!$A1486,nCURSO,DATOS!$D1486,nESPEC,DATOS!$E1486,nASIG,DATOS!$I1486,nEVAL,"EX")=0),0))))</f>
      </c>
      <c r="H1486">
        <f>IF(DATOS!$G1486&lt;&gt;"EX",0,--(COUNTIFS(nNIA,DATOS!$A1486,nCURSO,DATOS!$D1486,nESPEC,DATOS!$E1486,nASIG,DATOS!$I1486,nEVAL,"OR")=0))</f>
      </c>
      <c r="I1486">
        <f>IF(DATOS!$I1486="","",IFERROR(VLOOKUP(DATOS!$I1486,CONFIG_ASIGNATURAS!$B$2:$J$91,9,FALSE()),""))</f>
      </c>
    </row>
    <row r="1487">
      <c r="F1487">
        <f>IF(DATOS!$A1487="","",DATOS!$A1487&amp;"|"&amp;DATOS!$D1487&amp;"|"&amp;DATOS!$E1487&amp;"|"&amp;DATOS!$I1487)</f>
      </c>
      <c r="G1487">
        <f>IF(DATOS!$A1487="",0,IF(CONFIG_METADATA!$B$4&lt;&gt;"OR+EX",--(DATOS!$G1487=CONFIG_METADATA!$B$4),IF(DATOS!$G1487="EX",1,IF(DATOS!$G1487="OR",--(COUNTIFS(nNIA,DATOS!$A1487,nCURSO,DATOS!$D1487,nESPEC,DATOS!$E1487,nASIG,DATOS!$I1487,nEVAL,"EX")=0),0))))</f>
      </c>
      <c r="H1487">
        <f>IF(DATOS!$G1487&lt;&gt;"EX",0,--(COUNTIFS(nNIA,DATOS!$A1487,nCURSO,DATOS!$D1487,nESPEC,DATOS!$E1487,nASIG,DATOS!$I1487,nEVAL,"OR")=0))</f>
      </c>
      <c r="I1487">
        <f>IF(DATOS!$I1487="","",IFERROR(VLOOKUP(DATOS!$I1487,CONFIG_ASIGNATURAS!$B$2:$J$91,9,FALSE()),""))</f>
      </c>
    </row>
    <row r="1488">
      <c r="F1488">
        <f>IF(DATOS!$A1488="","",DATOS!$A1488&amp;"|"&amp;DATOS!$D1488&amp;"|"&amp;DATOS!$E1488&amp;"|"&amp;DATOS!$I1488)</f>
      </c>
      <c r="G1488">
        <f>IF(DATOS!$A1488="",0,IF(CONFIG_METADATA!$B$4&lt;&gt;"OR+EX",--(DATOS!$G1488=CONFIG_METADATA!$B$4),IF(DATOS!$G1488="EX",1,IF(DATOS!$G1488="OR",--(COUNTIFS(nNIA,DATOS!$A1488,nCURSO,DATOS!$D1488,nESPEC,DATOS!$E1488,nASIG,DATOS!$I1488,nEVAL,"EX")=0),0))))</f>
      </c>
      <c r="H1488">
        <f>IF(DATOS!$G1488&lt;&gt;"EX",0,--(COUNTIFS(nNIA,DATOS!$A1488,nCURSO,DATOS!$D1488,nESPEC,DATOS!$E1488,nASIG,DATOS!$I1488,nEVAL,"OR")=0))</f>
      </c>
      <c r="I1488">
        <f>IF(DATOS!$I1488="","",IFERROR(VLOOKUP(DATOS!$I1488,CONFIG_ASIGNATURAS!$B$2:$J$91,9,FALSE()),""))</f>
      </c>
    </row>
    <row r="1489">
      <c r="F1489">
        <f>IF(DATOS!$A1489="","",DATOS!$A1489&amp;"|"&amp;DATOS!$D1489&amp;"|"&amp;DATOS!$E1489&amp;"|"&amp;DATOS!$I1489)</f>
      </c>
      <c r="G1489">
        <f>IF(DATOS!$A1489="",0,IF(CONFIG_METADATA!$B$4&lt;&gt;"OR+EX",--(DATOS!$G1489=CONFIG_METADATA!$B$4),IF(DATOS!$G1489="EX",1,IF(DATOS!$G1489="OR",--(COUNTIFS(nNIA,DATOS!$A1489,nCURSO,DATOS!$D1489,nESPEC,DATOS!$E1489,nASIG,DATOS!$I1489,nEVAL,"EX")=0),0))))</f>
      </c>
      <c r="H1489">
        <f>IF(DATOS!$G1489&lt;&gt;"EX",0,--(COUNTIFS(nNIA,DATOS!$A1489,nCURSO,DATOS!$D1489,nESPEC,DATOS!$E1489,nASIG,DATOS!$I1489,nEVAL,"OR")=0))</f>
      </c>
      <c r="I1489">
        <f>IF(DATOS!$I1489="","",IFERROR(VLOOKUP(DATOS!$I1489,CONFIG_ASIGNATURAS!$B$2:$J$91,9,FALSE()),""))</f>
      </c>
    </row>
    <row r="1490">
      <c r="F1490">
        <f>IF(DATOS!$A1490="","",DATOS!$A1490&amp;"|"&amp;DATOS!$D1490&amp;"|"&amp;DATOS!$E1490&amp;"|"&amp;DATOS!$I1490)</f>
      </c>
      <c r="G1490">
        <f>IF(DATOS!$A1490="",0,IF(CONFIG_METADATA!$B$4&lt;&gt;"OR+EX",--(DATOS!$G1490=CONFIG_METADATA!$B$4),IF(DATOS!$G1490="EX",1,IF(DATOS!$G1490="OR",--(COUNTIFS(nNIA,DATOS!$A1490,nCURSO,DATOS!$D1490,nESPEC,DATOS!$E1490,nASIG,DATOS!$I1490,nEVAL,"EX")=0),0))))</f>
      </c>
      <c r="H1490">
        <f>IF(DATOS!$G1490&lt;&gt;"EX",0,--(COUNTIFS(nNIA,DATOS!$A1490,nCURSO,DATOS!$D1490,nESPEC,DATOS!$E1490,nASIG,DATOS!$I1490,nEVAL,"OR")=0))</f>
      </c>
      <c r="I1490">
        <f>IF(DATOS!$I1490="","",IFERROR(VLOOKUP(DATOS!$I1490,CONFIG_ASIGNATURAS!$B$2:$J$91,9,FALSE()),""))</f>
      </c>
    </row>
    <row r="1491">
      <c r="F1491">
        <f>IF(DATOS!$A1491="","",DATOS!$A1491&amp;"|"&amp;DATOS!$D1491&amp;"|"&amp;DATOS!$E1491&amp;"|"&amp;DATOS!$I1491)</f>
      </c>
      <c r="G1491">
        <f>IF(DATOS!$A1491="",0,IF(CONFIG_METADATA!$B$4&lt;&gt;"OR+EX",--(DATOS!$G1491=CONFIG_METADATA!$B$4),IF(DATOS!$G1491="EX",1,IF(DATOS!$G1491="OR",--(COUNTIFS(nNIA,DATOS!$A1491,nCURSO,DATOS!$D1491,nESPEC,DATOS!$E1491,nASIG,DATOS!$I1491,nEVAL,"EX")=0),0))))</f>
      </c>
      <c r="H1491">
        <f>IF(DATOS!$G1491&lt;&gt;"EX",0,--(COUNTIFS(nNIA,DATOS!$A1491,nCURSO,DATOS!$D1491,nESPEC,DATOS!$E1491,nASIG,DATOS!$I1491,nEVAL,"OR")=0))</f>
      </c>
      <c r="I1491">
        <f>IF(DATOS!$I1491="","",IFERROR(VLOOKUP(DATOS!$I1491,CONFIG_ASIGNATURAS!$B$2:$J$91,9,FALSE()),""))</f>
      </c>
    </row>
    <row r="1492">
      <c r="F1492">
        <f>IF(DATOS!$A1492="","",DATOS!$A1492&amp;"|"&amp;DATOS!$D1492&amp;"|"&amp;DATOS!$E1492&amp;"|"&amp;DATOS!$I1492)</f>
      </c>
      <c r="G1492">
        <f>IF(DATOS!$A1492="",0,IF(CONFIG_METADATA!$B$4&lt;&gt;"OR+EX",--(DATOS!$G1492=CONFIG_METADATA!$B$4),IF(DATOS!$G1492="EX",1,IF(DATOS!$G1492="OR",--(COUNTIFS(nNIA,DATOS!$A1492,nCURSO,DATOS!$D1492,nESPEC,DATOS!$E1492,nASIG,DATOS!$I1492,nEVAL,"EX")=0),0))))</f>
      </c>
      <c r="H1492">
        <f>IF(DATOS!$G1492&lt;&gt;"EX",0,--(COUNTIFS(nNIA,DATOS!$A1492,nCURSO,DATOS!$D1492,nESPEC,DATOS!$E1492,nASIG,DATOS!$I1492,nEVAL,"OR")=0))</f>
      </c>
      <c r="I1492">
        <f>IF(DATOS!$I1492="","",IFERROR(VLOOKUP(DATOS!$I1492,CONFIG_ASIGNATURAS!$B$2:$J$91,9,FALSE()),""))</f>
      </c>
    </row>
    <row r="1493">
      <c r="F1493">
        <f>IF(DATOS!$A1493="","",DATOS!$A1493&amp;"|"&amp;DATOS!$D1493&amp;"|"&amp;DATOS!$E1493&amp;"|"&amp;DATOS!$I1493)</f>
      </c>
      <c r="G1493">
        <f>IF(DATOS!$A1493="",0,IF(CONFIG_METADATA!$B$4&lt;&gt;"OR+EX",--(DATOS!$G1493=CONFIG_METADATA!$B$4),IF(DATOS!$G1493="EX",1,IF(DATOS!$G1493="OR",--(COUNTIFS(nNIA,DATOS!$A1493,nCURSO,DATOS!$D1493,nESPEC,DATOS!$E1493,nASIG,DATOS!$I1493,nEVAL,"EX")=0),0))))</f>
      </c>
      <c r="H1493">
        <f>IF(DATOS!$G1493&lt;&gt;"EX",0,--(COUNTIFS(nNIA,DATOS!$A1493,nCURSO,DATOS!$D1493,nESPEC,DATOS!$E1493,nASIG,DATOS!$I1493,nEVAL,"OR")=0))</f>
      </c>
      <c r="I1493">
        <f>IF(DATOS!$I1493="","",IFERROR(VLOOKUP(DATOS!$I1493,CONFIG_ASIGNATURAS!$B$2:$J$91,9,FALSE()),""))</f>
      </c>
    </row>
    <row r="1494">
      <c r="F1494">
        <f>IF(DATOS!$A1494="","",DATOS!$A1494&amp;"|"&amp;DATOS!$D1494&amp;"|"&amp;DATOS!$E1494&amp;"|"&amp;DATOS!$I1494)</f>
      </c>
      <c r="G1494">
        <f>IF(DATOS!$A1494="",0,IF(CONFIG_METADATA!$B$4&lt;&gt;"OR+EX",--(DATOS!$G1494=CONFIG_METADATA!$B$4),IF(DATOS!$G1494="EX",1,IF(DATOS!$G1494="OR",--(COUNTIFS(nNIA,DATOS!$A1494,nCURSO,DATOS!$D1494,nESPEC,DATOS!$E1494,nASIG,DATOS!$I1494,nEVAL,"EX")=0),0))))</f>
      </c>
      <c r="H1494">
        <f>IF(DATOS!$G1494&lt;&gt;"EX",0,--(COUNTIFS(nNIA,DATOS!$A1494,nCURSO,DATOS!$D1494,nESPEC,DATOS!$E1494,nASIG,DATOS!$I1494,nEVAL,"OR")=0))</f>
      </c>
      <c r="I1494">
        <f>IF(DATOS!$I1494="","",IFERROR(VLOOKUP(DATOS!$I1494,CONFIG_ASIGNATURAS!$B$2:$J$91,9,FALSE()),""))</f>
      </c>
    </row>
    <row r="1495">
      <c r="F1495">
        <f>IF(DATOS!$A1495="","",DATOS!$A1495&amp;"|"&amp;DATOS!$D1495&amp;"|"&amp;DATOS!$E1495&amp;"|"&amp;DATOS!$I1495)</f>
      </c>
      <c r="G1495">
        <f>IF(DATOS!$A1495="",0,IF(CONFIG_METADATA!$B$4&lt;&gt;"OR+EX",--(DATOS!$G1495=CONFIG_METADATA!$B$4),IF(DATOS!$G1495="EX",1,IF(DATOS!$G1495="OR",--(COUNTIFS(nNIA,DATOS!$A1495,nCURSO,DATOS!$D1495,nESPEC,DATOS!$E1495,nASIG,DATOS!$I1495,nEVAL,"EX")=0),0))))</f>
      </c>
      <c r="H1495">
        <f>IF(DATOS!$G1495&lt;&gt;"EX",0,--(COUNTIFS(nNIA,DATOS!$A1495,nCURSO,DATOS!$D1495,nESPEC,DATOS!$E1495,nASIG,DATOS!$I1495,nEVAL,"OR")=0))</f>
      </c>
      <c r="I1495">
        <f>IF(DATOS!$I1495="","",IFERROR(VLOOKUP(DATOS!$I1495,CONFIG_ASIGNATURAS!$B$2:$J$91,9,FALSE()),""))</f>
      </c>
    </row>
    <row r="1496">
      <c r="F1496">
        <f>IF(DATOS!$A1496="","",DATOS!$A1496&amp;"|"&amp;DATOS!$D1496&amp;"|"&amp;DATOS!$E1496&amp;"|"&amp;DATOS!$I1496)</f>
      </c>
      <c r="G1496">
        <f>IF(DATOS!$A1496="",0,IF(CONFIG_METADATA!$B$4&lt;&gt;"OR+EX",--(DATOS!$G1496=CONFIG_METADATA!$B$4),IF(DATOS!$G1496="EX",1,IF(DATOS!$G1496="OR",--(COUNTIFS(nNIA,DATOS!$A1496,nCURSO,DATOS!$D1496,nESPEC,DATOS!$E1496,nASIG,DATOS!$I1496,nEVAL,"EX")=0),0))))</f>
      </c>
      <c r="H1496">
        <f>IF(DATOS!$G1496&lt;&gt;"EX",0,--(COUNTIFS(nNIA,DATOS!$A1496,nCURSO,DATOS!$D1496,nESPEC,DATOS!$E1496,nASIG,DATOS!$I1496,nEVAL,"OR")=0))</f>
      </c>
      <c r="I1496">
        <f>IF(DATOS!$I1496="","",IFERROR(VLOOKUP(DATOS!$I1496,CONFIG_ASIGNATURAS!$B$2:$J$91,9,FALSE()),""))</f>
      </c>
    </row>
    <row r="1497">
      <c r="F1497">
        <f>IF(DATOS!$A1497="","",DATOS!$A1497&amp;"|"&amp;DATOS!$D1497&amp;"|"&amp;DATOS!$E1497&amp;"|"&amp;DATOS!$I1497)</f>
      </c>
      <c r="G1497">
        <f>IF(DATOS!$A1497="",0,IF(CONFIG_METADATA!$B$4&lt;&gt;"OR+EX",--(DATOS!$G1497=CONFIG_METADATA!$B$4),IF(DATOS!$G1497="EX",1,IF(DATOS!$G1497="OR",--(COUNTIFS(nNIA,DATOS!$A1497,nCURSO,DATOS!$D1497,nESPEC,DATOS!$E1497,nASIG,DATOS!$I1497,nEVAL,"EX")=0),0))))</f>
      </c>
      <c r="H1497">
        <f>IF(DATOS!$G1497&lt;&gt;"EX",0,--(COUNTIFS(nNIA,DATOS!$A1497,nCURSO,DATOS!$D1497,nESPEC,DATOS!$E1497,nASIG,DATOS!$I1497,nEVAL,"OR")=0))</f>
      </c>
      <c r="I1497">
        <f>IF(DATOS!$I1497="","",IFERROR(VLOOKUP(DATOS!$I1497,CONFIG_ASIGNATURAS!$B$2:$J$91,9,FALSE()),""))</f>
      </c>
    </row>
    <row r="1498">
      <c r="F1498">
        <f>IF(DATOS!$A1498="","",DATOS!$A1498&amp;"|"&amp;DATOS!$D1498&amp;"|"&amp;DATOS!$E1498&amp;"|"&amp;DATOS!$I1498)</f>
      </c>
      <c r="G1498">
        <f>IF(DATOS!$A1498="",0,IF(CONFIG_METADATA!$B$4&lt;&gt;"OR+EX",--(DATOS!$G1498=CONFIG_METADATA!$B$4),IF(DATOS!$G1498="EX",1,IF(DATOS!$G1498="OR",--(COUNTIFS(nNIA,DATOS!$A1498,nCURSO,DATOS!$D1498,nESPEC,DATOS!$E1498,nASIG,DATOS!$I1498,nEVAL,"EX")=0),0))))</f>
      </c>
      <c r="H1498">
        <f>IF(DATOS!$G1498&lt;&gt;"EX",0,--(COUNTIFS(nNIA,DATOS!$A1498,nCURSO,DATOS!$D1498,nESPEC,DATOS!$E1498,nASIG,DATOS!$I1498,nEVAL,"OR")=0))</f>
      </c>
      <c r="I1498">
        <f>IF(DATOS!$I1498="","",IFERROR(VLOOKUP(DATOS!$I1498,CONFIG_ASIGNATURAS!$B$2:$J$91,9,FALSE()),""))</f>
      </c>
    </row>
    <row r="1499">
      <c r="F1499">
        <f>IF(DATOS!$A1499="","",DATOS!$A1499&amp;"|"&amp;DATOS!$D1499&amp;"|"&amp;DATOS!$E1499&amp;"|"&amp;DATOS!$I1499)</f>
      </c>
      <c r="G1499">
        <f>IF(DATOS!$A1499="",0,IF(CONFIG_METADATA!$B$4&lt;&gt;"OR+EX",--(DATOS!$G1499=CONFIG_METADATA!$B$4),IF(DATOS!$G1499="EX",1,IF(DATOS!$G1499="OR",--(COUNTIFS(nNIA,DATOS!$A1499,nCURSO,DATOS!$D1499,nESPEC,DATOS!$E1499,nASIG,DATOS!$I1499,nEVAL,"EX")=0),0))))</f>
      </c>
      <c r="H1499">
        <f>IF(DATOS!$G1499&lt;&gt;"EX",0,--(COUNTIFS(nNIA,DATOS!$A1499,nCURSO,DATOS!$D1499,nESPEC,DATOS!$E1499,nASIG,DATOS!$I1499,nEVAL,"OR")=0))</f>
      </c>
      <c r="I1499">
        <f>IF(DATOS!$I1499="","",IFERROR(VLOOKUP(DATOS!$I1499,CONFIG_ASIGNATURAS!$B$2:$J$91,9,FALSE()),""))</f>
      </c>
    </row>
    <row r="1500">
      <c r="F1500">
        <f>IF(DATOS!$A1500="","",DATOS!$A1500&amp;"|"&amp;DATOS!$D1500&amp;"|"&amp;DATOS!$E1500&amp;"|"&amp;DATOS!$I1500)</f>
      </c>
      <c r="G1500">
        <f>IF(DATOS!$A1500="",0,IF(CONFIG_METADATA!$B$4&lt;&gt;"OR+EX",--(DATOS!$G1500=CONFIG_METADATA!$B$4),IF(DATOS!$G1500="EX",1,IF(DATOS!$G1500="OR",--(COUNTIFS(nNIA,DATOS!$A1500,nCURSO,DATOS!$D1500,nESPEC,DATOS!$E1500,nASIG,DATOS!$I1500,nEVAL,"EX")=0),0))))</f>
      </c>
      <c r="H1500">
        <f>IF(DATOS!$G1500&lt;&gt;"EX",0,--(COUNTIFS(nNIA,DATOS!$A1500,nCURSO,DATOS!$D1500,nESPEC,DATOS!$E1500,nASIG,DATOS!$I1500,nEVAL,"OR")=0))</f>
      </c>
      <c r="I1500">
        <f>IF(DATOS!$I1500="","",IFERROR(VLOOKUP(DATOS!$I1500,CONFIG_ASIGNATURAS!$B$2:$J$91,9,FALSE()),""))</f>
      </c>
    </row>
    <row r="1501">
      <c r="F1501">
        <f>IF(DATOS!$A1501="","",DATOS!$A1501&amp;"|"&amp;DATOS!$D1501&amp;"|"&amp;DATOS!$E1501&amp;"|"&amp;DATOS!$I1501)</f>
      </c>
      <c r="G1501">
        <f>IF(DATOS!$A1501="",0,IF(CONFIG_METADATA!$B$4&lt;&gt;"OR+EX",--(DATOS!$G1501=CONFIG_METADATA!$B$4),IF(DATOS!$G1501="EX",1,IF(DATOS!$G1501="OR",--(COUNTIFS(nNIA,DATOS!$A1501,nCURSO,DATOS!$D1501,nESPEC,DATOS!$E1501,nASIG,DATOS!$I1501,nEVAL,"EX")=0),0))))</f>
      </c>
      <c r="H1501">
        <f>IF(DATOS!$G1501&lt;&gt;"EX",0,--(COUNTIFS(nNIA,DATOS!$A1501,nCURSO,DATOS!$D1501,nESPEC,DATOS!$E1501,nASIG,DATOS!$I1501,nEVAL,"OR")=0))</f>
      </c>
      <c r="I1501">
        <f>IF(DATOS!$I1501="","",IFERROR(VLOOKUP(DATOS!$I1501,CONFIG_ASIGNATURAS!$B$2:$J$91,9,FALSE()),""))</f>
      </c>
    </row>
    <row r="1502">
      <c r="F1502">
        <f>IF(DATOS!$A1502="","",DATOS!$A1502&amp;"|"&amp;DATOS!$D1502&amp;"|"&amp;DATOS!$E1502&amp;"|"&amp;DATOS!$I1502)</f>
      </c>
      <c r="G1502">
        <f>IF(DATOS!$A1502="",0,IF(CONFIG_METADATA!$B$4&lt;&gt;"OR+EX",--(DATOS!$G1502=CONFIG_METADATA!$B$4),IF(DATOS!$G1502="EX",1,IF(DATOS!$G1502="OR",--(COUNTIFS(nNIA,DATOS!$A1502,nCURSO,DATOS!$D1502,nESPEC,DATOS!$E1502,nASIG,DATOS!$I1502,nEVAL,"EX")=0),0))))</f>
      </c>
      <c r="H1502">
        <f>IF(DATOS!$G1502&lt;&gt;"EX",0,--(COUNTIFS(nNIA,DATOS!$A1502,nCURSO,DATOS!$D1502,nESPEC,DATOS!$E1502,nASIG,DATOS!$I1502,nEVAL,"OR")=0))</f>
      </c>
      <c r="I1502">
        <f>IF(DATOS!$I1502="","",IFERROR(VLOOKUP(DATOS!$I1502,CONFIG_ASIGNATURAS!$B$2:$J$91,9,FALSE()),""))</f>
      </c>
    </row>
    <row r="1503">
      <c r="F1503">
        <f>IF(DATOS!$A1503="","",DATOS!$A1503&amp;"|"&amp;DATOS!$D1503&amp;"|"&amp;DATOS!$E1503&amp;"|"&amp;DATOS!$I1503)</f>
      </c>
      <c r="G1503">
        <f>IF(DATOS!$A1503="",0,IF(CONFIG_METADATA!$B$4&lt;&gt;"OR+EX",--(DATOS!$G1503=CONFIG_METADATA!$B$4),IF(DATOS!$G1503="EX",1,IF(DATOS!$G1503="OR",--(COUNTIFS(nNIA,DATOS!$A1503,nCURSO,DATOS!$D1503,nESPEC,DATOS!$E1503,nASIG,DATOS!$I1503,nEVAL,"EX")=0),0))))</f>
      </c>
      <c r="H1503">
        <f>IF(DATOS!$G1503&lt;&gt;"EX",0,--(COUNTIFS(nNIA,DATOS!$A1503,nCURSO,DATOS!$D1503,nESPEC,DATOS!$E1503,nASIG,DATOS!$I1503,nEVAL,"OR")=0))</f>
      </c>
      <c r="I1503">
        <f>IF(DATOS!$I1503="","",IFERROR(VLOOKUP(DATOS!$I1503,CONFIG_ASIGNATURAS!$B$2:$J$91,9,FALSE()),""))</f>
      </c>
    </row>
    <row r="1504">
      <c r="F1504">
        <f>IF(DATOS!$A1504="","",DATOS!$A1504&amp;"|"&amp;DATOS!$D1504&amp;"|"&amp;DATOS!$E1504&amp;"|"&amp;DATOS!$I1504)</f>
      </c>
      <c r="G1504">
        <f>IF(DATOS!$A1504="",0,IF(CONFIG_METADATA!$B$4&lt;&gt;"OR+EX",--(DATOS!$G1504=CONFIG_METADATA!$B$4),IF(DATOS!$G1504="EX",1,IF(DATOS!$G1504="OR",--(COUNTIFS(nNIA,DATOS!$A1504,nCURSO,DATOS!$D1504,nESPEC,DATOS!$E1504,nASIG,DATOS!$I1504,nEVAL,"EX")=0),0))))</f>
      </c>
      <c r="H1504">
        <f>IF(DATOS!$G1504&lt;&gt;"EX",0,--(COUNTIFS(nNIA,DATOS!$A1504,nCURSO,DATOS!$D1504,nESPEC,DATOS!$E1504,nASIG,DATOS!$I1504,nEVAL,"OR")=0))</f>
      </c>
      <c r="I1504">
        <f>IF(DATOS!$I1504="","",IFERROR(VLOOKUP(DATOS!$I1504,CONFIG_ASIGNATURAS!$B$2:$J$91,9,FALSE()),""))</f>
      </c>
    </row>
    <row r="1505">
      <c r="F1505">
        <f>IF(DATOS!$A1505="","",DATOS!$A1505&amp;"|"&amp;DATOS!$D1505&amp;"|"&amp;DATOS!$E1505&amp;"|"&amp;DATOS!$I1505)</f>
      </c>
      <c r="G1505">
        <f>IF(DATOS!$A1505="",0,IF(CONFIG_METADATA!$B$4&lt;&gt;"OR+EX",--(DATOS!$G1505=CONFIG_METADATA!$B$4),IF(DATOS!$G1505="EX",1,IF(DATOS!$G1505="OR",--(COUNTIFS(nNIA,DATOS!$A1505,nCURSO,DATOS!$D1505,nESPEC,DATOS!$E1505,nASIG,DATOS!$I1505,nEVAL,"EX")=0),0))))</f>
      </c>
      <c r="H1505">
        <f>IF(DATOS!$G1505&lt;&gt;"EX",0,--(COUNTIFS(nNIA,DATOS!$A1505,nCURSO,DATOS!$D1505,nESPEC,DATOS!$E1505,nASIG,DATOS!$I1505,nEVAL,"OR")=0))</f>
      </c>
      <c r="I1505">
        <f>IF(DATOS!$I1505="","",IFERROR(VLOOKUP(DATOS!$I1505,CONFIG_ASIGNATURAS!$B$2:$J$91,9,FALSE()),""))</f>
      </c>
    </row>
    <row r="1506">
      <c r="F1506">
        <f>IF(DATOS!$A1506="","",DATOS!$A1506&amp;"|"&amp;DATOS!$D1506&amp;"|"&amp;DATOS!$E1506&amp;"|"&amp;DATOS!$I1506)</f>
      </c>
      <c r="G1506">
        <f>IF(DATOS!$A1506="",0,IF(CONFIG_METADATA!$B$4&lt;&gt;"OR+EX",--(DATOS!$G1506=CONFIG_METADATA!$B$4),IF(DATOS!$G1506="EX",1,IF(DATOS!$G1506="OR",--(COUNTIFS(nNIA,DATOS!$A1506,nCURSO,DATOS!$D1506,nESPEC,DATOS!$E1506,nASIG,DATOS!$I1506,nEVAL,"EX")=0),0))))</f>
      </c>
      <c r="H1506">
        <f>IF(DATOS!$G1506&lt;&gt;"EX",0,--(COUNTIFS(nNIA,DATOS!$A1506,nCURSO,DATOS!$D1506,nESPEC,DATOS!$E1506,nASIG,DATOS!$I1506,nEVAL,"OR")=0))</f>
      </c>
      <c r="I1506">
        <f>IF(DATOS!$I1506="","",IFERROR(VLOOKUP(DATOS!$I1506,CONFIG_ASIGNATURAS!$B$2:$J$91,9,FALSE()),""))</f>
      </c>
    </row>
    <row r="1507">
      <c r="F1507">
        <f>IF(DATOS!$A1507="","",DATOS!$A1507&amp;"|"&amp;DATOS!$D1507&amp;"|"&amp;DATOS!$E1507&amp;"|"&amp;DATOS!$I1507)</f>
      </c>
      <c r="G1507">
        <f>IF(DATOS!$A1507="",0,IF(CONFIG_METADATA!$B$4&lt;&gt;"OR+EX",--(DATOS!$G1507=CONFIG_METADATA!$B$4),IF(DATOS!$G1507="EX",1,IF(DATOS!$G1507="OR",--(COUNTIFS(nNIA,DATOS!$A1507,nCURSO,DATOS!$D1507,nESPEC,DATOS!$E1507,nASIG,DATOS!$I1507,nEVAL,"EX")=0),0))))</f>
      </c>
      <c r="H1507">
        <f>IF(DATOS!$G1507&lt;&gt;"EX",0,--(COUNTIFS(nNIA,DATOS!$A1507,nCURSO,DATOS!$D1507,nESPEC,DATOS!$E1507,nASIG,DATOS!$I1507,nEVAL,"OR")=0))</f>
      </c>
      <c r="I1507">
        <f>IF(DATOS!$I1507="","",IFERROR(VLOOKUP(DATOS!$I1507,CONFIG_ASIGNATURAS!$B$2:$J$91,9,FALSE()),""))</f>
      </c>
    </row>
    <row r="1508">
      <c r="F1508">
        <f>IF(DATOS!$A1508="","",DATOS!$A1508&amp;"|"&amp;DATOS!$D1508&amp;"|"&amp;DATOS!$E1508&amp;"|"&amp;DATOS!$I1508)</f>
      </c>
      <c r="G1508">
        <f>IF(DATOS!$A1508="",0,IF(CONFIG_METADATA!$B$4&lt;&gt;"OR+EX",--(DATOS!$G1508=CONFIG_METADATA!$B$4),IF(DATOS!$G1508="EX",1,IF(DATOS!$G1508="OR",--(COUNTIFS(nNIA,DATOS!$A1508,nCURSO,DATOS!$D1508,nESPEC,DATOS!$E1508,nASIG,DATOS!$I1508,nEVAL,"EX")=0),0))))</f>
      </c>
      <c r="H1508">
        <f>IF(DATOS!$G1508&lt;&gt;"EX",0,--(COUNTIFS(nNIA,DATOS!$A1508,nCURSO,DATOS!$D1508,nESPEC,DATOS!$E1508,nASIG,DATOS!$I1508,nEVAL,"OR")=0))</f>
      </c>
      <c r="I1508">
        <f>IF(DATOS!$I1508="","",IFERROR(VLOOKUP(DATOS!$I1508,CONFIG_ASIGNATURAS!$B$2:$J$91,9,FALSE()),""))</f>
      </c>
    </row>
    <row r="1509">
      <c r="F1509">
        <f>IF(DATOS!$A1509="","",DATOS!$A1509&amp;"|"&amp;DATOS!$D1509&amp;"|"&amp;DATOS!$E1509&amp;"|"&amp;DATOS!$I1509)</f>
      </c>
      <c r="G1509">
        <f>IF(DATOS!$A1509="",0,IF(CONFIG_METADATA!$B$4&lt;&gt;"OR+EX",--(DATOS!$G1509=CONFIG_METADATA!$B$4),IF(DATOS!$G1509="EX",1,IF(DATOS!$G1509="OR",--(COUNTIFS(nNIA,DATOS!$A1509,nCURSO,DATOS!$D1509,nESPEC,DATOS!$E1509,nASIG,DATOS!$I1509,nEVAL,"EX")=0),0))))</f>
      </c>
      <c r="H1509">
        <f>IF(DATOS!$G1509&lt;&gt;"EX",0,--(COUNTIFS(nNIA,DATOS!$A1509,nCURSO,DATOS!$D1509,nESPEC,DATOS!$E1509,nASIG,DATOS!$I1509,nEVAL,"OR")=0))</f>
      </c>
      <c r="I1509">
        <f>IF(DATOS!$I1509="","",IFERROR(VLOOKUP(DATOS!$I1509,CONFIG_ASIGNATURAS!$B$2:$J$91,9,FALSE()),""))</f>
      </c>
    </row>
    <row r="1510">
      <c r="F1510">
        <f>IF(DATOS!$A1510="","",DATOS!$A1510&amp;"|"&amp;DATOS!$D1510&amp;"|"&amp;DATOS!$E1510&amp;"|"&amp;DATOS!$I1510)</f>
      </c>
      <c r="G1510">
        <f>IF(DATOS!$A1510="",0,IF(CONFIG_METADATA!$B$4&lt;&gt;"OR+EX",--(DATOS!$G1510=CONFIG_METADATA!$B$4),IF(DATOS!$G1510="EX",1,IF(DATOS!$G1510="OR",--(COUNTIFS(nNIA,DATOS!$A1510,nCURSO,DATOS!$D1510,nESPEC,DATOS!$E1510,nASIG,DATOS!$I1510,nEVAL,"EX")=0),0))))</f>
      </c>
      <c r="H1510">
        <f>IF(DATOS!$G1510&lt;&gt;"EX",0,--(COUNTIFS(nNIA,DATOS!$A1510,nCURSO,DATOS!$D1510,nESPEC,DATOS!$E1510,nASIG,DATOS!$I1510,nEVAL,"OR")=0))</f>
      </c>
      <c r="I1510">
        <f>IF(DATOS!$I1510="","",IFERROR(VLOOKUP(DATOS!$I1510,CONFIG_ASIGNATURAS!$B$2:$J$91,9,FALSE()),""))</f>
      </c>
    </row>
    <row r="1511">
      <c r="F1511">
        <f>IF(DATOS!$A1511="","",DATOS!$A1511&amp;"|"&amp;DATOS!$D1511&amp;"|"&amp;DATOS!$E1511&amp;"|"&amp;DATOS!$I1511)</f>
      </c>
      <c r="G1511">
        <f>IF(DATOS!$A1511="",0,IF(CONFIG_METADATA!$B$4&lt;&gt;"OR+EX",--(DATOS!$G1511=CONFIG_METADATA!$B$4),IF(DATOS!$G1511="EX",1,IF(DATOS!$G1511="OR",--(COUNTIFS(nNIA,DATOS!$A1511,nCURSO,DATOS!$D1511,nESPEC,DATOS!$E1511,nASIG,DATOS!$I1511,nEVAL,"EX")=0),0))))</f>
      </c>
      <c r="H1511">
        <f>IF(DATOS!$G1511&lt;&gt;"EX",0,--(COUNTIFS(nNIA,DATOS!$A1511,nCURSO,DATOS!$D1511,nESPEC,DATOS!$E1511,nASIG,DATOS!$I1511,nEVAL,"OR")=0))</f>
      </c>
      <c r="I1511">
        <f>IF(DATOS!$I1511="","",IFERROR(VLOOKUP(DATOS!$I1511,CONFIG_ASIGNATURAS!$B$2:$J$91,9,FALSE()),""))</f>
      </c>
    </row>
    <row r="1512">
      <c r="F1512">
        <f>IF(DATOS!$A1512="","",DATOS!$A1512&amp;"|"&amp;DATOS!$D1512&amp;"|"&amp;DATOS!$E1512&amp;"|"&amp;DATOS!$I1512)</f>
      </c>
      <c r="G1512">
        <f>IF(DATOS!$A1512="",0,IF(CONFIG_METADATA!$B$4&lt;&gt;"OR+EX",--(DATOS!$G1512=CONFIG_METADATA!$B$4),IF(DATOS!$G1512="EX",1,IF(DATOS!$G1512="OR",--(COUNTIFS(nNIA,DATOS!$A1512,nCURSO,DATOS!$D1512,nESPEC,DATOS!$E1512,nASIG,DATOS!$I1512,nEVAL,"EX")=0),0))))</f>
      </c>
      <c r="H1512">
        <f>IF(DATOS!$G1512&lt;&gt;"EX",0,--(COUNTIFS(nNIA,DATOS!$A1512,nCURSO,DATOS!$D1512,nESPEC,DATOS!$E1512,nASIG,DATOS!$I1512,nEVAL,"OR")=0))</f>
      </c>
      <c r="I1512">
        <f>IF(DATOS!$I1512="","",IFERROR(VLOOKUP(DATOS!$I1512,CONFIG_ASIGNATURAS!$B$2:$J$91,9,FALSE()),""))</f>
      </c>
    </row>
    <row r="1513">
      <c r="F1513">
        <f>IF(DATOS!$A1513="","",DATOS!$A1513&amp;"|"&amp;DATOS!$D1513&amp;"|"&amp;DATOS!$E1513&amp;"|"&amp;DATOS!$I1513)</f>
      </c>
      <c r="G1513">
        <f>IF(DATOS!$A1513="",0,IF(CONFIG_METADATA!$B$4&lt;&gt;"OR+EX",--(DATOS!$G1513=CONFIG_METADATA!$B$4),IF(DATOS!$G1513="EX",1,IF(DATOS!$G1513="OR",--(COUNTIFS(nNIA,DATOS!$A1513,nCURSO,DATOS!$D1513,nESPEC,DATOS!$E1513,nASIG,DATOS!$I1513,nEVAL,"EX")=0),0))))</f>
      </c>
      <c r="H1513">
        <f>IF(DATOS!$G1513&lt;&gt;"EX",0,--(COUNTIFS(nNIA,DATOS!$A1513,nCURSO,DATOS!$D1513,nESPEC,DATOS!$E1513,nASIG,DATOS!$I1513,nEVAL,"OR")=0))</f>
      </c>
      <c r="I1513">
        <f>IF(DATOS!$I1513="","",IFERROR(VLOOKUP(DATOS!$I1513,CONFIG_ASIGNATURAS!$B$2:$J$91,9,FALSE()),""))</f>
      </c>
    </row>
    <row r="1514">
      <c r="F1514">
        <f>IF(DATOS!$A1514="","",DATOS!$A1514&amp;"|"&amp;DATOS!$D1514&amp;"|"&amp;DATOS!$E1514&amp;"|"&amp;DATOS!$I1514)</f>
      </c>
      <c r="G1514">
        <f>IF(DATOS!$A1514="",0,IF(CONFIG_METADATA!$B$4&lt;&gt;"OR+EX",--(DATOS!$G1514=CONFIG_METADATA!$B$4),IF(DATOS!$G1514="EX",1,IF(DATOS!$G1514="OR",--(COUNTIFS(nNIA,DATOS!$A1514,nCURSO,DATOS!$D1514,nESPEC,DATOS!$E1514,nASIG,DATOS!$I1514,nEVAL,"EX")=0),0))))</f>
      </c>
      <c r="H1514">
        <f>IF(DATOS!$G1514&lt;&gt;"EX",0,--(COUNTIFS(nNIA,DATOS!$A1514,nCURSO,DATOS!$D1514,nESPEC,DATOS!$E1514,nASIG,DATOS!$I1514,nEVAL,"OR")=0))</f>
      </c>
      <c r="I1514">
        <f>IF(DATOS!$I1514="","",IFERROR(VLOOKUP(DATOS!$I1514,CONFIG_ASIGNATURAS!$B$2:$J$91,9,FALSE()),""))</f>
      </c>
    </row>
    <row r="1515">
      <c r="F1515">
        <f>IF(DATOS!$A1515="","",DATOS!$A1515&amp;"|"&amp;DATOS!$D1515&amp;"|"&amp;DATOS!$E1515&amp;"|"&amp;DATOS!$I1515)</f>
      </c>
      <c r="G1515">
        <f>IF(DATOS!$A1515="",0,IF(CONFIG_METADATA!$B$4&lt;&gt;"OR+EX",--(DATOS!$G1515=CONFIG_METADATA!$B$4),IF(DATOS!$G1515="EX",1,IF(DATOS!$G1515="OR",--(COUNTIFS(nNIA,DATOS!$A1515,nCURSO,DATOS!$D1515,nESPEC,DATOS!$E1515,nASIG,DATOS!$I1515,nEVAL,"EX")=0),0))))</f>
      </c>
      <c r="H1515">
        <f>IF(DATOS!$G1515&lt;&gt;"EX",0,--(COUNTIFS(nNIA,DATOS!$A1515,nCURSO,DATOS!$D1515,nESPEC,DATOS!$E1515,nASIG,DATOS!$I1515,nEVAL,"OR")=0))</f>
      </c>
      <c r="I1515">
        <f>IF(DATOS!$I1515="","",IFERROR(VLOOKUP(DATOS!$I1515,CONFIG_ASIGNATURAS!$B$2:$J$91,9,FALSE()),""))</f>
      </c>
    </row>
    <row r="1516">
      <c r="F1516">
        <f>IF(DATOS!$A1516="","",DATOS!$A1516&amp;"|"&amp;DATOS!$D1516&amp;"|"&amp;DATOS!$E1516&amp;"|"&amp;DATOS!$I1516)</f>
      </c>
      <c r="G1516">
        <f>IF(DATOS!$A1516="",0,IF(CONFIG_METADATA!$B$4&lt;&gt;"OR+EX",--(DATOS!$G1516=CONFIG_METADATA!$B$4),IF(DATOS!$G1516="EX",1,IF(DATOS!$G1516="OR",--(COUNTIFS(nNIA,DATOS!$A1516,nCURSO,DATOS!$D1516,nESPEC,DATOS!$E1516,nASIG,DATOS!$I1516,nEVAL,"EX")=0),0))))</f>
      </c>
      <c r="H1516">
        <f>IF(DATOS!$G1516&lt;&gt;"EX",0,--(COUNTIFS(nNIA,DATOS!$A1516,nCURSO,DATOS!$D1516,nESPEC,DATOS!$E1516,nASIG,DATOS!$I1516,nEVAL,"OR")=0))</f>
      </c>
      <c r="I1516">
        <f>IF(DATOS!$I1516="","",IFERROR(VLOOKUP(DATOS!$I1516,CONFIG_ASIGNATURAS!$B$2:$J$91,9,FALSE()),""))</f>
      </c>
    </row>
    <row r="1517">
      <c r="F1517">
        <f>IF(DATOS!$A1517="","",DATOS!$A1517&amp;"|"&amp;DATOS!$D1517&amp;"|"&amp;DATOS!$E1517&amp;"|"&amp;DATOS!$I1517)</f>
      </c>
      <c r="G1517">
        <f>IF(DATOS!$A1517="",0,IF(CONFIG_METADATA!$B$4&lt;&gt;"OR+EX",--(DATOS!$G1517=CONFIG_METADATA!$B$4),IF(DATOS!$G1517="EX",1,IF(DATOS!$G1517="OR",--(COUNTIFS(nNIA,DATOS!$A1517,nCURSO,DATOS!$D1517,nESPEC,DATOS!$E1517,nASIG,DATOS!$I1517,nEVAL,"EX")=0),0))))</f>
      </c>
      <c r="H1517">
        <f>IF(DATOS!$G1517&lt;&gt;"EX",0,--(COUNTIFS(nNIA,DATOS!$A1517,nCURSO,DATOS!$D1517,nESPEC,DATOS!$E1517,nASIG,DATOS!$I1517,nEVAL,"OR")=0))</f>
      </c>
      <c r="I1517">
        <f>IF(DATOS!$I1517="","",IFERROR(VLOOKUP(DATOS!$I1517,CONFIG_ASIGNATURAS!$B$2:$J$91,9,FALSE()),""))</f>
      </c>
    </row>
    <row r="1518">
      <c r="F1518">
        <f>IF(DATOS!$A1518="","",DATOS!$A1518&amp;"|"&amp;DATOS!$D1518&amp;"|"&amp;DATOS!$E1518&amp;"|"&amp;DATOS!$I1518)</f>
      </c>
      <c r="G1518">
        <f>IF(DATOS!$A1518="",0,IF(CONFIG_METADATA!$B$4&lt;&gt;"OR+EX",--(DATOS!$G1518=CONFIG_METADATA!$B$4),IF(DATOS!$G1518="EX",1,IF(DATOS!$G1518="OR",--(COUNTIFS(nNIA,DATOS!$A1518,nCURSO,DATOS!$D1518,nESPEC,DATOS!$E1518,nASIG,DATOS!$I1518,nEVAL,"EX")=0),0))))</f>
      </c>
      <c r="H1518">
        <f>IF(DATOS!$G1518&lt;&gt;"EX",0,--(COUNTIFS(nNIA,DATOS!$A1518,nCURSO,DATOS!$D1518,nESPEC,DATOS!$E1518,nASIG,DATOS!$I1518,nEVAL,"OR")=0))</f>
      </c>
      <c r="I1518">
        <f>IF(DATOS!$I1518="","",IFERROR(VLOOKUP(DATOS!$I1518,CONFIG_ASIGNATURAS!$B$2:$J$91,9,FALSE()),""))</f>
      </c>
    </row>
    <row r="1519">
      <c r="F1519">
        <f>IF(DATOS!$A1519="","",DATOS!$A1519&amp;"|"&amp;DATOS!$D1519&amp;"|"&amp;DATOS!$E1519&amp;"|"&amp;DATOS!$I1519)</f>
      </c>
      <c r="G1519">
        <f>IF(DATOS!$A1519="",0,IF(CONFIG_METADATA!$B$4&lt;&gt;"OR+EX",--(DATOS!$G1519=CONFIG_METADATA!$B$4),IF(DATOS!$G1519="EX",1,IF(DATOS!$G1519="OR",--(COUNTIFS(nNIA,DATOS!$A1519,nCURSO,DATOS!$D1519,nESPEC,DATOS!$E1519,nASIG,DATOS!$I1519,nEVAL,"EX")=0),0))))</f>
      </c>
      <c r="H1519">
        <f>IF(DATOS!$G1519&lt;&gt;"EX",0,--(COUNTIFS(nNIA,DATOS!$A1519,nCURSO,DATOS!$D1519,nESPEC,DATOS!$E1519,nASIG,DATOS!$I1519,nEVAL,"OR")=0))</f>
      </c>
      <c r="I1519">
        <f>IF(DATOS!$I1519="","",IFERROR(VLOOKUP(DATOS!$I1519,CONFIG_ASIGNATURAS!$B$2:$J$91,9,FALSE()),""))</f>
      </c>
    </row>
    <row r="1520">
      <c r="F1520">
        <f>IF(DATOS!$A1520="","",DATOS!$A1520&amp;"|"&amp;DATOS!$D1520&amp;"|"&amp;DATOS!$E1520&amp;"|"&amp;DATOS!$I1520)</f>
      </c>
      <c r="G1520">
        <f>IF(DATOS!$A1520="",0,IF(CONFIG_METADATA!$B$4&lt;&gt;"OR+EX",--(DATOS!$G1520=CONFIG_METADATA!$B$4),IF(DATOS!$G1520="EX",1,IF(DATOS!$G1520="OR",--(COUNTIFS(nNIA,DATOS!$A1520,nCURSO,DATOS!$D1520,nESPEC,DATOS!$E1520,nASIG,DATOS!$I1520,nEVAL,"EX")=0),0))))</f>
      </c>
      <c r="H1520">
        <f>IF(DATOS!$G1520&lt;&gt;"EX",0,--(COUNTIFS(nNIA,DATOS!$A1520,nCURSO,DATOS!$D1520,nESPEC,DATOS!$E1520,nASIG,DATOS!$I1520,nEVAL,"OR")=0))</f>
      </c>
      <c r="I1520">
        <f>IF(DATOS!$I1520="","",IFERROR(VLOOKUP(DATOS!$I1520,CONFIG_ASIGNATURAS!$B$2:$J$91,9,FALSE()),""))</f>
      </c>
    </row>
    <row r="1521">
      <c r="F1521">
        <f>IF(DATOS!$A1521="","",DATOS!$A1521&amp;"|"&amp;DATOS!$D1521&amp;"|"&amp;DATOS!$E1521&amp;"|"&amp;DATOS!$I1521)</f>
      </c>
      <c r="G1521">
        <f>IF(DATOS!$A1521="",0,IF(CONFIG_METADATA!$B$4&lt;&gt;"OR+EX",--(DATOS!$G1521=CONFIG_METADATA!$B$4),IF(DATOS!$G1521="EX",1,IF(DATOS!$G1521="OR",--(COUNTIFS(nNIA,DATOS!$A1521,nCURSO,DATOS!$D1521,nESPEC,DATOS!$E1521,nASIG,DATOS!$I1521,nEVAL,"EX")=0),0))))</f>
      </c>
      <c r="H1521">
        <f>IF(DATOS!$G1521&lt;&gt;"EX",0,--(COUNTIFS(nNIA,DATOS!$A1521,nCURSO,DATOS!$D1521,nESPEC,DATOS!$E1521,nASIG,DATOS!$I1521,nEVAL,"OR")=0))</f>
      </c>
      <c r="I1521">
        <f>IF(DATOS!$I1521="","",IFERROR(VLOOKUP(DATOS!$I1521,CONFIG_ASIGNATURAS!$B$2:$J$91,9,FALSE()),""))</f>
      </c>
    </row>
    <row r="1522">
      <c r="F1522">
        <f>IF(DATOS!$A1522="","",DATOS!$A1522&amp;"|"&amp;DATOS!$D1522&amp;"|"&amp;DATOS!$E1522&amp;"|"&amp;DATOS!$I1522)</f>
      </c>
      <c r="G1522">
        <f>IF(DATOS!$A1522="",0,IF(CONFIG_METADATA!$B$4&lt;&gt;"OR+EX",--(DATOS!$G1522=CONFIG_METADATA!$B$4),IF(DATOS!$G1522="EX",1,IF(DATOS!$G1522="OR",--(COUNTIFS(nNIA,DATOS!$A1522,nCURSO,DATOS!$D1522,nESPEC,DATOS!$E1522,nASIG,DATOS!$I1522,nEVAL,"EX")=0),0))))</f>
      </c>
      <c r="H1522">
        <f>IF(DATOS!$G1522&lt;&gt;"EX",0,--(COUNTIFS(nNIA,DATOS!$A1522,nCURSO,DATOS!$D1522,nESPEC,DATOS!$E1522,nASIG,DATOS!$I1522,nEVAL,"OR")=0))</f>
      </c>
      <c r="I1522">
        <f>IF(DATOS!$I1522="","",IFERROR(VLOOKUP(DATOS!$I1522,CONFIG_ASIGNATURAS!$B$2:$J$91,9,FALSE()),""))</f>
      </c>
    </row>
    <row r="1523">
      <c r="F1523">
        <f>IF(DATOS!$A1523="","",DATOS!$A1523&amp;"|"&amp;DATOS!$D1523&amp;"|"&amp;DATOS!$E1523&amp;"|"&amp;DATOS!$I1523)</f>
      </c>
      <c r="G1523">
        <f>IF(DATOS!$A1523="",0,IF(CONFIG_METADATA!$B$4&lt;&gt;"OR+EX",--(DATOS!$G1523=CONFIG_METADATA!$B$4),IF(DATOS!$G1523="EX",1,IF(DATOS!$G1523="OR",--(COUNTIFS(nNIA,DATOS!$A1523,nCURSO,DATOS!$D1523,nESPEC,DATOS!$E1523,nASIG,DATOS!$I1523,nEVAL,"EX")=0),0))))</f>
      </c>
      <c r="H1523">
        <f>IF(DATOS!$G1523&lt;&gt;"EX",0,--(COUNTIFS(nNIA,DATOS!$A1523,nCURSO,DATOS!$D1523,nESPEC,DATOS!$E1523,nASIG,DATOS!$I1523,nEVAL,"OR")=0))</f>
      </c>
      <c r="I1523">
        <f>IF(DATOS!$I1523="","",IFERROR(VLOOKUP(DATOS!$I1523,CONFIG_ASIGNATURAS!$B$2:$J$91,9,FALSE()),""))</f>
      </c>
    </row>
    <row r="1524">
      <c r="F1524">
        <f>IF(DATOS!$A1524="","",DATOS!$A1524&amp;"|"&amp;DATOS!$D1524&amp;"|"&amp;DATOS!$E1524&amp;"|"&amp;DATOS!$I1524)</f>
      </c>
      <c r="G1524">
        <f>IF(DATOS!$A1524="",0,IF(CONFIG_METADATA!$B$4&lt;&gt;"OR+EX",--(DATOS!$G1524=CONFIG_METADATA!$B$4),IF(DATOS!$G1524="EX",1,IF(DATOS!$G1524="OR",--(COUNTIFS(nNIA,DATOS!$A1524,nCURSO,DATOS!$D1524,nESPEC,DATOS!$E1524,nASIG,DATOS!$I1524,nEVAL,"EX")=0),0))))</f>
      </c>
      <c r="H1524">
        <f>IF(DATOS!$G1524&lt;&gt;"EX",0,--(COUNTIFS(nNIA,DATOS!$A1524,nCURSO,DATOS!$D1524,nESPEC,DATOS!$E1524,nASIG,DATOS!$I1524,nEVAL,"OR")=0))</f>
      </c>
      <c r="I1524">
        <f>IF(DATOS!$I1524="","",IFERROR(VLOOKUP(DATOS!$I1524,CONFIG_ASIGNATURAS!$B$2:$J$91,9,FALSE()),""))</f>
      </c>
    </row>
    <row r="1525">
      <c r="F1525">
        <f>IF(DATOS!$A1525="","",DATOS!$A1525&amp;"|"&amp;DATOS!$D1525&amp;"|"&amp;DATOS!$E1525&amp;"|"&amp;DATOS!$I1525)</f>
      </c>
      <c r="G1525">
        <f>IF(DATOS!$A1525="",0,IF(CONFIG_METADATA!$B$4&lt;&gt;"OR+EX",--(DATOS!$G1525=CONFIG_METADATA!$B$4),IF(DATOS!$G1525="EX",1,IF(DATOS!$G1525="OR",--(COUNTIFS(nNIA,DATOS!$A1525,nCURSO,DATOS!$D1525,nESPEC,DATOS!$E1525,nASIG,DATOS!$I1525,nEVAL,"EX")=0),0))))</f>
      </c>
      <c r="H1525">
        <f>IF(DATOS!$G1525&lt;&gt;"EX",0,--(COUNTIFS(nNIA,DATOS!$A1525,nCURSO,DATOS!$D1525,nESPEC,DATOS!$E1525,nASIG,DATOS!$I1525,nEVAL,"OR")=0))</f>
      </c>
      <c r="I1525">
        <f>IF(DATOS!$I1525="","",IFERROR(VLOOKUP(DATOS!$I1525,CONFIG_ASIGNATURAS!$B$2:$J$91,9,FALSE()),""))</f>
      </c>
    </row>
    <row r="1526">
      <c r="F1526">
        <f>IF(DATOS!$A1526="","",DATOS!$A1526&amp;"|"&amp;DATOS!$D1526&amp;"|"&amp;DATOS!$E1526&amp;"|"&amp;DATOS!$I1526)</f>
      </c>
      <c r="G1526">
        <f>IF(DATOS!$A1526="",0,IF(CONFIG_METADATA!$B$4&lt;&gt;"OR+EX",--(DATOS!$G1526=CONFIG_METADATA!$B$4),IF(DATOS!$G1526="EX",1,IF(DATOS!$G1526="OR",--(COUNTIFS(nNIA,DATOS!$A1526,nCURSO,DATOS!$D1526,nESPEC,DATOS!$E1526,nASIG,DATOS!$I1526,nEVAL,"EX")=0),0))))</f>
      </c>
      <c r="H1526">
        <f>IF(DATOS!$G1526&lt;&gt;"EX",0,--(COUNTIFS(nNIA,DATOS!$A1526,nCURSO,DATOS!$D1526,nESPEC,DATOS!$E1526,nASIG,DATOS!$I1526,nEVAL,"OR")=0))</f>
      </c>
      <c r="I1526">
        <f>IF(DATOS!$I1526="","",IFERROR(VLOOKUP(DATOS!$I1526,CONFIG_ASIGNATURAS!$B$2:$J$91,9,FALSE()),""))</f>
      </c>
    </row>
    <row r="1527">
      <c r="F1527">
        <f>IF(DATOS!$A1527="","",DATOS!$A1527&amp;"|"&amp;DATOS!$D1527&amp;"|"&amp;DATOS!$E1527&amp;"|"&amp;DATOS!$I1527)</f>
      </c>
      <c r="G1527">
        <f>IF(DATOS!$A1527="",0,IF(CONFIG_METADATA!$B$4&lt;&gt;"OR+EX",--(DATOS!$G1527=CONFIG_METADATA!$B$4),IF(DATOS!$G1527="EX",1,IF(DATOS!$G1527="OR",--(COUNTIFS(nNIA,DATOS!$A1527,nCURSO,DATOS!$D1527,nESPEC,DATOS!$E1527,nASIG,DATOS!$I1527,nEVAL,"EX")=0),0))))</f>
      </c>
      <c r="H1527">
        <f>IF(DATOS!$G1527&lt;&gt;"EX",0,--(COUNTIFS(nNIA,DATOS!$A1527,nCURSO,DATOS!$D1527,nESPEC,DATOS!$E1527,nASIG,DATOS!$I1527,nEVAL,"OR")=0))</f>
      </c>
      <c r="I1527">
        <f>IF(DATOS!$I1527="","",IFERROR(VLOOKUP(DATOS!$I1527,CONFIG_ASIGNATURAS!$B$2:$J$91,9,FALSE()),""))</f>
      </c>
    </row>
    <row r="1528">
      <c r="F1528">
        <f>IF(DATOS!$A1528="","",DATOS!$A1528&amp;"|"&amp;DATOS!$D1528&amp;"|"&amp;DATOS!$E1528&amp;"|"&amp;DATOS!$I1528)</f>
      </c>
      <c r="G1528">
        <f>IF(DATOS!$A1528="",0,IF(CONFIG_METADATA!$B$4&lt;&gt;"OR+EX",--(DATOS!$G1528=CONFIG_METADATA!$B$4),IF(DATOS!$G1528="EX",1,IF(DATOS!$G1528="OR",--(COUNTIFS(nNIA,DATOS!$A1528,nCURSO,DATOS!$D1528,nESPEC,DATOS!$E1528,nASIG,DATOS!$I1528,nEVAL,"EX")=0),0))))</f>
      </c>
      <c r="H1528">
        <f>IF(DATOS!$G1528&lt;&gt;"EX",0,--(COUNTIFS(nNIA,DATOS!$A1528,nCURSO,DATOS!$D1528,nESPEC,DATOS!$E1528,nASIG,DATOS!$I1528,nEVAL,"OR")=0))</f>
      </c>
      <c r="I1528">
        <f>IF(DATOS!$I1528="","",IFERROR(VLOOKUP(DATOS!$I1528,CONFIG_ASIGNATURAS!$B$2:$J$91,9,FALSE()),""))</f>
      </c>
    </row>
    <row r="1529">
      <c r="F1529">
        <f>IF(DATOS!$A1529="","",DATOS!$A1529&amp;"|"&amp;DATOS!$D1529&amp;"|"&amp;DATOS!$E1529&amp;"|"&amp;DATOS!$I1529)</f>
      </c>
      <c r="G1529">
        <f>IF(DATOS!$A1529="",0,IF(CONFIG_METADATA!$B$4&lt;&gt;"OR+EX",--(DATOS!$G1529=CONFIG_METADATA!$B$4),IF(DATOS!$G1529="EX",1,IF(DATOS!$G1529="OR",--(COUNTIFS(nNIA,DATOS!$A1529,nCURSO,DATOS!$D1529,nESPEC,DATOS!$E1529,nASIG,DATOS!$I1529,nEVAL,"EX")=0),0))))</f>
      </c>
      <c r="H1529">
        <f>IF(DATOS!$G1529&lt;&gt;"EX",0,--(COUNTIFS(nNIA,DATOS!$A1529,nCURSO,DATOS!$D1529,nESPEC,DATOS!$E1529,nASIG,DATOS!$I1529,nEVAL,"OR")=0))</f>
      </c>
      <c r="I1529">
        <f>IF(DATOS!$I1529="","",IFERROR(VLOOKUP(DATOS!$I1529,CONFIG_ASIGNATURAS!$B$2:$J$91,9,FALSE()),""))</f>
      </c>
    </row>
    <row r="1530">
      <c r="F1530">
        <f>IF(DATOS!$A1530="","",DATOS!$A1530&amp;"|"&amp;DATOS!$D1530&amp;"|"&amp;DATOS!$E1530&amp;"|"&amp;DATOS!$I1530)</f>
      </c>
      <c r="G1530">
        <f>IF(DATOS!$A1530="",0,IF(CONFIG_METADATA!$B$4&lt;&gt;"OR+EX",--(DATOS!$G1530=CONFIG_METADATA!$B$4),IF(DATOS!$G1530="EX",1,IF(DATOS!$G1530="OR",--(COUNTIFS(nNIA,DATOS!$A1530,nCURSO,DATOS!$D1530,nESPEC,DATOS!$E1530,nASIG,DATOS!$I1530,nEVAL,"EX")=0),0))))</f>
      </c>
      <c r="H1530">
        <f>IF(DATOS!$G1530&lt;&gt;"EX",0,--(COUNTIFS(nNIA,DATOS!$A1530,nCURSO,DATOS!$D1530,nESPEC,DATOS!$E1530,nASIG,DATOS!$I1530,nEVAL,"OR")=0))</f>
      </c>
      <c r="I1530">
        <f>IF(DATOS!$I1530="","",IFERROR(VLOOKUP(DATOS!$I1530,CONFIG_ASIGNATURAS!$B$2:$J$91,9,FALSE()),""))</f>
      </c>
    </row>
    <row r="1531">
      <c r="F1531">
        <f>IF(DATOS!$A1531="","",DATOS!$A1531&amp;"|"&amp;DATOS!$D1531&amp;"|"&amp;DATOS!$E1531&amp;"|"&amp;DATOS!$I1531)</f>
      </c>
      <c r="G1531">
        <f>IF(DATOS!$A1531="",0,IF(CONFIG_METADATA!$B$4&lt;&gt;"OR+EX",--(DATOS!$G1531=CONFIG_METADATA!$B$4),IF(DATOS!$G1531="EX",1,IF(DATOS!$G1531="OR",--(COUNTIFS(nNIA,DATOS!$A1531,nCURSO,DATOS!$D1531,nESPEC,DATOS!$E1531,nASIG,DATOS!$I1531,nEVAL,"EX")=0),0))))</f>
      </c>
      <c r="H1531">
        <f>IF(DATOS!$G1531&lt;&gt;"EX",0,--(COUNTIFS(nNIA,DATOS!$A1531,nCURSO,DATOS!$D1531,nESPEC,DATOS!$E1531,nASIG,DATOS!$I1531,nEVAL,"OR")=0))</f>
      </c>
      <c r="I1531">
        <f>IF(DATOS!$I1531="","",IFERROR(VLOOKUP(DATOS!$I1531,CONFIG_ASIGNATURAS!$B$2:$J$91,9,FALSE()),""))</f>
      </c>
    </row>
    <row r="1532">
      <c r="F1532">
        <f>IF(DATOS!$A1532="","",DATOS!$A1532&amp;"|"&amp;DATOS!$D1532&amp;"|"&amp;DATOS!$E1532&amp;"|"&amp;DATOS!$I1532)</f>
      </c>
      <c r="G1532">
        <f>IF(DATOS!$A1532="",0,IF(CONFIG_METADATA!$B$4&lt;&gt;"OR+EX",--(DATOS!$G1532=CONFIG_METADATA!$B$4),IF(DATOS!$G1532="EX",1,IF(DATOS!$G1532="OR",--(COUNTIFS(nNIA,DATOS!$A1532,nCURSO,DATOS!$D1532,nESPEC,DATOS!$E1532,nASIG,DATOS!$I1532,nEVAL,"EX")=0),0))))</f>
      </c>
      <c r="H1532">
        <f>IF(DATOS!$G1532&lt;&gt;"EX",0,--(COUNTIFS(nNIA,DATOS!$A1532,nCURSO,DATOS!$D1532,nESPEC,DATOS!$E1532,nASIG,DATOS!$I1532,nEVAL,"OR")=0))</f>
      </c>
      <c r="I1532">
        <f>IF(DATOS!$I1532="","",IFERROR(VLOOKUP(DATOS!$I1532,CONFIG_ASIGNATURAS!$B$2:$J$91,9,FALSE()),""))</f>
      </c>
    </row>
    <row r="1533">
      <c r="F1533">
        <f>IF(DATOS!$A1533="","",DATOS!$A1533&amp;"|"&amp;DATOS!$D1533&amp;"|"&amp;DATOS!$E1533&amp;"|"&amp;DATOS!$I1533)</f>
      </c>
      <c r="G1533">
        <f>IF(DATOS!$A1533="",0,IF(CONFIG_METADATA!$B$4&lt;&gt;"OR+EX",--(DATOS!$G1533=CONFIG_METADATA!$B$4),IF(DATOS!$G1533="EX",1,IF(DATOS!$G1533="OR",--(COUNTIFS(nNIA,DATOS!$A1533,nCURSO,DATOS!$D1533,nESPEC,DATOS!$E1533,nASIG,DATOS!$I1533,nEVAL,"EX")=0),0))))</f>
      </c>
      <c r="H1533">
        <f>IF(DATOS!$G1533&lt;&gt;"EX",0,--(COUNTIFS(nNIA,DATOS!$A1533,nCURSO,DATOS!$D1533,nESPEC,DATOS!$E1533,nASIG,DATOS!$I1533,nEVAL,"OR")=0))</f>
      </c>
      <c r="I1533">
        <f>IF(DATOS!$I1533="","",IFERROR(VLOOKUP(DATOS!$I1533,CONFIG_ASIGNATURAS!$B$2:$J$91,9,FALSE()),""))</f>
      </c>
    </row>
    <row r="1534">
      <c r="F1534">
        <f>IF(DATOS!$A1534="","",DATOS!$A1534&amp;"|"&amp;DATOS!$D1534&amp;"|"&amp;DATOS!$E1534&amp;"|"&amp;DATOS!$I1534)</f>
      </c>
      <c r="G1534">
        <f>IF(DATOS!$A1534="",0,IF(CONFIG_METADATA!$B$4&lt;&gt;"OR+EX",--(DATOS!$G1534=CONFIG_METADATA!$B$4),IF(DATOS!$G1534="EX",1,IF(DATOS!$G1534="OR",--(COUNTIFS(nNIA,DATOS!$A1534,nCURSO,DATOS!$D1534,nESPEC,DATOS!$E1534,nASIG,DATOS!$I1534,nEVAL,"EX")=0),0))))</f>
      </c>
      <c r="H1534">
        <f>IF(DATOS!$G1534&lt;&gt;"EX",0,--(COUNTIFS(nNIA,DATOS!$A1534,nCURSO,DATOS!$D1534,nESPEC,DATOS!$E1534,nASIG,DATOS!$I1534,nEVAL,"OR")=0))</f>
      </c>
      <c r="I1534">
        <f>IF(DATOS!$I1534="","",IFERROR(VLOOKUP(DATOS!$I1534,CONFIG_ASIGNATURAS!$B$2:$J$91,9,FALSE()),""))</f>
      </c>
    </row>
    <row r="1535">
      <c r="F1535">
        <f>IF(DATOS!$A1535="","",DATOS!$A1535&amp;"|"&amp;DATOS!$D1535&amp;"|"&amp;DATOS!$E1535&amp;"|"&amp;DATOS!$I1535)</f>
      </c>
      <c r="G1535">
        <f>IF(DATOS!$A1535="",0,IF(CONFIG_METADATA!$B$4&lt;&gt;"OR+EX",--(DATOS!$G1535=CONFIG_METADATA!$B$4),IF(DATOS!$G1535="EX",1,IF(DATOS!$G1535="OR",--(COUNTIFS(nNIA,DATOS!$A1535,nCURSO,DATOS!$D1535,nESPEC,DATOS!$E1535,nASIG,DATOS!$I1535,nEVAL,"EX")=0),0))))</f>
      </c>
      <c r="H1535">
        <f>IF(DATOS!$G1535&lt;&gt;"EX",0,--(COUNTIFS(nNIA,DATOS!$A1535,nCURSO,DATOS!$D1535,nESPEC,DATOS!$E1535,nASIG,DATOS!$I1535,nEVAL,"OR")=0))</f>
      </c>
      <c r="I1535">
        <f>IF(DATOS!$I1535="","",IFERROR(VLOOKUP(DATOS!$I1535,CONFIG_ASIGNATURAS!$B$2:$J$91,9,FALSE()),""))</f>
      </c>
    </row>
    <row r="1536">
      <c r="F1536">
        <f>IF(DATOS!$A1536="","",DATOS!$A1536&amp;"|"&amp;DATOS!$D1536&amp;"|"&amp;DATOS!$E1536&amp;"|"&amp;DATOS!$I1536)</f>
      </c>
      <c r="G1536">
        <f>IF(DATOS!$A1536="",0,IF(CONFIG_METADATA!$B$4&lt;&gt;"OR+EX",--(DATOS!$G1536=CONFIG_METADATA!$B$4),IF(DATOS!$G1536="EX",1,IF(DATOS!$G1536="OR",--(COUNTIFS(nNIA,DATOS!$A1536,nCURSO,DATOS!$D1536,nESPEC,DATOS!$E1536,nASIG,DATOS!$I1536,nEVAL,"EX")=0),0))))</f>
      </c>
      <c r="H1536">
        <f>IF(DATOS!$G1536&lt;&gt;"EX",0,--(COUNTIFS(nNIA,DATOS!$A1536,nCURSO,DATOS!$D1536,nESPEC,DATOS!$E1536,nASIG,DATOS!$I1536,nEVAL,"OR")=0))</f>
      </c>
      <c r="I1536">
        <f>IF(DATOS!$I1536="","",IFERROR(VLOOKUP(DATOS!$I1536,CONFIG_ASIGNATURAS!$B$2:$J$91,9,FALSE()),""))</f>
      </c>
    </row>
    <row r="1537">
      <c r="F1537">
        <f>IF(DATOS!$A1537="","",DATOS!$A1537&amp;"|"&amp;DATOS!$D1537&amp;"|"&amp;DATOS!$E1537&amp;"|"&amp;DATOS!$I1537)</f>
      </c>
      <c r="G1537">
        <f>IF(DATOS!$A1537="",0,IF(CONFIG_METADATA!$B$4&lt;&gt;"OR+EX",--(DATOS!$G1537=CONFIG_METADATA!$B$4),IF(DATOS!$G1537="EX",1,IF(DATOS!$G1537="OR",--(COUNTIFS(nNIA,DATOS!$A1537,nCURSO,DATOS!$D1537,nESPEC,DATOS!$E1537,nASIG,DATOS!$I1537,nEVAL,"EX")=0),0))))</f>
      </c>
      <c r="H1537">
        <f>IF(DATOS!$G1537&lt;&gt;"EX",0,--(COUNTIFS(nNIA,DATOS!$A1537,nCURSO,DATOS!$D1537,nESPEC,DATOS!$E1537,nASIG,DATOS!$I1537,nEVAL,"OR")=0))</f>
      </c>
      <c r="I1537">
        <f>IF(DATOS!$I1537="","",IFERROR(VLOOKUP(DATOS!$I1537,CONFIG_ASIGNATURAS!$B$2:$J$91,9,FALSE()),""))</f>
      </c>
    </row>
    <row r="1538">
      <c r="F1538">
        <f>IF(DATOS!$A1538="","",DATOS!$A1538&amp;"|"&amp;DATOS!$D1538&amp;"|"&amp;DATOS!$E1538&amp;"|"&amp;DATOS!$I1538)</f>
      </c>
      <c r="G1538">
        <f>IF(DATOS!$A1538="",0,IF(CONFIG_METADATA!$B$4&lt;&gt;"OR+EX",--(DATOS!$G1538=CONFIG_METADATA!$B$4),IF(DATOS!$G1538="EX",1,IF(DATOS!$G1538="OR",--(COUNTIFS(nNIA,DATOS!$A1538,nCURSO,DATOS!$D1538,nESPEC,DATOS!$E1538,nASIG,DATOS!$I1538,nEVAL,"EX")=0),0))))</f>
      </c>
      <c r="H1538">
        <f>IF(DATOS!$G1538&lt;&gt;"EX",0,--(COUNTIFS(nNIA,DATOS!$A1538,nCURSO,DATOS!$D1538,nESPEC,DATOS!$E1538,nASIG,DATOS!$I1538,nEVAL,"OR")=0))</f>
      </c>
      <c r="I1538">
        <f>IF(DATOS!$I1538="","",IFERROR(VLOOKUP(DATOS!$I1538,CONFIG_ASIGNATURAS!$B$2:$J$91,9,FALSE()),""))</f>
      </c>
    </row>
    <row r="1539">
      <c r="F1539">
        <f>IF(DATOS!$A1539="","",DATOS!$A1539&amp;"|"&amp;DATOS!$D1539&amp;"|"&amp;DATOS!$E1539&amp;"|"&amp;DATOS!$I1539)</f>
      </c>
      <c r="G1539">
        <f>IF(DATOS!$A1539="",0,IF(CONFIG_METADATA!$B$4&lt;&gt;"OR+EX",--(DATOS!$G1539=CONFIG_METADATA!$B$4),IF(DATOS!$G1539="EX",1,IF(DATOS!$G1539="OR",--(COUNTIFS(nNIA,DATOS!$A1539,nCURSO,DATOS!$D1539,nESPEC,DATOS!$E1539,nASIG,DATOS!$I1539,nEVAL,"EX")=0),0))))</f>
      </c>
      <c r="H1539">
        <f>IF(DATOS!$G1539&lt;&gt;"EX",0,--(COUNTIFS(nNIA,DATOS!$A1539,nCURSO,DATOS!$D1539,nESPEC,DATOS!$E1539,nASIG,DATOS!$I1539,nEVAL,"OR")=0))</f>
      </c>
      <c r="I1539">
        <f>IF(DATOS!$I1539="","",IFERROR(VLOOKUP(DATOS!$I1539,CONFIG_ASIGNATURAS!$B$2:$J$91,9,FALSE()),""))</f>
      </c>
    </row>
    <row r="1540">
      <c r="F1540">
        <f>IF(DATOS!$A1540="","",DATOS!$A1540&amp;"|"&amp;DATOS!$D1540&amp;"|"&amp;DATOS!$E1540&amp;"|"&amp;DATOS!$I1540)</f>
      </c>
      <c r="G1540">
        <f>IF(DATOS!$A1540="",0,IF(CONFIG_METADATA!$B$4&lt;&gt;"OR+EX",--(DATOS!$G1540=CONFIG_METADATA!$B$4),IF(DATOS!$G1540="EX",1,IF(DATOS!$G1540="OR",--(COUNTIFS(nNIA,DATOS!$A1540,nCURSO,DATOS!$D1540,nESPEC,DATOS!$E1540,nASIG,DATOS!$I1540,nEVAL,"EX")=0),0))))</f>
      </c>
      <c r="H1540">
        <f>IF(DATOS!$G1540&lt;&gt;"EX",0,--(COUNTIFS(nNIA,DATOS!$A1540,nCURSO,DATOS!$D1540,nESPEC,DATOS!$E1540,nASIG,DATOS!$I1540,nEVAL,"OR")=0))</f>
      </c>
      <c r="I1540">
        <f>IF(DATOS!$I1540="","",IFERROR(VLOOKUP(DATOS!$I1540,CONFIG_ASIGNATURAS!$B$2:$J$91,9,FALSE()),""))</f>
      </c>
    </row>
    <row r="1541">
      <c r="F1541">
        <f>IF(DATOS!$A1541="","",DATOS!$A1541&amp;"|"&amp;DATOS!$D1541&amp;"|"&amp;DATOS!$E1541&amp;"|"&amp;DATOS!$I1541)</f>
      </c>
      <c r="G1541">
        <f>IF(DATOS!$A1541="",0,IF(CONFIG_METADATA!$B$4&lt;&gt;"OR+EX",--(DATOS!$G1541=CONFIG_METADATA!$B$4),IF(DATOS!$G1541="EX",1,IF(DATOS!$G1541="OR",--(COUNTIFS(nNIA,DATOS!$A1541,nCURSO,DATOS!$D1541,nESPEC,DATOS!$E1541,nASIG,DATOS!$I1541,nEVAL,"EX")=0),0))))</f>
      </c>
      <c r="H1541">
        <f>IF(DATOS!$G1541&lt;&gt;"EX",0,--(COUNTIFS(nNIA,DATOS!$A1541,nCURSO,DATOS!$D1541,nESPEC,DATOS!$E1541,nASIG,DATOS!$I1541,nEVAL,"OR")=0))</f>
      </c>
      <c r="I1541">
        <f>IF(DATOS!$I1541="","",IFERROR(VLOOKUP(DATOS!$I1541,CONFIG_ASIGNATURAS!$B$2:$J$91,9,FALSE()),""))</f>
      </c>
    </row>
    <row r="1542">
      <c r="F1542">
        <f>IF(DATOS!$A1542="","",DATOS!$A1542&amp;"|"&amp;DATOS!$D1542&amp;"|"&amp;DATOS!$E1542&amp;"|"&amp;DATOS!$I1542)</f>
      </c>
      <c r="G1542">
        <f>IF(DATOS!$A1542="",0,IF(CONFIG_METADATA!$B$4&lt;&gt;"OR+EX",--(DATOS!$G1542=CONFIG_METADATA!$B$4),IF(DATOS!$G1542="EX",1,IF(DATOS!$G1542="OR",--(COUNTIFS(nNIA,DATOS!$A1542,nCURSO,DATOS!$D1542,nESPEC,DATOS!$E1542,nASIG,DATOS!$I1542,nEVAL,"EX")=0),0))))</f>
      </c>
      <c r="H1542">
        <f>IF(DATOS!$G1542&lt;&gt;"EX",0,--(COUNTIFS(nNIA,DATOS!$A1542,nCURSO,DATOS!$D1542,nESPEC,DATOS!$E1542,nASIG,DATOS!$I1542,nEVAL,"OR")=0))</f>
      </c>
      <c r="I1542">
        <f>IF(DATOS!$I1542="","",IFERROR(VLOOKUP(DATOS!$I1542,CONFIG_ASIGNATURAS!$B$2:$J$91,9,FALSE()),""))</f>
      </c>
    </row>
    <row r="1543">
      <c r="F1543">
        <f>IF(DATOS!$A1543="","",DATOS!$A1543&amp;"|"&amp;DATOS!$D1543&amp;"|"&amp;DATOS!$E1543&amp;"|"&amp;DATOS!$I1543)</f>
      </c>
      <c r="G1543">
        <f>IF(DATOS!$A1543="",0,IF(CONFIG_METADATA!$B$4&lt;&gt;"OR+EX",--(DATOS!$G1543=CONFIG_METADATA!$B$4),IF(DATOS!$G1543="EX",1,IF(DATOS!$G1543="OR",--(COUNTIFS(nNIA,DATOS!$A1543,nCURSO,DATOS!$D1543,nESPEC,DATOS!$E1543,nASIG,DATOS!$I1543,nEVAL,"EX")=0),0))))</f>
      </c>
      <c r="H1543">
        <f>IF(DATOS!$G1543&lt;&gt;"EX",0,--(COUNTIFS(nNIA,DATOS!$A1543,nCURSO,DATOS!$D1543,nESPEC,DATOS!$E1543,nASIG,DATOS!$I1543,nEVAL,"OR")=0))</f>
      </c>
      <c r="I1543">
        <f>IF(DATOS!$I1543="","",IFERROR(VLOOKUP(DATOS!$I1543,CONFIG_ASIGNATURAS!$B$2:$J$91,9,FALSE()),""))</f>
      </c>
    </row>
    <row r="1544">
      <c r="F1544">
        <f>IF(DATOS!$A1544="","",DATOS!$A1544&amp;"|"&amp;DATOS!$D1544&amp;"|"&amp;DATOS!$E1544&amp;"|"&amp;DATOS!$I1544)</f>
      </c>
      <c r="G1544">
        <f>IF(DATOS!$A1544="",0,IF(CONFIG_METADATA!$B$4&lt;&gt;"OR+EX",--(DATOS!$G1544=CONFIG_METADATA!$B$4),IF(DATOS!$G1544="EX",1,IF(DATOS!$G1544="OR",--(COUNTIFS(nNIA,DATOS!$A1544,nCURSO,DATOS!$D1544,nESPEC,DATOS!$E1544,nASIG,DATOS!$I1544,nEVAL,"EX")=0),0))))</f>
      </c>
      <c r="H1544">
        <f>IF(DATOS!$G1544&lt;&gt;"EX",0,--(COUNTIFS(nNIA,DATOS!$A1544,nCURSO,DATOS!$D1544,nESPEC,DATOS!$E1544,nASIG,DATOS!$I1544,nEVAL,"OR")=0))</f>
      </c>
      <c r="I1544">
        <f>IF(DATOS!$I1544="","",IFERROR(VLOOKUP(DATOS!$I1544,CONFIG_ASIGNATURAS!$B$2:$J$91,9,FALSE()),""))</f>
      </c>
    </row>
    <row r="1545">
      <c r="F1545">
        <f>IF(DATOS!$A1545="","",DATOS!$A1545&amp;"|"&amp;DATOS!$D1545&amp;"|"&amp;DATOS!$E1545&amp;"|"&amp;DATOS!$I1545)</f>
      </c>
      <c r="G1545">
        <f>IF(DATOS!$A1545="",0,IF(CONFIG_METADATA!$B$4&lt;&gt;"OR+EX",--(DATOS!$G1545=CONFIG_METADATA!$B$4),IF(DATOS!$G1545="EX",1,IF(DATOS!$G1545="OR",--(COUNTIFS(nNIA,DATOS!$A1545,nCURSO,DATOS!$D1545,nESPEC,DATOS!$E1545,nASIG,DATOS!$I1545,nEVAL,"EX")=0),0))))</f>
      </c>
      <c r="H1545">
        <f>IF(DATOS!$G1545&lt;&gt;"EX",0,--(COUNTIFS(nNIA,DATOS!$A1545,nCURSO,DATOS!$D1545,nESPEC,DATOS!$E1545,nASIG,DATOS!$I1545,nEVAL,"OR")=0))</f>
      </c>
      <c r="I1545">
        <f>IF(DATOS!$I1545="","",IFERROR(VLOOKUP(DATOS!$I1545,CONFIG_ASIGNATURAS!$B$2:$J$91,9,FALSE()),""))</f>
      </c>
    </row>
    <row r="1546">
      <c r="F1546">
        <f>IF(DATOS!$A1546="","",DATOS!$A1546&amp;"|"&amp;DATOS!$D1546&amp;"|"&amp;DATOS!$E1546&amp;"|"&amp;DATOS!$I1546)</f>
      </c>
      <c r="G1546">
        <f>IF(DATOS!$A1546="",0,IF(CONFIG_METADATA!$B$4&lt;&gt;"OR+EX",--(DATOS!$G1546=CONFIG_METADATA!$B$4),IF(DATOS!$G1546="EX",1,IF(DATOS!$G1546="OR",--(COUNTIFS(nNIA,DATOS!$A1546,nCURSO,DATOS!$D1546,nESPEC,DATOS!$E1546,nASIG,DATOS!$I1546,nEVAL,"EX")=0),0))))</f>
      </c>
      <c r="H1546">
        <f>IF(DATOS!$G1546&lt;&gt;"EX",0,--(COUNTIFS(nNIA,DATOS!$A1546,nCURSO,DATOS!$D1546,nESPEC,DATOS!$E1546,nASIG,DATOS!$I1546,nEVAL,"OR")=0))</f>
      </c>
      <c r="I1546">
        <f>IF(DATOS!$I1546="","",IFERROR(VLOOKUP(DATOS!$I1546,CONFIG_ASIGNATURAS!$B$2:$J$91,9,FALSE()),""))</f>
      </c>
    </row>
    <row r="1547">
      <c r="F1547">
        <f>IF(DATOS!$A1547="","",DATOS!$A1547&amp;"|"&amp;DATOS!$D1547&amp;"|"&amp;DATOS!$E1547&amp;"|"&amp;DATOS!$I1547)</f>
      </c>
      <c r="G1547">
        <f>IF(DATOS!$A1547="",0,IF(CONFIG_METADATA!$B$4&lt;&gt;"OR+EX",--(DATOS!$G1547=CONFIG_METADATA!$B$4),IF(DATOS!$G1547="EX",1,IF(DATOS!$G1547="OR",--(COUNTIFS(nNIA,DATOS!$A1547,nCURSO,DATOS!$D1547,nESPEC,DATOS!$E1547,nASIG,DATOS!$I1547,nEVAL,"EX")=0),0))))</f>
      </c>
      <c r="H1547">
        <f>IF(DATOS!$G1547&lt;&gt;"EX",0,--(COUNTIFS(nNIA,DATOS!$A1547,nCURSO,DATOS!$D1547,nESPEC,DATOS!$E1547,nASIG,DATOS!$I1547,nEVAL,"OR")=0))</f>
      </c>
      <c r="I1547">
        <f>IF(DATOS!$I1547="","",IFERROR(VLOOKUP(DATOS!$I1547,CONFIG_ASIGNATURAS!$B$2:$J$91,9,FALSE()),""))</f>
      </c>
    </row>
    <row r="1548">
      <c r="F1548">
        <f>IF(DATOS!$A1548="","",DATOS!$A1548&amp;"|"&amp;DATOS!$D1548&amp;"|"&amp;DATOS!$E1548&amp;"|"&amp;DATOS!$I1548)</f>
      </c>
      <c r="G1548">
        <f>IF(DATOS!$A1548="",0,IF(CONFIG_METADATA!$B$4&lt;&gt;"OR+EX",--(DATOS!$G1548=CONFIG_METADATA!$B$4),IF(DATOS!$G1548="EX",1,IF(DATOS!$G1548="OR",--(COUNTIFS(nNIA,DATOS!$A1548,nCURSO,DATOS!$D1548,nESPEC,DATOS!$E1548,nASIG,DATOS!$I1548,nEVAL,"EX")=0),0))))</f>
      </c>
      <c r="H1548">
        <f>IF(DATOS!$G1548&lt;&gt;"EX",0,--(COUNTIFS(nNIA,DATOS!$A1548,nCURSO,DATOS!$D1548,nESPEC,DATOS!$E1548,nASIG,DATOS!$I1548,nEVAL,"OR")=0))</f>
      </c>
      <c r="I1548">
        <f>IF(DATOS!$I1548="","",IFERROR(VLOOKUP(DATOS!$I1548,CONFIG_ASIGNATURAS!$B$2:$J$91,9,FALSE()),""))</f>
      </c>
    </row>
    <row r="1549">
      <c r="F1549">
        <f>IF(DATOS!$A1549="","",DATOS!$A1549&amp;"|"&amp;DATOS!$D1549&amp;"|"&amp;DATOS!$E1549&amp;"|"&amp;DATOS!$I1549)</f>
      </c>
      <c r="G1549">
        <f>IF(DATOS!$A1549="",0,IF(CONFIG_METADATA!$B$4&lt;&gt;"OR+EX",--(DATOS!$G1549=CONFIG_METADATA!$B$4),IF(DATOS!$G1549="EX",1,IF(DATOS!$G1549="OR",--(COUNTIFS(nNIA,DATOS!$A1549,nCURSO,DATOS!$D1549,nESPEC,DATOS!$E1549,nASIG,DATOS!$I1549,nEVAL,"EX")=0),0))))</f>
      </c>
      <c r="H1549">
        <f>IF(DATOS!$G1549&lt;&gt;"EX",0,--(COUNTIFS(nNIA,DATOS!$A1549,nCURSO,DATOS!$D1549,nESPEC,DATOS!$E1549,nASIG,DATOS!$I1549,nEVAL,"OR")=0))</f>
      </c>
      <c r="I1549">
        <f>IF(DATOS!$I1549="","",IFERROR(VLOOKUP(DATOS!$I1549,CONFIG_ASIGNATURAS!$B$2:$J$91,9,FALSE()),""))</f>
      </c>
    </row>
    <row r="1550">
      <c r="F1550">
        <f>IF(DATOS!$A1550="","",DATOS!$A1550&amp;"|"&amp;DATOS!$D1550&amp;"|"&amp;DATOS!$E1550&amp;"|"&amp;DATOS!$I1550)</f>
      </c>
      <c r="G1550">
        <f>IF(DATOS!$A1550="",0,IF(CONFIG_METADATA!$B$4&lt;&gt;"OR+EX",--(DATOS!$G1550=CONFIG_METADATA!$B$4),IF(DATOS!$G1550="EX",1,IF(DATOS!$G1550="OR",--(COUNTIFS(nNIA,DATOS!$A1550,nCURSO,DATOS!$D1550,nESPEC,DATOS!$E1550,nASIG,DATOS!$I1550,nEVAL,"EX")=0),0))))</f>
      </c>
      <c r="H1550">
        <f>IF(DATOS!$G1550&lt;&gt;"EX",0,--(COUNTIFS(nNIA,DATOS!$A1550,nCURSO,DATOS!$D1550,nESPEC,DATOS!$E1550,nASIG,DATOS!$I1550,nEVAL,"OR")=0))</f>
      </c>
      <c r="I1550">
        <f>IF(DATOS!$I1550="","",IFERROR(VLOOKUP(DATOS!$I1550,CONFIG_ASIGNATURAS!$B$2:$J$91,9,FALSE()),""))</f>
      </c>
    </row>
    <row r="1551">
      <c r="F1551">
        <f>IF(DATOS!$A1551="","",DATOS!$A1551&amp;"|"&amp;DATOS!$D1551&amp;"|"&amp;DATOS!$E1551&amp;"|"&amp;DATOS!$I1551)</f>
      </c>
      <c r="G1551">
        <f>IF(DATOS!$A1551="",0,IF(CONFIG_METADATA!$B$4&lt;&gt;"OR+EX",--(DATOS!$G1551=CONFIG_METADATA!$B$4),IF(DATOS!$G1551="EX",1,IF(DATOS!$G1551="OR",--(COUNTIFS(nNIA,DATOS!$A1551,nCURSO,DATOS!$D1551,nESPEC,DATOS!$E1551,nASIG,DATOS!$I1551,nEVAL,"EX")=0),0))))</f>
      </c>
      <c r="H1551">
        <f>IF(DATOS!$G1551&lt;&gt;"EX",0,--(COUNTIFS(nNIA,DATOS!$A1551,nCURSO,DATOS!$D1551,nESPEC,DATOS!$E1551,nASIG,DATOS!$I1551,nEVAL,"OR")=0))</f>
      </c>
      <c r="I1551">
        <f>IF(DATOS!$I1551="","",IFERROR(VLOOKUP(DATOS!$I1551,CONFIG_ASIGNATURAS!$B$2:$J$91,9,FALSE()),""))</f>
      </c>
    </row>
    <row r="1552">
      <c r="F1552">
        <f>IF(DATOS!$A1552="","",DATOS!$A1552&amp;"|"&amp;DATOS!$D1552&amp;"|"&amp;DATOS!$E1552&amp;"|"&amp;DATOS!$I1552)</f>
      </c>
      <c r="G1552">
        <f>IF(DATOS!$A1552="",0,IF(CONFIG_METADATA!$B$4&lt;&gt;"OR+EX",--(DATOS!$G1552=CONFIG_METADATA!$B$4),IF(DATOS!$G1552="EX",1,IF(DATOS!$G1552="OR",--(COUNTIFS(nNIA,DATOS!$A1552,nCURSO,DATOS!$D1552,nESPEC,DATOS!$E1552,nASIG,DATOS!$I1552,nEVAL,"EX")=0),0))))</f>
      </c>
      <c r="H1552">
        <f>IF(DATOS!$G1552&lt;&gt;"EX",0,--(COUNTIFS(nNIA,DATOS!$A1552,nCURSO,DATOS!$D1552,nESPEC,DATOS!$E1552,nASIG,DATOS!$I1552,nEVAL,"OR")=0))</f>
      </c>
      <c r="I1552">
        <f>IF(DATOS!$I1552="","",IFERROR(VLOOKUP(DATOS!$I1552,CONFIG_ASIGNATURAS!$B$2:$J$91,9,FALSE()),""))</f>
      </c>
    </row>
    <row r="1553">
      <c r="F1553">
        <f>IF(DATOS!$A1553="","",DATOS!$A1553&amp;"|"&amp;DATOS!$D1553&amp;"|"&amp;DATOS!$E1553&amp;"|"&amp;DATOS!$I1553)</f>
      </c>
      <c r="G1553">
        <f>IF(DATOS!$A1553="",0,IF(CONFIG_METADATA!$B$4&lt;&gt;"OR+EX",--(DATOS!$G1553=CONFIG_METADATA!$B$4),IF(DATOS!$G1553="EX",1,IF(DATOS!$G1553="OR",--(COUNTIFS(nNIA,DATOS!$A1553,nCURSO,DATOS!$D1553,nESPEC,DATOS!$E1553,nASIG,DATOS!$I1553,nEVAL,"EX")=0),0))))</f>
      </c>
      <c r="H1553">
        <f>IF(DATOS!$G1553&lt;&gt;"EX",0,--(COUNTIFS(nNIA,DATOS!$A1553,nCURSO,DATOS!$D1553,nESPEC,DATOS!$E1553,nASIG,DATOS!$I1553,nEVAL,"OR")=0))</f>
      </c>
      <c r="I1553">
        <f>IF(DATOS!$I1553="","",IFERROR(VLOOKUP(DATOS!$I1553,CONFIG_ASIGNATURAS!$B$2:$J$91,9,FALSE()),""))</f>
      </c>
    </row>
    <row r="1554">
      <c r="F1554">
        <f>IF(DATOS!$A1554="","",DATOS!$A1554&amp;"|"&amp;DATOS!$D1554&amp;"|"&amp;DATOS!$E1554&amp;"|"&amp;DATOS!$I1554)</f>
      </c>
      <c r="G1554">
        <f>IF(DATOS!$A1554="",0,IF(CONFIG_METADATA!$B$4&lt;&gt;"OR+EX",--(DATOS!$G1554=CONFIG_METADATA!$B$4),IF(DATOS!$G1554="EX",1,IF(DATOS!$G1554="OR",--(COUNTIFS(nNIA,DATOS!$A1554,nCURSO,DATOS!$D1554,nESPEC,DATOS!$E1554,nASIG,DATOS!$I1554,nEVAL,"EX")=0),0))))</f>
      </c>
      <c r="H1554">
        <f>IF(DATOS!$G1554&lt;&gt;"EX",0,--(COUNTIFS(nNIA,DATOS!$A1554,nCURSO,DATOS!$D1554,nESPEC,DATOS!$E1554,nASIG,DATOS!$I1554,nEVAL,"OR")=0))</f>
      </c>
      <c r="I1554">
        <f>IF(DATOS!$I1554="","",IFERROR(VLOOKUP(DATOS!$I1554,CONFIG_ASIGNATURAS!$B$2:$J$91,9,FALSE()),""))</f>
      </c>
    </row>
    <row r="1555">
      <c r="F1555">
        <f>IF(DATOS!$A1555="","",DATOS!$A1555&amp;"|"&amp;DATOS!$D1555&amp;"|"&amp;DATOS!$E1555&amp;"|"&amp;DATOS!$I1555)</f>
      </c>
      <c r="G1555">
        <f>IF(DATOS!$A1555="",0,IF(CONFIG_METADATA!$B$4&lt;&gt;"OR+EX",--(DATOS!$G1555=CONFIG_METADATA!$B$4),IF(DATOS!$G1555="EX",1,IF(DATOS!$G1555="OR",--(COUNTIFS(nNIA,DATOS!$A1555,nCURSO,DATOS!$D1555,nESPEC,DATOS!$E1555,nASIG,DATOS!$I1555,nEVAL,"EX")=0),0))))</f>
      </c>
      <c r="H1555">
        <f>IF(DATOS!$G1555&lt;&gt;"EX",0,--(COUNTIFS(nNIA,DATOS!$A1555,nCURSO,DATOS!$D1555,nESPEC,DATOS!$E1555,nASIG,DATOS!$I1555,nEVAL,"OR")=0))</f>
      </c>
      <c r="I1555">
        <f>IF(DATOS!$I1555="","",IFERROR(VLOOKUP(DATOS!$I1555,CONFIG_ASIGNATURAS!$B$2:$J$91,9,FALSE()),""))</f>
      </c>
    </row>
    <row r="1556">
      <c r="F1556">
        <f>IF(DATOS!$A1556="","",DATOS!$A1556&amp;"|"&amp;DATOS!$D1556&amp;"|"&amp;DATOS!$E1556&amp;"|"&amp;DATOS!$I1556)</f>
      </c>
      <c r="G1556">
        <f>IF(DATOS!$A1556="",0,IF(CONFIG_METADATA!$B$4&lt;&gt;"OR+EX",--(DATOS!$G1556=CONFIG_METADATA!$B$4),IF(DATOS!$G1556="EX",1,IF(DATOS!$G1556="OR",--(COUNTIFS(nNIA,DATOS!$A1556,nCURSO,DATOS!$D1556,nESPEC,DATOS!$E1556,nASIG,DATOS!$I1556,nEVAL,"EX")=0),0))))</f>
      </c>
      <c r="H1556">
        <f>IF(DATOS!$G1556&lt;&gt;"EX",0,--(COUNTIFS(nNIA,DATOS!$A1556,nCURSO,DATOS!$D1556,nESPEC,DATOS!$E1556,nASIG,DATOS!$I1556,nEVAL,"OR")=0))</f>
      </c>
      <c r="I1556">
        <f>IF(DATOS!$I1556="","",IFERROR(VLOOKUP(DATOS!$I1556,CONFIG_ASIGNATURAS!$B$2:$J$91,9,FALSE()),""))</f>
      </c>
    </row>
    <row r="1557">
      <c r="F1557">
        <f>IF(DATOS!$A1557="","",DATOS!$A1557&amp;"|"&amp;DATOS!$D1557&amp;"|"&amp;DATOS!$E1557&amp;"|"&amp;DATOS!$I1557)</f>
      </c>
      <c r="G1557">
        <f>IF(DATOS!$A1557="",0,IF(CONFIG_METADATA!$B$4&lt;&gt;"OR+EX",--(DATOS!$G1557=CONFIG_METADATA!$B$4),IF(DATOS!$G1557="EX",1,IF(DATOS!$G1557="OR",--(COUNTIFS(nNIA,DATOS!$A1557,nCURSO,DATOS!$D1557,nESPEC,DATOS!$E1557,nASIG,DATOS!$I1557,nEVAL,"EX")=0),0))))</f>
      </c>
      <c r="H1557">
        <f>IF(DATOS!$G1557&lt;&gt;"EX",0,--(COUNTIFS(nNIA,DATOS!$A1557,nCURSO,DATOS!$D1557,nESPEC,DATOS!$E1557,nASIG,DATOS!$I1557,nEVAL,"OR")=0))</f>
      </c>
      <c r="I1557">
        <f>IF(DATOS!$I1557="","",IFERROR(VLOOKUP(DATOS!$I1557,CONFIG_ASIGNATURAS!$B$2:$J$91,9,FALSE()),""))</f>
      </c>
    </row>
    <row r="1558">
      <c r="F1558">
        <f>IF(DATOS!$A1558="","",DATOS!$A1558&amp;"|"&amp;DATOS!$D1558&amp;"|"&amp;DATOS!$E1558&amp;"|"&amp;DATOS!$I1558)</f>
      </c>
      <c r="G1558">
        <f>IF(DATOS!$A1558="",0,IF(CONFIG_METADATA!$B$4&lt;&gt;"OR+EX",--(DATOS!$G1558=CONFIG_METADATA!$B$4),IF(DATOS!$G1558="EX",1,IF(DATOS!$G1558="OR",--(COUNTIFS(nNIA,DATOS!$A1558,nCURSO,DATOS!$D1558,nESPEC,DATOS!$E1558,nASIG,DATOS!$I1558,nEVAL,"EX")=0),0))))</f>
      </c>
      <c r="H1558">
        <f>IF(DATOS!$G1558&lt;&gt;"EX",0,--(COUNTIFS(nNIA,DATOS!$A1558,nCURSO,DATOS!$D1558,nESPEC,DATOS!$E1558,nASIG,DATOS!$I1558,nEVAL,"OR")=0))</f>
      </c>
      <c r="I1558">
        <f>IF(DATOS!$I1558="","",IFERROR(VLOOKUP(DATOS!$I1558,CONFIG_ASIGNATURAS!$B$2:$J$91,9,FALSE()),""))</f>
      </c>
    </row>
    <row r="1559">
      <c r="F1559">
        <f>IF(DATOS!$A1559="","",DATOS!$A1559&amp;"|"&amp;DATOS!$D1559&amp;"|"&amp;DATOS!$E1559&amp;"|"&amp;DATOS!$I1559)</f>
      </c>
      <c r="G1559">
        <f>IF(DATOS!$A1559="",0,IF(CONFIG_METADATA!$B$4&lt;&gt;"OR+EX",--(DATOS!$G1559=CONFIG_METADATA!$B$4),IF(DATOS!$G1559="EX",1,IF(DATOS!$G1559="OR",--(COUNTIFS(nNIA,DATOS!$A1559,nCURSO,DATOS!$D1559,nESPEC,DATOS!$E1559,nASIG,DATOS!$I1559,nEVAL,"EX")=0),0))))</f>
      </c>
      <c r="H1559">
        <f>IF(DATOS!$G1559&lt;&gt;"EX",0,--(COUNTIFS(nNIA,DATOS!$A1559,nCURSO,DATOS!$D1559,nESPEC,DATOS!$E1559,nASIG,DATOS!$I1559,nEVAL,"OR")=0))</f>
      </c>
      <c r="I1559">
        <f>IF(DATOS!$I1559="","",IFERROR(VLOOKUP(DATOS!$I1559,CONFIG_ASIGNATURAS!$B$2:$J$91,9,FALSE()),""))</f>
      </c>
    </row>
    <row r="1560">
      <c r="F1560">
        <f>IF(DATOS!$A1560="","",DATOS!$A1560&amp;"|"&amp;DATOS!$D1560&amp;"|"&amp;DATOS!$E1560&amp;"|"&amp;DATOS!$I1560)</f>
      </c>
      <c r="G1560">
        <f>IF(DATOS!$A1560="",0,IF(CONFIG_METADATA!$B$4&lt;&gt;"OR+EX",--(DATOS!$G1560=CONFIG_METADATA!$B$4),IF(DATOS!$G1560="EX",1,IF(DATOS!$G1560="OR",--(COUNTIFS(nNIA,DATOS!$A1560,nCURSO,DATOS!$D1560,nESPEC,DATOS!$E1560,nASIG,DATOS!$I1560,nEVAL,"EX")=0),0))))</f>
      </c>
      <c r="H1560">
        <f>IF(DATOS!$G1560&lt;&gt;"EX",0,--(COUNTIFS(nNIA,DATOS!$A1560,nCURSO,DATOS!$D1560,nESPEC,DATOS!$E1560,nASIG,DATOS!$I1560,nEVAL,"OR")=0))</f>
      </c>
      <c r="I1560">
        <f>IF(DATOS!$I1560="","",IFERROR(VLOOKUP(DATOS!$I1560,CONFIG_ASIGNATURAS!$B$2:$J$91,9,FALSE()),""))</f>
      </c>
    </row>
    <row r="1561">
      <c r="F1561">
        <f>IF(DATOS!$A1561="","",DATOS!$A1561&amp;"|"&amp;DATOS!$D1561&amp;"|"&amp;DATOS!$E1561&amp;"|"&amp;DATOS!$I1561)</f>
      </c>
      <c r="G1561">
        <f>IF(DATOS!$A1561="",0,IF(CONFIG_METADATA!$B$4&lt;&gt;"OR+EX",--(DATOS!$G1561=CONFIG_METADATA!$B$4),IF(DATOS!$G1561="EX",1,IF(DATOS!$G1561="OR",--(COUNTIFS(nNIA,DATOS!$A1561,nCURSO,DATOS!$D1561,nESPEC,DATOS!$E1561,nASIG,DATOS!$I1561,nEVAL,"EX")=0),0))))</f>
      </c>
      <c r="H1561">
        <f>IF(DATOS!$G1561&lt;&gt;"EX",0,--(COUNTIFS(nNIA,DATOS!$A1561,nCURSO,DATOS!$D1561,nESPEC,DATOS!$E1561,nASIG,DATOS!$I1561,nEVAL,"OR")=0))</f>
      </c>
      <c r="I1561">
        <f>IF(DATOS!$I1561="","",IFERROR(VLOOKUP(DATOS!$I1561,CONFIG_ASIGNATURAS!$B$2:$J$91,9,FALSE()),""))</f>
      </c>
    </row>
    <row r="1562">
      <c r="F1562">
        <f>IF(DATOS!$A1562="","",DATOS!$A1562&amp;"|"&amp;DATOS!$D1562&amp;"|"&amp;DATOS!$E1562&amp;"|"&amp;DATOS!$I1562)</f>
      </c>
      <c r="G1562">
        <f>IF(DATOS!$A1562="",0,IF(CONFIG_METADATA!$B$4&lt;&gt;"OR+EX",--(DATOS!$G1562=CONFIG_METADATA!$B$4),IF(DATOS!$G1562="EX",1,IF(DATOS!$G1562="OR",--(COUNTIFS(nNIA,DATOS!$A1562,nCURSO,DATOS!$D1562,nESPEC,DATOS!$E1562,nASIG,DATOS!$I1562,nEVAL,"EX")=0),0))))</f>
      </c>
      <c r="H1562">
        <f>IF(DATOS!$G1562&lt;&gt;"EX",0,--(COUNTIFS(nNIA,DATOS!$A1562,nCURSO,DATOS!$D1562,nESPEC,DATOS!$E1562,nASIG,DATOS!$I1562,nEVAL,"OR")=0))</f>
      </c>
      <c r="I1562">
        <f>IF(DATOS!$I1562="","",IFERROR(VLOOKUP(DATOS!$I1562,CONFIG_ASIGNATURAS!$B$2:$J$91,9,FALSE()),""))</f>
      </c>
    </row>
    <row r="1563">
      <c r="F1563">
        <f>IF(DATOS!$A1563="","",DATOS!$A1563&amp;"|"&amp;DATOS!$D1563&amp;"|"&amp;DATOS!$E1563&amp;"|"&amp;DATOS!$I1563)</f>
      </c>
      <c r="G1563">
        <f>IF(DATOS!$A1563="",0,IF(CONFIG_METADATA!$B$4&lt;&gt;"OR+EX",--(DATOS!$G1563=CONFIG_METADATA!$B$4),IF(DATOS!$G1563="EX",1,IF(DATOS!$G1563="OR",--(COUNTIFS(nNIA,DATOS!$A1563,nCURSO,DATOS!$D1563,nESPEC,DATOS!$E1563,nASIG,DATOS!$I1563,nEVAL,"EX")=0),0))))</f>
      </c>
      <c r="H1563">
        <f>IF(DATOS!$G1563&lt;&gt;"EX",0,--(COUNTIFS(nNIA,DATOS!$A1563,nCURSO,DATOS!$D1563,nESPEC,DATOS!$E1563,nASIG,DATOS!$I1563,nEVAL,"OR")=0))</f>
      </c>
      <c r="I1563">
        <f>IF(DATOS!$I1563="","",IFERROR(VLOOKUP(DATOS!$I1563,CONFIG_ASIGNATURAS!$B$2:$J$91,9,FALSE()),""))</f>
      </c>
    </row>
    <row r="1564">
      <c r="F1564">
        <f>IF(DATOS!$A1564="","",DATOS!$A1564&amp;"|"&amp;DATOS!$D1564&amp;"|"&amp;DATOS!$E1564&amp;"|"&amp;DATOS!$I1564)</f>
      </c>
      <c r="G1564">
        <f>IF(DATOS!$A1564="",0,IF(CONFIG_METADATA!$B$4&lt;&gt;"OR+EX",--(DATOS!$G1564=CONFIG_METADATA!$B$4),IF(DATOS!$G1564="EX",1,IF(DATOS!$G1564="OR",--(COUNTIFS(nNIA,DATOS!$A1564,nCURSO,DATOS!$D1564,nESPEC,DATOS!$E1564,nASIG,DATOS!$I1564,nEVAL,"EX")=0),0))))</f>
      </c>
      <c r="H1564">
        <f>IF(DATOS!$G1564&lt;&gt;"EX",0,--(COUNTIFS(nNIA,DATOS!$A1564,nCURSO,DATOS!$D1564,nESPEC,DATOS!$E1564,nASIG,DATOS!$I1564,nEVAL,"OR")=0))</f>
      </c>
      <c r="I1564">
        <f>IF(DATOS!$I1564="","",IFERROR(VLOOKUP(DATOS!$I1564,CONFIG_ASIGNATURAS!$B$2:$J$91,9,FALSE()),""))</f>
      </c>
    </row>
    <row r="1565">
      <c r="F1565">
        <f>IF(DATOS!$A1565="","",DATOS!$A1565&amp;"|"&amp;DATOS!$D1565&amp;"|"&amp;DATOS!$E1565&amp;"|"&amp;DATOS!$I1565)</f>
      </c>
      <c r="G1565">
        <f>IF(DATOS!$A1565="",0,IF(CONFIG_METADATA!$B$4&lt;&gt;"OR+EX",--(DATOS!$G1565=CONFIG_METADATA!$B$4),IF(DATOS!$G1565="EX",1,IF(DATOS!$G1565="OR",--(COUNTIFS(nNIA,DATOS!$A1565,nCURSO,DATOS!$D1565,nESPEC,DATOS!$E1565,nASIG,DATOS!$I1565,nEVAL,"EX")=0),0))))</f>
      </c>
      <c r="H1565">
        <f>IF(DATOS!$G1565&lt;&gt;"EX",0,--(COUNTIFS(nNIA,DATOS!$A1565,nCURSO,DATOS!$D1565,nESPEC,DATOS!$E1565,nASIG,DATOS!$I1565,nEVAL,"OR")=0))</f>
      </c>
      <c r="I1565">
        <f>IF(DATOS!$I1565="","",IFERROR(VLOOKUP(DATOS!$I1565,CONFIG_ASIGNATURAS!$B$2:$J$91,9,FALSE()),""))</f>
      </c>
    </row>
    <row r="1566">
      <c r="F1566">
        <f>IF(DATOS!$A1566="","",DATOS!$A1566&amp;"|"&amp;DATOS!$D1566&amp;"|"&amp;DATOS!$E1566&amp;"|"&amp;DATOS!$I1566)</f>
      </c>
      <c r="G1566">
        <f>IF(DATOS!$A1566="",0,IF(CONFIG_METADATA!$B$4&lt;&gt;"OR+EX",--(DATOS!$G1566=CONFIG_METADATA!$B$4),IF(DATOS!$G1566="EX",1,IF(DATOS!$G1566="OR",--(COUNTIFS(nNIA,DATOS!$A1566,nCURSO,DATOS!$D1566,nESPEC,DATOS!$E1566,nASIG,DATOS!$I1566,nEVAL,"EX")=0),0))))</f>
      </c>
      <c r="H1566">
        <f>IF(DATOS!$G1566&lt;&gt;"EX",0,--(COUNTIFS(nNIA,DATOS!$A1566,nCURSO,DATOS!$D1566,nESPEC,DATOS!$E1566,nASIG,DATOS!$I1566,nEVAL,"OR")=0))</f>
      </c>
      <c r="I1566">
        <f>IF(DATOS!$I1566="","",IFERROR(VLOOKUP(DATOS!$I1566,CONFIG_ASIGNATURAS!$B$2:$J$91,9,FALSE()),""))</f>
      </c>
    </row>
    <row r="1567">
      <c r="F1567">
        <f>IF(DATOS!$A1567="","",DATOS!$A1567&amp;"|"&amp;DATOS!$D1567&amp;"|"&amp;DATOS!$E1567&amp;"|"&amp;DATOS!$I1567)</f>
      </c>
      <c r="G1567">
        <f>IF(DATOS!$A1567="",0,IF(CONFIG_METADATA!$B$4&lt;&gt;"OR+EX",--(DATOS!$G1567=CONFIG_METADATA!$B$4),IF(DATOS!$G1567="EX",1,IF(DATOS!$G1567="OR",--(COUNTIFS(nNIA,DATOS!$A1567,nCURSO,DATOS!$D1567,nESPEC,DATOS!$E1567,nASIG,DATOS!$I1567,nEVAL,"EX")=0),0))))</f>
      </c>
      <c r="H1567">
        <f>IF(DATOS!$G1567&lt;&gt;"EX",0,--(COUNTIFS(nNIA,DATOS!$A1567,nCURSO,DATOS!$D1567,nESPEC,DATOS!$E1567,nASIG,DATOS!$I1567,nEVAL,"OR")=0))</f>
      </c>
      <c r="I1567">
        <f>IF(DATOS!$I1567="","",IFERROR(VLOOKUP(DATOS!$I1567,CONFIG_ASIGNATURAS!$B$2:$J$91,9,FALSE()),""))</f>
      </c>
    </row>
    <row r="1568">
      <c r="F1568">
        <f>IF(DATOS!$A1568="","",DATOS!$A1568&amp;"|"&amp;DATOS!$D1568&amp;"|"&amp;DATOS!$E1568&amp;"|"&amp;DATOS!$I1568)</f>
      </c>
      <c r="G1568">
        <f>IF(DATOS!$A1568="",0,IF(CONFIG_METADATA!$B$4&lt;&gt;"OR+EX",--(DATOS!$G1568=CONFIG_METADATA!$B$4),IF(DATOS!$G1568="EX",1,IF(DATOS!$G1568="OR",--(COUNTIFS(nNIA,DATOS!$A1568,nCURSO,DATOS!$D1568,nESPEC,DATOS!$E1568,nASIG,DATOS!$I1568,nEVAL,"EX")=0),0))))</f>
      </c>
      <c r="H1568">
        <f>IF(DATOS!$G1568&lt;&gt;"EX",0,--(COUNTIFS(nNIA,DATOS!$A1568,nCURSO,DATOS!$D1568,nESPEC,DATOS!$E1568,nASIG,DATOS!$I1568,nEVAL,"OR")=0))</f>
      </c>
      <c r="I1568">
        <f>IF(DATOS!$I1568="","",IFERROR(VLOOKUP(DATOS!$I1568,CONFIG_ASIGNATURAS!$B$2:$J$91,9,FALSE()),""))</f>
      </c>
    </row>
    <row r="1569">
      <c r="F1569">
        <f>IF(DATOS!$A1569="","",DATOS!$A1569&amp;"|"&amp;DATOS!$D1569&amp;"|"&amp;DATOS!$E1569&amp;"|"&amp;DATOS!$I1569)</f>
      </c>
      <c r="G1569">
        <f>IF(DATOS!$A1569="",0,IF(CONFIG_METADATA!$B$4&lt;&gt;"OR+EX",--(DATOS!$G1569=CONFIG_METADATA!$B$4),IF(DATOS!$G1569="EX",1,IF(DATOS!$G1569="OR",--(COUNTIFS(nNIA,DATOS!$A1569,nCURSO,DATOS!$D1569,nESPEC,DATOS!$E1569,nASIG,DATOS!$I1569,nEVAL,"EX")=0),0))))</f>
      </c>
      <c r="H1569">
        <f>IF(DATOS!$G1569&lt;&gt;"EX",0,--(COUNTIFS(nNIA,DATOS!$A1569,nCURSO,DATOS!$D1569,nESPEC,DATOS!$E1569,nASIG,DATOS!$I1569,nEVAL,"OR")=0))</f>
      </c>
      <c r="I1569">
        <f>IF(DATOS!$I1569="","",IFERROR(VLOOKUP(DATOS!$I1569,CONFIG_ASIGNATURAS!$B$2:$J$91,9,FALSE()),""))</f>
      </c>
    </row>
    <row r="1570">
      <c r="F1570">
        <f>IF(DATOS!$A1570="","",DATOS!$A1570&amp;"|"&amp;DATOS!$D1570&amp;"|"&amp;DATOS!$E1570&amp;"|"&amp;DATOS!$I1570)</f>
      </c>
      <c r="G1570">
        <f>IF(DATOS!$A1570="",0,IF(CONFIG_METADATA!$B$4&lt;&gt;"OR+EX",--(DATOS!$G1570=CONFIG_METADATA!$B$4),IF(DATOS!$G1570="EX",1,IF(DATOS!$G1570="OR",--(COUNTIFS(nNIA,DATOS!$A1570,nCURSO,DATOS!$D1570,nESPEC,DATOS!$E1570,nASIG,DATOS!$I1570,nEVAL,"EX")=0),0))))</f>
      </c>
      <c r="H1570">
        <f>IF(DATOS!$G1570&lt;&gt;"EX",0,--(COUNTIFS(nNIA,DATOS!$A1570,nCURSO,DATOS!$D1570,nESPEC,DATOS!$E1570,nASIG,DATOS!$I1570,nEVAL,"OR")=0))</f>
      </c>
      <c r="I1570">
        <f>IF(DATOS!$I1570="","",IFERROR(VLOOKUP(DATOS!$I1570,CONFIG_ASIGNATURAS!$B$2:$J$91,9,FALSE()),""))</f>
      </c>
    </row>
    <row r="1571">
      <c r="F1571">
        <f>IF(DATOS!$A1571="","",DATOS!$A1571&amp;"|"&amp;DATOS!$D1571&amp;"|"&amp;DATOS!$E1571&amp;"|"&amp;DATOS!$I1571)</f>
      </c>
      <c r="G1571">
        <f>IF(DATOS!$A1571="",0,IF(CONFIG_METADATA!$B$4&lt;&gt;"OR+EX",--(DATOS!$G1571=CONFIG_METADATA!$B$4),IF(DATOS!$G1571="EX",1,IF(DATOS!$G1571="OR",--(COUNTIFS(nNIA,DATOS!$A1571,nCURSO,DATOS!$D1571,nESPEC,DATOS!$E1571,nASIG,DATOS!$I1571,nEVAL,"EX")=0),0))))</f>
      </c>
      <c r="H1571">
        <f>IF(DATOS!$G1571&lt;&gt;"EX",0,--(COUNTIFS(nNIA,DATOS!$A1571,nCURSO,DATOS!$D1571,nESPEC,DATOS!$E1571,nASIG,DATOS!$I1571,nEVAL,"OR")=0))</f>
      </c>
      <c r="I1571">
        <f>IF(DATOS!$I1571="","",IFERROR(VLOOKUP(DATOS!$I1571,CONFIG_ASIGNATURAS!$B$2:$J$91,9,FALSE()),""))</f>
      </c>
    </row>
    <row r="1572">
      <c r="F1572">
        <f>IF(DATOS!$A1572="","",DATOS!$A1572&amp;"|"&amp;DATOS!$D1572&amp;"|"&amp;DATOS!$E1572&amp;"|"&amp;DATOS!$I1572)</f>
      </c>
      <c r="G1572">
        <f>IF(DATOS!$A1572="",0,IF(CONFIG_METADATA!$B$4&lt;&gt;"OR+EX",--(DATOS!$G1572=CONFIG_METADATA!$B$4),IF(DATOS!$G1572="EX",1,IF(DATOS!$G1572="OR",--(COUNTIFS(nNIA,DATOS!$A1572,nCURSO,DATOS!$D1572,nESPEC,DATOS!$E1572,nASIG,DATOS!$I1572,nEVAL,"EX")=0),0))))</f>
      </c>
      <c r="H1572">
        <f>IF(DATOS!$G1572&lt;&gt;"EX",0,--(COUNTIFS(nNIA,DATOS!$A1572,nCURSO,DATOS!$D1572,nESPEC,DATOS!$E1572,nASIG,DATOS!$I1572,nEVAL,"OR")=0))</f>
      </c>
      <c r="I1572">
        <f>IF(DATOS!$I1572="","",IFERROR(VLOOKUP(DATOS!$I1572,CONFIG_ASIGNATURAS!$B$2:$J$91,9,FALSE()),""))</f>
      </c>
    </row>
    <row r="1573">
      <c r="F1573">
        <f>IF(DATOS!$A1573="","",DATOS!$A1573&amp;"|"&amp;DATOS!$D1573&amp;"|"&amp;DATOS!$E1573&amp;"|"&amp;DATOS!$I1573)</f>
      </c>
      <c r="G1573">
        <f>IF(DATOS!$A1573="",0,IF(CONFIG_METADATA!$B$4&lt;&gt;"OR+EX",--(DATOS!$G1573=CONFIG_METADATA!$B$4),IF(DATOS!$G1573="EX",1,IF(DATOS!$G1573="OR",--(COUNTIFS(nNIA,DATOS!$A1573,nCURSO,DATOS!$D1573,nESPEC,DATOS!$E1573,nASIG,DATOS!$I1573,nEVAL,"EX")=0),0))))</f>
      </c>
      <c r="H1573">
        <f>IF(DATOS!$G1573&lt;&gt;"EX",0,--(COUNTIFS(nNIA,DATOS!$A1573,nCURSO,DATOS!$D1573,nESPEC,DATOS!$E1573,nASIG,DATOS!$I1573,nEVAL,"OR")=0))</f>
      </c>
      <c r="I1573">
        <f>IF(DATOS!$I1573="","",IFERROR(VLOOKUP(DATOS!$I1573,CONFIG_ASIGNATURAS!$B$2:$J$91,9,FALSE()),""))</f>
      </c>
    </row>
    <row r="1574">
      <c r="F1574">
        <f>IF(DATOS!$A1574="","",DATOS!$A1574&amp;"|"&amp;DATOS!$D1574&amp;"|"&amp;DATOS!$E1574&amp;"|"&amp;DATOS!$I1574)</f>
      </c>
      <c r="G1574">
        <f>IF(DATOS!$A1574="",0,IF(CONFIG_METADATA!$B$4&lt;&gt;"OR+EX",--(DATOS!$G1574=CONFIG_METADATA!$B$4),IF(DATOS!$G1574="EX",1,IF(DATOS!$G1574="OR",--(COUNTIFS(nNIA,DATOS!$A1574,nCURSO,DATOS!$D1574,nESPEC,DATOS!$E1574,nASIG,DATOS!$I1574,nEVAL,"EX")=0),0))))</f>
      </c>
      <c r="H1574">
        <f>IF(DATOS!$G1574&lt;&gt;"EX",0,--(COUNTIFS(nNIA,DATOS!$A1574,nCURSO,DATOS!$D1574,nESPEC,DATOS!$E1574,nASIG,DATOS!$I1574,nEVAL,"OR")=0))</f>
      </c>
      <c r="I1574">
        <f>IF(DATOS!$I1574="","",IFERROR(VLOOKUP(DATOS!$I1574,CONFIG_ASIGNATURAS!$B$2:$J$91,9,FALSE()),""))</f>
      </c>
    </row>
    <row r="1575">
      <c r="F1575">
        <f>IF(DATOS!$A1575="","",DATOS!$A1575&amp;"|"&amp;DATOS!$D1575&amp;"|"&amp;DATOS!$E1575&amp;"|"&amp;DATOS!$I1575)</f>
      </c>
      <c r="G1575">
        <f>IF(DATOS!$A1575="",0,IF(CONFIG_METADATA!$B$4&lt;&gt;"OR+EX",--(DATOS!$G1575=CONFIG_METADATA!$B$4),IF(DATOS!$G1575="EX",1,IF(DATOS!$G1575="OR",--(COUNTIFS(nNIA,DATOS!$A1575,nCURSO,DATOS!$D1575,nESPEC,DATOS!$E1575,nASIG,DATOS!$I1575,nEVAL,"EX")=0),0))))</f>
      </c>
      <c r="H1575">
        <f>IF(DATOS!$G1575&lt;&gt;"EX",0,--(COUNTIFS(nNIA,DATOS!$A1575,nCURSO,DATOS!$D1575,nESPEC,DATOS!$E1575,nASIG,DATOS!$I1575,nEVAL,"OR")=0))</f>
      </c>
      <c r="I1575">
        <f>IF(DATOS!$I1575="","",IFERROR(VLOOKUP(DATOS!$I1575,CONFIG_ASIGNATURAS!$B$2:$J$91,9,FALSE()),""))</f>
      </c>
    </row>
    <row r="1576">
      <c r="F1576">
        <f>IF(DATOS!$A1576="","",DATOS!$A1576&amp;"|"&amp;DATOS!$D1576&amp;"|"&amp;DATOS!$E1576&amp;"|"&amp;DATOS!$I1576)</f>
      </c>
      <c r="G1576">
        <f>IF(DATOS!$A1576="",0,IF(CONFIG_METADATA!$B$4&lt;&gt;"OR+EX",--(DATOS!$G1576=CONFIG_METADATA!$B$4),IF(DATOS!$G1576="EX",1,IF(DATOS!$G1576="OR",--(COUNTIFS(nNIA,DATOS!$A1576,nCURSO,DATOS!$D1576,nESPEC,DATOS!$E1576,nASIG,DATOS!$I1576,nEVAL,"EX")=0),0))))</f>
      </c>
      <c r="H1576">
        <f>IF(DATOS!$G1576&lt;&gt;"EX",0,--(COUNTIFS(nNIA,DATOS!$A1576,nCURSO,DATOS!$D1576,nESPEC,DATOS!$E1576,nASIG,DATOS!$I1576,nEVAL,"OR")=0))</f>
      </c>
      <c r="I1576">
        <f>IF(DATOS!$I1576="","",IFERROR(VLOOKUP(DATOS!$I1576,CONFIG_ASIGNATURAS!$B$2:$J$91,9,FALSE()),""))</f>
      </c>
    </row>
    <row r="1577">
      <c r="F1577">
        <f>IF(DATOS!$A1577="","",DATOS!$A1577&amp;"|"&amp;DATOS!$D1577&amp;"|"&amp;DATOS!$E1577&amp;"|"&amp;DATOS!$I1577)</f>
      </c>
      <c r="G1577">
        <f>IF(DATOS!$A1577="",0,IF(CONFIG_METADATA!$B$4&lt;&gt;"OR+EX",--(DATOS!$G1577=CONFIG_METADATA!$B$4),IF(DATOS!$G1577="EX",1,IF(DATOS!$G1577="OR",--(COUNTIFS(nNIA,DATOS!$A1577,nCURSO,DATOS!$D1577,nESPEC,DATOS!$E1577,nASIG,DATOS!$I1577,nEVAL,"EX")=0),0))))</f>
      </c>
      <c r="H1577">
        <f>IF(DATOS!$G1577&lt;&gt;"EX",0,--(COUNTIFS(nNIA,DATOS!$A1577,nCURSO,DATOS!$D1577,nESPEC,DATOS!$E1577,nASIG,DATOS!$I1577,nEVAL,"OR")=0))</f>
      </c>
      <c r="I1577">
        <f>IF(DATOS!$I1577="","",IFERROR(VLOOKUP(DATOS!$I1577,CONFIG_ASIGNATURAS!$B$2:$J$91,9,FALSE()),""))</f>
      </c>
    </row>
    <row r="1578">
      <c r="F1578">
        <f>IF(DATOS!$A1578="","",DATOS!$A1578&amp;"|"&amp;DATOS!$D1578&amp;"|"&amp;DATOS!$E1578&amp;"|"&amp;DATOS!$I1578)</f>
      </c>
      <c r="G1578">
        <f>IF(DATOS!$A1578="",0,IF(CONFIG_METADATA!$B$4&lt;&gt;"OR+EX",--(DATOS!$G1578=CONFIG_METADATA!$B$4),IF(DATOS!$G1578="EX",1,IF(DATOS!$G1578="OR",--(COUNTIFS(nNIA,DATOS!$A1578,nCURSO,DATOS!$D1578,nESPEC,DATOS!$E1578,nASIG,DATOS!$I1578,nEVAL,"EX")=0),0))))</f>
      </c>
      <c r="H1578">
        <f>IF(DATOS!$G1578&lt;&gt;"EX",0,--(COUNTIFS(nNIA,DATOS!$A1578,nCURSO,DATOS!$D1578,nESPEC,DATOS!$E1578,nASIG,DATOS!$I1578,nEVAL,"OR")=0))</f>
      </c>
      <c r="I1578">
        <f>IF(DATOS!$I1578="","",IFERROR(VLOOKUP(DATOS!$I1578,CONFIG_ASIGNATURAS!$B$2:$J$91,9,FALSE()),""))</f>
      </c>
    </row>
    <row r="1579">
      <c r="F1579">
        <f>IF(DATOS!$A1579="","",DATOS!$A1579&amp;"|"&amp;DATOS!$D1579&amp;"|"&amp;DATOS!$E1579&amp;"|"&amp;DATOS!$I1579)</f>
      </c>
      <c r="G1579">
        <f>IF(DATOS!$A1579="",0,IF(CONFIG_METADATA!$B$4&lt;&gt;"OR+EX",--(DATOS!$G1579=CONFIG_METADATA!$B$4),IF(DATOS!$G1579="EX",1,IF(DATOS!$G1579="OR",--(COUNTIFS(nNIA,DATOS!$A1579,nCURSO,DATOS!$D1579,nESPEC,DATOS!$E1579,nASIG,DATOS!$I1579,nEVAL,"EX")=0),0))))</f>
      </c>
      <c r="H1579">
        <f>IF(DATOS!$G1579&lt;&gt;"EX",0,--(COUNTIFS(nNIA,DATOS!$A1579,nCURSO,DATOS!$D1579,nESPEC,DATOS!$E1579,nASIG,DATOS!$I1579,nEVAL,"OR")=0))</f>
      </c>
      <c r="I1579">
        <f>IF(DATOS!$I1579="","",IFERROR(VLOOKUP(DATOS!$I1579,CONFIG_ASIGNATURAS!$B$2:$J$91,9,FALSE()),""))</f>
      </c>
    </row>
    <row r="1580">
      <c r="F1580">
        <f>IF(DATOS!$A1580="","",DATOS!$A1580&amp;"|"&amp;DATOS!$D1580&amp;"|"&amp;DATOS!$E1580&amp;"|"&amp;DATOS!$I1580)</f>
      </c>
      <c r="G1580">
        <f>IF(DATOS!$A1580="",0,IF(CONFIG_METADATA!$B$4&lt;&gt;"OR+EX",--(DATOS!$G1580=CONFIG_METADATA!$B$4),IF(DATOS!$G1580="EX",1,IF(DATOS!$G1580="OR",--(COUNTIFS(nNIA,DATOS!$A1580,nCURSO,DATOS!$D1580,nESPEC,DATOS!$E1580,nASIG,DATOS!$I1580,nEVAL,"EX")=0),0))))</f>
      </c>
      <c r="H1580">
        <f>IF(DATOS!$G1580&lt;&gt;"EX",0,--(COUNTIFS(nNIA,DATOS!$A1580,nCURSO,DATOS!$D1580,nESPEC,DATOS!$E1580,nASIG,DATOS!$I1580,nEVAL,"OR")=0))</f>
      </c>
      <c r="I1580">
        <f>IF(DATOS!$I1580="","",IFERROR(VLOOKUP(DATOS!$I1580,CONFIG_ASIGNATURAS!$B$2:$J$91,9,FALSE()),""))</f>
      </c>
    </row>
    <row r="1581">
      <c r="F1581">
        <f>IF(DATOS!$A1581="","",DATOS!$A1581&amp;"|"&amp;DATOS!$D1581&amp;"|"&amp;DATOS!$E1581&amp;"|"&amp;DATOS!$I1581)</f>
      </c>
      <c r="G1581">
        <f>IF(DATOS!$A1581="",0,IF(CONFIG_METADATA!$B$4&lt;&gt;"OR+EX",--(DATOS!$G1581=CONFIG_METADATA!$B$4),IF(DATOS!$G1581="EX",1,IF(DATOS!$G1581="OR",--(COUNTIFS(nNIA,DATOS!$A1581,nCURSO,DATOS!$D1581,nESPEC,DATOS!$E1581,nASIG,DATOS!$I1581,nEVAL,"EX")=0),0))))</f>
      </c>
      <c r="H1581">
        <f>IF(DATOS!$G1581&lt;&gt;"EX",0,--(COUNTIFS(nNIA,DATOS!$A1581,nCURSO,DATOS!$D1581,nESPEC,DATOS!$E1581,nASIG,DATOS!$I1581,nEVAL,"OR")=0))</f>
      </c>
      <c r="I1581">
        <f>IF(DATOS!$I1581="","",IFERROR(VLOOKUP(DATOS!$I1581,CONFIG_ASIGNATURAS!$B$2:$J$91,9,FALSE()),""))</f>
      </c>
    </row>
    <row r="1582">
      <c r="F1582">
        <f>IF(DATOS!$A1582="","",DATOS!$A1582&amp;"|"&amp;DATOS!$D1582&amp;"|"&amp;DATOS!$E1582&amp;"|"&amp;DATOS!$I1582)</f>
      </c>
      <c r="G1582">
        <f>IF(DATOS!$A1582="",0,IF(CONFIG_METADATA!$B$4&lt;&gt;"OR+EX",--(DATOS!$G1582=CONFIG_METADATA!$B$4),IF(DATOS!$G1582="EX",1,IF(DATOS!$G1582="OR",--(COUNTIFS(nNIA,DATOS!$A1582,nCURSO,DATOS!$D1582,nESPEC,DATOS!$E1582,nASIG,DATOS!$I1582,nEVAL,"EX")=0),0))))</f>
      </c>
      <c r="H1582">
        <f>IF(DATOS!$G1582&lt;&gt;"EX",0,--(COUNTIFS(nNIA,DATOS!$A1582,nCURSO,DATOS!$D1582,nESPEC,DATOS!$E1582,nASIG,DATOS!$I1582,nEVAL,"OR")=0))</f>
      </c>
      <c r="I1582">
        <f>IF(DATOS!$I1582="","",IFERROR(VLOOKUP(DATOS!$I1582,CONFIG_ASIGNATURAS!$B$2:$J$91,9,FALSE()),""))</f>
      </c>
    </row>
    <row r="1583">
      <c r="F1583">
        <f>IF(DATOS!$A1583="","",DATOS!$A1583&amp;"|"&amp;DATOS!$D1583&amp;"|"&amp;DATOS!$E1583&amp;"|"&amp;DATOS!$I1583)</f>
      </c>
      <c r="G1583">
        <f>IF(DATOS!$A1583="",0,IF(CONFIG_METADATA!$B$4&lt;&gt;"OR+EX",--(DATOS!$G1583=CONFIG_METADATA!$B$4),IF(DATOS!$G1583="EX",1,IF(DATOS!$G1583="OR",--(COUNTIFS(nNIA,DATOS!$A1583,nCURSO,DATOS!$D1583,nESPEC,DATOS!$E1583,nASIG,DATOS!$I1583,nEVAL,"EX")=0),0))))</f>
      </c>
      <c r="H1583">
        <f>IF(DATOS!$G1583&lt;&gt;"EX",0,--(COUNTIFS(nNIA,DATOS!$A1583,nCURSO,DATOS!$D1583,nESPEC,DATOS!$E1583,nASIG,DATOS!$I1583,nEVAL,"OR")=0))</f>
      </c>
      <c r="I1583">
        <f>IF(DATOS!$I1583="","",IFERROR(VLOOKUP(DATOS!$I1583,CONFIG_ASIGNATURAS!$B$2:$J$91,9,FALSE()),""))</f>
      </c>
    </row>
    <row r="1584">
      <c r="F1584">
        <f>IF(DATOS!$A1584="","",DATOS!$A1584&amp;"|"&amp;DATOS!$D1584&amp;"|"&amp;DATOS!$E1584&amp;"|"&amp;DATOS!$I1584)</f>
      </c>
      <c r="G1584">
        <f>IF(DATOS!$A1584="",0,IF(CONFIG_METADATA!$B$4&lt;&gt;"OR+EX",--(DATOS!$G1584=CONFIG_METADATA!$B$4),IF(DATOS!$G1584="EX",1,IF(DATOS!$G1584="OR",--(COUNTIFS(nNIA,DATOS!$A1584,nCURSO,DATOS!$D1584,nESPEC,DATOS!$E1584,nASIG,DATOS!$I1584,nEVAL,"EX")=0),0))))</f>
      </c>
      <c r="H1584">
        <f>IF(DATOS!$G1584&lt;&gt;"EX",0,--(COUNTIFS(nNIA,DATOS!$A1584,nCURSO,DATOS!$D1584,nESPEC,DATOS!$E1584,nASIG,DATOS!$I1584,nEVAL,"OR")=0))</f>
      </c>
      <c r="I1584">
        <f>IF(DATOS!$I1584="","",IFERROR(VLOOKUP(DATOS!$I1584,CONFIG_ASIGNATURAS!$B$2:$J$91,9,FALSE()),""))</f>
      </c>
    </row>
    <row r="1585">
      <c r="F1585">
        <f>IF(DATOS!$A1585="","",DATOS!$A1585&amp;"|"&amp;DATOS!$D1585&amp;"|"&amp;DATOS!$E1585&amp;"|"&amp;DATOS!$I1585)</f>
      </c>
      <c r="G1585">
        <f>IF(DATOS!$A1585="",0,IF(CONFIG_METADATA!$B$4&lt;&gt;"OR+EX",--(DATOS!$G1585=CONFIG_METADATA!$B$4),IF(DATOS!$G1585="EX",1,IF(DATOS!$G1585="OR",--(COUNTIFS(nNIA,DATOS!$A1585,nCURSO,DATOS!$D1585,nESPEC,DATOS!$E1585,nASIG,DATOS!$I1585,nEVAL,"EX")=0),0))))</f>
      </c>
      <c r="H1585">
        <f>IF(DATOS!$G1585&lt;&gt;"EX",0,--(COUNTIFS(nNIA,DATOS!$A1585,nCURSO,DATOS!$D1585,nESPEC,DATOS!$E1585,nASIG,DATOS!$I1585,nEVAL,"OR")=0))</f>
      </c>
      <c r="I1585">
        <f>IF(DATOS!$I1585="","",IFERROR(VLOOKUP(DATOS!$I1585,CONFIG_ASIGNATURAS!$B$2:$J$91,9,FALSE()),""))</f>
      </c>
    </row>
    <row r="1586">
      <c r="F1586">
        <f>IF(DATOS!$A1586="","",DATOS!$A1586&amp;"|"&amp;DATOS!$D1586&amp;"|"&amp;DATOS!$E1586&amp;"|"&amp;DATOS!$I1586)</f>
      </c>
      <c r="G1586">
        <f>IF(DATOS!$A1586="",0,IF(CONFIG_METADATA!$B$4&lt;&gt;"OR+EX",--(DATOS!$G1586=CONFIG_METADATA!$B$4),IF(DATOS!$G1586="EX",1,IF(DATOS!$G1586="OR",--(COUNTIFS(nNIA,DATOS!$A1586,nCURSO,DATOS!$D1586,nESPEC,DATOS!$E1586,nASIG,DATOS!$I1586,nEVAL,"EX")=0),0))))</f>
      </c>
      <c r="H1586">
        <f>IF(DATOS!$G1586&lt;&gt;"EX",0,--(COUNTIFS(nNIA,DATOS!$A1586,nCURSO,DATOS!$D1586,nESPEC,DATOS!$E1586,nASIG,DATOS!$I1586,nEVAL,"OR")=0))</f>
      </c>
      <c r="I1586">
        <f>IF(DATOS!$I1586="","",IFERROR(VLOOKUP(DATOS!$I1586,CONFIG_ASIGNATURAS!$B$2:$J$91,9,FALSE()),""))</f>
      </c>
    </row>
    <row r="1587">
      <c r="F1587">
        <f>IF(DATOS!$A1587="","",DATOS!$A1587&amp;"|"&amp;DATOS!$D1587&amp;"|"&amp;DATOS!$E1587&amp;"|"&amp;DATOS!$I1587)</f>
      </c>
      <c r="G1587">
        <f>IF(DATOS!$A1587="",0,IF(CONFIG_METADATA!$B$4&lt;&gt;"OR+EX",--(DATOS!$G1587=CONFIG_METADATA!$B$4),IF(DATOS!$G1587="EX",1,IF(DATOS!$G1587="OR",--(COUNTIFS(nNIA,DATOS!$A1587,nCURSO,DATOS!$D1587,nESPEC,DATOS!$E1587,nASIG,DATOS!$I1587,nEVAL,"EX")=0),0))))</f>
      </c>
      <c r="H1587">
        <f>IF(DATOS!$G1587&lt;&gt;"EX",0,--(COUNTIFS(nNIA,DATOS!$A1587,nCURSO,DATOS!$D1587,nESPEC,DATOS!$E1587,nASIG,DATOS!$I1587,nEVAL,"OR")=0))</f>
      </c>
      <c r="I1587">
        <f>IF(DATOS!$I1587="","",IFERROR(VLOOKUP(DATOS!$I1587,CONFIG_ASIGNATURAS!$B$2:$J$91,9,FALSE()),""))</f>
      </c>
    </row>
    <row r="1588">
      <c r="F1588">
        <f>IF(DATOS!$A1588="","",DATOS!$A1588&amp;"|"&amp;DATOS!$D1588&amp;"|"&amp;DATOS!$E1588&amp;"|"&amp;DATOS!$I1588)</f>
      </c>
      <c r="G1588">
        <f>IF(DATOS!$A1588="",0,IF(CONFIG_METADATA!$B$4&lt;&gt;"OR+EX",--(DATOS!$G1588=CONFIG_METADATA!$B$4),IF(DATOS!$G1588="EX",1,IF(DATOS!$G1588="OR",--(COUNTIFS(nNIA,DATOS!$A1588,nCURSO,DATOS!$D1588,nESPEC,DATOS!$E1588,nASIG,DATOS!$I1588,nEVAL,"EX")=0),0))))</f>
      </c>
      <c r="H1588">
        <f>IF(DATOS!$G1588&lt;&gt;"EX",0,--(COUNTIFS(nNIA,DATOS!$A1588,nCURSO,DATOS!$D1588,nESPEC,DATOS!$E1588,nASIG,DATOS!$I1588,nEVAL,"OR")=0))</f>
      </c>
      <c r="I1588">
        <f>IF(DATOS!$I1588="","",IFERROR(VLOOKUP(DATOS!$I1588,CONFIG_ASIGNATURAS!$B$2:$J$91,9,FALSE()),""))</f>
      </c>
    </row>
    <row r="1589">
      <c r="F1589">
        <f>IF(DATOS!$A1589="","",DATOS!$A1589&amp;"|"&amp;DATOS!$D1589&amp;"|"&amp;DATOS!$E1589&amp;"|"&amp;DATOS!$I1589)</f>
      </c>
      <c r="G1589">
        <f>IF(DATOS!$A1589="",0,IF(CONFIG_METADATA!$B$4&lt;&gt;"OR+EX",--(DATOS!$G1589=CONFIG_METADATA!$B$4),IF(DATOS!$G1589="EX",1,IF(DATOS!$G1589="OR",--(COUNTIFS(nNIA,DATOS!$A1589,nCURSO,DATOS!$D1589,nESPEC,DATOS!$E1589,nASIG,DATOS!$I1589,nEVAL,"EX")=0),0))))</f>
      </c>
      <c r="H1589">
        <f>IF(DATOS!$G1589&lt;&gt;"EX",0,--(COUNTIFS(nNIA,DATOS!$A1589,nCURSO,DATOS!$D1589,nESPEC,DATOS!$E1589,nASIG,DATOS!$I1589,nEVAL,"OR")=0))</f>
      </c>
      <c r="I1589">
        <f>IF(DATOS!$I1589="","",IFERROR(VLOOKUP(DATOS!$I1589,CONFIG_ASIGNATURAS!$B$2:$J$91,9,FALSE()),""))</f>
      </c>
    </row>
    <row r="1590">
      <c r="F1590">
        <f>IF(DATOS!$A1590="","",DATOS!$A1590&amp;"|"&amp;DATOS!$D1590&amp;"|"&amp;DATOS!$E1590&amp;"|"&amp;DATOS!$I1590)</f>
      </c>
      <c r="G1590">
        <f>IF(DATOS!$A1590="",0,IF(CONFIG_METADATA!$B$4&lt;&gt;"OR+EX",--(DATOS!$G1590=CONFIG_METADATA!$B$4),IF(DATOS!$G1590="EX",1,IF(DATOS!$G1590="OR",--(COUNTIFS(nNIA,DATOS!$A1590,nCURSO,DATOS!$D1590,nESPEC,DATOS!$E1590,nASIG,DATOS!$I1590,nEVAL,"EX")=0),0))))</f>
      </c>
      <c r="H1590">
        <f>IF(DATOS!$G1590&lt;&gt;"EX",0,--(COUNTIFS(nNIA,DATOS!$A1590,nCURSO,DATOS!$D1590,nESPEC,DATOS!$E1590,nASIG,DATOS!$I1590,nEVAL,"OR")=0))</f>
      </c>
      <c r="I1590">
        <f>IF(DATOS!$I1590="","",IFERROR(VLOOKUP(DATOS!$I1590,CONFIG_ASIGNATURAS!$B$2:$J$91,9,FALSE()),""))</f>
      </c>
    </row>
    <row r="1591">
      <c r="F1591">
        <f>IF(DATOS!$A1591="","",DATOS!$A1591&amp;"|"&amp;DATOS!$D1591&amp;"|"&amp;DATOS!$E1591&amp;"|"&amp;DATOS!$I1591)</f>
      </c>
      <c r="G1591">
        <f>IF(DATOS!$A1591="",0,IF(CONFIG_METADATA!$B$4&lt;&gt;"OR+EX",--(DATOS!$G1591=CONFIG_METADATA!$B$4),IF(DATOS!$G1591="EX",1,IF(DATOS!$G1591="OR",--(COUNTIFS(nNIA,DATOS!$A1591,nCURSO,DATOS!$D1591,nESPEC,DATOS!$E1591,nASIG,DATOS!$I1591,nEVAL,"EX")=0),0))))</f>
      </c>
      <c r="H1591">
        <f>IF(DATOS!$G1591&lt;&gt;"EX",0,--(COUNTIFS(nNIA,DATOS!$A1591,nCURSO,DATOS!$D1591,nESPEC,DATOS!$E1591,nASIG,DATOS!$I1591,nEVAL,"OR")=0))</f>
      </c>
      <c r="I1591">
        <f>IF(DATOS!$I1591="","",IFERROR(VLOOKUP(DATOS!$I1591,CONFIG_ASIGNATURAS!$B$2:$J$91,9,FALSE()),""))</f>
      </c>
    </row>
    <row r="1592">
      <c r="F1592">
        <f>IF(DATOS!$A1592="","",DATOS!$A1592&amp;"|"&amp;DATOS!$D1592&amp;"|"&amp;DATOS!$E1592&amp;"|"&amp;DATOS!$I1592)</f>
      </c>
      <c r="G1592">
        <f>IF(DATOS!$A1592="",0,IF(CONFIG_METADATA!$B$4&lt;&gt;"OR+EX",--(DATOS!$G1592=CONFIG_METADATA!$B$4),IF(DATOS!$G1592="EX",1,IF(DATOS!$G1592="OR",--(COUNTIFS(nNIA,DATOS!$A1592,nCURSO,DATOS!$D1592,nESPEC,DATOS!$E1592,nASIG,DATOS!$I1592,nEVAL,"EX")=0),0))))</f>
      </c>
      <c r="H1592">
        <f>IF(DATOS!$G1592&lt;&gt;"EX",0,--(COUNTIFS(nNIA,DATOS!$A1592,nCURSO,DATOS!$D1592,nESPEC,DATOS!$E1592,nASIG,DATOS!$I1592,nEVAL,"OR")=0))</f>
      </c>
      <c r="I1592">
        <f>IF(DATOS!$I1592="","",IFERROR(VLOOKUP(DATOS!$I1592,CONFIG_ASIGNATURAS!$B$2:$J$91,9,FALSE()),""))</f>
      </c>
    </row>
    <row r="1593">
      <c r="F1593">
        <f>IF(DATOS!$A1593="","",DATOS!$A1593&amp;"|"&amp;DATOS!$D1593&amp;"|"&amp;DATOS!$E1593&amp;"|"&amp;DATOS!$I1593)</f>
      </c>
      <c r="G1593">
        <f>IF(DATOS!$A1593="",0,IF(CONFIG_METADATA!$B$4&lt;&gt;"OR+EX",--(DATOS!$G1593=CONFIG_METADATA!$B$4),IF(DATOS!$G1593="EX",1,IF(DATOS!$G1593="OR",--(COUNTIFS(nNIA,DATOS!$A1593,nCURSO,DATOS!$D1593,nESPEC,DATOS!$E1593,nASIG,DATOS!$I1593,nEVAL,"EX")=0),0))))</f>
      </c>
      <c r="H1593">
        <f>IF(DATOS!$G1593&lt;&gt;"EX",0,--(COUNTIFS(nNIA,DATOS!$A1593,nCURSO,DATOS!$D1593,nESPEC,DATOS!$E1593,nASIG,DATOS!$I1593,nEVAL,"OR")=0))</f>
      </c>
      <c r="I1593">
        <f>IF(DATOS!$I1593="","",IFERROR(VLOOKUP(DATOS!$I1593,CONFIG_ASIGNATURAS!$B$2:$J$91,9,FALSE()),""))</f>
      </c>
    </row>
    <row r="1594">
      <c r="F1594">
        <f>IF(DATOS!$A1594="","",DATOS!$A1594&amp;"|"&amp;DATOS!$D1594&amp;"|"&amp;DATOS!$E1594&amp;"|"&amp;DATOS!$I1594)</f>
      </c>
      <c r="G1594">
        <f>IF(DATOS!$A1594="",0,IF(CONFIG_METADATA!$B$4&lt;&gt;"OR+EX",--(DATOS!$G1594=CONFIG_METADATA!$B$4),IF(DATOS!$G1594="EX",1,IF(DATOS!$G1594="OR",--(COUNTIFS(nNIA,DATOS!$A1594,nCURSO,DATOS!$D1594,nESPEC,DATOS!$E1594,nASIG,DATOS!$I1594,nEVAL,"EX")=0),0))))</f>
      </c>
      <c r="H1594">
        <f>IF(DATOS!$G1594&lt;&gt;"EX",0,--(COUNTIFS(nNIA,DATOS!$A1594,nCURSO,DATOS!$D1594,nESPEC,DATOS!$E1594,nASIG,DATOS!$I1594,nEVAL,"OR")=0))</f>
      </c>
      <c r="I1594">
        <f>IF(DATOS!$I1594="","",IFERROR(VLOOKUP(DATOS!$I1594,CONFIG_ASIGNATURAS!$B$2:$J$91,9,FALSE()),""))</f>
      </c>
    </row>
    <row r="1595">
      <c r="F1595">
        <f>IF(DATOS!$A1595="","",DATOS!$A1595&amp;"|"&amp;DATOS!$D1595&amp;"|"&amp;DATOS!$E1595&amp;"|"&amp;DATOS!$I1595)</f>
      </c>
      <c r="G1595">
        <f>IF(DATOS!$A1595="",0,IF(CONFIG_METADATA!$B$4&lt;&gt;"OR+EX",--(DATOS!$G1595=CONFIG_METADATA!$B$4),IF(DATOS!$G1595="EX",1,IF(DATOS!$G1595="OR",--(COUNTIFS(nNIA,DATOS!$A1595,nCURSO,DATOS!$D1595,nESPEC,DATOS!$E1595,nASIG,DATOS!$I1595,nEVAL,"EX")=0),0))))</f>
      </c>
      <c r="H1595">
        <f>IF(DATOS!$G1595&lt;&gt;"EX",0,--(COUNTIFS(nNIA,DATOS!$A1595,nCURSO,DATOS!$D1595,nESPEC,DATOS!$E1595,nASIG,DATOS!$I1595,nEVAL,"OR")=0))</f>
      </c>
      <c r="I1595">
        <f>IF(DATOS!$I1595="","",IFERROR(VLOOKUP(DATOS!$I1595,CONFIG_ASIGNATURAS!$B$2:$J$91,9,FALSE()),""))</f>
      </c>
    </row>
    <row r="1596">
      <c r="F1596">
        <f>IF(DATOS!$A1596="","",DATOS!$A1596&amp;"|"&amp;DATOS!$D1596&amp;"|"&amp;DATOS!$E1596&amp;"|"&amp;DATOS!$I1596)</f>
      </c>
      <c r="G1596">
        <f>IF(DATOS!$A1596="",0,IF(CONFIG_METADATA!$B$4&lt;&gt;"OR+EX",--(DATOS!$G1596=CONFIG_METADATA!$B$4),IF(DATOS!$G1596="EX",1,IF(DATOS!$G1596="OR",--(COUNTIFS(nNIA,DATOS!$A1596,nCURSO,DATOS!$D1596,nESPEC,DATOS!$E1596,nASIG,DATOS!$I1596,nEVAL,"EX")=0),0))))</f>
      </c>
      <c r="H1596">
        <f>IF(DATOS!$G1596&lt;&gt;"EX",0,--(COUNTIFS(nNIA,DATOS!$A1596,nCURSO,DATOS!$D1596,nESPEC,DATOS!$E1596,nASIG,DATOS!$I1596,nEVAL,"OR")=0))</f>
      </c>
      <c r="I1596">
        <f>IF(DATOS!$I1596="","",IFERROR(VLOOKUP(DATOS!$I1596,CONFIG_ASIGNATURAS!$B$2:$J$91,9,FALSE()),""))</f>
      </c>
    </row>
    <row r="1597">
      <c r="F1597">
        <f>IF(DATOS!$A1597="","",DATOS!$A1597&amp;"|"&amp;DATOS!$D1597&amp;"|"&amp;DATOS!$E1597&amp;"|"&amp;DATOS!$I1597)</f>
      </c>
      <c r="G1597">
        <f>IF(DATOS!$A1597="",0,IF(CONFIG_METADATA!$B$4&lt;&gt;"OR+EX",--(DATOS!$G1597=CONFIG_METADATA!$B$4),IF(DATOS!$G1597="EX",1,IF(DATOS!$G1597="OR",--(COUNTIFS(nNIA,DATOS!$A1597,nCURSO,DATOS!$D1597,nESPEC,DATOS!$E1597,nASIG,DATOS!$I1597,nEVAL,"EX")=0),0))))</f>
      </c>
      <c r="H1597">
        <f>IF(DATOS!$G1597&lt;&gt;"EX",0,--(COUNTIFS(nNIA,DATOS!$A1597,nCURSO,DATOS!$D1597,nESPEC,DATOS!$E1597,nASIG,DATOS!$I1597,nEVAL,"OR")=0))</f>
      </c>
      <c r="I1597">
        <f>IF(DATOS!$I1597="","",IFERROR(VLOOKUP(DATOS!$I1597,CONFIG_ASIGNATURAS!$B$2:$J$91,9,FALSE()),""))</f>
      </c>
    </row>
    <row r="1598">
      <c r="F1598">
        <f>IF(DATOS!$A1598="","",DATOS!$A1598&amp;"|"&amp;DATOS!$D1598&amp;"|"&amp;DATOS!$E1598&amp;"|"&amp;DATOS!$I1598)</f>
      </c>
      <c r="G1598">
        <f>IF(DATOS!$A1598="",0,IF(CONFIG_METADATA!$B$4&lt;&gt;"OR+EX",--(DATOS!$G1598=CONFIG_METADATA!$B$4),IF(DATOS!$G1598="EX",1,IF(DATOS!$G1598="OR",--(COUNTIFS(nNIA,DATOS!$A1598,nCURSO,DATOS!$D1598,nESPEC,DATOS!$E1598,nASIG,DATOS!$I1598,nEVAL,"EX")=0),0))))</f>
      </c>
      <c r="H1598">
        <f>IF(DATOS!$G1598&lt;&gt;"EX",0,--(COUNTIFS(nNIA,DATOS!$A1598,nCURSO,DATOS!$D1598,nESPEC,DATOS!$E1598,nASIG,DATOS!$I1598,nEVAL,"OR")=0))</f>
      </c>
      <c r="I1598">
        <f>IF(DATOS!$I1598="","",IFERROR(VLOOKUP(DATOS!$I1598,CONFIG_ASIGNATURAS!$B$2:$J$91,9,FALSE()),""))</f>
      </c>
    </row>
    <row r="1599">
      <c r="F1599">
        <f>IF(DATOS!$A1599="","",DATOS!$A1599&amp;"|"&amp;DATOS!$D1599&amp;"|"&amp;DATOS!$E1599&amp;"|"&amp;DATOS!$I1599)</f>
      </c>
      <c r="G1599">
        <f>IF(DATOS!$A1599="",0,IF(CONFIG_METADATA!$B$4&lt;&gt;"OR+EX",--(DATOS!$G1599=CONFIG_METADATA!$B$4),IF(DATOS!$G1599="EX",1,IF(DATOS!$G1599="OR",--(COUNTIFS(nNIA,DATOS!$A1599,nCURSO,DATOS!$D1599,nESPEC,DATOS!$E1599,nASIG,DATOS!$I1599,nEVAL,"EX")=0),0))))</f>
      </c>
      <c r="H1599">
        <f>IF(DATOS!$G1599&lt;&gt;"EX",0,--(COUNTIFS(nNIA,DATOS!$A1599,nCURSO,DATOS!$D1599,nESPEC,DATOS!$E1599,nASIG,DATOS!$I1599,nEVAL,"OR")=0))</f>
      </c>
      <c r="I1599">
        <f>IF(DATOS!$I1599="","",IFERROR(VLOOKUP(DATOS!$I1599,CONFIG_ASIGNATURAS!$B$2:$J$91,9,FALSE()),""))</f>
      </c>
    </row>
    <row r="1600">
      <c r="F1600">
        <f>IF(DATOS!$A1600="","",DATOS!$A1600&amp;"|"&amp;DATOS!$D1600&amp;"|"&amp;DATOS!$E1600&amp;"|"&amp;DATOS!$I1600)</f>
      </c>
      <c r="G1600">
        <f>IF(DATOS!$A1600="",0,IF(CONFIG_METADATA!$B$4&lt;&gt;"OR+EX",--(DATOS!$G1600=CONFIG_METADATA!$B$4),IF(DATOS!$G1600="EX",1,IF(DATOS!$G1600="OR",--(COUNTIFS(nNIA,DATOS!$A1600,nCURSO,DATOS!$D1600,nESPEC,DATOS!$E1600,nASIG,DATOS!$I1600,nEVAL,"EX")=0),0))))</f>
      </c>
      <c r="H1600">
        <f>IF(DATOS!$G1600&lt;&gt;"EX",0,--(COUNTIFS(nNIA,DATOS!$A1600,nCURSO,DATOS!$D1600,nESPEC,DATOS!$E1600,nASIG,DATOS!$I1600,nEVAL,"OR")=0))</f>
      </c>
      <c r="I1600">
        <f>IF(DATOS!$I1600="","",IFERROR(VLOOKUP(DATOS!$I1600,CONFIG_ASIGNATURAS!$B$2:$J$91,9,FALSE()),""))</f>
      </c>
    </row>
    <row r="1601">
      <c r="F1601">
        <f>IF(DATOS!$A1601="","",DATOS!$A1601&amp;"|"&amp;DATOS!$D1601&amp;"|"&amp;DATOS!$E1601&amp;"|"&amp;DATOS!$I1601)</f>
      </c>
      <c r="G1601">
        <f>IF(DATOS!$A1601="",0,IF(CONFIG_METADATA!$B$4&lt;&gt;"OR+EX",--(DATOS!$G1601=CONFIG_METADATA!$B$4),IF(DATOS!$G1601="EX",1,IF(DATOS!$G1601="OR",--(COUNTIFS(nNIA,DATOS!$A1601,nCURSO,DATOS!$D1601,nESPEC,DATOS!$E1601,nASIG,DATOS!$I1601,nEVAL,"EX")=0),0))))</f>
      </c>
      <c r="H1601">
        <f>IF(DATOS!$G1601&lt;&gt;"EX",0,--(COUNTIFS(nNIA,DATOS!$A1601,nCURSO,DATOS!$D1601,nESPEC,DATOS!$E1601,nASIG,DATOS!$I1601,nEVAL,"OR")=0))</f>
      </c>
      <c r="I1601">
        <f>IF(DATOS!$I1601="","",IFERROR(VLOOKUP(DATOS!$I1601,CONFIG_ASIGNATURAS!$B$2:$J$91,9,FALSE()),""))</f>
      </c>
    </row>
    <row r="1602">
      <c r="F1602">
        <f>IF(DATOS!$A1602="","",DATOS!$A1602&amp;"|"&amp;DATOS!$D1602&amp;"|"&amp;DATOS!$E1602&amp;"|"&amp;DATOS!$I1602)</f>
      </c>
      <c r="G1602">
        <f>IF(DATOS!$A1602="",0,IF(CONFIG_METADATA!$B$4&lt;&gt;"OR+EX",--(DATOS!$G1602=CONFIG_METADATA!$B$4),IF(DATOS!$G1602="EX",1,IF(DATOS!$G1602="OR",--(COUNTIFS(nNIA,DATOS!$A1602,nCURSO,DATOS!$D1602,nESPEC,DATOS!$E1602,nASIG,DATOS!$I1602,nEVAL,"EX")=0),0))))</f>
      </c>
      <c r="H1602">
        <f>IF(DATOS!$G1602&lt;&gt;"EX",0,--(COUNTIFS(nNIA,DATOS!$A1602,nCURSO,DATOS!$D1602,nESPEC,DATOS!$E1602,nASIG,DATOS!$I1602,nEVAL,"OR")=0))</f>
      </c>
      <c r="I1602">
        <f>IF(DATOS!$I1602="","",IFERROR(VLOOKUP(DATOS!$I1602,CONFIG_ASIGNATURAS!$B$2:$J$91,9,FALSE()),""))</f>
      </c>
    </row>
    <row r="1603">
      <c r="F1603">
        <f>IF(DATOS!$A1603="","",DATOS!$A1603&amp;"|"&amp;DATOS!$D1603&amp;"|"&amp;DATOS!$E1603&amp;"|"&amp;DATOS!$I1603)</f>
      </c>
      <c r="G1603">
        <f>IF(DATOS!$A1603="",0,IF(CONFIG_METADATA!$B$4&lt;&gt;"OR+EX",--(DATOS!$G1603=CONFIG_METADATA!$B$4),IF(DATOS!$G1603="EX",1,IF(DATOS!$G1603="OR",--(COUNTIFS(nNIA,DATOS!$A1603,nCURSO,DATOS!$D1603,nESPEC,DATOS!$E1603,nASIG,DATOS!$I1603,nEVAL,"EX")=0),0))))</f>
      </c>
      <c r="H1603">
        <f>IF(DATOS!$G1603&lt;&gt;"EX",0,--(COUNTIFS(nNIA,DATOS!$A1603,nCURSO,DATOS!$D1603,nESPEC,DATOS!$E1603,nASIG,DATOS!$I1603,nEVAL,"OR")=0))</f>
      </c>
      <c r="I1603">
        <f>IF(DATOS!$I1603="","",IFERROR(VLOOKUP(DATOS!$I1603,CONFIG_ASIGNATURAS!$B$2:$J$91,9,FALSE()),""))</f>
      </c>
    </row>
    <row r="1604">
      <c r="F1604">
        <f>IF(DATOS!$A1604="","",DATOS!$A1604&amp;"|"&amp;DATOS!$D1604&amp;"|"&amp;DATOS!$E1604&amp;"|"&amp;DATOS!$I1604)</f>
      </c>
      <c r="G1604">
        <f>IF(DATOS!$A1604="",0,IF(CONFIG_METADATA!$B$4&lt;&gt;"OR+EX",--(DATOS!$G1604=CONFIG_METADATA!$B$4),IF(DATOS!$G1604="EX",1,IF(DATOS!$G1604="OR",--(COUNTIFS(nNIA,DATOS!$A1604,nCURSO,DATOS!$D1604,nESPEC,DATOS!$E1604,nASIG,DATOS!$I1604,nEVAL,"EX")=0),0))))</f>
      </c>
      <c r="H1604">
        <f>IF(DATOS!$G1604&lt;&gt;"EX",0,--(COUNTIFS(nNIA,DATOS!$A1604,nCURSO,DATOS!$D1604,nESPEC,DATOS!$E1604,nASIG,DATOS!$I1604,nEVAL,"OR")=0))</f>
      </c>
      <c r="I1604">
        <f>IF(DATOS!$I1604="","",IFERROR(VLOOKUP(DATOS!$I1604,CONFIG_ASIGNATURAS!$B$2:$J$91,9,FALSE()),""))</f>
      </c>
    </row>
    <row r="1605">
      <c r="F1605">
        <f>IF(DATOS!$A1605="","",DATOS!$A1605&amp;"|"&amp;DATOS!$D1605&amp;"|"&amp;DATOS!$E1605&amp;"|"&amp;DATOS!$I1605)</f>
      </c>
      <c r="G1605">
        <f>IF(DATOS!$A1605="",0,IF(CONFIG_METADATA!$B$4&lt;&gt;"OR+EX",--(DATOS!$G1605=CONFIG_METADATA!$B$4),IF(DATOS!$G1605="EX",1,IF(DATOS!$G1605="OR",--(COUNTIFS(nNIA,DATOS!$A1605,nCURSO,DATOS!$D1605,nESPEC,DATOS!$E1605,nASIG,DATOS!$I1605,nEVAL,"EX")=0),0))))</f>
      </c>
      <c r="H1605">
        <f>IF(DATOS!$G1605&lt;&gt;"EX",0,--(COUNTIFS(nNIA,DATOS!$A1605,nCURSO,DATOS!$D1605,nESPEC,DATOS!$E1605,nASIG,DATOS!$I1605,nEVAL,"OR")=0))</f>
      </c>
      <c r="I1605">
        <f>IF(DATOS!$I1605="","",IFERROR(VLOOKUP(DATOS!$I1605,CONFIG_ASIGNATURAS!$B$2:$J$91,9,FALSE()),""))</f>
      </c>
    </row>
    <row r="1606">
      <c r="F1606">
        <f>IF(DATOS!$A1606="","",DATOS!$A1606&amp;"|"&amp;DATOS!$D1606&amp;"|"&amp;DATOS!$E1606&amp;"|"&amp;DATOS!$I1606)</f>
      </c>
      <c r="G1606">
        <f>IF(DATOS!$A1606="",0,IF(CONFIG_METADATA!$B$4&lt;&gt;"OR+EX",--(DATOS!$G1606=CONFIG_METADATA!$B$4),IF(DATOS!$G1606="EX",1,IF(DATOS!$G1606="OR",--(COUNTIFS(nNIA,DATOS!$A1606,nCURSO,DATOS!$D1606,nESPEC,DATOS!$E1606,nASIG,DATOS!$I1606,nEVAL,"EX")=0),0))))</f>
      </c>
      <c r="H1606">
        <f>IF(DATOS!$G1606&lt;&gt;"EX",0,--(COUNTIFS(nNIA,DATOS!$A1606,nCURSO,DATOS!$D1606,nESPEC,DATOS!$E1606,nASIG,DATOS!$I1606,nEVAL,"OR")=0))</f>
      </c>
      <c r="I1606">
        <f>IF(DATOS!$I1606="","",IFERROR(VLOOKUP(DATOS!$I1606,CONFIG_ASIGNATURAS!$B$2:$J$91,9,FALSE()),""))</f>
      </c>
    </row>
    <row r="1607">
      <c r="F1607">
        <f>IF(DATOS!$A1607="","",DATOS!$A1607&amp;"|"&amp;DATOS!$D1607&amp;"|"&amp;DATOS!$E1607&amp;"|"&amp;DATOS!$I1607)</f>
      </c>
      <c r="G1607">
        <f>IF(DATOS!$A1607="",0,IF(CONFIG_METADATA!$B$4&lt;&gt;"OR+EX",--(DATOS!$G1607=CONFIG_METADATA!$B$4),IF(DATOS!$G1607="EX",1,IF(DATOS!$G1607="OR",--(COUNTIFS(nNIA,DATOS!$A1607,nCURSO,DATOS!$D1607,nESPEC,DATOS!$E1607,nASIG,DATOS!$I1607,nEVAL,"EX")=0),0))))</f>
      </c>
      <c r="H1607">
        <f>IF(DATOS!$G1607&lt;&gt;"EX",0,--(COUNTIFS(nNIA,DATOS!$A1607,nCURSO,DATOS!$D1607,nESPEC,DATOS!$E1607,nASIG,DATOS!$I1607,nEVAL,"OR")=0))</f>
      </c>
      <c r="I1607">
        <f>IF(DATOS!$I1607="","",IFERROR(VLOOKUP(DATOS!$I1607,CONFIG_ASIGNATURAS!$B$2:$J$91,9,FALSE()),""))</f>
      </c>
    </row>
    <row r="1608">
      <c r="F1608">
        <f>IF(DATOS!$A1608="","",DATOS!$A1608&amp;"|"&amp;DATOS!$D1608&amp;"|"&amp;DATOS!$E1608&amp;"|"&amp;DATOS!$I1608)</f>
      </c>
      <c r="G1608">
        <f>IF(DATOS!$A1608="",0,IF(CONFIG_METADATA!$B$4&lt;&gt;"OR+EX",--(DATOS!$G1608=CONFIG_METADATA!$B$4),IF(DATOS!$G1608="EX",1,IF(DATOS!$G1608="OR",--(COUNTIFS(nNIA,DATOS!$A1608,nCURSO,DATOS!$D1608,nESPEC,DATOS!$E1608,nASIG,DATOS!$I1608,nEVAL,"EX")=0),0))))</f>
      </c>
      <c r="H1608">
        <f>IF(DATOS!$G1608&lt;&gt;"EX",0,--(COUNTIFS(nNIA,DATOS!$A1608,nCURSO,DATOS!$D1608,nESPEC,DATOS!$E1608,nASIG,DATOS!$I1608,nEVAL,"OR")=0))</f>
      </c>
      <c r="I1608">
        <f>IF(DATOS!$I1608="","",IFERROR(VLOOKUP(DATOS!$I1608,CONFIG_ASIGNATURAS!$B$2:$J$91,9,FALSE()),""))</f>
      </c>
    </row>
    <row r="1609">
      <c r="F1609">
        <f>IF(DATOS!$A1609="","",DATOS!$A1609&amp;"|"&amp;DATOS!$D1609&amp;"|"&amp;DATOS!$E1609&amp;"|"&amp;DATOS!$I1609)</f>
      </c>
      <c r="G1609">
        <f>IF(DATOS!$A1609="",0,IF(CONFIG_METADATA!$B$4&lt;&gt;"OR+EX",--(DATOS!$G1609=CONFIG_METADATA!$B$4),IF(DATOS!$G1609="EX",1,IF(DATOS!$G1609="OR",--(COUNTIFS(nNIA,DATOS!$A1609,nCURSO,DATOS!$D1609,nESPEC,DATOS!$E1609,nASIG,DATOS!$I1609,nEVAL,"EX")=0),0))))</f>
      </c>
      <c r="H1609">
        <f>IF(DATOS!$G1609&lt;&gt;"EX",0,--(COUNTIFS(nNIA,DATOS!$A1609,nCURSO,DATOS!$D1609,nESPEC,DATOS!$E1609,nASIG,DATOS!$I1609,nEVAL,"OR")=0))</f>
      </c>
      <c r="I1609">
        <f>IF(DATOS!$I1609="","",IFERROR(VLOOKUP(DATOS!$I1609,CONFIG_ASIGNATURAS!$B$2:$J$91,9,FALSE()),""))</f>
      </c>
    </row>
    <row r="1610">
      <c r="F1610">
        <f>IF(DATOS!$A1610="","",DATOS!$A1610&amp;"|"&amp;DATOS!$D1610&amp;"|"&amp;DATOS!$E1610&amp;"|"&amp;DATOS!$I1610)</f>
      </c>
      <c r="G1610">
        <f>IF(DATOS!$A1610="",0,IF(CONFIG_METADATA!$B$4&lt;&gt;"OR+EX",--(DATOS!$G1610=CONFIG_METADATA!$B$4),IF(DATOS!$G1610="EX",1,IF(DATOS!$G1610="OR",--(COUNTIFS(nNIA,DATOS!$A1610,nCURSO,DATOS!$D1610,nESPEC,DATOS!$E1610,nASIG,DATOS!$I1610,nEVAL,"EX")=0),0))))</f>
      </c>
      <c r="H1610">
        <f>IF(DATOS!$G1610&lt;&gt;"EX",0,--(COUNTIFS(nNIA,DATOS!$A1610,nCURSO,DATOS!$D1610,nESPEC,DATOS!$E1610,nASIG,DATOS!$I1610,nEVAL,"OR")=0))</f>
      </c>
      <c r="I1610">
        <f>IF(DATOS!$I1610="","",IFERROR(VLOOKUP(DATOS!$I1610,CONFIG_ASIGNATURAS!$B$2:$J$91,9,FALSE()),""))</f>
      </c>
    </row>
    <row r="1611">
      <c r="F1611">
        <f>IF(DATOS!$A1611="","",DATOS!$A1611&amp;"|"&amp;DATOS!$D1611&amp;"|"&amp;DATOS!$E1611&amp;"|"&amp;DATOS!$I1611)</f>
      </c>
      <c r="G1611">
        <f>IF(DATOS!$A1611="",0,IF(CONFIG_METADATA!$B$4&lt;&gt;"OR+EX",--(DATOS!$G1611=CONFIG_METADATA!$B$4),IF(DATOS!$G1611="EX",1,IF(DATOS!$G1611="OR",--(COUNTIFS(nNIA,DATOS!$A1611,nCURSO,DATOS!$D1611,nESPEC,DATOS!$E1611,nASIG,DATOS!$I1611,nEVAL,"EX")=0),0))))</f>
      </c>
      <c r="H1611">
        <f>IF(DATOS!$G1611&lt;&gt;"EX",0,--(COUNTIFS(nNIA,DATOS!$A1611,nCURSO,DATOS!$D1611,nESPEC,DATOS!$E1611,nASIG,DATOS!$I1611,nEVAL,"OR")=0))</f>
      </c>
      <c r="I1611">
        <f>IF(DATOS!$I1611="","",IFERROR(VLOOKUP(DATOS!$I1611,CONFIG_ASIGNATURAS!$B$2:$J$91,9,FALSE()),""))</f>
      </c>
    </row>
    <row r="1612">
      <c r="F1612">
        <f>IF(DATOS!$A1612="","",DATOS!$A1612&amp;"|"&amp;DATOS!$D1612&amp;"|"&amp;DATOS!$E1612&amp;"|"&amp;DATOS!$I1612)</f>
      </c>
      <c r="G1612">
        <f>IF(DATOS!$A1612="",0,IF(CONFIG_METADATA!$B$4&lt;&gt;"OR+EX",--(DATOS!$G1612=CONFIG_METADATA!$B$4),IF(DATOS!$G1612="EX",1,IF(DATOS!$G1612="OR",--(COUNTIFS(nNIA,DATOS!$A1612,nCURSO,DATOS!$D1612,nESPEC,DATOS!$E1612,nASIG,DATOS!$I1612,nEVAL,"EX")=0),0))))</f>
      </c>
      <c r="H1612">
        <f>IF(DATOS!$G1612&lt;&gt;"EX",0,--(COUNTIFS(nNIA,DATOS!$A1612,nCURSO,DATOS!$D1612,nESPEC,DATOS!$E1612,nASIG,DATOS!$I1612,nEVAL,"OR")=0))</f>
      </c>
      <c r="I1612">
        <f>IF(DATOS!$I1612="","",IFERROR(VLOOKUP(DATOS!$I1612,CONFIG_ASIGNATURAS!$B$2:$J$91,9,FALSE()),""))</f>
      </c>
    </row>
    <row r="1613">
      <c r="F1613">
        <f>IF(DATOS!$A1613="","",DATOS!$A1613&amp;"|"&amp;DATOS!$D1613&amp;"|"&amp;DATOS!$E1613&amp;"|"&amp;DATOS!$I1613)</f>
      </c>
      <c r="G1613">
        <f>IF(DATOS!$A1613="",0,IF(CONFIG_METADATA!$B$4&lt;&gt;"OR+EX",--(DATOS!$G1613=CONFIG_METADATA!$B$4),IF(DATOS!$G1613="EX",1,IF(DATOS!$G1613="OR",--(COUNTIFS(nNIA,DATOS!$A1613,nCURSO,DATOS!$D1613,nESPEC,DATOS!$E1613,nASIG,DATOS!$I1613,nEVAL,"EX")=0),0))))</f>
      </c>
      <c r="H1613">
        <f>IF(DATOS!$G1613&lt;&gt;"EX",0,--(COUNTIFS(nNIA,DATOS!$A1613,nCURSO,DATOS!$D1613,nESPEC,DATOS!$E1613,nASIG,DATOS!$I1613,nEVAL,"OR")=0))</f>
      </c>
      <c r="I1613">
        <f>IF(DATOS!$I1613="","",IFERROR(VLOOKUP(DATOS!$I1613,CONFIG_ASIGNATURAS!$B$2:$J$91,9,FALSE()),""))</f>
      </c>
    </row>
    <row r="1614">
      <c r="F1614">
        <f>IF(DATOS!$A1614="","",DATOS!$A1614&amp;"|"&amp;DATOS!$D1614&amp;"|"&amp;DATOS!$E1614&amp;"|"&amp;DATOS!$I1614)</f>
      </c>
      <c r="G1614">
        <f>IF(DATOS!$A1614="",0,IF(CONFIG_METADATA!$B$4&lt;&gt;"OR+EX",--(DATOS!$G1614=CONFIG_METADATA!$B$4),IF(DATOS!$G1614="EX",1,IF(DATOS!$G1614="OR",--(COUNTIFS(nNIA,DATOS!$A1614,nCURSO,DATOS!$D1614,nESPEC,DATOS!$E1614,nASIG,DATOS!$I1614,nEVAL,"EX")=0),0))))</f>
      </c>
      <c r="H1614">
        <f>IF(DATOS!$G1614&lt;&gt;"EX",0,--(COUNTIFS(nNIA,DATOS!$A1614,nCURSO,DATOS!$D1614,nESPEC,DATOS!$E1614,nASIG,DATOS!$I1614,nEVAL,"OR")=0))</f>
      </c>
      <c r="I1614">
        <f>IF(DATOS!$I1614="","",IFERROR(VLOOKUP(DATOS!$I1614,CONFIG_ASIGNATURAS!$B$2:$J$91,9,FALSE()),""))</f>
      </c>
    </row>
    <row r="1615">
      <c r="F1615">
        <f>IF(DATOS!$A1615="","",DATOS!$A1615&amp;"|"&amp;DATOS!$D1615&amp;"|"&amp;DATOS!$E1615&amp;"|"&amp;DATOS!$I1615)</f>
      </c>
      <c r="G1615">
        <f>IF(DATOS!$A1615="",0,IF(CONFIG_METADATA!$B$4&lt;&gt;"OR+EX",--(DATOS!$G1615=CONFIG_METADATA!$B$4),IF(DATOS!$G1615="EX",1,IF(DATOS!$G1615="OR",--(COUNTIFS(nNIA,DATOS!$A1615,nCURSO,DATOS!$D1615,nESPEC,DATOS!$E1615,nASIG,DATOS!$I1615,nEVAL,"EX")=0),0))))</f>
      </c>
      <c r="H1615">
        <f>IF(DATOS!$G1615&lt;&gt;"EX",0,--(COUNTIFS(nNIA,DATOS!$A1615,nCURSO,DATOS!$D1615,nESPEC,DATOS!$E1615,nASIG,DATOS!$I1615,nEVAL,"OR")=0))</f>
      </c>
      <c r="I1615">
        <f>IF(DATOS!$I1615="","",IFERROR(VLOOKUP(DATOS!$I1615,CONFIG_ASIGNATURAS!$B$2:$J$91,9,FALSE()),""))</f>
      </c>
    </row>
    <row r="1616">
      <c r="F1616">
        <f>IF(DATOS!$A1616="","",DATOS!$A1616&amp;"|"&amp;DATOS!$D1616&amp;"|"&amp;DATOS!$E1616&amp;"|"&amp;DATOS!$I1616)</f>
      </c>
      <c r="G1616">
        <f>IF(DATOS!$A1616="",0,IF(CONFIG_METADATA!$B$4&lt;&gt;"OR+EX",--(DATOS!$G1616=CONFIG_METADATA!$B$4),IF(DATOS!$G1616="EX",1,IF(DATOS!$G1616="OR",--(COUNTIFS(nNIA,DATOS!$A1616,nCURSO,DATOS!$D1616,nESPEC,DATOS!$E1616,nASIG,DATOS!$I1616,nEVAL,"EX")=0),0))))</f>
      </c>
      <c r="H1616">
        <f>IF(DATOS!$G1616&lt;&gt;"EX",0,--(COUNTIFS(nNIA,DATOS!$A1616,nCURSO,DATOS!$D1616,nESPEC,DATOS!$E1616,nASIG,DATOS!$I1616,nEVAL,"OR")=0))</f>
      </c>
      <c r="I1616">
        <f>IF(DATOS!$I1616="","",IFERROR(VLOOKUP(DATOS!$I1616,CONFIG_ASIGNATURAS!$B$2:$J$91,9,FALSE()),""))</f>
      </c>
    </row>
    <row r="1617">
      <c r="F1617">
        <f>IF(DATOS!$A1617="","",DATOS!$A1617&amp;"|"&amp;DATOS!$D1617&amp;"|"&amp;DATOS!$E1617&amp;"|"&amp;DATOS!$I1617)</f>
      </c>
      <c r="G1617">
        <f>IF(DATOS!$A1617="",0,IF(CONFIG_METADATA!$B$4&lt;&gt;"OR+EX",--(DATOS!$G1617=CONFIG_METADATA!$B$4),IF(DATOS!$G1617="EX",1,IF(DATOS!$G1617="OR",--(COUNTIFS(nNIA,DATOS!$A1617,nCURSO,DATOS!$D1617,nESPEC,DATOS!$E1617,nASIG,DATOS!$I1617,nEVAL,"EX")=0),0))))</f>
      </c>
      <c r="H1617">
        <f>IF(DATOS!$G1617&lt;&gt;"EX",0,--(COUNTIFS(nNIA,DATOS!$A1617,nCURSO,DATOS!$D1617,nESPEC,DATOS!$E1617,nASIG,DATOS!$I1617,nEVAL,"OR")=0))</f>
      </c>
      <c r="I1617">
        <f>IF(DATOS!$I1617="","",IFERROR(VLOOKUP(DATOS!$I1617,CONFIG_ASIGNATURAS!$B$2:$J$91,9,FALSE()),""))</f>
      </c>
    </row>
    <row r="1618">
      <c r="F1618">
        <f>IF(DATOS!$A1618="","",DATOS!$A1618&amp;"|"&amp;DATOS!$D1618&amp;"|"&amp;DATOS!$E1618&amp;"|"&amp;DATOS!$I1618)</f>
      </c>
      <c r="G1618">
        <f>IF(DATOS!$A1618="",0,IF(CONFIG_METADATA!$B$4&lt;&gt;"OR+EX",--(DATOS!$G1618=CONFIG_METADATA!$B$4),IF(DATOS!$G1618="EX",1,IF(DATOS!$G1618="OR",--(COUNTIFS(nNIA,DATOS!$A1618,nCURSO,DATOS!$D1618,nESPEC,DATOS!$E1618,nASIG,DATOS!$I1618,nEVAL,"EX")=0),0))))</f>
      </c>
      <c r="H1618">
        <f>IF(DATOS!$G1618&lt;&gt;"EX",0,--(COUNTIFS(nNIA,DATOS!$A1618,nCURSO,DATOS!$D1618,nESPEC,DATOS!$E1618,nASIG,DATOS!$I1618,nEVAL,"OR")=0))</f>
      </c>
      <c r="I1618">
        <f>IF(DATOS!$I1618="","",IFERROR(VLOOKUP(DATOS!$I1618,CONFIG_ASIGNATURAS!$B$2:$J$91,9,FALSE()),""))</f>
      </c>
    </row>
    <row r="1619">
      <c r="F1619">
        <f>IF(DATOS!$A1619="","",DATOS!$A1619&amp;"|"&amp;DATOS!$D1619&amp;"|"&amp;DATOS!$E1619&amp;"|"&amp;DATOS!$I1619)</f>
      </c>
      <c r="G1619">
        <f>IF(DATOS!$A1619="",0,IF(CONFIG_METADATA!$B$4&lt;&gt;"OR+EX",--(DATOS!$G1619=CONFIG_METADATA!$B$4),IF(DATOS!$G1619="EX",1,IF(DATOS!$G1619="OR",--(COUNTIFS(nNIA,DATOS!$A1619,nCURSO,DATOS!$D1619,nESPEC,DATOS!$E1619,nASIG,DATOS!$I1619,nEVAL,"EX")=0),0))))</f>
      </c>
      <c r="H1619">
        <f>IF(DATOS!$G1619&lt;&gt;"EX",0,--(COUNTIFS(nNIA,DATOS!$A1619,nCURSO,DATOS!$D1619,nESPEC,DATOS!$E1619,nASIG,DATOS!$I1619,nEVAL,"OR")=0))</f>
      </c>
      <c r="I1619">
        <f>IF(DATOS!$I1619="","",IFERROR(VLOOKUP(DATOS!$I1619,CONFIG_ASIGNATURAS!$B$2:$J$91,9,FALSE()),""))</f>
      </c>
    </row>
    <row r="1620">
      <c r="F1620">
        <f>IF(DATOS!$A1620="","",DATOS!$A1620&amp;"|"&amp;DATOS!$D1620&amp;"|"&amp;DATOS!$E1620&amp;"|"&amp;DATOS!$I1620)</f>
      </c>
      <c r="G1620">
        <f>IF(DATOS!$A1620="",0,IF(CONFIG_METADATA!$B$4&lt;&gt;"OR+EX",--(DATOS!$G1620=CONFIG_METADATA!$B$4),IF(DATOS!$G1620="EX",1,IF(DATOS!$G1620="OR",--(COUNTIFS(nNIA,DATOS!$A1620,nCURSO,DATOS!$D1620,nESPEC,DATOS!$E1620,nASIG,DATOS!$I1620,nEVAL,"EX")=0),0))))</f>
      </c>
      <c r="H1620">
        <f>IF(DATOS!$G1620&lt;&gt;"EX",0,--(COUNTIFS(nNIA,DATOS!$A1620,nCURSO,DATOS!$D1620,nESPEC,DATOS!$E1620,nASIG,DATOS!$I1620,nEVAL,"OR")=0))</f>
      </c>
      <c r="I1620">
        <f>IF(DATOS!$I1620="","",IFERROR(VLOOKUP(DATOS!$I1620,CONFIG_ASIGNATURAS!$B$2:$J$91,9,FALSE()),""))</f>
      </c>
    </row>
    <row r="1621">
      <c r="F1621">
        <f>IF(DATOS!$A1621="","",DATOS!$A1621&amp;"|"&amp;DATOS!$D1621&amp;"|"&amp;DATOS!$E1621&amp;"|"&amp;DATOS!$I1621)</f>
      </c>
      <c r="G1621">
        <f>IF(DATOS!$A1621="",0,IF(CONFIG_METADATA!$B$4&lt;&gt;"OR+EX",--(DATOS!$G1621=CONFIG_METADATA!$B$4),IF(DATOS!$G1621="EX",1,IF(DATOS!$G1621="OR",--(COUNTIFS(nNIA,DATOS!$A1621,nCURSO,DATOS!$D1621,nESPEC,DATOS!$E1621,nASIG,DATOS!$I1621,nEVAL,"EX")=0),0))))</f>
      </c>
      <c r="H1621">
        <f>IF(DATOS!$G1621&lt;&gt;"EX",0,--(COUNTIFS(nNIA,DATOS!$A1621,nCURSO,DATOS!$D1621,nESPEC,DATOS!$E1621,nASIG,DATOS!$I1621,nEVAL,"OR")=0))</f>
      </c>
      <c r="I1621">
        <f>IF(DATOS!$I1621="","",IFERROR(VLOOKUP(DATOS!$I1621,CONFIG_ASIGNATURAS!$B$2:$J$91,9,FALSE()),""))</f>
      </c>
    </row>
    <row r="1622">
      <c r="F1622">
        <f>IF(DATOS!$A1622="","",DATOS!$A1622&amp;"|"&amp;DATOS!$D1622&amp;"|"&amp;DATOS!$E1622&amp;"|"&amp;DATOS!$I1622)</f>
      </c>
      <c r="G1622">
        <f>IF(DATOS!$A1622="",0,IF(CONFIG_METADATA!$B$4&lt;&gt;"OR+EX",--(DATOS!$G1622=CONFIG_METADATA!$B$4),IF(DATOS!$G1622="EX",1,IF(DATOS!$G1622="OR",--(COUNTIFS(nNIA,DATOS!$A1622,nCURSO,DATOS!$D1622,nESPEC,DATOS!$E1622,nASIG,DATOS!$I1622,nEVAL,"EX")=0),0))))</f>
      </c>
      <c r="H1622">
        <f>IF(DATOS!$G1622&lt;&gt;"EX",0,--(COUNTIFS(nNIA,DATOS!$A1622,nCURSO,DATOS!$D1622,nESPEC,DATOS!$E1622,nASIG,DATOS!$I1622,nEVAL,"OR")=0))</f>
      </c>
      <c r="I1622">
        <f>IF(DATOS!$I1622="","",IFERROR(VLOOKUP(DATOS!$I1622,CONFIG_ASIGNATURAS!$B$2:$J$91,9,FALSE()),""))</f>
      </c>
    </row>
    <row r="1623">
      <c r="F1623">
        <f>IF(DATOS!$A1623="","",DATOS!$A1623&amp;"|"&amp;DATOS!$D1623&amp;"|"&amp;DATOS!$E1623&amp;"|"&amp;DATOS!$I1623)</f>
      </c>
      <c r="G1623">
        <f>IF(DATOS!$A1623="",0,IF(CONFIG_METADATA!$B$4&lt;&gt;"OR+EX",--(DATOS!$G1623=CONFIG_METADATA!$B$4),IF(DATOS!$G1623="EX",1,IF(DATOS!$G1623="OR",--(COUNTIFS(nNIA,DATOS!$A1623,nCURSO,DATOS!$D1623,nESPEC,DATOS!$E1623,nASIG,DATOS!$I1623,nEVAL,"EX")=0),0))))</f>
      </c>
      <c r="H1623">
        <f>IF(DATOS!$G1623&lt;&gt;"EX",0,--(COUNTIFS(nNIA,DATOS!$A1623,nCURSO,DATOS!$D1623,nESPEC,DATOS!$E1623,nASIG,DATOS!$I1623,nEVAL,"OR")=0))</f>
      </c>
      <c r="I1623">
        <f>IF(DATOS!$I1623="","",IFERROR(VLOOKUP(DATOS!$I1623,CONFIG_ASIGNATURAS!$B$2:$J$91,9,FALSE()),""))</f>
      </c>
    </row>
    <row r="1624">
      <c r="F1624">
        <f>IF(DATOS!$A1624="","",DATOS!$A1624&amp;"|"&amp;DATOS!$D1624&amp;"|"&amp;DATOS!$E1624&amp;"|"&amp;DATOS!$I1624)</f>
      </c>
      <c r="G1624">
        <f>IF(DATOS!$A1624="",0,IF(CONFIG_METADATA!$B$4&lt;&gt;"OR+EX",--(DATOS!$G1624=CONFIG_METADATA!$B$4),IF(DATOS!$G1624="EX",1,IF(DATOS!$G1624="OR",--(COUNTIFS(nNIA,DATOS!$A1624,nCURSO,DATOS!$D1624,nESPEC,DATOS!$E1624,nASIG,DATOS!$I1624,nEVAL,"EX")=0),0))))</f>
      </c>
      <c r="H1624">
        <f>IF(DATOS!$G1624&lt;&gt;"EX",0,--(COUNTIFS(nNIA,DATOS!$A1624,nCURSO,DATOS!$D1624,nESPEC,DATOS!$E1624,nASIG,DATOS!$I1624,nEVAL,"OR")=0))</f>
      </c>
      <c r="I1624">
        <f>IF(DATOS!$I1624="","",IFERROR(VLOOKUP(DATOS!$I1624,CONFIG_ASIGNATURAS!$B$2:$J$91,9,FALSE()),""))</f>
      </c>
    </row>
    <row r="1625">
      <c r="F1625">
        <f>IF(DATOS!$A1625="","",DATOS!$A1625&amp;"|"&amp;DATOS!$D1625&amp;"|"&amp;DATOS!$E1625&amp;"|"&amp;DATOS!$I1625)</f>
      </c>
      <c r="G1625">
        <f>IF(DATOS!$A1625="",0,IF(CONFIG_METADATA!$B$4&lt;&gt;"OR+EX",--(DATOS!$G1625=CONFIG_METADATA!$B$4),IF(DATOS!$G1625="EX",1,IF(DATOS!$G1625="OR",--(COUNTIFS(nNIA,DATOS!$A1625,nCURSO,DATOS!$D1625,nESPEC,DATOS!$E1625,nASIG,DATOS!$I1625,nEVAL,"EX")=0),0))))</f>
      </c>
      <c r="H1625">
        <f>IF(DATOS!$G1625&lt;&gt;"EX",0,--(COUNTIFS(nNIA,DATOS!$A1625,nCURSO,DATOS!$D1625,nESPEC,DATOS!$E1625,nASIG,DATOS!$I1625,nEVAL,"OR")=0))</f>
      </c>
      <c r="I1625">
        <f>IF(DATOS!$I1625="","",IFERROR(VLOOKUP(DATOS!$I1625,CONFIG_ASIGNATURAS!$B$2:$J$91,9,FALSE()),""))</f>
      </c>
    </row>
    <row r="1626">
      <c r="F1626">
        <f>IF(DATOS!$A1626="","",DATOS!$A1626&amp;"|"&amp;DATOS!$D1626&amp;"|"&amp;DATOS!$E1626&amp;"|"&amp;DATOS!$I1626)</f>
      </c>
      <c r="G1626">
        <f>IF(DATOS!$A1626="",0,IF(CONFIG_METADATA!$B$4&lt;&gt;"OR+EX",--(DATOS!$G1626=CONFIG_METADATA!$B$4),IF(DATOS!$G1626="EX",1,IF(DATOS!$G1626="OR",--(COUNTIFS(nNIA,DATOS!$A1626,nCURSO,DATOS!$D1626,nESPEC,DATOS!$E1626,nASIG,DATOS!$I1626,nEVAL,"EX")=0),0))))</f>
      </c>
      <c r="H1626">
        <f>IF(DATOS!$G1626&lt;&gt;"EX",0,--(COUNTIFS(nNIA,DATOS!$A1626,nCURSO,DATOS!$D1626,nESPEC,DATOS!$E1626,nASIG,DATOS!$I1626,nEVAL,"OR")=0))</f>
      </c>
      <c r="I1626">
        <f>IF(DATOS!$I1626="","",IFERROR(VLOOKUP(DATOS!$I1626,CONFIG_ASIGNATURAS!$B$2:$J$91,9,FALSE()),""))</f>
      </c>
    </row>
    <row r="1627">
      <c r="F1627">
        <f>IF(DATOS!$A1627="","",DATOS!$A1627&amp;"|"&amp;DATOS!$D1627&amp;"|"&amp;DATOS!$E1627&amp;"|"&amp;DATOS!$I1627)</f>
      </c>
      <c r="G1627">
        <f>IF(DATOS!$A1627="",0,IF(CONFIG_METADATA!$B$4&lt;&gt;"OR+EX",--(DATOS!$G1627=CONFIG_METADATA!$B$4),IF(DATOS!$G1627="EX",1,IF(DATOS!$G1627="OR",--(COUNTIFS(nNIA,DATOS!$A1627,nCURSO,DATOS!$D1627,nESPEC,DATOS!$E1627,nASIG,DATOS!$I1627,nEVAL,"EX")=0),0))))</f>
      </c>
      <c r="H1627">
        <f>IF(DATOS!$G1627&lt;&gt;"EX",0,--(COUNTIFS(nNIA,DATOS!$A1627,nCURSO,DATOS!$D1627,nESPEC,DATOS!$E1627,nASIG,DATOS!$I1627,nEVAL,"OR")=0))</f>
      </c>
      <c r="I1627">
        <f>IF(DATOS!$I1627="","",IFERROR(VLOOKUP(DATOS!$I1627,CONFIG_ASIGNATURAS!$B$2:$J$91,9,FALSE()),""))</f>
      </c>
    </row>
    <row r="1628">
      <c r="F1628">
        <f>IF(DATOS!$A1628="","",DATOS!$A1628&amp;"|"&amp;DATOS!$D1628&amp;"|"&amp;DATOS!$E1628&amp;"|"&amp;DATOS!$I1628)</f>
      </c>
      <c r="G1628">
        <f>IF(DATOS!$A1628="",0,IF(CONFIG_METADATA!$B$4&lt;&gt;"OR+EX",--(DATOS!$G1628=CONFIG_METADATA!$B$4),IF(DATOS!$G1628="EX",1,IF(DATOS!$G1628="OR",--(COUNTIFS(nNIA,DATOS!$A1628,nCURSO,DATOS!$D1628,nESPEC,DATOS!$E1628,nASIG,DATOS!$I1628,nEVAL,"EX")=0),0))))</f>
      </c>
      <c r="H1628">
        <f>IF(DATOS!$G1628&lt;&gt;"EX",0,--(COUNTIFS(nNIA,DATOS!$A1628,nCURSO,DATOS!$D1628,nESPEC,DATOS!$E1628,nASIG,DATOS!$I1628,nEVAL,"OR")=0))</f>
      </c>
      <c r="I1628">
        <f>IF(DATOS!$I1628="","",IFERROR(VLOOKUP(DATOS!$I1628,CONFIG_ASIGNATURAS!$B$2:$J$91,9,FALSE()),""))</f>
      </c>
    </row>
    <row r="1629">
      <c r="F1629">
        <f>IF(DATOS!$A1629="","",DATOS!$A1629&amp;"|"&amp;DATOS!$D1629&amp;"|"&amp;DATOS!$E1629&amp;"|"&amp;DATOS!$I1629)</f>
      </c>
      <c r="G1629">
        <f>IF(DATOS!$A1629="",0,IF(CONFIG_METADATA!$B$4&lt;&gt;"OR+EX",--(DATOS!$G1629=CONFIG_METADATA!$B$4),IF(DATOS!$G1629="EX",1,IF(DATOS!$G1629="OR",--(COUNTIFS(nNIA,DATOS!$A1629,nCURSO,DATOS!$D1629,nESPEC,DATOS!$E1629,nASIG,DATOS!$I1629,nEVAL,"EX")=0),0))))</f>
      </c>
      <c r="H1629">
        <f>IF(DATOS!$G1629&lt;&gt;"EX",0,--(COUNTIFS(nNIA,DATOS!$A1629,nCURSO,DATOS!$D1629,nESPEC,DATOS!$E1629,nASIG,DATOS!$I1629,nEVAL,"OR")=0))</f>
      </c>
      <c r="I1629">
        <f>IF(DATOS!$I1629="","",IFERROR(VLOOKUP(DATOS!$I1629,CONFIG_ASIGNATURAS!$B$2:$J$91,9,FALSE()),""))</f>
      </c>
    </row>
    <row r="1630">
      <c r="F1630">
        <f>IF(DATOS!$A1630="","",DATOS!$A1630&amp;"|"&amp;DATOS!$D1630&amp;"|"&amp;DATOS!$E1630&amp;"|"&amp;DATOS!$I1630)</f>
      </c>
      <c r="G1630">
        <f>IF(DATOS!$A1630="",0,IF(CONFIG_METADATA!$B$4&lt;&gt;"OR+EX",--(DATOS!$G1630=CONFIG_METADATA!$B$4),IF(DATOS!$G1630="EX",1,IF(DATOS!$G1630="OR",--(COUNTIFS(nNIA,DATOS!$A1630,nCURSO,DATOS!$D1630,nESPEC,DATOS!$E1630,nASIG,DATOS!$I1630,nEVAL,"EX")=0),0))))</f>
      </c>
      <c r="H1630">
        <f>IF(DATOS!$G1630&lt;&gt;"EX",0,--(COUNTIFS(nNIA,DATOS!$A1630,nCURSO,DATOS!$D1630,nESPEC,DATOS!$E1630,nASIG,DATOS!$I1630,nEVAL,"OR")=0))</f>
      </c>
      <c r="I1630">
        <f>IF(DATOS!$I1630="","",IFERROR(VLOOKUP(DATOS!$I1630,CONFIG_ASIGNATURAS!$B$2:$J$91,9,FALSE()),""))</f>
      </c>
    </row>
    <row r="1631">
      <c r="F1631">
        <f>IF(DATOS!$A1631="","",DATOS!$A1631&amp;"|"&amp;DATOS!$D1631&amp;"|"&amp;DATOS!$E1631&amp;"|"&amp;DATOS!$I1631)</f>
      </c>
      <c r="G1631">
        <f>IF(DATOS!$A1631="",0,IF(CONFIG_METADATA!$B$4&lt;&gt;"OR+EX",--(DATOS!$G1631=CONFIG_METADATA!$B$4),IF(DATOS!$G1631="EX",1,IF(DATOS!$G1631="OR",--(COUNTIFS(nNIA,DATOS!$A1631,nCURSO,DATOS!$D1631,nESPEC,DATOS!$E1631,nASIG,DATOS!$I1631,nEVAL,"EX")=0),0))))</f>
      </c>
      <c r="H1631">
        <f>IF(DATOS!$G1631&lt;&gt;"EX",0,--(COUNTIFS(nNIA,DATOS!$A1631,nCURSO,DATOS!$D1631,nESPEC,DATOS!$E1631,nASIG,DATOS!$I1631,nEVAL,"OR")=0))</f>
      </c>
      <c r="I1631">
        <f>IF(DATOS!$I1631="","",IFERROR(VLOOKUP(DATOS!$I1631,CONFIG_ASIGNATURAS!$B$2:$J$91,9,FALSE()),""))</f>
      </c>
    </row>
    <row r="1632">
      <c r="F1632">
        <f>IF(DATOS!$A1632="","",DATOS!$A1632&amp;"|"&amp;DATOS!$D1632&amp;"|"&amp;DATOS!$E1632&amp;"|"&amp;DATOS!$I1632)</f>
      </c>
      <c r="G1632">
        <f>IF(DATOS!$A1632="",0,IF(CONFIG_METADATA!$B$4&lt;&gt;"OR+EX",--(DATOS!$G1632=CONFIG_METADATA!$B$4),IF(DATOS!$G1632="EX",1,IF(DATOS!$G1632="OR",--(COUNTIFS(nNIA,DATOS!$A1632,nCURSO,DATOS!$D1632,nESPEC,DATOS!$E1632,nASIG,DATOS!$I1632,nEVAL,"EX")=0),0))))</f>
      </c>
      <c r="H1632">
        <f>IF(DATOS!$G1632&lt;&gt;"EX",0,--(COUNTIFS(nNIA,DATOS!$A1632,nCURSO,DATOS!$D1632,nESPEC,DATOS!$E1632,nASIG,DATOS!$I1632,nEVAL,"OR")=0))</f>
      </c>
      <c r="I1632">
        <f>IF(DATOS!$I1632="","",IFERROR(VLOOKUP(DATOS!$I1632,CONFIG_ASIGNATURAS!$B$2:$J$91,9,FALSE()),""))</f>
      </c>
    </row>
    <row r="1633">
      <c r="F1633">
        <f>IF(DATOS!$A1633="","",DATOS!$A1633&amp;"|"&amp;DATOS!$D1633&amp;"|"&amp;DATOS!$E1633&amp;"|"&amp;DATOS!$I1633)</f>
      </c>
      <c r="G1633">
        <f>IF(DATOS!$A1633="",0,IF(CONFIG_METADATA!$B$4&lt;&gt;"OR+EX",--(DATOS!$G1633=CONFIG_METADATA!$B$4),IF(DATOS!$G1633="EX",1,IF(DATOS!$G1633="OR",--(COUNTIFS(nNIA,DATOS!$A1633,nCURSO,DATOS!$D1633,nESPEC,DATOS!$E1633,nASIG,DATOS!$I1633,nEVAL,"EX")=0),0))))</f>
      </c>
      <c r="H1633">
        <f>IF(DATOS!$G1633&lt;&gt;"EX",0,--(COUNTIFS(nNIA,DATOS!$A1633,nCURSO,DATOS!$D1633,nESPEC,DATOS!$E1633,nASIG,DATOS!$I1633,nEVAL,"OR")=0))</f>
      </c>
      <c r="I1633">
        <f>IF(DATOS!$I1633="","",IFERROR(VLOOKUP(DATOS!$I1633,CONFIG_ASIGNATURAS!$B$2:$J$91,9,FALSE()),""))</f>
      </c>
    </row>
    <row r="1634">
      <c r="F1634">
        <f>IF(DATOS!$A1634="","",DATOS!$A1634&amp;"|"&amp;DATOS!$D1634&amp;"|"&amp;DATOS!$E1634&amp;"|"&amp;DATOS!$I1634)</f>
      </c>
      <c r="G1634">
        <f>IF(DATOS!$A1634="",0,IF(CONFIG_METADATA!$B$4&lt;&gt;"OR+EX",--(DATOS!$G1634=CONFIG_METADATA!$B$4),IF(DATOS!$G1634="EX",1,IF(DATOS!$G1634="OR",--(COUNTIFS(nNIA,DATOS!$A1634,nCURSO,DATOS!$D1634,nESPEC,DATOS!$E1634,nASIG,DATOS!$I1634,nEVAL,"EX")=0),0))))</f>
      </c>
      <c r="H1634">
        <f>IF(DATOS!$G1634&lt;&gt;"EX",0,--(COUNTIFS(nNIA,DATOS!$A1634,nCURSO,DATOS!$D1634,nESPEC,DATOS!$E1634,nASIG,DATOS!$I1634,nEVAL,"OR")=0))</f>
      </c>
      <c r="I1634">
        <f>IF(DATOS!$I1634="","",IFERROR(VLOOKUP(DATOS!$I1634,CONFIG_ASIGNATURAS!$B$2:$J$91,9,FALSE()),""))</f>
      </c>
    </row>
    <row r="1635">
      <c r="F1635">
        <f>IF(DATOS!$A1635="","",DATOS!$A1635&amp;"|"&amp;DATOS!$D1635&amp;"|"&amp;DATOS!$E1635&amp;"|"&amp;DATOS!$I1635)</f>
      </c>
      <c r="G1635">
        <f>IF(DATOS!$A1635="",0,IF(CONFIG_METADATA!$B$4&lt;&gt;"OR+EX",--(DATOS!$G1635=CONFIG_METADATA!$B$4),IF(DATOS!$G1635="EX",1,IF(DATOS!$G1635="OR",--(COUNTIFS(nNIA,DATOS!$A1635,nCURSO,DATOS!$D1635,nESPEC,DATOS!$E1635,nASIG,DATOS!$I1635,nEVAL,"EX")=0),0))))</f>
      </c>
      <c r="H1635">
        <f>IF(DATOS!$G1635&lt;&gt;"EX",0,--(COUNTIFS(nNIA,DATOS!$A1635,nCURSO,DATOS!$D1635,nESPEC,DATOS!$E1635,nASIG,DATOS!$I1635,nEVAL,"OR")=0))</f>
      </c>
      <c r="I1635">
        <f>IF(DATOS!$I1635="","",IFERROR(VLOOKUP(DATOS!$I1635,CONFIG_ASIGNATURAS!$B$2:$J$91,9,FALSE()),""))</f>
      </c>
    </row>
    <row r="1636">
      <c r="F1636">
        <f>IF(DATOS!$A1636="","",DATOS!$A1636&amp;"|"&amp;DATOS!$D1636&amp;"|"&amp;DATOS!$E1636&amp;"|"&amp;DATOS!$I1636)</f>
      </c>
      <c r="G1636">
        <f>IF(DATOS!$A1636="",0,IF(CONFIG_METADATA!$B$4&lt;&gt;"OR+EX",--(DATOS!$G1636=CONFIG_METADATA!$B$4),IF(DATOS!$G1636="EX",1,IF(DATOS!$G1636="OR",--(COUNTIFS(nNIA,DATOS!$A1636,nCURSO,DATOS!$D1636,nESPEC,DATOS!$E1636,nASIG,DATOS!$I1636,nEVAL,"EX")=0),0))))</f>
      </c>
      <c r="H1636">
        <f>IF(DATOS!$G1636&lt;&gt;"EX",0,--(COUNTIFS(nNIA,DATOS!$A1636,nCURSO,DATOS!$D1636,nESPEC,DATOS!$E1636,nASIG,DATOS!$I1636,nEVAL,"OR")=0))</f>
      </c>
      <c r="I1636">
        <f>IF(DATOS!$I1636="","",IFERROR(VLOOKUP(DATOS!$I1636,CONFIG_ASIGNATURAS!$B$2:$J$91,9,FALSE()),""))</f>
      </c>
    </row>
    <row r="1637">
      <c r="F1637">
        <f>IF(DATOS!$A1637="","",DATOS!$A1637&amp;"|"&amp;DATOS!$D1637&amp;"|"&amp;DATOS!$E1637&amp;"|"&amp;DATOS!$I1637)</f>
      </c>
      <c r="G1637">
        <f>IF(DATOS!$A1637="",0,IF(CONFIG_METADATA!$B$4&lt;&gt;"OR+EX",--(DATOS!$G1637=CONFIG_METADATA!$B$4),IF(DATOS!$G1637="EX",1,IF(DATOS!$G1637="OR",--(COUNTIFS(nNIA,DATOS!$A1637,nCURSO,DATOS!$D1637,nESPEC,DATOS!$E1637,nASIG,DATOS!$I1637,nEVAL,"EX")=0),0))))</f>
      </c>
      <c r="H1637">
        <f>IF(DATOS!$G1637&lt;&gt;"EX",0,--(COUNTIFS(nNIA,DATOS!$A1637,nCURSO,DATOS!$D1637,nESPEC,DATOS!$E1637,nASIG,DATOS!$I1637,nEVAL,"OR")=0))</f>
      </c>
      <c r="I1637">
        <f>IF(DATOS!$I1637="","",IFERROR(VLOOKUP(DATOS!$I1637,CONFIG_ASIGNATURAS!$B$2:$J$91,9,FALSE()),""))</f>
      </c>
    </row>
    <row r="1638">
      <c r="F1638">
        <f>IF(DATOS!$A1638="","",DATOS!$A1638&amp;"|"&amp;DATOS!$D1638&amp;"|"&amp;DATOS!$E1638&amp;"|"&amp;DATOS!$I1638)</f>
      </c>
      <c r="G1638">
        <f>IF(DATOS!$A1638="",0,IF(CONFIG_METADATA!$B$4&lt;&gt;"OR+EX",--(DATOS!$G1638=CONFIG_METADATA!$B$4),IF(DATOS!$G1638="EX",1,IF(DATOS!$G1638="OR",--(COUNTIFS(nNIA,DATOS!$A1638,nCURSO,DATOS!$D1638,nESPEC,DATOS!$E1638,nASIG,DATOS!$I1638,nEVAL,"EX")=0),0))))</f>
      </c>
      <c r="H1638">
        <f>IF(DATOS!$G1638&lt;&gt;"EX",0,--(COUNTIFS(nNIA,DATOS!$A1638,nCURSO,DATOS!$D1638,nESPEC,DATOS!$E1638,nASIG,DATOS!$I1638,nEVAL,"OR")=0))</f>
      </c>
      <c r="I1638">
        <f>IF(DATOS!$I1638="","",IFERROR(VLOOKUP(DATOS!$I1638,CONFIG_ASIGNATURAS!$B$2:$J$91,9,FALSE()),""))</f>
      </c>
    </row>
    <row r="1639">
      <c r="F1639">
        <f>IF(DATOS!$A1639="","",DATOS!$A1639&amp;"|"&amp;DATOS!$D1639&amp;"|"&amp;DATOS!$E1639&amp;"|"&amp;DATOS!$I1639)</f>
      </c>
      <c r="G1639">
        <f>IF(DATOS!$A1639="",0,IF(CONFIG_METADATA!$B$4&lt;&gt;"OR+EX",--(DATOS!$G1639=CONFIG_METADATA!$B$4),IF(DATOS!$G1639="EX",1,IF(DATOS!$G1639="OR",--(COUNTIFS(nNIA,DATOS!$A1639,nCURSO,DATOS!$D1639,nESPEC,DATOS!$E1639,nASIG,DATOS!$I1639,nEVAL,"EX")=0),0))))</f>
      </c>
      <c r="H1639">
        <f>IF(DATOS!$G1639&lt;&gt;"EX",0,--(COUNTIFS(nNIA,DATOS!$A1639,nCURSO,DATOS!$D1639,nESPEC,DATOS!$E1639,nASIG,DATOS!$I1639,nEVAL,"OR")=0))</f>
      </c>
      <c r="I1639">
        <f>IF(DATOS!$I1639="","",IFERROR(VLOOKUP(DATOS!$I1639,CONFIG_ASIGNATURAS!$B$2:$J$91,9,FALSE()),""))</f>
      </c>
    </row>
    <row r="1640">
      <c r="F1640">
        <f>IF(DATOS!$A1640="","",DATOS!$A1640&amp;"|"&amp;DATOS!$D1640&amp;"|"&amp;DATOS!$E1640&amp;"|"&amp;DATOS!$I1640)</f>
      </c>
      <c r="G1640">
        <f>IF(DATOS!$A1640="",0,IF(CONFIG_METADATA!$B$4&lt;&gt;"OR+EX",--(DATOS!$G1640=CONFIG_METADATA!$B$4),IF(DATOS!$G1640="EX",1,IF(DATOS!$G1640="OR",--(COUNTIFS(nNIA,DATOS!$A1640,nCURSO,DATOS!$D1640,nESPEC,DATOS!$E1640,nASIG,DATOS!$I1640,nEVAL,"EX")=0),0))))</f>
      </c>
      <c r="H1640">
        <f>IF(DATOS!$G1640&lt;&gt;"EX",0,--(COUNTIFS(nNIA,DATOS!$A1640,nCURSO,DATOS!$D1640,nESPEC,DATOS!$E1640,nASIG,DATOS!$I1640,nEVAL,"OR")=0))</f>
      </c>
      <c r="I1640">
        <f>IF(DATOS!$I1640="","",IFERROR(VLOOKUP(DATOS!$I1640,CONFIG_ASIGNATURAS!$B$2:$J$91,9,FALSE()),""))</f>
      </c>
    </row>
    <row r="1641">
      <c r="F1641">
        <f>IF(DATOS!$A1641="","",DATOS!$A1641&amp;"|"&amp;DATOS!$D1641&amp;"|"&amp;DATOS!$E1641&amp;"|"&amp;DATOS!$I1641)</f>
      </c>
      <c r="G1641">
        <f>IF(DATOS!$A1641="",0,IF(CONFIG_METADATA!$B$4&lt;&gt;"OR+EX",--(DATOS!$G1641=CONFIG_METADATA!$B$4),IF(DATOS!$G1641="EX",1,IF(DATOS!$G1641="OR",--(COUNTIFS(nNIA,DATOS!$A1641,nCURSO,DATOS!$D1641,nESPEC,DATOS!$E1641,nASIG,DATOS!$I1641,nEVAL,"EX")=0),0))))</f>
      </c>
      <c r="H1641">
        <f>IF(DATOS!$G1641&lt;&gt;"EX",0,--(COUNTIFS(nNIA,DATOS!$A1641,nCURSO,DATOS!$D1641,nESPEC,DATOS!$E1641,nASIG,DATOS!$I1641,nEVAL,"OR")=0))</f>
      </c>
      <c r="I1641">
        <f>IF(DATOS!$I1641="","",IFERROR(VLOOKUP(DATOS!$I1641,CONFIG_ASIGNATURAS!$B$2:$J$91,9,FALSE()),""))</f>
      </c>
    </row>
    <row r="1642">
      <c r="F1642">
        <f>IF(DATOS!$A1642="","",DATOS!$A1642&amp;"|"&amp;DATOS!$D1642&amp;"|"&amp;DATOS!$E1642&amp;"|"&amp;DATOS!$I1642)</f>
      </c>
      <c r="G1642">
        <f>IF(DATOS!$A1642="",0,IF(CONFIG_METADATA!$B$4&lt;&gt;"OR+EX",--(DATOS!$G1642=CONFIG_METADATA!$B$4),IF(DATOS!$G1642="EX",1,IF(DATOS!$G1642="OR",--(COUNTIFS(nNIA,DATOS!$A1642,nCURSO,DATOS!$D1642,nESPEC,DATOS!$E1642,nASIG,DATOS!$I1642,nEVAL,"EX")=0),0))))</f>
      </c>
      <c r="H1642">
        <f>IF(DATOS!$G1642&lt;&gt;"EX",0,--(COUNTIFS(nNIA,DATOS!$A1642,nCURSO,DATOS!$D1642,nESPEC,DATOS!$E1642,nASIG,DATOS!$I1642,nEVAL,"OR")=0))</f>
      </c>
      <c r="I1642">
        <f>IF(DATOS!$I1642="","",IFERROR(VLOOKUP(DATOS!$I1642,CONFIG_ASIGNATURAS!$B$2:$J$91,9,FALSE()),""))</f>
      </c>
    </row>
    <row r="1643">
      <c r="F1643">
        <f>IF(DATOS!$A1643="","",DATOS!$A1643&amp;"|"&amp;DATOS!$D1643&amp;"|"&amp;DATOS!$E1643&amp;"|"&amp;DATOS!$I1643)</f>
      </c>
      <c r="G1643">
        <f>IF(DATOS!$A1643="",0,IF(CONFIG_METADATA!$B$4&lt;&gt;"OR+EX",--(DATOS!$G1643=CONFIG_METADATA!$B$4),IF(DATOS!$G1643="EX",1,IF(DATOS!$G1643="OR",--(COUNTIFS(nNIA,DATOS!$A1643,nCURSO,DATOS!$D1643,nESPEC,DATOS!$E1643,nASIG,DATOS!$I1643,nEVAL,"EX")=0),0))))</f>
      </c>
      <c r="H1643">
        <f>IF(DATOS!$G1643&lt;&gt;"EX",0,--(COUNTIFS(nNIA,DATOS!$A1643,nCURSO,DATOS!$D1643,nESPEC,DATOS!$E1643,nASIG,DATOS!$I1643,nEVAL,"OR")=0))</f>
      </c>
      <c r="I1643">
        <f>IF(DATOS!$I1643="","",IFERROR(VLOOKUP(DATOS!$I1643,CONFIG_ASIGNATURAS!$B$2:$J$91,9,FALSE()),""))</f>
      </c>
    </row>
    <row r="1644">
      <c r="F1644">
        <f>IF(DATOS!$A1644="","",DATOS!$A1644&amp;"|"&amp;DATOS!$D1644&amp;"|"&amp;DATOS!$E1644&amp;"|"&amp;DATOS!$I1644)</f>
      </c>
      <c r="G1644">
        <f>IF(DATOS!$A1644="",0,IF(CONFIG_METADATA!$B$4&lt;&gt;"OR+EX",--(DATOS!$G1644=CONFIG_METADATA!$B$4),IF(DATOS!$G1644="EX",1,IF(DATOS!$G1644="OR",--(COUNTIFS(nNIA,DATOS!$A1644,nCURSO,DATOS!$D1644,nESPEC,DATOS!$E1644,nASIG,DATOS!$I1644,nEVAL,"EX")=0),0))))</f>
      </c>
      <c r="H1644">
        <f>IF(DATOS!$G1644&lt;&gt;"EX",0,--(COUNTIFS(nNIA,DATOS!$A1644,nCURSO,DATOS!$D1644,nESPEC,DATOS!$E1644,nASIG,DATOS!$I1644,nEVAL,"OR")=0))</f>
      </c>
      <c r="I1644">
        <f>IF(DATOS!$I1644="","",IFERROR(VLOOKUP(DATOS!$I1644,CONFIG_ASIGNATURAS!$B$2:$J$91,9,FALSE()),""))</f>
      </c>
    </row>
    <row r="1645">
      <c r="F1645">
        <f>IF(DATOS!$A1645="","",DATOS!$A1645&amp;"|"&amp;DATOS!$D1645&amp;"|"&amp;DATOS!$E1645&amp;"|"&amp;DATOS!$I1645)</f>
      </c>
      <c r="G1645">
        <f>IF(DATOS!$A1645="",0,IF(CONFIG_METADATA!$B$4&lt;&gt;"OR+EX",--(DATOS!$G1645=CONFIG_METADATA!$B$4),IF(DATOS!$G1645="EX",1,IF(DATOS!$G1645="OR",--(COUNTIFS(nNIA,DATOS!$A1645,nCURSO,DATOS!$D1645,nESPEC,DATOS!$E1645,nASIG,DATOS!$I1645,nEVAL,"EX")=0),0))))</f>
      </c>
      <c r="H1645">
        <f>IF(DATOS!$G1645&lt;&gt;"EX",0,--(COUNTIFS(nNIA,DATOS!$A1645,nCURSO,DATOS!$D1645,nESPEC,DATOS!$E1645,nASIG,DATOS!$I1645,nEVAL,"OR")=0))</f>
      </c>
      <c r="I1645">
        <f>IF(DATOS!$I1645="","",IFERROR(VLOOKUP(DATOS!$I1645,CONFIG_ASIGNATURAS!$B$2:$J$91,9,FALSE()),""))</f>
      </c>
    </row>
    <row r="1646">
      <c r="F1646">
        <f>IF(DATOS!$A1646="","",DATOS!$A1646&amp;"|"&amp;DATOS!$D1646&amp;"|"&amp;DATOS!$E1646&amp;"|"&amp;DATOS!$I1646)</f>
      </c>
      <c r="G1646">
        <f>IF(DATOS!$A1646="",0,IF(CONFIG_METADATA!$B$4&lt;&gt;"OR+EX",--(DATOS!$G1646=CONFIG_METADATA!$B$4),IF(DATOS!$G1646="EX",1,IF(DATOS!$G1646="OR",--(COUNTIFS(nNIA,DATOS!$A1646,nCURSO,DATOS!$D1646,nESPEC,DATOS!$E1646,nASIG,DATOS!$I1646,nEVAL,"EX")=0),0))))</f>
      </c>
      <c r="H1646">
        <f>IF(DATOS!$G1646&lt;&gt;"EX",0,--(COUNTIFS(nNIA,DATOS!$A1646,nCURSO,DATOS!$D1646,nESPEC,DATOS!$E1646,nASIG,DATOS!$I1646,nEVAL,"OR")=0))</f>
      </c>
      <c r="I1646">
        <f>IF(DATOS!$I1646="","",IFERROR(VLOOKUP(DATOS!$I1646,CONFIG_ASIGNATURAS!$B$2:$J$91,9,FALSE()),""))</f>
      </c>
    </row>
    <row r="1647">
      <c r="F1647">
        <f>IF(DATOS!$A1647="","",DATOS!$A1647&amp;"|"&amp;DATOS!$D1647&amp;"|"&amp;DATOS!$E1647&amp;"|"&amp;DATOS!$I1647)</f>
      </c>
      <c r="G1647">
        <f>IF(DATOS!$A1647="",0,IF(CONFIG_METADATA!$B$4&lt;&gt;"OR+EX",--(DATOS!$G1647=CONFIG_METADATA!$B$4),IF(DATOS!$G1647="EX",1,IF(DATOS!$G1647="OR",--(COUNTIFS(nNIA,DATOS!$A1647,nCURSO,DATOS!$D1647,nESPEC,DATOS!$E1647,nASIG,DATOS!$I1647,nEVAL,"EX")=0),0))))</f>
      </c>
      <c r="H1647">
        <f>IF(DATOS!$G1647&lt;&gt;"EX",0,--(COUNTIFS(nNIA,DATOS!$A1647,nCURSO,DATOS!$D1647,nESPEC,DATOS!$E1647,nASIG,DATOS!$I1647,nEVAL,"OR")=0))</f>
      </c>
      <c r="I1647">
        <f>IF(DATOS!$I1647="","",IFERROR(VLOOKUP(DATOS!$I1647,CONFIG_ASIGNATURAS!$B$2:$J$91,9,FALSE()),""))</f>
      </c>
    </row>
    <row r="1648">
      <c r="F1648">
        <f>IF(DATOS!$A1648="","",DATOS!$A1648&amp;"|"&amp;DATOS!$D1648&amp;"|"&amp;DATOS!$E1648&amp;"|"&amp;DATOS!$I1648)</f>
      </c>
      <c r="G1648">
        <f>IF(DATOS!$A1648="",0,IF(CONFIG_METADATA!$B$4&lt;&gt;"OR+EX",--(DATOS!$G1648=CONFIG_METADATA!$B$4),IF(DATOS!$G1648="EX",1,IF(DATOS!$G1648="OR",--(COUNTIFS(nNIA,DATOS!$A1648,nCURSO,DATOS!$D1648,nESPEC,DATOS!$E1648,nASIG,DATOS!$I1648,nEVAL,"EX")=0),0))))</f>
      </c>
      <c r="H1648">
        <f>IF(DATOS!$G1648&lt;&gt;"EX",0,--(COUNTIFS(nNIA,DATOS!$A1648,nCURSO,DATOS!$D1648,nESPEC,DATOS!$E1648,nASIG,DATOS!$I1648,nEVAL,"OR")=0))</f>
      </c>
      <c r="I1648">
        <f>IF(DATOS!$I1648="","",IFERROR(VLOOKUP(DATOS!$I1648,CONFIG_ASIGNATURAS!$B$2:$J$91,9,FALSE()),""))</f>
      </c>
    </row>
    <row r="1649">
      <c r="F1649">
        <f>IF(DATOS!$A1649="","",DATOS!$A1649&amp;"|"&amp;DATOS!$D1649&amp;"|"&amp;DATOS!$E1649&amp;"|"&amp;DATOS!$I1649)</f>
      </c>
      <c r="G1649">
        <f>IF(DATOS!$A1649="",0,IF(CONFIG_METADATA!$B$4&lt;&gt;"OR+EX",--(DATOS!$G1649=CONFIG_METADATA!$B$4),IF(DATOS!$G1649="EX",1,IF(DATOS!$G1649="OR",--(COUNTIFS(nNIA,DATOS!$A1649,nCURSO,DATOS!$D1649,nESPEC,DATOS!$E1649,nASIG,DATOS!$I1649,nEVAL,"EX")=0),0))))</f>
      </c>
      <c r="H1649">
        <f>IF(DATOS!$G1649&lt;&gt;"EX",0,--(COUNTIFS(nNIA,DATOS!$A1649,nCURSO,DATOS!$D1649,nESPEC,DATOS!$E1649,nASIG,DATOS!$I1649,nEVAL,"OR")=0))</f>
      </c>
      <c r="I1649">
        <f>IF(DATOS!$I1649="","",IFERROR(VLOOKUP(DATOS!$I1649,CONFIG_ASIGNATURAS!$B$2:$J$91,9,FALSE()),""))</f>
      </c>
    </row>
    <row r="1650">
      <c r="F1650">
        <f>IF(DATOS!$A1650="","",DATOS!$A1650&amp;"|"&amp;DATOS!$D1650&amp;"|"&amp;DATOS!$E1650&amp;"|"&amp;DATOS!$I1650)</f>
      </c>
      <c r="G1650">
        <f>IF(DATOS!$A1650="",0,IF(CONFIG_METADATA!$B$4&lt;&gt;"OR+EX",--(DATOS!$G1650=CONFIG_METADATA!$B$4),IF(DATOS!$G1650="EX",1,IF(DATOS!$G1650="OR",--(COUNTIFS(nNIA,DATOS!$A1650,nCURSO,DATOS!$D1650,nESPEC,DATOS!$E1650,nASIG,DATOS!$I1650,nEVAL,"EX")=0),0))))</f>
      </c>
      <c r="H1650">
        <f>IF(DATOS!$G1650&lt;&gt;"EX",0,--(COUNTIFS(nNIA,DATOS!$A1650,nCURSO,DATOS!$D1650,nESPEC,DATOS!$E1650,nASIG,DATOS!$I1650,nEVAL,"OR")=0))</f>
      </c>
      <c r="I1650">
        <f>IF(DATOS!$I1650="","",IFERROR(VLOOKUP(DATOS!$I1650,CONFIG_ASIGNATURAS!$B$2:$J$91,9,FALSE()),""))</f>
      </c>
    </row>
    <row r="1651">
      <c r="F1651">
        <f>IF(DATOS!$A1651="","",DATOS!$A1651&amp;"|"&amp;DATOS!$D1651&amp;"|"&amp;DATOS!$E1651&amp;"|"&amp;DATOS!$I1651)</f>
      </c>
      <c r="G1651">
        <f>IF(DATOS!$A1651="",0,IF(CONFIG_METADATA!$B$4&lt;&gt;"OR+EX",--(DATOS!$G1651=CONFIG_METADATA!$B$4),IF(DATOS!$G1651="EX",1,IF(DATOS!$G1651="OR",--(COUNTIFS(nNIA,DATOS!$A1651,nCURSO,DATOS!$D1651,nESPEC,DATOS!$E1651,nASIG,DATOS!$I1651,nEVAL,"EX")=0),0))))</f>
      </c>
      <c r="H1651">
        <f>IF(DATOS!$G1651&lt;&gt;"EX",0,--(COUNTIFS(nNIA,DATOS!$A1651,nCURSO,DATOS!$D1651,nESPEC,DATOS!$E1651,nASIG,DATOS!$I1651,nEVAL,"OR")=0))</f>
      </c>
      <c r="I1651">
        <f>IF(DATOS!$I1651="","",IFERROR(VLOOKUP(DATOS!$I1651,CONFIG_ASIGNATURAS!$B$2:$J$91,9,FALSE()),""))</f>
      </c>
    </row>
    <row r="1652">
      <c r="F1652">
        <f>IF(DATOS!$A1652="","",DATOS!$A1652&amp;"|"&amp;DATOS!$D1652&amp;"|"&amp;DATOS!$E1652&amp;"|"&amp;DATOS!$I1652)</f>
      </c>
      <c r="G1652">
        <f>IF(DATOS!$A1652="",0,IF(CONFIG_METADATA!$B$4&lt;&gt;"OR+EX",--(DATOS!$G1652=CONFIG_METADATA!$B$4),IF(DATOS!$G1652="EX",1,IF(DATOS!$G1652="OR",--(COUNTIFS(nNIA,DATOS!$A1652,nCURSO,DATOS!$D1652,nESPEC,DATOS!$E1652,nASIG,DATOS!$I1652,nEVAL,"EX")=0),0))))</f>
      </c>
      <c r="H1652">
        <f>IF(DATOS!$G1652&lt;&gt;"EX",0,--(COUNTIFS(nNIA,DATOS!$A1652,nCURSO,DATOS!$D1652,nESPEC,DATOS!$E1652,nASIG,DATOS!$I1652,nEVAL,"OR")=0))</f>
      </c>
      <c r="I1652">
        <f>IF(DATOS!$I1652="","",IFERROR(VLOOKUP(DATOS!$I1652,CONFIG_ASIGNATURAS!$B$2:$J$91,9,FALSE()),""))</f>
      </c>
    </row>
    <row r="1653">
      <c r="F1653">
        <f>IF(DATOS!$A1653="","",DATOS!$A1653&amp;"|"&amp;DATOS!$D1653&amp;"|"&amp;DATOS!$E1653&amp;"|"&amp;DATOS!$I1653)</f>
      </c>
      <c r="G1653">
        <f>IF(DATOS!$A1653="",0,IF(CONFIG_METADATA!$B$4&lt;&gt;"OR+EX",--(DATOS!$G1653=CONFIG_METADATA!$B$4),IF(DATOS!$G1653="EX",1,IF(DATOS!$G1653="OR",--(COUNTIFS(nNIA,DATOS!$A1653,nCURSO,DATOS!$D1653,nESPEC,DATOS!$E1653,nASIG,DATOS!$I1653,nEVAL,"EX")=0),0))))</f>
      </c>
      <c r="H1653">
        <f>IF(DATOS!$G1653&lt;&gt;"EX",0,--(COUNTIFS(nNIA,DATOS!$A1653,nCURSO,DATOS!$D1653,nESPEC,DATOS!$E1653,nASIG,DATOS!$I1653,nEVAL,"OR")=0))</f>
      </c>
      <c r="I1653">
        <f>IF(DATOS!$I1653="","",IFERROR(VLOOKUP(DATOS!$I1653,CONFIG_ASIGNATURAS!$B$2:$J$91,9,FALSE()),""))</f>
      </c>
    </row>
    <row r="1654">
      <c r="F1654">
        <f>IF(DATOS!$A1654="","",DATOS!$A1654&amp;"|"&amp;DATOS!$D1654&amp;"|"&amp;DATOS!$E1654&amp;"|"&amp;DATOS!$I1654)</f>
      </c>
      <c r="G1654">
        <f>IF(DATOS!$A1654="",0,IF(CONFIG_METADATA!$B$4&lt;&gt;"OR+EX",--(DATOS!$G1654=CONFIG_METADATA!$B$4),IF(DATOS!$G1654="EX",1,IF(DATOS!$G1654="OR",--(COUNTIFS(nNIA,DATOS!$A1654,nCURSO,DATOS!$D1654,nESPEC,DATOS!$E1654,nASIG,DATOS!$I1654,nEVAL,"EX")=0),0))))</f>
      </c>
      <c r="H1654">
        <f>IF(DATOS!$G1654&lt;&gt;"EX",0,--(COUNTIFS(nNIA,DATOS!$A1654,nCURSO,DATOS!$D1654,nESPEC,DATOS!$E1654,nASIG,DATOS!$I1654,nEVAL,"OR")=0))</f>
      </c>
      <c r="I1654">
        <f>IF(DATOS!$I1654="","",IFERROR(VLOOKUP(DATOS!$I1654,CONFIG_ASIGNATURAS!$B$2:$J$91,9,FALSE()),""))</f>
      </c>
    </row>
    <row r="1655">
      <c r="F1655">
        <f>IF(DATOS!$A1655="","",DATOS!$A1655&amp;"|"&amp;DATOS!$D1655&amp;"|"&amp;DATOS!$E1655&amp;"|"&amp;DATOS!$I1655)</f>
      </c>
      <c r="G1655">
        <f>IF(DATOS!$A1655="",0,IF(CONFIG_METADATA!$B$4&lt;&gt;"OR+EX",--(DATOS!$G1655=CONFIG_METADATA!$B$4),IF(DATOS!$G1655="EX",1,IF(DATOS!$G1655="OR",--(COUNTIFS(nNIA,DATOS!$A1655,nCURSO,DATOS!$D1655,nESPEC,DATOS!$E1655,nASIG,DATOS!$I1655,nEVAL,"EX")=0),0))))</f>
      </c>
      <c r="H1655">
        <f>IF(DATOS!$G1655&lt;&gt;"EX",0,--(COUNTIFS(nNIA,DATOS!$A1655,nCURSO,DATOS!$D1655,nESPEC,DATOS!$E1655,nASIG,DATOS!$I1655,nEVAL,"OR")=0))</f>
      </c>
      <c r="I1655">
        <f>IF(DATOS!$I1655="","",IFERROR(VLOOKUP(DATOS!$I1655,CONFIG_ASIGNATURAS!$B$2:$J$91,9,FALSE()),""))</f>
      </c>
    </row>
    <row r="1656">
      <c r="F1656">
        <f>IF(DATOS!$A1656="","",DATOS!$A1656&amp;"|"&amp;DATOS!$D1656&amp;"|"&amp;DATOS!$E1656&amp;"|"&amp;DATOS!$I1656)</f>
      </c>
      <c r="G1656">
        <f>IF(DATOS!$A1656="",0,IF(CONFIG_METADATA!$B$4&lt;&gt;"OR+EX",--(DATOS!$G1656=CONFIG_METADATA!$B$4),IF(DATOS!$G1656="EX",1,IF(DATOS!$G1656="OR",--(COUNTIFS(nNIA,DATOS!$A1656,nCURSO,DATOS!$D1656,nESPEC,DATOS!$E1656,nASIG,DATOS!$I1656,nEVAL,"EX")=0),0))))</f>
      </c>
      <c r="H1656">
        <f>IF(DATOS!$G1656&lt;&gt;"EX",0,--(COUNTIFS(nNIA,DATOS!$A1656,nCURSO,DATOS!$D1656,nESPEC,DATOS!$E1656,nASIG,DATOS!$I1656,nEVAL,"OR")=0))</f>
      </c>
      <c r="I1656">
        <f>IF(DATOS!$I1656="","",IFERROR(VLOOKUP(DATOS!$I1656,CONFIG_ASIGNATURAS!$B$2:$J$91,9,FALSE()),""))</f>
      </c>
    </row>
    <row r="1657">
      <c r="F1657">
        <f>IF(DATOS!$A1657="","",DATOS!$A1657&amp;"|"&amp;DATOS!$D1657&amp;"|"&amp;DATOS!$E1657&amp;"|"&amp;DATOS!$I1657)</f>
      </c>
      <c r="G1657">
        <f>IF(DATOS!$A1657="",0,IF(CONFIG_METADATA!$B$4&lt;&gt;"OR+EX",--(DATOS!$G1657=CONFIG_METADATA!$B$4),IF(DATOS!$G1657="EX",1,IF(DATOS!$G1657="OR",--(COUNTIFS(nNIA,DATOS!$A1657,nCURSO,DATOS!$D1657,nESPEC,DATOS!$E1657,nASIG,DATOS!$I1657,nEVAL,"EX")=0),0))))</f>
      </c>
      <c r="H1657">
        <f>IF(DATOS!$G1657&lt;&gt;"EX",0,--(COUNTIFS(nNIA,DATOS!$A1657,nCURSO,DATOS!$D1657,nESPEC,DATOS!$E1657,nASIG,DATOS!$I1657,nEVAL,"OR")=0))</f>
      </c>
      <c r="I1657">
        <f>IF(DATOS!$I1657="","",IFERROR(VLOOKUP(DATOS!$I1657,CONFIG_ASIGNATURAS!$B$2:$J$91,9,FALSE()),""))</f>
      </c>
    </row>
    <row r="1658">
      <c r="F1658">
        <f>IF(DATOS!$A1658="","",DATOS!$A1658&amp;"|"&amp;DATOS!$D1658&amp;"|"&amp;DATOS!$E1658&amp;"|"&amp;DATOS!$I1658)</f>
      </c>
      <c r="G1658">
        <f>IF(DATOS!$A1658="",0,IF(CONFIG_METADATA!$B$4&lt;&gt;"OR+EX",--(DATOS!$G1658=CONFIG_METADATA!$B$4),IF(DATOS!$G1658="EX",1,IF(DATOS!$G1658="OR",--(COUNTIFS(nNIA,DATOS!$A1658,nCURSO,DATOS!$D1658,nESPEC,DATOS!$E1658,nASIG,DATOS!$I1658,nEVAL,"EX")=0),0))))</f>
      </c>
      <c r="H1658">
        <f>IF(DATOS!$G1658&lt;&gt;"EX",0,--(COUNTIFS(nNIA,DATOS!$A1658,nCURSO,DATOS!$D1658,nESPEC,DATOS!$E1658,nASIG,DATOS!$I1658,nEVAL,"OR")=0))</f>
      </c>
      <c r="I1658">
        <f>IF(DATOS!$I1658="","",IFERROR(VLOOKUP(DATOS!$I1658,CONFIG_ASIGNATURAS!$B$2:$J$91,9,FALSE()),""))</f>
      </c>
    </row>
    <row r="1659">
      <c r="F1659">
        <f>IF(DATOS!$A1659="","",DATOS!$A1659&amp;"|"&amp;DATOS!$D1659&amp;"|"&amp;DATOS!$E1659&amp;"|"&amp;DATOS!$I1659)</f>
      </c>
      <c r="G1659">
        <f>IF(DATOS!$A1659="",0,IF(CONFIG_METADATA!$B$4&lt;&gt;"OR+EX",--(DATOS!$G1659=CONFIG_METADATA!$B$4),IF(DATOS!$G1659="EX",1,IF(DATOS!$G1659="OR",--(COUNTIFS(nNIA,DATOS!$A1659,nCURSO,DATOS!$D1659,nESPEC,DATOS!$E1659,nASIG,DATOS!$I1659,nEVAL,"EX")=0),0))))</f>
      </c>
      <c r="H1659">
        <f>IF(DATOS!$G1659&lt;&gt;"EX",0,--(COUNTIFS(nNIA,DATOS!$A1659,nCURSO,DATOS!$D1659,nESPEC,DATOS!$E1659,nASIG,DATOS!$I1659,nEVAL,"OR")=0))</f>
      </c>
      <c r="I1659">
        <f>IF(DATOS!$I1659="","",IFERROR(VLOOKUP(DATOS!$I1659,CONFIG_ASIGNATURAS!$B$2:$J$91,9,FALSE()),""))</f>
      </c>
    </row>
    <row r="1660">
      <c r="F1660">
        <f>IF(DATOS!$A1660="","",DATOS!$A1660&amp;"|"&amp;DATOS!$D1660&amp;"|"&amp;DATOS!$E1660&amp;"|"&amp;DATOS!$I1660)</f>
      </c>
      <c r="G1660">
        <f>IF(DATOS!$A1660="",0,IF(CONFIG_METADATA!$B$4&lt;&gt;"OR+EX",--(DATOS!$G1660=CONFIG_METADATA!$B$4),IF(DATOS!$G1660="EX",1,IF(DATOS!$G1660="OR",--(COUNTIFS(nNIA,DATOS!$A1660,nCURSO,DATOS!$D1660,nESPEC,DATOS!$E1660,nASIG,DATOS!$I1660,nEVAL,"EX")=0),0))))</f>
      </c>
      <c r="H1660">
        <f>IF(DATOS!$G1660&lt;&gt;"EX",0,--(COUNTIFS(nNIA,DATOS!$A1660,nCURSO,DATOS!$D1660,nESPEC,DATOS!$E1660,nASIG,DATOS!$I1660,nEVAL,"OR")=0))</f>
      </c>
      <c r="I1660">
        <f>IF(DATOS!$I1660="","",IFERROR(VLOOKUP(DATOS!$I1660,CONFIG_ASIGNATURAS!$B$2:$J$91,9,FALSE()),""))</f>
      </c>
    </row>
    <row r="1661">
      <c r="F1661">
        <f>IF(DATOS!$A1661="","",DATOS!$A1661&amp;"|"&amp;DATOS!$D1661&amp;"|"&amp;DATOS!$E1661&amp;"|"&amp;DATOS!$I1661)</f>
      </c>
      <c r="G1661">
        <f>IF(DATOS!$A1661="",0,IF(CONFIG_METADATA!$B$4&lt;&gt;"OR+EX",--(DATOS!$G1661=CONFIG_METADATA!$B$4),IF(DATOS!$G1661="EX",1,IF(DATOS!$G1661="OR",--(COUNTIFS(nNIA,DATOS!$A1661,nCURSO,DATOS!$D1661,nESPEC,DATOS!$E1661,nASIG,DATOS!$I1661,nEVAL,"EX")=0),0))))</f>
      </c>
      <c r="H1661">
        <f>IF(DATOS!$G1661&lt;&gt;"EX",0,--(COUNTIFS(nNIA,DATOS!$A1661,nCURSO,DATOS!$D1661,nESPEC,DATOS!$E1661,nASIG,DATOS!$I1661,nEVAL,"OR")=0))</f>
      </c>
      <c r="I1661">
        <f>IF(DATOS!$I1661="","",IFERROR(VLOOKUP(DATOS!$I1661,CONFIG_ASIGNATURAS!$B$2:$J$91,9,FALSE()),""))</f>
      </c>
    </row>
    <row r="1662">
      <c r="F1662">
        <f>IF(DATOS!$A1662="","",DATOS!$A1662&amp;"|"&amp;DATOS!$D1662&amp;"|"&amp;DATOS!$E1662&amp;"|"&amp;DATOS!$I1662)</f>
      </c>
      <c r="G1662">
        <f>IF(DATOS!$A1662="",0,IF(CONFIG_METADATA!$B$4&lt;&gt;"OR+EX",--(DATOS!$G1662=CONFIG_METADATA!$B$4),IF(DATOS!$G1662="EX",1,IF(DATOS!$G1662="OR",--(COUNTIFS(nNIA,DATOS!$A1662,nCURSO,DATOS!$D1662,nESPEC,DATOS!$E1662,nASIG,DATOS!$I1662,nEVAL,"EX")=0),0))))</f>
      </c>
      <c r="H1662">
        <f>IF(DATOS!$G1662&lt;&gt;"EX",0,--(COUNTIFS(nNIA,DATOS!$A1662,nCURSO,DATOS!$D1662,nESPEC,DATOS!$E1662,nASIG,DATOS!$I1662,nEVAL,"OR")=0))</f>
      </c>
      <c r="I1662">
        <f>IF(DATOS!$I1662="","",IFERROR(VLOOKUP(DATOS!$I1662,CONFIG_ASIGNATURAS!$B$2:$J$91,9,FALSE()),""))</f>
      </c>
    </row>
    <row r="1663">
      <c r="F1663">
        <f>IF(DATOS!$A1663="","",DATOS!$A1663&amp;"|"&amp;DATOS!$D1663&amp;"|"&amp;DATOS!$E1663&amp;"|"&amp;DATOS!$I1663)</f>
      </c>
      <c r="G1663">
        <f>IF(DATOS!$A1663="",0,IF(CONFIG_METADATA!$B$4&lt;&gt;"OR+EX",--(DATOS!$G1663=CONFIG_METADATA!$B$4),IF(DATOS!$G1663="EX",1,IF(DATOS!$G1663="OR",--(COUNTIFS(nNIA,DATOS!$A1663,nCURSO,DATOS!$D1663,nESPEC,DATOS!$E1663,nASIG,DATOS!$I1663,nEVAL,"EX")=0),0))))</f>
      </c>
      <c r="H1663">
        <f>IF(DATOS!$G1663&lt;&gt;"EX",0,--(COUNTIFS(nNIA,DATOS!$A1663,nCURSO,DATOS!$D1663,nESPEC,DATOS!$E1663,nASIG,DATOS!$I1663,nEVAL,"OR")=0))</f>
      </c>
      <c r="I1663">
        <f>IF(DATOS!$I1663="","",IFERROR(VLOOKUP(DATOS!$I1663,CONFIG_ASIGNATURAS!$B$2:$J$91,9,FALSE()),""))</f>
      </c>
    </row>
    <row r="1664">
      <c r="F1664">
        <f>IF(DATOS!$A1664="","",DATOS!$A1664&amp;"|"&amp;DATOS!$D1664&amp;"|"&amp;DATOS!$E1664&amp;"|"&amp;DATOS!$I1664)</f>
      </c>
      <c r="G1664">
        <f>IF(DATOS!$A1664="",0,IF(CONFIG_METADATA!$B$4&lt;&gt;"OR+EX",--(DATOS!$G1664=CONFIG_METADATA!$B$4),IF(DATOS!$G1664="EX",1,IF(DATOS!$G1664="OR",--(COUNTIFS(nNIA,DATOS!$A1664,nCURSO,DATOS!$D1664,nESPEC,DATOS!$E1664,nASIG,DATOS!$I1664,nEVAL,"EX")=0),0))))</f>
      </c>
      <c r="H1664">
        <f>IF(DATOS!$G1664&lt;&gt;"EX",0,--(COUNTIFS(nNIA,DATOS!$A1664,nCURSO,DATOS!$D1664,nESPEC,DATOS!$E1664,nASIG,DATOS!$I1664,nEVAL,"OR")=0))</f>
      </c>
      <c r="I1664">
        <f>IF(DATOS!$I1664="","",IFERROR(VLOOKUP(DATOS!$I1664,CONFIG_ASIGNATURAS!$B$2:$J$91,9,FALSE()),""))</f>
      </c>
    </row>
    <row r="1665">
      <c r="F1665">
        <f>IF(DATOS!$A1665="","",DATOS!$A1665&amp;"|"&amp;DATOS!$D1665&amp;"|"&amp;DATOS!$E1665&amp;"|"&amp;DATOS!$I1665)</f>
      </c>
      <c r="G1665">
        <f>IF(DATOS!$A1665="",0,IF(CONFIG_METADATA!$B$4&lt;&gt;"OR+EX",--(DATOS!$G1665=CONFIG_METADATA!$B$4),IF(DATOS!$G1665="EX",1,IF(DATOS!$G1665="OR",--(COUNTIFS(nNIA,DATOS!$A1665,nCURSO,DATOS!$D1665,nESPEC,DATOS!$E1665,nASIG,DATOS!$I1665,nEVAL,"EX")=0),0))))</f>
      </c>
      <c r="H1665">
        <f>IF(DATOS!$G1665&lt;&gt;"EX",0,--(COUNTIFS(nNIA,DATOS!$A1665,nCURSO,DATOS!$D1665,nESPEC,DATOS!$E1665,nASIG,DATOS!$I1665,nEVAL,"OR")=0))</f>
      </c>
      <c r="I1665">
        <f>IF(DATOS!$I1665="","",IFERROR(VLOOKUP(DATOS!$I1665,CONFIG_ASIGNATURAS!$B$2:$J$91,9,FALSE()),""))</f>
      </c>
    </row>
    <row r="1666">
      <c r="F1666">
        <f>IF(DATOS!$A1666="","",DATOS!$A1666&amp;"|"&amp;DATOS!$D1666&amp;"|"&amp;DATOS!$E1666&amp;"|"&amp;DATOS!$I1666)</f>
      </c>
      <c r="G1666">
        <f>IF(DATOS!$A1666="",0,IF(CONFIG_METADATA!$B$4&lt;&gt;"OR+EX",--(DATOS!$G1666=CONFIG_METADATA!$B$4),IF(DATOS!$G1666="EX",1,IF(DATOS!$G1666="OR",--(COUNTIFS(nNIA,DATOS!$A1666,nCURSO,DATOS!$D1666,nESPEC,DATOS!$E1666,nASIG,DATOS!$I1666,nEVAL,"EX")=0),0))))</f>
      </c>
      <c r="H1666">
        <f>IF(DATOS!$G1666&lt;&gt;"EX",0,--(COUNTIFS(nNIA,DATOS!$A1666,nCURSO,DATOS!$D1666,nESPEC,DATOS!$E1666,nASIG,DATOS!$I1666,nEVAL,"OR")=0))</f>
      </c>
      <c r="I1666">
        <f>IF(DATOS!$I1666="","",IFERROR(VLOOKUP(DATOS!$I1666,CONFIG_ASIGNATURAS!$B$2:$J$91,9,FALSE()),""))</f>
      </c>
    </row>
    <row r="1667">
      <c r="F1667">
        <f>IF(DATOS!$A1667="","",DATOS!$A1667&amp;"|"&amp;DATOS!$D1667&amp;"|"&amp;DATOS!$E1667&amp;"|"&amp;DATOS!$I1667)</f>
      </c>
      <c r="G1667">
        <f>IF(DATOS!$A1667="",0,IF(CONFIG_METADATA!$B$4&lt;&gt;"OR+EX",--(DATOS!$G1667=CONFIG_METADATA!$B$4),IF(DATOS!$G1667="EX",1,IF(DATOS!$G1667="OR",--(COUNTIFS(nNIA,DATOS!$A1667,nCURSO,DATOS!$D1667,nESPEC,DATOS!$E1667,nASIG,DATOS!$I1667,nEVAL,"EX")=0),0))))</f>
      </c>
      <c r="H1667">
        <f>IF(DATOS!$G1667&lt;&gt;"EX",0,--(COUNTIFS(nNIA,DATOS!$A1667,nCURSO,DATOS!$D1667,nESPEC,DATOS!$E1667,nASIG,DATOS!$I1667,nEVAL,"OR")=0))</f>
      </c>
      <c r="I1667">
        <f>IF(DATOS!$I1667="","",IFERROR(VLOOKUP(DATOS!$I1667,CONFIG_ASIGNATURAS!$B$2:$J$91,9,FALSE()),""))</f>
      </c>
    </row>
    <row r="1668">
      <c r="F1668">
        <f>IF(DATOS!$A1668="","",DATOS!$A1668&amp;"|"&amp;DATOS!$D1668&amp;"|"&amp;DATOS!$E1668&amp;"|"&amp;DATOS!$I1668)</f>
      </c>
      <c r="G1668">
        <f>IF(DATOS!$A1668="",0,IF(CONFIG_METADATA!$B$4&lt;&gt;"OR+EX",--(DATOS!$G1668=CONFIG_METADATA!$B$4),IF(DATOS!$G1668="EX",1,IF(DATOS!$G1668="OR",--(COUNTIFS(nNIA,DATOS!$A1668,nCURSO,DATOS!$D1668,nESPEC,DATOS!$E1668,nASIG,DATOS!$I1668,nEVAL,"EX")=0),0))))</f>
      </c>
      <c r="H1668">
        <f>IF(DATOS!$G1668&lt;&gt;"EX",0,--(COUNTIFS(nNIA,DATOS!$A1668,nCURSO,DATOS!$D1668,nESPEC,DATOS!$E1668,nASIG,DATOS!$I1668,nEVAL,"OR")=0))</f>
      </c>
      <c r="I1668">
        <f>IF(DATOS!$I1668="","",IFERROR(VLOOKUP(DATOS!$I1668,CONFIG_ASIGNATURAS!$B$2:$J$91,9,FALSE()),""))</f>
      </c>
    </row>
    <row r="1669">
      <c r="F1669">
        <f>IF(DATOS!$A1669="","",DATOS!$A1669&amp;"|"&amp;DATOS!$D1669&amp;"|"&amp;DATOS!$E1669&amp;"|"&amp;DATOS!$I1669)</f>
      </c>
      <c r="G1669">
        <f>IF(DATOS!$A1669="",0,IF(CONFIG_METADATA!$B$4&lt;&gt;"OR+EX",--(DATOS!$G1669=CONFIG_METADATA!$B$4),IF(DATOS!$G1669="EX",1,IF(DATOS!$G1669="OR",--(COUNTIFS(nNIA,DATOS!$A1669,nCURSO,DATOS!$D1669,nESPEC,DATOS!$E1669,nASIG,DATOS!$I1669,nEVAL,"EX")=0),0))))</f>
      </c>
      <c r="H1669">
        <f>IF(DATOS!$G1669&lt;&gt;"EX",0,--(COUNTIFS(nNIA,DATOS!$A1669,nCURSO,DATOS!$D1669,nESPEC,DATOS!$E1669,nASIG,DATOS!$I1669,nEVAL,"OR")=0))</f>
      </c>
      <c r="I1669">
        <f>IF(DATOS!$I1669="","",IFERROR(VLOOKUP(DATOS!$I1669,CONFIG_ASIGNATURAS!$B$2:$J$91,9,FALSE()),""))</f>
      </c>
    </row>
    <row r="1670">
      <c r="F1670">
        <f>IF(DATOS!$A1670="","",DATOS!$A1670&amp;"|"&amp;DATOS!$D1670&amp;"|"&amp;DATOS!$E1670&amp;"|"&amp;DATOS!$I1670)</f>
      </c>
      <c r="G1670">
        <f>IF(DATOS!$A1670="",0,IF(CONFIG_METADATA!$B$4&lt;&gt;"OR+EX",--(DATOS!$G1670=CONFIG_METADATA!$B$4),IF(DATOS!$G1670="EX",1,IF(DATOS!$G1670="OR",--(COUNTIFS(nNIA,DATOS!$A1670,nCURSO,DATOS!$D1670,nESPEC,DATOS!$E1670,nASIG,DATOS!$I1670,nEVAL,"EX")=0),0))))</f>
      </c>
      <c r="H1670">
        <f>IF(DATOS!$G1670&lt;&gt;"EX",0,--(COUNTIFS(nNIA,DATOS!$A1670,nCURSO,DATOS!$D1670,nESPEC,DATOS!$E1670,nASIG,DATOS!$I1670,nEVAL,"OR")=0))</f>
      </c>
      <c r="I1670">
        <f>IF(DATOS!$I1670="","",IFERROR(VLOOKUP(DATOS!$I1670,CONFIG_ASIGNATURAS!$B$2:$J$91,9,FALSE()),""))</f>
      </c>
    </row>
    <row r="1671">
      <c r="F1671">
        <f>IF(DATOS!$A1671="","",DATOS!$A1671&amp;"|"&amp;DATOS!$D1671&amp;"|"&amp;DATOS!$E1671&amp;"|"&amp;DATOS!$I1671)</f>
      </c>
      <c r="G1671">
        <f>IF(DATOS!$A1671="",0,IF(CONFIG_METADATA!$B$4&lt;&gt;"OR+EX",--(DATOS!$G1671=CONFIG_METADATA!$B$4),IF(DATOS!$G1671="EX",1,IF(DATOS!$G1671="OR",--(COUNTIFS(nNIA,DATOS!$A1671,nCURSO,DATOS!$D1671,nESPEC,DATOS!$E1671,nASIG,DATOS!$I1671,nEVAL,"EX")=0),0))))</f>
      </c>
      <c r="H1671">
        <f>IF(DATOS!$G1671&lt;&gt;"EX",0,--(COUNTIFS(nNIA,DATOS!$A1671,nCURSO,DATOS!$D1671,nESPEC,DATOS!$E1671,nASIG,DATOS!$I1671,nEVAL,"OR")=0))</f>
      </c>
      <c r="I1671">
        <f>IF(DATOS!$I1671="","",IFERROR(VLOOKUP(DATOS!$I1671,CONFIG_ASIGNATURAS!$B$2:$J$91,9,FALSE()),""))</f>
      </c>
    </row>
    <row r="1672">
      <c r="F1672">
        <f>IF(DATOS!$A1672="","",DATOS!$A1672&amp;"|"&amp;DATOS!$D1672&amp;"|"&amp;DATOS!$E1672&amp;"|"&amp;DATOS!$I1672)</f>
      </c>
      <c r="G1672">
        <f>IF(DATOS!$A1672="",0,IF(CONFIG_METADATA!$B$4&lt;&gt;"OR+EX",--(DATOS!$G1672=CONFIG_METADATA!$B$4),IF(DATOS!$G1672="EX",1,IF(DATOS!$G1672="OR",--(COUNTIFS(nNIA,DATOS!$A1672,nCURSO,DATOS!$D1672,nESPEC,DATOS!$E1672,nASIG,DATOS!$I1672,nEVAL,"EX")=0),0))))</f>
      </c>
      <c r="H1672">
        <f>IF(DATOS!$G1672&lt;&gt;"EX",0,--(COUNTIFS(nNIA,DATOS!$A1672,nCURSO,DATOS!$D1672,nESPEC,DATOS!$E1672,nASIG,DATOS!$I1672,nEVAL,"OR")=0))</f>
      </c>
      <c r="I1672">
        <f>IF(DATOS!$I1672="","",IFERROR(VLOOKUP(DATOS!$I1672,CONFIG_ASIGNATURAS!$B$2:$J$91,9,FALSE()),""))</f>
      </c>
    </row>
    <row r="1673">
      <c r="F1673">
        <f>IF(DATOS!$A1673="","",DATOS!$A1673&amp;"|"&amp;DATOS!$D1673&amp;"|"&amp;DATOS!$E1673&amp;"|"&amp;DATOS!$I1673)</f>
      </c>
      <c r="G1673">
        <f>IF(DATOS!$A1673="",0,IF(CONFIG_METADATA!$B$4&lt;&gt;"OR+EX",--(DATOS!$G1673=CONFIG_METADATA!$B$4),IF(DATOS!$G1673="EX",1,IF(DATOS!$G1673="OR",--(COUNTIFS(nNIA,DATOS!$A1673,nCURSO,DATOS!$D1673,nESPEC,DATOS!$E1673,nASIG,DATOS!$I1673,nEVAL,"EX")=0),0))))</f>
      </c>
      <c r="H1673">
        <f>IF(DATOS!$G1673&lt;&gt;"EX",0,--(COUNTIFS(nNIA,DATOS!$A1673,nCURSO,DATOS!$D1673,nESPEC,DATOS!$E1673,nASIG,DATOS!$I1673,nEVAL,"OR")=0))</f>
      </c>
      <c r="I1673">
        <f>IF(DATOS!$I1673="","",IFERROR(VLOOKUP(DATOS!$I1673,CONFIG_ASIGNATURAS!$B$2:$J$91,9,FALSE()),""))</f>
      </c>
    </row>
    <row r="1674">
      <c r="F1674">
        <f>IF(DATOS!$A1674="","",DATOS!$A1674&amp;"|"&amp;DATOS!$D1674&amp;"|"&amp;DATOS!$E1674&amp;"|"&amp;DATOS!$I1674)</f>
      </c>
      <c r="G1674">
        <f>IF(DATOS!$A1674="",0,IF(CONFIG_METADATA!$B$4&lt;&gt;"OR+EX",--(DATOS!$G1674=CONFIG_METADATA!$B$4),IF(DATOS!$G1674="EX",1,IF(DATOS!$G1674="OR",--(COUNTIFS(nNIA,DATOS!$A1674,nCURSO,DATOS!$D1674,nESPEC,DATOS!$E1674,nASIG,DATOS!$I1674,nEVAL,"EX")=0),0))))</f>
      </c>
      <c r="H1674">
        <f>IF(DATOS!$G1674&lt;&gt;"EX",0,--(COUNTIFS(nNIA,DATOS!$A1674,nCURSO,DATOS!$D1674,nESPEC,DATOS!$E1674,nASIG,DATOS!$I1674,nEVAL,"OR")=0))</f>
      </c>
      <c r="I1674">
        <f>IF(DATOS!$I1674="","",IFERROR(VLOOKUP(DATOS!$I1674,CONFIG_ASIGNATURAS!$B$2:$J$91,9,FALSE()),""))</f>
      </c>
    </row>
    <row r="1675">
      <c r="F1675">
        <f>IF(DATOS!$A1675="","",DATOS!$A1675&amp;"|"&amp;DATOS!$D1675&amp;"|"&amp;DATOS!$E1675&amp;"|"&amp;DATOS!$I1675)</f>
      </c>
      <c r="G1675">
        <f>IF(DATOS!$A1675="",0,IF(CONFIG_METADATA!$B$4&lt;&gt;"OR+EX",--(DATOS!$G1675=CONFIG_METADATA!$B$4),IF(DATOS!$G1675="EX",1,IF(DATOS!$G1675="OR",--(COUNTIFS(nNIA,DATOS!$A1675,nCURSO,DATOS!$D1675,nESPEC,DATOS!$E1675,nASIG,DATOS!$I1675,nEVAL,"EX")=0),0))))</f>
      </c>
      <c r="H1675">
        <f>IF(DATOS!$G1675&lt;&gt;"EX",0,--(COUNTIFS(nNIA,DATOS!$A1675,nCURSO,DATOS!$D1675,nESPEC,DATOS!$E1675,nASIG,DATOS!$I1675,nEVAL,"OR")=0))</f>
      </c>
      <c r="I1675">
        <f>IF(DATOS!$I1675="","",IFERROR(VLOOKUP(DATOS!$I1675,CONFIG_ASIGNATURAS!$B$2:$J$91,9,FALSE()),""))</f>
      </c>
    </row>
    <row r="1676">
      <c r="F1676">
        <f>IF(DATOS!$A1676="","",DATOS!$A1676&amp;"|"&amp;DATOS!$D1676&amp;"|"&amp;DATOS!$E1676&amp;"|"&amp;DATOS!$I1676)</f>
      </c>
      <c r="G1676">
        <f>IF(DATOS!$A1676="",0,IF(CONFIG_METADATA!$B$4&lt;&gt;"OR+EX",--(DATOS!$G1676=CONFIG_METADATA!$B$4),IF(DATOS!$G1676="EX",1,IF(DATOS!$G1676="OR",--(COUNTIFS(nNIA,DATOS!$A1676,nCURSO,DATOS!$D1676,nESPEC,DATOS!$E1676,nASIG,DATOS!$I1676,nEVAL,"EX")=0),0))))</f>
      </c>
      <c r="H1676">
        <f>IF(DATOS!$G1676&lt;&gt;"EX",0,--(COUNTIFS(nNIA,DATOS!$A1676,nCURSO,DATOS!$D1676,nESPEC,DATOS!$E1676,nASIG,DATOS!$I1676,nEVAL,"OR")=0))</f>
      </c>
      <c r="I1676">
        <f>IF(DATOS!$I1676="","",IFERROR(VLOOKUP(DATOS!$I1676,CONFIG_ASIGNATURAS!$B$2:$J$91,9,FALSE()),""))</f>
      </c>
    </row>
    <row r="1677">
      <c r="F1677">
        <f>IF(DATOS!$A1677="","",DATOS!$A1677&amp;"|"&amp;DATOS!$D1677&amp;"|"&amp;DATOS!$E1677&amp;"|"&amp;DATOS!$I1677)</f>
      </c>
      <c r="G1677">
        <f>IF(DATOS!$A1677="",0,IF(CONFIG_METADATA!$B$4&lt;&gt;"OR+EX",--(DATOS!$G1677=CONFIG_METADATA!$B$4),IF(DATOS!$G1677="EX",1,IF(DATOS!$G1677="OR",--(COUNTIFS(nNIA,DATOS!$A1677,nCURSO,DATOS!$D1677,nESPEC,DATOS!$E1677,nASIG,DATOS!$I1677,nEVAL,"EX")=0),0))))</f>
      </c>
      <c r="H1677">
        <f>IF(DATOS!$G1677&lt;&gt;"EX",0,--(COUNTIFS(nNIA,DATOS!$A1677,nCURSO,DATOS!$D1677,nESPEC,DATOS!$E1677,nASIG,DATOS!$I1677,nEVAL,"OR")=0))</f>
      </c>
      <c r="I1677">
        <f>IF(DATOS!$I1677="","",IFERROR(VLOOKUP(DATOS!$I1677,CONFIG_ASIGNATURAS!$B$2:$J$91,9,FALSE()),""))</f>
      </c>
    </row>
    <row r="1678">
      <c r="F1678">
        <f>IF(DATOS!$A1678="","",DATOS!$A1678&amp;"|"&amp;DATOS!$D1678&amp;"|"&amp;DATOS!$E1678&amp;"|"&amp;DATOS!$I1678)</f>
      </c>
      <c r="G1678">
        <f>IF(DATOS!$A1678="",0,IF(CONFIG_METADATA!$B$4&lt;&gt;"OR+EX",--(DATOS!$G1678=CONFIG_METADATA!$B$4),IF(DATOS!$G1678="EX",1,IF(DATOS!$G1678="OR",--(COUNTIFS(nNIA,DATOS!$A1678,nCURSO,DATOS!$D1678,nESPEC,DATOS!$E1678,nASIG,DATOS!$I1678,nEVAL,"EX")=0),0))))</f>
      </c>
      <c r="H1678">
        <f>IF(DATOS!$G1678&lt;&gt;"EX",0,--(COUNTIFS(nNIA,DATOS!$A1678,nCURSO,DATOS!$D1678,nESPEC,DATOS!$E1678,nASIG,DATOS!$I1678,nEVAL,"OR")=0))</f>
      </c>
      <c r="I1678">
        <f>IF(DATOS!$I1678="","",IFERROR(VLOOKUP(DATOS!$I1678,CONFIG_ASIGNATURAS!$B$2:$J$91,9,FALSE()),""))</f>
      </c>
    </row>
    <row r="1679">
      <c r="F1679">
        <f>IF(DATOS!$A1679="","",DATOS!$A1679&amp;"|"&amp;DATOS!$D1679&amp;"|"&amp;DATOS!$E1679&amp;"|"&amp;DATOS!$I1679)</f>
      </c>
      <c r="G1679">
        <f>IF(DATOS!$A1679="",0,IF(CONFIG_METADATA!$B$4&lt;&gt;"OR+EX",--(DATOS!$G1679=CONFIG_METADATA!$B$4),IF(DATOS!$G1679="EX",1,IF(DATOS!$G1679="OR",--(COUNTIFS(nNIA,DATOS!$A1679,nCURSO,DATOS!$D1679,nESPEC,DATOS!$E1679,nASIG,DATOS!$I1679,nEVAL,"EX")=0),0))))</f>
      </c>
      <c r="H1679">
        <f>IF(DATOS!$G1679&lt;&gt;"EX",0,--(COUNTIFS(nNIA,DATOS!$A1679,nCURSO,DATOS!$D1679,nESPEC,DATOS!$E1679,nASIG,DATOS!$I1679,nEVAL,"OR")=0))</f>
      </c>
      <c r="I1679">
        <f>IF(DATOS!$I1679="","",IFERROR(VLOOKUP(DATOS!$I1679,CONFIG_ASIGNATURAS!$B$2:$J$91,9,FALSE()),""))</f>
      </c>
    </row>
    <row r="1680">
      <c r="F1680">
        <f>IF(DATOS!$A1680="","",DATOS!$A1680&amp;"|"&amp;DATOS!$D1680&amp;"|"&amp;DATOS!$E1680&amp;"|"&amp;DATOS!$I1680)</f>
      </c>
      <c r="G1680">
        <f>IF(DATOS!$A1680="",0,IF(CONFIG_METADATA!$B$4&lt;&gt;"OR+EX",--(DATOS!$G1680=CONFIG_METADATA!$B$4),IF(DATOS!$G1680="EX",1,IF(DATOS!$G1680="OR",--(COUNTIFS(nNIA,DATOS!$A1680,nCURSO,DATOS!$D1680,nESPEC,DATOS!$E1680,nASIG,DATOS!$I1680,nEVAL,"EX")=0),0))))</f>
      </c>
      <c r="H1680">
        <f>IF(DATOS!$G1680&lt;&gt;"EX",0,--(COUNTIFS(nNIA,DATOS!$A1680,nCURSO,DATOS!$D1680,nESPEC,DATOS!$E1680,nASIG,DATOS!$I1680,nEVAL,"OR")=0))</f>
      </c>
      <c r="I1680">
        <f>IF(DATOS!$I1680="","",IFERROR(VLOOKUP(DATOS!$I1680,CONFIG_ASIGNATURAS!$B$2:$J$91,9,FALSE()),""))</f>
      </c>
    </row>
    <row r="1681">
      <c r="F1681">
        <f>IF(DATOS!$A1681="","",DATOS!$A1681&amp;"|"&amp;DATOS!$D1681&amp;"|"&amp;DATOS!$E1681&amp;"|"&amp;DATOS!$I1681)</f>
      </c>
      <c r="G1681">
        <f>IF(DATOS!$A1681="",0,IF(CONFIG_METADATA!$B$4&lt;&gt;"OR+EX",--(DATOS!$G1681=CONFIG_METADATA!$B$4),IF(DATOS!$G1681="EX",1,IF(DATOS!$G1681="OR",--(COUNTIFS(nNIA,DATOS!$A1681,nCURSO,DATOS!$D1681,nESPEC,DATOS!$E1681,nASIG,DATOS!$I1681,nEVAL,"EX")=0),0))))</f>
      </c>
      <c r="H1681">
        <f>IF(DATOS!$G1681&lt;&gt;"EX",0,--(COUNTIFS(nNIA,DATOS!$A1681,nCURSO,DATOS!$D1681,nESPEC,DATOS!$E1681,nASIG,DATOS!$I1681,nEVAL,"OR")=0))</f>
      </c>
      <c r="I1681">
        <f>IF(DATOS!$I1681="","",IFERROR(VLOOKUP(DATOS!$I1681,CONFIG_ASIGNATURAS!$B$2:$J$91,9,FALSE()),""))</f>
      </c>
    </row>
    <row r="1682">
      <c r="F1682">
        <f>IF(DATOS!$A1682="","",DATOS!$A1682&amp;"|"&amp;DATOS!$D1682&amp;"|"&amp;DATOS!$E1682&amp;"|"&amp;DATOS!$I1682)</f>
      </c>
      <c r="G1682">
        <f>IF(DATOS!$A1682="",0,IF(CONFIG_METADATA!$B$4&lt;&gt;"OR+EX",--(DATOS!$G1682=CONFIG_METADATA!$B$4),IF(DATOS!$G1682="EX",1,IF(DATOS!$G1682="OR",--(COUNTIFS(nNIA,DATOS!$A1682,nCURSO,DATOS!$D1682,nESPEC,DATOS!$E1682,nASIG,DATOS!$I1682,nEVAL,"EX")=0),0))))</f>
      </c>
      <c r="H1682">
        <f>IF(DATOS!$G1682&lt;&gt;"EX",0,--(COUNTIFS(nNIA,DATOS!$A1682,nCURSO,DATOS!$D1682,nESPEC,DATOS!$E1682,nASIG,DATOS!$I1682,nEVAL,"OR")=0))</f>
      </c>
      <c r="I1682">
        <f>IF(DATOS!$I1682="","",IFERROR(VLOOKUP(DATOS!$I1682,CONFIG_ASIGNATURAS!$B$2:$J$91,9,FALSE()),""))</f>
      </c>
    </row>
    <row r="1683">
      <c r="F1683">
        <f>IF(DATOS!$A1683="","",DATOS!$A1683&amp;"|"&amp;DATOS!$D1683&amp;"|"&amp;DATOS!$E1683&amp;"|"&amp;DATOS!$I1683)</f>
      </c>
      <c r="G1683">
        <f>IF(DATOS!$A1683="",0,IF(CONFIG_METADATA!$B$4&lt;&gt;"OR+EX",--(DATOS!$G1683=CONFIG_METADATA!$B$4),IF(DATOS!$G1683="EX",1,IF(DATOS!$G1683="OR",--(COUNTIFS(nNIA,DATOS!$A1683,nCURSO,DATOS!$D1683,nESPEC,DATOS!$E1683,nASIG,DATOS!$I1683,nEVAL,"EX")=0),0))))</f>
      </c>
      <c r="H1683">
        <f>IF(DATOS!$G1683&lt;&gt;"EX",0,--(COUNTIFS(nNIA,DATOS!$A1683,nCURSO,DATOS!$D1683,nESPEC,DATOS!$E1683,nASIG,DATOS!$I1683,nEVAL,"OR")=0))</f>
      </c>
      <c r="I1683">
        <f>IF(DATOS!$I1683="","",IFERROR(VLOOKUP(DATOS!$I1683,CONFIG_ASIGNATURAS!$B$2:$J$91,9,FALSE()),""))</f>
      </c>
    </row>
    <row r="1684">
      <c r="F1684">
        <f>IF(DATOS!$A1684="","",DATOS!$A1684&amp;"|"&amp;DATOS!$D1684&amp;"|"&amp;DATOS!$E1684&amp;"|"&amp;DATOS!$I1684)</f>
      </c>
      <c r="G1684">
        <f>IF(DATOS!$A1684="",0,IF(CONFIG_METADATA!$B$4&lt;&gt;"OR+EX",--(DATOS!$G1684=CONFIG_METADATA!$B$4),IF(DATOS!$G1684="EX",1,IF(DATOS!$G1684="OR",--(COUNTIFS(nNIA,DATOS!$A1684,nCURSO,DATOS!$D1684,nESPEC,DATOS!$E1684,nASIG,DATOS!$I1684,nEVAL,"EX")=0),0))))</f>
      </c>
      <c r="H1684">
        <f>IF(DATOS!$G1684&lt;&gt;"EX",0,--(COUNTIFS(nNIA,DATOS!$A1684,nCURSO,DATOS!$D1684,nESPEC,DATOS!$E1684,nASIG,DATOS!$I1684,nEVAL,"OR")=0))</f>
      </c>
      <c r="I1684">
        <f>IF(DATOS!$I1684="","",IFERROR(VLOOKUP(DATOS!$I1684,CONFIG_ASIGNATURAS!$B$2:$J$91,9,FALSE()),""))</f>
      </c>
    </row>
    <row r="1685">
      <c r="F1685">
        <f>IF(DATOS!$A1685="","",DATOS!$A1685&amp;"|"&amp;DATOS!$D1685&amp;"|"&amp;DATOS!$E1685&amp;"|"&amp;DATOS!$I1685)</f>
      </c>
      <c r="G1685">
        <f>IF(DATOS!$A1685="",0,IF(CONFIG_METADATA!$B$4&lt;&gt;"OR+EX",--(DATOS!$G1685=CONFIG_METADATA!$B$4),IF(DATOS!$G1685="EX",1,IF(DATOS!$G1685="OR",--(COUNTIFS(nNIA,DATOS!$A1685,nCURSO,DATOS!$D1685,nESPEC,DATOS!$E1685,nASIG,DATOS!$I1685,nEVAL,"EX")=0),0))))</f>
      </c>
      <c r="H1685">
        <f>IF(DATOS!$G1685&lt;&gt;"EX",0,--(COUNTIFS(nNIA,DATOS!$A1685,nCURSO,DATOS!$D1685,nESPEC,DATOS!$E1685,nASIG,DATOS!$I1685,nEVAL,"OR")=0))</f>
      </c>
      <c r="I1685">
        <f>IF(DATOS!$I1685="","",IFERROR(VLOOKUP(DATOS!$I1685,CONFIG_ASIGNATURAS!$B$2:$J$91,9,FALSE()),""))</f>
      </c>
    </row>
    <row r="1686">
      <c r="F1686">
        <f>IF(DATOS!$A1686="","",DATOS!$A1686&amp;"|"&amp;DATOS!$D1686&amp;"|"&amp;DATOS!$E1686&amp;"|"&amp;DATOS!$I1686)</f>
      </c>
      <c r="G1686">
        <f>IF(DATOS!$A1686="",0,IF(CONFIG_METADATA!$B$4&lt;&gt;"OR+EX",--(DATOS!$G1686=CONFIG_METADATA!$B$4),IF(DATOS!$G1686="EX",1,IF(DATOS!$G1686="OR",--(COUNTIFS(nNIA,DATOS!$A1686,nCURSO,DATOS!$D1686,nESPEC,DATOS!$E1686,nASIG,DATOS!$I1686,nEVAL,"EX")=0),0))))</f>
      </c>
      <c r="H1686">
        <f>IF(DATOS!$G1686&lt;&gt;"EX",0,--(COUNTIFS(nNIA,DATOS!$A1686,nCURSO,DATOS!$D1686,nESPEC,DATOS!$E1686,nASIG,DATOS!$I1686,nEVAL,"OR")=0))</f>
      </c>
      <c r="I1686">
        <f>IF(DATOS!$I1686="","",IFERROR(VLOOKUP(DATOS!$I1686,CONFIG_ASIGNATURAS!$B$2:$J$91,9,FALSE()),""))</f>
      </c>
    </row>
    <row r="1687">
      <c r="F1687">
        <f>IF(DATOS!$A1687="","",DATOS!$A1687&amp;"|"&amp;DATOS!$D1687&amp;"|"&amp;DATOS!$E1687&amp;"|"&amp;DATOS!$I1687)</f>
      </c>
      <c r="G1687">
        <f>IF(DATOS!$A1687="",0,IF(CONFIG_METADATA!$B$4&lt;&gt;"OR+EX",--(DATOS!$G1687=CONFIG_METADATA!$B$4),IF(DATOS!$G1687="EX",1,IF(DATOS!$G1687="OR",--(COUNTIFS(nNIA,DATOS!$A1687,nCURSO,DATOS!$D1687,nESPEC,DATOS!$E1687,nASIG,DATOS!$I1687,nEVAL,"EX")=0),0))))</f>
      </c>
      <c r="H1687">
        <f>IF(DATOS!$G1687&lt;&gt;"EX",0,--(COUNTIFS(nNIA,DATOS!$A1687,nCURSO,DATOS!$D1687,nESPEC,DATOS!$E1687,nASIG,DATOS!$I1687,nEVAL,"OR")=0))</f>
      </c>
      <c r="I1687">
        <f>IF(DATOS!$I1687="","",IFERROR(VLOOKUP(DATOS!$I1687,CONFIG_ASIGNATURAS!$B$2:$J$91,9,FALSE()),""))</f>
      </c>
    </row>
    <row r="1688">
      <c r="F1688">
        <f>IF(DATOS!$A1688="","",DATOS!$A1688&amp;"|"&amp;DATOS!$D1688&amp;"|"&amp;DATOS!$E1688&amp;"|"&amp;DATOS!$I1688)</f>
      </c>
      <c r="G1688">
        <f>IF(DATOS!$A1688="",0,IF(CONFIG_METADATA!$B$4&lt;&gt;"OR+EX",--(DATOS!$G1688=CONFIG_METADATA!$B$4),IF(DATOS!$G1688="EX",1,IF(DATOS!$G1688="OR",--(COUNTIFS(nNIA,DATOS!$A1688,nCURSO,DATOS!$D1688,nESPEC,DATOS!$E1688,nASIG,DATOS!$I1688,nEVAL,"EX")=0),0))))</f>
      </c>
      <c r="H1688">
        <f>IF(DATOS!$G1688&lt;&gt;"EX",0,--(COUNTIFS(nNIA,DATOS!$A1688,nCURSO,DATOS!$D1688,nESPEC,DATOS!$E1688,nASIG,DATOS!$I1688,nEVAL,"OR")=0))</f>
      </c>
      <c r="I1688">
        <f>IF(DATOS!$I1688="","",IFERROR(VLOOKUP(DATOS!$I1688,CONFIG_ASIGNATURAS!$B$2:$J$91,9,FALSE()),""))</f>
      </c>
    </row>
    <row r="1689">
      <c r="F1689">
        <f>IF(DATOS!$A1689="","",DATOS!$A1689&amp;"|"&amp;DATOS!$D1689&amp;"|"&amp;DATOS!$E1689&amp;"|"&amp;DATOS!$I1689)</f>
      </c>
      <c r="G1689">
        <f>IF(DATOS!$A1689="",0,IF(CONFIG_METADATA!$B$4&lt;&gt;"OR+EX",--(DATOS!$G1689=CONFIG_METADATA!$B$4),IF(DATOS!$G1689="EX",1,IF(DATOS!$G1689="OR",--(COUNTIFS(nNIA,DATOS!$A1689,nCURSO,DATOS!$D1689,nESPEC,DATOS!$E1689,nASIG,DATOS!$I1689,nEVAL,"EX")=0),0))))</f>
      </c>
      <c r="H1689">
        <f>IF(DATOS!$G1689&lt;&gt;"EX",0,--(COUNTIFS(nNIA,DATOS!$A1689,nCURSO,DATOS!$D1689,nESPEC,DATOS!$E1689,nASIG,DATOS!$I1689,nEVAL,"OR")=0))</f>
      </c>
      <c r="I1689">
        <f>IF(DATOS!$I1689="","",IFERROR(VLOOKUP(DATOS!$I1689,CONFIG_ASIGNATURAS!$B$2:$J$91,9,FALSE()),""))</f>
      </c>
    </row>
    <row r="1690">
      <c r="F1690">
        <f>IF(DATOS!$A1690="","",DATOS!$A1690&amp;"|"&amp;DATOS!$D1690&amp;"|"&amp;DATOS!$E1690&amp;"|"&amp;DATOS!$I1690)</f>
      </c>
      <c r="G1690">
        <f>IF(DATOS!$A1690="",0,IF(CONFIG_METADATA!$B$4&lt;&gt;"OR+EX",--(DATOS!$G1690=CONFIG_METADATA!$B$4),IF(DATOS!$G1690="EX",1,IF(DATOS!$G1690="OR",--(COUNTIFS(nNIA,DATOS!$A1690,nCURSO,DATOS!$D1690,nESPEC,DATOS!$E1690,nASIG,DATOS!$I1690,nEVAL,"EX")=0),0))))</f>
      </c>
      <c r="H1690">
        <f>IF(DATOS!$G1690&lt;&gt;"EX",0,--(COUNTIFS(nNIA,DATOS!$A1690,nCURSO,DATOS!$D1690,nESPEC,DATOS!$E1690,nASIG,DATOS!$I1690,nEVAL,"OR")=0))</f>
      </c>
      <c r="I1690">
        <f>IF(DATOS!$I1690="","",IFERROR(VLOOKUP(DATOS!$I1690,CONFIG_ASIGNATURAS!$B$2:$J$91,9,FALSE()),""))</f>
      </c>
    </row>
    <row r="1691">
      <c r="F1691">
        <f>IF(DATOS!$A1691="","",DATOS!$A1691&amp;"|"&amp;DATOS!$D1691&amp;"|"&amp;DATOS!$E1691&amp;"|"&amp;DATOS!$I1691)</f>
      </c>
      <c r="G1691">
        <f>IF(DATOS!$A1691="",0,IF(CONFIG_METADATA!$B$4&lt;&gt;"OR+EX",--(DATOS!$G1691=CONFIG_METADATA!$B$4),IF(DATOS!$G1691="EX",1,IF(DATOS!$G1691="OR",--(COUNTIFS(nNIA,DATOS!$A1691,nCURSO,DATOS!$D1691,nESPEC,DATOS!$E1691,nASIG,DATOS!$I1691,nEVAL,"EX")=0),0))))</f>
      </c>
      <c r="H1691">
        <f>IF(DATOS!$G1691&lt;&gt;"EX",0,--(COUNTIFS(nNIA,DATOS!$A1691,nCURSO,DATOS!$D1691,nESPEC,DATOS!$E1691,nASIG,DATOS!$I1691,nEVAL,"OR")=0))</f>
      </c>
      <c r="I1691">
        <f>IF(DATOS!$I1691="","",IFERROR(VLOOKUP(DATOS!$I1691,CONFIG_ASIGNATURAS!$B$2:$J$91,9,FALSE()),""))</f>
      </c>
    </row>
    <row r="1692">
      <c r="F1692">
        <f>IF(DATOS!$A1692="","",DATOS!$A1692&amp;"|"&amp;DATOS!$D1692&amp;"|"&amp;DATOS!$E1692&amp;"|"&amp;DATOS!$I1692)</f>
      </c>
      <c r="G1692">
        <f>IF(DATOS!$A1692="",0,IF(CONFIG_METADATA!$B$4&lt;&gt;"OR+EX",--(DATOS!$G1692=CONFIG_METADATA!$B$4),IF(DATOS!$G1692="EX",1,IF(DATOS!$G1692="OR",--(COUNTIFS(nNIA,DATOS!$A1692,nCURSO,DATOS!$D1692,nESPEC,DATOS!$E1692,nASIG,DATOS!$I1692,nEVAL,"EX")=0),0))))</f>
      </c>
      <c r="H1692">
        <f>IF(DATOS!$G1692&lt;&gt;"EX",0,--(COUNTIFS(nNIA,DATOS!$A1692,nCURSO,DATOS!$D1692,nESPEC,DATOS!$E1692,nASIG,DATOS!$I1692,nEVAL,"OR")=0))</f>
      </c>
      <c r="I1692">
        <f>IF(DATOS!$I1692="","",IFERROR(VLOOKUP(DATOS!$I1692,CONFIG_ASIGNATURAS!$B$2:$J$91,9,FALSE()),""))</f>
      </c>
    </row>
    <row r="1693">
      <c r="F1693">
        <f>IF(DATOS!$A1693="","",DATOS!$A1693&amp;"|"&amp;DATOS!$D1693&amp;"|"&amp;DATOS!$E1693&amp;"|"&amp;DATOS!$I1693)</f>
      </c>
      <c r="G1693">
        <f>IF(DATOS!$A1693="",0,IF(CONFIG_METADATA!$B$4&lt;&gt;"OR+EX",--(DATOS!$G1693=CONFIG_METADATA!$B$4),IF(DATOS!$G1693="EX",1,IF(DATOS!$G1693="OR",--(COUNTIFS(nNIA,DATOS!$A1693,nCURSO,DATOS!$D1693,nESPEC,DATOS!$E1693,nASIG,DATOS!$I1693,nEVAL,"EX")=0),0))))</f>
      </c>
      <c r="H1693">
        <f>IF(DATOS!$G1693&lt;&gt;"EX",0,--(COUNTIFS(nNIA,DATOS!$A1693,nCURSO,DATOS!$D1693,nESPEC,DATOS!$E1693,nASIG,DATOS!$I1693,nEVAL,"OR")=0))</f>
      </c>
      <c r="I1693">
        <f>IF(DATOS!$I1693="","",IFERROR(VLOOKUP(DATOS!$I1693,CONFIG_ASIGNATURAS!$B$2:$J$91,9,FALSE()),""))</f>
      </c>
    </row>
    <row r="1694">
      <c r="F1694">
        <f>IF(DATOS!$A1694="","",DATOS!$A1694&amp;"|"&amp;DATOS!$D1694&amp;"|"&amp;DATOS!$E1694&amp;"|"&amp;DATOS!$I1694)</f>
      </c>
      <c r="G1694">
        <f>IF(DATOS!$A1694="",0,IF(CONFIG_METADATA!$B$4&lt;&gt;"OR+EX",--(DATOS!$G1694=CONFIG_METADATA!$B$4),IF(DATOS!$G1694="EX",1,IF(DATOS!$G1694="OR",--(COUNTIFS(nNIA,DATOS!$A1694,nCURSO,DATOS!$D1694,nESPEC,DATOS!$E1694,nASIG,DATOS!$I1694,nEVAL,"EX")=0),0))))</f>
      </c>
      <c r="H1694">
        <f>IF(DATOS!$G1694&lt;&gt;"EX",0,--(COUNTIFS(nNIA,DATOS!$A1694,nCURSO,DATOS!$D1694,nESPEC,DATOS!$E1694,nASIG,DATOS!$I1694,nEVAL,"OR")=0))</f>
      </c>
      <c r="I1694">
        <f>IF(DATOS!$I1694="","",IFERROR(VLOOKUP(DATOS!$I1694,CONFIG_ASIGNATURAS!$B$2:$J$91,9,FALSE()),""))</f>
      </c>
    </row>
    <row r="1695">
      <c r="F1695">
        <f>IF(DATOS!$A1695="","",DATOS!$A1695&amp;"|"&amp;DATOS!$D1695&amp;"|"&amp;DATOS!$E1695&amp;"|"&amp;DATOS!$I1695)</f>
      </c>
      <c r="G1695">
        <f>IF(DATOS!$A1695="",0,IF(CONFIG_METADATA!$B$4&lt;&gt;"OR+EX",--(DATOS!$G1695=CONFIG_METADATA!$B$4),IF(DATOS!$G1695="EX",1,IF(DATOS!$G1695="OR",--(COUNTIFS(nNIA,DATOS!$A1695,nCURSO,DATOS!$D1695,nESPEC,DATOS!$E1695,nASIG,DATOS!$I1695,nEVAL,"EX")=0),0))))</f>
      </c>
      <c r="H1695">
        <f>IF(DATOS!$G1695&lt;&gt;"EX",0,--(COUNTIFS(nNIA,DATOS!$A1695,nCURSO,DATOS!$D1695,nESPEC,DATOS!$E1695,nASIG,DATOS!$I1695,nEVAL,"OR")=0))</f>
      </c>
      <c r="I1695">
        <f>IF(DATOS!$I1695="","",IFERROR(VLOOKUP(DATOS!$I1695,CONFIG_ASIGNATURAS!$B$2:$J$91,9,FALSE()),""))</f>
      </c>
    </row>
    <row r="1696">
      <c r="F1696">
        <f>IF(DATOS!$A1696="","",DATOS!$A1696&amp;"|"&amp;DATOS!$D1696&amp;"|"&amp;DATOS!$E1696&amp;"|"&amp;DATOS!$I1696)</f>
      </c>
      <c r="G1696">
        <f>IF(DATOS!$A1696="",0,IF(CONFIG_METADATA!$B$4&lt;&gt;"OR+EX",--(DATOS!$G1696=CONFIG_METADATA!$B$4),IF(DATOS!$G1696="EX",1,IF(DATOS!$G1696="OR",--(COUNTIFS(nNIA,DATOS!$A1696,nCURSO,DATOS!$D1696,nESPEC,DATOS!$E1696,nASIG,DATOS!$I1696,nEVAL,"EX")=0),0))))</f>
      </c>
      <c r="H1696">
        <f>IF(DATOS!$G1696&lt;&gt;"EX",0,--(COUNTIFS(nNIA,DATOS!$A1696,nCURSO,DATOS!$D1696,nESPEC,DATOS!$E1696,nASIG,DATOS!$I1696,nEVAL,"OR")=0))</f>
      </c>
      <c r="I1696">
        <f>IF(DATOS!$I1696="","",IFERROR(VLOOKUP(DATOS!$I1696,CONFIG_ASIGNATURAS!$B$2:$J$91,9,FALSE()),""))</f>
      </c>
    </row>
    <row r="1697">
      <c r="F1697">
        <f>IF(DATOS!$A1697="","",DATOS!$A1697&amp;"|"&amp;DATOS!$D1697&amp;"|"&amp;DATOS!$E1697&amp;"|"&amp;DATOS!$I1697)</f>
      </c>
      <c r="G1697">
        <f>IF(DATOS!$A1697="",0,IF(CONFIG_METADATA!$B$4&lt;&gt;"OR+EX",--(DATOS!$G1697=CONFIG_METADATA!$B$4),IF(DATOS!$G1697="EX",1,IF(DATOS!$G1697="OR",--(COUNTIFS(nNIA,DATOS!$A1697,nCURSO,DATOS!$D1697,nESPEC,DATOS!$E1697,nASIG,DATOS!$I1697,nEVAL,"EX")=0),0))))</f>
      </c>
      <c r="H1697">
        <f>IF(DATOS!$G1697&lt;&gt;"EX",0,--(COUNTIFS(nNIA,DATOS!$A1697,nCURSO,DATOS!$D1697,nESPEC,DATOS!$E1697,nASIG,DATOS!$I1697,nEVAL,"OR")=0))</f>
      </c>
      <c r="I1697">
        <f>IF(DATOS!$I1697="","",IFERROR(VLOOKUP(DATOS!$I1697,CONFIG_ASIGNATURAS!$B$2:$J$91,9,FALSE()),""))</f>
      </c>
    </row>
    <row r="1698">
      <c r="F1698">
        <f>IF(DATOS!$A1698="","",DATOS!$A1698&amp;"|"&amp;DATOS!$D1698&amp;"|"&amp;DATOS!$E1698&amp;"|"&amp;DATOS!$I1698)</f>
      </c>
      <c r="G1698">
        <f>IF(DATOS!$A1698="",0,IF(CONFIG_METADATA!$B$4&lt;&gt;"OR+EX",--(DATOS!$G1698=CONFIG_METADATA!$B$4),IF(DATOS!$G1698="EX",1,IF(DATOS!$G1698="OR",--(COUNTIFS(nNIA,DATOS!$A1698,nCURSO,DATOS!$D1698,nESPEC,DATOS!$E1698,nASIG,DATOS!$I1698,nEVAL,"EX")=0),0))))</f>
      </c>
      <c r="H1698">
        <f>IF(DATOS!$G1698&lt;&gt;"EX",0,--(COUNTIFS(nNIA,DATOS!$A1698,nCURSO,DATOS!$D1698,nESPEC,DATOS!$E1698,nASIG,DATOS!$I1698,nEVAL,"OR")=0))</f>
      </c>
      <c r="I1698">
        <f>IF(DATOS!$I1698="","",IFERROR(VLOOKUP(DATOS!$I1698,CONFIG_ASIGNATURAS!$B$2:$J$91,9,FALSE()),""))</f>
      </c>
    </row>
    <row r="1699">
      <c r="F1699">
        <f>IF(DATOS!$A1699="","",DATOS!$A1699&amp;"|"&amp;DATOS!$D1699&amp;"|"&amp;DATOS!$E1699&amp;"|"&amp;DATOS!$I1699)</f>
      </c>
      <c r="G1699">
        <f>IF(DATOS!$A1699="",0,IF(CONFIG_METADATA!$B$4&lt;&gt;"OR+EX",--(DATOS!$G1699=CONFIG_METADATA!$B$4),IF(DATOS!$G1699="EX",1,IF(DATOS!$G1699="OR",--(COUNTIFS(nNIA,DATOS!$A1699,nCURSO,DATOS!$D1699,nESPEC,DATOS!$E1699,nASIG,DATOS!$I1699,nEVAL,"EX")=0),0))))</f>
      </c>
      <c r="H1699">
        <f>IF(DATOS!$G1699&lt;&gt;"EX",0,--(COUNTIFS(nNIA,DATOS!$A1699,nCURSO,DATOS!$D1699,nESPEC,DATOS!$E1699,nASIG,DATOS!$I1699,nEVAL,"OR")=0))</f>
      </c>
      <c r="I1699">
        <f>IF(DATOS!$I1699="","",IFERROR(VLOOKUP(DATOS!$I1699,CONFIG_ASIGNATURAS!$B$2:$J$91,9,FALSE()),""))</f>
      </c>
    </row>
    <row r="1700">
      <c r="F1700">
        <f>IF(DATOS!$A1700="","",DATOS!$A1700&amp;"|"&amp;DATOS!$D1700&amp;"|"&amp;DATOS!$E1700&amp;"|"&amp;DATOS!$I1700)</f>
      </c>
      <c r="G1700">
        <f>IF(DATOS!$A1700="",0,IF(CONFIG_METADATA!$B$4&lt;&gt;"OR+EX",--(DATOS!$G1700=CONFIG_METADATA!$B$4),IF(DATOS!$G1700="EX",1,IF(DATOS!$G1700="OR",--(COUNTIFS(nNIA,DATOS!$A1700,nCURSO,DATOS!$D1700,nESPEC,DATOS!$E1700,nASIG,DATOS!$I1700,nEVAL,"EX")=0),0))))</f>
      </c>
      <c r="H1700">
        <f>IF(DATOS!$G1700&lt;&gt;"EX",0,--(COUNTIFS(nNIA,DATOS!$A1700,nCURSO,DATOS!$D1700,nESPEC,DATOS!$E1700,nASIG,DATOS!$I1700,nEVAL,"OR")=0))</f>
      </c>
      <c r="I1700">
        <f>IF(DATOS!$I1700="","",IFERROR(VLOOKUP(DATOS!$I1700,CONFIG_ASIGNATURAS!$B$2:$J$91,9,FALSE()),""))</f>
      </c>
    </row>
    <row r="1701">
      <c r="F1701">
        <f>IF(DATOS!$A1701="","",DATOS!$A1701&amp;"|"&amp;DATOS!$D1701&amp;"|"&amp;DATOS!$E1701&amp;"|"&amp;DATOS!$I1701)</f>
      </c>
      <c r="G1701">
        <f>IF(DATOS!$A1701="",0,IF(CONFIG_METADATA!$B$4&lt;&gt;"OR+EX",--(DATOS!$G1701=CONFIG_METADATA!$B$4),IF(DATOS!$G1701="EX",1,IF(DATOS!$G1701="OR",--(COUNTIFS(nNIA,DATOS!$A1701,nCURSO,DATOS!$D1701,nESPEC,DATOS!$E1701,nASIG,DATOS!$I1701,nEVAL,"EX")=0),0))))</f>
      </c>
      <c r="H1701">
        <f>IF(DATOS!$G1701&lt;&gt;"EX",0,--(COUNTIFS(nNIA,DATOS!$A1701,nCURSO,DATOS!$D1701,nESPEC,DATOS!$E1701,nASIG,DATOS!$I1701,nEVAL,"OR")=0))</f>
      </c>
      <c r="I1701">
        <f>IF(DATOS!$I1701="","",IFERROR(VLOOKUP(DATOS!$I1701,CONFIG_ASIGNATURAS!$B$2:$J$91,9,FALSE()),""))</f>
      </c>
    </row>
    <row r="1702">
      <c r="F1702">
        <f>IF(DATOS!$A1702="","",DATOS!$A1702&amp;"|"&amp;DATOS!$D1702&amp;"|"&amp;DATOS!$E1702&amp;"|"&amp;DATOS!$I1702)</f>
      </c>
      <c r="G1702">
        <f>IF(DATOS!$A1702="",0,IF(CONFIG_METADATA!$B$4&lt;&gt;"OR+EX",--(DATOS!$G1702=CONFIG_METADATA!$B$4),IF(DATOS!$G1702="EX",1,IF(DATOS!$G1702="OR",--(COUNTIFS(nNIA,DATOS!$A1702,nCURSO,DATOS!$D1702,nESPEC,DATOS!$E1702,nASIG,DATOS!$I1702,nEVAL,"EX")=0),0))))</f>
      </c>
      <c r="H1702">
        <f>IF(DATOS!$G1702&lt;&gt;"EX",0,--(COUNTIFS(nNIA,DATOS!$A1702,nCURSO,DATOS!$D1702,nESPEC,DATOS!$E1702,nASIG,DATOS!$I1702,nEVAL,"OR")=0))</f>
      </c>
      <c r="I1702">
        <f>IF(DATOS!$I1702="","",IFERROR(VLOOKUP(DATOS!$I1702,CONFIG_ASIGNATURAS!$B$2:$J$91,9,FALSE()),""))</f>
      </c>
    </row>
    <row r="1703">
      <c r="F1703">
        <f>IF(DATOS!$A1703="","",DATOS!$A1703&amp;"|"&amp;DATOS!$D1703&amp;"|"&amp;DATOS!$E1703&amp;"|"&amp;DATOS!$I1703)</f>
      </c>
      <c r="G1703">
        <f>IF(DATOS!$A1703="",0,IF(CONFIG_METADATA!$B$4&lt;&gt;"OR+EX",--(DATOS!$G1703=CONFIG_METADATA!$B$4),IF(DATOS!$G1703="EX",1,IF(DATOS!$G1703="OR",--(COUNTIFS(nNIA,DATOS!$A1703,nCURSO,DATOS!$D1703,nESPEC,DATOS!$E1703,nASIG,DATOS!$I1703,nEVAL,"EX")=0),0))))</f>
      </c>
      <c r="H1703">
        <f>IF(DATOS!$G1703&lt;&gt;"EX",0,--(COUNTIFS(nNIA,DATOS!$A1703,nCURSO,DATOS!$D1703,nESPEC,DATOS!$E1703,nASIG,DATOS!$I1703,nEVAL,"OR")=0))</f>
      </c>
      <c r="I1703">
        <f>IF(DATOS!$I1703="","",IFERROR(VLOOKUP(DATOS!$I1703,CONFIG_ASIGNATURAS!$B$2:$J$91,9,FALSE()),""))</f>
      </c>
    </row>
    <row r="1704">
      <c r="F1704">
        <f>IF(DATOS!$A1704="","",DATOS!$A1704&amp;"|"&amp;DATOS!$D1704&amp;"|"&amp;DATOS!$E1704&amp;"|"&amp;DATOS!$I1704)</f>
      </c>
      <c r="G1704">
        <f>IF(DATOS!$A1704="",0,IF(CONFIG_METADATA!$B$4&lt;&gt;"OR+EX",--(DATOS!$G1704=CONFIG_METADATA!$B$4),IF(DATOS!$G1704="EX",1,IF(DATOS!$G1704="OR",--(COUNTIFS(nNIA,DATOS!$A1704,nCURSO,DATOS!$D1704,nESPEC,DATOS!$E1704,nASIG,DATOS!$I1704,nEVAL,"EX")=0),0))))</f>
      </c>
      <c r="H1704">
        <f>IF(DATOS!$G1704&lt;&gt;"EX",0,--(COUNTIFS(nNIA,DATOS!$A1704,nCURSO,DATOS!$D1704,nESPEC,DATOS!$E1704,nASIG,DATOS!$I1704,nEVAL,"OR")=0))</f>
      </c>
      <c r="I1704">
        <f>IF(DATOS!$I1704="","",IFERROR(VLOOKUP(DATOS!$I1704,CONFIG_ASIGNATURAS!$B$2:$J$91,9,FALSE()),""))</f>
      </c>
    </row>
    <row r="1705">
      <c r="F1705">
        <f>IF(DATOS!$A1705="","",DATOS!$A1705&amp;"|"&amp;DATOS!$D1705&amp;"|"&amp;DATOS!$E1705&amp;"|"&amp;DATOS!$I1705)</f>
      </c>
      <c r="G1705">
        <f>IF(DATOS!$A1705="",0,IF(CONFIG_METADATA!$B$4&lt;&gt;"OR+EX",--(DATOS!$G1705=CONFIG_METADATA!$B$4),IF(DATOS!$G1705="EX",1,IF(DATOS!$G1705="OR",--(COUNTIFS(nNIA,DATOS!$A1705,nCURSO,DATOS!$D1705,nESPEC,DATOS!$E1705,nASIG,DATOS!$I1705,nEVAL,"EX")=0),0))))</f>
      </c>
      <c r="H1705">
        <f>IF(DATOS!$G1705&lt;&gt;"EX",0,--(COUNTIFS(nNIA,DATOS!$A1705,nCURSO,DATOS!$D1705,nESPEC,DATOS!$E1705,nASIG,DATOS!$I1705,nEVAL,"OR")=0))</f>
      </c>
      <c r="I1705">
        <f>IF(DATOS!$I1705="","",IFERROR(VLOOKUP(DATOS!$I1705,CONFIG_ASIGNATURAS!$B$2:$J$91,9,FALSE()),""))</f>
      </c>
    </row>
    <row r="1706">
      <c r="F1706">
        <f>IF(DATOS!$A1706="","",DATOS!$A1706&amp;"|"&amp;DATOS!$D1706&amp;"|"&amp;DATOS!$E1706&amp;"|"&amp;DATOS!$I1706)</f>
      </c>
      <c r="G1706">
        <f>IF(DATOS!$A1706="",0,IF(CONFIG_METADATA!$B$4&lt;&gt;"OR+EX",--(DATOS!$G1706=CONFIG_METADATA!$B$4),IF(DATOS!$G1706="EX",1,IF(DATOS!$G1706="OR",--(COUNTIFS(nNIA,DATOS!$A1706,nCURSO,DATOS!$D1706,nESPEC,DATOS!$E1706,nASIG,DATOS!$I1706,nEVAL,"EX")=0),0))))</f>
      </c>
      <c r="H1706">
        <f>IF(DATOS!$G1706&lt;&gt;"EX",0,--(COUNTIFS(nNIA,DATOS!$A1706,nCURSO,DATOS!$D1706,nESPEC,DATOS!$E1706,nASIG,DATOS!$I1706,nEVAL,"OR")=0))</f>
      </c>
      <c r="I1706">
        <f>IF(DATOS!$I1706="","",IFERROR(VLOOKUP(DATOS!$I1706,CONFIG_ASIGNATURAS!$B$2:$J$91,9,FALSE()),""))</f>
      </c>
    </row>
    <row r="1707">
      <c r="F1707">
        <f>IF(DATOS!$A1707="","",DATOS!$A1707&amp;"|"&amp;DATOS!$D1707&amp;"|"&amp;DATOS!$E1707&amp;"|"&amp;DATOS!$I1707)</f>
      </c>
      <c r="G1707">
        <f>IF(DATOS!$A1707="",0,IF(CONFIG_METADATA!$B$4&lt;&gt;"OR+EX",--(DATOS!$G1707=CONFIG_METADATA!$B$4),IF(DATOS!$G1707="EX",1,IF(DATOS!$G1707="OR",--(COUNTIFS(nNIA,DATOS!$A1707,nCURSO,DATOS!$D1707,nESPEC,DATOS!$E1707,nASIG,DATOS!$I1707,nEVAL,"EX")=0),0))))</f>
      </c>
      <c r="H1707">
        <f>IF(DATOS!$G1707&lt;&gt;"EX",0,--(COUNTIFS(nNIA,DATOS!$A1707,nCURSO,DATOS!$D1707,nESPEC,DATOS!$E1707,nASIG,DATOS!$I1707,nEVAL,"OR")=0))</f>
      </c>
      <c r="I1707">
        <f>IF(DATOS!$I1707="","",IFERROR(VLOOKUP(DATOS!$I1707,CONFIG_ASIGNATURAS!$B$2:$J$91,9,FALSE()),""))</f>
      </c>
    </row>
    <row r="1708">
      <c r="F1708">
        <f>IF(DATOS!$A1708="","",DATOS!$A1708&amp;"|"&amp;DATOS!$D1708&amp;"|"&amp;DATOS!$E1708&amp;"|"&amp;DATOS!$I1708)</f>
      </c>
      <c r="G1708">
        <f>IF(DATOS!$A1708="",0,IF(CONFIG_METADATA!$B$4&lt;&gt;"OR+EX",--(DATOS!$G1708=CONFIG_METADATA!$B$4),IF(DATOS!$G1708="EX",1,IF(DATOS!$G1708="OR",--(COUNTIFS(nNIA,DATOS!$A1708,nCURSO,DATOS!$D1708,nESPEC,DATOS!$E1708,nASIG,DATOS!$I1708,nEVAL,"EX")=0),0))))</f>
      </c>
      <c r="H1708">
        <f>IF(DATOS!$G1708&lt;&gt;"EX",0,--(COUNTIFS(nNIA,DATOS!$A1708,nCURSO,DATOS!$D1708,nESPEC,DATOS!$E1708,nASIG,DATOS!$I1708,nEVAL,"OR")=0))</f>
      </c>
      <c r="I1708">
        <f>IF(DATOS!$I1708="","",IFERROR(VLOOKUP(DATOS!$I1708,CONFIG_ASIGNATURAS!$B$2:$J$91,9,FALSE()),""))</f>
      </c>
    </row>
    <row r="1709">
      <c r="F1709">
        <f>IF(DATOS!$A1709="","",DATOS!$A1709&amp;"|"&amp;DATOS!$D1709&amp;"|"&amp;DATOS!$E1709&amp;"|"&amp;DATOS!$I1709)</f>
      </c>
      <c r="G1709">
        <f>IF(DATOS!$A1709="",0,IF(CONFIG_METADATA!$B$4&lt;&gt;"OR+EX",--(DATOS!$G1709=CONFIG_METADATA!$B$4),IF(DATOS!$G1709="EX",1,IF(DATOS!$G1709="OR",--(COUNTIFS(nNIA,DATOS!$A1709,nCURSO,DATOS!$D1709,nESPEC,DATOS!$E1709,nASIG,DATOS!$I1709,nEVAL,"EX")=0),0))))</f>
      </c>
      <c r="H1709">
        <f>IF(DATOS!$G1709&lt;&gt;"EX",0,--(COUNTIFS(nNIA,DATOS!$A1709,nCURSO,DATOS!$D1709,nESPEC,DATOS!$E1709,nASIG,DATOS!$I1709,nEVAL,"OR")=0))</f>
      </c>
      <c r="I1709">
        <f>IF(DATOS!$I1709="","",IFERROR(VLOOKUP(DATOS!$I1709,CONFIG_ASIGNATURAS!$B$2:$J$91,9,FALSE()),""))</f>
      </c>
    </row>
    <row r="1710">
      <c r="F1710">
        <f>IF(DATOS!$A1710="","",DATOS!$A1710&amp;"|"&amp;DATOS!$D1710&amp;"|"&amp;DATOS!$E1710&amp;"|"&amp;DATOS!$I1710)</f>
      </c>
      <c r="G1710">
        <f>IF(DATOS!$A1710="",0,IF(CONFIG_METADATA!$B$4&lt;&gt;"OR+EX",--(DATOS!$G1710=CONFIG_METADATA!$B$4),IF(DATOS!$G1710="EX",1,IF(DATOS!$G1710="OR",--(COUNTIFS(nNIA,DATOS!$A1710,nCURSO,DATOS!$D1710,nESPEC,DATOS!$E1710,nASIG,DATOS!$I1710,nEVAL,"EX")=0),0))))</f>
      </c>
      <c r="H1710">
        <f>IF(DATOS!$G1710&lt;&gt;"EX",0,--(COUNTIFS(nNIA,DATOS!$A1710,nCURSO,DATOS!$D1710,nESPEC,DATOS!$E1710,nASIG,DATOS!$I1710,nEVAL,"OR")=0))</f>
      </c>
      <c r="I1710">
        <f>IF(DATOS!$I1710="","",IFERROR(VLOOKUP(DATOS!$I1710,CONFIG_ASIGNATURAS!$B$2:$J$91,9,FALSE()),""))</f>
      </c>
    </row>
    <row r="1711">
      <c r="F1711">
        <f>IF(DATOS!$A1711="","",DATOS!$A1711&amp;"|"&amp;DATOS!$D1711&amp;"|"&amp;DATOS!$E1711&amp;"|"&amp;DATOS!$I1711)</f>
      </c>
      <c r="G1711">
        <f>IF(DATOS!$A1711="",0,IF(CONFIG_METADATA!$B$4&lt;&gt;"OR+EX",--(DATOS!$G1711=CONFIG_METADATA!$B$4),IF(DATOS!$G1711="EX",1,IF(DATOS!$G1711="OR",--(COUNTIFS(nNIA,DATOS!$A1711,nCURSO,DATOS!$D1711,nESPEC,DATOS!$E1711,nASIG,DATOS!$I1711,nEVAL,"EX")=0),0))))</f>
      </c>
      <c r="H1711">
        <f>IF(DATOS!$G1711&lt;&gt;"EX",0,--(COUNTIFS(nNIA,DATOS!$A1711,nCURSO,DATOS!$D1711,nESPEC,DATOS!$E1711,nASIG,DATOS!$I1711,nEVAL,"OR")=0))</f>
      </c>
      <c r="I1711">
        <f>IF(DATOS!$I1711="","",IFERROR(VLOOKUP(DATOS!$I1711,CONFIG_ASIGNATURAS!$B$2:$J$91,9,FALSE()),""))</f>
      </c>
    </row>
    <row r="1712">
      <c r="F1712">
        <f>IF(DATOS!$A1712="","",DATOS!$A1712&amp;"|"&amp;DATOS!$D1712&amp;"|"&amp;DATOS!$E1712&amp;"|"&amp;DATOS!$I1712)</f>
      </c>
      <c r="G1712">
        <f>IF(DATOS!$A1712="",0,IF(CONFIG_METADATA!$B$4&lt;&gt;"OR+EX",--(DATOS!$G1712=CONFIG_METADATA!$B$4),IF(DATOS!$G1712="EX",1,IF(DATOS!$G1712="OR",--(COUNTIFS(nNIA,DATOS!$A1712,nCURSO,DATOS!$D1712,nESPEC,DATOS!$E1712,nASIG,DATOS!$I1712,nEVAL,"EX")=0),0))))</f>
      </c>
      <c r="H1712">
        <f>IF(DATOS!$G1712&lt;&gt;"EX",0,--(COUNTIFS(nNIA,DATOS!$A1712,nCURSO,DATOS!$D1712,nESPEC,DATOS!$E1712,nASIG,DATOS!$I1712,nEVAL,"OR")=0))</f>
      </c>
      <c r="I1712">
        <f>IF(DATOS!$I1712="","",IFERROR(VLOOKUP(DATOS!$I1712,CONFIG_ASIGNATURAS!$B$2:$J$91,9,FALSE()),""))</f>
      </c>
    </row>
    <row r="1713">
      <c r="F1713">
        <f>IF(DATOS!$A1713="","",DATOS!$A1713&amp;"|"&amp;DATOS!$D1713&amp;"|"&amp;DATOS!$E1713&amp;"|"&amp;DATOS!$I1713)</f>
      </c>
      <c r="G1713">
        <f>IF(DATOS!$A1713="",0,IF(CONFIG_METADATA!$B$4&lt;&gt;"OR+EX",--(DATOS!$G1713=CONFIG_METADATA!$B$4),IF(DATOS!$G1713="EX",1,IF(DATOS!$G1713="OR",--(COUNTIFS(nNIA,DATOS!$A1713,nCURSO,DATOS!$D1713,nESPEC,DATOS!$E1713,nASIG,DATOS!$I1713,nEVAL,"EX")=0),0))))</f>
      </c>
      <c r="H1713">
        <f>IF(DATOS!$G1713&lt;&gt;"EX",0,--(COUNTIFS(nNIA,DATOS!$A1713,nCURSO,DATOS!$D1713,nESPEC,DATOS!$E1713,nASIG,DATOS!$I1713,nEVAL,"OR")=0))</f>
      </c>
      <c r="I1713">
        <f>IF(DATOS!$I1713="","",IFERROR(VLOOKUP(DATOS!$I1713,CONFIG_ASIGNATURAS!$B$2:$J$91,9,FALSE()),""))</f>
      </c>
    </row>
    <row r="1714">
      <c r="F1714">
        <f>IF(DATOS!$A1714="","",DATOS!$A1714&amp;"|"&amp;DATOS!$D1714&amp;"|"&amp;DATOS!$E1714&amp;"|"&amp;DATOS!$I1714)</f>
      </c>
      <c r="G1714">
        <f>IF(DATOS!$A1714="",0,IF(CONFIG_METADATA!$B$4&lt;&gt;"OR+EX",--(DATOS!$G1714=CONFIG_METADATA!$B$4),IF(DATOS!$G1714="EX",1,IF(DATOS!$G1714="OR",--(COUNTIFS(nNIA,DATOS!$A1714,nCURSO,DATOS!$D1714,nESPEC,DATOS!$E1714,nASIG,DATOS!$I1714,nEVAL,"EX")=0),0))))</f>
      </c>
      <c r="H1714">
        <f>IF(DATOS!$G1714&lt;&gt;"EX",0,--(COUNTIFS(nNIA,DATOS!$A1714,nCURSO,DATOS!$D1714,nESPEC,DATOS!$E1714,nASIG,DATOS!$I1714,nEVAL,"OR")=0))</f>
      </c>
      <c r="I1714">
        <f>IF(DATOS!$I1714="","",IFERROR(VLOOKUP(DATOS!$I1714,CONFIG_ASIGNATURAS!$B$2:$J$91,9,FALSE()),""))</f>
      </c>
    </row>
    <row r="1715">
      <c r="F1715">
        <f>IF(DATOS!$A1715="","",DATOS!$A1715&amp;"|"&amp;DATOS!$D1715&amp;"|"&amp;DATOS!$E1715&amp;"|"&amp;DATOS!$I1715)</f>
      </c>
      <c r="G1715">
        <f>IF(DATOS!$A1715="",0,IF(CONFIG_METADATA!$B$4&lt;&gt;"OR+EX",--(DATOS!$G1715=CONFIG_METADATA!$B$4),IF(DATOS!$G1715="EX",1,IF(DATOS!$G1715="OR",--(COUNTIFS(nNIA,DATOS!$A1715,nCURSO,DATOS!$D1715,nESPEC,DATOS!$E1715,nASIG,DATOS!$I1715,nEVAL,"EX")=0),0))))</f>
      </c>
      <c r="H1715">
        <f>IF(DATOS!$G1715&lt;&gt;"EX",0,--(COUNTIFS(nNIA,DATOS!$A1715,nCURSO,DATOS!$D1715,nESPEC,DATOS!$E1715,nASIG,DATOS!$I1715,nEVAL,"OR")=0))</f>
      </c>
      <c r="I1715">
        <f>IF(DATOS!$I1715="","",IFERROR(VLOOKUP(DATOS!$I1715,CONFIG_ASIGNATURAS!$B$2:$J$91,9,FALSE()),""))</f>
      </c>
    </row>
    <row r="1716">
      <c r="F1716">
        <f>IF(DATOS!$A1716="","",DATOS!$A1716&amp;"|"&amp;DATOS!$D1716&amp;"|"&amp;DATOS!$E1716&amp;"|"&amp;DATOS!$I1716)</f>
      </c>
      <c r="G1716">
        <f>IF(DATOS!$A1716="",0,IF(CONFIG_METADATA!$B$4&lt;&gt;"OR+EX",--(DATOS!$G1716=CONFIG_METADATA!$B$4),IF(DATOS!$G1716="EX",1,IF(DATOS!$G1716="OR",--(COUNTIFS(nNIA,DATOS!$A1716,nCURSO,DATOS!$D1716,nESPEC,DATOS!$E1716,nASIG,DATOS!$I1716,nEVAL,"EX")=0),0))))</f>
      </c>
      <c r="H1716">
        <f>IF(DATOS!$G1716&lt;&gt;"EX",0,--(COUNTIFS(nNIA,DATOS!$A1716,nCURSO,DATOS!$D1716,nESPEC,DATOS!$E1716,nASIG,DATOS!$I1716,nEVAL,"OR")=0))</f>
      </c>
      <c r="I1716">
        <f>IF(DATOS!$I1716="","",IFERROR(VLOOKUP(DATOS!$I1716,CONFIG_ASIGNATURAS!$B$2:$J$91,9,FALSE()),""))</f>
      </c>
    </row>
    <row r="1717">
      <c r="F1717">
        <f>IF(DATOS!$A1717="","",DATOS!$A1717&amp;"|"&amp;DATOS!$D1717&amp;"|"&amp;DATOS!$E1717&amp;"|"&amp;DATOS!$I1717)</f>
      </c>
      <c r="G1717">
        <f>IF(DATOS!$A1717="",0,IF(CONFIG_METADATA!$B$4&lt;&gt;"OR+EX",--(DATOS!$G1717=CONFIG_METADATA!$B$4),IF(DATOS!$G1717="EX",1,IF(DATOS!$G1717="OR",--(COUNTIFS(nNIA,DATOS!$A1717,nCURSO,DATOS!$D1717,nESPEC,DATOS!$E1717,nASIG,DATOS!$I1717,nEVAL,"EX")=0),0))))</f>
      </c>
      <c r="H1717">
        <f>IF(DATOS!$G1717&lt;&gt;"EX",0,--(COUNTIFS(nNIA,DATOS!$A1717,nCURSO,DATOS!$D1717,nESPEC,DATOS!$E1717,nASIG,DATOS!$I1717,nEVAL,"OR")=0))</f>
      </c>
      <c r="I1717">
        <f>IF(DATOS!$I1717="","",IFERROR(VLOOKUP(DATOS!$I1717,CONFIG_ASIGNATURAS!$B$2:$J$91,9,FALSE()),""))</f>
      </c>
    </row>
    <row r="1718">
      <c r="F1718">
        <f>IF(DATOS!$A1718="","",DATOS!$A1718&amp;"|"&amp;DATOS!$D1718&amp;"|"&amp;DATOS!$E1718&amp;"|"&amp;DATOS!$I1718)</f>
      </c>
      <c r="G1718">
        <f>IF(DATOS!$A1718="",0,IF(CONFIG_METADATA!$B$4&lt;&gt;"OR+EX",--(DATOS!$G1718=CONFIG_METADATA!$B$4),IF(DATOS!$G1718="EX",1,IF(DATOS!$G1718="OR",--(COUNTIFS(nNIA,DATOS!$A1718,nCURSO,DATOS!$D1718,nESPEC,DATOS!$E1718,nASIG,DATOS!$I1718,nEVAL,"EX")=0),0))))</f>
      </c>
      <c r="H1718">
        <f>IF(DATOS!$G1718&lt;&gt;"EX",0,--(COUNTIFS(nNIA,DATOS!$A1718,nCURSO,DATOS!$D1718,nESPEC,DATOS!$E1718,nASIG,DATOS!$I1718,nEVAL,"OR")=0))</f>
      </c>
      <c r="I1718">
        <f>IF(DATOS!$I1718="","",IFERROR(VLOOKUP(DATOS!$I1718,CONFIG_ASIGNATURAS!$B$2:$J$91,9,FALSE()),""))</f>
      </c>
    </row>
    <row r="1719">
      <c r="F1719">
        <f>IF(DATOS!$A1719="","",DATOS!$A1719&amp;"|"&amp;DATOS!$D1719&amp;"|"&amp;DATOS!$E1719&amp;"|"&amp;DATOS!$I1719)</f>
      </c>
      <c r="G1719">
        <f>IF(DATOS!$A1719="",0,IF(CONFIG_METADATA!$B$4&lt;&gt;"OR+EX",--(DATOS!$G1719=CONFIG_METADATA!$B$4),IF(DATOS!$G1719="EX",1,IF(DATOS!$G1719="OR",--(COUNTIFS(nNIA,DATOS!$A1719,nCURSO,DATOS!$D1719,nESPEC,DATOS!$E1719,nASIG,DATOS!$I1719,nEVAL,"EX")=0),0))))</f>
      </c>
      <c r="H1719">
        <f>IF(DATOS!$G1719&lt;&gt;"EX",0,--(COUNTIFS(nNIA,DATOS!$A1719,nCURSO,DATOS!$D1719,nESPEC,DATOS!$E1719,nASIG,DATOS!$I1719,nEVAL,"OR")=0))</f>
      </c>
      <c r="I1719">
        <f>IF(DATOS!$I1719="","",IFERROR(VLOOKUP(DATOS!$I1719,CONFIG_ASIGNATURAS!$B$2:$J$91,9,FALSE()),""))</f>
      </c>
    </row>
    <row r="1720">
      <c r="F1720">
        <f>IF(DATOS!$A1720="","",DATOS!$A1720&amp;"|"&amp;DATOS!$D1720&amp;"|"&amp;DATOS!$E1720&amp;"|"&amp;DATOS!$I1720)</f>
      </c>
      <c r="G1720">
        <f>IF(DATOS!$A1720="",0,IF(CONFIG_METADATA!$B$4&lt;&gt;"OR+EX",--(DATOS!$G1720=CONFIG_METADATA!$B$4),IF(DATOS!$G1720="EX",1,IF(DATOS!$G1720="OR",--(COUNTIFS(nNIA,DATOS!$A1720,nCURSO,DATOS!$D1720,nESPEC,DATOS!$E1720,nASIG,DATOS!$I1720,nEVAL,"EX")=0),0))))</f>
      </c>
      <c r="H1720">
        <f>IF(DATOS!$G1720&lt;&gt;"EX",0,--(COUNTIFS(nNIA,DATOS!$A1720,nCURSO,DATOS!$D1720,nESPEC,DATOS!$E1720,nASIG,DATOS!$I1720,nEVAL,"OR")=0))</f>
      </c>
      <c r="I1720">
        <f>IF(DATOS!$I1720="","",IFERROR(VLOOKUP(DATOS!$I1720,CONFIG_ASIGNATURAS!$B$2:$J$91,9,FALSE()),""))</f>
      </c>
    </row>
    <row r="1721">
      <c r="F1721">
        <f>IF(DATOS!$A1721="","",DATOS!$A1721&amp;"|"&amp;DATOS!$D1721&amp;"|"&amp;DATOS!$E1721&amp;"|"&amp;DATOS!$I1721)</f>
      </c>
      <c r="G1721">
        <f>IF(DATOS!$A1721="",0,IF(CONFIG_METADATA!$B$4&lt;&gt;"OR+EX",--(DATOS!$G1721=CONFIG_METADATA!$B$4),IF(DATOS!$G1721="EX",1,IF(DATOS!$G1721="OR",--(COUNTIFS(nNIA,DATOS!$A1721,nCURSO,DATOS!$D1721,nESPEC,DATOS!$E1721,nASIG,DATOS!$I1721,nEVAL,"EX")=0),0))))</f>
      </c>
      <c r="H1721">
        <f>IF(DATOS!$G1721&lt;&gt;"EX",0,--(COUNTIFS(nNIA,DATOS!$A1721,nCURSO,DATOS!$D1721,nESPEC,DATOS!$E1721,nASIG,DATOS!$I1721,nEVAL,"OR")=0))</f>
      </c>
      <c r="I1721">
        <f>IF(DATOS!$I1721="","",IFERROR(VLOOKUP(DATOS!$I1721,CONFIG_ASIGNATURAS!$B$2:$J$91,9,FALSE()),""))</f>
      </c>
    </row>
    <row r="1722">
      <c r="F1722">
        <f>IF(DATOS!$A1722="","",DATOS!$A1722&amp;"|"&amp;DATOS!$D1722&amp;"|"&amp;DATOS!$E1722&amp;"|"&amp;DATOS!$I1722)</f>
      </c>
      <c r="G1722">
        <f>IF(DATOS!$A1722="",0,IF(CONFIG_METADATA!$B$4&lt;&gt;"OR+EX",--(DATOS!$G1722=CONFIG_METADATA!$B$4),IF(DATOS!$G1722="EX",1,IF(DATOS!$G1722="OR",--(COUNTIFS(nNIA,DATOS!$A1722,nCURSO,DATOS!$D1722,nESPEC,DATOS!$E1722,nASIG,DATOS!$I1722,nEVAL,"EX")=0),0))))</f>
      </c>
      <c r="H1722">
        <f>IF(DATOS!$G1722&lt;&gt;"EX",0,--(COUNTIFS(nNIA,DATOS!$A1722,nCURSO,DATOS!$D1722,nESPEC,DATOS!$E1722,nASIG,DATOS!$I1722,nEVAL,"OR")=0))</f>
      </c>
      <c r="I1722">
        <f>IF(DATOS!$I1722="","",IFERROR(VLOOKUP(DATOS!$I1722,CONFIG_ASIGNATURAS!$B$2:$J$91,9,FALSE()),""))</f>
      </c>
    </row>
    <row r="1723">
      <c r="F1723">
        <f>IF(DATOS!$A1723="","",DATOS!$A1723&amp;"|"&amp;DATOS!$D1723&amp;"|"&amp;DATOS!$E1723&amp;"|"&amp;DATOS!$I1723)</f>
      </c>
      <c r="G1723">
        <f>IF(DATOS!$A1723="",0,IF(CONFIG_METADATA!$B$4&lt;&gt;"OR+EX",--(DATOS!$G1723=CONFIG_METADATA!$B$4),IF(DATOS!$G1723="EX",1,IF(DATOS!$G1723="OR",--(COUNTIFS(nNIA,DATOS!$A1723,nCURSO,DATOS!$D1723,nESPEC,DATOS!$E1723,nASIG,DATOS!$I1723,nEVAL,"EX")=0),0))))</f>
      </c>
      <c r="H1723">
        <f>IF(DATOS!$G1723&lt;&gt;"EX",0,--(COUNTIFS(nNIA,DATOS!$A1723,nCURSO,DATOS!$D1723,nESPEC,DATOS!$E1723,nASIG,DATOS!$I1723,nEVAL,"OR")=0))</f>
      </c>
      <c r="I1723">
        <f>IF(DATOS!$I1723="","",IFERROR(VLOOKUP(DATOS!$I1723,CONFIG_ASIGNATURAS!$B$2:$J$91,9,FALSE()),""))</f>
      </c>
    </row>
    <row r="1724">
      <c r="F1724">
        <f>IF(DATOS!$A1724="","",DATOS!$A1724&amp;"|"&amp;DATOS!$D1724&amp;"|"&amp;DATOS!$E1724&amp;"|"&amp;DATOS!$I1724)</f>
      </c>
      <c r="G1724">
        <f>IF(DATOS!$A1724="",0,IF(CONFIG_METADATA!$B$4&lt;&gt;"OR+EX",--(DATOS!$G1724=CONFIG_METADATA!$B$4),IF(DATOS!$G1724="EX",1,IF(DATOS!$G1724="OR",--(COUNTIFS(nNIA,DATOS!$A1724,nCURSO,DATOS!$D1724,nESPEC,DATOS!$E1724,nASIG,DATOS!$I1724,nEVAL,"EX")=0),0))))</f>
      </c>
      <c r="H1724">
        <f>IF(DATOS!$G1724&lt;&gt;"EX",0,--(COUNTIFS(nNIA,DATOS!$A1724,nCURSO,DATOS!$D1724,nESPEC,DATOS!$E1724,nASIG,DATOS!$I1724,nEVAL,"OR")=0))</f>
      </c>
      <c r="I1724">
        <f>IF(DATOS!$I1724="","",IFERROR(VLOOKUP(DATOS!$I1724,CONFIG_ASIGNATURAS!$B$2:$J$91,9,FALSE()),""))</f>
      </c>
    </row>
    <row r="1725">
      <c r="F1725">
        <f>IF(DATOS!$A1725="","",DATOS!$A1725&amp;"|"&amp;DATOS!$D1725&amp;"|"&amp;DATOS!$E1725&amp;"|"&amp;DATOS!$I1725)</f>
      </c>
      <c r="G1725">
        <f>IF(DATOS!$A1725="",0,IF(CONFIG_METADATA!$B$4&lt;&gt;"OR+EX",--(DATOS!$G1725=CONFIG_METADATA!$B$4),IF(DATOS!$G1725="EX",1,IF(DATOS!$G1725="OR",--(COUNTIFS(nNIA,DATOS!$A1725,nCURSO,DATOS!$D1725,nESPEC,DATOS!$E1725,nASIG,DATOS!$I1725,nEVAL,"EX")=0),0))))</f>
      </c>
      <c r="H1725">
        <f>IF(DATOS!$G1725&lt;&gt;"EX",0,--(COUNTIFS(nNIA,DATOS!$A1725,nCURSO,DATOS!$D1725,nESPEC,DATOS!$E1725,nASIG,DATOS!$I1725,nEVAL,"OR")=0))</f>
      </c>
      <c r="I1725">
        <f>IF(DATOS!$I1725="","",IFERROR(VLOOKUP(DATOS!$I1725,CONFIG_ASIGNATURAS!$B$2:$J$91,9,FALSE()),""))</f>
      </c>
    </row>
    <row r="1726">
      <c r="F1726">
        <f>IF(DATOS!$A1726="","",DATOS!$A1726&amp;"|"&amp;DATOS!$D1726&amp;"|"&amp;DATOS!$E1726&amp;"|"&amp;DATOS!$I1726)</f>
      </c>
      <c r="G1726">
        <f>IF(DATOS!$A1726="",0,IF(CONFIG_METADATA!$B$4&lt;&gt;"OR+EX",--(DATOS!$G1726=CONFIG_METADATA!$B$4),IF(DATOS!$G1726="EX",1,IF(DATOS!$G1726="OR",--(COUNTIFS(nNIA,DATOS!$A1726,nCURSO,DATOS!$D1726,nESPEC,DATOS!$E1726,nASIG,DATOS!$I1726,nEVAL,"EX")=0),0))))</f>
      </c>
      <c r="H1726">
        <f>IF(DATOS!$G1726&lt;&gt;"EX",0,--(COUNTIFS(nNIA,DATOS!$A1726,nCURSO,DATOS!$D1726,nESPEC,DATOS!$E1726,nASIG,DATOS!$I1726,nEVAL,"OR")=0))</f>
      </c>
      <c r="I1726">
        <f>IF(DATOS!$I1726="","",IFERROR(VLOOKUP(DATOS!$I1726,CONFIG_ASIGNATURAS!$B$2:$J$91,9,FALSE()),""))</f>
      </c>
    </row>
    <row r="1727">
      <c r="F1727">
        <f>IF(DATOS!$A1727="","",DATOS!$A1727&amp;"|"&amp;DATOS!$D1727&amp;"|"&amp;DATOS!$E1727&amp;"|"&amp;DATOS!$I1727)</f>
      </c>
      <c r="G1727">
        <f>IF(DATOS!$A1727="",0,IF(CONFIG_METADATA!$B$4&lt;&gt;"OR+EX",--(DATOS!$G1727=CONFIG_METADATA!$B$4),IF(DATOS!$G1727="EX",1,IF(DATOS!$G1727="OR",--(COUNTIFS(nNIA,DATOS!$A1727,nCURSO,DATOS!$D1727,nESPEC,DATOS!$E1727,nASIG,DATOS!$I1727,nEVAL,"EX")=0),0))))</f>
      </c>
      <c r="H1727">
        <f>IF(DATOS!$G1727&lt;&gt;"EX",0,--(COUNTIFS(nNIA,DATOS!$A1727,nCURSO,DATOS!$D1727,nESPEC,DATOS!$E1727,nASIG,DATOS!$I1727,nEVAL,"OR")=0))</f>
      </c>
      <c r="I1727">
        <f>IF(DATOS!$I1727="","",IFERROR(VLOOKUP(DATOS!$I1727,CONFIG_ASIGNATURAS!$B$2:$J$91,9,FALSE()),""))</f>
      </c>
    </row>
    <row r="1728">
      <c r="F1728">
        <f>IF(DATOS!$A1728="","",DATOS!$A1728&amp;"|"&amp;DATOS!$D1728&amp;"|"&amp;DATOS!$E1728&amp;"|"&amp;DATOS!$I1728)</f>
      </c>
      <c r="G1728">
        <f>IF(DATOS!$A1728="",0,IF(CONFIG_METADATA!$B$4&lt;&gt;"OR+EX",--(DATOS!$G1728=CONFIG_METADATA!$B$4),IF(DATOS!$G1728="EX",1,IF(DATOS!$G1728="OR",--(COUNTIFS(nNIA,DATOS!$A1728,nCURSO,DATOS!$D1728,nESPEC,DATOS!$E1728,nASIG,DATOS!$I1728,nEVAL,"EX")=0),0))))</f>
      </c>
      <c r="H1728">
        <f>IF(DATOS!$G1728&lt;&gt;"EX",0,--(COUNTIFS(nNIA,DATOS!$A1728,nCURSO,DATOS!$D1728,nESPEC,DATOS!$E1728,nASIG,DATOS!$I1728,nEVAL,"OR")=0))</f>
      </c>
      <c r="I1728">
        <f>IF(DATOS!$I1728="","",IFERROR(VLOOKUP(DATOS!$I1728,CONFIG_ASIGNATURAS!$B$2:$J$91,9,FALSE()),""))</f>
      </c>
    </row>
    <row r="1729">
      <c r="F1729">
        <f>IF(DATOS!$A1729="","",DATOS!$A1729&amp;"|"&amp;DATOS!$D1729&amp;"|"&amp;DATOS!$E1729&amp;"|"&amp;DATOS!$I1729)</f>
      </c>
      <c r="G1729">
        <f>IF(DATOS!$A1729="",0,IF(CONFIG_METADATA!$B$4&lt;&gt;"OR+EX",--(DATOS!$G1729=CONFIG_METADATA!$B$4),IF(DATOS!$G1729="EX",1,IF(DATOS!$G1729="OR",--(COUNTIFS(nNIA,DATOS!$A1729,nCURSO,DATOS!$D1729,nESPEC,DATOS!$E1729,nASIG,DATOS!$I1729,nEVAL,"EX")=0),0))))</f>
      </c>
      <c r="H1729">
        <f>IF(DATOS!$G1729&lt;&gt;"EX",0,--(COUNTIFS(nNIA,DATOS!$A1729,nCURSO,DATOS!$D1729,nESPEC,DATOS!$E1729,nASIG,DATOS!$I1729,nEVAL,"OR")=0))</f>
      </c>
      <c r="I1729">
        <f>IF(DATOS!$I1729="","",IFERROR(VLOOKUP(DATOS!$I1729,CONFIG_ASIGNATURAS!$B$2:$J$91,9,FALSE()),""))</f>
      </c>
    </row>
    <row r="1730">
      <c r="F1730">
        <f>IF(DATOS!$A1730="","",DATOS!$A1730&amp;"|"&amp;DATOS!$D1730&amp;"|"&amp;DATOS!$E1730&amp;"|"&amp;DATOS!$I1730)</f>
      </c>
      <c r="G1730">
        <f>IF(DATOS!$A1730="",0,IF(CONFIG_METADATA!$B$4&lt;&gt;"OR+EX",--(DATOS!$G1730=CONFIG_METADATA!$B$4),IF(DATOS!$G1730="EX",1,IF(DATOS!$G1730="OR",--(COUNTIFS(nNIA,DATOS!$A1730,nCURSO,DATOS!$D1730,nESPEC,DATOS!$E1730,nASIG,DATOS!$I1730,nEVAL,"EX")=0),0))))</f>
      </c>
      <c r="H1730">
        <f>IF(DATOS!$G1730&lt;&gt;"EX",0,--(COUNTIFS(nNIA,DATOS!$A1730,nCURSO,DATOS!$D1730,nESPEC,DATOS!$E1730,nASIG,DATOS!$I1730,nEVAL,"OR")=0))</f>
      </c>
      <c r="I1730">
        <f>IF(DATOS!$I1730="","",IFERROR(VLOOKUP(DATOS!$I1730,CONFIG_ASIGNATURAS!$B$2:$J$91,9,FALSE()),""))</f>
      </c>
    </row>
    <row r="1731">
      <c r="F1731">
        <f>IF(DATOS!$A1731="","",DATOS!$A1731&amp;"|"&amp;DATOS!$D1731&amp;"|"&amp;DATOS!$E1731&amp;"|"&amp;DATOS!$I1731)</f>
      </c>
      <c r="G1731">
        <f>IF(DATOS!$A1731="",0,IF(CONFIG_METADATA!$B$4&lt;&gt;"OR+EX",--(DATOS!$G1731=CONFIG_METADATA!$B$4),IF(DATOS!$G1731="EX",1,IF(DATOS!$G1731="OR",--(COUNTIFS(nNIA,DATOS!$A1731,nCURSO,DATOS!$D1731,nESPEC,DATOS!$E1731,nASIG,DATOS!$I1731,nEVAL,"EX")=0),0))))</f>
      </c>
      <c r="H1731">
        <f>IF(DATOS!$G1731&lt;&gt;"EX",0,--(COUNTIFS(nNIA,DATOS!$A1731,nCURSO,DATOS!$D1731,nESPEC,DATOS!$E1731,nASIG,DATOS!$I1731,nEVAL,"OR")=0))</f>
      </c>
      <c r="I1731">
        <f>IF(DATOS!$I1731="","",IFERROR(VLOOKUP(DATOS!$I1731,CONFIG_ASIGNATURAS!$B$2:$J$91,9,FALSE()),""))</f>
      </c>
    </row>
    <row r="1732">
      <c r="F1732">
        <f>IF(DATOS!$A1732="","",DATOS!$A1732&amp;"|"&amp;DATOS!$D1732&amp;"|"&amp;DATOS!$E1732&amp;"|"&amp;DATOS!$I1732)</f>
      </c>
      <c r="G1732">
        <f>IF(DATOS!$A1732="",0,IF(CONFIG_METADATA!$B$4&lt;&gt;"OR+EX",--(DATOS!$G1732=CONFIG_METADATA!$B$4),IF(DATOS!$G1732="EX",1,IF(DATOS!$G1732="OR",--(COUNTIFS(nNIA,DATOS!$A1732,nCURSO,DATOS!$D1732,nESPEC,DATOS!$E1732,nASIG,DATOS!$I1732,nEVAL,"EX")=0),0))))</f>
      </c>
      <c r="H1732">
        <f>IF(DATOS!$G1732&lt;&gt;"EX",0,--(COUNTIFS(nNIA,DATOS!$A1732,nCURSO,DATOS!$D1732,nESPEC,DATOS!$E1732,nASIG,DATOS!$I1732,nEVAL,"OR")=0))</f>
      </c>
      <c r="I1732">
        <f>IF(DATOS!$I1732="","",IFERROR(VLOOKUP(DATOS!$I1732,CONFIG_ASIGNATURAS!$B$2:$J$91,9,FALSE()),""))</f>
      </c>
    </row>
    <row r="1733">
      <c r="F1733">
        <f>IF(DATOS!$A1733="","",DATOS!$A1733&amp;"|"&amp;DATOS!$D1733&amp;"|"&amp;DATOS!$E1733&amp;"|"&amp;DATOS!$I1733)</f>
      </c>
      <c r="G1733">
        <f>IF(DATOS!$A1733="",0,IF(CONFIG_METADATA!$B$4&lt;&gt;"OR+EX",--(DATOS!$G1733=CONFIG_METADATA!$B$4),IF(DATOS!$G1733="EX",1,IF(DATOS!$G1733="OR",--(COUNTIFS(nNIA,DATOS!$A1733,nCURSO,DATOS!$D1733,nESPEC,DATOS!$E1733,nASIG,DATOS!$I1733,nEVAL,"EX")=0),0))))</f>
      </c>
      <c r="H1733">
        <f>IF(DATOS!$G1733&lt;&gt;"EX",0,--(COUNTIFS(nNIA,DATOS!$A1733,nCURSO,DATOS!$D1733,nESPEC,DATOS!$E1733,nASIG,DATOS!$I1733,nEVAL,"OR")=0))</f>
      </c>
      <c r="I1733">
        <f>IF(DATOS!$I1733="","",IFERROR(VLOOKUP(DATOS!$I1733,CONFIG_ASIGNATURAS!$B$2:$J$91,9,FALSE()),""))</f>
      </c>
    </row>
    <row r="1734">
      <c r="F1734">
        <f>IF(DATOS!$A1734="","",DATOS!$A1734&amp;"|"&amp;DATOS!$D1734&amp;"|"&amp;DATOS!$E1734&amp;"|"&amp;DATOS!$I1734)</f>
      </c>
      <c r="G1734">
        <f>IF(DATOS!$A1734="",0,IF(CONFIG_METADATA!$B$4&lt;&gt;"OR+EX",--(DATOS!$G1734=CONFIG_METADATA!$B$4),IF(DATOS!$G1734="EX",1,IF(DATOS!$G1734="OR",--(COUNTIFS(nNIA,DATOS!$A1734,nCURSO,DATOS!$D1734,nESPEC,DATOS!$E1734,nASIG,DATOS!$I1734,nEVAL,"EX")=0),0))))</f>
      </c>
      <c r="H1734">
        <f>IF(DATOS!$G1734&lt;&gt;"EX",0,--(COUNTIFS(nNIA,DATOS!$A1734,nCURSO,DATOS!$D1734,nESPEC,DATOS!$E1734,nASIG,DATOS!$I1734,nEVAL,"OR")=0))</f>
      </c>
      <c r="I1734">
        <f>IF(DATOS!$I1734="","",IFERROR(VLOOKUP(DATOS!$I1734,CONFIG_ASIGNATURAS!$B$2:$J$91,9,FALSE()),""))</f>
      </c>
    </row>
    <row r="1735">
      <c r="F1735">
        <f>IF(DATOS!$A1735="","",DATOS!$A1735&amp;"|"&amp;DATOS!$D1735&amp;"|"&amp;DATOS!$E1735&amp;"|"&amp;DATOS!$I1735)</f>
      </c>
      <c r="G1735">
        <f>IF(DATOS!$A1735="",0,IF(CONFIG_METADATA!$B$4&lt;&gt;"OR+EX",--(DATOS!$G1735=CONFIG_METADATA!$B$4),IF(DATOS!$G1735="EX",1,IF(DATOS!$G1735="OR",--(COUNTIFS(nNIA,DATOS!$A1735,nCURSO,DATOS!$D1735,nESPEC,DATOS!$E1735,nASIG,DATOS!$I1735,nEVAL,"EX")=0),0))))</f>
      </c>
      <c r="H1735">
        <f>IF(DATOS!$G1735&lt;&gt;"EX",0,--(COUNTIFS(nNIA,DATOS!$A1735,nCURSO,DATOS!$D1735,nESPEC,DATOS!$E1735,nASIG,DATOS!$I1735,nEVAL,"OR")=0))</f>
      </c>
      <c r="I1735">
        <f>IF(DATOS!$I1735="","",IFERROR(VLOOKUP(DATOS!$I1735,CONFIG_ASIGNATURAS!$B$2:$J$91,9,FALSE()),""))</f>
      </c>
    </row>
    <row r="1736">
      <c r="F1736">
        <f>IF(DATOS!$A1736="","",DATOS!$A1736&amp;"|"&amp;DATOS!$D1736&amp;"|"&amp;DATOS!$E1736&amp;"|"&amp;DATOS!$I1736)</f>
      </c>
      <c r="G1736">
        <f>IF(DATOS!$A1736="",0,IF(CONFIG_METADATA!$B$4&lt;&gt;"OR+EX",--(DATOS!$G1736=CONFIG_METADATA!$B$4),IF(DATOS!$G1736="EX",1,IF(DATOS!$G1736="OR",--(COUNTIFS(nNIA,DATOS!$A1736,nCURSO,DATOS!$D1736,nESPEC,DATOS!$E1736,nASIG,DATOS!$I1736,nEVAL,"EX")=0),0))))</f>
      </c>
      <c r="H1736">
        <f>IF(DATOS!$G1736&lt;&gt;"EX",0,--(COUNTIFS(nNIA,DATOS!$A1736,nCURSO,DATOS!$D1736,nESPEC,DATOS!$E1736,nASIG,DATOS!$I1736,nEVAL,"OR")=0))</f>
      </c>
      <c r="I1736">
        <f>IF(DATOS!$I1736="","",IFERROR(VLOOKUP(DATOS!$I1736,CONFIG_ASIGNATURAS!$B$2:$J$91,9,FALSE()),""))</f>
      </c>
    </row>
    <row r="1737">
      <c r="F1737">
        <f>IF(DATOS!$A1737="","",DATOS!$A1737&amp;"|"&amp;DATOS!$D1737&amp;"|"&amp;DATOS!$E1737&amp;"|"&amp;DATOS!$I1737)</f>
      </c>
      <c r="G1737">
        <f>IF(DATOS!$A1737="",0,IF(CONFIG_METADATA!$B$4&lt;&gt;"OR+EX",--(DATOS!$G1737=CONFIG_METADATA!$B$4),IF(DATOS!$G1737="EX",1,IF(DATOS!$G1737="OR",--(COUNTIFS(nNIA,DATOS!$A1737,nCURSO,DATOS!$D1737,nESPEC,DATOS!$E1737,nASIG,DATOS!$I1737,nEVAL,"EX")=0),0))))</f>
      </c>
      <c r="H1737">
        <f>IF(DATOS!$G1737&lt;&gt;"EX",0,--(COUNTIFS(nNIA,DATOS!$A1737,nCURSO,DATOS!$D1737,nESPEC,DATOS!$E1737,nASIG,DATOS!$I1737,nEVAL,"OR")=0))</f>
      </c>
      <c r="I1737">
        <f>IF(DATOS!$I1737="","",IFERROR(VLOOKUP(DATOS!$I1737,CONFIG_ASIGNATURAS!$B$2:$J$91,9,FALSE()),""))</f>
      </c>
    </row>
    <row r="1738">
      <c r="F1738">
        <f>IF(DATOS!$A1738="","",DATOS!$A1738&amp;"|"&amp;DATOS!$D1738&amp;"|"&amp;DATOS!$E1738&amp;"|"&amp;DATOS!$I1738)</f>
      </c>
      <c r="G1738">
        <f>IF(DATOS!$A1738="",0,IF(CONFIG_METADATA!$B$4&lt;&gt;"OR+EX",--(DATOS!$G1738=CONFIG_METADATA!$B$4),IF(DATOS!$G1738="EX",1,IF(DATOS!$G1738="OR",--(COUNTIFS(nNIA,DATOS!$A1738,nCURSO,DATOS!$D1738,nESPEC,DATOS!$E1738,nASIG,DATOS!$I1738,nEVAL,"EX")=0),0))))</f>
      </c>
      <c r="H1738">
        <f>IF(DATOS!$G1738&lt;&gt;"EX",0,--(COUNTIFS(nNIA,DATOS!$A1738,nCURSO,DATOS!$D1738,nESPEC,DATOS!$E1738,nASIG,DATOS!$I1738,nEVAL,"OR")=0))</f>
      </c>
      <c r="I1738">
        <f>IF(DATOS!$I1738="","",IFERROR(VLOOKUP(DATOS!$I1738,CONFIG_ASIGNATURAS!$B$2:$J$91,9,FALSE()),""))</f>
      </c>
    </row>
    <row r="1739">
      <c r="F1739">
        <f>IF(DATOS!$A1739="","",DATOS!$A1739&amp;"|"&amp;DATOS!$D1739&amp;"|"&amp;DATOS!$E1739&amp;"|"&amp;DATOS!$I1739)</f>
      </c>
      <c r="G1739">
        <f>IF(DATOS!$A1739="",0,IF(CONFIG_METADATA!$B$4&lt;&gt;"OR+EX",--(DATOS!$G1739=CONFIG_METADATA!$B$4),IF(DATOS!$G1739="EX",1,IF(DATOS!$G1739="OR",--(COUNTIFS(nNIA,DATOS!$A1739,nCURSO,DATOS!$D1739,nESPEC,DATOS!$E1739,nASIG,DATOS!$I1739,nEVAL,"EX")=0),0))))</f>
      </c>
      <c r="H1739">
        <f>IF(DATOS!$G1739&lt;&gt;"EX",0,--(COUNTIFS(nNIA,DATOS!$A1739,nCURSO,DATOS!$D1739,nESPEC,DATOS!$E1739,nASIG,DATOS!$I1739,nEVAL,"OR")=0))</f>
      </c>
      <c r="I1739">
        <f>IF(DATOS!$I1739="","",IFERROR(VLOOKUP(DATOS!$I1739,CONFIG_ASIGNATURAS!$B$2:$J$91,9,FALSE()),""))</f>
      </c>
    </row>
    <row r="1740">
      <c r="F1740">
        <f>IF(DATOS!$A1740="","",DATOS!$A1740&amp;"|"&amp;DATOS!$D1740&amp;"|"&amp;DATOS!$E1740&amp;"|"&amp;DATOS!$I1740)</f>
      </c>
      <c r="G1740">
        <f>IF(DATOS!$A1740="",0,IF(CONFIG_METADATA!$B$4&lt;&gt;"OR+EX",--(DATOS!$G1740=CONFIG_METADATA!$B$4),IF(DATOS!$G1740="EX",1,IF(DATOS!$G1740="OR",--(COUNTIFS(nNIA,DATOS!$A1740,nCURSO,DATOS!$D1740,nESPEC,DATOS!$E1740,nASIG,DATOS!$I1740,nEVAL,"EX")=0),0))))</f>
      </c>
      <c r="H1740">
        <f>IF(DATOS!$G1740&lt;&gt;"EX",0,--(COUNTIFS(nNIA,DATOS!$A1740,nCURSO,DATOS!$D1740,nESPEC,DATOS!$E1740,nASIG,DATOS!$I1740,nEVAL,"OR")=0))</f>
      </c>
      <c r="I1740">
        <f>IF(DATOS!$I1740="","",IFERROR(VLOOKUP(DATOS!$I1740,CONFIG_ASIGNATURAS!$B$2:$J$91,9,FALSE()),""))</f>
      </c>
    </row>
    <row r="1741">
      <c r="F1741">
        <f>IF(DATOS!$A1741="","",DATOS!$A1741&amp;"|"&amp;DATOS!$D1741&amp;"|"&amp;DATOS!$E1741&amp;"|"&amp;DATOS!$I1741)</f>
      </c>
      <c r="G1741">
        <f>IF(DATOS!$A1741="",0,IF(CONFIG_METADATA!$B$4&lt;&gt;"OR+EX",--(DATOS!$G1741=CONFIG_METADATA!$B$4),IF(DATOS!$G1741="EX",1,IF(DATOS!$G1741="OR",--(COUNTIFS(nNIA,DATOS!$A1741,nCURSO,DATOS!$D1741,nESPEC,DATOS!$E1741,nASIG,DATOS!$I1741,nEVAL,"EX")=0),0))))</f>
      </c>
      <c r="H1741">
        <f>IF(DATOS!$G1741&lt;&gt;"EX",0,--(COUNTIFS(nNIA,DATOS!$A1741,nCURSO,DATOS!$D1741,nESPEC,DATOS!$E1741,nASIG,DATOS!$I1741,nEVAL,"OR")=0))</f>
      </c>
      <c r="I1741">
        <f>IF(DATOS!$I1741="","",IFERROR(VLOOKUP(DATOS!$I1741,CONFIG_ASIGNATURAS!$B$2:$J$91,9,FALSE()),""))</f>
      </c>
    </row>
    <row r="1742">
      <c r="F1742">
        <f>IF(DATOS!$A1742="","",DATOS!$A1742&amp;"|"&amp;DATOS!$D1742&amp;"|"&amp;DATOS!$E1742&amp;"|"&amp;DATOS!$I1742)</f>
      </c>
      <c r="G1742">
        <f>IF(DATOS!$A1742="",0,IF(CONFIG_METADATA!$B$4&lt;&gt;"OR+EX",--(DATOS!$G1742=CONFIG_METADATA!$B$4),IF(DATOS!$G1742="EX",1,IF(DATOS!$G1742="OR",--(COUNTIFS(nNIA,DATOS!$A1742,nCURSO,DATOS!$D1742,nESPEC,DATOS!$E1742,nASIG,DATOS!$I1742,nEVAL,"EX")=0),0))))</f>
      </c>
      <c r="H1742">
        <f>IF(DATOS!$G1742&lt;&gt;"EX",0,--(COUNTIFS(nNIA,DATOS!$A1742,nCURSO,DATOS!$D1742,nESPEC,DATOS!$E1742,nASIG,DATOS!$I1742,nEVAL,"OR")=0))</f>
      </c>
      <c r="I1742">
        <f>IF(DATOS!$I1742="","",IFERROR(VLOOKUP(DATOS!$I1742,CONFIG_ASIGNATURAS!$B$2:$J$91,9,FALSE()),""))</f>
      </c>
    </row>
    <row r="1743">
      <c r="F1743">
        <f>IF(DATOS!$A1743="","",DATOS!$A1743&amp;"|"&amp;DATOS!$D1743&amp;"|"&amp;DATOS!$E1743&amp;"|"&amp;DATOS!$I1743)</f>
      </c>
      <c r="G1743">
        <f>IF(DATOS!$A1743="",0,IF(CONFIG_METADATA!$B$4&lt;&gt;"OR+EX",--(DATOS!$G1743=CONFIG_METADATA!$B$4),IF(DATOS!$G1743="EX",1,IF(DATOS!$G1743="OR",--(COUNTIFS(nNIA,DATOS!$A1743,nCURSO,DATOS!$D1743,nESPEC,DATOS!$E1743,nASIG,DATOS!$I1743,nEVAL,"EX")=0),0))))</f>
      </c>
      <c r="H1743">
        <f>IF(DATOS!$G1743&lt;&gt;"EX",0,--(COUNTIFS(nNIA,DATOS!$A1743,nCURSO,DATOS!$D1743,nESPEC,DATOS!$E1743,nASIG,DATOS!$I1743,nEVAL,"OR")=0))</f>
      </c>
      <c r="I1743">
        <f>IF(DATOS!$I1743="","",IFERROR(VLOOKUP(DATOS!$I1743,CONFIG_ASIGNATURAS!$B$2:$J$91,9,FALSE()),""))</f>
      </c>
    </row>
    <row r="1744">
      <c r="F1744">
        <f>IF(DATOS!$A1744="","",DATOS!$A1744&amp;"|"&amp;DATOS!$D1744&amp;"|"&amp;DATOS!$E1744&amp;"|"&amp;DATOS!$I1744)</f>
      </c>
      <c r="G1744">
        <f>IF(DATOS!$A1744="",0,IF(CONFIG_METADATA!$B$4&lt;&gt;"OR+EX",--(DATOS!$G1744=CONFIG_METADATA!$B$4),IF(DATOS!$G1744="EX",1,IF(DATOS!$G1744="OR",--(COUNTIFS(nNIA,DATOS!$A1744,nCURSO,DATOS!$D1744,nESPEC,DATOS!$E1744,nASIG,DATOS!$I1744,nEVAL,"EX")=0),0))))</f>
      </c>
      <c r="H1744">
        <f>IF(DATOS!$G1744&lt;&gt;"EX",0,--(COUNTIFS(nNIA,DATOS!$A1744,nCURSO,DATOS!$D1744,nESPEC,DATOS!$E1744,nASIG,DATOS!$I1744,nEVAL,"OR")=0))</f>
      </c>
      <c r="I1744">
        <f>IF(DATOS!$I1744="","",IFERROR(VLOOKUP(DATOS!$I1744,CONFIG_ASIGNATURAS!$B$2:$J$91,9,FALSE()),""))</f>
      </c>
    </row>
    <row r="1745">
      <c r="F1745">
        <f>IF(DATOS!$A1745="","",DATOS!$A1745&amp;"|"&amp;DATOS!$D1745&amp;"|"&amp;DATOS!$E1745&amp;"|"&amp;DATOS!$I1745)</f>
      </c>
      <c r="G1745">
        <f>IF(DATOS!$A1745="",0,IF(CONFIG_METADATA!$B$4&lt;&gt;"OR+EX",--(DATOS!$G1745=CONFIG_METADATA!$B$4),IF(DATOS!$G1745="EX",1,IF(DATOS!$G1745="OR",--(COUNTIFS(nNIA,DATOS!$A1745,nCURSO,DATOS!$D1745,nESPEC,DATOS!$E1745,nASIG,DATOS!$I1745,nEVAL,"EX")=0),0))))</f>
      </c>
      <c r="H1745">
        <f>IF(DATOS!$G1745&lt;&gt;"EX",0,--(COUNTIFS(nNIA,DATOS!$A1745,nCURSO,DATOS!$D1745,nESPEC,DATOS!$E1745,nASIG,DATOS!$I1745,nEVAL,"OR")=0))</f>
      </c>
      <c r="I1745">
        <f>IF(DATOS!$I1745="","",IFERROR(VLOOKUP(DATOS!$I1745,CONFIG_ASIGNATURAS!$B$2:$J$91,9,FALSE()),""))</f>
      </c>
    </row>
    <row r="1746">
      <c r="F1746">
        <f>IF(DATOS!$A1746="","",DATOS!$A1746&amp;"|"&amp;DATOS!$D1746&amp;"|"&amp;DATOS!$E1746&amp;"|"&amp;DATOS!$I1746)</f>
      </c>
      <c r="G1746">
        <f>IF(DATOS!$A1746="",0,IF(CONFIG_METADATA!$B$4&lt;&gt;"OR+EX",--(DATOS!$G1746=CONFIG_METADATA!$B$4),IF(DATOS!$G1746="EX",1,IF(DATOS!$G1746="OR",--(COUNTIFS(nNIA,DATOS!$A1746,nCURSO,DATOS!$D1746,nESPEC,DATOS!$E1746,nASIG,DATOS!$I1746,nEVAL,"EX")=0),0))))</f>
      </c>
      <c r="H1746">
        <f>IF(DATOS!$G1746&lt;&gt;"EX",0,--(COUNTIFS(nNIA,DATOS!$A1746,nCURSO,DATOS!$D1746,nESPEC,DATOS!$E1746,nASIG,DATOS!$I1746,nEVAL,"OR")=0))</f>
      </c>
      <c r="I1746">
        <f>IF(DATOS!$I1746="","",IFERROR(VLOOKUP(DATOS!$I1746,CONFIG_ASIGNATURAS!$B$2:$J$91,9,FALSE()),""))</f>
      </c>
    </row>
    <row r="1747">
      <c r="F1747">
        <f>IF(DATOS!$A1747="","",DATOS!$A1747&amp;"|"&amp;DATOS!$D1747&amp;"|"&amp;DATOS!$E1747&amp;"|"&amp;DATOS!$I1747)</f>
      </c>
      <c r="G1747">
        <f>IF(DATOS!$A1747="",0,IF(CONFIG_METADATA!$B$4&lt;&gt;"OR+EX",--(DATOS!$G1747=CONFIG_METADATA!$B$4),IF(DATOS!$G1747="EX",1,IF(DATOS!$G1747="OR",--(COUNTIFS(nNIA,DATOS!$A1747,nCURSO,DATOS!$D1747,nESPEC,DATOS!$E1747,nASIG,DATOS!$I1747,nEVAL,"EX")=0),0))))</f>
      </c>
      <c r="H1747">
        <f>IF(DATOS!$G1747&lt;&gt;"EX",0,--(COUNTIFS(nNIA,DATOS!$A1747,nCURSO,DATOS!$D1747,nESPEC,DATOS!$E1747,nASIG,DATOS!$I1747,nEVAL,"OR")=0))</f>
      </c>
      <c r="I1747">
        <f>IF(DATOS!$I1747="","",IFERROR(VLOOKUP(DATOS!$I1747,CONFIG_ASIGNATURAS!$B$2:$J$91,9,FALSE()),""))</f>
      </c>
    </row>
    <row r="1748">
      <c r="F1748">
        <f>IF(DATOS!$A1748="","",DATOS!$A1748&amp;"|"&amp;DATOS!$D1748&amp;"|"&amp;DATOS!$E1748&amp;"|"&amp;DATOS!$I1748)</f>
      </c>
      <c r="G1748">
        <f>IF(DATOS!$A1748="",0,IF(CONFIG_METADATA!$B$4&lt;&gt;"OR+EX",--(DATOS!$G1748=CONFIG_METADATA!$B$4),IF(DATOS!$G1748="EX",1,IF(DATOS!$G1748="OR",--(COUNTIFS(nNIA,DATOS!$A1748,nCURSO,DATOS!$D1748,nESPEC,DATOS!$E1748,nASIG,DATOS!$I1748,nEVAL,"EX")=0),0))))</f>
      </c>
      <c r="H1748">
        <f>IF(DATOS!$G1748&lt;&gt;"EX",0,--(COUNTIFS(nNIA,DATOS!$A1748,nCURSO,DATOS!$D1748,nESPEC,DATOS!$E1748,nASIG,DATOS!$I1748,nEVAL,"OR")=0))</f>
      </c>
      <c r="I1748">
        <f>IF(DATOS!$I1748="","",IFERROR(VLOOKUP(DATOS!$I1748,CONFIG_ASIGNATURAS!$B$2:$J$91,9,FALSE()),""))</f>
      </c>
    </row>
    <row r="1749">
      <c r="F1749">
        <f>IF(DATOS!$A1749="","",DATOS!$A1749&amp;"|"&amp;DATOS!$D1749&amp;"|"&amp;DATOS!$E1749&amp;"|"&amp;DATOS!$I1749)</f>
      </c>
      <c r="G1749">
        <f>IF(DATOS!$A1749="",0,IF(CONFIG_METADATA!$B$4&lt;&gt;"OR+EX",--(DATOS!$G1749=CONFIG_METADATA!$B$4),IF(DATOS!$G1749="EX",1,IF(DATOS!$G1749="OR",--(COUNTIFS(nNIA,DATOS!$A1749,nCURSO,DATOS!$D1749,nESPEC,DATOS!$E1749,nASIG,DATOS!$I1749,nEVAL,"EX")=0),0))))</f>
      </c>
      <c r="H1749">
        <f>IF(DATOS!$G1749&lt;&gt;"EX",0,--(COUNTIFS(nNIA,DATOS!$A1749,nCURSO,DATOS!$D1749,nESPEC,DATOS!$E1749,nASIG,DATOS!$I1749,nEVAL,"OR")=0))</f>
      </c>
      <c r="I1749">
        <f>IF(DATOS!$I1749="","",IFERROR(VLOOKUP(DATOS!$I1749,CONFIG_ASIGNATURAS!$B$2:$J$91,9,FALSE()),""))</f>
      </c>
    </row>
    <row r="1750">
      <c r="F1750">
        <f>IF(DATOS!$A1750="","",DATOS!$A1750&amp;"|"&amp;DATOS!$D1750&amp;"|"&amp;DATOS!$E1750&amp;"|"&amp;DATOS!$I1750)</f>
      </c>
      <c r="G1750">
        <f>IF(DATOS!$A1750="",0,IF(CONFIG_METADATA!$B$4&lt;&gt;"OR+EX",--(DATOS!$G1750=CONFIG_METADATA!$B$4),IF(DATOS!$G1750="EX",1,IF(DATOS!$G1750="OR",--(COUNTIFS(nNIA,DATOS!$A1750,nCURSO,DATOS!$D1750,nESPEC,DATOS!$E1750,nASIG,DATOS!$I1750,nEVAL,"EX")=0),0))))</f>
      </c>
      <c r="H1750">
        <f>IF(DATOS!$G1750&lt;&gt;"EX",0,--(COUNTIFS(nNIA,DATOS!$A1750,nCURSO,DATOS!$D1750,nESPEC,DATOS!$E1750,nASIG,DATOS!$I1750,nEVAL,"OR")=0))</f>
      </c>
      <c r="I1750">
        <f>IF(DATOS!$I1750="","",IFERROR(VLOOKUP(DATOS!$I1750,CONFIG_ASIGNATURAS!$B$2:$J$91,9,FALSE()),""))</f>
      </c>
    </row>
    <row r="1751">
      <c r="F1751">
        <f>IF(DATOS!$A1751="","",DATOS!$A1751&amp;"|"&amp;DATOS!$D1751&amp;"|"&amp;DATOS!$E1751&amp;"|"&amp;DATOS!$I1751)</f>
      </c>
      <c r="G1751">
        <f>IF(DATOS!$A1751="",0,IF(CONFIG_METADATA!$B$4&lt;&gt;"OR+EX",--(DATOS!$G1751=CONFIG_METADATA!$B$4),IF(DATOS!$G1751="EX",1,IF(DATOS!$G1751="OR",--(COUNTIFS(nNIA,DATOS!$A1751,nCURSO,DATOS!$D1751,nESPEC,DATOS!$E1751,nASIG,DATOS!$I1751,nEVAL,"EX")=0),0))))</f>
      </c>
      <c r="H1751">
        <f>IF(DATOS!$G1751&lt;&gt;"EX",0,--(COUNTIFS(nNIA,DATOS!$A1751,nCURSO,DATOS!$D1751,nESPEC,DATOS!$E1751,nASIG,DATOS!$I1751,nEVAL,"OR")=0))</f>
      </c>
      <c r="I1751">
        <f>IF(DATOS!$I1751="","",IFERROR(VLOOKUP(DATOS!$I1751,CONFIG_ASIGNATURAS!$B$2:$J$91,9,FALSE()),""))</f>
      </c>
    </row>
    <row r="1752">
      <c r="F1752">
        <f>IF(DATOS!$A1752="","",DATOS!$A1752&amp;"|"&amp;DATOS!$D1752&amp;"|"&amp;DATOS!$E1752&amp;"|"&amp;DATOS!$I1752)</f>
      </c>
      <c r="G1752">
        <f>IF(DATOS!$A1752="",0,IF(CONFIG_METADATA!$B$4&lt;&gt;"OR+EX",--(DATOS!$G1752=CONFIG_METADATA!$B$4),IF(DATOS!$G1752="EX",1,IF(DATOS!$G1752="OR",--(COUNTIFS(nNIA,DATOS!$A1752,nCURSO,DATOS!$D1752,nESPEC,DATOS!$E1752,nASIG,DATOS!$I1752,nEVAL,"EX")=0),0))))</f>
      </c>
      <c r="H1752">
        <f>IF(DATOS!$G1752&lt;&gt;"EX",0,--(COUNTIFS(nNIA,DATOS!$A1752,nCURSO,DATOS!$D1752,nESPEC,DATOS!$E1752,nASIG,DATOS!$I1752,nEVAL,"OR")=0))</f>
      </c>
      <c r="I1752">
        <f>IF(DATOS!$I1752="","",IFERROR(VLOOKUP(DATOS!$I1752,CONFIG_ASIGNATURAS!$B$2:$J$91,9,FALSE()),""))</f>
      </c>
    </row>
    <row r="1753">
      <c r="F1753">
        <f>IF(DATOS!$A1753="","",DATOS!$A1753&amp;"|"&amp;DATOS!$D1753&amp;"|"&amp;DATOS!$E1753&amp;"|"&amp;DATOS!$I1753)</f>
      </c>
      <c r="G1753">
        <f>IF(DATOS!$A1753="",0,IF(CONFIG_METADATA!$B$4&lt;&gt;"OR+EX",--(DATOS!$G1753=CONFIG_METADATA!$B$4),IF(DATOS!$G1753="EX",1,IF(DATOS!$G1753="OR",--(COUNTIFS(nNIA,DATOS!$A1753,nCURSO,DATOS!$D1753,nESPEC,DATOS!$E1753,nASIG,DATOS!$I1753,nEVAL,"EX")=0),0))))</f>
      </c>
      <c r="H1753">
        <f>IF(DATOS!$G1753&lt;&gt;"EX",0,--(COUNTIFS(nNIA,DATOS!$A1753,nCURSO,DATOS!$D1753,nESPEC,DATOS!$E1753,nASIG,DATOS!$I1753,nEVAL,"OR")=0))</f>
      </c>
      <c r="I1753">
        <f>IF(DATOS!$I1753="","",IFERROR(VLOOKUP(DATOS!$I1753,CONFIG_ASIGNATURAS!$B$2:$J$91,9,FALSE()),""))</f>
      </c>
    </row>
    <row r="1754">
      <c r="F1754">
        <f>IF(DATOS!$A1754="","",DATOS!$A1754&amp;"|"&amp;DATOS!$D1754&amp;"|"&amp;DATOS!$E1754&amp;"|"&amp;DATOS!$I1754)</f>
      </c>
      <c r="G1754">
        <f>IF(DATOS!$A1754="",0,IF(CONFIG_METADATA!$B$4&lt;&gt;"OR+EX",--(DATOS!$G1754=CONFIG_METADATA!$B$4),IF(DATOS!$G1754="EX",1,IF(DATOS!$G1754="OR",--(COUNTIFS(nNIA,DATOS!$A1754,nCURSO,DATOS!$D1754,nESPEC,DATOS!$E1754,nASIG,DATOS!$I1754,nEVAL,"EX")=0),0))))</f>
      </c>
      <c r="H1754">
        <f>IF(DATOS!$G1754&lt;&gt;"EX",0,--(COUNTIFS(nNIA,DATOS!$A1754,nCURSO,DATOS!$D1754,nESPEC,DATOS!$E1754,nASIG,DATOS!$I1754,nEVAL,"OR")=0))</f>
      </c>
      <c r="I1754">
        <f>IF(DATOS!$I1754="","",IFERROR(VLOOKUP(DATOS!$I1754,CONFIG_ASIGNATURAS!$B$2:$J$91,9,FALSE()),""))</f>
      </c>
    </row>
    <row r="1755">
      <c r="F1755">
        <f>IF(DATOS!$A1755="","",DATOS!$A1755&amp;"|"&amp;DATOS!$D1755&amp;"|"&amp;DATOS!$E1755&amp;"|"&amp;DATOS!$I1755)</f>
      </c>
      <c r="G1755">
        <f>IF(DATOS!$A1755="",0,IF(CONFIG_METADATA!$B$4&lt;&gt;"OR+EX",--(DATOS!$G1755=CONFIG_METADATA!$B$4),IF(DATOS!$G1755="EX",1,IF(DATOS!$G1755="OR",--(COUNTIFS(nNIA,DATOS!$A1755,nCURSO,DATOS!$D1755,nESPEC,DATOS!$E1755,nASIG,DATOS!$I1755,nEVAL,"EX")=0),0))))</f>
      </c>
      <c r="H1755">
        <f>IF(DATOS!$G1755&lt;&gt;"EX",0,--(COUNTIFS(nNIA,DATOS!$A1755,nCURSO,DATOS!$D1755,nESPEC,DATOS!$E1755,nASIG,DATOS!$I1755,nEVAL,"OR")=0))</f>
      </c>
      <c r="I1755">
        <f>IF(DATOS!$I1755="","",IFERROR(VLOOKUP(DATOS!$I1755,CONFIG_ASIGNATURAS!$B$2:$J$91,9,FALSE()),""))</f>
      </c>
    </row>
    <row r="1756">
      <c r="F1756">
        <f>IF(DATOS!$A1756="","",DATOS!$A1756&amp;"|"&amp;DATOS!$D1756&amp;"|"&amp;DATOS!$E1756&amp;"|"&amp;DATOS!$I1756)</f>
      </c>
      <c r="G1756">
        <f>IF(DATOS!$A1756="",0,IF(CONFIG_METADATA!$B$4&lt;&gt;"OR+EX",--(DATOS!$G1756=CONFIG_METADATA!$B$4),IF(DATOS!$G1756="EX",1,IF(DATOS!$G1756="OR",--(COUNTIFS(nNIA,DATOS!$A1756,nCURSO,DATOS!$D1756,nESPEC,DATOS!$E1756,nASIG,DATOS!$I1756,nEVAL,"EX")=0),0))))</f>
      </c>
      <c r="H1756">
        <f>IF(DATOS!$G1756&lt;&gt;"EX",0,--(COUNTIFS(nNIA,DATOS!$A1756,nCURSO,DATOS!$D1756,nESPEC,DATOS!$E1756,nASIG,DATOS!$I1756,nEVAL,"OR")=0))</f>
      </c>
      <c r="I1756">
        <f>IF(DATOS!$I1756="","",IFERROR(VLOOKUP(DATOS!$I1756,CONFIG_ASIGNATURAS!$B$2:$J$91,9,FALSE()),""))</f>
      </c>
    </row>
    <row r="1757">
      <c r="F1757">
        <f>IF(DATOS!$A1757="","",DATOS!$A1757&amp;"|"&amp;DATOS!$D1757&amp;"|"&amp;DATOS!$E1757&amp;"|"&amp;DATOS!$I1757)</f>
      </c>
      <c r="G1757">
        <f>IF(DATOS!$A1757="",0,IF(CONFIG_METADATA!$B$4&lt;&gt;"OR+EX",--(DATOS!$G1757=CONFIG_METADATA!$B$4),IF(DATOS!$G1757="EX",1,IF(DATOS!$G1757="OR",--(COUNTIFS(nNIA,DATOS!$A1757,nCURSO,DATOS!$D1757,nESPEC,DATOS!$E1757,nASIG,DATOS!$I1757,nEVAL,"EX")=0),0))))</f>
      </c>
      <c r="H1757">
        <f>IF(DATOS!$G1757&lt;&gt;"EX",0,--(COUNTIFS(nNIA,DATOS!$A1757,nCURSO,DATOS!$D1757,nESPEC,DATOS!$E1757,nASIG,DATOS!$I1757,nEVAL,"OR")=0))</f>
      </c>
      <c r="I1757">
        <f>IF(DATOS!$I1757="","",IFERROR(VLOOKUP(DATOS!$I1757,CONFIG_ASIGNATURAS!$B$2:$J$91,9,FALSE()),""))</f>
      </c>
    </row>
    <row r="1758">
      <c r="F1758">
        <f>IF(DATOS!$A1758="","",DATOS!$A1758&amp;"|"&amp;DATOS!$D1758&amp;"|"&amp;DATOS!$E1758&amp;"|"&amp;DATOS!$I1758)</f>
      </c>
      <c r="G1758">
        <f>IF(DATOS!$A1758="",0,IF(CONFIG_METADATA!$B$4&lt;&gt;"OR+EX",--(DATOS!$G1758=CONFIG_METADATA!$B$4),IF(DATOS!$G1758="EX",1,IF(DATOS!$G1758="OR",--(COUNTIFS(nNIA,DATOS!$A1758,nCURSO,DATOS!$D1758,nESPEC,DATOS!$E1758,nASIG,DATOS!$I1758,nEVAL,"EX")=0),0))))</f>
      </c>
      <c r="H1758">
        <f>IF(DATOS!$G1758&lt;&gt;"EX",0,--(COUNTIFS(nNIA,DATOS!$A1758,nCURSO,DATOS!$D1758,nESPEC,DATOS!$E1758,nASIG,DATOS!$I1758,nEVAL,"OR")=0))</f>
      </c>
      <c r="I1758">
        <f>IF(DATOS!$I1758="","",IFERROR(VLOOKUP(DATOS!$I1758,CONFIG_ASIGNATURAS!$B$2:$J$91,9,FALSE()),""))</f>
      </c>
    </row>
    <row r="1759">
      <c r="F1759">
        <f>IF(DATOS!$A1759="","",DATOS!$A1759&amp;"|"&amp;DATOS!$D1759&amp;"|"&amp;DATOS!$E1759&amp;"|"&amp;DATOS!$I1759)</f>
      </c>
      <c r="G1759">
        <f>IF(DATOS!$A1759="",0,IF(CONFIG_METADATA!$B$4&lt;&gt;"OR+EX",--(DATOS!$G1759=CONFIG_METADATA!$B$4),IF(DATOS!$G1759="EX",1,IF(DATOS!$G1759="OR",--(COUNTIFS(nNIA,DATOS!$A1759,nCURSO,DATOS!$D1759,nESPEC,DATOS!$E1759,nASIG,DATOS!$I1759,nEVAL,"EX")=0),0))))</f>
      </c>
      <c r="H1759">
        <f>IF(DATOS!$G1759&lt;&gt;"EX",0,--(COUNTIFS(nNIA,DATOS!$A1759,nCURSO,DATOS!$D1759,nESPEC,DATOS!$E1759,nASIG,DATOS!$I1759,nEVAL,"OR")=0))</f>
      </c>
      <c r="I1759">
        <f>IF(DATOS!$I1759="","",IFERROR(VLOOKUP(DATOS!$I1759,CONFIG_ASIGNATURAS!$B$2:$J$91,9,FALSE()),""))</f>
      </c>
    </row>
    <row r="1760">
      <c r="F1760">
        <f>IF(DATOS!$A1760="","",DATOS!$A1760&amp;"|"&amp;DATOS!$D1760&amp;"|"&amp;DATOS!$E1760&amp;"|"&amp;DATOS!$I1760)</f>
      </c>
      <c r="G1760">
        <f>IF(DATOS!$A1760="",0,IF(CONFIG_METADATA!$B$4&lt;&gt;"OR+EX",--(DATOS!$G1760=CONFIG_METADATA!$B$4),IF(DATOS!$G1760="EX",1,IF(DATOS!$G1760="OR",--(COUNTIFS(nNIA,DATOS!$A1760,nCURSO,DATOS!$D1760,nESPEC,DATOS!$E1760,nASIG,DATOS!$I1760,nEVAL,"EX")=0),0))))</f>
      </c>
      <c r="H1760">
        <f>IF(DATOS!$G1760&lt;&gt;"EX",0,--(COUNTIFS(nNIA,DATOS!$A1760,nCURSO,DATOS!$D1760,nESPEC,DATOS!$E1760,nASIG,DATOS!$I1760,nEVAL,"OR")=0))</f>
      </c>
      <c r="I1760">
        <f>IF(DATOS!$I1760="","",IFERROR(VLOOKUP(DATOS!$I1760,CONFIG_ASIGNATURAS!$B$2:$J$91,9,FALSE()),""))</f>
      </c>
    </row>
    <row r="1761">
      <c r="F1761">
        <f>IF(DATOS!$A1761="","",DATOS!$A1761&amp;"|"&amp;DATOS!$D1761&amp;"|"&amp;DATOS!$E1761&amp;"|"&amp;DATOS!$I1761)</f>
      </c>
      <c r="G1761">
        <f>IF(DATOS!$A1761="",0,IF(CONFIG_METADATA!$B$4&lt;&gt;"OR+EX",--(DATOS!$G1761=CONFIG_METADATA!$B$4),IF(DATOS!$G1761="EX",1,IF(DATOS!$G1761="OR",--(COUNTIFS(nNIA,DATOS!$A1761,nCURSO,DATOS!$D1761,nESPEC,DATOS!$E1761,nASIG,DATOS!$I1761,nEVAL,"EX")=0),0))))</f>
      </c>
      <c r="H1761">
        <f>IF(DATOS!$G1761&lt;&gt;"EX",0,--(COUNTIFS(nNIA,DATOS!$A1761,nCURSO,DATOS!$D1761,nESPEC,DATOS!$E1761,nASIG,DATOS!$I1761,nEVAL,"OR")=0))</f>
      </c>
      <c r="I1761">
        <f>IF(DATOS!$I1761="","",IFERROR(VLOOKUP(DATOS!$I1761,CONFIG_ASIGNATURAS!$B$2:$J$91,9,FALSE()),""))</f>
      </c>
    </row>
    <row r="1762">
      <c r="F1762">
        <f>IF(DATOS!$A1762="","",DATOS!$A1762&amp;"|"&amp;DATOS!$D1762&amp;"|"&amp;DATOS!$E1762&amp;"|"&amp;DATOS!$I1762)</f>
      </c>
      <c r="G1762">
        <f>IF(DATOS!$A1762="",0,IF(CONFIG_METADATA!$B$4&lt;&gt;"OR+EX",--(DATOS!$G1762=CONFIG_METADATA!$B$4),IF(DATOS!$G1762="EX",1,IF(DATOS!$G1762="OR",--(COUNTIFS(nNIA,DATOS!$A1762,nCURSO,DATOS!$D1762,nESPEC,DATOS!$E1762,nASIG,DATOS!$I1762,nEVAL,"EX")=0),0))))</f>
      </c>
      <c r="H1762">
        <f>IF(DATOS!$G1762&lt;&gt;"EX",0,--(COUNTIFS(nNIA,DATOS!$A1762,nCURSO,DATOS!$D1762,nESPEC,DATOS!$E1762,nASIG,DATOS!$I1762,nEVAL,"OR")=0))</f>
      </c>
      <c r="I1762">
        <f>IF(DATOS!$I1762="","",IFERROR(VLOOKUP(DATOS!$I1762,CONFIG_ASIGNATURAS!$B$2:$J$91,9,FALSE()),""))</f>
      </c>
    </row>
    <row r="1763">
      <c r="F1763">
        <f>IF(DATOS!$A1763="","",DATOS!$A1763&amp;"|"&amp;DATOS!$D1763&amp;"|"&amp;DATOS!$E1763&amp;"|"&amp;DATOS!$I1763)</f>
      </c>
      <c r="G1763">
        <f>IF(DATOS!$A1763="",0,IF(CONFIG_METADATA!$B$4&lt;&gt;"OR+EX",--(DATOS!$G1763=CONFIG_METADATA!$B$4),IF(DATOS!$G1763="EX",1,IF(DATOS!$G1763="OR",--(COUNTIFS(nNIA,DATOS!$A1763,nCURSO,DATOS!$D1763,nESPEC,DATOS!$E1763,nASIG,DATOS!$I1763,nEVAL,"EX")=0),0))))</f>
      </c>
      <c r="H1763">
        <f>IF(DATOS!$G1763&lt;&gt;"EX",0,--(COUNTIFS(nNIA,DATOS!$A1763,nCURSO,DATOS!$D1763,nESPEC,DATOS!$E1763,nASIG,DATOS!$I1763,nEVAL,"OR")=0))</f>
      </c>
      <c r="I1763">
        <f>IF(DATOS!$I1763="","",IFERROR(VLOOKUP(DATOS!$I1763,CONFIG_ASIGNATURAS!$B$2:$J$91,9,FALSE()),""))</f>
      </c>
    </row>
    <row r="1764">
      <c r="F1764">
        <f>IF(DATOS!$A1764="","",DATOS!$A1764&amp;"|"&amp;DATOS!$D1764&amp;"|"&amp;DATOS!$E1764&amp;"|"&amp;DATOS!$I1764)</f>
      </c>
      <c r="G1764">
        <f>IF(DATOS!$A1764="",0,IF(CONFIG_METADATA!$B$4&lt;&gt;"OR+EX",--(DATOS!$G1764=CONFIG_METADATA!$B$4),IF(DATOS!$G1764="EX",1,IF(DATOS!$G1764="OR",--(COUNTIFS(nNIA,DATOS!$A1764,nCURSO,DATOS!$D1764,nESPEC,DATOS!$E1764,nASIG,DATOS!$I1764,nEVAL,"EX")=0),0))))</f>
      </c>
      <c r="H1764">
        <f>IF(DATOS!$G1764&lt;&gt;"EX",0,--(COUNTIFS(nNIA,DATOS!$A1764,nCURSO,DATOS!$D1764,nESPEC,DATOS!$E1764,nASIG,DATOS!$I1764,nEVAL,"OR")=0))</f>
      </c>
      <c r="I1764">
        <f>IF(DATOS!$I1764="","",IFERROR(VLOOKUP(DATOS!$I1764,CONFIG_ASIGNATURAS!$B$2:$J$91,9,FALSE()),""))</f>
      </c>
    </row>
    <row r="1765">
      <c r="F1765">
        <f>IF(DATOS!$A1765="","",DATOS!$A1765&amp;"|"&amp;DATOS!$D1765&amp;"|"&amp;DATOS!$E1765&amp;"|"&amp;DATOS!$I1765)</f>
      </c>
      <c r="G1765">
        <f>IF(DATOS!$A1765="",0,IF(CONFIG_METADATA!$B$4&lt;&gt;"OR+EX",--(DATOS!$G1765=CONFIG_METADATA!$B$4),IF(DATOS!$G1765="EX",1,IF(DATOS!$G1765="OR",--(COUNTIFS(nNIA,DATOS!$A1765,nCURSO,DATOS!$D1765,nESPEC,DATOS!$E1765,nASIG,DATOS!$I1765,nEVAL,"EX")=0),0))))</f>
      </c>
      <c r="H1765">
        <f>IF(DATOS!$G1765&lt;&gt;"EX",0,--(COUNTIFS(nNIA,DATOS!$A1765,nCURSO,DATOS!$D1765,nESPEC,DATOS!$E1765,nASIG,DATOS!$I1765,nEVAL,"OR")=0))</f>
      </c>
      <c r="I1765">
        <f>IF(DATOS!$I1765="","",IFERROR(VLOOKUP(DATOS!$I1765,CONFIG_ASIGNATURAS!$B$2:$J$91,9,FALSE()),""))</f>
      </c>
    </row>
    <row r="1766">
      <c r="F1766">
        <f>IF(DATOS!$A1766="","",DATOS!$A1766&amp;"|"&amp;DATOS!$D1766&amp;"|"&amp;DATOS!$E1766&amp;"|"&amp;DATOS!$I1766)</f>
      </c>
      <c r="G1766">
        <f>IF(DATOS!$A1766="",0,IF(CONFIG_METADATA!$B$4&lt;&gt;"OR+EX",--(DATOS!$G1766=CONFIG_METADATA!$B$4),IF(DATOS!$G1766="EX",1,IF(DATOS!$G1766="OR",--(COUNTIFS(nNIA,DATOS!$A1766,nCURSO,DATOS!$D1766,nESPEC,DATOS!$E1766,nASIG,DATOS!$I1766,nEVAL,"EX")=0),0))))</f>
      </c>
      <c r="H1766">
        <f>IF(DATOS!$G1766&lt;&gt;"EX",0,--(COUNTIFS(nNIA,DATOS!$A1766,nCURSO,DATOS!$D1766,nESPEC,DATOS!$E1766,nASIG,DATOS!$I1766,nEVAL,"OR")=0))</f>
      </c>
      <c r="I1766">
        <f>IF(DATOS!$I1766="","",IFERROR(VLOOKUP(DATOS!$I1766,CONFIG_ASIGNATURAS!$B$2:$J$91,9,FALSE()),""))</f>
      </c>
    </row>
    <row r="1767">
      <c r="F1767">
        <f>IF(DATOS!$A1767="","",DATOS!$A1767&amp;"|"&amp;DATOS!$D1767&amp;"|"&amp;DATOS!$E1767&amp;"|"&amp;DATOS!$I1767)</f>
      </c>
      <c r="G1767">
        <f>IF(DATOS!$A1767="",0,IF(CONFIG_METADATA!$B$4&lt;&gt;"OR+EX",--(DATOS!$G1767=CONFIG_METADATA!$B$4),IF(DATOS!$G1767="EX",1,IF(DATOS!$G1767="OR",--(COUNTIFS(nNIA,DATOS!$A1767,nCURSO,DATOS!$D1767,nESPEC,DATOS!$E1767,nASIG,DATOS!$I1767,nEVAL,"EX")=0),0))))</f>
      </c>
      <c r="H1767">
        <f>IF(DATOS!$G1767&lt;&gt;"EX",0,--(COUNTIFS(nNIA,DATOS!$A1767,nCURSO,DATOS!$D1767,nESPEC,DATOS!$E1767,nASIG,DATOS!$I1767,nEVAL,"OR")=0))</f>
      </c>
      <c r="I1767">
        <f>IF(DATOS!$I1767="","",IFERROR(VLOOKUP(DATOS!$I1767,CONFIG_ASIGNATURAS!$B$2:$J$91,9,FALSE()),""))</f>
      </c>
    </row>
    <row r="1768">
      <c r="F1768">
        <f>IF(DATOS!$A1768="","",DATOS!$A1768&amp;"|"&amp;DATOS!$D1768&amp;"|"&amp;DATOS!$E1768&amp;"|"&amp;DATOS!$I1768)</f>
      </c>
      <c r="G1768">
        <f>IF(DATOS!$A1768="",0,IF(CONFIG_METADATA!$B$4&lt;&gt;"OR+EX",--(DATOS!$G1768=CONFIG_METADATA!$B$4),IF(DATOS!$G1768="EX",1,IF(DATOS!$G1768="OR",--(COUNTIFS(nNIA,DATOS!$A1768,nCURSO,DATOS!$D1768,nESPEC,DATOS!$E1768,nASIG,DATOS!$I1768,nEVAL,"EX")=0),0))))</f>
      </c>
      <c r="H1768">
        <f>IF(DATOS!$G1768&lt;&gt;"EX",0,--(COUNTIFS(nNIA,DATOS!$A1768,nCURSO,DATOS!$D1768,nESPEC,DATOS!$E1768,nASIG,DATOS!$I1768,nEVAL,"OR")=0))</f>
      </c>
      <c r="I1768">
        <f>IF(DATOS!$I1768="","",IFERROR(VLOOKUP(DATOS!$I1768,CONFIG_ASIGNATURAS!$B$2:$J$91,9,FALSE()),""))</f>
      </c>
    </row>
    <row r="1769">
      <c r="F1769">
        <f>IF(DATOS!$A1769="","",DATOS!$A1769&amp;"|"&amp;DATOS!$D1769&amp;"|"&amp;DATOS!$E1769&amp;"|"&amp;DATOS!$I1769)</f>
      </c>
      <c r="G1769">
        <f>IF(DATOS!$A1769="",0,IF(CONFIG_METADATA!$B$4&lt;&gt;"OR+EX",--(DATOS!$G1769=CONFIG_METADATA!$B$4),IF(DATOS!$G1769="EX",1,IF(DATOS!$G1769="OR",--(COUNTIFS(nNIA,DATOS!$A1769,nCURSO,DATOS!$D1769,nESPEC,DATOS!$E1769,nASIG,DATOS!$I1769,nEVAL,"EX")=0),0))))</f>
      </c>
      <c r="H1769">
        <f>IF(DATOS!$G1769&lt;&gt;"EX",0,--(COUNTIFS(nNIA,DATOS!$A1769,nCURSO,DATOS!$D1769,nESPEC,DATOS!$E1769,nASIG,DATOS!$I1769,nEVAL,"OR")=0))</f>
      </c>
      <c r="I1769">
        <f>IF(DATOS!$I1769="","",IFERROR(VLOOKUP(DATOS!$I1769,CONFIG_ASIGNATURAS!$B$2:$J$91,9,FALSE()),""))</f>
      </c>
    </row>
    <row r="1770">
      <c r="F1770">
        <f>IF(DATOS!$A1770="","",DATOS!$A1770&amp;"|"&amp;DATOS!$D1770&amp;"|"&amp;DATOS!$E1770&amp;"|"&amp;DATOS!$I1770)</f>
      </c>
      <c r="G1770">
        <f>IF(DATOS!$A1770="",0,IF(CONFIG_METADATA!$B$4&lt;&gt;"OR+EX",--(DATOS!$G1770=CONFIG_METADATA!$B$4),IF(DATOS!$G1770="EX",1,IF(DATOS!$G1770="OR",--(COUNTIFS(nNIA,DATOS!$A1770,nCURSO,DATOS!$D1770,nESPEC,DATOS!$E1770,nASIG,DATOS!$I1770,nEVAL,"EX")=0),0))))</f>
      </c>
      <c r="H1770">
        <f>IF(DATOS!$G1770&lt;&gt;"EX",0,--(COUNTIFS(nNIA,DATOS!$A1770,nCURSO,DATOS!$D1770,nESPEC,DATOS!$E1770,nASIG,DATOS!$I1770,nEVAL,"OR")=0))</f>
      </c>
      <c r="I1770">
        <f>IF(DATOS!$I1770="","",IFERROR(VLOOKUP(DATOS!$I1770,CONFIG_ASIGNATURAS!$B$2:$J$91,9,FALSE()),""))</f>
      </c>
    </row>
    <row r="1771">
      <c r="F1771">
        <f>IF(DATOS!$A1771="","",DATOS!$A1771&amp;"|"&amp;DATOS!$D1771&amp;"|"&amp;DATOS!$E1771&amp;"|"&amp;DATOS!$I1771)</f>
      </c>
      <c r="G1771">
        <f>IF(DATOS!$A1771="",0,IF(CONFIG_METADATA!$B$4&lt;&gt;"OR+EX",--(DATOS!$G1771=CONFIG_METADATA!$B$4),IF(DATOS!$G1771="EX",1,IF(DATOS!$G1771="OR",--(COUNTIFS(nNIA,DATOS!$A1771,nCURSO,DATOS!$D1771,nESPEC,DATOS!$E1771,nASIG,DATOS!$I1771,nEVAL,"EX")=0),0))))</f>
      </c>
      <c r="H1771">
        <f>IF(DATOS!$G1771&lt;&gt;"EX",0,--(COUNTIFS(nNIA,DATOS!$A1771,nCURSO,DATOS!$D1771,nESPEC,DATOS!$E1771,nASIG,DATOS!$I1771,nEVAL,"OR")=0))</f>
      </c>
      <c r="I1771">
        <f>IF(DATOS!$I1771="","",IFERROR(VLOOKUP(DATOS!$I1771,CONFIG_ASIGNATURAS!$B$2:$J$91,9,FALSE()),""))</f>
      </c>
    </row>
    <row r="1772">
      <c r="F1772">
        <f>IF(DATOS!$A1772="","",DATOS!$A1772&amp;"|"&amp;DATOS!$D1772&amp;"|"&amp;DATOS!$E1772&amp;"|"&amp;DATOS!$I1772)</f>
      </c>
      <c r="G1772">
        <f>IF(DATOS!$A1772="",0,IF(CONFIG_METADATA!$B$4&lt;&gt;"OR+EX",--(DATOS!$G1772=CONFIG_METADATA!$B$4),IF(DATOS!$G1772="EX",1,IF(DATOS!$G1772="OR",--(COUNTIFS(nNIA,DATOS!$A1772,nCURSO,DATOS!$D1772,nESPEC,DATOS!$E1772,nASIG,DATOS!$I1772,nEVAL,"EX")=0),0))))</f>
      </c>
      <c r="H1772">
        <f>IF(DATOS!$G1772&lt;&gt;"EX",0,--(COUNTIFS(nNIA,DATOS!$A1772,nCURSO,DATOS!$D1772,nESPEC,DATOS!$E1772,nASIG,DATOS!$I1772,nEVAL,"OR")=0))</f>
      </c>
      <c r="I1772">
        <f>IF(DATOS!$I1772="","",IFERROR(VLOOKUP(DATOS!$I1772,CONFIG_ASIGNATURAS!$B$2:$J$91,9,FALSE()),""))</f>
      </c>
    </row>
    <row r="1773">
      <c r="F1773">
        <f>IF(DATOS!$A1773="","",DATOS!$A1773&amp;"|"&amp;DATOS!$D1773&amp;"|"&amp;DATOS!$E1773&amp;"|"&amp;DATOS!$I1773)</f>
      </c>
      <c r="G1773">
        <f>IF(DATOS!$A1773="",0,IF(CONFIG_METADATA!$B$4&lt;&gt;"OR+EX",--(DATOS!$G1773=CONFIG_METADATA!$B$4),IF(DATOS!$G1773="EX",1,IF(DATOS!$G1773="OR",--(COUNTIFS(nNIA,DATOS!$A1773,nCURSO,DATOS!$D1773,nESPEC,DATOS!$E1773,nASIG,DATOS!$I1773,nEVAL,"EX")=0),0))))</f>
      </c>
      <c r="H1773">
        <f>IF(DATOS!$G1773&lt;&gt;"EX",0,--(COUNTIFS(nNIA,DATOS!$A1773,nCURSO,DATOS!$D1773,nESPEC,DATOS!$E1773,nASIG,DATOS!$I1773,nEVAL,"OR")=0))</f>
      </c>
      <c r="I1773">
        <f>IF(DATOS!$I1773="","",IFERROR(VLOOKUP(DATOS!$I1773,CONFIG_ASIGNATURAS!$B$2:$J$91,9,FALSE()),""))</f>
      </c>
    </row>
    <row r="1774">
      <c r="F1774">
        <f>IF(DATOS!$A1774="","",DATOS!$A1774&amp;"|"&amp;DATOS!$D1774&amp;"|"&amp;DATOS!$E1774&amp;"|"&amp;DATOS!$I1774)</f>
      </c>
      <c r="G1774">
        <f>IF(DATOS!$A1774="",0,IF(CONFIG_METADATA!$B$4&lt;&gt;"OR+EX",--(DATOS!$G1774=CONFIG_METADATA!$B$4),IF(DATOS!$G1774="EX",1,IF(DATOS!$G1774="OR",--(COUNTIFS(nNIA,DATOS!$A1774,nCURSO,DATOS!$D1774,nESPEC,DATOS!$E1774,nASIG,DATOS!$I1774,nEVAL,"EX")=0),0))))</f>
      </c>
      <c r="H1774">
        <f>IF(DATOS!$G1774&lt;&gt;"EX",0,--(COUNTIFS(nNIA,DATOS!$A1774,nCURSO,DATOS!$D1774,nESPEC,DATOS!$E1774,nASIG,DATOS!$I1774,nEVAL,"OR")=0))</f>
      </c>
      <c r="I1774">
        <f>IF(DATOS!$I1774="","",IFERROR(VLOOKUP(DATOS!$I1774,CONFIG_ASIGNATURAS!$B$2:$J$91,9,FALSE()),""))</f>
      </c>
    </row>
    <row r="1775">
      <c r="F1775">
        <f>IF(DATOS!$A1775="","",DATOS!$A1775&amp;"|"&amp;DATOS!$D1775&amp;"|"&amp;DATOS!$E1775&amp;"|"&amp;DATOS!$I1775)</f>
      </c>
      <c r="G1775">
        <f>IF(DATOS!$A1775="",0,IF(CONFIG_METADATA!$B$4&lt;&gt;"OR+EX",--(DATOS!$G1775=CONFIG_METADATA!$B$4),IF(DATOS!$G1775="EX",1,IF(DATOS!$G1775="OR",--(COUNTIFS(nNIA,DATOS!$A1775,nCURSO,DATOS!$D1775,nESPEC,DATOS!$E1775,nASIG,DATOS!$I1775,nEVAL,"EX")=0),0))))</f>
      </c>
      <c r="H1775">
        <f>IF(DATOS!$G1775&lt;&gt;"EX",0,--(COUNTIFS(nNIA,DATOS!$A1775,nCURSO,DATOS!$D1775,nESPEC,DATOS!$E1775,nASIG,DATOS!$I1775,nEVAL,"OR")=0))</f>
      </c>
      <c r="I1775">
        <f>IF(DATOS!$I1775="","",IFERROR(VLOOKUP(DATOS!$I1775,CONFIG_ASIGNATURAS!$B$2:$J$91,9,FALSE()),""))</f>
      </c>
    </row>
    <row r="1776">
      <c r="F1776">
        <f>IF(DATOS!$A1776="","",DATOS!$A1776&amp;"|"&amp;DATOS!$D1776&amp;"|"&amp;DATOS!$E1776&amp;"|"&amp;DATOS!$I1776)</f>
      </c>
      <c r="G1776">
        <f>IF(DATOS!$A1776="",0,IF(CONFIG_METADATA!$B$4&lt;&gt;"OR+EX",--(DATOS!$G1776=CONFIG_METADATA!$B$4),IF(DATOS!$G1776="EX",1,IF(DATOS!$G1776="OR",--(COUNTIFS(nNIA,DATOS!$A1776,nCURSO,DATOS!$D1776,nESPEC,DATOS!$E1776,nASIG,DATOS!$I1776,nEVAL,"EX")=0),0))))</f>
      </c>
      <c r="H1776">
        <f>IF(DATOS!$G1776&lt;&gt;"EX",0,--(COUNTIFS(nNIA,DATOS!$A1776,nCURSO,DATOS!$D1776,nESPEC,DATOS!$E1776,nASIG,DATOS!$I1776,nEVAL,"OR")=0))</f>
      </c>
      <c r="I1776">
        <f>IF(DATOS!$I1776="","",IFERROR(VLOOKUP(DATOS!$I1776,CONFIG_ASIGNATURAS!$B$2:$J$91,9,FALSE()),""))</f>
      </c>
    </row>
    <row r="1777">
      <c r="F1777">
        <f>IF(DATOS!$A1777="","",DATOS!$A1777&amp;"|"&amp;DATOS!$D1777&amp;"|"&amp;DATOS!$E1777&amp;"|"&amp;DATOS!$I1777)</f>
      </c>
      <c r="G1777">
        <f>IF(DATOS!$A1777="",0,IF(CONFIG_METADATA!$B$4&lt;&gt;"OR+EX",--(DATOS!$G1777=CONFIG_METADATA!$B$4),IF(DATOS!$G1777="EX",1,IF(DATOS!$G1777="OR",--(COUNTIFS(nNIA,DATOS!$A1777,nCURSO,DATOS!$D1777,nESPEC,DATOS!$E1777,nASIG,DATOS!$I1777,nEVAL,"EX")=0),0))))</f>
      </c>
      <c r="H1777">
        <f>IF(DATOS!$G1777&lt;&gt;"EX",0,--(COUNTIFS(nNIA,DATOS!$A1777,nCURSO,DATOS!$D1777,nESPEC,DATOS!$E1777,nASIG,DATOS!$I1777,nEVAL,"OR")=0))</f>
      </c>
      <c r="I1777">
        <f>IF(DATOS!$I1777="","",IFERROR(VLOOKUP(DATOS!$I1777,CONFIG_ASIGNATURAS!$B$2:$J$91,9,FALSE()),""))</f>
      </c>
    </row>
    <row r="1778">
      <c r="F1778">
        <f>IF(DATOS!$A1778="","",DATOS!$A1778&amp;"|"&amp;DATOS!$D1778&amp;"|"&amp;DATOS!$E1778&amp;"|"&amp;DATOS!$I1778)</f>
      </c>
      <c r="G1778">
        <f>IF(DATOS!$A1778="",0,IF(CONFIG_METADATA!$B$4&lt;&gt;"OR+EX",--(DATOS!$G1778=CONFIG_METADATA!$B$4),IF(DATOS!$G1778="EX",1,IF(DATOS!$G1778="OR",--(COUNTIFS(nNIA,DATOS!$A1778,nCURSO,DATOS!$D1778,nESPEC,DATOS!$E1778,nASIG,DATOS!$I1778,nEVAL,"EX")=0),0))))</f>
      </c>
      <c r="H1778">
        <f>IF(DATOS!$G1778&lt;&gt;"EX",0,--(COUNTIFS(nNIA,DATOS!$A1778,nCURSO,DATOS!$D1778,nESPEC,DATOS!$E1778,nASIG,DATOS!$I1778,nEVAL,"OR")=0))</f>
      </c>
      <c r="I1778">
        <f>IF(DATOS!$I1778="","",IFERROR(VLOOKUP(DATOS!$I1778,CONFIG_ASIGNATURAS!$B$2:$J$91,9,FALSE()),""))</f>
      </c>
    </row>
    <row r="1779">
      <c r="F1779">
        <f>IF(DATOS!$A1779="","",DATOS!$A1779&amp;"|"&amp;DATOS!$D1779&amp;"|"&amp;DATOS!$E1779&amp;"|"&amp;DATOS!$I1779)</f>
      </c>
      <c r="G1779">
        <f>IF(DATOS!$A1779="",0,IF(CONFIG_METADATA!$B$4&lt;&gt;"OR+EX",--(DATOS!$G1779=CONFIG_METADATA!$B$4),IF(DATOS!$G1779="EX",1,IF(DATOS!$G1779="OR",--(COUNTIFS(nNIA,DATOS!$A1779,nCURSO,DATOS!$D1779,nESPEC,DATOS!$E1779,nASIG,DATOS!$I1779,nEVAL,"EX")=0),0))))</f>
      </c>
      <c r="H1779">
        <f>IF(DATOS!$G1779&lt;&gt;"EX",0,--(COUNTIFS(nNIA,DATOS!$A1779,nCURSO,DATOS!$D1779,nESPEC,DATOS!$E1779,nASIG,DATOS!$I1779,nEVAL,"OR")=0))</f>
      </c>
      <c r="I1779">
        <f>IF(DATOS!$I1779="","",IFERROR(VLOOKUP(DATOS!$I1779,CONFIG_ASIGNATURAS!$B$2:$J$91,9,FALSE()),""))</f>
      </c>
    </row>
    <row r="1780">
      <c r="F1780">
        <f>IF(DATOS!$A1780="","",DATOS!$A1780&amp;"|"&amp;DATOS!$D1780&amp;"|"&amp;DATOS!$E1780&amp;"|"&amp;DATOS!$I1780)</f>
      </c>
      <c r="G1780">
        <f>IF(DATOS!$A1780="",0,IF(CONFIG_METADATA!$B$4&lt;&gt;"OR+EX",--(DATOS!$G1780=CONFIG_METADATA!$B$4),IF(DATOS!$G1780="EX",1,IF(DATOS!$G1780="OR",--(COUNTIFS(nNIA,DATOS!$A1780,nCURSO,DATOS!$D1780,nESPEC,DATOS!$E1780,nASIG,DATOS!$I1780,nEVAL,"EX")=0),0))))</f>
      </c>
      <c r="H1780">
        <f>IF(DATOS!$G1780&lt;&gt;"EX",0,--(COUNTIFS(nNIA,DATOS!$A1780,nCURSO,DATOS!$D1780,nESPEC,DATOS!$E1780,nASIG,DATOS!$I1780,nEVAL,"OR")=0))</f>
      </c>
      <c r="I1780">
        <f>IF(DATOS!$I1780="","",IFERROR(VLOOKUP(DATOS!$I1780,CONFIG_ASIGNATURAS!$B$2:$J$91,9,FALSE()),""))</f>
      </c>
    </row>
    <row r="1781">
      <c r="F1781">
        <f>IF(DATOS!$A1781="","",DATOS!$A1781&amp;"|"&amp;DATOS!$D1781&amp;"|"&amp;DATOS!$E1781&amp;"|"&amp;DATOS!$I1781)</f>
      </c>
      <c r="G1781">
        <f>IF(DATOS!$A1781="",0,IF(CONFIG_METADATA!$B$4&lt;&gt;"OR+EX",--(DATOS!$G1781=CONFIG_METADATA!$B$4),IF(DATOS!$G1781="EX",1,IF(DATOS!$G1781="OR",--(COUNTIFS(nNIA,DATOS!$A1781,nCURSO,DATOS!$D1781,nESPEC,DATOS!$E1781,nASIG,DATOS!$I1781,nEVAL,"EX")=0),0))))</f>
      </c>
      <c r="H1781">
        <f>IF(DATOS!$G1781&lt;&gt;"EX",0,--(COUNTIFS(nNIA,DATOS!$A1781,nCURSO,DATOS!$D1781,nESPEC,DATOS!$E1781,nASIG,DATOS!$I1781,nEVAL,"OR")=0))</f>
      </c>
      <c r="I1781">
        <f>IF(DATOS!$I1781="","",IFERROR(VLOOKUP(DATOS!$I1781,CONFIG_ASIGNATURAS!$B$2:$J$91,9,FALSE()),""))</f>
      </c>
    </row>
    <row r="1782">
      <c r="F1782">
        <f>IF(DATOS!$A1782="","",DATOS!$A1782&amp;"|"&amp;DATOS!$D1782&amp;"|"&amp;DATOS!$E1782&amp;"|"&amp;DATOS!$I1782)</f>
      </c>
      <c r="G1782">
        <f>IF(DATOS!$A1782="",0,IF(CONFIG_METADATA!$B$4&lt;&gt;"OR+EX",--(DATOS!$G1782=CONFIG_METADATA!$B$4),IF(DATOS!$G1782="EX",1,IF(DATOS!$G1782="OR",--(COUNTIFS(nNIA,DATOS!$A1782,nCURSO,DATOS!$D1782,nESPEC,DATOS!$E1782,nASIG,DATOS!$I1782,nEVAL,"EX")=0),0))))</f>
      </c>
      <c r="H1782">
        <f>IF(DATOS!$G1782&lt;&gt;"EX",0,--(COUNTIFS(nNIA,DATOS!$A1782,nCURSO,DATOS!$D1782,nESPEC,DATOS!$E1782,nASIG,DATOS!$I1782,nEVAL,"OR")=0))</f>
      </c>
      <c r="I1782">
        <f>IF(DATOS!$I1782="","",IFERROR(VLOOKUP(DATOS!$I1782,CONFIG_ASIGNATURAS!$B$2:$J$91,9,FALSE()),""))</f>
      </c>
    </row>
    <row r="1783">
      <c r="F1783">
        <f>IF(DATOS!$A1783="","",DATOS!$A1783&amp;"|"&amp;DATOS!$D1783&amp;"|"&amp;DATOS!$E1783&amp;"|"&amp;DATOS!$I1783)</f>
      </c>
      <c r="G1783">
        <f>IF(DATOS!$A1783="",0,IF(CONFIG_METADATA!$B$4&lt;&gt;"OR+EX",--(DATOS!$G1783=CONFIG_METADATA!$B$4),IF(DATOS!$G1783="EX",1,IF(DATOS!$G1783="OR",--(COUNTIFS(nNIA,DATOS!$A1783,nCURSO,DATOS!$D1783,nESPEC,DATOS!$E1783,nASIG,DATOS!$I1783,nEVAL,"EX")=0),0))))</f>
      </c>
      <c r="H1783">
        <f>IF(DATOS!$G1783&lt;&gt;"EX",0,--(COUNTIFS(nNIA,DATOS!$A1783,nCURSO,DATOS!$D1783,nESPEC,DATOS!$E1783,nASIG,DATOS!$I1783,nEVAL,"OR")=0))</f>
      </c>
      <c r="I1783">
        <f>IF(DATOS!$I1783="","",IFERROR(VLOOKUP(DATOS!$I1783,CONFIG_ASIGNATURAS!$B$2:$J$91,9,FALSE()),""))</f>
      </c>
    </row>
    <row r="1784">
      <c r="F1784">
        <f>IF(DATOS!$A1784="","",DATOS!$A1784&amp;"|"&amp;DATOS!$D1784&amp;"|"&amp;DATOS!$E1784&amp;"|"&amp;DATOS!$I1784)</f>
      </c>
      <c r="G1784">
        <f>IF(DATOS!$A1784="",0,IF(CONFIG_METADATA!$B$4&lt;&gt;"OR+EX",--(DATOS!$G1784=CONFIG_METADATA!$B$4),IF(DATOS!$G1784="EX",1,IF(DATOS!$G1784="OR",--(COUNTIFS(nNIA,DATOS!$A1784,nCURSO,DATOS!$D1784,nESPEC,DATOS!$E1784,nASIG,DATOS!$I1784,nEVAL,"EX")=0),0))))</f>
      </c>
      <c r="H1784">
        <f>IF(DATOS!$G1784&lt;&gt;"EX",0,--(COUNTIFS(nNIA,DATOS!$A1784,nCURSO,DATOS!$D1784,nESPEC,DATOS!$E1784,nASIG,DATOS!$I1784,nEVAL,"OR")=0))</f>
      </c>
      <c r="I1784">
        <f>IF(DATOS!$I1784="","",IFERROR(VLOOKUP(DATOS!$I1784,CONFIG_ASIGNATURAS!$B$2:$J$91,9,FALSE()),""))</f>
      </c>
    </row>
    <row r="1785">
      <c r="F1785">
        <f>IF(DATOS!$A1785="","",DATOS!$A1785&amp;"|"&amp;DATOS!$D1785&amp;"|"&amp;DATOS!$E1785&amp;"|"&amp;DATOS!$I1785)</f>
      </c>
      <c r="G1785">
        <f>IF(DATOS!$A1785="",0,IF(CONFIG_METADATA!$B$4&lt;&gt;"OR+EX",--(DATOS!$G1785=CONFIG_METADATA!$B$4),IF(DATOS!$G1785="EX",1,IF(DATOS!$G1785="OR",--(COUNTIFS(nNIA,DATOS!$A1785,nCURSO,DATOS!$D1785,nESPEC,DATOS!$E1785,nASIG,DATOS!$I1785,nEVAL,"EX")=0),0))))</f>
      </c>
      <c r="H1785">
        <f>IF(DATOS!$G1785&lt;&gt;"EX",0,--(COUNTIFS(nNIA,DATOS!$A1785,nCURSO,DATOS!$D1785,nESPEC,DATOS!$E1785,nASIG,DATOS!$I1785,nEVAL,"OR")=0))</f>
      </c>
      <c r="I1785">
        <f>IF(DATOS!$I1785="","",IFERROR(VLOOKUP(DATOS!$I1785,CONFIG_ASIGNATURAS!$B$2:$J$91,9,FALSE()),""))</f>
      </c>
    </row>
    <row r="1786">
      <c r="F1786">
        <f>IF(DATOS!$A1786="","",DATOS!$A1786&amp;"|"&amp;DATOS!$D1786&amp;"|"&amp;DATOS!$E1786&amp;"|"&amp;DATOS!$I1786)</f>
      </c>
      <c r="G1786">
        <f>IF(DATOS!$A1786="",0,IF(CONFIG_METADATA!$B$4&lt;&gt;"OR+EX",--(DATOS!$G1786=CONFIG_METADATA!$B$4),IF(DATOS!$G1786="EX",1,IF(DATOS!$G1786="OR",--(COUNTIFS(nNIA,DATOS!$A1786,nCURSO,DATOS!$D1786,nESPEC,DATOS!$E1786,nASIG,DATOS!$I1786,nEVAL,"EX")=0),0))))</f>
      </c>
      <c r="H1786">
        <f>IF(DATOS!$G1786&lt;&gt;"EX",0,--(COUNTIFS(nNIA,DATOS!$A1786,nCURSO,DATOS!$D1786,nESPEC,DATOS!$E1786,nASIG,DATOS!$I1786,nEVAL,"OR")=0))</f>
      </c>
      <c r="I1786">
        <f>IF(DATOS!$I1786="","",IFERROR(VLOOKUP(DATOS!$I1786,CONFIG_ASIGNATURAS!$B$2:$J$91,9,FALSE()),""))</f>
      </c>
    </row>
    <row r="1787">
      <c r="F1787">
        <f>IF(DATOS!$A1787="","",DATOS!$A1787&amp;"|"&amp;DATOS!$D1787&amp;"|"&amp;DATOS!$E1787&amp;"|"&amp;DATOS!$I1787)</f>
      </c>
      <c r="G1787">
        <f>IF(DATOS!$A1787="",0,IF(CONFIG_METADATA!$B$4&lt;&gt;"OR+EX",--(DATOS!$G1787=CONFIG_METADATA!$B$4),IF(DATOS!$G1787="EX",1,IF(DATOS!$G1787="OR",--(COUNTIFS(nNIA,DATOS!$A1787,nCURSO,DATOS!$D1787,nESPEC,DATOS!$E1787,nASIG,DATOS!$I1787,nEVAL,"EX")=0),0))))</f>
      </c>
      <c r="H1787">
        <f>IF(DATOS!$G1787&lt;&gt;"EX",0,--(COUNTIFS(nNIA,DATOS!$A1787,nCURSO,DATOS!$D1787,nESPEC,DATOS!$E1787,nASIG,DATOS!$I1787,nEVAL,"OR")=0))</f>
      </c>
      <c r="I1787">
        <f>IF(DATOS!$I1787="","",IFERROR(VLOOKUP(DATOS!$I1787,CONFIG_ASIGNATURAS!$B$2:$J$91,9,FALSE()),""))</f>
      </c>
    </row>
    <row r="1788">
      <c r="F1788">
        <f>IF(DATOS!$A1788="","",DATOS!$A1788&amp;"|"&amp;DATOS!$D1788&amp;"|"&amp;DATOS!$E1788&amp;"|"&amp;DATOS!$I1788)</f>
      </c>
      <c r="G1788">
        <f>IF(DATOS!$A1788="",0,IF(CONFIG_METADATA!$B$4&lt;&gt;"OR+EX",--(DATOS!$G1788=CONFIG_METADATA!$B$4),IF(DATOS!$G1788="EX",1,IF(DATOS!$G1788="OR",--(COUNTIFS(nNIA,DATOS!$A1788,nCURSO,DATOS!$D1788,nESPEC,DATOS!$E1788,nASIG,DATOS!$I1788,nEVAL,"EX")=0),0))))</f>
      </c>
      <c r="H1788">
        <f>IF(DATOS!$G1788&lt;&gt;"EX",0,--(COUNTIFS(nNIA,DATOS!$A1788,nCURSO,DATOS!$D1788,nESPEC,DATOS!$E1788,nASIG,DATOS!$I1788,nEVAL,"OR")=0))</f>
      </c>
      <c r="I1788">
        <f>IF(DATOS!$I1788="","",IFERROR(VLOOKUP(DATOS!$I1788,CONFIG_ASIGNATURAS!$B$2:$J$91,9,FALSE()),""))</f>
      </c>
    </row>
    <row r="1789">
      <c r="F1789">
        <f>IF(DATOS!$A1789="","",DATOS!$A1789&amp;"|"&amp;DATOS!$D1789&amp;"|"&amp;DATOS!$E1789&amp;"|"&amp;DATOS!$I1789)</f>
      </c>
      <c r="G1789">
        <f>IF(DATOS!$A1789="",0,IF(CONFIG_METADATA!$B$4&lt;&gt;"OR+EX",--(DATOS!$G1789=CONFIG_METADATA!$B$4),IF(DATOS!$G1789="EX",1,IF(DATOS!$G1789="OR",--(COUNTIFS(nNIA,DATOS!$A1789,nCURSO,DATOS!$D1789,nESPEC,DATOS!$E1789,nASIG,DATOS!$I1789,nEVAL,"EX")=0),0))))</f>
      </c>
      <c r="H1789">
        <f>IF(DATOS!$G1789&lt;&gt;"EX",0,--(COUNTIFS(nNIA,DATOS!$A1789,nCURSO,DATOS!$D1789,nESPEC,DATOS!$E1789,nASIG,DATOS!$I1789,nEVAL,"OR")=0))</f>
      </c>
      <c r="I1789">
        <f>IF(DATOS!$I1789="","",IFERROR(VLOOKUP(DATOS!$I1789,CONFIG_ASIGNATURAS!$B$2:$J$91,9,FALSE()),""))</f>
      </c>
    </row>
    <row r="1790">
      <c r="F1790">
        <f>IF(DATOS!$A1790="","",DATOS!$A1790&amp;"|"&amp;DATOS!$D1790&amp;"|"&amp;DATOS!$E1790&amp;"|"&amp;DATOS!$I1790)</f>
      </c>
      <c r="G1790">
        <f>IF(DATOS!$A1790="",0,IF(CONFIG_METADATA!$B$4&lt;&gt;"OR+EX",--(DATOS!$G1790=CONFIG_METADATA!$B$4),IF(DATOS!$G1790="EX",1,IF(DATOS!$G1790="OR",--(COUNTIFS(nNIA,DATOS!$A1790,nCURSO,DATOS!$D1790,nESPEC,DATOS!$E1790,nASIG,DATOS!$I1790,nEVAL,"EX")=0),0))))</f>
      </c>
      <c r="H1790">
        <f>IF(DATOS!$G1790&lt;&gt;"EX",0,--(COUNTIFS(nNIA,DATOS!$A1790,nCURSO,DATOS!$D1790,nESPEC,DATOS!$E1790,nASIG,DATOS!$I1790,nEVAL,"OR")=0))</f>
      </c>
      <c r="I1790">
        <f>IF(DATOS!$I1790="","",IFERROR(VLOOKUP(DATOS!$I1790,CONFIG_ASIGNATURAS!$B$2:$J$91,9,FALSE()),""))</f>
      </c>
    </row>
    <row r="1791">
      <c r="F1791">
        <f>IF(DATOS!$A1791="","",DATOS!$A1791&amp;"|"&amp;DATOS!$D1791&amp;"|"&amp;DATOS!$E1791&amp;"|"&amp;DATOS!$I1791)</f>
      </c>
      <c r="G1791">
        <f>IF(DATOS!$A1791="",0,IF(CONFIG_METADATA!$B$4&lt;&gt;"OR+EX",--(DATOS!$G1791=CONFIG_METADATA!$B$4),IF(DATOS!$G1791="EX",1,IF(DATOS!$G1791="OR",--(COUNTIFS(nNIA,DATOS!$A1791,nCURSO,DATOS!$D1791,nESPEC,DATOS!$E1791,nASIG,DATOS!$I1791,nEVAL,"EX")=0),0))))</f>
      </c>
      <c r="H1791">
        <f>IF(DATOS!$G1791&lt;&gt;"EX",0,--(COUNTIFS(nNIA,DATOS!$A1791,nCURSO,DATOS!$D1791,nESPEC,DATOS!$E1791,nASIG,DATOS!$I1791,nEVAL,"OR")=0))</f>
      </c>
      <c r="I1791">
        <f>IF(DATOS!$I1791="","",IFERROR(VLOOKUP(DATOS!$I1791,CONFIG_ASIGNATURAS!$B$2:$J$91,9,FALSE()),""))</f>
      </c>
    </row>
    <row r="1792">
      <c r="F1792">
        <f>IF(DATOS!$A1792="","",DATOS!$A1792&amp;"|"&amp;DATOS!$D1792&amp;"|"&amp;DATOS!$E1792&amp;"|"&amp;DATOS!$I1792)</f>
      </c>
      <c r="G1792">
        <f>IF(DATOS!$A1792="",0,IF(CONFIG_METADATA!$B$4&lt;&gt;"OR+EX",--(DATOS!$G1792=CONFIG_METADATA!$B$4),IF(DATOS!$G1792="EX",1,IF(DATOS!$G1792="OR",--(COUNTIFS(nNIA,DATOS!$A1792,nCURSO,DATOS!$D1792,nESPEC,DATOS!$E1792,nASIG,DATOS!$I1792,nEVAL,"EX")=0),0))))</f>
      </c>
      <c r="H1792">
        <f>IF(DATOS!$G1792&lt;&gt;"EX",0,--(COUNTIFS(nNIA,DATOS!$A1792,nCURSO,DATOS!$D1792,nESPEC,DATOS!$E1792,nASIG,DATOS!$I1792,nEVAL,"OR")=0))</f>
      </c>
      <c r="I1792">
        <f>IF(DATOS!$I1792="","",IFERROR(VLOOKUP(DATOS!$I1792,CONFIG_ASIGNATURAS!$B$2:$J$91,9,FALSE()),""))</f>
      </c>
    </row>
    <row r="1793">
      <c r="F1793">
        <f>IF(DATOS!$A1793="","",DATOS!$A1793&amp;"|"&amp;DATOS!$D1793&amp;"|"&amp;DATOS!$E1793&amp;"|"&amp;DATOS!$I1793)</f>
      </c>
      <c r="G1793">
        <f>IF(DATOS!$A1793="",0,IF(CONFIG_METADATA!$B$4&lt;&gt;"OR+EX",--(DATOS!$G1793=CONFIG_METADATA!$B$4),IF(DATOS!$G1793="EX",1,IF(DATOS!$G1793="OR",--(COUNTIFS(nNIA,DATOS!$A1793,nCURSO,DATOS!$D1793,nESPEC,DATOS!$E1793,nASIG,DATOS!$I1793,nEVAL,"EX")=0),0))))</f>
      </c>
      <c r="H1793">
        <f>IF(DATOS!$G1793&lt;&gt;"EX",0,--(COUNTIFS(nNIA,DATOS!$A1793,nCURSO,DATOS!$D1793,nESPEC,DATOS!$E1793,nASIG,DATOS!$I1793,nEVAL,"OR")=0))</f>
      </c>
      <c r="I1793">
        <f>IF(DATOS!$I1793="","",IFERROR(VLOOKUP(DATOS!$I1793,CONFIG_ASIGNATURAS!$B$2:$J$91,9,FALSE()),""))</f>
      </c>
    </row>
    <row r="1794">
      <c r="F1794">
        <f>IF(DATOS!$A1794="","",DATOS!$A1794&amp;"|"&amp;DATOS!$D1794&amp;"|"&amp;DATOS!$E1794&amp;"|"&amp;DATOS!$I1794)</f>
      </c>
      <c r="G1794">
        <f>IF(DATOS!$A1794="",0,IF(CONFIG_METADATA!$B$4&lt;&gt;"OR+EX",--(DATOS!$G1794=CONFIG_METADATA!$B$4),IF(DATOS!$G1794="EX",1,IF(DATOS!$G1794="OR",--(COUNTIFS(nNIA,DATOS!$A1794,nCURSO,DATOS!$D1794,nESPEC,DATOS!$E1794,nASIG,DATOS!$I1794,nEVAL,"EX")=0),0))))</f>
      </c>
      <c r="H1794">
        <f>IF(DATOS!$G1794&lt;&gt;"EX",0,--(COUNTIFS(nNIA,DATOS!$A1794,nCURSO,DATOS!$D1794,nESPEC,DATOS!$E1794,nASIG,DATOS!$I1794,nEVAL,"OR")=0))</f>
      </c>
      <c r="I1794">
        <f>IF(DATOS!$I1794="","",IFERROR(VLOOKUP(DATOS!$I1794,CONFIG_ASIGNATURAS!$B$2:$J$91,9,FALSE()),""))</f>
      </c>
    </row>
    <row r="1795">
      <c r="F1795">
        <f>IF(DATOS!$A1795="","",DATOS!$A1795&amp;"|"&amp;DATOS!$D1795&amp;"|"&amp;DATOS!$E1795&amp;"|"&amp;DATOS!$I1795)</f>
      </c>
      <c r="G1795">
        <f>IF(DATOS!$A1795="",0,IF(CONFIG_METADATA!$B$4&lt;&gt;"OR+EX",--(DATOS!$G1795=CONFIG_METADATA!$B$4),IF(DATOS!$G1795="EX",1,IF(DATOS!$G1795="OR",--(COUNTIFS(nNIA,DATOS!$A1795,nCURSO,DATOS!$D1795,nESPEC,DATOS!$E1795,nASIG,DATOS!$I1795,nEVAL,"EX")=0),0))))</f>
      </c>
      <c r="H1795">
        <f>IF(DATOS!$G1795&lt;&gt;"EX",0,--(COUNTIFS(nNIA,DATOS!$A1795,nCURSO,DATOS!$D1795,nESPEC,DATOS!$E1795,nASIG,DATOS!$I1795,nEVAL,"OR")=0))</f>
      </c>
      <c r="I1795">
        <f>IF(DATOS!$I1795="","",IFERROR(VLOOKUP(DATOS!$I1795,CONFIG_ASIGNATURAS!$B$2:$J$91,9,FALSE()),""))</f>
      </c>
    </row>
    <row r="1796">
      <c r="F1796">
        <f>IF(DATOS!$A1796="","",DATOS!$A1796&amp;"|"&amp;DATOS!$D1796&amp;"|"&amp;DATOS!$E1796&amp;"|"&amp;DATOS!$I1796)</f>
      </c>
      <c r="G1796">
        <f>IF(DATOS!$A1796="",0,IF(CONFIG_METADATA!$B$4&lt;&gt;"OR+EX",--(DATOS!$G1796=CONFIG_METADATA!$B$4),IF(DATOS!$G1796="EX",1,IF(DATOS!$G1796="OR",--(COUNTIFS(nNIA,DATOS!$A1796,nCURSO,DATOS!$D1796,nESPEC,DATOS!$E1796,nASIG,DATOS!$I1796,nEVAL,"EX")=0),0))))</f>
      </c>
      <c r="H1796">
        <f>IF(DATOS!$G1796&lt;&gt;"EX",0,--(COUNTIFS(nNIA,DATOS!$A1796,nCURSO,DATOS!$D1796,nESPEC,DATOS!$E1796,nASIG,DATOS!$I1796,nEVAL,"OR")=0))</f>
      </c>
      <c r="I1796">
        <f>IF(DATOS!$I1796="","",IFERROR(VLOOKUP(DATOS!$I1796,CONFIG_ASIGNATURAS!$B$2:$J$91,9,FALSE()),""))</f>
      </c>
    </row>
    <row r="1797">
      <c r="F1797">
        <f>IF(DATOS!$A1797="","",DATOS!$A1797&amp;"|"&amp;DATOS!$D1797&amp;"|"&amp;DATOS!$E1797&amp;"|"&amp;DATOS!$I1797)</f>
      </c>
      <c r="G1797">
        <f>IF(DATOS!$A1797="",0,IF(CONFIG_METADATA!$B$4&lt;&gt;"OR+EX",--(DATOS!$G1797=CONFIG_METADATA!$B$4),IF(DATOS!$G1797="EX",1,IF(DATOS!$G1797="OR",--(COUNTIFS(nNIA,DATOS!$A1797,nCURSO,DATOS!$D1797,nESPEC,DATOS!$E1797,nASIG,DATOS!$I1797,nEVAL,"EX")=0),0))))</f>
      </c>
      <c r="H1797">
        <f>IF(DATOS!$G1797&lt;&gt;"EX",0,--(COUNTIFS(nNIA,DATOS!$A1797,nCURSO,DATOS!$D1797,nESPEC,DATOS!$E1797,nASIG,DATOS!$I1797,nEVAL,"OR")=0))</f>
      </c>
      <c r="I1797">
        <f>IF(DATOS!$I1797="","",IFERROR(VLOOKUP(DATOS!$I1797,CONFIG_ASIGNATURAS!$B$2:$J$91,9,FALSE()),""))</f>
      </c>
    </row>
    <row r="1798">
      <c r="F1798">
        <f>IF(DATOS!$A1798="","",DATOS!$A1798&amp;"|"&amp;DATOS!$D1798&amp;"|"&amp;DATOS!$E1798&amp;"|"&amp;DATOS!$I1798)</f>
      </c>
      <c r="G1798">
        <f>IF(DATOS!$A1798="",0,IF(CONFIG_METADATA!$B$4&lt;&gt;"OR+EX",--(DATOS!$G1798=CONFIG_METADATA!$B$4),IF(DATOS!$G1798="EX",1,IF(DATOS!$G1798="OR",--(COUNTIFS(nNIA,DATOS!$A1798,nCURSO,DATOS!$D1798,nESPEC,DATOS!$E1798,nASIG,DATOS!$I1798,nEVAL,"EX")=0),0))))</f>
      </c>
      <c r="H1798">
        <f>IF(DATOS!$G1798&lt;&gt;"EX",0,--(COUNTIFS(nNIA,DATOS!$A1798,nCURSO,DATOS!$D1798,nESPEC,DATOS!$E1798,nASIG,DATOS!$I1798,nEVAL,"OR")=0))</f>
      </c>
      <c r="I1798">
        <f>IF(DATOS!$I1798="","",IFERROR(VLOOKUP(DATOS!$I1798,CONFIG_ASIGNATURAS!$B$2:$J$91,9,FALSE()),""))</f>
      </c>
    </row>
    <row r="1799">
      <c r="F1799">
        <f>IF(DATOS!$A1799="","",DATOS!$A1799&amp;"|"&amp;DATOS!$D1799&amp;"|"&amp;DATOS!$E1799&amp;"|"&amp;DATOS!$I1799)</f>
      </c>
      <c r="G1799">
        <f>IF(DATOS!$A1799="",0,IF(CONFIG_METADATA!$B$4&lt;&gt;"OR+EX",--(DATOS!$G1799=CONFIG_METADATA!$B$4),IF(DATOS!$G1799="EX",1,IF(DATOS!$G1799="OR",--(COUNTIFS(nNIA,DATOS!$A1799,nCURSO,DATOS!$D1799,nESPEC,DATOS!$E1799,nASIG,DATOS!$I1799,nEVAL,"EX")=0),0))))</f>
      </c>
      <c r="H1799">
        <f>IF(DATOS!$G1799&lt;&gt;"EX",0,--(COUNTIFS(nNIA,DATOS!$A1799,nCURSO,DATOS!$D1799,nESPEC,DATOS!$E1799,nASIG,DATOS!$I1799,nEVAL,"OR")=0))</f>
      </c>
      <c r="I1799">
        <f>IF(DATOS!$I1799="","",IFERROR(VLOOKUP(DATOS!$I1799,CONFIG_ASIGNATURAS!$B$2:$J$91,9,FALSE()),""))</f>
      </c>
    </row>
    <row r="1800">
      <c r="F1800">
        <f>IF(DATOS!$A1800="","",DATOS!$A1800&amp;"|"&amp;DATOS!$D1800&amp;"|"&amp;DATOS!$E1800&amp;"|"&amp;DATOS!$I1800)</f>
      </c>
      <c r="G1800">
        <f>IF(DATOS!$A1800="",0,IF(CONFIG_METADATA!$B$4&lt;&gt;"OR+EX",--(DATOS!$G1800=CONFIG_METADATA!$B$4),IF(DATOS!$G1800="EX",1,IF(DATOS!$G1800="OR",--(COUNTIFS(nNIA,DATOS!$A1800,nCURSO,DATOS!$D1800,nESPEC,DATOS!$E1800,nASIG,DATOS!$I1800,nEVAL,"EX")=0),0))))</f>
      </c>
      <c r="H1800">
        <f>IF(DATOS!$G1800&lt;&gt;"EX",0,--(COUNTIFS(nNIA,DATOS!$A1800,nCURSO,DATOS!$D1800,nESPEC,DATOS!$E1800,nASIG,DATOS!$I1800,nEVAL,"OR")=0))</f>
      </c>
      <c r="I1800">
        <f>IF(DATOS!$I1800="","",IFERROR(VLOOKUP(DATOS!$I1800,CONFIG_ASIGNATURAS!$B$2:$J$91,9,FALSE()),""))</f>
      </c>
    </row>
    <row r="1801">
      <c r="F1801">
        <f>IF(DATOS!$A1801="","",DATOS!$A1801&amp;"|"&amp;DATOS!$D1801&amp;"|"&amp;DATOS!$E1801&amp;"|"&amp;DATOS!$I1801)</f>
      </c>
      <c r="G1801">
        <f>IF(DATOS!$A1801="",0,IF(CONFIG_METADATA!$B$4&lt;&gt;"OR+EX",--(DATOS!$G1801=CONFIG_METADATA!$B$4),IF(DATOS!$G1801="EX",1,IF(DATOS!$G1801="OR",--(COUNTIFS(nNIA,DATOS!$A1801,nCURSO,DATOS!$D1801,nESPEC,DATOS!$E1801,nASIG,DATOS!$I1801,nEVAL,"EX")=0),0))))</f>
      </c>
      <c r="H1801">
        <f>IF(DATOS!$G1801&lt;&gt;"EX",0,--(COUNTIFS(nNIA,DATOS!$A1801,nCURSO,DATOS!$D1801,nESPEC,DATOS!$E1801,nASIG,DATOS!$I1801,nEVAL,"OR")=0))</f>
      </c>
      <c r="I1801">
        <f>IF(DATOS!$I1801="","",IFERROR(VLOOKUP(DATOS!$I1801,CONFIG_ASIGNATURAS!$B$2:$J$91,9,FALSE()),""))</f>
      </c>
    </row>
    <row r="1802">
      <c r="F1802">
        <f>IF(DATOS!$A1802="","",DATOS!$A1802&amp;"|"&amp;DATOS!$D1802&amp;"|"&amp;DATOS!$E1802&amp;"|"&amp;DATOS!$I1802)</f>
      </c>
      <c r="G1802">
        <f>IF(DATOS!$A1802="",0,IF(CONFIG_METADATA!$B$4&lt;&gt;"OR+EX",--(DATOS!$G1802=CONFIG_METADATA!$B$4),IF(DATOS!$G1802="EX",1,IF(DATOS!$G1802="OR",--(COUNTIFS(nNIA,DATOS!$A1802,nCURSO,DATOS!$D1802,nESPEC,DATOS!$E1802,nASIG,DATOS!$I1802,nEVAL,"EX")=0),0))))</f>
      </c>
      <c r="H1802">
        <f>IF(DATOS!$G1802&lt;&gt;"EX",0,--(COUNTIFS(nNIA,DATOS!$A1802,nCURSO,DATOS!$D1802,nESPEC,DATOS!$E1802,nASIG,DATOS!$I1802,nEVAL,"OR")=0))</f>
      </c>
      <c r="I1802">
        <f>IF(DATOS!$I1802="","",IFERROR(VLOOKUP(DATOS!$I1802,CONFIG_ASIGNATURAS!$B$2:$J$91,9,FALSE()),""))</f>
      </c>
    </row>
    <row r="1803">
      <c r="F1803">
        <f>IF(DATOS!$A1803="","",DATOS!$A1803&amp;"|"&amp;DATOS!$D1803&amp;"|"&amp;DATOS!$E1803&amp;"|"&amp;DATOS!$I1803)</f>
      </c>
      <c r="G1803">
        <f>IF(DATOS!$A1803="",0,IF(CONFIG_METADATA!$B$4&lt;&gt;"OR+EX",--(DATOS!$G1803=CONFIG_METADATA!$B$4),IF(DATOS!$G1803="EX",1,IF(DATOS!$G1803="OR",--(COUNTIFS(nNIA,DATOS!$A1803,nCURSO,DATOS!$D1803,nESPEC,DATOS!$E1803,nASIG,DATOS!$I1803,nEVAL,"EX")=0),0))))</f>
      </c>
      <c r="H1803">
        <f>IF(DATOS!$G1803&lt;&gt;"EX",0,--(COUNTIFS(nNIA,DATOS!$A1803,nCURSO,DATOS!$D1803,nESPEC,DATOS!$E1803,nASIG,DATOS!$I1803,nEVAL,"OR")=0))</f>
      </c>
      <c r="I1803">
        <f>IF(DATOS!$I1803="","",IFERROR(VLOOKUP(DATOS!$I1803,CONFIG_ASIGNATURAS!$B$2:$J$91,9,FALSE()),""))</f>
      </c>
    </row>
    <row r="1804">
      <c r="F1804">
        <f>IF(DATOS!$A1804="","",DATOS!$A1804&amp;"|"&amp;DATOS!$D1804&amp;"|"&amp;DATOS!$E1804&amp;"|"&amp;DATOS!$I1804)</f>
      </c>
      <c r="G1804">
        <f>IF(DATOS!$A1804="",0,IF(CONFIG_METADATA!$B$4&lt;&gt;"OR+EX",--(DATOS!$G1804=CONFIG_METADATA!$B$4),IF(DATOS!$G1804="EX",1,IF(DATOS!$G1804="OR",--(COUNTIFS(nNIA,DATOS!$A1804,nCURSO,DATOS!$D1804,nESPEC,DATOS!$E1804,nASIG,DATOS!$I1804,nEVAL,"EX")=0),0))))</f>
      </c>
      <c r="H1804">
        <f>IF(DATOS!$G1804&lt;&gt;"EX",0,--(COUNTIFS(nNIA,DATOS!$A1804,nCURSO,DATOS!$D1804,nESPEC,DATOS!$E1804,nASIG,DATOS!$I1804,nEVAL,"OR")=0))</f>
      </c>
      <c r="I1804">
        <f>IF(DATOS!$I1804="","",IFERROR(VLOOKUP(DATOS!$I1804,CONFIG_ASIGNATURAS!$B$2:$J$91,9,FALSE()),""))</f>
      </c>
    </row>
    <row r="1805">
      <c r="F1805">
        <f>IF(DATOS!$A1805="","",DATOS!$A1805&amp;"|"&amp;DATOS!$D1805&amp;"|"&amp;DATOS!$E1805&amp;"|"&amp;DATOS!$I1805)</f>
      </c>
      <c r="G1805">
        <f>IF(DATOS!$A1805="",0,IF(CONFIG_METADATA!$B$4&lt;&gt;"OR+EX",--(DATOS!$G1805=CONFIG_METADATA!$B$4),IF(DATOS!$G1805="EX",1,IF(DATOS!$G1805="OR",--(COUNTIFS(nNIA,DATOS!$A1805,nCURSO,DATOS!$D1805,nESPEC,DATOS!$E1805,nASIG,DATOS!$I1805,nEVAL,"EX")=0),0))))</f>
      </c>
      <c r="H1805">
        <f>IF(DATOS!$G1805&lt;&gt;"EX",0,--(COUNTIFS(nNIA,DATOS!$A1805,nCURSO,DATOS!$D1805,nESPEC,DATOS!$E1805,nASIG,DATOS!$I1805,nEVAL,"OR")=0))</f>
      </c>
      <c r="I1805">
        <f>IF(DATOS!$I1805="","",IFERROR(VLOOKUP(DATOS!$I1805,CONFIG_ASIGNATURAS!$B$2:$J$91,9,FALSE()),""))</f>
      </c>
    </row>
    <row r="1806">
      <c r="F1806">
        <f>IF(DATOS!$A1806="","",DATOS!$A1806&amp;"|"&amp;DATOS!$D1806&amp;"|"&amp;DATOS!$E1806&amp;"|"&amp;DATOS!$I1806)</f>
      </c>
      <c r="G1806">
        <f>IF(DATOS!$A1806="",0,IF(CONFIG_METADATA!$B$4&lt;&gt;"OR+EX",--(DATOS!$G1806=CONFIG_METADATA!$B$4),IF(DATOS!$G1806="EX",1,IF(DATOS!$G1806="OR",--(COUNTIFS(nNIA,DATOS!$A1806,nCURSO,DATOS!$D1806,nESPEC,DATOS!$E1806,nASIG,DATOS!$I1806,nEVAL,"EX")=0),0))))</f>
      </c>
      <c r="H1806">
        <f>IF(DATOS!$G1806&lt;&gt;"EX",0,--(COUNTIFS(nNIA,DATOS!$A1806,nCURSO,DATOS!$D1806,nESPEC,DATOS!$E1806,nASIG,DATOS!$I1806,nEVAL,"OR")=0))</f>
      </c>
      <c r="I1806">
        <f>IF(DATOS!$I1806="","",IFERROR(VLOOKUP(DATOS!$I1806,CONFIG_ASIGNATURAS!$B$2:$J$91,9,FALSE()),""))</f>
      </c>
    </row>
    <row r="1807">
      <c r="F1807">
        <f>IF(DATOS!$A1807="","",DATOS!$A1807&amp;"|"&amp;DATOS!$D1807&amp;"|"&amp;DATOS!$E1807&amp;"|"&amp;DATOS!$I1807)</f>
      </c>
      <c r="G1807">
        <f>IF(DATOS!$A1807="",0,IF(CONFIG_METADATA!$B$4&lt;&gt;"OR+EX",--(DATOS!$G1807=CONFIG_METADATA!$B$4),IF(DATOS!$G1807="EX",1,IF(DATOS!$G1807="OR",--(COUNTIFS(nNIA,DATOS!$A1807,nCURSO,DATOS!$D1807,nESPEC,DATOS!$E1807,nASIG,DATOS!$I1807,nEVAL,"EX")=0),0))))</f>
      </c>
      <c r="H1807">
        <f>IF(DATOS!$G1807&lt;&gt;"EX",0,--(COUNTIFS(nNIA,DATOS!$A1807,nCURSO,DATOS!$D1807,nESPEC,DATOS!$E1807,nASIG,DATOS!$I1807,nEVAL,"OR")=0))</f>
      </c>
      <c r="I1807">
        <f>IF(DATOS!$I1807="","",IFERROR(VLOOKUP(DATOS!$I1807,CONFIG_ASIGNATURAS!$B$2:$J$91,9,FALSE()),""))</f>
      </c>
    </row>
    <row r="1808">
      <c r="F1808">
        <f>IF(DATOS!$A1808="","",DATOS!$A1808&amp;"|"&amp;DATOS!$D1808&amp;"|"&amp;DATOS!$E1808&amp;"|"&amp;DATOS!$I1808)</f>
      </c>
      <c r="G1808">
        <f>IF(DATOS!$A1808="",0,IF(CONFIG_METADATA!$B$4&lt;&gt;"OR+EX",--(DATOS!$G1808=CONFIG_METADATA!$B$4),IF(DATOS!$G1808="EX",1,IF(DATOS!$G1808="OR",--(COUNTIFS(nNIA,DATOS!$A1808,nCURSO,DATOS!$D1808,nESPEC,DATOS!$E1808,nASIG,DATOS!$I1808,nEVAL,"EX")=0),0))))</f>
      </c>
      <c r="H1808">
        <f>IF(DATOS!$G1808&lt;&gt;"EX",0,--(COUNTIFS(nNIA,DATOS!$A1808,nCURSO,DATOS!$D1808,nESPEC,DATOS!$E1808,nASIG,DATOS!$I1808,nEVAL,"OR")=0))</f>
      </c>
      <c r="I1808">
        <f>IF(DATOS!$I1808="","",IFERROR(VLOOKUP(DATOS!$I1808,CONFIG_ASIGNATURAS!$B$2:$J$91,9,FALSE()),""))</f>
      </c>
    </row>
    <row r="1809">
      <c r="F1809">
        <f>IF(DATOS!$A1809="","",DATOS!$A1809&amp;"|"&amp;DATOS!$D1809&amp;"|"&amp;DATOS!$E1809&amp;"|"&amp;DATOS!$I1809)</f>
      </c>
      <c r="G1809">
        <f>IF(DATOS!$A1809="",0,IF(CONFIG_METADATA!$B$4&lt;&gt;"OR+EX",--(DATOS!$G1809=CONFIG_METADATA!$B$4),IF(DATOS!$G1809="EX",1,IF(DATOS!$G1809="OR",--(COUNTIFS(nNIA,DATOS!$A1809,nCURSO,DATOS!$D1809,nESPEC,DATOS!$E1809,nASIG,DATOS!$I1809,nEVAL,"EX")=0),0))))</f>
      </c>
      <c r="H1809">
        <f>IF(DATOS!$G1809&lt;&gt;"EX",0,--(COUNTIFS(nNIA,DATOS!$A1809,nCURSO,DATOS!$D1809,nESPEC,DATOS!$E1809,nASIG,DATOS!$I1809,nEVAL,"OR")=0))</f>
      </c>
      <c r="I1809">
        <f>IF(DATOS!$I1809="","",IFERROR(VLOOKUP(DATOS!$I1809,CONFIG_ASIGNATURAS!$B$2:$J$91,9,FALSE()),""))</f>
      </c>
    </row>
    <row r="1810">
      <c r="F1810">
        <f>IF(DATOS!$A1810="","",DATOS!$A1810&amp;"|"&amp;DATOS!$D1810&amp;"|"&amp;DATOS!$E1810&amp;"|"&amp;DATOS!$I1810)</f>
      </c>
      <c r="G1810">
        <f>IF(DATOS!$A1810="",0,IF(CONFIG_METADATA!$B$4&lt;&gt;"OR+EX",--(DATOS!$G1810=CONFIG_METADATA!$B$4),IF(DATOS!$G1810="EX",1,IF(DATOS!$G1810="OR",--(COUNTIFS(nNIA,DATOS!$A1810,nCURSO,DATOS!$D1810,nESPEC,DATOS!$E1810,nASIG,DATOS!$I1810,nEVAL,"EX")=0),0))))</f>
      </c>
      <c r="H1810">
        <f>IF(DATOS!$G1810&lt;&gt;"EX",0,--(COUNTIFS(nNIA,DATOS!$A1810,nCURSO,DATOS!$D1810,nESPEC,DATOS!$E1810,nASIG,DATOS!$I1810,nEVAL,"OR")=0))</f>
      </c>
      <c r="I1810">
        <f>IF(DATOS!$I1810="","",IFERROR(VLOOKUP(DATOS!$I1810,CONFIG_ASIGNATURAS!$B$2:$J$91,9,FALSE()),""))</f>
      </c>
    </row>
    <row r="1811">
      <c r="F1811">
        <f>IF(DATOS!$A1811="","",DATOS!$A1811&amp;"|"&amp;DATOS!$D1811&amp;"|"&amp;DATOS!$E1811&amp;"|"&amp;DATOS!$I1811)</f>
      </c>
      <c r="G1811">
        <f>IF(DATOS!$A1811="",0,IF(CONFIG_METADATA!$B$4&lt;&gt;"OR+EX",--(DATOS!$G1811=CONFIG_METADATA!$B$4),IF(DATOS!$G1811="EX",1,IF(DATOS!$G1811="OR",--(COUNTIFS(nNIA,DATOS!$A1811,nCURSO,DATOS!$D1811,nESPEC,DATOS!$E1811,nASIG,DATOS!$I1811,nEVAL,"EX")=0),0))))</f>
      </c>
      <c r="H1811">
        <f>IF(DATOS!$G1811&lt;&gt;"EX",0,--(COUNTIFS(nNIA,DATOS!$A1811,nCURSO,DATOS!$D1811,nESPEC,DATOS!$E1811,nASIG,DATOS!$I1811,nEVAL,"OR")=0))</f>
      </c>
      <c r="I1811">
        <f>IF(DATOS!$I1811="","",IFERROR(VLOOKUP(DATOS!$I1811,CONFIG_ASIGNATURAS!$B$2:$J$91,9,FALSE()),""))</f>
      </c>
    </row>
    <row r="1812">
      <c r="F1812">
        <f>IF(DATOS!$A1812="","",DATOS!$A1812&amp;"|"&amp;DATOS!$D1812&amp;"|"&amp;DATOS!$E1812&amp;"|"&amp;DATOS!$I1812)</f>
      </c>
      <c r="G1812">
        <f>IF(DATOS!$A1812="",0,IF(CONFIG_METADATA!$B$4&lt;&gt;"OR+EX",--(DATOS!$G1812=CONFIG_METADATA!$B$4),IF(DATOS!$G1812="EX",1,IF(DATOS!$G1812="OR",--(COUNTIFS(nNIA,DATOS!$A1812,nCURSO,DATOS!$D1812,nESPEC,DATOS!$E1812,nASIG,DATOS!$I1812,nEVAL,"EX")=0),0))))</f>
      </c>
      <c r="H1812">
        <f>IF(DATOS!$G1812&lt;&gt;"EX",0,--(COUNTIFS(nNIA,DATOS!$A1812,nCURSO,DATOS!$D1812,nESPEC,DATOS!$E1812,nASIG,DATOS!$I1812,nEVAL,"OR")=0))</f>
      </c>
      <c r="I1812">
        <f>IF(DATOS!$I1812="","",IFERROR(VLOOKUP(DATOS!$I1812,CONFIG_ASIGNATURAS!$B$2:$J$91,9,FALSE()),""))</f>
      </c>
    </row>
    <row r="1813">
      <c r="F1813">
        <f>IF(DATOS!$A1813="","",DATOS!$A1813&amp;"|"&amp;DATOS!$D1813&amp;"|"&amp;DATOS!$E1813&amp;"|"&amp;DATOS!$I1813)</f>
      </c>
      <c r="G1813">
        <f>IF(DATOS!$A1813="",0,IF(CONFIG_METADATA!$B$4&lt;&gt;"OR+EX",--(DATOS!$G1813=CONFIG_METADATA!$B$4),IF(DATOS!$G1813="EX",1,IF(DATOS!$G1813="OR",--(COUNTIFS(nNIA,DATOS!$A1813,nCURSO,DATOS!$D1813,nESPEC,DATOS!$E1813,nASIG,DATOS!$I1813,nEVAL,"EX")=0),0))))</f>
      </c>
      <c r="H1813">
        <f>IF(DATOS!$G1813&lt;&gt;"EX",0,--(COUNTIFS(nNIA,DATOS!$A1813,nCURSO,DATOS!$D1813,nESPEC,DATOS!$E1813,nASIG,DATOS!$I1813,nEVAL,"OR")=0))</f>
      </c>
      <c r="I1813">
        <f>IF(DATOS!$I1813="","",IFERROR(VLOOKUP(DATOS!$I1813,CONFIG_ASIGNATURAS!$B$2:$J$91,9,FALSE()),""))</f>
      </c>
    </row>
    <row r="1814">
      <c r="F1814">
        <f>IF(DATOS!$A1814="","",DATOS!$A1814&amp;"|"&amp;DATOS!$D1814&amp;"|"&amp;DATOS!$E1814&amp;"|"&amp;DATOS!$I1814)</f>
      </c>
      <c r="G1814">
        <f>IF(DATOS!$A1814="",0,IF(CONFIG_METADATA!$B$4&lt;&gt;"OR+EX",--(DATOS!$G1814=CONFIG_METADATA!$B$4),IF(DATOS!$G1814="EX",1,IF(DATOS!$G1814="OR",--(COUNTIFS(nNIA,DATOS!$A1814,nCURSO,DATOS!$D1814,nESPEC,DATOS!$E1814,nASIG,DATOS!$I1814,nEVAL,"EX")=0),0))))</f>
      </c>
      <c r="H1814">
        <f>IF(DATOS!$G1814&lt;&gt;"EX",0,--(COUNTIFS(nNIA,DATOS!$A1814,nCURSO,DATOS!$D1814,nESPEC,DATOS!$E1814,nASIG,DATOS!$I1814,nEVAL,"OR")=0))</f>
      </c>
      <c r="I1814">
        <f>IF(DATOS!$I1814="","",IFERROR(VLOOKUP(DATOS!$I1814,CONFIG_ASIGNATURAS!$B$2:$J$91,9,FALSE()),""))</f>
      </c>
    </row>
    <row r="1815">
      <c r="F1815">
        <f>IF(DATOS!$A1815="","",DATOS!$A1815&amp;"|"&amp;DATOS!$D1815&amp;"|"&amp;DATOS!$E1815&amp;"|"&amp;DATOS!$I1815)</f>
      </c>
      <c r="G1815">
        <f>IF(DATOS!$A1815="",0,IF(CONFIG_METADATA!$B$4&lt;&gt;"OR+EX",--(DATOS!$G1815=CONFIG_METADATA!$B$4),IF(DATOS!$G1815="EX",1,IF(DATOS!$G1815="OR",--(COUNTIFS(nNIA,DATOS!$A1815,nCURSO,DATOS!$D1815,nESPEC,DATOS!$E1815,nASIG,DATOS!$I1815,nEVAL,"EX")=0),0))))</f>
      </c>
      <c r="H1815">
        <f>IF(DATOS!$G1815&lt;&gt;"EX",0,--(COUNTIFS(nNIA,DATOS!$A1815,nCURSO,DATOS!$D1815,nESPEC,DATOS!$E1815,nASIG,DATOS!$I1815,nEVAL,"OR")=0))</f>
      </c>
      <c r="I1815">
        <f>IF(DATOS!$I1815="","",IFERROR(VLOOKUP(DATOS!$I1815,CONFIG_ASIGNATURAS!$B$2:$J$91,9,FALSE()),""))</f>
      </c>
    </row>
    <row r="1816">
      <c r="F1816">
        <f>IF(DATOS!$A1816="","",DATOS!$A1816&amp;"|"&amp;DATOS!$D1816&amp;"|"&amp;DATOS!$E1816&amp;"|"&amp;DATOS!$I1816)</f>
      </c>
      <c r="G1816">
        <f>IF(DATOS!$A1816="",0,IF(CONFIG_METADATA!$B$4&lt;&gt;"OR+EX",--(DATOS!$G1816=CONFIG_METADATA!$B$4),IF(DATOS!$G1816="EX",1,IF(DATOS!$G1816="OR",--(COUNTIFS(nNIA,DATOS!$A1816,nCURSO,DATOS!$D1816,nESPEC,DATOS!$E1816,nASIG,DATOS!$I1816,nEVAL,"EX")=0),0))))</f>
      </c>
      <c r="H1816">
        <f>IF(DATOS!$G1816&lt;&gt;"EX",0,--(COUNTIFS(nNIA,DATOS!$A1816,nCURSO,DATOS!$D1816,nESPEC,DATOS!$E1816,nASIG,DATOS!$I1816,nEVAL,"OR")=0))</f>
      </c>
      <c r="I1816">
        <f>IF(DATOS!$I1816="","",IFERROR(VLOOKUP(DATOS!$I1816,CONFIG_ASIGNATURAS!$B$2:$J$91,9,FALSE()),""))</f>
      </c>
    </row>
    <row r="1817">
      <c r="F1817">
        <f>IF(DATOS!$A1817="","",DATOS!$A1817&amp;"|"&amp;DATOS!$D1817&amp;"|"&amp;DATOS!$E1817&amp;"|"&amp;DATOS!$I1817)</f>
      </c>
      <c r="G1817">
        <f>IF(DATOS!$A1817="",0,IF(CONFIG_METADATA!$B$4&lt;&gt;"OR+EX",--(DATOS!$G1817=CONFIG_METADATA!$B$4),IF(DATOS!$G1817="EX",1,IF(DATOS!$G1817="OR",--(COUNTIFS(nNIA,DATOS!$A1817,nCURSO,DATOS!$D1817,nESPEC,DATOS!$E1817,nASIG,DATOS!$I1817,nEVAL,"EX")=0),0))))</f>
      </c>
      <c r="H1817">
        <f>IF(DATOS!$G1817&lt;&gt;"EX",0,--(COUNTIFS(nNIA,DATOS!$A1817,nCURSO,DATOS!$D1817,nESPEC,DATOS!$E1817,nASIG,DATOS!$I1817,nEVAL,"OR")=0))</f>
      </c>
      <c r="I1817">
        <f>IF(DATOS!$I1817="","",IFERROR(VLOOKUP(DATOS!$I1817,CONFIG_ASIGNATURAS!$B$2:$J$91,9,FALSE()),""))</f>
      </c>
    </row>
    <row r="1818">
      <c r="F1818">
        <f>IF(DATOS!$A1818="","",DATOS!$A1818&amp;"|"&amp;DATOS!$D1818&amp;"|"&amp;DATOS!$E1818&amp;"|"&amp;DATOS!$I1818)</f>
      </c>
      <c r="G1818">
        <f>IF(DATOS!$A1818="",0,IF(CONFIG_METADATA!$B$4&lt;&gt;"OR+EX",--(DATOS!$G1818=CONFIG_METADATA!$B$4),IF(DATOS!$G1818="EX",1,IF(DATOS!$G1818="OR",--(COUNTIFS(nNIA,DATOS!$A1818,nCURSO,DATOS!$D1818,nESPEC,DATOS!$E1818,nASIG,DATOS!$I1818,nEVAL,"EX")=0),0))))</f>
      </c>
      <c r="H1818">
        <f>IF(DATOS!$G1818&lt;&gt;"EX",0,--(COUNTIFS(nNIA,DATOS!$A1818,nCURSO,DATOS!$D1818,nESPEC,DATOS!$E1818,nASIG,DATOS!$I1818,nEVAL,"OR")=0))</f>
      </c>
      <c r="I1818">
        <f>IF(DATOS!$I1818="","",IFERROR(VLOOKUP(DATOS!$I1818,CONFIG_ASIGNATURAS!$B$2:$J$91,9,FALSE()),""))</f>
      </c>
    </row>
    <row r="1819">
      <c r="F1819">
        <f>IF(DATOS!$A1819="","",DATOS!$A1819&amp;"|"&amp;DATOS!$D1819&amp;"|"&amp;DATOS!$E1819&amp;"|"&amp;DATOS!$I1819)</f>
      </c>
      <c r="G1819">
        <f>IF(DATOS!$A1819="",0,IF(CONFIG_METADATA!$B$4&lt;&gt;"OR+EX",--(DATOS!$G1819=CONFIG_METADATA!$B$4),IF(DATOS!$G1819="EX",1,IF(DATOS!$G1819="OR",--(COUNTIFS(nNIA,DATOS!$A1819,nCURSO,DATOS!$D1819,nESPEC,DATOS!$E1819,nASIG,DATOS!$I1819,nEVAL,"EX")=0),0))))</f>
      </c>
      <c r="H1819">
        <f>IF(DATOS!$G1819&lt;&gt;"EX",0,--(COUNTIFS(nNIA,DATOS!$A1819,nCURSO,DATOS!$D1819,nESPEC,DATOS!$E1819,nASIG,DATOS!$I1819,nEVAL,"OR")=0))</f>
      </c>
      <c r="I1819">
        <f>IF(DATOS!$I1819="","",IFERROR(VLOOKUP(DATOS!$I1819,CONFIG_ASIGNATURAS!$B$2:$J$91,9,FALSE()),""))</f>
      </c>
    </row>
    <row r="1820">
      <c r="F1820">
        <f>IF(DATOS!$A1820="","",DATOS!$A1820&amp;"|"&amp;DATOS!$D1820&amp;"|"&amp;DATOS!$E1820&amp;"|"&amp;DATOS!$I1820)</f>
      </c>
      <c r="G1820">
        <f>IF(DATOS!$A1820="",0,IF(CONFIG_METADATA!$B$4&lt;&gt;"OR+EX",--(DATOS!$G1820=CONFIG_METADATA!$B$4),IF(DATOS!$G1820="EX",1,IF(DATOS!$G1820="OR",--(COUNTIFS(nNIA,DATOS!$A1820,nCURSO,DATOS!$D1820,nESPEC,DATOS!$E1820,nASIG,DATOS!$I1820,nEVAL,"EX")=0),0))))</f>
      </c>
      <c r="H1820">
        <f>IF(DATOS!$G1820&lt;&gt;"EX",0,--(COUNTIFS(nNIA,DATOS!$A1820,nCURSO,DATOS!$D1820,nESPEC,DATOS!$E1820,nASIG,DATOS!$I1820,nEVAL,"OR")=0))</f>
      </c>
      <c r="I1820">
        <f>IF(DATOS!$I1820="","",IFERROR(VLOOKUP(DATOS!$I1820,CONFIG_ASIGNATURAS!$B$2:$J$91,9,FALSE()),""))</f>
      </c>
    </row>
    <row r="1821">
      <c r="F1821">
        <f>IF(DATOS!$A1821="","",DATOS!$A1821&amp;"|"&amp;DATOS!$D1821&amp;"|"&amp;DATOS!$E1821&amp;"|"&amp;DATOS!$I1821)</f>
      </c>
      <c r="G1821">
        <f>IF(DATOS!$A1821="",0,IF(CONFIG_METADATA!$B$4&lt;&gt;"OR+EX",--(DATOS!$G1821=CONFIG_METADATA!$B$4),IF(DATOS!$G1821="EX",1,IF(DATOS!$G1821="OR",--(COUNTIFS(nNIA,DATOS!$A1821,nCURSO,DATOS!$D1821,nESPEC,DATOS!$E1821,nASIG,DATOS!$I1821,nEVAL,"EX")=0),0))))</f>
      </c>
      <c r="H1821">
        <f>IF(DATOS!$G1821&lt;&gt;"EX",0,--(COUNTIFS(nNIA,DATOS!$A1821,nCURSO,DATOS!$D1821,nESPEC,DATOS!$E1821,nASIG,DATOS!$I1821,nEVAL,"OR")=0))</f>
      </c>
      <c r="I1821">
        <f>IF(DATOS!$I1821="","",IFERROR(VLOOKUP(DATOS!$I1821,CONFIG_ASIGNATURAS!$B$2:$J$91,9,FALSE()),""))</f>
      </c>
    </row>
    <row r="1822">
      <c r="F1822">
        <f>IF(DATOS!$A1822="","",DATOS!$A1822&amp;"|"&amp;DATOS!$D1822&amp;"|"&amp;DATOS!$E1822&amp;"|"&amp;DATOS!$I1822)</f>
      </c>
      <c r="G1822">
        <f>IF(DATOS!$A1822="",0,IF(CONFIG_METADATA!$B$4&lt;&gt;"OR+EX",--(DATOS!$G1822=CONFIG_METADATA!$B$4),IF(DATOS!$G1822="EX",1,IF(DATOS!$G1822="OR",--(COUNTIFS(nNIA,DATOS!$A1822,nCURSO,DATOS!$D1822,nESPEC,DATOS!$E1822,nASIG,DATOS!$I1822,nEVAL,"EX")=0),0))))</f>
      </c>
      <c r="H1822">
        <f>IF(DATOS!$G1822&lt;&gt;"EX",0,--(COUNTIFS(nNIA,DATOS!$A1822,nCURSO,DATOS!$D1822,nESPEC,DATOS!$E1822,nASIG,DATOS!$I1822,nEVAL,"OR")=0))</f>
      </c>
      <c r="I1822">
        <f>IF(DATOS!$I1822="","",IFERROR(VLOOKUP(DATOS!$I1822,CONFIG_ASIGNATURAS!$B$2:$J$91,9,FALSE()),""))</f>
      </c>
    </row>
    <row r="1823">
      <c r="F1823">
        <f>IF(DATOS!$A1823="","",DATOS!$A1823&amp;"|"&amp;DATOS!$D1823&amp;"|"&amp;DATOS!$E1823&amp;"|"&amp;DATOS!$I1823)</f>
      </c>
      <c r="G1823">
        <f>IF(DATOS!$A1823="",0,IF(CONFIG_METADATA!$B$4&lt;&gt;"OR+EX",--(DATOS!$G1823=CONFIG_METADATA!$B$4),IF(DATOS!$G1823="EX",1,IF(DATOS!$G1823="OR",--(COUNTIFS(nNIA,DATOS!$A1823,nCURSO,DATOS!$D1823,nESPEC,DATOS!$E1823,nASIG,DATOS!$I1823,nEVAL,"EX")=0),0))))</f>
      </c>
      <c r="H1823">
        <f>IF(DATOS!$G1823&lt;&gt;"EX",0,--(COUNTIFS(nNIA,DATOS!$A1823,nCURSO,DATOS!$D1823,nESPEC,DATOS!$E1823,nASIG,DATOS!$I1823,nEVAL,"OR")=0))</f>
      </c>
      <c r="I1823">
        <f>IF(DATOS!$I1823="","",IFERROR(VLOOKUP(DATOS!$I1823,CONFIG_ASIGNATURAS!$B$2:$J$91,9,FALSE()),""))</f>
      </c>
    </row>
    <row r="1824">
      <c r="F1824">
        <f>IF(DATOS!$A1824="","",DATOS!$A1824&amp;"|"&amp;DATOS!$D1824&amp;"|"&amp;DATOS!$E1824&amp;"|"&amp;DATOS!$I1824)</f>
      </c>
      <c r="G1824">
        <f>IF(DATOS!$A1824="",0,IF(CONFIG_METADATA!$B$4&lt;&gt;"OR+EX",--(DATOS!$G1824=CONFIG_METADATA!$B$4),IF(DATOS!$G1824="EX",1,IF(DATOS!$G1824="OR",--(COUNTIFS(nNIA,DATOS!$A1824,nCURSO,DATOS!$D1824,nESPEC,DATOS!$E1824,nASIG,DATOS!$I1824,nEVAL,"EX")=0),0))))</f>
      </c>
      <c r="H1824">
        <f>IF(DATOS!$G1824&lt;&gt;"EX",0,--(COUNTIFS(nNIA,DATOS!$A1824,nCURSO,DATOS!$D1824,nESPEC,DATOS!$E1824,nASIG,DATOS!$I1824,nEVAL,"OR")=0))</f>
      </c>
      <c r="I1824">
        <f>IF(DATOS!$I1824="","",IFERROR(VLOOKUP(DATOS!$I1824,CONFIG_ASIGNATURAS!$B$2:$J$91,9,FALSE()),""))</f>
      </c>
    </row>
    <row r="1825">
      <c r="F1825">
        <f>IF(DATOS!$A1825="","",DATOS!$A1825&amp;"|"&amp;DATOS!$D1825&amp;"|"&amp;DATOS!$E1825&amp;"|"&amp;DATOS!$I1825)</f>
      </c>
      <c r="G1825">
        <f>IF(DATOS!$A1825="",0,IF(CONFIG_METADATA!$B$4&lt;&gt;"OR+EX",--(DATOS!$G1825=CONFIG_METADATA!$B$4),IF(DATOS!$G1825="EX",1,IF(DATOS!$G1825="OR",--(COUNTIFS(nNIA,DATOS!$A1825,nCURSO,DATOS!$D1825,nESPEC,DATOS!$E1825,nASIG,DATOS!$I1825,nEVAL,"EX")=0),0))))</f>
      </c>
      <c r="H1825">
        <f>IF(DATOS!$G1825&lt;&gt;"EX",0,--(COUNTIFS(nNIA,DATOS!$A1825,nCURSO,DATOS!$D1825,nESPEC,DATOS!$E1825,nASIG,DATOS!$I1825,nEVAL,"OR")=0))</f>
      </c>
      <c r="I1825">
        <f>IF(DATOS!$I1825="","",IFERROR(VLOOKUP(DATOS!$I1825,CONFIG_ASIGNATURAS!$B$2:$J$91,9,FALSE()),""))</f>
      </c>
    </row>
    <row r="1826">
      <c r="F1826">
        <f>IF(DATOS!$A1826="","",DATOS!$A1826&amp;"|"&amp;DATOS!$D1826&amp;"|"&amp;DATOS!$E1826&amp;"|"&amp;DATOS!$I1826)</f>
      </c>
      <c r="G1826">
        <f>IF(DATOS!$A1826="",0,IF(CONFIG_METADATA!$B$4&lt;&gt;"OR+EX",--(DATOS!$G1826=CONFIG_METADATA!$B$4),IF(DATOS!$G1826="EX",1,IF(DATOS!$G1826="OR",--(COUNTIFS(nNIA,DATOS!$A1826,nCURSO,DATOS!$D1826,nESPEC,DATOS!$E1826,nASIG,DATOS!$I1826,nEVAL,"EX")=0),0))))</f>
      </c>
      <c r="H1826">
        <f>IF(DATOS!$G1826&lt;&gt;"EX",0,--(COUNTIFS(nNIA,DATOS!$A1826,nCURSO,DATOS!$D1826,nESPEC,DATOS!$E1826,nASIG,DATOS!$I1826,nEVAL,"OR")=0))</f>
      </c>
      <c r="I1826">
        <f>IF(DATOS!$I1826="","",IFERROR(VLOOKUP(DATOS!$I1826,CONFIG_ASIGNATURAS!$B$2:$J$91,9,FALSE()),""))</f>
      </c>
    </row>
    <row r="1827">
      <c r="F1827">
        <f>IF(DATOS!$A1827="","",DATOS!$A1827&amp;"|"&amp;DATOS!$D1827&amp;"|"&amp;DATOS!$E1827&amp;"|"&amp;DATOS!$I1827)</f>
      </c>
      <c r="G1827">
        <f>IF(DATOS!$A1827="",0,IF(CONFIG_METADATA!$B$4&lt;&gt;"OR+EX",--(DATOS!$G1827=CONFIG_METADATA!$B$4),IF(DATOS!$G1827="EX",1,IF(DATOS!$G1827="OR",--(COUNTIFS(nNIA,DATOS!$A1827,nCURSO,DATOS!$D1827,nESPEC,DATOS!$E1827,nASIG,DATOS!$I1827,nEVAL,"EX")=0),0))))</f>
      </c>
      <c r="H1827">
        <f>IF(DATOS!$G1827&lt;&gt;"EX",0,--(COUNTIFS(nNIA,DATOS!$A1827,nCURSO,DATOS!$D1827,nESPEC,DATOS!$E1827,nASIG,DATOS!$I1827,nEVAL,"OR")=0))</f>
      </c>
      <c r="I1827">
        <f>IF(DATOS!$I1827="","",IFERROR(VLOOKUP(DATOS!$I1827,CONFIG_ASIGNATURAS!$B$2:$J$91,9,FALSE()),""))</f>
      </c>
    </row>
    <row r="1828">
      <c r="F1828">
        <f>IF(DATOS!$A1828="","",DATOS!$A1828&amp;"|"&amp;DATOS!$D1828&amp;"|"&amp;DATOS!$E1828&amp;"|"&amp;DATOS!$I1828)</f>
      </c>
      <c r="G1828">
        <f>IF(DATOS!$A1828="",0,IF(CONFIG_METADATA!$B$4&lt;&gt;"OR+EX",--(DATOS!$G1828=CONFIG_METADATA!$B$4),IF(DATOS!$G1828="EX",1,IF(DATOS!$G1828="OR",--(COUNTIFS(nNIA,DATOS!$A1828,nCURSO,DATOS!$D1828,nESPEC,DATOS!$E1828,nASIG,DATOS!$I1828,nEVAL,"EX")=0),0))))</f>
      </c>
      <c r="H1828">
        <f>IF(DATOS!$G1828&lt;&gt;"EX",0,--(COUNTIFS(nNIA,DATOS!$A1828,nCURSO,DATOS!$D1828,nESPEC,DATOS!$E1828,nASIG,DATOS!$I1828,nEVAL,"OR")=0))</f>
      </c>
      <c r="I1828">
        <f>IF(DATOS!$I1828="","",IFERROR(VLOOKUP(DATOS!$I1828,CONFIG_ASIGNATURAS!$B$2:$J$91,9,FALSE()),""))</f>
      </c>
    </row>
    <row r="1829">
      <c r="F1829">
        <f>IF(DATOS!$A1829="","",DATOS!$A1829&amp;"|"&amp;DATOS!$D1829&amp;"|"&amp;DATOS!$E1829&amp;"|"&amp;DATOS!$I1829)</f>
      </c>
      <c r="G1829">
        <f>IF(DATOS!$A1829="",0,IF(CONFIG_METADATA!$B$4&lt;&gt;"OR+EX",--(DATOS!$G1829=CONFIG_METADATA!$B$4),IF(DATOS!$G1829="EX",1,IF(DATOS!$G1829="OR",--(COUNTIFS(nNIA,DATOS!$A1829,nCURSO,DATOS!$D1829,nESPEC,DATOS!$E1829,nASIG,DATOS!$I1829,nEVAL,"EX")=0),0))))</f>
      </c>
      <c r="H1829">
        <f>IF(DATOS!$G1829&lt;&gt;"EX",0,--(COUNTIFS(nNIA,DATOS!$A1829,nCURSO,DATOS!$D1829,nESPEC,DATOS!$E1829,nASIG,DATOS!$I1829,nEVAL,"OR")=0))</f>
      </c>
      <c r="I1829">
        <f>IF(DATOS!$I1829="","",IFERROR(VLOOKUP(DATOS!$I1829,CONFIG_ASIGNATURAS!$B$2:$J$91,9,FALSE()),""))</f>
      </c>
    </row>
    <row r="1830">
      <c r="F1830">
        <f>IF(DATOS!$A1830="","",DATOS!$A1830&amp;"|"&amp;DATOS!$D1830&amp;"|"&amp;DATOS!$E1830&amp;"|"&amp;DATOS!$I1830)</f>
      </c>
      <c r="G1830">
        <f>IF(DATOS!$A1830="",0,IF(CONFIG_METADATA!$B$4&lt;&gt;"OR+EX",--(DATOS!$G1830=CONFIG_METADATA!$B$4),IF(DATOS!$G1830="EX",1,IF(DATOS!$G1830="OR",--(COUNTIFS(nNIA,DATOS!$A1830,nCURSO,DATOS!$D1830,nESPEC,DATOS!$E1830,nASIG,DATOS!$I1830,nEVAL,"EX")=0),0))))</f>
      </c>
      <c r="H1830">
        <f>IF(DATOS!$G1830&lt;&gt;"EX",0,--(COUNTIFS(nNIA,DATOS!$A1830,nCURSO,DATOS!$D1830,nESPEC,DATOS!$E1830,nASIG,DATOS!$I1830,nEVAL,"OR")=0))</f>
      </c>
      <c r="I1830">
        <f>IF(DATOS!$I1830="","",IFERROR(VLOOKUP(DATOS!$I1830,CONFIG_ASIGNATURAS!$B$2:$J$91,9,FALSE()),""))</f>
      </c>
    </row>
    <row r="1831">
      <c r="F1831">
        <f>IF(DATOS!$A1831="","",DATOS!$A1831&amp;"|"&amp;DATOS!$D1831&amp;"|"&amp;DATOS!$E1831&amp;"|"&amp;DATOS!$I1831)</f>
      </c>
      <c r="G1831">
        <f>IF(DATOS!$A1831="",0,IF(CONFIG_METADATA!$B$4&lt;&gt;"OR+EX",--(DATOS!$G1831=CONFIG_METADATA!$B$4),IF(DATOS!$G1831="EX",1,IF(DATOS!$G1831="OR",--(COUNTIFS(nNIA,DATOS!$A1831,nCURSO,DATOS!$D1831,nESPEC,DATOS!$E1831,nASIG,DATOS!$I1831,nEVAL,"EX")=0),0))))</f>
      </c>
      <c r="H1831">
        <f>IF(DATOS!$G1831&lt;&gt;"EX",0,--(COUNTIFS(nNIA,DATOS!$A1831,nCURSO,DATOS!$D1831,nESPEC,DATOS!$E1831,nASIG,DATOS!$I1831,nEVAL,"OR")=0))</f>
      </c>
      <c r="I1831">
        <f>IF(DATOS!$I1831="","",IFERROR(VLOOKUP(DATOS!$I1831,CONFIG_ASIGNATURAS!$B$2:$J$91,9,FALSE()),""))</f>
      </c>
    </row>
    <row r="1832">
      <c r="F1832">
        <f>IF(DATOS!$A1832="","",DATOS!$A1832&amp;"|"&amp;DATOS!$D1832&amp;"|"&amp;DATOS!$E1832&amp;"|"&amp;DATOS!$I1832)</f>
      </c>
      <c r="G1832">
        <f>IF(DATOS!$A1832="",0,IF(CONFIG_METADATA!$B$4&lt;&gt;"OR+EX",--(DATOS!$G1832=CONFIG_METADATA!$B$4),IF(DATOS!$G1832="EX",1,IF(DATOS!$G1832="OR",--(COUNTIFS(nNIA,DATOS!$A1832,nCURSO,DATOS!$D1832,nESPEC,DATOS!$E1832,nASIG,DATOS!$I1832,nEVAL,"EX")=0),0))))</f>
      </c>
      <c r="H1832">
        <f>IF(DATOS!$G1832&lt;&gt;"EX",0,--(COUNTIFS(nNIA,DATOS!$A1832,nCURSO,DATOS!$D1832,nESPEC,DATOS!$E1832,nASIG,DATOS!$I1832,nEVAL,"OR")=0))</f>
      </c>
      <c r="I1832">
        <f>IF(DATOS!$I1832="","",IFERROR(VLOOKUP(DATOS!$I1832,CONFIG_ASIGNATURAS!$B$2:$J$91,9,FALSE()),""))</f>
      </c>
    </row>
    <row r="1833">
      <c r="F1833">
        <f>IF(DATOS!$A1833="","",DATOS!$A1833&amp;"|"&amp;DATOS!$D1833&amp;"|"&amp;DATOS!$E1833&amp;"|"&amp;DATOS!$I1833)</f>
      </c>
      <c r="G1833">
        <f>IF(DATOS!$A1833="",0,IF(CONFIG_METADATA!$B$4&lt;&gt;"OR+EX",--(DATOS!$G1833=CONFIG_METADATA!$B$4),IF(DATOS!$G1833="EX",1,IF(DATOS!$G1833="OR",--(COUNTIFS(nNIA,DATOS!$A1833,nCURSO,DATOS!$D1833,nESPEC,DATOS!$E1833,nASIG,DATOS!$I1833,nEVAL,"EX")=0),0))))</f>
      </c>
      <c r="H1833">
        <f>IF(DATOS!$G1833&lt;&gt;"EX",0,--(COUNTIFS(nNIA,DATOS!$A1833,nCURSO,DATOS!$D1833,nESPEC,DATOS!$E1833,nASIG,DATOS!$I1833,nEVAL,"OR")=0))</f>
      </c>
      <c r="I1833">
        <f>IF(DATOS!$I1833="","",IFERROR(VLOOKUP(DATOS!$I1833,CONFIG_ASIGNATURAS!$B$2:$J$91,9,FALSE()),""))</f>
      </c>
    </row>
    <row r="1834">
      <c r="F1834">
        <f>IF(DATOS!$A1834="","",DATOS!$A1834&amp;"|"&amp;DATOS!$D1834&amp;"|"&amp;DATOS!$E1834&amp;"|"&amp;DATOS!$I1834)</f>
      </c>
      <c r="G1834">
        <f>IF(DATOS!$A1834="",0,IF(CONFIG_METADATA!$B$4&lt;&gt;"OR+EX",--(DATOS!$G1834=CONFIG_METADATA!$B$4),IF(DATOS!$G1834="EX",1,IF(DATOS!$G1834="OR",--(COUNTIFS(nNIA,DATOS!$A1834,nCURSO,DATOS!$D1834,nESPEC,DATOS!$E1834,nASIG,DATOS!$I1834,nEVAL,"EX")=0),0))))</f>
      </c>
      <c r="H1834">
        <f>IF(DATOS!$G1834&lt;&gt;"EX",0,--(COUNTIFS(nNIA,DATOS!$A1834,nCURSO,DATOS!$D1834,nESPEC,DATOS!$E1834,nASIG,DATOS!$I1834,nEVAL,"OR")=0))</f>
      </c>
      <c r="I1834">
        <f>IF(DATOS!$I1834="","",IFERROR(VLOOKUP(DATOS!$I1834,CONFIG_ASIGNATURAS!$B$2:$J$91,9,FALSE()),""))</f>
      </c>
    </row>
    <row r="1835">
      <c r="F1835">
        <f>IF(DATOS!$A1835="","",DATOS!$A1835&amp;"|"&amp;DATOS!$D1835&amp;"|"&amp;DATOS!$E1835&amp;"|"&amp;DATOS!$I1835)</f>
      </c>
      <c r="G1835">
        <f>IF(DATOS!$A1835="",0,IF(CONFIG_METADATA!$B$4&lt;&gt;"OR+EX",--(DATOS!$G1835=CONFIG_METADATA!$B$4),IF(DATOS!$G1835="EX",1,IF(DATOS!$G1835="OR",--(COUNTIFS(nNIA,DATOS!$A1835,nCURSO,DATOS!$D1835,nESPEC,DATOS!$E1835,nASIG,DATOS!$I1835,nEVAL,"EX")=0),0))))</f>
      </c>
      <c r="H1835">
        <f>IF(DATOS!$G1835&lt;&gt;"EX",0,--(COUNTIFS(nNIA,DATOS!$A1835,nCURSO,DATOS!$D1835,nESPEC,DATOS!$E1835,nASIG,DATOS!$I1835,nEVAL,"OR")=0))</f>
      </c>
      <c r="I1835">
        <f>IF(DATOS!$I1835="","",IFERROR(VLOOKUP(DATOS!$I1835,CONFIG_ASIGNATURAS!$B$2:$J$91,9,FALSE()),""))</f>
      </c>
    </row>
    <row r="1836">
      <c r="F1836">
        <f>IF(DATOS!$A1836="","",DATOS!$A1836&amp;"|"&amp;DATOS!$D1836&amp;"|"&amp;DATOS!$E1836&amp;"|"&amp;DATOS!$I1836)</f>
      </c>
      <c r="G1836">
        <f>IF(DATOS!$A1836="",0,IF(CONFIG_METADATA!$B$4&lt;&gt;"OR+EX",--(DATOS!$G1836=CONFIG_METADATA!$B$4),IF(DATOS!$G1836="EX",1,IF(DATOS!$G1836="OR",--(COUNTIFS(nNIA,DATOS!$A1836,nCURSO,DATOS!$D1836,nESPEC,DATOS!$E1836,nASIG,DATOS!$I1836,nEVAL,"EX")=0),0))))</f>
      </c>
      <c r="H1836">
        <f>IF(DATOS!$G1836&lt;&gt;"EX",0,--(COUNTIFS(nNIA,DATOS!$A1836,nCURSO,DATOS!$D1836,nESPEC,DATOS!$E1836,nASIG,DATOS!$I1836,nEVAL,"OR")=0))</f>
      </c>
      <c r="I1836">
        <f>IF(DATOS!$I1836="","",IFERROR(VLOOKUP(DATOS!$I1836,CONFIG_ASIGNATURAS!$B$2:$J$91,9,FALSE()),""))</f>
      </c>
    </row>
    <row r="1837">
      <c r="F1837">
        <f>IF(DATOS!$A1837="","",DATOS!$A1837&amp;"|"&amp;DATOS!$D1837&amp;"|"&amp;DATOS!$E1837&amp;"|"&amp;DATOS!$I1837)</f>
      </c>
      <c r="G1837">
        <f>IF(DATOS!$A1837="",0,IF(CONFIG_METADATA!$B$4&lt;&gt;"OR+EX",--(DATOS!$G1837=CONFIG_METADATA!$B$4),IF(DATOS!$G1837="EX",1,IF(DATOS!$G1837="OR",--(COUNTIFS(nNIA,DATOS!$A1837,nCURSO,DATOS!$D1837,nESPEC,DATOS!$E1837,nASIG,DATOS!$I1837,nEVAL,"EX")=0),0))))</f>
      </c>
      <c r="H1837">
        <f>IF(DATOS!$G1837&lt;&gt;"EX",0,--(COUNTIFS(nNIA,DATOS!$A1837,nCURSO,DATOS!$D1837,nESPEC,DATOS!$E1837,nASIG,DATOS!$I1837,nEVAL,"OR")=0))</f>
      </c>
      <c r="I1837">
        <f>IF(DATOS!$I1837="","",IFERROR(VLOOKUP(DATOS!$I1837,CONFIG_ASIGNATURAS!$B$2:$J$91,9,FALSE()),""))</f>
      </c>
    </row>
    <row r="1838">
      <c r="F1838">
        <f>IF(DATOS!$A1838="","",DATOS!$A1838&amp;"|"&amp;DATOS!$D1838&amp;"|"&amp;DATOS!$E1838&amp;"|"&amp;DATOS!$I1838)</f>
      </c>
      <c r="G1838">
        <f>IF(DATOS!$A1838="",0,IF(CONFIG_METADATA!$B$4&lt;&gt;"OR+EX",--(DATOS!$G1838=CONFIG_METADATA!$B$4),IF(DATOS!$G1838="EX",1,IF(DATOS!$G1838="OR",--(COUNTIFS(nNIA,DATOS!$A1838,nCURSO,DATOS!$D1838,nESPEC,DATOS!$E1838,nASIG,DATOS!$I1838,nEVAL,"EX")=0),0))))</f>
      </c>
      <c r="H1838">
        <f>IF(DATOS!$G1838&lt;&gt;"EX",0,--(COUNTIFS(nNIA,DATOS!$A1838,nCURSO,DATOS!$D1838,nESPEC,DATOS!$E1838,nASIG,DATOS!$I1838,nEVAL,"OR")=0))</f>
      </c>
      <c r="I1838">
        <f>IF(DATOS!$I1838="","",IFERROR(VLOOKUP(DATOS!$I1838,CONFIG_ASIGNATURAS!$B$2:$J$91,9,FALSE()),""))</f>
      </c>
    </row>
    <row r="1839">
      <c r="F1839">
        <f>IF(DATOS!$A1839="","",DATOS!$A1839&amp;"|"&amp;DATOS!$D1839&amp;"|"&amp;DATOS!$E1839&amp;"|"&amp;DATOS!$I1839)</f>
      </c>
      <c r="G1839">
        <f>IF(DATOS!$A1839="",0,IF(CONFIG_METADATA!$B$4&lt;&gt;"OR+EX",--(DATOS!$G1839=CONFIG_METADATA!$B$4),IF(DATOS!$G1839="EX",1,IF(DATOS!$G1839="OR",--(COUNTIFS(nNIA,DATOS!$A1839,nCURSO,DATOS!$D1839,nESPEC,DATOS!$E1839,nASIG,DATOS!$I1839,nEVAL,"EX")=0),0))))</f>
      </c>
      <c r="H1839">
        <f>IF(DATOS!$G1839&lt;&gt;"EX",0,--(COUNTIFS(nNIA,DATOS!$A1839,nCURSO,DATOS!$D1839,nESPEC,DATOS!$E1839,nASIG,DATOS!$I1839,nEVAL,"OR")=0))</f>
      </c>
      <c r="I1839">
        <f>IF(DATOS!$I1839="","",IFERROR(VLOOKUP(DATOS!$I1839,CONFIG_ASIGNATURAS!$B$2:$J$91,9,FALSE()),""))</f>
      </c>
    </row>
    <row r="1840">
      <c r="F1840">
        <f>IF(DATOS!$A1840="","",DATOS!$A1840&amp;"|"&amp;DATOS!$D1840&amp;"|"&amp;DATOS!$E1840&amp;"|"&amp;DATOS!$I1840)</f>
      </c>
      <c r="G1840">
        <f>IF(DATOS!$A1840="",0,IF(CONFIG_METADATA!$B$4&lt;&gt;"OR+EX",--(DATOS!$G1840=CONFIG_METADATA!$B$4),IF(DATOS!$G1840="EX",1,IF(DATOS!$G1840="OR",--(COUNTIFS(nNIA,DATOS!$A1840,nCURSO,DATOS!$D1840,nESPEC,DATOS!$E1840,nASIG,DATOS!$I1840,nEVAL,"EX")=0),0))))</f>
      </c>
      <c r="H1840">
        <f>IF(DATOS!$G1840&lt;&gt;"EX",0,--(COUNTIFS(nNIA,DATOS!$A1840,nCURSO,DATOS!$D1840,nESPEC,DATOS!$E1840,nASIG,DATOS!$I1840,nEVAL,"OR")=0))</f>
      </c>
      <c r="I1840">
        <f>IF(DATOS!$I1840="","",IFERROR(VLOOKUP(DATOS!$I1840,CONFIG_ASIGNATURAS!$B$2:$J$91,9,FALSE()),""))</f>
      </c>
    </row>
    <row r="1841">
      <c r="F1841">
        <f>IF(DATOS!$A1841="","",DATOS!$A1841&amp;"|"&amp;DATOS!$D1841&amp;"|"&amp;DATOS!$E1841&amp;"|"&amp;DATOS!$I1841)</f>
      </c>
      <c r="G1841">
        <f>IF(DATOS!$A1841="",0,IF(CONFIG_METADATA!$B$4&lt;&gt;"OR+EX",--(DATOS!$G1841=CONFIG_METADATA!$B$4),IF(DATOS!$G1841="EX",1,IF(DATOS!$G1841="OR",--(COUNTIFS(nNIA,DATOS!$A1841,nCURSO,DATOS!$D1841,nESPEC,DATOS!$E1841,nASIG,DATOS!$I1841,nEVAL,"EX")=0),0))))</f>
      </c>
      <c r="H1841">
        <f>IF(DATOS!$G1841&lt;&gt;"EX",0,--(COUNTIFS(nNIA,DATOS!$A1841,nCURSO,DATOS!$D1841,nESPEC,DATOS!$E1841,nASIG,DATOS!$I1841,nEVAL,"OR")=0))</f>
      </c>
      <c r="I1841">
        <f>IF(DATOS!$I1841="","",IFERROR(VLOOKUP(DATOS!$I1841,CONFIG_ASIGNATURAS!$B$2:$J$91,9,FALSE()),""))</f>
      </c>
    </row>
    <row r="1842">
      <c r="F1842">
        <f>IF(DATOS!$A1842="","",DATOS!$A1842&amp;"|"&amp;DATOS!$D1842&amp;"|"&amp;DATOS!$E1842&amp;"|"&amp;DATOS!$I1842)</f>
      </c>
      <c r="G1842">
        <f>IF(DATOS!$A1842="",0,IF(CONFIG_METADATA!$B$4&lt;&gt;"OR+EX",--(DATOS!$G1842=CONFIG_METADATA!$B$4),IF(DATOS!$G1842="EX",1,IF(DATOS!$G1842="OR",--(COUNTIFS(nNIA,DATOS!$A1842,nCURSO,DATOS!$D1842,nESPEC,DATOS!$E1842,nASIG,DATOS!$I1842,nEVAL,"EX")=0),0))))</f>
      </c>
      <c r="H1842">
        <f>IF(DATOS!$G1842&lt;&gt;"EX",0,--(COUNTIFS(nNIA,DATOS!$A1842,nCURSO,DATOS!$D1842,nESPEC,DATOS!$E1842,nASIG,DATOS!$I1842,nEVAL,"OR")=0))</f>
      </c>
      <c r="I1842">
        <f>IF(DATOS!$I1842="","",IFERROR(VLOOKUP(DATOS!$I1842,CONFIG_ASIGNATURAS!$B$2:$J$91,9,FALSE()),""))</f>
      </c>
    </row>
    <row r="1843">
      <c r="F1843">
        <f>IF(DATOS!$A1843="","",DATOS!$A1843&amp;"|"&amp;DATOS!$D1843&amp;"|"&amp;DATOS!$E1843&amp;"|"&amp;DATOS!$I1843)</f>
      </c>
      <c r="G1843">
        <f>IF(DATOS!$A1843="",0,IF(CONFIG_METADATA!$B$4&lt;&gt;"OR+EX",--(DATOS!$G1843=CONFIG_METADATA!$B$4),IF(DATOS!$G1843="EX",1,IF(DATOS!$G1843="OR",--(COUNTIFS(nNIA,DATOS!$A1843,nCURSO,DATOS!$D1843,nESPEC,DATOS!$E1843,nASIG,DATOS!$I1843,nEVAL,"EX")=0),0))))</f>
      </c>
      <c r="H1843">
        <f>IF(DATOS!$G1843&lt;&gt;"EX",0,--(COUNTIFS(nNIA,DATOS!$A1843,nCURSO,DATOS!$D1843,nESPEC,DATOS!$E1843,nASIG,DATOS!$I1843,nEVAL,"OR")=0))</f>
      </c>
      <c r="I1843">
        <f>IF(DATOS!$I1843="","",IFERROR(VLOOKUP(DATOS!$I1843,CONFIG_ASIGNATURAS!$B$2:$J$91,9,FALSE()),""))</f>
      </c>
    </row>
    <row r="1844">
      <c r="F1844">
        <f>IF(DATOS!$A1844="","",DATOS!$A1844&amp;"|"&amp;DATOS!$D1844&amp;"|"&amp;DATOS!$E1844&amp;"|"&amp;DATOS!$I1844)</f>
      </c>
      <c r="G1844">
        <f>IF(DATOS!$A1844="",0,IF(CONFIG_METADATA!$B$4&lt;&gt;"OR+EX",--(DATOS!$G1844=CONFIG_METADATA!$B$4),IF(DATOS!$G1844="EX",1,IF(DATOS!$G1844="OR",--(COUNTIFS(nNIA,DATOS!$A1844,nCURSO,DATOS!$D1844,nESPEC,DATOS!$E1844,nASIG,DATOS!$I1844,nEVAL,"EX")=0),0))))</f>
      </c>
      <c r="H1844">
        <f>IF(DATOS!$G1844&lt;&gt;"EX",0,--(COUNTIFS(nNIA,DATOS!$A1844,nCURSO,DATOS!$D1844,nESPEC,DATOS!$E1844,nASIG,DATOS!$I1844,nEVAL,"OR")=0))</f>
      </c>
      <c r="I1844">
        <f>IF(DATOS!$I1844="","",IFERROR(VLOOKUP(DATOS!$I1844,CONFIG_ASIGNATURAS!$B$2:$J$91,9,FALSE()),""))</f>
      </c>
    </row>
    <row r="1845">
      <c r="F1845">
        <f>IF(DATOS!$A1845="","",DATOS!$A1845&amp;"|"&amp;DATOS!$D1845&amp;"|"&amp;DATOS!$E1845&amp;"|"&amp;DATOS!$I1845)</f>
      </c>
      <c r="G1845">
        <f>IF(DATOS!$A1845="",0,IF(CONFIG_METADATA!$B$4&lt;&gt;"OR+EX",--(DATOS!$G1845=CONFIG_METADATA!$B$4),IF(DATOS!$G1845="EX",1,IF(DATOS!$G1845="OR",--(COUNTIFS(nNIA,DATOS!$A1845,nCURSO,DATOS!$D1845,nESPEC,DATOS!$E1845,nASIG,DATOS!$I1845,nEVAL,"EX")=0),0))))</f>
      </c>
      <c r="H1845">
        <f>IF(DATOS!$G1845&lt;&gt;"EX",0,--(COUNTIFS(nNIA,DATOS!$A1845,nCURSO,DATOS!$D1845,nESPEC,DATOS!$E1845,nASIG,DATOS!$I1845,nEVAL,"OR")=0))</f>
      </c>
      <c r="I1845">
        <f>IF(DATOS!$I1845="","",IFERROR(VLOOKUP(DATOS!$I1845,CONFIG_ASIGNATURAS!$B$2:$J$91,9,FALSE()),""))</f>
      </c>
    </row>
    <row r="1846">
      <c r="F1846">
        <f>IF(DATOS!$A1846="","",DATOS!$A1846&amp;"|"&amp;DATOS!$D1846&amp;"|"&amp;DATOS!$E1846&amp;"|"&amp;DATOS!$I1846)</f>
      </c>
      <c r="G1846">
        <f>IF(DATOS!$A1846="",0,IF(CONFIG_METADATA!$B$4&lt;&gt;"OR+EX",--(DATOS!$G1846=CONFIG_METADATA!$B$4),IF(DATOS!$G1846="EX",1,IF(DATOS!$G1846="OR",--(COUNTIFS(nNIA,DATOS!$A1846,nCURSO,DATOS!$D1846,nESPEC,DATOS!$E1846,nASIG,DATOS!$I1846,nEVAL,"EX")=0),0))))</f>
      </c>
      <c r="H1846">
        <f>IF(DATOS!$G1846&lt;&gt;"EX",0,--(COUNTIFS(nNIA,DATOS!$A1846,nCURSO,DATOS!$D1846,nESPEC,DATOS!$E1846,nASIG,DATOS!$I1846,nEVAL,"OR")=0))</f>
      </c>
      <c r="I1846">
        <f>IF(DATOS!$I1846="","",IFERROR(VLOOKUP(DATOS!$I1846,CONFIG_ASIGNATURAS!$B$2:$J$91,9,FALSE()),""))</f>
      </c>
    </row>
    <row r="1847">
      <c r="F1847">
        <f>IF(DATOS!$A1847="","",DATOS!$A1847&amp;"|"&amp;DATOS!$D1847&amp;"|"&amp;DATOS!$E1847&amp;"|"&amp;DATOS!$I1847)</f>
      </c>
      <c r="G1847">
        <f>IF(DATOS!$A1847="",0,IF(CONFIG_METADATA!$B$4&lt;&gt;"OR+EX",--(DATOS!$G1847=CONFIG_METADATA!$B$4),IF(DATOS!$G1847="EX",1,IF(DATOS!$G1847="OR",--(COUNTIFS(nNIA,DATOS!$A1847,nCURSO,DATOS!$D1847,nESPEC,DATOS!$E1847,nASIG,DATOS!$I1847,nEVAL,"EX")=0),0))))</f>
      </c>
      <c r="H1847">
        <f>IF(DATOS!$G1847&lt;&gt;"EX",0,--(COUNTIFS(nNIA,DATOS!$A1847,nCURSO,DATOS!$D1847,nESPEC,DATOS!$E1847,nASIG,DATOS!$I1847,nEVAL,"OR")=0))</f>
      </c>
      <c r="I1847">
        <f>IF(DATOS!$I1847="","",IFERROR(VLOOKUP(DATOS!$I1847,CONFIG_ASIGNATURAS!$B$2:$J$91,9,FALSE()),""))</f>
      </c>
    </row>
    <row r="1848">
      <c r="F1848">
        <f>IF(DATOS!$A1848="","",DATOS!$A1848&amp;"|"&amp;DATOS!$D1848&amp;"|"&amp;DATOS!$E1848&amp;"|"&amp;DATOS!$I1848)</f>
      </c>
      <c r="G1848">
        <f>IF(DATOS!$A1848="",0,IF(CONFIG_METADATA!$B$4&lt;&gt;"OR+EX",--(DATOS!$G1848=CONFIG_METADATA!$B$4),IF(DATOS!$G1848="EX",1,IF(DATOS!$G1848="OR",--(COUNTIFS(nNIA,DATOS!$A1848,nCURSO,DATOS!$D1848,nESPEC,DATOS!$E1848,nASIG,DATOS!$I1848,nEVAL,"EX")=0),0))))</f>
      </c>
      <c r="H1848">
        <f>IF(DATOS!$G1848&lt;&gt;"EX",0,--(COUNTIFS(nNIA,DATOS!$A1848,nCURSO,DATOS!$D1848,nESPEC,DATOS!$E1848,nASIG,DATOS!$I1848,nEVAL,"OR")=0))</f>
      </c>
      <c r="I1848">
        <f>IF(DATOS!$I1848="","",IFERROR(VLOOKUP(DATOS!$I1848,CONFIG_ASIGNATURAS!$B$2:$J$91,9,FALSE()),""))</f>
      </c>
    </row>
    <row r="1849">
      <c r="F1849">
        <f>IF(DATOS!$A1849="","",DATOS!$A1849&amp;"|"&amp;DATOS!$D1849&amp;"|"&amp;DATOS!$E1849&amp;"|"&amp;DATOS!$I1849)</f>
      </c>
      <c r="G1849">
        <f>IF(DATOS!$A1849="",0,IF(CONFIG_METADATA!$B$4&lt;&gt;"OR+EX",--(DATOS!$G1849=CONFIG_METADATA!$B$4),IF(DATOS!$G1849="EX",1,IF(DATOS!$G1849="OR",--(COUNTIFS(nNIA,DATOS!$A1849,nCURSO,DATOS!$D1849,nESPEC,DATOS!$E1849,nASIG,DATOS!$I1849,nEVAL,"EX")=0),0))))</f>
      </c>
      <c r="H1849">
        <f>IF(DATOS!$G1849&lt;&gt;"EX",0,--(COUNTIFS(nNIA,DATOS!$A1849,nCURSO,DATOS!$D1849,nESPEC,DATOS!$E1849,nASIG,DATOS!$I1849,nEVAL,"OR")=0))</f>
      </c>
      <c r="I1849">
        <f>IF(DATOS!$I1849="","",IFERROR(VLOOKUP(DATOS!$I1849,CONFIG_ASIGNATURAS!$B$2:$J$91,9,FALSE()),""))</f>
      </c>
    </row>
    <row r="1850">
      <c r="F1850">
        <f>IF(DATOS!$A1850="","",DATOS!$A1850&amp;"|"&amp;DATOS!$D1850&amp;"|"&amp;DATOS!$E1850&amp;"|"&amp;DATOS!$I1850)</f>
      </c>
      <c r="G1850">
        <f>IF(DATOS!$A1850="",0,IF(CONFIG_METADATA!$B$4&lt;&gt;"OR+EX",--(DATOS!$G1850=CONFIG_METADATA!$B$4),IF(DATOS!$G1850="EX",1,IF(DATOS!$G1850="OR",--(COUNTIFS(nNIA,DATOS!$A1850,nCURSO,DATOS!$D1850,nESPEC,DATOS!$E1850,nASIG,DATOS!$I1850,nEVAL,"EX")=0),0))))</f>
      </c>
      <c r="H1850">
        <f>IF(DATOS!$G1850&lt;&gt;"EX",0,--(COUNTIFS(nNIA,DATOS!$A1850,nCURSO,DATOS!$D1850,nESPEC,DATOS!$E1850,nASIG,DATOS!$I1850,nEVAL,"OR")=0))</f>
      </c>
      <c r="I1850">
        <f>IF(DATOS!$I1850="","",IFERROR(VLOOKUP(DATOS!$I1850,CONFIG_ASIGNATURAS!$B$2:$J$91,9,FALSE()),""))</f>
      </c>
    </row>
    <row r="1851">
      <c r="F1851">
        <f>IF(DATOS!$A1851="","",DATOS!$A1851&amp;"|"&amp;DATOS!$D1851&amp;"|"&amp;DATOS!$E1851&amp;"|"&amp;DATOS!$I1851)</f>
      </c>
      <c r="G1851">
        <f>IF(DATOS!$A1851="",0,IF(CONFIG_METADATA!$B$4&lt;&gt;"OR+EX",--(DATOS!$G1851=CONFIG_METADATA!$B$4),IF(DATOS!$G1851="EX",1,IF(DATOS!$G1851="OR",--(COUNTIFS(nNIA,DATOS!$A1851,nCURSO,DATOS!$D1851,nESPEC,DATOS!$E1851,nASIG,DATOS!$I1851,nEVAL,"EX")=0),0))))</f>
      </c>
      <c r="H1851">
        <f>IF(DATOS!$G1851&lt;&gt;"EX",0,--(COUNTIFS(nNIA,DATOS!$A1851,nCURSO,DATOS!$D1851,nESPEC,DATOS!$E1851,nASIG,DATOS!$I1851,nEVAL,"OR")=0))</f>
      </c>
      <c r="I1851">
        <f>IF(DATOS!$I1851="","",IFERROR(VLOOKUP(DATOS!$I1851,CONFIG_ASIGNATURAS!$B$2:$J$91,9,FALSE()),""))</f>
      </c>
    </row>
    <row r="1852">
      <c r="F1852">
        <f>IF(DATOS!$A1852="","",DATOS!$A1852&amp;"|"&amp;DATOS!$D1852&amp;"|"&amp;DATOS!$E1852&amp;"|"&amp;DATOS!$I1852)</f>
      </c>
      <c r="G1852">
        <f>IF(DATOS!$A1852="",0,IF(CONFIG_METADATA!$B$4&lt;&gt;"OR+EX",--(DATOS!$G1852=CONFIG_METADATA!$B$4),IF(DATOS!$G1852="EX",1,IF(DATOS!$G1852="OR",--(COUNTIFS(nNIA,DATOS!$A1852,nCURSO,DATOS!$D1852,nESPEC,DATOS!$E1852,nASIG,DATOS!$I1852,nEVAL,"EX")=0),0))))</f>
      </c>
      <c r="H1852">
        <f>IF(DATOS!$G1852&lt;&gt;"EX",0,--(COUNTIFS(nNIA,DATOS!$A1852,nCURSO,DATOS!$D1852,nESPEC,DATOS!$E1852,nASIG,DATOS!$I1852,nEVAL,"OR")=0))</f>
      </c>
      <c r="I1852">
        <f>IF(DATOS!$I1852="","",IFERROR(VLOOKUP(DATOS!$I1852,CONFIG_ASIGNATURAS!$B$2:$J$91,9,FALSE()),""))</f>
      </c>
    </row>
    <row r="1853">
      <c r="F1853">
        <f>IF(DATOS!$A1853="","",DATOS!$A1853&amp;"|"&amp;DATOS!$D1853&amp;"|"&amp;DATOS!$E1853&amp;"|"&amp;DATOS!$I1853)</f>
      </c>
      <c r="G1853">
        <f>IF(DATOS!$A1853="",0,IF(CONFIG_METADATA!$B$4&lt;&gt;"OR+EX",--(DATOS!$G1853=CONFIG_METADATA!$B$4),IF(DATOS!$G1853="EX",1,IF(DATOS!$G1853="OR",--(COUNTIFS(nNIA,DATOS!$A1853,nCURSO,DATOS!$D1853,nESPEC,DATOS!$E1853,nASIG,DATOS!$I1853,nEVAL,"EX")=0),0))))</f>
      </c>
      <c r="H1853">
        <f>IF(DATOS!$G1853&lt;&gt;"EX",0,--(COUNTIFS(nNIA,DATOS!$A1853,nCURSO,DATOS!$D1853,nESPEC,DATOS!$E1853,nASIG,DATOS!$I1853,nEVAL,"OR")=0))</f>
      </c>
      <c r="I1853">
        <f>IF(DATOS!$I1853="","",IFERROR(VLOOKUP(DATOS!$I1853,CONFIG_ASIGNATURAS!$B$2:$J$91,9,FALSE()),""))</f>
      </c>
    </row>
    <row r="1854">
      <c r="F1854">
        <f>IF(DATOS!$A1854="","",DATOS!$A1854&amp;"|"&amp;DATOS!$D1854&amp;"|"&amp;DATOS!$E1854&amp;"|"&amp;DATOS!$I1854)</f>
      </c>
      <c r="G1854">
        <f>IF(DATOS!$A1854="",0,IF(CONFIG_METADATA!$B$4&lt;&gt;"OR+EX",--(DATOS!$G1854=CONFIG_METADATA!$B$4),IF(DATOS!$G1854="EX",1,IF(DATOS!$G1854="OR",--(COUNTIFS(nNIA,DATOS!$A1854,nCURSO,DATOS!$D1854,nESPEC,DATOS!$E1854,nASIG,DATOS!$I1854,nEVAL,"EX")=0),0))))</f>
      </c>
      <c r="H1854">
        <f>IF(DATOS!$G1854&lt;&gt;"EX",0,--(COUNTIFS(nNIA,DATOS!$A1854,nCURSO,DATOS!$D1854,nESPEC,DATOS!$E1854,nASIG,DATOS!$I1854,nEVAL,"OR")=0))</f>
      </c>
      <c r="I1854">
        <f>IF(DATOS!$I1854="","",IFERROR(VLOOKUP(DATOS!$I1854,CONFIG_ASIGNATURAS!$B$2:$J$91,9,FALSE()),""))</f>
      </c>
    </row>
    <row r="1855">
      <c r="F1855">
        <f>IF(DATOS!$A1855="","",DATOS!$A1855&amp;"|"&amp;DATOS!$D1855&amp;"|"&amp;DATOS!$E1855&amp;"|"&amp;DATOS!$I1855)</f>
      </c>
      <c r="G1855">
        <f>IF(DATOS!$A1855="",0,IF(CONFIG_METADATA!$B$4&lt;&gt;"OR+EX",--(DATOS!$G1855=CONFIG_METADATA!$B$4),IF(DATOS!$G1855="EX",1,IF(DATOS!$G1855="OR",--(COUNTIFS(nNIA,DATOS!$A1855,nCURSO,DATOS!$D1855,nESPEC,DATOS!$E1855,nASIG,DATOS!$I1855,nEVAL,"EX")=0),0))))</f>
      </c>
      <c r="H1855">
        <f>IF(DATOS!$G1855&lt;&gt;"EX",0,--(COUNTIFS(nNIA,DATOS!$A1855,nCURSO,DATOS!$D1855,nESPEC,DATOS!$E1855,nASIG,DATOS!$I1855,nEVAL,"OR")=0))</f>
      </c>
      <c r="I1855">
        <f>IF(DATOS!$I1855="","",IFERROR(VLOOKUP(DATOS!$I1855,CONFIG_ASIGNATURAS!$B$2:$J$91,9,FALSE()),""))</f>
      </c>
    </row>
    <row r="1856">
      <c r="F1856">
        <f>IF(DATOS!$A1856="","",DATOS!$A1856&amp;"|"&amp;DATOS!$D1856&amp;"|"&amp;DATOS!$E1856&amp;"|"&amp;DATOS!$I1856)</f>
      </c>
      <c r="G1856">
        <f>IF(DATOS!$A1856="",0,IF(CONFIG_METADATA!$B$4&lt;&gt;"OR+EX",--(DATOS!$G1856=CONFIG_METADATA!$B$4),IF(DATOS!$G1856="EX",1,IF(DATOS!$G1856="OR",--(COUNTIFS(nNIA,DATOS!$A1856,nCURSO,DATOS!$D1856,nESPEC,DATOS!$E1856,nASIG,DATOS!$I1856,nEVAL,"EX")=0),0))))</f>
      </c>
      <c r="H1856">
        <f>IF(DATOS!$G1856&lt;&gt;"EX",0,--(COUNTIFS(nNIA,DATOS!$A1856,nCURSO,DATOS!$D1856,nESPEC,DATOS!$E1856,nASIG,DATOS!$I1856,nEVAL,"OR")=0))</f>
      </c>
      <c r="I1856">
        <f>IF(DATOS!$I1856="","",IFERROR(VLOOKUP(DATOS!$I1856,CONFIG_ASIGNATURAS!$B$2:$J$91,9,FALSE()),""))</f>
      </c>
    </row>
    <row r="1857">
      <c r="F1857">
        <f>IF(DATOS!$A1857="","",DATOS!$A1857&amp;"|"&amp;DATOS!$D1857&amp;"|"&amp;DATOS!$E1857&amp;"|"&amp;DATOS!$I1857)</f>
      </c>
      <c r="G1857">
        <f>IF(DATOS!$A1857="",0,IF(CONFIG_METADATA!$B$4&lt;&gt;"OR+EX",--(DATOS!$G1857=CONFIG_METADATA!$B$4),IF(DATOS!$G1857="EX",1,IF(DATOS!$G1857="OR",--(COUNTIFS(nNIA,DATOS!$A1857,nCURSO,DATOS!$D1857,nESPEC,DATOS!$E1857,nASIG,DATOS!$I1857,nEVAL,"EX")=0),0))))</f>
      </c>
      <c r="H1857">
        <f>IF(DATOS!$G1857&lt;&gt;"EX",0,--(COUNTIFS(nNIA,DATOS!$A1857,nCURSO,DATOS!$D1857,nESPEC,DATOS!$E1857,nASIG,DATOS!$I1857,nEVAL,"OR")=0))</f>
      </c>
      <c r="I1857">
        <f>IF(DATOS!$I1857="","",IFERROR(VLOOKUP(DATOS!$I1857,CONFIG_ASIGNATURAS!$B$2:$J$91,9,FALSE()),""))</f>
      </c>
    </row>
    <row r="1858">
      <c r="F1858">
        <f>IF(DATOS!$A1858="","",DATOS!$A1858&amp;"|"&amp;DATOS!$D1858&amp;"|"&amp;DATOS!$E1858&amp;"|"&amp;DATOS!$I1858)</f>
      </c>
      <c r="G1858">
        <f>IF(DATOS!$A1858="",0,IF(CONFIG_METADATA!$B$4&lt;&gt;"OR+EX",--(DATOS!$G1858=CONFIG_METADATA!$B$4),IF(DATOS!$G1858="EX",1,IF(DATOS!$G1858="OR",--(COUNTIFS(nNIA,DATOS!$A1858,nCURSO,DATOS!$D1858,nESPEC,DATOS!$E1858,nASIG,DATOS!$I1858,nEVAL,"EX")=0),0))))</f>
      </c>
      <c r="H1858">
        <f>IF(DATOS!$G1858&lt;&gt;"EX",0,--(COUNTIFS(nNIA,DATOS!$A1858,nCURSO,DATOS!$D1858,nESPEC,DATOS!$E1858,nASIG,DATOS!$I1858,nEVAL,"OR")=0))</f>
      </c>
      <c r="I1858">
        <f>IF(DATOS!$I1858="","",IFERROR(VLOOKUP(DATOS!$I1858,CONFIG_ASIGNATURAS!$B$2:$J$91,9,FALSE()),""))</f>
      </c>
    </row>
    <row r="1859">
      <c r="F1859">
        <f>IF(DATOS!$A1859="","",DATOS!$A1859&amp;"|"&amp;DATOS!$D1859&amp;"|"&amp;DATOS!$E1859&amp;"|"&amp;DATOS!$I1859)</f>
      </c>
      <c r="G1859">
        <f>IF(DATOS!$A1859="",0,IF(CONFIG_METADATA!$B$4&lt;&gt;"OR+EX",--(DATOS!$G1859=CONFIG_METADATA!$B$4),IF(DATOS!$G1859="EX",1,IF(DATOS!$G1859="OR",--(COUNTIFS(nNIA,DATOS!$A1859,nCURSO,DATOS!$D1859,nESPEC,DATOS!$E1859,nASIG,DATOS!$I1859,nEVAL,"EX")=0),0))))</f>
      </c>
      <c r="H1859">
        <f>IF(DATOS!$G1859&lt;&gt;"EX",0,--(COUNTIFS(nNIA,DATOS!$A1859,nCURSO,DATOS!$D1859,nESPEC,DATOS!$E1859,nASIG,DATOS!$I1859,nEVAL,"OR")=0))</f>
      </c>
      <c r="I1859">
        <f>IF(DATOS!$I1859="","",IFERROR(VLOOKUP(DATOS!$I1859,CONFIG_ASIGNATURAS!$B$2:$J$91,9,FALSE()),""))</f>
      </c>
    </row>
    <row r="1860">
      <c r="F1860">
        <f>IF(DATOS!$A1860="","",DATOS!$A1860&amp;"|"&amp;DATOS!$D1860&amp;"|"&amp;DATOS!$E1860&amp;"|"&amp;DATOS!$I1860)</f>
      </c>
      <c r="G1860">
        <f>IF(DATOS!$A1860="",0,IF(CONFIG_METADATA!$B$4&lt;&gt;"OR+EX",--(DATOS!$G1860=CONFIG_METADATA!$B$4),IF(DATOS!$G1860="EX",1,IF(DATOS!$G1860="OR",--(COUNTIFS(nNIA,DATOS!$A1860,nCURSO,DATOS!$D1860,nESPEC,DATOS!$E1860,nASIG,DATOS!$I1860,nEVAL,"EX")=0),0))))</f>
      </c>
      <c r="H1860">
        <f>IF(DATOS!$G1860&lt;&gt;"EX",0,--(COUNTIFS(nNIA,DATOS!$A1860,nCURSO,DATOS!$D1860,nESPEC,DATOS!$E1860,nASIG,DATOS!$I1860,nEVAL,"OR")=0))</f>
      </c>
      <c r="I1860">
        <f>IF(DATOS!$I1860="","",IFERROR(VLOOKUP(DATOS!$I1860,CONFIG_ASIGNATURAS!$B$2:$J$91,9,FALSE()),""))</f>
      </c>
    </row>
    <row r="1861">
      <c r="F1861">
        <f>IF(DATOS!$A1861="","",DATOS!$A1861&amp;"|"&amp;DATOS!$D1861&amp;"|"&amp;DATOS!$E1861&amp;"|"&amp;DATOS!$I1861)</f>
      </c>
      <c r="G1861">
        <f>IF(DATOS!$A1861="",0,IF(CONFIG_METADATA!$B$4&lt;&gt;"OR+EX",--(DATOS!$G1861=CONFIG_METADATA!$B$4),IF(DATOS!$G1861="EX",1,IF(DATOS!$G1861="OR",--(COUNTIFS(nNIA,DATOS!$A1861,nCURSO,DATOS!$D1861,nESPEC,DATOS!$E1861,nASIG,DATOS!$I1861,nEVAL,"EX")=0),0))))</f>
      </c>
      <c r="H1861">
        <f>IF(DATOS!$G1861&lt;&gt;"EX",0,--(COUNTIFS(nNIA,DATOS!$A1861,nCURSO,DATOS!$D1861,nESPEC,DATOS!$E1861,nASIG,DATOS!$I1861,nEVAL,"OR")=0))</f>
      </c>
      <c r="I1861">
        <f>IF(DATOS!$I1861="","",IFERROR(VLOOKUP(DATOS!$I1861,CONFIG_ASIGNATURAS!$B$2:$J$91,9,FALSE()),""))</f>
      </c>
    </row>
    <row r="1862">
      <c r="F1862">
        <f>IF(DATOS!$A1862="","",DATOS!$A1862&amp;"|"&amp;DATOS!$D1862&amp;"|"&amp;DATOS!$E1862&amp;"|"&amp;DATOS!$I1862)</f>
      </c>
      <c r="G1862">
        <f>IF(DATOS!$A1862="",0,IF(CONFIG_METADATA!$B$4&lt;&gt;"OR+EX",--(DATOS!$G1862=CONFIG_METADATA!$B$4),IF(DATOS!$G1862="EX",1,IF(DATOS!$G1862="OR",--(COUNTIFS(nNIA,DATOS!$A1862,nCURSO,DATOS!$D1862,nESPEC,DATOS!$E1862,nASIG,DATOS!$I1862,nEVAL,"EX")=0),0))))</f>
      </c>
      <c r="H1862">
        <f>IF(DATOS!$G1862&lt;&gt;"EX",0,--(COUNTIFS(nNIA,DATOS!$A1862,nCURSO,DATOS!$D1862,nESPEC,DATOS!$E1862,nASIG,DATOS!$I1862,nEVAL,"OR")=0))</f>
      </c>
      <c r="I1862">
        <f>IF(DATOS!$I1862="","",IFERROR(VLOOKUP(DATOS!$I1862,CONFIG_ASIGNATURAS!$B$2:$J$91,9,FALSE()),""))</f>
      </c>
    </row>
    <row r="1863">
      <c r="F1863">
        <f>IF(DATOS!$A1863="","",DATOS!$A1863&amp;"|"&amp;DATOS!$D1863&amp;"|"&amp;DATOS!$E1863&amp;"|"&amp;DATOS!$I1863)</f>
      </c>
      <c r="G1863">
        <f>IF(DATOS!$A1863="",0,IF(CONFIG_METADATA!$B$4&lt;&gt;"OR+EX",--(DATOS!$G1863=CONFIG_METADATA!$B$4),IF(DATOS!$G1863="EX",1,IF(DATOS!$G1863="OR",--(COUNTIFS(nNIA,DATOS!$A1863,nCURSO,DATOS!$D1863,nESPEC,DATOS!$E1863,nASIG,DATOS!$I1863,nEVAL,"EX")=0),0))))</f>
      </c>
      <c r="H1863">
        <f>IF(DATOS!$G1863&lt;&gt;"EX",0,--(COUNTIFS(nNIA,DATOS!$A1863,nCURSO,DATOS!$D1863,nESPEC,DATOS!$E1863,nASIG,DATOS!$I1863,nEVAL,"OR")=0))</f>
      </c>
      <c r="I1863">
        <f>IF(DATOS!$I1863="","",IFERROR(VLOOKUP(DATOS!$I1863,CONFIG_ASIGNATURAS!$B$2:$J$91,9,FALSE()),""))</f>
      </c>
    </row>
    <row r="1864">
      <c r="F1864">
        <f>IF(DATOS!$A1864="","",DATOS!$A1864&amp;"|"&amp;DATOS!$D1864&amp;"|"&amp;DATOS!$E1864&amp;"|"&amp;DATOS!$I1864)</f>
      </c>
      <c r="G1864">
        <f>IF(DATOS!$A1864="",0,IF(CONFIG_METADATA!$B$4&lt;&gt;"OR+EX",--(DATOS!$G1864=CONFIG_METADATA!$B$4),IF(DATOS!$G1864="EX",1,IF(DATOS!$G1864="OR",--(COUNTIFS(nNIA,DATOS!$A1864,nCURSO,DATOS!$D1864,nESPEC,DATOS!$E1864,nASIG,DATOS!$I1864,nEVAL,"EX")=0),0))))</f>
      </c>
      <c r="H1864">
        <f>IF(DATOS!$G1864&lt;&gt;"EX",0,--(COUNTIFS(nNIA,DATOS!$A1864,nCURSO,DATOS!$D1864,nESPEC,DATOS!$E1864,nASIG,DATOS!$I1864,nEVAL,"OR")=0))</f>
      </c>
      <c r="I1864">
        <f>IF(DATOS!$I1864="","",IFERROR(VLOOKUP(DATOS!$I1864,CONFIG_ASIGNATURAS!$B$2:$J$91,9,FALSE()),""))</f>
      </c>
    </row>
    <row r="1865">
      <c r="F1865">
        <f>IF(DATOS!$A1865="","",DATOS!$A1865&amp;"|"&amp;DATOS!$D1865&amp;"|"&amp;DATOS!$E1865&amp;"|"&amp;DATOS!$I1865)</f>
      </c>
      <c r="G1865">
        <f>IF(DATOS!$A1865="",0,IF(CONFIG_METADATA!$B$4&lt;&gt;"OR+EX",--(DATOS!$G1865=CONFIG_METADATA!$B$4),IF(DATOS!$G1865="EX",1,IF(DATOS!$G1865="OR",--(COUNTIFS(nNIA,DATOS!$A1865,nCURSO,DATOS!$D1865,nESPEC,DATOS!$E1865,nASIG,DATOS!$I1865,nEVAL,"EX")=0),0))))</f>
      </c>
      <c r="H1865">
        <f>IF(DATOS!$G1865&lt;&gt;"EX",0,--(COUNTIFS(nNIA,DATOS!$A1865,nCURSO,DATOS!$D1865,nESPEC,DATOS!$E1865,nASIG,DATOS!$I1865,nEVAL,"OR")=0))</f>
      </c>
      <c r="I1865">
        <f>IF(DATOS!$I1865="","",IFERROR(VLOOKUP(DATOS!$I1865,CONFIG_ASIGNATURAS!$B$2:$J$91,9,FALSE()),""))</f>
      </c>
    </row>
    <row r="1866">
      <c r="F1866">
        <f>IF(DATOS!$A1866="","",DATOS!$A1866&amp;"|"&amp;DATOS!$D1866&amp;"|"&amp;DATOS!$E1866&amp;"|"&amp;DATOS!$I1866)</f>
      </c>
      <c r="G1866">
        <f>IF(DATOS!$A1866="",0,IF(CONFIG_METADATA!$B$4&lt;&gt;"OR+EX",--(DATOS!$G1866=CONFIG_METADATA!$B$4),IF(DATOS!$G1866="EX",1,IF(DATOS!$G1866="OR",--(COUNTIFS(nNIA,DATOS!$A1866,nCURSO,DATOS!$D1866,nESPEC,DATOS!$E1866,nASIG,DATOS!$I1866,nEVAL,"EX")=0),0))))</f>
      </c>
      <c r="H1866">
        <f>IF(DATOS!$G1866&lt;&gt;"EX",0,--(COUNTIFS(nNIA,DATOS!$A1866,nCURSO,DATOS!$D1866,nESPEC,DATOS!$E1866,nASIG,DATOS!$I1866,nEVAL,"OR")=0))</f>
      </c>
      <c r="I1866">
        <f>IF(DATOS!$I1866="","",IFERROR(VLOOKUP(DATOS!$I1866,CONFIG_ASIGNATURAS!$B$2:$J$91,9,FALSE()),""))</f>
      </c>
    </row>
    <row r="1867">
      <c r="F1867">
        <f>IF(DATOS!$A1867="","",DATOS!$A1867&amp;"|"&amp;DATOS!$D1867&amp;"|"&amp;DATOS!$E1867&amp;"|"&amp;DATOS!$I1867)</f>
      </c>
      <c r="G1867">
        <f>IF(DATOS!$A1867="",0,IF(CONFIG_METADATA!$B$4&lt;&gt;"OR+EX",--(DATOS!$G1867=CONFIG_METADATA!$B$4),IF(DATOS!$G1867="EX",1,IF(DATOS!$G1867="OR",--(COUNTIFS(nNIA,DATOS!$A1867,nCURSO,DATOS!$D1867,nESPEC,DATOS!$E1867,nASIG,DATOS!$I1867,nEVAL,"EX")=0),0))))</f>
      </c>
      <c r="H1867">
        <f>IF(DATOS!$G1867&lt;&gt;"EX",0,--(COUNTIFS(nNIA,DATOS!$A1867,nCURSO,DATOS!$D1867,nESPEC,DATOS!$E1867,nASIG,DATOS!$I1867,nEVAL,"OR")=0))</f>
      </c>
      <c r="I1867">
        <f>IF(DATOS!$I1867="","",IFERROR(VLOOKUP(DATOS!$I1867,CONFIG_ASIGNATURAS!$B$2:$J$91,9,FALSE()),""))</f>
      </c>
    </row>
    <row r="1868">
      <c r="F1868">
        <f>IF(DATOS!$A1868="","",DATOS!$A1868&amp;"|"&amp;DATOS!$D1868&amp;"|"&amp;DATOS!$E1868&amp;"|"&amp;DATOS!$I1868)</f>
      </c>
      <c r="G1868">
        <f>IF(DATOS!$A1868="",0,IF(CONFIG_METADATA!$B$4&lt;&gt;"OR+EX",--(DATOS!$G1868=CONFIG_METADATA!$B$4),IF(DATOS!$G1868="EX",1,IF(DATOS!$G1868="OR",--(COUNTIFS(nNIA,DATOS!$A1868,nCURSO,DATOS!$D1868,nESPEC,DATOS!$E1868,nASIG,DATOS!$I1868,nEVAL,"EX")=0),0))))</f>
      </c>
      <c r="H1868">
        <f>IF(DATOS!$G1868&lt;&gt;"EX",0,--(COUNTIFS(nNIA,DATOS!$A1868,nCURSO,DATOS!$D1868,nESPEC,DATOS!$E1868,nASIG,DATOS!$I1868,nEVAL,"OR")=0))</f>
      </c>
      <c r="I1868">
        <f>IF(DATOS!$I1868="","",IFERROR(VLOOKUP(DATOS!$I1868,CONFIG_ASIGNATURAS!$B$2:$J$91,9,FALSE()),""))</f>
      </c>
    </row>
    <row r="1869">
      <c r="F1869">
        <f>IF(DATOS!$A1869="","",DATOS!$A1869&amp;"|"&amp;DATOS!$D1869&amp;"|"&amp;DATOS!$E1869&amp;"|"&amp;DATOS!$I1869)</f>
      </c>
      <c r="G1869">
        <f>IF(DATOS!$A1869="",0,IF(CONFIG_METADATA!$B$4&lt;&gt;"OR+EX",--(DATOS!$G1869=CONFIG_METADATA!$B$4),IF(DATOS!$G1869="EX",1,IF(DATOS!$G1869="OR",--(COUNTIFS(nNIA,DATOS!$A1869,nCURSO,DATOS!$D1869,nESPEC,DATOS!$E1869,nASIG,DATOS!$I1869,nEVAL,"EX")=0),0))))</f>
      </c>
      <c r="H1869">
        <f>IF(DATOS!$G1869&lt;&gt;"EX",0,--(COUNTIFS(nNIA,DATOS!$A1869,nCURSO,DATOS!$D1869,nESPEC,DATOS!$E1869,nASIG,DATOS!$I1869,nEVAL,"OR")=0))</f>
      </c>
      <c r="I1869">
        <f>IF(DATOS!$I1869="","",IFERROR(VLOOKUP(DATOS!$I1869,CONFIG_ASIGNATURAS!$B$2:$J$91,9,FALSE()),""))</f>
      </c>
    </row>
    <row r="1870">
      <c r="F1870">
        <f>IF(DATOS!$A1870="","",DATOS!$A1870&amp;"|"&amp;DATOS!$D1870&amp;"|"&amp;DATOS!$E1870&amp;"|"&amp;DATOS!$I1870)</f>
      </c>
      <c r="G1870">
        <f>IF(DATOS!$A1870="",0,IF(CONFIG_METADATA!$B$4&lt;&gt;"OR+EX",--(DATOS!$G1870=CONFIG_METADATA!$B$4),IF(DATOS!$G1870="EX",1,IF(DATOS!$G1870="OR",--(COUNTIFS(nNIA,DATOS!$A1870,nCURSO,DATOS!$D1870,nESPEC,DATOS!$E1870,nASIG,DATOS!$I1870,nEVAL,"EX")=0),0))))</f>
      </c>
      <c r="H1870">
        <f>IF(DATOS!$G1870&lt;&gt;"EX",0,--(COUNTIFS(nNIA,DATOS!$A1870,nCURSO,DATOS!$D1870,nESPEC,DATOS!$E1870,nASIG,DATOS!$I1870,nEVAL,"OR")=0))</f>
      </c>
      <c r="I1870">
        <f>IF(DATOS!$I1870="","",IFERROR(VLOOKUP(DATOS!$I1870,CONFIG_ASIGNATURAS!$B$2:$J$91,9,FALSE()),""))</f>
      </c>
    </row>
    <row r="1871">
      <c r="F1871">
        <f>IF(DATOS!$A1871="","",DATOS!$A1871&amp;"|"&amp;DATOS!$D1871&amp;"|"&amp;DATOS!$E1871&amp;"|"&amp;DATOS!$I1871)</f>
      </c>
      <c r="G1871">
        <f>IF(DATOS!$A1871="",0,IF(CONFIG_METADATA!$B$4&lt;&gt;"OR+EX",--(DATOS!$G1871=CONFIG_METADATA!$B$4),IF(DATOS!$G1871="EX",1,IF(DATOS!$G1871="OR",--(COUNTIFS(nNIA,DATOS!$A1871,nCURSO,DATOS!$D1871,nESPEC,DATOS!$E1871,nASIG,DATOS!$I1871,nEVAL,"EX")=0),0))))</f>
      </c>
      <c r="H1871">
        <f>IF(DATOS!$G1871&lt;&gt;"EX",0,--(COUNTIFS(nNIA,DATOS!$A1871,nCURSO,DATOS!$D1871,nESPEC,DATOS!$E1871,nASIG,DATOS!$I1871,nEVAL,"OR")=0))</f>
      </c>
      <c r="I1871">
        <f>IF(DATOS!$I1871="","",IFERROR(VLOOKUP(DATOS!$I1871,CONFIG_ASIGNATURAS!$B$2:$J$91,9,FALSE()),""))</f>
      </c>
    </row>
    <row r="1872">
      <c r="F1872">
        <f>IF(DATOS!$A1872="","",DATOS!$A1872&amp;"|"&amp;DATOS!$D1872&amp;"|"&amp;DATOS!$E1872&amp;"|"&amp;DATOS!$I1872)</f>
      </c>
      <c r="G1872">
        <f>IF(DATOS!$A1872="",0,IF(CONFIG_METADATA!$B$4&lt;&gt;"OR+EX",--(DATOS!$G1872=CONFIG_METADATA!$B$4),IF(DATOS!$G1872="EX",1,IF(DATOS!$G1872="OR",--(COUNTIFS(nNIA,DATOS!$A1872,nCURSO,DATOS!$D1872,nESPEC,DATOS!$E1872,nASIG,DATOS!$I1872,nEVAL,"EX")=0),0))))</f>
      </c>
      <c r="H1872">
        <f>IF(DATOS!$G1872&lt;&gt;"EX",0,--(COUNTIFS(nNIA,DATOS!$A1872,nCURSO,DATOS!$D1872,nESPEC,DATOS!$E1872,nASIG,DATOS!$I1872,nEVAL,"OR")=0))</f>
      </c>
      <c r="I1872">
        <f>IF(DATOS!$I1872="","",IFERROR(VLOOKUP(DATOS!$I1872,CONFIG_ASIGNATURAS!$B$2:$J$91,9,FALSE()),""))</f>
      </c>
    </row>
    <row r="1873">
      <c r="F1873">
        <f>IF(DATOS!$A1873="","",DATOS!$A1873&amp;"|"&amp;DATOS!$D1873&amp;"|"&amp;DATOS!$E1873&amp;"|"&amp;DATOS!$I1873)</f>
      </c>
      <c r="G1873">
        <f>IF(DATOS!$A1873="",0,IF(CONFIG_METADATA!$B$4&lt;&gt;"OR+EX",--(DATOS!$G1873=CONFIG_METADATA!$B$4),IF(DATOS!$G1873="EX",1,IF(DATOS!$G1873="OR",--(COUNTIFS(nNIA,DATOS!$A1873,nCURSO,DATOS!$D1873,nESPEC,DATOS!$E1873,nASIG,DATOS!$I1873,nEVAL,"EX")=0),0))))</f>
      </c>
      <c r="H1873">
        <f>IF(DATOS!$G1873&lt;&gt;"EX",0,--(COUNTIFS(nNIA,DATOS!$A1873,nCURSO,DATOS!$D1873,nESPEC,DATOS!$E1873,nASIG,DATOS!$I1873,nEVAL,"OR")=0))</f>
      </c>
      <c r="I1873">
        <f>IF(DATOS!$I1873="","",IFERROR(VLOOKUP(DATOS!$I1873,CONFIG_ASIGNATURAS!$B$2:$J$91,9,FALSE()),""))</f>
      </c>
    </row>
    <row r="1874">
      <c r="F1874">
        <f>IF(DATOS!$A1874="","",DATOS!$A1874&amp;"|"&amp;DATOS!$D1874&amp;"|"&amp;DATOS!$E1874&amp;"|"&amp;DATOS!$I1874)</f>
      </c>
      <c r="G1874">
        <f>IF(DATOS!$A1874="",0,IF(CONFIG_METADATA!$B$4&lt;&gt;"OR+EX",--(DATOS!$G1874=CONFIG_METADATA!$B$4),IF(DATOS!$G1874="EX",1,IF(DATOS!$G1874="OR",--(COUNTIFS(nNIA,DATOS!$A1874,nCURSO,DATOS!$D1874,nESPEC,DATOS!$E1874,nASIG,DATOS!$I1874,nEVAL,"EX")=0),0))))</f>
      </c>
      <c r="H1874">
        <f>IF(DATOS!$G1874&lt;&gt;"EX",0,--(COUNTIFS(nNIA,DATOS!$A1874,nCURSO,DATOS!$D1874,nESPEC,DATOS!$E1874,nASIG,DATOS!$I1874,nEVAL,"OR")=0))</f>
      </c>
      <c r="I1874">
        <f>IF(DATOS!$I1874="","",IFERROR(VLOOKUP(DATOS!$I1874,CONFIG_ASIGNATURAS!$B$2:$J$91,9,FALSE()),""))</f>
      </c>
    </row>
    <row r="1875">
      <c r="F1875">
        <f>IF(DATOS!$A1875="","",DATOS!$A1875&amp;"|"&amp;DATOS!$D1875&amp;"|"&amp;DATOS!$E1875&amp;"|"&amp;DATOS!$I1875)</f>
      </c>
      <c r="G1875">
        <f>IF(DATOS!$A1875="",0,IF(CONFIG_METADATA!$B$4&lt;&gt;"OR+EX",--(DATOS!$G1875=CONFIG_METADATA!$B$4),IF(DATOS!$G1875="EX",1,IF(DATOS!$G1875="OR",--(COUNTIFS(nNIA,DATOS!$A1875,nCURSO,DATOS!$D1875,nESPEC,DATOS!$E1875,nASIG,DATOS!$I1875,nEVAL,"EX")=0),0))))</f>
      </c>
      <c r="H1875">
        <f>IF(DATOS!$G1875&lt;&gt;"EX",0,--(COUNTIFS(nNIA,DATOS!$A1875,nCURSO,DATOS!$D1875,nESPEC,DATOS!$E1875,nASIG,DATOS!$I1875,nEVAL,"OR")=0))</f>
      </c>
      <c r="I1875">
        <f>IF(DATOS!$I1875="","",IFERROR(VLOOKUP(DATOS!$I1875,CONFIG_ASIGNATURAS!$B$2:$J$91,9,FALSE()),""))</f>
      </c>
    </row>
    <row r="1876">
      <c r="F1876">
        <f>IF(DATOS!$A1876="","",DATOS!$A1876&amp;"|"&amp;DATOS!$D1876&amp;"|"&amp;DATOS!$E1876&amp;"|"&amp;DATOS!$I1876)</f>
      </c>
      <c r="G1876">
        <f>IF(DATOS!$A1876="",0,IF(CONFIG_METADATA!$B$4&lt;&gt;"OR+EX",--(DATOS!$G1876=CONFIG_METADATA!$B$4),IF(DATOS!$G1876="EX",1,IF(DATOS!$G1876="OR",--(COUNTIFS(nNIA,DATOS!$A1876,nCURSO,DATOS!$D1876,nESPEC,DATOS!$E1876,nASIG,DATOS!$I1876,nEVAL,"EX")=0),0))))</f>
      </c>
      <c r="H1876">
        <f>IF(DATOS!$G1876&lt;&gt;"EX",0,--(COUNTIFS(nNIA,DATOS!$A1876,nCURSO,DATOS!$D1876,nESPEC,DATOS!$E1876,nASIG,DATOS!$I1876,nEVAL,"OR")=0))</f>
      </c>
      <c r="I1876">
        <f>IF(DATOS!$I1876="","",IFERROR(VLOOKUP(DATOS!$I1876,CONFIG_ASIGNATURAS!$B$2:$J$91,9,FALSE()),""))</f>
      </c>
    </row>
    <row r="1877">
      <c r="F1877">
        <f>IF(DATOS!$A1877="","",DATOS!$A1877&amp;"|"&amp;DATOS!$D1877&amp;"|"&amp;DATOS!$E1877&amp;"|"&amp;DATOS!$I1877)</f>
      </c>
      <c r="G1877">
        <f>IF(DATOS!$A1877="",0,IF(CONFIG_METADATA!$B$4&lt;&gt;"OR+EX",--(DATOS!$G1877=CONFIG_METADATA!$B$4),IF(DATOS!$G1877="EX",1,IF(DATOS!$G1877="OR",--(COUNTIFS(nNIA,DATOS!$A1877,nCURSO,DATOS!$D1877,nESPEC,DATOS!$E1877,nASIG,DATOS!$I1877,nEVAL,"EX")=0),0))))</f>
      </c>
      <c r="H1877">
        <f>IF(DATOS!$G1877&lt;&gt;"EX",0,--(COUNTIFS(nNIA,DATOS!$A1877,nCURSO,DATOS!$D1877,nESPEC,DATOS!$E1877,nASIG,DATOS!$I1877,nEVAL,"OR")=0))</f>
      </c>
      <c r="I1877">
        <f>IF(DATOS!$I1877="","",IFERROR(VLOOKUP(DATOS!$I1877,CONFIG_ASIGNATURAS!$B$2:$J$91,9,FALSE()),""))</f>
      </c>
    </row>
    <row r="1878">
      <c r="F1878">
        <f>IF(DATOS!$A1878="","",DATOS!$A1878&amp;"|"&amp;DATOS!$D1878&amp;"|"&amp;DATOS!$E1878&amp;"|"&amp;DATOS!$I1878)</f>
      </c>
      <c r="G1878">
        <f>IF(DATOS!$A1878="",0,IF(CONFIG_METADATA!$B$4&lt;&gt;"OR+EX",--(DATOS!$G1878=CONFIG_METADATA!$B$4),IF(DATOS!$G1878="EX",1,IF(DATOS!$G1878="OR",--(COUNTIFS(nNIA,DATOS!$A1878,nCURSO,DATOS!$D1878,nESPEC,DATOS!$E1878,nASIG,DATOS!$I1878,nEVAL,"EX")=0),0))))</f>
      </c>
      <c r="H1878">
        <f>IF(DATOS!$G1878&lt;&gt;"EX",0,--(COUNTIFS(nNIA,DATOS!$A1878,nCURSO,DATOS!$D1878,nESPEC,DATOS!$E1878,nASIG,DATOS!$I1878,nEVAL,"OR")=0))</f>
      </c>
      <c r="I1878">
        <f>IF(DATOS!$I1878="","",IFERROR(VLOOKUP(DATOS!$I1878,CONFIG_ASIGNATURAS!$B$2:$J$91,9,FALSE()),""))</f>
      </c>
    </row>
    <row r="1879">
      <c r="F1879">
        <f>IF(DATOS!$A1879="","",DATOS!$A1879&amp;"|"&amp;DATOS!$D1879&amp;"|"&amp;DATOS!$E1879&amp;"|"&amp;DATOS!$I1879)</f>
      </c>
      <c r="G1879">
        <f>IF(DATOS!$A1879="",0,IF(CONFIG_METADATA!$B$4&lt;&gt;"OR+EX",--(DATOS!$G1879=CONFIG_METADATA!$B$4),IF(DATOS!$G1879="EX",1,IF(DATOS!$G1879="OR",--(COUNTIFS(nNIA,DATOS!$A1879,nCURSO,DATOS!$D1879,nESPEC,DATOS!$E1879,nASIG,DATOS!$I1879,nEVAL,"EX")=0),0))))</f>
      </c>
      <c r="H1879">
        <f>IF(DATOS!$G1879&lt;&gt;"EX",0,--(COUNTIFS(nNIA,DATOS!$A1879,nCURSO,DATOS!$D1879,nESPEC,DATOS!$E1879,nASIG,DATOS!$I1879,nEVAL,"OR")=0))</f>
      </c>
      <c r="I1879">
        <f>IF(DATOS!$I1879="","",IFERROR(VLOOKUP(DATOS!$I1879,CONFIG_ASIGNATURAS!$B$2:$J$91,9,FALSE()),""))</f>
      </c>
    </row>
    <row r="1880">
      <c r="F1880">
        <f>IF(DATOS!$A1880="","",DATOS!$A1880&amp;"|"&amp;DATOS!$D1880&amp;"|"&amp;DATOS!$E1880&amp;"|"&amp;DATOS!$I1880)</f>
      </c>
      <c r="G1880">
        <f>IF(DATOS!$A1880="",0,IF(CONFIG_METADATA!$B$4&lt;&gt;"OR+EX",--(DATOS!$G1880=CONFIG_METADATA!$B$4),IF(DATOS!$G1880="EX",1,IF(DATOS!$G1880="OR",--(COUNTIFS(nNIA,DATOS!$A1880,nCURSO,DATOS!$D1880,nESPEC,DATOS!$E1880,nASIG,DATOS!$I1880,nEVAL,"EX")=0),0))))</f>
      </c>
      <c r="H1880">
        <f>IF(DATOS!$G1880&lt;&gt;"EX",0,--(COUNTIFS(nNIA,DATOS!$A1880,nCURSO,DATOS!$D1880,nESPEC,DATOS!$E1880,nASIG,DATOS!$I1880,nEVAL,"OR")=0))</f>
      </c>
      <c r="I1880">
        <f>IF(DATOS!$I1880="","",IFERROR(VLOOKUP(DATOS!$I1880,CONFIG_ASIGNATURAS!$B$2:$J$91,9,FALSE()),""))</f>
      </c>
    </row>
    <row r="1881">
      <c r="F1881">
        <f>IF(DATOS!$A1881="","",DATOS!$A1881&amp;"|"&amp;DATOS!$D1881&amp;"|"&amp;DATOS!$E1881&amp;"|"&amp;DATOS!$I1881)</f>
      </c>
      <c r="G1881">
        <f>IF(DATOS!$A1881="",0,IF(CONFIG_METADATA!$B$4&lt;&gt;"OR+EX",--(DATOS!$G1881=CONFIG_METADATA!$B$4),IF(DATOS!$G1881="EX",1,IF(DATOS!$G1881="OR",--(COUNTIFS(nNIA,DATOS!$A1881,nCURSO,DATOS!$D1881,nESPEC,DATOS!$E1881,nASIG,DATOS!$I1881,nEVAL,"EX")=0),0))))</f>
      </c>
      <c r="H1881">
        <f>IF(DATOS!$G1881&lt;&gt;"EX",0,--(COUNTIFS(nNIA,DATOS!$A1881,nCURSO,DATOS!$D1881,nESPEC,DATOS!$E1881,nASIG,DATOS!$I1881,nEVAL,"OR")=0))</f>
      </c>
      <c r="I1881">
        <f>IF(DATOS!$I1881="","",IFERROR(VLOOKUP(DATOS!$I1881,CONFIG_ASIGNATURAS!$B$2:$J$91,9,FALSE()),""))</f>
      </c>
    </row>
    <row r="1882">
      <c r="F1882">
        <f>IF(DATOS!$A1882="","",DATOS!$A1882&amp;"|"&amp;DATOS!$D1882&amp;"|"&amp;DATOS!$E1882&amp;"|"&amp;DATOS!$I1882)</f>
      </c>
      <c r="G1882">
        <f>IF(DATOS!$A1882="",0,IF(CONFIG_METADATA!$B$4&lt;&gt;"OR+EX",--(DATOS!$G1882=CONFIG_METADATA!$B$4),IF(DATOS!$G1882="EX",1,IF(DATOS!$G1882="OR",--(COUNTIFS(nNIA,DATOS!$A1882,nCURSO,DATOS!$D1882,nESPEC,DATOS!$E1882,nASIG,DATOS!$I1882,nEVAL,"EX")=0),0))))</f>
      </c>
      <c r="H1882">
        <f>IF(DATOS!$G1882&lt;&gt;"EX",0,--(COUNTIFS(nNIA,DATOS!$A1882,nCURSO,DATOS!$D1882,nESPEC,DATOS!$E1882,nASIG,DATOS!$I1882,nEVAL,"OR")=0))</f>
      </c>
      <c r="I1882">
        <f>IF(DATOS!$I1882="","",IFERROR(VLOOKUP(DATOS!$I1882,CONFIG_ASIGNATURAS!$B$2:$J$91,9,FALSE()),""))</f>
      </c>
    </row>
    <row r="1883">
      <c r="F1883">
        <f>IF(DATOS!$A1883="","",DATOS!$A1883&amp;"|"&amp;DATOS!$D1883&amp;"|"&amp;DATOS!$E1883&amp;"|"&amp;DATOS!$I1883)</f>
      </c>
      <c r="G1883">
        <f>IF(DATOS!$A1883="",0,IF(CONFIG_METADATA!$B$4&lt;&gt;"OR+EX",--(DATOS!$G1883=CONFIG_METADATA!$B$4),IF(DATOS!$G1883="EX",1,IF(DATOS!$G1883="OR",--(COUNTIFS(nNIA,DATOS!$A1883,nCURSO,DATOS!$D1883,nESPEC,DATOS!$E1883,nASIG,DATOS!$I1883,nEVAL,"EX")=0),0))))</f>
      </c>
      <c r="H1883">
        <f>IF(DATOS!$G1883&lt;&gt;"EX",0,--(COUNTIFS(nNIA,DATOS!$A1883,nCURSO,DATOS!$D1883,nESPEC,DATOS!$E1883,nASIG,DATOS!$I1883,nEVAL,"OR")=0))</f>
      </c>
      <c r="I1883">
        <f>IF(DATOS!$I1883="","",IFERROR(VLOOKUP(DATOS!$I1883,CONFIG_ASIGNATURAS!$B$2:$J$91,9,FALSE()),""))</f>
      </c>
    </row>
    <row r="1884">
      <c r="F1884">
        <f>IF(DATOS!$A1884="","",DATOS!$A1884&amp;"|"&amp;DATOS!$D1884&amp;"|"&amp;DATOS!$E1884&amp;"|"&amp;DATOS!$I1884)</f>
      </c>
      <c r="G1884">
        <f>IF(DATOS!$A1884="",0,IF(CONFIG_METADATA!$B$4&lt;&gt;"OR+EX",--(DATOS!$G1884=CONFIG_METADATA!$B$4),IF(DATOS!$G1884="EX",1,IF(DATOS!$G1884="OR",--(COUNTIFS(nNIA,DATOS!$A1884,nCURSO,DATOS!$D1884,nESPEC,DATOS!$E1884,nASIG,DATOS!$I1884,nEVAL,"EX")=0),0))))</f>
      </c>
      <c r="H1884">
        <f>IF(DATOS!$G1884&lt;&gt;"EX",0,--(COUNTIFS(nNIA,DATOS!$A1884,nCURSO,DATOS!$D1884,nESPEC,DATOS!$E1884,nASIG,DATOS!$I1884,nEVAL,"OR")=0))</f>
      </c>
      <c r="I1884">
        <f>IF(DATOS!$I1884="","",IFERROR(VLOOKUP(DATOS!$I1884,CONFIG_ASIGNATURAS!$B$2:$J$91,9,FALSE()),""))</f>
      </c>
    </row>
    <row r="1885">
      <c r="F1885">
        <f>IF(DATOS!$A1885="","",DATOS!$A1885&amp;"|"&amp;DATOS!$D1885&amp;"|"&amp;DATOS!$E1885&amp;"|"&amp;DATOS!$I1885)</f>
      </c>
      <c r="G1885">
        <f>IF(DATOS!$A1885="",0,IF(CONFIG_METADATA!$B$4&lt;&gt;"OR+EX",--(DATOS!$G1885=CONFIG_METADATA!$B$4),IF(DATOS!$G1885="EX",1,IF(DATOS!$G1885="OR",--(COUNTIFS(nNIA,DATOS!$A1885,nCURSO,DATOS!$D1885,nESPEC,DATOS!$E1885,nASIG,DATOS!$I1885,nEVAL,"EX")=0),0))))</f>
      </c>
      <c r="H1885">
        <f>IF(DATOS!$G1885&lt;&gt;"EX",0,--(COUNTIFS(nNIA,DATOS!$A1885,nCURSO,DATOS!$D1885,nESPEC,DATOS!$E1885,nASIG,DATOS!$I1885,nEVAL,"OR")=0))</f>
      </c>
      <c r="I1885">
        <f>IF(DATOS!$I1885="","",IFERROR(VLOOKUP(DATOS!$I1885,CONFIG_ASIGNATURAS!$B$2:$J$91,9,FALSE()),""))</f>
      </c>
    </row>
    <row r="1886">
      <c r="F1886">
        <f>IF(DATOS!$A1886="","",DATOS!$A1886&amp;"|"&amp;DATOS!$D1886&amp;"|"&amp;DATOS!$E1886&amp;"|"&amp;DATOS!$I1886)</f>
      </c>
      <c r="G1886">
        <f>IF(DATOS!$A1886="",0,IF(CONFIG_METADATA!$B$4&lt;&gt;"OR+EX",--(DATOS!$G1886=CONFIG_METADATA!$B$4),IF(DATOS!$G1886="EX",1,IF(DATOS!$G1886="OR",--(COUNTIFS(nNIA,DATOS!$A1886,nCURSO,DATOS!$D1886,nESPEC,DATOS!$E1886,nASIG,DATOS!$I1886,nEVAL,"EX")=0),0))))</f>
      </c>
      <c r="H1886">
        <f>IF(DATOS!$G1886&lt;&gt;"EX",0,--(COUNTIFS(nNIA,DATOS!$A1886,nCURSO,DATOS!$D1886,nESPEC,DATOS!$E1886,nASIG,DATOS!$I1886,nEVAL,"OR")=0))</f>
      </c>
      <c r="I1886">
        <f>IF(DATOS!$I1886="","",IFERROR(VLOOKUP(DATOS!$I1886,CONFIG_ASIGNATURAS!$B$2:$J$91,9,FALSE()),""))</f>
      </c>
    </row>
    <row r="1887">
      <c r="F1887">
        <f>IF(DATOS!$A1887="","",DATOS!$A1887&amp;"|"&amp;DATOS!$D1887&amp;"|"&amp;DATOS!$E1887&amp;"|"&amp;DATOS!$I1887)</f>
      </c>
      <c r="G1887">
        <f>IF(DATOS!$A1887="",0,IF(CONFIG_METADATA!$B$4&lt;&gt;"OR+EX",--(DATOS!$G1887=CONFIG_METADATA!$B$4),IF(DATOS!$G1887="EX",1,IF(DATOS!$G1887="OR",--(COUNTIFS(nNIA,DATOS!$A1887,nCURSO,DATOS!$D1887,nESPEC,DATOS!$E1887,nASIG,DATOS!$I1887,nEVAL,"EX")=0),0))))</f>
      </c>
      <c r="H1887">
        <f>IF(DATOS!$G1887&lt;&gt;"EX",0,--(COUNTIFS(nNIA,DATOS!$A1887,nCURSO,DATOS!$D1887,nESPEC,DATOS!$E1887,nASIG,DATOS!$I1887,nEVAL,"OR")=0))</f>
      </c>
      <c r="I1887">
        <f>IF(DATOS!$I1887="","",IFERROR(VLOOKUP(DATOS!$I1887,CONFIG_ASIGNATURAS!$B$2:$J$91,9,FALSE()),""))</f>
      </c>
    </row>
    <row r="1888">
      <c r="F1888">
        <f>IF(DATOS!$A1888="","",DATOS!$A1888&amp;"|"&amp;DATOS!$D1888&amp;"|"&amp;DATOS!$E1888&amp;"|"&amp;DATOS!$I1888)</f>
      </c>
      <c r="G1888">
        <f>IF(DATOS!$A1888="",0,IF(CONFIG_METADATA!$B$4&lt;&gt;"OR+EX",--(DATOS!$G1888=CONFIG_METADATA!$B$4),IF(DATOS!$G1888="EX",1,IF(DATOS!$G1888="OR",--(COUNTIFS(nNIA,DATOS!$A1888,nCURSO,DATOS!$D1888,nESPEC,DATOS!$E1888,nASIG,DATOS!$I1888,nEVAL,"EX")=0),0))))</f>
      </c>
      <c r="H1888">
        <f>IF(DATOS!$G1888&lt;&gt;"EX",0,--(COUNTIFS(nNIA,DATOS!$A1888,nCURSO,DATOS!$D1888,nESPEC,DATOS!$E1888,nASIG,DATOS!$I1888,nEVAL,"OR")=0))</f>
      </c>
      <c r="I1888">
        <f>IF(DATOS!$I1888="","",IFERROR(VLOOKUP(DATOS!$I1888,CONFIG_ASIGNATURAS!$B$2:$J$91,9,FALSE()),""))</f>
      </c>
    </row>
    <row r="1889">
      <c r="F1889">
        <f>IF(DATOS!$A1889="","",DATOS!$A1889&amp;"|"&amp;DATOS!$D1889&amp;"|"&amp;DATOS!$E1889&amp;"|"&amp;DATOS!$I1889)</f>
      </c>
      <c r="G1889">
        <f>IF(DATOS!$A1889="",0,IF(CONFIG_METADATA!$B$4&lt;&gt;"OR+EX",--(DATOS!$G1889=CONFIG_METADATA!$B$4),IF(DATOS!$G1889="EX",1,IF(DATOS!$G1889="OR",--(COUNTIFS(nNIA,DATOS!$A1889,nCURSO,DATOS!$D1889,nESPEC,DATOS!$E1889,nASIG,DATOS!$I1889,nEVAL,"EX")=0),0))))</f>
      </c>
      <c r="H1889">
        <f>IF(DATOS!$G1889&lt;&gt;"EX",0,--(COUNTIFS(nNIA,DATOS!$A1889,nCURSO,DATOS!$D1889,nESPEC,DATOS!$E1889,nASIG,DATOS!$I1889,nEVAL,"OR")=0))</f>
      </c>
      <c r="I1889">
        <f>IF(DATOS!$I1889="","",IFERROR(VLOOKUP(DATOS!$I1889,CONFIG_ASIGNATURAS!$B$2:$J$91,9,FALSE()),""))</f>
      </c>
    </row>
    <row r="1890">
      <c r="F1890">
        <f>IF(DATOS!$A1890="","",DATOS!$A1890&amp;"|"&amp;DATOS!$D1890&amp;"|"&amp;DATOS!$E1890&amp;"|"&amp;DATOS!$I1890)</f>
      </c>
      <c r="G1890">
        <f>IF(DATOS!$A1890="",0,IF(CONFIG_METADATA!$B$4&lt;&gt;"OR+EX",--(DATOS!$G1890=CONFIG_METADATA!$B$4),IF(DATOS!$G1890="EX",1,IF(DATOS!$G1890="OR",--(COUNTIFS(nNIA,DATOS!$A1890,nCURSO,DATOS!$D1890,nESPEC,DATOS!$E1890,nASIG,DATOS!$I1890,nEVAL,"EX")=0),0))))</f>
      </c>
      <c r="H1890">
        <f>IF(DATOS!$G1890&lt;&gt;"EX",0,--(COUNTIFS(nNIA,DATOS!$A1890,nCURSO,DATOS!$D1890,nESPEC,DATOS!$E1890,nASIG,DATOS!$I1890,nEVAL,"OR")=0))</f>
      </c>
      <c r="I1890">
        <f>IF(DATOS!$I1890="","",IFERROR(VLOOKUP(DATOS!$I1890,CONFIG_ASIGNATURAS!$B$2:$J$91,9,FALSE()),""))</f>
      </c>
    </row>
    <row r="1891">
      <c r="F1891">
        <f>IF(DATOS!$A1891="","",DATOS!$A1891&amp;"|"&amp;DATOS!$D1891&amp;"|"&amp;DATOS!$E1891&amp;"|"&amp;DATOS!$I1891)</f>
      </c>
      <c r="G1891">
        <f>IF(DATOS!$A1891="",0,IF(CONFIG_METADATA!$B$4&lt;&gt;"OR+EX",--(DATOS!$G1891=CONFIG_METADATA!$B$4),IF(DATOS!$G1891="EX",1,IF(DATOS!$G1891="OR",--(COUNTIFS(nNIA,DATOS!$A1891,nCURSO,DATOS!$D1891,nESPEC,DATOS!$E1891,nASIG,DATOS!$I1891,nEVAL,"EX")=0),0))))</f>
      </c>
      <c r="H1891">
        <f>IF(DATOS!$G1891&lt;&gt;"EX",0,--(COUNTIFS(nNIA,DATOS!$A1891,nCURSO,DATOS!$D1891,nESPEC,DATOS!$E1891,nASIG,DATOS!$I1891,nEVAL,"OR")=0))</f>
      </c>
      <c r="I1891">
        <f>IF(DATOS!$I1891="","",IFERROR(VLOOKUP(DATOS!$I1891,CONFIG_ASIGNATURAS!$B$2:$J$91,9,FALSE()),""))</f>
      </c>
    </row>
    <row r="1892">
      <c r="F1892">
        <f>IF(DATOS!$A1892="","",DATOS!$A1892&amp;"|"&amp;DATOS!$D1892&amp;"|"&amp;DATOS!$E1892&amp;"|"&amp;DATOS!$I1892)</f>
      </c>
      <c r="G1892">
        <f>IF(DATOS!$A1892="",0,IF(CONFIG_METADATA!$B$4&lt;&gt;"OR+EX",--(DATOS!$G1892=CONFIG_METADATA!$B$4),IF(DATOS!$G1892="EX",1,IF(DATOS!$G1892="OR",--(COUNTIFS(nNIA,DATOS!$A1892,nCURSO,DATOS!$D1892,nESPEC,DATOS!$E1892,nASIG,DATOS!$I1892,nEVAL,"EX")=0),0))))</f>
      </c>
      <c r="H1892">
        <f>IF(DATOS!$G1892&lt;&gt;"EX",0,--(COUNTIFS(nNIA,DATOS!$A1892,nCURSO,DATOS!$D1892,nESPEC,DATOS!$E1892,nASIG,DATOS!$I1892,nEVAL,"OR")=0))</f>
      </c>
      <c r="I1892">
        <f>IF(DATOS!$I1892="","",IFERROR(VLOOKUP(DATOS!$I1892,CONFIG_ASIGNATURAS!$B$2:$J$91,9,FALSE()),""))</f>
      </c>
    </row>
    <row r="1893">
      <c r="F1893">
        <f>IF(DATOS!$A1893="","",DATOS!$A1893&amp;"|"&amp;DATOS!$D1893&amp;"|"&amp;DATOS!$E1893&amp;"|"&amp;DATOS!$I1893)</f>
      </c>
      <c r="G1893">
        <f>IF(DATOS!$A1893="",0,IF(CONFIG_METADATA!$B$4&lt;&gt;"OR+EX",--(DATOS!$G1893=CONFIG_METADATA!$B$4),IF(DATOS!$G1893="EX",1,IF(DATOS!$G1893="OR",--(COUNTIFS(nNIA,DATOS!$A1893,nCURSO,DATOS!$D1893,nESPEC,DATOS!$E1893,nASIG,DATOS!$I1893,nEVAL,"EX")=0),0))))</f>
      </c>
      <c r="H1893">
        <f>IF(DATOS!$G1893&lt;&gt;"EX",0,--(COUNTIFS(nNIA,DATOS!$A1893,nCURSO,DATOS!$D1893,nESPEC,DATOS!$E1893,nASIG,DATOS!$I1893,nEVAL,"OR")=0))</f>
      </c>
      <c r="I1893">
        <f>IF(DATOS!$I1893="","",IFERROR(VLOOKUP(DATOS!$I1893,CONFIG_ASIGNATURAS!$B$2:$J$91,9,FALSE()),""))</f>
      </c>
    </row>
    <row r="1894">
      <c r="F1894">
        <f>IF(DATOS!$A1894="","",DATOS!$A1894&amp;"|"&amp;DATOS!$D1894&amp;"|"&amp;DATOS!$E1894&amp;"|"&amp;DATOS!$I1894)</f>
      </c>
      <c r="G1894">
        <f>IF(DATOS!$A1894="",0,IF(CONFIG_METADATA!$B$4&lt;&gt;"OR+EX",--(DATOS!$G1894=CONFIG_METADATA!$B$4),IF(DATOS!$G1894="EX",1,IF(DATOS!$G1894="OR",--(COUNTIFS(nNIA,DATOS!$A1894,nCURSO,DATOS!$D1894,nESPEC,DATOS!$E1894,nASIG,DATOS!$I1894,nEVAL,"EX")=0),0))))</f>
      </c>
      <c r="H1894">
        <f>IF(DATOS!$G1894&lt;&gt;"EX",0,--(COUNTIFS(nNIA,DATOS!$A1894,nCURSO,DATOS!$D1894,nESPEC,DATOS!$E1894,nASIG,DATOS!$I1894,nEVAL,"OR")=0))</f>
      </c>
      <c r="I1894">
        <f>IF(DATOS!$I1894="","",IFERROR(VLOOKUP(DATOS!$I1894,CONFIG_ASIGNATURAS!$B$2:$J$91,9,FALSE()),""))</f>
      </c>
    </row>
    <row r="1895">
      <c r="F1895">
        <f>IF(DATOS!$A1895="","",DATOS!$A1895&amp;"|"&amp;DATOS!$D1895&amp;"|"&amp;DATOS!$E1895&amp;"|"&amp;DATOS!$I1895)</f>
      </c>
      <c r="G1895">
        <f>IF(DATOS!$A1895="",0,IF(CONFIG_METADATA!$B$4&lt;&gt;"OR+EX",--(DATOS!$G1895=CONFIG_METADATA!$B$4),IF(DATOS!$G1895="EX",1,IF(DATOS!$G1895="OR",--(COUNTIFS(nNIA,DATOS!$A1895,nCURSO,DATOS!$D1895,nESPEC,DATOS!$E1895,nASIG,DATOS!$I1895,nEVAL,"EX")=0),0))))</f>
      </c>
      <c r="H1895">
        <f>IF(DATOS!$G1895&lt;&gt;"EX",0,--(COUNTIFS(nNIA,DATOS!$A1895,nCURSO,DATOS!$D1895,nESPEC,DATOS!$E1895,nASIG,DATOS!$I1895,nEVAL,"OR")=0))</f>
      </c>
      <c r="I1895">
        <f>IF(DATOS!$I1895="","",IFERROR(VLOOKUP(DATOS!$I1895,CONFIG_ASIGNATURAS!$B$2:$J$91,9,FALSE()),""))</f>
      </c>
    </row>
    <row r="1896">
      <c r="F1896">
        <f>IF(DATOS!$A1896="","",DATOS!$A1896&amp;"|"&amp;DATOS!$D1896&amp;"|"&amp;DATOS!$E1896&amp;"|"&amp;DATOS!$I1896)</f>
      </c>
      <c r="G1896">
        <f>IF(DATOS!$A1896="",0,IF(CONFIG_METADATA!$B$4&lt;&gt;"OR+EX",--(DATOS!$G1896=CONFIG_METADATA!$B$4),IF(DATOS!$G1896="EX",1,IF(DATOS!$G1896="OR",--(COUNTIFS(nNIA,DATOS!$A1896,nCURSO,DATOS!$D1896,nESPEC,DATOS!$E1896,nASIG,DATOS!$I1896,nEVAL,"EX")=0),0))))</f>
      </c>
      <c r="H1896">
        <f>IF(DATOS!$G1896&lt;&gt;"EX",0,--(COUNTIFS(nNIA,DATOS!$A1896,nCURSO,DATOS!$D1896,nESPEC,DATOS!$E1896,nASIG,DATOS!$I1896,nEVAL,"OR")=0))</f>
      </c>
      <c r="I1896">
        <f>IF(DATOS!$I1896="","",IFERROR(VLOOKUP(DATOS!$I1896,CONFIG_ASIGNATURAS!$B$2:$J$91,9,FALSE()),""))</f>
      </c>
    </row>
    <row r="1897">
      <c r="F1897">
        <f>IF(DATOS!$A1897="","",DATOS!$A1897&amp;"|"&amp;DATOS!$D1897&amp;"|"&amp;DATOS!$E1897&amp;"|"&amp;DATOS!$I1897)</f>
      </c>
      <c r="G1897">
        <f>IF(DATOS!$A1897="",0,IF(CONFIG_METADATA!$B$4&lt;&gt;"OR+EX",--(DATOS!$G1897=CONFIG_METADATA!$B$4),IF(DATOS!$G1897="EX",1,IF(DATOS!$G1897="OR",--(COUNTIFS(nNIA,DATOS!$A1897,nCURSO,DATOS!$D1897,nESPEC,DATOS!$E1897,nASIG,DATOS!$I1897,nEVAL,"EX")=0),0))))</f>
      </c>
      <c r="H1897">
        <f>IF(DATOS!$G1897&lt;&gt;"EX",0,--(COUNTIFS(nNIA,DATOS!$A1897,nCURSO,DATOS!$D1897,nESPEC,DATOS!$E1897,nASIG,DATOS!$I1897,nEVAL,"OR")=0))</f>
      </c>
      <c r="I1897">
        <f>IF(DATOS!$I1897="","",IFERROR(VLOOKUP(DATOS!$I1897,CONFIG_ASIGNATURAS!$B$2:$J$91,9,FALSE()),""))</f>
      </c>
    </row>
    <row r="1898">
      <c r="F1898">
        <f>IF(DATOS!$A1898="","",DATOS!$A1898&amp;"|"&amp;DATOS!$D1898&amp;"|"&amp;DATOS!$E1898&amp;"|"&amp;DATOS!$I1898)</f>
      </c>
      <c r="G1898">
        <f>IF(DATOS!$A1898="",0,IF(CONFIG_METADATA!$B$4&lt;&gt;"OR+EX",--(DATOS!$G1898=CONFIG_METADATA!$B$4),IF(DATOS!$G1898="EX",1,IF(DATOS!$G1898="OR",--(COUNTIFS(nNIA,DATOS!$A1898,nCURSO,DATOS!$D1898,nESPEC,DATOS!$E1898,nASIG,DATOS!$I1898,nEVAL,"EX")=0),0))))</f>
      </c>
      <c r="H1898">
        <f>IF(DATOS!$G1898&lt;&gt;"EX",0,--(COUNTIFS(nNIA,DATOS!$A1898,nCURSO,DATOS!$D1898,nESPEC,DATOS!$E1898,nASIG,DATOS!$I1898,nEVAL,"OR")=0))</f>
      </c>
      <c r="I1898">
        <f>IF(DATOS!$I1898="","",IFERROR(VLOOKUP(DATOS!$I1898,CONFIG_ASIGNATURAS!$B$2:$J$91,9,FALSE()),""))</f>
      </c>
    </row>
    <row r="1899">
      <c r="F1899">
        <f>IF(DATOS!$A1899="","",DATOS!$A1899&amp;"|"&amp;DATOS!$D1899&amp;"|"&amp;DATOS!$E1899&amp;"|"&amp;DATOS!$I1899)</f>
      </c>
      <c r="G1899">
        <f>IF(DATOS!$A1899="",0,IF(CONFIG_METADATA!$B$4&lt;&gt;"OR+EX",--(DATOS!$G1899=CONFIG_METADATA!$B$4),IF(DATOS!$G1899="EX",1,IF(DATOS!$G1899="OR",--(COUNTIFS(nNIA,DATOS!$A1899,nCURSO,DATOS!$D1899,nESPEC,DATOS!$E1899,nASIG,DATOS!$I1899,nEVAL,"EX")=0),0))))</f>
      </c>
      <c r="H1899">
        <f>IF(DATOS!$G1899&lt;&gt;"EX",0,--(COUNTIFS(nNIA,DATOS!$A1899,nCURSO,DATOS!$D1899,nESPEC,DATOS!$E1899,nASIG,DATOS!$I1899,nEVAL,"OR")=0))</f>
      </c>
      <c r="I1899">
        <f>IF(DATOS!$I1899="","",IFERROR(VLOOKUP(DATOS!$I1899,CONFIG_ASIGNATURAS!$B$2:$J$91,9,FALSE()),""))</f>
      </c>
    </row>
    <row r="1900">
      <c r="F1900">
        <f>IF(DATOS!$A1900="","",DATOS!$A1900&amp;"|"&amp;DATOS!$D1900&amp;"|"&amp;DATOS!$E1900&amp;"|"&amp;DATOS!$I1900)</f>
      </c>
      <c r="G1900">
        <f>IF(DATOS!$A1900="",0,IF(CONFIG_METADATA!$B$4&lt;&gt;"OR+EX",--(DATOS!$G1900=CONFIG_METADATA!$B$4),IF(DATOS!$G1900="EX",1,IF(DATOS!$G1900="OR",--(COUNTIFS(nNIA,DATOS!$A1900,nCURSO,DATOS!$D1900,nESPEC,DATOS!$E1900,nASIG,DATOS!$I1900,nEVAL,"EX")=0),0))))</f>
      </c>
      <c r="H1900">
        <f>IF(DATOS!$G1900&lt;&gt;"EX",0,--(COUNTIFS(nNIA,DATOS!$A1900,nCURSO,DATOS!$D1900,nESPEC,DATOS!$E1900,nASIG,DATOS!$I1900,nEVAL,"OR")=0))</f>
      </c>
      <c r="I1900">
        <f>IF(DATOS!$I1900="","",IFERROR(VLOOKUP(DATOS!$I1900,CONFIG_ASIGNATURAS!$B$2:$J$91,9,FALSE()),""))</f>
      </c>
    </row>
    <row r="1901">
      <c r="F1901">
        <f>IF(DATOS!$A1901="","",DATOS!$A1901&amp;"|"&amp;DATOS!$D1901&amp;"|"&amp;DATOS!$E1901&amp;"|"&amp;DATOS!$I1901)</f>
      </c>
      <c r="G1901">
        <f>IF(DATOS!$A1901="",0,IF(CONFIG_METADATA!$B$4&lt;&gt;"OR+EX",--(DATOS!$G1901=CONFIG_METADATA!$B$4),IF(DATOS!$G1901="EX",1,IF(DATOS!$G1901="OR",--(COUNTIFS(nNIA,DATOS!$A1901,nCURSO,DATOS!$D1901,nESPEC,DATOS!$E1901,nASIG,DATOS!$I1901,nEVAL,"EX")=0),0))))</f>
      </c>
      <c r="H1901">
        <f>IF(DATOS!$G1901&lt;&gt;"EX",0,--(COUNTIFS(nNIA,DATOS!$A1901,nCURSO,DATOS!$D1901,nESPEC,DATOS!$E1901,nASIG,DATOS!$I1901,nEVAL,"OR")=0))</f>
      </c>
      <c r="I1901">
        <f>IF(DATOS!$I1901="","",IFERROR(VLOOKUP(DATOS!$I1901,CONFIG_ASIGNATURAS!$B$2:$J$91,9,FALSE()),""))</f>
      </c>
    </row>
    <row r="1902">
      <c r="F1902">
        <f>IF(DATOS!$A1902="","",DATOS!$A1902&amp;"|"&amp;DATOS!$D1902&amp;"|"&amp;DATOS!$E1902&amp;"|"&amp;DATOS!$I1902)</f>
      </c>
      <c r="G1902">
        <f>IF(DATOS!$A1902="",0,IF(CONFIG_METADATA!$B$4&lt;&gt;"OR+EX",--(DATOS!$G1902=CONFIG_METADATA!$B$4),IF(DATOS!$G1902="EX",1,IF(DATOS!$G1902="OR",--(COUNTIFS(nNIA,DATOS!$A1902,nCURSO,DATOS!$D1902,nESPEC,DATOS!$E1902,nASIG,DATOS!$I1902,nEVAL,"EX")=0),0))))</f>
      </c>
      <c r="H1902">
        <f>IF(DATOS!$G1902&lt;&gt;"EX",0,--(COUNTIFS(nNIA,DATOS!$A1902,nCURSO,DATOS!$D1902,nESPEC,DATOS!$E1902,nASIG,DATOS!$I1902,nEVAL,"OR")=0))</f>
      </c>
      <c r="I1902">
        <f>IF(DATOS!$I1902="","",IFERROR(VLOOKUP(DATOS!$I1902,CONFIG_ASIGNATURAS!$B$2:$J$91,9,FALSE()),""))</f>
      </c>
    </row>
    <row r="1903">
      <c r="F1903">
        <f>IF(DATOS!$A1903="","",DATOS!$A1903&amp;"|"&amp;DATOS!$D1903&amp;"|"&amp;DATOS!$E1903&amp;"|"&amp;DATOS!$I1903)</f>
      </c>
      <c r="G1903">
        <f>IF(DATOS!$A1903="",0,IF(CONFIG_METADATA!$B$4&lt;&gt;"OR+EX",--(DATOS!$G1903=CONFIG_METADATA!$B$4),IF(DATOS!$G1903="EX",1,IF(DATOS!$G1903="OR",--(COUNTIFS(nNIA,DATOS!$A1903,nCURSO,DATOS!$D1903,nESPEC,DATOS!$E1903,nASIG,DATOS!$I1903,nEVAL,"EX")=0),0))))</f>
      </c>
      <c r="H1903">
        <f>IF(DATOS!$G1903&lt;&gt;"EX",0,--(COUNTIFS(nNIA,DATOS!$A1903,nCURSO,DATOS!$D1903,nESPEC,DATOS!$E1903,nASIG,DATOS!$I1903,nEVAL,"OR")=0))</f>
      </c>
      <c r="I1903">
        <f>IF(DATOS!$I1903="","",IFERROR(VLOOKUP(DATOS!$I1903,CONFIG_ASIGNATURAS!$B$2:$J$91,9,FALSE()),""))</f>
      </c>
    </row>
    <row r="1904">
      <c r="F1904">
        <f>IF(DATOS!$A1904="","",DATOS!$A1904&amp;"|"&amp;DATOS!$D1904&amp;"|"&amp;DATOS!$E1904&amp;"|"&amp;DATOS!$I1904)</f>
      </c>
      <c r="G1904">
        <f>IF(DATOS!$A1904="",0,IF(CONFIG_METADATA!$B$4&lt;&gt;"OR+EX",--(DATOS!$G1904=CONFIG_METADATA!$B$4),IF(DATOS!$G1904="EX",1,IF(DATOS!$G1904="OR",--(COUNTIFS(nNIA,DATOS!$A1904,nCURSO,DATOS!$D1904,nESPEC,DATOS!$E1904,nASIG,DATOS!$I1904,nEVAL,"EX")=0),0))))</f>
      </c>
      <c r="H1904">
        <f>IF(DATOS!$G1904&lt;&gt;"EX",0,--(COUNTIFS(nNIA,DATOS!$A1904,nCURSO,DATOS!$D1904,nESPEC,DATOS!$E1904,nASIG,DATOS!$I1904,nEVAL,"OR")=0))</f>
      </c>
      <c r="I1904">
        <f>IF(DATOS!$I1904="","",IFERROR(VLOOKUP(DATOS!$I1904,CONFIG_ASIGNATURAS!$B$2:$J$91,9,FALSE()),""))</f>
      </c>
    </row>
    <row r="1905">
      <c r="F1905">
        <f>IF(DATOS!$A1905="","",DATOS!$A1905&amp;"|"&amp;DATOS!$D1905&amp;"|"&amp;DATOS!$E1905&amp;"|"&amp;DATOS!$I1905)</f>
      </c>
      <c r="G1905">
        <f>IF(DATOS!$A1905="",0,IF(CONFIG_METADATA!$B$4&lt;&gt;"OR+EX",--(DATOS!$G1905=CONFIG_METADATA!$B$4),IF(DATOS!$G1905="EX",1,IF(DATOS!$G1905="OR",--(COUNTIFS(nNIA,DATOS!$A1905,nCURSO,DATOS!$D1905,nESPEC,DATOS!$E1905,nASIG,DATOS!$I1905,nEVAL,"EX")=0),0))))</f>
      </c>
      <c r="H1905">
        <f>IF(DATOS!$G1905&lt;&gt;"EX",0,--(COUNTIFS(nNIA,DATOS!$A1905,nCURSO,DATOS!$D1905,nESPEC,DATOS!$E1905,nASIG,DATOS!$I1905,nEVAL,"OR")=0))</f>
      </c>
      <c r="I1905">
        <f>IF(DATOS!$I1905="","",IFERROR(VLOOKUP(DATOS!$I1905,CONFIG_ASIGNATURAS!$B$2:$J$91,9,FALSE()),""))</f>
      </c>
    </row>
    <row r="1906">
      <c r="F1906">
        <f>IF(DATOS!$A1906="","",DATOS!$A1906&amp;"|"&amp;DATOS!$D1906&amp;"|"&amp;DATOS!$E1906&amp;"|"&amp;DATOS!$I1906)</f>
      </c>
      <c r="G1906">
        <f>IF(DATOS!$A1906="",0,IF(CONFIG_METADATA!$B$4&lt;&gt;"OR+EX",--(DATOS!$G1906=CONFIG_METADATA!$B$4),IF(DATOS!$G1906="EX",1,IF(DATOS!$G1906="OR",--(COUNTIFS(nNIA,DATOS!$A1906,nCURSO,DATOS!$D1906,nESPEC,DATOS!$E1906,nASIG,DATOS!$I1906,nEVAL,"EX")=0),0))))</f>
      </c>
      <c r="H1906">
        <f>IF(DATOS!$G1906&lt;&gt;"EX",0,--(COUNTIFS(nNIA,DATOS!$A1906,nCURSO,DATOS!$D1906,nESPEC,DATOS!$E1906,nASIG,DATOS!$I1906,nEVAL,"OR")=0))</f>
      </c>
      <c r="I1906">
        <f>IF(DATOS!$I1906="","",IFERROR(VLOOKUP(DATOS!$I1906,CONFIG_ASIGNATURAS!$B$2:$J$91,9,FALSE()),""))</f>
      </c>
    </row>
    <row r="1907">
      <c r="F1907">
        <f>IF(DATOS!$A1907="","",DATOS!$A1907&amp;"|"&amp;DATOS!$D1907&amp;"|"&amp;DATOS!$E1907&amp;"|"&amp;DATOS!$I1907)</f>
      </c>
      <c r="G1907">
        <f>IF(DATOS!$A1907="",0,IF(CONFIG_METADATA!$B$4&lt;&gt;"OR+EX",--(DATOS!$G1907=CONFIG_METADATA!$B$4),IF(DATOS!$G1907="EX",1,IF(DATOS!$G1907="OR",--(COUNTIFS(nNIA,DATOS!$A1907,nCURSO,DATOS!$D1907,nESPEC,DATOS!$E1907,nASIG,DATOS!$I1907,nEVAL,"EX")=0),0))))</f>
      </c>
      <c r="H1907">
        <f>IF(DATOS!$G1907&lt;&gt;"EX",0,--(COUNTIFS(nNIA,DATOS!$A1907,nCURSO,DATOS!$D1907,nESPEC,DATOS!$E1907,nASIG,DATOS!$I1907,nEVAL,"OR")=0))</f>
      </c>
      <c r="I1907">
        <f>IF(DATOS!$I1907="","",IFERROR(VLOOKUP(DATOS!$I1907,CONFIG_ASIGNATURAS!$B$2:$J$91,9,FALSE()),""))</f>
      </c>
    </row>
    <row r="1908">
      <c r="F1908">
        <f>IF(DATOS!$A1908="","",DATOS!$A1908&amp;"|"&amp;DATOS!$D1908&amp;"|"&amp;DATOS!$E1908&amp;"|"&amp;DATOS!$I1908)</f>
      </c>
      <c r="G1908">
        <f>IF(DATOS!$A1908="",0,IF(CONFIG_METADATA!$B$4&lt;&gt;"OR+EX",--(DATOS!$G1908=CONFIG_METADATA!$B$4),IF(DATOS!$G1908="EX",1,IF(DATOS!$G1908="OR",--(COUNTIFS(nNIA,DATOS!$A1908,nCURSO,DATOS!$D1908,nESPEC,DATOS!$E1908,nASIG,DATOS!$I1908,nEVAL,"EX")=0),0))))</f>
      </c>
      <c r="H1908">
        <f>IF(DATOS!$G1908&lt;&gt;"EX",0,--(COUNTIFS(nNIA,DATOS!$A1908,nCURSO,DATOS!$D1908,nESPEC,DATOS!$E1908,nASIG,DATOS!$I1908,nEVAL,"OR")=0))</f>
      </c>
      <c r="I1908">
        <f>IF(DATOS!$I1908="","",IFERROR(VLOOKUP(DATOS!$I1908,CONFIG_ASIGNATURAS!$B$2:$J$91,9,FALSE()),""))</f>
      </c>
    </row>
    <row r="1909">
      <c r="F1909">
        <f>IF(DATOS!$A1909="","",DATOS!$A1909&amp;"|"&amp;DATOS!$D1909&amp;"|"&amp;DATOS!$E1909&amp;"|"&amp;DATOS!$I1909)</f>
      </c>
      <c r="G1909">
        <f>IF(DATOS!$A1909="",0,IF(CONFIG_METADATA!$B$4&lt;&gt;"OR+EX",--(DATOS!$G1909=CONFIG_METADATA!$B$4),IF(DATOS!$G1909="EX",1,IF(DATOS!$G1909="OR",--(COUNTIFS(nNIA,DATOS!$A1909,nCURSO,DATOS!$D1909,nESPEC,DATOS!$E1909,nASIG,DATOS!$I1909,nEVAL,"EX")=0),0))))</f>
      </c>
      <c r="H1909">
        <f>IF(DATOS!$G1909&lt;&gt;"EX",0,--(COUNTIFS(nNIA,DATOS!$A1909,nCURSO,DATOS!$D1909,nESPEC,DATOS!$E1909,nASIG,DATOS!$I1909,nEVAL,"OR")=0))</f>
      </c>
      <c r="I1909">
        <f>IF(DATOS!$I1909="","",IFERROR(VLOOKUP(DATOS!$I1909,CONFIG_ASIGNATURAS!$B$2:$J$91,9,FALSE()),""))</f>
      </c>
    </row>
    <row r="1910">
      <c r="F1910">
        <f>IF(DATOS!$A1910="","",DATOS!$A1910&amp;"|"&amp;DATOS!$D1910&amp;"|"&amp;DATOS!$E1910&amp;"|"&amp;DATOS!$I1910)</f>
      </c>
      <c r="G1910">
        <f>IF(DATOS!$A1910="",0,IF(CONFIG_METADATA!$B$4&lt;&gt;"OR+EX",--(DATOS!$G1910=CONFIG_METADATA!$B$4),IF(DATOS!$G1910="EX",1,IF(DATOS!$G1910="OR",--(COUNTIFS(nNIA,DATOS!$A1910,nCURSO,DATOS!$D1910,nESPEC,DATOS!$E1910,nASIG,DATOS!$I1910,nEVAL,"EX")=0),0))))</f>
      </c>
      <c r="H1910">
        <f>IF(DATOS!$G1910&lt;&gt;"EX",0,--(COUNTIFS(nNIA,DATOS!$A1910,nCURSO,DATOS!$D1910,nESPEC,DATOS!$E1910,nASIG,DATOS!$I1910,nEVAL,"OR")=0))</f>
      </c>
      <c r="I1910">
        <f>IF(DATOS!$I1910="","",IFERROR(VLOOKUP(DATOS!$I1910,CONFIG_ASIGNATURAS!$B$2:$J$91,9,FALSE()),""))</f>
      </c>
    </row>
    <row r="1911">
      <c r="F1911">
        <f>IF(DATOS!$A1911="","",DATOS!$A1911&amp;"|"&amp;DATOS!$D1911&amp;"|"&amp;DATOS!$E1911&amp;"|"&amp;DATOS!$I1911)</f>
      </c>
      <c r="G1911">
        <f>IF(DATOS!$A1911="",0,IF(CONFIG_METADATA!$B$4&lt;&gt;"OR+EX",--(DATOS!$G1911=CONFIG_METADATA!$B$4),IF(DATOS!$G1911="EX",1,IF(DATOS!$G1911="OR",--(COUNTIFS(nNIA,DATOS!$A1911,nCURSO,DATOS!$D1911,nESPEC,DATOS!$E1911,nASIG,DATOS!$I1911,nEVAL,"EX")=0),0))))</f>
      </c>
      <c r="H1911">
        <f>IF(DATOS!$G1911&lt;&gt;"EX",0,--(COUNTIFS(nNIA,DATOS!$A1911,nCURSO,DATOS!$D1911,nESPEC,DATOS!$E1911,nASIG,DATOS!$I1911,nEVAL,"OR")=0))</f>
      </c>
      <c r="I1911">
        <f>IF(DATOS!$I1911="","",IFERROR(VLOOKUP(DATOS!$I1911,CONFIG_ASIGNATURAS!$B$2:$J$91,9,FALSE()),""))</f>
      </c>
    </row>
    <row r="1912">
      <c r="F1912">
        <f>IF(DATOS!$A1912="","",DATOS!$A1912&amp;"|"&amp;DATOS!$D1912&amp;"|"&amp;DATOS!$E1912&amp;"|"&amp;DATOS!$I1912)</f>
      </c>
      <c r="G1912">
        <f>IF(DATOS!$A1912="",0,IF(CONFIG_METADATA!$B$4&lt;&gt;"OR+EX",--(DATOS!$G1912=CONFIG_METADATA!$B$4),IF(DATOS!$G1912="EX",1,IF(DATOS!$G1912="OR",--(COUNTIFS(nNIA,DATOS!$A1912,nCURSO,DATOS!$D1912,nESPEC,DATOS!$E1912,nASIG,DATOS!$I1912,nEVAL,"EX")=0),0))))</f>
      </c>
      <c r="H1912">
        <f>IF(DATOS!$G1912&lt;&gt;"EX",0,--(COUNTIFS(nNIA,DATOS!$A1912,nCURSO,DATOS!$D1912,nESPEC,DATOS!$E1912,nASIG,DATOS!$I1912,nEVAL,"OR")=0))</f>
      </c>
      <c r="I1912">
        <f>IF(DATOS!$I1912="","",IFERROR(VLOOKUP(DATOS!$I1912,CONFIG_ASIGNATURAS!$B$2:$J$91,9,FALSE()),""))</f>
      </c>
    </row>
    <row r="1913">
      <c r="F1913">
        <f>IF(DATOS!$A1913="","",DATOS!$A1913&amp;"|"&amp;DATOS!$D1913&amp;"|"&amp;DATOS!$E1913&amp;"|"&amp;DATOS!$I1913)</f>
      </c>
      <c r="G1913">
        <f>IF(DATOS!$A1913="",0,IF(CONFIG_METADATA!$B$4&lt;&gt;"OR+EX",--(DATOS!$G1913=CONFIG_METADATA!$B$4),IF(DATOS!$G1913="EX",1,IF(DATOS!$G1913="OR",--(COUNTIFS(nNIA,DATOS!$A1913,nCURSO,DATOS!$D1913,nESPEC,DATOS!$E1913,nASIG,DATOS!$I1913,nEVAL,"EX")=0),0))))</f>
      </c>
      <c r="H1913">
        <f>IF(DATOS!$G1913&lt;&gt;"EX",0,--(COUNTIFS(nNIA,DATOS!$A1913,nCURSO,DATOS!$D1913,nESPEC,DATOS!$E1913,nASIG,DATOS!$I1913,nEVAL,"OR")=0))</f>
      </c>
      <c r="I1913">
        <f>IF(DATOS!$I1913="","",IFERROR(VLOOKUP(DATOS!$I1913,CONFIG_ASIGNATURAS!$B$2:$J$91,9,FALSE()),""))</f>
      </c>
    </row>
    <row r="1914">
      <c r="F1914">
        <f>IF(DATOS!$A1914="","",DATOS!$A1914&amp;"|"&amp;DATOS!$D1914&amp;"|"&amp;DATOS!$E1914&amp;"|"&amp;DATOS!$I1914)</f>
      </c>
      <c r="G1914">
        <f>IF(DATOS!$A1914="",0,IF(CONFIG_METADATA!$B$4&lt;&gt;"OR+EX",--(DATOS!$G1914=CONFIG_METADATA!$B$4),IF(DATOS!$G1914="EX",1,IF(DATOS!$G1914="OR",--(COUNTIFS(nNIA,DATOS!$A1914,nCURSO,DATOS!$D1914,nESPEC,DATOS!$E1914,nASIG,DATOS!$I1914,nEVAL,"EX")=0),0))))</f>
      </c>
      <c r="H1914">
        <f>IF(DATOS!$G1914&lt;&gt;"EX",0,--(COUNTIFS(nNIA,DATOS!$A1914,nCURSO,DATOS!$D1914,nESPEC,DATOS!$E1914,nASIG,DATOS!$I1914,nEVAL,"OR")=0))</f>
      </c>
      <c r="I1914">
        <f>IF(DATOS!$I1914="","",IFERROR(VLOOKUP(DATOS!$I1914,CONFIG_ASIGNATURAS!$B$2:$J$91,9,FALSE()),""))</f>
      </c>
    </row>
    <row r="1915">
      <c r="F1915">
        <f>IF(DATOS!$A1915="","",DATOS!$A1915&amp;"|"&amp;DATOS!$D1915&amp;"|"&amp;DATOS!$E1915&amp;"|"&amp;DATOS!$I1915)</f>
      </c>
      <c r="G1915">
        <f>IF(DATOS!$A1915="",0,IF(CONFIG_METADATA!$B$4&lt;&gt;"OR+EX",--(DATOS!$G1915=CONFIG_METADATA!$B$4),IF(DATOS!$G1915="EX",1,IF(DATOS!$G1915="OR",--(COUNTIFS(nNIA,DATOS!$A1915,nCURSO,DATOS!$D1915,nESPEC,DATOS!$E1915,nASIG,DATOS!$I1915,nEVAL,"EX")=0),0))))</f>
      </c>
      <c r="H1915">
        <f>IF(DATOS!$G1915&lt;&gt;"EX",0,--(COUNTIFS(nNIA,DATOS!$A1915,nCURSO,DATOS!$D1915,nESPEC,DATOS!$E1915,nASIG,DATOS!$I1915,nEVAL,"OR")=0))</f>
      </c>
      <c r="I1915">
        <f>IF(DATOS!$I1915="","",IFERROR(VLOOKUP(DATOS!$I1915,CONFIG_ASIGNATURAS!$B$2:$J$91,9,FALSE()),""))</f>
      </c>
    </row>
    <row r="1916">
      <c r="F1916">
        <f>IF(DATOS!$A1916="","",DATOS!$A1916&amp;"|"&amp;DATOS!$D1916&amp;"|"&amp;DATOS!$E1916&amp;"|"&amp;DATOS!$I1916)</f>
      </c>
      <c r="G1916">
        <f>IF(DATOS!$A1916="",0,IF(CONFIG_METADATA!$B$4&lt;&gt;"OR+EX",--(DATOS!$G1916=CONFIG_METADATA!$B$4),IF(DATOS!$G1916="EX",1,IF(DATOS!$G1916="OR",--(COUNTIFS(nNIA,DATOS!$A1916,nCURSO,DATOS!$D1916,nESPEC,DATOS!$E1916,nASIG,DATOS!$I1916,nEVAL,"EX")=0),0))))</f>
      </c>
      <c r="H1916">
        <f>IF(DATOS!$G1916&lt;&gt;"EX",0,--(COUNTIFS(nNIA,DATOS!$A1916,nCURSO,DATOS!$D1916,nESPEC,DATOS!$E1916,nASIG,DATOS!$I1916,nEVAL,"OR")=0))</f>
      </c>
      <c r="I1916">
        <f>IF(DATOS!$I1916="","",IFERROR(VLOOKUP(DATOS!$I1916,CONFIG_ASIGNATURAS!$B$2:$J$91,9,FALSE()),""))</f>
      </c>
    </row>
    <row r="1917">
      <c r="F1917">
        <f>IF(DATOS!$A1917="","",DATOS!$A1917&amp;"|"&amp;DATOS!$D1917&amp;"|"&amp;DATOS!$E1917&amp;"|"&amp;DATOS!$I1917)</f>
      </c>
      <c r="G1917">
        <f>IF(DATOS!$A1917="",0,IF(CONFIG_METADATA!$B$4&lt;&gt;"OR+EX",--(DATOS!$G1917=CONFIG_METADATA!$B$4),IF(DATOS!$G1917="EX",1,IF(DATOS!$G1917="OR",--(COUNTIFS(nNIA,DATOS!$A1917,nCURSO,DATOS!$D1917,nESPEC,DATOS!$E1917,nASIG,DATOS!$I1917,nEVAL,"EX")=0),0))))</f>
      </c>
      <c r="H1917">
        <f>IF(DATOS!$G1917&lt;&gt;"EX",0,--(COUNTIFS(nNIA,DATOS!$A1917,nCURSO,DATOS!$D1917,nESPEC,DATOS!$E1917,nASIG,DATOS!$I1917,nEVAL,"OR")=0))</f>
      </c>
      <c r="I1917">
        <f>IF(DATOS!$I1917="","",IFERROR(VLOOKUP(DATOS!$I1917,CONFIG_ASIGNATURAS!$B$2:$J$91,9,FALSE()),""))</f>
      </c>
    </row>
    <row r="1918">
      <c r="F1918">
        <f>IF(DATOS!$A1918="","",DATOS!$A1918&amp;"|"&amp;DATOS!$D1918&amp;"|"&amp;DATOS!$E1918&amp;"|"&amp;DATOS!$I1918)</f>
      </c>
      <c r="G1918">
        <f>IF(DATOS!$A1918="",0,IF(CONFIG_METADATA!$B$4&lt;&gt;"OR+EX",--(DATOS!$G1918=CONFIG_METADATA!$B$4),IF(DATOS!$G1918="EX",1,IF(DATOS!$G1918="OR",--(COUNTIFS(nNIA,DATOS!$A1918,nCURSO,DATOS!$D1918,nESPEC,DATOS!$E1918,nASIG,DATOS!$I1918,nEVAL,"EX")=0),0))))</f>
      </c>
      <c r="H1918">
        <f>IF(DATOS!$G1918&lt;&gt;"EX",0,--(COUNTIFS(nNIA,DATOS!$A1918,nCURSO,DATOS!$D1918,nESPEC,DATOS!$E1918,nASIG,DATOS!$I1918,nEVAL,"OR")=0))</f>
      </c>
      <c r="I1918">
        <f>IF(DATOS!$I1918="","",IFERROR(VLOOKUP(DATOS!$I1918,CONFIG_ASIGNATURAS!$B$2:$J$91,9,FALSE()),""))</f>
      </c>
    </row>
    <row r="1919">
      <c r="F1919">
        <f>IF(DATOS!$A1919="","",DATOS!$A1919&amp;"|"&amp;DATOS!$D1919&amp;"|"&amp;DATOS!$E1919&amp;"|"&amp;DATOS!$I1919)</f>
      </c>
      <c r="G1919">
        <f>IF(DATOS!$A1919="",0,IF(CONFIG_METADATA!$B$4&lt;&gt;"OR+EX",--(DATOS!$G1919=CONFIG_METADATA!$B$4),IF(DATOS!$G1919="EX",1,IF(DATOS!$G1919="OR",--(COUNTIFS(nNIA,DATOS!$A1919,nCURSO,DATOS!$D1919,nESPEC,DATOS!$E1919,nASIG,DATOS!$I1919,nEVAL,"EX")=0),0))))</f>
      </c>
      <c r="H1919">
        <f>IF(DATOS!$G1919&lt;&gt;"EX",0,--(COUNTIFS(nNIA,DATOS!$A1919,nCURSO,DATOS!$D1919,nESPEC,DATOS!$E1919,nASIG,DATOS!$I1919,nEVAL,"OR")=0))</f>
      </c>
      <c r="I1919">
        <f>IF(DATOS!$I1919="","",IFERROR(VLOOKUP(DATOS!$I1919,CONFIG_ASIGNATURAS!$B$2:$J$91,9,FALSE()),""))</f>
      </c>
    </row>
    <row r="1920">
      <c r="F1920">
        <f>IF(DATOS!$A1920="","",DATOS!$A1920&amp;"|"&amp;DATOS!$D1920&amp;"|"&amp;DATOS!$E1920&amp;"|"&amp;DATOS!$I1920)</f>
      </c>
      <c r="G1920">
        <f>IF(DATOS!$A1920="",0,IF(CONFIG_METADATA!$B$4&lt;&gt;"OR+EX",--(DATOS!$G1920=CONFIG_METADATA!$B$4),IF(DATOS!$G1920="EX",1,IF(DATOS!$G1920="OR",--(COUNTIFS(nNIA,DATOS!$A1920,nCURSO,DATOS!$D1920,nESPEC,DATOS!$E1920,nASIG,DATOS!$I1920,nEVAL,"EX")=0),0))))</f>
      </c>
      <c r="H1920">
        <f>IF(DATOS!$G1920&lt;&gt;"EX",0,--(COUNTIFS(nNIA,DATOS!$A1920,nCURSO,DATOS!$D1920,nESPEC,DATOS!$E1920,nASIG,DATOS!$I1920,nEVAL,"OR")=0))</f>
      </c>
      <c r="I1920">
        <f>IF(DATOS!$I1920="","",IFERROR(VLOOKUP(DATOS!$I1920,CONFIG_ASIGNATURAS!$B$2:$J$91,9,FALSE()),""))</f>
      </c>
    </row>
    <row r="1921">
      <c r="F1921">
        <f>IF(DATOS!$A1921="","",DATOS!$A1921&amp;"|"&amp;DATOS!$D1921&amp;"|"&amp;DATOS!$E1921&amp;"|"&amp;DATOS!$I1921)</f>
      </c>
      <c r="G1921">
        <f>IF(DATOS!$A1921="",0,IF(CONFIG_METADATA!$B$4&lt;&gt;"OR+EX",--(DATOS!$G1921=CONFIG_METADATA!$B$4),IF(DATOS!$G1921="EX",1,IF(DATOS!$G1921="OR",--(COUNTIFS(nNIA,DATOS!$A1921,nCURSO,DATOS!$D1921,nESPEC,DATOS!$E1921,nASIG,DATOS!$I1921,nEVAL,"EX")=0),0))))</f>
      </c>
      <c r="H1921">
        <f>IF(DATOS!$G1921&lt;&gt;"EX",0,--(COUNTIFS(nNIA,DATOS!$A1921,nCURSO,DATOS!$D1921,nESPEC,DATOS!$E1921,nASIG,DATOS!$I1921,nEVAL,"OR")=0))</f>
      </c>
      <c r="I1921">
        <f>IF(DATOS!$I1921="","",IFERROR(VLOOKUP(DATOS!$I1921,CONFIG_ASIGNATURAS!$B$2:$J$91,9,FALSE()),""))</f>
      </c>
    </row>
    <row r="1922">
      <c r="F1922">
        <f>IF(DATOS!$A1922="","",DATOS!$A1922&amp;"|"&amp;DATOS!$D1922&amp;"|"&amp;DATOS!$E1922&amp;"|"&amp;DATOS!$I1922)</f>
      </c>
      <c r="G1922">
        <f>IF(DATOS!$A1922="",0,IF(CONFIG_METADATA!$B$4&lt;&gt;"OR+EX",--(DATOS!$G1922=CONFIG_METADATA!$B$4),IF(DATOS!$G1922="EX",1,IF(DATOS!$G1922="OR",--(COUNTIFS(nNIA,DATOS!$A1922,nCURSO,DATOS!$D1922,nESPEC,DATOS!$E1922,nASIG,DATOS!$I1922,nEVAL,"EX")=0),0))))</f>
      </c>
      <c r="H1922">
        <f>IF(DATOS!$G1922&lt;&gt;"EX",0,--(COUNTIFS(nNIA,DATOS!$A1922,nCURSO,DATOS!$D1922,nESPEC,DATOS!$E1922,nASIG,DATOS!$I1922,nEVAL,"OR")=0))</f>
      </c>
      <c r="I1922">
        <f>IF(DATOS!$I1922="","",IFERROR(VLOOKUP(DATOS!$I1922,CONFIG_ASIGNATURAS!$B$2:$J$91,9,FALSE()),""))</f>
      </c>
    </row>
    <row r="1923">
      <c r="F1923">
        <f>IF(DATOS!$A1923="","",DATOS!$A1923&amp;"|"&amp;DATOS!$D1923&amp;"|"&amp;DATOS!$E1923&amp;"|"&amp;DATOS!$I1923)</f>
      </c>
      <c r="G1923">
        <f>IF(DATOS!$A1923="",0,IF(CONFIG_METADATA!$B$4&lt;&gt;"OR+EX",--(DATOS!$G1923=CONFIG_METADATA!$B$4),IF(DATOS!$G1923="EX",1,IF(DATOS!$G1923="OR",--(COUNTIFS(nNIA,DATOS!$A1923,nCURSO,DATOS!$D1923,nESPEC,DATOS!$E1923,nASIG,DATOS!$I1923,nEVAL,"EX")=0),0))))</f>
      </c>
      <c r="H1923">
        <f>IF(DATOS!$G1923&lt;&gt;"EX",0,--(COUNTIFS(nNIA,DATOS!$A1923,nCURSO,DATOS!$D1923,nESPEC,DATOS!$E1923,nASIG,DATOS!$I1923,nEVAL,"OR")=0))</f>
      </c>
      <c r="I1923">
        <f>IF(DATOS!$I1923="","",IFERROR(VLOOKUP(DATOS!$I1923,CONFIG_ASIGNATURAS!$B$2:$J$91,9,FALSE()),""))</f>
      </c>
    </row>
    <row r="1924">
      <c r="F1924">
        <f>IF(DATOS!$A1924="","",DATOS!$A1924&amp;"|"&amp;DATOS!$D1924&amp;"|"&amp;DATOS!$E1924&amp;"|"&amp;DATOS!$I1924)</f>
      </c>
      <c r="G1924">
        <f>IF(DATOS!$A1924="",0,IF(CONFIG_METADATA!$B$4&lt;&gt;"OR+EX",--(DATOS!$G1924=CONFIG_METADATA!$B$4),IF(DATOS!$G1924="EX",1,IF(DATOS!$G1924="OR",--(COUNTIFS(nNIA,DATOS!$A1924,nCURSO,DATOS!$D1924,nESPEC,DATOS!$E1924,nASIG,DATOS!$I1924,nEVAL,"EX")=0),0))))</f>
      </c>
      <c r="H1924">
        <f>IF(DATOS!$G1924&lt;&gt;"EX",0,--(COUNTIFS(nNIA,DATOS!$A1924,nCURSO,DATOS!$D1924,nESPEC,DATOS!$E1924,nASIG,DATOS!$I1924,nEVAL,"OR")=0))</f>
      </c>
      <c r="I1924">
        <f>IF(DATOS!$I1924="","",IFERROR(VLOOKUP(DATOS!$I1924,CONFIG_ASIGNATURAS!$B$2:$J$91,9,FALSE()),""))</f>
      </c>
    </row>
    <row r="1925">
      <c r="F1925">
        <f>IF(DATOS!$A1925="","",DATOS!$A1925&amp;"|"&amp;DATOS!$D1925&amp;"|"&amp;DATOS!$E1925&amp;"|"&amp;DATOS!$I1925)</f>
      </c>
      <c r="G1925">
        <f>IF(DATOS!$A1925="",0,IF(CONFIG_METADATA!$B$4&lt;&gt;"OR+EX",--(DATOS!$G1925=CONFIG_METADATA!$B$4),IF(DATOS!$G1925="EX",1,IF(DATOS!$G1925="OR",--(COUNTIFS(nNIA,DATOS!$A1925,nCURSO,DATOS!$D1925,nESPEC,DATOS!$E1925,nASIG,DATOS!$I1925,nEVAL,"EX")=0),0))))</f>
      </c>
      <c r="H1925">
        <f>IF(DATOS!$G1925&lt;&gt;"EX",0,--(COUNTIFS(nNIA,DATOS!$A1925,nCURSO,DATOS!$D1925,nESPEC,DATOS!$E1925,nASIG,DATOS!$I1925,nEVAL,"OR")=0))</f>
      </c>
      <c r="I1925">
        <f>IF(DATOS!$I1925="","",IFERROR(VLOOKUP(DATOS!$I1925,CONFIG_ASIGNATURAS!$B$2:$J$91,9,FALSE()),""))</f>
      </c>
    </row>
    <row r="1926">
      <c r="F1926">
        <f>IF(DATOS!$A1926="","",DATOS!$A1926&amp;"|"&amp;DATOS!$D1926&amp;"|"&amp;DATOS!$E1926&amp;"|"&amp;DATOS!$I1926)</f>
      </c>
      <c r="G1926">
        <f>IF(DATOS!$A1926="",0,IF(CONFIG_METADATA!$B$4&lt;&gt;"OR+EX",--(DATOS!$G1926=CONFIG_METADATA!$B$4),IF(DATOS!$G1926="EX",1,IF(DATOS!$G1926="OR",--(COUNTIFS(nNIA,DATOS!$A1926,nCURSO,DATOS!$D1926,nESPEC,DATOS!$E1926,nASIG,DATOS!$I1926,nEVAL,"EX")=0),0))))</f>
      </c>
      <c r="H1926">
        <f>IF(DATOS!$G1926&lt;&gt;"EX",0,--(COUNTIFS(nNIA,DATOS!$A1926,nCURSO,DATOS!$D1926,nESPEC,DATOS!$E1926,nASIG,DATOS!$I1926,nEVAL,"OR")=0))</f>
      </c>
      <c r="I1926">
        <f>IF(DATOS!$I1926="","",IFERROR(VLOOKUP(DATOS!$I1926,CONFIG_ASIGNATURAS!$B$2:$J$91,9,FALSE()),""))</f>
      </c>
    </row>
    <row r="1927">
      <c r="F1927">
        <f>IF(DATOS!$A1927="","",DATOS!$A1927&amp;"|"&amp;DATOS!$D1927&amp;"|"&amp;DATOS!$E1927&amp;"|"&amp;DATOS!$I1927)</f>
      </c>
      <c r="G1927">
        <f>IF(DATOS!$A1927="",0,IF(CONFIG_METADATA!$B$4&lt;&gt;"OR+EX",--(DATOS!$G1927=CONFIG_METADATA!$B$4),IF(DATOS!$G1927="EX",1,IF(DATOS!$G1927="OR",--(COUNTIFS(nNIA,DATOS!$A1927,nCURSO,DATOS!$D1927,nESPEC,DATOS!$E1927,nASIG,DATOS!$I1927,nEVAL,"EX")=0),0))))</f>
      </c>
      <c r="H1927">
        <f>IF(DATOS!$G1927&lt;&gt;"EX",0,--(COUNTIFS(nNIA,DATOS!$A1927,nCURSO,DATOS!$D1927,nESPEC,DATOS!$E1927,nASIG,DATOS!$I1927,nEVAL,"OR")=0))</f>
      </c>
      <c r="I1927">
        <f>IF(DATOS!$I1927="","",IFERROR(VLOOKUP(DATOS!$I1927,CONFIG_ASIGNATURAS!$B$2:$J$91,9,FALSE()),""))</f>
      </c>
    </row>
    <row r="1928">
      <c r="F1928">
        <f>IF(DATOS!$A1928="","",DATOS!$A1928&amp;"|"&amp;DATOS!$D1928&amp;"|"&amp;DATOS!$E1928&amp;"|"&amp;DATOS!$I1928)</f>
      </c>
      <c r="G1928">
        <f>IF(DATOS!$A1928="",0,IF(CONFIG_METADATA!$B$4&lt;&gt;"OR+EX",--(DATOS!$G1928=CONFIG_METADATA!$B$4),IF(DATOS!$G1928="EX",1,IF(DATOS!$G1928="OR",--(COUNTIFS(nNIA,DATOS!$A1928,nCURSO,DATOS!$D1928,nESPEC,DATOS!$E1928,nASIG,DATOS!$I1928,nEVAL,"EX")=0),0))))</f>
      </c>
      <c r="H1928">
        <f>IF(DATOS!$G1928&lt;&gt;"EX",0,--(COUNTIFS(nNIA,DATOS!$A1928,nCURSO,DATOS!$D1928,nESPEC,DATOS!$E1928,nASIG,DATOS!$I1928,nEVAL,"OR")=0))</f>
      </c>
      <c r="I1928">
        <f>IF(DATOS!$I1928="","",IFERROR(VLOOKUP(DATOS!$I1928,CONFIG_ASIGNATURAS!$B$2:$J$91,9,FALSE()),""))</f>
      </c>
    </row>
    <row r="1929">
      <c r="F1929">
        <f>IF(DATOS!$A1929="","",DATOS!$A1929&amp;"|"&amp;DATOS!$D1929&amp;"|"&amp;DATOS!$E1929&amp;"|"&amp;DATOS!$I1929)</f>
      </c>
      <c r="G1929">
        <f>IF(DATOS!$A1929="",0,IF(CONFIG_METADATA!$B$4&lt;&gt;"OR+EX",--(DATOS!$G1929=CONFIG_METADATA!$B$4),IF(DATOS!$G1929="EX",1,IF(DATOS!$G1929="OR",--(COUNTIFS(nNIA,DATOS!$A1929,nCURSO,DATOS!$D1929,nESPEC,DATOS!$E1929,nASIG,DATOS!$I1929,nEVAL,"EX")=0),0))))</f>
      </c>
      <c r="H1929">
        <f>IF(DATOS!$G1929&lt;&gt;"EX",0,--(COUNTIFS(nNIA,DATOS!$A1929,nCURSO,DATOS!$D1929,nESPEC,DATOS!$E1929,nASIG,DATOS!$I1929,nEVAL,"OR")=0))</f>
      </c>
      <c r="I1929">
        <f>IF(DATOS!$I1929="","",IFERROR(VLOOKUP(DATOS!$I1929,CONFIG_ASIGNATURAS!$B$2:$J$91,9,FALSE()),""))</f>
      </c>
    </row>
    <row r="1930">
      <c r="F1930">
        <f>IF(DATOS!$A1930="","",DATOS!$A1930&amp;"|"&amp;DATOS!$D1930&amp;"|"&amp;DATOS!$E1930&amp;"|"&amp;DATOS!$I1930)</f>
      </c>
      <c r="G1930">
        <f>IF(DATOS!$A1930="",0,IF(CONFIG_METADATA!$B$4&lt;&gt;"OR+EX",--(DATOS!$G1930=CONFIG_METADATA!$B$4),IF(DATOS!$G1930="EX",1,IF(DATOS!$G1930="OR",--(COUNTIFS(nNIA,DATOS!$A1930,nCURSO,DATOS!$D1930,nESPEC,DATOS!$E1930,nASIG,DATOS!$I1930,nEVAL,"EX")=0),0))))</f>
      </c>
      <c r="H1930">
        <f>IF(DATOS!$G1930&lt;&gt;"EX",0,--(COUNTIFS(nNIA,DATOS!$A1930,nCURSO,DATOS!$D1930,nESPEC,DATOS!$E1930,nASIG,DATOS!$I1930,nEVAL,"OR")=0))</f>
      </c>
      <c r="I1930">
        <f>IF(DATOS!$I1930="","",IFERROR(VLOOKUP(DATOS!$I1930,CONFIG_ASIGNATURAS!$B$2:$J$91,9,FALSE()),""))</f>
      </c>
    </row>
    <row r="1931">
      <c r="F1931">
        <f>IF(DATOS!$A1931="","",DATOS!$A1931&amp;"|"&amp;DATOS!$D1931&amp;"|"&amp;DATOS!$E1931&amp;"|"&amp;DATOS!$I1931)</f>
      </c>
      <c r="G1931">
        <f>IF(DATOS!$A1931="",0,IF(CONFIG_METADATA!$B$4&lt;&gt;"OR+EX",--(DATOS!$G1931=CONFIG_METADATA!$B$4),IF(DATOS!$G1931="EX",1,IF(DATOS!$G1931="OR",--(COUNTIFS(nNIA,DATOS!$A1931,nCURSO,DATOS!$D1931,nESPEC,DATOS!$E1931,nASIG,DATOS!$I1931,nEVAL,"EX")=0),0))))</f>
      </c>
      <c r="H1931">
        <f>IF(DATOS!$G1931&lt;&gt;"EX",0,--(COUNTIFS(nNIA,DATOS!$A1931,nCURSO,DATOS!$D1931,nESPEC,DATOS!$E1931,nASIG,DATOS!$I1931,nEVAL,"OR")=0))</f>
      </c>
      <c r="I1931">
        <f>IF(DATOS!$I1931="","",IFERROR(VLOOKUP(DATOS!$I1931,CONFIG_ASIGNATURAS!$B$2:$J$91,9,FALSE()),""))</f>
      </c>
    </row>
    <row r="1932">
      <c r="F1932">
        <f>IF(DATOS!$A1932="","",DATOS!$A1932&amp;"|"&amp;DATOS!$D1932&amp;"|"&amp;DATOS!$E1932&amp;"|"&amp;DATOS!$I1932)</f>
      </c>
      <c r="G1932">
        <f>IF(DATOS!$A1932="",0,IF(CONFIG_METADATA!$B$4&lt;&gt;"OR+EX",--(DATOS!$G1932=CONFIG_METADATA!$B$4),IF(DATOS!$G1932="EX",1,IF(DATOS!$G1932="OR",--(COUNTIFS(nNIA,DATOS!$A1932,nCURSO,DATOS!$D1932,nESPEC,DATOS!$E1932,nASIG,DATOS!$I1932,nEVAL,"EX")=0),0))))</f>
      </c>
      <c r="H1932">
        <f>IF(DATOS!$G1932&lt;&gt;"EX",0,--(COUNTIFS(nNIA,DATOS!$A1932,nCURSO,DATOS!$D1932,nESPEC,DATOS!$E1932,nASIG,DATOS!$I1932,nEVAL,"OR")=0))</f>
      </c>
      <c r="I1932">
        <f>IF(DATOS!$I1932="","",IFERROR(VLOOKUP(DATOS!$I1932,CONFIG_ASIGNATURAS!$B$2:$J$91,9,FALSE()),""))</f>
      </c>
    </row>
    <row r="1933">
      <c r="F1933">
        <f>IF(DATOS!$A1933="","",DATOS!$A1933&amp;"|"&amp;DATOS!$D1933&amp;"|"&amp;DATOS!$E1933&amp;"|"&amp;DATOS!$I1933)</f>
      </c>
      <c r="G1933">
        <f>IF(DATOS!$A1933="",0,IF(CONFIG_METADATA!$B$4&lt;&gt;"OR+EX",--(DATOS!$G1933=CONFIG_METADATA!$B$4),IF(DATOS!$G1933="EX",1,IF(DATOS!$G1933="OR",--(COUNTIFS(nNIA,DATOS!$A1933,nCURSO,DATOS!$D1933,nESPEC,DATOS!$E1933,nASIG,DATOS!$I1933,nEVAL,"EX")=0),0))))</f>
      </c>
      <c r="H1933">
        <f>IF(DATOS!$G1933&lt;&gt;"EX",0,--(COUNTIFS(nNIA,DATOS!$A1933,nCURSO,DATOS!$D1933,nESPEC,DATOS!$E1933,nASIG,DATOS!$I1933,nEVAL,"OR")=0))</f>
      </c>
      <c r="I1933">
        <f>IF(DATOS!$I1933="","",IFERROR(VLOOKUP(DATOS!$I1933,CONFIG_ASIGNATURAS!$B$2:$J$91,9,FALSE()),""))</f>
      </c>
    </row>
    <row r="1934">
      <c r="F1934">
        <f>IF(DATOS!$A1934="","",DATOS!$A1934&amp;"|"&amp;DATOS!$D1934&amp;"|"&amp;DATOS!$E1934&amp;"|"&amp;DATOS!$I1934)</f>
      </c>
      <c r="G1934">
        <f>IF(DATOS!$A1934="",0,IF(CONFIG_METADATA!$B$4&lt;&gt;"OR+EX",--(DATOS!$G1934=CONFIG_METADATA!$B$4),IF(DATOS!$G1934="EX",1,IF(DATOS!$G1934="OR",--(COUNTIFS(nNIA,DATOS!$A1934,nCURSO,DATOS!$D1934,nESPEC,DATOS!$E1934,nASIG,DATOS!$I1934,nEVAL,"EX")=0),0))))</f>
      </c>
      <c r="H1934">
        <f>IF(DATOS!$G1934&lt;&gt;"EX",0,--(COUNTIFS(nNIA,DATOS!$A1934,nCURSO,DATOS!$D1934,nESPEC,DATOS!$E1934,nASIG,DATOS!$I1934,nEVAL,"OR")=0))</f>
      </c>
      <c r="I1934">
        <f>IF(DATOS!$I1934="","",IFERROR(VLOOKUP(DATOS!$I1934,CONFIG_ASIGNATURAS!$B$2:$J$91,9,FALSE()),""))</f>
      </c>
    </row>
    <row r="1935">
      <c r="F1935">
        <f>IF(DATOS!$A1935="","",DATOS!$A1935&amp;"|"&amp;DATOS!$D1935&amp;"|"&amp;DATOS!$E1935&amp;"|"&amp;DATOS!$I1935)</f>
      </c>
      <c r="G1935">
        <f>IF(DATOS!$A1935="",0,IF(CONFIG_METADATA!$B$4&lt;&gt;"OR+EX",--(DATOS!$G1935=CONFIG_METADATA!$B$4),IF(DATOS!$G1935="EX",1,IF(DATOS!$G1935="OR",--(COUNTIFS(nNIA,DATOS!$A1935,nCURSO,DATOS!$D1935,nESPEC,DATOS!$E1935,nASIG,DATOS!$I1935,nEVAL,"EX")=0),0))))</f>
      </c>
      <c r="H1935">
        <f>IF(DATOS!$G1935&lt;&gt;"EX",0,--(COUNTIFS(nNIA,DATOS!$A1935,nCURSO,DATOS!$D1935,nESPEC,DATOS!$E1935,nASIG,DATOS!$I1935,nEVAL,"OR")=0))</f>
      </c>
      <c r="I1935">
        <f>IF(DATOS!$I1935="","",IFERROR(VLOOKUP(DATOS!$I1935,CONFIG_ASIGNATURAS!$B$2:$J$91,9,FALSE()),""))</f>
      </c>
    </row>
    <row r="1936">
      <c r="F1936">
        <f>IF(DATOS!$A1936="","",DATOS!$A1936&amp;"|"&amp;DATOS!$D1936&amp;"|"&amp;DATOS!$E1936&amp;"|"&amp;DATOS!$I1936)</f>
      </c>
      <c r="G1936">
        <f>IF(DATOS!$A1936="",0,IF(CONFIG_METADATA!$B$4&lt;&gt;"OR+EX",--(DATOS!$G1936=CONFIG_METADATA!$B$4),IF(DATOS!$G1936="EX",1,IF(DATOS!$G1936="OR",--(COUNTIFS(nNIA,DATOS!$A1936,nCURSO,DATOS!$D1936,nESPEC,DATOS!$E1936,nASIG,DATOS!$I1936,nEVAL,"EX")=0),0))))</f>
      </c>
      <c r="H1936">
        <f>IF(DATOS!$G1936&lt;&gt;"EX",0,--(COUNTIFS(nNIA,DATOS!$A1936,nCURSO,DATOS!$D1936,nESPEC,DATOS!$E1936,nASIG,DATOS!$I1936,nEVAL,"OR")=0))</f>
      </c>
      <c r="I1936">
        <f>IF(DATOS!$I1936="","",IFERROR(VLOOKUP(DATOS!$I1936,CONFIG_ASIGNATURAS!$B$2:$J$91,9,FALSE()),""))</f>
      </c>
    </row>
    <row r="1937">
      <c r="F1937">
        <f>IF(DATOS!$A1937="","",DATOS!$A1937&amp;"|"&amp;DATOS!$D1937&amp;"|"&amp;DATOS!$E1937&amp;"|"&amp;DATOS!$I1937)</f>
      </c>
      <c r="G1937">
        <f>IF(DATOS!$A1937="",0,IF(CONFIG_METADATA!$B$4&lt;&gt;"OR+EX",--(DATOS!$G1937=CONFIG_METADATA!$B$4),IF(DATOS!$G1937="EX",1,IF(DATOS!$G1937="OR",--(COUNTIFS(nNIA,DATOS!$A1937,nCURSO,DATOS!$D1937,nESPEC,DATOS!$E1937,nASIG,DATOS!$I1937,nEVAL,"EX")=0),0))))</f>
      </c>
      <c r="H1937">
        <f>IF(DATOS!$G1937&lt;&gt;"EX",0,--(COUNTIFS(nNIA,DATOS!$A1937,nCURSO,DATOS!$D1937,nESPEC,DATOS!$E1937,nASIG,DATOS!$I1937,nEVAL,"OR")=0))</f>
      </c>
      <c r="I1937">
        <f>IF(DATOS!$I1937="","",IFERROR(VLOOKUP(DATOS!$I1937,CONFIG_ASIGNATURAS!$B$2:$J$91,9,FALSE()),""))</f>
      </c>
    </row>
    <row r="1938">
      <c r="F1938">
        <f>IF(DATOS!$A1938="","",DATOS!$A1938&amp;"|"&amp;DATOS!$D1938&amp;"|"&amp;DATOS!$E1938&amp;"|"&amp;DATOS!$I1938)</f>
      </c>
      <c r="G1938">
        <f>IF(DATOS!$A1938="",0,IF(CONFIG_METADATA!$B$4&lt;&gt;"OR+EX",--(DATOS!$G1938=CONFIG_METADATA!$B$4),IF(DATOS!$G1938="EX",1,IF(DATOS!$G1938="OR",--(COUNTIFS(nNIA,DATOS!$A1938,nCURSO,DATOS!$D1938,nESPEC,DATOS!$E1938,nASIG,DATOS!$I1938,nEVAL,"EX")=0),0))))</f>
      </c>
      <c r="H1938">
        <f>IF(DATOS!$G1938&lt;&gt;"EX",0,--(COUNTIFS(nNIA,DATOS!$A1938,nCURSO,DATOS!$D1938,nESPEC,DATOS!$E1938,nASIG,DATOS!$I1938,nEVAL,"OR")=0))</f>
      </c>
      <c r="I1938">
        <f>IF(DATOS!$I1938="","",IFERROR(VLOOKUP(DATOS!$I1938,CONFIG_ASIGNATURAS!$B$2:$J$91,9,FALSE()),""))</f>
      </c>
    </row>
    <row r="1939">
      <c r="F1939">
        <f>IF(DATOS!$A1939="","",DATOS!$A1939&amp;"|"&amp;DATOS!$D1939&amp;"|"&amp;DATOS!$E1939&amp;"|"&amp;DATOS!$I1939)</f>
      </c>
      <c r="G1939">
        <f>IF(DATOS!$A1939="",0,IF(CONFIG_METADATA!$B$4&lt;&gt;"OR+EX",--(DATOS!$G1939=CONFIG_METADATA!$B$4),IF(DATOS!$G1939="EX",1,IF(DATOS!$G1939="OR",--(COUNTIFS(nNIA,DATOS!$A1939,nCURSO,DATOS!$D1939,nESPEC,DATOS!$E1939,nASIG,DATOS!$I1939,nEVAL,"EX")=0),0))))</f>
      </c>
      <c r="H1939">
        <f>IF(DATOS!$G1939&lt;&gt;"EX",0,--(COUNTIFS(nNIA,DATOS!$A1939,nCURSO,DATOS!$D1939,nESPEC,DATOS!$E1939,nASIG,DATOS!$I1939,nEVAL,"OR")=0))</f>
      </c>
      <c r="I1939">
        <f>IF(DATOS!$I1939="","",IFERROR(VLOOKUP(DATOS!$I1939,CONFIG_ASIGNATURAS!$B$2:$J$91,9,FALSE()),""))</f>
      </c>
    </row>
    <row r="1940">
      <c r="F1940">
        <f>IF(DATOS!$A1940="","",DATOS!$A1940&amp;"|"&amp;DATOS!$D1940&amp;"|"&amp;DATOS!$E1940&amp;"|"&amp;DATOS!$I1940)</f>
      </c>
      <c r="G1940">
        <f>IF(DATOS!$A1940="",0,IF(CONFIG_METADATA!$B$4&lt;&gt;"OR+EX",--(DATOS!$G1940=CONFIG_METADATA!$B$4),IF(DATOS!$G1940="EX",1,IF(DATOS!$G1940="OR",--(COUNTIFS(nNIA,DATOS!$A1940,nCURSO,DATOS!$D1940,nESPEC,DATOS!$E1940,nASIG,DATOS!$I1940,nEVAL,"EX")=0),0))))</f>
      </c>
      <c r="H1940">
        <f>IF(DATOS!$G1940&lt;&gt;"EX",0,--(COUNTIFS(nNIA,DATOS!$A1940,nCURSO,DATOS!$D1940,nESPEC,DATOS!$E1940,nASIG,DATOS!$I1940,nEVAL,"OR")=0))</f>
      </c>
      <c r="I1940">
        <f>IF(DATOS!$I1940="","",IFERROR(VLOOKUP(DATOS!$I1940,CONFIG_ASIGNATURAS!$B$2:$J$91,9,FALSE()),""))</f>
      </c>
    </row>
    <row r="1941">
      <c r="F1941">
        <f>IF(DATOS!$A1941="","",DATOS!$A1941&amp;"|"&amp;DATOS!$D1941&amp;"|"&amp;DATOS!$E1941&amp;"|"&amp;DATOS!$I1941)</f>
      </c>
      <c r="G1941">
        <f>IF(DATOS!$A1941="",0,IF(CONFIG_METADATA!$B$4&lt;&gt;"OR+EX",--(DATOS!$G1941=CONFIG_METADATA!$B$4),IF(DATOS!$G1941="EX",1,IF(DATOS!$G1941="OR",--(COUNTIFS(nNIA,DATOS!$A1941,nCURSO,DATOS!$D1941,nESPEC,DATOS!$E1941,nASIG,DATOS!$I1941,nEVAL,"EX")=0),0))))</f>
      </c>
      <c r="H1941">
        <f>IF(DATOS!$G1941&lt;&gt;"EX",0,--(COUNTIFS(nNIA,DATOS!$A1941,nCURSO,DATOS!$D1941,nESPEC,DATOS!$E1941,nASIG,DATOS!$I1941,nEVAL,"OR")=0))</f>
      </c>
      <c r="I1941">
        <f>IF(DATOS!$I1941="","",IFERROR(VLOOKUP(DATOS!$I1941,CONFIG_ASIGNATURAS!$B$2:$J$91,9,FALSE()),""))</f>
      </c>
    </row>
    <row r="1942">
      <c r="F1942">
        <f>IF(DATOS!$A1942="","",DATOS!$A1942&amp;"|"&amp;DATOS!$D1942&amp;"|"&amp;DATOS!$E1942&amp;"|"&amp;DATOS!$I1942)</f>
      </c>
      <c r="G1942">
        <f>IF(DATOS!$A1942="",0,IF(CONFIG_METADATA!$B$4&lt;&gt;"OR+EX",--(DATOS!$G1942=CONFIG_METADATA!$B$4),IF(DATOS!$G1942="EX",1,IF(DATOS!$G1942="OR",--(COUNTIFS(nNIA,DATOS!$A1942,nCURSO,DATOS!$D1942,nESPEC,DATOS!$E1942,nASIG,DATOS!$I1942,nEVAL,"EX")=0),0))))</f>
      </c>
      <c r="H1942">
        <f>IF(DATOS!$G1942&lt;&gt;"EX",0,--(COUNTIFS(nNIA,DATOS!$A1942,nCURSO,DATOS!$D1942,nESPEC,DATOS!$E1942,nASIG,DATOS!$I1942,nEVAL,"OR")=0))</f>
      </c>
      <c r="I1942">
        <f>IF(DATOS!$I1942="","",IFERROR(VLOOKUP(DATOS!$I1942,CONFIG_ASIGNATURAS!$B$2:$J$91,9,FALSE()),""))</f>
      </c>
    </row>
    <row r="1943">
      <c r="F1943">
        <f>IF(DATOS!$A1943="","",DATOS!$A1943&amp;"|"&amp;DATOS!$D1943&amp;"|"&amp;DATOS!$E1943&amp;"|"&amp;DATOS!$I1943)</f>
      </c>
      <c r="G1943">
        <f>IF(DATOS!$A1943="",0,IF(CONFIG_METADATA!$B$4&lt;&gt;"OR+EX",--(DATOS!$G1943=CONFIG_METADATA!$B$4),IF(DATOS!$G1943="EX",1,IF(DATOS!$G1943="OR",--(COUNTIFS(nNIA,DATOS!$A1943,nCURSO,DATOS!$D1943,nESPEC,DATOS!$E1943,nASIG,DATOS!$I1943,nEVAL,"EX")=0),0))))</f>
      </c>
      <c r="H1943">
        <f>IF(DATOS!$G1943&lt;&gt;"EX",0,--(COUNTIFS(nNIA,DATOS!$A1943,nCURSO,DATOS!$D1943,nESPEC,DATOS!$E1943,nASIG,DATOS!$I1943,nEVAL,"OR")=0))</f>
      </c>
      <c r="I1943">
        <f>IF(DATOS!$I1943="","",IFERROR(VLOOKUP(DATOS!$I1943,CONFIG_ASIGNATURAS!$B$2:$J$91,9,FALSE()),""))</f>
      </c>
    </row>
    <row r="1944">
      <c r="F1944">
        <f>IF(DATOS!$A1944="","",DATOS!$A1944&amp;"|"&amp;DATOS!$D1944&amp;"|"&amp;DATOS!$E1944&amp;"|"&amp;DATOS!$I1944)</f>
      </c>
      <c r="G1944">
        <f>IF(DATOS!$A1944="",0,IF(CONFIG_METADATA!$B$4&lt;&gt;"OR+EX",--(DATOS!$G1944=CONFIG_METADATA!$B$4),IF(DATOS!$G1944="EX",1,IF(DATOS!$G1944="OR",--(COUNTIFS(nNIA,DATOS!$A1944,nCURSO,DATOS!$D1944,nESPEC,DATOS!$E1944,nASIG,DATOS!$I1944,nEVAL,"EX")=0),0))))</f>
      </c>
      <c r="H1944">
        <f>IF(DATOS!$G1944&lt;&gt;"EX",0,--(COUNTIFS(nNIA,DATOS!$A1944,nCURSO,DATOS!$D1944,nESPEC,DATOS!$E1944,nASIG,DATOS!$I1944,nEVAL,"OR")=0))</f>
      </c>
      <c r="I1944">
        <f>IF(DATOS!$I1944="","",IFERROR(VLOOKUP(DATOS!$I1944,CONFIG_ASIGNATURAS!$B$2:$J$91,9,FALSE()),""))</f>
      </c>
    </row>
    <row r="1945">
      <c r="F1945">
        <f>IF(DATOS!$A1945="","",DATOS!$A1945&amp;"|"&amp;DATOS!$D1945&amp;"|"&amp;DATOS!$E1945&amp;"|"&amp;DATOS!$I1945)</f>
      </c>
      <c r="G1945">
        <f>IF(DATOS!$A1945="",0,IF(CONFIG_METADATA!$B$4&lt;&gt;"OR+EX",--(DATOS!$G1945=CONFIG_METADATA!$B$4),IF(DATOS!$G1945="EX",1,IF(DATOS!$G1945="OR",--(COUNTIFS(nNIA,DATOS!$A1945,nCURSO,DATOS!$D1945,nESPEC,DATOS!$E1945,nASIG,DATOS!$I1945,nEVAL,"EX")=0),0))))</f>
      </c>
      <c r="H1945">
        <f>IF(DATOS!$G1945&lt;&gt;"EX",0,--(COUNTIFS(nNIA,DATOS!$A1945,nCURSO,DATOS!$D1945,nESPEC,DATOS!$E1945,nASIG,DATOS!$I1945,nEVAL,"OR")=0))</f>
      </c>
      <c r="I1945">
        <f>IF(DATOS!$I1945="","",IFERROR(VLOOKUP(DATOS!$I1945,CONFIG_ASIGNATURAS!$B$2:$J$91,9,FALSE()),""))</f>
      </c>
    </row>
    <row r="1946">
      <c r="F1946">
        <f>IF(DATOS!$A1946="","",DATOS!$A1946&amp;"|"&amp;DATOS!$D1946&amp;"|"&amp;DATOS!$E1946&amp;"|"&amp;DATOS!$I1946)</f>
      </c>
      <c r="G1946">
        <f>IF(DATOS!$A1946="",0,IF(CONFIG_METADATA!$B$4&lt;&gt;"OR+EX",--(DATOS!$G1946=CONFIG_METADATA!$B$4),IF(DATOS!$G1946="EX",1,IF(DATOS!$G1946="OR",--(COUNTIFS(nNIA,DATOS!$A1946,nCURSO,DATOS!$D1946,nESPEC,DATOS!$E1946,nASIG,DATOS!$I1946,nEVAL,"EX")=0),0))))</f>
      </c>
      <c r="H1946">
        <f>IF(DATOS!$G1946&lt;&gt;"EX",0,--(COUNTIFS(nNIA,DATOS!$A1946,nCURSO,DATOS!$D1946,nESPEC,DATOS!$E1946,nASIG,DATOS!$I1946,nEVAL,"OR")=0))</f>
      </c>
      <c r="I1946">
        <f>IF(DATOS!$I1946="","",IFERROR(VLOOKUP(DATOS!$I1946,CONFIG_ASIGNATURAS!$B$2:$J$91,9,FALSE()),""))</f>
      </c>
    </row>
    <row r="1947">
      <c r="F1947">
        <f>IF(DATOS!$A1947="","",DATOS!$A1947&amp;"|"&amp;DATOS!$D1947&amp;"|"&amp;DATOS!$E1947&amp;"|"&amp;DATOS!$I1947)</f>
      </c>
      <c r="G1947">
        <f>IF(DATOS!$A1947="",0,IF(CONFIG_METADATA!$B$4&lt;&gt;"OR+EX",--(DATOS!$G1947=CONFIG_METADATA!$B$4),IF(DATOS!$G1947="EX",1,IF(DATOS!$G1947="OR",--(COUNTIFS(nNIA,DATOS!$A1947,nCURSO,DATOS!$D1947,nESPEC,DATOS!$E1947,nASIG,DATOS!$I1947,nEVAL,"EX")=0),0))))</f>
      </c>
      <c r="H1947">
        <f>IF(DATOS!$G1947&lt;&gt;"EX",0,--(COUNTIFS(nNIA,DATOS!$A1947,nCURSO,DATOS!$D1947,nESPEC,DATOS!$E1947,nASIG,DATOS!$I1947,nEVAL,"OR")=0))</f>
      </c>
      <c r="I1947">
        <f>IF(DATOS!$I1947="","",IFERROR(VLOOKUP(DATOS!$I1947,CONFIG_ASIGNATURAS!$B$2:$J$91,9,FALSE()),""))</f>
      </c>
    </row>
    <row r="1948">
      <c r="F1948">
        <f>IF(DATOS!$A1948="","",DATOS!$A1948&amp;"|"&amp;DATOS!$D1948&amp;"|"&amp;DATOS!$E1948&amp;"|"&amp;DATOS!$I1948)</f>
      </c>
      <c r="G1948">
        <f>IF(DATOS!$A1948="",0,IF(CONFIG_METADATA!$B$4&lt;&gt;"OR+EX",--(DATOS!$G1948=CONFIG_METADATA!$B$4),IF(DATOS!$G1948="EX",1,IF(DATOS!$G1948="OR",--(COUNTIFS(nNIA,DATOS!$A1948,nCURSO,DATOS!$D1948,nESPEC,DATOS!$E1948,nASIG,DATOS!$I1948,nEVAL,"EX")=0),0))))</f>
      </c>
      <c r="H1948">
        <f>IF(DATOS!$G1948&lt;&gt;"EX",0,--(COUNTIFS(nNIA,DATOS!$A1948,nCURSO,DATOS!$D1948,nESPEC,DATOS!$E1948,nASIG,DATOS!$I1948,nEVAL,"OR")=0))</f>
      </c>
      <c r="I1948">
        <f>IF(DATOS!$I1948="","",IFERROR(VLOOKUP(DATOS!$I1948,CONFIG_ASIGNATURAS!$B$2:$J$91,9,FALSE()),""))</f>
      </c>
    </row>
    <row r="1949">
      <c r="F1949">
        <f>IF(DATOS!$A1949="","",DATOS!$A1949&amp;"|"&amp;DATOS!$D1949&amp;"|"&amp;DATOS!$E1949&amp;"|"&amp;DATOS!$I1949)</f>
      </c>
      <c r="G1949">
        <f>IF(DATOS!$A1949="",0,IF(CONFIG_METADATA!$B$4&lt;&gt;"OR+EX",--(DATOS!$G1949=CONFIG_METADATA!$B$4),IF(DATOS!$G1949="EX",1,IF(DATOS!$G1949="OR",--(COUNTIFS(nNIA,DATOS!$A1949,nCURSO,DATOS!$D1949,nESPEC,DATOS!$E1949,nASIG,DATOS!$I1949,nEVAL,"EX")=0),0))))</f>
      </c>
      <c r="H1949">
        <f>IF(DATOS!$G1949&lt;&gt;"EX",0,--(COUNTIFS(nNIA,DATOS!$A1949,nCURSO,DATOS!$D1949,nESPEC,DATOS!$E1949,nASIG,DATOS!$I1949,nEVAL,"OR")=0))</f>
      </c>
      <c r="I1949">
        <f>IF(DATOS!$I1949="","",IFERROR(VLOOKUP(DATOS!$I1949,CONFIG_ASIGNATURAS!$B$2:$J$91,9,FALSE()),""))</f>
      </c>
    </row>
    <row r="1950">
      <c r="F1950">
        <f>IF(DATOS!$A1950="","",DATOS!$A1950&amp;"|"&amp;DATOS!$D1950&amp;"|"&amp;DATOS!$E1950&amp;"|"&amp;DATOS!$I1950)</f>
      </c>
      <c r="G1950">
        <f>IF(DATOS!$A1950="",0,IF(CONFIG_METADATA!$B$4&lt;&gt;"OR+EX",--(DATOS!$G1950=CONFIG_METADATA!$B$4),IF(DATOS!$G1950="EX",1,IF(DATOS!$G1950="OR",--(COUNTIFS(nNIA,DATOS!$A1950,nCURSO,DATOS!$D1950,nESPEC,DATOS!$E1950,nASIG,DATOS!$I1950,nEVAL,"EX")=0),0))))</f>
      </c>
      <c r="H1950">
        <f>IF(DATOS!$G1950&lt;&gt;"EX",0,--(COUNTIFS(nNIA,DATOS!$A1950,nCURSO,DATOS!$D1950,nESPEC,DATOS!$E1950,nASIG,DATOS!$I1950,nEVAL,"OR")=0))</f>
      </c>
      <c r="I1950">
        <f>IF(DATOS!$I1950="","",IFERROR(VLOOKUP(DATOS!$I1950,CONFIG_ASIGNATURAS!$B$2:$J$91,9,FALSE()),""))</f>
      </c>
    </row>
    <row r="1951">
      <c r="F1951">
        <f>IF(DATOS!$A1951="","",DATOS!$A1951&amp;"|"&amp;DATOS!$D1951&amp;"|"&amp;DATOS!$E1951&amp;"|"&amp;DATOS!$I1951)</f>
      </c>
      <c r="G1951">
        <f>IF(DATOS!$A1951="",0,IF(CONFIG_METADATA!$B$4&lt;&gt;"OR+EX",--(DATOS!$G1951=CONFIG_METADATA!$B$4),IF(DATOS!$G1951="EX",1,IF(DATOS!$G1951="OR",--(COUNTIFS(nNIA,DATOS!$A1951,nCURSO,DATOS!$D1951,nESPEC,DATOS!$E1951,nASIG,DATOS!$I1951,nEVAL,"EX")=0),0))))</f>
      </c>
      <c r="H1951">
        <f>IF(DATOS!$G1951&lt;&gt;"EX",0,--(COUNTIFS(nNIA,DATOS!$A1951,nCURSO,DATOS!$D1951,nESPEC,DATOS!$E1951,nASIG,DATOS!$I1951,nEVAL,"OR")=0))</f>
      </c>
      <c r="I1951">
        <f>IF(DATOS!$I1951="","",IFERROR(VLOOKUP(DATOS!$I1951,CONFIG_ASIGNATURAS!$B$2:$J$91,9,FALSE()),""))</f>
      </c>
    </row>
    <row r="1952">
      <c r="F1952">
        <f>IF(DATOS!$A1952="","",DATOS!$A1952&amp;"|"&amp;DATOS!$D1952&amp;"|"&amp;DATOS!$E1952&amp;"|"&amp;DATOS!$I1952)</f>
      </c>
      <c r="G1952">
        <f>IF(DATOS!$A1952="",0,IF(CONFIG_METADATA!$B$4&lt;&gt;"OR+EX",--(DATOS!$G1952=CONFIG_METADATA!$B$4),IF(DATOS!$G1952="EX",1,IF(DATOS!$G1952="OR",--(COUNTIFS(nNIA,DATOS!$A1952,nCURSO,DATOS!$D1952,nESPEC,DATOS!$E1952,nASIG,DATOS!$I1952,nEVAL,"EX")=0),0))))</f>
      </c>
      <c r="H1952">
        <f>IF(DATOS!$G1952&lt;&gt;"EX",0,--(COUNTIFS(nNIA,DATOS!$A1952,nCURSO,DATOS!$D1952,nESPEC,DATOS!$E1952,nASIG,DATOS!$I1952,nEVAL,"OR")=0))</f>
      </c>
      <c r="I1952">
        <f>IF(DATOS!$I1952="","",IFERROR(VLOOKUP(DATOS!$I1952,CONFIG_ASIGNATURAS!$B$2:$J$91,9,FALSE()),""))</f>
      </c>
    </row>
    <row r="1953">
      <c r="F1953">
        <f>IF(DATOS!$A1953="","",DATOS!$A1953&amp;"|"&amp;DATOS!$D1953&amp;"|"&amp;DATOS!$E1953&amp;"|"&amp;DATOS!$I1953)</f>
      </c>
      <c r="G1953">
        <f>IF(DATOS!$A1953="",0,IF(CONFIG_METADATA!$B$4&lt;&gt;"OR+EX",--(DATOS!$G1953=CONFIG_METADATA!$B$4),IF(DATOS!$G1953="EX",1,IF(DATOS!$G1953="OR",--(COUNTIFS(nNIA,DATOS!$A1953,nCURSO,DATOS!$D1953,nESPEC,DATOS!$E1953,nASIG,DATOS!$I1953,nEVAL,"EX")=0),0))))</f>
      </c>
      <c r="H1953">
        <f>IF(DATOS!$G1953&lt;&gt;"EX",0,--(COUNTIFS(nNIA,DATOS!$A1953,nCURSO,DATOS!$D1953,nESPEC,DATOS!$E1953,nASIG,DATOS!$I1953,nEVAL,"OR")=0))</f>
      </c>
      <c r="I1953">
        <f>IF(DATOS!$I1953="","",IFERROR(VLOOKUP(DATOS!$I1953,CONFIG_ASIGNATURAS!$B$2:$J$91,9,FALSE()),""))</f>
      </c>
    </row>
    <row r="1954">
      <c r="F1954">
        <f>IF(DATOS!$A1954="","",DATOS!$A1954&amp;"|"&amp;DATOS!$D1954&amp;"|"&amp;DATOS!$E1954&amp;"|"&amp;DATOS!$I1954)</f>
      </c>
      <c r="G1954">
        <f>IF(DATOS!$A1954="",0,IF(CONFIG_METADATA!$B$4&lt;&gt;"OR+EX",--(DATOS!$G1954=CONFIG_METADATA!$B$4),IF(DATOS!$G1954="EX",1,IF(DATOS!$G1954="OR",--(COUNTIFS(nNIA,DATOS!$A1954,nCURSO,DATOS!$D1954,nESPEC,DATOS!$E1954,nASIG,DATOS!$I1954,nEVAL,"EX")=0),0))))</f>
      </c>
      <c r="H1954">
        <f>IF(DATOS!$G1954&lt;&gt;"EX",0,--(COUNTIFS(nNIA,DATOS!$A1954,nCURSO,DATOS!$D1954,nESPEC,DATOS!$E1954,nASIG,DATOS!$I1954,nEVAL,"OR")=0))</f>
      </c>
      <c r="I1954">
        <f>IF(DATOS!$I1954="","",IFERROR(VLOOKUP(DATOS!$I1954,CONFIG_ASIGNATURAS!$B$2:$J$91,9,FALSE()),""))</f>
      </c>
    </row>
    <row r="1955">
      <c r="F1955">
        <f>IF(DATOS!$A1955="","",DATOS!$A1955&amp;"|"&amp;DATOS!$D1955&amp;"|"&amp;DATOS!$E1955&amp;"|"&amp;DATOS!$I1955)</f>
      </c>
      <c r="G1955">
        <f>IF(DATOS!$A1955="",0,IF(CONFIG_METADATA!$B$4&lt;&gt;"OR+EX",--(DATOS!$G1955=CONFIG_METADATA!$B$4),IF(DATOS!$G1955="EX",1,IF(DATOS!$G1955="OR",--(COUNTIFS(nNIA,DATOS!$A1955,nCURSO,DATOS!$D1955,nESPEC,DATOS!$E1955,nASIG,DATOS!$I1955,nEVAL,"EX")=0),0))))</f>
      </c>
      <c r="H1955">
        <f>IF(DATOS!$G1955&lt;&gt;"EX",0,--(COUNTIFS(nNIA,DATOS!$A1955,nCURSO,DATOS!$D1955,nESPEC,DATOS!$E1955,nASIG,DATOS!$I1955,nEVAL,"OR")=0))</f>
      </c>
      <c r="I1955">
        <f>IF(DATOS!$I1955="","",IFERROR(VLOOKUP(DATOS!$I1955,CONFIG_ASIGNATURAS!$B$2:$J$91,9,FALSE()),""))</f>
      </c>
    </row>
    <row r="1956">
      <c r="F1956">
        <f>IF(DATOS!$A1956="","",DATOS!$A1956&amp;"|"&amp;DATOS!$D1956&amp;"|"&amp;DATOS!$E1956&amp;"|"&amp;DATOS!$I1956)</f>
      </c>
      <c r="G1956">
        <f>IF(DATOS!$A1956="",0,IF(CONFIG_METADATA!$B$4&lt;&gt;"OR+EX",--(DATOS!$G1956=CONFIG_METADATA!$B$4),IF(DATOS!$G1956="EX",1,IF(DATOS!$G1956="OR",--(COUNTIFS(nNIA,DATOS!$A1956,nCURSO,DATOS!$D1956,nESPEC,DATOS!$E1956,nASIG,DATOS!$I1956,nEVAL,"EX")=0),0))))</f>
      </c>
      <c r="H1956">
        <f>IF(DATOS!$G1956&lt;&gt;"EX",0,--(COUNTIFS(nNIA,DATOS!$A1956,nCURSO,DATOS!$D1956,nESPEC,DATOS!$E1956,nASIG,DATOS!$I1956,nEVAL,"OR")=0))</f>
      </c>
      <c r="I1956">
        <f>IF(DATOS!$I1956="","",IFERROR(VLOOKUP(DATOS!$I1956,CONFIG_ASIGNATURAS!$B$2:$J$91,9,FALSE()),""))</f>
      </c>
    </row>
    <row r="1957">
      <c r="F1957">
        <f>IF(DATOS!$A1957="","",DATOS!$A1957&amp;"|"&amp;DATOS!$D1957&amp;"|"&amp;DATOS!$E1957&amp;"|"&amp;DATOS!$I1957)</f>
      </c>
      <c r="G1957">
        <f>IF(DATOS!$A1957="",0,IF(CONFIG_METADATA!$B$4&lt;&gt;"OR+EX",--(DATOS!$G1957=CONFIG_METADATA!$B$4),IF(DATOS!$G1957="EX",1,IF(DATOS!$G1957="OR",--(COUNTIFS(nNIA,DATOS!$A1957,nCURSO,DATOS!$D1957,nESPEC,DATOS!$E1957,nASIG,DATOS!$I1957,nEVAL,"EX")=0),0))))</f>
      </c>
      <c r="H1957">
        <f>IF(DATOS!$G1957&lt;&gt;"EX",0,--(COUNTIFS(nNIA,DATOS!$A1957,nCURSO,DATOS!$D1957,nESPEC,DATOS!$E1957,nASIG,DATOS!$I1957,nEVAL,"OR")=0))</f>
      </c>
      <c r="I1957">
        <f>IF(DATOS!$I1957="","",IFERROR(VLOOKUP(DATOS!$I1957,CONFIG_ASIGNATURAS!$B$2:$J$91,9,FALSE()),""))</f>
      </c>
    </row>
    <row r="1958">
      <c r="F1958">
        <f>IF(DATOS!$A1958="","",DATOS!$A1958&amp;"|"&amp;DATOS!$D1958&amp;"|"&amp;DATOS!$E1958&amp;"|"&amp;DATOS!$I1958)</f>
      </c>
      <c r="G1958">
        <f>IF(DATOS!$A1958="",0,IF(CONFIG_METADATA!$B$4&lt;&gt;"OR+EX",--(DATOS!$G1958=CONFIG_METADATA!$B$4),IF(DATOS!$G1958="EX",1,IF(DATOS!$G1958="OR",--(COUNTIFS(nNIA,DATOS!$A1958,nCURSO,DATOS!$D1958,nESPEC,DATOS!$E1958,nASIG,DATOS!$I1958,nEVAL,"EX")=0),0))))</f>
      </c>
      <c r="H1958">
        <f>IF(DATOS!$G1958&lt;&gt;"EX",0,--(COUNTIFS(nNIA,DATOS!$A1958,nCURSO,DATOS!$D1958,nESPEC,DATOS!$E1958,nASIG,DATOS!$I1958,nEVAL,"OR")=0))</f>
      </c>
      <c r="I1958">
        <f>IF(DATOS!$I1958="","",IFERROR(VLOOKUP(DATOS!$I1958,CONFIG_ASIGNATURAS!$B$2:$J$91,9,FALSE()),""))</f>
      </c>
    </row>
    <row r="1959">
      <c r="F1959">
        <f>IF(DATOS!$A1959="","",DATOS!$A1959&amp;"|"&amp;DATOS!$D1959&amp;"|"&amp;DATOS!$E1959&amp;"|"&amp;DATOS!$I1959)</f>
      </c>
      <c r="G1959">
        <f>IF(DATOS!$A1959="",0,IF(CONFIG_METADATA!$B$4&lt;&gt;"OR+EX",--(DATOS!$G1959=CONFIG_METADATA!$B$4),IF(DATOS!$G1959="EX",1,IF(DATOS!$G1959="OR",--(COUNTIFS(nNIA,DATOS!$A1959,nCURSO,DATOS!$D1959,nESPEC,DATOS!$E1959,nASIG,DATOS!$I1959,nEVAL,"EX")=0),0))))</f>
      </c>
      <c r="H1959">
        <f>IF(DATOS!$G1959&lt;&gt;"EX",0,--(COUNTIFS(nNIA,DATOS!$A1959,nCURSO,DATOS!$D1959,nESPEC,DATOS!$E1959,nASIG,DATOS!$I1959,nEVAL,"OR")=0))</f>
      </c>
      <c r="I1959">
        <f>IF(DATOS!$I1959="","",IFERROR(VLOOKUP(DATOS!$I1959,CONFIG_ASIGNATURAS!$B$2:$J$91,9,FALSE()),""))</f>
      </c>
    </row>
    <row r="1960">
      <c r="F1960">
        <f>IF(DATOS!$A1960="","",DATOS!$A1960&amp;"|"&amp;DATOS!$D1960&amp;"|"&amp;DATOS!$E1960&amp;"|"&amp;DATOS!$I1960)</f>
      </c>
      <c r="G1960">
        <f>IF(DATOS!$A1960="",0,IF(CONFIG_METADATA!$B$4&lt;&gt;"OR+EX",--(DATOS!$G1960=CONFIG_METADATA!$B$4),IF(DATOS!$G1960="EX",1,IF(DATOS!$G1960="OR",--(COUNTIFS(nNIA,DATOS!$A1960,nCURSO,DATOS!$D1960,nESPEC,DATOS!$E1960,nASIG,DATOS!$I1960,nEVAL,"EX")=0),0))))</f>
      </c>
      <c r="H1960">
        <f>IF(DATOS!$G1960&lt;&gt;"EX",0,--(COUNTIFS(nNIA,DATOS!$A1960,nCURSO,DATOS!$D1960,nESPEC,DATOS!$E1960,nASIG,DATOS!$I1960,nEVAL,"OR")=0))</f>
      </c>
      <c r="I1960">
        <f>IF(DATOS!$I1960="","",IFERROR(VLOOKUP(DATOS!$I1960,CONFIG_ASIGNATURAS!$B$2:$J$91,9,FALSE()),""))</f>
      </c>
    </row>
    <row r="1961">
      <c r="F1961">
        <f>IF(DATOS!$A1961="","",DATOS!$A1961&amp;"|"&amp;DATOS!$D1961&amp;"|"&amp;DATOS!$E1961&amp;"|"&amp;DATOS!$I1961)</f>
      </c>
      <c r="G1961">
        <f>IF(DATOS!$A1961="",0,IF(CONFIG_METADATA!$B$4&lt;&gt;"OR+EX",--(DATOS!$G1961=CONFIG_METADATA!$B$4),IF(DATOS!$G1961="EX",1,IF(DATOS!$G1961="OR",--(COUNTIFS(nNIA,DATOS!$A1961,nCURSO,DATOS!$D1961,nESPEC,DATOS!$E1961,nASIG,DATOS!$I1961,nEVAL,"EX")=0),0))))</f>
      </c>
      <c r="H1961">
        <f>IF(DATOS!$G1961&lt;&gt;"EX",0,--(COUNTIFS(nNIA,DATOS!$A1961,nCURSO,DATOS!$D1961,nESPEC,DATOS!$E1961,nASIG,DATOS!$I1961,nEVAL,"OR")=0))</f>
      </c>
      <c r="I1961">
        <f>IF(DATOS!$I1961="","",IFERROR(VLOOKUP(DATOS!$I1961,CONFIG_ASIGNATURAS!$B$2:$J$91,9,FALSE()),""))</f>
      </c>
    </row>
    <row r="1962">
      <c r="F1962">
        <f>IF(DATOS!$A1962="","",DATOS!$A1962&amp;"|"&amp;DATOS!$D1962&amp;"|"&amp;DATOS!$E1962&amp;"|"&amp;DATOS!$I1962)</f>
      </c>
      <c r="G1962">
        <f>IF(DATOS!$A1962="",0,IF(CONFIG_METADATA!$B$4&lt;&gt;"OR+EX",--(DATOS!$G1962=CONFIG_METADATA!$B$4),IF(DATOS!$G1962="EX",1,IF(DATOS!$G1962="OR",--(COUNTIFS(nNIA,DATOS!$A1962,nCURSO,DATOS!$D1962,nESPEC,DATOS!$E1962,nASIG,DATOS!$I1962,nEVAL,"EX")=0),0))))</f>
      </c>
      <c r="H1962">
        <f>IF(DATOS!$G1962&lt;&gt;"EX",0,--(COUNTIFS(nNIA,DATOS!$A1962,nCURSO,DATOS!$D1962,nESPEC,DATOS!$E1962,nASIG,DATOS!$I1962,nEVAL,"OR")=0))</f>
      </c>
      <c r="I1962">
        <f>IF(DATOS!$I1962="","",IFERROR(VLOOKUP(DATOS!$I1962,CONFIG_ASIGNATURAS!$B$2:$J$91,9,FALSE()),""))</f>
      </c>
    </row>
    <row r="1963">
      <c r="F1963">
        <f>IF(DATOS!$A1963="","",DATOS!$A1963&amp;"|"&amp;DATOS!$D1963&amp;"|"&amp;DATOS!$E1963&amp;"|"&amp;DATOS!$I1963)</f>
      </c>
      <c r="G1963">
        <f>IF(DATOS!$A1963="",0,IF(CONFIG_METADATA!$B$4&lt;&gt;"OR+EX",--(DATOS!$G1963=CONFIG_METADATA!$B$4),IF(DATOS!$G1963="EX",1,IF(DATOS!$G1963="OR",--(COUNTIFS(nNIA,DATOS!$A1963,nCURSO,DATOS!$D1963,nESPEC,DATOS!$E1963,nASIG,DATOS!$I1963,nEVAL,"EX")=0),0))))</f>
      </c>
      <c r="H1963">
        <f>IF(DATOS!$G1963&lt;&gt;"EX",0,--(COUNTIFS(nNIA,DATOS!$A1963,nCURSO,DATOS!$D1963,nESPEC,DATOS!$E1963,nASIG,DATOS!$I1963,nEVAL,"OR")=0))</f>
      </c>
      <c r="I1963">
        <f>IF(DATOS!$I1963="","",IFERROR(VLOOKUP(DATOS!$I1963,CONFIG_ASIGNATURAS!$B$2:$J$91,9,FALSE()),""))</f>
      </c>
    </row>
    <row r="1964">
      <c r="F1964">
        <f>IF(DATOS!$A1964="","",DATOS!$A1964&amp;"|"&amp;DATOS!$D1964&amp;"|"&amp;DATOS!$E1964&amp;"|"&amp;DATOS!$I1964)</f>
      </c>
      <c r="G1964">
        <f>IF(DATOS!$A1964="",0,IF(CONFIG_METADATA!$B$4&lt;&gt;"OR+EX",--(DATOS!$G1964=CONFIG_METADATA!$B$4),IF(DATOS!$G1964="EX",1,IF(DATOS!$G1964="OR",--(COUNTIFS(nNIA,DATOS!$A1964,nCURSO,DATOS!$D1964,nESPEC,DATOS!$E1964,nASIG,DATOS!$I1964,nEVAL,"EX")=0),0))))</f>
      </c>
      <c r="H1964">
        <f>IF(DATOS!$G1964&lt;&gt;"EX",0,--(COUNTIFS(nNIA,DATOS!$A1964,nCURSO,DATOS!$D1964,nESPEC,DATOS!$E1964,nASIG,DATOS!$I1964,nEVAL,"OR")=0))</f>
      </c>
      <c r="I1964">
        <f>IF(DATOS!$I1964="","",IFERROR(VLOOKUP(DATOS!$I1964,CONFIG_ASIGNATURAS!$B$2:$J$91,9,FALSE()),""))</f>
      </c>
    </row>
    <row r="1965">
      <c r="F1965">
        <f>IF(DATOS!$A1965="","",DATOS!$A1965&amp;"|"&amp;DATOS!$D1965&amp;"|"&amp;DATOS!$E1965&amp;"|"&amp;DATOS!$I1965)</f>
      </c>
      <c r="G1965">
        <f>IF(DATOS!$A1965="",0,IF(CONFIG_METADATA!$B$4&lt;&gt;"OR+EX",--(DATOS!$G1965=CONFIG_METADATA!$B$4),IF(DATOS!$G1965="EX",1,IF(DATOS!$G1965="OR",--(COUNTIFS(nNIA,DATOS!$A1965,nCURSO,DATOS!$D1965,nESPEC,DATOS!$E1965,nASIG,DATOS!$I1965,nEVAL,"EX")=0),0))))</f>
      </c>
      <c r="H1965">
        <f>IF(DATOS!$G1965&lt;&gt;"EX",0,--(COUNTIFS(nNIA,DATOS!$A1965,nCURSO,DATOS!$D1965,nESPEC,DATOS!$E1965,nASIG,DATOS!$I1965,nEVAL,"OR")=0))</f>
      </c>
      <c r="I1965">
        <f>IF(DATOS!$I1965="","",IFERROR(VLOOKUP(DATOS!$I1965,CONFIG_ASIGNATURAS!$B$2:$J$91,9,FALSE()),""))</f>
      </c>
    </row>
    <row r="1966">
      <c r="F1966">
        <f>IF(DATOS!$A1966="","",DATOS!$A1966&amp;"|"&amp;DATOS!$D1966&amp;"|"&amp;DATOS!$E1966&amp;"|"&amp;DATOS!$I1966)</f>
      </c>
      <c r="G1966">
        <f>IF(DATOS!$A1966="",0,IF(CONFIG_METADATA!$B$4&lt;&gt;"OR+EX",--(DATOS!$G1966=CONFIG_METADATA!$B$4),IF(DATOS!$G1966="EX",1,IF(DATOS!$G1966="OR",--(COUNTIFS(nNIA,DATOS!$A1966,nCURSO,DATOS!$D1966,nESPEC,DATOS!$E1966,nASIG,DATOS!$I1966,nEVAL,"EX")=0),0))))</f>
      </c>
      <c r="H1966">
        <f>IF(DATOS!$G1966&lt;&gt;"EX",0,--(COUNTIFS(nNIA,DATOS!$A1966,nCURSO,DATOS!$D1966,nESPEC,DATOS!$E1966,nASIG,DATOS!$I1966,nEVAL,"OR")=0))</f>
      </c>
      <c r="I1966">
        <f>IF(DATOS!$I1966="","",IFERROR(VLOOKUP(DATOS!$I1966,CONFIG_ASIGNATURAS!$B$2:$J$91,9,FALSE()),""))</f>
      </c>
    </row>
    <row r="1967">
      <c r="F1967">
        <f>IF(DATOS!$A1967="","",DATOS!$A1967&amp;"|"&amp;DATOS!$D1967&amp;"|"&amp;DATOS!$E1967&amp;"|"&amp;DATOS!$I1967)</f>
      </c>
      <c r="G1967">
        <f>IF(DATOS!$A1967="",0,IF(CONFIG_METADATA!$B$4&lt;&gt;"OR+EX",--(DATOS!$G1967=CONFIG_METADATA!$B$4),IF(DATOS!$G1967="EX",1,IF(DATOS!$G1967="OR",--(COUNTIFS(nNIA,DATOS!$A1967,nCURSO,DATOS!$D1967,nESPEC,DATOS!$E1967,nASIG,DATOS!$I1967,nEVAL,"EX")=0),0))))</f>
      </c>
      <c r="H1967">
        <f>IF(DATOS!$G1967&lt;&gt;"EX",0,--(COUNTIFS(nNIA,DATOS!$A1967,nCURSO,DATOS!$D1967,nESPEC,DATOS!$E1967,nASIG,DATOS!$I1967,nEVAL,"OR")=0))</f>
      </c>
      <c r="I1967">
        <f>IF(DATOS!$I1967="","",IFERROR(VLOOKUP(DATOS!$I1967,CONFIG_ASIGNATURAS!$B$2:$J$91,9,FALSE()),""))</f>
      </c>
    </row>
    <row r="1968">
      <c r="F1968">
        <f>IF(DATOS!$A1968="","",DATOS!$A1968&amp;"|"&amp;DATOS!$D1968&amp;"|"&amp;DATOS!$E1968&amp;"|"&amp;DATOS!$I1968)</f>
      </c>
      <c r="G1968">
        <f>IF(DATOS!$A1968="",0,IF(CONFIG_METADATA!$B$4&lt;&gt;"OR+EX",--(DATOS!$G1968=CONFIG_METADATA!$B$4),IF(DATOS!$G1968="EX",1,IF(DATOS!$G1968="OR",--(COUNTIFS(nNIA,DATOS!$A1968,nCURSO,DATOS!$D1968,nESPEC,DATOS!$E1968,nASIG,DATOS!$I1968,nEVAL,"EX")=0),0))))</f>
      </c>
      <c r="H1968">
        <f>IF(DATOS!$G1968&lt;&gt;"EX",0,--(COUNTIFS(nNIA,DATOS!$A1968,nCURSO,DATOS!$D1968,nESPEC,DATOS!$E1968,nASIG,DATOS!$I1968,nEVAL,"OR")=0))</f>
      </c>
      <c r="I1968">
        <f>IF(DATOS!$I1968="","",IFERROR(VLOOKUP(DATOS!$I1968,CONFIG_ASIGNATURAS!$B$2:$J$91,9,FALSE()),""))</f>
      </c>
    </row>
    <row r="1969">
      <c r="F1969">
        <f>IF(DATOS!$A1969="","",DATOS!$A1969&amp;"|"&amp;DATOS!$D1969&amp;"|"&amp;DATOS!$E1969&amp;"|"&amp;DATOS!$I1969)</f>
      </c>
      <c r="G1969">
        <f>IF(DATOS!$A1969="",0,IF(CONFIG_METADATA!$B$4&lt;&gt;"OR+EX",--(DATOS!$G1969=CONFIG_METADATA!$B$4),IF(DATOS!$G1969="EX",1,IF(DATOS!$G1969="OR",--(COUNTIFS(nNIA,DATOS!$A1969,nCURSO,DATOS!$D1969,nESPEC,DATOS!$E1969,nASIG,DATOS!$I1969,nEVAL,"EX")=0),0))))</f>
      </c>
      <c r="H1969">
        <f>IF(DATOS!$G1969&lt;&gt;"EX",0,--(COUNTIFS(nNIA,DATOS!$A1969,nCURSO,DATOS!$D1969,nESPEC,DATOS!$E1969,nASIG,DATOS!$I1969,nEVAL,"OR")=0))</f>
      </c>
      <c r="I1969">
        <f>IF(DATOS!$I1969="","",IFERROR(VLOOKUP(DATOS!$I1969,CONFIG_ASIGNATURAS!$B$2:$J$91,9,FALSE()),""))</f>
      </c>
    </row>
    <row r="1970">
      <c r="F1970">
        <f>IF(DATOS!$A1970="","",DATOS!$A1970&amp;"|"&amp;DATOS!$D1970&amp;"|"&amp;DATOS!$E1970&amp;"|"&amp;DATOS!$I1970)</f>
      </c>
      <c r="G1970">
        <f>IF(DATOS!$A1970="",0,IF(CONFIG_METADATA!$B$4&lt;&gt;"OR+EX",--(DATOS!$G1970=CONFIG_METADATA!$B$4),IF(DATOS!$G1970="EX",1,IF(DATOS!$G1970="OR",--(COUNTIFS(nNIA,DATOS!$A1970,nCURSO,DATOS!$D1970,nESPEC,DATOS!$E1970,nASIG,DATOS!$I1970,nEVAL,"EX")=0),0))))</f>
      </c>
      <c r="H1970">
        <f>IF(DATOS!$G1970&lt;&gt;"EX",0,--(COUNTIFS(nNIA,DATOS!$A1970,nCURSO,DATOS!$D1970,nESPEC,DATOS!$E1970,nASIG,DATOS!$I1970,nEVAL,"OR")=0))</f>
      </c>
      <c r="I1970">
        <f>IF(DATOS!$I1970="","",IFERROR(VLOOKUP(DATOS!$I1970,CONFIG_ASIGNATURAS!$B$2:$J$91,9,FALSE()),""))</f>
      </c>
    </row>
    <row r="1971">
      <c r="F1971">
        <f>IF(DATOS!$A1971="","",DATOS!$A1971&amp;"|"&amp;DATOS!$D1971&amp;"|"&amp;DATOS!$E1971&amp;"|"&amp;DATOS!$I1971)</f>
      </c>
      <c r="G1971">
        <f>IF(DATOS!$A1971="",0,IF(CONFIG_METADATA!$B$4&lt;&gt;"OR+EX",--(DATOS!$G1971=CONFIG_METADATA!$B$4),IF(DATOS!$G1971="EX",1,IF(DATOS!$G1971="OR",--(COUNTIFS(nNIA,DATOS!$A1971,nCURSO,DATOS!$D1971,nESPEC,DATOS!$E1971,nASIG,DATOS!$I1971,nEVAL,"EX")=0),0))))</f>
      </c>
      <c r="H1971">
        <f>IF(DATOS!$G1971&lt;&gt;"EX",0,--(COUNTIFS(nNIA,DATOS!$A1971,nCURSO,DATOS!$D1971,nESPEC,DATOS!$E1971,nASIG,DATOS!$I1971,nEVAL,"OR")=0))</f>
      </c>
      <c r="I1971">
        <f>IF(DATOS!$I1971="","",IFERROR(VLOOKUP(DATOS!$I1971,CONFIG_ASIGNATURAS!$B$2:$J$91,9,FALSE()),""))</f>
      </c>
    </row>
    <row r="1972">
      <c r="F1972">
        <f>IF(DATOS!$A1972="","",DATOS!$A1972&amp;"|"&amp;DATOS!$D1972&amp;"|"&amp;DATOS!$E1972&amp;"|"&amp;DATOS!$I1972)</f>
      </c>
      <c r="G1972">
        <f>IF(DATOS!$A1972="",0,IF(CONFIG_METADATA!$B$4&lt;&gt;"OR+EX",--(DATOS!$G1972=CONFIG_METADATA!$B$4),IF(DATOS!$G1972="EX",1,IF(DATOS!$G1972="OR",--(COUNTIFS(nNIA,DATOS!$A1972,nCURSO,DATOS!$D1972,nESPEC,DATOS!$E1972,nASIG,DATOS!$I1972,nEVAL,"EX")=0),0))))</f>
      </c>
      <c r="H1972">
        <f>IF(DATOS!$G1972&lt;&gt;"EX",0,--(COUNTIFS(nNIA,DATOS!$A1972,nCURSO,DATOS!$D1972,nESPEC,DATOS!$E1972,nASIG,DATOS!$I1972,nEVAL,"OR")=0))</f>
      </c>
      <c r="I1972">
        <f>IF(DATOS!$I1972="","",IFERROR(VLOOKUP(DATOS!$I1972,CONFIG_ASIGNATURAS!$B$2:$J$91,9,FALSE()),""))</f>
      </c>
    </row>
    <row r="1973">
      <c r="F1973">
        <f>IF(DATOS!$A1973="","",DATOS!$A1973&amp;"|"&amp;DATOS!$D1973&amp;"|"&amp;DATOS!$E1973&amp;"|"&amp;DATOS!$I1973)</f>
      </c>
      <c r="G1973">
        <f>IF(DATOS!$A1973="",0,IF(CONFIG_METADATA!$B$4&lt;&gt;"OR+EX",--(DATOS!$G1973=CONFIG_METADATA!$B$4),IF(DATOS!$G1973="EX",1,IF(DATOS!$G1973="OR",--(COUNTIFS(nNIA,DATOS!$A1973,nCURSO,DATOS!$D1973,nESPEC,DATOS!$E1973,nASIG,DATOS!$I1973,nEVAL,"EX")=0),0))))</f>
      </c>
      <c r="H1973">
        <f>IF(DATOS!$G1973&lt;&gt;"EX",0,--(COUNTIFS(nNIA,DATOS!$A1973,nCURSO,DATOS!$D1973,nESPEC,DATOS!$E1973,nASIG,DATOS!$I1973,nEVAL,"OR")=0))</f>
      </c>
      <c r="I1973">
        <f>IF(DATOS!$I1973="","",IFERROR(VLOOKUP(DATOS!$I1973,CONFIG_ASIGNATURAS!$B$2:$J$91,9,FALSE()),""))</f>
      </c>
    </row>
    <row r="1974">
      <c r="F1974">
        <f>IF(DATOS!$A1974="","",DATOS!$A1974&amp;"|"&amp;DATOS!$D1974&amp;"|"&amp;DATOS!$E1974&amp;"|"&amp;DATOS!$I1974)</f>
      </c>
      <c r="G1974">
        <f>IF(DATOS!$A1974="",0,IF(CONFIG_METADATA!$B$4&lt;&gt;"OR+EX",--(DATOS!$G1974=CONFIG_METADATA!$B$4),IF(DATOS!$G1974="EX",1,IF(DATOS!$G1974="OR",--(COUNTIFS(nNIA,DATOS!$A1974,nCURSO,DATOS!$D1974,nESPEC,DATOS!$E1974,nASIG,DATOS!$I1974,nEVAL,"EX")=0),0))))</f>
      </c>
      <c r="H1974">
        <f>IF(DATOS!$G1974&lt;&gt;"EX",0,--(COUNTIFS(nNIA,DATOS!$A1974,nCURSO,DATOS!$D1974,nESPEC,DATOS!$E1974,nASIG,DATOS!$I1974,nEVAL,"OR")=0))</f>
      </c>
      <c r="I1974">
        <f>IF(DATOS!$I1974="","",IFERROR(VLOOKUP(DATOS!$I1974,CONFIG_ASIGNATURAS!$B$2:$J$91,9,FALSE()),""))</f>
      </c>
    </row>
    <row r="1975">
      <c r="F1975">
        <f>IF(DATOS!$A1975="","",DATOS!$A1975&amp;"|"&amp;DATOS!$D1975&amp;"|"&amp;DATOS!$E1975&amp;"|"&amp;DATOS!$I1975)</f>
      </c>
      <c r="G1975">
        <f>IF(DATOS!$A1975="",0,IF(CONFIG_METADATA!$B$4&lt;&gt;"OR+EX",--(DATOS!$G1975=CONFIG_METADATA!$B$4),IF(DATOS!$G1975="EX",1,IF(DATOS!$G1975="OR",--(COUNTIFS(nNIA,DATOS!$A1975,nCURSO,DATOS!$D1975,nESPEC,DATOS!$E1975,nASIG,DATOS!$I1975,nEVAL,"EX")=0),0))))</f>
      </c>
      <c r="H1975">
        <f>IF(DATOS!$G1975&lt;&gt;"EX",0,--(COUNTIFS(nNIA,DATOS!$A1975,nCURSO,DATOS!$D1975,nESPEC,DATOS!$E1975,nASIG,DATOS!$I1975,nEVAL,"OR")=0))</f>
      </c>
      <c r="I1975">
        <f>IF(DATOS!$I1975="","",IFERROR(VLOOKUP(DATOS!$I1975,CONFIG_ASIGNATURAS!$B$2:$J$91,9,FALSE()),""))</f>
      </c>
    </row>
    <row r="1976">
      <c r="F1976">
        <f>IF(DATOS!$A1976="","",DATOS!$A1976&amp;"|"&amp;DATOS!$D1976&amp;"|"&amp;DATOS!$E1976&amp;"|"&amp;DATOS!$I1976)</f>
      </c>
      <c r="G1976">
        <f>IF(DATOS!$A1976="",0,IF(CONFIG_METADATA!$B$4&lt;&gt;"OR+EX",--(DATOS!$G1976=CONFIG_METADATA!$B$4),IF(DATOS!$G1976="EX",1,IF(DATOS!$G1976="OR",--(COUNTIFS(nNIA,DATOS!$A1976,nCURSO,DATOS!$D1976,nESPEC,DATOS!$E1976,nASIG,DATOS!$I1976,nEVAL,"EX")=0),0))))</f>
      </c>
      <c r="H1976">
        <f>IF(DATOS!$G1976&lt;&gt;"EX",0,--(COUNTIFS(nNIA,DATOS!$A1976,nCURSO,DATOS!$D1976,nESPEC,DATOS!$E1976,nASIG,DATOS!$I1976,nEVAL,"OR")=0))</f>
      </c>
      <c r="I1976">
        <f>IF(DATOS!$I1976="","",IFERROR(VLOOKUP(DATOS!$I1976,CONFIG_ASIGNATURAS!$B$2:$J$91,9,FALSE()),""))</f>
      </c>
    </row>
    <row r="1977">
      <c r="F1977">
        <f>IF(DATOS!$A1977="","",DATOS!$A1977&amp;"|"&amp;DATOS!$D1977&amp;"|"&amp;DATOS!$E1977&amp;"|"&amp;DATOS!$I1977)</f>
      </c>
      <c r="G1977">
        <f>IF(DATOS!$A1977="",0,IF(CONFIG_METADATA!$B$4&lt;&gt;"OR+EX",--(DATOS!$G1977=CONFIG_METADATA!$B$4),IF(DATOS!$G1977="EX",1,IF(DATOS!$G1977="OR",--(COUNTIFS(nNIA,DATOS!$A1977,nCURSO,DATOS!$D1977,nESPEC,DATOS!$E1977,nASIG,DATOS!$I1977,nEVAL,"EX")=0),0))))</f>
      </c>
      <c r="H1977">
        <f>IF(DATOS!$G1977&lt;&gt;"EX",0,--(COUNTIFS(nNIA,DATOS!$A1977,nCURSO,DATOS!$D1977,nESPEC,DATOS!$E1977,nASIG,DATOS!$I1977,nEVAL,"OR")=0))</f>
      </c>
      <c r="I1977">
        <f>IF(DATOS!$I1977="","",IFERROR(VLOOKUP(DATOS!$I1977,CONFIG_ASIGNATURAS!$B$2:$J$91,9,FALSE()),""))</f>
      </c>
    </row>
    <row r="1978">
      <c r="F1978">
        <f>IF(DATOS!$A1978="","",DATOS!$A1978&amp;"|"&amp;DATOS!$D1978&amp;"|"&amp;DATOS!$E1978&amp;"|"&amp;DATOS!$I1978)</f>
      </c>
      <c r="G1978">
        <f>IF(DATOS!$A1978="",0,IF(CONFIG_METADATA!$B$4&lt;&gt;"OR+EX",--(DATOS!$G1978=CONFIG_METADATA!$B$4),IF(DATOS!$G1978="EX",1,IF(DATOS!$G1978="OR",--(COUNTIFS(nNIA,DATOS!$A1978,nCURSO,DATOS!$D1978,nESPEC,DATOS!$E1978,nASIG,DATOS!$I1978,nEVAL,"EX")=0),0))))</f>
      </c>
      <c r="H1978">
        <f>IF(DATOS!$G1978&lt;&gt;"EX",0,--(COUNTIFS(nNIA,DATOS!$A1978,nCURSO,DATOS!$D1978,nESPEC,DATOS!$E1978,nASIG,DATOS!$I1978,nEVAL,"OR")=0))</f>
      </c>
      <c r="I1978">
        <f>IF(DATOS!$I1978="","",IFERROR(VLOOKUP(DATOS!$I1978,CONFIG_ASIGNATURAS!$B$2:$J$91,9,FALSE()),""))</f>
      </c>
    </row>
    <row r="1979">
      <c r="F1979">
        <f>IF(DATOS!$A1979="","",DATOS!$A1979&amp;"|"&amp;DATOS!$D1979&amp;"|"&amp;DATOS!$E1979&amp;"|"&amp;DATOS!$I1979)</f>
      </c>
      <c r="G1979">
        <f>IF(DATOS!$A1979="",0,IF(CONFIG_METADATA!$B$4&lt;&gt;"OR+EX",--(DATOS!$G1979=CONFIG_METADATA!$B$4),IF(DATOS!$G1979="EX",1,IF(DATOS!$G1979="OR",--(COUNTIFS(nNIA,DATOS!$A1979,nCURSO,DATOS!$D1979,nESPEC,DATOS!$E1979,nASIG,DATOS!$I1979,nEVAL,"EX")=0),0))))</f>
      </c>
      <c r="H1979">
        <f>IF(DATOS!$G1979&lt;&gt;"EX",0,--(COUNTIFS(nNIA,DATOS!$A1979,nCURSO,DATOS!$D1979,nESPEC,DATOS!$E1979,nASIG,DATOS!$I1979,nEVAL,"OR")=0))</f>
      </c>
      <c r="I1979">
        <f>IF(DATOS!$I1979="","",IFERROR(VLOOKUP(DATOS!$I1979,CONFIG_ASIGNATURAS!$B$2:$J$91,9,FALSE()),""))</f>
      </c>
    </row>
    <row r="1980">
      <c r="F1980">
        <f>IF(DATOS!$A1980="","",DATOS!$A1980&amp;"|"&amp;DATOS!$D1980&amp;"|"&amp;DATOS!$E1980&amp;"|"&amp;DATOS!$I1980)</f>
      </c>
      <c r="G1980">
        <f>IF(DATOS!$A1980="",0,IF(CONFIG_METADATA!$B$4&lt;&gt;"OR+EX",--(DATOS!$G1980=CONFIG_METADATA!$B$4),IF(DATOS!$G1980="EX",1,IF(DATOS!$G1980="OR",--(COUNTIFS(nNIA,DATOS!$A1980,nCURSO,DATOS!$D1980,nESPEC,DATOS!$E1980,nASIG,DATOS!$I1980,nEVAL,"EX")=0),0))))</f>
      </c>
      <c r="H1980">
        <f>IF(DATOS!$G1980&lt;&gt;"EX",0,--(COUNTIFS(nNIA,DATOS!$A1980,nCURSO,DATOS!$D1980,nESPEC,DATOS!$E1980,nASIG,DATOS!$I1980,nEVAL,"OR")=0))</f>
      </c>
      <c r="I1980">
        <f>IF(DATOS!$I1980="","",IFERROR(VLOOKUP(DATOS!$I1980,CONFIG_ASIGNATURAS!$B$2:$J$91,9,FALSE()),""))</f>
      </c>
    </row>
    <row r="1981">
      <c r="F1981">
        <f>IF(DATOS!$A1981="","",DATOS!$A1981&amp;"|"&amp;DATOS!$D1981&amp;"|"&amp;DATOS!$E1981&amp;"|"&amp;DATOS!$I1981)</f>
      </c>
      <c r="G1981">
        <f>IF(DATOS!$A1981="",0,IF(CONFIG_METADATA!$B$4&lt;&gt;"OR+EX",--(DATOS!$G1981=CONFIG_METADATA!$B$4),IF(DATOS!$G1981="EX",1,IF(DATOS!$G1981="OR",--(COUNTIFS(nNIA,DATOS!$A1981,nCURSO,DATOS!$D1981,nESPEC,DATOS!$E1981,nASIG,DATOS!$I1981,nEVAL,"EX")=0),0))))</f>
      </c>
      <c r="H1981">
        <f>IF(DATOS!$G1981&lt;&gt;"EX",0,--(COUNTIFS(nNIA,DATOS!$A1981,nCURSO,DATOS!$D1981,nESPEC,DATOS!$E1981,nASIG,DATOS!$I1981,nEVAL,"OR")=0))</f>
      </c>
      <c r="I1981">
        <f>IF(DATOS!$I1981="","",IFERROR(VLOOKUP(DATOS!$I1981,CONFIG_ASIGNATURAS!$B$2:$J$91,9,FALSE()),""))</f>
      </c>
    </row>
    <row r="1982">
      <c r="F1982">
        <f>IF(DATOS!$A1982="","",DATOS!$A1982&amp;"|"&amp;DATOS!$D1982&amp;"|"&amp;DATOS!$E1982&amp;"|"&amp;DATOS!$I1982)</f>
      </c>
      <c r="G1982">
        <f>IF(DATOS!$A1982="",0,IF(CONFIG_METADATA!$B$4&lt;&gt;"OR+EX",--(DATOS!$G1982=CONFIG_METADATA!$B$4),IF(DATOS!$G1982="EX",1,IF(DATOS!$G1982="OR",--(COUNTIFS(nNIA,DATOS!$A1982,nCURSO,DATOS!$D1982,nESPEC,DATOS!$E1982,nASIG,DATOS!$I1982,nEVAL,"EX")=0),0))))</f>
      </c>
      <c r="H1982">
        <f>IF(DATOS!$G1982&lt;&gt;"EX",0,--(COUNTIFS(nNIA,DATOS!$A1982,nCURSO,DATOS!$D1982,nESPEC,DATOS!$E1982,nASIG,DATOS!$I1982,nEVAL,"OR")=0))</f>
      </c>
      <c r="I1982">
        <f>IF(DATOS!$I1982="","",IFERROR(VLOOKUP(DATOS!$I1982,CONFIG_ASIGNATURAS!$B$2:$J$91,9,FALSE()),""))</f>
      </c>
    </row>
    <row r="1983">
      <c r="F1983">
        <f>IF(DATOS!$A1983="","",DATOS!$A1983&amp;"|"&amp;DATOS!$D1983&amp;"|"&amp;DATOS!$E1983&amp;"|"&amp;DATOS!$I1983)</f>
      </c>
      <c r="G1983">
        <f>IF(DATOS!$A1983="",0,IF(CONFIG_METADATA!$B$4&lt;&gt;"OR+EX",--(DATOS!$G1983=CONFIG_METADATA!$B$4),IF(DATOS!$G1983="EX",1,IF(DATOS!$G1983="OR",--(COUNTIFS(nNIA,DATOS!$A1983,nCURSO,DATOS!$D1983,nESPEC,DATOS!$E1983,nASIG,DATOS!$I1983,nEVAL,"EX")=0),0))))</f>
      </c>
      <c r="H1983">
        <f>IF(DATOS!$G1983&lt;&gt;"EX",0,--(COUNTIFS(nNIA,DATOS!$A1983,nCURSO,DATOS!$D1983,nESPEC,DATOS!$E1983,nASIG,DATOS!$I1983,nEVAL,"OR")=0))</f>
      </c>
      <c r="I1983">
        <f>IF(DATOS!$I1983="","",IFERROR(VLOOKUP(DATOS!$I1983,CONFIG_ASIGNATURAS!$B$2:$J$91,9,FALSE()),""))</f>
      </c>
    </row>
    <row r="1984">
      <c r="F1984">
        <f>IF(DATOS!$A1984="","",DATOS!$A1984&amp;"|"&amp;DATOS!$D1984&amp;"|"&amp;DATOS!$E1984&amp;"|"&amp;DATOS!$I1984)</f>
      </c>
      <c r="G1984">
        <f>IF(DATOS!$A1984="",0,IF(CONFIG_METADATA!$B$4&lt;&gt;"OR+EX",--(DATOS!$G1984=CONFIG_METADATA!$B$4),IF(DATOS!$G1984="EX",1,IF(DATOS!$G1984="OR",--(COUNTIFS(nNIA,DATOS!$A1984,nCURSO,DATOS!$D1984,nESPEC,DATOS!$E1984,nASIG,DATOS!$I1984,nEVAL,"EX")=0),0))))</f>
      </c>
      <c r="H1984">
        <f>IF(DATOS!$G1984&lt;&gt;"EX",0,--(COUNTIFS(nNIA,DATOS!$A1984,nCURSO,DATOS!$D1984,nESPEC,DATOS!$E1984,nASIG,DATOS!$I1984,nEVAL,"OR")=0))</f>
      </c>
      <c r="I1984">
        <f>IF(DATOS!$I1984="","",IFERROR(VLOOKUP(DATOS!$I1984,CONFIG_ASIGNATURAS!$B$2:$J$91,9,FALSE()),""))</f>
      </c>
    </row>
    <row r="1985">
      <c r="F1985">
        <f>IF(DATOS!$A1985="","",DATOS!$A1985&amp;"|"&amp;DATOS!$D1985&amp;"|"&amp;DATOS!$E1985&amp;"|"&amp;DATOS!$I1985)</f>
      </c>
      <c r="G1985">
        <f>IF(DATOS!$A1985="",0,IF(CONFIG_METADATA!$B$4&lt;&gt;"OR+EX",--(DATOS!$G1985=CONFIG_METADATA!$B$4),IF(DATOS!$G1985="EX",1,IF(DATOS!$G1985="OR",--(COUNTIFS(nNIA,DATOS!$A1985,nCURSO,DATOS!$D1985,nESPEC,DATOS!$E1985,nASIG,DATOS!$I1985,nEVAL,"EX")=0),0))))</f>
      </c>
      <c r="H1985">
        <f>IF(DATOS!$G1985&lt;&gt;"EX",0,--(COUNTIFS(nNIA,DATOS!$A1985,nCURSO,DATOS!$D1985,nESPEC,DATOS!$E1985,nASIG,DATOS!$I1985,nEVAL,"OR")=0))</f>
      </c>
      <c r="I1985">
        <f>IF(DATOS!$I1985="","",IFERROR(VLOOKUP(DATOS!$I1985,CONFIG_ASIGNATURAS!$B$2:$J$91,9,FALSE()),""))</f>
      </c>
    </row>
    <row r="1986">
      <c r="F1986">
        <f>IF(DATOS!$A1986="","",DATOS!$A1986&amp;"|"&amp;DATOS!$D1986&amp;"|"&amp;DATOS!$E1986&amp;"|"&amp;DATOS!$I1986)</f>
      </c>
      <c r="G1986">
        <f>IF(DATOS!$A1986="",0,IF(CONFIG_METADATA!$B$4&lt;&gt;"OR+EX",--(DATOS!$G1986=CONFIG_METADATA!$B$4),IF(DATOS!$G1986="EX",1,IF(DATOS!$G1986="OR",--(COUNTIFS(nNIA,DATOS!$A1986,nCURSO,DATOS!$D1986,nESPEC,DATOS!$E1986,nASIG,DATOS!$I1986,nEVAL,"EX")=0),0))))</f>
      </c>
      <c r="H1986">
        <f>IF(DATOS!$G1986&lt;&gt;"EX",0,--(COUNTIFS(nNIA,DATOS!$A1986,nCURSO,DATOS!$D1986,nESPEC,DATOS!$E1986,nASIG,DATOS!$I1986,nEVAL,"OR")=0))</f>
      </c>
      <c r="I1986">
        <f>IF(DATOS!$I1986="","",IFERROR(VLOOKUP(DATOS!$I1986,CONFIG_ASIGNATURAS!$B$2:$J$91,9,FALSE()),""))</f>
      </c>
    </row>
    <row r="1987">
      <c r="F1987">
        <f>IF(DATOS!$A1987="","",DATOS!$A1987&amp;"|"&amp;DATOS!$D1987&amp;"|"&amp;DATOS!$E1987&amp;"|"&amp;DATOS!$I1987)</f>
      </c>
      <c r="G1987">
        <f>IF(DATOS!$A1987="",0,IF(CONFIG_METADATA!$B$4&lt;&gt;"OR+EX",--(DATOS!$G1987=CONFIG_METADATA!$B$4),IF(DATOS!$G1987="EX",1,IF(DATOS!$G1987="OR",--(COUNTIFS(nNIA,DATOS!$A1987,nCURSO,DATOS!$D1987,nESPEC,DATOS!$E1987,nASIG,DATOS!$I1987,nEVAL,"EX")=0),0))))</f>
      </c>
      <c r="H1987">
        <f>IF(DATOS!$G1987&lt;&gt;"EX",0,--(COUNTIFS(nNIA,DATOS!$A1987,nCURSO,DATOS!$D1987,nESPEC,DATOS!$E1987,nASIG,DATOS!$I1987,nEVAL,"OR")=0))</f>
      </c>
      <c r="I1987">
        <f>IF(DATOS!$I1987="","",IFERROR(VLOOKUP(DATOS!$I1987,CONFIG_ASIGNATURAS!$B$2:$J$91,9,FALSE()),""))</f>
      </c>
    </row>
    <row r="1988">
      <c r="F1988">
        <f>IF(DATOS!$A1988="","",DATOS!$A1988&amp;"|"&amp;DATOS!$D1988&amp;"|"&amp;DATOS!$E1988&amp;"|"&amp;DATOS!$I1988)</f>
      </c>
      <c r="G1988">
        <f>IF(DATOS!$A1988="",0,IF(CONFIG_METADATA!$B$4&lt;&gt;"OR+EX",--(DATOS!$G1988=CONFIG_METADATA!$B$4),IF(DATOS!$G1988="EX",1,IF(DATOS!$G1988="OR",--(COUNTIFS(nNIA,DATOS!$A1988,nCURSO,DATOS!$D1988,nESPEC,DATOS!$E1988,nASIG,DATOS!$I1988,nEVAL,"EX")=0),0))))</f>
      </c>
      <c r="H1988">
        <f>IF(DATOS!$G1988&lt;&gt;"EX",0,--(COUNTIFS(nNIA,DATOS!$A1988,nCURSO,DATOS!$D1988,nESPEC,DATOS!$E1988,nASIG,DATOS!$I1988,nEVAL,"OR")=0))</f>
      </c>
      <c r="I1988">
        <f>IF(DATOS!$I1988="","",IFERROR(VLOOKUP(DATOS!$I1988,CONFIG_ASIGNATURAS!$B$2:$J$91,9,FALSE()),""))</f>
      </c>
    </row>
    <row r="1989">
      <c r="F1989">
        <f>IF(DATOS!$A1989="","",DATOS!$A1989&amp;"|"&amp;DATOS!$D1989&amp;"|"&amp;DATOS!$E1989&amp;"|"&amp;DATOS!$I1989)</f>
      </c>
      <c r="G1989">
        <f>IF(DATOS!$A1989="",0,IF(CONFIG_METADATA!$B$4&lt;&gt;"OR+EX",--(DATOS!$G1989=CONFIG_METADATA!$B$4),IF(DATOS!$G1989="EX",1,IF(DATOS!$G1989="OR",--(COUNTIFS(nNIA,DATOS!$A1989,nCURSO,DATOS!$D1989,nESPEC,DATOS!$E1989,nASIG,DATOS!$I1989,nEVAL,"EX")=0),0))))</f>
      </c>
      <c r="H1989">
        <f>IF(DATOS!$G1989&lt;&gt;"EX",0,--(COUNTIFS(nNIA,DATOS!$A1989,nCURSO,DATOS!$D1989,nESPEC,DATOS!$E1989,nASIG,DATOS!$I1989,nEVAL,"OR")=0))</f>
      </c>
      <c r="I1989">
        <f>IF(DATOS!$I1989="","",IFERROR(VLOOKUP(DATOS!$I1989,CONFIG_ASIGNATURAS!$B$2:$J$91,9,FALSE()),""))</f>
      </c>
    </row>
    <row r="1990">
      <c r="F1990">
        <f>IF(DATOS!$A1990="","",DATOS!$A1990&amp;"|"&amp;DATOS!$D1990&amp;"|"&amp;DATOS!$E1990&amp;"|"&amp;DATOS!$I1990)</f>
      </c>
      <c r="G1990">
        <f>IF(DATOS!$A1990="",0,IF(CONFIG_METADATA!$B$4&lt;&gt;"OR+EX",--(DATOS!$G1990=CONFIG_METADATA!$B$4),IF(DATOS!$G1990="EX",1,IF(DATOS!$G1990="OR",--(COUNTIFS(nNIA,DATOS!$A1990,nCURSO,DATOS!$D1990,nESPEC,DATOS!$E1990,nASIG,DATOS!$I1990,nEVAL,"EX")=0),0))))</f>
      </c>
      <c r="H1990">
        <f>IF(DATOS!$G1990&lt;&gt;"EX",0,--(COUNTIFS(nNIA,DATOS!$A1990,nCURSO,DATOS!$D1990,nESPEC,DATOS!$E1990,nASIG,DATOS!$I1990,nEVAL,"OR")=0))</f>
      </c>
      <c r="I1990">
        <f>IF(DATOS!$I1990="","",IFERROR(VLOOKUP(DATOS!$I1990,CONFIG_ASIGNATURAS!$B$2:$J$91,9,FALSE()),""))</f>
      </c>
    </row>
    <row r="1991">
      <c r="F1991">
        <f>IF(DATOS!$A1991="","",DATOS!$A1991&amp;"|"&amp;DATOS!$D1991&amp;"|"&amp;DATOS!$E1991&amp;"|"&amp;DATOS!$I1991)</f>
      </c>
      <c r="G1991">
        <f>IF(DATOS!$A1991="",0,IF(CONFIG_METADATA!$B$4&lt;&gt;"OR+EX",--(DATOS!$G1991=CONFIG_METADATA!$B$4),IF(DATOS!$G1991="EX",1,IF(DATOS!$G1991="OR",--(COUNTIFS(nNIA,DATOS!$A1991,nCURSO,DATOS!$D1991,nESPEC,DATOS!$E1991,nASIG,DATOS!$I1991,nEVAL,"EX")=0),0))))</f>
      </c>
      <c r="H1991">
        <f>IF(DATOS!$G1991&lt;&gt;"EX",0,--(COUNTIFS(nNIA,DATOS!$A1991,nCURSO,DATOS!$D1991,nESPEC,DATOS!$E1991,nASIG,DATOS!$I1991,nEVAL,"OR")=0))</f>
      </c>
      <c r="I1991">
        <f>IF(DATOS!$I1991="","",IFERROR(VLOOKUP(DATOS!$I1991,CONFIG_ASIGNATURAS!$B$2:$J$91,9,FALSE()),""))</f>
      </c>
    </row>
    <row r="1992">
      <c r="F1992">
        <f>IF(DATOS!$A1992="","",DATOS!$A1992&amp;"|"&amp;DATOS!$D1992&amp;"|"&amp;DATOS!$E1992&amp;"|"&amp;DATOS!$I1992)</f>
      </c>
      <c r="G1992">
        <f>IF(DATOS!$A1992="",0,IF(CONFIG_METADATA!$B$4&lt;&gt;"OR+EX",--(DATOS!$G1992=CONFIG_METADATA!$B$4),IF(DATOS!$G1992="EX",1,IF(DATOS!$G1992="OR",--(COUNTIFS(nNIA,DATOS!$A1992,nCURSO,DATOS!$D1992,nESPEC,DATOS!$E1992,nASIG,DATOS!$I1992,nEVAL,"EX")=0),0))))</f>
      </c>
      <c r="H1992">
        <f>IF(DATOS!$G1992&lt;&gt;"EX",0,--(COUNTIFS(nNIA,DATOS!$A1992,nCURSO,DATOS!$D1992,nESPEC,DATOS!$E1992,nASIG,DATOS!$I1992,nEVAL,"OR")=0))</f>
      </c>
      <c r="I1992">
        <f>IF(DATOS!$I1992="","",IFERROR(VLOOKUP(DATOS!$I1992,CONFIG_ASIGNATURAS!$B$2:$J$91,9,FALSE()),""))</f>
      </c>
    </row>
    <row r="1993">
      <c r="F1993">
        <f>IF(DATOS!$A1993="","",DATOS!$A1993&amp;"|"&amp;DATOS!$D1993&amp;"|"&amp;DATOS!$E1993&amp;"|"&amp;DATOS!$I1993)</f>
      </c>
      <c r="G1993">
        <f>IF(DATOS!$A1993="",0,IF(CONFIG_METADATA!$B$4&lt;&gt;"OR+EX",--(DATOS!$G1993=CONFIG_METADATA!$B$4),IF(DATOS!$G1993="EX",1,IF(DATOS!$G1993="OR",--(COUNTIFS(nNIA,DATOS!$A1993,nCURSO,DATOS!$D1993,nESPEC,DATOS!$E1993,nASIG,DATOS!$I1993,nEVAL,"EX")=0),0))))</f>
      </c>
      <c r="H1993">
        <f>IF(DATOS!$G1993&lt;&gt;"EX",0,--(COUNTIFS(nNIA,DATOS!$A1993,nCURSO,DATOS!$D1993,nESPEC,DATOS!$E1993,nASIG,DATOS!$I1993,nEVAL,"OR")=0))</f>
      </c>
      <c r="I1993">
        <f>IF(DATOS!$I1993="","",IFERROR(VLOOKUP(DATOS!$I1993,CONFIG_ASIGNATURAS!$B$2:$J$91,9,FALSE()),""))</f>
      </c>
    </row>
    <row r="1994">
      <c r="F1994">
        <f>IF(DATOS!$A1994="","",DATOS!$A1994&amp;"|"&amp;DATOS!$D1994&amp;"|"&amp;DATOS!$E1994&amp;"|"&amp;DATOS!$I1994)</f>
      </c>
      <c r="G1994">
        <f>IF(DATOS!$A1994="",0,IF(CONFIG_METADATA!$B$4&lt;&gt;"OR+EX",--(DATOS!$G1994=CONFIG_METADATA!$B$4),IF(DATOS!$G1994="EX",1,IF(DATOS!$G1994="OR",--(COUNTIFS(nNIA,DATOS!$A1994,nCURSO,DATOS!$D1994,nESPEC,DATOS!$E1994,nASIG,DATOS!$I1994,nEVAL,"EX")=0),0))))</f>
      </c>
      <c r="H1994">
        <f>IF(DATOS!$G1994&lt;&gt;"EX",0,--(COUNTIFS(nNIA,DATOS!$A1994,nCURSO,DATOS!$D1994,nESPEC,DATOS!$E1994,nASIG,DATOS!$I1994,nEVAL,"OR")=0))</f>
      </c>
      <c r="I1994">
        <f>IF(DATOS!$I1994="","",IFERROR(VLOOKUP(DATOS!$I1994,CONFIG_ASIGNATURAS!$B$2:$J$91,9,FALSE()),""))</f>
      </c>
    </row>
    <row r="1995">
      <c r="F1995">
        <f>IF(DATOS!$A1995="","",DATOS!$A1995&amp;"|"&amp;DATOS!$D1995&amp;"|"&amp;DATOS!$E1995&amp;"|"&amp;DATOS!$I1995)</f>
      </c>
      <c r="G1995">
        <f>IF(DATOS!$A1995="",0,IF(CONFIG_METADATA!$B$4&lt;&gt;"OR+EX",--(DATOS!$G1995=CONFIG_METADATA!$B$4),IF(DATOS!$G1995="EX",1,IF(DATOS!$G1995="OR",--(COUNTIFS(nNIA,DATOS!$A1995,nCURSO,DATOS!$D1995,nESPEC,DATOS!$E1995,nASIG,DATOS!$I1995,nEVAL,"EX")=0),0))))</f>
      </c>
      <c r="H1995">
        <f>IF(DATOS!$G1995&lt;&gt;"EX",0,--(COUNTIFS(nNIA,DATOS!$A1995,nCURSO,DATOS!$D1995,nESPEC,DATOS!$E1995,nASIG,DATOS!$I1995,nEVAL,"OR")=0))</f>
      </c>
      <c r="I1995">
        <f>IF(DATOS!$I1995="","",IFERROR(VLOOKUP(DATOS!$I1995,CONFIG_ASIGNATURAS!$B$2:$J$91,9,FALSE()),""))</f>
      </c>
    </row>
    <row r="1996">
      <c r="F1996">
        <f>IF(DATOS!$A1996="","",DATOS!$A1996&amp;"|"&amp;DATOS!$D1996&amp;"|"&amp;DATOS!$E1996&amp;"|"&amp;DATOS!$I1996)</f>
      </c>
      <c r="G1996">
        <f>IF(DATOS!$A1996="",0,IF(CONFIG_METADATA!$B$4&lt;&gt;"OR+EX",--(DATOS!$G1996=CONFIG_METADATA!$B$4),IF(DATOS!$G1996="EX",1,IF(DATOS!$G1996="OR",--(COUNTIFS(nNIA,DATOS!$A1996,nCURSO,DATOS!$D1996,nESPEC,DATOS!$E1996,nASIG,DATOS!$I1996,nEVAL,"EX")=0),0))))</f>
      </c>
      <c r="H1996">
        <f>IF(DATOS!$G1996&lt;&gt;"EX",0,--(COUNTIFS(nNIA,DATOS!$A1996,nCURSO,DATOS!$D1996,nESPEC,DATOS!$E1996,nASIG,DATOS!$I1996,nEVAL,"OR")=0))</f>
      </c>
      <c r="I1996">
        <f>IF(DATOS!$I1996="","",IFERROR(VLOOKUP(DATOS!$I1996,CONFIG_ASIGNATURAS!$B$2:$J$91,9,FALSE()),""))</f>
      </c>
    </row>
    <row r="1997">
      <c r="F1997">
        <f>IF(DATOS!$A1997="","",DATOS!$A1997&amp;"|"&amp;DATOS!$D1997&amp;"|"&amp;DATOS!$E1997&amp;"|"&amp;DATOS!$I1997)</f>
      </c>
      <c r="G1997">
        <f>IF(DATOS!$A1997="",0,IF(CONFIG_METADATA!$B$4&lt;&gt;"OR+EX",--(DATOS!$G1997=CONFIG_METADATA!$B$4),IF(DATOS!$G1997="EX",1,IF(DATOS!$G1997="OR",--(COUNTIFS(nNIA,DATOS!$A1997,nCURSO,DATOS!$D1997,nESPEC,DATOS!$E1997,nASIG,DATOS!$I1997,nEVAL,"EX")=0),0))))</f>
      </c>
      <c r="H1997">
        <f>IF(DATOS!$G1997&lt;&gt;"EX",0,--(COUNTIFS(nNIA,DATOS!$A1997,nCURSO,DATOS!$D1997,nESPEC,DATOS!$E1997,nASIG,DATOS!$I1997,nEVAL,"OR")=0))</f>
      </c>
      <c r="I1997">
        <f>IF(DATOS!$I1997="","",IFERROR(VLOOKUP(DATOS!$I1997,CONFIG_ASIGNATURAS!$B$2:$J$91,9,FALSE()),""))</f>
      </c>
    </row>
    <row r="1998">
      <c r="F1998">
        <f>IF(DATOS!$A1998="","",DATOS!$A1998&amp;"|"&amp;DATOS!$D1998&amp;"|"&amp;DATOS!$E1998&amp;"|"&amp;DATOS!$I1998)</f>
      </c>
      <c r="G1998">
        <f>IF(DATOS!$A1998="",0,IF(CONFIG_METADATA!$B$4&lt;&gt;"OR+EX",--(DATOS!$G1998=CONFIG_METADATA!$B$4),IF(DATOS!$G1998="EX",1,IF(DATOS!$G1998="OR",--(COUNTIFS(nNIA,DATOS!$A1998,nCURSO,DATOS!$D1998,nESPEC,DATOS!$E1998,nASIG,DATOS!$I1998,nEVAL,"EX")=0),0))))</f>
      </c>
      <c r="H1998">
        <f>IF(DATOS!$G1998&lt;&gt;"EX",0,--(COUNTIFS(nNIA,DATOS!$A1998,nCURSO,DATOS!$D1998,nESPEC,DATOS!$E1998,nASIG,DATOS!$I1998,nEVAL,"OR")=0))</f>
      </c>
      <c r="I1998">
        <f>IF(DATOS!$I1998="","",IFERROR(VLOOKUP(DATOS!$I1998,CONFIG_ASIGNATURAS!$B$2:$J$91,9,FALSE()),""))</f>
      </c>
    </row>
    <row r="1999">
      <c r="F1999">
        <f>IF(DATOS!$A1999="","",DATOS!$A1999&amp;"|"&amp;DATOS!$D1999&amp;"|"&amp;DATOS!$E1999&amp;"|"&amp;DATOS!$I1999)</f>
      </c>
      <c r="G1999">
        <f>IF(DATOS!$A1999="",0,IF(CONFIG_METADATA!$B$4&lt;&gt;"OR+EX",--(DATOS!$G1999=CONFIG_METADATA!$B$4),IF(DATOS!$G1999="EX",1,IF(DATOS!$G1999="OR",--(COUNTIFS(nNIA,DATOS!$A1999,nCURSO,DATOS!$D1999,nESPEC,DATOS!$E1999,nASIG,DATOS!$I1999,nEVAL,"EX")=0),0))))</f>
      </c>
      <c r="H1999">
        <f>IF(DATOS!$G1999&lt;&gt;"EX",0,--(COUNTIFS(nNIA,DATOS!$A1999,nCURSO,DATOS!$D1999,nESPEC,DATOS!$E1999,nASIG,DATOS!$I1999,nEVAL,"OR")=0))</f>
      </c>
      <c r="I1999">
        <f>IF(DATOS!$I1999="","",IFERROR(VLOOKUP(DATOS!$I1999,CONFIG_ASIGNATURAS!$B$2:$J$91,9,FALSE()),""))</f>
      </c>
    </row>
    <row r="2000">
      <c r="F2000">
        <f>IF(DATOS!$A2000="","",DATOS!$A2000&amp;"|"&amp;DATOS!$D2000&amp;"|"&amp;DATOS!$E2000&amp;"|"&amp;DATOS!$I2000)</f>
      </c>
      <c r="G2000">
        <f>IF(DATOS!$A2000="",0,IF(CONFIG_METADATA!$B$4&lt;&gt;"OR+EX",--(DATOS!$G2000=CONFIG_METADATA!$B$4),IF(DATOS!$G2000="EX",1,IF(DATOS!$G2000="OR",--(COUNTIFS(nNIA,DATOS!$A2000,nCURSO,DATOS!$D2000,nESPEC,DATOS!$E2000,nASIG,DATOS!$I2000,nEVAL,"EX")=0),0))))</f>
      </c>
      <c r="H2000">
        <f>IF(DATOS!$G2000&lt;&gt;"EX",0,--(COUNTIFS(nNIA,DATOS!$A2000,nCURSO,DATOS!$D2000,nESPEC,DATOS!$E2000,nASIG,DATOS!$I2000,nEVAL,"OR")=0))</f>
      </c>
      <c r="I2000">
        <f>IF(DATOS!$I2000="","",IFERROR(VLOOKUP(DATOS!$I2000,CONFIG_ASIGNATURAS!$B$2:$J$91,9,FALSE()),""))</f>
      </c>
    </row>
    <row r="2001">
      <c r="F2001">
        <f>IF(DATOS!$A2001="","",DATOS!$A2001&amp;"|"&amp;DATOS!$D2001&amp;"|"&amp;DATOS!$E2001&amp;"|"&amp;DATOS!$I2001)</f>
      </c>
      <c r="G2001">
        <f>IF(DATOS!$A2001="",0,IF(CONFIG_METADATA!$B$4&lt;&gt;"OR+EX",--(DATOS!$G2001=CONFIG_METADATA!$B$4),IF(DATOS!$G2001="EX",1,IF(DATOS!$G2001="OR",--(COUNTIFS(nNIA,DATOS!$A2001,nCURSO,DATOS!$D2001,nESPEC,DATOS!$E2001,nASIG,DATOS!$I2001,nEVAL,"EX")=0),0))))</f>
      </c>
      <c r="H2001">
        <f>IF(DATOS!$G2001&lt;&gt;"EX",0,--(COUNTIFS(nNIA,DATOS!$A2001,nCURSO,DATOS!$D2001,nESPEC,DATOS!$E2001,nASIG,DATOS!$I2001,nEVAL,"OR")=0))</f>
      </c>
      <c r="I2001">
        <f>IF(DATOS!$I2001="","",IFERROR(VLOOKUP(DATOS!$I2001,CONFIG_ASIGNATURAS!$B$2:$J$91,9,FALSE()),""))</f>
      </c>
    </row>
    <row r="2002">
      <c r="F2002">
        <f>IF(DATOS!$A2002="","",DATOS!$A2002&amp;"|"&amp;DATOS!$D2002&amp;"|"&amp;DATOS!$E2002&amp;"|"&amp;DATOS!$I2002)</f>
      </c>
      <c r="G2002">
        <f>IF(DATOS!$A2002="",0,IF(CONFIG_METADATA!$B$4&lt;&gt;"OR+EX",--(DATOS!$G2002=CONFIG_METADATA!$B$4),IF(DATOS!$G2002="EX",1,IF(DATOS!$G2002="OR",--(COUNTIFS(nNIA,DATOS!$A2002,nCURSO,DATOS!$D2002,nESPEC,DATOS!$E2002,nASIG,DATOS!$I2002,nEVAL,"EX")=0),0))))</f>
      </c>
      <c r="H2002">
        <f>IF(DATOS!$G2002&lt;&gt;"EX",0,--(COUNTIFS(nNIA,DATOS!$A2002,nCURSO,DATOS!$D2002,nESPEC,DATOS!$E2002,nASIG,DATOS!$I2002,nEVAL,"OR")=0))</f>
      </c>
      <c r="I2002">
        <f>IF(DATOS!$I2002="","",IFERROR(VLOOKUP(DATOS!$I2002,CONFIG_ASIGNATURAS!$B$2:$J$91,9,FALSE()),""))</f>
      </c>
    </row>
    <row r="2003">
      <c r="F2003">
        <f>IF(DATOS!$A2003="","",DATOS!$A2003&amp;"|"&amp;DATOS!$D2003&amp;"|"&amp;DATOS!$E2003&amp;"|"&amp;DATOS!$I2003)</f>
      </c>
      <c r="G2003">
        <f>IF(DATOS!$A2003="",0,IF(CONFIG_METADATA!$B$4&lt;&gt;"OR+EX",--(DATOS!$G2003=CONFIG_METADATA!$B$4),IF(DATOS!$G2003="EX",1,IF(DATOS!$G2003="OR",--(COUNTIFS(nNIA,DATOS!$A2003,nCURSO,DATOS!$D2003,nESPEC,DATOS!$E2003,nASIG,DATOS!$I2003,nEVAL,"EX")=0),0))))</f>
      </c>
      <c r="H2003">
        <f>IF(DATOS!$G2003&lt;&gt;"EX",0,--(COUNTIFS(nNIA,DATOS!$A2003,nCURSO,DATOS!$D2003,nESPEC,DATOS!$E2003,nASIG,DATOS!$I2003,nEVAL,"OR")=0))</f>
      </c>
      <c r="I2003">
        <f>IF(DATOS!$I2003="","",IFERROR(VLOOKUP(DATOS!$I2003,CONFIG_ASIGNATURAS!$B$2:$J$91,9,FALSE()),""))</f>
      </c>
    </row>
    <row r="2004">
      <c r="F2004">
        <f>IF(DATOS!$A2004="","",DATOS!$A2004&amp;"|"&amp;DATOS!$D2004&amp;"|"&amp;DATOS!$E2004&amp;"|"&amp;DATOS!$I2004)</f>
      </c>
      <c r="G2004">
        <f>IF(DATOS!$A2004="",0,IF(CONFIG_METADATA!$B$4&lt;&gt;"OR+EX",--(DATOS!$G2004=CONFIG_METADATA!$B$4),IF(DATOS!$G2004="EX",1,IF(DATOS!$G2004="OR",--(COUNTIFS(nNIA,DATOS!$A2004,nCURSO,DATOS!$D2004,nESPEC,DATOS!$E2004,nASIG,DATOS!$I2004,nEVAL,"EX")=0),0))))</f>
      </c>
      <c r="H2004">
        <f>IF(DATOS!$G2004&lt;&gt;"EX",0,--(COUNTIFS(nNIA,DATOS!$A2004,nCURSO,DATOS!$D2004,nESPEC,DATOS!$E2004,nASIG,DATOS!$I2004,nEVAL,"OR")=0))</f>
      </c>
      <c r="I2004">
        <f>IF(DATOS!$I2004="","",IFERROR(VLOOKUP(DATOS!$I2004,CONFIG_ASIGNATURAS!$B$2:$J$91,9,FALSE()),""))</f>
      </c>
    </row>
    <row r="2005">
      <c r="F2005">
        <f>IF(DATOS!$A2005="","",DATOS!$A2005&amp;"|"&amp;DATOS!$D2005&amp;"|"&amp;DATOS!$E2005&amp;"|"&amp;DATOS!$I2005)</f>
      </c>
      <c r="G2005">
        <f>IF(DATOS!$A2005="",0,IF(CONFIG_METADATA!$B$4&lt;&gt;"OR+EX",--(DATOS!$G2005=CONFIG_METADATA!$B$4),IF(DATOS!$G2005="EX",1,IF(DATOS!$G2005="OR",--(COUNTIFS(nNIA,DATOS!$A2005,nCURSO,DATOS!$D2005,nESPEC,DATOS!$E2005,nASIG,DATOS!$I2005,nEVAL,"EX")=0),0))))</f>
      </c>
      <c r="H2005">
        <f>IF(DATOS!$G2005&lt;&gt;"EX",0,--(COUNTIFS(nNIA,DATOS!$A2005,nCURSO,DATOS!$D2005,nESPEC,DATOS!$E2005,nASIG,DATOS!$I2005,nEVAL,"OR")=0))</f>
      </c>
      <c r="I2005">
        <f>IF(DATOS!$I2005="","",IFERROR(VLOOKUP(DATOS!$I2005,CONFIG_ASIGNATURAS!$B$2:$J$91,9,FALSE()),""))</f>
      </c>
    </row>
    <row r="2006">
      <c r="F2006">
        <f>IF(DATOS!$A2006="","",DATOS!$A2006&amp;"|"&amp;DATOS!$D2006&amp;"|"&amp;DATOS!$E2006&amp;"|"&amp;DATOS!$I2006)</f>
      </c>
      <c r="G2006">
        <f>IF(DATOS!$A2006="",0,IF(CONFIG_METADATA!$B$4&lt;&gt;"OR+EX",--(DATOS!$G2006=CONFIG_METADATA!$B$4),IF(DATOS!$G2006="EX",1,IF(DATOS!$G2006="OR",--(COUNTIFS(nNIA,DATOS!$A2006,nCURSO,DATOS!$D2006,nESPEC,DATOS!$E2006,nASIG,DATOS!$I2006,nEVAL,"EX")=0),0))))</f>
      </c>
      <c r="H2006">
        <f>IF(DATOS!$G2006&lt;&gt;"EX",0,--(COUNTIFS(nNIA,DATOS!$A2006,nCURSO,DATOS!$D2006,nESPEC,DATOS!$E2006,nASIG,DATOS!$I2006,nEVAL,"OR")=0))</f>
      </c>
      <c r="I2006">
        <f>IF(DATOS!$I2006="","",IFERROR(VLOOKUP(DATOS!$I2006,CONFIG_ASIGNATURAS!$B$2:$J$91,9,FALSE()),""))</f>
      </c>
    </row>
    <row r="2007">
      <c r="F2007">
        <f>IF(DATOS!$A2007="","",DATOS!$A2007&amp;"|"&amp;DATOS!$D2007&amp;"|"&amp;DATOS!$E2007&amp;"|"&amp;DATOS!$I2007)</f>
      </c>
      <c r="G2007">
        <f>IF(DATOS!$A2007="",0,IF(CONFIG_METADATA!$B$4&lt;&gt;"OR+EX",--(DATOS!$G2007=CONFIG_METADATA!$B$4),IF(DATOS!$G2007="EX",1,IF(DATOS!$G2007="OR",--(COUNTIFS(nNIA,DATOS!$A2007,nCURSO,DATOS!$D2007,nESPEC,DATOS!$E2007,nASIG,DATOS!$I2007,nEVAL,"EX")=0),0))))</f>
      </c>
      <c r="H2007">
        <f>IF(DATOS!$G2007&lt;&gt;"EX",0,--(COUNTIFS(nNIA,DATOS!$A2007,nCURSO,DATOS!$D2007,nESPEC,DATOS!$E2007,nASIG,DATOS!$I2007,nEVAL,"OR")=0))</f>
      </c>
      <c r="I2007">
        <f>IF(DATOS!$I2007="","",IFERROR(VLOOKUP(DATOS!$I2007,CONFIG_ASIGNATURAS!$B$2:$J$91,9,FALSE()),""))</f>
      </c>
    </row>
    <row r="2008">
      <c r="F2008">
        <f>IF(DATOS!$A2008="","",DATOS!$A2008&amp;"|"&amp;DATOS!$D2008&amp;"|"&amp;DATOS!$E2008&amp;"|"&amp;DATOS!$I2008)</f>
      </c>
      <c r="G2008">
        <f>IF(DATOS!$A2008="",0,IF(CONFIG_METADATA!$B$4&lt;&gt;"OR+EX",--(DATOS!$G2008=CONFIG_METADATA!$B$4),IF(DATOS!$G2008="EX",1,IF(DATOS!$G2008="OR",--(COUNTIFS(nNIA,DATOS!$A2008,nCURSO,DATOS!$D2008,nESPEC,DATOS!$E2008,nASIG,DATOS!$I2008,nEVAL,"EX")=0),0))))</f>
      </c>
      <c r="H2008">
        <f>IF(DATOS!$G2008&lt;&gt;"EX",0,--(COUNTIFS(nNIA,DATOS!$A2008,nCURSO,DATOS!$D2008,nESPEC,DATOS!$E2008,nASIG,DATOS!$I2008,nEVAL,"OR")=0))</f>
      </c>
      <c r="I2008">
        <f>IF(DATOS!$I2008="","",IFERROR(VLOOKUP(DATOS!$I2008,CONFIG_ASIGNATURAS!$B$2:$J$91,9,FALSE()),""))</f>
      </c>
    </row>
    <row r="2009">
      <c r="F2009">
        <f>IF(DATOS!$A2009="","",DATOS!$A2009&amp;"|"&amp;DATOS!$D2009&amp;"|"&amp;DATOS!$E2009&amp;"|"&amp;DATOS!$I2009)</f>
      </c>
      <c r="G2009">
        <f>IF(DATOS!$A2009="",0,IF(CONFIG_METADATA!$B$4&lt;&gt;"OR+EX",--(DATOS!$G2009=CONFIG_METADATA!$B$4),IF(DATOS!$G2009="EX",1,IF(DATOS!$G2009="OR",--(COUNTIFS(nNIA,DATOS!$A2009,nCURSO,DATOS!$D2009,nESPEC,DATOS!$E2009,nASIG,DATOS!$I2009,nEVAL,"EX")=0),0))))</f>
      </c>
      <c r="H2009">
        <f>IF(DATOS!$G2009&lt;&gt;"EX",0,--(COUNTIFS(nNIA,DATOS!$A2009,nCURSO,DATOS!$D2009,nESPEC,DATOS!$E2009,nASIG,DATOS!$I2009,nEVAL,"OR")=0))</f>
      </c>
      <c r="I2009">
        <f>IF(DATOS!$I2009="","",IFERROR(VLOOKUP(DATOS!$I2009,CONFIG_ASIGNATURAS!$B$2:$J$91,9,FALSE()),""))</f>
      </c>
    </row>
    <row r="2010">
      <c r="F2010">
        <f>IF(DATOS!$A2010="","",DATOS!$A2010&amp;"|"&amp;DATOS!$D2010&amp;"|"&amp;DATOS!$E2010&amp;"|"&amp;DATOS!$I2010)</f>
      </c>
      <c r="G2010">
        <f>IF(DATOS!$A2010="",0,IF(CONFIG_METADATA!$B$4&lt;&gt;"OR+EX",--(DATOS!$G2010=CONFIG_METADATA!$B$4),IF(DATOS!$G2010="EX",1,IF(DATOS!$G2010="OR",--(COUNTIFS(nNIA,DATOS!$A2010,nCURSO,DATOS!$D2010,nESPEC,DATOS!$E2010,nASIG,DATOS!$I2010,nEVAL,"EX")=0),0))))</f>
      </c>
      <c r="H2010">
        <f>IF(DATOS!$G2010&lt;&gt;"EX",0,--(COUNTIFS(nNIA,DATOS!$A2010,nCURSO,DATOS!$D2010,nESPEC,DATOS!$E2010,nASIG,DATOS!$I2010,nEVAL,"OR")=0))</f>
      </c>
      <c r="I2010">
        <f>IF(DATOS!$I2010="","",IFERROR(VLOOKUP(DATOS!$I2010,CONFIG_ASIGNATURAS!$B$2:$J$91,9,FALSE()),""))</f>
      </c>
    </row>
    <row r="2011">
      <c r="F2011">
        <f>IF(DATOS!$A2011="","",DATOS!$A2011&amp;"|"&amp;DATOS!$D2011&amp;"|"&amp;DATOS!$E2011&amp;"|"&amp;DATOS!$I2011)</f>
      </c>
      <c r="G2011">
        <f>IF(DATOS!$A2011="",0,IF(CONFIG_METADATA!$B$4&lt;&gt;"OR+EX",--(DATOS!$G2011=CONFIG_METADATA!$B$4),IF(DATOS!$G2011="EX",1,IF(DATOS!$G2011="OR",--(COUNTIFS(nNIA,DATOS!$A2011,nCURSO,DATOS!$D2011,nESPEC,DATOS!$E2011,nASIG,DATOS!$I2011,nEVAL,"EX")=0),0))))</f>
      </c>
      <c r="H2011">
        <f>IF(DATOS!$G2011&lt;&gt;"EX",0,--(COUNTIFS(nNIA,DATOS!$A2011,nCURSO,DATOS!$D2011,nESPEC,DATOS!$E2011,nASIG,DATOS!$I2011,nEVAL,"OR")=0))</f>
      </c>
      <c r="I2011">
        <f>IF(DATOS!$I2011="","",IFERROR(VLOOKUP(DATOS!$I2011,CONFIG_ASIGNATURAS!$B$2:$J$91,9,FALSE()),""))</f>
      </c>
    </row>
    <row r="2012">
      <c r="F2012">
        <f>IF(DATOS!$A2012="","",DATOS!$A2012&amp;"|"&amp;DATOS!$D2012&amp;"|"&amp;DATOS!$E2012&amp;"|"&amp;DATOS!$I2012)</f>
      </c>
      <c r="G2012">
        <f>IF(DATOS!$A2012="",0,IF(CONFIG_METADATA!$B$4&lt;&gt;"OR+EX",--(DATOS!$G2012=CONFIG_METADATA!$B$4),IF(DATOS!$G2012="EX",1,IF(DATOS!$G2012="OR",--(COUNTIFS(nNIA,DATOS!$A2012,nCURSO,DATOS!$D2012,nESPEC,DATOS!$E2012,nASIG,DATOS!$I2012,nEVAL,"EX")=0),0))))</f>
      </c>
      <c r="H2012">
        <f>IF(DATOS!$G2012&lt;&gt;"EX",0,--(COUNTIFS(nNIA,DATOS!$A2012,nCURSO,DATOS!$D2012,nESPEC,DATOS!$E2012,nASIG,DATOS!$I2012,nEVAL,"OR")=0))</f>
      </c>
      <c r="I2012">
        <f>IF(DATOS!$I2012="","",IFERROR(VLOOKUP(DATOS!$I2012,CONFIG_ASIGNATURAS!$B$2:$J$91,9,FALSE()),""))</f>
      </c>
    </row>
    <row r="2013">
      <c r="F2013">
        <f>IF(DATOS!$A2013="","",DATOS!$A2013&amp;"|"&amp;DATOS!$D2013&amp;"|"&amp;DATOS!$E2013&amp;"|"&amp;DATOS!$I2013)</f>
      </c>
      <c r="G2013">
        <f>IF(DATOS!$A2013="",0,IF(CONFIG_METADATA!$B$4&lt;&gt;"OR+EX",--(DATOS!$G2013=CONFIG_METADATA!$B$4),IF(DATOS!$G2013="EX",1,IF(DATOS!$G2013="OR",--(COUNTIFS(nNIA,DATOS!$A2013,nCURSO,DATOS!$D2013,nESPEC,DATOS!$E2013,nASIG,DATOS!$I2013,nEVAL,"EX")=0),0))))</f>
      </c>
      <c r="H2013">
        <f>IF(DATOS!$G2013&lt;&gt;"EX",0,--(COUNTIFS(nNIA,DATOS!$A2013,nCURSO,DATOS!$D2013,nESPEC,DATOS!$E2013,nASIG,DATOS!$I2013,nEVAL,"OR")=0))</f>
      </c>
      <c r="I2013">
        <f>IF(DATOS!$I2013="","",IFERROR(VLOOKUP(DATOS!$I2013,CONFIG_ASIGNATURAS!$B$2:$J$91,9,FALSE()),""))</f>
      </c>
    </row>
    <row r="2014">
      <c r="F2014">
        <f>IF(DATOS!$A2014="","",DATOS!$A2014&amp;"|"&amp;DATOS!$D2014&amp;"|"&amp;DATOS!$E2014&amp;"|"&amp;DATOS!$I2014)</f>
      </c>
      <c r="G2014">
        <f>IF(DATOS!$A2014="",0,IF(CONFIG_METADATA!$B$4&lt;&gt;"OR+EX",--(DATOS!$G2014=CONFIG_METADATA!$B$4),IF(DATOS!$G2014="EX",1,IF(DATOS!$G2014="OR",--(COUNTIFS(nNIA,DATOS!$A2014,nCURSO,DATOS!$D2014,nESPEC,DATOS!$E2014,nASIG,DATOS!$I2014,nEVAL,"EX")=0),0))))</f>
      </c>
      <c r="H2014">
        <f>IF(DATOS!$G2014&lt;&gt;"EX",0,--(COUNTIFS(nNIA,DATOS!$A2014,nCURSO,DATOS!$D2014,nESPEC,DATOS!$E2014,nASIG,DATOS!$I2014,nEVAL,"OR")=0))</f>
      </c>
      <c r="I2014">
        <f>IF(DATOS!$I2014="","",IFERROR(VLOOKUP(DATOS!$I2014,CONFIG_ASIGNATURAS!$B$2:$J$91,9,FALSE()),""))</f>
      </c>
    </row>
    <row r="2015">
      <c r="F2015">
        <f>IF(DATOS!$A2015="","",DATOS!$A2015&amp;"|"&amp;DATOS!$D2015&amp;"|"&amp;DATOS!$E2015&amp;"|"&amp;DATOS!$I2015)</f>
      </c>
      <c r="G2015">
        <f>IF(DATOS!$A2015="",0,IF(CONFIG_METADATA!$B$4&lt;&gt;"OR+EX",--(DATOS!$G2015=CONFIG_METADATA!$B$4),IF(DATOS!$G2015="EX",1,IF(DATOS!$G2015="OR",--(COUNTIFS(nNIA,DATOS!$A2015,nCURSO,DATOS!$D2015,nESPEC,DATOS!$E2015,nASIG,DATOS!$I2015,nEVAL,"EX")=0),0))))</f>
      </c>
      <c r="H2015">
        <f>IF(DATOS!$G2015&lt;&gt;"EX",0,--(COUNTIFS(nNIA,DATOS!$A2015,nCURSO,DATOS!$D2015,nESPEC,DATOS!$E2015,nASIG,DATOS!$I2015,nEVAL,"OR")=0))</f>
      </c>
      <c r="I2015">
        <f>IF(DATOS!$I2015="","",IFERROR(VLOOKUP(DATOS!$I2015,CONFIG_ASIGNATURAS!$B$2:$J$91,9,FALSE()),""))</f>
      </c>
    </row>
    <row r="2016">
      <c r="F2016">
        <f>IF(DATOS!$A2016="","",DATOS!$A2016&amp;"|"&amp;DATOS!$D2016&amp;"|"&amp;DATOS!$E2016&amp;"|"&amp;DATOS!$I2016)</f>
      </c>
      <c r="G2016">
        <f>IF(DATOS!$A2016="",0,IF(CONFIG_METADATA!$B$4&lt;&gt;"OR+EX",--(DATOS!$G2016=CONFIG_METADATA!$B$4),IF(DATOS!$G2016="EX",1,IF(DATOS!$G2016="OR",--(COUNTIFS(nNIA,DATOS!$A2016,nCURSO,DATOS!$D2016,nESPEC,DATOS!$E2016,nASIG,DATOS!$I2016,nEVAL,"EX")=0),0))))</f>
      </c>
      <c r="H2016">
        <f>IF(DATOS!$G2016&lt;&gt;"EX",0,--(COUNTIFS(nNIA,DATOS!$A2016,nCURSO,DATOS!$D2016,nESPEC,DATOS!$E2016,nASIG,DATOS!$I2016,nEVAL,"OR")=0))</f>
      </c>
      <c r="I2016">
        <f>IF(DATOS!$I2016="","",IFERROR(VLOOKUP(DATOS!$I2016,CONFIG_ASIGNATURAS!$B$2:$J$91,9,FALSE()),""))</f>
      </c>
    </row>
    <row r="2017">
      <c r="F2017">
        <f>IF(DATOS!$A2017="","",DATOS!$A2017&amp;"|"&amp;DATOS!$D2017&amp;"|"&amp;DATOS!$E2017&amp;"|"&amp;DATOS!$I2017)</f>
      </c>
      <c r="G2017">
        <f>IF(DATOS!$A2017="",0,IF(CONFIG_METADATA!$B$4&lt;&gt;"OR+EX",--(DATOS!$G2017=CONFIG_METADATA!$B$4),IF(DATOS!$G2017="EX",1,IF(DATOS!$G2017="OR",--(COUNTIFS(nNIA,DATOS!$A2017,nCURSO,DATOS!$D2017,nESPEC,DATOS!$E2017,nASIG,DATOS!$I2017,nEVAL,"EX")=0),0))))</f>
      </c>
      <c r="H2017">
        <f>IF(DATOS!$G2017&lt;&gt;"EX",0,--(COUNTIFS(nNIA,DATOS!$A2017,nCURSO,DATOS!$D2017,nESPEC,DATOS!$E2017,nASIG,DATOS!$I2017,nEVAL,"OR")=0))</f>
      </c>
      <c r="I2017">
        <f>IF(DATOS!$I2017="","",IFERROR(VLOOKUP(DATOS!$I2017,CONFIG_ASIGNATURAS!$B$2:$J$91,9,FALSE()),""))</f>
      </c>
    </row>
    <row r="2018">
      <c r="F2018">
        <f>IF(DATOS!$A2018="","",DATOS!$A2018&amp;"|"&amp;DATOS!$D2018&amp;"|"&amp;DATOS!$E2018&amp;"|"&amp;DATOS!$I2018)</f>
      </c>
      <c r="G2018">
        <f>IF(DATOS!$A2018="",0,IF(CONFIG_METADATA!$B$4&lt;&gt;"OR+EX",--(DATOS!$G2018=CONFIG_METADATA!$B$4),IF(DATOS!$G2018="EX",1,IF(DATOS!$G2018="OR",--(COUNTIFS(nNIA,DATOS!$A2018,nCURSO,DATOS!$D2018,nESPEC,DATOS!$E2018,nASIG,DATOS!$I2018,nEVAL,"EX")=0),0))))</f>
      </c>
      <c r="H2018">
        <f>IF(DATOS!$G2018&lt;&gt;"EX",0,--(COUNTIFS(nNIA,DATOS!$A2018,nCURSO,DATOS!$D2018,nESPEC,DATOS!$E2018,nASIG,DATOS!$I2018,nEVAL,"OR")=0))</f>
      </c>
      <c r="I2018">
        <f>IF(DATOS!$I2018="","",IFERROR(VLOOKUP(DATOS!$I2018,CONFIG_ASIGNATURAS!$B$2:$J$91,9,FALSE()),""))</f>
      </c>
    </row>
    <row r="2019">
      <c r="F2019">
        <f>IF(DATOS!$A2019="","",DATOS!$A2019&amp;"|"&amp;DATOS!$D2019&amp;"|"&amp;DATOS!$E2019&amp;"|"&amp;DATOS!$I2019)</f>
      </c>
      <c r="G2019">
        <f>IF(DATOS!$A2019="",0,IF(CONFIG_METADATA!$B$4&lt;&gt;"OR+EX",--(DATOS!$G2019=CONFIG_METADATA!$B$4),IF(DATOS!$G2019="EX",1,IF(DATOS!$G2019="OR",--(COUNTIFS(nNIA,DATOS!$A2019,nCURSO,DATOS!$D2019,nESPEC,DATOS!$E2019,nASIG,DATOS!$I2019,nEVAL,"EX")=0),0))))</f>
      </c>
      <c r="H2019">
        <f>IF(DATOS!$G2019&lt;&gt;"EX",0,--(COUNTIFS(nNIA,DATOS!$A2019,nCURSO,DATOS!$D2019,nESPEC,DATOS!$E2019,nASIG,DATOS!$I2019,nEVAL,"OR")=0))</f>
      </c>
      <c r="I2019">
        <f>IF(DATOS!$I2019="","",IFERROR(VLOOKUP(DATOS!$I2019,CONFIG_ASIGNATURAS!$B$2:$J$91,9,FALSE()),""))</f>
      </c>
    </row>
    <row r="2020">
      <c r="F2020">
        <f>IF(DATOS!$A2020="","",DATOS!$A2020&amp;"|"&amp;DATOS!$D2020&amp;"|"&amp;DATOS!$E2020&amp;"|"&amp;DATOS!$I2020)</f>
      </c>
      <c r="G2020">
        <f>IF(DATOS!$A2020="",0,IF(CONFIG_METADATA!$B$4&lt;&gt;"OR+EX",--(DATOS!$G2020=CONFIG_METADATA!$B$4),IF(DATOS!$G2020="EX",1,IF(DATOS!$G2020="OR",--(COUNTIFS(nNIA,DATOS!$A2020,nCURSO,DATOS!$D2020,nESPEC,DATOS!$E2020,nASIG,DATOS!$I2020,nEVAL,"EX")=0),0))))</f>
      </c>
      <c r="H2020">
        <f>IF(DATOS!$G2020&lt;&gt;"EX",0,--(COUNTIFS(nNIA,DATOS!$A2020,nCURSO,DATOS!$D2020,nESPEC,DATOS!$E2020,nASIG,DATOS!$I2020,nEVAL,"OR")=0))</f>
      </c>
      <c r="I2020">
        <f>IF(DATOS!$I2020="","",IFERROR(VLOOKUP(DATOS!$I2020,CONFIG_ASIGNATURAS!$B$2:$J$91,9,FALSE()),""))</f>
      </c>
    </row>
    <row r="2021">
      <c r="F2021">
        <f>IF(DATOS!$A2021="","",DATOS!$A2021&amp;"|"&amp;DATOS!$D2021&amp;"|"&amp;DATOS!$E2021&amp;"|"&amp;DATOS!$I2021)</f>
      </c>
      <c r="G2021">
        <f>IF(DATOS!$A2021="",0,IF(CONFIG_METADATA!$B$4&lt;&gt;"OR+EX",--(DATOS!$G2021=CONFIG_METADATA!$B$4),IF(DATOS!$G2021="EX",1,IF(DATOS!$G2021="OR",--(COUNTIFS(nNIA,DATOS!$A2021,nCURSO,DATOS!$D2021,nESPEC,DATOS!$E2021,nASIG,DATOS!$I2021,nEVAL,"EX")=0),0))))</f>
      </c>
      <c r="H2021">
        <f>IF(DATOS!$G2021&lt;&gt;"EX",0,--(COUNTIFS(nNIA,DATOS!$A2021,nCURSO,DATOS!$D2021,nESPEC,DATOS!$E2021,nASIG,DATOS!$I2021,nEVAL,"OR")=0))</f>
      </c>
      <c r="I2021">
        <f>IF(DATOS!$I2021="","",IFERROR(VLOOKUP(DATOS!$I2021,CONFIG_ASIGNATURAS!$B$2:$J$91,9,FALSE()),""))</f>
      </c>
    </row>
    <row r="2022">
      <c r="F2022">
        <f>IF(DATOS!$A2022="","",DATOS!$A2022&amp;"|"&amp;DATOS!$D2022&amp;"|"&amp;DATOS!$E2022&amp;"|"&amp;DATOS!$I2022)</f>
      </c>
      <c r="G2022">
        <f>IF(DATOS!$A2022="",0,IF(CONFIG_METADATA!$B$4&lt;&gt;"OR+EX",--(DATOS!$G2022=CONFIG_METADATA!$B$4),IF(DATOS!$G2022="EX",1,IF(DATOS!$G2022="OR",--(COUNTIFS(nNIA,DATOS!$A2022,nCURSO,DATOS!$D2022,nESPEC,DATOS!$E2022,nASIG,DATOS!$I2022,nEVAL,"EX")=0),0))))</f>
      </c>
      <c r="H2022">
        <f>IF(DATOS!$G2022&lt;&gt;"EX",0,--(COUNTIFS(nNIA,DATOS!$A2022,nCURSO,DATOS!$D2022,nESPEC,DATOS!$E2022,nASIG,DATOS!$I2022,nEVAL,"OR")=0))</f>
      </c>
      <c r="I2022">
        <f>IF(DATOS!$I2022="","",IFERROR(VLOOKUP(DATOS!$I2022,CONFIG_ASIGNATURAS!$B$2:$J$91,9,FALSE()),""))</f>
      </c>
    </row>
    <row r="2023">
      <c r="F2023">
        <f>IF(DATOS!$A2023="","",DATOS!$A2023&amp;"|"&amp;DATOS!$D2023&amp;"|"&amp;DATOS!$E2023&amp;"|"&amp;DATOS!$I2023)</f>
      </c>
      <c r="G2023">
        <f>IF(DATOS!$A2023="",0,IF(CONFIG_METADATA!$B$4&lt;&gt;"OR+EX",--(DATOS!$G2023=CONFIG_METADATA!$B$4),IF(DATOS!$G2023="EX",1,IF(DATOS!$G2023="OR",--(COUNTIFS(nNIA,DATOS!$A2023,nCURSO,DATOS!$D2023,nESPEC,DATOS!$E2023,nASIG,DATOS!$I2023,nEVAL,"EX")=0),0))))</f>
      </c>
      <c r="H2023">
        <f>IF(DATOS!$G2023&lt;&gt;"EX",0,--(COUNTIFS(nNIA,DATOS!$A2023,nCURSO,DATOS!$D2023,nESPEC,DATOS!$E2023,nASIG,DATOS!$I2023,nEVAL,"OR")=0))</f>
      </c>
      <c r="I2023">
        <f>IF(DATOS!$I2023="","",IFERROR(VLOOKUP(DATOS!$I2023,CONFIG_ASIGNATURAS!$B$2:$J$91,9,FALSE()),""))</f>
      </c>
    </row>
    <row r="2024">
      <c r="F2024">
        <f>IF(DATOS!$A2024="","",DATOS!$A2024&amp;"|"&amp;DATOS!$D2024&amp;"|"&amp;DATOS!$E2024&amp;"|"&amp;DATOS!$I2024)</f>
      </c>
      <c r="G2024">
        <f>IF(DATOS!$A2024="",0,IF(CONFIG_METADATA!$B$4&lt;&gt;"OR+EX",--(DATOS!$G2024=CONFIG_METADATA!$B$4),IF(DATOS!$G2024="EX",1,IF(DATOS!$G2024="OR",--(COUNTIFS(nNIA,DATOS!$A2024,nCURSO,DATOS!$D2024,nESPEC,DATOS!$E2024,nASIG,DATOS!$I2024,nEVAL,"EX")=0),0))))</f>
      </c>
      <c r="H2024">
        <f>IF(DATOS!$G2024&lt;&gt;"EX",0,--(COUNTIFS(nNIA,DATOS!$A2024,nCURSO,DATOS!$D2024,nESPEC,DATOS!$E2024,nASIG,DATOS!$I2024,nEVAL,"OR")=0))</f>
      </c>
      <c r="I2024">
        <f>IF(DATOS!$I2024="","",IFERROR(VLOOKUP(DATOS!$I2024,CONFIG_ASIGNATURAS!$B$2:$J$91,9,FALSE()),""))</f>
      </c>
    </row>
    <row r="2025">
      <c r="F2025">
        <f>IF(DATOS!$A2025="","",DATOS!$A2025&amp;"|"&amp;DATOS!$D2025&amp;"|"&amp;DATOS!$E2025&amp;"|"&amp;DATOS!$I2025)</f>
      </c>
      <c r="G2025">
        <f>IF(DATOS!$A2025="",0,IF(CONFIG_METADATA!$B$4&lt;&gt;"OR+EX",--(DATOS!$G2025=CONFIG_METADATA!$B$4),IF(DATOS!$G2025="EX",1,IF(DATOS!$G2025="OR",--(COUNTIFS(nNIA,DATOS!$A2025,nCURSO,DATOS!$D2025,nESPEC,DATOS!$E2025,nASIG,DATOS!$I2025,nEVAL,"EX")=0),0))))</f>
      </c>
      <c r="H2025">
        <f>IF(DATOS!$G2025&lt;&gt;"EX",0,--(COUNTIFS(nNIA,DATOS!$A2025,nCURSO,DATOS!$D2025,nESPEC,DATOS!$E2025,nASIG,DATOS!$I2025,nEVAL,"OR")=0))</f>
      </c>
      <c r="I2025">
        <f>IF(DATOS!$I2025="","",IFERROR(VLOOKUP(DATOS!$I2025,CONFIG_ASIGNATURAS!$B$2:$J$91,9,FALSE()),""))</f>
      </c>
    </row>
    <row r="2026">
      <c r="F2026">
        <f>IF(DATOS!$A2026="","",DATOS!$A2026&amp;"|"&amp;DATOS!$D2026&amp;"|"&amp;DATOS!$E2026&amp;"|"&amp;DATOS!$I2026)</f>
      </c>
      <c r="G2026">
        <f>IF(DATOS!$A2026="",0,IF(CONFIG_METADATA!$B$4&lt;&gt;"OR+EX",--(DATOS!$G2026=CONFIG_METADATA!$B$4),IF(DATOS!$G2026="EX",1,IF(DATOS!$G2026="OR",--(COUNTIFS(nNIA,DATOS!$A2026,nCURSO,DATOS!$D2026,nESPEC,DATOS!$E2026,nASIG,DATOS!$I2026,nEVAL,"EX")=0),0))))</f>
      </c>
      <c r="H2026">
        <f>IF(DATOS!$G2026&lt;&gt;"EX",0,--(COUNTIFS(nNIA,DATOS!$A2026,nCURSO,DATOS!$D2026,nESPEC,DATOS!$E2026,nASIG,DATOS!$I2026,nEVAL,"OR")=0))</f>
      </c>
      <c r="I2026">
        <f>IF(DATOS!$I2026="","",IFERROR(VLOOKUP(DATOS!$I2026,CONFIG_ASIGNATURAS!$B$2:$J$91,9,FALSE()),""))</f>
      </c>
    </row>
    <row r="2027">
      <c r="F2027">
        <f>IF(DATOS!$A2027="","",DATOS!$A2027&amp;"|"&amp;DATOS!$D2027&amp;"|"&amp;DATOS!$E2027&amp;"|"&amp;DATOS!$I2027)</f>
      </c>
      <c r="G2027">
        <f>IF(DATOS!$A2027="",0,IF(CONFIG_METADATA!$B$4&lt;&gt;"OR+EX",--(DATOS!$G2027=CONFIG_METADATA!$B$4),IF(DATOS!$G2027="EX",1,IF(DATOS!$G2027="OR",--(COUNTIFS(nNIA,DATOS!$A2027,nCURSO,DATOS!$D2027,nESPEC,DATOS!$E2027,nASIG,DATOS!$I2027,nEVAL,"EX")=0),0))))</f>
      </c>
      <c r="H2027">
        <f>IF(DATOS!$G2027&lt;&gt;"EX",0,--(COUNTIFS(nNIA,DATOS!$A2027,nCURSO,DATOS!$D2027,nESPEC,DATOS!$E2027,nASIG,DATOS!$I2027,nEVAL,"OR")=0))</f>
      </c>
      <c r="I2027">
        <f>IF(DATOS!$I2027="","",IFERROR(VLOOKUP(DATOS!$I2027,CONFIG_ASIGNATURAS!$B$2:$J$91,9,FALSE()),""))</f>
      </c>
    </row>
    <row r="2028">
      <c r="F2028">
        <f>IF(DATOS!$A2028="","",DATOS!$A2028&amp;"|"&amp;DATOS!$D2028&amp;"|"&amp;DATOS!$E2028&amp;"|"&amp;DATOS!$I2028)</f>
      </c>
      <c r="G2028">
        <f>IF(DATOS!$A2028="",0,IF(CONFIG_METADATA!$B$4&lt;&gt;"OR+EX",--(DATOS!$G2028=CONFIG_METADATA!$B$4),IF(DATOS!$G2028="EX",1,IF(DATOS!$G2028="OR",--(COUNTIFS(nNIA,DATOS!$A2028,nCURSO,DATOS!$D2028,nESPEC,DATOS!$E2028,nASIG,DATOS!$I2028,nEVAL,"EX")=0),0))))</f>
      </c>
      <c r="H2028">
        <f>IF(DATOS!$G2028&lt;&gt;"EX",0,--(COUNTIFS(nNIA,DATOS!$A2028,nCURSO,DATOS!$D2028,nESPEC,DATOS!$E2028,nASIG,DATOS!$I2028,nEVAL,"OR")=0))</f>
      </c>
      <c r="I2028">
        <f>IF(DATOS!$I2028="","",IFERROR(VLOOKUP(DATOS!$I2028,CONFIG_ASIGNATURAS!$B$2:$J$91,9,FALSE()),""))</f>
      </c>
    </row>
    <row r="2029">
      <c r="F2029">
        <f>IF(DATOS!$A2029="","",DATOS!$A2029&amp;"|"&amp;DATOS!$D2029&amp;"|"&amp;DATOS!$E2029&amp;"|"&amp;DATOS!$I2029)</f>
      </c>
      <c r="G2029">
        <f>IF(DATOS!$A2029="",0,IF(CONFIG_METADATA!$B$4&lt;&gt;"OR+EX",--(DATOS!$G2029=CONFIG_METADATA!$B$4),IF(DATOS!$G2029="EX",1,IF(DATOS!$G2029="OR",--(COUNTIFS(nNIA,DATOS!$A2029,nCURSO,DATOS!$D2029,nESPEC,DATOS!$E2029,nASIG,DATOS!$I2029,nEVAL,"EX")=0),0))))</f>
      </c>
      <c r="H2029">
        <f>IF(DATOS!$G2029&lt;&gt;"EX",0,--(COUNTIFS(nNIA,DATOS!$A2029,nCURSO,DATOS!$D2029,nESPEC,DATOS!$E2029,nASIG,DATOS!$I2029,nEVAL,"OR")=0))</f>
      </c>
      <c r="I2029">
        <f>IF(DATOS!$I2029="","",IFERROR(VLOOKUP(DATOS!$I2029,CONFIG_ASIGNATURAS!$B$2:$J$91,9,FALSE()),""))</f>
      </c>
    </row>
    <row r="2030">
      <c r="F2030">
        <f>IF(DATOS!$A2030="","",DATOS!$A2030&amp;"|"&amp;DATOS!$D2030&amp;"|"&amp;DATOS!$E2030&amp;"|"&amp;DATOS!$I2030)</f>
      </c>
      <c r="G2030">
        <f>IF(DATOS!$A2030="",0,IF(CONFIG_METADATA!$B$4&lt;&gt;"OR+EX",--(DATOS!$G2030=CONFIG_METADATA!$B$4),IF(DATOS!$G2030="EX",1,IF(DATOS!$G2030="OR",--(COUNTIFS(nNIA,DATOS!$A2030,nCURSO,DATOS!$D2030,nESPEC,DATOS!$E2030,nASIG,DATOS!$I2030,nEVAL,"EX")=0),0))))</f>
      </c>
      <c r="H2030">
        <f>IF(DATOS!$G2030&lt;&gt;"EX",0,--(COUNTIFS(nNIA,DATOS!$A2030,nCURSO,DATOS!$D2030,nESPEC,DATOS!$E2030,nASIG,DATOS!$I2030,nEVAL,"OR")=0))</f>
      </c>
      <c r="I2030">
        <f>IF(DATOS!$I2030="","",IFERROR(VLOOKUP(DATOS!$I2030,CONFIG_ASIGNATURAS!$B$2:$J$91,9,FALSE()),""))</f>
      </c>
    </row>
    <row r="2031">
      <c r="F2031">
        <f>IF(DATOS!$A2031="","",DATOS!$A2031&amp;"|"&amp;DATOS!$D2031&amp;"|"&amp;DATOS!$E2031&amp;"|"&amp;DATOS!$I2031)</f>
      </c>
      <c r="G2031">
        <f>IF(DATOS!$A2031="",0,IF(CONFIG_METADATA!$B$4&lt;&gt;"OR+EX",--(DATOS!$G2031=CONFIG_METADATA!$B$4),IF(DATOS!$G2031="EX",1,IF(DATOS!$G2031="OR",--(COUNTIFS(nNIA,DATOS!$A2031,nCURSO,DATOS!$D2031,nESPEC,DATOS!$E2031,nASIG,DATOS!$I2031,nEVAL,"EX")=0),0))))</f>
      </c>
      <c r="H2031">
        <f>IF(DATOS!$G2031&lt;&gt;"EX",0,--(COUNTIFS(nNIA,DATOS!$A2031,nCURSO,DATOS!$D2031,nESPEC,DATOS!$E2031,nASIG,DATOS!$I2031,nEVAL,"OR")=0))</f>
      </c>
      <c r="I2031">
        <f>IF(DATOS!$I2031="","",IFERROR(VLOOKUP(DATOS!$I2031,CONFIG_ASIGNATURAS!$B$2:$J$91,9,FALSE()),""))</f>
      </c>
    </row>
    <row r="2032">
      <c r="F2032">
        <f>IF(DATOS!$A2032="","",DATOS!$A2032&amp;"|"&amp;DATOS!$D2032&amp;"|"&amp;DATOS!$E2032&amp;"|"&amp;DATOS!$I2032)</f>
      </c>
      <c r="G2032">
        <f>IF(DATOS!$A2032="",0,IF(CONFIG_METADATA!$B$4&lt;&gt;"OR+EX",--(DATOS!$G2032=CONFIG_METADATA!$B$4),IF(DATOS!$G2032="EX",1,IF(DATOS!$G2032="OR",--(COUNTIFS(nNIA,DATOS!$A2032,nCURSO,DATOS!$D2032,nESPEC,DATOS!$E2032,nASIG,DATOS!$I2032,nEVAL,"EX")=0),0))))</f>
      </c>
      <c r="H2032">
        <f>IF(DATOS!$G2032&lt;&gt;"EX",0,--(COUNTIFS(nNIA,DATOS!$A2032,nCURSO,DATOS!$D2032,nESPEC,DATOS!$E2032,nASIG,DATOS!$I2032,nEVAL,"OR")=0))</f>
      </c>
      <c r="I2032">
        <f>IF(DATOS!$I2032="","",IFERROR(VLOOKUP(DATOS!$I2032,CONFIG_ASIGNATURAS!$B$2:$J$91,9,FALSE()),""))</f>
      </c>
    </row>
    <row r="2033">
      <c r="F2033">
        <f>IF(DATOS!$A2033="","",DATOS!$A2033&amp;"|"&amp;DATOS!$D2033&amp;"|"&amp;DATOS!$E2033&amp;"|"&amp;DATOS!$I2033)</f>
      </c>
      <c r="G2033">
        <f>IF(DATOS!$A2033="",0,IF(CONFIG_METADATA!$B$4&lt;&gt;"OR+EX",--(DATOS!$G2033=CONFIG_METADATA!$B$4),IF(DATOS!$G2033="EX",1,IF(DATOS!$G2033="OR",--(COUNTIFS(nNIA,DATOS!$A2033,nCURSO,DATOS!$D2033,nESPEC,DATOS!$E2033,nASIG,DATOS!$I2033,nEVAL,"EX")=0),0))))</f>
      </c>
      <c r="H2033">
        <f>IF(DATOS!$G2033&lt;&gt;"EX",0,--(COUNTIFS(nNIA,DATOS!$A2033,nCURSO,DATOS!$D2033,nESPEC,DATOS!$E2033,nASIG,DATOS!$I2033,nEVAL,"OR")=0))</f>
      </c>
      <c r="I2033">
        <f>IF(DATOS!$I2033="","",IFERROR(VLOOKUP(DATOS!$I2033,CONFIG_ASIGNATURAS!$B$2:$J$91,9,FALSE()),""))</f>
      </c>
    </row>
    <row r="2034">
      <c r="F2034">
        <f>IF(DATOS!$A2034="","",DATOS!$A2034&amp;"|"&amp;DATOS!$D2034&amp;"|"&amp;DATOS!$E2034&amp;"|"&amp;DATOS!$I2034)</f>
      </c>
      <c r="G2034">
        <f>IF(DATOS!$A2034="",0,IF(CONFIG_METADATA!$B$4&lt;&gt;"OR+EX",--(DATOS!$G2034=CONFIG_METADATA!$B$4),IF(DATOS!$G2034="EX",1,IF(DATOS!$G2034="OR",--(COUNTIFS(nNIA,DATOS!$A2034,nCURSO,DATOS!$D2034,nESPEC,DATOS!$E2034,nASIG,DATOS!$I2034,nEVAL,"EX")=0),0))))</f>
      </c>
      <c r="H2034">
        <f>IF(DATOS!$G2034&lt;&gt;"EX",0,--(COUNTIFS(nNIA,DATOS!$A2034,nCURSO,DATOS!$D2034,nESPEC,DATOS!$E2034,nASIG,DATOS!$I2034,nEVAL,"OR")=0))</f>
      </c>
      <c r="I2034">
        <f>IF(DATOS!$I2034="","",IFERROR(VLOOKUP(DATOS!$I2034,CONFIG_ASIGNATURAS!$B$2:$J$91,9,FALSE()),""))</f>
      </c>
    </row>
    <row r="2035">
      <c r="F2035">
        <f>IF(DATOS!$A2035="","",DATOS!$A2035&amp;"|"&amp;DATOS!$D2035&amp;"|"&amp;DATOS!$E2035&amp;"|"&amp;DATOS!$I2035)</f>
      </c>
      <c r="G2035">
        <f>IF(DATOS!$A2035="",0,IF(CONFIG_METADATA!$B$4&lt;&gt;"OR+EX",--(DATOS!$G2035=CONFIG_METADATA!$B$4),IF(DATOS!$G2035="EX",1,IF(DATOS!$G2035="OR",--(COUNTIFS(nNIA,DATOS!$A2035,nCURSO,DATOS!$D2035,nESPEC,DATOS!$E2035,nASIG,DATOS!$I2035,nEVAL,"EX")=0),0))))</f>
      </c>
      <c r="H2035">
        <f>IF(DATOS!$G2035&lt;&gt;"EX",0,--(COUNTIFS(nNIA,DATOS!$A2035,nCURSO,DATOS!$D2035,nESPEC,DATOS!$E2035,nASIG,DATOS!$I2035,nEVAL,"OR")=0))</f>
      </c>
      <c r="I2035">
        <f>IF(DATOS!$I2035="","",IFERROR(VLOOKUP(DATOS!$I2035,CONFIG_ASIGNATURAS!$B$2:$J$91,9,FALSE()),""))</f>
      </c>
    </row>
    <row r="2036">
      <c r="F2036">
        <f>IF(DATOS!$A2036="","",DATOS!$A2036&amp;"|"&amp;DATOS!$D2036&amp;"|"&amp;DATOS!$E2036&amp;"|"&amp;DATOS!$I2036)</f>
      </c>
      <c r="G2036">
        <f>IF(DATOS!$A2036="",0,IF(CONFIG_METADATA!$B$4&lt;&gt;"OR+EX",--(DATOS!$G2036=CONFIG_METADATA!$B$4),IF(DATOS!$G2036="EX",1,IF(DATOS!$G2036="OR",--(COUNTIFS(nNIA,DATOS!$A2036,nCURSO,DATOS!$D2036,nESPEC,DATOS!$E2036,nASIG,DATOS!$I2036,nEVAL,"EX")=0),0))))</f>
      </c>
      <c r="H2036">
        <f>IF(DATOS!$G2036&lt;&gt;"EX",0,--(COUNTIFS(nNIA,DATOS!$A2036,nCURSO,DATOS!$D2036,nESPEC,DATOS!$E2036,nASIG,DATOS!$I2036,nEVAL,"OR")=0))</f>
      </c>
      <c r="I2036">
        <f>IF(DATOS!$I2036="","",IFERROR(VLOOKUP(DATOS!$I2036,CONFIG_ASIGNATURAS!$B$2:$J$91,9,FALSE()),""))</f>
      </c>
    </row>
    <row r="2037">
      <c r="F2037">
        <f>IF(DATOS!$A2037="","",DATOS!$A2037&amp;"|"&amp;DATOS!$D2037&amp;"|"&amp;DATOS!$E2037&amp;"|"&amp;DATOS!$I2037)</f>
      </c>
      <c r="G2037">
        <f>IF(DATOS!$A2037="",0,IF(CONFIG_METADATA!$B$4&lt;&gt;"OR+EX",--(DATOS!$G2037=CONFIG_METADATA!$B$4),IF(DATOS!$G2037="EX",1,IF(DATOS!$G2037="OR",--(COUNTIFS(nNIA,DATOS!$A2037,nCURSO,DATOS!$D2037,nESPEC,DATOS!$E2037,nASIG,DATOS!$I2037,nEVAL,"EX")=0),0))))</f>
      </c>
      <c r="H2037">
        <f>IF(DATOS!$G2037&lt;&gt;"EX",0,--(COUNTIFS(nNIA,DATOS!$A2037,nCURSO,DATOS!$D2037,nESPEC,DATOS!$E2037,nASIG,DATOS!$I2037,nEVAL,"OR")=0))</f>
      </c>
      <c r="I2037">
        <f>IF(DATOS!$I2037="","",IFERROR(VLOOKUP(DATOS!$I2037,CONFIG_ASIGNATURAS!$B$2:$J$91,9,FALSE()),""))</f>
      </c>
    </row>
    <row r="2038">
      <c r="F2038">
        <f>IF(DATOS!$A2038="","",DATOS!$A2038&amp;"|"&amp;DATOS!$D2038&amp;"|"&amp;DATOS!$E2038&amp;"|"&amp;DATOS!$I2038)</f>
      </c>
      <c r="G2038">
        <f>IF(DATOS!$A2038="",0,IF(CONFIG_METADATA!$B$4&lt;&gt;"OR+EX",--(DATOS!$G2038=CONFIG_METADATA!$B$4),IF(DATOS!$G2038="EX",1,IF(DATOS!$G2038="OR",--(COUNTIFS(nNIA,DATOS!$A2038,nCURSO,DATOS!$D2038,nESPEC,DATOS!$E2038,nASIG,DATOS!$I2038,nEVAL,"EX")=0),0))))</f>
      </c>
      <c r="H2038">
        <f>IF(DATOS!$G2038&lt;&gt;"EX",0,--(COUNTIFS(nNIA,DATOS!$A2038,nCURSO,DATOS!$D2038,nESPEC,DATOS!$E2038,nASIG,DATOS!$I2038,nEVAL,"OR")=0))</f>
      </c>
      <c r="I2038">
        <f>IF(DATOS!$I2038="","",IFERROR(VLOOKUP(DATOS!$I2038,CONFIG_ASIGNATURAS!$B$2:$J$91,9,FALSE()),""))</f>
      </c>
    </row>
    <row r="2039">
      <c r="F2039">
        <f>IF(DATOS!$A2039="","",DATOS!$A2039&amp;"|"&amp;DATOS!$D2039&amp;"|"&amp;DATOS!$E2039&amp;"|"&amp;DATOS!$I2039)</f>
      </c>
      <c r="G2039">
        <f>IF(DATOS!$A2039="",0,IF(CONFIG_METADATA!$B$4&lt;&gt;"OR+EX",--(DATOS!$G2039=CONFIG_METADATA!$B$4),IF(DATOS!$G2039="EX",1,IF(DATOS!$G2039="OR",--(COUNTIFS(nNIA,DATOS!$A2039,nCURSO,DATOS!$D2039,nESPEC,DATOS!$E2039,nASIG,DATOS!$I2039,nEVAL,"EX")=0),0))))</f>
      </c>
      <c r="H2039">
        <f>IF(DATOS!$G2039&lt;&gt;"EX",0,--(COUNTIFS(nNIA,DATOS!$A2039,nCURSO,DATOS!$D2039,nESPEC,DATOS!$E2039,nASIG,DATOS!$I2039,nEVAL,"OR")=0))</f>
      </c>
      <c r="I2039">
        <f>IF(DATOS!$I2039="","",IFERROR(VLOOKUP(DATOS!$I2039,CONFIG_ASIGNATURAS!$B$2:$J$91,9,FALSE()),""))</f>
      </c>
    </row>
    <row r="2040">
      <c r="F2040">
        <f>IF(DATOS!$A2040="","",DATOS!$A2040&amp;"|"&amp;DATOS!$D2040&amp;"|"&amp;DATOS!$E2040&amp;"|"&amp;DATOS!$I2040)</f>
      </c>
      <c r="G2040">
        <f>IF(DATOS!$A2040="",0,IF(CONFIG_METADATA!$B$4&lt;&gt;"OR+EX",--(DATOS!$G2040=CONFIG_METADATA!$B$4),IF(DATOS!$G2040="EX",1,IF(DATOS!$G2040="OR",--(COUNTIFS(nNIA,DATOS!$A2040,nCURSO,DATOS!$D2040,nESPEC,DATOS!$E2040,nASIG,DATOS!$I2040,nEVAL,"EX")=0),0))))</f>
      </c>
      <c r="H2040">
        <f>IF(DATOS!$G2040&lt;&gt;"EX",0,--(COUNTIFS(nNIA,DATOS!$A2040,nCURSO,DATOS!$D2040,nESPEC,DATOS!$E2040,nASIG,DATOS!$I2040,nEVAL,"OR")=0))</f>
      </c>
      <c r="I2040">
        <f>IF(DATOS!$I2040="","",IFERROR(VLOOKUP(DATOS!$I2040,CONFIG_ASIGNATURAS!$B$2:$J$91,9,FALSE()),""))</f>
      </c>
    </row>
    <row r="2041">
      <c r="F2041">
        <f>IF(DATOS!$A2041="","",DATOS!$A2041&amp;"|"&amp;DATOS!$D2041&amp;"|"&amp;DATOS!$E2041&amp;"|"&amp;DATOS!$I2041)</f>
      </c>
      <c r="G2041">
        <f>IF(DATOS!$A2041="",0,IF(CONFIG_METADATA!$B$4&lt;&gt;"OR+EX",--(DATOS!$G2041=CONFIG_METADATA!$B$4),IF(DATOS!$G2041="EX",1,IF(DATOS!$G2041="OR",--(COUNTIFS(nNIA,DATOS!$A2041,nCURSO,DATOS!$D2041,nESPEC,DATOS!$E2041,nASIG,DATOS!$I2041,nEVAL,"EX")=0),0))))</f>
      </c>
      <c r="H2041">
        <f>IF(DATOS!$G2041&lt;&gt;"EX",0,--(COUNTIFS(nNIA,DATOS!$A2041,nCURSO,DATOS!$D2041,nESPEC,DATOS!$E2041,nASIG,DATOS!$I2041,nEVAL,"OR")=0))</f>
      </c>
      <c r="I2041">
        <f>IF(DATOS!$I2041="","",IFERROR(VLOOKUP(DATOS!$I2041,CONFIG_ASIGNATURAS!$B$2:$J$91,9,FALSE()),""))</f>
      </c>
    </row>
    <row r="2042">
      <c r="F2042">
        <f>IF(DATOS!$A2042="","",DATOS!$A2042&amp;"|"&amp;DATOS!$D2042&amp;"|"&amp;DATOS!$E2042&amp;"|"&amp;DATOS!$I2042)</f>
      </c>
      <c r="G2042">
        <f>IF(DATOS!$A2042="",0,IF(CONFIG_METADATA!$B$4&lt;&gt;"OR+EX",--(DATOS!$G2042=CONFIG_METADATA!$B$4),IF(DATOS!$G2042="EX",1,IF(DATOS!$G2042="OR",--(COUNTIFS(nNIA,DATOS!$A2042,nCURSO,DATOS!$D2042,nESPEC,DATOS!$E2042,nASIG,DATOS!$I2042,nEVAL,"EX")=0),0))))</f>
      </c>
      <c r="H2042">
        <f>IF(DATOS!$G2042&lt;&gt;"EX",0,--(COUNTIFS(nNIA,DATOS!$A2042,nCURSO,DATOS!$D2042,nESPEC,DATOS!$E2042,nASIG,DATOS!$I2042,nEVAL,"OR")=0))</f>
      </c>
      <c r="I2042">
        <f>IF(DATOS!$I2042="","",IFERROR(VLOOKUP(DATOS!$I2042,CONFIG_ASIGNATURAS!$B$2:$J$91,9,FALSE()),""))</f>
      </c>
    </row>
    <row r="2043">
      <c r="F2043">
        <f>IF(DATOS!$A2043="","",DATOS!$A2043&amp;"|"&amp;DATOS!$D2043&amp;"|"&amp;DATOS!$E2043&amp;"|"&amp;DATOS!$I2043)</f>
      </c>
      <c r="G2043">
        <f>IF(DATOS!$A2043="",0,IF(CONFIG_METADATA!$B$4&lt;&gt;"OR+EX",--(DATOS!$G2043=CONFIG_METADATA!$B$4),IF(DATOS!$G2043="EX",1,IF(DATOS!$G2043="OR",--(COUNTIFS(nNIA,DATOS!$A2043,nCURSO,DATOS!$D2043,nESPEC,DATOS!$E2043,nASIG,DATOS!$I2043,nEVAL,"EX")=0),0))))</f>
      </c>
      <c r="H2043">
        <f>IF(DATOS!$G2043&lt;&gt;"EX",0,--(COUNTIFS(nNIA,DATOS!$A2043,nCURSO,DATOS!$D2043,nESPEC,DATOS!$E2043,nASIG,DATOS!$I2043,nEVAL,"OR")=0))</f>
      </c>
      <c r="I2043">
        <f>IF(DATOS!$I2043="","",IFERROR(VLOOKUP(DATOS!$I2043,CONFIG_ASIGNATURAS!$B$2:$J$91,9,FALSE()),""))</f>
      </c>
    </row>
    <row r="2044">
      <c r="F2044">
        <f>IF(DATOS!$A2044="","",DATOS!$A2044&amp;"|"&amp;DATOS!$D2044&amp;"|"&amp;DATOS!$E2044&amp;"|"&amp;DATOS!$I2044)</f>
      </c>
      <c r="G2044">
        <f>IF(DATOS!$A2044="",0,IF(CONFIG_METADATA!$B$4&lt;&gt;"OR+EX",--(DATOS!$G2044=CONFIG_METADATA!$B$4),IF(DATOS!$G2044="EX",1,IF(DATOS!$G2044="OR",--(COUNTIFS(nNIA,DATOS!$A2044,nCURSO,DATOS!$D2044,nESPEC,DATOS!$E2044,nASIG,DATOS!$I2044,nEVAL,"EX")=0),0))))</f>
      </c>
      <c r="H2044">
        <f>IF(DATOS!$G2044&lt;&gt;"EX",0,--(COUNTIFS(nNIA,DATOS!$A2044,nCURSO,DATOS!$D2044,nESPEC,DATOS!$E2044,nASIG,DATOS!$I2044,nEVAL,"OR")=0))</f>
      </c>
      <c r="I2044">
        <f>IF(DATOS!$I2044="","",IFERROR(VLOOKUP(DATOS!$I2044,CONFIG_ASIGNATURAS!$B$2:$J$91,9,FALSE()),""))</f>
      </c>
    </row>
    <row r="2045">
      <c r="F2045">
        <f>IF(DATOS!$A2045="","",DATOS!$A2045&amp;"|"&amp;DATOS!$D2045&amp;"|"&amp;DATOS!$E2045&amp;"|"&amp;DATOS!$I2045)</f>
      </c>
      <c r="G2045">
        <f>IF(DATOS!$A2045="",0,IF(CONFIG_METADATA!$B$4&lt;&gt;"OR+EX",--(DATOS!$G2045=CONFIG_METADATA!$B$4),IF(DATOS!$G2045="EX",1,IF(DATOS!$G2045="OR",--(COUNTIFS(nNIA,DATOS!$A2045,nCURSO,DATOS!$D2045,nESPEC,DATOS!$E2045,nASIG,DATOS!$I2045,nEVAL,"EX")=0),0))))</f>
      </c>
      <c r="H2045">
        <f>IF(DATOS!$G2045&lt;&gt;"EX",0,--(COUNTIFS(nNIA,DATOS!$A2045,nCURSO,DATOS!$D2045,nESPEC,DATOS!$E2045,nASIG,DATOS!$I2045,nEVAL,"OR")=0))</f>
      </c>
      <c r="I2045">
        <f>IF(DATOS!$I2045="","",IFERROR(VLOOKUP(DATOS!$I2045,CONFIG_ASIGNATURAS!$B$2:$J$91,9,FALSE()),""))</f>
      </c>
    </row>
    <row r="2046">
      <c r="F2046">
        <f>IF(DATOS!$A2046="","",DATOS!$A2046&amp;"|"&amp;DATOS!$D2046&amp;"|"&amp;DATOS!$E2046&amp;"|"&amp;DATOS!$I2046)</f>
      </c>
      <c r="G2046">
        <f>IF(DATOS!$A2046="",0,IF(CONFIG_METADATA!$B$4&lt;&gt;"OR+EX",--(DATOS!$G2046=CONFIG_METADATA!$B$4),IF(DATOS!$G2046="EX",1,IF(DATOS!$G2046="OR",--(COUNTIFS(nNIA,DATOS!$A2046,nCURSO,DATOS!$D2046,nESPEC,DATOS!$E2046,nASIG,DATOS!$I2046,nEVAL,"EX")=0),0))))</f>
      </c>
      <c r="H2046">
        <f>IF(DATOS!$G2046&lt;&gt;"EX",0,--(COUNTIFS(nNIA,DATOS!$A2046,nCURSO,DATOS!$D2046,nESPEC,DATOS!$E2046,nASIG,DATOS!$I2046,nEVAL,"OR")=0))</f>
      </c>
      <c r="I2046">
        <f>IF(DATOS!$I2046="","",IFERROR(VLOOKUP(DATOS!$I2046,CONFIG_ASIGNATURAS!$B$2:$J$91,9,FALSE()),""))</f>
      </c>
    </row>
    <row r="2047">
      <c r="F2047">
        <f>IF(DATOS!$A2047="","",DATOS!$A2047&amp;"|"&amp;DATOS!$D2047&amp;"|"&amp;DATOS!$E2047&amp;"|"&amp;DATOS!$I2047)</f>
      </c>
      <c r="G2047">
        <f>IF(DATOS!$A2047="",0,IF(CONFIG_METADATA!$B$4&lt;&gt;"OR+EX",--(DATOS!$G2047=CONFIG_METADATA!$B$4),IF(DATOS!$G2047="EX",1,IF(DATOS!$G2047="OR",--(COUNTIFS(nNIA,DATOS!$A2047,nCURSO,DATOS!$D2047,nESPEC,DATOS!$E2047,nASIG,DATOS!$I2047,nEVAL,"EX")=0),0))))</f>
      </c>
      <c r="H2047">
        <f>IF(DATOS!$G2047&lt;&gt;"EX",0,--(COUNTIFS(nNIA,DATOS!$A2047,nCURSO,DATOS!$D2047,nESPEC,DATOS!$E2047,nASIG,DATOS!$I2047,nEVAL,"OR")=0))</f>
      </c>
      <c r="I2047">
        <f>IF(DATOS!$I2047="","",IFERROR(VLOOKUP(DATOS!$I2047,CONFIG_ASIGNATURAS!$B$2:$J$91,9,FALSE()),""))</f>
      </c>
    </row>
    <row r="2048">
      <c r="F2048">
        <f>IF(DATOS!$A2048="","",DATOS!$A2048&amp;"|"&amp;DATOS!$D2048&amp;"|"&amp;DATOS!$E2048&amp;"|"&amp;DATOS!$I2048)</f>
      </c>
      <c r="G2048">
        <f>IF(DATOS!$A2048="",0,IF(CONFIG_METADATA!$B$4&lt;&gt;"OR+EX",--(DATOS!$G2048=CONFIG_METADATA!$B$4),IF(DATOS!$G2048="EX",1,IF(DATOS!$G2048="OR",--(COUNTIFS(nNIA,DATOS!$A2048,nCURSO,DATOS!$D2048,nESPEC,DATOS!$E2048,nASIG,DATOS!$I2048,nEVAL,"EX")=0),0))))</f>
      </c>
      <c r="H2048">
        <f>IF(DATOS!$G2048&lt;&gt;"EX",0,--(COUNTIFS(nNIA,DATOS!$A2048,nCURSO,DATOS!$D2048,nESPEC,DATOS!$E2048,nASIG,DATOS!$I2048,nEVAL,"OR")=0))</f>
      </c>
      <c r="I2048">
        <f>IF(DATOS!$I2048="","",IFERROR(VLOOKUP(DATOS!$I2048,CONFIG_ASIGNATURAS!$B$2:$J$91,9,FALSE()),""))</f>
      </c>
    </row>
    <row r="2049">
      <c r="F2049">
        <f>IF(DATOS!$A2049="","",DATOS!$A2049&amp;"|"&amp;DATOS!$D2049&amp;"|"&amp;DATOS!$E2049&amp;"|"&amp;DATOS!$I2049)</f>
      </c>
      <c r="G2049">
        <f>IF(DATOS!$A2049="",0,IF(CONFIG_METADATA!$B$4&lt;&gt;"OR+EX",--(DATOS!$G2049=CONFIG_METADATA!$B$4),IF(DATOS!$G2049="EX",1,IF(DATOS!$G2049="OR",--(COUNTIFS(nNIA,DATOS!$A2049,nCURSO,DATOS!$D2049,nESPEC,DATOS!$E2049,nASIG,DATOS!$I2049,nEVAL,"EX")=0),0))))</f>
      </c>
      <c r="H2049">
        <f>IF(DATOS!$G2049&lt;&gt;"EX",0,--(COUNTIFS(nNIA,DATOS!$A2049,nCURSO,DATOS!$D2049,nESPEC,DATOS!$E2049,nASIG,DATOS!$I2049,nEVAL,"OR")=0))</f>
      </c>
      <c r="I2049">
        <f>IF(DATOS!$I2049="","",IFERROR(VLOOKUP(DATOS!$I2049,CONFIG_ASIGNATURAS!$B$2:$J$91,9,FALSE()),""))</f>
      </c>
    </row>
    <row r="2050">
      <c r="F2050">
        <f>IF(DATOS!$A2050="","",DATOS!$A2050&amp;"|"&amp;DATOS!$D2050&amp;"|"&amp;DATOS!$E2050&amp;"|"&amp;DATOS!$I2050)</f>
      </c>
      <c r="G2050">
        <f>IF(DATOS!$A2050="",0,IF(CONFIG_METADATA!$B$4&lt;&gt;"OR+EX",--(DATOS!$G2050=CONFIG_METADATA!$B$4),IF(DATOS!$G2050="EX",1,IF(DATOS!$G2050="OR",--(COUNTIFS(nNIA,DATOS!$A2050,nCURSO,DATOS!$D2050,nESPEC,DATOS!$E2050,nASIG,DATOS!$I2050,nEVAL,"EX")=0),0))))</f>
      </c>
      <c r="H2050">
        <f>IF(DATOS!$G2050&lt;&gt;"EX",0,--(COUNTIFS(nNIA,DATOS!$A2050,nCURSO,DATOS!$D2050,nESPEC,DATOS!$E2050,nASIG,DATOS!$I2050,nEVAL,"OR")=0))</f>
      </c>
      <c r="I2050">
        <f>IF(DATOS!$I2050="","",IFERROR(VLOOKUP(DATOS!$I2050,CONFIG_ASIGNATURAS!$B$2:$J$91,9,FALSE()),""))</f>
      </c>
    </row>
    <row r="2051">
      <c r="F2051">
        <f>IF(DATOS!$A2051="","",DATOS!$A2051&amp;"|"&amp;DATOS!$D2051&amp;"|"&amp;DATOS!$E2051&amp;"|"&amp;DATOS!$I2051)</f>
      </c>
      <c r="G2051">
        <f>IF(DATOS!$A2051="",0,IF(CONFIG_METADATA!$B$4&lt;&gt;"OR+EX",--(DATOS!$G2051=CONFIG_METADATA!$B$4),IF(DATOS!$G2051="EX",1,IF(DATOS!$G2051="OR",--(COUNTIFS(nNIA,DATOS!$A2051,nCURSO,DATOS!$D2051,nESPEC,DATOS!$E2051,nASIG,DATOS!$I2051,nEVAL,"EX")=0),0))))</f>
      </c>
      <c r="H2051">
        <f>IF(DATOS!$G2051&lt;&gt;"EX",0,--(COUNTIFS(nNIA,DATOS!$A2051,nCURSO,DATOS!$D2051,nESPEC,DATOS!$E2051,nASIG,DATOS!$I2051,nEVAL,"OR")=0))</f>
      </c>
      <c r="I2051">
        <f>IF(DATOS!$I2051="","",IFERROR(VLOOKUP(DATOS!$I2051,CONFIG_ASIGNATURAS!$B$2:$J$91,9,FALSE()),""))</f>
      </c>
    </row>
    <row r="2052">
      <c r="F2052">
        <f>IF(DATOS!$A2052="","",DATOS!$A2052&amp;"|"&amp;DATOS!$D2052&amp;"|"&amp;DATOS!$E2052&amp;"|"&amp;DATOS!$I2052)</f>
      </c>
      <c r="G2052">
        <f>IF(DATOS!$A2052="",0,IF(CONFIG_METADATA!$B$4&lt;&gt;"OR+EX",--(DATOS!$G2052=CONFIG_METADATA!$B$4),IF(DATOS!$G2052="EX",1,IF(DATOS!$G2052="OR",--(COUNTIFS(nNIA,DATOS!$A2052,nCURSO,DATOS!$D2052,nESPEC,DATOS!$E2052,nASIG,DATOS!$I2052,nEVAL,"EX")=0),0))))</f>
      </c>
      <c r="H2052">
        <f>IF(DATOS!$G2052&lt;&gt;"EX",0,--(COUNTIFS(nNIA,DATOS!$A2052,nCURSO,DATOS!$D2052,nESPEC,DATOS!$E2052,nASIG,DATOS!$I2052,nEVAL,"OR")=0))</f>
      </c>
      <c r="I2052">
        <f>IF(DATOS!$I2052="","",IFERROR(VLOOKUP(DATOS!$I2052,CONFIG_ASIGNATURAS!$B$2:$J$91,9,FALSE()),""))</f>
      </c>
    </row>
    <row r="2053">
      <c r="F2053">
        <f>IF(DATOS!$A2053="","",DATOS!$A2053&amp;"|"&amp;DATOS!$D2053&amp;"|"&amp;DATOS!$E2053&amp;"|"&amp;DATOS!$I2053)</f>
      </c>
      <c r="G2053">
        <f>IF(DATOS!$A2053="",0,IF(CONFIG_METADATA!$B$4&lt;&gt;"OR+EX",--(DATOS!$G2053=CONFIG_METADATA!$B$4),IF(DATOS!$G2053="EX",1,IF(DATOS!$G2053="OR",--(COUNTIFS(nNIA,DATOS!$A2053,nCURSO,DATOS!$D2053,nESPEC,DATOS!$E2053,nASIG,DATOS!$I2053,nEVAL,"EX")=0),0))))</f>
      </c>
      <c r="H2053">
        <f>IF(DATOS!$G2053&lt;&gt;"EX",0,--(COUNTIFS(nNIA,DATOS!$A2053,nCURSO,DATOS!$D2053,nESPEC,DATOS!$E2053,nASIG,DATOS!$I2053,nEVAL,"OR")=0))</f>
      </c>
      <c r="I2053">
        <f>IF(DATOS!$I2053="","",IFERROR(VLOOKUP(DATOS!$I2053,CONFIG_ASIGNATURAS!$B$2:$J$91,9,FALSE()),""))</f>
      </c>
    </row>
    <row r="2054">
      <c r="F2054">
        <f>IF(DATOS!$A2054="","",DATOS!$A2054&amp;"|"&amp;DATOS!$D2054&amp;"|"&amp;DATOS!$E2054&amp;"|"&amp;DATOS!$I2054)</f>
      </c>
      <c r="G2054">
        <f>IF(DATOS!$A2054="",0,IF(CONFIG_METADATA!$B$4&lt;&gt;"OR+EX",--(DATOS!$G2054=CONFIG_METADATA!$B$4),IF(DATOS!$G2054="EX",1,IF(DATOS!$G2054="OR",--(COUNTIFS(nNIA,DATOS!$A2054,nCURSO,DATOS!$D2054,nESPEC,DATOS!$E2054,nASIG,DATOS!$I2054,nEVAL,"EX")=0),0))))</f>
      </c>
      <c r="H2054">
        <f>IF(DATOS!$G2054&lt;&gt;"EX",0,--(COUNTIFS(nNIA,DATOS!$A2054,nCURSO,DATOS!$D2054,nESPEC,DATOS!$E2054,nASIG,DATOS!$I2054,nEVAL,"OR")=0))</f>
      </c>
      <c r="I2054">
        <f>IF(DATOS!$I2054="","",IFERROR(VLOOKUP(DATOS!$I2054,CONFIG_ASIGNATURAS!$B$2:$J$91,9,FALSE()),""))</f>
      </c>
    </row>
    <row r="2055">
      <c r="F2055">
        <f>IF(DATOS!$A2055="","",DATOS!$A2055&amp;"|"&amp;DATOS!$D2055&amp;"|"&amp;DATOS!$E2055&amp;"|"&amp;DATOS!$I2055)</f>
      </c>
      <c r="G2055">
        <f>IF(DATOS!$A2055="",0,IF(CONFIG_METADATA!$B$4&lt;&gt;"OR+EX",--(DATOS!$G2055=CONFIG_METADATA!$B$4),IF(DATOS!$G2055="EX",1,IF(DATOS!$G2055="OR",--(COUNTIFS(nNIA,DATOS!$A2055,nCURSO,DATOS!$D2055,nESPEC,DATOS!$E2055,nASIG,DATOS!$I2055,nEVAL,"EX")=0),0))))</f>
      </c>
      <c r="H2055">
        <f>IF(DATOS!$G2055&lt;&gt;"EX",0,--(COUNTIFS(nNIA,DATOS!$A2055,nCURSO,DATOS!$D2055,nESPEC,DATOS!$E2055,nASIG,DATOS!$I2055,nEVAL,"OR")=0))</f>
      </c>
      <c r="I2055">
        <f>IF(DATOS!$I2055="","",IFERROR(VLOOKUP(DATOS!$I2055,CONFIG_ASIGNATURAS!$B$2:$J$91,9,FALSE()),""))</f>
      </c>
    </row>
    <row r="2056">
      <c r="F2056">
        <f>IF(DATOS!$A2056="","",DATOS!$A2056&amp;"|"&amp;DATOS!$D2056&amp;"|"&amp;DATOS!$E2056&amp;"|"&amp;DATOS!$I2056)</f>
      </c>
      <c r="G2056">
        <f>IF(DATOS!$A2056="",0,IF(CONFIG_METADATA!$B$4&lt;&gt;"OR+EX",--(DATOS!$G2056=CONFIG_METADATA!$B$4),IF(DATOS!$G2056="EX",1,IF(DATOS!$G2056="OR",--(COUNTIFS(nNIA,DATOS!$A2056,nCURSO,DATOS!$D2056,nESPEC,DATOS!$E2056,nASIG,DATOS!$I2056,nEVAL,"EX")=0),0))))</f>
      </c>
      <c r="H2056">
        <f>IF(DATOS!$G2056&lt;&gt;"EX",0,--(COUNTIFS(nNIA,DATOS!$A2056,nCURSO,DATOS!$D2056,nESPEC,DATOS!$E2056,nASIG,DATOS!$I2056,nEVAL,"OR")=0))</f>
      </c>
      <c r="I2056">
        <f>IF(DATOS!$I2056="","",IFERROR(VLOOKUP(DATOS!$I2056,CONFIG_ASIGNATURAS!$B$2:$J$91,9,FALSE()),""))</f>
      </c>
    </row>
    <row r="2057">
      <c r="F2057">
        <f>IF(DATOS!$A2057="","",DATOS!$A2057&amp;"|"&amp;DATOS!$D2057&amp;"|"&amp;DATOS!$E2057&amp;"|"&amp;DATOS!$I2057)</f>
      </c>
      <c r="G2057">
        <f>IF(DATOS!$A2057="",0,IF(CONFIG_METADATA!$B$4&lt;&gt;"OR+EX",--(DATOS!$G2057=CONFIG_METADATA!$B$4),IF(DATOS!$G2057="EX",1,IF(DATOS!$G2057="OR",--(COUNTIFS(nNIA,DATOS!$A2057,nCURSO,DATOS!$D2057,nESPEC,DATOS!$E2057,nASIG,DATOS!$I2057,nEVAL,"EX")=0),0))))</f>
      </c>
      <c r="H2057">
        <f>IF(DATOS!$G2057&lt;&gt;"EX",0,--(COUNTIFS(nNIA,DATOS!$A2057,nCURSO,DATOS!$D2057,nESPEC,DATOS!$E2057,nASIG,DATOS!$I2057,nEVAL,"OR")=0))</f>
      </c>
      <c r="I2057">
        <f>IF(DATOS!$I2057="","",IFERROR(VLOOKUP(DATOS!$I2057,CONFIG_ASIGNATURAS!$B$2:$J$91,9,FALSE()),""))</f>
      </c>
    </row>
    <row r="2058">
      <c r="F2058">
        <f>IF(DATOS!$A2058="","",DATOS!$A2058&amp;"|"&amp;DATOS!$D2058&amp;"|"&amp;DATOS!$E2058&amp;"|"&amp;DATOS!$I2058)</f>
      </c>
      <c r="G2058">
        <f>IF(DATOS!$A2058="",0,IF(CONFIG_METADATA!$B$4&lt;&gt;"OR+EX",--(DATOS!$G2058=CONFIG_METADATA!$B$4),IF(DATOS!$G2058="EX",1,IF(DATOS!$G2058="OR",--(COUNTIFS(nNIA,DATOS!$A2058,nCURSO,DATOS!$D2058,nESPEC,DATOS!$E2058,nASIG,DATOS!$I2058,nEVAL,"EX")=0),0))))</f>
      </c>
      <c r="H2058">
        <f>IF(DATOS!$G2058&lt;&gt;"EX",0,--(COUNTIFS(nNIA,DATOS!$A2058,nCURSO,DATOS!$D2058,nESPEC,DATOS!$E2058,nASIG,DATOS!$I2058,nEVAL,"OR")=0))</f>
      </c>
      <c r="I2058">
        <f>IF(DATOS!$I2058="","",IFERROR(VLOOKUP(DATOS!$I2058,CONFIG_ASIGNATURAS!$B$2:$J$91,9,FALSE()),""))</f>
      </c>
    </row>
    <row r="2059">
      <c r="F2059">
        <f>IF(DATOS!$A2059="","",DATOS!$A2059&amp;"|"&amp;DATOS!$D2059&amp;"|"&amp;DATOS!$E2059&amp;"|"&amp;DATOS!$I2059)</f>
      </c>
      <c r="G2059">
        <f>IF(DATOS!$A2059="",0,IF(CONFIG_METADATA!$B$4&lt;&gt;"OR+EX",--(DATOS!$G2059=CONFIG_METADATA!$B$4),IF(DATOS!$G2059="EX",1,IF(DATOS!$G2059="OR",--(COUNTIFS(nNIA,DATOS!$A2059,nCURSO,DATOS!$D2059,nESPEC,DATOS!$E2059,nASIG,DATOS!$I2059,nEVAL,"EX")=0),0))))</f>
      </c>
      <c r="H2059">
        <f>IF(DATOS!$G2059&lt;&gt;"EX",0,--(COUNTIFS(nNIA,DATOS!$A2059,nCURSO,DATOS!$D2059,nESPEC,DATOS!$E2059,nASIG,DATOS!$I2059,nEVAL,"OR")=0))</f>
      </c>
      <c r="I2059">
        <f>IF(DATOS!$I2059="","",IFERROR(VLOOKUP(DATOS!$I2059,CONFIG_ASIGNATURAS!$B$2:$J$91,9,FALSE()),""))</f>
      </c>
    </row>
    <row r="2060">
      <c r="F2060">
        <f>IF(DATOS!$A2060="","",DATOS!$A2060&amp;"|"&amp;DATOS!$D2060&amp;"|"&amp;DATOS!$E2060&amp;"|"&amp;DATOS!$I2060)</f>
      </c>
      <c r="G2060">
        <f>IF(DATOS!$A2060="",0,IF(CONFIG_METADATA!$B$4&lt;&gt;"OR+EX",--(DATOS!$G2060=CONFIG_METADATA!$B$4),IF(DATOS!$G2060="EX",1,IF(DATOS!$G2060="OR",--(COUNTIFS(nNIA,DATOS!$A2060,nCURSO,DATOS!$D2060,nESPEC,DATOS!$E2060,nASIG,DATOS!$I2060,nEVAL,"EX")=0),0))))</f>
      </c>
      <c r="H2060">
        <f>IF(DATOS!$G2060&lt;&gt;"EX",0,--(COUNTIFS(nNIA,DATOS!$A2060,nCURSO,DATOS!$D2060,nESPEC,DATOS!$E2060,nASIG,DATOS!$I2060,nEVAL,"OR")=0))</f>
      </c>
      <c r="I2060">
        <f>IF(DATOS!$I2060="","",IFERROR(VLOOKUP(DATOS!$I2060,CONFIG_ASIGNATURAS!$B$2:$J$91,9,FALSE()),""))</f>
      </c>
    </row>
    <row r="2061">
      <c r="F2061">
        <f>IF(DATOS!$A2061="","",DATOS!$A2061&amp;"|"&amp;DATOS!$D2061&amp;"|"&amp;DATOS!$E2061&amp;"|"&amp;DATOS!$I2061)</f>
      </c>
      <c r="G2061">
        <f>IF(DATOS!$A2061="",0,IF(CONFIG_METADATA!$B$4&lt;&gt;"OR+EX",--(DATOS!$G2061=CONFIG_METADATA!$B$4),IF(DATOS!$G2061="EX",1,IF(DATOS!$G2061="OR",--(COUNTIFS(nNIA,DATOS!$A2061,nCURSO,DATOS!$D2061,nESPEC,DATOS!$E2061,nASIG,DATOS!$I2061,nEVAL,"EX")=0),0))))</f>
      </c>
      <c r="H2061">
        <f>IF(DATOS!$G2061&lt;&gt;"EX",0,--(COUNTIFS(nNIA,DATOS!$A2061,nCURSO,DATOS!$D2061,nESPEC,DATOS!$E2061,nASIG,DATOS!$I2061,nEVAL,"OR")=0))</f>
      </c>
      <c r="I2061">
        <f>IF(DATOS!$I2061="","",IFERROR(VLOOKUP(DATOS!$I2061,CONFIG_ASIGNATURAS!$B$2:$J$91,9,FALSE()),""))</f>
      </c>
    </row>
    <row r="2062">
      <c r="F2062">
        <f>IF(DATOS!$A2062="","",DATOS!$A2062&amp;"|"&amp;DATOS!$D2062&amp;"|"&amp;DATOS!$E2062&amp;"|"&amp;DATOS!$I2062)</f>
      </c>
      <c r="G2062">
        <f>IF(DATOS!$A2062="",0,IF(CONFIG_METADATA!$B$4&lt;&gt;"OR+EX",--(DATOS!$G2062=CONFIG_METADATA!$B$4),IF(DATOS!$G2062="EX",1,IF(DATOS!$G2062="OR",--(COUNTIFS(nNIA,DATOS!$A2062,nCURSO,DATOS!$D2062,nESPEC,DATOS!$E2062,nASIG,DATOS!$I2062,nEVAL,"EX")=0),0))))</f>
      </c>
      <c r="H2062">
        <f>IF(DATOS!$G2062&lt;&gt;"EX",0,--(COUNTIFS(nNIA,DATOS!$A2062,nCURSO,DATOS!$D2062,nESPEC,DATOS!$E2062,nASIG,DATOS!$I2062,nEVAL,"OR")=0))</f>
      </c>
      <c r="I2062">
        <f>IF(DATOS!$I2062="","",IFERROR(VLOOKUP(DATOS!$I2062,CONFIG_ASIGNATURAS!$B$2:$J$91,9,FALSE()),""))</f>
      </c>
    </row>
    <row r="2063">
      <c r="F2063">
        <f>IF(DATOS!$A2063="","",DATOS!$A2063&amp;"|"&amp;DATOS!$D2063&amp;"|"&amp;DATOS!$E2063&amp;"|"&amp;DATOS!$I2063)</f>
      </c>
      <c r="G2063">
        <f>IF(DATOS!$A2063="",0,IF(CONFIG_METADATA!$B$4&lt;&gt;"OR+EX",--(DATOS!$G2063=CONFIG_METADATA!$B$4),IF(DATOS!$G2063="EX",1,IF(DATOS!$G2063="OR",--(COUNTIFS(nNIA,DATOS!$A2063,nCURSO,DATOS!$D2063,nESPEC,DATOS!$E2063,nASIG,DATOS!$I2063,nEVAL,"EX")=0),0))))</f>
      </c>
      <c r="H2063">
        <f>IF(DATOS!$G2063&lt;&gt;"EX",0,--(COUNTIFS(nNIA,DATOS!$A2063,nCURSO,DATOS!$D2063,nESPEC,DATOS!$E2063,nASIG,DATOS!$I2063,nEVAL,"OR")=0))</f>
      </c>
      <c r="I2063">
        <f>IF(DATOS!$I2063="","",IFERROR(VLOOKUP(DATOS!$I2063,CONFIG_ASIGNATURAS!$B$2:$J$91,9,FALSE()),""))</f>
      </c>
    </row>
    <row r="2064">
      <c r="F2064">
        <f>IF(DATOS!$A2064="","",DATOS!$A2064&amp;"|"&amp;DATOS!$D2064&amp;"|"&amp;DATOS!$E2064&amp;"|"&amp;DATOS!$I2064)</f>
      </c>
      <c r="G2064">
        <f>IF(DATOS!$A2064="",0,IF(CONFIG_METADATA!$B$4&lt;&gt;"OR+EX",--(DATOS!$G2064=CONFIG_METADATA!$B$4),IF(DATOS!$G2064="EX",1,IF(DATOS!$G2064="OR",--(COUNTIFS(nNIA,DATOS!$A2064,nCURSO,DATOS!$D2064,nESPEC,DATOS!$E2064,nASIG,DATOS!$I2064,nEVAL,"EX")=0),0))))</f>
      </c>
      <c r="H2064">
        <f>IF(DATOS!$G2064&lt;&gt;"EX",0,--(COUNTIFS(nNIA,DATOS!$A2064,nCURSO,DATOS!$D2064,nESPEC,DATOS!$E2064,nASIG,DATOS!$I2064,nEVAL,"OR")=0))</f>
      </c>
      <c r="I2064">
        <f>IF(DATOS!$I2064="","",IFERROR(VLOOKUP(DATOS!$I2064,CONFIG_ASIGNATURAS!$B$2:$J$91,9,FALSE()),""))</f>
      </c>
    </row>
    <row r="2065">
      <c r="F2065">
        <f>IF(DATOS!$A2065="","",DATOS!$A2065&amp;"|"&amp;DATOS!$D2065&amp;"|"&amp;DATOS!$E2065&amp;"|"&amp;DATOS!$I2065)</f>
      </c>
      <c r="G2065">
        <f>IF(DATOS!$A2065="",0,IF(CONFIG_METADATA!$B$4&lt;&gt;"OR+EX",--(DATOS!$G2065=CONFIG_METADATA!$B$4),IF(DATOS!$G2065="EX",1,IF(DATOS!$G2065="OR",--(COUNTIFS(nNIA,DATOS!$A2065,nCURSO,DATOS!$D2065,nESPEC,DATOS!$E2065,nASIG,DATOS!$I2065,nEVAL,"EX")=0),0))))</f>
      </c>
      <c r="H2065">
        <f>IF(DATOS!$G2065&lt;&gt;"EX",0,--(COUNTIFS(nNIA,DATOS!$A2065,nCURSO,DATOS!$D2065,nESPEC,DATOS!$E2065,nASIG,DATOS!$I2065,nEVAL,"OR")=0))</f>
      </c>
      <c r="I2065">
        <f>IF(DATOS!$I2065="","",IFERROR(VLOOKUP(DATOS!$I2065,CONFIG_ASIGNATURAS!$B$2:$J$91,9,FALSE()),""))</f>
      </c>
    </row>
    <row r="2066">
      <c r="F2066">
        <f>IF(DATOS!$A2066="","",DATOS!$A2066&amp;"|"&amp;DATOS!$D2066&amp;"|"&amp;DATOS!$E2066&amp;"|"&amp;DATOS!$I2066)</f>
      </c>
      <c r="G2066">
        <f>IF(DATOS!$A2066="",0,IF(CONFIG_METADATA!$B$4&lt;&gt;"OR+EX",--(DATOS!$G2066=CONFIG_METADATA!$B$4),IF(DATOS!$G2066="EX",1,IF(DATOS!$G2066="OR",--(COUNTIFS(nNIA,DATOS!$A2066,nCURSO,DATOS!$D2066,nESPEC,DATOS!$E2066,nASIG,DATOS!$I2066,nEVAL,"EX")=0),0))))</f>
      </c>
      <c r="H2066">
        <f>IF(DATOS!$G2066&lt;&gt;"EX",0,--(COUNTIFS(nNIA,DATOS!$A2066,nCURSO,DATOS!$D2066,nESPEC,DATOS!$E2066,nASIG,DATOS!$I2066,nEVAL,"OR")=0))</f>
      </c>
      <c r="I2066">
        <f>IF(DATOS!$I2066="","",IFERROR(VLOOKUP(DATOS!$I2066,CONFIG_ASIGNATURAS!$B$2:$J$91,9,FALSE()),""))</f>
      </c>
    </row>
    <row r="2067">
      <c r="F2067">
        <f>IF(DATOS!$A2067="","",DATOS!$A2067&amp;"|"&amp;DATOS!$D2067&amp;"|"&amp;DATOS!$E2067&amp;"|"&amp;DATOS!$I2067)</f>
      </c>
      <c r="G2067">
        <f>IF(DATOS!$A2067="",0,IF(CONFIG_METADATA!$B$4&lt;&gt;"OR+EX",--(DATOS!$G2067=CONFIG_METADATA!$B$4),IF(DATOS!$G2067="EX",1,IF(DATOS!$G2067="OR",--(COUNTIFS(nNIA,DATOS!$A2067,nCURSO,DATOS!$D2067,nESPEC,DATOS!$E2067,nASIG,DATOS!$I2067,nEVAL,"EX")=0),0))))</f>
      </c>
      <c r="H2067">
        <f>IF(DATOS!$G2067&lt;&gt;"EX",0,--(COUNTIFS(nNIA,DATOS!$A2067,nCURSO,DATOS!$D2067,nESPEC,DATOS!$E2067,nASIG,DATOS!$I2067,nEVAL,"OR")=0))</f>
      </c>
      <c r="I2067">
        <f>IF(DATOS!$I2067="","",IFERROR(VLOOKUP(DATOS!$I2067,CONFIG_ASIGNATURAS!$B$2:$J$91,9,FALSE()),""))</f>
      </c>
    </row>
    <row r="2068">
      <c r="F2068">
        <f>IF(DATOS!$A2068="","",DATOS!$A2068&amp;"|"&amp;DATOS!$D2068&amp;"|"&amp;DATOS!$E2068&amp;"|"&amp;DATOS!$I2068)</f>
      </c>
      <c r="G2068">
        <f>IF(DATOS!$A2068="",0,IF(CONFIG_METADATA!$B$4&lt;&gt;"OR+EX",--(DATOS!$G2068=CONFIG_METADATA!$B$4),IF(DATOS!$G2068="EX",1,IF(DATOS!$G2068="OR",--(COUNTIFS(nNIA,DATOS!$A2068,nCURSO,DATOS!$D2068,nESPEC,DATOS!$E2068,nASIG,DATOS!$I2068,nEVAL,"EX")=0),0))))</f>
      </c>
      <c r="H2068">
        <f>IF(DATOS!$G2068&lt;&gt;"EX",0,--(COUNTIFS(nNIA,DATOS!$A2068,nCURSO,DATOS!$D2068,nESPEC,DATOS!$E2068,nASIG,DATOS!$I2068,nEVAL,"OR")=0))</f>
      </c>
      <c r="I2068">
        <f>IF(DATOS!$I2068="","",IFERROR(VLOOKUP(DATOS!$I2068,CONFIG_ASIGNATURAS!$B$2:$J$91,9,FALSE()),""))</f>
      </c>
    </row>
    <row r="2069">
      <c r="F2069">
        <f>IF(DATOS!$A2069="","",DATOS!$A2069&amp;"|"&amp;DATOS!$D2069&amp;"|"&amp;DATOS!$E2069&amp;"|"&amp;DATOS!$I2069)</f>
      </c>
      <c r="G2069">
        <f>IF(DATOS!$A2069="",0,IF(CONFIG_METADATA!$B$4&lt;&gt;"OR+EX",--(DATOS!$G2069=CONFIG_METADATA!$B$4),IF(DATOS!$G2069="EX",1,IF(DATOS!$G2069="OR",--(COUNTIFS(nNIA,DATOS!$A2069,nCURSO,DATOS!$D2069,nESPEC,DATOS!$E2069,nASIG,DATOS!$I2069,nEVAL,"EX")=0),0))))</f>
      </c>
      <c r="H2069">
        <f>IF(DATOS!$G2069&lt;&gt;"EX",0,--(COUNTIFS(nNIA,DATOS!$A2069,nCURSO,DATOS!$D2069,nESPEC,DATOS!$E2069,nASIG,DATOS!$I2069,nEVAL,"OR")=0))</f>
      </c>
      <c r="I2069">
        <f>IF(DATOS!$I2069="","",IFERROR(VLOOKUP(DATOS!$I2069,CONFIG_ASIGNATURAS!$B$2:$J$91,9,FALSE()),""))</f>
      </c>
    </row>
    <row r="2070">
      <c r="F2070">
        <f>IF(DATOS!$A2070="","",DATOS!$A2070&amp;"|"&amp;DATOS!$D2070&amp;"|"&amp;DATOS!$E2070&amp;"|"&amp;DATOS!$I2070)</f>
      </c>
      <c r="G2070">
        <f>IF(DATOS!$A2070="",0,IF(CONFIG_METADATA!$B$4&lt;&gt;"OR+EX",--(DATOS!$G2070=CONFIG_METADATA!$B$4),IF(DATOS!$G2070="EX",1,IF(DATOS!$G2070="OR",--(COUNTIFS(nNIA,DATOS!$A2070,nCURSO,DATOS!$D2070,nESPEC,DATOS!$E2070,nASIG,DATOS!$I2070,nEVAL,"EX")=0),0))))</f>
      </c>
      <c r="H2070">
        <f>IF(DATOS!$G2070&lt;&gt;"EX",0,--(COUNTIFS(nNIA,DATOS!$A2070,nCURSO,DATOS!$D2070,nESPEC,DATOS!$E2070,nASIG,DATOS!$I2070,nEVAL,"OR")=0))</f>
      </c>
      <c r="I2070">
        <f>IF(DATOS!$I2070="","",IFERROR(VLOOKUP(DATOS!$I2070,CONFIG_ASIGNATURAS!$B$2:$J$91,9,FALSE()),""))</f>
      </c>
    </row>
    <row r="2071">
      <c r="F2071">
        <f>IF(DATOS!$A2071="","",DATOS!$A2071&amp;"|"&amp;DATOS!$D2071&amp;"|"&amp;DATOS!$E2071&amp;"|"&amp;DATOS!$I2071)</f>
      </c>
      <c r="G2071">
        <f>IF(DATOS!$A2071="",0,IF(CONFIG_METADATA!$B$4&lt;&gt;"OR+EX",--(DATOS!$G2071=CONFIG_METADATA!$B$4),IF(DATOS!$G2071="EX",1,IF(DATOS!$G2071="OR",--(COUNTIFS(nNIA,DATOS!$A2071,nCURSO,DATOS!$D2071,nESPEC,DATOS!$E2071,nASIG,DATOS!$I2071,nEVAL,"EX")=0),0))))</f>
      </c>
      <c r="H2071">
        <f>IF(DATOS!$G2071&lt;&gt;"EX",0,--(COUNTIFS(nNIA,DATOS!$A2071,nCURSO,DATOS!$D2071,nESPEC,DATOS!$E2071,nASIG,DATOS!$I2071,nEVAL,"OR")=0))</f>
      </c>
      <c r="I2071">
        <f>IF(DATOS!$I2071="","",IFERROR(VLOOKUP(DATOS!$I2071,CONFIG_ASIGNATURAS!$B$2:$J$91,9,FALSE()),""))</f>
      </c>
    </row>
    <row r="2072">
      <c r="F2072">
        <f>IF(DATOS!$A2072="","",DATOS!$A2072&amp;"|"&amp;DATOS!$D2072&amp;"|"&amp;DATOS!$E2072&amp;"|"&amp;DATOS!$I2072)</f>
      </c>
      <c r="G2072">
        <f>IF(DATOS!$A2072="",0,IF(CONFIG_METADATA!$B$4&lt;&gt;"OR+EX",--(DATOS!$G2072=CONFIG_METADATA!$B$4),IF(DATOS!$G2072="EX",1,IF(DATOS!$G2072="OR",--(COUNTIFS(nNIA,DATOS!$A2072,nCURSO,DATOS!$D2072,nESPEC,DATOS!$E2072,nASIG,DATOS!$I2072,nEVAL,"EX")=0),0))))</f>
      </c>
      <c r="H2072">
        <f>IF(DATOS!$G2072&lt;&gt;"EX",0,--(COUNTIFS(nNIA,DATOS!$A2072,nCURSO,DATOS!$D2072,nESPEC,DATOS!$E2072,nASIG,DATOS!$I2072,nEVAL,"OR")=0))</f>
      </c>
      <c r="I2072">
        <f>IF(DATOS!$I2072="","",IFERROR(VLOOKUP(DATOS!$I2072,CONFIG_ASIGNATURAS!$B$2:$J$91,9,FALSE()),""))</f>
      </c>
    </row>
    <row r="2073">
      <c r="F2073">
        <f>IF(DATOS!$A2073="","",DATOS!$A2073&amp;"|"&amp;DATOS!$D2073&amp;"|"&amp;DATOS!$E2073&amp;"|"&amp;DATOS!$I2073)</f>
      </c>
      <c r="G2073">
        <f>IF(DATOS!$A2073="",0,IF(CONFIG_METADATA!$B$4&lt;&gt;"OR+EX",--(DATOS!$G2073=CONFIG_METADATA!$B$4),IF(DATOS!$G2073="EX",1,IF(DATOS!$G2073="OR",--(COUNTIFS(nNIA,DATOS!$A2073,nCURSO,DATOS!$D2073,nESPEC,DATOS!$E2073,nASIG,DATOS!$I2073,nEVAL,"EX")=0),0))))</f>
      </c>
      <c r="H2073">
        <f>IF(DATOS!$G2073&lt;&gt;"EX",0,--(COUNTIFS(nNIA,DATOS!$A2073,nCURSO,DATOS!$D2073,nESPEC,DATOS!$E2073,nASIG,DATOS!$I2073,nEVAL,"OR")=0))</f>
      </c>
      <c r="I2073">
        <f>IF(DATOS!$I2073="","",IFERROR(VLOOKUP(DATOS!$I2073,CONFIG_ASIGNATURAS!$B$2:$J$91,9,FALSE()),""))</f>
      </c>
    </row>
    <row r="2074">
      <c r="F2074">
        <f>IF(DATOS!$A2074="","",DATOS!$A2074&amp;"|"&amp;DATOS!$D2074&amp;"|"&amp;DATOS!$E2074&amp;"|"&amp;DATOS!$I2074)</f>
      </c>
      <c r="G2074">
        <f>IF(DATOS!$A2074="",0,IF(CONFIG_METADATA!$B$4&lt;&gt;"OR+EX",--(DATOS!$G2074=CONFIG_METADATA!$B$4),IF(DATOS!$G2074="EX",1,IF(DATOS!$G2074="OR",--(COUNTIFS(nNIA,DATOS!$A2074,nCURSO,DATOS!$D2074,nESPEC,DATOS!$E2074,nASIG,DATOS!$I2074,nEVAL,"EX")=0),0))))</f>
      </c>
      <c r="H2074">
        <f>IF(DATOS!$G2074&lt;&gt;"EX",0,--(COUNTIFS(nNIA,DATOS!$A2074,nCURSO,DATOS!$D2074,nESPEC,DATOS!$E2074,nASIG,DATOS!$I2074,nEVAL,"OR")=0))</f>
      </c>
      <c r="I2074">
        <f>IF(DATOS!$I2074="","",IFERROR(VLOOKUP(DATOS!$I2074,CONFIG_ASIGNATURAS!$B$2:$J$91,9,FALSE()),""))</f>
      </c>
    </row>
    <row r="2075">
      <c r="F2075">
        <f>IF(DATOS!$A2075="","",DATOS!$A2075&amp;"|"&amp;DATOS!$D2075&amp;"|"&amp;DATOS!$E2075&amp;"|"&amp;DATOS!$I2075)</f>
      </c>
      <c r="G2075">
        <f>IF(DATOS!$A2075="",0,IF(CONFIG_METADATA!$B$4&lt;&gt;"OR+EX",--(DATOS!$G2075=CONFIG_METADATA!$B$4),IF(DATOS!$G2075="EX",1,IF(DATOS!$G2075="OR",--(COUNTIFS(nNIA,DATOS!$A2075,nCURSO,DATOS!$D2075,nESPEC,DATOS!$E2075,nASIG,DATOS!$I2075,nEVAL,"EX")=0),0))))</f>
      </c>
      <c r="H2075">
        <f>IF(DATOS!$G2075&lt;&gt;"EX",0,--(COUNTIFS(nNIA,DATOS!$A2075,nCURSO,DATOS!$D2075,nESPEC,DATOS!$E2075,nASIG,DATOS!$I2075,nEVAL,"OR")=0))</f>
      </c>
      <c r="I2075">
        <f>IF(DATOS!$I2075="","",IFERROR(VLOOKUP(DATOS!$I2075,CONFIG_ASIGNATURAS!$B$2:$J$91,9,FALSE()),""))</f>
      </c>
    </row>
    <row r="2076">
      <c r="F2076">
        <f>IF(DATOS!$A2076="","",DATOS!$A2076&amp;"|"&amp;DATOS!$D2076&amp;"|"&amp;DATOS!$E2076&amp;"|"&amp;DATOS!$I2076)</f>
      </c>
      <c r="G2076">
        <f>IF(DATOS!$A2076="",0,IF(CONFIG_METADATA!$B$4&lt;&gt;"OR+EX",--(DATOS!$G2076=CONFIG_METADATA!$B$4),IF(DATOS!$G2076="EX",1,IF(DATOS!$G2076="OR",--(COUNTIFS(nNIA,DATOS!$A2076,nCURSO,DATOS!$D2076,nESPEC,DATOS!$E2076,nASIG,DATOS!$I2076,nEVAL,"EX")=0),0))))</f>
      </c>
      <c r="H2076">
        <f>IF(DATOS!$G2076&lt;&gt;"EX",0,--(COUNTIFS(nNIA,DATOS!$A2076,nCURSO,DATOS!$D2076,nESPEC,DATOS!$E2076,nASIG,DATOS!$I2076,nEVAL,"OR")=0))</f>
      </c>
      <c r="I2076">
        <f>IF(DATOS!$I2076="","",IFERROR(VLOOKUP(DATOS!$I2076,CONFIG_ASIGNATURAS!$B$2:$J$91,9,FALSE()),""))</f>
      </c>
    </row>
    <row r="2077">
      <c r="F2077">
        <f>IF(DATOS!$A2077="","",DATOS!$A2077&amp;"|"&amp;DATOS!$D2077&amp;"|"&amp;DATOS!$E2077&amp;"|"&amp;DATOS!$I2077)</f>
      </c>
      <c r="G2077">
        <f>IF(DATOS!$A2077="",0,IF(CONFIG_METADATA!$B$4&lt;&gt;"OR+EX",--(DATOS!$G2077=CONFIG_METADATA!$B$4),IF(DATOS!$G2077="EX",1,IF(DATOS!$G2077="OR",--(COUNTIFS(nNIA,DATOS!$A2077,nCURSO,DATOS!$D2077,nESPEC,DATOS!$E2077,nASIG,DATOS!$I2077,nEVAL,"EX")=0),0))))</f>
      </c>
      <c r="H2077">
        <f>IF(DATOS!$G2077&lt;&gt;"EX",0,--(COUNTIFS(nNIA,DATOS!$A2077,nCURSO,DATOS!$D2077,nESPEC,DATOS!$E2077,nASIG,DATOS!$I2077,nEVAL,"OR")=0))</f>
      </c>
      <c r="I2077">
        <f>IF(DATOS!$I2077="","",IFERROR(VLOOKUP(DATOS!$I2077,CONFIG_ASIGNATURAS!$B$2:$J$91,9,FALSE()),""))</f>
      </c>
    </row>
    <row r="2078">
      <c r="F2078">
        <f>IF(DATOS!$A2078="","",DATOS!$A2078&amp;"|"&amp;DATOS!$D2078&amp;"|"&amp;DATOS!$E2078&amp;"|"&amp;DATOS!$I2078)</f>
      </c>
      <c r="G2078">
        <f>IF(DATOS!$A2078="",0,IF(CONFIG_METADATA!$B$4&lt;&gt;"OR+EX",--(DATOS!$G2078=CONFIG_METADATA!$B$4),IF(DATOS!$G2078="EX",1,IF(DATOS!$G2078="OR",--(COUNTIFS(nNIA,DATOS!$A2078,nCURSO,DATOS!$D2078,nESPEC,DATOS!$E2078,nASIG,DATOS!$I2078,nEVAL,"EX")=0),0))))</f>
      </c>
      <c r="H2078">
        <f>IF(DATOS!$G2078&lt;&gt;"EX",0,--(COUNTIFS(nNIA,DATOS!$A2078,nCURSO,DATOS!$D2078,nESPEC,DATOS!$E2078,nASIG,DATOS!$I2078,nEVAL,"OR")=0))</f>
      </c>
      <c r="I2078">
        <f>IF(DATOS!$I2078="","",IFERROR(VLOOKUP(DATOS!$I2078,CONFIG_ASIGNATURAS!$B$2:$J$91,9,FALSE()),""))</f>
      </c>
    </row>
    <row r="2079">
      <c r="F2079">
        <f>IF(DATOS!$A2079="","",DATOS!$A2079&amp;"|"&amp;DATOS!$D2079&amp;"|"&amp;DATOS!$E2079&amp;"|"&amp;DATOS!$I2079)</f>
      </c>
      <c r="G2079">
        <f>IF(DATOS!$A2079="",0,IF(CONFIG_METADATA!$B$4&lt;&gt;"OR+EX",--(DATOS!$G2079=CONFIG_METADATA!$B$4),IF(DATOS!$G2079="EX",1,IF(DATOS!$G2079="OR",--(COUNTIFS(nNIA,DATOS!$A2079,nCURSO,DATOS!$D2079,nESPEC,DATOS!$E2079,nASIG,DATOS!$I2079,nEVAL,"EX")=0),0))))</f>
      </c>
      <c r="H2079">
        <f>IF(DATOS!$G2079&lt;&gt;"EX",0,--(COUNTIFS(nNIA,DATOS!$A2079,nCURSO,DATOS!$D2079,nESPEC,DATOS!$E2079,nASIG,DATOS!$I2079,nEVAL,"OR")=0))</f>
      </c>
      <c r="I2079">
        <f>IF(DATOS!$I2079="","",IFERROR(VLOOKUP(DATOS!$I2079,CONFIG_ASIGNATURAS!$B$2:$J$91,9,FALSE()),""))</f>
      </c>
    </row>
    <row r="2080">
      <c r="F2080">
        <f>IF(DATOS!$A2080="","",DATOS!$A2080&amp;"|"&amp;DATOS!$D2080&amp;"|"&amp;DATOS!$E2080&amp;"|"&amp;DATOS!$I2080)</f>
      </c>
      <c r="G2080">
        <f>IF(DATOS!$A2080="",0,IF(CONFIG_METADATA!$B$4&lt;&gt;"OR+EX",--(DATOS!$G2080=CONFIG_METADATA!$B$4),IF(DATOS!$G2080="EX",1,IF(DATOS!$G2080="OR",--(COUNTIFS(nNIA,DATOS!$A2080,nCURSO,DATOS!$D2080,nESPEC,DATOS!$E2080,nASIG,DATOS!$I2080,nEVAL,"EX")=0),0))))</f>
      </c>
      <c r="H2080">
        <f>IF(DATOS!$G2080&lt;&gt;"EX",0,--(COUNTIFS(nNIA,DATOS!$A2080,nCURSO,DATOS!$D2080,nESPEC,DATOS!$E2080,nASIG,DATOS!$I2080,nEVAL,"OR")=0))</f>
      </c>
      <c r="I2080">
        <f>IF(DATOS!$I2080="","",IFERROR(VLOOKUP(DATOS!$I2080,CONFIG_ASIGNATURAS!$B$2:$J$91,9,FALSE()),""))</f>
      </c>
    </row>
    <row r="2081">
      <c r="F2081">
        <f>IF(DATOS!$A2081="","",DATOS!$A2081&amp;"|"&amp;DATOS!$D2081&amp;"|"&amp;DATOS!$E2081&amp;"|"&amp;DATOS!$I2081)</f>
      </c>
      <c r="G2081">
        <f>IF(DATOS!$A2081="",0,IF(CONFIG_METADATA!$B$4&lt;&gt;"OR+EX",--(DATOS!$G2081=CONFIG_METADATA!$B$4),IF(DATOS!$G2081="EX",1,IF(DATOS!$G2081="OR",--(COUNTIFS(nNIA,DATOS!$A2081,nCURSO,DATOS!$D2081,nESPEC,DATOS!$E2081,nASIG,DATOS!$I2081,nEVAL,"EX")=0),0))))</f>
      </c>
      <c r="H2081">
        <f>IF(DATOS!$G2081&lt;&gt;"EX",0,--(COUNTIFS(nNIA,DATOS!$A2081,nCURSO,DATOS!$D2081,nESPEC,DATOS!$E2081,nASIG,DATOS!$I2081,nEVAL,"OR")=0))</f>
      </c>
      <c r="I2081">
        <f>IF(DATOS!$I2081="","",IFERROR(VLOOKUP(DATOS!$I2081,CONFIG_ASIGNATURAS!$B$2:$J$91,9,FALSE()),""))</f>
      </c>
    </row>
    <row r="2082">
      <c r="F2082">
        <f>IF(DATOS!$A2082="","",DATOS!$A2082&amp;"|"&amp;DATOS!$D2082&amp;"|"&amp;DATOS!$E2082&amp;"|"&amp;DATOS!$I2082)</f>
      </c>
      <c r="G2082">
        <f>IF(DATOS!$A2082="",0,IF(CONFIG_METADATA!$B$4&lt;&gt;"OR+EX",--(DATOS!$G2082=CONFIG_METADATA!$B$4),IF(DATOS!$G2082="EX",1,IF(DATOS!$G2082="OR",--(COUNTIFS(nNIA,DATOS!$A2082,nCURSO,DATOS!$D2082,nESPEC,DATOS!$E2082,nASIG,DATOS!$I2082,nEVAL,"EX")=0),0))))</f>
      </c>
      <c r="H2082">
        <f>IF(DATOS!$G2082&lt;&gt;"EX",0,--(COUNTIFS(nNIA,DATOS!$A2082,nCURSO,DATOS!$D2082,nESPEC,DATOS!$E2082,nASIG,DATOS!$I2082,nEVAL,"OR")=0))</f>
      </c>
      <c r="I2082">
        <f>IF(DATOS!$I2082="","",IFERROR(VLOOKUP(DATOS!$I2082,CONFIG_ASIGNATURAS!$B$2:$J$91,9,FALSE()),""))</f>
      </c>
    </row>
    <row r="2083">
      <c r="F2083">
        <f>IF(DATOS!$A2083="","",DATOS!$A2083&amp;"|"&amp;DATOS!$D2083&amp;"|"&amp;DATOS!$E2083&amp;"|"&amp;DATOS!$I2083)</f>
      </c>
      <c r="G2083">
        <f>IF(DATOS!$A2083="",0,IF(CONFIG_METADATA!$B$4&lt;&gt;"OR+EX",--(DATOS!$G2083=CONFIG_METADATA!$B$4),IF(DATOS!$G2083="EX",1,IF(DATOS!$G2083="OR",--(COUNTIFS(nNIA,DATOS!$A2083,nCURSO,DATOS!$D2083,nESPEC,DATOS!$E2083,nASIG,DATOS!$I2083,nEVAL,"EX")=0),0))))</f>
      </c>
      <c r="H2083">
        <f>IF(DATOS!$G2083&lt;&gt;"EX",0,--(COUNTIFS(nNIA,DATOS!$A2083,nCURSO,DATOS!$D2083,nESPEC,DATOS!$E2083,nASIG,DATOS!$I2083,nEVAL,"OR")=0))</f>
      </c>
      <c r="I2083">
        <f>IF(DATOS!$I2083="","",IFERROR(VLOOKUP(DATOS!$I2083,CONFIG_ASIGNATURAS!$B$2:$J$91,9,FALSE()),""))</f>
      </c>
    </row>
    <row r="2084">
      <c r="F2084">
        <f>IF(DATOS!$A2084="","",DATOS!$A2084&amp;"|"&amp;DATOS!$D2084&amp;"|"&amp;DATOS!$E2084&amp;"|"&amp;DATOS!$I2084)</f>
      </c>
      <c r="G2084">
        <f>IF(DATOS!$A2084="",0,IF(CONFIG_METADATA!$B$4&lt;&gt;"OR+EX",--(DATOS!$G2084=CONFIG_METADATA!$B$4),IF(DATOS!$G2084="EX",1,IF(DATOS!$G2084="OR",--(COUNTIFS(nNIA,DATOS!$A2084,nCURSO,DATOS!$D2084,nESPEC,DATOS!$E2084,nASIG,DATOS!$I2084,nEVAL,"EX")=0),0))))</f>
      </c>
      <c r="H2084">
        <f>IF(DATOS!$G2084&lt;&gt;"EX",0,--(COUNTIFS(nNIA,DATOS!$A2084,nCURSO,DATOS!$D2084,nESPEC,DATOS!$E2084,nASIG,DATOS!$I2084,nEVAL,"OR")=0))</f>
      </c>
      <c r="I2084">
        <f>IF(DATOS!$I2084="","",IFERROR(VLOOKUP(DATOS!$I2084,CONFIG_ASIGNATURAS!$B$2:$J$91,9,FALSE()),""))</f>
      </c>
    </row>
    <row r="2085">
      <c r="F2085">
        <f>IF(DATOS!$A2085="","",DATOS!$A2085&amp;"|"&amp;DATOS!$D2085&amp;"|"&amp;DATOS!$E2085&amp;"|"&amp;DATOS!$I2085)</f>
      </c>
      <c r="G2085">
        <f>IF(DATOS!$A2085="",0,IF(CONFIG_METADATA!$B$4&lt;&gt;"OR+EX",--(DATOS!$G2085=CONFIG_METADATA!$B$4),IF(DATOS!$G2085="EX",1,IF(DATOS!$G2085="OR",--(COUNTIFS(nNIA,DATOS!$A2085,nCURSO,DATOS!$D2085,nESPEC,DATOS!$E2085,nASIG,DATOS!$I2085,nEVAL,"EX")=0),0))))</f>
      </c>
      <c r="H2085">
        <f>IF(DATOS!$G2085&lt;&gt;"EX",0,--(COUNTIFS(nNIA,DATOS!$A2085,nCURSO,DATOS!$D2085,nESPEC,DATOS!$E2085,nASIG,DATOS!$I2085,nEVAL,"OR")=0))</f>
      </c>
      <c r="I2085">
        <f>IF(DATOS!$I2085="","",IFERROR(VLOOKUP(DATOS!$I2085,CONFIG_ASIGNATURAS!$B$2:$J$91,9,FALSE()),""))</f>
      </c>
    </row>
    <row r="2086">
      <c r="F2086">
        <f>IF(DATOS!$A2086="","",DATOS!$A2086&amp;"|"&amp;DATOS!$D2086&amp;"|"&amp;DATOS!$E2086&amp;"|"&amp;DATOS!$I2086)</f>
      </c>
      <c r="G2086">
        <f>IF(DATOS!$A2086="",0,IF(CONFIG_METADATA!$B$4&lt;&gt;"OR+EX",--(DATOS!$G2086=CONFIG_METADATA!$B$4),IF(DATOS!$G2086="EX",1,IF(DATOS!$G2086="OR",--(COUNTIFS(nNIA,DATOS!$A2086,nCURSO,DATOS!$D2086,nESPEC,DATOS!$E2086,nASIG,DATOS!$I2086,nEVAL,"EX")=0),0))))</f>
      </c>
      <c r="H2086">
        <f>IF(DATOS!$G2086&lt;&gt;"EX",0,--(COUNTIFS(nNIA,DATOS!$A2086,nCURSO,DATOS!$D2086,nESPEC,DATOS!$E2086,nASIG,DATOS!$I2086,nEVAL,"OR")=0))</f>
      </c>
      <c r="I2086">
        <f>IF(DATOS!$I2086="","",IFERROR(VLOOKUP(DATOS!$I2086,CONFIG_ASIGNATURAS!$B$2:$J$91,9,FALSE()),""))</f>
      </c>
    </row>
    <row r="2087">
      <c r="F2087">
        <f>IF(DATOS!$A2087="","",DATOS!$A2087&amp;"|"&amp;DATOS!$D2087&amp;"|"&amp;DATOS!$E2087&amp;"|"&amp;DATOS!$I2087)</f>
      </c>
      <c r="G2087">
        <f>IF(DATOS!$A2087="",0,IF(CONFIG_METADATA!$B$4&lt;&gt;"OR+EX",--(DATOS!$G2087=CONFIG_METADATA!$B$4),IF(DATOS!$G2087="EX",1,IF(DATOS!$G2087="OR",--(COUNTIFS(nNIA,DATOS!$A2087,nCURSO,DATOS!$D2087,nESPEC,DATOS!$E2087,nASIG,DATOS!$I2087,nEVAL,"EX")=0),0))))</f>
      </c>
      <c r="H2087">
        <f>IF(DATOS!$G2087&lt;&gt;"EX",0,--(COUNTIFS(nNIA,DATOS!$A2087,nCURSO,DATOS!$D2087,nESPEC,DATOS!$E2087,nASIG,DATOS!$I2087,nEVAL,"OR")=0))</f>
      </c>
      <c r="I2087">
        <f>IF(DATOS!$I2087="","",IFERROR(VLOOKUP(DATOS!$I2087,CONFIG_ASIGNATURAS!$B$2:$J$91,9,FALSE()),""))</f>
      </c>
    </row>
    <row r="2088">
      <c r="F2088">
        <f>IF(DATOS!$A2088="","",DATOS!$A2088&amp;"|"&amp;DATOS!$D2088&amp;"|"&amp;DATOS!$E2088&amp;"|"&amp;DATOS!$I2088)</f>
      </c>
      <c r="G2088">
        <f>IF(DATOS!$A2088="",0,IF(CONFIG_METADATA!$B$4&lt;&gt;"OR+EX",--(DATOS!$G2088=CONFIG_METADATA!$B$4),IF(DATOS!$G2088="EX",1,IF(DATOS!$G2088="OR",--(COUNTIFS(nNIA,DATOS!$A2088,nCURSO,DATOS!$D2088,nESPEC,DATOS!$E2088,nASIG,DATOS!$I2088,nEVAL,"EX")=0),0))))</f>
      </c>
      <c r="H2088">
        <f>IF(DATOS!$G2088&lt;&gt;"EX",0,--(COUNTIFS(nNIA,DATOS!$A2088,nCURSO,DATOS!$D2088,nESPEC,DATOS!$E2088,nASIG,DATOS!$I2088,nEVAL,"OR")=0))</f>
      </c>
      <c r="I2088">
        <f>IF(DATOS!$I2088="","",IFERROR(VLOOKUP(DATOS!$I2088,CONFIG_ASIGNATURAS!$B$2:$J$91,9,FALSE()),""))</f>
      </c>
    </row>
    <row r="2089">
      <c r="F2089">
        <f>IF(DATOS!$A2089="","",DATOS!$A2089&amp;"|"&amp;DATOS!$D2089&amp;"|"&amp;DATOS!$E2089&amp;"|"&amp;DATOS!$I2089)</f>
      </c>
      <c r="G2089">
        <f>IF(DATOS!$A2089="",0,IF(CONFIG_METADATA!$B$4&lt;&gt;"OR+EX",--(DATOS!$G2089=CONFIG_METADATA!$B$4),IF(DATOS!$G2089="EX",1,IF(DATOS!$G2089="OR",--(COUNTIFS(nNIA,DATOS!$A2089,nCURSO,DATOS!$D2089,nESPEC,DATOS!$E2089,nASIG,DATOS!$I2089,nEVAL,"EX")=0),0))))</f>
      </c>
      <c r="H2089">
        <f>IF(DATOS!$G2089&lt;&gt;"EX",0,--(COUNTIFS(nNIA,DATOS!$A2089,nCURSO,DATOS!$D2089,nESPEC,DATOS!$E2089,nASIG,DATOS!$I2089,nEVAL,"OR")=0))</f>
      </c>
      <c r="I2089">
        <f>IF(DATOS!$I2089="","",IFERROR(VLOOKUP(DATOS!$I2089,CONFIG_ASIGNATURAS!$B$2:$J$91,9,FALSE()),""))</f>
      </c>
    </row>
    <row r="2090">
      <c r="F2090">
        <f>IF(DATOS!$A2090="","",DATOS!$A2090&amp;"|"&amp;DATOS!$D2090&amp;"|"&amp;DATOS!$E2090&amp;"|"&amp;DATOS!$I2090)</f>
      </c>
      <c r="G2090">
        <f>IF(DATOS!$A2090="",0,IF(CONFIG_METADATA!$B$4&lt;&gt;"OR+EX",--(DATOS!$G2090=CONFIG_METADATA!$B$4),IF(DATOS!$G2090="EX",1,IF(DATOS!$G2090="OR",--(COUNTIFS(nNIA,DATOS!$A2090,nCURSO,DATOS!$D2090,nESPEC,DATOS!$E2090,nASIG,DATOS!$I2090,nEVAL,"EX")=0),0))))</f>
      </c>
      <c r="H2090">
        <f>IF(DATOS!$G2090&lt;&gt;"EX",0,--(COUNTIFS(nNIA,DATOS!$A2090,nCURSO,DATOS!$D2090,nESPEC,DATOS!$E2090,nASIG,DATOS!$I2090,nEVAL,"OR")=0))</f>
      </c>
      <c r="I2090">
        <f>IF(DATOS!$I2090="","",IFERROR(VLOOKUP(DATOS!$I2090,CONFIG_ASIGNATURAS!$B$2:$J$91,9,FALSE()),""))</f>
      </c>
    </row>
    <row r="2091">
      <c r="F2091">
        <f>IF(DATOS!$A2091="","",DATOS!$A2091&amp;"|"&amp;DATOS!$D2091&amp;"|"&amp;DATOS!$E2091&amp;"|"&amp;DATOS!$I2091)</f>
      </c>
      <c r="G2091">
        <f>IF(DATOS!$A2091="",0,IF(CONFIG_METADATA!$B$4&lt;&gt;"OR+EX",--(DATOS!$G2091=CONFIG_METADATA!$B$4),IF(DATOS!$G2091="EX",1,IF(DATOS!$G2091="OR",--(COUNTIFS(nNIA,DATOS!$A2091,nCURSO,DATOS!$D2091,nESPEC,DATOS!$E2091,nASIG,DATOS!$I2091,nEVAL,"EX")=0),0))))</f>
      </c>
      <c r="H2091">
        <f>IF(DATOS!$G2091&lt;&gt;"EX",0,--(COUNTIFS(nNIA,DATOS!$A2091,nCURSO,DATOS!$D2091,nESPEC,DATOS!$E2091,nASIG,DATOS!$I2091,nEVAL,"OR")=0))</f>
      </c>
      <c r="I2091">
        <f>IF(DATOS!$I2091="","",IFERROR(VLOOKUP(DATOS!$I2091,CONFIG_ASIGNATURAS!$B$2:$J$91,9,FALSE()),""))</f>
      </c>
    </row>
    <row r="2092">
      <c r="F2092">
        <f>IF(DATOS!$A2092="","",DATOS!$A2092&amp;"|"&amp;DATOS!$D2092&amp;"|"&amp;DATOS!$E2092&amp;"|"&amp;DATOS!$I2092)</f>
      </c>
      <c r="G2092">
        <f>IF(DATOS!$A2092="",0,IF(CONFIG_METADATA!$B$4&lt;&gt;"OR+EX",--(DATOS!$G2092=CONFIG_METADATA!$B$4),IF(DATOS!$G2092="EX",1,IF(DATOS!$G2092="OR",--(COUNTIFS(nNIA,DATOS!$A2092,nCURSO,DATOS!$D2092,nESPEC,DATOS!$E2092,nASIG,DATOS!$I2092,nEVAL,"EX")=0),0))))</f>
      </c>
      <c r="H2092">
        <f>IF(DATOS!$G2092&lt;&gt;"EX",0,--(COUNTIFS(nNIA,DATOS!$A2092,nCURSO,DATOS!$D2092,nESPEC,DATOS!$E2092,nASIG,DATOS!$I2092,nEVAL,"OR")=0))</f>
      </c>
      <c r="I2092">
        <f>IF(DATOS!$I2092="","",IFERROR(VLOOKUP(DATOS!$I2092,CONFIG_ASIGNATURAS!$B$2:$J$91,9,FALSE()),""))</f>
      </c>
    </row>
    <row r="2093">
      <c r="F2093">
        <f>IF(DATOS!$A2093="","",DATOS!$A2093&amp;"|"&amp;DATOS!$D2093&amp;"|"&amp;DATOS!$E2093&amp;"|"&amp;DATOS!$I2093)</f>
      </c>
      <c r="G2093">
        <f>IF(DATOS!$A2093="",0,IF(CONFIG_METADATA!$B$4&lt;&gt;"OR+EX",--(DATOS!$G2093=CONFIG_METADATA!$B$4),IF(DATOS!$G2093="EX",1,IF(DATOS!$G2093="OR",--(COUNTIFS(nNIA,DATOS!$A2093,nCURSO,DATOS!$D2093,nESPEC,DATOS!$E2093,nASIG,DATOS!$I2093,nEVAL,"EX")=0),0))))</f>
      </c>
      <c r="H2093">
        <f>IF(DATOS!$G2093&lt;&gt;"EX",0,--(COUNTIFS(nNIA,DATOS!$A2093,nCURSO,DATOS!$D2093,nESPEC,DATOS!$E2093,nASIG,DATOS!$I2093,nEVAL,"OR")=0))</f>
      </c>
      <c r="I2093">
        <f>IF(DATOS!$I2093="","",IFERROR(VLOOKUP(DATOS!$I2093,CONFIG_ASIGNATURAS!$B$2:$J$91,9,FALSE()),""))</f>
      </c>
    </row>
    <row r="2094">
      <c r="F2094">
        <f>IF(DATOS!$A2094="","",DATOS!$A2094&amp;"|"&amp;DATOS!$D2094&amp;"|"&amp;DATOS!$E2094&amp;"|"&amp;DATOS!$I2094)</f>
      </c>
      <c r="G2094">
        <f>IF(DATOS!$A2094="",0,IF(CONFIG_METADATA!$B$4&lt;&gt;"OR+EX",--(DATOS!$G2094=CONFIG_METADATA!$B$4),IF(DATOS!$G2094="EX",1,IF(DATOS!$G2094="OR",--(COUNTIFS(nNIA,DATOS!$A2094,nCURSO,DATOS!$D2094,nESPEC,DATOS!$E2094,nASIG,DATOS!$I2094,nEVAL,"EX")=0),0))))</f>
      </c>
      <c r="H2094">
        <f>IF(DATOS!$G2094&lt;&gt;"EX",0,--(COUNTIFS(nNIA,DATOS!$A2094,nCURSO,DATOS!$D2094,nESPEC,DATOS!$E2094,nASIG,DATOS!$I2094,nEVAL,"OR")=0))</f>
      </c>
      <c r="I2094">
        <f>IF(DATOS!$I2094="","",IFERROR(VLOOKUP(DATOS!$I2094,CONFIG_ASIGNATURAS!$B$2:$J$91,9,FALSE()),""))</f>
      </c>
    </row>
    <row r="2095">
      <c r="F2095">
        <f>IF(DATOS!$A2095="","",DATOS!$A2095&amp;"|"&amp;DATOS!$D2095&amp;"|"&amp;DATOS!$E2095&amp;"|"&amp;DATOS!$I2095)</f>
      </c>
      <c r="G2095">
        <f>IF(DATOS!$A2095="",0,IF(CONFIG_METADATA!$B$4&lt;&gt;"OR+EX",--(DATOS!$G2095=CONFIG_METADATA!$B$4),IF(DATOS!$G2095="EX",1,IF(DATOS!$G2095="OR",--(COUNTIFS(nNIA,DATOS!$A2095,nCURSO,DATOS!$D2095,nESPEC,DATOS!$E2095,nASIG,DATOS!$I2095,nEVAL,"EX")=0),0))))</f>
      </c>
      <c r="H2095">
        <f>IF(DATOS!$G2095&lt;&gt;"EX",0,--(COUNTIFS(nNIA,DATOS!$A2095,nCURSO,DATOS!$D2095,nESPEC,DATOS!$E2095,nASIG,DATOS!$I2095,nEVAL,"OR")=0))</f>
      </c>
      <c r="I2095">
        <f>IF(DATOS!$I2095="","",IFERROR(VLOOKUP(DATOS!$I2095,CONFIG_ASIGNATURAS!$B$2:$J$91,9,FALSE()),""))</f>
      </c>
    </row>
    <row r="2096">
      <c r="F2096">
        <f>IF(DATOS!$A2096="","",DATOS!$A2096&amp;"|"&amp;DATOS!$D2096&amp;"|"&amp;DATOS!$E2096&amp;"|"&amp;DATOS!$I2096)</f>
      </c>
      <c r="G2096">
        <f>IF(DATOS!$A2096="",0,IF(CONFIG_METADATA!$B$4&lt;&gt;"OR+EX",--(DATOS!$G2096=CONFIG_METADATA!$B$4),IF(DATOS!$G2096="EX",1,IF(DATOS!$G2096="OR",--(COUNTIFS(nNIA,DATOS!$A2096,nCURSO,DATOS!$D2096,nESPEC,DATOS!$E2096,nASIG,DATOS!$I2096,nEVAL,"EX")=0),0))))</f>
      </c>
      <c r="H2096">
        <f>IF(DATOS!$G2096&lt;&gt;"EX",0,--(COUNTIFS(nNIA,DATOS!$A2096,nCURSO,DATOS!$D2096,nESPEC,DATOS!$E2096,nASIG,DATOS!$I2096,nEVAL,"OR")=0))</f>
      </c>
      <c r="I2096">
        <f>IF(DATOS!$I2096="","",IFERROR(VLOOKUP(DATOS!$I2096,CONFIG_ASIGNATURAS!$B$2:$J$91,9,FALSE()),""))</f>
      </c>
    </row>
    <row r="2097">
      <c r="F2097">
        <f>IF(DATOS!$A2097="","",DATOS!$A2097&amp;"|"&amp;DATOS!$D2097&amp;"|"&amp;DATOS!$E2097&amp;"|"&amp;DATOS!$I2097)</f>
      </c>
      <c r="G2097">
        <f>IF(DATOS!$A2097="",0,IF(CONFIG_METADATA!$B$4&lt;&gt;"OR+EX",--(DATOS!$G2097=CONFIG_METADATA!$B$4),IF(DATOS!$G2097="EX",1,IF(DATOS!$G2097="OR",--(COUNTIFS(nNIA,DATOS!$A2097,nCURSO,DATOS!$D2097,nESPEC,DATOS!$E2097,nASIG,DATOS!$I2097,nEVAL,"EX")=0),0))))</f>
      </c>
      <c r="H2097">
        <f>IF(DATOS!$G2097&lt;&gt;"EX",0,--(COUNTIFS(nNIA,DATOS!$A2097,nCURSO,DATOS!$D2097,nESPEC,DATOS!$E2097,nASIG,DATOS!$I2097,nEVAL,"OR")=0))</f>
      </c>
      <c r="I2097">
        <f>IF(DATOS!$I2097="","",IFERROR(VLOOKUP(DATOS!$I2097,CONFIG_ASIGNATURAS!$B$2:$J$91,9,FALSE()),""))</f>
      </c>
    </row>
    <row r="2098">
      <c r="F2098">
        <f>IF(DATOS!$A2098="","",DATOS!$A2098&amp;"|"&amp;DATOS!$D2098&amp;"|"&amp;DATOS!$E2098&amp;"|"&amp;DATOS!$I2098)</f>
      </c>
      <c r="G2098">
        <f>IF(DATOS!$A2098="",0,IF(CONFIG_METADATA!$B$4&lt;&gt;"OR+EX",--(DATOS!$G2098=CONFIG_METADATA!$B$4),IF(DATOS!$G2098="EX",1,IF(DATOS!$G2098="OR",--(COUNTIFS(nNIA,DATOS!$A2098,nCURSO,DATOS!$D2098,nESPEC,DATOS!$E2098,nASIG,DATOS!$I2098,nEVAL,"EX")=0),0))))</f>
      </c>
      <c r="H2098">
        <f>IF(DATOS!$G2098&lt;&gt;"EX",0,--(COUNTIFS(nNIA,DATOS!$A2098,nCURSO,DATOS!$D2098,nESPEC,DATOS!$E2098,nASIG,DATOS!$I2098,nEVAL,"OR")=0))</f>
      </c>
      <c r="I2098">
        <f>IF(DATOS!$I2098="","",IFERROR(VLOOKUP(DATOS!$I2098,CONFIG_ASIGNATURAS!$B$2:$J$91,9,FALSE()),""))</f>
      </c>
    </row>
    <row r="2099">
      <c r="F2099">
        <f>IF(DATOS!$A2099="","",DATOS!$A2099&amp;"|"&amp;DATOS!$D2099&amp;"|"&amp;DATOS!$E2099&amp;"|"&amp;DATOS!$I2099)</f>
      </c>
      <c r="G2099">
        <f>IF(DATOS!$A2099="",0,IF(CONFIG_METADATA!$B$4&lt;&gt;"OR+EX",--(DATOS!$G2099=CONFIG_METADATA!$B$4),IF(DATOS!$G2099="EX",1,IF(DATOS!$G2099="OR",--(COUNTIFS(nNIA,DATOS!$A2099,nCURSO,DATOS!$D2099,nESPEC,DATOS!$E2099,nASIG,DATOS!$I2099,nEVAL,"EX")=0),0))))</f>
      </c>
      <c r="H2099">
        <f>IF(DATOS!$G2099&lt;&gt;"EX",0,--(COUNTIFS(nNIA,DATOS!$A2099,nCURSO,DATOS!$D2099,nESPEC,DATOS!$E2099,nASIG,DATOS!$I2099,nEVAL,"OR")=0))</f>
      </c>
      <c r="I2099">
        <f>IF(DATOS!$I2099="","",IFERROR(VLOOKUP(DATOS!$I2099,CONFIG_ASIGNATURAS!$B$2:$J$91,9,FALSE()),""))</f>
      </c>
    </row>
    <row r="2100">
      <c r="F2100">
        <f>IF(DATOS!$A2100="","",DATOS!$A2100&amp;"|"&amp;DATOS!$D2100&amp;"|"&amp;DATOS!$E2100&amp;"|"&amp;DATOS!$I2100)</f>
      </c>
      <c r="G2100">
        <f>IF(DATOS!$A2100="",0,IF(CONFIG_METADATA!$B$4&lt;&gt;"OR+EX",--(DATOS!$G2100=CONFIG_METADATA!$B$4),IF(DATOS!$G2100="EX",1,IF(DATOS!$G2100="OR",--(COUNTIFS(nNIA,DATOS!$A2100,nCURSO,DATOS!$D2100,nESPEC,DATOS!$E2100,nASIG,DATOS!$I2100,nEVAL,"EX")=0),0))))</f>
      </c>
      <c r="H2100">
        <f>IF(DATOS!$G2100&lt;&gt;"EX",0,--(COUNTIFS(nNIA,DATOS!$A2100,nCURSO,DATOS!$D2100,nESPEC,DATOS!$E2100,nASIG,DATOS!$I2100,nEVAL,"OR")=0))</f>
      </c>
      <c r="I2100">
        <f>IF(DATOS!$I2100="","",IFERROR(VLOOKUP(DATOS!$I2100,CONFIG_ASIGNATURAS!$B$2:$J$91,9,FALSE()),""))</f>
      </c>
    </row>
    <row r="2101">
      <c r="F2101">
        <f>IF(DATOS!$A2101="","",DATOS!$A2101&amp;"|"&amp;DATOS!$D2101&amp;"|"&amp;DATOS!$E2101&amp;"|"&amp;DATOS!$I2101)</f>
      </c>
      <c r="G2101">
        <f>IF(DATOS!$A2101="",0,IF(CONFIG_METADATA!$B$4&lt;&gt;"OR+EX",--(DATOS!$G2101=CONFIG_METADATA!$B$4),IF(DATOS!$G2101="EX",1,IF(DATOS!$G2101="OR",--(COUNTIFS(nNIA,DATOS!$A2101,nCURSO,DATOS!$D2101,nESPEC,DATOS!$E2101,nASIG,DATOS!$I2101,nEVAL,"EX")=0),0))))</f>
      </c>
      <c r="H2101">
        <f>IF(DATOS!$G2101&lt;&gt;"EX",0,--(COUNTIFS(nNIA,DATOS!$A2101,nCURSO,DATOS!$D2101,nESPEC,DATOS!$E2101,nASIG,DATOS!$I2101,nEVAL,"OR")=0))</f>
      </c>
      <c r="I2101">
        <f>IF(DATOS!$I2101="","",IFERROR(VLOOKUP(DATOS!$I2101,CONFIG_ASIGNATURAS!$B$2:$J$91,9,FALSE()),""))</f>
      </c>
    </row>
    <row r="2102">
      <c r="F2102">
        <f>IF(DATOS!$A2102="","",DATOS!$A2102&amp;"|"&amp;DATOS!$D2102&amp;"|"&amp;DATOS!$E2102&amp;"|"&amp;DATOS!$I2102)</f>
      </c>
      <c r="G2102">
        <f>IF(DATOS!$A2102="",0,IF(CONFIG_METADATA!$B$4&lt;&gt;"OR+EX",--(DATOS!$G2102=CONFIG_METADATA!$B$4),IF(DATOS!$G2102="EX",1,IF(DATOS!$G2102="OR",--(COUNTIFS(nNIA,DATOS!$A2102,nCURSO,DATOS!$D2102,nESPEC,DATOS!$E2102,nASIG,DATOS!$I2102,nEVAL,"EX")=0),0))))</f>
      </c>
      <c r="H2102">
        <f>IF(DATOS!$G2102&lt;&gt;"EX",0,--(COUNTIFS(nNIA,DATOS!$A2102,nCURSO,DATOS!$D2102,nESPEC,DATOS!$E2102,nASIG,DATOS!$I2102,nEVAL,"OR")=0))</f>
      </c>
      <c r="I2102">
        <f>IF(DATOS!$I2102="","",IFERROR(VLOOKUP(DATOS!$I2102,CONFIG_ASIGNATURAS!$B$2:$J$91,9,FALSE()),""))</f>
      </c>
    </row>
    <row r="2103">
      <c r="F2103">
        <f>IF(DATOS!$A2103="","",DATOS!$A2103&amp;"|"&amp;DATOS!$D2103&amp;"|"&amp;DATOS!$E2103&amp;"|"&amp;DATOS!$I2103)</f>
      </c>
      <c r="G2103">
        <f>IF(DATOS!$A2103="",0,IF(CONFIG_METADATA!$B$4&lt;&gt;"OR+EX",--(DATOS!$G2103=CONFIG_METADATA!$B$4),IF(DATOS!$G2103="EX",1,IF(DATOS!$G2103="OR",--(COUNTIFS(nNIA,DATOS!$A2103,nCURSO,DATOS!$D2103,nESPEC,DATOS!$E2103,nASIG,DATOS!$I2103,nEVAL,"EX")=0),0))))</f>
      </c>
      <c r="H2103">
        <f>IF(DATOS!$G2103&lt;&gt;"EX",0,--(COUNTIFS(nNIA,DATOS!$A2103,nCURSO,DATOS!$D2103,nESPEC,DATOS!$E2103,nASIG,DATOS!$I2103,nEVAL,"OR")=0))</f>
      </c>
      <c r="I2103">
        <f>IF(DATOS!$I2103="","",IFERROR(VLOOKUP(DATOS!$I2103,CONFIG_ASIGNATURAS!$B$2:$J$91,9,FALSE()),""))</f>
      </c>
    </row>
    <row r="2104">
      <c r="F2104">
        <f>IF(DATOS!$A2104="","",DATOS!$A2104&amp;"|"&amp;DATOS!$D2104&amp;"|"&amp;DATOS!$E2104&amp;"|"&amp;DATOS!$I2104)</f>
      </c>
      <c r="G2104">
        <f>IF(DATOS!$A2104="",0,IF(CONFIG_METADATA!$B$4&lt;&gt;"OR+EX",--(DATOS!$G2104=CONFIG_METADATA!$B$4),IF(DATOS!$G2104="EX",1,IF(DATOS!$G2104="OR",--(COUNTIFS(nNIA,DATOS!$A2104,nCURSO,DATOS!$D2104,nESPEC,DATOS!$E2104,nASIG,DATOS!$I2104,nEVAL,"EX")=0),0))))</f>
      </c>
      <c r="H2104">
        <f>IF(DATOS!$G2104&lt;&gt;"EX",0,--(COUNTIFS(nNIA,DATOS!$A2104,nCURSO,DATOS!$D2104,nESPEC,DATOS!$E2104,nASIG,DATOS!$I2104,nEVAL,"OR")=0))</f>
      </c>
      <c r="I2104">
        <f>IF(DATOS!$I2104="","",IFERROR(VLOOKUP(DATOS!$I2104,CONFIG_ASIGNATURAS!$B$2:$J$91,9,FALSE()),""))</f>
      </c>
    </row>
    <row r="2105">
      <c r="F2105">
        <f>IF(DATOS!$A2105="","",DATOS!$A2105&amp;"|"&amp;DATOS!$D2105&amp;"|"&amp;DATOS!$E2105&amp;"|"&amp;DATOS!$I2105)</f>
      </c>
      <c r="G2105">
        <f>IF(DATOS!$A2105="",0,IF(CONFIG_METADATA!$B$4&lt;&gt;"OR+EX",--(DATOS!$G2105=CONFIG_METADATA!$B$4),IF(DATOS!$G2105="EX",1,IF(DATOS!$G2105="OR",--(COUNTIFS(nNIA,DATOS!$A2105,nCURSO,DATOS!$D2105,nESPEC,DATOS!$E2105,nASIG,DATOS!$I2105,nEVAL,"EX")=0),0))))</f>
      </c>
      <c r="H2105">
        <f>IF(DATOS!$G2105&lt;&gt;"EX",0,--(COUNTIFS(nNIA,DATOS!$A2105,nCURSO,DATOS!$D2105,nESPEC,DATOS!$E2105,nASIG,DATOS!$I2105,nEVAL,"OR")=0))</f>
      </c>
      <c r="I2105">
        <f>IF(DATOS!$I2105="","",IFERROR(VLOOKUP(DATOS!$I2105,CONFIG_ASIGNATURAS!$B$2:$J$91,9,FALSE()),""))</f>
      </c>
    </row>
    <row r="2106">
      <c r="F2106">
        <f>IF(DATOS!$A2106="","",DATOS!$A2106&amp;"|"&amp;DATOS!$D2106&amp;"|"&amp;DATOS!$E2106&amp;"|"&amp;DATOS!$I2106)</f>
      </c>
      <c r="G2106">
        <f>IF(DATOS!$A2106="",0,IF(CONFIG_METADATA!$B$4&lt;&gt;"OR+EX",--(DATOS!$G2106=CONFIG_METADATA!$B$4),IF(DATOS!$G2106="EX",1,IF(DATOS!$G2106="OR",--(COUNTIFS(nNIA,DATOS!$A2106,nCURSO,DATOS!$D2106,nESPEC,DATOS!$E2106,nASIG,DATOS!$I2106,nEVAL,"EX")=0),0))))</f>
      </c>
      <c r="H2106">
        <f>IF(DATOS!$G2106&lt;&gt;"EX",0,--(COUNTIFS(nNIA,DATOS!$A2106,nCURSO,DATOS!$D2106,nESPEC,DATOS!$E2106,nASIG,DATOS!$I2106,nEVAL,"OR")=0))</f>
      </c>
      <c r="I2106">
        <f>IF(DATOS!$I2106="","",IFERROR(VLOOKUP(DATOS!$I2106,CONFIG_ASIGNATURAS!$B$2:$J$91,9,FALSE()),""))</f>
      </c>
    </row>
    <row r="2107">
      <c r="F2107">
        <f>IF(DATOS!$A2107="","",DATOS!$A2107&amp;"|"&amp;DATOS!$D2107&amp;"|"&amp;DATOS!$E2107&amp;"|"&amp;DATOS!$I2107)</f>
      </c>
      <c r="G2107">
        <f>IF(DATOS!$A2107="",0,IF(CONFIG_METADATA!$B$4&lt;&gt;"OR+EX",--(DATOS!$G2107=CONFIG_METADATA!$B$4),IF(DATOS!$G2107="EX",1,IF(DATOS!$G2107="OR",--(COUNTIFS(nNIA,DATOS!$A2107,nCURSO,DATOS!$D2107,nESPEC,DATOS!$E2107,nASIG,DATOS!$I2107,nEVAL,"EX")=0),0))))</f>
      </c>
      <c r="H2107">
        <f>IF(DATOS!$G2107&lt;&gt;"EX",0,--(COUNTIFS(nNIA,DATOS!$A2107,nCURSO,DATOS!$D2107,nESPEC,DATOS!$E2107,nASIG,DATOS!$I2107,nEVAL,"OR")=0))</f>
      </c>
      <c r="I2107">
        <f>IF(DATOS!$I2107="","",IFERROR(VLOOKUP(DATOS!$I2107,CONFIG_ASIGNATURAS!$B$2:$J$91,9,FALSE()),""))</f>
      </c>
    </row>
    <row r="2108">
      <c r="F2108">
        <f>IF(DATOS!$A2108="","",DATOS!$A2108&amp;"|"&amp;DATOS!$D2108&amp;"|"&amp;DATOS!$E2108&amp;"|"&amp;DATOS!$I2108)</f>
      </c>
      <c r="G2108">
        <f>IF(DATOS!$A2108="",0,IF(CONFIG_METADATA!$B$4&lt;&gt;"OR+EX",--(DATOS!$G2108=CONFIG_METADATA!$B$4),IF(DATOS!$G2108="EX",1,IF(DATOS!$G2108="OR",--(COUNTIFS(nNIA,DATOS!$A2108,nCURSO,DATOS!$D2108,nESPEC,DATOS!$E2108,nASIG,DATOS!$I2108,nEVAL,"EX")=0),0))))</f>
      </c>
      <c r="H2108">
        <f>IF(DATOS!$G2108&lt;&gt;"EX",0,--(COUNTIFS(nNIA,DATOS!$A2108,nCURSO,DATOS!$D2108,nESPEC,DATOS!$E2108,nASIG,DATOS!$I2108,nEVAL,"OR")=0))</f>
      </c>
      <c r="I2108">
        <f>IF(DATOS!$I2108="","",IFERROR(VLOOKUP(DATOS!$I2108,CONFIG_ASIGNATURAS!$B$2:$J$91,9,FALSE()),""))</f>
      </c>
    </row>
    <row r="2109">
      <c r="F2109">
        <f>IF(DATOS!$A2109="","",DATOS!$A2109&amp;"|"&amp;DATOS!$D2109&amp;"|"&amp;DATOS!$E2109&amp;"|"&amp;DATOS!$I2109)</f>
      </c>
      <c r="G2109">
        <f>IF(DATOS!$A2109="",0,IF(CONFIG_METADATA!$B$4&lt;&gt;"OR+EX",--(DATOS!$G2109=CONFIG_METADATA!$B$4),IF(DATOS!$G2109="EX",1,IF(DATOS!$G2109="OR",--(COUNTIFS(nNIA,DATOS!$A2109,nCURSO,DATOS!$D2109,nESPEC,DATOS!$E2109,nASIG,DATOS!$I2109,nEVAL,"EX")=0),0))))</f>
      </c>
      <c r="H2109">
        <f>IF(DATOS!$G2109&lt;&gt;"EX",0,--(COUNTIFS(nNIA,DATOS!$A2109,nCURSO,DATOS!$D2109,nESPEC,DATOS!$E2109,nASIG,DATOS!$I2109,nEVAL,"OR")=0))</f>
      </c>
      <c r="I2109">
        <f>IF(DATOS!$I2109="","",IFERROR(VLOOKUP(DATOS!$I2109,CONFIG_ASIGNATURAS!$B$2:$J$91,9,FALSE()),""))</f>
      </c>
    </row>
    <row r="2110">
      <c r="F2110">
        <f>IF(DATOS!$A2110="","",DATOS!$A2110&amp;"|"&amp;DATOS!$D2110&amp;"|"&amp;DATOS!$E2110&amp;"|"&amp;DATOS!$I2110)</f>
      </c>
      <c r="G2110">
        <f>IF(DATOS!$A2110="",0,IF(CONFIG_METADATA!$B$4&lt;&gt;"OR+EX",--(DATOS!$G2110=CONFIG_METADATA!$B$4),IF(DATOS!$G2110="EX",1,IF(DATOS!$G2110="OR",--(COUNTIFS(nNIA,DATOS!$A2110,nCURSO,DATOS!$D2110,nESPEC,DATOS!$E2110,nASIG,DATOS!$I2110,nEVAL,"EX")=0),0))))</f>
      </c>
      <c r="H2110">
        <f>IF(DATOS!$G2110&lt;&gt;"EX",0,--(COUNTIFS(nNIA,DATOS!$A2110,nCURSO,DATOS!$D2110,nESPEC,DATOS!$E2110,nASIG,DATOS!$I2110,nEVAL,"OR")=0))</f>
      </c>
      <c r="I2110">
        <f>IF(DATOS!$I2110="","",IFERROR(VLOOKUP(DATOS!$I2110,CONFIG_ASIGNATURAS!$B$2:$J$91,9,FALSE()),""))</f>
      </c>
    </row>
    <row r="2111">
      <c r="F2111">
        <f>IF(DATOS!$A2111="","",DATOS!$A2111&amp;"|"&amp;DATOS!$D2111&amp;"|"&amp;DATOS!$E2111&amp;"|"&amp;DATOS!$I2111)</f>
      </c>
      <c r="G2111">
        <f>IF(DATOS!$A2111="",0,IF(CONFIG_METADATA!$B$4&lt;&gt;"OR+EX",--(DATOS!$G2111=CONFIG_METADATA!$B$4),IF(DATOS!$G2111="EX",1,IF(DATOS!$G2111="OR",--(COUNTIFS(nNIA,DATOS!$A2111,nCURSO,DATOS!$D2111,nESPEC,DATOS!$E2111,nASIG,DATOS!$I2111,nEVAL,"EX")=0),0))))</f>
      </c>
      <c r="H2111">
        <f>IF(DATOS!$G2111&lt;&gt;"EX",0,--(COUNTIFS(nNIA,DATOS!$A2111,nCURSO,DATOS!$D2111,nESPEC,DATOS!$E2111,nASIG,DATOS!$I2111,nEVAL,"OR")=0))</f>
      </c>
      <c r="I2111">
        <f>IF(DATOS!$I2111="","",IFERROR(VLOOKUP(DATOS!$I2111,CONFIG_ASIGNATURAS!$B$2:$J$91,9,FALSE()),""))</f>
      </c>
    </row>
    <row r="2112">
      <c r="F2112">
        <f>IF(DATOS!$A2112="","",DATOS!$A2112&amp;"|"&amp;DATOS!$D2112&amp;"|"&amp;DATOS!$E2112&amp;"|"&amp;DATOS!$I2112)</f>
      </c>
      <c r="G2112">
        <f>IF(DATOS!$A2112="",0,IF(CONFIG_METADATA!$B$4&lt;&gt;"OR+EX",--(DATOS!$G2112=CONFIG_METADATA!$B$4),IF(DATOS!$G2112="EX",1,IF(DATOS!$G2112="OR",--(COUNTIFS(nNIA,DATOS!$A2112,nCURSO,DATOS!$D2112,nESPEC,DATOS!$E2112,nASIG,DATOS!$I2112,nEVAL,"EX")=0),0))))</f>
      </c>
      <c r="H2112">
        <f>IF(DATOS!$G2112&lt;&gt;"EX",0,--(COUNTIFS(nNIA,DATOS!$A2112,nCURSO,DATOS!$D2112,nESPEC,DATOS!$E2112,nASIG,DATOS!$I2112,nEVAL,"OR")=0))</f>
      </c>
      <c r="I2112">
        <f>IF(DATOS!$I2112="","",IFERROR(VLOOKUP(DATOS!$I2112,CONFIG_ASIGNATURAS!$B$2:$J$91,9,FALSE()),""))</f>
      </c>
    </row>
    <row r="2113">
      <c r="F2113">
        <f>IF(DATOS!$A2113="","",DATOS!$A2113&amp;"|"&amp;DATOS!$D2113&amp;"|"&amp;DATOS!$E2113&amp;"|"&amp;DATOS!$I2113)</f>
      </c>
      <c r="G2113">
        <f>IF(DATOS!$A2113="",0,IF(CONFIG_METADATA!$B$4&lt;&gt;"OR+EX",--(DATOS!$G2113=CONFIG_METADATA!$B$4),IF(DATOS!$G2113="EX",1,IF(DATOS!$G2113="OR",--(COUNTIFS(nNIA,DATOS!$A2113,nCURSO,DATOS!$D2113,nESPEC,DATOS!$E2113,nASIG,DATOS!$I2113,nEVAL,"EX")=0),0))))</f>
      </c>
      <c r="H2113">
        <f>IF(DATOS!$G2113&lt;&gt;"EX",0,--(COUNTIFS(nNIA,DATOS!$A2113,nCURSO,DATOS!$D2113,nESPEC,DATOS!$E2113,nASIG,DATOS!$I2113,nEVAL,"OR")=0))</f>
      </c>
      <c r="I2113">
        <f>IF(DATOS!$I2113="","",IFERROR(VLOOKUP(DATOS!$I2113,CONFIG_ASIGNATURAS!$B$2:$J$91,9,FALSE()),""))</f>
      </c>
    </row>
    <row r="2114">
      <c r="F2114">
        <f>IF(DATOS!$A2114="","",DATOS!$A2114&amp;"|"&amp;DATOS!$D2114&amp;"|"&amp;DATOS!$E2114&amp;"|"&amp;DATOS!$I2114)</f>
      </c>
      <c r="G2114">
        <f>IF(DATOS!$A2114="",0,IF(CONFIG_METADATA!$B$4&lt;&gt;"OR+EX",--(DATOS!$G2114=CONFIG_METADATA!$B$4),IF(DATOS!$G2114="EX",1,IF(DATOS!$G2114="OR",--(COUNTIFS(nNIA,DATOS!$A2114,nCURSO,DATOS!$D2114,nESPEC,DATOS!$E2114,nASIG,DATOS!$I2114,nEVAL,"EX")=0),0))))</f>
      </c>
      <c r="H2114">
        <f>IF(DATOS!$G2114&lt;&gt;"EX",0,--(COUNTIFS(nNIA,DATOS!$A2114,nCURSO,DATOS!$D2114,nESPEC,DATOS!$E2114,nASIG,DATOS!$I2114,nEVAL,"OR")=0))</f>
      </c>
      <c r="I2114">
        <f>IF(DATOS!$I2114="","",IFERROR(VLOOKUP(DATOS!$I2114,CONFIG_ASIGNATURAS!$B$2:$J$91,9,FALSE()),""))</f>
      </c>
    </row>
    <row r="2115">
      <c r="F2115">
        <f>IF(DATOS!$A2115="","",DATOS!$A2115&amp;"|"&amp;DATOS!$D2115&amp;"|"&amp;DATOS!$E2115&amp;"|"&amp;DATOS!$I2115)</f>
      </c>
      <c r="G2115">
        <f>IF(DATOS!$A2115="",0,IF(CONFIG_METADATA!$B$4&lt;&gt;"OR+EX",--(DATOS!$G2115=CONFIG_METADATA!$B$4),IF(DATOS!$G2115="EX",1,IF(DATOS!$G2115="OR",--(COUNTIFS(nNIA,DATOS!$A2115,nCURSO,DATOS!$D2115,nESPEC,DATOS!$E2115,nASIG,DATOS!$I2115,nEVAL,"EX")=0),0))))</f>
      </c>
      <c r="H2115">
        <f>IF(DATOS!$G2115&lt;&gt;"EX",0,--(COUNTIFS(nNIA,DATOS!$A2115,nCURSO,DATOS!$D2115,nESPEC,DATOS!$E2115,nASIG,DATOS!$I2115,nEVAL,"OR")=0))</f>
      </c>
      <c r="I2115">
        <f>IF(DATOS!$I2115="","",IFERROR(VLOOKUP(DATOS!$I2115,CONFIG_ASIGNATURAS!$B$2:$J$91,9,FALSE()),""))</f>
      </c>
    </row>
    <row r="2116">
      <c r="F2116">
        <f>IF(DATOS!$A2116="","",DATOS!$A2116&amp;"|"&amp;DATOS!$D2116&amp;"|"&amp;DATOS!$E2116&amp;"|"&amp;DATOS!$I2116)</f>
      </c>
      <c r="G2116">
        <f>IF(DATOS!$A2116="",0,IF(CONFIG_METADATA!$B$4&lt;&gt;"OR+EX",--(DATOS!$G2116=CONFIG_METADATA!$B$4),IF(DATOS!$G2116="EX",1,IF(DATOS!$G2116="OR",--(COUNTIFS(nNIA,DATOS!$A2116,nCURSO,DATOS!$D2116,nESPEC,DATOS!$E2116,nASIG,DATOS!$I2116,nEVAL,"EX")=0),0))))</f>
      </c>
      <c r="H2116">
        <f>IF(DATOS!$G2116&lt;&gt;"EX",0,--(COUNTIFS(nNIA,DATOS!$A2116,nCURSO,DATOS!$D2116,nESPEC,DATOS!$E2116,nASIG,DATOS!$I2116,nEVAL,"OR")=0))</f>
      </c>
      <c r="I2116">
        <f>IF(DATOS!$I2116="","",IFERROR(VLOOKUP(DATOS!$I2116,CONFIG_ASIGNATURAS!$B$2:$J$91,9,FALSE()),""))</f>
      </c>
    </row>
    <row r="2117">
      <c r="F2117">
        <f>IF(DATOS!$A2117="","",DATOS!$A2117&amp;"|"&amp;DATOS!$D2117&amp;"|"&amp;DATOS!$E2117&amp;"|"&amp;DATOS!$I2117)</f>
      </c>
      <c r="G2117">
        <f>IF(DATOS!$A2117="",0,IF(CONFIG_METADATA!$B$4&lt;&gt;"OR+EX",--(DATOS!$G2117=CONFIG_METADATA!$B$4),IF(DATOS!$G2117="EX",1,IF(DATOS!$G2117="OR",--(COUNTIFS(nNIA,DATOS!$A2117,nCURSO,DATOS!$D2117,nESPEC,DATOS!$E2117,nASIG,DATOS!$I2117,nEVAL,"EX")=0),0))))</f>
      </c>
      <c r="H2117">
        <f>IF(DATOS!$G2117&lt;&gt;"EX",0,--(COUNTIFS(nNIA,DATOS!$A2117,nCURSO,DATOS!$D2117,nESPEC,DATOS!$E2117,nASIG,DATOS!$I2117,nEVAL,"OR")=0))</f>
      </c>
      <c r="I2117">
        <f>IF(DATOS!$I2117="","",IFERROR(VLOOKUP(DATOS!$I2117,CONFIG_ASIGNATURAS!$B$2:$J$91,9,FALSE()),""))</f>
      </c>
    </row>
    <row r="2118">
      <c r="F2118">
        <f>IF(DATOS!$A2118="","",DATOS!$A2118&amp;"|"&amp;DATOS!$D2118&amp;"|"&amp;DATOS!$E2118&amp;"|"&amp;DATOS!$I2118)</f>
      </c>
      <c r="G2118">
        <f>IF(DATOS!$A2118="",0,IF(CONFIG_METADATA!$B$4&lt;&gt;"OR+EX",--(DATOS!$G2118=CONFIG_METADATA!$B$4),IF(DATOS!$G2118="EX",1,IF(DATOS!$G2118="OR",--(COUNTIFS(nNIA,DATOS!$A2118,nCURSO,DATOS!$D2118,nESPEC,DATOS!$E2118,nASIG,DATOS!$I2118,nEVAL,"EX")=0),0))))</f>
      </c>
      <c r="H2118">
        <f>IF(DATOS!$G2118&lt;&gt;"EX",0,--(COUNTIFS(nNIA,DATOS!$A2118,nCURSO,DATOS!$D2118,nESPEC,DATOS!$E2118,nASIG,DATOS!$I2118,nEVAL,"OR")=0))</f>
      </c>
      <c r="I2118">
        <f>IF(DATOS!$I2118="","",IFERROR(VLOOKUP(DATOS!$I2118,CONFIG_ASIGNATURAS!$B$2:$J$91,9,FALSE()),""))</f>
      </c>
    </row>
    <row r="2119">
      <c r="F2119">
        <f>IF(DATOS!$A2119="","",DATOS!$A2119&amp;"|"&amp;DATOS!$D2119&amp;"|"&amp;DATOS!$E2119&amp;"|"&amp;DATOS!$I2119)</f>
      </c>
      <c r="G2119">
        <f>IF(DATOS!$A2119="",0,IF(CONFIG_METADATA!$B$4&lt;&gt;"OR+EX",--(DATOS!$G2119=CONFIG_METADATA!$B$4),IF(DATOS!$G2119="EX",1,IF(DATOS!$G2119="OR",--(COUNTIFS(nNIA,DATOS!$A2119,nCURSO,DATOS!$D2119,nESPEC,DATOS!$E2119,nASIG,DATOS!$I2119,nEVAL,"EX")=0),0))))</f>
      </c>
      <c r="H2119">
        <f>IF(DATOS!$G2119&lt;&gt;"EX",0,--(COUNTIFS(nNIA,DATOS!$A2119,nCURSO,DATOS!$D2119,nESPEC,DATOS!$E2119,nASIG,DATOS!$I2119,nEVAL,"OR")=0))</f>
      </c>
      <c r="I2119">
        <f>IF(DATOS!$I2119="","",IFERROR(VLOOKUP(DATOS!$I2119,CONFIG_ASIGNATURAS!$B$2:$J$91,9,FALSE()),""))</f>
      </c>
    </row>
    <row r="2120">
      <c r="F2120">
        <f>IF(DATOS!$A2120="","",DATOS!$A2120&amp;"|"&amp;DATOS!$D2120&amp;"|"&amp;DATOS!$E2120&amp;"|"&amp;DATOS!$I2120)</f>
      </c>
      <c r="G2120">
        <f>IF(DATOS!$A2120="",0,IF(CONFIG_METADATA!$B$4&lt;&gt;"OR+EX",--(DATOS!$G2120=CONFIG_METADATA!$B$4),IF(DATOS!$G2120="EX",1,IF(DATOS!$G2120="OR",--(COUNTIFS(nNIA,DATOS!$A2120,nCURSO,DATOS!$D2120,nESPEC,DATOS!$E2120,nASIG,DATOS!$I2120,nEVAL,"EX")=0),0))))</f>
      </c>
      <c r="H2120">
        <f>IF(DATOS!$G2120&lt;&gt;"EX",0,--(COUNTIFS(nNIA,DATOS!$A2120,nCURSO,DATOS!$D2120,nESPEC,DATOS!$E2120,nASIG,DATOS!$I2120,nEVAL,"OR")=0))</f>
      </c>
      <c r="I2120">
        <f>IF(DATOS!$I2120="","",IFERROR(VLOOKUP(DATOS!$I2120,CONFIG_ASIGNATURAS!$B$2:$J$91,9,FALSE()),""))</f>
      </c>
    </row>
    <row r="2121">
      <c r="F2121">
        <f>IF(DATOS!$A2121="","",DATOS!$A2121&amp;"|"&amp;DATOS!$D2121&amp;"|"&amp;DATOS!$E2121&amp;"|"&amp;DATOS!$I2121)</f>
      </c>
      <c r="G2121">
        <f>IF(DATOS!$A2121="",0,IF(CONFIG_METADATA!$B$4&lt;&gt;"OR+EX",--(DATOS!$G2121=CONFIG_METADATA!$B$4),IF(DATOS!$G2121="EX",1,IF(DATOS!$G2121="OR",--(COUNTIFS(nNIA,DATOS!$A2121,nCURSO,DATOS!$D2121,nESPEC,DATOS!$E2121,nASIG,DATOS!$I2121,nEVAL,"EX")=0),0))))</f>
      </c>
      <c r="H2121">
        <f>IF(DATOS!$G2121&lt;&gt;"EX",0,--(COUNTIFS(nNIA,DATOS!$A2121,nCURSO,DATOS!$D2121,nESPEC,DATOS!$E2121,nASIG,DATOS!$I2121,nEVAL,"OR")=0))</f>
      </c>
      <c r="I2121">
        <f>IF(DATOS!$I2121="","",IFERROR(VLOOKUP(DATOS!$I2121,CONFIG_ASIGNATURAS!$B$2:$J$91,9,FALSE()),""))</f>
      </c>
    </row>
    <row r="2122">
      <c r="F2122">
        <f>IF(DATOS!$A2122="","",DATOS!$A2122&amp;"|"&amp;DATOS!$D2122&amp;"|"&amp;DATOS!$E2122&amp;"|"&amp;DATOS!$I2122)</f>
      </c>
      <c r="G2122">
        <f>IF(DATOS!$A2122="",0,IF(CONFIG_METADATA!$B$4&lt;&gt;"OR+EX",--(DATOS!$G2122=CONFIG_METADATA!$B$4),IF(DATOS!$G2122="EX",1,IF(DATOS!$G2122="OR",--(COUNTIFS(nNIA,DATOS!$A2122,nCURSO,DATOS!$D2122,nESPEC,DATOS!$E2122,nASIG,DATOS!$I2122,nEVAL,"EX")=0),0))))</f>
      </c>
      <c r="H2122">
        <f>IF(DATOS!$G2122&lt;&gt;"EX",0,--(COUNTIFS(nNIA,DATOS!$A2122,nCURSO,DATOS!$D2122,nESPEC,DATOS!$E2122,nASIG,DATOS!$I2122,nEVAL,"OR")=0))</f>
      </c>
      <c r="I2122">
        <f>IF(DATOS!$I2122="","",IFERROR(VLOOKUP(DATOS!$I2122,CONFIG_ASIGNATURAS!$B$2:$J$91,9,FALSE()),""))</f>
      </c>
    </row>
    <row r="2123">
      <c r="F2123">
        <f>IF(DATOS!$A2123="","",DATOS!$A2123&amp;"|"&amp;DATOS!$D2123&amp;"|"&amp;DATOS!$E2123&amp;"|"&amp;DATOS!$I2123)</f>
      </c>
      <c r="G2123">
        <f>IF(DATOS!$A2123="",0,IF(CONFIG_METADATA!$B$4&lt;&gt;"OR+EX",--(DATOS!$G2123=CONFIG_METADATA!$B$4),IF(DATOS!$G2123="EX",1,IF(DATOS!$G2123="OR",--(COUNTIFS(nNIA,DATOS!$A2123,nCURSO,DATOS!$D2123,nESPEC,DATOS!$E2123,nASIG,DATOS!$I2123,nEVAL,"EX")=0),0))))</f>
      </c>
      <c r="H2123">
        <f>IF(DATOS!$G2123&lt;&gt;"EX",0,--(COUNTIFS(nNIA,DATOS!$A2123,nCURSO,DATOS!$D2123,nESPEC,DATOS!$E2123,nASIG,DATOS!$I2123,nEVAL,"OR")=0))</f>
      </c>
      <c r="I2123">
        <f>IF(DATOS!$I2123="","",IFERROR(VLOOKUP(DATOS!$I2123,CONFIG_ASIGNATURAS!$B$2:$J$91,9,FALSE()),""))</f>
      </c>
    </row>
    <row r="2124">
      <c r="F2124">
        <f>IF(DATOS!$A2124="","",DATOS!$A2124&amp;"|"&amp;DATOS!$D2124&amp;"|"&amp;DATOS!$E2124&amp;"|"&amp;DATOS!$I2124)</f>
      </c>
      <c r="G2124">
        <f>IF(DATOS!$A2124="",0,IF(CONFIG_METADATA!$B$4&lt;&gt;"OR+EX",--(DATOS!$G2124=CONFIG_METADATA!$B$4),IF(DATOS!$G2124="EX",1,IF(DATOS!$G2124="OR",--(COUNTIFS(nNIA,DATOS!$A2124,nCURSO,DATOS!$D2124,nESPEC,DATOS!$E2124,nASIG,DATOS!$I2124,nEVAL,"EX")=0),0))))</f>
      </c>
      <c r="H2124">
        <f>IF(DATOS!$G2124&lt;&gt;"EX",0,--(COUNTIFS(nNIA,DATOS!$A2124,nCURSO,DATOS!$D2124,nESPEC,DATOS!$E2124,nASIG,DATOS!$I2124,nEVAL,"OR")=0))</f>
      </c>
      <c r="I2124">
        <f>IF(DATOS!$I2124="","",IFERROR(VLOOKUP(DATOS!$I2124,CONFIG_ASIGNATURAS!$B$2:$J$91,9,FALSE()),""))</f>
      </c>
    </row>
    <row r="2125">
      <c r="F2125">
        <f>IF(DATOS!$A2125="","",DATOS!$A2125&amp;"|"&amp;DATOS!$D2125&amp;"|"&amp;DATOS!$E2125&amp;"|"&amp;DATOS!$I2125)</f>
      </c>
      <c r="G2125">
        <f>IF(DATOS!$A2125="",0,IF(CONFIG_METADATA!$B$4&lt;&gt;"OR+EX",--(DATOS!$G2125=CONFIG_METADATA!$B$4),IF(DATOS!$G2125="EX",1,IF(DATOS!$G2125="OR",--(COUNTIFS(nNIA,DATOS!$A2125,nCURSO,DATOS!$D2125,nESPEC,DATOS!$E2125,nASIG,DATOS!$I2125,nEVAL,"EX")=0),0))))</f>
      </c>
      <c r="H2125">
        <f>IF(DATOS!$G2125&lt;&gt;"EX",0,--(COUNTIFS(nNIA,DATOS!$A2125,nCURSO,DATOS!$D2125,nESPEC,DATOS!$E2125,nASIG,DATOS!$I2125,nEVAL,"OR")=0))</f>
      </c>
      <c r="I2125">
        <f>IF(DATOS!$I2125="","",IFERROR(VLOOKUP(DATOS!$I2125,CONFIG_ASIGNATURAS!$B$2:$J$91,9,FALSE()),""))</f>
      </c>
    </row>
    <row r="2126">
      <c r="F2126">
        <f>IF(DATOS!$A2126="","",DATOS!$A2126&amp;"|"&amp;DATOS!$D2126&amp;"|"&amp;DATOS!$E2126&amp;"|"&amp;DATOS!$I2126)</f>
      </c>
      <c r="G2126">
        <f>IF(DATOS!$A2126="",0,IF(CONFIG_METADATA!$B$4&lt;&gt;"OR+EX",--(DATOS!$G2126=CONFIG_METADATA!$B$4),IF(DATOS!$G2126="EX",1,IF(DATOS!$G2126="OR",--(COUNTIFS(nNIA,DATOS!$A2126,nCURSO,DATOS!$D2126,nESPEC,DATOS!$E2126,nASIG,DATOS!$I2126,nEVAL,"EX")=0),0))))</f>
      </c>
      <c r="H2126">
        <f>IF(DATOS!$G2126&lt;&gt;"EX",0,--(COUNTIFS(nNIA,DATOS!$A2126,nCURSO,DATOS!$D2126,nESPEC,DATOS!$E2126,nASIG,DATOS!$I2126,nEVAL,"OR")=0))</f>
      </c>
      <c r="I2126">
        <f>IF(DATOS!$I2126="","",IFERROR(VLOOKUP(DATOS!$I2126,CONFIG_ASIGNATURAS!$B$2:$J$91,9,FALSE()),""))</f>
      </c>
    </row>
    <row r="2127">
      <c r="F2127">
        <f>IF(DATOS!$A2127="","",DATOS!$A2127&amp;"|"&amp;DATOS!$D2127&amp;"|"&amp;DATOS!$E2127&amp;"|"&amp;DATOS!$I2127)</f>
      </c>
      <c r="G2127">
        <f>IF(DATOS!$A2127="",0,IF(CONFIG_METADATA!$B$4&lt;&gt;"OR+EX",--(DATOS!$G2127=CONFIG_METADATA!$B$4),IF(DATOS!$G2127="EX",1,IF(DATOS!$G2127="OR",--(COUNTIFS(nNIA,DATOS!$A2127,nCURSO,DATOS!$D2127,nESPEC,DATOS!$E2127,nASIG,DATOS!$I2127,nEVAL,"EX")=0),0))))</f>
      </c>
      <c r="H2127">
        <f>IF(DATOS!$G2127&lt;&gt;"EX",0,--(COUNTIFS(nNIA,DATOS!$A2127,nCURSO,DATOS!$D2127,nESPEC,DATOS!$E2127,nASIG,DATOS!$I2127,nEVAL,"OR")=0))</f>
      </c>
      <c r="I2127">
        <f>IF(DATOS!$I2127="","",IFERROR(VLOOKUP(DATOS!$I2127,CONFIG_ASIGNATURAS!$B$2:$J$91,9,FALSE()),""))</f>
      </c>
    </row>
    <row r="2128">
      <c r="F2128">
        <f>IF(DATOS!$A2128="","",DATOS!$A2128&amp;"|"&amp;DATOS!$D2128&amp;"|"&amp;DATOS!$E2128&amp;"|"&amp;DATOS!$I2128)</f>
      </c>
      <c r="G2128">
        <f>IF(DATOS!$A2128="",0,IF(CONFIG_METADATA!$B$4&lt;&gt;"OR+EX",--(DATOS!$G2128=CONFIG_METADATA!$B$4),IF(DATOS!$G2128="EX",1,IF(DATOS!$G2128="OR",--(COUNTIFS(nNIA,DATOS!$A2128,nCURSO,DATOS!$D2128,nESPEC,DATOS!$E2128,nASIG,DATOS!$I2128,nEVAL,"EX")=0),0))))</f>
      </c>
      <c r="H2128">
        <f>IF(DATOS!$G2128&lt;&gt;"EX",0,--(COUNTIFS(nNIA,DATOS!$A2128,nCURSO,DATOS!$D2128,nESPEC,DATOS!$E2128,nASIG,DATOS!$I2128,nEVAL,"OR")=0))</f>
      </c>
      <c r="I2128">
        <f>IF(DATOS!$I2128="","",IFERROR(VLOOKUP(DATOS!$I2128,CONFIG_ASIGNATURAS!$B$2:$J$91,9,FALSE()),""))</f>
      </c>
    </row>
    <row r="2129">
      <c r="F2129">
        <f>IF(DATOS!$A2129="","",DATOS!$A2129&amp;"|"&amp;DATOS!$D2129&amp;"|"&amp;DATOS!$E2129&amp;"|"&amp;DATOS!$I2129)</f>
      </c>
      <c r="G2129">
        <f>IF(DATOS!$A2129="",0,IF(CONFIG_METADATA!$B$4&lt;&gt;"OR+EX",--(DATOS!$G2129=CONFIG_METADATA!$B$4),IF(DATOS!$G2129="EX",1,IF(DATOS!$G2129="OR",--(COUNTIFS(nNIA,DATOS!$A2129,nCURSO,DATOS!$D2129,nESPEC,DATOS!$E2129,nASIG,DATOS!$I2129,nEVAL,"EX")=0),0))))</f>
      </c>
      <c r="H2129">
        <f>IF(DATOS!$G2129&lt;&gt;"EX",0,--(COUNTIFS(nNIA,DATOS!$A2129,nCURSO,DATOS!$D2129,nESPEC,DATOS!$E2129,nASIG,DATOS!$I2129,nEVAL,"OR")=0))</f>
      </c>
      <c r="I2129">
        <f>IF(DATOS!$I2129="","",IFERROR(VLOOKUP(DATOS!$I2129,CONFIG_ASIGNATURAS!$B$2:$J$91,9,FALSE()),""))</f>
      </c>
    </row>
    <row r="2130">
      <c r="F2130">
        <f>IF(DATOS!$A2130="","",DATOS!$A2130&amp;"|"&amp;DATOS!$D2130&amp;"|"&amp;DATOS!$E2130&amp;"|"&amp;DATOS!$I2130)</f>
      </c>
      <c r="G2130">
        <f>IF(DATOS!$A2130="",0,IF(CONFIG_METADATA!$B$4&lt;&gt;"OR+EX",--(DATOS!$G2130=CONFIG_METADATA!$B$4),IF(DATOS!$G2130="EX",1,IF(DATOS!$G2130="OR",--(COUNTIFS(nNIA,DATOS!$A2130,nCURSO,DATOS!$D2130,nESPEC,DATOS!$E2130,nASIG,DATOS!$I2130,nEVAL,"EX")=0),0))))</f>
      </c>
      <c r="H2130">
        <f>IF(DATOS!$G2130&lt;&gt;"EX",0,--(COUNTIFS(nNIA,DATOS!$A2130,nCURSO,DATOS!$D2130,nESPEC,DATOS!$E2130,nASIG,DATOS!$I2130,nEVAL,"OR")=0))</f>
      </c>
      <c r="I2130">
        <f>IF(DATOS!$I2130="","",IFERROR(VLOOKUP(DATOS!$I2130,CONFIG_ASIGNATURAS!$B$2:$J$91,9,FALSE()),""))</f>
      </c>
    </row>
    <row r="2131">
      <c r="F2131">
        <f>IF(DATOS!$A2131="","",DATOS!$A2131&amp;"|"&amp;DATOS!$D2131&amp;"|"&amp;DATOS!$E2131&amp;"|"&amp;DATOS!$I2131)</f>
      </c>
      <c r="G2131">
        <f>IF(DATOS!$A2131="",0,IF(CONFIG_METADATA!$B$4&lt;&gt;"OR+EX",--(DATOS!$G2131=CONFIG_METADATA!$B$4),IF(DATOS!$G2131="EX",1,IF(DATOS!$G2131="OR",--(COUNTIFS(nNIA,DATOS!$A2131,nCURSO,DATOS!$D2131,nESPEC,DATOS!$E2131,nASIG,DATOS!$I2131,nEVAL,"EX")=0),0))))</f>
      </c>
      <c r="H2131">
        <f>IF(DATOS!$G2131&lt;&gt;"EX",0,--(COUNTIFS(nNIA,DATOS!$A2131,nCURSO,DATOS!$D2131,nESPEC,DATOS!$E2131,nASIG,DATOS!$I2131,nEVAL,"OR")=0))</f>
      </c>
      <c r="I2131">
        <f>IF(DATOS!$I2131="","",IFERROR(VLOOKUP(DATOS!$I2131,CONFIG_ASIGNATURAS!$B$2:$J$91,9,FALSE()),""))</f>
      </c>
    </row>
    <row r="2132">
      <c r="F2132">
        <f>IF(DATOS!$A2132="","",DATOS!$A2132&amp;"|"&amp;DATOS!$D2132&amp;"|"&amp;DATOS!$E2132&amp;"|"&amp;DATOS!$I2132)</f>
      </c>
      <c r="G2132">
        <f>IF(DATOS!$A2132="",0,IF(CONFIG_METADATA!$B$4&lt;&gt;"OR+EX",--(DATOS!$G2132=CONFIG_METADATA!$B$4),IF(DATOS!$G2132="EX",1,IF(DATOS!$G2132="OR",--(COUNTIFS(nNIA,DATOS!$A2132,nCURSO,DATOS!$D2132,nESPEC,DATOS!$E2132,nASIG,DATOS!$I2132,nEVAL,"EX")=0),0))))</f>
      </c>
      <c r="H2132">
        <f>IF(DATOS!$G2132&lt;&gt;"EX",0,--(COUNTIFS(nNIA,DATOS!$A2132,nCURSO,DATOS!$D2132,nESPEC,DATOS!$E2132,nASIG,DATOS!$I2132,nEVAL,"OR")=0))</f>
      </c>
      <c r="I2132">
        <f>IF(DATOS!$I2132="","",IFERROR(VLOOKUP(DATOS!$I2132,CONFIG_ASIGNATURAS!$B$2:$J$91,9,FALSE()),""))</f>
      </c>
    </row>
    <row r="2133">
      <c r="F2133">
        <f>IF(DATOS!$A2133="","",DATOS!$A2133&amp;"|"&amp;DATOS!$D2133&amp;"|"&amp;DATOS!$E2133&amp;"|"&amp;DATOS!$I2133)</f>
      </c>
      <c r="G2133">
        <f>IF(DATOS!$A2133="",0,IF(CONFIG_METADATA!$B$4&lt;&gt;"OR+EX",--(DATOS!$G2133=CONFIG_METADATA!$B$4),IF(DATOS!$G2133="EX",1,IF(DATOS!$G2133="OR",--(COUNTIFS(nNIA,DATOS!$A2133,nCURSO,DATOS!$D2133,nESPEC,DATOS!$E2133,nASIG,DATOS!$I2133,nEVAL,"EX")=0),0))))</f>
      </c>
      <c r="H2133">
        <f>IF(DATOS!$G2133&lt;&gt;"EX",0,--(COUNTIFS(nNIA,DATOS!$A2133,nCURSO,DATOS!$D2133,nESPEC,DATOS!$E2133,nASIG,DATOS!$I2133,nEVAL,"OR")=0))</f>
      </c>
      <c r="I2133">
        <f>IF(DATOS!$I2133="","",IFERROR(VLOOKUP(DATOS!$I2133,CONFIG_ASIGNATURAS!$B$2:$J$91,9,FALSE()),""))</f>
      </c>
    </row>
    <row r="2134">
      <c r="F2134">
        <f>IF(DATOS!$A2134="","",DATOS!$A2134&amp;"|"&amp;DATOS!$D2134&amp;"|"&amp;DATOS!$E2134&amp;"|"&amp;DATOS!$I2134)</f>
      </c>
      <c r="G2134">
        <f>IF(DATOS!$A2134="",0,IF(CONFIG_METADATA!$B$4&lt;&gt;"OR+EX",--(DATOS!$G2134=CONFIG_METADATA!$B$4),IF(DATOS!$G2134="EX",1,IF(DATOS!$G2134="OR",--(COUNTIFS(nNIA,DATOS!$A2134,nCURSO,DATOS!$D2134,nESPEC,DATOS!$E2134,nASIG,DATOS!$I2134,nEVAL,"EX")=0),0))))</f>
      </c>
      <c r="H2134">
        <f>IF(DATOS!$G2134&lt;&gt;"EX",0,--(COUNTIFS(nNIA,DATOS!$A2134,nCURSO,DATOS!$D2134,nESPEC,DATOS!$E2134,nASIG,DATOS!$I2134,nEVAL,"OR")=0))</f>
      </c>
      <c r="I2134">
        <f>IF(DATOS!$I2134="","",IFERROR(VLOOKUP(DATOS!$I2134,CONFIG_ASIGNATURAS!$B$2:$J$91,9,FALSE()),""))</f>
      </c>
    </row>
    <row r="2135">
      <c r="F2135">
        <f>IF(DATOS!$A2135="","",DATOS!$A2135&amp;"|"&amp;DATOS!$D2135&amp;"|"&amp;DATOS!$E2135&amp;"|"&amp;DATOS!$I2135)</f>
      </c>
      <c r="G2135">
        <f>IF(DATOS!$A2135="",0,IF(CONFIG_METADATA!$B$4&lt;&gt;"OR+EX",--(DATOS!$G2135=CONFIG_METADATA!$B$4),IF(DATOS!$G2135="EX",1,IF(DATOS!$G2135="OR",--(COUNTIFS(nNIA,DATOS!$A2135,nCURSO,DATOS!$D2135,nESPEC,DATOS!$E2135,nASIG,DATOS!$I2135,nEVAL,"EX")=0),0))))</f>
      </c>
      <c r="H2135">
        <f>IF(DATOS!$G2135&lt;&gt;"EX",0,--(COUNTIFS(nNIA,DATOS!$A2135,nCURSO,DATOS!$D2135,nESPEC,DATOS!$E2135,nASIG,DATOS!$I2135,nEVAL,"OR")=0))</f>
      </c>
      <c r="I2135">
        <f>IF(DATOS!$I2135="","",IFERROR(VLOOKUP(DATOS!$I2135,CONFIG_ASIGNATURAS!$B$2:$J$91,9,FALSE()),""))</f>
      </c>
    </row>
    <row r="2136">
      <c r="F2136">
        <f>IF(DATOS!$A2136="","",DATOS!$A2136&amp;"|"&amp;DATOS!$D2136&amp;"|"&amp;DATOS!$E2136&amp;"|"&amp;DATOS!$I2136)</f>
      </c>
      <c r="G2136">
        <f>IF(DATOS!$A2136="",0,IF(CONFIG_METADATA!$B$4&lt;&gt;"OR+EX",--(DATOS!$G2136=CONFIG_METADATA!$B$4),IF(DATOS!$G2136="EX",1,IF(DATOS!$G2136="OR",--(COUNTIFS(nNIA,DATOS!$A2136,nCURSO,DATOS!$D2136,nESPEC,DATOS!$E2136,nASIG,DATOS!$I2136,nEVAL,"EX")=0),0))))</f>
      </c>
      <c r="H2136">
        <f>IF(DATOS!$G2136&lt;&gt;"EX",0,--(COUNTIFS(nNIA,DATOS!$A2136,nCURSO,DATOS!$D2136,nESPEC,DATOS!$E2136,nASIG,DATOS!$I2136,nEVAL,"OR")=0))</f>
      </c>
      <c r="I2136">
        <f>IF(DATOS!$I2136="","",IFERROR(VLOOKUP(DATOS!$I2136,CONFIG_ASIGNATURAS!$B$2:$J$91,9,FALSE()),""))</f>
      </c>
    </row>
    <row r="2137">
      <c r="F2137">
        <f>IF(DATOS!$A2137="","",DATOS!$A2137&amp;"|"&amp;DATOS!$D2137&amp;"|"&amp;DATOS!$E2137&amp;"|"&amp;DATOS!$I2137)</f>
      </c>
      <c r="G2137">
        <f>IF(DATOS!$A2137="",0,IF(CONFIG_METADATA!$B$4&lt;&gt;"OR+EX",--(DATOS!$G2137=CONFIG_METADATA!$B$4),IF(DATOS!$G2137="EX",1,IF(DATOS!$G2137="OR",--(COUNTIFS(nNIA,DATOS!$A2137,nCURSO,DATOS!$D2137,nESPEC,DATOS!$E2137,nASIG,DATOS!$I2137,nEVAL,"EX")=0),0))))</f>
      </c>
      <c r="H2137">
        <f>IF(DATOS!$G2137&lt;&gt;"EX",0,--(COUNTIFS(nNIA,DATOS!$A2137,nCURSO,DATOS!$D2137,nESPEC,DATOS!$E2137,nASIG,DATOS!$I2137,nEVAL,"OR")=0))</f>
      </c>
      <c r="I2137">
        <f>IF(DATOS!$I2137="","",IFERROR(VLOOKUP(DATOS!$I2137,CONFIG_ASIGNATURAS!$B$2:$J$91,9,FALSE()),""))</f>
      </c>
    </row>
    <row r="2138">
      <c r="F2138">
        <f>IF(DATOS!$A2138="","",DATOS!$A2138&amp;"|"&amp;DATOS!$D2138&amp;"|"&amp;DATOS!$E2138&amp;"|"&amp;DATOS!$I2138)</f>
      </c>
      <c r="G2138">
        <f>IF(DATOS!$A2138="",0,IF(CONFIG_METADATA!$B$4&lt;&gt;"OR+EX",--(DATOS!$G2138=CONFIG_METADATA!$B$4),IF(DATOS!$G2138="EX",1,IF(DATOS!$G2138="OR",--(COUNTIFS(nNIA,DATOS!$A2138,nCURSO,DATOS!$D2138,nESPEC,DATOS!$E2138,nASIG,DATOS!$I2138,nEVAL,"EX")=0),0))))</f>
      </c>
      <c r="H2138">
        <f>IF(DATOS!$G2138&lt;&gt;"EX",0,--(COUNTIFS(nNIA,DATOS!$A2138,nCURSO,DATOS!$D2138,nESPEC,DATOS!$E2138,nASIG,DATOS!$I2138,nEVAL,"OR")=0))</f>
      </c>
      <c r="I2138">
        <f>IF(DATOS!$I2138="","",IFERROR(VLOOKUP(DATOS!$I2138,CONFIG_ASIGNATURAS!$B$2:$J$91,9,FALSE()),""))</f>
      </c>
    </row>
    <row r="2139">
      <c r="F2139">
        <f>IF(DATOS!$A2139="","",DATOS!$A2139&amp;"|"&amp;DATOS!$D2139&amp;"|"&amp;DATOS!$E2139&amp;"|"&amp;DATOS!$I2139)</f>
      </c>
      <c r="G2139">
        <f>IF(DATOS!$A2139="",0,IF(CONFIG_METADATA!$B$4&lt;&gt;"OR+EX",--(DATOS!$G2139=CONFIG_METADATA!$B$4),IF(DATOS!$G2139="EX",1,IF(DATOS!$G2139="OR",--(COUNTIFS(nNIA,DATOS!$A2139,nCURSO,DATOS!$D2139,nESPEC,DATOS!$E2139,nASIG,DATOS!$I2139,nEVAL,"EX")=0),0))))</f>
      </c>
      <c r="H2139">
        <f>IF(DATOS!$G2139&lt;&gt;"EX",0,--(COUNTIFS(nNIA,DATOS!$A2139,nCURSO,DATOS!$D2139,nESPEC,DATOS!$E2139,nASIG,DATOS!$I2139,nEVAL,"OR")=0))</f>
      </c>
      <c r="I2139">
        <f>IF(DATOS!$I2139="","",IFERROR(VLOOKUP(DATOS!$I2139,CONFIG_ASIGNATURAS!$B$2:$J$91,9,FALSE()),""))</f>
      </c>
    </row>
    <row r="2140">
      <c r="F2140">
        <f>IF(DATOS!$A2140="","",DATOS!$A2140&amp;"|"&amp;DATOS!$D2140&amp;"|"&amp;DATOS!$E2140&amp;"|"&amp;DATOS!$I2140)</f>
      </c>
      <c r="G2140">
        <f>IF(DATOS!$A2140="",0,IF(CONFIG_METADATA!$B$4&lt;&gt;"OR+EX",--(DATOS!$G2140=CONFIG_METADATA!$B$4),IF(DATOS!$G2140="EX",1,IF(DATOS!$G2140="OR",--(COUNTIFS(nNIA,DATOS!$A2140,nCURSO,DATOS!$D2140,nESPEC,DATOS!$E2140,nASIG,DATOS!$I2140,nEVAL,"EX")=0),0))))</f>
      </c>
      <c r="H2140">
        <f>IF(DATOS!$G2140&lt;&gt;"EX",0,--(COUNTIFS(nNIA,DATOS!$A2140,nCURSO,DATOS!$D2140,nESPEC,DATOS!$E2140,nASIG,DATOS!$I2140,nEVAL,"OR")=0))</f>
      </c>
      <c r="I2140">
        <f>IF(DATOS!$I2140="","",IFERROR(VLOOKUP(DATOS!$I2140,CONFIG_ASIGNATURAS!$B$2:$J$91,9,FALSE()),""))</f>
      </c>
    </row>
    <row r="2141">
      <c r="F2141">
        <f>IF(DATOS!$A2141="","",DATOS!$A2141&amp;"|"&amp;DATOS!$D2141&amp;"|"&amp;DATOS!$E2141&amp;"|"&amp;DATOS!$I2141)</f>
      </c>
      <c r="G2141">
        <f>IF(DATOS!$A2141="",0,IF(CONFIG_METADATA!$B$4&lt;&gt;"OR+EX",--(DATOS!$G2141=CONFIG_METADATA!$B$4),IF(DATOS!$G2141="EX",1,IF(DATOS!$G2141="OR",--(COUNTIFS(nNIA,DATOS!$A2141,nCURSO,DATOS!$D2141,nESPEC,DATOS!$E2141,nASIG,DATOS!$I2141,nEVAL,"EX")=0),0))))</f>
      </c>
      <c r="H2141">
        <f>IF(DATOS!$G2141&lt;&gt;"EX",0,--(COUNTIFS(nNIA,DATOS!$A2141,nCURSO,DATOS!$D2141,nESPEC,DATOS!$E2141,nASIG,DATOS!$I2141,nEVAL,"OR")=0))</f>
      </c>
      <c r="I2141">
        <f>IF(DATOS!$I2141="","",IFERROR(VLOOKUP(DATOS!$I2141,CONFIG_ASIGNATURAS!$B$2:$J$91,9,FALSE()),""))</f>
      </c>
    </row>
    <row r="2142">
      <c r="F2142">
        <f>IF(DATOS!$A2142="","",DATOS!$A2142&amp;"|"&amp;DATOS!$D2142&amp;"|"&amp;DATOS!$E2142&amp;"|"&amp;DATOS!$I2142)</f>
      </c>
      <c r="G2142">
        <f>IF(DATOS!$A2142="",0,IF(CONFIG_METADATA!$B$4&lt;&gt;"OR+EX",--(DATOS!$G2142=CONFIG_METADATA!$B$4),IF(DATOS!$G2142="EX",1,IF(DATOS!$G2142="OR",--(COUNTIFS(nNIA,DATOS!$A2142,nCURSO,DATOS!$D2142,nESPEC,DATOS!$E2142,nASIG,DATOS!$I2142,nEVAL,"EX")=0),0))))</f>
      </c>
      <c r="H2142">
        <f>IF(DATOS!$G2142&lt;&gt;"EX",0,--(COUNTIFS(nNIA,DATOS!$A2142,nCURSO,DATOS!$D2142,nESPEC,DATOS!$E2142,nASIG,DATOS!$I2142,nEVAL,"OR")=0))</f>
      </c>
      <c r="I2142">
        <f>IF(DATOS!$I2142="","",IFERROR(VLOOKUP(DATOS!$I2142,CONFIG_ASIGNATURAS!$B$2:$J$91,9,FALSE()),""))</f>
      </c>
    </row>
    <row r="2143">
      <c r="F2143">
        <f>IF(DATOS!$A2143="","",DATOS!$A2143&amp;"|"&amp;DATOS!$D2143&amp;"|"&amp;DATOS!$E2143&amp;"|"&amp;DATOS!$I2143)</f>
      </c>
      <c r="G2143">
        <f>IF(DATOS!$A2143="",0,IF(CONFIG_METADATA!$B$4&lt;&gt;"OR+EX",--(DATOS!$G2143=CONFIG_METADATA!$B$4),IF(DATOS!$G2143="EX",1,IF(DATOS!$G2143="OR",--(COUNTIFS(nNIA,DATOS!$A2143,nCURSO,DATOS!$D2143,nESPEC,DATOS!$E2143,nASIG,DATOS!$I2143,nEVAL,"EX")=0),0))))</f>
      </c>
      <c r="H2143">
        <f>IF(DATOS!$G2143&lt;&gt;"EX",0,--(COUNTIFS(nNIA,DATOS!$A2143,nCURSO,DATOS!$D2143,nESPEC,DATOS!$E2143,nASIG,DATOS!$I2143,nEVAL,"OR")=0))</f>
      </c>
      <c r="I2143">
        <f>IF(DATOS!$I2143="","",IFERROR(VLOOKUP(DATOS!$I2143,CONFIG_ASIGNATURAS!$B$2:$J$91,9,FALSE()),""))</f>
      </c>
    </row>
    <row r="2144">
      <c r="F2144">
        <f>IF(DATOS!$A2144="","",DATOS!$A2144&amp;"|"&amp;DATOS!$D2144&amp;"|"&amp;DATOS!$E2144&amp;"|"&amp;DATOS!$I2144)</f>
      </c>
      <c r="G2144">
        <f>IF(DATOS!$A2144="",0,IF(CONFIG_METADATA!$B$4&lt;&gt;"OR+EX",--(DATOS!$G2144=CONFIG_METADATA!$B$4),IF(DATOS!$G2144="EX",1,IF(DATOS!$G2144="OR",--(COUNTIFS(nNIA,DATOS!$A2144,nCURSO,DATOS!$D2144,nESPEC,DATOS!$E2144,nASIG,DATOS!$I2144,nEVAL,"EX")=0),0))))</f>
      </c>
      <c r="H2144">
        <f>IF(DATOS!$G2144&lt;&gt;"EX",0,--(COUNTIFS(nNIA,DATOS!$A2144,nCURSO,DATOS!$D2144,nESPEC,DATOS!$E2144,nASIG,DATOS!$I2144,nEVAL,"OR")=0))</f>
      </c>
      <c r="I2144">
        <f>IF(DATOS!$I2144="","",IFERROR(VLOOKUP(DATOS!$I2144,CONFIG_ASIGNATURAS!$B$2:$J$91,9,FALSE()),""))</f>
      </c>
    </row>
    <row r="2145">
      <c r="F2145">
        <f>IF(DATOS!$A2145="","",DATOS!$A2145&amp;"|"&amp;DATOS!$D2145&amp;"|"&amp;DATOS!$E2145&amp;"|"&amp;DATOS!$I2145)</f>
      </c>
      <c r="G2145">
        <f>IF(DATOS!$A2145="",0,IF(CONFIG_METADATA!$B$4&lt;&gt;"OR+EX",--(DATOS!$G2145=CONFIG_METADATA!$B$4),IF(DATOS!$G2145="EX",1,IF(DATOS!$G2145="OR",--(COUNTIFS(nNIA,DATOS!$A2145,nCURSO,DATOS!$D2145,nESPEC,DATOS!$E2145,nASIG,DATOS!$I2145,nEVAL,"EX")=0),0))))</f>
      </c>
      <c r="H2145">
        <f>IF(DATOS!$G2145&lt;&gt;"EX",0,--(COUNTIFS(nNIA,DATOS!$A2145,nCURSO,DATOS!$D2145,nESPEC,DATOS!$E2145,nASIG,DATOS!$I2145,nEVAL,"OR")=0))</f>
      </c>
      <c r="I2145">
        <f>IF(DATOS!$I2145="","",IFERROR(VLOOKUP(DATOS!$I2145,CONFIG_ASIGNATURAS!$B$2:$J$91,9,FALSE()),""))</f>
      </c>
    </row>
    <row r="2146">
      <c r="F2146">
        <f>IF(DATOS!$A2146="","",DATOS!$A2146&amp;"|"&amp;DATOS!$D2146&amp;"|"&amp;DATOS!$E2146&amp;"|"&amp;DATOS!$I2146)</f>
      </c>
      <c r="G2146">
        <f>IF(DATOS!$A2146="",0,IF(CONFIG_METADATA!$B$4&lt;&gt;"OR+EX",--(DATOS!$G2146=CONFIG_METADATA!$B$4),IF(DATOS!$G2146="EX",1,IF(DATOS!$G2146="OR",--(COUNTIFS(nNIA,DATOS!$A2146,nCURSO,DATOS!$D2146,nESPEC,DATOS!$E2146,nASIG,DATOS!$I2146,nEVAL,"EX")=0),0))))</f>
      </c>
      <c r="H2146">
        <f>IF(DATOS!$G2146&lt;&gt;"EX",0,--(COUNTIFS(nNIA,DATOS!$A2146,nCURSO,DATOS!$D2146,nESPEC,DATOS!$E2146,nASIG,DATOS!$I2146,nEVAL,"OR")=0))</f>
      </c>
      <c r="I2146">
        <f>IF(DATOS!$I2146="","",IFERROR(VLOOKUP(DATOS!$I2146,CONFIG_ASIGNATURAS!$B$2:$J$91,9,FALSE()),""))</f>
      </c>
    </row>
    <row r="2147">
      <c r="F2147">
        <f>IF(DATOS!$A2147="","",DATOS!$A2147&amp;"|"&amp;DATOS!$D2147&amp;"|"&amp;DATOS!$E2147&amp;"|"&amp;DATOS!$I2147)</f>
      </c>
      <c r="G2147">
        <f>IF(DATOS!$A2147="",0,IF(CONFIG_METADATA!$B$4&lt;&gt;"OR+EX",--(DATOS!$G2147=CONFIG_METADATA!$B$4),IF(DATOS!$G2147="EX",1,IF(DATOS!$G2147="OR",--(COUNTIFS(nNIA,DATOS!$A2147,nCURSO,DATOS!$D2147,nESPEC,DATOS!$E2147,nASIG,DATOS!$I2147,nEVAL,"EX")=0),0))))</f>
      </c>
      <c r="H2147">
        <f>IF(DATOS!$G2147&lt;&gt;"EX",0,--(COUNTIFS(nNIA,DATOS!$A2147,nCURSO,DATOS!$D2147,nESPEC,DATOS!$E2147,nASIG,DATOS!$I2147,nEVAL,"OR")=0))</f>
      </c>
      <c r="I2147">
        <f>IF(DATOS!$I2147="","",IFERROR(VLOOKUP(DATOS!$I2147,CONFIG_ASIGNATURAS!$B$2:$J$91,9,FALSE()),""))</f>
      </c>
    </row>
    <row r="2148">
      <c r="F2148">
        <f>IF(DATOS!$A2148="","",DATOS!$A2148&amp;"|"&amp;DATOS!$D2148&amp;"|"&amp;DATOS!$E2148&amp;"|"&amp;DATOS!$I2148)</f>
      </c>
      <c r="G2148">
        <f>IF(DATOS!$A2148="",0,IF(CONFIG_METADATA!$B$4&lt;&gt;"OR+EX",--(DATOS!$G2148=CONFIG_METADATA!$B$4),IF(DATOS!$G2148="EX",1,IF(DATOS!$G2148="OR",--(COUNTIFS(nNIA,DATOS!$A2148,nCURSO,DATOS!$D2148,nESPEC,DATOS!$E2148,nASIG,DATOS!$I2148,nEVAL,"EX")=0),0))))</f>
      </c>
      <c r="H2148">
        <f>IF(DATOS!$G2148&lt;&gt;"EX",0,--(COUNTIFS(nNIA,DATOS!$A2148,nCURSO,DATOS!$D2148,nESPEC,DATOS!$E2148,nASIG,DATOS!$I2148,nEVAL,"OR")=0))</f>
      </c>
      <c r="I2148">
        <f>IF(DATOS!$I2148="","",IFERROR(VLOOKUP(DATOS!$I2148,CONFIG_ASIGNATURAS!$B$2:$J$91,9,FALSE()),""))</f>
      </c>
    </row>
    <row r="2149">
      <c r="F2149">
        <f>IF(DATOS!$A2149="","",DATOS!$A2149&amp;"|"&amp;DATOS!$D2149&amp;"|"&amp;DATOS!$E2149&amp;"|"&amp;DATOS!$I2149)</f>
      </c>
      <c r="G2149">
        <f>IF(DATOS!$A2149="",0,IF(CONFIG_METADATA!$B$4&lt;&gt;"OR+EX",--(DATOS!$G2149=CONFIG_METADATA!$B$4),IF(DATOS!$G2149="EX",1,IF(DATOS!$G2149="OR",--(COUNTIFS(nNIA,DATOS!$A2149,nCURSO,DATOS!$D2149,nESPEC,DATOS!$E2149,nASIG,DATOS!$I2149,nEVAL,"EX")=0),0))))</f>
      </c>
      <c r="H2149">
        <f>IF(DATOS!$G2149&lt;&gt;"EX",0,--(COUNTIFS(nNIA,DATOS!$A2149,nCURSO,DATOS!$D2149,nESPEC,DATOS!$E2149,nASIG,DATOS!$I2149,nEVAL,"OR")=0))</f>
      </c>
      <c r="I2149">
        <f>IF(DATOS!$I2149="","",IFERROR(VLOOKUP(DATOS!$I2149,CONFIG_ASIGNATURAS!$B$2:$J$91,9,FALSE()),""))</f>
      </c>
    </row>
    <row r="2150">
      <c r="F2150">
        <f>IF(DATOS!$A2150="","",DATOS!$A2150&amp;"|"&amp;DATOS!$D2150&amp;"|"&amp;DATOS!$E2150&amp;"|"&amp;DATOS!$I2150)</f>
      </c>
      <c r="G2150">
        <f>IF(DATOS!$A2150="",0,IF(CONFIG_METADATA!$B$4&lt;&gt;"OR+EX",--(DATOS!$G2150=CONFIG_METADATA!$B$4),IF(DATOS!$G2150="EX",1,IF(DATOS!$G2150="OR",--(COUNTIFS(nNIA,DATOS!$A2150,nCURSO,DATOS!$D2150,nESPEC,DATOS!$E2150,nASIG,DATOS!$I2150,nEVAL,"EX")=0),0))))</f>
      </c>
      <c r="H2150">
        <f>IF(DATOS!$G2150&lt;&gt;"EX",0,--(COUNTIFS(nNIA,DATOS!$A2150,nCURSO,DATOS!$D2150,nESPEC,DATOS!$E2150,nASIG,DATOS!$I2150,nEVAL,"OR")=0))</f>
      </c>
      <c r="I2150">
        <f>IF(DATOS!$I2150="","",IFERROR(VLOOKUP(DATOS!$I2150,CONFIG_ASIGNATURAS!$B$2:$J$91,9,FALSE()),""))</f>
      </c>
    </row>
    <row r="2151">
      <c r="F2151">
        <f>IF(DATOS!$A2151="","",DATOS!$A2151&amp;"|"&amp;DATOS!$D2151&amp;"|"&amp;DATOS!$E2151&amp;"|"&amp;DATOS!$I2151)</f>
      </c>
      <c r="G2151">
        <f>IF(DATOS!$A2151="",0,IF(CONFIG_METADATA!$B$4&lt;&gt;"OR+EX",--(DATOS!$G2151=CONFIG_METADATA!$B$4),IF(DATOS!$G2151="EX",1,IF(DATOS!$G2151="OR",--(COUNTIFS(nNIA,DATOS!$A2151,nCURSO,DATOS!$D2151,nESPEC,DATOS!$E2151,nASIG,DATOS!$I2151,nEVAL,"EX")=0),0))))</f>
      </c>
      <c r="H2151">
        <f>IF(DATOS!$G2151&lt;&gt;"EX",0,--(COUNTIFS(nNIA,DATOS!$A2151,nCURSO,DATOS!$D2151,nESPEC,DATOS!$E2151,nASIG,DATOS!$I2151,nEVAL,"OR")=0))</f>
      </c>
      <c r="I2151">
        <f>IF(DATOS!$I2151="","",IFERROR(VLOOKUP(DATOS!$I2151,CONFIG_ASIGNATURAS!$B$2:$J$91,9,FALSE()),""))</f>
      </c>
    </row>
    <row r="2152">
      <c r="F2152">
        <f>IF(DATOS!$A2152="","",DATOS!$A2152&amp;"|"&amp;DATOS!$D2152&amp;"|"&amp;DATOS!$E2152&amp;"|"&amp;DATOS!$I2152)</f>
      </c>
      <c r="G2152">
        <f>IF(DATOS!$A2152="",0,IF(CONFIG_METADATA!$B$4&lt;&gt;"OR+EX",--(DATOS!$G2152=CONFIG_METADATA!$B$4),IF(DATOS!$G2152="EX",1,IF(DATOS!$G2152="OR",--(COUNTIFS(nNIA,DATOS!$A2152,nCURSO,DATOS!$D2152,nESPEC,DATOS!$E2152,nASIG,DATOS!$I2152,nEVAL,"EX")=0),0))))</f>
      </c>
      <c r="H2152">
        <f>IF(DATOS!$G2152&lt;&gt;"EX",0,--(COUNTIFS(nNIA,DATOS!$A2152,nCURSO,DATOS!$D2152,nESPEC,DATOS!$E2152,nASIG,DATOS!$I2152,nEVAL,"OR")=0))</f>
      </c>
      <c r="I2152">
        <f>IF(DATOS!$I2152="","",IFERROR(VLOOKUP(DATOS!$I2152,CONFIG_ASIGNATURAS!$B$2:$J$91,9,FALSE()),""))</f>
      </c>
    </row>
    <row r="2153">
      <c r="F2153">
        <f>IF(DATOS!$A2153="","",DATOS!$A2153&amp;"|"&amp;DATOS!$D2153&amp;"|"&amp;DATOS!$E2153&amp;"|"&amp;DATOS!$I2153)</f>
      </c>
      <c r="G2153">
        <f>IF(DATOS!$A2153="",0,IF(CONFIG_METADATA!$B$4&lt;&gt;"OR+EX",--(DATOS!$G2153=CONFIG_METADATA!$B$4),IF(DATOS!$G2153="EX",1,IF(DATOS!$G2153="OR",--(COUNTIFS(nNIA,DATOS!$A2153,nCURSO,DATOS!$D2153,nESPEC,DATOS!$E2153,nASIG,DATOS!$I2153,nEVAL,"EX")=0),0))))</f>
      </c>
      <c r="H2153">
        <f>IF(DATOS!$G2153&lt;&gt;"EX",0,--(COUNTIFS(nNIA,DATOS!$A2153,nCURSO,DATOS!$D2153,nESPEC,DATOS!$E2153,nASIG,DATOS!$I2153,nEVAL,"OR")=0))</f>
      </c>
      <c r="I2153">
        <f>IF(DATOS!$I2153="","",IFERROR(VLOOKUP(DATOS!$I2153,CONFIG_ASIGNATURAS!$B$2:$J$91,9,FALSE()),""))</f>
      </c>
    </row>
    <row r="2154">
      <c r="F2154">
        <f>IF(DATOS!$A2154="","",DATOS!$A2154&amp;"|"&amp;DATOS!$D2154&amp;"|"&amp;DATOS!$E2154&amp;"|"&amp;DATOS!$I2154)</f>
      </c>
      <c r="G2154">
        <f>IF(DATOS!$A2154="",0,IF(CONFIG_METADATA!$B$4&lt;&gt;"OR+EX",--(DATOS!$G2154=CONFIG_METADATA!$B$4),IF(DATOS!$G2154="EX",1,IF(DATOS!$G2154="OR",--(COUNTIFS(nNIA,DATOS!$A2154,nCURSO,DATOS!$D2154,nESPEC,DATOS!$E2154,nASIG,DATOS!$I2154,nEVAL,"EX")=0),0))))</f>
      </c>
      <c r="H2154">
        <f>IF(DATOS!$G2154&lt;&gt;"EX",0,--(COUNTIFS(nNIA,DATOS!$A2154,nCURSO,DATOS!$D2154,nESPEC,DATOS!$E2154,nASIG,DATOS!$I2154,nEVAL,"OR")=0))</f>
      </c>
      <c r="I2154">
        <f>IF(DATOS!$I2154="","",IFERROR(VLOOKUP(DATOS!$I2154,CONFIG_ASIGNATURAS!$B$2:$J$91,9,FALSE()),""))</f>
      </c>
    </row>
    <row r="2155">
      <c r="F2155">
        <f>IF(DATOS!$A2155="","",DATOS!$A2155&amp;"|"&amp;DATOS!$D2155&amp;"|"&amp;DATOS!$E2155&amp;"|"&amp;DATOS!$I2155)</f>
      </c>
      <c r="G2155">
        <f>IF(DATOS!$A2155="",0,IF(CONFIG_METADATA!$B$4&lt;&gt;"OR+EX",--(DATOS!$G2155=CONFIG_METADATA!$B$4),IF(DATOS!$G2155="EX",1,IF(DATOS!$G2155="OR",--(COUNTIFS(nNIA,DATOS!$A2155,nCURSO,DATOS!$D2155,nESPEC,DATOS!$E2155,nASIG,DATOS!$I2155,nEVAL,"EX")=0),0))))</f>
      </c>
      <c r="H2155">
        <f>IF(DATOS!$G2155&lt;&gt;"EX",0,--(COUNTIFS(nNIA,DATOS!$A2155,nCURSO,DATOS!$D2155,nESPEC,DATOS!$E2155,nASIG,DATOS!$I2155,nEVAL,"OR")=0))</f>
      </c>
      <c r="I2155">
        <f>IF(DATOS!$I2155="","",IFERROR(VLOOKUP(DATOS!$I2155,CONFIG_ASIGNATURAS!$B$2:$J$91,9,FALSE()),""))</f>
      </c>
    </row>
    <row r="2156">
      <c r="F2156">
        <f>IF(DATOS!$A2156="","",DATOS!$A2156&amp;"|"&amp;DATOS!$D2156&amp;"|"&amp;DATOS!$E2156&amp;"|"&amp;DATOS!$I2156)</f>
      </c>
      <c r="G2156">
        <f>IF(DATOS!$A2156="",0,IF(CONFIG_METADATA!$B$4&lt;&gt;"OR+EX",--(DATOS!$G2156=CONFIG_METADATA!$B$4),IF(DATOS!$G2156="EX",1,IF(DATOS!$G2156="OR",--(COUNTIFS(nNIA,DATOS!$A2156,nCURSO,DATOS!$D2156,nESPEC,DATOS!$E2156,nASIG,DATOS!$I2156,nEVAL,"EX")=0),0))))</f>
      </c>
      <c r="H2156">
        <f>IF(DATOS!$G2156&lt;&gt;"EX",0,--(COUNTIFS(nNIA,DATOS!$A2156,nCURSO,DATOS!$D2156,nESPEC,DATOS!$E2156,nASIG,DATOS!$I2156,nEVAL,"OR")=0))</f>
      </c>
      <c r="I2156">
        <f>IF(DATOS!$I2156="","",IFERROR(VLOOKUP(DATOS!$I2156,CONFIG_ASIGNATURAS!$B$2:$J$91,9,FALSE()),""))</f>
      </c>
    </row>
    <row r="2157">
      <c r="F2157">
        <f>IF(DATOS!$A2157="","",DATOS!$A2157&amp;"|"&amp;DATOS!$D2157&amp;"|"&amp;DATOS!$E2157&amp;"|"&amp;DATOS!$I2157)</f>
      </c>
      <c r="G2157">
        <f>IF(DATOS!$A2157="",0,IF(CONFIG_METADATA!$B$4&lt;&gt;"OR+EX",--(DATOS!$G2157=CONFIG_METADATA!$B$4),IF(DATOS!$G2157="EX",1,IF(DATOS!$G2157="OR",--(COUNTIFS(nNIA,DATOS!$A2157,nCURSO,DATOS!$D2157,nESPEC,DATOS!$E2157,nASIG,DATOS!$I2157,nEVAL,"EX")=0),0))))</f>
      </c>
      <c r="H2157">
        <f>IF(DATOS!$G2157&lt;&gt;"EX",0,--(COUNTIFS(nNIA,DATOS!$A2157,nCURSO,DATOS!$D2157,nESPEC,DATOS!$E2157,nASIG,DATOS!$I2157,nEVAL,"OR")=0))</f>
      </c>
      <c r="I2157">
        <f>IF(DATOS!$I2157="","",IFERROR(VLOOKUP(DATOS!$I2157,CONFIG_ASIGNATURAS!$B$2:$J$91,9,FALSE()),""))</f>
      </c>
    </row>
    <row r="2158">
      <c r="F2158">
        <f>IF(DATOS!$A2158="","",DATOS!$A2158&amp;"|"&amp;DATOS!$D2158&amp;"|"&amp;DATOS!$E2158&amp;"|"&amp;DATOS!$I2158)</f>
      </c>
      <c r="G2158">
        <f>IF(DATOS!$A2158="",0,IF(CONFIG_METADATA!$B$4&lt;&gt;"OR+EX",--(DATOS!$G2158=CONFIG_METADATA!$B$4),IF(DATOS!$G2158="EX",1,IF(DATOS!$G2158="OR",--(COUNTIFS(nNIA,DATOS!$A2158,nCURSO,DATOS!$D2158,nESPEC,DATOS!$E2158,nASIG,DATOS!$I2158,nEVAL,"EX")=0),0))))</f>
      </c>
      <c r="H2158">
        <f>IF(DATOS!$G2158&lt;&gt;"EX",0,--(COUNTIFS(nNIA,DATOS!$A2158,nCURSO,DATOS!$D2158,nESPEC,DATOS!$E2158,nASIG,DATOS!$I2158,nEVAL,"OR")=0))</f>
      </c>
      <c r="I2158">
        <f>IF(DATOS!$I2158="","",IFERROR(VLOOKUP(DATOS!$I2158,CONFIG_ASIGNATURAS!$B$2:$J$91,9,FALSE()),""))</f>
      </c>
    </row>
    <row r="2159">
      <c r="F2159">
        <f>IF(DATOS!$A2159="","",DATOS!$A2159&amp;"|"&amp;DATOS!$D2159&amp;"|"&amp;DATOS!$E2159&amp;"|"&amp;DATOS!$I2159)</f>
      </c>
      <c r="G2159">
        <f>IF(DATOS!$A2159="",0,IF(CONFIG_METADATA!$B$4&lt;&gt;"OR+EX",--(DATOS!$G2159=CONFIG_METADATA!$B$4),IF(DATOS!$G2159="EX",1,IF(DATOS!$G2159="OR",--(COUNTIFS(nNIA,DATOS!$A2159,nCURSO,DATOS!$D2159,nESPEC,DATOS!$E2159,nASIG,DATOS!$I2159,nEVAL,"EX")=0),0))))</f>
      </c>
      <c r="H2159">
        <f>IF(DATOS!$G2159&lt;&gt;"EX",0,--(COUNTIFS(nNIA,DATOS!$A2159,nCURSO,DATOS!$D2159,nESPEC,DATOS!$E2159,nASIG,DATOS!$I2159,nEVAL,"OR")=0))</f>
      </c>
      <c r="I2159">
        <f>IF(DATOS!$I2159="","",IFERROR(VLOOKUP(DATOS!$I2159,CONFIG_ASIGNATURAS!$B$2:$J$91,9,FALSE()),""))</f>
      </c>
    </row>
    <row r="2160">
      <c r="F2160">
        <f>IF(DATOS!$A2160="","",DATOS!$A2160&amp;"|"&amp;DATOS!$D2160&amp;"|"&amp;DATOS!$E2160&amp;"|"&amp;DATOS!$I2160)</f>
      </c>
      <c r="G2160">
        <f>IF(DATOS!$A2160="",0,IF(CONFIG_METADATA!$B$4&lt;&gt;"OR+EX",--(DATOS!$G2160=CONFIG_METADATA!$B$4),IF(DATOS!$G2160="EX",1,IF(DATOS!$G2160="OR",--(COUNTIFS(nNIA,DATOS!$A2160,nCURSO,DATOS!$D2160,nESPEC,DATOS!$E2160,nASIG,DATOS!$I2160,nEVAL,"EX")=0),0))))</f>
      </c>
      <c r="H2160">
        <f>IF(DATOS!$G2160&lt;&gt;"EX",0,--(COUNTIFS(nNIA,DATOS!$A2160,nCURSO,DATOS!$D2160,nESPEC,DATOS!$E2160,nASIG,DATOS!$I2160,nEVAL,"OR")=0))</f>
      </c>
      <c r="I2160">
        <f>IF(DATOS!$I2160="","",IFERROR(VLOOKUP(DATOS!$I2160,CONFIG_ASIGNATURAS!$B$2:$J$91,9,FALSE()),""))</f>
      </c>
    </row>
    <row r="2161">
      <c r="F2161">
        <f>IF(DATOS!$A2161="","",DATOS!$A2161&amp;"|"&amp;DATOS!$D2161&amp;"|"&amp;DATOS!$E2161&amp;"|"&amp;DATOS!$I2161)</f>
      </c>
      <c r="G2161">
        <f>IF(DATOS!$A2161="",0,IF(CONFIG_METADATA!$B$4&lt;&gt;"OR+EX",--(DATOS!$G2161=CONFIG_METADATA!$B$4),IF(DATOS!$G2161="EX",1,IF(DATOS!$G2161="OR",--(COUNTIFS(nNIA,DATOS!$A2161,nCURSO,DATOS!$D2161,nESPEC,DATOS!$E2161,nASIG,DATOS!$I2161,nEVAL,"EX")=0),0))))</f>
      </c>
      <c r="H2161">
        <f>IF(DATOS!$G2161&lt;&gt;"EX",0,--(COUNTIFS(nNIA,DATOS!$A2161,nCURSO,DATOS!$D2161,nESPEC,DATOS!$E2161,nASIG,DATOS!$I2161,nEVAL,"OR")=0))</f>
      </c>
      <c r="I2161">
        <f>IF(DATOS!$I2161="","",IFERROR(VLOOKUP(DATOS!$I2161,CONFIG_ASIGNATURAS!$B$2:$J$91,9,FALSE()),""))</f>
      </c>
    </row>
    <row r="2162">
      <c r="F2162">
        <f>IF(DATOS!$A2162="","",DATOS!$A2162&amp;"|"&amp;DATOS!$D2162&amp;"|"&amp;DATOS!$E2162&amp;"|"&amp;DATOS!$I2162)</f>
      </c>
      <c r="G2162">
        <f>IF(DATOS!$A2162="",0,IF(CONFIG_METADATA!$B$4&lt;&gt;"OR+EX",--(DATOS!$G2162=CONFIG_METADATA!$B$4),IF(DATOS!$G2162="EX",1,IF(DATOS!$G2162="OR",--(COUNTIFS(nNIA,DATOS!$A2162,nCURSO,DATOS!$D2162,nESPEC,DATOS!$E2162,nASIG,DATOS!$I2162,nEVAL,"EX")=0),0))))</f>
      </c>
      <c r="H2162">
        <f>IF(DATOS!$G2162&lt;&gt;"EX",0,--(COUNTIFS(nNIA,DATOS!$A2162,nCURSO,DATOS!$D2162,nESPEC,DATOS!$E2162,nASIG,DATOS!$I2162,nEVAL,"OR")=0))</f>
      </c>
      <c r="I2162">
        <f>IF(DATOS!$I2162="","",IFERROR(VLOOKUP(DATOS!$I2162,CONFIG_ASIGNATURAS!$B$2:$J$91,9,FALSE()),""))</f>
      </c>
    </row>
    <row r="2163">
      <c r="F2163">
        <f>IF(DATOS!$A2163="","",DATOS!$A2163&amp;"|"&amp;DATOS!$D2163&amp;"|"&amp;DATOS!$E2163&amp;"|"&amp;DATOS!$I2163)</f>
      </c>
      <c r="G2163">
        <f>IF(DATOS!$A2163="",0,IF(CONFIG_METADATA!$B$4&lt;&gt;"OR+EX",--(DATOS!$G2163=CONFIG_METADATA!$B$4),IF(DATOS!$G2163="EX",1,IF(DATOS!$G2163="OR",--(COUNTIFS(nNIA,DATOS!$A2163,nCURSO,DATOS!$D2163,nESPEC,DATOS!$E2163,nASIG,DATOS!$I2163,nEVAL,"EX")=0),0))))</f>
      </c>
      <c r="H2163">
        <f>IF(DATOS!$G2163&lt;&gt;"EX",0,--(COUNTIFS(nNIA,DATOS!$A2163,nCURSO,DATOS!$D2163,nESPEC,DATOS!$E2163,nASIG,DATOS!$I2163,nEVAL,"OR")=0))</f>
      </c>
      <c r="I2163">
        <f>IF(DATOS!$I2163="","",IFERROR(VLOOKUP(DATOS!$I2163,CONFIG_ASIGNATURAS!$B$2:$J$91,9,FALSE()),""))</f>
      </c>
    </row>
    <row r="2164">
      <c r="F2164">
        <f>IF(DATOS!$A2164="","",DATOS!$A2164&amp;"|"&amp;DATOS!$D2164&amp;"|"&amp;DATOS!$E2164&amp;"|"&amp;DATOS!$I2164)</f>
      </c>
      <c r="G2164">
        <f>IF(DATOS!$A2164="",0,IF(CONFIG_METADATA!$B$4&lt;&gt;"OR+EX",--(DATOS!$G2164=CONFIG_METADATA!$B$4),IF(DATOS!$G2164="EX",1,IF(DATOS!$G2164="OR",--(COUNTIFS(nNIA,DATOS!$A2164,nCURSO,DATOS!$D2164,nESPEC,DATOS!$E2164,nASIG,DATOS!$I2164,nEVAL,"EX")=0),0))))</f>
      </c>
      <c r="H2164">
        <f>IF(DATOS!$G2164&lt;&gt;"EX",0,--(COUNTIFS(nNIA,DATOS!$A2164,nCURSO,DATOS!$D2164,nESPEC,DATOS!$E2164,nASIG,DATOS!$I2164,nEVAL,"OR")=0))</f>
      </c>
      <c r="I2164">
        <f>IF(DATOS!$I2164="","",IFERROR(VLOOKUP(DATOS!$I2164,CONFIG_ASIGNATURAS!$B$2:$J$91,9,FALSE()),""))</f>
      </c>
    </row>
    <row r="2165">
      <c r="F2165">
        <f>IF(DATOS!$A2165="","",DATOS!$A2165&amp;"|"&amp;DATOS!$D2165&amp;"|"&amp;DATOS!$E2165&amp;"|"&amp;DATOS!$I2165)</f>
      </c>
      <c r="G2165">
        <f>IF(DATOS!$A2165="",0,IF(CONFIG_METADATA!$B$4&lt;&gt;"OR+EX",--(DATOS!$G2165=CONFIG_METADATA!$B$4),IF(DATOS!$G2165="EX",1,IF(DATOS!$G2165="OR",--(COUNTIFS(nNIA,DATOS!$A2165,nCURSO,DATOS!$D2165,nESPEC,DATOS!$E2165,nASIG,DATOS!$I2165,nEVAL,"EX")=0),0))))</f>
      </c>
      <c r="H2165">
        <f>IF(DATOS!$G2165&lt;&gt;"EX",0,--(COUNTIFS(nNIA,DATOS!$A2165,nCURSO,DATOS!$D2165,nESPEC,DATOS!$E2165,nASIG,DATOS!$I2165,nEVAL,"OR")=0))</f>
      </c>
      <c r="I2165">
        <f>IF(DATOS!$I2165="","",IFERROR(VLOOKUP(DATOS!$I2165,CONFIG_ASIGNATURAS!$B$2:$J$91,9,FALSE()),""))</f>
      </c>
    </row>
    <row r="2166">
      <c r="F2166">
        <f>IF(DATOS!$A2166="","",DATOS!$A2166&amp;"|"&amp;DATOS!$D2166&amp;"|"&amp;DATOS!$E2166&amp;"|"&amp;DATOS!$I2166)</f>
      </c>
      <c r="G2166">
        <f>IF(DATOS!$A2166="",0,IF(CONFIG_METADATA!$B$4&lt;&gt;"OR+EX",--(DATOS!$G2166=CONFIG_METADATA!$B$4),IF(DATOS!$G2166="EX",1,IF(DATOS!$G2166="OR",--(COUNTIFS(nNIA,DATOS!$A2166,nCURSO,DATOS!$D2166,nESPEC,DATOS!$E2166,nASIG,DATOS!$I2166,nEVAL,"EX")=0),0))))</f>
      </c>
      <c r="H2166">
        <f>IF(DATOS!$G2166&lt;&gt;"EX",0,--(COUNTIFS(nNIA,DATOS!$A2166,nCURSO,DATOS!$D2166,nESPEC,DATOS!$E2166,nASIG,DATOS!$I2166,nEVAL,"OR")=0))</f>
      </c>
      <c r="I2166">
        <f>IF(DATOS!$I2166="","",IFERROR(VLOOKUP(DATOS!$I2166,CONFIG_ASIGNATURAS!$B$2:$J$91,9,FALSE()),""))</f>
      </c>
    </row>
    <row r="2167">
      <c r="F2167">
        <f>IF(DATOS!$A2167="","",DATOS!$A2167&amp;"|"&amp;DATOS!$D2167&amp;"|"&amp;DATOS!$E2167&amp;"|"&amp;DATOS!$I2167)</f>
      </c>
      <c r="G2167">
        <f>IF(DATOS!$A2167="",0,IF(CONFIG_METADATA!$B$4&lt;&gt;"OR+EX",--(DATOS!$G2167=CONFIG_METADATA!$B$4),IF(DATOS!$G2167="EX",1,IF(DATOS!$G2167="OR",--(COUNTIFS(nNIA,DATOS!$A2167,nCURSO,DATOS!$D2167,nESPEC,DATOS!$E2167,nASIG,DATOS!$I2167,nEVAL,"EX")=0),0))))</f>
      </c>
      <c r="H2167">
        <f>IF(DATOS!$G2167&lt;&gt;"EX",0,--(COUNTIFS(nNIA,DATOS!$A2167,nCURSO,DATOS!$D2167,nESPEC,DATOS!$E2167,nASIG,DATOS!$I2167,nEVAL,"OR")=0))</f>
      </c>
      <c r="I2167">
        <f>IF(DATOS!$I2167="","",IFERROR(VLOOKUP(DATOS!$I2167,CONFIG_ASIGNATURAS!$B$2:$J$91,9,FALSE()),""))</f>
      </c>
    </row>
    <row r="2168">
      <c r="F2168">
        <f>IF(DATOS!$A2168="","",DATOS!$A2168&amp;"|"&amp;DATOS!$D2168&amp;"|"&amp;DATOS!$E2168&amp;"|"&amp;DATOS!$I2168)</f>
      </c>
      <c r="G2168">
        <f>IF(DATOS!$A2168="",0,IF(CONFIG_METADATA!$B$4&lt;&gt;"OR+EX",--(DATOS!$G2168=CONFIG_METADATA!$B$4),IF(DATOS!$G2168="EX",1,IF(DATOS!$G2168="OR",--(COUNTIFS(nNIA,DATOS!$A2168,nCURSO,DATOS!$D2168,nESPEC,DATOS!$E2168,nASIG,DATOS!$I2168,nEVAL,"EX")=0),0))))</f>
      </c>
      <c r="H2168">
        <f>IF(DATOS!$G2168&lt;&gt;"EX",0,--(COUNTIFS(nNIA,DATOS!$A2168,nCURSO,DATOS!$D2168,nESPEC,DATOS!$E2168,nASIG,DATOS!$I2168,nEVAL,"OR")=0))</f>
      </c>
      <c r="I2168">
        <f>IF(DATOS!$I2168="","",IFERROR(VLOOKUP(DATOS!$I2168,CONFIG_ASIGNATURAS!$B$2:$J$91,9,FALSE()),""))</f>
      </c>
    </row>
    <row r="2169">
      <c r="F2169">
        <f>IF(DATOS!$A2169="","",DATOS!$A2169&amp;"|"&amp;DATOS!$D2169&amp;"|"&amp;DATOS!$E2169&amp;"|"&amp;DATOS!$I2169)</f>
      </c>
      <c r="G2169">
        <f>IF(DATOS!$A2169="",0,IF(CONFIG_METADATA!$B$4&lt;&gt;"OR+EX",--(DATOS!$G2169=CONFIG_METADATA!$B$4),IF(DATOS!$G2169="EX",1,IF(DATOS!$G2169="OR",--(COUNTIFS(nNIA,DATOS!$A2169,nCURSO,DATOS!$D2169,nESPEC,DATOS!$E2169,nASIG,DATOS!$I2169,nEVAL,"EX")=0),0))))</f>
      </c>
      <c r="H2169">
        <f>IF(DATOS!$G2169&lt;&gt;"EX",0,--(COUNTIFS(nNIA,DATOS!$A2169,nCURSO,DATOS!$D2169,nESPEC,DATOS!$E2169,nASIG,DATOS!$I2169,nEVAL,"OR")=0))</f>
      </c>
      <c r="I2169">
        <f>IF(DATOS!$I2169="","",IFERROR(VLOOKUP(DATOS!$I2169,CONFIG_ASIGNATURAS!$B$2:$J$91,9,FALSE()),""))</f>
      </c>
    </row>
    <row r="2170">
      <c r="F2170">
        <f>IF(DATOS!$A2170="","",DATOS!$A2170&amp;"|"&amp;DATOS!$D2170&amp;"|"&amp;DATOS!$E2170&amp;"|"&amp;DATOS!$I2170)</f>
      </c>
      <c r="G2170">
        <f>IF(DATOS!$A2170="",0,IF(CONFIG_METADATA!$B$4&lt;&gt;"OR+EX",--(DATOS!$G2170=CONFIG_METADATA!$B$4),IF(DATOS!$G2170="EX",1,IF(DATOS!$G2170="OR",--(COUNTIFS(nNIA,DATOS!$A2170,nCURSO,DATOS!$D2170,nESPEC,DATOS!$E2170,nASIG,DATOS!$I2170,nEVAL,"EX")=0),0))))</f>
      </c>
      <c r="H2170">
        <f>IF(DATOS!$G2170&lt;&gt;"EX",0,--(COUNTIFS(nNIA,DATOS!$A2170,nCURSO,DATOS!$D2170,nESPEC,DATOS!$E2170,nASIG,DATOS!$I2170,nEVAL,"OR")=0))</f>
      </c>
      <c r="I2170">
        <f>IF(DATOS!$I2170="","",IFERROR(VLOOKUP(DATOS!$I2170,CONFIG_ASIGNATURAS!$B$2:$J$91,9,FALSE()),""))</f>
      </c>
    </row>
    <row r="2171">
      <c r="F2171">
        <f>IF(DATOS!$A2171="","",DATOS!$A2171&amp;"|"&amp;DATOS!$D2171&amp;"|"&amp;DATOS!$E2171&amp;"|"&amp;DATOS!$I2171)</f>
      </c>
      <c r="G2171">
        <f>IF(DATOS!$A2171="",0,IF(CONFIG_METADATA!$B$4&lt;&gt;"OR+EX",--(DATOS!$G2171=CONFIG_METADATA!$B$4),IF(DATOS!$G2171="EX",1,IF(DATOS!$G2171="OR",--(COUNTIFS(nNIA,DATOS!$A2171,nCURSO,DATOS!$D2171,nESPEC,DATOS!$E2171,nASIG,DATOS!$I2171,nEVAL,"EX")=0),0))))</f>
      </c>
      <c r="H2171">
        <f>IF(DATOS!$G2171&lt;&gt;"EX",0,--(COUNTIFS(nNIA,DATOS!$A2171,nCURSO,DATOS!$D2171,nESPEC,DATOS!$E2171,nASIG,DATOS!$I2171,nEVAL,"OR")=0))</f>
      </c>
      <c r="I2171">
        <f>IF(DATOS!$I2171="","",IFERROR(VLOOKUP(DATOS!$I2171,CONFIG_ASIGNATURAS!$B$2:$J$91,9,FALSE()),""))</f>
      </c>
    </row>
    <row r="2172">
      <c r="F2172">
        <f>IF(DATOS!$A2172="","",DATOS!$A2172&amp;"|"&amp;DATOS!$D2172&amp;"|"&amp;DATOS!$E2172&amp;"|"&amp;DATOS!$I2172)</f>
      </c>
      <c r="G2172">
        <f>IF(DATOS!$A2172="",0,IF(CONFIG_METADATA!$B$4&lt;&gt;"OR+EX",--(DATOS!$G2172=CONFIG_METADATA!$B$4),IF(DATOS!$G2172="EX",1,IF(DATOS!$G2172="OR",--(COUNTIFS(nNIA,DATOS!$A2172,nCURSO,DATOS!$D2172,nESPEC,DATOS!$E2172,nASIG,DATOS!$I2172,nEVAL,"EX")=0),0))))</f>
      </c>
      <c r="H2172">
        <f>IF(DATOS!$G2172&lt;&gt;"EX",0,--(COUNTIFS(nNIA,DATOS!$A2172,nCURSO,DATOS!$D2172,nESPEC,DATOS!$E2172,nASIG,DATOS!$I2172,nEVAL,"OR")=0))</f>
      </c>
      <c r="I2172">
        <f>IF(DATOS!$I2172="","",IFERROR(VLOOKUP(DATOS!$I2172,CONFIG_ASIGNATURAS!$B$2:$J$91,9,FALSE()),""))</f>
      </c>
    </row>
    <row r="2173">
      <c r="F2173">
        <f>IF(DATOS!$A2173="","",DATOS!$A2173&amp;"|"&amp;DATOS!$D2173&amp;"|"&amp;DATOS!$E2173&amp;"|"&amp;DATOS!$I2173)</f>
      </c>
      <c r="G2173">
        <f>IF(DATOS!$A2173="",0,IF(CONFIG_METADATA!$B$4&lt;&gt;"OR+EX",--(DATOS!$G2173=CONFIG_METADATA!$B$4),IF(DATOS!$G2173="EX",1,IF(DATOS!$G2173="OR",--(COUNTIFS(nNIA,DATOS!$A2173,nCURSO,DATOS!$D2173,nESPEC,DATOS!$E2173,nASIG,DATOS!$I2173,nEVAL,"EX")=0),0))))</f>
      </c>
      <c r="H2173">
        <f>IF(DATOS!$G2173&lt;&gt;"EX",0,--(COUNTIFS(nNIA,DATOS!$A2173,nCURSO,DATOS!$D2173,nESPEC,DATOS!$E2173,nASIG,DATOS!$I2173,nEVAL,"OR")=0))</f>
      </c>
      <c r="I2173">
        <f>IF(DATOS!$I2173="","",IFERROR(VLOOKUP(DATOS!$I2173,CONFIG_ASIGNATURAS!$B$2:$J$91,9,FALSE()),""))</f>
      </c>
    </row>
    <row r="2174">
      <c r="F2174">
        <f>IF(DATOS!$A2174="","",DATOS!$A2174&amp;"|"&amp;DATOS!$D2174&amp;"|"&amp;DATOS!$E2174&amp;"|"&amp;DATOS!$I2174)</f>
      </c>
      <c r="G2174">
        <f>IF(DATOS!$A2174="",0,IF(CONFIG_METADATA!$B$4&lt;&gt;"OR+EX",--(DATOS!$G2174=CONFIG_METADATA!$B$4),IF(DATOS!$G2174="EX",1,IF(DATOS!$G2174="OR",--(COUNTIFS(nNIA,DATOS!$A2174,nCURSO,DATOS!$D2174,nESPEC,DATOS!$E2174,nASIG,DATOS!$I2174,nEVAL,"EX")=0),0))))</f>
      </c>
      <c r="H2174">
        <f>IF(DATOS!$G2174&lt;&gt;"EX",0,--(COUNTIFS(nNIA,DATOS!$A2174,nCURSO,DATOS!$D2174,nESPEC,DATOS!$E2174,nASIG,DATOS!$I2174,nEVAL,"OR")=0))</f>
      </c>
      <c r="I2174">
        <f>IF(DATOS!$I2174="","",IFERROR(VLOOKUP(DATOS!$I2174,CONFIG_ASIGNATURAS!$B$2:$J$91,9,FALSE()),""))</f>
      </c>
    </row>
    <row r="2175">
      <c r="F2175">
        <f>IF(DATOS!$A2175="","",DATOS!$A2175&amp;"|"&amp;DATOS!$D2175&amp;"|"&amp;DATOS!$E2175&amp;"|"&amp;DATOS!$I2175)</f>
      </c>
      <c r="G2175">
        <f>IF(DATOS!$A2175="",0,IF(CONFIG_METADATA!$B$4&lt;&gt;"OR+EX",--(DATOS!$G2175=CONFIG_METADATA!$B$4),IF(DATOS!$G2175="EX",1,IF(DATOS!$G2175="OR",--(COUNTIFS(nNIA,DATOS!$A2175,nCURSO,DATOS!$D2175,nESPEC,DATOS!$E2175,nASIG,DATOS!$I2175,nEVAL,"EX")=0),0))))</f>
      </c>
      <c r="H2175">
        <f>IF(DATOS!$G2175&lt;&gt;"EX",0,--(COUNTIFS(nNIA,DATOS!$A2175,nCURSO,DATOS!$D2175,nESPEC,DATOS!$E2175,nASIG,DATOS!$I2175,nEVAL,"OR")=0))</f>
      </c>
      <c r="I2175">
        <f>IF(DATOS!$I2175="","",IFERROR(VLOOKUP(DATOS!$I2175,CONFIG_ASIGNATURAS!$B$2:$J$91,9,FALSE()),""))</f>
      </c>
    </row>
    <row r="2176">
      <c r="F2176">
        <f>IF(DATOS!$A2176="","",DATOS!$A2176&amp;"|"&amp;DATOS!$D2176&amp;"|"&amp;DATOS!$E2176&amp;"|"&amp;DATOS!$I2176)</f>
      </c>
      <c r="G2176">
        <f>IF(DATOS!$A2176="",0,IF(CONFIG_METADATA!$B$4&lt;&gt;"OR+EX",--(DATOS!$G2176=CONFIG_METADATA!$B$4),IF(DATOS!$G2176="EX",1,IF(DATOS!$G2176="OR",--(COUNTIFS(nNIA,DATOS!$A2176,nCURSO,DATOS!$D2176,nESPEC,DATOS!$E2176,nASIG,DATOS!$I2176,nEVAL,"EX")=0),0))))</f>
      </c>
      <c r="H2176">
        <f>IF(DATOS!$G2176&lt;&gt;"EX",0,--(COUNTIFS(nNIA,DATOS!$A2176,nCURSO,DATOS!$D2176,nESPEC,DATOS!$E2176,nASIG,DATOS!$I2176,nEVAL,"OR")=0))</f>
      </c>
      <c r="I2176">
        <f>IF(DATOS!$I2176="","",IFERROR(VLOOKUP(DATOS!$I2176,CONFIG_ASIGNATURAS!$B$2:$J$91,9,FALSE()),""))</f>
      </c>
    </row>
    <row r="2177">
      <c r="F2177">
        <f>IF(DATOS!$A2177="","",DATOS!$A2177&amp;"|"&amp;DATOS!$D2177&amp;"|"&amp;DATOS!$E2177&amp;"|"&amp;DATOS!$I2177)</f>
      </c>
      <c r="G2177">
        <f>IF(DATOS!$A2177="",0,IF(CONFIG_METADATA!$B$4&lt;&gt;"OR+EX",--(DATOS!$G2177=CONFIG_METADATA!$B$4),IF(DATOS!$G2177="EX",1,IF(DATOS!$G2177="OR",--(COUNTIFS(nNIA,DATOS!$A2177,nCURSO,DATOS!$D2177,nESPEC,DATOS!$E2177,nASIG,DATOS!$I2177,nEVAL,"EX")=0),0))))</f>
      </c>
      <c r="H2177">
        <f>IF(DATOS!$G2177&lt;&gt;"EX",0,--(COUNTIFS(nNIA,DATOS!$A2177,nCURSO,DATOS!$D2177,nESPEC,DATOS!$E2177,nASIG,DATOS!$I2177,nEVAL,"OR")=0))</f>
      </c>
      <c r="I2177">
        <f>IF(DATOS!$I2177="","",IFERROR(VLOOKUP(DATOS!$I2177,CONFIG_ASIGNATURAS!$B$2:$J$91,9,FALSE()),""))</f>
      </c>
    </row>
    <row r="2178">
      <c r="F2178">
        <f>IF(DATOS!$A2178="","",DATOS!$A2178&amp;"|"&amp;DATOS!$D2178&amp;"|"&amp;DATOS!$E2178&amp;"|"&amp;DATOS!$I2178)</f>
      </c>
      <c r="G2178">
        <f>IF(DATOS!$A2178="",0,IF(CONFIG_METADATA!$B$4&lt;&gt;"OR+EX",--(DATOS!$G2178=CONFIG_METADATA!$B$4),IF(DATOS!$G2178="EX",1,IF(DATOS!$G2178="OR",--(COUNTIFS(nNIA,DATOS!$A2178,nCURSO,DATOS!$D2178,nESPEC,DATOS!$E2178,nASIG,DATOS!$I2178,nEVAL,"EX")=0),0))))</f>
      </c>
      <c r="H2178">
        <f>IF(DATOS!$G2178&lt;&gt;"EX",0,--(COUNTIFS(nNIA,DATOS!$A2178,nCURSO,DATOS!$D2178,nESPEC,DATOS!$E2178,nASIG,DATOS!$I2178,nEVAL,"OR")=0))</f>
      </c>
      <c r="I2178">
        <f>IF(DATOS!$I2178="","",IFERROR(VLOOKUP(DATOS!$I2178,CONFIG_ASIGNATURAS!$B$2:$J$91,9,FALSE()),""))</f>
      </c>
    </row>
    <row r="2179">
      <c r="F2179">
        <f>IF(DATOS!$A2179="","",DATOS!$A2179&amp;"|"&amp;DATOS!$D2179&amp;"|"&amp;DATOS!$E2179&amp;"|"&amp;DATOS!$I2179)</f>
      </c>
      <c r="G2179">
        <f>IF(DATOS!$A2179="",0,IF(CONFIG_METADATA!$B$4&lt;&gt;"OR+EX",--(DATOS!$G2179=CONFIG_METADATA!$B$4),IF(DATOS!$G2179="EX",1,IF(DATOS!$G2179="OR",--(COUNTIFS(nNIA,DATOS!$A2179,nCURSO,DATOS!$D2179,nESPEC,DATOS!$E2179,nASIG,DATOS!$I2179,nEVAL,"EX")=0),0))))</f>
      </c>
      <c r="H2179">
        <f>IF(DATOS!$G2179&lt;&gt;"EX",0,--(COUNTIFS(nNIA,DATOS!$A2179,nCURSO,DATOS!$D2179,nESPEC,DATOS!$E2179,nASIG,DATOS!$I2179,nEVAL,"OR")=0))</f>
      </c>
      <c r="I2179">
        <f>IF(DATOS!$I2179="","",IFERROR(VLOOKUP(DATOS!$I2179,CONFIG_ASIGNATURAS!$B$2:$J$91,9,FALSE()),""))</f>
      </c>
    </row>
    <row r="2180">
      <c r="F2180">
        <f>IF(DATOS!$A2180="","",DATOS!$A2180&amp;"|"&amp;DATOS!$D2180&amp;"|"&amp;DATOS!$E2180&amp;"|"&amp;DATOS!$I2180)</f>
      </c>
      <c r="G2180">
        <f>IF(DATOS!$A2180="",0,IF(CONFIG_METADATA!$B$4&lt;&gt;"OR+EX",--(DATOS!$G2180=CONFIG_METADATA!$B$4),IF(DATOS!$G2180="EX",1,IF(DATOS!$G2180="OR",--(COUNTIFS(nNIA,DATOS!$A2180,nCURSO,DATOS!$D2180,nESPEC,DATOS!$E2180,nASIG,DATOS!$I2180,nEVAL,"EX")=0),0))))</f>
      </c>
      <c r="H2180">
        <f>IF(DATOS!$G2180&lt;&gt;"EX",0,--(COUNTIFS(nNIA,DATOS!$A2180,nCURSO,DATOS!$D2180,nESPEC,DATOS!$E2180,nASIG,DATOS!$I2180,nEVAL,"OR")=0))</f>
      </c>
      <c r="I2180">
        <f>IF(DATOS!$I2180="","",IFERROR(VLOOKUP(DATOS!$I2180,CONFIG_ASIGNATURAS!$B$2:$J$91,9,FALSE()),""))</f>
      </c>
    </row>
    <row r="2181">
      <c r="F2181">
        <f>IF(DATOS!$A2181="","",DATOS!$A2181&amp;"|"&amp;DATOS!$D2181&amp;"|"&amp;DATOS!$E2181&amp;"|"&amp;DATOS!$I2181)</f>
      </c>
      <c r="G2181">
        <f>IF(DATOS!$A2181="",0,IF(CONFIG_METADATA!$B$4&lt;&gt;"OR+EX",--(DATOS!$G2181=CONFIG_METADATA!$B$4),IF(DATOS!$G2181="EX",1,IF(DATOS!$G2181="OR",--(COUNTIFS(nNIA,DATOS!$A2181,nCURSO,DATOS!$D2181,nESPEC,DATOS!$E2181,nASIG,DATOS!$I2181,nEVAL,"EX")=0),0))))</f>
      </c>
      <c r="H2181">
        <f>IF(DATOS!$G2181&lt;&gt;"EX",0,--(COUNTIFS(nNIA,DATOS!$A2181,nCURSO,DATOS!$D2181,nESPEC,DATOS!$E2181,nASIG,DATOS!$I2181,nEVAL,"OR")=0))</f>
      </c>
      <c r="I2181">
        <f>IF(DATOS!$I2181="","",IFERROR(VLOOKUP(DATOS!$I2181,CONFIG_ASIGNATURAS!$B$2:$J$91,9,FALSE()),""))</f>
      </c>
    </row>
    <row r="2182">
      <c r="F2182">
        <f>IF(DATOS!$A2182="","",DATOS!$A2182&amp;"|"&amp;DATOS!$D2182&amp;"|"&amp;DATOS!$E2182&amp;"|"&amp;DATOS!$I2182)</f>
      </c>
      <c r="G2182">
        <f>IF(DATOS!$A2182="",0,IF(CONFIG_METADATA!$B$4&lt;&gt;"OR+EX",--(DATOS!$G2182=CONFIG_METADATA!$B$4),IF(DATOS!$G2182="EX",1,IF(DATOS!$G2182="OR",--(COUNTIFS(nNIA,DATOS!$A2182,nCURSO,DATOS!$D2182,nESPEC,DATOS!$E2182,nASIG,DATOS!$I2182,nEVAL,"EX")=0),0))))</f>
      </c>
      <c r="H2182">
        <f>IF(DATOS!$G2182&lt;&gt;"EX",0,--(COUNTIFS(nNIA,DATOS!$A2182,nCURSO,DATOS!$D2182,nESPEC,DATOS!$E2182,nASIG,DATOS!$I2182,nEVAL,"OR")=0))</f>
      </c>
      <c r="I2182">
        <f>IF(DATOS!$I2182="","",IFERROR(VLOOKUP(DATOS!$I2182,CONFIG_ASIGNATURAS!$B$2:$J$91,9,FALSE()),""))</f>
      </c>
    </row>
    <row r="2183">
      <c r="F2183">
        <f>IF(DATOS!$A2183="","",DATOS!$A2183&amp;"|"&amp;DATOS!$D2183&amp;"|"&amp;DATOS!$E2183&amp;"|"&amp;DATOS!$I2183)</f>
      </c>
      <c r="G2183">
        <f>IF(DATOS!$A2183="",0,IF(CONFIG_METADATA!$B$4&lt;&gt;"OR+EX",--(DATOS!$G2183=CONFIG_METADATA!$B$4),IF(DATOS!$G2183="EX",1,IF(DATOS!$G2183="OR",--(COUNTIFS(nNIA,DATOS!$A2183,nCURSO,DATOS!$D2183,nESPEC,DATOS!$E2183,nASIG,DATOS!$I2183,nEVAL,"EX")=0),0))))</f>
      </c>
      <c r="H2183">
        <f>IF(DATOS!$G2183&lt;&gt;"EX",0,--(COUNTIFS(nNIA,DATOS!$A2183,nCURSO,DATOS!$D2183,nESPEC,DATOS!$E2183,nASIG,DATOS!$I2183,nEVAL,"OR")=0))</f>
      </c>
      <c r="I2183">
        <f>IF(DATOS!$I2183="","",IFERROR(VLOOKUP(DATOS!$I2183,CONFIG_ASIGNATURAS!$B$2:$J$91,9,FALSE()),""))</f>
      </c>
    </row>
    <row r="2184">
      <c r="F2184">
        <f>IF(DATOS!$A2184="","",DATOS!$A2184&amp;"|"&amp;DATOS!$D2184&amp;"|"&amp;DATOS!$E2184&amp;"|"&amp;DATOS!$I2184)</f>
      </c>
      <c r="G2184">
        <f>IF(DATOS!$A2184="",0,IF(CONFIG_METADATA!$B$4&lt;&gt;"OR+EX",--(DATOS!$G2184=CONFIG_METADATA!$B$4),IF(DATOS!$G2184="EX",1,IF(DATOS!$G2184="OR",--(COUNTIFS(nNIA,DATOS!$A2184,nCURSO,DATOS!$D2184,nESPEC,DATOS!$E2184,nASIG,DATOS!$I2184,nEVAL,"EX")=0),0))))</f>
      </c>
      <c r="H2184">
        <f>IF(DATOS!$G2184&lt;&gt;"EX",0,--(COUNTIFS(nNIA,DATOS!$A2184,nCURSO,DATOS!$D2184,nESPEC,DATOS!$E2184,nASIG,DATOS!$I2184,nEVAL,"OR")=0))</f>
      </c>
      <c r="I2184">
        <f>IF(DATOS!$I2184="","",IFERROR(VLOOKUP(DATOS!$I2184,CONFIG_ASIGNATURAS!$B$2:$J$91,9,FALSE()),""))</f>
      </c>
    </row>
    <row r="2185">
      <c r="F2185">
        <f>IF(DATOS!$A2185="","",DATOS!$A2185&amp;"|"&amp;DATOS!$D2185&amp;"|"&amp;DATOS!$E2185&amp;"|"&amp;DATOS!$I2185)</f>
      </c>
      <c r="G2185">
        <f>IF(DATOS!$A2185="",0,IF(CONFIG_METADATA!$B$4&lt;&gt;"OR+EX",--(DATOS!$G2185=CONFIG_METADATA!$B$4),IF(DATOS!$G2185="EX",1,IF(DATOS!$G2185="OR",--(COUNTIFS(nNIA,DATOS!$A2185,nCURSO,DATOS!$D2185,nESPEC,DATOS!$E2185,nASIG,DATOS!$I2185,nEVAL,"EX")=0),0))))</f>
      </c>
      <c r="H2185">
        <f>IF(DATOS!$G2185&lt;&gt;"EX",0,--(COUNTIFS(nNIA,DATOS!$A2185,nCURSO,DATOS!$D2185,nESPEC,DATOS!$E2185,nASIG,DATOS!$I2185,nEVAL,"OR")=0))</f>
      </c>
      <c r="I2185">
        <f>IF(DATOS!$I2185="","",IFERROR(VLOOKUP(DATOS!$I2185,CONFIG_ASIGNATURAS!$B$2:$J$91,9,FALSE()),""))</f>
      </c>
    </row>
    <row r="2186">
      <c r="F2186">
        <f>IF(DATOS!$A2186="","",DATOS!$A2186&amp;"|"&amp;DATOS!$D2186&amp;"|"&amp;DATOS!$E2186&amp;"|"&amp;DATOS!$I2186)</f>
      </c>
      <c r="G2186">
        <f>IF(DATOS!$A2186="",0,IF(CONFIG_METADATA!$B$4&lt;&gt;"OR+EX",--(DATOS!$G2186=CONFIG_METADATA!$B$4),IF(DATOS!$G2186="EX",1,IF(DATOS!$G2186="OR",--(COUNTIFS(nNIA,DATOS!$A2186,nCURSO,DATOS!$D2186,nESPEC,DATOS!$E2186,nASIG,DATOS!$I2186,nEVAL,"EX")=0),0))))</f>
      </c>
      <c r="H2186">
        <f>IF(DATOS!$G2186&lt;&gt;"EX",0,--(COUNTIFS(nNIA,DATOS!$A2186,nCURSO,DATOS!$D2186,nESPEC,DATOS!$E2186,nASIG,DATOS!$I2186,nEVAL,"OR")=0))</f>
      </c>
      <c r="I2186">
        <f>IF(DATOS!$I2186="","",IFERROR(VLOOKUP(DATOS!$I2186,CONFIG_ASIGNATURAS!$B$2:$J$91,9,FALSE()),""))</f>
      </c>
    </row>
    <row r="2187">
      <c r="F2187">
        <f>IF(DATOS!$A2187="","",DATOS!$A2187&amp;"|"&amp;DATOS!$D2187&amp;"|"&amp;DATOS!$E2187&amp;"|"&amp;DATOS!$I2187)</f>
      </c>
      <c r="G2187">
        <f>IF(DATOS!$A2187="",0,IF(CONFIG_METADATA!$B$4&lt;&gt;"OR+EX",--(DATOS!$G2187=CONFIG_METADATA!$B$4),IF(DATOS!$G2187="EX",1,IF(DATOS!$G2187="OR",--(COUNTIFS(nNIA,DATOS!$A2187,nCURSO,DATOS!$D2187,nESPEC,DATOS!$E2187,nASIG,DATOS!$I2187,nEVAL,"EX")=0),0))))</f>
      </c>
      <c r="H2187">
        <f>IF(DATOS!$G2187&lt;&gt;"EX",0,--(COUNTIFS(nNIA,DATOS!$A2187,nCURSO,DATOS!$D2187,nESPEC,DATOS!$E2187,nASIG,DATOS!$I2187,nEVAL,"OR")=0))</f>
      </c>
      <c r="I2187">
        <f>IF(DATOS!$I2187="","",IFERROR(VLOOKUP(DATOS!$I2187,CONFIG_ASIGNATURAS!$B$2:$J$91,9,FALSE()),""))</f>
      </c>
    </row>
    <row r="2188">
      <c r="F2188">
        <f>IF(DATOS!$A2188="","",DATOS!$A2188&amp;"|"&amp;DATOS!$D2188&amp;"|"&amp;DATOS!$E2188&amp;"|"&amp;DATOS!$I2188)</f>
      </c>
      <c r="G2188">
        <f>IF(DATOS!$A2188="",0,IF(CONFIG_METADATA!$B$4&lt;&gt;"OR+EX",--(DATOS!$G2188=CONFIG_METADATA!$B$4),IF(DATOS!$G2188="EX",1,IF(DATOS!$G2188="OR",--(COUNTIFS(nNIA,DATOS!$A2188,nCURSO,DATOS!$D2188,nESPEC,DATOS!$E2188,nASIG,DATOS!$I2188,nEVAL,"EX")=0),0))))</f>
      </c>
      <c r="H2188">
        <f>IF(DATOS!$G2188&lt;&gt;"EX",0,--(COUNTIFS(nNIA,DATOS!$A2188,nCURSO,DATOS!$D2188,nESPEC,DATOS!$E2188,nASIG,DATOS!$I2188,nEVAL,"OR")=0))</f>
      </c>
      <c r="I2188">
        <f>IF(DATOS!$I2188="","",IFERROR(VLOOKUP(DATOS!$I2188,CONFIG_ASIGNATURAS!$B$2:$J$91,9,FALSE()),""))</f>
      </c>
    </row>
    <row r="2189">
      <c r="F2189">
        <f>IF(DATOS!$A2189="","",DATOS!$A2189&amp;"|"&amp;DATOS!$D2189&amp;"|"&amp;DATOS!$E2189&amp;"|"&amp;DATOS!$I2189)</f>
      </c>
      <c r="G2189">
        <f>IF(DATOS!$A2189="",0,IF(CONFIG_METADATA!$B$4&lt;&gt;"OR+EX",--(DATOS!$G2189=CONFIG_METADATA!$B$4),IF(DATOS!$G2189="EX",1,IF(DATOS!$G2189="OR",--(COUNTIFS(nNIA,DATOS!$A2189,nCURSO,DATOS!$D2189,nESPEC,DATOS!$E2189,nASIG,DATOS!$I2189,nEVAL,"EX")=0),0))))</f>
      </c>
      <c r="H2189">
        <f>IF(DATOS!$G2189&lt;&gt;"EX",0,--(COUNTIFS(nNIA,DATOS!$A2189,nCURSO,DATOS!$D2189,nESPEC,DATOS!$E2189,nASIG,DATOS!$I2189,nEVAL,"OR")=0))</f>
      </c>
      <c r="I2189">
        <f>IF(DATOS!$I2189="","",IFERROR(VLOOKUP(DATOS!$I2189,CONFIG_ASIGNATURAS!$B$2:$J$91,9,FALSE()),""))</f>
      </c>
    </row>
    <row r="2190">
      <c r="F2190">
        <f>IF(DATOS!$A2190="","",DATOS!$A2190&amp;"|"&amp;DATOS!$D2190&amp;"|"&amp;DATOS!$E2190&amp;"|"&amp;DATOS!$I2190)</f>
      </c>
      <c r="G2190">
        <f>IF(DATOS!$A2190="",0,IF(CONFIG_METADATA!$B$4&lt;&gt;"OR+EX",--(DATOS!$G2190=CONFIG_METADATA!$B$4),IF(DATOS!$G2190="EX",1,IF(DATOS!$G2190="OR",--(COUNTIFS(nNIA,DATOS!$A2190,nCURSO,DATOS!$D2190,nESPEC,DATOS!$E2190,nASIG,DATOS!$I2190,nEVAL,"EX")=0),0))))</f>
      </c>
      <c r="H2190">
        <f>IF(DATOS!$G2190&lt;&gt;"EX",0,--(COUNTIFS(nNIA,DATOS!$A2190,nCURSO,DATOS!$D2190,nESPEC,DATOS!$E2190,nASIG,DATOS!$I2190,nEVAL,"OR")=0))</f>
      </c>
      <c r="I2190">
        <f>IF(DATOS!$I2190="","",IFERROR(VLOOKUP(DATOS!$I2190,CONFIG_ASIGNATURAS!$B$2:$J$91,9,FALSE()),""))</f>
      </c>
    </row>
    <row r="2191">
      <c r="F2191">
        <f>IF(DATOS!$A2191="","",DATOS!$A2191&amp;"|"&amp;DATOS!$D2191&amp;"|"&amp;DATOS!$E2191&amp;"|"&amp;DATOS!$I2191)</f>
      </c>
      <c r="G2191">
        <f>IF(DATOS!$A2191="",0,IF(CONFIG_METADATA!$B$4&lt;&gt;"OR+EX",--(DATOS!$G2191=CONFIG_METADATA!$B$4),IF(DATOS!$G2191="EX",1,IF(DATOS!$G2191="OR",--(COUNTIFS(nNIA,DATOS!$A2191,nCURSO,DATOS!$D2191,nESPEC,DATOS!$E2191,nASIG,DATOS!$I2191,nEVAL,"EX")=0),0))))</f>
      </c>
      <c r="H2191">
        <f>IF(DATOS!$G2191&lt;&gt;"EX",0,--(COUNTIFS(nNIA,DATOS!$A2191,nCURSO,DATOS!$D2191,nESPEC,DATOS!$E2191,nASIG,DATOS!$I2191,nEVAL,"OR")=0))</f>
      </c>
      <c r="I2191">
        <f>IF(DATOS!$I2191="","",IFERROR(VLOOKUP(DATOS!$I2191,CONFIG_ASIGNATURAS!$B$2:$J$91,9,FALSE()),""))</f>
      </c>
    </row>
    <row r="2192">
      <c r="F2192">
        <f>IF(DATOS!$A2192="","",DATOS!$A2192&amp;"|"&amp;DATOS!$D2192&amp;"|"&amp;DATOS!$E2192&amp;"|"&amp;DATOS!$I2192)</f>
      </c>
      <c r="G2192">
        <f>IF(DATOS!$A2192="",0,IF(CONFIG_METADATA!$B$4&lt;&gt;"OR+EX",--(DATOS!$G2192=CONFIG_METADATA!$B$4),IF(DATOS!$G2192="EX",1,IF(DATOS!$G2192="OR",--(COUNTIFS(nNIA,DATOS!$A2192,nCURSO,DATOS!$D2192,nESPEC,DATOS!$E2192,nASIG,DATOS!$I2192,nEVAL,"EX")=0),0))))</f>
      </c>
      <c r="H2192">
        <f>IF(DATOS!$G2192&lt;&gt;"EX",0,--(COUNTIFS(nNIA,DATOS!$A2192,nCURSO,DATOS!$D2192,nESPEC,DATOS!$E2192,nASIG,DATOS!$I2192,nEVAL,"OR")=0))</f>
      </c>
      <c r="I2192">
        <f>IF(DATOS!$I2192="","",IFERROR(VLOOKUP(DATOS!$I2192,CONFIG_ASIGNATURAS!$B$2:$J$91,9,FALSE()),""))</f>
      </c>
    </row>
    <row r="2193">
      <c r="F2193">
        <f>IF(DATOS!$A2193="","",DATOS!$A2193&amp;"|"&amp;DATOS!$D2193&amp;"|"&amp;DATOS!$E2193&amp;"|"&amp;DATOS!$I2193)</f>
      </c>
      <c r="G2193">
        <f>IF(DATOS!$A2193="",0,IF(CONFIG_METADATA!$B$4&lt;&gt;"OR+EX",--(DATOS!$G2193=CONFIG_METADATA!$B$4),IF(DATOS!$G2193="EX",1,IF(DATOS!$G2193="OR",--(COUNTIFS(nNIA,DATOS!$A2193,nCURSO,DATOS!$D2193,nESPEC,DATOS!$E2193,nASIG,DATOS!$I2193,nEVAL,"EX")=0),0))))</f>
      </c>
      <c r="H2193">
        <f>IF(DATOS!$G2193&lt;&gt;"EX",0,--(COUNTIFS(nNIA,DATOS!$A2193,nCURSO,DATOS!$D2193,nESPEC,DATOS!$E2193,nASIG,DATOS!$I2193,nEVAL,"OR")=0))</f>
      </c>
      <c r="I2193">
        <f>IF(DATOS!$I2193="","",IFERROR(VLOOKUP(DATOS!$I2193,CONFIG_ASIGNATURAS!$B$2:$J$91,9,FALSE()),""))</f>
      </c>
    </row>
    <row r="2194">
      <c r="F2194">
        <f>IF(DATOS!$A2194="","",DATOS!$A2194&amp;"|"&amp;DATOS!$D2194&amp;"|"&amp;DATOS!$E2194&amp;"|"&amp;DATOS!$I2194)</f>
      </c>
      <c r="G2194">
        <f>IF(DATOS!$A2194="",0,IF(CONFIG_METADATA!$B$4&lt;&gt;"OR+EX",--(DATOS!$G2194=CONFIG_METADATA!$B$4),IF(DATOS!$G2194="EX",1,IF(DATOS!$G2194="OR",--(COUNTIFS(nNIA,DATOS!$A2194,nCURSO,DATOS!$D2194,nESPEC,DATOS!$E2194,nASIG,DATOS!$I2194,nEVAL,"EX")=0),0))))</f>
      </c>
      <c r="H2194">
        <f>IF(DATOS!$G2194&lt;&gt;"EX",0,--(COUNTIFS(nNIA,DATOS!$A2194,nCURSO,DATOS!$D2194,nESPEC,DATOS!$E2194,nASIG,DATOS!$I2194,nEVAL,"OR")=0))</f>
      </c>
      <c r="I2194">
        <f>IF(DATOS!$I2194="","",IFERROR(VLOOKUP(DATOS!$I2194,CONFIG_ASIGNATURAS!$B$2:$J$91,9,FALSE()),""))</f>
      </c>
    </row>
    <row r="2195">
      <c r="F2195">
        <f>IF(DATOS!$A2195="","",DATOS!$A2195&amp;"|"&amp;DATOS!$D2195&amp;"|"&amp;DATOS!$E2195&amp;"|"&amp;DATOS!$I2195)</f>
      </c>
      <c r="G2195">
        <f>IF(DATOS!$A2195="",0,IF(CONFIG_METADATA!$B$4&lt;&gt;"OR+EX",--(DATOS!$G2195=CONFIG_METADATA!$B$4),IF(DATOS!$G2195="EX",1,IF(DATOS!$G2195="OR",--(COUNTIFS(nNIA,DATOS!$A2195,nCURSO,DATOS!$D2195,nESPEC,DATOS!$E2195,nASIG,DATOS!$I2195,nEVAL,"EX")=0),0))))</f>
      </c>
      <c r="H2195">
        <f>IF(DATOS!$G2195&lt;&gt;"EX",0,--(COUNTIFS(nNIA,DATOS!$A2195,nCURSO,DATOS!$D2195,nESPEC,DATOS!$E2195,nASIG,DATOS!$I2195,nEVAL,"OR")=0))</f>
      </c>
      <c r="I2195">
        <f>IF(DATOS!$I2195="","",IFERROR(VLOOKUP(DATOS!$I2195,CONFIG_ASIGNATURAS!$B$2:$J$91,9,FALSE()),""))</f>
      </c>
    </row>
    <row r="2196">
      <c r="F2196">
        <f>IF(DATOS!$A2196="","",DATOS!$A2196&amp;"|"&amp;DATOS!$D2196&amp;"|"&amp;DATOS!$E2196&amp;"|"&amp;DATOS!$I2196)</f>
      </c>
      <c r="G2196">
        <f>IF(DATOS!$A2196="",0,IF(CONFIG_METADATA!$B$4&lt;&gt;"OR+EX",--(DATOS!$G2196=CONFIG_METADATA!$B$4),IF(DATOS!$G2196="EX",1,IF(DATOS!$G2196="OR",--(COUNTIFS(nNIA,DATOS!$A2196,nCURSO,DATOS!$D2196,nESPEC,DATOS!$E2196,nASIG,DATOS!$I2196,nEVAL,"EX")=0),0))))</f>
      </c>
      <c r="H2196">
        <f>IF(DATOS!$G2196&lt;&gt;"EX",0,--(COUNTIFS(nNIA,DATOS!$A2196,nCURSO,DATOS!$D2196,nESPEC,DATOS!$E2196,nASIG,DATOS!$I2196,nEVAL,"OR")=0))</f>
      </c>
      <c r="I2196">
        <f>IF(DATOS!$I2196="","",IFERROR(VLOOKUP(DATOS!$I2196,CONFIG_ASIGNATURAS!$B$2:$J$91,9,FALSE()),""))</f>
      </c>
    </row>
    <row r="2197">
      <c r="F2197">
        <f>IF(DATOS!$A2197="","",DATOS!$A2197&amp;"|"&amp;DATOS!$D2197&amp;"|"&amp;DATOS!$E2197&amp;"|"&amp;DATOS!$I2197)</f>
      </c>
      <c r="G2197">
        <f>IF(DATOS!$A2197="",0,IF(CONFIG_METADATA!$B$4&lt;&gt;"OR+EX",--(DATOS!$G2197=CONFIG_METADATA!$B$4),IF(DATOS!$G2197="EX",1,IF(DATOS!$G2197="OR",--(COUNTIFS(nNIA,DATOS!$A2197,nCURSO,DATOS!$D2197,nESPEC,DATOS!$E2197,nASIG,DATOS!$I2197,nEVAL,"EX")=0),0))))</f>
      </c>
      <c r="H2197">
        <f>IF(DATOS!$G2197&lt;&gt;"EX",0,--(COUNTIFS(nNIA,DATOS!$A2197,nCURSO,DATOS!$D2197,nESPEC,DATOS!$E2197,nASIG,DATOS!$I2197,nEVAL,"OR")=0))</f>
      </c>
      <c r="I2197">
        <f>IF(DATOS!$I2197="","",IFERROR(VLOOKUP(DATOS!$I2197,CONFIG_ASIGNATURAS!$B$2:$J$91,9,FALSE()),""))</f>
      </c>
    </row>
    <row r="2198">
      <c r="F2198">
        <f>IF(DATOS!$A2198="","",DATOS!$A2198&amp;"|"&amp;DATOS!$D2198&amp;"|"&amp;DATOS!$E2198&amp;"|"&amp;DATOS!$I2198)</f>
      </c>
      <c r="G2198">
        <f>IF(DATOS!$A2198="",0,IF(CONFIG_METADATA!$B$4&lt;&gt;"OR+EX",--(DATOS!$G2198=CONFIG_METADATA!$B$4),IF(DATOS!$G2198="EX",1,IF(DATOS!$G2198="OR",--(COUNTIFS(nNIA,DATOS!$A2198,nCURSO,DATOS!$D2198,nESPEC,DATOS!$E2198,nASIG,DATOS!$I2198,nEVAL,"EX")=0),0))))</f>
      </c>
      <c r="H2198">
        <f>IF(DATOS!$G2198&lt;&gt;"EX",0,--(COUNTIFS(nNIA,DATOS!$A2198,nCURSO,DATOS!$D2198,nESPEC,DATOS!$E2198,nASIG,DATOS!$I2198,nEVAL,"OR")=0))</f>
      </c>
      <c r="I2198">
        <f>IF(DATOS!$I2198="","",IFERROR(VLOOKUP(DATOS!$I2198,CONFIG_ASIGNATURAS!$B$2:$J$91,9,FALSE()),""))</f>
      </c>
    </row>
    <row r="2199">
      <c r="F2199">
        <f>IF(DATOS!$A2199="","",DATOS!$A2199&amp;"|"&amp;DATOS!$D2199&amp;"|"&amp;DATOS!$E2199&amp;"|"&amp;DATOS!$I2199)</f>
      </c>
      <c r="G2199">
        <f>IF(DATOS!$A2199="",0,IF(CONFIG_METADATA!$B$4&lt;&gt;"OR+EX",--(DATOS!$G2199=CONFIG_METADATA!$B$4),IF(DATOS!$G2199="EX",1,IF(DATOS!$G2199="OR",--(COUNTIFS(nNIA,DATOS!$A2199,nCURSO,DATOS!$D2199,nESPEC,DATOS!$E2199,nASIG,DATOS!$I2199,nEVAL,"EX")=0),0))))</f>
      </c>
      <c r="H2199">
        <f>IF(DATOS!$G2199&lt;&gt;"EX",0,--(COUNTIFS(nNIA,DATOS!$A2199,nCURSO,DATOS!$D2199,nESPEC,DATOS!$E2199,nASIG,DATOS!$I2199,nEVAL,"OR")=0))</f>
      </c>
      <c r="I2199">
        <f>IF(DATOS!$I2199="","",IFERROR(VLOOKUP(DATOS!$I2199,CONFIG_ASIGNATURAS!$B$2:$J$91,9,FALSE()),""))</f>
      </c>
    </row>
    <row r="2200">
      <c r="F2200">
        <f>IF(DATOS!$A2200="","",DATOS!$A2200&amp;"|"&amp;DATOS!$D2200&amp;"|"&amp;DATOS!$E2200&amp;"|"&amp;DATOS!$I2200)</f>
      </c>
      <c r="G2200">
        <f>IF(DATOS!$A2200="",0,IF(CONFIG_METADATA!$B$4&lt;&gt;"OR+EX",--(DATOS!$G2200=CONFIG_METADATA!$B$4),IF(DATOS!$G2200="EX",1,IF(DATOS!$G2200="OR",--(COUNTIFS(nNIA,DATOS!$A2200,nCURSO,DATOS!$D2200,nESPEC,DATOS!$E2200,nASIG,DATOS!$I2200,nEVAL,"EX")=0),0))))</f>
      </c>
      <c r="H2200">
        <f>IF(DATOS!$G2200&lt;&gt;"EX",0,--(COUNTIFS(nNIA,DATOS!$A2200,nCURSO,DATOS!$D2200,nESPEC,DATOS!$E2200,nASIG,DATOS!$I2200,nEVAL,"OR")=0))</f>
      </c>
      <c r="I2200">
        <f>IF(DATOS!$I2200="","",IFERROR(VLOOKUP(DATOS!$I2200,CONFIG_ASIGNATURAS!$B$2:$J$91,9,FALSE()),""))</f>
      </c>
    </row>
    <row r="2201">
      <c r="F2201">
        <f>IF(DATOS!$A2201="","",DATOS!$A2201&amp;"|"&amp;DATOS!$D2201&amp;"|"&amp;DATOS!$E2201&amp;"|"&amp;DATOS!$I2201)</f>
      </c>
      <c r="G2201">
        <f>IF(DATOS!$A2201="",0,IF(CONFIG_METADATA!$B$4&lt;&gt;"OR+EX",--(DATOS!$G2201=CONFIG_METADATA!$B$4),IF(DATOS!$G2201="EX",1,IF(DATOS!$G2201="OR",--(COUNTIFS(nNIA,DATOS!$A2201,nCURSO,DATOS!$D2201,nESPEC,DATOS!$E2201,nASIG,DATOS!$I2201,nEVAL,"EX")=0),0))))</f>
      </c>
      <c r="H2201">
        <f>IF(DATOS!$G2201&lt;&gt;"EX",0,--(COUNTIFS(nNIA,DATOS!$A2201,nCURSO,DATOS!$D2201,nESPEC,DATOS!$E2201,nASIG,DATOS!$I2201,nEVAL,"OR")=0))</f>
      </c>
      <c r="I2201">
        <f>IF(DATOS!$I2201="","",IFERROR(VLOOKUP(DATOS!$I2201,CONFIG_ASIGNATURAS!$B$2:$J$91,9,FALSE()),""))</f>
      </c>
    </row>
    <row r="2202">
      <c r="F2202">
        <f>IF(DATOS!$A2202="","",DATOS!$A2202&amp;"|"&amp;DATOS!$D2202&amp;"|"&amp;DATOS!$E2202&amp;"|"&amp;DATOS!$I2202)</f>
      </c>
      <c r="G2202">
        <f>IF(DATOS!$A2202="",0,IF(CONFIG_METADATA!$B$4&lt;&gt;"OR+EX",--(DATOS!$G2202=CONFIG_METADATA!$B$4),IF(DATOS!$G2202="EX",1,IF(DATOS!$G2202="OR",--(COUNTIFS(nNIA,DATOS!$A2202,nCURSO,DATOS!$D2202,nESPEC,DATOS!$E2202,nASIG,DATOS!$I2202,nEVAL,"EX")=0),0))))</f>
      </c>
      <c r="H2202">
        <f>IF(DATOS!$G2202&lt;&gt;"EX",0,--(COUNTIFS(nNIA,DATOS!$A2202,nCURSO,DATOS!$D2202,nESPEC,DATOS!$E2202,nASIG,DATOS!$I2202,nEVAL,"OR")=0))</f>
      </c>
      <c r="I2202">
        <f>IF(DATOS!$I2202="","",IFERROR(VLOOKUP(DATOS!$I2202,CONFIG_ASIGNATURAS!$B$2:$J$91,9,FALSE()),""))</f>
      </c>
    </row>
    <row r="2203">
      <c r="F2203">
        <f>IF(DATOS!$A2203="","",DATOS!$A2203&amp;"|"&amp;DATOS!$D2203&amp;"|"&amp;DATOS!$E2203&amp;"|"&amp;DATOS!$I2203)</f>
      </c>
      <c r="G2203">
        <f>IF(DATOS!$A2203="",0,IF(CONFIG_METADATA!$B$4&lt;&gt;"OR+EX",--(DATOS!$G2203=CONFIG_METADATA!$B$4),IF(DATOS!$G2203="EX",1,IF(DATOS!$G2203="OR",--(COUNTIFS(nNIA,DATOS!$A2203,nCURSO,DATOS!$D2203,nESPEC,DATOS!$E2203,nASIG,DATOS!$I2203,nEVAL,"EX")=0),0))))</f>
      </c>
      <c r="H2203">
        <f>IF(DATOS!$G2203&lt;&gt;"EX",0,--(COUNTIFS(nNIA,DATOS!$A2203,nCURSO,DATOS!$D2203,nESPEC,DATOS!$E2203,nASIG,DATOS!$I2203,nEVAL,"OR")=0))</f>
      </c>
      <c r="I2203">
        <f>IF(DATOS!$I2203="","",IFERROR(VLOOKUP(DATOS!$I2203,CONFIG_ASIGNATURAS!$B$2:$J$91,9,FALSE()),""))</f>
      </c>
    </row>
    <row r="2204">
      <c r="F2204">
        <f>IF(DATOS!$A2204="","",DATOS!$A2204&amp;"|"&amp;DATOS!$D2204&amp;"|"&amp;DATOS!$E2204&amp;"|"&amp;DATOS!$I2204)</f>
      </c>
      <c r="G2204">
        <f>IF(DATOS!$A2204="",0,IF(CONFIG_METADATA!$B$4&lt;&gt;"OR+EX",--(DATOS!$G2204=CONFIG_METADATA!$B$4),IF(DATOS!$G2204="EX",1,IF(DATOS!$G2204="OR",--(COUNTIFS(nNIA,DATOS!$A2204,nCURSO,DATOS!$D2204,nESPEC,DATOS!$E2204,nASIG,DATOS!$I2204,nEVAL,"EX")=0),0))))</f>
      </c>
      <c r="H2204">
        <f>IF(DATOS!$G2204&lt;&gt;"EX",0,--(COUNTIFS(nNIA,DATOS!$A2204,nCURSO,DATOS!$D2204,nESPEC,DATOS!$E2204,nASIG,DATOS!$I2204,nEVAL,"OR")=0))</f>
      </c>
      <c r="I2204">
        <f>IF(DATOS!$I2204="","",IFERROR(VLOOKUP(DATOS!$I2204,CONFIG_ASIGNATURAS!$B$2:$J$91,9,FALSE()),""))</f>
      </c>
    </row>
    <row r="2205">
      <c r="F2205">
        <f>IF(DATOS!$A2205="","",DATOS!$A2205&amp;"|"&amp;DATOS!$D2205&amp;"|"&amp;DATOS!$E2205&amp;"|"&amp;DATOS!$I2205)</f>
      </c>
      <c r="G2205">
        <f>IF(DATOS!$A2205="",0,IF(CONFIG_METADATA!$B$4&lt;&gt;"OR+EX",--(DATOS!$G2205=CONFIG_METADATA!$B$4),IF(DATOS!$G2205="EX",1,IF(DATOS!$G2205="OR",--(COUNTIFS(nNIA,DATOS!$A2205,nCURSO,DATOS!$D2205,nESPEC,DATOS!$E2205,nASIG,DATOS!$I2205,nEVAL,"EX")=0),0))))</f>
      </c>
      <c r="H2205">
        <f>IF(DATOS!$G2205&lt;&gt;"EX",0,--(COUNTIFS(nNIA,DATOS!$A2205,nCURSO,DATOS!$D2205,nESPEC,DATOS!$E2205,nASIG,DATOS!$I2205,nEVAL,"OR")=0))</f>
      </c>
      <c r="I2205">
        <f>IF(DATOS!$I2205="","",IFERROR(VLOOKUP(DATOS!$I2205,CONFIG_ASIGNATURAS!$B$2:$J$91,9,FALSE()),""))</f>
      </c>
    </row>
    <row r="2206">
      <c r="F2206">
        <f>IF(DATOS!$A2206="","",DATOS!$A2206&amp;"|"&amp;DATOS!$D2206&amp;"|"&amp;DATOS!$E2206&amp;"|"&amp;DATOS!$I2206)</f>
      </c>
      <c r="G2206">
        <f>IF(DATOS!$A2206="",0,IF(CONFIG_METADATA!$B$4&lt;&gt;"OR+EX",--(DATOS!$G2206=CONFIG_METADATA!$B$4),IF(DATOS!$G2206="EX",1,IF(DATOS!$G2206="OR",--(COUNTIFS(nNIA,DATOS!$A2206,nCURSO,DATOS!$D2206,nESPEC,DATOS!$E2206,nASIG,DATOS!$I2206,nEVAL,"EX")=0),0))))</f>
      </c>
      <c r="H2206">
        <f>IF(DATOS!$G2206&lt;&gt;"EX",0,--(COUNTIFS(nNIA,DATOS!$A2206,nCURSO,DATOS!$D2206,nESPEC,DATOS!$E2206,nASIG,DATOS!$I2206,nEVAL,"OR")=0))</f>
      </c>
      <c r="I2206">
        <f>IF(DATOS!$I2206="","",IFERROR(VLOOKUP(DATOS!$I2206,CONFIG_ASIGNATURAS!$B$2:$J$91,9,FALSE()),""))</f>
      </c>
    </row>
    <row r="2207">
      <c r="F2207">
        <f>IF(DATOS!$A2207="","",DATOS!$A2207&amp;"|"&amp;DATOS!$D2207&amp;"|"&amp;DATOS!$E2207&amp;"|"&amp;DATOS!$I2207)</f>
      </c>
      <c r="G2207">
        <f>IF(DATOS!$A2207="",0,IF(CONFIG_METADATA!$B$4&lt;&gt;"OR+EX",--(DATOS!$G2207=CONFIG_METADATA!$B$4),IF(DATOS!$G2207="EX",1,IF(DATOS!$G2207="OR",--(COUNTIFS(nNIA,DATOS!$A2207,nCURSO,DATOS!$D2207,nESPEC,DATOS!$E2207,nASIG,DATOS!$I2207,nEVAL,"EX")=0),0))))</f>
      </c>
      <c r="H2207">
        <f>IF(DATOS!$G2207&lt;&gt;"EX",0,--(COUNTIFS(nNIA,DATOS!$A2207,nCURSO,DATOS!$D2207,nESPEC,DATOS!$E2207,nASIG,DATOS!$I2207,nEVAL,"OR")=0))</f>
      </c>
      <c r="I2207">
        <f>IF(DATOS!$I2207="","",IFERROR(VLOOKUP(DATOS!$I2207,CONFIG_ASIGNATURAS!$B$2:$J$91,9,FALSE()),""))</f>
      </c>
    </row>
    <row r="2208">
      <c r="F2208">
        <f>IF(DATOS!$A2208="","",DATOS!$A2208&amp;"|"&amp;DATOS!$D2208&amp;"|"&amp;DATOS!$E2208&amp;"|"&amp;DATOS!$I2208)</f>
      </c>
      <c r="G2208">
        <f>IF(DATOS!$A2208="",0,IF(CONFIG_METADATA!$B$4&lt;&gt;"OR+EX",--(DATOS!$G2208=CONFIG_METADATA!$B$4),IF(DATOS!$G2208="EX",1,IF(DATOS!$G2208="OR",--(COUNTIFS(nNIA,DATOS!$A2208,nCURSO,DATOS!$D2208,nESPEC,DATOS!$E2208,nASIG,DATOS!$I2208,nEVAL,"EX")=0),0))))</f>
      </c>
      <c r="H2208">
        <f>IF(DATOS!$G2208&lt;&gt;"EX",0,--(COUNTIFS(nNIA,DATOS!$A2208,nCURSO,DATOS!$D2208,nESPEC,DATOS!$E2208,nASIG,DATOS!$I2208,nEVAL,"OR")=0))</f>
      </c>
      <c r="I2208">
        <f>IF(DATOS!$I2208="","",IFERROR(VLOOKUP(DATOS!$I2208,CONFIG_ASIGNATURAS!$B$2:$J$91,9,FALSE()),""))</f>
      </c>
    </row>
    <row r="2209">
      <c r="F2209">
        <f>IF(DATOS!$A2209="","",DATOS!$A2209&amp;"|"&amp;DATOS!$D2209&amp;"|"&amp;DATOS!$E2209&amp;"|"&amp;DATOS!$I2209)</f>
      </c>
      <c r="G2209">
        <f>IF(DATOS!$A2209="",0,IF(CONFIG_METADATA!$B$4&lt;&gt;"OR+EX",--(DATOS!$G2209=CONFIG_METADATA!$B$4),IF(DATOS!$G2209="EX",1,IF(DATOS!$G2209="OR",--(COUNTIFS(nNIA,DATOS!$A2209,nCURSO,DATOS!$D2209,nESPEC,DATOS!$E2209,nASIG,DATOS!$I2209,nEVAL,"EX")=0),0))))</f>
      </c>
      <c r="H2209">
        <f>IF(DATOS!$G2209&lt;&gt;"EX",0,--(COUNTIFS(nNIA,DATOS!$A2209,nCURSO,DATOS!$D2209,nESPEC,DATOS!$E2209,nASIG,DATOS!$I2209,nEVAL,"OR")=0))</f>
      </c>
      <c r="I2209">
        <f>IF(DATOS!$I2209="","",IFERROR(VLOOKUP(DATOS!$I2209,CONFIG_ASIGNATURAS!$B$2:$J$91,9,FALSE()),""))</f>
      </c>
    </row>
    <row r="2210">
      <c r="F2210">
        <f>IF(DATOS!$A2210="","",DATOS!$A2210&amp;"|"&amp;DATOS!$D2210&amp;"|"&amp;DATOS!$E2210&amp;"|"&amp;DATOS!$I2210)</f>
      </c>
      <c r="G2210">
        <f>IF(DATOS!$A2210="",0,IF(CONFIG_METADATA!$B$4&lt;&gt;"OR+EX",--(DATOS!$G2210=CONFIG_METADATA!$B$4),IF(DATOS!$G2210="EX",1,IF(DATOS!$G2210="OR",--(COUNTIFS(nNIA,DATOS!$A2210,nCURSO,DATOS!$D2210,nESPEC,DATOS!$E2210,nASIG,DATOS!$I2210,nEVAL,"EX")=0),0))))</f>
      </c>
      <c r="H2210">
        <f>IF(DATOS!$G2210&lt;&gt;"EX",0,--(COUNTIFS(nNIA,DATOS!$A2210,nCURSO,DATOS!$D2210,nESPEC,DATOS!$E2210,nASIG,DATOS!$I2210,nEVAL,"OR")=0))</f>
      </c>
      <c r="I2210">
        <f>IF(DATOS!$I2210="","",IFERROR(VLOOKUP(DATOS!$I2210,CONFIG_ASIGNATURAS!$B$2:$J$91,9,FALSE()),""))</f>
      </c>
    </row>
    <row r="2211">
      <c r="F2211">
        <f>IF(DATOS!$A2211="","",DATOS!$A2211&amp;"|"&amp;DATOS!$D2211&amp;"|"&amp;DATOS!$E2211&amp;"|"&amp;DATOS!$I2211)</f>
      </c>
      <c r="G2211">
        <f>IF(DATOS!$A2211="",0,IF(CONFIG_METADATA!$B$4&lt;&gt;"OR+EX",--(DATOS!$G2211=CONFIG_METADATA!$B$4),IF(DATOS!$G2211="EX",1,IF(DATOS!$G2211="OR",--(COUNTIFS(nNIA,DATOS!$A2211,nCURSO,DATOS!$D2211,nESPEC,DATOS!$E2211,nASIG,DATOS!$I2211,nEVAL,"EX")=0),0))))</f>
      </c>
      <c r="H2211">
        <f>IF(DATOS!$G2211&lt;&gt;"EX",0,--(COUNTIFS(nNIA,DATOS!$A2211,nCURSO,DATOS!$D2211,nESPEC,DATOS!$E2211,nASIG,DATOS!$I2211,nEVAL,"OR")=0))</f>
      </c>
      <c r="I2211">
        <f>IF(DATOS!$I2211="","",IFERROR(VLOOKUP(DATOS!$I2211,CONFIG_ASIGNATURAS!$B$2:$J$91,9,FALSE()),""))</f>
      </c>
    </row>
    <row r="2212">
      <c r="F2212">
        <f>IF(DATOS!$A2212="","",DATOS!$A2212&amp;"|"&amp;DATOS!$D2212&amp;"|"&amp;DATOS!$E2212&amp;"|"&amp;DATOS!$I2212)</f>
      </c>
      <c r="G2212">
        <f>IF(DATOS!$A2212="",0,IF(CONFIG_METADATA!$B$4&lt;&gt;"OR+EX",--(DATOS!$G2212=CONFIG_METADATA!$B$4),IF(DATOS!$G2212="EX",1,IF(DATOS!$G2212="OR",--(COUNTIFS(nNIA,DATOS!$A2212,nCURSO,DATOS!$D2212,nESPEC,DATOS!$E2212,nASIG,DATOS!$I2212,nEVAL,"EX")=0),0))))</f>
      </c>
      <c r="H2212">
        <f>IF(DATOS!$G2212&lt;&gt;"EX",0,--(COUNTIFS(nNIA,DATOS!$A2212,nCURSO,DATOS!$D2212,nESPEC,DATOS!$E2212,nASIG,DATOS!$I2212,nEVAL,"OR")=0))</f>
      </c>
      <c r="I2212">
        <f>IF(DATOS!$I2212="","",IFERROR(VLOOKUP(DATOS!$I2212,CONFIG_ASIGNATURAS!$B$2:$J$91,9,FALSE()),""))</f>
      </c>
    </row>
    <row r="2213">
      <c r="F2213">
        <f>IF(DATOS!$A2213="","",DATOS!$A2213&amp;"|"&amp;DATOS!$D2213&amp;"|"&amp;DATOS!$E2213&amp;"|"&amp;DATOS!$I2213)</f>
      </c>
      <c r="G2213">
        <f>IF(DATOS!$A2213="",0,IF(CONFIG_METADATA!$B$4&lt;&gt;"OR+EX",--(DATOS!$G2213=CONFIG_METADATA!$B$4),IF(DATOS!$G2213="EX",1,IF(DATOS!$G2213="OR",--(COUNTIFS(nNIA,DATOS!$A2213,nCURSO,DATOS!$D2213,nESPEC,DATOS!$E2213,nASIG,DATOS!$I2213,nEVAL,"EX")=0),0))))</f>
      </c>
      <c r="H2213">
        <f>IF(DATOS!$G2213&lt;&gt;"EX",0,--(COUNTIFS(nNIA,DATOS!$A2213,nCURSO,DATOS!$D2213,nESPEC,DATOS!$E2213,nASIG,DATOS!$I2213,nEVAL,"OR")=0))</f>
      </c>
      <c r="I2213">
        <f>IF(DATOS!$I2213="","",IFERROR(VLOOKUP(DATOS!$I2213,CONFIG_ASIGNATURAS!$B$2:$J$91,9,FALSE()),""))</f>
      </c>
    </row>
    <row r="2214">
      <c r="F2214">
        <f>IF(DATOS!$A2214="","",DATOS!$A2214&amp;"|"&amp;DATOS!$D2214&amp;"|"&amp;DATOS!$E2214&amp;"|"&amp;DATOS!$I2214)</f>
      </c>
      <c r="G2214">
        <f>IF(DATOS!$A2214="",0,IF(CONFIG_METADATA!$B$4&lt;&gt;"OR+EX",--(DATOS!$G2214=CONFIG_METADATA!$B$4),IF(DATOS!$G2214="EX",1,IF(DATOS!$G2214="OR",--(COUNTIFS(nNIA,DATOS!$A2214,nCURSO,DATOS!$D2214,nESPEC,DATOS!$E2214,nASIG,DATOS!$I2214,nEVAL,"EX")=0),0))))</f>
      </c>
      <c r="H2214">
        <f>IF(DATOS!$G2214&lt;&gt;"EX",0,--(COUNTIFS(nNIA,DATOS!$A2214,nCURSO,DATOS!$D2214,nESPEC,DATOS!$E2214,nASIG,DATOS!$I2214,nEVAL,"OR")=0))</f>
      </c>
      <c r="I2214">
        <f>IF(DATOS!$I2214="","",IFERROR(VLOOKUP(DATOS!$I2214,CONFIG_ASIGNATURAS!$B$2:$J$91,9,FALSE()),""))</f>
      </c>
    </row>
    <row r="2215">
      <c r="F2215">
        <f>IF(DATOS!$A2215="","",DATOS!$A2215&amp;"|"&amp;DATOS!$D2215&amp;"|"&amp;DATOS!$E2215&amp;"|"&amp;DATOS!$I2215)</f>
      </c>
      <c r="G2215">
        <f>IF(DATOS!$A2215="",0,IF(CONFIG_METADATA!$B$4&lt;&gt;"OR+EX",--(DATOS!$G2215=CONFIG_METADATA!$B$4),IF(DATOS!$G2215="EX",1,IF(DATOS!$G2215="OR",--(COUNTIFS(nNIA,DATOS!$A2215,nCURSO,DATOS!$D2215,nESPEC,DATOS!$E2215,nASIG,DATOS!$I2215,nEVAL,"EX")=0),0))))</f>
      </c>
      <c r="H2215">
        <f>IF(DATOS!$G2215&lt;&gt;"EX",0,--(COUNTIFS(nNIA,DATOS!$A2215,nCURSO,DATOS!$D2215,nESPEC,DATOS!$E2215,nASIG,DATOS!$I2215,nEVAL,"OR")=0))</f>
      </c>
      <c r="I2215">
        <f>IF(DATOS!$I2215="","",IFERROR(VLOOKUP(DATOS!$I2215,CONFIG_ASIGNATURAS!$B$2:$J$91,9,FALSE()),""))</f>
      </c>
    </row>
    <row r="2216">
      <c r="F2216">
        <f>IF(DATOS!$A2216="","",DATOS!$A2216&amp;"|"&amp;DATOS!$D2216&amp;"|"&amp;DATOS!$E2216&amp;"|"&amp;DATOS!$I2216)</f>
      </c>
      <c r="G2216">
        <f>IF(DATOS!$A2216="",0,IF(CONFIG_METADATA!$B$4&lt;&gt;"OR+EX",--(DATOS!$G2216=CONFIG_METADATA!$B$4),IF(DATOS!$G2216="EX",1,IF(DATOS!$G2216="OR",--(COUNTIFS(nNIA,DATOS!$A2216,nCURSO,DATOS!$D2216,nESPEC,DATOS!$E2216,nASIG,DATOS!$I2216,nEVAL,"EX")=0),0))))</f>
      </c>
      <c r="H2216">
        <f>IF(DATOS!$G2216&lt;&gt;"EX",0,--(COUNTIFS(nNIA,DATOS!$A2216,nCURSO,DATOS!$D2216,nESPEC,DATOS!$E2216,nASIG,DATOS!$I2216,nEVAL,"OR")=0))</f>
      </c>
      <c r="I2216">
        <f>IF(DATOS!$I2216="","",IFERROR(VLOOKUP(DATOS!$I2216,CONFIG_ASIGNATURAS!$B$2:$J$91,9,FALSE()),""))</f>
      </c>
    </row>
    <row r="2217">
      <c r="F2217">
        <f>IF(DATOS!$A2217="","",DATOS!$A2217&amp;"|"&amp;DATOS!$D2217&amp;"|"&amp;DATOS!$E2217&amp;"|"&amp;DATOS!$I2217)</f>
      </c>
      <c r="G2217">
        <f>IF(DATOS!$A2217="",0,IF(CONFIG_METADATA!$B$4&lt;&gt;"OR+EX",--(DATOS!$G2217=CONFIG_METADATA!$B$4),IF(DATOS!$G2217="EX",1,IF(DATOS!$G2217="OR",--(COUNTIFS(nNIA,DATOS!$A2217,nCURSO,DATOS!$D2217,nESPEC,DATOS!$E2217,nASIG,DATOS!$I2217,nEVAL,"EX")=0),0))))</f>
      </c>
      <c r="H2217">
        <f>IF(DATOS!$G2217&lt;&gt;"EX",0,--(COUNTIFS(nNIA,DATOS!$A2217,nCURSO,DATOS!$D2217,nESPEC,DATOS!$E2217,nASIG,DATOS!$I2217,nEVAL,"OR")=0))</f>
      </c>
      <c r="I2217">
        <f>IF(DATOS!$I2217="","",IFERROR(VLOOKUP(DATOS!$I2217,CONFIG_ASIGNATURAS!$B$2:$J$91,9,FALSE()),""))</f>
      </c>
    </row>
    <row r="2218">
      <c r="F2218">
        <f>IF(DATOS!$A2218="","",DATOS!$A2218&amp;"|"&amp;DATOS!$D2218&amp;"|"&amp;DATOS!$E2218&amp;"|"&amp;DATOS!$I2218)</f>
      </c>
      <c r="G2218">
        <f>IF(DATOS!$A2218="",0,IF(CONFIG_METADATA!$B$4&lt;&gt;"OR+EX",--(DATOS!$G2218=CONFIG_METADATA!$B$4),IF(DATOS!$G2218="EX",1,IF(DATOS!$G2218="OR",--(COUNTIFS(nNIA,DATOS!$A2218,nCURSO,DATOS!$D2218,nESPEC,DATOS!$E2218,nASIG,DATOS!$I2218,nEVAL,"EX")=0),0))))</f>
      </c>
      <c r="H2218">
        <f>IF(DATOS!$G2218&lt;&gt;"EX",0,--(COUNTIFS(nNIA,DATOS!$A2218,nCURSO,DATOS!$D2218,nESPEC,DATOS!$E2218,nASIG,DATOS!$I2218,nEVAL,"OR")=0))</f>
      </c>
      <c r="I2218">
        <f>IF(DATOS!$I2218="","",IFERROR(VLOOKUP(DATOS!$I2218,CONFIG_ASIGNATURAS!$B$2:$J$91,9,FALSE()),""))</f>
      </c>
    </row>
    <row r="2219">
      <c r="F2219">
        <f>IF(DATOS!$A2219="","",DATOS!$A2219&amp;"|"&amp;DATOS!$D2219&amp;"|"&amp;DATOS!$E2219&amp;"|"&amp;DATOS!$I2219)</f>
      </c>
      <c r="G2219">
        <f>IF(DATOS!$A2219="",0,IF(CONFIG_METADATA!$B$4&lt;&gt;"OR+EX",--(DATOS!$G2219=CONFIG_METADATA!$B$4),IF(DATOS!$G2219="EX",1,IF(DATOS!$G2219="OR",--(COUNTIFS(nNIA,DATOS!$A2219,nCURSO,DATOS!$D2219,nESPEC,DATOS!$E2219,nASIG,DATOS!$I2219,nEVAL,"EX")=0),0))))</f>
      </c>
      <c r="H2219">
        <f>IF(DATOS!$G2219&lt;&gt;"EX",0,--(COUNTIFS(nNIA,DATOS!$A2219,nCURSO,DATOS!$D2219,nESPEC,DATOS!$E2219,nASIG,DATOS!$I2219,nEVAL,"OR")=0))</f>
      </c>
      <c r="I2219">
        <f>IF(DATOS!$I2219="","",IFERROR(VLOOKUP(DATOS!$I2219,CONFIG_ASIGNATURAS!$B$2:$J$91,9,FALSE()),""))</f>
      </c>
    </row>
    <row r="2220">
      <c r="F2220">
        <f>IF(DATOS!$A2220="","",DATOS!$A2220&amp;"|"&amp;DATOS!$D2220&amp;"|"&amp;DATOS!$E2220&amp;"|"&amp;DATOS!$I2220)</f>
      </c>
      <c r="G2220">
        <f>IF(DATOS!$A2220="",0,IF(CONFIG_METADATA!$B$4&lt;&gt;"OR+EX",--(DATOS!$G2220=CONFIG_METADATA!$B$4),IF(DATOS!$G2220="EX",1,IF(DATOS!$G2220="OR",--(COUNTIFS(nNIA,DATOS!$A2220,nCURSO,DATOS!$D2220,nESPEC,DATOS!$E2220,nASIG,DATOS!$I2220,nEVAL,"EX")=0),0))))</f>
      </c>
      <c r="H2220">
        <f>IF(DATOS!$G2220&lt;&gt;"EX",0,--(COUNTIFS(nNIA,DATOS!$A2220,nCURSO,DATOS!$D2220,nESPEC,DATOS!$E2220,nASIG,DATOS!$I2220,nEVAL,"OR")=0))</f>
      </c>
      <c r="I2220">
        <f>IF(DATOS!$I2220="","",IFERROR(VLOOKUP(DATOS!$I2220,CONFIG_ASIGNATURAS!$B$2:$J$91,9,FALSE()),""))</f>
      </c>
    </row>
    <row r="2221">
      <c r="F2221">
        <f>IF(DATOS!$A2221="","",DATOS!$A2221&amp;"|"&amp;DATOS!$D2221&amp;"|"&amp;DATOS!$E2221&amp;"|"&amp;DATOS!$I2221)</f>
      </c>
      <c r="G2221">
        <f>IF(DATOS!$A2221="",0,IF(CONFIG_METADATA!$B$4&lt;&gt;"OR+EX",--(DATOS!$G2221=CONFIG_METADATA!$B$4),IF(DATOS!$G2221="EX",1,IF(DATOS!$G2221="OR",--(COUNTIFS(nNIA,DATOS!$A2221,nCURSO,DATOS!$D2221,nESPEC,DATOS!$E2221,nASIG,DATOS!$I2221,nEVAL,"EX")=0),0))))</f>
      </c>
      <c r="H2221">
        <f>IF(DATOS!$G2221&lt;&gt;"EX",0,--(COUNTIFS(nNIA,DATOS!$A2221,nCURSO,DATOS!$D2221,nESPEC,DATOS!$E2221,nASIG,DATOS!$I2221,nEVAL,"OR")=0))</f>
      </c>
      <c r="I2221">
        <f>IF(DATOS!$I2221="","",IFERROR(VLOOKUP(DATOS!$I2221,CONFIG_ASIGNATURAS!$B$2:$J$91,9,FALSE()),""))</f>
      </c>
    </row>
    <row r="2222">
      <c r="F2222">
        <f>IF(DATOS!$A2222="","",DATOS!$A2222&amp;"|"&amp;DATOS!$D2222&amp;"|"&amp;DATOS!$E2222&amp;"|"&amp;DATOS!$I2222)</f>
      </c>
      <c r="G2222">
        <f>IF(DATOS!$A2222="",0,IF(CONFIG_METADATA!$B$4&lt;&gt;"OR+EX",--(DATOS!$G2222=CONFIG_METADATA!$B$4),IF(DATOS!$G2222="EX",1,IF(DATOS!$G2222="OR",--(COUNTIFS(nNIA,DATOS!$A2222,nCURSO,DATOS!$D2222,nESPEC,DATOS!$E2222,nASIG,DATOS!$I2222,nEVAL,"EX")=0),0))))</f>
      </c>
      <c r="H2222">
        <f>IF(DATOS!$G2222&lt;&gt;"EX",0,--(COUNTIFS(nNIA,DATOS!$A2222,nCURSO,DATOS!$D2222,nESPEC,DATOS!$E2222,nASIG,DATOS!$I2222,nEVAL,"OR")=0))</f>
      </c>
      <c r="I2222">
        <f>IF(DATOS!$I2222="","",IFERROR(VLOOKUP(DATOS!$I2222,CONFIG_ASIGNATURAS!$B$2:$J$91,9,FALSE()),""))</f>
      </c>
    </row>
    <row r="2223">
      <c r="F2223">
        <f>IF(DATOS!$A2223="","",DATOS!$A2223&amp;"|"&amp;DATOS!$D2223&amp;"|"&amp;DATOS!$E2223&amp;"|"&amp;DATOS!$I2223)</f>
      </c>
      <c r="G2223">
        <f>IF(DATOS!$A2223="",0,IF(CONFIG_METADATA!$B$4&lt;&gt;"OR+EX",--(DATOS!$G2223=CONFIG_METADATA!$B$4),IF(DATOS!$G2223="EX",1,IF(DATOS!$G2223="OR",--(COUNTIFS(nNIA,DATOS!$A2223,nCURSO,DATOS!$D2223,nESPEC,DATOS!$E2223,nASIG,DATOS!$I2223,nEVAL,"EX")=0),0))))</f>
      </c>
      <c r="H2223">
        <f>IF(DATOS!$G2223&lt;&gt;"EX",0,--(COUNTIFS(nNIA,DATOS!$A2223,nCURSO,DATOS!$D2223,nESPEC,DATOS!$E2223,nASIG,DATOS!$I2223,nEVAL,"OR")=0))</f>
      </c>
      <c r="I2223">
        <f>IF(DATOS!$I2223="","",IFERROR(VLOOKUP(DATOS!$I2223,CONFIG_ASIGNATURAS!$B$2:$J$91,9,FALSE()),""))</f>
      </c>
    </row>
    <row r="2224">
      <c r="F2224">
        <f>IF(DATOS!$A2224="","",DATOS!$A2224&amp;"|"&amp;DATOS!$D2224&amp;"|"&amp;DATOS!$E2224&amp;"|"&amp;DATOS!$I2224)</f>
      </c>
      <c r="G2224">
        <f>IF(DATOS!$A2224="",0,IF(CONFIG_METADATA!$B$4&lt;&gt;"OR+EX",--(DATOS!$G2224=CONFIG_METADATA!$B$4),IF(DATOS!$G2224="EX",1,IF(DATOS!$G2224="OR",--(COUNTIFS(nNIA,DATOS!$A2224,nCURSO,DATOS!$D2224,nESPEC,DATOS!$E2224,nASIG,DATOS!$I2224,nEVAL,"EX")=0),0))))</f>
      </c>
      <c r="H2224">
        <f>IF(DATOS!$G2224&lt;&gt;"EX",0,--(COUNTIFS(nNIA,DATOS!$A2224,nCURSO,DATOS!$D2224,nESPEC,DATOS!$E2224,nASIG,DATOS!$I2224,nEVAL,"OR")=0))</f>
      </c>
      <c r="I2224">
        <f>IF(DATOS!$I2224="","",IFERROR(VLOOKUP(DATOS!$I2224,CONFIG_ASIGNATURAS!$B$2:$J$91,9,FALSE()),""))</f>
      </c>
    </row>
    <row r="2225">
      <c r="F2225">
        <f>IF(DATOS!$A2225="","",DATOS!$A2225&amp;"|"&amp;DATOS!$D2225&amp;"|"&amp;DATOS!$E2225&amp;"|"&amp;DATOS!$I2225)</f>
      </c>
      <c r="G2225">
        <f>IF(DATOS!$A2225="",0,IF(CONFIG_METADATA!$B$4&lt;&gt;"OR+EX",--(DATOS!$G2225=CONFIG_METADATA!$B$4),IF(DATOS!$G2225="EX",1,IF(DATOS!$G2225="OR",--(COUNTIFS(nNIA,DATOS!$A2225,nCURSO,DATOS!$D2225,nESPEC,DATOS!$E2225,nASIG,DATOS!$I2225,nEVAL,"EX")=0),0))))</f>
      </c>
      <c r="H2225">
        <f>IF(DATOS!$G2225&lt;&gt;"EX",0,--(COUNTIFS(nNIA,DATOS!$A2225,nCURSO,DATOS!$D2225,nESPEC,DATOS!$E2225,nASIG,DATOS!$I2225,nEVAL,"OR")=0))</f>
      </c>
      <c r="I2225">
        <f>IF(DATOS!$I2225="","",IFERROR(VLOOKUP(DATOS!$I2225,CONFIG_ASIGNATURAS!$B$2:$J$91,9,FALSE()),""))</f>
      </c>
    </row>
    <row r="2226">
      <c r="F2226">
        <f>IF(DATOS!$A2226="","",DATOS!$A2226&amp;"|"&amp;DATOS!$D2226&amp;"|"&amp;DATOS!$E2226&amp;"|"&amp;DATOS!$I2226)</f>
      </c>
      <c r="G2226">
        <f>IF(DATOS!$A2226="",0,IF(CONFIG_METADATA!$B$4&lt;&gt;"OR+EX",--(DATOS!$G2226=CONFIG_METADATA!$B$4),IF(DATOS!$G2226="EX",1,IF(DATOS!$G2226="OR",--(COUNTIFS(nNIA,DATOS!$A2226,nCURSO,DATOS!$D2226,nESPEC,DATOS!$E2226,nASIG,DATOS!$I2226,nEVAL,"EX")=0),0))))</f>
      </c>
      <c r="H2226">
        <f>IF(DATOS!$G2226&lt;&gt;"EX",0,--(COUNTIFS(nNIA,DATOS!$A2226,nCURSO,DATOS!$D2226,nESPEC,DATOS!$E2226,nASIG,DATOS!$I2226,nEVAL,"OR")=0))</f>
      </c>
      <c r="I2226">
        <f>IF(DATOS!$I2226="","",IFERROR(VLOOKUP(DATOS!$I2226,CONFIG_ASIGNATURAS!$B$2:$J$91,9,FALSE()),""))</f>
      </c>
    </row>
    <row r="2227">
      <c r="F2227">
        <f>IF(DATOS!$A2227="","",DATOS!$A2227&amp;"|"&amp;DATOS!$D2227&amp;"|"&amp;DATOS!$E2227&amp;"|"&amp;DATOS!$I2227)</f>
      </c>
      <c r="G2227">
        <f>IF(DATOS!$A2227="",0,IF(CONFIG_METADATA!$B$4&lt;&gt;"OR+EX",--(DATOS!$G2227=CONFIG_METADATA!$B$4),IF(DATOS!$G2227="EX",1,IF(DATOS!$G2227="OR",--(COUNTIFS(nNIA,DATOS!$A2227,nCURSO,DATOS!$D2227,nESPEC,DATOS!$E2227,nASIG,DATOS!$I2227,nEVAL,"EX")=0),0))))</f>
      </c>
      <c r="H2227">
        <f>IF(DATOS!$G2227&lt;&gt;"EX",0,--(COUNTIFS(nNIA,DATOS!$A2227,nCURSO,DATOS!$D2227,nESPEC,DATOS!$E2227,nASIG,DATOS!$I2227,nEVAL,"OR")=0))</f>
      </c>
      <c r="I2227">
        <f>IF(DATOS!$I2227="","",IFERROR(VLOOKUP(DATOS!$I2227,CONFIG_ASIGNATURAS!$B$2:$J$91,9,FALSE()),""))</f>
      </c>
    </row>
    <row r="2228">
      <c r="F2228">
        <f>IF(DATOS!$A2228="","",DATOS!$A2228&amp;"|"&amp;DATOS!$D2228&amp;"|"&amp;DATOS!$E2228&amp;"|"&amp;DATOS!$I2228)</f>
      </c>
      <c r="G2228">
        <f>IF(DATOS!$A2228="",0,IF(CONFIG_METADATA!$B$4&lt;&gt;"OR+EX",--(DATOS!$G2228=CONFIG_METADATA!$B$4),IF(DATOS!$G2228="EX",1,IF(DATOS!$G2228="OR",--(COUNTIFS(nNIA,DATOS!$A2228,nCURSO,DATOS!$D2228,nESPEC,DATOS!$E2228,nASIG,DATOS!$I2228,nEVAL,"EX")=0),0))))</f>
      </c>
      <c r="H2228">
        <f>IF(DATOS!$G2228&lt;&gt;"EX",0,--(COUNTIFS(nNIA,DATOS!$A2228,nCURSO,DATOS!$D2228,nESPEC,DATOS!$E2228,nASIG,DATOS!$I2228,nEVAL,"OR")=0))</f>
      </c>
      <c r="I2228">
        <f>IF(DATOS!$I2228="","",IFERROR(VLOOKUP(DATOS!$I2228,CONFIG_ASIGNATURAS!$B$2:$J$91,9,FALSE()),""))</f>
      </c>
    </row>
    <row r="2229">
      <c r="F2229">
        <f>IF(DATOS!$A2229="","",DATOS!$A2229&amp;"|"&amp;DATOS!$D2229&amp;"|"&amp;DATOS!$E2229&amp;"|"&amp;DATOS!$I2229)</f>
      </c>
      <c r="G2229">
        <f>IF(DATOS!$A2229="",0,IF(CONFIG_METADATA!$B$4&lt;&gt;"OR+EX",--(DATOS!$G2229=CONFIG_METADATA!$B$4),IF(DATOS!$G2229="EX",1,IF(DATOS!$G2229="OR",--(COUNTIFS(nNIA,DATOS!$A2229,nCURSO,DATOS!$D2229,nESPEC,DATOS!$E2229,nASIG,DATOS!$I2229,nEVAL,"EX")=0),0))))</f>
      </c>
      <c r="H2229">
        <f>IF(DATOS!$G2229&lt;&gt;"EX",0,--(COUNTIFS(nNIA,DATOS!$A2229,nCURSO,DATOS!$D2229,nESPEC,DATOS!$E2229,nASIG,DATOS!$I2229,nEVAL,"OR")=0))</f>
      </c>
      <c r="I2229">
        <f>IF(DATOS!$I2229="","",IFERROR(VLOOKUP(DATOS!$I2229,CONFIG_ASIGNATURAS!$B$2:$J$91,9,FALSE()),""))</f>
      </c>
    </row>
    <row r="2230">
      <c r="F2230">
        <f>IF(DATOS!$A2230="","",DATOS!$A2230&amp;"|"&amp;DATOS!$D2230&amp;"|"&amp;DATOS!$E2230&amp;"|"&amp;DATOS!$I2230)</f>
      </c>
      <c r="G2230">
        <f>IF(DATOS!$A2230="",0,IF(CONFIG_METADATA!$B$4&lt;&gt;"OR+EX",--(DATOS!$G2230=CONFIG_METADATA!$B$4),IF(DATOS!$G2230="EX",1,IF(DATOS!$G2230="OR",--(COUNTIFS(nNIA,DATOS!$A2230,nCURSO,DATOS!$D2230,nESPEC,DATOS!$E2230,nASIG,DATOS!$I2230,nEVAL,"EX")=0),0))))</f>
      </c>
      <c r="H2230">
        <f>IF(DATOS!$G2230&lt;&gt;"EX",0,--(COUNTIFS(nNIA,DATOS!$A2230,nCURSO,DATOS!$D2230,nESPEC,DATOS!$E2230,nASIG,DATOS!$I2230,nEVAL,"OR")=0))</f>
      </c>
      <c r="I2230">
        <f>IF(DATOS!$I2230="","",IFERROR(VLOOKUP(DATOS!$I2230,CONFIG_ASIGNATURAS!$B$2:$J$91,9,FALSE()),""))</f>
      </c>
    </row>
    <row r="2231">
      <c r="F2231">
        <f>IF(DATOS!$A2231="","",DATOS!$A2231&amp;"|"&amp;DATOS!$D2231&amp;"|"&amp;DATOS!$E2231&amp;"|"&amp;DATOS!$I2231)</f>
      </c>
      <c r="G2231">
        <f>IF(DATOS!$A2231="",0,IF(CONFIG_METADATA!$B$4&lt;&gt;"OR+EX",--(DATOS!$G2231=CONFIG_METADATA!$B$4),IF(DATOS!$G2231="EX",1,IF(DATOS!$G2231="OR",--(COUNTIFS(nNIA,DATOS!$A2231,nCURSO,DATOS!$D2231,nESPEC,DATOS!$E2231,nASIG,DATOS!$I2231,nEVAL,"EX")=0),0))))</f>
      </c>
      <c r="H2231">
        <f>IF(DATOS!$G2231&lt;&gt;"EX",0,--(COUNTIFS(nNIA,DATOS!$A2231,nCURSO,DATOS!$D2231,nESPEC,DATOS!$E2231,nASIG,DATOS!$I2231,nEVAL,"OR")=0))</f>
      </c>
      <c r="I2231">
        <f>IF(DATOS!$I2231="","",IFERROR(VLOOKUP(DATOS!$I2231,CONFIG_ASIGNATURAS!$B$2:$J$91,9,FALSE()),""))</f>
      </c>
    </row>
    <row r="2232">
      <c r="F2232">
        <f>IF(DATOS!$A2232="","",DATOS!$A2232&amp;"|"&amp;DATOS!$D2232&amp;"|"&amp;DATOS!$E2232&amp;"|"&amp;DATOS!$I2232)</f>
      </c>
      <c r="G2232">
        <f>IF(DATOS!$A2232="",0,IF(CONFIG_METADATA!$B$4&lt;&gt;"OR+EX",--(DATOS!$G2232=CONFIG_METADATA!$B$4),IF(DATOS!$G2232="EX",1,IF(DATOS!$G2232="OR",--(COUNTIFS(nNIA,DATOS!$A2232,nCURSO,DATOS!$D2232,nESPEC,DATOS!$E2232,nASIG,DATOS!$I2232,nEVAL,"EX")=0),0))))</f>
      </c>
      <c r="H2232">
        <f>IF(DATOS!$G2232&lt;&gt;"EX",0,--(COUNTIFS(nNIA,DATOS!$A2232,nCURSO,DATOS!$D2232,nESPEC,DATOS!$E2232,nASIG,DATOS!$I2232,nEVAL,"OR")=0))</f>
      </c>
      <c r="I2232">
        <f>IF(DATOS!$I2232="","",IFERROR(VLOOKUP(DATOS!$I2232,CONFIG_ASIGNATURAS!$B$2:$J$91,9,FALSE()),""))</f>
      </c>
    </row>
    <row r="2233">
      <c r="F2233">
        <f>IF(DATOS!$A2233="","",DATOS!$A2233&amp;"|"&amp;DATOS!$D2233&amp;"|"&amp;DATOS!$E2233&amp;"|"&amp;DATOS!$I2233)</f>
      </c>
      <c r="G2233">
        <f>IF(DATOS!$A2233="",0,IF(CONFIG_METADATA!$B$4&lt;&gt;"OR+EX",--(DATOS!$G2233=CONFIG_METADATA!$B$4),IF(DATOS!$G2233="EX",1,IF(DATOS!$G2233="OR",--(COUNTIFS(nNIA,DATOS!$A2233,nCURSO,DATOS!$D2233,nESPEC,DATOS!$E2233,nASIG,DATOS!$I2233,nEVAL,"EX")=0),0))))</f>
      </c>
      <c r="H2233">
        <f>IF(DATOS!$G2233&lt;&gt;"EX",0,--(COUNTIFS(nNIA,DATOS!$A2233,nCURSO,DATOS!$D2233,nESPEC,DATOS!$E2233,nASIG,DATOS!$I2233,nEVAL,"OR")=0))</f>
      </c>
      <c r="I2233">
        <f>IF(DATOS!$I2233="","",IFERROR(VLOOKUP(DATOS!$I2233,CONFIG_ASIGNATURAS!$B$2:$J$91,9,FALSE()),""))</f>
      </c>
    </row>
    <row r="2234">
      <c r="F2234">
        <f>IF(DATOS!$A2234="","",DATOS!$A2234&amp;"|"&amp;DATOS!$D2234&amp;"|"&amp;DATOS!$E2234&amp;"|"&amp;DATOS!$I2234)</f>
      </c>
      <c r="G2234">
        <f>IF(DATOS!$A2234="",0,IF(CONFIG_METADATA!$B$4&lt;&gt;"OR+EX",--(DATOS!$G2234=CONFIG_METADATA!$B$4),IF(DATOS!$G2234="EX",1,IF(DATOS!$G2234="OR",--(COUNTIFS(nNIA,DATOS!$A2234,nCURSO,DATOS!$D2234,nESPEC,DATOS!$E2234,nASIG,DATOS!$I2234,nEVAL,"EX")=0),0))))</f>
      </c>
      <c r="H2234">
        <f>IF(DATOS!$G2234&lt;&gt;"EX",0,--(COUNTIFS(nNIA,DATOS!$A2234,nCURSO,DATOS!$D2234,nESPEC,DATOS!$E2234,nASIG,DATOS!$I2234,nEVAL,"OR")=0))</f>
      </c>
      <c r="I2234">
        <f>IF(DATOS!$I2234="","",IFERROR(VLOOKUP(DATOS!$I2234,CONFIG_ASIGNATURAS!$B$2:$J$91,9,FALSE()),""))</f>
      </c>
    </row>
    <row r="2235">
      <c r="F2235">
        <f>IF(DATOS!$A2235="","",DATOS!$A2235&amp;"|"&amp;DATOS!$D2235&amp;"|"&amp;DATOS!$E2235&amp;"|"&amp;DATOS!$I2235)</f>
      </c>
      <c r="G2235">
        <f>IF(DATOS!$A2235="",0,IF(CONFIG_METADATA!$B$4&lt;&gt;"OR+EX",--(DATOS!$G2235=CONFIG_METADATA!$B$4),IF(DATOS!$G2235="EX",1,IF(DATOS!$G2235="OR",--(COUNTIFS(nNIA,DATOS!$A2235,nCURSO,DATOS!$D2235,nESPEC,DATOS!$E2235,nASIG,DATOS!$I2235,nEVAL,"EX")=0),0))))</f>
      </c>
      <c r="H2235">
        <f>IF(DATOS!$G2235&lt;&gt;"EX",0,--(COUNTIFS(nNIA,DATOS!$A2235,nCURSO,DATOS!$D2235,nESPEC,DATOS!$E2235,nASIG,DATOS!$I2235,nEVAL,"OR")=0))</f>
      </c>
      <c r="I2235">
        <f>IF(DATOS!$I2235="","",IFERROR(VLOOKUP(DATOS!$I2235,CONFIG_ASIGNATURAS!$B$2:$J$91,9,FALSE()),""))</f>
      </c>
    </row>
    <row r="2236">
      <c r="F2236">
        <f>IF(DATOS!$A2236="","",DATOS!$A2236&amp;"|"&amp;DATOS!$D2236&amp;"|"&amp;DATOS!$E2236&amp;"|"&amp;DATOS!$I2236)</f>
      </c>
      <c r="G2236">
        <f>IF(DATOS!$A2236="",0,IF(CONFIG_METADATA!$B$4&lt;&gt;"OR+EX",--(DATOS!$G2236=CONFIG_METADATA!$B$4),IF(DATOS!$G2236="EX",1,IF(DATOS!$G2236="OR",--(COUNTIFS(nNIA,DATOS!$A2236,nCURSO,DATOS!$D2236,nESPEC,DATOS!$E2236,nASIG,DATOS!$I2236,nEVAL,"EX")=0),0))))</f>
      </c>
      <c r="H2236">
        <f>IF(DATOS!$G2236&lt;&gt;"EX",0,--(COUNTIFS(nNIA,DATOS!$A2236,nCURSO,DATOS!$D2236,nESPEC,DATOS!$E2236,nASIG,DATOS!$I2236,nEVAL,"OR")=0))</f>
      </c>
      <c r="I2236">
        <f>IF(DATOS!$I2236="","",IFERROR(VLOOKUP(DATOS!$I2236,CONFIG_ASIGNATURAS!$B$2:$J$91,9,FALSE()),""))</f>
      </c>
    </row>
    <row r="2237">
      <c r="F2237">
        <f>IF(DATOS!$A2237="","",DATOS!$A2237&amp;"|"&amp;DATOS!$D2237&amp;"|"&amp;DATOS!$E2237&amp;"|"&amp;DATOS!$I2237)</f>
      </c>
      <c r="G2237">
        <f>IF(DATOS!$A2237="",0,IF(CONFIG_METADATA!$B$4&lt;&gt;"OR+EX",--(DATOS!$G2237=CONFIG_METADATA!$B$4),IF(DATOS!$G2237="EX",1,IF(DATOS!$G2237="OR",--(COUNTIFS(nNIA,DATOS!$A2237,nCURSO,DATOS!$D2237,nESPEC,DATOS!$E2237,nASIG,DATOS!$I2237,nEVAL,"EX")=0),0))))</f>
      </c>
      <c r="H2237">
        <f>IF(DATOS!$G2237&lt;&gt;"EX",0,--(COUNTIFS(nNIA,DATOS!$A2237,nCURSO,DATOS!$D2237,nESPEC,DATOS!$E2237,nASIG,DATOS!$I2237,nEVAL,"OR")=0))</f>
      </c>
      <c r="I2237">
        <f>IF(DATOS!$I2237="","",IFERROR(VLOOKUP(DATOS!$I2237,CONFIG_ASIGNATURAS!$B$2:$J$91,9,FALSE()),""))</f>
      </c>
    </row>
    <row r="2238">
      <c r="F2238">
        <f>IF(DATOS!$A2238="","",DATOS!$A2238&amp;"|"&amp;DATOS!$D2238&amp;"|"&amp;DATOS!$E2238&amp;"|"&amp;DATOS!$I2238)</f>
      </c>
      <c r="G2238">
        <f>IF(DATOS!$A2238="",0,IF(CONFIG_METADATA!$B$4&lt;&gt;"OR+EX",--(DATOS!$G2238=CONFIG_METADATA!$B$4),IF(DATOS!$G2238="EX",1,IF(DATOS!$G2238="OR",--(COUNTIFS(nNIA,DATOS!$A2238,nCURSO,DATOS!$D2238,nESPEC,DATOS!$E2238,nASIG,DATOS!$I2238,nEVAL,"EX")=0),0))))</f>
      </c>
      <c r="H2238">
        <f>IF(DATOS!$G2238&lt;&gt;"EX",0,--(COUNTIFS(nNIA,DATOS!$A2238,nCURSO,DATOS!$D2238,nESPEC,DATOS!$E2238,nASIG,DATOS!$I2238,nEVAL,"OR")=0))</f>
      </c>
      <c r="I2238">
        <f>IF(DATOS!$I2238="","",IFERROR(VLOOKUP(DATOS!$I2238,CONFIG_ASIGNATURAS!$B$2:$J$91,9,FALSE()),""))</f>
      </c>
    </row>
    <row r="2239">
      <c r="F2239">
        <f>IF(DATOS!$A2239="","",DATOS!$A2239&amp;"|"&amp;DATOS!$D2239&amp;"|"&amp;DATOS!$E2239&amp;"|"&amp;DATOS!$I2239)</f>
      </c>
      <c r="G2239">
        <f>IF(DATOS!$A2239="",0,IF(CONFIG_METADATA!$B$4&lt;&gt;"OR+EX",--(DATOS!$G2239=CONFIG_METADATA!$B$4),IF(DATOS!$G2239="EX",1,IF(DATOS!$G2239="OR",--(COUNTIFS(nNIA,DATOS!$A2239,nCURSO,DATOS!$D2239,nESPEC,DATOS!$E2239,nASIG,DATOS!$I2239,nEVAL,"EX")=0),0))))</f>
      </c>
      <c r="H2239">
        <f>IF(DATOS!$G2239&lt;&gt;"EX",0,--(COUNTIFS(nNIA,DATOS!$A2239,nCURSO,DATOS!$D2239,nESPEC,DATOS!$E2239,nASIG,DATOS!$I2239,nEVAL,"OR")=0))</f>
      </c>
      <c r="I2239">
        <f>IF(DATOS!$I2239="","",IFERROR(VLOOKUP(DATOS!$I2239,CONFIG_ASIGNATURAS!$B$2:$J$91,9,FALSE()),""))</f>
      </c>
    </row>
    <row r="2240">
      <c r="F2240">
        <f>IF(DATOS!$A2240="","",DATOS!$A2240&amp;"|"&amp;DATOS!$D2240&amp;"|"&amp;DATOS!$E2240&amp;"|"&amp;DATOS!$I2240)</f>
      </c>
      <c r="G2240">
        <f>IF(DATOS!$A2240="",0,IF(CONFIG_METADATA!$B$4&lt;&gt;"OR+EX",--(DATOS!$G2240=CONFIG_METADATA!$B$4),IF(DATOS!$G2240="EX",1,IF(DATOS!$G2240="OR",--(COUNTIFS(nNIA,DATOS!$A2240,nCURSO,DATOS!$D2240,nESPEC,DATOS!$E2240,nASIG,DATOS!$I2240,nEVAL,"EX")=0),0))))</f>
      </c>
      <c r="H2240">
        <f>IF(DATOS!$G2240&lt;&gt;"EX",0,--(COUNTIFS(nNIA,DATOS!$A2240,nCURSO,DATOS!$D2240,nESPEC,DATOS!$E2240,nASIG,DATOS!$I2240,nEVAL,"OR")=0))</f>
      </c>
      <c r="I2240">
        <f>IF(DATOS!$I2240="","",IFERROR(VLOOKUP(DATOS!$I2240,CONFIG_ASIGNATURAS!$B$2:$J$91,9,FALSE()),""))</f>
      </c>
    </row>
    <row r="2241">
      <c r="F2241">
        <f>IF(DATOS!$A2241="","",DATOS!$A2241&amp;"|"&amp;DATOS!$D2241&amp;"|"&amp;DATOS!$E2241&amp;"|"&amp;DATOS!$I2241)</f>
      </c>
      <c r="G2241">
        <f>IF(DATOS!$A2241="",0,IF(CONFIG_METADATA!$B$4&lt;&gt;"OR+EX",--(DATOS!$G2241=CONFIG_METADATA!$B$4),IF(DATOS!$G2241="EX",1,IF(DATOS!$G2241="OR",--(COUNTIFS(nNIA,DATOS!$A2241,nCURSO,DATOS!$D2241,nESPEC,DATOS!$E2241,nASIG,DATOS!$I2241,nEVAL,"EX")=0),0))))</f>
      </c>
      <c r="H2241">
        <f>IF(DATOS!$G2241&lt;&gt;"EX",0,--(COUNTIFS(nNIA,DATOS!$A2241,nCURSO,DATOS!$D2241,nESPEC,DATOS!$E2241,nASIG,DATOS!$I2241,nEVAL,"OR")=0))</f>
      </c>
      <c r="I2241">
        <f>IF(DATOS!$I2241="","",IFERROR(VLOOKUP(DATOS!$I2241,CONFIG_ASIGNATURAS!$B$2:$J$91,9,FALSE()),""))</f>
      </c>
    </row>
    <row r="2242">
      <c r="F2242">
        <f>IF(DATOS!$A2242="","",DATOS!$A2242&amp;"|"&amp;DATOS!$D2242&amp;"|"&amp;DATOS!$E2242&amp;"|"&amp;DATOS!$I2242)</f>
      </c>
      <c r="G2242">
        <f>IF(DATOS!$A2242="",0,IF(CONFIG_METADATA!$B$4&lt;&gt;"OR+EX",--(DATOS!$G2242=CONFIG_METADATA!$B$4),IF(DATOS!$G2242="EX",1,IF(DATOS!$G2242="OR",--(COUNTIFS(nNIA,DATOS!$A2242,nCURSO,DATOS!$D2242,nESPEC,DATOS!$E2242,nASIG,DATOS!$I2242,nEVAL,"EX")=0),0))))</f>
      </c>
      <c r="H2242">
        <f>IF(DATOS!$G2242&lt;&gt;"EX",0,--(COUNTIFS(nNIA,DATOS!$A2242,nCURSO,DATOS!$D2242,nESPEC,DATOS!$E2242,nASIG,DATOS!$I2242,nEVAL,"OR")=0))</f>
      </c>
      <c r="I2242">
        <f>IF(DATOS!$I2242="","",IFERROR(VLOOKUP(DATOS!$I2242,CONFIG_ASIGNATURAS!$B$2:$J$91,9,FALSE()),""))</f>
      </c>
    </row>
    <row r="2243">
      <c r="F2243">
        <f>IF(DATOS!$A2243="","",DATOS!$A2243&amp;"|"&amp;DATOS!$D2243&amp;"|"&amp;DATOS!$E2243&amp;"|"&amp;DATOS!$I2243)</f>
      </c>
      <c r="G2243">
        <f>IF(DATOS!$A2243="",0,IF(CONFIG_METADATA!$B$4&lt;&gt;"OR+EX",--(DATOS!$G2243=CONFIG_METADATA!$B$4),IF(DATOS!$G2243="EX",1,IF(DATOS!$G2243="OR",--(COUNTIFS(nNIA,DATOS!$A2243,nCURSO,DATOS!$D2243,nESPEC,DATOS!$E2243,nASIG,DATOS!$I2243,nEVAL,"EX")=0),0))))</f>
      </c>
      <c r="H2243">
        <f>IF(DATOS!$G2243&lt;&gt;"EX",0,--(COUNTIFS(nNIA,DATOS!$A2243,nCURSO,DATOS!$D2243,nESPEC,DATOS!$E2243,nASIG,DATOS!$I2243,nEVAL,"OR")=0))</f>
      </c>
      <c r="I2243">
        <f>IF(DATOS!$I2243="","",IFERROR(VLOOKUP(DATOS!$I2243,CONFIG_ASIGNATURAS!$B$2:$J$91,9,FALSE()),""))</f>
      </c>
    </row>
    <row r="2244">
      <c r="F2244">
        <f>IF(DATOS!$A2244="","",DATOS!$A2244&amp;"|"&amp;DATOS!$D2244&amp;"|"&amp;DATOS!$E2244&amp;"|"&amp;DATOS!$I2244)</f>
      </c>
      <c r="G2244">
        <f>IF(DATOS!$A2244="",0,IF(CONFIG_METADATA!$B$4&lt;&gt;"OR+EX",--(DATOS!$G2244=CONFIG_METADATA!$B$4),IF(DATOS!$G2244="EX",1,IF(DATOS!$G2244="OR",--(COUNTIFS(nNIA,DATOS!$A2244,nCURSO,DATOS!$D2244,nESPEC,DATOS!$E2244,nASIG,DATOS!$I2244,nEVAL,"EX")=0),0))))</f>
      </c>
      <c r="H2244">
        <f>IF(DATOS!$G2244&lt;&gt;"EX",0,--(COUNTIFS(nNIA,DATOS!$A2244,nCURSO,DATOS!$D2244,nESPEC,DATOS!$E2244,nASIG,DATOS!$I2244,nEVAL,"OR")=0))</f>
      </c>
      <c r="I2244">
        <f>IF(DATOS!$I2244="","",IFERROR(VLOOKUP(DATOS!$I2244,CONFIG_ASIGNATURAS!$B$2:$J$91,9,FALSE()),""))</f>
      </c>
    </row>
    <row r="2245">
      <c r="F2245">
        <f>IF(DATOS!$A2245="","",DATOS!$A2245&amp;"|"&amp;DATOS!$D2245&amp;"|"&amp;DATOS!$E2245&amp;"|"&amp;DATOS!$I2245)</f>
      </c>
      <c r="G2245">
        <f>IF(DATOS!$A2245="",0,IF(CONFIG_METADATA!$B$4&lt;&gt;"OR+EX",--(DATOS!$G2245=CONFIG_METADATA!$B$4),IF(DATOS!$G2245="EX",1,IF(DATOS!$G2245="OR",--(COUNTIFS(nNIA,DATOS!$A2245,nCURSO,DATOS!$D2245,nESPEC,DATOS!$E2245,nASIG,DATOS!$I2245,nEVAL,"EX")=0),0))))</f>
      </c>
      <c r="H2245">
        <f>IF(DATOS!$G2245&lt;&gt;"EX",0,--(COUNTIFS(nNIA,DATOS!$A2245,nCURSO,DATOS!$D2245,nESPEC,DATOS!$E2245,nASIG,DATOS!$I2245,nEVAL,"OR")=0))</f>
      </c>
      <c r="I2245">
        <f>IF(DATOS!$I2245="","",IFERROR(VLOOKUP(DATOS!$I2245,CONFIG_ASIGNATURAS!$B$2:$J$91,9,FALSE()),""))</f>
      </c>
    </row>
    <row r="2246">
      <c r="F2246">
        <f>IF(DATOS!$A2246="","",DATOS!$A2246&amp;"|"&amp;DATOS!$D2246&amp;"|"&amp;DATOS!$E2246&amp;"|"&amp;DATOS!$I2246)</f>
      </c>
      <c r="G2246">
        <f>IF(DATOS!$A2246="",0,IF(CONFIG_METADATA!$B$4&lt;&gt;"OR+EX",--(DATOS!$G2246=CONFIG_METADATA!$B$4),IF(DATOS!$G2246="EX",1,IF(DATOS!$G2246="OR",--(COUNTIFS(nNIA,DATOS!$A2246,nCURSO,DATOS!$D2246,nESPEC,DATOS!$E2246,nASIG,DATOS!$I2246,nEVAL,"EX")=0),0))))</f>
      </c>
      <c r="H2246">
        <f>IF(DATOS!$G2246&lt;&gt;"EX",0,--(COUNTIFS(nNIA,DATOS!$A2246,nCURSO,DATOS!$D2246,nESPEC,DATOS!$E2246,nASIG,DATOS!$I2246,nEVAL,"OR")=0))</f>
      </c>
      <c r="I2246">
        <f>IF(DATOS!$I2246="","",IFERROR(VLOOKUP(DATOS!$I2246,CONFIG_ASIGNATURAS!$B$2:$J$91,9,FALSE()),""))</f>
      </c>
    </row>
    <row r="2247">
      <c r="F2247">
        <f>IF(DATOS!$A2247="","",DATOS!$A2247&amp;"|"&amp;DATOS!$D2247&amp;"|"&amp;DATOS!$E2247&amp;"|"&amp;DATOS!$I2247)</f>
      </c>
      <c r="G2247">
        <f>IF(DATOS!$A2247="",0,IF(CONFIG_METADATA!$B$4&lt;&gt;"OR+EX",--(DATOS!$G2247=CONFIG_METADATA!$B$4),IF(DATOS!$G2247="EX",1,IF(DATOS!$G2247="OR",--(COUNTIFS(nNIA,DATOS!$A2247,nCURSO,DATOS!$D2247,nESPEC,DATOS!$E2247,nASIG,DATOS!$I2247,nEVAL,"EX")=0),0))))</f>
      </c>
      <c r="H2247">
        <f>IF(DATOS!$G2247&lt;&gt;"EX",0,--(COUNTIFS(nNIA,DATOS!$A2247,nCURSO,DATOS!$D2247,nESPEC,DATOS!$E2247,nASIG,DATOS!$I2247,nEVAL,"OR")=0))</f>
      </c>
      <c r="I2247">
        <f>IF(DATOS!$I2247="","",IFERROR(VLOOKUP(DATOS!$I2247,CONFIG_ASIGNATURAS!$B$2:$J$91,9,FALSE()),""))</f>
      </c>
    </row>
    <row r="2248">
      <c r="F2248">
        <f>IF(DATOS!$A2248="","",DATOS!$A2248&amp;"|"&amp;DATOS!$D2248&amp;"|"&amp;DATOS!$E2248&amp;"|"&amp;DATOS!$I2248)</f>
      </c>
      <c r="G2248">
        <f>IF(DATOS!$A2248="",0,IF(CONFIG_METADATA!$B$4&lt;&gt;"OR+EX",--(DATOS!$G2248=CONFIG_METADATA!$B$4),IF(DATOS!$G2248="EX",1,IF(DATOS!$G2248="OR",--(COUNTIFS(nNIA,DATOS!$A2248,nCURSO,DATOS!$D2248,nESPEC,DATOS!$E2248,nASIG,DATOS!$I2248,nEVAL,"EX")=0),0))))</f>
      </c>
      <c r="H2248">
        <f>IF(DATOS!$G2248&lt;&gt;"EX",0,--(COUNTIFS(nNIA,DATOS!$A2248,nCURSO,DATOS!$D2248,nESPEC,DATOS!$E2248,nASIG,DATOS!$I2248,nEVAL,"OR")=0))</f>
      </c>
      <c r="I2248">
        <f>IF(DATOS!$I2248="","",IFERROR(VLOOKUP(DATOS!$I2248,CONFIG_ASIGNATURAS!$B$2:$J$91,9,FALSE()),""))</f>
      </c>
    </row>
    <row r="2249">
      <c r="F2249">
        <f>IF(DATOS!$A2249="","",DATOS!$A2249&amp;"|"&amp;DATOS!$D2249&amp;"|"&amp;DATOS!$E2249&amp;"|"&amp;DATOS!$I2249)</f>
      </c>
      <c r="G2249">
        <f>IF(DATOS!$A2249="",0,IF(CONFIG_METADATA!$B$4&lt;&gt;"OR+EX",--(DATOS!$G2249=CONFIG_METADATA!$B$4),IF(DATOS!$G2249="EX",1,IF(DATOS!$G2249="OR",--(COUNTIFS(nNIA,DATOS!$A2249,nCURSO,DATOS!$D2249,nESPEC,DATOS!$E2249,nASIG,DATOS!$I2249,nEVAL,"EX")=0),0))))</f>
      </c>
      <c r="H2249">
        <f>IF(DATOS!$G2249&lt;&gt;"EX",0,--(COUNTIFS(nNIA,DATOS!$A2249,nCURSO,DATOS!$D2249,nESPEC,DATOS!$E2249,nASIG,DATOS!$I2249,nEVAL,"OR")=0))</f>
      </c>
      <c r="I2249">
        <f>IF(DATOS!$I2249="","",IFERROR(VLOOKUP(DATOS!$I2249,CONFIG_ASIGNATURAS!$B$2:$J$91,9,FALSE()),""))</f>
      </c>
    </row>
    <row r="2250">
      <c r="F2250">
        <f>IF(DATOS!$A2250="","",DATOS!$A2250&amp;"|"&amp;DATOS!$D2250&amp;"|"&amp;DATOS!$E2250&amp;"|"&amp;DATOS!$I2250)</f>
      </c>
      <c r="G2250">
        <f>IF(DATOS!$A2250="",0,IF(CONFIG_METADATA!$B$4&lt;&gt;"OR+EX",--(DATOS!$G2250=CONFIG_METADATA!$B$4),IF(DATOS!$G2250="EX",1,IF(DATOS!$G2250="OR",--(COUNTIFS(nNIA,DATOS!$A2250,nCURSO,DATOS!$D2250,nESPEC,DATOS!$E2250,nASIG,DATOS!$I2250,nEVAL,"EX")=0),0))))</f>
      </c>
      <c r="H2250">
        <f>IF(DATOS!$G2250&lt;&gt;"EX",0,--(COUNTIFS(nNIA,DATOS!$A2250,nCURSO,DATOS!$D2250,nESPEC,DATOS!$E2250,nASIG,DATOS!$I2250,nEVAL,"OR")=0))</f>
      </c>
      <c r="I2250">
        <f>IF(DATOS!$I2250="","",IFERROR(VLOOKUP(DATOS!$I2250,CONFIG_ASIGNATURAS!$B$2:$J$91,9,FALSE()),""))</f>
      </c>
    </row>
    <row r="2251">
      <c r="F2251">
        <f>IF(DATOS!$A2251="","",DATOS!$A2251&amp;"|"&amp;DATOS!$D2251&amp;"|"&amp;DATOS!$E2251&amp;"|"&amp;DATOS!$I2251)</f>
      </c>
      <c r="G2251">
        <f>IF(DATOS!$A2251="",0,IF(CONFIG_METADATA!$B$4&lt;&gt;"OR+EX",--(DATOS!$G2251=CONFIG_METADATA!$B$4),IF(DATOS!$G2251="EX",1,IF(DATOS!$G2251="OR",--(COUNTIFS(nNIA,DATOS!$A2251,nCURSO,DATOS!$D2251,nESPEC,DATOS!$E2251,nASIG,DATOS!$I2251,nEVAL,"EX")=0),0))))</f>
      </c>
      <c r="H2251">
        <f>IF(DATOS!$G2251&lt;&gt;"EX",0,--(COUNTIFS(nNIA,DATOS!$A2251,nCURSO,DATOS!$D2251,nESPEC,DATOS!$E2251,nASIG,DATOS!$I2251,nEVAL,"OR")=0))</f>
      </c>
      <c r="I2251">
        <f>IF(DATOS!$I2251="","",IFERROR(VLOOKUP(DATOS!$I2251,CONFIG_ASIGNATURAS!$B$2:$J$91,9,FALSE()),""))</f>
      </c>
    </row>
    <row r="2252">
      <c r="F2252">
        <f>IF(DATOS!$A2252="","",DATOS!$A2252&amp;"|"&amp;DATOS!$D2252&amp;"|"&amp;DATOS!$E2252&amp;"|"&amp;DATOS!$I2252)</f>
      </c>
      <c r="G2252">
        <f>IF(DATOS!$A2252="",0,IF(CONFIG_METADATA!$B$4&lt;&gt;"OR+EX",--(DATOS!$G2252=CONFIG_METADATA!$B$4),IF(DATOS!$G2252="EX",1,IF(DATOS!$G2252="OR",--(COUNTIFS(nNIA,DATOS!$A2252,nCURSO,DATOS!$D2252,nESPEC,DATOS!$E2252,nASIG,DATOS!$I2252,nEVAL,"EX")=0),0))))</f>
      </c>
      <c r="H2252">
        <f>IF(DATOS!$G2252&lt;&gt;"EX",0,--(COUNTIFS(nNIA,DATOS!$A2252,nCURSO,DATOS!$D2252,nESPEC,DATOS!$E2252,nASIG,DATOS!$I2252,nEVAL,"OR")=0))</f>
      </c>
      <c r="I2252">
        <f>IF(DATOS!$I2252="","",IFERROR(VLOOKUP(DATOS!$I2252,CONFIG_ASIGNATURAS!$B$2:$J$91,9,FALSE()),""))</f>
      </c>
    </row>
    <row r="2253">
      <c r="F2253">
        <f>IF(DATOS!$A2253="","",DATOS!$A2253&amp;"|"&amp;DATOS!$D2253&amp;"|"&amp;DATOS!$E2253&amp;"|"&amp;DATOS!$I2253)</f>
      </c>
      <c r="G2253">
        <f>IF(DATOS!$A2253="",0,IF(CONFIG_METADATA!$B$4&lt;&gt;"OR+EX",--(DATOS!$G2253=CONFIG_METADATA!$B$4),IF(DATOS!$G2253="EX",1,IF(DATOS!$G2253="OR",--(COUNTIFS(nNIA,DATOS!$A2253,nCURSO,DATOS!$D2253,nESPEC,DATOS!$E2253,nASIG,DATOS!$I2253,nEVAL,"EX")=0),0))))</f>
      </c>
      <c r="H2253">
        <f>IF(DATOS!$G2253&lt;&gt;"EX",0,--(COUNTIFS(nNIA,DATOS!$A2253,nCURSO,DATOS!$D2253,nESPEC,DATOS!$E2253,nASIG,DATOS!$I2253,nEVAL,"OR")=0))</f>
      </c>
      <c r="I2253">
        <f>IF(DATOS!$I2253="","",IFERROR(VLOOKUP(DATOS!$I2253,CONFIG_ASIGNATURAS!$B$2:$J$91,9,FALSE()),""))</f>
      </c>
    </row>
    <row r="2254">
      <c r="F2254">
        <f>IF(DATOS!$A2254="","",DATOS!$A2254&amp;"|"&amp;DATOS!$D2254&amp;"|"&amp;DATOS!$E2254&amp;"|"&amp;DATOS!$I2254)</f>
      </c>
      <c r="G2254">
        <f>IF(DATOS!$A2254="",0,IF(CONFIG_METADATA!$B$4&lt;&gt;"OR+EX",--(DATOS!$G2254=CONFIG_METADATA!$B$4),IF(DATOS!$G2254="EX",1,IF(DATOS!$G2254="OR",--(COUNTIFS(nNIA,DATOS!$A2254,nCURSO,DATOS!$D2254,nESPEC,DATOS!$E2254,nASIG,DATOS!$I2254,nEVAL,"EX")=0),0))))</f>
      </c>
      <c r="H2254">
        <f>IF(DATOS!$G2254&lt;&gt;"EX",0,--(COUNTIFS(nNIA,DATOS!$A2254,nCURSO,DATOS!$D2254,nESPEC,DATOS!$E2254,nASIG,DATOS!$I2254,nEVAL,"OR")=0))</f>
      </c>
      <c r="I2254">
        <f>IF(DATOS!$I2254="","",IFERROR(VLOOKUP(DATOS!$I2254,CONFIG_ASIGNATURAS!$B$2:$J$91,9,FALSE()),""))</f>
      </c>
    </row>
    <row r="2255">
      <c r="F2255">
        <f>IF(DATOS!$A2255="","",DATOS!$A2255&amp;"|"&amp;DATOS!$D2255&amp;"|"&amp;DATOS!$E2255&amp;"|"&amp;DATOS!$I2255)</f>
      </c>
      <c r="G2255">
        <f>IF(DATOS!$A2255="",0,IF(CONFIG_METADATA!$B$4&lt;&gt;"OR+EX",--(DATOS!$G2255=CONFIG_METADATA!$B$4),IF(DATOS!$G2255="EX",1,IF(DATOS!$G2255="OR",--(COUNTIFS(nNIA,DATOS!$A2255,nCURSO,DATOS!$D2255,nESPEC,DATOS!$E2255,nASIG,DATOS!$I2255,nEVAL,"EX")=0),0))))</f>
      </c>
      <c r="H2255">
        <f>IF(DATOS!$G2255&lt;&gt;"EX",0,--(COUNTIFS(nNIA,DATOS!$A2255,nCURSO,DATOS!$D2255,nESPEC,DATOS!$E2255,nASIG,DATOS!$I2255,nEVAL,"OR")=0))</f>
      </c>
      <c r="I2255">
        <f>IF(DATOS!$I2255="","",IFERROR(VLOOKUP(DATOS!$I2255,CONFIG_ASIGNATURAS!$B$2:$J$91,9,FALSE()),""))</f>
      </c>
    </row>
    <row r="2256">
      <c r="F2256">
        <f>IF(DATOS!$A2256="","",DATOS!$A2256&amp;"|"&amp;DATOS!$D2256&amp;"|"&amp;DATOS!$E2256&amp;"|"&amp;DATOS!$I2256)</f>
      </c>
      <c r="G2256">
        <f>IF(DATOS!$A2256="",0,IF(CONFIG_METADATA!$B$4&lt;&gt;"OR+EX",--(DATOS!$G2256=CONFIG_METADATA!$B$4),IF(DATOS!$G2256="EX",1,IF(DATOS!$G2256="OR",--(COUNTIFS(nNIA,DATOS!$A2256,nCURSO,DATOS!$D2256,nESPEC,DATOS!$E2256,nASIG,DATOS!$I2256,nEVAL,"EX")=0),0))))</f>
      </c>
      <c r="H2256">
        <f>IF(DATOS!$G2256&lt;&gt;"EX",0,--(COUNTIFS(nNIA,DATOS!$A2256,nCURSO,DATOS!$D2256,nESPEC,DATOS!$E2256,nASIG,DATOS!$I2256,nEVAL,"OR")=0))</f>
      </c>
      <c r="I2256">
        <f>IF(DATOS!$I2256="","",IFERROR(VLOOKUP(DATOS!$I2256,CONFIG_ASIGNATURAS!$B$2:$J$91,9,FALSE()),""))</f>
      </c>
    </row>
    <row r="2257">
      <c r="F2257">
        <f>IF(DATOS!$A2257="","",DATOS!$A2257&amp;"|"&amp;DATOS!$D2257&amp;"|"&amp;DATOS!$E2257&amp;"|"&amp;DATOS!$I2257)</f>
      </c>
      <c r="G2257">
        <f>IF(DATOS!$A2257="",0,IF(CONFIG_METADATA!$B$4&lt;&gt;"OR+EX",--(DATOS!$G2257=CONFIG_METADATA!$B$4),IF(DATOS!$G2257="EX",1,IF(DATOS!$G2257="OR",--(COUNTIFS(nNIA,DATOS!$A2257,nCURSO,DATOS!$D2257,nESPEC,DATOS!$E2257,nASIG,DATOS!$I2257,nEVAL,"EX")=0),0))))</f>
      </c>
      <c r="H2257">
        <f>IF(DATOS!$G2257&lt;&gt;"EX",0,--(COUNTIFS(nNIA,DATOS!$A2257,nCURSO,DATOS!$D2257,nESPEC,DATOS!$E2257,nASIG,DATOS!$I2257,nEVAL,"OR")=0))</f>
      </c>
      <c r="I2257">
        <f>IF(DATOS!$I2257="","",IFERROR(VLOOKUP(DATOS!$I2257,CONFIG_ASIGNATURAS!$B$2:$J$91,9,FALSE()),""))</f>
      </c>
    </row>
    <row r="2258">
      <c r="F2258">
        <f>IF(DATOS!$A2258="","",DATOS!$A2258&amp;"|"&amp;DATOS!$D2258&amp;"|"&amp;DATOS!$E2258&amp;"|"&amp;DATOS!$I2258)</f>
      </c>
      <c r="G2258">
        <f>IF(DATOS!$A2258="",0,IF(CONFIG_METADATA!$B$4&lt;&gt;"OR+EX",--(DATOS!$G2258=CONFIG_METADATA!$B$4),IF(DATOS!$G2258="EX",1,IF(DATOS!$G2258="OR",--(COUNTIFS(nNIA,DATOS!$A2258,nCURSO,DATOS!$D2258,nESPEC,DATOS!$E2258,nASIG,DATOS!$I2258,nEVAL,"EX")=0),0))))</f>
      </c>
      <c r="H2258">
        <f>IF(DATOS!$G2258&lt;&gt;"EX",0,--(COUNTIFS(nNIA,DATOS!$A2258,nCURSO,DATOS!$D2258,nESPEC,DATOS!$E2258,nASIG,DATOS!$I2258,nEVAL,"OR")=0))</f>
      </c>
      <c r="I2258">
        <f>IF(DATOS!$I2258="","",IFERROR(VLOOKUP(DATOS!$I2258,CONFIG_ASIGNATURAS!$B$2:$J$91,9,FALSE()),""))</f>
      </c>
    </row>
    <row r="2259">
      <c r="F2259">
        <f>IF(DATOS!$A2259="","",DATOS!$A2259&amp;"|"&amp;DATOS!$D2259&amp;"|"&amp;DATOS!$E2259&amp;"|"&amp;DATOS!$I2259)</f>
      </c>
      <c r="G2259">
        <f>IF(DATOS!$A2259="",0,IF(CONFIG_METADATA!$B$4&lt;&gt;"OR+EX",--(DATOS!$G2259=CONFIG_METADATA!$B$4),IF(DATOS!$G2259="EX",1,IF(DATOS!$G2259="OR",--(COUNTIFS(nNIA,DATOS!$A2259,nCURSO,DATOS!$D2259,nESPEC,DATOS!$E2259,nASIG,DATOS!$I2259,nEVAL,"EX")=0),0))))</f>
      </c>
      <c r="H2259">
        <f>IF(DATOS!$G2259&lt;&gt;"EX",0,--(COUNTIFS(nNIA,DATOS!$A2259,nCURSO,DATOS!$D2259,nESPEC,DATOS!$E2259,nASIG,DATOS!$I2259,nEVAL,"OR")=0))</f>
      </c>
      <c r="I2259">
        <f>IF(DATOS!$I2259="","",IFERROR(VLOOKUP(DATOS!$I2259,CONFIG_ASIGNATURAS!$B$2:$J$91,9,FALSE()),""))</f>
      </c>
    </row>
    <row r="2260">
      <c r="F2260">
        <f>IF(DATOS!$A2260="","",DATOS!$A2260&amp;"|"&amp;DATOS!$D2260&amp;"|"&amp;DATOS!$E2260&amp;"|"&amp;DATOS!$I2260)</f>
      </c>
      <c r="G2260">
        <f>IF(DATOS!$A2260="",0,IF(CONFIG_METADATA!$B$4&lt;&gt;"OR+EX",--(DATOS!$G2260=CONFIG_METADATA!$B$4),IF(DATOS!$G2260="EX",1,IF(DATOS!$G2260="OR",--(COUNTIFS(nNIA,DATOS!$A2260,nCURSO,DATOS!$D2260,nESPEC,DATOS!$E2260,nASIG,DATOS!$I2260,nEVAL,"EX")=0),0))))</f>
      </c>
      <c r="H2260">
        <f>IF(DATOS!$G2260&lt;&gt;"EX",0,--(COUNTIFS(nNIA,DATOS!$A2260,nCURSO,DATOS!$D2260,nESPEC,DATOS!$E2260,nASIG,DATOS!$I2260,nEVAL,"OR")=0))</f>
      </c>
      <c r="I2260">
        <f>IF(DATOS!$I2260="","",IFERROR(VLOOKUP(DATOS!$I2260,CONFIG_ASIGNATURAS!$B$2:$J$91,9,FALSE()),""))</f>
      </c>
    </row>
    <row r="2261">
      <c r="F2261">
        <f>IF(DATOS!$A2261="","",DATOS!$A2261&amp;"|"&amp;DATOS!$D2261&amp;"|"&amp;DATOS!$E2261&amp;"|"&amp;DATOS!$I2261)</f>
      </c>
      <c r="G2261">
        <f>IF(DATOS!$A2261="",0,IF(CONFIG_METADATA!$B$4&lt;&gt;"OR+EX",--(DATOS!$G2261=CONFIG_METADATA!$B$4),IF(DATOS!$G2261="EX",1,IF(DATOS!$G2261="OR",--(COUNTIFS(nNIA,DATOS!$A2261,nCURSO,DATOS!$D2261,nESPEC,DATOS!$E2261,nASIG,DATOS!$I2261,nEVAL,"EX")=0),0))))</f>
      </c>
      <c r="H2261">
        <f>IF(DATOS!$G2261&lt;&gt;"EX",0,--(COUNTIFS(nNIA,DATOS!$A2261,nCURSO,DATOS!$D2261,nESPEC,DATOS!$E2261,nASIG,DATOS!$I2261,nEVAL,"OR")=0))</f>
      </c>
      <c r="I2261">
        <f>IF(DATOS!$I2261="","",IFERROR(VLOOKUP(DATOS!$I2261,CONFIG_ASIGNATURAS!$B$2:$J$91,9,FALSE()),""))</f>
      </c>
    </row>
    <row r="2262">
      <c r="F2262">
        <f>IF(DATOS!$A2262="","",DATOS!$A2262&amp;"|"&amp;DATOS!$D2262&amp;"|"&amp;DATOS!$E2262&amp;"|"&amp;DATOS!$I2262)</f>
      </c>
      <c r="G2262">
        <f>IF(DATOS!$A2262="",0,IF(CONFIG_METADATA!$B$4&lt;&gt;"OR+EX",--(DATOS!$G2262=CONFIG_METADATA!$B$4),IF(DATOS!$G2262="EX",1,IF(DATOS!$G2262="OR",--(COUNTIFS(nNIA,DATOS!$A2262,nCURSO,DATOS!$D2262,nESPEC,DATOS!$E2262,nASIG,DATOS!$I2262,nEVAL,"EX")=0),0))))</f>
      </c>
      <c r="H2262">
        <f>IF(DATOS!$G2262&lt;&gt;"EX",0,--(COUNTIFS(nNIA,DATOS!$A2262,nCURSO,DATOS!$D2262,nESPEC,DATOS!$E2262,nASIG,DATOS!$I2262,nEVAL,"OR")=0))</f>
      </c>
      <c r="I2262">
        <f>IF(DATOS!$I2262="","",IFERROR(VLOOKUP(DATOS!$I2262,CONFIG_ASIGNATURAS!$B$2:$J$91,9,FALSE()),""))</f>
      </c>
    </row>
    <row r="2263">
      <c r="F2263">
        <f>IF(DATOS!$A2263="","",DATOS!$A2263&amp;"|"&amp;DATOS!$D2263&amp;"|"&amp;DATOS!$E2263&amp;"|"&amp;DATOS!$I2263)</f>
      </c>
      <c r="G2263">
        <f>IF(DATOS!$A2263="",0,IF(CONFIG_METADATA!$B$4&lt;&gt;"OR+EX",--(DATOS!$G2263=CONFIG_METADATA!$B$4),IF(DATOS!$G2263="EX",1,IF(DATOS!$G2263="OR",--(COUNTIFS(nNIA,DATOS!$A2263,nCURSO,DATOS!$D2263,nESPEC,DATOS!$E2263,nASIG,DATOS!$I2263,nEVAL,"EX")=0),0))))</f>
      </c>
      <c r="H2263">
        <f>IF(DATOS!$G2263&lt;&gt;"EX",0,--(COUNTIFS(nNIA,DATOS!$A2263,nCURSO,DATOS!$D2263,nESPEC,DATOS!$E2263,nASIG,DATOS!$I2263,nEVAL,"OR")=0))</f>
      </c>
      <c r="I2263">
        <f>IF(DATOS!$I2263="","",IFERROR(VLOOKUP(DATOS!$I2263,CONFIG_ASIGNATURAS!$B$2:$J$91,9,FALSE()),""))</f>
      </c>
    </row>
    <row r="2264">
      <c r="F2264">
        <f>IF(DATOS!$A2264="","",DATOS!$A2264&amp;"|"&amp;DATOS!$D2264&amp;"|"&amp;DATOS!$E2264&amp;"|"&amp;DATOS!$I2264)</f>
      </c>
      <c r="G2264">
        <f>IF(DATOS!$A2264="",0,IF(CONFIG_METADATA!$B$4&lt;&gt;"OR+EX",--(DATOS!$G2264=CONFIG_METADATA!$B$4),IF(DATOS!$G2264="EX",1,IF(DATOS!$G2264="OR",--(COUNTIFS(nNIA,DATOS!$A2264,nCURSO,DATOS!$D2264,nESPEC,DATOS!$E2264,nASIG,DATOS!$I2264,nEVAL,"EX")=0),0))))</f>
      </c>
      <c r="H2264">
        <f>IF(DATOS!$G2264&lt;&gt;"EX",0,--(COUNTIFS(nNIA,DATOS!$A2264,nCURSO,DATOS!$D2264,nESPEC,DATOS!$E2264,nASIG,DATOS!$I2264,nEVAL,"OR")=0))</f>
      </c>
      <c r="I2264">
        <f>IF(DATOS!$I2264="","",IFERROR(VLOOKUP(DATOS!$I2264,CONFIG_ASIGNATURAS!$B$2:$J$91,9,FALSE()),""))</f>
      </c>
    </row>
    <row r="2265">
      <c r="F2265">
        <f>IF(DATOS!$A2265="","",DATOS!$A2265&amp;"|"&amp;DATOS!$D2265&amp;"|"&amp;DATOS!$E2265&amp;"|"&amp;DATOS!$I2265)</f>
      </c>
      <c r="G2265">
        <f>IF(DATOS!$A2265="",0,IF(CONFIG_METADATA!$B$4&lt;&gt;"OR+EX",--(DATOS!$G2265=CONFIG_METADATA!$B$4),IF(DATOS!$G2265="EX",1,IF(DATOS!$G2265="OR",--(COUNTIFS(nNIA,DATOS!$A2265,nCURSO,DATOS!$D2265,nESPEC,DATOS!$E2265,nASIG,DATOS!$I2265,nEVAL,"EX")=0),0))))</f>
      </c>
      <c r="H2265">
        <f>IF(DATOS!$G2265&lt;&gt;"EX",0,--(COUNTIFS(nNIA,DATOS!$A2265,nCURSO,DATOS!$D2265,nESPEC,DATOS!$E2265,nASIG,DATOS!$I2265,nEVAL,"OR")=0))</f>
      </c>
      <c r="I2265">
        <f>IF(DATOS!$I2265="","",IFERROR(VLOOKUP(DATOS!$I2265,CONFIG_ASIGNATURAS!$B$2:$J$91,9,FALSE()),""))</f>
      </c>
    </row>
    <row r="2266">
      <c r="F2266">
        <f>IF(DATOS!$A2266="","",DATOS!$A2266&amp;"|"&amp;DATOS!$D2266&amp;"|"&amp;DATOS!$E2266&amp;"|"&amp;DATOS!$I2266)</f>
      </c>
      <c r="G2266">
        <f>IF(DATOS!$A2266="",0,IF(CONFIG_METADATA!$B$4&lt;&gt;"OR+EX",--(DATOS!$G2266=CONFIG_METADATA!$B$4),IF(DATOS!$G2266="EX",1,IF(DATOS!$G2266="OR",--(COUNTIFS(nNIA,DATOS!$A2266,nCURSO,DATOS!$D2266,nESPEC,DATOS!$E2266,nASIG,DATOS!$I2266,nEVAL,"EX")=0),0))))</f>
      </c>
      <c r="H2266">
        <f>IF(DATOS!$G2266&lt;&gt;"EX",0,--(COUNTIFS(nNIA,DATOS!$A2266,nCURSO,DATOS!$D2266,nESPEC,DATOS!$E2266,nASIG,DATOS!$I2266,nEVAL,"OR")=0))</f>
      </c>
      <c r="I2266">
        <f>IF(DATOS!$I2266="","",IFERROR(VLOOKUP(DATOS!$I2266,CONFIG_ASIGNATURAS!$B$2:$J$91,9,FALSE()),""))</f>
      </c>
    </row>
    <row r="2267">
      <c r="F2267">
        <f>IF(DATOS!$A2267="","",DATOS!$A2267&amp;"|"&amp;DATOS!$D2267&amp;"|"&amp;DATOS!$E2267&amp;"|"&amp;DATOS!$I2267)</f>
      </c>
      <c r="G2267">
        <f>IF(DATOS!$A2267="",0,IF(CONFIG_METADATA!$B$4&lt;&gt;"OR+EX",--(DATOS!$G2267=CONFIG_METADATA!$B$4),IF(DATOS!$G2267="EX",1,IF(DATOS!$G2267="OR",--(COUNTIFS(nNIA,DATOS!$A2267,nCURSO,DATOS!$D2267,nESPEC,DATOS!$E2267,nASIG,DATOS!$I2267,nEVAL,"EX")=0),0))))</f>
      </c>
      <c r="H2267">
        <f>IF(DATOS!$G2267&lt;&gt;"EX",0,--(COUNTIFS(nNIA,DATOS!$A2267,nCURSO,DATOS!$D2267,nESPEC,DATOS!$E2267,nASIG,DATOS!$I2267,nEVAL,"OR")=0))</f>
      </c>
      <c r="I2267">
        <f>IF(DATOS!$I2267="","",IFERROR(VLOOKUP(DATOS!$I2267,CONFIG_ASIGNATURAS!$B$2:$J$91,9,FALSE()),""))</f>
      </c>
    </row>
    <row r="2268">
      <c r="F2268">
        <f>IF(DATOS!$A2268="","",DATOS!$A2268&amp;"|"&amp;DATOS!$D2268&amp;"|"&amp;DATOS!$E2268&amp;"|"&amp;DATOS!$I2268)</f>
      </c>
      <c r="G2268">
        <f>IF(DATOS!$A2268="",0,IF(CONFIG_METADATA!$B$4&lt;&gt;"OR+EX",--(DATOS!$G2268=CONFIG_METADATA!$B$4),IF(DATOS!$G2268="EX",1,IF(DATOS!$G2268="OR",--(COUNTIFS(nNIA,DATOS!$A2268,nCURSO,DATOS!$D2268,nESPEC,DATOS!$E2268,nASIG,DATOS!$I2268,nEVAL,"EX")=0),0))))</f>
      </c>
      <c r="H2268">
        <f>IF(DATOS!$G2268&lt;&gt;"EX",0,--(COUNTIFS(nNIA,DATOS!$A2268,nCURSO,DATOS!$D2268,nESPEC,DATOS!$E2268,nASIG,DATOS!$I2268,nEVAL,"OR")=0))</f>
      </c>
      <c r="I2268">
        <f>IF(DATOS!$I2268="","",IFERROR(VLOOKUP(DATOS!$I2268,CONFIG_ASIGNATURAS!$B$2:$J$91,9,FALSE()),""))</f>
      </c>
    </row>
    <row r="2269">
      <c r="F2269">
        <f>IF(DATOS!$A2269="","",DATOS!$A2269&amp;"|"&amp;DATOS!$D2269&amp;"|"&amp;DATOS!$E2269&amp;"|"&amp;DATOS!$I2269)</f>
      </c>
      <c r="G2269">
        <f>IF(DATOS!$A2269="",0,IF(CONFIG_METADATA!$B$4&lt;&gt;"OR+EX",--(DATOS!$G2269=CONFIG_METADATA!$B$4),IF(DATOS!$G2269="EX",1,IF(DATOS!$G2269="OR",--(COUNTIFS(nNIA,DATOS!$A2269,nCURSO,DATOS!$D2269,nESPEC,DATOS!$E2269,nASIG,DATOS!$I2269,nEVAL,"EX")=0),0))))</f>
      </c>
      <c r="H2269">
        <f>IF(DATOS!$G2269&lt;&gt;"EX",0,--(COUNTIFS(nNIA,DATOS!$A2269,nCURSO,DATOS!$D2269,nESPEC,DATOS!$E2269,nASIG,DATOS!$I2269,nEVAL,"OR")=0))</f>
      </c>
      <c r="I2269">
        <f>IF(DATOS!$I2269="","",IFERROR(VLOOKUP(DATOS!$I2269,CONFIG_ASIGNATURAS!$B$2:$J$91,9,FALSE()),""))</f>
      </c>
    </row>
    <row r="2270">
      <c r="F2270">
        <f>IF(DATOS!$A2270="","",DATOS!$A2270&amp;"|"&amp;DATOS!$D2270&amp;"|"&amp;DATOS!$E2270&amp;"|"&amp;DATOS!$I2270)</f>
      </c>
      <c r="G2270">
        <f>IF(DATOS!$A2270="",0,IF(CONFIG_METADATA!$B$4&lt;&gt;"OR+EX",--(DATOS!$G2270=CONFIG_METADATA!$B$4),IF(DATOS!$G2270="EX",1,IF(DATOS!$G2270="OR",--(COUNTIFS(nNIA,DATOS!$A2270,nCURSO,DATOS!$D2270,nESPEC,DATOS!$E2270,nASIG,DATOS!$I2270,nEVAL,"EX")=0),0))))</f>
      </c>
      <c r="H2270">
        <f>IF(DATOS!$G2270&lt;&gt;"EX",0,--(COUNTIFS(nNIA,DATOS!$A2270,nCURSO,DATOS!$D2270,nESPEC,DATOS!$E2270,nASIG,DATOS!$I2270,nEVAL,"OR")=0))</f>
      </c>
      <c r="I2270">
        <f>IF(DATOS!$I2270="","",IFERROR(VLOOKUP(DATOS!$I2270,CONFIG_ASIGNATURAS!$B$2:$J$91,9,FALSE()),""))</f>
      </c>
    </row>
    <row r="2271">
      <c r="F2271">
        <f>IF(DATOS!$A2271="","",DATOS!$A2271&amp;"|"&amp;DATOS!$D2271&amp;"|"&amp;DATOS!$E2271&amp;"|"&amp;DATOS!$I2271)</f>
      </c>
      <c r="G2271">
        <f>IF(DATOS!$A2271="",0,IF(CONFIG_METADATA!$B$4&lt;&gt;"OR+EX",--(DATOS!$G2271=CONFIG_METADATA!$B$4),IF(DATOS!$G2271="EX",1,IF(DATOS!$G2271="OR",--(COUNTIFS(nNIA,DATOS!$A2271,nCURSO,DATOS!$D2271,nESPEC,DATOS!$E2271,nASIG,DATOS!$I2271,nEVAL,"EX")=0),0))))</f>
      </c>
      <c r="H2271">
        <f>IF(DATOS!$G2271&lt;&gt;"EX",0,--(COUNTIFS(nNIA,DATOS!$A2271,nCURSO,DATOS!$D2271,nESPEC,DATOS!$E2271,nASIG,DATOS!$I2271,nEVAL,"OR")=0))</f>
      </c>
      <c r="I2271">
        <f>IF(DATOS!$I2271="","",IFERROR(VLOOKUP(DATOS!$I2271,CONFIG_ASIGNATURAS!$B$2:$J$91,9,FALSE()),""))</f>
      </c>
    </row>
    <row r="2272">
      <c r="F2272">
        <f>IF(DATOS!$A2272="","",DATOS!$A2272&amp;"|"&amp;DATOS!$D2272&amp;"|"&amp;DATOS!$E2272&amp;"|"&amp;DATOS!$I2272)</f>
      </c>
      <c r="G2272">
        <f>IF(DATOS!$A2272="",0,IF(CONFIG_METADATA!$B$4&lt;&gt;"OR+EX",--(DATOS!$G2272=CONFIG_METADATA!$B$4),IF(DATOS!$G2272="EX",1,IF(DATOS!$G2272="OR",--(COUNTIFS(nNIA,DATOS!$A2272,nCURSO,DATOS!$D2272,nESPEC,DATOS!$E2272,nASIG,DATOS!$I2272,nEVAL,"EX")=0),0))))</f>
      </c>
      <c r="H2272">
        <f>IF(DATOS!$G2272&lt;&gt;"EX",0,--(COUNTIFS(nNIA,DATOS!$A2272,nCURSO,DATOS!$D2272,nESPEC,DATOS!$E2272,nASIG,DATOS!$I2272,nEVAL,"OR")=0))</f>
      </c>
      <c r="I2272">
        <f>IF(DATOS!$I2272="","",IFERROR(VLOOKUP(DATOS!$I2272,CONFIG_ASIGNATURAS!$B$2:$J$91,9,FALSE()),""))</f>
      </c>
    </row>
    <row r="2273">
      <c r="F2273">
        <f>IF(DATOS!$A2273="","",DATOS!$A2273&amp;"|"&amp;DATOS!$D2273&amp;"|"&amp;DATOS!$E2273&amp;"|"&amp;DATOS!$I2273)</f>
      </c>
      <c r="G2273">
        <f>IF(DATOS!$A2273="",0,IF(CONFIG_METADATA!$B$4&lt;&gt;"OR+EX",--(DATOS!$G2273=CONFIG_METADATA!$B$4),IF(DATOS!$G2273="EX",1,IF(DATOS!$G2273="OR",--(COUNTIFS(nNIA,DATOS!$A2273,nCURSO,DATOS!$D2273,nESPEC,DATOS!$E2273,nASIG,DATOS!$I2273,nEVAL,"EX")=0),0))))</f>
      </c>
      <c r="H2273">
        <f>IF(DATOS!$G2273&lt;&gt;"EX",0,--(COUNTIFS(nNIA,DATOS!$A2273,nCURSO,DATOS!$D2273,nESPEC,DATOS!$E2273,nASIG,DATOS!$I2273,nEVAL,"OR")=0))</f>
      </c>
      <c r="I2273">
        <f>IF(DATOS!$I2273="","",IFERROR(VLOOKUP(DATOS!$I2273,CONFIG_ASIGNATURAS!$B$2:$J$91,9,FALSE()),""))</f>
      </c>
    </row>
    <row r="2274">
      <c r="F2274">
        <f>IF(DATOS!$A2274="","",DATOS!$A2274&amp;"|"&amp;DATOS!$D2274&amp;"|"&amp;DATOS!$E2274&amp;"|"&amp;DATOS!$I2274)</f>
      </c>
      <c r="G2274">
        <f>IF(DATOS!$A2274="",0,IF(CONFIG_METADATA!$B$4&lt;&gt;"OR+EX",--(DATOS!$G2274=CONFIG_METADATA!$B$4),IF(DATOS!$G2274="EX",1,IF(DATOS!$G2274="OR",--(COUNTIFS(nNIA,DATOS!$A2274,nCURSO,DATOS!$D2274,nESPEC,DATOS!$E2274,nASIG,DATOS!$I2274,nEVAL,"EX")=0),0))))</f>
      </c>
      <c r="H2274">
        <f>IF(DATOS!$G2274&lt;&gt;"EX",0,--(COUNTIFS(nNIA,DATOS!$A2274,nCURSO,DATOS!$D2274,nESPEC,DATOS!$E2274,nASIG,DATOS!$I2274,nEVAL,"OR")=0))</f>
      </c>
      <c r="I2274">
        <f>IF(DATOS!$I2274="","",IFERROR(VLOOKUP(DATOS!$I2274,CONFIG_ASIGNATURAS!$B$2:$J$91,9,FALSE()),""))</f>
      </c>
    </row>
    <row r="2275">
      <c r="F2275">
        <f>IF(DATOS!$A2275="","",DATOS!$A2275&amp;"|"&amp;DATOS!$D2275&amp;"|"&amp;DATOS!$E2275&amp;"|"&amp;DATOS!$I2275)</f>
      </c>
      <c r="G2275">
        <f>IF(DATOS!$A2275="",0,IF(CONFIG_METADATA!$B$4&lt;&gt;"OR+EX",--(DATOS!$G2275=CONFIG_METADATA!$B$4),IF(DATOS!$G2275="EX",1,IF(DATOS!$G2275="OR",--(COUNTIFS(nNIA,DATOS!$A2275,nCURSO,DATOS!$D2275,nESPEC,DATOS!$E2275,nASIG,DATOS!$I2275,nEVAL,"EX")=0),0))))</f>
      </c>
      <c r="H2275">
        <f>IF(DATOS!$G2275&lt;&gt;"EX",0,--(COUNTIFS(nNIA,DATOS!$A2275,nCURSO,DATOS!$D2275,nESPEC,DATOS!$E2275,nASIG,DATOS!$I2275,nEVAL,"OR")=0))</f>
      </c>
      <c r="I2275">
        <f>IF(DATOS!$I2275="","",IFERROR(VLOOKUP(DATOS!$I2275,CONFIG_ASIGNATURAS!$B$2:$J$91,9,FALSE()),""))</f>
      </c>
    </row>
    <row r="2276">
      <c r="F2276">
        <f>IF(DATOS!$A2276="","",DATOS!$A2276&amp;"|"&amp;DATOS!$D2276&amp;"|"&amp;DATOS!$E2276&amp;"|"&amp;DATOS!$I2276)</f>
      </c>
      <c r="G2276">
        <f>IF(DATOS!$A2276="",0,IF(CONFIG_METADATA!$B$4&lt;&gt;"OR+EX",--(DATOS!$G2276=CONFIG_METADATA!$B$4),IF(DATOS!$G2276="EX",1,IF(DATOS!$G2276="OR",--(COUNTIFS(nNIA,DATOS!$A2276,nCURSO,DATOS!$D2276,nESPEC,DATOS!$E2276,nASIG,DATOS!$I2276,nEVAL,"EX")=0),0))))</f>
      </c>
      <c r="H2276">
        <f>IF(DATOS!$G2276&lt;&gt;"EX",0,--(COUNTIFS(nNIA,DATOS!$A2276,nCURSO,DATOS!$D2276,nESPEC,DATOS!$E2276,nASIG,DATOS!$I2276,nEVAL,"OR")=0))</f>
      </c>
      <c r="I2276">
        <f>IF(DATOS!$I2276="","",IFERROR(VLOOKUP(DATOS!$I2276,CONFIG_ASIGNATURAS!$B$2:$J$91,9,FALSE()),""))</f>
      </c>
    </row>
    <row r="2277">
      <c r="F2277">
        <f>IF(DATOS!$A2277="","",DATOS!$A2277&amp;"|"&amp;DATOS!$D2277&amp;"|"&amp;DATOS!$E2277&amp;"|"&amp;DATOS!$I2277)</f>
      </c>
      <c r="G2277">
        <f>IF(DATOS!$A2277="",0,IF(CONFIG_METADATA!$B$4&lt;&gt;"OR+EX",--(DATOS!$G2277=CONFIG_METADATA!$B$4),IF(DATOS!$G2277="EX",1,IF(DATOS!$G2277="OR",--(COUNTIFS(nNIA,DATOS!$A2277,nCURSO,DATOS!$D2277,nESPEC,DATOS!$E2277,nASIG,DATOS!$I2277,nEVAL,"EX")=0),0))))</f>
      </c>
      <c r="H2277">
        <f>IF(DATOS!$G2277&lt;&gt;"EX",0,--(COUNTIFS(nNIA,DATOS!$A2277,nCURSO,DATOS!$D2277,nESPEC,DATOS!$E2277,nASIG,DATOS!$I2277,nEVAL,"OR")=0))</f>
      </c>
      <c r="I2277">
        <f>IF(DATOS!$I2277="","",IFERROR(VLOOKUP(DATOS!$I2277,CONFIG_ASIGNATURAS!$B$2:$J$91,9,FALSE()),""))</f>
      </c>
    </row>
    <row r="2278">
      <c r="F2278">
        <f>IF(DATOS!$A2278="","",DATOS!$A2278&amp;"|"&amp;DATOS!$D2278&amp;"|"&amp;DATOS!$E2278&amp;"|"&amp;DATOS!$I2278)</f>
      </c>
      <c r="G2278">
        <f>IF(DATOS!$A2278="",0,IF(CONFIG_METADATA!$B$4&lt;&gt;"OR+EX",--(DATOS!$G2278=CONFIG_METADATA!$B$4),IF(DATOS!$G2278="EX",1,IF(DATOS!$G2278="OR",--(COUNTIFS(nNIA,DATOS!$A2278,nCURSO,DATOS!$D2278,nESPEC,DATOS!$E2278,nASIG,DATOS!$I2278,nEVAL,"EX")=0),0))))</f>
      </c>
      <c r="H2278">
        <f>IF(DATOS!$G2278&lt;&gt;"EX",0,--(COUNTIFS(nNIA,DATOS!$A2278,nCURSO,DATOS!$D2278,nESPEC,DATOS!$E2278,nASIG,DATOS!$I2278,nEVAL,"OR")=0))</f>
      </c>
      <c r="I2278">
        <f>IF(DATOS!$I2278="","",IFERROR(VLOOKUP(DATOS!$I2278,CONFIG_ASIGNATURAS!$B$2:$J$91,9,FALSE()),""))</f>
      </c>
    </row>
    <row r="2279">
      <c r="F2279">
        <f>IF(DATOS!$A2279="","",DATOS!$A2279&amp;"|"&amp;DATOS!$D2279&amp;"|"&amp;DATOS!$E2279&amp;"|"&amp;DATOS!$I2279)</f>
      </c>
      <c r="G2279">
        <f>IF(DATOS!$A2279="",0,IF(CONFIG_METADATA!$B$4&lt;&gt;"OR+EX",--(DATOS!$G2279=CONFIG_METADATA!$B$4),IF(DATOS!$G2279="EX",1,IF(DATOS!$G2279="OR",--(COUNTIFS(nNIA,DATOS!$A2279,nCURSO,DATOS!$D2279,nESPEC,DATOS!$E2279,nASIG,DATOS!$I2279,nEVAL,"EX")=0),0))))</f>
      </c>
      <c r="H2279">
        <f>IF(DATOS!$G2279&lt;&gt;"EX",0,--(COUNTIFS(nNIA,DATOS!$A2279,nCURSO,DATOS!$D2279,nESPEC,DATOS!$E2279,nASIG,DATOS!$I2279,nEVAL,"OR")=0))</f>
      </c>
      <c r="I2279">
        <f>IF(DATOS!$I2279="","",IFERROR(VLOOKUP(DATOS!$I2279,CONFIG_ASIGNATURAS!$B$2:$J$91,9,FALSE()),""))</f>
      </c>
    </row>
    <row r="2280">
      <c r="F2280">
        <f>IF(DATOS!$A2280="","",DATOS!$A2280&amp;"|"&amp;DATOS!$D2280&amp;"|"&amp;DATOS!$E2280&amp;"|"&amp;DATOS!$I2280)</f>
      </c>
      <c r="G2280">
        <f>IF(DATOS!$A2280="",0,IF(CONFIG_METADATA!$B$4&lt;&gt;"OR+EX",--(DATOS!$G2280=CONFIG_METADATA!$B$4),IF(DATOS!$G2280="EX",1,IF(DATOS!$G2280="OR",--(COUNTIFS(nNIA,DATOS!$A2280,nCURSO,DATOS!$D2280,nESPEC,DATOS!$E2280,nASIG,DATOS!$I2280,nEVAL,"EX")=0),0))))</f>
      </c>
      <c r="H2280">
        <f>IF(DATOS!$G2280&lt;&gt;"EX",0,--(COUNTIFS(nNIA,DATOS!$A2280,nCURSO,DATOS!$D2280,nESPEC,DATOS!$E2280,nASIG,DATOS!$I2280,nEVAL,"OR")=0))</f>
      </c>
      <c r="I2280">
        <f>IF(DATOS!$I2280="","",IFERROR(VLOOKUP(DATOS!$I2280,CONFIG_ASIGNATURAS!$B$2:$J$91,9,FALSE()),""))</f>
      </c>
    </row>
    <row r="2281">
      <c r="F2281">
        <f>IF(DATOS!$A2281="","",DATOS!$A2281&amp;"|"&amp;DATOS!$D2281&amp;"|"&amp;DATOS!$E2281&amp;"|"&amp;DATOS!$I2281)</f>
      </c>
      <c r="G2281">
        <f>IF(DATOS!$A2281="",0,IF(CONFIG_METADATA!$B$4&lt;&gt;"OR+EX",--(DATOS!$G2281=CONFIG_METADATA!$B$4),IF(DATOS!$G2281="EX",1,IF(DATOS!$G2281="OR",--(COUNTIFS(nNIA,DATOS!$A2281,nCURSO,DATOS!$D2281,nESPEC,DATOS!$E2281,nASIG,DATOS!$I2281,nEVAL,"EX")=0),0))))</f>
      </c>
      <c r="H2281">
        <f>IF(DATOS!$G2281&lt;&gt;"EX",0,--(COUNTIFS(nNIA,DATOS!$A2281,nCURSO,DATOS!$D2281,nESPEC,DATOS!$E2281,nASIG,DATOS!$I2281,nEVAL,"OR")=0))</f>
      </c>
      <c r="I2281">
        <f>IF(DATOS!$I2281="","",IFERROR(VLOOKUP(DATOS!$I2281,CONFIG_ASIGNATURAS!$B$2:$J$91,9,FALSE()),""))</f>
      </c>
    </row>
    <row r="2282">
      <c r="F2282">
        <f>IF(DATOS!$A2282="","",DATOS!$A2282&amp;"|"&amp;DATOS!$D2282&amp;"|"&amp;DATOS!$E2282&amp;"|"&amp;DATOS!$I2282)</f>
      </c>
      <c r="G2282">
        <f>IF(DATOS!$A2282="",0,IF(CONFIG_METADATA!$B$4&lt;&gt;"OR+EX",--(DATOS!$G2282=CONFIG_METADATA!$B$4),IF(DATOS!$G2282="EX",1,IF(DATOS!$G2282="OR",--(COUNTIFS(nNIA,DATOS!$A2282,nCURSO,DATOS!$D2282,nESPEC,DATOS!$E2282,nASIG,DATOS!$I2282,nEVAL,"EX")=0),0))))</f>
      </c>
      <c r="H2282">
        <f>IF(DATOS!$G2282&lt;&gt;"EX",0,--(COUNTIFS(nNIA,DATOS!$A2282,nCURSO,DATOS!$D2282,nESPEC,DATOS!$E2282,nASIG,DATOS!$I2282,nEVAL,"OR")=0))</f>
      </c>
      <c r="I2282">
        <f>IF(DATOS!$I2282="","",IFERROR(VLOOKUP(DATOS!$I2282,CONFIG_ASIGNATURAS!$B$2:$J$91,9,FALSE()),""))</f>
      </c>
    </row>
    <row r="2283">
      <c r="F2283">
        <f>IF(DATOS!$A2283="","",DATOS!$A2283&amp;"|"&amp;DATOS!$D2283&amp;"|"&amp;DATOS!$E2283&amp;"|"&amp;DATOS!$I2283)</f>
      </c>
      <c r="G2283">
        <f>IF(DATOS!$A2283="",0,IF(CONFIG_METADATA!$B$4&lt;&gt;"OR+EX",--(DATOS!$G2283=CONFIG_METADATA!$B$4),IF(DATOS!$G2283="EX",1,IF(DATOS!$G2283="OR",--(COUNTIFS(nNIA,DATOS!$A2283,nCURSO,DATOS!$D2283,nESPEC,DATOS!$E2283,nASIG,DATOS!$I2283,nEVAL,"EX")=0),0))))</f>
      </c>
      <c r="H2283">
        <f>IF(DATOS!$G2283&lt;&gt;"EX",0,--(COUNTIFS(nNIA,DATOS!$A2283,nCURSO,DATOS!$D2283,nESPEC,DATOS!$E2283,nASIG,DATOS!$I2283,nEVAL,"OR")=0))</f>
      </c>
      <c r="I2283">
        <f>IF(DATOS!$I2283="","",IFERROR(VLOOKUP(DATOS!$I2283,CONFIG_ASIGNATURAS!$B$2:$J$91,9,FALSE()),""))</f>
      </c>
    </row>
    <row r="2284">
      <c r="F2284">
        <f>IF(DATOS!$A2284="","",DATOS!$A2284&amp;"|"&amp;DATOS!$D2284&amp;"|"&amp;DATOS!$E2284&amp;"|"&amp;DATOS!$I2284)</f>
      </c>
      <c r="G2284">
        <f>IF(DATOS!$A2284="",0,IF(CONFIG_METADATA!$B$4&lt;&gt;"OR+EX",--(DATOS!$G2284=CONFIG_METADATA!$B$4),IF(DATOS!$G2284="EX",1,IF(DATOS!$G2284="OR",--(COUNTIFS(nNIA,DATOS!$A2284,nCURSO,DATOS!$D2284,nESPEC,DATOS!$E2284,nASIG,DATOS!$I2284,nEVAL,"EX")=0),0))))</f>
      </c>
      <c r="H2284">
        <f>IF(DATOS!$G2284&lt;&gt;"EX",0,--(COUNTIFS(nNIA,DATOS!$A2284,nCURSO,DATOS!$D2284,nESPEC,DATOS!$E2284,nASIG,DATOS!$I2284,nEVAL,"OR")=0))</f>
      </c>
      <c r="I2284">
        <f>IF(DATOS!$I2284="","",IFERROR(VLOOKUP(DATOS!$I2284,CONFIG_ASIGNATURAS!$B$2:$J$91,9,FALSE()),""))</f>
      </c>
    </row>
    <row r="2285">
      <c r="F2285">
        <f>IF(DATOS!$A2285="","",DATOS!$A2285&amp;"|"&amp;DATOS!$D2285&amp;"|"&amp;DATOS!$E2285&amp;"|"&amp;DATOS!$I2285)</f>
      </c>
      <c r="G2285">
        <f>IF(DATOS!$A2285="",0,IF(CONFIG_METADATA!$B$4&lt;&gt;"OR+EX",--(DATOS!$G2285=CONFIG_METADATA!$B$4),IF(DATOS!$G2285="EX",1,IF(DATOS!$G2285="OR",--(COUNTIFS(nNIA,DATOS!$A2285,nCURSO,DATOS!$D2285,nESPEC,DATOS!$E2285,nASIG,DATOS!$I2285,nEVAL,"EX")=0),0))))</f>
      </c>
      <c r="H2285">
        <f>IF(DATOS!$G2285&lt;&gt;"EX",0,--(COUNTIFS(nNIA,DATOS!$A2285,nCURSO,DATOS!$D2285,nESPEC,DATOS!$E2285,nASIG,DATOS!$I2285,nEVAL,"OR")=0))</f>
      </c>
      <c r="I2285">
        <f>IF(DATOS!$I2285="","",IFERROR(VLOOKUP(DATOS!$I2285,CONFIG_ASIGNATURAS!$B$2:$J$91,9,FALSE()),""))</f>
      </c>
    </row>
    <row r="2286">
      <c r="F2286">
        <f>IF(DATOS!$A2286="","",DATOS!$A2286&amp;"|"&amp;DATOS!$D2286&amp;"|"&amp;DATOS!$E2286&amp;"|"&amp;DATOS!$I2286)</f>
      </c>
      <c r="G2286">
        <f>IF(DATOS!$A2286="",0,IF(CONFIG_METADATA!$B$4&lt;&gt;"OR+EX",--(DATOS!$G2286=CONFIG_METADATA!$B$4),IF(DATOS!$G2286="EX",1,IF(DATOS!$G2286="OR",--(COUNTIFS(nNIA,DATOS!$A2286,nCURSO,DATOS!$D2286,nESPEC,DATOS!$E2286,nASIG,DATOS!$I2286,nEVAL,"EX")=0),0))))</f>
      </c>
      <c r="H2286">
        <f>IF(DATOS!$G2286&lt;&gt;"EX",0,--(COUNTIFS(nNIA,DATOS!$A2286,nCURSO,DATOS!$D2286,nESPEC,DATOS!$E2286,nASIG,DATOS!$I2286,nEVAL,"OR")=0))</f>
      </c>
      <c r="I2286">
        <f>IF(DATOS!$I2286="","",IFERROR(VLOOKUP(DATOS!$I2286,CONFIG_ASIGNATURAS!$B$2:$J$91,9,FALSE()),""))</f>
      </c>
    </row>
    <row r="2287">
      <c r="F2287">
        <f>IF(DATOS!$A2287="","",DATOS!$A2287&amp;"|"&amp;DATOS!$D2287&amp;"|"&amp;DATOS!$E2287&amp;"|"&amp;DATOS!$I2287)</f>
      </c>
      <c r="G2287">
        <f>IF(DATOS!$A2287="",0,IF(CONFIG_METADATA!$B$4&lt;&gt;"OR+EX",--(DATOS!$G2287=CONFIG_METADATA!$B$4),IF(DATOS!$G2287="EX",1,IF(DATOS!$G2287="OR",--(COUNTIFS(nNIA,DATOS!$A2287,nCURSO,DATOS!$D2287,nESPEC,DATOS!$E2287,nASIG,DATOS!$I2287,nEVAL,"EX")=0),0))))</f>
      </c>
      <c r="H2287">
        <f>IF(DATOS!$G2287&lt;&gt;"EX",0,--(COUNTIFS(nNIA,DATOS!$A2287,nCURSO,DATOS!$D2287,nESPEC,DATOS!$E2287,nASIG,DATOS!$I2287,nEVAL,"OR")=0))</f>
      </c>
      <c r="I2287">
        <f>IF(DATOS!$I2287="","",IFERROR(VLOOKUP(DATOS!$I2287,CONFIG_ASIGNATURAS!$B$2:$J$91,9,FALSE()),""))</f>
      </c>
    </row>
    <row r="2288">
      <c r="F2288">
        <f>IF(DATOS!$A2288="","",DATOS!$A2288&amp;"|"&amp;DATOS!$D2288&amp;"|"&amp;DATOS!$E2288&amp;"|"&amp;DATOS!$I2288)</f>
      </c>
      <c r="G2288">
        <f>IF(DATOS!$A2288="",0,IF(CONFIG_METADATA!$B$4&lt;&gt;"OR+EX",--(DATOS!$G2288=CONFIG_METADATA!$B$4),IF(DATOS!$G2288="EX",1,IF(DATOS!$G2288="OR",--(COUNTIFS(nNIA,DATOS!$A2288,nCURSO,DATOS!$D2288,nESPEC,DATOS!$E2288,nASIG,DATOS!$I2288,nEVAL,"EX")=0),0))))</f>
      </c>
      <c r="H2288">
        <f>IF(DATOS!$G2288&lt;&gt;"EX",0,--(COUNTIFS(nNIA,DATOS!$A2288,nCURSO,DATOS!$D2288,nESPEC,DATOS!$E2288,nASIG,DATOS!$I2288,nEVAL,"OR")=0))</f>
      </c>
      <c r="I2288">
        <f>IF(DATOS!$I2288="","",IFERROR(VLOOKUP(DATOS!$I2288,CONFIG_ASIGNATURAS!$B$2:$J$91,9,FALSE()),""))</f>
      </c>
    </row>
    <row r="2289">
      <c r="F2289">
        <f>IF(DATOS!$A2289="","",DATOS!$A2289&amp;"|"&amp;DATOS!$D2289&amp;"|"&amp;DATOS!$E2289&amp;"|"&amp;DATOS!$I2289)</f>
      </c>
      <c r="G2289">
        <f>IF(DATOS!$A2289="",0,IF(CONFIG_METADATA!$B$4&lt;&gt;"OR+EX",--(DATOS!$G2289=CONFIG_METADATA!$B$4),IF(DATOS!$G2289="EX",1,IF(DATOS!$G2289="OR",--(COUNTIFS(nNIA,DATOS!$A2289,nCURSO,DATOS!$D2289,nESPEC,DATOS!$E2289,nASIG,DATOS!$I2289,nEVAL,"EX")=0),0))))</f>
      </c>
      <c r="H2289">
        <f>IF(DATOS!$G2289&lt;&gt;"EX",0,--(COUNTIFS(nNIA,DATOS!$A2289,nCURSO,DATOS!$D2289,nESPEC,DATOS!$E2289,nASIG,DATOS!$I2289,nEVAL,"OR")=0))</f>
      </c>
      <c r="I2289">
        <f>IF(DATOS!$I2289="","",IFERROR(VLOOKUP(DATOS!$I2289,CONFIG_ASIGNATURAS!$B$2:$J$91,9,FALSE()),""))</f>
      </c>
    </row>
    <row r="2290">
      <c r="F2290">
        <f>IF(DATOS!$A2290="","",DATOS!$A2290&amp;"|"&amp;DATOS!$D2290&amp;"|"&amp;DATOS!$E2290&amp;"|"&amp;DATOS!$I2290)</f>
      </c>
      <c r="G2290">
        <f>IF(DATOS!$A2290="",0,IF(CONFIG_METADATA!$B$4&lt;&gt;"OR+EX",--(DATOS!$G2290=CONFIG_METADATA!$B$4),IF(DATOS!$G2290="EX",1,IF(DATOS!$G2290="OR",--(COUNTIFS(nNIA,DATOS!$A2290,nCURSO,DATOS!$D2290,nESPEC,DATOS!$E2290,nASIG,DATOS!$I2290,nEVAL,"EX")=0),0))))</f>
      </c>
      <c r="H2290">
        <f>IF(DATOS!$G2290&lt;&gt;"EX",0,--(COUNTIFS(nNIA,DATOS!$A2290,nCURSO,DATOS!$D2290,nESPEC,DATOS!$E2290,nASIG,DATOS!$I2290,nEVAL,"OR")=0))</f>
      </c>
      <c r="I2290">
        <f>IF(DATOS!$I2290="","",IFERROR(VLOOKUP(DATOS!$I2290,CONFIG_ASIGNATURAS!$B$2:$J$91,9,FALSE()),""))</f>
      </c>
    </row>
    <row r="2291">
      <c r="F2291">
        <f>IF(DATOS!$A2291="","",DATOS!$A2291&amp;"|"&amp;DATOS!$D2291&amp;"|"&amp;DATOS!$E2291&amp;"|"&amp;DATOS!$I2291)</f>
      </c>
      <c r="G2291">
        <f>IF(DATOS!$A2291="",0,IF(CONFIG_METADATA!$B$4&lt;&gt;"OR+EX",--(DATOS!$G2291=CONFIG_METADATA!$B$4),IF(DATOS!$G2291="EX",1,IF(DATOS!$G2291="OR",--(COUNTIFS(nNIA,DATOS!$A2291,nCURSO,DATOS!$D2291,nESPEC,DATOS!$E2291,nASIG,DATOS!$I2291,nEVAL,"EX")=0),0))))</f>
      </c>
      <c r="H2291">
        <f>IF(DATOS!$G2291&lt;&gt;"EX",0,--(COUNTIFS(nNIA,DATOS!$A2291,nCURSO,DATOS!$D2291,nESPEC,DATOS!$E2291,nASIG,DATOS!$I2291,nEVAL,"OR")=0))</f>
      </c>
      <c r="I2291">
        <f>IF(DATOS!$I2291="","",IFERROR(VLOOKUP(DATOS!$I2291,CONFIG_ASIGNATURAS!$B$2:$J$91,9,FALSE()),""))</f>
      </c>
    </row>
    <row r="2292">
      <c r="F2292">
        <f>IF(DATOS!$A2292="","",DATOS!$A2292&amp;"|"&amp;DATOS!$D2292&amp;"|"&amp;DATOS!$E2292&amp;"|"&amp;DATOS!$I2292)</f>
      </c>
      <c r="G2292">
        <f>IF(DATOS!$A2292="",0,IF(CONFIG_METADATA!$B$4&lt;&gt;"OR+EX",--(DATOS!$G2292=CONFIG_METADATA!$B$4),IF(DATOS!$G2292="EX",1,IF(DATOS!$G2292="OR",--(COUNTIFS(nNIA,DATOS!$A2292,nCURSO,DATOS!$D2292,nESPEC,DATOS!$E2292,nASIG,DATOS!$I2292,nEVAL,"EX")=0),0))))</f>
      </c>
      <c r="H2292">
        <f>IF(DATOS!$G2292&lt;&gt;"EX",0,--(COUNTIFS(nNIA,DATOS!$A2292,nCURSO,DATOS!$D2292,nESPEC,DATOS!$E2292,nASIG,DATOS!$I2292,nEVAL,"OR")=0))</f>
      </c>
      <c r="I2292">
        <f>IF(DATOS!$I2292="","",IFERROR(VLOOKUP(DATOS!$I2292,CONFIG_ASIGNATURAS!$B$2:$J$91,9,FALSE()),""))</f>
      </c>
    </row>
    <row r="2293">
      <c r="F2293">
        <f>IF(DATOS!$A2293="","",DATOS!$A2293&amp;"|"&amp;DATOS!$D2293&amp;"|"&amp;DATOS!$E2293&amp;"|"&amp;DATOS!$I2293)</f>
      </c>
      <c r="G2293">
        <f>IF(DATOS!$A2293="",0,IF(CONFIG_METADATA!$B$4&lt;&gt;"OR+EX",--(DATOS!$G2293=CONFIG_METADATA!$B$4),IF(DATOS!$G2293="EX",1,IF(DATOS!$G2293="OR",--(COUNTIFS(nNIA,DATOS!$A2293,nCURSO,DATOS!$D2293,nESPEC,DATOS!$E2293,nASIG,DATOS!$I2293,nEVAL,"EX")=0),0))))</f>
      </c>
      <c r="H2293">
        <f>IF(DATOS!$G2293&lt;&gt;"EX",0,--(COUNTIFS(nNIA,DATOS!$A2293,nCURSO,DATOS!$D2293,nESPEC,DATOS!$E2293,nASIG,DATOS!$I2293,nEVAL,"OR")=0))</f>
      </c>
      <c r="I2293">
        <f>IF(DATOS!$I2293="","",IFERROR(VLOOKUP(DATOS!$I2293,CONFIG_ASIGNATURAS!$B$2:$J$91,9,FALSE()),""))</f>
      </c>
    </row>
    <row r="2294">
      <c r="F2294">
        <f>IF(DATOS!$A2294="","",DATOS!$A2294&amp;"|"&amp;DATOS!$D2294&amp;"|"&amp;DATOS!$E2294&amp;"|"&amp;DATOS!$I2294)</f>
      </c>
      <c r="G2294">
        <f>IF(DATOS!$A2294="",0,IF(CONFIG_METADATA!$B$4&lt;&gt;"OR+EX",--(DATOS!$G2294=CONFIG_METADATA!$B$4),IF(DATOS!$G2294="EX",1,IF(DATOS!$G2294="OR",--(COUNTIFS(nNIA,DATOS!$A2294,nCURSO,DATOS!$D2294,nESPEC,DATOS!$E2294,nASIG,DATOS!$I2294,nEVAL,"EX")=0),0))))</f>
      </c>
      <c r="H2294">
        <f>IF(DATOS!$G2294&lt;&gt;"EX",0,--(COUNTIFS(nNIA,DATOS!$A2294,nCURSO,DATOS!$D2294,nESPEC,DATOS!$E2294,nASIG,DATOS!$I2294,nEVAL,"OR")=0))</f>
      </c>
      <c r="I2294">
        <f>IF(DATOS!$I2294="","",IFERROR(VLOOKUP(DATOS!$I2294,CONFIG_ASIGNATURAS!$B$2:$J$91,9,FALSE()),""))</f>
      </c>
    </row>
    <row r="2295">
      <c r="F2295">
        <f>IF(DATOS!$A2295="","",DATOS!$A2295&amp;"|"&amp;DATOS!$D2295&amp;"|"&amp;DATOS!$E2295&amp;"|"&amp;DATOS!$I2295)</f>
      </c>
      <c r="G2295">
        <f>IF(DATOS!$A2295="",0,IF(CONFIG_METADATA!$B$4&lt;&gt;"OR+EX",--(DATOS!$G2295=CONFIG_METADATA!$B$4),IF(DATOS!$G2295="EX",1,IF(DATOS!$G2295="OR",--(COUNTIFS(nNIA,DATOS!$A2295,nCURSO,DATOS!$D2295,nESPEC,DATOS!$E2295,nASIG,DATOS!$I2295,nEVAL,"EX")=0),0))))</f>
      </c>
      <c r="H2295">
        <f>IF(DATOS!$G2295&lt;&gt;"EX",0,--(COUNTIFS(nNIA,DATOS!$A2295,nCURSO,DATOS!$D2295,nESPEC,DATOS!$E2295,nASIG,DATOS!$I2295,nEVAL,"OR")=0))</f>
      </c>
      <c r="I2295">
        <f>IF(DATOS!$I2295="","",IFERROR(VLOOKUP(DATOS!$I2295,CONFIG_ASIGNATURAS!$B$2:$J$91,9,FALSE()),""))</f>
      </c>
    </row>
    <row r="2296">
      <c r="F2296">
        <f>IF(DATOS!$A2296="","",DATOS!$A2296&amp;"|"&amp;DATOS!$D2296&amp;"|"&amp;DATOS!$E2296&amp;"|"&amp;DATOS!$I2296)</f>
      </c>
      <c r="G2296">
        <f>IF(DATOS!$A2296="",0,IF(CONFIG_METADATA!$B$4&lt;&gt;"OR+EX",--(DATOS!$G2296=CONFIG_METADATA!$B$4),IF(DATOS!$G2296="EX",1,IF(DATOS!$G2296="OR",--(COUNTIFS(nNIA,DATOS!$A2296,nCURSO,DATOS!$D2296,nESPEC,DATOS!$E2296,nASIG,DATOS!$I2296,nEVAL,"EX")=0),0))))</f>
      </c>
      <c r="H2296">
        <f>IF(DATOS!$G2296&lt;&gt;"EX",0,--(COUNTIFS(nNIA,DATOS!$A2296,nCURSO,DATOS!$D2296,nESPEC,DATOS!$E2296,nASIG,DATOS!$I2296,nEVAL,"OR")=0))</f>
      </c>
      <c r="I2296">
        <f>IF(DATOS!$I2296="","",IFERROR(VLOOKUP(DATOS!$I2296,CONFIG_ASIGNATURAS!$B$2:$J$91,9,FALSE()),""))</f>
      </c>
    </row>
    <row r="2297">
      <c r="F2297">
        <f>IF(DATOS!$A2297="","",DATOS!$A2297&amp;"|"&amp;DATOS!$D2297&amp;"|"&amp;DATOS!$E2297&amp;"|"&amp;DATOS!$I2297)</f>
      </c>
      <c r="G2297">
        <f>IF(DATOS!$A2297="",0,IF(CONFIG_METADATA!$B$4&lt;&gt;"OR+EX",--(DATOS!$G2297=CONFIG_METADATA!$B$4),IF(DATOS!$G2297="EX",1,IF(DATOS!$G2297="OR",--(COUNTIFS(nNIA,DATOS!$A2297,nCURSO,DATOS!$D2297,nESPEC,DATOS!$E2297,nASIG,DATOS!$I2297,nEVAL,"EX")=0),0))))</f>
      </c>
      <c r="H2297">
        <f>IF(DATOS!$G2297&lt;&gt;"EX",0,--(COUNTIFS(nNIA,DATOS!$A2297,nCURSO,DATOS!$D2297,nESPEC,DATOS!$E2297,nASIG,DATOS!$I2297,nEVAL,"OR")=0))</f>
      </c>
      <c r="I2297">
        <f>IF(DATOS!$I2297="","",IFERROR(VLOOKUP(DATOS!$I2297,CONFIG_ASIGNATURAS!$B$2:$J$91,9,FALSE()),""))</f>
      </c>
    </row>
    <row r="2298">
      <c r="F2298">
        <f>IF(DATOS!$A2298="","",DATOS!$A2298&amp;"|"&amp;DATOS!$D2298&amp;"|"&amp;DATOS!$E2298&amp;"|"&amp;DATOS!$I2298)</f>
      </c>
      <c r="G2298">
        <f>IF(DATOS!$A2298="",0,IF(CONFIG_METADATA!$B$4&lt;&gt;"OR+EX",--(DATOS!$G2298=CONFIG_METADATA!$B$4),IF(DATOS!$G2298="EX",1,IF(DATOS!$G2298="OR",--(COUNTIFS(nNIA,DATOS!$A2298,nCURSO,DATOS!$D2298,nESPEC,DATOS!$E2298,nASIG,DATOS!$I2298,nEVAL,"EX")=0),0))))</f>
      </c>
      <c r="H2298">
        <f>IF(DATOS!$G2298&lt;&gt;"EX",0,--(COUNTIFS(nNIA,DATOS!$A2298,nCURSO,DATOS!$D2298,nESPEC,DATOS!$E2298,nASIG,DATOS!$I2298,nEVAL,"OR")=0))</f>
      </c>
      <c r="I2298">
        <f>IF(DATOS!$I2298="","",IFERROR(VLOOKUP(DATOS!$I2298,CONFIG_ASIGNATURAS!$B$2:$J$91,9,FALSE()),""))</f>
      </c>
    </row>
    <row r="2299">
      <c r="F2299">
        <f>IF(DATOS!$A2299="","",DATOS!$A2299&amp;"|"&amp;DATOS!$D2299&amp;"|"&amp;DATOS!$E2299&amp;"|"&amp;DATOS!$I2299)</f>
      </c>
      <c r="G2299">
        <f>IF(DATOS!$A2299="",0,IF(CONFIG_METADATA!$B$4&lt;&gt;"OR+EX",--(DATOS!$G2299=CONFIG_METADATA!$B$4),IF(DATOS!$G2299="EX",1,IF(DATOS!$G2299="OR",--(COUNTIFS(nNIA,DATOS!$A2299,nCURSO,DATOS!$D2299,nESPEC,DATOS!$E2299,nASIG,DATOS!$I2299,nEVAL,"EX")=0),0))))</f>
      </c>
      <c r="H2299">
        <f>IF(DATOS!$G2299&lt;&gt;"EX",0,--(COUNTIFS(nNIA,DATOS!$A2299,nCURSO,DATOS!$D2299,nESPEC,DATOS!$E2299,nASIG,DATOS!$I2299,nEVAL,"OR")=0))</f>
      </c>
      <c r="I2299">
        <f>IF(DATOS!$I2299="","",IFERROR(VLOOKUP(DATOS!$I2299,CONFIG_ASIGNATURAS!$B$2:$J$91,9,FALSE()),""))</f>
      </c>
    </row>
    <row r="2300">
      <c r="F2300">
        <f>IF(DATOS!$A2300="","",DATOS!$A2300&amp;"|"&amp;DATOS!$D2300&amp;"|"&amp;DATOS!$E2300&amp;"|"&amp;DATOS!$I2300)</f>
      </c>
      <c r="G2300">
        <f>IF(DATOS!$A2300="",0,IF(CONFIG_METADATA!$B$4&lt;&gt;"OR+EX",--(DATOS!$G2300=CONFIG_METADATA!$B$4),IF(DATOS!$G2300="EX",1,IF(DATOS!$G2300="OR",--(COUNTIFS(nNIA,DATOS!$A2300,nCURSO,DATOS!$D2300,nESPEC,DATOS!$E2300,nASIG,DATOS!$I2300,nEVAL,"EX")=0),0))))</f>
      </c>
      <c r="H2300">
        <f>IF(DATOS!$G2300&lt;&gt;"EX",0,--(COUNTIFS(nNIA,DATOS!$A2300,nCURSO,DATOS!$D2300,nESPEC,DATOS!$E2300,nASIG,DATOS!$I2300,nEVAL,"OR")=0))</f>
      </c>
      <c r="I2300">
        <f>IF(DATOS!$I2300="","",IFERROR(VLOOKUP(DATOS!$I2300,CONFIG_ASIGNATURAS!$B$2:$J$91,9,FALSE()),""))</f>
      </c>
    </row>
    <row r="2301">
      <c r="F2301">
        <f>IF(DATOS!$A2301="","",DATOS!$A2301&amp;"|"&amp;DATOS!$D2301&amp;"|"&amp;DATOS!$E2301&amp;"|"&amp;DATOS!$I2301)</f>
      </c>
      <c r="G2301">
        <f>IF(DATOS!$A2301="",0,IF(CONFIG_METADATA!$B$4&lt;&gt;"OR+EX",--(DATOS!$G2301=CONFIG_METADATA!$B$4),IF(DATOS!$G2301="EX",1,IF(DATOS!$G2301="OR",--(COUNTIFS(nNIA,DATOS!$A2301,nCURSO,DATOS!$D2301,nESPEC,DATOS!$E2301,nASIG,DATOS!$I2301,nEVAL,"EX")=0),0))))</f>
      </c>
      <c r="H2301">
        <f>IF(DATOS!$G2301&lt;&gt;"EX",0,--(COUNTIFS(nNIA,DATOS!$A2301,nCURSO,DATOS!$D2301,nESPEC,DATOS!$E2301,nASIG,DATOS!$I2301,nEVAL,"OR")=0))</f>
      </c>
      <c r="I2301">
        <f>IF(DATOS!$I2301="","",IFERROR(VLOOKUP(DATOS!$I2301,CONFIG_ASIGNATURAS!$B$2:$J$91,9,FALSE()),""))</f>
      </c>
    </row>
    <row r="2302">
      <c r="F2302">
        <f>IF(DATOS!$A2302="","",DATOS!$A2302&amp;"|"&amp;DATOS!$D2302&amp;"|"&amp;DATOS!$E2302&amp;"|"&amp;DATOS!$I2302)</f>
      </c>
      <c r="G2302">
        <f>IF(DATOS!$A2302="",0,IF(CONFIG_METADATA!$B$4&lt;&gt;"OR+EX",--(DATOS!$G2302=CONFIG_METADATA!$B$4),IF(DATOS!$G2302="EX",1,IF(DATOS!$G2302="OR",--(COUNTIFS(nNIA,DATOS!$A2302,nCURSO,DATOS!$D2302,nESPEC,DATOS!$E2302,nASIG,DATOS!$I2302,nEVAL,"EX")=0),0))))</f>
      </c>
      <c r="H2302">
        <f>IF(DATOS!$G2302&lt;&gt;"EX",0,--(COUNTIFS(nNIA,DATOS!$A2302,nCURSO,DATOS!$D2302,nESPEC,DATOS!$E2302,nASIG,DATOS!$I2302,nEVAL,"OR")=0))</f>
      </c>
      <c r="I2302">
        <f>IF(DATOS!$I2302="","",IFERROR(VLOOKUP(DATOS!$I2302,CONFIG_ASIGNATURAS!$B$2:$J$91,9,FALSE()),""))</f>
      </c>
    </row>
    <row r="2303">
      <c r="F2303">
        <f>IF(DATOS!$A2303="","",DATOS!$A2303&amp;"|"&amp;DATOS!$D2303&amp;"|"&amp;DATOS!$E2303&amp;"|"&amp;DATOS!$I2303)</f>
      </c>
      <c r="G2303">
        <f>IF(DATOS!$A2303="",0,IF(CONFIG_METADATA!$B$4&lt;&gt;"OR+EX",--(DATOS!$G2303=CONFIG_METADATA!$B$4),IF(DATOS!$G2303="EX",1,IF(DATOS!$G2303="OR",--(COUNTIFS(nNIA,DATOS!$A2303,nCURSO,DATOS!$D2303,nESPEC,DATOS!$E2303,nASIG,DATOS!$I2303,nEVAL,"EX")=0),0))))</f>
      </c>
      <c r="H2303">
        <f>IF(DATOS!$G2303&lt;&gt;"EX",0,--(COUNTIFS(nNIA,DATOS!$A2303,nCURSO,DATOS!$D2303,nESPEC,DATOS!$E2303,nASIG,DATOS!$I2303,nEVAL,"OR")=0))</f>
      </c>
      <c r="I2303">
        <f>IF(DATOS!$I2303="","",IFERROR(VLOOKUP(DATOS!$I2303,CONFIG_ASIGNATURAS!$B$2:$J$91,9,FALSE()),""))</f>
      </c>
    </row>
    <row r="2304">
      <c r="F2304">
        <f>IF(DATOS!$A2304="","",DATOS!$A2304&amp;"|"&amp;DATOS!$D2304&amp;"|"&amp;DATOS!$E2304&amp;"|"&amp;DATOS!$I2304)</f>
      </c>
      <c r="G2304">
        <f>IF(DATOS!$A2304="",0,IF(CONFIG_METADATA!$B$4&lt;&gt;"OR+EX",--(DATOS!$G2304=CONFIG_METADATA!$B$4),IF(DATOS!$G2304="EX",1,IF(DATOS!$G2304="OR",--(COUNTIFS(nNIA,DATOS!$A2304,nCURSO,DATOS!$D2304,nESPEC,DATOS!$E2304,nASIG,DATOS!$I2304,nEVAL,"EX")=0),0))))</f>
      </c>
      <c r="H2304">
        <f>IF(DATOS!$G2304&lt;&gt;"EX",0,--(COUNTIFS(nNIA,DATOS!$A2304,nCURSO,DATOS!$D2304,nESPEC,DATOS!$E2304,nASIG,DATOS!$I2304,nEVAL,"OR")=0))</f>
      </c>
      <c r="I2304">
        <f>IF(DATOS!$I2304="","",IFERROR(VLOOKUP(DATOS!$I2304,CONFIG_ASIGNATURAS!$B$2:$J$91,9,FALSE()),""))</f>
      </c>
    </row>
    <row r="2305">
      <c r="F2305">
        <f>IF(DATOS!$A2305="","",DATOS!$A2305&amp;"|"&amp;DATOS!$D2305&amp;"|"&amp;DATOS!$E2305&amp;"|"&amp;DATOS!$I2305)</f>
      </c>
      <c r="G2305">
        <f>IF(DATOS!$A2305="",0,IF(CONFIG_METADATA!$B$4&lt;&gt;"OR+EX",--(DATOS!$G2305=CONFIG_METADATA!$B$4),IF(DATOS!$G2305="EX",1,IF(DATOS!$G2305="OR",--(COUNTIFS(nNIA,DATOS!$A2305,nCURSO,DATOS!$D2305,nESPEC,DATOS!$E2305,nASIG,DATOS!$I2305,nEVAL,"EX")=0),0))))</f>
      </c>
      <c r="H2305">
        <f>IF(DATOS!$G2305&lt;&gt;"EX",0,--(COUNTIFS(nNIA,DATOS!$A2305,nCURSO,DATOS!$D2305,nESPEC,DATOS!$E2305,nASIG,DATOS!$I2305,nEVAL,"OR")=0))</f>
      </c>
      <c r="I2305">
        <f>IF(DATOS!$I2305="","",IFERROR(VLOOKUP(DATOS!$I2305,CONFIG_ASIGNATURAS!$B$2:$J$91,9,FALSE()),""))</f>
      </c>
    </row>
    <row r="2306">
      <c r="F2306">
        <f>IF(DATOS!$A2306="","",DATOS!$A2306&amp;"|"&amp;DATOS!$D2306&amp;"|"&amp;DATOS!$E2306&amp;"|"&amp;DATOS!$I2306)</f>
      </c>
      <c r="G2306">
        <f>IF(DATOS!$A2306="",0,IF(CONFIG_METADATA!$B$4&lt;&gt;"OR+EX",--(DATOS!$G2306=CONFIG_METADATA!$B$4),IF(DATOS!$G2306="EX",1,IF(DATOS!$G2306="OR",--(COUNTIFS(nNIA,DATOS!$A2306,nCURSO,DATOS!$D2306,nESPEC,DATOS!$E2306,nASIG,DATOS!$I2306,nEVAL,"EX")=0),0))))</f>
      </c>
      <c r="H2306">
        <f>IF(DATOS!$G2306&lt;&gt;"EX",0,--(COUNTIFS(nNIA,DATOS!$A2306,nCURSO,DATOS!$D2306,nESPEC,DATOS!$E2306,nASIG,DATOS!$I2306,nEVAL,"OR")=0))</f>
      </c>
      <c r="I2306">
        <f>IF(DATOS!$I2306="","",IFERROR(VLOOKUP(DATOS!$I2306,CONFIG_ASIGNATURAS!$B$2:$J$91,9,FALSE()),""))</f>
      </c>
    </row>
    <row r="2307">
      <c r="F2307">
        <f>IF(DATOS!$A2307="","",DATOS!$A2307&amp;"|"&amp;DATOS!$D2307&amp;"|"&amp;DATOS!$E2307&amp;"|"&amp;DATOS!$I2307)</f>
      </c>
      <c r="G2307">
        <f>IF(DATOS!$A2307="",0,IF(CONFIG_METADATA!$B$4&lt;&gt;"OR+EX",--(DATOS!$G2307=CONFIG_METADATA!$B$4),IF(DATOS!$G2307="EX",1,IF(DATOS!$G2307="OR",--(COUNTIFS(nNIA,DATOS!$A2307,nCURSO,DATOS!$D2307,nESPEC,DATOS!$E2307,nASIG,DATOS!$I2307,nEVAL,"EX")=0),0))))</f>
      </c>
      <c r="H2307">
        <f>IF(DATOS!$G2307&lt;&gt;"EX",0,--(COUNTIFS(nNIA,DATOS!$A2307,nCURSO,DATOS!$D2307,nESPEC,DATOS!$E2307,nASIG,DATOS!$I2307,nEVAL,"OR")=0))</f>
      </c>
      <c r="I2307">
        <f>IF(DATOS!$I2307="","",IFERROR(VLOOKUP(DATOS!$I2307,CONFIG_ASIGNATURAS!$B$2:$J$91,9,FALSE()),""))</f>
      </c>
    </row>
    <row r="2308">
      <c r="F2308">
        <f>IF(DATOS!$A2308="","",DATOS!$A2308&amp;"|"&amp;DATOS!$D2308&amp;"|"&amp;DATOS!$E2308&amp;"|"&amp;DATOS!$I2308)</f>
      </c>
      <c r="G2308">
        <f>IF(DATOS!$A2308="",0,IF(CONFIG_METADATA!$B$4&lt;&gt;"OR+EX",--(DATOS!$G2308=CONFIG_METADATA!$B$4),IF(DATOS!$G2308="EX",1,IF(DATOS!$G2308="OR",--(COUNTIFS(nNIA,DATOS!$A2308,nCURSO,DATOS!$D2308,nESPEC,DATOS!$E2308,nASIG,DATOS!$I2308,nEVAL,"EX")=0),0))))</f>
      </c>
      <c r="H2308">
        <f>IF(DATOS!$G2308&lt;&gt;"EX",0,--(COUNTIFS(nNIA,DATOS!$A2308,nCURSO,DATOS!$D2308,nESPEC,DATOS!$E2308,nASIG,DATOS!$I2308,nEVAL,"OR")=0))</f>
      </c>
      <c r="I2308">
        <f>IF(DATOS!$I2308="","",IFERROR(VLOOKUP(DATOS!$I2308,CONFIG_ASIGNATURAS!$B$2:$J$91,9,FALSE()),""))</f>
      </c>
    </row>
    <row r="2309">
      <c r="F2309">
        <f>IF(DATOS!$A2309="","",DATOS!$A2309&amp;"|"&amp;DATOS!$D2309&amp;"|"&amp;DATOS!$E2309&amp;"|"&amp;DATOS!$I2309)</f>
      </c>
      <c r="G2309">
        <f>IF(DATOS!$A2309="",0,IF(CONFIG_METADATA!$B$4&lt;&gt;"OR+EX",--(DATOS!$G2309=CONFIG_METADATA!$B$4),IF(DATOS!$G2309="EX",1,IF(DATOS!$G2309="OR",--(COUNTIFS(nNIA,DATOS!$A2309,nCURSO,DATOS!$D2309,nESPEC,DATOS!$E2309,nASIG,DATOS!$I2309,nEVAL,"EX")=0),0))))</f>
      </c>
      <c r="H2309">
        <f>IF(DATOS!$G2309&lt;&gt;"EX",0,--(COUNTIFS(nNIA,DATOS!$A2309,nCURSO,DATOS!$D2309,nESPEC,DATOS!$E2309,nASIG,DATOS!$I2309,nEVAL,"OR")=0))</f>
      </c>
      <c r="I2309">
        <f>IF(DATOS!$I2309="","",IFERROR(VLOOKUP(DATOS!$I2309,CONFIG_ASIGNATURAS!$B$2:$J$91,9,FALSE()),""))</f>
      </c>
    </row>
    <row r="2310">
      <c r="F2310">
        <f>IF(DATOS!$A2310="","",DATOS!$A2310&amp;"|"&amp;DATOS!$D2310&amp;"|"&amp;DATOS!$E2310&amp;"|"&amp;DATOS!$I2310)</f>
      </c>
      <c r="G2310">
        <f>IF(DATOS!$A2310="",0,IF(CONFIG_METADATA!$B$4&lt;&gt;"OR+EX",--(DATOS!$G2310=CONFIG_METADATA!$B$4),IF(DATOS!$G2310="EX",1,IF(DATOS!$G2310="OR",--(COUNTIFS(nNIA,DATOS!$A2310,nCURSO,DATOS!$D2310,nESPEC,DATOS!$E2310,nASIG,DATOS!$I2310,nEVAL,"EX")=0),0))))</f>
      </c>
      <c r="H2310">
        <f>IF(DATOS!$G2310&lt;&gt;"EX",0,--(COUNTIFS(nNIA,DATOS!$A2310,nCURSO,DATOS!$D2310,nESPEC,DATOS!$E2310,nASIG,DATOS!$I2310,nEVAL,"OR")=0))</f>
      </c>
      <c r="I2310">
        <f>IF(DATOS!$I2310="","",IFERROR(VLOOKUP(DATOS!$I2310,CONFIG_ASIGNATURAS!$B$2:$J$91,9,FALSE()),""))</f>
      </c>
    </row>
    <row r="2311">
      <c r="F2311">
        <f>IF(DATOS!$A2311="","",DATOS!$A2311&amp;"|"&amp;DATOS!$D2311&amp;"|"&amp;DATOS!$E2311&amp;"|"&amp;DATOS!$I2311)</f>
      </c>
      <c r="G2311">
        <f>IF(DATOS!$A2311="",0,IF(CONFIG_METADATA!$B$4&lt;&gt;"OR+EX",--(DATOS!$G2311=CONFIG_METADATA!$B$4),IF(DATOS!$G2311="EX",1,IF(DATOS!$G2311="OR",--(COUNTIFS(nNIA,DATOS!$A2311,nCURSO,DATOS!$D2311,nESPEC,DATOS!$E2311,nASIG,DATOS!$I2311,nEVAL,"EX")=0),0))))</f>
      </c>
      <c r="H2311">
        <f>IF(DATOS!$G2311&lt;&gt;"EX",0,--(COUNTIFS(nNIA,DATOS!$A2311,nCURSO,DATOS!$D2311,nESPEC,DATOS!$E2311,nASIG,DATOS!$I2311,nEVAL,"OR")=0))</f>
      </c>
      <c r="I2311">
        <f>IF(DATOS!$I2311="","",IFERROR(VLOOKUP(DATOS!$I2311,CONFIG_ASIGNATURAS!$B$2:$J$91,9,FALSE()),""))</f>
      </c>
    </row>
    <row r="2312">
      <c r="F2312">
        <f>IF(DATOS!$A2312="","",DATOS!$A2312&amp;"|"&amp;DATOS!$D2312&amp;"|"&amp;DATOS!$E2312&amp;"|"&amp;DATOS!$I2312)</f>
      </c>
      <c r="G2312">
        <f>IF(DATOS!$A2312="",0,IF(CONFIG_METADATA!$B$4&lt;&gt;"OR+EX",--(DATOS!$G2312=CONFIG_METADATA!$B$4),IF(DATOS!$G2312="EX",1,IF(DATOS!$G2312="OR",--(COUNTIFS(nNIA,DATOS!$A2312,nCURSO,DATOS!$D2312,nESPEC,DATOS!$E2312,nASIG,DATOS!$I2312,nEVAL,"EX")=0),0))))</f>
      </c>
      <c r="H2312">
        <f>IF(DATOS!$G2312&lt;&gt;"EX",0,--(COUNTIFS(nNIA,DATOS!$A2312,nCURSO,DATOS!$D2312,nESPEC,DATOS!$E2312,nASIG,DATOS!$I2312,nEVAL,"OR")=0))</f>
      </c>
      <c r="I2312">
        <f>IF(DATOS!$I2312="","",IFERROR(VLOOKUP(DATOS!$I2312,CONFIG_ASIGNATURAS!$B$2:$J$91,9,FALSE()),""))</f>
      </c>
    </row>
    <row r="2313">
      <c r="F2313">
        <f>IF(DATOS!$A2313="","",DATOS!$A2313&amp;"|"&amp;DATOS!$D2313&amp;"|"&amp;DATOS!$E2313&amp;"|"&amp;DATOS!$I2313)</f>
      </c>
      <c r="G2313">
        <f>IF(DATOS!$A2313="",0,IF(CONFIG_METADATA!$B$4&lt;&gt;"OR+EX",--(DATOS!$G2313=CONFIG_METADATA!$B$4),IF(DATOS!$G2313="EX",1,IF(DATOS!$G2313="OR",--(COUNTIFS(nNIA,DATOS!$A2313,nCURSO,DATOS!$D2313,nESPEC,DATOS!$E2313,nASIG,DATOS!$I2313,nEVAL,"EX")=0),0))))</f>
      </c>
      <c r="H2313">
        <f>IF(DATOS!$G2313&lt;&gt;"EX",0,--(COUNTIFS(nNIA,DATOS!$A2313,nCURSO,DATOS!$D2313,nESPEC,DATOS!$E2313,nASIG,DATOS!$I2313,nEVAL,"OR")=0))</f>
      </c>
      <c r="I2313">
        <f>IF(DATOS!$I2313="","",IFERROR(VLOOKUP(DATOS!$I2313,CONFIG_ASIGNATURAS!$B$2:$J$91,9,FALSE()),""))</f>
      </c>
    </row>
    <row r="2314">
      <c r="F2314">
        <f>IF(DATOS!$A2314="","",DATOS!$A2314&amp;"|"&amp;DATOS!$D2314&amp;"|"&amp;DATOS!$E2314&amp;"|"&amp;DATOS!$I2314)</f>
      </c>
      <c r="G2314">
        <f>IF(DATOS!$A2314="",0,IF(CONFIG_METADATA!$B$4&lt;&gt;"OR+EX",--(DATOS!$G2314=CONFIG_METADATA!$B$4),IF(DATOS!$G2314="EX",1,IF(DATOS!$G2314="OR",--(COUNTIFS(nNIA,DATOS!$A2314,nCURSO,DATOS!$D2314,nESPEC,DATOS!$E2314,nASIG,DATOS!$I2314,nEVAL,"EX")=0),0))))</f>
      </c>
      <c r="H2314">
        <f>IF(DATOS!$G2314&lt;&gt;"EX",0,--(COUNTIFS(nNIA,DATOS!$A2314,nCURSO,DATOS!$D2314,nESPEC,DATOS!$E2314,nASIG,DATOS!$I2314,nEVAL,"OR")=0))</f>
      </c>
      <c r="I2314">
        <f>IF(DATOS!$I2314="","",IFERROR(VLOOKUP(DATOS!$I2314,CONFIG_ASIGNATURAS!$B$2:$J$91,9,FALSE()),""))</f>
      </c>
    </row>
    <row r="2315">
      <c r="F2315">
        <f>IF(DATOS!$A2315="","",DATOS!$A2315&amp;"|"&amp;DATOS!$D2315&amp;"|"&amp;DATOS!$E2315&amp;"|"&amp;DATOS!$I2315)</f>
      </c>
      <c r="G2315">
        <f>IF(DATOS!$A2315="",0,IF(CONFIG_METADATA!$B$4&lt;&gt;"OR+EX",--(DATOS!$G2315=CONFIG_METADATA!$B$4),IF(DATOS!$G2315="EX",1,IF(DATOS!$G2315="OR",--(COUNTIFS(nNIA,DATOS!$A2315,nCURSO,DATOS!$D2315,nESPEC,DATOS!$E2315,nASIG,DATOS!$I2315,nEVAL,"EX")=0),0))))</f>
      </c>
      <c r="H2315">
        <f>IF(DATOS!$G2315&lt;&gt;"EX",0,--(COUNTIFS(nNIA,DATOS!$A2315,nCURSO,DATOS!$D2315,nESPEC,DATOS!$E2315,nASIG,DATOS!$I2315,nEVAL,"OR")=0))</f>
      </c>
      <c r="I2315">
        <f>IF(DATOS!$I2315="","",IFERROR(VLOOKUP(DATOS!$I2315,CONFIG_ASIGNATURAS!$B$2:$J$91,9,FALSE()),""))</f>
      </c>
    </row>
    <row r="2316">
      <c r="F2316">
        <f>IF(DATOS!$A2316="","",DATOS!$A2316&amp;"|"&amp;DATOS!$D2316&amp;"|"&amp;DATOS!$E2316&amp;"|"&amp;DATOS!$I2316)</f>
      </c>
      <c r="G2316">
        <f>IF(DATOS!$A2316="",0,IF(CONFIG_METADATA!$B$4&lt;&gt;"OR+EX",--(DATOS!$G2316=CONFIG_METADATA!$B$4),IF(DATOS!$G2316="EX",1,IF(DATOS!$G2316="OR",--(COUNTIFS(nNIA,DATOS!$A2316,nCURSO,DATOS!$D2316,nESPEC,DATOS!$E2316,nASIG,DATOS!$I2316,nEVAL,"EX")=0),0))))</f>
      </c>
      <c r="H2316">
        <f>IF(DATOS!$G2316&lt;&gt;"EX",0,--(COUNTIFS(nNIA,DATOS!$A2316,nCURSO,DATOS!$D2316,nESPEC,DATOS!$E2316,nASIG,DATOS!$I2316,nEVAL,"OR")=0))</f>
      </c>
      <c r="I2316">
        <f>IF(DATOS!$I2316="","",IFERROR(VLOOKUP(DATOS!$I2316,CONFIG_ASIGNATURAS!$B$2:$J$91,9,FALSE()),""))</f>
      </c>
    </row>
    <row r="2317">
      <c r="F2317">
        <f>IF(DATOS!$A2317="","",DATOS!$A2317&amp;"|"&amp;DATOS!$D2317&amp;"|"&amp;DATOS!$E2317&amp;"|"&amp;DATOS!$I2317)</f>
      </c>
      <c r="G2317">
        <f>IF(DATOS!$A2317="",0,IF(CONFIG_METADATA!$B$4&lt;&gt;"OR+EX",--(DATOS!$G2317=CONFIG_METADATA!$B$4),IF(DATOS!$G2317="EX",1,IF(DATOS!$G2317="OR",--(COUNTIFS(nNIA,DATOS!$A2317,nCURSO,DATOS!$D2317,nESPEC,DATOS!$E2317,nASIG,DATOS!$I2317,nEVAL,"EX")=0),0))))</f>
      </c>
      <c r="H2317">
        <f>IF(DATOS!$G2317&lt;&gt;"EX",0,--(COUNTIFS(nNIA,DATOS!$A2317,nCURSO,DATOS!$D2317,nESPEC,DATOS!$E2317,nASIG,DATOS!$I2317,nEVAL,"OR")=0))</f>
      </c>
      <c r="I2317">
        <f>IF(DATOS!$I2317="","",IFERROR(VLOOKUP(DATOS!$I2317,CONFIG_ASIGNATURAS!$B$2:$J$91,9,FALSE()),""))</f>
      </c>
    </row>
    <row r="2318">
      <c r="F2318">
        <f>IF(DATOS!$A2318="","",DATOS!$A2318&amp;"|"&amp;DATOS!$D2318&amp;"|"&amp;DATOS!$E2318&amp;"|"&amp;DATOS!$I2318)</f>
      </c>
      <c r="G2318">
        <f>IF(DATOS!$A2318="",0,IF(CONFIG_METADATA!$B$4&lt;&gt;"OR+EX",--(DATOS!$G2318=CONFIG_METADATA!$B$4),IF(DATOS!$G2318="EX",1,IF(DATOS!$G2318="OR",--(COUNTIFS(nNIA,DATOS!$A2318,nCURSO,DATOS!$D2318,nESPEC,DATOS!$E2318,nASIG,DATOS!$I2318,nEVAL,"EX")=0),0))))</f>
      </c>
      <c r="H2318">
        <f>IF(DATOS!$G2318&lt;&gt;"EX",0,--(COUNTIFS(nNIA,DATOS!$A2318,nCURSO,DATOS!$D2318,nESPEC,DATOS!$E2318,nASIG,DATOS!$I2318,nEVAL,"OR")=0))</f>
      </c>
      <c r="I2318">
        <f>IF(DATOS!$I2318="","",IFERROR(VLOOKUP(DATOS!$I2318,CONFIG_ASIGNATURAS!$B$2:$J$91,9,FALSE()),""))</f>
      </c>
    </row>
    <row r="2319">
      <c r="F2319">
        <f>IF(DATOS!$A2319="","",DATOS!$A2319&amp;"|"&amp;DATOS!$D2319&amp;"|"&amp;DATOS!$E2319&amp;"|"&amp;DATOS!$I2319)</f>
      </c>
      <c r="G2319">
        <f>IF(DATOS!$A2319="",0,IF(CONFIG_METADATA!$B$4&lt;&gt;"OR+EX",--(DATOS!$G2319=CONFIG_METADATA!$B$4),IF(DATOS!$G2319="EX",1,IF(DATOS!$G2319="OR",--(COUNTIFS(nNIA,DATOS!$A2319,nCURSO,DATOS!$D2319,nESPEC,DATOS!$E2319,nASIG,DATOS!$I2319,nEVAL,"EX")=0),0))))</f>
      </c>
      <c r="H2319">
        <f>IF(DATOS!$G2319&lt;&gt;"EX",0,--(COUNTIFS(nNIA,DATOS!$A2319,nCURSO,DATOS!$D2319,nESPEC,DATOS!$E2319,nASIG,DATOS!$I2319,nEVAL,"OR")=0))</f>
      </c>
      <c r="I2319">
        <f>IF(DATOS!$I2319="","",IFERROR(VLOOKUP(DATOS!$I2319,CONFIG_ASIGNATURAS!$B$2:$J$91,9,FALSE()),""))</f>
      </c>
    </row>
    <row r="2320">
      <c r="F2320">
        <f>IF(DATOS!$A2320="","",DATOS!$A2320&amp;"|"&amp;DATOS!$D2320&amp;"|"&amp;DATOS!$E2320&amp;"|"&amp;DATOS!$I2320)</f>
      </c>
      <c r="G2320">
        <f>IF(DATOS!$A2320="",0,IF(CONFIG_METADATA!$B$4&lt;&gt;"OR+EX",--(DATOS!$G2320=CONFIG_METADATA!$B$4),IF(DATOS!$G2320="EX",1,IF(DATOS!$G2320="OR",--(COUNTIFS(nNIA,DATOS!$A2320,nCURSO,DATOS!$D2320,nESPEC,DATOS!$E2320,nASIG,DATOS!$I2320,nEVAL,"EX")=0),0))))</f>
      </c>
      <c r="H2320">
        <f>IF(DATOS!$G2320&lt;&gt;"EX",0,--(COUNTIFS(nNIA,DATOS!$A2320,nCURSO,DATOS!$D2320,nESPEC,DATOS!$E2320,nASIG,DATOS!$I2320,nEVAL,"OR")=0))</f>
      </c>
      <c r="I2320">
        <f>IF(DATOS!$I2320="","",IFERROR(VLOOKUP(DATOS!$I2320,CONFIG_ASIGNATURAS!$B$2:$J$91,9,FALSE()),""))</f>
      </c>
    </row>
    <row r="2321">
      <c r="F2321">
        <f>IF(DATOS!$A2321="","",DATOS!$A2321&amp;"|"&amp;DATOS!$D2321&amp;"|"&amp;DATOS!$E2321&amp;"|"&amp;DATOS!$I2321)</f>
      </c>
      <c r="G2321">
        <f>IF(DATOS!$A2321="",0,IF(CONFIG_METADATA!$B$4&lt;&gt;"OR+EX",--(DATOS!$G2321=CONFIG_METADATA!$B$4),IF(DATOS!$G2321="EX",1,IF(DATOS!$G2321="OR",--(COUNTIFS(nNIA,DATOS!$A2321,nCURSO,DATOS!$D2321,nESPEC,DATOS!$E2321,nASIG,DATOS!$I2321,nEVAL,"EX")=0),0))))</f>
      </c>
      <c r="H2321">
        <f>IF(DATOS!$G2321&lt;&gt;"EX",0,--(COUNTIFS(nNIA,DATOS!$A2321,nCURSO,DATOS!$D2321,nESPEC,DATOS!$E2321,nASIG,DATOS!$I2321,nEVAL,"OR")=0))</f>
      </c>
      <c r="I2321">
        <f>IF(DATOS!$I2321="","",IFERROR(VLOOKUP(DATOS!$I2321,CONFIG_ASIGNATURAS!$B$2:$J$91,9,FALSE()),""))</f>
      </c>
    </row>
    <row r="2322">
      <c r="F2322">
        <f>IF(DATOS!$A2322="","",DATOS!$A2322&amp;"|"&amp;DATOS!$D2322&amp;"|"&amp;DATOS!$E2322&amp;"|"&amp;DATOS!$I2322)</f>
      </c>
      <c r="G2322">
        <f>IF(DATOS!$A2322="",0,IF(CONFIG_METADATA!$B$4&lt;&gt;"OR+EX",--(DATOS!$G2322=CONFIG_METADATA!$B$4),IF(DATOS!$G2322="EX",1,IF(DATOS!$G2322="OR",--(COUNTIFS(nNIA,DATOS!$A2322,nCURSO,DATOS!$D2322,nESPEC,DATOS!$E2322,nASIG,DATOS!$I2322,nEVAL,"EX")=0),0))))</f>
      </c>
      <c r="H2322">
        <f>IF(DATOS!$G2322&lt;&gt;"EX",0,--(COUNTIFS(nNIA,DATOS!$A2322,nCURSO,DATOS!$D2322,nESPEC,DATOS!$E2322,nASIG,DATOS!$I2322,nEVAL,"OR")=0))</f>
      </c>
      <c r="I2322">
        <f>IF(DATOS!$I2322="","",IFERROR(VLOOKUP(DATOS!$I2322,CONFIG_ASIGNATURAS!$B$2:$J$91,9,FALSE()),""))</f>
      </c>
    </row>
    <row r="2323">
      <c r="F2323">
        <f>IF(DATOS!$A2323="","",DATOS!$A2323&amp;"|"&amp;DATOS!$D2323&amp;"|"&amp;DATOS!$E2323&amp;"|"&amp;DATOS!$I2323)</f>
      </c>
      <c r="G2323">
        <f>IF(DATOS!$A2323="",0,IF(CONFIG_METADATA!$B$4&lt;&gt;"OR+EX",--(DATOS!$G2323=CONFIG_METADATA!$B$4),IF(DATOS!$G2323="EX",1,IF(DATOS!$G2323="OR",--(COUNTIFS(nNIA,DATOS!$A2323,nCURSO,DATOS!$D2323,nESPEC,DATOS!$E2323,nASIG,DATOS!$I2323,nEVAL,"EX")=0),0))))</f>
      </c>
      <c r="H2323">
        <f>IF(DATOS!$G2323&lt;&gt;"EX",0,--(COUNTIFS(nNIA,DATOS!$A2323,nCURSO,DATOS!$D2323,nESPEC,DATOS!$E2323,nASIG,DATOS!$I2323,nEVAL,"OR")=0))</f>
      </c>
      <c r="I2323">
        <f>IF(DATOS!$I2323="","",IFERROR(VLOOKUP(DATOS!$I2323,CONFIG_ASIGNATURAS!$B$2:$J$91,9,FALSE()),""))</f>
      </c>
    </row>
    <row r="2324">
      <c r="F2324">
        <f>IF(DATOS!$A2324="","",DATOS!$A2324&amp;"|"&amp;DATOS!$D2324&amp;"|"&amp;DATOS!$E2324&amp;"|"&amp;DATOS!$I2324)</f>
      </c>
      <c r="G2324">
        <f>IF(DATOS!$A2324="",0,IF(CONFIG_METADATA!$B$4&lt;&gt;"OR+EX",--(DATOS!$G2324=CONFIG_METADATA!$B$4),IF(DATOS!$G2324="EX",1,IF(DATOS!$G2324="OR",--(COUNTIFS(nNIA,DATOS!$A2324,nCURSO,DATOS!$D2324,nESPEC,DATOS!$E2324,nASIG,DATOS!$I2324,nEVAL,"EX")=0),0))))</f>
      </c>
      <c r="H2324">
        <f>IF(DATOS!$G2324&lt;&gt;"EX",0,--(COUNTIFS(nNIA,DATOS!$A2324,nCURSO,DATOS!$D2324,nESPEC,DATOS!$E2324,nASIG,DATOS!$I2324,nEVAL,"OR")=0))</f>
      </c>
      <c r="I2324">
        <f>IF(DATOS!$I2324="","",IFERROR(VLOOKUP(DATOS!$I2324,CONFIG_ASIGNATURAS!$B$2:$J$91,9,FALSE()),""))</f>
      </c>
    </row>
    <row r="2325">
      <c r="F2325">
        <f>IF(DATOS!$A2325="","",DATOS!$A2325&amp;"|"&amp;DATOS!$D2325&amp;"|"&amp;DATOS!$E2325&amp;"|"&amp;DATOS!$I2325)</f>
      </c>
      <c r="G2325">
        <f>IF(DATOS!$A2325="",0,IF(CONFIG_METADATA!$B$4&lt;&gt;"OR+EX",--(DATOS!$G2325=CONFIG_METADATA!$B$4),IF(DATOS!$G2325="EX",1,IF(DATOS!$G2325="OR",--(COUNTIFS(nNIA,DATOS!$A2325,nCURSO,DATOS!$D2325,nESPEC,DATOS!$E2325,nASIG,DATOS!$I2325,nEVAL,"EX")=0),0))))</f>
      </c>
      <c r="H2325">
        <f>IF(DATOS!$G2325&lt;&gt;"EX",0,--(COUNTIFS(nNIA,DATOS!$A2325,nCURSO,DATOS!$D2325,nESPEC,DATOS!$E2325,nASIG,DATOS!$I2325,nEVAL,"OR")=0))</f>
      </c>
      <c r="I2325">
        <f>IF(DATOS!$I2325="","",IFERROR(VLOOKUP(DATOS!$I2325,CONFIG_ASIGNATURAS!$B$2:$J$91,9,FALSE()),""))</f>
      </c>
    </row>
    <row r="2326">
      <c r="F2326">
        <f>IF(DATOS!$A2326="","",DATOS!$A2326&amp;"|"&amp;DATOS!$D2326&amp;"|"&amp;DATOS!$E2326&amp;"|"&amp;DATOS!$I2326)</f>
      </c>
      <c r="G2326">
        <f>IF(DATOS!$A2326="",0,IF(CONFIG_METADATA!$B$4&lt;&gt;"OR+EX",--(DATOS!$G2326=CONFIG_METADATA!$B$4),IF(DATOS!$G2326="EX",1,IF(DATOS!$G2326="OR",--(COUNTIFS(nNIA,DATOS!$A2326,nCURSO,DATOS!$D2326,nESPEC,DATOS!$E2326,nASIG,DATOS!$I2326,nEVAL,"EX")=0),0))))</f>
      </c>
      <c r="H2326">
        <f>IF(DATOS!$G2326&lt;&gt;"EX",0,--(COUNTIFS(nNIA,DATOS!$A2326,nCURSO,DATOS!$D2326,nESPEC,DATOS!$E2326,nASIG,DATOS!$I2326,nEVAL,"OR")=0))</f>
      </c>
      <c r="I2326">
        <f>IF(DATOS!$I2326="","",IFERROR(VLOOKUP(DATOS!$I2326,CONFIG_ASIGNATURAS!$B$2:$J$91,9,FALSE()),""))</f>
      </c>
    </row>
    <row r="2327">
      <c r="F2327">
        <f>IF(DATOS!$A2327="","",DATOS!$A2327&amp;"|"&amp;DATOS!$D2327&amp;"|"&amp;DATOS!$E2327&amp;"|"&amp;DATOS!$I2327)</f>
      </c>
      <c r="G2327">
        <f>IF(DATOS!$A2327="",0,IF(CONFIG_METADATA!$B$4&lt;&gt;"OR+EX",--(DATOS!$G2327=CONFIG_METADATA!$B$4),IF(DATOS!$G2327="EX",1,IF(DATOS!$G2327="OR",--(COUNTIFS(nNIA,DATOS!$A2327,nCURSO,DATOS!$D2327,nESPEC,DATOS!$E2327,nASIG,DATOS!$I2327,nEVAL,"EX")=0),0))))</f>
      </c>
      <c r="H2327">
        <f>IF(DATOS!$G2327&lt;&gt;"EX",0,--(COUNTIFS(nNIA,DATOS!$A2327,nCURSO,DATOS!$D2327,nESPEC,DATOS!$E2327,nASIG,DATOS!$I2327,nEVAL,"OR")=0))</f>
      </c>
      <c r="I2327">
        <f>IF(DATOS!$I2327="","",IFERROR(VLOOKUP(DATOS!$I2327,CONFIG_ASIGNATURAS!$B$2:$J$91,9,FALSE()),""))</f>
      </c>
    </row>
    <row r="2328">
      <c r="F2328">
        <f>IF(DATOS!$A2328="","",DATOS!$A2328&amp;"|"&amp;DATOS!$D2328&amp;"|"&amp;DATOS!$E2328&amp;"|"&amp;DATOS!$I2328)</f>
      </c>
      <c r="G2328">
        <f>IF(DATOS!$A2328="",0,IF(CONFIG_METADATA!$B$4&lt;&gt;"OR+EX",--(DATOS!$G2328=CONFIG_METADATA!$B$4),IF(DATOS!$G2328="EX",1,IF(DATOS!$G2328="OR",--(COUNTIFS(nNIA,DATOS!$A2328,nCURSO,DATOS!$D2328,nESPEC,DATOS!$E2328,nASIG,DATOS!$I2328,nEVAL,"EX")=0),0))))</f>
      </c>
      <c r="H2328">
        <f>IF(DATOS!$G2328&lt;&gt;"EX",0,--(COUNTIFS(nNIA,DATOS!$A2328,nCURSO,DATOS!$D2328,nESPEC,DATOS!$E2328,nASIG,DATOS!$I2328,nEVAL,"OR")=0))</f>
      </c>
      <c r="I2328">
        <f>IF(DATOS!$I2328="","",IFERROR(VLOOKUP(DATOS!$I2328,CONFIG_ASIGNATURAS!$B$2:$J$91,9,FALSE()),""))</f>
      </c>
    </row>
    <row r="2329">
      <c r="F2329">
        <f>IF(DATOS!$A2329="","",DATOS!$A2329&amp;"|"&amp;DATOS!$D2329&amp;"|"&amp;DATOS!$E2329&amp;"|"&amp;DATOS!$I2329)</f>
      </c>
      <c r="G2329">
        <f>IF(DATOS!$A2329="",0,IF(CONFIG_METADATA!$B$4&lt;&gt;"OR+EX",--(DATOS!$G2329=CONFIG_METADATA!$B$4),IF(DATOS!$G2329="EX",1,IF(DATOS!$G2329="OR",--(COUNTIFS(nNIA,DATOS!$A2329,nCURSO,DATOS!$D2329,nESPEC,DATOS!$E2329,nASIG,DATOS!$I2329,nEVAL,"EX")=0),0))))</f>
      </c>
      <c r="H2329">
        <f>IF(DATOS!$G2329&lt;&gt;"EX",0,--(COUNTIFS(nNIA,DATOS!$A2329,nCURSO,DATOS!$D2329,nESPEC,DATOS!$E2329,nASIG,DATOS!$I2329,nEVAL,"OR")=0))</f>
      </c>
      <c r="I2329">
        <f>IF(DATOS!$I2329="","",IFERROR(VLOOKUP(DATOS!$I2329,CONFIG_ASIGNATURAS!$B$2:$J$91,9,FALSE()),""))</f>
      </c>
    </row>
    <row r="2330">
      <c r="F2330">
        <f>IF(DATOS!$A2330="","",DATOS!$A2330&amp;"|"&amp;DATOS!$D2330&amp;"|"&amp;DATOS!$E2330&amp;"|"&amp;DATOS!$I2330)</f>
      </c>
      <c r="G2330">
        <f>IF(DATOS!$A2330="",0,IF(CONFIG_METADATA!$B$4&lt;&gt;"OR+EX",--(DATOS!$G2330=CONFIG_METADATA!$B$4),IF(DATOS!$G2330="EX",1,IF(DATOS!$G2330="OR",--(COUNTIFS(nNIA,DATOS!$A2330,nCURSO,DATOS!$D2330,nESPEC,DATOS!$E2330,nASIG,DATOS!$I2330,nEVAL,"EX")=0),0))))</f>
      </c>
      <c r="H2330">
        <f>IF(DATOS!$G2330&lt;&gt;"EX",0,--(COUNTIFS(nNIA,DATOS!$A2330,nCURSO,DATOS!$D2330,nESPEC,DATOS!$E2330,nASIG,DATOS!$I2330,nEVAL,"OR")=0))</f>
      </c>
      <c r="I2330">
        <f>IF(DATOS!$I2330="","",IFERROR(VLOOKUP(DATOS!$I2330,CONFIG_ASIGNATURAS!$B$2:$J$91,9,FALSE()),""))</f>
      </c>
    </row>
    <row r="2331">
      <c r="F2331">
        <f>IF(DATOS!$A2331="","",DATOS!$A2331&amp;"|"&amp;DATOS!$D2331&amp;"|"&amp;DATOS!$E2331&amp;"|"&amp;DATOS!$I2331)</f>
      </c>
      <c r="G2331">
        <f>IF(DATOS!$A2331="",0,IF(CONFIG_METADATA!$B$4&lt;&gt;"OR+EX",--(DATOS!$G2331=CONFIG_METADATA!$B$4),IF(DATOS!$G2331="EX",1,IF(DATOS!$G2331="OR",--(COUNTIFS(nNIA,DATOS!$A2331,nCURSO,DATOS!$D2331,nESPEC,DATOS!$E2331,nASIG,DATOS!$I2331,nEVAL,"EX")=0),0))))</f>
      </c>
      <c r="H2331">
        <f>IF(DATOS!$G2331&lt;&gt;"EX",0,--(COUNTIFS(nNIA,DATOS!$A2331,nCURSO,DATOS!$D2331,nESPEC,DATOS!$E2331,nASIG,DATOS!$I2331,nEVAL,"OR")=0))</f>
      </c>
      <c r="I2331">
        <f>IF(DATOS!$I2331="","",IFERROR(VLOOKUP(DATOS!$I2331,CONFIG_ASIGNATURAS!$B$2:$J$91,9,FALSE()),""))</f>
      </c>
    </row>
    <row r="2332">
      <c r="F2332">
        <f>IF(DATOS!$A2332="","",DATOS!$A2332&amp;"|"&amp;DATOS!$D2332&amp;"|"&amp;DATOS!$E2332&amp;"|"&amp;DATOS!$I2332)</f>
      </c>
      <c r="G2332">
        <f>IF(DATOS!$A2332="",0,IF(CONFIG_METADATA!$B$4&lt;&gt;"OR+EX",--(DATOS!$G2332=CONFIG_METADATA!$B$4),IF(DATOS!$G2332="EX",1,IF(DATOS!$G2332="OR",--(COUNTIFS(nNIA,DATOS!$A2332,nCURSO,DATOS!$D2332,nESPEC,DATOS!$E2332,nASIG,DATOS!$I2332,nEVAL,"EX")=0),0))))</f>
      </c>
      <c r="H2332">
        <f>IF(DATOS!$G2332&lt;&gt;"EX",0,--(COUNTIFS(nNIA,DATOS!$A2332,nCURSO,DATOS!$D2332,nESPEC,DATOS!$E2332,nASIG,DATOS!$I2332,nEVAL,"OR")=0))</f>
      </c>
      <c r="I2332">
        <f>IF(DATOS!$I2332="","",IFERROR(VLOOKUP(DATOS!$I2332,CONFIG_ASIGNATURAS!$B$2:$J$91,9,FALSE()),""))</f>
      </c>
    </row>
    <row r="2333">
      <c r="F2333">
        <f>IF(DATOS!$A2333="","",DATOS!$A2333&amp;"|"&amp;DATOS!$D2333&amp;"|"&amp;DATOS!$E2333&amp;"|"&amp;DATOS!$I2333)</f>
      </c>
      <c r="G2333">
        <f>IF(DATOS!$A2333="",0,IF(CONFIG_METADATA!$B$4&lt;&gt;"OR+EX",--(DATOS!$G2333=CONFIG_METADATA!$B$4),IF(DATOS!$G2333="EX",1,IF(DATOS!$G2333="OR",--(COUNTIFS(nNIA,DATOS!$A2333,nCURSO,DATOS!$D2333,nESPEC,DATOS!$E2333,nASIG,DATOS!$I2333,nEVAL,"EX")=0),0))))</f>
      </c>
      <c r="H2333">
        <f>IF(DATOS!$G2333&lt;&gt;"EX",0,--(COUNTIFS(nNIA,DATOS!$A2333,nCURSO,DATOS!$D2333,nESPEC,DATOS!$E2333,nASIG,DATOS!$I2333,nEVAL,"OR")=0))</f>
      </c>
      <c r="I2333">
        <f>IF(DATOS!$I2333="","",IFERROR(VLOOKUP(DATOS!$I2333,CONFIG_ASIGNATURAS!$B$2:$J$91,9,FALSE()),""))</f>
      </c>
    </row>
    <row r="2334">
      <c r="F2334">
        <f>IF(DATOS!$A2334="","",DATOS!$A2334&amp;"|"&amp;DATOS!$D2334&amp;"|"&amp;DATOS!$E2334&amp;"|"&amp;DATOS!$I2334)</f>
      </c>
      <c r="G2334">
        <f>IF(DATOS!$A2334="",0,IF(CONFIG_METADATA!$B$4&lt;&gt;"OR+EX",--(DATOS!$G2334=CONFIG_METADATA!$B$4),IF(DATOS!$G2334="EX",1,IF(DATOS!$G2334="OR",--(COUNTIFS(nNIA,DATOS!$A2334,nCURSO,DATOS!$D2334,nESPEC,DATOS!$E2334,nASIG,DATOS!$I2334,nEVAL,"EX")=0),0))))</f>
      </c>
      <c r="H2334">
        <f>IF(DATOS!$G2334&lt;&gt;"EX",0,--(COUNTIFS(nNIA,DATOS!$A2334,nCURSO,DATOS!$D2334,nESPEC,DATOS!$E2334,nASIG,DATOS!$I2334,nEVAL,"OR")=0))</f>
      </c>
      <c r="I2334">
        <f>IF(DATOS!$I2334="","",IFERROR(VLOOKUP(DATOS!$I2334,CONFIG_ASIGNATURAS!$B$2:$J$91,9,FALSE()),""))</f>
      </c>
    </row>
    <row r="2335">
      <c r="F2335">
        <f>IF(DATOS!$A2335="","",DATOS!$A2335&amp;"|"&amp;DATOS!$D2335&amp;"|"&amp;DATOS!$E2335&amp;"|"&amp;DATOS!$I2335)</f>
      </c>
      <c r="G2335">
        <f>IF(DATOS!$A2335="",0,IF(CONFIG_METADATA!$B$4&lt;&gt;"OR+EX",--(DATOS!$G2335=CONFIG_METADATA!$B$4),IF(DATOS!$G2335="EX",1,IF(DATOS!$G2335="OR",--(COUNTIFS(nNIA,DATOS!$A2335,nCURSO,DATOS!$D2335,nESPEC,DATOS!$E2335,nASIG,DATOS!$I2335,nEVAL,"EX")=0),0))))</f>
      </c>
      <c r="H2335">
        <f>IF(DATOS!$G2335&lt;&gt;"EX",0,--(COUNTIFS(nNIA,DATOS!$A2335,nCURSO,DATOS!$D2335,nESPEC,DATOS!$E2335,nASIG,DATOS!$I2335,nEVAL,"OR")=0))</f>
      </c>
      <c r="I2335">
        <f>IF(DATOS!$I2335="","",IFERROR(VLOOKUP(DATOS!$I2335,CONFIG_ASIGNATURAS!$B$2:$J$91,9,FALSE()),""))</f>
      </c>
    </row>
    <row r="2336">
      <c r="F2336">
        <f>IF(DATOS!$A2336="","",DATOS!$A2336&amp;"|"&amp;DATOS!$D2336&amp;"|"&amp;DATOS!$E2336&amp;"|"&amp;DATOS!$I2336)</f>
      </c>
      <c r="G2336">
        <f>IF(DATOS!$A2336="",0,IF(CONFIG_METADATA!$B$4&lt;&gt;"OR+EX",--(DATOS!$G2336=CONFIG_METADATA!$B$4),IF(DATOS!$G2336="EX",1,IF(DATOS!$G2336="OR",--(COUNTIFS(nNIA,DATOS!$A2336,nCURSO,DATOS!$D2336,nESPEC,DATOS!$E2336,nASIG,DATOS!$I2336,nEVAL,"EX")=0),0))))</f>
      </c>
      <c r="H2336">
        <f>IF(DATOS!$G2336&lt;&gt;"EX",0,--(COUNTIFS(nNIA,DATOS!$A2336,nCURSO,DATOS!$D2336,nESPEC,DATOS!$E2336,nASIG,DATOS!$I2336,nEVAL,"OR")=0))</f>
      </c>
      <c r="I2336">
        <f>IF(DATOS!$I2336="","",IFERROR(VLOOKUP(DATOS!$I2336,CONFIG_ASIGNATURAS!$B$2:$J$91,9,FALSE()),""))</f>
      </c>
    </row>
    <row r="2337">
      <c r="F2337">
        <f>IF(DATOS!$A2337="","",DATOS!$A2337&amp;"|"&amp;DATOS!$D2337&amp;"|"&amp;DATOS!$E2337&amp;"|"&amp;DATOS!$I2337)</f>
      </c>
      <c r="G2337">
        <f>IF(DATOS!$A2337="",0,IF(CONFIG_METADATA!$B$4&lt;&gt;"OR+EX",--(DATOS!$G2337=CONFIG_METADATA!$B$4),IF(DATOS!$G2337="EX",1,IF(DATOS!$G2337="OR",--(COUNTIFS(nNIA,DATOS!$A2337,nCURSO,DATOS!$D2337,nESPEC,DATOS!$E2337,nASIG,DATOS!$I2337,nEVAL,"EX")=0),0))))</f>
      </c>
      <c r="H2337">
        <f>IF(DATOS!$G2337&lt;&gt;"EX",0,--(COUNTIFS(nNIA,DATOS!$A2337,nCURSO,DATOS!$D2337,nESPEC,DATOS!$E2337,nASIG,DATOS!$I2337,nEVAL,"OR")=0))</f>
      </c>
      <c r="I2337">
        <f>IF(DATOS!$I2337="","",IFERROR(VLOOKUP(DATOS!$I2337,CONFIG_ASIGNATURAS!$B$2:$J$91,9,FALSE()),""))</f>
      </c>
    </row>
    <row r="2338">
      <c r="F2338">
        <f>IF(DATOS!$A2338="","",DATOS!$A2338&amp;"|"&amp;DATOS!$D2338&amp;"|"&amp;DATOS!$E2338&amp;"|"&amp;DATOS!$I2338)</f>
      </c>
      <c r="G2338">
        <f>IF(DATOS!$A2338="",0,IF(CONFIG_METADATA!$B$4&lt;&gt;"OR+EX",--(DATOS!$G2338=CONFIG_METADATA!$B$4),IF(DATOS!$G2338="EX",1,IF(DATOS!$G2338="OR",--(COUNTIFS(nNIA,DATOS!$A2338,nCURSO,DATOS!$D2338,nESPEC,DATOS!$E2338,nASIG,DATOS!$I2338,nEVAL,"EX")=0),0))))</f>
      </c>
      <c r="H2338">
        <f>IF(DATOS!$G2338&lt;&gt;"EX",0,--(COUNTIFS(nNIA,DATOS!$A2338,nCURSO,DATOS!$D2338,nESPEC,DATOS!$E2338,nASIG,DATOS!$I2338,nEVAL,"OR")=0))</f>
      </c>
      <c r="I2338">
        <f>IF(DATOS!$I2338="","",IFERROR(VLOOKUP(DATOS!$I2338,CONFIG_ASIGNATURAS!$B$2:$J$91,9,FALSE()),""))</f>
      </c>
    </row>
    <row r="2339">
      <c r="F2339">
        <f>IF(DATOS!$A2339="","",DATOS!$A2339&amp;"|"&amp;DATOS!$D2339&amp;"|"&amp;DATOS!$E2339&amp;"|"&amp;DATOS!$I2339)</f>
      </c>
      <c r="G2339">
        <f>IF(DATOS!$A2339="",0,IF(CONFIG_METADATA!$B$4&lt;&gt;"OR+EX",--(DATOS!$G2339=CONFIG_METADATA!$B$4),IF(DATOS!$G2339="EX",1,IF(DATOS!$G2339="OR",--(COUNTIFS(nNIA,DATOS!$A2339,nCURSO,DATOS!$D2339,nESPEC,DATOS!$E2339,nASIG,DATOS!$I2339,nEVAL,"EX")=0),0))))</f>
      </c>
      <c r="H2339">
        <f>IF(DATOS!$G2339&lt;&gt;"EX",0,--(COUNTIFS(nNIA,DATOS!$A2339,nCURSO,DATOS!$D2339,nESPEC,DATOS!$E2339,nASIG,DATOS!$I2339,nEVAL,"OR")=0))</f>
      </c>
      <c r="I2339">
        <f>IF(DATOS!$I2339="","",IFERROR(VLOOKUP(DATOS!$I2339,CONFIG_ASIGNATURAS!$B$2:$J$91,9,FALSE()),""))</f>
      </c>
    </row>
    <row r="2340">
      <c r="F2340">
        <f>IF(DATOS!$A2340="","",DATOS!$A2340&amp;"|"&amp;DATOS!$D2340&amp;"|"&amp;DATOS!$E2340&amp;"|"&amp;DATOS!$I2340)</f>
      </c>
      <c r="G2340">
        <f>IF(DATOS!$A2340="",0,IF(CONFIG_METADATA!$B$4&lt;&gt;"OR+EX",--(DATOS!$G2340=CONFIG_METADATA!$B$4),IF(DATOS!$G2340="EX",1,IF(DATOS!$G2340="OR",--(COUNTIFS(nNIA,DATOS!$A2340,nCURSO,DATOS!$D2340,nESPEC,DATOS!$E2340,nASIG,DATOS!$I2340,nEVAL,"EX")=0),0))))</f>
      </c>
      <c r="H2340">
        <f>IF(DATOS!$G2340&lt;&gt;"EX",0,--(COUNTIFS(nNIA,DATOS!$A2340,nCURSO,DATOS!$D2340,nESPEC,DATOS!$E2340,nASIG,DATOS!$I2340,nEVAL,"OR")=0))</f>
      </c>
      <c r="I2340">
        <f>IF(DATOS!$I2340="","",IFERROR(VLOOKUP(DATOS!$I2340,CONFIG_ASIGNATURAS!$B$2:$J$91,9,FALSE()),""))</f>
      </c>
    </row>
    <row r="2341">
      <c r="F2341">
        <f>IF(DATOS!$A2341="","",DATOS!$A2341&amp;"|"&amp;DATOS!$D2341&amp;"|"&amp;DATOS!$E2341&amp;"|"&amp;DATOS!$I2341)</f>
      </c>
      <c r="G2341">
        <f>IF(DATOS!$A2341="",0,IF(CONFIG_METADATA!$B$4&lt;&gt;"OR+EX",--(DATOS!$G2341=CONFIG_METADATA!$B$4),IF(DATOS!$G2341="EX",1,IF(DATOS!$G2341="OR",--(COUNTIFS(nNIA,DATOS!$A2341,nCURSO,DATOS!$D2341,nESPEC,DATOS!$E2341,nASIG,DATOS!$I2341,nEVAL,"EX")=0),0))))</f>
      </c>
      <c r="H2341">
        <f>IF(DATOS!$G2341&lt;&gt;"EX",0,--(COUNTIFS(nNIA,DATOS!$A2341,nCURSO,DATOS!$D2341,nESPEC,DATOS!$E2341,nASIG,DATOS!$I2341,nEVAL,"OR")=0))</f>
      </c>
      <c r="I2341">
        <f>IF(DATOS!$I2341="","",IFERROR(VLOOKUP(DATOS!$I2341,CONFIG_ASIGNATURAS!$B$2:$J$91,9,FALSE()),""))</f>
      </c>
    </row>
    <row r="2342">
      <c r="F2342">
        <f>IF(DATOS!$A2342="","",DATOS!$A2342&amp;"|"&amp;DATOS!$D2342&amp;"|"&amp;DATOS!$E2342&amp;"|"&amp;DATOS!$I2342)</f>
      </c>
      <c r="G2342">
        <f>IF(DATOS!$A2342="",0,IF(CONFIG_METADATA!$B$4&lt;&gt;"OR+EX",--(DATOS!$G2342=CONFIG_METADATA!$B$4),IF(DATOS!$G2342="EX",1,IF(DATOS!$G2342="OR",--(COUNTIFS(nNIA,DATOS!$A2342,nCURSO,DATOS!$D2342,nESPEC,DATOS!$E2342,nASIG,DATOS!$I2342,nEVAL,"EX")=0),0))))</f>
      </c>
      <c r="H2342">
        <f>IF(DATOS!$G2342&lt;&gt;"EX",0,--(COUNTIFS(nNIA,DATOS!$A2342,nCURSO,DATOS!$D2342,nESPEC,DATOS!$E2342,nASIG,DATOS!$I2342,nEVAL,"OR")=0))</f>
      </c>
      <c r="I2342">
        <f>IF(DATOS!$I2342="","",IFERROR(VLOOKUP(DATOS!$I2342,CONFIG_ASIGNATURAS!$B$2:$J$91,9,FALSE()),""))</f>
      </c>
    </row>
    <row r="2343">
      <c r="F2343">
        <f>IF(DATOS!$A2343="","",DATOS!$A2343&amp;"|"&amp;DATOS!$D2343&amp;"|"&amp;DATOS!$E2343&amp;"|"&amp;DATOS!$I2343)</f>
      </c>
      <c r="G2343">
        <f>IF(DATOS!$A2343="",0,IF(CONFIG_METADATA!$B$4&lt;&gt;"OR+EX",--(DATOS!$G2343=CONFIG_METADATA!$B$4),IF(DATOS!$G2343="EX",1,IF(DATOS!$G2343="OR",--(COUNTIFS(nNIA,DATOS!$A2343,nCURSO,DATOS!$D2343,nESPEC,DATOS!$E2343,nASIG,DATOS!$I2343,nEVAL,"EX")=0),0))))</f>
      </c>
      <c r="H2343">
        <f>IF(DATOS!$G2343&lt;&gt;"EX",0,--(COUNTIFS(nNIA,DATOS!$A2343,nCURSO,DATOS!$D2343,nESPEC,DATOS!$E2343,nASIG,DATOS!$I2343,nEVAL,"OR")=0))</f>
      </c>
      <c r="I2343">
        <f>IF(DATOS!$I2343="","",IFERROR(VLOOKUP(DATOS!$I2343,CONFIG_ASIGNATURAS!$B$2:$J$91,9,FALSE()),""))</f>
      </c>
    </row>
    <row r="2344">
      <c r="F2344">
        <f>IF(DATOS!$A2344="","",DATOS!$A2344&amp;"|"&amp;DATOS!$D2344&amp;"|"&amp;DATOS!$E2344&amp;"|"&amp;DATOS!$I2344)</f>
      </c>
      <c r="G2344">
        <f>IF(DATOS!$A2344="",0,IF(CONFIG_METADATA!$B$4&lt;&gt;"OR+EX",--(DATOS!$G2344=CONFIG_METADATA!$B$4),IF(DATOS!$G2344="EX",1,IF(DATOS!$G2344="OR",--(COUNTIFS(nNIA,DATOS!$A2344,nCURSO,DATOS!$D2344,nESPEC,DATOS!$E2344,nASIG,DATOS!$I2344,nEVAL,"EX")=0),0))))</f>
      </c>
      <c r="H2344">
        <f>IF(DATOS!$G2344&lt;&gt;"EX",0,--(COUNTIFS(nNIA,DATOS!$A2344,nCURSO,DATOS!$D2344,nESPEC,DATOS!$E2344,nASIG,DATOS!$I2344,nEVAL,"OR")=0))</f>
      </c>
      <c r="I2344">
        <f>IF(DATOS!$I2344="","",IFERROR(VLOOKUP(DATOS!$I2344,CONFIG_ASIGNATURAS!$B$2:$J$91,9,FALSE()),""))</f>
      </c>
    </row>
    <row r="2345">
      <c r="F2345">
        <f>IF(DATOS!$A2345="","",DATOS!$A2345&amp;"|"&amp;DATOS!$D2345&amp;"|"&amp;DATOS!$E2345&amp;"|"&amp;DATOS!$I2345)</f>
      </c>
      <c r="G2345">
        <f>IF(DATOS!$A2345="",0,IF(CONFIG_METADATA!$B$4&lt;&gt;"OR+EX",--(DATOS!$G2345=CONFIG_METADATA!$B$4),IF(DATOS!$G2345="EX",1,IF(DATOS!$G2345="OR",--(COUNTIFS(nNIA,DATOS!$A2345,nCURSO,DATOS!$D2345,nESPEC,DATOS!$E2345,nASIG,DATOS!$I2345,nEVAL,"EX")=0),0))))</f>
      </c>
      <c r="H2345">
        <f>IF(DATOS!$G2345&lt;&gt;"EX",0,--(COUNTIFS(nNIA,DATOS!$A2345,nCURSO,DATOS!$D2345,nESPEC,DATOS!$E2345,nASIG,DATOS!$I2345,nEVAL,"OR")=0))</f>
      </c>
      <c r="I2345">
        <f>IF(DATOS!$I2345="","",IFERROR(VLOOKUP(DATOS!$I2345,CONFIG_ASIGNATURAS!$B$2:$J$91,9,FALSE()),""))</f>
      </c>
    </row>
    <row r="2346">
      <c r="F2346">
        <f>IF(DATOS!$A2346="","",DATOS!$A2346&amp;"|"&amp;DATOS!$D2346&amp;"|"&amp;DATOS!$E2346&amp;"|"&amp;DATOS!$I2346)</f>
      </c>
      <c r="G2346">
        <f>IF(DATOS!$A2346="",0,IF(CONFIG_METADATA!$B$4&lt;&gt;"OR+EX",--(DATOS!$G2346=CONFIG_METADATA!$B$4),IF(DATOS!$G2346="EX",1,IF(DATOS!$G2346="OR",--(COUNTIFS(nNIA,DATOS!$A2346,nCURSO,DATOS!$D2346,nESPEC,DATOS!$E2346,nASIG,DATOS!$I2346,nEVAL,"EX")=0),0))))</f>
      </c>
      <c r="H2346">
        <f>IF(DATOS!$G2346&lt;&gt;"EX",0,--(COUNTIFS(nNIA,DATOS!$A2346,nCURSO,DATOS!$D2346,nESPEC,DATOS!$E2346,nASIG,DATOS!$I2346,nEVAL,"OR")=0))</f>
      </c>
      <c r="I2346">
        <f>IF(DATOS!$I2346="","",IFERROR(VLOOKUP(DATOS!$I2346,CONFIG_ASIGNATURAS!$B$2:$J$91,9,FALSE()),""))</f>
      </c>
    </row>
    <row r="2347">
      <c r="F2347">
        <f>IF(DATOS!$A2347="","",DATOS!$A2347&amp;"|"&amp;DATOS!$D2347&amp;"|"&amp;DATOS!$E2347&amp;"|"&amp;DATOS!$I2347)</f>
      </c>
      <c r="G2347">
        <f>IF(DATOS!$A2347="",0,IF(CONFIG_METADATA!$B$4&lt;&gt;"OR+EX",--(DATOS!$G2347=CONFIG_METADATA!$B$4),IF(DATOS!$G2347="EX",1,IF(DATOS!$G2347="OR",--(COUNTIFS(nNIA,DATOS!$A2347,nCURSO,DATOS!$D2347,nESPEC,DATOS!$E2347,nASIG,DATOS!$I2347,nEVAL,"EX")=0),0))))</f>
      </c>
      <c r="H2347">
        <f>IF(DATOS!$G2347&lt;&gt;"EX",0,--(COUNTIFS(nNIA,DATOS!$A2347,nCURSO,DATOS!$D2347,nESPEC,DATOS!$E2347,nASIG,DATOS!$I2347,nEVAL,"OR")=0))</f>
      </c>
      <c r="I2347">
        <f>IF(DATOS!$I2347="","",IFERROR(VLOOKUP(DATOS!$I2347,CONFIG_ASIGNATURAS!$B$2:$J$91,9,FALSE()),""))</f>
      </c>
    </row>
    <row r="2348">
      <c r="F2348">
        <f>IF(DATOS!$A2348="","",DATOS!$A2348&amp;"|"&amp;DATOS!$D2348&amp;"|"&amp;DATOS!$E2348&amp;"|"&amp;DATOS!$I2348)</f>
      </c>
      <c r="G2348">
        <f>IF(DATOS!$A2348="",0,IF(CONFIG_METADATA!$B$4&lt;&gt;"OR+EX",--(DATOS!$G2348=CONFIG_METADATA!$B$4),IF(DATOS!$G2348="EX",1,IF(DATOS!$G2348="OR",--(COUNTIFS(nNIA,DATOS!$A2348,nCURSO,DATOS!$D2348,nESPEC,DATOS!$E2348,nASIG,DATOS!$I2348,nEVAL,"EX")=0),0))))</f>
      </c>
      <c r="H2348">
        <f>IF(DATOS!$G2348&lt;&gt;"EX",0,--(COUNTIFS(nNIA,DATOS!$A2348,nCURSO,DATOS!$D2348,nESPEC,DATOS!$E2348,nASIG,DATOS!$I2348,nEVAL,"OR")=0))</f>
      </c>
      <c r="I2348">
        <f>IF(DATOS!$I2348="","",IFERROR(VLOOKUP(DATOS!$I2348,CONFIG_ASIGNATURAS!$B$2:$J$91,9,FALSE()),""))</f>
      </c>
    </row>
    <row r="2349">
      <c r="F2349">
        <f>IF(DATOS!$A2349="","",DATOS!$A2349&amp;"|"&amp;DATOS!$D2349&amp;"|"&amp;DATOS!$E2349&amp;"|"&amp;DATOS!$I2349)</f>
      </c>
      <c r="G2349">
        <f>IF(DATOS!$A2349="",0,IF(CONFIG_METADATA!$B$4&lt;&gt;"OR+EX",--(DATOS!$G2349=CONFIG_METADATA!$B$4),IF(DATOS!$G2349="EX",1,IF(DATOS!$G2349="OR",--(COUNTIFS(nNIA,DATOS!$A2349,nCURSO,DATOS!$D2349,nESPEC,DATOS!$E2349,nASIG,DATOS!$I2349,nEVAL,"EX")=0),0))))</f>
      </c>
      <c r="H2349">
        <f>IF(DATOS!$G2349&lt;&gt;"EX",0,--(COUNTIFS(nNIA,DATOS!$A2349,nCURSO,DATOS!$D2349,nESPEC,DATOS!$E2349,nASIG,DATOS!$I2349,nEVAL,"OR")=0))</f>
      </c>
      <c r="I2349">
        <f>IF(DATOS!$I2349="","",IFERROR(VLOOKUP(DATOS!$I2349,CONFIG_ASIGNATURAS!$B$2:$J$91,9,FALSE()),""))</f>
      </c>
    </row>
    <row r="2350">
      <c r="F2350">
        <f>IF(DATOS!$A2350="","",DATOS!$A2350&amp;"|"&amp;DATOS!$D2350&amp;"|"&amp;DATOS!$E2350&amp;"|"&amp;DATOS!$I2350)</f>
      </c>
      <c r="G2350">
        <f>IF(DATOS!$A2350="",0,IF(CONFIG_METADATA!$B$4&lt;&gt;"OR+EX",--(DATOS!$G2350=CONFIG_METADATA!$B$4),IF(DATOS!$G2350="EX",1,IF(DATOS!$G2350="OR",--(COUNTIFS(nNIA,DATOS!$A2350,nCURSO,DATOS!$D2350,nESPEC,DATOS!$E2350,nASIG,DATOS!$I2350,nEVAL,"EX")=0),0))))</f>
      </c>
      <c r="H2350">
        <f>IF(DATOS!$G2350&lt;&gt;"EX",0,--(COUNTIFS(nNIA,DATOS!$A2350,nCURSO,DATOS!$D2350,nESPEC,DATOS!$E2350,nASIG,DATOS!$I2350,nEVAL,"OR")=0))</f>
      </c>
      <c r="I2350">
        <f>IF(DATOS!$I2350="","",IFERROR(VLOOKUP(DATOS!$I2350,CONFIG_ASIGNATURAS!$B$2:$J$91,9,FALSE()),""))</f>
      </c>
    </row>
    <row r="2351">
      <c r="F2351">
        <f>IF(DATOS!$A2351="","",DATOS!$A2351&amp;"|"&amp;DATOS!$D2351&amp;"|"&amp;DATOS!$E2351&amp;"|"&amp;DATOS!$I2351)</f>
      </c>
      <c r="G2351">
        <f>IF(DATOS!$A2351="",0,IF(CONFIG_METADATA!$B$4&lt;&gt;"OR+EX",--(DATOS!$G2351=CONFIG_METADATA!$B$4),IF(DATOS!$G2351="EX",1,IF(DATOS!$G2351="OR",--(COUNTIFS(nNIA,DATOS!$A2351,nCURSO,DATOS!$D2351,nESPEC,DATOS!$E2351,nASIG,DATOS!$I2351,nEVAL,"EX")=0),0))))</f>
      </c>
      <c r="H2351">
        <f>IF(DATOS!$G2351&lt;&gt;"EX",0,--(COUNTIFS(nNIA,DATOS!$A2351,nCURSO,DATOS!$D2351,nESPEC,DATOS!$E2351,nASIG,DATOS!$I2351,nEVAL,"OR")=0))</f>
      </c>
      <c r="I2351">
        <f>IF(DATOS!$I2351="","",IFERROR(VLOOKUP(DATOS!$I2351,CONFIG_ASIGNATURAS!$B$2:$J$91,9,FALSE()),""))</f>
      </c>
    </row>
    <row r="2352">
      <c r="F2352">
        <f>IF(DATOS!$A2352="","",DATOS!$A2352&amp;"|"&amp;DATOS!$D2352&amp;"|"&amp;DATOS!$E2352&amp;"|"&amp;DATOS!$I2352)</f>
      </c>
      <c r="G2352">
        <f>IF(DATOS!$A2352="",0,IF(CONFIG_METADATA!$B$4&lt;&gt;"OR+EX",--(DATOS!$G2352=CONFIG_METADATA!$B$4),IF(DATOS!$G2352="EX",1,IF(DATOS!$G2352="OR",--(COUNTIFS(nNIA,DATOS!$A2352,nCURSO,DATOS!$D2352,nESPEC,DATOS!$E2352,nASIG,DATOS!$I2352,nEVAL,"EX")=0),0))))</f>
      </c>
      <c r="H2352">
        <f>IF(DATOS!$G2352&lt;&gt;"EX",0,--(COUNTIFS(nNIA,DATOS!$A2352,nCURSO,DATOS!$D2352,nESPEC,DATOS!$E2352,nASIG,DATOS!$I2352,nEVAL,"OR")=0))</f>
      </c>
      <c r="I2352">
        <f>IF(DATOS!$I2352="","",IFERROR(VLOOKUP(DATOS!$I2352,CONFIG_ASIGNATURAS!$B$2:$J$91,9,FALSE()),""))</f>
      </c>
    </row>
    <row r="2353">
      <c r="F2353">
        <f>IF(DATOS!$A2353="","",DATOS!$A2353&amp;"|"&amp;DATOS!$D2353&amp;"|"&amp;DATOS!$E2353&amp;"|"&amp;DATOS!$I2353)</f>
      </c>
      <c r="G2353">
        <f>IF(DATOS!$A2353="",0,IF(CONFIG_METADATA!$B$4&lt;&gt;"OR+EX",--(DATOS!$G2353=CONFIG_METADATA!$B$4),IF(DATOS!$G2353="EX",1,IF(DATOS!$G2353="OR",--(COUNTIFS(nNIA,DATOS!$A2353,nCURSO,DATOS!$D2353,nESPEC,DATOS!$E2353,nASIG,DATOS!$I2353,nEVAL,"EX")=0),0))))</f>
      </c>
      <c r="H2353">
        <f>IF(DATOS!$G2353&lt;&gt;"EX",0,--(COUNTIFS(nNIA,DATOS!$A2353,nCURSO,DATOS!$D2353,nESPEC,DATOS!$E2353,nASIG,DATOS!$I2353,nEVAL,"OR")=0))</f>
      </c>
      <c r="I2353">
        <f>IF(DATOS!$I2353="","",IFERROR(VLOOKUP(DATOS!$I2353,CONFIG_ASIGNATURAS!$B$2:$J$91,9,FALSE()),""))</f>
      </c>
    </row>
    <row r="2354">
      <c r="F2354">
        <f>IF(DATOS!$A2354="","",DATOS!$A2354&amp;"|"&amp;DATOS!$D2354&amp;"|"&amp;DATOS!$E2354&amp;"|"&amp;DATOS!$I2354)</f>
      </c>
      <c r="G2354">
        <f>IF(DATOS!$A2354="",0,IF(CONFIG_METADATA!$B$4&lt;&gt;"OR+EX",--(DATOS!$G2354=CONFIG_METADATA!$B$4),IF(DATOS!$G2354="EX",1,IF(DATOS!$G2354="OR",--(COUNTIFS(nNIA,DATOS!$A2354,nCURSO,DATOS!$D2354,nESPEC,DATOS!$E2354,nASIG,DATOS!$I2354,nEVAL,"EX")=0),0))))</f>
      </c>
      <c r="H2354">
        <f>IF(DATOS!$G2354&lt;&gt;"EX",0,--(COUNTIFS(nNIA,DATOS!$A2354,nCURSO,DATOS!$D2354,nESPEC,DATOS!$E2354,nASIG,DATOS!$I2354,nEVAL,"OR")=0))</f>
      </c>
      <c r="I2354">
        <f>IF(DATOS!$I2354="","",IFERROR(VLOOKUP(DATOS!$I2354,CONFIG_ASIGNATURAS!$B$2:$J$91,9,FALSE()),""))</f>
      </c>
    </row>
    <row r="2355">
      <c r="F2355">
        <f>IF(DATOS!$A2355="","",DATOS!$A2355&amp;"|"&amp;DATOS!$D2355&amp;"|"&amp;DATOS!$E2355&amp;"|"&amp;DATOS!$I2355)</f>
      </c>
      <c r="G2355">
        <f>IF(DATOS!$A2355="",0,IF(CONFIG_METADATA!$B$4&lt;&gt;"OR+EX",--(DATOS!$G2355=CONFIG_METADATA!$B$4),IF(DATOS!$G2355="EX",1,IF(DATOS!$G2355="OR",--(COUNTIFS(nNIA,DATOS!$A2355,nCURSO,DATOS!$D2355,nESPEC,DATOS!$E2355,nASIG,DATOS!$I2355,nEVAL,"EX")=0),0))))</f>
      </c>
      <c r="H2355">
        <f>IF(DATOS!$G2355&lt;&gt;"EX",0,--(COUNTIFS(nNIA,DATOS!$A2355,nCURSO,DATOS!$D2355,nESPEC,DATOS!$E2355,nASIG,DATOS!$I2355,nEVAL,"OR")=0))</f>
      </c>
      <c r="I2355">
        <f>IF(DATOS!$I2355="","",IFERROR(VLOOKUP(DATOS!$I2355,CONFIG_ASIGNATURAS!$B$2:$J$91,9,FALSE()),""))</f>
      </c>
    </row>
    <row r="2356">
      <c r="F2356">
        <f>IF(DATOS!$A2356="","",DATOS!$A2356&amp;"|"&amp;DATOS!$D2356&amp;"|"&amp;DATOS!$E2356&amp;"|"&amp;DATOS!$I2356)</f>
      </c>
      <c r="G2356">
        <f>IF(DATOS!$A2356="",0,IF(CONFIG_METADATA!$B$4&lt;&gt;"OR+EX",--(DATOS!$G2356=CONFIG_METADATA!$B$4),IF(DATOS!$G2356="EX",1,IF(DATOS!$G2356="OR",--(COUNTIFS(nNIA,DATOS!$A2356,nCURSO,DATOS!$D2356,nESPEC,DATOS!$E2356,nASIG,DATOS!$I2356,nEVAL,"EX")=0),0))))</f>
      </c>
      <c r="H2356">
        <f>IF(DATOS!$G2356&lt;&gt;"EX",0,--(COUNTIFS(nNIA,DATOS!$A2356,nCURSO,DATOS!$D2356,nESPEC,DATOS!$E2356,nASIG,DATOS!$I2356,nEVAL,"OR")=0))</f>
      </c>
      <c r="I2356">
        <f>IF(DATOS!$I2356="","",IFERROR(VLOOKUP(DATOS!$I2356,CONFIG_ASIGNATURAS!$B$2:$J$91,9,FALSE()),""))</f>
      </c>
    </row>
    <row r="2357">
      <c r="F2357">
        <f>IF(DATOS!$A2357="","",DATOS!$A2357&amp;"|"&amp;DATOS!$D2357&amp;"|"&amp;DATOS!$E2357&amp;"|"&amp;DATOS!$I2357)</f>
      </c>
      <c r="G2357">
        <f>IF(DATOS!$A2357="",0,IF(CONFIG_METADATA!$B$4&lt;&gt;"OR+EX",--(DATOS!$G2357=CONFIG_METADATA!$B$4),IF(DATOS!$G2357="EX",1,IF(DATOS!$G2357="OR",--(COUNTIFS(nNIA,DATOS!$A2357,nCURSO,DATOS!$D2357,nESPEC,DATOS!$E2357,nASIG,DATOS!$I2357,nEVAL,"EX")=0),0))))</f>
      </c>
      <c r="H2357">
        <f>IF(DATOS!$G2357&lt;&gt;"EX",0,--(COUNTIFS(nNIA,DATOS!$A2357,nCURSO,DATOS!$D2357,nESPEC,DATOS!$E2357,nASIG,DATOS!$I2357,nEVAL,"OR")=0))</f>
      </c>
      <c r="I2357">
        <f>IF(DATOS!$I2357="","",IFERROR(VLOOKUP(DATOS!$I2357,CONFIG_ASIGNATURAS!$B$2:$J$91,9,FALSE()),""))</f>
      </c>
    </row>
    <row r="2358">
      <c r="F2358">
        <f>IF(DATOS!$A2358="","",DATOS!$A2358&amp;"|"&amp;DATOS!$D2358&amp;"|"&amp;DATOS!$E2358&amp;"|"&amp;DATOS!$I2358)</f>
      </c>
      <c r="G2358">
        <f>IF(DATOS!$A2358="",0,IF(CONFIG_METADATA!$B$4&lt;&gt;"OR+EX",--(DATOS!$G2358=CONFIG_METADATA!$B$4),IF(DATOS!$G2358="EX",1,IF(DATOS!$G2358="OR",--(COUNTIFS(nNIA,DATOS!$A2358,nCURSO,DATOS!$D2358,nESPEC,DATOS!$E2358,nASIG,DATOS!$I2358,nEVAL,"EX")=0),0))))</f>
      </c>
      <c r="H2358">
        <f>IF(DATOS!$G2358&lt;&gt;"EX",0,--(COUNTIFS(nNIA,DATOS!$A2358,nCURSO,DATOS!$D2358,nESPEC,DATOS!$E2358,nASIG,DATOS!$I2358,nEVAL,"OR")=0))</f>
      </c>
      <c r="I2358">
        <f>IF(DATOS!$I2358="","",IFERROR(VLOOKUP(DATOS!$I2358,CONFIG_ASIGNATURAS!$B$2:$J$91,9,FALSE()),""))</f>
      </c>
    </row>
    <row r="2359">
      <c r="F2359">
        <f>IF(DATOS!$A2359="","",DATOS!$A2359&amp;"|"&amp;DATOS!$D2359&amp;"|"&amp;DATOS!$E2359&amp;"|"&amp;DATOS!$I2359)</f>
      </c>
      <c r="G2359">
        <f>IF(DATOS!$A2359="",0,IF(CONFIG_METADATA!$B$4&lt;&gt;"OR+EX",--(DATOS!$G2359=CONFIG_METADATA!$B$4),IF(DATOS!$G2359="EX",1,IF(DATOS!$G2359="OR",--(COUNTIFS(nNIA,DATOS!$A2359,nCURSO,DATOS!$D2359,nESPEC,DATOS!$E2359,nASIG,DATOS!$I2359,nEVAL,"EX")=0),0))))</f>
      </c>
      <c r="H2359">
        <f>IF(DATOS!$G2359&lt;&gt;"EX",0,--(COUNTIFS(nNIA,DATOS!$A2359,nCURSO,DATOS!$D2359,nESPEC,DATOS!$E2359,nASIG,DATOS!$I2359,nEVAL,"OR")=0))</f>
      </c>
      <c r="I2359">
        <f>IF(DATOS!$I2359="","",IFERROR(VLOOKUP(DATOS!$I2359,CONFIG_ASIGNATURAS!$B$2:$J$91,9,FALSE()),""))</f>
      </c>
    </row>
    <row r="2360">
      <c r="F2360">
        <f>IF(DATOS!$A2360="","",DATOS!$A2360&amp;"|"&amp;DATOS!$D2360&amp;"|"&amp;DATOS!$E2360&amp;"|"&amp;DATOS!$I2360)</f>
      </c>
      <c r="G2360">
        <f>IF(DATOS!$A2360="",0,IF(CONFIG_METADATA!$B$4&lt;&gt;"OR+EX",--(DATOS!$G2360=CONFIG_METADATA!$B$4),IF(DATOS!$G2360="EX",1,IF(DATOS!$G2360="OR",--(COUNTIFS(nNIA,DATOS!$A2360,nCURSO,DATOS!$D2360,nESPEC,DATOS!$E2360,nASIG,DATOS!$I2360,nEVAL,"EX")=0),0))))</f>
      </c>
      <c r="H2360">
        <f>IF(DATOS!$G2360&lt;&gt;"EX",0,--(COUNTIFS(nNIA,DATOS!$A2360,nCURSO,DATOS!$D2360,nESPEC,DATOS!$E2360,nASIG,DATOS!$I2360,nEVAL,"OR")=0))</f>
      </c>
      <c r="I2360">
        <f>IF(DATOS!$I2360="","",IFERROR(VLOOKUP(DATOS!$I2360,CONFIG_ASIGNATURAS!$B$2:$J$91,9,FALSE()),""))</f>
      </c>
    </row>
    <row r="2361">
      <c r="F2361">
        <f>IF(DATOS!$A2361="","",DATOS!$A2361&amp;"|"&amp;DATOS!$D2361&amp;"|"&amp;DATOS!$E2361&amp;"|"&amp;DATOS!$I2361)</f>
      </c>
      <c r="G2361">
        <f>IF(DATOS!$A2361="",0,IF(CONFIG_METADATA!$B$4&lt;&gt;"OR+EX",--(DATOS!$G2361=CONFIG_METADATA!$B$4),IF(DATOS!$G2361="EX",1,IF(DATOS!$G2361="OR",--(COUNTIFS(nNIA,DATOS!$A2361,nCURSO,DATOS!$D2361,nESPEC,DATOS!$E2361,nASIG,DATOS!$I2361,nEVAL,"EX")=0),0))))</f>
      </c>
      <c r="H2361">
        <f>IF(DATOS!$G2361&lt;&gt;"EX",0,--(COUNTIFS(nNIA,DATOS!$A2361,nCURSO,DATOS!$D2361,nESPEC,DATOS!$E2361,nASIG,DATOS!$I2361,nEVAL,"OR")=0))</f>
      </c>
      <c r="I2361">
        <f>IF(DATOS!$I2361="","",IFERROR(VLOOKUP(DATOS!$I2361,CONFIG_ASIGNATURAS!$B$2:$J$91,9,FALSE()),""))</f>
      </c>
    </row>
    <row r="2362">
      <c r="F2362">
        <f>IF(DATOS!$A2362="","",DATOS!$A2362&amp;"|"&amp;DATOS!$D2362&amp;"|"&amp;DATOS!$E2362&amp;"|"&amp;DATOS!$I2362)</f>
      </c>
      <c r="G2362">
        <f>IF(DATOS!$A2362="",0,IF(CONFIG_METADATA!$B$4&lt;&gt;"OR+EX",--(DATOS!$G2362=CONFIG_METADATA!$B$4),IF(DATOS!$G2362="EX",1,IF(DATOS!$G2362="OR",--(COUNTIFS(nNIA,DATOS!$A2362,nCURSO,DATOS!$D2362,nESPEC,DATOS!$E2362,nASIG,DATOS!$I2362,nEVAL,"EX")=0),0))))</f>
      </c>
      <c r="H2362">
        <f>IF(DATOS!$G2362&lt;&gt;"EX",0,--(COUNTIFS(nNIA,DATOS!$A2362,nCURSO,DATOS!$D2362,nESPEC,DATOS!$E2362,nASIG,DATOS!$I2362,nEVAL,"OR")=0))</f>
      </c>
      <c r="I2362">
        <f>IF(DATOS!$I2362="","",IFERROR(VLOOKUP(DATOS!$I2362,CONFIG_ASIGNATURAS!$B$2:$J$91,9,FALSE()),""))</f>
      </c>
    </row>
    <row r="2363">
      <c r="F2363">
        <f>IF(DATOS!$A2363="","",DATOS!$A2363&amp;"|"&amp;DATOS!$D2363&amp;"|"&amp;DATOS!$E2363&amp;"|"&amp;DATOS!$I2363)</f>
      </c>
      <c r="G2363">
        <f>IF(DATOS!$A2363="",0,IF(CONFIG_METADATA!$B$4&lt;&gt;"OR+EX",--(DATOS!$G2363=CONFIG_METADATA!$B$4),IF(DATOS!$G2363="EX",1,IF(DATOS!$G2363="OR",--(COUNTIFS(nNIA,DATOS!$A2363,nCURSO,DATOS!$D2363,nESPEC,DATOS!$E2363,nASIG,DATOS!$I2363,nEVAL,"EX")=0),0))))</f>
      </c>
      <c r="H2363">
        <f>IF(DATOS!$G2363&lt;&gt;"EX",0,--(COUNTIFS(nNIA,DATOS!$A2363,nCURSO,DATOS!$D2363,nESPEC,DATOS!$E2363,nASIG,DATOS!$I2363,nEVAL,"OR")=0))</f>
      </c>
      <c r="I2363">
        <f>IF(DATOS!$I2363="","",IFERROR(VLOOKUP(DATOS!$I2363,CONFIG_ASIGNATURAS!$B$2:$J$91,9,FALSE()),""))</f>
      </c>
    </row>
    <row r="2364">
      <c r="F2364">
        <f>IF(DATOS!$A2364="","",DATOS!$A2364&amp;"|"&amp;DATOS!$D2364&amp;"|"&amp;DATOS!$E2364&amp;"|"&amp;DATOS!$I2364)</f>
      </c>
      <c r="G2364">
        <f>IF(DATOS!$A2364="",0,IF(CONFIG_METADATA!$B$4&lt;&gt;"OR+EX",--(DATOS!$G2364=CONFIG_METADATA!$B$4),IF(DATOS!$G2364="EX",1,IF(DATOS!$G2364="OR",--(COUNTIFS(nNIA,DATOS!$A2364,nCURSO,DATOS!$D2364,nESPEC,DATOS!$E2364,nASIG,DATOS!$I2364,nEVAL,"EX")=0),0))))</f>
      </c>
      <c r="H2364">
        <f>IF(DATOS!$G2364&lt;&gt;"EX",0,--(COUNTIFS(nNIA,DATOS!$A2364,nCURSO,DATOS!$D2364,nESPEC,DATOS!$E2364,nASIG,DATOS!$I2364,nEVAL,"OR")=0))</f>
      </c>
      <c r="I2364">
        <f>IF(DATOS!$I2364="","",IFERROR(VLOOKUP(DATOS!$I2364,CONFIG_ASIGNATURAS!$B$2:$J$91,9,FALSE()),""))</f>
      </c>
    </row>
    <row r="2365">
      <c r="F2365">
        <f>IF(DATOS!$A2365="","",DATOS!$A2365&amp;"|"&amp;DATOS!$D2365&amp;"|"&amp;DATOS!$E2365&amp;"|"&amp;DATOS!$I2365)</f>
      </c>
      <c r="G2365">
        <f>IF(DATOS!$A2365="",0,IF(CONFIG_METADATA!$B$4&lt;&gt;"OR+EX",--(DATOS!$G2365=CONFIG_METADATA!$B$4),IF(DATOS!$G2365="EX",1,IF(DATOS!$G2365="OR",--(COUNTIFS(nNIA,DATOS!$A2365,nCURSO,DATOS!$D2365,nESPEC,DATOS!$E2365,nASIG,DATOS!$I2365,nEVAL,"EX")=0),0))))</f>
      </c>
      <c r="H2365">
        <f>IF(DATOS!$G2365&lt;&gt;"EX",0,--(COUNTIFS(nNIA,DATOS!$A2365,nCURSO,DATOS!$D2365,nESPEC,DATOS!$E2365,nASIG,DATOS!$I2365,nEVAL,"OR")=0))</f>
      </c>
      <c r="I2365">
        <f>IF(DATOS!$I2365="","",IFERROR(VLOOKUP(DATOS!$I2365,CONFIG_ASIGNATURAS!$B$2:$J$91,9,FALSE()),""))</f>
      </c>
    </row>
    <row r="2366">
      <c r="F2366">
        <f>IF(DATOS!$A2366="","",DATOS!$A2366&amp;"|"&amp;DATOS!$D2366&amp;"|"&amp;DATOS!$E2366&amp;"|"&amp;DATOS!$I2366)</f>
      </c>
      <c r="G2366">
        <f>IF(DATOS!$A2366="",0,IF(CONFIG_METADATA!$B$4&lt;&gt;"OR+EX",--(DATOS!$G2366=CONFIG_METADATA!$B$4),IF(DATOS!$G2366="EX",1,IF(DATOS!$G2366="OR",--(COUNTIFS(nNIA,DATOS!$A2366,nCURSO,DATOS!$D2366,nESPEC,DATOS!$E2366,nASIG,DATOS!$I2366,nEVAL,"EX")=0),0))))</f>
      </c>
      <c r="H2366">
        <f>IF(DATOS!$G2366&lt;&gt;"EX",0,--(COUNTIFS(nNIA,DATOS!$A2366,nCURSO,DATOS!$D2366,nESPEC,DATOS!$E2366,nASIG,DATOS!$I2366,nEVAL,"OR")=0))</f>
      </c>
      <c r="I2366">
        <f>IF(DATOS!$I2366="","",IFERROR(VLOOKUP(DATOS!$I2366,CONFIG_ASIGNATURAS!$B$2:$J$91,9,FALSE()),""))</f>
      </c>
    </row>
    <row r="2367">
      <c r="F2367">
        <f>IF(DATOS!$A2367="","",DATOS!$A2367&amp;"|"&amp;DATOS!$D2367&amp;"|"&amp;DATOS!$E2367&amp;"|"&amp;DATOS!$I2367)</f>
      </c>
      <c r="G2367">
        <f>IF(DATOS!$A2367="",0,IF(CONFIG_METADATA!$B$4&lt;&gt;"OR+EX",--(DATOS!$G2367=CONFIG_METADATA!$B$4),IF(DATOS!$G2367="EX",1,IF(DATOS!$G2367="OR",--(COUNTIFS(nNIA,DATOS!$A2367,nCURSO,DATOS!$D2367,nESPEC,DATOS!$E2367,nASIG,DATOS!$I2367,nEVAL,"EX")=0),0))))</f>
      </c>
      <c r="H2367">
        <f>IF(DATOS!$G2367&lt;&gt;"EX",0,--(COUNTIFS(nNIA,DATOS!$A2367,nCURSO,DATOS!$D2367,nESPEC,DATOS!$E2367,nASIG,DATOS!$I2367,nEVAL,"OR")=0))</f>
      </c>
      <c r="I2367">
        <f>IF(DATOS!$I2367="","",IFERROR(VLOOKUP(DATOS!$I2367,CONFIG_ASIGNATURAS!$B$2:$J$91,9,FALSE()),""))</f>
      </c>
    </row>
    <row r="2368">
      <c r="F2368">
        <f>IF(DATOS!$A2368="","",DATOS!$A2368&amp;"|"&amp;DATOS!$D2368&amp;"|"&amp;DATOS!$E2368&amp;"|"&amp;DATOS!$I2368)</f>
      </c>
      <c r="G2368">
        <f>IF(DATOS!$A2368="",0,IF(CONFIG_METADATA!$B$4&lt;&gt;"OR+EX",--(DATOS!$G2368=CONFIG_METADATA!$B$4),IF(DATOS!$G2368="EX",1,IF(DATOS!$G2368="OR",--(COUNTIFS(nNIA,DATOS!$A2368,nCURSO,DATOS!$D2368,nESPEC,DATOS!$E2368,nASIG,DATOS!$I2368,nEVAL,"EX")=0),0))))</f>
      </c>
      <c r="H2368">
        <f>IF(DATOS!$G2368&lt;&gt;"EX",0,--(COUNTIFS(nNIA,DATOS!$A2368,nCURSO,DATOS!$D2368,nESPEC,DATOS!$E2368,nASIG,DATOS!$I2368,nEVAL,"OR")=0))</f>
      </c>
      <c r="I2368">
        <f>IF(DATOS!$I2368="","",IFERROR(VLOOKUP(DATOS!$I2368,CONFIG_ASIGNATURAS!$B$2:$J$91,9,FALSE()),""))</f>
      </c>
    </row>
    <row r="2369">
      <c r="F2369">
        <f>IF(DATOS!$A2369="","",DATOS!$A2369&amp;"|"&amp;DATOS!$D2369&amp;"|"&amp;DATOS!$E2369&amp;"|"&amp;DATOS!$I2369)</f>
      </c>
      <c r="G2369">
        <f>IF(DATOS!$A2369="",0,IF(CONFIG_METADATA!$B$4&lt;&gt;"OR+EX",--(DATOS!$G2369=CONFIG_METADATA!$B$4),IF(DATOS!$G2369="EX",1,IF(DATOS!$G2369="OR",--(COUNTIFS(nNIA,DATOS!$A2369,nCURSO,DATOS!$D2369,nESPEC,DATOS!$E2369,nASIG,DATOS!$I2369,nEVAL,"EX")=0),0))))</f>
      </c>
      <c r="H2369">
        <f>IF(DATOS!$G2369&lt;&gt;"EX",0,--(COUNTIFS(nNIA,DATOS!$A2369,nCURSO,DATOS!$D2369,nESPEC,DATOS!$E2369,nASIG,DATOS!$I2369,nEVAL,"OR")=0))</f>
      </c>
      <c r="I2369">
        <f>IF(DATOS!$I2369="","",IFERROR(VLOOKUP(DATOS!$I2369,CONFIG_ASIGNATURAS!$B$2:$J$91,9,FALSE()),""))</f>
      </c>
    </row>
    <row r="2370">
      <c r="F2370">
        <f>IF(DATOS!$A2370="","",DATOS!$A2370&amp;"|"&amp;DATOS!$D2370&amp;"|"&amp;DATOS!$E2370&amp;"|"&amp;DATOS!$I2370)</f>
      </c>
      <c r="G2370">
        <f>IF(DATOS!$A2370="",0,IF(CONFIG_METADATA!$B$4&lt;&gt;"OR+EX",--(DATOS!$G2370=CONFIG_METADATA!$B$4),IF(DATOS!$G2370="EX",1,IF(DATOS!$G2370="OR",--(COUNTIFS(nNIA,DATOS!$A2370,nCURSO,DATOS!$D2370,nESPEC,DATOS!$E2370,nASIG,DATOS!$I2370,nEVAL,"EX")=0),0))))</f>
      </c>
      <c r="H2370">
        <f>IF(DATOS!$G2370&lt;&gt;"EX",0,--(COUNTIFS(nNIA,DATOS!$A2370,nCURSO,DATOS!$D2370,nESPEC,DATOS!$E2370,nASIG,DATOS!$I2370,nEVAL,"OR")=0))</f>
      </c>
      <c r="I2370">
        <f>IF(DATOS!$I2370="","",IFERROR(VLOOKUP(DATOS!$I2370,CONFIG_ASIGNATURAS!$B$2:$J$91,9,FALSE()),""))</f>
      </c>
    </row>
    <row r="2371">
      <c r="F2371">
        <f>IF(DATOS!$A2371="","",DATOS!$A2371&amp;"|"&amp;DATOS!$D2371&amp;"|"&amp;DATOS!$E2371&amp;"|"&amp;DATOS!$I2371)</f>
      </c>
      <c r="G2371">
        <f>IF(DATOS!$A2371="",0,IF(CONFIG_METADATA!$B$4&lt;&gt;"OR+EX",--(DATOS!$G2371=CONFIG_METADATA!$B$4),IF(DATOS!$G2371="EX",1,IF(DATOS!$G2371="OR",--(COUNTIFS(nNIA,DATOS!$A2371,nCURSO,DATOS!$D2371,nESPEC,DATOS!$E2371,nASIG,DATOS!$I2371,nEVAL,"EX")=0),0))))</f>
      </c>
      <c r="H2371">
        <f>IF(DATOS!$G2371&lt;&gt;"EX",0,--(COUNTIFS(nNIA,DATOS!$A2371,nCURSO,DATOS!$D2371,nESPEC,DATOS!$E2371,nASIG,DATOS!$I2371,nEVAL,"OR")=0))</f>
      </c>
      <c r="I2371">
        <f>IF(DATOS!$I2371="","",IFERROR(VLOOKUP(DATOS!$I2371,CONFIG_ASIGNATURAS!$B$2:$J$91,9,FALSE()),""))</f>
      </c>
    </row>
    <row r="2372">
      <c r="F2372">
        <f>IF(DATOS!$A2372="","",DATOS!$A2372&amp;"|"&amp;DATOS!$D2372&amp;"|"&amp;DATOS!$E2372&amp;"|"&amp;DATOS!$I2372)</f>
      </c>
      <c r="G2372">
        <f>IF(DATOS!$A2372="",0,IF(CONFIG_METADATA!$B$4&lt;&gt;"OR+EX",--(DATOS!$G2372=CONFIG_METADATA!$B$4),IF(DATOS!$G2372="EX",1,IF(DATOS!$G2372="OR",--(COUNTIFS(nNIA,DATOS!$A2372,nCURSO,DATOS!$D2372,nESPEC,DATOS!$E2372,nASIG,DATOS!$I2372,nEVAL,"EX")=0),0))))</f>
      </c>
      <c r="H2372">
        <f>IF(DATOS!$G2372&lt;&gt;"EX",0,--(COUNTIFS(nNIA,DATOS!$A2372,nCURSO,DATOS!$D2372,nESPEC,DATOS!$E2372,nASIG,DATOS!$I2372,nEVAL,"OR")=0))</f>
      </c>
      <c r="I2372">
        <f>IF(DATOS!$I2372="","",IFERROR(VLOOKUP(DATOS!$I2372,CONFIG_ASIGNATURAS!$B$2:$J$91,9,FALSE()),""))</f>
      </c>
    </row>
    <row r="2373">
      <c r="F2373">
        <f>IF(DATOS!$A2373="","",DATOS!$A2373&amp;"|"&amp;DATOS!$D2373&amp;"|"&amp;DATOS!$E2373&amp;"|"&amp;DATOS!$I2373)</f>
      </c>
      <c r="G2373">
        <f>IF(DATOS!$A2373="",0,IF(CONFIG_METADATA!$B$4&lt;&gt;"OR+EX",--(DATOS!$G2373=CONFIG_METADATA!$B$4),IF(DATOS!$G2373="EX",1,IF(DATOS!$G2373="OR",--(COUNTIFS(nNIA,DATOS!$A2373,nCURSO,DATOS!$D2373,nESPEC,DATOS!$E2373,nASIG,DATOS!$I2373,nEVAL,"EX")=0),0))))</f>
      </c>
      <c r="H2373">
        <f>IF(DATOS!$G2373&lt;&gt;"EX",0,--(COUNTIFS(nNIA,DATOS!$A2373,nCURSO,DATOS!$D2373,nESPEC,DATOS!$E2373,nASIG,DATOS!$I2373,nEVAL,"OR")=0))</f>
      </c>
      <c r="I2373">
        <f>IF(DATOS!$I2373="","",IFERROR(VLOOKUP(DATOS!$I2373,CONFIG_ASIGNATURAS!$B$2:$J$91,9,FALSE()),""))</f>
      </c>
    </row>
    <row r="2374">
      <c r="F2374">
        <f>IF(DATOS!$A2374="","",DATOS!$A2374&amp;"|"&amp;DATOS!$D2374&amp;"|"&amp;DATOS!$E2374&amp;"|"&amp;DATOS!$I2374)</f>
      </c>
      <c r="G2374">
        <f>IF(DATOS!$A2374="",0,IF(CONFIG_METADATA!$B$4&lt;&gt;"OR+EX",--(DATOS!$G2374=CONFIG_METADATA!$B$4),IF(DATOS!$G2374="EX",1,IF(DATOS!$G2374="OR",--(COUNTIFS(nNIA,DATOS!$A2374,nCURSO,DATOS!$D2374,nESPEC,DATOS!$E2374,nASIG,DATOS!$I2374,nEVAL,"EX")=0),0))))</f>
      </c>
      <c r="H2374">
        <f>IF(DATOS!$G2374&lt;&gt;"EX",0,--(COUNTIFS(nNIA,DATOS!$A2374,nCURSO,DATOS!$D2374,nESPEC,DATOS!$E2374,nASIG,DATOS!$I2374,nEVAL,"OR")=0))</f>
      </c>
      <c r="I2374">
        <f>IF(DATOS!$I2374="","",IFERROR(VLOOKUP(DATOS!$I2374,CONFIG_ASIGNATURAS!$B$2:$J$91,9,FALSE()),""))</f>
      </c>
    </row>
    <row r="2375">
      <c r="F2375">
        <f>IF(DATOS!$A2375="","",DATOS!$A2375&amp;"|"&amp;DATOS!$D2375&amp;"|"&amp;DATOS!$E2375&amp;"|"&amp;DATOS!$I2375)</f>
      </c>
      <c r="G2375">
        <f>IF(DATOS!$A2375="",0,IF(CONFIG_METADATA!$B$4&lt;&gt;"OR+EX",--(DATOS!$G2375=CONFIG_METADATA!$B$4),IF(DATOS!$G2375="EX",1,IF(DATOS!$G2375="OR",--(COUNTIFS(nNIA,DATOS!$A2375,nCURSO,DATOS!$D2375,nESPEC,DATOS!$E2375,nASIG,DATOS!$I2375,nEVAL,"EX")=0),0))))</f>
      </c>
      <c r="H2375">
        <f>IF(DATOS!$G2375&lt;&gt;"EX",0,--(COUNTIFS(nNIA,DATOS!$A2375,nCURSO,DATOS!$D2375,nESPEC,DATOS!$E2375,nASIG,DATOS!$I2375,nEVAL,"OR")=0))</f>
      </c>
      <c r="I2375">
        <f>IF(DATOS!$I2375="","",IFERROR(VLOOKUP(DATOS!$I2375,CONFIG_ASIGNATURAS!$B$2:$J$91,9,FALSE()),""))</f>
      </c>
    </row>
    <row r="2376">
      <c r="F2376">
        <f>IF(DATOS!$A2376="","",DATOS!$A2376&amp;"|"&amp;DATOS!$D2376&amp;"|"&amp;DATOS!$E2376&amp;"|"&amp;DATOS!$I2376)</f>
      </c>
      <c r="G2376">
        <f>IF(DATOS!$A2376="",0,IF(CONFIG_METADATA!$B$4&lt;&gt;"OR+EX",--(DATOS!$G2376=CONFIG_METADATA!$B$4),IF(DATOS!$G2376="EX",1,IF(DATOS!$G2376="OR",--(COUNTIFS(nNIA,DATOS!$A2376,nCURSO,DATOS!$D2376,nESPEC,DATOS!$E2376,nASIG,DATOS!$I2376,nEVAL,"EX")=0),0))))</f>
      </c>
      <c r="H2376">
        <f>IF(DATOS!$G2376&lt;&gt;"EX",0,--(COUNTIFS(nNIA,DATOS!$A2376,nCURSO,DATOS!$D2376,nESPEC,DATOS!$E2376,nASIG,DATOS!$I2376,nEVAL,"OR")=0))</f>
      </c>
      <c r="I2376">
        <f>IF(DATOS!$I2376="","",IFERROR(VLOOKUP(DATOS!$I2376,CONFIG_ASIGNATURAS!$B$2:$J$91,9,FALSE()),""))</f>
      </c>
    </row>
    <row r="2377">
      <c r="F2377">
        <f>IF(DATOS!$A2377="","",DATOS!$A2377&amp;"|"&amp;DATOS!$D2377&amp;"|"&amp;DATOS!$E2377&amp;"|"&amp;DATOS!$I2377)</f>
      </c>
      <c r="G2377">
        <f>IF(DATOS!$A2377="",0,IF(CONFIG_METADATA!$B$4&lt;&gt;"OR+EX",--(DATOS!$G2377=CONFIG_METADATA!$B$4),IF(DATOS!$G2377="EX",1,IF(DATOS!$G2377="OR",--(COUNTIFS(nNIA,DATOS!$A2377,nCURSO,DATOS!$D2377,nESPEC,DATOS!$E2377,nASIG,DATOS!$I2377,nEVAL,"EX")=0),0))))</f>
      </c>
      <c r="H2377">
        <f>IF(DATOS!$G2377&lt;&gt;"EX",0,--(COUNTIFS(nNIA,DATOS!$A2377,nCURSO,DATOS!$D2377,nESPEC,DATOS!$E2377,nASIG,DATOS!$I2377,nEVAL,"OR")=0))</f>
      </c>
      <c r="I2377">
        <f>IF(DATOS!$I2377="","",IFERROR(VLOOKUP(DATOS!$I2377,CONFIG_ASIGNATURAS!$B$2:$J$91,9,FALSE()),""))</f>
      </c>
    </row>
    <row r="2378">
      <c r="F2378">
        <f>IF(DATOS!$A2378="","",DATOS!$A2378&amp;"|"&amp;DATOS!$D2378&amp;"|"&amp;DATOS!$E2378&amp;"|"&amp;DATOS!$I2378)</f>
      </c>
      <c r="G2378">
        <f>IF(DATOS!$A2378="",0,IF(CONFIG_METADATA!$B$4&lt;&gt;"OR+EX",--(DATOS!$G2378=CONFIG_METADATA!$B$4),IF(DATOS!$G2378="EX",1,IF(DATOS!$G2378="OR",--(COUNTIFS(nNIA,DATOS!$A2378,nCURSO,DATOS!$D2378,nESPEC,DATOS!$E2378,nASIG,DATOS!$I2378,nEVAL,"EX")=0),0))))</f>
      </c>
      <c r="H2378">
        <f>IF(DATOS!$G2378&lt;&gt;"EX",0,--(COUNTIFS(nNIA,DATOS!$A2378,nCURSO,DATOS!$D2378,nESPEC,DATOS!$E2378,nASIG,DATOS!$I2378,nEVAL,"OR")=0))</f>
      </c>
      <c r="I2378">
        <f>IF(DATOS!$I2378="","",IFERROR(VLOOKUP(DATOS!$I2378,CONFIG_ASIGNATURAS!$B$2:$J$91,9,FALSE()),""))</f>
      </c>
    </row>
    <row r="2379">
      <c r="F2379">
        <f>IF(DATOS!$A2379="","",DATOS!$A2379&amp;"|"&amp;DATOS!$D2379&amp;"|"&amp;DATOS!$E2379&amp;"|"&amp;DATOS!$I2379)</f>
      </c>
      <c r="G2379">
        <f>IF(DATOS!$A2379="",0,IF(CONFIG_METADATA!$B$4&lt;&gt;"OR+EX",--(DATOS!$G2379=CONFIG_METADATA!$B$4),IF(DATOS!$G2379="EX",1,IF(DATOS!$G2379="OR",--(COUNTIFS(nNIA,DATOS!$A2379,nCURSO,DATOS!$D2379,nESPEC,DATOS!$E2379,nASIG,DATOS!$I2379,nEVAL,"EX")=0),0))))</f>
      </c>
      <c r="H2379">
        <f>IF(DATOS!$G2379&lt;&gt;"EX",0,--(COUNTIFS(nNIA,DATOS!$A2379,nCURSO,DATOS!$D2379,nESPEC,DATOS!$E2379,nASIG,DATOS!$I2379,nEVAL,"OR")=0))</f>
      </c>
      <c r="I2379">
        <f>IF(DATOS!$I2379="","",IFERROR(VLOOKUP(DATOS!$I2379,CONFIG_ASIGNATURAS!$B$2:$J$91,9,FALSE()),""))</f>
      </c>
    </row>
    <row r="2380">
      <c r="F2380">
        <f>IF(DATOS!$A2380="","",DATOS!$A2380&amp;"|"&amp;DATOS!$D2380&amp;"|"&amp;DATOS!$E2380&amp;"|"&amp;DATOS!$I2380)</f>
      </c>
      <c r="G2380">
        <f>IF(DATOS!$A2380="",0,IF(CONFIG_METADATA!$B$4&lt;&gt;"OR+EX",--(DATOS!$G2380=CONFIG_METADATA!$B$4),IF(DATOS!$G2380="EX",1,IF(DATOS!$G2380="OR",--(COUNTIFS(nNIA,DATOS!$A2380,nCURSO,DATOS!$D2380,nESPEC,DATOS!$E2380,nASIG,DATOS!$I2380,nEVAL,"EX")=0),0))))</f>
      </c>
      <c r="H2380">
        <f>IF(DATOS!$G2380&lt;&gt;"EX",0,--(COUNTIFS(nNIA,DATOS!$A2380,nCURSO,DATOS!$D2380,nESPEC,DATOS!$E2380,nASIG,DATOS!$I2380,nEVAL,"OR")=0))</f>
      </c>
      <c r="I2380">
        <f>IF(DATOS!$I2380="","",IFERROR(VLOOKUP(DATOS!$I2380,CONFIG_ASIGNATURAS!$B$2:$J$91,9,FALSE()),""))</f>
      </c>
    </row>
    <row r="2381">
      <c r="F2381">
        <f>IF(DATOS!$A2381="","",DATOS!$A2381&amp;"|"&amp;DATOS!$D2381&amp;"|"&amp;DATOS!$E2381&amp;"|"&amp;DATOS!$I2381)</f>
      </c>
      <c r="G2381">
        <f>IF(DATOS!$A2381="",0,IF(CONFIG_METADATA!$B$4&lt;&gt;"OR+EX",--(DATOS!$G2381=CONFIG_METADATA!$B$4),IF(DATOS!$G2381="EX",1,IF(DATOS!$G2381="OR",--(COUNTIFS(nNIA,DATOS!$A2381,nCURSO,DATOS!$D2381,nESPEC,DATOS!$E2381,nASIG,DATOS!$I2381,nEVAL,"EX")=0),0))))</f>
      </c>
      <c r="H2381">
        <f>IF(DATOS!$G2381&lt;&gt;"EX",0,--(COUNTIFS(nNIA,DATOS!$A2381,nCURSO,DATOS!$D2381,nESPEC,DATOS!$E2381,nASIG,DATOS!$I2381,nEVAL,"OR")=0))</f>
      </c>
      <c r="I2381">
        <f>IF(DATOS!$I2381="","",IFERROR(VLOOKUP(DATOS!$I2381,CONFIG_ASIGNATURAS!$B$2:$J$91,9,FALSE()),""))</f>
      </c>
    </row>
    <row r="2382">
      <c r="F2382">
        <f>IF(DATOS!$A2382="","",DATOS!$A2382&amp;"|"&amp;DATOS!$D2382&amp;"|"&amp;DATOS!$E2382&amp;"|"&amp;DATOS!$I2382)</f>
      </c>
      <c r="G2382">
        <f>IF(DATOS!$A2382="",0,IF(CONFIG_METADATA!$B$4&lt;&gt;"OR+EX",--(DATOS!$G2382=CONFIG_METADATA!$B$4),IF(DATOS!$G2382="EX",1,IF(DATOS!$G2382="OR",--(COUNTIFS(nNIA,DATOS!$A2382,nCURSO,DATOS!$D2382,nESPEC,DATOS!$E2382,nASIG,DATOS!$I2382,nEVAL,"EX")=0),0))))</f>
      </c>
      <c r="H2382">
        <f>IF(DATOS!$G2382&lt;&gt;"EX",0,--(COUNTIFS(nNIA,DATOS!$A2382,nCURSO,DATOS!$D2382,nESPEC,DATOS!$E2382,nASIG,DATOS!$I2382,nEVAL,"OR")=0))</f>
      </c>
      <c r="I2382">
        <f>IF(DATOS!$I2382="","",IFERROR(VLOOKUP(DATOS!$I2382,CONFIG_ASIGNATURAS!$B$2:$J$91,9,FALSE()),""))</f>
      </c>
    </row>
    <row r="2383">
      <c r="F2383">
        <f>IF(DATOS!$A2383="","",DATOS!$A2383&amp;"|"&amp;DATOS!$D2383&amp;"|"&amp;DATOS!$E2383&amp;"|"&amp;DATOS!$I2383)</f>
      </c>
      <c r="G2383">
        <f>IF(DATOS!$A2383="",0,IF(CONFIG_METADATA!$B$4&lt;&gt;"OR+EX",--(DATOS!$G2383=CONFIG_METADATA!$B$4),IF(DATOS!$G2383="EX",1,IF(DATOS!$G2383="OR",--(COUNTIFS(nNIA,DATOS!$A2383,nCURSO,DATOS!$D2383,nESPEC,DATOS!$E2383,nASIG,DATOS!$I2383,nEVAL,"EX")=0),0))))</f>
      </c>
      <c r="H2383">
        <f>IF(DATOS!$G2383&lt;&gt;"EX",0,--(COUNTIFS(nNIA,DATOS!$A2383,nCURSO,DATOS!$D2383,nESPEC,DATOS!$E2383,nASIG,DATOS!$I2383,nEVAL,"OR")=0))</f>
      </c>
      <c r="I2383">
        <f>IF(DATOS!$I2383="","",IFERROR(VLOOKUP(DATOS!$I2383,CONFIG_ASIGNATURAS!$B$2:$J$91,9,FALSE()),""))</f>
      </c>
    </row>
    <row r="2384">
      <c r="F2384">
        <f>IF(DATOS!$A2384="","",DATOS!$A2384&amp;"|"&amp;DATOS!$D2384&amp;"|"&amp;DATOS!$E2384&amp;"|"&amp;DATOS!$I2384)</f>
      </c>
      <c r="G2384">
        <f>IF(DATOS!$A2384="",0,IF(CONFIG_METADATA!$B$4&lt;&gt;"OR+EX",--(DATOS!$G2384=CONFIG_METADATA!$B$4),IF(DATOS!$G2384="EX",1,IF(DATOS!$G2384="OR",--(COUNTIFS(nNIA,DATOS!$A2384,nCURSO,DATOS!$D2384,nESPEC,DATOS!$E2384,nASIG,DATOS!$I2384,nEVAL,"EX")=0),0))))</f>
      </c>
      <c r="H2384">
        <f>IF(DATOS!$G2384&lt;&gt;"EX",0,--(COUNTIFS(nNIA,DATOS!$A2384,nCURSO,DATOS!$D2384,nESPEC,DATOS!$E2384,nASIG,DATOS!$I2384,nEVAL,"OR")=0))</f>
      </c>
      <c r="I2384">
        <f>IF(DATOS!$I2384="","",IFERROR(VLOOKUP(DATOS!$I2384,CONFIG_ASIGNATURAS!$B$2:$J$91,9,FALSE()),""))</f>
      </c>
    </row>
    <row r="2385">
      <c r="F2385">
        <f>IF(DATOS!$A2385="","",DATOS!$A2385&amp;"|"&amp;DATOS!$D2385&amp;"|"&amp;DATOS!$E2385&amp;"|"&amp;DATOS!$I2385)</f>
      </c>
      <c r="G2385">
        <f>IF(DATOS!$A2385="",0,IF(CONFIG_METADATA!$B$4&lt;&gt;"OR+EX",--(DATOS!$G2385=CONFIG_METADATA!$B$4),IF(DATOS!$G2385="EX",1,IF(DATOS!$G2385="OR",--(COUNTIFS(nNIA,DATOS!$A2385,nCURSO,DATOS!$D2385,nESPEC,DATOS!$E2385,nASIG,DATOS!$I2385,nEVAL,"EX")=0),0))))</f>
      </c>
      <c r="H2385">
        <f>IF(DATOS!$G2385&lt;&gt;"EX",0,--(COUNTIFS(nNIA,DATOS!$A2385,nCURSO,DATOS!$D2385,nESPEC,DATOS!$E2385,nASIG,DATOS!$I2385,nEVAL,"OR")=0))</f>
      </c>
      <c r="I2385">
        <f>IF(DATOS!$I2385="","",IFERROR(VLOOKUP(DATOS!$I2385,CONFIG_ASIGNATURAS!$B$2:$J$91,9,FALSE()),""))</f>
      </c>
    </row>
    <row r="2386">
      <c r="F2386">
        <f>IF(DATOS!$A2386="","",DATOS!$A2386&amp;"|"&amp;DATOS!$D2386&amp;"|"&amp;DATOS!$E2386&amp;"|"&amp;DATOS!$I2386)</f>
      </c>
      <c r="G2386">
        <f>IF(DATOS!$A2386="",0,IF(CONFIG_METADATA!$B$4&lt;&gt;"OR+EX",--(DATOS!$G2386=CONFIG_METADATA!$B$4),IF(DATOS!$G2386="EX",1,IF(DATOS!$G2386="OR",--(COUNTIFS(nNIA,DATOS!$A2386,nCURSO,DATOS!$D2386,nESPEC,DATOS!$E2386,nASIG,DATOS!$I2386,nEVAL,"EX")=0),0))))</f>
      </c>
      <c r="H2386">
        <f>IF(DATOS!$G2386&lt;&gt;"EX",0,--(COUNTIFS(nNIA,DATOS!$A2386,nCURSO,DATOS!$D2386,nESPEC,DATOS!$E2386,nASIG,DATOS!$I2386,nEVAL,"OR")=0))</f>
      </c>
      <c r="I2386">
        <f>IF(DATOS!$I2386="","",IFERROR(VLOOKUP(DATOS!$I2386,CONFIG_ASIGNATURAS!$B$2:$J$91,9,FALSE()),""))</f>
      </c>
    </row>
    <row r="2387">
      <c r="F2387">
        <f>IF(DATOS!$A2387="","",DATOS!$A2387&amp;"|"&amp;DATOS!$D2387&amp;"|"&amp;DATOS!$E2387&amp;"|"&amp;DATOS!$I2387)</f>
      </c>
      <c r="G2387">
        <f>IF(DATOS!$A2387="",0,IF(CONFIG_METADATA!$B$4&lt;&gt;"OR+EX",--(DATOS!$G2387=CONFIG_METADATA!$B$4),IF(DATOS!$G2387="EX",1,IF(DATOS!$G2387="OR",--(COUNTIFS(nNIA,DATOS!$A2387,nCURSO,DATOS!$D2387,nESPEC,DATOS!$E2387,nASIG,DATOS!$I2387,nEVAL,"EX")=0),0))))</f>
      </c>
      <c r="H2387">
        <f>IF(DATOS!$G2387&lt;&gt;"EX",0,--(COUNTIFS(nNIA,DATOS!$A2387,nCURSO,DATOS!$D2387,nESPEC,DATOS!$E2387,nASIG,DATOS!$I2387,nEVAL,"OR")=0))</f>
      </c>
      <c r="I2387">
        <f>IF(DATOS!$I2387="","",IFERROR(VLOOKUP(DATOS!$I2387,CONFIG_ASIGNATURAS!$B$2:$J$91,9,FALSE()),""))</f>
      </c>
    </row>
    <row r="2388">
      <c r="F2388">
        <f>IF(DATOS!$A2388="","",DATOS!$A2388&amp;"|"&amp;DATOS!$D2388&amp;"|"&amp;DATOS!$E2388&amp;"|"&amp;DATOS!$I2388)</f>
      </c>
      <c r="G2388">
        <f>IF(DATOS!$A2388="",0,IF(CONFIG_METADATA!$B$4&lt;&gt;"OR+EX",--(DATOS!$G2388=CONFIG_METADATA!$B$4),IF(DATOS!$G2388="EX",1,IF(DATOS!$G2388="OR",--(COUNTIFS(nNIA,DATOS!$A2388,nCURSO,DATOS!$D2388,nESPEC,DATOS!$E2388,nASIG,DATOS!$I2388,nEVAL,"EX")=0),0))))</f>
      </c>
      <c r="H2388">
        <f>IF(DATOS!$G2388&lt;&gt;"EX",0,--(COUNTIFS(nNIA,DATOS!$A2388,nCURSO,DATOS!$D2388,nESPEC,DATOS!$E2388,nASIG,DATOS!$I2388,nEVAL,"OR")=0))</f>
      </c>
      <c r="I2388">
        <f>IF(DATOS!$I2388="","",IFERROR(VLOOKUP(DATOS!$I2388,CONFIG_ASIGNATURAS!$B$2:$J$91,9,FALSE()),""))</f>
      </c>
    </row>
    <row r="2389">
      <c r="F2389">
        <f>IF(DATOS!$A2389="","",DATOS!$A2389&amp;"|"&amp;DATOS!$D2389&amp;"|"&amp;DATOS!$E2389&amp;"|"&amp;DATOS!$I2389)</f>
      </c>
      <c r="G2389">
        <f>IF(DATOS!$A2389="",0,IF(CONFIG_METADATA!$B$4&lt;&gt;"OR+EX",--(DATOS!$G2389=CONFIG_METADATA!$B$4),IF(DATOS!$G2389="EX",1,IF(DATOS!$G2389="OR",--(COUNTIFS(nNIA,DATOS!$A2389,nCURSO,DATOS!$D2389,nESPEC,DATOS!$E2389,nASIG,DATOS!$I2389,nEVAL,"EX")=0),0))))</f>
      </c>
      <c r="H2389">
        <f>IF(DATOS!$G2389&lt;&gt;"EX",0,--(COUNTIFS(nNIA,DATOS!$A2389,nCURSO,DATOS!$D2389,nESPEC,DATOS!$E2389,nASIG,DATOS!$I2389,nEVAL,"OR")=0))</f>
      </c>
      <c r="I2389">
        <f>IF(DATOS!$I2389="","",IFERROR(VLOOKUP(DATOS!$I2389,CONFIG_ASIGNATURAS!$B$2:$J$91,9,FALSE()),""))</f>
      </c>
    </row>
    <row r="2390">
      <c r="F2390">
        <f>IF(DATOS!$A2390="","",DATOS!$A2390&amp;"|"&amp;DATOS!$D2390&amp;"|"&amp;DATOS!$E2390&amp;"|"&amp;DATOS!$I2390)</f>
      </c>
      <c r="G2390">
        <f>IF(DATOS!$A2390="",0,IF(CONFIG_METADATA!$B$4&lt;&gt;"OR+EX",--(DATOS!$G2390=CONFIG_METADATA!$B$4),IF(DATOS!$G2390="EX",1,IF(DATOS!$G2390="OR",--(COUNTIFS(nNIA,DATOS!$A2390,nCURSO,DATOS!$D2390,nESPEC,DATOS!$E2390,nASIG,DATOS!$I2390,nEVAL,"EX")=0),0))))</f>
      </c>
      <c r="H2390">
        <f>IF(DATOS!$G2390&lt;&gt;"EX",0,--(COUNTIFS(nNIA,DATOS!$A2390,nCURSO,DATOS!$D2390,nESPEC,DATOS!$E2390,nASIG,DATOS!$I2390,nEVAL,"OR")=0))</f>
      </c>
      <c r="I2390">
        <f>IF(DATOS!$I2390="","",IFERROR(VLOOKUP(DATOS!$I2390,CONFIG_ASIGNATURAS!$B$2:$J$91,9,FALSE()),""))</f>
      </c>
    </row>
    <row r="2391">
      <c r="F2391">
        <f>IF(DATOS!$A2391="","",DATOS!$A2391&amp;"|"&amp;DATOS!$D2391&amp;"|"&amp;DATOS!$E2391&amp;"|"&amp;DATOS!$I2391)</f>
      </c>
      <c r="G2391">
        <f>IF(DATOS!$A2391="",0,IF(CONFIG_METADATA!$B$4&lt;&gt;"OR+EX",--(DATOS!$G2391=CONFIG_METADATA!$B$4),IF(DATOS!$G2391="EX",1,IF(DATOS!$G2391="OR",--(COUNTIFS(nNIA,DATOS!$A2391,nCURSO,DATOS!$D2391,nESPEC,DATOS!$E2391,nASIG,DATOS!$I2391,nEVAL,"EX")=0),0))))</f>
      </c>
      <c r="H2391">
        <f>IF(DATOS!$G2391&lt;&gt;"EX",0,--(COUNTIFS(nNIA,DATOS!$A2391,nCURSO,DATOS!$D2391,nESPEC,DATOS!$E2391,nASIG,DATOS!$I2391,nEVAL,"OR")=0))</f>
      </c>
      <c r="I2391">
        <f>IF(DATOS!$I2391="","",IFERROR(VLOOKUP(DATOS!$I2391,CONFIG_ASIGNATURAS!$B$2:$J$91,9,FALSE()),""))</f>
      </c>
    </row>
    <row r="2392">
      <c r="F2392">
        <f>IF(DATOS!$A2392="","",DATOS!$A2392&amp;"|"&amp;DATOS!$D2392&amp;"|"&amp;DATOS!$E2392&amp;"|"&amp;DATOS!$I2392)</f>
      </c>
      <c r="G2392">
        <f>IF(DATOS!$A2392="",0,IF(CONFIG_METADATA!$B$4&lt;&gt;"OR+EX",--(DATOS!$G2392=CONFIG_METADATA!$B$4),IF(DATOS!$G2392="EX",1,IF(DATOS!$G2392="OR",--(COUNTIFS(nNIA,DATOS!$A2392,nCURSO,DATOS!$D2392,nESPEC,DATOS!$E2392,nASIG,DATOS!$I2392,nEVAL,"EX")=0),0))))</f>
      </c>
      <c r="H2392">
        <f>IF(DATOS!$G2392&lt;&gt;"EX",0,--(COUNTIFS(nNIA,DATOS!$A2392,nCURSO,DATOS!$D2392,nESPEC,DATOS!$E2392,nASIG,DATOS!$I2392,nEVAL,"OR")=0))</f>
      </c>
      <c r="I2392">
        <f>IF(DATOS!$I2392="","",IFERROR(VLOOKUP(DATOS!$I2392,CONFIG_ASIGNATURAS!$B$2:$J$91,9,FALSE()),""))</f>
      </c>
    </row>
    <row r="2393">
      <c r="F2393">
        <f>IF(DATOS!$A2393="","",DATOS!$A2393&amp;"|"&amp;DATOS!$D2393&amp;"|"&amp;DATOS!$E2393&amp;"|"&amp;DATOS!$I2393)</f>
      </c>
      <c r="G2393">
        <f>IF(DATOS!$A2393="",0,IF(CONFIG_METADATA!$B$4&lt;&gt;"OR+EX",--(DATOS!$G2393=CONFIG_METADATA!$B$4),IF(DATOS!$G2393="EX",1,IF(DATOS!$G2393="OR",--(COUNTIFS(nNIA,DATOS!$A2393,nCURSO,DATOS!$D2393,nESPEC,DATOS!$E2393,nASIG,DATOS!$I2393,nEVAL,"EX")=0),0))))</f>
      </c>
      <c r="H2393">
        <f>IF(DATOS!$G2393&lt;&gt;"EX",0,--(COUNTIFS(nNIA,DATOS!$A2393,nCURSO,DATOS!$D2393,nESPEC,DATOS!$E2393,nASIG,DATOS!$I2393,nEVAL,"OR")=0))</f>
      </c>
      <c r="I2393">
        <f>IF(DATOS!$I2393="","",IFERROR(VLOOKUP(DATOS!$I2393,CONFIG_ASIGNATURAS!$B$2:$J$91,9,FALSE()),""))</f>
      </c>
    </row>
    <row r="2394">
      <c r="F2394">
        <f>IF(DATOS!$A2394="","",DATOS!$A2394&amp;"|"&amp;DATOS!$D2394&amp;"|"&amp;DATOS!$E2394&amp;"|"&amp;DATOS!$I2394)</f>
      </c>
      <c r="G2394">
        <f>IF(DATOS!$A2394="",0,IF(CONFIG_METADATA!$B$4&lt;&gt;"OR+EX",--(DATOS!$G2394=CONFIG_METADATA!$B$4),IF(DATOS!$G2394="EX",1,IF(DATOS!$G2394="OR",--(COUNTIFS(nNIA,DATOS!$A2394,nCURSO,DATOS!$D2394,nESPEC,DATOS!$E2394,nASIG,DATOS!$I2394,nEVAL,"EX")=0),0))))</f>
      </c>
      <c r="H2394">
        <f>IF(DATOS!$G2394&lt;&gt;"EX",0,--(COUNTIFS(nNIA,DATOS!$A2394,nCURSO,DATOS!$D2394,nESPEC,DATOS!$E2394,nASIG,DATOS!$I2394,nEVAL,"OR")=0))</f>
      </c>
      <c r="I2394">
        <f>IF(DATOS!$I2394="","",IFERROR(VLOOKUP(DATOS!$I2394,CONFIG_ASIGNATURAS!$B$2:$J$91,9,FALSE()),""))</f>
      </c>
    </row>
    <row r="2395">
      <c r="F2395">
        <f>IF(DATOS!$A2395="","",DATOS!$A2395&amp;"|"&amp;DATOS!$D2395&amp;"|"&amp;DATOS!$E2395&amp;"|"&amp;DATOS!$I2395)</f>
      </c>
      <c r="G2395">
        <f>IF(DATOS!$A2395="",0,IF(CONFIG_METADATA!$B$4&lt;&gt;"OR+EX",--(DATOS!$G2395=CONFIG_METADATA!$B$4),IF(DATOS!$G2395="EX",1,IF(DATOS!$G2395="OR",--(COUNTIFS(nNIA,DATOS!$A2395,nCURSO,DATOS!$D2395,nESPEC,DATOS!$E2395,nASIG,DATOS!$I2395,nEVAL,"EX")=0),0))))</f>
      </c>
      <c r="H2395">
        <f>IF(DATOS!$G2395&lt;&gt;"EX",0,--(COUNTIFS(nNIA,DATOS!$A2395,nCURSO,DATOS!$D2395,nESPEC,DATOS!$E2395,nASIG,DATOS!$I2395,nEVAL,"OR")=0))</f>
      </c>
      <c r="I2395">
        <f>IF(DATOS!$I2395="","",IFERROR(VLOOKUP(DATOS!$I2395,CONFIG_ASIGNATURAS!$B$2:$J$91,9,FALSE()),""))</f>
      </c>
    </row>
    <row r="2396">
      <c r="F2396">
        <f>IF(DATOS!$A2396="","",DATOS!$A2396&amp;"|"&amp;DATOS!$D2396&amp;"|"&amp;DATOS!$E2396&amp;"|"&amp;DATOS!$I2396)</f>
      </c>
      <c r="G2396">
        <f>IF(DATOS!$A2396="",0,IF(CONFIG_METADATA!$B$4&lt;&gt;"OR+EX",--(DATOS!$G2396=CONFIG_METADATA!$B$4),IF(DATOS!$G2396="EX",1,IF(DATOS!$G2396="OR",--(COUNTIFS(nNIA,DATOS!$A2396,nCURSO,DATOS!$D2396,nESPEC,DATOS!$E2396,nASIG,DATOS!$I2396,nEVAL,"EX")=0),0))))</f>
      </c>
      <c r="H2396">
        <f>IF(DATOS!$G2396&lt;&gt;"EX",0,--(COUNTIFS(nNIA,DATOS!$A2396,nCURSO,DATOS!$D2396,nESPEC,DATOS!$E2396,nASIG,DATOS!$I2396,nEVAL,"OR")=0))</f>
      </c>
      <c r="I2396">
        <f>IF(DATOS!$I2396="","",IFERROR(VLOOKUP(DATOS!$I2396,CONFIG_ASIGNATURAS!$B$2:$J$91,9,FALSE()),""))</f>
      </c>
    </row>
    <row r="2397">
      <c r="F2397">
        <f>IF(DATOS!$A2397="","",DATOS!$A2397&amp;"|"&amp;DATOS!$D2397&amp;"|"&amp;DATOS!$E2397&amp;"|"&amp;DATOS!$I2397)</f>
      </c>
      <c r="G2397">
        <f>IF(DATOS!$A2397="",0,IF(CONFIG_METADATA!$B$4&lt;&gt;"OR+EX",--(DATOS!$G2397=CONFIG_METADATA!$B$4),IF(DATOS!$G2397="EX",1,IF(DATOS!$G2397="OR",--(COUNTIFS(nNIA,DATOS!$A2397,nCURSO,DATOS!$D2397,nESPEC,DATOS!$E2397,nASIG,DATOS!$I2397,nEVAL,"EX")=0),0))))</f>
      </c>
      <c r="H2397">
        <f>IF(DATOS!$G2397&lt;&gt;"EX",0,--(COUNTIFS(nNIA,DATOS!$A2397,nCURSO,DATOS!$D2397,nESPEC,DATOS!$E2397,nASIG,DATOS!$I2397,nEVAL,"OR")=0))</f>
      </c>
      <c r="I2397">
        <f>IF(DATOS!$I2397="","",IFERROR(VLOOKUP(DATOS!$I2397,CONFIG_ASIGNATURAS!$B$2:$J$91,9,FALSE()),""))</f>
      </c>
    </row>
    <row r="2398">
      <c r="F2398">
        <f>IF(DATOS!$A2398="","",DATOS!$A2398&amp;"|"&amp;DATOS!$D2398&amp;"|"&amp;DATOS!$E2398&amp;"|"&amp;DATOS!$I2398)</f>
      </c>
      <c r="G2398">
        <f>IF(DATOS!$A2398="",0,IF(CONFIG_METADATA!$B$4&lt;&gt;"OR+EX",--(DATOS!$G2398=CONFIG_METADATA!$B$4),IF(DATOS!$G2398="EX",1,IF(DATOS!$G2398="OR",--(COUNTIFS(nNIA,DATOS!$A2398,nCURSO,DATOS!$D2398,nESPEC,DATOS!$E2398,nASIG,DATOS!$I2398,nEVAL,"EX")=0),0))))</f>
      </c>
      <c r="H2398">
        <f>IF(DATOS!$G2398&lt;&gt;"EX",0,--(COUNTIFS(nNIA,DATOS!$A2398,nCURSO,DATOS!$D2398,nESPEC,DATOS!$E2398,nASIG,DATOS!$I2398,nEVAL,"OR")=0))</f>
      </c>
      <c r="I2398">
        <f>IF(DATOS!$I2398="","",IFERROR(VLOOKUP(DATOS!$I2398,CONFIG_ASIGNATURAS!$B$2:$J$91,9,FALSE()),""))</f>
      </c>
    </row>
    <row r="2399">
      <c r="F2399">
        <f>IF(DATOS!$A2399="","",DATOS!$A2399&amp;"|"&amp;DATOS!$D2399&amp;"|"&amp;DATOS!$E2399&amp;"|"&amp;DATOS!$I2399)</f>
      </c>
      <c r="G2399">
        <f>IF(DATOS!$A2399="",0,IF(CONFIG_METADATA!$B$4&lt;&gt;"OR+EX",--(DATOS!$G2399=CONFIG_METADATA!$B$4),IF(DATOS!$G2399="EX",1,IF(DATOS!$G2399="OR",--(COUNTIFS(nNIA,DATOS!$A2399,nCURSO,DATOS!$D2399,nESPEC,DATOS!$E2399,nASIG,DATOS!$I2399,nEVAL,"EX")=0),0))))</f>
      </c>
      <c r="H2399">
        <f>IF(DATOS!$G2399&lt;&gt;"EX",0,--(COUNTIFS(nNIA,DATOS!$A2399,nCURSO,DATOS!$D2399,nESPEC,DATOS!$E2399,nASIG,DATOS!$I2399,nEVAL,"OR")=0))</f>
      </c>
      <c r="I2399">
        <f>IF(DATOS!$I2399="","",IFERROR(VLOOKUP(DATOS!$I2399,CONFIG_ASIGNATURAS!$B$2:$J$91,9,FALSE()),""))</f>
      </c>
    </row>
    <row r="2400">
      <c r="F2400">
        <f>IF(DATOS!$A2400="","",DATOS!$A2400&amp;"|"&amp;DATOS!$D2400&amp;"|"&amp;DATOS!$E2400&amp;"|"&amp;DATOS!$I2400)</f>
      </c>
      <c r="G2400">
        <f>IF(DATOS!$A2400="",0,IF(CONFIG_METADATA!$B$4&lt;&gt;"OR+EX",--(DATOS!$G2400=CONFIG_METADATA!$B$4),IF(DATOS!$G2400="EX",1,IF(DATOS!$G2400="OR",--(COUNTIFS(nNIA,DATOS!$A2400,nCURSO,DATOS!$D2400,nESPEC,DATOS!$E2400,nASIG,DATOS!$I2400,nEVAL,"EX")=0),0))))</f>
      </c>
      <c r="H2400">
        <f>IF(DATOS!$G2400&lt;&gt;"EX",0,--(COUNTIFS(nNIA,DATOS!$A2400,nCURSO,DATOS!$D2400,nESPEC,DATOS!$E2400,nASIG,DATOS!$I2400,nEVAL,"OR")=0))</f>
      </c>
      <c r="I2400">
        <f>IF(DATOS!$I2400="","",IFERROR(VLOOKUP(DATOS!$I2400,CONFIG_ASIGNATURAS!$B$2:$J$91,9,FALSE()),""))</f>
      </c>
    </row>
    <row r="2401">
      <c r="F2401">
        <f>IF(DATOS!$A2401="","",DATOS!$A2401&amp;"|"&amp;DATOS!$D2401&amp;"|"&amp;DATOS!$E2401&amp;"|"&amp;DATOS!$I2401)</f>
      </c>
      <c r="G2401">
        <f>IF(DATOS!$A2401="",0,IF(CONFIG_METADATA!$B$4&lt;&gt;"OR+EX",--(DATOS!$G2401=CONFIG_METADATA!$B$4),IF(DATOS!$G2401="EX",1,IF(DATOS!$G2401="OR",--(COUNTIFS(nNIA,DATOS!$A2401,nCURSO,DATOS!$D2401,nESPEC,DATOS!$E2401,nASIG,DATOS!$I2401,nEVAL,"EX")=0),0))))</f>
      </c>
      <c r="H2401">
        <f>IF(DATOS!$G2401&lt;&gt;"EX",0,--(COUNTIFS(nNIA,DATOS!$A2401,nCURSO,DATOS!$D2401,nESPEC,DATOS!$E2401,nASIG,DATOS!$I2401,nEVAL,"OR")=0))</f>
      </c>
      <c r="I2401">
        <f>IF(DATOS!$I2401="","",IFERROR(VLOOKUP(DATOS!$I2401,CONFIG_ASIGNATURAS!$B$2:$J$91,9,FALSE()),""))</f>
      </c>
    </row>
    <row r="2402">
      <c r="F2402">
        <f>IF(DATOS!$A2402="","",DATOS!$A2402&amp;"|"&amp;DATOS!$D2402&amp;"|"&amp;DATOS!$E2402&amp;"|"&amp;DATOS!$I2402)</f>
      </c>
      <c r="G2402">
        <f>IF(DATOS!$A2402="",0,IF(CONFIG_METADATA!$B$4&lt;&gt;"OR+EX",--(DATOS!$G2402=CONFIG_METADATA!$B$4),IF(DATOS!$G2402="EX",1,IF(DATOS!$G2402="OR",--(COUNTIFS(nNIA,DATOS!$A2402,nCURSO,DATOS!$D2402,nESPEC,DATOS!$E2402,nASIG,DATOS!$I2402,nEVAL,"EX")=0),0))))</f>
      </c>
      <c r="H2402">
        <f>IF(DATOS!$G2402&lt;&gt;"EX",0,--(COUNTIFS(nNIA,DATOS!$A2402,nCURSO,DATOS!$D2402,nESPEC,DATOS!$E2402,nASIG,DATOS!$I2402,nEVAL,"OR")=0))</f>
      </c>
      <c r="I2402">
        <f>IF(DATOS!$I2402="","",IFERROR(VLOOKUP(DATOS!$I2402,CONFIG_ASIGNATURAS!$B$2:$J$91,9,FALSE()),""))</f>
      </c>
    </row>
    <row r="2403">
      <c r="F2403">
        <f>IF(DATOS!$A2403="","",DATOS!$A2403&amp;"|"&amp;DATOS!$D2403&amp;"|"&amp;DATOS!$E2403&amp;"|"&amp;DATOS!$I2403)</f>
      </c>
      <c r="G2403">
        <f>IF(DATOS!$A2403="",0,IF(CONFIG_METADATA!$B$4&lt;&gt;"OR+EX",--(DATOS!$G2403=CONFIG_METADATA!$B$4),IF(DATOS!$G2403="EX",1,IF(DATOS!$G2403="OR",--(COUNTIFS(nNIA,DATOS!$A2403,nCURSO,DATOS!$D2403,nESPEC,DATOS!$E2403,nASIG,DATOS!$I2403,nEVAL,"EX")=0),0))))</f>
      </c>
      <c r="H2403">
        <f>IF(DATOS!$G2403&lt;&gt;"EX",0,--(COUNTIFS(nNIA,DATOS!$A2403,nCURSO,DATOS!$D2403,nESPEC,DATOS!$E2403,nASIG,DATOS!$I2403,nEVAL,"OR")=0))</f>
      </c>
      <c r="I2403">
        <f>IF(DATOS!$I2403="","",IFERROR(VLOOKUP(DATOS!$I2403,CONFIG_ASIGNATURAS!$B$2:$J$91,9,FALSE()),""))</f>
      </c>
    </row>
    <row r="2404">
      <c r="F2404">
        <f>IF(DATOS!$A2404="","",DATOS!$A2404&amp;"|"&amp;DATOS!$D2404&amp;"|"&amp;DATOS!$E2404&amp;"|"&amp;DATOS!$I2404)</f>
      </c>
      <c r="G2404">
        <f>IF(DATOS!$A2404="",0,IF(CONFIG_METADATA!$B$4&lt;&gt;"OR+EX",--(DATOS!$G2404=CONFIG_METADATA!$B$4),IF(DATOS!$G2404="EX",1,IF(DATOS!$G2404="OR",--(COUNTIFS(nNIA,DATOS!$A2404,nCURSO,DATOS!$D2404,nESPEC,DATOS!$E2404,nASIG,DATOS!$I2404,nEVAL,"EX")=0),0))))</f>
      </c>
      <c r="H2404">
        <f>IF(DATOS!$G2404&lt;&gt;"EX",0,--(COUNTIFS(nNIA,DATOS!$A2404,nCURSO,DATOS!$D2404,nESPEC,DATOS!$E2404,nASIG,DATOS!$I2404,nEVAL,"OR")=0))</f>
      </c>
      <c r="I2404">
        <f>IF(DATOS!$I2404="","",IFERROR(VLOOKUP(DATOS!$I2404,CONFIG_ASIGNATURAS!$B$2:$J$91,9,FALSE()),""))</f>
      </c>
    </row>
    <row r="2405">
      <c r="F2405">
        <f>IF(DATOS!$A2405="","",DATOS!$A2405&amp;"|"&amp;DATOS!$D2405&amp;"|"&amp;DATOS!$E2405&amp;"|"&amp;DATOS!$I2405)</f>
      </c>
      <c r="G2405">
        <f>IF(DATOS!$A2405="",0,IF(CONFIG_METADATA!$B$4&lt;&gt;"OR+EX",--(DATOS!$G2405=CONFIG_METADATA!$B$4),IF(DATOS!$G2405="EX",1,IF(DATOS!$G2405="OR",--(COUNTIFS(nNIA,DATOS!$A2405,nCURSO,DATOS!$D2405,nESPEC,DATOS!$E2405,nASIG,DATOS!$I2405,nEVAL,"EX")=0),0))))</f>
      </c>
      <c r="H2405">
        <f>IF(DATOS!$G2405&lt;&gt;"EX",0,--(COUNTIFS(nNIA,DATOS!$A2405,nCURSO,DATOS!$D2405,nESPEC,DATOS!$E2405,nASIG,DATOS!$I2405,nEVAL,"OR")=0))</f>
      </c>
      <c r="I2405">
        <f>IF(DATOS!$I2405="","",IFERROR(VLOOKUP(DATOS!$I2405,CONFIG_ASIGNATURAS!$B$2:$J$91,9,FALSE()),""))</f>
      </c>
    </row>
    <row r="2406">
      <c r="F2406">
        <f>IF(DATOS!$A2406="","",DATOS!$A2406&amp;"|"&amp;DATOS!$D2406&amp;"|"&amp;DATOS!$E2406&amp;"|"&amp;DATOS!$I2406)</f>
      </c>
      <c r="G2406">
        <f>IF(DATOS!$A2406="",0,IF(CONFIG_METADATA!$B$4&lt;&gt;"OR+EX",--(DATOS!$G2406=CONFIG_METADATA!$B$4),IF(DATOS!$G2406="EX",1,IF(DATOS!$G2406="OR",--(COUNTIFS(nNIA,DATOS!$A2406,nCURSO,DATOS!$D2406,nESPEC,DATOS!$E2406,nASIG,DATOS!$I2406,nEVAL,"EX")=0),0))))</f>
      </c>
      <c r="H2406">
        <f>IF(DATOS!$G2406&lt;&gt;"EX",0,--(COUNTIFS(nNIA,DATOS!$A2406,nCURSO,DATOS!$D2406,nESPEC,DATOS!$E2406,nASIG,DATOS!$I2406,nEVAL,"OR")=0))</f>
      </c>
      <c r="I2406">
        <f>IF(DATOS!$I2406="","",IFERROR(VLOOKUP(DATOS!$I2406,CONFIG_ASIGNATURAS!$B$2:$J$91,9,FALSE()),""))</f>
      </c>
    </row>
    <row r="2407">
      <c r="F2407">
        <f>IF(DATOS!$A2407="","",DATOS!$A2407&amp;"|"&amp;DATOS!$D2407&amp;"|"&amp;DATOS!$E2407&amp;"|"&amp;DATOS!$I2407)</f>
      </c>
      <c r="G2407">
        <f>IF(DATOS!$A2407="",0,IF(CONFIG_METADATA!$B$4&lt;&gt;"OR+EX",--(DATOS!$G2407=CONFIG_METADATA!$B$4),IF(DATOS!$G2407="EX",1,IF(DATOS!$G2407="OR",--(COUNTIFS(nNIA,DATOS!$A2407,nCURSO,DATOS!$D2407,nESPEC,DATOS!$E2407,nASIG,DATOS!$I2407,nEVAL,"EX")=0),0))))</f>
      </c>
      <c r="H2407">
        <f>IF(DATOS!$G2407&lt;&gt;"EX",0,--(COUNTIFS(nNIA,DATOS!$A2407,nCURSO,DATOS!$D2407,nESPEC,DATOS!$E2407,nASIG,DATOS!$I2407,nEVAL,"OR")=0))</f>
      </c>
      <c r="I2407">
        <f>IF(DATOS!$I2407="","",IFERROR(VLOOKUP(DATOS!$I2407,CONFIG_ASIGNATURAS!$B$2:$J$91,9,FALSE()),""))</f>
      </c>
    </row>
    <row r="2408">
      <c r="F2408">
        <f>IF(DATOS!$A2408="","",DATOS!$A2408&amp;"|"&amp;DATOS!$D2408&amp;"|"&amp;DATOS!$E2408&amp;"|"&amp;DATOS!$I2408)</f>
      </c>
      <c r="G2408">
        <f>IF(DATOS!$A2408="",0,IF(CONFIG_METADATA!$B$4&lt;&gt;"OR+EX",--(DATOS!$G2408=CONFIG_METADATA!$B$4),IF(DATOS!$G2408="EX",1,IF(DATOS!$G2408="OR",--(COUNTIFS(nNIA,DATOS!$A2408,nCURSO,DATOS!$D2408,nESPEC,DATOS!$E2408,nASIG,DATOS!$I2408,nEVAL,"EX")=0),0))))</f>
      </c>
      <c r="H2408">
        <f>IF(DATOS!$G2408&lt;&gt;"EX",0,--(COUNTIFS(nNIA,DATOS!$A2408,nCURSO,DATOS!$D2408,nESPEC,DATOS!$E2408,nASIG,DATOS!$I2408,nEVAL,"OR")=0))</f>
      </c>
      <c r="I2408">
        <f>IF(DATOS!$I2408="","",IFERROR(VLOOKUP(DATOS!$I2408,CONFIG_ASIGNATURAS!$B$2:$J$91,9,FALSE()),""))</f>
      </c>
    </row>
    <row r="2409">
      <c r="F2409">
        <f>IF(DATOS!$A2409="","",DATOS!$A2409&amp;"|"&amp;DATOS!$D2409&amp;"|"&amp;DATOS!$E2409&amp;"|"&amp;DATOS!$I2409)</f>
      </c>
      <c r="G2409">
        <f>IF(DATOS!$A2409="",0,IF(CONFIG_METADATA!$B$4&lt;&gt;"OR+EX",--(DATOS!$G2409=CONFIG_METADATA!$B$4),IF(DATOS!$G2409="EX",1,IF(DATOS!$G2409="OR",--(COUNTIFS(nNIA,DATOS!$A2409,nCURSO,DATOS!$D2409,nESPEC,DATOS!$E2409,nASIG,DATOS!$I2409,nEVAL,"EX")=0),0))))</f>
      </c>
      <c r="H2409">
        <f>IF(DATOS!$G2409&lt;&gt;"EX",0,--(COUNTIFS(nNIA,DATOS!$A2409,nCURSO,DATOS!$D2409,nESPEC,DATOS!$E2409,nASIG,DATOS!$I2409,nEVAL,"OR")=0))</f>
      </c>
      <c r="I2409">
        <f>IF(DATOS!$I2409="","",IFERROR(VLOOKUP(DATOS!$I2409,CONFIG_ASIGNATURAS!$B$2:$J$91,9,FALSE()),""))</f>
      </c>
    </row>
    <row r="2410">
      <c r="F2410">
        <f>IF(DATOS!$A2410="","",DATOS!$A2410&amp;"|"&amp;DATOS!$D2410&amp;"|"&amp;DATOS!$E2410&amp;"|"&amp;DATOS!$I2410)</f>
      </c>
      <c r="G2410">
        <f>IF(DATOS!$A2410="",0,IF(CONFIG_METADATA!$B$4&lt;&gt;"OR+EX",--(DATOS!$G2410=CONFIG_METADATA!$B$4),IF(DATOS!$G2410="EX",1,IF(DATOS!$G2410="OR",--(COUNTIFS(nNIA,DATOS!$A2410,nCURSO,DATOS!$D2410,nESPEC,DATOS!$E2410,nASIG,DATOS!$I2410,nEVAL,"EX")=0),0))))</f>
      </c>
      <c r="H2410">
        <f>IF(DATOS!$G2410&lt;&gt;"EX",0,--(COUNTIFS(nNIA,DATOS!$A2410,nCURSO,DATOS!$D2410,nESPEC,DATOS!$E2410,nASIG,DATOS!$I2410,nEVAL,"OR")=0))</f>
      </c>
      <c r="I2410">
        <f>IF(DATOS!$I2410="","",IFERROR(VLOOKUP(DATOS!$I2410,CONFIG_ASIGNATURAS!$B$2:$J$91,9,FALSE()),""))</f>
      </c>
    </row>
    <row r="2411">
      <c r="F2411">
        <f>IF(DATOS!$A2411="","",DATOS!$A2411&amp;"|"&amp;DATOS!$D2411&amp;"|"&amp;DATOS!$E2411&amp;"|"&amp;DATOS!$I2411)</f>
      </c>
      <c r="G2411">
        <f>IF(DATOS!$A2411="",0,IF(CONFIG_METADATA!$B$4&lt;&gt;"OR+EX",--(DATOS!$G2411=CONFIG_METADATA!$B$4),IF(DATOS!$G2411="EX",1,IF(DATOS!$G2411="OR",--(COUNTIFS(nNIA,DATOS!$A2411,nCURSO,DATOS!$D2411,nESPEC,DATOS!$E2411,nASIG,DATOS!$I2411,nEVAL,"EX")=0),0))))</f>
      </c>
      <c r="H2411">
        <f>IF(DATOS!$G2411&lt;&gt;"EX",0,--(COUNTIFS(nNIA,DATOS!$A2411,nCURSO,DATOS!$D2411,nESPEC,DATOS!$E2411,nASIG,DATOS!$I2411,nEVAL,"OR")=0))</f>
      </c>
      <c r="I2411">
        <f>IF(DATOS!$I2411="","",IFERROR(VLOOKUP(DATOS!$I2411,CONFIG_ASIGNATURAS!$B$2:$J$91,9,FALSE()),""))</f>
      </c>
    </row>
    <row r="2412">
      <c r="F2412">
        <f>IF(DATOS!$A2412="","",DATOS!$A2412&amp;"|"&amp;DATOS!$D2412&amp;"|"&amp;DATOS!$E2412&amp;"|"&amp;DATOS!$I2412)</f>
      </c>
      <c r="G2412">
        <f>IF(DATOS!$A2412="",0,IF(CONFIG_METADATA!$B$4&lt;&gt;"OR+EX",--(DATOS!$G2412=CONFIG_METADATA!$B$4),IF(DATOS!$G2412="EX",1,IF(DATOS!$G2412="OR",--(COUNTIFS(nNIA,DATOS!$A2412,nCURSO,DATOS!$D2412,nESPEC,DATOS!$E2412,nASIG,DATOS!$I2412,nEVAL,"EX")=0),0))))</f>
      </c>
      <c r="H2412">
        <f>IF(DATOS!$G2412&lt;&gt;"EX",0,--(COUNTIFS(nNIA,DATOS!$A2412,nCURSO,DATOS!$D2412,nESPEC,DATOS!$E2412,nASIG,DATOS!$I2412,nEVAL,"OR")=0))</f>
      </c>
      <c r="I2412">
        <f>IF(DATOS!$I2412="","",IFERROR(VLOOKUP(DATOS!$I2412,CONFIG_ASIGNATURAS!$B$2:$J$91,9,FALSE()),""))</f>
      </c>
    </row>
    <row r="2413">
      <c r="F2413">
        <f>IF(DATOS!$A2413="","",DATOS!$A2413&amp;"|"&amp;DATOS!$D2413&amp;"|"&amp;DATOS!$E2413&amp;"|"&amp;DATOS!$I2413)</f>
      </c>
      <c r="G2413">
        <f>IF(DATOS!$A2413="",0,IF(CONFIG_METADATA!$B$4&lt;&gt;"OR+EX",--(DATOS!$G2413=CONFIG_METADATA!$B$4),IF(DATOS!$G2413="EX",1,IF(DATOS!$G2413="OR",--(COUNTIFS(nNIA,DATOS!$A2413,nCURSO,DATOS!$D2413,nESPEC,DATOS!$E2413,nASIG,DATOS!$I2413,nEVAL,"EX")=0),0))))</f>
      </c>
      <c r="H2413">
        <f>IF(DATOS!$G2413&lt;&gt;"EX",0,--(COUNTIFS(nNIA,DATOS!$A2413,nCURSO,DATOS!$D2413,nESPEC,DATOS!$E2413,nASIG,DATOS!$I2413,nEVAL,"OR")=0))</f>
      </c>
      <c r="I2413">
        <f>IF(DATOS!$I2413="","",IFERROR(VLOOKUP(DATOS!$I2413,CONFIG_ASIGNATURAS!$B$2:$J$91,9,FALSE()),""))</f>
      </c>
    </row>
    <row r="2414">
      <c r="F2414">
        <f>IF(DATOS!$A2414="","",DATOS!$A2414&amp;"|"&amp;DATOS!$D2414&amp;"|"&amp;DATOS!$E2414&amp;"|"&amp;DATOS!$I2414)</f>
      </c>
      <c r="G2414">
        <f>IF(DATOS!$A2414="",0,IF(CONFIG_METADATA!$B$4&lt;&gt;"OR+EX",--(DATOS!$G2414=CONFIG_METADATA!$B$4),IF(DATOS!$G2414="EX",1,IF(DATOS!$G2414="OR",--(COUNTIFS(nNIA,DATOS!$A2414,nCURSO,DATOS!$D2414,nESPEC,DATOS!$E2414,nASIG,DATOS!$I2414,nEVAL,"EX")=0),0))))</f>
      </c>
      <c r="H2414">
        <f>IF(DATOS!$G2414&lt;&gt;"EX",0,--(COUNTIFS(nNIA,DATOS!$A2414,nCURSO,DATOS!$D2414,nESPEC,DATOS!$E2414,nASIG,DATOS!$I2414,nEVAL,"OR")=0))</f>
      </c>
      <c r="I2414">
        <f>IF(DATOS!$I2414="","",IFERROR(VLOOKUP(DATOS!$I2414,CONFIG_ASIGNATURAS!$B$2:$J$91,9,FALSE()),""))</f>
      </c>
    </row>
    <row r="2415">
      <c r="F2415">
        <f>IF(DATOS!$A2415="","",DATOS!$A2415&amp;"|"&amp;DATOS!$D2415&amp;"|"&amp;DATOS!$E2415&amp;"|"&amp;DATOS!$I2415)</f>
      </c>
      <c r="G2415">
        <f>IF(DATOS!$A2415="",0,IF(CONFIG_METADATA!$B$4&lt;&gt;"OR+EX",--(DATOS!$G2415=CONFIG_METADATA!$B$4),IF(DATOS!$G2415="EX",1,IF(DATOS!$G2415="OR",--(COUNTIFS(nNIA,DATOS!$A2415,nCURSO,DATOS!$D2415,nESPEC,DATOS!$E2415,nASIG,DATOS!$I2415,nEVAL,"EX")=0),0))))</f>
      </c>
      <c r="H2415">
        <f>IF(DATOS!$G2415&lt;&gt;"EX",0,--(COUNTIFS(nNIA,DATOS!$A2415,nCURSO,DATOS!$D2415,nESPEC,DATOS!$E2415,nASIG,DATOS!$I2415,nEVAL,"OR")=0))</f>
      </c>
      <c r="I2415">
        <f>IF(DATOS!$I2415="","",IFERROR(VLOOKUP(DATOS!$I2415,CONFIG_ASIGNATURAS!$B$2:$J$91,9,FALSE()),""))</f>
      </c>
    </row>
    <row r="2416">
      <c r="F2416">
        <f>IF(DATOS!$A2416="","",DATOS!$A2416&amp;"|"&amp;DATOS!$D2416&amp;"|"&amp;DATOS!$E2416&amp;"|"&amp;DATOS!$I2416)</f>
      </c>
      <c r="G2416">
        <f>IF(DATOS!$A2416="",0,IF(CONFIG_METADATA!$B$4&lt;&gt;"OR+EX",--(DATOS!$G2416=CONFIG_METADATA!$B$4),IF(DATOS!$G2416="EX",1,IF(DATOS!$G2416="OR",--(COUNTIFS(nNIA,DATOS!$A2416,nCURSO,DATOS!$D2416,nESPEC,DATOS!$E2416,nASIG,DATOS!$I2416,nEVAL,"EX")=0),0))))</f>
      </c>
      <c r="H2416">
        <f>IF(DATOS!$G2416&lt;&gt;"EX",0,--(COUNTIFS(nNIA,DATOS!$A2416,nCURSO,DATOS!$D2416,nESPEC,DATOS!$E2416,nASIG,DATOS!$I2416,nEVAL,"OR")=0))</f>
      </c>
      <c r="I2416">
        <f>IF(DATOS!$I2416="","",IFERROR(VLOOKUP(DATOS!$I2416,CONFIG_ASIGNATURAS!$B$2:$J$91,9,FALSE()),""))</f>
      </c>
    </row>
    <row r="2417">
      <c r="F2417">
        <f>IF(DATOS!$A2417="","",DATOS!$A2417&amp;"|"&amp;DATOS!$D2417&amp;"|"&amp;DATOS!$E2417&amp;"|"&amp;DATOS!$I2417)</f>
      </c>
      <c r="G2417">
        <f>IF(DATOS!$A2417="",0,IF(CONFIG_METADATA!$B$4&lt;&gt;"OR+EX",--(DATOS!$G2417=CONFIG_METADATA!$B$4),IF(DATOS!$G2417="EX",1,IF(DATOS!$G2417="OR",--(COUNTIFS(nNIA,DATOS!$A2417,nCURSO,DATOS!$D2417,nESPEC,DATOS!$E2417,nASIG,DATOS!$I2417,nEVAL,"EX")=0),0))))</f>
      </c>
      <c r="H2417">
        <f>IF(DATOS!$G2417&lt;&gt;"EX",0,--(COUNTIFS(nNIA,DATOS!$A2417,nCURSO,DATOS!$D2417,nESPEC,DATOS!$E2417,nASIG,DATOS!$I2417,nEVAL,"OR")=0))</f>
      </c>
      <c r="I2417">
        <f>IF(DATOS!$I2417="","",IFERROR(VLOOKUP(DATOS!$I2417,CONFIG_ASIGNATURAS!$B$2:$J$91,9,FALSE()),""))</f>
      </c>
    </row>
    <row r="2418">
      <c r="F2418">
        <f>IF(DATOS!$A2418="","",DATOS!$A2418&amp;"|"&amp;DATOS!$D2418&amp;"|"&amp;DATOS!$E2418&amp;"|"&amp;DATOS!$I2418)</f>
      </c>
      <c r="G2418">
        <f>IF(DATOS!$A2418="",0,IF(CONFIG_METADATA!$B$4&lt;&gt;"OR+EX",--(DATOS!$G2418=CONFIG_METADATA!$B$4),IF(DATOS!$G2418="EX",1,IF(DATOS!$G2418="OR",--(COUNTIFS(nNIA,DATOS!$A2418,nCURSO,DATOS!$D2418,nESPEC,DATOS!$E2418,nASIG,DATOS!$I2418,nEVAL,"EX")=0),0))))</f>
      </c>
      <c r="H2418">
        <f>IF(DATOS!$G2418&lt;&gt;"EX",0,--(COUNTIFS(nNIA,DATOS!$A2418,nCURSO,DATOS!$D2418,nESPEC,DATOS!$E2418,nASIG,DATOS!$I2418,nEVAL,"OR")=0))</f>
      </c>
      <c r="I2418">
        <f>IF(DATOS!$I2418="","",IFERROR(VLOOKUP(DATOS!$I2418,CONFIG_ASIGNATURAS!$B$2:$J$91,9,FALSE()),""))</f>
      </c>
    </row>
    <row r="2419">
      <c r="F2419">
        <f>IF(DATOS!$A2419="","",DATOS!$A2419&amp;"|"&amp;DATOS!$D2419&amp;"|"&amp;DATOS!$E2419&amp;"|"&amp;DATOS!$I2419)</f>
      </c>
      <c r="G2419">
        <f>IF(DATOS!$A2419="",0,IF(CONFIG_METADATA!$B$4&lt;&gt;"OR+EX",--(DATOS!$G2419=CONFIG_METADATA!$B$4),IF(DATOS!$G2419="EX",1,IF(DATOS!$G2419="OR",--(COUNTIFS(nNIA,DATOS!$A2419,nCURSO,DATOS!$D2419,nESPEC,DATOS!$E2419,nASIG,DATOS!$I2419,nEVAL,"EX")=0),0))))</f>
      </c>
      <c r="H2419">
        <f>IF(DATOS!$G2419&lt;&gt;"EX",0,--(COUNTIFS(nNIA,DATOS!$A2419,nCURSO,DATOS!$D2419,nESPEC,DATOS!$E2419,nASIG,DATOS!$I2419,nEVAL,"OR")=0))</f>
      </c>
      <c r="I2419">
        <f>IF(DATOS!$I2419="","",IFERROR(VLOOKUP(DATOS!$I2419,CONFIG_ASIGNATURAS!$B$2:$J$91,9,FALSE()),""))</f>
      </c>
    </row>
    <row r="2420">
      <c r="F2420">
        <f>IF(DATOS!$A2420="","",DATOS!$A2420&amp;"|"&amp;DATOS!$D2420&amp;"|"&amp;DATOS!$E2420&amp;"|"&amp;DATOS!$I2420)</f>
      </c>
      <c r="G2420">
        <f>IF(DATOS!$A2420="",0,IF(CONFIG_METADATA!$B$4&lt;&gt;"OR+EX",--(DATOS!$G2420=CONFIG_METADATA!$B$4),IF(DATOS!$G2420="EX",1,IF(DATOS!$G2420="OR",--(COUNTIFS(nNIA,DATOS!$A2420,nCURSO,DATOS!$D2420,nESPEC,DATOS!$E2420,nASIG,DATOS!$I2420,nEVAL,"EX")=0),0))))</f>
      </c>
      <c r="H2420">
        <f>IF(DATOS!$G2420&lt;&gt;"EX",0,--(COUNTIFS(nNIA,DATOS!$A2420,nCURSO,DATOS!$D2420,nESPEC,DATOS!$E2420,nASIG,DATOS!$I2420,nEVAL,"OR")=0))</f>
      </c>
      <c r="I2420">
        <f>IF(DATOS!$I2420="","",IFERROR(VLOOKUP(DATOS!$I2420,CONFIG_ASIGNATURAS!$B$2:$J$91,9,FALSE()),""))</f>
      </c>
    </row>
    <row r="2421">
      <c r="F2421">
        <f>IF(DATOS!$A2421="","",DATOS!$A2421&amp;"|"&amp;DATOS!$D2421&amp;"|"&amp;DATOS!$E2421&amp;"|"&amp;DATOS!$I2421)</f>
      </c>
      <c r="G2421">
        <f>IF(DATOS!$A2421="",0,IF(CONFIG_METADATA!$B$4&lt;&gt;"OR+EX",--(DATOS!$G2421=CONFIG_METADATA!$B$4),IF(DATOS!$G2421="EX",1,IF(DATOS!$G2421="OR",--(COUNTIFS(nNIA,DATOS!$A2421,nCURSO,DATOS!$D2421,nESPEC,DATOS!$E2421,nASIG,DATOS!$I2421,nEVAL,"EX")=0),0))))</f>
      </c>
      <c r="H2421">
        <f>IF(DATOS!$G2421&lt;&gt;"EX",0,--(COUNTIFS(nNIA,DATOS!$A2421,nCURSO,DATOS!$D2421,nESPEC,DATOS!$E2421,nASIG,DATOS!$I2421,nEVAL,"OR")=0))</f>
      </c>
      <c r="I2421">
        <f>IF(DATOS!$I2421="","",IFERROR(VLOOKUP(DATOS!$I2421,CONFIG_ASIGNATURAS!$B$2:$J$91,9,FALSE()),""))</f>
      </c>
    </row>
    <row r="2422">
      <c r="F2422">
        <f>IF(DATOS!$A2422="","",DATOS!$A2422&amp;"|"&amp;DATOS!$D2422&amp;"|"&amp;DATOS!$E2422&amp;"|"&amp;DATOS!$I2422)</f>
      </c>
      <c r="G2422">
        <f>IF(DATOS!$A2422="",0,IF(CONFIG_METADATA!$B$4&lt;&gt;"OR+EX",--(DATOS!$G2422=CONFIG_METADATA!$B$4),IF(DATOS!$G2422="EX",1,IF(DATOS!$G2422="OR",--(COUNTIFS(nNIA,DATOS!$A2422,nCURSO,DATOS!$D2422,nESPEC,DATOS!$E2422,nASIG,DATOS!$I2422,nEVAL,"EX")=0),0))))</f>
      </c>
      <c r="H2422">
        <f>IF(DATOS!$G2422&lt;&gt;"EX",0,--(COUNTIFS(nNIA,DATOS!$A2422,nCURSO,DATOS!$D2422,nESPEC,DATOS!$E2422,nASIG,DATOS!$I2422,nEVAL,"OR")=0))</f>
      </c>
      <c r="I2422">
        <f>IF(DATOS!$I2422="","",IFERROR(VLOOKUP(DATOS!$I2422,CONFIG_ASIGNATURAS!$B$2:$J$91,9,FALSE()),""))</f>
      </c>
    </row>
    <row r="2423">
      <c r="F2423">
        <f>IF(DATOS!$A2423="","",DATOS!$A2423&amp;"|"&amp;DATOS!$D2423&amp;"|"&amp;DATOS!$E2423&amp;"|"&amp;DATOS!$I2423)</f>
      </c>
      <c r="G2423">
        <f>IF(DATOS!$A2423="",0,IF(CONFIG_METADATA!$B$4&lt;&gt;"OR+EX",--(DATOS!$G2423=CONFIG_METADATA!$B$4),IF(DATOS!$G2423="EX",1,IF(DATOS!$G2423="OR",--(COUNTIFS(nNIA,DATOS!$A2423,nCURSO,DATOS!$D2423,nESPEC,DATOS!$E2423,nASIG,DATOS!$I2423,nEVAL,"EX")=0),0))))</f>
      </c>
      <c r="H2423">
        <f>IF(DATOS!$G2423&lt;&gt;"EX",0,--(COUNTIFS(nNIA,DATOS!$A2423,nCURSO,DATOS!$D2423,nESPEC,DATOS!$E2423,nASIG,DATOS!$I2423,nEVAL,"OR")=0))</f>
      </c>
      <c r="I2423">
        <f>IF(DATOS!$I2423="","",IFERROR(VLOOKUP(DATOS!$I2423,CONFIG_ASIGNATURAS!$B$2:$J$91,9,FALSE()),""))</f>
      </c>
    </row>
    <row r="2424">
      <c r="F2424">
        <f>IF(DATOS!$A2424="","",DATOS!$A2424&amp;"|"&amp;DATOS!$D2424&amp;"|"&amp;DATOS!$E2424&amp;"|"&amp;DATOS!$I2424)</f>
      </c>
      <c r="G2424">
        <f>IF(DATOS!$A2424="",0,IF(CONFIG_METADATA!$B$4&lt;&gt;"OR+EX",--(DATOS!$G2424=CONFIG_METADATA!$B$4),IF(DATOS!$G2424="EX",1,IF(DATOS!$G2424="OR",--(COUNTIFS(nNIA,DATOS!$A2424,nCURSO,DATOS!$D2424,nESPEC,DATOS!$E2424,nASIG,DATOS!$I2424,nEVAL,"EX")=0),0))))</f>
      </c>
      <c r="H2424">
        <f>IF(DATOS!$G2424&lt;&gt;"EX",0,--(COUNTIFS(nNIA,DATOS!$A2424,nCURSO,DATOS!$D2424,nESPEC,DATOS!$E2424,nASIG,DATOS!$I2424,nEVAL,"OR")=0))</f>
      </c>
      <c r="I2424">
        <f>IF(DATOS!$I2424="","",IFERROR(VLOOKUP(DATOS!$I2424,CONFIG_ASIGNATURAS!$B$2:$J$91,9,FALSE()),""))</f>
      </c>
    </row>
    <row r="2425">
      <c r="F2425">
        <f>IF(DATOS!$A2425="","",DATOS!$A2425&amp;"|"&amp;DATOS!$D2425&amp;"|"&amp;DATOS!$E2425&amp;"|"&amp;DATOS!$I2425)</f>
      </c>
      <c r="G2425">
        <f>IF(DATOS!$A2425="",0,IF(CONFIG_METADATA!$B$4&lt;&gt;"OR+EX",--(DATOS!$G2425=CONFIG_METADATA!$B$4),IF(DATOS!$G2425="EX",1,IF(DATOS!$G2425="OR",--(COUNTIFS(nNIA,DATOS!$A2425,nCURSO,DATOS!$D2425,nESPEC,DATOS!$E2425,nASIG,DATOS!$I2425,nEVAL,"EX")=0),0))))</f>
      </c>
      <c r="H2425">
        <f>IF(DATOS!$G2425&lt;&gt;"EX",0,--(COUNTIFS(nNIA,DATOS!$A2425,nCURSO,DATOS!$D2425,nESPEC,DATOS!$E2425,nASIG,DATOS!$I2425,nEVAL,"OR")=0))</f>
      </c>
      <c r="I2425">
        <f>IF(DATOS!$I2425="","",IFERROR(VLOOKUP(DATOS!$I2425,CONFIG_ASIGNATURAS!$B$2:$J$91,9,FALSE()),""))</f>
      </c>
    </row>
    <row r="2426">
      <c r="F2426">
        <f>IF(DATOS!$A2426="","",DATOS!$A2426&amp;"|"&amp;DATOS!$D2426&amp;"|"&amp;DATOS!$E2426&amp;"|"&amp;DATOS!$I2426)</f>
      </c>
      <c r="G2426">
        <f>IF(DATOS!$A2426="",0,IF(CONFIG_METADATA!$B$4&lt;&gt;"OR+EX",--(DATOS!$G2426=CONFIG_METADATA!$B$4),IF(DATOS!$G2426="EX",1,IF(DATOS!$G2426="OR",--(COUNTIFS(nNIA,DATOS!$A2426,nCURSO,DATOS!$D2426,nESPEC,DATOS!$E2426,nASIG,DATOS!$I2426,nEVAL,"EX")=0),0))))</f>
      </c>
      <c r="H2426">
        <f>IF(DATOS!$G2426&lt;&gt;"EX",0,--(COUNTIFS(nNIA,DATOS!$A2426,nCURSO,DATOS!$D2426,nESPEC,DATOS!$E2426,nASIG,DATOS!$I2426,nEVAL,"OR")=0))</f>
      </c>
      <c r="I2426">
        <f>IF(DATOS!$I2426="","",IFERROR(VLOOKUP(DATOS!$I2426,CONFIG_ASIGNATURAS!$B$2:$J$91,9,FALSE()),""))</f>
      </c>
    </row>
    <row r="2427">
      <c r="F2427">
        <f>IF(DATOS!$A2427="","",DATOS!$A2427&amp;"|"&amp;DATOS!$D2427&amp;"|"&amp;DATOS!$E2427&amp;"|"&amp;DATOS!$I2427)</f>
      </c>
      <c r="G2427">
        <f>IF(DATOS!$A2427="",0,IF(CONFIG_METADATA!$B$4&lt;&gt;"OR+EX",--(DATOS!$G2427=CONFIG_METADATA!$B$4),IF(DATOS!$G2427="EX",1,IF(DATOS!$G2427="OR",--(COUNTIFS(nNIA,DATOS!$A2427,nCURSO,DATOS!$D2427,nESPEC,DATOS!$E2427,nASIG,DATOS!$I2427,nEVAL,"EX")=0),0))))</f>
      </c>
      <c r="H2427">
        <f>IF(DATOS!$G2427&lt;&gt;"EX",0,--(COUNTIFS(nNIA,DATOS!$A2427,nCURSO,DATOS!$D2427,nESPEC,DATOS!$E2427,nASIG,DATOS!$I2427,nEVAL,"OR")=0))</f>
      </c>
      <c r="I2427">
        <f>IF(DATOS!$I2427="","",IFERROR(VLOOKUP(DATOS!$I2427,CONFIG_ASIGNATURAS!$B$2:$J$91,9,FALSE()),""))</f>
      </c>
    </row>
    <row r="2428">
      <c r="F2428">
        <f>IF(DATOS!$A2428="","",DATOS!$A2428&amp;"|"&amp;DATOS!$D2428&amp;"|"&amp;DATOS!$E2428&amp;"|"&amp;DATOS!$I2428)</f>
      </c>
      <c r="G2428">
        <f>IF(DATOS!$A2428="",0,IF(CONFIG_METADATA!$B$4&lt;&gt;"OR+EX",--(DATOS!$G2428=CONFIG_METADATA!$B$4),IF(DATOS!$G2428="EX",1,IF(DATOS!$G2428="OR",--(COUNTIFS(nNIA,DATOS!$A2428,nCURSO,DATOS!$D2428,nESPEC,DATOS!$E2428,nASIG,DATOS!$I2428,nEVAL,"EX")=0),0))))</f>
      </c>
      <c r="H2428">
        <f>IF(DATOS!$G2428&lt;&gt;"EX",0,--(COUNTIFS(nNIA,DATOS!$A2428,nCURSO,DATOS!$D2428,nESPEC,DATOS!$E2428,nASIG,DATOS!$I2428,nEVAL,"OR")=0))</f>
      </c>
      <c r="I2428">
        <f>IF(DATOS!$I2428="","",IFERROR(VLOOKUP(DATOS!$I2428,CONFIG_ASIGNATURAS!$B$2:$J$91,9,FALSE()),""))</f>
      </c>
    </row>
    <row r="2429">
      <c r="F2429">
        <f>IF(DATOS!$A2429="","",DATOS!$A2429&amp;"|"&amp;DATOS!$D2429&amp;"|"&amp;DATOS!$E2429&amp;"|"&amp;DATOS!$I2429)</f>
      </c>
      <c r="G2429">
        <f>IF(DATOS!$A2429="",0,IF(CONFIG_METADATA!$B$4&lt;&gt;"OR+EX",--(DATOS!$G2429=CONFIG_METADATA!$B$4),IF(DATOS!$G2429="EX",1,IF(DATOS!$G2429="OR",--(COUNTIFS(nNIA,DATOS!$A2429,nCURSO,DATOS!$D2429,nESPEC,DATOS!$E2429,nASIG,DATOS!$I2429,nEVAL,"EX")=0),0))))</f>
      </c>
      <c r="H2429">
        <f>IF(DATOS!$G2429&lt;&gt;"EX",0,--(COUNTIFS(nNIA,DATOS!$A2429,nCURSO,DATOS!$D2429,nESPEC,DATOS!$E2429,nASIG,DATOS!$I2429,nEVAL,"OR")=0))</f>
      </c>
      <c r="I2429">
        <f>IF(DATOS!$I2429="","",IFERROR(VLOOKUP(DATOS!$I2429,CONFIG_ASIGNATURAS!$B$2:$J$91,9,FALSE()),""))</f>
      </c>
    </row>
    <row r="2430">
      <c r="F2430">
        <f>IF(DATOS!$A2430="","",DATOS!$A2430&amp;"|"&amp;DATOS!$D2430&amp;"|"&amp;DATOS!$E2430&amp;"|"&amp;DATOS!$I2430)</f>
      </c>
      <c r="G2430">
        <f>IF(DATOS!$A2430="",0,IF(CONFIG_METADATA!$B$4&lt;&gt;"OR+EX",--(DATOS!$G2430=CONFIG_METADATA!$B$4),IF(DATOS!$G2430="EX",1,IF(DATOS!$G2430="OR",--(COUNTIFS(nNIA,DATOS!$A2430,nCURSO,DATOS!$D2430,nESPEC,DATOS!$E2430,nASIG,DATOS!$I2430,nEVAL,"EX")=0),0))))</f>
      </c>
      <c r="H2430">
        <f>IF(DATOS!$G2430&lt;&gt;"EX",0,--(COUNTIFS(nNIA,DATOS!$A2430,nCURSO,DATOS!$D2430,nESPEC,DATOS!$E2430,nASIG,DATOS!$I2430,nEVAL,"OR")=0))</f>
      </c>
      <c r="I2430">
        <f>IF(DATOS!$I2430="","",IFERROR(VLOOKUP(DATOS!$I2430,CONFIG_ASIGNATURAS!$B$2:$J$91,9,FALSE()),""))</f>
      </c>
    </row>
    <row r="2431">
      <c r="F2431">
        <f>IF(DATOS!$A2431="","",DATOS!$A2431&amp;"|"&amp;DATOS!$D2431&amp;"|"&amp;DATOS!$E2431&amp;"|"&amp;DATOS!$I2431)</f>
      </c>
      <c r="G2431">
        <f>IF(DATOS!$A2431="",0,IF(CONFIG_METADATA!$B$4&lt;&gt;"OR+EX",--(DATOS!$G2431=CONFIG_METADATA!$B$4),IF(DATOS!$G2431="EX",1,IF(DATOS!$G2431="OR",--(COUNTIFS(nNIA,DATOS!$A2431,nCURSO,DATOS!$D2431,nESPEC,DATOS!$E2431,nASIG,DATOS!$I2431,nEVAL,"EX")=0),0))))</f>
      </c>
      <c r="H2431">
        <f>IF(DATOS!$G2431&lt;&gt;"EX",0,--(COUNTIFS(nNIA,DATOS!$A2431,nCURSO,DATOS!$D2431,nESPEC,DATOS!$E2431,nASIG,DATOS!$I2431,nEVAL,"OR")=0))</f>
      </c>
      <c r="I2431">
        <f>IF(DATOS!$I2431="","",IFERROR(VLOOKUP(DATOS!$I2431,CONFIG_ASIGNATURAS!$B$2:$J$91,9,FALSE()),""))</f>
      </c>
    </row>
    <row r="2432">
      <c r="F2432">
        <f>IF(DATOS!$A2432="","",DATOS!$A2432&amp;"|"&amp;DATOS!$D2432&amp;"|"&amp;DATOS!$E2432&amp;"|"&amp;DATOS!$I2432)</f>
      </c>
      <c r="G2432">
        <f>IF(DATOS!$A2432="",0,IF(CONFIG_METADATA!$B$4&lt;&gt;"OR+EX",--(DATOS!$G2432=CONFIG_METADATA!$B$4),IF(DATOS!$G2432="EX",1,IF(DATOS!$G2432="OR",--(COUNTIFS(nNIA,DATOS!$A2432,nCURSO,DATOS!$D2432,nESPEC,DATOS!$E2432,nASIG,DATOS!$I2432,nEVAL,"EX")=0),0))))</f>
      </c>
      <c r="H2432">
        <f>IF(DATOS!$G2432&lt;&gt;"EX",0,--(COUNTIFS(nNIA,DATOS!$A2432,nCURSO,DATOS!$D2432,nESPEC,DATOS!$E2432,nASIG,DATOS!$I2432,nEVAL,"OR")=0))</f>
      </c>
      <c r="I2432">
        <f>IF(DATOS!$I2432="","",IFERROR(VLOOKUP(DATOS!$I2432,CONFIG_ASIGNATURAS!$B$2:$J$91,9,FALSE()),""))</f>
      </c>
    </row>
    <row r="2433">
      <c r="F2433">
        <f>IF(DATOS!$A2433="","",DATOS!$A2433&amp;"|"&amp;DATOS!$D2433&amp;"|"&amp;DATOS!$E2433&amp;"|"&amp;DATOS!$I2433)</f>
      </c>
      <c r="G2433">
        <f>IF(DATOS!$A2433="",0,IF(CONFIG_METADATA!$B$4&lt;&gt;"OR+EX",--(DATOS!$G2433=CONFIG_METADATA!$B$4),IF(DATOS!$G2433="EX",1,IF(DATOS!$G2433="OR",--(COUNTIFS(nNIA,DATOS!$A2433,nCURSO,DATOS!$D2433,nESPEC,DATOS!$E2433,nASIG,DATOS!$I2433,nEVAL,"EX")=0),0))))</f>
      </c>
      <c r="H2433">
        <f>IF(DATOS!$G2433&lt;&gt;"EX",0,--(COUNTIFS(nNIA,DATOS!$A2433,nCURSO,DATOS!$D2433,nESPEC,DATOS!$E2433,nASIG,DATOS!$I2433,nEVAL,"OR")=0))</f>
      </c>
      <c r="I2433">
        <f>IF(DATOS!$I2433="","",IFERROR(VLOOKUP(DATOS!$I2433,CONFIG_ASIGNATURAS!$B$2:$J$91,9,FALSE()),""))</f>
      </c>
    </row>
    <row r="2434">
      <c r="F2434">
        <f>IF(DATOS!$A2434="","",DATOS!$A2434&amp;"|"&amp;DATOS!$D2434&amp;"|"&amp;DATOS!$E2434&amp;"|"&amp;DATOS!$I2434)</f>
      </c>
      <c r="G2434">
        <f>IF(DATOS!$A2434="",0,IF(CONFIG_METADATA!$B$4&lt;&gt;"OR+EX",--(DATOS!$G2434=CONFIG_METADATA!$B$4),IF(DATOS!$G2434="EX",1,IF(DATOS!$G2434="OR",--(COUNTIFS(nNIA,DATOS!$A2434,nCURSO,DATOS!$D2434,nESPEC,DATOS!$E2434,nASIG,DATOS!$I2434,nEVAL,"EX")=0),0))))</f>
      </c>
      <c r="H2434">
        <f>IF(DATOS!$G2434&lt;&gt;"EX",0,--(COUNTIFS(nNIA,DATOS!$A2434,nCURSO,DATOS!$D2434,nESPEC,DATOS!$E2434,nASIG,DATOS!$I2434,nEVAL,"OR")=0))</f>
      </c>
      <c r="I2434">
        <f>IF(DATOS!$I2434="","",IFERROR(VLOOKUP(DATOS!$I2434,CONFIG_ASIGNATURAS!$B$2:$J$91,9,FALSE()),""))</f>
      </c>
    </row>
    <row r="2435">
      <c r="F2435">
        <f>IF(DATOS!$A2435="","",DATOS!$A2435&amp;"|"&amp;DATOS!$D2435&amp;"|"&amp;DATOS!$E2435&amp;"|"&amp;DATOS!$I2435)</f>
      </c>
      <c r="G2435">
        <f>IF(DATOS!$A2435="",0,IF(CONFIG_METADATA!$B$4&lt;&gt;"OR+EX",--(DATOS!$G2435=CONFIG_METADATA!$B$4),IF(DATOS!$G2435="EX",1,IF(DATOS!$G2435="OR",--(COUNTIFS(nNIA,DATOS!$A2435,nCURSO,DATOS!$D2435,nESPEC,DATOS!$E2435,nASIG,DATOS!$I2435,nEVAL,"EX")=0),0))))</f>
      </c>
      <c r="H2435">
        <f>IF(DATOS!$G2435&lt;&gt;"EX",0,--(COUNTIFS(nNIA,DATOS!$A2435,nCURSO,DATOS!$D2435,nESPEC,DATOS!$E2435,nASIG,DATOS!$I2435,nEVAL,"OR")=0))</f>
      </c>
      <c r="I2435">
        <f>IF(DATOS!$I2435="","",IFERROR(VLOOKUP(DATOS!$I2435,CONFIG_ASIGNATURAS!$B$2:$J$91,9,FALSE()),""))</f>
      </c>
    </row>
    <row r="2436">
      <c r="F2436">
        <f>IF(DATOS!$A2436="","",DATOS!$A2436&amp;"|"&amp;DATOS!$D2436&amp;"|"&amp;DATOS!$E2436&amp;"|"&amp;DATOS!$I2436)</f>
      </c>
      <c r="G2436">
        <f>IF(DATOS!$A2436="",0,IF(CONFIG_METADATA!$B$4&lt;&gt;"OR+EX",--(DATOS!$G2436=CONFIG_METADATA!$B$4),IF(DATOS!$G2436="EX",1,IF(DATOS!$G2436="OR",--(COUNTIFS(nNIA,DATOS!$A2436,nCURSO,DATOS!$D2436,nESPEC,DATOS!$E2436,nASIG,DATOS!$I2436,nEVAL,"EX")=0),0))))</f>
      </c>
      <c r="H2436">
        <f>IF(DATOS!$G2436&lt;&gt;"EX",0,--(COUNTIFS(nNIA,DATOS!$A2436,nCURSO,DATOS!$D2436,nESPEC,DATOS!$E2436,nASIG,DATOS!$I2436,nEVAL,"OR")=0))</f>
      </c>
      <c r="I2436">
        <f>IF(DATOS!$I2436="","",IFERROR(VLOOKUP(DATOS!$I2436,CONFIG_ASIGNATURAS!$B$2:$J$91,9,FALSE()),""))</f>
      </c>
    </row>
    <row r="2437">
      <c r="F2437">
        <f>IF(DATOS!$A2437="","",DATOS!$A2437&amp;"|"&amp;DATOS!$D2437&amp;"|"&amp;DATOS!$E2437&amp;"|"&amp;DATOS!$I2437)</f>
      </c>
      <c r="G2437">
        <f>IF(DATOS!$A2437="",0,IF(CONFIG_METADATA!$B$4&lt;&gt;"OR+EX",--(DATOS!$G2437=CONFIG_METADATA!$B$4),IF(DATOS!$G2437="EX",1,IF(DATOS!$G2437="OR",--(COUNTIFS(nNIA,DATOS!$A2437,nCURSO,DATOS!$D2437,nESPEC,DATOS!$E2437,nASIG,DATOS!$I2437,nEVAL,"EX")=0),0))))</f>
      </c>
      <c r="H2437">
        <f>IF(DATOS!$G2437&lt;&gt;"EX",0,--(COUNTIFS(nNIA,DATOS!$A2437,nCURSO,DATOS!$D2437,nESPEC,DATOS!$E2437,nASIG,DATOS!$I2437,nEVAL,"OR")=0))</f>
      </c>
      <c r="I2437">
        <f>IF(DATOS!$I2437="","",IFERROR(VLOOKUP(DATOS!$I2437,CONFIG_ASIGNATURAS!$B$2:$J$91,9,FALSE()),""))</f>
      </c>
    </row>
    <row r="2438">
      <c r="F2438">
        <f>IF(DATOS!$A2438="","",DATOS!$A2438&amp;"|"&amp;DATOS!$D2438&amp;"|"&amp;DATOS!$E2438&amp;"|"&amp;DATOS!$I2438)</f>
      </c>
      <c r="G2438">
        <f>IF(DATOS!$A2438="",0,IF(CONFIG_METADATA!$B$4&lt;&gt;"OR+EX",--(DATOS!$G2438=CONFIG_METADATA!$B$4),IF(DATOS!$G2438="EX",1,IF(DATOS!$G2438="OR",--(COUNTIFS(nNIA,DATOS!$A2438,nCURSO,DATOS!$D2438,nESPEC,DATOS!$E2438,nASIG,DATOS!$I2438,nEVAL,"EX")=0),0))))</f>
      </c>
      <c r="H2438">
        <f>IF(DATOS!$G2438&lt;&gt;"EX",0,--(COUNTIFS(nNIA,DATOS!$A2438,nCURSO,DATOS!$D2438,nESPEC,DATOS!$E2438,nASIG,DATOS!$I2438,nEVAL,"OR")=0))</f>
      </c>
      <c r="I2438">
        <f>IF(DATOS!$I2438="","",IFERROR(VLOOKUP(DATOS!$I2438,CONFIG_ASIGNATURAS!$B$2:$J$91,9,FALSE()),""))</f>
      </c>
    </row>
    <row r="2439">
      <c r="F2439">
        <f>IF(DATOS!$A2439="","",DATOS!$A2439&amp;"|"&amp;DATOS!$D2439&amp;"|"&amp;DATOS!$E2439&amp;"|"&amp;DATOS!$I2439)</f>
      </c>
      <c r="G2439">
        <f>IF(DATOS!$A2439="",0,IF(CONFIG_METADATA!$B$4&lt;&gt;"OR+EX",--(DATOS!$G2439=CONFIG_METADATA!$B$4),IF(DATOS!$G2439="EX",1,IF(DATOS!$G2439="OR",--(COUNTIFS(nNIA,DATOS!$A2439,nCURSO,DATOS!$D2439,nESPEC,DATOS!$E2439,nASIG,DATOS!$I2439,nEVAL,"EX")=0),0))))</f>
      </c>
      <c r="H2439">
        <f>IF(DATOS!$G2439&lt;&gt;"EX",0,--(COUNTIFS(nNIA,DATOS!$A2439,nCURSO,DATOS!$D2439,nESPEC,DATOS!$E2439,nASIG,DATOS!$I2439,nEVAL,"OR")=0))</f>
      </c>
      <c r="I2439">
        <f>IF(DATOS!$I2439="","",IFERROR(VLOOKUP(DATOS!$I2439,CONFIG_ASIGNATURAS!$B$2:$J$91,9,FALSE()),""))</f>
      </c>
    </row>
    <row r="2440">
      <c r="F2440">
        <f>IF(DATOS!$A2440="","",DATOS!$A2440&amp;"|"&amp;DATOS!$D2440&amp;"|"&amp;DATOS!$E2440&amp;"|"&amp;DATOS!$I2440)</f>
      </c>
      <c r="G2440">
        <f>IF(DATOS!$A2440="",0,IF(CONFIG_METADATA!$B$4&lt;&gt;"OR+EX",--(DATOS!$G2440=CONFIG_METADATA!$B$4),IF(DATOS!$G2440="EX",1,IF(DATOS!$G2440="OR",--(COUNTIFS(nNIA,DATOS!$A2440,nCURSO,DATOS!$D2440,nESPEC,DATOS!$E2440,nASIG,DATOS!$I2440,nEVAL,"EX")=0),0))))</f>
      </c>
      <c r="H2440">
        <f>IF(DATOS!$G2440&lt;&gt;"EX",0,--(COUNTIFS(nNIA,DATOS!$A2440,nCURSO,DATOS!$D2440,nESPEC,DATOS!$E2440,nASIG,DATOS!$I2440,nEVAL,"OR")=0))</f>
      </c>
      <c r="I2440">
        <f>IF(DATOS!$I2440="","",IFERROR(VLOOKUP(DATOS!$I2440,CONFIG_ASIGNATURAS!$B$2:$J$91,9,FALSE()),""))</f>
      </c>
    </row>
    <row r="2441">
      <c r="F2441">
        <f>IF(DATOS!$A2441="","",DATOS!$A2441&amp;"|"&amp;DATOS!$D2441&amp;"|"&amp;DATOS!$E2441&amp;"|"&amp;DATOS!$I2441)</f>
      </c>
      <c r="G2441">
        <f>IF(DATOS!$A2441="",0,IF(CONFIG_METADATA!$B$4&lt;&gt;"OR+EX",--(DATOS!$G2441=CONFIG_METADATA!$B$4),IF(DATOS!$G2441="EX",1,IF(DATOS!$G2441="OR",--(COUNTIFS(nNIA,DATOS!$A2441,nCURSO,DATOS!$D2441,nESPEC,DATOS!$E2441,nASIG,DATOS!$I2441,nEVAL,"EX")=0),0))))</f>
      </c>
      <c r="H2441">
        <f>IF(DATOS!$G2441&lt;&gt;"EX",0,--(COUNTIFS(nNIA,DATOS!$A2441,nCURSO,DATOS!$D2441,nESPEC,DATOS!$E2441,nASIG,DATOS!$I2441,nEVAL,"OR")=0))</f>
      </c>
      <c r="I2441">
        <f>IF(DATOS!$I2441="","",IFERROR(VLOOKUP(DATOS!$I2441,CONFIG_ASIGNATURAS!$B$2:$J$91,9,FALSE()),""))</f>
      </c>
    </row>
    <row r="2442">
      <c r="F2442">
        <f>IF(DATOS!$A2442="","",DATOS!$A2442&amp;"|"&amp;DATOS!$D2442&amp;"|"&amp;DATOS!$E2442&amp;"|"&amp;DATOS!$I2442)</f>
      </c>
      <c r="G2442">
        <f>IF(DATOS!$A2442="",0,IF(CONFIG_METADATA!$B$4&lt;&gt;"OR+EX",--(DATOS!$G2442=CONFIG_METADATA!$B$4),IF(DATOS!$G2442="EX",1,IF(DATOS!$G2442="OR",--(COUNTIFS(nNIA,DATOS!$A2442,nCURSO,DATOS!$D2442,nESPEC,DATOS!$E2442,nASIG,DATOS!$I2442,nEVAL,"EX")=0),0))))</f>
      </c>
      <c r="H2442">
        <f>IF(DATOS!$G2442&lt;&gt;"EX",0,--(COUNTIFS(nNIA,DATOS!$A2442,nCURSO,DATOS!$D2442,nESPEC,DATOS!$E2442,nASIG,DATOS!$I2442,nEVAL,"OR")=0))</f>
      </c>
      <c r="I2442">
        <f>IF(DATOS!$I2442="","",IFERROR(VLOOKUP(DATOS!$I2442,CONFIG_ASIGNATURAS!$B$2:$J$91,9,FALSE()),""))</f>
      </c>
    </row>
    <row r="2443">
      <c r="F2443">
        <f>IF(DATOS!$A2443="","",DATOS!$A2443&amp;"|"&amp;DATOS!$D2443&amp;"|"&amp;DATOS!$E2443&amp;"|"&amp;DATOS!$I2443)</f>
      </c>
      <c r="G2443">
        <f>IF(DATOS!$A2443="",0,IF(CONFIG_METADATA!$B$4&lt;&gt;"OR+EX",--(DATOS!$G2443=CONFIG_METADATA!$B$4),IF(DATOS!$G2443="EX",1,IF(DATOS!$G2443="OR",--(COUNTIFS(nNIA,DATOS!$A2443,nCURSO,DATOS!$D2443,nESPEC,DATOS!$E2443,nASIG,DATOS!$I2443,nEVAL,"EX")=0),0))))</f>
      </c>
      <c r="H2443">
        <f>IF(DATOS!$G2443&lt;&gt;"EX",0,--(COUNTIFS(nNIA,DATOS!$A2443,nCURSO,DATOS!$D2443,nESPEC,DATOS!$E2443,nASIG,DATOS!$I2443,nEVAL,"OR")=0))</f>
      </c>
      <c r="I2443">
        <f>IF(DATOS!$I2443="","",IFERROR(VLOOKUP(DATOS!$I2443,CONFIG_ASIGNATURAS!$B$2:$J$91,9,FALSE()),""))</f>
      </c>
    </row>
    <row r="2444">
      <c r="F2444">
        <f>IF(DATOS!$A2444="","",DATOS!$A2444&amp;"|"&amp;DATOS!$D2444&amp;"|"&amp;DATOS!$E2444&amp;"|"&amp;DATOS!$I2444)</f>
      </c>
      <c r="G2444">
        <f>IF(DATOS!$A2444="",0,IF(CONFIG_METADATA!$B$4&lt;&gt;"OR+EX",--(DATOS!$G2444=CONFIG_METADATA!$B$4),IF(DATOS!$G2444="EX",1,IF(DATOS!$G2444="OR",--(COUNTIFS(nNIA,DATOS!$A2444,nCURSO,DATOS!$D2444,nESPEC,DATOS!$E2444,nASIG,DATOS!$I2444,nEVAL,"EX")=0),0))))</f>
      </c>
      <c r="H2444">
        <f>IF(DATOS!$G2444&lt;&gt;"EX",0,--(COUNTIFS(nNIA,DATOS!$A2444,nCURSO,DATOS!$D2444,nESPEC,DATOS!$E2444,nASIG,DATOS!$I2444,nEVAL,"OR")=0))</f>
      </c>
      <c r="I2444">
        <f>IF(DATOS!$I2444="","",IFERROR(VLOOKUP(DATOS!$I2444,CONFIG_ASIGNATURAS!$B$2:$J$91,9,FALSE()),""))</f>
      </c>
    </row>
    <row r="2445">
      <c r="F2445">
        <f>IF(DATOS!$A2445="","",DATOS!$A2445&amp;"|"&amp;DATOS!$D2445&amp;"|"&amp;DATOS!$E2445&amp;"|"&amp;DATOS!$I2445)</f>
      </c>
      <c r="G2445">
        <f>IF(DATOS!$A2445="",0,IF(CONFIG_METADATA!$B$4&lt;&gt;"OR+EX",--(DATOS!$G2445=CONFIG_METADATA!$B$4),IF(DATOS!$G2445="EX",1,IF(DATOS!$G2445="OR",--(COUNTIFS(nNIA,DATOS!$A2445,nCURSO,DATOS!$D2445,nESPEC,DATOS!$E2445,nASIG,DATOS!$I2445,nEVAL,"EX")=0),0))))</f>
      </c>
      <c r="H2445">
        <f>IF(DATOS!$G2445&lt;&gt;"EX",0,--(COUNTIFS(nNIA,DATOS!$A2445,nCURSO,DATOS!$D2445,nESPEC,DATOS!$E2445,nASIG,DATOS!$I2445,nEVAL,"OR")=0))</f>
      </c>
      <c r="I2445">
        <f>IF(DATOS!$I2445="","",IFERROR(VLOOKUP(DATOS!$I2445,CONFIG_ASIGNATURAS!$B$2:$J$91,9,FALSE()),""))</f>
      </c>
    </row>
    <row r="2446">
      <c r="F2446">
        <f>IF(DATOS!$A2446="","",DATOS!$A2446&amp;"|"&amp;DATOS!$D2446&amp;"|"&amp;DATOS!$E2446&amp;"|"&amp;DATOS!$I2446)</f>
      </c>
      <c r="G2446">
        <f>IF(DATOS!$A2446="",0,IF(CONFIG_METADATA!$B$4&lt;&gt;"OR+EX",--(DATOS!$G2446=CONFIG_METADATA!$B$4),IF(DATOS!$G2446="EX",1,IF(DATOS!$G2446="OR",--(COUNTIFS(nNIA,DATOS!$A2446,nCURSO,DATOS!$D2446,nESPEC,DATOS!$E2446,nASIG,DATOS!$I2446,nEVAL,"EX")=0),0))))</f>
      </c>
      <c r="H2446">
        <f>IF(DATOS!$G2446&lt;&gt;"EX",0,--(COUNTIFS(nNIA,DATOS!$A2446,nCURSO,DATOS!$D2446,nESPEC,DATOS!$E2446,nASIG,DATOS!$I2446,nEVAL,"OR")=0))</f>
      </c>
      <c r="I2446">
        <f>IF(DATOS!$I2446="","",IFERROR(VLOOKUP(DATOS!$I2446,CONFIG_ASIGNATURAS!$B$2:$J$91,9,FALSE()),""))</f>
      </c>
    </row>
    <row r="2447">
      <c r="F2447">
        <f>IF(DATOS!$A2447="","",DATOS!$A2447&amp;"|"&amp;DATOS!$D2447&amp;"|"&amp;DATOS!$E2447&amp;"|"&amp;DATOS!$I2447)</f>
      </c>
      <c r="G2447">
        <f>IF(DATOS!$A2447="",0,IF(CONFIG_METADATA!$B$4&lt;&gt;"OR+EX",--(DATOS!$G2447=CONFIG_METADATA!$B$4),IF(DATOS!$G2447="EX",1,IF(DATOS!$G2447="OR",--(COUNTIFS(nNIA,DATOS!$A2447,nCURSO,DATOS!$D2447,nESPEC,DATOS!$E2447,nASIG,DATOS!$I2447,nEVAL,"EX")=0),0))))</f>
      </c>
      <c r="H2447">
        <f>IF(DATOS!$G2447&lt;&gt;"EX",0,--(COUNTIFS(nNIA,DATOS!$A2447,nCURSO,DATOS!$D2447,nESPEC,DATOS!$E2447,nASIG,DATOS!$I2447,nEVAL,"OR")=0))</f>
      </c>
      <c r="I2447">
        <f>IF(DATOS!$I2447="","",IFERROR(VLOOKUP(DATOS!$I2447,CONFIG_ASIGNATURAS!$B$2:$J$91,9,FALSE()),""))</f>
      </c>
    </row>
    <row r="2448">
      <c r="F2448">
        <f>IF(DATOS!$A2448="","",DATOS!$A2448&amp;"|"&amp;DATOS!$D2448&amp;"|"&amp;DATOS!$E2448&amp;"|"&amp;DATOS!$I2448)</f>
      </c>
      <c r="G2448">
        <f>IF(DATOS!$A2448="",0,IF(CONFIG_METADATA!$B$4&lt;&gt;"OR+EX",--(DATOS!$G2448=CONFIG_METADATA!$B$4),IF(DATOS!$G2448="EX",1,IF(DATOS!$G2448="OR",--(COUNTIFS(nNIA,DATOS!$A2448,nCURSO,DATOS!$D2448,nESPEC,DATOS!$E2448,nASIG,DATOS!$I2448,nEVAL,"EX")=0),0))))</f>
      </c>
      <c r="H2448">
        <f>IF(DATOS!$G2448&lt;&gt;"EX",0,--(COUNTIFS(nNIA,DATOS!$A2448,nCURSO,DATOS!$D2448,nESPEC,DATOS!$E2448,nASIG,DATOS!$I2448,nEVAL,"OR")=0))</f>
      </c>
      <c r="I2448">
        <f>IF(DATOS!$I2448="","",IFERROR(VLOOKUP(DATOS!$I2448,CONFIG_ASIGNATURAS!$B$2:$J$91,9,FALSE()),""))</f>
      </c>
    </row>
    <row r="2449">
      <c r="F2449">
        <f>IF(DATOS!$A2449="","",DATOS!$A2449&amp;"|"&amp;DATOS!$D2449&amp;"|"&amp;DATOS!$E2449&amp;"|"&amp;DATOS!$I2449)</f>
      </c>
      <c r="G2449">
        <f>IF(DATOS!$A2449="",0,IF(CONFIG_METADATA!$B$4&lt;&gt;"OR+EX",--(DATOS!$G2449=CONFIG_METADATA!$B$4),IF(DATOS!$G2449="EX",1,IF(DATOS!$G2449="OR",--(COUNTIFS(nNIA,DATOS!$A2449,nCURSO,DATOS!$D2449,nESPEC,DATOS!$E2449,nASIG,DATOS!$I2449,nEVAL,"EX")=0),0))))</f>
      </c>
      <c r="H2449">
        <f>IF(DATOS!$G2449&lt;&gt;"EX",0,--(COUNTIFS(nNIA,DATOS!$A2449,nCURSO,DATOS!$D2449,nESPEC,DATOS!$E2449,nASIG,DATOS!$I2449,nEVAL,"OR")=0))</f>
      </c>
      <c r="I2449">
        <f>IF(DATOS!$I2449="","",IFERROR(VLOOKUP(DATOS!$I2449,CONFIG_ASIGNATURAS!$B$2:$J$91,9,FALSE()),""))</f>
      </c>
    </row>
    <row r="2450">
      <c r="F2450">
        <f>IF(DATOS!$A2450="","",DATOS!$A2450&amp;"|"&amp;DATOS!$D2450&amp;"|"&amp;DATOS!$E2450&amp;"|"&amp;DATOS!$I2450)</f>
      </c>
      <c r="G2450">
        <f>IF(DATOS!$A2450="",0,IF(CONFIG_METADATA!$B$4&lt;&gt;"OR+EX",--(DATOS!$G2450=CONFIG_METADATA!$B$4),IF(DATOS!$G2450="EX",1,IF(DATOS!$G2450="OR",--(COUNTIFS(nNIA,DATOS!$A2450,nCURSO,DATOS!$D2450,nESPEC,DATOS!$E2450,nASIG,DATOS!$I2450,nEVAL,"EX")=0),0))))</f>
      </c>
      <c r="H2450">
        <f>IF(DATOS!$G2450&lt;&gt;"EX",0,--(COUNTIFS(nNIA,DATOS!$A2450,nCURSO,DATOS!$D2450,nESPEC,DATOS!$E2450,nASIG,DATOS!$I2450,nEVAL,"OR")=0))</f>
      </c>
      <c r="I2450">
        <f>IF(DATOS!$I2450="","",IFERROR(VLOOKUP(DATOS!$I2450,CONFIG_ASIGNATURAS!$B$2:$J$91,9,FALSE()),""))</f>
      </c>
    </row>
    <row r="2451">
      <c r="F2451">
        <f>IF(DATOS!$A2451="","",DATOS!$A2451&amp;"|"&amp;DATOS!$D2451&amp;"|"&amp;DATOS!$E2451&amp;"|"&amp;DATOS!$I2451)</f>
      </c>
      <c r="G2451">
        <f>IF(DATOS!$A2451="",0,IF(CONFIG_METADATA!$B$4&lt;&gt;"OR+EX",--(DATOS!$G2451=CONFIG_METADATA!$B$4),IF(DATOS!$G2451="EX",1,IF(DATOS!$G2451="OR",--(COUNTIFS(nNIA,DATOS!$A2451,nCURSO,DATOS!$D2451,nESPEC,DATOS!$E2451,nASIG,DATOS!$I2451,nEVAL,"EX")=0),0))))</f>
      </c>
      <c r="H2451">
        <f>IF(DATOS!$G2451&lt;&gt;"EX",0,--(COUNTIFS(nNIA,DATOS!$A2451,nCURSO,DATOS!$D2451,nESPEC,DATOS!$E2451,nASIG,DATOS!$I2451,nEVAL,"OR")=0))</f>
      </c>
      <c r="I2451">
        <f>IF(DATOS!$I2451="","",IFERROR(VLOOKUP(DATOS!$I2451,CONFIG_ASIGNATURAS!$B$2:$J$91,9,FALSE()),""))</f>
      </c>
    </row>
    <row r="2452">
      <c r="F2452">
        <f>IF(DATOS!$A2452="","",DATOS!$A2452&amp;"|"&amp;DATOS!$D2452&amp;"|"&amp;DATOS!$E2452&amp;"|"&amp;DATOS!$I2452)</f>
      </c>
      <c r="G2452">
        <f>IF(DATOS!$A2452="",0,IF(CONFIG_METADATA!$B$4&lt;&gt;"OR+EX",--(DATOS!$G2452=CONFIG_METADATA!$B$4),IF(DATOS!$G2452="EX",1,IF(DATOS!$G2452="OR",--(COUNTIFS(nNIA,DATOS!$A2452,nCURSO,DATOS!$D2452,nESPEC,DATOS!$E2452,nASIG,DATOS!$I2452,nEVAL,"EX")=0),0))))</f>
      </c>
      <c r="H2452">
        <f>IF(DATOS!$G2452&lt;&gt;"EX",0,--(COUNTIFS(nNIA,DATOS!$A2452,nCURSO,DATOS!$D2452,nESPEC,DATOS!$E2452,nASIG,DATOS!$I2452,nEVAL,"OR")=0))</f>
      </c>
      <c r="I2452">
        <f>IF(DATOS!$I2452="","",IFERROR(VLOOKUP(DATOS!$I2452,CONFIG_ASIGNATURAS!$B$2:$J$91,9,FALSE()),""))</f>
      </c>
    </row>
    <row r="2453">
      <c r="F2453">
        <f>IF(DATOS!$A2453="","",DATOS!$A2453&amp;"|"&amp;DATOS!$D2453&amp;"|"&amp;DATOS!$E2453&amp;"|"&amp;DATOS!$I2453)</f>
      </c>
      <c r="G2453">
        <f>IF(DATOS!$A2453="",0,IF(CONFIG_METADATA!$B$4&lt;&gt;"OR+EX",--(DATOS!$G2453=CONFIG_METADATA!$B$4),IF(DATOS!$G2453="EX",1,IF(DATOS!$G2453="OR",--(COUNTIFS(nNIA,DATOS!$A2453,nCURSO,DATOS!$D2453,nESPEC,DATOS!$E2453,nASIG,DATOS!$I2453,nEVAL,"EX")=0),0))))</f>
      </c>
      <c r="H2453">
        <f>IF(DATOS!$G2453&lt;&gt;"EX",0,--(COUNTIFS(nNIA,DATOS!$A2453,nCURSO,DATOS!$D2453,nESPEC,DATOS!$E2453,nASIG,DATOS!$I2453,nEVAL,"OR")=0))</f>
      </c>
      <c r="I2453">
        <f>IF(DATOS!$I2453="","",IFERROR(VLOOKUP(DATOS!$I2453,CONFIG_ASIGNATURAS!$B$2:$J$91,9,FALSE()),""))</f>
      </c>
    </row>
    <row r="2454">
      <c r="F2454">
        <f>IF(DATOS!$A2454="","",DATOS!$A2454&amp;"|"&amp;DATOS!$D2454&amp;"|"&amp;DATOS!$E2454&amp;"|"&amp;DATOS!$I2454)</f>
      </c>
      <c r="G2454">
        <f>IF(DATOS!$A2454="",0,IF(CONFIG_METADATA!$B$4&lt;&gt;"OR+EX",--(DATOS!$G2454=CONFIG_METADATA!$B$4),IF(DATOS!$G2454="EX",1,IF(DATOS!$G2454="OR",--(COUNTIFS(nNIA,DATOS!$A2454,nCURSO,DATOS!$D2454,nESPEC,DATOS!$E2454,nASIG,DATOS!$I2454,nEVAL,"EX")=0),0))))</f>
      </c>
      <c r="H2454">
        <f>IF(DATOS!$G2454&lt;&gt;"EX",0,--(COUNTIFS(nNIA,DATOS!$A2454,nCURSO,DATOS!$D2454,nESPEC,DATOS!$E2454,nASIG,DATOS!$I2454,nEVAL,"OR")=0))</f>
      </c>
      <c r="I2454">
        <f>IF(DATOS!$I2454="","",IFERROR(VLOOKUP(DATOS!$I2454,CONFIG_ASIGNATURAS!$B$2:$J$91,9,FALSE()),""))</f>
      </c>
    </row>
    <row r="2455">
      <c r="F2455">
        <f>IF(DATOS!$A2455="","",DATOS!$A2455&amp;"|"&amp;DATOS!$D2455&amp;"|"&amp;DATOS!$E2455&amp;"|"&amp;DATOS!$I2455)</f>
      </c>
      <c r="G2455">
        <f>IF(DATOS!$A2455="",0,IF(CONFIG_METADATA!$B$4&lt;&gt;"OR+EX",--(DATOS!$G2455=CONFIG_METADATA!$B$4),IF(DATOS!$G2455="EX",1,IF(DATOS!$G2455="OR",--(COUNTIFS(nNIA,DATOS!$A2455,nCURSO,DATOS!$D2455,nESPEC,DATOS!$E2455,nASIG,DATOS!$I2455,nEVAL,"EX")=0),0))))</f>
      </c>
      <c r="H2455">
        <f>IF(DATOS!$G2455&lt;&gt;"EX",0,--(COUNTIFS(nNIA,DATOS!$A2455,nCURSO,DATOS!$D2455,nESPEC,DATOS!$E2455,nASIG,DATOS!$I2455,nEVAL,"OR")=0))</f>
      </c>
      <c r="I2455">
        <f>IF(DATOS!$I2455="","",IFERROR(VLOOKUP(DATOS!$I2455,CONFIG_ASIGNATURAS!$B$2:$J$91,9,FALSE()),""))</f>
      </c>
    </row>
    <row r="2456">
      <c r="F2456">
        <f>IF(DATOS!$A2456="","",DATOS!$A2456&amp;"|"&amp;DATOS!$D2456&amp;"|"&amp;DATOS!$E2456&amp;"|"&amp;DATOS!$I2456)</f>
      </c>
      <c r="G2456">
        <f>IF(DATOS!$A2456="",0,IF(CONFIG_METADATA!$B$4&lt;&gt;"OR+EX",--(DATOS!$G2456=CONFIG_METADATA!$B$4),IF(DATOS!$G2456="EX",1,IF(DATOS!$G2456="OR",--(COUNTIFS(nNIA,DATOS!$A2456,nCURSO,DATOS!$D2456,nESPEC,DATOS!$E2456,nASIG,DATOS!$I2456,nEVAL,"EX")=0),0))))</f>
      </c>
      <c r="H2456">
        <f>IF(DATOS!$G2456&lt;&gt;"EX",0,--(COUNTIFS(nNIA,DATOS!$A2456,nCURSO,DATOS!$D2456,nESPEC,DATOS!$E2456,nASIG,DATOS!$I2456,nEVAL,"OR")=0))</f>
      </c>
      <c r="I2456">
        <f>IF(DATOS!$I2456="","",IFERROR(VLOOKUP(DATOS!$I2456,CONFIG_ASIGNATURAS!$B$2:$J$91,9,FALSE()),""))</f>
      </c>
    </row>
    <row r="2457">
      <c r="F2457">
        <f>IF(DATOS!$A2457="","",DATOS!$A2457&amp;"|"&amp;DATOS!$D2457&amp;"|"&amp;DATOS!$E2457&amp;"|"&amp;DATOS!$I2457)</f>
      </c>
      <c r="G2457">
        <f>IF(DATOS!$A2457="",0,IF(CONFIG_METADATA!$B$4&lt;&gt;"OR+EX",--(DATOS!$G2457=CONFIG_METADATA!$B$4),IF(DATOS!$G2457="EX",1,IF(DATOS!$G2457="OR",--(COUNTIFS(nNIA,DATOS!$A2457,nCURSO,DATOS!$D2457,nESPEC,DATOS!$E2457,nASIG,DATOS!$I2457,nEVAL,"EX")=0),0))))</f>
      </c>
      <c r="H2457">
        <f>IF(DATOS!$G2457&lt;&gt;"EX",0,--(COUNTIFS(nNIA,DATOS!$A2457,nCURSO,DATOS!$D2457,nESPEC,DATOS!$E2457,nASIG,DATOS!$I2457,nEVAL,"OR")=0))</f>
      </c>
      <c r="I2457">
        <f>IF(DATOS!$I2457="","",IFERROR(VLOOKUP(DATOS!$I2457,CONFIG_ASIGNATURAS!$B$2:$J$91,9,FALSE()),""))</f>
      </c>
    </row>
    <row r="2458">
      <c r="F2458">
        <f>IF(DATOS!$A2458="","",DATOS!$A2458&amp;"|"&amp;DATOS!$D2458&amp;"|"&amp;DATOS!$E2458&amp;"|"&amp;DATOS!$I2458)</f>
      </c>
      <c r="G2458">
        <f>IF(DATOS!$A2458="",0,IF(CONFIG_METADATA!$B$4&lt;&gt;"OR+EX",--(DATOS!$G2458=CONFIG_METADATA!$B$4),IF(DATOS!$G2458="EX",1,IF(DATOS!$G2458="OR",--(COUNTIFS(nNIA,DATOS!$A2458,nCURSO,DATOS!$D2458,nESPEC,DATOS!$E2458,nASIG,DATOS!$I2458,nEVAL,"EX")=0),0))))</f>
      </c>
      <c r="H2458">
        <f>IF(DATOS!$G2458&lt;&gt;"EX",0,--(COUNTIFS(nNIA,DATOS!$A2458,nCURSO,DATOS!$D2458,nESPEC,DATOS!$E2458,nASIG,DATOS!$I2458,nEVAL,"OR")=0))</f>
      </c>
      <c r="I2458">
        <f>IF(DATOS!$I2458="","",IFERROR(VLOOKUP(DATOS!$I2458,CONFIG_ASIGNATURAS!$B$2:$J$91,9,FALSE()),""))</f>
      </c>
    </row>
    <row r="2459">
      <c r="F2459">
        <f>IF(DATOS!$A2459="","",DATOS!$A2459&amp;"|"&amp;DATOS!$D2459&amp;"|"&amp;DATOS!$E2459&amp;"|"&amp;DATOS!$I2459)</f>
      </c>
      <c r="G2459">
        <f>IF(DATOS!$A2459="",0,IF(CONFIG_METADATA!$B$4&lt;&gt;"OR+EX",--(DATOS!$G2459=CONFIG_METADATA!$B$4),IF(DATOS!$G2459="EX",1,IF(DATOS!$G2459="OR",--(COUNTIFS(nNIA,DATOS!$A2459,nCURSO,DATOS!$D2459,nESPEC,DATOS!$E2459,nASIG,DATOS!$I2459,nEVAL,"EX")=0),0))))</f>
      </c>
      <c r="H2459">
        <f>IF(DATOS!$G2459&lt;&gt;"EX",0,--(COUNTIFS(nNIA,DATOS!$A2459,nCURSO,DATOS!$D2459,nESPEC,DATOS!$E2459,nASIG,DATOS!$I2459,nEVAL,"OR")=0))</f>
      </c>
      <c r="I2459">
        <f>IF(DATOS!$I2459="","",IFERROR(VLOOKUP(DATOS!$I2459,CONFIG_ASIGNATURAS!$B$2:$J$91,9,FALSE()),""))</f>
      </c>
    </row>
    <row r="2460">
      <c r="F2460">
        <f>IF(DATOS!$A2460="","",DATOS!$A2460&amp;"|"&amp;DATOS!$D2460&amp;"|"&amp;DATOS!$E2460&amp;"|"&amp;DATOS!$I2460)</f>
      </c>
      <c r="G2460">
        <f>IF(DATOS!$A2460="",0,IF(CONFIG_METADATA!$B$4&lt;&gt;"OR+EX",--(DATOS!$G2460=CONFIG_METADATA!$B$4),IF(DATOS!$G2460="EX",1,IF(DATOS!$G2460="OR",--(COUNTIFS(nNIA,DATOS!$A2460,nCURSO,DATOS!$D2460,nESPEC,DATOS!$E2460,nASIG,DATOS!$I2460,nEVAL,"EX")=0),0))))</f>
      </c>
      <c r="H2460">
        <f>IF(DATOS!$G2460&lt;&gt;"EX",0,--(COUNTIFS(nNIA,DATOS!$A2460,nCURSO,DATOS!$D2460,nESPEC,DATOS!$E2460,nASIG,DATOS!$I2460,nEVAL,"OR")=0))</f>
      </c>
      <c r="I2460">
        <f>IF(DATOS!$I2460="","",IFERROR(VLOOKUP(DATOS!$I2460,CONFIG_ASIGNATURAS!$B$2:$J$91,9,FALSE()),""))</f>
      </c>
    </row>
    <row r="2461">
      <c r="F2461">
        <f>IF(DATOS!$A2461="","",DATOS!$A2461&amp;"|"&amp;DATOS!$D2461&amp;"|"&amp;DATOS!$E2461&amp;"|"&amp;DATOS!$I2461)</f>
      </c>
      <c r="G2461">
        <f>IF(DATOS!$A2461="",0,IF(CONFIG_METADATA!$B$4&lt;&gt;"OR+EX",--(DATOS!$G2461=CONFIG_METADATA!$B$4),IF(DATOS!$G2461="EX",1,IF(DATOS!$G2461="OR",--(COUNTIFS(nNIA,DATOS!$A2461,nCURSO,DATOS!$D2461,nESPEC,DATOS!$E2461,nASIG,DATOS!$I2461,nEVAL,"EX")=0),0))))</f>
      </c>
      <c r="H2461">
        <f>IF(DATOS!$G2461&lt;&gt;"EX",0,--(COUNTIFS(nNIA,DATOS!$A2461,nCURSO,DATOS!$D2461,nESPEC,DATOS!$E2461,nASIG,DATOS!$I2461,nEVAL,"OR")=0))</f>
      </c>
      <c r="I2461">
        <f>IF(DATOS!$I2461="","",IFERROR(VLOOKUP(DATOS!$I2461,CONFIG_ASIGNATURAS!$B$2:$J$91,9,FALSE()),""))</f>
      </c>
    </row>
    <row r="2462">
      <c r="F2462">
        <f>IF(DATOS!$A2462="","",DATOS!$A2462&amp;"|"&amp;DATOS!$D2462&amp;"|"&amp;DATOS!$E2462&amp;"|"&amp;DATOS!$I2462)</f>
      </c>
      <c r="G2462">
        <f>IF(DATOS!$A2462="",0,IF(CONFIG_METADATA!$B$4&lt;&gt;"OR+EX",--(DATOS!$G2462=CONFIG_METADATA!$B$4),IF(DATOS!$G2462="EX",1,IF(DATOS!$G2462="OR",--(COUNTIFS(nNIA,DATOS!$A2462,nCURSO,DATOS!$D2462,nESPEC,DATOS!$E2462,nASIG,DATOS!$I2462,nEVAL,"EX")=0),0))))</f>
      </c>
      <c r="H2462">
        <f>IF(DATOS!$G2462&lt;&gt;"EX",0,--(COUNTIFS(nNIA,DATOS!$A2462,nCURSO,DATOS!$D2462,nESPEC,DATOS!$E2462,nASIG,DATOS!$I2462,nEVAL,"OR")=0))</f>
      </c>
      <c r="I2462">
        <f>IF(DATOS!$I2462="","",IFERROR(VLOOKUP(DATOS!$I2462,CONFIG_ASIGNATURAS!$B$2:$J$91,9,FALSE()),""))</f>
      </c>
    </row>
    <row r="2463">
      <c r="F2463">
        <f>IF(DATOS!$A2463="","",DATOS!$A2463&amp;"|"&amp;DATOS!$D2463&amp;"|"&amp;DATOS!$E2463&amp;"|"&amp;DATOS!$I2463)</f>
      </c>
      <c r="G2463">
        <f>IF(DATOS!$A2463="",0,IF(CONFIG_METADATA!$B$4&lt;&gt;"OR+EX",--(DATOS!$G2463=CONFIG_METADATA!$B$4),IF(DATOS!$G2463="EX",1,IF(DATOS!$G2463="OR",--(COUNTIFS(nNIA,DATOS!$A2463,nCURSO,DATOS!$D2463,nESPEC,DATOS!$E2463,nASIG,DATOS!$I2463,nEVAL,"EX")=0),0))))</f>
      </c>
      <c r="H2463">
        <f>IF(DATOS!$G2463&lt;&gt;"EX",0,--(COUNTIFS(nNIA,DATOS!$A2463,nCURSO,DATOS!$D2463,nESPEC,DATOS!$E2463,nASIG,DATOS!$I2463,nEVAL,"OR")=0))</f>
      </c>
      <c r="I2463">
        <f>IF(DATOS!$I2463="","",IFERROR(VLOOKUP(DATOS!$I2463,CONFIG_ASIGNATURAS!$B$2:$J$91,9,FALSE()),""))</f>
      </c>
    </row>
    <row r="2464">
      <c r="F2464">
        <f>IF(DATOS!$A2464="","",DATOS!$A2464&amp;"|"&amp;DATOS!$D2464&amp;"|"&amp;DATOS!$E2464&amp;"|"&amp;DATOS!$I2464)</f>
      </c>
      <c r="G2464">
        <f>IF(DATOS!$A2464="",0,IF(CONFIG_METADATA!$B$4&lt;&gt;"OR+EX",--(DATOS!$G2464=CONFIG_METADATA!$B$4),IF(DATOS!$G2464="EX",1,IF(DATOS!$G2464="OR",--(COUNTIFS(nNIA,DATOS!$A2464,nCURSO,DATOS!$D2464,nESPEC,DATOS!$E2464,nASIG,DATOS!$I2464,nEVAL,"EX")=0),0))))</f>
      </c>
      <c r="H2464">
        <f>IF(DATOS!$G2464&lt;&gt;"EX",0,--(COUNTIFS(nNIA,DATOS!$A2464,nCURSO,DATOS!$D2464,nESPEC,DATOS!$E2464,nASIG,DATOS!$I2464,nEVAL,"OR")=0))</f>
      </c>
      <c r="I2464">
        <f>IF(DATOS!$I2464="","",IFERROR(VLOOKUP(DATOS!$I2464,CONFIG_ASIGNATURAS!$B$2:$J$91,9,FALSE()),""))</f>
      </c>
    </row>
    <row r="2465">
      <c r="F2465">
        <f>IF(DATOS!$A2465="","",DATOS!$A2465&amp;"|"&amp;DATOS!$D2465&amp;"|"&amp;DATOS!$E2465&amp;"|"&amp;DATOS!$I2465)</f>
      </c>
      <c r="G2465">
        <f>IF(DATOS!$A2465="",0,IF(CONFIG_METADATA!$B$4&lt;&gt;"OR+EX",--(DATOS!$G2465=CONFIG_METADATA!$B$4),IF(DATOS!$G2465="EX",1,IF(DATOS!$G2465="OR",--(COUNTIFS(nNIA,DATOS!$A2465,nCURSO,DATOS!$D2465,nESPEC,DATOS!$E2465,nASIG,DATOS!$I2465,nEVAL,"EX")=0),0))))</f>
      </c>
      <c r="H2465">
        <f>IF(DATOS!$G2465&lt;&gt;"EX",0,--(COUNTIFS(nNIA,DATOS!$A2465,nCURSO,DATOS!$D2465,nESPEC,DATOS!$E2465,nASIG,DATOS!$I2465,nEVAL,"OR")=0))</f>
      </c>
      <c r="I2465">
        <f>IF(DATOS!$I2465="","",IFERROR(VLOOKUP(DATOS!$I2465,CONFIG_ASIGNATURAS!$B$2:$J$91,9,FALSE()),""))</f>
      </c>
    </row>
    <row r="2466">
      <c r="F2466">
        <f>IF(DATOS!$A2466="","",DATOS!$A2466&amp;"|"&amp;DATOS!$D2466&amp;"|"&amp;DATOS!$E2466&amp;"|"&amp;DATOS!$I2466)</f>
      </c>
      <c r="G2466">
        <f>IF(DATOS!$A2466="",0,IF(CONFIG_METADATA!$B$4&lt;&gt;"OR+EX",--(DATOS!$G2466=CONFIG_METADATA!$B$4),IF(DATOS!$G2466="EX",1,IF(DATOS!$G2466="OR",--(COUNTIFS(nNIA,DATOS!$A2466,nCURSO,DATOS!$D2466,nESPEC,DATOS!$E2466,nASIG,DATOS!$I2466,nEVAL,"EX")=0),0))))</f>
      </c>
      <c r="H2466">
        <f>IF(DATOS!$G2466&lt;&gt;"EX",0,--(COUNTIFS(nNIA,DATOS!$A2466,nCURSO,DATOS!$D2466,nESPEC,DATOS!$E2466,nASIG,DATOS!$I2466,nEVAL,"OR")=0))</f>
      </c>
      <c r="I2466">
        <f>IF(DATOS!$I2466="","",IFERROR(VLOOKUP(DATOS!$I2466,CONFIG_ASIGNATURAS!$B$2:$J$91,9,FALSE()),""))</f>
      </c>
    </row>
    <row r="2467">
      <c r="F2467">
        <f>IF(DATOS!$A2467="","",DATOS!$A2467&amp;"|"&amp;DATOS!$D2467&amp;"|"&amp;DATOS!$E2467&amp;"|"&amp;DATOS!$I2467)</f>
      </c>
      <c r="G2467">
        <f>IF(DATOS!$A2467="",0,IF(CONFIG_METADATA!$B$4&lt;&gt;"OR+EX",--(DATOS!$G2467=CONFIG_METADATA!$B$4),IF(DATOS!$G2467="EX",1,IF(DATOS!$G2467="OR",--(COUNTIFS(nNIA,DATOS!$A2467,nCURSO,DATOS!$D2467,nESPEC,DATOS!$E2467,nASIG,DATOS!$I2467,nEVAL,"EX")=0),0))))</f>
      </c>
      <c r="H2467">
        <f>IF(DATOS!$G2467&lt;&gt;"EX",0,--(COUNTIFS(nNIA,DATOS!$A2467,nCURSO,DATOS!$D2467,nESPEC,DATOS!$E2467,nASIG,DATOS!$I2467,nEVAL,"OR")=0))</f>
      </c>
      <c r="I2467">
        <f>IF(DATOS!$I2467="","",IFERROR(VLOOKUP(DATOS!$I2467,CONFIG_ASIGNATURAS!$B$2:$J$91,9,FALSE()),""))</f>
      </c>
    </row>
    <row r="2468">
      <c r="F2468">
        <f>IF(DATOS!$A2468="","",DATOS!$A2468&amp;"|"&amp;DATOS!$D2468&amp;"|"&amp;DATOS!$E2468&amp;"|"&amp;DATOS!$I2468)</f>
      </c>
      <c r="G2468">
        <f>IF(DATOS!$A2468="",0,IF(CONFIG_METADATA!$B$4&lt;&gt;"OR+EX",--(DATOS!$G2468=CONFIG_METADATA!$B$4),IF(DATOS!$G2468="EX",1,IF(DATOS!$G2468="OR",--(COUNTIFS(nNIA,DATOS!$A2468,nCURSO,DATOS!$D2468,nESPEC,DATOS!$E2468,nASIG,DATOS!$I2468,nEVAL,"EX")=0),0))))</f>
      </c>
      <c r="H2468">
        <f>IF(DATOS!$G2468&lt;&gt;"EX",0,--(COUNTIFS(nNIA,DATOS!$A2468,nCURSO,DATOS!$D2468,nESPEC,DATOS!$E2468,nASIG,DATOS!$I2468,nEVAL,"OR")=0))</f>
      </c>
      <c r="I2468">
        <f>IF(DATOS!$I2468="","",IFERROR(VLOOKUP(DATOS!$I2468,CONFIG_ASIGNATURAS!$B$2:$J$91,9,FALSE()),""))</f>
      </c>
    </row>
    <row r="2469">
      <c r="F2469">
        <f>IF(DATOS!$A2469="","",DATOS!$A2469&amp;"|"&amp;DATOS!$D2469&amp;"|"&amp;DATOS!$E2469&amp;"|"&amp;DATOS!$I2469)</f>
      </c>
      <c r="G2469">
        <f>IF(DATOS!$A2469="",0,IF(CONFIG_METADATA!$B$4&lt;&gt;"OR+EX",--(DATOS!$G2469=CONFIG_METADATA!$B$4),IF(DATOS!$G2469="EX",1,IF(DATOS!$G2469="OR",--(COUNTIFS(nNIA,DATOS!$A2469,nCURSO,DATOS!$D2469,nESPEC,DATOS!$E2469,nASIG,DATOS!$I2469,nEVAL,"EX")=0),0))))</f>
      </c>
      <c r="H2469">
        <f>IF(DATOS!$G2469&lt;&gt;"EX",0,--(COUNTIFS(nNIA,DATOS!$A2469,nCURSO,DATOS!$D2469,nESPEC,DATOS!$E2469,nASIG,DATOS!$I2469,nEVAL,"OR")=0))</f>
      </c>
      <c r="I2469">
        <f>IF(DATOS!$I2469="","",IFERROR(VLOOKUP(DATOS!$I2469,CONFIG_ASIGNATURAS!$B$2:$J$91,9,FALSE()),""))</f>
      </c>
    </row>
    <row r="2470">
      <c r="F2470">
        <f>IF(DATOS!$A2470="","",DATOS!$A2470&amp;"|"&amp;DATOS!$D2470&amp;"|"&amp;DATOS!$E2470&amp;"|"&amp;DATOS!$I2470)</f>
      </c>
      <c r="G2470">
        <f>IF(DATOS!$A2470="",0,IF(CONFIG_METADATA!$B$4&lt;&gt;"OR+EX",--(DATOS!$G2470=CONFIG_METADATA!$B$4),IF(DATOS!$G2470="EX",1,IF(DATOS!$G2470="OR",--(COUNTIFS(nNIA,DATOS!$A2470,nCURSO,DATOS!$D2470,nESPEC,DATOS!$E2470,nASIG,DATOS!$I2470,nEVAL,"EX")=0),0))))</f>
      </c>
      <c r="H2470">
        <f>IF(DATOS!$G2470&lt;&gt;"EX",0,--(COUNTIFS(nNIA,DATOS!$A2470,nCURSO,DATOS!$D2470,nESPEC,DATOS!$E2470,nASIG,DATOS!$I2470,nEVAL,"OR")=0))</f>
      </c>
      <c r="I2470">
        <f>IF(DATOS!$I2470="","",IFERROR(VLOOKUP(DATOS!$I2470,CONFIG_ASIGNATURAS!$B$2:$J$91,9,FALSE()),""))</f>
      </c>
    </row>
    <row r="2471">
      <c r="F2471">
        <f>IF(DATOS!$A2471="","",DATOS!$A2471&amp;"|"&amp;DATOS!$D2471&amp;"|"&amp;DATOS!$E2471&amp;"|"&amp;DATOS!$I2471)</f>
      </c>
      <c r="G2471">
        <f>IF(DATOS!$A2471="",0,IF(CONFIG_METADATA!$B$4&lt;&gt;"OR+EX",--(DATOS!$G2471=CONFIG_METADATA!$B$4),IF(DATOS!$G2471="EX",1,IF(DATOS!$G2471="OR",--(COUNTIFS(nNIA,DATOS!$A2471,nCURSO,DATOS!$D2471,nESPEC,DATOS!$E2471,nASIG,DATOS!$I2471,nEVAL,"EX")=0),0))))</f>
      </c>
      <c r="H2471">
        <f>IF(DATOS!$G2471&lt;&gt;"EX",0,--(COUNTIFS(nNIA,DATOS!$A2471,nCURSO,DATOS!$D2471,nESPEC,DATOS!$E2471,nASIG,DATOS!$I2471,nEVAL,"OR")=0))</f>
      </c>
      <c r="I2471">
        <f>IF(DATOS!$I2471="","",IFERROR(VLOOKUP(DATOS!$I2471,CONFIG_ASIGNATURAS!$B$2:$J$91,9,FALSE()),""))</f>
      </c>
    </row>
    <row r="2472">
      <c r="F2472">
        <f>IF(DATOS!$A2472="","",DATOS!$A2472&amp;"|"&amp;DATOS!$D2472&amp;"|"&amp;DATOS!$E2472&amp;"|"&amp;DATOS!$I2472)</f>
      </c>
      <c r="G2472">
        <f>IF(DATOS!$A2472="",0,IF(CONFIG_METADATA!$B$4&lt;&gt;"OR+EX",--(DATOS!$G2472=CONFIG_METADATA!$B$4),IF(DATOS!$G2472="EX",1,IF(DATOS!$G2472="OR",--(COUNTIFS(nNIA,DATOS!$A2472,nCURSO,DATOS!$D2472,nESPEC,DATOS!$E2472,nASIG,DATOS!$I2472,nEVAL,"EX")=0),0))))</f>
      </c>
      <c r="H2472">
        <f>IF(DATOS!$G2472&lt;&gt;"EX",0,--(COUNTIFS(nNIA,DATOS!$A2472,nCURSO,DATOS!$D2472,nESPEC,DATOS!$E2472,nASIG,DATOS!$I2472,nEVAL,"OR")=0))</f>
      </c>
      <c r="I2472">
        <f>IF(DATOS!$I2472="","",IFERROR(VLOOKUP(DATOS!$I2472,CONFIG_ASIGNATURAS!$B$2:$J$91,9,FALSE()),""))</f>
      </c>
    </row>
    <row r="2473">
      <c r="F2473">
        <f>IF(DATOS!$A2473="","",DATOS!$A2473&amp;"|"&amp;DATOS!$D2473&amp;"|"&amp;DATOS!$E2473&amp;"|"&amp;DATOS!$I2473)</f>
      </c>
      <c r="G2473">
        <f>IF(DATOS!$A2473="",0,IF(CONFIG_METADATA!$B$4&lt;&gt;"OR+EX",--(DATOS!$G2473=CONFIG_METADATA!$B$4),IF(DATOS!$G2473="EX",1,IF(DATOS!$G2473="OR",--(COUNTIFS(nNIA,DATOS!$A2473,nCURSO,DATOS!$D2473,nESPEC,DATOS!$E2473,nASIG,DATOS!$I2473,nEVAL,"EX")=0),0))))</f>
      </c>
      <c r="H2473">
        <f>IF(DATOS!$G2473&lt;&gt;"EX",0,--(COUNTIFS(nNIA,DATOS!$A2473,nCURSO,DATOS!$D2473,nESPEC,DATOS!$E2473,nASIG,DATOS!$I2473,nEVAL,"OR")=0))</f>
      </c>
      <c r="I2473">
        <f>IF(DATOS!$I2473="","",IFERROR(VLOOKUP(DATOS!$I2473,CONFIG_ASIGNATURAS!$B$2:$J$91,9,FALSE()),""))</f>
      </c>
    </row>
    <row r="2474">
      <c r="F2474">
        <f>IF(DATOS!$A2474="","",DATOS!$A2474&amp;"|"&amp;DATOS!$D2474&amp;"|"&amp;DATOS!$E2474&amp;"|"&amp;DATOS!$I2474)</f>
      </c>
      <c r="G2474">
        <f>IF(DATOS!$A2474="",0,IF(CONFIG_METADATA!$B$4&lt;&gt;"OR+EX",--(DATOS!$G2474=CONFIG_METADATA!$B$4),IF(DATOS!$G2474="EX",1,IF(DATOS!$G2474="OR",--(COUNTIFS(nNIA,DATOS!$A2474,nCURSO,DATOS!$D2474,nESPEC,DATOS!$E2474,nASIG,DATOS!$I2474,nEVAL,"EX")=0),0))))</f>
      </c>
      <c r="H2474">
        <f>IF(DATOS!$G2474&lt;&gt;"EX",0,--(COUNTIFS(nNIA,DATOS!$A2474,nCURSO,DATOS!$D2474,nESPEC,DATOS!$E2474,nASIG,DATOS!$I2474,nEVAL,"OR")=0))</f>
      </c>
      <c r="I2474">
        <f>IF(DATOS!$I2474="","",IFERROR(VLOOKUP(DATOS!$I2474,CONFIG_ASIGNATURAS!$B$2:$J$91,9,FALSE()),""))</f>
      </c>
    </row>
    <row r="2475">
      <c r="F2475">
        <f>IF(DATOS!$A2475="","",DATOS!$A2475&amp;"|"&amp;DATOS!$D2475&amp;"|"&amp;DATOS!$E2475&amp;"|"&amp;DATOS!$I2475)</f>
      </c>
      <c r="G2475">
        <f>IF(DATOS!$A2475="",0,IF(CONFIG_METADATA!$B$4&lt;&gt;"OR+EX",--(DATOS!$G2475=CONFIG_METADATA!$B$4),IF(DATOS!$G2475="EX",1,IF(DATOS!$G2475="OR",--(COUNTIFS(nNIA,DATOS!$A2475,nCURSO,DATOS!$D2475,nESPEC,DATOS!$E2475,nASIG,DATOS!$I2475,nEVAL,"EX")=0),0))))</f>
      </c>
      <c r="H2475">
        <f>IF(DATOS!$G2475&lt;&gt;"EX",0,--(COUNTIFS(nNIA,DATOS!$A2475,nCURSO,DATOS!$D2475,nESPEC,DATOS!$E2475,nASIG,DATOS!$I2475,nEVAL,"OR")=0))</f>
      </c>
      <c r="I2475">
        <f>IF(DATOS!$I2475="","",IFERROR(VLOOKUP(DATOS!$I2475,CONFIG_ASIGNATURAS!$B$2:$J$91,9,FALSE()),""))</f>
      </c>
    </row>
    <row r="2476">
      <c r="F2476">
        <f>IF(DATOS!$A2476="","",DATOS!$A2476&amp;"|"&amp;DATOS!$D2476&amp;"|"&amp;DATOS!$E2476&amp;"|"&amp;DATOS!$I2476)</f>
      </c>
      <c r="G2476">
        <f>IF(DATOS!$A2476="",0,IF(CONFIG_METADATA!$B$4&lt;&gt;"OR+EX",--(DATOS!$G2476=CONFIG_METADATA!$B$4),IF(DATOS!$G2476="EX",1,IF(DATOS!$G2476="OR",--(COUNTIFS(nNIA,DATOS!$A2476,nCURSO,DATOS!$D2476,nESPEC,DATOS!$E2476,nASIG,DATOS!$I2476,nEVAL,"EX")=0),0))))</f>
      </c>
      <c r="H2476">
        <f>IF(DATOS!$G2476&lt;&gt;"EX",0,--(COUNTIFS(nNIA,DATOS!$A2476,nCURSO,DATOS!$D2476,nESPEC,DATOS!$E2476,nASIG,DATOS!$I2476,nEVAL,"OR")=0))</f>
      </c>
      <c r="I2476">
        <f>IF(DATOS!$I2476="","",IFERROR(VLOOKUP(DATOS!$I2476,CONFIG_ASIGNATURAS!$B$2:$J$91,9,FALSE()),""))</f>
      </c>
    </row>
    <row r="2477">
      <c r="F2477">
        <f>IF(DATOS!$A2477="","",DATOS!$A2477&amp;"|"&amp;DATOS!$D2477&amp;"|"&amp;DATOS!$E2477&amp;"|"&amp;DATOS!$I2477)</f>
      </c>
      <c r="G2477">
        <f>IF(DATOS!$A2477="",0,IF(CONFIG_METADATA!$B$4&lt;&gt;"OR+EX",--(DATOS!$G2477=CONFIG_METADATA!$B$4),IF(DATOS!$G2477="EX",1,IF(DATOS!$G2477="OR",--(COUNTIFS(nNIA,DATOS!$A2477,nCURSO,DATOS!$D2477,nESPEC,DATOS!$E2477,nASIG,DATOS!$I2477,nEVAL,"EX")=0),0))))</f>
      </c>
      <c r="H2477">
        <f>IF(DATOS!$G2477&lt;&gt;"EX",0,--(COUNTIFS(nNIA,DATOS!$A2477,nCURSO,DATOS!$D2477,nESPEC,DATOS!$E2477,nASIG,DATOS!$I2477,nEVAL,"OR")=0))</f>
      </c>
      <c r="I2477">
        <f>IF(DATOS!$I2477="","",IFERROR(VLOOKUP(DATOS!$I2477,CONFIG_ASIGNATURAS!$B$2:$J$91,9,FALSE()),""))</f>
      </c>
    </row>
    <row r="2478">
      <c r="F2478">
        <f>IF(DATOS!$A2478="","",DATOS!$A2478&amp;"|"&amp;DATOS!$D2478&amp;"|"&amp;DATOS!$E2478&amp;"|"&amp;DATOS!$I2478)</f>
      </c>
      <c r="G2478">
        <f>IF(DATOS!$A2478="",0,IF(CONFIG_METADATA!$B$4&lt;&gt;"OR+EX",--(DATOS!$G2478=CONFIG_METADATA!$B$4),IF(DATOS!$G2478="EX",1,IF(DATOS!$G2478="OR",--(COUNTIFS(nNIA,DATOS!$A2478,nCURSO,DATOS!$D2478,nESPEC,DATOS!$E2478,nASIG,DATOS!$I2478,nEVAL,"EX")=0),0))))</f>
      </c>
      <c r="H2478">
        <f>IF(DATOS!$G2478&lt;&gt;"EX",0,--(COUNTIFS(nNIA,DATOS!$A2478,nCURSO,DATOS!$D2478,nESPEC,DATOS!$E2478,nASIG,DATOS!$I2478,nEVAL,"OR")=0))</f>
      </c>
      <c r="I2478">
        <f>IF(DATOS!$I2478="","",IFERROR(VLOOKUP(DATOS!$I2478,CONFIG_ASIGNATURAS!$B$2:$J$91,9,FALSE()),""))</f>
      </c>
    </row>
    <row r="2479">
      <c r="F2479">
        <f>IF(DATOS!$A2479="","",DATOS!$A2479&amp;"|"&amp;DATOS!$D2479&amp;"|"&amp;DATOS!$E2479&amp;"|"&amp;DATOS!$I2479)</f>
      </c>
      <c r="G2479">
        <f>IF(DATOS!$A2479="",0,IF(CONFIG_METADATA!$B$4&lt;&gt;"OR+EX",--(DATOS!$G2479=CONFIG_METADATA!$B$4),IF(DATOS!$G2479="EX",1,IF(DATOS!$G2479="OR",--(COUNTIFS(nNIA,DATOS!$A2479,nCURSO,DATOS!$D2479,nESPEC,DATOS!$E2479,nASIG,DATOS!$I2479,nEVAL,"EX")=0),0))))</f>
      </c>
      <c r="H2479">
        <f>IF(DATOS!$G2479&lt;&gt;"EX",0,--(COUNTIFS(nNIA,DATOS!$A2479,nCURSO,DATOS!$D2479,nESPEC,DATOS!$E2479,nASIG,DATOS!$I2479,nEVAL,"OR")=0))</f>
      </c>
      <c r="I2479">
        <f>IF(DATOS!$I2479="","",IFERROR(VLOOKUP(DATOS!$I2479,CONFIG_ASIGNATURAS!$B$2:$J$91,9,FALSE()),""))</f>
      </c>
    </row>
    <row r="2480">
      <c r="F2480">
        <f>IF(DATOS!$A2480="","",DATOS!$A2480&amp;"|"&amp;DATOS!$D2480&amp;"|"&amp;DATOS!$E2480&amp;"|"&amp;DATOS!$I2480)</f>
      </c>
      <c r="G2480">
        <f>IF(DATOS!$A2480="",0,IF(CONFIG_METADATA!$B$4&lt;&gt;"OR+EX",--(DATOS!$G2480=CONFIG_METADATA!$B$4),IF(DATOS!$G2480="EX",1,IF(DATOS!$G2480="OR",--(COUNTIFS(nNIA,DATOS!$A2480,nCURSO,DATOS!$D2480,nESPEC,DATOS!$E2480,nASIG,DATOS!$I2480,nEVAL,"EX")=0),0))))</f>
      </c>
      <c r="H2480">
        <f>IF(DATOS!$G2480&lt;&gt;"EX",0,--(COUNTIFS(nNIA,DATOS!$A2480,nCURSO,DATOS!$D2480,nESPEC,DATOS!$E2480,nASIG,DATOS!$I2480,nEVAL,"OR")=0))</f>
      </c>
      <c r="I2480">
        <f>IF(DATOS!$I2480="","",IFERROR(VLOOKUP(DATOS!$I2480,CONFIG_ASIGNATURAS!$B$2:$J$91,9,FALSE()),""))</f>
      </c>
    </row>
    <row r="2481">
      <c r="F2481">
        <f>IF(DATOS!$A2481="","",DATOS!$A2481&amp;"|"&amp;DATOS!$D2481&amp;"|"&amp;DATOS!$E2481&amp;"|"&amp;DATOS!$I2481)</f>
      </c>
      <c r="G2481">
        <f>IF(DATOS!$A2481="",0,IF(CONFIG_METADATA!$B$4&lt;&gt;"OR+EX",--(DATOS!$G2481=CONFIG_METADATA!$B$4),IF(DATOS!$G2481="EX",1,IF(DATOS!$G2481="OR",--(COUNTIFS(nNIA,DATOS!$A2481,nCURSO,DATOS!$D2481,nESPEC,DATOS!$E2481,nASIG,DATOS!$I2481,nEVAL,"EX")=0),0))))</f>
      </c>
      <c r="H2481">
        <f>IF(DATOS!$G2481&lt;&gt;"EX",0,--(COUNTIFS(nNIA,DATOS!$A2481,nCURSO,DATOS!$D2481,nESPEC,DATOS!$E2481,nASIG,DATOS!$I2481,nEVAL,"OR")=0))</f>
      </c>
      <c r="I2481">
        <f>IF(DATOS!$I2481="","",IFERROR(VLOOKUP(DATOS!$I2481,CONFIG_ASIGNATURAS!$B$2:$J$91,9,FALSE()),""))</f>
      </c>
    </row>
    <row r="2482">
      <c r="F2482">
        <f>IF(DATOS!$A2482="","",DATOS!$A2482&amp;"|"&amp;DATOS!$D2482&amp;"|"&amp;DATOS!$E2482&amp;"|"&amp;DATOS!$I2482)</f>
      </c>
      <c r="G2482">
        <f>IF(DATOS!$A2482="",0,IF(CONFIG_METADATA!$B$4&lt;&gt;"OR+EX",--(DATOS!$G2482=CONFIG_METADATA!$B$4),IF(DATOS!$G2482="EX",1,IF(DATOS!$G2482="OR",--(COUNTIFS(nNIA,DATOS!$A2482,nCURSO,DATOS!$D2482,nESPEC,DATOS!$E2482,nASIG,DATOS!$I2482,nEVAL,"EX")=0),0))))</f>
      </c>
      <c r="H2482">
        <f>IF(DATOS!$G2482&lt;&gt;"EX",0,--(COUNTIFS(nNIA,DATOS!$A2482,nCURSO,DATOS!$D2482,nESPEC,DATOS!$E2482,nASIG,DATOS!$I2482,nEVAL,"OR")=0))</f>
      </c>
      <c r="I2482">
        <f>IF(DATOS!$I2482="","",IFERROR(VLOOKUP(DATOS!$I2482,CONFIG_ASIGNATURAS!$B$2:$J$91,9,FALSE()),""))</f>
      </c>
    </row>
    <row r="2483">
      <c r="F2483">
        <f>IF(DATOS!$A2483="","",DATOS!$A2483&amp;"|"&amp;DATOS!$D2483&amp;"|"&amp;DATOS!$E2483&amp;"|"&amp;DATOS!$I2483)</f>
      </c>
      <c r="G2483">
        <f>IF(DATOS!$A2483="",0,IF(CONFIG_METADATA!$B$4&lt;&gt;"OR+EX",--(DATOS!$G2483=CONFIG_METADATA!$B$4),IF(DATOS!$G2483="EX",1,IF(DATOS!$G2483="OR",--(COUNTIFS(nNIA,DATOS!$A2483,nCURSO,DATOS!$D2483,nESPEC,DATOS!$E2483,nASIG,DATOS!$I2483,nEVAL,"EX")=0),0))))</f>
      </c>
      <c r="H2483">
        <f>IF(DATOS!$G2483&lt;&gt;"EX",0,--(COUNTIFS(nNIA,DATOS!$A2483,nCURSO,DATOS!$D2483,nESPEC,DATOS!$E2483,nASIG,DATOS!$I2483,nEVAL,"OR")=0))</f>
      </c>
      <c r="I2483">
        <f>IF(DATOS!$I2483="","",IFERROR(VLOOKUP(DATOS!$I2483,CONFIG_ASIGNATURAS!$B$2:$J$91,9,FALSE()),""))</f>
      </c>
    </row>
    <row r="2484">
      <c r="F2484">
        <f>IF(DATOS!$A2484="","",DATOS!$A2484&amp;"|"&amp;DATOS!$D2484&amp;"|"&amp;DATOS!$E2484&amp;"|"&amp;DATOS!$I2484)</f>
      </c>
      <c r="G2484">
        <f>IF(DATOS!$A2484="",0,IF(CONFIG_METADATA!$B$4&lt;&gt;"OR+EX",--(DATOS!$G2484=CONFIG_METADATA!$B$4),IF(DATOS!$G2484="EX",1,IF(DATOS!$G2484="OR",--(COUNTIFS(nNIA,DATOS!$A2484,nCURSO,DATOS!$D2484,nESPEC,DATOS!$E2484,nASIG,DATOS!$I2484,nEVAL,"EX")=0),0))))</f>
      </c>
      <c r="H2484">
        <f>IF(DATOS!$G2484&lt;&gt;"EX",0,--(COUNTIFS(nNIA,DATOS!$A2484,nCURSO,DATOS!$D2484,nESPEC,DATOS!$E2484,nASIG,DATOS!$I2484,nEVAL,"OR")=0))</f>
      </c>
      <c r="I2484">
        <f>IF(DATOS!$I2484="","",IFERROR(VLOOKUP(DATOS!$I2484,CONFIG_ASIGNATURAS!$B$2:$J$91,9,FALSE()),""))</f>
      </c>
    </row>
    <row r="2485">
      <c r="F2485">
        <f>IF(DATOS!$A2485="","",DATOS!$A2485&amp;"|"&amp;DATOS!$D2485&amp;"|"&amp;DATOS!$E2485&amp;"|"&amp;DATOS!$I2485)</f>
      </c>
      <c r="G2485">
        <f>IF(DATOS!$A2485="",0,IF(CONFIG_METADATA!$B$4&lt;&gt;"OR+EX",--(DATOS!$G2485=CONFIG_METADATA!$B$4),IF(DATOS!$G2485="EX",1,IF(DATOS!$G2485="OR",--(COUNTIFS(nNIA,DATOS!$A2485,nCURSO,DATOS!$D2485,nESPEC,DATOS!$E2485,nASIG,DATOS!$I2485,nEVAL,"EX")=0),0))))</f>
      </c>
      <c r="H2485">
        <f>IF(DATOS!$G2485&lt;&gt;"EX",0,--(COUNTIFS(nNIA,DATOS!$A2485,nCURSO,DATOS!$D2485,nESPEC,DATOS!$E2485,nASIG,DATOS!$I2485,nEVAL,"OR")=0))</f>
      </c>
      <c r="I2485">
        <f>IF(DATOS!$I2485="","",IFERROR(VLOOKUP(DATOS!$I2485,CONFIG_ASIGNATURAS!$B$2:$J$91,9,FALSE()),""))</f>
      </c>
    </row>
    <row r="2486">
      <c r="F2486">
        <f>IF(DATOS!$A2486="","",DATOS!$A2486&amp;"|"&amp;DATOS!$D2486&amp;"|"&amp;DATOS!$E2486&amp;"|"&amp;DATOS!$I2486)</f>
      </c>
      <c r="G2486">
        <f>IF(DATOS!$A2486="",0,IF(CONFIG_METADATA!$B$4&lt;&gt;"OR+EX",--(DATOS!$G2486=CONFIG_METADATA!$B$4),IF(DATOS!$G2486="EX",1,IF(DATOS!$G2486="OR",--(COUNTIFS(nNIA,DATOS!$A2486,nCURSO,DATOS!$D2486,nESPEC,DATOS!$E2486,nASIG,DATOS!$I2486,nEVAL,"EX")=0),0))))</f>
      </c>
      <c r="H2486">
        <f>IF(DATOS!$G2486&lt;&gt;"EX",0,--(COUNTIFS(nNIA,DATOS!$A2486,nCURSO,DATOS!$D2486,nESPEC,DATOS!$E2486,nASIG,DATOS!$I2486,nEVAL,"OR")=0))</f>
      </c>
      <c r="I2486">
        <f>IF(DATOS!$I2486="","",IFERROR(VLOOKUP(DATOS!$I2486,CONFIG_ASIGNATURAS!$B$2:$J$91,9,FALSE()),""))</f>
      </c>
    </row>
    <row r="2487">
      <c r="F2487">
        <f>IF(DATOS!$A2487="","",DATOS!$A2487&amp;"|"&amp;DATOS!$D2487&amp;"|"&amp;DATOS!$E2487&amp;"|"&amp;DATOS!$I2487)</f>
      </c>
      <c r="G2487">
        <f>IF(DATOS!$A2487="",0,IF(CONFIG_METADATA!$B$4&lt;&gt;"OR+EX",--(DATOS!$G2487=CONFIG_METADATA!$B$4),IF(DATOS!$G2487="EX",1,IF(DATOS!$G2487="OR",--(COUNTIFS(nNIA,DATOS!$A2487,nCURSO,DATOS!$D2487,nESPEC,DATOS!$E2487,nASIG,DATOS!$I2487,nEVAL,"EX")=0),0))))</f>
      </c>
      <c r="H2487">
        <f>IF(DATOS!$G2487&lt;&gt;"EX",0,--(COUNTIFS(nNIA,DATOS!$A2487,nCURSO,DATOS!$D2487,nESPEC,DATOS!$E2487,nASIG,DATOS!$I2487,nEVAL,"OR")=0))</f>
      </c>
      <c r="I2487">
        <f>IF(DATOS!$I2487="","",IFERROR(VLOOKUP(DATOS!$I2487,CONFIG_ASIGNATURAS!$B$2:$J$91,9,FALSE()),""))</f>
      </c>
    </row>
    <row r="2488">
      <c r="F2488">
        <f>IF(DATOS!$A2488="","",DATOS!$A2488&amp;"|"&amp;DATOS!$D2488&amp;"|"&amp;DATOS!$E2488&amp;"|"&amp;DATOS!$I2488)</f>
      </c>
      <c r="G2488">
        <f>IF(DATOS!$A2488="",0,IF(CONFIG_METADATA!$B$4&lt;&gt;"OR+EX",--(DATOS!$G2488=CONFIG_METADATA!$B$4),IF(DATOS!$G2488="EX",1,IF(DATOS!$G2488="OR",--(COUNTIFS(nNIA,DATOS!$A2488,nCURSO,DATOS!$D2488,nESPEC,DATOS!$E2488,nASIG,DATOS!$I2488,nEVAL,"EX")=0),0))))</f>
      </c>
      <c r="H2488">
        <f>IF(DATOS!$G2488&lt;&gt;"EX",0,--(COUNTIFS(nNIA,DATOS!$A2488,nCURSO,DATOS!$D2488,nESPEC,DATOS!$E2488,nASIG,DATOS!$I2488,nEVAL,"OR")=0))</f>
      </c>
      <c r="I2488">
        <f>IF(DATOS!$I2488="","",IFERROR(VLOOKUP(DATOS!$I2488,CONFIG_ASIGNATURAS!$B$2:$J$91,9,FALSE()),""))</f>
      </c>
    </row>
    <row r="2489">
      <c r="F2489">
        <f>IF(DATOS!$A2489="","",DATOS!$A2489&amp;"|"&amp;DATOS!$D2489&amp;"|"&amp;DATOS!$E2489&amp;"|"&amp;DATOS!$I2489)</f>
      </c>
      <c r="G2489">
        <f>IF(DATOS!$A2489="",0,IF(CONFIG_METADATA!$B$4&lt;&gt;"OR+EX",--(DATOS!$G2489=CONFIG_METADATA!$B$4),IF(DATOS!$G2489="EX",1,IF(DATOS!$G2489="OR",--(COUNTIFS(nNIA,DATOS!$A2489,nCURSO,DATOS!$D2489,nESPEC,DATOS!$E2489,nASIG,DATOS!$I2489,nEVAL,"EX")=0),0))))</f>
      </c>
      <c r="H2489">
        <f>IF(DATOS!$G2489&lt;&gt;"EX",0,--(COUNTIFS(nNIA,DATOS!$A2489,nCURSO,DATOS!$D2489,nESPEC,DATOS!$E2489,nASIG,DATOS!$I2489,nEVAL,"OR")=0))</f>
      </c>
      <c r="I2489">
        <f>IF(DATOS!$I2489="","",IFERROR(VLOOKUP(DATOS!$I2489,CONFIG_ASIGNATURAS!$B$2:$J$91,9,FALSE()),""))</f>
      </c>
    </row>
    <row r="2490">
      <c r="F2490">
        <f>IF(DATOS!$A2490="","",DATOS!$A2490&amp;"|"&amp;DATOS!$D2490&amp;"|"&amp;DATOS!$E2490&amp;"|"&amp;DATOS!$I2490)</f>
      </c>
      <c r="G2490">
        <f>IF(DATOS!$A2490="",0,IF(CONFIG_METADATA!$B$4&lt;&gt;"OR+EX",--(DATOS!$G2490=CONFIG_METADATA!$B$4),IF(DATOS!$G2490="EX",1,IF(DATOS!$G2490="OR",--(COUNTIFS(nNIA,DATOS!$A2490,nCURSO,DATOS!$D2490,nESPEC,DATOS!$E2490,nASIG,DATOS!$I2490,nEVAL,"EX")=0),0))))</f>
      </c>
      <c r="H2490">
        <f>IF(DATOS!$G2490&lt;&gt;"EX",0,--(COUNTIFS(nNIA,DATOS!$A2490,nCURSO,DATOS!$D2490,nESPEC,DATOS!$E2490,nASIG,DATOS!$I2490,nEVAL,"OR")=0))</f>
      </c>
      <c r="I2490">
        <f>IF(DATOS!$I2490="","",IFERROR(VLOOKUP(DATOS!$I2490,CONFIG_ASIGNATURAS!$B$2:$J$91,9,FALSE()),""))</f>
      </c>
    </row>
    <row r="2491">
      <c r="F2491">
        <f>IF(DATOS!$A2491="","",DATOS!$A2491&amp;"|"&amp;DATOS!$D2491&amp;"|"&amp;DATOS!$E2491&amp;"|"&amp;DATOS!$I2491)</f>
      </c>
      <c r="G2491">
        <f>IF(DATOS!$A2491="",0,IF(CONFIG_METADATA!$B$4&lt;&gt;"OR+EX",--(DATOS!$G2491=CONFIG_METADATA!$B$4),IF(DATOS!$G2491="EX",1,IF(DATOS!$G2491="OR",--(COUNTIFS(nNIA,DATOS!$A2491,nCURSO,DATOS!$D2491,nESPEC,DATOS!$E2491,nASIG,DATOS!$I2491,nEVAL,"EX")=0),0))))</f>
      </c>
      <c r="H2491">
        <f>IF(DATOS!$G2491&lt;&gt;"EX",0,--(COUNTIFS(nNIA,DATOS!$A2491,nCURSO,DATOS!$D2491,nESPEC,DATOS!$E2491,nASIG,DATOS!$I2491,nEVAL,"OR")=0))</f>
      </c>
      <c r="I2491">
        <f>IF(DATOS!$I2491="","",IFERROR(VLOOKUP(DATOS!$I2491,CONFIG_ASIGNATURAS!$B$2:$J$91,9,FALSE()),""))</f>
      </c>
    </row>
    <row r="2492">
      <c r="F2492">
        <f>IF(DATOS!$A2492="","",DATOS!$A2492&amp;"|"&amp;DATOS!$D2492&amp;"|"&amp;DATOS!$E2492&amp;"|"&amp;DATOS!$I2492)</f>
      </c>
      <c r="G2492">
        <f>IF(DATOS!$A2492="",0,IF(CONFIG_METADATA!$B$4&lt;&gt;"OR+EX",--(DATOS!$G2492=CONFIG_METADATA!$B$4),IF(DATOS!$G2492="EX",1,IF(DATOS!$G2492="OR",--(COUNTIFS(nNIA,DATOS!$A2492,nCURSO,DATOS!$D2492,nESPEC,DATOS!$E2492,nASIG,DATOS!$I2492,nEVAL,"EX")=0),0))))</f>
      </c>
      <c r="H2492">
        <f>IF(DATOS!$G2492&lt;&gt;"EX",0,--(COUNTIFS(nNIA,DATOS!$A2492,nCURSO,DATOS!$D2492,nESPEC,DATOS!$E2492,nASIG,DATOS!$I2492,nEVAL,"OR")=0))</f>
      </c>
      <c r="I2492">
        <f>IF(DATOS!$I2492="","",IFERROR(VLOOKUP(DATOS!$I2492,CONFIG_ASIGNATURAS!$B$2:$J$91,9,FALSE()),""))</f>
      </c>
    </row>
    <row r="2493">
      <c r="F2493">
        <f>IF(DATOS!$A2493="","",DATOS!$A2493&amp;"|"&amp;DATOS!$D2493&amp;"|"&amp;DATOS!$E2493&amp;"|"&amp;DATOS!$I2493)</f>
      </c>
      <c r="G2493">
        <f>IF(DATOS!$A2493="",0,IF(CONFIG_METADATA!$B$4&lt;&gt;"OR+EX",--(DATOS!$G2493=CONFIG_METADATA!$B$4),IF(DATOS!$G2493="EX",1,IF(DATOS!$G2493="OR",--(COUNTIFS(nNIA,DATOS!$A2493,nCURSO,DATOS!$D2493,nESPEC,DATOS!$E2493,nASIG,DATOS!$I2493,nEVAL,"EX")=0),0))))</f>
      </c>
      <c r="H2493">
        <f>IF(DATOS!$G2493&lt;&gt;"EX",0,--(COUNTIFS(nNIA,DATOS!$A2493,nCURSO,DATOS!$D2493,nESPEC,DATOS!$E2493,nASIG,DATOS!$I2493,nEVAL,"OR")=0))</f>
      </c>
      <c r="I2493">
        <f>IF(DATOS!$I2493="","",IFERROR(VLOOKUP(DATOS!$I2493,CONFIG_ASIGNATURAS!$B$2:$J$91,9,FALSE()),""))</f>
      </c>
    </row>
    <row r="2494">
      <c r="F2494">
        <f>IF(DATOS!$A2494="","",DATOS!$A2494&amp;"|"&amp;DATOS!$D2494&amp;"|"&amp;DATOS!$E2494&amp;"|"&amp;DATOS!$I2494)</f>
      </c>
      <c r="G2494">
        <f>IF(DATOS!$A2494="",0,IF(CONFIG_METADATA!$B$4&lt;&gt;"OR+EX",--(DATOS!$G2494=CONFIG_METADATA!$B$4),IF(DATOS!$G2494="EX",1,IF(DATOS!$G2494="OR",--(COUNTIFS(nNIA,DATOS!$A2494,nCURSO,DATOS!$D2494,nESPEC,DATOS!$E2494,nASIG,DATOS!$I2494,nEVAL,"EX")=0),0))))</f>
      </c>
      <c r="H2494">
        <f>IF(DATOS!$G2494&lt;&gt;"EX",0,--(COUNTIFS(nNIA,DATOS!$A2494,nCURSO,DATOS!$D2494,nESPEC,DATOS!$E2494,nASIG,DATOS!$I2494,nEVAL,"OR")=0))</f>
      </c>
      <c r="I2494">
        <f>IF(DATOS!$I2494="","",IFERROR(VLOOKUP(DATOS!$I2494,CONFIG_ASIGNATURAS!$B$2:$J$91,9,FALSE()),""))</f>
      </c>
    </row>
    <row r="2495">
      <c r="F2495">
        <f>IF(DATOS!$A2495="","",DATOS!$A2495&amp;"|"&amp;DATOS!$D2495&amp;"|"&amp;DATOS!$E2495&amp;"|"&amp;DATOS!$I2495)</f>
      </c>
      <c r="G2495">
        <f>IF(DATOS!$A2495="",0,IF(CONFIG_METADATA!$B$4&lt;&gt;"OR+EX",--(DATOS!$G2495=CONFIG_METADATA!$B$4),IF(DATOS!$G2495="EX",1,IF(DATOS!$G2495="OR",--(COUNTIFS(nNIA,DATOS!$A2495,nCURSO,DATOS!$D2495,nESPEC,DATOS!$E2495,nASIG,DATOS!$I2495,nEVAL,"EX")=0),0))))</f>
      </c>
      <c r="H2495">
        <f>IF(DATOS!$G2495&lt;&gt;"EX",0,--(COUNTIFS(nNIA,DATOS!$A2495,nCURSO,DATOS!$D2495,nESPEC,DATOS!$E2495,nASIG,DATOS!$I2495,nEVAL,"OR")=0))</f>
      </c>
      <c r="I2495">
        <f>IF(DATOS!$I2495="","",IFERROR(VLOOKUP(DATOS!$I2495,CONFIG_ASIGNATURAS!$B$2:$J$91,9,FALSE()),""))</f>
      </c>
    </row>
    <row r="2496">
      <c r="F2496">
        <f>IF(DATOS!$A2496="","",DATOS!$A2496&amp;"|"&amp;DATOS!$D2496&amp;"|"&amp;DATOS!$E2496&amp;"|"&amp;DATOS!$I2496)</f>
      </c>
      <c r="G2496">
        <f>IF(DATOS!$A2496="",0,IF(CONFIG_METADATA!$B$4&lt;&gt;"OR+EX",--(DATOS!$G2496=CONFIG_METADATA!$B$4),IF(DATOS!$G2496="EX",1,IF(DATOS!$G2496="OR",--(COUNTIFS(nNIA,DATOS!$A2496,nCURSO,DATOS!$D2496,nESPEC,DATOS!$E2496,nASIG,DATOS!$I2496,nEVAL,"EX")=0),0))))</f>
      </c>
      <c r="H2496">
        <f>IF(DATOS!$G2496&lt;&gt;"EX",0,--(COUNTIFS(nNIA,DATOS!$A2496,nCURSO,DATOS!$D2496,nESPEC,DATOS!$E2496,nASIG,DATOS!$I2496,nEVAL,"OR")=0))</f>
      </c>
      <c r="I2496">
        <f>IF(DATOS!$I2496="","",IFERROR(VLOOKUP(DATOS!$I2496,CONFIG_ASIGNATURAS!$B$2:$J$91,9,FALSE()),""))</f>
      </c>
    </row>
    <row r="2497">
      <c r="F2497">
        <f>IF(DATOS!$A2497="","",DATOS!$A2497&amp;"|"&amp;DATOS!$D2497&amp;"|"&amp;DATOS!$E2497&amp;"|"&amp;DATOS!$I2497)</f>
      </c>
      <c r="G2497">
        <f>IF(DATOS!$A2497="",0,IF(CONFIG_METADATA!$B$4&lt;&gt;"OR+EX",--(DATOS!$G2497=CONFIG_METADATA!$B$4),IF(DATOS!$G2497="EX",1,IF(DATOS!$G2497="OR",--(COUNTIFS(nNIA,DATOS!$A2497,nCURSO,DATOS!$D2497,nESPEC,DATOS!$E2497,nASIG,DATOS!$I2497,nEVAL,"EX")=0),0))))</f>
      </c>
      <c r="H2497">
        <f>IF(DATOS!$G2497&lt;&gt;"EX",0,--(COUNTIFS(nNIA,DATOS!$A2497,nCURSO,DATOS!$D2497,nESPEC,DATOS!$E2497,nASIG,DATOS!$I2497,nEVAL,"OR")=0))</f>
      </c>
      <c r="I2497">
        <f>IF(DATOS!$I2497="","",IFERROR(VLOOKUP(DATOS!$I2497,CONFIG_ASIGNATURAS!$B$2:$J$91,9,FALSE()),""))</f>
      </c>
    </row>
    <row r="2498">
      <c r="F2498">
        <f>IF(DATOS!$A2498="","",DATOS!$A2498&amp;"|"&amp;DATOS!$D2498&amp;"|"&amp;DATOS!$E2498&amp;"|"&amp;DATOS!$I2498)</f>
      </c>
      <c r="G2498">
        <f>IF(DATOS!$A2498="",0,IF(CONFIG_METADATA!$B$4&lt;&gt;"OR+EX",--(DATOS!$G2498=CONFIG_METADATA!$B$4),IF(DATOS!$G2498="EX",1,IF(DATOS!$G2498="OR",--(COUNTIFS(nNIA,DATOS!$A2498,nCURSO,DATOS!$D2498,nESPEC,DATOS!$E2498,nASIG,DATOS!$I2498,nEVAL,"EX")=0),0))))</f>
      </c>
      <c r="H2498">
        <f>IF(DATOS!$G2498&lt;&gt;"EX",0,--(COUNTIFS(nNIA,DATOS!$A2498,nCURSO,DATOS!$D2498,nESPEC,DATOS!$E2498,nASIG,DATOS!$I2498,nEVAL,"OR")=0))</f>
      </c>
      <c r="I2498">
        <f>IF(DATOS!$I2498="","",IFERROR(VLOOKUP(DATOS!$I2498,CONFIG_ASIGNATURAS!$B$2:$J$91,9,FALSE()),""))</f>
      </c>
    </row>
    <row r="2499">
      <c r="F2499">
        <f>IF(DATOS!$A2499="","",DATOS!$A2499&amp;"|"&amp;DATOS!$D2499&amp;"|"&amp;DATOS!$E2499&amp;"|"&amp;DATOS!$I2499)</f>
      </c>
      <c r="G2499">
        <f>IF(DATOS!$A2499="",0,IF(CONFIG_METADATA!$B$4&lt;&gt;"OR+EX",--(DATOS!$G2499=CONFIG_METADATA!$B$4),IF(DATOS!$G2499="EX",1,IF(DATOS!$G2499="OR",--(COUNTIFS(nNIA,DATOS!$A2499,nCURSO,DATOS!$D2499,nESPEC,DATOS!$E2499,nASIG,DATOS!$I2499,nEVAL,"EX")=0),0))))</f>
      </c>
      <c r="H2499">
        <f>IF(DATOS!$G2499&lt;&gt;"EX",0,--(COUNTIFS(nNIA,DATOS!$A2499,nCURSO,DATOS!$D2499,nESPEC,DATOS!$E2499,nASIG,DATOS!$I2499,nEVAL,"OR")=0))</f>
      </c>
      <c r="I2499">
        <f>IF(DATOS!$I2499="","",IFERROR(VLOOKUP(DATOS!$I2499,CONFIG_ASIGNATURAS!$B$2:$J$91,9,FALSE()),""))</f>
      </c>
    </row>
    <row r="2500">
      <c r="F2500">
        <f>IF(DATOS!$A2500="","",DATOS!$A2500&amp;"|"&amp;DATOS!$D2500&amp;"|"&amp;DATOS!$E2500&amp;"|"&amp;DATOS!$I2500)</f>
      </c>
      <c r="G2500">
        <f>IF(DATOS!$A2500="",0,IF(CONFIG_METADATA!$B$4&lt;&gt;"OR+EX",--(DATOS!$G2500=CONFIG_METADATA!$B$4),IF(DATOS!$G2500="EX",1,IF(DATOS!$G2500="OR",--(COUNTIFS(nNIA,DATOS!$A2500,nCURSO,DATOS!$D2500,nESPEC,DATOS!$E2500,nASIG,DATOS!$I2500,nEVAL,"EX")=0),0))))</f>
      </c>
      <c r="H2500">
        <f>IF(DATOS!$G2500&lt;&gt;"EX",0,--(COUNTIFS(nNIA,DATOS!$A2500,nCURSO,DATOS!$D2500,nESPEC,DATOS!$E2500,nASIG,DATOS!$I2500,nEVAL,"OR")=0))</f>
      </c>
      <c r="I2500">
        <f>IF(DATOS!$I2500="","",IFERROR(VLOOKUP(DATOS!$I2500,CONFIG_ASIGNATURAS!$B$2:$J$91,9,FALSE()),""))</f>
      </c>
    </row>
    <row r="2501">
      <c r="F2501">
        <f>IF(DATOS!$A2501="","",DATOS!$A2501&amp;"|"&amp;DATOS!$D2501&amp;"|"&amp;DATOS!$E2501&amp;"|"&amp;DATOS!$I2501)</f>
      </c>
      <c r="G2501">
        <f>IF(DATOS!$A2501="",0,IF(CONFIG_METADATA!$B$4&lt;&gt;"OR+EX",--(DATOS!$G2501=CONFIG_METADATA!$B$4),IF(DATOS!$G2501="EX",1,IF(DATOS!$G2501="OR",--(COUNTIFS(nNIA,DATOS!$A2501,nCURSO,DATOS!$D2501,nESPEC,DATOS!$E2501,nASIG,DATOS!$I2501,nEVAL,"EX")=0),0))))</f>
      </c>
      <c r="H2501">
        <f>IF(DATOS!$G2501&lt;&gt;"EX",0,--(COUNTIFS(nNIA,DATOS!$A2501,nCURSO,DATOS!$D2501,nESPEC,DATOS!$E2501,nASIG,DATOS!$I2501,nEVAL,"OR")=0))</f>
      </c>
      <c r="I2501">
        <f>IF(DATOS!$I2501="","",IFERROR(VLOOKUP(DATOS!$I2501,CONFIG_ASIGNATURAS!$B$2:$J$91,9,FALSE()),""))</f>
      </c>
    </row>
    <row r="2502">
      <c r="F2502">
        <f>IF(DATOS!$A2502="","",DATOS!$A2502&amp;"|"&amp;DATOS!$D2502&amp;"|"&amp;DATOS!$E2502&amp;"|"&amp;DATOS!$I2502)</f>
      </c>
      <c r="G2502">
        <f>IF(DATOS!$A2502="",0,IF(CONFIG_METADATA!$B$4&lt;&gt;"OR+EX",--(DATOS!$G2502=CONFIG_METADATA!$B$4),IF(DATOS!$G2502="EX",1,IF(DATOS!$G2502="OR",--(COUNTIFS(nNIA,DATOS!$A2502,nCURSO,DATOS!$D2502,nESPEC,DATOS!$E2502,nASIG,DATOS!$I2502,nEVAL,"EX")=0),0))))</f>
      </c>
      <c r="H2502">
        <f>IF(DATOS!$G2502&lt;&gt;"EX",0,--(COUNTIFS(nNIA,DATOS!$A2502,nCURSO,DATOS!$D2502,nESPEC,DATOS!$E2502,nASIG,DATOS!$I2502,nEVAL,"OR")=0))</f>
      </c>
      <c r="I2502">
        <f>IF(DATOS!$I2502="","",IFERROR(VLOOKUP(DATOS!$I2502,CONFIG_ASIGNATURAS!$B$2:$J$91,9,FALSE()),""))</f>
      </c>
    </row>
    <row r="2503">
      <c r="F2503">
        <f>IF(DATOS!$A2503="","",DATOS!$A2503&amp;"|"&amp;DATOS!$D2503&amp;"|"&amp;DATOS!$E2503&amp;"|"&amp;DATOS!$I2503)</f>
      </c>
      <c r="G2503">
        <f>IF(DATOS!$A2503="",0,IF(CONFIG_METADATA!$B$4&lt;&gt;"OR+EX",--(DATOS!$G2503=CONFIG_METADATA!$B$4),IF(DATOS!$G2503="EX",1,IF(DATOS!$G2503="OR",--(COUNTIFS(nNIA,DATOS!$A2503,nCURSO,DATOS!$D2503,nESPEC,DATOS!$E2503,nASIG,DATOS!$I2503,nEVAL,"EX")=0),0))))</f>
      </c>
      <c r="H2503">
        <f>IF(DATOS!$G2503&lt;&gt;"EX",0,--(COUNTIFS(nNIA,DATOS!$A2503,nCURSO,DATOS!$D2503,nESPEC,DATOS!$E2503,nASIG,DATOS!$I2503,nEVAL,"OR")=0))</f>
      </c>
      <c r="I2503">
        <f>IF(DATOS!$I2503="","",IFERROR(VLOOKUP(DATOS!$I2503,CONFIG_ASIGNATURAS!$B$2:$J$91,9,FALSE()),""))</f>
      </c>
    </row>
    <row r="2504">
      <c r="F2504">
        <f>IF(DATOS!$A2504="","",DATOS!$A2504&amp;"|"&amp;DATOS!$D2504&amp;"|"&amp;DATOS!$E2504&amp;"|"&amp;DATOS!$I2504)</f>
      </c>
      <c r="G2504">
        <f>IF(DATOS!$A2504="",0,IF(CONFIG_METADATA!$B$4&lt;&gt;"OR+EX",--(DATOS!$G2504=CONFIG_METADATA!$B$4),IF(DATOS!$G2504="EX",1,IF(DATOS!$G2504="OR",--(COUNTIFS(nNIA,DATOS!$A2504,nCURSO,DATOS!$D2504,nESPEC,DATOS!$E2504,nASIG,DATOS!$I2504,nEVAL,"EX")=0),0))))</f>
      </c>
      <c r="H2504">
        <f>IF(DATOS!$G2504&lt;&gt;"EX",0,--(COUNTIFS(nNIA,DATOS!$A2504,nCURSO,DATOS!$D2504,nESPEC,DATOS!$E2504,nASIG,DATOS!$I2504,nEVAL,"OR")=0))</f>
      </c>
      <c r="I2504">
        <f>IF(DATOS!$I2504="","",IFERROR(VLOOKUP(DATOS!$I2504,CONFIG_ASIGNATURAS!$B$2:$J$91,9,FALSE()),""))</f>
      </c>
    </row>
    <row r="2505">
      <c r="F2505">
        <f>IF(DATOS!$A2505="","",DATOS!$A2505&amp;"|"&amp;DATOS!$D2505&amp;"|"&amp;DATOS!$E2505&amp;"|"&amp;DATOS!$I2505)</f>
      </c>
      <c r="G2505">
        <f>IF(DATOS!$A2505="",0,IF(CONFIG_METADATA!$B$4&lt;&gt;"OR+EX",--(DATOS!$G2505=CONFIG_METADATA!$B$4),IF(DATOS!$G2505="EX",1,IF(DATOS!$G2505="OR",--(COUNTIFS(nNIA,DATOS!$A2505,nCURSO,DATOS!$D2505,nESPEC,DATOS!$E2505,nASIG,DATOS!$I2505,nEVAL,"EX")=0),0))))</f>
      </c>
      <c r="H2505">
        <f>IF(DATOS!$G2505&lt;&gt;"EX",0,--(COUNTIFS(nNIA,DATOS!$A2505,nCURSO,DATOS!$D2505,nESPEC,DATOS!$E2505,nASIG,DATOS!$I2505,nEVAL,"OR")=0))</f>
      </c>
      <c r="I2505">
        <f>IF(DATOS!$I2505="","",IFERROR(VLOOKUP(DATOS!$I2505,CONFIG_ASIGNATURAS!$B$2:$J$91,9,FALSE()),""))</f>
      </c>
    </row>
    <row r="2506">
      <c r="F2506">
        <f>IF(DATOS!$A2506="","",DATOS!$A2506&amp;"|"&amp;DATOS!$D2506&amp;"|"&amp;DATOS!$E2506&amp;"|"&amp;DATOS!$I2506)</f>
      </c>
      <c r="G2506">
        <f>IF(DATOS!$A2506="",0,IF(CONFIG_METADATA!$B$4&lt;&gt;"OR+EX",--(DATOS!$G2506=CONFIG_METADATA!$B$4),IF(DATOS!$G2506="EX",1,IF(DATOS!$G2506="OR",--(COUNTIFS(nNIA,DATOS!$A2506,nCURSO,DATOS!$D2506,nESPEC,DATOS!$E2506,nASIG,DATOS!$I2506,nEVAL,"EX")=0),0))))</f>
      </c>
      <c r="H2506">
        <f>IF(DATOS!$G2506&lt;&gt;"EX",0,--(COUNTIFS(nNIA,DATOS!$A2506,nCURSO,DATOS!$D2506,nESPEC,DATOS!$E2506,nASIG,DATOS!$I2506,nEVAL,"OR")=0))</f>
      </c>
      <c r="I2506">
        <f>IF(DATOS!$I2506="","",IFERROR(VLOOKUP(DATOS!$I2506,CONFIG_ASIGNATURAS!$B$2:$J$91,9,FALSE()),""))</f>
      </c>
    </row>
    <row r="2507">
      <c r="F2507">
        <f>IF(DATOS!$A2507="","",DATOS!$A2507&amp;"|"&amp;DATOS!$D2507&amp;"|"&amp;DATOS!$E2507&amp;"|"&amp;DATOS!$I2507)</f>
      </c>
      <c r="G2507">
        <f>IF(DATOS!$A2507="",0,IF(CONFIG_METADATA!$B$4&lt;&gt;"OR+EX",--(DATOS!$G2507=CONFIG_METADATA!$B$4),IF(DATOS!$G2507="EX",1,IF(DATOS!$G2507="OR",--(COUNTIFS(nNIA,DATOS!$A2507,nCURSO,DATOS!$D2507,nESPEC,DATOS!$E2507,nASIG,DATOS!$I2507,nEVAL,"EX")=0),0))))</f>
      </c>
      <c r="H2507">
        <f>IF(DATOS!$G2507&lt;&gt;"EX",0,--(COUNTIFS(nNIA,DATOS!$A2507,nCURSO,DATOS!$D2507,nESPEC,DATOS!$E2507,nASIG,DATOS!$I2507,nEVAL,"OR")=0))</f>
      </c>
      <c r="I2507">
        <f>IF(DATOS!$I2507="","",IFERROR(VLOOKUP(DATOS!$I2507,CONFIG_ASIGNATURAS!$B$2:$J$91,9,FALSE()),""))</f>
      </c>
    </row>
    <row r="2508">
      <c r="F2508">
        <f>IF(DATOS!$A2508="","",DATOS!$A2508&amp;"|"&amp;DATOS!$D2508&amp;"|"&amp;DATOS!$E2508&amp;"|"&amp;DATOS!$I2508)</f>
      </c>
      <c r="G2508">
        <f>IF(DATOS!$A2508="",0,IF(CONFIG_METADATA!$B$4&lt;&gt;"OR+EX",--(DATOS!$G2508=CONFIG_METADATA!$B$4),IF(DATOS!$G2508="EX",1,IF(DATOS!$G2508="OR",--(COUNTIFS(nNIA,DATOS!$A2508,nCURSO,DATOS!$D2508,nESPEC,DATOS!$E2508,nASIG,DATOS!$I2508,nEVAL,"EX")=0),0))))</f>
      </c>
      <c r="H2508">
        <f>IF(DATOS!$G2508&lt;&gt;"EX",0,--(COUNTIFS(nNIA,DATOS!$A2508,nCURSO,DATOS!$D2508,nESPEC,DATOS!$E2508,nASIG,DATOS!$I2508,nEVAL,"OR")=0))</f>
      </c>
      <c r="I2508">
        <f>IF(DATOS!$I2508="","",IFERROR(VLOOKUP(DATOS!$I2508,CONFIG_ASIGNATURAS!$B$2:$J$91,9,FALSE()),""))</f>
      </c>
    </row>
    <row r="2509">
      <c r="F2509">
        <f>IF(DATOS!$A2509="","",DATOS!$A2509&amp;"|"&amp;DATOS!$D2509&amp;"|"&amp;DATOS!$E2509&amp;"|"&amp;DATOS!$I2509)</f>
      </c>
      <c r="G2509">
        <f>IF(DATOS!$A2509="",0,IF(CONFIG_METADATA!$B$4&lt;&gt;"OR+EX",--(DATOS!$G2509=CONFIG_METADATA!$B$4),IF(DATOS!$G2509="EX",1,IF(DATOS!$G2509="OR",--(COUNTIFS(nNIA,DATOS!$A2509,nCURSO,DATOS!$D2509,nESPEC,DATOS!$E2509,nASIG,DATOS!$I2509,nEVAL,"EX")=0),0))))</f>
      </c>
      <c r="H2509">
        <f>IF(DATOS!$G2509&lt;&gt;"EX",0,--(COUNTIFS(nNIA,DATOS!$A2509,nCURSO,DATOS!$D2509,nESPEC,DATOS!$E2509,nASIG,DATOS!$I2509,nEVAL,"OR")=0))</f>
      </c>
      <c r="I2509">
        <f>IF(DATOS!$I2509="","",IFERROR(VLOOKUP(DATOS!$I2509,CONFIG_ASIGNATURAS!$B$2:$J$91,9,FALSE()),""))</f>
      </c>
    </row>
    <row r="2510">
      <c r="F2510">
        <f>IF(DATOS!$A2510="","",DATOS!$A2510&amp;"|"&amp;DATOS!$D2510&amp;"|"&amp;DATOS!$E2510&amp;"|"&amp;DATOS!$I2510)</f>
      </c>
      <c r="G2510">
        <f>IF(DATOS!$A2510="",0,IF(CONFIG_METADATA!$B$4&lt;&gt;"OR+EX",--(DATOS!$G2510=CONFIG_METADATA!$B$4),IF(DATOS!$G2510="EX",1,IF(DATOS!$G2510="OR",--(COUNTIFS(nNIA,DATOS!$A2510,nCURSO,DATOS!$D2510,nESPEC,DATOS!$E2510,nASIG,DATOS!$I2510,nEVAL,"EX")=0),0))))</f>
      </c>
      <c r="H2510">
        <f>IF(DATOS!$G2510&lt;&gt;"EX",0,--(COUNTIFS(nNIA,DATOS!$A2510,nCURSO,DATOS!$D2510,nESPEC,DATOS!$E2510,nASIG,DATOS!$I2510,nEVAL,"OR")=0))</f>
      </c>
      <c r="I2510">
        <f>IF(DATOS!$I2510="","",IFERROR(VLOOKUP(DATOS!$I2510,CONFIG_ASIGNATURAS!$B$2:$J$91,9,FALSE()),""))</f>
      </c>
    </row>
    <row r="2511">
      <c r="F2511">
        <f>IF(DATOS!$A2511="","",DATOS!$A2511&amp;"|"&amp;DATOS!$D2511&amp;"|"&amp;DATOS!$E2511&amp;"|"&amp;DATOS!$I2511)</f>
      </c>
      <c r="G2511">
        <f>IF(DATOS!$A2511="",0,IF(CONFIG_METADATA!$B$4&lt;&gt;"OR+EX",--(DATOS!$G2511=CONFIG_METADATA!$B$4),IF(DATOS!$G2511="EX",1,IF(DATOS!$G2511="OR",--(COUNTIFS(nNIA,DATOS!$A2511,nCURSO,DATOS!$D2511,nESPEC,DATOS!$E2511,nASIG,DATOS!$I2511,nEVAL,"EX")=0),0))))</f>
      </c>
      <c r="H2511">
        <f>IF(DATOS!$G2511&lt;&gt;"EX",0,--(COUNTIFS(nNIA,DATOS!$A2511,nCURSO,DATOS!$D2511,nESPEC,DATOS!$E2511,nASIG,DATOS!$I2511,nEVAL,"OR")=0))</f>
      </c>
      <c r="I2511">
        <f>IF(DATOS!$I2511="","",IFERROR(VLOOKUP(DATOS!$I2511,CONFIG_ASIGNATURAS!$B$2:$J$91,9,FALSE()),""))</f>
      </c>
    </row>
    <row r="2512">
      <c r="F2512">
        <f>IF(DATOS!$A2512="","",DATOS!$A2512&amp;"|"&amp;DATOS!$D2512&amp;"|"&amp;DATOS!$E2512&amp;"|"&amp;DATOS!$I2512)</f>
      </c>
      <c r="G2512">
        <f>IF(DATOS!$A2512="",0,IF(CONFIG_METADATA!$B$4&lt;&gt;"OR+EX",--(DATOS!$G2512=CONFIG_METADATA!$B$4),IF(DATOS!$G2512="EX",1,IF(DATOS!$G2512="OR",--(COUNTIFS(nNIA,DATOS!$A2512,nCURSO,DATOS!$D2512,nESPEC,DATOS!$E2512,nASIG,DATOS!$I2512,nEVAL,"EX")=0),0))))</f>
      </c>
      <c r="H2512">
        <f>IF(DATOS!$G2512&lt;&gt;"EX",0,--(COUNTIFS(nNIA,DATOS!$A2512,nCURSO,DATOS!$D2512,nESPEC,DATOS!$E2512,nASIG,DATOS!$I2512,nEVAL,"OR")=0))</f>
      </c>
      <c r="I2512">
        <f>IF(DATOS!$I2512="","",IFERROR(VLOOKUP(DATOS!$I2512,CONFIG_ASIGNATURAS!$B$2:$J$91,9,FALSE()),""))</f>
      </c>
    </row>
    <row r="2513">
      <c r="F2513">
        <f>IF(DATOS!$A2513="","",DATOS!$A2513&amp;"|"&amp;DATOS!$D2513&amp;"|"&amp;DATOS!$E2513&amp;"|"&amp;DATOS!$I2513)</f>
      </c>
      <c r="G2513">
        <f>IF(DATOS!$A2513="",0,IF(CONFIG_METADATA!$B$4&lt;&gt;"OR+EX",--(DATOS!$G2513=CONFIG_METADATA!$B$4),IF(DATOS!$G2513="EX",1,IF(DATOS!$G2513="OR",--(COUNTIFS(nNIA,DATOS!$A2513,nCURSO,DATOS!$D2513,nESPEC,DATOS!$E2513,nASIG,DATOS!$I2513,nEVAL,"EX")=0),0))))</f>
      </c>
      <c r="H2513">
        <f>IF(DATOS!$G2513&lt;&gt;"EX",0,--(COUNTIFS(nNIA,DATOS!$A2513,nCURSO,DATOS!$D2513,nESPEC,DATOS!$E2513,nASIG,DATOS!$I2513,nEVAL,"OR")=0))</f>
      </c>
      <c r="I2513">
        <f>IF(DATOS!$I2513="","",IFERROR(VLOOKUP(DATOS!$I2513,CONFIG_ASIGNATURAS!$B$2:$J$91,9,FALSE()),""))</f>
      </c>
    </row>
    <row r="2514">
      <c r="F2514">
        <f>IF(DATOS!$A2514="","",DATOS!$A2514&amp;"|"&amp;DATOS!$D2514&amp;"|"&amp;DATOS!$E2514&amp;"|"&amp;DATOS!$I2514)</f>
      </c>
      <c r="G2514">
        <f>IF(DATOS!$A2514="",0,IF(CONFIG_METADATA!$B$4&lt;&gt;"OR+EX",--(DATOS!$G2514=CONFIG_METADATA!$B$4),IF(DATOS!$G2514="EX",1,IF(DATOS!$G2514="OR",--(COUNTIFS(nNIA,DATOS!$A2514,nCURSO,DATOS!$D2514,nESPEC,DATOS!$E2514,nASIG,DATOS!$I2514,nEVAL,"EX")=0),0))))</f>
      </c>
      <c r="H2514">
        <f>IF(DATOS!$G2514&lt;&gt;"EX",0,--(COUNTIFS(nNIA,DATOS!$A2514,nCURSO,DATOS!$D2514,nESPEC,DATOS!$E2514,nASIG,DATOS!$I2514,nEVAL,"OR")=0))</f>
      </c>
      <c r="I2514">
        <f>IF(DATOS!$I2514="","",IFERROR(VLOOKUP(DATOS!$I2514,CONFIG_ASIGNATURAS!$B$2:$J$91,9,FALSE()),""))</f>
      </c>
    </row>
    <row r="2515">
      <c r="F2515">
        <f>IF(DATOS!$A2515="","",DATOS!$A2515&amp;"|"&amp;DATOS!$D2515&amp;"|"&amp;DATOS!$E2515&amp;"|"&amp;DATOS!$I2515)</f>
      </c>
      <c r="G2515">
        <f>IF(DATOS!$A2515="",0,IF(CONFIG_METADATA!$B$4&lt;&gt;"OR+EX",--(DATOS!$G2515=CONFIG_METADATA!$B$4),IF(DATOS!$G2515="EX",1,IF(DATOS!$G2515="OR",--(COUNTIFS(nNIA,DATOS!$A2515,nCURSO,DATOS!$D2515,nESPEC,DATOS!$E2515,nASIG,DATOS!$I2515,nEVAL,"EX")=0),0))))</f>
      </c>
      <c r="H2515">
        <f>IF(DATOS!$G2515&lt;&gt;"EX",0,--(COUNTIFS(nNIA,DATOS!$A2515,nCURSO,DATOS!$D2515,nESPEC,DATOS!$E2515,nASIG,DATOS!$I2515,nEVAL,"OR")=0))</f>
      </c>
      <c r="I2515">
        <f>IF(DATOS!$I2515="","",IFERROR(VLOOKUP(DATOS!$I2515,CONFIG_ASIGNATURAS!$B$2:$J$91,9,FALSE()),""))</f>
      </c>
    </row>
    <row r="2516">
      <c r="F2516">
        <f>IF(DATOS!$A2516="","",DATOS!$A2516&amp;"|"&amp;DATOS!$D2516&amp;"|"&amp;DATOS!$E2516&amp;"|"&amp;DATOS!$I2516)</f>
      </c>
      <c r="G2516">
        <f>IF(DATOS!$A2516="",0,IF(CONFIG_METADATA!$B$4&lt;&gt;"OR+EX",--(DATOS!$G2516=CONFIG_METADATA!$B$4),IF(DATOS!$G2516="EX",1,IF(DATOS!$G2516="OR",--(COUNTIFS(nNIA,DATOS!$A2516,nCURSO,DATOS!$D2516,nESPEC,DATOS!$E2516,nASIG,DATOS!$I2516,nEVAL,"EX")=0),0))))</f>
      </c>
      <c r="H2516">
        <f>IF(DATOS!$G2516&lt;&gt;"EX",0,--(COUNTIFS(nNIA,DATOS!$A2516,nCURSO,DATOS!$D2516,nESPEC,DATOS!$E2516,nASIG,DATOS!$I2516,nEVAL,"OR")=0))</f>
      </c>
      <c r="I2516">
        <f>IF(DATOS!$I2516="","",IFERROR(VLOOKUP(DATOS!$I2516,CONFIG_ASIGNATURAS!$B$2:$J$91,9,FALSE()),""))</f>
      </c>
    </row>
    <row r="2517">
      <c r="F2517">
        <f>IF(DATOS!$A2517="","",DATOS!$A2517&amp;"|"&amp;DATOS!$D2517&amp;"|"&amp;DATOS!$E2517&amp;"|"&amp;DATOS!$I2517)</f>
      </c>
      <c r="G2517">
        <f>IF(DATOS!$A2517="",0,IF(CONFIG_METADATA!$B$4&lt;&gt;"OR+EX",--(DATOS!$G2517=CONFIG_METADATA!$B$4),IF(DATOS!$G2517="EX",1,IF(DATOS!$G2517="OR",--(COUNTIFS(nNIA,DATOS!$A2517,nCURSO,DATOS!$D2517,nESPEC,DATOS!$E2517,nASIG,DATOS!$I2517,nEVAL,"EX")=0),0))))</f>
      </c>
      <c r="H2517">
        <f>IF(DATOS!$G2517&lt;&gt;"EX",0,--(COUNTIFS(nNIA,DATOS!$A2517,nCURSO,DATOS!$D2517,nESPEC,DATOS!$E2517,nASIG,DATOS!$I2517,nEVAL,"OR")=0))</f>
      </c>
      <c r="I2517">
        <f>IF(DATOS!$I2517="","",IFERROR(VLOOKUP(DATOS!$I2517,CONFIG_ASIGNATURAS!$B$2:$J$91,9,FALSE()),""))</f>
      </c>
    </row>
    <row r="2518">
      <c r="F2518">
        <f>IF(DATOS!$A2518="","",DATOS!$A2518&amp;"|"&amp;DATOS!$D2518&amp;"|"&amp;DATOS!$E2518&amp;"|"&amp;DATOS!$I2518)</f>
      </c>
      <c r="G2518">
        <f>IF(DATOS!$A2518="",0,IF(CONFIG_METADATA!$B$4&lt;&gt;"OR+EX",--(DATOS!$G2518=CONFIG_METADATA!$B$4),IF(DATOS!$G2518="EX",1,IF(DATOS!$G2518="OR",--(COUNTIFS(nNIA,DATOS!$A2518,nCURSO,DATOS!$D2518,nESPEC,DATOS!$E2518,nASIG,DATOS!$I2518,nEVAL,"EX")=0),0))))</f>
      </c>
      <c r="H2518">
        <f>IF(DATOS!$G2518&lt;&gt;"EX",0,--(COUNTIFS(nNIA,DATOS!$A2518,nCURSO,DATOS!$D2518,nESPEC,DATOS!$E2518,nASIG,DATOS!$I2518,nEVAL,"OR")=0))</f>
      </c>
      <c r="I2518">
        <f>IF(DATOS!$I2518="","",IFERROR(VLOOKUP(DATOS!$I2518,CONFIG_ASIGNATURAS!$B$2:$J$91,9,FALSE()),""))</f>
      </c>
    </row>
    <row r="2519">
      <c r="F2519">
        <f>IF(DATOS!$A2519="","",DATOS!$A2519&amp;"|"&amp;DATOS!$D2519&amp;"|"&amp;DATOS!$E2519&amp;"|"&amp;DATOS!$I2519)</f>
      </c>
      <c r="G2519">
        <f>IF(DATOS!$A2519="",0,IF(CONFIG_METADATA!$B$4&lt;&gt;"OR+EX",--(DATOS!$G2519=CONFIG_METADATA!$B$4),IF(DATOS!$G2519="EX",1,IF(DATOS!$G2519="OR",--(COUNTIFS(nNIA,DATOS!$A2519,nCURSO,DATOS!$D2519,nESPEC,DATOS!$E2519,nASIG,DATOS!$I2519,nEVAL,"EX")=0),0))))</f>
      </c>
      <c r="H2519">
        <f>IF(DATOS!$G2519&lt;&gt;"EX",0,--(COUNTIFS(nNIA,DATOS!$A2519,nCURSO,DATOS!$D2519,nESPEC,DATOS!$E2519,nASIG,DATOS!$I2519,nEVAL,"OR")=0))</f>
      </c>
      <c r="I2519">
        <f>IF(DATOS!$I2519="","",IFERROR(VLOOKUP(DATOS!$I2519,CONFIG_ASIGNATURAS!$B$2:$J$91,9,FALSE()),""))</f>
      </c>
    </row>
    <row r="2520">
      <c r="F2520">
        <f>IF(DATOS!$A2520="","",DATOS!$A2520&amp;"|"&amp;DATOS!$D2520&amp;"|"&amp;DATOS!$E2520&amp;"|"&amp;DATOS!$I2520)</f>
      </c>
      <c r="G2520">
        <f>IF(DATOS!$A2520="",0,IF(CONFIG_METADATA!$B$4&lt;&gt;"OR+EX",--(DATOS!$G2520=CONFIG_METADATA!$B$4),IF(DATOS!$G2520="EX",1,IF(DATOS!$G2520="OR",--(COUNTIFS(nNIA,DATOS!$A2520,nCURSO,DATOS!$D2520,nESPEC,DATOS!$E2520,nASIG,DATOS!$I2520,nEVAL,"EX")=0),0))))</f>
      </c>
      <c r="H2520">
        <f>IF(DATOS!$G2520&lt;&gt;"EX",0,--(COUNTIFS(nNIA,DATOS!$A2520,nCURSO,DATOS!$D2520,nESPEC,DATOS!$E2520,nASIG,DATOS!$I2520,nEVAL,"OR")=0))</f>
      </c>
      <c r="I2520">
        <f>IF(DATOS!$I2520="","",IFERROR(VLOOKUP(DATOS!$I2520,CONFIG_ASIGNATURAS!$B$2:$J$91,9,FALSE()),""))</f>
      </c>
    </row>
    <row r="2521">
      <c r="F2521">
        <f>IF(DATOS!$A2521="","",DATOS!$A2521&amp;"|"&amp;DATOS!$D2521&amp;"|"&amp;DATOS!$E2521&amp;"|"&amp;DATOS!$I2521)</f>
      </c>
      <c r="G2521">
        <f>IF(DATOS!$A2521="",0,IF(CONFIG_METADATA!$B$4&lt;&gt;"OR+EX",--(DATOS!$G2521=CONFIG_METADATA!$B$4),IF(DATOS!$G2521="EX",1,IF(DATOS!$G2521="OR",--(COUNTIFS(nNIA,DATOS!$A2521,nCURSO,DATOS!$D2521,nESPEC,DATOS!$E2521,nASIG,DATOS!$I2521,nEVAL,"EX")=0),0))))</f>
      </c>
      <c r="H2521">
        <f>IF(DATOS!$G2521&lt;&gt;"EX",0,--(COUNTIFS(nNIA,DATOS!$A2521,nCURSO,DATOS!$D2521,nESPEC,DATOS!$E2521,nASIG,DATOS!$I2521,nEVAL,"OR")=0))</f>
      </c>
      <c r="I2521">
        <f>IF(DATOS!$I2521="","",IFERROR(VLOOKUP(DATOS!$I2521,CONFIG_ASIGNATURAS!$B$2:$J$91,9,FALSE()),""))</f>
      </c>
    </row>
    <row r="2522">
      <c r="F2522">
        <f>IF(DATOS!$A2522="","",DATOS!$A2522&amp;"|"&amp;DATOS!$D2522&amp;"|"&amp;DATOS!$E2522&amp;"|"&amp;DATOS!$I2522)</f>
      </c>
      <c r="G2522">
        <f>IF(DATOS!$A2522="",0,IF(CONFIG_METADATA!$B$4&lt;&gt;"OR+EX",--(DATOS!$G2522=CONFIG_METADATA!$B$4),IF(DATOS!$G2522="EX",1,IF(DATOS!$G2522="OR",--(COUNTIFS(nNIA,DATOS!$A2522,nCURSO,DATOS!$D2522,nESPEC,DATOS!$E2522,nASIG,DATOS!$I2522,nEVAL,"EX")=0),0))))</f>
      </c>
      <c r="H2522">
        <f>IF(DATOS!$G2522&lt;&gt;"EX",0,--(COUNTIFS(nNIA,DATOS!$A2522,nCURSO,DATOS!$D2522,nESPEC,DATOS!$E2522,nASIG,DATOS!$I2522,nEVAL,"OR")=0))</f>
      </c>
      <c r="I2522">
        <f>IF(DATOS!$I2522="","",IFERROR(VLOOKUP(DATOS!$I2522,CONFIG_ASIGNATURAS!$B$2:$J$91,9,FALSE()),""))</f>
      </c>
    </row>
    <row r="2523">
      <c r="F2523">
        <f>IF(DATOS!$A2523="","",DATOS!$A2523&amp;"|"&amp;DATOS!$D2523&amp;"|"&amp;DATOS!$E2523&amp;"|"&amp;DATOS!$I2523)</f>
      </c>
      <c r="G2523">
        <f>IF(DATOS!$A2523="",0,IF(CONFIG_METADATA!$B$4&lt;&gt;"OR+EX",--(DATOS!$G2523=CONFIG_METADATA!$B$4),IF(DATOS!$G2523="EX",1,IF(DATOS!$G2523="OR",--(COUNTIFS(nNIA,DATOS!$A2523,nCURSO,DATOS!$D2523,nESPEC,DATOS!$E2523,nASIG,DATOS!$I2523,nEVAL,"EX")=0),0))))</f>
      </c>
      <c r="H2523">
        <f>IF(DATOS!$G2523&lt;&gt;"EX",0,--(COUNTIFS(nNIA,DATOS!$A2523,nCURSO,DATOS!$D2523,nESPEC,DATOS!$E2523,nASIG,DATOS!$I2523,nEVAL,"OR")=0))</f>
      </c>
      <c r="I2523">
        <f>IF(DATOS!$I2523="","",IFERROR(VLOOKUP(DATOS!$I2523,CONFIG_ASIGNATURAS!$B$2:$J$91,9,FALSE()),""))</f>
      </c>
    </row>
    <row r="2524">
      <c r="F2524">
        <f>IF(DATOS!$A2524="","",DATOS!$A2524&amp;"|"&amp;DATOS!$D2524&amp;"|"&amp;DATOS!$E2524&amp;"|"&amp;DATOS!$I2524)</f>
      </c>
      <c r="G2524">
        <f>IF(DATOS!$A2524="",0,IF(CONFIG_METADATA!$B$4&lt;&gt;"OR+EX",--(DATOS!$G2524=CONFIG_METADATA!$B$4),IF(DATOS!$G2524="EX",1,IF(DATOS!$G2524="OR",--(COUNTIFS(nNIA,DATOS!$A2524,nCURSO,DATOS!$D2524,nESPEC,DATOS!$E2524,nASIG,DATOS!$I2524,nEVAL,"EX")=0),0))))</f>
      </c>
      <c r="H2524">
        <f>IF(DATOS!$G2524&lt;&gt;"EX",0,--(COUNTIFS(nNIA,DATOS!$A2524,nCURSO,DATOS!$D2524,nESPEC,DATOS!$E2524,nASIG,DATOS!$I2524,nEVAL,"OR")=0))</f>
      </c>
      <c r="I2524">
        <f>IF(DATOS!$I2524="","",IFERROR(VLOOKUP(DATOS!$I2524,CONFIG_ASIGNATURAS!$B$2:$J$91,9,FALSE()),""))</f>
      </c>
    </row>
    <row r="2525">
      <c r="F2525">
        <f>IF(DATOS!$A2525="","",DATOS!$A2525&amp;"|"&amp;DATOS!$D2525&amp;"|"&amp;DATOS!$E2525&amp;"|"&amp;DATOS!$I2525)</f>
      </c>
      <c r="G2525">
        <f>IF(DATOS!$A2525="",0,IF(CONFIG_METADATA!$B$4&lt;&gt;"OR+EX",--(DATOS!$G2525=CONFIG_METADATA!$B$4),IF(DATOS!$G2525="EX",1,IF(DATOS!$G2525="OR",--(COUNTIFS(nNIA,DATOS!$A2525,nCURSO,DATOS!$D2525,nESPEC,DATOS!$E2525,nASIG,DATOS!$I2525,nEVAL,"EX")=0),0))))</f>
      </c>
      <c r="H2525">
        <f>IF(DATOS!$G2525&lt;&gt;"EX",0,--(COUNTIFS(nNIA,DATOS!$A2525,nCURSO,DATOS!$D2525,nESPEC,DATOS!$E2525,nASIG,DATOS!$I2525,nEVAL,"OR")=0))</f>
      </c>
      <c r="I2525">
        <f>IF(DATOS!$I2525="","",IFERROR(VLOOKUP(DATOS!$I2525,CONFIG_ASIGNATURAS!$B$2:$J$91,9,FALSE()),""))</f>
      </c>
    </row>
    <row r="2526">
      <c r="F2526">
        <f>IF(DATOS!$A2526="","",DATOS!$A2526&amp;"|"&amp;DATOS!$D2526&amp;"|"&amp;DATOS!$E2526&amp;"|"&amp;DATOS!$I2526)</f>
      </c>
      <c r="G2526">
        <f>IF(DATOS!$A2526="",0,IF(CONFIG_METADATA!$B$4&lt;&gt;"OR+EX",--(DATOS!$G2526=CONFIG_METADATA!$B$4),IF(DATOS!$G2526="EX",1,IF(DATOS!$G2526="OR",--(COUNTIFS(nNIA,DATOS!$A2526,nCURSO,DATOS!$D2526,nESPEC,DATOS!$E2526,nASIG,DATOS!$I2526,nEVAL,"EX")=0),0))))</f>
      </c>
      <c r="H2526">
        <f>IF(DATOS!$G2526&lt;&gt;"EX",0,--(COUNTIFS(nNIA,DATOS!$A2526,nCURSO,DATOS!$D2526,nESPEC,DATOS!$E2526,nASIG,DATOS!$I2526,nEVAL,"OR")=0))</f>
      </c>
      <c r="I2526">
        <f>IF(DATOS!$I2526="","",IFERROR(VLOOKUP(DATOS!$I2526,CONFIG_ASIGNATURAS!$B$2:$J$91,9,FALSE()),""))</f>
      </c>
    </row>
    <row r="2527">
      <c r="F2527">
        <f>IF(DATOS!$A2527="","",DATOS!$A2527&amp;"|"&amp;DATOS!$D2527&amp;"|"&amp;DATOS!$E2527&amp;"|"&amp;DATOS!$I2527)</f>
      </c>
      <c r="G2527">
        <f>IF(DATOS!$A2527="",0,IF(CONFIG_METADATA!$B$4&lt;&gt;"OR+EX",--(DATOS!$G2527=CONFIG_METADATA!$B$4),IF(DATOS!$G2527="EX",1,IF(DATOS!$G2527="OR",--(COUNTIFS(nNIA,DATOS!$A2527,nCURSO,DATOS!$D2527,nESPEC,DATOS!$E2527,nASIG,DATOS!$I2527,nEVAL,"EX")=0),0))))</f>
      </c>
      <c r="H2527">
        <f>IF(DATOS!$G2527&lt;&gt;"EX",0,--(COUNTIFS(nNIA,DATOS!$A2527,nCURSO,DATOS!$D2527,nESPEC,DATOS!$E2527,nASIG,DATOS!$I2527,nEVAL,"OR")=0))</f>
      </c>
      <c r="I2527">
        <f>IF(DATOS!$I2527="","",IFERROR(VLOOKUP(DATOS!$I2527,CONFIG_ASIGNATURAS!$B$2:$J$91,9,FALSE()),""))</f>
      </c>
    </row>
    <row r="2528">
      <c r="F2528">
        <f>IF(DATOS!$A2528="","",DATOS!$A2528&amp;"|"&amp;DATOS!$D2528&amp;"|"&amp;DATOS!$E2528&amp;"|"&amp;DATOS!$I2528)</f>
      </c>
      <c r="G2528">
        <f>IF(DATOS!$A2528="",0,IF(CONFIG_METADATA!$B$4&lt;&gt;"OR+EX",--(DATOS!$G2528=CONFIG_METADATA!$B$4),IF(DATOS!$G2528="EX",1,IF(DATOS!$G2528="OR",--(COUNTIFS(nNIA,DATOS!$A2528,nCURSO,DATOS!$D2528,nESPEC,DATOS!$E2528,nASIG,DATOS!$I2528,nEVAL,"EX")=0),0))))</f>
      </c>
      <c r="H2528">
        <f>IF(DATOS!$G2528&lt;&gt;"EX",0,--(COUNTIFS(nNIA,DATOS!$A2528,nCURSO,DATOS!$D2528,nESPEC,DATOS!$E2528,nASIG,DATOS!$I2528,nEVAL,"OR")=0))</f>
      </c>
      <c r="I2528">
        <f>IF(DATOS!$I2528="","",IFERROR(VLOOKUP(DATOS!$I2528,CONFIG_ASIGNATURAS!$B$2:$J$91,9,FALSE()),""))</f>
      </c>
    </row>
    <row r="2529">
      <c r="F2529">
        <f>IF(DATOS!$A2529="","",DATOS!$A2529&amp;"|"&amp;DATOS!$D2529&amp;"|"&amp;DATOS!$E2529&amp;"|"&amp;DATOS!$I2529)</f>
      </c>
      <c r="G2529">
        <f>IF(DATOS!$A2529="",0,IF(CONFIG_METADATA!$B$4&lt;&gt;"OR+EX",--(DATOS!$G2529=CONFIG_METADATA!$B$4),IF(DATOS!$G2529="EX",1,IF(DATOS!$G2529="OR",--(COUNTIFS(nNIA,DATOS!$A2529,nCURSO,DATOS!$D2529,nESPEC,DATOS!$E2529,nASIG,DATOS!$I2529,nEVAL,"EX")=0),0))))</f>
      </c>
      <c r="H2529">
        <f>IF(DATOS!$G2529&lt;&gt;"EX",0,--(COUNTIFS(nNIA,DATOS!$A2529,nCURSO,DATOS!$D2529,nESPEC,DATOS!$E2529,nASIG,DATOS!$I2529,nEVAL,"OR")=0))</f>
      </c>
      <c r="I2529">
        <f>IF(DATOS!$I2529="","",IFERROR(VLOOKUP(DATOS!$I2529,CONFIG_ASIGNATURAS!$B$2:$J$91,9,FALSE()),""))</f>
      </c>
    </row>
    <row r="2530">
      <c r="F2530">
        <f>IF(DATOS!$A2530="","",DATOS!$A2530&amp;"|"&amp;DATOS!$D2530&amp;"|"&amp;DATOS!$E2530&amp;"|"&amp;DATOS!$I2530)</f>
      </c>
      <c r="G2530">
        <f>IF(DATOS!$A2530="",0,IF(CONFIG_METADATA!$B$4&lt;&gt;"OR+EX",--(DATOS!$G2530=CONFIG_METADATA!$B$4),IF(DATOS!$G2530="EX",1,IF(DATOS!$G2530="OR",--(COUNTIFS(nNIA,DATOS!$A2530,nCURSO,DATOS!$D2530,nESPEC,DATOS!$E2530,nASIG,DATOS!$I2530,nEVAL,"EX")=0),0))))</f>
      </c>
      <c r="H2530">
        <f>IF(DATOS!$G2530&lt;&gt;"EX",0,--(COUNTIFS(nNIA,DATOS!$A2530,nCURSO,DATOS!$D2530,nESPEC,DATOS!$E2530,nASIG,DATOS!$I2530,nEVAL,"OR")=0))</f>
      </c>
      <c r="I2530">
        <f>IF(DATOS!$I2530="","",IFERROR(VLOOKUP(DATOS!$I2530,CONFIG_ASIGNATURAS!$B$2:$J$91,9,FALSE()),""))</f>
      </c>
    </row>
    <row r="2531">
      <c r="F2531">
        <f>IF(DATOS!$A2531="","",DATOS!$A2531&amp;"|"&amp;DATOS!$D2531&amp;"|"&amp;DATOS!$E2531&amp;"|"&amp;DATOS!$I2531)</f>
      </c>
      <c r="G2531">
        <f>IF(DATOS!$A2531="",0,IF(CONFIG_METADATA!$B$4&lt;&gt;"OR+EX",--(DATOS!$G2531=CONFIG_METADATA!$B$4),IF(DATOS!$G2531="EX",1,IF(DATOS!$G2531="OR",--(COUNTIFS(nNIA,DATOS!$A2531,nCURSO,DATOS!$D2531,nESPEC,DATOS!$E2531,nASIG,DATOS!$I2531,nEVAL,"EX")=0),0))))</f>
      </c>
      <c r="H2531">
        <f>IF(DATOS!$G2531&lt;&gt;"EX",0,--(COUNTIFS(nNIA,DATOS!$A2531,nCURSO,DATOS!$D2531,nESPEC,DATOS!$E2531,nASIG,DATOS!$I2531,nEVAL,"OR")=0))</f>
      </c>
      <c r="I2531">
        <f>IF(DATOS!$I2531="","",IFERROR(VLOOKUP(DATOS!$I2531,CONFIG_ASIGNATURAS!$B$2:$J$91,9,FALSE()),""))</f>
      </c>
    </row>
    <row r="2532">
      <c r="F2532">
        <f>IF(DATOS!$A2532="","",DATOS!$A2532&amp;"|"&amp;DATOS!$D2532&amp;"|"&amp;DATOS!$E2532&amp;"|"&amp;DATOS!$I2532)</f>
      </c>
      <c r="G2532">
        <f>IF(DATOS!$A2532="",0,IF(CONFIG_METADATA!$B$4&lt;&gt;"OR+EX",--(DATOS!$G2532=CONFIG_METADATA!$B$4),IF(DATOS!$G2532="EX",1,IF(DATOS!$G2532="OR",--(COUNTIFS(nNIA,DATOS!$A2532,nCURSO,DATOS!$D2532,nESPEC,DATOS!$E2532,nASIG,DATOS!$I2532,nEVAL,"EX")=0),0))))</f>
      </c>
      <c r="H2532">
        <f>IF(DATOS!$G2532&lt;&gt;"EX",0,--(COUNTIFS(nNIA,DATOS!$A2532,nCURSO,DATOS!$D2532,nESPEC,DATOS!$E2532,nASIG,DATOS!$I2532,nEVAL,"OR")=0))</f>
      </c>
      <c r="I2532">
        <f>IF(DATOS!$I2532="","",IFERROR(VLOOKUP(DATOS!$I2532,CONFIG_ASIGNATURAS!$B$2:$J$91,9,FALSE()),""))</f>
      </c>
    </row>
    <row r="2533">
      <c r="F2533">
        <f>IF(DATOS!$A2533="","",DATOS!$A2533&amp;"|"&amp;DATOS!$D2533&amp;"|"&amp;DATOS!$E2533&amp;"|"&amp;DATOS!$I2533)</f>
      </c>
      <c r="G2533">
        <f>IF(DATOS!$A2533="",0,IF(CONFIG_METADATA!$B$4&lt;&gt;"OR+EX",--(DATOS!$G2533=CONFIG_METADATA!$B$4),IF(DATOS!$G2533="EX",1,IF(DATOS!$G2533="OR",--(COUNTIFS(nNIA,DATOS!$A2533,nCURSO,DATOS!$D2533,nESPEC,DATOS!$E2533,nASIG,DATOS!$I2533,nEVAL,"EX")=0),0))))</f>
      </c>
      <c r="H2533">
        <f>IF(DATOS!$G2533&lt;&gt;"EX",0,--(COUNTIFS(nNIA,DATOS!$A2533,nCURSO,DATOS!$D2533,nESPEC,DATOS!$E2533,nASIG,DATOS!$I2533,nEVAL,"OR")=0))</f>
      </c>
      <c r="I2533">
        <f>IF(DATOS!$I2533="","",IFERROR(VLOOKUP(DATOS!$I2533,CONFIG_ASIGNATURAS!$B$2:$J$91,9,FALSE()),""))</f>
      </c>
    </row>
    <row r="2534">
      <c r="F2534">
        <f>IF(DATOS!$A2534="","",DATOS!$A2534&amp;"|"&amp;DATOS!$D2534&amp;"|"&amp;DATOS!$E2534&amp;"|"&amp;DATOS!$I2534)</f>
      </c>
      <c r="G2534">
        <f>IF(DATOS!$A2534="",0,IF(CONFIG_METADATA!$B$4&lt;&gt;"OR+EX",--(DATOS!$G2534=CONFIG_METADATA!$B$4),IF(DATOS!$G2534="EX",1,IF(DATOS!$G2534="OR",--(COUNTIFS(nNIA,DATOS!$A2534,nCURSO,DATOS!$D2534,nESPEC,DATOS!$E2534,nASIG,DATOS!$I2534,nEVAL,"EX")=0),0))))</f>
      </c>
      <c r="H2534">
        <f>IF(DATOS!$G2534&lt;&gt;"EX",0,--(COUNTIFS(nNIA,DATOS!$A2534,nCURSO,DATOS!$D2534,nESPEC,DATOS!$E2534,nASIG,DATOS!$I2534,nEVAL,"OR")=0))</f>
      </c>
      <c r="I2534">
        <f>IF(DATOS!$I2534="","",IFERROR(VLOOKUP(DATOS!$I2534,CONFIG_ASIGNATURAS!$B$2:$J$91,9,FALSE()),""))</f>
      </c>
    </row>
    <row r="2535">
      <c r="F2535">
        <f>IF(DATOS!$A2535="","",DATOS!$A2535&amp;"|"&amp;DATOS!$D2535&amp;"|"&amp;DATOS!$E2535&amp;"|"&amp;DATOS!$I2535)</f>
      </c>
      <c r="G2535">
        <f>IF(DATOS!$A2535="",0,IF(CONFIG_METADATA!$B$4&lt;&gt;"OR+EX",--(DATOS!$G2535=CONFIG_METADATA!$B$4),IF(DATOS!$G2535="EX",1,IF(DATOS!$G2535="OR",--(COUNTIFS(nNIA,DATOS!$A2535,nCURSO,DATOS!$D2535,nESPEC,DATOS!$E2535,nASIG,DATOS!$I2535,nEVAL,"EX")=0),0))))</f>
      </c>
      <c r="H2535">
        <f>IF(DATOS!$G2535&lt;&gt;"EX",0,--(COUNTIFS(nNIA,DATOS!$A2535,nCURSO,DATOS!$D2535,nESPEC,DATOS!$E2535,nASIG,DATOS!$I2535,nEVAL,"OR")=0))</f>
      </c>
      <c r="I2535">
        <f>IF(DATOS!$I2535="","",IFERROR(VLOOKUP(DATOS!$I2535,CONFIG_ASIGNATURAS!$B$2:$J$91,9,FALSE()),""))</f>
      </c>
    </row>
    <row r="2536">
      <c r="F2536">
        <f>IF(DATOS!$A2536="","",DATOS!$A2536&amp;"|"&amp;DATOS!$D2536&amp;"|"&amp;DATOS!$E2536&amp;"|"&amp;DATOS!$I2536)</f>
      </c>
      <c r="G2536">
        <f>IF(DATOS!$A2536="",0,IF(CONFIG_METADATA!$B$4&lt;&gt;"OR+EX",--(DATOS!$G2536=CONFIG_METADATA!$B$4),IF(DATOS!$G2536="EX",1,IF(DATOS!$G2536="OR",--(COUNTIFS(nNIA,DATOS!$A2536,nCURSO,DATOS!$D2536,nESPEC,DATOS!$E2536,nASIG,DATOS!$I2536,nEVAL,"EX")=0),0))))</f>
      </c>
      <c r="H2536">
        <f>IF(DATOS!$G2536&lt;&gt;"EX",0,--(COUNTIFS(nNIA,DATOS!$A2536,nCURSO,DATOS!$D2536,nESPEC,DATOS!$E2536,nASIG,DATOS!$I2536,nEVAL,"OR")=0))</f>
      </c>
      <c r="I2536">
        <f>IF(DATOS!$I2536="","",IFERROR(VLOOKUP(DATOS!$I2536,CONFIG_ASIGNATURAS!$B$2:$J$91,9,FALSE()),""))</f>
      </c>
    </row>
    <row r="2537">
      <c r="F2537">
        <f>IF(DATOS!$A2537="","",DATOS!$A2537&amp;"|"&amp;DATOS!$D2537&amp;"|"&amp;DATOS!$E2537&amp;"|"&amp;DATOS!$I2537)</f>
      </c>
      <c r="G2537">
        <f>IF(DATOS!$A2537="",0,IF(CONFIG_METADATA!$B$4&lt;&gt;"OR+EX",--(DATOS!$G2537=CONFIG_METADATA!$B$4),IF(DATOS!$G2537="EX",1,IF(DATOS!$G2537="OR",--(COUNTIFS(nNIA,DATOS!$A2537,nCURSO,DATOS!$D2537,nESPEC,DATOS!$E2537,nASIG,DATOS!$I2537,nEVAL,"EX")=0),0))))</f>
      </c>
      <c r="H2537">
        <f>IF(DATOS!$G2537&lt;&gt;"EX",0,--(COUNTIFS(nNIA,DATOS!$A2537,nCURSO,DATOS!$D2537,nESPEC,DATOS!$E2537,nASIG,DATOS!$I2537,nEVAL,"OR")=0))</f>
      </c>
      <c r="I2537">
        <f>IF(DATOS!$I2537="","",IFERROR(VLOOKUP(DATOS!$I2537,CONFIG_ASIGNATURAS!$B$2:$J$91,9,FALSE()),""))</f>
      </c>
    </row>
    <row r="2538">
      <c r="F2538">
        <f>IF(DATOS!$A2538="","",DATOS!$A2538&amp;"|"&amp;DATOS!$D2538&amp;"|"&amp;DATOS!$E2538&amp;"|"&amp;DATOS!$I2538)</f>
      </c>
      <c r="G2538">
        <f>IF(DATOS!$A2538="",0,IF(CONFIG_METADATA!$B$4&lt;&gt;"OR+EX",--(DATOS!$G2538=CONFIG_METADATA!$B$4),IF(DATOS!$G2538="EX",1,IF(DATOS!$G2538="OR",--(COUNTIFS(nNIA,DATOS!$A2538,nCURSO,DATOS!$D2538,nESPEC,DATOS!$E2538,nASIG,DATOS!$I2538,nEVAL,"EX")=0),0))))</f>
      </c>
      <c r="H2538">
        <f>IF(DATOS!$G2538&lt;&gt;"EX",0,--(COUNTIFS(nNIA,DATOS!$A2538,nCURSO,DATOS!$D2538,nESPEC,DATOS!$E2538,nASIG,DATOS!$I2538,nEVAL,"OR")=0))</f>
      </c>
      <c r="I2538">
        <f>IF(DATOS!$I2538="","",IFERROR(VLOOKUP(DATOS!$I2538,CONFIG_ASIGNATURAS!$B$2:$J$91,9,FALSE()),""))</f>
      </c>
    </row>
    <row r="2539">
      <c r="F2539">
        <f>IF(DATOS!$A2539="","",DATOS!$A2539&amp;"|"&amp;DATOS!$D2539&amp;"|"&amp;DATOS!$E2539&amp;"|"&amp;DATOS!$I2539)</f>
      </c>
      <c r="G2539">
        <f>IF(DATOS!$A2539="",0,IF(CONFIG_METADATA!$B$4&lt;&gt;"OR+EX",--(DATOS!$G2539=CONFIG_METADATA!$B$4),IF(DATOS!$G2539="EX",1,IF(DATOS!$G2539="OR",--(COUNTIFS(nNIA,DATOS!$A2539,nCURSO,DATOS!$D2539,nESPEC,DATOS!$E2539,nASIG,DATOS!$I2539,nEVAL,"EX")=0),0))))</f>
      </c>
      <c r="H2539">
        <f>IF(DATOS!$G2539&lt;&gt;"EX",0,--(COUNTIFS(nNIA,DATOS!$A2539,nCURSO,DATOS!$D2539,nESPEC,DATOS!$E2539,nASIG,DATOS!$I2539,nEVAL,"OR")=0))</f>
      </c>
      <c r="I2539">
        <f>IF(DATOS!$I2539="","",IFERROR(VLOOKUP(DATOS!$I2539,CONFIG_ASIGNATURAS!$B$2:$J$91,9,FALSE()),""))</f>
      </c>
    </row>
    <row r="2540">
      <c r="F2540">
        <f>IF(DATOS!$A2540="","",DATOS!$A2540&amp;"|"&amp;DATOS!$D2540&amp;"|"&amp;DATOS!$E2540&amp;"|"&amp;DATOS!$I2540)</f>
      </c>
      <c r="G2540">
        <f>IF(DATOS!$A2540="",0,IF(CONFIG_METADATA!$B$4&lt;&gt;"OR+EX",--(DATOS!$G2540=CONFIG_METADATA!$B$4),IF(DATOS!$G2540="EX",1,IF(DATOS!$G2540="OR",--(COUNTIFS(nNIA,DATOS!$A2540,nCURSO,DATOS!$D2540,nESPEC,DATOS!$E2540,nASIG,DATOS!$I2540,nEVAL,"EX")=0),0))))</f>
      </c>
      <c r="H2540">
        <f>IF(DATOS!$G2540&lt;&gt;"EX",0,--(COUNTIFS(nNIA,DATOS!$A2540,nCURSO,DATOS!$D2540,nESPEC,DATOS!$E2540,nASIG,DATOS!$I2540,nEVAL,"OR")=0))</f>
      </c>
      <c r="I2540">
        <f>IF(DATOS!$I2540="","",IFERROR(VLOOKUP(DATOS!$I2540,CONFIG_ASIGNATURAS!$B$2:$J$91,9,FALSE()),""))</f>
      </c>
    </row>
    <row r="2541">
      <c r="F2541">
        <f>IF(DATOS!$A2541="","",DATOS!$A2541&amp;"|"&amp;DATOS!$D2541&amp;"|"&amp;DATOS!$E2541&amp;"|"&amp;DATOS!$I2541)</f>
      </c>
      <c r="G2541">
        <f>IF(DATOS!$A2541="",0,IF(CONFIG_METADATA!$B$4&lt;&gt;"OR+EX",--(DATOS!$G2541=CONFIG_METADATA!$B$4),IF(DATOS!$G2541="EX",1,IF(DATOS!$G2541="OR",--(COUNTIFS(nNIA,DATOS!$A2541,nCURSO,DATOS!$D2541,nESPEC,DATOS!$E2541,nASIG,DATOS!$I2541,nEVAL,"EX")=0),0))))</f>
      </c>
      <c r="H2541">
        <f>IF(DATOS!$G2541&lt;&gt;"EX",0,--(COUNTIFS(nNIA,DATOS!$A2541,nCURSO,DATOS!$D2541,nESPEC,DATOS!$E2541,nASIG,DATOS!$I2541,nEVAL,"OR")=0))</f>
      </c>
      <c r="I2541">
        <f>IF(DATOS!$I2541="","",IFERROR(VLOOKUP(DATOS!$I2541,CONFIG_ASIGNATURAS!$B$2:$J$91,9,FALSE()),""))</f>
      </c>
    </row>
    <row r="2542">
      <c r="F2542">
        <f>IF(DATOS!$A2542="","",DATOS!$A2542&amp;"|"&amp;DATOS!$D2542&amp;"|"&amp;DATOS!$E2542&amp;"|"&amp;DATOS!$I2542)</f>
      </c>
      <c r="G2542">
        <f>IF(DATOS!$A2542="",0,IF(CONFIG_METADATA!$B$4&lt;&gt;"OR+EX",--(DATOS!$G2542=CONFIG_METADATA!$B$4),IF(DATOS!$G2542="EX",1,IF(DATOS!$G2542="OR",--(COUNTIFS(nNIA,DATOS!$A2542,nCURSO,DATOS!$D2542,nESPEC,DATOS!$E2542,nASIG,DATOS!$I2542,nEVAL,"EX")=0),0))))</f>
      </c>
      <c r="H2542">
        <f>IF(DATOS!$G2542&lt;&gt;"EX",0,--(COUNTIFS(nNIA,DATOS!$A2542,nCURSO,DATOS!$D2542,nESPEC,DATOS!$E2542,nASIG,DATOS!$I2542,nEVAL,"OR")=0))</f>
      </c>
      <c r="I2542">
        <f>IF(DATOS!$I2542="","",IFERROR(VLOOKUP(DATOS!$I2542,CONFIG_ASIGNATURAS!$B$2:$J$91,9,FALSE()),""))</f>
      </c>
    </row>
    <row r="2543">
      <c r="F2543">
        <f>IF(DATOS!$A2543="","",DATOS!$A2543&amp;"|"&amp;DATOS!$D2543&amp;"|"&amp;DATOS!$E2543&amp;"|"&amp;DATOS!$I2543)</f>
      </c>
      <c r="G2543">
        <f>IF(DATOS!$A2543="",0,IF(CONFIG_METADATA!$B$4&lt;&gt;"OR+EX",--(DATOS!$G2543=CONFIG_METADATA!$B$4),IF(DATOS!$G2543="EX",1,IF(DATOS!$G2543="OR",--(COUNTIFS(nNIA,DATOS!$A2543,nCURSO,DATOS!$D2543,nESPEC,DATOS!$E2543,nASIG,DATOS!$I2543,nEVAL,"EX")=0),0))))</f>
      </c>
      <c r="H2543">
        <f>IF(DATOS!$G2543&lt;&gt;"EX",0,--(COUNTIFS(nNIA,DATOS!$A2543,nCURSO,DATOS!$D2543,nESPEC,DATOS!$E2543,nASIG,DATOS!$I2543,nEVAL,"OR")=0))</f>
      </c>
      <c r="I2543">
        <f>IF(DATOS!$I2543="","",IFERROR(VLOOKUP(DATOS!$I2543,CONFIG_ASIGNATURAS!$B$2:$J$91,9,FALSE()),""))</f>
      </c>
    </row>
    <row r="2544">
      <c r="F2544">
        <f>IF(DATOS!$A2544="","",DATOS!$A2544&amp;"|"&amp;DATOS!$D2544&amp;"|"&amp;DATOS!$E2544&amp;"|"&amp;DATOS!$I2544)</f>
      </c>
      <c r="G2544">
        <f>IF(DATOS!$A2544="",0,IF(CONFIG_METADATA!$B$4&lt;&gt;"OR+EX",--(DATOS!$G2544=CONFIG_METADATA!$B$4),IF(DATOS!$G2544="EX",1,IF(DATOS!$G2544="OR",--(COUNTIFS(nNIA,DATOS!$A2544,nCURSO,DATOS!$D2544,nESPEC,DATOS!$E2544,nASIG,DATOS!$I2544,nEVAL,"EX")=0),0))))</f>
      </c>
      <c r="H2544">
        <f>IF(DATOS!$G2544&lt;&gt;"EX",0,--(COUNTIFS(nNIA,DATOS!$A2544,nCURSO,DATOS!$D2544,nESPEC,DATOS!$E2544,nASIG,DATOS!$I2544,nEVAL,"OR")=0))</f>
      </c>
      <c r="I2544">
        <f>IF(DATOS!$I2544="","",IFERROR(VLOOKUP(DATOS!$I2544,CONFIG_ASIGNATURAS!$B$2:$J$91,9,FALSE()),""))</f>
      </c>
    </row>
    <row r="2545">
      <c r="F2545">
        <f>IF(DATOS!$A2545="","",DATOS!$A2545&amp;"|"&amp;DATOS!$D2545&amp;"|"&amp;DATOS!$E2545&amp;"|"&amp;DATOS!$I2545)</f>
      </c>
      <c r="G2545">
        <f>IF(DATOS!$A2545="",0,IF(CONFIG_METADATA!$B$4&lt;&gt;"OR+EX",--(DATOS!$G2545=CONFIG_METADATA!$B$4),IF(DATOS!$G2545="EX",1,IF(DATOS!$G2545="OR",--(COUNTIFS(nNIA,DATOS!$A2545,nCURSO,DATOS!$D2545,nESPEC,DATOS!$E2545,nASIG,DATOS!$I2545,nEVAL,"EX")=0),0))))</f>
      </c>
      <c r="H2545">
        <f>IF(DATOS!$G2545&lt;&gt;"EX",0,--(COUNTIFS(nNIA,DATOS!$A2545,nCURSO,DATOS!$D2545,nESPEC,DATOS!$E2545,nASIG,DATOS!$I2545,nEVAL,"OR")=0))</f>
      </c>
      <c r="I2545">
        <f>IF(DATOS!$I2545="","",IFERROR(VLOOKUP(DATOS!$I2545,CONFIG_ASIGNATURAS!$B$2:$J$91,9,FALSE()),""))</f>
      </c>
    </row>
    <row r="2546">
      <c r="F2546">
        <f>IF(DATOS!$A2546="","",DATOS!$A2546&amp;"|"&amp;DATOS!$D2546&amp;"|"&amp;DATOS!$E2546&amp;"|"&amp;DATOS!$I2546)</f>
      </c>
      <c r="G2546">
        <f>IF(DATOS!$A2546="",0,IF(CONFIG_METADATA!$B$4&lt;&gt;"OR+EX",--(DATOS!$G2546=CONFIG_METADATA!$B$4),IF(DATOS!$G2546="EX",1,IF(DATOS!$G2546="OR",--(COUNTIFS(nNIA,DATOS!$A2546,nCURSO,DATOS!$D2546,nESPEC,DATOS!$E2546,nASIG,DATOS!$I2546,nEVAL,"EX")=0),0))))</f>
      </c>
      <c r="H2546">
        <f>IF(DATOS!$G2546&lt;&gt;"EX",0,--(COUNTIFS(nNIA,DATOS!$A2546,nCURSO,DATOS!$D2546,nESPEC,DATOS!$E2546,nASIG,DATOS!$I2546,nEVAL,"OR")=0))</f>
      </c>
      <c r="I2546">
        <f>IF(DATOS!$I2546="","",IFERROR(VLOOKUP(DATOS!$I2546,CONFIG_ASIGNATURAS!$B$2:$J$91,9,FALSE()),""))</f>
      </c>
    </row>
    <row r="2547">
      <c r="F2547">
        <f>IF(DATOS!$A2547="","",DATOS!$A2547&amp;"|"&amp;DATOS!$D2547&amp;"|"&amp;DATOS!$E2547&amp;"|"&amp;DATOS!$I2547)</f>
      </c>
      <c r="G2547">
        <f>IF(DATOS!$A2547="",0,IF(CONFIG_METADATA!$B$4&lt;&gt;"OR+EX",--(DATOS!$G2547=CONFIG_METADATA!$B$4),IF(DATOS!$G2547="EX",1,IF(DATOS!$G2547="OR",--(COUNTIFS(nNIA,DATOS!$A2547,nCURSO,DATOS!$D2547,nESPEC,DATOS!$E2547,nASIG,DATOS!$I2547,nEVAL,"EX")=0),0))))</f>
      </c>
      <c r="H2547">
        <f>IF(DATOS!$G2547&lt;&gt;"EX",0,--(COUNTIFS(nNIA,DATOS!$A2547,nCURSO,DATOS!$D2547,nESPEC,DATOS!$E2547,nASIG,DATOS!$I2547,nEVAL,"OR")=0))</f>
      </c>
      <c r="I2547">
        <f>IF(DATOS!$I2547="","",IFERROR(VLOOKUP(DATOS!$I2547,CONFIG_ASIGNATURAS!$B$2:$J$91,9,FALSE()),""))</f>
      </c>
    </row>
    <row r="2548">
      <c r="F2548">
        <f>IF(DATOS!$A2548="","",DATOS!$A2548&amp;"|"&amp;DATOS!$D2548&amp;"|"&amp;DATOS!$E2548&amp;"|"&amp;DATOS!$I2548)</f>
      </c>
      <c r="G2548">
        <f>IF(DATOS!$A2548="",0,IF(CONFIG_METADATA!$B$4&lt;&gt;"OR+EX",--(DATOS!$G2548=CONFIG_METADATA!$B$4),IF(DATOS!$G2548="EX",1,IF(DATOS!$G2548="OR",--(COUNTIFS(nNIA,DATOS!$A2548,nCURSO,DATOS!$D2548,nESPEC,DATOS!$E2548,nASIG,DATOS!$I2548,nEVAL,"EX")=0),0))))</f>
      </c>
      <c r="H2548">
        <f>IF(DATOS!$G2548&lt;&gt;"EX",0,--(COUNTIFS(nNIA,DATOS!$A2548,nCURSO,DATOS!$D2548,nESPEC,DATOS!$E2548,nASIG,DATOS!$I2548,nEVAL,"OR")=0))</f>
      </c>
      <c r="I2548">
        <f>IF(DATOS!$I2548="","",IFERROR(VLOOKUP(DATOS!$I2548,CONFIG_ASIGNATURAS!$B$2:$J$91,9,FALSE()),""))</f>
      </c>
    </row>
    <row r="2549">
      <c r="F2549">
        <f>IF(DATOS!$A2549="","",DATOS!$A2549&amp;"|"&amp;DATOS!$D2549&amp;"|"&amp;DATOS!$E2549&amp;"|"&amp;DATOS!$I2549)</f>
      </c>
      <c r="G2549">
        <f>IF(DATOS!$A2549="",0,IF(CONFIG_METADATA!$B$4&lt;&gt;"OR+EX",--(DATOS!$G2549=CONFIG_METADATA!$B$4),IF(DATOS!$G2549="EX",1,IF(DATOS!$G2549="OR",--(COUNTIFS(nNIA,DATOS!$A2549,nCURSO,DATOS!$D2549,nESPEC,DATOS!$E2549,nASIG,DATOS!$I2549,nEVAL,"EX")=0),0))))</f>
      </c>
      <c r="H2549">
        <f>IF(DATOS!$G2549&lt;&gt;"EX",0,--(COUNTIFS(nNIA,DATOS!$A2549,nCURSO,DATOS!$D2549,nESPEC,DATOS!$E2549,nASIG,DATOS!$I2549,nEVAL,"OR")=0))</f>
      </c>
      <c r="I2549">
        <f>IF(DATOS!$I2549="","",IFERROR(VLOOKUP(DATOS!$I2549,CONFIG_ASIGNATURAS!$B$2:$J$91,9,FALSE()),""))</f>
      </c>
    </row>
    <row r="2550">
      <c r="F2550">
        <f>IF(DATOS!$A2550="","",DATOS!$A2550&amp;"|"&amp;DATOS!$D2550&amp;"|"&amp;DATOS!$E2550&amp;"|"&amp;DATOS!$I2550)</f>
      </c>
      <c r="G2550">
        <f>IF(DATOS!$A2550="",0,IF(CONFIG_METADATA!$B$4&lt;&gt;"OR+EX",--(DATOS!$G2550=CONFIG_METADATA!$B$4),IF(DATOS!$G2550="EX",1,IF(DATOS!$G2550="OR",--(COUNTIFS(nNIA,DATOS!$A2550,nCURSO,DATOS!$D2550,nESPEC,DATOS!$E2550,nASIG,DATOS!$I2550,nEVAL,"EX")=0),0))))</f>
      </c>
      <c r="H2550">
        <f>IF(DATOS!$G2550&lt;&gt;"EX",0,--(COUNTIFS(nNIA,DATOS!$A2550,nCURSO,DATOS!$D2550,nESPEC,DATOS!$E2550,nASIG,DATOS!$I2550,nEVAL,"OR")=0))</f>
      </c>
      <c r="I2550">
        <f>IF(DATOS!$I2550="","",IFERROR(VLOOKUP(DATOS!$I2550,CONFIG_ASIGNATURAS!$B$2:$J$91,9,FALSE()),""))</f>
      </c>
    </row>
    <row r="2551">
      <c r="F2551">
        <f>IF(DATOS!$A2551="","",DATOS!$A2551&amp;"|"&amp;DATOS!$D2551&amp;"|"&amp;DATOS!$E2551&amp;"|"&amp;DATOS!$I2551)</f>
      </c>
      <c r="G2551">
        <f>IF(DATOS!$A2551="",0,IF(CONFIG_METADATA!$B$4&lt;&gt;"OR+EX",--(DATOS!$G2551=CONFIG_METADATA!$B$4),IF(DATOS!$G2551="EX",1,IF(DATOS!$G2551="OR",--(COUNTIFS(nNIA,DATOS!$A2551,nCURSO,DATOS!$D2551,nESPEC,DATOS!$E2551,nASIG,DATOS!$I2551,nEVAL,"EX")=0),0))))</f>
      </c>
      <c r="H2551">
        <f>IF(DATOS!$G2551&lt;&gt;"EX",0,--(COUNTIFS(nNIA,DATOS!$A2551,nCURSO,DATOS!$D2551,nESPEC,DATOS!$E2551,nASIG,DATOS!$I2551,nEVAL,"OR")=0))</f>
      </c>
      <c r="I2551">
        <f>IF(DATOS!$I2551="","",IFERROR(VLOOKUP(DATOS!$I2551,CONFIG_ASIGNATURAS!$B$2:$J$91,9,FALSE()),""))</f>
      </c>
    </row>
    <row r="2552">
      <c r="F2552">
        <f>IF(DATOS!$A2552="","",DATOS!$A2552&amp;"|"&amp;DATOS!$D2552&amp;"|"&amp;DATOS!$E2552&amp;"|"&amp;DATOS!$I2552)</f>
      </c>
      <c r="G2552">
        <f>IF(DATOS!$A2552="",0,IF(CONFIG_METADATA!$B$4&lt;&gt;"OR+EX",--(DATOS!$G2552=CONFIG_METADATA!$B$4),IF(DATOS!$G2552="EX",1,IF(DATOS!$G2552="OR",--(COUNTIFS(nNIA,DATOS!$A2552,nCURSO,DATOS!$D2552,nESPEC,DATOS!$E2552,nASIG,DATOS!$I2552,nEVAL,"EX")=0),0))))</f>
      </c>
      <c r="H2552">
        <f>IF(DATOS!$G2552&lt;&gt;"EX",0,--(COUNTIFS(nNIA,DATOS!$A2552,nCURSO,DATOS!$D2552,nESPEC,DATOS!$E2552,nASIG,DATOS!$I2552,nEVAL,"OR")=0))</f>
      </c>
      <c r="I2552">
        <f>IF(DATOS!$I2552="","",IFERROR(VLOOKUP(DATOS!$I2552,CONFIG_ASIGNATURAS!$B$2:$J$91,9,FALSE()),""))</f>
      </c>
    </row>
    <row r="2553">
      <c r="F2553">
        <f>IF(DATOS!$A2553="","",DATOS!$A2553&amp;"|"&amp;DATOS!$D2553&amp;"|"&amp;DATOS!$E2553&amp;"|"&amp;DATOS!$I2553)</f>
      </c>
      <c r="G2553">
        <f>IF(DATOS!$A2553="",0,IF(CONFIG_METADATA!$B$4&lt;&gt;"OR+EX",--(DATOS!$G2553=CONFIG_METADATA!$B$4),IF(DATOS!$G2553="EX",1,IF(DATOS!$G2553="OR",--(COUNTIFS(nNIA,DATOS!$A2553,nCURSO,DATOS!$D2553,nESPEC,DATOS!$E2553,nASIG,DATOS!$I2553,nEVAL,"EX")=0),0))))</f>
      </c>
      <c r="H2553">
        <f>IF(DATOS!$G2553&lt;&gt;"EX",0,--(COUNTIFS(nNIA,DATOS!$A2553,nCURSO,DATOS!$D2553,nESPEC,DATOS!$E2553,nASIG,DATOS!$I2553,nEVAL,"OR")=0))</f>
      </c>
      <c r="I2553">
        <f>IF(DATOS!$I2553="","",IFERROR(VLOOKUP(DATOS!$I2553,CONFIG_ASIGNATURAS!$B$2:$J$91,9,FALSE()),""))</f>
      </c>
    </row>
    <row r="2554">
      <c r="F2554">
        <f>IF(DATOS!$A2554="","",DATOS!$A2554&amp;"|"&amp;DATOS!$D2554&amp;"|"&amp;DATOS!$E2554&amp;"|"&amp;DATOS!$I2554)</f>
      </c>
      <c r="G2554">
        <f>IF(DATOS!$A2554="",0,IF(CONFIG_METADATA!$B$4&lt;&gt;"OR+EX",--(DATOS!$G2554=CONFIG_METADATA!$B$4),IF(DATOS!$G2554="EX",1,IF(DATOS!$G2554="OR",--(COUNTIFS(nNIA,DATOS!$A2554,nCURSO,DATOS!$D2554,nESPEC,DATOS!$E2554,nASIG,DATOS!$I2554,nEVAL,"EX")=0),0))))</f>
      </c>
      <c r="H2554">
        <f>IF(DATOS!$G2554&lt;&gt;"EX",0,--(COUNTIFS(nNIA,DATOS!$A2554,nCURSO,DATOS!$D2554,nESPEC,DATOS!$E2554,nASIG,DATOS!$I2554,nEVAL,"OR")=0))</f>
      </c>
      <c r="I2554">
        <f>IF(DATOS!$I2554="","",IFERROR(VLOOKUP(DATOS!$I2554,CONFIG_ASIGNATURAS!$B$2:$J$91,9,FALSE()),""))</f>
      </c>
    </row>
    <row r="2555">
      <c r="F2555">
        <f>IF(DATOS!$A2555="","",DATOS!$A2555&amp;"|"&amp;DATOS!$D2555&amp;"|"&amp;DATOS!$E2555&amp;"|"&amp;DATOS!$I2555)</f>
      </c>
      <c r="G2555">
        <f>IF(DATOS!$A2555="",0,IF(CONFIG_METADATA!$B$4&lt;&gt;"OR+EX",--(DATOS!$G2555=CONFIG_METADATA!$B$4),IF(DATOS!$G2555="EX",1,IF(DATOS!$G2555="OR",--(COUNTIFS(nNIA,DATOS!$A2555,nCURSO,DATOS!$D2555,nESPEC,DATOS!$E2555,nASIG,DATOS!$I2555,nEVAL,"EX")=0),0))))</f>
      </c>
      <c r="H2555">
        <f>IF(DATOS!$G2555&lt;&gt;"EX",0,--(COUNTIFS(nNIA,DATOS!$A2555,nCURSO,DATOS!$D2555,nESPEC,DATOS!$E2555,nASIG,DATOS!$I2555,nEVAL,"OR")=0))</f>
      </c>
      <c r="I2555">
        <f>IF(DATOS!$I2555="","",IFERROR(VLOOKUP(DATOS!$I2555,CONFIG_ASIGNATURAS!$B$2:$J$91,9,FALSE()),""))</f>
      </c>
    </row>
    <row r="2556">
      <c r="F2556">
        <f>IF(DATOS!$A2556="","",DATOS!$A2556&amp;"|"&amp;DATOS!$D2556&amp;"|"&amp;DATOS!$E2556&amp;"|"&amp;DATOS!$I2556)</f>
      </c>
      <c r="G2556">
        <f>IF(DATOS!$A2556="",0,IF(CONFIG_METADATA!$B$4&lt;&gt;"OR+EX",--(DATOS!$G2556=CONFIG_METADATA!$B$4),IF(DATOS!$G2556="EX",1,IF(DATOS!$G2556="OR",--(COUNTIFS(nNIA,DATOS!$A2556,nCURSO,DATOS!$D2556,nESPEC,DATOS!$E2556,nASIG,DATOS!$I2556,nEVAL,"EX")=0),0))))</f>
      </c>
      <c r="H2556">
        <f>IF(DATOS!$G2556&lt;&gt;"EX",0,--(COUNTIFS(nNIA,DATOS!$A2556,nCURSO,DATOS!$D2556,nESPEC,DATOS!$E2556,nASIG,DATOS!$I2556,nEVAL,"OR")=0))</f>
      </c>
      <c r="I2556">
        <f>IF(DATOS!$I2556="","",IFERROR(VLOOKUP(DATOS!$I2556,CONFIG_ASIGNATURAS!$B$2:$J$91,9,FALSE()),""))</f>
      </c>
    </row>
    <row r="2557">
      <c r="F2557">
        <f>IF(DATOS!$A2557="","",DATOS!$A2557&amp;"|"&amp;DATOS!$D2557&amp;"|"&amp;DATOS!$E2557&amp;"|"&amp;DATOS!$I2557)</f>
      </c>
      <c r="G2557">
        <f>IF(DATOS!$A2557="",0,IF(CONFIG_METADATA!$B$4&lt;&gt;"OR+EX",--(DATOS!$G2557=CONFIG_METADATA!$B$4),IF(DATOS!$G2557="EX",1,IF(DATOS!$G2557="OR",--(COUNTIFS(nNIA,DATOS!$A2557,nCURSO,DATOS!$D2557,nESPEC,DATOS!$E2557,nASIG,DATOS!$I2557,nEVAL,"EX")=0),0))))</f>
      </c>
      <c r="H2557">
        <f>IF(DATOS!$G2557&lt;&gt;"EX",0,--(COUNTIFS(nNIA,DATOS!$A2557,nCURSO,DATOS!$D2557,nESPEC,DATOS!$E2557,nASIG,DATOS!$I2557,nEVAL,"OR")=0))</f>
      </c>
      <c r="I2557">
        <f>IF(DATOS!$I2557="","",IFERROR(VLOOKUP(DATOS!$I2557,CONFIG_ASIGNATURAS!$B$2:$J$91,9,FALSE()),""))</f>
      </c>
    </row>
    <row r="2558">
      <c r="F2558">
        <f>IF(DATOS!$A2558="","",DATOS!$A2558&amp;"|"&amp;DATOS!$D2558&amp;"|"&amp;DATOS!$E2558&amp;"|"&amp;DATOS!$I2558)</f>
      </c>
      <c r="G2558">
        <f>IF(DATOS!$A2558="",0,IF(CONFIG_METADATA!$B$4&lt;&gt;"OR+EX",--(DATOS!$G2558=CONFIG_METADATA!$B$4),IF(DATOS!$G2558="EX",1,IF(DATOS!$G2558="OR",--(COUNTIFS(nNIA,DATOS!$A2558,nCURSO,DATOS!$D2558,nESPEC,DATOS!$E2558,nASIG,DATOS!$I2558,nEVAL,"EX")=0),0))))</f>
      </c>
      <c r="H2558">
        <f>IF(DATOS!$G2558&lt;&gt;"EX",0,--(COUNTIFS(nNIA,DATOS!$A2558,nCURSO,DATOS!$D2558,nESPEC,DATOS!$E2558,nASIG,DATOS!$I2558,nEVAL,"OR")=0))</f>
      </c>
      <c r="I2558">
        <f>IF(DATOS!$I2558="","",IFERROR(VLOOKUP(DATOS!$I2558,CONFIG_ASIGNATURAS!$B$2:$J$91,9,FALSE()),""))</f>
      </c>
    </row>
    <row r="2559">
      <c r="F2559">
        <f>IF(DATOS!$A2559="","",DATOS!$A2559&amp;"|"&amp;DATOS!$D2559&amp;"|"&amp;DATOS!$E2559&amp;"|"&amp;DATOS!$I2559)</f>
      </c>
      <c r="G2559">
        <f>IF(DATOS!$A2559="",0,IF(CONFIG_METADATA!$B$4&lt;&gt;"OR+EX",--(DATOS!$G2559=CONFIG_METADATA!$B$4),IF(DATOS!$G2559="EX",1,IF(DATOS!$G2559="OR",--(COUNTIFS(nNIA,DATOS!$A2559,nCURSO,DATOS!$D2559,nESPEC,DATOS!$E2559,nASIG,DATOS!$I2559,nEVAL,"EX")=0),0))))</f>
      </c>
      <c r="H2559">
        <f>IF(DATOS!$G2559&lt;&gt;"EX",0,--(COUNTIFS(nNIA,DATOS!$A2559,nCURSO,DATOS!$D2559,nESPEC,DATOS!$E2559,nASIG,DATOS!$I2559,nEVAL,"OR")=0))</f>
      </c>
      <c r="I2559">
        <f>IF(DATOS!$I2559="","",IFERROR(VLOOKUP(DATOS!$I2559,CONFIG_ASIGNATURAS!$B$2:$J$91,9,FALSE()),""))</f>
      </c>
    </row>
    <row r="2560">
      <c r="F2560">
        <f>IF(DATOS!$A2560="","",DATOS!$A2560&amp;"|"&amp;DATOS!$D2560&amp;"|"&amp;DATOS!$E2560&amp;"|"&amp;DATOS!$I2560)</f>
      </c>
      <c r="G2560">
        <f>IF(DATOS!$A2560="",0,IF(CONFIG_METADATA!$B$4&lt;&gt;"OR+EX",--(DATOS!$G2560=CONFIG_METADATA!$B$4),IF(DATOS!$G2560="EX",1,IF(DATOS!$G2560="OR",--(COUNTIFS(nNIA,DATOS!$A2560,nCURSO,DATOS!$D2560,nESPEC,DATOS!$E2560,nASIG,DATOS!$I2560,nEVAL,"EX")=0),0))))</f>
      </c>
      <c r="H2560">
        <f>IF(DATOS!$G2560&lt;&gt;"EX",0,--(COUNTIFS(nNIA,DATOS!$A2560,nCURSO,DATOS!$D2560,nESPEC,DATOS!$E2560,nASIG,DATOS!$I2560,nEVAL,"OR")=0))</f>
      </c>
      <c r="I2560">
        <f>IF(DATOS!$I2560="","",IFERROR(VLOOKUP(DATOS!$I2560,CONFIG_ASIGNATURAS!$B$2:$J$91,9,FALSE()),""))</f>
      </c>
    </row>
    <row r="2561">
      <c r="F2561">
        <f>IF(DATOS!$A2561="","",DATOS!$A2561&amp;"|"&amp;DATOS!$D2561&amp;"|"&amp;DATOS!$E2561&amp;"|"&amp;DATOS!$I2561)</f>
      </c>
      <c r="G2561">
        <f>IF(DATOS!$A2561="",0,IF(CONFIG_METADATA!$B$4&lt;&gt;"OR+EX",--(DATOS!$G2561=CONFIG_METADATA!$B$4),IF(DATOS!$G2561="EX",1,IF(DATOS!$G2561="OR",--(COUNTIFS(nNIA,DATOS!$A2561,nCURSO,DATOS!$D2561,nESPEC,DATOS!$E2561,nASIG,DATOS!$I2561,nEVAL,"EX")=0),0))))</f>
      </c>
      <c r="H2561">
        <f>IF(DATOS!$G2561&lt;&gt;"EX",0,--(COUNTIFS(nNIA,DATOS!$A2561,nCURSO,DATOS!$D2561,nESPEC,DATOS!$E2561,nASIG,DATOS!$I2561,nEVAL,"OR")=0))</f>
      </c>
      <c r="I2561">
        <f>IF(DATOS!$I2561="","",IFERROR(VLOOKUP(DATOS!$I2561,CONFIG_ASIGNATURAS!$B$2:$J$91,9,FALSE()),""))</f>
      </c>
    </row>
    <row r="2562">
      <c r="F2562">
        <f>IF(DATOS!$A2562="","",DATOS!$A2562&amp;"|"&amp;DATOS!$D2562&amp;"|"&amp;DATOS!$E2562&amp;"|"&amp;DATOS!$I2562)</f>
      </c>
      <c r="G2562">
        <f>IF(DATOS!$A2562="",0,IF(CONFIG_METADATA!$B$4&lt;&gt;"OR+EX",--(DATOS!$G2562=CONFIG_METADATA!$B$4),IF(DATOS!$G2562="EX",1,IF(DATOS!$G2562="OR",--(COUNTIFS(nNIA,DATOS!$A2562,nCURSO,DATOS!$D2562,nESPEC,DATOS!$E2562,nASIG,DATOS!$I2562,nEVAL,"EX")=0),0))))</f>
      </c>
      <c r="H2562">
        <f>IF(DATOS!$G2562&lt;&gt;"EX",0,--(COUNTIFS(nNIA,DATOS!$A2562,nCURSO,DATOS!$D2562,nESPEC,DATOS!$E2562,nASIG,DATOS!$I2562,nEVAL,"OR")=0))</f>
      </c>
      <c r="I2562">
        <f>IF(DATOS!$I2562="","",IFERROR(VLOOKUP(DATOS!$I2562,CONFIG_ASIGNATURAS!$B$2:$J$91,9,FALSE()),""))</f>
      </c>
    </row>
    <row r="2563">
      <c r="F2563">
        <f>IF(DATOS!$A2563="","",DATOS!$A2563&amp;"|"&amp;DATOS!$D2563&amp;"|"&amp;DATOS!$E2563&amp;"|"&amp;DATOS!$I2563)</f>
      </c>
      <c r="G2563">
        <f>IF(DATOS!$A2563="",0,IF(CONFIG_METADATA!$B$4&lt;&gt;"OR+EX",--(DATOS!$G2563=CONFIG_METADATA!$B$4),IF(DATOS!$G2563="EX",1,IF(DATOS!$G2563="OR",--(COUNTIFS(nNIA,DATOS!$A2563,nCURSO,DATOS!$D2563,nESPEC,DATOS!$E2563,nASIG,DATOS!$I2563,nEVAL,"EX")=0),0))))</f>
      </c>
      <c r="H2563">
        <f>IF(DATOS!$G2563&lt;&gt;"EX",0,--(COUNTIFS(nNIA,DATOS!$A2563,nCURSO,DATOS!$D2563,nESPEC,DATOS!$E2563,nASIG,DATOS!$I2563,nEVAL,"OR")=0))</f>
      </c>
      <c r="I2563">
        <f>IF(DATOS!$I2563="","",IFERROR(VLOOKUP(DATOS!$I2563,CONFIG_ASIGNATURAS!$B$2:$J$91,9,FALSE()),""))</f>
      </c>
    </row>
    <row r="2564">
      <c r="F2564">
        <f>IF(DATOS!$A2564="","",DATOS!$A2564&amp;"|"&amp;DATOS!$D2564&amp;"|"&amp;DATOS!$E2564&amp;"|"&amp;DATOS!$I2564)</f>
      </c>
      <c r="G2564">
        <f>IF(DATOS!$A2564="",0,IF(CONFIG_METADATA!$B$4&lt;&gt;"OR+EX",--(DATOS!$G2564=CONFIG_METADATA!$B$4),IF(DATOS!$G2564="EX",1,IF(DATOS!$G2564="OR",--(COUNTIFS(nNIA,DATOS!$A2564,nCURSO,DATOS!$D2564,nESPEC,DATOS!$E2564,nASIG,DATOS!$I2564,nEVAL,"EX")=0),0))))</f>
      </c>
      <c r="H2564">
        <f>IF(DATOS!$G2564&lt;&gt;"EX",0,--(COUNTIFS(nNIA,DATOS!$A2564,nCURSO,DATOS!$D2564,nESPEC,DATOS!$E2564,nASIG,DATOS!$I2564,nEVAL,"OR")=0))</f>
      </c>
      <c r="I2564">
        <f>IF(DATOS!$I2564="","",IFERROR(VLOOKUP(DATOS!$I2564,CONFIG_ASIGNATURAS!$B$2:$J$91,9,FALSE()),""))</f>
      </c>
    </row>
    <row r="2565">
      <c r="F2565">
        <f>IF(DATOS!$A2565="","",DATOS!$A2565&amp;"|"&amp;DATOS!$D2565&amp;"|"&amp;DATOS!$E2565&amp;"|"&amp;DATOS!$I2565)</f>
      </c>
      <c r="G2565">
        <f>IF(DATOS!$A2565="",0,IF(CONFIG_METADATA!$B$4&lt;&gt;"OR+EX",--(DATOS!$G2565=CONFIG_METADATA!$B$4),IF(DATOS!$G2565="EX",1,IF(DATOS!$G2565="OR",--(COUNTIFS(nNIA,DATOS!$A2565,nCURSO,DATOS!$D2565,nESPEC,DATOS!$E2565,nASIG,DATOS!$I2565,nEVAL,"EX")=0),0))))</f>
      </c>
      <c r="H2565">
        <f>IF(DATOS!$G2565&lt;&gt;"EX",0,--(COUNTIFS(nNIA,DATOS!$A2565,nCURSO,DATOS!$D2565,nESPEC,DATOS!$E2565,nASIG,DATOS!$I2565,nEVAL,"OR")=0))</f>
      </c>
      <c r="I2565">
        <f>IF(DATOS!$I2565="","",IFERROR(VLOOKUP(DATOS!$I2565,CONFIG_ASIGNATURAS!$B$2:$J$91,9,FALSE()),""))</f>
      </c>
    </row>
    <row r="2566">
      <c r="F2566">
        <f>IF(DATOS!$A2566="","",DATOS!$A2566&amp;"|"&amp;DATOS!$D2566&amp;"|"&amp;DATOS!$E2566&amp;"|"&amp;DATOS!$I2566)</f>
      </c>
      <c r="G2566">
        <f>IF(DATOS!$A2566="",0,IF(CONFIG_METADATA!$B$4&lt;&gt;"OR+EX",--(DATOS!$G2566=CONFIG_METADATA!$B$4),IF(DATOS!$G2566="EX",1,IF(DATOS!$G2566="OR",--(COUNTIFS(nNIA,DATOS!$A2566,nCURSO,DATOS!$D2566,nESPEC,DATOS!$E2566,nASIG,DATOS!$I2566,nEVAL,"EX")=0),0))))</f>
      </c>
      <c r="H2566">
        <f>IF(DATOS!$G2566&lt;&gt;"EX",0,--(COUNTIFS(nNIA,DATOS!$A2566,nCURSO,DATOS!$D2566,nESPEC,DATOS!$E2566,nASIG,DATOS!$I2566,nEVAL,"OR")=0))</f>
      </c>
      <c r="I2566">
        <f>IF(DATOS!$I2566="","",IFERROR(VLOOKUP(DATOS!$I2566,CONFIG_ASIGNATURAS!$B$2:$J$91,9,FALSE()),""))</f>
      </c>
    </row>
    <row r="2567">
      <c r="F2567">
        <f>IF(DATOS!$A2567="","",DATOS!$A2567&amp;"|"&amp;DATOS!$D2567&amp;"|"&amp;DATOS!$E2567&amp;"|"&amp;DATOS!$I2567)</f>
      </c>
      <c r="G2567">
        <f>IF(DATOS!$A2567="",0,IF(CONFIG_METADATA!$B$4&lt;&gt;"OR+EX",--(DATOS!$G2567=CONFIG_METADATA!$B$4),IF(DATOS!$G2567="EX",1,IF(DATOS!$G2567="OR",--(COUNTIFS(nNIA,DATOS!$A2567,nCURSO,DATOS!$D2567,nESPEC,DATOS!$E2567,nASIG,DATOS!$I2567,nEVAL,"EX")=0),0))))</f>
      </c>
      <c r="H2567">
        <f>IF(DATOS!$G2567&lt;&gt;"EX",0,--(COUNTIFS(nNIA,DATOS!$A2567,nCURSO,DATOS!$D2567,nESPEC,DATOS!$E2567,nASIG,DATOS!$I2567,nEVAL,"OR")=0))</f>
      </c>
      <c r="I2567">
        <f>IF(DATOS!$I2567="","",IFERROR(VLOOKUP(DATOS!$I2567,CONFIG_ASIGNATURAS!$B$2:$J$91,9,FALSE()),""))</f>
      </c>
    </row>
    <row r="2568">
      <c r="F2568">
        <f>IF(DATOS!$A2568="","",DATOS!$A2568&amp;"|"&amp;DATOS!$D2568&amp;"|"&amp;DATOS!$E2568&amp;"|"&amp;DATOS!$I2568)</f>
      </c>
      <c r="G2568">
        <f>IF(DATOS!$A2568="",0,IF(CONFIG_METADATA!$B$4&lt;&gt;"OR+EX",--(DATOS!$G2568=CONFIG_METADATA!$B$4),IF(DATOS!$G2568="EX",1,IF(DATOS!$G2568="OR",--(COUNTIFS(nNIA,DATOS!$A2568,nCURSO,DATOS!$D2568,nESPEC,DATOS!$E2568,nASIG,DATOS!$I2568,nEVAL,"EX")=0),0))))</f>
      </c>
      <c r="H2568">
        <f>IF(DATOS!$G2568&lt;&gt;"EX",0,--(COUNTIFS(nNIA,DATOS!$A2568,nCURSO,DATOS!$D2568,nESPEC,DATOS!$E2568,nASIG,DATOS!$I2568,nEVAL,"OR")=0))</f>
      </c>
      <c r="I2568">
        <f>IF(DATOS!$I2568="","",IFERROR(VLOOKUP(DATOS!$I2568,CONFIG_ASIGNATURAS!$B$2:$J$91,9,FALSE()),""))</f>
      </c>
    </row>
    <row r="2569">
      <c r="F2569">
        <f>IF(DATOS!$A2569="","",DATOS!$A2569&amp;"|"&amp;DATOS!$D2569&amp;"|"&amp;DATOS!$E2569&amp;"|"&amp;DATOS!$I2569)</f>
      </c>
      <c r="G2569">
        <f>IF(DATOS!$A2569="",0,IF(CONFIG_METADATA!$B$4&lt;&gt;"OR+EX",--(DATOS!$G2569=CONFIG_METADATA!$B$4),IF(DATOS!$G2569="EX",1,IF(DATOS!$G2569="OR",--(COUNTIFS(nNIA,DATOS!$A2569,nCURSO,DATOS!$D2569,nESPEC,DATOS!$E2569,nASIG,DATOS!$I2569,nEVAL,"EX")=0),0))))</f>
      </c>
      <c r="H2569">
        <f>IF(DATOS!$G2569&lt;&gt;"EX",0,--(COUNTIFS(nNIA,DATOS!$A2569,nCURSO,DATOS!$D2569,nESPEC,DATOS!$E2569,nASIG,DATOS!$I2569,nEVAL,"OR")=0))</f>
      </c>
      <c r="I2569">
        <f>IF(DATOS!$I2569="","",IFERROR(VLOOKUP(DATOS!$I2569,CONFIG_ASIGNATURAS!$B$2:$J$91,9,FALSE()),""))</f>
      </c>
    </row>
    <row r="2570">
      <c r="F2570">
        <f>IF(DATOS!$A2570="","",DATOS!$A2570&amp;"|"&amp;DATOS!$D2570&amp;"|"&amp;DATOS!$E2570&amp;"|"&amp;DATOS!$I2570)</f>
      </c>
      <c r="G2570">
        <f>IF(DATOS!$A2570="",0,IF(CONFIG_METADATA!$B$4&lt;&gt;"OR+EX",--(DATOS!$G2570=CONFIG_METADATA!$B$4),IF(DATOS!$G2570="EX",1,IF(DATOS!$G2570="OR",--(COUNTIFS(nNIA,DATOS!$A2570,nCURSO,DATOS!$D2570,nESPEC,DATOS!$E2570,nASIG,DATOS!$I2570,nEVAL,"EX")=0),0))))</f>
      </c>
      <c r="H2570">
        <f>IF(DATOS!$G2570&lt;&gt;"EX",0,--(COUNTIFS(nNIA,DATOS!$A2570,nCURSO,DATOS!$D2570,nESPEC,DATOS!$E2570,nASIG,DATOS!$I2570,nEVAL,"OR")=0))</f>
      </c>
      <c r="I2570">
        <f>IF(DATOS!$I2570="","",IFERROR(VLOOKUP(DATOS!$I2570,CONFIG_ASIGNATURAS!$B$2:$J$91,9,FALSE()),""))</f>
      </c>
    </row>
    <row r="2571">
      <c r="F2571">
        <f>IF(DATOS!$A2571="","",DATOS!$A2571&amp;"|"&amp;DATOS!$D2571&amp;"|"&amp;DATOS!$E2571&amp;"|"&amp;DATOS!$I2571)</f>
      </c>
      <c r="G2571">
        <f>IF(DATOS!$A2571="",0,IF(CONFIG_METADATA!$B$4&lt;&gt;"OR+EX",--(DATOS!$G2571=CONFIG_METADATA!$B$4),IF(DATOS!$G2571="EX",1,IF(DATOS!$G2571="OR",--(COUNTIFS(nNIA,DATOS!$A2571,nCURSO,DATOS!$D2571,nESPEC,DATOS!$E2571,nASIG,DATOS!$I2571,nEVAL,"EX")=0),0))))</f>
      </c>
      <c r="H2571">
        <f>IF(DATOS!$G2571&lt;&gt;"EX",0,--(COUNTIFS(nNIA,DATOS!$A2571,nCURSO,DATOS!$D2571,nESPEC,DATOS!$E2571,nASIG,DATOS!$I2571,nEVAL,"OR")=0))</f>
      </c>
      <c r="I2571">
        <f>IF(DATOS!$I2571="","",IFERROR(VLOOKUP(DATOS!$I2571,CONFIG_ASIGNATURAS!$B$2:$J$91,9,FALSE()),""))</f>
      </c>
    </row>
    <row r="2572">
      <c r="F2572">
        <f>IF(DATOS!$A2572="","",DATOS!$A2572&amp;"|"&amp;DATOS!$D2572&amp;"|"&amp;DATOS!$E2572&amp;"|"&amp;DATOS!$I2572)</f>
      </c>
      <c r="G2572">
        <f>IF(DATOS!$A2572="",0,IF(CONFIG_METADATA!$B$4&lt;&gt;"OR+EX",--(DATOS!$G2572=CONFIG_METADATA!$B$4),IF(DATOS!$G2572="EX",1,IF(DATOS!$G2572="OR",--(COUNTIFS(nNIA,DATOS!$A2572,nCURSO,DATOS!$D2572,nESPEC,DATOS!$E2572,nASIG,DATOS!$I2572,nEVAL,"EX")=0),0))))</f>
      </c>
      <c r="H2572">
        <f>IF(DATOS!$G2572&lt;&gt;"EX",0,--(COUNTIFS(nNIA,DATOS!$A2572,nCURSO,DATOS!$D2572,nESPEC,DATOS!$E2572,nASIG,DATOS!$I2572,nEVAL,"OR")=0))</f>
      </c>
      <c r="I2572">
        <f>IF(DATOS!$I2572="","",IFERROR(VLOOKUP(DATOS!$I2572,CONFIG_ASIGNATURAS!$B$2:$J$91,9,FALSE()),""))</f>
      </c>
    </row>
    <row r="2573">
      <c r="F2573">
        <f>IF(DATOS!$A2573="","",DATOS!$A2573&amp;"|"&amp;DATOS!$D2573&amp;"|"&amp;DATOS!$E2573&amp;"|"&amp;DATOS!$I2573)</f>
      </c>
      <c r="G2573">
        <f>IF(DATOS!$A2573="",0,IF(CONFIG_METADATA!$B$4&lt;&gt;"OR+EX",--(DATOS!$G2573=CONFIG_METADATA!$B$4),IF(DATOS!$G2573="EX",1,IF(DATOS!$G2573="OR",--(COUNTIFS(nNIA,DATOS!$A2573,nCURSO,DATOS!$D2573,nESPEC,DATOS!$E2573,nASIG,DATOS!$I2573,nEVAL,"EX")=0),0))))</f>
      </c>
      <c r="H2573">
        <f>IF(DATOS!$G2573&lt;&gt;"EX",0,--(COUNTIFS(nNIA,DATOS!$A2573,nCURSO,DATOS!$D2573,nESPEC,DATOS!$E2573,nASIG,DATOS!$I2573,nEVAL,"OR")=0))</f>
      </c>
      <c r="I2573">
        <f>IF(DATOS!$I2573="","",IFERROR(VLOOKUP(DATOS!$I2573,CONFIG_ASIGNATURAS!$B$2:$J$91,9,FALSE()),""))</f>
      </c>
    </row>
    <row r="2574">
      <c r="F2574">
        <f>IF(DATOS!$A2574="","",DATOS!$A2574&amp;"|"&amp;DATOS!$D2574&amp;"|"&amp;DATOS!$E2574&amp;"|"&amp;DATOS!$I2574)</f>
      </c>
      <c r="G2574">
        <f>IF(DATOS!$A2574="",0,IF(CONFIG_METADATA!$B$4&lt;&gt;"OR+EX",--(DATOS!$G2574=CONFIG_METADATA!$B$4),IF(DATOS!$G2574="EX",1,IF(DATOS!$G2574="OR",--(COUNTIFS(nNIA,DATOS!$A2574,nCURSO,DATOS!$D2574,nESPEC,DATOS!$E2574,nASIG,DATOS!$I2574,nEVAL,"EX")=0),0))))</f>
      </c>
      <c r="H2574">
        <f>IF(DATOS!$G2574&lt;&gt;"EX",0,--(COUNTIFS(nNIA,DATOS!$A2574,nCURSO,DATOS!$D2574,nESPEC,DATOS!$E2574,nASIG,DATOS!$I2574,nEVAL,"OR")=0))</f>
      </c>
      <c r="I2574">
        <f>IF(DATOS!$I2574="","",IFERROR(VLOOKUP(DATOS!$I2574,CONFIG_ASIGNATURAS!$B$2:$J$91,9,FALSE()),""))</f>
      </c>
    </row>
    <row r="2575">
      <c r="F2575">
        <f>IF(DATOS!$A2575="","",DATOS!$A2575&amp;"|"&amp;DATOS!$D2575&amp;"|"&amp;DATOS!$E2575&amp;"|"&amp;DATOS!$I2575)</f>
      </c>
      <c r="G2575">
        <f>IF(DATOS!$A2575="",0,IF(CONFIG_METADATA!$B$4&lt;&gt;"OR+EX",--(DATOS!$G2575=CONFIG_METADATA!$B$4),IF(DATOS!$G2575="EX",1,IF(DATOS!$G2575="OR",--(COUNTIFS(nNIA,DATOS!$A2575,nCURSO,DATOS!$D2575,nESPEC,DATOS!$E2575,nASIG,DATOS!$I2575,nEVAL,"EX")=0),0))))</f>
      </c>
      <c r="H2575">
        <f>IF(DATOS!$G2575&lt;&gt;"EX",0,--(COUNTIFS(nNIA,DATOS!$A2575,nCURSO,DATOS!$D2575,nESPEC,DATOS!$E2575,nASIG,DATOS!$I2575,nEVAL,"OR")=0))</f>
      </c>
      <c r="I2575">
        <f>IF(DATOS!$I2575="","",IFERROR(VLOOKUP(DATOS!$I2575,CONFIG_ASIGNATURAS!$B$2:$J$91,9,FALSE()),""))</f>
      </c>
    </row>
    <row r="2576">
      <c r="F2576">
        <f>IF(DATOS!$A2576="","",DATOS!$A2576&amp;"|"&amp;DATOS!$D2576&amp;"|"&amp;DATOS!$E2576&amp;"|"&amp;DATOS!$I2576)</f>
      </c>
      <c r="G2576">
        <f>IF(DATOS!$A2576="",0,IF(CONFIG_METADATA!$B$4&lt;&gt;"OR+EX",--(DATOS!$G2576=CONFIG_METADATA!$B$4),IF(DATOS!$G2576="EX",1,IF(DATOS!$G2576="OR",--(COUNTIFS(nNIA,DATOS!$A2576,nCURSO,DATOS!$D2576,nESPEC,DATOS!$E2576,nASIG,DATOS!$I2576,nEVAL,"EX")=0),0))))</f>
      </c>
      <c r="H2576">
        <f>IF(DATOS!$G2576&lt;&gt;"EX",0,--(COUNTIFS(nNIA,DATOS!$A2576,nCURSO,DATOS!$D2576,nESPEC,DATOS!$E2576,nASIG,DATOS!$I2576,nEVAL,"OR")=0))</f>
      </c>
      <c r="I2576">
        <f>IF(DATOS!$I2576="","",IFERROR(VLOOKUP(DATOS!$I2576,CONFIG_ASIGNATURAS!$B$2:$J$91,9,FALSE()),""))</f>
      </c>
    </row>
    <row r="2577">
      <c r="F2577">
        <f>IF(DATOS!$A2577="","",DATOS!$A2577&amp;"|"&amp;DATOS!$D2577&amp;"|"&amp;DATOS!$E2577&amp;"|"&amp;DATOS!$I2577)</f>
      </c>
      <c r="G2577">
        <f>IF(DATOS!$A2577="",0,IF(CONFIG_METADATA!$B$4&lt;&gt;"OR+EX",--(DATOS!$G2577=CONFIG_METADATA!$B$4),IF(DATOS!$G2577="EX",1,IF(DATOS!$G2577="OR",--(COUNTIFS(nNIA,DATOS!$A2577,nCURSO,DATOS!$D2577,nESPEC,DATOS!$E2577,nASIG,DATOS!$I2577,nEVAL,"EX")=0),0))))</f>
      </c>
      <c r="H2577">
        <f>IF(DATOS!$G2577&lt;&gt;"EX",0,--(COUNTIFS(nNIA,DATOS!$A2577,nCURSO,DATOS!$D2577,nESPEC,DATOS!$E2577,nASIG,DATOS!$I2577,nEVAL,"OR")=0))</f>
      </c>
      <c r="I2577">
        <f>IF(DATOS!$I2577="","",IFERROR(VLOOKUP(DATOS!$I2577,CONFIG_ASIGNATURAS!$B$2:$J$91,9,FALSE()),""))</f>
      </c>
    </row>
    <row r="2578">
      <c r="F2578">
        <f>IF(DATOS!$A2578="","",DATOS!$A2578&amp;"|"&amp;DATOS!$D2578&amp;"|"&amp;DATOS!$E2578&amp;"|"&amp;DATOS!$I2578)</f>
      </c>
      <c r="G2578">
        <f>IF(DATOS!$A2578="",0,IF(CONFIG_METADATA!$B$4&lt;&gt;"OR+EX",--(DATOS!$G2578=CONFIG_METADATA!$B$4),IF(DATOS!$G2578="EX",1,IF(DATOS!$G2578="OR",--(COUNTIFS(nNIA,DATOS!$A2578,nCURSO,DATOS!$D2578,nESPEC,DATOS!$E2578,nASIG,DATOS!$I2578,nEVAL,"EX")=0),0))))</f>
      </c>
      <c r="H2578">
        <f>IF(DATOS!$G2578&lt;&gt;"EX",0,--(COUNTIFS(nNIA,DATOS!$A2578,nCURSO,DATOS!$D2578,nESPEC,DATOS!$E2578,nASIG,DATOS!$I2578,nEVAL,"OR")=0))</f>
      </c>
      <c r="I2578">
        <f>IF(DATOS!$I2578="","",IFERROR(VLOOKUP(DATOS!$I2578,CONFIG_ASIGNATURAS!$B$2:$J$91,9,FALSE()),""))</f>
      </c>
    </row>
    <row r="2579">
      <c r="F2579">
        <f>IF(DATOS!$A2579="","",DATOS!$A2579&amp;"|"&amp;DATOS!$D2579&amp;"|"&amp;DATOS!$E2579&amp;"|"&amp;DATOS!$I2579)</f>
      </c>
      <c r="G2579">
        <f>IF(DATOS!$A2579="",0,IF(CONFIG_METADATA!$B$4&lt;&gt;"OR+EX",--(DATOS!$G2579=CONFIG_METADATA!$B$4),IF(DATOS!$G2579="EX",1,IF(DATOS!$G2579="OR",--(COUNTIFS(nNIA,DATOS!$A2579,nCURSO,DATOS!$D2579,nESPEC,DATOS!$E2579,nASIG,DATOS!$I2579,nEVAL,"EX")=0),0))))</f>
      </c>
      <c r="H2579">
        <f>IF(DATOS!$G2579&lt;&gt;"EX",0,--(COUNTIFS(nNIA,DATOS!$A2579,nCURSO,DATOS!$D2579,nESPEC,DATOS!$E2579,nASIG,DATOS!$I2579,nEVAL,"OR")=0))</f>
      </c>
      <c r="I2579">
        <f>IF(DATOS!$I2579="","",IFERROR(VLOOKUP(DATOS!$I2579,CONFIG_ASIGNATURAS!$B$2:$J$91,9,FALSE()),""))</f>
      </c>
    </row>
    <row r="2580">
      <c r="F2580">
        <f>IF(DATOS!$A2580="","",DATOS!$A2580&amp;"|"&amp;DATOS!$D2580&amp;"|"&amp;DATOS!$E2580&amp;"|"&amp;DATOS!$I2580)</f>
      </c>
      <c r="G2580">
        <f>IF(DATOS!$A2580="",0,IF(CONFIG_METADATA!$B$4&lt;&gt;"OR+EX",--(DATOS!$G2580=CONFIG_METADATA!$B$4),IF(DATOS!$G2580="EX",1,IF(DATOS!$G2580="OR",--(COUNTIFS(nNIA,DATOS!$A2580,nCURSO,DATOS!$D2580,nESPEC,DATOS!$E2580,nASIG,DATOS!$I2580,nEVAL,"EX")=0),0))))</f>
      </c>
      <c r="H2580">
        <f>IF(DATOS!$G2580&lt;&gt;"EX",0,--(COUNTIFS(nNIA,DATOS!$A2580,nCURSO,DATOS!$D2580,nESPEC,DATOS!$E2580,nASIG,DATOS!$I2580,nEVAL,"OR")=0))</f>
      </c>
      <c r="I2580">
        <f>IF(DATOS!$I2580="","",IFERROR(VLOOKUP(DATOS!$I2580,CONFIG_ASIGNATURAS!$B$2:$J$91,9,FALSE()),""))</f>
      </c>
    </row>
    <row r="2581">
      <c r="F2581">
        <f>IF(DATOS!$A2581="","",DATOS!$A2581&amp;"|"&amp;DATOS!$D2581&amp;"|"&amp;DATOS!$E2581&amp;"|"&amp;DATOS!$I2581)</f>
      </c>
      <c r="G2581">
        <f>IF(DATOS!$A2581="",0,IF(CONFIG_METADATA!$B$4&lt;&gt;"OR+EX",--(DATOS!$G2581=CONFIG_METADATA!$B$4),IF(DATOS!$G2581="EX",1,IF(DATOS!$G2581="OR",--(COUNTIFS(nNIA,DATOS!$A2581,nCURSO,DATOS!$D2581,nESPEC,DATOS!$E2581,nASIG,DATOS!$I2581,nEVAL,"EX")=0),0))))</f>
      </c>
      <c r="H2581">
        <f>IF(DATOS!$G2581&lt;&gt;"EX",0,--(COUNTIFS(nNIA,DATOS!$A2581,nCURSO,DATOS!$D2581,nESPEC,DATOS!$E2581,nASIG,DATOS!$I2581,nEVAL,"OR")=0))</f>
      </c>
      <c r="I2581">
        <f>IF(DATOS!$I2581="","",IFERROR(VLOOKUP(DATOS!$I2581,CONFIG_ASIGNATURAS!$B$2:$J$91,9,FALSE()),""))</f>
      </c>
    </row>
    <row r="2582">
      <c r="F2582">
        <f>IF(DATOS!$A2582="","",DATOS!$A2582&amp;"|"&amp;DATOS!$D2582&amp;"|"&amp;DATOS!$E2582&amp;"|"&amp;DATOS!$I2582)</f>
      </c>
      <c r="G2582">
        <f>IF(DATOS!$A2582="",0,IF(CONFIG_METADATA!$B$4&lt;&gt;"OR+EX",--(DATOS!$G2582=CONFIG_METADATA!$B$4),IF(DATOS!$G2582="EX",1,IF(DATOS!$G2582="OR",--(COUNTIFS(nNIA,DATOS!$A2582,nCURSO,DATOS!$D2582,nESPEC,DATOS!$E2582,nASIG,DATOS!$I2582,nEVAL,"EX")=0),0))))</f>
      </c>
      <c r="H2582">
        <f>IF(DATOS!$G2582&lt;&gt;"EX",0,--(COUNTIFS(nNIA,DATOS!$A2582,nCURSO,DATOS!$D2582,nESPEC,DATOS!$E2582,nASIG,DATOS!$I2582,nEVAL,"OR")=0))</f>
      </c>
      <c r="I2582">
        <f>IF(DATOS!$I2582="","",IFERROR(VLOOKUP(DATOS!$I2582,CONFIG_ASIGNATURAS!$B$2:$J$91,9,FALSE()),""))</f>
      </c>
    </row>
    <row r="2583">
      <c r="F2583">
        <f>IF(DATOS!$A2583="","",DATOS!$A2583&amp;"|"&amp;DATOS!$D2583&amp;"|"&amp;DATOS!$E2583&amp;"|"&amp;DATOS!$I2583)</f>
      </c>
      <c r="G2583">
        <f>IF(DATOS!$A2583="",0,IF(CONFIG_METADATA!$B$4&lt;&gt;"OR+EX",--(DATOS!$G2583=CONFIG_METADATA!$B$4),IF(DATOS!$G2583="EX",1,IF(DATOS!$G2583="OR",--(COUNTIFS(nNIA,DATOS!$A2583,nCURSO,DATOS!$D2583,nESPEC,DATOS!$E2583,nASIG,DATOS!$I2583,nEVAL,"EX")=0),0))))</f>
      </c>
      <c r="H2583">
        <f>IF(DATOS!$G2583&lt;&gt;"EX",0,--(COUNTIFS(nNIA,DATOS!$A2583,nCURSO,DATOS!$D2583,nESPEC,DATOS!$E2583,nASIG,DATOS!$I2583,nEVAL,"OR")=0))</f>
      </c>
      <c r="I2583">
        <f>IF(DATOS!$I2583="","",IFERROR(VLOOKUP(DATOS!$I2583,CONFIG_ASIGNATURAS!$B$2:$J$91,9,FALSE()),""))</f>
      </c>
    </row>
    <row r="2584">
      <c r="F2584">
        <f>IF(DATOS!$A2584="","",DATOS!$A2584&amp;"|"&amp;DATOS!$D2584&amp;"|"&amp;DATOS!$E2584&amp;"|"&amp;DATOS!$I2584)</f>
      </c>
      <c r="G2584">
        <f>IF(DATOS!$A2584="",0,IF(CONFIG_METADATA!$B$4&lt;&gt;"OR+EX",--(DATOS!$G2584=CONFIG_METADATA!$B$4),IF(DATOS!$G2584="EX",1,IF(DATOS!$G2584="OR",--(COUNTIFS(nNIA,DATOS!$A2584,nCURSO,DATOS!$D2584,nESPEC,DATOS!$E2584,nASIG,DATOS!$I2584,nEVAL,"EX")=0),0))))</f>
      </c>
      <c r="H2584">
        <f>IF(DATOS!$G2584&lt;&gt;"EX",0,--(COUNTIFS(nNIA,DATOS!$A2584,nCURSO,DATOS!$D2584,nESPEC,DATOS!$E2584,nASIG,DATOS!$I2584,nEVAL,"OR")=0))</f>
      </c>
      <c r="I2584">
        <f>IF(DATOS!$I2584="","",IFERROR(VLOOKUP(DATOS!$I2584,CONFIG_ASIGNATURAS!$B$2:$J$91,9,FALSE()),""))</f>
      </c>
    </row>
    <row r="2585">
      <c r="F2585">
        <f>IF(DATOS!$A2585="","",DATOS!$A2585&amp;"|"&amp;DATOS!$D2585&amp;"|"&amp;DATOS!$E2585&amp;"|"&amp;DATOS!$I2585)</f>
      </c>
      <c r="G2585">
        <f>IF(DATOS!$A2585="",0,IF(CONFIG_METADATA!$B$4&lt;&gt;"OR+EX",--(DATOS!$G2585=CONFIG_METADATA!$B$4),IF(DATOS!$G2585="EX",1,IF(DATOS!$G2585="OR",--(COUNTIFS(nNIA,DATOS!$A2585,nCURSO,DATOS!$D2585,nESPEC,DATOS!$E2585,nASIG,DATOS!$I2585,nEVAL,"EX")=0),0))))</f>
      </c>
      <c r="H2585">
        <f>IF(DATOS!$G2585&lt;&gt;"EX",0,--(COUNTIFS(nNIA,DATOS!$A2585,nCURSO,DATOS!$D2585,nESPEC,DATOS!$E2585,nASIG,DATOS!$I2585,nEVAL,"OR")=0))</f>
      </c>
      <c r="I2585">
        <f>IF(DATOS!$I2585="","",IFERROR(VLOOKUP(DATOS!$I2585,CONFIG_ASIGNATURAS!$B$2:$J$91,9,FALSE()),""))</f>
      </c>
    </row>
    <row r="2586">
      <c r="F2586">
        <f>IF(DATOS!$A2586="","",DATOS!$A2586&amp;"|"&amp;DATOS!$D2586&amp;"|"&amp;DATOS!$E2586&amp;"|"&amp;DATOS!$I2586)</f>
      </c>
      <c r="G2586">
        <f>IF(DATOS!$A2586="",0,IF(CONFIG_METADATA!$B$4&lt;&gt;"OR+EX",--(DATOS!$G2586=CONFIG_METADATA!$B$4),IF(DATOS!$G2586="EX",1,IF(DATOS!$G2586="OR",--(COUNTIFS(nNIA,DATOS!$A2586,nCURSO,DATOS!$D2586,nESPEC,DATOS!$E2586,nASIG,DATOS!$I2586,nEVAL,"EX")=0),0))))</f>
      </c>
      <c r="H2586">
        <f>IF(DATOS!$G2586&lt;&gt;"EX",0,--(COUNTIFS(nNIA,DATOS!$A2586,nCURSO,DATOS!$D2586,nESPEC,DATOS!$E2586,nASIG,DATOS!$I2586,nEVAL,"OR")=0))</f>
      </c>
      <c r="I2586">
        <f>IF(DATOS!$I2586="","",IFERROR(VLOOKUP(DATOS!$I2586,CONFIG_ASIGNATURAS!$B$2:$J$91,9,FALSE()),""))</f>
      </c>
    </row>
    <row r="2587">
      <c r="F2587">
        <f>IF(DATOS!$A2587="","",DATOS!$A2587&amp;"|"&amp;DATOS!$D2587&amp;"|"&amp;DATOS!$E2587&amp;"|"&amp;DATOS!$I2587)</f>
      </c>
      <c r="G2587">
        <f>IF(DATOS!$A2587="",0,IF(CONFIG_METADATA!$B$4&lt;&gt;"OR+EX",--(DATOS!$G2587=CONFIG_METADATA!$B$4),IF(DATOS!$G2587="EX",1,IF(DATOS!$G2587="OR",--(COUNTIFS(nNIA,DATOS!$A2587,nCURSO,DATOS!$D2587,nESPEC,DATOS!$E2587,nASIG,DATOS!$I2587,nEVAL,"EX")=0),0))))</f>
      </c>
      <c r="H2587">
        <f>IF(DATOS!$G2587&lt;&gt;"EX",0,--(COUNTIFS(nNIA,DATOS!$A2587,nCURSO,DATOS!$D2587,nESPEC,DATOS!$E2587,nASIG,DATOS!$I2587,nEVAL,"OR")=0))</f>
      </c>
      <c r="I2587">
        <f>IF(DATOS!$I2587="","",IFERROR(VLOOKUP(DATOS!$I2587,CONFIG_ASIGNATURAS!$B$2:$J$91,9,FALSE()),""))</f>
      </c>
    </row>
    <row r="2588">
      <c r="F2588">
        <f>IF(DATOS!$A2588="","",DATOS!$A2588&amp;"|"&amp;DATOS!$D2588&amp;"|"&amp;DATOS!$E2588&amp;"|"&amp;DATOS!$I2588)</f>
      </c>
      <c r="G2588">
        <f>IF(DATOS!$A2588="",0,IF(CONFIG_METADATA!$B$4&lt;&gt;"OR+EX",--(DATOS!$G2588=CONFIG_METADATA!$B$4),IF(DATOS!$G2588="EX",1,IF(DATOS!$G2588="OR",--(COUNTIFS(nNIA,DATOS!$A2588,nCURSO,DATOS!$D2588,nESPEC,DATOS!$E2588,nASIG,DATOS!$I2588,nEVAL,"EX")=0),0))))</f>
      </c>
      <c r="H2588">
        <f>IF(DATOS!$G2588&lt;&gt;"EX",0,--(COUNTIFS(nNIA,DATOS!$A2588,nCURSO,DATOS!$D2588,nESPEC,DATOS!$E2588,nASIG,DATOS!$I2588,nEVAL,"OR")=0))</f>
      </c>
      <c r="I2588">
        <f>IF(DATOS!$I2588="","",IFERROR(VLOOKUP(DATOS!$I2588,CONFIG_ASIGNATURAS!$B$2:$J$91,9,FALSE()),""))</f>
      </c>
    </row>
    <row r="2589">
      <c r="F2589">
        <f>IF(DATOS!$A2589="","",DATOS!$A2589&amp;"|"&amp;DATOS!$D2589&amp;"|"&amp;DATOS!$E2589&amp;"|"&amp;DATOS!$I2589)</f>
      </c>
      <c r="G2589">
        <f>IF(DATOS!$A2589="",0,IF(CONFIG_METADATA!$B$4&lt;&gt;"OR+EX",--(DATOS!$G2589=CONFIG_METADATA!$B$4),IF(DATOS!$G2589="EX",1,IF(DATOS!$G2589="OR",--(COUNTIFS(nNIA,DATOS!$A2589,nCURSO,DATOS!$D2589,nESPEC,DATOS!$E2589,nASIG,DATOS!$I2589,nEVAL,"EX")=0),0))))</f>
      </c>
      <c r="H2589">
        <f>IF(DATOS!$G2589&lt;&gt;"EX",0,--(COUNTIFS(nNIA,DATOS!$A2589,nCURSO,DATOS!$D2589,nESPEC,DATOS!$E2589,nASIG,DATOS!$I2589,nEVAL,"OR")=0))</f>
      </c>
      <c r="I2589">
        <f>IF(DATOS!$I2589="","",IFERROR(VLOOKUP(DATOS!$I2589,CONFIG_ASIGNATURAS!$B$2:$J$91,9,FALSE()),""))</f>
      </c>
    </row>
    <row r="2590">
      <c r="F2590">
        <f>IF(DATOS!$A2590="","",DATOS!$A2590&amp;"|"&amp;DATOS!$D2590&amp;"|"&amp;DATOS!$E2590&amp;"|"&amp;DATOS!$I2590)</f>
      </c>
      <c r="G2590">
        <f>IF(DATOS!$A2590="",0,IF(CONFIG_METADATA!$B$4&lt;&gt;"OR+EX",--(DATOS!$G2590=CONFIG_METADATA!$B$4),IF(DATOS!$G2590="EX",1,IF(DATOS!$G2590="OR",--(COUNTIFS(nNIA,DATOS!$A2590,nCURSO,DATOS!$D2590,nESPEC,DATOS!$E2590,nASIG,DATOS!$I2590,nEVAL,"EX")=0),0))))</f>
      </c>
      <c r="H2590">
        <f>IF(DATOS!$G2590&lt;&gt;"EX",0,--(COUNTIFS(nNIA,DATOS!$A2590,nCURSO,DATOS!$D2590,nESPEC,DATOS!$E2590,nASIG,DATOS!$I2590,nEVAL,"OR")=0))</f>
      </c>
      <c r="I2590">
        <f>IF(DATOS!$I2590="","",IFERROR(VLOOKUP(DATOS!$I2590,CONFIG_ASIGNATURAS!$B$2:$J$91,9,FALSE()),""))</f>
      </c>
    </row>
    <row r="2591">
      <c r="F2591">
        <f>IF(DATOS!$A2591="","",DATOS!$A2591&amp;"|"&amp;DATOS!$D2591&amp;"|"&amp;DATOS!$E2591&amp;"|"&amp;DATOS!$I2591)</f>
      </c>
      <c r="G2591">
        <f>IF(DATOS!$A2591="",0,IF(CONFIG_METADATA!$B$4&lt;&gt;"OR+EX",--(DATOS!$G2591=CONFIG_METADATA!$B$4),IF(DATOS!$G2591="EX",1,IF(DATOS!$G2591="OR",--(COUNTIFS(nNIA,DATOS!$A2591,nCURSO,DATOS!$D2591,nESPEC,DATOS!$E2591,nASIG,DATOS!$I2591,nEVAL,"EX")=0),0))))</f>
      </c>
      <c r="H2591">
        <f>IF(DATOS!$G2591&lt;&gt;"EX",0,--(COUNTIFS(nNIA,DATOS!$A2591,nCURSO,DATOS!$D2591,nESPEC,DATOS!$E2591,nASIG,DATOS!$I2591,nEVAL,"OR")=0))</f>
      </c>
      <c r="I2591">
        <f>IF(DATOS!$I2591="","",IFERROR(VLOOKUP(DATOS!$I2591,CONFIG_ASIGNATURAS!$B$2:$J$91,9,FALSE()),""))</f>
      </c>
    </row>
    <row r="2592">
      <c r="F2592">
        <f>IF(DATOS!$A2592="","",DATOS!$A2592&amp;"|"&amp;DATOS!$D2592&amp;"|"&amp;DATOS!$E2592&amp;"|"&amp;DATOS!$I2592)</f>
      </c>
      <c r="G2592">
        <f>IF(DATOS!$A2592="",0,IF(CONFIG_METADATA!$B$4&lt;&gt;"OR+EX",--(DATOS!$G2592=CONFIG_METADATA!$B$4),IF(DATOS!$G2592="EX",1,IF(DATOS!$G2592="OR",--(COUNTIFS(nNIA,DATOS!$A2592,nCURSO,DATOS!$D2592,nESPEC,DATOS!$E2592,nASIG,DATOS!$I2592,nEVAL,"EX")=0),0))))</f>
      </c>
      <c r="H2592">
        <f>IF(DATOS!$G2592&lt;&gt;"EX",0,--(COUNTIFS(nNIA,DATOS!$A2592,nCURSO,DATOS!$D2592,nESPEC,DATOS!$E2592,nASIG,DATOS!$I2592,nEVAL,"OR")=0))</f>
      </c>
      <c r="I2592">
        <f>IF(DATOS!$I2592="","",IFERROR(VLOOKUP(DATOS!$I2592,CONFIG_ASIGNATURAS!$B$2:$J$91,9,FALSE()),""))</f>
      </c>
    </row>
    <row r="2593">
      <c r="F2593">
        <f>IF(DATOS!$A2593="","",DATOS!$A2593&amp;"|"&amp;DATOS!$D2593&amp;"|"&amp;DATOS!$E2593&amp;"|"&amp;DATOS!$I2593)</f>
      </c>
      <c r="G2593">
        <f>IF(DATOS!$A2593="",0,IF(CONFIG_METADATA!$B$4&lt;&gt;"OR+EX",--(DATOS!$G2593=CONFIG_METADATA!$B$4),IF(DATOS!$G2593="EX",1,IF(DATOS!$G2593="OR",--(COUNTIFS(nNIA,DATOS!$A2593,nCURSO,DATOS!$D2593,nESPEC,DATOS!$E2593,nASIG,DATOS!$I2593,nEVAL,"EX")=0),0))))</f>
      </c>
      <c r="H2593">
        <f>IF(DATOS!$G2593&lt;&gt;"EX",0,--(COUNTIFS(nNIA,DATOS!$A2593,nCURSO,DATOS!$D2593,nESPEC,DATOS!$E2593,nASIG,DATOS!$I2593,nEVAL,"OR")=0))</f>
      </c>
      <c r="I2593">
        <f>IF(DATOS!$I2593="","",IFERROR(VLOOKUP(DATOS!$I2593,CONFIG_ASIGNATURAS!$B$2:$J$91,9,FALSE()),""))</f>
      </c>
    </row>
    <row r="2594">
      <c r="F2594">
        <f>IF(DATOS!$A2594="","",DATOS!$A2594&amp;"|"&amp;DATOS!$D2594&amp;"|"&amp;DATOS!$E2594&amp;"|"&amp;DATOS!$I2594)</f>
      </c>
      <c r="G2594">
        <f>IF(DATOS!$A2594="",0,IF(CONFIG_METADATA!$B$4&lt;&gt;"OR+EX",--(DATOS!$G2594=CONFIG_METADATA!$B$4),IF(DATOS!$G2594="EX",1,IF(DATOS!$G2594="OR",--(COUNTIFS(nNIA,DATOS!$A2594,nCURSO,DATOS!$D2594,nESPEC,DATOS!$E2594,nASIG,DATOS!$I2594,nEVAL,"EX")=0),0))))</f>
      </c>
      <c r="H2594">
        <f>IF(DATOS!$G2594&lt;&gt;"EX",0,--(COUNTIFS(nNIA,DATOS!$A2594,nCURSO,DATOS!$D2594,nESPEC,DATOS!$E2594,nASIG,DATOS!$I2594,nEVAL,"OR")=0))</f>
      </c>
      <c r="I2594">
        <f>IF(DATOS!$I2594="","",IFERROR(VLOOKUP(DATOS!$I2594,CONFIG_ASIGNATURAS!$B$2:$J$91,9,FALSE()),""))</f>
      </c>
    </row>
    <row r="2595">
      <c r="F2595">
        <f>IF(DATOS!$A2595="","",DATOS!$A2595&amp;"|"&amp;DATOS!$D2595&amp;"|"&amp;DATOS!$E2595&amp;"|"&amp;DATOS!$I2595)</f>
      </c>
      <c r="G2595">
        <f>IF(DATOS!$A2595="",0,IF(CONFIG_METADATA!$B$4&lt;&gt;"OR+EX",--(DATOS!$G2595=CONFIG_METADATA!$B$4),IF(DATOS!$G2595="EX",1,IF(DATOS!$G2595="OR",--(COUNTIFS(nNIA,DATOS!$A2595,nCURSO,DATOS!$D2595,nESPEC,DATOS!$E2595,nASIG,DATOS!$I2595,nEVAL,"EX")=0),0))))</f>
      </c>
      <c r="H2595">
        <f>IF(DATOS!$G2595&lt;&gt;"EX",0,--(COUNTIFS(nNIA,DATOS!$A2595,nCURSO,DATOS!$D2595,nESPEC,DATOS!$E2595,nASIG,DATOS!$I2595,nEVAL,"OR")=0))</f>
      </c>
      <c r="I2595">
        <f>IF(DATOS!$I2595="","",IFERROR(VLOOKUP(DATOS!$I2595,CONFIG_ASIGNATURAS!$B$2:$J$91,9,FALSE()),""))</f>
      </c>
    </row>
    <row r="2596">
      <c r="F2596">
        <f>IF(DATOS!$A2596="","",DATOS!$A2596&amp;"|"&amp;DATOS!$D2596&amp;"|"&amp;DATOS!$E2596&amp;"|"&amp;DATOS!$I2596)</f>
      </c>
      <c r="G2596">
        <f>IF(DATOS!$A2596="",0,IF(CONFIG_METADATA!$B$4&lt;&gt;"OR+EX",--(DATOS!$G2596=CONFIG_METADATA!$B$4),IF(DATOS!$G2596="EX",1,IF(DATOS!$G2596="OR",--(COUNTIFS(nNIA,DATOS!$A2596,nCURSO,DATOS!$D2596,nESPEC,DATOS!$E2596,nASIG,DATOS!$I2596,nEVAL,"EX")=0),0))))</f>
      </c>
      <c r="H2596">
        <f>IF(DATOS!$G2596&lt;&gt;"EX",0,--(COUNTIFS(nNIA,DATOS!$A2596,nCURSO,DATOS!$D2596,nESPEC,DATOS!$E2596,nASIG,DATOS!$I2596,nEVAL,"OR")=0))</f>
      </c>
      <c r="I2596">
        <f>IF(DATOS!$I2596="","",IFERROR(VLOOKUP(DATOS!$I2596,CONFIG_ASIGNATURAS!$B$2:$J$91,9,FALSE()),""))</f>
      </c>
    </row>
    <row r="2597">
      <c r="F2597">
        <f>IF(DATOS!$A2597="","",DATOS!$A2597&amp;"|"&amp;DATOS!$D2597&amp;"|"&amp;DATOS!$E2597&amp;"|"&amp;DATOS!$I2597)</f>
      </c>
      <c r="G2597">
        <f>IF(DATOS!$A2597="",0,IF(CONFIG_METADATA!$B$4&lt;&gt;"OR+EX",--(DATOS!$G2597=CONFIG_METADATA!$B$4),IF(DATOS!$G2597="EX",1,IF(DATOS!$G2597="OR",--(COUNTIFS(nNIA,DATOS!$A2597,nCURSO,DATOS!$D2597,nESPEC,DATOS!$E2597,nASIG,DATOS!$I2597,nEVAL,"EX")=0),0))))</f>
      </c>
      <c r="H2597">
        <f>IF(DATOS!$G2597&lt;&gt;"EX",0,--(COUNTIFS(nNIA,DATOS!$A2597,nCURSO,DATOS!$D2597,nESPEC,DATOS!$E2597,nASIG,DATOS!$I2597,nEVAL,"OR")=0))</f>
      </c>
      <c r="I2597">
        <f>IF(DATOS!$I2597="","",IFERROR(VLOOKUP(DATOS!$I2597,CONFIG_ASIGNATURAS!$B$2:$J$91,9,FALSE()),""))</f>
      </c>
    </row>
    <row r="2598">
      <c r="F2598">
        <f>IF(DATOS!$A2598="","",DATOS!$A2598&amp;"|"&amp;DATOS!$D2598&amp;"|"&amp;DATOS!$E2598&amp;"|"&amp;DATOS!$I2598)</f>
      </c>
      <c r="G2598">
        <f>IF(DATOS!$A2598="",0,IF(CONFIG_METADATA!$B$4&lt;&gt;"OR+EX",--(DATOS!$G2598=CONFIG_METADATA!$B$4),IF(DATOS!$G2598="EX",1,IF(DATOS!$G2598="OR",--(COUNTIFS(nNIA,DATOS!$A2598,nCURSO,DATOS!$D2598,nESPEC,DATOS!$E2598,nASIG,DATOS!$I2598,nEVAL,"EX")=0),0))))</f>
      </c>
      <c r="H2598">
        <f>IF(DATOS!$G2598&lt;&gt;"EX",0,--(COUNTIFS(nNIA,DATOS!$A2598,nCURSO,DATOS!$D2598,nESPEC,DATOS!$E2598,nASIG,DATOS!$I2598,nEVAL,"OR")=0))</f>
      </c>
      <c r="I2598">
        <f>IF(DATOS!$I2598="","",IFERROR(VLOOKUP(DATOS!$I2598,CONFIG_ASIGNATURAS!$B$2:$J$91,9,FALSE()),""))</f>
      </c>
    </row>
    <row r="2599">
      <c r="F2599">
        <f>IF(DATOS!$A2599="","",DATOS!$A2599&amp;"|"&amp;DATOS!$D2599&amp;"|"&amp;DATOS!$E2599&amp;"|"&amp;DATOS!$I2599)</f>
      </c>
      <c r="G2599">
        <f>IF(DATOS!$A2599="",0,IF(CONFIG_METADATA!$B$4&lt;&gt;"OR+EX",--(DATOS!$G2599=CONFIG_METADATA!$B$4),IF(DATOS!$G2599="EX",1,IF(DATOS!$G2599="OR",--(COUNTIFS(nNIA,DATOS!$A2599,nCURSO,DATOS!$D2599,nESPEC,DATOS!$E2599,nASIG,DATOS!$I2599,nEVAL,"EX")=0),0))))</f>
      </c>
      <c r="H2599">
        <f>IF(DATOS!$G2599&lt;&gt;"EX",0,--(COUNTIFS(nNIA,DATOS!$A2599,nCURSO,DATOS!$D2599,nESPEC,DATOS!$E2599,nASIG,DATOS!$I2599,nEVAL,"OR")=0))</f>
      </c>
      <c r="I2599">
        <f>IF(DATOS!$I2599="","",IFERROR(VLOOKUP(DATOS!$I2599,CONFIG_ASIGNATURAS!$B$2:$J$91,9,FALSE()),""))</f>
      </c>
    </row>
    <row r="2600">
      <c r="F2600">
        <f>IF(DATOS!$A2600="","",DATOS!$A2600&amp;"|"&amp;DATOS!$D2600&amp;"|"&amp;DATOS!$E2600&amp;"|"&amp;DATOS!$I2600)</f>
      </c>
      <c r="G2600">
        <f>IF(DATOS!$A2600="",0,IF(CONFIG_METADATA!$B$4&lt;&gt;"OR+EX",--(DATOS!$G2600=CONFIG_METADATA!$B$4),IF(DATOS!$G2600="EX",1,IF(DATOS!$G2600="OR",--(COUNTIFS(nNIA,DATOS!$A2600,nCURSO,DATOS!$D2600,nESPEC,DATOS!$E2600,nASIG,DATOS!$I2600,nEVAL,"EX")=0),0))))</f>
      </c>
      <c r="H2600">
        <f>IF(DATOS!$G2600&lt;&gt;"EX",0,--(COUNTIFS(nNIA,DATOS!$A2600,nCURSO,DATOS!$D2600,nESPEC,DATOS!$E2600,nASIG,DATOS!$I2600,nEVAL,"OR")=0))</f>
      </c>
      <c r="I2600">
        <f>IF(DATOS!$I2600="","",IFERROR(VLOOKUP(DATOS!$I2600,CONFIG_ASIGNATURAS!$B$2:$J$91,9,FALSE()),""))</f>
      </c>
    </row>
    <row r="2601">
      <c r="F2601">
        <f>IF(DATOS!$A2601="","",DATOS!$A2601&amp;"|"&amp;DATOS!$D2601&amp;"|"&amp;DATOS!$E2601&amp;"|"&amp;DATOS!$I2601)</f>
      </c>
      <c r="G2601">
        <f>IF(DATOS!$A2601="",0,IF(CONFIG_METADATA!$B$4&lt;&gt;"OR+EX",--(DATOS!$G2601=CONFIG_METADATA!$B$4),IF(DATOS!$G2601="EX",1,IF(DATOS!$G2601="OR",--(COUNTIFS(nNIA,DATOS!$A2601,nCURSO,DATOS!$D2601,nESPEC,DATOS!$E2601,nASIG,DATOS!$I2601,nEVAL,"EX")=0),0))))</f>
      </c>
      <c r="H2601">
        <f>IF(DATOS!$G2601&lt;&gt;"EX",0,--(COUNTIFS(nNIA,DATOS!$A2601,nCURSO,DATOS!$D2601,nESPEC,DATOS!$E2601,nASIG,DATOS!$I2601,nEVAL,"OR")=0))</f>
      </c>
      <c r="I2601">
        <f>IF(DATOS!$I2601="","",IFERROR(VLOOKUP(DATOS!$I2601,CONFIG_ASIGNATURAS!$B$2:$J$91,9,FALSE()),""))</f>
      </c>
    </row>
    <row r="2602">
      <c r="F2602">
        <f>IF(DATOS!$A2602="","",DATOS!$A2602&amp;"|"&amp;DATOS!$D2602&amp;"|"&amp;DATOS!$E2602&amp;"|"&amp;DATOS!$I2602)</f>
      </c>
      <c r="G2602">
        <f>IF(DATOS!$A2602="",0,IF(CONFIG_METADATA!$B$4&lt;&gt;"OR+EX",--(DATOS!$G2602=CONFIG_METADATA!$B$4),IF(DATOS!$G2602="EX",1,IF(DATOS!$G2602="OR",--(COUNTIFS(nNIA,DATOS!$A2602,nCURSO,DATOS!$D2602,nESPEC,DATOS!$E2602,nASIG,DATOS!$I2602,nEVAL,"EX")=0),0))))</f>
      </c>
      <c r="H2602">
        <f>IF(DATOS!$G2602&lt;&gt;"EX",0,--(COUNTIFS(nNIA,DATOS!$A2602,nCURSO,DATOS!$D2602,nESPEC,DATOS!$E2602,nASIG,DATOS!$I2602,nEVAL,"OR")=0))</f>
      </c>
      <c r="I2602">
        <f>IF(DATOS!$I2602="","",IFERROR(VLOOKUP(DATOS!$I2602,CONFIG_ASIGNATURAS!$B$2:$J$91,9,FALSE()),""))</f>
      </c>
    </row>
    <row r="2603">
      <c r="F2603">
        <f>IF(DATOS!$A2603="","",DATOS!$A2603&amp;"|"&amp;DATOS!$D2603&amp;"|"&amp;DATOS!$E2603&amp;"|"&amp;DATOS!$I2603)</f>
      </c>
      <c r="G2603">
        <f>IF(DATOS!$A2603="",0,IF(CONFIG_METADATA!$B$4&lt;&gt;"OR+EX",--(DATOS!$G2603=CONFIG_METADATA!$B$4),IF(DATOS!$G2603="EX",1,IF(DATOS!$G2603="OR",--(COUNTIFS(nNIA,DATOS!$A2603,nCURSO,DATOS!$D2603,nESPEC,DATOS!$E2603,nASIG,DATOS!$I2603,nEVAL,"EX")=0),0))))</f>
      </c>
      <c r="H2603">
        <f>IF(DATOS!$G2603&lt;&gt;"EX",0,--(COUNTIFS(nNIA,DATOS!$A2603,nCURSO,DATOS!$D2603,nESPEC,DATOS!$E2603,nASIG,DATOS!$I2603,nEVAL,"OR")=0))</f>
      </c>
      <c r="I2603">
        <f>IF(DATOS!$I2603="","",IFERROR(VLOOKUP(DATOS!$I2603,CONFIG_ASIGNATURAS!$B$2:$J$91,9,FALSE()),""))</f>
      </c>
    </row>
    <row r="2604">
      <c r="F2604">
        <f>IF(DATOS!$A2604="","",DATOS!$A2604&amp;"|"&amp;DATOS!$D2604&amp;"|"&amp;DATOS!$E2604&amp;"|"&amp;DATOS!$I2604)</f>
      </c>
      <c r="G2604">
        <f>IF(DATOS!$A2604="",0,IF(CONFIG_METADATA!$B$4&lt;&gt;"OR+EX",--(DATOS!$G2604=CONFIG_METADATA!$B$4),IF(DATOS!$G2604="EX",1,IF(DATOS!$G2604="OR",--(COUNTIFS(nNIA,DATOS!$A2604,nCURSO,DATOS!$D2604,nESPEC,DATOS!$E2604,nASIG,DATOS!$I2604,nEVAL,"EX")=0),0))))</f>
      </c>
      <c r="H2604">
        <f>IF(DATOS!$G2604&lt;&gt;"EX",0,--(COUNTIFS(nNIA,DATOS!$A2604,nCURSO,DATOS!$D2604,nESPEC,DATOS!$E2604,nASIG,DATOS!$I2604,nEVAL,"OR")=0))</f>
      </c>
      <c r="I2604">
        <f>IF(DATOS!$I2604="","",IFERROR(VLOOKUP(DATOS!$I2604,CONFIG_ASIGNATURAS!$B$2:$J$91,9,FALSE()),""))</f>
      </c>
    </row>
    <row r="2605">
      <c r="F2605">
        <f>IF(DATOS!$A2605="","",DATOS!$A2605&amp;"|"&amp;DATOS!$D2605&amp;"|"&amp;DATOS!$E2605&amp;"|"&amp;DATOS!$I2605)</f>
      </c>
      <c r="G2605">
        <f>IF(DATOS!$A2605="",0,IF(CONFIG_METADATA!$B$4&lt;&gt;"OR+EX",--(DATOS!$G2605=CONFIG_METADATA!$B$4),IF(DATOS!$G2605="EX",1,IF(DATOS!$G2605="OR",--(COUNTIFS(nNIA,DATOS!$A2605,nCURSO,DATOS!$D2605,nESPEC,DATOS!$E2605,nASIG,DATOS!$I2605,nEVAL,"EX")=0),0))))</f>
      </c>
      <c r="H2605">
        <f>IF(DATOS!$G2605&lt;&gt;"EX",0,--(COUNTIFS(nNIA,DATOS!$A2605,nCURSO,DATOS!$D2605,nESPEC,DATOS!$E2605,nASIG,DATOS!$I2605,nEVAL,"OR")=0))</f>
      </c>
      <c r="I2605">
        <f>IF(DATOS!$I2605="","",IFERROR(VLOOKUP(DATOS!$I2605,CONFIG_ASIGNATURAS!$B$2:$J$91,9,FALSE()),""))</f>
      </c>
    </row>
    <row r="2606">
      <c r="F2606">
        <f>IF(DATOS!$A2606="","",DATOS!$A2606&amp;"|"&amp;DATOS!$D2606&amp;"|"&amp;DATOS!$E2606&amp;"|"&amp;DATOS!$I2606)</f>
      </c>
      <c r="G2606">
        <f>IF(DATOS!$A2606="",0,IF(CONFIG_METADATA!$B$4&lt;&gt;"OR+EX",--(DATOS!$G2606=CONFIG_METADATA!$B$4),IF(DATOS!$G2606="EX",1,IF(DATOS!$G2606="OR",--(COUNTIFS(nNIA,DATOS!$A2606,nCURSO,DATOS!$D2606,nESPEC,DATOS!$E2606,nASIG,DATOS!$I2606,nEVAL,"EX")=0),0))))</f>
      </c>
      <c r="H2606">
        <f>IF(DATOS!$G2606&lt;&gt;"EX",0,--(COUNTIFS(nNIA,DATOS!$A2606,nCURSO,DATOS!$D2606,nESPEC,DATOS!$E2606,nASIG,DATOS!$I2606,nEVAL,"OR")=0))</f>
      </c>
      <c r="I2606">
        <f>IF(DATOS!$I2606="","",IFERROR(VLOOKUP(DATOS!$I2606,CONFIG_ASIGNATURAS!$B$2:$J$91,9,FALSE()),""))</f>
      </c>
    </row>
    <row r="2607">
      <c r="F2607">
        <f>IF(DATOS!$A2607="","",DATOS!$A2607&amp;"|"&amp;DATOS!$D2607&amp;"|"&amp;DATOS!$E2607&amp;"|"&amp;DATOS!$I2607)</f>
      </c>
      <c r="G2607">
        <f>IF(DATOS!$A2607="",0,IF(CONFIG_METADATA!$B$4&lt;&gt;"OR+EX",--(DATOS!$G2607=CONFIG_METADATA!$B$4),IF(DATOS!$G2607="EX",1,IF(DATOS!$G2607="OR",--(COUNTIFS(nNIA,DATOS!$A2607,nCURSO,DATOS!$D2607,nESPEC,DATOS!$E2607,nASIG,DATOS!$I2607,nEVAL,"EX")=0),0))))</f>
      </c>
      <c r="H2607">
        <f>IF(DATOS!$G2607&lt;&gt;"EX",0,--(COUNTIFS(nNIA,DATOS!$A2607,nCURSO,DATOS!$D2607,nESPEC,DATOS!$E2607,nASIG,DATOS!$I2607,nEVAL,"OR")=0))</f>
      </c>
      <c r="I2607">
        <f>IF(DATOS!$I2607="","",IFERROR(VLOOKUP(DATOS!$I2607,CONFIG_ASIGNATURAS!$B$2:$J$91,9,FALSE()),""))</f>
      </c>
    </row>
    <row r="2608">
      <c r="F2608">
        <f>IF(DATOS!$A2608="","",DATOS!$A2608&amp;"|"&amp;DATOS!$D2608&amp;"|"&amp;DATOS!$E2608&amp;"|"&amp;DATOS!$I2608)</f>
      </c>
      <c r="G2608">
        <f>IF(DATOS!$A2608="",0,IF(CONFIG_METADATA!$B$4&lt;&gt;"OR+EX",--(DATOS!$G2608=CONFIG_METADATA!$B$4),IF(DATOS!$G2608="EX",1,IF(DATOS!$G2608="OR",--(COUNTIFS(nNIA,DATOS!$A2608,nCURSO,DATOS!$D2608,nESPEC,DATOS!$E2608,nASIG,DATOS!$I2608,nEVAL,"EX")=0),0))))</f>
      </c>
      <c r="H2608">
        <f>IF(DATOS!$G2608&lt;&gt;"EX",0,--(COUNTIFS(nNIA,DATOS!$A2608,nCURSO,DATOS!$D2608,nESPEC,DATOS!$E2608,nASIG,DATOS!$I2608,nEVAL,"OR")=0))</f>
      </c>
      <c r="I2608">
        <f>IF(DATOS!$I2608="","",IFERROR(VLOOKUP(DATOS!$I2608,CONFIG_ASIGNATURAS!$B$2:$J$91,9,FALSE()),""))</f>
      </c>
    </row>
    <row r="2609">
      <c r="F2609">
        <f>IF(DATOS!$A2609="","",DATOS!$A2609&amp;"|"&amp;DATOS!$D2609&amp;"|"&amp;DATOS!$E2609&amp;"|"&amp;DATOS!$I2609)</f>
      </c>
      <c r="G2609">
        <f>IF(DATOS!$A2609="",0,IF(CONFIG_METADATA!$B$4&lt;&gt;"OR+EX",--(DATOS!$G2609=CONFIG_METADATA!$B$4),IF(DATOS!$G2609="EX",1,IF(DATOS!$G2609="OR",--(COUNTIFS(nNIA,DATOS!$A2609,nCURSO,DATOS!$D2609,nESPEC,DATOS!$E2609,nASIG,DATOS!$I2609,nEVAL,"EX")=0),0))))</f>
      </c>
      <c r="H2609">
        <f>IF(DATOS!$G2609&lt;&gt;"EX",0,--(COUNTIFS(nNIA,DATOS!$A2609,nCURSO,DATOS!$D2609,nESPEC,DATOS!$E2609,nASIG,DATOS!$I2609,nEVAL,"OR")=0))</f>
      </c>
      <c r="I2609">
        <f>IF(DATOS!$I2609="","",IFERROR(VLOOKUP(DATOS!$I2609,CONFIG_ASIGNATURAS!$B$2:$J$91,9,FALSE()),""))</f>
      </c>
    </row>
    <row r="2610">
      <c r="F2610">
        <f>IF(DATOS!$A2610="","",DATOS!$A2610&amp;"|"&amp;DATOS!$D2610&amp;"|"&amp;DATOS!$E2610&amp;"|"&amp;DATOS!$I2610)</f>
      </c>
      <c r="G2610">
        <f>IF(DATOS!$A2610="",0,IF(CONFIG_METADATA!$B$4&lt;&gt;"OR+EX",--(DATOS!$G2610=CONFIG_METADATA!$B$4),IF(DATOS!$G2610="EX",1,IF(DATOS!$G2610="OR",--(COUNTIFS(nNIA,DATOS!$A2610,nCURSO,DATOS!$D2610,nESPEC,DATOS!$E2610,nASIG,DATOS!$I2610,nEVAL,"EX")=0),0))))</f>
      </c>
      <c r="H2610">
        <f>IF(DATOS!$G2610&lt;&gt;"EX",0,--(COUNTIFS(nNIA,DATOS!$A2610,nCURSO,DATOS!$D2610,nESPEC,DATOS!$E2610,nASIG,DATOS!$I2610,nEVAL,"OR")=0))</f>
      </c>
      <c r="I2610">
        <f>IF(DATOS!$I2610="","",IFERROR(VLOOKUP(DATOS!$I2610,CONFIG_ASIGNATURAS!$B$2:$J$91,9,FALSE()),""))</f>
      </c>
    </row>
    <row r="2611">
      <c r="F2611">
        <f>IF(DATOS!$A2611="","",DATOS!$A2611&amp;"|"&amp;DATOS!$D2611&amp;"|"&amp;DATOS!$E2611&amp;"|"&amp;DATOS!$I2611)</f>
      </c>
      <c r="G2611">
        <f>IF(DATOS!$A2611="",0,IF(CONFIG_METADATA!$B$4&lt;&gt;"OR+EX",--(DATOS!$G2611=CONFIG_METADATA!$B$4),IF(DATOS!$G2611="EX",1,IF(DATOS!$G2611="OR",--(COUNTIFS(nNIA,DATOS!$A2611,nCURSO,DATOS!$D2611,nESPEC,DATOS!$E2611,nASIG,DATOS!$I2611,nEVAL,"EX")=0),0))))</f>
      </c>
      <c r="H2611">
        <f>IF(DATOS!$G2611&lt;&gt;"EX",0,--(COUNTIFS(nNIA,DATOS!$A2611,nCURSO,DATOS!$D2611,nESPEC,DATOS!$E2611,nASIG,DATOS!$I2611,nEVAL,"OR")=0))</f>
      </c>
      <c r="I2611">
        <f>IF(DATOS!$I2611="","",IFERROR(VLOOKUP(DATOS!$I2611,CONFIG_ASIGNATURAS!$B$2:$J$91,9,FALSE()),""))</f>
      </c>
    </row>
    <row r="2612">
      <c r="F2612">
        <f>IF(DATOS!$A2612="","",DATOS!$A2612&amp;"|"&amp;DATOS!$D2612&amp;"|"&amp;DATOS!$E2612&amp;"|"&amp;DATOS!$I2612)</f>
      </c>
      <c r="G2612">
        <f>IF(DATOS!$A2612="",0,IF(CONFIG_METADATA!$B$4&lt;&gt;"OR+EX",--(DATOS!$G2612=CONFIG_METADATA!$B$4),IF(DATOS!$G2612="EX",1,IF(DATOS!$G2612="OR",--(COUNTIFS(nNIA,DATOS!$A2612,nCURSO,DATOS!$D2612,nESPEC,DATOS!$E2612,nASIG,DATOS!$I2612,nEVAL,"EX")=0),0))))</f>
      </c>
      <c r="H2612">
        <f>IF(DATOS!$G2612&lt;&gt;"EX",0,--(COUNTIFS(nNIA,DATOS!$A2612,nCURSO,DATOS!$D2612,nESPEC,DATOS!$E2612,nASIG,DATOS!$I2612,nEVAL,"OR")=0))</f>
      </c>
      <c r="I2612">
        <f>IF(DATOS!$I2612="","",IFERROR(VLOOKUP(DATOS!$I2612,CONFIG_ASIGNATURAS!$B$2:$J$91,9,FALSE()),""))</f>
      </c>
    </row>
    <row r="2613">
      <c r="F2613">
        <f>IF(DATOS!$A2613="","",DATOS!$A2613&amp;"|"&amp;DATOS!$D2613&amp;"|"&amp;DATOS!$E2613&amp;"|"&amp;DATOS!$I2613)</f>
      </c>
      <c r="G2613">
        <f>IF(DATOS!$A2613="",0,IF(CONFIG_METADATA!$B$4&lt;&gt;"OR+EX",--(DATOS!$G2613=CONFIG_METADATA!$B$4),IF(DATOS!$G2613="EX",1,IF(DATOS!$G2613="OR",--(COUNTIFS(nNIA,DATOS!$A2613,nCURSO,DATOS!$D2613,nESPEC,DATOS!$E2613,nASIG,DATOS!$I2613,nEVAL,"EX")=0),0))))</f>
      </c>
      <c r="H2613">
        <f>IF(DATOS!$G2613&lt;&gt;"EX",0,--(COUNTIFS(nNIA,DATOS!$A2613,nCURSO,DATOS!$D2613,nESPEC,DATOS!$E2613,nASIG,DATOS!$I2613,nEVAL,"OR")=0))</f>
      </c>
      <c r="I2613">
        <f>IF(DATOS!$I2613="","",IFERROR(VLOOKUP(DATOS!$I2613,CONFIG_ASIGNATURAS!$B$2:$J$91,9,FALSE()),""))</f>
      </c>
    </row>
    <row r="2614">
      <c r="F2614">
        <f>IF(DATOS!$A2614="","",DATOS!$A2614&amp;"|"&amp;DATOS!$D2614&amp;"|"&amp;DATOS!$E2614&amp;"|"&amp;DATOS!$I2614)</f>
      </c>
      <c r="G2614">
        <f>IF(DATOS!$A2614="",0,IF(CONFIG_METADATA!$B$4&lt;&gt;"OR+EX",--(DATOS!$G2614=CONFIG_METADATA!$B$4),IF(DATOS!$G2614="EX",1,IF(DATOS!$G2614="OR",--(COUNTIFS(nNIA,DATOS!$A2614,nCURSO,DATOS!$D2614,nESPEC,DATOS!$E2614,nASIG,DATOS!$I2614,nEVAL,"EX")=0),0))))</f>
      </c>
      <c r="H2614">
        <f>IF(DATOS!$G2614&lt;&gt;"EX",0,--(COUNTIFS(nNIA,DATOS!$A2614,nCURSO,DATOS!$D2614,nESPEC,DATOS!$E2614,nASIG,DATOS!$I2614,nEVAL,"OR")=0))</f>
      </c>
      <c r="I2614">
        <f>IF(DATOS!$I2614="","",IFERROR(VLOOKUP(DATOS!$I2614,CONFIG_ASIGNATURAS!$B$2:$J$91,9,FALSE()),""))</f>
      </c>
    </row>
    <row r="2615">
      <c r="F2615">
        <f>IF(DATOS!$A2615="","",DATOS!$A2615&amp;"|"&amp;DATOS!$D2615&amp;"|"&amp;DATOS!$E2615&amp;"|"&amp;DATOS!$I2615)</f>
      </c>
      <c r="G2615">
        <f>IF(DATOS!$A2615="",0,IF(CONFIG_METADATA!$B$4&lt;&gt;"OR+EX",--(DATOS!$G2615=CONFIG_METADATA!$B$4),IF(DATOS!$G2615="EX",1,IF(DATOS!$G2615="OR",--(COUNTIFS(nNIA,DATOS!$A2615,nCURSO,DATOS!$D2615,nESPEC,DATOS!$E2615,nASIG,DATOS!$I2615,nEVAL,"EX")=0),0))))</f>
      </c>
      <c r="H2615">
        <f>IF(DATOS!$G2615&lt;&gt;"EX",0,--(COUNTIFS(nNIA,DATOS!$A2615,nCURSO,DATOS!$D2615,nESPEC,DATOS!$E2615,nASIG,DATOS!$I2615,nEVAL,"OR")=0))</f>
      </c>
      <c r="I2615">
        <f>IF(DATOS!$I2615="","",IFERROR(VLOOKUP(DATOS!$I2615,CONFIG_ASIGNATURAS!$B$2:$J$91,9,FALSE()),""))</f>
      </c>
    </row>
    <row r="2616">
      <c r="F2616">
        <f>IF(DATOS!$A2616="","",DATOS!$A2616&amp;"|"&amp;DATOS!$D2616&amp;"|"&amp;DATOS!$E2616&amp;"|"&amp;DATOS!$I2616)</f>
      </c>
      <c r="G2616">
        <f>IF(DATOS!$A2616="",0,IF(CONFIG_METADATA!$B$4&lt;&gt;"OR+EX",--(DATOS!$G2616=CONFIG_METADATA!$B$4),IF(DATOS!$G2616="EX",1,IF(DATOS!$G2616="OR",--(COUNTIFS(nNIA,DATOS!$A2616,nCURSO,DATOS!$D2616,nESPEC,DATOS!$E2616,nASIG,DATOS!$I2616,nEVAL,"EX")=0),0))))</f>
      </c>
      <c r="H2616">
        <f>IF(DATOS!$G2616&lt;&gt;"EX",0,--(COUNTIFS(nNIA,DATOS!$A2616,nCURSO,DATOS!$D2616,nESPEC,DATOS!$E2616,nASIG,DATOS!$I2616,nEVAL,"OR")=0))</f>
      </c>
      <c r="I2616">
        <f>IF(DATOS!$I2616="","",IFERROR(VLOOKUP(DATOS!$I2616,CONFIG_ASIGNATURAS!$B$2:$J$91,9,FALSE()),""))</f>
      </c>
    </row>
    <row r="2617">
      <c r="F2617">
        <f>IF(DATOS!$A2617="","",DATOS!$A2617&amp;"|"&amp;DATOS!$D2617&amp;"|"&amp;DATOS!$E2617&amp;"|"&amp;DATOS!$I2617)</f>
      </c>
      <c r="G2617">
        <f>IF(DATOS!$A2617="",0,IF(CONFIG_METADATA!$B$4&lt;&gt;"OR+EX",--(DATOS!$G2617=CONFIG_METADATA!$B$4),IF(DATOS!$G2617="EX",1,IF(DATOS!$G2617="OR",--(COUNTIFS(nNIA,DATOS!$A2617,nCURSO,DATOS!$D2617,nESPEC,DATOS!$E2617,nASIG,DATOS!$I2617,nEVAL,"EX")=0),0))))</f>
      </c>
      <c r="H2617">
        <f>IF(DATOS!$G2617&lt;&gt;"EX",0,--(COUNTIFS(nNIA,DATOS!$A2617,nCURSO,DATOS!$D2617,nESPEC,DATOS!$E2617,nASIG,DATOS!$I2617,nEVAL,"OR")=0))</f>
      </c>
      <c r="I2617">
        <f>IF(DATOS!$I2617="","",IFERROR(VLOOKUP(DATOS!$I2617,CONFIG_ASIGNATURAS!$B$2:$J$91,9,FALSE()),""))</f>
      </c>
    </row>
    <row r="2618">
      <c r="F2618">
        <f>IF(DATOS!$A2618="","",DATOS!$A2618&amp;"|"&amp;DATOS!$D2618&amp;"|"&amp;DATOS!$E2618&amp;"|"&amp;DATOS!$I2618)</f>
      </c>
      <c r="G2618">
        <f>IF(DATOS!$A2618="",0,IF(CONFIG_METADATA!$B$4&lt;&gt;"OR+EX",--(DATOS!$G2618=CONFIG_METADATA!$B$4),IF(DATOS!$G2618="EX",1,IF(DATOS!$G2618="OR",--(COUNTIFS(nNIA,DATOS!$A2618,nCURSO,DATOS!$D2618,nESPEC,DATOS!$E2618,nASIG,DATOS!$I2618,nEVAL,"EX")=0),0))))</f>
      </c>
      <c r="H2618">
        <f>IF(DATOS!$G2618&lt;&gt;"EX",0,--(COUNTIFS(nNIA,DATOS!$A2618,nCURSO,DATOS!$D2618,nESPEC,DATOS!$E2618,nASIG,DATOS!$I2618,nEVAL,"OR")=0))</f>
      </c>
      <c r="I2618">
        <f>IF(DATOS!$I2618="","",IFERROR(VLOOKUP(DATOS!$I2618,CONFIG_ASIGNATURAS!$B$2:$J$91,9,FALSE()),""))</f>
      </c>
    </row>
    <row r="2619">
      <c r="F2619">
        <f>IF(DATOS!$A2619="","",DATOS!$A2619&amp;"|"&amp;DATOS!$D2619&amp;"|"&amp;DATOS!$E2619&amp;"|"&amp;DATOS!$I2619)</f>
      </c>
      <c r="G2619">
        <f>IF(DATOS!$A2619="",0,IF(CONFIG_METADATA!$B$4&lt;&gt;"OR+EX",--(DATOS!$G2619=CONFIG_METADATA!$B$4),IF(DATOS!$G2619="EX",1,IF(DATOS!$G2619="OR",--(COUNTIFS(nNIA,DATOS!$A2619,nCURSO,DATOS!$D2619,nESPEC,DATOS!$E2619,nASIG,DATOS!$I2619,nEVAL,"EX")=0),0))))</f>
      </c>
      <c r="H2619">
        <f>IF(DATOS!$G2619&lt;&gt;"EX",0,--(COUNTIFS(nNIA,DATOS!$A2619,nCURSO,DATOS!$D2619,nESPEC,DATOS!$E2619,nASIG,DATOS!$I2619,nEVAL,"OR")=0))</f>
      </c>
      <c r="I2619">
        <f>IF(DATOS!$I2619="","",IFERROR(VLOOKUP(DATOS!$I2619,CONFIG_ASIGNATURAS!$B$2:$J$91,9,FALSE()),""))</f>
      </c>
    </row>
    <row r="2620">
      <c r="F2620">
        <f>IF(DATOS!$A2620="","",DATOS!$A2620&amp;"|"&amp;DATOS!$D2620&amp;"|"&amp;DATOS!$E2620&amp;"|"&amp;DATOS!$I2620)</f>
      </c>
      <c r="G2620">
        <f>IF(DATOS!$A2620="",0,IF(CONFIG_METADATA!$B$4&lt;&gt;"OR+EX",--(DATOS!$G2620=CONFIG_METADATA!$B$4),IF(DATOS!$G2620="EX",1,IF(DATOS!$G2620="OR",--(COUNTIFS(nNIA,DATOS!$A2620,nCURSO,DATOS!$D2620,nESPEC,DATOS!$E2620,nASIG,DATOS!$I2620,nEVAL,"EX")=0),0))))</f>
      </c>
      <c r="H2620">
        <f>IF(DATOS!$G2620&lt;&gt;"EX",0,--(COUNTIFS(nNIA,DATOS!$A2620,nCURSO,DATOS!$D2620,nESPEC,DATOS!$E2620,nASIG,DATOS!$I2620,nEVAL,"OR")=0))</f>
      </c>
      <c r="I2620">
        <f>IF(DATOS!$I2620="","",IFERROR(VLOOKUP(DATOS!$I2620,CONFIG_ASIGNATURAS!$B$2:$J$91,9,FALSE()),""))</f>
      </c>
    </row>
    <row r="2621">
      <c r="F2621">
        <f>IF(DATOS!$A2621="","",DATOS!$A2621&amp;"|"&amp;DATOS!$D2621&amp;"|"&amp;DATOS!$E2621&amp;"|"&amp;DATOS!$I2621)</f>
      </c>
      <c r="G2621">
        <f>IF(DATOS!$A2621="",0,IF(CONFIG_METADATA!$B$4&lt;&gt;"OR+EX",--(DATOS!$G2621=CONFIG_METADATA!$B$4),IF(DATOS!$G2621="EX",1,IF(DATOS!$G2621="OR",--(COUNTIFS(nNIA,DATOS!$A2621,nCURSO,DATOS!$D2621,nESPEC,DATOS!$E2621,nASIG,DATOS!$I2621,nEVAL,"EX")=0),0))))</f>
      </c>
      <c r="H2621">
        <f>IF(DATOS!$G2621&lt;&gt;"EX",0,--(COUNTIFS(nNIA,DATOS!$A2621,nCURSO,DATOS!$D2621,nESPEC,DATOS!$E2621,nASIG,DATOS!$I2621,nEVAL,"OR")=0))</f>
      </c>
      <c r="I2621">
        <f>IF(DATOS!$I2621="","",IFERROR(VLOOKUP(DATOS!$I2621,CONFIG_ASIGNATURAS!$B$2:$J$91,9,FALSE()),""))</f>
      </c>
    </row>
    <row r="2622">
      <c r="F2622">
        <f>IF(DATOS!$A2622="","",DATOS!$A2622&amp;"|"&amp;DATOS!$D2622&amp;"|"&amp;DATOS!$E2622&amp;"|"&amp;DATOS!$I2622)</f>
      </c>
      <c r="G2622">
        <f>IF(DATOS!$A2622="",0,IF(CONFIG_METADATA!$B$4&lt;&gt;"OR+EX",--(DATOS!$G2622=CONFIG_METADATA!$B$4),IF(DATOS!$G2622="EX",1,IF(DATOS!$G2622="OR",--(COUNTIFS(nNIA,DATOS!$A2622,nCURSO,DATOS!$D2622,nESPEC,DATOS!$E2622,nASIG,DATOS!$I2622,nEVAL,"EX")=0),0))))</f>
      </c>
      <c r="H2622">
        <f>IF(DATOS!$G2622&lt;&gt;"EX",0,--(COUNTIFS(nNIA,DATOS!$A2622,nCURSO,DATOS!$D2622,nESPEC,DATOS!$E2622,nASIG,DATOS!$I2622,nEVAL,"OR")=0))</f>
      </c>
      <c r="I2622">
        <f>IF(DATOS!$I2622="","",IFERROR(VLOOKUP(DATOS!$I2622,CONFIG_ASIGNATURAS!$B$2:$J$91,9,FALSE()),""))</f>
      </c>
    </row>
    <row r="2623">
      <c r="F2623">
        <f>IF(DATOS!$A2623="","",DATOS!$A2623&amp;"|"&amp;DATOS!$D2623&amp;"|"&amp;DATOS!$E2623&amp;"|"&amp;DATOS!$I2623)</f>
      </c>
      <c r="G2623">
        <f>IF(DATOS!$A2623="",0,IF(CONFIG_METADATA!$B$4&lt;&gt;"OR+EX",--(DATOS!$G2623=CONFIG_METADATA!$B$4),IF(DATOS!$G2623="EX",1,IF(DATOS!$G2623="OR",--(COUNTIFS(nNIA,DATOS!$A2623,nCURSO,DATOS!$D2623,nESPEC,DATOS!$E2623,nASIG,DATOS!$I2623,nEVAL,"EX")=0),0))))</f>
      </c>
      <c r="H2623">
        <f>IF(DATOS!$G2623&lt;&gt;"EX",0,--(COUNTIFS(nNIA,DATOS!$A2623,nCURSO,DATOS!$D2623,nESPEC,DATOS!$E2623,nASIG,DATOS!$I2623,nEVAL,"OR")=0))</f>
      </c>
      <c r="I2623">
        <f>IF(DATOS!$I2623="","",IFERROR(VLOOKUP(DATOS!$I2623,CONFIG_ASIGNATURAS!$B$2:$J$91,9,FALSE()),""))</f>
      </c>
    </row>
    <row r="2624">
      <c r="F2624">
        <f>IF(DATOS!$A2624="","",DATOS!$A2624&amp;"|"&amp;DATOS!$D2624&amp;"|"&amp;DATOS!$E2624&amp;"|"&amp;DATOS!$I2624)</f>
      </c>
      <c r="G2624">
        <f>IF(DATOS!$A2624="",0,IF(CONFIG_METADATA!$B$4&lt;&gt;"OR+EX",--(DATOS!$G2624=CONFIG_METADATA!$B$4),IF(DATOS!$G2624="EX",1,IF(DATOS!$G2624="OR",--(COUNTIFS(nNIA,DATOS!$A2624,nCURSO,DATOS!$D2624,nESPEC,DATOS!$E2624,nASIG,DATOS!$I2624,nEVAL,"EX")=0),0))))</f>
      </c>
      <c r="H2624">
        <f>IF(DATOS!$G2624&lt;&gt;"EX",0,--(COUNTIFS(nNIA,DATOS!$A2624,nCURSO,DATOS!$D2624,nESPEC,DATOS!$E2624,nASIG,DATOS!$I2624,nEVAL,"OR")=0))</f>
      </c>
      <c r="I2624">
        <f>IF(DATOS!$I2624="","",IFERROR(VLOOKUP(DATOS!$I2624,CONFIG_ASIGNATURAS!$B$2:$J$91,9,FALSE()),""))</f>
      </c>
    </row>
    <row r="2625">
      <c r="F2625">
        <f>IF(DATOS!$A2625="","",DATOS!$A2625&amp;"|"&amp;DATOS!$D2625&amp;"|"&amp;DATOS!$E2625&amp;"|"&amp;DATOS!$I2625)</f>
      </c>
      <c r="G2625">
        <f>IF(DATOS!$A2625="",0,IF(CONFIG_METADATA!$B$4&lt;&gt;"OR+EX",--(DATOS!$G2625=CONFIG_METADATA!$B$4),IF(DATOS!$G2625="EX",1,IF(DATOS!$G2625="OR",--(COUNTIFS(nNIA,DATOS!$A2625,nCURSO,DATOS!$D2625,nESPEC,DATOS!$E2625,nASIG,DATOS!$I2625,nEVAL,"EX")=0),0))))</f>
      </c>
      <c r="H2625">
        <f>IF(DATOS!$G2625&lt;&gt;"EX",0,--(COUNTIFS(nNIA,DATOS!$A2625,nCURSO,DATOS!$D2625,nESPEC,DATOS!$E2625,nASIG,DATOS!$I2625,nEVAL,"OR")=0))</f>
      </c>
      <c r="I2625">
        <f>IF(DATOS!$I2625="","",IFERROR(VLOOKUP(DATOS!$I2625,CONFIG_ASIGNATURAS!$B$2:$J$91,9,FALSE()),""))</f>
      </c>
    </row>
    <row r="2626">
      <c r="F2626">
        <f>IF(DATOS!$A2626="","",DATOS!$A2626&amp;"|"&amp;DATOS!$D2626&amp;"|"&amp;DATOS!$E2626&amp;"|"&amp;DATOS!$I2626)</f>
      </c>
      <c r="G2626">
        <f>IF(DATOS!$A2626="",0,IF(CONFIG_METADATA!$B$4&lt;&gt;"OR+EX",--(DATOS!$G2626=CONFIG_METADATA!$B$4),IF(DATOS!$G2626="EX",1,IF(DATOS!$G2626="OR",--(COUNTIFS(nNIA,DATOS!$A2626,nCURSO,DATOS!$D2626,nESPEC,DATOS!$E2626,nASIG,DATOS!$I2626,nEVAL,"EX")=0),0))))</f>
      </c>
      <c r="H2626">
        <f>IF(DATOS!$G2626&lt;&gt;"EX",0,--(COUNTIFS(nNIA,DATOS!$A2626,nCURSO,DATOS!$D2626,nESPEC,DATOS!$E2626,nASIG,DATOS!$I2626,nEVAL,"OR")=0))</f>
      </c>
      <c r="I2626">
        <f>IF(DATOS!$I2626="","",IFERROR(VLOOKUP(DATOS!$I2626,CONFIG_ASIGNATURAS!$B$2:$J$91,9,FALSE()),""))</f>
      </c>
    </row>
    <row r="2627">
      <c r="F2627">
        <f>IF(DATOS!$A2627="","",DATOS!$A2627&amp;"|"&amp;DATOS!$D2627&amp;"|"&amp;DATOS!$E2627&amp;"|"&amp;DATOS!$I2627)</f>
      </c>
      <c r="G2627">
        <f>IF(DATOS!$A2627="",0,IF(CONFIG_METADATA!$B$4&lt;&gt;"OR+EX",--(DATOS!$G2627=CONFIG_METADATA!$B$4),IF(DATOS!$G2627="EX",1,IF(DATOS!$G2627="OR",--(COUNTIFS(nNIA,DATOS!$A2627,nCURSO,DATOS!$D2627,nESPEC,DATOS!$E2627,nASIG,DATOS!$I2627,nEVAL,"EX")=0),0))))</f>
      </c>
      <c r="H2627">
        <f>IF(DATOS!$G2627&lt;&gt;"EX",0,--(COUNTIFS(nNIA,DATOS!$A2627,nCURSO,DATOS!$D2627,nESPEC,DATOS!$E2627,nASIG,DATOS!$I2627,nEVAL,"OR")=0))</f>
      </c>
      <c r="I2627">
        <f>IF(DATOS!$I2627="","",IFERROR(VLOOKUP(DATOS!$I2627,CONFIG_ASIGNATURAS!$B$2:$J$91,9,FALSE()),""))</f>
      </c>
    </row>
    <row r="2628">
      <c r="F2628">
        <f>IF(DATOS!$A2628="","",DATOS!$A2628&amp;"|"&amp;DATOS!$D2628&amp;"|"&amp;DATOS!$E2628&amp;"|"&amp;DATOS!$I2628)</f>
      </c>
      <c r="G2628">
        <f>IF(DATOS!$A2628="",0,IF(CONFIG_METADATA!$B$4&lt;&gt;"OR+EX",--(DATOS!$G2628=CONFIG_METADATA!$B$4),IF(DATOS!$G2628="EX",1,IF(DATOS!$G2628="OR",--(COUNTIFS(nNIA,DATOS!$A2628,nCURSO,DATOS!$D2628,nESPEC,DATOS!$E2628,nASIG,DATOS!$I2628,nEVAL,"EX")=0),0))))</f>
      </c>
      <c r="H2628">
        <f>IF(DATOS!$G2628&lt;&gt;"EX",0,--(COUNTIFS(nNIA,DATOS!$A2628,nCURSO,DATOS!$D2628,nESPEC,DATOS!$E2628,nASIG,DATOS!$I2628,nEVAL,"OR")=0))</f>
      </c>
      <c r="I2628">
        <f>IF(DATOS!$I2628="","",IFERROR(VLOOKUP(DATOS!$I2628,CONFIG_ASIGNATURAS!$B$2:$J$91,9,FALSE()),""))</f>
      </c>
    </row>
    <row r="2629">
      <c r="F2629">
        <f>IF(DATOS!$A2629="","",DATOS!$A2629&amp;"|"&amp;DATOS!$D2629&amp;"|"&amp;DATOS!$E2629&amp;"|"&amp;DATOS!$I2629)</f>
      </c>
      <c r="G2629">
        <f>IF(DATOS!$A2629="",0,IF(CONFIG_METADATA!$B$4&lt;&gt;"OR+EX",--(DATOS!$G2629=CONFIG_METADATA!$B$4),IF(DATOS!$G2629="EX",1,IF(DATOS!$G2629="OR",--(COUNTIFS(nNIA,DATOS!$A2629,nCURSO,DATOS!$D2629,nESPEC,DATOS!$E2629,nASIG,DATOS!$I2629,nEVAL,"EX")=0),0))))</f>
      </c>
      <c r="H2629">
        <f>IF(DATOS!$G2629&lt;&gt;"EX",0,--(COUNTIFS(nNIA,DATOS!$A2629,nCURSO,DATOS!$D2629,nESPEC,DATOS!$E2629,nASIG,DATOS!$I2629,nEVAL,"OR")=0))</f>
      </c>
      <c r="I2629">
        <f>IF(DATOS!$I2629="","",IFERROR(VLOOKUP(DATOS!$I2629,CONFIG_ASIGNATURAS!$B$2:$J$91,9,FALSE()),""))</f>
      </c>
    </row>
    <row r="2630">
      <c r="F2630">
        <f>IF(DATOS!$A2630="","",DATOS!$A2630&amp;"|"&amp;DATOS!$D2630&amp;"|"&amp;DATOS!$E2630&amp;"|"&amp;DATOS!$I2630)</f>
      </c>
      <c r="G2630">
        <f>IF(DATOS!$A2630="",0,IF(CONFIG_METADATA!$B$4&lt;&gt;"OR+EX",--(DATOS!$G2630=CONFIG_METADATA!$B$4),IF(DATOS!$G2630="EX",1,IF(DATOS!$G2630="OR",--(COUNTIFS(nNIA,DATOS!$A2630,nCURSO,DATOS!$D2630,nESPEC,DATOS!$E2630,nASIG,DATOS!$I2630,nEVAL,"EX")=0),0))))</f>
      </c>
      <c r="H2630">
        <f>IF(DATOS!$G2630&lt;&gt;"EX",0,--(COUNTIFS(nNIA,DATOS!$A2630,nCURSO,DATOS!$D2630,nESPEC,DATOS!$E2630,nASIG,DATOS!$I2630,nEVAL,"OR")=0))</f>
      </c>
      <c r="I2630">
        <f>IF(DATOS!$I2630="","",IFERROR(VLOOKUP(DATOS!$I2630,CONFIG_ASIGNATURAS!$B$2:$J$91,9,FALSE()),""))</f>
      </c>
    </row>
    <row r="2631">
      <c r="F2631">
        <f>IF(DATOS!$A2631="","",DATOS!$A2631&amp;"|"&amp;DATOS!$D2631&amp;"|"&amp;DATOS!$E2631&amp;"|"&amp;DATOS!$I2631)</f>
      </c>
      <c r="G2631">
        <f>IF(DATOS!$A2631="",0,IF(CONFIG_METADATA!$B$4&lt;&gt;"OR+EX",--(DATOS!$G2631=CONFIG_METADATA!$B$4),IF(DATOS!$G2631="EX",1,IF(DATOS!$G2631="OR",--(COUNTIFS(nNIA,DATOS!$A2631,nCURSO,DATOS!$D2631,nESPEC,DATOS!$E2631,nASIG,DATOS!$I2631,nEVAL,"EX")=0),0))))</f>
      </c>
      <c r="H2631">
        <f>IF(DATOS!$G2631&lt;&gt;"EX",0,--(COUNTIFS(nNIA,DATOS!$A2631,nCURSO,DATOS!$D2631,nESPEC,DATOS!$E2631,nASIG,DATOS!$I2631,nEVAL,"OR")=0))</f>
      </c>
      <c r="I2631">
        <f>IF(DATOS!$I2631="","",IFERROR(VLOOKUP(DATOS!$I2631,CONFIG_ASIGNATURAS!$B$2:$J$91,9,FALSE()),""))</f>
      </c>
    </row>
    <row r="2632">
      <c r="F2632">
        <f>IF(DATOS!$A2632="","",DATOS!$A2632&amp;"|"&amp;DATOS!$D2632&amp;"|"&amp;DATOS!$E2632&amp;"|"&amp;DATOS!$I2632)</f>
      </c>
      <c r="G2632">
        <f>IF(DATOS!$A2632="",0,IF(CONFIG_METADATA!$B$4&lt;&gt;"OR+EX",--(DATOS!$G2632=CONFIG_METADATA!$B$4),IF(DATOS!$G2632="EX",1,IF(DATOS!$G2632="OR",--(COUNTIFS(nNIA,DATOS!$A2632,nCURSO,DATOS!$D2632,nESPEC,DATOS!$E2632,nASIG,DATOS!$I2632,nEVAL,"EX")=0),0))))</f>
      </c>
      <c r="H2632">
        <f>IF(DATOS!$G2632&lt;&gt;"EX",0,--(COUNTIFS(nNIA,DATOS!$A2632,nCURSO,DATOS!$D2632,nESPEC,DATOS!$E2632,nASIG,DATOS!$I2632,nEVAL,"OR")=0))</f>
      </c>
      <c r="I2632">
        <f>IF(DATOS!$I2632="","",IFERROR(VLOOKUP(DATOS!$I2632,CONFIG_ASIGNATURAS!$B$2:$J$91,9,FALSE()),""))</f>
      </c>
    </row>
    <row r="2633">
      <c r="F2633">
        <f>IF(DATOS!$A2633="","",DATOS!$A2633&amp;"|"&amp;DATOS!$D2633&amp;"|"&amp;DATOS!$E2633&amp;"|"&amp;DATOS!$I2633)</f>
      </c>
      <c r="G2633">
        <f>IF(DATOS!$A2633="",0,IF(CONFIG_METADATA!$B$4&lt;&gt;"OR+EX",--(DATOS!$G2633=CONFIG_METADATA!$B$4),IF(DATOS!$G2633="EX",1,IF(DATOS!$G2633="OR",--(COUNTIFS(nNIA,DATOS!$A2633,nCURSO,DATOS!$D2633,nESPEC,DATOS!$E2633,nASIG,DATOS!$I2633,nEVAL,"EX")=0),0))))</f>
      </c>
      <c r="H2633">
        <f>IF(DATOS!$G2633&lt;&gt;"EX",0,--(COUNTIFS(nNIA,DATOS!$A2633,nCURSO,DATOS!$D2633,nESPEC,DATOS!$E2633,nASIG,DATOS!$I2633,nEVAL,"OR")=0))</f>
      </c>
      <c r="I2633">
        <f>IF(DATOS!$I2633="","",IFERROR(VLOOKUP(DATOS!$I2633,CONFIG_ASIGNATURAS!$B$2:$J$91,9,FALSE()),""))</f>
      </c>
    </row>
    <row r="2634">
      <c r="F2634">
        <f>IF(DATOS!$A2634="","",DATOS!$A2634&amp;"|"&amp;DATOS!$D2634&amp;"|"&amp;DATOS!$E2634&amp;"|"&amp;DATOS!$I2634)</f>
      </c>
      <c r="G2634">
        <f>IF(DATOS!$A2634="",0,IF(CONFIG_METADATA!$B$4&lt;&gt;"OR+EX",--(DATOS!$G2634=CONFIG_METADATA!$B$4),IF(DATOS!$G2634="EX",1,IF(DATOS!$G2634="OR",--(COUNTIFS(nNIA,DATOS!$A2634,nCURSO,DATOS!$D2634,nESPEC,DATOS!$E2634,nASIG,DATOS!$I2634,nEVAL,"EX")=0),0))))</f>
      </c>
      <c r="H2634">
        <f>IF(DATOS!$G2634&lt;&gt;"EX",0,--(COUNTIFS(nNIA,DATOS!$A2634,nCURSO,DATOS!$D2634,nESPEC,DATOS!$E2634,nASIG,DATOS!$I2634,nEVAL,"OR")=0))</f>
      </c>
      <c r="I2634">
        <f>IF(DATOS!$I2634="","",IFERROR(VLOOKUP(DATOS!$I2634,CONFIG_ASIGNATURAS!$B$2:$J$91,9,FALSE()),""))</f>
      </c>
    </row>
    <row r="2635">
      <c r="F2635">
        <f>IF(DATOS!$A2635="","",DATOS!$A2635&amp;"|"&amp;DATOS!$D2635&amp;"|"&amp;DATOS!$E2635&amp;"|"&amp;DATOS!$I2635)</f>
      </c>
      <c r="G2635">
        <f>IF(DATOS!$A2635="",0,IF(CONFIG_METADATA!$B$4&lt;&gt;"OR+EX",--(DATOS!$G2635=CONFIG_METADATA!$B$4),IF(DATOS!$G2635="EX",1,IF(DATOS!$G2635="OR",--(COUNTIFS(nNIA,DATOS!$A2635,nCURSO,DATOS!$D2635,nESPEC,DATOS!$E2635,nASIG,DATOS!$I2635,nEVAL,"EX")=0),0))))</f>
      </c>
      <c r="H2635">
        <f>IF(DATOS!$G2635&lt;&gt;"EX",0,--(COUNTIFS(nNIA,DATOS!$A2635,nCURSO,DATOS!$D2635,nESPEC,DATOS!$E2635,nASIG,DATOS!$I2635,nEVAL,"OR")=0))</f>
      </c>
      <c r="I2635">
        <f>IF(DATOS!$I2635="","",IFERROR(VLOOKUP(DATOS!$I2635,CONFIG_ASIGNATURAS!$B$2:$J$91,9,FALSE()),""))</f>
      </c>
    </row>
    <row r="2636">
      <c r="F2636">
        <f>IF(DATOS!$A2636="","",DATOS!$A2636&amp;"|"&amp;DATOS!$D2636&amp;"|"&amp;DATOS!$E2636&amp;"|"&amp;DATOS!$I2636)</f>
      </c>
      <c r="G2636">
        <f>IF(DATOS!$A2636="",0,IF(CONFIG_METADATA!$B$4&lt;&gt;"OR+EX",--(DATOS!$G2636=CONFIG_METADATA!$B$4),IF(DATOS!$G2636="EX",1,IF(DATOS!$G2636="OR",--(COUNTIFS(nNIA,DATOS!$A2636,nCURSO,DATOS!$D2636,nESPEC,DATOS!$E2636,nASIG,DATOS!$I2636,nEVAL,"EX")=0),0))))</f>
      </c>
      <c r="H2636">
        <f>IF(DATOS!$G2636&lt;&gt;"EX",0,--(COUNTIFS(nNIA,DATOS!$A2636,nCURSO,DATOS!$D2636,nESPEC,DATOS!$E2636,nASIG,DATOS!$I2636,nEVAL,"OR")=0))</f>
      </c>
      <c r="I2636">
        <f>IF(DATOS!$I2636="","",IFERROR(VLOOKUP(DATOS!$I2636,CONFIG_ASIGNATURAS!$B$2:$J$91,9,FALSE()),""))</f>
      </c>
    </row>
    <row r="2637">
      <c r="F2637">
        <f>IF(DATOS!$A2637="","",DATOS!$A2637&amp;"|"&amp;DATOS!$D2637&amp;"|"&amp;DATOS!$E2637&amp;"|"&amp;DATOS!$I2637)</f>
      </c>
      <c r="G2637">
        <f>IF(DATOS!$A2637="",0,IF(CONFIG_METADATA!$B$4&lt;&gt;"OR+EX",--(DATOS!$G2637=CONFIG_METADATA!$B$4),IF(DATOS!$G2637="EX",1,IF(DATOS!$G2637="OR",--(COUNTIFS(nNIA,DATOS!$A2637,nCURSO,DATOS!$D2637,nESPEC,DATOS!$E2637,nASIG,DATOS!$I2637,nEVAL,"EX")=0),0))))</f>
      </c>
      <c r="H2637">
        <f>IF(DATOS!$G2637&lt;&gt;"EX",0,--(COUNTIFS(nNIA,DATOS!$A2637,nCURSO,DATOS!$D2637,nESPEC,DATOS!$E2637,nASIG,DATOS!$I2637,nEVAL,"OR")=0))</f>
      </c>
      <c r="I2637">
        <f>IF(DATOS!$I2637="","",IFERROR(VLOOKUP(DATOS!$I2637,CONFIG_ASIGNATURAS!$B$2:$J$91,9,FALSE()),""))</f>
      </c>
    </row>
    <row r="2638">
      <c r="F2638">
        <f>IF(DATOS!$A2638="","",DATOS!$A2638&amp;"|"&amp;DATOS!$D2638&amp;"|"&amp;DATOS!$E2638&amp;"|"&amp;DATOS!$I2638)</f>
      </c>
      <c r="G2638">
        <f>IF(DATOS!$A2638="",0,IF(CONFIG_METADATA!$B$4&lt;&gt;"OR+EX",--(DATOS!$G2638=CONFIG_METADATA!$B$4),IF(DATOS!$G2638="EX",1,IF(DATOS!$G2638="OR",--(COUNTIFS(nNIA,DATOS!$A2638,nCURSO,DATOS!$D2638,nESPEC,DATOS!$E2638,nASIG,DATOS!$I2638,nEVAL,"EX")=0),0))))</f>
      </c>
      <c r="H2638">
        <f>IF(DATOS!$G2638&lt;&gt;"EX",0,--(COUNTIFS(nNIA,DATOS!$A2638,nCURSO,DATOS!$D2638,nESPEC,DATOS!$E2638,nASIG,DATOS!$I2638,nEVAL,"OR")=0))</f>
      </c>
      <c r="I2638">
        <f>IF(DATOS!$I2638="","",IFERROR(VLOOKUP(DATOS!$I2638,CONFIG_ASIGNATURAS!$B$2:$J$91,9,FALSE()),""))</f>
      </c>
    </row>
    <row r="2639">
      <c r="F2639">
        <f>IF(DATOS!$A2639="","",DATOS!$A2639&amp;"|"&amp;DATOS!$D2639&amp;"|"&amp;DATOS!$E2639&amp;"|"&amp;DATOS!$I2639)</f>
      </c>
      <c r="G2639">
        <f>IF(DATOS!$A2639="",0,IF(CONFIG_METADATA!$B$4&lt;&gt;"OR+EX",--(DATOS!$G2639=CONFIG_METADATA!$B$4),IF(DATOS!$G2639="EX",1,IF(DATOS!$G2639="OR",--(COUNTIFS(nNIA,DATOS!$A2639,nCURSO,DATOS!$D2639,nESPEC,DATOS!$E2639,nASIG,DATOS!$I2639,nEVAL,"EX")=0),0))))</f>
      </c>
      <c r="H2639">
        <f>IF(DATOS!$G2639&lt;&gt;"EX",0,--(COUNTIFS(nNIA,DATOS!$A2639,nCURSO,DATOS!$D2639,nESPEC,DATOS!$E2639,nASIG,DATOS!$I2639,nEVAL,"OR")=0))</f>
      </c>
      <c r="I2639">
        <f>IF(DATOS!$I2639="","",IFERROR(VLOOKUP(DATOS!$I2639,CONFIG_ASIGNATURAS!$B$2:$J$91,9,FALSE()),""))</f>
      </c>
    </row>
    <row r="2640">
      <c r="F2640">
        <f>IF(DATOS!$A2640="","",DATOS!$A2640&amp;"|"&amp;DATOS!$D2640&amp;"|"&amp;DATOS!$E2640&amp;"|"&amp;DATOS!$I2640)</f>
      </c>
      <c r="G2640">
        <f>IF(DATOS!$A2640="",0,IF(CONFIG_METADATA!$B$4&lt;&gt;"OR+EX",--(DATOS!$G2640=CONFIG_METADATA!$B$4),IF(DATOS!$G2640="EX",1,IF(DATOS!$G2640="OR",--(COUNTIFS(nNIA,DATOS!$A2640,nCURSO,DATOS!$D2640,nESPEC,DATOS!$E2640,nASIG,DATOS!$I2640,nEVAL,"EX")=0),0))))</f>
      </c>
      <c r="H2640">
        <f>IF(DATOS!$G2640&lt;&gt;"EX",0,--(COUNTIFS(nNIA,DATOS!$A2640,nCURSO,DATOS!$D2640,nESPEC,DATOS!$E2640,nASIG,DATOS!$I2640,nEVAL,"OR")=0))</f>
      </c>
      <c r="I2640">
        <f>IF(DATOS!$I2640="","",IFERROR(VLOOKUP(DATOS!$I2640,CONFIG_ASIGNATURAS!$B$2:$J$91,9,FALSE()),""))</f>
      </c>
    </row>
    <row r="2641">
      <c r="F2641">
        <f>IF(DATOS!$A2641="","",DATOS!$A2641&amp;"|"&amp;DATOS!$D2641&amp;"|"&amp;DATOS!$E2641&amp;"|"&amp;DATOS!$I2641)</f>
      </c>
      <c r="G2641">
        <f>IF(DATOS!$A2641="",0,IF(CONFIG_METADATA!$B$4&lt;&gt;"OR+EX",--(DATOS!$G2641=CONFIG_METADATA!$B$4),IF(DATOS!$G2641="EX",1,IF(DATOS!$G2641="OR",--(COUNTIFS(nNIA,DATOS!$A2641,nCURSO,DATOS!$D2641,nESPEC,DATOS!$E2641,nASIG,DATOS!$I2641,nEVAL,"EX")=0),0))))</f>
      </c>
      <c r="H2641">
        <f>IF(DATOS!$G2641&lt;&gt;"EX",0,--(COUNTIFS(nNIA,DATOS!$A2641,nCURSO,DATOS!$D2641,nESPEC,DATOS!$E2641,nASIG,DATOS!$I2641,nEVAL,"OR")=0))</f>
      </c>
      <c r="I2641">
        <f>IF(DATOS!$I2641="","",IFERROR(VLOOKUP(DATOS!$I2641,CONFIG_ASIGNATURAS!$B$2:$J$91,9,FALSE()),""))</f>
      </c>
    </row>
    <row r="2642">
      <c r="F2642">
        <f>IF(DATOS!$A2642="","",DATOS!$A2642&amp;"|"&amp;DATOS!$D2642&amp;"|"&amp;DATOS!$E2642&amp;"|"&amp;DATOS!$I2642)</f>
      </c>
      <c r="G2642">
        <f>IF(DATOS!$A2642="",0,IF(CONFIG_METADATA!$B$4&lt;&gt;"OR+EX",--(DATOS!$G2642=CONFIG_METADATA!$B$4),IF(DATOS!$G2642="EX",1,IF(DATOS!$G2642="OR",--(COUNTIFS(nNIA,DATOS!$A2642,nCURSO,DATOS!$D2642,nESPEC,DATOS!$E2642,nASIG,DATOS!$I2642,nEVAL,"EX")=0),0))))</f>
      </c>
      <c r="H2642">
        <f>IF(DATOS!$G2642&lt;&gt;"EX",0,--(COUNTIFS(nNIA,DATOS!$A2642,nCURSO,DATOS!$D2642,nESPEC,DATOS!$E2642,nASIG,DATOS!$I2642,nEVAL,"OR")=0))</f>
      </c>
      <c r="I2642">
        <f>IF(DATOS!$I2642="","",IFERROR(VLOOKUP(DATOS!$I2642,CONFIG_ASIGNATURAS!$B$2:$J$91,9,FALSE()),""))</f>
      </c>
    </row>
    <row r="2643">
      <c r="F2643">
        <f>IF(DATOS!$A2643="","",DATOS!$A2643&amp;"|"&amp;DATOS!$D2643&amp;"|"&amp;DATOS!$E2643&amp;"|"&amp;DATOS!$I2643)</f>
      </c>
      <c r="G2643">
        <f>IF(DATOS!$A2643="",0,IF(CONFIG_METADATA!$B$4&lt;&gt;"OR+EX",--(DATOS!$G2643=CONFIG_METADATA!$B$4),IF(DATOS!$G2643="EX",1,IF(DATOS!$G2643="OR",--(COUNTIFS(nNIA,DATOS!$A2643,nCURSO,DATOS!$D2643,nESPEC,DATOS!$E2643,nASIG,DATOS!$I2643,nEVAL,"EX")=0),0))))</f>
      </c>
      <c r="H2643">
        <f>IF(DATOS!$G2643&lt;&gt;"EX",0,--(COUNTIFS(nNIA,DATOS!$A2643,nCURSO,DATOS!$D2643,nESPEC,DATOS!$E2643,nASIG,DATOS!$I2643,nEVAL,"OR")=0))</f>
      </c>
      <c r="I2643">
        <f>IF(DATOS!$I2643="","",IFERROR(VLOOKUP(DATOS!$I2643,CONFIG_ASIGNATURAS!$B$2:$J$91,9,FALSE()),""))</f>
      </c>
    </row>
    <row r="2644">
      <c r="F2644">
        <f>IF(DATOS!$A2644="","",DATOS!$A2644&amp;"|"&amp;DATOS!$D2644&amp;"|"&amp;DATOS!$E2644&amp;"|"&amp;DATOS!$I2644)</f>
      </c>
      <c r="G2644">
        <f>IF(DATOS!$A2644="",0,IF(CONFIG_METADATA!$B$4&lt;&gt;"OR+EX",--(DATOS!$G2644=CONFIG_METADATA!$B$4),IF(DATOS!$G2644="EX",1,IF(DATOS!$G2644="OR",--(COUNTIFS(nNIA,DATOS!$A2644,nCURSO,DATOS!$D2644,nESPEC,DATOS!$E2644,nASIG,DATOS!$I2644,nEVAL,"EX")=0),0))))</f>
      </c>
      <c r="H2644">
        <f>IF(DATOS!$G2644&lt;&gt;"EX",0,--(COUNTIFS(nNIA,DATOS!$A2644,nCURSO,DATOS!$D2644,nESPEC,DATOS!$E2644,nASIG,DATOS!$I2644,nEVAL,"OR")=0))</f>
      </c>
      <c r="I2644">
        <f>IF(DATOS!$I2644="","",IFERROR(VLOOKUP(DATOS!$I2644,CONFIG_ASIGNATURAS!$B$2:$J$91,9,FALSE()),""))</f>
      </c>
    </row>
    <row r="2645">
      <c r="F2645">
        <f>IF(DATOS!$A2645="","",DATOS!$A2645&amp;"|"&amp;DATOS!$D2645&amp;"|"&amp;DATOS!$E2645&amp;"|"&amp;DATOS!$I2645)</f>
      </c>
      <c r="G2645">
        <f>IF(DATOS!$A2645="",0,IF(CONFIG_METADATA!$B$4&lt;&gt;"OR+EX",--(DATOS!$G2645=CONFIG_METADATA!$B$4),IF(DATOS!$G2645="EX",1,IF(DATOS!$G2645="OR",--(COUNTIFS(nNIA,DATOS!$A2645,nCURSO,DATOS!$D2645,nESPEC,DATOS!$E2645,nASIG,DATOS!$I2645,nEVAL,"EX")=0),0))))</f>
      </c>
      <c r="H2645">
        <f>IF(DATOS!$G2645&lt;&gt;"EX",0,--(COUNTIFS(nNIA,DATOS!$A2645,nCURSO,DATOS!$D2645,nESPEC,DATOS!$E2645,nASIG,DATOS!$I2645,nEVAL,"OR")=0))</f>
      </c>
      <c r="I2645">
        <f>IF(DATOS!$I2645="","",IFERROR(VLOOKUP(DATOS!$I2645,CONFIG_ASIGNATURAS!$B$2:$J$91,9,FALSE()),""))</f>
      </c>
    </row>
    <row r="2646">
      <c r="F2646">
        <f>IF(DATOS!$A2646="","",DATOS!$A2646&amp;"|"&amp;DATOS!$D2646&amp;"|"&amp;DATOS!$E2646&amp;"|"&amp;DATOS!$I2646)</f>
      </c>
      <c r="G2646">
        <f>IF(DATOS!$A2646="",0,IF(CONFIG_METADATA!$B$4&lt;&gt;"OR+EX",--(DATOS!$G2646=CONFIG_METADATA!$B$4),IF(DATOS!$G2646="EX",1,IF(DATOS!$G2646="OR",--(COUNTIFS(nNIA,DATOS!$A2646,nCURSO,DATOS!$D2646,nESPEC,DATOS!$E2646,nASIG,DATOS!$I2646,nEVAL,"EX")=0),0))))</f>
      </c>
      <c r="H2646">
        <f>IF(DATOS!$G2646&lt;&gt;"EX",0,--(COUNTIFS(nNIA,DATOS!$A2646,nCURSO,DATOS!$D2646,nESPEC,DATOS!$E2646,nASIG,DATOS!$I2646,nEVAL,"OR")=0))</f>
      </c>
      <c r="I2646">
        <f>IF(DATOS!$I2646="","",IFERROR(VLOOKUP(DATOS!$I2646,CONFIG_ASIGNATURAS!$B$2:$J$91,9,FALSE()),""))</f>
      </c>
    </row>
    <row r="2647">
      <c r="F2647">
        <f>IF(DATOS!$A2647="","",DATOS!$A2647&amp;"|"&amp;DATOS!$D2647&amp;"|"&amp;DATOS!$E2647&amp;"|"&amp;DATOS!$I2647)</f>
      </c>
      <c r="G2647">
        <f>IF(DATOS!$A2647="",0,IF(CONFIG_METADATA!$B$4&lt;&gt;"OR+EX",--(DATOS!$G2647=CONFIG_METADATA!$B$4),IF(DATOS!$G2647="EX",1,IF(DATOS!$G2647="OR",--(COUNTIFS(nNIA,DATOS!$A2647,nCURSO,DATOS!$D2647,nESPEC,DATOS!$E2647,nASIG,DATOS!$I2647,nEVAL,"EX")=0),0))))</f>
      </c>
      <c r="H2647">
        <f>IF(DATOS!$G2647&lt;&gt;"EX",0,--(COUNTIFS(nNIA,DATOS!$A2647,nCURSO,DATOS!$D2647,nESPEC,DATOS!$E2647,nASIG,DATOS!$I2647,nEVAL,"OR")=0))</f>
      </c>
      <c r="I2647">
        <f>IF(DATOS!$I2647="","",IFERROR(VLOOKUP(DATOS!$I2647,CONFIG_ASIGNATURAS!$B$2:$J$91,9,FALSE()),""))</f>
      </c>
    </row>
    <row r="2648">
      <c r="F2648">
        <f>IF(DATOS!$A2648="","",DATOS!$A2648&amp;"|"&amp;DATOS!$D2648&amp;"|"&amp;DATOS!$E2648&amp;"|"&amp;DATOS!$I2648)</f>
      </c>
      <c r="G2648">
        <f>IF(DATOS!$A2648="",0,IF(CONFIG_METADATA!$B$4&lt;&gt;"OR+EX",--(DATOS!$G2648=CONFIG_METADATA!$B$4),IF(DATOS!$G2648="EX",1,IF(DATOS!$G2648="OR",--(COUNTIFS(nNIA,DATOS!$A2648,nCURSO,DATOS!$D2648,nESPEC,DATOS!$E2648,nASIG,DATOS!$I2648,nEVAL,"EX")=0),0))))</f>
      </c>
      <c r="H2648">
        <f>IF(DATOS!$G2648&lt;&gt;"EX",0,--(COUNTIFS(nNIA,DATOS!$A2648,nCURSO,DATOS!$D2648,nESPEC,DATOS!$E2648,nASIG,DATOS!$I2648,nEVAL,"OR")=0))</f>
      </c>
      <c r="I2648">
        <f>IF(DATOS!$I2648="","",IFERROR(VLOOKUP(DATOS!$I2648,CONFIG_ASIGNATURAS!$B$2:$J$91,9,FALSE()),""))</f>
      </c>
    </row>
    <row r="2649">
      <c r="F2649">
        <f>IF(DATOS!$A2649="","",DATOS!$A2649&amp;"|"&amp;DATOS!$D2649&amp;"|"&amp;DATOS!$E2649&amp;"|"&amp;DATOS!$I2649)</f>
      </c>
      <c r="G2649">
        <f>IF(DATOS!$A2649="",0,IF(CONFIG_METADATA!$B$4&lt;&gt;"OR+EX",--(DATOS!$G2649=CONFIG_METADATA!$B$4),IF(DATOS!$G2649="EX",1,IF(DATOS!$G2649="OR",--(COUNTIFS(nNIA,DATOS!$A2649,nCURSO,DATOS!$D2649,nESPEC,DATOS!$E2649,nASIG,DATOS!$I2649,nEVAL,"EX")=0),0))))</f>
      </c>
      <c r="H2649">
        <f>IF(DATOS!$G2649&lt;&gt;"EX",0,--(COUNTIFS(nNIA,DATOS!$A2649,nCURSO,DATOS!$D2649,nESPEC,DATOS!$E2649,nASIG,DATOS!$I2649,nEVAL,"OR")=0))</f>
      </c>
      <c r="I2649">
        <f>IF(DATOS!$I2649="","",IFERROR(VLOOKUP(DATOS!$I2649,CONFIG_ASIGNATURAS!$B$2:$J$91,9,FALSE()),""))</f>
      </c>
    </row>
    <row r="2650">
      <c r="F2650">
        <f>IF(DATOS!$A2650="","",DATOS!$A2650&amp;"|"&amp;DATOS!$D2650&amp;"|"&amp;DATOS!$E2650&amp;"|"&amp;DATOS!$I2650)</f>
      </c>
      <c r="G2650">
        <f>IF(DATOS!$A2650="",0,IF(CONFIG_METADATA!$B$4&lt;&gt;"OR+EX",--(DATOS!$G2650=CONFIG_METADATA!$B$4),IF(DATOS!$G2650="EX",1,IF(DATOS!$G2650="OR",--(COUNTIFS(nNIA,DATOS!$A2650,nCURSO,DATOS!$D2650,nESPEC,DATOS!$E2650,nASIG,DATOS!$I2650,nEVAL,"EX")=0),0))))</f>
      </c>
      <c r="H2650">
        <f>IF(DATOS!$G2650&lt;&gt;"EX",0,--(COUNTIFS(nNIA,DATOS!$A2650,nCURSO,DATOS!$D2650,nESPEC,DATOS!$E2650,nASIG,DATOS!$I2650,nEVAL,"OR")=0))</f>
      </c>
      <c r="I2650">
        <f>IF(DATOS!$I2650="","",IFERROR(VLOOKUP(DATOS!$I2650,CONFIG_ASIGNATURAS!$B$2:$J$91,9,FALSE()),""))</f>
      </c>
    </row>
    <row r="2651">
      <c r="F2651">
        <f>IF(DATOS!$A2651="","",DATOS!$A2651&amp;"|"&amp;DATOS!$D2651&amp;"|"&amp;DATOS!$E2651&amp;"|"&amp;DATOS!$I2651)</f>
      </c>
      <c r="G2651">
        <f>IF(DATOS!$A2651="",0,IF(CONFIG_METADATA!$B$4&lt;&gt;"OR+EX",--(DATOS!$G2651=CONFIG_METADATA!$B$4),IF(DATOS!$G2651="EX",1,IF(DATOS!$G2651="OR",--(COUNTIFS(nNIA,DATOS!$A2651,nCURSO,DATOS!$D2651,nESPEC,DATOS!$E2651,nASIG,DATOS!$I2651,nEVAL,"EX")=0),0))))</f>
      </c>
      <c r="H2651">
        <f>IF(DATOS!$G2651&lt;&gt;"EX",0,--(COUNTIFS(nNIA,DATOS!$A2651,nCURSO,DATOS!$D2651,nESPEC,DATOS!$E2651,nASIG,DATOS!$I2651,nEVAL,"OR")=0))</f>
      </c>
      <c r="I2651">
        <f>IF(DATOS!$I2651="","",IFERROR(VLOOKUP(DATOS!$I2651,CONFIG_ASIGNATURAS!$B$2:$J$91,9,FALSE()),""))</f>
      </c>
    </row>
    <row r="2652">
      <c r="F2652">
        <f>IF(DATOS!$A2652="","",DATOS!$A2652&amp;"|"&amp;DATOS!$D2652&amp;"|"&amp;DATOS!$E2652&amp;"|"&amp;DATOS!$I2652)</f>
      </c>
      <c r="G2652">
        <f>IF(DATOS!$A2652="",0,IF(CONFIG_METADATA!$B$4&lt;&gt;"OR+EX",--(DATOS!$G2652=CONFIG_METADATA!$B$4),IF(DATOS!$G2652="EX",1,IF(DATOS!$G2652="OR",--(COUNTIFS(nNIA,DATOS!$A2652,nCURSO,DATOS!$D2652,nESPEC,DATOS!$E2652,nASIG,DATOS!$I2652,nEVAL,"EX")=0),0))))</f>
      </c>
      <c r="H2652">
        <f>IF(DATOS!$G2652&lt;&gt;"EX",0,--(COUNTIFS(nNIA,DATOS!$A2652,nCURSO,DATOS!$D2652,nESPEC,DATOS!$E2652,nASIG,DATOS!$I2652,nEVAL,"OR")=0))</f>
      </c>
      <c r="I2652">
        <f>IF(DATOS!$I2652="","",IFERROR(VLOOKUP(DATOS!$I2652,CONFIG_ASIGNATURAS!$B$2:$J$91,9,FALSE()),""))</f>
      </c>
    </row>
    <row r="2653">
      <c r="F2653">
        <f>IF(DATOS!$A2653="","",DATOS!$A2653&amp;"|"&amp;DATOS!$D2653&amp;"|"&amp;DATOS!$E2653&amp;"|"&amp;DATOS!$I2653)</f>
      </c>
      <c r="G2653">
        <f>IF(DATOS!$A2653="",0,IF(CONFIG_METADATA!$B$4&lt;&gt;"OR+EX",--(DATOS!$G2653=CONFIG_METADATA!$B$4),IF(DATOS!$G2653="EX",1,IF(DATOS!$G2653="OR",--(COUNTIFS(nNIA,DATOS!$A2653,nCURSO,DATOS!$D2653,nESPEC,DATOS!$E2653,nASIG,DATOS!$I2653,nEVAL,"EX")=0),0))))</f>
      </c>
      <c r="H2653">
        <f>IF(DATOS!$G2653&lt;&gt;"EX",0,--(COUNTIFS(nNIA,DATOS!$A2653,nCURSO,DATOS!$D2653,nESPEC,DATOS!$E2653,nASIG,DATOS!$I2653,nEVAL,"OR")=0))</f>
      </c>
      <c r="I2653">
        <f>IF(DATOS!$I2653="","",IFERROR(VLOOKUP(DATOS!$I2653,CONFIG_ASIGNATURAS!$B$2:$J$91,9,FALSE()),""))</f>
      </c>
    </row>
    <row r="2654">
      <c r="F2654">
        <f>IF(DATOS!$A2654="","",DATOS!$A2654&amp;"|"&amp;DATOS!$D2654&amp;"|"&amp;DATOS!$E2654&amp;"|"&amp;DATOS!$I2654)</f>
      </c>
      <c r="G2654">
        <f>IF(DATOS!$A2654="",0,IF(CONFIG_METADATA!$B$4&lt;&gt;"OR+EX",--(DATOS!$G2654=CONFIG_METADATA!$B$4),IF(DATOS!$G2654="EX",1,IF(DATOS!$G2654="OR",--(COUNTIFS(nNIA,DATOS!$A2654,nCURSO,DATOS!$D2654,nESPEC,DATOS!$E2654,nASIG,DATOS!$I2654,nEVAL,"EX")=0),0))))</f>
      </c>
      <c r="H2654">
        <f>IF(DATOS!$G2654&lt;&gt;"EX",0,--(COUNTIFS(nNIA,DATOS!$A2654,nCURSO,DATOS!$D2654,nESPEC,DATOS!$E2654,nASIG,DATOS!$I2654,nEVAL,"OR")=0))</f>
      </c>
      <c r="I2654">
        <f>IF(DATOS!$I2654="","",IFERROR(VLOOKUP(DATOS!$I2654,CONFIG_ASIGNATURAS!$B$2:$J$91,9,FALSE()),""))</f>
      </c>
    </row>
    <row r="2655">
      <c r="F2655">
        <f>IF(DATOS!$A2655="","",DATOS!$A2655&amp;"|"&amp;DATOS!$D2655&amp;"|"&amp;DATOS!$E2655&amp;"|"&amp;DATOS!$I2655)</f>
      </c>
      <c r="G2655">
        <f>IF(DATOS!$A2655="",0,IF(CONFIG_METADATA!$B$4&lt;&gt;"OR+EX",--(DATOS!$G2655=CONFIG_METADATA!$B$4),IF(DATOS!$G2655="EX",1,IF(DATOS!$G2655="OR",--(COUNTIFS(nNIA,DATOS!$A2655,nCURSO,DATOS!$D2655,nESPEC,DATOS!$E2655,nASIG,DATOS!$I2655,nEVAL,"EX")=0),0))))</f>
      </c>
      <c r="H2655">
        <f>IF(DATOS!$G2655&lt;&gt;"EX",0,--(COUNTIFS(nNIA,DATOS!$A2655,nCURSO,DATOS!$D2655,nESPEC,DATOS!$E2655,nASIG,DATOS!$I2655,nEVAL,"OR")=0))</f>
      </c>
      <c r="I2655">
        <f>IF(DATOS!$I2655="","",IFERROR(VLOOKUP(DATOS!$I2655,CONFIG_ASIGNATURAS!$B$2:$J$91,9,FALSE()),""))</f>
      </c>
    </row>
    <row r="2656">
      <c r="F2656">
        <f>IF(DATOS!$A2656="","",DATOS!$A2656&amp;"|"&amp;DATOS!$D2656&amp;"|"&amp;DATOS!$E2656&amp;"|"&amp;DATOS!$I2656)</f>
      </c>
      <c r="G2656">
        <f>IF(DATOS!$A2656="",0,IF(CONFIG_METADATA!$B$4&lt;&gt;"OR+EX",--(DATOS!$G2656=CONFIG_METADATA!$B$4),IF(DATOS!$G2656="EX",1,IF(DATOS!$G2656="OR",--(COUNTIFS(nNIA,DATOS!$A2656,nCURSO,DATOS!$D2656,nESPEC,DATOS!$E2656,nASIG,DATOS!$I2656,nEVAL,"EX")=0),0))))</f>
      </c>
      <c r="H2656">
        <f>IF(DATOS!$G2656&lt;&gt;"EX",0,--(COUNTIFS(nNIA,DATOS!$A2656,nCURSO,DATOS!$D2656,nESPEC,DATOS!$E2656,nASIG,DATOS!$I2656,nEVAL,"OR")=0))</f>
      </c>
      <c r="I2656">
        <f>IF(DATOS!$I2656="","",IFERROR(VLOOKUP(DATOS!$I2656,CONFIG_ASIGNATURAS!$B$2:$J$91,9,FALSE()),""))</f>
      </c>
    </row>
    <row r="2657">
      <c r="F2657">
        <f>IF(DATOS!$A2657="","",DATOS!$A2657&amp;"|"&amp;DATOS!$D2657&amp;"|"&amp;DATOS!$E2657&amp;"|"&amp;DATOS!$I2657)</f>
      </c>
      <c r="G2657">
        <f>IF(DATOS!$A2657="",0,IF(CONFIG_METADATA!$B$4&lt;&gt;"OR+EX",--(DATOS!$G2657=CONFIG_METADATA!$B$4),IF(DATOS!$G2657="EX",1,IF(DATOS!$G2657="OR",--(COUNTIFS(nNIA,DATOS!$A2657,nCURSO,DATOS!$D2657,nESPEC,DATOS!$E2657,nASIG,DATOS!$I2657,nEVAL,"EX")=0),0))))</f>
      </c>
      <c r="H2657">
        <f>IF(DATOS!$G2657&lt;&gt;"EX",0,--(COUNTIFS(nNIA,DATOS!$A2657,nCURSO,DATOS!$D2657,nESPEC,DATOS!$E2657,nASIG,DATOS!$I2657,nEVAL,"OR")=0))</f>
      </c>
      <c r="I2657">
        <f>IF(DATOS!$I2657="","",IFERROR(VLOOKUP(DATOS!$I2657,CONFIG_ASIGNATURAS!$B$2:$J$91,9,FALSE()),""))</f>
      </c>
    </row>
    <row r="2658">
      <c r="F2658">
        <f>IF(DATOS!$A2658="","",DATOS!$A2658&amp;"|"&amp;DATOS!$D2658&amp;"|"&amp;DATOS!$E2658&amp;"|"&amp;DATOS!$I2658)</f>
      </c>
      <c r="G2658">
        <f>IF(DATOS!$A2658="",0,IF(CONFIG_METADATA!$B$4&lt;&gt;"OR+EX",--(DATOS!$G2658=CONFIG_METADATA!$B$4),IF(DATOS!$G2658="EX",1,IF(DATOS!$G2658="OR",--(COUNTIFS(nNIA,DATOS!$A2658,nCURSO,DATOS!$D2658,nESPEC,DATOS!$E2658,nASIG,DATOS!$I2658,nEVAL,"EX")=0),0))))</f>
      </c>
      <c r="H2658">
        <f>IF(DATOS!$G2658&lt;&gt;"EX",0,--(COUNTIFS(nNIA,DATOS!$A2658,nCURSO,DATOS!$D2658,nESPEC,DATOS!$E2658,nASIG,DATOS!$I2658,nEVAL,"OR")=0))</f>
      </c>
      <c r="I2658">
        <f>IF(DATOS!$I2658="","",IFERROR(VLOOKUP(DATOS!$I2658,CONFIG_ASIGNATURAS!$B$2:$J$91,9,FALSE()),""))</f>
      </c>
    </row>
    <row r="2659">
      <c r="F2659">
        <f>IF(DATOS!$A2659="","",DATOS!$A2659&amp;"|"&amp;DATOS!$D2659&amp;"|"&amp;DATOS!$E2659&amp;"|"&amp;DATOS!$I2659)</f>
      </c>
      <c r="G2659">
        <f>IF(DATOS!$A2659="",0,IF(CONFIG_METADATA!$B$4&lt;&gt;"OR+EX",--(DATOS!$G2659=CONFIG_METADATA!$B$4),IF(DATOS!$G2659="EX",1,IF(DATOS!$G2659="OR",--(COUNTIFS(nNIA,DATOS!$A2659,nCURSO,DATOS!$D2659,nESPEC,DATOS!$E2659,nASIG,DATOS!$I2659,nEVAL,"EX")=0),0))))</f>
      </c>
      <c r="H2659">
        <f>IF(DATOS!$G2659&lt;&gt;"EX",0,--(COUNTIFS(nNIA,DATOS!$A2659,nCURSO,DATOS!$D2659,nESPEC,DATOS!$E2659,nASIG,DATOS!$I2659,nEVAL,"OR")=0))</f>
      </c>
      <c r="I2659">
        <f>IF(DATOS!$I2659="","",IFERROR(VLOOKUP(DATOS!$I2659,CONFIG_ASIGNATURAS!$B$2:$J$91,9,FALSE()),""))</f>
      </c>
    </row>
    <row r="2660">
      <c r="F2660">
        <f>IF(DATOS!$A2660="","",DATOS!$A2660&amp;"|"&amp;DATOS!$D2660&amp;"|"&amp;DATOS!$E2660&amp;"|"&amp;DATOS!$I2660)</f>
      </c>
      <c r="G2660">
        <f>IF(DATOS!$A2660="",0,IF(CONFIG_METADATA!$B$4&lt;&gt;"OR+EX",--(DATOS!$G2660=CONFIG_METADATA!$B$4),IF(DATOS!$G2660="EX",1,IF(DATOS!$G2660="OR",--(COUNTIFS(nNIA,DATOS!$A2660,nCURSO,DATOS!$D2660,nESPEC,DATOS!$E2660,nASIG,DATOS!$I2660,nEVAL,"EX")=0),0))))</f>
      </c>
      <c r="H2660">
        <f>IF(DATOS!$G2660&lt;&gt;"EX",0,--(COUNTIFS(nNIA,DATOS!$A2660,nCURSO,DATOS!$D2660,nESPEC,DATOS!$E2660,nASIG,DATOS!$I2660,nEVAL,"OR")=0))</f>
      </c>
      <c r="I2660">
        <f>IF(DATOS!$I2660="","",IFERROR(VLOOKUP(DATOS!$I2660,CONFIG_ASIGNATURAS!$B$2:$J$91,9,FALSE()),""))</f>
      </c>
    </row>
    <row r="2661">
      <c r="F2661">
        <f>IF(DATOS!$A2661="","",DATOS!$A2661&amp;"|"&amp;DATOS!$D2661&amp;"|"&amp;DATOS!$E2661&amp;"|"&amp;DATOS!$I2661)</f>
      </c>
      <c r="G2661">
        <f>IF(DATOS!$A2661="",0,IF(CONFIG_METADATA!$B$4&lt;&gt;"OR+EX",--(DATOS!$G2661=CONFIG_METADATA!$B$4),IF(DATOS!$G2661="EX",1,IF(DATOS!$G2661="OR",--(COUNTIFS(nNIA,DATOS!$A2661,nCURSO,DATOS!$D2661,nESPEC,DATOS!$E2661,nASIG,DATOS!$I2661,nEVAL,"EX")=0),0))))</f>
      </c>
      <c r="H2661">
        <f>IF(DATOS!$G2661&lt;&gt;"EX",0,--(COUNTIFS(nNIA,DATOS!$A2661,nCURSO,DATOS!$D2661,nESPEC,DATOS!$E2661,nASIG,DATOS!$I2661,nEVAL,"OR")=0))</f>
      </c>
      <c r="I2661">
        <f>IF(DATOS!$I2661="","",IFERROR(VLOOKUP(DATOS!$I2661,CONFIG_ASIGNATURAS!$B$2:$J$91,9,FALSE()),""))</f>
      </c>
    </row>
    <row r="2662">
      <c r="F2662">
        <f>IF(DATOS!$A2662="","",DATOS!$A2662&amp;"|"&amp;DATOS!$D2662&amp;"|"&amp;DATOS!$E2662&amp;"|"&amp;DATOS!$I2662)</f>
      </c>
      <c r="G2662">
        <f>IF(DATOS!$A2662="",0,IF(CONFIG_METADATA!$B$4&lt;&gt;"OR+EX",--(DATOS!$G2662=CONFIG_METADATA!$B$4),IF(DATOS!$G2662="EX",1,IF(DATOS!$G2662="OR",--(COUNTIFS(nNIA,DATOS!$A2662,nCURSO,DATOS!$D2662,nESPEC,DATOS!$E2662,nASIG,DATOS!$I2662,nEVAL,"EX")=0),0))))</f>
      </c>
      <c r="H2662">
        <f>IF(DATOS!$G2662&lt;&gt;"EX",0,--(COUNTIFS(nNIA,DATOS!$A2662,nCURSO,DATOS!$D2662,nESPEC,DATOS!$E2662,nASIG,DATOS!$I2662,nEVAL,"OR")=0))</f>
      </c>
      <c r="I2662">
        <f>IF(DATOS!$I2662="","",IFERROR(VLOOKUP(DATOS!$I2662,CONFIG_ASIGNATURAS!$B$2:$J$91,9,FALSE()),""))</f>
      </c>
    </row>
    <row r="2663">
      <c r="F2663">
        <f>IF(DATOS!$A2663="","",DATOS!$A2663&amp;"|"&amp;DATOS!$D2663&amp;"|"&amp;DATOS!$E2663&amp;"|"&amp;DATOS!$I2663)</f>
      </c>
      <c r="G2663">
        <f>IF(DATOS!$A2663="",0,IF(CONFIG_METADATA!$B$4&lt;&gt;"OR+EX",--(DATOS!$G2663=CONFIG_METADATA!$B$4),IF(DATOS!$G2663="EX",1,IF(DATOS!$G2663="OR",--(COUNTIFS(nNIA,DATOS!$A2663,nCURSO,DATOS!$D2663,nESPEC,DATOS!$E2663,nASIG,DATOS!$I2663,nEVAL,"EX")=0),0))))</f>
      </c>
      <c r="H2663">
        <f>IF(DATOS!$G2663&lt;&gt;"EX",0,--(COUNTIFS(nNIA,DATOS!$A2663,nCURSO,DATOS!$D2663,nESPEC,DATOS!$E2663,nASIG,DATOS!$I2663,nEVAL,"OR")=0))</f>
      </c>
      <c r="I2663">
        <f>IF(DATOS!$I2663="","",IFERROR(VLOOKUP(DATOS!$I2663,CONFIG_ASIGNATURAS!$B$2:$J$91,9,FALSE()),""))</f>
      </c>
    </row>
    <row r="2664">
      <c r="F2664">
        <f>IF(DATOS!$A2664="","",DATOS!$A2664&amp;"|"&amp;DATOS!$D2664&amp;"|"&amp;DATOS!$E2664&amp;"|"&amp;DATOS!$I2664)</f>
      </c>
      <c r="G2664">
        <f>IF(DATOS!$A2664="",0,IF(CONFIG_METADATA!$B$4&lt;&gt;"OR+EX",--(DATOS!$G2664=CONFIG_METADATA!$B$4),IF(DATOS!$G2664="EX",1,IF(DATOS!$G2664="OR",--(COUNTIFS(nNIA,DATOS!$A2664,nCURSO,DATOS!$D2664,nESPEC,DATOS!$E2664,nASIG,DATOS!$I2664,nEVAL,"EX")=0),0))))</f>
      </c>
      <c r="H2664">
        <f>IF(DATOS!$G2664&lt;&gt;"EX",0,--(COUNTIFS(nNIA,DATOS!$A2664,nCURSO,DATOS!$D2664,nESPEC,DATOS!$E2664,nASIG,DATOS!$I2664,nEVAL,"OR")=0))</f>
      </c>
      <c r="I2664">
        <f>IF(DATOS!$I2664="","",IFERROR(VLOOKUP(DATOS!$I2664,CONFIG_ASIGNATURAS!$B$2:$J$91,9,FALSE()),""))</f>
      </c>
    </row>
    <row r="2665">
      <c r="F2665">
        <f>IF(DATOS!$A2665="","",DATOS!$A2665&amp;"|"&amp;DATOS!$D2665&amp;"|"&amp;DATOS!$E2665&amp;"|"&amp;DATOS!$I2665)</f>
      </c>
      <c r="G2665">
        <f>IF(DATOS!$A2665="",0,IF(CONFIG_METADATA!$B$4&lt;&gt;"OR+EX",--(DATOS!$G2665=CONFIG_METADATA!$B$4),IF(DATOS!$G2665="EX",1,IF(DATOS!$G2665="OR",--(COUNTIFS(nNIA,DATOS!$A2665,nCURSO,DATOS!$D2665,nESPEC,DATOS!$E2665,nASIG,DATOS!$I2665,nEVAL,"EX")=0),0))))</f>
      </c>
      <c r="H2665">
        <f>IF(DATOS!$G2665&lt;&gt;"EX",0,--(COUNTIFS(nNIA,DATOS!$A2665,nCURSO,DATOS!$D2665,nESPEC,DATOS!$E2665,nASIG,DATOS!$I2665,nEVAL,"OR")=0))</f>
      </c>
      <c r="I2665">
        <f>IF(DATOS!$I2665="","",IFERROR(VLOOKUP(DATOS!$I2665,CONFIG_ASIGNATURAS!$B$2:$J$91,9,FALSE()),""))</f>
      </c>
    </row>
    <row r="2666">
      <c r="F2666">
        <f>IF(DATOS!$A2666="","",DATOS!$A2666&amp;"|"&amp;DATOS!$D2666&amp;"|"&amp;DATOS!$E2666&amp;"|"&amp;DATOS!$I2666)</f>
      </c>
      <c r="G2666">
        <f>IF(DATOS!$A2666="",0,IF(CONFIG_METADATA!$B$4&lt;&gt;"OR+EX",--(DATOS!$G2666=CONFIG_METADATA!$B$4),IF(DATOS!$G2666="EX",1,IF(DATOS!$G2666="OR",--(COUNTIFS(nNIA,DATOS!$A2666,nCURSO,DATOS!$D2666,nESPEC,DATOS!$E2666,nASIG,DATOS!$I2666,nEVAL,"EX")=0),0))))</f>
      </c>
      <c r="H2666">
        <f>IF(DATOS!$G2666&lt;&gt;"EX",0,--(COUNTIFS(nNIA,DATOS!$A2666,nCURSO,DATOS!$D2666,nESPEC,DATOS!$E2666,nASIG,DATOS!$I2666,nEVAL,"OR")=0))</f>
      </c>
      <c r="I2666">
        <f>IF(DATOS!$I2666="","",IFERROR(VLOOKUP(DATOS!$I2666,CONFIG_ASIGNATURAS!$B$2:$J$91,9,FALSE()),""))</f>
      </c>
    </row>
    <row r="2667">
      <c r="F2667">
        <f>IF(DATOS!$A2667="","",DATOS!$A2667&amp;"|"&amp;DATOS!$D2667&amp;"|"&amp;DATOS!$E2667&amp;"|"&amp;DATOS!$I2667)</f>
      </c>
      <c r="G2667">
        <f>IF(DATOS!$A2667="",0,IF(CONFIG_METADATA!$B$4&lt;&gt;"OR+EX",--(DATOS!$G2667=CONFIG_METADATA!$B$4),IF(DATOS!$G2667="EX",1,IF(DATOS!$G2667="OR",--(COUNTIFS(nNIA,DATOS!$A2667,nCURSO,DATOS!$D2667,nESPEC,DATOS!$E2667,nASIG,DATOS!$I2667,nEVAL,"EX")=0),0))))</f>
      </c>
      <c r="H2667">
        <f>IF(DATOS!$G2667&lt;&gt;"EX",0,--(COUNTIFS(nNIA,DATOS!$A2667,nCURSO,DATOS!$D2667,nESPEC,DATOS!$E2667,nASIG,DATOS!$I2667,nEVAL,"OR")=0))</f>
      </c>
      <c r="I2667">
        <f>IF(DATOS!$I2667="","",IFERROR(VLOOKUP(DATOS!$I2667,CONFIG_ASIGNATURAS!$B$2:$J$91,9,FALSE()),""))</f>
      </c>
    </row>
    <row r="2668">
      <c r="F2668">
        <f>IF(DATOS!$A2668="","",DATOS!$A2668&amp;"|"&amp;DATOS!$D2668&amp;"|"&amp;DATOS!$E2668&amp;"|"&amp;DATOS!$I2668)</f>
      </c>
      <c r="G2668">
        <f>IF(DATOS!$A2668="",0,IF(CONFIG_METADATA!$B$4&lt;&gt;"OR+EX",--(DATOS!$G2668=CONFIG_METADATA!$B$4),IF(DATOS!$G2668="EX",1,IF(DATOS!$G2668="OR",--(COUNTIFS(nNIA,DATOS!$A2668,nCURSO,DATOS!$D2668,nESPEC,DATOS!$E2668,nASIG,DATOS!$I2668,nEVAL,"EX")=0),0))))</f>
      </c>
      <c r="H2668">
        <f>IF(DATOS!$G2668&lt;&gt;"EX",0,--(COUNTIFS(nNIA,DATOS!$A2668,nCURSO,DATOS!$D2668,nESPEC,DATOS!$E2668,nASIG,DATOS!$I2668,nEVAL,"OR")=0))</f>
      </c>
      <c r="I2668">
        <f>IF(DATOS!$I2668="","",IFERROR(VLOOKUP(DATOS!$I2668,CONFIG_ASIGNATURAS!$B$2:$J$91,9,FALSE()),""))</f>
      </c>
    </row>
    <row r="2669">
      <c r="F2669">
        <f>IF(DATOS!$A2669="","",DATOS!$A2669&amp;"|"&amp;DATOS!$D2669&amp;"|"&amp;DATOS!$E2669&amp;"|"&amp;DATOS!$I2669)</f>
      </c>
      <c r="G2669">
        <f>IF(DATOS!$A2669="",0,IF(CONFIG_METADATA!$B$4&lt;&gt;"OR+EX",--(DATOS!$G2669=CONFIG_METADATA!$B$4),IF(DATOS!$G2669="EX",1,IF(DATOS!$G2669="OR",--(COUNTIFS(nNIA,DATOS!$A2669,nCURSO,DATOS!$D2669,nESPEC,DATOS!$E2669,nASIG,DATOS!$I2669,nEVAL,"EX")=0),0))))</f>
      </c>
      <c r="H2669">
        <f>IF(DATOS!$G2669&lt;&gt;"EX",0,--(COUNTIFS(nNIA,DATOS!$A2669,nCURSO,DATOS!$D2669,nESPEC,DATOS!$E2669,nASIG,DATOS!$I2669,nEVAL,"OR")=0))</f>
      </c>
      <c r="I2669">
        <f>IF(DATOS!$I2669="","",IFERROR(VLOOKUP(DATOS!$I2669,CONFIG_ASIGNATURAS!$B$2:$J$91,9,FALSE()),""))</f>
      </c>
    </row>
    <row r="2670">
      <c r="F2670">
        <f>IF(DATOS!$A2670="","",DATOS!$A2670&amp;"|"&amp;DATOS!$D2670&amp;"|"&amp;DATOS!$E2670&amp;"|"&amp;DATOS!$I2670)</f>
      </c>
      <c r="G2670">
        <f>IF(DATOS!$A2670="",0,IF(CONFIG_METADATA!$B$4&lt;&gt;"OR+EX",--(DATOS!$G2670=CONFIG_METADATA!$B$4),IF(DATOS!$G2670="EX",1,IF(DATOS!$G2670="OR",--(COUNTIFS(nNIA,DATOS!$A2670,nCURSO,DATOS!$D2670,nESPEC,DATOS!$E2670,nASIG,DATOS!$I2670,nEVAL,"EX")=0),0))))</f>
      </c>
      <c r="H2670">
        <f>IF(DATOS!$G2670&lt;&gt;"EX",0,--(COUNTIFS(nNIA,DATOS!$A2670,nCURSO,DATOS!$D2670,nESPEC,DATOS!$E2670,nASIG,DATOS!$I2670,nEVAL,"OR")=0))</f>
      </c>
      <c r="I2670">
        <f>IF(DATOS!$I2670="","",IFERROR(VLOOKUP(DATOS!$I2670,CONFIG_ASIGNATURAS!$B$2:$J$91,9,FALSE()),""))</f>
      </c>
    </row>
    <row r="2671">
      <c r="F2671">
        <f>IF(DATOS!$A2671="","",DATOS!$A2671&amp;"|"&amp;DATOS!$D2671&amp;"|"&amp;DATOS!$E2671&amp;"|"&amp;DATOS!$I2671)</f>
      </c>
      <c r="G2671">
        <f>IF(DATOS!$A2671="",0,IF(CONFIG_METADATA!$B$4&lt;&gt;"OR+EX",--(DATOS!$G2671=CONFIG_METADATA!$B$4),IF(DATOS!$G2671="EX",1,IF(DATOS!$G2671="OR",--(COUNTIFS(nNIA,DATOS!$A2671,nCURSO,DATOS!$D2671,nESPEC,DATOS!$E2671,nASIG,DATOS!$I2671,nEVAL,"EX")=0),0))))</f>
      </c>
      <c r="H2671">
        <f>IF(DATOS!$G2671&lt;&gt;"EX",0,--(COUNTIFS(nNIA,DATOS!$A2671,nCURSO,DATOS!$D2671,nESPEC,DATOS!$E2671,nASIG,DATOS!$I2671,nEVAL,"OR")=0))</f>
      </c>
      <c r="I2671">
        <f>IF(DATOS!$I2671="","",IFERROR(VLOOKUP(DATOS!$I2671,CONFIG_ASIGNATURAS!$B$2:$J$91,9,FALSE()),""))</f>
      </c>
    </row>
    <row r="2672">
      <c r="F2672">
        <f>IF(DATOS!$A2672="","",DATOS!$A2672&amp;"|"&amp;DATOS!$D2672&amp;"|"&amp;DATOS!$E2672&amp;"|"&amp;DATOS!$I2672)</f>
      </c>
      <c r="G2672">
        <f>IF(DATOS!$A2672="",0,IF(CONFIG_METADATA!$B$4&lt;&gt;"OR+EX",--(DATOS!$G2672=CONFIG_METADATA!$B$4),IF(DATOS!$G2672="EX",1,IF(DATOS!$G2672="OR",--(COUNTIFS(nNIA,DATOS!$A2672,nCURSO,DATOS!$D2672,nESPEC,DATOS!$E2672,nASIG,DATOS!$I2672,nEVAL,"EX")=0),0))))</f>
      </c>
      <c r="H2672">
        <f>IF(DATOS!$G2672&lt;&gt;"EX",0,--(COUNTIFS(nNIA,DATOS!$A2672,nCURSO,DATOS!$D2672,nESPEC,DATOS!$E2672,nASIG,DATOS!$I2672,nEVAL,"OR")=0))</f>
      </c>
      <c r="I2672">
        <f>IF(DATOS!$I2672="","",IFERROR(VLOOKUP(DATOS!$I2672,CONFIG_ASIGNATURAS!$B$2:$J$91,9,FALSE()),""))</f>
      </c>
    </row>
    <row r="2673">
      <c r="F2673">
        <f>IF(DATOS!$A2673="","",DATOS!$A2673&amp;"|"&amp;DATOS!$D2673&amp;"|"&amp;DATOS!$E2673&amp;"|"&amp;DATOS!$I2673)</f>
      </c>
      <c r="G2673">
        <f>IF(DATOS!$A2673="",0,IF(CONFIG_METADATA!$B$4&lt;&gt;"OR+EX",--(DATOS!$G2673=CONFIG_METADATA!$B$4),IF(DATOS!$G2673="EX",1,IF(DATOS!$G2673="OR",--(COUNTIFS(nNIA,DATOS!$A2673,nCURSO,DATOS!$D2673,nESPEC,DATOS!$E2673,nASIG,DATOS!$I2673,nEVAL,"EX")=0),0))))</f>
      </c>
      <c r="H2673">
        <f>IF(DATOS!$G2673&lt;&gt;"EX",0,--(COUNTIFS(nNIA,DATOS!$A2673,nCURSO,DATOS!$D2673,nESPEC,DATOS!$E2673,nASIG,DATOS!$I2673,nEVAL,"OR")=0))</f>
      </c>
      <c r="I2673">
        <f>IF(DATOS!$I2673="","",IFERROR(VLOOKUP(DATOS!$I2673,CONFIG_ASIGNATURAS!$B$2:$J$91,9,FALSE()),""))</f>
      </c>
    </row>
    <row r="2674">
      <c r="F2674">
        <f>IF(DATOS!$A2674="","",DATOS!$A2674&amp;"|"&amp;DATOS!$D2674&amp;"|"&amp;DATOS!$E2674&amp;"|"&amp;DATOS!$I2674)</f>
      </c>
      <c r="G2674">
        <f>IF(DATOS!$A2674="",0,IF(CONFIG_METADATA!$B$4&lt;&gt;"OR+EX",--(DATOS!$G2674=CONFIG_METADATA!$B$4),IF(DATOS!$G2674="EX",1,IF(DATOS!$G2674="OR",--(COUNTIFS(nNIA,DATOS!$A2674,nCURSO,DATOS!$D2674,nESPEC,DATOS!$E2674,nASIG,DATOS!$I2674,nEVAL,"EX")=0),0))))</f>
      </c>
      <c r="H2674">
        <f>IF(DATOS!$G2674&lt;&gt;"EX",0,--(COUNTIFS(nNIA,DATOS!$A2674,nCURSO,DATOS!$D2674,nESPEC,DATOS!$E2674,nASIG,DATOS!$I2674,nEVAL,"OR")=0))</f>
      </c>
      <c r="I2674">
        <f>IF(DATOS!$I2674="","",IFERROR(VLOOKUP(DATOS!$I2674,CONFIG_ASIGNATURAS!$B$2:$J$91,9,FALSE()),""))</f>
      </c>
    </row>
    <row r="2675">
      <c r="F2675">
        <f>IF(DATOS!$A2675="","",DATOS!$A2675&amp;"|"&amp;DATOS!$D2675&amp;"|"&amp;DATOS!$E2675&amp;"|"&amp;DATOS!$I2675)</f>
      </c>
      <c r="G2675">
        <f>IF(DATOS!$A2675="",0,IF(CONFIG_METADATA!$B$4&lt;&gt;"OR+EX",--(DATOS!$G2675=CONFIG_METADATA!$B$4),IF(DATOS!$G2675="EX",1,IF(DATOS!$G2675="OR",--(COUNTIFS(nNIA,DATOS!$A2675,nCURSO,DATOS!$D2675,nESPEC,DATOS!$E2675,nASIG,DATOS!$I2675,nEVAL,"EX")=0),0))))</f>
      </c>
      <c r="H2675">
        <f>IF(DATOS!$G2675&lt;&gt;"EX",0,--(COUNTIFS(nNIA,DATOS!$A2675,nCURSO,DATOS!$D2675,nESPEC,DATOS!$E2675,nASIG,DATOS!$I2675,nEVAL,"OR")=0))</f>
      </c>
      <c r="I2675">
        <f>IF(DATOS!$I2675="","",IFERROR(VLOOKUP(DATOS!$I2675,CONFIG_ASIGNATURAS!$B$2:$J$91,9,FALSE()),""))</f>
      </c>
    </row>
    <row r="2676">
      <c r="F2676">
        <f>IF(DATOS!$A2676="","",DATOS!$A2676&amp;"|"&amp;DATOS!$D2676&amp;"|"&amp;DATOS!$E2676&amp;"|"&amp;DATOS!$I2676)</f>
      </c>
      <c r="G2676">
        <f>IF(DATOS!$A2676="",0,IF(CONFIG_METADATA!$B$4&lt;&gt;"OR+EX",--(DATOS!$G2676=CONFIG_METADATA!$B$4),IF(DATOS!$G2676="EX",1,IF(DATOS!$G2676="OR",--(COUNTIFS(nNIA,DATOS!$A2676,nCURSO,DATOS!$D2676,nESPEC,DATOS!$E2676,nASIG,DATOS!$I2676,nEVAL,"EX")=0),0))))</f>
      </c>
      <c r="H2676">
        <f>IF(DATOS!$G2676&lt;&gt;"EX",0,--(COUNTIFS(nNIA,DATOS!$A2676,nCURSO,DATOS!$D2676,nESPEC,DATOS!$E2676,nASIG,DATOS!$I2676,nEVAL,"OR")=0))</f>
      </c>
      <c r="I2676">
        <f>IF(DATOS!$I2676="","",IFERROR(VLOOKUP(DATOS!$I2676,CONFIG_ASIGNATURAS!$B$2:$J$91,9,FALSE()),""))</f>
      </c>
    </row>
    <row r="2677">
      <c r="F2677">
        <f>IF(DATOS!$A2677="","",DATOS!$A2677&amp;"|"&amp;DATOS!$D2677&amp;"|"&amp;DATOS!$E2677&amp;"|"&amp;DATOS!$I2677)</f>
      </c>
      <c r="G2677">
        <f>IF(DATOS!$A2677="",0,IF(CONFIG_METADATA!$B$4&lt;&gt;"OR+EX",--(DATOS!$G2677=CONFIG_METADATA!$B$4),IF(DATOS!$G2677="EX",1,IF(DATOS!$G2677="OR",--(COUNTIFS(nNIA,DATOS!$A2677,nCURSO,DATOS!$D2677,nESPEC,DATOS!$E2677,nASIG,DATOS!$I2677,nEVAL,"EX")=0),0))))</f>
      </c>
      <c r="H2677">
        <f>IF(DATOS!$G2677&lt;&gt;"EX",0,--(COUNTIFS(nNIA,DATOS!$A2677,nCURSO,DATOS!$D2677,nESPEC,DATOS!$E2677,nASIG,DATOS!$I2677,nEVAL,"OR")=0))</f>
      </c>
      <c r="I2677">
        <f>IF(DATOS!$I2677="","",IFERROR(VLOOKUP(DATOS!$I2677,CONFIG_ASIGNATURAS!$B$2:$J$91,9,FALSE()),""))</f>
      </c>
    </row>
    <row r="2678">
      <c r="F2678">
        <f>IF(DATOS!$A2678="","",DATOS!$A2678&amp;"|"&amp;DATOS!$D2678&amp;"|"&amp;DATOS!$E2678&amp;"|"&amp;DATOS!$I2678)</f>
      </c>
      <c r="G2678">
        <f>IF(DATOS!$A2678="",0,IF(CONFIG_METADATA!$B$4&lt;&gt;"OR+EX",--(DATOS!$G2678=CONFIG_METADATA!$B$4),IF(DATOS!$G2678="EX",1,IF(DATOS!$G2678="OR",--(COUNTIFS(nNIA,DATOS!$A2678,nCURSO,DATOS!$D2678,nESPEC,DATOS!$E2678,nASIG,DATOS!$I2678,nEVAL,"EX")=0),0))))</f>
      </c>
      <c r="H2678">
        <f>IF(DATOS!$G2678&lt;&gt;"EX",0,--(COUNTIFS(nNIA,DATOS!$A2678,nCURSO,DATOS!$D2678,nESPEC,DATOS!$E2678,nASIG,DATOS!$I2678,nEVAL,"OR")=0))</f>
      </c>
      <c r="I2678">
        <f>IF(DATOS!$I2678="","",IFERROR(VLOOKUP(DATOS!$I2678,CONFIG_ASIGNATURAS!$B$2:$J$91,9,FALSE()),""))</f>
      </c>
    </row>
    <row r="2679">
      <c r="F2679">
        <f>IF(DATOS!$A2679="","",DATOS!$A2679&amp;"|"&amp;DATOS!$D2679&amp;"|"&amp;DATOS!$E2679&amp;"|"&amp;DATOS!$I2679)</f>
      </c>
      <c r="G2679">
        <f>IF(DATOS!$A2679="",0,IF(CONFIG_METADATA!$B$4&lt;&gt;"OR+EX",--(DATOS!$G2679=CONFIG_METADATA!$B$4),IF(DATOS!$G2679="EX",1,IF(DATOS!$G2679="OR",--(COUNTIFS(nNIA,DATOS!$A2679,nCURSO,DATOS!$D2679,nESPEC,DATOS!$E2679,nASIG,DATOS!$I2679,nEVAL,"EX")=0),0))))</f>
      </c>
      <c r="H2679">
        <f>IF(DATOS!$G2679&lt;&gt;"EX",0,--(COUNTIFS(nNIA,DATOS!$A2679,nCURSO,DATOS!$D2679,nESPEC,DATOS!$E2679,nASIG,DATOS!$I2679,nEVAL,"OR")=0))</f>
      </c>
      <c r="I2679">
        <f>IF(DATOS!$I2679="","",IFERROR(VLOOKUP(DATOS!$I2679,CONFIG_ASIGNATURAS!$B$2:$J$91,9,FALSE()),""))</f>
      </c>
    </row>
    <row r="2680">
      <c r="F2680">
        <f>IF(DATOS!$A2680="","",DATOS!$A2680&amp;"|"&amp;DATOS!$D2680&amp;"|"&amp;DATOS!$E2680&amp;"|"&amp;DATOS!$I2680)</f>
      </c>
      <c r="G2680">
        <f>IF(DATOS!$A2680="",0,IF(CONFIG_METADATA!$B$4&lt;&gt;"OR+EX",--(DATOS!$G2680=CONFIG_METADATA!$B$4),IF(DATOS!$G2680="EX",1,IF(DATOS!$G2680="OR",--(COUNTIFS(nNIA,DATOS!$A2680,nCURSO,DATOS!$D2680,nESPEC,DATOS!$E2680,nASIG,DATOS!$I2680,nEVAL,"EX")=0),0))))</f>
      </c>
      <c r="H2680">
        <f>IF(DATOS!$G2680&lt;&gt;"EX",0,--(COUNTIFS(nNIA,DATOS!$A2680,nCURSO,DATOS!$D2680,nESPEC,DATOS!$E2680,nASIG,DATOS!$I2680,nEVAL,"OR")=0))</f>
      </c>
      <c r="I2680">
        <f>IF(DATOS!$I2680="","",IFERROR(VLOOKUP(DATOS!$I2680,CONFIG_ASIGNATURAS!$B$2:$J$91,9,FALSE()),""))</f>
      </c>
    </row>
    <row r="2681">
      <c r="F2681">
        <f>IF(DATOS!$A2681="","",DATOS!$A2681&amp;"|"&amp;DATOS!$D2681&amp;"|"&amp;DATOS!$E2681&amp;"|"&amp;DATOS!$I2681)</f>
      </c>
      <c r="G2681">
        <f>IF(DATOS!$A2681="",0,IF(CONFIG_METADATA!$B$4&lt;&gt;"OR+EX",--(DATOS!$G2681=CONFIG_METADATA!$B$4),IF(DATOS!$G2681="EX",1,IF(DATOS!$G2681="OR",--(COUNTIFS(nNIA,DATOS!$A2681,nCURSO,DATOS!$D2681,nESPEC,DATOS!$E2681,nASIG,DATOS!$I2681,nEVAL,"EX")=0),0))))</f>
      </c>
      <c r="H2681">
        <f>IF(DATOS!$G2681&lt;&gt;"EX",0,--(COUNTIFS(nNIA,DATOS!$A2681,nCURSO,DATOS!$D2681,nESPEC,DATOS!$E2681,nASIG,DATOS!$I2681,nEVAL,"OR")=0))</f>
      </c>
      <c r="I2681">
        <f>IF(DATOS!$I2681="","",IFERROR(VLOOKUP(DATOS!$I2681,CONFIG_ASIGNATURAS!$B$2:$J$91,9,FALSE()),""))</f>
      </c>
    </row>
    <row r="2682">
      <c r="F2682">
        <f>IF(DATOS!$A2682="","",DATOS!$A2682&amp;"|"&amp;DATOS!$D2682&amp;"|"&amp;DATOS!$E2682&amp;"|"&amp;DATOS!$I2682)</f>
      </c>
      <c r="G2682">
        <f>IF(DATOS!$A2682="",0,IF(CONFIG_METADATA!$B$4&lt;&gt;"OR+EX",--(DATOS!$G2682=CONFIG_METADATA!$B$4),IF(DATOS!$G2682="EX",1,IF(DATOS!$G2682="OR",--(COUNTIFS(nNIA,DATOS!$A2682,nCURSO,DATOS!$D2682,nESPEC,DATOS!$E2682,nASIG,DATOS!$I2682,nEVAL,"EX")=0),0))))</f>
      </c>
      <c r="H2682">
        <f>IF(DATOS!$G2682&lt;&gt;"EX",0,--(COUNTIFS(nNIA,DATOS!$A2682,nCURSO,DATOS!$D2682,nESPEC,DATOS!$E2682,nASIG,DATOS!$I2682,nEVAL,"OR")=0))</f>
      </c>
      <c r="I2682">
        <f>IF(DATOS!$I2682="","",IFERROR(VLOOKUP(DATOS!$I2682,CONFIG_ASIGNATURAS!$B$2:$J$91,9,FALSE()),""))</f>
      </c>
    </row>
    <row r="2683">
      <c r="F2683">
        <f>IF(DATOS!$A2683="","",DATOS!$A2683&amp;"|"&amp;DATOS!$D2683&amp;"|"&amp;DATOS!$E2683&amp;"|"&amp;DATOS!$I2683)</f>
      </c>
      <c r="G2683">
        <f>IF(DATOS!$A2683="",0,IF(CONFIG_METADATA!$B$4&lt;&gt;"OR+EX",--(DATOS!$G2683=CONFIG_METADATA!$B$4),IF(DATOS!$G2683="EX",1,IF(DATOS!$G2683="OR",--(COUNTIFS(nNIA,DATOS!$A2683,nCURSO,DATOS!$D2683,nESPEC,DATOS!$E2683,nASIG,DATOS!$I2683,nEVAL,"EX")=0),0))))</f>
      </c>
      <c r="H2683">
        <f>IF(DATOS!$G2683&lt;&gt;"EX",0,--(COUNTIFS(nNIA,DATOS!$A2683,nCURSO,DATOS!$D2683,nESPEC,DATOS!$E2683,nASIG,DATOS!$I2683,nEVAL,"OR")=0))</f>
      </c>
      <c r="I2683">
        <f>IF(DATOS!$I2683="","",IFERROR(VLOOKUP(DATOS!$I2683,CONFIG_ASIGNATURAS!$B$2:$J$91,9,FALSE()),""))</f>
      </c>
    </row>
    <row r="2684">
      <c r="F2684">
        <f>IF(DATOS!$A2684="","",DATOS!$A2684&amp;"|"&amp;DATOS!$D2684&amp;"|"&amp;DATOS!$E2684&amp;"|"&amp;DATOS!$I2684)</f>
      </c>
      <c r="G2684">
        <f>IF(DATOS!$A2684="",0,IF(CONFIG_METADATA!$B$4&lt;&gt;"OR+EX",--(DATOS!$G2684=CONFIG_METADATA!$B$4),IF(DATOS!$G2684="EX",1,IF(DATOS!$G2684="OR",--(COUNTIFS(nNIA,DATOS!$A2684,nCURSO,DATOS!$D2684,nESPEC,DATOS!$E2684,nASIG,DATOS!$I2684,nEVAL,"EX")=0),0))))</f>
      </c>
      <c r="H2684">
        <f>IF(DATOS!$G2684&lt;&gt;"EX",0,--(COUNTIFS(nNIA,DATOS!$A2684,nCURSO,DATOS!$D2684,nESPEC,DATOS!$E2684,nASIG,DATOS!$I2684,nEVAL,"OR")=0))</f>
      </c>
      <c r="I2684">
        <f>IF(DATOS!$I2684="","",IFERROR(VLOOKUP(DATOS!$I2684,CONFIG_ASIGNATURAS!$B$2:$J$91,9,FALSE()),""))</f>
      </c>
    </row>
    <row r="2685">
      <c r="F2685">
        <f>IF(DATOS!$A2685="","",DATOS!$A2685&amp;"|"&amp;DATOS!$D2685&amp;"|"&amp;DATOS!$E2685&amp;"|"&amp;DATOS!$I2685)</f>
      </c>
      <c r="G2685">
        <f>IF(DATOS!$A2685="",0,IF(CONFIG_METADATA!$B$4&lt;&gt;"OR+EX",--(DATOS!$G2685=CONFIG_METADATA!$B$4),IF(DATOS!$G2685="EX",1,IF(DATOS!$G2685="OR",--(COUNTIFS(nNIA,DATOS!$A2685,nCURSO,DATOS!$D2685,nESPEC,DATOS!$E2685,nASIG,DATOS!$I2685,nEVAL,"EX")=0),0))))</f>
      </c>
      <c r="H2685">
        <f>IF(DATOS!$G2685&lt;&gt;"EX",0,--(COUNTIFS(nNIA,DATOS!$A2685,nCURSO,DATOS!$D2685,nESPEC,DATOS!$E2685,nASIG,DATOS!$I2685,nEVAL,"OR")=0))</f>
      </c>
      <c r="I2685">
        <f>IF(DATOS!$I2685="","",IFERROR(VLOOKUP(DATOS!$I2685,CONFIG_ASIGNATURAS!$B$2:$J$91,9,FALSE()),""))</f>
      </c>
    </row>
    <row r="2686">
      <c r="F2686">
        <f>IF(DATOS!$A2686="","",DATOS!$A2686&amp;"|"&amp;DATOS!$D2686&amp;"|"&amp;DATOS!$E2686&amp;"|"&amp;DATOS!$I2686)</f>
      </c>
      <c r="G2686">
        <f>IF(DATOS!$A2686="",0,IF(CONFIG_METADATA!$B$4&lt;&gt;"OR+EX",--(DATOS!$G2686=CONFIG_METADATA!$B$4),IF(DATOS!$G2686="EX",1,IF(DATOS!$G2686="OR",--(COUNTIFS(nNIA,DATOS!$A2686,nCURSO,DATOS!$D2686,nESPEC,DATOS!$E2686,nASIG,DATOS!$I2686,nEVAL,"EX")=0),0))))</f>
      </c>
      <c r="H2686">
        <f>IF(DATOS!$G2686&lt;&gt;"EX",0,--(COUNTIFS(nNIA,DATOS!$A2686,nCURSO,DATOS!$D2686,nESPEC,DATOS!$E2686,nASIG,DATOS!$I2686,nEVAL,"OR")=0))</f>
      </c>
      <c r="I2686">
        <f>IF(DATOS!$I2686="","",IFERROR(VLOOKUP(DATOS!$I2686,CONFIG_ASIGNATURAS!$B$2:$J$91,9,FALSE()),""))</f>
      </c>
    </row>
    <row r="2687">
      <c r="F2687">
        <f>IF(DATOS!$A2687="","",DATOS!$A2687&amp;"|"&amp;DATOS!$D2687&amp;"|"&amp;DATOS!$E2687&amp;"|"&amp;DATOS!$I2687)</f>
      </c>
      <c r="G2687">
        <f>IF(DATOS!$A2687="",0,IF(CONFIG_METADATA!$B$4&lt;&gt;"OR+EX",--(DATOS!$G2687=CONFIG_METADATA!$B$4),IF(DATOS!$G2687="EX",1,IF(DATOS!$G2687="OR",--(COUNTIFS(nNIA,DATOS!$A2687,nCURSO,DATOS!$D2687,nESPEC,DATOS!$E2687,nASIG,DATOS!$I2687,nEVAL,"EX")=0),0))))</f>
      </c>
      <c r="H2687">
        <f>IF(DATOS!$G2687&lt;&gt;"EX",0,--(COUNTIFS(nNIA,DATOS!$A2687,nCURSO,DATOS!$D2687,nESPEC,DATOS!$E2687,nASIG,DATOS!$I2687,nEVAL,"OR")=0))</f>
      </c>
      <c r="I2687">
        <f>IF(DATOS!$I2687="","",IFERROR(VLOOKUP(DATOS!$I2687,CONFIG_ASIGNATURAS!$B$2:$J$91,9,FALSE()),""))</f>
      </c>
    </row>
    <row r="2688">
      <c r="F2688">
        <f>IF(DATOS!$A2688="","",DATOS!$A2688&amp;"|"&amp;DATOS!$D2688&amp;"|"&amp;DATOS!$E2688&amp;"|"&amp;DATOS!$I2688)</f>
      </c>
      <c r="G2688">
        <f>IF(DATOS!$A2688="",0,IF(CONFIG_METADATA!$B$4&lt;&gt;"OR+EX",--(DATOS!$G2688=CONFIG_METADATA!$B$4),IF(DATOS!$G2688="EX",1,IF(DATOS!$G2688="OR",--(COUNTIFS(nNIA,DATOS!$A2688,nCURSO,DATOS!$D2688,nESPEC,DATOS!$E2688,nASIG,DATOS!$I2688,nEVAL,"EX")=0),0))))</f>
      </c>
      <c r="H2688">
        <f>IF(DATOS!$G2688&lt;&gt;"EX",0,--(COUNTIFS(nNIA,DATOS!$A2688,nCURSO,DATOS!$D2688,nESPEC,DATOS!$E2688,nASIG,DATOS!$I2688,nEVAL,"OR")=0))</f>
      </c>
      <c r="I2688">
        <f>IF(DATOS!$I2688="","",IFERROR(VLOOKUP(DATOS!$I2688,CONFIG_ASIGNATURAS!$B$2:$J$91,9,FALSE()),""))</f>
      </c>
    </row>
    <row r="2689">
      <c r="F2689">
        <f>IF(DATOS!$A2689="","",DATOS!$A2689&amp;"|"&amp;DATOS!$D2689&amp;"|"&amp;DATOS!$E2689&amp;"|"&amp;DATOS!$I2689)</f>
      </c>
      <c r="G2689">
        <f>IF(DATOS!$A2689="",0,IF(CONFIG_METADATA!$B$4&lt;&gt;"OR+EX",--(DATOS!$G2689=CONFIG_METADATA!$B$4),IF(DATOS!$G2689="EX",1,IF(DATOS!$G2689="OR",--(COUNTIFS(nNIA,DATOS!$A2689,nCURSO,DATOS!$D2689,nESPEC,DATOS!$E2689,nASIG,DATOS!$I2689,nEVAL,"EX")=0),0))))</f>
      </c>
      <c r="H2689">
        <f>IF(DATOS!$G2689&lt;&gt;"EX",0,--(COUNTIFS(nNIA,DATOS!$A2689,nCURSO,DATOS!$D2689,nESPEC,DATOS!$E2689,nASIG,DATOS!$I2689,nEVAL,"OR")=0))</f>
      </c>
      <c r="I2689">
        <f>IF(DATOS!$I2689="","",IFERROR(VLOOKUP(DATOS!$I2689,CONFIG_ASIGNATURAS!$B$2:$J$91,9,FALSE()),""))</f>
      </c>
    </row>
    <row r="2690">
      <c r="F2690">
        <f>IF(DATOS!$A2690="","",DATOS!$A2690&amp;"|"&amp;DATOS!$D2690&amp;"|"&amp;DATOS!$E2690&amp;"|"&amp;DATOS!$I2690)</f>
      </c>
      <c r="G2690">
        <f>IF(DATOS!$A2690="",0,IF(CONFIG_METADATA!$B$4&lt;&gt;"OR+EX",--(DATOS!$G2690=CONFIG_METADATA!$B$4),IF(DATOS!$G2690="EX",1,IF(DATOS!$G2690="OR",--(COUNTIFS(nNIA,DATOS!$A2690,nCURSO,DATOS!$D2690,nESPEC,DATOS!$E2690,nASIG,DATOS!$I2690,nEVAL,"EX")=0),0))))</f>
      </c>
      <c r="H2690">
        <f>IF(DATOS!$G2690&lt;&gt;"EX",0,--(COUNTIFS(nNIA,DATOS!$A2690,nCURSO,DATOS!$D2690,nESPEC,DATOS!$E2690,nASIG,DATOS!$I2690,nEVAL,"OR")=0))</f>
      </c>
      <c r="I2690">
        <f>IF(DATOS!$I2690="","",IFERROR(VLOOKUP(DATOS!$I2690,CONFIG_ASIGNATURAS!$B$2:$J$91,9,FALSE()),""))</f>
      </c>
    </row>
    <row r="2691">
      <c r="F2691">
        <f>IF(DATOS!$A2691="","",DATOS!$A2691&amp;"|"&amp;DATOS!$D2691&amp;"|"&amp;DATOS!$E2691&amp;"|"&amp;DATOS!$I2691)</f>
      </c>
      <c r="G2691">
        <f>IF(DATOS!$A2691="",0,IF(CONFIG_METADATA!$B$4&lt;&gt;"OR+EX",--(DATOS!$G2691=CONFIG_METADATA!$B$4),IF(DATOS!$G2691="EX",1,IF(DATOS!$G2691="OR",--(COUNTIFS(nNIA,DATOS!$A2691,nCURSO,DATOS!$D2691,nESPEC,DATOS!$E2691,nASIG,DATOS!$I2691,nEVAL,"EX")=0),0))))</f>
      </c>
      <c r="H2691">
        <f>IF(DATOS!$G2691&lt;&gt;"EX",0,--(COUNTIFS(nNIA,DATOS!$A2691,nCURSO,DATOS!$D2691,nESPEC,DATOS!$E2691,nASIG,DATOS!$I2691,nEVAL,"OR")=0))</f>
      </c>
      <c r="I2691">
        <f>IF(DATOS!$I2691="","",IFERROR(VLOOKUP(DATOS!$I2691,CONFIG_ASIGNATURAS!$B$2:$J$91,9,FALSE()),""))</f>
      </c>
    </row>
    <row r="2692">
      <c r="F2692">
        <f>IF(DATOS!$A2692="","",DATOS!$A2692&amp;"|"&amp;DATOS!$D2692&amp;"|"&amp;DATOS!$E2692&amp;"|"&amp;DATOS!$I2692)</f>
      </c>
      <c r="G2692">
        <f>IF(DATOS!$A2692="",0,IF(CONFIG_METADATA!$B$4&lt;&gt;"OR+EX",--(DATOS!$G2692=CONFIG_METADATA!$B$4),IF(DATOS!$G2692="EX",1,IF(DATOS!$G2692="OR",--(COUNTIFS(nNIA,DATOS!$A2692,nCURSO,DATOS!$D2692,nESPEC,DATOS!$E2692,nASIG,DATOS!$I2692,nEVAL,"EX")=0),0))))</f>
      </c>
      <c r="H2692">
        <f>IF(DATOS!$G2692&lt;&gt;"EX",0,--(COUNTIFS(nNIA,DATOS!$A2692,nCURSO,DATOS!$D2692,nESPEC,DATOS!$E2692,nASIG,DATOS!$I2692,nEVAL,"OR")=0))</f>
      </c>
      <c r="I2692">
        <f>IF(DATOS!$I2692="","",IFERROR(VLOOKUP(DATOS!$I2692,CONFIG_ASIGNATURAS!$B$2:$J$91,9,FALSE()),""))</f>
      </c>
    </row>
    <row r="2693">
      <c r="F2693">
        <f>IF(DATOS!$A2693="","",DATOS!$A2693&amp;"|"&amp;DATOS!$D2693&amp;"|"&amp;DATOS!$E2693&amp;"|"&amp;DATOS!$I2693)</f>
      </c>
      <c r="G2693">
        <f>IF(DATOS!$A2693="",0,IF(CONFIG_METADATA!$B$4&lt;&gt;"OR+EX",--(DATOS!$G2693=CONFIG_METADATA!$B$4),IF(DATOS!$G2693="EX",1,IF(DATOS!$G2693="OR",--(COUNTIFS(nNIA,DATOS!$A2693,nCURSO,DATOS!$D2693,nESPEC,DATOS!$E2693,nASIG,DATOS!$I2693,nEVAL,"EX")=0),0))))</f>
      </c>
      <c r="H2693">
        <f>IF(DATOS!$G2693&lt;&gt;"EX",0,--(COUNTIFS(nNIA,DATOS!$A2693,nCURSO,DATOS!$D2693,nESPEC,DATOS!$E2693,nASIG,DATOS!$I2693,nEVAL,"OR")=0))</f>
      </c>
      <c r="I2693">
        <f>IF(DATOS!$I2693="","",IFERROR(VLOOKUP(DATOS!$I2693,CONFIG_ASIGNATURAS!$B$2:$J$91,9,FALSE()),""))</f>
      </c>
    </row>
    <row r="2694">
      <c r="F2694">
        <f>IF(DATOS!$A2694="","",DATOS!$A2694&amp;"|"&amp;DATOS!$D2694&amp;"|"&amp;DATOS!$E2694&amp;"|"&amp;DATOS!$I2694)</f>
      </c>
      <c r="G2694">
        <f>IF(DATOS!$A2694="",0,IF(CONFIG_METADATA!$B$4&lt;&gt;"OR+EX",--(DATOS!$G2694=CONFIG_METADATA!$B$4),IF(DATOS!$G2694="EX",1,IF(DATOS!$G2694="OR",--(COUNTIFS(nNIA,DATOS!$A2694,nCURSO,DATOS!$D2694,nESPEC,DATOS!$E2694,nASIG,DATOS!$I2694,nEVAL,"EX")=0),0))))</f>
      </c>
      <c r="H2694">
        <f>IF(DATOS!$G2694&lt;&gt;"EX",0,--(COUNTIFS(nNIA,DATOS!$A2694,nCURSO,DATOS!$D2694,nESPEC,DATOS!$E2694,nASIG,DATOS!$I2694,nEVAL,"OR")=0))</f>
      </c>
      <c r="I2694">
        <f>IF(DATOS!$I2694="","",IFERROR(VLOOKUP(DATOS!$I2694,CONFIG_ASIGNATURAS!$B$2:$J$91,9,FALSE()),""))</f>
      </c>
    </row>
    <row r="2695">
      <c r="F2695">
        <f>IF(DATOS!$A2695="","",DATOS!$A2695&amp;"|"&amp;DATOS!$D2695&amp;"|"&amp;DATOS!$E2695&amp;"|"&amp;DATOS!$I2695)</f>
      </c>
      <c r="G2695">
        <f>IF(DATOS!$A2695="",0,IF(CONFIG_METADATA!$B$4&lt;&gt;"OR+EX",--(DATOS!$G2695=CONFIG_METADATA!$B$4),IF(DATOS!$G2695="EX",1,IF(DATOS!$G2695="OR",--(COUNTIFS(nNIA,DATOS!$A2695,nCURSO,DATOS!$D2695,nESPEC,DATOS!$E2695,nASIG,DATOS!$I2695,nEVAL,"EX")=0),0))))</f>
      </c>
      <c r="H2695">
        <f>IF(DATOS!$G2695&lt;&gt;"EX",0,--(COUNTIFS(nNIA,DATOS!$A2695,nCURSO,DATOS!$D2695,nESPEC,DATOS!$E2695,nASIG,DATOS!$I2695,nEVAL,"OR")=0))</f>
      </c>
      <c r="I2695">
        <f>IF(DATOS!$I2695="","",IFERROR(VLOOKUP(DATOS!$I2695,CONFIG_ASIGNATURAS!$B$2:$J$91,9,FALSE()),""))</f>
      </c>
    </row>
    <row r="2696">
      <c r="F2696">
        <f>IF(DATOS!$A2696="","",DATOS!$A2696&amp;"|"&amp;DATOS!$D2696&amp;"|"&amp;DATOS!$E2696&amp;"|"&amp;DATOS!$I2696)</f>
      </c>
      <c r="G2696">
        <f>IF(DATOS!$A2696="",0,IF(CONFIG_METADATA!$B$4&lt;&gt;"OR+EX",--(DATOS!$G2696=CONFIG_METADATA!$B$4),IF(DATOS!$G2696="EX",1,IF(DATOS!$G2696="OR",--(COUNTIFS(nNIA,DATOS!$A2696,nCURSO,DATOS!$D2696,nESPEC,DATOS!$E2696,nASIG,DATOS!$I2696,nEVAL,"EX")=0),0))))</f>
      </c>
      <c r="H2696">
        <f>IF(DATOS!$G2696&lt;&gt;"EX",0,--(COUNTIFS(nNIA,DATOS!$A2696,nCURSO,DATOS!$D2696,nESPEC,DATOS!$E2696,nASIG,DATOS!$I2696,nEVAL,"OR")=0))</f>
      </c>
      <c r="I2696">
        <f>IF(DATOS!$I2696="","",IFERROR(VLOOKUP(DATOS!$I2696,CONFIG_ASIGNATURAS!$B$2:$J$91,9,FALSE()),""))</f>
      </c>
    </row>
    <row r="2697">
      <c r="F2697">
        <f>IF(DATOS!$A2697="","",DATOS!$A2697&amp;"|"&amp;DATOS!$D2697&amp;"|"&amp;DATOS!$E2697&amp;"|"&amp;DATOS!$I2697)</f>
      </c>
      <c r="G2697">
        <f>IF(DATOS!$A2697="",0,IF(CONFIG_METADATA!$B$4&lt;&gt;"OR+EX",--(DATOS!$G2697=CONFIG_METADATA!$B$4),IF(DATOS!$G2697="EX",1,IF(DATOS!$G2697="OR",--(COUNTIFS(nNIA,DATOS!$A2697,nCURSO,DATOS!$D2697,nESPEC,DATOS!$E2697,nASIG,DATOS!$I2697,nEVAL,"EX")=0),0))))</f>
      </c>
      <c r="H2697">
        <f>IF(DATOS!$G2697&lt;&gt;"EX",0,--(COUNTIFS(nNIA,DATOS!$A2697,nCURSO,DATOS!$D2697,nESPEC,DATOS!$E2697,nASIG,DATOS!$I2697,nEVAL,"OR")=0))</f>
      </c>
      <c r="I2697">
        <f>IF(DATOS!$I2697="","",IFERROR(VLOOKUP(DATOS!$I2697,CONFIG_ASIGNATURAS!$B$2:$J$91,9,FALSE()),""))</f>
      </c>
    </row>
    <row r="2698">
      <c r="F2698">
        <f>IF(DATOS!$A2698="","",DATOS!$A2698&amp;"|"&amp;DATOS!$D2698&amp;"|"&amp;DATOS!$E2698&amp;"|"&amp;DATOS!$I2698)</f>
      </c>
      <c r="G2698">
        <f>IF(DATOS!$A2698="",0,IF(CONFIG_METADATA!$B$4&lt;&gt;"OR+EX",--(DATOS!$G2698=CONFIG_METADATA!$B$4),IF(DATOS!$G2698="EX",1,IF(DATOS!$G2698="OR",--(COUNTIFS(nNIA,DATOS!$A2698,nCURSO,DATOS!$D2698,nESPEC,DATOS!$E2698,nASIG,DATOS!$I2698,nEVAL,"EX")=0),0))))</f>
      </c>
      <c r="H2698">
        <f>IF(DATOS!$G2698&lt;&gt;"EX",0,--(COUNTIFS(nNIA,DATOS!$A2698,nCURSO,DATOS!$D2698,nESPEC,DATOS!$E2698,nASIG,DATOS!$I2698,nEVAL,"OR")=0))</f>
      </c>
      <c r="I2698">
        <f>IF(DATOS!$I2698="","",IFERROR(VLOOKUP(DATOS!$I2698,CONFIG_ASIGNATURAS!$B$2:$J$91,9,FALSE()),""))</f>
      </c>
    </row>
    <row r="2699">
      <c r="F2699">
        <f>IF(DATOS!$A2699="","",DATOS!$A2699&amp;"|"&amp;DATOS!$D2699&amp;"|"&amp;DATOS!$E2699&amp;"|"&amp;DATOS!$I2699)</f>
      </c>
      <c r="G2699">
        <f>IF(DATOS!$A2699="",0,IF(CONFIG_METADATA!$B$4&lt;&gt;"OR+EX",--(DATOS!$G2699=CONFIG_METADATA!$B$4),IF(DATOS!$G2699="EX",1,IF(DATOS!$G2699="OR",--(COUNTIFS(nNIA,DATOS!$A2699,nCURSO,DATOS!$D2699,nESPEC,DATOS!$E2699,nASIG,DATOS!$I2699,nEVAL,"EX")=0),0))))</f>
      </c>
      <c r="H2699">
        <f>IF(DATOS!$G2699&lt;&gt;"EX",0,--(COUNTIFS(nNIA,DATOS!$A2699,nCURSO,DATOS!$D2699,nESPEC,DATOS!$E2699,nASIG,DATOS!$I2699,nEVAL,"OR")=0))</f>
      </c>
      <c r="I2699">
        <f>IF(DATOS!$I2699="","",IFERROR(VLOOKUP(DATOS!$I2699,CONFIG_ASIGNATURAS!$B$2:$J$91,9,FALSE()),""))</f>
      </c>
    </row>
    <row r="2700">
      <c r="F2700">
        <f>IF(DATOS!$A2700="","",DATOS!$A2700&amp;"|"&amp;DATOS!$D2700&amp;"|"&amp;DATOS!$E2700&amp;"|"&amp;DATOS!$I2700)</f>
      </c>
      <c r="G2700">
        <f>IF(DATOS!$A2700="",0,IF(CONFIG_METADATA!$B$4&lt;&gt;"OR+EX",--(DATOS!$G2700=CONFIG_METADATA!$B$4),IF(DATOS!$G2700="EX",1,IF(DATOS!$G2700="OR",--(COUNTIFS(nNIA,DATOS!$A2700,nCURSO,DATOS!$D2700,nESPEC,DATOS!$E2700,nASIG,DATOS!$I2700,nEVAL,"EX")=0),0))))</f>
      </c>
      <c r="H2700">
        <f>IF(DATOS!$G2700&lt;&gt;"EX",0,--(COUNTIFS(nNIA,DATOS!$A2700,nCURSO,DATOS!$D2700,nESPEC,DATOS!$E2700,nASIG,DATOS!$I2700,nEVAL,"OR")=0))</f>
      </c>
      <c r="I2700">
        <f>IF(DATOS!$I2700="","",IFERROR(VLOOKUP(DATOS!$I2700,CONFIG_ASIGNATURAS!$B$2:$J$91,9,FALSE()),""))</f>
      </c>
    </row>
    <row r="2701">
      <c r="F2701">
        <f>IF(DATOS!$A2701="","",DATOS!$A2701&amp;"|"&amp;DATOS!$D2701&amp;"|"&amp;DATOS!$E2701&amp;"|"&amp;DATOS!$I2701)</f>
      </c>
      <c r="G2701">
        <f>IF(DATOS!$A2701="",0,IF(CONFIG_METADATA!$B$4&lt;&gt;"OR+EX",--(DATOS!$G2701=CONFIG_METADATA!$B$4),IF(DATOS!$G2701="EX",1,IF(DATOS!$G2701="OR",--(COUNTIFS(nNIA,DATOS!$A2701,nCURSO,DATOS!$D2701,nESPEC,DATOS!$E2701,nASIG,DATOS!$I2701,nEVAL,"EX")=0),0))))</f>
      </c>
      <c r="H2701">
        <f>IF(DATOS!$G2701&lt;&gt;"EX",0,--(COUNTIFS(nNIA,DATOS!$A2701,nCURSO,DATOS!$D2701,nESPEC,DATOS!$E2701,nASIG,DATOS!$I2701,nEVAL,"OR")=0))</f>
      </c>
      <c r="I2701">
        <f>IF(DATOS!$I2701="","",IFERROR(VLOOKUP(DATOS!$I2701,CONFIG_ASIGNATURAS!$B$2:$J$91,9,FALSE()),""))</f>
      </c>
    </row>
    <row r="2702">
      <c r="F2702">
        <f>IF(DATOS!$A2702="","",DATOS!$A2702&amp;"|"&amp;DATOS!$D2702&amp;"|"&amp;DATOS!$E2702&amp;"|"&amp;DATOS!$I2702)</f>
      </c>
      <c r="G2702">
        <f>IF(DATOS!$A2702="",0,IF(CONFIG_METADATA!$B$4&lt;&gt;"OR+EX",--(DATOS!$G2702=CONFIG_METADATA!$B$4),IF(DATOS!$G2702="EX",1,IF(DATOS!$G2702="OR",--(COUNTIFS(nNIA,DATOS!$A2702,nCURSO,DATOS!$D2702,nESPEC,DATOS!$E2702,nASIG,DATOS!$I2702,nEVAL,"EX")=0),0))))</f>
      </c>
      <c r="H2702">
        <f>IF(DATOS!$G2702&lt;&gt;"EX",0,--(COUNTIFS(nNIA,DATOS!$A2702,nCURSO,DATOS!$D2702,nESPEC,DATOS!$E2702,nASIG,DATOS!$I2702,nEVAL,"OR")=0))</f>
      </c>
      <c r="I2702">
        <f>IF(DATOS!$I2702="","",IFERROR(VLOOKUP(DATOS!$I2702,CONFIG_ASIGNATURAS!$B$2:$J$91,9,FALSE()),""))</f>
      </c>
    </row>
    <row r="2703">
      <c r="F2703">
        <f>IF(DATOS!$A2703="","",DATOS!$A2703&amp;"|"&amp;DATOS!$D2703&amp;"|"&amp;DATOS!$E2703&amp;"|"&amp;DATOS!$I2703)</f>
      </c>
      <c r="G2703">
        <f>IF(DATOS!$A2703="",0,IF(CONFIG_METADATA!$B$4&lt;&gt;"OR+EX",--(DATOS!$G2703=CONFIG_METADATA!$B$4),IF(DATOS!$G2703="EX",1,IF(DATOS!$G2703="OR",--(COUNTIFS(nNIA,DATOS!$A2703,nCURSO,DATOS!$D2703,nESPEC,DATOS!$E2703,nASIG,DATOS!$I2703,nEVAL,"EX")=0),0))))</f>
      </c>
      <c r="H2703">
        <f>IF(DATOS!$G2703&lt;&gt;"EX",0,--(COUNTIFS(nNIA,DATOS!$A2703,nCURSO,DATOS!$D2703,nESPEC,DATOS!$E2703,nASIG,DATOS!$I2703,nEVAL,"OR")=0))</f>
      </c>
      <c r="I2703">
        <f>IF(DATOS!$I2703="","",IFERROR(VLOOKUP(DATOS!$I2703,CONFIG_ASIGNATURAS!$B$2:$J$91,9,FALSE()),""))</f>
      </c>
    </row>
    <row r="2704">
      <c r="F2704">
        <f>IF(DATOS!$A2704="","",DATOS!$A2704&amp;"|"&amp;DATOS!$D2704&amp;"|"&amp;DATOS!$E2704&amp;"|"&amp;DATOS!$I2704)</f>
      </c>
      <c r="G2704">
        <f>IF(DATOS!$A2704="",0,IF(CONFIG_METADATA!$B$4&lt;&gt;"OR+EX",--(DATOS!$G2704=CONFIG_METADATA!$B$4),IF(DATOS!$G2704="EX",1,IF(DATOS!$G2704="OR",--(COUNTIFS(nNIA,DATOS!$A2704,nCURSO,DATOS!$D2704,nESPEC,DATOS!$E2704,nASIG,DATOS!$I2704,nEVAL,"EX")=0),0))))</f>
      </c>
      <c r="H2704">
        <f>IF(DATOS!$G2704&lt;&gt;"EX",0,--(COUNTIFS(nNIA,DATOS!$A2704,nCURSO,DATOS!$D2704,nESPEC,DATOS!$E2704,nASIG,DATOS!$I2704,nEVAL,"OR")=0))</f>
      </c>
      <c r="I2704">
        <f>IF(DATOS!$I2704="","",IFERROR(VLOOKUP(DATOS!$I2704,CONFIG_ASIGNATURAS!$B$2:$J$91,9,FALSE()),""))</f>
      </c>
    </row>
    <row r="2705">
      <c r="F2705">
        <f>IF(DATOS!$A2705="","",DATOS!$A2705&amp;"|"&amp;DATOS!$D2705&amp;"|"&amp;DATOS!$E2705&amp;"|"&amp;DATOS!$I2705)</f>
      </c>
      <c r="G2705">
        <f>IF(DATOS!$A2705="",0,IF(CONFIG_METADATA!$B$4&lt;&gt;"OR+EX",--(DATOS!$G2705=CONFIG_METADATA!$B$4),IF(DATOS!$G2705="EX",1,IF(DATOS!$G2705="OR",--(COUNTIFS(nNIA,DATOS!$A2705,nCURSO,DATOS!$D2705,nESPEC,DATOS!$E2705,nASIG,DATOS!$I2705,nEVAL,"EX")=0),0))))</f>
      </c>
      <c r="H2705">
        <f>IF(DATOS!$G2705&lt;&gt;"EX",0,--(COUNTIFS(nNIA,DATOS!$A2705,nCURSO,DATOS!$D2705,nESPEC,DATOS!$E2705,nASIG,DATOS!$I2705,nEVAL,"OR")=0))</f>
      </c>
      <c r="I2705">
        <f>IF(DATOS!$I2705="","",IFERROR(VLOOKUP(DATOS!$I2705,CONFIG_ASIGNATURAS!$B$2:$J$91,9,FALSE()),""))</f>
      </c>
    </row>
    <row r="2706">
      <c r="F2706">
        <f>IF(DATOS!$A2706="","",DATOS!$A2706&amp;"|"&amp;DATOS!$D2706&amp;"|"&amp;DATOS!$E2706&amp;"|"&amp;DATOS!$I2706)</f>
      </c>
      <c r="G2706">
        <f>IF(DATOS!$A2706="",0,IF(CONFIG_METADATA!$B$4&lt;&gt;"OR+EX",--(DATOS!$G2706=CONFIG_METADATA!$B$4),IF(DATOS!$G2706="EX",1,IF(DATOS!$G2706="OR",--(COUNTIFS(nNIA,DATOS!$A2706,nCURSO,DATOS!$D2706,nESPEC,DATOS!$E2706,nASIG,DATOS!$I2706,nEVAL,"EX")=0),0))))</f>
      </c>
      <c r="H2706">
        <f>IF(DATOS!$G2706&lt;&gt;"EX",0,--(COUNTIFS(nNIA,DATOS!$A2706,nCURSO,DATOS!$D2706,nESPEC,DATOS!$E2706,nASIG,DATOS!$I2706,nEVAL,"OR")=0))</f>
      </c>
      <c r="I2706">
        <f>IF(DATOS!$I2706="","",IFERROR(VLOOKUP(DATOS!$I2706,CONFIG_ASIGNATURAS!$B$2:$J$91,9,FALSE()),""))</f>
      </c>
    </row>
    <row r="2707">
      <c r="F2707">
        <f>IF(DATOS!$A2707="","",DATOS!$A2707&amp;"|"&amp;DATOS!$D2707&amp;"|"&amp;DATOS!$E2707&amp;"|"&amp;DATOS!$I2707)</f>
      </c>
      <c r="G2707">
        <f>IF(DATOS!$A2707="",0,IF(CONFIG_METADATA!$B$4&lt;&gt;"OR+EX",--(DATOS!$G2707=CONFIG_METADATA!$B$4),IF(DATOS!$G2707="EX",1,IF(DATOS!$G2707="OR",--(COUNTIFS(nNIA,DATOS!$A2707,nCURSO,DATOS!$D2707,nESPEC,DATOS!$E2707,nASIG,DATOS!$I2707,nEVAL,"EX")=0),0))))</f>
      </c>
      <c r="H2707">
        <f>IF(DATOS!$G2707&lt;&gt;"EX",0,--(COUNTIFS(nNIA,DATOS!$A2707,nCURSO,DATOS!$D2707,nESPEC,DATOS!$E2707,nASIG,DATOS!$I2707,nEVAL,"OR")=0))</f>
      </c>
      <c r="I2707">
        <f>IF(DATOS!$I2707="","",IFERROR(VLOOKUP(DATOS!$I2707,CONFIG_ASIGNATURAS!$B$2:$J$91,9,FALSE()),""))</f>
      </c>
    </row>
    <row r="2708">
      <c r="F2708">
        <f>IF(DATOS!$A2708="","",DATOS!$A2708&amp;"|"&amp;DATOS!$D2708&amp;"|"&amp;DATOS!$E2708&amp;"|"&amp;DATOS!$I2708)</f>
      </c>
      <c r="G2708">
        <f>IF(DATOS!$A2708="",0,IF(CONFIG_METADATA!$B$4&lt;&gt;"OR+EX",--(DATOS!$G2708=CONFIG_METADATA!$B$4),IF(DATOS!$G2708="EX",1,IF(DATOS!$G2708="OR",--(COUNTIFS(nNIA,DATOS!$A2708,nCURSO,DATOS!$D2708,nESPEC,DATOS!$E2708,nASIG,DATOS!$I2708,nEVAL,"EX")=0),0))))</f>
      </c>
      <c r="H2708">
        <f>IF(DATOS!$G2708&lt;&gt;"EX",0,--(COUNTIFS(nNIA,DATOS!$A2708,nCURSO,DATOS!$D2708,nESPEC,DATOS!$E2708,nASIG,DATOS!$I2708,nEVAL,"OR")=0))</f>
      </c>
      <c r="I2708">
        <f>IF(DATOS!$I2708="","",IFERROR(VLOOKUP(DATOS!$I2708,CONFIG_ASIGNATURAS!$B$2:$J$91,9,FALSE()),""))</f>
      </c>
    </row>
    <row r="2709">
      <c r="F2709">
        <f>IF(DATOS!$A2709="","",DATOS!$A2709&amp;"|"&amp;DATOS!$D2709&amp;"|"&amp;DATOS!$E2709&amp;"|"&amp;DATOS!$I2709)</f>
      </c>
      <c r="G2709">
        <f>IF(DATOS!$A2709="",0,IF(CONFIG_METADATA!$B$4&lt;&gt;"OR+EX",--(DATOS!$G2709=CONFIG_METADATA!$B$4),IF(DATOS!$G2709="EX",1,IF(DATOS!$G2709="OR",--(COUNTIFS(nNIA,DATOS!$A2709,nCURSO,DATOS!$D2709,nESPEC,DATOS!$E2709,nASIG,DATOS!$I2709,nEVAL,"EX")=0),0))))</f>
      </c>
      <c r="H2709">
        <f>IF(DATOS!$G2709&lt;&gt;"EX",0,--(COUNTIFS(nNIA,DATOS!$A2709,nCURSO,DATOS!$D2709,nESPEC,DATOS!$E2709,nASIG,DATOS!$I2709,nEVAL,"OR")=0))</f>
      </c>
      <c r="I2709">
        <f>IF(DATOS!$I2709="","",IFERROR(VLOOKUP(DATOS!$I2709,CONFIG_ASIGNATURAS!$B$2:$J$91,9,FALSE()),""))</f>
      </c>
    </row>
    <row r="2710">
      <c r="F2710">
        <f>IF(DATOS!$A2710="","",DATOS!$A2710&amp;"|"&amp;DATOS!$D2710&amp;"|"&amp;DATOS!$E2710&amp;"|"&amp;DATOS!$I2710)</f>
      </c>
      <c r="G2710">
        <f>IF(DATOS!$A2710="",0,IF(CONFIG_METADATA!$B$4&lt;&gt;"OR+EX",--(DATOS!$G2710=CONFIG_METADATA!$B$4),IF(DATOS!$G2710="EX",1,IF(DATOS!$G2710="OR",--(COUNTIFS(nNIA,DATOS!$A2710,nCURSO,DATOS!$D2710,nESPEC,DATOS!$E2710,nASIG,DATOS!$I2710,nEVAL,"EX")=0),0))))</f>
      </c>
      <c r="H2710">
        <f>IF(DATOS!$G2710&lt;&gt;"EX",0,--(COUNTIFS(nNIA,DATOS!$A2710,nCURSO,DATOS!$D2710,nESPEC,DATOS!$E2710,nASIG,DATOS!$I2710,nEVAL,"OR")=0))</f>
      </c>
      <c r="I2710">
        <f>IF(DATOS!$I2710="","",IFERROR(VLOOKUP(DATOS!$I2710,CONFIG_ASIGNATURAS!$B$2:$J$91,9,FALSE()),""))</f>
      </c>
    </row>
    <row r="2711">
      <c r="F2711">
        <f>IF(DATOS!$A2711="","",DATOS!$A2711&amp;"|"&amp;DATOS!$D2711&amp;"|"&amp;DATOS!$E2711&amp;"|"&amp;DATOS!$I2711)</f>
      </c>
      <c r="G2711">
        <f>IF(DATOS!$A2711="",0,IF(CONFIG_METADATA!$B$4&lt;&gt;"OR+EX",--(DATOS!$G2711=CONFIG_METADATA!$B$4),IF(DATOS!$G2711="EX",1,IF(DATOS!$G2711="OR",--(COUNTIFS(nNIA,DATOS!$A2711,nCURSO,DATOS!$D2711,nESPEC,DATOS!$E2711,nASIG,DATOS!$I2711,nEVAL,"EX")=0),0))))</f>
      </c>
      <c r="H2711">
        <f>IF(DATOS!$G2711&lt;&gt;"EX",0,--(COUNTIFS(nNIA,DATOS!$A2711,nCURSO,DATOS!$D2711,nESPEC,DATOS!$E2711,nASIG,DATOS!$I2711,nEVAL,"OR")=0))</f>
      </c>
      <c r="I2711">
        <f>IF(DATOS!$I2711="","",IFERROR(VLOOKUP(DATOS!$I2711,CONFIG_ASIGNATURAS!$B$2:$J$91,9,FALSE()),""))</f>
      </c>
    </row>
    <row r="2712">
      <c r="F2712">
        <f>IF(DATOS!$A2712="","",DATOS!$A2712&amp;"|"&amp;DATOS!$D2712&amp;"|"&amp;DATOS!$E2712&amp;"|"&amp;DATOS!$I2712)</f>
      </c>
      <c r="G2712">
        <f>IF(DATOS!$A2712="",0,IF(CONFIG_METADATA!$B$4&lt;&gt;"OR+EX",--(DATOS!$G2712=CONFIG_METADATA!$B$4),IF(DATOS!$G2712="EX",1,IF(DATOS!$G2712="OR",--(COUNTIFS(nNIA,DATOS!$A2712,nCURSO,DATOS!$D2712,nESPEC,DATOS!$E2712,nASIG,DATOS!$I2712,nEVAL,"EX")=0),0))))</f>
      </c>
      <c r="H2712">
        <f>IF(DATOS!$G2712&lt;&gt;"EX",0,--(COUNTIFS(nNIA,DATOS!$A2712,nCURSO,DATOS!$D2712,nESPEC,DATOS!$E2712,nASIG,DATOS!$I2712,nEVAL,"OR")=0))</f>
      </c>
      <c r="I2712">
        <f>IF(DATOS!$I2712="","",IFERROR(VLOOKUP(DATOS!$I2712,CONFIG_ASIGNATURAS!$B$2:$J$91,9,FALSE()),""))</f>
      </c>
    </row>
    <row r="2713">
      <c r="F2713">
        <f>IF(DATOS!$A2713="","",DATOS!$A2713&amp;"|"&amp;DATOS!$D2713&amp;"|"&amp;DATOS!$E2713&amp;"|"&amp;DATOS!$I2713)</f>
      </c>
      <c r="G2713">
        <f>IF(DATOS!$A2713="",0,IF(CONFIG_METADATA!$B$4&lt;&gt;"OR+EX",--(DATOS!$G2713=CONFIG_METADATA!$B$4),IF(DATOS!$G2713="EX",1,IF(DATOS!$G2713="OR",--(COUNTIFS(nNIA,DATOS!$A2713,nCURSO,DATOS!$D2713,nESPEC,DATOS!$E2713,nASIG,DATOS!$I2713,nEVAL,"EX")=0),0))))</f>
      </c>
      <c r="H2713">
        <f>IF(DATOS!$G2713&lt;&gt;"EX",0,--(COUNTIFS(nNIA,DATOS!$A2713,nCURSO,DATOS!$D2713,nESPEC,DATOS!$E2713,nASIG,DATOS!$I2713,nEVAL,"OR")=0))</f>
      </c>
      <c r="I2713">
        <f>IF(DATOS!$I2713="","",IFERROR(VLOOKUP(DATOS!$I2713,CONFIG_ASIGNATURAS!$B$2:$J$91,9,FALSE()),""))</f>
      </c>
    </row>
    <row r="2714">
      <c r="F2714">
        <f>IF(DATOS!$A2714="","",DATOS!$A2714&amp;"|"&amp;DATOS!$D2714&amp;"|"&amp;DATOS!$E2714&amp;"|"&amp;DATOS!$I2714)</f>
      </c>
      <c r="G2714">
        <f>IF(DATOS!$A2714="",0,IF(CONFIG_METADATA!$B$4&lt;&gt;"OR+EX",--(DATOS!$G2714=CONFIG_METADATA!$B$4),IF(DATOS!$G2714="EX",1,IF(DATOS!$G2714="OR",--(COUNTIFS(nNIA,DATOS!$A2714,nCURSO,DATOS!$D2714,nESPEC,DATOS!$E2714,nASIG,DATOS!$I2714,nEVAL,"EX")=0),0))))</f>
      </c>
      <c r="H2714">
        <f>IF(DATOS!$G2714&lt;&gt;"EX",0,--(COUNTIFS(nNIA,DATOS!$A2714,nCURSO,DATOS!$D2714,nESPEC,DATOS!$E2714,nASIG,DATOS!$I2714,nEVAL,"OR")=0))</f>
      </c>
      <c r="I2714">
        <f>IF(DATOS!$I2714="","",IFERROR(VLOOKUP(DATOS!$I2714,CONFIG_ASIGNATURAS!$B$2:$J$91,9,FALSE()),""))</f>
      </c>
    </row>
    <row r="2715">
      <c r="F2715">
        <f>IF(DATOS!$A2715="","",DATOS!$A2715&amp;"|"&amp;DATOS!$D2715&amp;"|"&amp;DATOS!$E2715&amp;"|"&amp;DATOS!$I2715)</f>
      </c>
      <c r="G2715">
        <f>IF(DATOS!$A2715="",0,IF(CONFIG_METADATA!$B$4&lt;&gt;"OR+EX",--(DATOS!$G2715=CONFIG_METADATA!$B$4),IF(DATOS!$G2715="EX",1,IF(DATOS!$G2715="OR",--(COUNTIFS(nNIA,DATOS!$A2715,nCURSO,DATOS!$D2715,nESPEC,DATOS!$E2715,nASIG,DATOS!$I2715,nEVAL,"EX")=0),0))))</f>
      </c>
      <c r="H2715">
        <f>IF(DATOS!$G2715&lt;&gt;"EX",0,--(COUNTIFS(nNIA,DATOS!$A2715,nCURSO,DATOS!$D2715,nESPEC,DATOS!$E2715,nASIG,DATOS!$I2715,nEVAL,"OR")=0))</f>
      </c>
      <c r="I2715">
        <f>IF(DATOS!$I2715="","",IFERROR(VLOOKUP(DATOS!$I2715,CONFIG_ASIGNATURAS!$B$2:$J$91,9,FALSE()),""))</f>
      </c>
    </row>
    <row r="2716">
      <c r="F2716">
        <f>IF(DATOS!$A2716="","",DATOS!$A2716&amp;"|"&amp;DATOS!$D2716&amp;"|"&amp;DATOS!$E2716&amp;"|"&amp;DATOS!$I2716)</f>
      </c>
      <c r="G2716">
        <f>IF(DATOS!$A2716="",0,IF(CONFIG_METADATA!$B$4&lt;&gt;"OR+EX",--(DATOS!$G2716=CONFIG_METADATA!$B$4),IF(DATOS!$G2716="EX",1,IF(DATOS!$G2716="OR",--(COUNTIFS(nNIA,DATOS!$A2716,nCURSO,DATOS!$D2716,nESPEC,DATOS!$E2716,nASIG,DATOS!$I2716,nEVAL,"EX")=0),0))))</f>
      </c>
      <c r="H2716">
        <f>IF(DATOS!$G2716&lt;&gt;"EX",0,--(COUNTIFS(nNIA,DATOS!$A2716,nCURSO,DATOS!$D2716,nESPEC,DATOS!$E2716,nASIG,DATOS!$I2716,nEVAL,"OR")=0))</f>
      </c>
      <c r="I2716">
        <f>IF(DATOS!$I2716="","",IFERROR(VLOOKUP(DATOS!$I2716,CONFIG_ASIGNATURAS!$B$2:$J$91,9,FALSE()),""))</f>
      </c>
    </row>
    <row r="2717">
      <c r="F2717">
        <f>IF(DATOS!$A2717="","",DATOS!$A2717&amp;"|"&amp;DATOS!$D2717&amp;"|"&amp;DATOS!$E2717&amp;"|"&amp;DATOS!$I2717)</f>
      </c>
      <c r="G2717">
        <f>IF(DATOS!$A2717="",0,IF(CONFIG_METADATA!$B$4&lt;&gt;"OR+EX",--(DATOS!$G2717=CONFIG_METADATA!$B$4),IF(DATOS!$G2717="EX",1,IF(DATOS!$G2717="OR",--(COUNTIFS(nNIA,DATOS!$A2717,nCURSO,DATOS!$D2717,nESPEC,DATOS!$E2717,nASIG,DATOS!$I2717,nEVAL,"EX")=0),0))))</f>
      </c>
      <c r="H2717">
        <f>IF(DATOS!$G2717&lt;&gt;"EX",0,--(COUNTIFS(nNIA,DATOS!$A2717,nCURSO,DATOS!$D2717,nESPEC,DATOS!$E2717,nASIG,DATOS!$I2717,nEVAL,"OR")=0))</f>
      </c>
      <c r="I2717">
        <f>IF(DATOS!$I2717="","",IFERROR(VLOOKUP(DATOS!$I2717,CONFIG_ASIGNATURAS!$B$2:$J$91,9,FALSE()),""))</f>
      </c>
    </row>
    <row r="2718">
      <c r="F2718">
        <f>IF(DATOS!$A2718="","",DATOS!$A2718&amp;"|"&amp;DATOS!$D2718&amp;"|"&amp;DATOS!$E2718&amp;"|"&amp;DATOS!$I2718)</f>
      </c>
      <c r="G2718">
        <f>IF(DATOS!$A2718="",0,IF(CONFIG_METADATA!$B$4&lt;&gt;"OR+EX",--(DATOS!$G2718=CONFIG_METADATA!$B$4),IF(DATOS!$G2718="EX",1,IF(DATOS!$G2718="OR",--(COUNTIFS(nNIA,DATOS!$A2718,nCURSO,DATOS!$D2718,nESPEC,DATOS!$E2718,nASIG,DATOS!$I2718,nEVAL,"EX")=0),0))))</f>
      </c>
      <c r="H2718">
        <f>IF(DATOS!$G2718&lt;&gt;"EX",0,--(COUNTIFS(nNIA,DATOS!$A2718,nCURSO,DATOS!$D2718,nESPEC,DATOS!$E2718,nASIG,DATOS!$I2718,nEVAL,"OR")=0))</f>
      </c>
      <c r="I2718">
        <f>IF(DATOS!$I2718="","",IFERROR(VLOOKUP(DATOS!$I2718,CONFIG_ASIGNATURAS!$B$2:$J$91,9,FALSE()),""))</f>
      </c>
    </row>
    <row r="2719">
      <c r="F2719">
        <f>IF(DATOS!$A2719="","",DATOS!$A2719&amp;"|"&amp;DATOS!$D2719&amp;"|"&amp;DATOS!$E2719&amp;"|"&amp;DATOS!$I2719)</f>
      </c>
      <c r="G2719">
        <f>IF(DATOS!$A2719="",0,IF(CONFIG_METADATA!$B$4&lt;&gt;"OR+EX",--(DATOS!$G2719=CONFIG_METADATA!$B$4),IF(DATOS!$G2719="EX",1,IF(DATOS!$G2719="OR",--(COUNTIFS(nNIA,DATOS!$A2719,nCURSO,DATOS!$D2719,nESPEC,DATOS!$E2719,nASIG,DATOS!$I2719,nEVAL,"EX")=0),0))))</f>
      </c>
      <c r="H2719">
        <f>IF(DATOS!$G2719&lt;&gt;"EX",0,--(COUNTIFS(nNIA,DATOS!$A2719,nCURSO,DATOS!$D2719,nESPEC,DATOS!$E2719,nASIG,DATOS!$I2719,nEVAL,"OR")=0))</f>
      </c>
      <c r="I2719">
        <f>IF(DATOS!$I2719="","",IFERROR(VLOOKUP(DATOS!$I2719,CONFIG_ASIGNATURAS!$B$2:$J$91,9,FALSE()),""))</f>
      </c>
    </row>
    <row r="2720">
      <c r="F2720">
        <f>IF(DATOS!$A2720="","",DATOS!$A2720&amp;"|"&amp;DATOS!$D2720&amp;"|"&amp;DATOS!$E2720&amp;"|"&amp;DATOS!$I2720)</f>
      </c>
      <c r="G2720">
        <f>IF(DATOS!$A2720="",0,IF(CONFIG_METADATA!$B$4&lt;&gt;"OR+EX",--(DATOS!$G2720=CONFIG_METADATA!$B$4),IF(DATOS!$G2720="EX",1,IF(DATOS!$G2720="OR",--(COUNTIFS(nNIA,DATOS!$A2720,nCURSO,DATOS!$D2720,nESPEC,DATOS!$E2720,nASIG,DATOS!$I2720,nEVAL,"EX")=0),0))))</f>
      </c>
      <c r="H2720">
        <f>IF(DATOS!$G2720&lt;&gt;"EX",0,--(COUNTIFS(nNIA,DATOS!$A2720,nCURSO,DATOS!$D2720,nESPEC,DATOS!$E2720,nASIG,DATOS!$I2720,nEVAL,"OR")=0))</f>
      </c>
      <c r="I2720">
        <f>IF(DATOS!$I2720="","",IFERROR(VLOOKUP(DATOS!$I2720,CONFIG_ASIGNATURAS!$B$2:$J$91,9,FALSE()),""))</f>
      </c>
    </row>
    <row r="2721">
      <c r="F2721">
        <f>IF(DATOS!$A2721="","",DATOS!$A2721&amp;"|"&amp;DATOS!$D2721&amp;"|"&amp;DATOS!$E2721&amp;"|"&amp;DATOS!$I2721)</f>
      </c>
      <c r="G2721">
        <f>IF(DATOS!$A2721="",0,IF(CONFIG_METADATA!$B$4&lt;&gt;"OR+EX",--(DATOS!$G2721=CONFIG_METADATA!$B$4),IF(DATOS!$G2721="EX",1,IF(DATOS!$G2721="OR",--(COUNTIFS(nNIA,DATOS!$A2721,nCURSO,DATOS!$D2721,nESPEC,DATOS!$E2721,nASIG,DATOS!$I2721,nEVAL,"EX")=0),0))))</f>
      </c>
      <c r="H2721">
        <f>IF(DATOS!$G2721&lt;&gt;"EX",0,--(COUNTIFS(nNIA,DATOS!$A2721,nCURSO,DATOS!$D2721,nESPEC,DATOS!$E2721,nASIG,DATOS!$I2721,nEVAL,"OR")=0))</f>
      </c>
      <c r="I2721">
        <f>IF(DATOS!$I2721="","",IFERROR(VLOOKUP(DATOS!$I2721,CONFIG_ASIGNATURAS!$B$2:$J$91,9,FALSE()),""))</f>
      </c>
    </row>
    <row r="2722">
      <c r="F2722">
        <f>IF(DATOS!$A2722="","",DATOS!$A2722&amp;"|"&amp;DATOS!$D2722&amp;"|"&amp;DATOS!$E2722&amp;"|"&amp;DATOS!$I2722)</f>
      </c>
      <c r="G2722">
        <f>IF(DATOS!$A2722="",0,IF(CONFIG_METADATA!$B$4&lt;&gt;"OR+EX",--(DATOS!$G2722=CONFIG_METADATA!$B$4),IF(DATOS!$G2722="EX",1,IF(DATOS!$G2722="OR",--(COUNTIFS(nNIA,DATOS!$A2722,nCURSO,DATOS!$D2722,nESPEC,DATOS!$E2722,nASIG,DATOS!$I2722,nEVAL,"EX")=0),0))))</f>
      </c>
      <c r="H2722">
        <f>IF(DATOS!$G2722&lt;&gt;"EX",0,--(COUNTIFS(nNIA,DATOS!$A2722,nCURSO,DATOS!$D2722,nESPEC,DATOS!$E2722,nASIG,DATOS!$I2722,nEVAL,"OR")=0))</f>
      </c>
      <c r="I2722">
        <f>IF(DATOS!$I2722="","",IFERROR(VLOOKUP(DATOS!$I2722,CONFIG_ASIGNATURAS!$B$2:$J$91,9,FALSE()),""))</f>
      </c>
    </row>
    <row r="2723">
      <c r="F2723">
        <f>IF(DATOS!$A2723="","",DATOS!$A2723&amp;"|"&amp;DATOS!$D2723&amp;"|"&amp;DATOS!$E2723&amp;"|"&amp;DATOS!$I2723)</f>
      </c>
      <c r="G2723">
        <f>IF(DATOS!$A2723="",0,IF(CONFIG_METADATA!$B$4&lt;&gt;"OR+EX",--(DATOS!$G2723=CONFIG_METADATA!$B$4),IF(DATOS!$G2723="EX",1,IF(DATOS!$G2723="OR",--(COUNTIFS(nNIA,DATOS!$A2723,nCURSO,DATOS!$D2723,nESPEC,DATOS!$E2723,nASIG,DATOS!$I2723,nEVAL,"EX")=0),0))))</f>
      </c>
      <c r="H2723">
        <f>IF(DATOS!$G2723&lt;&gt;"EX",0,--(COUNTIFS(nNIA,DATOS!$A2723,nCURSO,DATOS!$D2723,nESPEC,DATOS!$E2723,nASIG,DATOS!$I2723,nEVAL,"OR")=0))</f>
      </c>
      <c r="I2723">
        <f>IF(DATOS!$I2723="","",IFERROR(VLOOKUP(DATOS!$I2723,CONFIG_ASIGNATURAS!$B$2:$J$91,9,FALSE()),""))</f>
      </c>
    </row>
    <row r="2724">
      <c r="F2724">
        <f>IF(DATOS!$A2724="","",DATOS!$A2724&amp;"|"&amp;DATOS!$D2724&amp;"|"&amp;DATOS!$E2724&amp;"|"&amp;DATOS!$I2724)</f>
      </c>
      <c r="G2724">
        <f>IF(DATOS!$A2724="",0,IF(CONFIG_METADATA!$B$4&lt;&gt;"OR+EX",--(DATOS!$G2724=CONFIG_METADATA!$B$4),IF(DATOS!$G2724="EX",1,IF(DATOS!$G2724="OR",--(COUNTIFS(nNIA,DATOS!$A2724,nCURSO,DATOS!$D2724,nESPEC,DATOS!$E2724,nASIG,DATOS!$I2724,nEVAL,"EX")=0),0))))</f>
      </c>
      <c r="H2724">
        <f>IF(DATOS!$G2724&lt;&gt;"EX",0,--(COUNTIFS(nNIA,DATOS!$A2724,nCURSO,DATOS!$D2724,nESPEC,DATOS!$E2724,nASIG,DATOS!$I2724,nEVAL,"OR")=0))</f>
      </c>
      <c r="I2724">
        <f>IF(DATOS!$I2724="","",IFERROR(VLOOKUP(DATOS!$I2724,CONFIG_ASIGNATURAS!$B$2:$J$91,9,FALSE()),""))</f>
      </c>
    </row>
    <row r="2725">
      <c r="F2725">
        <f>IF(DATOS!$A2725="","",DATOS!$A2725&amp;"|"&amp;DATOS!$D2725&amp;"|"&amp;DATOS!$E2725&amp;"|"&amp;DATOS!$I2725)</f>
      </c>
      <c r="G2725">
        <f>IF(DATOS!$A2725="",0,IF(CONFIG_METADATA!$B$4&lt;&gt;"OR+EX",--(DATOS!$G2725=CONFIG_METADATA!$B$4),IF(DATOS!$G2725="EX",1,IF(DATOS!$G2725="OR",--(COUNTIFS(nNIA,DATOS!$A2725,nCURSO,DATOS!$D2725,nESPEC,DATOS!$E2725,nASIG,DATOS!$I2725,nEVAL,"EX")=0),0))))</f>
      </c>
      <c r="H2725">
        <f>IF(DATOS!$G2725&lt;&gt;"EX",0,--(COUNTIFS(nNIA,DATOS!$A2725,nCURSO,DATOS!$D2725,nESPEC,DATOS!$E2725,nASIG,DATOS!$I2725,nEVAL,"OR")=0))</f>
      </c>
      <c r="I2725">
        <f>IF(DATOS!$I2725="","",IFERROR(VLOOKUP(DATOS!$I2725,CONFIG_ASIGNATURAS!$B$2:$J$91,9,FALSE()),""))</f>
      </c>
    </row>
    <row r="2726">
      <c r="F2726">
        <f>IF(DATOS!$A2726="","",DATOS!$A2726&amp;"|"&amp;DATOS!$D2726&amp;"|"&amp;DATOS!$E2726&amp;"|"&amp;DATOS!$I2726)</f>
      </c>
      <c r="G2726">
        <f>IF(DATOS!$A2726="",0,IF(CONFIG_METADATA!$B$4&lt;&gt;"OR+EX",--(DATOS!$G2726=CONFIG_METADATA!$B$4),IF(DATOS!$G2726="EX",1,IF(DATOS!$G2726="OR",--(COUNTIFS(nNIA,DATOS!$A2726,nCURSO,DATOS!$D2726,nESPEC,DATOS!$E2726,nASIG,DATOS!$I2726,nEVAL,"EX")=0),0))))</f>
      </c>
      <c r="H2726">
        <f>IF(DATOS!$G2726&lt;&gt;"EX",0,--(COUNTIFS(nNIA,DATOS!$A2726,nCURSO,DATOS!$D2726,nESPEC,DATOS!$E2726,nASIG,DATOS!$I2726,nEVAL,"OR")=0))</f>
      </c>
      <c r="I2726">
        <f>IF(DATOS!$I2726="","",IFERROR(VLOOKUP(DATOS!$I2726,CONFIG_ASIGNATURAS!$B$2:$J$91,9,FALSE()),""))</f>
      </c>
    </row>
    <row r="2727">
      <c r="F2727">
        <f>IF(DATOS!$A2727="","",DATOS!$A2727&amp;"|"&amp;DATOS!$D2727&amp;"|"&amp;DATOS!$E2727&amp;"|"&amp;DATOS!$I2727)</f>
      </c>
      <c r="G2727">
        <f>IF(DATOS!$A2727="",0,IF(CONFIG_METADATA!$B$4&lt;&gt;"OR+EX",--(DATOS!$G2727=CONFIG_METADATA!$B$4),IF(DATOS!$G2727="EX",1,IF(DATOS!$G2727="OR",--(COUNTIFS(nNIA,DATOS!$A2727,nCURSO,DATOS!$D2727,nESPEC,DATOS!$E2727,nASIG,DATOS!$I2727,nEVAL,"EX")=0),0))))</f>
      </c>
      <c r="H2727">
        <f>IF(DATOS!$G2727&lt;&gt;"EX",0,--(COUNTIFS(nNIA,DATOS!$A2727,nCURSO,DATOS!$D2727,nESPEC,DATOS!$E2727,nASIG,DATOS!$I2727,nEVAL,"OR")=0))</f>
      </c>
      <c r="I2727">
        <f>IF(DATOS!$I2727="","",IFERROR(VLOOKUP(DATOS!$I2727,CONFIG_ASIGNATURAS!$B$2:$J$91,9,FALSE()),""))</f>
      </c>
    </row>
    <row r="2728">
      <c r="F2728">
        <f>IF(DATOS!$A2728="","",DATOS!$A2728&amp;"|"&amp;DATOS!$D2728&amp;"|"&amp;DATOS!$E2728&amp;"|"&amp;DATOS!$I2728)</f>
      </c>
      <c r="G2728">
        <f>IF(DATOS!$A2728="",0,IF(CONFIG_METADATA!$B$4&lt;&gt;"OR+EX",--(DATOS!$G2728=CONFIG_METADATA!$B$4),IF(DATOS!$G2728="EX",1,IF(DATOS!$G2728="OR",--(COUNTIFS(nNIA,DATOS!$A2728,nCURSO,DATOS!$D2728,nESPEC,DATOS!$E2728,nASIG,DATOS!$I2728,nEVAL,"EX")=0),0))))</f>
      </c>
      <c r="H2728">
        <f>IF(DATOS!$G2728&lt;&gt;"EX",0,--(COUNTIFS(nNIA,DATOS!$A2728,nCURSO,DATOS!$D2728,nESPEC,DATOS!$E2728,nASIG,DATOS!$I2728,nEVAL,"OR")=0))</f>
      </c>
      <c r="I2728">
        <f>IF(DATOS!$I2728="","",IFERROR(VLOOKUP(DATOS!$I2728,CONFIG_ASIGNATURAS!$B$2:$J$91,9,FALSE()),""))</f>
      </c>
    </row>
    <row r="2729">
      <c r="F2729">
        <f>IF(DATOS!$A2729="","",DATOS!$A2729&amp;"|"&amp;DATOS!$D2729&amp;"|"&amp;DATOS!$E2729&amp;"|"&amp;DATOS!$I2729)</f>
      </c>
      <c r="G2729">
        <f>IF(DATOS!$A2729="",0,IF(CONFIG_METADATA!$B$4&lt;&gt;"OR+EX",--(DATOS!$G2729=CONFIG_METADATA!$B$4),IF(DATOS!$G2729="EX",1,IF(DATOS!$G2729="OR",--(COUNTIFS(nNIA,DATOS!$A2729,nCURSO,DATOS!$D2729,nESPEC,DATOS!$E2729,nASIG,DATOS!$I2729,nEVAL,"EX")=0),0))))</f>
      </c>
      <c r="H2729">
        <f>IF(DATOS!$G2729&lt;&gt;"EX",0,--(COUNTIFS(nNIA,DATOS!$A2729,nCURSO,DATOS!$D2729,nESPEC,DATOS!$E2729,nASIG,DATOS!$I2729,nEVAL,"OR")=0))</f>
      </c>
      <c r="I2729">
        <f>IF(DATOS!$I2729="","",IFERROR(VLOOKUP(DATOS!$I2729,CONFIG_ASIGNATURAS!$B$2:$J$91,9,FALSE()),""))</f>
      </c>
    </row>
    <row r="2730">
      <c r="F2730">
        <f>IF(DATOS!$A2730="","",DATOS!$A2730&amp;"|"&amp;DATOS!$D2730&amp;"|"&amp;DATOS!$E2730&amp;"|"&amp;DATOS!$I2730)</f>
      </c>
      <c r="G2730">
        <f>IF(DATOS!$A2730="",0,IF(CONFIG_METADATA!$B$4&lt;&gt;"OR+EX",--(DATOS!$G2730=CONFIG_METADATA!$B$4),IF(DATOS!$G2730="EX",1,IF(DATOS!$G2730="OR",--(COUNTIFS(nNIA,DATOS!$A2730,nCURSO,DATOS!$D2730,nESPEC,DATOS!$E2730,nASIG,DATOS!$I2730,nEVAL,"EX")=0),0))))</f>
      </c>
      <c r="H2730">
        <f>IF(DATOS!$G2730&lt;&gt;"EX",0,--(COUNTIFS(nNIA,DATOS!$A2730,nCURSO,DATOS!$D2730,nESPEC,DATOS!$E2730,nASIG,DATOS!$I2730,nEVAL,"OR")=0))</f>
      </c>
      <c r="I2730">
        <f>IF(DATOS!$I2730="","",IFERROR(VLOOKUP(DATOS!$I2730,CONFIG_ASIGNATURAS!$B$2:$J$91,9,FALSE()),""))</f>
      </c>
    </row>
    <row r="2731">
      <c r="F2731">
        <f>IF(DATOS!$A2731="","",DATOS!$A2731&amp;"|"&amp;DATOS!$D2731&amp;"|"&amp;DATOS!$E2731&amp;"|"&amp;DATOS!$I2731)</f>
      </c>
      <c r="G2731">
        <f>IF(DATOS!$A2731="",0,IF(CONFIG_METADATA!$B$4&lt;&gt;"OR+EX",--(DATOS!$G2731=CONFIG_METADATA!$B$4),IF(DATOS!$G2731="EX",1,IF(DATOS!$G2731="OR",--(COUNTIFS(nNIA,DATOS!$A2731,nCURSO,DATOS!$D2731,nESPEC,DATOS!$E2731,nASIG,DATOS!$I2731,nEVAL,"EX")=0),0))))</f>
      </c>
      <c r="H2731">
        <f>IF(DATOS!$G2731&lt;&gt;"EX",0,--(COUNTIFS(nNIA,DATOS!$A2731,nCURSO,DATOS!$D2731,nESPEC,DATOS!$E2731,nASIG,DATOS!$I2731,nEVAL,"OR")=0))</f>
      </c>
      <c r="I2731">
        <f>IF(DATOS!$I2731="","",IFERROR(VLOOKUP(DATOS!$I2731,CONFIG_ASIGNATURAS!$B$2:$J$91,9,FALSE()),""))</f>
      </c>
    </row>
    <row r="2732">
      <c r="F2732">
        <f>IF(DATOS!$A2732="","",DATOS!$A2732&amp;"|"&amp;DATOS!$D2732&amp;"|"&amp;DATOS!$E2732&amp;"|"&amp;DATOS!$I2732)</f>
      </c>
      <c r="G2732">
        <f>IF(DATOS!$A2732="",0,IF(CONFIG_METADATA!$B$4&lt;&gt;"OR+EX",--(DATOS!$G2732=CONFIG_METADATA!$B$4),IF(DATOS!$G2732="EX",1,IF(DATOS!$G2732="OR",--(COUNTIFS(nNIA,DATOS!$A2732,nCURSO,DATOS!$D2732,nESPEC,DATOS!$E2732,nASIG,DATOS!$I2732,nEVAL,"EX")=0),0))))</f>
      </c>
      <c r="H2732">
        <f>IF(DATOS!$G2732&lt;&gt;"EX",0,--(COUNTIFS(nNIA,DATOS!$A2732,nCURSO,DATOS!$D2732,nESPEC,DATOS!$E2732,nASIG,DATOS!$I2732,nEVAL,"OR")=0))</f>
      </c>
      <c r="I2732">
        <f>IF(DATOS!$I2732="","",IFERROR(VLOOKUP(DATOS!$I2732,CONFIG_ASIGNATURAS!$B$2:$J$91,9,FALSE()),""))</f>
      </c>
    </row>
    <row r="2733">
      <c r="F2733">
        <f>IF(DATOS!$A2733="","",DATOS!$A2733&amp;"|"&amp;DATOS!$D2733&amp;"|"&amp;DATOS!$E2733&amp;"|"&amp;DATOS!$I2733)</f>
      </c>
      <c r="G2733">
        <f>IF(DATOS!$A2733="",0,IF(CONFIG_METADATA!$B$4&lt;&gt;"OR+EX",--(DATOS!$G2733=CONFIG_METADATA!$B$4),IF(DATOS!$G2733="EX",1,IF(DATOS!$G2733="OR",--(COUNTIFS(nNIA,DATOS!$A2733,nCURSO,DATOS!$D2733,nESPEC,DATOS!$E2733,nASIG,DATOS!$I2733,nEVAL,"EX")=0),0))))</f>
      </c>
      <c r="H2733">
        <f>IF(DATOS!$G2733&lt;&gt;"EX",0,--(COUNTIFS(nNIA,DATOS!$A2733,nCURSO,DATOS!$D2733,nESPEC,DATOS!$E2733,nASIG,DATOS!$I2733,nEVAL,"OR")=0))</f>
      </c>
      <c r="I2733">
        <f>IF(DATOS!$I2733="","",IFERROR(VLOOKUP(DATOS!$I2733,CONFIG_ASIGNATURAS!$B$2:$J$91,9,FALSE()),""))</f>
      </c>
    </row>
    <row r="2734">
      <c r="F2734">
        <f>IF(DATOS!$A2734="","",DATOS!$A2734&amp;"|"&amp;DATOS!$D2734&amp;"|"&amp;DATOS!$E2734&amp;"|"&amp;DATOS!$I2734)</f>
      </c>
      <c r="G2734">
        <f>IF(DATOS!$A2734="",0,IF(CONFIG_METADATA!$B$4&lt;&gt;"OR+EX",--(DATOS!$G2734=CONFIG_METADATA!$B$4),IF(DATOS!$G2734="EX",1,IF(DATOS!$G2734="OR",--(COUNTIFS(nNIA,DATOS!$A2734,nCURSO,DATOS!$D2734,nESPEC,DATOS!$E2734,nASIG,DATOS!$I2734,nEVAL,"EX")=0),0))))</f>
      </c>
      <c r="H2734">
        <f>IF(DATOS!$G2734&lt;&gt;"EX",0,--(COUNTIFS(nNIA,DATOS!$A2734,nCURSO,DATOS!$D2734,nESPEC,DATOS!$E2734,nASIG,DATOS!$I2734,nEVAL,"OR")=0))</f>
      </c>
      <c r="I2734">
        <f>IF(DATOS!$I2734="","",IFERROR(VLOOKUP(DATOS!$I2734,CONFIG_ASIGNATURAS!$B$2:$J$91,9,FALSE()),""))</f>
      </c>
    </row>
    <row r="2735">
      <c r="F2735">
        <f>IF(DATOS!$A2735="","",DATOS!$A2735&amp;"|"&amp;DATOS!$D2735&amp;"|"&amp;DATOS!$E2735&amp;"|"&amp;DATOS!$I2735)</f>
      </c>
      <c r="G2735">
        <f>IF(DATOS!$A2735="",0,IF(CONFIG_METADATA!$B$4&lt;&gt;"OR+EX",--(DATOS!$G2735=CONFIG_METADATA!$B$4),IF(DATOS!$G2735="EX",1,IF(DATOS!$G2735="OR",--(COUNTIFS(nNIA,DATOS!$A2735,nCURSO,DATOS!$D2735,nESPEC,DATOS!$E2735,nASIG,DATOS!$I2735,nEVAL,"EX")=0),0))))</f>
      </c>
      <c r="H2735">
        <f>IF(DATOS!$G2735&lt;&gt;"EX",0,--(COUNTIFS(nNIA,DATOS!$A2735,nCURSO,DATOS!$D2735,nESPEC,DATOS!$E2735,nASIG,DATOS!$I2735,nEVAL,"OR")=0))</f>
      </c>
      <c r="I2735">
        <f>IF(DATOS!$I2735="","",IFERROR(VLOOKUP(DATOS!$I2735,CONFIG_ASIGNATURAS!$B$2:$J$91,9,FALSE()),""))</f>
      </c>
    </row>
    <row r="2736">
      <c r="F2736">
        <f>IF(DATOS!$A2736="","",DATOS!$A2736&amp;"|"&amp;DATOS!$D2736&amp;"|"&amp;DATOS!$E2736&amp;"|"&amp;DATOS!$I2736)</f>
      </c>
      <c r="G2736">
        <f>IF(DATOS!$A2736="",0,IF(CONFIG_METADATA!$B$4&lt;&gt;"OR+EX",--(DATOS!$G2736=CONFIG_METADATA!$B$4),IF(DATOS!$G2736="EX",1,IF(DATOS!$G2736="OR",--(COUNTIFS(nNIA,DATOS!$A2736,nCURSO,DATOS!$D2736,nESPEC,DATOS!$E2736,nASIG,DATOS!$I2736,nEVAL,"EX")=0),0))))</f>
      </c>
      <c r="H2736">
        <f>IF(DATOS!$G2736&lt;&gt;"EX",0,--(COUNTIFS(nNIA,DATOS!$A2736,nCURSO,DATOS!$D2736,nESPEC,DATOS!$E2736,nASIG,DATOS!$I2736,nEVAL,"OR")=0))</f>
      </c>
      <c r="I2736">
        <f>IF(DATOS!$I2736="","",IFERROR(VLOOKUP(DATOS!$I2736,CONFIG_ASIGNATURAS!$B$2:$J$91,9,FALSE()),""))</f>
      </c>
    </row>
    <row r="2737">
      <c r="F2737">
        <f>IF(DATOS!$A2737="","",DATOS!$A2737&amp;"|"&amp;DATOS!$D2737&amp;"|"&amp;DATOS!$E2737&amp;"|"&amp;DATOS!$I2737)</f>
      </c>
      <c r="G2737">
        <f>IF(DATOS!$A2737="",0,IF(CONFIG_METADATA!$B$4&lt;&gt;"OR+EX",--(DATOS!$G2737=CONFIG_METADATA!$B$4),IF(DATOS!$G2737="EX",1,IF(DATOS!$G2737="OR",--(COUNTIFS(nNIA,DATOS!$A2737,nCURSO,DATOS!$D2737,nESPEC,DATOS!$E2737,nASIG,DATOS!$I2737,nEVAL,"EX")=0),0))))</f>
      </c>
      <c r="H2737">
        <f>IF(DATOS!$G2737&lt;&gt;"EX",0,--(COUNTIFS(nNIA,DATOS!$A2737,nCURSO,DATOS!$D2737,nESPEC,DATOS!$E2737,nASIG,DATOS!$I2737,nEVAL,"OR")=0))</f>
      </c>
      <c r="I2737">
        <f>IF(DATOS!$I2737="","",IFERROR(VLOOKUP(DATOS!$I2737,CONFIG_ASIGNATURAS!$B$2:$J$91,9,FALSE()),""))</f>
      </c>
    </row>
    <row r="2738">
      <c r="F2738">
        <f>IF(DATOS!$A2738="","",DATOS!$A2738&amp;"|"&amp;DATOS!$D2738&amp;"|"&amp;DATOS!$E2738&amp;"|"&amp;DATOS!$I2738)</f>
      </c>
      <c r="G2738">
        <f>IF(DATOS!$A2738="",0,IF(CONFIG_METADATA!$B$4&lt;&gt;"OR+EX",--(DATOS!$G2738=CONFIG_METADATA!$B$4),IF(DATOS!$G2738="EX",1,IF(DATOS!$G2738="OR",--(COUNTIFS(nNIA,DATOS!$A2738,nCURSO,DATOS!$D2738,nESPEC,DATOS!$E2738,nASIG,DATOS!$I2738,nEVAL,"EX")=0),0))))</f>
      </c>
      <c r="H2738">
        <f>IF(DATOS!$G2738&lt;&gt;"EX",0,--(COUNTIFS(nNIA,DATOS!$A2738,nCURSO,DATOS!$D2738,nESPEC,DATOS!$E2738,nASIG,DATOS!$I2738,nEVAL,"OR")=0))</f>
      </c>
      <c r="I2738">
        <f>IF(DATOS!$I2738="","",IFERROR(VLOOKUP(DATOS!$I2738,CONFIG_ASIGNATURAS!$B$2:$J$91,9,FALSE()),""))</f>
      </c>
    </row>
    <row r="2739">
      <c r="F2739">
        <f>IF(DATOS!$A2739="","",DATOS!$A2739&amp;"|"&amp;DATOS!$D2739&amp;"|"&amp;DATOS!$E2739&amp;"|"&amp;DATOS!$I2739)</f>
      </c>
      <c r="G2739">
        <f>IF(DATOS!$A2739="",0,IF(CONFIG_METADATA!$B$4&lt;&gt;"OR+EX",--(DATOS!$G2739=CONFIG_METADATA!$B$4),IF(DATOS!$G2739="EX",1,IF(DATOS!$G2739="OR",--(COUNTIFS(nNIA,DATOS!$A2739,nCURSO,DATOS!$D2739,nESPEC,DATOS!$E2739,nASIG,DATOS!$I2739,nEVAL,"EX")=0),0))))</f>
      </c>
      <c r="H2739">
        <f>IF(DATOS!$G2739&lt;&gt;"EX",0,--(COUNTIFS(nNIA,DATOS!$A2739,nCURSO,DATOS!$D2739,nESPEC,DATOS!$E2739,nASIG,DATOS!$I2739,nEVAL,"OR")=0))</f>
      </c>
      <c r="I2739">
        <f>IF(DATOS!$I2739="","",IFERROR(VLOOKUP(DATOS!$I2739,CONFIG_ASIGNATURAS!$B$2:$J$91,9,FALSE()),""))</f>
      </c>
    </row>
    <row r="2740">
      <c r="F2740">
        <f>IF(DATOS!$A2740="","",DATOS!$A2740&amp;"|"&amp;DATOS!$D2740&amp;"|"&amp;DATOS!$E2740&amp;"|"&amp;DATOS!$I2740)</f>
      </c>
      <c r="G2740">
        <f>IF(DATOS!$A2740="",0,IF(CONFIG_METADATA!$B$4&lt;&gt;"OR+EX",--(DATOS!$G2740=CONFIG_METADATA!$B$4),IF(DATOS!$G2740="EX",1,IF(DATOS!$G2740="OR",--(COUNTIFS(nNIA,DATOS!$A2740,nCURSO,DATOS!$D2740,nESPEC,DATOS!$E2740,nASIG,DATOS!$I2740,nEVAL,"EX")=0),0))))</f>
      </c>
      <c r="H2740">
        <f>IF(DATOS!$G2740&lt;&gt;"EX",0,--(COUNTIFS(nNIA,DATOS!$A2740,nCURSO,DATOS!$D2740,nESPEC,DATOS!$E2740,nASIG,DATOS!$I2740,nEVAL,"OR")=0))</f>
      </c>
      <c r="I2740">
        <f>IF(DATOS!$I2740="","",IFERROR(VLOOKUP(DATOS!$I2740,CONFIG_ASIGNATURAS!$B$2:$J$91,9,FALSE()),""))</f>
      </c>
    </row>
    <row r="2741">
      <c r="F2741">
        <f>IF(DATOS!$A2741="","",DATOS!$A2741&amp;"|"&amp;DATOS!$D2741&amp;"|"&amp;DATOS!$E2741&amp;"|"&amp;DATOS!$I2741)</f>
      </c>
      <c r="G2741">
        <f>IF(DATOS!$A2741="",0,IF(CONFIG_METADATA!$B$4&lt;&gt;"OR+EX",--(DATOS!$G2741=CONFIG_METADATA!$B$4),IF(DATOS!$G2741="EX",1,IF(DATOS!$G2741="OR",--(COUNTIFS(nNIA,DATOS!$A2741,nCURSO,DATOS!$D2741,nESPEC,DATOS!$E2741,nASIG,DATOS!$I2741,nEVAL,"EX")=0),0))))</f>
      </c>
      <c r="H2741">
        <f>IF(DATOS!$G2741&lt;&gt;"EX",0,--(COUNTIFS(nNIA,DATOS!$A2741,nCURSO,DATOS!$D2741,nESPEC,DATOS!$E2741,nASIG,DATOS!$I2741,nEVAL,"OR")=0))</f>
      </c>
      <c r="I2741">
        <f>IF(DATOS!$I2741="","",IFERROR(VLOOKUP(DATOS!$I2741,CONFIG_ASIGNATURAS!$B$2:$J$91,9,FALSE()),""))</f>
      </c>
    </row>
    <row r="2742">
      <c r="F2742">
        <f>IF(DATOS!$A2742="","",DATOS!$A2742&amp;"|"&amp;DATOS!$D2742&amp;"|"&amp;DATOS!$E2742&amp;"|"&amp;DATOS!$I2742)</f>
      </c>
      <c r="G2742">
        <f>IF(DATOS!$A2742="",0,IF(CONFIG_METADATA!$B$4&lt;&gt;"OR+EX",--(DATOS!$G2742=CONFIG_METADATA!$B$4),IF(DATOS!$G2742="EX",1,IF(DATOS!$G2742="OR",--(COUNTIFS(nNIA,DATOS!$A2742,nCURSO,DATOS!$D2742,nESPEC,DATOS!$E2742,nASIG,DATOS!$I2742,nEVAL,"EX")=0),0))))</f>
      </c>
      <c r="H2742">
        <f>IF(DATOS!$G2742&lt;&gt;"EX",0,--(COUNTIFS(nNIA,DATOS!$A2742,nCURSO,DATOS!$D2742,nESPEC,DATOS!$E2742,nASIG,DATOS!$I2742,nEVAL,"OR")=0))</f>
      </c>
      <c r="I2742">
        <f>IF(DATOS!$I2742="","",IFERROR(VLOOKUP(DATOS!$I2742,CONFIG_ASIGNATURAS!$B$2:$J$91,9,FALSE()),""))</f>
      </c>
    </row>
    <row r="2743">
      <c r="F2743">
        <f>IF(DATOS!$A2743="","",DATOS!$A2743&amp;"|"&amp;DATOS!$D2743&amp;"|"&amp;DATOS!$E2743&amp;"|"&amp;DATOS!$I2743)</f>
      </c>
      <c r="G2743">
        <f>IF(DATOS!$A2743="",0,IF(CONFIG_METADATA!$B$4&lt;&gt;"OR+EX",--(DATOS!$G2743=CONFIG_METADATA!$B$4),IF(DATOS!$G2743="EX",1,IF(DATOS!$G2743="OR",--(COUNTIFS(nNIA,DATOS!$A2743,nCURSO,DATOS!$D2743,nESPEC,DATOS!$E2743,nASIG,DATOS!$I2743,nEVAL,"EX")=0),0))))</f>
      </c>
      <c r="H2743">
        <f>IF(DATOS!$G2743&lt;&gt;"EX",0,--(COUNTIFS(nNIA,DATOS!$A2743,nCURSO,DATOS!$D2743,nESPEC,DATOS!$E2743,nASIG,DATOS!$I2743,nEVAL,"OR")=0))</f>
      </c>
      <c r="I2743">
        <f>IF(DATOS!$I2743="","",IFERROR(VLOOKUP(DATOS!$I2743,CONFIG_ASIGNATURAS!$B$2:$J$91,9,FALSE()),""))</f>
      </c>
    </row>
    <row r="2744">
      <c r="F2744">
        <f>IF(DATOS!$A2744="","",DATOS!$A2744&amp;"|"&amp;DATOS!$D2744&amp;"|"&amp;DATOS!$E2744&amp;"|"&amp;DATOS!$I2744)</f>
      </c>
      <c r="G2744">
        <f>IF(DATOS!$A2744="",0,IF(CONFIG_METADATA!$B$4&lt;&gt;"OR+EX",--(DATOS!$G2744=CONFIG_METADATA!$B$4),IF(DATOS!$G2744="EX",1,IF(DATOS!$G2744="OR",--(COUNTIFS(nNIA,DATOS!$A2744,nCURSO,DATOS!$D2744,nESPEC,DATOS!$E2744,nASIG,DATOS!$I2744,nEVAL,"EX")=0),0))))</f>
      </c>
      <c r="H2744">
        <f>IF(DATOS!$G2744&lt;&gt;"EX",0,--(COUNTIFS(nNIA,DATOS!$A2744,nCURSO,DATOS!$D2744,nESPEC,DATOS!$E2744,nASIG,DATOS!$I2744,nEVAL,"OR")=0))</f>
      </c>
      <c r="I2744">
        <f>IF(DATOS!$I2744="","",IFERROR(VLOOKUP(DATOS!$I2744,CONFIG_ASIGNATURAS!$B$2:$J$91,9,FALSE()),""))</f>
      </c>
    </row>
    <row r="2745">
      <c r="F2745">
        <f>IF(DATOS!$A2745="","",DATOS!$A2745&amp;"|"&amp;DATOS!$D2745&amp;"|"&amp;DATOS!$E2745&amp;"|"&amp;DATOS!$I2745)</f>
      </c>
      <c r="G2745">
        <f>IF(DATOS!$A2745="",0,IF(CONFIG_METADATA!$B$4&lt;&gt;"OR+EX",--(DATOS!$G2745=CONFIG_METADATA!$B$4),IF(DATOS!$G2745="EX",1,IF(DATOS!$G2745="OR",--(COUNTIFS(nNIA,DATOS!$A2745,nCURSO,DATOS!$D2745,nESPEC,DATOS!$E2745,nASIG,DATOS!$I2745,nEVAL,"EX")=0),0))))</f>
      </c>
      <c r="H2745">
        <f>IF(DATOS!$G2745&lt;&gt;"EX",0,--(COUNTIFS(nNIA,DATOS!$A2745,nCURSO,DATOS!$D2745,nESPEC,DATOS!$E2745,nASIG,DATOS!$I2745,nEVAL,"OR")=0))</f>
      </c>
      <c r="I2745">
        <f>IF(DATOS!$I2745="","",IFERROR(VLOOKUP(DATOS!$I2745,CONFIG_ASIGNATURAS!$B$2:$J$91,9,FALSE()),""))</f>
      </c>
    </row>
    <row r="2746">
      <c r="F2746">
        <f>IF(DATOS!$A2746="","",DATOS!$A2746&amp;"|"&amp;DATOS!$D2746&amp;"|"&amp;DATOS!$E2746&amp;"|"&amp;DATOS!$I2746)</f>
      </c>
      <c r="G2746">
        <f>IF(DATOS!$A2746="",0,IF(CONFIG_METADATA!$B$4&lt;&gt;"OR+EX",--(DATOS!$G2746=CONFIG_METADATA!$B$4),IF(DATOS!$G2746="EX",1,IF(DATOS!$G2746="OR",--(COUNTIFS(nNIA,DATOS!$A2746,nCURSO,DATOS!$D2746,nESPEC,DATOS!$E2746,nASIG,DATOS!$I2746,nEVAL,"EX")=0),0))))</f>
      </c>
      <c r="H2746">
        <f>IF(DATOS!$G2746&lt;&gt;"EX",0,--(COUNTIFS(nNIA,DATOS!$A2746,nCURSO,DATOS!$D2746,nESPEC,DATOS!$E2746,nASIG,DATOS!$I2746,nEVAL,"OR")=0))</f>
      </c>
      <c r="I2746">
        <f>IF(DATOS!$I2746="","",IFERROR(VLOOKUP(DATOS!$I2746,CONFIG_ASIGNATURAS!$B$2:$J$91,9,FALSE()),""))</f>
      </c>
    </row>
    <row r="2747">
      <c r="F2747">
        <f>IF(DATOS!$A2747="","",DATOS!$A2747&amp;"|"&amp;DATOS!$D2747&amp;"|"&amp;DATOS!$E2747&amp;"|"&amp;DATOS!$I2747)</f>
      </c>
      <c r="G2747">
        <f>IF(DATOS!$A2747="",0,IF(CONFIG_METADATA!$B$4&lt;&gt;"OR+EX",--(DATOS!$G2747=CONFIG_METADATA!$B$4),IF(DATOS!$G2747="EX",1,IF(DATOS!$G2747="OR",--(COUNTIFS(nNIA,DATOS!$A2747,nCURSO,DATOS!$D2747,nESPEC,DATOS!$E2747,nASIG,DATOS!$I2747,nEVAL,"EX")=0),0))))</f>
      </c>
      <c r="H2747">
        <f>IF(DATOS!$G2747&lt;&gt;"EX",0,--(COUNTIFS(nNIA,DATOS!$A2747,nCURSO,DATOS!$D2747,nESPEC,DATOS!$E2747,nASIG,DATOS!$I2747,nEVAL,"OR")=0))</f>
      </c>
      <c r="I2747">
        <f>IF(DATOS!$I2747="","",IFERROR(VLOOKUP(DATOS!$I2747,CONFIG_ASIGNATURAS!$B$2:$J$91,9,FALSE()),""))</f>
      </c>
    </row>
    <row r="2748">
      <c r="F2748">
        <f>IF(DATOS!$A2748="","",DATOS!$A2748&amp;"|"&amp;DATOS!$D2748&amp;"|"&amp;DATOS!$E2748&amp;"|"&amp;DATOS!$I2748)</f>
      </c>
      <c r="G2748">
        <f>IF(DATOS!$A2748="",0,IF(CONFIG_METADATA!$B$4&lt;&gt;"OR+EX",--(DATOS!$G2748=CONFIG_METADATA!$B$4),IF(DATOS!$G2748="EX",1,IF(DATOS!$G2748="OR",--(COUNTIFS(nNIA,DATOS!$A2748,nCURSO,DATOS!$D2748,nESPEC,DATOS!$E2748,nASIG,DATOS!$I2748,nEVAL,"EX")=0),0))))</f>
      </c>
      <c r="H2748">
        <f>IF(DATOS!$G2748&lt;&gt;"EX",0,--(COUNTIFS(nNIA,DATOS!$A2748,nCURSO,DATOS!$D2748,nESPEC,DATOS!$E2748,nASIG,DATOS!$I2748,nEVAL,"OR")=0))</f>
      </c>
      <c r="I2748">
        <f>IF(DATOS!$I2748="","",IFERROR(VLOOKUP(DATOS!$I2748,CONFIG_ASIGNATURAS!$B$2:$J$91,9,FALSE()),""))</f>
      </c>
    </row>
    <row r="2749">
      <c r="F2749">
        <f>IF(DATOS!$A2749="","",DATOS!$A2749&amp;"|"&amp;DATOS!$D2749&amp;"|"&amp;DATOS!$E2749&amp;"|"&amp;DATOS!$I2749)</f>
      </c>
      <c r="G2749">
        <f>IF(DATOS!$A2749="",0,IF(CONFIG_METADATA!$B$4&lt;&gt;"OR+EX",--(DATOS!$G2749=CONFIG_METADATA!$B$4),IF(DATOS!$G2749="EX",1,IF(DATOS!$G2749="OR",--(COUNTIFS(nNIA,DATOS!$A2749,nCURSO,DATOS!$D2749,nESPEC,DATOS!$E2749,nASIG,DATOS!$I2749,nEVAL,"EX")=0),0))))</f>
      </c>
      <c r="H2749">
        <f>IF(DATOS!$G2749&lt;&gt;"EX",0,--(COUNTIFS(nNIA,DATOS!$A2749,nCURSO,DATOS!$D2749,nESPEC,DATOS!$E2749,nASIG,DATOS!$I2749,nEVAL,"OR")=0))</f>
      </c>
      <c r="I2749">
        <f>IF(DATOS!$I2749="","",IFERROR(VLOOKUP(DATOS!$I2749,CONFIG_ASIGNATURAS!$B$2:$J$91,9,FALSE()),""))</f>
      </c>
    </row>
    <row r="2750">
      <c r="F2750">
        <f>IF(DATOS!$A2750="","",DATOS!$A2750&amp;"|"&amp;DATOS!$D2750&amp;"|"&amp;DATOS!$E2750&amp;"|"&amp;DATOS!$I2750)</f>
      </c>
      <c r="G2750">
        <f>IF(DATOS!$A2750="",0,IF(CONFIG_METADATA!$B$4&lt;&gt;"OR+EX",--(DATOS!$G2750=CONFIG_METADATA!$B$4),IF(DATOS!$G2750="EX",1,IF(DATOS!$G2750="OR",--(COUNTIFS(nNIA,DATOS!$A2750,nCURSO,DATOS!$D2750,nESPEC,DATOS!$E2750,nASIG,DATOS!$I2750,nEVAL,"EX")=0),0))))</f>
      </c>
      <c r="H2750">
        <f>IF(DATOS!$G2750&lt;&gt;"EX",0,--(COUNTIFS(nNIA,DATOS!$A2750,nCURSO,DATOS!$D2750,nESPEC,DATOS!$E2750,nASIG,DATOS!$I2750,nEVAL,"OR")=0))</f>
      </c>
      <c r="I2750">
        <f>IF(DATOS!$I2750="","",IFERROR(VLOOKUP(DATOS!$I2750,CONFIG_ASIGNATURAS!$B$2:$J$91,9,FALSE()),""))</f>
      </c>
    </row>
    <row r="2751">
      <c r="F2751">
        <f>IF(DATOS!$A2751="","",DATOS!$A2751&amp;"|"&amp;DATOS!$D2751&amp;"|"&amp;DATOS!$E2751&amp;"|"&amp;DATOS!$I2751)</f>
      </c>
      <c r="G2751">
        <f>IF(DATOS!$A2751="",0,IF(CONFIG_METADATA!$B$4&lt;&gt;"OR+EX",--(DATOS!$G2751=CONFIG_METADATA!$B$4),IF(DATOS!$G2751="EX",1,IF(DATOS!$G2751="OR",--(COUNTIFS(nNIA,DATOS!$A2751,nCURSO,DATOS!$D2751,nESPEC,DATOS!$E2751,nASIG,DATOS!$I2751,nEVAL,"EX")=0),0))))</f>
      </c>
      <c r="H2751">
        <f>IF(DATOS!$G2751&lt;&gt;"EX",0,--(COUNTIFS(nNIA,DATOS!$A2751,nCURSO,DATOS!$D2751,nESPEC,DATOS!$E2751,nASIG,DATOS!$I2751,nEVAL,"OR")=0))</f>
      </c>
      <c r="I2751">
        <f>IF(DATOS!$I2751="","",IFERROR(VLOOKUP(DATOS!$I2751,CONFIG_ASIGNATURAS!$B$2:$J$91,9,FALSE()),""))</f>
      </c>
    </row>
    <row r="2752">
      <c r="F2752">
        <f>IF(DATOS!$A2752="","",DATOS!$A2752&amp;"|"&amp;DATOS!$D2752&amp;"|"&amp;DATOS!$E2752&amp;"|"&amp;DATOS!$I2752)</f>
      </c>
      <c r="G2752">
        <f>IF(DATOS!$A2752="",0,IF(CONFIG_METADATA!$B$4&lt;&gt;"OR+EX",--(DATOS!$G2752=CONFIG_METADATA!$B$4),IF(DATOS!$G2752="EX",1,IF(DATOS!$G2752="OR",--(COUNTIFS(nNIA,DATOS!$A2752,nCURSO,DATOS!$D2752,nESPEC,DATOS!$E2752,nASIG,DATOS!$I2752,nEVAL,"EX")=0),0))))</f>
      </c>
      <c r="H2752">
        <f>IF(DATOS!$G2752&lt;&gt;"EX",0,--(COUNTIFS(nNIA,DATOS!$A2752,nCURSO,DATOS!$D2752,nESPEC,DATOS!$E2752,nASIG,DATOS!$I2752,nEVAL,"OR")=0))</f>
      </c>
      <c r="I2752">
        <f>IF(DATOS!$I2752="","",IFERROR(VLOOKUP(DATOS!$I2752,CONFIG_ASIGNATURAS!$B$2:$J$91,9,FALSE()),""))</f>
      </c>
    </row>
    <row r="2753">
      <c r="F2753">
        <f>IF(DATOS!$A2753="","",DATOS!$A2753&amp;"|"&amp;DATOS!$D2753&amp;"|"&amp;DATOS!$E2753&amp;"|"&amp;DATOS!$I2753)</f>
      </c>
      <c r="G2753">
        <f>IF(DATOS!$A2753="",0,IF(CONFIG_METADATA!$B$4&lt;&gt;"OR+EX",--(DATOS!$G2753=CONFIG_METADATA!$B$4),IF(DATOS!$G2753="EX",1,IF(DATOS!$G2753="OR",--(COUNTIFS(nNIA,DATOS!$A2753,nCURSO,DATOS!$D2753,nESPEC,DATOS!$E2753,nASIG,DATOS!$I2753,nEVAL,"EX")=0),0))))</f>
      </c>
      <c r="H2753">
        <f>IF(DATOS!$G2753&lt;&gt;"EX",0,--(COUNTIFS(nNIA,DATOS!$A2753,nCURSO,DATOS!$D2753,nESPEC,DATOS!$E2753,nASIG,DATOS!$I2753,nEVAL,"OR")=0))</f>
      </c>
      <c r="I2753">
        <f>IF(DATOS!$I2753="","",IFERROR(VLOOKUP(DATOS!$I2753,CONFIG_ASIGNATURAS!$B$2:$J$91,9,FALSE()),""))</f>
      </c>
    </row>
    <row r="2754">
      <c r="F2754">
        <f>IF(DATOS!$A2754="","",DATOS!$A2754&amp;"|"&amp;DATOS!$D2754&amp;"|"&amp;DATOS!$E2754&amp;"|"&amp;DATOS!$I2754)</f>
      </c>
      <c r="G2754">
        <f>IF(DATOS!$A2754="",0,IF(CONFIG_METADATA!$B$4&lt;&gt;"OR+EX",--(DATOS!$G2754=CONFIG_METADATA!$B$4),IF(DATOS!$G2754="EX",1,IF(DATOS!$G2754="OR",--(COUNTIFS(nNIA,DATOS!$A2754,nCURSO,DATOS!$D2754,nESPEC,DATOS!$E2754,nASIG,DATOS!$I2754,nEVAL,"EX")=0),0))))</f>
      </c>
      <c r="H2754">
        <f>IF(DATOS!$G2754&lt;&gt;"EX",0,--(COUNTIFS(nNIA,DATOS!$A2754,nCURSO,DATOS!$D2754,nESPEC,DATOS!$E2754,nASIG,DATOS!$I2754,nEVAL,"OR")=0))</f>
      </c>
      <c r="I2754">
        <f>IF(DATOS!$I2754="","",IFERROR(VLOOKUP(DATOS!$I2754,CONFIG_ASIGNATURAS!$B$2:$J$91,9,FALSE()),""))</f>
      </c>
    </row>
    <row r="2755">
      <c r="F2755">
        <f>IF(DATOS!$A2755="","",DATOS!$A2755&amp;"|"&amp;DATOS!$D2755&amp;"|"&amp;DATOS!$E2755&amp;"|"&amp;DATOS!$I2755)</f>
      </c>
      <c r="G2755">
        <f>IF(DATOS!$A2755="",0,IF(CONFIG_METADATA!$B$4&lt;&gt;"OR+EX",--(DATOS!$G2755=CONFIG_METADATA!$B$4),IF(DATOS!$G2755="EX",1,IF(DATOS!$G2755="OR",--(COUNTIFS(nNIA,DATOS!$A2755,nCURSO,DATOS!$D2755,nESPEC,DATOS!$E2755,nASIG,DATOS!$I2755,nEVAL,"EX")=0),0))))</f>
      </c>
      <c r="H2755">
        <f>IF(DATOS!$G2755&lt;&gt;"EX",0,--(COUNTIFS(nNIA,DATOS!$A2755,nCURSO,DATOS!$D2755,nESPEC,DATOS!$E2755,nASIG,DATOS!$I2755,nEVAL,"OR")=0))</f>
      </c>
      <c r="I2755">
        <f>IF(DATOS!$I2755="","",IFERROR(VLOOKUP(DATOS!$I2755,CONFIG_ASIGNATURAS!$B$2:$J$91,9,FALSE()),""))</f>
      </c>
    </row>
    <row r="2756">
      <c r="F2756">
        <f>IF(DATOS!$A2756="","",DATOS!$A2756&amp;"|"&amp;DATOS!$D2756&amp;"|"&amp;DATOS!$E2756&amp;"|"&amp;DATOS!$I2756)</f>
      </c>
      <c r="G2756">
        <f>IF(DATOS!$A2756="",0,IF(CONFIG_METADATA!$B$4&lt;&gt;"OR+EX",--(DATOS!$G2756=CONFIG_METADATA!$B$4),IF(DATOS!$G2756="EX",1,IF(DATOS!$G2756="OR",--(COUNTIFS(nNIA,DATOS!$A2756,nCURSO,DATOS!$D2756,nESPEC,DATOS!$E2756,nASIG,DATOS!$I2756,nEVAL,"EX")=0),0))))</f>
      </c>
      <c r="H2756">
        <f>IF(DATOS!$G2756&lt;&gt;"EX",0,--(COUNTIFS(nNIA,DATOS!$A2756,nCURSO,DATOS!$D2756,nESPEC,DATOS!$E2756,nASIG,DATOS!$I2756,nEVAL,"OR")=0))</f>
      </c>
      <c r="I2756">
        <f>IF(DATOS!$I2756="","",IFERROR(VLOOKUP(DATOS!$I2756,CONFIG_ASIGNATURAS!$B$2:$J$91,9,FALSE()),""))</f>
      </c>
    </row>
    <row r="2757">
      <c r="F2757">
        <f>IF(DATOS!$A2757="","",DATOS!$A2757&amp;"|"&amp;DATOS!$D2757&amp;"|"&amp;DATOS!$E2757&amp;"|"&amp;DATOS!$I2757)</f>
      </c>
      <c r="G2757">
        <f>IF(DATOS!$A2757="",0,IF(CONFIG_METADATA!$B$4&lt;&gt;"OR+EX",--(DATOS!$G2757=CONFIG_METADATA!$B$4),IF(DATOS!$G2757="EX",1,IF(DATOS!$G2757="OR",--(COUNTIFS(nNIA,DATOS!$A2757,nCURSO,DATOS!$D2757,nESPEC,DATOS!$E2757,nASIG,DATOS!$I2757,nEVAL,"EX")=0),0))))</f>
      </c>
      <c r="H2757">
        <f>IF(DATOS!$G2757&lt;&gt;"EX",0,--(COUNTIFS(nNIA,DATOS!$A2757,nCURSO,DATOS!$D2757,nESPEC,DATOS!$E2757,nASIG,DATOS!$I2757,nEVAL,"OR")=0))</f>
      </c>
      <c r="I2757">
        <f>IF(DATOS!$I2757="","",IFERROR(VLOOKUP(DATOS!$I2757,CONFIG_ASIGNATURAS!$B$2:$J$91,9,FALSE()),""))</f>
      </c>
    </row>
    <row r="2758">
      <c r="F2758">
        <f>IF(DATOS!$A2758="","",DATOS!$A2758&amp;"|"&amp;DATOS!$D2758&amp;"|"&amp;DATOS!$E2758&amp;"|"&amp;DATOS!$I2758)</f>
      </c>
      <c r="G2758">
        <f>IF(DATOS!$A2758="",0,IF(CONFIG_METADATA!$B$4&lt;&gt;"OR+EX",--(DATOS!$G2758=CONFIG_METADATA!$B$4),IF(DATOS!$G2758="EX",1,IF(DATOS!$G2758="OR",--(COUNTIFS(nNIA,DATOS!$A2758,nCURSO,DATOS!$D2758,nESPEC,DATOS!$E2758,nASIG,DATOS!$I2758,nEVAL,"EX")=0),0))))</f>
      </c>
      <c r="H2758">
        <f>IF(DATOS!$G2758&lt;&gt;"EX",0,--(COUNTIFS(nNIA,DATOS!$A2758,nCURSO,DATOS!$D2758,nESPEC,DATOS!$E2758,nASIG,DATOS!$I2758,nEVAL,"OR")=0))</f>
      </c>
      <c r="I2758">
        <f>IF(DATOS!$I2758="","",IFERROR(VLOOKUP(DATOS!$I2758,CONFIG_ASIGNATURAS!$B$2:$J$91,9,FALSE()),""))</f>
      </c>
    </row>
    <row r="2759">
      <c r="F2759">
        <f>IF(DATOS!$A2759="","",DATOS!$A2759&amp;"|"&amp;DATOS!$D2759&amp;"|"&amp;DATOS!$E2759&amp;"|"&amp;DATOS!$I2759)</f>
      </c>
      <c r="G2759">
        <f>IF(DATOS!$A2759="",0,IF(CONFIG_METADATA!$B$4&lt;&gt;"OR+EX",--(DATOS!$G2759=CONFIG_METADATA!$B$4),IF(DATOS!$G2759="EX",1,IF(DATOS!$G2759="OR",--(COUNTIFS(nNIA,DATOS!$A2759,nCURSO,DATOS!$D2759,nESPEC,DATOS!$E2759,nASIG,DATOS!$I2759,nEVAL,"EX")=0),0))))</f>
      </c>
      <c r="H2759">
        <f>IF(DATOS!$G2759&lt;&gt;"EX",0,--(COUNTIFS(nNIA,DATOS!$A2759,nCURSO,DATOS!$D2759,nESPEC,DATOS!$E2759,nASIG,DATOS!$I2759,nEVAL,"OR")=0))</f>
      </c>
      <c r="I2759">
        <f>IF(DATOS!$I2759="","",IFERROR(VLOOKUP(DATOS!$I2759,CONFIG_ASIGNATURAS!$B$2:$J$91,9,FALSE()),""))</f>
      </c>
    </row>
    <row r="2760">
      <c r="F2760">
        <f>IF(DATOS!$A2760="","",DATOS!$A2760&amp;"|"&amp;DATOS!$D2760&amp;"|"&amp;DATOS!$E2760&amp;"|"&amp;DATOS!$I2760)</f>
      </c>
      <c r="G2760">
        <f>IF(DATOS!$A2760="",0,IF(CONFIG_METADATA!$B$4&lt;&gt;"OR+EX",--(DATOS!$G2760=CONFIG_METADATA!$B$4),IF(DATOS!$G2760="EX",1,IF(DATOS!$G2760="OR",--(COUNTIFS(nNIA,DATOS!$A2760,nCURSO,DATOS!$D2760,nESPEC,DATOS!$E2760,nASIG,DATOS!$I2760,nEVAL,"EX")=0),0))))</f>
      </c>
      <c r="H2760">
        <f>IF(DATOS!$G2760&lt;&gt;"EX",0,--(COUNTIFS(nNIA,DATOS!$A2760,nCURSO,DATOS!$D2760,nESPEC,DATOS!$E2760,nASIG,DATOS!$I2760,nEVAL,"OR")=0))</f>
      </c>
      <c r="I2760">
        <f>IF(DATOS!$I2760="","",IFERROR(VLOOKUP(DATOS!$I2760,CONFIG_ASIGNATURAS!$B$2:$J$91,9,FALSE()),""))</f>
      </c>
    </row>
    <row r="2761">
      <c r="F2761">
        <f>IF(DATOS!$A2761="","",DATOS!$A2761&amp;"|"&amp;DATOS!$D2761&amp;"|"&amp;DATOS!$E2761&amp;"|"&amp;DATOS!$I2761)</f>
      </c>
      <c r="G2761">
        <f>IF(DATOS!$A2761="",0,IF(CONFIG_METADATA!$B$4&lt;&gt;"OR+EX",--(DATOS!$G2761=CONFIG_METADATA!$B$4),IF(DATOS!$G2761="EX",1,IF(DATOS!$G2761="OR",--(COUNTIFS(nNIA,DATOS!$A2761,nCURSO,DATOS!$D2761,nESPEC,DATOS!$E2761,nASIG,DATOS!$I2761,nEVAL,"EX")=0),0))))</f>
      </c>
      <c r="H2761">
        <f>IF(DATOS!$G2761&lt;&gt;"EX",0,--(COUNTIFS(nNIA,DATOS!$A2761,nCURSO,DATOS!$D2761,nESPEC,DATOS!$E2761,nASIG,DATOS!$I2761,nEVAL,"OR")=0))</f>
      </c>
      <c r="I2761">
        <f>IF(DATOS!$I2761="","",IFERROR(VLOOKUP(DATOS!$I2761,CONFIG_ASIGNATURAS!$B$2:$J$91,9,FALSE()),""))</f>
      </c>
    </row>
    <row r="2762">
      <c r="F2762">
        <f>IF(DATOS!$A2762="","",DATOS!$A2762&amp;"|"&amp;DATOS!$D2762&amp;"|"&amp;DATOS!$E2762&amp;"|"&amp;DATOS!$I2762)</f>
      </c>
      <c r="G2762">
        <f>IF(DATOS!$A2762="",0,IF(CONFIG_METADATA!$B$4&lt;&gt;"OR+EX",--(DATOS!$G2762=CONFIG_METADATA!$B$4),IF(DATOS!$G2762="EX",1,IF(DATOS!$G2762="OR",--(COUNTIFS(nNIA,DATOS!$A2762,nCURSO,DATOS!$D2762,nESPEC,DATOS!$E2762,nASIG,DATOS!$I2762,nEVAL,"EX")=0),0))))</f>
      </c>
      <c r="H2762">
        <f>IF(DATOS!$G2762&lt;&gt;"EX",0,--(COUNTIFS(nNIA,DATOS!$A2762,nCURSO,DATOS!$D2762,nESPEC,DATOS!$E2762,nASIG,DATOS!$I2762,nEVAL,"OR")=0))</f>
      </c>
      <c r="I2762">
        <f>IF(DATOS!$I2762="","",IFERROR(VLOOKUP(DATOS!$I2762,CONFIG_ASIGNATURAS!$B$2:$J$91,9,FALSE()),""))</f>
      </c>
    </row>
    <row r="2763">
      <c r="F2763">
        <f>IF(DATOS!$A2763="","",DATOS!$A2763&amp;"|"&amp;DATOS!$D2763&amp;"|"&amp;DATOS!$E2763&amp;"|"&amp;DATOS!$I2763)</f>
      </c>
      <c r="G2763">
        <f>IF(DATOS!$A2763="",0,IF(CONFIG_METADATA!$B$4&lt;&gt;"OR+EX",--(DATOS!$G2763=CONFIG_METADATA!$B$4),IF(DATOS!$G2763="EX",1,IF(DATOS!$G2763="OR",--(COUNTIFS(nNIA,DATOS!$A2763,nCURSO,DATOS!$D2763,nESPEC,DATOS!$E2763,nASIG,DATOS!$I2763,nEVAL,"EX")=0),0))))</f>
      </c>
      <c r="H2763">
        <f>IF(DATOS!$G2763&lt;&gt;"EX",0,--(COUNTIFS(nNIA,DATOS!$A2763,nCURSO,DATOS!$D2763,nESPEC,DATOS!$E2763,nASIG,DATOS!$I2763,nEVAL,"OR")=0))</f>
      </c>
      <c r="I2763">
        <f>IF(DATOS!$I2763="","",IFERROR(VLOOKUP(DATOS!$I2763,CONFIG_ASIGNATURAS!$B$2:$J$91,9,FALSE()),""))</f>
      </c>
    </row>
    <row r="2764">
      <c r="F2764">
        <f>IF(DATOS!$A2764="","",DATOS!$A2764&amp;"|"&amp;DATOS!$D2764&amp;"|"&amp;DATOS!$E2764&amp;"|"&amp;DATOS!$I2764)</f>
      </c>
      <c r="G2764">
        <f>IF(DATOS!$A2764="",0,IF(CONFIG_METADATA!$B$4&lt;&gt;"OR+EX",--(DATOS!$G2764=CONFIG_METADATA!$B$4),IF(DATOS!$G2764="EX",1,IF(DATOS!$G2764="OR",--(COUNTIFS(nNIA,DATOS!$A2764,nCURSO,DATOS!$D2764,nESPEC,DATOS!$E2764,nASIG,DATOS!$I2764,nEVAL,"EX")=0),0))))</f>
      </c>
      <c r="H2764">
        <f>IF(DATOS!$G2764&lt;&gt;"EX",0,--(COUNTIFS(nNIA,DATOS!$A2764,nCURSO,DATOS!$D2764,nESPEC,DATOS!$E2764,nASIG,DATOS!$I2764,nEVAL,"OR")=0))</f>
      </c>
      <c r="I2764">
        <f>IF(DATOS!$I2764="","",IFERROR(VLOOKUP(DATOS!$I2764,CONFIG_ASIGNATURAS!$B$2:$J$91,9,FALSE()),""))</f>
      </c>
    </row>
    <row r="2765">
      <c r="F2765">
        <f>IF(DATOS!$A2765="","",DATOS!$A2765&amp;"|"&amp;DATOS!$D2765&amp;"|"&amp;DATOS!$E2765&amp;"|"&amp;DATOS!$I2765)</f>
      </c>
      <c r="G2765">
        <f>IF(DATOS!$A2765="",0,IF(CONFIG_METADATA!$B$4&lt;&gt;"OR+EX",--(DATOS!$G2765=CONFIG_METADATA!$B$4),IF(DATOS!$G2765="EX",1,IF(DATOS!$G2765="OR",--(COUNTIFS(nNIA,DATOS!$A2765,nCURSO,DATOS!$D2765,nESPEC,DATOS!$E2765,nASIG,DATOS!$I2765,nEVAL,"EX")=0),0))))</f>
      </c>
      <c r="H2765">
        <f>IF(DATOS!$G2765&lt;&gt;"EX",0,--(COUNTIFS(nNIA,DATOS!$A2765,nCURSO,DATOS!$D2765,nESPEC,DATOS!$E2765,nASIG,DATOS!$I2765,nEVAL,"OR")=0))</f>
      </c>
      <c r="I2765">
        <f>IF(DATOS!$I2765="","",IFERROR(VLOOKUP(DATOS!$I2765,CONFIG_ASIGNATURAS!$B$2:$J$91,9,FALSE()),""))</f>
      </c>
    </row>
    <row r="2766">
      <c r="F2766">
        <f>IF(DATOS!$A2766="","",DATOS!$A2766&amp;"|"&amp;DATOS!$D2766&amp;"|"&amp;DATOS!$E2766&amp;"|"&amp;DATOS!$I2766)</f>
      </c>
      <c r="G2766">
        <f>IF(DATOS!$A2766="",0,IF(CONFIG_METADATA!$B$4&lt;&gt;"OR+EX",--(DATOS!$G2766=CONFIG_METADATA!$B$4),IF(DATOS!$G2766="EX",1,IF(DATOS!$G2766="OR",--(COUNTIFS(nNIA,DATOS!$A2766,nCURSO,DATOS!$D2766,nESPEC,DATOS!$E2766,nASIG,DATOS!$I2766,nEVAL,"EX")=0),0))))</f>
      </c>
      <c r="H2766">
        <f>IF(DATOS!$G2766&lt;&gt;"EX",0,--(COUNTIFS(nNIA,DATOS!$A2766,nCURSO,DATOS!$D2766,nESPEC,DATOS!$E2766,nASIG,DATOS!$I2766,nEVAL,"OR")=0))</f>
      </c>
      <c r="I2766">
        <f>IF(DATOS!$I2766="","",IFERROR(VLOOKUP(DATOS!$I2766,CONFIG_ASIGNATURAS!$B$2:$J$91,9,FALSE()),""))</f>
      </c>
    </row>
    <row r="2767">
      <c r="F2767">
        <f>IF(DATOS!$A2767="","",DATOS!$A2767&amp;"|"&amp;DATOS!$D2767&amp;"|"&amp;DATOS!$E2767&amp;"|"&amp;DATOS!$I2767)</f>
      </c>
      <c r="G2767">
        <f>IF(DATOS!$A2767="",0,IF(CONFIG_METADATA!$B$4&lt;&gt;"OR+EX",--(DATOS!$G2767=CONFIG_METADATA!$B$4),IF(DATOS!$G2767="EX",1,IF(DATOS!$G2767="OR",--(COUNTIFS(nNIA,DATOS!$A2767,nCURSO,DATOS!$D2767,nESPEC,DATOS!$E2767,nASIG,DATOS!$I2767,nEVAL,"EX")=0),0))))</f>
      </c>
      <c r="H2767">
        <f>IF(DATOS!$G2767&lt;&gt;"EX",0,--(COUNTIFS(nNIA,DATOS!$A2767,nCURSO,DATOS!$D2767,nESPEC,DATOS!$E2767,nASIG,DATOS!$I2767,nEVAL,"OR")=0))</f>
      </c>
      <c r="I2767">
        <f>IF(DATOS!$I2767="","",IFERROR(VLOOKUP(DATOS!$I2767,CONFIG_ASIGNATURAS!$B$2:$J$91,9,FALSE()),""))</f>
      </c>
    </row>
    <row r="2768">
      <c r="F2768">
        <f>IF(DATOS!$A2768="","",DATOS!$A2768&amp;"|"&amp;DATOS!$D2768&amp;"|"&amp;DATOS!$E2768&amp;"|"&amp;DATOS!$I2768)</f>
      </c>
      <c r="G2768">
        <f>IF(DATOS!$A2768="",0,IF(CONFIG_METADATA!$B$4&lt;&gt;"OR+EX",--(DATOS!$G2768=CONFIG_METADATA!$B$4),IF(DATOS!$G2768="EX",1,IF(DATOS!$G2768="OR",--(COUNTIFS(nNIA,DATOS!$A2768,nCURSO,DATOS!$D2768,nESPEC,DATOS!$E2768,nASIG,DATOS!$I2768,nEVAL,"EX")=0),0))))</f>
      </c>
      <c r="H2768">
        <f>IF(DATOS!$G2768&lt;&gt;"EX",0,--(COUNTIFS(nNIA,DATOS!$A2768,nCURSO,DATOS!$D2768,nESPEC,DATOS!$E2768,nASIG,DATOS!$I2768,nEVAL,"OR")=0))</f>
      </c>
      <c r="I2768">
        <f>IF(DATOS!$I2768="","",IFERROR(VLOOKUP(DATOS!$I2768,CONFIG_ASIGNATURAS!$B$2:$J$91,9,FALSE()),""))</f>
      </c>
    </row>
    <row r="2769">
      <c r="F2769">
        <f>IF(DATOS!$A2769="","",DATOS!$A2769&amp;"|"&amp;DATOS!$D2769&amp;"|"&amp;DATOS!$E2769&amp;"|"&amp;DATOS!$I2769)</f>
      </c>
      <c r="G2769">
        <f>IF(DATOS!$A2769="",0,IF(CONFIG_METADATA!$B$4&lt;&gt;"OR+EX",--(DATOS!$G2769=CONFIG_METADATA!$B$4),IF(DATOS!$G2769="EX",1,IF(DATOS!$G2769="OR",--(COUNTIFS(nNIA,DATOS!$A2769,nCURSO,DATOS!$D2769,nESPEC,DATOS!$E2769,nASIG,DATOS!$I2769,nEVAL,"EX")=0),0))))</f>
      </c>
      <c r="H2769">
        <f>IF(DATOS!$G2769&lt;&gt;"EX",0,--(COUNTIFS(nNIA,DATOS!$A2769,nCURSO,DATOS!$D2769,nESPEC,DATOS!$E2769,nASIG,DATOS!$I2769,nEVAL,"OR")=0))</f>
      </c>
      <c r="I2769">
        <f>IF(DATOS!$I2769="","",IFERROR(VLOOKUP(DATOS!$I2769,CONFIG_ASIGNATURAS!$B$2:$J$91,9,FALSE()),""))</f>
      </c>
    </row>
    <row r="2770">
      <c r="F2770">
        <f>IF(DATOS!$A2770="","",DATOS!$A2770&amp;"|"&amp;DATOS!$D2770&amp;"|"&amp;DATOS!$E2770&amp;"|"&amp;DATOS!$I2770)</f>
      </c>
      <c r="G2770">
        <f>IF(DATOS!$A2770="",0,IF(CONFIG_METADATA!$B$4&lt;&gt;"OR+EX",--(DATOS!$G2770=CONFIG_METADATA!$B$4),IF(DATOS!$G2770="EX",1,IF(DATOS!$G2770="OR",--(COUNTIFS(nNIA,DATOS!$A2770,nCURSO,DATOS!$D2770,nESPEC,DATOS!$E2770,nASIG,DATOS!$I2770,nEVAL,"EX")=0),0))))</f>
      </c>
      <c r="H2770">
        <f>IF(DATOS!$G2770&lt;&gt;"EX",0,--(COUNTIFS(nNIA,DATOS!$A2770,nCURSO,DATOS!$D2770,nESPEC,DATOS!$E2770,nASIG,DATOS!$I2770,nEVAL,"OR")=0))</f>
      </c>
      <c r="I2770">
        <f>IF(DATOS!$I2770="","",IFERROR(VLOOKUP(DATOS!$I2770,CONFIG_ASIGNATURAS!$B$2:$J$91,9,FALSE()),""))</f>
      </c>
    </row>
    <row r="2771">
      <c r="F2771">
        <f>IF(DATOS!$A2771="","",DATOS!$A2771&amp;"|"&amp;DATOS!$D2771&amp;"|"&amp;DATOS!$E2771&amp;"|"&amp;DATOS!$I2771)</f>
      </c>
      <c r="G2771">
        <f>IF(DATOS!$A2771="",0,IF(CONFIG_METADATA!$B$4&lt;&gt;"OR+EX",--(DATOS!$G2771=CONFIG_METADATA!$B$4),IF(DATOS!$G2771="EX",1,IF(DATOS!$G2771="OR",--(COUNTIFS(nNIA,DATOS!$A2771,nCURSO,DATOS!$D2771,nESPEC,DATOS!$E2771,nASIG,DATOS!$I2771,nEVAL,"EX")=0),0))))</f>
      </c>
      <c r="H2771">
        <f>IF(DATOS!$G2771&lt;&gt;"EX",0,--(COUNTIFS(nNIA,DATOS!$A2771,nCURSO,DATOS!$D2771,nESPEC,DATOS!$E2771,nASIG,DATOS!$I2771,nEVAL,"OR")=0))</f>
      </c>
      <c r="I2771">
        <f>IF(DATOS!$I2771="","",IFERROR(VLOOKUP(DATOS!$I2771,CONFIG_ASIGNATURAS!$B$2:$J$91,9,FALSE()),""))</f>
      </c>
    </row>
    <row r="2772">
      <c r="F2772">
        <f>IF(DATOS!$A2772="","",DATOS!$A2772&amp;"|"&amp;DATOS!$D2772&amp;"|"&amp;DATOS!$E2772&amp;"|"&amp;DATOS!$I2772)</f>
      </c>
      <c r="G2772">
        <f>IF(DATOS!$A2772="",0,IF(CONFIG_METADATA!$B$4&lt;&gt;"OR+EX",--(DATOS!$G2772=CONFIG_METADATA!$B$4),IF(DATOS!$G2772="EX",1,IF(DATOS!$G2772="OR",--(COUNTIFS(nNIA,DATOS!$A2772,nCURSO,DATOS!$D2772,nESPEC,DATOS!$E2772,nASIG,DATOS!$I2772,nEVAL,"EX")=0),0))))</f>
      </c>
      <c r="H2772">
        <f>IF(DATOS!$G2772&lt;&gt;"EX",0,--(COUNTIFS(nNIA,DATOS!$A2772,nCURSO,DATOS!$D2772,nESPEC,DATOS!$E2772,nASIG,DATOS!$I2772,nEVAL,"OR")=0))</f>
      </c>
      <c r="I2772">
        <f>IF(DATOS!$I2772="","",IFERROR(VLOOKUP(DATOS!$I2772,CONFIG_ASIGNATURAS!$B$2:$J$91,9,FALSE()),""))</f>
      </c>
    </row>
    <row r="2773">
      <c r="F2773">
        <f>IF(DATOS!$A2773="","",DATOS!$A2773&amp;"|"&amp;DATOS!$D2773&amp;"|"&amp;DATOS!$E2773&amp;"|"&amp;DATOS!$I2773)</f>
      </c>
      <c r="G2773">
        <f>IF(DATOS!$A2773="",0,IF(CONFIG_METADATA!$B$4&lt;&gt;"OR+EX",--(DATOS!$G2773=CONFIG_METADATA!$B$4),IF(DATOS!$G2773="EX",1,IF(DATOS!$G2773="OR",--(COUNTIFS(nNIA,DATOS!$A2773,nCURSO,DATOS!$D2773,nESPEC,DATOS!$E2773,nASIG,DATOS!$I2773,nEVAL,"EX")=0),0))))</f>
      </c>
      <c r="H2773">
        <f>IF(DATOS!$G2773&lt;&gt;"EX",0,--(COUNTIFS(nNIA,DATOS!$A2773,nCURSO,DATOS!$D2773,nESPEC,DATOS!$E2773,nASIG,DATOS!$I2773,nEVAL,"OR")=0))</f>
      </c>
      <c r="I2773">
        <f>IF(DATOS!$I2773="","",IFERROR(VLOOKUP(DATOS!$I2773,CONFIG_ASIGNATURAS!$B$2:$J$91,9,FALSE()),""))</f>
      </c>
    </row>
    <row r="2774">
      <c r="F2774">
        <f>IF(DATOS!$A2774="","",DATOS!$A2774&amp;"|"&amp;DATOS!$D2774&amp;"|"&amp;DATOS!$E2774&amp;"|"&amp;DATOS!$I2774)</f>
      </c>
      <c r="G2774">
        <f>IF(DATOS!$A2774="",0,IF(CONFIG_METADATA!$B$4&lt;&gt;"OR+EX",--(DATOS!$G2774=CONFIG_METADATA!$B$4),IF(DATOS!$G2774="EX",1,IF(DATOS!$G2774="OR",--(COUNTIFS(nNIA,DATOS!$A2774,nCURSO,DATOS!$D2774,nESPEC,DATOS!$E2774,nASIG,DATOS!$I2774,nEVAL,"EX")=0),0))))</f>
      </c>
      <c r="H2774">
        <f>IF(DATOS!$G2774&lt;&gt;"EX",0,--(COUNTIFS(nNIA,DATOS!$A2774,nCURSO,DATOS!$D2774,nESPEC,DATOS!$E2774,nASIG,DATOS!$I2774,nEVAL,"OR")=0))</f>
      </c>
      <c r="I2774">
        <f>IF(DATOS!$I2774="","",IFERROR(VLOOKUP(DATOS!$I2774,CONFIG_ASIGNATURAS!$B$2:$J$91,9,FALSE()),""))</f>
      </c>
    </row>
    <row r="2775">
      <c r="F2775">
        <f>IF(DATOS!$A2775="","",DATOS!$A2775&amp;"|"&amp;DATOS!$D2775&amp;"|"&amp;DATOS!$E2775&amp;"|"&amp;DATOS!$I2775)</f>
      </c>
      <c r="G2775">
        <f>IF(DATOS!$A2775="",0,IF(CONFIG_METADATA!$B$4&lt;&gt;"OR+EX",--(DATOS!$G2775=CONFIG_METADATA!$B$4),IF(DATOS!$G2775="EX",1,IF(DATOS!$G2775="OR",--(COUNTIFS(nNIA,DATOS!$A2775,nCURSO,DATOS!$D2775,nESPEC,DATOS!$E2775,nASIG,DATOS!$I2775,nEVAL,"EX")=0),0))))</f>
      </c>
      <c r="H2775">
        <f>IF(DATOS!$G2775&lt;&gt;"EX",0,--(COUNTIFS(nNIA,DATOS!$A2775,nCURSO,DATOS!$D2775,nESPEC,DATOS!$E2775,nASIG,DATOS!$I2775,nEVAL,"OR")=0))</f>
      </c>
      <c r="I2775">
        <f>IF(DATOS!$I2775="","",IFERROR(VLOOKUP(DATOS!$I2775,CONFIG_ASIGNATURAS!$B$2:$J$91,9,FALSE()),""))</f>
      </c>
    </row>
    <row r="2776">
      <c r="F2776">
        <f>IF(DATOS!$A2776="","",DATOS!$A2776&amp;"|"&amp;DATOS!$D2776&amp;"|"&amp;DATOS!$E2776&amp;"|"&amp;DATOS!$I2776)</f>
      </c>
      <c r="G2776">
        <f>IF(DATOS!$A2776="",0,IF(CONFIG_METADATA!$B$4&lt;&gt;"OR+EX",--(DATOS!$G2776=CONFIG_METADATA!$B$4),IF(DATOS!$G2776="EX",1,IF(DATOS!$G2776="OR",--(COUNTIFS(nNIA,DATOS!$A2776,nCURSO,DATOS!$D2776,nESPEC,DATOS!$E2776,nASIG,DATOS!$I2776,nEVAL,"EX")=0),0))))</f>
      </c>
      <c r="H2776">
        <f>IF(DATOS!$G2776&lt;&gt;"EX",0,--(COUNTIFS(nNIA,DATOS!$A2776,nCURSO,DATOS!$D2776,nESPEC,DATOS!$E2776,nASIG,DATOS!$I2776,nEVAL,"OR")=0))</f>
      </c>
      <c r="I2776">
        <f>IF(DATOS!$I2776="","",IFERROR(VLOOKUP(DATOS!$I2776,CONFIG_ASIGNATURAS!$B$2:$J$91,9,FALSE()),""))</f>
      </c>
    </row>
    <row r="2777">
      <c r="F2777">
        <f>IF(DATOS!$A2777="","",DATOS!$A2777&amp;"|"&amp;DATOS!$D2777&amp;"|"&amp;DATOS!$E2777&amp;"|"&amp;DATOS!$I2777)</f>
      </c>
      <c r="G2777">
        <f>IF(DATOS!$A2777="",0,IF(CONFIG_METADATA!$B$4&lt;&gt;"OR+EX",--(DATOS!$G2777=CONFIG_METADATA!$B$4),IF(DATOS!$G2777="EX",1,IF(DATOS!$G2777="OR",--(COUNTIFS(nNIA,DATOS!$A2777,nCURSO,DATOS!$D2777,nESPEC,DATOS!$E2777,nASIG,DATOS!$I2777,nEVAL,"EX")=0),0))))</f>
      </c>
      <c r="H2777">
        <f>IF(DATOS!$G2777&lt;&gt;"EX",0,--(COUNTIFS(nNIA,DATOS!$A2777,nCURSO,DATOS!$D2777,nESPEC,DATOS!$E2777,nASIG,DATOS!$I2777,nEVAL,"OR")=0))</f>
      </c>
      <c r="I2777">
        <f>IF(DATOS!$I2777="","",IFERROR(VLOOKUP(DATOS!$I2777,CONFIG_ASIGNATURAS!$B$2:$J$91,9,FALSE()),""))</f>
      </c>
    </row>
    <row r="2778">
      <c r="F2778">
        <f>IF(DATOS!$A2778="","",DATOS!$A2778&amp;"|"&amp;DATOS!$D2778&amp;"|"&amp;DATOS!$E2778&amp;"|"&amp;DATOS!$I2778)</f>
      </c>
      <c r="G2778">
        <f>IF(DATOS!$A2778="",0,IF(CONFIG_METADATA!$B$4&lt;&gt;"OR+EX",--(DATOS!$G2778=CONFIG_METADATA!$B$4),IF(DATOS!$G2778="EX",1,IF(DATOS!$G2778="OR",--(COUNTIFS(nNIA,DATOS!$A2778,nCURSO,DATOS!$D2778,nESPEC,DATOS!$E2778,nASIG,DATOS!$I2778,nEVAL,"EX")=0),0))))</f>
      </c>
      <c r="H2778">
        <f>IF(DATOS!$G2778&lt;&gt;"EX",0,--(COUNTIFS(nNIA,DATOS!$A2778,nCURSO,DATOS!$D2778,nESPEC,DATOS!$E2778,nASIG,DATOS!$I2778,nEVAL,"OR")=0))</f>
      </c>
      <c r="I2778">
        <f>IF(DATOS!$I2778="","",IFERROR(VLOOKUP(DATOS!$I2778,CONFIG_ASIGNATURAS!$B$2:$J$91,9,FALSE()),""))</f>
      </c>
    </row>
    <row r="2779">
      <c r="F2779">
        <f>IF(DATOS!$A2779="","",DATOS!$A2779&amp;"|"&amp;DATOS!$D2779&amp;"|"&amp;DATOS!$E2779&amp;"|"&amp;DATOS!$I2779)</f>
      </c>
      <c r="G2779">
        <f>IF(DATOS!$A2779="",0,IF(CONFIG_METADATA!$B$4&lt;&gt;"OR+EX",--(DATOS!$G2779=CONFIG_METADATA!$B$4),IF(DATOS!$G2779="EX",1,IF(DATOS!$G2779="OR",--(COUNTIFS(nNIA,DATOS!$A2779,nCURSO,DATOS!$D2779,nESPEC,DATOS!$E2779,nASIG,DATOS!$I2779,nEVAL,"EX")=0),0))))</f>
      </c>
      <c r="H2779">
        <f>IF(DATOS!$G2779&lt;&gt;"EX",0,--(COUNTIFS(nNIA,DATOS!$A2779,nCURSO,DATOS!$D2779,nESPEC,DATOS!$E2779,nASIG,DATOS!$I2779,nEVAL,"OR")=0))</f>
      </c>
      <c r="I2779">
        <f>IF(DATOS!$I2779="","",IFERROR(VLOOKUP(DATOS!$I2779,CONFIG_ASIGNATURAS!$B$2:$J$91,9,FALSE()),""))</f>
      </c>
    </row>
    <row r="2780">
      <c r="F2780">
        <f>IF(DATOS!$A2780="","",DATOS!$A2780&amp;"|"&amp;DATOS!$D2780&amp;"|"&amp;DATOS!$E2780&amp;"|"&amp;DATOS!$I2780)</f>
      </c>
      <c r="G2780">
        <f>IF(DATOS!$A2780="",0,IF(CONFIG_METADATA!$B$4&lt;&gt;"OR+EX",--(DATOS!$G2780=CONFIG_METADATA!$B$4),IF(DATOS!$G2780="EX",1,IF(DATOS!$G2780="OR",--(COUNTIFS(nNIA,DATOS!$A2780,nCURSO,DATOS!$D2780,nESPEC,DATOS!$E2780,nASIG,DATOS!$I2780,nEVAL,"EX")=0),0))))</f>
      </c>
      <c r="H2780">
        <f>IF(DATOS!$G2780&lt;&gt;"EX",0,--(COUNTIFS(nNIA,DATOS!$A2780,nCURSO,DATOS!$D2780,nESPEC,DATOS!$E2780,nASIG,DATOS!$I2780,nEVAL,"OR")=0))</f>
      </c>
      <c r="I2780">
        <f>IF(DATOS!$I2780="","",IFERROR(VLOOKUP(DATOS!$I2780,CONFIG_ASIGNATURAS!$B$2:$J$91,9,FALSE()),""))</f>
      </c>
    </row>
    <row r="2781">
      <c r="F2781">
        <f>IF(DATOS!$A2781="","",DATOS!$A2781&amp;"|"&amp;DATOS!$D2781&amp;"|"&amp;DATOS!$E2781&amp;"|"&amp;DATOS!$I2781)</f>
      </c>
      <c r="G2781">
        <f>IF(DATOS!$A2781="",0,IF(CONFIG_METADATA!$B$4&lt;&gt;"OR+EX",--(DATOS!$G2781=CONFIG_METADATA!$B$4),IF(DATOS!$G2781="EX",1,IF(DATOS!$G2781="OR",--(COUNTIFS(nNIA,DATOS!$A2781,nCURSO,DATOS!$D2781,nESPEC,DATOS!$E2781,nASIG,DATOS!$I2781,nEVAL,"EX")=0),0))))</f>
      </c>
      <c r="H2781">
        <f>IF(DATOS!$G2781&lt;&gt;"EX",0,--(COUNTIFS(nNIA,DATOS!$A2781,nCURSO,DATOS!$D2781,nESPEC,DATOS!$E2781,nASIG,DATOS!$I2781,nEVAL,"OR")=0))</f>
      </c>
      <c r="I2781">
        <f>IF(DATOS!$I2781="","",IFERROR(VLOOKUP(DATOS!$I2781,CONFIG_ASIGNATURAS!$B$2:$J$91,9,FALSE()),""))</f>
      </c>
    </row>
    <row r="2782">
      <c r="F2782">
        <f>IF(DATOS!$A2782="","",DATOS!$A2782&amp;"|"&amp;DATOS!$D2782&amp;"|"&amp;DATOS!$E2782&amp;"|"&amp;DATOS!$I2782)</f>
      </c>
      <c r="G2782">
        <f>IF(DATOS!$A2782="",0,IF(CONFIG_METADATA!$B$4&lt;&gt;"OR+EX",--(DATOS!$G2782=CONFIG_METADATA!$B$4),IF(DATOS!$G2782="EX",1,IF(DATOS!$G2782="OR",--(COUNTIFS(nNIA,DATOS!$A2782,nCURSO,DATOS!$D2782,nESPEC,DATOS!$E2782,nASIG,DATOS!$I2782,nEVAL,"EX")=0),0))))</f>
      </c>
      <c r="H2782">
        <f>IF(DATOS!$G2782&lt;&gt;"EX",0,--(COUNTIFS(nNIA,DATOS!$A2782,nCURSO,DATOS!$D2782,nESPEC,DATOS!$E2782,nASIG,DATOS!$I2782,nEVAL,"OR")=0))</f>
      </c>
      <c r="I2782">
        <f>IF(DATOS!$I2782="","",IFERROR(VLOOKUP(DATOS!$I2782,CONFIG_ASIGNATURAS!$B$2:$J$91,9,FALSE()),""))</f>
      </c>
    </row>
    <row r="2783">
      <c r="F2783">
        <f>IF(DATOS!$A2783="","",DATOS!$A2783&amp;"|"&amp;DATOS!$D2783&amp;"|"&amp;DATOS!$E2783&amp;"|"&amp;DATOS!$I2783)</f>
      </c>
      <c r="G2783">
        <f>IF(DATOS!$A2783="",0,IF(CONFIG_METADATA!$B$4&lt;&gt;"OR+EX",--(DATOS!$G2783=CONFIG_METADATA!$B$4),IF(DATOS!$G2783="EX",1,IF(DATOS!$G2783="OR",--(COUNTIFS(nNIA,DATOS!$A2783,nCURSO,DATOS!$D2783,nESPEC,DATOS!$E2783,nASIG,DATOS!$I2783,nEVAL,"EX")=0),0))))</f>
      </c>
      <c r="H2783">
        <f>IF(DATOS!$G2783&lt;&gt;"EX",0,--(COUNTIFS(nNIA,DATOS!$A2783,nCURSO,DATOS!$D2783,nESPEC,DATOS!$E2783,nASIG,DATOS!$I2783,nEVAL,"OR")=0))</f>
      </c>
      <c r="I2783">
        <f>IF(DATOS!$I2783="","",IFERROR(VLOOKUP(DATOS!$I2783,CONFIG_ASIGNATURAS!$B$2:$J$91,9,FALSE()),""))</f>
      </c>
    </row>
    <row r="2784">
      <c r="F2784">
        <f>IF(DATOS!$A2784="","",DATOS!$A2784&amp;"|"&amp;DATOS!$D2784&amp;"|"&amp;DATOS!$E2784&amp;"|"&amp;DATOS!$I2784)</f>
      </c>
      <c r="G2784">
        <f>IF(DATOS!$A2784="",0,IF(CONFIG_METADATA!$B$4&lt;&gt;"OR+EX",--(DATOS!$G2784=CONFIG_METADATA!$B$4),IF(DATOS!$G2784="EX",1,IF(DATOS!$G2784="OR",--(COUNTIFS(nNIA,DATOS!$A2784,nCURSO,DATOS!$D2784,nESPEC,DATOS!$E2784,nASIG,DATOS!$I2784,nEVAL,"EX")=0),0))))</f>
      </c>
      <c r="H2784">
        <f>IF(DATOS!$G2784&lt;&gt;"EX",0,--(COUNTIFS(nNIA,DATOS!$A2784,nCURSO,DATOS!$D2784,nESPEC,DATOS!$E2784,nASIG,DATOS!$I2784,nEVAL,"OR")=0))</f>
      </c>
      <c r="I2784">
        <f>IF(DATOS!$I2784="","",IFERROR(VLOOKUP(DATOS!$I2784,CONFIG_ASIGNATURAS!$B$2:$J$91,9,FALSE()),""))</f>
      </c>
    </row>
    <row r="2785">
      <c r="F2785">
        <f>IF(DATOS!$A2785="","",DATOS!$A2785&amp;"|"&amp;DATOS!$D2785&amp;"|"&amp;DATOS!$E2785&amp;"|"&amp;DATOS!$I2785)</f>
      </c>
      <c r="G2785">
        <f>IF(DATOS!$A2785="",0,IF(CONFIG_METADATA!$B$4&lt;&gt;"OR+EX",--(DATOS!$G2785=CONFIG_METADATA!$B$4),IF(DATOS!$G2785="EX",1,IF(DATOS!$G2785="OR",--(COUNTIFS(nNIA,DATOS!$A2785,nCURSO,DATOS!$D2785,nESPEC,DATOS!$E2785,nASIG,DATOS!$I2785,nEVAL,"EX")=0),0))))</f>
      </c>
      <c r="H2785">
        <f>IF(DATOS!$G2785&lt;&gt;"EX",0,--(COUNTIFS(nNIA,DATOS!$A2785,nCURSO,DATOS!$D2785,nESPEC,DATOS!$E2785,nASIG,DATOS!$I2785,nEVAL,"OR")=0))</f>
      </c>
      <c r="I2785">
        <f>IF(DATOS!$I2785="","",IFERROR(VLOOKUP(DATOS!$I2785,CONFIG_ASIGNATURAS!$B$2:$J$91,9,FALSE()),""))</f>
      </c>
    </row>
    <row r="2786">
      <c r="F2786">
        <f>IF(DATOS!$A2786="","",DATOS!$A2786&amp;"|"&amp;DATOS!$D2786&amp;"|"&amp;DATOS!$E2786&amp;"|"&amp;DATOS!$I2786)</f>
      </c>
      <c r="G2786">
        <f>IF(DATOS!$A2786="",0,IF(CONFIG_METADATA!$B$4&lt;&gt;"OR+EX",--(DATOS!$G2786=CONFIG_METADATA!$B$4),IF(DATOS!$G2786="EX",1,IF(DATOS!$G2786="OR",--(COUNTIFS(nNIA,DATOS!$A2786,nCURSO,DATOS!$D2786,nESPEC,DATOS!$E2786,nASIG,DATOS!$I2786,nEVAL,"EX")=0),0))))</f>
      </c>
      <c r="H2786">
        <f>IF(DATOS!$G2786&lt;&gt;"EX",0,--(COUNTIFS(nNIA,DATOS!$A2786,nCURSO,DATOS!$D2786,nESPEC,DATOS!$E2786,nASIG,DATOS!$I2786,nEVAL,"OR")=0))</f>
      </c>
      <c r="I2786">
        <f>IF(DATOS!$I2786="","",IFERROR(VLOOKUP(DATOS!$I2786,CONFIG_ASIGNATURAS!$B$2:$J$91,9,FALSE()),""))</f>
      </c>
    </row>
    <row r="2787">
      <c r="F2787">
        <f>IF(DATOS!$A2787="","",DATOS!$A2787&amp;"|"&amp;DATOS!$D2787&amp;"|"&amp;DATOS!$E2787&amp;"|"&amp;DATOS!$I2787)</f>
      </c>
      <c r="G2787">
        <f>IF(DATOS!$A2787="",0,IF(CONFIG_METADATA!$B$4&lt;&gt;"OR+EX",--(DATOS!$G2787=CONFIG_METADATA!$B$4),IF(DATOS!$G2787="EX",1,IF(DATOS!$G2787="OR",--(COUNTIFS(nNIA,DATOS!$A2787,nCURSO,DATOS!$D2787,nESPEC,DATOS!$E2787,nASIG,DATOS!$I2787,nEVAL,"EX")=0),0))))</f>
      </c>
      <c r="H2787">
        <f>IF(DATOS!$G2787&lt;&gt;"EX",0,--(COUNTIFS(nNIA,DATOS!$A2787,nCURSO,DATOS!$D2787,nESPEC,DATOS!$E2787,nASIG,DATOS!$I2787,nEVAL,"OR")=0))</f>
      </c>
      <c r="I2787">
        <f>IF(DATOS!$I2787="","",IFERROR(VLOOKUP(DATOS!$I2787,CONFIG_ASIGNATURAS!$B$2:$J$91,9,FALSE()),""))</f>
      </c>
    </row>
    <row r="2788">
      <c r="F2788">
        <f>IF(DATOS!$A2788="","",DATOS!$A2788&amp;"|"&amp;DATOS!$D2788&amp;"|"&amp;DATOS!$E2788&amp;"|"&amp;DATOS!$I2788)</f>
      </c>
      <c r="G2788">
        <f>IF(DATOS!$A2788="",0,IF(CONFIG_METADATA!$B$4&lt;&gt;"OR+EX",--(DATOS!$G2788=CONFIG_METADATA!$B$4),IF(DATOS!$G2788="EX",1,IF(DATOS!$G2788="OR",--(COUNTIFS(nNIA,DATOS!$A2788,nCURSO,DATOS!$D2788,nESPEC,DATOS!$E2788,nASIG,DATOS!$I2788,nEVAL,"EX")=0),0))))</f>
      </c>
      <c r="H2788">
        <f>IF(DATOS!$G2788&lt;&gt;"EX",0,--(COUNTIFS(nNIA,DATOS!$A2788,nCURSO,DATOS!$D2788,nESPEC,DATOS!$E2788,nASIG,DATOS!$I2788,nEVAL,"OR")=0))</f>
      </c>
      <c r="I2788">
        <f>IF(DATOS!$I2788="","",IFERROR(VLOOKUP(DATOS!$I2788,CONFIG_ASIGNATURAS!$B$2:$J$91,9,FALSE()),""))</f>
      </c>
    </row>
    <row r="2789">
      <c r="F2789">
        <f>IF(DATOS!$A2789="","",DATOS!$A2789&amp;"|"&amp;DATOS!$D2789&amp;"|"&amp;DATOS!$E2789&amp;"|"&amp;DATOS!$I2789)</f>
      </c>
      <c r="G2789">
        <f>IF(DATOS!$A2789="",0,IF(CONFIG_METADATA!$B$4&lt;&gt;"OR+EX",--(DATOS!$G2789=CONFIG_METADATA!$B$4),IF(DATOS!$G2789="EX",1,IF(DATOS!$G2789="OR",--(COUNTIFS(nNIA,DATOS!$A2789,nCURSO,DATOS!$D2789,nESPEC,DATOS!$E2789,nASIG,DATOS!$I2789,nEVAL,"EX")=0),0))))</f>
      </c>
      <c r="H2789">
        <f>IF(DATOS!$G2789&lt;&gt;"EX",0,--(COUNTIFS(nNIA,DATOS!$A2789,nCURSO,DATOS!$D2789,nESPEC,DATOS!$E2789,nASIG,DATOS!$I2789,nEVAL,"OR")=0))</f>
      </c>
      <c r="I2789">
        <f>IF(DATOS!$I2789="","",IFERROR(VLOOKUP(DATOS!$I2789,CONFIG_ASIGNATURAS!$B$2:$J$91,9,FALSE()),""))</f>
      </c>
    </row>
    <row r="2790">
      <c r="F2790">
        <f>IF(DATOS!$A2790="","",DATOS!$A2790&amp;"|"&amp;DATOS!$D2790&amp;"|"&amp;DATOS!$E2790&amp;"|"&amp;DATOS!$I2790)</f>
      </c>
      <c r="G2790">
        <f>IF(DATOS!$A2790="",0,IF(CONFIG_METADATA!$B$4&lt;&gt;"OR+EX",--(DATOS!$G2790=CONFIG_METADATA!$B$4),IF(DATOS!$G2790="EX",1,IF(DATOS!$G2790="OR",--(COUNTIFS(nNIA,DATOS!$A2790,nCURSO,DATOS!$D2790,nESPEC,DATOS!$E2790,nASIG,DATOS!$I2790,nEVAL,"EX")=0),0))))</f>
      </c>
      <c r="H2790">
        <f>IF(DATOS!$G2790&lt;&gt;"EX",0,--(COUNTIFS(nNIA,DATOS!$A2790,nCURSO,DATOS!$D2790,nESPEC,DATOS!$E2790,nASIG,DATOS!$I2790,nEVAL,"OR")=0))</f>
      </c>
      <c r="I2790">
        <f>IF(DATOS!$I2790="","",IFERROR(VLOOKUP(DATOS!$I2790,CONFIG_ASIGNATURAS!$B$2:$J$91,9,FALSE()),""))</f>
      </c>
    </row>
    <row r="2791">
      <c r="F2791">
        <f>IF(DATOS!$A2791="","",DATOS!$A2791&amp;"|"&amp;DATOS!$D2791&amp;"|"&amp;DATOS!$E2791&amp;"|"&amp;DATOS!$I2791)</f>
      </c>
      <c r="G2791">
        <f>IF(DATOS!$A2791="",0,IF(CONFIG_METADATA!$B$4&lt;&gt;"OR+EX",--(DATOS!$G2791=CONFIG_METADATA!$B$4),IF(DATOS!$G2791="EX",1,IF(DATOS!$G2791="OR",--(COUNTIFS(nNIA,DATOS!$A2791,nCURSO,DATOS!$D2791,nESPEC,DATOS!$E2791,nASIG,DATOS!$I2791,nEVAL,"EX")=0),0))))</f>
      </c>
      <c r="H2791">
        <f>IF(DATOS!$G2791&lt;&gt;"EX",0,--(COUNTIFS(nNIA,DATOS!$A2791,nCURSO,DATOS!$D2791,nESPEC,DATOS!$E2791,nASIG,DATOS!$I2791,nEVAL,"OR")=0))</f>
      </c>
      <c r="I2791">
        <f>IF(DATOS!$I2791="","",IFERROR(VLOOKUP(DATOS!$I2791,CONFIG_ASIGNATURAS!$B$2:$J$91,9,FALSE()),""))</f>
      </c>
    </row>
    <row r="2792">
      <c r="F2792">
        <f>IF(DATOS!$A2792="","",DATOS!$A2792&amp;"|"&amp;DATOS!$D2792&amp;"|"&amp;DATOS!$E2792&amp;"|"&amp;DATOS!$I2792)</f>
      </c>
      <c r="G2792">
        <f>IF(DATOS!$A2792="",0,IF(CONFIG_METADATA!$B$4&lt;&gt;"OR+EX",--(DATOS!$G2792=CONFIG_METADATA!$B$4),IF(DATOS!$G2792="EX",1,IF(DATOS!$G2792="OR",--(COUNTIFS(nNIA,DATOS!$A2792,nCURSO,DATOS!$D2792,nESPEC,DATOS!$E2792,nASIG,DATOS!$I2792,nEVAL,"EX")=0),0))))</f>
      </c>
      <c r="H2792">
        <f>IF(DATOS!$G2792&lt;&gt;"EX",0,--(COUNTIFS(nNIA,DATOS!$A2792,nCURSO,DATOS!$D2792,nESPEC,DATOS!$E2792,nASIG,DATOS!$I2792,nEVAL,"OR")=0))</f>
      </c>
      <c r="I2792">
        <f>IF(DATOS!$I2792="","",IFERROR(VLOOKUP(DATOS!$I2792,CONFIG_ASIGNATURAS!$B$2:$J$91,9,FALSE()),""))</f>
      </c>
    </row>
    <row r="2793">
      <c r="F2793">
        <f>IF(DATOS!$A2793="","",DATOS!$A2793&amp;"|"&amp;DATOS!$D2793&amp;"|"&amp;DATOS!$E2793&amp;"|"&amp;DATOS!$I2793)</f>
      </c>
      <c r="G2793">
        <f>IF(DATOS!$A2793="",0,IF(CONFIG_METADATA!$B$4&lt;&gt;"OR+EX",--(DATOS!$G2793=CONFIG_METADATA!$B$4),IF(DATOS!$G2793="EX",1,IF(DATOS!$G2793="OR",--(COUNTIFS(nNIA,DATOS!$A2793,nCURSO,DATOS!$D2793,nESPEC,DATOS!$E2793,nASIG,DATOS!$I2793,nEVAL,"EX")=0),0))))</f>
      </c>
      <c r="H2793">
        <f>IF(DATOS!$G2793&lt;&gt;"EX",0,--(COUNTIFS(nNIA,DATOS!$A2793,nCURSO,DATOS!$D2793,nESPEC,DATOS!$E2793,nASIG,DATOS!$I2793,nEVAL,"OR")=0))</f>
      </c>
      <c r="I2793">
        <f>IF(DATOS!$I2793="","",IFERROR(VLOOKUP(DATOS!$I2793,CONFIG_ASIGNATURAS!$B$2:$J$91,9,FALSE()),""))</f>
      </c>
    </row>
    <row r="2794">
      <c r="F2794">
        <f>IF(DATOS!$A2794="","",DATOS!$A2794&amp;"|"&amp;DATOS!$D2794&amp;"|"&amp;DATOS!$E2794&amp;"|"&amp;DATOS!$I2794)</f>
      </c>
      <c r="G2794">
        <f>IF(DATOS!$A2794="",0,IF(CONFIG_METADATA!$B$4&lt;&gt;"OR+EX",--(DATOS!$G2794=CONFIG_METADATA!$B$4),IF(DATOS!$G2794="EX",1,IF(DATOS!$G2794="OR",--(COUNTIFS(nNIA,DATOS!$A2794,nCURSO,DATOS!$D2794,nESPEC,DATOS!$E2794,nASIG,DATOS!$I2794,nEVAL,"EX")=0),0))))</f>
      </c>
      <c r="H2794">
        <f>IF(DATOS!$G2794&lt;&gt;"EX",0,--(COUNTIFS(nNIA,DATOS!$A2794,nCURSO,DATOS!$D2794,nESPEC,DATOS!$E2794,nASIG,DATOS!$I2794,nEVAL,"OR")=0))</f>
      </c>
      <c r="I2794">
        <f>IF(DATOS!$I2794="","",IFERROR(VLOOKUP(DATOS!$I2794,CONFIG_ASIGNATURAS!$B$2:$J$91,9,FALSE()),""))</f>
      </c>
    </row>
    <row r="2795">
      <c r="F2795">
        <f>IF(DATOS!$A2795="","",DATOS!$A2795&amp;"|"&amp;DATOS!$D2795&amp;"|"&amp;DATOS!$E2795&amp;"|"&amp;DATOS!$I2795)</f>
      </c>
      <c r="G2795">
        <f>IF(DATOS!$A2795="",0,IF(CONFIG_METADATA!$B$4&lt;&gt;"OR+EX",--(DATOS!$G2795=CONFIG_METADATA!$B$4),IF(DATOS!$G2795="EX",1,IF(DATOS!$G2795="OR",--(COUNTIFS(nNIA,DATOS!$A2795,nCURSO,DATOS!$D2795,nESPEC,DATOS!$E2795,nASIG,DATOS!$I2795,nEVAL,"EX")=0),0))))</f>
      </c>
      <c r="H2795">
        <f>IF(DATOS!$G2795&lt;&gt;"EX",0,--(COUNTIFS(nNIA,DATOS!$A2795,nCURSO,DATOS!$D2795,nESPEC,DATOS!$E2795,nASIG,DATOS!$I2795,nEVAL,"OR")=0))</f>
      </c>
      <c r="I2795">
        <f>IF(DATOS!$I2795="","",IFERROR(VLOOKUP(DATOS!$I2795,CONFIG_ASIGNATURAS!$B$2:$J$91,9,FALSE()),""))</f>
      </c>
    </row>
    <row r="2796">
      <c r="F2796">
        <f>IF(DATOS!$A2796="","",DATOS!$A2796&amp;"|"&amp;DATOS!$D2796&amp;"|"&amp;DATOS!$E2796&amp;"|"&amp;DATOS!$I2796)</f>
      </c>
      <c r="G2796">
        <f>IF(DATOS!$A2796="",0,IF(CONFIG_METADATA!$B$4&lt;&gt;"OR+EX",--(DATOS!$G2796=CONFIG_METADATA!$B$4),IF(DATOS!$G2796="EX",1,IF(DATOS!$G2796="OR",--(COUNTIFS(nNIA,DATOS!$A2796,nCURSO,DATOS!$D2796,nESPEC,DATOS!$E2796,nASIG,DATOS!$I2796,nEVAL,"EX")=0),0))))</f>
      </c>
      <c r="H2796">
        <f>IF(DATOS!$G2796&lt;&gt;"EX",0,--(COUNTIFS(nNIA,DATOS!$A2796,nCURSO,DATOS!$D2796,nESPEC,DATOS!$E2796,nASIG,DATOS!$I2796,nEVAL,"OR")=0))</f>
      </c>
      <c r="I2796">
        <f>IF(DATOS!$I2796="","",IFERROR(VLOOKUP(DATOS!$I2796,CONFIG_ASIGNATURAS!$B$2:$J$91,9,FALSE()),""))</f>
      </c>
    </row>
    <row r="2797">
      <c r="F2797">
        <f>IF(DATOS!$A2797="","",DATOS!$A2797&amp;"|"&amp;DATOS!$D2797&amp;"|"&amp;DATOS!$E2797&amp;"|"&amp;DATOS!$I2797)</f>
      </c>
      <c r="G2797">
        <f>IF(DATOS!$A2797="",0,IF(CONFIG_METADATA!$B$4&lt;&gt;"OR+EX",--(DATOS!$G2797=CONFIG_METADATA!$B$4),IF(DATOS!$G2797="EX",1,IF(DATOS!$G2797="OR",--(COUNTIFS(nNIA,DATOS!$A2797,nCURSO,DATOS!$D2797,nESPEC,DATOS!$E2797,nASIG,DATOS!$I2797,nEVAL,"EX")=0),0))))</f>
      </c>
      <c r="H2797">
        <f>IF(DATOS!$G2797&lt;&gt;"EX",0,--(COUNTIFS(nNIA,DATOS!$A2797,nCURSO,DATOS!$D2797,nESPEC,DATOS!$E2797,nASIG,DATOS!$I2797,nEVAL,"OR")=0))</f>
      </c>
      <c r="I2797">
        <f>IF(DATOS!$I2797="","",IFERROR(VLOOKUP(DATOS!$I2797,CONFIG_ASIGNATURAS!$B$2:$J$91,9,FALSE()),""))</f>
      </c>
    </row>
    <row r="2798">
      <c r="F2798">
        <f>IF(DATOS!$A2798="","",DATOS!$A2798&amp;"|"&amp;DATOS!$D2798&amp;"|"&amp;DATOS!$E2798&amp;"|"&amp;DATOS!$I2798)</f>
      </c>
      <c r="G2798">
        <f>IF(DATOS!$A2798="",0,IF(CONFIG_METADATA!$B$4&lt;&gt;"OR+EX",--(DATOS!$G2798=CONFIG_METADATA!$B$4),IF(DATOS!$G2798="EX",1,IF(DATOS!$G2798="OR",--(COUNTIFS(nNIA,DATOS!$A2798,nCURSO,DATOS!$D2798,nESPEC,DATOS!$E2798,nASIG,DATOS!$I2798,nEVAL,"EX")=0),0))))</f>
      </c>
      <c r="H2798">
        <f>IF(DATOS!$G2798&lt;&gt;"EX",0,--(COUNTIFS(nNIA,DATOS!$A2798,nCURSO,DATOS!$D2798,nESPEC,DATOS!$E2798,nASIG,DATOS!$I2798,nEVAL,"OR")=0))</f>
      </c>
      <c r="I2798">
        <f>IF(DATOS!$I2798="","",IFERROR(VLOOKUP(DATOS!$I2798,CONFIG_ASIGNATURAS!$B$2:$J$91,9,FALSE()),""))</f>
      </c>
    </row>
    <row r="2799">
      <c r="F2799">
        <f>IF(DATOS!$A2799="","",DATOS!$A2799&amp;"|"&amp;DATOS!$D2799&amp;"|"&amp;DATOS!$E2799&amp;"|"&amp;DATOS!$I2799)</f>
      </c>
      <c r="G2799">
        <f>IF(DATOS!$A2799="",0,IF(CONFIG_METADATA!$B$4&lt;&gt;"OR+EX",--(DATOS!$G2799=CONFIG_METADATA!$B$4),IF(DATOS!$G2799="EX",1,IF(DATOS!$G2799="OR",--(COUNTIFS(nNIA,DATOS!$A2799,nCURSO,DATOS!$D2799,nESPEC,DATOS!$E2799,nASIG,DATOS!$I2799,nEVAL,"EX")=0),0))))</f>
      </c>
      <c r="H2799">
        <f>IF(DATOS!$G2799&lt;&gt;"EX",0,--(COUNTIFS(nNIA,DATOS!$A2799,nCURSO,DATOS!$D2799,nESPEC,DATOS!$E2799,nASIG,DATOS!$I2799,nEVAL,"OR")=0))</f>
      </c>
      <c r="I2799">
        <f>IF(DATOS!$I2799="","",IFERROR(VLOOKUP(DATOS!$I2799,CONFIG_ASIGNATURAS!$B$2:$J$91,9,FALSE()),""))</f>
      </c>
    </row>
    <row r="2800">
      <c r="F2800">
        <f>IF(DATOS!$A2800="","",DATOS!$A2800&amp;"|"&amp;DATOS!$D2800&amp;"|"&amp;DATOS!$E2800&amp;"|"&amp;DATOS!$I2800)</f>
      </c>
      <c r="G2800">
        <f>IF(DATOS!$A2800="",0,IF(CONFIG_METADATA!$B$4&lt;&gt;"OR+EX",--(DATOS!$G2800=CONFIG_METADATA!$B$4),IF(DATOS!$G2800="EX",1,IF(DATOS!$G2800="OR",--(COUNTIFS(nNIA,DATOS!$A2800,nCURSO,DATOS!$D2800,nESPEC,DATOS!$E2800,nASIG,DATOS!$I2800,nEVAL,"EX")=0),0))))</f>
      </c>
      <c r="H2800">
        <f>IF(DATOS!$G2800&lt;&gt;"EX",0,--(COUNTIFS(nNIA,DATOS!$A2800,nCURSO,DATOS!$D2800,nESPEC,DATOS!$E2800,nASIG,DATOS!$I2800,nEVAL,"OR")=0))</f>
      </c>
      <c r="I2800">
        <f>IF(DATOS!$I2800="","",IFERROR(VLOOKUP(DATOS!$I2800,CONFIG_ASIGNATURAS!$B$2:$J$91,9,FALSE()),""))</f>
      </c>
    </row>
    <row r="2801">
      <c r="F2801">
        <f>IF(DATOS!$A2801="","",DATOS!$A2801&amp;"|"&amp;DATOS!$D2801&amp;"|"&amp;DATOS!$E2801&amp;"|"&amp;DATOS!$I2801)</f>
      </c>
      <c r="G2801">
        <f>IF(DATOS!$A2801="",0,IF(CONFIG_METADATA!$B$4&lt;&gt;"OR+EX",--(DATOS!$G2801=CONFIG_METADATA!$B$4),IF(DATOS!$G2801="EX",1,IF(DATOS!$G2801="OR",--(COUNTIFS(nNIA,DATOS!$A2801,nCURSO,DATOS!$D2801,nESPEC,DATOS!$E2801,nASIG,DATOS!$I2801,nEVAL,"EX")=0),0))))</f>
      </c>
      <c r="H2801">
        <f>IF(DATOS!$G2801&lt;&gt;"EX",0,--(COUNTIFS(nNIA,DATOS!$A2801,nCURSO,DATOS!$D2801,nESPEC,DATOS!$E2801,nASIG,DATOS!$I2801,nEVAL,"OR")=0))</f>
      </c>
      <c r="I2801">
        <f>IF(DATOS!$I2801="","",IFERROR(VLOOKUP(DATOS!$I2801,CONFIG_ASIGNATURAS!$B$2:$J$91,9,FALSE()),""))</f>
      </c>
    </row>
    <row r="2802">
      <c r="F2802">
        <f>IF(DATOS!$A2802="","",DATOS!$A2802&amp;"|"&amp;DATOS!$D2802&amp;"|"&amp;DATOS!$E2802&amp;"|"&amp;DATOS!$I2802)</f>
      </c>
      <c r="G2802">
        <f>IF(DATOS!$A2802="",0,IF(CONFIG_METADATA!$B$4&lt;&gt;"OR+EX",--(DATOS!$G2802=CONFIG_METADATA!$B$4),IF(DATOS!$G2802="EX",1,IF(DATOS!$G2802="OR",--(COUNTIFS(nNIA,DATOS!$A2802,nCURSO,DATOS!$D2802,nESPEC,DATOS!$E2802,nASIG,DATOS!$I2802,nEVAL,"EX")=0),0))))</f>
      </c>
      <c r="H2802">
        <f>IF(DATOS!$G2802&lt;&gt;"EX",0,--(COUNTIFS(nNIA,DATOS!$A2802,nCURSO,DATOS!$D2802,nESPEC,DATOS!$E2802,nASIG,DATOS!$I2802,nEVAL,"OR")=0))</f>
      </c>
      <c r="I2802">
        <f>IF(DATOS!$I2802="","",IFERROR(VLOOKUP(DATOS!$I2802,CONFIG_ASIGNATURAS!$B$2:$J$91,9,FALSE()),""))</f>
      </c>
    </row>
    <row r="2803">
      <c r="F2803">
        <f>IF(DATOS!$A2803="","",DATOS!$A2803&amp;"|"&amp;DATOS!$D2803&amp;"|"&amp;DATOS!$E2803&amp;"|"&amp;DATOS!$I2803)</f>
      </c>
      <c r="G2803">
        <f>IF(DATOS!$A2803="",0,IF(CONFIG_METADATA!$B$4&lt;&gt;"OR+EX",--(DATOS!$G2803=CONFIG_METADATA!$B$4),IF(DATOS!$G2803="EX",1,IF(DATOS!$G2803="OR",--(COUNTIFS(nNIA,DATOS!$A2803,nCURSO,DATOS!$D2803,nESPEC,DATOS!$E2803,nASIG,DATOS!$I2803,nEVAL,"EX")=0),0))))</f>
      </c>
      <c r="H2803">
        <f>IF(DATOS!$G2803&lt;&gt;"EX",0,--(COUNTIFS(nNIA,DATOS!$A2803,nCURSO,DATOS!$D2803,nESPEC,DATOS!$E2803,nASIG,DATOS!$I2803,nEVAL,"OR")=0))</f>
      </c>
      <c r="I2803">
        <f>IF(DATOS!$I2803="","",IFERROR(VLOOKUP(DATOS!$I2803,CONFIG_ASIGNATURAS!$B$2:$J$91,9,FALSE()),""))</f>
      </c>
    </row>
    <row r="2804">
      <c r="F2804">
        <f>IF(DATOS!$A2804="","",DATOS!$A2804&amp;"|"&amp;DATOS!$D2804&amp;"|"&amp;DATOS!$E2804&amp;"|"&amp;DATOS!$I2804)</f>
      </c>
      <c r="G2804">
        <f>IF(DATOS!$A2804="",0,IF(CONFIG_METADATA!$B$4&lt;&gt;"OR+EX",--(DATOS!$G2804=CONFIG_METADATA!$B$4),IF(DATOS!$G2804="EX",1,IF(DATOS!$G2804="OR",--(COUNTIFS(nNIA,DATOS!$A2804,nCURSO,DATOS!$D2804,nESPEC,DATOS!$E2804,nASIG,DATOS!$I2804,nEVAL,"EX")=0),0))))</f>
      </c>
      <c r="H2804">
        <f>IF(DATOS!$G2804&lt;&gt;"EX",0,--(COUNTIFS(nNIA,DATOS!$A2804,nCURSO,DATOS!$D2804,nESPEC,DATOS!$E2804,nASIG,DATOS!$I2804,nEVAL,"OR")=0))</f>
      </c>
      <c r="I2804">
        <f>IF(DATOS!$I2804="","",IFERROR(VLOOKUP(DATOS!$I2804,CONFIG_ASIGNATURAS!$B$2:$J$91,9,FALSE()),""))</f>
      </c>
    </row>
    <row r="2805">
      <c r="F2805">
        <f>IF(DATOS!$A2805="","",DATOS!$A2805&amp;"|"&amp;DATOS!$D2805&amp;"|"&amp;DATOS!$E2805&amp;"|"&amp;DATOS!$I2805)</f>
      </c>
      <c r="G2805">
        <f>IF(DATOS!$A2805="",0,IF(CONFIG_METADATA!$B$4&lt;&gt;"OR+EX",--(DATOS!$G2805=CONFIG_METADATA!$B$4),IF(DATOS!$G2805="EX",1,IF(DATOS!$G2805="OR",--(COUNTIFS(nNIA,DATOS!$A2805,nCURSO,DATOS!$D2805,nESPEC,DATOS!$E2805,nASIG,DATOS!$I2805,nEVAL,"EX")=0),0))))</f>
      </c>
      <c r="H2805">
        <f>IF(DATOS!$G2805&lt;&gt;"EX",0,--(COUNTIFS(nNIA,DATOS!$A2805,nCURSO,DATOS!$D2805,nESPEC,DATOS!$E2805,nASIG,DATOS!$I2805,nEVAL,"OR")=0))</f>
      </c>
      <c r="I2805">
        <f>IF(DATOS!$I2805="","",IFERROR(VLOOKUP(DATOS!$I2805,CONFIG_ASIGNATURAS!$B$2:$J$91,9,FALSE()),""))</f>
      </c>
    </row>
    <row r="2806">
      <c r="F2806">
        <f>IF(DATOS!$A2806="","",DATOS!$A2806&amp;"|"&amp;DATOS!$D2806&amp;"|"&amp;DATOS!$E2806&amp;"|"&amp;DATOS!$I2806)</f>
      </c>
      <c r="G2806">
        <f>IF(DATOS!$A2806="",0,IF(CONFIG_METADATA!$B$4&lt;&gt;"OR+EX",--(DATOS!$G2806=CONFIG_METADATA!$B$4),IF(DATOS!$G2806="EX",1,IF(DATOS!$G2806="OR",--(COUNTIFS(nNIA,DATOS!$A2806,nCURSO,DATOS!$D2806,nESPEC,DATOS!$E2806,nASIG,DATOS!$I2806,nEVAL,"EX")=0),0))))</f>
      </c>
      <c r="H2806">
        <f>IF(DATOS!$G2806&lt;&gt;"EX",0,--(COUNTIFS(nNIA,DATOS!$A2806,nCURSO,DATOS!$D2806,nESPEC,DATOS!$E2806,nASIG,DATOS!$I2806,nEVAL,"OR")=0))</f>
      </c>
      <c r="I2806">
        <f>IF(DATOS!$I2806="","",IFERROR(VLOOKUP(DATOS!$I2806,CONFIG_ASIGNATURAS!$B$2:$J$91,9,FALSE()),""))</f>
      </c>
    </row>
    <row r="2807">
      <c r="F2807">
        <f>IF(DATOS!$A2807="","",DATOS!$A2807&amp;"|"&amp;DATOS!$D2807&amp;"|"&amp;DATOS!$E2807&amp;"|"&amp;DATOS!$I2807)</f>
      </c>
      <c r="G2807">
        <f>IF(DATOS!$A2807="",0,IF(CONFIG_METADATA!$B$4&lt;&gt;"OR+EX",--(DATOS!$G2807=CONFIG_METADATA!$B$4),IF(DATOS!$G2807="EX",1,IF(DATOS!$G2807="OR",--(COUNTIFS(nNIA,DATOS!$A2807,nCURSO,DATOS!$D2807,nESPEC,DATOS!$E2807,nASIG,DATOS!$I2807,nEVAL,"EX")=0),0))))</f>
      </c>
      <c r="H2807">
        <f>IF(DATOS!$G2807&lt;&gt;"EX",0,--(COUNTIFS(nNIA,DATOS!$A2807,nCURSO,DATOS!$D2807,nESPEC,DATOS!$E2807,nASIG,DATOS!$I2807,nEVAL,"OR")=0))</f>
      </c>
      <c r="I2807">
        <f>IF(DATOS!$I2807="","",IFERROR(VLOOKUP(DATOS!$I2807,CONFIG_ASIGNATURAS!$B$2:$J$91,9,FALSE()),""))</f>
      </c>
    </row>
    <row r="2808">
      <c r="F2808">
        <f>IF(DATOS!$A2808="","",DATOS!$A2808&amp;"|"&amp;DATOS!$D2808&amp;"|"&amp;DATOS!$E2808&amp;"|"&amp;DATOS!$I2808)</f>
      </c>
      <c r="G2808">
        <f>IF(DATOS!$A2808="",0,IF(CONFIG_METADATA!$B$4&lt;&gt;"OR+EX",--(DATOS!$G2808=CONFIG_METADATA!$B$4),IF(DATOS!$G2808="EX",1,IF(DATOS!$G2808="OR",--(COUNTIFS(nNIA,DATOS!$A2808,nCURSO,DATOS!$D2808,nESPEC,DATOS!$E2808,nASIG,DATOS!$I2808,nEVAL,"EX")=0),0))))</f>
      </c>
      <c r="H2808">
        <f>IF(DATOS!$G2808&lt;&gt;"EX",0,--(COUNTIFS(nNIA,DATOS!$A2808,nCURSO,DATOS!$D2808,nESPEC,DATOS!$E2808,nASIG,DATOS!$I2808,nEVAL,"OR")=0))</f>
      </c>
      <c r="I2808">
        <f>IF(DATOS!$I2808="","",IFERROR(VLOOKUP(DATOS!$I2808,CONFIG_ASIGNATURAS!$B$2:$J$91,9,FALSE()),""))</f>
      </c>
    </row>
    <row r="2809">
      <c r="F2809">
        <f>IF(DATOS!$A2809="","",DATOS!$A2809&amp;"|"&amp;DATOS!$D2809&amp;"|"&amp;DATOS!$E2809&amp;"|"&amp;DATOS!$I2809)</f>
      </c>
      <c r="G2809">
        <f>IF(DATOS!$A2809="",0,IF(CONFIG_METADATA!$B$4&lt;&gt;"OR+EX",--(DATOS!$G2809=CONFIG_METADATA!$B$4),IF(DATOS!$G2809="EX",1,IF(DATOS!$G2809="OR",--(COUNTIFS(nNIA,DATOS!$A2809,nCURSO,DATOS!$D2809,nESPEC,DATOS!$E2809,nASIG,DATOS!$I2809,nEVAL,"EX")=0),0))))</f>
      </c>
      <c r="H2809">
        <f>IF(DATOS!$G2809&lt;&gt;"EX",0,--(COUNTIFS(nNIA,DATOS!$A2809,nCURSO,DATOS!$D2809,nESPEC,DATOS!$E2809,nASIG,DATOS!$I2809,nEVAL,"OR")=0))</f>
      </c>
      <c r="I2809">
        <f>IF(DATOS!$I2809="","",IFERROR(VLOOKUP(DATOS!$I2809,CONFIG_ASIGNATURAS!$B$2:$J$91,9,FALSE()),""))</f>
      </c>
    </row>
    <row r="2810">
      <c r="F2810">
        <f>IF(DATOS!$A2810="","",DATOS!$A2810&amp;"|"&amp;DATOS!$D2810&amp;"|"&amp;DATOS!$E2810&amp;"|"&amp;DATOS!$I2810)</f>
      </c>
      <c r="G2810">
        <f>IF(DATOS!$A2810="",0,IF(CONFIG_METADATA!$B$4&lt;&gt;"OR+EX",--(DATOS!$G2810=CONFIG_METADATA!$B$4),IF(DATOS!$G2810="EX",1,IF(DATOS!$G2810="OR",--(COUNTIFS(nNIA,DATOS!$A2810,nCURSO,DATOS!$D2810,nESPEC,DATOS!$E2810,nASIG,DATOS!$I2810,nEVAL,"EX")=0),0))))</f>
      </c>
      <c r="H2810">
        <f>IF(DATOS!$G2810&lt;&gt;"EX",0,--(COUNTIFS(nNIA,DATOS!$A2810,nCURSO,DATOS!$D2810,nESPEC,DATOS!$E2810,nASIG,DATOS!$I2810,nEVAL,"OR")=0))</f>
      </c>
      <c r="I2810">
        <f>IF(DATOS!$I2810="","",IFERROR(VLOOKUP(DATOS!$I2810,CONFIG_ASIGNATURAS!$B$2:$J$91,9,FALSE()),""))</f>
      </c>
    </row>
    <row r="2811">
      <c r="F2811">
        <f>IF(DATOS!$A2811="","",DATOS!$A2811&amp;"|"&amp;DATOS!$D2811&amp;"|"&amp;DATOS!$E2811&amp;"|"&amp;DATOS!$I2811)</f>
      </c>
      <c r="G2811">
        <f>IF(DATOS!$A2811="",0,IF(CONFIG_METADATA!$B$4&lt;&gt;"OR+EX",--(DATOS!$G2811=CONFIG_METADATA!$B$4),IF(DATOS!$G2811="EX",1,IF(DATOS!$G2811="OR",--(COUNTIFS(nNIA,DATOS!$A2811,nCURSO,DATOS!$D2811,nESPEC,DATOS!$E2811,nASIG,DATOS!$I2811,nEVAL,"EX")=0),0))))</f>
      </c>
      <c r="H2811">
        <f>IF(DATOS!$G2811&lt;&gt;"EX",0,--(COUNTIFS(nNIA,DATOS!$A2811,nCURSO,DATOS!$D2811,nESPEC,DATOS!$E2811,nASIG,DATOS!$I2811,nEVAL,"OR")=0))</f>
      </c>
      <c r="I2811">
        <f>IF(DATOS!$I2811="","",IFERROR(VLOOKUP(DATOS!$I2811,CONFIG_ASIGNATURAS!$B$2:$J$91,9,FALSE()),""))</f>
      </c>
    </row>
    <row r="2812">
      <c r="F2812">
        <f>IF(DATOS!$A2812="","",DATOS!$A2812&amp;"|"&amp;DATOS!$D2812&amp;"|"&amp;DATOS!$E2812&amp;"|"&amp;DATOS!$I2812)</f>
      </c>
      <c r="G2812">
        <f>IF(DATOS!$A2812="",0,IF(CONFIG_METADATA!$B$4&lt;&gt;"OR+EX",--(DATOS!$G2812=CONFIG_METADATA!$B$4),IF(DATOS!$G2812="EX",1,IF(DATOS!$G2812="OR",--(COUNTIFS(nNIA,DATOS!$A2812,nCURSO,DATOS!$D2812,nESPEC,DATOS!$E2812,nASIG,DATOS!$I2812,nEVAL,"EX")=0),0))))</f>
      </c>
      <c r="H2812">
        <f>IF(DATOS!$G2812&lt;&gt;"EX",0,--(COUNTIFS(nNIA,DATOS!$A2812,nCURSO,DATOS!$D2812,nESPEC,DATOS!$E2812,nASIG,DATOS!$I2812,nEVAL,"OR")=0))</f>
      </c>
      <c r="I2812">
        <f>IF(DATOS!$I2812="","",IFERROR(VLOOKUP(DATOS!$I2812,CONFIG_ASIGNATURAS!$B$2:$J$91,9,FALSE()),""))</f>
      </c>
    </row>
    <row r="2813">
      <c r="F2813">
        <f>IF(DATOS!$A2813="","",DATOS!$A2813&amp;"|"&amp;DATOS!$D2813&amp;"|"&amp;DATOS!$E2813&amp;"|"&amp;DATOS!$I2813)</f>
      </c>
      <c r="G2813">
        <f>IF(DATOS!$A2813="",0,IF(CONFIG_METADATA!$B$4&lt;&gt;"OR+EX",--(DATOS!$G2813=CONFIG_METADATA!$B$4),IF(DATOS!$G2813="EX",1,IF(DATOS!$G2813="OR",--(COUNTIFS(nNIA,DATOS!$A2813,nCURSO,DATOS!$D2813,nESPEC,DATOS!$E2813,nASIG,DATOS!$I2813,nEVAL,"EX")=0),0))))</f>
      </c>
      <c r="H2813">
        <f>IF(DATOS!$G2813&lt;&gt;"EX",0,--(COUNTIFS(nNIA,DATOS!$A2813,nCURSO,DATOS!$D2813,nESPEC,DATOS!$E2813,nASIG,DATOS!$I2813,nEVAL,"OR")=0))</f>
      </c>
      <c r="I2813">
        <f>IF(DATOS!$I2813="","",IFERROR(VLOOKUP(DATOS!$I2813,CONFIG_ASIGNATURAS!$B$2:$J$91,9,FALSE()),""))</f>
      </c>
    </row>
    <row r="2814">
      <c r="F2814">
        <f>IF(DATOS!$A2814="","",DATOS!$A2814&amp;"|"&amp;DATOS!$D2814&amp;"|"&amp;DATOS!$E2814&amp;"|"&amp;DATOS!$I2814)</f>
      </c>
      <c r="G2814">
        <f>IF(DATOS!$A2814="",0,IF(CONFIG_METADATA!$B$4&lt;&gt;"OR+EX",--(DATOS!$G2814=CONFIG_METADATA!$B$4),IF(DATOS!$G2814="EX",1,IF(DATOS!$G2814="OR",--(COUNTIFS(nNIA,DATOS!$A2814,nCURSO,DATOS!$D2814,nESPEC,DATOS!$E2814,nASIG,DATOS!$I2814,nEVAL,"EX")=0),0))))</f>
      </c>
      <c r="H2814">
        <f>IF(DATOS!$G2814&lt;&gt;"EX",0,--(COUNTIFS(nNIA,DATOS!$A2814,nCURSO,DATOS!$D2814,nESPEC,DATOS!$E2814,nASIG,DATOS!$I2814,nEVAL,"OR")=0))</f>
      </c>
      <c r="I2814">
        <f>IF(DATOS!$I2814="","",IFERROR(VLOOKUP(DATOS!$I2814,CONFIG_ASIGNATURAS!$B$2:$J$91,9,FALSE()),""))</f>
      </c>
    </row>
    <row r="2815">
      <c r="F2815">
        <f>IF(DATOS!$A2815="","",DATOS!$A2815&amp;"|"&amp;DATOS!$D2815&amp;"|"&amp;DATOS!$E2815&amp;"|"&amp;DATOS!$I2815)</f>
      </c>
      <c r="G2815">
        <f>IF(DATOS!$A2815="",0,IF(CONFIG_METADATA!$B$4&lt;&gt;"OR+EX",--(DATOS!$G2815=CONFIG_METADATA!$B$4),IF(DATOS!$G2815="EX",1,IF(DATOS!$G2815="OR",--(COUNTIFS(nNIA,DATOS!$A2815,nCURSO,DATOS!$D2815,nESPEC,DATOS!$E2815,nASIG,DATOS!$I2815,nEVAL,"EX")=0),0))))</f>
      </c>
      <c r="H2815">
        <f>IF(DATOS!$G2815&lt;&gt;"EX",0,--(COUNTIFS(nNIA,DATOS!$A2815,nCURSO,DATOS!$D2815,nESPEC,DATOS!$E2815,nASIG,DATOS!$I2815,nEVAL,"OR")=0))</f>
      </c>
      <c r="I2815">
        <f>IF(DATOS!$I2815="","",IFERROR(VLOOKUP(DATOS!$I2815,CONFIG_ASIGNATURAS!$B$2:$J$91,9,FALSE()),""))</f>
      </c>
    </row>
    <row r="2816">
      <c r="F2816">
        <f>IF(DATOS!$A2816="","",DATOS!$A2816&amp;"|"&amp;DATOS!$D2816&amp;"|"&amp;DATOS!$E2816&amp;"|"&amp;DATOS!$I2816)</f>
      </c>
      <c r="G2816">
        <f>IF(DATOS!$A2816="",0,IF(CONFIG_METADATA!$B$4&lt;&gt;"OR+EX",--(DATOS!$G2816=CONFIG_METADATA!$B$4),IF(DATOS!$G2816="EX",1,IF(DATOS!$G2816="OR",--(COUNTIFS(nNIA,DATOS!$A2816,nCURSO,DATOS!$D2816,nESPEC,DATOS!$E2816,nASIG,DATOS!$I2816,nEVAL,"EX")=0),0))))</f>
      </c>
      <c r="H2816">
        <f>IF(DATOS!$G2816&lt;&gt;"EX",0,--(COUNTIFS(nNIA,DATOS!$A2816,nCURSO,DATOS!$D2816,nESPEC,DATOS!$E2816,nASIG,DATOS!$I2816,nEVAL,"OR")=0))</f>
      </c>
      <c r="I2816">
        <f>IF(DATOS!$I2816="","",IFERROR(VLOOKUP(DATOS!$I2816,CONFIG_ASIGNATURAS!$B$2:$J$91,9,FALSE()),""))</f>
      </c>
    </row>
    <row r="2817">
      <c r="F2817">
        <f>IF(DATOS!$A2817="","",DATOS!$A2817&amp;"|"&amp;DATOS!$D2817&amp;"|"&amp;DATOS!$E2817&amp;"|"&amp;DATOS!$I2817)</f>
      </c>
      <c r="G2817">
        <f>IF(DATOS!$A2817="",0,IF(CONFIG_METADATA!$B$4&lt;&gt;"OR+EX",--(DATOS!$G2817=CONFIG_METADATA!$B$4),IF(DATOS!$G2817="EX",1,IF(DATOS!$G2817="OR",--(COUNTIFS(nNIA,DATOS!$A2817,nCURSO,DATOS!$D2817,nESPEC,DATOS!$E2817,nASIG,DATOS!$I2817,nEVAL,"EX")=0),0))))</f>
      </c>
      <c r="H2817">
        <f>IF(DATOS!$G2817&lt;&gt;"EX",0,--(COUNTIFS(nNIA,DATOS!$A2817,nCURSO,DATOS!$D2817,nESPEC,DATOS!$E2817,nASIG,DATOS!$I2817,nEVAL,"OR")=0))</f>
      </c>
      <c r="I2817">
        <f>IF(DATOS!$I2817="","",IFERROR(VLOOKUP(DATOS!$I2817,CONFIG_ASIGNATURAS!$B$2:$J$91,9,FALSE()),""))</f>
      </c>
    </row>
    <row r="2818">
      <c r="F2818">
        <f>IF(DATOS!$A2818="","",DATOS!$A2818&amp;"|"&amp;DATOS!$D2818&amp;"|"&amp;DATOS!$E2818&amp;"|"&amp;DATOS!$I2818)</f>
      </c>
      <c r="G2818">
        <f>IF(DATOS!$A2818="",0,IF(CONFIG_METADATA!$B$4&lt;&gt;"OR+EX",--(DATOS!$G2818=CONFIG_METADATA!$B$4),IF(DATOS!$G2818="EX",1,IF(DATOS!$G2818="OR",--(COUNTIFS(nNIA,DATOS!$A2818,nCURSO,DATOS!$D2818,nESPEC,DATOS!$E2818,nASIG,DATOS!$I2818,nEVAL,"EX")=0),0))))</f>
      </c>
      <c r="H2818">
        <f>IF(DATOS!$G2818&lt;&gt;"EX",0,--(COUNTIFS(nNIA,DATOS!$A2818,nCURSO,DATOS!$D2818,nESPEC,DATOS!$E2818,nASIG,DATOS!$I2818,nEVAL,"OR")=0))</f>
      </c>
      <c r="I2818">
        <f>IF(DATOS!$I2818="","",IFERROR(VLOOKUP(DATOS!$I2818,CONFIG_ASIGNATURAS!$B$2:$J$91,9,FALSE()),""))</f>
      </c>
    </row>
    <row r="2819">
      <c r="F2819">
        <f>IF(DATOS!$A2819="","",DATOS!$A2819&amp;"|"&amp;DATOS!$D2819&amp;"|"&amp;DATOS!$E2819&amp;"|"&amp;DATOS!$I2819)</f>
      </c>
      <c r="G2819">
        <f>IF(DATOS!$A2819="",0,IF(CONFIG_METADATA!$B$4&lt;&gt;"OR+EX",--(DATOS!$G2819=CONFIG_METADATA!$B$4),IF(DATOS!$G2819="EX",1,IF(DATOS!$G2819="OR",--(COUNTIFS(nNIA,DATOS!$A2819,nCURSO,DATOS!$D2819,nESPEC,DATOS!$E2819,nASIG,DATOS!$I2819,nEVAL,"EX")=0),0))))</f>
      </c>
      <c r="H2819">
        <f>IF(DATOS!$G2819&lt;&gt;"EX",0,--(COUNTIFS(nNIA,DATOS!$A2819,nCURSO,DATOS!$D2819,nESPEC,DATOS!$E2819,nASIG,DATOS!$I2819,nEVAL,"OR")=0))</f>
      </c>
      <c r="I2819">
        <f>IF(DATOS!$I2819="","",IFERROR(VLOOKUP(DATOS!$I2819,CONFIG_ASIGNATURAS!$B$2:$J$91,9,FALSE()),""))</f>
      </c>
    </row>
    <row r="2820">
      <c r="F2820">
        <f>IF(DATOS!$A2820="","",DATOS!$A2820&amp;"|"&amp;DATOS!$D2820&amp;"|"&amp;DATOS!$E2820&amp;"|"&amp;DATOS!$I2820)</f>
      </c>
      <c r="G2820">
        <f>IF(DATOS!$A2820="",0,IF(CONFIG_METADATA!$B$4&lt;&gt;"OR+EX",--(DATOS!$G2820=CONFIG_METADATA!$B$4),IF(DATOS!$G2820="EX",1,IF(DATOS!$G2820="OR",--(COUNTIFS(nNIA,DATOS!$A2820,nCURSO,DATOS!$D2820,nESPEC,DATOS!$E2820,nASIG,DATOS!$I2820,nEVAL,"EX")=0),0))))</f>
      </c>
      <c r="H2820">
        <f>IF(DATOS!$G2820&lt;&gt;"EX",0,--(COUNTIFS(nNIA,DATOS!$A2820,nCURSO,DATOS!$D2820,nESPEC,DATOS!$E2820,nASIG,DATOS!$I2820,nEVAL,"OR")=0))</f>
      </c>
      <c r="I2820">
        <f>IF(DATOS!$I2820="","",IFERROR(VLOOKUP(DATOS!$I2820,CONFIG_ASIGNATURAS!$B$2:$J$91,9,FALSE()),""))</f>
      </c>
    </row>
    <row r="2821">
      <c r="F2821">
        <f>IF(DATOS!$A2821="","",DATOS!$A2821&amp;"|"&amp;DATOS!$D2821&amp;"|"&amp;DATOS!$E2821&amp;"|"&amp;DATOS!$I2821)</f>
      </c>
      <c r="G2821">
        <f>IF(DATOS!$A2821="",0,IF(CONFIG_METADATA!$B$4&lt;&gt;"OR+EX",--(DATOS!$G2821=CONFIG_METADATA!$B$4),IF(DATOS!$G2821="EX",1,IF(DATOS!$G2821="OR",--(COUNTIFS(nNIA,DATOS!$A2821,nCURSO,DATOS!$D2821,nESPEC,DATOS!$E2821,nASIG,DATOS!$I2821,nEVAL,"EX")=0),0))))</f>
      </c>
      <c r="H2821">
        <f>IF(DATOS!$G2821&lt;&gt;"EX",0,--(COUNTIFS(nNIA,DATOS!$A2821,nCURSO,DATOS!$D2821,nESPEC,DATOS!$E2821,nASIG,DATOS!$I2821,nEVAL,"OR")=0))</f>
      </c>
      <c r="I2821">
        <f>IF(DATOS!$I2821="","",IFERROR(VLOOKUP(DATOS!$I2821,CONFIG_ASIGNATURAS!$B$2:$J$91,9,FALSE()),""))</f>
      </c>
    </row>
    <row r="2822">
      <c r="F2822">
        <f>IF(DATOS!$A2822="","",DATOS!$A2822&amp;"|"&amp;DATOS!$D2822&amp;"|"&amp;DATOS!$E2822&amp;"|"&amp;DATOS!$I2822)</f>
      </c>
      <c r="G2822">
        <f>IF(DATOS!$A2822="",0,IF(CONFIG_METADATA!$B$4&lt;&gt;"OR+EX",--(DATOS!$G2822=CONFIG_METADATA!$B$4),IF(DATOS!$G2822="EX",1,IF(DATOS!$G2822="OR",--(COUNTIFS(nNIA,DATOS!$A2822,nCURSO,DATOS!$D2822,nESPEC,DATOS!$E2822,nASIG,DATOS!$I2822,nEVAL,"EX")=0),0))))</f>
      </c>
      <c r="H2822">
        <f>IF(DATOS!$G2822&lt;&gt;"EX",0,--(COUNTIFS(nNIA,DATOS!$A2822,nCURSO,DATOS!$D2822,nESPEC,DATOS!$E2822,nASIG,DATOS!$I2822,nEVAL,"OR")=0))</f>
      </c>
      <c r="I2822">
        <f>IF(DATOS!$I2822="","",IFERROR(VLOOKUP(DATOS!$I2822,CONFIG_ASIGNATURAS!$B$2:$J$91,9,FALSE()),""))</f>
      </c>
    </row>
    <row r="2823">
      <c r="F2823">
        <f>IF(DATOS!$A2823="","",DATOS!$A2823&amp;"|"&amp;DATOS!$D2823&amp;"|"&amp;DATOS!$E2823&amp;"|"&amp;DATOS!$I2823)</f>
      </c>
      <c r="G2823">
        <f>IF(DATOS!$A2823="",0,IF(CONFIG_METADATA!$B$4&lt;&gt;"OR+EX",--(DATOS!$G2823=CONFIG_METADATA!$B$4),IF(DATOS!$G2823="EX",1,IF(DATOS!$G2823="OR",--(COUNTIFS(nNIA,DATOS!$A2823,nCURSO,DATOS!$D2823,nESPEC,DATOS!$E2823,nASIG,DATOS!$I2823,nEVAL,"EX")=0),0))))</f>
      </c>
      <c r="H2823">
        <f>IF(DATOS!$G2823&lt;&gt;"EX",0,--(COUNTIFS(nNIA,DATOS!$A2823,nCURSO,DATOS!$D2823,nESPEC,DATOS!$E2823,nASIG,DATOS!$I2823,nEVAL,"OR")=0))</f>
      </c>
      <c r="I2823">
        <f>IF(DATOS!$I2823="","",IFERROR(VLOOKUP(DATOS!$I2823,CONFIG_ASIGNATURAS!$B$2:$J$91,9,FALSE()),""))</f>
      </c>
    </row>
    <row r="2824">
      <c r="F2824">
        <f>IF(DATOS!$A2824="","",DATOS!$A2824&amp;"|"&amp;DATOS!$D2824&amp;"|"&amp;DATOS!$E2824&amp;"|"&amp;DATOS!$I2824)</f>
      </c>
      <c r="G2824">
        <f>IF(DATOS!$A2824="",0,IF(CONFIG_METADATA!$B$4&lt;&gt;"OR+EX",--(DATOS!$G2824=CONFIG_METADATA!$B$4),IF(DATOS!$G2824="EX",1,IF(DATOS!$G2824="OR",--(COUNTIFS(nNIA,DATOS!$A2824,nCURSO,DATOS!$D2824,nESPEC,DATOS!$E2824,nASIG,DATOS!$I2824,nEVAL,"EX")=0),0))))</f>
      </c>
      <c r="H2824">
        <f>IF(DATOS!$G2824&lt;&gt;"EX",0,--(COUNTIFS(nNIA,DATOS!$A2824,nCURSO,DATOS!$D2824,nESPEC,DATOS!$E2824,nASIG,DATOS!$I2824,nEVAL,"OR")=0))</f>
      </c>
      <c r="I2824">
        <f>IF(DATOS!$I2824="","",IFERROR(VLOOKUP(DATOS!$I2824,CONFIG_ASIGNATURAS!$B$2:$J$91,9,FALSE()),""))</f>
      </c>
    </row>
    <row r="2825">
      <c r="F2825">
        <f>IF(DATOS!$A2825="","",DATOS!$A2825&amp;"|"&amp;DATOS!$D2825&amp;"|"&amp;DATOS!$E2825&amp;"|"&amp;DATOS!$I2825)</f>
      </c>
      <c r="G2825">
        <f>IF(DATOS!$A2825="",0,IF(CONFIG_METADATA!$B$4&lt;&gt;"OR+EX",--(DATOS!$G2825=CONFIG_METADATA!$B$4),IF(DATOS!$G2825="EX",1,IF(DATOS!$G2825="OR",--(COUNTIFS(nNIA,DATOS!$A2825,nCURSO,DATOS!$D2825,nESPEC,DATOS!$E2825,nASIG,DATOS!$I2825,nEVAL,"EX")=0),0))))</f>
      </c>
      <c r="H2825">
        <f>IF(DATOS!$G2825&lt;&gt;"EX",0,--(COUNTIFS(nNIA,DATOS!$A2825,nCURSO,DATOS!$D2825,nESPEC,DATOS!$E2825,nASIG,DATOS!$I2825,nEVAL,"OR")=0))</f>
      </c>
      <c r="I2825">
        <f>IF(DATOS!$I2825="","",IFERROR(VLOOKUP(DATOS!$I2825,CONFIG_ASIGNATURAS!$B$2:$J$91,9,FALSE()),""))</f>
      </c>
    </row>
    <row r="2826">
      <c r="F2826">
        <f>IF(DATOS!$A2826="","",DATOS!$A2826&amp;"|"&amp;DATOS!$D2826&amp;"|"&amp;DATOS!$E2826&amp;"|"&amp;DATOS!$I2826)</f>
      </c>
      <c r="G2826">
        <f>IF(DATOS!$A2826="",0,IF(CONFIG_METADATA!$B$4&lt;&gt;"OR+EX",--(DATOS!$G2826=CONFIG_METADATA!$B$4),IF(DATOS!$G2826="EX",1,IF(DATOS!$G2826="OR",--(COUNTIFS(nNIA,DATOS!$A2826,nCURSO,DATOS!$D2826,nESPEC,DATOS!$E2826,nASIG,DATOS!$I2826,nEVAL,"EX")=0),0))))</f>
      </c>
      <c r="H2826">
        <f>IF(DATOS!$G2826&lt;&gt;"EX",0,--(COUNTIFS(nNIA,DATOS!$A2826,nCURSO,DATOS!$D2826,nESPEC,DATOS!$E2826,nASIG,DATOS!$I2826,nEVAL,"OR")=0))</f>
      </c>
      <c r="I2826">
        <f>IF(DATOS!$I2826="","",IFERROR(VLOOKUP(DATOS!$I2826,CONFIG_ASIGNATURAS!$B$2:$J$91,9,FALSE()),""))</f>
      </c>
    </row>
    <row r="2827">
      <c r="F2827">
        <f>IF(DATOS!$A2827="","",DATOS!$A2827&amp;"|"&amp;DATOS!$D2827&amp;"|"&amp;DATOS!$E2827&amp;"|"&amp;DATOS!$I2827)</f>
      </c>
      <c r="G2827">
        <f>IF(DATOS!$A2827="",0,IF(CONFIG_METADATA!$B$4&lt;&gt;"OR+EX",--(DATOS!$G2827=CONFIG_METADATA!$B$4),IF(DATOS!$G2827="EX",1,IF(DATOS!$G2827="OR",--(COUNTIFS(nNIA,DATOS!$A2827,nCURSO,DATOS!$D2827,nESPEC,DATOS!$E2827,nASIG,DATOS!$I2827,nEVAL,"EX")=0),0))))</f>
      </c>
      <c r="H2827">
        <f>IF(DATOS!$G2827&lt;&gt;"EX",0,--(COUNTIFS(nNIA,DATOS!$A2827,nCURSO,DATOS!$D2827,nESPEC,DATOS!$E2827,nASIG,DATOS!$I2827,nEVAL,"OR")=0))</f>
      </c>
      <c r="I2827">
        <f>IF(DATOS!$I2827="","",IFERROR(VLOOKUP(DATOS!$I2827,CONFIG_ASIGNATURAS!$B$2:$J$91,9,FALSE()),""))</f>
      </c>
    </row>
    <row r="2828">
      <c r="F2828">
        <f>IF(DATOS!$A2828="","",DATOS!$A2828&amp;"|"&amp;DATOS!$D2828&amp;"|"&amp;DATOS!$E2828&amp;"|"&amp;DATOS!$I2828)</f>
      </c>
      <c r="G2828">
        <f>IF(DATOS!$A2828="",0,IF(CONFIG_METADATA!$B$4&lt;&gt;"OR+EX",--(DATOS!$G2828=CONFIG_METADATA!$B$4),IF(DATOS!$G2828="EX",1,IF(DATOS!$G2828="OR",--(COUNTIFS(nNIA,DATOS!$A2828,nCURSO,DATOS!$D2828,nESPEC,DATOS!$E2828,nASIG,DATOS!$I2828,nEVAL,"EX")=0),0))))</f>
      </c>
      <c r="H2828">
        <f>IF(DATOS!$G2828&lt;&gt;"EX",0,--(COUNTIFS(nNIA,DATOS!$A2828,nCURSO,DATOS!$D2828,nESPEC,DATOS!$E2828,nASIG,DATOS!$I2828,nEVAL,"OR")=0))</f>
      </c>
      <c r="I2828">
        <f>IF(DATOS!$I2828="","",IFERROR(VLOOKUP(DATOS!$I2828,CONFIG_ASIGNATURAS!$B$2:$J$91,9,FALSE()),""))</f>
      </c>
    </row>
    <row r="2829">
      <c r="F2829">
        <f>IF(DATOS!$A2829="","",DATOS!$A2829&amp;"|"&amp;DATOS!$D2829&amp;"|"&amp;DATOS!$E2829&amp;"|"&amp;DATOS!$I2829)</f>
      </c>
      <c r="G2829">
        <f>IF(DATOS!$A2829="",0,IF(CONFIG_METADATA!$B$4&lt;&gt;"OR+EX",--(DATOS!$G2829=CONFIG_METADATA!$B$4),IF(DATOS!$G2829="EX",1,IF(DATOS!$G2829="OR",--(COUNTIFS(nNIA,DATOS!$A2829,nCURSO,DATOS!$D2829,nESPEC,DATOS!$E2829,nASIG,DATOS!$I2829,nEVAL,"EX")=0),0))))</f>
      </c>
      <c r="H2829">
        <f>IF(DATOS!$G2829&lt;&gt;"EX",0,--(COUNTIFS(nNIA,DATOS!$A2829,nCURSO,DATOS!$D2829,nESPEC,DATOS!$E2829,nASIG,DATOS!$I2829,nEVAL,"OR")=0))</f>
      </c>
      <c r="I2829">
        <f>IF(DATOS!$I2829="","",IFERROR(VLOOKUP(DATOS!$I2829,CONFIG_ASIGNATURAS!$B$2:$J$91,9,FALSE()),""))</f>
      </c>
    </row>
    <row r="2830">
      <c r="F2830">
        <f>IF(DATOS!$A2830="","",DATOS!$A2830&amp;"|"&amp;DATOS!$D2830&amp;"|"&amp;DATOS!$E2830&amp;"|"&amp;DATOS!$I2830)</f>
      </c>
      <c r="G2830">
        <f>IF(DATOS!$A2830="",0,IF(CONFIG_METADATA!$B$4&lt;&gt;"OR+EX",--(DATOS!$G2830=CONFIG_METADATA!$B$4),IF(DATOS!$G2830="EX",1,IF(DATOS!$G2830="OR",--(COUNTIFS(nNIA,DATOS!$A2830,nCURSO,DATOS!$D2830,nESPEC,DATOS!$E2830,nASIG,DATOS!$I2830,nEVAL,"EX")=0),0))))</f>
      </c>
      <c r="H2830">
        <f>IF(DATOS!$G2830&lt;&gt;"EX",0,--(COUNTIFS(nNIA,DATOS!$A2830,nCURSO,DATOS!$D2830,nESPEC,DATOS!$E2830,nASIG,DATOS!$I2830,nEVAL,"OR")=0))</f>
      </c>
      <c r="I2830">
        <f>IF(DATOS!$I2830="","",IFERROR(VLOOKUP(DATOS!$I2830,CONFIG_ASIGNATURAS!$B$2:$J$91,9,FALSE()),""))</f>
      </c>
    </row>
    <row r="2831">
      <c r="F2831">
        <f>IF(DATOS!$A2831="","",DATOS!$A2831&amp;"|"&amp;DATOS!$D2831&amp;"|"&amp;DATOS!$E2831&amp;"|"&amp;DATOS!$I2831)</f>
      </c>
      <c r="G2831">
        <f>IF(DATOS!$A2831="",0,IF(CONFIG_METADATA!$B$4&lt;&gt;"OR+EX",--(DATOS!$G2831=CONFIG_METADATA!$B$4),IF(DATOS!$G2831="EX",1,IF(DATOS!$G2831="OR",--(COUNTIFS(nNIA,DATOS!$A2831,nCURSO,DATOS!$D2831,nESPEC,DATOS!$E2831,nASIG,DATOS!$I2831,nEVAL,"EX")=0),0))))</f>
      </c>
      <c r="H2831">
        <f>IF(DATOS!$G2831&lt;&gt;"EX",0,--(COUNTIFS(nNIA,DATOS!$A2831,nCURSO,DATOS!$D2831,nESPEC,DATOS!$E2831,nASIG,DATOS!$I2831,nEVAL,"OR")=0))</f>
      </c>
      <c r="I2831">
        <f>IF(DATOS!$I2831="","",IFERROR(VLOOKUP(DATOS!$I2831,CONFIG_ASIGNATURAS!$B$2:$J$91,9,FALSE()),""))</f>
      </c>
    </row>
    <row r="2832">
      <c r="F2832">
        <f>IF(DATOS!$A2832="","",DATOS!$A2832&amp;"|"&amp;DATOS!$D2832&amp;"|"&amp;DATOS!$E2832&amp;"|"&amp;DATOS!$I2832)</f>
      </c>
      <c r="G2832">
        <f>IF(DATOS!$A2832="",0,IF(CONFIG_METADATA!$B$4&lt;&gt;"OR+EX",--(DATOS!$G2832=CONFIG_METADATA!$B$4),IF(DATOS!$G2832="EX",1,IF(DATOS!$G2832="OR",--(COUNTIFS(nNIA,DATOS!$A2832,nCURSO,DATOS!$D2832,nESPEC,DATOS!$E2832,nASIG,DATOS!$I2832,nEVAL,"EX")=0),0))))</f>
      </c>
      <c r="H2832">
        <f>IF(DATOS!$G2832&lt;&gt;"EX",0,--(COUNTIFS(nNIA,DATOS!$A2832,nCURSO,DATOS!$D2832,nESPEC,DATOS!$E2832,nASIG,DATOS!$I2832,nEVAL,"OR")=0))</f>
      </c>
      <c r="I2832">
        <f>IF(DATOS!$I2832="","",IFERROR(VLOOKUP(DATOS!$I2832,CONFIG_ASIGNATURAS!$B$2:$J$91,9,FALSE()),""))</f>
      </c>
    </row>
    <row r="2833">
      <c r="F2833">
        <f>IF(DATOS!$A2833="","",DATOS!$A2833&amp;"|"&amp;DATOS!$D2833&amp;"|"&amp;DATOS!$E2833&amp;"|"&amp;DATOS!$I2833)</f>
      </c>
      <c r="G2833">
        <f>IF(DATOS!$A2833="",0,IF(CONFIG_METADATA!$B$4&lt;&gt;"OR+EX",--(DATOS!$G2833=CONFIG_METADATA!$B$4),IF(DATOS!$G2833="EX",1,IF(DATOS!$G2833="OR",--(COUNTIFS(nNIA,DATOS!$A2833,nCURSO,DATOS!$D2833,nESPEC,DATOS!$E2833,nASIG,DATOS!$I2833,nEVAL,"EX")=0),0))))</f>
      </c>
      <c r="H2833">
        <f>IF(DATOS!$G2833&lt;&gt;"EX",0,--(COUNTIFS(nNIA,DATOS!$A2833,nCURSO,DATOS!$D2833,nESPEC,DATOS!$E2833,nASIG,DATOS!$I2833,nEVAL,"OR")=0))</f>
      </c>
      <c r="I2833">
        <f>IF(DATOS!$I2833="","",IFERROR(VLOOKUP(DATOS!$I2833,CONFIG_ASIGNATURAS!$B$2:$J$91,9,FALSE()),""))</f>
      </c>
    </row>
    <row r="2834">
      <c r="F2834">
        <f>IF(DATOS!$A2834="","",DATOS!$A2834&amp;"|"&amp;DATOS!$D2834&amp;"|"&amp;DATOS!$E2834&amp;"|"&amp;DATOS!$I2834)</f>
      </c>
      <c r="G2834">
        <f>IF(DATOS!$A2834="",0,IF(CONFIG_METADATA!$B$4&lt;&gt;"OR+EX",--(DATOS!$G2834=CONFIG_METADATA!$B$4),IF(DATOS!$G2834="EX",1,IF(DATOS!$G2834="OR",--(COUNTIFS(nNIA,DATOS!$A2834,nCURSO,DATOS!$D2834,nESPEC,DATOS!$E2834,nASIG,DATOS!$I2834,nEVAL,"EX")=0),0))))</f>
      </c>
      <c r="H2834">
        <f>IF(DATOS!$G2834&lt;&gt;"EX",0,--(COUNTIFS(nNIA,DATOS!$A2834,nCURSO,DATOS!$D2834,nESPEC,DATOS!$E2834,nASIG,DATOS!$I2834,nEVAL,"OR")=0))</f>
      </c>
      <c r="I2834">
        <f>IF(DATOS!$I2834="","",IFERROR(VLOOKUP(DATOS!$I2834,CONFIG_ASIGNATURAS!$B$2:$J$91,9,FALSE()),""))</f>
      </c>
    </row>
    <row r="2835">
      <c r="F2835">
        <f>IF(DATOS!$A2835="","",DATOS!$A2835&amp;"|"&amp;DATOS!$D2835&amp;"|"&amp;DATOS!$E2835&amp;"|"&amp;DATOS!$I2835)</f>
      </c>
      <c r="G2835">
        <f>IF(DATOS!$A2835="",0,IF(CONFIG_METADATA!$B$4&lt;&gt;"OR+EX",--(DATOS!$G2835=CONFIG_METADATA!$B$4),IF(DATOS!$G2835="EX",1,IF(DATOS!$G2835="OR",--(COUNTIFS(nNIA,DATOS!$A2835,nCURSO,DATOS!$D2835,nESPEC,DATOS!$E2835,nASIG,DATOS!$I2835,nEVAL,"EX")=0),0))))</f>
      </c>
      <c r="H2835">
        <f>IF(DATOS!$G2835&lt;&gt;"EX",0,--(COUNTIFS(nNIA,DATOS!$A2835,nCURSO,DATOS!$D2835,nESPEC,DATOS!$E2835,nASIG,DATOS!$I2835,nEVAL,"OR")=0))</f>
      </c>
      <c r="I2835">
        <f>IF(DATOS!$I2835="","",IFERROR(VLOOKUP(DATOS!$I2835,CONFIG_ASIGNATURAS!$B$2:$J$91,9,FALSE()),""))</f>
      </c>
    </row>
    <row r="2836">
      <c r="F2836">
        <f>IF(DATOS!$A2836="","",DATOS!$A2836&amp;"|"&amp;DATOS!$D2836&amp;"|"&amp;DATOS!$E2836&amp;"|"&amp;DATOS!$I2836)</f>
      </c>
      <c r="G2836">
        <f>IF(DATOS!$A2836="",0,IF(CONFIG_METADATA!$B$4&lt;&gt;"OR+EX",--(DATOS!$G2836=CONFIG_METADATA!$B$4),IF(DATOS!$G2836="EX",1,IF(DATOS!$G2836="OR",--(COUNTIFS(nNIA,DATOS!$A2836,nCURSO,DATOS!$D2836,nESPEC,DATOS!$E2836,nASIG,DATOS!$I2836,nEVAL,"EX")=0),0))))</f>
      </c>
      <c r="H2836">
        <f>IF(DATOS!$G2836&lt;&gt;"EX",0,--(COUNTIFS(nNIA,DATOS!$A2836,nCURSO,DATOS!$D2836,nESPEC,DATOS!$E2836,nASIG,DATOS!$I2836,nEVAL,"OR")=0))</f>
      </c>
      <c r="I2836">
        <f>IF(DATOS!$I2836="","",IFERROR(VLOOKUP(DATOS!$I2836,CONFIG_ASIGNATURAS!$B$2:$J$91,9,FALSE()),""))</f>
      </c>
    </row>
    <row r="2837">
      <c r="F2837">
        <f>IF(DATOS!$A2837="","",DATOS!$A2837&amp;"|"&amp;DATOS!$D2837&amp;"|"&amp;DATOS!$E2837&amp;"|"&amp;DATOS!$I2837)</f>
      </c>
      <c r="G2837">
        <f>IF(DATOS!$A2837="",0,IF(CONFIG_METADATA!$B$4&lt;&gt;"OR+EX",--(DATOS!$G2837=CONFIG_METADATA!$B$4),IF(DATOS!$G2837="EX",1,IF(DATOS!$G2837="OR",--(COUNTIFS(nNIA,DATOS!$A2837,nCURSO,DATOS!$D2837,nESPEC,DATOS!$E2837,nASIG,DATOS!$I2837,nEVAL,"EX")=0),0))))</f>
      </c>
      <c r="H2837">
        <f>IF(DATOS!$G2837&lt;&gt;"EX",0,--(COUNTIFS(nNIA,DATOS!$A2837,nCURSO,DATOS!$D2837,nESPEC,DATOS!$E2837,nASIG,DATOS!$I2837,nEVAL,"OR")=0))</f>
      </c>
      <c r="I2837">
        <f>IF(DATOS!$I2837="","",IFERROR(VLOOKUP(DATOS!$I2837,CONFIG_ASIGNATURAS!$B$2:$J$91,9,FALSE()),""))</f>
      </c>
    </row>
    <row r="2838">
      <c r="F2838">
        <f>IF(DATOS!$A2838="","",DATOS!$A2838&amp;"|"&amp;DATOS!$D2838&amp;"|"&amp;DATOS!$E2838&amp;"|"&amp;DATOS!$I2838)</f>
      </c>
      <c r="G2838">
        <f>IF(DATOS!$A2838="",0,IF(CONFIG_METADATA!$B$4&lt;&gt;"OR+EX",--(DATOS!$G2838=CONFIG_METADATA!$B$4),IF(DATOS!$G2838="EX",1,IF(DATOS!$G2838="OR",--(COUNTIFS(nNIA,DATOS!$A2838,nCURSO,DATOS!$D2838,nESPEC,DATOS!$E2838,nASIG,DATOS!$I2838,nEVAL,"EX")=0),0))))</f>
      </c>
      <c r="H2838">
        <f>IF(DATOS!$G2838&lt;&gt;"EX",0,--(COUNTIFS(nNIA,DATOS!$A2838,nCURSO,DATOS!$D2838,nESPEC,DATOS!$E2838,nASIG,DATOS!$I2838,nEVAL,"OR")=0))</f>
      </c>
      <c r="I2838">
        <f>IF(DATOS!$I2838="","",IFERROR(VLOOKUP(DATOS!$I2838,CONFIG_ASIGNATURAS!$B$2:$J$91,9,FALSE()),""))</f>
      </c>
    </row>
    <row r="2839">
      <c r="F2839">
        <f>IF(DATOS!$A2839="","",DATOS!$A2839&amp;"|"&amp;DATOS!$D2839&amp;"|"&amp;DATOS!$E2839&amp;"|"&amp;DATOS!$I2839)</f>
      </c>
      <c r="G2839">
        <f>IF(DATOS!$A2839="",0,IF(CONFIG_METADATA!$B$4&lt;&gt;"OR+EX",--(DATOS!$G2839=CONFIG_METADATA!$B$4),IF(DATOS!$G2839="EX",1,IF(DATOS!$G2839="OR",--(COUNTIFS(nNIA,DATOS!$A2839,nCURSO,DATOS!$D2839,nESPEC,DATOS!$E2839,nASIG,DATOS!$I2839,nEVAL,"EX")=0),0))))</f>
      </c>
      <c r="H2839">
        <f>IF(DATOS!$G2839&lt;&gt;"EX",0,--(COUNTIFS(nNIA,DATOS!$A2839,nCURSO,DATOS!$D2839,nESPEC,DATOS!$E2839,nASIG,DATOS!$I2839,nEVAL,"OR")=0))</f>
      </c>
      <c r="I2839">
        <f>IF(DATOS!$I2839="","",IFERROR(VLOOKUP(DATOS!$I2839,CONFIG_ASIGNATURAS!$B$2:$J$91,9,FALSE()),""))</f>
      </c>
    </row>
    <row r="2840">
      <c r="F2840">
        <f>IF(DATOS!$A2840="","",DATOS!$A2840&amp;"|"&amp;DATOS!$D2840&amp;"|"&amp;DATOS!$E2840&amp;"|"&amp;DATOS!$I2840)</f>
      </c>
      <c r="G2840">
        <f>IF(DATOS!$A2840="",0,IF(CONFIG_METADATA!$B$4&lt;&gt;"OR+EX",--(DATOS!$G2840=CONFIG_METADATA!$B$4),IF(DATOS!$G2840="EX",1,IF(DATOS!$G2840="OR",--(COUNTIFS(nNIA,DATOS!$A2840,nCURSO,DATOS!$D2840,nESPEC,DATOS!$E2840,nASIG,DATOS!$I2840,nEVAL,"EX")=0),0))))</f>
      </c>
      <c r="H2840">
        <f>IF(DATOS!$G2840&lt;&gt;"EX",0,--(COUNTIFS(nNIA,DATOS!$A2840,nCURSO,DATOS!$D2840,nESPEC,DATOS!$E2840,nASIG,DATOS!$I2840,nEVAL,"OR")=0))</f>
      </c>
      <c r="I2840">
        <f>IF(DATOS!$I2840="","",IFERROR(VLOOKUP(DATOS!$I2840,CONFIG_ASIGNATURAS!$B$2:$J$91,9,FALSE()),""))</f>
      </c>
    </row>
    <row r="2841">
      <c r="F2841">
        <f>IF(DATOS!$A2841="","",DATOS!$A2841&amp;"|"&amp;DATOS!$D2841&amp;"|"&amp;DATOS!$E2841&amp;"|"&amp;DATOS!$I2841)</f>
      </c>
      <c r="G2841">
        <f>IF(DATOS!$A2841="",0,IF(CONFIG_METADATA!$B$4&lt;&gt;"OR+EX",--(DATOS!$G2841=CONFIG_METADATA!$B$4),IF(DATOS!$G2841="EX",1,IF(DATOS!$G2841="OR",--(COUNTIFS(nNIA,DATOS!$A2841,nCURSO,DATOS!$D2841,nESPEC,DATOS!$E2841,nASIG,DATOS!$I2841,nEVAL,"EX")=0),0))))</f>
      </c>
      <c r="H2841">
        <f>IF(DATOS!$G2841&lt;&gt;"EX",0,--(COUNTIFS(nNIA,DATOS!$A2841,nCURSO,DATOS!$D2841,nESPEC,DATOS!$E2841,nASIG,DATOS!$I2841,nEVAL,"OR")=0))</f>
      </c>
      <c r="I2841">
        <f>IF(DATOS!$I2841="","",IFERROR(VLOOKUP(DATOS!$I2841,CONFIG_ASIGNATURAS!$B$2:$J$91,9,FALSE()),""))</f>
      </c>
    </row>
    <row r="2842">
      <c r="F2842">
        <f>IF(DATOS!$A2842="","",DATOS!$A2842&amp;"|"&amp;DATOS!$D2842&amp;"|"&amp;DATOS!$E2842&amp;"|"&amp;DATOS!$I2842)</f>
      </c>
      <c r="G2842">
        <f>IF(DATOS!$A2842="",0,IF(CONFIG_METADATA!$B$4&lt;&gt;"OR+EX",--(DATOS!$G2842=CONFIG_METADATA!$B$4),IF(DATOS!$G2842="EX",1,IF(DATOS!$G2842="OR",--(COUNTIFS(nNIA,DATOS!$A2842,nCURSO,DATOS!$D2842,nESPEC,DATOS!$E2842,nASIG,DATOS!$I2842,nEVAL,"EX")=0),0))))</f>
      </c>
      <c r="H2842">
        <f>IF(DATOS!$G2842&lt;&gt;"EX",0,--(COUNTIFS(nNIA,DATOS!$A2842,nCURSO,DATOS!$D2842,nESPEC,DATOS!$E2842,nASIG,DATOS!$I2842,nEVAL,"OR")=0))</f>
      </c>
      <c r="I2842">
        <f>IF(DATOS!$I2842="","",IFERROR(VLOOKUP(DATOS!$I2842,CONFIG_ASIGNATURAS!$B$2:$J$91,9,FALSE()),""))</f>
      </c>
    </row>
    <row r="2843">
      <c r="F2843">
        <f>IF(DATOS!$A2843="","",DATOS!$A2843&amp;"|"&amp;DATOS!$D2843&amp;"|"&amp;DATOS!$E2843&amp;"|"&amp;DATOS!$I2843)</f>
      </c>
      <c r="G2843">
        <f>IF(DATOS!$A2843="",0,IF(CONFIG_METADATA!$B$4&lt;&gt;"OR+EX",--(DATOS!$G2843=CONFIG_METADATA!$B$4),IF(DATOS!$G2843="EX",1,IF(DATOS!$G2843="OR",--(COUNTIFS(nNIA,DATOS!$A2843,nCURSO,DATOS!$D2843,nESPEC,DATOS!$E2843,nASIG,DATOS!$I2843,nEVAL,"EX")=0),0))))</f>
      </c>
      <c r="H2843">
        <f>IF(DATOS!$G2843&lt;&gt;"EX",0,--(COUNTIFS(nNIA,DATOS!$A2843,nCURSO,DATOS!$D2843,nESPEC,DATOS!$E2843,nASIG,DATOS!$I2843,nEVAL,"OR")=0))</f>
      </c>
      <c r="I2843">
        <f>IF(DATOS!$I2843="","",IFERROR(VLOOKUP(DATOS!$I2843,CONFIG_ASIGNATURAS!$B$2:$J$91,9,FALSE()),""))</f>
      </c>
    </row>
    <row r="2844">
      <c r="F2844">
        <f>IF(DATOS!$A2844="","",DATOS!$A2844&amp;"|"&amp;DATOS!$D2844&amp;"|"&amp;DATOS!$E2844&amp;"|"&amp;DATOS!$I2844)</f>
      </c>
      <c r="G2844">
        <f>IF(DATOS!$A2844="",0,IF(CONFIG_METADATA!$B$4&lt;&gt;"OR+EX",--(DATOS!$G2844=CONFIG_METADATA!$B$4),IF(DATOS!$G2844="EX",1,IF(DATOS!$G2844="OR",--(COUNTIFS(nNIA,DATOS!$A2844,nCURSO,DATOS!$D2844,nESPEC,DATOS!$E2844,nASIG,DATOS!$I2844,nEVAL,"EX")=0),0))))</f>
      </c>
      <c r="H2844">
        <f>IF(DATOS!$G2844&lt;&gt;"EX",0,--(COUNTIFS(nNIA,DATOS!$A2844,nCURSO,DATOS!$D2844,nESPEC,DATOS!$E2844,nASIG,DATOS!$I2844,nEVAL,"OR")=0))</f>
      </c>
      <c r="I2844">
        <f>IF(DATOS!$I2844="","",IFERROR(VLOOKUP(DATOS!$I2844,CONFIG_ASIGNATURAS!$B$2:$J$91,9,FALSE()),""))</f>
      </c>
    </row>
    <row r="2845">
      <c r="F2845">
        <f>IF(DATOS!$A2845="","",DATOS!$A2845&amp;"|"&amp;DATOS!$D2845&amp;"|"&amp;DATOS!$E2845&amp;"|"&amp;DATOS!$I2845)</f>
      </c>
      <c r="G2845">
        <f>IF(DATOS!$A2845="",0,IF(CONFIG_METADATA!$B$4&lt;&gt;"OR+EX",--(DATOS!$G2845=CONFIG_METADATA!$B$4),IF(DATOS!$G2845="EX",1,IF(DATOS!$G2845="OR",--(COUNTIFS(nNIA,DATOS!$A2845,nCURSO,DATOS!$D2845,nESPEC,DATOS!$E2845,nASIG,DATOS!$I2845,nEVAL,"EX")=0),0))))</f>
      </c>
      <c r="H2845">
        <f>IF(DATOS!$G2845&lt;&gt;"EX",0,--(COUNTIFS(nNIA,DATOS!$A2845,nCURSO,DATOS!$D2845,nESPEC,DATOS!$E2845,nASIG,DATOS!$I2845,nEVAL,"OR")=0))</f>
      </c>
      <c r="I2845">
        <f>IF(DATOS!$I2845="","",IFERROR(VLOOKUP(DATOS!$I2845,CONFIG_ASIGNATURAS!$B$2:$J$91,9,FALSE()),""))</f>
      </c>
    </row>
    <row r="2846">
      <c r="F2846">
        <f>IF(DATOS!$A2846="","",DATOS!$A2846&amp;"|"&amp;DATOS!$D2846&amp;"|"&amp;DATOS!$E2846&amp;"|"&amp;DATOS!$I2846)</f>
      </c>
      <c r="G2846">
        <f>IF(DATOS!$A2846="",0,IF(CONFIG_METADATA!$B$4&lt;&gt;"OR+EX",--(DATOS!$G2846=CONFIG_METADATA!$B$4),IF(DATOS!$G2846="EX",1,IF(DATOS!$G2846="OR",--(COUNTIFS(nNIA,DATOS!$A2846,nCURSO,DATOS!$D2846,nESPEC,DATOS!$E2846,nASIG,DATOS!$I2846,nEVAL,"EX")=0),0))))</f>
      </c>
      <c r="H2846">
        <f>IF(DATOS!$G2846&lt;&gt;"EX",0,--(COUNTIFS(nNIA,DATOS!$A2846,nCURSO,DATOS!$D2846,nESPEC,DATOS!$E2846,nASIG,DATOS!$I2846,nEVAL,"OR")=0))</f>
      </c>
      <c r="I2846">
        <f>IF(DATOS!$I2846="","",IFERROR(VLOOKUP(DATOS!$I2846,CONFIG_ASIGNATURAS!$B$2:$J$91,9,FALSE()),""))</f>
      </c>
    </row>
    <row r="2847">
      <c r="F2847">
        <f>IF(DATOS!$A2847="","",DATOS!$A2847&amp;"|"&amp;DATOS!$D2847&amp;"|"&amp;DATOS!$E2847&amp;"|"&amp;DATOS!$I2847)</f>
      </c>
      <c r="G2847">
        <f>IF(DATOS!$A2847="",0,IF(CONFIG_METADATA!$B$4&lt;&gt;"OR+EX",--(DATOS!$G2847=CONFIG_METADATA!$B$4),IF(DATOS!$G2847="EX",1,IF(DATOS!$G2847="OR",--(COUNTIFS(nNIA,DATOS!$A2847,nCURSO,DATOS!$D2847,nESPEC,DATOS!$E2847,nASIG,DATOS!$I2847,nEVAL,"EX")=0),0))))</f>
      </c>
      <c r="H2847">
        <f>IF(DATOS!$G2847&lt;&gt;"EX",0,--(COUNTIFS(nNIA,DATOS!$A2847,nCURSO,DATOS!$D2847,nESPEC,DATOS!$E2847,nASIG,DATOS!$I2847,nEVAL,"OR")=0))</f>
      </c>
      <c r="I2847">
        <f>IF(DATOS!$I2847="","",IFERROR(VLOOKUP(DATOS!$I2847,CONFIG_ASIGNATURAS!$B$2:$J$91,9,FALSE()),""))</f>
      </c>
    </row>
    <row r="2848">
      <c r="F2848">
        <f>IF(DATOS!$A2848="","",DATOS!$A2848&amp;"|"&amp;DATOS!$D2848&amp;"|"&amp;DATOS!$E2848&amp;"|"&amp;DATOS!$I2848)</f>
      </c>
      <c r="G2848">
        <f>IF(DATOS!$A2848="",0,IF(CONFIG_METADATA!$B$4&lt;&gt;"OR+EX",--(DATOS!$G2848=CONFIG_METADATA!$B$4),IF(DATOS!$G2848="EX",1,IF(DATOS!$G2848="OR",--(COUNTIFS(nNIA,DATOS!$A2848,nCURSO,DATOS!$D2848,nESPEC,DATOS!$E2848,nASIG,DATOS!$I2848,nEVAL,"EX")=0),0))))</f>
      </c>
      <c r="H2848">
        <f>IF(DATOS!$G2848&lt;&gt;"EX",0,--(COUNTIFS(nNIA,DATOS!$A2848,nCURSO,DATOS!$D2848,nESPEC,DATOS!$E2848,nASIG,DATOS!$I2848,nEVAL,"OR")=0))</f>
      </c>
      <c r="I2848">
        <f>IF(DATOS!$I2848="","",IFERROR(VLOOKUP(DATOS!$I2848,CONFIG_ASIGNATURAS!$B$2:$J$91,9,FALSE()),""))</f>
      </c>
    </row>
    <row r="2849">
      <c r="F2849">
        <f>IF(DATOS!$A2849="","",DATOS!$A2849&amp;"|"&amp;DATOS!$D2849&amp;"|"&amp;DATOS!$E2849&amp;"|"&amp;DATOS!$I2849)</f>
      </c>
      <c r="G2849">
        <f>IF(DATOS!$A2849="",0,IF(CONFIG_METADATA!$B$4&lt;&gt;"OR+EX",--(DATOS!$G2849=CONFIG_METADATA!$B$4),IF(DATOS!$G2849="EX",1,IF(DATOS!$G2849="OR",--(COUNTIFS(nNIA,DATOS!$A2849,nCURSO,DATOS!$D2849,nESPEC,DATOS!$E2849,nASIG,DATOS!$I2849,nEVAL,"EX")=0),0))))</f>
      </c>
      <c r="H2849">
        <f>IF(DATOS!$G2849&lt;&gt;"EX",0,--(COUNTIFS(nNIA,DATOS!$A2849,nCURSO,DATOS!$D2849,nESPEC,DATOS!$E2849,nASIG,DATOS!$I2849,nEVAL,"OR")=0))</f>
      </c>
      <c r="I2849">
        <f>IF(DATOS!$I2849="","",IFERROR(VLOOKUP(DATOS!$I2849,CONFIG_ASIGNATURAS!$B$2:$J$91,9,FALSE()),""))</f>
      </c>
    </row>
    <row r="2850">
      <c r="F2850">
        <f>IF(DATOS!$A2850="","",DATOS!$A2850&amp;"|"&amp;DATOS!$D2850&amp;"|"&amp;DATOS!$E2850&amp;"|"&amp;DATOS!$I2850)</f>
      </c>
      <c r="G2850">
        <f>IF(DATOS!$A2850="",0,IF(CONFIG_METADATA!$B$4&lt;&gt;"OR+EX",--(DATOS!$G2850=CONFIG_METADATA!$B$4),IF(DATOS!$G2850="EX",1,IF(DATOS!$G2850="OR",--(COUNTIFS(nNIA,DATOS!$A2850,nCURSO,DATOS!$D2850,nESPEC,DATOS!$E2850,nASIG,DATOS!$I2850,nEVAL,"EX")=0),0))))</f>
      </c>
      <c r="H2850">
        <f>IF(DATOS!$G2850&lt;&gt;"EX",0,--(COUNTIFS(nNIA,DATOS!$A2850,nCURSO,DATOS!$D2850,nESPEC,DATOS!$E2850,nASIG,DATOS!$I2850,nEVAL,"OR")=0))</f>
      </c>
      <c r="I2850">
        <f>IF(DATOS!$I2850="","",IFERROR(VLOOKUP(DATOS!$I2850,CONFIG_ASIGNATURAS!$B$2:$J$91,9,FALSE()),""))</f>
      </c>
    </row>
    <row r="2851">
      <c r="F2851">
        <f>IF(DATOS!$A2851="","",DATOS!$A2851&amp;"|"&amp;DATOS!$D2851&amp;"|"&amp;DATOS!$E2851&amp;"|"&amp;DATOS!$I2851)</f>
      </c>
      <c r="G2851">
        <f>IF(DATOS!$A2851="",0,IF(CONFIG_METADATA!$B$4&lt;&gt;"OR+EX",--(DATOS!$G2851=CONFIG_METADATA!$B$4),IF(DATOS!$G2851="EX",1,IF(DATOS!$G2851="OR",--(COUNTIFS(nNIA,DATOS!$A2851,nCURSO,DATOS!$D2851,nESPEC,DATOS!$E2851,nASIG,DATOS!$I2851,nEVAL,"EX")=0),0))))</f>
      </c>
      <c r="H2851">
        <f>IF(DATOS!$G2851&lt;&gt;"EX",0,--(COUNTIFS(nNIA,DATOS!$A2851,nCURSO,DATOS!$D2851,nESPEC,DATOS!$E2851,nASIG,DATOS!$I2851,nEVAL,"OR")=0))</f>
      </c>
      <c r="I2851">
        <f>IF(DATOS!$I2851="","",IFERROR(VLOOKUP(DATOS!$I2851,CONFIG_ASIGNATURAS!$B$2:$J$91,9,FALSE()),""))</f>
      </c>
    </row>
    <row r="2852">
      <c r="F2852">
        <f>IF(DATOS!$A2852="","",DATOS!$A2852&amp;"|"&amp;DATOS!$D2852&amp;"|"&amp;DATOS!$E2852&amp;"|"&amp;DATOS!$I2852)</f>
      </c>
      <c r="G2852">
        <f>IF(DATOS!$A2852="",0,IF(CONFIG_METADATA!$B$4&lt;&gt;"OR+EX",--(DATOS!$G2852=CONFIG_METADATA!$B$4),IF(DATOS!$G2852="EX",1,IF(DATOS!$G2852="OR",--(COUNTIFS(nNIA,DATOS!$A2852,nCURSO,DATOS!$D2852,nESPEC,DATOS!$E2852,nASIG,DATOS!$I2852,nEVAL,"EX")=0),0))))</f>
      </c>
      <c r="H2852">
        <f>IF(DATOS!$G2852&lt;&gt;"EX",0,--(COUNTIFS(nNIA,DATOS!$A2852,nCURSO,DATOS!$D2852,nESPEC,DATOS!$E2852,nASIG,DATOS!$I2852,nEVAL,"OR")=0))</f>
      </c>
      <c r="I2852">
        <f>IF(DATOS!$I2852="","",IFERROR(VLOOKUP(DATOS!$I2852,CONFIG_ASIGNATURAS!$B$2:$J$91,9,FALSE()),""))</f>
      </c>
    </row>
    <row r="2853">
      <c r="F2853">
        <f>IF(DATOS!$A2853="","",DATOS!$A2853&amp;"|"&amp;DATOS!$D2853&amp;"|"&amp;DATOS!$E2853&amp;"|"&amp;DATOS!$I2853)</f>
      </c>
      <c r="G2853">
        <f>IF(DATOS!$A2853="",0,IF(CONFIG_METADATA!$B$4&lt;&gt;"OR+EX",--(DATOS!$G2853=CONFIG_METADATA!$B$4),IF(DATOS!$G2853="EX",1,IF(DATOS!$G2853="OR",--(COUNTIFS(nNIA,DATOS!$A2853,nCURSO,DATOS!$D2853,nESPEC,DATOS!$E2853,nASIG,DATOS!$I2853,nEVAL,"EX")=0),0))))</f>
      </c>
      <c r="H2853">
        <f>IF(DATOS!$G2853&lt;&gt;"EX",0,--(COUNTIFS(nNIA,DATOS!$A2853,nCURSO,DATOS!$D2853,nESPEC,DATOS!$E2853,nASIG,DATOS!$I2853,nEVAL,"OR")=0))</f>
      </c>
      <c r="I2853">
        <f>IF(DATOS!$I2853="","",IFERROR(VLOOKUP(DATOS!$I2853,CONFIG_ASIGNATURAS!$B$2:$J$91,9,FALSE()),""))</f>
      </c>
    </row>
    <row r="2854">
      <c r="F2854">
        <f>IF(DATOS!$A2854="","",DATOS!$A2854&amp;"|"&amp;DATOS!$D2854&amp;"|"&amp;DATOS!$E2854&amp;"|"&amp;DATOS!$I2854)</f>
      </c>
      <c r="G2854">
        <f>IF(DATOS!$A2854="",0,IF(CONFIG_METADATA!$B$4&lt;&gt;"OR+EX",--(DATOS!$G2854=CONFIG_METADATA!$B$4),IF(DATOS!$G2854="EX",1,IF(DATOS!$G2854="OR",--(COUNTIFS(nNIA,DATOS!$A2854,nCURSO,DATOS!$D2854,nESPEC,DATOS!$E2854,nASIG,DATOS!$I2854,nEVAL,"EX")=0),0))))</f>
      </c>
      <c r="H2854">
        <f>IF(DATOS!$G2854&lt;&gt;"EX",0,--(COUNTIFS(nNIA,DATOS!$A2854,nCURSO,DATOS!$D2854,nESPEC,DATOS!$E2854,nASIG,DATOS!$I2854,nEVAL,"OR")=0))</f>
      </c>
      <c r="I2854">
        <f>IF(DATOS!$I2854="","",IFERROR(VLOOKUP(DATOS!$I2854,CONFIG_ASIGNATURAS!$B$2:$J$91,9,FALSE()),""))</f>
      </c>
    </row>
    <row r="2855">
      <c r="F2855">
        <f>IF(DATOS!$A2855="","",DATOS!$A2855&amp;"|"&amp;DATOS!$D2855&amp;"|"&amp;DATOS!$E2855&amp;"|"&amp;DATOS!$I2855)</f>
      </c>
      <c r="G2855">
        <f>IF(DATOS!$A2855="",0,IF(CONFIG_METADATA!$B$4&lt;&gt;"OR+EX",--(DATOS!$G2855=CONFIG_METADATA!$B$4),IF(DATOS!$G2855="EX",1,IF(DATOS!$G2855="OR",--(COUNTIFS(nNIA,DATOS!$A2855,nCURSO,DATOS!$D2855,nESPEC,DATOS!$E2855,nASIG,DATOS!$I2855,nEVAL,"EX")=0),0))))</f>
      </c>
      <c r="H2855">
        <f>IF(DATOS!$G2855&lt;&gt;"EX",0,--(COUNTIFS(nNIA,DATOS!$A2855,nCURSO,DATOS!$D2855,nESPEC,DATOS!$E2855,nASIG,DATOS!$I2855,nEVAL,"OR")=0))</f>
      </c>
      <c r="I2855">
        <f>IF(DATOS!$I2855="","",IFERROR(VLOOKUP(DATOS!$I2855,CONFIG_ASIGNATURAS!$B$2:$J$91,9,FALSE()),""))</f>
      </c>
    </row>
    <row r="2856">
      <c r="F2856">
        <f>IF(DATOS!$A2856="","",DATOS!$A2856&amp;"|"&amp;DATOS!$D2856&amp;"|"&amp;DATOS!$E2856&amp;"|"&amp;DATOS!$I2856)</f>
      </c>
      <c r="G2856">
        <f>IF(DATOS!$A2856="",0,IF(CONFIG_METADATA!$B$4&lt;&gt;"OR+EX",--(DATOS!$G2856=CONFIG_METADATA!$B$4),IF(DATOS!$G2856="EX",1,IF(DATOS!$G2856="OR",--(COUNTIFS(nNIA,DATOS!$A2856,nCURSO,DATOS!$D2856,nESPEC,DATOS!$E2856,nASIG,DATOS!$I2856,nEVAL,"EX")=0),0))))</f>
      </c>
      <c r="H2856">
        <f>IF(DATOS!$G2856&lt;&gt;"EX",0,--(COUNTIFS(nNIA,DATOS!$A2856,nCURSO,DATOS!$D2856,nESPEC,DATOS!$E2856,nASIG,DATOS!$I2856,nEVAL,"OR")=0))</f>
      </c>
      <c r="I2856">
        <f>IF(DATOS!$I2856="","",IFERROR(VLOOKUP(DATOS!$I2856,CONFIG_ASIGNATURAS!$B$2:$J$91,9,FALSE()),""))</f>
      </c>
    </row>
    <row r="2857">
      <c r="F2857">
        <f>IF(DATOS!$A2857="","",DATOS!$A2857&amp;"|"&amp;DATOS!$D2857&amp;"|"&amp;DATOS!$E2857&amp;"|"&amp;DATOS!$I2857)</f>
      </c>
      <c r="G2857">
        <f>IF(DATOS!$A2857="",0,IF(CONFIG_METADATA!$B$4&lt;&gt;"OR+EX",--(DATOS!$G2857=CONFIG_METADATA!$B$4),IF(DATOS!$G2857="EX",1,IF(DATOS!$G2857="OR",--(COUNTIFS(nNIA,DATOS!$A2857,nCURSO,DATOS!$D2857,nESPEC,DATOS!$E2857,nASIG,DATOS!$I2857,nEVAL,"EX")=0),0))))</f>
      </c>
      <c r="H2857">
        <f>IF(DATOS!$G2857&lt;&gt;"EX",0,--(COUNTIFS(nNIA,DATOS!$A2857,nCURSO,DATOS!$D2857,nESPEC,DATOS!$E2857,nASIG,DATOS!$I2857,nEVAL,"OR")=0))</f>
      </c>
      <c r="I2857">
        <f>IF(DATOS!$I2857="","",IFERROR(VLOOKUP(DATOS!$I2857,CONFIG_ASIGNATURAS!$B$2:$J$91,9,FALSE()),""))</f>
      </c>
    </row>
    <row r="2858">
      <c r="F2858">
        <f>IF(DATOS!$A2858="","",DATOS!$A2858&amp;"|"&amp;DATOS!$D2858&amp;"|"&amp;DATOS!$E2858&amp;"|"&amp;DATOS!$I2858)</f>
      </c>
      <c r="G2858">
        <f>IF(DATOS!$A2858="",0,IF(CONFIG_METADATA!$B$4&lt;&gt;"OR+EX",--(DATOS!$G2858=CONFIG_METADATA!$B$4),IF(DATOS!$G2858="EX",1,IF(DATOS!$G2858="OR",--(COUNTIFS(nNIA,DATOS!$A2858,nCURSO,DATOS!$D2858,nESPEC,DATOS!$E2858,nASIG,DATOS!$I2858,nEVAL,"EX")=0),0))))</f>
      </c>
      <c r="H2858">
        <f>IF(DATOS!$G2858&lt;&gt;"EX",0,--(COUNTIFS(nNIA,DATOS!$A2858,nCURSO,DATOS!$D2858,nESPEC,DATOS!$E2858,nASIG,DATOS!$I2858,nEVAL,"OR")=0))</f>
      </c>
      <c r="I2858">
        <f>IF(DATOS!$I2858="","",IFERROR(VLOOKUP(DATOS!$I2858,CONFIG_ASIGNATURAS!$B$2:$J$91,9,FALSE()),""))</f>
      </c>
    </row>
    <row r="2859">
      <c r="F2859">
        <f>IF(DATOS!$A2859="","",DATOS!$A2859&amp;"|"&amp;DATOS!$D2859&amp;"|"&amp;DATOS!$E2859&amp;"|"&amp;DATOS!$I2859)</f>
      </c>
      <c r="G2859">
        <f>IF(DATOS!$A2859="",0,IF(CONFIG_METADATA!$B$4&lt;&gt;"OR+EX",--(DATOS!$G2859=CONFIG_METADATA!$B$4),IF(DATOS!$G2859="EX",1,IF(DATOS!$G2859="OR",--(COUNTIFS(nNIA,DATOS!$A2859,nCURSO,DATOS!$D2859,nESPEC,DATOS!$E2859,nASIG,DATOS!$I2859,nEVAL,"EX")=0),0))))</f>
      </c>
      <c r="H2859">
        <f>IF(DATOS!$G2859&lt;&gt;"EX",0,--(COUNTIFS(nNIA,DATOS!$A2859,nCURSO,DATOS!$D2859,nESPEC,DATOS!$E2859,nASIG,DATOS!$I2859,nEVAL,"OR")=0))</f>
      </c>
      <c r="I2859">
        <f>IF(DATOS!$I2859="","",IFERROR(VLOOKUP(DATOS!$I2859,CONFIG_ASIGNATURAS!$B$2:$J$91,9,FALSE()),""))</f>
      </c>
    </row>
    <row r="2860">
      <c r="F2860">
        <f>IF(DATOS!$A2860="","",DATOS!$A2860&amp;"|"&amp;DATOS!$D2860&amp;"|"&amp;DATOS!$E2860&amp;"|"&amp;DATOS!$I2860)</f>
      </c>
      <c r="G2860">
        <f>IF(DATOS!$A2860="",0,IF(CONFIG_METADATA!$B$4&lt;&gt;"OR+EX",--(DATOS!$G2860=CONFIG_METADATA!$B$4),IF(DATOS!$G2860="EX",1,IF(DATOS!$G2860="OR",--(COUNTIFS(nNIA,DATOS!$A2860,nCURSO,DATOS!$D2860,nESPEC,DATOS!$E2860,nASIG,DATOS!$I2860,nEVAL,"EX")=0),0))))</f>
      </c>
      <c r="H2860">
        <f>IF(DATOS!$G2860&lt;&gt;"EX",0,--(COUNTIFS(nNIA,DATOS!$A2860,nCURSO,DATOS!$D2860,nESPEC,DATOS!$E2860,nASIG,DATOS!$I2860,nEVAL,"OR")=0))</f>
      </c>
      <c r="I2860">
        <f>IF(DATOS!$I2860="","",IFERROR(VLOOKUP(DATOS!$I2860,CONFIG_ASIGNATURAS!$B$2:$J$91,9,FALSE()),""))</f>
      </c>
    </row>
    <row r="2861">
      <c r="F2861">
        <f>IF(DATOS!$A2861="","",DATOS!$A2861&amp;"|"&amp;DATOS!$D2861&amp;"|"&amp;DATOS!$E2861&amp;"|"&amp;DATOS!$I2861)</f>
      </c>
      <c r="G2861">
        <f>IF(DATOS!$A2861="",0,IF(CONFIG_METADATA!$B$4&lt;&gt;"OR+EX",--(DATOS!$G2861=CONFIG_METADATA!$B$4),IF(DATOS!$G2861="EX",1,IF(DATOS!$G2861="OR",--(COUNTIFS(nNIA,DATOS!$A2861,nCURSO,DATOS!$D2861,nESPEC,DATOS!$E2861,nASIG,DATOS!$I2861,nEVAL,"EX")=0),0))))</f>
      </c>
      <c r="H2861">
        <f>IF(DATOS!$G2861&lt;&gt;"EX",0,--(COUNTIFS(nNIA,DATOS!$A2861,nCURSO,DATOS!$D2861,nESPEC,DATOS!$E2861,nASIG,DATOS!$I2861,nEVAL,"OR")=0))</f>
      </c>
      <c r="I2861">
        <f>IF(DATOS!$I2861="","",IFERROR(VLOOKUP(DATOS!$I2861,CONFIG_ASIGNATURAS!$B$2:$J$91,9,FALSE()),""))</f>
      </c>
    </row>
    <row r="2862">
      <c r="F2862">
        <f>IF(DATOS!$A2862="","",DATOS!$A2862&amp;"|"&amp;DATOS!$D2862&amp;"|"&amp;DATOS!$E2862&amp;"|"&amp;DATOS!$I2862)</f>
      </c>
      <c r="G2862">
        <f>IF(DATOS!$A2862="",0,IF(CONFIG_METADATA!$B$4&lt;&gt;"OR+EX",--(DATOS!$G2862=CONFIG_METADATA!$B$4),IF(DATOS!$G2862="EX",1,IF(DATOS!$G2862="OR",--(COUNTIFS(nNIA,DATOS!$A2862,nCURSO,DATOS!$D2862,nESPEC,DATOS!$E2862,nASIG,DATOS!$I2862,nEVAL,"EX")=0),0))))</f>
      </c>
      <c r="H2862">
        <f>IF(DATOS!$G2862&lt;&gt;"EX",0,--(COUNTIFS(nNIA,DATOS!$A2862,nCURSO,DATOS!$D2862,nESPEC,DATOS!$E2862,nASIG,DATOS!$I2862,nEVAL,"OR")=0))</f>
      </c>
      <c r="I2862">
        <f>IF(DATOS!$I2862="","",IFERROR(VLOOKUP(DATOS!$I2862,CONFIG_ASIGNATURAS!$B$2:$J$91,9,FALSE()),""))</f>
      </c>
    </row>
    <row r="2863">
      <c r="F2863">
        <f>IF(DATOS!$A2863="","",DATOS!$A2863&amp;"|"&amp;DATOS!$D2863&amp;"|"&amp;DATOS!$E2863&amp;"|"&amp;DATOS!$I2863)</f>
      </c>
      <c r="G2863">
        <f>IF(DATOS!$A2863="",0,IF(CONFIG_METADATA!$B$4&lt;&gt;"OR+EX",--(DATOS!$G2863=CONFIG_METADATA!$B$4),IF(DATOS!$G2863="EX",1,IF(DATOS!$G2863="OR",--(COUNTIFS(nNIA,DATOS!$A2863,nCURSO,DATOS!$D2863,nESPEC,DATOS!$E2863,nASIG,DATOS!$I2863,nEVAL,"EX")=0),0))))</f>
      </c>
      <c r="H2863">
        <f>IF(DATOS!$G2863&lt;&gt;"EX",0,--(COUNTIFS(nNIA,DATOS!$A2863,nCURSO,DATOS!$D2863,nESPEC,DATOS!$E2863,nASIG,DATOS!$I2863,nEVAL,"OR")=0))</f>
      </c>
      <c r="I2863">
        <f>IF(DATOS!$I2863="","",IFERROR(VLOOKUP(DATOS!$I2863,CONFIG_ASIGNATURAS!$B$2:$J$91,9,FALSE()),""))</f>
      </c>
    </row>
    <row r="2864">
      <c r="F2864">
        <f>IF(DATOS!$A2864="","",DATOS!$A2864&amp;"|"&amp;DATOS!$D2864&amp;"|"&amp;DATOS!$E2864&amp;"|"&amp;DATOS!$I2864)</f>
      </c>
      <c r="G2864">
        <f>IF(DATOS!$A2864="",0,IF(CONFIG_METADATA!$B$4&lt;&gt;"OR+EX",--(DATOS!$G2864=CONFIG_METADATA!$B$4),IF(DATOS!$G2864="EX",1,IF(DATOS!$G2864="OR",--(COUNTIFS(nNIA,DATOS!$A2864,nCURSO,DATOS!$D2864,nESPEC,DATOS!$E2864,nASIG,DATOS!$I2864,nEVAL,"EX")=0),0))))</f>
      </c>
      <c r="H2864">
        <f>IF(DATOS!$G2864&lt;&gt;"EX",0,--(COUNTIFS(nNIA,DATOS!$A2864,nCURSO,DATOS!$D2864,nESPEC,DATOS!$E2864,nASIG,DATOS!$I2864,nEVAL,"OR")=0))</f>
      </c>
      <c r="I2864">
        <f>IF(DATOS!$I2864="","",IFERROR(VLOOKUP(DATOS!$I2864,CONFIG_ASIGNATURAS!$B$2:$J$91,9,FALSE()),""))</f>
      </c>
    </row>
    <row r="2865">
      <c r="F2865">
        <f>IF(DATOS!$A2865="","",DATOS!$A2865&amp;"|"&amp;DATOS!$D2865&amp;"|"&amp;DATOS!$E2865&amp;"|"&amp;DATOS!$I2865)</f>
      </c>
      <c r="G2865">
        <f>IF(DATOS!$A2865="",0,IF(CONFIG_METADATA!$B$4&lt;&gt;"OR+EX",--(DATOS!$G2865=CONFIG_METADATA!$B$4),IF(DATOS!$G2865="EX",1,IF(DATOS!$G2865="OR",--(COUNTIFS(nNIA,DATOS!$A2865,nCURSO,DATOS!$D2865,nESPEC,DATOS!$E2865,nASIG,DATOS!$I2865,nEVAL,"EX")=0),0))))</f>
      </c>
      <c r="H2865">
        <f>IF(DATOS!$G2865&lt;&gt;"EX",0,--(COUNTIFS(nNIA,DATOS!$A2865,nCURSO,DATOS!$D2865,nESPEC,DATOS!$E2865,nASIG,DATOS!$I2865,nEVAL,"OR")=0))</f>
      </c>
      <c r="I2865">
        <f>IF(DATOS!$I2865="","",IFERROR(VLOOKUP(DATOS!$I2865,CONFIG_ASIGNATURAS!$B$2:$J$91,9,FALSE()),""))</f>
      </c>
    </row>
    <row r="2866">
      <c r="F2866">
        <f>IF(DATOS!$A2866="","",DATOS!$A2866&amp;"|"&amp;DATOS!$D2866&amp;"|"&amp;DATOS!$E2866&amp;"|"&amp;DATOS!$I2866)</f>
      </c>
      <c r="G2866">
        <f>IF(DATOS!$A2866="",0,IF(CONFIG_METADATA!$B$4&lt;&gt;"OR+EX",--(DATOS!$G2866=CONFIG_METADATA!$B$4),IF(DATOS!$G2866="EX",1,IF(DATOS!$G2866="OR",--(COUNTIFS(nNIA,DATOS!$A2866,nCURSO,DATOS!$D2866,nESPEC,DATOS!$E2866,nASIG,DATOS!$I2866,nEVAL,"EX")=0),0))))</f>
      </c>
      <c r="H2866">
        <f>IF(DATOS!$G2866&lt;&gt;"EX",0,--(COUNTIFS(nNIA,DATOS!$A2866,nCURSO,DATOS!$D2866,nESPEC,DATOS!$E2866,nASIG,DATOS!$I2866,nEVAL,"OR")=0))</f>
      </c>
      <c r="I2866">
        <f>IF(DATOS!$I2866="","",IFERROR(VLOOKUP(DATOS!$I2866,CONFIG_ASIGNATURAS!$B$2:$J$91,9,FALSE()),""))</f>
      </c>
    </row>
    <row r="2867">
      <c r="F2867">
        <f>IF(DATOS!$A2867="","",DATOS!$A2867&amp;"|"&amp;DATOS!$D2867&amp;"|"&amp;DATOS!$E2867&amp;"|"&amp;DATOS!$I2867)</f>
      </c>
      <c r="G2867">
        <f>IF(DATOS!$A2867="",0,IF(CONFIG_METADATA!$B$4&lt;&gt;"OR+EX",--(DATOS!$G2867=CONFIG_METADATA!$B$4),IF(DATOS!$G2867="EX",1,IF(DATOS!$G2867="OR",--(COUNTIFS(nNIA,DATOS!$A2867,nCURSO,DATOS!$D2867,nESPEC,DATOS!$E2867,nASIG,DATOS!$I2867,nEVAL,"EX")=0),0))))</f>
      </c>
      <c r="H2867">
        <f>IF(DATOS!$G2867&lt;&gt;"EX",0,--(COUNTIFS(nNIA,DATOS!$A2867,nCURSO,DATOS!$D2867,nESPEC,DATOS!$E2867,nASIG,DATOS!$I2867,nEVAL,"OR")=0))</f>
      </c>
      <c r="I2867">
        <f>IF(DATOS!$I2867="","",IFERROR(VLOOKUP(DATOS!$I2867,CONFIG_ASIGNATURAS!$B$2:$J$91,9,FALSE()),""))</f>
      </c>
    </row>
    <row r="2868">
      <c r="F2868">
        <f>IF(DATOS!$A2868="","",DATOS!$A2868&amp;"|"&amp;DATOS!$D2868&amp;"|"&amp;DATOS!$E2868&amp;"|"&amp;DATOS!$I2868)</f>
      </c>
      <c r="G2868">
        <f>IF(DATOS!$A2868="",0,IF(CONFIG_METADATA!$B$4&lt;&gt;"OR+EX",--(DATOS!$G2868=CONFIG_METADATA!$B$4),IF(DATOS!$G2868="EX",1,IF(DATOS!$G2868="OR",--(COUNTIFS(nNIA,DATOS!$A2868,nCURSO,DATOS!$D2868,nESPEC,DATOS!$E2868,nASIG,DATOS!$I2868,nEVAL,"EX")=0),0))))</f>
      </c>
      <c r="H2868">
        <f>IF(DATOS!$G2868&lt;&gt;"EX",0,--(COUNTIFS(nNIA,DATOS!$A2868,nCURSO,DATOS!$D2868,nESPEC,DATOS!$E2868,nASIG,DATOS!$I2868,nEVAL,"OR")=0))</f>
      </c>
      <c r="I2868">
        <f>IF(DATOS!$I2868="","",IFERROR(VLOOKUP(DATOS!$I2868,CONFIG_ASIGNATURAS!$B$2:$J$91,9,FALSE()),""))</f>
      </c>
    </row>
    <row r="2869">
      <c r="F2869">
        <f>IF(DATOS!$A2869="","",DATOS!$A2869&amp;"|"&amp;DATOS!$D2869&amp;"|"&amp;DATOS!$E2869&amp;"|"&amp;DATOS!$I2869)</f>
      </c>
      <c r="G2869">
        <f>IF(DATOS!$A2869="",0,IF(CONFIG_METADATA!$B$4&lt;&gt;"OR+EX",--(DATOS!$G2869=CONFIG_METADATA!$B$4),IF(DATOS!$G2869="EX",1,IF(DATOS!$G2869="OR",--(COUNTIFS(nNIA,DATOS!$A2869,nCURSO,DATOS!$D2869,nESPEC,DATOS!$E2869,nASIG,DATOS!$I2869,nEVAL,"EX")=0),0))))</f>
      </c>
      <c r="H2869">
        <f>IF(DATOS!$G2869&lt;&gt;"EX",0,--(COUNTIFS(nNIA,DATOS!$A2869,nCURSO,DATOS!$D2869,nESPEC,DATOS!$E2869,nASIG,DATOS!$I2869,nEVAL,"OR")=0))</f>
      </c>
      <c r="I2869">
        <f>IF(DATOS!$I2869="","",IFERROR(VLOOKUP(DATOS!$I2869,CONFIG_ASIGNATURAS!$B$2:$J$91,9,FALSE()),""))</f>
      </c>
    </row>
    <row r="2870">
      <c r="F2870">
        <f>IF(DATOS!$A2870="","",DATOS!$A2870&amp;"|"&amp;DATOS!$D2870&amp;"|"&amp;DATOS!$E2870&amp;"|"&amp;DATOS!$I2870)</f>
      </c>
      <c r="G2870">
        <f>IF(DATOS!$A2870="",0,IF(CONFIG_METADATA!$B$4&lt;&gt;"OR+EX",--(DATOS!$G2870=CONFIG_METADATA!$B$4),IF(DATOS!$G2870="EX",1,IF(DATOS!$G2870="OR",--(COUNTIFS(nNIA,DATOS!$A2870,nCURSO,DATOS!$D2870,nESPEC,DATOS!$E2870,nASIG,DATOS!$I2870,nEVAL,"EX")=0),0))))</f>
      </c>
      <c r="H2870">
        <f>IF(DATOS!$G2870&lt;&gt;"EX",0,--(COUNTIFS(nNIA,DATOS!$A2870,nCURSO,DATOS!$D2870,nESPEC,DATOS!$E2870,nASIG,DATOS!$I2870,nEVAL,"OR")=0))</f>
      </c>
      <c r="I2870">
        <f>IF(DATOS!$I2870="","",IFERROR(VLOOKUP(DATOS!$I2870,CONFIG_ASIGNATURAS!$B$2:$J$91,9,FALSE()),""))</f>
      </c>
    </row>
    <row r="2871">
      <c r="F2871">
        <f>IF(DATOS!$A2871="","",DATOS!$A2871&amp;"|"&amp;DATOS!$D2871&amp;"|"&amp;DATOS!$E2871&amp;"|"&amp;DATOS!$I2871)</f>
      </c>
      <c r="G2871">
        <f>IF(DATOS!$A2871="",0,IF(CONFIG_METADATA!$B$4&lt;&gt;"OR+EX",--(DATOS!$G2871=CONFIG_METADATA!$B$4),IF(DATOS!$G2871="EX",1,IF(DATOS!$G2871="OR",--(COUNTIFS(nNIA,DATOS!$A2871,nCURSO,DATOS!$D2871,nESPEC,DATOS!$E2871,nASIG,DATOS!$I2871,nEVAL,"EX")=0),0))))</f>
      </c>
      <c r="H2871">
        <f>IF(DATOS!$G2871&lt;&gt;"EX",0,--(COUNTIFS(nNIA,DATOS!$A2871,nCURSO,DATOS!$D2871,nESPEC,DATOS!$E2871,nASIG,DATOS!$I2871,nEVAL,"OR")=0))</f>
      </c>
      <c r="I2871">
        <f>IF(DATOS!$I2871="","",IFERROR(VLOOKUP(DATOS!$I2871,CONFIG_ASIGNATURAS!$B$2:$J$91,9,FALSE()),""))</f>
      </c>
    </row>
    <row r="2872">
      <c r="F2872">
        <f>IF(DATOS!$A2872="","",DATOS!$A2872&amp;"|"&amp;DATOS!$D2872&amp;"|"&amp;DATOS!$E2872&amp;"|"&amp;DATOS!$I2872)</f>
      </c>
      <c r="G2872">
        <f>IF(DATOS!$A2872="",0,IF(CONFIG_METADATA!$B$4&lt;&gt;"OR+EX",--(DATOS!$G2872=CONFIG_METADATA!$B$4),IF(DATOS!$G2872="EX",1,IF(DATOS!$G2872="OR",--(COUNTIFS(nNIA,DATOS!$A2872,nCURSO,DATOS!$D2872,nESPEC,DATOS!$E2872,nASIG,DATOS!$I2872,nEVAL,"EX")=0),0))))</f>
      </c>
      <c r="H2872">
        <f>IF(DATOS!$G2872&lt;&gt;"EX",0,--(COUNTIFS(nNIA,DATOS!$A2872,nCURSO,DATOS!$D2872,nESPEC,DATOS!$E2872,nASIG,DATOS!$I2872,nEVAL,"OR")=0))</f>
      </c>
      <c r="I2872">
        <f>IF(DATOS!$I2872="","",IFERROR(VLOOKUP(DATOS!$I2872,CONFIG_ASIGNATURAS!$B$2:$J$91,9,FALSE()),""))</f>
      </c>
    </row>
    <row r="2873">
      <c r="F2873">
        <f>IF(DATOS!$A2873="","",DATOS!$A2873&amp;"|"&amp;DATOS!$D2873&amp;"|"&amp;DATOS!$E2873&amp;"|"&amp;DATOS!$I2873)</f>
      </c>
      <c r="G2873">
        <f>IF(DATOS!$A2873="",0,IF(CONFIG_METADATA!$B$4&lt;&gt;"OR+EX",--(DATOS!$G2873=CONFIG_METADATA!$B$4),IF(DATOS!$G2873="EX",1,IF(DATOS!$G2873="OR",--(COUNTIFS(nNIA,DATOS!$A2873,nCURSO,DATOS!$D2873,nESPEC,DATOS!$E2873,nASIG,DATOS!$I2873,nEVAL,"EX")=0),0))))</f>
      </c>
      <c r="H2873">
        <f>IF(DATOS!$G2873&lt;&gt;"EX",0,--(COUNTIFS(nNIA,DATOS!$A2873,nCURSO,DATOS!$D2873,nESPEC,DATOS!$E2873,nASIG,DATOS!$I2873,nEVAL,"OR")=0))</f>
      </c>
      <c r="I2873">
        <f>IF(DATOS!$I2873="","",IFERROR(VLOOKUP(DATOS!$I2873,CONFIG_ASIGNATURAS!$B$2:$J$91,9,FALSE()),""))</f>
      </c>
    </row>
    <row r="2874">
      <c r="F2874">
        <f>IF(DATOS!$A2874="","",DATOS!$A2874&amp;"|"&amp;DATOS!$D2874&amp;"|"&amp;DATOS!$E2874&amp;"|"&amp;DATOS!$I2874)</f>
      </c>
      <c r="G2874">
        <f>IF(DATOS!$A2874="",0,IF(CONFIG_METADATA!$B$4&lt;&gt;"OR+EX",--(DATOS!$G2874=CONFIG_METADATA!$B$4),IF(DATOS!$G2874="EX",1,IF(DATOS!$G2874="OR",--(COUNTIFS(nNIA,DATOS!$A2874,nCURSO,DATOS!$D2874,nESPEC,DATOS!$E2874,nASIG,DATOS!$I2874,nEVAL,"EX")=0),0))))</f>
      </c>
      <c r="H2874">
        <f>IF(DATOS!$G2874&lt;&gt;"EX",0,--(COUNTIFS(nNIA,DATOS!$A2874,nCURSO,DATOS!$D2874,nESPEC,DATOS!$E2874,nASIG,DATOS!$I2874,nEVAL,"OR")=0))</f>
      </c>
      <c r="I2874">
        <f>IF(DATOS!$I2874="","",IFERROR(VLOOKUP(DATOS!$I2874,CONFIG_ASIGNATURAS!$B$2:$J$91,9,FALSE()),""))</f>
      </c>
    </row>
    <row r="2875">
      <c r="F2875">
        <f>IF(DATOS!$A2875="","",DATOS!$A2875&amp;"|"&amp;DATOS!$D2875&amp;"|"&amp;DATOS!$E2875&amp;"|"&amp;DATOS!$I2875)</f>
      </c>
      <c r="G2875">
        <f>IF(DATOS!$A2875="",0,IF(CONFIG_METADATA!$B$4&lt;&gt;"OR+EX",--(DATOS!$G2875=CONFIG_METADATA!$B$4),IF(DATOS!$G2875="EX",1,IF(DATOS!$G2875="OR",--(COUNTIFS(nNIA,DATOS!$A2875,nCURSO,DATOS!$D2875,nESPEC,DATOS!$E2875,nASIG,DATOS!$I2875,nEVAL,"EX")=0),0))))</f>
      </c>
      <c r="H2875">
        <f>IF(DATOS!$G2875&lt;&gt;"EX",0,--(COUNTIFS(nNIA,DATOS!$A2875,nCURSO,DATOS!$D2875,nESPEC,DATOS!$E2875,nASIG,DATOS!$I2875,nEVAL,"OR")=0))</f>
      </c>
      <c r="I2875">
        <f>IF(DATOS!$I2875="","",IFERROR(VLOOKUP(DATOS!$I2875,CONFIG_ASIGNATURAS!$B$2:$J$91,9,FALSE()),""))</f>
      </c>
    </row>
    <row r="2876">
      <c r="F2876">
        <f>IF(DATOS!$A2876="","",DATOS!$A2876&amp;"|"&amp;DATOS!$D2876&amp;"|"&amp;DATOS!$E2876&amp;"|"&amp;DATOS!$I2876)</f>
      </c>
      <c r="G2876">
        <f>IF(DATOS!$A2876="",0,IF(CONFIG_METADATA!$B$4&lt;&gt;"OR+EX",--(DATOS!$G2876=CONFIG_METADATA!$B$4),IF(DATOS!$G2876="EX",1,IF(DATOS!$G2876="OR",--(COUNTIFS(nNIA,DATOS!$A2876,nCURSO,DATOS!$D2876,nESPEC,DATOS!$E2876,nASIG,DATOS!$I2876,nEVAL,"EX")=0),0))))</f>
      </c>
      <c r="H2876">
        <f>IF(DATOS!$G2876&lt;&gt;"EX",0,--(COUNTIFS(nNIA,DATOS!$A2876,nCURSO,DATOS!$D2876,nESPEC,DATOS!$E2876,nASIG,DATOS!$I2876,nEVAL,"OR")=0))</f>
      </c>
      <c r="I2876">
        <f>IF(DATOS!$I2876="","",IFERROR(VLOOKUP(DATOS!$I2876,CONFIG_ASIGNATURAS!$B$2:$J$91,9,FALSE()),""))</f>
      </c>
    </row>
    <row r="2877">
      <c r="F2877">
        <f>IF(DATOS!$A2877="","",DATOS!$A2877&amp;"|"&amp;DATOS!$D2877&amp;"|"&amp;DATOS!$E2877&amp;"|"&amp;DATOS!$I2877)</f>
      </c>
      <c r="G2877">
        <f>IF(DATOS!$A2877="",0,IF(CONFIG_METADATA!$B$4&lt;&gt;"OR+EX",--(DATOS!$G2877=CONFIG_METADATA!$B$4),IF(DATOS!$G2877="EX",1,IF(DATOS!$G2877="OR",--(COUNTIFS(nNIA,DATOS!$A2877,nCURSO,DATOS!$D2877,nESPEC,DATOS!$E2877,nASIG,DATOS!$I2877,nEVAL,"EX")=0),0))))</f>
      </c>
      <c r="H2877">
        <f>IF(DATOS!$G2877&lt;&gt;"EX",0,--(COUNTIFS(nNIA,DATOS!$A2877,nCURSO,DATOS!$D2877,nESPEC,DATOS!$E2877,nASIG,DATOS!$I2877,nEVAL,"OR")=0))</f>
      </c>
      <c r="I2877">
        <f>IF(DATOS!$I2877="","",IFERROR(VLOOKUP(DATOS!$I2877,CONFIG_ASIGNATURAS!$B$2:$J$91,9,FALSE()),""))</f>
      </c>
    </row>
    <row r="2878">
      <c r="F2878">
        <f>IF(DATOS!$A2878="","",DATOS!$A2878&amp;"|"&amp;DATOS!$D2878&amp;"|"&amp;DATOS!$E2878&amp;"|"&amp;DATOS!$I2878)</f>
      </c>
      <c r="G2878">
        <f>IF(DATOS!$A2878="",0,IF(CONFIG_METADATA!$B$4&lt;&gt;"OR+EX",--(DATOS!$G2878=CONFIG_METADATA!$B$4),IF(DATOS!$G2878="EX",1,IF(DATOS!$G2878="OR",--(COUNTIFS(nNIA,DATOS!$A2878,nCURSO,DATOS!$D2878,nESPEC,DATOS!$E2878,nASIG,DATOS!$I2878,nEVAL,"EX")=0),0))))</f>
      </c>
      <c r="H2878">
        <f>IF(DATOS!$G2878&lt;&gt;"EX",0,--(COUNTIFS(nNIA,DATOS!$A2878,nCURSO,DATOS!$D2878,nESPEC,DATOS!$E2878,nASIG,DATOS!$I2878,nEVAL,"OR")=0))</f>
      </c>
      <c r="I2878">
        <f>IF(DATOS!$I2878="","",IFERROR(VLOOKUP(DATOS!$I2878,CONFIG_ASIGNATURAS!$B$2:$J$91,9,FALSE()),""))</f>
      </c>
    </row>
    <row r="2879">
      <c r="F2879">
        <f>IF(DATOS!$A2879="","",DATOS!$A2879&amp;"|"&amp;DATOS!$D2879&amp;"|"&amp;DATOS!$E2879&amp;"|"&amp;DATOS!$I2879)</f>
      </c>
      <c r="G2879">
        <f>IF(DATOS!$A2879="",0,IF(CONFIG_METADATA!$B$4&lt;&gt;"OR+EX",--(DATOS!$G2879=CONFIG_METADATA!$B$4),IF(DATOS!$G2879="EX",1,IF(DATOS!$G2879="OR",--(COUNTIFS(nNIA,DATOS!$A2879,nCURSO,DATOS!$D2879,nESPEC,DATOS!$E2879,nASIG,DATOS!$I2879,nEVAL,"EX")=0),0))))</f>
      </c>
      <c r="H2879">
        <f>IF(DATOS!$G2879&lt;&gt;"EX",0,--(COUNTIFS(nNIA,DATOS!$A2879,nCURSO,DATOS!$D2879,nESPEC,DATOS!$E2879,nASIG,DATOS!$I2879,nEVAL,"OR")=0))</f>
      </c>
      <c r="I2879">
        <f>IF(DATOS!$I2879="","",IFERROR(VLOOKUP(DATOS!$I2879,CONFIG_ASIGNATURAS!$B$2:$J$91,9,FALSE()),""))</f>
      </c>
    </row>
    <row r="2880">
      <c r="F2880">
        <f>IF(DATOS!$A2880="","",DATOS!$A2880&amp;"|"&amp;DATOS!$D2880&amp;"|"&amp;DATOS!$E2880&amp;"|"&amp;DATOS!$I2880)</f>
      </c>
      <c r="G2880">
        <f>IF(DATOS!$A2880="",0,IF(CONFIG_METADATA!$B$4&lt;&gt;"OR+EX",--(DATOS!$G2880=CONFIG_METADATA!$B$4),IF(DATOS!$G2880="EX",1,IF(DATOS!$G2880="OR",--(COUNTIFS(nNIA,DATOS!$A2880,nCURSO,DATOS!$D2880,nESPEC,DATOS!$E2880,nASIG,DATOS!$I2880,nEVAL,"EX")=0),0))))</f>
      </c>
      <c r="H2880">
        <f>IF(DATOS!$G2880&lt;&gt;"EX",0,--(COUNTIFS(nNIA,DATOS!$A2880,nCURSO,DATOS!$D2880,nESPEC,DATOS!$E2880,nASIG,DATOS!$I2880,nEVAL,"OR")=0))</f>
      </c>
      <c r="I2880">
        <f>IF(DATOS!$I2880="","",IFERROR(VLOOKUP(DATOS!$I2880,CONFIG_ASIGNATURAS!$B$2:$J$91,9,FALSE()),""))</f>
      </c>
    </row>
    <row r="2881">
      <c r="F2881">
        <f>IF(DATOS!$A2881="","",DATOS!$A2881&amp;"|"&amp;DATOS!$D2881&amp;"|"&amp;DATOS!$E2881&amp;"|"&amp;DATOS!$I2881)</f>
      </c>
      <c r="G2881">
        <f>IF(DATOS!$A2881="",0,IF(CONFIG_METADATA!$B$4&lt;&gt;"OR+EX",--(DATOS!$G2881=CONFIG_METADATA!$B$4),IF(DATOS!$G2881="EX",1,IF(DATOS!$G2881="OR",--(COUNTIFS(nNIA,DATOS!$A2881,nCURSO,DATOS!$D2881,nESPEC,DATOS!$E2881,nASIG,DATOS!$I2881,nEVAL,"EX")=0),0))))</f>
      </c>
      <c r="H2881">
        <f>IF(DATOS!$G2881&lt;&gt;"EX",0,--(COUNTIFS(nNIA,DATOS!$A2881,nCURSO,DATOS!$D2881,nESPEC,DATOS!$E2881,nASIG,DATOS!$I2881,nEVAL,"OR")=0))</f>
      </c>
      <c r="I2881">
        <f>IF(DATOS!$I2881="","",IFERROR(VLOOKUP(DATOS!$I2881,CONFIG_ASIGNATURAS!$B$2:$J$91,9,FALSE()),""))</f>
      </c>
    </row>
    <row r="2882">
      <c r="F2882">
        <f>IF(DATOS!$A2882="","",DATOS!$A2882&amp;"|"&amp;DATOS!$D2882&amp;"|"&amp;DATOS!$E2882&amp;"|"&amp;DATOS!$I2882)</f>
      </c>
      <c r="G2882">
        <f>IF(DATOS!$A2882="",0,IF(CONFIG_METADATA!$B$4&lt;&gt;"OR+EX",--(DATOS!$G2882=CONFIG_METADATA!$B$4),IF(DATOS!$G2882="EX",1,IF(DATOS!$G2882="OR",--(COUNTIFS(nNIA,DATOS!$A2882,nCURSO,DATOS!$D2882,nESPEC,DATOS!$E2882,nASIG,DATOS!$I2882,nEVAL,"EX")=0),0))))</f>
      </c>
      <c r="H2882">
        <f>IF(DATOS!$G2882&lt;&gt;"EX",0,--(COUNTIFS(nNIA,DATOS!$A2882,nCURSO,DATOS!$D2882,nESPEC,DATOS!$E2882,nASIG,DATOS!$I2882,nEVAL,"OR")=0))</f>
      </c>
      <c r="I2882">
        <f>IF(DATOS!$I2882="","",IFERROR(VLOOKUP(DATOS!$I2882,CONFIG_ASIGNATURAS!$B$2:$J$91,9,FALSE()),""))</f>
      </c>
    </row>
    <row r="2883">
      <c r="F2883">
        <f>IF(DATOS!$A2883="","",DATOS!$A2883&amp;"|"&amp;DATOS!$D2883&amp;"|"&amp;DATOS!$E2883&amp;"|"&amp;DATOS!$I2883)</f>
      </c>
      <c r="G2883">
        <f>IF(DATOS!$A2883="",0,IF(CONFIG_METADATA!$B$4&lt;&gt;"OR+EX",--(DATOS!$G2883=CONFIG_METADATA!$B$4),IF(DATOS!$G2883="EX",1,IF(DATOS!$G2883="OR",--(COUNTIFS(nNIA,DATOS!$A2883,nCURSO,DATOS!$D2883,nESPEC,DATOS!$E2883,nASIG,DATOS!$I2883,nEVAL,"EX")=0),0))))</f>
      </c>
      <c r="H2883">
        <f>IF(DATOS!$G2883&lt;&gt;"EX",0,--(COUNTIFS(nNIA,DATOS!$A2883,nCURSO,DATOS!$D2883,nESPEC,DATOS!$E2883,nASIG,DATOS!$I2883,nEVAL,"OR")=0))</f>
      </c>
      <c r="I2883">
        <f>IF(DATOS!$I2883="","",IFERROR(VLOOKUP(DATOS!$I2883,CONFIG_ASIGNATURAS!$B$2:$J$91,9,FALSE()),""))</f>
      </c>
    </row>
    <row r="2884">
      <c r="F2884">
        <f>IF(DATOS!$A2884="","",DATOS!$A2884&amp;"|"&amp;DATOS!$D2884&amp;"|"&amp;DATOS!$E2884&amp;"|"&amp;DATOS!$I2884)</f>
      </c>
      <c r="G2884">
        <f>IF(DATOS!$A2884="",0,IF(CONFIG_METADATA!$B$4&lt;&gt;"OR+EX",--(DATOS!$G2884=CONFIG_METADATA!$B$4),IF(DATOS!$G2884="EX",1,IF(DATOS!$G2884="OR",--(COUNTIFS(nNIA,DATOS!$A2884,nCURSO,DATOS!$D2884,nESPEC,DATOS!$E2884,nASIG,DATOS!$I2884,nEVAL,"EX")=0),0))))</f>
      </c>
      <c r="H2884">
        <f>IF(DATOS!$G2884&lt;&gt;"EX",0,--(COUNTIFS(nNIA,DATOS!$A2884,nCURSO,DATOS!$D2884,nESPEC,DATOS!$E2884,nASIG,DATOS!$I2884,nEVAL,"OR")=0))</f>
      </c>
      <c r="I2884">
        <f>IF(DATOS!$I2884="","",IFERROR(VLOOKUP(DATOS!$I2884,CONFIG_ASIGNATURAS!$B$2:$J$91,9,FALSE()),""))</f>
      </c>
    </row>
    <row r="2885">
      <c r="F2885">
        <f>IF(DATOS!$A2885="","",DATOS!$A2885&amp;"|"&amp;DATOS!$D2885&amp;"|"&amp;DATOS!$E2885&amp;"|"&amp;DATOS!$I2885)</f>
      </c>
      <c r="G2885">
        <f>IF(DATOS!$A2885="",0,IF(CONFIG_METADATA!$B$4&lt;&gt;"OR+EX",--(DATOS!$G2885=CONFIG_METADATA!$B$4),IF(DATOS!$G2885="EX",1,IF(DATOS!$G2885="OR",--(COUNTIFS(nNIA,DATOS!$A2885,nCURSO,DATOS!$D2885,nESPEC,DATOS!$E2885,nASIG,DATOS!$I2885,nEVAL,"EX")=0),0))))</f>
      </c>
      <c r="H2885">
        <f>IF(DATOS!$G2885&lt;&gt;"EX",0,--(COUNTIFS(nNIA,DATOS!$A2885,nCURSO,DATOS!$D2885,nESPEC,DATOS!$E2885,nASIG,DATOS!$I2885,nEVAL,"OR")=0))</f>
      </c>
      <c r="I2885">
        <f>IF(DATOS!$I2885="","",IFERROR(VLOOKUP(DATOS!$I2885,CONFIG_ASIGNATURAS!$B$2:$J$91,9,FALSE()),""))</f>
      </c>
    </row>
    <row r="2886">
      <c r="F2886">
        <f>IF(DATOS!$A2886="","",DATOS!$A2886&amp;"|"&amp;DATOS!$D2886&amp;"|"&amp;DATOS!$E2886&amp;"|"&amp;DATOS!$I2886)</f>
      </c>
      <c r="G2886">
        <f>IF(DATOS!$A2886="",0,IF(CONFIG_METADATA!$B$4&lt;&gt;"OR+EX",--(DATOS!$G2886=CONFIG_METADATA!$B$4),IF(DATOS!$G2886="EX",1,IF(DATOS!$G2886="OR",--(COUNTIFS(nNIA,DATOS!$A2886,nCURSO,DATOS!$D2886,nESPEC,DATOS!$E2886,nASIG,DATOS!$I2886,nEVAL,"EX")=0),0))))</f>
      </c>
      <c r="H2886">
        <f>IF(DATOS!$G2886&lt;&gt;"EX",0,--(COUNTIFS(nNIA,DATOS!$A2886,nCURSO,DATOS!$D2886,nESPEC,DATOS!$E2886,nASIG,DATOS!$I2886,nEVAL,"OR")=0))</f>
      </c>
      <c r="I2886">
        <f>IF(DATOS!$I2886="","",IFERROR(VLOOKUP(DATOS!$I2886,CONFIG_ASIGNATURAS!$B$2:$J$91,9,FALSE()),""))</f>
      </c>
    </row>
    <row r="2887">
      <c r="F2887">
        <f>IF(DATOS!$A2887="","",DATOS!$A2887&amp;"|"&amp;DATOS!$D2887&amp;"|"&amp;DATOS!$E2887&amp;"|"&amp;DATOS!$I2887)</f>
      </c>
      <c r="G2887">
        <f>IF(DATOS!$A2887="",0,IF(CONFIG_METADATA!$B$4&lt;&gt;"OR+EX",--(DATOS!$G2887=CONFIG_METADATA!$B$4),IF(DATOS!$G2887="EX",1,IF(DATOS!$G2887="OR",--(COUNTIFS(nNIA,DATOS!$A2887,nCURSO,DATOS!$D2887,nESPEC,DATOS!$E2887,nASIG,DATOS!$I2887,nEVAL,"EX")=0),0))))</f>
      </c>
      <c r="H2887">
        <f>IF(DATOS!$G2887&lt;&gt;"EX",0,--(COUNTIFS(nNIA,DATOS!$A2887,nCURSO,DATOS!$D2887,nESPEC,DATOS!$E2887,nASIG,DATOS!$I2887,nEVAL,"OR")=0))</f>
      </c>
      <c r="I2887">
        <f>IF(DATOS!$I2887="","",IFERROR(VLOOKUP(DATOS!$I2887,CONFIG_ASIGNATURAS!$B$2:$J$91,9,FALSE()),""))</f>
      </c>
    </row>
    <row r="2888">
      <c r="F2888">
        <f>IF(DATOS!$A2888="","",DATOS!$A2888&amp;"|"&amp;DATOS!$D2888&amp;"|"&amp;DATOS!$E2888&amp;"|"&amp;DATOS!$I2888)</f>
      </c>
      <c r="G2888">
        <f>IF(DATOS!$A2888="",0,IF(CONFIG_METADATA!$B$4&lt;&gt;"OR+EX",--(DATOS!$G2888=CONFIG_METADATA!$B$4),IF(DATOS!$G2888="EX",1,IF(DATOS!$G2888="OR",--(COUNTIFS(nNIA,DATOS!$A2888,nCURSO,DATOS!$D2888,nESPEC,DATOS!$E2888,nASIG,DATOS!$I2888,nEVAL,"EX")=0),0))))</f>
      </c>
      <c r="H2888">
        <f>IF(DATOS!$G2888&lt;&gt;"EX",0,--(COUNTIFS(nNIA,DATOS!$A2888,nCURSO,DATOS!$D2888,nESPEC,DATOS!$E2888,nASIG,DATOS!$I2888,nEVAL,"OR")=0))</f>
      </c>
      <c r="I2888">
        <f>IF(DATOS!$I2888="","",IFERROR(VLOOKUP(DATOS!$I2888,CONFIG_ASIGNATURAS!$B$2:$J$91,9,FALSE()),""))</f>
      </c>
    </row>
    <row r="2889">
      <c r="F2889">
        <f>IF(DATOS!$A2889="","",DATOS!$A2889&amp;"|"&amp;DATOS!$D2889&amp;"|"&amp;DATOS!$E2889&amp;"|"&amp;DATOS!$I2889)</f>
      </c>
      <c r="G2889">
        <f>IF(DATOS!$A2889="",0,IF(CONFIG_METADATA!$B$4&lt;&gt;"OR+EX",--(DATOS!$G2889=CONFIG_METADATA!$B$4),IF(DATOS!$G2889="EX",1,IF(DATOS!$G2889="OR",--(COUNTIFS(nNIA,DATOS!$A2889,nCURSO,DATOS!$D2889,nESPEC,DATOS!$E2889,nASIG,DATOS!$I2889,nEVAL,"EX")=0),0))))</f>
      </c>
      <c r="H2889">
        <f>IF(DATOS!$G2889&lt;&gt;"EX",0,--(COUNTIFS(nNIA,DATOS!$A2889,nCURSO,DATOS!$D2889,nESPEC,DATOS!$E2889,nASIG,DATOS!$I2889,nEVAL,"OR")=0))</f>
      </c>
      <c r="I2889">
        <f>IF(DATOS!$I2889="","",IFERROR(VLOOKUP(DATOS!$I2889,CONFIG_ASIGNATURAS!$B$2:$J$91,9,FALSE()),""))</f>
      </c>
    </row>
    <row r="2890">
      <c r="F2890">
        <f>IF(DATOS!$A2890="","",DATOS!$A2890&amp;"|"&amp;DATOS!$D2890&amp;"|"&amp;DATOS!$E2890&amp;"|"&amp;DATOS!$I2890)</f>
      </c>
      <c r="G2890">
        <f>IF(DATOS!$A2890="",0,IF(CONFIG_METADATA!$B$4&lt;&gt;"OR+EX",--(DATOS!$G2890=CONFIG_METADATA!$B$4),IF(DATOS!$G2890="EX",1,IF(DATOS!$G2890="OR",--(COUNTIFS(nNIA,DATOS!$A2890,nCURSO,DATOS!$D2890,nESPEC,DATOS!$E2890,nASIG,DATOS!$I2890,nEVAL,"EX")=0),0))))</f>
      </c>
      <c r="H2890">
        <f>IF(DATOS!$G2890&lt;&gt;"EX",0,--(COUNTIFS(nNIA,DATOS!$A2890,nCURSO,DATOS!$D2890,nESPEC,DATOS!$E2890,nASIG,DATOS!$I2890,nEVAL,"OR")=0))</f>
      </c>
      <c r="I2890">
        <f>IF(DATOS!$I2890="","",IFERROR(VLOOKUP(DATOS!$I2890,CONFIG_ASIGNATURAS!$B$2:$J$91,9,FALSE()),""))</f>
      </c>
    </row>
    <row r="2891">
      <c r="F2891">
        <f>IF(DATOS!$A2891="","",DATOS!$A2891&amp;"|"&amp;DATOS!$D2891&amp;"|"&amp;DATOS!$E2891&amp;"|"&amp;DATOS!$I2891)</f>
      </c>
      <c r="G2891">
        <f>IF(DATOS!$A2891="",0,IF(CONFIG_METADATA!$B$4&lt;&gt;"OR+EX",--(DATOS!$G2891=CONFIG_METADATA!$B$4),IF(DATOS!$G2891="EX",1,IF(DATOS!$G2891="OR",--(COUNTIFS(nNIA,DATOS!$A2891,nCURSO,DATOS!$D2891,nESPEC,DATOS!$E2891,nASIG,DATOS!$I2891,nEVAL,"EX")=0),0))))</f>
      </c>
      <c r="H2891">
        <f>IF(DATOS!$G2891&lt;&gt;"EX",0,--(COUNTIFS(nNIA,DATOS!$A2891,nCURSO,DATOS!$D2891,nESPEC,DATOS!$E2891,nASIG,DATOS!$I2891,nEVAL,"OR")=0))</f>
      </c>
      <c r="I2891">
        <f>IF(DATOS!$I2891="","",IFERROR(VLOOKUP(DATOS!$I2891,CONFIG_ASIGNATURAS!$B$2:$J$91,9,FALSE()),""))</f>
      </c>
    </row>
    <row r="2892">
      <c r="F2892">
        <f>IF(DATOS!$A2892="","",DATOS!$A2892&amp;"|"&amp;DATOS!$D2892&amp;"|"&amp;DATOS!$E2892&amp;"|"&amp;DATOS!$I2892)</f>
      </c>
      <c r="G2892">
        <f>IF(DATOS!$A2892="",0,IF(CONFIG_METADATA!$B$4&lt;&gt;"OR+EX",--(DATOS!$G2892=CONFIG_METADATA!$B$4),IF(DATOS!$G2892="EX",1,IF(DATOS!$G2892="OR",--(COUNTIFS(nNIA,DATOS!$A2892,nCURSO,DATOS!$D2892,nESPEC,DATOS!$E2892,nASIG,DATOS!$I2892,nEVAL,"EX")=0),0))))</f>
      </c>
      <c r="H2892">
        <f>IF(DATOS!$G2892&lt;&gt;"EX",0,--(COUNTIFS(nNIA,DATOS!$A2892,nCURSO,DATOS!$D2892,nESPEC,DATOS!$E2892,nASIG,DATOS!$I2892,nEVAL,"OR")=0))</f>
      </c>
      <c r="I2892">
        <f>IF(DATOS!$I2892="","",IFERROR(VLOOKUP(DATOS!$I2892,CONFIG_ASIGNATURAS!$B$2:$J$91,9,FALSE()),""))</f>
      </c>
    </row>
    <row r="2893">
      <c r="F2893">
        <f>IF(DATOS!$A2893="","",DATOS!$A2893&amp;"|"&amp;DATOS!$D2893&amp;"|"&amp;DATOS!$E2893&amp;"|"&amp;DATOS!$I2893)</f>
      </c>
      <c r="G2893">
        <f>IF(DATOS!$A2893="",0,IF(CONFIG_METADATA!$B$4&lt;&gt;"OR+EX",--(DATOS!$G2893=CONFIG_METADATA!$B$4),IF(DATOS!$G2893="EX",1,IF(DATOS!$G2893="OR",--(COUNTIFS(nNIA,DATOS!$A2893,nCURSO,DATOS!$D2893,nESPEC,DATOS!$E2893,nASIG,DATOS!$I2893,nEVAL,"EX")=0),0))))</f>
      </c>
      <c r="H2893">
        <f>IF(DATOS!$G2893&lt;&gt;"EX",0,--(COUNTIFS(nNIA,DATOS!$A2893,nCURSO,DATOS!$D2893,nESPEC,DATOS!$E2893,nASIG,DATOS!$I2893,nEVAL,"OR")=0))</f>
      </c>
      <c r="I2893">
        <f>IF(DATOS!$I2893="","",IFERROR(VLOOKUP(DATOS!$I2893,CONFIG_ASIGNATURAS!$B$2:$J$91,9,FALSE()),""))</f>
      </c>
    </row>
    <row r="2894">
      <c r="F2894">
        <f>IF(DATOS!$A2894="","",DATOS!$A2894&amp;"|"&amp;DATOS!$D2894&amp;"|"&amp;DATOS!$E2894&amp;"|"&amp;DATOS!$I2894)</f>
      </c>
      <c r="G2894">
        <f>IF(DATOS!$A2894="",0,IF(CONFIG_METADATA!$B$4&lt;&gt;"OR+EX",--(DATOS!$G2894=CONFIG_METADATA!$B$4),IF(DATOS!$G2894="EX",1,IF(DATOS!$G2894="OR",--(COUNTIFS(nNIA,DATOS!$A2894,nCURSO,DATOS!$D2894,nESPEC,DATOS!$E2894,nASIG,DATOS!$I2894,nEVAL,"EX")=0),0))))</f>
      </c>
      <c r="H2894">
        <f>IF(DATOS!$G2894&lt;&gt;"EX",0,--(COUNTIFS(nNIA,DATOS!$A2894,nCURSO,DATOS!$D2894,nESPEC,DATOS!$E2894,nASIG,DATOS!$I2894,nEVAL,"OR")=0))</f>
      </c>
      <c r="I2894">
        <f>IF(DATOS!$I2894="","",IFERROR(VLOOKUP(DATOS!$I2894,CONFIG_ASIGNATURAS!$B$2:$J$91,9,FALSE()),""))</f>
      </c>
    </row>
    <row r="2895">
      <c r="F2895">
        <f>IF(DATOS!$A2895="","",DATOS!$A2895&amp;"|"&amp;DATOS!$D2895&amp;"|"&amp;DATOS!$E2895&amp;"|"&amp;DATOS!$I2895)</f>
      </c>
      <c r="G2895">
        <f>IF(DATOS!$A2895="",0,IF(CONFIG_METADATA!$B$4&lt;&gt;"OR+EX",--(DATOS!$G2895=CONFIG_METADATA!$B$4),IF(DATOS!$G2895="EX",1,IF(DATOS!$G2895="OR",--(COUNTIFS(nNIA,DATOS!$A2895,nCURSO,DATOS!$D2895,nESPEC,DATOS!$E2895,nASIG,DATOS!$I2895,nEVAL,"EX")=0),0))))</f>
      </c>
      <c r="H2895">
        <f>IF(DATOS!$G2895&lt;&gt;"EX",0,--(COUNTIFS(nNIA,DATOS!$A2895,nCURSO,DATOS!$D2895,nESPEC,DATOS!$E2895,nASIG,DATOS!$I2895,nEVAL,"OR")=0))</f>
      </c>
      <c r="I2895">
        <f>IF(DATOS!$I2895="","",IFERROR(VLOOKUP(DATOS!$I2895,CONFIG_ASIGNATURAS!$B$2:$J$91,9,FALSE()),""))</f>
      </c>
    </row>
    <row r="2896">
      <c r="F2896">
        <f>IF(DATOS!$A2896="","",DATOS!$A2896&amp;"|"&amp;DATOS!$D2896&amp;"|"&amp;DATOS!$E2896&amp;"|"&amp;DATOS!$I2896)</f>
      </c>
      <c r="G2896">
        <f>IF(DATOS!$A2896="",0,IF(CONFIG_METADATA!$B$4&lt;&gt;"OR+EX",--(DATOS!$G2896=CONFIG_METADATA!$B$4),IF(DATOS!$G2896="EX",1,IF(DATOS!$G2896="OR",--(COUNTIFS(nNIA,DATOS!$A2896,nCURSO,DATOS!$D2896,nESPEC,DATOS!$E2896,nASIG,DATOS!$I2896,nEVAL,"EX")=0),0))))</f>
      </c>
      <c r="H2896">
        <f>IF(DATOS!$G2896&lt;&gt;"EX",0,--(COUNTIFS(nNIA,DATOS!$A2896,nCURSO,DATOS!$D2896,nESPEC,DATOS!$E2896,nASIG,DATOS!$I2896,nEVAL,"OR")=0))</f>
      </c>
      <c r="I2896">
        <f>IF(DATOS!$I2896="","",IFERROR(VLOOKUP(DATOS!$I2896,CONFIG_ASIGNATURAS!$B$2:$J$91,9,FALSE()),""))</f>
      </c>
    </row>
    <row r="2897">
      <c r="F2897">
        <f>IF(DATOS!$A2897="","",DATOS!$A2897&amp;"|"&amp;DATOS!$D2897&amp;"|"&amp;DATOS!$E2897&amp;"|"&amp;DATOS!$I2897)</f>
      </c>
      <c r="G2897">
        <f>IF(DATOS!$A2897="",0,IF(CONFIG_METADATA!$B$4&lt;&gt;"OR+EX",--(DATOS!$G2897=CONFIG_METADATA!$B$4),IF(DATOS!$G2897="EX",1,IF(DATOS!$G2897="OR",--(COUNTIFS(nNIA,DATOS!$A2897,nCURSO,DATOS!$D2897,nESPEC,DATOS!$E2897,nASIG,DATOS!$I2897,nEVAL,"EX")=0),0))))</f>
      </c>
      <c r="H2897">
        <f>IF(DATOS!$G2897&lt;&gt;"EX",0,--(COUNTIFS(nNIA,DATOS!$A2897,nCURSO,DATOS!$D2897,nESPEC,DATOS!$E2897,nASIG,DATOS!$I2897,nEVAL,"OR")=0))</f>
      </c>
      <c r="I2897">
        <f>IF(DATOS!$I2897="","",IFERROR(VLOOKUP(DATOS!$I2897,CONFIG_ASIGNATURAS!$B$2:$J$91,9,FALSE()),""))</f>
      </c>
    </row>
    <row r="2898">
      <c r="F2898">
        <f>IF(DATOS!$A2898="","",DATOS!$A2898&amp;"|"&amp;DATOS!$D2898&amp;"|"&amp;DATOS!$E2898&amp;"|"&amp;DATOS!$I2898)</f>
      </c>
      <c r="G2898">
        <f>IF(DATOS!$A2898="",0,IF(CONFIG_METADATA!$B$4&lt;&gt;"OR+EX",--(DATOS!$G2898=CONFIG_METADATA!$B$4),IF(DATOS!$G2898="EX",1,IF(DATOS!$G2898="OR",--(COUNTIFS(nNIA,DATOS!$A2898,nCURSO,DATOS!$D2898,nESPEC,DATOS!$E2898,nASIG,DATOS!$I2898,nEVAL,"EX")=0),0))))</f>
      </c>
      <c r="H2898">
        <f>IF(DATOS!$G2898&lt;&gt;"EX",0,--(COUNTIFS(nNIA,DATOS!$A2898,nCURSO,DATOS!$D2898,nESPEC,DATOS!$E2898,nASIG,DATOS!$I2898,nEVAL,"OR")=0))</f>
      </c>
      <c r="I2898">
        <f>IF(DATOS!$I2898="","",IFERROR(VLOOKUP(DATOS!$I2898,CONFIG_ASIGNATURAS!$B$2:$J$91,9,FALSE()),""))</f>
      </c>
    </row>
    <row r="2899">
      <c r="F2899">
        <f>IF(DATOS!$A2899="","",DATOS!$A2899&amp;"|"&amp;DATOS!$D2899&amp;"|"&amp;DATOS!$E2899&amp;"|"&amp;DATOS!$I2899)</f>
      </c>
      <c r="G2899">
        <f>IF(DATOS!$A2899="",0,IF(CONFIG_METADATA!$B$4&lt;&gt;"OR+EX",--(DATOS!$G2899=CONFIG_METADATA!$B$4),IF(DATOS!$G2899="EX",1,IF(DATOS!$G2899="OR",--(COUNTIFS(nNIA,DATOS!$A2899,nCURSO,DATOS!$D2899,nESPEC,DATOS!$E2899,nASIG,DATOS!$I2899,nEVAL,"EX")=0),0))))</f>
      </c>
      <c r="H2899">
        <f>IF(DATOS!$G2899&lt;&gt;"EX",0,--(COUNTIFS(nNIA,DATOS!$A2899,nCURSO,DATOS!$D2899,nESPEC,DATOS!$E2899,nASIG,DATOS!$I2899,nEVAL,"OR")=0))</f>
      </c>
      <c r="I2899">
        <f>IF(DATOS!$I2899="","",IFERROR(VLOOKUP(DATOS!$I2899,CONFIG_ASIGNATURAS!$B$2:$J$91,9,FALSE()),""))</f>
      </c>
    </row>
    <row r="2900">
      <c r="F2900">
        <f>IF(DATOS!$A2900="","",DATOS!$A2900&amp;"|"&amp;DATOS!$D2900&amp;"|"&amp;DATOS!$E2900&amp;"|"&amp;DATOS!$I2900)</f>
      </c>
      <c r="G2900">
        <f>IF(DATOS!$A2900="",0,IF(CONFIG_METADATA!$B$4&lt;&gt;"OR+EX",--(DATOS!$G2900=CONFIG_METADATA!$B$4),IF(DATOS!$G2900="EX",1,IF(DATOS!$G2900="OR",--(COUNTIFS(nNIA,DATOS!$A2900,nCURSO,DATOS!$D2900,nESPEC,DATOS!$E2900,nASIG,DATOS!$I2900,nEVAL,"EX")=0),0))))</f>
      </c>
      <c r="H2900">
        <f>IF(DATOS!$G2900&lt;&gt;"EX",0,--(COUNTIFS(nNIA,DATOS!$A2900,nCURSO,DATOS!$D2900,nESPEC,DATOS!$E2900,nASIG,DATOS!$I2900,nEVAL,"OR")=0))</f>
      </c>
      <c r="I2900">
        <f>IF(DATOS!$I2900="","",IFERROR(VLOOKUP(DATOS!$I2900,CONFIG_ASIGNATURAS!$B$2:$J$91,9,FALSE()),""))</f>
      </c>
    </row>
    <row r="2901">
      <c r="F2901">
        <f>IF(DATOS!$A2901="","",DATOS!$A2901&amp;"|"&amp;DATOS!$D2901&amp;"|"&amp;DATOS!$E2901&amp;"|"&amp;DATOS!$I2901)</f>
      </c>
      <c r="G2901">
        <f>IF(DATOS!$A2901="",0,IF(CONFIG_METADATA!$B$4&lt;&gt;"OR+EX",--(DATOS!$G2901=CONFIG_METADATA!$B$4),IF(DATOS!$G2901="EX",1,IF(DATOS!$G2901="OR",--(COUNTIFS(nNIA,DATOS!$A2901,nCURSO,DATOS!$D2901,nESPEC,DATOS!$E2901,nASIG,DATOS!$I2901,nEVAL,"EX")=0),0))))</f>
      </c>
      <c r="H2901">
        <f>IF(DATOS!$G2901&lt;&gt;"EX",0,--(COUNTIFS(nNIA,DATOS!$A2901,nCURSO,DATOS!$D2901,nESPEC,DATOS!$E2901,nASIG,DATOS!$I2901,nEVAL,"OR")=0))</f>
      </c>
      <c r="I2901">
        <f>IF(DATOS!$I2901="","",IFERROR(VLOOKUP(DATOS!$I2901,CONFIG_ASIGNATURAS!$B$2:$J$91,9,FALSE()),""))</f>
      </c>
    </row>
    <row r="2902">
      <c r="F2902">
        <f>IF(DATOS!$A2902="","",DATOS!$A2902&amp;"|"&amp;DATOS!$D2902&amp;"|"&amp;DATOS!$E2902&amp;"|"&amp;DATOS!$I2902)</f>
      </c>
      <c r="G2902">
        <f>IF(DATOS!$A2902="",0,IF(CONFIG_METADATA!$B$4&lt;&gt;"OR+EX",--(DATOS!$G2902=CONFIG_METADATA!$B$4),IF(DATOS!$G2902="EX",1,IF(DATOS!$G2902="OR",--(COUNTIFS(nNIA,DATOS!$A2902,nCURSO,DATOS!$D2902,nESPEC,DATOS!$E2902,nASIG,DATOS!$I2902,nEVAL,"EX")=0),0))))</f>
      </c>
      <c r="H2902">
        <f>IF(DATOS!$G2902&lt;&gt;"EX",0,--(COUNTIFS(nNIA,DATOS!$A2902,nCURSO,DATOS!$D2902,nESPEC,DATOS!$E2902,nASIG,DATOS!$I2902,nEVAL,"OR")=0))</f>
      </c>
      <c r="I2902">
        <f>IF(DATOS!$I2902="","",IFERROR(VLOOKUP(DATOS!$I2902,CONFIG_ASIGNATURAS!$B$2:$J$91,9,FALSE()),""))</f>
      </c>
    </row>
    <row r="2903">
      <c r="F2903">
        <f>IF(DATOS!$A2903="","",DATOS!$A2903&amp;"|"&amp;DATOS!$D2903&amp;"|"&amp;DATOS!$E2903&amp;"|"&amp;DATOS!$I2903)</f>
      </c>
      <c r="G2903">
        <f>IF(DATOS!$A2903="",0,IF(CONFIG_METADATA!$B$4&lt;&gt;"OR+EX",--(DATOS!$G2903=CONFIG_METADATA!$B$4),IF(DATOS!$G2903="EX",1,IF(DATOS!$G2903="OR",--(COUNTIFS(nNIA,DATOS!$A2903,nCURSO,DATOS!$D2903,nESPEC,DATOS!$E2903,nASIG,DATOS!$I2903,nEVAL,"EX")=0),0))))</f>
      </c>
      <c r="H2903">
        <f>IF(DATOS!$G2903&lt;&gt;"EX",0,--(COUNTIFS(nNIA,DATOS!$A2903,nCURSO,DATOS!$D2903,nESPEC,DATOS!$E2903,nASIG,DATOS!$I2903,nEVAL,"OR")=0))</f>
      </c>
      <c r="I2903">
        <f>IF(DATOS!$I2903="","",IFERROR(VLOOKUP(DATOS!$I2903,CONFIG_ASIGNATURAS!$B$2:$J$91,9,FALSE()),""))</f>
      </c>
    </row>
    <row r="2904">
      <c r="F2904">
        <f>IF(DATOS!$A2904="","",DATOS!$A2904&amp;"|"&amp;DATOS!$D2904&amp;"|"&amp;DATOS!$E2904&amp;"|"&amp;DATOS!$I2904)</f>
      </c>
      <c r="G2904">
        <f>IF(DATOS!$A2904="",0,IF(CONFIG_METADATA!$B$4&lt;&gt;"OR+EX",--(DATOS!$G2904=CONFIG_METADATA!$B$4),IF(DATOS!$G2904="EX",1,IF(DATOS!$G2904="OR",--(COUNTIFS(nNIA,DATOS!$A2904,nCURSO,DATOS!$D2904,nESPEC,DATOS!$E2904,nASIG,DATOS!$I2904,nEVAL,"EX")=0),0))))</f>
      </c>
      <c r="H2904">
        <f>IF(DATOS!$G2904&lt;&gt;"EX",0,--(COUNTIFS(nNIA,DATOS!$A2904,nCURSO,DATOS!$D2904,nESPEC,DATOS!$E2904,nASIG,DATOS!$I2904,nEVAL,"OR")=0))</f>
      </c>
      <c r="I2904">
        <f>IF(DATOS!$I2904="","",IFERROR(VLOOKUP(DATOS!$I2904,CONFIG_ASIGNATURAS!$B$2:$J$91,9,FALSE()),""))</f>
      </c>
    </row>
    <row r="2905">
      <c r="F2905">
        <f>IF(DATOS!$A2905="","",DATOS!$A2905&amp;"|"&amp;DATOS!$D2905&amp;"|"&amp;DATOS!$E2905&amp;"|"&amp;DATOS!$I2905)</f>
      </c>
      <c r="G2905">
        <f>IF(DATOS!$A2905="",0,IF(CONFIG_METADATA!$B$4&lt;&gt;"OR+EX",--(DATOS!$G2905=CONFIG_METADATA!$B$4),IF(DATOS!$G2905="EX",1,IF(DATOS!$G2905="OR",--(COUNTIFS(nNIA,DATOS!$A2905,nCURSO,DATOS!$D2905,nESPEC,DATOS!$E2905,nASIG,DATOS!$I2905,nEVAL,"EX")=0),0))))</f>
      </c>
      <c r="H2905">
        <f>IF(DATOS!$G2905&lt;&gt;"EX",0,--(COUNTIFS(nNIA,DATOS!$A2905,nCURSO,DATOS!$D2905,nESPEC,DATOS!$E2905,nASIG,DATOS!$I2905,nEVAL,"OR")=0))</f>
      </c>
      <c r="I2905">
        <f>IF(DATOS!$I2905="","",IFERROR(VLOOKUP(DATOS!$I2905,CONFIG_ASIGNATURAS!$B$2:$J$91,9,FALSE()),""))</f>
      </c>
    </row>
    <row r="2906">
      <c r="F2906">
        <f>IF(DATOS!$A2906="","",DATOS!$A2906&amp;"|"&amp;DATOS!$D2906&amp;"|"&amp;DATOS!$E2906&amp;"|"&amp;DATOS!$I2906)</f>
      </c>
      <c r="G2906">
        <f>IF(DATOS!$A2906="",0,IF(CONFIG_METADATA!$B$4&lt;&gt;"OR+EX",--(DATOS!$G2906=CONFIG_METADATA!$B$4),IF(DATOS!$G2906="EX",1,IF(DATOS!$G2906="OR",--(COUNTIFS(nNIA,DATOS!$A2906,nCURSO,DATOS!$D2906,nESPEC,DATOS!$E2906,nASIG,DATOS!$I2906,nEVAL,"EX")=0),0))))</f>
      </c>
      <c r="H2906">
        <f>IF(DATOS!$G2906&lt;&gt;"EX",0,--(COUNTIFS(nNIA,DATOS!$A2906,nCURSO,DATOS!$D2906,nESPEC,DATOS!$E2906,nASIG,DATOS!$I2906,nEVAL,"OR")=0))</f>
      </c>
      <c r="I2906">
        <f>IF(DATOS!$I2906="","",IFERROR(VLOOKUP(DATOS!$I2906,CONFIG_ASIGNATURAS!$B$2:$J$91,9,FALSE()),""))</f>
      </c>
    </row>
    <row r="2907">
      <c r="F2907">
        <f>IF(DATOS!$A2907="","",DATOS!$A2907&amp;"|"&amp;DATOS!$D2907&amp;"|"&amp;DATOS!$E2907&amp;"|"&amp;DATOS!$I2907)</f>
      </c>
      <c r="G2907">
        <f>IF(DATOS!$A2907="",0,IF(CONFIG_METADATA!$B$4&lt;&gt;"OR+EX",--(DATOS!$G2907=CONFIG_METADATA!$B$4),IF(DATOS!$G2907="EX",1,IF(DATOS!$G2907="OR",--(COUNTIFS(nNIA,DATOS!$A2907,nCURSO,DATOS!$D2907,nESPEC,DATOS!$E2907,nASIG,DATOS!$I2907,nEVAL,"EX")=0),0))))</f>
      </c>
      <c r="H2907">
        <f>IF(DATOS!$G2907&lt;&gt;"EX",0,--(COUNTIFS(nNIA,DATOS!$A2907,nCURSO,DATOS!$D2907,nESPEC,DATOS!$E2907,nASIG,DATOS!$I2907,nEVAL,"OR")=0))</f>
      </c>
      <c r="I2907">
        <f>IF(DATOS!$I2907="","",IFERROR(VLOOKUP(DATOS!$I2907,CONFIG_ASIGNATURAS!$B$2:$J$91,9,FALSE()),""))</f>
      </c>
    </row>
    <row r="2908">
      <c r="F2908">
        <f>IF(DATOS!$A2908="","",DATOS!$A2908&amp;"|"&amp;DATOS!$D2908&amp;"|"&amp;DATOS!$E2908&amp;"|"&amp;DATOS!$I2908)</f>
      </c>
      <c r="G2908">
        <f>IF(DATOS!$A2908="",0,IF(CONFIG_METADATA!$B$4&lt;&gt;"OR+EX",--(DATOS!$G2908=CONFIG_METADATA!$B$4),IF(DATOS!$G2908="EX",1,IF(DATOS!$G2908="OR",--(COUNTIFS(nNIA,DATOS!$A2908,nCURSO,DATOS!$D2908,nESPEC,DATOS!$E2908,nASIG,DATOS!$I2908,nEVAL,"EX")=0),0))))</f>
      </c>
      <c r="H2908">
        <f>IF(DATOS!$G2908&lt;&gt;"EX",0,--(COUNTIFS(nNIA,DATOS!$A2908,nCURSO,DATOS!$D2908,nESPEC,DATOS!$E2908,nASIG,DATOS!$I2908,nEVAL,"OR")=0))</f>
      </c>
      <c r="I2908">
        <f>IF(DATOS!$I2908="","",IFERROR(VLOOKUP(DATOS!$I2908,CONFIG_ASIGNATURAS!$B$2:$J$91,9,FALSE()),""))</f>
      </c>
    </row>
    <row r="2909">
      <c r="F2909">
        <f>IF(DATOS!$A2909="","",DATOS!$A2909&amp;"|"&amp;DATOS!$D2909&amp;"|"&amp;DATOS!$E2909&amp;"|"&amp;DATOS!$I2909)</f>
      </c>
      <c r="G2909">
        <f>IF(DATOS!$A2909="",0,IF(CONFIG_METADATA!$B$4&lt;&gt;"OR+EX",--(DATOS!$G2909=CONFIG_METADATA!$B$4),IF(DATOS!$G2909="EX",1,IF(DATOS!$G2909="OR",--(COUNTIFS(nNIA,DATOS!$A2909,nCURSO,DATOS!$D2909,nESPEC,DATOS!$E2909,nASIG,DATOS!$I2909,nEVAL,"EX")=0),0))))</f>
      </c>
      <c r="H2909">
        <f>IF(DATOS!$G2909&lt;&gt;"EX",0,--(COUNTIFS(nNIA,DATOS!$A2909,nCURSO,DATOS!$D2909,nESPEC,DATOS!$E2909,nASIG,DATOS!$I2909,nEVAL,"OR")=0))</f>
      </c>
      <c r="I2909">
        <f>IF(DATOS!$I2909="","",IFERROR(VLOOKUP(DATOS!$I2909,CONFIG_ASIGNATURAS!$B$2:$J$91,9,FALSE()),""))</f>
      </c>
    </row>
    <row r="2910">
      <c r="F2910">
        <f>IF(DATOS!$A2910="","",DATOS!$A2910&amp;"|"&amp;DATOS!$D2910&amp;"|"&amp;DATOS!$E2910&amp;"|"&amp;DATOS!$I2910)</f>
      </c>
      <c r="G2910">
        <f>IF(DATOS!$A2910="",0,IF(CONFIG_METADATA!$B$4&lt;&gt;"OR+EX",--(DATOS!$G2910=CONFIG_METADATA!$B$4),IF(DATOS!$G2910="EX",1,IF(DATOS!$G2910="OR",--(COUNTIFS(nNIA,DATOS!$A2910,nCURSO,DATOS!$D2910,nESPEC,DATOS!$E2910,nASIG,DATOS!$I2910,nEVAL,"EX")=0),0))))</f>
      </c>
      <c r="H2910">
        <f>IF(DATOS!$G2910&lt;&gt;"EX",0,--(COUNTIFS(nNIA,DATOS!$A2910,nCURSO,DATOS!$D2910,nESPEC,DATOS!$E2910,nASIG,DATOS!$I2910,nEVAL,"OR")=0))</f>
      </c>
      <c r="I2910">
        <f>IF(DATOS!$I2910="","",IFERROR(VLOOKUP(DATOS!$I2910,CONFIG_ASIGNATURAS!$B$2:$J$91,9,FALSE()),""))</f>
      </c>
    </row>
    <row r="2911">
      <c r="F2911">
        <f>IF(DATOS!$A2911="","",DATOS!$A2911&amp;"|"&amp;DATOS!$D2911&amp;"|"&amp;DATOS!$E2911&amp;"|"&amp;DATOS!$I2911)</f>
      </c>
      <c r="G2911">
        <f>IF(DATOS!$A2911="",0,IF(CONFIG_METADATA!$B$4&lt;&gt;"OR+EX",--(DATOS!$G2911=CONFIG_METADATA!$B$4),IF(DATOS!$G2911="EX",1,IF(DATOS!$G2911="OR",--(COUNTIFS(nNIA,DATOS!$A2911,nCURSO,DATOS!$D2911,nESPEC,DATOS!$E2911,nASIG,DATOS!$I2911,nEVAL,"EX")=0),0))))</f>
      </c>
      <c r="H2911">
        <f>IF(DATOS!$G2911&lt;&gt;"EX",0,--(COUNTIFS(nNIA,DATOS!$A2911,nCURSO,DATOS!$D2911,nESPEC,DATOS!$E2911,nASIG,DATOS!$I2911,nEVAL,"OR")=0))</f>
      </c>
      <c r="I2911">
        <f>IF(DATOS!$I2911="","",IFERROR(VLOOKUP(DATOS!$I2911,CONFIG_ASIGNATURAS!$B$2:$J$91,9,FALSE()),""))</f>
      </c>
    </row>
    <row r="2912">
      <c r="F2912">
        <f>IF(DATOS!$A2912="","",DATOS!$A2912&amp;"|"&amp;DATOS!$D2912&amp;"|"&amp;DATOS!$E2912&amp;"|"&amp;DATOS!$I2912)</f>
      </c>
      <c r="G2912">
        <f>IF(DATOS!$A2912="",0,IF(CONFIG_METADATA!$B$4&lt;&gt;"OR+EX",--(DATOS!$G2912=CONFIG_METADATA!$B$4),IF(DATOS!$G2912="EX",1,IF(DATOS!$G2912="OR",--(COUNTIFS(nNIA,DATOS!$A2912,nCURSO,DATOS!$D2912,nESPEC,DATOS!$E2912,nASIG,DATOS!$I2912,nEVAL,"EX")=0),0))))</f>
      </c>
      <c r="H2912">
        <f>IF(DATOS!$G2912&lt;&gt;"EX",0,--(COUNTIFS(nNIA,DATOS!$A2912,nCURSO,DATOS!$D2912,nESPEC,DATOS!$E2912,nASIG,DATOS!$I2912,nEVAL,"OR")=0))</f>
      </c>
      <c r="I2912">
        <f>IF(DATOS!$I2912="","",IFERROR(VLOOKUP(DATOS!$I2912,CONFIG_ASIGNATURAS!$B$2:$J$91,9,FALSE()),""))</f>
      </c>
    </row>
    <row r="2913">
      <c r="F2913">
        <f>IF(DATOS!$A2913="","",DATOS!$A2913&amp;"|"&amp;DATOS!$D2913&amp;"|"&amp;DATOS!$E2913&amp;"|"&amp;DATOS!$I2913)</f>
      </c>
      <c r="G2913">
        <f>IF(DATOS!$A2913="",0,IF(CONFIG_METADATA!$B$4&lt;&gt;"OR+EX",--(DATOS!$G2913=CONFIG_METADATA!$B$4),IF(DATOS!$G2913="EX",1,IF(DATOS!$G2913="OR",--(COUNTIFS(nNIA,DATOS!$A2913,nCURSO,DATOS!$D2913,nESPEC,DATOS!$E2913,nASIG,DATOS!$I2913,nEVAL,"EX")=0),0))))</f>
      </c>
      <c r="H2913">
        <f>IF(DATOS!$G2913&lt;&gt;"EX",0,--(COUNTIFS(nNIA,DATOS!$A2913,nCURSO,DATOS!$D2913,nESPEC,DATOS!$E2913,nASIG,DATOS!$I2913,nEVAL,"OR")=0))</f>
      </c>
      <c r="I2913">
        <f>IF(DATOS!$I2913="","",IFERROR(VLOOKUP(DATOS!$I2913,CONFIG_ASIGNATURAS!$B$2:$J$91,9,FALSE()),""))</f>
      </c>
    </row>
    <row r="2914">
      <c r="F2914">
        <f>IF(DATOS!$A2914="","",DATOS!$A2914&amp;"|"&amp;DATOS!$D2914&amp;"|"&amp;DATOS!$E2914&amp;"|"&amp;DATOS!$I2914)</f>
      </c>
      <c r="G2914">
        <f>IF(DATOS!$A2914="",0,IF(CONFIG_METADATA!$B$4&lt;&gt;"OR+EX",--(DATOS!$G2914=CONFIG_METADATA!$B$4),IF(DATOS!$G2914="EX",1,IF(DATOS!$G2914="OR",--(COUNTIFS(nNIA,DATOS!$A2914,nCURSO,DATOS!$D2914,nESPEC,DATOS!$E2914,nASIG,DATOS!$I2914,nEVAL,"EX")=0),0))))</f>
      </c>
      <c r="H2914">
        <f>IF(DATOS!$G2914&lt;&gt;"EX",0,--(COUNTIFS(nNIA,DATOS!$A2914,nCURSO,DATOS!$D2914,nESPEC,DATOS!$E2914,nASIG,DATOS!$I2914,nEVAL,"OR")=0))</f>
      </c>
      <c r="I2914">
        <f>IF(DATOS!$I2914="","",IFERROR(VLOOKUP(DATOS!$I2914,CONFIG_ASIGNATURAS!$B$2:$J$91,9,FALSE()),""))</f>
      </c>
    </row>
    <row r="2915">
      <c r="F2915">
        <f>IF(DATOS!$A2915="","",DATOS!$A2915&amp;"|"&amp;DATOS!$D2915&amp;"|"&amp;DATOS!$E2915&amp;"|"&amp;DATOS!$I2915)</f>
      </c>
      <c r="G2915">
        <f>IF(DATOS!$A2915="",0,IF(CONFIG_METADATA!$B$4&lt;&gt;"OR+EX",--(DATOS!$G2915=CONFIG_METADATA!$B$4),IF(DATOS!$G2915="EX",1,IF(DATOS!$G2915="OR",--(COUNTIFS(nNIA,DATOS!$A2915,nCURSO,DATOS!$D2915,nESPEC,DATOS!$E2915,nASIG,DATOS!$I2915,nEVAL,"EX")=0),0))))</f>
      </c>
      <c r="H2915">
        <f>IF(DATOS!$G2915&lt;&gt;"EX",0,--(COUNTIFS(nNIA,DATOS!$A2915,nCURSO,DATOS!$D2915,nESPEC,DATOS!$E2915,nASIG,DATOS!$I2915,nEVAL,"OR")=0))</f>
      </c>
      <c r="I2915">
        <f>IF(DATOS!$I2915="","",IFERROR(VLOOKUP(DATOS!$I2915,CONFIG_ASIGNATURAS!$B$2:$J$91,9,FALSE()),""))</f>
      </c>
    </row>
    <row r="2916">
      <c r="F2916">
        <f>IF(DATOS!$A2916="","",DATOS!$A2916&amp;"|"&amp;DATOS!$D2916&amp;"|"&amp;DATOS!$E2916&amp;"|"&amp;DATOS!$I2916)</f>
      </c>
      <c r="G2916">
        <f>IF(DATOS!$A2916="",0,IF(CONFIG_METADATA!$B$4&lt;&gt;"OR+EX",--(DATOS!$G2916=CONFIG_METADATA!$B$4),IF(DATOS!$G2916="EX",1,IF(DATOS!$G2916="OR",--(COUNTIFS(nNIA,DATOS!$A2916,nCURSO,DATOS!$D2916,nESPEC,DATOS!$E2916,nASIG,DATOS!$I2916,nEVAL,"EX")=0),0))))</f>
      </c>
      <c r="H2916">
        <f>IF(DATOS!$G2916&lt;&gt;"EX",0,--(COUNTIFS(nNIA,DATOS!$A2916,nCURSO,DATOS!$D2916,nESPEC,DATOS!$E2916,nASIG,DATOS!$I2916,nEVAL,"OR")=0))</f>
      </c>
      <c r="I2916">
        <f>IF(DATOS!$I2916="","",IFERROR(VLOOKUP(DATOS!$I2916,CONFIG_ASIGNATURAS!$B$2:$J$91,9,FALSE()),""))</f>
      </c>
    </row>
    <row r="2917">
      <c r="F2917">
        <f>IF(DATOS!$A2917="","",DATOS!$A2917&amp;"|"&amp;DATOS!$D2917&amp;"|"&amp;DATOS!$E2917&amp;"|"&amp;DATOS!$I2917)</f>
      </c>
      <c r="G2917">
        <f>IF(DATOS!$A2917="",0,IF(CONFIG_METADATA!$B$4&lt;&gt;"OR+EX",--(DATOS!$G2917=CONFIG_METADATA!$B$4),IF(DATOS!$G2917="EX",1,IF(DATOS!$G2917="OR",--(COUNTIFS(nNIA,DATOS!$A2917,nCURSO,DATOS!$D2917,nESPEC,DATOS!$E2917,nASIG,DATOS!$I2917,nEVAL,"EX")=0),0))))</f>
      </c>
      <c r="H2917">
        <f>IF(DATOS!$G2917&lt;&gt;"EX",0,--(COUNTIFS(nNIA,DATOS!$A2917,nCURSO,DATOS!$D2917,nESPEC,DATOS!$E2917,nASIG,DATOS!$I2917,nEVAL,"OR")=0))</f>
      </c>
      <c r="I2917">
        <f>IF(DATOS!$I2917="","",IFERROR(VLOOKUP(DATOS!$I2917,CONFIG_ASIGNATURAS!$B$2:$J$91,9,FALSE()),""))</f>
      </c>
    </row>
    <row r="2918">
      <c r="F2918">
        <f>IF(DATOS!$A2918="","",DATOS!$A2918&amp;"|"&amp;DATOS!$D2918&amp;"|"&amp;DATOS!$E2918&amp;"|"&amp;DATOS!$I2918)</f>
      </c>
      <c r="G2918">
        <f>IF(DATOS!$A2918="",0,IF(CONFIG_METADATA!$B$4&lt;&gt;"OR+EX",--(DATOS!$G2918=CONFIG_METADATA!$B$4),IF(DATOS!$G2918="EX",1,IF(DATOS!$G2918="OR",--(COUNTIFS(nNIA,DATOS!$A2918,nCURSO,DATOS!$D2918,nESPEC,DATOS!$E2918,nASIG,DATOS!$I2918,nEVAL,"EX")=0),0))))</f>
      </c>
      <c r="H2918">
        <f>IF(DATOS!$G2918&lt;&gt;"EX",0,--(COUNTIFS(nNIA,DATOS!$A2918,nCURSO,DATOS!$D2918,nESPEC,DATOS!$E2918,nASIG,DATOS!$I2918,nEVAL,"OR")=0))</f>
      </c>
      <c r="I2918">
        <f>IF(DATOS!$I2918="","",IFERROR(VLOOKUP(DATOS!$I2918,CONFIG_ASIGNATURAS!$B$2:$J$91,9,FALSE()),""))</f>
      </c>
    </row>
    <row r="2919">
      <c r="F2919">
        <f>IF(DATOS!$A2919="","",DATOS!$A2919&amp;"|"&amp;DATOS!$D2919&amp;"|"&amp;DATOS!$E2919&amp;"|"&amp;DATOS!$I2919)</f>
      </c>
      <c r="G2919">
        <f>IF(DATOS!$A2919="",0,IF(CONFIG_METADATA!$B$4&lt;&gt;"OR+EX",--(DATOS!$G2919=CONFIG_METADATA!$B$4),IF(DATOS!$G2919="EX",1,IF(DATOS!$G2919="OR",--(COUNTIFS(nNIA,DATOS!$A2919,nCURSO,DATOS!$D2919,nESPEC,DATOS!$E2919,nASIG,DATOS!$I2919,nEVAL,"EX")=0),0))))</f>
      </c>
      <c r="H2919">
        <f>IF(DATOS!$G2919&lt;&gt;"EX",0,--(COUNTIFS(nNIA,DATOS!$A2919,nCURSO,DATOS!$D2919,nESPEC,DATOS!$E2919,nASIG,DATOS!$I2919,nEVAL,"OR")=0))</f>
      </c>
      <c r="I2919">
        <f>IF(DATOS!$I2919="","",IFERROR(VLOOKUP(DATOS!$I2919,CONFIG_ASIGNATURAS!$B$2:$J$91,9,FALSE()),""))</f>
      </c>
    </row>
    <row r="2920">
      <c r="F2920">
        <f>IF(DATOS!$A2920="","",DATOS!$A2920&amp;"|"&amp;DATOS!$D2920&amp;"|"&amp;DATOS!$E2920&amp;"|"&amp;DATOS!$I2920)</f>
      </c>
      <c r="G2920">
        <f>IF(DATOS!$A2920="",0,IF(CONFIG_METADATA!$B$4&lt;&gt;"OR+EX",--(DATOS!$G2920=CONFIG_METADATA!$B$4),IF(DATOS!$G2920="EX",1,IF(DATOS!$G2920="OR",--(COUNTIFS(nNIA,DATOS!$A2920,nCURSO,DATOS!$D2920,nESPEC,DATOS!$E2920,nASIG,DATOS!$I2920,nEVAL,"EX")=0),0))))</f>
      </c>
      <c r="H2920">
        <f>IF(DATOS!$G2920&lt;&gt;"EX",0,--(COUNTIFS(nNIA,DATOS!$A2920,nCURSO,DATOS!$D2920,nESPEC,DATOS!$E2920,nASIG,DATOS!$I2920,nEVAL,"OR")=0))</f>
      </c>
      <c r="I2920">
        <f>IF(DATOS!$I2920="","",IFERROR(VLOOKUP(DATOS!$I2920,CONFIG_ASIGNATURAS!$B$2:$J$91,9,FALSE()),""))</f>
      </c>
    </row>
    <row r="2921">
      <c r="F2921">
        <f>IF(DATOS!$A2921="","",DATOS!$A2921&amp;"|"&amp;DATOS!$D2921&amp;"|"&amp;DATOS!$E2921&amp;"|"&amp;DATOS!$I2921)</f>
      </c>
      <c r="G2921">
        <f>IF(DATOS!$A2921="",0,IF(CONFIG_METADATA!$B$4&lt;&gt;"OR+EX",--(DATOS!$G2921=CONFIG_METADATA!$B$4),IF(DATOS!$G2921="EX",1,IF(DATOS!$G2921="OR",--(COUNTIFS(nNIA,DATOS!$A2921,nCURSO,DATOS!$D2921,nESPEC,DATOS!$E2921,nASIG,DATOS!$I2921,nEVAL,"EX")=0),0))))</f>
      </c>
      <c r="H2921">
        <f>IF(DATOS!$G2921&lt;&gt;"EX",0,--(COUNTIFS(nNIA,DATOS!$A2921,nCURSO,DATOS!$D2921,nESPEC,DATOS!$E2921,nASIG,DATOS!$I2921,nEVAL,"OR")=0))</f>
      </c>
      <c r="I2921">
        <f>IF(DATOS!$I2921="","",IFERROR(VLOOKUP(DATOS!$I2921,CONFIG_ASIGNATURAS!$B$2:$J$91,9,FALSE()),""))</f>
      </c>
    </row>
    <row r="2922">
      <c r="F2922">
        <f>IF(DATOS!$A2922="","",DATOS!$A2922&amp;"|"&amp;DATOS!$D2922&amp;"|"&amp;DATOS!$E2922&amp;"|"&amp;DATOS!$I2922)</f>
      </c>
      <c r="G2922">
        <f>IF(DATOS!$A2922="",0,IF(CONFIG_METADATA!$B$4&lt;&gt;"OR+EX",--(DATOS!$G2922=CONFIG_METADATA!$B$4),IF(DATOS!$G2922="EX",1,IF(DATOS!$G2922="OR",--(COUNTIFS(nNIA,DATOS!$A2922,nCURSO,DATOS!$D2922,nESPEC,DATOS!$E2922,nASIG,DATOS!$I2922,nEVAL,"EX")=0),0))))</f>
      </c>
      <c r="H2922">
        <f>IF(DATOS!$G2922&lt;&gt;"EX",0,--(COUNTIFS(nNIA,DATOS!$A2922,nCURSO,DATOS!$D2922,nESPEC,DATOS!$E2922,nASIG,DATOS!$I2922,nEVAL,"OR")=0))</f>
      </c>
      <c r="I2922">
        <f>IF(DATOS!$I2922="","",IFERROR(VLOOKUP(DATOS!$I2922,CONFIG_ASIGNATURAS!$B$2:$J$91,9,FALSE()),""))</f>
      </c>
    </row>
    <row r="2923">
      <c r="F2923">
        <f>IF(DATOS!$A2923="","",DATOS!$A2923&amp;"|"&amp;DATOS!$D2923&amp;"|"&amp;DATOS!$E2923&amp;"|"&amp;DATOS!$I2923)</f>
      </c>
      <c r="G2923">
        <f>IF(DATOS!$A2923="",0,IF(CONFIG_METADATA!$B$4&lt;&gt;"OR+EX",--(DATOS!$G2923=CONFIG_METADATA!$B$4),IF(DATOS!$G2923="EX",1,IF(DATOS!$G2923="OR",--(COUNTIFS(nNIA,DATOS!$A2923,nCURSO,DATOS!$D2923,nESPEC,DATOS!$E2923,nASIG,DATOS!$I2923,nEVAL,"EX")=0),0))))</f>
      </c>
      <c r="H2923">
        <f>IF(DATOS!$G2923&lt;&gt;"EX",0,--(COUNTIFS(nNIA,DATOS!$A2923,nCURSO,DATOS!$D2923,nESPEC,DATOS!$E2923,nASIG,DATOS!$I2923,nEVAL,"OR")=0))</f>
      </c>
      <c r="I2923">
        <f>IF(DATOS!$I2923="","",IFERROR(VLOOKUP(DATOS!$I2923,CONFIG_ASIGNATURAS!$B$2:$J$91,9,FALSE()),""))</f>
      </c>
    </row>
    <row r="2924">
      <c r="F2924">
        <f>IF(DATOS!$A2924="","",DATOS!$A2924&amp;"|"&amp;DATOS!$D2924&amp;"|"&amp;DATOS!$E2924&amp;"|"&amp;DATOS!$I2924)</f>
      </c>
      <c r="G2924">
        <f>IF(DATOS!$A2924="",0,IF(CONFIG_METADATA!$B$4&lt;&gt;"OR+EX",--(DATOS!$G2924=CONFIG_METADATA!$B$4),IF(DATOS!$G2924="EX",1,IF(DATOS!$G2924="OR",--(COUNTIFS(nNIA,DATOS!$A2924,nCURSO,DATOS!$D2924,nESPEC,DATOS!$E2924,nASIG,DATOS!$I2924,nEVAL,"EX")=0),0))))</f>
      </c>
      <c r="H2924">
        <f>IF(DATOS!$G2924&lt;&gt;"EX",0,--(COUNTIFS(nNIA,DATOS!$A2924,nCURSO,DATOS!$D2924,nESPEC,DATOS!$E2924,nASIG,DATOS!$I2924,nEVAL,"OR")=0))</f>
      </c>
      <c r="I2924">
        <f>IF(DATOS!$I2924="","",IFERROR(VLOOKUP(DATOS!$I2924,CONFIG_ASIGNATURAS!$B$2:$J$91,9,FALSE()),""))</f>
      </c>
    </row>
    <row r="2925">
      <c r="F2925">
        <f>IF(DATOS!$A2925="","",DATOS!$A2925&amp;"|"&amp;DATOS!$D2925&amp;"|"&amp;DATOS!$E2925&amp;"|"&amp;DATOS!$I2925)</f>
      </c>
      <c r="G2925">
        <f>IF(DATOS!$A2925="",0,IF(CONFIG_METADATA!$B$4&lt;&gt;"OR+EX",--(DATOS!$G2925=CONFIG_METADATA!$B$4),IF(DATOS!$G2925="EX",1,IF(DATOS!$G2925="OR",--(COUNTIFS(nNIA,DATOS!$A2925,nCURSO,DATOS!$D2925,nESPEC,DATOS!$E2925,nASIG,DATOS!$I2925,nEVAL,"EX")=0),0))))</f>
      </c>
      <c r="H2925">
        <f>IF(DATOS!$G2925&lt;&gt;"EX",0,--(COUNTIFS(nNIA,DATOS!$A2925,nCURSO,DATOS!$D2925,nESPEC,DATOS!$E2925,nASIG,DATOS!$I2925,nEVAL,"OR")=0))</f>
      </c>
      <c r="I2925">
        <f>IF(DATOS!$I2925="","",IFERROR(VLOOKUP(DATOS!$I2925,CONFIG_ASIGNATURAS!$B$2:$J$91,9,FALSE()),""))</f>
      </c>
    </row>
    <row r="2926">
      <c r="F2926">
        <f>IF(DATOS!$A2926="","",DATOS!$A2926&amp;"|"&amp;DATOS!$D2926&amp;"|"&amp;DATOS!$E2926&amp;"|"&amp;DATOS!$I2926)</f>
      </c>
      <c r="G2926">
        <f>IF(DATOS!$A2926="",0,IF(CONFIG_METADATA!$B$4&lt;&gt;"OR+EX",--(DATOS!$G2926=CONFIG_METADATA!$B$4),IF(DATOS!$G2926="EX",1,IF(DATOS!$G2926="OR",--(COUNTIFS(nNIA,DATOS!$A2926,nCURSO,DATOS!$D2926,nESPEC,DATOS!$E2926,nASIG,DATOS!$I2926,nEVAL,"EX")=0),0))))</f>
      </c>
      <c r="H2926">
        <f>IF(DATOS!$G2926&lt;&gt;"EX",0,--(COUNTIFS(nNIA,DATOS!$A2926,nCURSO,DATOS!$D2926,nESPEC,DATOS!$E2926,nASIG,DATOS!$I2926,nEVAL,"OR")=0))</f>
      </c>
      <c r="I2926">
        <f>IF(DATOS!$I2926="","",IFERROR(VLOOKUP(DATOS!$I2926,CONFIG_ASIGNATURAS!$B$2:$J$91,9,FALSE()),""))</f>
      </c>
    </row>
    <row r="2927">
      <c r="F2927">
        <f>IF(DATOS!$A2927="","",DATOS!$A2927&amp;"|"&amp;DATOS!$D2927&amp;"|"&amp;DATOS!$E2927&amp;"|"&amp;DATOS!$I2927)</f>
      </c>
      <c r="G2927">
        <f>IF(DATOS!$A2927="",0,IF(CONFIG_METADATA!$B$4&lt;&gt;"OR+EX",--(DATOS!$G2927=CONFIG_METADATA!$B$4),IF(DATOS!$G2927="EX",1,IF(DATOS!$G2927="OR",--(COUNTIFS(nNIA,DATOS!$A2927,nCURSO,DATOS!$D2927,nESPEC,DATOS!$E2927,nASIG,DATOS!$I2927,nEVAL,"EX")=0),0))))</f>
      </c>
      <c r="H2927">
        <f>IF(DATOS!$G2927&lt;&gt;"EX",0,--(COUNTIFS(nNIA,DATOS!$A2927,nCURSO,DATOS!$D2927,nESPEC,DATOS!$E2927,nASIG,DATOS!$I2927,nEVAL,"OR")=0))</f>
      </c>
      <c r="I2927">
        <f>IF(DATOS!$I2927="","",IFERROR(VLOOKUP(DATOS!$I2927,CONFIG_ASIGNATURAS!$B$2:$J$91,9,FALSE()),""))</f>
      </c>
    </row>
    <row r="2928">
      <c r="F2928">
        <f>IF(DATOS!$A2928="","",DATOS!$A2928&amp;"|"&amp;DATOS!$D2928&amp;"|"&amp;DATOS!$E2928&amp;"|"&amp;DATOS!$I2928)</f>
      </c>
      <c r="G2928">
        <f>IF(DATOS!$A2928="",0,IF(CONFIG_METADATA!$B$4&lt;&gt;"OR+EX",--(DATOS!$G2928=CONFIG_METADATA!$B$4),IF(DATOS!$G2928="EX",1,IF(DATOS!$G2928="OR",--(COUNTIFS(nNIA,DATOS!$A2928,nCURSO,DATOS!$D2928,nESPEC,DATOS!$E2928,nASIG,DATOS!$I2928,nEVAL,"EX")=0),0))))</f>
      </c>
      <c r="H2928">
        <f>IF(DATOS!$G2928&lt;&gt;"EX",0,--(COUNTIFS(nNIA,DATOS!$A2928,nCURSO,DATOS!$D2928,nESPEC,DATOS!$E2928,nASIG,DATOS!$I2928,nEVAL,"OR")=0))</f>
      </c>
      <c r="I2928">
        <f>IF(DATOS!$I2928="","",IFERROR(VLOOKUP(DATOS!$I2928,CONFIG_ASIGNATURAS!$B$2:$J$91,9,FALSE()),""))</f>
      </c>
    </row>
    <row r="2929">
      <c r="F2929">
        <f>IF(DATOS!$A2929="","",DATOS!$A2929&amp;"|"&amp;DATOS!$D2929&amp;"|"&amp;DATOS!$E2929&amp;"|"&amp;DATOS!$I2929)</f>
      </c>
      <c r="G2929">
        <f>IF(DATOS!$A2929="",0,IF(CONFIG_METADATA!$B$4&lt;&gt;"OR+EX",--(DATOS!$G2929=CONFIG_METADATA!$B$4),IF(DATOS!$G2929="EX",1,IF(DATOS!$G2929="OR",--(COUNTIFS(nNIA,DATOS!$A2929,nCURSO,DATOS!$D2929,nESPEC,DATOS!$E2929,nASIG,DATOS!$I2929,nEVAL,"EX")=0),0))))</f>
      </c>
      <c r="H2929">
        <f>IF(DATOS!$G2929&lt;&gt;"EX",0,--(COUNTIFS(nNIA,DATOS!$A2929,nCURSO,DATOS!$D2929,nESPEC,DATOS!$E2929,nASIG,DATOS!$I2929,nEVAL,"OR")=0))</f>
      </c>
      <c r="I2929">
        <f>IF(DATOS!$I2929="","",IFERROR(VLOOKUP(DATOS!$I2929,CONFIG_ASIGNATURAS!$B$2:$J$91,9,FALSE()),""))</f>
      </c>
    </row>
    <row r="2930">
      <c r="F2930">
        <f>IF(DATOS!$A2930="","",DATOS!$A2930&amp;"|"&amp;DATOS!$D2930&amp;"|"&amp;DATOS!$E2930&amp;"|"&amp;DATOS!$I2930)</f>
      </c>
      <c r="G2930">
        <f>IF(DATOS!$A2930="",0,IF(CONFIG_METADATA!$B$4&lt;&gt;"OR+EX",--(DATOS!$G2930=CONFIG_METADATA!$B$4),IF(DATOS!$G2930="EX",1,IF(DATOS!$G2930="OR",--(COUNTIFS(nNIA,DATOS!$A2930,nCURSO,DATOS!$D2930,nESPEC,DATOS!$E2930,nASIG,DATOS!$I2930,nEVAL,"EX")=0),0))))</f>
      </c>
      <c r="H2930">
        <f>IF(DATOS!$G2930&lt;&gt;"EX",0,--(COUNTIFS(nNIA,DATOS!$A2930,nCURSO,DATOS!$D2930,nESPEC,DATOS!$E2930,nASIG,DATOS!$I2930,nEVAL,"OR")=0))</f>
      </c>
      <c r="I2930">
        <f>IF(DATOS!$I2930="","",IFERROR(VLOOKUP(DATOS!$I2930,CONFIG_ASIGNATURAS!$B$2:$J$91,9,FALSE()),""))</f>
      </c>
    </row>
    <row r="2931">
      <c r="F2931">
        <f>IF(DATOS!$A2931="","",DATOS!$A2931&amp;"|"&amp;DATOS!$D2931&amp;"|"&amp;DATOS!$E2931&amp;"|"&amp;DATOS!$I2931)</f>
      </c>
      <c r="G2931">
        <f>IF(DATOS!$A2931="",0,IF(CONFIG_METADATA!$B$4&lt;&gt;"OR+EX",--(DATOS!$G2931=CONFIG_METADATA!$B$4),IF(DATOS!$G2931="EX",1,IF(DATOS!$G2931="OR",--(COUNTIFS(nNIA,DATOS!$A2931,nCURSO,DATOS!$D2931,nESPEC,DATOS!$E2931,nASIG,DATOS!$I2931,nEVAL,"EX")=0),0))))</f>
      </c>
      <c r="H2931">
        <f>IF(DATOS!$G2931&lt;&gt;"EX",0,--(COUNTIFS(nNIA,DATOS!$A2931,nCURSO,DATOS!$D2931,nESPEC,DATOS!$E2931,nASIG,DATOS!$I2931,nEVAL,"OR")=0))</f>
      </c>
      <c r="I2931">
        <f>IF(DATOS!$I2931="","",IFERROR(VLOOKUP(DATOS!$I2931,CONFIG_ASIGNATURAS!$B$2:$J$91,9,FALSE()),""))</f>
      </c>
    </row>
    <row r="2932">
      <c r="F2932">
        <f>IF(DATOS!$A2932="","",DATOS!$A2932&amp;"|"&amp;DATOS!$D2932&amp;"|"&amp;DATOS!$E2932&amp;"|"&amp;DATOS!$I2932)</f>
      </c>
      <c r="G2932">
        <f>IF(DATOS!$A2932="",0,IF(CONFIG_METADATA!$B$4&lt;&gt;"OR+EX",--(DATOS!$G2932=CONFIG_METADATA!$B$4),IF(DATOS!$G2932="EX",1,IF(DATOS!$G2932="OR",--(COUNTIFS(nNIA,DATOS!$A2932,nCURSO,DATOS!$D2932,nESPEC,DATOS!$E2932,nASIG,DATOS!$I2932,nEVAL,"EX")=0),0))))</f>
      </c>
      <c r="H2932">
        <f>IF(DATOS!$G2932&lt;&gt;"EX",0,--(COUNTIFS(nNIA,DATOS!$A2932,nCURSO,DATOS!$D2932,nESPEC,DATOS!$E2932,nASIG,DATOS!$I2932,nEVAL,"OR")=0))</f>
      </c>
      <c r="I2932">
        <f>IF(DATOS!$I2932="","",IFERROR(VLOOKUP(DATOS!$I2932,CONFIG_ASIGNATURAS!$B$2:$J$91,9,FALSE()),""))</f>
      </c>
    </row>
    <row r="2933">
      <c r="F2933">
        <f>IF(DATOS!$A2933="","",DATOS!$A2933&amp;"|"&amp;DATOS!$D2933&amp;"|"&amp;DATOS!$E2933&amp;"|"&amp;DATOS!$I2933)</f>
      </c>
      <c r="G2933">
        <f>IF(DATOS!$A2933="",0,IF(CONFIG_METADATA!$B$4&lt;&gt;"OR+EX",--(DATOS!$G2933=CONFIG_METADATA!$B$4),IF(DATOS!$G2933="EX",1,IF(DATOS!$G2933="OR",--(COUNTIFS(nNIA,DATOS!$A2933,nCURSO,DATOS!$D2933,nESPEC,DATOS!$E2933,nASIG,DATOS!$I2933,nEVAL,"EX")=0),0))))</f>
      </c>
      <c r="H2933">
        <f>IF(DATOS!$G2933&lt;&gt;"EX",0,--(COUNTIFS(nNIA,DATOS!$A2933,nCURSO,DATOS!$D2933,nESPEC,DATOS!$E2933,nASIG,DATOS!$I2933,nEVAL,"OR")=0))</f>
      </c>
      <c r="I2933">
        <f>IF(DATOS!$I2933="","",IFERROR(VLOOKUP(DATOS!$I2933,CONFIG_ASIGNATURAS!$B$2:$J$91,9,FALSE()),""))</f>
      </c>
    </row>
    <row r="2934">
      <c r="F2934">
        <f>IF(DATOS!$A2934="","",DATOS!$A2934&amp;"|"&amp;DATOS!$D2934&amp;"|"&amp;DATOS!$E2934&amp;"|"&amp;DATOS!$I2934)</f>
      </c>
      <c r="G2934">
        <f>IF(DATOS!$A2934="",0,IF(CONFIG_METADATA!$B$4&lt;&gt;"OR+EX",--(DATOS!$G2934=CONFIG_METADATA!$B$4),IF(DATOS!$G2934="EX",1,IF(DATOS!$G2934="OR",--(COUNTIFS(nNIA,DATOS!$A2934,nCURSO,DATOS!$D2934,nESPEC,DATOS!$E2934,nASIG,DATOS!$I2934,nEVAL,"EX")=0),0))))</f>
      </c>
      <c r="H2934">
        <f>IF(DATOS!$G2934&lt;&gt;"EX",0,--(COUNTIFS(nNIA,DATOS!$A2934,nCURSO,DATOS!$D2934,nESPEC,DATOS!$E2934,nASIG,DATOS!$I2934,nEVAL,"OR")=0))</f>
      </c>
      <c r="I2934">
        <f>IF(DATOS!$I2934="","",IFERROR(VLOOKUP(DATOS!$I2934,CONFIG_ASIGNATURAS!$B$2:$J$91,9,FALSE()),""))</f>
      </c>
    </row>
    <row r="2935">
      <c r="F2935">
        <f>IF(DATOS!$A2935="","",DATOS!$A2935&amp;"|"&amp;DATOS!$D2935&amp;"|"&amp;DATOS!$E2935&amp;"|"&amp;DATOS!$I2935)</f>
      </c>
      <c r="G2935">
        <f>IF(DATOS!$A2935="",0,IF(CONFIG_METADATA!$B$4&lt;&gt;"OR+EX",--(DATOS!$G2935=CONFIG_METADATA!$B$4),IF(DATOS!$G2935="EX",1,IF(DATOS!$G2935="OR",--(COUNTIFS(nNIA,DATOS!$A2935,nCURSO,DATOS!$D2935,nESPEC,DATOS!$E2935,nASIG,DATOS!$I2935,nEVAL,"EX")=0),0))))</f>
      </c>
      <c r="H2935">
        <f>IF(DATOS!$G2935&lt;&gt;"EX",0,--(COUNTIFS(nNIA,DATOS!$A2935,nCURSO,DATOS!$D2935,nESPEC,DATOS!$E2935,nASIG,DATOS!$I2935,nEVAL,"OR")=0))</f>
      </c>
      <c r="I2935">
        <f>IF(DATOS!$I2935="","",IFERROR(VLOOKUP(DATOS!$I2935,CONFIG_ASIGNATURAS!$B$2:$J$91,9,FALSE()),""))</f>
      </c>
    </row>
    <row r="2936">
      <c r="F2936">
        <f>IF(DATOS!$A2936="","",DATOS!$A2936&amp;"|"&amp;DATOS!$D2936&amp;"|"&amp;DATOS!$E2936&amp;"|"&amp;DATOS!$I2936)</f>
      </c>
      <c r="G2936">
        <f>IF(DATOS!$A2936="",0,IF(CONFIG_METADATA!$B$4&lt;&gt;"OR+EX",--(DATOS!$G2936=CONFIG_METADATA!$B$4),IF(DATOS!$G2936="EX",1,IF(DATOS!$G2936="OR",--(COUNTIFS(nNIA,DATOS!$A2936,nCURSO,DATOS!$D2936,nESPEC,DATOS!$E2936,nASIG,DATOS!$I2936,nEVAL,"EX")=0),0))))</f>
      </c>
      <c r="H2936">
        <f>IF(DATOS!$G2936&lt;&gt;"EX",0,--(COUNTIFS(nNIA,DATOS!$A2936,nCURSO,DATOS!$D2936,nESPEC,DATOS!$E2936,nASIG,DATOS!$I2936,nEVAL,"OR")=0))</f>
      </c>
      <c r="I2936">
        <f>IF(DATOS!$I2936="","",IFERROR(VLOOKUP(DATOS!$I2936,CONFIG_ASIGNATURAS!$B$2:$J$91,9,FALSE()),""))</f>
      </c>
    </row>
    <row r="2937">
      <c r="F2937">
        <f>IF(DATOS!$A2937="","",DATOS!$A2937&amp;"|"&amp;DATOS!$D2937&amp;"|"&amp;DATOS!$E2937&amp;"|"&amp;DATOS!$I2937)</f>
      </c>
      <c r="G2937">
        <f>IF(DATOS!$A2937="",0,IF(CONFIG_METADATA!$B$4&lt;&gt;"OR+EX",--(DATOS!$G2937=CONFIG_METADATA!$B$4),IF(DATOS!$G2937="EX",1,IF(DATOS!$G2937="OR",--(COUNTIFS(nNIA,DATOS!$A2937,nCURSO,DATOS!$D2937,nESPEC,DATOS!$E2937,nASIG,DATOS!$I2937,nEVAL,"EX")=0),0))))</f>
      </c>
      <c r="H2937">
        <f>IF(DATOS!$G2937&lt;&gt;"EX",0,--(COUNTIFS(nNIA,DATOS!$A2937,nCURSO,DATOS!$D2937,nESPEC,DATOS!$E2937,nASIG,DATOS!$I2937,nEVAL,"OR")=0))</f>
      </c>
      <c r="I2937">
        <f>IF(DATOS!$I2937="","",IFERROR(VLOOKUP(DATOS!$I2937,CONFIG_ASIGNATURAS!$B$2:$J$91,9,FALSE()),""))</f>
      </c>
    </row>
    <row r="2938">
      <c r="F2938">
        <f>IF(DATOS!$A2938="","",DATOS!$A2938&amp;"|"&amp;DATOS!$D2938&amp;"|"&amp;DATOS!$E2938&amp;"|"&amp;DATOS!$I2938)</f>
      </c>
      <c r="G2938">
        <f>IF(DATOS!$A2938="",0,IF(CONFIG_METADATA!$B$4&lt;&gt;"OR+EX",--(DATOS!$G2938=CONFIG_METADATA!$B$4),IF(DATOS!$G2938="EX",1,IF(DATOS!$G2938="OR",--(COUNTIFS(nNIA,DATOS!$A2938,nCURSO,DATOS!$D2938,nESPEC,DATOS!$E2938,nASIG,DATOS!$I2938,nEVAL,"EX")=0),0))))</f>
      </c>
      <c r="H2938">
        <f>IF(DATOS!$G2938&lt;&gt;"EX",0,--(COUNTIFS(nNIA,DATOS!$A2938,nCURSO,DATOS!$D2938,nESPEC,DATOS!$E2938,nASIG,DATOS!$I2938,nEVAL,"OR")=0))</f>
      </c>
      <c r="I2938">
        <f>IF(DATOS!$I2938="","",IFERROR(VLOOKUP(DATOS!$I2938,CONFIG_ASIGNATURAS!$B$2:$J$91,9,FALSE()),""))</f>
      </c>
    </row>
    <row r="2939">
      <c r="F2939">
        <f>IF(DATOS!$A2939="","",DATOS!$A2939&amp;"|"&amp;DATOS!$D2939&amp;"|"&amp;DATOS!$E2939&amp;"|"&amp;DATOS!$I2939)</f>
      </c>
      <c r="G2939">
        <f>IF(DATOS!$A2939="",0,IF(CONFIG_METADATA!$B$4&lt;&gt;"OR+EX",--(DATOS!$G2939=CONFIG_METADATA!$B$4),IF(DATOS!$G2939="EX",1,IF(DATOS!$G2939="OR",--(COUNTIFS(nNIA,DATOS!$A2939,nCURSO,DATOS!$D2939,nESPEC,DATOS!$E2939,nASIG,DATOS!$I2939,nEVAL,"EX")=0),0))))</f>
      </c>
      <c r="H2939">
        <f>IF(DATOS!$G2939&lt;&gt;"EX",0,--(COUNTIFS(nNIA,DATOS!$A2939,nCURSO,DATOS!$D2939,nESPEC,DATOS!$E2939,nASIG,DATOS!$I2939,nEVAL,"OR")=0))</f>
      </c>
      <c r="I2939">
        <f>IF(DATOS!$I2939="","",IFERROR(VLOOKUP(DATOS!$I2939,CONFIG_ASIGNATURAS!$B$2:$J$91,9,FALSE()),""))</f>
      </c>
    </row>
    <row r="2940">
      <c r="F2940">
        <f>IF(DATOS!$A2940="","",DATOS!$A2940&amp;"|"&amp;DATOS!$D2940&amp;"|"&amp;DATOS!$E2940&amp;"|"&amp;DATOS!$I2940)</f>
      </c>
      <c r="G2940">
        <f>IF(DATOS!$A2940="",0,IF(CONFIG_METADATA!$B$4&lt;&gt;"OR+EX",--(DATOS!$G2940=CONFIG_METADATA!$B$4),IF(DATOS!$G2940="EX",1,IF(DATOS!$G2940="OR",--(COUNTIFS(nNIA,DATOS!$A2940,nCURSO,DATOS!$D2940,nESPEC,DATOS!$E2940,nASIG,DATOS!$I2940,nEVAL,"EX")=0),0))))</f>
      </c>
      <c r="H2940">
        <f>IF(DATOS!$G2940&lt;&gt;"EX",0,--(COUNTIFS(nNIA,DATOS!$A2940,nCURSO,DATOS!$D2940,nESPEC,DATOS!$E2940,nASIG,DATOS!$I2940,nEVAL,"OR")=0))</f>
      </c>
      <c r="I2940">
        <f>IF(DATOS!$I2940="","",IFERROR(VLOOKUP(DATOS!$I2940,CONFIG_ASIGNATURAS!$B$2:$J$91,9,FALSE()),""))</f>
      </c>
    </row>
    <row r="2941">
      <c r="F2941">
        <f>IF(DATOS!$A2941="","",DATOS!$A2941&amp;"|"&amp;DATOS!$D2941&amp;"|"&amp;DATOS!$E2941&amp;"|"&amp;DATOS!$I2941)</f>
      </c>
      <c r="G2941">
        <f>IF(DATOS!$A2941="",0,IF(CONFIG_METADATA!$B$4&lt;&gt;"OR+EX",--(DATOS!$G2941=CONFIG_METADATA!$B$4),IF(DATOS!$G2941="EX",1,IF(DATOS!$G2941="OR",--(COUNTIFS(nNIA,DATOS!$A2941,nCURSO,DATOS!$D2941,nESPEC,DATOS!$E2941,nASIG,DATOS!$I2941,nEVAL,"EX")=0),0))))</f>
      </c>
      <c r="H2941">
        <f>IF(DATOS!$G2941&lt;&gt;"EX",0,--(COUNTIFS(nNIA,DATOS!$A2941,nCURSO,DATOS!$D2941,nESPEC,DATOS!$E2941,nASIG,DATOS!$I2941,nEVAL,"OR")=0))</f>
      </c>
      <c r="I2941">
        <f>IF(DATOS!$I2941="","",IFERROR(VLOOKUP(DATOS!$I2941,CONFIG_ASIGNATURAS!$B$2:$J$91,9,FALSE()),""))</f>
      </c>
    </row>
    <row r="2942">
      <c r="F2942">
        <f>IF(DATOS!$A2942="","",DATOS!$A2942&amp;"|"&amp;DATOS!$D2942&amp;"|"&amp;DATOS!$E2942&amp;"|"&amp;DATOS!$I2942)</f>
      </c>
      <c r="G2942">
        <f>IF(DATOS!$A2942="",0,IF(CONFIG_METADATA!$B$4&lt;&gt;"OR+EX",--(DATOS!$G2942=CONFIG_METADATA!$B$4),IF(DATOS!$G2942="EX",1,IF(DATOS!$G2942="OR",--(COUNTIFS(nNIA,DATOS!$A2942,nCURSO,DATOS!$D2942,nESPEC,DATOS!$E2942,nASIG,DATOS!$I2942,nEVAL,"EX")=0),0))))</f>
      </c>
      <c r="H2942">
        <f>IF(DATOS!$G2942&lt;&gt;"EX",0,--(COUNTIFS(nNIA,DATOS!$A2942,nCURSO,DATOS!$D2942,nESPEC,DATOS!$E2942,nASIG,DATOS!$I2942,nEVAL,"OR")=0))</f>
      </c>
      <c r="I2942">
        <f>IF(DATOS!$I2942="","",IFERROR(VLOOKUP(DATOS!$I2942,CONFIG_ASIGNATURAS!$B$2:$J$91,9,FALSE()),""))</f>
      </c>
    </row>
    <row r="2943">
      <c r="F2943">
        <f>IF(DATOS!$A2943="","",DATOS!$A2943&amp;"|"&amp;DATOS!$D2943&amp;"|"&amp;DATOS!$E2943&amp;"|"&amp;DATOS!$I2943)</f>
      </c>
      <c r="G2943">
        <f>IF(DATOS!$A2943="",0,IF(CONFIG_METADATA!$B$4&lt;&gt;"OR+EX",--(DATOS!$G2943=CONFIG_METADATA!$B$4),IF(DATOS!$G2943="EX",1,IF(DATOS!$G2943="OR",--(COUNTIFS(nNIA,DATOS!$A2943,nCURSO,DATOS!$D2943,nESPEC,DATOS!$E2943,nASIG,DATOS!$I2943,nEVAL,"EX")=0),0))))</f>
      </c>
      <c r="H2943">
        <f>IF(DATOS!$G2943&lt;&gt;"EX",0,--(COUNTIFS(nNIA,DATOS!$A2943,nCURSO,DATOS!$D2943,nESPEC,DATOS!$E2943,nASIG,DATOS!$I2943,nEVAL,"OR")=0))</f>
      </c>
      <c r="I2943">
        <f>IF(DATOS!$I2943="","",IFERROR(VLOOKUP(DATOS!$I2943,CONFIG_ASIGNATURAS!$B$2:$J$91,9,FALSE()),""))</f>
      </c>
    </row>
    <row r="2944">
      <c r="F2944">
        <f>IF(DATOS!$A2944="","",DATOS!$A2944&amp;"|"&amp;DATOS!$D2944&amp;"|"&amp;DATOS!$E2944&amp;"|"&amp;DATOS!$I2944)</f>
      </c>
      <c r="G2944">
        <f>IF(DATOS!$A2944="",0,IF(CONFIG_METADATA!$B$4&lt;&gt;"OR+EX",--(DATOS!$G2944=CONFIG_METADATA!$B$4),IF(DATOS!$G2944="EX",1,IF(DATOS!$G2944="OR",--(COUNTIFS(nNIA,DATOS!$A2944,nCURSO,DATOS!$D2944,nESPEC,DATOS!$E2944,nASIG,DATOS!$I2944,nEVAL,"EX")=0),0))))</f>
      </c>
      <c r="H2944">
        <f>IF(DATOS!$G2944&lt;&gt;"EX",0,--(COUNTIFS(nNIA,DATOS!$A2944,nCURSO,DATOS!$D2944,nESPEC,DATOS!$E2944,nASIG,DATOS!$I2944,nEVAL,"OR")=0))</f>
      </c>
      <c r="I2944">
        <f>IF(DATOS!$I2944="","",IFERROR(VLOOKUP(DATOS!$I2944,CONFIG_ASIGNATURAS!$B$2:$J$91,9,FALSE()),""))</f>
      </c>
    </row>
    <row r="2945">
      <c r="F2945">
        <f>IF(DATOS!$A2945="","",DATOS!$A2945&amp;"|"&amp;DATOS!$D2945&amp;"|"&amp;DATOS!$E2945&amp;"|"&amp;DATOS!$I2945)</f>
      </c>
      <c r="G2945">
        <f>IF(DATOS!$A2945="",0,IF(CONFIG_METADATA!$B$4&lt;&gt;"OR+EX",--(DATOS!$G2945=CONFIG_METADATA!$B$4),IF(DATOS!$G2945="EX",1,IF(DATOS!$G2945="OR",--(COUNTIFS(nNIA,DATOS!$A2945,nCURSO,DATOS!$D2945,nESPEC,DATOS!$E2945,nASIG,DATOS!$I2945,nEVAL,"EX")=0),0))))</f>
      </c>
      <c r="H2945">
        <f>IF(DATOS!$G2945&lt;&gt;"EX",0,--(COUNTIFS(nNIA,DATOS!$A2945,nCURSO,DATOS!$D2945,nESPEC,DATOS!$E2945,nASIG,DATOS!$I2945,nEVAL,"OR")=0))</f>
      </c>
      <c r="I2945">
        <f>IF(DATOS!$I2945="","",IFERROR(VLOOKUP(DATOS!$I2945,CONFIG_ASIGNATURAS!$B$2:$J$91,9,FALSE()),""))</f>
      </c>
    </row>
    <row r="2946">
      <c r="F2946">
        <f>IF(DATOS!$A2946="","",DATOS!$A2946&amp;"|"&amp;DATOS!$D2946&amp;"|"&amp;DATOS!$E2946&amp;"|"&amp;DATOS!$I2946)</f>
      </c>
      <c r="G2946">
        <f>IF(DATOS!$A2946="",0,IF(CONFIG_METADATA!$B$4&lt;&gt;"OR+EX",--(DATOS!$G2946=CONFIG_METADATA!$B$4),IF(DATOS!$G2946="EX",1,IF(DATOS!$G2946="OR",--(COUNTIFS(nNIA,DATOS!$A2946,nCURSO,DATOS!$D2946,nESPEC,DATOS!$E2946,nASIG,DATOS!$I2946,nEVAL,"EX")=0),0))))</f>
      </c>
      <c r="H2946">
        <f>IF(DATOS!$G2946&lt;&gt;"EX",0,--(COUNTIFS(nNIA,DATOS!$A2946,nCURSO,DATOS!$D2946,nESPEC,DATOS!$E2946,nASIG,DATOS!$I2946,nEVAL,"OR")=0))</f>
      </c>
      <c r="I2946">
        <f>IF(DATOS!$I2946="","",IFERROR(VLOOKUP(DATOS!$I2946,CONFIG_ASIGNATURAS!$B$2:$J$91,9,FALSE()),""))</f>
      </c>
    </row>
    <row r="2947">
      <c r="F2947">
        <f>IF(DATOS!$A2947="","",DATOS!$A2947&amp;"|"&amp;DATOS!$D2947&amp;"|"&amp;DATOS!$E2947&amp;"|"&amp;DATOS!$I2947)</f>
      </c>
      <c r="G2947">
        <f>IF(DATOS!$A2947="",0,IF(CONFIG_METADATA!$B$4&lt;&gt;"OR+EX",--(DATOS!$G2947=CONFIG_METADATA!$B$4),IF(DATOS!$G2947="EX",1,IF(DATOS!$G2947="OR",--(COUNTIFS(nNIA,DATOS!$A2947,nCURSO,DATOS!$D2947,nESPEC,DATOS!$E2947,nASIG,DATOS!$I2947,nEVAL,"EX")=0),0))))</f>
      </c>
      <c r="H2947">
        <f>IF(DATOS!$G2947&lt;&gt;"EX",0,--(COUNTIFS(nNIA,DATOS!$A2947,nCURSO,DATOS!$D2947,nESPEC,DATOS!$E2947,nASIG,DATOS!$I2947,nEVAL,"OR")=0))</f>
      </c>
      <c r="I2947">
        <f>IF(DATOS!$I2947="","",IFERROR(VLOOKUP(DATOS!$I2947,CONFIG_ASIGNATURAS!$B$2:$J$91,9,FALSE()),""))</f>
      </c>
    </row>
    <row r="2948">
      <c r="F2948">
        <f>IF(DATOS!$A2948="","",DATOS!$A2948&amp;"|"&amp;DATOS!$D2948&amp;"|"&amp;DATOS!$E2948&amp;"|"&amp;DATOS!$I2948)</f>
      </c>
      <c r="G2948">
        <f>IF(DATOS!$A2948="",0,IF(CONFIG_METADATA!$B$4&lt;&gt;"OR+EX",--(DATOS!$G2948=CONFIG_METADATA!$B$4),IF(DATOS!$G2948="EX",1,IF(DATOS!$G2948="OR",--(COUNTIFS(nNIA,DATOS!$A2948,nCURSO,DATOS!$D2948,nESPEC,DATOS!$E2948,nASIG,DATOS!$I2948,nEVAL,"EX")=0),0))))</f>
      </c>
      <c r="H2948">
        <f>IF(DATOS!$G2948&lt;&gt;"EX",0,--(COUNTIFS(nNIA,DATOS!$A2948,nCURSO,DATOS!$D2948,nESPEC,DATOS!$E2948,nASIG,DATOS!$I2948,nEVAL,"OR")=0))</f>
      </c>
      <c r="I2948">
        <f>IF(DATOS!$I2948="","",IFERROR(VLOOKUP(DATOS!$I2948,CONFIG_ASIGNATURAS!$B$2:$J$91,9,FALSE()),""))</f>
      </c>
    </row>
    <row r="2949">
      <c r="F2949">
        <f>IF(DATOS!$A2949="","",DATOS!$A2949&amp;"|"&amp;DATOS!$D2949&amp;"|"&amp;DATOS!$E2949&amp;"|"&amp;DATOS!$I2949)</f>
      </c>
      <c r="G2949">
        <f>IF(DATOS!$A2949="",0,IF(CONFIG_METADATA!$B$4&lt;&gt;"OR+EX",--(DATOS!$G2949=CONFIG_METADATA!$B$4),IF(DATOS!$G2949="EX",1,IF(DATOS!$G2949="OR",--(COUNTIFS(nNIA,DATOS!$A2949,nCURSO,DATOS!$D2949,nESPEC,DATOS!$E2949,nASIG,DATOS!$I2949,nEVAL,"EX")=0),0))))</f>
      </c>
      <c r="H2949">
        <f>IF(DATOS!$G2949&lt;&gt;"EX",0,--(COUNTIFS(nNIA,DATOS!$A2949,nCURSO,DATOS!$D2949,nESPEC,DATOS!$E2949,nASIG,DATOS!$I2949,nEVAL,"OR")=0))</f>
      </c>
      <c r="I2949">
        <f>IF(DATOS!$I2949="","",IFERROR(VLOOKUP(DATOS!$I2949,CONFIG_ASIGNATURAS!$B$2:$J$91,9,FALSE()),""))</f>
      </c>
    </row>
    <row r="2950">
      <c r="F2950">
        <f>IF(DATOS!$A2950="","",DATOS!$A2950&amp;"|"&amp;DATOS!$D2950&amp;"|"&amp;DATOS!$E2950&amp;"|"&amp;DATOS!$I2950)</f>
      </c>
      <c r="G2950">
        <f>IF(DATOS!$A2950="",0,IF(CONFIG_METADATA!$B$4&lt;&gt;"OR+EX",--(DATOS!$G2950=CONFIG_METADATA!$B$4),IF(DATOS!$G2950="EX",1,IF(DATOS!$G2950="OR",--(COUNTIFS(nNIA,DATOS!$A2950,nCURSO,DATOS!$D2950,nESPEC,DATOS!$E2950,nASIG,DATOS!$I2950,nEVAL,"EX")=0),0))))</f>
      </c>
      <c r="H2950">
        <f>IF(DATOS!$G2950&lt;&gt;"EX",0,--(COUNTIFS(nNIA,DATOS!$A2950,nCURSO,DATOS!$D2950,nESPEC,DATOS!$E2950,nASIG,DATOS!$I2950,nEVAL,"OR")=0))</f>
      </c>
      <c r="I2950">
        <f>IF(DATOS!$I2950="","",IFERROR(VLOOKUP(DATOS!$I2950,CONFIG_ASIGNATURAS!$B$2:$J$91,9,FALSE()),""))</f>
      </c>
    </row>
    <row r="2951">
      <c r="F2951">
        <f>IF(DATOS!$A2951="","",DATOS!$A2951&amp;"|"&amp;DATOS!$D2951&amp;"|"&amp;DATOS!$E2951&amp;"|"&amp;DATOS!$I2951)</f>
      </c>
      <c r="G2951">
        <f>IF(DATOS!$A2951="",0,IF(CONFIG_METADATA!$B$4&lt;&gt;"OR+EX",--(DATOS!$G2951=CONFIG_METADATA!$B$4),IF(DATOS!$G2951="EX",1,IF(DATOS!$G2951="OR",--(COUNTIFS(nNIA,DATOS!$A2951,nCURSO,DATOS!$D2951,nESPEC,DATOS!$E2951,nASIG,DATOS!$I2951,nEVAL,"EX")=0),0))))</f>
      </c>
      <c r="H2951">
        <f>IF(DATOS!$G2951&lt;&gt;"EX",0,--(COUNTIFS(nNIA,DATOS!$A2951,nCURSO,DATOS!$D2951,nESPEC,DATOS!$E2951,nASIG,DATOS!$I2951,nEVAL,"OR")=0))</f>
      </c>
      <c r="I2951">
        <f>IF(DATOS!$I2951="","",IFERROR(VLOOKUP(DATOS!$I2951,CONFIG_ASIGNATURAS!$B$2:$J$91,9,FALSE()),""))</f>
      </c>
    </row>
    <row r="2952">
      <c r="F2952">
        <f>IF(DATOS!$A2952="","",DATOS!$A2952&amp;"|"&amp;DATOS!$D2952&amp;"|"&amp;DATOS!$E2952&amp;"|"&amp;DATOS!$I2952)</f>
      </c>
      <c r="G2952">
        <f>IF(DATOS!$A2952="",0,IF(CONFIG_METADATA!$B$4&lt;&gt;"OR+EX",--(DATOS!$G2952=CONFIG_METADATA!$B$4),IF(DATOS!$G2952="EX",1,IF(DATOS!$G2952="OR",--(COUNTIFS(nNIA,DATOS!$A2952,nCURSO,DATOS!$D2952,nESPEC,DATOS!$E2952,nASIG,DATOS!$I2952,nEVAL,"EX")=0),0))))</f>
      </c>
      <c r="H2952">
        <f>IF(DATOS!$G2952&lt;&gt;"EX",0,--(COUNTIFS(nNIA,DATOS!$A2952,nCURSO,DATOS!$D2952,nESPEC,DATOS!$E2952,nASIG,DATOS!$I2952,nEVAL,"OR")=0))</f>
      </c>
      <c r="I2952">
        <f>IF(DATOS!$I2952="","",IFERROR(VLOOKUP(DATOS!$I2952,CONFIG_ASIGNATURAS!$B$2:$J$91,9,FALSE()),""))</f>
      </c>
    </row>
    <row r="2953">
      <c r="F2953">
        <f>IF(DATOS!$A2953="","",DATOS!$A2953&amp;"|"&amp;DATOS!$D2953&amp;"|"&amp;DATOS!$E2953&amp;"|"&amp;DATOS!$I2953)</f>
      </c>
      <c r="G2953">
        <f>IF(DATOS!$A2953="",0,IF(CONFIG_METADATA!$B$4&lt;&gt;"OR+EX",--(DATOS!$G2953=CONFIG_METADATA!$B$4),IF(DATOS!$G2953="EX",1,IF(DATOS!$G2953="OR",--(COUNTIFS(nNIA,DATOS!$A2953,nCURSO,DATOS!$D2953,nESPEC,DATOS!$E2953,nASIG,DATOS!$I2953,nEVAL,"EX")=0),0))))</f>
      </c>
      <c r="H2953">
        <f>IF(DATOS!$G2953&lt;&gt;"EX",0,--(COUNTIFS(nNIA,DATOS!$A2953,nCURSO,DATOS!$D2953,nESPEC,DATOS!$E2953,nASIG,DATOS!$I2953,nEVAL,"OR")=0))</f>
      </c>
      <c r="I2953">
        <f>IF(DATOS!$I2953="","",IFERROR(VLOOKUP(DATOS!$I2953,CONFIG_ASIGNATURAS!$B$2:$J$91,9,FALSE()),""))</f>
      </c>
    </row>
    <row r="2954">
      <c r="F2954">
        <f>IF(DATOS!$A2954="","",DATOS!$A2954&amp;"|"&amp;DATOS!$D2954&amp;"|"&amp;DATOS!$E2954&amp;"|"&amp;DATOS!$I2954)</f>
      </c>
      <c r="G2954">
        <f>IF(DATOS!$A2954="",0,IF(CONFIG_METADATA!$B$4&lt;&gt;"OR+EX",--(DATOS!$G2954=CONFIG_METADATA!$B$4),IF(DATOS!$G2954="EX",1,IF(DATOS!$G2954="OR",--(COUNTIFS(nNIA,DATOS!$A2954,nCURSO,DATOS!$D2954,nESPEC,DATOS!$E2954,nASIG,DATOS!$I2954,nEVAL,"EX")=0),0))))</f>
      </c>
      <c r="H2954">
        <f>IF(DATOS!$G2954&lt;&gt;"EX",0,--(COUNTIFS(nNIA,DATOS!$A2954,nCURSO,DATOS!$D2954,nESPEC,DATOS!$E2954,nASIG,DATOS!$I2954,nEVAL,"OR")=0))</f>
      </c>
      <c r="I2954">
        <f>IF(DATOS!$I2954="","",IFERROR(VLOOKUP(DATOS!$I2954,CONFIG_ASIGNATURAS!$B$2:$J$91,9,FALSE()),""))</f>
      </c>
    </row>
    <row r="2955">
      <c r="F2955">
        <f>IF(DATOS!$A2955="","",DATOS!$A2955&amp;"|"&amp;DATOS!$D2955&amp;"|"&amp;DATOS!$E2955&amp;"|"&amp;DATOS!$I2955)</f>
      </c>
      <c r="G2955">
        <f>IF(DATOS!$A2955="",0,IF(CONFIG_METADATA!$B$4&lt;&gt;"OR+EX",--(DATOS!$G2955=CONFIG_METADATA!$B$4),IF(DATOS!$G2955="EX",1,IF(DATOS!$G2955="OR",--(COUNTIFS(nNIA,DATOS!$A2955,nCURSO,DATOS!$D2955,nESPEC,DATOS!$E2955,nASIG,DATOS!$I2955,nEVAL,"EX")=0),0))))</f>
      </c>
      <c r="H2955">
        <f>IF(DATOS!$G2955&lt;&gt;"EX",0,--(COUNTIFS(nNIA,DATOS!$A2955,nCURSO,DATOS!$D2955,nESPEC,DATOS!$E2955,nASIG,DATOS!$I2955,nEVAL,"OR")=0))</f>
      </c>
      <c r="I2955">
        <f>IF(DATOS!$I2955="","",IFERROR(VLOOKUP(DATOS!$I2955,CONFIG_ASIGNATURAS!$B$2:$J$91,9,FALSE()),""))</f>
      </c>
    </row>
    <row r="2956">
      <c r="F2956">
        <f>IF(DATOS!$A2956="","",DATOS!$A2956&amp;"|"&amp;DATOS!$D2956&amp;"|"&amp;DATOS!$E2956&amp;"|"&amp;DATOS!$I2956)</f>
      </c>
      <c r="G2956">
        <f>IF(DATOS!$A2956="",0,IF(CONFIG_METADATA!$B$4&lt;&gt;"OR+EX",--(DATOS!$G2956=CONFIG_METADATA!$B$4),IF(DATOS!$G2956="EX",1,IF(DATOS!$G2956="OR",--(COUNTIFS(nNIA,DATOS!$A2956,nCURSO,DATOS!$D2956,nESPEC,DATOS!$E2956,nASIG,DATOS!$I2956,nEVAL,"EX")=0),0))))</f>
      </c>
      <c r="H2956">
        <f>IF(DATOS!$G2956&lt;&gt;"EX",0,--(COUNTIFS(nNIA,DATOS!$A2956,nCURSO,DATOS!$D2956,nESPEC,DATOS!$E2956,nASIG,DATOS!$I2956,nEVAL,"OR")=0))</f>
      </c>
      <c r="I2956">
        <f>IF(DATOS!$I2956="","",IFERROR(VLOOKUP(DATOS!$I2956,CONFIG_ASIGNATURAS!$B$2:$J$91,9,FALSE()),""))</f>
      </c>
    </row>
    <row r="2957">
      <c r="F2957">
        <f>IF(DATOS!$A2957="","",DATOS!$A2957&amp;"|"&amp;DATOS!$D2957&amp;"|"&amp;DATOS!$E2957&amp;"|"&amp;DATOS!$I2957)</f>
      </c>
      <c r="G2957">
        <f>IF(DATOS!$A2957="",0,IF(CONFIG_METADATA!$B$4&lt;&gt;"OR+EX",--(DATOS!$G2957=CONFIG_METADATA!$B$4),IF(DATOS!$G2957="EX",1,IF(DATOS!$G2957="OR",--(COUNTIFS(nNIA,DATOS!$A2957,nCURSO,DATOS!$D2957,nESPEC,DATOS!$E2957,nASIG,DATOS!$I2957,nEVAL,"EX")=0),0))))</f>
      </c>
      <c r="H2957">
        <f>IF(DATOS!$G2957&lt;&gt;"EX",0,--(COUNTIFS(nNIA,DATOS!$A2957,nCURSO,DATOS!$D2957,nESPEC,DATOS!$E2957,nASIG,DATOS!$I2957,nEVAL,"OR")=0))</f>
      </c>
      <c r="I2957">
        <f>IF(DATOS!$I2957="","",IFERROR(VLOOKUP(DATOS!$I2957,CONFIG_ASIGNATURAS!$B$2:$J$91,9,FALSE()),""))</f>
      </c>
    </row>
    <row r="2958">
      <c r="F2958">
        <f>IF(DATOS!$A2958="","",DATOS!$A2958&amp;"|"&amp;DATOS!$D2958&amp;"|"&amp;DATOS!$E2958&amp;"|"&amp;DATOS!$I2958)</f>
      </c>
      <c r="G2958">
        <f>IF(DATOS!$A2958="",0,IF(CONFIG_METADATA!$B$4&lt;&gt;"OR+EX",--(DATOS!$G2958=CONFIG_METADATA!$B$4),IF(DATOS!$G2958="EX",1,IF(DATOS!$G2958="OR",--(COUNTIFS(nNIA,DATOS!$A2958,nCURSO,DATOS!$D2958,nESPEC,DATOS!$E2958,nASIG,DATOS!$I2958,nEVAL,"EX")=0),0))))</f>
      </c>
      <c r="H2958">
        <f>IF(DATOS!$G2958&lt;&gt;"EX",0,--(COUNTIFS(nNIA,DATOS!$A2958,nCURSO,DATOS!$D2958,nESPEC,DATOS!$E2958,nASIG,DATOS!$I2958,nEVAL,"OR")=0))</f>
      </c>
      <c r="I2958">
        <f>IF(DATOS!$I2958="","",IFERROR(VLOOKUP(DATOS!$I2958,CONFIG_ASIGNATURAS!$B$2:$J$91,9,FALSE()),""))</f>
      </c>
    </row>
    <row r="2959">
      <c r="F2959">
        <f>IF(DATOS!$A2959="","",DATOS!$A2959&amp;"|"&amp;DATOS!$D2959&amp;"|"&amp;DATOS!$E2959&amp;"|"&amp;DATOS!$I2959)</f>
      </c>
      <c r="G2959">
        <f>IF(DATOS!$A2959="",0,IF(CONFIG_METADATA!$B$4&lt;&gt;"OR+EX",--(DATOS!$G2959=CONFIG_METADATA!$B$4),IF(DATOS!$G2959="EX",1,IF(DATOS!$G2959="OR",--(COUNTIFS(nNIA,DATOS!$A2959,nCURSO,DATOS!$D2959,nESPEC,DATOS!$E2959,nASIG,DATOS!$I2959,nEVAL,"EX")=0),0))))</f>
      </c>
      <c r="H2959">
        <f>IF(DATOS!$G2959&lt;&gt;"EX",0,--(COUNTIFS(nNIA,DATOS!$A2959,nCURSO,DATOS!$D2959,nESPEC,DATOS!$E2959,nASIG,DATOS!$I2959,nEVAL,"OR")=0))</f>
      </c>
      <c r="I2959">
        <f>IF(DATOS!$I2959="","",IFERROR(VLOOKUP(DATOS!$I2959,CONFIG_ASIGNATURAS!$B$2:$J$91,9,FALSE()),""))</f>
      </c>
    </row>
    <row r="2960">
      <c r="F2960">
        <f>IF(DATOS!$A2960="","",DATOS!$A2960&amp;"|"&amp;DATOS!$D2960&amp;"|"&amp;DATOS!$E2960&amp;"|"&amp;DATOS!$I2960)</f>
      </c>
      <c r="G2960">
        <f>IF(DATOS!$A2960="",0,IF(CONFIG_METADATA!$B$4&lt;&gt;"OR+EX",--(DATOS!$G2960=CONFIG_METADATA!$B$4),IF(DATOS!$G2960="EX",1,IF(DATOS!$G2960="OR",--(COUNTIFS(nNIA,DATOS!$A2960,nCURSO,DATOS!$D2960,nESPEC,DATOS!$E2960,nASIG,DATOS!$I2960,nEVAL,"EX")=0),0))))</f>
      </c>
      <c r="H2960">
        <f>IF(DATOS!$G2960&lt;&gt;"EX",0,--(COUNTIFS(nNIA,DATOS!$A2960,nCURSO,DATOS!$D2960,nESPEC,DATOS!$E2960,nASIG,DATOS!$I2960,nEVAL,"OR")=0))</f>
      </c>
      <c r="I2960">
        <f>IF(DATOS!$I2960="","",IFERROR(VLOOKUP(DATOS!$I2960,CONFIG_ASIGNATURAS!$B$2:$J$91,9,FALSE()),""))</f>
      </c>
    </row>
    <row r="2961">
      <c r="F2961">
        <f>IF(DATOS!$A2961="","",DATOS!$A2961&amp;"|"&amp;DATOS!$D2961&amp;"|"&amp;DATOS!$E2961&amp;"|"&amp;DATOS!$I2961)</f>
      </c>
      <c r="G2961">
        <f>IF(DATOS!$A2961="",0,IF(CONFIG_METADATA!$B$4&lt;&gt;"OR+EX",--(DATOS!$G2961=CONFIG_METADATA!$B$4),IF(DATOS!$G2961="EX",1,IF(DATOS!$G2961="OR",--(COUNTIFS(nNIA,DATOS!$A2961,nCURSO,DATOS!$D2961,nESPEC,DATOS!$E2961,nASIG,DATOS!$I2961,nEVAL,"EX")=0),0))))</f>
      </c>
      <c r="H2961">
        <f>IF(DATOS!$G2961&lt;&gt;"EX",0,--(COUNTIFS(nNIA,DATOS!$A2961,nCURSO,DATOS!$D2961,nESPEC,DATOS!$E2961,nASIG,DATOS!$I2961,nEVAL,"OR")=0))</f>
      </c>
      <c r="I2961">
        <f>IF(DATOS!$I2961="","",IFERROR(VLOOKUP(DATOS!$I2961,CONFIG_ASIGNATURAS!$B$2:$J$91,9,FALSE()),""))</f>
      </c>
    </row>
    <row r="2962">
      <c r="F2962">
        <f>IF(DATOS!$A2962="","",DATOS!$A2962&amp;"|"&amp;DATOS!$D2962&amp;"|"&amp;DATOS!$E2962&amp;"|"&amp;DATOS!$I2962)</f>
      </c>
      <c r="G2962">
        <f>IF(DATOS!$A2962="",0,IF(CONFIG_METADATA!$B$4&lt;&gt;"OR+EX",--(DATOS!$G2962=CONFIG_METADATA!$B$4),IF(DATOS!$G2962="EX",1,IF(DATOS!$G2962="OR",--(COUNTIFS(nNIA,DATOS!$A2962,nCURSO,DATOS!$D2962,nESPEC,DATOS!$E2962,nASIG,DATOS!$I2962,nEVAL,"EX")=0),0))))</f>
      </c>
      <c r="H2962">
        <f>IF(DATOS!$G2962&lt;&gt;"EX",0,--(COUNTIFS(nNIA,DATOS!$A2962,nCURSO,DATOS!$D2962,nESPEC,DATOS!$E2962,nASIG,DATOS!$I2962,nEVAL,"OR")=0))</f>
      </c>
      <c r="I2962">
        <f>IF(DATOS!$I2962="","",IFERROR(VLOOKUP(DATOS!$I2962,CONFIG_ASIGNATURAS!$B$2:$J$91,9,FALSE()),""))</f>
      </c>
    </row>
    <row r="2963">
      <c r="F2963">
        <f>IF(DATOS!$A2963="","",DATOS!$A2963&amp;"|"&amp;DATOS!$D2963&amp;"|"&amp;DATOS!$E2963&amp;"|"&amp;DATOS!$I2963)</f>
      </c>
      <c r="G2963">
        <f>IF(DATOS!$A2963="",0,IF(CONFIG_METADATA!$B$4&lt;&gt;"OR+EX",--(DATOS!$G2963=CONFIG_METADATA!$B$4),IF(DATOS!$G2963="EX",1,IF(DATOS!$G2963="OR",--(COUNTIFS(nNIA,DATOS!$A2963,nCURSO,DATOS!$D2963,nESPEC,DATOS!$E2963,nASIG,DATOS!$I2963,nEVAL,"EX")=0),0))))</f>
      </c>
      <c r="H2963">
        <f>IF(DATOS!$G2963&lt;&gt;"EX",0,--(COUNTIFS(nNIA,DATOS!$A2963,nCURSO,DATOS!$D2963,nESPEC,DATOS!$E2963,nASIG,DATOS!$I2963,nEVAL,"OR")=0))</f>
      </c>
      <c r="I2963">
        <f>IF(DATOS!$I2963="","",IFERROR(VLOOKUP(DATOS!$I2963,CONFIG_ASIGNATURAS!$B$2:$J$91,9,FALSE()),""))</f>
      </c>
    </row>
    <row r="2964">
      <c r="F2964">
        <f>IF(DATOS!$A2964="","",DATOS!$A2964&amp;"|"&amp;DATOS!$D2964&amp;"|"&amp;DATOS!$E2964&amp;"|"&amp;DATOS!$I2964)</f>
      </c>
      <c r="G2964">
        <f>IF(DATOS!$A2964="",0,IF(CONFIG_METADATA!$B$4&lt;&gt;"OR+EX",--(DATOS!$G2964=CONFIG_METADATA!$B$4),IF(DATOS!$G2964="EX",1,IF(DATOS!$G2964="OR",--(COUNTIFS(nNIA,DATOS!$A2964,nCURSO,DATOS!$D2964,nESPEC,DATOS!$E2964,nASIG,DATOS!$I2964,nEVAL,"EX")=0),0))))</f>
      </c>
      <c r="H2964">
        <f>IF(DATOS!$G2964&lt;&gt;"EX",0,--(COUNTIFS(nNIA,DATOS!$A2964,nCURSO,DATOS!$D2964,nESPEC,DATOS!$E2964,nASIG,DATOS!$I2964,nEVAL,"OR")=0))</f>
      </c>
      <c r="I2964">
        <f>IF(DATOS!$I2964="","",IFERROR(VLOOKUP(DATOS!$I2964,CONFIG_ASIGNATURAS!$B$2:$J$91,9,FALSE()),""))</f>
      </c>
    </row>
    <row r="2965">
      <c r="F2965">
        <f>IF(DATOS!$A2965="","",DATOS!$A2965&amp;"|"&amp;DATOS!$D2965&amp;"|"&amp;DATOS!$E2965&amp;"|"&amp;DATOS!$I2965)</f>
      </c>
      <c r="G2965">
        <f>IF(DATOS!$A2965="",0,IF(CONFIG_METADATA!$B$4&lt;&gt;"OR+EX",--(DATOS!$G2965=CONFIG_METADATA!$B$4),IF(DATOS!$G2965="EX",1,IF(DATOS!$G2965="OR",--(COUNTIFS(nNIA,DATOS!$A2965,nCURSO,DATOS!$D2965,nESPEC,DATOS!$E2965,nASIG,DATOS!$I2965,nEVAL,"EX")=0),0))))</f>
      </c>
      <c r="H2965">
        <f>IF(DATOS!$G2965&lt;&gt;"EX",0,--(COUNTIFS(nNIA,DATOS!$A2965,nCURSO,DATOS!$D2965,nESPEC,DATOS!$E2965,nASIG,DATOS!$I2965,nEVAL,"OR")=0))</f>
      </c>
      <c r="I2965">
        <f>IF(DATOS!$I2965="","",IFERROR(VLOOKUP(DATOS!$I2965,CONFIG_ASIGNATURAS!$B$2:$J$91,9,FALSE()),""))</f>
      </c>
    </row>
    <row r="2966">
      <c r="F2966">
        <f>IF(DATOS!$A2966="","",DATOS!$A2966&amp;"|"&amp;DATOS!$D2966&amp;"|"&amp;DATOS!$E2966&amp;"|"&amp;DATOS!$I2966)</f>
      </c>
      <c r="G2966">
        <f>IF(DATOS!$A2966="",0,IF(CONFIG_METADATA!$B$4&lt;&gt;"OR+EX",--(DATOS!$G2966=CONFIG_METADATA!$B$4),IF(DATOS!$G2966="EX",1,IF(DATOS!$G2966="OR",--(COUNTIFS(nNIA,DATOS!$A2966,nCURSO,DATOS!$D2966,nESPEC,DATOS!$E2966,nASIG,DATOS!$I2966,nEVAL,"EX")=0),0))))</f>
      </c>
      <c r="H2966">
        <f>IF(DATOS!$G2966&lt;&gt;"EX",0,--(COUNTIFS(nNIA,DATOS!$A2966,nCURSO,DATOS!$D2966,nESPEC,DATOS!$E2966,nASIG,DATOS!$I2966,nEVAL,"OR")=0))</f>
      </c>
      <c r="I2966">
        <f>IF(DATOS!$I2966="","",IFERROR(VLOOKUP(DATOS!$I2966,CONFIG_ASIGNATURAS!$B$2:$J$91,9,FALSE()),""))</f>
      </c>
    </row>
    <row r="2967">
      <c r="F2967">
        <f>IF(DATOS!$A2967="","",DATOS!$A2967&amp;"|"&amp;DATOS!$D2967&amp;"|"&amp;DATOS!$E2967&amp;"|"&amp;DATOS!$I2967)</f>
      </c>
      <c r="G2967">
        <f>IF(DATOS!$A2967="",0,IF(CONFIG_METADATA!$B$4&lt;&gt;"OR+EX",--(DATOS!$G2967=CONFIG_METADATA!$B$4),IF(DATOS!$G2967="EX",1,IF(DATOS!$G2967="OR",--(COUNTIFS(nNIA,DATOS!$A2967,nCURSO,DATOS!$D2967,nESPEC,DATOS!$E2967,nASIG,DATOS!$I2967,nEVAL,"EX")=0),0))))</f>
      </c>
      <c r="H2967">
        <f>IF(DATOS!$G2967&lt;&gt;"EX",0,--(COUNTIFS(nNIA,DATOS!$A2967,nCURSO,DATOS!$D2967,nESPEC,DATOS!$E2967,nASIG,DATOS!$I2967,nEVAL,"OR")=0))</f>
      </c>
      <c r="I2967">
        <f>IF(DATOS!$I2967="","",IFERROR(VLOOKUP(DATOS!$I2967,CONFIG_ASIGNATURAS!$B$2:$J$91,9,FALSE()),""))</f>
      </c>
    </row>
    <row r="2968">
      <c r="F2968">
        <f>IF(DATOS!$A2968="","",DATOS!$A2968&amp;"|"&amp;DATOS!$D2968&amp;"|"&amp;DATOS!$E2968&amp;"|"&amp;DATOS!$I2968)</f>
      </c>
      <c r="G2968">
        <f>IF(DATOS!$A2968="",0,IF(CONFIG_METADATA!$B$4&lt;&gt;"OR+EX",--(DATOS!$G2968=CONFIG_METADATA!$B$4),IF(DATOS!$G2968="EX",1,IF(DATOS!$G2968="OR",--(COUNTIFS(nNIA,DATOS!$A2968,nCURSO,DATOS!$D2968,nESPEC,DATOS!$E2968,nASIG,DATOS!$I2968,nEVAL,"EX")=0),0))))</f>
      </c>
      <c r="H2968">
        <f>IF(DATOS!$G2968&lt;&gt;"EX",0,--(COUNTIFS(nNIA,DATOS!$A2968,nCURSO,DATOS!$D2968,nESPEC,DATOS!$E2968,nASIG,DATOS!$I2968,nEVAL,"OR")=0))</f>
      </c>
      <c r="I2968">
        <f>IF(DATOS!$I2968="","",IFERROR(VLOOKUP(DATOS!$I2968,CONFIG_ASIGNATURAS!$B$2:$J$91,9,FALSE()),""))</f>
      </c>
    </row>
    <row r="2969">
      <c r="F2969">
        <f>IF(DATOS!$A2969="","",DATOS!$A2969&amp;"|"&amp;DATOS!$D2969&amp;"|"&amp;DATOS!$E2969&amp;"|"&amp;DATOS!$I2969)</f>
      </c>
      <c r="G2969">
        <f>IF(DATOS!$A2969="",0,IF(CONFIG_METADATA!$B$4&lt;&gt;"OR+EX",--(DATOS!$G2969=CONFIG_METADATA!$B$4),IF(DATOS!$G2969="EX",1,IF(DATOS!$G2969="OR",--(COUNTIFS(nNIA,DATOS!$A2969,nCURSO,DATOS!$D2969,nESPEC,DATOS!$E2969,nASIG,DATOS!$I2969,nEVAL,"EX")=0),0))))</f>
      </c>
      <c r="H2969">
        <f>IF(DATOS!$G2969&lt;&gt;"EX",0,--(COUNTIFS(nNIA,DATOS!$A2969,nCURSO,DATOS!$D2969,nESPEC,DATOS!$E2969,nASIG,DATOS!$I2969,nEVAL,"OR")=0))</f>
      </c>
      <c r="I2969">
        <f>IF(DATOS!$I2969="","",IFERROR(VLOOKUP(DATOS!$I2969,CONFIG_ASIGNATURAS!$B$2:$J$91,9,FALSE()),""))</f>
      </c>
    </row>
    <row r="2970">
      <c r="F2970">
        <f>IF(DATOS!$A2970="","",DATOS!$A2970&amp;"|"&amp;DATOS!$D2970&amp;"|"&amp;DATOS!$E2970&amp;"|"&amp;DATOS!$I2970)</f>
      </c>
      <c r="G2970">
        <f>IF(DATOS!$A2970="",0,IF(CONFIG_METADATA!$B$4&lt;&gt;"OR+EX",--(DATOS!$G2970=CONFIG_METADATA!$B$4),IF(DATOS!$G2970="EX",1,IF(DATOS!$G2970="OR",--(COUNTIFS(nNIA,DATOS!$A2970,nCURSO,DATOS!$D2970,nESPEC,DATOS!$E2970,nASIG,DATOS!$I2970,nEVAL,"EX")=0),0))))</f>
      </c>
      <c r="H2970">
        <f>IF(DATOS!$G2970&lt;&gt;"EX",0,--(COUNTIFS(nNIA,DATOS!$A2970,nCURSO,DATOS!$D2970,nESPEC,DATOS!$E2970,nASIG,DATOS!$I2970,nEVAL,"OR")=0))</f>
      </c>
      <c r="I2970">
        <f>IF(DATOS!$I2970="","",IFERROR(VLOOKUP(DATOS!$I2970,CONFIG_ASIGNATURAS!$B$2:$J$91,9,FALSE()),""))</f>
      </c>
    </row>
    <row r="2971">
      <c r="F2971">
        <f>IF(DATOS!$A2971="","",DATOS!$A2971&amp;"|"&amp;DATOS!$D2971&amp;"|"&amp;DATOS!$E2971&amp;"|"&amp;DATOS!$I2971)</f>
      </c>
      <c r="G2971">
        <f>IF(DATOS!$A2971="",0,IF(CONFIG_METADATA!$B$4&lt;&gt;"OR+EX",--(DATOS!$G2971=CONFIG_METADATA!$B$4),IF(DATOS!$G2971="EX",1,IF(DATOS!$G2971="OR",--(COUNTIFS(nNIA,DATOS!$A2971,nCURSO,DATOS!$D2971,nESPEC,DATOS!$E2971,nASIG,DATOS!$I2971,nEVAL,"EX")=0),0))))</f>
      </c>
      <c r="H2971">
        <f>IF(DATOS!$G2971&lt;&gt;"EX",0,--(COUNTIFS(nNIA,DATOS!$A2971,nCURSO,DATOS!$D2971,nESPEC,DATOS!$E2971,nASIG,DATOS!$I2971,nEVAL,"OR")=0))</f>
      </c>
      <c r="I2971">
        <f>IF(DATOS!$I2971="","",IFERROR(VLOOKUP(DATOS!$I2971,CONFIG_ASIGNATURAS!$B$2:$J$91,9,FALSE()),""))</f>
      </c>
    </row>
    <row r="2972">
      <c r="F2972">
        <f>IF(DATOS!$A2972="","",DATOS!$A2972&amp;"|"&amp;DATOS!$D2972&amp;"|"&amp;DATOS!$E2972&amp;"|"&amp;DATOS!$I2972)</f>
      </c>
      <c r="G2972">
        <f>IF(DATOS!$A2972="",0,IF(CONFIG_METADATA!$B$4&lt;&gt;"OR+EX",--(DATOS!$G2972=CONFIG_METADATA!$B$4),IF(DATOS!$G2972="EX",1,IF(DATOS!$G2972="OR",--(COUNTIFS(nNIA,DATOS!$A2972,nCURSO,DATOS!$D2972,nESPEC,DATOS!$E2972,nASIG,DATOS!$I2972,nEVAL,"EX")=0),0))))</f>
      </c>
      <c r="H2972">
        <f>IF(DATOS!$G2972&lt;&gt;"EX",0,--(COUNTIFS(nNIA,DATOS!$A2972,nCURSO,DATOS!$D2972,nESPEC,DATOS!$E2972,nASIG,DATOS!$I2972,nEVAL,"OR")=0))</f>
      </c>
      <c r="I2972">
        <f>IF(DATOS!$I2972="","",IFERROR(VLOOKUP(DATOS!$I2972,CONFIG_ASIGNATURAS!$B$2:$J$91,9,FALSE()),""))</f>
      </c>
    </row>
    <row r="2973">
      <c r="F2973">
        <f>IF(DATOS!$A2973="","",DATOS!$A2973&amp;"|"&amp;DATOS!$D2973&amp;"|"&amp;DATOS!$E2973&amp;"|"&amp;DATOS!$I2973)</f>
      </c>
      <c r="G2973">
        <f>IF(DATOS!$A2973="",0,IF(CONFIG_METADATA!$B$4&lt;&gt;"OR+EX",--(DATOS!$G2973=CONFIG_METADATA!$B$4),IF(DATOS!$G2973="EX",1,IF(DATOS!$G2973="OR",--(COUNTIFS(nNIA,DATOS!$A2973,nCURSO,DATOS!$D2973,nESPEC,DATOS!$E2973,nASIG,DATOS!$I2973,nEVAL,"EX")=0),0))))</f>
      </c>
      <c r="H2973">
        <f>IF(DATOS!$G2973&lt;&gt;"EX",0,--(COUNTIFS(nNIA,DATOS!$A2973,nCURSO,DATOS!$D2973,nESPEC,DATOS!$E2973,nASIG,DATOS!$I2973,nEVAL,"OR")=0))</f>
      </c>
      <c r="I2973">
        <f>IF(DATOS!$I2973="","",IFERROR(VLOOKUP(DATOS!$I2973,CONFIG_ASIGNATURAS!$B$2:$J$91,9,FALSE()),""))</f>
      </c>
    </row>
    <row r="2974">
      <c r="F2974">
        <f>IF(DATOS!$A2974="","",DATOS!$A2974&amp;"|"&amp;DATOS!$D2974&amp;"|"&amp;DATOS!$E2974&amp;"|"&amp;DATOS!$I2974)</f>
      </c>
      <c r="G2974">
        <f>IF(DATOS!$A2974="",0,IF(CONFIG_METADATA!$B$4&lt;&gt;"OR+EX",--(DATOS!$G2974=CONFIG_METADATA!$B$4),IF(DATOS!$G2974="EX",1,IF(DATOS!$G2974="OR",--(COUNTIFS(nNIA,DATOS!$A2974,nCURSO,DATOS!$D2974,nESPEC,DATOS!$E2974,nASIG,DATOS!$I2974,nEVAL,"EX")=0),0))))</f>
      </c>
      <c r="H2974">
        <f>IF(DATOS!$G2974&lt;&gt;"EX",0,--(COUNTIFS(nNIA,DATOS!$A2974,nCURSO,DATOS!$D2974,nESPEC,DATOS!$E2974,nASIG,DATOS!$I2974,nEVAL,"OR")=0))</f>
      </c>
      <c r="I2974">
        <f>IF(DATOS!$I2974="","",IFERROR(VLOOKUP(DATOS!$I2974,CONFIG_ASIGNATURAS!$B$2:$J$91,9,FALSE()),""))</f>
      </c>
    </row>
    <row r="2975">
      <c r="F2975">
        <f>IF(DATOS!$A2975="","",DATOS!$A2975&amp;"|"&amp;DATOS!$D2975&amp;"|"&amp;DATOS!$E2975&amp;"|"&amp;DATOS!$I2975)</f>
      </c>
      <c r="G2975">
        <f>IF(DATOS!$A2975="",0,IF(CONFIG_METADATA!$B$4&lt;&gt;"OR+EX",--(DATOS!$G2975=CONFIG_METADATA!$B$4),IF(DATOS!$G2975="EX",1,IF(DATOS!$G2975="OR",--(COUNTIFS(nNIA,DATOS!$A2975,nCURSO,DATOS!$D2975,nESPEC,DATOS!$E2975,nASIG,DATOS!$I2975,nEVAL,"EX")=0),0))))</f>
      </c>
      <c r="H2975">
        <f>IF(DATOS!$G2975&lt;&gt;"EX",0,--(COUNTIFS(nNIA,DATOS!$A2975,nCURSO,DATOS!$D2975,nESPEC,DATOS!$E2975,nASIG,DATOS!$I2975,nEVAL,"OR")=0))</f>
      </c>
      <c r="I2975">
        <f>IF(DATOS!$I2975="","",IFERROR(VLOOKUP(DATOS!$I2975,CONFIG_ASIGNATURAS!$B$2:$J$91,9,FALSE()),""))</f>
      </c>
    </row>
    <row r="2976">
      <c r="F2976">
        <f>IF(DATOS!$A2976="","",DATOS!$A2976&amp;"|"&amp;DATOS!$D2976&amp;"|"&amp;DATOS!$E2976&amp;"|"&amp;DATOS!$I2976)</f>
      </c>
      <c r="G2976">
        <f>IF(DATOS!$A2976="",0,IF(CONFIG_METADATA!$B$4&lt;&gt;"OR+EX",--(DATOS!$G2976=CONFIG_METADATA!$B$4),IF(DATOS!$G2976="EX",1,IF(DATOS!$G2976="OR",--(COUNTIFS(nNIA,DATOS!$A2976,nCURSO,DATOS!$D2976,nESPEC,DATOS!$E2976,nASIG,DATOS!$I2976,nEVAL,"EX")=0),0))))</f>
      </c>
      <c r="H2976">
        <f>IF(DATOS!$G2976&lt;&gt;"EX",0,--(COUNTIFS(nNIA,DATOS!$A2976,nCURSO,DATOS!$D2976,nESPEC,DATOS!$E2976,nASIG,DATOS!$I2976,nEVAL,"OR")=0))</f>
      </c>
      <c r="I2976">
        <f>IF(DATOS!$I2976="","",IFERROR(VLOOKUP(DATOS!$I2976,CONFIG_ASIGNATURAS!$B$2:$J$91,9,FALSE()),""))</f>
      </c>
    </row>
    <row r="2977">
      <c r="F2977">
        <f>IF(DATOS!$A2977="","",DATOS!$A2977&amp;"|"&amp;DATOS!$D2977&amp;"|"&amp;DATOS!$E2977&amp;"|"&amp;DATOS!$I2977)</f>
      </c>
      <c r="G2977">
        <f>IF(DATOS!$A2977="",0,IF(CONFIG_METADATA!$B$4&lt;&gt;"OR+EX",--(DATOS!$G2977=CONFIG_METADATA!$B$4),IF(DATOS!$G2977="EX",1,IF(DATOS!$G2977="OR",--(COUNTIFS(nNIA,DATOS!$A2977,nCURSO,DATOS!$D2977,nESPEC,DATOS!$E2977,nASIG,DATOS!$I2977,nEVAL,"EX")=0),0))))</f>
      </c>
      <c r="H2977">
        <f>IF(DATOS!$G2977&lt;&gt;"EX",0,--(COUNTIFS(nNIA,DATOS!$A2977,nCURSO,DATOS!$D2977,nESPEC,DATOS!$E2977,nASIG,DATOS!$I2977,nEVAL,"OR")=0))</f>
      </c>
      <c r="I2977">
        <f>IF(DATOS!$I2977="","",IFERROR(VLOOKUP(DATOS!$I2977,CONFIG_ASIGNATURAS!$B$2:$J$91,9,FALSE()),""))</f>
      </c>
    </row>
    <row r="2978">
      <c r="F2978">
        <f>IF(DATOS!$A2978="","",DATOS!$A2978&amp;"|"&amp;DATOS!$D2978&amp;"|"&amp;DATOS!$E2978&amp;"|"&amp;DATOS!$I2978)</f>
      </c>
      <c r="G2978">
        <f>IF(DATOS!$A2978="",0,IF(CONFIG_METADATA!$B$4&lt;&gt;"OR+EX",--(DATOS!$G2978=CONFIG_METADATA!$B$4),IF(DATOS!$G2978="EX",1,IF(DATOS!$G2978="OR",--(COUNTIFS(nNIA,DATOS!$A2978,nCURSO,DATOS!$D2978,nESPEC,DATOS!$E2978,nASIG,DATOS!$I2978,nEVAL,"EX")=0),0))))</f>
      </c>
      <c r="H2978">
        <f>IF(DATOS!$G2978&lt;&gt;"EX",0,--(COUNTIFS(nNIA,DATOS!$A2978,nCURSO,DATOS!$D2978,nESPEC,DATOS!$E2978,nASIG,DATOS!$I2978,nEVAL,"OR")=0))</f>
      </c>
      <c r="I2978">
        <f>IF(DATOS!$I2978="","",IFERROR(VLOOKUP(DATOS!$I2978,CONFIG_ASIGNATURAS!$B$2:$J$91,9,FALSE()),""))</f>
      </c>
    </row>
    <row r="2979">
      <c r="F2979">
        <f>IF(DATOS!$A2979="","",DATOS!$A2979&amp;"|"&amp;DATOS!$D2979&amp;"|"&amp;DATOS!$E2979&amp;"|"&amp;DATOS!$I2979)</f>
      </c>
      <c r="G2979">
        <f>IF(DATOS!$A2979="",0,IF(CONFIG_METADATA!$B$4&lt;&gt;"OR+EX",--(DATOS!$G2979=CONFIG_METADATA!$B$4),IF(DATOS!$G2979="EX",1,IF(DATOS!$G2979="OR",--(COUNTIFS(nNIA,DATOS!$A2979,nCURSO,DATOS!$D2979,nESPEC,DATOS!$E2979,nASIG,DATOS!$I2979,nEVAL,"EX")=0),0))))</f>
      </c>
      <c r="H2979">
        <f>IF(DATOS!$G2979&lt;&gt;"EX",0,--(COUNTIFS(nNIA,DATOS!$A2979,nCURSO,DATOS!$D2979,nESPEC,DATOS!$E2979,nASIG,DATOS!$I2979,nEVAL,"OR")=0))</f>
      </c>
      <c r="I2979">
        <f>IF(DATOS!$I2979="","",IFERROR(VLOOKUP(DATOS!$I2979,CONFIG_ASIGNATURAS!$B$2:$J$91,9,FALSE()),""))</f>
      </c>
    </row>
    <row r="2980">
      <c r="F2980">
        <f>IF(DATOS!$A2980="","",DATOS!$A2980&amp;"|"&amp;DATOS!$D2980&amp;"|"&amp;DATOS!$E2980&amp;"|"&amp;DATOS!$I2980)</f>
      </c>
      <c r="G2980">
        <f>IF(DATOS!$A2980="",0,IF(CONFIG_METADATA!$B$4&lt;&gt;"OR+EX",--(DATOS!$G2980=CONFIG_METADATA!$B$4),IF(DATOS!$G2980="EX",1,IF(DATOS!$G2980="OR",--(COUNTIFS(nNIA,DATOS!$A2980,nCURSO,DATOS!$D2980,nESPEC,DATOS!$E2980,nASIG,DATOS!$I2980,nEVAL,"EX")=0),0))))</f>
      </c>
      <c r="H2980">
        <f>IF(DATOS!$G2980&lt;&gt;"EX",0,--(COUNTIFS(nNIA,DATOS!$A2980,nCURSO,DATOS!$D2980,nESPEC,DATOS!$E2980,nASIG,DATOS!$I2980,nEVAL,"OR")=0))</f>
      </c>
      <c r="I2980">
        <f>IF(DATOS!$I2980="","",IFERROR(VLOOKUP(DATOS!$I2980,CONFIG_ASIGNATURAS!$B$2:$J$91,9,FALSE()),""))</f>
      </c>
    </row>
    <row r="2981">
      <c r="F2981">
        <f>IF(DATOS!$A2981="","",DATOS!$A2981&amp;"|"&amp;DATOS!$D2981&amp;"|"&amp;DATOS!$E2981&amp;"|"&amp;DATOS!$I2981)</f>
      </c>
      <c r="G2981">
        <f>IF(DATOS!$A2981="",0,IF(CONFIG_METADATA!$B$4&lt;&gt;"OR+EX",--(DATOS!$G2981=CONFIG_METADATA!$B$4),IF(DATOS!$G2981="EX",1,IF(DATOS!$G2981="OR",--(COUNTIFS(nNIA,DATOS!$A2981,nCURSO,DATOS!$D2981,nESPEC,DATOS!$E2981,nASIG,DATOS!$I2981,nEVAL,"EX")=0),0))))</f>
      </c>
      <c r="H2981">
        <f>IF(DATOS!$G2981&lt;&gt;"EX",0,--(COUNTIFS(nNIA,DATOS!$A2981,nCURSO,DATOS!$D2981,nESPEC,DATOS!$E2981,nASIG,DATOS!$I2981,nEVAL,"OR")=0))</f>
      </c>
      <c r="I2981">
        <f>IF(DATOS!$I2981="","",IFERROR(VLOOKUP(DATOS!$I2981,CONFIG_ASIGNATURAS!$B$2:$J$91,9,FALSE()),""))</f>
      </c>
    </row>
    <row r="2982">
      <c r="F2982">
        <f>IF(DATOS!$A2982="","",DATOS!$A2982&amp;"|"&amp;DATOS!$D2982&amp;"|"&amp;DATOS!$E2982&amp;"|"&amp;DATOS!$I2982)</f>
      </c>
      <c r="G2982">
        <f>IF(DATOS!$A2982="",0,IF(CONFIG_METADATA!$B$4&lt;&gt;"OR+EX",--(DATOS!$G2982=CONFIG_METADATA!$B$4),IF(DATOS!$G2982="EX",1,IF(DATOS!$G2982="OR",--(COUNTIFS(nNIA,DATOS!$A2982,nCURSO,DATOS!$D2982,nESPEC,DATOS!$E2982,nASIG,DATOS!$I2982,nEVAL,"EX")=0),0))))</f>
      </c>
      <c r="H2982">
        <f>IF(DATOS!$G2982&lt;&gt;"EX",0,--(COUNTIFS(nNIA,DATOS!$A2982,nCURSO,DATOS!$D2982,nESPEC,DATOS!$E2982,nASIG,DATOS!$I2982,nEVAL,"OR")=0))</f>
      </c>
      <c r="I2982">
        <f>IF(DATOS!$I2982="","",IFERROR(VLOOKUP(DATOS!$I2982,CONFIG_ASIGNATURAS!$B$2:$J$91,9,FALSE()),""))</f>
      </c>
    </row>
    <row r="2983">
      <c r="F2983">
        <f>IF(DATOS!$A2983="","",DATOS!$A2983&amp;"|"&amp;DATOS!$D2983&amp;"|"&amp;DATOS!$E2983&amp;"|"&amp;DATOS!$I2983)</f>
      </c>
      <c r="G2983">
        <f>IF(DATOS!$A2983="",0,IF(CONFIG_METADATA!$B$4&lt;&gt;"OR+EX",--(DATOS!$G2983=CONFIG_METADATA!$B$4),IF(DATOS!$G2983="EX",1,IF(DATOS!$G2983="OR",--(COUNTIFS(nNIA,DATOS!$A2983,nCURSO,DATOS!$D2983,nESPEC,DATOS!$E2983,nASIG,DATOS!$I2983,nEVAL,"EX")=0),0))))</f>
      </c>
      <c r="H2983">
        <f>IF(DATOS!$G2983&lt;&gt;"EX",0,--(COUNTIFS(nNIA,DATOS!$A2983,nCURSO,DATOS!$D2983,nESPEC,DATOS!$E2983,nASIG,DATOS!$I2983,nEVAL,"OR")=0))</f>
      </c>
      <c r="I2983">
        <f>IF(DATOS!$I2983="","",IFERROR(VLOOKUP(DATOS!$I2983,CONFIG_ASIGNATURAS!$B$2:$J$91,9,FALSE()),""))</f>
      </c>
    </row>
    <row r="2984">
      <c r="F2984">
        <f>IF(DATOS!$A2984="","",DATOS!$A2984&amp;"|"&amp;DATOS!$D2984&amp;"|"&amp;DATOS!$E2984&amp;"|"&amp;DATOS!$I2984)</f>
      </c>
      <c r="G2984">
        <f>IF(DATOS!$A2984="",0,IF(CONFIG_METADATA!$B$4&lt;&gt;"OR+EX",--(DATOS!$G2984=CONFIG_METADATA!$B$4),IF(DATOS!$G2984="EX",1,IF(DATOS!$G2984="OR",--(COUNTIFS(nNIA,DATOS!$A2984,nCURSO,DATOS!$D2984,nESPEC,DATOS!$E2984,nASIG,DATOS!$I2984,nEVAL,"EX")=0),0))))</f>
      </c>
      <c r="H2984">
        <f>IF(DATOS!$G2984&lt;&gt;"EX",0,--(COUNTIFS(nNIA,DATOS!$A2984,nCURSO,DATOS!$D2984,nESPEC,DATOS!$E2984,nASIG,DATOS!$I2984,nEVAL,"OR")=0))</f>
      </c>
      <c r="I2984">
        <f>IF(DATOS!$I2984="","",IFERROR(VLOOKUP(DATOS!$I2984,CONFIG_ASIGNATURAS!$B$2:$J$91,9,FALSE()),""))</f>
      </c>
    </row>
    <row r="2985">
      <c r="F2985">
        <f>IF(DATOS!$A2985="","",DATOS!$A2985&amp;"|"&amp;DATOS!$D2985&amp;"|"&amp;DATOS!$E2985&amp;"|"&amp;DATOS!$I2985)</f>
      </c>
      <c r="G2985">
        <f>IF(DATOS!$A2985="",0,IF(CONFIG_METADATA!$B$4&lt;&gt;"OR+EX",--(DATOS!$G2985=CONFIG_METADATA!$B$4),IF(DATOS!$G2985="EX",1,IF(DATOS!$G2985="OR",--(COUNTIFS(nNIA,DATOS!$A2985,nCURSO,DATOS!$D2985,nESPEC,DATOS!$E2985,nASIG,DATOS!$I2985,nEVAL,"EX")=0),0))))</f>
      </c>
      <c r="H2985">
        <f>IF(DATOS!$G2985&lt;&gt;"EX",0,--(COUNTIFS(nNIA,DATOS!$A2985,nCURSO,DATOS!$D2985,nESPEC,DATOS!$E2985,nASIG,DATOS!$I2985,nEVAL,"OR")=0))</f>
      </c>
      <c r="I2985">
        <f>IF(DATOS!$I2985="","",IFERROR(VLOOKUP(DATOS!$I2985,CONFIG_ASIGNATURAS!$B$2:$J$91,9,FALSE()),""))</f>
      </c>
    </row>
    <row r="2986">
      <c r="F2986">
        <f>IF(DATOS!$A2986="","",DATOS!$A2986&amp;"|"&amp;DATOS!$D2986&amp;"|"&amp;DATOS!$E2986&amp;"|"&amp;DATOS!$I2986)</f>
      </c>
      <c r="G2986">
        <f>IF(DATOS!$A2986="",0,IF(CONFIG_METADATA!$B$4&lt;&gt;"OR+EX",--(DATOS!$G2986=CONFIG_METADATA!$B$4),IF(DATOS!$G2986="EX",1,IF(DATOS!$G2986="OR",--(COUNTIFS(nNIA,DATOS!$A2986,nCURSO,DATOS!$D2986,nESPEC,DATOS!$E2986,nASIG,DATOS!$I2986,nEVAL,"EX")=0),0))))</f>
      </c>
      <c r="H2986">
        <f>IF(DATOS!$G2986&lt;&gt;"EX",0,--(COUNTIFS(nNIA,DATOS!$A2986,nCURSO,DATOS!$D2986,nESPEC,DATOS!$E2986,nASIG,DATOS!$I2986,nEVAL,"OR")=0))</f>
      </c>
      <c r="I2986">
        <f>IF(DATOS!$I2986="","",IFERROR(VLOOKUP(DATOS!$I2986,CONFIG_ASIGNATURAS!$B$2:$J$91,9,FALSE()),""))</f>
      </c>
    </row>
    <row r="2987">
      <c r="F2987">
        <f>IF(DATOS!$A2987="","",DATOS!$A2987&amp;"|"&amp;DATOS!$D2987&amp;"|"&amp;DATOS!$E2987&amp;"|"&amp;DATOS!$I2987)</f>
      </c>
      <c r="G2987">
        <f>IF(DATOS!$A2987="",0,IF(CONFIG_METADATA!$B$4&lt;&gt;"OR+EX",--(DATOS!$G2987=CONFIG_METADATA!$B$4),IF(DATOS!$G2987="EX",1,IF(DATOS!$G2987="OR",--(COUNTIFS(nNIA,DATOS!$A2987,nCURSO,DATOS!$D2987,nESPEC,DATOS!$E2987,nASIG,DATOS!$I2987,nEVAL,"EX")=0),0))))</f>
      </c>
      <c r="H2987">
        <f>IF(DATOS!$G2987&lt;&gt;"EX",0,--(COUNTIFS(nNIA,DATOS!$A2987,nCURSO,DATOS!$D2987,nESPEC,DATOS!$E2987,nASIG,DATOS!$I2987,nEVAL,"OR")=0))</f>
      </c>
      <c r="I2987">
        <f>IF(DATOS!$I2987="","",IFERROR(VLOOKUP(DATOS!$I2987,CONFIG_ASIGNATURAS!$B$2:$J$91,9,FALSE()),""))</f>
      </c>
    </row>
    <row r="2988">
      <c r="F2988">
        <f>IF(DATOS!$A2988="","",DATOS!$A2988&amp;"|"&amp;DATOS!$D2988&amp;"|"&amp;DATOS!$E2988&amp;"|"&amp;DATOS!$I2988)</f>
      </c>
      <c r="G2988">
        <f>IF(DATOS!$A2988="",0,IF(CONFIG_METADATA!$B$4&lt;&gt;"OR+EX",--(DATOS!$G2988=CONFIG_METADATA!$B$4),IF(DATOS!$G2988="EX",1,IF(DATOS!$G2988="OR",--(COUNTIFS(nNIA,DATOS!$A2988,nCURSO,DATOS!$D2988,nESPEC,DATOS!$E2988,nASIG,DATOS!$I2988,nEVAL,"EX")=0),0))))</f>
      </c>
      <c r="H2988">
        <f>IF(DATOS!$G2988&lt;&gt;"EX",0,--(COUNTIFS(nNIA,DATOS!$A2988,nCURSO,DATOS!$D2988,nESPEC,DATOS!$E2988,nASIG,DATOS!$I2988,nEVAL,"OR")=0))</f>
      </c>
      <c r="I2988">
        <f>IF(DATOS!$I2988="","",IFERROR(VLOOKUP(DATOS!$I2988,CONFIG_ASIGNATURAS!$B$2:$J$91,9,FALSE()),""))</f>
      </c>
    </row>
    <row r="2989">
      <c r="F2989">
        <f>IF(DATOS!$A2989="","",DATOS!$A2989&amp;"|"&amp;DATOS!$D2989&amp;"|"&amp;DATOS!$E2989&amp;"|"&amp;DATOS!$I2989)</f>
      </c>
      <c r="G2989">
        <f>IF(DATOS!$A2989="",0,IF(CONFIG_METADATA!$B$4&lt;&gt;"OR+EX",--(DATOS!$G2989=CONFIG_METADATA!$B$4),IF(DATOS!$G2989="EX",1,IF(DATOS!$G2989="OR",--(COUNTIFS(nNIA,DATOS!$A2989,nCURSO,DATOS!$D2989,nESPEC,DATOS!$E2989,nASIG,DATOS!$I2989,nEVAL,"EX")=0),0))))</f>
      </c>
      <c r="H2989">
        <f>IF(DATOS!$G2989&lt;&gt;"EX",0,--(COUNTIFS(nNIA,DATOS!$A2989,nCURSO,DATOS!$D2989,nESPEC,DATOS!$E2989,nASIG,DATOS!$I2989,nEVAL,"OR")=0))</f>
      </c>
      <c r="I2989">
        <f>IF(DATOS!$I2989="","",IFERROR(VLOOKUP(DATOS!$I2989,CONFIG_ASIGNATURAS!$B$2:$J$91,9,FALSE()),""))</f>
      </c>
    </row>
    <row r="2990">
      <c r="F2990">
        <f>IF(DATOS!$A2990="","",DATOS!$A2990&amp;"|"&amp;DATOS!$D2990&amp;"|"&amp;DATOS!$E2990&amp;"|"&amp;DATOS!$I2990)</f>
      </c>
      <c r="G2990">
        <f>IF(DATOS!$A2990="",0,IF(CONFIG_METADATA!$B$4&lt;&gt;"OR+EX",--(DATOS!$G2990=CONFIG_METADATA!$B$4),IF(DATOS!$G2990="EX",1,IF(DATOS!$G2990="OR",--(COUNTIFS(nNIA,DATOS!$A2990,nCURSO,DATOS!$D2990,nESPEC,DATOS!$E2990,nASIG,DATOS!$I2990,nEVAL,"EX")=0),0))))</f>
      </c>
      <c r="H2990">
        <f>IF(DATOS!$G2990&lt;&gt;"EX",0,--(COUNTIFS(nNIA,DATOS!$A2990,nCURSO,DATOS!$D2990,nESPEC,DATOS!$E2990,nASIG,DATOS!$I2990,nEVAL,"OR")=0))</f>
      </c>
      <c r="I2990">
        <f>IF(DATOS!$I2990="","",IFERROR(VLOOKUP(DATOS!$I2990,CONFIG_ASIGNATURAS!$B$2:$J$91,9,FALSE()),""))</f>
      </c>
    </row>
    <row r="2991">
      <c r="F2991">
        <f>IF(DATOS!$A2991="","",DATOS!$A2991&amp;"|"&amp;DATOS!$D2991&amp;"|"&amp;DATOS!$E2991&amp;"|"&amp;DATOS!$I2991)</f>
      </c>
      <c r="G2991">
        <f>IF(DATOS!$A2991="",0,IF(CONFIG_METADATA!$B$4&lt;&gt;"OR+EX",--(DATOS!$G2991=CONFIG_METADATA!$B$4),IF(DATOS!$G2991="EX",1,IF(DATOS!$G2991="OR",--(COUNTIFS(nNIA,DATOS!$A2991,nCURSO,DATOS!$D2991,nESPEC,DATOS!$E2991,nASIG,DATOS!$I2991,nEVAL,"EX")=0),0))))</f>
      </c>
      <c r="H2991">
        <f>IF(DATOS!$G2991&lt;&gt;"EX",0,--(COUNTIFS(nNIA,DATOS!$A2991,nCURSO,DATOS!$D2991,nESPEC,DATOS!$E2991,nASIG,DATOS!$I2991,nEVAL,"OR")=0))</f>
      </c>
      <c r="I2991">
        <f>IF(DATOS!$I2991="","",IFERROR(VLOOKUP(DATOS!$I2991,CONFIG_ASIGNATURAS!$B$2:$J$91,9,FALSE()),""))</f>
      </c>
    </row>
    <row r="2992">
      <c r="F2992">
        <f>IF(DATOS!$A2992="","",DATOS!$A2992&amp;"|"&amp;DATOS!$D2992&amp;"|"&amp;DATOS!$E2992&amp;"|"&amp;DATOS!$I2992)</f>
      </c>
      <c r="G2992">
        <f>IF(DATOS!$A2992="",0,IF(CONFIG_METADATA!$B$4&lt;&gt;"OR+EX",--(DATOS!$G2992=CONFIG_METADATA!$B$4),IF(DATOS!$G2992="EX",1,IF(DATOS!$G2992="OR",--(COUNTIFS(nNIA,DATOS!$A2992,nCURSO,DATOS!$D2992,nESPEC,DATOS!$E2992,nASIG,DATOS!$I2992,nEVAL,"EX")=0),0))))</f>
      </c>
      <c r="H2992">
        <f>IF(DATOS!$G2992&lt;&gt;"EX",0,--(COUNTIFS(nNIA,DATOS!$A2992,nCURSO,DATOS!$D2992,nESPEC,DATOS!$E2992,nASIG,DATOS!$I2992,nEVAL,"OR")=0))</f>
      </c>
      <c r="I2992">
        <f>IF(DATOS!$I2992="","",IFERROR(VLOOKUP(DATOS!$I2992,CONFIG_ASIGNATURAS!$B$2:$J$91,9,FALSE()),""))</f>
      </c>
    </row>
    <row r="2993">
      <c r="F2993">
        <f>IF(DATOS!$A2993="","",DATOS!$A2993&amp;"|"&amp;DATOS!$D2993&amp;"|"&amp;DATOS!$E2993&amp;"|"&amp;DATOS!$I2993)</f>
      </c>
      <c r="G2993">
        <f>IF(DATOS!$A2993="",0,IF(CONFIG_METADATA!$B$4&lt;&gt;"OR+EX",--(DATOS!$G2993=CONFIG_METADATA!$B$4),IF(DATOS!$G2993="EX",1,IF(DATOS!$G2993="OR",--(COUNTIFS(nNIA,DATOS!$A2993,nCURSO,DATOS!$D2993,nESPEC,DATOS!$E2993,nASIG,DATOS!$I2993,nEVAL,"EX")=0),0))))</f>
      </c>
      <c r="H2993">
        <f>IF(DATOS!$G2993&lt;&gt;"EX",0,--(COUNTIFS(nNIA,DATOS!$A2993,nCURSO,DATOS!$D2993,nESPEC,DATOS!$E2993,nASIG,DATOS!$I2993,nEVAL,"OR")=0))</f>
      </c>
      <c r="I2993">
        <f>IF(DATOS!$I2993="","",IFERROR(VLOOKUP(DATOS!$I2993,CONFIG_ASIGNATURAS!$B$2:$J$91,9,FALSE()),""))</f>
      </c>
    </row>
    <row r="2994">
      <c r="F2994">
        <f>IF(DATOS!$A2994="","",DATOS!$A2994&amp;"|"&amp;DATOS!$D2994&amp;"|"&amp;DATOS!$E2994&amp;"|"&amp;DATOS!$I2994)</f>
      </c>
      <c r="G2994">
        <f>IF(DATOS!$A2994="",0,IF(CONFIG_METADATA!$B$4&lt;&gt;"OR+EX",--(DATOS!$G2994=CONFIG_METADATA!$B$4),IF(DATOS!$G2994="EX",1,IF(DATOS!$G2994="OR",--(COUNTIFS(nNIA,DATOS!$A2994,nCURSO,DATOS!$D2994,nESPEC,DATOS!$E2994,nASIG,DATOS!$I2994,nEVAL,"EX")=0),0))))</f>
      </c>
      <c r="H2994">
        <f>IF(DATOS!$G2994&lt;&gt;"EX",0,--(COUNTIFS(nNIA,DATOS!$A2994,nCURSO,DATOS!$D2994,nESPEC,DATOS!$E2994,nASIG,DATOS!$I2994,nEVAL,"OR")=0))</f>
      </c>
      <c r="I2994">
        <f>IF(DATOS!$I2994="","",IFERROR(VLOOKUP(DATOS!$I2994,CONFIG_ASIGNATURAS!$B$2:$J$91,9,FALSE()),""))</f>
      </c>
    </row>
    <row r="2995">
      <c r="F2995">
        <f>IF(DATOS!$A2995="","",DATOS!$A2995&amp;"|"&amp;DATOS!$D2995&amp;"|"&amp;DATOS!$E2995&amp;"|"&amp;DATOS!$I2995)</f>
      </c>
      <c r="G2995">
        <f>IF(DATOS!$A2995="",0,IF(CONFIG_METADATA!$B$4&lt;&gt;"OR+EX",--(DATOS!$G2995=CONFIG_METADATA!$B$4),IF(DATOS!$G2995="EX",1,IF(DATOS!$G2995="OR",--(COUNTIFS(nNIA,DATOS!$A2995,nCURSO,DATOS!$D2995,nESPEC,DATOS!$E2995,nASIG,DATOS!$I2995,nEVAL,"EX")=0),0))))</f>
      </c>
      <c r="H2995">
        <f>IF(DATOS!$G2995&lt;&gt;"EX",0,--(COUNTIFS(nNIA,DATOS!$A2995,nCURSO,DATOS!$D2995,nESPEC,DATOS!$E2995,nASIG,DATOS!$I2995,nEVAL,"OR")=0))</f>
      </c>
      <c r="I2995">
        <f>IF(DATOS!$I2995="","",IFERROR(VLOOKUP(DATOS!$I2995,CONFIG_ASIGNATURAS!$B$2:$J$91,9,FALSE()),""))</f>
      </c>
    </row>
    <row r="2996">
      <c r="F2996">
        <f>IF(DATOS!$A2996="","",DATOS!$A2996&amp;"|"&amp;DATOS!$D2996&amp;"|"&amp;DATOS!$E2996&amp;"|"&amp;DATOS!$I2996)</f>
      </c>
      <c r="G2996">
        <f>IF(DATOS!$A2996="",0,IF(CONFIG_METADATA!$B$4&lt;&gt;"OR+EX",--(DATOS!$G2996=CONFIG_METADATA!$B$4),IF(DATOS!$G2996="EX",1,IF(DATOS!$G2996="OR",--(COUNTIFS(nNIA,DATOS!$A2996,nCURSO,DATOS!$D2996,nESPEC,DATOS!$E2996,nASIG,DATOS!$I2996,nEVAL,"EX")=0),0))))</f>
      </c>
      <c r="H2996">
        <f>IF(DATOS!$G2996&lt;&gt;"EX",0,--(COUNTIFS(nNIA,DATOS!$A2996,nCURSO,DATOS!$D2996,nESPEC,DATOS!$E2996,nASIG,DATOS!$I2996,nEVAL,"OR")=0))</f>
      </c>
      <c r="I2996">
        <f>IF(DATOS!$I2996="","",IFERROR(VLOOKUP(DATOS!$I2996,CONFIG_ASIGNATURAS!$B$2:$J$91,9,FALSE()),""))</f>
      </c>
    </row>
    <row r="2997">
      <c r="F2997">
        <f>IF(DATOS!$A2997="","",DATOS!$A2997&amp;"|"&amp;DATOS!$D2997&amp;"|"&amp;DATOS!$E2997&amp;"|"&amp;DATOS!$I2997)</f>
      </c>
      <c r="G2997">
        <f>IF(DATOS!$A2997="",0,IF(CONFIG_METADATA!$B$4&lt;&gt;"OR+EX",--(DATOS!$G2997=CONFIG_METADATA!$B$4),IF(DATOS!$G2997="EX",1,IF(DATOS!$G2997="OR",--(COUNTIFS(nNIA,DATOS!$A2997,nCURSO,DATOS!$D2997,nESPEC,DATOS!$E2997,nASIG,DATOS!$I2997,nEVAL,"EX")=0),0))))</f>
      </c>
      <c r="H2997">
        <f>IF(DATOS!$G2997&lt;&gt;"EX",0,--(COUNTIFS(nNIA,DATOS!$A2997,nCURSO,DATOS!$D2997,nESPEC,DATOS!$E2997,nASIG,DATOS!$I2997,nEVAL,"OR")=0))</f>
      </c>
      <c r="I2997">
        <f>IF(DATOS!$I2997="","",IFERROR(VLOOKUP(DATOS!$I2997,CONFIG_ASIGNATURAS!$B$2:$J$91,9,FALSE()),""))</f>
      </c>
    </row>
    <row r="2998">
      <c r="F2998">
        <f>IF(DATOS!$A2998="","",DATOS!$A2998&amp;"|"&amp;DATOS!$D2998&amp;"|"&amp;DATOS!$E2998&amp;"|"&amp;DATOS!$I2998)</f>
      </c>
      <c r="G2998">
        <f>IF(DATOS!$A2998="",0,IF(CONFIG_METADATA!$B$4&lt;&gt;"OR+EX",--(DATOS!$G2998=CONFIG_METADATA!$B$4),IF(DATOS!$G2998="EX",1,IF(DATOS!$G2998="OR",--(COUNTIFS(nNIA,DATOS!$A2998,nCURSO,DATOS!$D2998,nESPEC,DATOS!$E2998,nASIG,DATOS!$I2998,nEVAL,"EX")=0),0))))</f>
      </c>
      <c r="H2998">
        <f>IF(DATOS!$G2998&lt;&gt;"EX",0,--(COUNTIFS(nNIA,DATOS!$A2998,nCURSO,DATOS!$D2998,nESPEC,DATOS!$E2998,nASIG,DATOS!$I2998,nEVAL,"OR")=0))</f>
      </c>
      <c r="I2998">
        <f>IF(DATOS!$I2998="","",IFERROR(VLOOKUP(DATOS!$I2998,CONFIG_ASIGNATURAS!$B$2:$J$91,9,FALSE()),""))</f>
      </c>
    </row>
    <row r="2999">
      <c r="F2999">
        <f>IF(DATOS!$A2999="","",DATOS!$A2999&amp;"|"&amp;DATOS!$D2999&amp;"|"&amp;DATOS!$E2999&amp;"|"&amp;DATOS!$I2999)</f>
      </c>
      <c r="G2999">
        <f>IF(DATOS!$A2999="",0,IF(CONFIG_METADATA!$B$4&lt;&gt;"OR+EX",--(DATOS!$G2999=CONFIG_METADATA!$B$4),IF(DATOS!$G2999="EX",1,IF(DATOS!$G2999="OR",--(COUNTIFS(nNIA,DATOS!$A2999,nCURSO,DATOS!$D2999,nESPEC,DATOS!$E2999,nASIG,DATOS!$I2999,nEVAL,"EX")=0),0))))</f>
      </c>
      <c r="H2999">
        <f>IF(DATOS!$G2999&lt;&gt;"EX",0,--(COUNTIFS(nNIA,DATOS!$A2999,nCURSO,DATOS!$D2999,nESPEC,DATOS!$E2999,nASIG,DATOS!$I2999,nEVAL,"OR")=0))</f>
      </c>
      <c r="I2999">
        <f>IF(DATOS!$I2999="","",IFERROR(VLOOKUP(DATOS!$I2999,CONFIG_ASIGNATURAS!$B$2:$J$91,9,FALSE()),""))</f>
      </c>
    </row>
    <row r="3000">
      <c r="F3000">
        <f>IF(DATOS!$A3000="","",DATOS!$A3000&amp;"|"&amp;DATOS!$D3000&amp;"|"&amp;DATOS!$E3000&amp;"|"&amp;DATOS!$I3000)</f>
      </c>
      <c r="G3000">
        <f>IF(DATOS!$A3000="",0,IF(CONFIG_METADATA!$B$4&lt;&gt;"OR+EX",--(DATOS!$G3000=CONFIG_METADATA!$B$4),IF(DATOS!$G3000="EX",1,IF(DATOS!$G3000="OR",--(COUNTIFS(nNIA,DATOS!$A3000,nCURSO,DATOS!$D3000,nESPEC,DATOS!$E3000,nASIG,DATOS!$I3000,nEVAL,"EX")=0),0))))</f>
      </c>
      <c r="H3000">
        <f>IF(DATOS!$G3000&lt;&gt;"EX",0,--(COUNTIFS(nNIA,DATOS!$A3000,nCURSO,DATOS!$D3000,nESPEC,DATOS!$E3000,nASIG,DATOS!$I3000,nEVAL,"OR")=0))</f>
      </c>
      <c r="I3000">
        <f>IF(DATOS!$I3000="","",IFERROR(VLOOKUP(DATOS!$I3000,CONFIG_ASIGNATURAS!$B$2:$J$91,9,FALSE()),""))</f>
      </c>
    </row>
    <row r="3001">
      <c r="F3001">
        <f>IF(DATOS!$A3001="","",DATOS!$A3001&amp;"|"&amp;DATOS!$D3001&amp;"|"&amp;DATOS!$E3001&amp;"|"&amp;DATOS!$I3001)</f>
      </c>
      <c r="G3001">
        <f>IF(DATOS!$A3001="",0,IF(CONFIG_METADATA!$B$4&lt;&gt;"OR+EX",--(DATOS!$G3001=CONFIG_METADATA!$B$4),IF(DATOS!$G3001="EX",1,IF(DATOS!$G3001="OR",--(COUNTIFS(nNIA,DATOS!$A3001,nCURSO,DATOS!$D3001,nESPEC,DATOS!$E3001,nASIG,DATOS!$I3001,nEVAL,"EX")=0),0))))</f>
      </c>
      <c r="H3001">
        <f>IF(DATOS!$G3001&lt;&gt;"EX",0,--(COUNTIFS(nNIA,DATOS!$A3001,nCURSO,DATOS!$D3001,nESPEC,DATOS!$E3001,nASIG,DATOS!$I3001,nEVAL,"OR")=0))</f>
      </c>
      <c r="I3001">
        <f>IF(DATOS!$I3001="","",IFERROR(VLOOKUP(DATOS!$I3001,CONFIG_ASIGNATURAS!$B$2:$J$91,9,FALSE()),""))</f>
      </c>
    </row>
    <row r="3002">
      <c r="F3002">
        <f>IF(DATOS!$A3002="","",DATOS!$A3002&amp;"|"&amp;DATOS!$D3002&amp;"|"&amp;DATOS!$E3002&amp;"|"&amp;DATOS!$I3002)</f>
      </c>
      <c r="G3002">
        <f>IF(DATOS!$A3002="",0,IF(CONFIG_METADATA!$B$4&lt;&gt;"OR+EX",--(DATOS!$G3002=CONFIG_METADATA!$B$4),IF(DATOS!$G3002="EX",1,IF(DATOS!$G3002="OR",--(COUNTIFS(nNIA,DATOS!$A3002,nCURSO,DATOS!$D3002,nESPEC,DATOS!$E3002,nASIG,DATOS!$I3002,nEVAL,"EX")=0),0))))</f>
      </c>
      <c r="H3002">
        <f>IF(DATOS!$G3002&lt;&gt;"EX",0,--(COUNTIFS(nNIA,DATOS!$A3002,nCURSO,DATOS!$D3002,nESPEC,DATOS!$E3002,nASIG,DATOS!$I3002,nEVAL,"OR")=0))</f>
      </c>
      <c r="I3002">
        <f>IF(DATOS!$I3002="","",IFERROR(VLOOKUP(DATOS!$I3002,CONFIG_ASIGNATURAS!$B$2:$J$91,9,FALSE()),""))</f>
      </c>
    </row>
    <row r="3003">
      <c r="F3003">
        <f>IF(DATOS!$A3003="","",DATOS!$A3003&amp;"|"&amp;DATOS!$D3003&amp;"|"&amp;DATOS!$E3003&amp;"|"&amp;DATOS!$I3003)</f>
      </c>
      <c r="G3003">
        <f>IF(DATOS!$A3003="",0,IF(CONFIG_METADATA!$B$4&lt;&gt;"OR+EX",--(DATOS!$G3003=CONFIG_METADATA!$B$4),IF(DATOS!$G3003="EX",1,IF(DATOS!$G3003="OR",--(COUNTIFS(nNIA,DATOS!$A3003,nCURSO,DATOS!$D3003,nESPEC,DATOS!$E3003,nASIG,DATOS!$I3003,nEVAL,"EX")=0),0))))</f>
      </c>
      <c r="H3003">
        <f>IF(DATOS!$G3003&lt;&gt;"EX",0,--(COUNTIFS(nNIA,DATOS!$A3003,nCURSO,DATOS!$D3003,nESPEC,DATOS!$E3003,nASIG,DATOS!$I3003,nEVAL,"OR")=0))</f>
      </c>
      <c r="I3003">
        <f>IF(DATOS!$I3003="","",IFERROR(VLOOKUP(DATOS!$I3003,CONFIG_ASIGNATURAS!$B$2:$J$91,9,FALSE()),""))</f>
      </c>
    </row>
    <row r="3004">
      <c r="F3004">
        <f>IF(DATOS!$A3004="","",DATOS!$A3004&amp;"|"&amp;DATOS!$D3004&amp;"|"&amp;DATOS!$E3004&amp;"|"&amp;DATOS!$I3004)</f>
      </c>
      <c r="G3004">
        <f>IF(DATOS!$A3004="",0,IF(CONFIG_METADATA!$B$4&lt;&gt;"OR+EX",--(DATOS!$G3004=CONFIG_METADATA!$B$4),IF(DATOS!$G3004="EX",1,IF(DATOS!$G3004="OR",--(COUNTIFS(nNIA,DATOS!$A3004,nCURSO,DATOS!$D3004,nESPEC,DATOS!$E3004,nASIG,DATOS!$I3004,nEVAL,"EX")=0),0))))</f>
      </c>
      <c r="H3004">
        <f>IF(DATOS!$G3004&lt;&gt;"EX",0,--(COUNTIFS(nNIA,DATOS!$A3004,nCURSO,DATOS!$D3004,nESPEC,DATOS!$E3004,nASIG,DATOS!$I3004,nEVAL,"OR")=0))</f>
      </c>
      <c r="I3004">
        <f>IF(DATOS!$I3004="","",IFERROR(VLOOKUP(DATOS!$I3004,CONFIG_ASIGNATURAS!$B$2:$J$91,9,FALSE()),""))</f>
      </c>
    </row>
    <row r="3005">
      <c r="F3005">
        <f>IF(DATOS!$A3005="","",DATOS!$A3005&amp;"|"&amp;DATOS!$D3005&amp;"|"&amp;DATOS!$E3005&amp;"|"&amp;DATOS!$I3005)</f>
      </c>
      <c r="G3005">
        <f>IF(DATOS!$A3005="",0,IF(CONFIG_METADATA!$B$4&lt;&gt;"OR+EX",--(DATOS!$G3005=CONFIG_METADATA!$B$4),IF(DATOS!$G3005="EX",1,IF(DATOS!$G3005="OR",--(COUNTIFS(nNIA,DATOS!$A3005,nCURSO,DATOS!$D3005,nESPEC,DATOS!$E3005,nASIG,DATOS!$I3005,nEVAL,"EX")=0),0))))</f>
      </c>
      <c r="H3005">
        <f>IF(DATOS!$G3005&lt;&gt;"EX",0,--(COUNTIFS(nNIA,DATOS!$A3005,nCURSO,DATOS!$D3005,nESPEC,DATOS!$E3005,nASIG,DATOS!$I3005,nEVAL,"OR")=0))</f>
      </c>
      <c r="I3005">
        <f>IF(DATOS!$I3005="","",IFERROR(VLOOKUP(DATOS!$I3005,CONFIG_ASIGNATURAS!$B$2:$J$91,9,FALSE()),""))</f>
      </c>
    </row>
    <row r="3006">
      <c r="F3006">
        <f>IF(DATOS!$A3006="","",DATOS!$A3006&amp;"|"&amp;DATOS!$D3006&amp;"|"&amp;DATOS!$E3006&amp;"|"&amp;DATOS!$I3006)</f>
      </c>
      <c r="G3006">
        <f>IF(DATOS!$A3006="",0,IF(CONFIG_METADATA!$B$4&lt;&gt;"OR+EX",--(DATOS!$G3006=CONFIG_METADATA!$B$4),IF(DATOS!$G3006="EX",1,IF(DATOS!$G3006="OR",--(COUNTIFS(nNIA,DATOS!$A3006,nCURSO,DATOS!$D3006,nESPEC,DATOS!$E3006,nASIG,DATOS!$I3006,nEVAL,"EX")=0),0))))</f>
      </c>
      <c r="H3006">
        <f>IF(DATOS!$G3006&lt;&gt;"EX",0,--(COUNTIFS(nNIA,DATOS!$A3006,nCURSO,DATOS!$D3006,nESPEC,DATOS!$E3006,nASIG,DATOS!$I3006,nEVAL,"OR")=0))</f>
      </c>
      <c r="I3006">
        <f>IF(DATOS!$I3006="","",IFERROR(VLOOKUP(DATOS!$I3006,CONFIG_ASIGNATURAS!$B$2:$J$91,9,FALSE()),""))</f>
      </c>
    </row>
    <row r="3007">
      <c r="F3007">
        <f>IF(DATOS!$A3007="","",DATOS!$A3007&amp;"|"&amp;DATOS!$D3007&amp;"|"&amp;DATOS!$E3007&amp;"|"&amp;DATOS!$I3007)</f>
      </c>
      <c r="G3007">
        <f>IF(DATOS!$A3007="",0,IF(CONFIG_METADATA!$B$4&lt;&gt;"OR+EX",--(DATOS!$G3007=CONFIG_METADATA!$B$4),IF(DATOS!$G3007="EX",1,IF(DATOS!$G3007="OR",--(COUNTIFS(nNIA,DATOS!$A3007,nCURSO,DATOS!$D3007,nESPEC,DATOS!$E3007,nASIG,DATOS!$I3007,nEVAL,"EX")=0),0))))</f>
      </c>
      <c r="H3007">
        <f>IF(DATOS!$G3007&lt;&gt;"EX",0,--(COUNTIFS(nNIA,DATOS!$A3007,nCURSO,DATOS!$D3007,nESPEC,DATOS!$E3007,nASIG,DATOS!$I3007,nEVAL,"OR")=0))</f>
      </c>
      <c r="I3007">
        <f>IF(DATOS!$I3007="","",IFERROR(VLOOKUP(DATOS!$I3007,CONFIG_ASIGNATURAS!$B$2:$J$91,9,FALSE()),""))</f>
      </c>
    </row>
    <row r="3008">
      <c r="F3008">
        <f>IF(DATOS!$A3008="","",DATOS!$A3008&amp;"|"&amp;DATOS!$D3008&amp;"|"&amp;DATOS!$E3008&amp;"|"&amp;DATOS!$I3008)</f>
      </c>
      <c r="G3008">
        <f>IF(DATOS!$A3008="",0,IF(CONFIG_METADATA!$B$4&lt;&gt;"OR+EX",--(DATOS!$G3008=CONFIG_METADATA!$B$4),IF(DATOS!$G3008="EX",1,IF(DATOS!$G3008="OR",--(COUNTIFS(nNIA,DATOS!$A3008,nCURSO,DATOS!$D3008,nESPEC,DATOS!$E3008,nASIG,DATOS!$I3008,nEVAL,"EX")=0),0))))</f>
      </c>
      <c r="H3008">
        <f>IF(DATOS!$G3008&lt;&gt;"EX",0,--(COUNTIFS(nNIA,DATOS!$A3008,nCURSO,DATOS!$D3008,nESPEC,DATOS!$E3008,nASIG,DATOS!$I3008,nEVAL,"OR")=0))</f>
      </c>
      <c r="I3008">
        <f>IF(DATOS!$I3008="","",IFERROR(VLOOKUP(DATOS!$I3008,CONFIG_ASIGNATURAS!$B$2:$J$91,9,FALSE()),""))</f>
      </c>
    </row>
    <row r="3009">
      <c r="F3009">
        <f>IF(DATOS!$A3009="","",DATOS!$A3009&amp;"|"&amp;DATOS!$D3009&amp;"|"&amp;DATOS!$E3009&amp;"|"&amp;DATOS!$I3009)</f>
      </c>
      <c r="G3009">
        <f>IF(DATOS!$A3009="",0,IF(CONFIG_METADATA!$B$4&lt;&gt;"OR+EX",--(DATOS!$G3009=CONFIG_METADATA!$B$4),IF(DATOS!$G3009="EX",1,IF(DATOS!$G3009="OR",--(COUNTIFS(nNIA,DATOS!$A3009,nCURSO,DATOS!$D3009,nESPEC,DATOS!$E3009,nASIG,DATOS!$I3009,nEVAL,"EX")=0),0))))</f>
      </c>
      <c r="H3009">
        <f>IF(DATOS!$G3009&lt;&gt;"EX",0,--(COUNTIFS(nNIA,DATOS!$A3009,nCURSO,DATOS!$D3009,nESPEC,DATOS!$E3009,nASIG,DATOS!$I3009,nEVAL,"OR")=0))</f>
      </c>
      <c r="I3009">
        <f>IF(DATOS!$I3009="","",IFERROR(VLOOKUP(DATOS!$I3009,CONFIG_ASIGNATURAS!$B$2:$J$91,9,FALSE()),""))</f>
      </c>
    </row>
    <row r="3010">
      <c r="F3010">
        <f>IF(DATOS!$A3010="","",DATOS!$A3010&amp;"|"&amp;DATOS!$D3010&amp;"|"&amp;DATOS!$E3010&amp;"|"&amp;DATOS!$I3010)</f>
      </c>
      <c r="G3010">
        <f>IF(DATOS!$A3010="",0,IF(CONFIG_METADATA!$B$4&lt;&gt;"OR+EX",--(DATOS!$G3010=CONFIG_METADATA!$B$4),IF(DATOS!$G3010="EX",1,IF(DATOS!$G3010="OR",--(COUNTIFS(nNIA,DATOS!$A3010,nCURSO,DATOS!$D3010,nESPEC,DATOS!$E3010,nASIG,DATOS!$I3010,nEVAL,"EX")=0),0))))</f>
      </c>
      <c r="H3010">
        <f>IF(DATOS!$G3010&lt;&gt;"EX",0,--(COUNTIFS(nNIA,DATOS!$A3010,nCURSO,DATOS!$D3010,nESPEC,DATOS!$E3010,nASIG,DATOS!$I3010,nEVAL,"OR")=0))</f>
      </c>
      <c r="I3010">
        <f>IF(DATOS!$I3010="","",IFERROR(VLOOKUP(DATOS!$I3010,CONFIG_ASIGNATURAS!$B$2:$J$91,9,FALSE()),""))</f>
      </c>
    </row>
    <row r="3011">
      <c r="F3011">
        <f>IF(DATOS!$A3011="","",DATOS!$A3011&amp;"|"&amp;DATOS!$D3011&amp;"|"&amp;DATOS!$E3011&amp;"|"&amp;DATOS!$I3011)</f>
      </c>
      <c r="G3011">
        <f>IF(DATOS!$A3011="",0,IF(CONFIG_METADATA!$B$4&lt;&gt;"OR+EX",--(DATOS!$G3011=CONFIG_METADATA!$B$4),IF(DATOS!$G3011="EX",1,IF(DATOS!$G3011="OR",--(COUNTIFS(nNIA,DATOS!$A3011,nCURSO,DATOS!$D3011,nESPEC,DATOS!$E3011,nASIG,DATOS!$I3011,nEVAL,"EX")=0),0))))</f>
      </c>
      <c r="H3011">
        <f>IF(DATOS!$G3011&lt;&gt;"EX",0,--(COUNTIFS(nNIA,DATOS!$A3011,nCURSO,DATOS!$D3011,nESPEC,DATOS!$E3011,nASIG,DATOS!$I3011,nEVAL,"OR")=0))</f>
      </c>
      <c r="I3011">
        <f>IF(DATOS!$I3011="","",IFERROR(VLOOKUP(DATOS!$I3011,CONFIG_ASIGNATURAS!$B$2:$J$91,9,FALSE()),""))</f>
      </c>
    </row>
    <row r="3012">
      <c r="F3012">
        <f>IF(DATOS!$A3012="","",DATOS!$A3012&amp;"|"&amp;DATOS!$D3012&amp;"|"&amp;DATOS!$E3012&amp;"|"&amp;DATOS!$I3012)</f>
      </c>
      <c r="G3012">
        <f>IF(DATOS!$A3012="",0,IF(CONFIG_METADATA!$B$4&lt;&gt;"OR+EX",--(DATOS!$G3012=CONFIG_METADATA!$B$4),IF(DATOS!$G3012="EX",1,IF(DATOS!$G3012="OR",--(COUNTIFS(nNIA,DATOS!$A3012,nCURSO,DATOS!$D3012,nESPEC,DATOS!$E3012,nASIG,DATOS!$I3012,nEVAL,"EX")=0),0))))</f>
      </c>
      <c r="H3012">
        <f>IF(DATOS!$G3012&lt;&gt;"EX",0,--(COUNTIFS(nNIA,DATOS!$A3012,nCURSO,DATOS!$D3012,nESPEC,DATOS!$E3012,nASIG,DATOS!$I3012,nEVAL,"OR")=0))</f>
      </c>
      <c r="I3012">
        <f>IF(DATOS!$I3012="","",IFERROR(VLOOKUP(DATOS!$I3012,CONFIG_ASIGNATURAS!$B$2:$J$91,9,FALSE()),""))</f>
      </c>
    </row>
    <row r="3013">
      <c r="F3013">
        <f>IF(DATOS!$A3013="","",DATOS!$A3013&amp;"|"&amp;DATOS!$D3013&amp;"|"&amp;DATOS!$E3013&amp;"|"&amp;DATOS!$I3013)</f>
      </c>
      <c r="G3013">
        <f>IF(DATOS!$A3013="",0,IF(CONFIG_METADATA!$B$4&lt;&gt;"OR+EX",--(DATOS!$G3013=CONFIG_METADATA!$B$4),IF(DATOS!$G3013="EX",1,IF(DATOS!$G3013="OR",--(COUNTIFS(nNIA,DATOS!$A3013,nCURSO,DATOS!$D3013,nESPEC,DATOS!$E3013,nASIG,DATOS!$I3013,nEVAL,"EX")=0),0))))</f>
      </c>
      <c r="H3013">
        <f>IF(DATOS!$G3013&lt;&gt;"EX",0,--(COUNTIFS(nNIA,DATOS!$A3013,nCURSO,DATOS!$D3013,nESPEC,DATOS!$E3013,nASIG,DATOS!$I3013,nEVAL,"OR")=0))</f>
      </c>
      <c r="I3013">
        <f>IF(DATOS!$I3013="","",IFERROR(VLOOKUP(DATOS!$I3013,CONFIG_ASIGNATURAS!$B$2:$J$91,9,FALSE()),""))</f>
      </c>
    </row>
    <row r="3014">
      <c r="F3014">
        <f>IF(DATOS!$A3014="","",DATOS!$A3014&amp;"|"&amp;DATOS!$D3014&amp;"|"&amp;DATOS!$E3014&amp;"|"&amp;DATOS!$I3014)</f>
      </c>
      <c r="G3014">
        <f>IF(DATOS!$A3014="",0,IF(CONFIG_METADATA!$B$4&lt;&gt;"OR+EX",--(DATOS!$G3014=CONFIG_METADATA!$B$4),IF(DATOS!$G3014="EX",1,IF(DATOS!$G3014="OR",--(COUNTIFS(nNIA,DATOS!$A3014,nCURSO,DATOS!$D3014,nESPEC,DATOS!$E3014,nASIG,DATOS!$I3014,nEVAL,"EX")=0),0))))</f>
      </c>
      <c r="H3014">
        <f>IF(DATOS!$G3014&lt;&gt;"EX",0,--(COUNTIFS(nNIA,DATOS!$A3014,nCURSO,DATOS!$D3014,nESPEC,DATOS!$E3014,nASIG,DATOS!$I3014,nEVAL,"OR")=0))</f>
      </c>
      <c r="I3014">
        <f>IF(DATOS!$I3014="","",IFERROR(VLOOKUP(DATOS!$I3014,CONFIG_ASIGNATURAS!$B$2:$J$91,9,FALSE()),""))</f>
      </c>
    </row>
    <row r="3015">
      <c r="F3015">
        <f>IF(DATOS!$A3015="","",DATOS!$A3015&amp;"|"&amp;DATOS!$D3015&amp;"|"&amp;DATOS!$E3015&amp;"|"&amp;DATOS!$I3015)</f>
      </c>
      <c r="G3015">
        <f>IF(DATOS!$A3015="",0,IF(CONFIG_METADATA!$B$4&lt;&gt;"OR+EX",--(DATOS!$G3015=CONFIG_METADATA!$B$4),IF(DATOS!$G3015="EX",1,IF(DATOS!$G3015="OR",--(COUNTIFS(nNIA,DATOS!$A3015,nCURSO,DATOS!$D3015,nESPEC,DATOS!$E3015,nASIG,DATOS!$I3015,nEVAL,"EX")=0),0))))</f>
      </c>
      <c r="H3015">
        <f>IF(DATOS!$G3015&lt;&gt;"EX",0,--(COUNTIFS(nNIA,DATOS!$A3015,nCURSO,DATOS!$D3015,nESPEC,DATOS!$E3015,nASIG,DATOS!$I3015,nEVAL,"OR")=0))</f>
      </c>
      <c r="I3015">
        <f>IF(DATOS!$I3015="","",IFERROR(VLOOKUP(DATOS!$I3015,CONFIG_ASIGNATURAS!$B$2:$J$91,9,FALSE()),""))</f>
      </c>
    </row>
    <row r="3016">
      <c r="F3016">
        <f>IF(DATOS!$A3016="","",DATOS!$A3016&amp;"|"&amp;DATOS!$D3016&amp;"|"&amp;DATOS!$E3016&amp;"|"&amp;DATOS!$I3016)</f>
      </c>
      <c r="G3016">
        <f>IF(DATOS!$A3016="",0,IF(CONFIG_METADATA!$B$4&lt;&gt;"OR+EX",--(DATOS!$G3016=CONFIG_METADATA!$B$4),IF(DATOS!$G3016="EX",1,IF(DATOS!$G3016="OR",--(COUNTIFS(nNIA,DATOS!$A3016,nCURSO,DATOS!$D3016,nESPEC,DATOS!$E3016,nASIG,DATOS!$I3016,nEVAL,"EX")=0),0))))</f>
      </c>
      <c r="H3016">
        <f>IF(DATOS!$G3016&lt;&gt;"EX",0,--(COUNTIFS(nNIA,DATOS!$A3016,nCURSO,DATOS!$D3016,nESPEC,DATOS!$E3016,nASIG,DATOS!$I3016,nEVAL,"OR")=0))</f>
      </c>
      <c r="I3016">
        <f>IF(DATOS!$I3016="","",IFERROR(VLOOKUP(DATOS!$I3016,CONFIG_ASIGNATURAS!$B$2:$J$91,9,FALSE()),""))</f>
      </c>
    </row>
    <row r="3017">
      <c r="F3017">
        <f>IF(DATOS!$A3017="","",DATOS!$A3017&amp;"|"&amp;DATOS!$D3017&amp;"|"&amp;DATOS!$E3017&amp;"|"&amp;DATOS!$I3017)</f>
      </c>
      <c r="G3017">
        <f>IF(DATOS!$A3017="",0,IF(CONFIG_METADATA!$B$4&lt;&gt;"OR+EX",--(DATOS!$G3017=CONFIG_METADATA!$B$4),IF(DATOS!$G3017="EX",1,IF(DATOS!$G3017="OR",--(COUNTIFS(nNIA,DATOS!$A3017,nCURSO,DATOS!$D3017,nESPEC,DATOS!$E3017,nASIG,DATOS!$I3017,nEVAL,"EX")=0),0))))</f>
      </c>
      <c r="H3017">
        <f>IF(DATOS!$G3017&lt;&gt;"EX",0,--(COUNTIFS(nNIA,DATOS!$A3017,nCURSO,DATOS!$D3017,nESPEC,DATOS!$E3017,nASIG,DATOS!$I3017,nEVAL,"OR")=0))</f>
      </c>
      <c r="I3017">
        <f>IF(DATOS!$I3017="","",IFERROR(VLOOKUP(DATOS!$I3017,CONFIG_ASIGNATURAS!$B$2:$J$91,9,FALSE()),""))</f>
      </c>
    </row>
    <row r="3018">
      <c r="F3018">
        <f>IF(DATOS!$A3018="","",DATOS!$A3018&amp;"|"&amp;DATOS!$D3018&amp;"|"&amp;DATOS!$E3018&amp;"|"&amp;DATOS!$I3018)</f>
      </c>
      <c r="G3018">
        <f>IF(DATOS!$A3018="",0,IF(CONFIG_METADATA!$B$4&lt;&gt;"OR+EX",--(DATOS!$G3018=CONFIG_METADATA!$B$4),IF(DATOS!$G3018="EX",1,IF(DATOS!$G3018="OR",--(COUNTIFS(nNIA,DATOS!$A3018,nCURSO,DATOS!$D3018,nESPEC,DATOS!$E3018,nASIG,DATOS!$I3018,nEVAL,"EX")=0),0))))</f>
      </c>
      <c r="H3018">
        <f>IF(DATOS!$G3018&lt;&gt;"EX",0,--(COUNTIFS(nNIA,DATOS!$A3018,nCURSO,DATOS!$D3018,nESPEC,DATOS!$E3018,nASIG,DATOS!$I3018,nEVAL,"OR")=0))</f>
      </c>
      <c r="I3018">
        <f>IF(DATOS!$I3018="","",IFERROR(VLOOKUP(DATOS!$I3018,CONFIG_ASIGNATURAS!$B$2:$J$91,9,FALSE()),""))</f>
      </c>
    </row>
    <row r="3019">
      <c r="F3019">
        <f>IF(DATOS!$A3019="","",DATOS!$A3019&amp;"|"&amp;DATOS!$D3019&amp;"|"&amp;DATOS!$E3019&amp;"|"&amp;DATOS!$I3019)</f>
      </c>
      <c r="G3019">
        <f>IF(DATOS!$A3019="",0,IF(CONFIG_METADATA!$B$4&lt;&gt;"OR+EX",--(DATOS!$G3019=CONFIG_METADATA!$B$4),IF(DATOS!$G3019="EX",1,IF(DATOS!$G3019="OR",--(COUNTIFS(nNIA,DATOS!$A3019,nCURSO,DATOS!$D3019,nESPEC,DATOS!$E3019,nASIG,DATOS!$I3019,nEVAL,"EX")=0),0))))</f>
      </c>
      <c r="H3019">
        <f>IF(DATOS!$G3019&lt;&gt;"EX",0,--(COUNTIFS(nNIA,DATOS!$A3019,nCURSO,DATOS!$D3019,nESPEC,DATOS!$E3019,nASIG,DATOS!$I3019,nEVAL,"OR")=0))</f>
      </c>
      <c r="I3019">
        <f>IF(DATOS!$I3019="","",IFERROR(VLOOKUP(DATOS!$I3019,CONFIG_ASIGNATURAS!$B$2:$J$91,9,FALSE()),""))</f>
      </c>
    </row>
    <row r="3020">
      <c r="F3020">
        <f>IF(DATOS!$A3020="","",DATOS!$A3020&amp;"|"&amp;DATOS!$D3020&amp;"|"&amp;DATOS!$E3020&amp;"|"&amp;DATOS!$I3020)</f>
      </c>
      <c r="G3020">
        <f>IF(DATOS!$A3020="",0,IF(CONFIG_METADATA!$B$4&lt;&gt;"OR+EX",--(DATOS!$G3020=CONFIG_METADATA!$B$4),IF(DATOS!$G3020="EX",1,IF(DATOS!$G3020="OR",--(COUNTIFS(nNIA,DATOS!$A3020,nCURSO,DATOS!$D3020,nESPEC,DATOS!$E3020,nASIG,DATOS!$I3020,nEVAL,"EX")=0),0))))</f>
      </c>
      <c r="H3020">
        <f>IF(DATOS!$G3020&lt;&gt;"EX",0,--(COUNTIFS(nNIA,DATOS!$A3020,nCURSO,DATOS!$D3020,nESPEC,DATOS!$E3020,nASIG,DATOS!$I3020,nEVAL,"OR")=0))</f>
      </c>
      <c r="I3020">
        <f>IF(DATOS!$I3020="","",IFERROR(VLOOKUP(DATOS!$I3020,CONFIG_ASIGNATURAS!$B$2:$J$91,9,FALSE()),""))</f>
      </c>
    </row>
    <row r="3021">
      <c r="F3021">
        <f>IF(DATOS!$A3021="","",DATOS!$A3021&amp;"|"&amp;DATOS!$D3021&amp;"|"&amp;DATOS!$E3021&amp;"|"&amp;DATOS!$I3021)</f>
      </c>
      <c r="G3021">
        <f>IF(DATOS!$A3021="",0,IF(CONFIG_METADATA!$B$4&lt;&gt;"OR+EX",--(DATOS!$G3021=CONFIG_METADATA!$B$4),IF(DATOS!$G3021="EX",1,IF(DATOS!$G3021="OR",--(COUNTIFS(nNIA,DATOS!$A3021,nCURSO,DATOS!$D3021,nESPEC,DATOS!$E3021,nASIG,DATOS!$I3021,nEVAL,"EX")=0),0))))</f>
      </c>
      <c r="H3021">
        <f>IF(DATOS!$G3021&lt;&gt;"EX",0,--(COUNTIFS(nNIA,DATOS!$A3021,nCURSO,DATOS!$D3021,nESPEC,DATOS!$E3021,nASIG,DATOS!$I3021,nEVAL,"OR")=0))</f>
      </c>
      <c r="I3021">
        <f>IF(DATOS!$I3021="","",IFERROR(VLOOKUP(DATOS!$I3021,CONFIG_ASIGNATURAS!$B$2:$J$91,9,FALSE()),""))</f>
      </c>
    </row>
    <row r="3022">
      <c r="F3022">
        <f>IF(DATOS!$A3022="","",DATOS!$A3022&amp;"|"&amp;DATOS!$D3022&amp;"|"&amp;DATOS!$E3022&amp;"|"&amp;DATOS!$I3022)</f>
      </c>
      <c r="G3022">
        <f>IF(DATOS!$A3022="",0,IF(CONFIG_METADATA!$B$4&lt;&gt;"OR+EX",--(DATOS!$G3022=CONFIG_METADATA!$B$4),IF(DATOS!$G3022="EX",1,IF(DATOS!$G3022="OR",--(COUNTIFS(nNIA,DATOS!$A3022,nCURSO,DATOS!$D3022,nESPEC,DATOS!$E3022,nASIG,DATOS!$I3022,nEVAL,"EX")=0),0))))</f>
      </c>
      <c r="H3022">
        <f>IF(DATOS!$G3022&lt;&gt;"EX",0,--(COUNTIFS(nNIA,DATOS!$A3022,nCURSO,DATOS!$D3022,nESPEC,DATOS!$E3022,nASIG,DATOS!$I3022,nEVAL,"OR")=0))</f>
      </c>
      <c r="I3022">
        <f>IF(DATOS!$I3022="","",IFERROR(VLOOKUP(DATOS!$I3022,CONFIG_ASIGNATURAS!$B$2:$J$91,9,FALSE()),""))</f>
      </c>
    </row>
    <row r="3023">
      <c r="F3023">
        <f>IF(DATOS!$A3023="","",DATOS!$A3023&amp;"|"&amp;DATOS!$D3023&amp;"|"&amp;DATOS!$E3023&amp;"|"&amp;DATOS!$I3023)</f>
      </c>
      <c r="G3023">
        <f>IF(DATOS!$A3023="",0,IF(CONFIG_METADATA!$B$4&lt;&gt;"OR+EX",--(DATOS!$G3023=CONFIG_METADATA!$B$4),IF(DATOS!$G3023="EX",1,IF(DATOS!$G3023="OR",--(COUNTIFS(nNIA,DATOS!$A3023,nCURSO,DATOS!$D3023,nESPEC,DATOS!$E3023,nASIG,DATOS!$I3023,nEVAL,"EX")=0),0))))</f>
      </c>
      <c r="H3023">
        <f>IF(DATOS!$G3023&lt;&gt;"EX",0,--(COUNTIFS(nNIA,DATOS!$A3023,nCURSO,DATOS!$D3023,nESPEC,DATOS!$E3023,nASIG,DATOS!$I3023,nEVAL,"OR")=0))</f>
      </c>
      <c r="I3023">
        <f>IF(DATOS!$I3023="","",IFERROR(VLOOKUP(DATOS!$I3023,CONFIG_ASIGNATURAS!$B$2:$J$91,9,FALSE()),""))</f>
      </c>
    </row>
    <row r="3024">
      <c r="F3024">
        <f>IF(DATOS!$A3024="","",DATOS!$A3024&amp;"|"&amp;DATOS!$D3024&amp;"|"&amp;DATOS!$E3024&amp;"|"&amp;DATOS!$I3024)</f>
      </c>
      <c r="G3024">
        <f>IF(DATOS!$A3024="",0,IF(CONFIG_METADATA!$B$4&lt;&gt;"OR+EX",--(DATOS!$G3024=CONFIG_METADATA!$B$4),IF(DATOS!$G3024="EX",1,IF(DATOS!$G3024="OR",--(COUNTIFS(nNIA,DATOS!$A3024,nCURSO,DATOS!$D3024,nESPEC,DATOS!$E3024,nASIG,DATOS!$I3024,nEVAL,"EX")=0),0))))</f>
      </c>
      <c r="H3024">
        <f>IF(DATOS!$G3024&lt;&gt;"EX",0,--(COUNTIFS(nNIA,DATOS!$A3024,nCURSO,DATOS!$D3024,nESPEC,DATOS!$E3024,nASIG,DATOS!$I3024,nEVAL,"OR")=0))</f>
      </c>
      <c r="I3024">
        <f>IF(DATOS!$I3024="","",IFERROR(VLOOKUP(DATOS!$I3024,CONFIG_ASIGNATURAS!$B$2:$J$91,9,FALSE()),""))</f>
      </c>
    </row>
    <row r="3025">
      <c r="F3025">
        <f>IF(DATOS!$A3025="","",DATOS!$A3025&amp;"|"&amp;DATOS!$D3025&amp;"|"&amp;DATOS!$E3025&amp;"|"&amp;DATOS!$I3025)</f>
      </c>
      <c r="G3025">
        <f>IF(DATOS!$A3025="",0,IF(CONFIG_METADATA!$B$4&lt;&gt;"OR+EX",--(DATOS!$G3025=CONFIG_METADATA!$B$4),IF(DATOS!$G3025="EX",1,IF(DATOS!$G3025="OR",--(COUNTIFS(nNIA,DATOS!$A3025,nCURSO,DATOS!$D3025,nESPEC,DATOS!$E3025,nASIG,DATOS!$I3025,nEVAL,"EX")=0),0))))</f>
      </c>
      <c r="H3025">
        <f>IF(DATOS!$G3025&lt;&gt;"EX",0,--(COUNTIFS(nNIA,DATOS!$A3025,nCURSO,DATOS!$D3025,nESPEC,DATOS!$E3025,nASIG,DATOS!$I3025,nEVAL,"OR")=0))</f>
      </c>
      <c r="I3025">
        <f>IF(DATOS!$I3025="","",IFERROR(VLOOKUP(DATOS!$I3025,CONFIG_ASIGNATURAS!$B$2:$J$91,9,FALSE()),""))</f>
      </c>
    </row>
    <row r="3026">
      <c r="F3026">
        <f>IF(DATOS!$A3026="","",DATOS!$A3026&amp;"|"&amp;DATOS!$D3026&amp;"|"&amp;DATOS!$E3026&amp;"|"&amp;DATOS!$I3026)</f>
      </c>
      <c r="G3026">
        <f>IF(DATOS!$A3026="",0,IF(CONFIG_METADATA!$B$4&lt;&gt;"OR+EX",--(DATOS!$G3026=CONFIG_METADATA!$B$4),IF(DATOS!$G3026="EX",1,IF(DATOS!$G3026="OR",--(COUNTIFS(nNIA,DATOS!$A3026,nCURSO,DATOS!$D3026,nESPEC,DATOS!$E3026,nASIG,DATOS!$I3026,nEVAL,"EX")=0),0))))</f>
      </c>
      <c r="H3026">
        <f>IF(DATOS!$G3026&lt;&gt;"EX",0,--(COUNTIFS(nNIA,DATOS!$A3026,nCURSO,DATOS!$D3026,nESPEC,DATOS!$E3026,nASIG,DATOS!$I3026,nEVAL,"OR")=0))</f>
      </c>
      <c r="I3026">
        <f>IF(DATOS!$I3026="","",IFERROR(VLOOKUP(DATOS!$I3026,CONFIG_ASIGNATURAS!$B$2:$J$91,9,FALSE()),""))</f>
      </c>
    </row>
    <row r="3027">
      <c r="F3027">
        <f>IF(DATOS!$A3027="","",DATOS!$A3027&amp;"|"&amp;DATOS!$D3027&amp;"|"&amp;DATOS!$E3027&amp;"|"&amp;DATOS!$I3027)</f>
      </c>
      <c r="G3027">
        <f>IF(DATOS!$A3027="",0,IF(CONFIG_METADATA!$B$4&lt;&gt;"OR+EX",--(DATOS!$G3027=CONFIG_METADATA!$B$4),IF(DATOS!$G3027="EX",1,IF(DATOS!$G3027="OR",--(COUNTIFS(nNIA,DATOS!$A3027,nCURSO,DATOS!$D3027,nESPEC,DATOS!$E3027,nASIG,DATOS!$I3027,nEVAL,"EX")=0),0))))</f>
      </c>
      <c r="H3027">
        <f>IF(DATOS!$G3027&lt;&gt;"EX",0,--(COUNTIFS(nNIA,DATOS!$A3027,nCURSO,DATOS!$D3027,nESPEC,DATOS!$E3027,nASIG,DATOS!$I3027,nEVAL,"OR")=0))</f>
      </c>
      <c r="I3027">
        <f>IF(DATOS!$I3027="","",IFERROR(VLOOKUP(DATOS!$I3027,CONFIG_ASIGNATURAS!$B$2:$J$91,9,FALSE()),""))</f>
      </c>
    </row>
    <row r="3028">
      <c r="F3028">
        <f>IF(DATOS!$A3028="","",DATOS!$A3028&amp;"|"&amp;DATOS!$D3028&amp;"|"&amp;DATOS!$E3028&amp;"|"&amp;DATOS!$I3028)</f>
      </c>
      <c r="G3028">
        <f>IF(DATOS!$A3028="",0,IF(CONFIG_METADATA!$B$4&lt;&gt;"OR+EX",--(DATOS!$G3028=CONFIG_METADATA!$B$4),IF(DATOS!$G3028="EX",1,IF(DATOS!$G3028="OR",--(COUNTIFS(nNIA,DATOS!$A3028,nCURSO,DATOS!$D3028,nESPEC,DATOS!$E3028,nASIG,DATOS!$I3028,nEVAL,"EX")=0),0))))</f>
      </c>
      <c r="H3028">
        <f>IF(DATOS!$G3028&lt;&gt;"EX",0,--(COUNTIFS(nNIA,DATOS!$A3028,nCURSO,DATOS!$D3028,nESPEC,DATOS!$E3028,nASIG,DATOS!$I3028,nEVAL,"OR")=0))</f>
      </c>
      <c r="I3028">
        <f>IF(DATOS!$I3028="","",IFERROR(VLOOKUP(DATOS!$I3028,CONFIG_ASIGNATURAS!$B$2:$J$91,9,FALSE()),""))</f>
      </c>
    </row>
    <row r="3029">
      <c r="F3029">
        <f>IF(DATOS!$A3029="","",DATOS!$A3029&amp;"|"&amp;DATOS!$D3029&amp;"|"&amp;DATOS!$E3029&amp;"|"&amp;DATOS!$I3029)</f>
      </c>
      <c r="G3029">
        <f>IF(DATOS!$A3029="",0,IF(CONFIG_METADATA!$B$4&lt;&gt;"OR+EX",--(DATOS!$G3029=CONFIG_METADATA!$B$4),IF(DATOS!$G3029="EX",1,IF(DATOS!$G3029="OR",--(COUNTIFS(nNIA,DATOS!$A3029,nCURSO,DATOS!$D3029,nESPEC,DATOS!$E3029,nASIG,DATOS!$I3029,nEVAL,"EX")=0),0))))</f>
      </c>
      <c r="H3029">
        <f>IF(DATOS!$G3029&lt;&gt;"EX",0,--(COUNTIFS(nNIA,DATOS!$A3029,nCURSO,DATOS!$D3029,nESPEC,DATOS!$E3029,nASIG,DATOS!$I3029,nEVAL,"OR")=0))</f>
      </c>
      <c r="I3029">
        <f>IF(DATOS!$I3029="","",IFERROR(VLOOKUP(DATOS!$I3029,CONFIG_ASIGNATURAS!$B$2:$J$91,9,FALSE()),""))</f>
      </c>
    </row>
    <row r="3030">
      <c r="F3030">
        <f>IF(DATOS!$A3030="","",DATOS!$A3030&amp;"|"&amp;DATOS!$D3030&amp;"|"&amp;DATOS!$E3030&amp;"|"&amp;DATOS!$I3030)</f>
      </c>
      <c r="G3030">
        <f>IF(DATOS!$A3030="",0,IF(CONFIG_METADATA!$B$4&lt;&gt;"OR+EX",--(DATOS!$G3030=CONFIG_METADATA!$B$4),IF(DATOS!$G3030="EX",1,IF(DATOS!$G3030="OR",--(COUNTIFS(nNIA,DATOS!$A3030,nCURSO,DATOS!$D3030,nESPEC,DATOS!$E3030,nASIG,DATOS!$I3030,nEVAL,"EX")=0),0))))</f>
      </c>
      <c r="H3030">
        <f>IF(DATOS!$G3030&lt;&gt;"EX",0,--(COUNTIFS(nNIA,DATOS!$A3030,nCURSO,DATOS!$D3030,nESPEC,DATOS!$E3030,nASIG,DATOS!$I3030,nEVAL,"OR")=0))</f>
      </c>
      <c r="I3030">
        <f>IF(DATOS!$I3030="","",IFERROR(VLOOKUP(DATOS!$I3030,CONFIG_ASIGNATURAS!$B$2:$J$91,9,FALSE()),""))</f>
      </c>
    </row>
    <row r="3031">
      <c r="F3031">
        <f>IF(DATOS!$A3031="","",DATOS!$A3031&amp;"|"&amp;DATOS!$D3031&amp;"|"&amp;DATOS!$E3031&amp;"|"&amp;DATOS!$I3031)</f>
      </c>
      <c r="G3031">
        <f>IF(DATOS!$A3031="",0,IF(CONFIG_METADATA!$B$4&lt;&gt;"OR+EX",--(DATOS!$G3031=CONFIG_METADATA!$B$4),IF(DATOS!$G3031="EX",1,IF(DATOS!$G3031="OR",--(COUNTIFS(nNIA,DATOS!$A3031,nCURSO,DATOS!$D3031,nESPEC,DATOS!$E3031,nASIG,DATOS!$I3031,nEVAL,"EX")=0),0))))</f>
      </c>
      <c r="H3031">
        <f>IF(DATOS!$G3031&lt;&gt;"EX",0,--(COUNTIFS(nNIA,DATOS!$A3031,nCURSO,DATOS!$D3031,nESPEC,DATOS!$E3031,nASIG,DATOS!$I3031,nEVAL,"OR")=0))</f>
      </c>
      <c r="I3031">
        <f>IF(DATOS!$I3031="","",IFERROR(VLOOKUP(DATOS!$I3031,CONFIG_ASIGNATURAS!$B$2:$J$91,9,FALSE()),""))</f>
      </c>
    </row>
    <row r="3032">
      <c r="F3032">
        <f>IF(DATOS!$A3032="","",DATOS!$A3032&amp;"|"&amp;DATOS!$D3032&amp;"|"&amp;DATOS!$E3032&amp;"|"&amp;DATOS!$I3032)</f>
      </c>
      <c r="G3032">
        <f>IF(DATOS!$A3032="",0,IF(CONFIG_METADATA!$B$4&lt;&gt;"OR+EX",--(DATOS!$G3032=CONFIG_METADATA!$B$4),IF(DATOS!$G3032="EX",1,IF(DATOS!$G3032="OR",--(COUNTIFS(nNIA,DATOS!$A3032,nCURSO,DATOS!$D3032,nESPEC,DATOS!$E3032,nASIG,DATOS!$I3032,nEVAL,"EX")=0),0))))</f>
      </c>
      <c r="H3032">
        <f>IF(DATOS!$G3032&lt;&gt;"EX",0,--(COUNTIFS(nNIA,DATOS!$A3032,nCURSO,DATOS!$D3032,nESPEC,DATOS!$E3032,nASIG,DATOS!$I3032,nEVAL,"OR")=0))</f>
      </c>
      <c r="I3032">
        <f>IF(DATOS!$I3032="","",IFERROR(VLOOKUP(DATOS!$I3032,CONFIG_ASIGNATURAS!$B$2:$J$91,9,FALSE()),""))</f>
      </c>
    </row>
    <row r="3033">
      <c r="F3033">
        <f>IF(DATOS!$A3033="","",DATOS!$A3033&amp;"|"&amp;DATOS!$D3033&amp;"|"&amp;DATOS!$E3033&amp;"|"&amp;DATOS!$I3033)</f>
      </c>
      <c r="G3033">
        <f>IF(DATOS!$A3033="",0,IF(CONFIG_METADATA!$B$4&lt;&gt;"OR+EX",--(DATOS!$G3033=CONFIG_METADATA!$B$4),IF(DATOS!$G3033="EX",1,IF(DATOS!$G3033="OR",--(COUNTIFS(nNIA,DATOS!$A3033,nCURSO,DATOS!$D3033,nESPEC,DATOS!$E3033,nASIG,DATOS!$I3033,nEVAL,"EX")=0),0))))</f>
      </c>
      <c r="H3033">
        <f>IF(DATOS!$G3033&lt;&gt;"EX",0,--(COUNTIFS(nNIA,DATOS!$A3033,nCURSO,DATOS!$D3033,nESPEC,DATOS!$E3033,nASIG,DATOS!$I3033,nEVAL,"OR")=0))</f>
      </c>
      <c r="I3033">
        <f>IF(DATOS!$I3033="","",IFERROR(VLOOKUP(DATOS!$I3033,CONFIG_ASIGNATURAS!$B$2:$J$91,9,FALSE()),""))</f>
      </c>
    </row>
    <row r="3034">
      <c r="F3034">
        <f>IF(DATOS!$A3034="","",DATOS!$A3034&amp;"|"&amp;DATOS!$D3034&amp;"|"&amp;DATOS!$E3034&amp;"|"&amp;DATOS!$I3034)</f>
      </c>
      <c r="G3034">
        <f>IF(DATOS!$A3034="",0,IF(CONFIG_METADATA!$B$4&lt;&gt;"OR+EX",--(DATOS!$G3034=CONFIG_METADATA!$B$4),IF(DATOS!$G3034="EX",1,IF(DATOS!$G3034="OR",--(COUNTIFS(nNIA,DATOS!$A3034,nCURSO,DATOS!$D3034,nESPEC,DATOS!$E3034,nASIG,DATOS!$I3034,nEVAL,"EX")=0),0))))</f>
      </c>
      <c r="H3034">
        <f>IF(DATOS!$G3034&lt;&gt;"EX",0,--(COUNTIFS(nNIA,DATOS!$A3034,nCURSO,DATOS!$D3034,nESPEC,DATOS!$E3034,nASIG,DATOS!$I3034,nEVAL,"OR")=0))</f>
      </c>
      <c r="I3034">
        <f>IF(DATOS!$I3034="","",IFERROR(VLOOKUP(DATOS!$I3034,CONFIG_ASIGNATURAS!$B$2:$J$91,9,FALSE()),""))</f>
      </c>
    </row>
    <row r="3035">
      <c r="F3035">
        <f>IF(DATOS!$A3035="","",DATOS!$A3035&amp;"|"&amp;DATOS!$D3035&amp;"|"&amp;DATOS!$E3035&amp;"|"&amp;DATOS!$I3035)</f>
      </c>
      <c r="G3035">
        <f>IF(DATOS!$A3035="",0,IF(CONFIG_METADATA!$B$4&lt;&gt;"OR+EX",--(DATOS!$G3035=CONFIG_METADATA!$B$4),IF(DATOS!$G3035="EX",1,IF(DATOS!$G3035="OR",--(COUNTIFS(nNIA,DATOS!$A3035,nCURSO,DATOS!$D3035,nESPEC,DATOS!$E3035,nASIG,DATOS!$I3035,nEVAL,"EX")=0),0))))</f>
      </c>
      <c r="H3035">
        <f>IF(DATOS!$G3035&lt;&gt;"EX",0,--(COUNTIFS(nNIA,DATOS!$A3035,nCURSO,DATOS!$D3035,nESPEC,DATOS!$E3035,nASIG,DATOS!$I3035,nEVAL,"OR")=0))</f>
      </c>
      <c r="I3035">
        <f>IF(DATOS!$I3035="","",IFERROR(VLOOKUP(DATOS!$I3035,CONFIG_ASIGNATURAS!$B$2:$J$91,9,FALSE()),""))</f>
      </c>
    </row>
    <row r="3036">
      <c r="F3036">
        <f>IF(DATOS!$A3036="","",DATOS!$A3036&amp;"|"&amp;DATOS!$D3036&amp;"|"&amp;DATOS!$E3036&amp;"|"&amp;DATOS!$I3036)</f>
      </c>
      <c r="G3036">
        <f>IF(DATOS!$A3036="",0,IF(CONFIG_METADATA!$B$4&lt;&gt;"OR+EX",--(DATOS!$G3036=CONFIG_METADATA!$B$4),IF(DATOS!$G3036="EX",1,IF(DATOS!$G3036="OR",--(COUNTIFS(nNIA,DATOS!$A3036,nCURSO,DATOS!$D3036,nESPEC,DATOS!$E3036,nASIG,DATOS!$I3036,nEVAL,"EX")=0),0))))</f>
      </c>
      <c r="H3036">
        <f>IF(DATOS!$G3036&lt;&gt;"EX",0,--(COUNTIFS(nNIA,DATOS!$A3036,nCURSO,DATOS!$D3036,nESPEC,DATOS!$E3036,nASIG,DATOS!$I3036,nEVAL,"OR")=0))</f>
      </c>
      <c r="I3036">
        <f>IF(DATOS!$I3036="","",IFERROR(VLOOKUP(DATOS!$I3036,CONFIG_ASIGNATURAS!$B$2:$J$91,9,FALSE()),""))</f>
      </c>
    </row>
    <row r="3037">
      <c r="F3037">
        <f>IF(DATOS!$A3037="","",DATOS!$A3037&amp;"|"&amp;DATOS!$D3037&amp;"|"&amp;DATOS!$E3037&amp;"|"&amp;DATOS!$I3037)</f>
      </c>
      <c r="G3037">
        <f>IF(DATOS!$A3037="",0,IF(CONFIG_METADATA!$B$4&lt;&gt;"OR+EX",--(DATOS!$G3037=CONFIG_METADATA!$B$4),IF(DATOS!$G3037="EX",1,IF(DATOS!$G3037="OR",--(COUNTIFS(nNIA,DATOS!$A3037,nCURSO,DATOS!$D3037,nESPEC,DATOS!$E3037,nASIG,DATOS!$I3037,nEVAL,"EX")=0),0))))</f>
      </c>
      <c r="H3037">
        <f>IF(DATOS!$G3037&lt;&gt;"EX",0,--(COUNTIFS(nNIA,DATOS!$A3037,nCURSO,DATOS!$D3037,nESPEC,DATOS!$E3037,nASIG,DATOS!$I3037,nEVAL,"OR")=0))</f>
      </c>
      <c r="I3037">
        <f>IF(DATOS!$I3037="","",IFERROR(VLOOKUP(DATOS!$I3037,CONFIG_ASIGNATURAS!$B$2:$J$91,9,FALSE()),""))</f>
      </c>
    </row>
    <row r="3038">
      <c r="F3038">
        <f>IF(DATOS!$A3038="","",DATOS!$A3038&amp;"|"&amp;DATOS!$D3038&amp;"|"&amp;DATOS!$E3038&amp;"|"&amp;DATOS!$I3038)</f>
      </c>
      <c r="G3038">
        <f>IF(DATOS!$A3038="",0,IF(CONFIG_METADATA!$B$4&lt;&gt;"OR+EX",--(DATOS!$G3038=CONFIG_METADATA!$B$4),IF(DATOS!$G3038="EX",1,IF(DATOS!$G3038="OR",--(COUNTIFS(nNIA,DATOS!$A3038,nCURSO,DATOS!$D3038,nESPEC,DATOS!$E3038,nASIG,DATOS!$I3038,nEVAL,"EX")=0),0))))</f>
      </c>
      <c r="H3038">
        <f>IF(DATOS!$G3038&lt;&gt;"EX",0,--(COUNTIFS(nNIA,DATOS!$A3038,nCURSO,DATOS!$D3038,nESPEC,DATOS!$E3038,nASIG,DATOS!$I3038,nEVAL,"OR")=0))</f>
      </c>
      <c r="I3038">
        <f>IF(DATOS!$I3038="","",IFERROR(VLOOKUP(DATOS!$I3038,CONFIG_ASIGNATURAS!$B$2:$J$91,9,FALSE()),""))</f>
      </c>
    </row>
    <row r="3039">
      <c r="F3039">
        <f>IF(DATOS!$A3039="","",DATOS!$A3039&amp;"|"&amp;DATOS!$D3039&amp;"|"&amp;DATOS!$E3039&amp;"|"&amp;DATOS!$I3039)</f>
      </c>
      <c r="G3039">
        <f>IF(DATOS!$A3039="",0,IF(CONFIG_METADATA!$B$4&lt;&gt;"OR+EX",--(DATOS!$G3039=CONFIG_METADATA!$B$4),IF(DATOS!$G3039="EX",1,IF(DATOS!$G3039="OR",--(COUNTIFS(nNIA,DATOS!$A3039,nCURSO,DATOS!$D3039,nESPEC,DATOS!$E3039,nASIG,DATOS!$I3039,nEVAL,"EX")=0),0))))</f>
      </c>
      <c r="H3039">
        <f>IF(DATOS!$G3039&lt;&gt;"EX",0,--(COUNTIFS(nNIA,DATOS!$A3039,nCURSO,DATOS!$D3039,nESPEC,DATOS!$E3039,nASIG,DATOS!$I3039,nEVAL,"OR")=0))</f>
      </c>
      <c r="I3039">
        <f>IF(DATOS!$I3039="","",IFERROR(VLOOKUP(DATOS!$I3039,CONFIG_ASIGNATURAS!$B$2:$J$91,9,FALSE()),""))</f>
      </c>
    </row>
    <row r="3040">
      <c r="F3040">
        <f>IF(DATOS!$A3040="","",DATOS!$A3040&amp;"|"&amp;DATOS!$D3040&amp;"|"&amp;DATOS!$E3040&amp;"|"&amp;DATOS!$I3040)</f>
      </c>
      <c r="G3040">
        <f>IF(DATOS!$A3040="",0,IF(CONFIG_METADATA!$B$4&lt;&gt;"OR+EX",--(DATOS!$G3040=CONFIG_METADATA!$B$4),IF(DATOS!$G3040="EX",1,IF(DATOS!$G3040="OR",--(COUNTIFS(nNIA,DATOS!$A3040,nCURSO,DATOS!$D3040,nESPEC,DATOS!$E3040,nASIG,DATOS!$I3040,nEVAL,"EX")=0),0))))</f>
      </c>
      <c r="H3040">
        <f>IF(DATOS!$G3040&lt;&gt;"EX",0,--(COUNTIFS(nNIA,DATOS!$A3040,nCURSO,DATOS!$D3040,nESPEC,DATOS!$E3040,nASIG,DATOS!$I3040,nEVAL,"OR")=0))</f>
      </c>
      <c r="I3040">
        <f>IF(DATOS!$I3040="","",IFERROR(VLOOKUP(DATOS!$I3040,CONFIG_ASIGNATURAS!$B$2:$J$91,9,FALSE()),""))</f>
      </c>
    </row>
    <row r="3041">
      <c r="F3041">
        <f>IF(DATOS!$A3041="","",DATOS!$A3041&amp;"|"&amp;DATOS!$D3041&amp;"|"&amp;DATOS!$E3041&amp;"|"&amp;DATOS!$I3041)</f>
      </c>
      <c r="G3041">
        <f>IF(DATOS!$A3041="",0,IF(CONFIG_METADATA!$B$4&lt;&gt;"OR+EX",--(DATOS!$G3041=CONFIG_METADATA!$B$4),IF(DATOS!$G3041="EX",1,IF(DATOS!$G3041="OR",--(COUNTIFS(nNIA,DATOS!$A3041,nCURSO,DATOS!$D3041,nESPEC,DATOS!$E3041,nASIG,DATOS!$I3041,nEVAL,"EX")=0),0))))</f>
      </c>
      <c r="H3041">
        <f>IF(DATOS!$G3041&lt;&gt;"EX",0,--(COUNTIFS(nNIA,DATOS!$A3041,nCURSO,DATOS!$D3041,nESPEC,DATOS!$E3041,nASIG,DATOS!$I3041,nEVAL,"OR")=0))</f>
      </c>
      <c r="I3041">
        <f>IF(DATOS!$I3041="","",IFERROR(VLOOKUP(DATOS!$I3041,CONFIG_ASIGNATURAS!$B$2:$J$91,9,FALSE()),""))</f>
      </c>
    </row>
    <row r="3042">
      <c r="F3042">
        <f>IF(DATOS!$A3042="","",DATOS!$A3042&amp;"|"&amp;DATOS!$D3042&amp;"|"&amp;DATOS!$E3042&amp;"|"&amp;DATOS!$I3042)</f>
      </c>
      <c r="G3042">
        <f>IF(DATOS!$A3042="",0,IF(CONFIG_METADATA!$B$4&lt;&gt;"OR+EX",--(DATOS!$G3042=CONFIG_METADATA!$B$4),IF(DATOS!$G3042="EX",1,IF(DATOS!$G3042="OR",--(COUNTIFS(nNIA,DATOS!$A3042,nCURSO,DATOS!$D3042,nESPEC,DATOS!$E3042,nASIG,DATOS!$I3042,nEVAL,"EX")=0),0))))</f>
      </c>
      <c r="H3042">
        <f>IF(DATOS!$G3042&lt;&gt;"EX",0,--(COUNTIFS(nNIA,DATOS!$A3042,nCURSO,DATOS!$D3042,nESPEC,DATOS!$E3042,nASIG,DATOS!$I3042,nEVAL,"OR")=0))</f>
      </c>
      <c r="I3042">
        <f>IF(DATOS!$I3042="","",IFERROR(VLOOKUP(DATOS!$I3042,CONFIG_ASIGNATURAS!$B$2:$J$91,9,FALSE()),""))</f>
      </c>
    </row>
    <row r="3043">
      <c r="F3043">
        <f>IF(DATOS!$A3043="","",DATOS!$A3043&amp;"|"&amp;DATOS!$D3043&amp;"|"&amp;DATOS!$E3043&amp;"|"&amp;DATOS!$I3043)</f>
      </c>
      <c r="G3043">
        <f>IF(DATOS!$A3043="",0,IF(CONFIG_METADATA!$B$4&lt;&gt;"OR+EX",--(DATOS!$G3043=CONFIG_METADATA!$B$4),IF(DATOS!$G3043="EX",1,IF(DATOS!$G3043="OR",--(COUNTIFS(nNIA,DATOS!$A3043,nCURSO,DATOS!$D3043,nESPEC,DATOS!$E3043,nASIG,DATOS!$I3043,nEVAL,"EX")=0),0))))</f>
      </c>
      <c r="H3043">
        <f>IF(DATOS!$G3043&lt;&gt;"EX",0,--(COUNTIFS(nNIA,DATOS!$A3043,nCURSO,DATOS!$D3043,nESPEC,DATOS!$E3043,nASIG,DATOS!$I3043,nEVAL,"OR")=0))</f>
      </c>
      <c r="I3043">
        <f>IF(DATOS!$I3043="","",IFERROR(VLOOKUP(DATOS!$I3043,CONFIG_ASIGNATURAS!$B$2:$J$91,9,FALSE()),""))</f>
      </c>
    </row>
    <row r="3044">
      <c r="F3044">
        <f>IF(DATOS!$A3044="","",DATOS!$A3044&amp;"|"&amp;DATOS!$D3044&amp;"|"&amp;DATOS!$E3044&amp;"|"&amp;DATOS!$I3044)</f>
      </c>
      <c r="G3044">
        <f>IF(DATOS!$A3044="",0,IF(CONFIG_METADATA!$B$4&lt;&gt;"OR+EX",--(DATOS!$G3044=CONFIG_METADATA!$B$4),IF(DATOS!$G3044="EX",1,IF(DATOS!$G3044="OR",--(COUNTIFS(nNIA,DATOS!$A3044,nCURSO,DATOS!$D3044,nESPEC,DATOS!$E3044,nASIG,DATOS!$I3044,nEVAL,"EX")=0),0))))</f>
      </c>
      <c r="H3044">
        <f>IF(DATOS!$G3044&lt;&gt;"EX",0,--(COUNTIFS(nNIA,DATOS!$A3044,nCURSO,DATOS!$D3044,nESPEC,DATOS!$E3044,nASIG,DATOS!$I3044,nEVAL,"OR")=0))</f>
      </c>
      <c r="I3044">
        <f>IF(DATOS!$I3044="","",IFERROR(VLOOKUP(DATOS!$I3044,CONFIG_ASIGNATURAS!$B$2:$J$91,9,FALSE()),""))</f>
      </c>
    </row>
    <row r="3045">
      <c r="F3045">
        <f>IF(DATOS!$A3045="","",DATOS!$A3045&amp;"|"&amp;DATOS!$D3045&amp;"|"&amp;DATOS!$E3045&amp;"|"&amp;DATOS!$I3045)</f>
      </c>
      <c r="G3045">
        <f>IF(DATOS!$A3045="",0,IF(CONFIG_METADATA!$B$4&lt;&gt;"OR+EX",--(DATOS!$G3045=CONFIG_METADATA!$B$4),IF(DATOS!$G3045="EX",1,IF(DATOS!$G3045="OR",--(COUNTIFS(nNIA,DATOS!$A3045,nCURSO,DATOS!$D3045,nESPEC,DATOS!$E3045,nASIG,DATOS!$I3045,nEVAL,"EX")=0),0))))</f>
      </c>
      <c r="H3045">
        <f>IF(DATOS!$G3045&lt;&gt;"EX",0,--(COUNTIFS(nNIA,DATOS!$A3045,nCURSO,DATOS!$D3045,nESPEC,DATOS!$E3045,nASIG,DATOS!$I3045,nEVAL,"OR")=0))</f>
      </c>
      <c r="I3045">
        <f>IF(DATOS!$I3045="","",IFERROR(VLOOKUP(DATOS!$I3045,CONFIG_ASIGNATURAS!$B$2:$J$91,9,FALSE()),""))</f>
      </c>
    </row>
    <row r="3046">
      <c r="F3046">
        <f>IF(DATOS!$A3046="","",DATOS!$A3046&amp;"|"&amp;DATOS!$D3046&amp;"|"&amp;DATOS!$E3046&amp;"|"&amp;DATOS!$I3046)</f>
      </c>
      <c r="G3046">
        <f>IF(DATOS!$A3046="",0,IF(CONFIG_METADATA!$B$4&lt;&gt;"OR+EX",--(DATOS!$G3046=CONFIG_METADATA!$B$4),IF(DATOS!$G3046="EX",1,IF(DATOS!$G3046="OR",--(COUNTIFS(nNIA,DATOS!$A3046,nCURSO,DATOS!$D3046,nESPEC,DATOS!$E3046,nASIG,DATOS!$I3046,nEVAL,"EX")=0),0))))</f>
      </c>
      <c r="H3046">
        <f>IF(DATOS!$G3046&lt;&gt;"EX",0,--(COUNTIFS(nNIA,DATOS!$A3046,nCURSO,DATOS!$D3046,nESPEC,DATOS!$E3046,nASIG,DATOS!$I3046,nEVAL,"OR")=0))</f>
      </c>
      <c r="I3046">
        <f>IF(DATOS!$I3046="","",IFERROR(VLOOKUP(DATOS!$I3046,CONFIG_ASIGNATURAS!$B$2:$J$91,9,FALSE()),""))</f>
      </c>
    </row>
    <row r="3047">
      <c r="F3047">
        <f>IF(DATOS!$A3047="","",DATOS!$A3047&amp;"|"&amp;DATOS!$D3047&amp;"|"&amp;DATOS!$E3047&amp;"|"&amp;DATOS!$I3047)</f>
      </c>
      <c r="G3047">
        <f>IF(DATOS!$A3047="",0,IF(CONFIG_METADATA!$B$4&lt;&gt;"OR+EX",--(DATOS!$G3047=CONFIG_METADATA!$B$4),IF(DATOS!$G3047="EX",1,IF(DATOS!$G3047="OR",--(COUNTIFS(nNIA,DATOS!$A3047,nCURSO,DATOS!$D3047,nESPEC,DATOS!$E3047,nASIG,DATOS!$I3047,nEVAL,"EX")=0),0))))</f>
      </c>
      <c r="H3047">
        <f>IF(DATOS!$G3047&lt;&gt;"EX",0,--(COUNTIFS(nNIA,DATOS!$A3047,nCURSO,DATOS!$D3047,nESPEC,DATOS!$E3047,nASIG,DATOS!$I3047,nEVAL,"OR")=0))</f>
      </c>
      <c r="I3047">
        <f>IF(DATOS!$I3047="","",IFERROR(VLOOKUP(DATOS!$I3047,CONFIG_ASIGNATURAS!$B$2:$J$91,9,FALSE()),""))</f>
      </c>
    </row>
    <row r="3048">
      <c r="F3048">
        <f>IF(DATOS!$A3048="","",DATOS!$A3048&amp;"|"&amp;DATOS!$D3048&amp;"|"&amp;DATOS!$E3048&amp;"|"&amp;DATOS!$I3048)</f>
      </c>
      <c r="G3048">
        <f>IF(DATOS!$A3048="",0,IF(CONFIG_METADATA!$B$4&lt;&gt;"OR+EX",--(DATOS!$G3048=CONFIG_METADATA!$B$4),IF(DATOS!$G3048="EX",1,IF(DATOS!$G3048="OR",--(COUNTIFS(nNIA,DATOS!$A3048,nCURSO,DATOS!$D3048,nESPEC,DATOS!$E3048,nASIG,DATOS!$I3048,nEVAL,"EX")=0),0))))</f>
      </c>
      <c r="H3048">
        <f>IF(DATOS!$G3048&lt;&gt;"EX",0,--(COUNTIFS(nNIA,DATOS!$A3048,nCURSO,DATOS!$D3048,nESPEC,DATOS!$E3048,nASIG,DATOS!$I3048,nEVAL,"OR")=0))</f>
      </c>
      <c r="I3048">
        <f>IF(DATOS!$I3048="","",IFERROR(VLOOKUP(DATOS!$I3048,CONFIG_ASIGNATURAS!$B$2:$J$91,9,FALSE()),""))</f>
      </c>
    </row>
    <row r="3049">
      <c r="F3049">
        <f>IF(DATOS!$A3049="","",DATOS!$A3049&amp;"|"&amp;DATOS!$D3049&amp;"|"&amp;DATOS!$E3049&amp;"|"&amp;DATOS!$I3049)</f>
      </c>
      <c r="G3049">
        <f>IF(DATOS!$A3049="",0,IF(CONFIG_METADATA!$B$4&lt;&gt;"OR+EX",--(DATOS!$G3049=CONFIG_METADATA!$B$4),IF(DATOS!$G3049="EX",1,IF(DATOS!$G3049="OR",--(COUNTIFS(nNIA,DATOS!$A3049,nCURSO,DATOS!$D3049,nESPEC,DATOS!$E3049,nASIG,DATOS!$I3049,nEVAL,"EX")=0),0))))</f>
      </c>
      <c r="H3049">
        <f>IF(DATOS!$G3049&lt;&gt;"EX",0,--(COUNTIFS(nNIA,DATOS!$A3049,nCURSO,DATOS!$D3049,nESPEC,DATOS!$E3049,nASIG,DATOS!$I3049,nEVAL,"OR")=0))</f>
      </c>
      <c r="I3049">
        <f>IF(DATOS!$I3049="","",IFERROR(VLOOKUP(DATOS!$I3049,CONFIG_ASIGNATURAS!$B$2:$J$91,9,FALSE()),""))</f>
      </c>
    </row>
    <row r="3050">
      <c r="F3050">
        <f>IF(DATOS!$A3050="","",DATOS!$A3050&amp;"|"&amp;DATOS!$D3050&amp;"|"&amp;DATOS!$E3050&amp;"|"&amp;DATOS!$I3050)</f>
      </c>
      <c r="G3050">
        <f>IF(DATOS!$A3050="",0,IF(CONFIG_METADATA!$B$4&lt;&gt;"OR+EX",--(DATOS!$G3050=CONFIG_METADATA!$B$4),IF(DATOS!$G3050="EX",1,IF(DATOS!$G3050="OR",--(COUNTIFS(nNIA,DATOS!$A3050,nCURSO,DATOS!$D3050,nESPEC,DATOS!$E3050,nASIG,DATOS!$I3050,nEVAL,"EX")=0),0))))</f>
      </c>
      <c r="H3050">
        <f>IF(DATOS!$G3050&lt;&gt;"EX",0,--(COUNTIFS(nNIA,DATOS!$A3050,nCURSO,DATOS!$D3050,nESPEC,DATOS!$E3050,nASIG,DATOS!$I3050,nEVAL,"OR")=0))</f>
      </c>
      <c r="I3050">
        <f>IF(DATOS!$I3050="","",IFERROR(VLOOKUP(DATOS!$I3050,CONFIG_ASIGNATURAS!$B$2:$J$91,9,FALSE()),""))</f>
      </c>
    </row>
    <row r="3051">
      <c r="F3051">
        <f>IF(DATOS!$A3051="","",DATOS!$A3051&amp;"|"&amp;DATOS!$D3051&amp;"|"&amp;DATOS!$E3051&amp;"|"&amp;DATOS!$I3051)</f>
      </c>
      <c r="G3051">
        <f>IF(DATOS!$A3051="",0,IF(CONFIG_METADATA!$B$4&lt;&gt;"OR+EX",--(DATOS!$G3051=CONFIG_METADATA!$B$4),IF(DATOS!$G3051="EX",1,IF(DATOS!$G3051="OR",--(COUNTIFS(nNIA,DATOS!$A3051,nCURSO,DATOS!$D3051,nESPEC,DATOS!$E3051,nASIG,DATOS!$I3051,nEVAL,"EX")=0),0))))</f>
      </c>
      <c r="H3051">
        <f>IF(DATOS!$G3051&lt;&gt;"EX",0,--(COUNTIFS(nNIA,DATOS!$A3051,nCURSO,DATOS!$D3051,nESPEC,DATOS!$E3051,nASIG,DATOS!$I3051,nEVAL,"OR")=0))</f>
      </c>
      <c r="I3051">
        <f>IF(DATOS!$I3051="","",IFERROR(VLOOKUP(DATOS!$I3051,CONFIG_ASIGNATURAS!$B$2:$J$91,9,FALSE()),""))</f>
      </c>
    </row>
    <row r="3052">
      <c r="F3052">
        <f>IF(DATOS!$A3052="","",DATOS!$A3052&amp;"|"&amp;DATOS!$D3052&amp;"|"&amp;DATOS!$E3052&amp;"|"&amp;DATOS!$I3052)</f>
      </c>
      <c r="G3052">
        <f>IF(DATOS!$A3052="",0,IF(CONFIG_METADATA!$B$4&lt;&gt;"OR+EX",--(DATOS!$G3052=CONFIG_METADATA!$B$4),IF(DATOS!$G3052="EX",1,IF(DATOS!$G3052="OR",--(COUNTIFS(nNIA,DATOS!$A3052,nCURSO,DATOS!$D3052,nESPEC,DATOS!$E3052,nASIG,DATOS!$I3052,nEVAL,"EX")=0),0))))</f>
      </c>
      <c r="H3052">
        <f>IF(DATOS!$G3052&lt;&gt;"EX",0,--(COUNTIFS(nNIA,DATOS!$A3052,nCURSO,DATOS!$D3052,nESPEC,DATOS!$E3052,nASIG,DATOS!$I3052,nEVAL,"OR")=0))</f>
      </c>
      <c r="I3052">
        <f>IF(DATOS!$I3052="","",IFERROR(VLOOKUP(DATOS!$I3052,CONFIG_ASIGNATURAS!$B$2:$J$91,9,FALSE()),""))</f>
      </c>
    </row>
    <row r="3053">
      <c r="F3053">
        <f>IF(DATOS!$A3053="","",DATOS!$A3053&amp;"|"&amp;DATOS!$D3053&amp;"|"&amp;DATOS!$E3053&amp;"|"&amp;DATOS!$I3053)</f>
      </c>
      <c r="G3053">
        <f>IF(DATOS!$A3053="",0,IF(CONFIG_METADATA!$B$4&lt;&gt;"OR+EX",--(DATOS!$G3053=CONFIG_METADATA!$B$4),IF(DATOS!$G3053="EX",1,IF(DATOS!$G3053="OR",--(COUNTIFS(nNIA,DATOS!$A3053,nCURSO,DATOS!$D3053,nESPEC,DATOS!$E3053,nASIG,DATOS!$I3053,nEVAL,"EX")=0),0))))</f>
      </c>
      <c r="H3053">
        <f>IF(DATOS!$G3053&lt;&gt;"EX",0,--(COUNTIFS(nNIA,DATOS!$A3053,nCURSO,DATOS!$D3053,nESPEC,DATOS!$E3053,nASIG,DATOS!$I3053,nEVAL,"OR")=0))</f>
      </c>
      <c r="I3053">
        <f>IF(DATOS!$I3053="","",IFERROR(VLOOKUP(DATOS!$I3053,CONFIG_ASIGNATURAS!$B$2:$J$91,9,FALSE()),""))</f>
      </c>
    </row>
    <row r="3054">
      <c r="F3054">
        <f>IF(DATOS!$A3054="","",DATOS!$A3054&amp;"|"&amp;DATOS!$D3054&amp;"|"&amp;DATOS!$E3054&amp;"|"&amp;DATOS!$I3054)</f>
      </c>
      <c r="G3054">
        <f>IF(DATOS!$A3054="",0,IF(CONFIG_METADATA!$B$4&lt;&gt;"OR+EX",--(DATOS!$G3054=CONFIG_METADATA!$B$4),IF(DATOS!$G3054="EX",1,IF(DATOS!$G3054="OR",--(COUNTIFS(nNIA,DATOS!$A3054,nCURSO,DATOS!$D3054,nESPEC,DATOS!$E3054,nASIG,DATOS!$I3054,nEVAL,"EX")=0),0))))</f>
      </c>
      <c r="H3054">
        <f>IF(DATOS!$G3054&lt;&gt;"EX",0,--(COUNTIFS(nNIA,DATOS!$A3054,nCURSO,DATOS!$D3054,nESPEC,DATOS!$E3054,nASIG,DATOS!$I3054,nEVAL,"OR")=0))</f>
      </c>
      <c r="I3054">
        <f>IF(DATOS!$I3054="","",IFERROR(VLOOKUP(DATOS!$I3054,CONFIG_ASIGNATURAS!$B$2:$J$91,9,FALSE()),""))</f>
      </c>
    </row>
    <row r="3055">
      <c r="F3055">
        <f>IF(DATOS!$A3055="","",DATOS!$A3055&amp;"|"&amp;DATOS!$D3055&amp;"|"&amp;DATOS!$E3055&amp;"|"&amp;DATOS!$I3055)</f>
      </c>
      <c r="G3055">
        <f>IF(DATOS!$A3055="",0,IF(CONFIG_METADATA!$B$4&lt;&gt;"OR+EX",--(DATOS!$G3055=CONFIG_METADATA!$B$4),IF(DATOS!$G3055="EX",1,IF(DATOS!$G3055="OR",--(COUNTIFS(nNIA,DATOS!$A3055,nCURSO,DATOS!$D3055,nESPEC,DATOS!$E3055,nASIG,DATOS!$I3055,nEVAL,"EX")=0),0))))</f>
      </c>
      <c r="H3055">
        <f>IF(DATOS!$G3055&lt;&gt;"EX",0,--(COUNTIFS(nNIA,DATOS!$A3055,nCURSO,DATOS!$D3055,nESPEC,DATOS!$E3055,nASIG,DATOS!$I3055,nEVAL,"OR")=0))</f>
      </c>
      <c r="I3055">
        <f>IF(DATOS!$I3055="","",IFERROR(VLOOKUP(DATOS!$I3055,CONFIG_ASIGNATURAS!$B$2:$J$91,9,FALSE()),""))</f>
      </c>
    </row>
    <row r="3056">
      <c r="F3056">
        <f>IF(DATOS!$A3056="","",DATOS!$A3056&amp;"|"&amp;DATOS!$D3056&amp;"|"&amp;DATOS!$E3056&amp;"|"&amp;DATOS!$I3056)</f>
      </c>
      <c r="G3056">
        <f>IF(DATOS!$A3056="",0,IF(CONFIG_METADATA!$B$4&lt;&gt;"OR+EX",--(DATOS!$G3056=CONFIG_METADATA!$B$4),IF(DATOS!$G3056="EX",1,IF(DATOS!$G3056="OR",--(COUNTIFS(nNIA,DATOS!$A3056,nCURSO,DATOS!$D3056,nESPEC,DATOS!$E3056,nASIG,DATOS!$I3056,nEVAL,"EX")=0),0))))</f>
      </c>
      <c r="H3056">
        <f>IF(DATOS!$G3056&lt;&gt;"EX",0,--(COUNTIFS(nNIA,DATOS!$A3056,nCURSO,DATOS!$D3056,nESPEC,DATOS!$E3056,nASIG,DATOS!$I3056,nEVAL,"OR")=0))</f>
      </c>
      <c r="I3056">
        <f>IF(DATOS!$I3056="","",IFERROR(VLOOKUP(DATOS!$I3056,CONFIG_ASIGNATURAS!$B$2:$J$91,9,FALSE()),""))</f>
      </c>
    </row>
    <row r="3057">
      <c r="F3057">
        <f>IF(DATOS!$A3057="","",DATOS!$A3057&amp;"|"&amp;DATOS!$D3057&amp;"|"&amp;DATOS!$E3057&amp;"|"&amp;DATOS!$I3057)</f>
      </c>
      <c r="G3057">
        <f>IF(DATOS!$A3057="",0,IF(CONFIG_METADATA!$B$4&lt;&gt;"OR+EX",--(DATOS!$G3057=CONFIG_METADATA!$B$4),IF(DATOS!$G3057="EX",1,IF(DATOS!$G3057="OR",--(COUNTIFS(nNIA,DATOS!$A3057,nCURSO,DATOS!$D3057,nESPEC,DATOS!$E3057,nASIG,DATOS!$I3057,nEVAL,"EX")=0),0))))</f>
      </c>
      <c r="H3057">
        <f>IF(DATOS!$G3057&lt;&gt;"EX",0,--(COUNTIFS(nNIA,DATOS!$A3057,nCURSO,DATOS!$D3057,nESPEC,DATOS!$E3057,nASIG,DATOS!$I3057,nEVAL,"OR")=0))</f>
      </c>
      <c r="I3057">
        <f>IF(DATOS!$I3057="","",IFERROR(VLOOKUP(DATOS!$I3057,CONFIG_ASIGNATURAS!$B$2:$J$91,9,FALSE()),""))</f>
      </c>
    </row>
    <row r="3058">
      <c r="F3058">
        <f>IF(DATOS!$A3058="","",DATOS!$A3058&amp;"|"&amp;DATOS!$D3058&amp;"|"&amp;DATOS!$E3058&amp;"|"&amp;DATOS!$I3058)</f>
      </c>
      <c r="G3058">
        <f>IF(DATOS!$A3058="",0,IF(CONFIG_METADATA!$B$4&lt;&gt;"OR+EX",--(DATOS!$G3058=CONFIG_METADATA!$B$4),IF(DATOS!$G3058="EX",1,IF(DATOS!$G3058="OR",--(COUNTIFS(nNIA,DATOS!$A3058,nCURSO,DATOS!$D3058,nESPEC,DATOS!$E3058,nASIG,DATOS!$I3058,nEVAL,"EX")=0),0))))</f>
      </c>
      <c r="H3058">
        <f>IF(DATOS!$G3058&lt;&gt;"EX",0,--(COUNTIFS(nNIA,DATOS!$A3058,nCURSO,DATOS!$D3058,nESPEC,DATOS!$E3058,nASIG,DATOS!$I3058,nEVAL,"OR")=0))</f>
      </c>
      <c r="I3058">
        <f>IF(DATOS!$I3058="","",IFERROR(VLOOKUP(DATOS!$I3058,CONFIG_ASIGNATURAS!$B$2:$J$91,9,FALSE()),""))</f>
      </c>
    </row>
    <row r="3059">
      <c r="F3059">
        <f>IF(DATOS!$A3059="","",DATOS!$A3059&amp;"|"&amp;DATOS!$D3059&amp;"|"&amp;DATOS!$E3059&amp;"|"&amp;DATOS!$I3059)</f>
      </c>
      <c r="G3059">
        <f>IF(DATOS!$A3059="",0,IF(CONFIG_METADATA!$B$4&lt;&gt;"OR+EX",--(DATOS!$G3059=CONFIG_METADATA!$B$4),IF(DATOS!$G3059="EX",1,IF(DATOS!$G3059="OR",--(COUNTIFS(nNIA,DATOS!$A3059,nCURSO,DATOS!$D3059,nESPEC,DATOS!$E3059,nASIG,DATOS!$I3059,nEVAL,"EX")=0),0))))</f>
      </c>
      <c r="H3059">
        <f>IF(DATOS!$G3059&lt;&gt;"EX",0,--(COUNTIFS(nNIA,DATOS!$A3059,nCURSO,DATOS!$D3059,nESPEC,DATOS!$E3059,nASIG,DATOS!$I3059,nEVAL,"OR")=0))</f>
      </c>
      <c r="I3059">
        <f>IF(DATOS!$I3059="","",IFERROR(VLOOKUP(DATOS!$I3059,CONFIG_ASIGNATURAS!$B$2:$J$91,9,FALSE()),""))</f>
      </c>
    </row>
    <row r="3060">
      <c r="F3060">
        <f>IF(DATOS!$A3060="","",DATOS!$A3060&amp;"|"&amp;DATOS!$D3060&amp;"|"&amp;DATOS!$E3060&amp;"|"&amp;DATOS!$I3060)</f>
      </c>
      <c r="G3060">
        <f>IF(DATOS!$A3060="",0,IF(CONFIG_METADATA!$B$4&lt;&gt;"OR+EX",--(DATOS!$G3060=CONFIG_METADATA!$B$4),IF(DATOS!$G3060="EX",1,IF(DATOS!$G3060="OR",--(COUNTIFS(nNIA,DATOS!$A3060,nCURSO,DATOS!$D3060,nESPEC,DATOS!$E3060,nASIG,DATOS!$I3060,nEVAL,"EX")=0),0))))</f>
      </c>
      <c r="H3060">
        <f>IF(DATOS!$G3060&lt;&gt;"EX",0,--(COUNTIFS(nNIA,DATOS!$A3060,nCURSO,DATOS!$D3060,nESPEC,DATOS!$E3060,nASIG,DATOS!$I3060,nEVAL,"OR")=0))</f>
      </c>
      <c r="I3060">
        <f>IF(DATOS!$I3060="","",IFERROR(VLOOKUP(DATOS!$I3060,CONFIG_ASIGNATURAS!$B$2:$J$91,9,FALSE()),""))</f>
      </c>
    </row>
    <row r="3061">
      <c r="F3061">
        <f>IF(DATOS!$A3061="","",DATOS!$A3061&amp;"|"&amp;DATOS!$D3061&amp;"|"&amp;DATOS!$E3061&amp;"|"&amp;DATOS!$I3061)</f>
      </c>
      <c r="G3061">
        <f>IF(DATOS!$A3061="",0,IF(CONFIG_METADATA!$B$4&lt;&gt;"OR+EX",--(DATOS!$G3061=CONFIG_METADATA!$B$4),IF(DATOS!$G3061="EX",1,IF(DATOS!$G3061="OR",--(COUNTIFS(nNIA,DATOS!$A3061,nCURSO,DATOS!$D3061,nESPEC,DATOS!$E3061,nASIG,DATOS!$I3061,nEVAL,"EX")=0),0))))</f>
      </c>
      <c r="H3061">
        <f>IF(DATOS!$G3061&lt;&gt;"EX",0,--(COUNTIFS(nNIA,DATOS!$A3061,nCURSO,DATOS!$D3061,nESPEC,DATOS!$E3061,nASIG,DATOS!$I3061,nEVAL,"OR")=0))</f>
      </c>
      <c r="I3061">
        <f>IF(DATOS!$I3061="","",IFERROR(VLOOKUP(DATOS!$I3061,CONFIG_ASIGNATURAS!$B$2:$J$91,9,FALSE()),""))</f>
      </c>
    </row>
    <row r="3062">
      <c r="F3062">
        <f>IF(DATOS!$A3062="","",DATOS!$A3062&amp;"|"&amp;DATOS!$D3062&amp;"|"&amp;DATOS!$E3062&amp;"|"&amp;DATOS!$I3062)</f>
      </c>
      <c r="G3062">
        <f>IF(DATOS!$A3062="",0,IF(CONFIG_METADATA!$B$4&lt;&gt;"OR+EX",--(DATOS!$G3062=CONFIG_METADATA!$B$4),IF(DATOS!$G3062="EX",1,IF(DATOS!$G3062="OR",--(COUNTIFS(nNIA,DATOS!$A3062,nCURSO,DATOS!$D3062,nESPEC,DATOS!$E3062,nASIG,DATOS!$I3062,nEVAL,"EX")=0),0))))</f>
      </c>
      <c r="H3062">
        <f>IF(DATOS!$G3062&lt;&gt;"EX",0,--(COUNTIFS(nNIA,DATOS!$A3062,nCURSO,DATOS!$D3062,nESPEC,DATOS!$E3062,nASIG,DATOS!$I3062,nEVAL,"OR")=0))</f>
      </c>
      <c r="I3062">
        <f>IF(DATOS!$I3062="","",IFERROR(VLOOKUP(DATOS!$I3062,CONFIG_ASIGNATURAS!$B$2:$J$91,9,FALSE()),""))</f>
      </c>
    </row>
    <row r="3063">
      <c r="F3063">
        <f>IF(DATOS!$A3063="","",DATOS!$A3063&amp;"|"&amp;DATOS!$D3063&amp;"|"&amp;DATOS!$E3063&amp;"|"&amp;DATOS!$I3063)</f>
      </c>
      <c r="G3063">
        <f>IF(DATOS!$A3063="",0,IF(CONFIG_METADATA!$B$4&lt;&gt;"OR+EX",--(DATOS!$G3063=CONFIG_METADATA!$B$4),IF(DATOS!$G3063="EX",1,IF(DATOS!$G3063="OR",--(COUNTIFS(nNIA,DATOS!$A3063,nCURSO,DATOS!$D3063,nESPEC,DATOS!$E3063,nASIG,DATOS!$I3063,nEVAL,"EX")=0),0))))</f>
      </c>
      <c r="H3063">
        <f>IF(DATOS!$G3063&lt;&gt;"EX",0,--(COUNTIFS(nNIA,DATOS!$A3063,nCURSO,DATOS!$D3063,nESPEC,DATOS!$E3063,nASIG,DATOS!$I3063,nEVAL,"OR")=0))</f>
      </c>
      <c r="I3063">
        <f>IF(DATOS!$I3063="","",IFERROR(VLOOKUP(DATOS!$I3063,CONFIG_ASIGNATURAS!$B$2:$J$91,9,FALSE()),""))</f>
      </c>
    </row>
    <row r="3064">
      <c r="F3064">
        <f>IF(DATOS!$A3064="","",DATOS!$A3064&amp;"|"&amp;DATOS!$D3064&amp;"|"&amp;DATOS!$E3064&amp;"|"&amp;DATOS!$I3064)</f>
      </c>
      <c r="G3064">
        <f>IF(DATOS!$A3064="",0,IF(CONFIG_METADATA!$B$4&lt;&gt;"OR+EX",--(DATOS!$G3064=CONFIG_METADATA!$B$4),IF(DATOS!$G3064="EX",1,IF(DATOS!$G3064="OR",--(COUNTIFS(nNIA,DATOS!$A3064,nCURSO,DATOS!$D3064,nESPEC,DATOS!$E3064,nASIG,DATOS!$I3064,nEVAL,"EX")=0),0))))</f>
      </c>
      <c r="H3064">
        <f>IF(DATOS!$G3064&lt;&gt;"EX",0,--(COUNTIFS(nNIA,DATOS!$A3064,nCURSO,DATOS!$D3064,nESPEC,DATOS!$E3064,nASIG,DATOS!$I3064,nEVAL,"OR")=0))</f>
      </c>
      <c r="I3064">
        <f>IF(DATOS!$I3064="","",IFERROR(VLOOKUP(DATOS!$I3064,CONFIG_ASIGNATURAS!$B$2:$J$91,9,FALSE()),""))</f>
      </c>
    </row>
    <row r="3065">
      <c r="F3065">
        <f>IF(DATOS!$A3065="","",DATOS!$A3065&amp;"|"&amp;DATOS!$D3065&amp;"|"&amp;DATOS!$E3065&amp;"|"&amp;DATOS!$I3065)</f>
      </c>
      <c r="G3065">
        <f>IF(DATOS!$A3065="",0,IF(CONFIG_METADATA!$B$4&lt;&gt;"OR+EX",--(DATOS!$G3065=CONFIG_METADATA!$B$4),IF(DATOS!$G3065="EX",1,IF(DATOS!$G3065="OR",--(COUNTIFS(nNIA,DATOS!$A3065,nCURSO,DATOS!$D3065,nESPEC,DATOS!$E3065,nASIG,DATOS!$I3065,nEVAL,"EX")=0),0))))</f>
      </c>
      <c r="H3065">
        <f>IF(DATOS!$G3065&lt;&gt;"EX",0,--(COUNTIFS(nNIA,DATOS!$A3065,nCURSO,DATOS!$D3065,nESPEC,DATOS!$E3065,nASIG,DATOS!$I3065,nEVAL,"OR")=0))</f>
      </c>
      <c r="I3065">
        <f>IF(DATOS!$I3065="","",IFERROR(VLOOKUP(DATOS!$I3065,CONFIG_ASIGNATURAS!$B$2:$J$91,9,FALSE()),""))</f>
      </c>
    </row>
    <row r="3066">
      <c r="F3066">
        <f>IF(DATOS!$A3066="","",DATOS!$A3066&amp;"|"&amp;DATOS!$D3066&amp;"|"&amp;DATOS!$E3066&amp;"|"&amp;DATOS!$I3066)</f>
      </c>
      <c r="G3066">
        <f>IF(DATOS!$A3066="",0,IF(CONFIG_METADATA!$B$4&lt;&gt;"OR+EX",--(DATOS!$G3066=CONFIG_METADATA!$B$4),IF(DATOS!$G3066="EX",1,IF(DATOS!$G3066="OR",--(COUNTIFS(nNIA,DATOS!$A3066,nCURSO,DATOS!$D3066,nESPEC,DATOS!$E3066,nASIG,DATOS!$I3066,nEVAL,"EX")=0),0))))</f>
      </c>
      <c r="H3066">
        <f>IF(DATOS!$G3066&lt;&gt;"EX",0,--(COUNTIFS(nNIA,DATOS!$A3066,nCURSO,DATOS!$D3066,nESPEC,DATOS!$E3066,nASIG,DATOS!$I3066,nEVAL,"OR")=0))</f>
      </c>
      <c r="I3066">
        <f>IF(DATOS!$I3066="","",IFERROR(VLOOKUP(DATOS!$I3066,CONFIG_ASIGNATURAS!$B$2:$J$91,9,FALSE()),""))</f>
      </c>
    </row>
    <row r="3067">
      <c r="F3067">
        <f>IF(DATOS!$A3067="","",DATOS!$A3067&amp;"|"&amp;DATOS!$D3067&amp;"|"&amp;DATOS!$E3067&amp;"|"&amp;DATOS!$I3067)</f>
      </c>
      <c r="G3067">
        <f>IF(DATOS!$A3067="",0,IF(CONFIG_METADATA!$B$4&lt;&gt;"OR+EX",--(DATOS!$G3067=CONFIG_METADATA!$B$4),IF(DATOS!$G3067="EX",1,IF(DATOS!$G3067="OR",--(COUNTIFS(nNIA,DATOS!$A3067,nCURSO,DATOS!$D3067,nESPEC,DATOS!$E3067,nASIG,DATOS!$I3067,nEVAL,"EX")=0),0))))</f>
      </c>
      <c r="H3067">
        <f>IF(DATOS!$G3067&lt;&gt;"EX",0,--(COUNTIFS(nNIA,DATOS!$A3067,nCURSO,DATOS!$D3067,nESPEC,DATOS!$E3067,nASIG,DATOS!$I3067,nEVAL,"OR")=0))</f>
      </c>
      <c r="I3067">
        <f>IF(DATOS!$I3067="","",IFERROR(VLOOKUP(DATOS!$I3067,CONFIG_ASIGNATURAS!$B$2:$J$91,9,FALSE()),""))</f>
      </c>
    </row>
    <row r="3068">
      <c r="F3068">
        <f>IF(DATOS!$A3068="","",DATOS!$A3068&amp;"|"&amp;DATOS!$D3068&amp;"|"&amp;DATOS!$E3068&amp;"|"&amp;DATOS!$I3068)</f>
      </c>
      <c r="G3068">
        <f>IF(DATOS!$A3068="",0,IF(CONFIG_METADATA!$B$4&lt;&gt;"OR+EX",--(DATOS!$G3068=CONFIG_METADATA!$B$4),IF(DATOS!$G3068="EX",1,IF(DATOS!$G3068="OR",--(COUNTIFS(nNIA,DATOS!$A3068,nCURSO,DATOS!$D3068,nESPEC,DATOS!$E3068,nASIG,DATOS!$I3068,nEVAL,"EX")=0),0))))</f>
      </c>
      <c r="H3068">
        <f>IF(DATOS!$G3068&lt;&gt;"EX",0,--(COUNTIFS(nNIA,DATOS!$A3068,nCURSO,DATOS!$D3068,nESPEC,DATOS!$E3068,nASIG,DATOS!$I3068,nEVAL,"OR")=0))</f>
      </c>
      <c r="I3068">
        <f>IF(DATOS!$I3068="","",IFERROR(VLOOKUP(DATOS!$I3068,CONFIG_ASIGNATURAS!$B$2:$J$91,9,FALSE()),""))</f>
      </c>
    </row>
    <row r="3069">
      <c r="F3069">
        <f>IF(DATOS!$A3069="","",DATOS!$A3069&amp;"|"&amp;DATOS!$D3069&amp;"|"&amp;DATOS!$E3069&amp;"|"&amp;DATOS!$I3069)</f>
      </c>
      <c r="G3069">
        <f>IF(DATOS!$A3069="",0,IF(CONFIG_METADATA!$B$4&lt;&gt;"OR+EX",--(DATOS!$G3069=CONFIG_METADATA!$B$4),IF(DATOS!$G3069="EX",1,IF(DATOS!$G3069="OR",--(COUNTIFS(nNIA,DATOS!$A3069,nCURSO,DATOS!$D3069,nESPEC,DATOS!$E3069,nASIG,DATOS!$I3069,nEVAL,"EX")=0),0))))</f>
      </c>
      <c r="H3069">
        <f>IF(DATOS!$G3069&lt;&gt;"EX",0,--(COUNTIFS(nNIA,DATOS!$A3069,nCURSO,DATOS!$D3069,nESPEC,DATOS!$E3069,nASIG,DATOS!$I3069,nEVAL,"OR")=0))</f>
      </c>
      <c r="I3069">
        <f>IF(DATOS!$I3069="","",IFERROR(VLOOKUP(DATOS!$I3069,CONFIG_ASIGNATURAS!$B$2:$J$91,9,FALSE()),""))</f>
      </c>
    </row>
    <row r="3070">
      <c r="F3070">
        <f>IF(DATOS!$A3070="","",DATOS!$A3070&amp;"|"&amp;DATOS!$D3070&amp;"|"&amp;DATOS!$E3070&amp;"|"&amp;DATOS!$I3070)</f>
      </c>
      <c r="G3070">
        <f>IF(DATOS!$A3070="",0,IF(CONFIG_METADATA!$B$4&lt;&gt;"OR+EX",--(DATOS!$G3070=CONFIG_METADATA!$B$4),IF(DATOS!$G3070="EX",1,IF(DATOS!$G3070="OR",--(COUNTIFS(nNIA,DATOS!$A3070,nCURSO,DATOS!$D3070,nESPEC,DATOS!$E3070,nASIG,DATOS!$I3070,nEVAL,"EX")=0),0))))</f>
      </c>
      <c r="H3070">
        <f>IF(DATOS!$G3070&lt;&gt;"EX",0,--(COUNTIFS(nNIA,DATOS!$A3070,nCURSO,DATOS!$D3070,nESPEC,DATOS!$E3070,nASIG,DATOS!$I3070,nEVAL,"OR")=0))</f>
      </c>
      <c r="I3070">
        <f>IF(DATOS!$I3070="","",IFERROR(VLOOKUP(DATOS!$I3070,CONFIG_ASIGNATURAS!$B$2:$J$91,9,FALSE()),""))</f>
      </c>
    </row>
    <row r="3071">
      <c r="F3071">
        <f>IF(DATOS!$A3071="","",DATOS!$A3071&amp;"|"&amp;DATOS!$D3071&amp;"|"&amp;DATOS!$E3071&amp;"|"&amp;DATOS!$I3071)</f>
      </c>
      <c r="G3071">
        <f>IF(DATOS!$A3071="",0,IF(CONFIG_METADATA!$B$4&lt;&gt;"OR+EX",--(DATOS!$G3071=CONFIG_METADATA!$B$4),IF(DATOS!$G3071="EX",1,IF(DATOS!$G3071="OR",--(COUNTIFS(nNIA,DATOS!$A3071,nCURSO,DATOS!$D3071,nESPEC,DATOS!$E3071,nASIG,DATOS!$I3071,nEVAL,"EX")=0),0))))</f>
      </c>
      <c r="H3071">
        <f>IF(DATOS!$G3071&lt;&gt;"EX",0,--(COUNTIFS(nNIA,DATOS!$A3071,nCURSO,DATOS!$D3071,nESPEC,DATOS!$E3071,nASIG,DATOS!$I3071,nEVAL,"OR")=0))</f>
      </c>
      <c r="I3071">
        <f>IF(DATOS!$I3071="","",IFERROR(VLOOKUP(DATOS!$I3071,CONFIG_ASIGNATURAS!$B$2:$J$91,9,FALSE()),""))</f>
      </c>
    </row>
    <row r="3072">
      <c r="F3072">
        <f>IF(DATOS!$A3072="","",DATOS!$A3072&amp;"|"&amp;DATOS!$D3072&amp;"|"&amp;DATOS!$E3072&amp;"|"&amp;DATOS!$I3072)</f>
      </c>
      <c r="G3072">
        <f>IF(DATOS!$A3072="",0,IF(CONFIG_METADATA!$B$4&lt;&gt;"OR+EX",--(DATOS!$G3072=CONFIG_METADATA!$B$4),IF(DATOS!$G3072="EX",1,IF(DATOS!$G3072="OR",--(COUNTIFS(nNIA,DATOS!$A3072,nCURSO,DATOS!$D3072,nESPEC,DATOS!$E3072,nASIG,DATOS!$I3072,nEVAL,"EX")=0),0))))</f>
      </c>
      <c r="H3072">
        <f>IF(DATOS!$G3072&lt;&gt;"EX",0,--(COUNTIFS(nNIA,DATOS!$A3072,nCURSO,DATOS!$D3072,nESPEC,DATOS!$E3072,nASIG,DATOS!$I3072,nEVAL,"OR")=0))</f>
      </c>
      <c r="I3072">
        <f>IF(DATOS!$I3072="","",IFERROR(VLOOKUP(DATOS!$I3072,CONFIG_ASIGNATURAS!$B$2:$J$91,9,FALSE()),""))</f>
      </c>
    </row>
    <row r="3073">
      <c r="F3073">
        <f>IF(DATOS!$A3073="","",DATOS!$A3073&amp;"|"&amp;DATOS!$D3073&amp;"|"&amp;DATOS!$E3073&amp;"|"&amp;DATOS!$I3073)</f>
      </c>
      <c r="G3073">
        <f>IF(DATOS!$A3073="",0,IF(CONFIG_METADATA!$B$4&lt;&gt;"OR+EX",--(DATOS!$G3073=CONFIG_METADATA!$B$4),IF(DATOS!$G3073="EX",1,IF(DATOS!$G3073="OR",--(COUNTIFS(nNIA,DATOS!$A3073,nCURSO,DATOS!$D3073,nESPEC,DATOS!$E3073,nASIG,DATOS!$I3073,nEVAL,"EX")=0),0))))</f>
      </c>
      <c r="H3073">
        <f>IF(DATOS!$G3073&lt;&gt;"EX",0,--(COUNTIFS(nNIA,DATOS!$A3073,nCURSO,DATOS!$D3073,nESPEC,DATOS!$E3073,nASIG,DATOS!$I3073,nEVAL,"OR")=0))</f>
      </c>
      <c r="I3073">
        <f>IF(DATOS!$I3073="","",IFERROR(VLOOKUP(DATOS!$I3073,CONFIG_ASIGNATURAS!$B$2:$J$91,9,FALSE()),""))</f>
      </c>
    </row>
    <row r="3074">
      <c r="F3074">
        <f>IF(DATOS!$A3074="","",DATOS!$A3074&amp;"|"&amp;DATOS!$D3074&amp;"|"&amp;DATOS!$E3074&amp;"|"&amp;DATOS!$I3074)</f>
      </c>
      <c r="G3074">
        <f>IF(DATOS!$A3074="",0,IF(CONFIG_METADATA!$B$4&lt;&gt;"OR+EX",--(DATOS!$G3074=CONFIG_METADATA!$B$4),IF(DATOS!$G3074="EX",1,IF(DATOS!$G3074="OR",--(COUNTIFS(nNIA,DATOS!$A3074,nCURSO,DATOS!$D3074,nESPEC,DATOS!$E3074,nASIG,DATOS!$I3074,nEVAL,"EX")=0),0))))</f>
      </c>
      <c r="H3074">
        <f>IF(DATOS!$G3074&lt;&gt;"EX",0,--(COUNTIFS(nNIA,DATOS!$A3074,nCURSO,DATOS!$D3074,nESPEC,DATOS!$E3074,nASIG,DATOS!$I3074,nEVAL,"OR")=0))</f>
      </c>
      <c r="I3074">
        <f>IF(DATOS!$I3074="","",IFERROR(VLOOKUP(DATOS!$I3074,CONFIG_ASIGNATURAS!$B$2:$J$91,9,FALSE()),""))</f>
      </c>
    </row>
    <row r="3075">
      <c r="F3075">
        <f>IF(DATOS!$A3075="","",DATOS!$A3075&amp;"|"&amp;DATOS!$D3075&amp;"|"&amp;DATOS!$E3075&amp;"|"&amp;DATOS!$I3075)</f>
      </c>
      <c r="G3075">
        <f>IF(DATOS!$A3075="",0,IF(CONFIG_METADATA!$B$4&lt;&gt;"OR+EX",--(DATOS!$G3075=CONFIG_METADATA!$B$4),IF(DATOS!$G3075="EX",1,IF(DATOS!$G3075="OR",--(COUNTIFS(nNIA,DATOS!$A3075,nCURSO,DATOS!$D3075,nESPEC,DATOS!$E3075,nASIG,DATOS!$I3075,nEVAL,"EX")=0),0))))</f>
      </c>
      <c r="H3075">
        <f>IF(DATOS!$G3075&lt;&gt;"EX",0,--(COUNTIFS(nNIA,DATOS!$A3075,nCURSO,DATOS!$D3075,nESPEC,DATOS!$E3075,nASIG,DATOS!$I3075,nEVAL,"OR")=0))</f>
      </c>
      <c r="I3075">
        <f>IF(DATOS!$I3075="","",IFERROR(VLOOKUP(DATOS!$I3075,CONFIG_ASIGNATURAS!$B$2:$J$91,9,FALSE()),""))</f>
      </c>
    </row>
    <row r="3076">
      <c r="F3076">
        <f>IF(DATOS!$A3076="","",DATOS!$A3076&amp;"|"&amp;DATOS!$D3076&amp;"|"&amp;DATOS!$E3076&amp;"|"&amp;DATOS!$I3076)</f>
      </c>
      <c r="G3076">
        <f>IF(DATOS!$A3076="",0,IF(CONFIG_METADATA!$B$4&lt;&gt;"OR+EX",--(DATOS!$G3076=CONFIG_METADATA!$B$4),IF(DATOS!$G3076="EX",1,IF(DATOS!$G3076="OR",--(COUNTIFS(nNIA,DATOS!$A3076,nCURSO,DATOS!$D3076,nESPEC,DATOS!$E3076,nASIG,DATOS!$I3076,nEVAL,"EX")=0),0))))</f>
      </c>
      <c r="H3076">
        <f>IF(DATOS!$G3076&lt;&gt;"EX",0,--(COUNTIFS(nNIA,DATOS!$A3076,nCURSO,DATOS!$D3076,nESPEC,DATOS!$E3076,nASIG,DATOS!$I3076,nEVAL,"OR")=0))</f>
      </c>
      <c r="I3076">
        <f>IF(DATOS!$I3076="","",IFERROR(VLOOKUP(DATOS!$I3076,CONFIG_ASIGNATURAS!$B$2:$J$91,9,FALSE()),""))</f>
      </c>
    </row>
    <row r="3077">
      <c r="F3077">
        <f>IF(DATOS!$A3077="","",DATOS!$A3077&amp;"|"&amp;DATOS!$D3077&amp;"|"&amp;DATOS!$E3077&amp;"|"&amp;DATOS!$I3077)</f>
      </c>
      <c r="G3077">
        <f>IF(DATOS!$A3077="",0,IF(CONFIG_METADATA!$B$4&lt;&gt;"OR+EX",--(DATOS!$G3077=CONFIG_METADATA!$B$4),IF(DATOS!$G3077="EX",1,IF(DATOS!$G3077="OR",--(COUNTIFS(nNIA,DATOS!$A3077,nCURSO,DATOS!$D3077,nESPEC,DATOS!$E3077,nASIG,DATOS!$I3077,nEVAL,"EX")=0),0))))</f>
      </c>
      <c r="H3077">
        <f>IF(DATOS!$G3077&lt;&gt;"EX",0,--(COUNTIFS(nNIA,DATOS!$A3077,nCURSO,DATOS!$D3077,nESPEC,DATOS!$E3077,nASIG,DATOS!$I3077,nEVAL,"OR")=0))</f>
      </c>
      <c r="I3077">
        <f>IF(DATOS!$I3077="","",IFERROR(VLOOKUP(DATOS!$I3077,CONFIG_ASIGNATURAS!$B$2:$J$91,9,FALSE()),""))</f>
      </c>
    </row>
    <row r="3078">
      <c r="F3078">
        <f>IF(DATOS!$A3078="","",DATOS!$A3078&amp;"|"&amp;DATOS!$D3078&amp;"|"&amp;DATOS!$E3078&amp;"|"&amp;DATOS!$I3078)</f>
      </c>
      <c r="G3078">
        <f>IF(DATOS!$A3078="",0,IF(CONFIG_METADATA!$B$4&lt;&gt;"OR+EX",--(DATOS!$G3078=CONFIG_METADATA!$B$4),IF(DATOS!$G3078="EX",1,IF(DATOS!$G3078="OR",--(COUNTIFS(nNIA,DATOS!$A3078,nCURSO,DATOS!$D3078,nESPEC,DATOS!$E3078,nASIG,DATOS!$I3078,nEVAL,"EX")=0),0))))</f>
      </c>
      <c r="H3078">
        <f>IF(DATOS!$G3078&lt;&gt;"EX",0,--(COUNTIFS(nNIA,DATOS!$A3078,nCURSO,DATOS!$D3078,nESPEC,DATOS!$E3078,nASIG,DATOS!$I3078,nEVAL,"OR")=0))</f>
      </c>
      <c r="I3078">
        <f>IF(DATOS!$I3078="","",IFERROR(VLOOKUP(DATOS!$I3078,CONFIG_ASIGNATURAS!$B$2:$J$91,9,FALSE()),""))</f>
      </c>
    </row>
    <row r="3079">
      <c r="F3079">
        <f>IF(DATOS!$A3079="","",DATOS!$A3079&amp;"|"&amp;DATOS!$D3079&amp;"|"&amp;DATOS!$E3079&amp;"|"&amp;DATOS!$I3079)</f>
      </c>
      <c r="G3079">
        <f>IF(DATOS!$A3079="",0,IF(CONFIG_METADATA!$B$4&lt;&gt;"OR+EX",--(DATOS!$G3079=CONFIG_METADATA!$B$4),IF(DATOS!$G3079="EX",1,IF(DATOS!$G3079="OR",--(COUNTIFS(nNIA,DATOS!$A3079,nCURSO,DATOS!$D3079,nESPEC,DATOS!$E3079,nASIG,DATOS!$I3079,nEVAL,"EX")=0),0))))</f>
      </c>
      <c r="H3079">
        <f>IF(DATOS!$G3079&lt;&gt;"EX",0,--(COUNTIFS(nNIA,DATOS!$A3079,nCURSO,DATOS!$D3079,nESPEC,DATOS!$E3079,nASIG,DATOS!$I3079,nEVAL,"OR")=0))</f>
      </c>
      <c r="I3079">
        <f>IF(DATOS!$I3079="","",IFERROR(VLOOKUP(DATOS!$I3079,CONFIG_ASIGNATURAS!$B$2:$J$91,9,FALSE()),""))</f>
      </c>
    </row>
    <row r="3080">
      <c r="F3080">
        <f>IF(DATOS!$A3080="","",DATOS!$A3080&amp;"|"&amp;DATOS!$D3080&amp;"|"&amp;DATOS!$E3080&amp;"|"&amp;DATOS!$I3080)</f>
      </c>
      <c r="G3080">
        <f>IF(DATOS!$A3080="",0,IF(CONFIG_METADATA!$B$4&lt;&gt;"OR+EX",--(DATOS!$G3080=CONFIG_METADATA!$B$4),IF(DATOS!$G3080="EX",1,IF(DATOS!$G3080="OR",--(COUNTIFS(nNIA,DATOS!$A3080,nCURSO,DATOS!$D3080,nESPEC,DATOS!$E3080,nASIG,DATOS!$I3080,nEVAL,"EX")=0),0))))</f>
      </c>
      <c r="H3080">
        <f>IF(DATOS!$G3080&lt;&gt;"EX",0,--(COUNTIFS(nNIA,DATOS!$A3080,nCURSO,DATOS!$D3080,nESPEC,DATOS!$E3080,nASIG,DATOS!$I3080,nEVAL,"OR")=0))</f>
      </c>
      <c r="I3080">
        <f>IF(DATOS!$I3080="","",IFERROR(VLOOKUP(DATOS!$I3080,CONFIG_ASIGNATURAS!$B$2:$J$91,9,FALSE()),""))</f>
      </c>
    </row>
    <row r="3081">
      <c r="F3081">
        <f>IF(DATOS!$A3081="","",DATOS!$A3081&amp;"|"&amp;DATOS!$D3081&amp;"|"&amp;DATOS!$E3081&amp;"|"&amp;DATOS!$I3081)</f>
      </c>
      <c r="G3081">
        <f>IF(DATOS!$A3081="",0,IF(CONFIG_METADATA!$B$4&lt;&gt;"OR+EX",--(DATOS!$G3081=CONFIG_METADATA!$B$4),IF(DATOS!$G3081="EX",1,IF(DATOS!$G3081="OR",--(COUNTIFS(nNIA,DATOS!$A3081,nCURSO,DATOS!$D3081,nESPEC,DATOS!$E3081,nASIG,DATOS!$I3081,nEVAL,"EX")=0),0))))</f>
      </c>
      <c r="H3081">
        <f>IF(DATOS!$G3081&lt;&gt;"EX",0,--(COUNTIFS(nNIA,DATOS!$A3081,nCURSO,DATOS!$D3081,nESPEC,DATOS!$E3081,nASIG,DATOS!$I3081,nEVAL,"OR")=0))</f>
      </c>
      <c r="I3081">
        <f>IF(DATOS!$I3081="","",IFERROR(VLOOKUP(DATOS!$I3081,CONFIG_ASIGNATURAS!$B$2:$J$91,9,FALSE()),""))</f>
      </c>
    </row>
    <row r="3082">
      <c r="F3082">
        <f>IF(DATOS!$A3082="","",DATOS!$A3082&amp;"|"&amp;DATOS!$D3082&amp;"|"&amp;DATOS!$E3082&amp;"|"&amp;DATOS!$I3082)</f>
      </c>
      <c r="G3082">
        <f>IF(DATOS!$A3082="",0,IF(CONFIG_METADATA!$B$4&lt;&gt;"OR+EX",--(DATOS!$G3082=CONFIG_METADATA!$B$4),IF(DATOS!$G3082="EX",1,IF(DATOS!$G3082="OR",--(COUNTIFS(nNIA,DATOS!$A3082,nCURSO,DATOS!$D3082,nESPEC,DATOS!$E3082,nASIG,DATOS!$I3082,nEVAL,"EX")=0),0))))</f>
      </c>
      <c r="H3082">
        <f>IF(DATOS!$G3082&lt;&gt;"EX",0,--(COUNTIFS(nNIA,DATOS!$A3082,nCURSO,DATOS!$D3082,nESPEC,DATOS!$E3082,nASIG,DATOS!$I3082,nEVAL,"OR")=0))</f>
      </c>
      <c r="I3082">
        <f>IF(DATOS!$I3082="","",IFERROR(VLOOKUP(DATOS!$I3082,CONFIG_ASIGNATURAS!$B$2:$J$91,9,FALSE()),""))</f>
      </c>
    </row>
    <row r="3083">
      <c r="F3083">
        <f>IF(DATOS!$A3083="","",DATOS!$A3083&amp;"|"&amp;DATOS!$D3083&amp;"|"&amp;DATOS!$E3083&amp;"|"&amp;DATOS!$I3083)</f>
      </c>
      <c r="G3083">
        <f>IF(DATOS!$A3083="",0,IF(CONFIG_METADATA!$B$4&lt;&gt;"OR+EX",--(DATOS!$G3083=CONFIG_METADATA!$B$4),IF(DATOS!$G3083="EX",1,IF(DATOS!$G3083="OR",--(COUNTIFS(nNIA,DATOS!$A3083,nCURSO,DATOS!$D3083,nESPEC,DATOS!$E3083,nASIG,DATOS!$I3083,nEVAL,"EX")=0),0))))</f>
      </c>
      <c r="H3083">
        <f>IF(DATOS!$G3083&lt;&gt;"EX",0,--(COUNTIFS(nNIA,DATOS!$A3083,nCURSO,DATOS!$D3083,nESPEC,DATOS!$E3083,nASIG,DATOS!$I3083,nEVAL,"OR")=0))</f>
      </c>
      <c r="I3083">
        <f>IF(DATOS!$I3083="","",IFERROR(VLOOKUP(DATOS!$I3083,CONFIG_ASIGNATURAS!$B$2:$J$91,9,FALSE()),""))</f>
      </c>
    </row>
    <row r="3084">
      <c r="F3084">
        <f>IF(DATOS!$A3084="","",DATOS!$A3084&amp;"|"&amp;DATOS!$D3084&amp;"|"&amp;DATOS!$E3084&amp;"|"&amp;DATOS!$I3084)</f>
      </c>
      <c r="G3084">
        <f>IF(DATOS!$A3084="",0,IF(CONFIG_METADATA!$B$4&lt;&gt;"OR+EX",--(DATOS!$G3084=CONFIG_METADATA!$B$4),IF(DATOS!$G3084="EX",1,IF(DATOS!$G3084="OR",--(COUNTIFS(nNIA,DATOS!$A3084,nCURSO,DATOS!$D3084,nESPEC,DATOS!$E3084,nASIG,DATOS!$I3084,nEVAL,"EX")=0),0))))</f>
      </c>
      <c r="H3084">
        <f>IF(DATOS!$G3084&lt;&gt;"EX",0,--(COUNTIFS(nNIA,DATOS!$A3084,nCURSO,DATOS!$D3084,nESPEC,DATOS!$E3084,nASIG,DATOS!$I3084,nEVAL,"OR")=0))</f>
      </c>
      <c r="I3084">
        <f>IF(DATOS!$I3084="","",IFERROR(VLOOKUP(DATOS!$I3084,CONFIG_ASIGNATURAS!$B$2:$J$91,9,FALSE()),""))</f>
      </c>
    </row>
    <row r="3085">
      <c r="F3085">
        <f>IF(DATOS!$A3085="","",DATOS!$A3085&amp;"|"&amp;DATOS!$D3085&amp;"|"&amp;DATOS!$E3085&amp;"|"&amp;DATOS!$I3085)</f>
      </c>
      <c r="G3085">
        <f>IF(DATOS!$A3085="",0,IF(CONFIG_METADATA!$B$4&lt;&gt;"OR+EX",--(DATOS!$G3085=CONFIG_METADATA!$B$4),IF(DATOS!$G3085="EX",1,IF(DATOS!$G3085="OR",--(COUNTIFS(nNIA,DATOS!$A3085,nCURSO,DATOS!$D3085,nESPEC,DATOS!$E3085,nASIG,DATOS!$I3085,nEVAL,"EX")=0),0))))</f>
      </c>
      <c r="H3085">
        <f>IF(DATOS!$G3085&lt;&gt;"EX",0,--(COUNTIFS(nNIA,DATOS!$A3085,nCURSO,DATOS!$D3085,nESPEC,DATOS!$E3085,nASIG,DATOS!$I3085,nEVAL,"OR")=0))</f>
      </c>
      <c r="I3085">
        <f>IF(DATOS!$I3085="","",IFERROR(VLOOKUP(DATOS!$I3085,CONFIG_ASIGNATURAS!$B$2:$J$91,9,FALSE()),""))</f>
      </c>
    </row>
    <row r="3086">
      <c r="F3086">
        <f>IF(DATOS!$A3086="","",DATOS!$A3086&amp;"|"&amp;DATOS!$D3086&amp;"|"&amp;DATOS!$E3086&amp;"|"&amp;DATOS!$I3086)</f>
      </c>
      <c r="G3086">
        <f>IF(DATOS!$A3086="",0,IF(CONFIG_METADATA!$B$4&lt;&gt;"OR+EX",--(DATOS!$G3086=CONFIG_METADATA!$B$4),IF(DATOS!$G3086="EX",1,IF(DATOS!$G3086="OR",--(COUNTIFS(nNIA,DATOS!$A3086,nCURSO,DATOS!$D3086,nESPEC,DATOS!$E3086,nASIG,DATOS!$I3086,nEVAL,"EX")=0),0))))</f>
      </c>
      <c r="H3086">
        <f>IF(DATOS!$G3086&lt;&gt;"EX",0,--(COUNTIFS(nNIA,DATOS!$A3086,nCURSO,DATOS!$D3086,nESPEC,DATOS!$E3086,nASIG,DATOS!$I3086,nEVAL,"OR")=0))</f>
      </c>
      <c r="I3086">
        <f>IF(DATOS!$I3086="","",IFERROR(VLOOKUP(DATOS!$I3086,CONFIG_ASIGNATURAS!$B$2:$J$91,9,FALSE()),""))</f>
      </c>
    </row>
    <row r="3087">
      <c r="F3087">
        <f>IF(DATOS!$A3087="","",DATOS!$A3087&amp;"|"&amp;DATOS!$D3087&amp;"|"&amp;DATOS!$E3087&amp;"|"&amp;DATOS!$I3087)</f>
      </c>
      <c r="G3087">
        <f>IF(DATOS!$A3087="",0,IF(CONFIG_METADATA!$B$4&lt;&gt;"OR+EX",--(DATOS!$G3087=CONFIG_METADATA!$B$4),IF(DATOS!$G3087="EX",1,IF(DATOS!$G3087="OR",--(COUNTIFS(nNIA,DATOS!$A3087,nCURSO,DATOS!$D3087,nESPEC,DATOS!$E3087,nASIG,DATOS!$I3087,nEVAL,"EX")=0),0))))</f>
      </c>
      <c r="H3087">
        <f>IF(DATOS!$G3087&lt;&gt;"EX",0,--(COUNTIFS(nNIA,DATOS!$A3087,nCURSO,DATOS!$D3087,nESPEC,DATOS!$E3087,nASIG,DATOS!$I3087,nEVAL,"OR")=0))</f>
      </c>
      <c r="I3087">
        <f>IF(DATOS!$I3087="","",IFERROR(VLOOKUP(DATOS!$I3087,CONFIG_ASIGNATURAS!$B$2:$J$91,9,FALSE()),""))</f>
      </c>
    </row>
    <row r="3088">
      <c r="F3088">
        <f>IF(DATOS!$A3088="","",DATOS!$A3088&amp;"|"&amp;DATOS!$D3088&amp;"|"&amp;DATOS!$E3088&amp;"|"&amp;DATOS!$I3088)</f>
      </c>
      <c r="G3088">
        <f>IF(DATOS!$A3088="",0,IF(CONFIG_METADATA!$B$4&lt;&gt;"OR+EX",--(DATOS!$G3088=CONFIG_METADATA!$B$4),IF(DATOS!$G3088="EX",1,IF(DATOS!$G3088="OR",--(COUNTIFS(nNIA,DATOS!$A3088,nCURSO,DATOS!$D3088,nESPEC,DATOS!$E3088,nASIG,DATOS!$I3088,nEVAL,"EX")=0),0))))</f>
      </c>
      <c r="H3088">
        <f>IF(DATOS!$G3088&lt;&gt;"EX",0,--(COUNTIFS(nNIA,DATOS!$A3088,nCURSO,DATOS!$D3088,nESPEC,DATOS!$E3088,nASIG,DATOS!$I3088,nEVAL,"OR")=0))</f>
      </c>
      <c r="I3088">
        <f>IF(DATOS!$I3088="","",IFERROR(VLOOKUP(DATOS!$I3088,CONFIG_ASIGNATURAS!$B$2:$J$91,9,FALSE()),""))</f>
      </c>
    </row>
    <row r="3089">
      <c r="F3089">
        <f>IF(DATOS!$A3089="","",DATOS!$A3089&amp;"|"&amp;DATOS!$D3089&amp;"|"&amp;DATOS!$E3089&amp;"|"&amp;DATOS!$I3089)</f>
      </c>
      <c r="G3089">
        <f>IF(DATOS!$A3089="",0,IF(CONFIG_METADATA!$B$4&lt;&gt;"OR+EX",--(DATOS!$G3089=CONFIG_METADATA!$B$4),IF(DATOS!$G3089="EX",1,IF(DATOS!$G3089="OR",--(COUNTIFS(nNIA,DATOS!$A3089,nCURSO,DATOS!$D3089,nESPEC,DATOS!$E3089,nASIG,DATOS!$I3089,nEVAL,"EX")=0),0))))</f>
      </c>
      <c r="H3089">
        <f>IF(DATOS!$G3089&lt;&gt;"EX",0,--(COUNTIFS(nNIA,DATOS!$A3089,nCURSO,DATOS!$D3089,nESPEC,DATOS!$E3089,nASIG,DATOS!$I3089,nEVAL,"OR")=0))</f>
      </c>
      <c r="I3089">
        <f>IF(DATOS!$I3089="","",IFERROR(VLOOKUP(DATOS!$I3089,CONFIG_ASIGNATURAS!$B$2:$J$91,9,FALSE()),""))</f>
      </c>
    </row>
    <row r="3090">
      <c r="F3090">
        <f>IF(DATOS!$A3090="","",DATOS!$A3090&amp;"|"&amp;DATOS!$D3090&amp;"|"&amp;DATOS!$E3090&amp;"|"&amp;DATOS!$I3090)</f>
      </c>
      <c r="G3090">
        <f>IF(DATOS!$A3090="",0,IF(CONFIG_METADATA!$B$4&lt;&gt;"OR+EX",--(DATOS!$G3090=CONFIG_METADATA!$B$4),IF(DATOS!$G3090="EX",1,IF(DATOS!$G3090="OR",--(COUNTIFS(nNIA,DATOS!$A3090,nCURSO,DATOS!$D3090,nESPEC,DATOS!$E3090,nASIG,DATOS!$I3090,nEVAL,"EX")=0),0))))</f>
      </c>
      <c r="H3090">
        <f>IF(DATOS!$G3090&lt;&gt;"EX",0,--(COUNTIFS(nNIA,DATOS!$A3090,nCURSO,DATOS!$D3090,nESPEC,DATOS!$E3090,nASIG,DATOS!$I3090,nEVAL,"OR")=0))</f>
      </c>
      <c r="I3090">
        <f>IF(DATOS!$I3090="","",IFERROR(VLOOKUP(DATOS!$I3090,CONFIG_ASIGNATURAS!$B$2:$J$91,9,FALSE()),""))</f>
      </c>
    </row>
    <row r="3091">
      <c r="F3091">
        <f>IF(DATOS!$A3091="","",DATOS!$A3091&amp;"|"&amp;DATOS!$D3091&amp;"|"&amp;DATOS!$E3091&amp;"|"&amp;DATOS!$I3091)</f>
      </c>
      <c r="G3091">
        <f>IF(DATOS!$A3091="",0,IF(CONFIG_METADATA!$B$4&lt;&gt;"OR+EX",--(DATOS!$G3091=CONFIG_METADATA!$B$4),IF(DATOS!$G3091="EX",1,IF(DATOS!$G3091="OR",--(COUNTIFS(nNIA,DATOS!$A3091,nCURSO,DATOS!$D3091,nESPEC,DATOS!$E3091,nASIG,DATOS!$I3091,nEVAL,"EX")=0),0))))</f>
      </c>
      <c r="H3091">
        <f>IF(DATOS!$G3091&lt;&gt;"EX",0,--(COUNTIFS(nNIA,DATOS!$A3091,nCURSO,DATOS!$D3091,nESPEC,DATOS!$E3091,nASIG,DATOS!$I3091,nEVAL,"OR")=0))</f>
      </c>
      <c r="I3091">
        <f>IF(DATOS!$I3091="","",IFERROR(VLOOKUP(DATOS!$I3091,CONFIG_ASIGNATURAS!$B$2:$J$91,9,FALSE()),""))</f>
      </c>
    </row>
    <row r="3092">
      <c r="F3092">
        <f>IF(DATOS!$A3092="","",DATOS!$A3092&amp;"|"&amp;DATOS!$D3092&amp;"|"&amp;DATOS!$E3092&amp;"|"&amp;DATOS!$I3092)</f>
      </c>
      <c r="G3092">
        <f>IF(DATOS!$A3092="",0,IF(CONFIG_METADATA!$B$4&lt;&gt;"OR+EX",--(DATOS!$G3092=CONFIG_METADATA!$B$4),IF(DATOS!$G3092="EX",1,IF(DATOS!$G3092="OR",--(COUNTIFS(nNIA,DATOS!$A3092,nCURSO,DATOS!$D3092,nESPEC,DATOS!$E3092,nASIG,DATOS!$I3092,nEVAL,"EX")=0),0))))</f>
      </c>
      <c r="H3092">
        <f>IF(DATOS!$G3092&lt;&gt;"EX",0,--(COUNTIFS(nNIA,DATOS!$A3092,nCURSO,DATOS!$D3092,nESPEC,DATOS!$E3092,nASIG,DATOS!$I3092,nEVAL,"OR")=0))</f>
      </c>
      <c r="I3092">
        <f>IF(DATOS!$I3092="","",IFERROR(VLOOKUP(DATOS!$I3092,CONFIG_ASIGNATURAS!$B$2:$J$91,9,FALSE()),""))</f>
      </c>
    </row>
    <row r="3093">
      <c r="F3093">
        <f>IF(DATOS!$A3093="","",DATOS!$A3093&amp;"|"&amp;DATOS!$D3093&amp;"|"&amp;DATOS!$E3093&amp;"|"&amp;DATOS!$I3093)</f>
      </c>
      <c r="G3093">
        <f>IF(DATOS!$A3093="",0,IF(CONFIG_METADATA!$B$4&lt;&gt;"OR+EX",--(DATOS!$G3093=CONFIG_METADATA!$B$4),IF(DATOS!$G3093="EX",1,IF(DATOS!$G3093="OR",--(COUNTIFS(nNIA,DATOS!$A3093,nCURSO,DATOS!$D3093,nESPEC,DATOS!$E3093,nASIG,DATOS!$I3093,nEVAL,"EX")=0),0))))</f>
      </c>
      <c r="H3093">
        <f>IF(DATOS!$G3093&lt;&gt;"EX",0,--(COUNTIFS(nNIA,DATOS!$A3093,nCURSO,DATOS!$D3093,nESPEC,DATOS!$E3093,nASIG,DATOS!$I3093,nEVAL,"OR")=0))</f>
      </c>
      <c r="I3093">
        <f>IF(DATOS!$I3093="","",IFERROR(VLOOKUP(DATOS!$I3093,CONFIG_ASIGNATURAS!$B$2:$J$91,9,FALSE()),""))</f>
      </c>
    </row>
    <row r="3094">
      <c r="F3094">
        <f>IF(DATOS!$A3094="","",DATOS!$A3094&amp;"|"&amp;DATOS!$D3094&amp;"|"&amp;DATOS!$E3094&amp;"|"&amp;DATOS!$I3094)</f>
      </c>
      <c r="G3094">
        <f>IF(DATOS!$A3094="",0,IF(CONFIG_METADATA!$B$4&lt;&gt;"OR+EX",--(DATOS!$G3094=CONFIG_METADATA!$B$4),IF(DATOS!$G3094="EX",1,IF(DATOS!$G3094="OR",--(COUNTIFS(nNIA,DATOS!$A3094,nCURSO,DATOS!$D3094,nESPEC,DATOS!$E3094,nASIG,DATOS!$I3094,nEVAL,"EX")=0),0))))</f>
      </c>
      <c r="H3094">
        <f>IF(DATOS!$G3094&lt;&gt;"EX",0,--(COUNTIFS(nNIA,DATOS!$A3094,nCURSO,DATOS!$D3094,nESPEC,DATOS!$E3094,nASIG,DATOS!$I3094,nEVAL,"OR")=0))</f>
      </c>
      <c r="I3094">
        <f>IF(DATOS!$I3094="","",IFERROR(VLOOKUP(DATOS!$I3094,CONFIG_ASIGNATURAS!$B$2:$J$91,9,FALSE()),""))</f>
      </c>
    </row>
    <row r="3095">
      <c r="F3095">
        <f>IF(DATOS!$A3095="","",DATOS!$A3095&amp;"|"&amp;DATOS!$D3095&amp;"|"&amp;DATOS!$E3095&amp;"|"&amp;DATOS!$I3095)</f>
      </c>
      <c r="G3095">
        <f>IF(DATOS!$A3095="",0,IF(CONFIG_METADATA!$B$4&lt;&gt;"OR+EX",--(DATOS!$G3095=CONFIG_METADATA!$B$4),IF(DATOS!$G3095="EX",1,IF(DATOS!$G3095="OR",--(COUNTIFS(nNIA,DATOS!$A3095,nCURSO,DATOS!$D3095,nESPEC,DATOS!$E3095,nASIG,DATOS!$I3095,nEVAL,"EX")=0),0))))</f>
      </c>
      <c r="H3095">
        <f>IF(DATOS!$G3095&lt;&gt;"EX",0,--(COUNTIFS(nNIA,DATOS!$A3095,nCURSO,DATOS!$D3095,nESPEC,DATOS!$E3095,nASIG,DATOS!$I3095,nEVAL,"OR")=0))</f>
      </c>
      <c r="I3095">
        <f>IF(DATOS!$I3095="","",IFERROR(VLOOKUP(DATOS!$I3095,CONFIG_ASIGNATURAS!$B$2:$J$91,9,FALSE()),""))</f>
      </c>
    </row>
    <row r="3096">
      <c r="F3096">
        <f>IF(DATOS!$A3096="","",DATOS!$A3096&amp;"|"&amp;DATOS!$D3096&amp;"|"&amp;DATOS!$E3096&amp;"|"&amp;DATOS!$I3096)</f>
      </c>
      <c r="G3096">
        <f>IF(DATOS!$A3096="",0,IF(CONFIG_METADATA!$B$4&lt;&gt;"OR+EX",--(DATOS!$G3096=CONFIG_METADATA!$B$4),IF(DATOS!$G3096="EX",1,IF(DATOS!$G3096="OR",--(COUNTIFS(nNIA,DATOS!$A3096,nCURSO,DATOS!$D3096,nESPEC,DATOS!$E3096,nASIG,DATOS!$I3096,nEVAL,"EX")=0),0))))</f>
      </c>
      <c r="H3096">
        <f>IF(DATOS!$G3096&lt;&gt;"EX",0,--(COUNTIFS(nNIA,DATOS!$A3096,nCURSO,DATOS!$D3096,nESPEC,DATOS!$E3096,nASIG,DATOS!$I3096,nEVAL,"OR")=0))</f>
      </c>
      <c r="I3096">
        <f>IF(DATOS!$I3096="","",IFERROR(VLOOKUP(DATOS!$I3096,CONFIG_ASIGNATURAS!$B$2:$J$91,9,FALSE()),""))</f>
      </c>
    </row>
    <row r="3097">
      <c r="F3097">
        <f>IF(DATOS!$A3097="","",DATOS!$A3097&amp;"|"&amp;DATOS!$D3097&amp;"|"&amp;DATOS!$E3097&amp;"|"&amp;DATOS!$I3097)</f>
      </c>
      <c r="G3097">
        <f>IF(DATOS!$A3097="",0,IF(CONFIG_METADATA!$B$4&lt;&gt;"OR+EX",--(DATOS!$G3097=CONFIG_METADATA!$B$4),IF(DATOS!$G3097="EX",1,IF(DATOS!$G3097="OR",--(COUNTIFS(nNIA,DATOS!$A3097,nCURSO,DATOS!$D3097,nESPEC,DATOS!$E3097,nASIG,DATOS!$I3097,nEVAL,"EX")=0),0))))</f>
      </c>
      <c r="H3097">
        <f>IF(DATOS!$G3097&lt;&gt;"EX",0,--(COUNTIFS(nNIA,DATOS!$A3097,nCURSO,DATOS!$D3097,nESPEC,DATOS!$E3097,nASIG,DATOS!$I3097,nEVAL,"OR")=0))</f>
      </c>
      <c r="I3097">
        <f>IF(DATOS!$I3097="","",IFERROR(VLOOKUP(DATOS!$I3097,CONFIG_ASIGNATURAS!$B$2:$J$91,9,FALSE()),""))</f>
      </c>
    </row>
    <row r="3098">
      <c r="F3098">
        <f>IF(DATOS!$A3098="","",DATOS!$A3098&amp;"|"&amp;DATOS!$D3098&amp;"|"&amp;DATOS!$E3098&amp;"|"&amp;DATOS!$I3098)</f>
      </c>
      <c r="G3098">
        <f>IF(DATOS!$A3098="",0,IF(CONFIG_METADATA!$B$4&lt;&gt;"OR+EX",--(DATOS!$G3098=CONFIG_METADATA!$B$4),IF(DATOS!$G3098="EX",1,IF(DATOS!$G3098="OR",--(COUNTIFS(nNIA,DATOS!$A3098,nCURSO,DATOS!$D3098,nESPEC,DATOS!$E3098,nASIG,DATOS!$I3098,nEVAL,"EX")=0),0))))</f>
      </c>
      <c r="H3098">
        <f>IF(DATOS!$G3098&lt;&gt;"EX",0,--(COUNTIFS(nNIA,DATOS!$A3098,nCURSO,DATOS!$D3098,nESPEC,DATOS!$E3098,nASIG,DATOS!$I3098,nEVAL,"OR")=0))</f>
      </c>
      <c r="I3098">
        <f>IF(DATOS!$I3098="","",IFERROR(VLOOKUP(DATOS!$I3098,CONFIG_ASIGNATURAS!$B$2:$J$91,9,FALSE()),""))</f>
      </c>
    </row>
    <row r="3099">
      <c r="F3099">
        <f>IF(DATOS!$A3099="","",DATOS!$A3099&amp;"|"&amp;DATOS!$D3099&amp;"|"&amp;DATOS!$E3099&amp;"|"&amp;DATOS!$I3099)</f>
      </c>
      <c r="G3099">
        <f>IF(DATOS!$A3099="",0,IF(CONFIG_METADATA!$B$4&lt;&gt;"OR+EX",--(DATOS!$G3099=CONFIG_METADATA!$B$4),IF(DATOS!$G3099="EX",1,IF(DATOS!$G3099="OR",--(COUNTIFS(nNIA,DATOS!$A3099,nCURSO,DATOS!$D3099,nESPEC,DATOS!$E3099,nASIG,DATOS!$I3099,nEVAL,"EX")=0),0))))</f>
      </c>
      <c r="H3099">
        <f>IF(DATOS!$G3099&lt;&gt;"EX",0,--(COUNTIFS(nNIA,DATOS!$A3099,nCURSO,DATOS!$D3099,nESPEC,DATOS!$E3099,nASIG,DATOS!$I3099,nEVAL,"OR")=0))</f>
      </c>
      <c r="I3099">
        <f>IF(DATOS!$I3099="","",IFERROR(VLOOKUP(DATOS!$I3099,CONFIG_ASIGNATURAS!$B$2:$J$91,9,FALSE()),""))</f>
      </c>
    </row>
    <row r="3100">
      <c r="F3100">
        <f>IF(DATOS!$A3100="","",DATOS!$A3100&amp;"|"&amp;DATOS!$D3100&amp;"|"&amp;DATOS!$E3100&amp;"|"&amp;DATOS!$I3100)</f>
      </c>
      <c r="G3100">
        <f>IF(DATOS!$A3100="",0,IF(CONFIG_METADATA!$B$4&lt;&gt;"OR+EX",--(DATOS!$G3100=CONFIG_METADATA!$B$4),IF(DATOS!$G3100="EX",1,IF(DATOS!$G3100="OR",--(COUNTIFS(nNIA,DATOS!$A3100,nCURSO,DATOS!$D3100,nESPEC,DATOS!$E3100,nASIG,DATOS!$I3100,nEVAL,"EX")=0),0))))</f>
      </c>
      <c r="H3100">
        <f>IF(DATOS!$G3100&lt;&gt;"EX",0,--(COUNTIFS(nNIA,DATOS!$A3100,nCURSO,DATOS!$D3100,nESPEC,DATOS!$E3100,nASIG,DATOS!$I3100,nEVAL,"OR")=0))</f>
      </c>
      <c r="I3100">
        <f>IF(DATOS!$I3100="","",IFERROR(VLOOKUP(DATOS!$I3100,CONFIG_ASIGNATURAS!$B$2:$J$91,9,FALSE()),""))</f>
      </c>
    </row>
    <row r="3101">
      <c r="F3101">
        <f>IF(DATOS!$A3101="","",DATOS!$A3101&amp;"|"&amp;DATOS!$D3101&amp;"|"&amp;DATOS!$E3101&amp;"|"&amp;DATOS!$I3101)</f>
      </c>
      <c r="G3101">
        <f>IF(DATOS!$A3101="",0,IF(CONFIG_METADATA!$B$4&lt;&gt;"OR+EX",--(DATOS!$G3101=CONFIG_METADATA!$B$4),IF(DATOS!$G3101="EX",1,IF(DATOS!$G3101="OR",--(COUNTIFS(nNIA,DATOS!$A3101,nCURSO,DATOS!$D3101,nESPEC,DATOS!$E3101,nASIG,DATOS!$I3101,nEVAL,"EX")=0),0))))</f>
      </c>
      <c r="H3101">
        <f>IF(DATOS!$G3101&lt;&gt;"EX",0,--(COUNTIFS(nNIA,DATOS!$A3101,nCURSO,DATOS!$D3101,nESPEC,DATOS!$E3101,nASIG,DATOS!$I3101,nEVAL,"OR")=0))</f>
      </c>
      <c r="I3101">
        <f>IF(DATOS!$I3101="","",IFERROR(VLOOKUP(DATOS!$I3101,CONFIG_ASIGNATURAS!$B$2:$J$91,9,FALSE()),""))</f>
      </c>
    </row>
    <row r="3102">
      <c r="F3102">
        <f>IF(DATOS!$A3102="","",DATOS!$A3102&amp;"|"&amp;DATOS!$D3102&amp;"|"&amp;DATOS!$E3102&amp;"|"&amp;DATOS!$I3102)</f>
      </c>
      <c r="G3102">
        <f>IF(DATOS!$A3102="",0,IF(CONFIG_METADATA!$B$4&lt;&gt;"OR+EX",--(DATOS!$G3102=CONFIG_METADATA!$B$4),IF(DATOS!$G3102="EX",1,IF(DATOS!$G3102="OR",--(COUNTIFS(nNIA,DATOS!$A3102,nCURSO,DATOS!$D3102,nESPEC,DATOS!$E3102,nASIG,DATOS!$I3102,nEVAL,"EX")=0),0))))</f>
      </c>
      <c r="H3102">
        <f>IF(DATOS!$G3102&lt;&gt;"EX",0,--(COUNTIFS(nNIA,DATOS!$A3102,nCURSO,DATOS!$D3102,nESPEC,DATOS!$E3102,nASIG,DATOS!$I3102,nEVAL,"OR")=0))</f>
      </c>
      <c r="I3102">
        <f>IF(DATOS!$I3102="","",IFERROR(VLOOKUP(DATOS!$I3102,CONFIG_ASIGNATURAS!$B$2:$J$91,9,FALSE()),""))</f>
      </c>
    </row>
    <row r="3103">
      <c r="F3103">
        <f>IF(DATOS!$A3103="","",DATOS!$A3103&amp;"|"&amp;DATOS!$D3103&amp;"|"&amp;DATOS!$E3103&amp;"|"&amp;DATOS!$I3103)</f>
      </c>
      <c r="G3103">
        <f>IF(DATOS!$A3103="",0,IF(CONFIG_METADATA!$B$4&lt;&gt;"OR+EX",--(DATOS!$G3103=CONFIG_METADATA!$B$4),IF(DATOS!$G3103="EX",1,IF(DATOS!$G3103="OR",--(COUNTIFS(nNIA,DATOS!$A3103,nCURSO,DATOS!$D3103,nESPEC,DATOS!$E3103,nASIG,DATOS!$I3103,nEVAL,"EX")=0),0))))</f>
      </c>
      <c r="H3103">
        <f>IF(DATOS!$G3103&lt;&gt;"EX",0,--(COUNTIFS(nNIA,DATOS!$A3103,nCURSO,DATOS!$D3103,nESPEC,DATOS!$E3103,nASIG,DATOS!$I3103,nEVAL,"OR")=0))</f>
      </c>
      <c r="I3103">
        <f>IF(DATOS!$I3103="","",IFERROR(VLOOKUP(DATOS!$I3103,CONFIG_ASIGNATURAS!$B$2:$J$91,9,FALSE()),""))</f>
      </c>
    </row>
    <row r="3104">
      <c r="F3104">
        <f>IF(DATOS!$A3104="","",DATOS!$A3104&amp;"|"&amp;DATOS!$D3104&amp;"|"&amp;DATOS!$E3104&amp;"|"&amp;DATOS!$I3104)</f>
      </c>
      <c r="G3104">
        <f>IF(DATOS!$A3104="",0,IF(CONFIG_METADATA!$B$4&lt;&gt;"OR+EX",--(DATOS!$G3104=CONFIG_METADATA!$B$4),IF(DATOS!$G3104="EX",1,IF(DATOS!$G3104="OR",--(COUNTIFS(nNIA,DATOS!$A3104,nCURSO,DATOS!$D3104,nESPEC,DATOS!$E3104,nASIG,DATOS!$I3104,nEVAL,"EX")=0),0))))</f>
      </c>
      <c r="H3104">
        <f>IF(DATOS!$G3104&lt;&gt;"EX",0,--(COUNTIFS(nNIA,DATOS!$A3104,nCURSO,DATOS!$D3104,nESPEC,DATOS!$E3104,nASIG,DATOS!$I3104,nEVAL,"OR")=0))</f>
      </c>
      <c r="I3104">
        <f>IF(DATOS!$I3104="","",IFERROR(VLOOKUP(DATOS!$I3104,CONFIG_ASIGNATURAS!$B$2:$J$91,9,FALSE()),""))</f>
      </c>
    </row>
    <row r="3105">
      <c r="F3105">
        <f>IF(DATOS!$A3105="","",DATOS!$A3105&amp;"|"&amp;DATOS!$D3105&amp;"|"&amp;DATOS!$E3105&amp;"|"&amp;DATOS!$I3105)</f>
      </c>
      <c r="G3105">
        <f>IF(DATOS!$A3105="",0,IF(CONFIG_METADATA!$B$4&lt;&gt;"OR+EX",--(DATOS!$G3105=CONFIG_METADATA!$B$4),IF(DATOS!$G3105="EX",1,IF(DATOS!$G3105="OR",--(COUNTIFS(nNIA,DATOS!$A3105,nCURSO,DATOS!$D3105,nESPEC,DATOS!$E3105,nASIG,DATOS!$I3105,nEVAL,"EX")=0),0))))</f>
      </c>
      <c r="H3105">
        <f>IF(DATOS!$G3105&lt;&gt;"EX",0,--(COUNTIFS(nNIA,DATOS!$A3105,nCURSO,DATOS!$D3105,nESPEC,DATOS!$E3105,nASIG,DATOS!$I3105,nEVAL,"OR")=0))</f>
      </c>
      <c r="I3105">
        <f>IF(DATOS!$I3105="","",IFERROR(VLOOKUP(DATOS!$I3105,CONFIG_ASIGNATURAS!$B$2:$J$91,9,FALSE()),""))</f>
      </c>
    </row>
    <row r="3106">
      <c r="F3106">
        <f>IF(DATOS!$A3106="","",DATOS!$A3106&amp;"|"&amp;DATOS!$D3106&amp;"|"&amp;DATOS!$E3106&amp;"|"&amp;DATOS!$I3106)</f>
      </c>
      <c r="G3106">
        <f>IF(DATOS!$A3106="",0,IF(CONFIG_METADATA!$B$4&lt;&gt;"OR+EX",--(DATOS!$G3106=CONFIG_METADATA!$B$4),IF(DATOS!$G3106="EX",1,IF(DATOS!$G3106="OR",--(COUNTIFS(nNIA,DATOS!$A3106,nCURSO,DATOS!$D3106,nESPEC,DATOS!$E3106,nASIG,DATOS!$I3106,nEVAL,"EX")=0),0))))</f>
      </c>
      <c r="H3106">
        <f>IF(DATOS!$G3106&lt;&gt;"EX",0,--(COUNTIFS(nNIA,DATOS!$A3106,nCURSO,DATOS!$D3106,nESPEC,DATOS!$E3106,nASIG,DATOS!$I3106,nEVAL,"OR")=0))</f>
      </c>
      <c r="I3106">
        <f>IF(DATOS!$I3106="","",IFERROR(VLOOKUP(DATOS!$I3106,CONFIG_ASIGNATURAS!$B$2:$J$91,9,FALSE()),""))</f>
      </c>
    </row>
    <row r="3107">
      <c r="F3107">
        <f>IF(DATOS!$A3107="","",DATOS!$A3107&amp;"|"&amp;DATOS!$D3107&amp;"|"&amp;DATOS!$E3107&amp;"|"&amp;DATOS!$I3107)</f>
      </c>
      <c r="G3107">
        <f>IF(DATOS!$A3107="",0,IF(CONFIG_METADATA!$B$4&lt;&gt;"OR+EX",--(DATOS!$G3107=CONFIG_METADATA!$B$4),IF(DATOS!$G3107="EX",1,IF(DATOS!$G3107="OR",--(COUNTIFS(nNIA,DATOS!$A3107,nCURSO,DATOS!$D3107,nESPEC,DATOS!$E3107,nASIG,DATOS!$I3107,nEVAL,"EX")=0),0))))</f>
      </c>
      <c r="H3107">
        <f>IF(DATOS!$G3107&lt;&gt;"EX",0,--(COUNTIFS(nNIA,DATOS!$A3107,nCURSO,DATOS!$D3107,nESPEC,DATOS!$E3107,nASIG,DATOS!$I3107,nEVAL,"OR")=0))</f>
      </c>
      <c r="I3107">
        <f>IF(DATOS!$I3107="","",IFERROR(VLOOKUP(DATOS!$I3107,CONFIG_ASIGNATURAS!$B$2:$J$91,9,FALSE()),""))</f>
      </c>
    </row>
    <row r="3108">
      <c r="F3108">
        <f>IF(DATOS!$A3108="","",DATOS!$A3108&amp;"|"&amp;DATOS!$D3108&amp;"|"&amp;DATOS!$E3108&amp;"|"&amp;DATOS!$I3108)</f>
      </c>
      <c r="G3108">
        <f>IF(DATOS!$A3108="",0,IF(CONFIG_METADATA!$B$4&lt;&gt;"OR+EX",--(DATOS!$G3108=CONFIG_METADATA!$B$4),IF(DATOS!$G3108="EX",1,IF(DATOS!$G3108="OR",--(COUNTIFS(nNIA,DATOS!$A3108,nCURSO,DATOS!$D3108,nESPEC,DATOS!$E3108,nASIG,DATOS!$I3108,nEVAL,"EX")=0),0))))</f>
      </c>
      <c r="H3108">
        <f>IF(DATOS!$G3108&lt;&gt;"EX",0,--(COUNTIFS(nNIA,DATOS!$A3108,nCURSO,DATOS!$D3108,nESPEC,DATOS!$E3108,nASIG,DATOS!$I3108,nEVAL,"OR")=0))</f>
      </c>
      <c r="I3108">
        <f>IF(DATOS!$I3108="","",IFERROR(VLOOKUP(DATOS!$I3108,CONFIG_ASIGNATURAS!$B$2:$J$91,9,FALSE()),""))</f>
      </c>
    </row>
    <row r="3109">
      <c r="F3109">
        <f>IF(DATOS!$A3109="","",DATOS!$A3109&amp;"|"&amp;DATOS!$D3109&amp;"|"&amp;DATOS!$E3109&amp;"|"&amp;DATOS!$I3109)</f>
      </c>
      <c r="G3109">
        <f>IF(DATOS!$A3109="",0,IF(CONFIG_METADATA!$B$4&lt;&gt;"OR+EX",--(DATOS!$G3109=CONFIG_METADATA!$B$4),IF(DATOS!$G3109="EX",1,IF(DATOS!$G3109="OR",--(COUNTIFS(nNIA,DATOS!$A3109,nCURSO,DATOS!$D3109,nESPEC,DATOS!$E3109,nASIG,DATOS!$I3109,nEVAL,"EX")=0),0))))</f>
      </c>
      <c r="H3109">
        <f>IF(DATOS!$G3109&lt;&gt;"EX",0,--(COUNTIFS(nNIA,DATOS!$A3109,nCURSO,DATOS!$D3109,nESPEC,DATOS!$E3109,nASIG,DATOS!$I3109,nEVAL,"OR")=0))</f>
      </c>
      <c r="I3109">
        <f>IF(DATOS!$I3109="","",IFERROR(VLOOKUP(DATOS!$I3109,CONFIG_ASIGNATURAS!$B$2:$J$91,9,FALSE()),""))</f>
      </c>
    </row>
    <row r="3110">
      <c r="F3110">
        <f>IF(DATOS!$A3110="","",DATOS!$A3110&amp;"|"&amp;DATOS!$D3110&amp;"|"&amp;DATOS!$E3110&amp;"|"&amp;DATOS!$I3110)</f>
      </c>
      <c r="G3110">
        <f>IF(DATOS!$A3110="",0,IF(CONFIG_METADATA!$B$4&lt;&gt;"OR+EX",--(DATOS!$G3110=CONFIG_METADATA!$B$4),IF(DATOS!$G3110="EX",1,IF(DATOS!$G3110="OR",--(COUNTIFS(nNIA,DATOS!$A3110,nCURSO,DATOS!$D3110,nESPEC,DATOS!$E3110,nASIG,DATOS!$I3110,nEVAL,"EX")=0),0))))</f>
      </c>
      <c r="H3110">
        <f>IF(DATOS!$G3110&lt;&gt;"EX",0,--(COUNTIFS(nNIA,DATOS!$A3110,nCURSO,DATOS!$D3110,nESPEC,DATOS!$E3110,nASIG,DATOS!$I3110,nEVAL,"OR")=0))</f>
      </c>
      <c r="I3110">
        <f>IF(DATOS!$I3110="","",IFERROR(VLOOKUP(DATOS!$I3110,CONFIG_ASIGNATURAS!$B$2:$J$91,9,FALSE()),""))</f>
      </c>
    </row>
    <row r="3111">
      <c r="F3111">
        <f>IF(DATOS!$A3111="","",DATOS!$A3111&amp;"|"&amp;DATOS!$D3111&amp;"|"&amp;DATOS!$E3111&amp;"|"&amp;DATOS!$I3111)</f>
      </c>
      <c r="G3111">
        <f>IF(DATOS!$A3111="",0,IF(CONFIG_METADATA!$B$4&lt;&gt;"OR+EX",--(DATOS!$G3111=CONFIG_METADATA!$B$4),IF(DATOS!$G3111="EX",1,IF(DATOS!$G3111="OR",--(COUNTIFS(nNIA,DATOS!$A3111,nCURSO,DATOS!$D3111,nESPEC,DATOS!$E3111,nASIG,DATOS!$I3111,nEVAL,"EX")=0),0))))</f>
      </c>
      <c r="H3111">
        <f>IF(DATOS!$G3111&lt;&gt;"EX",0,--(COUNTIFS(nNIA,DATOS!$A3111,nCURSO,DATOS!$D3111,nESPEC,DATOS!$E3111,nASIG,DATOS!$I3111,nEVAL,"OR")=0))</f>
      </c>
      <c r="I3111">
        <f>IF(DATOS!$I3111="","",IFERROR(VLOOKUP(DATOS!$I3111,CONFIG_ASIGNATURAS!$B$2:$J$91,9,FALSE()),""))</f>
      </c>
    </row>
    <row r="3112">
      <c r="F3112">
        <f>IF(DATOS!$A3112="","",DATOS!$A3112&amp;"|"&amp;DATOS!$D3112&amp;"|"&amp;DATOS!$E3112&amp;"|"&amp;DATOS!$I3112)</f>
      </c>
      <c r="G3112">
        <f>IF(DATOS!$A3112="",0,IF(CONFIG_METADATA!$B$4&lt;&gt;"OR+EX",--(DATOS!$G3112=CONFIG_METADATA!$B$4),IF(DATOS!$G3112="EX",1,IF(DATOS!$G3112="OR",--(COUNTIFS(nNIA,DATOS!$A3112,nCURSO,DATOS!$D3112,nESPEC,DATOS!$E3112,nASIG,DATOS!$I3112,nEVAL,"EX")=0),0))))</f>
      </c>
      <c r="H3112">
        <f>IF(DATOS!$G3112&lt;&gt;"EX",0,--(COUNTIFS(nNIA,DATOS!$A3112,nCURSO,DATOS!$D3112,nESPEC,DATOS!$E3112,nASIG,DATOS!$I3112,nEVAL,"OR")=0))</f>
      </c>
      <c r="I3112">
        <f>IF(DATOS!$I3112="","",IFERROR(VLOOKUP(DATOS!$I3112,CONFIG_ASIGNATURAS!$B$2:$J$91,9,FALSE()),""))</f>
      </c>
    </row>
    <row r="3113">
      <c r="F3113">
        <f>IF(DATOS!$A3113="","",DATOS!$A3113&amp;"|"&amp;DATOS!$D3113&amp;"|"&amp;DATOS!$E3113&amp;"|"&amp;DATOS!$I3113)</f>
      </c>
      <c r="G3113">
        <f>IF(DATOS!$A3113="",0,IF(CONFIG_METADATA!$B$4&lt;&gt;"OR+EX",--(DATOS!$G3113=CONFIG_METADATA!$B$4),IF(DATOS!$G3113="EX",1,IF(DATOS!$G3113="OR",--(COUNTIFS(nNIA,DATOS!$A3113,nCURSO,DATOS!$D3113,nESPEC,DATOS!$E3113,nASIG,DATOS!$I3113,nEVAL,"EX")=0),0))))</f>
      </c>
      <c r="H3113">
        <f>IF(DATOS!$G3113&lt;&gt;"EX",0,--(COUNTIFS(nNIA,DATOS!$A3113,nCURSO,DATOS!$D3113,nESPEC,DATOS!$E3113,nASIG,DATOS!$I3113,nEVAL,"OR")=0))</f>
      </c>
      <c r="I3113">
        <f>IF(DATOS!$I3113="","",IFERROR(VLOOKUP(DATOS!$I3113,CONFIG_ASIGNATURAS!$B$2:$J$91,9,FALSE()),""))</f>
      </c>
    </row>
    <row r="3114">
      <c r="F3114">
        <f>IF(DATOS!$A3114="","",DATOS!$A3114&amp;"|"&amp;DATOS!$D3114&amp;"|"&amp;DATOS!$E3114&amp;"|"&amp;DATOS!$I3114)</f>
      </c>
      <c r="G3114">
        <f>IF(DATOS!$A3114="",0,IF(CONFIG_METADATA!$B$4&lt;&gt;"OR+EX",--(DATOS!$G3114=CONFIG_METADATA!$B$4),IF(DATOS!$G3114="EX",1,IF(DATOS!$G3114="OR",--(COUNTIFS(nNIA,DATOS!$A3114,nCURSO,DATOS!$D3114,nESPEC,DATOS!$E3114,nASIG,DATOS!$I3114,nEVAL,"EX")=0),0))))</f>
      </c>
      <c r="H3114">
        <f>IF(DATOS!$G3114&lt;&gt;"EX",0,--(COUNTIFS(nNIA,DATOS!$A3114,nCURSO,DATOS!$D3114,nESPEC,DATOS!$E3114,nASIG,DATOS!$I3114,nEVAL,"OR")=0))</f>
      </c>
      <c r="I3114">
        <f>IF(DATOS!$I3114="","",IFERROR(VLOOKUP(DATOS!$I3114,CONFIG_ASIGNATURAS!$B$2:$J$91,9,FALSE()),""))</f>
      </c>
    </row>
    <row r="3115">
      <c r="F3115">
        <f>IF(DATOS!$A3115="","",DATOS!$A3115&amp;"|"&amp;DATOS!$D3115&amp;"|"&amp;DATOS!$E3115&amp;"|"&amp;DATOS!$I3115)</f>
      </c>
      <c r="G3115">
        <f>IF(DATOS!$A3115="",0,IF(CONFIG_METADATA!$B$4&lt;&gt;"OR+EX",--(DATOS!$G3115=CONFIG_METADATA!$B$4),IF(DATOS!$G3115="EX",1,IF(DATOS!$G3115="OR",--(COUNTIFS(nNIA,DATOS!$A3115,nCURSO,DATOS!$D3115,nESPEC,DATOS!$E3115,nASIG,DATOS!$I3115,nEVAL,"EX")=0),0))))</f>
      </c>
      <c r="H3115">
        <f>IF(DATOS!$G3115&lt;&gt;"EX",0,--(COUNTIFS(nNIA,DATOS!$A3115,nCURSO,DATOS!$D3115,nESPEC,DATOS!$E3115,nASIG,DATOS!$I3115,nEVAL,"OR")=0))</f>
      </c>
      <c r="I3115">
        <f>IF(DATOS!$I3115="","",IFERROR(VLOOKUP(DATOS!$I3115,CONFIG_ASIGNATURAS!$B$2:$J$91,9,FALSE()),""))</f>
      </c>
    </row>
    <row r="3116">
      <c r="F3116">
        <f>IF(DATOS!$A3116="","",DATOS!$A3116&amp;"|"&amp;DATOS!$D3116&amp;"|"&amp;DATOS!$E3116&amp;"|"&amp;DATOS!$I3116)</f>
      </c>
      <c r="G3116">
        <f>IF(DATOS!$A3116="",0,IF(CONFIG_METADATA!$B$4&lt;&gt;"OR+EX",--(DATOS!$G3116=CONFIG_METADATA!$B$4),IF(DATOS!$G3116="EX",1,IF(DATOS!$G3116="OR",--(COUNTIFS(nNIA,DATOS!$A3116,nCURSO,DATOS!$D3116,nESPEC,DATOS!$E3116,nASIG,DATOS!$I3116,nEVAL,"EX")=0),0))))</f>
      </c>
      <c r="H3116">
        <f>IF(DATOS!$G3116&lt;&gt;"EX",0,--(COUNTIFS(nNIA,DATOS!$A3116,nCURSO,DATOS!$D3116,nESPEC,DATOS!$E3116,nASIG,DATOS!$I3116,nEVAL,"OR")=0))</f>
      </c>
      <c r="I3116">
        <f>IF(DATOS!$I3116="","",IFERROR(VLOOKUP(DATOS!$I3116,CONFIG_ASIGNATURAS!$B$2:$J$91,9,FALSE()),""))</f>
      </c>
    </row>
    <row r="3117">
      <c r="F3117">
        <f>IF(DATOS!$A3117="","",DATOS!$A3117&amp;"|"&amp;DATOS!$D3117&amp;"|"&amp;DATOS!$E3117&amp;"|"&amp;DATOS!$I3117)</f>
      </c>
      <c r="G3117">
        <f>IF(DATOS!$A3117="",0,IF(CONFIG_METADATA!$B$4&lt;&gt;"OR+EX",--(DATOS!$G3117=CONFIG_METADATA!$B$4),IF(DATOS!$G3117="EX",1,IF(DATOS!$G3117="OR",--(COUNTIFS(nNIA,DATOS!$A3117,nCURSO,DATOS!$D3117,nESPEC,DATOS!$E3117,nASIG,DATOS!$I3117,nEVAL,"EX")=0),0))))</f>
      </c>
      <c r="H3117">
        <f>IF(DATOS!$G3117&lt;&gt;"EX",0,--(COUNTIFS(nNIA,DATOS!$A3117,nCURSO,DATOS!$D3117,nESPEC,DATOS!$E3117,nASIG,DATOS!$I3117,nEVAL,"OR")=0))</f>
      </c>
      <c r="I3117">
        <f>IF(DATOS!$I3117="","",IFERROR(VLOOKUP(DATOS!$I3117,CONFIG_ASIGNATURAS!$B$2:$J$91,9,FALSE()),""))</f>
      </c>
    </row>
    <row r="3118">
      <c r="F3118">
        <f>IF(DATOS!$A3118="","",DATOS!$A3118&amp;"|"&amp;DATOS!$D3118&amp;"|"&amp;DATOS!$E3118&amp;"|"&amp;DATOS!$I3118)</f>
      </c>
      <c r="G3118">
        <f>IF(DATOS!$A3118="",0,IF(CONFIG_METADATA!$B$4&lt;&gt;"OR+EX",--(DATOS!$G3118=CONFIG_METADATA!$B$4),IF(DATOS!$G3118="EX",1,IF(DATOS!$G3118="OR",--(COUNTIFS(nNIA,DATOS!$A3118,nCURSO,DATOS!$D3118,nESPEC,DATOS!$E3118,nASIG,DATOS!$I3118,nEVAL,"EX")=0),0))))</f>
      </c>
      <c r="H3118">
        <f>IF(DATOS!$G3118&lt;&gt;"EX",0,--(COUNTIFS(nNIA,DATOS!$A3118,nCURSO,DATOS!$D3118,nESPEC,DATOS!$E3118,nASIG,DATOS!$I3118,nEVAL,"OR")=0))</f>
      </c>
      <c r="I3118">
        <f>IF(DATOS!$I3118="","",IFERROR(VLOOKUP(DATOS!$I3118,CONFIG_ASIGNATURAS!$B$2:$J$91,9,FALSE()),""))</f>
      </c>
    </row>
    <row r="3119">
      <c r="F3119">
        <f>IF(DATOS!$A3119="","",DATOS!$A3119&amp;"|"&amp;DATOS!$D3119&amp;"|"&amp;DATOS!$E3119&amp;"|"&amp;DATOS!$I3119)</f>
      </c>
      <c r="G3119">
        <f>IF(DATOS!$A3119="",0,IF(CONFIG_METADATA!$B$4&lt;&gt;"OR+EX",--(DATOS!$G3119=CONFIG_METADATA!$B$4),IF(DATOS!$G3119="EX",1,IF(DATOS!$G3119="OR",--(COUNTIFS(nNIA,DATOS!$A3119,nCURSO,DATOS!$D3119,nESPEC,DATOS!$E3119,nASIG,DATOS!$I3119,nEVAL,"EX")=0),0))))</f>
      </c>
      <c r="H3119">
        <f>IF(DATOS!$G3119&lt;&gt;"EX",0,--(COUNTIFS(nNIA,DATOS!$A3119,nCURSO,DATOS!$D3119,nESPEC,DATOS!$E3119,nASIG,DATOS!$I3119,nEVAL,"OR")=0))</f>
      </c>
      <c r="I3119">
        <f>IF(DATOS!$I3119="","",IFERROR(VLOOKUP(DATOS!$I3119,CONFIG_ASIGNATURAS!$B$2:$J$91,9,FALSE()),""))</f>
      </c>
    </row>
    <row r="3120">
      <c r="F3120">
        <f>IF(DATOS!$A3120="","",DATOS!$A3120&amp;"|"&amp;DATOS!$D3120&amp;"|"&amp;DATOS!$E3120&amp;"|"&amp;DATOS!$I3120)</f>
      </c>
      <c r="G3120">
        <f>IF(DATOS!$A3120="",0,IF(CONFIG_METADATA!$B$4&lt;&gt;"OR+EX",--(DATOS!$G3120=CONFIG_METADATA!$B$4),IF(DATOS!$G3120="EX",1,IF(DATOS!$G3120="OR",--(COUNTIFS(nNIA,DATOS!$A3120,nCURSO,DATOS!$D3120,nESPEC,DATOS!$E3120,nASIG,DATOS!$I3120,nEVAL,"EX")=0),0))))</f>
      </c>
      <c r="H3120">
        <f>IF(DATOS!$G3120&lt;&gt;"EX",0,--(COUNTIFS(nNIA,DATOS!$A3120,nCURSO,DATOS!$D3120,nESPEC,DATOS!$E3120,nASIG,DATOS!$I3120,nEVAL,"OR")=0))</f>
      </c>
      <c r="I3120">
        <f>IF(DATOS!$I3120="","",IFERROR(VLOOKUP(DATOS!$I3120,CONFIG_ASIGNATURAS!$B$2:$J$91,9,FALSE()),""))</f>
      </c>
    </row>
    <row r="3121">
      <c r="F3121">
        <f>IF(DATOS!$A3121="","",DATOS!$A3121&amp;"|"&amp;DATOS!$D3121&amp;"|"&amp;DATOS!$E3121&amp;"|"&amp;DATOS!$I3121)</f>
      </c>
      <c r="G3121">
        <f>IF(DATOS!$A3121="",0,IF(CONFIG_METADATA!$B$4&lt;&gt;"OR+EX",--(DATOS!$G3121=CONFIG_METADATA!$B$4),IF(DATOS!$G3121="EX",1,IF(DATOS!$G3121="OR",--(COUNTIFS(nNIA,DATOS!$A3121,nCURSO,DATOS!$D3121,nESPEC,DATOS!$E3121,nASIG,DATOS!$I3121,nEVAL,"EX")=0),0))))</f>
      </c>
      <c r="H3121">
        <f>IF(DATOS!$G3121&lt;&gt;"EX",0,--(COUNTIFS(nNIA,DATOS!$A3121,nCURSO,DATOS!$D3121,nESPEC,DATOS!$E3121,nASIG,DATOS!$I3121,nEVAL,"OR")=0))</f>
      </c>
      <c r="I3121">
        <f>IF(DATOS!$I3121="","",IFERROR(VLOOKUP(DATOS!$I3121,CONFIG_ASIGNATURAS!$B$2:$J$91,9,FALSE()),""))</f>
      </c>
    </row>
    <row r="3122">
      <c r="F3122">
        <f>IF(DATOS!$A3122="","",DATOS!$A3122&amp;"|"&amp;DATOS!$D3122&amp;"|"&amp;DATOS!$E3122&amp;"|"&amp;DATOS!$I3122)</f>
      </c>
      <c r="G3122">
        <f>IF(DATOS!$A3122="",0,IF(CONFIG_METADATA!$B$4&lt;&gt;"OR+EX",--(DATOS!$G3122=CONFIG_METADATA!$B$4),IF(DATOS!$G3122="EX",1,IF(DATOS!$G3122="OR",--(COUNTIFS(nNIA,DATOS!$A3122,nCURSO,DATOS!$D3122,nESPEC,DATOS!$E3122,nASIG,DATOS!$I3122,nEVAL,"EX")=0),0))))</f>
      </c>
      <c r="H3122">
        <f>IF(DATOS!$G3122&lt;&gt;"EX",0,--(COUNTIFS(nNIA,DATOS!$A3122,nCURSO,DATOS!$D3122,nESPEC,DATOS!$E3122,nASIG,DATOS!$I3122,nEVAL,"OR")=0))</f>
      </c>
      <c r="I3122">
        <f>IF(DATOS!$I3122="","",IFERROR(VLOOKUP(DATOS!$I3122,CONFIG_ASIGNATURAS!$B$2:$J$91,9,FALSE()),""))</f>
      </c>
    </row>
    <row r="3123">
      <c r="F3123">
        <f>IF(DATOS!$A3123="","",DATOS!$A3123&amp;"|"&amp;DATOS!$D3123&amp;"|"&amp;DATOS!$E3123&amp;"|"&amp;DATOS!$I3123)</f>
      </c>
      <c r="G3123">
        <f>IF(DATOS!$A3123="",0,IF(CONFIG_METADATA!$B$4&lt;&gt;"OR+EX",--(DATOS!$G3123=CONFIG_METADATA!$B$4),IF(DATOS!$G3123="EX",1,IF(DATOS!$G3123="OR",--(COUNTIFS(nNIA,DATOS!$A3123,nCURSO,DATOS!$D3123,nESPEC,DATOS!$E3123,nASIG,DATOS!$I3123,nEVAL,"EX")=0),0))))</f>
      </c>
      <c r="H3123">
        <f>IF(DATOS!$G3123&lt;&gt;"EX",0,--(COUNTIFS(nNIA,DATOS!$A3123,nCURSO,DATOS!$D3123,nESPEC,DATOS!$E3123,nASIG,DATOS!$I3123,nEVAL,"OR")=0))</f>
      </c>
      <c r="I3123">
        <f>IF(DATOS!$I3123="","",IFERROR(VLOOKUP(DATOS!$I3123,CONFIG_ASIGNATURAS!$B$2:$J$91,9,FALSE()),""))</f>
      </c>
    </row>
    <row r="3124">
      <c r="F3124">
        <f>IF(DATOS!$A3124="","",DATOS!$A3124&amp;"|"&amp;DATOS!$D3124&amp;"|"&amp;DATOS!$E3124&amp;"|"&amp;DATOS!$I3124)</f>
      </c>
      <c r="G3124">
        <f>IF(DATOS!$A3124="",0,IF(CONFIG_METADATA!$B$4&lt;&gt;"OR+EX",--(DATOS!$G3124=CONFIG_METADATA!$B$4),IF(DATOS!$G3124="EX",1,IF(DATOS!$G3124="OR",--(COUNTIFS(nNIA,DATOS!$A3124,nCURSO,DATOS!$D3124,nESPEC,DATOS!$E3124,nASIG,DATOS!$I3124,nEVAL,"EX")=0),0))))</f>
      </c>
      <c r="H3124">
        <f>IF(DATOS!$G3124&lt;&gt;"EX",0,--(COUNTIFS(nNIA,DATOS!$A3124,nCURSO,DATOS!$D3124,nESPEC,DATOS!$E3124,nASIG,DATOS!$I3124,nEVAL,"OR")=0))</f>
      </c>
      <c r="I3124">
        <f>IF(DATOS!$I3124="","",IFERROR(VLOOKUP(DATOS!$I3124,CONFIG_ASIGNATURAS!$B$2:$J$91,9,FALSE()),""))</f>
      </c>
    </row>
    <row r="3125">
      <c r="F3125">
        <f>IF(DATOS!$A3125="","",DATOS!$A3125&amp;"|"&amp;DATOS!$D3125&amp;"|"&amp;DATOS!$E3125&amp;"|"&amp;DATOS!$I3125)</f>
      </c>
      <c r="G3125">
        <f>IF(DATOS!$A3125="",0,IF(CONFIG_METADATA!$B$4&lt;&gt;"OR+EX",--(DATOS!$G3125=CONFIG_METADATA!$B$4),IF(DATOS!$G3125="EX",1,IF(DATOS!$G3125="OR",--(COUNTIFS(nNIA,DATOS!$A3125,nCURSO,DATOS!$D3125,nESPEC,DATOS!$E3125,nASIG,DATOS!$I3125,nEVAL,"EX")=0),0))))</f>
      </c>
      <c r="H3125">
        <f>IF(DATOS!$G3125&lt;&gt;"EX",0,--(COUNTIFS(nNIA,DATOS!$A3125,nCURSO,DATOS!$D3125,nESPEC,DATOS!$E3125,nASIG,DATOS!$I3125,nEVAL,"OR")=0))</f>
      </c>
      <c r="I3125">
        <f>IF(DATOS!$I3125="","",IFERROR(VLOOKUP(DATOS!$I3125,CONFIG_ASIGNATURAS!$B$2:$J$91,9,FALSE()),""))</f>
      </c>
    </row>
    <row r="3126">
      <c r="F3126">
        <f>IF(DATOS!$A3126="","",DATOS!$A3126&amp;"|"&amp;DATOS!$D3126&amp;"|"&amp;DATOS!$E3126&amp;"|"&amp;DATOS!$I3126)</f>
      </c>
      <c r="G3126">
        <f>IF(DATOS!$A3126="",0,IF(CONFIG_METADATA!$B$4&lt;&gt;"OR+EX",--(DATOS!$G3126=CONFIG_METADATA!$B$4),IF(DATOS!$G3126="EX",1,IF(DATOS!$G3126="OR",--(COUNTIFS(nNIA,DATOS!$A3126,nCURSO,DATOS!$D3126,nESPEC,DATOS!$E3126,nASIG,DATOS!$I3126,nEVAL,"EX")=0),0))))</f>
      </c>
      <c r="H3126">
        <f>IF(DATOS!$G3126&lt;&gt;"EX",0,--(COUNTIFS(nNIA,DATOS!$A3126,nCURSO,DATOS!$D3126,nESPEC,DATOS!$E3126,nASIG,DATOS!$I3126,nEVAL,"OR")=0))</f>
      </c>
      <c r="I3126">
        <f>IF(DATOS!$I3126="","",IFERROR(VLOOKUP(DATOS!$I3126,CONFIG_ASIGNATURAS!$B$2:$J$91,9,FALSE()),""))</f>
      </c>
    </row>
    <row r="3127">
      <c r="F3127">
        <f>IF(DATOS!$A3127="","",DATOS!$A3127&amp;"|"&amp;DATOS!$D3127&amp;"|"&amp;DATOS!$E3127&amp;"|"&amp;DATOS!$I3127)</f>
      </c>
      <c r="G3127">
        <f>IF(DATOS!$A3127="",0,IF(CONFIG_METADATA!$B$4&lt;&gt;"OR+EX",--(DATOS!$G3127=CONFIG_METADATA!$B$4),IF(DATOS!$G3127="EX",1,IF(DATOS!$G3127="OR",--(COUNTIFS(nNIA,DATOS!$A3127,nCURSO,DATOS!$D3127,nESPEC,DATOS!$E3127,nASIG,DATOS!$I3127,nEVAL,"EX")=0),0))))</f>
      </c>
      <c r="H3127">
        <f>IF(DATOS!$G3127&lt;&gt;"EX",0,--(COUNTIFS(nNIA,DATOS!$A3127,nCURSO,DATOS!$D3127,nESPEC,DATOS!$E3127,nASIG,DATOS!$I3127,nEVAL,"OR")=0))</f>
      </c>
      <c r="I3127">
        <f>IF(DATOS!$I3127="","",IFERROR(VLOOKUP(DATOS!$I3127,CONFIG_ASIGNATURAS!$B$2:$J$91,9,FALSE()),""))</f>
      </c>
    </row>
    <row r="3128">
      <c r="F3128">
        <f>IF(DATOS!$A3128="","",DATOS!$A3128&amp;"|"&amp;DATOS!$D3128&amp;"|"&amp;DATOS!$E3128&amp;"|"&amp;DATOS!$I3128)</f>
      </c>
      <c r="G3128">
        <f>IF(DATOS!$A3128="",0,IF(CONFIG_METADATA!$B$4&lt;&gt;"OR+EX",--(DATOS!$G3128=CONFIG_METADATA!$B$4),IF(DATOS!$G3128="EX",1,IF(DATOS!$G3128="OR",--(COUNTIFS(nNIA,DATOS!$A3128,nCURSO,DATOS!$D3128,nESPEC,DATOS!$E3128,nASIG,DATOS!$I3128,nEVAL,"EX")=0),0))))</f>
      </c>
      <c r="H3128">
        <f>IF(DATOS!$G3128&lt;&gt;"EX",0,--(COUNTIFS(nNIA,DATOS!$A3128,nCURSO,DATOS!$D3128,nESPEC,DATOS!$E3128,nASIG,DATOS!$I3128,nEVAL,"OR")=0))</f>
      </c>
      <c r="I3128">
        <f>IF(DATOS!$I3128="","",IFERROR(VLOOKUP(DATOS!$I3128,CONFIG_ASIGNATURAS!$B$2:$J$91,9,FALSE()),""))</f>
      </c>
    </row>
    <row r="3129">
      <c r="F3129">
        <f>IF(DATOS!$A3129="","",DATOS!$A3129&amp;"|"&amp;DATOS!$D3129&amp;"|"&amp;DATOS!$E3129&amp;"|"&amp;DATOS!$I3129)</f>
      </c>
      <c r="G3129">
        <f>IF(DATOS!$A3129="",0,IF(CONFIG_METADATA!$B$4&lt;&gt;"OR+EX",--(DATOS!$G3129=CONFIG_METADATA!$B$4),IF(DATOS!$G3129="EX",1,IF(DATOS!$G3129="OR",--(COUNTIFS(nNIA,DATOS!$A3129,nCURSO,DATOS!$D3129,nESPEC,DATOS!$E3129,nASIG,DATOS!$I3129,nEVAL,"EX")=0),0))))</f>
      </c>
      <c r="H3129">
        <f>IF(DATOS!$G3129&lt;&gt;"EX",0,--(COUNTIFS(nNIA,DATOS!$A3129,nCURSO,DATOS!$D3129,nESPEC,DATOS!$E3129,nASIG,DATOS!$I3129,nEVAL,"OR")=0))</f>
      </c>
      <c r="I3129">
        <f>IF(DATOS!$I3129="","",IFERROR(VLOOKUP(DATOS!$I3129,CONFIG_ASIGNATURAS!$B$2:$J$91,9,FALSE()),""))</f>
      </c>
    </row>
    <row r="3130">
      <c r="F3130">
        <f>IF(DATOS!$A3130="","",DATOS!$A3130&amp;"|"&amp;DATOS!$D3130&amp;"|"&amp;DATOS!$E3130&amp;"|"&amp;DATOS!$I3130)</f>
      </c>
      <c r="G3130">
        <f>IF(DATOS!$A3130="",0,IF(CONFIG_METADATA!$B$4&lt;&gt;"OR+EX",--(DATOS!$G3130=CONFIG_METADATA!$B$4),IF(DATOS!$G3130="EX",1,IF(DATOS!$G3130="OR",--(COUNTIFS(nNIA,DATOS!$A3130,nCURSO,DATOS!$D3130,nESPEC,DATOS!$E3130,nASIG,DATOS!$I3130,nEVAL,"EX")=0),0))))</f>
      </c>
      <c r="H3130">
        <f>IF(DATOS!$G3130&lt;&gt;"EX",0,--(COUNTIFS(nNIA,DATOS!$A3130,nCURSO,DATOS!$D3130,nESPEC,DATOS!$E3130,nASIG,DATOS!$I3130,nEVAL,"OR")=0))</f>
      </c>
      <c r="I3130">
        <f>IF(DATOS!$I3130="","",IFERROR(VLOOKUP(DATOS!$I3130,CONFIG_ASIGNATURAS!$B$2:$J$91,9,FALSE()),""))</f>
      </c>
    </row>
    <row r="3131">
      <c r="F3131">
        <f>IF(DATOS!$A3131="","",DATOS!$A3131&amp;"|"&amp;DATOS!$D3131&amp;"|"&amp;DATOS!$E3131&amp;"|"&amp;DATOS!$I3131)</f>
      </c>
      <c r="G3131">
        <f>IF(DATOS!$A3131="",0,IF(CONFIG_METADATA!$B$4&lt;&gt;"OR+EX",--(DATOS!$G3131=CONFIG_METADATA!$B$4),IF(DATOS!$G3131="EX",1,IF(DATOS!$G3131="OR",--(COUNTIFS(nNIA,DATOS!$A3131,nCURSO,DATOS!$D3131,nESPEC,DATOS!$E3131,nASIG,DATOS!$I3131,nEVAL,"EX")=0),0))))</f>
      </c>
      <c r="H3131">
        <f>IF(DATOS!$G3131&lt;&gt;"EX",0,--(COUNTIFS(nNIA,DATOS!$A3131,nCURSO,DATOS!$D3131,nESPEC,DATOS!$E3131,nASIG,DATOS!$I3131,nEVAL,"OR")=0))</f>
      </c>
      <c r="I3131">
        <f>IF(DATOS!$I3131="","",IFERROR(VLOOKUP(DATOS!$I3131,CONFIG_ASIGNATURAS!$B$2:$J$91,9,FALSE()),""))</f>
      </c>
    </row>
    <row r="3132">
      <c r="F3132">
        <f>IF(DATOS!$A3132="","",DATOS!$A3132&amp;"|"&amp;DATOS!$D3132&amp;"|"&amp;DATOS!$E3132&amp;"|"&amp;DATOS!$I3132)</f>
      </c>
      <c r="G3132">
        <f>IF(DATOS!$A3132="",0,IF(CONFIG_METADATA!$B$4&lt;&gt;"OR+EX",--(DATOS!$G3132=CONFIG_METADATA!$B$4),IF(DATOS!$G3132="EX",1,IF(DATOS!$G3132="OR",--(COUNTIFS(nNIA,DATOS!$A3132,nCURSO,DATOS!$D3132,nESPEC,DATOS!$E3132,nASIG,DATOS!$I3132,nEVAL,"EX")=0),0))))</f>
      </c>
      <c r="H3132">
        <f>IF(DATOS!$G3132&lt;&gt;"EX",0,--(COUNTIFS(nNIA,DATOS!$A3132,nCURSO,DATOS!$D3132,nESPEC,DATOS!$E3132,nASIG,DATOS!$I3132,nEVAL,"OR")=0))</f>
      </c>
      <c r="I3132">
        <f>IF(DATOS!$I3132="","",IFERROR(VLOOKUP(DATOS!$I3132,CONFIG_ASIGNATURAS!$B$2:$J$91,9,FALSE()),""))</f>
      </c>
    </row>
    <row r="3133">
      <c r="F3133">
        <f>IF(DATOS!$A3133="","",DATOS!$A3133&amp;"|"&amp;DATOS!$D3133&amp;"|"&amp;DATOS!$E3133&amp;"|"&amp;DATOS!$I3133)</f>
      </c>
      <c r="G3133">
        <f>IF(DATOS!$A3133="",0,IF(CONFIG_METADATA!$B$4&lt;&gt;"OR+EX",--(DATOS!$G3133=CONFIG_METADATA!$B$4),IF(DATOS!$G3133="EX",1,IF(DATOS!$G3133="OR",--(COUNTIFS(nNIA,DATOS!$A3133,nCURSO,DATOS!$D3133,nESPEC,DATOS!$E3133,nASIG,DATOS!$I3133,nEVAL,"EX")=0),0))))</f>
      </c>
      <c r="H3133">
        <f>IF(DATOS!$G3133&lt;&gt;"EX",0,--(COUNTIFS(nNIA,DATOS!$A3133,nCURSO,DATOS!$D3133,nESPEC,DATOS!$E3133,nASIG,DATOS!$I3133,nEVAL,"OR")=0))</f>
      </c>
      <c r="I3133">
        <f>IF(DATOS!$I3133="","",IFERROR(VLOOKUP(DATOS!$I3133,CONFIG_ASIGNATURAS!$B$2:$J$91,9,FALSE()),""))</f>
      </c>
    </row>
    <row r="3134">
      <c r="F3134">
        <f>IF(DATOS!$A3134="","",DATOS!$A3134&amp;"|"&amp;DATOS!$D3134&amp;"|"&amp;DATOS!$E3134&amp;"|"&amp;DATOS!$I3134)</f>
      </c>
      <c r="G3134">
        <f>IF(DATOS!$A3134="",0,IF(CONFIG_METADATA!$B$4&lt;&gt;"OR+EX",--(DATOS!$G3134=CONFIG_METADATA!$B$4),IF(DATOS!$G3134="EX",1,IF(DATOS!$G3134="OR",--(COUNTIFS(nNIA,DATOS!$A3134,nCURSO,DATOS!$D3134,nESPEC,DATOS!$E3134,nASIG,DATOS!$I3134,nEVAL,"EX")=0),0))))</f>
      </c>
      <c r="H3134">
        <f>IF(DATOS!$G3134&lt;&gt;"EX",0,--(COUNTIFS(nNIA,DATOS!$A3134,nCURSO,DATOS!$D3134,nESPEC,DATOS!$E3134,nASIG,DATOS!$I3134,nEVAL,"OR")=0))</f>
      </c>
      <c r="I3134">
        <f>IF(DATOS!$I3134="","",IFERROR(VLOOKUP(DATOS!$I3134,CONFIG_ASIGNATURAS!$B$2:$J$91,9,FALSE()),""))</f>
      </c>
    </row>
    <row r="3135">
      <c r="F3135">
        <f>IF(DATOS!$A3135="","",DATOS!$A3135&amp;"|"&amp;DATOS!$D3135&amp;"|"&amp;DATOS!$E3135&amp;"|"&amp;DATOS!$I3135)</f>
      </c>
      <c r="G3135">
        <f>IF(DATOS!$A3135="",0,IF(CONFIG_METADATA!$B$4&lt;&gt;"OR+EX",--(DATOS!$G3135=CONFIG_METADATA!$B$4),IF(DATOS!$G3135="EX",1,IF(DATOS!$G3135="OR",--(COUNTIFS(nNIA,DATOS!$A3135,nCURSO,DATOS!$D3135,nESPEC,DATOS!$E3135,nASIG,DATOS!$I3135,nEVAL,"EX")=0),0))))</f>
      </c>
      <c r="H3135">
        <f>IF(DATOS!$G3135&lt;&gt;"EX",0,--(COUNTIFS(nNIA,DATOS!$A3135,nCURSO,DATOS!$D3135,nESPEC,DATOS!$E3135,nASIG,DATOS!$I3135,nEVAL,"OR")=0))</f>
      </c>
      <c r="I3135">
        <f>IF(DATOS!$I3135="","",IFERROR(VLOOKUP(DATOS!$I3135,CONFIG_ASIGNATURAS!$B$2:$J$91,9,FALSE()),""))</f>
      </c>
    </row>
    <row r="3136">
      <c r="F3136">
        <f>IF(DATOS!$A3136="","",DATOS!$A3136&amp;"|"&amp;DATOS!$D3136&amp;"|"&amp;DATOS!$E3136&amp;"|"&amp;DATOS!$I3136)</f>
      </c>
      <c r="G3136">
        <f>IF(DATOS!$A3136="",0,IF(CONFIG_METADATA!$B$4&lt;&gt;"OR+EX",--(DATOS!$G3136=CONFIG_METADATA!$B$4),IF(DATOS!$G3136="EX",1,IF(DATOS!$G3136="OR",--(COUNTIFS(nNIA,DATOS!$A3136,nCURSO,DATOS!$D3136,nESPEC,DATOS!$E3136,nASIG,DATOS!$I3136,nEVAL,"EX")=0),0))))</f>
      </c>
      <c r="H3136">
        <f>IF(DATOS!$G3136&lt;&gt;"EX",0,--(COUNTIFS(nNIA,DATOS!$A3136,nCURSO,DATOS!$D3136,nESPEC,DATOS!$E3136,nASIG,DATOS!$I3136,nEVAL,"OR")=0))</f>
      </c>
      <c r="I3136">
        <f>IF(DATOS!$I3136="","",IFERROR(VLOOKUP(DATOS!$I3136,CONFIG_ASIGNATURAS!$B$2:$J$91,9,FALSE()),""))</f>
      </c>
    </row>
    <row r="3137">
      <c r="F3137">
        <f>IF(DATOS!$A3137="","",DATOS!$A3137&amp;"|"&amp;DATOS!$D3137&amp;"|"&amp;DATOS!$E3137&amp;"|"&amp;DATOS!$I3137)</f>
      </c>
      <c r="G3137">
        <f>IF(DATOS!$A3137="",0,IF(CONFIG_METADATA!$B$4&lt;&gt;"OR+EX",--(DATOS!$G3137=CONFIG_METADATA!$B$4),IF(DATOS!$G3137="EX",1,IF(DATOS!$G3137="OR",--(COUNTIFS(nNIA,DATOS!$A3137,nCURSO,DATOS!$D3137,nESPEC,DATOS!$E3137,nASIG,DATOS!$I3137,nEVAL,"EX")=0),0))))</f>
      </c>
      <c r="H3137">
        <f>IF(DATOS!$G3137&lt;&gt;"EX",0,--(COUNTIFS(nNIA,DATOS!$A3137,nCURSO,DATOS!$D3137,nESPEC,DATOS!$E3137,nASIG,DATOS!$I3137,nEVAL,"OR")=0))</f>
      </c>
      <c r="I3137">
        <f>IF(DATOS!$I3137="","",IFERROR(VLOOKUP(DATOS!$I3137,CONFIG_ASIGNATURAS!$B$2:$J$91,9,FALSE()),""))</f>
      </c>
    </row>
    <row r="3138">
      <c r="F3138">
        <f>IF(DATOS!$A3138="","",DATOS!$A3138&amp;"|"&amp;DATOS!$D3138&amp;"|"&amp;DATOS!$E3138&amp;"|"&amp;DATOS!$I3138)</f>
      </c>
      <c r="G3138">
        <f>IF(DATOS!$A3138="",0,IF(CONFIG_METADATA!$B$4&lt;&gt;"OR+EX",--(DATOS!$G3138=CONFIG_METADATA!$B$4),IF(DATOS!$G3138="EX",1,IF(DATOS!$G3138="OR",--(COUNTIFS(nNIA,DATOS!$A3138,nCURSO,DATOS!$D3138,nESPEC,DATOS!$E3138,nASIG,DATOS!$I3138,nEVAL,"EX")=0),0))))</f>
      </c>
      <c r="H3138">
        <f>IF(DATOS!$G3138&lt;&gt;"EX",0,--(COUNTIFS(nNIA,DATOS!$A3138,nCURSO,DATOS!$D3138,nESPEC,DATOS!$E3138,nASIG,DATOS!$I3138,nEVAL,"OR")=0))</f>
      </c>
      <c r="I3138">
        <f>IF(DATOS!$I3138="","",IFERROR(VLOOKUP(DATOS!$I3138,CONFIG_ASIGNATURAS!$B$2:$J$91,9,FALSE()),""))</f>
      </c>
    </row>
    <row r="3139">
      <c r="F3139">
        <f>IF(DATOS!$A3139="","",DATOS!$A3139&amp;"|"&amp;DATOS!$D3139&amp;"|"&amp;DATOS!$E3139&amp;"|"&amp;DATOS!$I3139)</f>
      </c>
      <c r="G3139">
        <f>IF(DATOS!$A3139="",0,IF(CONFIG_METADATA!$B$4&lt;&gt;"OR+EX",--(DATOS!$G3139=CONFIG_METADATA!$B$4),IF(DATOS!$G3139="EX",1,IF(DATOS!$G3139="OR",--(COUNTIFS(nNIA,DATOS!$A3139,nCURSO,DATOS!$D3139,nESPEC,DATOS!$E3139,nASIG,DATOS!$I3139,nEVAL,"EX")=0),0))))</f>
      </c>
      <c r="H3139">
        <f>IF(DATOS!$G3139&lt;&gt;"EX",0,--(COUNTIFS(nNIA,DATOS!$A3139,nCURSO,DATOS!$D3139,nESPEC,DATOS!$E3139,nASIG,DATOS!$I3139,nEVAL,"OR")=0))</f>
      </c>
      <c r="I3139">
        <f>IF(DATOS!$I3139="","",IFERROR(VLOOKUP(DATOS!$I3139,CONFIG_ASIGNATURAS!$B$2:$J$91,9,FALSE()),""))</f>
      </c>
    </row>
    <row r="3140">
      <c r="F3140">
        <f>IF(DATOS!$A3140="","",DATOS!$A3140&amp;"|"&amp;DATOS!$D3140&amp;"|"&amp;DATOS!$E3140&amp;"|"&amp;DATOS!$I3140)</f>
      </c>
      <c r="G3140">
        <f>IF(DATOS!$A3140="",0,IF(CONFIG_METADATA!$B$4&lt;&gt;"OR+EX",--(DATOS!$G3140=CONFIG_METADATA!$B$4),IF(DATOS!$G3140="EX",1,IF(DATOS!$G3140="OR",--(COUNTIFS(nNIA,DATOS!$A3140,nCURSO,DATOS!$D3140,nESPEC,DATOS!$E3140,nASIG,DATOS!$I3140,nEVAL,"EX")=0),0))))</f>
      </c>
      <c r="H3140">
        <f>IF(DATOS!$G3140&lt;&gt;"EX",0,--(COUNTIFS(nNIA,DATOS!$A3140,nCURSO,DATOS!$D3140,nESPEC,DATOS!$E3140,nASIG,DATOS!$I3140,nEVAL,"OR")=0))</f>
      </c>
      <c r="I3140">
        <f>IF(DATOS!$I3140="","",IFERROR(VLOOKUP(DATOS!$I3140,CONFIG_ASIGNATURAS!$B$2:$J$91,9,FALSE()),""))</f>
      </c>
    </row>
    <row r="3141">
      <c r="F3141">
        <f>IF(DATOS!$A3141="","",DATOS!$A3141&amp;"|"&amp;DATOS!$D3141&amp;"|"&amp;DATOS!$E3141&amp;"|"&amp;DATOS!$I3141)</f>
      </c>
      <c r="G3141">
        <f>IF(DATOS!$A3141="",0,IF(CONFIG_METADATA!$B$4&lt;&gt;"OR+EX",--(DATOS!$G3141=CONFIG_METADATA!$B$4),IF(DATOS!$G3141="EX",1,IF(DATOS!$G3141="OR",--(COUNTIFS(nNIA,DATOS!$A3141,nCURSO,DATOS!$D3141,nESPEC,DATOS!$E3141,nASIG,DATOS!$I3141,nEVAL,"EX")=0),0))))</f>
      </c>
      <c r="H3141">
        <f>IF(DATOS!$G3141&lt;&gt;"EX",0,--(COUNTIFS(nNIA,DATOS!$A3141,nCURSO,DATOS!$D3141,nESPEC,DATOS!$E3141,nASIG,DATOS!$I3141,nEVAL,"OR")=0))</f>
      </c>
      <c r="I3141">
        <f>IF(DATOS!$I3141="","",IFERROR(VLOOKUP(DATOS!$I3141,CONFIG_ASIGNATURAS!$B$2:$J$91,9,FALSE()),""))</f>
      </c>
    </row>
    <row r="3142">
      <c r="F3142">
        <f>IF(DATOS!$A3142="","",DATOS!$A3142&amp;"|"&amp;DATOS!$D3142&amp;"|"&amp;DATOS!$E3142&amp;"|"&amp;DATOS!$I3142)</f>
      </c>
      <c r="G3142">
        <f>IF(DATOS!$A3142="",0,IF(CONFIG_METADATA!$B$4&lt;&gt;"OR+EX",--(DATOS!$G3142=CONFIG_METADATA!$B$4),IF(DATOS!$G3142="EX",1,IF(DATOS!$G3142="OR",--(COUNTIFS(nNIA,DATOS!$A3142,nCURSO,DATOS!$D3142,nESPEC,DATOS!$E3142,nASIG,DATOS!$I3142,nEVAL,"EX")=0),0))))</f>
      </c>
      <c r="H3142">
        <f>IF(DATOS!$G3142&lt;&gt;"EX",0,--(COUNTIFS(nNIA,DATOS!$A3142,nCURSO,DATOS!$D3142,nESPEC,DATOS!$E3142,nASIG,DATOS!$I3142,nEVAL,"OR")=0))</f>
      </c>
      <c r="I3142">
        <f>IF(DATOS!$I3142="","",IFERROR(VLOOKUP(DATOS!$I3142,CONFIG_ASIGNATURAS!$B$2:$J$91,9,FALSE()),""))</f>
      </c>
    </row>
    <row r="3143">
      <c r="F3143">
        <f>IF(DATOS!$A3143="","",DATOS!$A3143&amp;"|"&amp;DATOS!$D3143&amp;"|"&amp;DATOS!$E3143&amp;"|"&amp;DATOS!$I3143)</f>
      </c>
      <c r="G3143">
        <f>IF(DATOS!$A3143="",0,IF(CONFIG_METADATA!$B$4&lt;&gt;"OR+EX",--(DATOS!$G3143=CONFIG_METADATA!$B$4),IF(DATOS!$G3143="EX",1,IF(DATOS!$G3143="OR",--(COUNTIFS(nNIA,DATOS!$A3143,nCURSO,DATOS!$D3143,nESPEC,DATOS!$E3143,nASIG,DATOS!$I3143,nEVAL,"EX")=0),0))))</f>
      </c>
      <c r="H3143">
        <f>IF(DATOS!$G3143&lt;&gt;"EX",0,--(COUNTIFS(nNIA,DATOS!$A3143,nCURSO,DATOS!$D3143,nESPEC,DATOS!$E3143,nASIG,DATOS!$I3143,nEVAL,"OR")=0))</f>
      </c>
      <c r="I3143">
        <f>IF(DATOS!$I3143="","",IFERROR(VLOOKUP(DATOS!$I3143,CONFIG_ASIGNATURAS!$B$2:$J$91,9,FALSE()),""))</f>
      </c>
    </row>
    <row r="3144">
      <c r="F3144">
        <f>IF(DATOS!$A3144="","",DATOS!$A3144&amp;"|"&amp;DATOS!$D3144&amp;"|"&amp;DATOS!$E3144&amp;"|"&amp;DATOS!$I3144)</f>
      </c>
      <c r="G3144">
        <f>IF(DATOS!$A3144="",0,IF(CONFIG_METADATA!$B$4&lt;&gt;"OR+EX",--(DATOS!$G3144=CONFIG_METADATA!$B$4),IF(DATOS!$G3144="EX",1,IF(DATOS!$G3144="OR",--(COUNTIFS(nNIA,DATOS!$A3144,nCURSO,DATOS!$D3144,nESPEC,DATOS!$E3144,nASIG,DATOS!$I3144,nEVAL,"EX")=0),0))))</f>
      </c>
      <c r="H3144">
        <f>IF(DATOS!$G3144&lt;&gt;"EX",0,--(COUNTIFS(nNIA,DATOS!$A3144,nCURSO,DATOS!$D3144,nESPEC,DATOS!$E3144,nASIG,DATOS!$I3144,nEVAL,"OR")=0))</f>
      </c>
      <c r="I3144">
        <f>IF(DATOS!$I3144="","",IFERROR(VLOOKUP(DATOS!$I3144,CONFIG_ASIGNATURAS!$B$2:$J$91,9,FALSE()),""))</f>
      </c>
    </row>
    <row r="3145">
      <c r="F3145">
        <f>IF(DATOS!$A3145="","",DATOS!$A3145&amp;"|"&amp;DATOS!$D3145&amp;"|"&amp;DATOS!$E3145&amp;"|"&amp;DATOS!$I3145)</f>
      </c>
      <c r="G3145">
        <f>IF(DATOS!$A3145="",0,IF(CONFIG_METADATA!$B$4&lt;&gt;"OR+EX",--(DATOS!$G3145=CONFIG_METADATA!$B$4),IF(DATOS!$G3145="EX",1,IF(DATOS!$G3145="OR",--(COUNTIFS(nNIA,DATOS!$A3145,nCURSO,DATOS!$D3145,nESPEC,DATOS!$E3145,nASIG,DATOS!$I3145,nEVAL,"EX")=0),0))))</f>
      </c>
      <c r="H3145">
        <f>IF(DATOS!$G3145&lt;&gt;"EX",0,--(COUNTIFS(nNIA,DATOS!$A3145,nCURSO,DATOS!$D3145,nESPEC,DATOS!$E3145,nASIG,DATOS!$I3145,nEVAL,"OR")=0))</f>
      </c>
      <c r="I3145">
        <f>IF(DATOS!$I3145="","",IFERROR(VLOOKUP(DATOS!$I3145,CONFIG_ASIGNATURAS!$B$2:$J$91,9,FALSE()),""))</f>
      </c>
    </row>
    <row r="3146">
      <c r="F3146">
        <f>IF(DATOS!$A3146="","",DATOS!$A3146&amp;"|"&amp;DATOS!$D3146&amp;"|"&amp;DATOS!$E3146&amp;"|"&amp;DATOS!$I3146)</f>
      </c>
      <c r="G3146">
        <f>IF(DATOS!$A3146="",0,IF(CONFIG_METADATA!$B$4&lt;&gt;"OR+EX",--(DATOS!$G3146=CONFIG_METADATA!$B$4),IF(DATOS!$G3146="EX",1,IF(DATOS!$G3146="OR",--(COUNTIFS(nNIA,DATOS!$A3146,nCURSO,DATOS!$D3146,nESPEC,DATOS!$E3146,nASIG,DATOS!$I3146,nEVAL,"EX")=0),0))))</f>
      </c>
      <c r="H3146">
        <f>IF(DATOS!$G3146&lt;&gt;"EX",0,--(COUNTIFS(nNIA,DATOS!$A3146,nCURSO,DATOS!$D3146,nESPEC,DATOS!$E3146,nASIG,DATOS!$I3146,nEVAL,"OR")=0))</f>
      </c>
      <c r="I3146">
        <f>IF(DATOS!$I3146="","",IFERROR(VLOOKUP(DATOS!$I3146,CONFIG_ASIGNATURAS!$B$2:$J$91,9,FALSE()),""))</f>
      </c>
    </row>
    <row r="3147">
      <c r="F3147">
        <f>IF(DATOS!$A3147="","",DATOS!$A3147&amp;"|"&amp;DATOS!$D3147&amp;"|"&amp;DATOS!$E3147&amp;"|"&amp;DATOS!$I3147)</f>
      </c>
      <c r="G3147">
        <f>IF(DATOS!$A3147="",0,IF(CONFIG_METADATA!$B$4&lt;&gt;"OR+EX",--(DATOS!$G3147=CONFIG_METADATA!$B$4),IF(DATOS!$G3147="EX",1,IF(DATOS!$G3147="OR",--(COUNTIFS(nNIA,DATOS!$A3147,nCURSO,DATOS!$D3147,nESPEC,DATOS!$E3147,nASIG,DATOS!$I3147,nEVAL,"EX")=0),0))))</f>
      </c>
      <c r="H3147">
        <f>IF(DATOS!$G3147&lt;&gt;"EX",0,--(COUNTIFS(nNIA,DATOS!$A3147,nCURSO,DATOS!$D3147,nESPEC,DATOS!$E3147,nASIG,DATOS!$I3147,nEVAL,"OR")=0))</f>
      </c>
      <c r="I3147">
        <f>IF(DATOS!$I3147="","",IFERROR(VLOOKUP(DATOS!$I3147,CONFIG_ASIGNATURAS!$B$2:$J$91,9,FALSE()),""))</f>
      </c>
    </row>
    <row r="3148">
      <c r="F3148">
        <f>IF(DATOS!$A3148="","",DATOS!$A3148&amp;"|"&amp;DATOS!$D3148&amp;"|"&amp;DATOS!$E3148&amp;"|"&amp;DATOS!$I3148)</f>
      </c>
      <c r="G3148">
        <f>IF(DATOS!$A3148="",0,IF(CONFIG_METADATA!$B$4&lt;&gt;"OR+EX",--(DATOS!$G3148=CONFIG_METADATA!$B$4),IF(DATOS!$G3148="EX",1,IF(DATOS!$G3148="OR",--(COUNTIFS(nNIA,DATOS!$A3148,nCURSO,DATOS!$D3148,nESPEC,DATOS!$E3148,nASIG,DATOS!$I3148,nEVAL,"EX")=0),0))))</f>
      </c>
      <c r="H3148">
        <f>IF(DATOS!$G3148&lt;&gt;"EX",0,--(COUNTIFS(nNIA,DATOS!$A3148,nCURSO,DATOS!$D3148,nESPEC,DATOS!$E3148,nASIG,DATOS!$I3148,nEVAL,"OR")=0))</f>
      </c>
      <c r="I3148">
        <f>IF(DATOS!$I3148="","",IFERROR(VLOOKUP(DATOS!$I3148,CONFIG_ASIGNATURAS!$B$2:$J$91,9,FALSE()),""))</f>
      </c>
    </row>
    <row r="3149">
      <c r="F3149">
        <f>IF(DATOS!$A3149="","",DATOS!$A3149&amp;"|"&amp;DATOS!$D3149&amp;"|"&amp;DATOS!$E3149&amp;"|"&amp;DATOS!$I3149)</f>
      </c>
      <c r="G3149">
        <f>IF(DATOS!$A3149="",0,IF(CONFIG_METADATA!$B$4&lt;&gt;"OR+EX",--(DATOS!$G3149=CONFIG_METADATA!$B$4),IF(DATOS!$G3149="EX",1,IF(DATOS!$G3149="OR",--(COUNTIFS(nNIA,DATOS!$A3149,nCURSO,DATOS!$D3149,nESPEC,DATOS!$E3149,nASIG,DATOS!$I3149,nEVAL,"EX")=0),0))))</f>
      </c>
      <c r="H3149">
        <f>IF(DATOS!$G3149&lt;&gt;"EX",0,--(COUNTIFS(nNIA,DATOS!$A3149,nCURSO,DATOS!$D3149,nESPEC,DATOS!$E3149,nASIG,DATOS!$I3149,nEVAL,"OR")=0))</f>
      </c>
      <c r="I3149">
        <f>IF(DATOS!$I3149="","",IFERROR(VLOOKUP(DATOS!$I3149,CONFIG_ASIGNATURAS!$B$2:$J$91,9,FALSE()),""))</f>
      </c>
    </row>
    <row r="3150">
      <c r="F3150">
        <f>IF(DATOS!$A3150="","",DATOS!$A3150&amp;"|"&amp;DATOS!$D3150&amp;"|"&amp;DATOS!$E3150&amp;"|"&amp;DATOS!$I3150)</f>
      </c>
      <c r="G3150">
        <f>IF(DATOS!$A3150="",0,IF(CONFIG_METADATA!$B$4&lt;&gt;"OR+EX",--(DATOS!$G3150=CONFIG_METADATA!$B$4),IF(DATOS!$G3150="EX",1,IF(DATOS!$G3150="OR",--(COUNTIFS(nNIA,DATOS!$A3150,nCURSO,DATOS!$D3150,nESPEC,DATOS!$E3150,nASIG,DATOS!$I3150,nEVAL,"EX")=0),0))))</f>
      </c>
      <c r="H3150">
        <f>IF(DATOS!$G3150&lt;&gt;"EX",0,--(COUNTIFS(nNIA,DATOS!$A3150,nCURSO,DATOS!$D3150,nESPEC,DATOS!$E3150,nASIG,DATOS!$I3150,nEVAL,"OR")=0))</f>
      </c>
      <c r="I3150">
        <f>IF(DATOS!$I3150="","",IFERROR(VLOOKUP(DATOS!$I3150,CONFIG_ASIGNATURAS!$B$2:$J$91,9,FALSE()),""))</f>
      </c>
    </row>
    <row r="3151">
      <c r="F3151">
        <f>IF(DATOS!$A3151="","",DATOS!$A3151&amp;"|"&amp;DATOS!$D3151&amp;"|"&amp;DATOS!$E3151&amp;"|"&amp;DATOS!$I3151)</f>
      </c>
      <c r="G3151">
        <f>IF(DATOS!$A3151="",0,IF(CONFIG_METADATA!$B$4&lt;&gt;"OR+EX",--(DATOS!$G3151=CONFIG_METADATA!$B$4),IF(DATOS!$G3151="EX",1,IF(DATOS!$G3151="OR",--(COUNTIFS(nNIA,DATOS!$A3151,nCURSO,DATOS!$D3151,nESPEC,DATOS!$E3151,nASIG,DATOS!$I3151,nEVAL,"EX")=0),0))))</f>
      </c>
      <c r="H3151">
        <f>IF(DATOS!$G3151&lt;&gt;"EX",0,--(COUNTIFS(nNIA,DATOS!$A3151,nCURSO,DATOS!$D3151,nESPEC,DATOS!$E3151,nASIG,DATOS!$I3151,nEVAL,"OR")=0))</f>
      </c>
      <c r="I3151">
        <f>IF(DATOS!$I3151="","",IFERROR(VLOOKUP(DATOS!$I3151,CONFIG_ASIGNATURAS!$B$2:$J$91,9,FALSE()),""))</f>
      </c>
    </row>
    <row r="3152">
      <c r="F3152">
        <f>IF(DATOS!$A3152="","",DATOS!$A3152&amp;"|"&amp;DATOS!$D3152&amp;"|"&amp;DATOS!$E3152&amp;"|"&amp;DATOS!$I3152)</f>
      </c>
      <c r="G3152">
        <f>IF(DATOS!$A3152="",0,IF(CONFIG_METADATA!$B$4&lt;&gt;"OR+EX",--(DATOS!$G3152=CONFIG_METADATA!$B$4),IF(DATOS!$G3152="EX",1,IF(DATOS!$G3152="OR",--(COUNTIFS(nNIA,DATOS!$A3152,nCURSO,DATOS!$D3152,nESPEC,DATOS!$E3152,nASIG,DATOS!$I3152,nEVAL,"EX")=0),0))))</f>
      </c>
      <c r="H3152">
        <f>IF(DATOS!$G3152&lt;&gt;"EX",0,--(COUNTIFS(nNIA,DATOS!$A3152,nCURSO,DATOS!$D3152,nESPEC,DATOS!$E3152,nASIG,DATOS!$I3152,nEVAL,"OR")=0))</f>
      </c>
      <c r="I3152">
        <f>IF(DATOS!$I3152="","",IFERROR(VLOOKUP(DATOS!$I3152,CONFIG_ASIGNATURAS!$B$2:$J$91,9,FALSE()),""))</f>
      </c>
    </row>
    <row r="3153">
      <c r="F3153">
        <f>IF(DATOS!$A3153="","",DATOS!$A3153&amp;"|"&amp;DATOS!$D3153&amp;"|"&amp;DATOS!$E3153&amp;"|"&amp;DATOS!$I3153)</f>
      </c>
      <c r="G3153">
        <f>IF(DATOS!$A3153="",0,IF(CONFIG_METADATA!$B$4&lt;&gt;"OR+EX",--(DATOS!$G3153=CONFIG_METADATA!$B$4),IF(DATOS!$G3153="EX",1,IF(DATOS!$G3153="OR",--(COUNTIFS(nNIA,DATOS!$A3153,nCURSO,DATOS!$D3153,nESPEC,DATOS!$E3153,nASIG,DATOS!$I3153,nEVAL,"EX")=0),0))))</f>
      </c>
      <c r="H3153">
        <f>IF(DATOS!$G3153&lt;&gt;"EX",0,--(COUNTIFS(nNIA,DATOS!$A3153,nCURSO,DATOS!$D3153,nESPEC,DATOS!$E3153,nASIG,DATOS!$I3153,nEVAL,"OR")=0))</f>
      </c>
      <c r="I3153">
        <f>IF(DATOS!$I3153="","",IFERROR(VLOOKUP(DATOS!$I3153,CONFIG_ASIGNATURAS!$B$2:$J$91,9,FALSE()),""))</f>
      </c>
    </row>
    <row r="3154">
      <c r="F3154">
        <f>IF(DATOS!$A3154="","",DATOS!$A3154&amp;"|"&amp;DATOS!$D3154&amp;"|"&amp;DATOS!$E3154&amp;"|"&amp;DATOS!$I3154)</f>
      </c>
      <c r="G3154">
        <f>IF(DATOS!$A3154="",0,IF(CONFIG_METADATA!$B$4&lt;&gt;"OR+EX",--(DATOS!$G3154=CONFIG_METADATA!$B$4),IF(DATOS!$G3154="EX",1,IF(DATOS!$G3154="OR",--(COUNTIFS(nNIA,DATOS!$A3154,nCURSO,DATOS!$D3154,nESPEC,DATOS!$E3154,nASIG,DATOS!$I3154,nEVAL,"EX")=0),0))))</f>
      </c>
      <c r="H3154">
        <f>IF(DATOS!$G3154&lt;&gt;"EX",0,--(COUNTIFS(nNIA,DATOS!$A3154,nCURSO,DATOS!$D3154,nESPEC,DATOS!$E3154,nASIG,DATOS!$I3154,nEVAL,"OR")=0))</f>
      </c>
      <c r="I3154">
        <f>IF(DATOS!$I3154="","",IFERROR(VLOOKUP(DATOS!$I3154,CONFIG_ASIGNATURAS!$B$2:$J$91,9,FALSE()),""))</f>
      </c>
    </row>
    <row r="3155">
      <c r="F3155">
        <f>IF(DATOS!$A3155="","",DATOS!$A3155&amp;"|"&amp;DATOS!$D3155&amp;"|"&amp;DATOS!$E3155&amp;"|"&amp;DATOS!$I3155)</f>
      </c>
      <c r="G3155">
        <f>IF(DATOS!$A3155="",0,IF(CONFIG_METADATA!$B$4&lt;&gt;"OR+EX",--(DATOS!$G3155=CONFIG_METADATA!$B$4),IF(DATOS!$G3155="EX",1,IF(DATOS!$G3155="OR",--(COUNTIFS(nNIA,DATOS!$A3155,nCURSO,DATOS!$D3155,nESPEC,DATOS!$E3155,nASIG,DATOS!$I3155,nEVAL,"EX")=0),0))))</f>
      </c>
      <c r="H3155">
        <f>IF(DATOS!$G3155&lt;&gt;"EX",0,--(COUNTIFS(nNIA,DATOS!$A3155,nCURSO,DATOS!$D3155,nESPEC,DATOS!$E3155,nASIG,DATOS!$I3155,nEVAL,"OR")=0))</f>
      </c>
      <c r="I3155">
        <f>IF(DATOS!$I3155="","",IFERROR(VLOOKUP(DATOS!$I3155,CONFIG_ASIGNATURAS!$B$2:$J$91,9,FALSE()),""))</f>
      </c>
    </row>
    <row r="3156">
      <c r="F3156">
        <f>IF(DATOS!$A3156="","",DATOS!$A3156&amp;"|"&amp;DATOS!$D3156&amp;"|"&amp;DATOS!$E3156&amp;"|"&amp;DATOS!$I3156)</f>
      </c>
      <c r="G3156">
        <f>IF(DATOS!$A3156="",0,IF(CONFIG_METADATA!$B$4&lt;&gt;"OR+EX",--(DATOS!$G3156=CONFIG_METADATA!$B$4),IF(DATOS!$G3156="EX",1,IF(DATOS!$G3156="OR",--(COUNTIFS(nNIA,DATOS!$A3156,nCURSO,DATOS!$D3156,nESPEC,DATOS!$E3156,nASIG,DATOS!$I3156,nEVAL,"EX")=0),0))))</f>
      </c>
      <c r="H3156">
        <f>IF(DATOS!$G3156&lt;&gt;"EX",0,--(COUNTIFS(nNIA,DATOS!$A3156,nCURSO,DATOS!$D3156,nESPEC,DATOS!$E3156,nASIG,DATOS!$I3156,nEVAL,"OR")=0))</f>
      </c>
      <c r="I3156">
        <f>IF(DATOS!$I3156="","",IFERROR(VLOOKUP(DATOS!$I3156,CONFIG_ASIGNATURAS!$B$2:$J$91,9,FALSE()),""))</f>
      </c>
    </row>
    <row r="3157">
      <c r="F3157">
        <f>IF(DATOS!$A3157="","",DATOS!$A3157&amp;"|"&amp;DATOS!$D3157&amp;"|"&amp;DATOS!$E3157&amp;"|"&amp;DATOS!$I3157)</f>
      </c>
      <c r="G3157">
        <f>IF(DATOS!$A3157="",0,IF(CONFIG_METADATA!$B$4&lt;&gt;"OR+EX",--(DATOS!$G3157=CONFIG_METADATA!$B$4),IF(DATOS!$G3157="EX",1,IF(DATOS!$G3157="OR",--(COUNTIFS(nNIA,DATOS!$A3157,nCURSO,DATOS!$D3157,nESPEC,DATOS!$E3157,nASIG,DATOS!$I3157,nEVAL,"EX")=0),0))))</f>
      </c>
      <c r="H3157">
        <f>IF(DATOS!$G3157&lt;&gt;"EX",0,--(COUNTIFS(nNIA,DATOS!$A3157,nCURSO,DATOS!$D3157,nESPEC,DATOS!$E3157,nASIG,DATOS!$I3157,nEVAL,"OR")=0))</f>
      </c>
      <c r="I3157">
        <f>IF(DATOS!$I3157="","",IFERROR(VLOOKUP(DATOS!$I3157,CONFIG_ASIGNATURAS!$B$2:$J$91,9,FALSE()),""))</f>
      </c>
    </row>
    <row r="3158">
      <c r="F3158">
        <f>IF(DATOS!$A3158="","",DATOS!$A3158&amp;"|"&amp;DATOS!$D3158&amp;"|"&amp;DATOS!$E3158&amp;"|"&amp;DATOS!$I3158)</f>
      </c>
      <c r="G3158">
        <f>IF(DATOS!$A3158="",0,IF(CONFIG_METADATA!$B$4&lt;&gt;"OR+EX",--(DATOS!$G3158=CONFIG_METADATA!$B$4),IF(DATOS!$G3158="EX",1,IF(DATOS!$G3158="OR",--(COUNTIFS(nNIA,DATOS!$A3158,nCURSO,DATOS!$D3158,nESPEC,DATOS!$E3158,nASIG,DATOS!$I3158,nEVAL,"EX")=0),0))))</f>
      </c>
      <c r="H3158">
        <f>IF(DATOS!$G3158&lt;&gt;"EX",0,--(COUNTIFS(nNIA,DATOS!$A3158,nCURSO,DATOS!$D3158,nESPEC,DATOS!$E3158,nASIG,DATOS!$I3158,nEVAL,"OR")=0))</f>
      </c>
      <c r="I3158">
        <f>IF(DATOS!$I3158="","",IFERROR(VLOOKUP(DATOS!$I3158,CONFIG_ASIGNATURAS!$B$2:$J$91,9,FALSE()),""))</f>
      </c>
    </row>
    <row r="3159">
      <c r="F3159">
        <f>IF(DATOS!$A3159="","",DATOS!$A3159&amp;"|"&amp;DATOS!$D3159&amp;"|"&amp;DATOS!$E3159&amp;"|"&amp;DATOS!$I3159)</f>
      </c>
      <c r="G3159">
        <f>IF(DATOS!$A3159="",0,IF(CONFIG_METADATA!$B$4&lt;&gt;"OR+EX",--(DATOS!$G3159=CONFIG_METADATA!$B$4),IF(DATOS!$G3159="EX",1,IF(DATOS!$G3159="OR",--(COUNTIFS(nNIA,DATOS!$A3159,nCURSO,DATOS!$D3159,nESPEC,DATOS!$E3159,nASIG,DATOS!$I3159,nEVAL,"EX")=0),0))))</f>
      </c>
      <c r="H3159">
        <f>IF(DATOS!$G3159&lt;&gt;"EX",0,--(COUNTIFS(nNIA,DATOS!$A3159,nCURSO,DATOS!$D3159,nESPEC,DATOS!$E3159,nASIG,DATOS!$I3159,nEVAL,"OR")=0))</f>
      </c>
      <c r="I3159">
        <f>IF(DATOS!$I3159="","",IFERROR(VLOOKUP(DATOS!$I3159,CONFIG_ASIGNATURAS!$B$2:$J$91,9,FALSE()),""))</f>
      </c>
    </row>
    <row r="3160">
      <c r="F3160">
        <f>IF(DATOS!$A3160="","",DATOS!$A3160&amp;"|"&amp;DATOS!$D3160&amp;"|"&amp;DATOS!$E3160&amp;"|"&amp;DATOS!$I3160)</f>
      </c>
      <c r="G3160">
        <f>IF(DATOS!$A3160="",0,IF(CONFIG_METADATA!$B$4&lt;&gt;"OR+EX",--(DATOS!$G3160=CONFIG_METADATA!$B$4),IF(DATOS!$G3160="EX",1,IF(DATOS!$G3160="OR",--(COUNTIFS(nNIA,DATOS!$A3160,nCURSO,DATOS!$D3160,nESPEC,DATOS!$E3160,nASIG,DATOS!$I3160,nEVAL,"EX")=0),0))))</f>
      </c>
      <c r="H3160">
        <f>IF(DATOS!$G3160&lt;&gt;"EX",0,--(COUNTIFS(nNIA,DATOS!$A3160,nCURSO,DATOS!$D3160,nESPEC,DATOS!$E3160,nASIG,DATOS!$I3160,nEVAL,"OR")=0))</f>
      </c>
      <c r="I3160">
        <f>IF(DATOS!$I3160="","",IFERROR(VLOOKUP(DATOS!$I3160,CONFIG_ASIGNATURAS!$B$2:$J$91,9,FALSE()),""))</f>
      </c>
    </row>
    <row r="3161">
      <c r="F3161">
        <f>IF(DATOS!$A3161="","",DATOS!$A3161&amp;"|"&amp;DATOS!$D3161&amp;"|"&amp;DATOS!$E3161&amp;"|"&amp;DATOS!$I3161)</f>
      </c>
      <c r="G3161">
        <f>IF(DATOS!$A3161="",0,IF(CONFIG_METADATA!$B$4&lt;&gt;"OR+EX",--(DATOS!$G3161=CONFIG_METADATA!$B$4),IF(DATOS!$G3161="EX",1,IF(DATOS!$G3161="OR",--(COUNTIFS(nNIA,DATOS!$A3161,nCURSO,DATOS!$D3161,nESPEC,DATOS!$E3161,nASIG,DATOS!$I3161,nEVAL,"EX")=0),0))))</f>
      </c>
      <c r="H3161">
        <f>IF(DATOS!$G3161&lt;&gt;"EX",0,--(COUNTIFS(nNIA,DATOS!$A3161,nCURSO,DATOS!$D3161,nESPEC,DATOS!$E3161,nASIG,DATOS!$I3161,nEVAL,"OR")=0))</f>
      </c>
      <c r="I3161">
        <f>IF(DATOS!$I3161="","",IFERROR(VLOOKUP(DATOS!$I3161,CONFIG_ASIGNATURAS!$B$2:$J$91,9,FALSE()),""))</f>
      </c>
    </row>
    <row r="3162">
      <c r="F3162">
        <f>IF(DATOS!$A3162="","",DATOS!$A3162&amp;"|"&amp;DATOS!$D3162&amp;"|"&amp;DATOS!$E3162&amp;"|"&amp;DATOS!$I3162)</f>
      </c>
      <c r="G3162">
        <f>IF(DATOS!$A3162="",0,IF(CONFIG_METADATA!$B$4&lt;&gt;"OR+EX",--(DATOS!$G3162=CONFIG_METADATA!$B$4),IF(DATOS!$G3162="EX",1,IF(DATOS!$G3162="OR",--(COUNTIFS(nNIA,DATOS!$A3162,nCURSO,DATOS!$D3162,nESPEC,DATOS!$E3162,nASIG,DATOS!$I3162,nEVAL,"EX")=0),0))))</f>
      </c>
      <c r="H3162">
        <f>IF(DATOS!$G3162&lt;&gt;"EX",0,--(COUNTIFS(nNIA,DATOS!$A3162,nCURSO,DATOS!$D3162,nESPEC,DATOS!$E3162,nASIG,DATOS!$I3162,nEVAL,"OR")=0))</f>
      </c>
      <c r="I3162">
        <f>IF(DATOS!$I3162="","",IFERROR(VLOOKUP(DATOS!$I3162,CONFIG_ASIGNATURAS!$B$2:$J$91,9,FALSE()),""))</f>
      </c>
    </row>
    <row r="3163">
      <c r="F3163">
        <f>IF(DATOS!$A3163="","",DATOS!$A3163&amp;"|"&amp;DATOS!$D3163&amp;"|"&amp;DATOS!$E3163&amp;"|"&amp;DATOS!$I3163)</f>
      </c>
      <c r="G3163">
        <f>IF(DATOS!$A3163="",0,IF(CONFIG_METADATA!$B$4&lt;&gt;"OR+EX",--(DATOS!$G3163=CONFIG_METADATA!$B$4),IF(DATOS!$G3163="EX",1,IF(DATOS!$G3163="OR",--(COUNTIFS(nNIA,DATOS!$A3163,nCURSO,DATOS!$D3163,nESPEC,DATOS!$E3163,nASIG,DATOS!$I3163,nEVAL,"EX")=0),0))))</f>
      </c>
      <c r="H3163">
        <f>IF(DATOS!$G3163&lt;&gt;"EX",0,--(COUNTIFS(nNIA,DATOS!$A3163,nCURSO,DATOS!$D3163,nESPEC,DATOS!$E3163,nASIG,DATOS!$I3163,nEVAL,"OR")=0))</f>
      </c>
      <c r="I3163">
        <f>IF(DATOS!$I3163="","",IFERROR(VLOOKUP(DATOS!$I3163,CONFIG_ASIGNATURAS!$B$2:$J$91,9,FALSE()),""))</f>
      </c>
    </row>
    <row r="3164">
      <c r="F3164">
        <f>IF(DATOS!$A3164="","",DATOS!$A3164&amp;"|"&amp;DATOS!$D3164&amp;"|"&amp;DATOS!$E3164&amp;"|"&amp;DATOS!$I3164)</f>
      </c>
      <c r="G3164">
        <f>IF(DATOS!$A3164="",0,IF(CONFIG_METADATA!$B$4&lt;&gt;"OR+EX",--(DATOS!$G3164=CONFIG_METADATA!$B$4),IF(DATOS!$G3164="EX",1,IF(DATOS!$G3164="OR",--(COUNTIFS(nNIA,DATOS!$A3164,nCURSO,DATOS!$D3164,nESPEC,DATOS!$E3164,nASIG,DATOS!$I3164,nEVAL,"EX")=0),0))))</f>
      </c>
      <c r="H3164">
        <f>IF(DATOS!$G3164&lt;&gt;"EX",0,--(COUNTIFS(nNIA,DATOS!$A3164,nCURSO,DATOS!$D3164,nESPEC,DATOS!$E3164,nASIG,DATOS!$I3164,nEVAL,"OR")=0))</f>
      </c>
      <c r="I3164">
        <f>IF(DATOS!$I3164="","",IFERROR(VLOOKUP(DATOS!$I3164,CONFIG_ASIGNATURAS!$B$2:$J$91,9,FALSE()),""))</f>
      </c>
    </row>
    <row r="3165">
      <c r="F3165">
        <f>IF(DATOS!$A3165="","",DATOS!$A3165&amp;"|"&amp;DATOS!$D3165&amp;"|"&amp;DATOS!$E3165&amp;"|"&amp;DATOS!$I3165)</f>
      </c>
      <c r="G3165">
        <f>IF(DATOS!$A3165="",0,IF(CONFIG_METADATA!$B$4&lt;&gt;"OR+EX",--(DATOS!$G3165=CONFIG_METADATA!$B$4),IF(DATOS!$G3165="EX",1,IF(DATOS!$G3165="OR",--(COUNTIFS(nNIA,DATOS!$A3165,nCURSO,DATOS!$D3165,nESPEC,DATOS!$E3165,nASIG,DATOS!$I3165,nEVAL,"EX")=0),0))))</f>
      </c>
      <c r="H3165">
        <f>IF(DATOS!$G3165&lt;&gt;"EX",0,--(COUNTIFS(nNIA,DATOS!$A3165,nCURSO,DATOS!$D3165,nESPEC,DATOS!$E3165,nASIG,DATOS!$I3165,nEVAL,"OR")=0))</f>
      </c>
      <c r="I3165">
        <f>IF(DATOS!$I3165="","",IFERROR(VLOOKUP(DATOS!$I3165,CONFIG_ASIGNATURAS!$B$2:$J$91,9,FALSE()),""))</f>
      </c>
    </row>
    <row r="3166">
      <c r="F3166">
        <f>IF(DATOS!$A3166="","",DATOS!$A3166&amp;"|"&amp;DATOS!$D3166&amp;"|"&amp;DATOS!$E3166&amp;"|"&amp;DATOS!$I3166)</f>
      </c>
      <c r="G3166">
        <f>IF(DATOS!$A3166="",0,IF(CONFIG_METADATA!$B$4&lt;&gt;"OR+EX",--(DATOS!$G3166=CONFIG_METADATA!$B$4),IF(DATOS!$G3166="EX",1,IF(DATOS!$G3166="OR",--(COUNTIFS(nNIA,DATOS!$A3166,nCURSO,DATOS!$D3166,nESPEC,DATOS!$E3166,nASIG,DATOS!$I3166,nEVAL,"EX")=0),0))))</f>
      </c>
      <c r="H3166">
        <f>IF(DATOS!$G3166&lt;&gt;"EX",0,--(COUNTIFS(nNIA,DATOS!$A3166,nCURSO,DATOS!$D3166,nESPEC,DATOS!$E3166,nASIG,DATOS!$I3166,nEVAL,"OR")=0))</f>
      </c>
      <c r="I3166">
        <f>IF(DATOS!$I3166="","",IFERROR(VLOOKUP(DATOS!$I3166,CONFIG_ASIGNATURAS!$B$2:$J$91,9,FALSE()),""))</f>
      </c>
    </row>
    <row r="3167">
      <c r="F3167">
        <f>IF(DATOS!$A3167="","",DATOS!$A3167&amp;"|"&amp;DATOS!$D3167&amp;"|"&amp;DATOS!$E3167&amp;"|"&amp;DATOS!$I3167)</f>
      </c>
      <c r="G3167">
        <f>IF(DATOS!$A3167="",0,IF(CONFIG_METADATA!$B$4&lt;&gt;"OR+EX",--(DATOS!$G3167=CONFIG_METADATA!$B$4),IF(DATOS!$G3167="EX",1,IF(DATOS!$G3167="OR",--(COUNTIFS(nNIA,DATOS!$A3167,nCURSO,DATOS!$D3167,nESPEC,DATOS!$E3167,nASIG,DATOS!$I3167,nEVAL,"EX")=0),0))))</f>
      </c>
      <c r="H3167">
        <f>IF(DATOS!$G3167&lt;&gt;"EX",0,--(COUNTIFS(nNIA,DATOS!$A3167,nCURSO,DATOS!$D3167,nESPEC,DATOS!$E3167,nASIG,DATOS!$I3167,nEVAL,"OR")=0))</f>
      </c>
      <c r="I3167">
        <f>IF(DATOS!$I3167="","",IFERROR(VLOOKUP(DATOS!$I3167,CONFIG_ASIGNATURAS!$B$2:$J$91,9,FALSE()),""))</f>
      </c>
    </row>
    <row r="3168">
      <c r="F3168">
        <f>IF(DATOS!$A3168="","",DATOS!$A3168&amp;"|"&amp;DATOS!$D3168&amp;"|"&amp;DATOS!$E3168&amp;"|"&amp;DATOS!$I3168)</f>
      </c>
      <c r="G3168">
        <f>IF(DATOS!$A3168="",0,IF(CONFIG_METADATA!$B$4&lt;&gt;"OR+EX",--(DATOS!$G3168=CONFIG_METADATA!$B$4),IF(DATOS!$G3168="EX",1,IF(DATOS!$G3168="OR",--(COUNTIFS(nNIA,DATOS!$A3168,nCURSO,DATOS!$D3168,nESPEC,DATOS!$E3168,nASIG,DATOS!$I3168,nEVAL,"EX")=0),0))))</f>
      </c>
      <c r="H3168">
        <f>IF(DATOS!$G3168&lt;&gt;"EX",0,--(COUNTIFS(nNIA,DATOS!$A3168,nCURSO,DATOS!$D3168,nESPEC,DATOS!$E3168,nASIG,DATOS!$I3168,nEVAL,"OR")=0))</f>
      </c>
      <c r="I3168">
        <f>IF(DATOS!$I3168="","",IFERROR(VLOOKUP(DATOS!$I3168,CONFIG_ASIGNATURAS!$B$2:$J$91,9,FALSE()),""))</f>
      </c>
    </row>
    <row r="3169">
      <c r="F3169">
        <f>IF(DATOS!$A3169="","",DATOS!$A3169&amp;"|"&amp;DATOS!$D3169&amp;"|"&amp;DATOS!$E3169&amp;"|"&amp;DATOS!$I3169)</f>
      </c>
      <c r="G3169">
        <f>IF(DATOS!$A3169="",0,IF(CONFIG_METADATA!$B$4&lt;&gt;"OR+EX",--(DATOS!$G3169=CONFIG_METADATA!$B$4),IF(DATOS!$G3169="EX",1,IF(DATOS!$G3169="OR",--(COUNTIFS(nNIA,DATOS!$A3169,nCURSO,DATOS!$D3169,nESPEC,DATOS!$E3169,nASIG,DATOS!$I3169,nEVAL,"EX")=0),0))))</f>
      </c>
      <c r="H3169">
        <f>IF(DATOS!$G3169&lt;&gt;"EX",0,--(COUNTIFS(nNIA,DATOS!$A3169,nCURSO,DATOS!$D3169,nESPEC,DATOS!$E3169,nASIG,DATOS!$I3169,nEVAL,"OR")=0))</f>
      </c>
      <c r="I3169">
        <f>IF(DATOS!$I3169="","",IFERROR(VLOOKUP(DATOS!$I3169,CONFIG_ASIGNATURAS!$B$2:$J$91,9,FALSE()),""))</f>
      </c>
    </row>
    <row r="3170">
      <c r="F3170">
        <f>IF(DATOS!$A3170="","",DATOS!$A3170&amp;"|"&amp;DATOS!$D3170&amp;"|"&amp;DATOS!$E3170&amp;"|"&amp;DATOS!$I3170)</f>
      </c>
      <c r="G3170">
        <f>IF(DATOS!$A3170="",0,IF(CONFIG_METADATA!$B$4&lt;&gt;"OR+EX",--(DATOS!$G3170=CONFIG_METADATA!$B$4),IF(DATOS!$G3170="EX",1,IF(DATOS!$G3170="OR",--(COUNTIFS(nNIA,DATOS!$A3170,nCURSO,DATOS!$D3170,nESPEC,DATOS!$E3170,nASIG,DATOS!$I3170,nEVAL,"EX")=0),0))))</f>
      </c>
      <c r="H3170">
        <f>IF(DATOS!$G3170&lt;&gt;"EX",0,--(COUNTIFS(nNIA,DATOS!$A3170,nCURSO,DATOS!$D3170,nESPEC,DATOS!$E3170,nASIG,DATOS!$I3170,nEVAL,"OR")=0))</f>
      </c>
      <c r="I3170">
        <f>IF(DATOS!$I3170="","",IFERROR(VLOOKUP(DATOS!$I3170,CONFIG_ASIGNATURAS!$B$2:$J$91,9,FALSE()),""))</f>
      </c>
    </row>
    <row r="3171">
      <c r="F3171">
        <f>IF(DATOS!$A3171="","",DATOS!$A3171&amp;"|"&amp;DATOS!$D3171&amp;"|"&amp;DATOS!$E3171&amp;"|"&amp;DATOS!$I3171)</f>
      </c>
      <c r="G3171">
        <f>IF(DATOS!$A3171="",0,IF(CONFIG_METADATA!$B$4&lt;&gt;"OR+EX",--(DATOS!$G3171=CONFIG_METADATA!$B$4),IF(DATOS!$G3171="EX",1,IF(DATOS!$G3171="OR",--(COUNTIFS(nNIA,DATOS!$A3171,nCURSO,DATOS!$D3171,nESPEC,DATOS!$E3171,nASIG,DATOS!$I3171,nEVAL,"EX")=0),0))))</f>
      </c>
      <c r="H3171">
        <f>IF(DATOS!$G3171&lt;&gt;"EX",0,--(COUNTIFS(nNIA,DATOS!$A3171,nCURSO,DATOS!$D3171,nESPEC,DATOS!$E3171,nASIG,DATOS!$I3171,nEVAL,"OR")=0))</f>
      </c>
      <c r="I3171">
        <f>IF(DATOS!$I3171="","",IFERROR(VLOOKUP(DATOS!$I3171,CONFIG_ASIGNATURAS!$B$2:$J$91,9,FALSE()),""))</f>
      </c>
    </row>
    <row r="3172">
      <c r="F3172">
        <f>IF(DATOS!$A3172="","",DATOS!$A3172&amp;"|"&amp;DATOS!$D3172&amp;"|"&amp;DATOS!$E3172&amp;"|"&amp;DATOS!$I3172)</f>
      </c>
      <c r="G3172">
        <f>IF(DATOS!$A3172="",0,IF(CONFIG_METADATA!$B$4&lt;&gt;"OR+EX",--(DATOS!$G3172=CONFIG_METADATA!$B$4),IF(DATOS!$G3172="EX",1,IF(DATOS!$G3172="OR",--(COUNTIFS(nNIA,DATOS!$A3172,nCURSO,DATOS!$D3172,nESPEC,DATOS!$E3172,nASIG,DATOS!$I3172,nEVAL,"EX")=0),0))))</f>
      </c>
      <c r="H3172">
        <f>IF(DATOS!$G3172&lt;&gt;"EX",0,--(COUNTIFS(nNIA,DATOS!$A3172,nCURSO,DATOS!$D3172,nESPEC,DATOS!$E3172,nASIG,DATOS!$I3172,nEVAL,"OR")=0))</f>
      </c>
      <c r="I3172">
        <f>IF(DATOS!$I3172="","",IFERROR(VLOOKUP(DATOS!$I3172,CONFIG_ASIGNATURAS!$B$2:$J$91,9,FALSE()),""))</f>
      </c>
    </row>
    <row r="3173">
      <c r="F3173">
        <f>IF(DATOS!$A3173="","",DATOS!$A3173&amp;"|"&amp;DATOS!$D3173&amp;"|"&amp;DATOS!$E3173&amp;"|"&amp;DATOS!$I3173)</f>
      </c>
      <c r="G3173">
        <f>IF(DATOS!$A3173="",0,IF(CONFIG_METADATA!$B$4&lt;&gt;"OR+EX",--(DATOS!$G3173=CONFIG_METADATA!$B$4),IF(DATOS!$G3173="EX",1,IF(DATOS!$G3173="OR",--(COUNTIFS(nNIA,DATOS!$A3173,nCURSO,DATOS!$D3173,nESPEC,DATOS!$E3173,nASIG,DATOS!$I3173,nEVAL,"EX")=0),0))))</f>
      </c>
      <c r="H3173">
        <f>IF(DATOS!$G3173&lt;&gt;"EX",0,--(COUNTIFS(nNIA,DATOS!$A3173,nCURSO,DATOS!$D3173,nESPEC,DATOS!$E3173,nASIG,DATOS!$I3173,nEVAL,"OR")=0))</f>
      </c>
      <c r="I3173">
        <f>IF(DATOS!$I3173="","",IFERROR(VLOOKUP(DATOS!$I3173,CONFIG_ASIGNATURAS!$B$2:$J$91,9,FALSE()),""))</f>
      </c>
    </row>
    <row r="3174">
      <c r="F3174">
        <f>IF(DATOS!$A3174="","",DATOS!$A3174&amp;"|"&amp;DATOS!$D3174&amp;"|"&amp;DATOS!$E3174&amp;"|"&amp;DATOS!$I3174)</f>
      </c>
      <c r="G3174">
        <f>IF(DATOS!$A3174="",0,IF(CONFIG_METADATA!$B$4&lt;&gt;"OR+EX",--(DATOS!$G3174=CONFIG_METADATA!$B$4),IF(DATOS!$G3174="EX",1,IF(DATOS!$G3174="OR",--(COUNTIFS(nNIA,DATOS!$A3174,nCURSO,DATOS!$D3174,nESPEC,DATOS!$E3174,nASIG,DATOS!$I3174,nEVAL,"EX")=0),0))))</f>
      </c>
      <c r="H3174">
        <f>IF(DATOS!$G3174&lt;&gt;"EX",0,--(COUNTIFS(nNIA,DATOS!$A3174,nCURSO,DATOS!$D3174,nESPEC,DATOS!$E3174,nASIG,DATOS!$I3174,nEVAL,"OR")=0))</f>
      </c>
      <c r="I3174">
        <f>IF(DATOS!$I3174="","",IFERROR(VLOOKUP(DATOS!$I3174,CONFIG_ASIGNATURAS!$B$2:$J$91,9,FALSE()),""))</f>
      </c>
    </row>
    <row r="3175">
      <c r="F3175">
        <f>IF(DATOS!$A3175="","",DATOS!$A3175&amp;"|"&amp;DATOS!$D3175&amp;"|"&amp;DATOS!$E3175&amp;"|"&amp;DATOS!$I3175)</f>
      </c>
      <c r="G3175">
        <f>IF(DATOS!$A3175="",0,IF(CONFIG_METADATA!$B$4&lt;&gt;"OR+EX",--(DATOS!$G3175=CONFIG_METADATA!$B$4),IF(DATOS!$G3175="EX",1,IF(DATOS!$G3175="OR",--(COUNTIFS(nNIA,DATOS!$A3175,nCURSO,DATOS!$D3175,nESPEC,DATOS!$E3175,nASIG,DATOS!$I3175,nEVAL,"EX")=0),0))))</f>
      </c>
      <c r="H3175">
        <f>IF(DATOS!$G3175&lt;&gt;"EX",0,--(COUNTIFS(nNIA,DATOS!$A3175,nCURSO,DATOS!$D3175,nESPEC,DATOS!$E3175,nASIG,DATOS!$I3175,nEVAL,"OR")=0))</f>
      </c>
      <c r="I3175">
        <f>IF(DATOS!$I3175="","",IFERROR(VLOOKUP(DATOS!$I3175,CONFIG_ASIGNATURAS!$B$2:$J$91,9,FALSE()),""))</f>
      </c>
    </row>
    <row r="3176">
      <c r="F3176">
        <f>IF(DATOS!$A3176="","",DATOS!$A3176&amp;"|"&amp;DATOS!$D3176&amp;"|"&amp;DATOS!$E3176&amp;"|"&amp;DATOS!$I3176)</f>
      </c>
      <c r="G3176">
        <f>IF(DATOS!$A3176="",0,IF(CONFIG_METADATA!$B$4&lt;&gt;"OR+EX",--(DATOS!$G3176=CONFIG_METADATA!$B$4),IF(DATOS!$G3176="EX",1,IF(DATOS!$G3176="OR",--(COUNTIFS(nNIA,DATOS!$A3176,nCURSO,DATOS!$D3176,nESPEC,DATOS!$E3176,nASIG,DATOS!$I3176,nEVAL,"EX")=0),0))))</f>
      </c>
      <c r="H3176">
        <f>IF(DATOS!$G3176&lt;&gt;"EX",0,--(COUNTIFS(nNIA,DATOS!$A3176,nCURSO,DATOS!$D3176,nESPEC,DATOS!$E3176,nASIG,DATOS!$I3176,nEVAL,"OR")=0))</f>
      </c>
      <c r="I3176">
        <f>IF(DATOS!$I3176="","",IFERROR(VLOOKUP(DATOS!$I3176,CONFIG_ASIGNATURAS!$B$2:$J$91,9,FALSE()),""))</f>
      </c>
    </row>
    <row r="3177">
      <c r="F3177">
        <f>IF(DATOS!$A3177="","",DATOS!$A3177&amp;"|"&amp;DATOS!$D3177&amp;"|"&amp;DATOS!$E3177&amp;"|"&amp;DATOS!$I3177)</f>
      </c>
      <c r="G3177">
        <f>IF(DATOS!$A3177="",0,IF(CONFIG_METADATA!$B$4&lt;&gt;"OR+EX",--(DATOS!$G3177=CONFIG_METADATA!$B$4),IF(DATOS!$G3177="EX",1,IF(DATOS!$G3177="OR",--(COUNTIFS(nNIA,DATOS!$A3177,nCURSO,DATOS!$D3177,nESPEC,DATOS!$E3177,nASIG,DATOS!$I3177,nEVAL,"EX")=0),0))))</f>
      </c>
      <c r="H3177">
        <f>IF(DATOS!$G3177&lt;&gt;"EX",0,--(COUNTIFS(nNIA,DATOS!$A3177,nCURSO,DATOS!$D3177,nESPEC,DATOS!$E3177,nASIG,DATOS!$I3177,nEVAL,"OR")=0))</f>
      </c>
      <c r="I3177">
        <f>IF(DATOS!$I3177="","",IFERROR(VLOOKUP(DATOS!$I3177,CONFIG_ASIGNATURAS!$B$2:$J$91,9,FALSE()),""))</f>
      </c>
    </row>
    <row r="3178">
      <c r="F3178">
        <f>IF(DATOS!$A3178="","",DATOS!$A3178&amp;"|"&amp;DATOS!$D3178&amp;"|"&amp;DATOS!$E3178&amp;"|"&amp;DATOS!$I3178)</f>
      </c>
      <c r="G3178">
        <f>IF(DATOS!$A3178="",0,IF(CONFIG_METADATA!$B$4&lt;&gt;"OR+EX",--(DATOS!$G3178=CONFIG_METADATA!$B$4),IF(DATOS!$G3178="EX",1,IF(DATOS!$G3178="OR",--(COUNTIFS(nNIA,DATOS!$A3178,nCURSO,DATOS!$D3178,nESPEC,DATOS!$E3178,nASIG,DATOS!$I3178,nEVAL,"EX")=0),0))))</f>
      </c>
      <c r="H3178">
        <f>IF(DATOS!$G3178&lt;&gt;"EX",0,--(COUNTIFS(nNIA,DATOS!$A3178,nCURSO,DATOS!$D3178,nESPEC,DATOS!$E3178,nASIG,DATOS!$I3178,nEVAL,"OR")=0))</f>
      </c>
      <c r="I3178">
        <f>IF(DATOS!$I3178="","",IFERROR(VLOOKUP(DATOS!$I3178,CONFIG_ASIGNATURAS!$B$2:$J$91,9,FALSE()),""))</f>
      </c>
    </row>
    <row r="3179">
      <c r="F3179">
        <f>IF(DATOS!$A3179="","",DATOS!$A3179&amp;"|"&amp;DATOS!$D3179&amp;"|"&amp;DATOS!$E3179&amp;"|"&amp;DATOS!$I3179)</f>
      </c>
      <c r="G3179">
        <f>IF(DATOS!$A3179="",0,IF(CONFIG_METADATA!$B$4&lt;&gt;"OR+EX",--(DATOS!$G3179=CONFIG_METADATA!$B$4),IF(DATOS!$G3179="EX",1,IF(DATOS!$G3179="OR",--(COUNTIFS(nNIA,DATOS!$A3179,nCURSO,DATOS!$D3179,nESPEC,DATOS!$E3179,nASIG,DATOS!$I3179,nEVAL,"EX")=0),0))))</f>
      </c>
      <c r="H3179">
        <f>IF(DATOS!$G3179&lt;&gt;"EX",0,--(COUNTIFS(nNIA,DATOS!$A3179,nCURSO,DATOS!$D3179,nESPEC,DATOS!$E3179,nASIG,DATOS!$I3179,nEVAL,"OR")=0))</f>
      </c>
      <c r="I3179">
        <f>IF(DATOS!$I3179="","",IFERROR(VLOOKUP(DATOS!$I3179,CONFIG_ASIGNATURAS!$B$2:$J$91,9,FALSE()),""))</f>
      </c>
    </row>
    <row r="3180">
      <c r="F3180">
        <f>IF(DATOS!$A3180="","",DATOS!$A3180&amp;"|"&amp;DATOS!$D3180&amp;"|"&amp;DATOS!$E3180&amp;"|"&amp;DATOS!$I3180)</f>
      </c>
      <c r="G3180">
        <f>IF(DATOS!$A3180="",0,IF(CONFIG_METADATA!$B$4&lt;&gt;"OR+EX",--(DATOS!$G3180=CONFIG_METADATA!$B$4),IF(DATOS!$G3180="EX",1,IF(DATOS!$G3180="OR",--(COUNTIFS(nNIA,DATOS!$A3180,nCURSO,DATOS!$D3180,nESPEC,DATOS!$E3180,nASIG,DATOS!$I3180,nEVAL,"EX")=0),0))))</f>
      </c>
      <c r="H3180">
        <f>IF(DATOS!$G3180&lt;&gt;"EX",0,--(COUNTIFS(nNIA,DATOS!$A3180,nCURSO,DATOS!$D3180,nESPEC,DATOS!$E3180,nASIG,DATOS!$I3180,nEVAL,"OR")=0))</f>
      </c>
      <c r="I3180">
        <f>IF(DATOS!$I3180="","",IFERROR(VLOOKUP(DATOS!$I3180,CONFIG_ASIGNATURAS!$B$2:$J$91,9,FALSE()),""))</f>
      </c>
    </row>
    <row r="3181">
      <c r="F3181">
        <f>IF(DATOS!$A3181="","",DATOS!$A3181&amp;"|"&amp;DATOS!$D3181&amp;"|"&amp;DATOS!$E3181&amp;"|"&amp;DATOS!$I3181)</f>
      </c>
      <c r="G3181">
        <f>IF(DATOS!$A3181="",0,IF(CONFIG_METADATA!$B$4&lt;&gt;"OR+EX",--(DATOS!$G3181=CONFIG_METADATA!$B$4),IF(DATOS!$G3181="EX",1,IF(DATOS!$G3181="OR",--(COUNTIFS(nNIA,DATOS!$A3181,nCURSO,DATOS!$D3181,nESPEC,DATOS!$E3181,nASIG,DATOS!$I3181,nEVAL,"EX")=0),0))))</f>
      </c>
      <c r="H3181">
        <f>IF(DATOS!$G3181&lt;&gt;"EX",0,--(COUNTIFS(nNIA,DATOS!$A3181,nCURSO,DATOS!$D3181,nESPEC,DATOS!$E3181,nASIG,DATOS!$I3181,nEVAL,"OR")=0))</f>
      </c>
      <c r="I3181">
        <f>IF(DATOS!$I3181="","",IFERROR(VLOOKUP(DATOS!$I3181,CONFIG_ASIGNATURAS!$B$2:$J$91,9,FALSE()),""))</f>
      </c>
    </row>
    <row r="3182">
      <c r="F3182">
        <f>IF(DATOS!$A3182="","",DATOS!$A3182&amp;"|"&amp;DATOS!$D3182&amp;"|"&amp;DATOS!$E3182&amp;"|"&amp;DATOS!$I3182)</f>
      </c>
      <c r="G3182">
        <f>IF(DATOS!$A3182="",0,IF(CONFIG_METADATA!$B$4&lt;&gt;"OR+EX",--(DATOS!$G3182=CONFIG_METADATA!$B$4),IF(DATOS!$G3182="EX",1,IF(DATOS!$G3182="OR",--(COUNTIFS(nNIA,DATOS!$A3182,nCURSO,DATOS!$D3182,nESPEC,DATOS!$E3182,nASIG,DATOS!$I3182,nEVAL,"EX")=0),0))))</f>
      </c>
      <c r="H3182">
        <f>IF(DATOS!$G3182&lt;&gt;"EX",0,--(COUNTIFS(nNIA,DATOS!$A3182,nCURSO,DATOS!$D3182,nESPEC,DATOS!$E3182,nASIG,DATOS!$I3182,nEVAL,"OR")=0))</f>
      </c>
      <c r="I3182">
        <f>IF(DATOS!$I3182="","",IFERROR(VLOOKUP(DATOS!$I3182,CONFIG_ASIGNATURAS!$B$2:$J$91,9,FALSE()),""))</f>
      </c>
    </row>
    <row r="3183">
      <c r="F3183">
        <f>IF(DATOS!$A3183="","",DATOS!$A3183&amp;"|"&amp;DATOS!$D3183&amp;"|"&amp;DATOS!$E3183&amp;"|"&amp;DATOS!$I3183)</f>
      </c>
      <c r="G3183">
        <f>IF(DATOS!$A3183="",0,IF(CONFIG_METADATA!$B$4&lt;&gt;"OR+EX",--(DATOS!$G3183=CONFIG_METADATA!$B$4),IF(DATOS!$G3183="EX",1,IF(DATOS!$G3183="OR",--(COUNTIFS(nNIA,DATOS!$A3183,nCURSO,DATOS!$D3183,nESPEC,DATOS!$E3183,nASIG,DATOS!$I3183,nEVAL,"EX")=0),0))))</f>
      </c>
      <c r="H3183">
        <f>IF(DATOS!$G3183&lt;&gt;"EX",0,--(COUNTIFS(nNIA,DATOS!$A3183,nCURSO,DATOS!$D3183,nESPEC,DATOS!$E3183,nASIG,DATOS!$I3183,nEVAL,"OR")=0))</f>
      </c>
      <c r="I3183">
        <f>IF(DATOS!$I3183="","",IFERROR(VLOOKUP(DATOS!$I3183,CONFIG_ASIGNATURAS!$B$2:$J$91,9,FALSE()),""))</f>
      </c>
    </row>
    <row r="3184">
      <c r="F3184">
        <f>IF(DATOS!$A3184="","",DATOS!$A3184&amp;"|"&amp;DATOS!$D3184&amp;"|"&amp;DATOS!$E3184&amp;"|"&amp;DATOS!$I3184)</f>
      </c>
      <c r="G3184">
        <f>IF(DATOS!$A3184="",0,IF(CONFIG_METADATA!$B$4&lt;&gt;"OR+EX",--(DATOS!$G3184=CONFIG_METADATA!$B$4),IF(DATOS!$G3184="EX",1,IF(DATOS!$G3184="OR",--(COUNTIFS(nNIA,DATOS!$A3184,nCURSO,DATOS!$D3184,nESPEC,DATOS!$E3184,nASIG,DATOS!$I3184,nEVAL,"EX")=0),0))))</f>
      </c>
      <c r="H3184">
        <f>IF(DATOS!$G3184&lt;&gt;"EX",0,--(COUNTIFS(nNIA,DATOS!$A3184,nCURSO,DATOS!$D3184,nESPEC,DATOS!$E3184,nASIG,DATOS!$I3184,nEVAL,"OR")=0))</f>
      </c>
      <c r="I3184">
        <f>IF(DATOS!$I3184="","",IFERROR(VLOOKUP(DATOS!$I3184,CONFIG_ASIGNATURAS!$B$2:$J$91,9,FALSE()),""))</f>
      </c>
    </row>
    <row r="3185">
      <c r="F3185">
        <f>IF(DATOS!$A3185="","",DATOS!$A3185&amp;"|"&amp;DATOS!$D3185&amp;"|"&amp;DATOS!$E3185&amp;"|"&amp;DATOS!$I3185)</f>
      </c>
      <c r="G3185">
        <f>IF(DATOS!$A3185="",0,IF(CONFIG_METADATA!$B$4&lt;&gt;"OR+EX",--(DATOS!$G3185=CONFIG_METADATA!$B$4),IF(DATOS!$G3185="EX",1,IF(DATOS!$G3185="OR",--(COUNTIFS(nNIA,DATOS!$A3185,nCURSO,DATOS!$D3185,nESPEC,DATOS!$E3185,nASIG,DATOS!$I3185,nEVAL,"EX")=0),0))))</f>
      </c>
      <c r="H3185">
        <f>IF(DATOS!$G3185&lt;&gt;"EX",0,--(COUNTIFS(nNIA,DATOS!$A3185,nCURSO,DATOS!$D3185,nESPEC,DATOS!$E3185,nASIG,DATOS!$I3185,nEVAL,"OR")=0))</f>
      </c>
      <c r="I3185">
        <f>IF(DATOS!$I3185="","",IFERROR(VLOOKUP(DATOS!$I3185,CONFIG_ASIGNATURAS!$B$2:$J$91,9,FALSE()),""))</f>
      </c>
    </row>
    <row r="3186">
      <c r="F3186">
        <f>IF(DATOS!$A3186="","",DATOS!$A3186&amp;"|"&amp;DATOS!$D3186&amp;"|"&amp;DATOS!$E3186&amp;"|"&amp;DATOS!$I3186)</f>
      </c>
      <c r="G3186">
        <f>IF(DATOS!$A3186="",0,IF(CONFIG_METADATA!$B$4&lt;&gt;"OR+EX",--(DATOS!$G3186=CONFIG_METADATA!$B$4),IF(DATOS!$G3186="EX",1,IF(DATOS!$G3186="OR",--(COUNTIFS(nNIA,DATOS!$A3186,nCURSO,DATOS!$D3186,nESPEC,DATOS!$E3186,nASIG,DATOS!$I3186,nEVAL,"EX")=0),0))))</f>
      </c>
      <c r="H3186">
        <f>IF(DATOS!$G3186&lt;&gt;"EX",0,--(COUNTIFS(nNIA,DATOS!$A3186,nCURSO,DATOS!$D3186,nESPEC,DATOS!$E3186,nASIG,DATOS!$I3186,nEVAL,"OR")=0))</f>
      </c>
      <c r="I3186">
        <f>IF(DATOS!$I3186="","",IFERROR(VLOOKUP(DATOS!$I3186,CONFIG_ASIGNATURAS!$B$2:$J$91,9,FALSE()),""))</f>
      </c>
    </row>
    <row r="3187">
      <c r="F3187">
        <f>IF(DATOS!$A3187="","",DATOS!$A3187&amp;"|"&amp;DATOS!$D3187&amp;"|"&amp;DATOS!$E3187&amp;"|"&amp;DATOS!$I3187)</f>
      </c>
      <c r="G3187">
        <f>IF(DATOS!$A3187="",0,IF(CONFIG_METADATA!$B$4&lt;&gt;"OR+EX",--(DATOS!$G3187=CONFIG_METADATA!$B$4),IF(DATOS!$G3187="EX",1,IF(DATOS!$G3187="OR",--(COUNTIFS(nNIA,DATOS!$A3187,nCURSO,DATOS!$D3187,nESPEC,DATOS!$E3187,nASIG,DATOS!$I3187,nEVAL,"EX")=0),0))))</f>
      </c>
      <c r="H3187">
        <f>IF(DATOS!$G3187&lt;&gt;"EX",0,--(COUNTIFS(nNIA,DATOS!$A3187,nCURSO,DATOS!$D3187,nESPEC,DATOS!$E3187,nASIG,DATOS!$I3187,nEVAL,"OR")=0))</f>
      </c>
      <c r="I3187">
        <f>IF(DATOS!$I3187="","",IFERROR(VLOOKUP(DATOS!$I3187,CONFIG_ASIGNATURAS!$B$2:$J$91,9,FALSE()),""))</f>
      </c>
    </row>
    <row r="3188">
      <c r="F3188">
        <f>IF(DATOS!$A3188="","",DATOS!$A3188&amp;"|"&amp;DATOS!$D3188&amp;"|"&amp;DATOS!$E3188&amp;"|"&amp;DATOS!$I3188)</f>
      </c>
      <c r="G3188">
        <f>IF(DATOS!$A3188="",0,IF(CONFIG_METADATA!$B$4&lt;&gt;"OR+EX",--(DATOS!$G3188=CONFIG_METADATA!$B$4),IF(DATOS!$G3188="EX",1,IF(DATOS!$G3188="OR",--(COUNTIFS(nNIA,DATOS!$A3188,nCURSO,DATOS!$D3188,nESPEC,DATOS!$E3188,nASIG,DATOS!$I3188,nEVAL,"EX")=0),0))))</f>
      </c>
      <c r="H3188">
        <f>IF(DATOS!$G3188&lt;&gt;"EX",0,--(COUNTIFS(nNIA,DATOS!$A3188,nCURSO,DATOS!$D3188,nESPEC,DATOS!$E3188,nASIG,DATOS!$I3188,nEVAL,"OR")=0))</f>
      </c>
      <c r="I3188">
        <f>IF(DATOS!$I3188="","",IFERROR(VLOOKUP(DATOS!$I3188,CONFIG_ASIGNATURAS!$B$2:$J$91,9,FALSE()),""))</f>
      </c>
    </row>
    <row r="3189">
      <c r="F3189">
        <f>IF(DATOS!$A3189="","",DATOS!$A3189&amp;"|"&amp;DATOS!$D3189&amp;"|"&amp;DATOS!$E3189&amp;"|"&amp;DATOS!$I3189)</f>
      </c>
      <c r="G3189">
        <f>IF(DATOS!$A3189="",0,IF(CONFIG_METADATA!$B$4&lt;&gt;"OR+EX",--(DATOS!$G3189=CONFIG_METADATA!$B$4),IF(DATOS!$G3189="EX",1,IF(DATOS!$G3189="OR",--(COUNTIFS(nNIA,DATOS!$A3189,nCURSO,DATOS!$D3189,nESPEC,DATOS!$E3189,nASIG,DATOS!$I3189,nEVAL,"EX")=0),0))))</f>
      </c>
      <c r="H3189">
        <f>IF(DATOS!$G3189&lt;&gt;"EX",0,--(COUNTIFS(nNIA,DATOS!$A3189,nCURSO,DATOS!$D3189,nESPEC,DATOS!$E3189,nASIG,DATOS!$I3189,nEVAL,"OR")=0))</f>
      </c>
      <c r="I3189">
        <f>IF(DATOS!$I3189="","",IFERROR(VLOOKUP(DATOS!$I3189,CONFIG_ASIGNATURAS!$B$2:$J$91,9,FALSE()),""))</f>
      </c>
    </row>
    <row r="3190">
      <c r="F3190">
        <f>IF(DATOS!$A3190="","",DATOS!$A3190&amp;"|"&amp;DATOS!$D3190&amp;"|"&amp;DATOS!$E3190&amp;"|"&amp;DATOS!$I3190)</f>
      </c>
      <c r="G3190">
        <f>IF(DATOS!$A3190="",0,IF(CONFIG_METADATA!$B$4&lt;&gt;"OR+EX",--(DATOS!$G3190=CONFIG_METADATA!$B$4),IF(DATOS!$G3190="EX",1,IF(DATOS!$G3190="OR",--(COUNTIFS(nNIA,DATOS!$A3190,nCURSO,DATOS!$D3190,nESPEC,DATOS!$E3190,nASIG,DATOS!$I3190,nEVAL,"EX")=0),0))))</f>
      </c>
      <c r="H3190">
        <f>IF(DATOS!$G3190&lt;&gt;"EX",0,--(COUNTIFS(nNIA,DATOS!$A3190,nCURSO,DATOS!$D3190,nESPEC,DATOS!$E3190,nASIG,DATOS!$I3190,nEVAL,"OR")=0))</f>
      </c>
      <c r="I3190">
        <f>IF(DATOS!$I3190="","",IFERROR(VLOOKUP(DATOS!$I3190,CONFIG_ASIGNATURAS!$B$2:$J$91,9,FALSE()),""))</f>
      </c>
    </row>
    <row r="3191">
      <c r="F3191">
        <f>IF(DATOS!$A3191="","",DATOS!$A3191&amp;"|"&amp;DATOS!$D3191&amp;"|"&amp;DATOS!$E3191&amp;"|"&amp;DATOS!$I3191)</f>
      </c>
      <c r="G3191">
        <f>IF(DATOS!$A3191="",0,IF(CONFIG_METADATA!$B$4&lt;&gt;"OR+EX",--(DATOS!$G3191=CONFIG_METADATA!$B$4),IF(DATOS!$G3191="EX",1,IF(DATOS!$G3191="OR",--(COUNTIFS(nNIA,DATOS!$A3191,nCURSO,DATOS!$D3191,nESPEC,DATOS!$E3191,nASIG,DATOS!$I3191,nEVAL,"EX")=0),0))))</f>
      </c>
      <c r="H3191">
        <f>IF(DATOS!$G3191&lt;&gt;"EX",0,--(COUNTIFS(nNIA,DATOS!$A3191,nCURSO,DATOS!$D3191,nESPEC,DATOS!$E3191,nASIG,DATOS!$I3191,nEVAL,"OR")=0))</f>
      </c>
      <c r="I3191">
        <f>IF(DATOS!$I3191="","",IFERROR(VLOOKUP(DATOS!$I3191,CONFIG_ASIGNATURAS!$B$2:$J$91,9,FALSE()),""))</f>
      </c>
    </row>
    <row r="3192">
      <c r="F3192">
        <f>IF(DATOS!$A3192="","",DATOS!$A3192&amp;"|"&amp;DATOS!$D3192&amp;"|"&amp;DATOS!$E3192&amp;"|"&amp;DATOS!$I3192)</f>
      </c>
      <c r="G3192">
        <f>IF(DATOS!$A3192="",0,IF(CONFIG_METADATA!$B$4&lt;&gt;"OR+EX",--(DATOS!$G3192=CONFIG_METADATA!$B$4),IF(DATOS!$G3192="EX",1,IF(DATOS!$G3192="OR",--(COUNTIFS(nNIA,DATOS!$A3192,nCURSO,DATOS!$D3192,nESPEC,DATOS!$E3192,nASIG,DATOS!$I3192,nEVAL,"EX")=0),0))))</f>
      </c>
      <c r="H3192">
        <f>IF(DATOS!$G3192&lt;&gt;"EX",0,--(COUNTIFS(nNIA,DATOS!$A3192,nCURSO,DATOS!$D3192,nESPEC,DATOS!$E3192,nASIG,DATOS!$I3192,nEVAL,"OR")=0))</f>
      </c>
      <c r="I3192">
        <f>IF(DATOS!$I3192="","",IFERROR(VLOOKUP(DATOS!$I3192,CONFIG_ASIGNATURAS!$B$2:$J$91,9,FALSE()),""))</f>
      </c>
    </row>
    <row r="3193">
      <c r="F3193">
        <f>IF(DATOS!$A3193="","",DATOS!$A3193&amp;"|"&amp;DATOS!$D3193&amp;"|"&amp;DATOS!$E3193&amp;"|"&amp;DATOS!$I3193)</f>
      </c>
      <c r="G3193">
        <f>IF(DATOS!$A3193="",0,IF(CONFIG_METADATA!$B$4&lt;&gt;"OR+EX",--(DATOS!$G3193=CONFIG_METADATA!$B$4),IF(DATOS!$G3193="EX",1,IF(DATOS!$G3193="OR",--(COUNTIFS(nNIA,DATOS!$A3193,nCURSO,DATOS!$D3193,nESPEC,DATOS!$E3193,nASIG,DATOS!$I3193,nEVAL,"EX")=0),0))))</f>
      </c>
      <c r="H3193">
        <f>IF(DATOS!$G3193&lt;&gt;"EX",0,--(COUNTIFS(nNIA,DATOS!$A3193,nCURSO,DATOS!$D3193,nESPEC,DATOS!$E3193,nASIG,DATOS!$I3193,nEVAL,"OR")=0))</f>
      </c>
      <c r="I3193">
        <f>IF(DATOS!$I3193="","",IFERROR(VLOOKUP(DATOS!$I3193,CONFIG_ASIGNATURAS!$B$2:$J$91,9,FALSE()),""))</f>
      </c>
    </row>
    <row r="3194">
      <c r="F3194">
        <f>IF(DATOS!$A3194="","",DATOS!$A3194&amp;"|"&amp;DATOS!$D3194&amp;"|"&amp;DATOS!$E3194&amp;"|"&amp;DATOS!$I3194)</f>
      </c>
      <c r="G3194">
        <f>IF(DATOS!$A3194="",0,IF(CONFIG_METADATA!$B$4&lt;&gt;"OR+EX",--(DATOS!$G3194=CONFIG_METADATA!$B$4),IF(DATOS!$G3194="EX",1,IF(DATOS!$G3194="OR",--(COUNTIFS(nNIA,DATOS!$A3194,nCURSO,DATOS!$D3194,nESPEC,DATOS!$E3194,nASIG,DATOS!$I3194,nEVAL,"EX")=0),0))))</f>
      </c>
      <c r="H3194">
        <f>IF(DATOS!$G3194&lt;&gt;"EX",0,--(COUNTIFS(nNIA,DATOS!$A3194,nCURSO,DATOS!$D3194,nESPEC,DATOS!$E3194,nASIG,DATOS!$I3194,nEVAL,"OR")=0))</f>
      </c>
      <c r="I3194">
        <f>IF(DATOS!$I3194="","",IFERROR(VLOOKUP(DATOS!$I3194,CONFIG_ASIGNATURAS!$B$2:$J$91,9,FALSE()),""))</f>
      </c>
    </row>
    <row r="3195">
      <c r="F3195">
        <f>IF(DATOS!$A3195="","",DATOS!$A3195&amp;"|"&amp;DATOS!$D3195&amp;"|"&amp;DATOS!$E3195&amp;"|"&amp;DATOS!$I3195)</f>
      </c>
      <c r="G3195">
        <f>IF(DATOS!$A3195="",0,IF(CONFIG_METADATA!$B$4&lt;&gt;"OR+EX",--(DATOS!$G3195=CONFIG_METADATA!$B$4),IF(DATOS!$G3195="EX",1,IF(DATOS!$G3195="OR",--(COUNTIFS(nNIA,DATOS!$A3195,nCURSO,DATOS!$D3195,nESPEC,DATOS!$E3195,nASIG,DATOS!$I3195,nEVAL,"EX")=0),0))))</f>
      </c>
      <c r="H3195">
        <f>IF(DATOS!$G3195&lt;&gt;"EX",0,--(COUNTIFS(nNIA,DATOS!$A3195,nCURSO,DATOS!$D3195,nESPEC,DATOS!$E3195,nASIG,DATOS!$I3195,nEVAL,"OR")=0))</f>
      </c>
      <c r="I3195">
        <f>IF(DATOS!$I3195="","",IFERROR(VLOOKUP(DATOS!$I3195,CONFIG_ASIGNATURAS!$B$2:$J$91,9,FALSE()),""))</f>
      </c>
    </row>
    <row r="3196">
      <c r="F3196">
        <f>IF(DATOS!$A3196="","",DATOS!$A3196&amp;"|"&amp;DATOS!$D3196&amp;"|"&amp;DATOS!$E3196&amp;"|"&amp;DATOS!$I3196)</f>
      </c>
      <c r="G3196">
        <f>IF(DATOS!$A3196="",0,IF(CONFIG_METADATA!$B$4&lt;&gt;"OR+EX",--(DATOS!$G3196=CONFIG_METADATA!$B$4),IF(DATOS!$G3196="EX",1,IF(DATOS!$G3196="OR",--(COUNTIFS(nNIA,DATOS!$A3196,nCURSO,DATOS!$D3196,nESPEC,DATOS!$E3196,nASIG,DATOS!$I3196,nEVAL,"EX")=0),0))))</f>
      </c>
      <c r="H3196">
        <f>IF(DATOS!$G3196&lt;&gt;"EX",0,--(COUNTIFS(nNIA,DATOS!$A3196,nCURSO,DATOS!$D3196,nESPEC,DATOS!$E3196,nASIG,DATOS!$I3196,nEVAL,"OR")=0))</f>
      </c>
      <c r="I3196">
        <f>IF(DATOS!$I3196="","",IFERROR(VLOOKUP(DATOS!$I3196,CONFIG_ASIGNATURAS!$B$2:$J$91,9,FALSE()),""))</f>
      </c>
    </row>
    <row r="3197">
      <c r="F3197">
        <f>IF(DATOS!$A3197="","",DATOS!$A3197&amp;"|"&amp;DATOS!$D3197&amp;"|"&amp;DATOS!$E3197&amp;"|"&amp;DATOS!$I3197)</f>
      </c>
      <c r="G3197">
        <f>IF(DATOS!$A3197="",0,IF(CONFIG_METADATA!$B$4&lt;&gt;"OR+EX",--(DATOS!$G3197=CONFIG_METADATA!$B$4),IF(DATOS!$G3197="EX",1,IF(DATOS!$G3197="OR",--(COUNTIFS(nNIA,DATOS!$A3197,nCURSO,DATOS!$D3197,nESPEC,DATOS!$E3197,nASIG,DATOS!$I3197,nEVAL,"EX")=0),0))))</f>
      </c>
      <c r="H3197">
        <f>IF(DATOS!$G3197&lt;&gt;"EX",0,--(COUNTIFS(nNIA,DATOS!$A3197,nCURSO,DATOS!$D3197,nESPEC,DATOS!$E3197,nASIG,DATOS!$I3197,nEVAL,"OR")=0))</f>
      </c>
      <c r="I3197">
        <f>IF(DATOS!$I3197="","",IFERROR(VLOOKUP(DATOS!$I3197,CONFIG_ASIGNATURAS!$B$2:$J$91,9,FALSE()),""))</f>
      </c>
    </row>
    <row r="3198">
      <c r="F3198">
        <f>IF(DATOS!$A3198="","",DATOS!$A3198&amp;"|"&amp;DATOS!$D3198&amp;"|"&amp;DATOS!$E3198&amp;"|"&amp;DATOS!$I3198)</f>
      </c>
      <c r="G3198">
        <f>IF(DATOS!$A3198="",0,IF(CONFIG_METADATA!$B$4&lt;&gt;"OR+EX",--(DATOS!$G3198=CONFIG_METADATA!$B$4),IF(DATOS!$G3198="EX",1,IF(DATOS!$G3198="OR",--(COUNTIFS(nNIA,DATOS!$A3198,nCURSO,DATOS!$D3198,nESPEC,DATOS!$E3198,nASIG,DATOS!$I3198,nEVAL,"EX")=0),0))))</f>
      </c>
      <c r="H3198">
        <f>IF(DATOS!$G3198&lt;&gt;"EX",0,--(COUNTIFS(nNIA,DATOS!$A3198,nCURSO,DATOS!$D3198,nESPEC,DATOS!$E3198,nASIG,DATOS!$I3198,nEVAL,"OR")=0))</f>
      </c>
      <c r="I3198">
        <f>IF(DATOS!$I3198="","",IFERROR(VLOOKUP(DATOS!$I3198,CONFIG_ASIGNATURAS!$B$2:$J$91,9,FALSE()),""))</f>
      </c>
    </row>
    <row r="3199">
      <c r="F3199">
        <f>IF(DATOS!$A3199="","",DATOS!$A3199&amp;"|"&amp;DATOS!$D3199&amp;"|"&amp;DATOS!$E3199&amp;"|"&amp;DATOS!$I3199)</f>
      </c>
      <c r="G3199">
        <f>IF(DATOS!$A3199="",0,IF(CONFIG_METADATA!$B$4&lt;&gt;"OR+EX",--(DATOS!$G3199=CONFIG_METADATA!$B$4),IF(DATOS!$G3199="EX",1,IF(DATOS!$G3199="OR",--(COUNTIFS(nNIA,DATOS!$A3199,nCURSO,DATOS!$D3199,nESPEC,DATOS!$E3199,nASIG,DATOS!$I3199,nEVAL,"EX")=0),0))))</f>
      </c>
      <c r="H3199">
        <f>IF(DATOS!$G3199&lt;&gt;"EX",0,--(COUNTIFS(nNIA,DATOS!$A3199,nCURSO,DATOS!$D3199,nESPEC,DATOS!$E3199,nASIG,DATOS!$I3199,nEVAL,"OR")=0))</f>
      </c>
      <c r="I3199">
        <f>IF(DATOS!$I3199="","",IFERROR(VLOOKUP(DATOS!$I3199,CONFIG_ASIGNATURAS!$B$2:$J$91,9,FALSE()),""))</f>
      </c>
    </row>
    <row r="3200">
      <c r="F3200">
        <f>IF(DATOS!$A3200="","",DATOS!$A3200&amp;"|"&amp;DATOS!$D3200&amp;"|"&amp;DATOS!$E3200&amp;"|"&amp;DATOS!$I3200)</f>
      </c>
      <c r="G3200">
        <f>IF(DATOS!$A3200="",0,IF(CONFIG_METADATA!$B$4&lt;&gt;"OR+EX",--(DATOS!$G3200=CONFIG_METADATA!$B$4),IF(DATOS!$G3200="EX",1,IF(DATOS!$G3200="OR",--(COUNTIFS(nNIA,DATOS!$A3200,nCURSO,DATOS!$D3200,nESPEC,DATOS!$E3200,nASIG,DATOS!$I3200,nEVAL,"EX")=0),0))))</f>
      </c>
      <c r="H3200">
        <f>IF(DATOS!$G3200&lt;&gt;"EX",0,--(COUNTIFS(nNIA,DATOS!$A3200,nCURSO,DATOS!$D3200,nESPEC,DATOS!$E3200,nASIG,DATOS!$I3200,nEVAL,"OR")=0))</f>
      </c>
      <c r="I3200">
        <f>IF(DATOS!$I3200="","",IFERROR(VLOOKUP(DATOS!$I3200,CONFIG_ASIGNATURAS!$B$2:$J$91,9,FALSE()),""))</f>
      </c>
    </row>
    <row r="3201">
      <c r="F3201">
        <f>IF(DATOS!$A3201="","",DATOS!$A3201&amp;"|"&amp;DATOS!$D3201&amp;"|"&amp;DATOS!$E3201&amp;"|"&amp;DATOS!$I3201)</f>
      </c>
      <c r="G3201">
        <f>IF(DATOS!$A3201="",0,IF(CONFIG_METADATA!$B$4&lt;&gt;"OR+EX",--(DATOS!$G3201=CONFIG_METADATA!$B$4),IF(DATOS!$G3201="EX",1,IF(DATOS!$G3201="OR",--(COUNTIFS(nNIA,DATOS!$A3201,nCURSO,DATOS!$D3201,nESPEC,DATOS!$E3201,nASIG,DATOS!$I3201,nEVAL,"EX")=0),0))))</f>
      </c>
      <c r="H3201">
        <f>IF(DATOS!$G3201&lt;&gt;"EX",0,--(COUNTIFS(nNIA,DATOS!$A3201,nCURSO,DATOS!$D3201,nESPEC,DATOS!$E3201,nASIG,DATOS!$I3201,nEVAL,"OR")=0))</f>
      </c>
      <c r="I3201">
        <f>IF(DATOS!$I3201="","",IFERROR(VLOOKUP(DATOS!$I3201,CONFIG_ASIGNATURAS!$B$2:$J$91,9,FALSE()),""))</f>
      </c>
    </row>
    <row r="3202">
      <c r="F3202">
        <f>IF(DATOS!$A3202="","",DATOS!$A3202&amp;"|"&amp;DATOS!$D3202&amp;"|"&amp;DATOS!$E3202&amp;"|"&amp;DATOS!$I3202)</f>
      </c>
      <c r="G3202">
        <f>IF(DATOS!$A3202="",0,IF(CONFIG_METADATA!$B$4&lt;&gt;"OR+EX",--(DATOS!$G3202=CONFIG_METADATA!$B$4),IF(DATOS!$G3202="EX",1,IF(DATOS!$G3202="OR",--(COUNTIFS(nNIA,DATOS!$A3202,nCURSO,DATOS!$D3202,nESPEC,DATOS!$E3202,nASIG,DATOS!$I3202,nEVAL,"EX")=0),0))))</f>
      </c>
      <c r="H3202">
        <f>IF(DATOS!$G3202&lt;&gt;"EX",0,--(COUNTIFS(nNIA,DATOS!$A3202,nCURSO,DATOS!$D3202,nESPEC,DATOS!$E3202,nASIG,DATOS!$I3202,nEVAL,"OR")=0))</f>
      </c>
      <c r="I3202">
        <f>IF(DATOS!$I3202="","",IFERROR(VLOOKUP(DATOS!$I3202,CONFIG_ASIGNATURAS!$B$2:$J$91,9,FALSE()),""))</f>
      </c>
    </row>
    <row r="3203">
      <c r="F3203">
        <f>IF(DATOS!$A3203="","",DATOS!$A3203&amp;"|"&amp;DATOS!$D3203&amp;"|"&amp;DATOS!$E3203&amp;"|"&amp;DATOS!$I3203)</f>
      </c>
      <c r="G3203">
        <f>IF(DATOS!$A3203="",0,IF(CONFIG_METADATA!$B$4&lt;&gt;"OR+EX",--(DATOS!$G3203=CONFIG_METADATA!$B$4),IF(DATOS!$G3203="EX",1,IF(DATOS!$G3203="OR",--(COUNTIFS(nNIA,DATOS!$A3203,nCURSO,DATOS!$D3203,nESPEC,DATOS!$E3203,nASIG,DATOS!$I3203,nEVAL,"EX")=0),0))))</f>
      </c>
      <c r="H3203">
        <f>IF(DATOS!$G3203&lt;&gt;"EX",0,--(COUNTIFS(nNIA,DATOS!$A3203,nCURSO,DATOS!$D3203,nESPEC,DATOS!$E3203,nASIG,DATOS!$I3203,nEVAL,"OR")=0))</f>
      </c>
      <c r="I3203">
        <f>IF(DATOS!$I3203="","",IFERROR(VLOOKUP(DATOS!$I3203,CONFIG_ASIGNATURAS!$B$2:$J$91,9,FALSE()),""))</f>
      </c>
    </row>
    <row r="3204">
      <c r="F3204">
        <f>IF(DATOS!$A3204="","",DATOS!$A3204&amp;"|"&amp;DATOS!$D3204&amp;"|"&amp;DATOS!$E3204&amp;"|"&amp;DATOS!$I3204)</f>
      </c>
      <c r="G3204">
        <f>IF(DATOS!$A3204="",0,IF(CONFIG_METADATA!$B$4&lt;&gt;"OR+EX",--(DATOS!$G3204=CONFIG_METADATA!$B$4),IF(DATOS!$G3204="EX",1,IF(DATOS!$G3204="OR",--(COUNTIFS(nNIA,DATOS!$A3204,nCURSO,DATOS!$D3204,nESPEC,DATOS!$E3204,nASIG,DATOS!$I3204,nEVAL,"EX")=0),0))))</f>
      </c>
      <c r="H3204">
        <f>IF(DATOS!$G3204&lt;&gt;"EX",0,--(COUNTIFS(nNIA,DATOS!$A3204,nCURSO,DATOS!$D3204,nESPEC,DATOS!$E3204,nASIG,DATOS!$I3204,nEVAL,"OR")=0))</f>
      </c>
      <c r="I3204">
        <f>IF(DATOS!$I3204="","",IFERROR(VLOOKUP(DATOS!$I3204,CONFIG_ASIGNATURAS!$B$2:$J$91,9,FALSE()),""))</f>
      </c>
    </row>
    <row r="3205">
      <c r="F3205">
        <f>IF(DATOS!$A3205="","",DATOS!$A3205&amp;"|"&amp;DATOS!$D3205&amp;"|"&amp;DATOS!$E3205&amp;"|"&amp;DATOS!$I3205)</f>
      </c>
      <c r="G3205">
        <f>IF(DATOS!$A3205="",0,IF(CONFIG_METADATA!$B$4&lt;&gt;"OR+EX",--(DATOS!$G3205=CONFIG_METADATA!$B$4),IF(DATOS!$G3205="EX",1,IF(DATOS!$G3205="OR",--(COUNTIFS(nNIA,DATOS!$A3205,nCURSO,DATOS!$D3205,nESPEC,DATOS!$E3205,nASIG,DATOS!$I3205,nEVAL,"EX")=0),0))))</f>
      </c>
      <c r="H3205">
        <f>IF(DATOS!$G3205&lt;&gt;"EX",0,--(COUNTIFS(nNIA,DATOS!$A3205,nCURSO,DATOS!$D3205,nESPEC,DATOS!$E3205,nASIG,DATOS!$I3205,nEVAL,"OR")=0))</f>
      </c>
      <c r="I3205">
        <f>IF(DATOS!$I3205="","",IFERROR(VLOOKUP(DATOS!$I3205,CONFIG_ASIGNATURAS!$B$2:$J$91,9,FALSE()),""))</f>
      </c>
    </row>
    <row r="3206">
      <c r="F3206">
        <f>IF(DATOS!$A3206="","",DATOS!$A3206&amp;"|"&amp;DATOS!$D3206&amp;"|"&amp;DATOS!$E3206&amp;"|"&amp;DATOS!$I3206)</f>
      </c>
      <c r="G3206">
        <f>IF(DATOS!$A3206="",0,IF(CONFIG_METADATA!$B$4&lt;&gt;"OR+EX",--(DATOS!$G3206=CONFIG_METADATA!$B$4),IF(DATOS!$G3206="EX",1,IF(DATOS!$G3206="OR",--(COUNTIFS(nNIA,DATOS!$A3206,nCURSO,DATOS!$D3206,nESPEC,DATOS!$E3206,nASIG,DATOS!$I3206,nEVAL,"EX")=0),0))))</f>
      </c>
      <c r="H3206">
        <f>IF(DATOS!$G3206&lt;&gt;"EX",0,--(COUNTIFS(nNIA,DATOS!$A3206,nCURSO,DATOS!$D3206,nESPEC,DATOS!$E3206,nASIG,DATOS!$I3206,nEVAL,"OR")=0))</f>
      </c>
      <c r="I3206">
        <f>IF(DATOS!$I3206="","",IFERROR(VLOOKUP(DATOS!$I3206,CONFIG_ASIGNATURAS!$B$2:$J$91,9,FALSE()),""))</f>
      </c>
    </row>
    <row r="3207">
      <c r="F3207">
        <f>IF(DATOS!$A3207="","",DATOS!$A3207&amp;"|"&amp;DATOS!$D3207&amp;"|"&amp;DATOS!$E3207&amp;"|"&amp;DATOS!$I3207)</f>
      </c>
      <c r="G3207">
        <f>IF(DATOS!$A3207="",0,IF(CONFIG_METADATA!$B$4&lt;&gt;"OR+EX",--(DATOS!$G3207=CONFIG_METADATA!$B$4),IF(DATOS!$G3207="EX",1,IF(DATOS!$G3207="OR",--(COUNTIFS(nNIA,DATOS!$A3207,nCURSO,DATOS!$D3207,nESPEC,DATOS!$E3207,nASIG,DATOS!$I3207,nEVAL,"EX")=0),0))))</f>
      </c>
      <c r="H3207">
        <f>IF(DATOS!$G3207&lt;&gt;"EX",0,--(COUNTIFS(nNIA,DATOS!$A3207,nCURSO,DATOS!$D3207,nESPEC,DATOS!$E3207,nASIG,DATOS!$I3207,nEVAL,"OR")=0))</f>
      </c>
      <c r="I3207">
        <f>IF(DATOS!$I3207="","",IFERROR(VLOOKUP(DATOS!$I3207,CONFIG_ASIGNATURAS!$B$2:$J$91,9,FALSE()),""))</f>
      </c>
    </row>
    <row r="3208">
      <c r="F3208">
        <f>IF(DATOS!$A3208="","",DATOS!$A3208&amp;"|"&amp;DATOS!$D3208&amp;"|"&amp;DATOS!$E3208&amp;"|"&amp;DATOS!$I3208)</f>
      </c>
      <c r="G3208">
        <f>IF(DATOS!$A3208="",0,IF(CONFIG_METADATA!$B$4&lt;&gt;"OR+EX",--(DATOS!$G3208=CONFIG_METADATA!$B$4),IF(DATOS!$G3208="EX",1,IF(DATOS!$G3208="OR",--(COUNTIFS(nNIA,DATOS!$A3208,nCURSO,DATOS!$D3208,nESPEC,DATOS!$E3208,nASIG,DATOS!$I3208,nEVAL,"EX")=0),0))))</f>
      </c>
      <c r="H3208">
        <f>IF(DATOS!$G3208&lt;&gt;"EX",0,--(COUNTIFS(nNIA,DATOS!$A3208,nCURSO,DATOS!$D3208,nESPEC,DATOS!$E3208,nASIG,DATOS!$I3208,nEVAL,"OR")=0))</f>
      </c>
      <c r="I3208">
        <f>IF(DATOS!$I3208="","",IFERROR(VLOOKUP(DATOS!$I3208,CONFIG_ASIGNATURAS!$B$2:$J$91,9,FALSE()),""))</f>
      </c>
    </row>
    <row r="3209">
      <c r="F3209">
        <f>IF(DATOS!$A3209="","",DATOS!$A3209&amp;"|"&amp;DATOS!$D3209&amp;"|"&amp;DATOS!$E3209&amp;"|"&amp;DATOS!$I3209)</f>
      </c>
      <c r="G3209">
        <f>IF(DATOS!$A3209="",0,IF(CONFIG_METADATA!$B$4&lt;&gt;"OR+EX",--(DATOS!$G3209=CONFIG_METADATA!$B$4),IF(DATOS!$G3209="EX",1,IF(DATOS!$G3209="OR",--(COUNTIFS(nNIA,DATOS!$A3209,nCURSO,DATOS!$D3209,nESPEC,DATOS!$E3209,nASIG,DATOS!$I3209,nEVAL,"EX")=0),0))))</f>
      </c>
      <c r="H3209">
        <f>IF(DATOS!$G3209&lt;&gt;"EX",0,--(COUNTIFS(nNIA,DATOS!$A3209,nCURSO,DATOS!$D3209,nESPEC,DATOS!$E3209,nASIG,DATOS!$I3209,nEVAL,"OR")=0))</f>
      </c>
      <c r="I3209">
        <f>IF(DATOS!$I3209="","",IFERROR(VLOOKUP(DATOS!$I3209,CONFIG_ASIGNATURAS!$B$2:$J$91,9,FALSE()),""))</f>
      </c>
    </row>
    <row r="3210">
      <c r="F3210">
        <f>IF(DATOS!$A3210="","",DATOS!$A3210&amp;"|"&amp;DATOS!$D3210&amp;"|"&amp;DATOS!$E3210&amp;"|"&amp;DATOS!$I3210)</f>
      </c>
      <c r="G3210">
        <f>IF(DATOS!$A3210="",0,IF(CONFIG_METADATA!$B$4&lt;&gt;"OR+EX",--(DATOS!$G3210=CONFIG_METADATA!$B$4),IF(DATOS!$G3210="EX",1,IF(DATOS!$G3210="OR",--(COUNTIFS(nNIA,DATOS!$A3210,nCURSO,DATOS!$D3210,nESPEC,DATOS!$E3210,nASIG,DATOS!$I3210,nEVAL,"EX")=0),0))))</f>
      </c>
      <c r="H3210">
        <f>IF(DATOS!$G3210&lt;&gt;"EX",0,--(COUNTIFS(nNIA,DATOS!$A3210,nCURSO,DATOS!$D3210,nESPEC,DATOS!$E3210,nASIG,DATOS!$I3210,nEVAL,"OR")=0))</f>
      </c>
      <c r="I3210">
        <f>IF(DATOS!$I3210="","",IFERROR(VLOOKUP(DATOS!$I3210,CONFIG_ASIGNATURAS!$B$2:$J$91,9,FALSE()),""))</f>
      </c>
    </row>
    <row r="3211">
      <c r="F3211">
        <f>IF(DATOS!$A3211="","",DATOS!$A3211&amp;"|"&amp;DATOS!$D3211&amp;"|"&amp;DATOS!$E3211&amp;"|"&amp;DATOS!$I3211)</f>
      </c>
      <c r="G3211">
        <f>IF(DATOS!$A3211="",0,IF(CONFIG_METADATA!$B$4&lt;&gt;"OR+EX",--(DATOS!$G3211=CONFIG_METADATA!$B$4),IF(DATOS!$G3211="EX",1,IF(DATOS!$G3211="OR",--(COUNTIFS(nNIA,DATOS!$A3211,nCURSO,DATOS!$D3211,nESPEC,DATOS!$E3211,nASIG,DATOS!$I3211,nEVAL,"EX")=0),0))))</f>
      </c>
      <c r="H3211">
        <f>IF(DATOS!$G3211&lt;&gt;"EX",0,--(COUNTIFS(nNIA,DATOS!$A3211,nCURSO,DATOS!$D3211,nESPEC,DATOS!$E3211,nASIG,DATOS!$I3211,nEVAL,"OR")=0))</f>
      </c>
      <c r="I3211">
        <f>IF(DATOS!$I3211="","",IFERROR(VLOOKUP(DATOS!$I3211,CONFIG_ASIGNATURAS!$B$2:$J$91,9,FALSE()),""))</f>
      </c>
    </row>
    <row r="3212">
      <c r="F3212">
        <f>IF(DATOS!$A3212="","",DATOS!$A3212&amp;"|"&amp;DATOS!$D3212&amp;"|"&amp;DATOS!$E3212&amp;"|"&amp;DATOS!$I3212)</f>
      </c>
      <c r="G3212">
        <f>IF(DATOS!$A3212="",0,IF(CONFIG_METADATA!$B$4&lt;&gt;"OR+EX",--(DATOS!$G3212=CONFIG_METADATA!$B$4),IF(DATOS!$G3212="EX",1,IF(DATOS!$G3212="OR",--(COUNTIFS(nNIA,DATOS!$A3212,nCURSO,DATOS!$D3212,nESPEC,DATOS!$E3212,nASIG,DATOS!$I3212,nEVAL,"EX")=0),0))))</f>
      </c>
      <c r="H3212">
        <f>IF(DATOS!$G3212&lt;&gt;"EX",0,--(COUNTIFS(nNIA,DATOS!$A3212,nCURSO,DATOS!$D3212,nESPEC,DATOS!$E3212,nASIG,DATOS!$I3212,nEVAL,"OR")=0))</f>
      </c>
      <c r="I3212">
        <f>IF(DATOS!$I3212="","",IFERROR(VLOOKUP(DATOS!$I3212,CONFIG_ASIGNATURAS!$B$2:$J$91,9,FALSE()),""))</f>
      </c>
    </row>
    <row r="3213">
      <c r="F3213">
        <f>IF(DATOS!$A3213="","",DATOS!$A3213&amp;"|"&amp;DATOS!$D3213&amp;"|"&amp;DATOS!$E3213&amp;"|"&amp;DATOS!$I3213)</f>
      </c>
      <c r="G3213">
        <f>IF(DATOS!$A3213="",0,IF(CONFIG_METADATA!$B$4&lt;&gt;"OR+EX",--(DATOS!$G3213=CONFIG_METADATA!$B$4),IF(DATOS!$G3213="EX",1,IF(DATOS!$G3213="OR",--(COUNTIFS(nNIA,DATOS!$A3213,nCURSO,DATOS!$D3213,nESPEC,DATOS!$E3213,nASIG,DATOS!$I3213,nEVAL,"EX")=0),0))))</f>
      </c>
      <c r="H3213">
        <f>IF(DATOS!$G3213&lt;&gt;"EX",0,--(COUNTIFS(nNIA,DATOS!$A3213,nCURSO,DATOS!$D3213,nESPEC,DATOS!$E3213,nASIG,DATOS!$I3213,nEVAL,"OR")=0))</f>
      </c>
      <c r="I3213">
        <f>IF(DATOS!$I3213="","",IFERROR(VLOOKUP(DATOS!$I3213,CONFIG_ASIGNATURAS!$B$2:$J$91,9,FALSE()),""))</f>
      </c>
    </row>
    <row r="3214">
      <c r="F3214">
        <f>IF(DATOS!$A3214="","",DATOS!$A3214&amp;"|"&amp;DATOS!$D3214&amp;"|"&amp;DATOS!$E3214&amp;"|"&amp;DATOS!$I3214)</f>
      </c>
      <c r="G3214">
        <f>IF(DATOS!$A3214="",0,IF(CONFIG_METADATA!$B$4&lt;&gt;"OR+EX",--(DATOS!$G3214=CONFIG_METADATA!$B$4),IF(DATOS!$G3214="EX",1,IF(DATOS!$G3214="OR",--(COUNTIFS(nNIA,DATOS!$A3214,nCURSO,DATOS!$D3214,nESPEC,DATOS!$E3214,nASIG,DATOS!$I3214,nEVAL,"EX")=0),0))))</f>
      </c>
      <c r="H3214">
        <f>IF(DATOS!$G3214&lt;&gt;"EX",0,--(COUNTIFS(nNIA,DATOS!$A3214,nCURSO,DATOS!$D3214,nESPEC,DATOS!$E3214,nASIG,DATOS!$I3214,nEVAL,"OR")=0))</f>
      </c>
      <c r="I3214">
        <f>IF(DATOS!$I3214="","",IFERROR(VLOOKUP(DATOS!$I3214,CONFIG_ASIGNATURAS!$B$2:$J$91,9,FALSE()),""))</f>
      </c>
    </row>
    <row r="3215">
      <c r="F3215">
        <f>IF(DATOS!$A3215="","",DATOS!$A3215&amp;"|"&amp;DATOS!$D3215&amp;"|"&amp;DATOS!$E3215&amp;"|"&amp;DATOS!$I3215)</f>
      </c>
      <c r="G3215">
        <f>IF(DATOS!$A3215="",0,IF(CONFIG_METADATA!$B$4&lt;&gt;"OR+EX",--(DATOS!$G3215=CONFIG_METADATA!$B$4),IF(DATOS!$G3215="EX",1,IF(DATOS!$G3215="OR",--(COUNTIFS(nNIA,DATOS!$A3215,nCURSO,DATOS!$D3215,nESPEC,DATOS!$E3215,nASIG,DATOS!$I3215,nEVAL,"EX")=0),0))))</f>
      </c>
      <c r="H3215">
        <f>IF(DATOS!$G3215&lt;&gt;"EX",0,--(COUNTIFS(nNIA,DATOS!$A3215,nCURSO,DATOS!$D3215,nESPEC,DATOS!$E3215,nASIG,DATOS!$I3215,nEVAL,"OR")=0))</f>
      </c>
      <c r="I3215">
        <f>IF(DATOS!$I3215="","",IFERROR(VLOOKUP(DATOS!$I3215,CONFIG_ASIGNATURAS!$B$2:$J$91,9,FALSE()),""))</f>
      </c>
    </row>
    <row r="3216">
      <c r="F3216">
        <f>IF(DATOS!$A3216="","",DATOS!$A3216&amp;"|"&amp;DATOS!$D3216&amp;"|"&amp;DATOS!$E3216&amp;"|"&amp;DATOS!$I3216)</f>
      </c>
      <c r="G3216">
        <f>IF(DATOS!$A3216="",0,IF(CONFIG_METADATA!$B$4&lt;&gt;"OR+EX",--(DATOS!$G3216=CONFIG_METADATA!$B$4),IF(DATOS!$G3216="EX",1,IF(DATOS!$G3216="OR",--(COUNTIFS(nNIA,DATOS!$A3216,nCURSO,DATOS!$D3216,nESPEC,DATOS!$E3216,nASIG,DATOS!$I3216,nEVAL,"EX")=0),0))))</f>
      </c>
      <c r="H3216">
        <f>IF(DATOS!$G3216&lt;&gt;"EX",0,--(COUNTIFS(nNIA,DATOS!$A3216,nCURSO,DATOS!$D3216,nESPEC,DATOS!$E3216,nASIG,DATOS!$I3216,nEVAL,"OR")=0))</f>
      </c>
      <c r="I3216">
        <f>IF(DATOS!$I3216="","",IFERROR(VLOOKUP(DATOS!$I3216,CONFIG_ASIGNATURAS!$B$2:$J$91,9,FALSE()),""))</f>
      </c>
    </row>
    <row r="3217">
      <c r="F3217">
        <f>IF(DATOS!$A3217="","",DATOS!$A3217&amp;"|"&amp;DATOS!$D3217&amp;"|"&amp;DATOS!$E3217&amp;"|"&amp;DATOS!$I3217)</f>
      </c>
      <c r="G3217">
        <f>IF(DATOS!$A3217="",0,IF(CONFIG_METADATA!$B$4&lt;&gt;"OR+EX",--(DATOS!$G3217=CONFIG_METADATA!$B$4),IF(DATOS!$G3217="EX",1,IF(DATOS!$G3217="OR",--(COUNTIFS(nNIA,DATOS!$A3217,nCURSO,DATOS!$D3217,nESPEC,DATOS!$E3217,nASIG,DATOS!$I3217,nEVAL,"EX")=0),0))))</f>
      </c>
      <c r="H3217">
        <f>IF(DATOS!$G3217&lt;&gt;"EX",0,--(COUNTIFS(nNIA,DATOS!$A3217,nCURSO,DATOS!$D3217,nESPEC,DATOS!$E3217,nASIG,DATOS!$I3217,nEVAL,"OR")=0))</f>
      </c>
      <c r="I3217">
        <f>IF(DATOS!$I3217="","",IFERROR(VLOOKUP(DATOS!$I3217,CONFIG_ASIGNATURAS!$B$2:$J$91,9,FALSE()),""))</f>
      </c>
    </row>
    <row r="3218">
      <c r="F3218">
        <f>IF(DATOS!$A3218="","",DATOS!$A3218&amp;"|"&amp;DATOS!$D3218&amp;"|"&amp;DATOS!$E3218&amp;"|"&amp;DATOS!$I3218)</f>
      </c>
      <c r="G3218">
        <f>IF(DATOS!$A3218="",0,IF(CONFIG_METADATA!$B$4&lt;&gt;"OR+EX",--(DATOS!$G3218=CONFIG_METADATA!$B$4),IF(DATOS!$G3218="EX",1,IF(DATOS!$G3218="OR",--(COUNTIFS(nNIA,DATOS!$A3218,nCURSO,DATOS!$D3218,nESPEC,DATOS!$E3218,nASIG,DATOS!$I3218,nEVAL,"EX")=0),0))))</f>
      </c>
      <c r="H3218">
        <f>IF(DATOS!$G3218&lt;&gt;"EX",0,--(COUNTIFS(nNIA,DATOS!$A3218,nCURSO,DATOS!$D3218,nESPEC,DATOS!$E3218,nASIG,DATOS!$I3218,nEVAL,"OR")=0))</f>
      </c>
      <c r="I3218">
        <f>IF(DATOS!$I3218="","",IFERROR(VLOOKUP(DATOS!$I3218,CONFIG_ASIGNATURAS!$B$2:$J$91,9,FALSE()),""))</f>
      </c>
    </row>
    <row r="3219">
      <c r="F3219">
        <f>IF(DATOS!$A3219="","",DATOS!$A3219&amp;"|"&amp;DATOS!$D3219&amp;"|"&amp;DATOS!$E3219&amp;"|"&amp;DATOS!$I3219)</f>
      </c>
      <c r="G3219">
        <f>IF(DATOS!$A3219="",0,IF(CONFIG_METADATA!$B$4&lt;&gt;"OR+EX",--(DATOS!$G3219=CONFIG_METADATA!$B$4),IF(DATOS!$G3219="EX",1,IF(DATOS!$G3219="OR",--(COUNTIFS(nNIA,DATOS!$A3219,nCURSO,DATOS!$D3219,nESPEC,DATOS!$E3219,nASIG,DATOS!$I3219,nEVAL,"EX")=0),0))))</f>
      </c>
      <c r="H3219">
        <f>IF(DATOS!$G3219&lt;&gt;"EX",0,--(COUNTIFS(nNIA,DATOS!$A3219,nCURSO,DATOS!$D3219,nESPEC,DATOS!$E3219,nASIG,DATOS!$I3219,nEVAL,"OR")=0))</f>
      </c>
      <c r="I3219">
        <f>IF(DATOS!$I3219="","",IFERROR(VLOOKUP(DATOS!$I3219,CONFIG_ASIGNATURAS!$B$2:$J$91,9,FALSE()),""))</f>
      </c>
    </row>
    <row r="3220">
      <c r="F3220">
        <f>IF(DATOS!$A3220="","",DATOS!$A3220&amp;"|"&amp;DATOS!$D3220&amp;"|"&amp;DATOS!$E3220&amp;"|"&amp;DATOS!$I3220)</f>
      </c>
      <c r="G3220">
        <f>IF(DATOS!$A3220="",0,IF(CONFIG_METADATA!$B$4&lt;&gt;"OR+EX",--(DATOS!$G3220=CONFIG_METADATA!$B$4),IF(DATOS!$G3220="EX",1,IF(DATOS!$G3220="OR",--(COUNTIFS(nNIA,DATOS!$A3220,nCURSO,DATOS!$D3220,nESPEC,DATOS!$E3220,nASIG,DATOS!$I3220,nEVAL,"EX")=0),0))))</f>
      </c>
      <c r="H3220">
        <f>IF(DATOS!$G3220&lt;&gt;"EX",0,--(COUNTIFS(nNIA,DATOS!$A3220,nCURSO,DATOS!$D3220,nESPEC,DATOS!$E3220,nASIG,DATOS!$I3220,nEVAL,"OR")=0))</f>
      </c>
      <c r="I3220">
        <f>IF(DATOS!$I3220="","",IFERROR(VLOOKUP(DATOS!$I3220,CONFIG_ASIGNATURAS!$B$2:$J$91,9,FALSE()),""))</f>
      </c>
    </row>
    <row r="3221">
      <c r="F3221">
        <f>IF(DATOS!$A3221="","",DATOS!$A3221&amp;"|"&amp;DATOS!$D3221&amp;"|"&amp;DATOS!$E3221&amp;"|"&amp;DATOS!$I3221)</f>
      </c>
      <c r="G3221">
        <f>IF(DATOS!$A3221="",0,IF(CONFIG_METADATA!$B$4&lt;&gt;"OR+EX",--(DATOS!$G3221=CONFIG_METADATA!$B$4),IF(DATOS!$G3221="EX",1,IF(DATOS!$G3221="OR",--(COUNTIFS(nNIA,DATOS!$A3221,nCURSO,DATOS!$D3221,nESPEC,DATOS!$E3221,nASIG,DATOS!$I3221,nEVAL,"EX")=0),0))))</f>
      </c>
      <c r="H3221">
        <f>IF(DATOS!$G3221&lt;&gt;"EX",0,--(COUNTIFS(nNIA,DATOS!$A3221,nCURSO,DATOS!$D3221,nESPEC,DATOS!$E3221,nASIG,DATOS!$I3221,nEVAL,"OR")=0))</f>
      </c>
      <c r="I3221">
        <f>IF(DATOS!$I3221="","",IFERROR(VLOOKUP(DATOS!$I3221,CONFIG_ASIGNATURAS!$B$2:$J$91,9,FALSE()),""))</f>
      </c>
    </row>
    <row r="3222">
      <c r="F3222">
        <f>IF(DATOS!$A3222="","",DATOS!$A3222&amp;"|"&amp;DATOS!$D3222&amp;"|"&amp;DATOS!$E3222&amp;"|"&amp;DATOS!$I3222)</f>
      </c>
      <c r="G3222">
        <f>IF(DATOS!$A3222="",0,IF(CONFIG_METADATA!$B$4&lt;&gt;"OR+EX",--(DATOS!$G3222=CONFIG_METADATA!$B$4),IF(DATOS!$G3222="EX",1,IF(DATOS!$G3222="OR",--(COUNTIFS(nNIA,DATOS!$A3222,nCURSO,DATOS!$D3222,nESPEC,DATOS!$E3222,nASIG,DATOS!$I3222,nEVAL,"EX")=0),0))))</f>
      </c>
      <c r="H3222">
        <f>IF(DATOS!$G3222&lt;&gt;"EX",0,--(COUNTIFS(nNIA,DATOS!$A3222,nCURSO,DATOS!$D3222,nESPEC,DATOS!$E3222,nASIG,DATOS!$I3222,nEVAL,"OR")=0))</f>
      </c>
      <c r="I3222">
        <f>IF(DATOS!$I3222="","",IFERROR(VLOOKUP(DATOS!$I3222,CONFIG_ASIGNATURAS!$B$2:$J$91,9,FALSE()),""))</f>
      </c>
    </row>
    <row r="3223">
      <c r="F3223">
        <f>IF(DATOS!$A3223="","",DATOS!$A3223&amp;"|"&amp;DATOS!$D3223&amp;"|"&amp;DATOS!$E3223&amp;"|"&amp;DATOS!$I3223)</f>
      </c>
      <c r="G3223">
        <f>IF(DATOS!$A3223="",0,IF(CONFIG_METADATA!$B$4&lt;&gt;"OR+EX",--(DATOS!$G3223=CONFIG_METADATA!$B$4),IF(DATOS!$G3223="EX",1,IF(DATOS!$G3223="OR",--(COUNTIFS(nNIA,DATOS!$A3223,nCURSO,DATOS!$D3223,nESPEC,DATOS!$E3223,nASIG,DATOS!$I3223,nEVAL,"EX")=0),0))))</f>
      </c>
      <c r="H3223">
        <f>IF(DATOS!$G3223&lt;&gt;"EX",0,--(COUNTIFS(nNIA,DATOS!$A3223,nCURSO,DATOS!$D3223,nESPEC,DATOS!$E3223,nASIG,DATOS!$I3223,nEVAL,"OR")=0))</f>
      </c>
      <c r="I3223">
        <f>IF(DATOS!$I3223="","",IFERROR(VLOOKUP(DATOS!$I3223,CONFIG_ASIGNATURAS!$B$2:$J$91,9,FALSE()),""))</f>
      </c>
    </row>
    <row r="3224">
      <c r="F3224">
        <f>IF(DATOS!$A3224="","",DATOS!$A3224&amp;"|"&amp;DATOS!$D3224&amp;"|"&amp;DATOS!$E3224&amp;"|"&amp;DATOS!$I3224)</f>
      </c>
      <c r="G3224">
        <f>IF(DATOS!$A3224="",0,IF(CONFIG_METADATA!$B$4&lt;&gt;"OR+EX",--(DATOS!$G3224=CONFIG_METADATA!$B$4),IF(DATOS!$G3224="EX",1,IF(DATOS!$G3224="OR",--(COUNTIFS(nNIA,DATOS!$A3224,nCURSO,DATOS!$D3224,nESPEC,DATOS!$E3224,nASIG,DATOS!$I3224,nEVAL,"EX")=0),0))))</f>
      </c>
      <c r="H3224">
        <f>IF(DATOS!$G3224&lt;&gt;"EX",0,--(COUNTIFS(nNIA,DATOS!$A3224,nCURSO,DATOS!$D3224,nESPEC,DATOS!$E3224,nASIG,DATOS!$I3224,nEVAL,"OR")=0))</f>
      </c>
      <c r="I3224">
        <f>IF(DATOS!$I3224="","",IFERROR(VLOOKUP(DATOS!$I3224,CONFIG_ASIGNATURAS!$B$2:$J$91,9,FALSE()),""))</f>
      </c>
    </row>
    <row r="3225">
      <c r="F3225">
        <f>IF(DATOS!$A3225="","",DATOS!$A3225&amp;"|"&amp;DATOS!$D3225&amp;"|"&amp;DATOS!$E3225&amp;"|"&amp;DATOS!$I3225)</f>
      </c>
      <c r="G3225">
        <f>IF(DATOS!$A3225="",0,IF(CONFIG_METADATA!$B$4&lt;&gt;"OR+EX",--(DATOS!$G3225=CONFIG_METADATA!$B$4),IF(DATOS!$G3225="EX",1,IF(DATOS!$G3225="OR",--(COUNTIFS(nNIA,DATOS!$A3225,nCURSO,DATOS!$D3225,nESPEC,DATOS!$E3225,nASIG,DATOS!$I3225,nEVAL,"EX")=0),0))))</f>
      </c>
      <c r="H3225">
        <f>IF(DATOS!$G3225&lt;&gt;"EX",0,--(COUNTIFS(nNIA,DATOS!$A3225,nCURSO,DATOS!$D3225,nESPEC,DATOS!$E3225,nASIG,DATOS!$I3225,nEVAL,"OR")=0))</f>
      </c>
      <c r="I3225">
        <f>IF(DATOS!$I3225="","",IFERROR(VLOOKUP(DATOS!$I3225,CONFIG_ASIGNATURAS!$B$2:$J$91,9,FALSE()),""))</f>
      </c>
    </row>
    <row r="3226">
      <c r="F3226">
        <f>IF(DATOS!$A3226="","",DATOS!$A3226&amp;"|"&amp;DATOS!$D3226&amp;"|"&amp;DATOS!$E3226&amp;"|"&amp;DATOS!$I3226)</f>
      </c>
      <c r="G3226">
        <f>IF(DATOS!$A3226="",0,IF(CONFIG_METADATA!$B$4&lt;&gt;"OR+EX",--(DATOS!$G3226=CONFIG_METADATA!$B$4),IF(DATOS!$G3226="EX",1,IF(DATOS!$G3226="OR",--(COUNTIFS(nNIA,DATOS!$A3226,nCURSO,DATOS!$D3226,nESPEC,DATOS!$E3226,nASIG,DATOS!$I3226,nEVAL,"EX")=0),0))))</f>
      </c>
      <c r="H3226">
        <f>IF(DATOS!$G3226&lt;&gt;"EX",0,--(COUNTIFS(nNIA,DATOS!$A3226,nCURSO,DATOS!$D3226,nESPEC,DATOS!$E3226,nASIG,DATOS!$I3226,nEVAL,"OR")=0))</f>
      </c>
      <c r="I3226">
        <f>IF(DATOS!$I3226="","",IFERROR(VLOOKUP(DATOS!$I3226,CONFIG_ASIGNATURAS!$B$2:$J$91,9,FALSE()),""))</f>
      </c>
    </row>
    <row r="3227">
      <c r="F3227">
        <f>IF(DATOS!$A3227="","",DATOS!$A3227&amp;"|"&amp;DATOS!$D3227&amp;"|"&amp;DATOS!$E3227&amp;"|"&amp;DATOS!$I3227)</f>
      </c>
      <c r="G3227">
        <f>IF(DATOS!$A3227="",0,IF(CONFIG_METADATA!$B$4&lt;&gt;"OR+EX",--(DATOS!$G3227=CONFIG_METADATA!$B$4),IF(DATOS!$G3227="EX",1,IF(DATOS!$G3227="OR",--(COUNTIFS(nNIA,DATOS!$A3227,nCURSO,DATOS!$D3227,nESPEC,DATOS!$E3227,nASIG,DATOS!$I3227,nEVAL,"EX")=0),0))))</f>
      </c>
      <c r="H3227">
        <f>IF(DATOS!$G3227&lt;&gt;"EX",0,--(COUNTIFS(nNIA,DATOS!$A3227,nCURSO,DATOS!$D3227,nESPEC,DATOS!$E3227,nASIG,DATOS!$I3227,nEVAL,"OR")=0))</f>
      </c>
      <c r="I3227">
        <f>IF(DATOS!$I3227="","",IFERROR(VLOOKUP(DATOS!$I3227,CONFIG_ASIGNATURAS!$B$2:$J$91,9,FALSE()),""))</f>
      </c>
    </row>
    <row r="3228">
      <c r="F3228">
        <f>IF(DATOS!$A3228="","",DATOS!$A3228&amp;"|"&amp;DATOS!$D3228&amp;"|"&amp;DATOS!$E3228&amp;"|"&amp;DATOS!$I3228)</f>
      </c>
      <c r="G3228">
        <f>IF(DATOS!$A3228="",0,IF(CONFIG_METADATA!$B$4&lt;&gt;"OR+EX",--(DATOS!$G3228=CONFIG_METADATA!$B$4),IF(DATOS!$G3228="EX",1,IF(DATOS!$G3228="OR",--(COUNTIFS(nNIA,DATOS!$A3228,nCURSO,DATOS!$D3228,nESPEC,DATOS!$E3228,nASIG,DATOS!$I3228,nEVAL,"EX")=0),0))))</f>
      </c>
      <c r="H3228">
        <f>IF(DATOS!$G3228&lt;&gt;"EX",0,--(COUNTIFS(nNIA,DATOS!$A3228,nCURSO,DATOS!$D3228,nESPEC,DATOS!$E3228,nASIG,DATOS!$I3228,nEVAL,"OR")=0))</f>
      </c>
      <c r="I3228">
        <f>IF(DATOS!$I3228="","",IFERROR(VLOOKUP(DATOS!$I3228,CONFIG_ASIGNATURAS!$B$2:$J$91,9,FALSE()),""))</f>
      </c>
    </row>
    <row r="3229">
      <c r="F3229">
        <f>IF(DATOS!$A3229="","",DATOS!$A3229&amp;"|"&amp;DATOS!$D3229&amp;"|"&amp;DATOS!$E3229&amp;"|"&amp;DATOS!$I3229)</f>
      </c>
      <c r="G3229">
        <f>IF(DATOS!$A3229="",0,IF(CONFIG_METADATA!$B$4&lt;&gt;"OR+EX",--(DATOS!$G3229=CONFIG_METADATA!$B$4),IF(DATOS!$G3229="EX",1,IF(DATOS!$G3229="OR",--(COUNTIFS(nNIA,DATOS!$A3229,nCURSO,DATOS!$D3229,nESPEC,DATOS!$E3229,nASIG,DATOS!$I3229,nEVAL,"EX")=0),0))))</f>
      </c>
      <c r="H3229">
        <f>IF(DATOS!$G3229&lt;&gt;"EX",0,--(COUNTIFS(nNIA,DATOS!$A3229,nCURSO,DATOS!$D3229,nESPEC,DATOS!$E3229,nASIG,DATOS!$I3229,nEVAL,"OR")=0))</f>
      </c>
      <c r="I3229">
        <f>IF(DATOS!$I3229="","",IFERROR(VLOOKUP(DATOS!$I3229,CONFIG_ASIGNATURAS!$B$2:$J$91,9,FALSE()),""))</f>
      </c>
    </row>
    <row r="3230">
      <c r="F3230">
        <f>IF(DATOS!$A3230="","",DATOS!$A3230&amp;"|"&amp;DATOS!$D3230&amp;"|"&amp;DATOS!$E3230&amp;"|"&amp;DATOS!$I3230)</f>
      </c>
      <c r="G3230">
        <f>IF(DATOS!$A3230="",0,IF(CONFIG_METADATA!$B$4&lt;&gt;"OR+EX",--(DATOS!$G3230=CONFIG_METADATA!$B$4),IF(DATOS!$G3230="EX",1,IF(DATOS!$G3230="OR",--(COUNTIFS(nNIA,DATOS!$A3230,nCURSO,DATOS!$D3230,nESPEC,DATOS!$E3230,nASIG,DATOS!$I3230,nEVAL,"EX")=0),0))))</f>
      </c>
      <c r="H3230">
        <f>IF(DATOS!$G3230&lt;&gt;"EX",0,--(COUNTIFS(nNIA,DATOS!$A3230,nCURSO,DATOS!$D3230,nESPEC,DATOS!$E3230,nASIG,DATOS!$I3230,nEVAL,"OR")=0))</f>
      </c>
      <c r="I3230">
        <f>IF(DATOS!$I3230="","",IFERROR(VLOOKUP(DATOS!$I3230,CONFIG_ASIGNATURAS!$B$2:$J$91,9,FALSE()),""))</f>
      </c>
    </row>
    <row r="3231">
      <c r="F3231">
        <f>IF(DATOS!$A3231="","",DATOS!$A3231&amp;"|"&amp;DATOS!$D3231&amp;"|"&amp;DATOS!$E3231&amp;"|"&amp;DATOS!$I3231)</f>
      </c>
      <c r="G3231">
        <f>IF(DATOS!$A3231="",0,IF(CONFIG_METADATA!$B$4&lt;&gt;"OR+EX",--(DATOS!$G3231=CONFIG_METADATA!$B$4),IF(DATOS!$G3231="EX",1,IF(DATOS!$G3231="OR",--(COUNTIFS(nNIA,DATOS!$A3231,nCURSO,DATOS!$D3231,nESPEC,DATOS!$E3231,nASIG,DATOS!$I3231,nEVAL,"EX")=0),0))))</f>
      </c>
      <c r="H3231">
        <f>IF(DATOS!$G3231&lt;&gt;"EX",0,--(COUNTIFS(nNIA,DATOS!$A3231,nCURSO,DATOS!$D3231,nESPEC,DATOS!$E3231,nASIG,DATOS!$I3231,nEVAL,"OR")=0))</f>
      </c>
      <c r="I3231">
        <f>IF(DATOS!$I3231="","",IFERROR(VLOOKUP(DATOS!$I3231,CONFIG_ASIGNATURAS!$B$2:$J$91,9,FALSE()),""))</f>
      </c>
    </row>
    <row r="3232">
      <c r="F3232">
        <f>IF(DATOS!$A3232="","",DATOS!$A3232&amp;"|"&amp;DATOS!$D3232&amp;"|"&amp;DATOS!$E3232&amp;"|"&amp;DATOS!$I3232)</f>
      </c>
      <c r="G3232">
        <f>IF(DATOS!$A3232="",0,IF(CONFIG_METADATA!$B$4&lt;&gt;"OR+EX",--(DATOS!$G3232=CONFIG_METADATA!$B$4),IF(DATOS!$G3232="EX",1,IF(DATOS!$G3232="OR",--(COUNTIFS(nNIA,DATOS!$A3232,nCURSO,DATOS!$D3232,nESPEC,DATOS!$E3232,nASIG,DATOS!$I3232,nEVAL,"EX")=0),0))))</f>
      </c>
      <c r="H3232">
        <f>IF(DATOS!$G3232&lt;&gt;"EX",0,--(COUNTIFS(nNIA,DATOS!$A3232,nCURSO,DATOS!$D3232,nESPEC,DATOS!$E3232,nASIG,DATOS!$I3232,nEVAL,"OR")=0))</f>
      </c>
      <c r="I3232">
        <f>IF(DATOS!$I3232="","",IFERROR(VLOOKUP(DATOS!$I3232,CONFIG_ASIGNATURAS!$B$2:$J$91,9,FALSE()),""))</f>
      </c>
    </row>
    <row r="3233">
      <c r="F3233">
        <f>IF(DATOS!$A3233="","",DATOS!$A3233&amp;"|"&amp;DATOS!$D3233&amp;"|"&amp;DATOS!$E3233&amp;"|"&amp;DATOS!$I3233)</f>
      </c>
      <c r="G3233">
        <f>IF(DATOS!$A3233="",0,IF(CONFIG_METADATA!$B$4&lt;&gt;"OR+EX",--(DATOS!$G3233=CONFIG_METADATA!$B$4),IF(DATOS!$G3233="EX",1,IF(DATOS!$G3233="OR",--(COUNTIFS(nNIA,DATOS!$A3233,nCURSO,DATOS!$D3233,nESPEC,DATOS!$E3233,nASIG,DATOS!$I3233,nEVAL,"EX")=0),0))))</f>
      </c>
      <c r="H3233">
        <f>IF(DATOS!$G3233&lt;&gt;"EX",0,--(COUNTIFS(nNIA,DATOS!$A3233,nCURSO,DATOS!$D3233,nESPEC,DATOS!$E3233,nASIG,DATOS!$I3233,nEVAL,"OR")=0))</f>
      </c>
      <c r="I3233">
        <f>IF(DATOS!$I3233="","",IFERROR(VLOOKUP(DATOS!$I3233,CONFIG_ASIGNATURAS!$B$2:$J$91,9,FALSE()),""))</f>
      </c>
    </row>
    <row r="3234">
      <c r="F3234">
        <f>IF(DATOS!$A3234="","",DATOS!$A3234&amp;"|"&amp;DATOS!$D3234&amp;"|"&amp;DATOS!$E3234&amp;"|"&amp;DATOS!$I3234)</f>
      </c>
      <c r="G3234">
        <f>IF(DATOS!$A3234="",0,IF(CONFIG_METADATA!$B$4&lt;&gt;"OR+EX",--(DATOS!$G3234=CONFIG_METADATA!$B$4),IF(DATOS!$G3234="EX",1,IF(DATOS!$G3234="OR",--(COUNTIFS(nNIA,DATOS!$A3234,nCURSO,DATOS!$D3234,nESPEC,DATOS!$E3234,nASIG,DATOS!$I3234,nEVAL,"EX")=0),0))))</f>
      </c>
      <c r="H3234">
        <f>IF(DATOS!$G3234&lt;&gt;"EX",0,--(COUNTIFS(nNIA,DATOS!$A3234,nCURSO,DATOS!$D3234,nESPEC,DATOS!$E3234,nASIG,DATOS!$I3234,nEVAL,"OR")=0))</f>
      </c>
      <c r="I3234">
        <f>IF(DATOS!$I3234="","",IFERROR(VLOOKUP(DATOS!$I3234,CONFIG_ASIGNATURAS!$B$2:$J$91,9,FALSE()),""))</f>
      </c>
    </row>
    <row r="3235">
      <c r="F3235">
        <f>IF(DATOS!$A3235="","",DATOS!$A3235&amp;"|"&amp;DATOS!$D3235&amp;"|"&amp;DATOS!$E3235&amp;"|"&amp;DATOS!$I3235)</f>
      </c>
      <c r="G3235">
        <f>IF(DATOS!$A3235="",0,IF(CONFIG_METADATA!$B$4&lt;&gt;"OR+EX",--(DATOS!$G3235=CONFIG_METADATA!$B$4),IF(DATOS!$G3235="EX",1,IF(DATOS!$G3235="OR",--(COUNTIFS(nNIA,DATOS!$A3235,nCURSO,DATOS!$D3235,nESPEC,DATOS!$E3235,nASIG,DATOS!$I3235,nEVAL,"EX")=0),0))))</f>
      </c>
      <c r="H3235">
        <f>IF(DATOS!$G3235&lt;&gt;"EX",0,--(COUNTIFS(nNIA,DATOS!$A3235,nCURSO,DATOS!$D3235,nESPEC,DATOS!$E3235,nASIG,DATOS!$I3235,nEVAL,"OR")=0))</f>
      </c>
      <c r="I3235">
        <f>IF(DATOS!$I3235="","",IFERROR(VLOOKUP(DATOS!$I3235,CONFIG_ASIGNATURAS!$B$2:$J$91,9,FALSE()),""))</f>
      </c>
    </row>
    <row r="3236">
      <c r="F3236">
        <f>IF(DATOS!$A3236="","",DATOS!$A3236&amp;"|"&amp;DATOS!$D3236&amp;"|"&amp;DATOS!$E3236&amp;"|"&amp;DATOS!$I3236)</f>
      </c>
      <c r="G3236">
        <f>IF(DATOS!$A3236="",0,IF(CONFIG_METADATA!$B$4&lt;&gt;"OR+EX",--(DATOS!$G3236=CONFIG_METADATA!$B$4),IF(DATOS!$G3236="EX",1,IF(DATOS!$G3236="OR",--(COUNTIFS(nNIA,DATOS!$A3236,nCURSO,DATOS!$D3236,nESPEC,DATOS!$E3236,nASIG,DATOS!$I3236,nEVAL,"EX")=0),0))))</f>
      </c>
      <c r="H3236">
        <f>IF(DATOS!$G3236&lt;&gt;"EX",0,--(COUNTIFS(nNIA,DATOS!$A3236,nCURSO,DATOS!$D3236,nESPEC,DATOS!$E3236,nASIG,DATOS!$I3236,nEVAL,"OR")=0))</f>
      </c>
      <c r="I3236">
        <f>IF(DATOS!$I3236="","",IFERROR(VLOOKUP(DATOS!$I3236,CONFIG_ASIGNATURAS!$B$2:$J$91,9,FALSE()),""))</f>
      </c>
    </row>
    <row r="3237">
      <c r="F3237">
        <f>IF(DATOS!$A3237="","",DATOS!$A3237&amp;"|"&amp;DATOS!$D3237&amp;"|"&amp;DATOS!$E3237&amp;"|"&amp;DATOS!$I3237)</f>
      </c>
      <c r="G3237">
        <f>IF(DATOS!$A3237="",0,IF(CONFIG_METADATA!$B$4&lt;&gt;"OR+EX",--(DATOS!$G3237=CONFIG_METADATA!$B$4),IF(DATOS!$G3237="EX",1,IF(DATOS!$G3237="OR",--(COUNTIFS(nNIA,DATOS!$A3237,nCURSO,DATOS!$D3237,nESPEC,DATOS!$E3237,nASIG,DATOS!$I3237,nEVAL,"EX")=0),0))))</f>
      </c>
      <c r="H3237">
        <f>IF(DATOS!$G3237&lt;&gt;"EX",0,--(COUNTIFS(nNIA,DATOS!$A3237,nCURSO,DATOS!$D3237,nESPEC,DATOS!$E3237,nASIG,DATOS!$I3237,nEVAL,"OR")=0))</f>
      </c>
      <c r="I3237">
        <f>IF(DATOS!$I3237="","",IFERROR(VLOOKUP(DATOS!$I3237,CONFIG_ASIGNATURAS!$B$2:$J$91,9,FALSE()),""))</f>
      </c>
    </row>
    <row r="3238">
      <c r="F3238">
        <f>IF(DATOS!$A3238="","",DATOS!$A3238&amp;"|"&amp;DATOS!$D3238&amp;"|"&amp;DATOS!$E3238&amp;"|"&amp;DATOS!$I3238)</f>
      </c>
      <c r="G3238">
        <f>IF(DATOS!$A3238="",0,IF(CONFIG_METADATA!$B$4&lt;&gt;"OR+EX",--(DATOS!$G3238=CONFIG_METADATA!$B$4),IF(DATOS!$G3238="EX",1,IF(DATOS!$G3238="OR",--(COUNTIFS(nNIA,DATOS!$A3238,nCURSO,DATOS!$D3238,nESPEC,DATOS!$E3238,nASIG,DATOS!$I3238,nEVAL,"EX")=0),0))))</f>
      </c>
      <c r="H3238">
        <f>IF(DATOS!$G3238&lt;&gt;"EX",0,--(COUNTIFS(nNIA,DATOS!$A3238,nCURSO,DATOS!$D3238,nESPEC,DATOS!$E3238,nASIG,DATOS!$I3238,nEVAL,"OR")=0))</f>
      </c>
      <c r="I3238">
        <f>IF(DATOS!$I3238="","",IFERROR(VLOOKUP(DATOS!$I3238,CONFIG_ASIGNATURAS!$B$2:$J$91,9,FALSE()),""))</f>
      </c>
    </row>
    <row r="3239">
      <c r="F3239">
        <f>IF(DATOS!$A3239="","",DATOS!$A3239&amp;"|"&amp;DATOS!$D3239&amp;"|"&amp;DATOS!$E3239&amp;"|"&amp;DATOS!$I3239)</f>
      </c>
      <c r="G3239">
        <f>IF(DATOS!$A3239="",0,IF(CONFIG_METADATA!$B$4&lt;&gt;"OR+EX",--(DATOS!$G3239=CONFIG_METADATA!$B$4),IF(DATOS!$G3239="EX",1,IF(DATOS!$G3239="OR",--(COUNTIFS(nNIA,DATOS!$A3239,nCURSO,DATOS!$D3239,nESPEC,DATOS!$E3239,nASIG,DATOS!$I3239,nEVAL,"EX")=0),0))))</f>
      </c>
      <c r="H3239">
        <f>IF(DATOS!$G3239&lt;&gt;"EX",0,--(COUNTIFS(nNIA,DATOS!$A3239,nCURSO,DATOS!$D3239,nESPEC,DATOS!$E3239,nASIG,DATOS!$I3239,nEVAL,"OR")=0))</f>
      </c>
      <c r="I3239">
        <f>IF(DATOS!$I3239="","",IFERROR(VLOOKUP(DATOS!$I3239,CONFIG_ASIGNATURAS!$B$2:$J$91,9,FALSE()),""))</f>
      </c>
    </row>
    <row r="3240">
      <c r="F3240">
        <f>IF(DATOS!$A3240="","",DATOS!$A3240&amp;"|"&amp;DATOS!$D3240&amp;"|"&amp;DATOS!$E3240&amp;"|"&amp;DATOS!$I3240)</f>
      </c>
      <c r="G3240">
        <f>IF(DATOS!$A3240="",0,IF(CONFIG_METADATA!$B$4&lt;&gt;"OR+EX",--(DATOS!$G3240=CONFIG_METADATA!$B$4),IF(DATOS!$G3240="EX",1,IF(DATOS!$G3240="OR",--(COUNTIFS(nNIA,DATOS!$A3240,nCURSO,DATOS!$D3240,nESPEC,DATOS!$E3240,nASIG,DATOS!$I3240,nEVAL,"EX")=0),0))))</f>
      </c>
      <c r="H3240">
        <f>IF(DATOS!$G3240&lt;&gt;"EX",0,--(COUNTIFS(nNIA,DATOS!$A3240,nCURSO,DATOS!$D3240,nESPEC,DATOS!$E3240,nASIG,DATOS!$I3240,nEVAL,"OR")=0))</f>
      </c>
      <c r="I3240">
        <f>IF(DATOS!$I3240="","",IFERROR(VLOOKUP(DATOS!$I3240,CONFIG_ASIGNATURAS!$B$2:$J$91,9,FALSE()),""))</f>
      </c>
    </row>
    <row r="3241">
      <c r="F3241">
        <f>IF(DATOS!$A3241="","",DATOS!$A3241&amp;"|"&amp;DATOS!$D3241&amp;"|"&amp;DATOS!$E3241&amp;"|"&amp;DATOS!$I3241)</f>
      </c>
      <c r="G3241">
        <f>IF(DATOS!$A3241="",0,IF(CONFIG_METADATA!$B$4&lt;&gt;"OR+EX",--(DATOS!$G3241=CONFIG_METADATA!$B$4),IF(DATOS!$G3241="EX",1,IF(DATOS!$G3241="OR",--(COUNTIFS(nNIA,DATOS!$A3241,nCURSO,DATOS!$D3241,nESPEC,DATOS!$E3241,nASIG,DATOS!$I3241,nEVAL,"EX")=0),0))))</f>
      </c>
      <c r="H3241">
        <f>IF(DATOS!$G3241&lt;&gt;"EX",0,--(COUNTIFS(nNIA,DATOS!$A3241,nCURSO,DATOS!$D3241,nESPEC,DATOS!$E3241,nASIG,DATOS!$I3241,nEVAL,"OR")=0))</f>
      </c>
      <c r="I3241">
        <f>IF(DATOS!$I3241="","",IFERROR(VLOOKUP(DATOS!$I3241,CONFIG_ASIGNATURAS!$B$2:$J$91,9,FALSE()),""))</f>
      </c>
    </row>
    <row r="3242">
      <c r="F3242">
        <f>IF(DATOS!$A3242="","",DATOS!$A3242&amp;"|"&amp;DATOS!$D3242&amp;"|"&amp;DATOS!$E3242&amp;"|"&amp;DATOS!$I3242)</f>
      </c>
      <c r="G3242">
        <f>IF(DATOS!$A3242="",0,IF(CONFIG_METADATA!$B$4&lt;&gt;"OR+EX",--(DATOS!$G3242=CONFIG_METADATA!$B$4),IF(DATOS!$G3242="EX",1,IF(DATOS!$G3242="OR",--(COUNTIFS(nNIA,DATOS!$A3242,nCURSO,DATOS!$D3242,nESPEC,DATOS!$E3242,nASIG,DATOS!$I3242,nEVAL,"EX")=0),0))))</f>
      </c>
      <c r="H3242">
        <f>IF(DATOS!$G3242&lt;&gt;"EX",0,--(COUNTIFS(nNIA,DATOS!$A3242,nCURSO,DATOS!$D3242,nESPEC,DATOS!$E3242,nASIG,DATOS!$I3242,nEVAL,"OR")=0))</f>
      </c>
      <c r="I3242">
        <f>IF(DATOS!$I3242="","",IFERROR(VLOOKUP(DATOS!$I3242,CONFIG_ASIGNATURAS!$B$2:$J$91,9,FALSE()),""))</f>
      </c>
    </row>
    <row r="3243">
      <c r="F3243">
        <f>IF(DATOS!$A3243="","",DATOS!$A3243&amp;"|"&amp;DATOS!$D3243&amp;"|"&amp;DATOS!$E3243&amp;"|"&amp;DATOS!$I3243)</f>
      </c>
      <c r="G3243">
        <f>IF(DATOS!$A3243="",0,IF(CONFIG_METADATA!$B$4&lt;&gt;"OR+EX",--(DATOS!$G3243=CONFIG_METADATA!$B$4),IF(DATOS!$G3243="EX",1,IF(DATOS!$G3243="OR",--(COUNTIFS(nNIA,DATOS!$A3243,nCURSO,DATOS!$D3243,nESPEC,DATOS!$E3243,nASIG,DATOS!$I3243,nEVAL,"EX")=0),0))))</f>
      </c>
      <c r="H3243">
        <f>IF(DATOS!$G3243&lt;&gt;"EX",0,--(COUNTIFS(nNIA,DATOS!$A3243,nCURSO,DATOS!$D3243,nESPEC,DATOS!$E3243,nASIG,DATOS!$I3243,nEVAL,"OR")=0))</f>
      </c>
      <c r="I3243">
        <f>IF(DATOS!$I3243="","",IFERROR(VLOOKUP(DATOS!$I3243,CONFIG_ASIGNATURAS!$B$2:$J$91,9,FALSE()),""))</f>
      </c>
    </row>
    <row r="3244">
      <c r="F3244">
        <f>IF(DATOS!$A3244="","",DATOS!$A3244&amp;"|"&amp;DATOS!$D3244&amp;"|"&amp;DATOS!$E3244&amp;"|"&amp;DATOS!$I3244)</f>
      </c>
      <c r="G3244">
        <f>IF(DATOS!$A3244="",0,IF(CONFIG_METADATA!$B$4&lt;&gt;"OR+EX",--(DATOS!$G3244=CONFIG_METADATA!$B$4),IF(DATOS!$G3244="EX",1,IF(DATOS!$G3244="OR",--(COUNTIFS(nNIA,DATOS!$A3244,nCURSO,DATOS!$D3244,nESPEC,DATOS!$E3244,nASIG,DATOS!$I3244,nEVAL,"EX")=0),0))))</f>
      </c>
      <c r="H3244">
        <f>IF(DATOS!$G3244&lt;&gt;"EX",0,--(COUNTIFS(nNIA,DATOS!$A3244,nCURSO,DATOS!$D3244,nESPEC,DATOS!$E3244,nASIG,DATOS!$I3244,nEVAL,"OR")=0))</f>
      </c>
      <c r="I3244">
        <f>IF(DATOS!$I3244="","",IFERROR(VLOOKUP(DATOS!$I3244,CONFIG_ASIGNATURAS!$B$2:$J$91,9,FALSE()),""))</f>
      </c>
    </row>
    <row r="3245">
      <c r="F3245">
        <f>IF(DATOS!$A3245="","",DATOS!$A3245&amp;"|"&amp;DATOS!$D3245&amp;"|"&amp;DATOS!$E3245&amp;"|"&amp;DATOS!$I3245)</f>
      </c>
      <c r="G3245">
        <f>IF(DATOS!$A3245="",0,IF(CONFIG_METADATA!$B$4&lt;&gt;"OR+EX",--(DATOS!$G3245=CONFIG_METADATA!$B$4),IF(DATOS!$G3245="EX",1,IF(DATOS!$G3245="OR",--(COUNTIFS(nNIA,DATOS!$A3245,nCURSO,DATOS!$D3245,nESPEC,DATOS!$E3245,nASIG,DATOS!$I3245,nEVAL,"EX")=0),0))))</f>
      </c>
      <c r="H3245">
        <f>IF(DATOS!$G3245&lt;&gt;"EX",0,--(COUNTIFS(nNIA,DATOS!$A3245,nCURSO,DATOS!$D3245,nESPEC,DATOS!$E3245,nASIG,DATOS!$I3245,nEVAL,"OR")=0))</f>
      </c>
      <c r="I3245">
        <f>IF(DATOS!$I3245="","",IFERROR(VLOOKUP(DATOS!$I3245,CONFIG_ASIGNATURAS!$B$2:$J$91,9,FALSE()),""))</f>
      </c>
    </row>
    <row r="3246">
      <c r="F3246">
        <f>IF(DATOS!$A3246="","",DATOS!$A3246&amp;"|"&amp;DATOS!$D3246&amp;"|"&amp;DATOS!$E3246&amp;"|"&amp;DATOS!$I3246)</f>
      </c>
      <c r="G3246">
        <f>IF(DATOS!$A3246="",0,IF(CONFIG_METADATA!$B$4&lt;&gt;"OR+EX",--(DATOS!$G3246=CONFIG_METADATA!$B$4),IF(DATOS!$G3246="EX",1,IF(DATOS!$G3246="OR",--(COUNTIFS(nNIA,DATOS!$A3246,nCURSO,DATOS!$D3246,nESPEC,DATOS!$E3246,nASIG,DATOS!$I3246,nEVAL,"EX")=0),0))))</f>
      </c>
      <c r="H3246">
        <f>IF(DATOS!$G3246&lt;&gt;"EX",0,--(COUNTIFS(nNIA,DATOS!$A3246,nCURSO,DATOS!$D3246,nESPEC,DATOS!$E3246,nASIG,DATOS!$I3246,nEVAL,"OR")=0))</f>
      </c>
      <c r="I3246">
        <f>IF(DATOS!$I3246="","",IFERROR(VLOOKUP(DATOS!$I3246,CONFIG_ASIGNATURAS!$B$2:$J$91,9,FALSE()),""))</f>
      </c>
    </row>
    <row r="3247">
      <c r="F3247">
        <f>IF(DATOS!$A3247="","",DATOS!$A3247&amp;"|"&amp;DATOS!$D3247&amp;"|"&amp;DATOS!$E3247&amp;"|"&amp;DATOS!$I3247)</f>
      </c>
      <c r="G3247">
        <f>IF(DATOS!$A3247="",0,IF(CONFIG_METADATA!$B$4&lt;&gt;"OR+EX",--(DATOS!$G3247=CONFIG_METADATA!$B$4),IF(DATOS!$G3247="EX",1,IF(DATOS!$G3247="OR",--(COUNTIFS(nNIA,DATOS!$A3247,nCURSO,DATOS!$D3247,nESPEC,DATOS!$E3247,nASIG,DATOS!$I3247,nEVAL,"EX")=0),0))))</f>
      </c>
      <c r="H3247">
        <f>IF(DATOS!$G3247&lt;&gt;"EX",0,--(COUNTIFS(nNIA,DATOS!$A3247,nCURSO,DATOS!$D3247,nESPEC,DATOS!$E3247,nASIG,DATOS!$I3247,nEVAL,"OR")=0))</f>
      </c>
      <c r="I3247">
        <f>IF(DATOS!$I3247="","",IFERROR(VLOOKUP(DATOS!$I3247,CONFIG_ASIGNATURAS!$B$2:$J$91,9,FALSE()),""))</f>
      </c>
    </row>
    <row r="3248">
      <c r="F3248">
        <f>IF(DATOS!$A3248="","",DATOS!$A3248&amp;"|"&amp;DATOS!$D3248&amp;"|"&amp;DATOS!$E3248&amp;"|"&amp;DATOS!$I3248)</f>
      </c>
      <c r="G3248">
        <f>IF(DATOS!$A3248="",0,IF(CONFIG_METADATA!$B$4&lt;&gt;"OR+EX",--(DATOS!$G3248=CONFIG_METADATA!$B$4),IF(DATOS!$G3248="EX",1,IF(DATOS!$G3248="OR",--(COUNTIFS(nNIA,DATOS!$A3248,nCURSO,DATOS!$D3248,nESPEC,DATOS!$E3248,nASIG,DATOS!$I3248,nEVAL,"EX")=0),0))))</f>
      </c>
      <c r="H3248">
        <f>IF(DATOS!$G3248&lt;&gt;"EX",0,--(COUNTIFS(nNIA,DATOS!$A3248,nCURSO,DATOS!$D3248,nESPEC,DATOS!$E3248,nASIG,DATOS!$I3248,nEVAL,"OR")=0))</f>
      </c>
      <c r="I3248">
        <f>IF(DATOS!$I3248="","",IFERROR(VLOOKUP(DATOS!$I3248,CONFIG_ASIGNATURAS!$B$2:$J$91,9,FALSE()),""))</f>
      </c>
    </row>
    <row r="3249">
      <c r="F3249">
        <f>IF(DATOS!$A3249="","",DATOS!$A3249&amp;"|"&amp;DATOS!$D3249&amp;"|"&amp;DATOS!$E3249&amp;"|"&amp;DATOS!$I3249)</f>
      </c>
      <c r="G3249">
        <f>IF(DATOS!$A3249="",0,IF(CONFIG_METADATA!$B$4&lt;&gt;"OR+EX",--(DATOS!$G3249=CONFIG_METADATA!$B$4),IF(DATOS!$G3249="EX",1,IF(DATOS!$G3249="OR",--(COUNTIFS(nNIA,DATOS!$A3249,nCURSO,DATOS!$D3249,nESPEC,DATOS!$E3249,nASIG,DATOS!$I3249,nEVAL,"EX")=0),0))))</f>
      </c>
      <c r="H3249">
        <f>IF(DATOS!$G3249&lt;&gt;"EX",0,--(COUNTIFS(nNIA,DATOS!$A3249,nCURSO,DATOS!$D3249,nESPEC,DATOS!$E3249,nASIG,DATOS!$I3249,nEVAL,"OR")=0))</f>
      </c>
      <c r="I3249">
        <f>IF(DATOS!$I3249="","",IFERROR(VLOOKUP(DATOS!$I3249,CONFIG_ASIGNATURAS!$B$2:$J$91,9,FALSE()),""))</f>
      </c>
    </row>
    <row r="3250">
      <c r="F3250">
        <f>IF(DATOS!$A3250="","",DATOS!$A3250&amp;"|"&amp;DATOS!$D3250&amp;"|"&amp;DATOS!$E3250&amp;"|"&amp;DATOS!$I3250)</f>
      </c>
      <c r="G3250">
        <f>IF(DATOS!$A3250="",0,IF(CONFIG_METADATA!$B$4&lt;&gt;"OR+EX",--(DATOS!$G3250=CONFIG_METADATA!$B$4),IF(DATOS!$G3250="EX",1,IF(DATOS!$G3250="OR",--(COUNTIFS(nNIA,DATOS!$A3250,nCURSO,DATOS!$D3250,nESPEC,DATOS!$E3250,nASIG,DATOS!$I3250,nEVAL,"EX")=0),0))))</f>
      </c>
      <c r="H3250">
        <f>IF(DATOS!$G3250&lt;&gt;"EX",0,--(COUNTIFS(nNIA,DATOS!$A3250,nCURSO,DATOS!$D3250,nESPEC,DATOS!$E3250,nASIG,DATOS!$I3250,nEVAL,"OR")=0))</f>
      </c>
      <c r="I3250">
        <f>IF(DATOS!$I3250="","",IFERROR(VLOOKUP(DATOS!$I3250,CONFIG_ASIGNATURAS!$B$2:$J$91,9,FALSE()),""))</f>
      </c>
    </row>
    <row r="3251">
      <c r="F3251">
        <f>IF(DATOS!$A3251="","",DATOS!$A3251&amp;"|"&amp;DATOS!$D3251&amp;"|"&amp;DATOS!$E3251&amp;"|"&amp;DATOS!$I3251)</f>
      </c>
      <c r="G3251">
        <f>IF(DATOS!$A3251="",0,IF(CONFIG_METADATA!$B$4&lt;&gt;"OR+EX",--(DATOS!$G3251=CONFIG_METADATA!$B$4),IF(DATOS!$G3251="EX",1,IF(DATOS!$G3251="OR",--(COUNTIFS(nNIA,DATOS!$A3251,nCURSO,DATOS!$D3251,nESPEC,DATOS!$E3251,nASIG,DATOS!$I3251,nEVAL,"EX")=0),0))))</f>
      </c>
      <c r="H3251">
        <f>IF(DATOS!$G3251&lt;&gt;"EX",0,--(COUNTIFS(nNIA,DATOS!$A3251,nCURSO,DATOS!$D3251,nESPEC,DATOS!$E3251,nASIG,DATOS!$I3251,nEVAL,"OR")=0))</f>
      </c>
      <c r="I3251">
        <f>IF(DATOS!$I3251="","",IFERROR(VLOOKUP(DATOS!$I3251,CONFIG_ASIGNATURAS!$B$2:$J$91,9,FALSE()),""))</f>
      </c>
    </row>
    <row r="3252">
      <c r="F3252">
        <f>IF(DATOS!$A3252="","",DATOS!$A3252&amp;"|"&amp;DATOS!$D3252&amp;"|"&amp;DATOS!$E3252&amp;"|"&amp;DATOS!$I3252)</f>
      </c>
      <c r="G3252">
        <f>IF(DATOS!$A3252="",0,IF(CONFIG_METADATA!$B$4&lt;&gt;"OR+EX",--(DATOS!$G3252=CONFIG_METADATA!$B$4),IF(DATOS!$G3252="EX",1,IF(DATOS!$G3252="OR",--(COUNTIFS(nNIA,DATOS!$A3252,nCURSO,DATOS!$D3252,nESPEC,DATOS!$E3252,nASIG,DATOS!$I3252,nEVAL,"EX")=0),0))))</f>
      </c>
      <c r="H3252">
        <f>IF(DATOS!$G3252&lt;&gt;"EX",0,--(COUNTIFS(nNIA,DATOS!$A3252,nCURSO,DATOS!$D3252,nESPEC,DATOS!$E3252,nASIG,DATOS!$I3252,nEVAL,"OR")=0))</f>
      </c>
      <c r="I3252">
        <f>IF(DATOS!$I3252="","",IFERROR(VLOOKUP(DATOS!$I3252,CONFIG_ASIGNATURAS!$B$2:$J$91,9,FALSE()),""))</f>
      </c>
    </row>
    <row r="3253">
      <c r="F3253">
        <f>IF(DATOS!$A3253="","",DATOS!$A3253&amp;"|"&amp;DATOS!$D3253&amp;"|"&amp;DATOS!$E3253&amp;"|"&amp;DATOS!$I3253)</f>
      </c>
      <c r="G3253">
        <f>IF(DATOS!$A3253="",0,IF(CONFIG_METADATA!$B$4&lt;&gt;"OR+EX",--(DATOS!$G3253=CONFIG_METADATA!$B$4),IF(DATOS!$G3253="EX",1,IF(DATOS!$G3253="OR",--(COUNTIFS(nNIA,DATOS!$A3253,nCURSO,DATOS!$D3253,nESPEC,DATOS!$E3253,nASIG,DATOS!$I3253,nEVAL,"EX")=0),0))))</f>
      </c>
      <c r="H3253">
        <f>IF(DATOS!$G3253&lt;&gt;"EX",0,--(COUNTIFS(nNIA,DATOS!$A3253,nCURSO,DATOS!$D3253,nESPEC,DATOS!$E3253,nASIG,DATOS!$I3253,nEVAL,"OR")=0))</f>
      </c>
      <c r="I3253">
        <f>IF(DATOS!$I3253="","",IFERROR(VLOOKUP(DATOS!$I3253,CONFIG_ASIGNATURAS!$B$2:$J$91,9,FALSE()),""))</f>
      </c>
    </row>
    <row r="3254">
      <c r="F3254">
        <f>IF(DATOS!$A3254="","",DATOS!$A3254&amp;"|"&amp;DATOS!$D3254&amp;"|"&amp;DATOS!$E3254&amp;"|"&amp;DATOS!$I3254)</f>
      </c>
      <c r="G3254">
        <f>IF(DATOS!$A3254="",0,IF(CONFIG_METADATA!$B$4&lt;&gt;"OR+EX",--(DATOS!$G3254=CONFIG_METADATA!$B$4),IF(DATOS!$G3254="EX",1,IF(DATOS!$G3254="OR",--(COUNTIFS(nNIA,DATOS!$A3254,nCURSO,DATOS!$D3254,nESPEC,DATOS!$E3254,nASIG,DATOS!$I3254,nEVAL,"EX")=0),0))))</f>
      </c>
      <c r="H3254">
        <f>IF(DATOS!$G3254&lt;&gt;"EX",0,--(COUNTIFS(nNIA,DATOS!$A3254,nCURSO,DATOS!$D3254,nESPEC,DATOS!$E3254,nASIG,DATOS!$I3254,nEVAL,"OR")=0))</f>
      </c>
      <c r="I3254">
        <f>IF(DATOS!$I3254="","",IFERROR(VLOOKUP(DATOS!$I3254,CONFIG_ASIGNATURAS!$B$2:$J$91,9,FALSE()),""))</f>
      </c>
    </row>
    <row r="3255">
      <c r="F3255">
        <f>IF(DATOS!$A3255="","",DATOS!$A3255&amp;"|"&amp;DATOS!$D3255&amp;"|"&amp;DATOS!$E3255&amp;"|"&amp;DATOS!$I3255)</f>
      </c>
      <c r="G3255">
        <f>IF(DATOS!$A3255="",0,IF(CONFIG_METADATA!$B$4&lt;&gt;"OR+EX",--(DATOS!$G3255=CONFIG_METADATA!$B$4),IF(DATOS!$G3255="EX",1,IF(DATOS!$G3255="OR",--(COUNTIFS(nNIA,DATOS!$A3255,nCURSO,DATOS!$D3255,nESPEC,DATOS!$E3255,nASIG,DATOS!$I3255,nEVAL,"EX")=0),0))))</f>
      </c>
      <c r="H3255">
        <f>IF(DATOS!$G3255&lt;&gt;"EX",0,--(COUNTIFS(nNIA,DATOS!$A3255,nCURSO,DATOS!$D3255,nESPEC,DATOS!$E3255,nASIG,DATOS!$I3255,nEVAL,"OR")=0))</f>
      </c>
      <c r="I3255">
        <f>IF(DATOS!$I3255="","",IFERROR(VLOOKUP(DATOS!$I3255,CONFIG_ASIGNATURAS!$B$2:$J$91,9,FALSE()),""))</f>
      </c>
    </row>
    <row r="3256">
      <c r="F3256">
        <f>IF(DATOS!$A3256="","",DATOS!$A3256&amp;"|"&amp;DATOS!$D3256&amp;"|"&amp;DATOS!$E3256&amp;"|"&amp;DATOS!$I3256)</f>
      </c>
      <c r="G3256">
        <f>IF(DATOS!$A3256="",0,IF(CONFIG_METADATA!$B$4&lt;&gt;"OR+EX",--(DATOS!$G3256=CONFIG_METADATA!$B$4),IF(DATOS!$G3256="EX",1,IF(DATOS!$G3256="OR",--(COUNTIFS(nNIA,DATOS!$A3256,nCURSO,DATOS!$D3256,nESPEC,DATOS!$E3256,nASIG,DATOS!$I3256,nEVAL,"EX")=0),0))))</f>
      </c>
      <c r="H3256">
        <f>IF(DATOS!$G3256&lt;&gt;"EX",0,--(COUNTIFS(nNIA,DATOS!$A3256,nCURSO,DATOS!$D3256,nESPEC,DATOS!$E3256,nASIG,DATOS!$I3256,nEVAL,"OR")=0))</f>
      </c>
      <c r="I3256">
        <f>IF(DATOS!$I3256="","",IFERROR(VLOOKUP(DATOS!$I3256,CONFIG_ASIGNATURAS!$B$2:$J$91,9,FALSE()),""))</f>
      </c>
    </row>
    <row r="3257">
      <c r="F3257">
        <f>IF(DATOS!$A3257="","",DATOS!$A3257&amp;"|"&amp;DATOS!$D3257&amp;"|"&amp;DATOS!$E3257&amp;"|"&amp;DATOS!$I3257)</f>
      </c>
      <c r="G3257">
        <f>IF(DATOS!$A3257="",0,IF(CONFIG_METADATA!$B$4&lt;&gt;"OR+EX",--(DATOS!$G3257=CONFIG_METADATA!$B$4),IF(DATOS!$G3257="EX",1,IF(DATOS!$G3257="OR",--(COUNTIFS(nNIA,DATOS!$A3257,nCURSO,DATOS!$D3257,nESPEC,DATOS!$E3257,nASIG,DATOS!$I3257,nEVAL,"EX")=0),0))))</f>
      </c>
      <c r="H3257">
        <f>IF(DATOS!$G3257&lt;&gt;"EX",0,--(COUNTIFS(nNIA,DATOS!$A3257,nCURSO,DATOS!$D3257,nESPEC,DATOS!$E3257,nASIG,DATOS!$I3257,nEVAL,"OR")=0))</f>
      </c>
      <c r="I3257">
        <f>IF(DATOS!$I3257="","",IFERROR(VLOOKUP(DATOS!$I3257,CONFIG_ASIGNATURAS!$B$2:$J$91,9,FALSE()),""))</f>
      </c>
    </row>
    <row r="3258">
      <c r="F3258">
        <f>IF(DATOS!$A3258="","",DATOS!$A3258&amp;"|"&amp;DATOS!$D3258&amp;"|"&amp;DATOS!$E3258&amp;"|"&amp;DATOS!$I3258)</f>
      </c>
      <c r="G3258">
        <f>IF(DATOS!$A3258="",0,IF(CONFIG_METADATA!$B$4&lt;&gt;"OR+EX",--(DATOS!$G3258=CONFIG_METADATA!$B$4),IF(DATOS!$G3258="EX",1,IF(DATOS!$G3258="OR",--(COUNTIFS(nNIA,DATOS!$A3258,nCURSO,DATOS!$D3258,nESPEC,DATOS!$E3258,nASIG,DATOS!$I3258,nEVAL,"EX")=0),0))))</f>
      </c>
      <c r="H3258">
        <f>IF(DATOS!$G3258&lt;&gt;"EX",0,--(COUNTIFS(nNIA,DATOS!$A3258,nCURSO,DATOS!$D3258,nESPEC,DATOS!$E3258,nASIG,DATOS!$I3258,nEVAL,"OR")=0))</f>
      </c>
      <c r="I3258">
        <f>IF(DATOS!$I3258="","",IFERROR(VLOOKUP(DATOS!$I3258,CONFIG_ASIGNATURAS!$B$2:$J$91,9,FALSE()),""))</f>
      </c>
    </row>
    <row r="3259">
      <c r="F3259">
        <f>IF(DATOS!$A3259="","",DATOS!$A3259&amp;"|"&amp;DATOS!$D3259&amp;"|"&amp;DATOS!$E3259&amp;"|"&amp;DATOS!$I3259)</f>
      </c>
      <c r="G3259">
        <f>IF(DATOS!$A3259="",0,IF(CONFIG_METADATA!$B$4&lt;&gt;"OR+EX",--(DATOS!$G3259=CONFIG_METADATA!$B$4),IF(DATOS!$G3259="EX",1,IF(DATOS!$G3259="OR",--(COUNTIFS(nNIA,DATOS!$A3259,nCURSO,DATOS!$D3259,nESPEC,DATOS!$E3259,nASIG,DATOS!$I3259,nEVAL,"EX")=0),0))))</f>
      </c>
      <c r="H3259">
        <f>IF(DATOS!$G3259&lt;&gt;"EX",0,--(COUNTIFS(nNIA,DATOS!$A3259,nCURSO,DATOS!$D3259,nESPEC,DATOS!$E3259,nASIG,DATOS!$I3259,nEVAL,"OR")=0))</f>
      </c>
      <c r="I3259">
        <f>IF(DATOS!$I3259="","",IFERROR(VLOOKUP(DATOS!$I3259,CONFIG_ASIGNATURAS!$B$2:$J$91,9,FALSE()),""))</f>
      </c>
    </row>
    <row r="3260">
      <c r="F3260">
        <f>IF(DATOS!$A3260="","",DATOS!$A3260&amp;"|"&amp;DATOS!$D3260&amp;"|"&amp;DATOS!$E3260&amp;"|"&amp;DATOS!$I3260)</f>
      </c>
      <c r="G3260">
        <f>IF(DATOS!$A3260="",0,IF(CONFIG_METADATA!$B$4&lt;&gt;"OR+EX",--(DATOS!$G3260=CONFIG_METADATA!$B$4),IF(DATOS!$G3260="EX",1,IF(DATOS!$G3260="OR",--(COUNTIFS(nNIA,DATOS!$A3260,nCURSO,DATOS!$D3260,nESPEC,DATOS!$E3260,nASIG,DATOS!$I3260,nEVAL,"EX")=0),0))))</f>
      </c>
      <c r="H3260">
        <f>IF(DATOS!$G3260&lt;&gt;"EX",0,--(COUNTIFS(nNIA,DATOS!$A3260,nCURSO,DATOS!$D3260,nESPEC,DATOS!$E3260,nASIG,DATOS!$I3260,nEVAL,"OR")=0))</f>
      </c>
      <c r="I3260">
        <f>IF(DATOS!$I3260="","",IFERROR(VLOOKUP(DATOS!$I3260,CONFIG_ASIGNATURAS!$B$2:$J$91,9,FALSE()),""))</f>
      </c>
    </row>
    <row r="3261">
      <c r="F3261">
        <f>IF(DATOS!$A3261="","",DATOS!$A3261&amp;"|"&amp;DATOS!$D3261&amp;"|"&amp;DATOS!$E3261&amp;"|"&amp;DATOS!$I3261)</f>
      </c>
      <c r="G3261">
        <f>IF(DATOS!$A3261="",0,IF(CONFIG_METADATA!$B$4&lt;&gt;"OR+EX",--(DATOS!$G3261=CONFIG_METADATA!$B$4),IF(DATOS!$G3261="EX",1,IF(DATOS!$G3261="OR",--(COUNTIFS(nNIA,DATOS!$A3261,nCURSO,DATOS!$D3261,nESPEC,DATOS!$E3261,nASIG,DATOS!$I3261,nEVAL,"EX")=0),0))))</f>
      </c>
      <c r="H3261">
        <f>IF(DATOS!$G3261&lt;&gt;"EX",0,--(COUNTIFS(nNIA,DATOS!$A3261,nCURSO,DATOS!$D3261,nESPEC,DATOS!$E3261,nASIG,DATOS!$I3261,nEVAL,"OR")=0))</f>
      </c>
      <c r="I3261">
        <f>IF(DATOS!$I3261="","",IFERROR(VLOOKUP(DATOS!$I3261,CONFIG_ASIGNATURAS!$B$2:$J$91,9,FALSE()),""))</f>
      </c>
    </row>
    <row r="3262">
      <c r="F3262">
        <f>IF(DATOS!$A3262="","",DATOS!$A3262&amp;"|"&amp;DATOS!$D3262&amp;"|"&amp;DATOS!$E3262&amp;"|"&amp;DATOS!$I3262)</f>
      </c>
      <c r="G3262">
        <f>IF(DATOS!$A3262="",0,IF(CONFIG_METADATA!$B$4&lt;&gt;"OR+EX",--(DATOS!$G3262=CONFIG_METADATA!$B$4),IF(DATOS!$G3262="EX",1,IF(DATOS!$G3262="OR",--(COUNTIFS(nNIA,DATOS!$A3262,nCURSO,DATOS!$D3262,nESPEC,DATOS!$E3262,nASIG,DATOS!$I3262,nEVAL,"EX")=0),0))))</f>
      </c>
      <c r="H3262">
        <f>IF(DATOS!$G3262&lt;&gt;"EX",0,--(COUNTIFS(nNIA,DATOS!$A3262,nCURSO,DATOS!$D3262,nESPEC,DATOS!$E3262,nASIG,DATOS!$I3262,nEVAL,"OR")=0))</f>
      </c>
      <c r="I3262">
        <f>IF(DATOS!$I3262="","",IFERROR(VLOOKUP(DATOS!$I3262,CONFIG_ASIGNATURAS!$B$2:$J$91,9,FALSE()),""))</f>
      </c>
    </row>
    <row r="3263">
      <c r="F3263">
        <f>IF(DATOS!$A3263="","",DATOS!$A3263&amp;"|"&amp;DATOS!$D3263&amp;"|"&amp;DATOS!$E3263&amp;"|"&amp;DATOS!$I3263)</f>
      </c>
      <c r="G3263">
        <f>IF(DATOS!$A3263="",0,IF(CONFIG_METADATA!$B$4&lt;&gt;"OR+EX",--(DATOS!$G3263=CONFIG_METADATA!$B$4),IF(DATOS!$G3263="EX",1,IF(DATOS!$G3263="OR",--(COUNTIFS(nNIA,DATOS!$A3263,nCURSO,DATOS!$D3263,nESPEC,DATOS!$E3263,nASIG,DATOS!$I3263,nEVAL,"EX")=0),0))))</f>
      </c>
      <c r="H3263">
        <f>IF(DATOS!$G3263&lt;&gt;"EX",0,--(COUNTIFS(nNIA,DATOS!$A3263,nCURSO,DATOS!$D3263,nESPEC,DATOS!$E3263,nASIG,DATOS!$I3263,nEVAL,"OR")=0))</f>
      </c>
      <c r="I3263">
        <f>IF(DATOS!$I3263="","",IFERROR(VLOOKUP(DATOS!$I3263,CONFIG_ASIGNATURAS!$B$2:$J$91,9,FALSE()),""))</f>
      </c>
    </row>
    <row r="3264">
      <c r="F3264">
        <f>IF(DATOS!$A3264="","",DATOS!$A3264&amp;"|"&amp;DATOS!$D3264&amp;"|"&amp;DATOS!$E3264&amp;"|"&amp;DATOS!$I3264)</f>
      </c>
      <c r="G3264">
        <f>IF(DATOS!$A3264="",0,IF(CONFIG_METADATA!$B$4&lt;&gt;"OR+EX",--(DATOS!$G3264=CONFIG_METADATA!$B$4),IF(DATOS!$G3264="EX",1,IF(DATOS!$G3264="OR",--(COUNTIFS(nNIA,DATOS!$A3264,nCURSO,DATOS!$D3264,nESPEC,DATOS!$E3264,nASIG,DATOS!$I3264,nEVAL,"EX")=0),0))))</f>
      </c>
      <c r="H3264">
        <f>IF(DATOS!$G3264&lt;&gt;"EX",0,--(COUNTIFS(nNIA,DATOS!$A3264,nCURSO,DATOS!$D3264,nESPEC,DATOS!$E3264,nASIG,DATOS!$I3264,nEVAL,"OR")=0))</f>
      </c>
      <c r="I3264">
        <f>IF(DATOS!$I3264="","",IFERROR(VLOOKUP(DATOS!$I3264,CONFIG_ASIGNATURAS!$B$2:$J$91,9,FALSE()),""))</f>
      </c>
    </row>
    <row r="3265">
      <c r="F3265">
        <f>IF(DATOS!$A3265="","",DATOS!$A3265&amp;"|"&amp;DATOS!$D3265&amp;"|"&amp;DATOS!$E3265&amp;"|"&amp;DATOS!$I3265)</f>
      </c>
      <c r="G3265">
        <f>IF(DATOS!$A3265="",0,IF(CONFIG_METADATA!$B$4&lt;&gt;"OR+EX",--(DATOS!$G3265=CONFIG_METADATA!$B$4),IF(DATOS!$G3265="EX",1,IF(DATOS!$G3265="OR",--(COUNTIFS(nNIA,DATOS!$A3265,nCURSO,DATOS!$D3265,nESPEC,DATOS!$E3265,nASIG,DATOS!$I3265,nEVAL,"EX")=0),0))))</f>
      </c>
      <c r="H3265">
        <f>IF(DATOS!$G3265&lt;&gt;"EX",0,--(COUNTIFS(nNIA,DATOS!$A3265,nCURSO,DATOS!$D3265,nESPEC,DATOS!$E3265,nASIG,DATOS!$I3265,nEVAL,"OR")=0))</f>
      </c>
      <c r="I3265">
        <f>IF(DATOS!$I3265="","",IFERROR(VLOOKUP(DATOS!$I3265,CONFIG_ASIGNATURAS!$B$2:$J$91,9,FALSE()),""))</f>
      </c>
    </row>
    <row r="3266">
      <c r="F3266">
        <f>IF(DATOS!$A3266="","",DATOS!$A3266&amp;"|"&amp;DATOS!$D3266&amp;"|"&amp;DATOS!$E3266&amp;"|"&amp;DATOS!$I3266)</f>
      </c>
      <c r="G3266">
        <f>IF(DATOS!$A3266="",0,IF(CONFIG_METADATA!$B$4&lt;&gt;"OR+EX",--(DATOS!$G3266=CONFIG_METADATA!$B$4),IF(DATOS!$G3266="EX",1,IF(DATOS!$G3266="OR",--(COUNTIFS(nNIA,DATOS!$A3266,nCURSO,DATOS!$D3266,nESPEC,DATOS!$E3266,nASIG,DATOS!$I3266,nEVAL,"EX")=0),0))))</f>
      </c>
      <c r="H3266">
        <f>IF(DATOS!$G3266&lt;&gt;"EX",0,--(COUNTIFS(nNIA,DATOS!$A3266,nCURSO,DATOS!$D3266,nESPEC,DATOS!$E3266,nASIG,DATOS!$I3266,nEVAL,"OR")=0))</f>
      </c>
      <c r="I3266">
        <f>IF(DATOS!$I3266="","",IFERROR(VLOOKUP(DATOS!$I3266,CONFIG_ASIGNATURAS!$B$2:$J$91,9,FALSE()),""))</f>
      </c>
    </row>
    <row r="3267">
      <c r="F3267">
        <f>IF(DATOS!$A3267="","",DATOS!$A3267&amp;"|"&amp;DATOS!$D3267&amp;"|"&amp;DATOS!$E3267&amp;"|"&amp;DATOS!$I3267)</f>
      </c>
      <c r="G3267">
        <f>IF(DATOS!$A3267="",0,IF(CONFIG_METADATA!$B$4&lt;&gt;"OR+EX",--(DATOS!$G3267=CONFIG_METADATA!$B$4),IF(DATOS!$G3267="EX",1,IF(DATOS!$G3267="OR",--(COUNTIFS(nNIA,DATOS!$A3267,nCURSO,DATOS!$D3267,nESPEC,DATOS!$E3267,nASIG,DATOS!$I3267,nEVAL,"EX")=0),0))))</f>
      </c>
      <c r="H3267">
        <f>IF(DATOS!$G3267&lt;&gt;"EX",0,--(COUNTIFS(nNIA,DATOS!$A3267,nCURSO,DATOS!$D3267,nESPEC,DATOS!$E3267,nASIG,DATOS!$I3267,nEVAL,"OR")=0))</f>
      </c>
      <c r="I3267">
        <f>IF(DATOS!$I3267="","",IFERROR(VLOOKUP(DATOS!$I3267,CONFIG_ASIGNATURAS!$B$2:$J$91,9,FALSE()),""))</f>
      </c>
    </row>
    <row r="3268">
      <c r="F3268">
        <f>IF(DATOS!$A3268="","",DATOS!$A3268&amp;"|"&amp;DATOS!$D3268&amp;"|"&amp;DATOS!$E3268&amp;"|"&amp;DATOS!$I3268)</f>
      </c>
      <c r="G3268">
        <f>IF(DATOS!$A3268="",0,IF(CONFIG_METADATA!$B$4&lt;&gt;"OR+EX",--(DATOS!$G3268=CONFIG_METADATA!$B$4),IF(DATOS!$G3268="EX",1,IF(DATOS!$G3268="OR",--(COUNTIFS(nNIA,DATOS!$A3268,nCURSO,DATOS!$D3268,nESPEC,DATOS!$E3268,nASIG,DATOS!$I3268,nEVAL,"EX")=0),0))))</f>
      </c>
      <c r="H3268">
        <f>IF(DATOS!$G3268&lt;&gt;"EX",0,--(COUNTIFS(nNIA,DATOS!$A3268,nCURSO,DATOS!$D3268,nESPEC,DATOS!$E3268,nASIG,DATOS!$I3268,nEVAL,"OR")=0))</f>
      </c>
      <c r="I3268">
        <f>IF(DATOS!$I3268="","",IFERROR(VLOOKUP(DATOS!$I3268,CONFIG_ASIGNATURAS!$B$2:$J$91,9,FALSE()),""))</f>
      </c>
    </row>
    <row r="3269">
      <c r="F3269">
        <f>IF(DATOS!$A3269="","",DATOS!$A3269&amp;"|"&amp;DATOS!$D3269&amp;"|"&amp;DATOS!$E3269&amp;"|"&amp;DATOS!$I3269)</f>
      </c>
      <c r="G3269">
        <f>IF(DATOS!$A3269="",0,IF(CONFIG_METADATA!$B$4&lt;&gt;"OR+EX",--(DATOS!$G3269=CONFIG_METADATA!$B$4),IF(DATOS!$G3269="EX",1,IF(DATOS!$G3269="OR",--(COUNTIFS(nNIA,DATOS!$A3269,nCURSO,DATOS!$D3269,nESPEC,DATOS!$E3269,nASIG,DATOS!$I3269,nEVAL,"EX")=0),0))))</f>
      </c>
      <c r="H3269">
        <f>IF(DATOS!$G3269&lt;&gt;"EX",0,--(COUNTIFS(nNIA,DATOS!$A3269,nCURSO,DATOS!$D3269,nESPEC,DATOS!$E3269,nASIG,DATOS!$I3269,nEVAL,"OR")=0))</f>
      </c>
      <c r="I3269">
        <f>IF(DATOS!$I3269="","",IFERROR(VLOOKUP(DATOS!$I3269,CONFIG_ASIGNATURAS!$B$2:$J$91,9,FALSE()),""))</f>
      </c>
    </row>
    <row r="3270">
      <c r="F3270">
        <f>IF(DATOS!$A3270="","",DATOS!$A3270&amp;"|"&amp;DATOS!$D3270&amp;"|"&amp;DATOS!$E3270&amp;"|"&amp;DATOS!$I3270)</f>
      </c>
      <c r="G3270">
        <f>IF(DATOS!$A3270="",0,IF(CONFIG_METADATA!$B$4&lt;&gt;"OR+EX",--(DATOS!$G3270=CONFIG_METADATA!$B$4),IF(DATOS!$G3270="EX",1,IF(DATOS!$G3270="OR",--(COUNTIFS(nNIA,DATOS!$A3270,nCURSO,DATOS!$D3270,nESPEC,DATOS!$E3270,nASIG,DATOS!$I3270,nEVAL,"EX")=0),0))))</f>
      </c>
      <c r="H3270">
        <f>IF(DATOS!$G3270&lt;&gt;"EX",0,--(COUNTIFS(nNIA,DATOS!$A3270,nCURSO,DATOS!$D3270,nESPEC,DATOS!$E3270,nASIG,DATOS!$I3270,nEVAL,"OR")=0))</f>
      </c>
      <c r="I3270">
        <f>IF(DATOS!$I3270="","",IFERROR(VLOOKUP(DATOS!$I3270,CONFIG_ASIGNATURAS!$B$2:$J$91,9,FALSE()),""))</f>
      </c>
    </row>
    <row r="3271">
      <c r="F3271">
        <f>IF(DATOS!$A3271="","",DATOS!$A3271&amp;"|"&amp;DATOS!$D3271&amp;"|"&amp;DATOS!$E3271&amp;"|"&amp;DATOS!$I3271)</f>
      </c>
      <c r="G3271">
        <f>IF(DATOS!$A3271="",0,IF(CONFIG_METADATA!$B$4&lt;&gt;"OR+EX",--(DATOS!$G3271=CONFIG_METADATA!$B$4),IF(DATOS!$G3271="EX",1,IF(DATOS!$G3271="OR",--(COUNTIFS(nNIA,DATOS!$A3271,nCURSO,DATOS!$D3271,nESPEC,DATOS!$E3271,nASIG,DATOS!$I3271,nEVAL,"EX")=0),0))))</f>
      </c>
      <c r="H3271">
        <f>IF(DATOS!$G3271&lt;&gt;"EX",0,--(COUNTIFS(nNIA,DATOS!$A3271,nCURSO,DATOS!$D3271,nESPEC,DATOS!$E3271,nASIG,DATOS!$I3271,nEVAL,"OR")=0))</f>
      </c>
      <c r="I3271">
        <f>IF(DATOS!$I3271="","",IFERROR(VLOOKUP(DATOS!$I3271,CONFIG_ASIGNATURAS!$B$2:$J$91,9,FALSE()),""))</f>
      </c>
    </row>
    <row r="3272">
      <c r="F3272">
        <f>IF(DATOS!$A3272="","",DATOS!$A3272&amp;"|"&amp;DATOS!$D3272&amp;"|"&amp;DATOS!$E3272&amp;"|"&amp;DATOS!$I3272)</f>
      </c>
      <c r="G3272">
        <f>IF(DATOS!$A3272="",0,IF(CONFIG_METADATA!$B$4&lt;&gt;"OR+EX",--(DATOS!$G3272=CONFIG_METADATA!$B$4),IF(DATOS!$G3272="EX",1,IF(DATOS!$G3272="OR",--(COUNTIFS(nNIA,DATOS!$A3272,nCURSO,DATOS!$D3272,nESPEC,DATOS!$E3272,nASIG,DATOS!$I3272,nEVAL,"EX")=0),0))))</f>
      </c>
      <c r="H3272">
        <f>IF(DATOS!$G3272&lt;&gt;"EX",0,--(COUNTIFS(nNIA,DATOS!$A3272,nCURSO,DATOS!$D3272,nESPEC,DATOS!$E3272,nASIG,DATOS!$I3272,nEVAL,"OR")=0))</f>
      </c>
      <c r="I3272">
        <f>IF(DATOS!$I3272="","",IFERROR(VLOOKUP(DATOS!$I3272,CONFIG_ASIGNATURAS!$B$2:$J$91,9,FALSE()),""))</f>
      </c>
    </row>
    <row r="3273">
      <c r="F3273">
        <f>IF(DATOS!$A3273="","",DATOS!$A3273&amp;"|"&amp;DATOS!$D3273&amp;"|"&amp;DATOS!$E3273&amp;"|"&amp;DATOS!$I3273)</f>
      </c>
      <c r="G3273">
        <f>IF(DATOS!$A3273="",0,IF(CONFIG_METADATA!$B$4&lt;&gt;"OR+EX",--(DATOS!$G3273=CONFIG_METADATA!$B$4),IF(DATOS!$G3273="EX",1,IF(DATOS!$G3273="OR",--(COUNTIFS(nNIA,DATOS!$A3273,nCURSO,DATOS!$D3273,nESPEC,DATOS!$E3273,nASIG,DATOS!$I3273,nEVAL,"EX")=0),0))))</f>
      </c>
      <c r="H3273">
        <f>IF(DATOS!$G3273&lt;&gt;"EX",0,--(COUNTIFS(nNIA,DATOS!$A3273,nCURSO,DATOS!$D3273,nESPEC,DATOS!$E3273,nASIG,DATOS!$I3273,nEVAL,"OR")=0))</f>
      </c>
      <c r="I3273">
        <f>IF(DATOS!$I3273="","",IFERROR(VLOOKUP(DATOS!$I3273,CONFIG_ASIGNATURAS!$B$2:$J$91,9,FALSE()),""))</f>
      </c>
    </row>
    <row r="3274">
      <c r="F3274">
        <f>IF(DATOS!$A3274="","",DATOS!$A3274&amp;"|"&amp;DATOS!$D3274&amp;"|"&amp;DATOS!$E3274&amp;"|"&amp;DATOS!$I3274)</f>
      </c>
      <c r="G3274">
        <f>IF(DATOS!$A3274="",0,IF(CONFIG_METADATA!$B$4&lt;&gt;"OR+EX",--(DATOS!$G3274=CONFIG_METADATA!$B$4),IF(DATOS!$G3274="EX",1,IF(DATOS!$G3274="OR",--(COUNTIFS(nNIA,DATOS!$A3274,nCURSO,DATOS!$D3274,nESPEC,DATOS!$E3274,nASIG,DATOS!$I3274,nEVAL,"EX")=0),0))))</f>
      </c>
      <c r="H3274">
        <f>IF(DATOS!$G3274&lt;&gt;"EX",0,--(COUNTIFS(nNIA,DATOS!$A3274,nCURSO,DATOS!$D3274,nESPEC,DATOS!$E3274,nASIG,DATOS!$I3274,nEVAL,"OR")=0))</f>
      </c>
      <c r="I3274">
        <f>IF(DATOS!$I3274="","",IFERROR(VLOOKUP(DATOS!$I3274,CONFIG_ASIGNATURAS!$B$2:$J$91,9,FALSE()),""))</f>
      </c>
    </row>
    <row r="3275">
      <c r="F3275">
        <f>IF(DATOS!$A3275="","",DATOS!$A3275&amp;"|"&amp;DATOS!$D3275&amp;"|"&amp;DATOS!$E3275&amp;"|"&amp;DATOS!$I3275)</f>
      </c>
      <c r="G3275">
        <f>IF(DATOS!$A3275="",0,IF(CONFIG_METADATA!$B$4&lt;&gt;"OR+EX",--(DATOS!$G3275=CONFIG_METADATA!$B$4),IF(DATOS!$G3275="EX",1,IF(DATOS!$G3275="OR",--(COUNTIFS(nNIA,DATOS!$A3275,nCURSO,DATOS!$D3275,nESPEC,DATOS!$E3275,nASIG,DATOS!$I3275,nEVAL,"EX")=0),0))))</f>
      </c>
      <c r="H3275">
        <f>IF(DATOS!$G3275&lt;&gt;"EX",0,--(COUNTIFS(nNIA,DATOS!$A3275,nCURSO,DATOS!$D3275,nESPEC,DATOS!$E3275,nASIG,DATOS!$I3275,nEVAL,"OR")=0))</f>
      </c>
      <c r="I3275">
        <f>IF(DATOS!$I3275="","",IFERROR(VLOOKUP(DATOS!$I3275,CONFIG_ASIGNATURAS!$B$2:$J$91,9,FALSE()),""))</f>
      </c>
    </row>
    <row r="3276">
      <c r="F3276">
        <f>IF(DATOS!$A3276="","",DATOS!$A3276&amp;"|"&amp;DATOS!$D3276&amp;"|"&amp;DATOS!$E3276&amp;"|"&amp;DATOS!$I3276)</f>
      </c>
      <c r="G3276">
        <f>IF(DATOS!$A3276="",0,IF(CONFIG_METADATA!$B$4&lt;&gt;"OR+EX",--(DATOS!$G3276=CONFIG_METADATA!$B$4),IF(DATOS!$G3276="EX",1,IF(DATOS!$G3276="OR",--(COUNTIFS(nNIA,DATOS!$A3276,nCURSO,DATOS!$D3276,nESPEC,DATOS!$E3276,nASIG,DATOS!$I3276,nEVAL,"EX")=0),0))))</f>
      </c>
      <c r="H3276">
        <f>IF(DATOS!$G3276&lt;&gt;"EX",0,--(COUNTIFS(nNIA,DATOS!$A3276,nCURSO,DATOS!$D3276,nESPEC,DATOS!$E3276,nASIG,DATOS!$I3276,nEVAL,"OR")=0))</f>
      </c>
      <c r="I3276">
        <f>IF(DATOS!$I3276="","",IFERROR(VLOOKUP(DATOS!$I3276,CONFIG_ASIGNATURAS!$B$2:$J$91,9,FALSE()),""))</f>
      </c>
    </row>
    <row r="3277">
      <c r="F3277">
        <f>IF(DATOS!$A3277="","",DATOS!$A3277&amp;"|"&amp;DATOS!$D3277&amp;"|"&amp;DATOS!$E3277&amp;"|"&amp;DATOS!$I3277)</f>
      </c>
      <c r="G3277">
        <f>IF(DATOS!$A3277="",0,IF(CONFIG_METADATA!$B$4&lt;&gt;"OR+EX",--(DATOS!$G3277=CONFIG_METADATA!$B$4),IF(DATOS!$G3277="EX",1,IF(DATOS!$G3277="OR",--(COUNTIFS(nNIA,DATOS!$A3277,nCURSO,DATOS!$D3277,nESPEC,DATOS!$E3277,nASIG,DATOS!$I3277,nEVAL,"EX")=0),0))))</f>
      </c>
      <c r="H3277">
        <f>IF(DATOS!$G3277&lt;&gt;"EX",0,--(COUNTIFS(nNIA,DATOS!$A3277,nCURSO,DATOS!$D3277,nESPEC,DATOS!$E3277,nASIG,DATOS!$I3277,nEVAL,"OR")=0))</f>
      </c>
      <c r="I3277">
        <f>IF(DATOS!$I3277="","",IFERROR(VLOOKUP(DATOS!$I3277,CONFIG_ASIGNATURAS!$B$2:$J$91,9,FALSE()),""))</f>
      </c>
    </row>
    <row r="3278">
      <c r="F3278">
        <f>IF(DATOS!$A3278="","",DATOS!$A3278&amp;"|"&amp;DATOS!$D3278&amp;"|"&amp;DATOS!$E3278&amp;"|"&amp;DATOS!$I3278)</f>
      </c>
      <c r="G3278">
        <f>IF(DATOS!$A3278="",0,IF(CONFIG_METADATA!$B$4&lt;&gt;"OR+EX",--(DATOS!$G3278=CONFIG_METADATA!$B$4),IF(DATOS!$G3278="EX",1,IF(DATOS!$G3278="OR",--(COUNTIFS(nNIA,DATOS!$A3278,nCURSO,DATOS!$D3278,nESPEC,DATOS!$E3278,nASIG,DATOS!$I3278,nEVAL,"EX")=0),0))))</f>
      </c>
      <c r="H3278">
        <f>IF(DATOS!$G3278&lt;&gt;"EX",0,--(COUNTIFS(nNIA,DATOS!$A3278,nCURSO,DATOS!$D3278,nESPEC,DATOS!$E3278,nASIG,DATOS!$I3278,nEVAL,"OR")=0))</f>
      </c>
      <c r="I3278">
        <f>IF(DATOS!$I3278="","",IFERROR(VLOOKUP(DATOS!$I3278,CONFIG_ASIGNATURAS!$B$2:$J$91,9,FALSE()),""))</f>
      </c>
    </row>
    <row r="3279">
      <c r="F3279">
        <f>IF(DATOS!$A3279="","",DATOS!$A3279&amp;"|"&amp;DATOS!$D3279&amp;"|"&amp;DATOS!$E3279&amp;"|"&amp;DATOS!$I3279)</f>
      </c>
      <c r="G3279">
        <f>IF(DATOS!$A3279="",0,IF(CONFIG_METADATA!$B$4&lt;&gt;"OR+EX",--(DATOS!$G3279=CONFIG_METADATA!$B$4),IF(DATOS!$G3279="EX",1,IF(DATOS!$G3279="OR",--(COUNTIFS(nNIA,DATOS!$A3279,nCURSO,DATOS!$D3279,nESPEC,DATOS!$E3279,nASIG,DATOS!$I3279,nEVAL,"EX")=0),0))))</f>
      </c>
      <c r="H3279">
        <f>IF(DATOS!$G3279&lt;&gt;"EX",0,--(COUNTIFS(nNIA,DATOS!$A3279,nCURSO,DATOS!$D3279,nESPEC,DATOS!$E3279,nASIG,DATOS!$I3279,nEVAL,"OR")=0))</f>
      </c>
      <c r="I3279">
        <f>IF(DATOS!$I3279="","",IFERROR(VLOOKUP(DATOS!$I3279,CONFIG_ASIGNATURAS!$B$2:$J$91,9,FALSE()),""))</f>
      </c>
    </row>
    <row r="3280">
      <c r="F3280">
        <f>IF(DATOS!$A3280="","",DATOS!$A3280&amp;"|"&amp;DATOS!$D3280&amp;"|"&amp;DATOS!$E3280&amp;"|"&amp;DATOS!$I3280)</f>
      </c>
      <c r="G3280">
        <f>IF(DATOS!$A3280="",0,IF(CONFIG_METADATA!$B$4&lt;&gt;"OR+EX",--(DATOS!$G3280=CONFIG_METADATA!$B$4),IF(DATOS!$G3280="EX",1,IF(DATOS!$G3280="OR",--(COUNTIFS(nNIA,DATOS!$A3280,nCURSO,DATOS!$D3280,nESPEC,DATOS!$E3280,nASIG,DATOS!$I3280,nEVAL,"EX")=0),0))))</f>
      </c>
      <c r="H3280">
        <f>IF(DATOS!$G3280&lt;&gt;"EX",0,--(COUNTIFS(nNIA,DATOS!$A3280,nCURSO,DATOS!$D3280,nESPEC,DATOS!$E3280,nASIG,DATOS!$I3280,nEVAL,"OR")=0))</f>
      </c>
      <c r="I3280">
        <f>IF(DATOS!$I3280="","",IFERROR(VLOOKUP(DATOS!$I3280,CONFIG_ASIGNATURAS!$B$2:$J$91,9,FALSE()),""))</f>
      </c>
    </row>
    <row r="3281">
      <c r="F3281">
        <f>IF(DATOS!$A3281="","",DATOS!$A3281&amp;"|"&amp;DATOS!$D3281&amp;"|"&amp;DATOS!$E3281&amp;"|"&amp;DATOS!$I3281)</f>
      </c>
      <c r="G3281">
        <f>IF(DATOS!$A3281="",0,IF(CONFIG_METADATA!$B$4&lt;&gt;"OR+EX",--(DATOS!$G3281=CONFIG_METADATA!$B$4),IF(DATOS!$G3281="EX",1,IF(DATOS!$G3281="OR",--(COUNTIFS(nNIA,DATOS!$A3281,nCURSO,DATOS!$D3281,nESPEC,DATOS!$E3281,nASIG,DATOS!$I3281,nEVAL,"EX")=0),0))))</f>
      </c>
      <c r="H3281">
        <f>IF(DATOS!$G3281&lt;&gt;"EX",0,--(COUNTIFS(nNIA,DATOS!$A3281,nCURSO,DATOS!$D3281,nESPEC,DATOS!$E3281,nASIG,DATOS!$I3281,nEVAL,"OR")=0))</f>
      </c>
      <c r="I3281">
        <f>IF(DATOS!$I3281="","",IFERROR(VLOOKUP(DATOS!$I3281,CONFIG_ASIGNATURAS!$B$2:$J$91,9,FALSE()),""))</f>
      </c>
    </row>
    <row r="3282">
      <c r="F3282">
        <f>IF(DATOS!$A3282="","",DATOS!$A3282&amp;"|"&amp;DATOS!$D3282&amp;"|"&amp;DATOS!$E3282&amp;"|"&amp;DATOS!$I3282)</f>
      </c>
      <c r="G3282">
        <f>IF(DATOS!$A3282="",0,IF(CONFIG_METADATA!$B$4&lt;&gt;"OR+EX",--(DATOS!$G3282=CONFIG_METADATA!$B$4),IF(DATOS!$G3282="EX",1,IF(DATOS!$G3282="OR",--(COUNTIFS(nNIA,DATOS!$A3282,nCURSO,DATOS!$D3282,nESPEC,DATOS!$E3282,nASIG,DATOS!$I3282,nEVAL,"EX")=0),0))))</f>
      </c>
      <c r="H3282">
        <f>IF(DATOS!$G3282&lt;&gt;"EX",0,--(COUNTIFS(nNIA,DATOS!$A3282,nCURSO,DATOS!$D3282,nESPEC,DATOS!$E3282,nASIG,DATOS!$I3282,nEVAL,"OR")=0))</f>
      </c>
      <c r="I3282">
        <f>IF(DATOS!$I3282="","",IFERROR(VLOOKUP(DATOS!$I3282,CONFIG_ASIGNATURAS!$B$2:$J$91,9,FALSE()),""))</f>
      </c>
    </row>
    <row r="3283">
      <c r="F3283">
        <f>IF(DATOS!$A3283="","",DATOS!$A3283&amp;"|"&amp;DATOS!$D3283&amp;"|"&amp;DATOS!$E3283&amp;"|"&amp;DATOS!$I3283)</f>
      </c>
      <c r="G3283">
        <f>IF(DATOS!$A3283="",0,IF(CONFIG_METADATA!$B$4&lt;&gt;"OR+EX",--(DATOS!$G3283=CONFIG_METADATA!$B$4),IF(DATOS!$G3283="EX",1,IF(DATOS!$G3283="OR",--(COUNTIFS(nNIA,DATOS!$A3283,nCURSO,DATOS!$D3283,nESPEC,DATOS!$E3283,nASIG,DATOS!$I3283,nEVAL,"EX")=0),0))))</f>
      </c>
      <c r="H3283">
        <f>IF(DATOS!$G3283&lt;&gt;"EX",0,--(COUNTIFS(nNIA,DATOS!$A3283,nCURSO,DATOS!$D3283,nESPEC,DATOS!$E3283,nASIG,DATOS!$I3283,nEVAL,"OR")=0))</f>
      </c>
      <c r="I3283">
        <f>IF(DATOS!$I3283="","",IFERROR(VLOOKUP(DATOS!$I3283,CONFIG_ASIGNATURAS!$B$2:$J$91,9,FALSE()),""))</f>
      </c>
    </row>
    <row r="3284">
      <c r="F3284">
        <f>IF(DATOS!$A3284="","",DATOS!$A3284&amp;"|"&amp;DATOS!$D3284&amp;"|"&amp;DATOS!$E3284&amp;"|"&amp;DATOS!$I3284)</f>
      </c>
      <c r="G3284">
        <f>IF(DATOS!$A3284="",0,IF(CONFIG_METADATA!$B$4&lt;&gt;"OR+EX",--(DATOS!$G3284=CONFIG_METADATA!$B$4),IF(DATOS!$G3284="EX",1,IF(DATOS!$G3284="OR",--(COUNTIFS(nNIA,DATOS!$A3284,nCURSO,DATOS!$D3284,nESPEC,DATOS!$E3284,nASIG,DATOS!$I3284,nEVAL,"EX")=0),0))))</f>
      </c>
      <c r="H3284">
        <f>IF(DATOS!$G3284&lt;&gt;"EX",0,--(COUNTIFS(nNIA,DATOS!$A3284,nCURSO,DATOS!$D3284,nESPEC,DATOS!$E3284,nASIG,DATOS!$I3284,nEVAL,"OR")=0))</f>
      </c>
      <c r="I3284">
        <f>IF(DATOS!$I3284="","",IFERROR(VLOOKUP(DATOS!$I3284,CONFIG_ASIGNATURAS!$B$2:$J$91,9,FALSE()),""))</f>
      </c>
    </row>
    <row r="3285">
      <c r="F3285">
        <f>IF(DATOS!$A3285="","",DATOS!$A3285&amp;"|"&amp;DATOS!$D3285&amp;"|"&amp;DATOS!$E3285&amp;"|"&amp;DATOS!$I3285)</f>
      </c>
      <c r="G3285">
        <f>IF(DATOS!$A3285="",0,IF(CONFIG_METADATA!$B$4&lt;&gt;"OR+EX",--(DATOS!$G3285=CONFIG_METADATA!$B$4),IF(DATOS!$G3285="EX",1,IF(DATOS!$G3285="OR",--(COUNTIFS(nNIA,DATOS!$A3285,nCURSO,DATOS!$D3285,nESPEC,DATOS!$E3285,nASIG,DATOS!$I3285,nEVAL,"EX")=0),0))))</f>
      </c>
      <c r="H3285">
        <f>IF(DATOS!$G3285&lt;&gt;"EX",0,--(COUNTIFS(nNIA,DATOS!$A3285,nCURSO,DATOS!$D3285,nESPEC,DATOS!$E3285,nASIG,DATOS!$I3285,nEVAL,"OR")=0))</f>
      </c>
      <c r="I3285">
        <f>IF(DATOS!$I3285="","",IFERROR(VLOOKUP(DATOS!$I3285,CONFIG_ASIGNATURAS!$B$2:$J$91,9,FALSE()),""))</f>
      </c>
    </row>
    <row r="3286">
      <c r="F3286">
        <f>IF(DATOS!$A3286="","",DATOS!$A3286&amp;"|"&amp;DATOS!$D3286&amp;"|"&amp;DATOS!$E3286&amp;"|"&amp;DATOS!$I3286)</f>
      </c>
      <c r="G3286">
        <f>IF(DATOS!$A3286="",0,IF(CONFIG_METADATA!$B$4&lt;&gt;"OR+EX",--(DATOS!$G3286=CONFIG_METADATA!$B$4),IF(DATOS!$G3286="EX",1,IF(DATOS!$G3286="OR",--(COUNTIFS(nNIA,DATOS!$A3286,nCURSO,DATOS!$D3286,nESPEC,DATOS!$E3286,nASIG,DATOS!$I3286,nEVAL,"EX")=0),0))))</f>
      </c>
      <c r="H3286">
        <f>IF(DATOS!$G3286&lt;&gt;"EX",0,--(COUNTIFS(nNIA,DATOS!$A3286,nCURSO,DATOS!$D3286,nESPEC,DATOS!$E3286,nASIG,DATOS!$I3286,nEVAL,"OR")=0))</f>
      </c>
      <c r="I3286">
        <f>IF(DATOS!$I3286="","",IFERROR(VLOOKUP(DATOS!$I3286,CONFIG_ASIGNATURAS!$B$2:$J$91,9,FALSE()),""))</f>
      </c>
    </row>
    <row r="3287">
      <c r="F3287">
        <f>IF(DATOS!$A3287="","",DATOS!$A3287&amp;"|"&amp;DATOS!$D3287&amp;"|"&amp;DATOS!$E3287&amp;"|"&amp;DATOS!$I3287)</f>
      </c>
      <c r="G3287">
        <f>IF(DATOS!$A3287="",0,IF(CONFIG_METADATA!$B$4&lt;&gt;"OR+EX",--(DATOS!$G3287=CONFIG_METADATA!$B$4),IF(DATOS!$G3287="EX",1,IF(DATOS!$G3287="OR",--(COUNTIFS(nNIA,DATOS!$A3287,nCURSO,DATOS!$D3287,nESPEC,DATOS!$E3287,nASIG,DATOS!$I3287,nEVAL,"EX")=0),0))))</f>
      </c>
      <c r="H3287">
        <f>IF(DATOS!$G3287&lt;&gt;"EX",0,--(COUNTIFS(nNIA,DATOS!$A3287,nCURSO,DATOS!$D3287,nESPEC,DATOS!$E3287,nASIG,DATOS!$I3287,nEVAL,"OR")=0))</f>
      </c>
      <c r="I3287">
        <f>IF(DATOS!$I3287="","",IFERROR(VLOOKUP(DATOS!$I3287,CONFIG_ASIGNATURAS!$B$2:$J$91,9,FALSE()),""))</f>
      </c>
    </row>
    <row r="3288">
      <c r="F3288">
        <f>IF(DATOS!$A3288="","",DATOS!$A3288&amp;"|"&amp;DATOS!$D3288&amp;"|"&amp;DATOS!$E3288&amp;"|"&amp;DATOS!$I3288)</f>
      </c>
      <c r="G3288">
        <f>IF(DATOS!$A3288="",0,IF(CONFIG_METADATA!$B$4&lt;&gt;"OR+EX",--(DATOS!$G3288=CONFIG_METADATA!$B$4),IF(DATOS!$G3288="EX",1,IF(DATOS!$G3288="OR",--(COUNTIFS(nNIA,DATOS!$A3288,nCURSO,DATOS!$D3288,nESPEC,DATOS!$E3288,nASIG,DATOS!$I3288,nEVAL,"EX")=0),0))))</f>
      </c>
      <c r="H3288">
        <f>IF(DATOS!$G3288&lt;&gt;"EX",0,--(COUNTIFS(nNIA,DATOS!$A3288,nCURSO,DATOS!$D3288,nESPEC,DATOS!$E3288,nASIG,DATOS!$I3288,nEVAL,"OR")=0))</f>
      </c>
      <c r="I3288">
        <f>IF(DATOS!$I3288="","",IFERROR(VLOOKUP(DATOS!$I3288,CONFIG_ASIGNATURAS!$B$2:$J$91,9,FALSE()),""))</f>
      </c>
    </row>
    <row r="3289">
      <c r="F3289">
        <f>IF(DATOS!$A3289="","",DATOS!$A3289&amp;"|"&amp;DATOS!$D3289&amp;"|"&amp;DATOS!$E3289&amp;"|"&amp;DATOS!$I3289)</f>
      </c>
      <c r="G3289">
        <f>IF(DATOS!$A3289="",0,IF(CONFIG_METADATA!$B$4&lt;&gt;"OR+EX",--(DATOS!$G3289=CONFIG_METADATA!$B$4),IF(DATOS!$G3289="EX",1,IF(DATOS!$G3289="OR",--(COUNTIFS(nNIA,DATOS!$A3289,nCURSO,DATOS!$D3289,nESPEC,DATOS!$E3289,nASIG,DATOS!$I3289,nEVAL,"EX")=0),0))))</f>
      </c>
      <c r="H3289">
        <f>IF(DATOS!$G3289&lt;&gt;"EX",0,--(COUNTIFS(nNIA,DATOS!$A3289,nCURSO,DATOS!$D3289,nESPEC,DATOS!$E3289,nASIG,DATOS!$I3289,nEVAL,"OR")=0))</f>
      </c>
      <c r="I3289">
        <f>IF(DATOS!$I3289="","",IFERROR(VLOOKUP(DATOS!$I3289,CONFIG_ASIGNATURAS!$B$2:$J$91,9,FALSE()),""))</f>
      </c>
    </row>
    <row r="3290">
      <c r="F3290">
        <f>IF(DATOS!$A3290="","",DATOS!$A3290&amp;"|"&amp;DATOS!$D3290&amp;"|"&amp;DATOS!$E3290&amp;"|"&amp;DATOS!$I3290)</f>
      </c>
      <c r="G3290">
        <f>IF(DATOS!$A3290="",0,IF(CONFIG_METADATA!$B$4&lt;&gt;"OR+EX",--(DATOS!$G3290=CONFIG_METADATA!$B$4),IF(DATOS!$G3290="EX",1,IF(DATOS!$G3290="OR",--(COUNTIFS(nNIA,DATOS!$A3290,nCURSO,DATOS!$D3290,nESPEC,DATOS!$E3290,nASIG,DATOS!$I3290,nEVAL,"EX")=0),0))))</f>
      </c>
      <c r="H3290">
        <f>IF(DATOS!$G3290&lt;&gt;"EX",0,--(COUNTIFS(nNIA,DATOS!$A3290,nCURSO,DATOS!$D3290,nESPEC,DATOS!$E3290,nASIG,DATOS!$I3290,nEVAL,"OR")=0))</f>
      </c>
      <c r="I3290">
        <f>IF(DATOS!$I3290="","",IFERROR(VLOOKUP(DATOS!$I3290,CONFIG_ASIGNATURAS!$B$2:$J$91,9,FALSE()),""))</f>
      </c>
    </row>
    <row r="3291">
      <c r="F3291">
        <f>IF(DATOS!$A3291="","",DATOS!$A3291&amp;"|"&amp;DATOS!$D3291&amp;"|"&amp;DATOS!$E3291&amp;"|"&amp;DATOS!$I3291)</f>
      </c>
      <c r="G3291">
        <f>IF(DATOS!$A3291="",0,IF(CONFIG_METADATA!$B$4&lt;&gt;"OR+EX",--(DATOS!$G3291=CONFIG_METADATA!$B$4),IF(DATOS!$G3291="EX",1,IF(DATOS!$G3291="OR",--(COUNTIFS(nNIA,DATOS!$A3291,nCURSO,DATOS!$D3291,nESPEC,DATOS!$E3291,nASIG,DATOS!$I3291,nEVAL,"EX")=0),0))))</f>
      </c>
      <c r="H3291">
        <f>IF(DATOS!$G3291&lt;&gt;"EX",0,--(COUNTIFS(nNIA,DATOS!$A3291,nCURSO,DATOS!$D3291,nESPEC,DATOS!$E3291,nASIG,DATOS!$I3291,nEVAL,"OR")=0))</f>
      </c>
      <c r="I3291">
        <f>IF(DATOS!$I3291="","",IFERROR(VLOOKUP(DATOS!$I3291,CONFIG_ASIGNATURAS!$B$2:$J$91,9,FALSE()),""))</f>
      </c>
    </row>
    <row r="3292">
      <c r="F3292">
        <f>IF(DATOS!$A3292="","",DATOS!$A3292&amp;"|"&amp;DATOS!$D3292&amp;"|"&amp;DATOS!$E3292&amp;"|"&amp;DATOS!$I3292)</f>
      </c>
      <c r="G3292">
        <f>IF(DATOS!$A3292="",0,IF(CONFIG_METADATA!$B$4&lt;&gt;"OR+EX",--(DATOS!$G3292=CONFIG_METADATA!$B$4),IF(DATOS!$G3292="EX",1,IF(DATOS!$G3292="OR",--(COUNTIFS(nNIA,DATOS!$A3292,nCURSO,DATOS!$D3292,nESPEC,DATOS!$E3292,nASIG,DATOS!$I3292,nEVAL,"EX")=0),0))))</f>
      </c>
      <c r="H3292">
        <f>IF(DATOS!$G3292&lt;&gt;"EX",0,--(COUNTIFS(nNIA,DATOS!$A3292,nCURSO,DATOS!$D3292,nESPEC,DATOS!$E3292,nASIG,DATOS!$I3292,nEVAL,"OR")=0))</f>
      </c>
      <c r="I3292">
        <f>IF(DATOS!$I3292="","",IFERROR(VLOOKUP(DATOS!$I3292,CONFIG_ASIGNATURAS!$B$2:$J$91,9,FALSE()),""))</f>
      </c>
    </row>
    <row r="3293">
      <c r="F3293">
        <f>IF(DATOS!$A3293="","",DATOS!$A3293&amp;"|"&amp;DATOS!$D3293&amp;"|"&amp;DATOS!$E3293&amp;"|"&amp;DATOS!$I3293)</f>
      </c>
      <c r="G3293">
        <f>IF(DATOS!$A3293="",0,IF(CONFIG_METADATA!$B$4&lt;&gt;"OR+EX",--(DATOS!$G3293=CONFIG_METADATA!$B$4),IF(DATOS!$G3293="EX",1,IF(DATOS!$G3293="OR",--(COUNTIFS(nNIA,DATOS!$A3293,nCURSO,DATOS!$D3293,nESPEC,DATOS!$E3293,nASIG,DATOS!$I3293,nEVAL,"EX")=0),0))))</f>
      </c>
      <c r="H3293">
        <f>IF(DATOS!$G3293&lt;&gt;"EX",0,--(COUNTIFS(nNIA,DATOS!$A3293,nCURSO,DATOS!$D3293,nESPEC,DATOS!$E3293,nASIG,DATOS!$I3293,nEVAL,"OR")=0))</f>
      </c>
      <c r="I3293">
        <f>IF(DATOS!$I3293="","",IFERROR(VLOOKUP(DATOS!$I3293,CONFIG_ASIGNATURAS!$B$2:$J$91,9,FALSE()),""))</f>
      </c>
    </row>
    <row r="3294">
      <c r="F3294">
        <f>IF(DATOS!$A3294="","",DATOS!$A3294&amp;"|"&amp;DATOS!$D3294&amp;"|"&amp;DATOS!$E3294&amp;"|"&amp;DATOS!$I3294)</f>
      </c>
      <c r="G3294">
        <f>IF(DATOS!$A3294="",0,IF(CONFIG_METADATA!$B$4&lt;&gt;"OR+EX",--(DATOS!$G3294=CONFIG_METADATA!$B$4),IF(DATOS!$G3294="EX",1,IF(DATOS!$G3294="OR",--(COUNTIFS(nNIA,DATOS!$A3294,nCURSO,DATOS!$D3294,nESPEC,DATOS!$E3294,nASIG,DATOS!$I3294,nEVAL,"EX")=0),0))))</f>
      </c>
      <c r="H3294">
        <f>IF(DATOS!$G3294&lt;&gt;"EX",0,--(COUNTIFS(nNIA,DATOS!$A3294,nCURSO,DATOS!$D3294,nESPEC,DATOS!$E3294,nASIG,DATOS!$I3294,nEVAL,"OR")=0))</f>
      </c>
      <c r="I3294">
        <f>IF(DATOS!$I3294="","",IFERROR(VLOOKUP(DATOS!$I3294,CONFIG_ASIGNATURAS!$B$2:$J$91,9,FALSE()),""))</f>
      </c>
    </row>
    <row r="3295">
      <c r="F3295">
        <f>IF(DATOS!$A3295="","",DATOS!$A3295&amp;"|"&amp;DATOS!$D3295&amp;"|"&amp;DATOS!$E3295&amp;"|"&amp;DATOS!$I3295)</f>
      </c>
      <c r="G3295">
        <f>IF(DATOS!$A3295="",0,IF(CONFIG_METADATA!$B$4&lt;&gt;"OR+EX",--(DATOS!$G3295=CONFIG_METADATA!$B$4),IF(DATOS!$G3295="EX",1,IF(DATOS!$G3295="OR",--(COUNTIFS(nNIA,DATOS!$A3295,nCURSO,DATOS!$D3295,nESPEC,DATOS!$E3295,nASIG,DATOS!$I3295,nEVAL,"EX")=0),0))))</f>
      </c>
      <c r="H3295">
        <f>IF(DATOS!$G3295&lt;&gt;"EX",0,--(COUNTIFS(nNIA,DATOS!$A3295,nCURSO,DATOS!$D3295,nESPEC,DATOS!$E3295,nASIG,DATOS!$I3295,nEVAL,"OR")=0))</f>
      </c>
      <c r="I3295">
        <f>IF(DATOS!$I3295="","",IFERROR(VLOOKUP(DATOS!$I3295,CONFIG_ASIGNATURAS!$B$2:$J$91,9,FALSE()),""))</f>
      </c>
    </row>
    <row r="3296">
      <c r="F3296">
        <f>IF(DATOS!$A3296="","",DATOS!$A3296&amp;"|"&amp;DATOS!$D3296&amp;"|"&amp;DATOS!$E3296&amp;"|"&amp;DATOS!$I3296)</f>
      </c>
      <c r="G3296">
        <f>IF(DATOS!$A3296="",0,IF(CONFIG_METADATA!$B$4&lt;&gt;"OR+EX",--(DATOS!$G3296=CONFIG_METADATA!$B$4),IF(DATOS!$G3296="EX",1,IF(DATOS!$G3296="OR",--(COUNTIFS(nNIA,DATOS!$A3296,nCURSO,DATOS!$D3296,nESPEC,DATOS!$E3296,nASIG,DATOS!$I3296,nEVAL,"EX")=0),0))))</f>
      </c>
      <c r="H3296">
        <f>IF(DATOS!$G3296&lt;&gt;"EX",0,--(COUNTIFS(nNIA,DATOS!$A3296,nCURSO,DATOS!$D3296,nESPEC,DATOS!$E3296,nASIG,DATOS!$I3296,nEVAL,"OR")=0))</f>
      </c>
      <c r="I3296">
        <f>IF(DATOS!$I3296="","",IFERROR(VLOOKUP(DATOS!$I3296,CONFIG_ASIGNATURAS!$B$2:$J$91,9,FALSE()),""))</f>
      </c>
    </row>
    <row r="3297">
      <c r="F3297">
        <f>IF(DATOS!$A3297="","",DATOS!$A3297&amp;"|"&amp;DATOS!$D3297&amp;"|"&amp;DATOS!$E3297&amp;"|"&amp;DATOS!$I3297)</f>
      </c>
      <c r="G3297">
        <f>IF(DATOS!$A3297="",0,IF(CONFIG_METADATA!$B$4&lt;&gt;"OR+EX",--(DATOS!$G3297=CONFIG_METADATA!$B$4),IF(DATOS!$G3297="EX",1,IF(DATOS!$G3297="OR",--(COUNTIFS(nNIA,DATOS!$A3297,nCURSO,DATOS!$D3297,nESPEC,DATOS!$E3297,nASIG,DATOS!$I3297,nEVAL,"EX")=0),0))))</f>
      </c>
      <c r="H3297">
        <f>IF(DATOS!$G3297&lt;&gt;"EX",0,--(COUNTIFS(nNIA,DATOS!$A3297,nCURSO,DATOS!$D3297,nESPEC,DATOS!$E3297,nASIG,DATOS!$I3297,nEVAL,"OR")=0))</f>
      </c>
      <c r="I3297">
        <f>IF(DATOS!$I3297="","",IFERROR(VLOOKUP(DATOS!$I3297,CONFIG_ASIGNATURAS!$B$2:$J$91,9,FALSE()),""))</f>
      </c>
    </row>
    <row r="3298">
      <c r="F3298">
        <f>IF(DATOS!$A3298="","",DATOS!$A3298&amp;"|"&amp;DATOS!$D3298&amp;"|"&amp;DATOS!$E3298&amp;"|"&amp;DATOS!$I3298)</f>
      </c>
      <c r="G3298">
        <f>IF(DATOS!$A3298="",0,IF(CONFIG_METADATA!$B$4&lt;&gt;"OR+EX",--(DATOS!$G3298=CONFIG_METADATA!$B$4),IF(DATOS!$G3298="EX",1,IF(DATOS!$G3298="OR",--(COUNTIFS(nNIA,DATOS!$A3298,nCURSO,DATOS!$D3298,nESPEC,DATOS!$E3298,nASIG,DATOS!$I3298,nEVAL,"EX")=0),0))))</f>
      </c>
      <c r="H3298">
        <f>IF(DATOS!$G3298&lt;&gt;"EX",0,--(COUNTIFS(nNIA,DATOS!$A3298,nCURSO,DATOS!$D3298,nESPEC,DATOS!$E3298,nASIG,DATOS!$I3298,nEVAL,"OR")=0))</f>
      </c>
      <c r="I3298">
        <f>IF(DATOS!$I3298="","",IFERROR(VLOOKUP(DATOS!$I3298,CONFIG_ASIGNATURAS!$B$2:$J$91,9,FALSE()),""))</f>
      </c>
    </row>
    <row r="3299">
      <c r="F3299">
        <f>IF(DATOS!$A3299="","",DATOS!$A3299&amp;"|"&amp;DATOS!$D3299&amp;"|"&amp;DATOS!$E3299&amp;"|"&amp;DATOS!$I3299)</f>
      </c>
      <c r="G3299">
        <f>IF(DATOS!$A3299="",0,IF(CONFIG_METADATA!$B$4&lt;&gt;"OR+EX",--(DATOS!$G3299=CONFIG_METADATA!$B$4),IF(DATOS!$G3299="EX",1,IF(DATOS!$G3299="OR",--(COUNTIFS(nNIA,DATOS!$A3299,nCURSO,DATOS!$D3299,nESPEC,DATOS!$E3299,nASIG,DATOS!$I3299,nEVAL,"EX")=0),0))))</f>
      </c>
      <c r="H3299">
        <f>IF(DATOS!$G3299&lt;&gt;"EX",0,--(COUNTIFS(nNIA,DATOS!$A3299,nCURSO,DATOS!$D3299,nESPEC,DATOS!$E3299,nASIG,DATOS!$I3299,nEVAL,"OR")=0))</f>
      </c>
      <c r="I3299">
        <f>IF(DATOS!$I3299="","",IFERROR(VLOOKUP(DATOS!$I3299,CONFIG_ASIGNATURAS!$B$2:$J$91,9,FALSE()),""))</f>
      </c>
    </row>
    <row r="3300">
      <c r="F3300">
        <f>IF(DATOS!$A3300="","",DATOS!$A3300&amp;"|"&amp;DATOS!$D3300&amp;"|"&amp;DATOS!$E3300&amp;"|"&amp;DATOS!$I3300)</f>
      </c>
      <c r="G3300">
        <f>IF(DATOS!$A3300="",0,IF(CONFIG_METADATA!$B$4&lt;&gt;"OR+EX",--(DATOS!$G3300=CONFIG_METADATA!$B$4),IF(DATOS!$G3300="EX",1,IF(DATOS!$G3300="OR",--(COUNTIFS(nNIA,DATOS!$A3300,nCURSO,DATOS!$D3300,nESPEC,DATOS!$E3300,nASIG,DATOS!$I3300,nEVAL,"EX")=0),0))))</f>
      </c>
      <c r="H3300">
        <f>IF(DATOS!$G3300&lt;&gt;"EX",0,--(COUNTIFS(nNIA,DATOS!$A3300,nCURSO,DATOS!$D3300,nESPEC,DATOS!$E3300,nASIG,DATOS!$I3300,nEVAL,"OR")=0))</f>
      </c>
      <c r="I3300">
        <f>IF(DATOS!$I3300="","",IFERROR(VLOOKUP(DATOS!$I3300,CONFIG_ASIGNATURAS!$B$2:$J$91,9,FALSE()),""))</f>
      </c>
    </row>
    <row r="3301">
      <c r="F3301">
        <f>IF(DATOS!$A3301="","",DATOS!$A3301&amp;"|"&amp;DATOS!$D3301&amp;"|"&amp;DATOS!$E3301&amp;"|"&amp;DATOS!$I3301)</f>
      </c>
      <c r="G3301">
        <f>IF(DATOS!$A3301="",0,IF(CONFIG_METADATA!$B$4&lt;&gt;"OR+EX",--(DATOS!$G3301=CONFIG_METADATA!$B$4),IF(DATOS!$G3301="EX",1,IF(DATOS!$G3301="OR",--(COUNTIFS(nNIA,DATOS!$A3301,nCURSO,DATOS!$D3301,nESPEC,DATOS!$E3301,nASIG,DATOS!$I3301,nEVAL,"EX")=0),0))))</f>
      </c>
      <c r="H3301">
        <f>IF(DATOS!$G3301&lt;&gt;"EX",0,--(COUNTIFS(nNIA,DATOS!$A3301,nCURSO,DATOS!$D3301,nESPEC,DATOS!$E3301,nASIG,DATOS!$I3301,nEVAL,"OR")=0))</f>
      </c>
      <c r="I3301">
        <f>IF(DATOS!$I3301="","",IFERROR(VLOOKUP(DATOS!$I3301,CONFIG_ASIGNATURAS!$B$2:$J$91,9,FALSE()),""))</f>
      </c>
    </row>
    <row r="3302">
      <c r="F3302">
        <f>IF(DATOS!$A3302="","",DATOS!$A3302&amp;"|"&amp;DATOS!$D3302&amp;"|"&amp;DATOS!$E3302&amp;"|"&amp;DATOS!$I3302)</f>
      </c>
      <c r="G3302">
        <f>IF(DATOS!$A3302="",0,IF(CONFIG_METADATA!$B$4&lt;&gt;"OR+EX",--(DATOS!$G3302=CONFIG_METADATA!$B$4),IF(DATOS!$G3302="EX",1,IF(DATOS!$G3302="OR",--(COUNTIFS(nNIA,DATOS!$A3302,nCURSO,DATOS!$D3302,nESPEC,DATOS!$E3302,nASIG,DATOS!$I3302,nEVAL,"EX")=0),0))))</f>
      </c>
      <c r="H3302">
        <f>IF(DATOS!$G3302&lt;&gt;"EX",0,--(COUNTIFS(nNIA,DATOS!$A3302,nCURSO,DATOS!$D3302,nESPEC,DATOS!$E3302,nASIG,DATOS!$I3302,nEVAL,"OR")=0))</f>
      </c>
      <c r="I3302">
        <f>IF(DATOS!$I3302="","",IFERROR(VLOOKUP(DATOS!$I3302,CONFIG_ASIGNATURAS!$B$2:$J$91,9,FALSE()),""))</f>
      </c>
    </row>
    <row r="3303">
      <c r="F3303">
        <f>IF(DATOS!$A3303="","",DATOS!$A3303&amp;"|"&amp;DATOS!$D3303&amp;"|"&amp;DATOS!$E3303&amp;"|"&amp;DATOS!$I3303)</f>
      </c>
      <c r="G3303">
        <f>IF(DATOS!$A3303="",0,IF(CONFIG_METADATA!$B$4&lt;&gt;"OR+EX",--(DATOS!$G3303=CONFIG_METADATA!$B$4),IF(DATOS!$G3303="EX",1,IF(DATOS!$G3303="OR",--(COUNTIFS(nNIA,DATOS!$A3303,nCURSO,DATOS!$D3303,nESPEC,DATOS!$E3303,nASIG,DATOS!$I3303,nEVAL,"EX")=0),0))))</f>
      </c>
      <c r="H3303">
        <f>IF(DATOS!$G3303&lt;&gt;"EX",0,--(COUNTIFS(nNIA,DATOS!$A3303,nCURSO,DATOS!$D3303,nESPEC,DATOS!$E3303,nASIG,DATOS!$I3303,nEVAL,"OR")=0))</f>
      </c>
      <c r="I3303">
        <f>IF(DATOS!$I3303="","",IFERROR(VLOOKUP(DATOS!$I3303,CONFIG_ASIGNATURAS!$B$2:$J$91,9,FALSE()),""))</f>
      </c>
    </row>
    <row r="3304">
      <c r="F3304">
        <f>IF(DATOS!$A3304="","",DATOS!$A3304&amp;"|"&amp;DATOS!$D3304&amp;"|"&amp;DATOS!$E3304&amp;"|"&amp;DATOS!$I3304)</f>
      </c>
      <c r="G3304">
        <f>IF(DATOS!$A3304="",0,IF(CONFIG_METADATA!$B$4&lt;&gt;"OR+EX",--(DATOS!$G3304=CONFIG_METADATA!$B$4),IF(DATOS!$G3304="EX",1,IF(DATOS!$G3304="OR",--(COUNTIFS(nNIA,DATOS!$A3304,nCURSO,DATOS!$D3304,nESPEC,DATOS!$E3304,nASIG,DATOS!$I3304,nEVAL,"EX")=0),0))))</f>
      </c>
      <c r="H3304">
        <f>IF(DATOS!$G3304&lt;&gt;"EX",0,--(COUNTIFS(nNIA,DATOS!$A3304,nCURSO,DATOS!$D3304,nESPEC,DATOS!$E3304,nASIG,DATOS!$I3304,nEVAL,"OR")=0))</f>
      </c>
      <c r="I3304">
        <f>IF(DATOS!$I3304="","",IFERROR(VLOOKUP(DATOS!$I3304,CONFIG_ASIGNATURAS!$B$2:$J$91,9,FALSE()),""))</f>
      </c>
    </row>
    <row r="3305">
      <c r="F3305">
        <f>IF(DATOS!$A3305="","",DATOS!$A3305&amp;"|"&amp;DATOS!$D3305&amp;"|"&amp;DATOS!$E3305&amp;"|"&amp;DATOS!$I3305)</f>
      </c>
      <c r="G3305">
        <f>IF(DATOS!$A3305="",0,IF(CONFIG_METADATA!$B$4&lt;&gt;"OR+EX",--(DATOS!$G3305=CONFIG_METADATA!$B$4),IF(DATOS!$G3305="EX",1,IF(DATOS!$G3305="OR",--(COUNTIFS(nNIA,DATOS!$A3305,nCURSO,DATOS!$D3305,nESPEC,DATOS!$E3305,nASIG,DATOS!$I3305,nEVAL,"EX")=0),0))))</f>
      </c>
      <c r="H3305">
        <f>IF(DATOS!$G3305&lt;&gt;"EX",0,--(COUNTIFS(nNIA,DATOS!$A3305,nCURSO,DATOS!$D3305,nESPEC,DATOS!$E3305,nASIG,DATOS!$I3305,nEVAL,"OR")=0))</f>
      </c>
      <c r="I3305">
        <f>IF(DATOS!$I3305="","",IFERROR(VLOOKUP(DATOS!$I3305,CONFIG_ASIGNATURAS!$B$2:$J$91,9,FALSE()),""))</f>
      </c>
    </row>
    <row r="3306">
      <c r="F3306">
        <f>IF(DATOS!$A3306="","",DATOS!$A3306&amp;"|"&amp;DATOS!$D3306&amp;"|"&amp;DATOS!$E3306&amp;"|"&amp;DATOS!$I3306)</f>
      </c>
      <c r="G3306">
        <f>IF(DATOS!$A3306="",0,IF(CONFIG_METADATA!$B$4&lt;&gt;"OR+EX",--(DATOS!$G3306=CONFIG_METADATA!$B$4),IF(DATOS!$G3306="EX",1,IF(DATOS!$G3306="OR",--(COUNTIFS(nNIA,DATOS!$A3306,nCURSO,DATOS!$D3306,nESPEC,DATOS!$E3306,nASIG,DATOS!$I3306,nEVAL,"EX")=0),0))))</f>
      </c>
      <c r="H3306">
        <f>IF(DATOS!$G3306&lt;&gt;"EX",0,--(COUNTIFS(nNIA,DATOS!$A3306,nCURSO,DATOS!$D3306,nESPEC,DATOS!$E3306,nASIG,DATOS!$I3306,nEVAL,"OR")=0))</f>
      </c>
      <c r="I3306">
        <f>IF(DATOS!$I3306="","",IFERROR(VLOOKUP(DATOS!$I3306,CONFIG_ASIGNATURAS!$B$2:$J$91,9,FALSE()),""))</f>
      </c>
    </row>
    <row r="3307">
      <c r="F3307">
        <f>IF(DATOS!$A3307="","",DATOS!$A3307&amp;"|"&amp;DATOS!$D3307&amp;"|"&amp;DATOS!$E3307&amp;"|"&amp;DATOS!$I3307)</f>
      </c>
      <c r="G3307">
        <f>IF(DATOS!$A3307="",0,IF(CONFIG_METADATA!$B$4&lt;&gt;"OR+EX",--(DATOS!$G3307=CONFIG_METADATA!$B$4),IF(DATOS!$G3307="EX",1,IF(DATOS!$G3307="OR",--(COUNTIFS(nNIA,DATOS!$A3307,nCURSO,DATOS!$D3307,nESPEC,DATOS!$E3307,nASIG,DATOS!$I3307,nEVAL,"EX")=0),0))))</f>
      </c>
      <c r="H3307">
        <f>IF(DATOS!$G3307&lt;&gt;"EX",0,--(COUNTIFS(nNIA,DATOS!$A3307,nCURSO,DATOS!$D3307,nESPEC,DATOS!$E3307,nASIG,DATOS!$I3307,nEVAL,"OR")=0))</f>
      </c>
      <c r="I3307">
        <f>IF(DATOS!$I3307="","",IFERROR(VLOOKUP(DATOS!$I3307,CONFIG_ASIGNATURAS!$B$2:$J$91,9,FALSE()),""))</f>
      </c>
    </row>
    <row r="3308">
      <c r="F3308">
        <f>IF(DATOS!$A3308="","",DATOS!$A3308&amp;"|"&amp;DATOS!$D3308&amp;"|"&amp;DATOS!$E3308&amp;"|"&amp;DATOS!$I3308)</f>
      </c>
      <c r="G3308">
        <f>IF(DATOS!$A3308="",0,IF(CONFIG_METADATA!$B$4&lt;&gt;"OR+EX",--(DATOS!$G3308=CONFIG_METADATA!$B$4),IF(DATOS!$G3308="EX",1,IF(DATOS!$G3308="OR",--(COUNTIFS(nNIA,DATOS!$A3308,nCURSO,DATOS!$D3308,nESPEC,DATOS!$E3308,nASIG,DATOS!$I3308,nEVAL,"EX")=0),0))))</f>
      </c>
      <c r="H3308">
        <f>IF(DATOS!$G3308&lt;&gt;"EX",0,--(COUNTIFS(nNIA,DATOS!$A3308,nCURSO,DATOS!$D3308,nESPEC,DATOS!$E3308,nASIG,DATOS!$I3308,nEVAL,"OR")=0))</f>
      </c>
      <c r="I3308">
        <f>IF(DATOS!$I3308="","",IFERROR(VLOOKUP(DATOS!$I3308,CONFIG_ASIGNATURAS!$B$2:$J$91,9,FALSE()),""))</f>
      </c>
    </row>
    <row r="3309">
      <c r="F3309">
        <f>IF(DATOS!$A3309="","",DATOS!$A3309&amp;"|"&amp;DATOS!$D3309&amp;"|"&amp;DATOS!$E3309&amp;"|"&amp;DATOS!$I3309)</f>
      </c>
      <c r="G3309">
        <f>IF(DATOS!$A3309="",0,IF(CONFIG_METADATA!$B$4&lt;&gt;"OR+EX",--(DATOS!$G3309=CONFIG_METADATA!$B$4),IF(DATOS!$G3309="EX",1,IF(DATOS!$G3309="OR",--(COUNTIFS(nNIA,DATOS!$A3309,nCURSO,DATOS!$D3309,nESPEC,DATOS!$E3309,nASIG,DATOS!$I3309,nEVAL,"EX")=0),0))))</f>
      </c>
      <c r="H3309">
        <f>IF(DATOS!$G3309&lt;&gt;"EX",0,--(COUNTIFS(nNIA,DATOS!$A3309,nCURSO,DATOS!$D3309,nESPEC,DATOS!$E3309,nASIG,DATOS!$I3309,nEVAL,"OR")=0))</f>
      </c>
      <c r="I3309">
        <f>IF(DATOS!$I3309="","",IFERROR(VLOOKUP(DATOS!$I3309,CONFIG_ASIGNATURAS!$B$2:$J$91,9,FALSE()),""))</f>
      </c>
    </row>
    <row r="3310">
      <c r="F3310">
        <f>IF(DATOS!$A3310="","",DATOS!$A3310&amp;"|"&amp;DATOS!$D3310&amp;"|"&amp;DATOS!$E3310&amp;"|"&amp;DATOS!$I3310)</f>
      </c>
      <c r="G3310">
        <f>IF(DATOS!$A3310="",0,IF(CONFIG_METADATA!$B$4&lt;&gt;"OR+EX",--(DATOS!$G3310=CONFIG_METADATA!$B$4),IF(DATOS!$G3310="EX",1,IF(DATOS!$G3310="OR",--(COUNTIFS(nNIA,DATOS!$A3310,nCURSO,DATOS!$D3310,nESPEC,DATOS!$E3310,nASIG,DATOS!$I3310,nEVAL,"EX")=0),0))))</f>
      </c>
      <c r="H3310">
        <f>IF(DATOS!$G3310&lt;&gt;"EX",0,--(COUNTIFS(nNIA,DATOS!$A3310,nCURSO,DATOS!$D3310,nESPEC,DATOS!$E3310,nASIG,DATOS!$I3310,nEVAL,"OR")=0))</f>
      </c>
      <c r="I3310">
        <f>IF(DATOS!$I3310="","",IFERROR(VLOOKUP(DATOS!$I3310,CONFIG_ASIGNATURAS!$B$2:$J$91,9,FALSE()),""))</f>
      </c>
    </row>
    <row r="3311">
      <c r="F3311">
        <f>IF(DATOS!$A3311="","",DATOS!$A3311&amp;"|"&amp;DATOS!$D3311&amp;"|"&amp;DATOS!$E3311&amp;"|"&amp;DATOS!$I3311)</f>
      </c>
      <c r="G3311">
        <f>IF(DATOS!$A3311="",0,IF(CONFIG_METADATA!$B$4&lt;&gt;"OR+EX",--(DATOS!$G3311=CONFIG_METADATA!$B$4),IF(DATOS!$G3311="EX",1,IF(DATOS!$G3311="OR",--(COUNTIFS(nNIA,DATOS!$A3311,nCURSO,DATOS!$D3311,nESPEC,DATOS!$E3311,nASIG,DATOS!$I3311,nEVAL,"EX")=0),0))))</f>
      </c>
      <c r="H3311">
        <f>IF(DATOS!$G3311&lt;&gt;"EX",0,--(COUNTIFS(nNIA,DATOS!$A3311,nCURSO,DATOS!$D3311,nESPEC,DATOS!$E3311,nASIG,DATOS!$I3311,nEVAL,"OR")=0))</f>
      </c>
      <c r="I3311">
        <f>IF(DATOS!$I3311="","",IFERROR(VLOOKUP(DATOS!$I3311,CONFIG_ASIGNATURAS!$B$2:$J$91,9,FALSE()),""))</f>
      </c>
    </row>
    <row r="3312">
      <c r="F3312">
        <f>IF(DATOS!$A3312="","",DATOS!$A3312&amp;"|"&amp;DATOS!$D3312&amp;"|"&amp;DATOS!$E3312&amp;"|"&amp;DATOS!$I3312)</f>
      </c>
      <c r="G3312">
        <f>IF(DATOS!$A3312="",0,IF(CONFIG_METADATA!$B$4&lt;&gt;"OR+EX",--(DATOS!$G3312=CONFIG_METADATA!$B$4),IF(DATOS!$G3312="EX",1,IF(DATOS!$G3312="OR",--(COUNTIFS(nNIA,DATOS!$A3312,nCURSO,DATOS!$D3312,nESPEC,DATOS!$E3312,nASIG,DATOS!$I3312,nEVAL,"EX")=0),0))))</f>
      </c>
      <c r="H3312">
        <f>IF(DATOS!$G3312&lt;&gt;"EX",0,--(COUNTIFS(nNIA,DATOS!$A3312,nCURSO,DATOS!$D3312,nESPEC,DATOS!$E3312,nASIG,DATOS!$I3312,nEVAL,"OR")=0))</f>
      </c>
      <c r="I3312">
        <f>IF(DATOS!$I3312="","",IFERROR(VLOOKUP(DATOS!$I3312,CONFIG_ASIGNATURAS!$B$2:$J$91,9,FALSE()),""))</f>
      </c>
    </row>
    <row r="3313">
      <c r="F3313">
        <f>IF(DATOS!$A3313="","",DATOS!$A3313&amp;"|"&amp;DATOS!$D3313&amp;"|"&amp;DATOS!$E3313&amp;"|"&amp;DATOS!$I3313)</f>
      </c>
      <c r="G3313">
        <f>IF(DATOS!$A3313="",0,IF(CONFIG_METADATA!$B$4&lt;&gt;"OR+EX",--(DATOS!$G3313=CONFIG_METADATA!$B$4),IF(DATOS!$G3313="EX",1,IF(DATOS!$G3313="OR",--(COUNTIFS(nNIA,DATOS!$A3313,nCURSO,DATOS!$D3313,nESPEC,DATOS!$E3313,nASIG,DATOS!$I3313,nEVAL,"EX")=0),0))))</f>
      </c>
      <c r="H3313">
        <f>IF(DATOS!$G3313&lt;&gt;"EX",0,--(COUNTIFS(nNIA,DATOS!$A3313,nCURSO,DATOS!$D3313,nESPEC,DATOS!$E3313,nASIG,DATOS!$I3313,nEVAL,"OR")=0))</f>
      </c>
      <c r="I3313">
        <f>IF(DATOS!$I3313="","",IFERROR(VLOOKUP(DATOS!$I3313,CONFIG_ASIGNATURAS!$B$2:$J$91,9,FALSE()),""))</f>
      </c>
    </row>
    <row r="3314">
      <c r="F3314">
        <f>IF(DATOS!$A3314="","",DATOS!$A3314&amp;"|"&amp;DATOS!$D3314&amp;"|"&amp;DATOS!$E3314&amp;"|"&amp;DATOS!$I3314)</f>
      </c>
      <c r="G3314">
        <f>IF(DATOS!$A3314="",0,IF(CONFIG_METADATA!$B$4&lt;&gt;"OR+EX",--(DATOS!$G3314=CONFIG_METADATA!$B$4),IF(DATOS!$G3314="EX",1,IF(DATOS!$G3314="OR",--(COUNTIFS(nNIA,DATOS!$A3314,nCURSO,DATOS!$D3314,nESPEC,DATOS!$E3314,nASIG,DATOS!$I3314,nEVAL,"EX")=0),0))))</f>
      </c>
      <c r="H3314">
        <f>IF(DATOS!$G3314&lt;&gt;"EX",0,--(COUNTIFS(nNIA,DATOS!$A3314,nCURSO,DATOS!$D3314,nESPEC,DATOS!$E3314,nASIG,DATOS!$I3314,nEVAL,"OR")=0))</f>
      </c>
      <c r="I3314">
        <f>IF(DATOS!$I3314="","",IFERROR(VLOOKUP(DATOS!$I3314,CONFIG_ASIGNATURAS!$B$2:$J$91,9,FALSE()),""))</f>
      </c>
    </row>
    <row r="3315">
      <c r="F3315">
        <f>IF(DATOS!$A3315="","",DATOS!$A3315&amp;"|"&amp;DATOS!$D3315&amp;"|"&amp;DATOS!$E3315&amp;"|"&amp;DATOS!$I3315)</f>
      </c>
      <c r="G3315">
        <f>IF(DATOS!$A3315="",0,IF(CONFIG_METADATA!$B$4&lt;&gt;"OR+EX",--(DATOS!$G3315=CONFIG_METADATA!$B$4),IF(DATOS!$G3315="EX",1,IF(DATOS!$G3315="OR",--(COUNTIFS(nNIA,DATOS!$A3315,nCURSO,DATOS!$D3315,nESPEC,DATOS!$E3315,nASIG,DATOS!$I3315,nEVAL,"EX")=0),0))))</f>
      </c>
      <c r="H3315">
        <f>IF(DATOS!$G3315&lt;&gt;"EX",0,--(COUNTIFS(nNIA,DATOS!$A3315,nCURSO,DATOS!$D3315,nESPEC,DATOS!$E3315,nASIG,DATOS!$I3315,nEVAL,"OR")=0))</f>
      </c>
      <c r="I3315">
        <f>IF(DATOS!$I3315="","",IFERROR(VLOOKUP(DATOS!$I3315,CONFIG_ASIGNATURAS!$B$2:$J$91,9,FALSE()),""))</f>
      </c>
    </row>
    <row r="3316">
      <c r="F3316">
        <f>IF(DATOS!$A3316="","",DATOS!$A3316&amp;"|"&amp;DATOS!$D3316&amp;"|"&amp;DATOS!$E3316&amp;"|"&amp;DATOS!$I3316)</f>
      </c>
      <c r="G3316">
        <f>IF(DATOS!$A3316="",0,IF(CONFIG_METADATA!$B$4&lt;&gt;"OR+EX",--(DATOS!$G3316=CONFIG_METADATA!$B$4),IF(DATOS!$G3316="EX",1,IF(DATOS!$G3316="OR",--(COUNTIFS(nNIA,DATOS!$A3316,nCURSO,DATOS!$D3316,nESPEC,DATOS!$E3316,nASIG,DATOS!$I3316,nEVAL,"EX")=0),0))))</f>
      </c>
      <c r="H3316">
        <f>IF(DATOS!$G3316&lt;&gt;"EX",0,--(COUNTIFS(nNIA,DATOS!$A3316,nCURSO,DATOS!$D3316,nESPEC,DATOS!$E3316,nASIG,DATOS!$I3316,nEVAL,"OR")=0))</f>
      </c>
      <c r="I3316">
        <f>IF(DATOS!$I3316="","",IFERROR(VLOOKUP(DATOS!$I3316,CONFIG_ASIGNATURAS!$B$2:$J$91,9,FALSE()),""))</f>
      </c>
    </row>
    <row r="3317">
      <c r="F3317">
        <f>IF(DATOS!$A3317="","",DATOS!$A3317&amp;"|"&amp;DATOS!$D3317&amp;"|"&amp;DATOS!$E3317&amp;"|"&amp;DATOS!$I3317)</f>
      </c>
      <c r="G3317">
        <f>IF(DATOS!$A3317="",0,IF(CONFIG_METADATA!$B$4&lt;&gt;"OR+EX",--(DATOS!$G3317=CONFIG_METADATA!$B$4),IF(DATOS!$G3317="EX",1,IF(DATOS!$G3317="OR",--(COUNTIFS(nNIA,DATOS!$A3317,nCURSO,DATOS!$D3317,nESPEC,DATOS!$E3317,nASIG,DATOS!$I3317,nEVAL,"EX")=0),0))))</f>
      </c>
      <c r="H3317">
        <f>IF(DATOS!$G3317&lt;&gt;"EX",0,--(COUNTIFS(nNIA,DATOS!$A3317,nCURSO,DATOS!$D3317,nESPEC,DATOS!$E3317,nASIG,DATOS!$I3317,nEVAL,"OR")=0))</f>
      </c>
      <c r="I3317">
        <f>IF(DATOS!$I3317="","",IFERROR(VLOOKUP(DATOS!$I3317,CONFIG_ASIGNATURAS!$B$2:$J$91,9,FALSE()),""))</f>
      </c>
    </row>
    <row r="3318">
      <c r="F3318">
        <f>IF(DATOS!$A3318="","",DATOS!$A3318&amp;"|"&amp;DATOS!$D3318&amp;"|"&amp;DATOS!$E3318&amp;"|"&amp;DATOS!$I3318)</f>
      </c>
      <c r="G3318">
        <f>IF(DATOS!$A3318="",0,IF(CONFIG_METADATA!$B$4&lt;&gt;"OR+EX",--(DATOS!$G3318=CONFIG_METADATA!$B$4),IF(DATOS!$G3318="EX",1,IF(DATOS!$G3318="OR",--(COUNTIFS(nNIA,DATOS!$A3318,nCURSO,DATOS!$D3318,nESPEC,DATOS!$E3318,nASIG,DATOS!$I3318,nEVAL,"EX")=0),0))))</f>
      </c>
      <c r="H3318">
        <f>IF(DATOS!$G3318&lt;&gt;"EX",0,--(COUNTIFS(nNIA,DATOS!$A3318,nCURSO,DATOS!$D3318,nESPEC,DATOS!$E3318,nASIG,DATOS!$I3318,nEVAL,"OR")=0))</f>
      </c>
      <c r="I3318">
        <f>IF(DATOS!$I3318="","",IFERROR(VLOOKUP(DATOS!$I3318,CONFIG_ASIGNATURAS!$B$2:$J$91,9,FALSE()),""))</f>
      </c>
    </row>
    <row r="3319">
      <c r="F3319">
        <f>IF(DATOS!$A3319="","",DATOS!$A3319&amp;"|"&amp;DATOS!$D3319&amp;"|"&amp;DATOS!$E3319&amp;"|"&amp;DATOS!$I3319)</f>
      </c>
      <c r="G3319">
        <f>IF(DATOS!$A3319="",0,IF(CONFIG_METADATA!$B$4&lt;&gt;"OR+EX",--(DATOS!$G3319=CONFIG_METADATA!$B$4),IF(DATOS!$G3319="EX",1,IF(DATOS!$G3319="OR",--(COUNTIFS(nNIA,DATOS!$A3319,nCURSO,DATOS!$D3319,nESPEC,DATOS!$E3319,nASIG,DATOS!$I3319,nEVAL,"EX")=0),0))))</f>
      </c>
      <c r="H3319">
        <f>IF(DATOS!$G3319&lt;&gt;"EX",0,--(COUNTIFS(nNIA,DATOS!$A3319,nCURSO,DATOS!$D3319,nESPEC,DATOS!$E3319,nASIG,DATOS!$I3319,nEVAL,"OR")=0))</f>
      </c>
      <c r="I3319">
        <f>IF(DATOS!$I3319="","",IFERROR(VLOOKUP(DATOS!$I3319,CONFIG_ASIGNATURAS!$B$2:$J$91,9,FALSE()),""))</f>
      </c>
    </row>
    <row r="3320">
      <c r="F3320">
        <f>IF(DATOS!$A3320="","",DATOS!$A3320&amp;"|"&amp;DATOS!$D3320&amp;"|"&amp;DATOS!$E3320&amp;"|"&amp;DATOS!$I3320)</f>
      </c>
      <c r="G3320">
        <f>IF(DATOS!$A3320="",0,IF(CONFIG_METADATA!$B$4&lt;&gt;"OR+EX",--(DATOS!$G3320=CONFIG_METADATA!$B$4),IF(DATOS!$G3320="EX",1,IF(DATOS!$G3320="OR",--(COUNTIFS(nNIA,DATOS!$A3320,nCURSO,DATOS!$D3320,nESPEC,DATOS!$E3320,nASIG,DATOS!$I3320,nEVAL,"EX")=0),0))))</f>
      </c>
      <c r="H3320">
        <f>IF(DATOS!$G3320&lt;&gt;"EX",0,--(COUNTIFS(nNIA,DATOS!$A3320,nCURSO,DATOS!$D3320,nESPEC,DATOS!$E3320,nASIG,DATOS!$I3320,nEVAL,"OR")=0))</f>
      </c>
      <c r="I3320">
        <f>IF(DATOS!$I3320="","",IFERROR(VLOOKUP(DATOS!$I3320,CONFIG_ASIGNATURAS!$B$2:$J$91,9,FALSE()),""))</f>
      </c>
    </row>
    <row r="3321">
      <c r="F3321">
        <f>IF(DATOS!$A3321="","",DATOS!$A3321&amp;"|"&amp;DATOS!$D3321&amp;"|"&amp;DATOS!$E3321&amp;"|"&amp;DATOS!$I3321)</f>
      </c>
      <c r="G3321">
        <f>IF(DATOS!$A3321="",0,IF(CONFIG_METADATA!$B$4&lt;&gt;"OR+EX",--(DATOS!$G3321=CONFIG_METADATA!$B$4),IF(DATOS!$G3321="EX",1,IF(DATOS!$G3321="OR",--(COUNTIFS(nNIA,DATOS!$A3321,nCURSO,DATOS!$D3321,nESPEC,DATOS!$E3321,nASIG,DATOS!$I3321,nEVAL,"EX")=0),0))))</f>
      </c>
      <c r="H3321">
        <f>IF(DATOS!$G3321&lt;&gt;"EX",0,--(COUNTIFS(nNIA,DATOS!$A3321,nCURSO,DATOS!$D3321,nESPEC,DATOS!$E3321,nASIG,DATOS!$I3321,nEVAL,"OR")=0))</f>
      </c>
      <c r="I3321">
        <f>IF(DATOS!$I3321="","",IFERROR(VLOOKUP(DATOS!$I3321,CONFIG_ASIGNATURAS!$B$2:$J$91,9,FALSE()),""))</f>
      </c>
    </row>
    <row r="3322">
      <c r="F3322">
        <f>IF(DATOS!$A3322="","",DATOS!$A3322&amp;"|"&amp;DATOS!$D3322&amp;"|"&amp;DATOS!$E3322&amp;"|"&amp;DATOS!$I3322)</f>
      </c>
      <c r="G3322">
        <f>IF(DATOS!$A3322="",0,IF(CONFIG_METADATA!$B$4&lt;&gt;"OR+EX",--(DATOS!$G3322=CONFIG_METADATA!$B$4),IF(DATOS!$G3322="EX",1,IF(DATOS!$G3322="OR",--(COUNTIFS(nNIA,DATOS!$A3322,nCURSO,DATOS!$D3322,nESPEC,DATOS!$E3322,nASIG,DATOS!$I3322,nEVAL,"EX")=0),0))))</f>
      </c>
      <c r="H3322">
        <f>IF(DATOS!$G3322&lt;&gt;"EX",0,--(COUNTIFS(nNIA,DATOS!$A3322,nCURSO,DATOS!$D3322,nESPEC,DATOS!$E3322,nASIG,DATOS!$I3322,nEVAL,"OR")=0))</f>
      </c>
      <c r="I3322">
        <f>IF(DATOS!$I3322="","",IFERROR(VLOOKUP(DATOS!$I3322,CONFIG_ASIGNATURAS!$B$2:$J$91,9,FALSE()),""))</f>
      </c>
    </row>
    <row r="3323">
      <c r="F3323">
        <f>IF(DATOS!$A3323="","",DATOS!$A3323&amp;"|"&amp;DATOS!$D3323&amp;"|"&amp;DATOS!$E3323&amp;"|"&amp;DATOS!$I3323)</f>
      </c>
      <c r="G3323">
        <f>IF(DATOS!$A3323="",0,IF(CONFIG_METADATA!$B$4&lt;&gt;"OR+EX",--(DATOS!$G3323=CONFIG_METADATA!$B$4),IF(DATOS!$G3323="EX",1,IF(DATOS!$G3323="OR",--(COUNTIFS(nNIA,DATOS!$A3323,nCURSO,DATOS!$D3323,nESPEC,DATOS!$E3323,nASIG,DATOS!$I3323,nEVAL,"EX")=0),0))))</f>
      </c>
      <c r="H3323">
        <f>IF(DATOS!$G3323&lt;&gt;"EX",0,--(COUNTIFS(nNIA,DATOS!$A3323,nCURSO,DATOS!$D3323,nESPEC,DATOS!$E3323,nASIG,DATOS!$I3323,nEVAL,"OR")=0))</f>
      </c>
      <c r="I3323">
        <f>IF(DATOS!$I3323="","",IFERROR(VLOOKUP(DATOS!$I3323,CONFIG_ASIGNATURAS!$B$2:$J$91,9,FALSE()),""))</f>
      </c>
    </row>
    <row r="3324">
      <c r="F3324">
        <f>IF(DATOS!$A3324="","",DATOS!$A3324&amp;"|"&amp;DATOS!$D3324&amp;"|"&amp;DATOS!$E3324&amp;"|"&amp;DATOS!$I3324)</f>
      </c>
      <c r="G3324">
        <f>IF(DATOS!$A3324="",0,IF(CONFIG_METADATA!$B$4&lt;&gt;"OR+EX",--(DATOS!$G3324=CONFIG_METADATA!$B$4),IF(DATOS!$G3324="EX",1,IF(DATOS!$G3324="OR",--(COUNTIFS(nNIA,DATOS!$A3324,nCURSO,DATOS!$D3324,nESPEC,DATOS!$E3324,nASIG,DATOS!$I3324,nEVAL,"EX")=0),0))))</f>
      </c>
      <c r="H3324">
        <f>IF(DATOS!$G3324&lt;&gt;"EX",0,--(COUNTIFS(nNIA,DATOS!$A3324,nCURSO,DATOS!$D3324,nESPEC,DATOS!$E3324,nASIG,DATOS!$I3324,nEVAL,"OR")=0))</f>
      </c>
      <c r="I3324">
        <f>IF(DATOS!$I3324="","",IFERROR(VLOOKUP(DATOS!$I3324,CONFIG_ASIGNATURAS!$B$2:$J$91,9,FALSE()),""))</f>
      </c>
    </row>
    <row r="3325">
      <c r="F3325">
        <f>IF(DATOS!$A3325="","",DATOS!$A3325&amp;"|"&amp;DATOS!$D3325&amp;"|"&amp;DATOS!$E3325&amp;"|"&amp;DATOS!$I3325)</f>
      </c>
      <c r="G3325">
        <f>IF(DATOS!$A3325="",0,IF(CONFIG_METADATA!$B$4&lt;&gt;"OR+EX",--(DATOS!$G3325=CONFIG_METADATA!$B$4),IF(DATOS!$G3325="EX",1,IF(DATOS!$G3325="OR",--(COUNTIFS(nNIA,DATOS!$A3325,nCURSO,DATOS!$D3325,nESPEC,DATOS!$E3325,nASIG,DATOS!$I3325,nEVAL,"EX")=0),0))))</f>
      </c>
      <c r="H3325">
        <f>IF(DATOS!$G3325&lt;&gt;"EX",0,--(COUNTIFS(nNIA,DATOS!$A3325,nCURSO,DATOS!$D3325,nESPEC,DATOS!$E3325,nASIG,DATOS!$I3325,nEVAL,"OR")=0))</f>
      </c>
      <c r="I3325">
        <f>IF(DATOS!$I3325="","",IFERROR(VLOOKUP(DATOS!$I3325,CONFIG_ASIGNATURAS!$B$2:$J$91,9,FALSE()),""))</f>
      </c>
    </row>
    <row r="3326">
      <c r="F3326">
        <f>IF(DATOS!$A3326="","",DATOS!$A3326&amp;"|"&amp;DATOS!$D3326&amp;"|"&amp;DATOS!$E3326&amp;"|"&amp;DATOS!$I3326)</f>
      </c>
      <c r="G3326">
        <f>IF(DATOS!$A3326="",0,IF(CONFIG_METADATA!$B$4&lt;&gt;"OR+EX",--(DATOS!$G3326=CONFIG_METADATA!$B$4),IF(DATOS!$G3326="EX",1,IF(DATOS!$G3326="OR",--(COUNTIFS(nNIA,DATOS!$A3326,nCURSO,DATOS!$D3326,nESPEC,DATOS!$E3326,nASIG,DATOS!$I3326,nEVAL,"EX")=0),0))))</f>
      </c>
      <c r="H3326">
        <f>IF(DATOS!$G3326&lt;&gt;"EX",0,--(COUNTIFS(nNIA,DATOS!$A3326,nCURSO,DATOS!$D3326,nESPEC,DATOS!$E3326,nASIG,DATOS!$I3326,nEVAL,"OR")=0))</f>
      </c>
      <c r="I3326">
        <f>IF(DATOS!$I3326="","",IFERROR(VLOOKUP(DATOS!$I3326,CONFIG_ASIGNATURAS!$B$2:$J$91,9,FALSE()),""))</f>
      </c>
    </row>
    <row r="3327">
      <c r="F3327">
        <f>IF(DATOS!$A3327="","",DATOS!$A3327&amp;"|"&amp;DATOS!$D3327&amp;"|"&amp;DATOS!$E3327&amp;"|"&amp;DATOS!$I3327)</f>
      </c>
      <c r="G3327">
        <f>IF(DATOS!$A3327="",0,IF(CONFIG_METADATA!$B$4&lt;&gt;"OR+EX",--(DATOS!$G3327=CONFIG_METADATA!$B$4),IF(DATOS!$G3327="EX",1,IF(DATOS!$G3327="OR",--(COUNTIFS(nNIA,DATOS!$A3327,nCURSO,DATOS!$D3327,nESPEC,DATOS!$E3327,nASIG,DATOS!$I3327,nEVAL,"EX")=0),0))))</f>
      </c>
      <c r="H3327">
        <f>IF(DATOS!$G3327&lt;&gt;"EX",0,--(COUNTIFS(nNIA,DATOS!$A3327,nCURSO,DATOS!$D3327,nESPEC,DATOS!$E3327,nASIG,DATOS!$I3327,nEVAL,"OR")=0))</f>
      </c>
      <c r="I3327">
        <f>IF(DATOS!$I3327="","",IFERROR(VLOOKUP(DATOS!$I3327,CONFIG_ASIGNATURAS!$B$2:$J$91,9,FALSE()),""))</f>
      </c>
    </row>
    <row r="3328">
      <c r="F3328">
        <f>IF(DATOS!$A3328="","",DATOS!$A3328&amp;"|"&amp;DATOS!$D3328&amp;"|"&amp;DATOS!$E3328&amp;"|"&amp;DATOS!$I3328)</f>
      </c>
      <c r="G3328">
        <f>IF(DATOS!$A3328="",0,IF(CONFIG_METADATA!$B$4&lt;&gt;"OR+EX",--(DATOS!$G3328=CONFIG_METADATA!$B$4),IF(DATOS!$G3328="EX",1,IF(DATOS!$G3328="OR",--(COUNTIFS(nNIA,DATOS!$A3328,nCURSO,DATOS!$D3328,nESPEC,DATOS!$E3328,nASIG,DATOS!$I3328,nEVAL,"EX")=0),0))))</f>
      </c>
      <c r="H3328">
        <f>IF(DATOS!$G3328&lt;&gt;"EX",0,--(COUNTIFS(nNIA,DATOS!$A3328,nCURSO,DATOS!$D3328,nESPEC,DATOS!$E3328,nASIG,DATOS!$I3328,nEVAL,"OR")=0))</f>
      </c>
      <c r="I3328">
        <f>IF(DATOS!$I3328="","",IFERROR(VLOOKUP(DATOS!$I3328,CONFIG_ASIGNATURAS!$B$2:$J$91,9,FALSE()),""))</f>
      </c>
    </row>
    <row r="3329">
      <c r="F3329">
        <f>IF(DATOS!$A3329="","",DATOS!$A3329&amp;"|"&amp;DATOS!$D3329&amp;"|"&amp;DATOS!$E3329&amp;"|"&amp;DATOS!$I3329)</f>
      </c>
      <c r="G3329">
        <f>IF(DATOS!$A3329="",0,IF(CONFIG_METADATA!$B$4&lt;&gt;"OR+EX",--(DATOS!$G3329=CONFIG_METADATA!$B$4),IF(DATOS!$G3329="EX",1,IF(DATOS!$G3329="OR",--(COUNTIFS(nNIA,DATOS!$A3329,nCURSO,DATOS!$D3329,nESPEC,DATOS!$E3329,nASIG,DATOS!$I3329,nEVAL,"EX")=0),0))))</f>
      </c>
      <c r="H3329">
        <f>IF(DATOS!$G3329&lt;&gt;"EX",0,--(COUNTIFS(nNIA,DATOS!$A3329,nCURSO,DATOS!$D3329,nESPEC,DATOS!$E3329,nASIG,DATOS!$I3329,nEVAL,"OR")=0))</f>
      </c>
      <c r="I3329">
        <f>IF(DATOS!$I3329="","",IFERROR(VLOOKUP(DATOS!$I3329,CONFIG_ASIGNATURAS!$B$2:$J$91,9,FALSE()),""))</f>
      </c>
    </row>
    <row r="3330">
      <c r="F3330">
        <f>IF(DATOS!$A3330="","",DATOS!$A3330&amp;"|"&amp;DATOS!$D3330&amp;"|"&amp;DATOS!$E3330&amp;"|"&amp;DATOS!$I3330)</f>
      </c>
      <c r="G3330">
        <f>IF(DATOS!$A3330="",0,IF(CONFIG_METADATA!$B$4&lt;&gt;"OR+EX",--(DATOS!$G3330=CONFIG_METADATA!$B$4),IF(DATOS!$G3330="EX",1,IF(DATOS!$G3330="OR",--(COUNTIFS(nNIA,DATOS!$A3330,nCURSO,DATOS!$D3330,nESPEC,DATOS!$E3330,nASIG,DATOS!$I3330,nEVAL,"EX")=0),0))))</f>
      </c>
      <c r="H3330">
        <f>IF(DATOS!$G3330&lt;&gt;"EX",0,--(COUNTIFS(nNIA,DATOS!$A3330,nCURSO,DATOS!$D3330,nESPEC,DATOS!$E3330,nASIG,DATOS!$I3330,nEVAL,"OR")=0))</f>
      </c>
      <c r="I3330">
        <f>IF(DATOS!$I3330="","",IFERROR(VLOOKUP(DATOS!$I3330,CONFIG_ASIGNATURAS!$B$2:$J$91,9,FALSE()),""))</f>
      </c>
    </row>
    <row r="3331">
      <c r="F3331">
        <f>IF(DATOS!$A3331="","",DATOS!$A3331&amp;"|"&amp;DATOS!$D3331&amp;"|"&amp;DATOS!$E3331&amp;"|"&amp;DATOS!$I3331)</f>
      </c>
      <c r="G3331">
        <f>IF(DATOS!$A3331="",0,IF(CONFIG_METADATA!$B$4&lt;&gt;"OR+EX",--(DATOS!$G3331=CONFIG_METADATA!$B$4),IF(DATOS!$G3331="EX",1,IF(DATOS!$G3331="OR",--(COUNTIFS(nNIA,DATOS!$A3331,nCURSO,DATOS!$D3331,nESPEC,DATOS!$E3331,nASIG,DATOS!$I3331,nEVAL,"EX")=0),0))))</f>
      </c>
      <c r="H3331">
        <f>IF(DATOS!$G3331&lt;&gt;"EX",0,--(COUNTIFS(nNIA,DATOS!$A3331,nCURSO,DATOS!$D3331,nESPEC,DATOS!$E3331,nASIG,DATOS!$I3331,nEVAL,"OR")=0))</f>
      </c>
      <c r="I3331">
        <f>IF(DATOS!$I3331="","",IFERROR(VLOOKUP(DATOS!$I3331,CONFIG_ASIGNATURAS!$B$2:$J$91,9,FALSE()),""))</f>
      </c>
    </row>
    <row r="3332">
      <c r="F3332">
        <f>IF(DATOS!$A3332="","",DATOS!$A3332&amp;"|"&amp;DATOS!$D3332&amp;"|"&amp;DATOS!$E3332&amp;"|"&amp;DATOS!$I3332)</f>
      </c>
      <c r="G3332">
        <f>IF(DATOS!$A3332="",0,IF(CONFIG_METADATA!$B$4&lt;&gt;"OR+EX",--(DATOS!$G3332=CONFIG_METADATA!$B$4),IF(DATOS!$G3332="EX",1,IF(DATOS!$G3332="OR",--(COUNTIFS(nNIA,DATOS!$A3332,nCURSO,DATOS!$D3332,nESPEC,DATOS!$E3332,nASIG,DATOS!$I3332,nEVAL,"EX")=0),0))))</f>
      </c>
      <c r="H3332">
        <f>IF(DATOS!$G3332&lt;&gt;"EX",0,--(COUNTIFS(nNIA,DATOS!$A3332,nCURSO,DATOS!$D3332,nESPEC,DATOS!$E3332,nASIG,DATOS!$I3332,nEVAL,"OR")=0))</f>
      </c>
      <c r="I3332">
        <f>IF(DATOS!$I3332="","",IFERROR(VLOOKUP(DATOS!$I3332,CONFIG_ASIGNATURAS!$B$2:$J$91,9,FALSE()),""))</f>
      </c>
    </row>
    <row r="3333">
      <c r="F3333">
        <f>IF(DATOS!$A3333="","",DATOS!$A3333&amp;"|"&amp;DATOS!$D3333&amp;"|"&amp;DATOS!$E3333&amp;"|"&amp;DATOS!$I3333)</f>
      </c>
      <c r="G3333">
        <f>IF(DATOS!$A3333="",0,IF(CONFIG_METADATA!$B$4&lt;&gt;"OR+EX",--(DATOS!$G3333=CONFIG_METADATA!$B$4),IF(DATOS!$G3333="EX",1,IF(DATOS!$G3333="OR",--(COUNTIFS(nNIA,DATOS!$A3333,nCURSO,DATOS!$D3333,nESPEC,DATOS!$E3333,nASIG,DATOS!$I3333,nEVAL,"EX")=0),0))))</f>
      </c>
      <c r="H3333">
        <f>IF(DATOS!$G3333&lt;&gt;"EX",0,--(COUNTIFS(nNIA,DATOS!$A3333,nCURSO,DATOS!$D3333,nESPEC,DATOS!$E3333,nASIG,DATOS!$I3333,nEVAL,"OR")=0))</f>
      </c>
      <c r="I3333">
        <f>IF(DATOS!$I3333="","",IFERROR(VLOOKUP(DATOS!$I3333,CONFIG_ASIGNATURAS!$B$2:$J$91,9,FALSE()),""))</f>
      </c>
    </row>
    <row r="3334">
      <c r="F3334">
        <f>IF(DATOS!$A3334="","",DATOS!$A3334&amp;"|"&amp;DATOS!$D3334&amp;"|"&amp;DATOS!$E3334&amp;"|"&amp;DATOS!$I3334)</f>
      </c>
      <c r="G3334">
        <f>IF(DATOS!$A3334="",0,IF(CONFIG_METADATA!$B$4&lt;&gt;"OR+EX",--(DATOS!$G3334=CONFIG_METADATA!$B$4),IF(DATOS!$G3334="EX",1,IF(DATOS!$G3334="OR",--(COUNTIFS(nNIA,DATOS!$A3334,nCURSO,DATOS!$D3334,nESPEC,DATOS!$E3334,nASIG,DATOS!$I3334,nEVAL,"EX")=0),0))))</f>
      </c>
      <c r="H3334">
        <f>IF(DATOS!$G3334&lt;&gt;"EX",0,--(COUNTIFS(nNIA,DATOS!$A3334,nCURSO,DATOS!$D3334,nESPEC,DATOS!$E3334,nASIG,DATOS!$I3334,nEVAL,"OR")=0))</f>
      </c>
      <c r="I3334">
        <f>IF(DATOS!$I3334="","",IFERROR(VLOOKUP(DATOS!$I3334,CONFIG_ASIGNATURAS!$B$2:$J$91,9,FALSE()),""))</f>
      </c>
    </row>
    <row r="3335">
      <c r="F3335">
        <f>IF(DATOS!$A3335="","",DATOS!$A3335&amp;"|"&amp;DATOS!$D3335&amp;"|"&amp;DATOS!$E3335&amp;"|"&amp;DATOS!$I3335)</f>
      </c>
      <c r="G3335">
        <f>IF(DATOS!$A3335="",0,IF(CONFIG_METADATA!$B$4&lt;&gt;"OR+EX",--(DATOS!$G3335=CONFIG_METADATA!$B$4),IF(DATOS!$G3335="EX",1,IF(DATOS!$G3335="OR",--(COUNTIFS(nNIA,DATOS!$A3335,nCURSO,DATOS!$D3335,nESPEC,DATOS!$E3335,nASIG,DATOS!$I3335,nEVAL,"EX")=0),0))))</f>
      </c>
      <c r="H3335">
        <f>IF(DATOS!$G3335&lt;&gt;"EX",0,--(COUNTIFS(nNIA,DATOS!$A3335,nCURSO,DATOS!$D3335,nESPEC,DATOS!$E3335,nASIG,DATOS!$I3335,nEVAL,"OR")=0))</f>
      </c>
      <c r="I3335">
        <f>IF(DATOS!$I3335="","",IFERROR(VLOOKUP(DATOS!$I3335,CONFIG_ASIGNATURAS!$B$2:$J$91,9,FALSE()),""))</f>
      </c>
    </row>
    <row r="3336">
      <c r="F3336">
        <f>IF(DATOS!$A3336="","",DATOS!$A3336&amp;"|"&amp;DATOS!$D3336&amp;"|"&amp;DATOS!$E3336&amp;"|"&amp;DATOS!$I3336)</f>
      </c>
      <c r="G3336">
        <f>IF(DATOS!$A3336="",0,IF(CONFIG_METADATA!$B$4&lt;&gt;"OR+EX",--(DATOS!$G3336=CONFIG_METADATA!$B$4),IF(DATOS!$G3336="EX",1,IF(DATOS!$G3336="OR",--(COUNTIFS(nNIA,DATOS!$A3336,nCURSO,DATOS!$D3336,nESPEC,DATOS!$E3336,nASIG,DATOS!$I3336,nEVAL,"EX")=0),0))))</f>
      </c>
      <c r="H3336">
        <f>IF(DATOS!$G3336&lt;&gt;"EX",0,--(COUNTIFS(nNIA,DATOS!$A3336,nCURSO,DATOS!$D3336,nESPEC,DATOS!$E3336,nASIG,DATOS!$I3336,nEVAL,"OR")=0))</f>
      </c>
      <c r="I3336">
        <f>IF(DATOS!$I3336="","",IFERROR(VLOOKUP(DATOS!$I3336,CONFIG_ASIGNATURAS!$B$2:$J$91,9,FALSE()),""))</f>
      </c>
    </row>
    <row r="3337">
      <c r="F3337">
        <f>IF(DATOS!$A3337="","",DATOS!$A3337&amp;"|"&amp;DATOS!$D3337&amp;"|"&amp;DATOS!$E3337&amp;"|"&amp;DATOS!$I3337)</f>
      </c>
      <c r="G3337">
        <f>IF(DATOS!$A3337="",0,IF(CONFIG_METADATA!$B$4&lt;&gt;"OR+EX",--(DATOS!$G3337=CONFIG_METADATA!$B$4),IF(DATOS!$G3337="EX",1,IF(DATOS!$G3337="OR",--(COUNTIFS(nNIA,DATOS!$A3337,nCURSO,DATOS!$D3337,nESPEC,DATOS!$E3337,nASIG,DATOS!$I3337,nEVAL,"EX")=0),0))))</f>
      </c>
      <c r="H3337">
        <f>IF(DATOS!$G3337&lt;&gt;"EX",0,--(COUNTIFS(nNIA,DATOS!$A3337,nCURSO,DATOS!$D3337,nESPEC,DATOS!$E3337,nASIG,DATOS!$I3337,nEVAL,"OR")=0))</f>
      </c>
      <c r="I3337">
        <f>IF(DATOS!$I3337="","",IFERROR(VLOOKUP(DATOS!$I3337,CONFIG_ASIGNATURAS!$B$2:$J$91,9,FALSE()),""))</f>
      </c>
    </row>
    <row r="3338">
      <c r="F3338">
        <f>IF(DATOS!$A3338="","",DATOS!$A3338&amp;"|"&amp;DATOS!$D3338&amp;"|"&amp;DATOS!$E3338&amp;"|"&amp;DATOS!$I3338)</f>
      </c>
      <c r="G3338">
        <f>IF(DATOS!$A3338="",0,IF(CONFIG_METADATA!$B$4&lt;&gt;"OR+EX",--(DATOS!$G3338=CONFIG_METADATA!$B$4),IF(DATOS!$G3338="EX",1,IF(DATOS!$G3338="OR",--(COUNTIFS(nNIA,DATOS!$A3338,nCURSO,DATOS!$D3338,nESPEC,DATOS!$E3338,nASIG,DATOS!$I3338,nEVAL,"EX")=0),0))))</f>
      </c>
      <c r="H3338">
        <f>IF(DATOS!$G3338&lt;&gt;"EX",0,--(COUNTIFS(nNIA,DATOS!$A3338,nCURSO,DATOS!$D3338,nESPEC,DATOS!$E3338,nASIG,DATOS!$I3338,nEVAL,"OR")=0))</f>
      </c>
      <c r="I3338">
        <f>IF(DATOS!$I3338="","",IFERROR(VLOOKUP(DATOS!$I3338,CONFIG_ASIGNATURAS!$B$2:$J$91,9,FALSE()),""))</f>
      </c>
    </row>
    <row r="3339">
      <c r="F3339">
        <f>IF(DATOS!$A3339="","",DATOS!$A3339&amp;"|"&amp;DATOS!$D3339&amp;"|"&amp;DATOS!$E3339&amp;"|"&amp;DATOS!$I3339)</f>
      </c>
      <c r="G3339">
        <f>IF(DATOS!$A3339="",0,IF(CONFIG_METADATA!$B$4&lt;&gt;"OR+EX",--(DATOS!$G3339=CONFIG_METADATA!$B$4),IF(DATOS!$G3339="EX",1,IF(DATOS!$G3339="OR",--(COUNTIFS(nNIA,DATOS!$A3339,nCURSO,DATOS!$D3339,nESPEC,DATOS!$E3339,nASIG,DATOS!$I3339,nEVAL,"EX")=0),0))))</f>
      </c>
      <c r="H3339">
        <f>IF(DATOS!$G3339&lt;&gt;"EX",0,--(COUNTIFS(nNIA,DATOS!$A3339,nCURSO,DATOS!$D3339,nESPEC,DATOS!$E3339,nASIG,DATOS!$I3339,nEVAL,"OR")=0))</f>
      </c>
      <c r="I3339">
        <f>IF(DATOS!$I3339="","",IFERROR(VLOOKUP(DATOS!$I3339,CONFIG_ASIGNATURAS!$B$2:$J$91,9,FALSE()),""))</f>
      </c>
    </row>
    <row r="3340">
      <c r="F3340">
        <f>IF(DATOS!$A3340="","",DATOS!$A3340&amp;"|"&amp;DATOS!$D3340&amp;"|"&amp;DATOS!$E3340&amp;"|"&amp;DATOS!$I3340)</f>
      </c>
      <c r="G3340">
        <f>IF(DATOS!$A3340="",0,IF(CONFIG_METADATA!$B$4&lt;&gt;"OR+EX",--(DATOS!$G3340=CONFIG_METADATA!$B$4),IF(DATOS!$G3340="EX",1,IF(DATOS!$G3340="OR",--(COUNTIFS(nNIA,DATOS!$A3340,nCURSO,DATOS!$D3340,nESPEC,DATOS!$E3340,nASIG,DATOS!$I3340,nEVAL,"EX")=0),0))))</f>
      </c>
      <c r="H3340">
        <f>IF(DATOS!$G3340&lt;&gt;"EX",0,--(COUNTIFS(nNIA,DATOS!$A3340,nCURSO,DATOS!$D3340,nESPEC,DATOS!$E3340,nASIG,DATOS!$I3340,nEVAL,"OR")=0))</f>
      </c>
      <c r="I3340">
        <f>IF(DATOS!$I3340="","",IFERROR(VLOOKUP(DATOS!$I3340,CONFIG_ASIGNATURAS!$B$2:$J$91,9,FALSE()),""))</f>
      </c>
    </row>
    <row r="3341">
      <c r="F3341">
        <f>IF(DATOS!$A3341="","",DATOS!$A3341&amp;"|"&amp;DATOS!$D3341&amp;"|"&amp;DATOS!$E3341&amp;"|"&amp;DATOS!$I3341)</f>
      </c>
      <c r="G3341">
        <f>IF(DATOS!$A3341="",0,IF(CONFIG_METADATA!$B$4&lt;&gt;"OR+EX",--(DATOS!$G3341=CONFIG_METADATA!$B$4),IF(DATOS!$G3341="EX",1,IF(DATOS!$G3341="OR",--(COUNTIFS(nNIA,DATOS!$A3341,nCURSO,DATOS!$D3341,nESPEC,DATOS!$E3341,nASIG,DATOS!$I3341,nEVAL,"EX")=0),0))))</f>
      </c>
      <c r="H3341">
        <f>IF(DATOS!$G3341&lt;&gt;"EX",0,--(COUNTIFS(nNIA,DATOS!$A3341,nCURSO,DATOS!$D3341,nESPEC,DATOS!$E3341,nASIG,DATOS!$I3341,nEVAL,"OR")=0))</f>
      </c>
      <c r="I3341">
        <f>IF(DATOS!$I3341="","",IFERROR(VLOOKUP(DATOS!$I3341,CONFIG_ASIGNATURAS!$B$2:$J$91,9,FALSE()),""))</f>
      </c>
    </row>
    <row r="3342">
      <c r="F3342">
        <f>IF(DATOS!$A3342="","",DATOS!$A3342&amp;"|"&amp;DATOS!$D3342&amp;"|"&amp;DATOS!$E3342&amp;"|"&amp;DATOS!$I3342)</f>
      </c>
      <c r="G3342">
        <f>IF(DATOS!$A3342="",0,IF(CONFIG_METADATA!$B$4&lt;&gt;"OR+EX",--(DATOS!$G3342=CONFIG_METADATA!$B$4),IF(DATOS!$G3342="EX",1,IF(DATOS!$G3342="OR",--(COUNTIFS(nNIA,DATOS!$A3342,nCURSO,DATOS!$D3342,nESPEC,DATOS!$E3342,nASIG,DATOS!$I3342,nEVAL,"EX")=0),0))))</f>
      </c>
      <c r="H3342">
        <f>IF(DATOS!$G3342&lt;&gt;"EX",0,--(COUNTIFS(nNIA,DATOS!$A3342,nCURSO,DATOS!$D3342,nESPEC,DATOS!$E3342,nASIG,DATOS!$I3342,nEVAL,"OR")=0))</f>
      </c>
      <c r="I3342">
        <f>IF(DATOS!$I3342="","",IFERROR(VLOOKUP(DATOS!$I3342,CONFIG_ASIGNATURAS!$B$2:$J$91,9,FALSE()),""))</f>
      </c>
    </row>
    <row r="3343">
      <c r="F3343">
        <f>IF(DATOS!$A3343="","",DATOS!$A3343&amp;"|"&amp;DATOS!$D3343&amp;"|"&amp;DATOS!$E3343&amp;"|"&amp;DATOS!$I3343)</f>
      </c>
      <c r="G3343">
        <f>IF(DATOS!$A3343="",0,IF(CONFIG_METADATA!$B$4&lt;&gt;"OR+EX",--(DATOS!$G3343=CONFIG_METADATA!$B$4),IF(DATOS!$G3343="EX",1,IF(DATOS!$G3343="OR",--(COUNTIFS(nNIA,DATOS!$A3343,nCURSO,DATOS!$D3343,nESPEC,DATOS!$E3343,nASIG,DATOS!$I3343,nEVAL,"EX")=0),0))))</f>
      </c>
      <c r="H3343">
        <f>IF(DATOS!$G3343&lt;&gt;"EX",0,--(COUNTIFS(nNIA,DATOS!$A3343,nCURSO,DATOS!$D3343,nESPEC,DATOS!$E3343,nASIG,DATOS!$I3343,nEVAL,"OR")=0))</f>
      </c>
      <c r="I3343">
        <f>IF(DATOS!$I3343="","",IFERROR(VLOOKUP(DATOS!$I3343,CONFIG_ASIGNATURAS!$B$2:$J$91,9,FALSE()),""))</f>
      </c>
    </row>
    <row r="3344">
      <c r="F3344">
        <f>IF(DATOS!$A3344="","",DATOS!$A3344&amp;"|"&amp;DATOS!$D3344&amp;"|"&amp;DATOS!$E3344&amp;"|"&amp;DATOS!$I3344)</f>
      </c>
      <c r="G3344">
        <f>IF(DATOS!$A3344="",0,IF(CONFIG_METADATA!$B$4&lt;&gt;"OR+EX",--(DATOS!$G3344=CONFIG_METADATA!$B$4),IF(DATOS!$G3344="EX",1,IF(DATOS!$G3344="OR",--(COUNTIFS(nNIA,DATOS!$A3344,nCURSO,DATOS!$D3344,nESPEC,DATOS!$E3344,nASIG,DATOS!$I3344,nEVAL,"EX")=0),0))))</f>
      </c>
      <c r="H3344">
        <f>IF(DATOS!$G3344&lt;&gt;"EX",0,--(COUNTIFS(nNIA,DATOS!$A3344,nCURSO,DATOS!$D3344,nESPEC,DATOS!$E3344,nASIG,DATOS!$I3344,nEVAL,"OR")=0))</f>
      </c>
      <c r="I3344">
        <f>IF(DATOS!$I3344="","",IFERROR(VLOOKUP(DATOS!$I3344,CONFIG_ASIGNATURAS!$B$2:$J$91,9,FALSE()),""))</f>
      </c>
    </row>
    <row r="3345">
      <c r="F3345">
        <f>IF(DATOS!$A3345="","",DATOS!$A3345&amp;"|"&amp;DATOS!$D3345&amp;"|"&amp;DATOS!$E3345&amp;"|"&amp;DATOS!$I3345)</f>
      </c>
      <c r="G3345">
        <f>IF(DATOS!$A3345="",0,IF(CONFIG_METADATA!$B$4&lt;&gt;"OR+EX",--(DATOS!$G3345=CONFIG_METADATA!$B$4),IF(DATOS!$G3345="EX",1,IF(DATOS!$G3345="OR",--(COUNTIFS(nNIA,DATOS!$A3345,nCURSO,DATOS!$D3345,nESPEC,DATOS!$E3345,nASIG,DATOS!$I3345,nEVAL,"EX")=0),0))))</f>
      </c>
      <c r="H3345">
        <f>IF(DATOS!$G3345&lt;&gt;"EX",0,--(COUNTIFS(nNIA,DATOS!$A3345,nCURSO,DATOS!$D3345,nESPEC,DATOS!$E3345,nASIG,DATOS!$I3345,nEVAL,"OR")=0))</f>
      </c>
      <c r="I3345">
        <f>IF(DATOS!$I3345="","",IFERROR(VLOOKUP(DATOS!$I3345,CONFIG_ASIGNATURAS!$B$2:$J$91,9,FALSE()),""))</f>
      </c>
    </row>
    <row r="3346">
      <c r="F3346">
        <f>IF(DATOS!$A3346="","",DATOS!$A3346&amp;"|"&amp;DATOS!$D3346&amp;"|"&amp;DATOS!$E3346&amp;"|"&amp;DATOS!$I3346)</f>
      </c>
      <c r="G3346">
        <f>IF(DATOS!$A3346="",0,IF(CONFIG_METADATA!$B$4&lt;&gt;"OR+EX",--(DATOS!$G3346=CONFIG_METADATA!$B$4),IF(DATOS!$G3346="EX",1,IF(DATOS!$G3346="OR",--(COUNTIFS(nNIA,DATOS!$A3346,nCURSO,DATOS!$D3346,nESPEC,DATOS!$E3346,nASIG,DATOS!$I3346,nEVAL,"EX")=0),0))))</f>
      </c>
      <c r="H3346">
        <f>IF(DATOS!$G3346&lt;&gt;"EX",0,--(COUNTIFS(nNIA,DATOS!$A3346,nCURSO,DATOS!$D3346,nESPEC,DATOS!$E3346,nASIG,DATOS!$I3346,nEVAL,"OR")=0))</f>
      </c>
      <c r="I3346">
        <f>IF(DATOS!$I3346="","",IFERROR(VLOOKUP(DATOS!$I3346,CONFIG_ASIGNATURAS!$B$2:$J$91,9,FALSE()),""))</f>
      </c>
    </row>
    <row r="3347">
      <c r="F3347">
        <f>IF(DATOS!$A3347="","",DATOS!$A3347&amp;"|"&amp;DATOS!$D3347&amp;"|"&amp;DATOS!$E3347&amp;"|"&amp;DATOS!$I3347)</f>
      </c>
      <c r="G3347">
        <f>IF(DATOS!$A3347="",0,IF(CONFIG_METADATA!$B$4&lt;&gt;"OR+EX",--(DATOS!$G3347=CONFIG_METADATA!$B$4),IF(DATOS!$G3347="EX",1,IF(DATOS!$G3347="OR",--(COUNTIFS(nNIA,DATOS!$A3347,nCURSO,DATOS!$D3347,nESPEC,DATOS!$E3347,nASIG,DATOS!$I3347,nEVAL,"EX")=0),0))))</f>
      </c>
      <c r="H3347">
        <f>IF(DATOS!$G3347&lt;&gt;"EX",0,--(COUNTIFS(nNIA,DATOS!$A3347,nCURSO,DATOS!$D3347,nESPEC,DATOS!$E3347,nASIG,DATOS!$I3347,nEVAL,"OR")=0))</f>
      </c>
      <c r="I3347">
        <f>IF(DATOS!$I3347="","",IFERROR(VLOOKUP(DATOS!$I3347,CONFIG_ASIGNATURAS!$B$2:$J$91,9,FALSE()),""))</f>
      </c>
    </row>
    <row r="3348">
      <c r="F3348">
        <f>IF(DATOS!$A3348="","",DATOS!$A3348&amp;"|"&amp;DATOS!$D3348&amp;"|"&amp;DATOS!$E3348&amp;"|"&amp;DATOS!$I3348)</f>
      </c>
      <c r="G3348">
        <f>IF(DATOS!$A3348="",0,IF(CONFIG_METADATA!$B$4&lt;&gt;"OR+EX",--(DATOS!$G3348=CONFIG_METADATA!$B$4),IF(DATOS!$G3348="EX",1,IF(DATOS!$G3348="OR",--(COUNTIFS(nNIA,DATOS!$A3348,nCURSO,DATOS!$D3348,nESPEC,DATOS!$E3348,nASIG,DATOS!$I3348,nEVAL,"EX")=0),0))))</f>
      </c>
      <c r="H3348">
        <f>IF(DATOS!$G3348&lt;&gt;"EX",0,--(COUNTIFS(nNIA,DATOS!$A3348,nCURSO,DATOS!$D3348,nESPEC,DATOS!$E3348,nASIG,DATOS!$I3348,nEVAL,"OR")=0))</f>
      </c>
      <c r="I3348">
        <f>IF(DATOS!$I3348="","",IFERROR(VLOOKUP(DATOS!$I3348,CONFIG_ASIGNATURAS!$B$2:$J$91,9,FALSE()),""))</f>
      </c>
    </row>
    <row r="3349">
      <c r="F3349">
        <f>IF(DATOS!$A3349="","",DATOS!$A3349&amp;"|"&amp;DATOS!$D3349&amp;"|"&amp;DATOS!$E3349&amp;"|"&amp;DATOS!$I3349)</f>
      </c>
      <c r="G3349">
        <f>IF(DATOS!$A3349="",0,IF(CONFIG_METADATA!$B$4&lt;&gt;"OR+EX",--(DATOS!$G3349=CONFIG_METADATA!$B$4),IF(DATOS!$G3349="EX",1,IF(DATOS!$G3349="OR",--(COUNTIFS(nNIA,DATOS!$A3349,nCURSO,DATOS!$D3349,nESPEC,DATOS!$E3349,nASIG,DATOS!$I3349,nEVAL,"EX")=0),0))))</f>
      </c>
      <c r="H3349">
        <f>IF(DATOS!$G3349&lt;&gt;"EX",0,--(COUNTIFS(nNIA,DATOS!$A3349,nCURSO,DATOS!$D3349,nESPEC,DATOS!$E3349,nASIG,DATOS!$I3349,nEVAL,"OR")=0))</f>
      </c>
      <c r="I3349">
        <f>IF(DATOS!$I3349="","",IFERROR(VLOOKUP(DATOS!$I3349,CONFIG_ASIGNATURAS!$B$2:$J$91,9,FALSE()),""))</f>
      </c>
    </row>
    <row r="3350">
      <c r="F3350">
        <f>IF(DATOS!$A3350="","",DATOS!$A3350&amp;"|"&amp;DATOS!$D3350&amp;"|"&amp;DATOS!$E3350&amp;"|"&amp;DATOS!$I3350)</f>
      </c>
      <c r="G3350">
        <f>IF(DATOS!$A3350="",0,IF(CONFIG_METADATA!$B$4&lt;&gt;"OR+EX",--(DATOS!$G3350=CONFIG_METADATA!$B$4),IF(DATOS!$G3350="EX",1,IF(DATOS!$G3350="OR",--(COUNTIFS(nNIA,DATOS!$A3350,nCURSO,DATOS!$D3350,nESPEC,DATOS!$E3350,nASIG,DATOS!$I3350,nEVAL,"EX")=0),0))))</f>
      </c>
      <c r="H3350">
        <f>IF(DATOS!$G3350&lt;&gt;"EX",0,--(COUNTIFS(nNIA,DATOS!$A3350,nCURSO,DATOS!$D3350,nESPEC,DATOS!$E3350,nASIG,DATOS!$I3350,nEVAL,"OR")=0))</f>
      </c>
      <c r="I3350">
        <f>IF(DATOS!$I3350="","",IFERROR(VLOOKUP(DATOS!$I3350,CONFIG_ASIGNATURAS!$B$2:$J$91,9,FALSE()),""))</f>
      </c>
    </row>
    <row r="3351">
      <c r="F3351">
        <f>IF(DATOS!$A3351="","",DATOS!$A3351&amp;"|"&amp;DATOS!$D3351&amp;"|"&amp;DATOS!$E3351&amp;"|"&amp;DATOS!$I3351)</f>
      </c>
      <c r="G3351">
        <f>IF(DATOS!$A3351="",0,IF(CONFIG_METADATA!$B$4&lt;&gt;"OR+EX",--(DATOS!$G3351=CONFIG_METADATA!$B$4),IF(DATOS!$G3351="EX",1,IF(DATOS!$G3351="OR",--(COUNTIFS(nNIA,DATOS!$A3351,nCURSO,DATOS!$D3351,nESPEC,DATOS!$E3351,nASIG,DATOS!$I3351,nEVAL,"EX")=0),0))))</f>
      </c>
      <c r="H3351">
        <f>IF(DATOS!$G3351&lt;&gt;"EX",0,--(COUNTIFS(nNIA,DATOS!$A3351,nCURSO,DATOS!$D3351,nESPEC,DATOS!$E3351,nASIG,DATOS!$I3351,nEVAL,"OR")=0))</f>
      </c>
      <c r="I3351">
        <f>IF(DATOS!$I3351="","",IFERROR(VLOOKUP(DATOS!$I3351,CONFIG_ASIGNATURAS!$B$2:$J$91,9,FALSE()),""))</f>
      </c>
    </row>
    <row r="3352">
      <c r="F3352">
        <f>IF(DATOS!$A3352="","",DATOS!$A3352&amp;"|"&amp;DATOS!$D3352&amp;"|"&amp;DATOS!$E3352&amp;"|"&amp;DATOS!$I3352)</f>
      </c>
      <c r="G3352">
        <f>IF(DATOS!$A3352="",0,IF(CONFIG_METADATA!$B$4&lt;&gt;"OR+EX",--(DATOS!$G3352=CONFIG_METADATA!$B$4),IF(DATOS!$G3352="EX",1,IF(DATOS!$G3352="OR",--(COUNTIFS(nNIA,DATOS!$A3352,nCURSO,DATOS!$D3352,nESPEC,DATOS!$E3352,nASIG,DATOS!$I3352,nEVAL,"EX")=0),0))))</f>
      </c>
      <c r="H3352">
        <f>IF(DATOS!$G3352&lt;&gt;"EX",0,--(COUNTIFS(nNIA,DATOS!$A3352,nCURSO,DATOS!$D3352,nESPEC,DATOS!$E3352,nASIG,DATOS!$I3352,nEVAL,"OR")=0))</f>
      </c>
      <c r="I3352">
        <f>IF(DATOS!$I3352="","",IFERROR(VLOOKUP(DATOS!$I3352,CONFIG_ASIGNATURAS!$B$2:$J$91,9,FALSE()),""))</f>
      </c>
    </row>
    <row r="3353">
      <c r="F3353">
        <f>IF(DATOS!$A3353="","",DATOS!$A3353&amp;"|"&amp;DATOS!$D3353&amp;"|"&amp;DATOS!$E3353&amp;"|"&amp;DATOS!$I3353)</f>
      </c>
      <c r="G3353">
        <f>IF(DATOS!$A3353="",0,IF(CONFIG_METADATA!$B$4&lt;&gt;"OR+EX",--(DATOS!$G3353=CONFIG_METADATA!$B$4),IF(DATOS!$G3353="EX",1,IF(DATOS!$G3353="OR",--(COUNTIFS(nNIA,DATOS!$A3353,nCURSO,DATOS!$D3353,nESPEC,DATOS!$E3353,nASIG,DATOS!$I3353,nEVAL,"EX")=0),0))))</f>
      </c>
      <c r="H3353">
        <f>IF(DATOS!$G3353&lt;&gt;"EX",0,--(COUNTIFS(nNIA,DATOS!$A3353,nCURSO,DATOS!$D3353,nESPEC,DATOS!$E3353,nASIG,DATOS!$I3353,nEVAL,"OR")=0))</f>
      </c>
      <c r="I3353">
        <f>IF(DATOS!$I3353="","",IFERROR(VLOOKUP(DATOS!$I3353,CONFIG_ASIGNATURAS!$B$2:$J$91,9,FALSE()),""))</f>
      </c>
    </row>
    <row r="3354">
      <c r="F3354">
        <f>IF(DATOS!$A3354="","",DATOS!$A3354&amp;"|"&amp;DATOS!$D3354&amp;"|"&amp;DATOS!$E3354&amp;"|"&amp;DATOS!$I3354)</f>
      </c>
      <c r="G3354">
        <f>IF(DATOS!$A3354="",0,IF(CONFIG_METADATA!$B$4&lt;&gt;"OR+EX",--(DATOS!$G3354=CONFIG_METADATA!$B$4),IF(DATOS!$G3354="EX",1,IF(DATOS!$G3354="OR",--(COUNTIFS(nNIA,DATOS!$A3354,nCURSO,DATOS!$D3354,nESPEC,DATOS!$E3354,nASIG,DATOS!$I3354,nEVAL,"EX")=0),0))))</f>
      </c>
      <c r="H3354">
        <f>IF(DATOS!$G3354&lt;&gt;"EX",0,--(COUNTIFS(nNIA,DATOS!$A3354,nCURSO,DATOS!$D3354,nESPEC,DATOS!$E3354,nASIG,DATOS!$I3354,nEVAL,"OR")=0))</f>
      </c>
      <c r="I3354">
        <f>IF(DATOS!$I3354="","",IFERROR(VLOOKUP(DATOS!$I3354,CONFIG_ASIGNATURAS!$B$2:$J$91,9,FALSE()),""))</f>
      </c>
    </row>
    <row r="3355">
      <c r="F3355">
        <f>IF(DATOS!$A3355="","",DATOS!$A3355&amp;"|"&amp;DATOS!$D3355&amp;"|"&amp;DATOS!$E3355&amp;"|"&amp;DATOS!$I3355)</f>
      </c>
      <c r="G3355">
        <f>IF(DATOS!$A3355="",0,IF(CONFIG_METADATA!$B$4&lt;&gt;"OR+EX",--(DATOS!$G3355=CONFIG_METADATA!$B$4),IF(DATOS!$G3355="EX",1,IF(DATOS!$G3355="OR",--(COUNTIFS(nNIA,DATOS!$A3355,nCURSO,DATOS!$D3355,nESPEC,DATOS!$E3355,nASIG,DATOS!$I3355,nEVAL,"EX")=0),0))))</f>
      </c>
      <c r="H3355">
        <f>IF(DATOS!$G3355&lt;&gt;"EX",0,--(COUNTIFS(nNIA,DATOS!$A3355,nCURSO,DATOS!$D3355,nESPEC,DATOS!$E3355,nASIG,DATOS!$I3355,nEVAL,"OR")=0))</f>
      </c>
      <c r="I3355">
        <f>IF(DATOS!$I3355="","",IFERROR(VLOOKUP(DATOS!$I3355,CONFIG_ASIGNATURAS!$B$2:$J$91,9,FALSE()),""))</f>
      </c>
    </row>
    <row r="3356">
      <c r="F3356">
        <f>IF(DATOS!$A3356="","",DATOS!$A3356&amp;"|"&amp;DATOS!$D3356&amp;"|"&amp;DATOS!$E3356&amp;"|"&amp;DATOS!$I3356)</f>
      </c>
      <c r="G3356">
        <f>IF(DATOS!$A3356="",0,IF(CONFIG_METADATA!$B$4&lt;&gt;"OR+EX",--(DATOS!$G3356=CONFIG_METADATA!$B$4),IF(DATOS!$G3356="EX",1,IF(DATOS!$G3356="OR",--(COUNTIFS(nNIA,DATOS!$A3356,nCURSO,DATOS!$D3356,nESPEC,DATOS!$E3356,nASIG,DATOS!$I3356,nEVAL,"EX")=0),0))))</f>
      </c>
      <c r="H3356">
        <f>IF(DATOS!$G3356&lt;&gt;"EX",0,--(COUNTIFS(nNIA,DATOS!$A3356,nCURSO,DATOS!$D3356,nESPEC,DATOS!$E3356,nASIG,DATOS!$I3356,nEVAL,"OR")=0))</f>
      </c>
      <c r="I3356">
        <f>IF(DATOS!$I3356="","",IFERROR(VLOOKUP(DATOS!$I3356,CONFIG_ASIGNATURAS!$B$2:$J$91,9,FALSE()),""))</f>
      </c>
    </row>
    <row r="3357">
      <c r="F3357">
        <f>IF(DATOS!$A3357="","",DATOS!$A3357&amp;"|"&amp;DATOS!$D3357&amp;"|"&amp;DATOS!$E3357&amp;"|"&amp;DATOS!$I3357)</f>
      </c>
      <c r="G3357">
        <f>IF(DATOS!$A3357="",0,IF(CONFIG_METADATA!$B$4&lt;&gt;"OR+EX",--(DATOS!$G3357=CONFIG_METADATA!$B$4),IF(DATOS!$G3357="EX",1,IF(DATOS!$G3357="OR",--(COUNTIFS(nNIA,DATOS!$A3357,nCURSO,DATOS!$D3357,nESPEC,DATOS!$E3357,nASIG,DATOS!$I3357,nEVAL,"EX")=0),0))))</f>
      </c>
      <c r="H3357">
        <f>IF(DATOS!$G3357&lt;&gt;"EX",0,--(COUNTIFS(nNIA,DATOS!$A3357,nCURSO,DATOS!$D3357,nESPEC,DATOS!$E3357,nASIG,DATOS!$I3357,nEVAL,"OR")=0))</f>
      </c>
      <c r="I3357">
        <f>IF(DATOS!$I3357="","",IFERROR(VLOOKUP(DATOS!$I3357,CONFIG_ASIGNATURAS!$B$2:$J$91,9,FALSE()),""))</f>
      </c>
    </row>
    <row r="3358">
      <c r="F3358">
        <f>IF(DATOS!$A3358="","",DATOS!$A3358&amp;"|"&amp;DATOS!$D3358&amp;"|"&amp;DATOS!$E3358&amp;"|"&amp;DATOS!$I3358)</f>
      </c>
      <c r="G3358">
        <f>IF(DATOS!$A3358="",0,IF(CONFIG_METADATA!$B$4&lt;&gt;"OR+EX",--(DATOS!$G3358=CONFIG_METADATA!$B$4),IF(DATOS!$G3358="EX",1,IF(DATOS!$G3358="OR",--(COUNTIFS(nNIA,DATOS!$A3358,nCURSO,DATOS!$D3358,nESPEC,DATOS!$E3358,nASIG,DATOS!$I3358,nEVAL,"EX")=0),0))))</f>
      </c>
      <c r="H3358">
        <f>IF(DATOS!$G3358&lt;&gt;"EX",0,--(COUNTIFS(nNIA,DATOS!$A3358,nCURSO,DATOS!$D3358,nESPEC,DATOS!$E3358,nASIG,DATOS!$I3358,nEVAL,"OR")=0))</f>
      </c>
      <c r="I3358">
        <f>IF(DATOS!$I3358="","",IFERROR(VLOOKUP(DATOS!$I3358,CONFIG_ASIGNATURAS!$B$2:$J$91,9,FALSE()),""))</f>
      </c>
    </row>
    <row r="3359">
      <c r="F3359">
        <f>IF(DATOS!$A3359="","",DATOS!$A3359&amp;"|"&amp;DATOS!$D3359&amp;"|"&amp;DATOS!$E3359&amp;"|"&amp;DATOS!$I3359)</f>
      </c>
      <c r="G3359">
        <f>IF(DATOS!$A3359="",0,IF(CONFIG_METADATA!$B$4&lt;&gt;"OR+EX",--(DATOS!$G3359=CONFIG_METADATA!$B$4),IF(DATOS!$G3359="EX",1,IF(DATOS!$G3359="OR",--(COUNTIFS(nNIA,DATOS!$A3359,nCURSO,DATOS!$D3359,nESPEC,DATOS!$E3359,nASIG,DATOS!$I3359,nEVAL,"EX")=0),0))))</f>
      </c>
      <c r="H3359">
        <f>IF(DATOS!$G3359&lt;&gt;"EX",0,--(COUNTIFS(nNIA,DATOS!$A3359,nCURSO,DATOS!$D3359,nESPEC,DATOS!$E3359,nASIG,DATOS!$I3359,nEVAL,"OR")=0))</f>
      </c>
      <c r="I3359">
        <f>IF(DATOS!$I3359="","",IFERROR(VLOOKUP(DATOS!$I3359,CONFIG_ASIGNATURAS!$B$2:$J$91,9,FALSE()),""))</f>
      </c>
    </row>
    <row r="3360">
      <c r="F3360">
        <f>IF(DATOS!$A3360="","",DATOS!$A3360&amp;"|"&amp;DATOS!$D3360&amp;"|"&amp;DATOS!$E3360&amp;"|"&amp;DATOS!$I3360)</f>
      </c>
      <c r="G3360">
        <f>IF(DATOS!$A3360="",0,IF(CONFIG_METADATA!$B$4&lt;&gt;"OR+EX",--(DATOS!$G3360=CONFIG_METADATA!$B$4),IF(DATOS!$G3360="EX",1,IF(DATOS!$G3360="OR",--(COUNTIFS(nNIA,DATOS!$A3360,nCURSO,DATOS!$D3360,nESPEC,DATOS!$E3360,nASIG,DATOS!$I3360,nEVAL,"EX")=0),0))))</f>
      </c>
      <c r="H3360">
        <f>IF(DATOS!$G3360&lt;&gt;"EX",0,--(COUNTIFS(nNIA,DATOS!$A3360,nCURSO,DATOS!$D3360,nESPEC,DATOS!$E3360,nASIG,DATOS!$I3360,nEVAL,"OR")=0))</f>
      </c>
      <c r="I3360">
        <f>IF(DATOS!$I3360="","",IFERROR(VLOOKUP(DATOS!$I3360,CONFIG_ASIGNATURAS!$B$2:$J$91,9,FALSE()),""))</f>
      </c>
    </row>
    <row r="3361">
      <c r="F3361">
        <f>IF(DATOS!$A3361="","",DATOS!$A3361&amp;"|"&amp;DATOS!$D3361&amp;"|"&amp;DATOS!$E3361&amp;"|"&amp;DATOS!$I3361)</f>
      </c>
      <c r="G3361">
        <f>IF(DATOS!$A3361="",0,IF(CONFIG_METADATA!$B$4&lt;&gt;"OR+EX",--(DATOS!$G3361=CONFIG_METADATA!$B$4),IF(DATOS!$G3361="EX",1,IF(DATOS!$G3361="OR",--(COUNTIFS(nNIA,DATOS!$A3361,nCURSO,DATOS!$D3361,nESPEC,DATOS!$E3361,nASIG,DATOS!$I3361,nEVAL,"EX")=0),0))))</f>
      </c>
      <c r="H3361">
        <f>IF(DATOS!$G3361&lt;&gt;"EX",0,--(COUNTIFS(nNIA,DATOS!$A3361,nCURSO,DATOS!$D3361,nESPEC,DATOS!$E3361,nASIG,DATOS!$I3361,nEVAL,"OR")=0))</f>
      </c>
      <c r="I3361">
        <f>IF(DATOS!$I3361="","",IFERROR(VLOOKUP(DATOS!$I3361,CONFIG_ASIGNATURAS!$B$2:$J$91,9,FALSE()),""))</f>
      </c>
    </row>
    <row r="3362">
      <c r="F3362">
        <f>IF(DATOS!$A3362="","",DATOS!$A3362&amp;"|"&amp;DATOS!$D3362&amp;"|"&amp;DATOS!$E3362&amp;"|"&amp;DATOS!$I3362)</f>
      </c>
      <c r="G3362">
        <f>IF(DATOS!$A3362="",0,IF(CONFIG_METADATA!$B$4&lt;&gt;"OR+EX",--(DATOS!$G3362=CONFIG_METADATA!$B$4),IF(DATOS!$G3362="EX",1,IF(DATOS!$G3362="OR",--(COUNTIFS(nNIA,DATOS!$A3362,nCURSO,DATOS!$D3362,nESPEC,DATOS!$E3362,nASIG,DATOS!$I3362,nEVAL,"EX")=0),0))))</f>
      </c>
      <c r="H3362">
        <f>IF(DATOS!$G3362&lt;&gt;"EX",0,--(COUNTIFS(nNIA,DATOS!$A3362,nCURSO,DATOS!$D3362,nESPEC,DATOS!$E3362,nASIG,DATOS!$I3362,nEVAL,"OR")=0))</f>
      </c>
      <c r="I3362">
        <f>IF(DATOS!$I3362="","",IFERROR(VLOOKUP(DATOS!$I3362,CONFIG_ASIGNATURAS!$B$2:$J$91,9,FALSE()),""))</f>
      </c>
    </row>
    <row r="3363">
      <c r="F3363">
        <f>IF(DATOS!$A3363="","",DATOS!$A3363&amp;"|"&amp;DATOS!$D3363&amp;"|"&amp;DATOS!$E3363&amp;"|"&amp;DATOS!$I3363)</f>
      </c>
      <c r="G3363">
        <f>IF(DATOS!$A3363="",0,IF(CONFIG_METADATA!$B$4&lt;&gt;"OR+EX",--(DATOS!$G3363=CONFIG_METADATA!$B$4),IF(DATOS!$G3363="EX",1,IF(DATOS!$G3363="OR",--(COUNTIFS(nNIA,DATOS!$A3363,nCURSO,DATOS!$D3363,nESPEC,DATOS!$E3363,nASIG,DATOS!$I3363,nEVAL,"EX")=0),0))))</f>
      </c>
      <c r="H3363">
        <f>IF(DATOS!$G3363&lt;&gt;"EX",0,--(COUNTIFS(nNIA,DATOS!$A3363,nCURSO,DATOS!$D3363,nESPEC,DATOS!$E3363,nASIG,DATOS!$I3363,nEVAL,"OR")=0))</f>
      </c>
      <c r="I3363">
        <f>IF(DATOS!$I3363="","",IFERROR(VLOOKUP(DATOS!$I3363,CONFIG_ASIGNATURAS!$B$2:$J$91,9,FALSE()),""))</f>
      </c>
    </row>
    <row r="3364">
      <c r="F3364">
        <f>IF(DATOS!$A3364="","",DATOS!$A3364&amp;"|"&amp;DATOS!$D3364&amp;"|"&amp;DATOS!$E3364&amp;"|"&amp;DATOS!$I3364)</f>
      </c>
      <c r="G3364">
        <f>IF(DATOS!$A3364="",0,IF(CONFIG_METADATA!$B$4&lt;&gt;"OR+EX",--(DATOS!$G3364=CONFIG_METADATA!$B$4),IF(DATOS!$G3364="EX",1,IF(DATOS!$G3364="OR",--(COUNTIFS(nNIA,DATOS!$A3364,nCURSO,DATOS!$D3364,nESPEC,DATOS!$E3364,nASIG,DATOS!$I3364,nEVAL,"EX")=0),0))))</f>
      </c>
      <c r="H3364">
        <f>IF(DATOS!$G3364&lt;&gt;"EX",0,--(COUNTIFS(nNIA,DATOS!$A3364,nCURSO,DATOS!$D3364,nESPEC,DATOS!$E3364,nASIG,DATOS!$I3364,nEVAL,"OR")=0))</f>
      </c>
      <c r="I3364">
        <f>IF(DATOS!$I3364="","",IFERROR(VLOOKUP(DATOS!$I3364,CONFIG_ASIGNATURAS!$B$2:$J$91,9,FALSE()),""))</f>
      </c>
    </row>
    <row r="3365">
      <c r="F3365">
        <f>IF(DATOS!$A3365="","",DATOS!$A3365&amp;"|"&amp;DATOS!$D3365&amp;"|"&amp;DATOS!$E3365&amp;"|"&amp;DATOS!$I3365)</f>
      </c>
      <c r="G3365">
        <f>IF(DATOS!$A3365="",0,IF(CONFIG_METADATA!$B$4&lt;&gt;"OR+EX",--(DATOS!$G3365=CONFIG_METADATA!$B$4),IF(DATOS!$G3365="EX",1,IF(DATOS!$G3365="OR",--(COUNTIFS(nNIA,DATOS!$A3365,nCURSO,DATOS!$D3365,nESPEC,DATOS!$E3365,nASIG,DATOS!$I3365,nEVAL,"EX")=0),0))))</f>
      </c>
      <c r="H3365">
        <f>IF(DATOS!$G3365&lt;&gt;"EX",0,--(COUNTIFS(nNIA,DATOS!$A3365,nCURSO,DATOS!$D3365,nESPEC,DATOS!$E3365,nASIG,DATOS!$I3365,nEVAL,"OR")=0))</f>
      </c>
      <c r="I3365">
        <f>IF(DATOS!$I3365="","",IFERROR(VLOOKUP(DATOS!$I3365,CONFIG_ASIGNATURAS!$B$2:$J$91,9,FALSE()),""))</f>
      </c>
    </row>
    <row r="3366">
      <c r="F3366">
        <f>IF(DATOS!$A3366="","",DATOS!$A3366&amp;"|"&amp;DATOS!$D3366&amp;"|"&amp;DATOS!$E3366&amp;"|"&amp;DATOS!$I3366)</f>
      </c>
      <c r="G3366">
        <f>IF(DATOS!$A3366="",0,IF(CONFIG_METADATA!$B$4&lt;&gt;"OR+EX",--(DATOS!$G3366=CONFIG_METADATA!$B$4),IF(DATOS!$G3366="EX",1,IF(DATOS!$G3366="OR",--(COUNTIFS(nNIA,DATOS!$A3366,nCURSO,DATOS!$D3366,nESPEC,DATOS!$E3366,nASIG,DATOS!$I3366,nEVAL,"EX")=0),0))))</f>
      </c>
      <c r="H3366">
        <f>IF(DATOS!$G3366&lt;&gt;"EX",0,--(COUNTIFS(nNIA,DATOS!$A3366,nCURSO,DATOS!$D3366,nESPEC,DATOS!$E3366,nASIG,DATOS!$I3366,nEVAL,"OR")=0))</f>
      </c>
      <c r="I3366">
        <f>IF(DATOS!$I3366="","",IFERROR(VLOOKUP(DATOS!$I3366,CONFIG_ASIGNATURAS!$B$2:$J$91,9,FALSE()),""))</f>
      </c>
    </row>
    <row r="3367">
      <c r="F3367">
        <f>IF(DATOS!$A3367="","",DATOS!$A3367&amp;"|"&amp;DATOS!$D3367&amp;"|"&amp;DATOS!$E3367&amp;"|"&amp;DATOS!$I3367)</f>
      </c>
      <c r="G3367">
        <f>IF(DATOS!$A3367="",0,IF(CONFIG_METADATA!$B$4&lt;&gt;"OR+EX",--(DATOS!$G3367=CONFIG_METADATA!$B$4),IF(DATOS!$G3367="EX",1,IF(DATOS!$G3367="OR",--(COUNTIFS(nNIA,DATOS!$A3367,nCURSO,DATOS!$D3367,nESPEC,DATOS!$E3367,nASIG,DATOS!$I3367,nEVAL,"EX")=0),0))))</f>
      </c>
      <c r="H3367">
        <f>IF(DATOS!$G3367&lt;&gt;"EX",0,--(COUNTIFS(nNIA,DATOS!$A3367,nCURSO,DATOS!$D3367,nESPEC,DATOS!$E3367,nASIG,DATOS!$I3367,nEVAL,"OR")=0))</f>
      </c>
      <c r="I3367">
        <f>IF(DATOS!$I3367="","",IFERROR(VLOOKUP(DATOS!$I3367,CONFIG_ASIGNATURAS!$B$2:$J$91,9,FALSE()),""))</f>
      </c>
    </row>
    <row r="3368">
      <c r="F3368">
        <f>IF(DATOS!$A3368="","",DATOS!$A3368&amp;"|"&amp;DATOS!$D3368&amp;"|"&amp;DATOS!$E3368&amp;"|"&amp;DATOS!$I3368)</f>
      </c>
      <c r="G3368">
        <f>IF(DATOS!$A3368="",0,IF(CONFIG_METADATA!$B$4&lt;&gt;"OR+EX",--(DATOS!$G3368=CONFIG_METADATA!$B$4),IF(DATOS!$G3368="EX",1,IF(DATOS!$G3368="OR",--(COUNTIFS(nNIA,DATOS!$A3368,nCURSO,DATOS!$D3368,nESPEC,DATOS!$E3368,nASIG,DATOS!$I3368,nEVAL,"EX")=0),0))))</f>
      </c>
      <c r="H3368">
        <f>IF(DATOS!$G3368&lt;&gt;"EX",0,--(COUNTIFS(nNIA,DATOS!$A3368,nCURSO,DATOS!$D3368,nESPEC,DATOS!$E3368,nASIG,DATOS!$I3368,nEVAL,"OR")=0))</f>
      </c>
      <c r="I3368">
        <f>IF(DATOS!$I3368="","",IFERROR(VLOOKUP(DATOS!$I3368,CONFIG_ASIGNATURAS!$B$2:$J$91,9,FALSE()),""))</f>
      </c>
    </row>
    <row r="3369">
      <c r="F3369">
        <f>IF(DATOS!$A3369="","",DATOS!$A3369&amp;"|"&amp;DATOS!$D3369&amp;"|"&amp;DATOS!$E3369&amp;"|"&amp;DATOS!$I3369)</f>
      </c>
      <c r="G3369">
        <f>IF(DATOS!$A3369="",0,IF(CONFIG_METADATA!$B$4&lt;&gt;"OR+EX",--(DATOS!$G3369=CONFIG_METADATA!$B$4),IF(DATOS!$G3369="EX",1,IF(DATOS!$G3369="OR",--(COUNTIFS(nNIA,DATOS!$A3369,nCURSO,DATOS!$D3369,nESPEC,DATOS!$E3369,nASIG,DATOS!$I3369,nEVAL,"EX")=0),0))))</f>
      </c>
      <c r="H3369">
        <f>IF(DATOS!$G3369&lt;&gt;"EX",0,--(COUNTIFS(nNIA,DATOS!$A3369,nCURSO,DATOS!$D3369,nESPEC,DATOS!$E3369,nASIG,DATOS!$I3369,nEVAL,"OR")=0))</f>
      </c>
      <c r="I3369">
        <f>IF(DATOS!$I3369="","",IFERROR(VLOOKUP(DATOS!$I3369,CONFIG_ASIGNATURAS!$B$2:$J$91,9,FALSE()),""))</f>
      </c>
    </row>
    <row r="3370">
      <c r="F3370">
        <f>IF(DATOS!$A3370="","",DATOS!$A3370&amp;"|"&amp;DATOS!$D3370&amp;"|"&amp;DATOS!$E3370&amp;"|"&amp;DATOS!$I3370)</f>
      </c>
      <c r="G3370">
        <f>IF(DATOS!$A3370="",0,IF(CONFIG_METADATA!$B$4&lt;&gt;"OR+EX",--(DATOS!$G3370=CONFIG_METADATA!$B$4),IF(DATOS!$G3370="EX",1,IF(DATOS!$G3370="OR",--(COUNTIFS(nNIA,DATOS!$A3370,nCURSO,DATOS!$D3370,nESPEC,DATOS!$E3370,nASIG,DATOS!$I3370,nEVAL,"EX")=0),0))))</f>
      </c>
      <c r="H3370">
        <f>IF(DATOS!$G3370&lt;&gt;"EX",0,--(COUNTIFS(nNIA,DATOS!$A3370,nCURSO,DATOS!$D3370,nESPEC,DATOS!$E3370,nASIG,DATOS!$I3370,nEVAL,"OR")=0))</f>
      </c>
      <c r="I3370">
        <f>IF(DATOS!$I3370="","",IFERROR(VLOOKUP(DATOS!$I3370,CONFIG_ASIGNATURAS!$B$2:$J$91,9,FALSE()),""))</f>
      </c>
    </row>
    <row r="3371">
      <c r="F3371">
        <f>IF(DATOS!$A3371="","",DATOS!$A3371&amp;"|"&amp;DATOS!$D3371&amp;"|"&amp;DATOS!$E3371&amp;"|"&amp;DATOS!$I3371)</f>
      </c>
      <c r="G3371">
        <f>IF(DATOS!$A3371="",0,IF(CONFIG_METADATA!$B$4&lt;&gt;"OR+EX",--(DATOS!$G3371=CONFIG_METADATA!$B$4),IF(DATOS!$G3371="EX",1,IF(DATOS!$G3371="OR",--(COUNTIFS(nNIA,DATOS!$A3371,nCURSO,DATOS!$D3371,nESPEC,DATOS!$E3371,nASIG,DATOS!$I3371,nEVAL,"EX")=0),0))))</f>
      </c>
      <c r="H3371">
        <f>IF(DATOS!$G3371&lt;&gt;"EX",0,--(COUNTIFS(nNIA,DATOS!$A3371,nCURSO,DATOS!$D3371,nESPEC,DATOS!$E3371,nASIG,DATOS!$I3371,nEVAL,"OR")=0))</f>
      </c>
      <c r="I3371">
        <f>IF(DATOS!$I3371="","",IFERROR(VLOOKUP(DATOS!$I3371,CONFIG_ASIGNATURAS!$B$2:$J$91,9,FALSE()),""))</f>
      </c>
    </row>
    <row r="3372">
      <c r="F3372">
        <f>IF(DATOS!$A3372="","",DATOS!$A3372&amp;"|"&amp;DATOS!$D3372&amp;"|"&amp;DATOS!$E3372&amp;"|"&amp;DATOS!$I3372)</f>
      </c>
      <c r="G3372">
        <f>IF(DATOS!$A3372="",0,IF(CONFIG_METADATA!$B$4&lt;&gt;"OR+EX",--(DATOS!$G3372=CONFIG_METADATA!$B$4),IF(DATOS!$G3372="EX",1,IF(DATOS!$G3372="OR",--(COUNTIFS(nNIA,DATOS!$A3372,nCURSO,DATOS!$D3372,nESPEC,DATOS!$E3372,nASIG,DATOS!$I3372,nEVAL,"EX")=0),0))))</f>
      </c>
      <c r="H3372">
        <f>IF(DATOS!$G3372&lt;&gt;"EX",0,--(COUNTIFS(nNIA,DATOS!$A3372,nCURSO,DATOS!$D3372,nESPEC,DATOS!$E3372,nASIG,DATOS!$I3372,nEVAL,"OR")=0))</f>
      </c>
      <c r="I3372">
        <f>IF(DATOS!$I3372="","",IFERROR(VLOOKUP(DATOS!$I3372,CONFIG_ASIGNATURAS!$B$2:$J$91,9,FALSE()),""))</f>
      </c>
    </row>
    <row r="3373">
      <c r="F3373">
        <f>IF(DATOS!$A3373="","",DATOS!$A3373&amp;"|"&amp;DATOS!$D3373&amp;"|"&amp;DATOS!$E3373&amp;"|"&amp;DATOS!$I3373)</f>
      </c>
      <c r="G3373">
        <f>IF(DATOS!$A3373="",0,IF(CONFIG_METADATA!$B$4&lt;&gt;"OR+EX",--(DATOS!$G3373=CONFIG_METADATA!$B$4),IF(DATOS!$G3373="EX",1,IF(DATOS!$G3373="OR",--(COUNTIFS(nNIA,DATOS!$A3373,nCURSO,DATOS!$D3373,nESPEC,DATOS!$E3373,nASIG,DATOS!$I3373,nEVAL,"EX")=0),0))))</f>
      </c>
      <c r="H3373">
        <f>IF(DATOS!$G3373&lt;&gt;"EX",0,--(COUNTIFS(nNIA,DATOS!$A3373,nCURSO,DATOS!$D3373,nESPEC,DATOS!$E3373,nASIG,DATOS!$I3373,nEVAL,"OR")=0))</f>
      </c>
      <c r="I3373">
        <f>IF(DATOS!$I3373="","",IFERROR(VLOOKUP(DATOS!$I3373,CONFIG_ASIGNATURAS!$B$2:$J$91,9,FALSE()),""))</f>
      </c>
    </row>
    <row r="3374">
      <c r="F3374">
        <f>IF(DATOS!$A3374="","",DATOS!$A3374&amp;"|"&amp;DATOS!$D3374&amp;"|"&amp;DATOS!$E3374&amp;"|"&amp;DATOS!$I3374)</f>
      </c>
      <c r="G3374">
        <f>IF(DATOS!$A3374="",0,IF(CONFIG_METADATA!$B$4&lt;&gt;"OR+EX",--(DATOS!$G3374=CONFIG_METADATA!$B$4),IF(DATOS!$G3374="EX",1,IF(DATOS!$G3374="OR",--(COUNTIFS(nNIA,DATOS!$A3374,nCURSO,DATOS!$D3374,nESPEC,DATOS!$E3374,nASIG,DATOS!$I3374,nEVAL,"EX")=0),0))))</f>
      </c>
      <c r="H3374">
        <f>IF(DATOS!$G3374&lt;&gt;"EX",0,--(COUNTIFS(nNIA,DATOS!$A3374,nCURSO,DATOS!$D3374,nESPEC,DATOS!$E3374,nASIG,DATOS!$I3374,nEVAL,"OR")=0))</f>
      </c>
      <c r="I3374">
        <f>IF(DATOS!$I3374="","",IFERROR(VLOOKUP(DATOS!$I3374,CONFIG_ASIGNATURAS!$B$2:$J$91,9,FALSE()),""))</f>
      </c>
    </row>
    <row r="3375">
      <c r="F3375">
        <f>IF(DATOS!$A3375="","",DATOS!$A3375&amp;"|"&amp;DATOS!$D3375&amp;"|"&amp;DATOS!$E3375&amp;"|"&amp;DATOS!$I3375)</f>
      </c>
      <c r="G3375">
        <f>IF(DATOS!$A3375="",0,IF(CONFIG_METADATA!$B$4&lt;&gt;"OR+EX",--(DATOS!$G3375=CONFIG_METADATA!$B$4),IF(DATOS!$G3375="EX",1,IF(DATOS!$G3375="OR",--(COUNTIFS(nNIA,DATOS!$A3375,nCURSO,DATOS!$D3375,nESPEC,DATOS!$E3375,nASIG,DATOS!$I3375,nEVAL,"EX")=0),0))))</f>
      </c>
      <c r="H3375">
        <f>IF(DATOS!$G3375&lt;&gt;"EX",0,--(COUNTIFS(nNIA,DATOS!$A3375,nCURSO,DATOS!$D3375,nESPEC,DATOS!$E3375,nASIG,DATOS!$I3375,nEVAL,"OR")=0))</f>
      </c>
      <c r="I3375">
        <f>IF(DATOS!$I3375="","",IFERROR(VLOOKUP(DATOS!$I3375,CONFIG_ASIGNATURAS!$B$2:$J$91,9,FALSE()),""))</f>
      </c>
    </row>
    <row r="3376">
      <c r="F3376">
        <f>IF(DATOS!$A3376="","",DATOS!$A3376&amp;"|"&amp;DATOS!$D3376&amp;"|"&amp;DATOS!$E3376&amp;"|"&amp;DATOS!$I3376)</f>
      </c>
      <c r="G3376">
        <f>IF(DATOS!$A3376="",0,IF(CONFIG_METADATA!$B$4&lt;&gt;"OR+EX",--(DATOS!$G3376=CONFIG_METADATA!$B$4),IF(DATOS!$G3376="EX",1,IF(DATOS!$G3376="OR",--(COUNTIFS(nNIA,DATOS!$A3376,nCURSO,DATOS!$D3376,nESPEC,DATOS!$E3376,nASIG,DATOS!$I3376,nEVAL,"EX")=0),0))))</f>
      </c>
      <c r="H3376">
        <f>IF(DATOS!$G3376&lt;&gt;"EX",0,--(COUNTIFS(nNIA,DATOS!$A3376,nCURSO,DATOS!$D3376,nESPEC,DATOS!$E3376,nASIG,DATOS!$I3376,nEVAL,"OR")=0))</f>
      </c>
      <c r="I3376">
        <f>IF(DATOS!$I3376="","",IFERROR(VLOOKUP(DATOS!$I3376,CONFIG_ASIGNATURAS!$B$2:$J$91,9,FALSE()),""))</f>
      </c>
    </row>
    <row r="3377">
      <c r="F3377">
        <f>IF(DATOS!$A3377="","",DATOS!$A3377&amp;"|"&amp;DATOS!$D3377&amp;"|"&amp;DATOS!$E3377&amp;"|"&amp;DATOS!$I3377)</f>
      </c>
      <c r="G3377">
        <f>IF(DATOS!$A3377="",0,IF(CONFIG_METADATA!$B$4&lt;&gt;"OR+EX",--(DATOS!$G3377=CONFIG_METADATA!$B$4),IF(DATOS!$G3377="EX",1,IF(DATOS!$G3377="OR",--(COUNTIFS(nNIA,DATOS!$A3377,nCURSO,DATOS!$D3377,nESPEC,DATOS!$E3377,nASIG,DATOS!$I3377,nEVAL,"EX")=0),0))))</f>
      </c>
      <c r="H3377">
        <f>IF(DATOS!$G3377&lt;&gt;"EX",0,--(COUNTIFS(nNIA,DATOS!$A3377,nCURSO,DATOS!$D3377,nESPEC,DATOS!$E3377,nASIG,DATOS!$I3377,nEVAL,"OR")=0))</f>
      </c>
      <c r="I3377">
        <f>IF(DATOS!$I3377="","",IFERROR(VLOOKUP(DATOS!$I3377,CONFIG_ASIGNATURAS!$B$2:$J$91,9,FALSE()),""))</f>
      </c>
    </row>
    <row r="3378">
      <c r="F3378">
        <f>IF(DATOS!$A3378="","",DATOS!$A3378&amp;"|"&amp;DATOS!$D3378&amp;"|"&amp;DATOS!$E3378&amp;"|"&amp;DATOS!$I3378)</f>
      </c>
      <c r="G3378">
        <f>IF(DATOS!$A3378="",0,IF(CONFIG_METADATA!$B$4&lt;&gt;"OR+EX",--(DATOS!$G3378=CONFIG_METADATA!$B$4),IF(DATOS!$G3378="EX",1,IF(DATOS!$G3378="OR",--(COUNTIFS(nNIA,DATOS!$A3378,nCURSO,DATOS!$D3378,nESPEC,DATOS!$E3378,nASIG,DATOS!$I3378,nEVAL,"EX")=0),0))))</f>
      </c>
      <c r="H3378">
        <f>IF(DATOS!$G3378&lt;&gt;"EX",0,--(COUNTIFS(nNIA,DATOS!$A3378,nCURSO,DATOS!$D3378,nESPEC,DATOS!$E3378,nASIG,DATOS!$I3378,nEVAL,"OR")=0))</f>
      </c>
      <c r="I3378">
        <f>IF(DATOS!$I3378="","",IFERROR(VLOOKUP(DATOS!$I3378,CONFIG_ASIGNATURAS!$B$2:$J$91,9,FALSE()),""))</f>
      </c>
    </row>
    <row r="3379">
      <c r="F3379">
        <f>IF(DATOS!$A3379="","",DATOS!$A3379&amp;"|"&amp;DATOS!$D3379&amp;"|"&amp;DATOS!$E3379&amp;"|"&amp;DATOS!$I3379)</f>
      </c>
      <c r="G3379">
        <f>IF(DATOS!$A3379="",0,IF(CONFIG_METADATA!$B$4&lt;&gt;"OR+EX",--(DATOS!$G3379=CONFIG_METADATA!$B$4),IF(DATOS!$G3379="EX",1,IF(DATOS!$G3379="OR",--(COUNTIFS(nNIA,DATOS!$A3379,nCURSO,DATOS!$D3379,nESPEC,DATOS!$E3379,nASIG,DATOS!$I3379,nEVAL,"EX")=0),0))))</f>
      </c>
      <c r="H3379">
        <f>IF(DATOS!$G3379&lt;&gt;"EX",0,--(COUNTIFS(nNIA,DATOS!$A3379,nCURSO,DATOS!$D3379,nESPEC,DATOS!$E3379,nASIG,DATOS!$I3379,nEVAL,"OR")=0))</f>
      </c>
      <c r="I3379">
        <f>IF(DATOS!$I3379="","",IFERROR(VLOOKUP(DATOS!$I3379,CONFIG_ASIGNATURAS!$B$2:$J$91,9,FALSE()),""))</f>
      </c>
    </row>
    <row r="3380">
      <c r="F3380">
        <f>IF(DATOS!$A3380="","",DATOS!$A3380&amp;"|"&amp;DATOS!$D3380&amp;"|"&amp;DATOS!$E3380&amp;"|"&amp;DATOS!$I3380)</f>
      </c>
      <c r="G3380">
        <f>IF(DATOS!$A3380="",0,IF(CONFIG_METADATA!$B$4&lt;&gt;"OR+EX",--(DATOS!$G3380=CONFIG_METADATA!$B$4),IF(DATOS!$G3380="EX",1,IF(DATOS!$G3380="OR",--(COUNTIFS(nNIA,DATOS!$A3380,nCURSO,DATOS!$D3380,nESPEC,DATOS!$E3380,nASIG,DATOS!$I3380,nEVAL,"EX")=0),0))))</f>
      </c>
      <c r="H3380">
        <f>IF(DATOS!$G3380&lt;&gt;"EX",0,--(COUNTIFS(nNIA,DATOS!$A3380,nCURSO,DATOS!$D3380,nESPEC,DATOS!$E3380,nASIG,DATOS!$I3380,nEVAL,"OR")=0))</f>
      </c>
      <c r="I3380">
        <f>IF(DATOS!$I3380="","",IFERROR(VLOOKUP(DATOS!$I3380,CONFIG_ASIGNATURAS!$B$2:$J$91,9,FALSE()),""))</f>
      </c>
    </row>
    <row r="3381">
      <c r="F3381">
        <f>IF(DATOS!$A3381="","",DATOS!$A3381&amp;"|"&amp;DATOS!$D3381&amp;"|"&amp;DATOS!$E3381&amp;"|"&amp;DATOS!$I3381)</f>
      </c>
      <c r="G3381">
        <f>IF(DATOS!$A3381="",0,IF(CONFIG_METADATA!$B$4&lt;&gt;"OR+EX",--(DATOS!$G3381=CONFIG_METADATA!$B$4),IF(DATOS!$G3381="EX",1,IF(DATOS!$G3381="OR",--(COUNTIFS(nNIA,DATOS!$A3381,nCURSO,DATOS!$D3381,nESPEC,DATOS!$E3381,nASIG,DATOS!$I3381,nEVAL,"EX")=0),0))))</f>
      </c>
      <c r="H3381">
        <f>IF(DATOS!$G3381&lt;&gt;"EX",0,--(COUNTIFS(nNIA,DATOS!$A3381,nCURSO,DATOS!$D3381,nESPEC,DATOS!$E3381,nASIG,DATOS!$I3381,nEVAL,"OR")=0))</f>
      </c>
      <c r="I3381">
        <f>IF(DATOS!$I3381="","",IFERROR(VLOOKUP(DATOS!$I3381,CONFIG_ASIGNATURAS!$B$2:$J$91,9,FALSE()),""))</f>
      </c>
    </row>
    <row r="3382">
      <c r="F3382">
        <f>IF(DATOS!$A3382="","",DATOS!$A3382&amp;"|"&amp;DATOS!$D3382&amp;"|"&amp;DATOS!$E3382&amp;"|"&amp;DATOS!$I3382)</f>
      </c>
      <c r="G3382">
        <f>IF(DATOS!$A3382="",0,IF(CONFIG_METADATA!$B$4&lt;&gt;"OR+EX",--(DATOS!$G3382=CONFIG_METADATA!$B$4),IF(DATOS!$G3382="EX",1,IF(DATOS!$G3382="OR",--(COUNTIFS(nNIA,DATOS!$A3382,nCURSO,DATOS!$D3382,nESPEC,DATOS!$E3382,nASIG,DATOS!$I3382,nEVAL,"EX")=0),0))))</f>
      </c>
      <c r="H3382">
        <f>IF(DATOS!$G3382&lt;&gt;"EX",0,--(COUNTIFS(nNIA,DATOS!$A3382,nCURSO,DATOS!$D3382,nESPEC,DATOS!$E3382,nASIG,DATOS!$I3382,nEVAL,"OR")=0))</f>
      </c>
      <c r="I3382">
        <f>IF(DATOS!$I3382="","",IFERROR(VLOOKUP(DATOS!$I3382,CONFIG_ASIGNATURAS!$B$2:$J$91,9,FALSE()),""))</f>
      </c>
    </row>
    <row r="3383">
      <c r="F3383">
        <f>IF(DATOS!$A3383="","",DATOS!$A3383&amp;"|"&amp;DATOS!$D3383&amp;"|"&amp;DATOS!$E3383&amp;"|"&amp;DATOS!$I3383)</f>
      </c>
      <c r="G3383">
        <f>IF(DATOS!$A3383="",0,IF(CONFIG_METADATA!$B$4&lt;&gt;"OR+EX",--(DATOS!$G3383=CONFIG_METADATA!$B$4),IF(DATOS!$G3383="EX",1,IF(DATOS!$G3383="OR",--(COUNTIFS(nNIA,DATOS!$A3383,nCURSO,DATOS!$D3383,nESPEC,DATOS!$E3383,nASIG,DATOS!$I3383,nEVAL,"EX")=0),0))))</f>
      </c>
      <c r="H3383">
        <f>IF(DATOS!$G3383&lt;&gt;"EX",0,--(COUNTIFS(nNIA,DATOS!$A3383,nCURSO,DATOS!$D3383,nESPEC,DATOS!$E3383,nASIG,DATOS!$I3383,nEVAL,"OR")=0))</f>
      </c>
      <c r="I3383">
        <f>IF(DATOS!$I3383="","",IFERROR(VLOOKUP(DATOS!$I3383,CONFIG_ASIGNATURAS!$B$2:$J$91,9,FALSE()),""))</f>
      </c>
    </row>
    <row r="3384">
      <c r="F3384">
        <f>IF(DATOS!$A3384="","",DATOS!$A3384&amp;"|"&amp;DATOS!$D3384&amp;"|"&amp;DATOS!$E3384&amp;"|"&amp;DATOS!$I3384)</f>
      </c>
      <c r="G3384">
        <f>IF(DATOS!$A3384="",0,IF(CONFIG_METADATA!$B$4&lt;&gt;"OR+EX",--(DATOS!$G3384=CONFIG_METADATA!$B$4),IF(DATOS!$G3384="EX",1,IF(DATOS!$G3384="OR",--(COUNTIFS(nNIA,DATOS!$A3384,nCURSO,DATOS!$D3384,nESPEC,DATOS!$E3384,nASIG,DATOS!$I3384,nEVAL,"EX")=0),0))))</f>
      </c>
      <c r="H3384">
        <f>IF(DATOS!$G3384&lt;&gt;"EX",0,--(COUNTIFS(nNIA,DATOS!$A3384,nCURSO,DATOS!$D3384,nESPEC,DATOS!$E3384,nASIG,DATOS!$I3384,nEVAL,"OR")=0))</f>
      </c>
      <c r="I3384">
        <f>IF(DATOS!$I3384="","",IFERROR(VLOOKUP(DATOS!$I3384,CONFIG_ASIGNATURAS!$B$2:$J$91,9,FALSE()),""))</f>
      </c>
    </row>
    <row r="3385">
      <c r="F3385">
        <f>IF(DATOS!$A3385="","",DATOS!$A3385&amp;"|"&amp;DATOS!$D3385&amp;"|"&amp;DATOS!$E3385&amp;"|"&amp;DATOS!$I3385)</f>
      </c>
      <c r="G3385">
        <f>IF(DATOS!$A3385="",0,IF(CONFIG_METADATA!$B$4&lt;&gt;"OR+EX",--(DATOS!$G3385=CONFIG_METADATA!$B$4),IF(DATOS!$G3385="EX",1,IF(DATOS!$G3385="OR",--(COUNTIFS(nNIA,DATOS!$A3385,nCURSO,DATOS!$D3385,nESPEC,DATOS!$E3385,nASIG,DATOS!$I3385,nEVAL,"EX")=0),0))))</f>
      </c>
      <c r="H3385">
        <f>IF(DATOS!$G3385&lt;&gt;"EX",0,--(COUNTIFS(nNIA,DATOS!$A3385,nCURSO,DATOS!$D3385,nESPEC,DATOS!$E3385,nASIG,DATOS!$I3385,nEVAL,"OR")=0))</f>
      </c>
      <c r="I3385">
        <f>IF(DATOS!$I3385="","",IFERROR(VLOOKUP(DATOS!$I3385,CONFIG_ASIGNATURAS!$B$2:$J$91,9,FALSE()),""))</f>
      </c>
    </row>
    <row r="3386">
      <c r="F3386">
        <f>IF(DATOS!$A3386="","",DATOS!$A3386&amp;"|"&amp;DATOS!$D3386&amp;"|"&amp;DATOS!$E3386&amp;"|"&amp;DATOS!$I3386)</f>
      </c>
      <c r="G3386">
        <f>IF(DATOS!$A3386="",0,IF(CONFIG_METADATA!$B$4&lt;&gt;"OR+EX",--(DATOS!$G3386=CONFIG_METADATA!$B$4),IF(DATOS!$G3386="EX",1,IF(DATOS!$G3386="OR",--(COUNTIFS(nNIA,DATOS!$A3386,nCURSO,DATOS!$D3386,nESPEC,DATOS!$E3386,nASIG,DATOS!$I3386,nEVAL,"EX")=0),0))))</f>
      </c>
      <c r="H3386">
        <f>IF(DATOS!$G3386&lt;&gt;"EX",0,--(COUNTIFS(nNIA,DATOS!$A3386,nCURSO,DATOS!$D3386,nESPEC,DATOS!$E3386,nASIG,DATOS!$I3386,nEVAL,"OR")=0))</f>
      </c>
      <c r="I3386">
        <f>IF(DATOS!$I3386="","",IFERROR(VLOOKUP(DATOS!$I3386,CONFIG_ASIGNATURAS!$B$2:$J$91,9,FALSE()),""))</f>
      </c>
    </row>
    <row r="3387">
      <c r="F3387">
        <f>IF(DATOS!$A3387="","",DATOS!$A3387&amp;"|"&amp;DATOS!$D3387&amp;"|"&amp;DATOS!$E3387&amp;"|"&amp;DATOS!$I3387)</f>
      </c>
      <c r="G3387">
        <f>IF(DATOS!$A3387="",0,IF(CONFIG_METADATA!$B$4&lt;&gt;"OR+EX",--(DATOS!$G3387=CONFIG_METADATA!$B$4),IF(DATOS!$G3387="EX",1,IF(DATOS!$G3387="OR",--(COUNTIFS(nNIA,DATOS!$A3387,nCURSO,DATOS!$D3387,nESPEC,DATOS!$E3387,nASIG,DATOS!$I3387,nEVAL,"EX")=0),0))))</f>
      </c>
      <c r="H3387">
        <f>IF(DATOS!$G3387&lt;&gt;"EX",0,--(COUNTIFS(nNIA,DATOS!$A3387,nCURSO,DATOS!$D3387,nESPEC,DATOS!$E3387,nASIG,DATOS!$I3387,nEVAL,"OR")=0))</f>
      </c>
      <c r="I3387">
        <f>IF(DATOS!$I3387="","",IFERROR(VLOOKUP(DATOS!$I3387,CONFIG_ASIGNATURAS!$B$2:$J$91,9,FALSE()),""))</f>
      </c>
    </row>
    <row r="3388">
      <c r="F3388">
        <f>IF(DATOS!$A3388="","",DATOS!$A3388&amp;"|"&amp;DATOS!$D3388&amp;"|"&amp;DATOS!$E3388&amp;"|"&amp;DATOS!$I3388)</f>
      </c>
      <c r="G3388">
        <f>IF(DATOS!$A3388="",0,IF(CONFIG_METADATA!$B$4&lt;&gt;"OR+EX",--(DATOS!$G3388=CONFIG_METADATA!$B$4),IF(DATOS!$G3388="EX",1,IF(DATOS!$G3388="OR",--(COUNTIFS(nNIA,DATOS!$A3388,nCURSO,DATOS!$D3388,nESPEC,DATOS!$E3388,nASIG,DATOS!$I3388,nEVAL,"EX")=0),0))))</f>
      </c>
      <c r="H3388">
        <f>IF(DATOS!$G3388&lt;&gt;"EX",0,--(COUNTIFS(nNIA,DATOS!$A3388,nCURSO,DATOS!$D3388,nESPEC,DATOS!$E3388,nASIG,DATOS!$I3388,nEVAL,"OR")=0))</f>
      </c>
      <c r="I3388">
        <f>IF(DATOS!$I3388="","",IFERROR(VLOOKUP(DATOS!$I3388,CONFIG_ASIGNATURAS!$B$2:$J$91,9,FALSE()),""))</f>
      </c>
    </row>
    <row r="3389">
      <c r="F3389">
        <f>IF(DATOS!$A3389="","",DATOS!$A3389&amp;"|"&amp;DATOS!$D3389&amp;"|"&amp;DATOS!$E3389&amp;"|"&amp;DATOS!$I3389)</f>
      </c>
      <c r="G3389">
        <f>IF(DATOS!$A3389="",0,IF(CONFIG_METADATA!$B$4&lt;&gt;"OR+EX",--(DATOS!$G3389=CONFIG_METADATA!$B$4),IF(DATOS!$G3389="EX",1,IF(DATOS!$G3389="OR",--(COUNTIFS(nNIA,DATOS!$A3389,nCURSO,DATOS!$D3389,nESPEC,DATOS!$E3389,nASIG,DATOS!$I3389,nEVAL,"EX")=0),0))))</f>
      </c>
      <c r="H3389">
        <f>IF(DATOS!$G3389&lt;&gt;"EX",0,--(COUNTIFS(nNIA,DATOS!$A3389,nCURSO,DATOS!$D3389,nESPEC,DATOS!$E3389,nASIG,DATOS!$I3389,nEVAL,"OR")=0))</f>
      </c>
      <c r="I3389">
        <f>IF(DATOS!$I3389="","",IFERROR(VLOOKUP(DATOS!$I3389,CONFIG_ASIGNATURAS!$B$2:$J$91,9,FALSE()),""))</f>
      </c>
    </row>
    <row r="3390">
      <c r="F3390">
        <f>IF(DATOS!$A3390="","",DATOS!$A3390&amp;"|"&amp;DATOS!$D3390&amp;"|"&amp;DATOS!$E3390&amp;"|"&amp;DATOS!$I3390)</f>
      </c>
      <c r="G3390">
        <f>IF(DATOS!$A3390="",0,IF(CONFIG_METADATA!$B$4&lt;&gt;"OR+EX",--(DATOS!$G3390=CONFIG_METADATA!$B$4),IF(DATOS!$G3390="EX",1,IF(DATOS!$G3390="OR",--(COUNTIFS(nNIA,DATOS!$A3390,nCURSO,DATOS!$D3390,nESPEC,DATOS!$E3390,nASIG,DATOS!$I3390,nEVAL,"EX")=0),0))))</f>
      </c>
      <c r="H3390">
        <f>IF(DATOS!$G3390&lt;&gt;"EX",0,--(COUNTIFS(nNIA,DATOS!$A3390,nCURSO,DATOS!$D3390,nESPEC,DATOS!$E3390,nASIG,DATOS!$I3390,nEVAL,"OR")=0))</f>
      </c>
      <c r="I3390">
        <f>IF(DATOS!$I3390="","",IFERROR(VLOOKUP(DATOS!$I3390,CONFIG_ASIGNATURAS!$B$2:$J$91,9,FALSE()),""))</f>
      </c>
    </row>
    <row r="3391">
      <c r="F3391">
        <f>IF(DATOS!$A3391="","",DATOS!$A3391&amp;"|"&amp;DATOS!$D3391&amp;"|"&amp;DATOS!$E3391&amp;"|"&amp;DATOS!$I3391)</f>
      </c>
      <c r="G3391">
        <f>IF(DATOS!$A3391="",0,IF(CONFIG_METADATA!$B$4&lt;&gt;"OR+EX",--(DATOS!$G3391=CONFIG_METADATA!$B$4),IF(DATOS!$G3391="EX",1,IF(DATOS!$G3391="OR",--(COUNTIFS(nNIA,DATOS!$A3391,nCURSO,DATOS!$D3391,nESPEC,DATOS!$E3391,nASIG,DATOS!$I3391,nEVAL,"EX")=0),0))))</f>
      </c>
      <c r="H3391">
        <f>IF(DATOS!$G3391&lt;&gt;"EX",0,--(COUNTIFS(nNIA,DATOS!$A3391,nCURSO,DATOS!$D3391,nESPEC,DATOS!$E3391,nASIG,DATOS!$I3391,nEVAL,"OR")=0))</f>
      </c>
      <c r="I3391">
        <f>IF(DATOS!$I3391="","",IFERROR(VLOOKUP(DATOS!$I3391,CONFIG_ASIGNATURAS!$B$2:$J$91,9,FALSE()),""))</f>
      </c>
    </row>
    <row r="3392">
      <c r="F3392">
        <f>IF(DATOS!$A3392="","",DATOS!$A3392&amp;"|"&amp;DATOS!$D3392&amp;"|"&amp;DATOS!$E3392&amp;"|"&amp;DATOS!$I3392)</f>
      </c>
      <c r="G3392">
        <f>IF(DATOS!$A3392="",0,IF(CONFIG_METADATA!$B$4&lt;&gt;"OR+EX",--(DATOS!$G3392=CONFIG_METADATA!$B$4),IF(DATOS!$G3392="EX",1,IF(DATOS!$G3392="OR",--(COUNTIFS(nNIA,DATOS!$A3392,nCURSO,DATOS!$D3392,nESPEC,DATOS!$E3392,nASIG,DATOS!$I3392,nEVAL,"EX")=0),0))))</f>
      </c>
      <c r="H3392">
        <f>IF(DATOS!$G3392&lt;&gt;"EX",0,--(COUNTIFS(nNIA,DATOS!$A3392,nCURSO,DATOS!$D3392,nESPEC,DATOS!$E3392,nASIG,DATOS!$I3392,nEVAL,"OR")=0))</f>
      </c>
      <c r="I3392">
        <f>IF(DATOS!$I3392="","",IFERROR(VLOOKUP(DATOS!$I3392,CONFIG_ASIGNATURAS!$B$2:$J$91,9,FALSE()),""))</f>
      </c>
    </row>
    <row r="3393">
      <c r="F3393">
        <f>IF(DATOS!$A3393="","",DATOS!$A3393&amp;"|"&amp;DATOS!$D3393&amp;"|"&amp;DATOS!$E3393&amp;"|"&amp;DATOS!$I3393)</f>
      </c>
      <c r="G3393">
        <f>IF(DATOS!$A3393="",0,IF(CONFIG_METADATA!$B$4&lt;&gt;"OR+EX",--(DATOS!$G3393=CONFIG_METADATA!$B$4),IF(DATOS!$G3393="EX",1,IF(DATOS!$G3393="OR",--(COUNTIFS(nNIA,DATOS!$A3393,nCURSO,DATOS!$D3393,nESPEC,DATOS!$E3393,nASIG,DATOS!$I3393,nEVAL,"EX")=0),0))))</f>
      </c>
      <c r="H3393">
        <f>IF(DATOS!$G3393&lt;&gt;"EX",0,--(COUNTIFS(nNIA,DATOS!$A3393,nCURSO,DATOS!$D3393,nESPEC,DATOS!$E3393,nASIG,DATOS!$I3393,nEVAL,"OR")=0))</f>
      </c>
      <c r="I3393">
        <f>IF(DATOS!$I3393="","",IFERROR(VLOOKUP(DATOS!$I3393,CONFIG_ASIGNATURAS!$B$2:$J$91,9,FALSE()),""))</f>
      </c>
    </row>
    <row r="3394">
      <c r="F3394">
        <f>IF(DATOS!$A3394="","",DATOS!$A3394&amp;"|"&amp;DATOS!$D3394&amp;"|"&amp;DATOS!$E3394&amp;"|"&amp;DATOS!$I3394)</f>
      </c>
      <c r="G3394">
        <f>IF(DATOS!$A3394="",0,IF(CONFIG_METADATA!$B$4&lt;&gt;"OR+EX",--(DATOS!$G3394=CONFIG_METADATA!$B$4),IF(DATOS!$G3394="EX",1,IF(DATOS!$G3394="OR",--(COUNTIFS(nNIA,DATOS!$A3394,nCURSO,DATOS!$D3394,nESPEC,DATOS!$E3394,nASIG,DATOS!$I3394,nEVAL,"EX")=0),0))))</f>
      </c>
      <c r="H3394">
        <f>IF(DATOS!$G3394&lt;&gt;"EX",0,--(COUNTIFS(nNIA,DATOS!$A3394,nCURSO,DATOS!$D3394,nESPEC,DATOS!$E3394,nASIG,DATOS!$I3394,nEVAL,"OR")=0))</f>
      </c>
      <c r="I3394">
        <f>IF(DATOS!$I3394="","",IFERROR(VLOOKUP(DATOS!$I3394,CONFIG_ASIGNATURAS!$B$2:$J$91,9,FALSE()),""))</f>
      </c>
    </row>
    <row r="3395">
      <c r="F3395">
        <f>IF(DATOS!$A3395="","",DATOS!$A3395&amp;"|"&amp;DATOS!$D3395&amp;"|"&amp;DATOS!$E3395&amp;"|"&amp;DATOS!$I3395)</f>
      </c>
      <c r="G3395">
        <f>IF(DATOS!$A3395="",0,IF(CONFIG_METADATA!$B$4&lt;&gt;"OR+EX",--(DATOS!$G3395=CONFIG_METADATA!$B$4),IF(DATOS!$G3395="EX",1,IF(DATOS!$G3395="OR",--(COUNTIFS(nNIA,DATOS!$A3395,nCURSO,DATOS!$D3395,nESPEC,DATOS!$E3395,nASIG,DATOS!$I3395,nEVAL,"EX")=0),0))))</f>
      </c>
      <c r="H3395">
        <f>IF(DATOS!$G3395&lt;&gt;"EX",0,--(COUNTIFS(nNIA,DATOS!$A3395,nCURSO,DATOS!$D3395,nESPEC,DATOS!$E3395,nASIG,DATOS!$I3395,nEVAL,"OR")=0))</f>
      </c>
      <c r="I3395">
        <f>IF(DATOS!$I3395="","",IFERROR(VLOOKUP(DATOS!$I3395,CONFIG_ASIGNATURAS!$B$2:$J$91,9,FALSE()),""))</f>
      </c>
    </row>
    <row r="3396">
      <c r="F3396">
        <f>IF(DATOS!$A3396="","",DATOS!$A3396&amp;"|"&amp;DATOS!$D3396&amp;"|"&amp;DATOS!$E3396&amp;"|"&amp;DATOS!$I3396)</f>
      </c>
      <c r="G3396">
        <f>IF(DATOS!$A3396="",0,IF(CONFIG_METADATA!$B$4&lt;&gt;"OR+EX",--(DATOS!$G3396=CONFIG_METADATA!$B$4),IF(DATOS!$G3396="EX",1,IF(DATOS!$G3396="OR",--(COUNTIFS(nNIA,DATOS!$A3396,nCURSO,DATOS!$D3396,nESPEC,DATOS!$E3396,nASIG,DATOS!$I3396,nEVAL,"EX")=0),0))))</f>
      </c>
      <c r="H3396">
        <f>IF(DATOS!$G3396&lt;&gt;"EX",0,--(COUNTIFS(nNIA,DATOS!$A3396,nCURSO,DATOS!$D3396,nESPEC,DATOS!$E3396,nASIG,DATOS!$I3396,nEVAL,"OR")=0))</f>
      </c>
      <c r="I3396">
        <f>IF(DATOS!$I3396="","",IFERROR(VLOOKUP(DATOS!$I3396,CONFIG_ASIGNATURAS!$B$2:$J$91,9,FALSE()),""))</f>
      </c>
    </row>
    <row r="3397">
      <c r="F3397">
        <f>IF(DATOS!$A3397="","",DATOS!$A3397&amp;"|"&amp;DATOS!$D3397&amp;"|"&amp;DATOS!$E3397&amp;"|"&amp;DATOS!$I3397)</f>
      </c>
      <c r="G3397">
        <f>IF(DATOS!$A3397="",0,IF(CONFIG_METADATA!$B$4&lt;&gt;"OR+EX",--(DATOS!$G3397=CONFIG_METADATA!$B$4),IF(DATOS!$G3397="EX",1,IF(DATOS!$G3397="OR",--(COUNTIFS(nNIA,DATOS!$A3397,nCURSO,DATOS!$D3397,nESPEC,DATOS!$E3397,nASIG,DATOS!$I3397,nEVAL,"EX")=0),0))))</f>
      </c>
      <c r="H3397">
        <f>IF(DATOS!$G3397&lt;&gt;"EX",0,--(COUNTIFS(nNIA,DATOS!$A3397,nCURSO,DATOS!$D3397,nESPEC,DATOS!$E3397,nASIG,DATOS!$I3397,nEVAL,"OR")=0))</f>
      </c>
      <c r="I3397">
        <f>IF(DATOS!$I3397="","",IFERROR(VLOOKUP(DATOS!$I3397,CONFIG_ASIGNATURAS!$B$2:$J$91,9,FALSE()),""))</f>
      </c>
    </row>
    <row r="3398">
      <c r="F3398">
        <f>IF(DATOS!$A3398="","",DATOS!$A3398&amp;"|"&amp;DATOS!$D3398&amp;"|"&amp;DATOS!$E3398&amp;"|"&amp;DATOS!$I3398)</f>
      </c>
      <c r="G3398">
        <f>IF(DATOS!$A3398="",0,IF(CONFIG_METADATA!$B$4&lt;&gt;"OR+EX",--(DATOS!$G3398=CONFIG_METADATA!$B$4),IF(DATOS!$G3398="EX",1,IF(DATOS!$G3398="OR",--(COUNTIFS(nNIA,DATOS!$A3398,nCURSO,DATOS!$D3398,nESPEC,DATOS!$E3398,nASIG,DATOS!$I3398,nEVAL,"EX")=0),0))))</f>
      </c>
      <c r="H3398">
        <f>IF(DATOS!$G3398&lt;&gt;"EX",0,--(COUNTIFS(nNIA,DATOS!$A3398,nCURSO,DATOS!$D3398,nESPEC,DATOS!$E3398,nASIG,DATOS!$I3398,nEVAL,"OR")=0))</f>
      </c>
      <c r="I3398">
        <f>IF(DATOS!$I3398="","",IFERROR(VLOOKUP(DATOS!$I3398,CONFIG_ASIGNATURAS!$B$2:$J$91,9,FALSE()),""))</f>
      </c>
    </row>
    <row r="3399">
      <c r="F3399">
        <f>IF(DATOS!$A3399="","",DATOS!$A3399&amp;"|"&amp;DATOS!$D3399&amp;"|"&amp;DATOS!$E3399&amp;"|"&amp;DATOS!$I3399)</f>
      </c>
      <c r="G3399">
        <f>IF(DATOS!$A3399="",0,IF(CONFIG_METADATA!$B$4&lt;&gt;"OR+EX",--(DATOS!$G3399=CONFIG_METADATA!$B$4),IF(DATOS!$G3399="EX",1,IF(DATOS!$G3399="OR",--(COUNTIFS(nNIA,DATOS!$A3399,nCURSO,DATOS!$D3399,nESPEC,DATOS!$E3399,nASIG,DATOS!$I3399,nEVAL,"EX")=0),0))))</f>
      </c>
      <c r="H3399">
        <f>IF(DATOS!$G3399&lt;&gt;"EX",0,--(COUNTIFS(nNIA,DATOS!$A3399,nCURSO,DATOS!$D3399,nESPEC,DATOS!$E3399,nASIG,DATOS!$I3399,nEVAL,"OR")=0))</f>
      </c>
      <c r="I3399">
        <f>IF(DATOS!$I3399="","",IFERROR(VLOOKUP(DATOS!$I3399,CONFIG_ASIGNATURAS!$B$2:$J$91,9,FALSE()),""))</f>
      </c>
    </row>
    <row r="3400">
      <c r="F3400">
        <f>IF(DATOS!$A3400="","",DATOS!$A3400&amp;"|"&amp;DATOS!$D3400&amp;"|"&amp;DATOS!$E3400&amp;"|"&amp;DATOS!$I3400)</f>
      </c>
      <c r="G3400">
        <f>IF(DATOS!$A3400="",0,IF(CONFIG_METADATA!$B$4&lt;&gt;"OR+EX",--(DATOS!$G3400=CONFIG_METADATA!$B$4),IF(DATOS!$G3400="EX",1,IF(DATOS!$G3400="OR",--(COUNTIFS(nNIA,DATOS!$A3400,nCURSO,DATOS!$D3400,nESPEC,DATOS!$E3400,nASIG,DATOS!$I3400,nEVAL,"EX")=0),0))))</f>
      </c>
      <c r="H3400">
        <f>IF(DATOS!$G3400&lt;&gt;"EX",0,--(COUNTIFS(nNIA,DATOS!$A3400,nCURSO,DATOS!$D3400,nESPEC,DATOS!$E3400,nASIG,DATOS!$I3400,nEVAL,"OR")=0))</f>
      </c>
      <c r="I3400">
        <f>IF(DATOS!$I3400="","",IFERROR(VLOOKUP(DATOS!$I3400,CONFIG_ASIGNATURAS!$B$2:$J$91,9,FALSE()),""))</f>
      </c>
    </row>
    <row r="3401">
      <c r="F3401">
        <f>IF(DATOS!$A3401="","",DATOS!$A3401&amp;"|"&amp;DATOS!$D3401&amp;"|"&amp;DATOS!$E3401&amp;"|"&amp;DATOS!$I3401)</f>
      </c>
      <c r="G3401">
        <f>IF(DATOS!$A3401="",0,IF(CONFIG_METADATA!$B$4&lt;&gt;"OR+EX",--(DATOS!$G3401=CONFIG_METADATA!$B$4),IF(DATOS!$G3401="EX",1,IF(DATOS!$G3401="OR",--(COUNTIFS(nNIA,DATOS!$A3401,nCURSO,DATOS!$D3401,nESPEC,DATOS!$E3401,nASIG,DATOS!$I3401,nEVAL,"EX")=0),0))))</f>
      </c>
      <c r="H3401">
        <f>IF(DATOS!$G3401&lt;&gt;"EX",0,--(COUNTIFS(nNIA,DATOS!$A3401,nCURSO,DATOS!$D3401,nESPEC,DATOS!$E3401,nASIG,DATOS!$I3401,nEVAL,"OR")=0))</f>
      </c>
      <c r="I3401">
        <f>IF(DATOS!$I3401="","",IFERROR(VLOOKUP(DATOS!$I3401,CONFIG_ASIGNATURAS!$B$2:$J$91,9,FALSE()),""))</f>
      </c>
    </row>
    <row r="3402">
      <c r="F3402">
        <f>IF(DATOS!$A3402="","",DATOS!$A3402&amp;"|"&amp;DATOS!$D3402&amp;"|"&amp;DATOS!$E3402&amp;"|"&amp;DATOS!$I3402)</f>
      </c>
      <c r="G3402">
        <f>IF(DATOS!$A3402="",0,IF(CONFIG_METADATA!$B$4&lt;&gt;"OR+EX",--(DATOS!$G3402=CONFIG_METADATA!$B$4),IF(DATOS!$G3402="EX",1,IF(DATOS!$G3402="OR",--(COUNTIFS(nNIA,DATOS!$A3402,nCURSO,DATOS!$D3402,nESPEC,DATOS!$E3402,nASIG,DATOS!$I3402,nEVAL,"EX")=0),0))))</f>
      </c>
      <c r="H3402">
        <f>IF(DATOS!$G3402&lt;&gt;"EX",0,--(COUNTIFS(nNIA,DATOS!$A3402,nCURSO,DATOS!$D3402,nESPEC,DATOS!$E3402,nASIG,DATOS!$I3402,nEVAL,"OR")=0))</f>
      </c>
      <c r="I3402">
        <f>IF(DATOS!$I3402="","",IFERROR(VLOOKUP(DATOS!$I3402,CONFIG_ASIGNATURAS!$B$2:$J$91,9,FALSE()),""))</f>
      </c>
    </row>
    <row r="3403">
      <c r="F3403">
        <f>IF(DATOS!$A3403="","",DATOS!$A3403&amp;"|"&amp;DATOS!$D3403&amp;"|"&amp;DATOS!$E3403&amp;"|"&amp;DATOS!$I3403)</f>
      </c>
      <c r="G3403">
        <f>IF(DATOS!$A3403="",0,IF(CONFIG_METADATA!$B$4&lt;&gt;"OR+EX",--(DATOS!$G3403=CONFIG_METADATA!$B$4),IF(DATOS!$G3403="EX",1,IF(DATOS!$G3403="OR",--(COUNTIFS(nNIA,DATOS!$A3403,nCURSO,DATOS!$D3403,nESPEC,DATOS!$E3403,nASIG,DATOS!$I3403,nEVAL,"EX")=0),0))))</f>
      </c>
      <c r="H3403">
        <f>IF(DATOS!$G3403&lt;&gt;"EX",0,--(COUNTIFS(nNIA,DATOS!$A3403,nCURSO,DATOS!$D3403,nESPEC,DATOS!$E3403,nASIG,DATOS!$I3403,nEVAL,"OR")=0))</f>
      </c>
      <c r="I3403">
        <f>IF(DATOS!$I3403="","",IFERROR(VLOOKUP(DATOS!$I3403,CONFIG_ASIGNATURAS!$B$2:$J$91,9,FALSE()),""))</f>
      </c>
    </row>
    <row r="3404">
      <c r="F3404">
        <f>IF(DATOS!$A3404="","",DATOS!$A3404&amp;"|"&amp;DATOS!$D3404&amp;"|"&amp;DATOS!$E3404&amp;"|"&amp;DATOS!$I3404)</f>
      </c>
      <c r="G3404">
        <f>IF(DATOS!$A3404="",0,IF(CONFIG_METADATA!$B$4&lt;&gt;"OR+EX",--(DATOS!$G3404=CONFIG_METADATA!$B$4),IF(DATOS!$G3404="EX",1,IF(DATOS!$G3404="OR",--(COUNTIFS(nNIA,DATOS!$A3404,nCURSO,DATOS!$D3404,nESPEC,DATOS!$E3404,nASIG,DATOS!$I3404,nEVAL,"EX")=0),0))))</f>
      </c>
      <c r="H3404">
        <f>IF(DATOS!$G3404&lt;&gt;"EX",0,--(COUNTIFS(nNIA,DATOS!$A3404,nCURSO,DATOS!$D3404,nESPEC,DATOS!$E3404,nASIG,DATOS!$I3404,nEVAL,"OR")=0))</f>
      </c>
      <c r="I3404">
        <f>IF(DATOS!$I3404="","",IFERROR(VLOOKUP(DATOS!$I3404,CONFIG_ASIGNATURAS!$B$2:$J$91,9,FALSE()),""))</f>
      </c>
    </row>
    <row r="3405">
      <c r="F3405">
        <f>IF(DATOS!$A3405="","",DATOS!$A3405&amp;"|"&amp;DATOS!$D3405&amp;"|"&amp;DATOS!$E3405&amp;"|"&amp;DATOS!$I3405)</f>
      </c>
      <c r="G3405">
        <f>IF(DATOS!$A3405="",0,IF(CONFIG_METADATA!$B$4&lt;&gt;"OR+EX",--(DATOS!$G3405=CONFIG_METADATA!$B$4),IF(DATOS!$G3405="EX",1,IF(DATOS!$G3405="OR",--(COUNTIFS(nNIA,DATOS!$A3405,nCURSO,DATOS!$D3405,nESPEC,DATOS!$E3405,nASIG,DATOS!$I3405,nEVAL,"EX")=0),0))))</f>
      </c>
      <c r="H3405">
        <f>IF(DATOS!$G3405&lt;&gt;"EX",0,--(COUNTIFS(nNIA,DATOS!$A3405,nCURSO,DATOS!$D3405,nESPEC,DATOS!$E3405,nASIG,DATOS!$I3405,nEVAL,"OR")=0))</f>
      </c>
      <c r="I3405">
        <f>IF(DATOS!$I3405="","",IFERROR(VLOOKUP(DATOS!$I3405,CONFIG_ASIGNATURAS!$B$2:$J$91,9,FALSE()),""))</f>
      </c>
    </row>
    <row r="3406">
      <c r="F3406">
        <f>IF(DATOS!$A3406="","",DATOS!$A3406&amp;"|"&amp;DATOS!$D3406&amp;"|"&amp;DATOS!$E3406&amp;"|"&amp;DATOS!$I3406)</f>
      </c>
      <c r="G3406">
        <f>IF(DATOS!$A3406="",0,IF(CONFIG_METADATA!$B$4&lt;&gt;"OR+EX",--(DATOS!$G3406=CONFIG_METADATA!$B$4),IF(DATOS!$G3406="EX",1,IF(DATOS!$G3406="OR",--(COUNTIFS(nNIA,DATOS!$A3406,nCURSO,DATOS!$D3406,nESPEC,DATOS!$E3406,nASIG,DATOS!$I3406,nEVAL,"EX")=0),0))))</f>
      </c>
      <c r="H3406">
        <f>IF(DATOS!$G3406&lt;&gt;"EX",0,--(COUNTIFS(nNIA,DATOS!$A3406,nCURSO,DATOS!$D3406,nESPEC,DATOS!$E3406,nASIG,DATOS!$I3406,nEVAL,"OR")=0))</f>
      </c>
      <c r="I3406">
        <f>IF(DATOS!$I3406="","",IFERROR(VLOOKUP(DATOS!$I3406,CONFIG_ASIGNATURAS!$B$2:$J$91,9,FALSE()),""))</f>
      </c>
    </row>
    <row r="3407">
      <c r="F3407">
        <f>IF(DATOS!$A3407="","",DATOS!$A3407&amp;"|"&amp;DATOS!$D3407&amp;"|"&amp;DATOS!$E3407&amp;"|"&amp;DATOS!$I3407)</f>
      </c>
      <c r="G3407">
        <f>IF(DATOS!$A3407="",0,IF(CONFIG_METADATA!$B$4&lt;&gt;"OR+EX",--(DATOS!$G3407=CONFIG_METADATA!$B$4),IF(DATOS!$G3407="EX",1,IF(DATOS!$G3407="OR",--(COUNTIFS(nNIA,DATOS!$A3407,nCURSO,DATOS!$D3407,nESPEC,DATOS!$E3407,nASIG,DATOS!$I3407,nEVAL,"EX")=0),0))))</f>
      </c>
      <c r="H3407">
        <f>IF(DATOS!$G3407&lt;&gt;"EX",0,--(COUNTIFS(nNIA,DATOS!$A3407,nCURSO,DATOS!$D3407,nESPEC,DATOS!$E3407,nASIG,DATOS!$I3407,nEVAL,"OR")=0))</f>
      </c>
      <c r="I3407">
        <f>IF(DATOS!$I3407="","",IFERROR(VLOOKUP(DATOS!$I3407,CONFIG_ASIGNATURAS!$B$2:$J$91,9,FALSE()),""))</f>
      </c>
    </row>
    <row r="3408">
      <c r="F3408">
        <f>IF(DATOS!$A3408="","",DATOS!$A3408&amp;"|"&amp;DATOS!$D3408&amp;"|"&amp;DATOS!$E3408&amp;"|"&amp;DATOS!$I3408)</f>
      </c>
      <c r="G3408">
        <f>IF(DATOS!$A3408="",0,IF(CONFIG_METADATA!$B$4&lt;&gt;"OR+EX",--(DATOS!$G3408=CONFIG_METADATA!$B$4),IF(DATOS!$G3408="EX",1,IF(DATOS!$G3408="OR",--(COUNTIFS(nNIA,DATOS!$A3408,nCURSO,DATOS!$D3408,nESPEC,DATOS!$E3408,nASIG,DATOS!$I3408,nEVAL,"EX")=0),0))))</f>
      </c>
      <c r="H3408">
        <f>IF(DATOS!$G3408&lt;&gt;"EX",0,--(COUNTIFS(nNIA,DATOS!$A3408,nCURSO,DATOS!$D3408,nESPEC,DATOS!$E3408,nASIG,DATOS!$I3408,nEVAL,"OR")=0))</f>
      </c>
      <c r="I3408">
        <f>IF(DATOS!$I3408="","",IFERROR(VLOOKUP(DATOS!$I3408,CONFIG_ASIGNATURAS!$B$2:$J$91,9,FALSE()),""))</f>
      </c>
    </row>
    <row r="3409">
      <c r="F3409">
        <f>IF(DATOS!$A3409="","",DATOS!$A3409&amp;"|"&amp;DATOS!$D3409&amp;"|"&amp;DATOS!$E3409&amp;"|"&amp;DATOS!$I3409)</f>
      </c>
      <c r="G3409">
        <f>IF(DATOS!$A3409="",0,IF(CONFIG_METADATA!$B$4&lt;&gt;"OR+EX",--(DATOS!$G3409=CONFIG_METADATA!$B$4),IF(DATOS!$G3409="EX",1,IF(DATOS!$G3409="OR",--(COUNTIFS(nNIA,DATOS!$A3409,nCURSO,DATOS!$D3409,nESPEC,DATOS!$E3409,nASIG,DATOS!$I3409,nEVAL,"EX")=0),0))))</f>
      </c>
      <c r="H3409">
        <f>IF(DATOS!$G3409&lt;&gt;"EX",0,--(COUNTIFS(nNIA,DATOS!$A3409,nCURSO,DATOS!$D3409,nESPEC,DATOS!$E3409,nASIG,DATOS!$I3409,nEVAL,"OR")=0))</f>
      </c>
      <c r="I3409">
        <f>IF(DATOS!$I3409="","",IFERROR(VLOOKUP(DATOS!$I3409,CONFIG_ASIGNATURAS!$B$2:$J$91,9,FALSE()),""))</f>
      </c>
    </row>
    <row r="3410">
      <c r="F3410">
        <f>IF(DATOS!$A3410="","",DATOS!$A3410&amp;"|"&amp;DATOS!$D3410&amp;"|"&amp;DATOS!$E3410&amp;"|"&amp;DATOS!$I3410)</f>
      </c>
      <c r="G3410">
        <f>IF(DATOS!$A3410="",0,IF(CONFIG_METADATA!$B$4&lt;&gt;"OR+EX",--(DATOS!$G3410=CONFIG_METADATA!$B$4),IF(DATOS!$G3410="EX",1,IF(DATOS!$G3410="OR",--(COUNTIFS(nNIA,DATOS!$A3410,nCURSO,DATOS!$D3410,nESPEC,DATOS!$E3410,nASIG,DATOS!$I3410,nEVAL,"EX")=0),0))))</f>
      </c>
      <c r="H3410">
        <f>IF(DATOS!$G3410&lt;&gt;"EX",0,--(COUNTIFS(nNIA,DATOS!$A3410,nCURSO,DATOS!$D3410,nESPEC,DATOS!$E3410,nASIG,DATOS!$I3410,nEVAL,"OR")=0))</f>
      </c>
      <c r="I3410">
        <f>IF(DATOS!$I3410="","",IFERROR(VLOOKUP(DATOS!$I3410,CONFIG_ASIGNATURAS!$B$2:$J$91,9,FALSE()),""))</f>
      </c>
    </row>
    <row r="3411">
      <c r="F3411">
        <f>IF(DATOS!$A3411="","",DATOS!$A3411&amp;"|"&amp;DATOS!$D3411&amp;"|"&amp;DATOS!$E3411&amp;"|"&amp;DATOS!$I3411)</f>
      </c>
      <c r="G3411">
        <f>IF(DATOS!$A3411="",0,IF(CONFIG_METADATA!$B$4&lt;&gt;"OR+EX",--(DATOS!$G3411=CONFIG_METADATA!$B$4),IF(DATOS!$G3411="EX",1,IF(DATOS!$G3411="OR",--(COUNTIFS(nNIA,DATOS!$A3411,nCURSO,DATOS!$D3411,nESPEC,DATOS!$E3411,nASIG,DATOS!$I3411,nEVAL,"EX")=0),0))))</f>
      </c>
      <c r="H3411">
        <f>IF(DATOS!$G3411&lt;&gt;"EX",0,--(COUNTIFS(nNIA,DATOS!$A3411,nCURSO,DATOS!$D3411,nESPEC,DATOS!$E3411,nASIG,DATOS!$I3411,nEVAL,"OR")=0))</f>
      </c>
      <c r="I3411">
        <f>IF(DATOS!$I3411="","",IFERROR(VLOOKUP(DATOS!$I3411,CONFIG_ASIGNATURAS!$B$2:$J$91,9,FALSE()),""))</f>
      </c>
    </row>
    <row r="3412">
      <c r="F3412">
        <f>IF(DATOS!$A3412="","",DATOS!$A3412&amp;"|"&amp;DATOS!$D3412&amp;"|"&amp;DATOS!$E3412&amp;"|"&amp;DATOS!$I3412)</f>
      </c>
      <c r="G3412">
        <f>IF(DATOS!$A3412="",0,IF(CONFIG_METADATA!$B$4&lt;&gt;"OR+EX",--(DATOS!$G3412=CONFIG_METADATA!$B$4),IF(DATOS!$G3412="EX",1,IF(DATOS!$G3412="OR",--(COUNTIFS(nNIA,DATOS!$A3412,nCURSO,DATOS!$D3412,nESPEC,DATOS!$E3412,nASIG,DATOS!$I3412,nEVAL,"EX")=0),0))))</f>
      </c>
      <c r="H3412">
        <f>IF(DATOS!$G3412&lt;&gt;"EX",0,--(COUNTIFS(nNIA,DATOS!$A3412,nCURSO,DATOS!$D3412,nESPEC,DATOS!$E3412,nASIG,DATOS!$I3412,nEVAL,"OR")=0))</f>
      </c>
      <c r="I3412">
        <f>IF(DATOS!$I3412="","",IFERROR(VLOOKUP(DATOS!$I3412,CONFIG_ASIGNATURAS!$B$2:$J$91,9,FALSE()),""))</f>
      </c>
    </row>
    <row r="3413">
      <c r="F3413">
        <f>IF(DATOS!$A3413="","",DATOS!$A3413&amp;"|"&amp;DATOS!$D3413&amp;"|"&amp;DATOS!$E3413&amp;"|"&amp;DATOS!$I3413)</f>
      </c>
      <c r="G3413">
        <f>IF(DATOS!$A3413="",0,IF(CONFIG_METADATA!$B$4&lt;&gt;"OR+EX",--(DATOS!$G3413=CONFIG_METADATA!$B$4),IF(DATOS!$G3413="EX",1,IF(DATOS!$G3413="OR",--(COUNTIFS(nNIA,DATOS!$A3413,nCURSO,DATOS!$D3413,nESPEC,DATOS!$E3413,nASIG,DATOS!$I3413,nEVAL,"EX")=0),0))))</f>
      </c>
      <c r="H3413">
        <f>IF(DATOS!$G3413&lt;&gt;"EX",0,--(COUNTIFS(nNIA,DATOS!$A3413,nCURSO,DATOS!$D3413,nESPEC,DATOS!$E3413,nASIG,DATOS!$I3413,nEVAL,"OR")=0))</f>
      </c>
      <c r="I3413">
        <f>IF(DATOS!$I3413="","",IFERROR(VLOOKUP(DATOS!$I3413,CONFIG_ASIGNATURAS!$B$2:$J$91,9,FALSE()),""))</f>
      </c>
    </row>
    <row r="3414">
      <c r="F3414">
        <f>IF(DATOS!$A3414="","",DATOS!$A3414&amp;"|"&amp;DATOS!$D3414&amp;"|"&amp;DATOS!$E3414&amp;"|"&amp;DATOS!$I3414)</f>
      </c>
      <c r="G3414">
        <f>IF(DATOS!$A3414="",0,IF(CONFIG_METADATA!$B$4&lt;&gt;"OR+EX",--(DATOS!$G3414=CONFIG_METADATA!$B$4),IF(DATOS!$G3414="EX",1,IF(DATOS!$G3414="OR",--(COUNTIFS(nNIA,DATOS!$A3414,nCURSO,DATOS!$D3414,nESPEC,DATOS!$E3414,nASIG,DATOS!$I3414,nEVAL,"EX")=0),0))))</f>
      </c>
      <c r="H3414">
        <f>IF(DATOS!$G3414&lt;&gt;"EX",0,--(COUNTIFS(nNIA,DATOS!$A3414,nCURSO,DATOS!$D3414,nESPEC,DATOS!$E3414,nASIG,DATOS!$I3414,nEVAL,"OR")=0))</f>
      </c>
      <c r="I3414">
        <f>IF(DATOS!$I3414="","",IFERROR(VLOOKUP(DATOS!$I3414,CONFIG_ASIGNATURAS!$B$2:$J$91,9,FALSE()),""))</f>
      </c>
    </row>
    <row r="3415">
      <c r="F3415">
        <f>IF(DATOS!$A3415="","",DATOS!$A3415&amp;"|"&amp;DATOS!$D3415&amp;"|"&amp;DATOS!$E3415&amp;"|"&amp;DATOS!$I3415)</f>
      </c>
      <c r="G3415">
        <f>IF(DATOS!$A3415="",0,IF(CONFIG_METADATA!$B$4&lt;&gt;"OR+EX",--(DATOS!$G3415=CONFIG_METADATA!$B$4),IF(DATOS!$G3415="EX",1,IF(DATOS!$G3415="OR",--(COUNTIFS(nNIA,DATOS!$A3415,nCURSO,DATOS!$D3415,nESPEC,DATOS!$E3415,nASIG,DATOS!$I3415,nEVAL,"EX")=0),0))))</f>
      </c>
      <c r="H3415">
        <f>IF(DATOS!$G3415&lt;&gt;"EX",0,--(COUNTIFS(nNIA,DATOS!$A3415,nCURSO,DATOS!$D3415,nESPEC,DATOS!$E3415,nASIG,DATOS!$I3415,nEVAL,"OR")=0))</f>
      </c>
      <c r="I3415">
        <f>IF(DATOS!$I3415="","",IFERROR(VLOOKUP(DATOS!$I3415,CONFIG_ASIGNATURAS!$B$2:$J$91,9,FALSE()),""))</f>
      </c>
    </row>
    <row r="3416">
      <c r="F3416">
        <f>IF(DATOS!$A3416="","",DATOS!$A3416&amp;"|"&amp;DATOS!$D3416&amp;"|"&amp;DATOS!$E3416&amp;"|"&amp;DATOS!$I3416)</f>
      </c>
      <c r="G3416">
        <f>IF(DATOS!$A3416="",0,IF(CONFIG_METADATA!$B$4&lt;&gt;"OR+EX",--(DATOS!$G3416=CONFIG_METADATA!$B$4),IF(DATOS!$G3416="EX",1,IF(DATOS!$G3416="OR",--(COUNTIFS(nNIA,DATOS!$A3416,nCURSO,DATOS!$D3416,nESPEC,DATOS!$E3416,nASIG,DATOS!$I3416,nEVAL,"EX")=0),0))))</f>
      </c>
      <c r="H3416">
        <f>IF(DATOS!$G3416&lt;&gt;"EX",0,--(COUNTIFS(nNIA,DATOS!$A3416,nCURSO,DATOS!$D3416,nESPEC,DATOS!$E3416,nASIG,DATOS!$I3416,nEVAL,"OR")=0))</f>
      </c>
      <c r="I3416">
        <f>IF(DATOS!$I3416="","",IFERROR(VLOOKUP(DATOS!$I3416,CONFIG_ASIGNATURAS!$B$2:$J$91,9,FALSE()),""))</f>
      </c>
    </row>
    <row r="3417">
      <c r="F3417">
        <f>IF(DATOS!$A3417="","",DATOS!$A3417&amp;"|"&amp;DATOS!$D3417&amp;"|"&amp;DATOS!$E3417&amp;"|"&amp;DATOS!$I3417)</f>
      </c>
      <c r="G3417">
        <f>IF(DATOS!$A3417="",0,IF(CONFIG_METADATA!$B$4&lt;&gt;"OR+EX",--(DATOS!$G3417=CONFIG_METADATA!$B$4),IF(DATOS!$G3417="EX",1,IF(DATOS!$G3417="OR",--(COUNTIFS(nNIA,DATOS!$A3417,nCURSO,DATOS!$D3417,nESPEC,DATOS!$E3417,nASIG,DATOS!$I3417,nEVAL,"EX")=0),0))))</f>
      </c>
      <c r="H3417">
        <f>IF(DATOS!$G3417&lt;&gt;"EX",0,--(COUNTIFS(nNIA,DATOS!$A3417,nCURSO,DATOS!$D3417,nESPEC,DATOS!$E3417,nASIG,DATOS!$I3417,nEVAL,"OR")=0))</f>
      </c>
      <c r="I3417">
        <f>IF(DATOS!$I3417="","",IFERROR(VLOOKUP(DATOS!$I3417,CONFIG_ASIGNATURAS!$B$2:$J$91,9,FALSE()),""))</f>
      </c>
    </row>
    <row r="3418">
      <c r="F3418">
        <f>IF(DATOS!$A3418="","",DATOS!$A3418&amp;"|"&amp;DATOS!$D3418&amp;"|"&amp;DATOS!$E3418&amp;"|"&amp;DATOS!$I3418)</f>
      </c>
      <c r="G3418">
        <f>IF(DATOS!$A3418="",0,IF(CONFIG_METADATA!$B$4&lt;&gt;"OR+EX",--(DATOS!$G3418=CONFIG_METADATA!$B$4),IF(DATOS!$G3418="EX",1,IF(DATOS!$G3418="OR",--(COUNTIFS(nNIA,DATOS!$A3418,nCURSO,DATOS!$D3418,nESPEC,DATOS!$E3418,nASIG,DATOS!$I3418,nEVAL,"EX")=0),0))))</f>
      </c>
      <c r="H3418">
        <f>IF(DATOS!$G3418&lt;&gt;"EX",0,--(COUNTIFS(nNIA,DATOS!$A3418,nCURSO,DATOS!$D3418,nESPEC,DATOS!$E3418,nASIG,DATOS!$I3418,nEVAL,"OR")=0))</f>
      </c>
      <c r="I3418">
        <f>IF(DATOS!$I3418="","",IFERROR(VLOOKUP(DATOS!$I3418,CONFIG_ASIGNATURAS!$B$2:$J$91,9,FALSE()),""))</f>
      </c>
    </row>
    <row r="3419">
      <c r="F3419">
        <f>IF(DATOS!$A3419="","",DATOS!$A3419&amp;"|"&amp;DATOS!$D3419&amp;"|"&amp;DATOS!$E3419&amp;"|"&amp;DATOS!$I3419)</f>
      </c>
      <c r="G3419">
        <f>IF(DATOS!$A3419="",0,IF(CONFIG_METADATA!$B$4&lt;&gt;"OR+EX",--(DATOS!$G3419=CONFIG_METADATA!$B$4),IF(DATOS!$G3419="EX",1,IF(DATOS!$G3419="OR",--(COUNTIFS(nNIA,DATOS!$A3419,nCURSO,DATOS!$D3419,nESPEC,DATOS!$E3419,nASIG,DATOS!$I3419,nEVAL,"EX")=0),0))))</f>
      </c>
      <c r="H3419">
        <f>IF(DATOS!$G3419&lt;&gt;"EX",0,--(COUNTIFS(nNIA,DATOS!$A3419,nCURSO,DATOS!$D3419,nESPEC,DATOS!$E3419,nASIG,DATOS!$I3419,nEVAL,"OR")=0))</f>
      </c>
      <c r="I3419">
        <f>IF(DATOS!$I3419="","",IFERROR(VLOOKUP(DATOS!$I3419,CONFIG_ASIGNATURAS!$B$2:$J$91,9,FALSE()),""))</f>
      </c>
    </row>
    <row r="3420">
      <c r="F3420">
        <f>IF(DATOS!$A3420="","",DATOS!$A3420&amp;"|"&amp;DATOS!$D3420&amp;"|"&amp;DATOS!$E3420&amp;"|"&amp;DATOS!$I3420)</f>
      </c>
      <c r="G3420">
        <f>IF(DATOS!$A3420="",0,IF(CONFIG_METADATA!$B$4&lt;&gt;"OR+EX",--(DATOS!$G3420=CONFIG_METADATA!$B$4),IF(DATOS!$G3420="EX",1,IF(DATOS!$G3420="OR",--(COUNTIFS(nNIA,DATOS!$A3420,nCURSO,DATOS!$D3420,nESPEC,DATOS!$E3420,nASIG,DATOS!$I3420,nEVAL,"EX")=0),0))))</f>
      </c>
      <c r="H3420">
        <f>IF(DATOS!$G3420&lt;&gt;"EX",0,--(COUNTIFS(nNIA,DATOS!$A3420,nCURSO,DATOS!$D3420,nESPEC,DATOS!$E3420,nASIG,DATOS!$I3420,nEVAL,"OR")=0))</f>
      </c>
      <c r="I3420">
        <f>IF(DATOS!$I3420="","",IFERROR(VLOOKUP(DATOS!$I3420,CONFIG_ASIGNATURAS!$B$2:$J$91,9,FALSE()),""))</f>
      </c>
    </row>
    <row r="3421">
      <c r="F3421">
        <f>IF(DATOS!$A3421="","",DATOS!$A3421&amp;"|"&amp;DATOS!$D3421&amp;"|"&amp;DATOS!$E3421&amp;"|"&amp;DATOS!$I3421)</f>
      </c>
      <c r="G3421">
        <f>IF(DATOS!$A3421="",0,IF(CONFIG_METADATA!$B$4&lt;&gt;"OR+EX",--(DATOS!$G3421=CONFIG_METADATA!$B$4),IF(DATOS!$G3421="EX",1,IF(DATOS!$G3421="OR",--(COUNTIFS(nNIA,DATOS!$A3421,nCURSO,DATOS!$D3421,nESPEC,DATOS!$E3421,nASIG,DATOS!$I3421,nEVAL,"EX")=0),0))))</f>
      </c>
      <c r="H3421">
        <f>IF(DATOS!$G3421&lt;&gt;"EX",0,--(COUNTIFS(nNIA,DATOS!$A3421,nCURSO,DATOS!$D3421,nESPEC,DATOS!$E3421,nASIG,DATOS!$I3421,nEVAL,"OR")=0))</f>
      </c>
      <c r="I3421">
        <f>IF(DATOS!$I3421="","",IFERROR(VLOOKUP(DATOS!$I3421,CONFIG_ASIGNATURAS!$B$2:$J$91,9,FALSE()),""))</f>
      </c>
    </row>
    <row r="3422">
      <c r="F3422">
        <f>IF(DATOS!$A3422="","",DATOS!$A3422&amp;"|"&amp;DATOS!$D3422&amp;"|"&amp;DATOS!$E3422&amp;"|"&amp;DATOS!$I3422)</f>
      </c>
      <c r="G3422">
        <f>IF(DATOS!$A3422="",0,IF(CONFIG_METADATA!$B$4&lt;&gt;"OR+EX",--(DATOS!$G3422=CONFIG_METADATA!$B$4),IF(DATOS!$G3422="EX",1,IF(DATOS!$G3422="OR",--(COUNTIFS(nNIA,DATOS!$A3422,nCURSO,DATOS!$D3422,nESPEC,DATOS!$E3422,nASIG,DATOS!$I3422,nEVAL,"EX")=0),0))))</f>
      </c>
      <c r="H3422">
        <f>IF(DATOS!$G3422&lt;&gt;"EX",0,--(COUNTIFS(nNIA,DATOS!$A3422,nCURSO,DATOS!$D3422,nESPEC,DATOS!$E3422,nASIG,DATOS!$I3422,nEVAL,"OR")=0))</f>
      </c>
      <c r="I3422">
        <f>IF(DATOS!$I3422="","",IFERROR(VLOOKUP(DATOS!$I3422,CONFIG_ASIGNATURAS!$B$2:$J$91,9,FALSE()),""))</f>
      </c>
    </row>
    <row r="3423">
      <c r="F3423">
        <f>IF(DATOS!$A3423="","",DATOS!$A3423&amp;"|"&amp;DATOS!$D3423&amp;"|"&amp;DATOS!$E3423&amp;"|"&amp;DATOS!$I3423)</f>
      </c>
      <c r="G3423">
        <f>IF(DATOS!$A3423="",0,IF(CONFIG_METADATA!$B$4&lt;&gt;"OR+EX",--(DATOS!$G3423=CONFIG_METADATA!$B$4),IF(DATOS!$G3423="EX",1,IF(DATOS!$G3423="OR",--(COUNTIFS(nNIA,DATOS!$A3423,nCURSO,DATOS!$D3423,nESPEC,DATOS!$E3423,nASIG,DATOS!$I3423,nEVAL,"EX")=0),0))))</f>
      </c>
      <c r="H3423">
        <f>IF(DATOS!$G3423&lt;&gt;"EX",0,--(COUNTIFS(nNIA,DATOS!$A3423,nCURSO,DATOS!$D3423,nESPEC,DATOS!$E3423,nASIG,DATOS!$I3423,nEVAL,"OR")=0))</f>
      </c>
      <c r="I3423">
        <f>IF(DATOS!$I3423="","",IFERROR(VLOOKUP(DATOS!$I3423,CONFIG_ASIGNATURAS!$B$2:$J$91,9,FALSE()),""))</f>
      </c>
    </row>
    <row r="3424">
      <c r="F3424">
        <f>IF(DATOS!$A3424="","",DATOS!$A3424&amp;"|"&amp;DATOS!$D3424&amp;"|"&amp;DATOS!$E3424&amp;"|"&amp;DATOS!$I3424)</f>
      </c>
      <c r="G3424">
        <f>IF(DATOS!$A3424="",0,IF(CONFIG_METADATA!$B$4&lt;&gt;"OR+EX",--(DATOS!$G3424=CONFIG_METADATA!$B$4),IF(DATOS!$G3424="EX",1,IF(DATOS!$G3424="OR",--(COUNTIFS(nNIA,DATOS!$A3424,nCURSO,DATOS!$D3424,nESPEC,DATOS!$E3424,nASIG,DATOS!$I3424,nEVAL,"EX")=0),0))))</f>
      </c>
      <c r="H3424">
        <f>IF(DATOS!$G3424&lt;&gt;"EX",0,--(COUNTIFS(nNIA,DATOS!$A3424,nCURSO,DATOS!$D3424,nESPEC,DATOS!$E3424,nASIG,DATOS!$I3424,nEVAL,"OR")=0))</f>
      </c>
      <c r="I3424">
        <f>IF(DATOS!$I3424="","",IFERROR(VLOOKUP(DATOS!$I3424,CONFIG_ASIGNATURAS!$B$2:$J$91,9,FALSE()),""))</f>
      </c>
    </row>
    <row r="3425">
      <c r="F3425">
        <f>IF(DATOS!$A3425="","",DATOS!$A3425&amp;"|"&amp;DATOS!$D3425&amp;"|"&amp;DATOS!$E3425&amp;"|"&amp;DATOS!$I3425)</f>
      </c>
      <c r="G3425">
        <f>IF(DATOS!$A3425="",0,IF(CONFIG_METADATA!$B$4&lt;&gt;"OR+EX",--(DATOS!$G3425=CONFIG_METADATA!$B$4),IF(DATOS!$G3425="EX",1,IF(DATOS!$G3425="OR",--(COUNTIFS(nNIA,DATOS!$A3425,nCURSO,DATOS!$D3425,nESPEC,DATOS!$E3425,nASIG,DATOS!$I3425,nEVAL,"EX")=0),0))))</f>
      </c>
      <c r="H3425">
        <f>IF(DATOS!$G3425&lt;&gt;"EX",0,--(COUNTIFS(nNIA,DATOS!$A3425,nCURSO,DATOS!$D3425,nESPEC,DATOS!$E3425,nASIG,DATOS!$I3425,nEVAL,"OR")=0))</f>
      </c>
      <c r="I3425">
        <f>IF(DATOS!$I3425="","",IFERROR(VLOOKUP(DATOS!$I3425,CONFIG_ASIGNATURAS!$B$2:$J$91,9,FALSE()),""))</f>
      </c>
    </row>
    <row r="3426">
      <c r="F3426">
        <f>IF(DATOS!$A3426="","",DATOS!$A3426&amp;"|"&amp;DATOS!$D3426&amp;"|"&amp;DATOS!$E3426&amp;"|"&amp;DATOS!$I3426)</f>
      </c>
      <c r="G3426">
        <f>IF(DATOS!$A3426="",0,IF(CONFIG_METADATA!$B$4&lt;&gt;"OR+EX",--(DATOS!$G3426=CONFIG_METADATA!$B$4),IF(DATOS!$G3426="EX",1,IF(DATOS!$G3426="OR",--(COUNTIFS(nNIA,DATOS!$A3426,nCURSO,DATOS!$D3426,nESPEC,DATOS!$E3426,nASIG,DATOS!$I3426,nEVAL,"EX")=0),0))))</f>
      </c>
      <c r="H3426">
        <f>IF(DATOS!$G3426&lt;&gt;"EX",0,--(COUNTIFS(nNIA,DATOS!$A3426,nCURSO,DATOS!$D3426,nESPEC,DATOS!$E3426,nASIG,DATOS!$I3426,nEVAL,"OR")=0))</f>
      </c>
      <c r="I3426">
        <f>IF(DATOS!$I3426="","",IFERROR(VLOOKUP(DATOS!$I3426,CONFIG_ASIGNATURAS!$B$2:$J$91,9,FALSE()),""))</f>
      </c>
    </row>
    <row r="3427">
      <c r="F3427">
        <f>IF(DATOS!$A3427="","",DATOS!$A3427&amp;"|"&amp;DATOS!$D3427&amp;"|"&amp;DATOS!$E3427&amp;"|"&amp;DATOS!$I3427)</f>
      </c>
      <c r="G3427">
        <f>IF(DATOS!$A3427="",0,IF(CONFIG_METADATA!$B$4&lt;&gt;"OR+EX",--(DATOS!$G3427=CONFIG_METADATA!$B$4),IF(DATOS!$G3427="EX",1,IF(DATOS!$G3427="OR",--(COUNTIFS(nNIA,DATOS!$A3427,nCURSO,DATOS!$D3427,nESPEC,DATOS!$E3427,nASIG,DATOS!$I3427,nEVAL,"EX")=0),0))))</f>
      </c>
      <c r="H3427">
        <f>IF(DATOS!$G3427&lt;&gt;"EX",0,--(COUNTIFS(nNIA,DATOS!$A3427,nCURSO,DATOS!$D3427,nESPEC,DATOS!$E3427,nASIG,DATOS!$I3427,nEVAL,"OR")=0))</f>
      </c>
      <c r="I3427">
        <f>IF(DATOS!$I3427="","",IFERROR(VLOOKUP(DATOS!$I3427,CONFIG_ASIGNATURAS!$B$2:$J$91,9,FALSE()),""))</f>
      </c>
    </row>
    <row r="3428">
      <c r="F3428">
        <f>IF(DATOS!$A3428="","",DATOS!$A3428&amp;"|"&amp;DATOS!$D3428&amp;"|"&amp;DATOS!$E3428&amp;"|"&amp;DATOS!$I3428)</f>
      </c>
      <c r="G3428">
        <f>IF(DATOS!$A3428="",0,IF(CONFIG_METADATA!$B$4&lt;&gt;"OR+EX",--(DATOS!$G3428=CONFIG_METADATA!$B$4),IF(DATOS!$G3428="EX",1,IF(DATOS!$G3428="OR",--(COUNTIFS(nNIA,DATOS!$A3428,nCURSO,DATOS!$D3428,nESPEC,DATOS!$E3428,nASIG,DATOS!$I3428,nEVAL,"EX")=0),0))))</f>
      </c>
      <c r="H3428">
        <f>IF(DATOS!$G3428&lt;&gt;"EX",0,--(COUNTIFS(nNIA,DATOS!$A3428,nCURSO,DATOS!$D3428,nESPEC,DATOS!$E3428,nASIG,DATOS!$I3428,nEVAL,"OR")=0))</f>
      </c>
      <c r="I3428">
        <f>IF(DATOS!$I3428="","",IFERROR(VLOOKUP(DATOS!$I3428,CONFIG_ASIGNATURAS!$B$2:$J$91,9,FALSE()),""))</f>
      </c>
    </row>
    <row r="3429">
      <c r="F3429">
        <f>IF(DATOS!$A3429="","",DATOS!$A3429&amp;"|"&amp;DATOS!$D3429&amp;"|"&amp;DATOS!$E3429&amp;"|"&amp;DATOS!$I3429)</f>
      </c>
      <c r="G3429">
        <f>IF(DATOS!$A3429="",0,IF(CONFIG_METADATA!$B$4&lt;&gt;"OR+EX",--(DATOS!$G3429=CONFIG_METADATA!$B$4),IF(DATOS!$G3429="EX",1,IF(DATOS!$G3429="OR",--(COUNTIFS(nNIA,DATOS!$A3429,nCURSO,DATOS!$D3429,nESPEC,DATOS!$E3429,nASIG,DATOS!$I3429,nEVAL,"EX")=0),0))))</f>
      </c>
      <c r="H3429">
        <f>IF(DATOS!$G3429&lt;&gt;"EX",0,--(COUNTIFS(nNIA,DATOS!$A3429,nCURSO,DATOS!$D3429,nESPEC,DATOS!$E3429,nASIG,DATOS!$I3429,nEVAL,"OR")=0))</f>
      </c>
      <c r="I3429">
        <f>IF(DATOS!$I3429="","",IFERROR(VLOOKUP(DATOS!$I3429,CONFIG_ASIGNATURAS!$B$2:$J$91,9,FALSE()),""))</f>
      </c>
    </row>
    <row r="3430">
      <c r="F3430">
        <f>IF(DATOS!$A3430="","",DATOS!$A3430&amp;"|"&amp;DATOS!$D3430&amp;"|"&amp;DATOS!$E3430&amp;"|"&amp;DATOS!$I3430)</f>
      </c>
      <c r="G3430">
        <f>IF(DATOS!$A3430="",0,IF(CONFIG_METADATA!$B$4&lt;&gt;"OR+EX",--(DATOS!$G3430=CONFIG_METADATA!$B$4),IF(DATOS!$G3430="EX",1,IF(DATOS!$G3430="OR",--(COUNTIFS(nNIA,DATOS!$A3430,nCURSO,DATOS!$D3430,nESPEC,DATOS!$E3430,nASIG,DATOS!$I3430,nEVAL,"EX")=0),0))))</f>
      </c>
      <c r="H3430">
        <f>IF(DATOS!$G3430&lt;&gt;"EX",0,--(COUNTIFS(nNIA,DATOS!$A3430,nCURSO,DATOS!$D3430,nESPEC,DATOS!$E3430,nASIG,DATOS!$I3430,nEVAL,"OR")=0))</f>
      </c>
      <c r="I3430">
        <f>IF(DATOS!$I3430="","",IFERROR(VLOOKUP(DATOS!$I3430,CONFIG_ASIGNATURAS!$B$2:$J$91,9,FALSE()),""))</f>
      </c>
    </row>
    <row r="3431">
      <c r="F3431">
        <f>IF(DATOS!$A3431="","",DATOS!$A3431&amp;"|"&amp;DATOS!$D3431&amp;"|"&amp;DATOS!$E3431&amp;"|"&amp;DATOS!$I3431)</f>
      </c>
      <c r="G3431">
        <f>IF(DATOS!$A3431="",0,IF(CONFIG_METADATA!$B$4&lt;&gt;"OR+EX",--(DATOS!$G3431=CONFIG_METADATA!$B$4),IF(DATOS!$G3431="EX",1,IF(DATOS!$G3431="OR",--(COUNTIFS(nNIA,DATOS!$A3431,nCURSO,DATOS!$D3431,nESPEC,DATOS!$E3431,nASIG,DATOS!$I3431,nEVAL,"EX")=0),0))))</f>
      </c>
      <c r="H3431">
        <f>IF(DATOS!$G3431&lt;&gt;"EX",0,--(COUNTIFS(nNIA,DATOS!$A3431,nCURSO,DATOS!$D3431,nESPEC,DATOS!$E3431,nASIG,DATOS!$I3431,nEVAL,"OR")=0))</f>
      </c>
      <c r="I3431">
        <f>IF(DATOS!$I3431="","",IFERROR(VLOOKUP(DATOS!$I3431,CONFIG_ASIGNATURAS!$B$2:$J$91,9,FALSE()),""))</f>
      </c>
    </row>
    <row r="3432">
      <c r="F3432">
        <f>IF(DATOS!$A3432="","",DATOS!$A3432&amp;"|"&amp;DATOS!$D3432&amp;"|"&amp;DATOS!$E3432&amp;"|"&amp;DATOS!$I3432)</f>
      </c>
      <c r="G3432">
        <f>IF(DATOS!$A3432="",0,IF(CONFIG_METADATA!$B$4&lt;&gt;"OR+EX",--(DATOS!$G3432=CONFIG_METADATA!$B$4),IF(DATOS!$G3432="EX",1,IF(DATOS!$G3432="OR",--(COUNTIFS(nNIA,DATOS!$A3432,nCURSO,DATOS!$D3432,nESPEC,DATOS!$E3432,nASIG,DATOS!$I3432,nEVAL,"EX")=0),0))))</f>
      </c>
      <c r="H3432">
        <f>IF(DATOS!$G3432&lt;&gt;"EX",0,--(COUNTIFS(nNIA,DATOS!$A3432,nCURSO,DATOS!$D3432,nESPEC,DATOS!$E3432,nASIG,DATOS!$I3432,nEVAL,"OR")=0))</f>
      </c>
      <c r="I3432">
        <f>IF(DATOS!$I3432="","",IFERROR(VLOOKUP(DATOS!$I3432,CONFIG_ASIGNATURAS!$B$2:$J$91,9,FALSE()),""))</f>
      </c>
    </row>
    <row r="3433">
      <c r="F3433">
        <f>IF(DATOS!$A3433="","",DATOS!$A3433&amp;"|"&amp;DATOS!$D3433&amp;"|"&amp;DATOS!$E3433&amp;"|"&amp;DATOS!$I3433)</f>
      </c>
      <c r="G3433">
        <f>IF(DATOS!$A3433="",0,IF(CONFIG_METADATA!$B$4&lt;&gt;"OR+EX",--(DATOS!$G3433=CONFIG_METADATA!$B$4),IF(DATOS!$G3433="EX",1,IF(DATOS!$G3433="OR",--(COUNTIFS(nNIA,DATOS!$A3433,nCURSO,DATOS!$D3433,nESPEC,DATOS!$E3433,nASIG,DATOS!$I3433,nEVAL,"EX")=0),0))))</f>
      </c>
      <c r="H3433">
        <f>IF(DATOS!$G3433&lt;&gt;"EX",0,--(COUNTIFS(nNIA,DATOS!$A3433,nCURSO,DATOS!$D3433,nESPEC,DATOS!$E3433,nASIG,DATOS!$I3433,nEVAL,"OR")=0))</f>
      </c>
      <c r="I3433">
        <f>IF(DATOS!$I3433="","",IFERROR(VLOOKUP(DATOS!$I3433,CONFIG_ASIGNATURAS!$B$2:$J$91,9,FALSE()),""))</f>
      </c>
    </row>
    <row r="3434">
      <c r="F3434">
        <f>IF(DATOS!$A3434="","",DATOS!$A3434&amp;"|"&amp;DATOS!$D3434&amp;"|"&amp;DATOS!$E3434&amp;"|"&amp;DATOS!$I3434)</f>
      </c>
      <c r="G3434">
        <f>IF(DATOS!$A3434="",0,IF(CONFIG_METADATA!$B$4&lt;&gt;"OR+EX",--(DATOS!$G3434=CONFIG_METADATA!$B$4),IF(DATOS!$G3434="EX",1,IF(DATOS!$G3434="OR",--(COUNTIFS(nNIA,DATOS!$A3434,nCURSO,DATOS!$D3434,nESPEC,DATOS!$E3434,nASIG,DATOS!$I3434,nEVAL,"EX")=0),0))))</f>
      </c>
      <c r="H3434">
        <f>IF(DATOS!$G3434&lt;&gt;"EX",0,--(COUNTIFS(nNIA,DATOS!$A3434,nCURSO,DATOS!$D3434,nESPEC,DATOS!$E3434,nASIG,DATOS!$I3434,nEVAL,"OR")=0))</f>
      </c>
      <c r="I3434">
        <f>IF(DATOS!$I3434="","",IFERROR(VLOOKUP(DATOS!$I3434,CONFIG_ASIGNATURAS!$B$2:$J$91,9,FALSE()),""))</f>
      </c>
    </row>
    <row r="3435">
      <c r="F3435">
        <f>IF(DATOS!$A3435="","",DATOS!$A3435&amp;"|"&amp;DATOS!$D3435&amp;"|"&amp;DATOS!$E3435&amp;"|"&amp;DATOS!$I3435)</f>
      </c>
      <c r="G3435">
        <f>IF(DATOS!$A3435="",0,IF(CONFIG_METADATA!$B$4&lt;&gt;"OR+EX",--(DATOS!$G3435=CONFIG_METADATA!$B$4),IF(DATOS!$G3435="EX",1,IF(DATOS!$G3435="OR",--(COUNTIFS(nNIA,DATOS!$A3435,nCURSO,DATOS!$D3435,nESPEC,DATOS!$E3435,nASIG,DATOS!$I3435,nEVAL,"EX")=0),0))))</f>
      </c>
      <c r="H3435">
        <f>IF(DATOS!$G3435&lt;&gt;"EX",0,--(COUNTIFS(nNIA,DATOS!$A3435,nCURSO,DATOS!$D3435,nESPEC,DATOS!$E3435,nASIG,DATOS!$I3435,nEVAL,"OR")=0))</f>
      </c>
      <c r="I3435">
        <f>IF(DATOS!$I3435="","",IFERROR(VLOOKUP(DATOS!$I3435,CONFIG_ASIGNATURAS!$B$2:$J$91,9,FALSE()),""))</f>
      </c>
    </row>
    <row r="3436">
      <c r="F3436">
        <f>IF(DATOS!$A3436="","",DATOS!$A3436&amp;"|"&amp;DATOS!$D3436&amp;"|"&amp;DATOS!$E3436&amp;"|"&amp;DATOS!$I3436)</f>
      </c>
      <c r="G3436">
        <f>IF(DATOS!$A3436="",0,IF(CONFIG_METADATA!$B$4&lt;&gt;"OR+EX",--(DATOS!$G3436=CONFIG_METADATA!$B$4),IF(DATOS!$G3436="EX",1,IF(DATOS!$G3436="OR",--(COUNTIFS(nNIA,DATOS!$A3436,nCURSO,DATOS!$D3436,nESPEC,DATOS!$E3436,nASIG,DATOS!$I3436,nEVAL,"EX")=0),0))))</f>
      </c>
      <c r="H3436">
        <f>IF(DATOS!$G3436&lt;&gt;"EX",0,--(COUNTIFS(nNIA,DATOS!$A3436,nCURSO,DATOS!$D3436,nESPEC,DATOS!$E3436,nASIG,DATOS!$I3436,nEVAL,"OR")=0))</f>
      </c>
      <c r="I3436">
        <f>IF(DATOS!$I3436="","",IFERROR(VLOOKUP(DATOS!$I3436,CONFIG_ASIGNATURAS!$B$2:$J$91,9,FALSE()),""))</f>
      </c>
    </row>
    <row r="3437">
      <c r="F3437">
        <f>IF(DATOS!$A3437="","",DATOS!$A3437&amp;"|"&amp;DATOS!$D3437&amp;"|"&amp;DATOS!$E3437&amp;"|"&amp;DATOS!$I3437)</f>
      </c>
      <c r="G3437">
        <f>IF(DATOS!$A3437="",0,IF(CONFIG_METADATA!$B$4&lt;&gt;"OR+EX",--(DATOS!$G3437=CONFIG_METADATA!$B$4),IF(DATOS!$G3437="EX",1,IF(DATOS!$G3437="OR",--(COUNTIFS(nNIA,DATOS!$A3437,nCURSO,DATOS!$D3437,nESPEC,DATOS!$E3437,nASIG,DATOS!$I3437,nEVAL,"EX")=0),0))))</f>
      </c>
      <c r="H3437">
        <f>IF(DATOS!$G3437&lt;&gt;"EX",0,--(COUNTIFS(nNIA,DATOS!$A3437,nCURSO,DATOS!$D3437,nESPEC,DATOS!$E3437,nASIG,DATOS!$I3437,nEVAL,"OR")=0))</f>
      </c>
      <c r="I3437">
        <f>IF(DATOS!$I3437="","",IFERROR(VLOOKUP(DATOS!$I3437,CONFIG_ASIGNATURAS!$B$2:$J$91,9,FALSE()),""))</f>
      </c>
    </row>
    <row r="3438">
      <c r="F3438">
        <f>IF(DATOS!$A3438="","",DATOS!$A3438&amp;"|"&amp;DATOS!$D3438&amp;"|"&amp;DATOS!$E3438&amp;"|"&amp;DATOS!$I3438)</f>
      </c>
      <c r="G3438">
        <f>IF(DATOS!$A3438="",0,IF(CONFIG_METADATA!$B$4&lt;&gt;"OR+EX",--(DATOS!$G3438=CONFIG_METADATA!$B$4),IF(DATOS!$G3438="EX",1,IF(DATOS!$G3438="OR",--(COUNTIFS(nNIA,DATOS!$A3438,nCURSO,DATOS!$D3438,nESPEC,DATOS!$E3438,nASIG,DATOS!$I3438,nEVAL,"EX")=0),0))))</f>
      </c>
      <c r="H3438">
        <f>IF(DATOS!$G3438&lt;&gt;"EX",0,--(COUNTIFS(nNIA,DATOS!$A3438,nCURSO,DATOS!$D3438,nESPEC,DATOS!$E3438,nASIG,DATOS!$I3438,nEVAL,"OR")=0))</f>
      </c>
      <c r="I3438">
        <f>IF(DATOS!$I3438="","",IFERROR(VLOOKUP(DATOS!$I3438,CONFIG_ASIGNATURAS!$B$2:$J$91,9,FALSE()),""))</f>
      </c>
    </row>
    <row r="3439">
      <c r="F3439">
        <f>IF(DATOS!$A3439="","",DATOS!$A3439&amp;"|"&amp;DATOS!$D3439&amp;"|"&amp;DATOS!$E3439&amp;"|"&amp;DATOS!$I3439)</f>
      </c>
      <c r="G3439">
        <f>IF(DATOS!$A3439="",0,IF(CONFIG_METADATA!$B$4&lt;&gt;"OR+EX",--(DATOS!$G3439=CONFIG_METADATA!$B$4),IF(DATOS!$G3439="EX",1,IF(DATOS!$G3439="OR",--(COUNTIFS(nNIA,DATOS!$A3439,nCURSO,DATOS!$D3439,nESPEC,DATOS!$E3439,nASIG,DATOS!$I3439,nEVAL,"EX")=0),0))))</f>
      </c>
      <c r="H3439">
        <f>IF(DATOS!$G3439&lt;&gt;"EX",0,--(COUNTIFS(nNIA,DATOS!$A3439,nCURSO,DATOS!$D3439,nESPEC,DATOS!$E3439,nASIG,DATOS!$I3439,nEVAL,"OR")=0))</f>
      </c>
      <c r="I3439">
        <f>IF(DATOS!$I3439="","",IFERROR(VLOOKUP(DATOS!$I3439,CONFIG_ASIGNATURAS!$B$2:$J$91,9,FALSE()),""))</f>
      </c>
    </row>
    <row r="3440">
      <c r="F3440">
        <f>IF(DATOS!$A3440="","",DATOS!$A3440&amp;"|"&amp;DATOS!$D3440&amp;"|"&amp;DATOS!$E3440&amp;"|"&amp;DATOS!$I3440)</f>
      </c>
      <c r="G3440">
        <f>IF(DATOS!$A3440="",0,IF(CONFIG_METADATA!$B$4&lt;&gt;"OR+EX",--(DATOS!$G3440=CONFIG_METADATA!$B$4),IF(DATOS!$G3440="EX",1,IF(DATOS!$G3440="OR",--(COUNTIFS(nNIA,DATOS!$A3440,nCURSO,DATOS!$D3440,nESPEC,DATOS!$E3440,nASIG,DATOS!$I3440,nEVAL,"EX")=0),0))))</f>
      </c>
      <c r="H3440">
        <f>IF(DATOS!$G3440&lt;&gt;"EX",0,--(COUNTIFS(nNIA,DATOS!$A3440,nCURSO,DATOS!$D3440,nESPEC,DATOS!$E3440,nASIG,DATOS!$I3440,nEVAL,"OR")=0))</f>
      </c>
      <c r="I3440">
        <f>IF(DATOS!$I3440="","",IFERROR(VLOOKUP(DATOS!$I3440,CONFIG_ASIGNATURAS!$B$2:$J$91,9,FALSE()),""))</f>
      </c>
    </row>
    <row r="3441">
      <c r="F3441">
        <f>IF(DATOS!$A3441="","",DATOS!$A3441&amp;"|"&amp;DATOS!$D3441&amp;"|"&amp;DATOS!$E3441&amp;"|"&amp;DATOS!$I3441)</f>
      </c>
      <c r="G3441">
        <f>IF(DATOS!$A3441="",0,IF(CONFIG_METADATA!$B$4&lt;&gt;"OR+EX",--(DATOS!$G3441=CONFIG_METADATA!$B$4),IF(DATOS!$G3441="EX",1,IF(DATOS!$G3441="OR",--(COUNTIFS(nNIA,DATOS!$A3441,nCURSO,DATOS!$D3441,nESPEC,DATOS!$E3441,nASIG,DATOS!$I3441,nEVAL,"EX")=0),0))))</f>
      </c>
      <c r="H3441">
        <f>IF(DATOS!$G3441&lt;&gt;"EX",0,--(COUNTIFS(nNIA,DATOS!$A3441,nCURSO,DATOS!$D3441,nESPEC,DATOS!$E3441,nASIG,DATOS!$I3441,nEVAL,"OR")=0))</f>
      </c>
      <c r="I3441">
        <f>IF(DATOS!$I3441="","",IFERROR(VLOOKUP(DATOS!$I3441,CONFIG_ASIGNATURAS!$B$2:$J$91,9,FALSE()),""))</f>
      </c>
    </row>
    <row r="3442">
      <c r="F3442">
        <f>IF(DATOS!$A3442="","",DATOS!$A3442&amp;"|"&amp;DATOS!$D3442&amp;"|"&amp;DATOS!$E3442&amp;"|"&amp;DATOS!$I3442)</f>
      </c>
      <c r="G3442">
        <f>IF(DATOS!$A3442="",0,IF(CONFIG_METADATA!$B$4&lt;&gt;"OR+EX",--(DATOS!$G3442=CONFIG_METADATA!$B$4),IF(DATOS!$G3442="EX",1,IF(DATOS!$G3442="OR",--(COUNTIFS(nNIA,DATOS!$A3442,nCURSO,DATOS!$D3442,nESPEC,DATOS!$E3442,nASIG,DATOS!$I3442,nEVAL,"EX")=0),0))))</f>
      </c>
      <c r="H3442">
        <f>IF(DATOS!$G3442&lt;&gt;"EX",0,--(COUNTIFS(nNIA,DATOS!$A3442,nCURSO,DATOS!$D3442,nESPEC,DATOS!$E3442,nASIG,DATOS!$I3442,nEVAL,"OR")=0))</f>
      </c>
      <c r="I3442">
        <f>IF(DATOS!$I3442="","",IFERROR(VLOOKUP(DATOS!$I3442,CONFIG_ASIGNATURAS!$B$2:$J$91,9,FALSE()),""))</f>
      </c>
    </row>
    <row r="3443">
      <c r="F3443">
        <f>IF(DATOS!$A3443="","",DATOS!$A3443&amp;"|"&amp;DATOS!$D3443&amp;"|"&amp;DATOS!$E3443&amp;"|"&amp;DATOS!$I3443)</f>
      </c>
      <c r="G3443">
        <f>IF(DATOS!$A3443="",0,IF(CONFIG_METADATA!$B$4&lt;&gt;"OR+EX",--(DATOS!$G3443=CONFIG_METADATA!$B$4),IF(DATOS!$G3443="EX",1,IF(DATOS!$G3443="OR",--(COUNTIFS(nNIA,DATOS!$A3443,nCURSO,DATOS!$D3443,nESPEC,DATOS!$E3443,nASIG,DATOS!$I3443,nEVAL,"EX")=0),0))))</f>
      </c>
      <c r="H3443">
        <f>IF(DATOS!$G3443&lt;&gt;"EX",0,--(COUNTIFS(nNIA,DATOS!$A3443,nCURSO,DATOS!$D3443,nESPEC,DATOS!$E3443,nASIG,DATOS!$I3443,nEVAL,"OR")=0))</f>
      </c>
      <c r="I3443">
        <f>IF(DATOS!$I3443="","",IFERROR(VLOOKUP(DATOS!$I3443,CONFIG_ASIGNATURAS!$B$2:$J$91,9,FALSE()),""))</f>
      </c>
    </row>
    <row r="3444">
      <c r="F3444">
        <f>IF(DATOS!$A3444="","",DATOS!$A3444&amp;"|"&amp;DATOS!$D3444&amp;"|"&amp;DATOS!$E3444&amp;"|"&amp;DATOS!$I3444)</f>
      </c>
      <c r="G3444">
        <f>IF(DATOS!$A3444="",0,IF(CONFIG_METADATA!$B$4&lt;&gt;"OR+EX",--(DATOS!$G3444=CONFIG_METADATA!$B$4),IF(DATOS!$G3444="EX",1,IF(DATOS!$G3444="OR",--(COUNTIFS(nNIA,DATOS!$A3444,nCURSO,DATOS!$D3444,nESPEC,DATOS!$E3444,nASIG,DATOS!$I3444,nEVAL,"EX")=0),0))))</f>
      </c>
      <c r="H3444">
        <f>IF(DATOS!$G3444&lt;&gt;"EX",0,--(COUNTIFS(nNIA,DATOS!$A3444,nCURSO,DATOS!$D3444,nESPEC,DATOS!$E3444,nASIG,DATOS!$I3444,nEVAL,"OR")=0))</f>
      </c>
      <c r="I3444">
        <f>IF(DATOS!$I3444="","",IFERROR(VLOOKUP(DATOS!$I3444,CONFIG_ASIGNATURAS!$B$2:$J$91,9,FALSE()),""))</f>
      </c>
    </row>
    <row r="3445">
      <c r="F3445">
        <f>IF(DATOS!$A3445="","",DATOS!$A3445&amp;"|"&amp;DATOS!$D3445&amp;"|"&amp;DATOS!$E3445&amp;"|"&amp;DATOS!$I3445)</f>
      </c>
      <c r="G3445">
        <f>IF(DATOS!$A3445="",0,IF(CONFIG_METADATA!$B$4&lt;&gt;"OR+EX",--(DATOS!$G3445=CONFIG_METADATA!$B$4),IF(DATOS!$G3445="EX",1,IF(DATOS!$G3445="OR",--(COUNTIFS(nNIA,DATOS!$A3445,nCURSO,DATOS!$D3445,nESPEC,DATOS!$E3445,nASIG,DATOS!$I3445,nEVAL,"EX")=0),0))))</f>
      </c>
      <c r="H3445">
        <f>IF(DATOS!$G3445&lt;&gt;"EX",0,--(COUNTIFS(nNIA,DATOS!$A3445,nCURSO,DATOS!$D3445,nESPEC,DATOS!$E3445,nASIG,DATOS!$I3445,nEVAL,"OR")=0))</f>
      </c>
      <c r="I3445">
        <f>IF(DATOS!$I3445="","",IFERROR(VLOOKUP(DATOS!$I3445,CONFIG_ASIGNATURAS!$B$2:$J$91,9,FALSE()),""))</f>
      </c>
    </row>
    <row r="3446">
      <c r="F3446">
        <f>IF(DATOS!$A3446="","",DATOS!$A3446&amp;"|"&amp;DATOS!$D3446&amp;"|"&amp;DATOS!$E3446&amp;"|"&amp;DATOS!$I3446)</f>
      </c>
      <c r="G3446">
        <f>IF(DATOS!$A3446="",0,IF(CONFIG_METADATA!$B$4&lt;&gt;"OR+EX",--(DATOS!$G3446=CONFIG_METADATA!$B$4),IF(DATOS!$G3446="EX",1,IF(DATOS!$G3446="OR",--(COUNTIFS(nNIA,DATOS!$A3446,nCURSO,DATOS!$D3446,nESPEC,DATOS!$E3446,nASIG,DATOS!$I3446,nEVAL,"EX")=0),0))))</f>
      </c>
      <c r="H3446">
        <f>IF(DATOS!$G3446&lt;&gt;"EX",0,--(COUNTIFS(nNIA,DATOS!$A3446,nCURSO,DATOS!$D3446,nESPEC,DATOS!$E3446,nASIG,DATOS!$I3446,nEVAL,"OR")=0))</f>
      </c>
      <c r="I3446">
        <f>IF(DATOS!$I3446="","",IFERROR(VLOOKUP(DATOS!$I3446,CONFIG_ASIGNATURAS!$B$2:$J$91,9,FALSE()),""))</f>
      </c>
    </row>
    <row r="3447">
      <c r="F3447">
        <f>IF(DATOS!$A3447="","",DATOS!$A3447&amp;"|"&amp;DATOS!$D3447&amp;"|"&amp;DATOS!$E3447&amp;"|"&amp;DATOS!$I3447)</f>
      </c>
      <c r="G3447">
        <f>IF(DATOS!$A3447="",0,IF(CONFIG_METADATA!$B$4&lt;&gt;"OR+EX",--(DATOS!$G3447=CONFIG_METADATA!$B$4),IF(DATOS!$G3447="EX",1,IF(DATOS!$G3447="OR",--(COUNTIFS(nNIA,DATOS!$A3447,nCURSO,DATOS!$D3447,nESPEC,DATOS!$E3447,nASIG,DATOS!$I3447,nEVAL,"EX")=0),0))))</f>
      </c>
      <c r="H3447">
        <f>IF(DATOS!$G3447&lt;&gt;"EX",0,--(COUNTIFS(nNIA,DATOS!$A3447,nCURSO,DATOS!$D3447,nESPEC,DATOS!$E3447,nASIG,DATOS!$I3447,nEVAL,"OR")=0))</f>
      </c>
      <c r="I3447">
        <f>IF(DATOS!$I3447="","",IFERROR(VLOOKUP(DATOS!$I3447,CONFIG_ASIGNATURAS!$B$2:$J$91,9,FALSE()),""))</f>
      </c>
    </row>
    <row r="3448">
      <c r="F3448">
        <f>IF(DATOS!$A3448="","",DATOS!$A3448&amp;"|"&amp;DATOS!$D3448&amp;"|"&amp;DATOS!$E3448&amp;"|"&amp;DATOS!$I3448)</f>
      </c>
      <c r="G3448">
        <f>IF(DATOS!$A3448="",0,IF(CONFIG_METADATA!$B$4&lt;&gt;"OR+EX",--(DATOS!$G3448=CONFIG_METADATA!$B$4),IF(DATOS!$G3448="EX",1,IF(DATOS!$G3448="OR",--(COUNTIFS(nNIA,DATOS!$A3448,nCURSO,DATOS!$D3448,nESPEC,DATOS!$E3448,nASIG,DATOS!$I3448,nEVAL,"EX")=0),0))))</f>
      </c>
      <c r="H3448">
        <f>IF(DATOS!$G3448&lt;&gt;"EX",0,--(COUNTIFS(nNIA,DATOS!$A3448,nCURSO,DATOS!$D3448,nESPEC,DATOS!$E3448,nASIG,DATOS!$I3448,nEVAL,"OR")=0))</f>
      </c>
      <c r="I3448">
        <f>IF(DATOS!$I3448="","",IFERROR(VLOOKUP(DATOS!$I3448,CONFIG_ASIGNATURAS!$B$2:$J$91,9,FALSE()),""))</f>
      </c>
    </row>
    <row r="3449">
      <c r="F3449">
        <f>IF(DATOS!$A3449="","",DATOS!$A3449&amp;"|"&amp;DATOS!$D3449&amp;"|"&amp;DATOS!$E3449&amp;"|"&amp;DATOS!$I3449)</f>
      </c>
      <c r="G3449">
        <f>IF(DATOS!$A3449="",0,IF(CONFIG_METADATA!$B$4&lt;&gt;"OR+EX",--(DATOS!$G3449=CONFIG_METADATA!$B$4),IF(DATOS!$G3449="EX",1,IF(DATOS!$G3449="OR",--(COUNTIFS(nNIA,DATOS!$A3449,nCURSO,DATOS!$D3449,nESPEC,DATOS!$E3449,nASIG,DATOS!$I3449,nEVAL,"EX")=0),0))))</f>
      </c>
      <c r="H3449">
        <f>IF(DATOS!$G3449&lt;&gt;"EX",0,--(COUNTIFS(nNIA,DATOS!$A3449,nCURSO,DATOS!$D3449,nESPEC,DATOS!$E3449,nASIG,DATOS!$I3449,nEVAL,"OR")=0))</f>
      </c>
      <c r="I3449">
        <f>IF(DATOS!$I3449="","",IFERROR(VLOOKUP(DATOS!$I3449,CONFIG_ASIGNATURAS!$B$2:$J$91,9,FALSE()),""))</f>
      </c>
    </row>
    <row r="3450">
      <c r="F3450">
        <f>IF(DATOS!$A3450="","",DATOS!$A3450&amp;"|"&amp;DATOS!$D3450&amp;"|"&amp;DATOS!$E3450&amp;"|"&amp;DATOS!$I3450)</f>
      </c>
      <c r="G3450">
        <f>IF(DATOS!$A3450="",0,IF(CONFIG_METADATA!$B$4&lt;&gt;"OR+EX",--(DATOS!$G3450=CONFIG_METADATA!$B$4),IF(DATOS!$G3450="EX",1,IF(DATOS!$G3450="OR",--(COUNTIFS(nNIA,DATOS!$A3450,nCURSO,DATOS!$D3450,nESPEC,DATOS!$E3450,nASIG,DATOS!$I3450,nEVAL,"EX")=0),0))))</f>
      </c>
      <c r="H3450">
        <f>IF(DATOS!$G3450&lt;&gt;"EX",0,--(COUNTIFS(nNIA,DATOS!$A3450,nCURSO,DATOS!$D3450,nESPEC,DATOS!$E3450,nASIG,DATOS!$I3450,nEVAL,"OR")=0))</f>
      </c>
      <c r="I3450">
        <f>IF(DATOS!$I3450="","",IFERROR(VLOOKUP(DATOS!$I3450,CONFIG_ASIGNATURAS!$B$2:$J$91,9,FALSE()),""))</f>
      </c>
    </row>
    <row r="3451">
      <c r="F3451">
        <f>IF(DATOS!$A3451="","",DATOS!$A3451&amp;"|"&amp;DATOS!$D3451&amp;"|"&amp;DATOS!$E3451&amp;"|"&amp;DATOS!$I3451)</f>
      </c>
      <c r="G3451">
        <f>IF(DATOS!$A3451="",0,IF(CONFIG_METADATA!$B$4&lt;&gt;"OR+EX",--(DATOS!$G3451=CONFIG_METADATA!$B$4),IF(DATOS!$G3451="EX",1,IF(DATOS!$G3451="OR",--(COUNTIFS(nNIA,DATOS!$A3451,nCURSO,DATOS!$D3451,nESPEC,DATOS!$E3451,nASIG,DATOS!$I3451,nEVAL,"EX")=0),0))))</f>
      </c>
      <c r="H3451">
        <f>IF(DATOS!$G3451&lt;&gt;"EX",0,--(COUNTIFS(nNIA,DATOS!$A3451,nCURSO,DATOS!$D3451,nESPEC,DATOS!$E3451,nASIG,DATOS!$I3451,nEVAL,"OR")=0))</f>
      </c>
      <c r="I3451">
        <f>IF(DATOS!$I3451="","",IFERROR(VLOOKUP(DATOS!$I3451,CONFIG_ASIGNATURAS!$B$2:$J$91,9,FALSE()),""))</f>
      </c>
    </row>
    <row r="3452">
      <c r="F3452">
        <f>IF(DATOS!$A3452="","",DATOS!$A3452&amp;"|"&amp;DATOS!$D3452&amp;"|"&amp;DATOS!$E3452&amp;"|"&amp;DATOS!$I3452)</f>
      </c>
      <c r="G3452">
        <f>IF(DATOS!$A3452="",0,IF(CONFIG_METADATA!$B$4&lt;&gt;"OR+EX",--(DATOS!$G3452=CONFIG_METADATA!$B$4),IF(DATOS!$G3452="EX",1,IF(DATOS!$G3452="OR",--(COUNTIFS(nNIA,DATOS!$A3452,nCURSO,DATOS!$D3452,nESPEC,DATOS!$E3452,nASIG,DATOS!$I3452,nEVAL,"EX")=0),0))))</f>
      </c>
      <c r="H3452">
        <f>IF(DATOS!$G3452&lt;&gt;"EX",0,--(COUNTIFS(nNIA,DATOS!$A3452,nCURSO,DATOS!$D3452,nESPEC,DATOS!$E3452,nASIG,DATOS!$I3452,nEVAL,"OR")=0))</f>
      </c>
      <c r="I3452">
        <f>IF(DATOS!$I3452="","",IFERROR(VLOOKUP(DATOS!$I3452,CONFIG_ASIGNATURAS!$B$2:$J$91,9,FALSE()),""))</f>
      </c>
    </row>
    <row r="3453">
      <c r="F3453">
        <f>IF(DATOS!$A3453="","",DATOS!$A3453&amp;"|"&amp;DATOS!$D3453&amp;"|"&amp;DATOS!$E3453&amp;"|"&amp;DATOS!$I3453)</f>
      </c>
      <c r="G3453">
        <f>IF(DATOS!$A3453="",0,IF(CONFIG_METADATA!$B$4&lt;&gt;"OR+EX",--(DATOS!$G3453=CONFIG_METADATA!$B$4),IF(DATOS!$G3453="EX",1,IF(DATOS!$G3453="OR",--(COUNTIFS(nNIA,DATOS!$A3453,nCURSO,DATOS!$D3453,nESPEC,DATOS!$E3453,nASIG,DATOS!$I3453,nEVAL,"EX")=0),0))))</f>
      </c>
      <c r="H3453">
        <f>IF(DATOS!$G3453&lt;&gt;"EX",0,--(COUNTIFS(nNIA,DATOS!$A3453,nCURSO,DATOS!$D3453,nESPEC,DATOS!$E3453,nASIG,DATOS!$I3453,nEVAL,"OR")=0))</f>
      </c>
      <c r="I3453">
        <f>IF(DATOS!$I3453="","",IFERROR(VLOOKUP(DATOS!$I3453,CONFIG_ASIGNATURAS!$B$2:$J$91,9,FALSE()),""))</f>
      </c>
    </row>
    <row r="3454">
      <c r="F3454">
        <f>IF(DATOS!$A3454="","",DATOS!$A3454&amp;"|"&amp;DATOS!$D3454&amp;"|"&amp;DATOS!$E3454&amp;"|"&amp;DATOS!$I3454)</f>
      </c>
      <c r="G3454">
        <f>IF(DATOS!$A3454="",0,IF(CONFIG_METADATA!$B$4&lt;&gt;"OR+EX",--(DATOS!$G3454=CONFIG_METADATA!$B$4),IF(DATOS!$G3454="EX",1,IF(DATOS!$G3454="OR",--(COUNTIFS(nNIA,DATOS!$A3454,nCURSO,DATOS!$D3454,nESPEC,DATOS!$E3454,nASIG,DATOS!$I3454,nEVAL,"EX")=0),0))))</f>
      </c>
      <c r="H3454">
        <f>IF(DATOS!$G3454&lt;&gt;"EX",0,--(COUNTIFS(nNIA,DATOS!$A3454,nCURSO,DATOS!$D3454,nESPEC,DATOS!$E3454,nASIG,DATOS!$I3454,nEVAL,"OR")=0))</f>
      </c>
      <c r="I3454">
        <f>IF(DATOS!$I3454="","",IFERROR(VLOOKUP(DATOS!$I3454,CONFIG_ASIGNATURAS!$B$2:$J$91,9,FALSE()),""))</f>
      </c>
    </row>
    <row r="3455">
      <c r="F3455">
        <f>IF(DATOS!$A3455="","",DATOS!$A3455&amp;"|"&amp;DATOS!$D3455&amp;"|"&amp;DATOS!$E3455&amp;"|"&amp;DATOS!$I3455)</f>
      </c>
      <c r="G3455">
        <f>IF(DATOS!$A3455="",0,IF(CONFIG_METADATA!$B$4&lt;&gt;"OR+EX",--(DATOS!$G3455=CONFIG_METADATA!$B$4),IF(DATOS!$G3455="EX",1,IF(DATOS!$G3455="OR",--(COUNTIFS(nNIA,DATOS!$A3455,nCURSO,DATOS!$D3455,nESPEC,DATOS!$E3455,nASIG,DATOS!$I3455,nEVAL,"EX")=0),0))))</f>
      </c>
      <c r="H3455">
        <f>IF(DATOS!$G3455&lt;&gt;"EX",0,--(COUNTIFS(nNIA,DATOS!$A3455,nCURSO,DATOS!$D3455,nESPEC,DATOS!$E3455,nASIG,DATOS!$I3455,nEVAL,"OR")=0))</f>
      </c>
      <c r="I3455">
        <f>IF(DATOS!$I3455="","",IFERROR(VLOOKUP(DATOS!$I3455,CONFIG_ASIGNATURAS!$B$2:$J$91,9,FALSE()),""))</f>
      </c>
    </row>
    <row r="3456">
      <c r="F3456">
        <f>IF(DATOS!$A3456="","",DATOS!$A3456&amp;"|"&amp;DATOS!$D3456&amp;"|"&amp;DATOS!$E3456&amp;"|"&amp;DATOS!$I3456)</f>
      </c>
      <c r="G3456">
        <f>IF(DATOS!$A3456="",0,IF(CONFIG_METADATA!$B$4&lt;&gt;"OR+EX",--(DATOS!$G3456=CONFIG_METADATA!$B$4),IF(DATOS!$G3456="EX",1,IF(DATOS!$G3456="OR",--(COUNTIFS(nNIA,DATOS!$A3456,nCURSO,DATOS!$D3456,nESPEC,DATOS!$E3456,nASIG,DATOS!$I3456,nEVAL,"EX")=0),0))))</f>
      </c>
      <c r="H3456">
        <f>IF(DATOS!$G3456&lt;&gt;"EX",0,--(COUNTIFS(nNIA,DATOS!$A3456,nCURSO,DATOS!$D3456,nESPEC,DATOS!$E3456,nASIG,DATOS!$I3456,nEVAL,"OR")=0))</f>
      </c>
      <c r="I3456">
        <f>IF(DATOS!$I3456="","",IFERROR(VLOOKUP(DATOS!$I3456,CONFIG_ASIGNATURAS!$B$2:$J$91,9,FALSE()),""))</f>
      </c>
    </row>
    <row r="3457">
      <c r="F3457">
        <f>IF(DATOS!$A3457="","",DATOS!$A3457&amp;"|"&amp;DATOS!$D3457&amp;"|"&amp;DATOS!$E3457&amp;"|"&amp;DATOS!$I3457)</f>
      </c>
      <c r="G3457">
        <f>IF(DATOS!$A3457="",0,IF(CONFIG_METADATA!$B$4&lt;&gt;"OR+EX",--(DATOS!$G3457=CONFIG_METADATA!$B$4),IF(DATOS!$G3457="EX",1,IF(DATOS!$G3457="OR",--(COUNTIFS(nNIA,DATOS!$A3457,nCURSO,DATOS!$D3457,nESPEC,DATOS!$E3457,nASIG,DATOS!$I3457,nEVAL,"EX")=0),0))))</f>
      </c>
      <c r="H3457">
        <f>IF(DATOS!$G3457&lt;&gt;"EX",0,--(COUNTIFS(nNIA,DATOS!$A3457,nCURSO,DATOS!$D3457,nESPEC,DATOS!$E3457,nASIG,DATOS!$I3457,nEVAL,"OR")=0))</f>
      </c>
      <c r="I3457">
        <f>IF(DATOS!$I3457="","",IFERROR(VLOOKUP(DATOS!$I3457,CONFIG_ASIGNATURAS!$B$2:$J$91,9,FALSE()),""))</f>
      </c>
    </row>
    <row r="3458">
      <c r="F3458">
        <f>IF(DATOS!$A3458="","",DATOS!$A3458&amp;"|"&amp;DATOS!$D3458&amp;"|"&amp;DATOS!$E3458&amp;"|"&amp;DATOS!$I3458)</f>
      </c>
      <c r="G3458">
        <f>IF(DATOS!$A3458="",0,IF(CONFIG_METADATA!$B$4&lt;&gt;"OR+EX",--(DATOS!$G3458=CONFIG_METADATA!$B$4),IF(DATOS!$G3458="EX",1,IF(DATOS!$G3458="OR",--(COUNTIFS(nNIA,DATOS!$A3458,nCURSO,DATOS!$D3458,nESPEC,DATOS!$E3458,nASIG,DATOS!$I3458,nEVAL,"EX")=0),0))))</f>
      </c>
      <c r="H3458">
        <f>IF(DATOS!$G3458&lt;&gt;"EX",0,--(COUNTIFS(nNIA,DATOS!$A3458,nCURSO,DATOS!$D3458,nESPEC,DATOS!$E3458,nASIG,DATOS!$I3458,nEVAL,"OR")=0))</f>
      </c>
      <c r="I3458">
        <f>IF(DATOS!$I3458="","",IFERROR(VLOOKUP(DATOS!$I3458,CONFIG_ASIGNATURAS!$B$2:$J$91,9,FALSE()),""))</f>
      </c>
    </row>
    <row r="3459">
      <c r="F3459">
        <f>IF(DATOS!$A3459="","",DATOS!$A3459&amp;"|"&amp;DATOS!$D3459&amp;"|"&amp;DATOS!$E3459&amp;"|"&amp;DATOS!$I3459)</f>
      </c>
      <c r="G3459">
        <f>IF(DATOS!$A3459="",0,IF(CONFIG_METADATA!$B$4&lt;&gt;"OR+EX",--(DATOS!$G3459=CONFIG_METADATA!$B$4),IF(DATOS!$G3459="EX",1,IF(DATOS!$G3459="OR",--(COUNTIFS(nNIA,DATOS!$A3459,nCURSO,DATOS!$D3459,nESPEC,DATOS!$E3459,nASIG,DATOS!$I3459,nEVAL,"EX")=0),0))))</f>
      </c>
      <c r="H3459">
        <f>IF(DATOS!$G3459&lt;&gt;"EX",0,--(COUNTIFS(nNIA,DATOS!$A3459,nCURSO,DATOS!$D3459,nESPEC,DATOS!$E3459,nASIG,DATOS!$I3459,nEVAL,"OR")=0))</f>
      </c>
      <c r="I3459">
        <f>IF(DATOS!$I3459="","",IFERROR(VLOOKUP(DATOS!$I3459,CONFIG_ASIGNATURAS!$B$2:$J$91,9,FALSE()),""))</f>
      </c>
    </row>
    <row r="3460">
      <c r="F3460">
        <f>IF(DATOS!$A3460="","",DATOS!$A3460&amp;"|"&amp;DATOS!$D3460&amp;"|"&amp;DATOS!$E3460&amp;"|"&amp;DATOS!$I3460)</f>
      </c>
      <c r="G3460">
        <f>IF(DATOS!$A3460="",0,IF(CONFIG_METADATA!$B$4&lt;&gt;"OR+EX",--(DATOS!$G3460=CONFIG_METADATA!$B$4),IF(DATOS!$G3460="EX",1,IF(DATOS!$G3460="OR",--(COUNTIFS(nNIA,DATOS!$A3460,nCURSO,DATOS!$D3460,nESPEC,DATOS!$E3460,nASIG,DATOS!$I3460,nEVAL,"EX")=0),0))))</f>
      </c>
      <c r="H3460">
        <f>IF(DATOS!$G3460&lt;&gt;"EX",0,--(COUNTIFS(nNIA,DATOS!$A3460,nCURSO,DATOS!$D3460,nESPEC,DATOS!$E3460,nASIG,DATOS!$I3460,nEVAL,"OR")=0))</f>
      </c>
      <c r="I3460">
        <f>IF(DATOS!$I3460="","",IFERROR(VLOOKUP(DATOS!$I3460,CONFIG_ASIGNATURAS!$B$2:$J$91,9,FALSE()),""))</f>
      </c>
    </row>
    <row r="3461">
      <c r="F3461">
        <f>IF(DATOS!$A3461="","",DATOS!$A3461&amp;"|"&amp;DATOS!$D3461&amp;"|"&amp;DATOS!$E3461&amp;"|"&amp;DATOS!$I3461)</f>
      </c>
      <c r="G3461">
        <f>IF(DATOS!$A3461="",0,IF(CONFIG_METADATA!$B$4&lt;&gt;"OR+EX",--(DATOS!$G3461=CONFIG_METADATA!$B$4),IF(DATOS!$G3461="EX",1,IF(DATOS!$G3461="OR",--(COUNTIFS(nNIA,DATOS!$A3461,nCURSO,DATOS!$D3461,nESPEC,DATOS!$E3461,nASIG,DATOS!$I3461,nEVAL,"EX")=0),0))))</f>
      </c>
      <c r="H3461">
        <f>IF(DATOS!$G3461&lt;&gt;"EX",0,--(COUNTIFS(nNIA,DATOS!$A3461,nCURSO,DATOS!$D3461,nESPEC,DATOS!$E3461,nASIG,DATOS!$I3461,nEVAL,"OR")=0))</f>
      </c>
      <c r="I3461">
        <f>IF(DATOS!$I3461="","",IFERROR(VLOOKUP(DATOS!$I3461,CONFIG_ASIGNATURAS!$B$2:$J$91,9,FALSE()),""))</f>
      </c>
    </row>
    <row r="3462">
      <c r="F3462">
        <f>IF(DATOS!$A3462="","",DATOS!$A3462&amp;"|"&amp;DATOS!$D3462&amp;"|"&amp;DATOS!$E3462&amp;"|"&amp;DATOS!$I3462)</f>
      </c>
      <c r="G3462">
        <f>IF(DATOS!$A3462="",0,IF(CONFIG_METADATA!$B$4&lt;&gt;"OR+EX",--(DATOS!$G3462=CONFIG_METADATA!$B$4),IF(DATOS!$G3462="EX",1,IF(DATOS!$G3462="OR",--(COUNTIFS(nNIA,DATOS!$A3462,nCURSO,DATOS!$D3462,nESPEC,DATOS!$E3462,nASIG,DATOS!$I3462,nEVAL,"EX")=0),0))))</f>
      </c>
      <c r="H3462">
        <f>IF(DATOS!$G3462&lt;&gt;"EX",0,--(COUNTIFS(nNIA,DATOS!$A3462,nCURSO,DATOS!$D3462,nESPEC,DATOS!$E3462,nASIG,DATOS!$I3462,nEVAL,"OR")=0))</f>
      </c>
      <c r="I3462">
        <f>IF(DATOS!$I3462="","",IFERROR(VLOOKUP(DATOS!$I3462,CONFIG_ASIGNATURAS!$B$2:$J$91,9,FALSE()),""))</f>
      </c>
    </row>
    <row r="3463">
      <c r="F3463">
        <f>IF(DATOS!$A3463="","",DATOS!$A3463&amp;"|"&amp;DATOS!$D3463&amp;"|"&amp;DATOS!$E3463&amp;"|"&amp;DATOS!$I3463)</f>
      </c>
      <c r="G3463">
        <f>IF(DATOS!$A3463="",0,IF(CONFIG_METADATA!$B$4&lt;&gt;"OR+EX",--(DATOS!$G3463=CONFIG_METADATA!$B$4),IF(DATOS!$G3463="EX",1,IF(DATOS!$G3463="OR",--(COUNTIFS(nNIA,DATOS!$A3463,nCURSO,DATOS!$D3463,nESPEC,DATOS!$E3463,nASIG,DATOS!$I3463,nEVAL,"EX")=0),0))))</f>
      </c>
      <c r="H3463">
        <f>IF(DATOS!$G3463&lt;&gt;"EX",0,--(COUNTIFS(nNIA,DATOS!$A3463,nCURSO,DATOS!$D3463,nESPEC,DATOS!$E3463,nASIG,DATOS!$I3463,nEVAL,"OR")=0))</f>
      </c>
      <c r="I3463">
        <f>IF(DATOS!$I3463="","",IFERROR(VLOOKUP(DATOS!$I3463,CONFIG_ASIGNATURAS!$B$2:$J$91,9,FALSE()),""))</f>
      </c>
    </row>
    <row r="3464">
      <c r="F3464">
        <f>IF(DATOS!$A3464="","",DATOS!$A3464&amp;"|"&amp;DATOS!$D3464&amp;"|"&amp;DATOS!$E3464&amp;"|"&amp;DATOS!$I3464)</f>
      </c>
      <c r="G3464">
        <f>IF(DATOS!$A3464="",0,IF(CONFIG_METADATA!$B$4&lt;&gt;"OR+EX",--(DATOS!$G3464=CONFIG_METADATA!$B$4),IF(DATOS!$G3464="EX",1,IF(DATOS!$G3464="OR",--(COUNTIFS(nNIA,DATOS!$A3464,nCURSO,DATOS!$D3464,nESPEC,DATOS!$E3464,nASIG,DATOS!$I3464,nEVAL,"EX")=0),0))))</f>
      </c>
      <c r="H3464">
        <f>IF(DATOS!$G3464&lt;&gt;"EX",0,--(COUNTIFS(nNIA,DATOS!$A3464,nCURSO,DATOS!$D3464,nESPEC,DATOS!$E3464,nASIG,DATOS!$I3464,nEVAL,"OR")=0))</f>
      </c>
      <c r="I3464">
        <f>IF(DATOS!$I3464="","",IFERROR(VLOOKUP(DATOS!$I3464,CONFIG_ASIGNATURAS!$B$2:$J$91,9,FALSE()),""))</f>
      </c>
    </row>
    <row r="3465">
      <c r="F3465">
        <f>IF(DATOS!$A3465="","",DATOS!$A3465&amp;"|"&amp;DATOS!$D3465&amp;"|"&amp;DATOS!$E3465&amp;"|"&amp;DATOS!$I3465)</f>
      </c>
      <c r="G3465">
        <f>IF(DATOS!$A3465="",0,IF(CONFIG_METADATA!$B$4&lt;&gt;"OR+EX",--(DATOS!$G3465=CONFIG_METADATA!$B$4),IF(DATOS!$G3465="EX",1,IF(DATOS!$G3465="OR",--(COUNTIFS(nNIA,DATOS!$A3465,nCURSO,DATOS!$D3465,nESPEC,DATOS!$E3465,nASIG,DATOS!$I3465,nEVAL,"EX")=0),0))))</f>
      </c>
      <c r="H3465">
        <f>IF(DATOS!$G3465&lt;&gt;"EX",0,--(COUNTIFS(nNIA,DATOS!$A3465,nCURSO,DATOS!$D3465,nESPEC,DATOS!$E3465,nASIG,DATOS!$I3465,nEVAL,"OR")=0))</f>
      </c>
      <c r="I3465">
        <f>IF(DATOS!$I3465="","",IFERROR(VLOOKUP(DATOS!$I3465,CONFIG_ASIGNATURAS!$B$2:$J$91,9,FALSE()),""))</f>
      </c>
    </row>
    <row r="3466">
      <c r="F3466">
        <f>IF(DATOS!$A3466="","",DATOS!$A3466&amp;"|"&amp;DATOS!$D3466&amp;"|"&amp;DATOS!$E3466&amp;"|"&amp;DATOS!$I3466)</f>
      </c>
      <c r="G3466">
        <f>IF(DATOS!$A3466="",0,IF(CONFIG_METADATA!$B$4&lt;&gt;"OR+EX",--(DATOS!$G3466=CONFIG_METADATA!$B$4),IF(DATOS!$G3466="EX",1,IF(DATOS!$G3466="OR",--(COUNTIFS(nNIA,DATOS!$A3466,nCURSO,DATOS!$D3466,nESPEC,DATOS!$E3466,nASIG,DATOS!$I3466,nEVAL,"EX")=0),0))))</f>
      </c>
      <c r="H3466">
        <f>IF(DATOS!$G3466&lt;&gt;"EX",0,--(COUNTIFS(nNIA,DATOS!$A3466,nCURSO,DATOS!$D3466,nESPEC,DATOS!$E3466,nASIG,DATOS!$I3466,nEVAL,"OR")=0))</f>
      </c>
      <c r="I3466">
        <f>IF(DATOS!$I3466="","",IFERROR(VLOOKUP(DATOS!$I3466,CONFIG_ASIGNATURAS!$B$2:$J$91,9,FALSE()),""))</f>
      </c>
    </row>
    <row r="3467">
      <c r="F3467">
        <f>IF(DATOS!$A3467="","",DATOS!$A3467&amp;"|"&amp;DATOS!$D3467&amp;"|"&amp;DATOS!$E3467&amp;"|"&amp;DATOS!$I3467)</f>
      </c>
      <c r="G3467">
        <f>IF(DATOS!$A3467="",0,IF(CONFIG_METADATA!$B$4&lt;&gt;"OR+EX",--(DATOS!$G3467=CONFIG_METADATA!$B$4),IF(DATOS!$G3467="EX",1,IF(DATOS!$G3467="OR",--(COUNTIFS(nNIA,DATOS!$A3467,nCURSO,DATOS!$D3467,nESPEC,DATOS!$E3467,nASIG,DATOS!$I3467,nEVAL,"EX")=0),0))))</f>
      </c>
      <c r="H3467">
        <f>IF(DATOS!$G3467&lt;&gt;"EX",0,--(COUNTIFS(nNIA,DATOS!$A3467,nCURSO,DATOS!$D3467,nESPEC,DATOS!$E3467,nASIG,DATOS!$I3467,nEVAL,"OR")=0))</f>
      </c>
      <c r="I3467">
        <f>IF(DATOS!$I3467="","",IFERROR(VLOOKUP(DATOS!$I3467,CONFIG_ASIGNATURAS!$B$2:$J$91,9,FALSE()),""))</f>
      </c>
    </row>
    <row r="3468">
      <c r="F3468">
        <f>IF(DATOS!$A3468="","",DATOS!$A3468&amp;"|"&amp;DATOS!$D3468&amp;"|"&amp;DATOS!$E3468&amp;"|"&amp;DATOS!$I3468)</f>
      </c>
      <c r="G3468">
        <f>IF(DATOS!$A3468="",0,IF(CONFIG_METADATA!$B$4&lt;&gt;"OR+EX",--(DATOS!$G3468=CONFIG_METADATA!$B$4),IF(DATOS!$G3468="EX",1,IF(DATOS!$G3468="OR",--(COUNTIFS(nNIA,DATOS!$A3468,nCURSO,DATOS!$D3468,nESPEC,DATOS!$E3468,nASIG,DATOS!$I3468,nEVAL,"EX")=0),0))))</f>
      </c>
      <c r="H3468">
        <f>IF(DATOS!$G3468&lt;&gt;"EX",0,--(COUNTIFS(nNIA,DATOS!$A3468,nCURSO,DATOS!$D3468,nESPEC,DATOS!$E3468,nASIG,DATOS!$I3468,nEVAL,"OR")=0))</f>
      </c>
      <c r="I3468">
        <f>IF(DATOS!$I3468="","",IFERROR(VLOOKUP(DATOS!$I3468,CONFIG_ASIGNATURAS!$B$2:$J$91,9,FALSE()),""))</f>
      </c>
    </row>
    <row r="3469">
      <c r="F3469">
        <f>IF(DATOS!$A3469="","",DATOS!$A3469&amp;"|"&amp;DATOS!$D3469&amp;"|"&amp;DATOS!$E3469&amp;"|"&amp;DATOS!$I3469)</f>
      </c>
      <c r="G3469">
        <f>IF(DATOS!$A3469="",0,IF(CONFIG_METADATA!$B$4&lt;&gt;"OR+EX",--(DATOS!$G3469=CONFIG_METADATA!$B$4),IF(DATOS!$G3469="EX",1,IF(DATOS!$G3469="OR",--(COUNTIFS(nNIA,DATOS!$A3469,nCURSO,DATOS!$D3469,nESPEC,DATOS!$E3469,nASIG,DATOS!$I3469,nEVAL,"EX")=0),0))))</f>
      </c>
      <c r="H3469">
        <f>IF(DATOS!$G3469&lt;&gt;"EX",0,--(COUNTIFS(nNIA,DATOS!$A3469,nCURSO,DATOS!$D3469,nESPEC,DATOS!$E3469,nASIG,DATOS!$I3469,nEVAL,"OR")=0))</f>
      </c>
      <c r="I3469">
        <f>IF(DATOS!$I3469="","",IFERROR(VLOOKUP(DATOS!$I3469,CONFIG_ASIGNATURAS!$B$2:$J$91,9,FALSE()),""))</f>
      </c>
    </row>
    <row r="3470">
      <c r="F3470">
        <f>IF(DATOS!$A3470="","",DATOS!$A3470&amp;"|"&amp;DATOS!$D3470&amp;"|"&amp;DATOS!$E3470&amp;"|"&amp;DATOS!$I3470)</f>
      </c>
      <c r="G3470">
        <f>IF(DATOS!$A3470="",0,IF(CONFIG_METADATA!$B$4&lt;&gt;"OR+EX",--(DATOS!$G3470=CONFIG_METADATA!$B$4),IF(DATOS!$G3470="EX",1,IF(DATOS!$G3470="OR",--(COUNTIFS(nNIA,DATOS!$A3470,nCURSO,DATOS!$D3470,nESPEC,DATOS!$E3470,nASIG,DATOS!$I3470,nEVAL,"EX")=0),0))))</f>
      </c>
      <c r="H3470">
        <f>IF(DATOS!$G3470&lt;&gt;"EX",0,--(COUNTIFS(nNIA,DATOS!$A3470,nCURSO,DATOS!$D3470,nESPEC,DATOS!$E3470,nASIG,DATOS!$I3470,nEVAL,"OR")=0))</f>
      </c>
      <c r="I3470">
        <f>IF(DATOS!$I3470="","",IFERROR(VLOOKUP(DATOS!$I3470,CONFIG_ASIGNATURAS!$B$2:$J$91,9,FALSE()),""))</f>
      </c>
    </row>
    <row r="3471">
      <c r="F3471">
        <f>IF(DATOS!$A3471="","",DATOS!$A3471&amp;"|"&amp;DATOS!$D3471&amp;"|"&amp;DATOS!$E3471&amp;"|"&amp;DATOS!$I3471)</f>
      </c>
      <c r="G3471">
        <f>IF(DATOS!$A3471="",0,IF(CONFIG_METADATA!$B$4&lt;&gt;"OR+EX",--(DATOS!$G3471=CONFIG_METADATA!$B$4),IF(DATOS!$G3471="EX",1,IF(DATOS!$G3471="OR",--(COUNTIFS(nNIA,DATOS!$A3471,nCURSO,DATOS!$D3471,nESPEC,DATOS!$E3471,nASIG,DATOS!$I3471,nEVAL,"EX")=0),0))))</f>
      </c>
      <c r="H3471">
        <f>IF(DATOS!$G3471&lt;&gt;"EX",0,--(COUNTIFS(nNIA,DATOS!$A3471,nCURSO,DATOS!$D3471,nESPEC,DATOS!$E3471,nASIG,DATOS!$I3471,nEVAL,"OR")=0))</f>
      </c>
      <c r="I3471">
        <f>IF(DATOS!$I3471="","",IFERROR(VLOOKUP(DATOS!$I3471,CONFIG_ASIGNATURAS!$B$2:$J$91,9,FALSE()),""))</f>
      </c>
    </row>
    <row r="3472">
      <c r="F3472">
        <f>IF(DATOS!$A3472="","",DATOS!$A3472&amp;"|"&amp;DATOS!$D3472&amp;"|"&amp;DATOS!$E3472&amp;"|"&amp;DATOS!$I3472)</f>
      </c>
      <c r="G3472">
        <f>IF(DATOS!$A3472="",0,IF(CONFIG_METADATA!$B$4&lt;&gt;"OR+EX",--(DATOS!$G3472=CONFIG_METADATA!$B$4),IF(DATOS!$G3472="EX",1,IF(DATOS!$G3472="OR",--(COUNTIFS(nNIA,DATOS!$A3472,nCURSO,DATOS!$D3472,nESPEC,DATOS!$E3472,nASIG,DATOS!$I3472,nEVAL,"EX")=0),0))))</f>
      </c>
      <c r="H3472">
        <f>IF(DATOS!$G3472&lt;&gt;"EX",0,--(COUNTIFS(nNIA,DATOS!$A3472,nCURSO,DATOS!$D3472,nESPEC,DATOS!$E3472,nASIG,DATOS!$I3472,nEVAL,"OR")=0))</f>
      </c>
      <c r="I3472">
        <f>IF(DATOS!$I3472="","",IFERROR(VLOOKUP(DATOS!$I3472,CONFIG_ASIGNATURAS!$B$2:$J$91,9,FALSE()),""))</f>
      </c>
    </row>
    <row r="3473">
      <c r="F3473">
        <f>IF(DATOS!$A3473="","",DATOS!$A3473&amp;"|"&amp;DATOS!$D3473&amp;"|"&amp;DATOS!$E3473&amp;"|"&amp;DATOS!$I3473)</f>
      </c>
      <c r="G3473">
        <f>IF(DATOS!$A3473="",0,IF(CONFIG_METADATA!$B$4&lt;&gt;"OR+EX",--(DATOS!$G3473=CONFIG_METADATA!$B$4),IF(DATOS!$G3473="EX",1,IF(DATOS!$G3473="OR",--(COUNTIFS(nNIA,DATOS!$A3473,nCURSO,DATOS!$D3473,nESPEC,DATOS!$E3473,nASIG,DATOS!$I3473,nEVAL,"EX")=0),0))))</f>
      </c>
      <c r="H3473">
        <f>IF(DATOS!$G3473&lt;&gt;"EX",0,--(COUNTIFS(nNIA,DATOS!$A3473,nCURSO,DATOS!$D3473,nESPEC,DATOS!$E3473,nASIG,DATOS!$I3473,nEVAL,"OR")=0))</f>
      </c>
      <c r="I3473">
        <f>IF(DATOS!$I3473="","",IFERROR(VLOOKUP(DATOS!$I3473,CONFIG_ASIGNATURAS!$B$2:$J$91,9,FALSE()),""))</f>
      </c>
    </row>
    <row r="3474">
      <c r="F3474">
        <f>IF(DATOS!$A3474="","",DATOS!$A3474&amp;"|"&amp;DATOS!$D3474&amp;"|"&amp;DATOS!$E3474&amp;"|"&amp;DATOS!$I3474)</f>
      </c>
      <c r="G3474">
        <f>IF(DATOS!$A3474="",0,IF(CONFIG_METADATA!$B$4&lt;&gt;"OR+EX",--(DATOS!$G3474=CONFIG_METADATA!$B$4),IF(DATOS!$G3474="EX",1,IF(DATOS!$G3474="OR",--(COUNTIFS(nNIA,DATOS!$A3474,nCURSO,DATOS!$D3474,nESPEC,DATOS!$E3474,nASIG,DATOS!$I3474,nEVAL,"EX")=0),0))))</f>
      </c>
      <c r="H3474">
        <f>IF(DATOS!$G3474&lt;&gt;"EX",0,--(COUNTIFS(nNIA,DATOS!$A3474,nCURSO,DATOS!$D3474,nESPEC,DATOS!$E3474,nASIG,DATOS!$I3474,nEVAL,"OR")=0))</f>
      </c>
      <c r="I3474">
        <f>IF(DATOS!$I3474="","",IFERROR(VLOOKUP(DATOS!$I3474,CONFIG_ASIGNATURAS!$B$2:$J$91,9,FALSE()),""))</f>
      </c>
    </row>
    <row r="3475">
      <c r="F3475">
        <f>IF(DATOS!$A3475="","",DATOS!$A3475&amp;"|"&amp;DATOS!$D3475&amp;"|"&amp;DATOS!$E3475&amp;"|"&amp;DATOS!$I3475)</f>
      </c>
      <c r="G3475">
        <f>IF(DATOS!$A3475="",0,IF(CONFIG_METADATA!$B$4&lt;&gt;"OR+EX",--(DATOS!$G3475=CONFIG_METADATA!$B$4),IF(DATOS!$G3475="EX",1,IF(DATOS!$G3475="OR",--(COUNTIFS(nNIA,DATOS!$A3475,nCURSO,DATOS!$D3475,nESPEC,DATOS!$E3475,nASIG,DATOS!$I3475,nEVAL,"EX")=0),0))))</f>
      </c>
      <c r="H3475">
        <f>IF(DATOS!$G3475&lt;&gt;"EX",0,--(COUNTIFS(nNIA,DATOS!$A3475,nCURSO,DATOS!$D3475,nESPEC,DATOS!$E3475,nASIG,DATOS!$I3475,nEVAL,"OR")=0))</f>
      </c>
      <c r="I3475">
        <f>IF(DATOS!$I3475="","",IFERROR(VLOOKUP(DATOS!$I3475,CONFIG_ASIGNATURAS!$B$2:$J$91,9,FALSE()),""))</f>
      </c>
    </row>
    <row r="3476">
      <c r="F3476">
        <f>IF(DATOS!$A3476="","",DATOS!$A3476&amp;"|"&amp;DATOS!$D3476&amp;"|"&amp;DATOS!$E3476&amp;"|"&amp;DATOS!$I3476)</f>
      </c>
      <c r="G3476">
        <f>IF(DATOS!$A3476="",0,IF(CONFIG_METADATA!$B$4&lt;&gt;"OR+EX",--(DATOS!$G3476=CONFIG_METADATA!$B$4),IF(DATOS!$G3476="EX",1,IF(DATOS!$G3476="OR",--(COUNTIFS(nNIA,DATOS!$A3476,nCURSO,DATOS!$D3476,nESPEC,DATOS!$E3476,nASIG,DATOS!$I3476,nEVAL,"EX")=0),0))))</f>
      </c>
      <c r="H3476">
        <f>IF(DATOS!$G3476&lt;&gt;"EX",0,--(COUNTIFS(nNIA,DATOS!$A3476,nCURSO,DATOS!$D3476,nESPEC,DATOS!$E3476,nASIG,DATOS!$I3476,nEVAL,"OR")=0))</f>
      </c>
      <c r="I3476">
        <f>IF(DATOS!$I3476="","",IFERROR(VLOOKUP(DATOS!$I3476,CONFIG_ASIGNATURAS!$B$2:$J$91,9,FALSE()),""))</f>
      </c>
    </row>
    <row r="3477">
      <c r="F3477">
        <f>IF(DATOS!$A3477="","",DATOS!$A3477&amp;"|"&amp;DATOS!$D3477&amp;"|"&amp;DATOS!$E3477&amp;"|"&amp;DATOS!$I3477)</f>
      </c>
      <c r="G3477">
        <f>IF(DATOS!$A3477="",0,IF(CONFIG_METADATA!$B$4&lt;&gt;"OR+EX",--(DATOS!$G3477=CONFIG_METADATA!$B$4),IF(DATOS!$G3477="EX",1,IF(DATOS!$G3477="OR",--(COUNTIFS(nNIA,DATOS!$A3477,nCURSO,DATOS!$D3477,nESPEC,DATOS!$E3477,nASIG,DATOS!$I3477,nEVAL,"EX")=0),0))))</f>
      </c>
      <c r="H3477">
        <f>IF(DATOS!$G3477&lt;&gt;"EX",0,--(COUNTIFS(nNIA,DATOS!$A3477,nCURSO,DATOS!$D3477,nESPEC,DATOS!$E3477,nASIG,DATOS!$I3477,nEVAL,"OR")=0))</f>
      </c>
      <c r="I3477">
        <f>IF(DATOS!$I3477="","",IFERROR(VLOOKUP(DATOS!$I3477,CONFIG_ASIGNATURAS!$B$2:$J$91,9,FALSE()),""))</f>
      </c>
    </row>
    <row r="3478">
      <c r="F3478">
        <f>IF(DATOS!$A3478="","",DATOS!$A3478&amp;"|"&amp;DATOS!$D3478&amp;"|"&amp;DATOS!$E3478&amp;"|"&amp;DATOS!$I3478)</f>
      </c>
      <c r="G3478">
        <f>IF(DATOS!$A3478="",0,IF(CONFIG_METADATA!$B$4&lt;&gt;"OR+EX",--(DATOS!$G3478=CONFIG_METADATA!$B$4),IF(DATOS!$G3478="EX",1,IF(DATOS!$G3478="OR",--(COUNTIFS(nNIA,DATOS!$A3478,nCURSO,DATOS!$D3478,nESPEC,DATOS!$E3478,nASIG,DATOS!$I3478,nEVAL,"EX")=0),0))))</f>
      </c>
      <c r="H3478">
        <f>IF(DATOS!$G3478&lt;&gt;"EX",0,--(COUNTIFS(nNIA,DATOS!$A3478,nCURSO,DATOS!$D3478,nESPEC,DATOS!$E3478,nASIG,DATOS!$I3478,nEVAL,"OR")=0))</f>
      </c>
      <c r="I3478">
        <f>IF(DATOS!$I3478="","",IFERROR(VLOOKUP(DATOS!$I3478,CONFIG_ASIGNATURAS!$B$2:$J$91,9,FALSE()),""))</f>
      </c>
    </row>
    <row r="3479">
      <c r="F3479">
        <f>IF(DATOS!$A3479="","",DATOS!$A3479&amp;"|"&amp;DATOS!$D3479&amp;"|"&amp;DATOS!$E3479&amp;"|"&amp;DATOS!$I3479)</f>
      </c>
      <c r="G3479">
        <f>IF(DATOS!$A3479="",0,IF(CONFIG_METADATA!$B$4&lt;&gt;"OR+EX",--(DATOS!$G3479=CONFIG_METADATA!$B$4),IF(DATOS!$G3479="EX",1,IF(DATOS!$G3479="OR",--(COUNTIFS(nNIA,DATOS!$A3479,nCURSO,DATOS!$D3479,nESPEC,DATOS!$E3479,nASIG,DATOS!$I3479,nEVAL,"EX")=0),0))))</f>
      </c>
      <c r="H3479">
        <f>IF(DATOS!$G3479&lt;&gt;"EX",0,--(COUNTIFS(nNIA,DATOS!$A3479,nCURSO,DATOS!$D3479,nESPEC,DATOS!$E3479,nASIG,DATOS!$I3479,nEVAL,"OR")=0))</f>
      </c>
      <c r="I3479">
        <f>IF(DATOS!$I3479="","",IFERROR(VLOOKUP(DATOS!$I3479,CONFIG_ASIGNATURAS!$B$2:$J$91,9,FALSE()),""))</f>
      </c>
    </row>
    <row r="3480">
      <c r="F3480">
        <f>IF(DATOS!$A3480="","",DATOS!$A3480&amp;"|"&amp;DATOS!$D3480&amp;"|"&amp;DATOS!$E3480&amp;"|"&amp;DATOS!$I3480)</f>
      </c>
      <c r="G3480">
        <f>IF(DATOS!$A3480="",0,IF(CONFIG_METADATA!$B$4&lt;&gt;"OR+EX",--(DATOS!$G3480=CONFIG_METADATA!$B$4),IF(DATOS!$G3480="EX",1,IF(DATOS!$G3480="OR",--(COUNTIFS(nNIA,DATOS!$A3480,nCURSO,DATOS!$D3480,nESPEC,DATOS!$E3480,nASIG,DATOS!$I3480,nEVAL,"EX")=0),0))))</f>
      </c>
      <c r="H3480">
        <f>IF(DATOS!$G3480&lt;&gt;"EX",0,--(COUNTIFS(nNIA,DATOS!$A3480,nCURSO,DATOS!$D3480,nESPEC,DATOS!$E3480,nASIG,DATOS!$I3480,nEVAL,"OR")=0))</f>
      </c>
      <c r="I3480">
        <f>IF(DATOS!$I3480="","",IFERROR(VLOOKUP(DATOS!$I3480,CONFIG_ASIGNATURAS!$B$2:$J$91,9,FALSE()),""))</f>
      </c>
    </row>
    <row r="3481">
      <c r="F3481">
        <f>IF(DATOS!$A3481="","",DATOS!$A3481&amp;"|"&amp;DATOS!$D3481&amp;"|"&amp;DATOS!$E3481&amp;"|"&amp;DATOS!$I3481)</f>
      </c>
      <c r="G3481">
        <f>IF(DATOS!$A3481="",0,IF(CONFIG_METADATA!$B$4&lt;&gt;"OR+EX",--(DATOS!$G3481=CONFIG_METADATA!$B$4),IF(DATOS!$G3481="EX",1,IF(DATOS!$G3481="OR",--(COUNTIFS(nNIA,DATOS!$A3481,nCURSO,DATOS!$D3481,nESPEC,DATOS!$E3481,nASIG,DATOS!$I3481,nEVAL,"EX")=0),0))))</f>
      </c>
      <c r="H3481">
        <f>IF(DATOS!$G3481&lt;&gt;"EX",0,--(COUNTIFS(nNIA,DATOS!$A3481,nCURSO,DATOS!$D3481,nESPEC,DATOS!$E3481,nASIG,DATOS!$I3481,nEVAL,"OR")=0))</f>
      </c>
      <c r="I3481">
        <f>IF(DATOS!$I3481="","",IFERROR(VLOOKUP(DATOS!$I3481,CONFIG_ASIGNATURAS!$B$2:$J$91,9,FALSE()),""))</f>
      </c>
    </row>
    <row r="3482">
      <c r="F3482">
        <f>IF(DATOS!$A3482="","",DATOS!$A3482&amp;"|"&amp;DATOS!$D3482&amp;"|"&amp;DATOS!$E3482&amp;"|"&amp;DATOS!$I3482)</f>
      </c>
      <c r="G3482">
        <f>IF(DATOS!$A3482="",0,IF(CONFIG_METADATA!$B$4&lt;&gt;"OR+EX",--(DATOS!$G3482=CONFIG_METADATA!$B$4),IF(DATOS!$G3482="EX",1,IF(DATOS!$G3482="OR",--(COUNTIFS(nNIA,DATOS!$A3482,nCURSO,DATOS!$D3482,nESPEC,DATOS!$E3482,nASIG,DATOS!$I3482,nEVAL,"EX")=0),0))))</f>
      </c>
      <c r="H3482">
        <f>IF(DATOS!$G3482&lt;&gt;"EX",0,--(COUNTIFS(nNIA,DATOS!$A3482,nCURSO,DATOS!$D3482,nESPEC,DATOS!$E3482,nASIG,DATOS!$I3482,nEVAL,"OR")=0))</f>
      </c>
      <c r="I3482">
        <f>IF(DATOS!$I3482="","",IFERROR(VLOOKUP(DATOS!$I3482,CONFIG_ASIGNATURAS!$B$2:$J$91,9,FALSE()),""))</f>
      </c>
    </row>
    <row r="3483">
      <c r="F3483">
        <f>IF(DATOS!$A3483="","",DATOS!$A3483&amp;"|"&amp;DATOS!$D3483&amp;"|"&amp;DATOS!$E3483&amp;"|"&amp;DATOS!$I3483)</f>
      </c>
      <c r="G3483">
        <f>IF(DATOS!$A3483="",0,IF(CONFIG_METADATA!$B$4&lt;&gt;"OR+EX",--(DATOS!$G3483=CONFIG_METADATA!$B$4),IF(DATOS!$G3483="EX",1,IF(DATOS!$G3483="OR",--(COUNTIFS(nNIA,DATOS!$A3483,nCURSO,DATOS!$D3483,nESPEC,DATOS!$E3483,nASIG,DATOS!$I3483,nEVAL,"EX")=0),0))))</f>
      </c>
      <c r="H3483">
        <f>IF(DATOS!$G3483&lt;&gt;"EX",0,--(COUNTIFS(nNIA,DATOS!$A3483,nCURSO,DATOS!$D3483,nESPEC,DATOS!$E3483,nASIG,DATOS!$I3483,nEVAL,"OR")=0))</f>
      </c>
      <c r="I3483">
        <f>IF(DATOS!$I3483="","",IFERROR(VLOOKUP(DATOS!$I3483,CONFIG_ASIGNATURAS!$B$2:$J$91,9,FALSE()),""))</f>
      </c>
    </row>
    <row r="3484">
      <c r="F3484">
        <f>IF(DATOS!$A3484="","",DATOS!$A3484&amp;"|"&amp;DATOS!$D3484&amp;"|"&amp;DATOS!$E3484&amp;"|"&amp;DATOS!$I3484)</f>
      </c>
      <c r="G3484">
        <f>IF(DATOS!$A3484="",0,IF(CONFIG_METADATA!$B$4&lt;&gt;"OR+EX",--(DATOS!$G3484=CONFIG_METADATA!$B$4),IF(DATOS!$G3484="EX",1,IF(DATOS!$G3484="OR",--(COUNTIFS(nNIA,DATOS!$A3484,nCURSO,DATOS!$D3484,nESPEC,DATOS!$E3484,nASIG,DATOS!$I3484,nEVAL,"EX")=0),0))))</f>
      </c>
      <c r="H3484">
        <f>IF(DATOS!$G3484&lt;&gt;"EX",0,--(COUNTIFS(nNIA,DATOS!$A3484,nCURSO,DATOS!$D3484,nESPEC,DATOS!$E3484,nASIG,DATOS!$I3484,nEVAL,"OR")=0))</f>
      </c>
      <c r="I3484">
        <f>IF(DATOS!$I3484="","",IFERROR(VLOOKUP(DATOS!$I3484,CONFIG_ASIGNATURAS!$B$2:$J$91,9,FALSE()),""))</f>
      </c>
    </row>
    <row r="3485">
      <c r="F3485">
        <f>IF(DATOS!$A3485="","",DATOS!$A3485&amp;"|"&amp;DATOS!$D3485&amp;"|"&amp;DATOS!$E3485&amp;"|"&amp;DATOS!$I3485)</f>
      </c>
      <c r="G3485">
        <f>IF(DATOS!$A3485="",0,IF(CONFIG_METADATA!$B$4&lt;&gt;"OR+EX",--(DATOS!$G3485=CONFIG_METADATA!$B$4),IF(DATOS!$G3485="EX",1,IF(DATOS!$G3485="OR",--(COUNTIFS(nNIA,DATOS!$A3485,nCURSO,DATOS!$D3485,nESPEC,DATOS!$E3485,nASIG,DATOS!$I3485,nEVAL,"EX")=0),0))))</f>
      </c>
      <c r="H3485">
        <f>IF(DATOS!$G3485&lt;&gt;"EX",0,--(COUNTIFS(nNIA,DATOS!$A3485,nCURSO,DATOS!$D3485,nESPEC,DATOS!$E3485,nASIG,DATOS!$I3485,nEVAL,"OR")=0))</f>
      </c>
      <c r="I3485">
        <f>IF(DATOS!$I3485="","",IFERROR(VLOOKUP(DATOS!$I3485,CONFIG_ASIGNATURAS!$B$2:$J$91,9,FALSE()),""))</f>
      </c>
    </row>
    <row r="3486">
      <c r="F3486">
        <f>IF(DATOS!$A3486="","",DATOS!$A3486&amp;"|"&amp;DATOS!$D3486&amp;"|"&amp;DATOS!$E3486&amp;"|"&amp;DATOS!$I3486)</f>
      </c>
      <c r="G3486">
        <f>IF(DATOS!$A3486="",0,IF(CONFIG_METADATA!$B$4&lt;&gt;"OR+EX",--(DATOS!$G3486=CONFIG_METADATA!$B$4),IF(DATOS!$G3486="EX",1,IF(DATOS!$G3486="OR",--(COUNTIFS(nNIA,DATOS!$A3486,nCURSO,DATOS!$D3486,nESPEC,DATOS!$E3486,nASIG,DATOS!$I3486,nEVAL,"EX")=0),0))))</f>
      </c>
      <c r="H3486">
        <f>IF(DATOS!$G3486&lt;&gt;"EX",0,--(COUNTIFS(nNIA,DATOS!$A3486,nCURSO,DATOS!$D3486,nESPEC,DATOS!$E3486,nASIG,DATOS!$I3486,nEVAL,"OR")=0))</f>
      </c>
      <c r="I3486">
        <f>IF(DATOS!$I3486="","",IFERROR(VLOOKUP(DATOS!$I3486,CONFIG_ASIGNATURAS!$B$2:$J$91,9,FALSE()),""))</f>
      </c>
    </row>
    <row r="3487">
      <c r="F3487">
        <f>IF(DATOS!$A3487="","",DATOS!$A3487&amp;"|"&amp;DATOS!$D3487&amp;"|"&amp;DATOS!$E3487&amp;"|"&amp;DATOS!$I3487)</f>
      </c>
      <c r="G3487">
        <f>IF(DATOS!$A3487="",0,IF(CONFIG_METADATA!$B$4&lt;&gt;"OR+EX",--(DATOS!$G3487=CONFIG_METADATA!$B$4),IF(DATOS!$G3487="EX",1,IF(DATOS!$G3487="OR",--(COUNTIFS(nNIA,DATOS!$A3487,nCURSO,DATOS!$D3487,nESPEC,DATOS!$E3487,nASIG,DATOS!$I3487,nEVAL,"EX")=0),0))))</f>
      </c>
      <c r="H3487">
        <f>IF(DATOS!$G3487&lt;&gt;"EX",0,--(COUNTIFS(nNIA,DATOS!$A3487,nCURSO,DATOS!$D3487,nESPEC,DATOS!$E3487,nASIG,DATOS!$I3487,nEVAL,"OR")=0))</f>
      </c>
      <c r="I3487">
        <f>IF(DATOS!$I3487="","",IFERROR(VLOOKUP(DATOS!$I3487,CONFIG_ASIGNATURAS!$B$2:$J$91,9,FALSE()),""))</f>
      </c>
    </row>
    <row r="3488">
      <c r="F3488">
        <f>IF(DATOS!$A3488="","",DATOS!$A3488&amp;"|"&amp;DATOS!$D3488&amp;"|"&amp;DATOS!$E3488&amp;"|"&amp;DATOS!$I3488)</f>
      </c>
      <c r="G3488">
        <f>IF(DATOS!$A3488="",0,IF(CONFIG_METADATA!$B$4&lt;&gt;"OR+EX",--(DATOS!$G3488=CONFIG_METADATA!$B$4),IF(DATOS!$G3488="EX",1,IF(DATOS!$G3488="OR",--(COUNTIFS(nNIA,DATOS!$A3488,nCURSO,DATOS!$D3488,nESPEC,DATOS!$E3488,nASIG,DATOS!$I3488,nEVAL,"EX")=0),0))))</f>
      </c>
      <c r="H3488">
        <f>IF(DATOS!$G3488&lt;&gt;"EX",0,--(COUNTIFS(nNIA,DATOS!$A3488,nCURSO,DATOS!$D3488,nESPEC,DATOS!$E3488,nASIG,DATOS!$I3488,nEVAL,"OR")=0))</f>
      </c>
      <c r="I3488">
        <f>IF(DATOS!$I3488="","",IFERROR(VLOOKUP(DATOS!$I3488,CONFIG_ASIGNATURAS!$B$2:$J$91,9,FALSE()),""))</f>
      </c>
    </row>
    <row r="3489">
      <c r="F3489">
        <f>IF(DATOS!$A3489="","",DATOS!$A3489&amp;"|"&amp;DATOS!$D3489&amp;"|"&amp;DATOS!$E3489&amp;"|"&amp;DATOS!$I3489)</f>
      </c>
      <c r="G3489">
        <f>IF(DATOS!$A3489="",0,IF(CONFIG_METADATA!$B$4&lt;&gt;"OR+EX",--(DATOS!$G3489=CONFIG_METADATA!$B$4),IF(DATOS!$G3489="EX",1,IF(DATOS!$G3489="OR",--(COUNTIFS(nNIA,DATOS!$A3489,nCURSO,DATOS!$D3489,nESPEC,DATOS!$E3489,nASIG,DATOS!$I3489,nEVAL,"EX")=0),0))))</f>
      </c>
      <c r="H3489">
        <f>IF(DATOS!$G3489&lt;&gt;"EX",0,--(COUNTIFS(nNIA,DATOS!$A3489,nCURSO,DATOS!$D3489,nESPEC,DATOS!$E3489,nASIG,DATOS!$I3489,nEVAL,"OR")=0))</f>
      </c>
      <c r="I3489">
        <f>IF(DATOS!$I3489="","",IFERROR(VLOOKUP(DATOS!$I3489,CONFIG_ASIGNATURAS!$B$2:$J$91,9,FALSE()),""))</f>
      </c>
    </row>
    <row r="3490">
      <c r="F3490">
        <f>IF(DATOS!$A3490="","",DATOS!$A3490&amp;"|"&amp;DATOS!$D3490&amp;"|"&amp;DATOS!$E3490&amp;"|"&amp;DATOS!$I3490)</f>
      </c>
      <c r="G3490">
        <f>IF(DATOS!$A3490="",0,IF(CONFIG_METADATA!$B$4&lt;&gt;"OR+EX",--(DATOS!$G3490=CONFIG_METADATA!$B$4),IF(DATOS!$G3490="EX",1,IF(DATOS!$G3490="OR",--(COUNTIFS(nNIA,DATOS!$A3490,nCURSO,DATOS!$D3490,nESPEC,DATOS!$E3490,nASIG,DATOS!$I3490,nEVAL,"EX")=0),0))))</f>
      </c>
      <c r="H3490">
        <f>IF(DATOS!$G3490&lt;&gt;"EX",0,--(COUNTIFS(nNIA,DATOS!$A3490,nCURSO,DATOS!$D3490,nESPEC,DATOS!$E3490,nASIG,DATOS!$I3490,nEVAL,"OR")=0))</f>
      </c>
      <c r="I3490">
        <f>IF(DATOS!$I3490="","",IFERROR(VLOOKUP(DATOS!$I3490,CONFIG_ASIGNATURAS!$B$2:$J$91,9,FALSE()),""))</f>
      </c>
    </row>
    <row r="3491">
      <c r="F3491">
        <f>IF(DATOS!$A3491="","",DATOS!$A3491&amp;"|"&amp;DATOS!$D3491&amp;"|"&amp;DATOS!$E3491&amp;"|"&amp;DATOS!$I3491)</f>
      </c>
      <c r="G3491">
        <f>IF(DATOS!$A3491="",0,IF(CONFIG_METADATA!$B$4&lt;&gt;"OR+EX",--(DATOS!$G3491=CONFIG_METADATA!$B$4),IF(DATOS!$G3491="EX",1,IF(DATOS!$G3491="OR",--(COUNTIFS(nNIA,DATOS!$A3491,nCURSO,DATOS!$D3491,nESPEC,DATOS!$E3491,nASIG,DATOS!$I3491,nEVAL,"EX")=0),0))))</f>
      </c>
      <c r="H3491">
        <f>IF(DATOS!$G3491&lt;&gt;"EX",0,--(COUNTIFS(nNIA,DATOS!$A3491,nCURSO,DATOS!$D3491,nESPEC,DATOS!$E3491,nASIG,DATOS!$I3491,nEVAL,"OR")=0))</f>
      </c>
      <c r="I3491">
        <f>IF(DATOS!$I3491="","",IFERROR(VLOOKUP(DATOS!$I3491,CONFIG_ASIGNATURAS!$B$2:$J$91,9,FALSE()),""))</f>
      </c>
    </row>
    <row r="3492">
      <c r="F3492">
        <f>IF(DATOS!$A3492="","",DATOS!$A3492&amp;"|"&amp;DATOS!$D3492&amp;"|"&amp;DATOS!$E3492&amp;"|"&amp;DATOS!$I3492)</f>
      </c>
      <c r="G3492">
        <f>IF(DATOS!$A3492="",0,IF(CONFIG_METADATA!$B$4&lt;&gt;"OR+EX",--(DATOS!$G3492=CONFIG_METADATA!$B$4),IF(DATOS!$G3492="EX",1,IF(DATOS!$G3492="OR",--(COUNTIFS(nNIA,DATOS!$A3492,nCURSO,DATOS!$D3492,nESPEC,DATOS!$E3492,nASIG,DATOS!$I3492,nEVAL,"EX")=0),0))))</f>
      </c>
      <c r="H3492">
        <f>IF(DATOS!$G3492&lt;&gt;"EX",0,--(COUNTIFS(nNIA,DATOS!$A3492,nCURSO,DATOS!$D3492,nESPEC,DATOS!$E3492,nASIG,DATOS!$I3492,nEVAL,"OR")=0))</f>
      </c>
      <c r="I3492">
        <f>IF(DATOS!$I3492="","",IFERROR(VLOOKUP(DATOS!$I3492,CONFIG_ASIGNATURAS!$B$2:$J$91,9,FALSE()),""))</f>
      </c>
    </row>
    <row r="3493">
      <c r="F3493">
        <f>IF(DATOS!$A3493="","",DATOS!$A3493&amp;"|"&amp;DATOS!$D3493&amp;"|"&amp;DATOS!$E3493&amp;"|"&amp;DATOS!$I3493)</f>
      </c>
      <c r="G3493">
        <f>IF(DATOS!$A3493="",0,IF(CONFIG_METADATA!$B$4&lt;&gt;"OR+EX",--(DATOS!$G3493=CONFIG_METADATA!$B$4),IF(DATOS!$G3493="EX",1,IF(DATOS!$G3493="OR",--(COUNTIFS(nNIA,DATOS!$A3493,nCURSO,DATOS!$D3493,nESPEC,DATOS!$E3493,nASIG,DATOS!$I3493,nEVAL,"EX")=0),0))))</f>
      </c>
      <c r="H3493">
        <f>IF(DATOS!$G3493&lt;&gt;"EX",0,--(COUNTIFS(nNIA,DATOS!$A3493,nCURSO,DATOS!$D3493,nESPEC,DATOS!$E3493,nASIG,DATOS!$I3493,nEVAL,"OR")=0))</f>
      </c>
      <c r="I3493">
        <f>IF(DATOS!$I3493="","",IFERROR(VLOOKUP(DATOS!$I3493,CONFIG_ASIGNATURAS!$B$2:$J$91,9,FALSE()),""))</f>
      </c>
    </row>
    <row r="3494">
      <c r="F3494">
        <f>IF(DATOS!$A3494="","",DATOS!$A3494&amp;"|"&amp;DATOS!$D3494&amp;"|"&amp;DATOS!$E3494&amp;"|"&amp;DATOS!$I3494)</f>
      </c>
      <c r="G3494">
        <f>IF(DATOS!$A3494="",0,IF(CONFIG_METADATA!$B$4&lt;&gt;"OR+EX",--(DATOS!$G3494=CONFIG_METADATA!$B$4),IF(DATOS!$G3494="EX",1,IF(DATOS!$G3494="OR",--(COUNTIFS(nNIA,DATOS!$A3494,nCURSO,DATOS!$D3494,nESPEC,DATOS!$E3494,nASIG,DATOS!$I3494,nEVAL,"EX")=0),0))))</f>
      </c>
      <c r="H3494">
        <f>IF(DATOS!$G3494&lt;&gt;"EX",0,--(COUNTIFS(nNIA,DATOS!$A3494,nCURSO,DATOS!$D3494,nESPEC,DATOS!$E3494,nASIG,DATOS!$I3494,nEVAL,"OR")=0))</f>
      </c>
      <c r="I3494">
        <f>IF(DATOS!$I3494="","",IFERROR(VLOOKUP(DATOS!$I3494,CONFIG_ASIGNATURAS!$B$2:$J$91,9,FALSE()),""))</f>
      </c>
    </row>
    <row r="3495">
      <c r="F3495">
        <f>IF(DATOS!$A3495="","",DATOS!$A3495&amp;"|"&amp;DATOS!$D3495&amp;"|"&amp;DATOS!$E3495&amp;"|"&amp;DATOS!$I3495)</f>
      </c>
      <c r="G3495">
        <f>IF(DATOS!$A3495="",0,IF(CONFIG_METADATA!$B$4&lt;&gt;"OR+EX",--(DATOS!$G3495=CONFIG_METADATA!$B$4),IF(DATOS!$G3495="EX",1,IF(DATOS!$G3495="OR",--(COUNTIFS(nNIA,DATOS!$A3495,nCURSO,DATOS!$D3495,nESPEC,DATOS!$E3495,nASIG,DATOS!$I3495,nEVAL,"EX")=0),0))))</f>
      </c>
      <c r="H3495">
        <f>IF(DATOS!$G3495&lt;&gt;"EX",0,--(COUNTIFS(nNIA,DATOS!$A3495,nCURSO,DATOS!$D3495,nESPEC,DATOS!$E3495,nASIG,DATOS!$I3495,nEVAL,"OR")=0))</f>
      </c>
      <c r="I3495">
        <f>IF(DATOS!$I3495="","",IFERROR(VLOOKUP(DATOS!$I3495,CONFIG_ASIGNATURAS!$B$2:$J$91,9,FALSE()),""))</f>
      </c>
    </row>
    <row r="3496">
      <c r="F3496">
        <f>IF(DATOS!$A3496="","",DATOS!$A3496&amp;"|"&amp;DATOS!$D3496&amp;"|"&amp;DATOS!$E3496&amp;"|"&amp;DATOS!$I3496)</f>
      </c>
      <c r="G3496">
        <f>IF(DATOS!$A3496="",0,IF(CONFIG_METADATA!$B$4&lt;&gt;"OR+EX",--(DATOS!$G3496=CONFIG_METADATA!$B$4),IF(DATOS!$G3496="EX",1,IF(DATOS!$G3496="OR",--(COUNTIFS(nNIA,DATOS!$A3496,nCURSO,DATOS!$D3496,nESPEC,DATOS!$E3496,nASIG,DATOS!$I3496,nEVAL,"EX")=0),0))))</f>
      </c>
      <c r="H3496">
        <f>IF(DATOS!$G3496&lt;&gt;"EX",0,--(COUNTIFS(nNIA,DATOS!$A3496,nCURSO,DATOS!$D3496,nESPEC,DATOS!$E3496,nASIG,DATOS!$I3496,nEVAL,"OR")=0))</f>
      </c>
      <c r="I3496">
        <f>IF(DATOS!$I3496="","",IFERROR(VLOOKUP(DATOS!$I3496,CONFIG_ASIGNATURAS!$B$2:$J$91,9,FALSE()),""))</f>
      </c>
    </row>
    <row r="3497">
      <c r="F3497">
        <f>IF(DATOS!$A3497="","",DATOS!$A3497&amp;"|"&amp;DATOS!$D3497&amp;"|"&amp;DATOS!$E3497&amp;"|"&amp;DATOS!$I3497)</f>
      </c>
      <c r="G3497">
        <f>IF(DATOS!$A3497="",0,IF(CONFIG_METADATA!$B$4&lt;&gt;"OR+EX",--(DATOS!$G3497=CONFIG_METADATA!$B$4),IF(DATOS!$G3497="EX",1,IF(DATOS!$G3497="OR",--(COUNTIFS(nNIA,DATOS!$A3497,nCURSO,DATOS!$D3497,nESPEC,DATOS!$E3497,nASIG,DATOS!$I3497,nEVAL,"EX")=0),0))))</f>
      </c>
      <c r="H3497">
        <f>IF(DATOS!$G3497&lt;&gt;"EX",0,--(COUNTIFS(nNIA,DATOS!$A3497,nCURSO,DATOS!$D3497,nESPEC,DATOS!$E3497,nASIG,DATOS!$I3497,nEVAL,"OR")=0))</f>
      </c>
      <c r="I3497">
        <f>IF(DATOS!$I3497="","",IFERROR(VLOOKUP(DATOS!$I3497,CONFIG_ASIGNATURAS!$B$2:$J$91,9,FALSE()),""))</f>
      </c>
    </row>
    <row r="3498">
      <c r="F3498">
        <f>IF(DATOS!$A3498="","",DATOS!$A3498&amp;"|"&amp;DATOS!$D3498&amp;"|"&amp;DATOS!$E3498&amp;"|"&amp;DATOS!$I3498)</f>
      </c>
      <c r="G3498">
        <f>IF(DATOS!$A3498="",0,IF(CONFIG_METADATA!$B$4&lt;&gt;"OR+EX",--(DATOS!$G3498=CONFIG_METADATA!$B$4),IF(DATOS!$G3498="EX",1,IF(DATOS!$G3498="OR",--(COUNTIFS(nNIA,DATOS!$A3498,nCURSO,DATOS!$D3498,nESPEC,DATOS!$E3498,nASIG,DATOS!$I3498,nEVAL,"EX")=0),0))))</f>
      </c>
      <c r="H3498">
        <f>IF(DATOS!$G3498&lt;&gt;"EX",0,--(COUNTIFS(nNIA,DATOS!$A3498,nCURSO,DATOS!$D3498,nESPEC,DATOS!$E3498,nASIG,DATOS!$I3498,nEVAL,"OR")=0))</f>
      </c>
      <c r="I3498">
        <f>IF(DATOS!$I3498="","",IFERROR(VLOOKUP(DATOS!$I3498,CONFIG_ASIGNATURAS!$B$2:$J$91,9,FALSE()),""))</f>
      </c>
    </row>
    <row r="3499">
      <c r="F3499">
        <f>IF(DATOS!$A3499="","",DATOS!$A3499&amp;"|"&amp;DATOS!$D3499&amp;"|"&amp;DATOS!$E3499&amp;"|"&amp;DATOS!$I3499)</f>
      </c>
      <c r="G3499">
        <f>IF(DATOS!$A3499="",0,IF(CONFIG_METADATA!$B$4&lt;&gt;"OR+EX",--(DATOS!$G3499=CONFIG_METADATA!$B$4),IF(DATOS!$G3499="EX",1,IF(DATOS!$G3499="OR",--(COUNTIFS(nNIA,DATOS!$A3499,nCURSO,DATOS!$D3499,nESPEC,DATOS!$E3499,nASIG,DATOS!$I3499,nEVAL,"EX")=0),0))))</f>
      </c>
      <c r="H3499">
        <f>IF(DATOS!$G3499&lt;&gt;"EX",0,--(COUNTIFS(nNIA,DATOS!$A3499,nCURSO,DATOS!$D3499,nESPEC,DATOS!$E3499,nASIG,DATOS!$I3499,nEVAL,"OR")=0))</f>
      </c>
      <c r="I3499">
        <f>IF(DATOS!$I3499="","",IFERROR(VLOOKUP(DATOS!$I3499,CONFIG_ASIGNATURAS!$B$2:$J$91,9,FALSE()),""))</f>
      </c>
    </row>
    <row r="3500">
      <c r="F3500">
        <f>IF(DATOS!$A3500="","",DATOS!$A3500&amp;"|"&amp;DATOS!$D3500&amp;"|"&amp;DATOS!$E3500&amp;"|"&amp;DATOS!$I3500)</f>
      </c>
      <c r="G3500">
        <f>IF(DATOS!$A3500="",0,IF(CONFIG_METADATA!$B$4&lt;&gt;"OR+EX",--(DATOS!$G3500=CONFIG_METADATA!$B$4),IF(DATOS!$G3500="EX",1,IF(DATOS!$G3500="OR",--(COUNTIFS(nNIA,DATOS!$A3500,nCURSO,DATOS!$D3500,nESPEC,DATOS!$E3500,nASIG,DATOS!$I3500,nEVAL,"EX")=0),0))))</f>
      </c>
      <c r="H3500">
        <f>IF(DATOS!$G3500&lt;&gt;"EX",0,--(COUNTIFS(nNIA,DATOS!$A3500,nCURSO,DATOS!$D3500,nESPEC,DATOS!$E3500,nASIG,DATOS!$I3500,nEVAL,"OR")=0))</f>
      </c>
      <c r="I3500">
        <f>IF(DATOS!$I3500="","",IFERROR(VLOOKUP(DATOS!$I3500,CONFIG_ASIGNATURAS!$B$2:$J$91,9,FALSE()),""))</f>
      </c>
    </row>
    <row r="3501">
      <c r="F3501">
        <f>IF(DATOS!$A3501="","",DATOS!$A3501&amp;"|"&amp;DATOS!$D3501&amp;"|"&amp;DATOS!$E3501&amp;"|"&amp;DATOS!$I3501)</f>
      </c>
      <c r="G3501">
        <f>IF(DATOS!$A3501="",0,IF(CONFIG_METADATA!$B$4&lt;&gt;"OR+EX",--(DATOS!$G3501=CONFIG_METADATA!$B$4),IF(DATOS!$G3501="EX",1,IF(DATOS!$G3501="OR",--(COUNTIFS(nNIA,DATOS!$A3501,nCURSO,DATOS!$D3501,nESPEC,DATOS!$E3501,nASIG,DATOS!$I3501,nEVAL,"EX")=0),0))))</f>
      </c>
      <c r="H3501">
        <f>IF(DATOS!$G3501&lt;&gt;"EX",0,--(COUNTIFS(nNIA,DATOS!$A3501,nCURSO,DATOS!$D3501,nESPEC,DATOS!$E3501,nASIG,DATOS!$I3501,nEVAL,"OR")=0))</f>
      </c>
      <c r="I3501">
        <f>IF(DATOS!$I3501="","",IFERROR(VLOOKUP(DATOS!$I3501,CONFIG_ASIGNATURAS!$B$2:$J$91,9,FALSE()),""))</f>
      </c>
    </row>
    <row r="3502">
      <c r="F3502">
        <f>IF(DATOS!$A3502="","",DATOS!$A3502&amp;"|"&amp;DATOS!$D3502&amp;"|"&amp;DATOS!$E3502&amp;"|"&amp;DATOS!$I3502)</f>
      </c>
      <c r="G3502">
        <f>IF(DATOS!$A3502="",0,IF(CONFIG_METADATA!$B$4&lt;&gt;"OR+EX",--(DATOS!$G3502=CONFIG_METADATA!$B$4),IF(DATOS!$G3502="EX",1,IF(DATOS!$G3502="OR",--(COUNTIFS(nNIA,DATOS!$A3502,nCURSO,DATOS!$D3502,nESPEC,DATOS!$E3502,nASIG,DATOS!$I3502,nEVAL,"EX")=0),0))))</f>
      </c>
      <c r="H3502">
        <f>IF(DATOS!$G3502&lt;&gt;"EX",0,--(COUNTIFS(nNIA,DATOS!$A3502,nCURSO,DATOS!$D3502,nESPEC,DATOS!$E3502,nASIG,DATOS!$I3502,nEVAL,"OR")=0))</f>
      </c>
      <c r="I3502">
        <f>IF(DATOS!$I3502="","",IFERROR(VLOOKUP(DATOS!$I3502,CONFIG_ASIGNATURAS!$B$2:$J$91,9,FALSE()),""))</f>
      </c>
    </row>
    <row r="3503">
      <c r="F3503">
        <f>IF(DATOS!$A3503="","",DATOS!$A3503&amp;"|"&amp;DATOS!$D3503&amp;"|"&amp;DATOS!$E3503&amp;"|"&amp;DATOS!$I3503)</f>
      </c>
      <c r="G3503">
        <f>IF(DATOS!$A3503="",0,IF(CONFIG_METADATA!$B$4&lt;&gt;"OR+EX",--(DATOS!$G3503=CONFIG_METADATA!$B$4),IF(DATOS!$G3503="EX",1,IF(DATOS!$G3503="OR",--(COUNTIFS(nNIA,DATOS!$A3503,nCURSO,DATOS!$D3503,nESPEC,DATOS!$E3503,nASIG,DATOS!$I3503,nEVAL,"EX")=0),0))))</f>
      </c>
      <c r="H3503">
        <f>IF(DATOS!$G3503&lt;&gt;"EX",0,--(COUNTIFS(nNIA,DATOS!$A3503,nCURSO,DATOS!$D3503,nESPEC,DATOS!$E3503,nASIG,DATOS!$I3503,nEVAL,"OR")=0))</f>
      </c>
      <c r="I3503">
        <f>IF(DATOS!$I3503="","",IFERROR(VLOOKUP(DATOS!$I3503,CONFIG_ASIGNATURAS!$B$2:$J$91,9,FALSE()),""))</f>
      </c>
    </row>
    <row r="3504">
      <c r="F3504">
        <f>IF(DATOS!$A3504="","",DATOS!$A3504&amp;"|"&amp;DATOS!$D3504&amp;"|"&amp;DATOS!$E3504&amp;"|"&amp;DATOS!$I3504)</f>
      </c>
      <c r="G3504">
        <f>IF(DATOS!$A3504="",0,IF(CONFIG_METADATA!$B$4&lt;&gt;"OR+EX",--(DATOS!$G3504=CONFIG_METADATA!$B$4),IF(DATOS!$G3504="EX",1,IF(DATOS!$G3504="OR",--(COUNTIFS(nNIA,DATOS!$A3504,nCURSO,DATOS!$D3504,nESPEC,DATOS!$E3504,nASIG,DATOS!$I3504,nEVAL,"EX")=0),0))))</f>
      </c>
      <c r="H3504">
        <f>IF(DATOS!$G3504&lt;&gt;"EX",0,--(COUNTIFS(nNIA,DATOS!$A3504,nCURSO,DATOS!$D3504,nESPEC,DATOS!$E3504,nASIG,DATOS!$I3504,nEVAL,"OR")=0))</f>
      </c>
      <c r="I3504">
        <f>IF(DATOS!$I3504="","",IFERROR(VLOOKUP(DATOS!$I3504,CONFIG_ASIGNATURAS!$B$2:$J$91,9,FALSE()),""))</f>
      </c>
    </row>
    <row r="3505">
      <c r="F3505">
        <f>IF(DATOS!$A3505="","",DATOS!$A3505&amp;"|"&amp;DATOS!$D3505&amp;"|"&amp;DATOS!$E3505&amp;"|"&amp;DATOS!$I3505)</f>
      </c>
      <c r="G3505">
        <f>IF(DATOS!$A3505="",0,IF(CONFIG_METADATA!$B$4&lt;&gt;"OR+EX",--(DATOS!$G3505=CONFIG_METADATA!$B$4),IF(DATOS!$G3505="EX",1,IF(DATOS!$G3505="OR",--(COUNTIFS(nNIA,DATOS!$A3505,nCURSO,DATOS!$D3505,nESPEC,DATOS!$E3505,nASIG,DATOS!$I3505,nEVAL,"EX")=0),0))))</f>
      </c>
      <c r="H3505">
        <f>IF(DATOS!$G3505&lt;&gt;"EX",0,--(COUNTIFS(nNIA,DATOS!$A3505,nCURSO,DATOS!$D3505,nESPEC,DATOS!$E3505,nASIG,DATOS!$I3505,nEVAL,"OR")=0))</f>
      </c>
      <c r="I3505">
        <f>IF(DATOS!$I3505="","",IFERROR(VLOOKUP(DATOS!$I3505,CONFIG_ASIGNATURAS!$B$2:$J$91,9,FALSE()),""))</f>
      </c>
    </row>
    <row r="3506">
      <c r="F3506">
        <f>IF(DATOS!$A3506="","",DATOS!$A3506&amp;"|"&amp;DATOS!$D3506&amp;"|"&amp;DATOS!$E3506&amp;"|"&amp;DATOS!$I3506)</f>
      </c>
      <c r="G3506">
        <f>IF(DATOS!$A3506="",0,IF(CONFIG_METADATA!$B$4&lt;&gt;"OR+EX",--(DATOS!$G3506=CONFIG_METADATA!$B$4),IF(DATOS!$G3506="EX",1,IF(DATOS!$G3506="OR",--(COUNTIFS(nNIA,DATOS!$A3506,nCURSO,DATOS!$D3506,nESPEC,DATOS!$E3506,nASIG,DATOS!$I3506,nEVAL,"EX")=0),0))))</f>
      </c>
      <c r="H3506">
        <f>IF(DATOS!$G3506&lt;&gt;"EX",0,--(COUNTIFS(nNIA,DATOS!$A3506,nCURSO,DATOS!$D3506,nESPEC,DATOS!$E3506,nASIG,DATOS!$I3506,nEVAL,"OR")=0))</f>
      </c>
      <c r="I3506">
        <f>IF(DATOS!$I3506="","",IFERROR(VLOOKUP(DATOS!$I3506,CONFIG_ASIGNATURAS!$B$2:$J$91,9,FALSE()),""))</f>
      </c>
    </row>
    <row r="3507">
      <c r="F3507">
        <f>IF(DATOS!$A3507="","",DATOS!$A3507&amp;"|"&amp;DATOS!$D3507&amp;"|"&amp;DATOS!$E3507&amp;"|"&amp;DATOS!$I3507)</f>
      </c>
      <c r="G3507">
        <f>IF(DATOS!$A3507="",0,IF(CONFIG_METADATA!$B$4&lt;&gt;"OR+EX",--(DATOS!$G3507=CONFIG_METADATA!$B$4),IF(DATOS!$G3507="EX",1,IF(DATOS!$G3507="OR",--(COUNTIFS(nNIA,DATOS!$A3507,nCURSO,DATOS!$D3507,nESPEC,DATOS!$E3507,nASIG,DATOS!$I3507,nEVAL,"EX")=0),0))))</f>
      </c>
      <c r="H3507">
        <f>IF(DATOS!$G3507&lt;&gt;"EX",0,--(COUNTIFS(nNIA,DATOS!$A3507,nCURSO,DATOS!$D3507,nESPEC,DATOS!$E3507,nASIG,DATOS!$I3507,nEVAL,"OR")=0))</f>
      </c>
      <c r="I3507">
        <f>IF(DATOS!$I3507="","",IFERROR(VLOOKUP(DATOS!$I3507,CONFIG_ASIGNATURAS!$B$2:$J$91,9,FALSE()),""))</f>
      </c>
    </row>
    <row r="3508">
      <c r="F3508">
        <f>IF(DATOS!$A3508="","",DATOS!$A3508&amp;"|"&amp;DATOS!$D3508&amp;"|"&amp;DATOS!$E3508&amp;"|"&amp;DATOS!$I3508)</f>
      </c>
      <c r="G3508">
        <f>IF(DATOS!$A3508="",0,IF(CONFIG_METADATA!$B$4&lt;&gt;"OR+EX",--(DATOS!$G3508=CONFIG_METADATA!$B$4),IF(DATOS!$G3508="EX",1,IF(DATOS!$G3508="OR",--(COUNTIFS(nNIA,DATOS!$A3508,nCURSO,DATOS!$D3508,nESPEC,DATOS!$E3508,nASIG,DATOS!$I3508,nEVAL,"EX")=0),0))))</f>
      </c>
      <c r="H3508">
        <f>IF(DATOS!$G3508&lt;&gt;"EX",0,--(COUNTIFS(nNIA,DATOS!$A3508,nCURSO,DATOS!$D3508,nESPEC,DATOS!$E3508,nASIG,DATOS!$I3508,nEVAL,"OR")=0))</f>
      </c>
      <c r="I3508">
        <f>IF(DATOS!$I3508="","",IFERROR(VLOOKUP(DATOS!$I3508,CONFIG_ASIGNATURAS!$B$2:$J$91,9,FALSE()),""))</f>
      </c>
    </row>
    <row r="3509">
      <c r="F3509">
        <f>IF(DATOS!$A3509="","",DATOS!$A3509&amp;"|"&amp;DATOS!$D3509&amp;"|"&amp;DATOS!$E3509&amp;"|"&amp;DATOS!$I3509)</f>
      </c>
      <c r="G3509">
        <f>IF(DATOS!$A3509="",0,IF(CONFIG_METADATA!$B$4&lt;&gt;"OR+EX",--(DATOS!$G3509=CONFIG_METADATA!$B$4),IF(DATOS!$G3509="EX",1,IF(DATOS!$G3509="OR",--(COUNTIFS(nNIA,DATOS!$A3509,nCURSO,DATOS!$D3509,nESPEC,DATOS!$E3509,nASIG,DATOS!$I3509,nEVAL,"EX")=0),0))))</f>
      </c>
      <c r="H3509">
        <f>IF(DATOS!$G3509&lt;&gt;"EX",0,--(COUNTIFS(nNIA,DATOS!$A3509,nCURSO,DATOS!$D3509,nESPEC,DATOS!$E3509,nASIG,DATOS!$I3509,nEVAL,"OR")=0))</f>
      </c>
      <c r="I3509">
        <f>IF(DATOS!$I3509="","",IFERROR(VLOOKUP(DATOS!$I3509,CONFIG_ASIGNATURAS!$B$2:$J$91,9,FALSE()),""))</f>
      </c>
    </row>
    <row r="3510">
      <c r="F3510">
        <f>IF(DATOS!$A3510="","",DATOS!$A3510&amp;"|"&amp;DATOS!$D3510&amp;"|"&amp;DATOS!$E3510&amp;"|"&amp;DATOS!$I3510)</f>
      </c>
      <c r="G3510">
        <f>IF(DATOS!$A3510="",0,IF(CONFIG_METADATA!$B$4&lt;&gt;"OR+EX",--(DATOS!$G3510=CONFIG_METADATA!$B$4),IF(DATOS!$G3510="EX",1,IF(DATOS!$G3510="OR",--(COUNTIFS(nNIA,DATOS!$A3510,nCURSO,DATOS!$D3510,nESPEC,DATOS!$E3510,nASIG,DATOS!$I3510,nEVAL,"EX")=0),0))))</f>
      </c>
      <c r="H3510">
        <f>IF(DATOS!$G3510&lt;&gt;"EX",0,--(COUNTIFS(nNIA,DATOS!$A3510,nCURSO,DATOS!$D3510,nESPEC,DATOS!$E3510,nASIG,DATOS!$I3510,nEVAL,"OR")=0))</f>
      </c>
      <c r="I3510">
        <f>IF(DATOS!$I3510="","",IFERROR(VLOOKUP(DATOS!$I3510,CONFIG_ASIGNATURAS!$B$2:$J$91,9,FALSE()),""))</f>
      </c>
    </row>
    <row r="3511">
      <c r="F3511">
        <f>IF(DATOS!$A3511="","",DATOS!$A3511&amp;"|"&amp;DATOS!$D3511&amp;"|"&amp;DATOS!$E3511&amp;"|"&amp;DATOS!$I3511)</f>
      </c>
      <c r="G3511">
        <f>IF(DATOS!$A3511="",0,IF(CONFIG_METADATA!$B$4&lt;&gt;"OR+EX",--(DATOS!$G3511=CONFIG_METADATA!$B$4),IF(DATOS!$G3511="EX",1,IF(DATOS!$G3511="OR",--(COUNTIFS(nNIA,DATOS!$A3511,nCURSO,DATOS!$D3511,nESPEC,DATOS!$E3511,nASIG,DATOS!$I3511,nEVAL,"EX")=0),0))))</f>
      </c>
      <c r="H3511">
        <f>IF(DATOS!$G3511&lt;&gt;"EX",0,--(COUNTIFS(nNIA,DATOS!$A3511,nCURSO,DATOS!$D3511,nESPEC,DATOS!$E3511,nASIG,DATOS!$I3511,nEVAL,"OR")=0))</f>
      </c>
      <c r="I3511">
        <f>IF(DATOS!$I3511="","",IFERROR(VLOOKUP(DATOS!$I3511,CONFIG_ASIGNATURAS!$B$2:$J$91,9,FALSE()),""))</f>
      </c>
    </row>
    <row r="3512">
      <c r="F3512">
        <f>IF(DATOS!$A3512="","",DATOS!$A3512&amp;"|"&amp;DATOS!$D3512&amp;"|"&amp;DATOS!$E3512&amp;"|"&amp;DATOS!$I3512)</f>
      </c>
      <c r="G3512">
        <f>IF(DATOS!$A3512="",0,IF(CONFIG_METADATA!$B$4&lt;&gt;"OR+EX",--(DATOS!$G3512=CONFIG_METADATA!$B$4),IF(DATOS!$G3512="EX",1,IF(DATOS!$G3512="OR",--(COUNTIFS(nNIA,DATOS!$A3512,nCURSO,DATOS!$D3512,nESPEC,DATOS!$E3512,nASIG,DATOS!$I3512,nEVAL,"EX")=0),0))))</f>
      </c>
      <c r="H3512">
        <f>IF(DATOS!$G3512&lt;&gt;"EX",0,--(COUNTIFS(nNIA,DATOS!$A3512,nCURSO,DATOS!$D3512,nESPEC,DATOS!$E3512,nASIG,DATOS!$I3512,nEVAL,"OR")=0))</f>
      </c>
      <c r="I3512">
        <f>IF(DATOS!$I3512="","",IFERROR(VLOOKUP(DATOS!$I3512,CONFIG_ASIGNATURAS!$B$2:$J$91,9,FALSE()),""))</f>
      </c>
    </row>
    <row r="3513">
      <c r="F3513">
        <f>IF(DATOS!$A3513="","",DATOS!$A3513&amp;"|"&amp;DATOS!$D3513&amp;"|"&amp;DATOS!$E3513&amp;"|"&amp;DATOS!$I3513)</f>
      </c>
      <c r="G3513">
        <f>IF(DATOS!$A3513="",0,IF(CONFIG_METADATA!$B$4&lt;&gt;"OR+EX",--(DATOS!$G3513=CONFIG_METADATA!$B$4),IF(DATOS!$G3513="EX",1,IF(DATOS!$G3513="OR",--(COUNTIFS(nNIA,DATOS!$A3513,nCURSO,DATOS!$D3513,nESPEC,DATOS!$E3513,nASIG,DATOS!$I3513,nEVAL,"EX")=0),0))))</f>
      </c>
      <c r="H3513">
        <f>IF(DATOS!$G3513&lt;&gt;"EX",0,--(COUNTIFS(nNIA,DATOS!$A3513,nCURSO,DATOS!$D3513,nESPEC,DATOS!$E3513,nASIG,DATOS!$I3513,nEVAL,"OR")=0))</f>
      </c>
      <c r="I3513">
        <f>IF(DATOS!$I3513="","",IFERROR(VLOOKUP(DATOS!$I3513,CONFIG_ASIGNATURAS!$B$2:$J$91,9,FALSE()),""))</f>
      </c>
    </row>
    <row r="3514">
      <c r="F3514">
        <f>IF(DATOS!$A3514="","",DATOS!$A3514&amp;"|"&amp;DATOS!$D3514&amp;"|"&amp;DATOS!$E3514&amp;"|"&amp;DATOS!$I3514)</f>
      </c>
      <c r="G3514">
        <f>IF(DATOS!$A3514="",0,IF(CONFIG_METADATA!$B$4&lt;&gt;"OR+EX",--(DATOS!$G3514=CONFIG_METADATA!$B$4),IF(DATOS!$G3514="EX",1,IF(DATOS!$G3514="OR",--(COUNTIFS(nNIA,DATOS!$A3514,nCURSO,DATOS!$D3514,nESPEC,DATOS!$E3514,nASIG,DATOS!$I3514,nEVAL,"EX")=0),0))))</f>
      </c>
      <c r="H3514">
        <f>IF(DATOS!$G3514&lt;&gt;"EX",0,--(COUNTIFS(nNIA,DATOS!$A3514,nCURSO,DATOS!$D3514,nESPEC,DATOS!$E3514,nASIG,DATOS!$I3514,nEVAL,"OR")=0))</f>
      </c>
      <c r="I3514">
        <f>IF(DATOS!$I3514="","",IFERROR(VLOOKUP(DATOS!$I3514,CONFIG_ASIGNATURAS!$B$2:$J$91,9,FALSE()),""))</f>
      </c>
    </row>
    <row r="3515">
      <c r="F3515">
        <f>IF(DATOS!$A3515="","",DATOS!$A3515&amp;"|"&amp;DATOS!$D3515&amp;"|"&amp;DATOS!$E3515&amp;"|"&amp;DATOS!$I3515)</f>
      </c>
      <c r="G3515">
        <f>IF(DATOS!$A3515="",0,IF(CONFIG_METADATA!$B$4&lt;&gt;"OR+EX",--(DATOS!$G3515=CONFIG_METADATA!$B$4),IF(DATOS!$G3515="EX",1,IF(DATOS!$G3515="OR",--(COUNTIFS(nNIA,DATOS!$A3515,nCURSO,DATOS!$D3515,nESPEC,DATOS!$E3515,nASIG,DATOS!$I3515,nEVAL,"EX")=0),0))))</f>
      </c>
      <c r="H3515">
        <f>IF(DATOS!$G3515&lt;&gt;"EX",0,--(COUNTIFS(nNIA,DATOS!$A3515,nCURSO,DATOS!$D3515,nESPEC,DATOS!$E3515,nASIG,DATOS!$I3515,nEVAL,"OR")=0))</f>
      </c>
      <c r="I3515">
        <f>IF(DATOS!$I3515="","",IFERROR(VLOOKUP(DATOS!$I3515,CONFIG_ASIGNATURAS!$B$2:$J$91,9,FALSE()),""))</f>
      </c>
    </row>
    <row r="3516">
      <c r="F3516">
        <f>IF(DATOS!$A3516="","",DATOS!$A3516&amp;"|"&amp;DATOS!$D3516&amp;"|"&amp;DATOS!$E3516&amp;"|"&amp;DATOS!$I3516)</f>
      </c>
      <c r="G3516">
        <f>IF(DATOS!$A3516="",0,IF(CONFIG_METADATA!$B$4&lt;&gt;"OR+EX",--(DATOS!$G3516=CONFIG_METADATA!$B$4),IF(DATOS!$G3516="EX",1,IF(DATOS!$G3516="OR",--(COUNTIFS(nNIA,DATOS!$A3516,nCURSO,DATOS!$D3516,nESPEC,DATOS!$E3516,nASIG,DATOS!$I3516,nEVAL,"EX")=0),0))))</f>
      </c>
      <c r="H3516">
        <f>IF(DATOS!$G3516&lt;&gt;"EX",0,--(COUNTIFS(nNIA,DATOS!$A3516,nCURSO,DATOS!$D3516,nESPEC,DATOS!$E3516,nASIG,DATOS!$I3516,nEVAL,"OR")=0))</f>
      </c>
      <c r="I3516">
        <f>IF(DATOS!$I3516="","",IFERROR(VLOOKUP(DATOS!$I3516,CONFIG_ASIGNATURAS!$B$2:$J$91,9,FALSE()),""))</f>
      </c>
    </row>
    <row r="3517">
      <c r="F3517">
        <f>IF(DATOS!$A3517="","",DATOS!$A3517&amp;"|"&amp;DATOS!$D3517&amp;"|"&amp;DATOS!$E3517&amp;"|"&amp;DATOS!$I3517)</f>
      </c>
      <c r="G3517">
        <f>IF(DATOS!$A3517="",0,IF(CONFIG_METADATA!$B$4&lt;&gt;"OR+EX",--(DATOS!$G3517=CONFIG_METADATA!$B$4),IF(DATOS!$G3517="EX",1,IF(DATOS!$G3517="OR",--(COUNTIFS(nNIA,DATOS!$A3517,nCURSO,DATOS!$D3517,nESPEC,DATOS!$E3517,nASIG,DATOS!$I3517,nEVAL,"EX")=0),0))))</f>
      </c>
      <c r="H3517">
        <f>IF(DATOS!$G3517&lt;&gt;"EX",0,--(COUNTIFS(nNIA,DATOS!$A3517,nCURSO,DATOS!$D3517,nESPEC,DATOS!$E3517,nASIG,DATOS!$I3517,nEVAL,"OR")=0))</f>
      </c>
      <c r="I3517">
        <f>IF(DATOS!$I3517="","",IFERROR(VLOOKUP(DATOS!$I3517,CONFIG_ASIGNATURAS!$B$2:$J$91,9,FALSE()),""))</f>
      </c>
    </row>
    <row r="3518">
      <c r="F3518">
        <f>IF(DATOS!$A3518="","",DATOS!$A3518&amp;"|"&amp;DATOS!$D3518&amp;"|"&amp;DATOS!$E3518&amp;"|"&amp;DATOS!$I3518)</f>
      </c>
      <c r="G3518">
        <f>IF(DATOS!$A3518="",0,IF(CONFIG_METADATA!$B$4&lt;&gt;"OR+EX",--(DATOS!$G3518=CONFIG_METADATA!$B$4),IF(DATOS!$G3518="EX",1,IF(DATOS!$G3518="OR",--(COUNTIFS(nNIA,DATOS!$A3518,nCURSO,DATOS!$D3518,nESPEC,DATOS!$E3518,nASIG,DATOS!$I3518,nEVAL,"EX")=0),0))))</f>
      </c>
      <c r="H3518">
        <f>IF(DATOS!$G3518&lt;&gt;"EX",0,--(COUNTIFS(nNIA,DATOS!$A3518,nCURSO,DATOS!$D3518,nESPEC,DATOS!$E3518,nASIG,DATOS!$I3518,nEVAL,"OR")=0))</f>
      </c>
      <c r="I3518">
        <f>IF(DATOS!$I3518="","",IFERROR(VLOOKUP(DATOS!$I3518,CONFIG_ASIGNATURAS!$B$2:$J$91,9,FALSE()),""))</f>
      </c>
    </row>
    <row r="3519">
      <c r="F3519">
        <f>IF(DATOS!$A3519="","",DATOS!$A3519&amp;"|"&amp;DATOS!$D3519&amp;"|"&amp;DATOS!$E3519&amp;"|"&amp;DATOS!$I3519)</f>
      </c>
      <c r="G3519">
        <f>IF(DATOS!$A3519="",0,IF(CONFIG_METADATA!$B$4&lt;&gt;"OR+EX",--(DATOS!$G3519=CONFIG_METADATA!$B$4),IF(DATOS!$G3519="EX",1,IF(DATOS!$G3519="OR",--(COUNTIFS(nNIA,DATOS!$A3519,nCURSO,DATOS!$D3519,nESPEC,DATOS!$E3519,nASIG,DATOS!$I3519,nEVAL,"EX")=0),0))))</f>
      </c>
      <c r="H3519">
        <f>IF(DATOS!$G3519&lt;&gt;"EX",0,--(COUNTIFS(nNIA,DATOS!$A3519,nCURSO,DATOS!$D3519,nESPEC,DATOS!$E3519,nASIG,DATOS!$I3519,nEVAL,"OR")=0))</f>
      </c>
      <c r="I3519">
        <f>IF(DATOS!$I3519="","",IFERROR(VLOOKUP(DATOS!$I3519,CONFIG_ASIGNATURAS!$B$2:$J$91,9,FALSE()),""))</f>
      </c>
    </row>
    <row r="3520">
      <c r="F3520">
        <f>IF(DATOS!$A3520="","",DATOS!$A3520&amp;"|"&amp;DATOS!$D3520&amp;"|"&amp;DATOS!$E3520&amp;"|"&amp;DATOS!$I3520)</f>
      </c>
      <c r="G3520">
        <f>IF(DATOS!$A3520="",0,IF(CONFIG_METADATA!$B$4&lt;&gt;"OR+EX",--(DATOS!$G3520=CONFIG_METADATA!$B$4),IF(DATOS!$G3520="EX",1,IF(DATOS!$G3520="OR",--(COUNTIFS(nNIA,DATOS!$A3520,nCURSO,DATOS!$D3520,nESPEC,DATOS!$E3520,nASIG,DATOS!$I3520,nEVAL,"EX")=0),0))))</f>
      </c>
      <c r="H3520">
        <f>IF(DATOS!$G3520&lt;&gt;"EX",0,--(COUNTIFS(nNIA,DATOS!$A3520,nCURSO,DATOS!$D3520,nESPEC,DATOS!$E3520,nASIG,DATOS!$I3520,nEVAL,"OR")=0))</f>
      </c>
      <c r="I3520">
        <f>IF(DATOS!$I3520="","",IFERROR(VLOOKUP(DATOS!$I3520,CONFIG_ASIGNATURAS!$B$2:$J$91,9,FALSE()),""))</f>
      </c>
    </row>
    <row r="3521">
      <c r="F3521">
        <f>IF(DATOS!$A3521="","",DATOS!$A3521&amp;"|"&amp;DATOS!$D3521&amp;"|"&amp;DATOS!$E3521&amp;"|"&amp;DATOS!$I3521)</f>
      </c>
      <c r="G3521">
        <f>IF(DATOS!$A3521="",0,IF(CONFIG_METADATA!$B$4&lt;&gt;"OR+EX",--(DATOS!$G3521=CONFIG_METADATA!$B$4),IF(DATOS!$G3521="EX",1,IF(DATOS!$G3521="OR",--(COUNTIFS(nNIA,DATOS!$A3521,nCURSO,DATOS!$D3521,nESPEC,DATOS!$E3521,nASIG,DATOS!$I3521,nEVAL,"EX")=0),0))))</f>
      </c>
      <c r="H3521">
        <f>IF(DATOS!$G3521&lt;&gt;"EX",0,--(COUNTIFS(nNIA,DATOS!$A3521,nCURSO,DATOS!$D3521,nESPEC,DATOS!$E3521,nASIG,DATOS!$I3521,nEVAL,"OR")=0))</f>
      </c>
      <c r="I3521">
        <f>IF(DATOS!$I3521="","",IFERROR(VLOOKUP(DATOS!$I3521,CONFIG_ASIGNATURAS!$B$2:$J$91,9,FALSE()),""))</f>
      </c>
    </row>
    <row r="3522">
      <c r="F3522">
        <f>IF(DATOS!$A3522="","",DATOS!$A3522&amp;"|"&amp;DATOS!$D3522&amp;"|"&amp;DATOS!$E3522&amp;"|"&amp;DATOS!$I3522)</f>
      </c>
      <c r="G3522">
        <f>IF(DATOS!$A3522="",0,IF(CONFIG_METADATA!$B$4&lt;&gt;"OR+EX",--(DATOS!$G3522=CONFIG_METADATA!$B$4),IF(DATOS!$G3522="EX",1,IF(DATOS!$G3522="OR",--(COUNTIFS(nNIA,DATOS!$A3522,nCURSO,DATOS!$D3522,nESPEC,DATOS!$E3522,nASIG,DATOS!$I3522,nEVAL,"EX")=0),0))))</f>
      </c>
      <c r="H3522">
        <f>IF(DATOS!$G3522&lt;&gt;"EX",0,--(COUNTIFS(nNIA,DATOS!$A3522,nCURSO,DATOS!$D3522,nESPEC,DATOS!$E3522,nASIG,DATOS!$I3522,nEVAL,"OR")=0))</f>
      </c>
      <c r="I3522">
        <f>IF(DATOS!$I3522="","",IFERROR(VLOOKUP(DATOS!$I3522,CONFIG_ASIGNATURAS!$B$2:$J$91,9,FALSE()),""))</f>
      </c>
    </row>
    <row r="3523">
      <c r="F3523">
        <f>IF(DATOS!$A3523="","",DATOS!$A3523&amp;"|"&amp;DATOS!$D3523&amp;"|"&amp;DATOS!$E3523&amp;"|"&amp;DATOS!$I3523)</f>
      </c>
      <c r="G3523">
        <f>IF(DATOS!$A3523="",0,IF(CONFIG_METADATA!$B$4&lt;&gt;"OR+EX",--(DATOS!$G3523=CONFIG_METADATA!$B$4),IF(DATOS!$G3523="EX",1,IF(DATOS!$G3523="OR",--(COUNTIFS(nNIA,DATOS!$A3523,nCURSO,DATOS!$D3523,nESPEC,DATOS!$E3523,nASIG,DATOS!$I3523,nEVAL,"EX")=0),0))))</f>
      </c>
      <c r="H3523">
        <f>IF(DATOS!$G3523&lt;&gt;"EX",0,--(COUNTIFS(nNIA,DATOS!$A3523,nCURSO,DATOS!$D3523,nESPEC,DATOS!$E3523,nASIG,DATOS!$I3523,nEVAL,"OR")=0))</f>
      </c>
      <c r="I3523">
        <f>IF(DATOS!$I3523="","",IFERROR(VLOOKUP(DATOS!$I3523,CONFIG_ASIGNATURAS!$B$2:$J$91,9,FALSE()),""))</f>
      </c>
    </row>
    <row r="3524">
      <c r="F3524">
        <f>IF(DATOS!$A3524="","",DATOS!$A3524&amp;"|"&amp;DATOS!$D3524&amp;"|"&amp;DATOS!$E3524&amp;"|"&amp;DATOS!$I3524)</f>
      </c>
      <c r="G3524">
        <f>IF(DATOS!$A3524="",0,IF(CONFIG_METADATA!$B$4&lt;&gt;"OR+EX",--(DATOS!$G3524=CONFIG_METADATA!$B$4),IF(DATOS!$G3524="EX",1,IF(DATOS!$G3524="OR",--(COUNTIFS(nNIA,DATOS!$A3524,nCURSO,DATOS!$D3524,nESPEC,DATOS!$E3524,nASIG,DATOS!$I3524,nEVAL,"EX")=0),0))))</f>
      </c>
      <c r="H3524">
        <f>IF(DATOS!$G3524&lt;&gt;"EX",0,--(COUNTIFS(nNIA,DATOS!$A3524,nCURSO,DATOS!$D3524,nESPEC,DATOS!$E3524,nASIG,DATOS!$I3524,nEVAL,"OR")=0))</f>
      </c>
      <c r="I3524">
        <f>IF(DATOS!$I3524="","",IFERROR(VLOOKUP(DATOS!$I3524,CONFIG_ASIGNATURAS!$B$2:$J$91,9,FALSE()),""))</f>
      </c>
    </row>
    <row r="3525">
      <c r="F3525">
        <f>IF(DATOS!$A3525="","",DATOS!$A3525&amp;"|"&amp;DATOS!$D3525&amp;"|"&amp;DATOS!$E3525&amp;"|"&amp;DATOS!$I3525)</f>
      </c>
      <c r="G3525">
        <f>IF(DATOS!$A3525="",0,IF(CONFIG_METADATA!$B$4&lt;&gt;"OR+EX",--(DATOS!$G3525=CONFIG_METADATA!$B$4),IF(DATOS!$G3525="EX",1,IF(DATOS!$G3525="OR",--(COUNTIFS(nNIA,DATOS!$A3525,nCURSO,DATOS!$D3525,nESPEC,DATOS!$E3525,nASIG,DATOS!$I3525,nEVAL,"EX")=0),0))))</f>
      </c>
      <c r="H3525">
        <f>IF(DATOS!$G3525&lt;&gt;"EX",0,--(COUNTIFS(nNIA,DATOS!$A3525,nCURSO,DATOS!$D3525,nESPEC,DATOS!$E3525,nASIG,DATOS!$I3525,nEVAL,"OR")=0))</f>
      </c>
      <c r="I3525">
        <f>IF(DATOS!$I3525="","",IFERROR(VLOOKUP(DATOS!$I3525,CONFIG_ASIGNATURAS!$B$2:$J$91,9,FALSE()),""))</f>
      </c>
    </row>
    <row r="3526">
      <c r="F3526">
        <f>IF(DATOS!$A3526="","",DATOS!$A3526&amp;"|"&amp;DATOS!$D3526&amp;"|"&amp;DATOS!$E3526&amp;"|"&amp;DATOS!$I3526)</f>
      </c>
      <c r="G3526">
        <f>IF(DATOS!$A3526="",0,IF(CONFIG_METADATA!$B$4&lt;&gt;"OR+EX",--(DATOS!$G3526=CONFIG_METADATA!$B$4),IF(DATOS!$G3526="EX",1,IF(DATOS!$G3526="OR",--(COUNTIFS(nNIA,DATOS!$A3526,nCURSO,DATOS!$D3526,nESPEC,DATOS!$E3526,nASIG,DATOS!$I3526,nEVAL,"EX")=0),0))))</f>
      </c>
      <c r="H3526">
        <f>IF(DATOS!$G3526&lt;&gt;"EX",0,--(COUNTIFS(nNIA,DATOS!$A3526,nCURSO,DATOS!$D3526,nESPEC,DATOS!$E3526,nASIG,DATOS!$I3526,nEVAL,"OR")=0))</f>
      </c>
      <c r="I3526">
        <f>IF(DATOS!$I3526="","",IFERROR(VLOOKUP(DATOS!$I3526,CONFIG_ASIGNATURAS!$B$2:$J$91,9,FALSE()),""))</f>
      </c>
    </row>
    <row r="3527">
      <c r="F3527">
        <f>IF(DATOS!$A3527="","",DATOS!$A3527&amp;"|"&amp;DATOS!$D3527&amp;"|"&amp;DATOS!$E3527&amp;"|"&amp;DATOS!$I3527)</f>
      </c>
      <c r="G3527">
        <f>IF(DATOS!$A3527="",0,IF(CONFIG_METADATA!$B$4&lt;&gt;"OR+EX",--(DATOS!$G3527=CONFIG_METADATA!$B$4),IF(DATOS!$G3527="EX",1,IF(DATOS!$G3527="OR",--(COUNTIFS(nNIA,DATOS!$A3527,nCURSO,DATOS!$D3527,nESPEC,DATOS!$E3527,nASIG,DATOS!$I3527,nEVAL,"EX")=0),0))))</f>
      </c>
      <c r="H3527">
        <f>IF(DATOS!$G3527&lt;&gt;"EX",0,--(COUNTIFS(nNIA,DATOS!$A3527,nCURSO,DATOS!$D3527,nESPEC,DATOS!$E3527,nASIG,DATOS!$I3527,nEVAL,"OR")=0))</f>
      </c>
      <c r="I3527">
        <f>IF(DATOS!$I3527="","",IFERROR(VLOOKUP(DATOS!$I3527,CONFIG_ASIGNATURAS!$B$2:$J$91,9,FALSE()),""))</f>
      </c>
    </row>
    <row r="3528">
      <c r="F3528">
        <f>IF(DATOS!$A3528="","",DATOS!$A3528&amp;"|"&amp;DATOS!$D3528&amp;"|"&amp;DATOS!$E3528&amp;"|"&amp;DATOS!$I3528)</f>
      </c>
      <c r="G3528">
        <f>IF(DATOS!$A3528="",0,IF(CONFIG_METADATA!$B$4&lt;&gt;"OR+EX",--(DATOS!$G3528=CONFIG_METADATA!$B$4),IF(DATOS!$G3528="EX",1,IF(DATOS!$G3528="OR",--(COUNTIFS(nNIA,DATOS!$A3528,nCURSO,DATOS!$D3528,nESPEC,DATOS!$E3528,nASIG,DATOS!$I3528,nEVAL,"EX")=0),0))))</f>
      </c>
      <c r="H3528">
        <f>IF(DATOS!$G3528&lt;&gt;"EX",0,--(COUNTIFS(nNIA,DATOS!$A3528,nCURSO,DATOS!$D3528,nESPEC,DATOS!$E3528,nASIG,DATOS!$I3528,nEVAL,"OR")=0))</f>
      </c>
      <c r="I3528">
        <f>IF(DATOS!$I3528="","",IFERROR(VLOOKUP(DATOS!$I3528,CONFIG_ASIGNATURAS!$B$2:$J$91,9,FALSE()),""))</f>
      </c>
    </row>
    <row r="3529">
      <c r="F3529">
        <f>IF(DATOS!$A3529="","",DATOS!$A3529&amp;"|"&amp;DATOS!$D3529&amp;"|"&amp;DATOS!$E3529&amp;"|"&amp;DATOS!$I3529)</f>
      </c>
      <c r="G3529">
        <f>IF(DATOS!$A3529="",0,IF(CONFIG_METADATA!$B$4&lt;&gt;"OR+EX",--(DATOS!$G3529=CONFIG_METADATA!$B$4),IF(DATOS!$G3529="EX",1,IF(DATOS!$G3529="OR",--(COUNTIFS(nNIA,DATOS!$A3529,nCURSO,DATOS!$D3529,nESPEC,DATOS!$E3529,nASIG,DATOS!$I3529,nEVAL,"EX")=0),0))))</f>
      </c>
      <c r="H3529">
        <f>IF(DATOS!$G3529&lt;&gt;"EX",0,--(COUNTIFS(nNIA,DATOS!$A3529,nCURSO,DATOS!$D3529,nESPEC,DATOS!$E3529,nASIG,DATOS!$I3529,nEVAL,"OR")=0))</f>
      </c>
      <c r="I3529">
        <f>IF(DATOS!$I3529="","",IFERROR(VLOOKUP(DATOS!$I3529,CONFIG_ASIGNATURAS!$B$2:$J$91,9,FALSE()),""))</f>
      </c>
    </row>
    <row r="3530">
      <c r="F3530">
        <f>IF(DATOS!$A3530="","",DATOS!$A3530&amp;"|"&amp;DATOS!$D3530&amp;"|"&amp;DATOS!$E3530&amp;"|"&amp;DATOS!$I3530)</f>
      </c>
      <c r="G3530">
        <f>IF(DATOS!$A3530="",0,IF(CONFIG_METADATA!$B$4&lt;&gt;"OR+EX",--(DATOS!$G3530=CONFIG_METADATA!$B$4),IF(DATOS!$G3530="EX",1,IF(DATOS!$G3530="OR",--(COUNTIFS(nNIA,DATOS!$A3530,nCURSO,DATOS!$D3530,nESPEC,DATOS!$E3530,nASIG,DATOS!$I3530,nEVAL,"EX")=0),0))))</f>
      </c>
      <c r="H3530">
        <f>IF(DATOS!$G3530&lt;&gt;"EX",0,--(COUNTIFS(nNIA,DATOS!$A3530,nCURSO,DATOS!$D3530,nESPEC,DATOS!$E3530,nASIG,DATOS!$I3530,nEVAL,"OR")=0))</f>
      </c>
      <c r="I3530">
        <f>IF(DATOS!$I3530="","",IFERROR(VLOOKUP(DATOS!$I3530,CONFIG_ASIGNATURAS!$B$2:$J$91,9,FALSE()),""))</f>
      </c>
    </row>
    <row r="3531">
      <c r="F3531">
        <f>IF(DATOS!$A3531="","",DATOS!$A3531&amp;"|"&amp;DATOS!$D3531&amp;"|"&amp;DATOS!$E3531&amp;"|"&amp;DATOS!$I3531)</f>
      </c>
      <c r="G3531">
        <f>IF(DATOS!$A3531="",0,IF(CONFIG_METADATA!$B$4&lt;&gt;"OR+EX",--(DATOS!$G3531=CONFIG_METADATA!$B$4),IF(DATOS!$G3531="EX",1,IF(DATOS!$G3531="OR",--(COUNTIFS(nNIA,DATOS!$A3531,nCURSO,DATOS!$D3531,nESPEC,DATOS!$E3531,nASIG,DATOS!$I3531,nEVAL,"EX")=0),0))))</f>
      </c>
      <c r="H3531">
        <f>IF(DATOS!$G3531&lt;&gt;"EX",0,--(COUNTIFS(nNIA,DATOS!$A3531,nCURSO,DATOS!$D3531,nESPEC,DATOS!$E3531,nASIG,DATOS!$I3531,nEVAL,"OR")=0))</f>
      </c>
      <c r="I3531">
        <f>IF(DATOS!$I3531="","",IFERROR(VLOOKUP(DATOS!$I3531,CONFIG_ASIGNATURAS!$B$2:$J$91,9,FALSE()),""))</f>
      </c>
    </row>
    <row r="3532">
      <c r="F3532">
        <f>IF(DATOS!$A3532="","",DATOS!$A3532&amp;"|"&amp;DATOS!$D3532&amp;"|"&amp;DATOS!$E3532&amp;"|"&amp;DATOS!$I3532)</f>
      </c>
      <c r="G3532">
        <f>IF(DATOS!$A3532="",0,IF(CONFIG_METADATA!$B$4&lt;&gt;"OR+EX",--(DATOS!$G3532=CONFIG_METADATA!$B$4),IF(DATOS!$G3532="EX",1,IF(DATOS!$G3532="OR",--(COUNTIFS(nNIA,DATOS!$A3532,nCURSO,DATOS!$D3532,nESPEC,DATOS!$E3532,nASIG,DATOS!$I3532,nEVAL,"EX")=0),0))))</f>
      </c>
      <c r="H3532">
        <f>IF(DATOS!$G3532&lt;&gt;"EX",0,--(COUNTIFS(nNIA,DATOS!$A3532,nCURSO,DATOS!$D3532,nESPEC,DATOS!$E3532,nASIG,DATOS!$I3532,nEVAL,"OR")=0))</f>
      </c>
      <c r="I3532">
        <f>IF(DATOS!$I3532="","",IFERROR(VLOOKUP(DATOS!$I3532,CONFIG_ASIGNATURAS!$B$2:$J$91,9,FALSE()),""))</f>
      </c>
    </row>
    <row r="3533">
      <c r="F3533">
        <f>IF(DATOS!$A3533="","",DATOS!$A3533&amp;"|"&amp;DATOS!$D3533&amp;"|"&amp;DATOS!$E3533&amp;"|"&amp;DATOS!$I3533)</f>
      </c>
      <c r="G3533">
        <f>IF(DATOS!$A3533="",0,IF(CONFIG_METADATA!$B$4&lt;&gt;"OR+EX",--(DATOS!$G3533=CONFIG_METADATA!$B$4),IF(DATOS!$G3533="EX",1,IF(DATOS!$G3533="OR",--(COUNTIFS(nNIA,DATOS!$A3533,nCURSO,DATOS!$D3533,nESPEC,DATOS!$E3533,nASIG,DATOS!$I3533,nEVAL,"EX")=0),0))))</f>
      </c>
      <c r="H3533">
        <f>IF(DATOS!$G3533&lt;&gt;"EX",0,--(COUNTIFS(nNIA,DATOS!$A3533,nCURSO,DATOS!$D3533,nESPEC,DATOS!$E3533,nASIG,DATOS!$I3533,nEVAL,"OR")=0))</f>
      </c>
      <c r="I3533">
        <f>IF(DATOS!$I3533="","",IFERROR(VLOOKUP(DATOS!$I3533,CONFIG_ASIGNATURAS!$B$2:$J$91,9,FALSE()),""))</f>
      </c>
    </row>
    <row r="3534">
      <c r="F3534">
        <f>IF(DATOS!$A3534="","",DATOS!$A3534&amp;"|"&amp;DATOS!$D3534&amp;"|"&amp;DATOS!$E3534&amp;"|"&amp;DATOS!$I3534)</f>
      </c>
      <c r="G3534">
        <f>IF(DATOS!$A3534="",0,IF(CONFIG_METADATA!$B$4&lt;&gt;"OR+EX",--(DATOS!$G3534=CONFIG_METADATA!$B$4),IF(DATOS!$G3534="EX",1,IF(DATOS!$G3534="OR",--(COUNTIFS(nNIA,DATOS!$A3534,nCURSO,DATOS!$D3534,nESPEC,DATOS!$E3534,nASIG,DATOS!$I3534,nEVAL,"EX")=0),0))))</f>
      </c>
      <c r="H3534">
        <f>IF(DATOS!$G3534&lt;&gt;"EX",0,--(COUNTIFS(nNIA,DATOS!$A3534,nCURSO,DATOS!$D3534,nESPEC,DATOS!$E3534,nASIG,DATOS!$I3534,nEVAL,"OR")=0))</f>
      </c>
      <c r="I3534">
        <f>IF(DATOS!$I3534="","",IFERROR(VLOOKUP(DATOS!$I3534,CONFIG_ASIGNATURAS!$B$2:$J$91,9,FALSE()),""))</f>
      </c>
    </row>
    <row r="3535">
      <c r="F3535">
        <f>IF(DATOS!$A3535="","",DATOS!$A3535&amp;"|"&amp;DATOS!$D3535&amp;"|"&amp;DATOS!$E3535&amp;"|"&amp;DATOS!$I3535)</f>
      </c>
      <c r="G3535">
        <f>IF(DATOS!$A3535="",0,IF(CONFIG_METADATA!$B$4&lt;&gt;"OR+EX",--(DATOS!$G3535=CONFIG_METADATA!$B$4),IF(DATOS!$G3535="EX",1,IF(DATOS!$G3535="OR",--(COUNTIFS(nNIA,DATOS!$A3535,nCURSO,DATOS!$D3535,nESPEC,DATOS!$E3535,nASIG,DATOS!$I3535,nEVAL,"EX")=0),0))))</f>
      </c>
      <c r="H3535">
        <f>IF(DATOS!$G3535&lt;&gt;"EX",0,--(COUNTIFS(nNIA,DATOS!$A3535,nCURSO,DATOS!$D3535,nESPEC,DATOS!$E3535,nASIG,DATOS!$I3535,nEVAL,"OR")=0))</f>
      </c>
      <c r="I3535">
        <f>IF(DATOS!$I3535="","",IFERROR(VLOOKUP(DATOS!$I3535,CONFIG_ASIGNATURAS!$B$2:$J$91,9,FALSE()),""))</f>
      </c>
    </row>
    <row r="3536">
      <c r="F3536">
        <f>IF(DATOS!$A3536="","",DATOS!$A3536&amp;"|"&amp;DATOS!$D3536&amp;"|"&amp;DATOS!$E3536&amp;"|"&amp;DATOS!$I3536)</f>
      </c>
      <c r="G3536">
        <f>IF(DATOS!$A3536="",0,IF(CONFIG_METADATA!$B$4&lt;&gt;"OR+EX",--(DATOS!$G3536=CONFIG_METADATA!$B$4),IF(DATOS!$G3536="EX",1,IF(DATOS!$G3536="OR",--(COUNTIFS(nNIA,DATOS!$A3536,nCURSO,DATOS!$D3536,nESPEC,DATOS!$E3536,nASIG,DATOS!$I3536,nEVAL,"EX")=0),0))))</f>
      </c>
      <c r="H3536">
        <f>IF(DATOS!$G3536&lt;&gt;"EX",0,--(COUNTIFS(nNIA,DATOS!$A3536,nCURSO,DATOS!$D3536,nESPEC,DATOS!$E3536,nASIG,DATOS!$I3536,nEVAL,"OR")=0))</f>
      </c>
      <c r="I3536">
        <f>IF(DATOS!$I3536="","",IFERROR(VLOOKUP(DATOS!$I3536,CONFIG_ASIGNATURAS!$B$2:$J$91,9,FALSE()),""))</f>
      </c>
    </row>
    <row r="3537">
      <c r="F3537">
        <f>IF(DATOS!$A3537="","",DATOS!$A3537&amp;"|"&amp;DATOS!$D3537&amp;"|"&amp;DATOS!$E3537&amp;"|"&amp;DATOS!$I3537)</f>
      </c>
      <c r="G3537">
        <f>IF(DATOS!$A3537="",0,IF(CONFIG_METADATA!$B$4&lt;&gt;"OR+EX",--(DATOS!$G3537=CONFIG_METADATA!$B$4),IF(DATOS!$G3537="EX",1,IF(DATOS!$G3537="OR",--(COUNTIFS(nNIA,DATOS!$A3537,nCURSO,DATOS!$D3537,nESPEC,DATOS!$E3537,nASIG,DATOS!$I3537,nEVAL,"EX")=0),0))))</f>
      </c>
      <c r="H3537">
        <f>IF(DATOS!$G3537&lt;&gt;"EX",0,--(COUNTIFS(nNIA,DATOS!$A3537,nCURSO,DATOS!$D3537,nESPEC,DATOS!$E3537,nASIG,DATOS!$I3537,nEVAL,"OR")=0))</f>
      </c>
      <c r="I3537">
        <f>IF(DATOS!$I3537="","",IFERROR(VLOOKUP(DATOS!$I3537,CONFIG_ASIGNATURAS!$B$2:$J$91,9,FALSE()),""))</f>
      </c>
    </row>
    <row r="3538">
      <c r="F3538">
        <f>IF(DATOS!$A3538="","",DATOS!$A3538&amp;"|"&amp;DATOS!$D3538&amp;"|"&amp;DATOS!$E3538&amp;"|"&amp;DATOS!$I3538)</f>
      </c>
      <c r="G3538">
        <f>IF(DATOS!$A3538="",0,IF(CONFIG_METADATA!$B$4&lt;&gt;"OR+EX",--(DATOS!$G3538=CONFIG_METADATA!$B$4),IF(DATOS!$G3538="EX",1,IF(DATOS!$G3538="OR",--(COUNTIFS(nNIA,DATOS!$A3538,nCURSO,DATOS!$D3538,nESPEC,DATOS!$E3538,nASIG,DATOS!$I3538,nEVAL,"EX")=0),0))))</f>
      </c>
      <c r="H3538">
        <f>IF(DATOS!$G3538&lt;&gt;"EX",0,--(COUNTIFS(nNIA,DATOS!$A3538,nCURSO,DATOS!$D3538,nESPEC,DATOS!$E3538,nASIG,DATOS!$I3538,nEVAL,"OR")=0))</f>
      </c>
      <c r="I3538">
        <f>IF(DATOS!$I3538="","",IFERROR(VLOOKUP(DATOS!$I3538,CONFIG_ASIGNATURAS!$B$2:$J$91,9,FALSE()),""))</f>
      </c>
    </row>
    <row r="3539">
      <c r="F3539">
        <f>IF(DATOS!$A3539="","",DATOS!$A3539&amp;"|"&amp;DATOS!$D3539&amp;"|"&amp;DATOS!$E3539&amp;"|"&amp;DATOS!$I3539)</f>
      </c>
      <c r="G3539">
        <f>IF(DATOS!$A3539="",0,IF(CONFIG_METADATA!$B$4&lt;&gt;"OR+EX",--(DATOS!$G3539=CONFIG_METADATA!$B$4),IF(DATOS!$G3539="EX",1,IF(DATOS!$G3539="OR",--(COUNTIFS(nNIA,DATOS!$A3539,nCURSO,DATOS!$D3539,nESPEC,DATOS!$E3539,nASIG,DATOS!$I3539,nEVAL,"EX")=0),0))))</f>
      </c>
      <c r="H3539">
        <f>IF(DATOS!$G3539&lt;&gt;"EX",0,--(COUNTIFS(nNIA,DATOS!$A3539,nCURSO,DATOS!$D3539,nESPEC,DATOS!$E3539,nASIG,DATOS!$I3539,nEVAL,"OR")=0))</f>
      </c>
      <c r="I3539">
        <f>IF(DATOS!$I3539="","",IFERROR(VLOOKUP(DATOS!$I3539,CONFIG_ASIGNATURAS!$B$2:$J$91,9,FALSE()),""))</f>
      </c>
    </row>
    <row r="3540">
      <c r="F3540">
        <f>IF(DATOS!$A3540="","",DATOS!$A3540&amp;"|"&amp;DATOS!$D3540&amp;"|"&amp;DATOS!$E3540&amp;"|"&amp;DATOS!$I3540)</f>
      </c>
      <c r="G3540">
        <f>IF(DATOS!$A3540="",0,IF(CONFIG_METADATA!$B$4&lt;&gt;"OR+EX",--(DATOS!$G3540=CONFIG_METADATA!$B$4),IF(DATOS!$G3540="EX",1,IF(DATOS!$G3540="OR",--(COUNTIFS(nNIA,DATOS!$A3540,nCURSO,DATOS!$D3540,nESPEC,DATOS!$E3540,nASIG,DATOS!$I3540,nEVAL,"EX")=0),0))))</f>
      </c>
      <c r="H3540">
        <f>IF(DATOS!$G3540&lt;&gt;"EX",0,--(COUNTIFS(nNIA,DATOS!$A3540,nCURSO,DATOS!$D3540,nESPEC,DATOS!$E3540,nASIG,DATOS!$I3540,nEVAL,"OR")=0))</f>
      </c>
      <c r="I3540">
        <f>IF(DATOS!$I3540="","",IFERROR(VLOOKUP(DATOS!$I3540,CONFIG_ASIGNATURAS!$B$2:$J$91,9,FALSE()),""))</f>
      </c>
    </row>
    <row r="3541">
      <c r="F3541">
        <f>IF(DATOS!$A3541="","",DATOS!$A3541&amp;"|"&amp;DATOS!$D3541&amp;"|"&amp;DATOS!$E3541&amp;"|"&amp;DATOS!$I3541)</f>
      </c>
      <c r="G3541">
        <f>IF(DATOS!$A3541="",0,IF(CONFIG_METADATA!$B$4&lt;&gt;"OR+EX",--(DATOS!$G3541=CONFIG_METADATA!$B$4),IF(DATOS!$G3541="EX",1,IF(DATOS!$G3541="OR",--(COUNTIFS(nNIA,DATOS!$A3541,nCURSO,DATOS!$D3541,nESPEC,DATOS!$E3541,nASIG,DATOS!$I3541,nEVAL,"EX")=0),0))))</f>
      </c>
      <c r="H3541">
        <f>IF(DATOS!$G3541&lt;&gt;"EX",0,--(COUNTIFS(nNIA,DATOS!$A3541,nCURSO,DATOS!$D3541,nESPEC,DATOS!$E3541,nASIG,DATOS!$I3541,nEVAL,"OR")=0))</f>
      </c>
      <c r="I3541">
        <f>IF(DATOS!$I3541="","",IFERROR(VLOOKUP(DATOS!$I3541,CONFIG_ASIGNATURAS!$B$2:$J$91,9,FALSE()),""))</f>
      </c>
    </row>
    <row r="3542">
      <c r="F3542">
        <f>IF(DATOS!$A3542="","",DATOS!$A3542&amp;"|"&amp;DATOS!$D3542&amp;"|"&amp;DATOS!$E3542&amp;"|"&amp;DATOS!$I3542)</f>
      </c>
      <c r="G3542">
        <f>IF(DATOS!$A3542="",0,IF(CONFIG_METADATA!$B$4&lt;&gt;"OR+EX",--(DATOS!$G3542=CONFIG_METADATA!$B$4),IF(DATOS!$G3542="EX",1,IF(DATOS!$G3542="OR",--(COUNTIFS(nNIA,DATOS!$A3542,nCURSO,DATOS!$D3542,nESPEC,DATOS!$E3542,nASIG,DATOS!$I3542,nEVAL,"EX")=0),0))))</f>
      </c>
      <c r="H3542">
        <f>IF(DATOS!$G3542&lt;&gt;"EX",0,--(COUNTIFS(nNIA,DATOS!$A3542,nCURSO,DATOS!$D3542,nESPEC,DATOS!$E3542,nASIG,DATOS!$I3542,nEVAL,"OR")=0))</f>
      </c>
      <c r="I3542">
        <f>IF(DATOS!$I3542="","",IFERROR(VLOOKUP(DATOS!$I3542,CONFIG_ASIGNATURAS!$B$2:$J$91,9,FALSE()),""))</f>
      </c>
    </row>
    <row r="3543">
      <c r="F3543">
        <f>IF(DATOS!$A3543="","",DATOS!$A3543&amp;"|"&amp;DATOS!$D3543&amp;"|"&amp;DATOS!$E3543&amp;"|"&amp;DATOS!$I3543)</f>
      </c>
      <c r="G3543">
        <f>IF(DATOS!$A3543="",0,IF(CONFIG_METADATA!$B$4&lt;&gt;"OR+EX",--(DATOS!$G3543=CONFIG_METADATA!$B$4),IF(DATOS!$G3543="EX",1,IF(DATOS!$G3543="OR",--(COUNTIFS(nNIA,DATOS!$A3543,nCURSO,DATOS!$D3543,nESPEC,DATOS!$E3543,nASIG,DATOS!$I3543,nEVAL,"EX")=0),0))))</f>
      </c>
      <c r="H3543">
        <f>IF(DATOS!$G3543&lt;&gt;"EX",0,--(COUNTIFS(nNIA,DATOS!$A3543,nCURSO,DATOS!$D3543,nESPEC,DATOS!$E3543,nASIG,DATOS!$I3543,nEVAL,"OR")=0))</f>
      </c>
      <c r="I3543">
        <f>IF(DATOS!$I3543="","",IFERROR(VLOOKUP(DATOS!$I3543,CONFIG_ASIGNATURAS!$B$2:$J$91,9,FALSE()),""))</f>
      </c>
    </row>
    <row r="3544">
      <c r="F3544">
        <f>IF(DATOS!$A3544="","",DATOS!$A3544&amp;"|"&amp;DATOS!$D3544&amp;"|"&amp;DATOS!$E3544&amp;"|"&amp;DATOS!$I3544)</f>
      </c>
      <c r="G3544">
        <f>IF(DATOS!$A3544="",0,IF(CONFIG_METADATA!$B$4&lt;&gt;"OR+EX",--(DATOS!$G3544=CONFIG_METADATA!$B$4),IF(DATOS!$G3544="EX",1,IF(DATOS!$G3544="OR",--(COUNTIFS(nNIA,DATOS!$A3544,nCURSO,DATOS!$D3544,nESPEC,DATOS!$E3544,nASIG,DATOS!$I3544,nEVAL,"EX")=0),0))))</f>
      </c>
      <c r="H3544">
        <f>IF(DATOS!$G3544&lt;&gt;"EX",0,--(COUNTIFS(nNIA,DATOS!$A3544,nCURSO,DATOS!$D3544,nESPEC,DATOS!$E3544,nASIG,DATOS!$I3544,nEVAL,"OR")=0))</f>
      </c>
      <c r="I3544">
        <f>IF(DATOS!$I3544="","",IFERROR(VLOOKUP(DATOS!$I3544,CONFIG_ASIGNATURAS!$B$2:$J$91,9,FALSE()),""))</f>
      </c>
    </row>
    <row r="3545">
      <c r="F3545">
        <f>IF(DATOS!$A3545="","",DATOS!$A3545&amp;"|"&amp;DATOS!$D3545&amp;"|"&amp;DATOS!$E3545&amp;"|"&amp;DATOS!$I3545)</f>
      </c>
      <c r="G3545">
        <f>IF(DATOS!$A3545="",0,IF(CONFIG_METADATA!$B$4&lt;&gt;"OR+EX",--(DATOS!$G3545=CONFIG_METADATA!$B$4),IF(DATOS!$G3545="EX",1,IF(DATOS!$G3545="OR",--(COUNTIFS(nNIA,DATOS!$A3545,nCURSO,DATOS!$D3545,nESPEC,DATOS!$E3545,nASIG,DATOS!$I3545,nEVAL,"EX")=0),0))))</f>
      </c>
      <c r="H3545">
        <f>IF(DATOS!$G3545&lt;&gt;"EX",0,--(COUNTIFS(nNIA,DATOS!$A3545,nCURSO,DATOS!$D3545,nESPEC,DATOS!$E3545,nASIG,DATOS!$I3545,nEVAL,"OR")=0))</f>
      </c>
      <c r="I3545">
        <f>IF(DATOS!$I3545="","",IFERROR(VLOOKUP(DATOS!$I3545,CONFIG_ASIGNATURAS!$B$2:$J$91,9,FALSE()),""))</f>
      </c>
    </row>
    <row r="3546">
      <c r="F3546">
        <f>IF(DATOS!$A3546="","",DATOS!$A3546&amp;"|"&amp;DATOS!$D3546&amp;"|"&amp;DATOS!$E3546&amp;"|"&amp;DATOS!$I3546)</f>
      </c>
      <c r="G3546">
        <f>IF(DATOS!$A3546="",0,IF(CONFIG_METADATA!$B$4&lt;&gt;"OR+EX",--(DATOS!$G3546=CONFIG_METADATA!$B$4),IF(DATOS!$G3546="EX",1,IF(DATOS!$G3546="OR",--(COUNTIFS(nNIA,DATOS!$A3546,nCURSO,DATOS!$D3546,nESPEC,DATOS!$E3546,nASIG,DATOS!$I3546,nEVAL,"EX")=0),0))))</f>
      </c>
      <c r="H3546">
        <f>IF(DATOS!$G3546&lt;&gt;"EX",0,--(COUNTIFS(nNIA,DATOS!$A3546,nCURSO,DATOS!$D3546,nESPEC,DATOS!$E3546,nASIG,DATOS!$I3546,nEVAL,"OR")=0))</f>
      </c>
      <c r="I3546">
        <f>IF(DATOS!$I3546="","",IFERROR(VLOOKUP(DATOS!$I3546,CONFIG_ASIGNATURAS!$B$2:$J$91,9,FALSE()),""))</f>
      </c>
    </row>
    <row r="3547">
      <c r="F3547">
        <f>IF(DATOS!$A3547="","",DATOS!$A3547&amp;"|"&amp;DATOS!$D3547&amp;"|"&amp;DATOS!$E3547&amp;"|"&amp;DATOS!$I3547)</f>
      </c>
      <c r="G3547">
        <f>IF(DATOS!$A3547="",0,IF(CONFIG_METADATA!$B$4&lt;&gt;"OR+EX",--(DATOS!$G3547=CONFIG_METADATA!$B$4),IF(DATOS!$G3547="EX",1,IF(DATOS!$G3547="OR",--(COUNTIFS(nNIA,DATOS!$A3547,nCURSO,DATOS!$D3547,nESPEC,DATOS!$E3547,nASIG,DATOS!$I3547,nEVAL,"EX")=0),0))))</f>
      </c>
      <c r="H3547">
        <f>IF(DATOS!$G3547&lt;&gt;"EX",0,--(COUNTIFS(nNIA,DATOS!$A3547,nCURSO,DATOS!$D3547,nESPEC,DATOS!$E3547,nASIG,DATOS!$I3547,nEVAL,"OR")=0))</f>
      </c>
      <c r="I3547">
        <f>IF(DATOS!$I3547="","",IFERROR(VLOOKUP(DATOS!$I3547,CONFIG_ASIGNATURAS!$B$2:$J$91,9,FALSE()),""))</f>
      </c>
    </row>
    <row r="3548">
      <c r="F3548">
        <f>IF(DATOS!$A3548="","",DATOS!$A3548&amp;"|"&amp;DATOS!$D3548&amp;"|"&amp;DATOS!$E3548&amp;"|"&amp;DATOS!$I3548)</f>
      </c>
      <c r="G3548">
        <f>IF(DATOS!$A3548="",0,IF(CONFIG_METADATA!$B$4&lt;&gt;"OR+EX",--(DATOS!$G3548=CONFIG_METADATA!$B$4),IF(DATOS!$G3548="EX",1,IF(DATOS!$G3548="OR",--(COUNTIFS(nNIA,DATOS!$A3548,nCURSO,DATOS!$D3548,nESPEC,DATOS!$E3548,nASIG,DATOS!$I3548,nEVAL,"EX")=0),0))))</f>
      </c>
      <c r="H3548">
        <f>IF(DATOS!$G3548&lt;&gt;"EX",0,--(COUNTIFS(nNIA,DATOS!$A3548,nCURSO,DATOS!$D3548,nESPEC,DATOS!$E3548,nASIG,DATOS!$I3548,nEVAL,"OR")=0))</f>
      </c>
      <c r="I3548">
        <f>IF(DATOS!$I3548="","",IFERROR(VLOOKUP(DATOS!$I3548,CONFIG_ASIGNATURAS!$B$2:$J$91,9,FALSE()),""))</f>
      </c>
    </row>
    <row r="3549">
      <c r="F3549">
        <f>IF(DATOS!$A3549="","",DATOS!$A3549&amp;"|"&amp;DATOS!$D3549&amp;"|"&amp;DATOS!$E3549&amp;"|"&amp;DATOS!$I3549)</f>
      </c>
      <c r="G3549">
        <f>IF(DATOS!$A3549="",0,IF(CONFIG_METADATA!$B$4&lt;&gt;"OR+EX",--(DATOS!$G3549=CONFIG_METADATA!$B$4),IF(DATOS!$G3549="EX",1,IF(DATOS!$G3549="OR",--(COUNTIFS(nNIA,DATOS!$A3549,nCURSO,DATOS!$D3549,nESPEC,DATOS!$E3549,nASIG,DATOS!$I3549,nEVAL,"EX")=0),0))))</f>
      </c>
      <c r="H3549">
        <f>IF(DATOS!$G3549&lt;&gt;"EX",0,--(COUNTIFS(nNIA,DATOS!$A3549,nCURSO,DATOS!$D3549,nESPEC,DATOS!$E3549,nASIG,DATOS!$I3549,nEVAL,"OR")=0))</f>
      </c>
      <c r="I3549">
        <f>IF(DATOS!$I3549="","",IFERROR(VLOOKUP(DATOS!$I3549,CONFIG_ASIGNATURAS!$B$2:$J$91,9,FALSE()),""))</f>
      </c>
    </row>
    <row r="3550">
      <c r="F3550">
        <f>IF(DATOS!$A3550="","",DATOS!$A3550&amp;"|"&amp;DATOS!$D3550&amp;"|"&amp;DATOS!$E3550&amp;"|"&amp;DATOS!$I3550)</f>
      </c>
      <c r="G3550">
        <f>IF(DATOS!$A3550="",0,IF(CONFIG_METADATA!$B$4&lt;&gt;"OR+EX",--(DATOS!$G3550=CONFIG_METADATA!$B$4),IF(DATOS!$G3550="EX",1,IF(DATOS!$G3550="OR",--(COUNTIFS(nNIA,DATOS!$A3550,nCURSO,DATOS!$D3550,nESPEC,DATOS!$E3550,nASIG,DATOS!$I3550,nEVAL,"EX")=0),0))))</f>
      </c>
      <c r="H3550">
        <f>IF(DATOS!$G3550&lt;&gt;"EX",0,--(COUNTIFS(nNIA,DATOS!$A3550,nCURSO,DATOS!$D3550,nESPEC,DATOS!$E3550,nASIG,DATOS!$I3550,nEVAL,"OR")=0))</f>
      </c>
      <c r="I3550">
        <f>IF(DATOS!$I3550="","",IFERROR(VLOOKUP(DATOS!$I3550,CONFIG_ASIGNATURAS!$B$2:$J$91,9,FALSE()),""))</f>
      </c>
    </row>
    <row r="3551">
      <c r="F3551">
        <f>IF(DATOS!$A3551="","",DATOS!$A3551&amp;"|"&amp;DATOS!$D3551&amp;"|"&amp;DATOS!$E3551&amp;"|"&amp;DATOS!$I3551)</f>
      </c>
      <c r="G3551">
        <f>IF(DATOS!$A3551="",0,IF(CONFIG_METADATA!$B$4&lt;&gt;"OR+EX",--(DATOS!$G3551=CONFIG_METADATA!$B$4),IF(DATOS!$G3551="EX",1,IF(DATOS!$G3551="OR",--(COUNTIFS(nNIA,DATOS!$A3551,nCURSO,DATOS!$D3551,nESPEC,DATOS!$E3551,nASIG,DATOS!$I3551,nEVAL,"EX")=0),0))))</f>
      </c>
      <c r="H3551">
        <f>IF(DATOS!$G3551&lt;&gt;"EX",0,--(COUNTIFS(nNIA,DATOS!$A3551,nCURSO,DATOS!$D3551,nESPEC,DATOS!$E3551,nASIG,DATOS!$I3551,nEVAL,"OR")=0))</f>
      </c>
      <c r="I3551">
        <f>IF(DATOS!$I3551="","",IFERROR(VLOOKUP(DATOS!$I3551,CONFIG_ASIGNATURAS!$B$2:$J$91,9,FALSE()),""))</f>
      </c>
    </row>
    <row r="3552">
      <c r="F3552">
        <f>IF(DATOS!$A3552="","",DATOS!$A3552&amp;"|"&amp;DATOS!$D3552&amp;"|"&amp;DATOS!$E3552&amp;"|"&amp;DATOS!$I3552)</f>
      </c>
      <c r="G3552">
        <f>IF(DATOS!$A3552="",0,IF(CONFIG_METADATA!$B$4&lt;&gt;"OR+EX",--(DATOS!$G3552=CONFIG_METADATA!$B$4),IF(DATOS!$G3552="EX",1,IF(DATOS!$G3552="OR",--(COUNTIFS(nNIA,DATOS!$A3552,nCURSO,DATOS!$D3552,nESPEC,DATOS!$E3552,nASIG,DATOS!$I3552,nEVAL,"EX")=0),0))))</f>
      </c>
      <c r="H3552">
        <f>IF(DATOS!$G3552&lt;&gt;"EX",0,--(COUNTIFS(nNIA,DATOS!$A3552,nCURSO,DATOS!$D3552,nESPEC,DATOS!$E3552,nASIG,DATOS!$I3552,nEVAL,"OR")=0))</f>
      </c>
      <c r="I3552">
        <f>IF(DATOS!$I3552="","",IFERROR(VLOOKUP(DATOS!$I3552,CONFIG_ASIGNATURAS!$B$2:$J$91,9,FALSE()),""))</f>
      </c>
    </row>
    <row r="3553">
      <c r="F3553">
        <f>IF(DATOS!$A3553="","",DATOS!$A3553&amp;"|"&amp;DATOS!$D3553&amp;"|"&amp;DATOS!$E3553&amp;"|"&amp;DATOS!$I3553)</f>
      </c>
      <c r="G3553">
        <f>IF(DATOS!$A3553="",0,IF(CONFIG_METADATA!$B$4&lt;&gt;"OR+EX",--(DATOS!$G3553=CONFIG_METADATA!$B$4),IF(DATOS!$G3553="EX",1,IF(DATOS!$G3553="OR",--(COUNTIFS(nNIA,DATOS!$A3553,nCURSO,DATOS!$D3553,nESPEC,DATOS!$E3553,nASIG,DATOS!$I3553,nEVAL,"EX")=0),0))))</f>
      </c>
      <c r="H3553">
        <f>IF(DATOS!$G3553&lt;&gt;"EX",0,--(COUNTIFS(nNIA,DATOS!$A3553,nCURSO,DATOS!$D3553,nESPEC,DATOS!$E3553,nASIG,DATOS!$I3553,nEVAL,"OR")=0))</f>
      </c>
      <c r="I3553">
        <f>IF(DATOS!$I3553="","",IFERROR(VLOOKUP(DATOS!$I3553,CONFIG_ASIGNATURAS!$B$2:$J$91,9,FALSE()),""))</f>
      </c>
    </row>
    <row r="3554">
      <c r="F3554">
        <f>IF(DATOS!$A3554="","",DATOS!$A3554&amp;"|"&amp;DATOS!$D3554&amp;"|"&amp;DATOS!$E3554&amp;"|"&amp;DATOS!$I3554)</f>
      </c>
      <c r="G3554">
        <f>IF(DATOS!$A3554="",0,IF(CONFIG_METADATA!$B$4&lt;&gt;"OR+EX",--(DATOS!$G3554=CONFIG_METADATA!$B$4),IF(DATOS!$G3554="EX",1,IF(DATOS!$G3554="OR",--(COUNTIFS(nNIA,DATOS!$A3554,nCURSO,DATOS!$D3554,nESPEC,DATOS!$E3554,nASIG,DATOS!$I3554,nEVAL,"EX")=0),0))))</f>
      </c>
      <c r="H3554">
        <f>IF(DATOS!$G3554&lt;&gt;"EX",0,--(COUNTIFS(nNIA,DATOS!$A3554,nCURSO,DATOS!$D3554,nESPEC,DATOS!$E3554,nASIG,DATOS!$I3554,nEVAL,"OR")=0))</f>
      </c>
      <c r="I3554">
        <f>IF(DATOS!$I3554="","",IFERROR(VLOOKUP(DATOS!$I3554,CONFIG_ASIGNATURAS!$B$2:$J$91,9,FALSE()),""))</f>
      </c>
    </row>
    <row r="3555">
      <c r="F3555">
        <f>IF(DATOS!$A3555="","",DATOS!$A3555&amp;"|"&amp;DATOS!$D3555&amp;"|"&amp;DATOS!$E3555&amp;"|"&amp;DATOS!$I3555)</f>
      </c>
      <c r="G3555">
        <f>IF(DATOS!$A3555="",0,IF(CONFIG_METADATA!$B$4&lt;&gt;"OR+EX",--(DATOS!$G3555=CONFIG_METADATA!$B$4),IF(DATOS!$G3555="EX",1,IF(DATOS!$G3555="OR",--(COUNTIFS(nNIA,DATOS!$A3555,nCURSO,DATOS!$D3555,nESPEC,DATOS!$E3555,nASIG,DATOS!$I3555,nEVAL,"EX")=0),0))))</f>
      </c>
      <c r="H3555">
        <f>IF(DATOS!$G3555&lt;&gt;"EX",0,--(COUNTIFS(nNIA,DATOS!$A3555,nCURSO,DATOS!$D3555,nESPEC,DATOS!$E3555,nASIG,DATOS!$I3555,nEVAL,"OR")=0))</f>
      </c>
      <c r="I3555">
        <f>IF(DATOS!$I3555="","",IFERROR(VLOOKUP(DATOS!$I3555,CONFIG_ASIGNATURAS!$B$2:$J$91,9,FALSE()),""))</f>
      </c>
    </row>
    <row r="3556">
      <c r="F3556">
        <f>IF(DATOS!$A3556="","",DATOS!$A3556&amp;"|"&amp;DATOS!$D3556&amp;"|"&amp;DATOS!$E3556&amp;"|"&amp;DATOS!$I3556)</f>
      </c>
      <c r="G3556">
        <f>IF(DATOS!$A3556="",0,IF(CONFIG_METADATA!$B$4&lt;&gt;"OR+EX",--(DATOS!$G3556=CONFIG_METADATA!$B$4),IF(DATOS!$G3556="EX",1,IF(DATOS!$G3556="OR",--(COUNTIFS(nNIA,DATOS!$A3556,nCURSO,DATOS!$D3556,nESPEC,DATOS!$E3556,nASIG,DATOS!$I3556,nEVAL,"EX")=0),0))))</f>
      </c>
      <c r="H3556">
        <f>IF(DATOS!$G3556&lt;&gt;"EX",0,--(COUNTIFS(nNIA,DATOS!$A3556,nCURSO,DATOS!$D3556,nESPEC,DATOS!$E3556,nASIG,DATOS!$I3556,nEVAL,"OR")=0))</f>
      </c>
      <c r="I3556">
        <f>IF(DATOS!$I3556="","",IFERROR(VLOOKUP(DATOS!$I3556,CONFIG_ASIGNATURAS!$B$2:$J$91,9,FALSE()),""))</f>
      </c>
    </row>
    <row r="3557">
      <c r="F3557">
        <f>IF(DATOS!$A3557="","",DATOS!$A3557&amp;"|"&amp;DATOS!$D3557&amp;"|"&amp;DATOS!$E3557&amp;"|"&amp;DATOS!$I3557)</f>
      </c>
      <c r="G3557">
        <f>IF(DATOS!$A3557="",0,IF(CONFIG_METADATA!$B$4&lt;&gt;"OR+EX",--(DATOS!$G3557=CONFIG_METADATA!$B$4),IF(DATOS!$G3557="EX",1,IF(DATOS!$G3557="OR",--(COUNTIFS(nNIA,DATOS!$A3557,nCURSO,DATOS!$D3557,nESPEC,DATOS!$E3557,nASIG,DATOS!$I3557,nEVAL,"EX")=0),0))))</f>
      </c>
      <c r="H3557">
        <f>IF(DATOS!$G3557&lt;&gt;"EX",0,--(COUNTIFS(nNIA,DATOS!$A3557,nCURSO,DATOS!$D3557,nESPEC,DATOS!$E3557,nASIG,DATOS!$I3557,nEVAL,"OR")=0))</f>
      </c>
      <c r="I3557">
        <f>IF(DATOS!$I3557="","",IFERROR(VLOOKUP(DATOS!$I3557,CONFIG_ASIGNATURAS!$B$2:$J$91,9,FALSE()),""))</f>
      </c>
    </row>
    <row r="3558">
      <c r="F3558">
        <f>IF(DATOS!$A3558="","",DATOS!$A3558&amp;"|"&amp;DATOS!$D3558&amp;"|"&amp;DATOS!$E3558&amp;"|"&amp;DATOS!$I3558)</f>
      </c>
      <c r="G3558">
        <f>IF(DATOS!$A3558="",0,IF(CONFIG_METADATA!$B$4&lt;&gt;"OR+EX",--(DATOS!$G3558=CONFIG_METADATA!$B$4),IF(DATOS!$G3558="EX",1,IF(DATOS!$G3558="OR",--(COUNTIFS(nNIA,DATOS!$A3558,nCURSO,DATOS!$D3558,nESPEC,DATOS!$E3558,nASIG,DATOS!$I3558,nEVAL,"EX")=0),0))))</f>
      </c>
      <c r="H3558">
        <f>IF(DATOS!$G3558&lt;&gt;"EX",0,--(COUNTIFS(nNIA,DATOS!$A3558,nCURSO,DATOS!$D3558,nESPEC,DATOS!$E3558,nASIG,DATOS!$I3558,nEVAL,"OR")=0))</f>
      </c>
      <c r="I3558">
        <f>IF(DATOS!$I3558="","",IFERROR(VLOOKUP(DATOS!$I3558,CONFIG_ASIGNATURAS!$B$2:$J$91,9,FALSE()),""))</f>
      </c>
    </row>
    <row r="3559">
      <c r="F3559">
        <f>IF(DATOS!$A3559="","",DATOS!$A3559&amp;"|"&amp;DATOS!$D3559&amp;"|"&amp;DATOS!$E3559&amp;"|"&amp;DATOS!$I3559)</f>
      </c>
      <c r="G3559">
        <f>IF(DATOS!$A3559="",0,IF(CONFIG_METADATA!$B$4&lt;&gt;"OR+EX",--(DATOS!$G3559=CONFIG_METADATA!$B$4),IF(DATOS!$G3559="EX",1,IF(DATOS!$G3559="OR",--(COUNTIFS(nNIA,DATOS!$A3559,nCURSO,DATOS!$D3559,nESPEC,DATOS!$E3559,nASIG,DATOS!$I3559,nEVAL,"EX")=0),0))))</f>
      </c>
      <c r="H3559">
        <f>IF(DATOS!$G3559&lt;&gt;"EX",0,--(COUNTIFS(nNIA,DATOS!$A3559,nCURSO,DATOS!$D3559,nESPEC,DATOS!$E3559,nASIG,DATOS!$I3559,nEVAL,"OR")=0))</f>
      </c>
      <c r="I3559">
        <f>IF(DATOS!$I3559="","",IFERROR(VLOOKUP(DATOS!$I3559,CONFIG_ASIGNATURAS!$B$2:$J$91,9,FALSE()),""))</f>
      </c>
    </row>
    <row r="3560">
      <c r="F3560">
        <f>IF(DATOS!$A3560="","",DATOS!$A3560&amp;"|"&amp;DATOS!$D3560&amp;"|"&amp;DATOS!$E3560&amp;"|"&amp;DATOS!$I3560)</f>
      </c>
      <c r="G3560">
        <f>IF(DATOS!$A3560="",0,IF(CONFIG_METADATA!$B$4&lt;&gt;"OR+EX",--(DATOS!$G3560=CONFIG_METADATA!$B$4),IF(DATOS!$G3560="EX",1,IF(DATOS!$G3560="OR",--(COUNTIFS(nNIA,DATOS!$A3560,nCURSO,DATOS!$D3560,nESPEC,DATOS!$E3560,nASIG,DATOS!$I3560,nEVAL,"EX")=0),0))))</f>
      </c>
      <c r="H3560">
        <f>IF(DATOS!$G3560&lt;&gt;"EX",0,--(COUNTIFS(nNIA,DATOS!$A3560,nCURSO,DATOS!$D3560,nESPEC,DATOS!$E3560,nASIG,DATOS!$I3560,nEVAL,"OR")=0))</f>
      </c>
      <c r="I3560">
        <f>IF(DATOS!$I3560="","",IFERROR(VLOOKUP(DATOS!$I3560,CONFIG_ASIGNATURAS!$B$2:$J$91,9,FALSE()),""))</f>
      </c>
    </row>
    <row r="3561">
      <c r="F3561">
        <f>IF(DATOS!$A3561="","",DATOS!$A3561&amp;"|"&amp;DATOS!$D3561&amp;"|"&amp;DATOS!$E3561&amp;"|"&amp;DATOS!$I3561)</f>
      </c>
      <c r="G3561">
        <f>IF(DATOS!$A3561="",0,IF(CONFIG_METADATA!$B$4&lt;&gt;"OR+EX",--(DATOS!$G3561=CONFIG_METADATA!$B$4),IF(DATOS!$G3561="EX",1,IF(DATOS!$G3561="OR",--(COUNTIFS(nNIA,DATOS!$A3561,nCURSO,DATOS!$D3561,nESPEC,DATOS!$E3561,nASIG,DATOS!$I3561,nEVAL,"EX")=0),0))))</f>
      </c>
      <c r="H3561">
        <f>IF(DATOS!$G3561&lt;&gt;"EX",0,--(COUNTIFS(nNIA,DATOS!$A3561,nCURSO,DATOS!$D3561,nESPEC,DATOS!$E3561,nASIG,DATOS!$I3561,nEVAL,"OR")=0))</f>
      </c>
      <c r="I3561">
        <f>IF(DATOS!$I3561="","",IFERROR(VLOOKUP(DATOS!$I3561,CONFIG_ASIGNATURAS!$B$2:$J$91,9,FALSE()),""))</f>
      </c>
    </row>
    <row r="3562">
      <c r="F3562">
        <f>IF(DATOS!$A3562="","",DATOS!$A3562&amp;"|"&amp;DATOS!$D3562&amp;"|"&amp;DATOS!$E3562&amp;"|"&amp;DATOS!$I3562)</f>
      </c>
      <c r="G3562">
        <f>IF(DATOS!$A3562="",0,IF(CONFIG_METADATA!$B$4&lt;&gt;"OR+EX",--(DATOS!$G3562=CONFIG_METADATA!$B$4),IF(DATOS!$G3562="EX",1,IF(DATOS!$G3562="OR",--(COUNTIFS(nNIA,DATOS!$A3562,nCURSO,DATOS!$D3562,nESPEC,DATOS!$E3562,nASIG,DATOS!$I3562,nEVAL,"EX")=0),0))))</f>
      </c>
      <c r="H3562">
        <f>IF(DATOS!$G3562&lt;&gt;"EX",0,--(COUNTIFS(nNIA,DATOS!$A3562,nCURSO,DATOS!$D3562,nESPEC,DATOS!$E3562,nASIG,DATOS!$I3562,nEVAL,"OR")=0))</f>
      </c>
      <c r="I3562">
        <f>IF(DATOS!$I3562="","",IFERROR(VLOOKUP(DATOS!$I3562,CONFIG_ASIGNATURAS!$B$2:$J$91,9,FALSE()),""))</f>
      </c>
    </row>
    <row r="3563">
      <c r="F3563">
        <f>IF(DATOS!$A3563="","",DATOS!$A3563&amp;"|"&amp;DATOS!$D3563&amp;"|"&amp;DATOS!$E3563&amp;"|"&amp;DATOS!$I3563)</f>
      </c>
      <c r="G3563">
        <f>IF(DATOS!$A3563="",0,IF(CONFIG_METADATA!$B$4&lt;&gt;"OR+EX",--(DATOS!$G3563=CONFIG_METADATA!$B$4),IF(DATOS!$G3563="EX",1,IF(DATOS!$G3563="OR",--(COUNTIFS(nNIA,DATOS!$A3563,nCURSO,DATOS!$D3563,nESPEC,DATOS!$E3563,nASIG,DATOS!$I3563,nEVAL,"EX")=0),0))))</f>
      </c>
      <c r="H3563">
        <f>IF(DATOS!$G3563&lt;&gt;"EX",0,--(COUNTIFS(nNIA,DATOS!$A3563,nCURSO,DATOS!$D3563,nESPEC,DATOS!$E3563,nASIG,DATOS!$I3563,nEVAL,"OR")=0))</f>
      </c>
      <c r="I3563">
        <f>IF(DATOS!$I3563="","",IFERROR(VLOOKUP(DATOS!$I3563,CONFIG_ASIGNATURAS!$B$2:$J$91,9,FALSE()),""))</f>
      </c>
    </row>
    <row r="3564">
      <c r="F3564">
        <f>IF(DATOS!$A3564="","",DATOS!$A3564&amp;"|"&amp;DATOS!$D3564&amp;"|"&amp;DATOS!$E3564&amp;"|"&amp;DATOS!$I3564)</f>
      </c>
      <c r="G3564">
        <f>IF(DATOS!$A3564="",0,IF(CONFIG_METADATA!$B$4&lt;&gt;"OR+EX",--(DATOS!$G3564=CONFIG_METADATA!$B$4),IF(DATOS!$G3564="EX",1,IF(DATOS!$G3564="OR",--(COUNTIFS(nNIA,DATOS!$A3564,nCURSO,DATOS!$D3564,nESPEC,DATOS!$E3564,nASIG,DATOS!$I3564,nEVAL,"EX")=0),0))))</f>
      </c>
      <c r="H3564">
        <f>IF(DATOS!$G3564&lt;&gt;"EX",0,--(COUNTIFS(nNIA,DATOS!$A3564,nCURSO,DATOS!$D3564,nESPEC,DATOS!$E3564,nASIG,DATOS!$I3564,nEVAL,"OR")=0))</f>
      </c>
      <c r="I3564">
        <f>IF(DATOS!$I3564="","",IFERROR(VLOOKUP(DATOS!$I3564,CONFIG_ASIGNATURAS!$B$2:$J$91,9,FALSE()),""))</f>
      </c>
    </row>
    <row r="3565">
      <c r="F3565">
        <f>IF(DATOS!$A3565="","",DATOS!$A3565&amp;"|"&amp;DATOS!$D3565&amp;"|"&amp;DATOS!$E3565&amp;"|"&amp;DATOS!$I3565)</f>
      </c>
      <c r="G3565">
        <f>IF(DATOS!$A3565="",0,IF(CONFIG_METADATA!$B$4&lt;&gt;"OR+EX",--(DATOS!$G3565=CONFIG_METADATA!$B$4),IF(DATOS!$G3565="EX",1,IF(DATOS!$G3565="OR",--(COUNTIFS(nNIA,DATOS!$A3565,nCURSO,DATOS!$D3565,nESPEC,DATOS!$E3565,nASIG,DATOS!$I3565,nEVAL,"EX")=0),0))))</f>
      </c>
      <c r="H3565">
        <f>IF(DATOS!$G3565&lt;&gt;"EX",0,--(COUNTIFS(nNIA,DATOS!$A3565,nCURSO,DATOS!$D3565,nESPEC,DATOS!$E3565,nASIG,DATOS!$I3565,nEVAL,"OR")=0))</f>
      </c>
      <c r="I3565">
        <f>IF(DATOS!$I3565="","",IFERROR(VLOOKUP(DATOS!$I3565,CONFIG_ASIGNATURAS!$B$2:$J$91,9,FALSE()),""))</f>
      </c>
    </row>
    <row r="3566">
      <c r="F3566">
        <f>IF(DATOS!$A3566="","",DATOS!$A3566&amp;"|"&amp;DATOS!$D3566&amp;"|"&amp;DATOS!$E3566&amp;"|"&amp;DATOS!$I3566)</f>
      </c>
      <c r="G3566">
        <f>IF(DATOS!$A3566="",0,IF(CONFIG_METADATA!$B$4&lt;&gt;"OR+EX",--(DATOS!$G3566=CONFIG_METADATA!$B$4),IF(DATOS!$G3566="EX",1,IF(DATOS!$G3566="OR",--(COUNTIFS(nNIA,DATOS!$A3566,nCURSO,DATOS!$D3566,nESPEC,DATOS!$E3566,nASIG,DATOS!$I3566,nEVAL,"EX")=0),0))))</f>
      </c>
      <c r="H3566">
        <f>IF(DATOS!$G3566&lt;&gt;"EX",0,--(COUNTIFS(nNIA,DATOS!$A3566,nCURSO,DATOS!$D3566,nESPEC,DATOS!$E3566,nASIG,DATOS!$I3566,nEVAL,"OR")=0))</f>
      </c>
      <c r="I3566">
        <f>IF(DATOS!$I3566="","",IFERROR(VLOOKUP(DATOS!$I3566,CONFIG_ASIGNATURAS!$B$2:$J$91,9,FALSE()),""))</f>
      </c>
    </row>
    <row r="3567">
      <c r="F3567">
        <f>IF(DATOS!$A3567="","",DATOS!$A3567&amp;"|"&amp;DATOS!$D3567&amp;"|"&amp;DATOS!$E3567&amp;"|"&amp;DATOS!$I3567)</f>
      </c>
      <c r="G3567">
        <f>IF(DATOS!$A3567="",0,IF(CONFIG_METADATA!$B$4&lt;&gt;"OR+EX",--(DATOS!$G3567=CONFIG_METADATA!$B$4),IF(DATOS!$G3567="EX",1,IF(DATOS!$G3567="OR",--(COUNTIFS(nNIA,DATOS!$A3567,nCURSO,DATOS!$D3567,nESPEC,DATOS!$E3567,nASIG,DATOS!$I3567,nEVAL,"EX")=0),0))))</f>
      </c>
      <c r="H3567">
        <f>IF(DATOS!$G3567&lt;&gt;"EX",0,--(COUNTIFS(nNIA,DATOS!$A3567,nCURSO,DATOS!$D3567,nESPEC,DATOS!$E3567,nASIG,DATOS!$I3567,nEVAL,"OR")=0))</f>
      </c>
      <c r="I3567">
        <f>IF(DATOS!$I3567="","",IFERROR(VLOOKUP(DATOS!$I3567,CONFIG_ASIGNATURAS!$B$2:$J$91,9,FALSE()),""))</f>
      </c>
    </row>
    <row r="3568">
      <c r="F3568">
        <f>IF(DATOS!$A3568="","",DATOS!$A3568&amp;"|"&amp;DATOS!$D3568&amp;"|"&amp;DATOS!$E3568&amp;"|"&amp;DATOS!$I3568)</f>
      </c>
      <c r="G3568">
        <f>IF(DATOS!$A3568="",0,IF(CONFIG_METADATA!$B$4&lt;&gt;"OR+EX",--(DATOS!$G3568=CONFIG_METADATA!$B$4),IF(DATOS!$G3568="EX",1,IF(DATOS!$G3568="OR",--(COUNTIFS(nNIA,DATOS!$A3568,nCURSO,DATOS!$D3568,nESPEC,DATOS!$E3568,nASIG,DATOS!$I3568,nEVAL,"EX")=0),0))))</f>
      </c>
      <c r="H3568">
        <f>IF(DATOS!$G3568&lt;&gt;"EX",0,--(COUNTIFS(nNIA,DATOS!$A3568,nCURSO,DATOS!$D3568,nESPEC,DATOS!$E3568,nASIG,DATOS!$I3568,nEVAL,"OR")=0))</f>
      </c>
      <c r="I3568">
        <f>IF(DATOS!$I3568="","",IFERROR(VLOOKUP(DATOS!$I3568,CONFIG_ASIGNATURAS!$B$2:$J$91,9,FALSE()),""))</f>
      </c>
    </row>
    <row r="3569">
      <c r="F3569">
        <f>IF(DATOS!$A3569="","",DATOS!$A3569&amp;"|"&amp;DATOS!$D3569&amp;"|"&amp;DATOS!$E3569&amp;"|"&amp;DATOS!$I3569)</f>
      </c>
      <c r="G3569">
        <f>IF(DATOS!$A3569="",0,IF(CONFIG_METADATA!$B$4&lt;&gt;"OR+EX",--(DATOS!$G3569=CONFIG_METADATA!$B$4),IF(DATOS!$G3569="EX",1,IF(DATOS!$G3569="OR",--(COUNTIFS(nNIA,DATOS!$A3569,nCURSO,DATOS!$D3569,nESPEC,DATOS!$E3569,nASIG,DATOS!$I3569,nEVAL,"EX")=0),0))))</f>
      </c>
      <c r="H3569">
        <f>IF(DATOS!$G3569&lt;&gt;"EX",0,--(COUNTIFS(nNIA,DATOS!$A3569,nCURSO,DATOS!$D3569,nESPEC,DATOS!$E3569,nASIG,DATOS!$I3569,nEVAL,"OR")=0))</f>
      </c>
      <c r="I3569">
        <f>IF(DATOS!$I3569="","",IFERROR(VLOOKUP(DATOS!$I3569,CONFIG_ASIGNATURAS!$B$2:$J$91,9,FALSE()),""))</f>
      </c>
    </row>
    <row r="3570">
      <c r="F3570">
        <f>IF(DATOS!$A3570="","",DATOS!$A3570&amp;"|"&amp;DATOS!$D3570&amp;"|"&amp;DATOS!$E3570&amp;"|"&amp;DATOS!$I3570)</f>
      </c>
      <c r="G3570">
        <f>IF(DATOS!$A3570="",0,IF(CONFIG_METADATA!$B$4&lt;&gt;"OR+EX",--(DATOS!$G3570=CONFIG_METADATA!$B$4),IF(DATOS!$G3570="EX",1,IF(DATOS!$G3570="OR",--(COUNTIFS(nNIA,DATOS!$A3570,nCURSO,DATOS!$D3570,nESPEC,DATOS!$E3570,nASIG,DATOS!$I3570,nEVAL,"EX")=0),0))))</f>
      </c>
      <c r="H3570">
        <f>IF(DATOS!$G3570&lt;&gt;"EX",0,--(COUNTIFS(nNIA,DATOS!$A3570,nCURSO,DATOS!$D3570,nESPEC,DATOS!$E3570,nASIG,DATOS!$I3570,nEVAL,"OR")=0))</f>
      </c>
      <c r="I3570">
        <f>IF(DATOS!$I3570="","",IFERROR(VLOOKUP(DATOS!$I3570,CONFIG_ASIGNATURAS!$B$2:$J$91,9,FALSE()),""))</f>
      </c>
    </row>
    <row r="3571">
      <c r="F3571">
        <f>IF(DATOS!$A3571="","",DATOS!$A3571&amp;"|"&amp;DATOS!$D3571&amp;"|"&amp;DATOS!$E3571&amp;"|"&amp;DATOS!$I3571)</f>
      </c>
      <c r="G3571">
        <f>IF(DATOS!$A3571="",0,IF(CONFIG_METADATA!$B$4&lt;&gt;"OR+EX",--(DATOS!$G3571=CONFIG_METADATA!$B$4),IF(DATOS!$G3571="EX",1,IF(DATOS!$G3571="OR",--(COUNTIFS(nNIA,DATOS!$A3571,nCURSO,DATOS!$D3571,nESPEC,DATOS!$E3571,nASIG,DATOS!$I3571,nEVAL,"EX")=0),0))))</f>
      </c>
      <c r="H3571">
        <f>IF(DATOS!$G3571&lt;&gt;"EX",0,--(COUNTIFS(nNIA,DATOS!$A3571,nCURSO,DATOS!$D3571,nESPEC,DATOS!$E3571,nASIG,DATOS!$I3571,nEVAL,"OR")=0))</f>
      </c>
      <c r="I3571">
        <f>IF(DATOS!$I3571="","",IFERROR(VLOOKUP(DATOS!$I3571,CONFIG_ASIGNATURAS!$B$2:$J$91,9,FALSE()),""))</f>
      </c>
    </row>
    <row r="3572">
      <c r="F3572">
        <f>IF(DATOS!$A3572="","",DATOS!$A3572&amp;"|"&amp;DATOS!$D3572&amp;"|"&amp;DATOS!$E3572&amp;"|"&amp;DATOS!$I3572)</f>
      </c>
      <c r="G3572">
        <f>IF(DATOS!$A3572="",0,IF(CONFIG_METADATA!$B$4&lt;&gt;"OR+EX",--(DATOS!$G3572=CONFIG_METADATA!$B$4),IF(DATOS!$G3572="EX",1,IF(DATOS!$G3572="OR",--(COUNTIFS(nNIA,DATOS!$A3572,nCURSO,DATOS!$D3572,nESPEC,DATOS!$E3572,nASIG,DATOS!$I3572,nEVAL,"EX")=0),0))))</f>
      </c>
      <c r="H3572">
        <f>IF(DATOS!$G3572&lt;&gt;"EX",0,--(COUNTIFS(nNIA,DATOS!$A3572,nCURSO,DATOS!$D3572,nESPEC,DATOS!$E3572,nASIG,DATOS!$I3572,nEVAL,"OR")=0))</f>
      </c>
      <c r="I3572">
        <f>IF(DATOS!$I3572="","",IFERROR(VLOOKUP(DATOS!$I3572,CONFIG_ASIGNATURAS!$B$2:$J$91,9,FALSE()),""))</f>
      </c>
    </row>
    <row r="3573">
      <c r="F3573">
        <f>IF(DATOS!$A3573="","",DATOS!$A3573&amp;"|"&amp;DATOS!$D3573&amp;"|"&amp;DATOS!$E3573&amp;"|"&amp;DATOS!$I3573)</f>
      </c>
      <c r="G3573">
        <f>IF(DATOS!$A3573="",0,IF(CONFIG_METADATA!$B$4&lt;&gt;"OR+EX",--(DATOS!$G3573=CONFIG_METADATA!$B$4),IF(DATOS!$G3573="EX",1,IF(DATOS!$G3573="OR",--(COUNTIFS(nNIA,DATOS!$A3573,nCURSO,DATOS!$D3573,nESPEC,DATOS!$E3573,nASIG,DATOS!$I3573,nEVAL,"EX")=0),0))))</f>
      </c>
      <c r="H3573">
        <f>IF(DATOS!$G3573&lt;&gt;"EX",0,--(COUNTIFS(nNIA,DATOS!$A3573,nCURSO,DATOS!$D3573,nESPEC,DATOS!$E3573,nASIG,DATOS!$I3573,nEVAL,"OR")=0))</f>
      </c>
      <c r="I3573">
        <f>IF(DATOS!$I3573="","",IFERROR(VLOOKUP(DATOS!$I3573,CONFIG_ASIGNATURAS!$B$2:$J$91,9,FALSE()),""))</f>
      </c>
    </row>
    <row r="3574">
      <c r="F3574">
        <f>IF(DATOS!$A3574="","",DATOS!$A3574&amp;"|"&amp;DATOS!$D3574&amp;"|"&amp;DATOS!$E3574&amp;"|"&amp;DATOS!$I3574)</f>
      </c>
      <c r="G3574">
        <f>IF(DATOS!$A3574="",0,IF(CONFIG_METADATA!$B$4&lt;&gt;"OR+EX",--(DATOS!$G3574=CONFIG_METADATA!$B$4),IF(DATOS!$G3574="EX",1,IF(DATOS!$G3574="OR",--(COUNTIFS(nNIA,DATOS!$A3574,nCURSO,DATOS!$D3574,nESPEC,DATOS!$E3574,nASIG,DATOS!$I3574,nEVAL,"EX")=0),0))))</f>
      </c>
      <c r="H3574">
        <f>IF(DATOS!$G3574&lt;&gt;"EX",0,--(COUNTIFS(nNIA,DATOS!$A3574,nCURSO,DATOS!$D3574,nESPEC,DATOS!$E3574,nASIG,DATOS!$I3574,nEVAL,"OR")=0))</f>
      </c>
      <c r="I3574">
        <f>IF(DATOS!$I3574="","",IFERROR(VLOOKUP(DATOS!$I3574,CONFIG_ASIGNATURAS!$B$2:$J$91,9,FALSE()),""))</f>
      </c>
    </row>
    <row r="3575">
      <c r="F3575">
        <f>IF(DATOS!$A3575="","",DATOS!$A3575&amp;"|"&amp;DATOS!$D3575&amp;"|"&amp;DATOS!$E3575&amp;"|"&amp;DATOS!$I3575)</f>
      </c>
      <c r="G3575">
        <f>IF(DATOS!$A3575="",0,IF(CONFIG_METADATA!$B$4&lt;&gt;"OR+EX",--(DATOS!$G3575=CONFIG_METADATA!$B$4),IF(DATOS!$G3575="EX",1,IF(DATOS!$G3575="OR",--(COUNTIFS(nNIA,DATOS!$A3575,nCURSO,DATOS!$D3575,nESPEC,DATOS!$E3575,nASIG,DATOS!$I3575,nEVAL,"EX")=0),0))))</f>
      </c>
      <c r="H3575">
        <f>IF(DATOS!$G3575&lt;&gt;"EX",0,--(COUNTIFS(nNIA,DATOS!$A3575,nCURSO,DATOS!$D3575,nESPEC,DATOS!$E3575,nASIG,DATOS!$I3575,nEVAL,"OR")=0))</f>
      </c>
      <c r="I3575">
        <f>IF(DATOS!$I3575="","",IFERROR(VLOOKUP(DATOS!$I3575,CONFIG_ASIGNATURAS!$B$2:$J$91,9,FALSE()),""))</f>
      </c>
    </row>
    <row r="3576">
      <c r="F3576">
        <f>IF(DATOS!$A3576="","",DATOS!$A3576&amp;"|"&amp;DATOS!$D3576&amp;"|"&amp;DATOS!$E3576&amp;"|"&amp;DATOS!$I3576)</f>
      </c>
      <c r="G3576">
        <f>IF(DATOS!$A3576="",0,IF(CONFIG_METADATA!$B$4&lt;&gt;"OR+EX",--(DATOS!$G3576=CONFIG_METADATA!$B$4),IF(DATOS!$G3576="EX",1,IF(DATOS!$G3576="OR",--(COUNTIFS(nNIA,DATOS!$A3576,nCURSO,DATOS!$D3576,nESPEC,DATOS!$E3576,nASIG,DATOS!$I3576,nEVAL,"EX")=0),0))))</f>
      </c>
      <c r="H3576">
        <f>IF(DATOS!$G3576&lt;&gt;"EX",0,--(COUNTIFS(nNIA,DATOS!$A3576,nCURSO,DATOS!$D3576,nESPEC,DATOS!$E3576,nASIG,DATOS!$I3576,nEVAL,"OR")=0))</f>
      </c>
      <c r="I3576">
        <f>IF(DATOS!$I3576="","",IFERROR(VLOOKUP(DATOS!$I3576,CONFIG_ASIGNATURAS!$B$2:$J$91,9,FALSE()),""))</f>
      </c>
    </row>
    <row r="3577">
      <c r="F3577">
        <f>IF(DATOS!$A3577="","",DATOS!$A3577&amp;"|"&amp;DATOS!$D3577&amp;"|"&amp;DATOS!$E3577&amp;"|"&amp;DATOS!$I3577)</f>
      </c>
      <c r="G3577">
        <f>IF(DATOS!$A3577="",0,IF(CONFIG_METADATA!$B$4&lt;&gt;"OR+EX",--(DATOS!$G3577=CONFIG_METADATA!$B$4),IF(DATOS!$G3577="EX",1,IF(DATOS!$G3577="OR",--(COUNTIFS(nNIA,DATOS!$A3577,nCURSO,DATOS!$D3577,nESPEC,DATOS!$E3577,nASIG,DATOS!$I3577,nEVAL,"EX")=0),0))))</f>
      </c>
      <c r="H3577">
        <f>IF(DATOS!$G3577&lt;&gt;"EX",0,--(COUNTIFS(nNIA,DATOS!$A3577,nCURSO,DATOS!$D3577,nESPEC,DATOS!$E3577,nASIG,DATOS!$I3577,nEVAL,"OR")=0))</f>
      </c>
      <c r="I3577">
        <f>IF(DATOS!$I3577="","",IFERROR(VLOOKUP(DATOS!$I3577,CONFIG_ASIGNATURAS!$B$2:$J$91,9,FALSE()),""))</f>
      </c>
    </row>
    <row r="3578">
      <c r="F3578">
        <f>IF(DATOS!$A3578="","",DATOS!$A3578&amp;"|"&amp;DATOS!$D3578&amp;"|"&amp;DATOS!$E3578&amp;"|"&amp;DATOS!$I3578)</f>
      </c>
      <c r="G3578">
        <f>IF(DATOS!$A3578="",0,IF(CONFIG_METADATA!$B$4&lt;&gt;"OR+EX",--(DATOS!$G3578=CONFIG_METADATA!$B$4),IF(DATOS!$G3578="EX",1,IF(DATOS!$G3578="OR",--(COUNTIFS(nNIA,DATOS!$A3578,nCURSO,DATOS!$D3578,nESPEC,DATOS!$E3578,nASIG,DATOS!$I3578,nEVAL,"EX")=0),0))))</f>
      </c>
      <c r="H3578">
        <f>IF(DATOS!$G3578&lt;&gt;"EX",0,--(COUNTIFS(nNIA,DATOS!$A3578,nCURSO,DATOS!$D3578,nESPEC,DATOS!$E3578,nASIG,DATOS!$I3578,nEVAL,"OR")=0))</f>
      </c>
      <c r="I3578">
        <f>IF(DATOS!$I3578="","",IFERROR(VLOOKUP(DATOS!$I3578,CONFIG_ASIGNATURAS!$B$2:$J$91,9,FALSE()),""))</f>
      </c>
    </row>
    <row r="3579">
      <c r="F3579">
        <f>IF(DATOS!$A3579="","",DATOS!$A3579&amp;"|"&amp;DATOS!$D3579&amp;"|"&amp;DATOS!$E3579&amp;"|"&amp;DATOS!$I3579)</f>
      </c>
      <c r="G3579">
        <f>IF(DATOS!$A3579="",0,IF(CONFIG_METADATA!$B$4&lt;&gt;"OR+EX",--(DATOS!$G3579=CONFIG_METADATA!$B$4),IF(DATOS!$G3579="EX",1,IF(DATOS!$G3579="OR",--(COUNTIFS(nNIA,DATOS!$A3579,nCURSO,DATOS!$D3579,nESPEC,DATOS!$E3579,nASIG,DATOS!$I3579,nEVAL,"EX")=0),0))))</f>
      </c>
      <c r="H3579">
        <f>IF(DATOS!$G3579&lt;&gt;"EX",0,--(COUNTIFS(nNIA,DATOS!$A3579,nCURSO,DATOS!$D3579,nESPEC,DATOS!$E3579,nASIG,DATOS!$I3579,nEVAL,"OR")=0))</f>
      </c>
      <c r="I3579">
        <f>IF(DATOS!$I3579="","",IFERROR(VLOOKUP(DATOS!$I3579,CONFIG_ASIGNATURAS!$B$2:$J$91,9,FALSE()),""))</f>
      </c>
    </row>
    <row r="3580">
      <c r="F3580">
        <f>IF(DATOS!$A3580="","",DATOS!$A3580&amp;"|"&amp;DATOS!$D3580&amp;"|"&amp;DATOS!$E3580&amp;"|"&amp;DATOS!$I3580)</f>
      </c>
      <c r="G3580">
        <f>IF(DATOS!$A3580="",0,IF(CONFIG_METADATA!$B$4&lt;&gt;"OR+EX",--(DATOS!$G3580=CONFIG_METADATA!$B$4),IF(DATOS!$G3580="EX",1,IF(DATOS!$G3580="OR",--(COUNTIFS(nNIA,DATOS!$A3580,nCURSO,DATOS!$D3580,nESPEC,DATOS!$E3580,nASIG,DATOS!$I3580,nEVAL,"EX")=0),0))))</f>
      </c>
      <c r="H3580">
        <f>IF(DATOS!$G3580&lt;&gt;"EX",0,--(COUNTIFS(nNIA,DATOS!$A3580,nCURSO,DATOS!$D3580,nESPEC,DATOS!$E3580,nASIG,DATOS!$I3580,nEVAL,"OR")=0))</f>
      </c>
      <c r="I3580">
        <f>IF(DATOS!$I3580="","",IFERROR(VLOOKUP(DATOS!$I3580,CONFIG_ASIGNATURAS!$B$2:$J$91,9,FALSE()),""))</f>
      </c>
    </row>
    <row r="3581">
      <c r="F3581">
        <f>IF(DATOS!$A3581="","",DATOS!$A3581&amp;"|"&amp;DATOS!$D3581&amp;"|"&amp;DATOS!$E3581&amp;"|"&amp;DATOS!$I3581)</f>
      </c>
      <c r="G3581">
        <f>IF(DATOS!$A3581="",0,IF(CONFIG_METADATA!$B$4&lt;&gt;"OR+EX",--(DATOS!$G3581=CONFIG_METADATA!$B$4),IF(DATOS!$G3581="EX",1,IF(DATOS!$G3581="OR",--(COUNTIFS(nNIA,DATOS!$A3581,nCURSO,DATOS!$D3581,nESPEC,DATOS!$E3581,nASIG,DATOS!$I3581,nEVAL,"EX")=0),0))))</f>
      </c>
      <c r="H3581">
        <f>IF(DATOS!$G3581&lt;&gt;"EX",0,--(COUNTIFS(nNIA,DATOS!$A3581,nCURSO,DATOS!$D3581,nESPEC,DATOS!$E3581,nASIG,DATOS!$I3581,nEVAL,"OR")=0))</f>
      </c>
      <c r="I3581">
        <f>IF(DATOS!$I3581="","",IFERROR(VLOOKUP(DATOS!$I3581,CONFIG_ASIGNATURAS!$B$2:$J$91,9,FALSE()),""))</f>
      </c>
    </row>
    <row r="3582">
      <c r="F3582">
        <f>IF(DATOS!$A3582="","",DATOS!$A3582&amp;"|"&amp;DATOS!$D3582&amp;"|"&amp;DATOS!$E3582&amp;"|"&amp;DATOS!$I3582)</f>
      </c>
      <c r="G3582">
        <f>IF(DATOS!$A3582="",0,IF(CONFIG_METADATA!$B$4&lt;&gt;"OR+EX",--(DATOS!$G3582=CONFIG_METADATA!$B$4),IF(DATOS!$G3582="EX",1,IF(DATOS!$G3582="OR",--(COUNTIFS(nNIA,DATOS!$A3582,nCURSO,DATOS!$D3582,nESPEC,DATOS!$E3582,nASIG,DATOS!$I3582,nEVAL,"EX")=0),0))))</f>
      </c>
      <c r="H3582">
        <f>IF(DATOS!$G3582&lt;&gt;"EX",0,--(COUNTIFS(nNIA,DATOS!$A3582,nCURSO,DATOS!$D3582,nESPEC,DATOS!$E3582,nASIG,DATOS!$I3582,nEVAL,"OR")=0))</f>
      </c>
      <c r="I3582">
        <f>IF(DATOS!$I3582="","",IFERROR(VLOOKUP(DATOS!$I3582,CONFIG_ASIGNATURAS!$B$2:$J$91,9,FALSE()),""))</f>
      </c>
    </row>
    <row r="3583">
      <c r="F3583">
        <f>IF(DATOS!$A3583="","",DATOS!$A3583&amp;"|"&amp;DATOS!$D3583&amp;"|"&amp;DATOS!$E3583&amp;"|"&amp;DATOS!$I3583)</f>
      </c>
      <c r="G3583">
        <f>IF(DATOS!$A3583="",0,IF(CONFIG_METADATA!$B$4&lt;&gt;"OR+EX",--(DATOS!$G3583=CONFIG_METADATA!$B$4),IF(DATOS!$G3583="EX",1,IF(DATOS!$G3583="OR",--(COUNTIFS(nNIA,DATOS!$A3583,nCURSO,DATOS!$D3583,nESPEC,DATOS!$E3583,nASIG,DATOS!$I3583,nEVAL,"EX")=0),0))))</f>
      </c>
      <c r="H3583">
        <f>IF(DATOS!$G3583&lt;&gt;"EX",0,--(COUNTIFS(nNIA,DATOS!$A3583,nCURSO,DATOS!$D3583,nESPEC,DATOS!$E3583,nASIG,DATOS!$I3583,nEVAL,"OR")=0))</f>
      </c>
      <c r="I3583">
        <f>IF(DATOS!$I3583="","",IFERROR(VLOOKUP(DATOS!$I3583,CONFIG_ASIGNATURAS!$B$2:$J$91,9,FALSE()),""))</f>
      </c>
    </row>
    <row r="3584">
      <c r="F3584">
        <f>IF(DATOS!$A3584="","",DATOS!$A3584&amp;"|"&amp;DATOS!$D3584&amp;"|"&amp;DATOS!$E3584&amp;"|"&amp;DATOS!$I3584)</f>
      </c>
      <c r="G3584">
        <f>IF(DATOS!$A3584="",0,IF(CONFIG_METADATA!$B$4&lt;&gt;"OR+EX",--(DATOS!$G3584=CONFIG_METADATA!$B$4),IF(DATOS!$G3584="EX",1,IF(DATOS!$G3584="OR",--(COUNTIFS(nNIA,DATOS!$A3584,nCURSO,DATOS!$D3584,nESPEC,DATOS!$E3584,nASIG,DATOS!$I3584,nEVAL,"EX")=0),0))))</f>
      </c>
      <c r="H3584">
        <f>IF(DATOS!$G3584&lt;&gt;"EX",0,--(COUNTIFS(nNIA,DATOS!$A3584,nCURSO,DATOS!$D3584,nESPEC,DATOS!$E3584,nASIG,DATOS!$I3584,nEVAL,"OR")=0))</f>
      </c>
      <c r="I3584">
        <f>IF(DATOS!$I3584="","",IFERROR(VLOOKUP(DATOS!$I3584,CONFIG_ASIGNATURAS!$B$2:$J$91,9,FALSE()),""))</f>
      </c>
    </row>
    <row r="3585">
      <c r="F3585">
        <f>IF(DATOS!$A3585="","",DATOS!$A3585&amp;"|"&amp;DATOS!$D3585&amp;"|"&amp;DATOS!$E3585&amp;"|"&amp;DATOS!$I3585)</f>
      </c>
      <c r="G3585">
        <f>IF(DATOS!$A3585="",0,IF(CONFIG_METADATA!$B$4&lt;&gt;"OR+EX",--(DATOS!$G3585=CONFIG_METADATA!$B$4),IF(DATOS!$G3585="EX",1,IF(DATOS!$G3585="OR",--(COUNTIFS(nNIA,DATOS!$A3585,nCURSO,DATOS!$D3585,nESPEC,DATOS!$E3585,nASIG,DATOS!$I3585,nEVAL,"EX")=0),0))))</f>
      </c>
      <c r="H3585">
        <f>IF(DATOS!$G3585&lt;&gt;"EX",0,--(COUNTIFS(nNIA,DATOS!$A3585,nCURSO,DATOS!$D3585,nESPEC,DATOS!$E3585,nASIG,DATOS!$I3585,nEVAL,"OR")=0))</f>
      </c>
      <c r="I3585">
        <f>IF(DATOS!$I3585="","",IFERROR(VLOOKUP(DATOS!$I3585,CONFIG_ASIGNATURAS!$B$2:$J$91,9,FALSE()),""))</f>
      </c>
    </row>
    <row r="3586">
      <c r="F3586">
        <f>IF(DATOS!$A3586="","",DATOS!$A3586&amp;"|"&amp;DATOS!$D3586&amp;"|"&amp;DATOS!$E3586&amp;"|"&amp;DATOS!$I3586)</f>
      </c>
      <c r="G3586">
        <f>IF(DATOS!$A3586="",0,IF(CONFIG_METADATA!$B$4&lt;&gt;"OR+EX",--(DATOS!$G3586=CONFIG_METADATA!$B$4),IF(DATOS!$G3586="EX",1,IF(DATOS!$G3586="OR",--(COUNTIFS(nNIA,DATOS!$A3586,nCURSO,DATOS!$D3586,nESPEC,DATOS!$E3586,nASIG,DATOS!$I3586,nEVAL,"EX")=0),0))))</f>
      </c>
      <c r="H3586">
        <f>IF(DATOS!$G3586&lt;&gt;"EX",0,--(COUNTIFS(nNIA,DATOS!$A3586,nCURSO,DATOS!$D3586,nESPEC,DATOS!$E3586,nASIG,DATOS!$I3586,nEVAL,"OR")=0))</f>
      </c>
      <c r="I3586">
        <f>IF(DATOS!$I3586="","",IFERROR(VLOOKUP(DATOS!$I3586,CONFIG_ASIGNATURAS!$B$2:$J$91,9,FALSE()),""))</f>
      </c>
    </row>
    <row r="3587">
      <c r="F3587">
        <f>IF(DATOS!$A3587="","",DATOS!$A3587&amp;"|"&amp;DATOS!$D3587&amp;"|"&amp;DATOS!$E3587&amp;"|"&amp;DATOS!$I3587)</f>
      </c>
      <c r="G3587">
        <f>IF(DATOS!$A3587="",0,IF(CONFIG_METADATA!$B$4&lt;&gt;"OR+EX",--(DATOS!$G3587=CONFIG_METADATA!$B$4),IF(DATOS!$G3587="EX",1,IF(DATOS!$G3587="OR",--(COUNTIFS(nNIA,DATOS!$A3587,nCURSO,DATOS!$D3587,nESPEC,DATOS!$E3587,nASIG,DATOS!$I3587,nEVAL,"EX")=0),0))))</f>
      </c>
      <c r="H3587">
        <f>IF(DATOS!$G3587&lt;&gt;"EX",0,--(COUNTIFS(nNIA,DATOS!$A3587,nCURSO,DATOS!$D3587,nESPEC,DATOS!$E3587,nASIG,DATOS!$I3587,nEVAL,"OR")=0))</f>
      </c>
      <c r="I3587">
        <f>IF(DATOS!$I3587="","",IFERROR(VLOOKUP(DATOS!$I3587,CONFIG_ASIGNATURAS!$B$2:$J$91,9,FALSE()),""))</f>
      </c>
    </row>
    <row r="3588">
      <c r="F3588">
        <f>IF(DATOS!$A3588="","",DATOS!$A3588&amp;"|"&amp;DATOS!$D3588&amp;"|"&amp;DATOS!$E3588&amp;"|"&amp;DATOS!$I3588)</f>
      </c>
      <c r="G3588">
        <f>IF(DATOS!$A3588="",0,IF(CONFIG_METADATA!$B$4&lt;&gt;"OR+EX",--(DATOS!$G3588=CONFIG_METADATA!$B$4),IF(DATOS!$G3588="EX",1,IF(DATOS!$G3588="OR",--(COUNTIFS(nNIA,DATOS!$A3588,nCURSO,DATOS!$D3588,nESPEC,DATOS!$E3588,nASIG,DATOS!$I3588,nEVAL,"EX")=0),0))))</f>
      </c>
      <c r="H3588">
        <f>IF(DATOS!$G3588&lt;&gt;"EX",0,--(COUNTIFS(nNIA,DATOS!$A3588,nCURSO,DATOS!$D3588,nESPEC,DATOS!$E3588,nASIG,DATOS!$I3588,nEVAL,"OR")=0))</f>
      </c>
      <c r="I3588">
        <f>IF(DATOS!$I3588="","",IFERROR(VLOOKUP(DATOS!$I3588,CONFIG_ASIGNATURAS!$B$2:$J$91,9,FALSE()),""))</f>
      </c>
    </row>
    <row r="3589">
      <c r="F3589">
        <f>IF(DATOS!$A3589="","",DATOS!$A3589&amp;"|"&amp;DATOS!$D3589&amp;"|"&amp;DATOS!$E3589&amp;"|"&amp;DATOS!$I3589)</f>
      </c>
      <c r="G3589">
        <f>IF(DATOS!$A3589="",0,IF(CONFIG_METADATA!$B$4&lt;&gt;"OR+EX",--(DATOS!$G3589=CONFIG_METADATA!$B$4),IF(DATOS!$G3589="EX",1,IF(DATOS!$G3589="OR",--(COUNTIFS(nNIA,DATOS!$A3589,nCURSO,DATOS!$D3589,nESPEC,DATOS!$E3589,nASIG,DATOS!$I3589,nEVAL,"EX")=0),0))))</f>
      </c>
      <c r="H3589">
        <f>IF(DATOS!$G3589&lt;&gt;"EX",0,--(COUNTIFS(nNIA,DATOS!$A3589,nCURSO,DATOS!$D3589,nESPEC,DATOS!$E3589,nASIG,DATOS!$I3589,nEVAL,"OR")=0))</f>
      </c>
      <c r="I3589">
        <f>IF(DATOS!$I3589="","",IFERROR(VLOOKUP(DATOS!$I3589,CONFIG_ASIGNATURAS!$B$2:$J$91,9,FALSE()),""))</f>
      </c>
    </row>
    <row r="3590">
      <c r="F3590">
        <f>IF(DATOS!$A3590="","",DATOS!$A3590&amp;"|"&amp;DATOS!$D3590&amp;"|"&amp;DATOS!$E3590&amp;"|"&amp;DATOS!$I3590)</f>
      </c>
      <c r="G3590">
        <f>IF(DATOS!$A3590="",0,IF(CONFIG_METADATA!$B$4&lt;&gt;"OR+EX",--(DATOS!$G3590=CONFIG_METADATA!$B$4),IF(DATOS!$G3590="EX",1,IF(DATOS!$G3590="OR",--(COUNTIFS(nNIA,DATOS!$A3590,nCURSO,DATOS!$D3590,nESPEC,DATOS!$E3590,nASIG,DATOS!$I3590,nEVAL,"EX")=0),0))))</f>
      </c>
      <c r="H3590">
        <f>IF(DATOS!$G3590&lt;&gt;"EX",0,--(COUNTIFS(nNIA,DATOS!$A3590,nCURSO,DATOS!$D3590,nESPEC,DATOS!$E3590,nASIG,DATOS!$I3590,nEVAL,"OR")=0))</f>
      </c>
      <c r="I3590">
        <f>IF(DATOS!$I3590="","",IFERROR(VLOOKUP(DATOS!$I3590,CONFIG_ASIGNATURAS!$B$2:$J$91,9,FALSE()),""))</f>
      </c>
    </row>
    <row r="3591">
      <c r="F3591">
        <f>IF(DATOS!$A3591="","",DATOS!$A3591&amp;"|"&amp;DATOS!$D3591&amp;"|"&amp;DATOS!$E3591&amp;"|"&amp;DATOS!$I3591)</f>
      </c>
      <c r="G3591">
        <f>IF(DATOS!$A3591="",0,IF(CONFIG_METADATA!$B$4&lt;&gt;"OR+EX",--(DATOS!$G3591=CONFIG_METADATA!$B$4),IF(DATOS!$G3591="EX",1,IF(DATOS!$G3591="OR",--(COUNTIFS(nNIA,DATOS!$A3591,nCURSO,DATOS!$D3591,nESPEC,DATOS!$E3591,nASIG,DATOS!$I3591,nEVAL,"EX")=0),0))))</f>
      </c>
      <c r="H3591">
        <f>IF(DATOS!$G3591&lt;&gt;"EX",0,--(COUNTIFS(nNIA,DATOS!$A3591,nCURSO,DATOS!$D3591,nESPEC,DATOS!$E3591,nASIG,DATOS!$I3591,nEVAL,"OR")=0))</f>
      </c>
      <c r="I3591">
        <f>IF(DATOS!$I3591="","",IFERROR(VLOOKUP(DATOS!$I3591,CONFIG_ASIGNATURAS!$B$2:$J$91,9,FALSE()),""))</f>
      </c>
    </row>
    <row r="3592">
      <c r="F3592">
        <f>IF(DATOS!$A3592="","",DATOS!$A3592&amp;"|"&amp;DATOS!$D3592&amp;"|"&amp;DATOS!$E3592&amp;"|"&amp;DATOS!$I3592)</f>
      </c>
      <c r="G3592">
        <f>IF(DATOS!$A3592="",0,IF(CONFIG_METADATA!$B$4&lt;&gt;"OR+EX",--(DATOS!$G3592=CONFIG_METADATA!$B$4),IF(DATOS!$G3592="EX",1,IF(DATOS!$G3592="OR",--(COUNTIFS(nNIA,DATOS!$A3592,nCURSO,DATOS!$D3592,nESPEC,DATOS!$E3592,nASIG,DATOS!$I3592,nEVAL,"EX")=0),0))))</f>
      </c>
      <c r="H3592">
        <f>IF(DATOS!$G3592&lt;&gt;"EX",0,--(COUNTIFS(nNIA,DATOS!$A3592,nCURSO,DATOS!$D3592,nESPEC,DATOS!$E3592,nASIG,DATOS!$I3592,nEVAL,"OR")=0))</f>
      </c>
      <c r="I3592">
        <f>IF(DATOS!$I3592="","",IFERROR(VLOOKUP(DATOS!$I3592,CONFIG_ASIGNATURAS!$B$2:$J$91,9,FALSE()),""))</f>
      </c>
    </row>
    <row r="3593">
      <c r="F3593">
        <f>IF(DATOS!$A3593="","",DATOS!$A3593&amp;"|"&amp;DATOS!$D3593&amp;"|"&amp;DATOS!$E3593&amp;"|"&amp;DATOS!$I3593)</f>
      </c>
      <c r="G3593">
        <f>IF(DATOS!$A3593="",0,IF(CONFIG_METADATA!$B$4&lt;&gt;"OR+EX",--(DATOS!$G3593=CONFIG_METADATA!$B$4),IF(DATOS!$G3593="EX",1,IF(DATOS!$G3593="OR",--(COUNTIFS(nNIA,DATOS!$A3593,nCURSO,DATOS!$D3593,nESPEC,DATOS!$E3593,nASIG,DATOS!$I3593,nEVAL,"EX")=0),0))))</f>
      </c>
      <c r="H3593">
        <f>IF(DATOS!$G3593&lt;&gt;"EX",0,--(COUNTIFS(nNIA,DATOS!$A3593,nCURSO,DATOS!$D3593,nESPEC,DATOS!$E3593,nASIG,DATOS!$I3593,nEVAL,"OR")=0))</f>
      </c>
      <c r="I3593">
        <f>IF(DATOS!$I3593="","",IFERROR(VLOOKUP(DATOS!$I3593,CONFIG_ASIGNATURAS!$B$2:$J$91,9,FALSE()),""))</f>
      </c>
    </row>
    <row r="3594">
      <c r="F3594">
        <f>IF(DATOS!$A3594="","",DATOS!$A3594&amp;"|"&amp;DATOS!$D3594&amp;"|"&amp;DATOS!$E3594&amp;"|"&amp;DATOS!$I3594)</f>
      </c>
      <c r="G3594">
        <f>IF(DATOS!$A3594="",0,IF(CONFIG_METADATA!$B$4&lt;&gt;"OR+EX",--(DATOS!$G3594=CONFIG_METADATA!$B$4),IF(DATOS!$G3594="EX",1,IF(DATOS!$G3594="OR",--(COUNTIFS(nNIA,DATOS!$A3594,nCURSO,DATOS!$D3594,nESPEC,DATOS!$E3594,nASIG,DATOS!$I3594,nEVAL,"EX")=0),0))))</f>
      </c>
      <c r="H3594">
        <f>IF(DATOS!$G3594&lt;&gt;"EX",0,--(COUNTIFS(nNIA,DATOS!$A3594,nCURSO,DATOS!$D3594,nESPEC,DATOS!$E3594,nASIG,DATOS!$I3594,nEVAL,"OR")=0))</f>
      </c>
      <c r="I3594">
        <f>IF(DATOS!$I3594="","",IFERROR(VLOOKUP(DATOS!$I3594,CONFIG_ASIGNATURAS!$B$2:$J$91,9,FALSE()),""))</f>
      </c>
    </row>
    <row r="3595">
      <c r="F3595">
        <f>IF(DATOS!$A3595="","",DATOS!$A3595&amp;"|"&amp;DATOS!$D3595&amp;"|"&amp;DATOS!$E3595&amp;"|"&amp;DATOS!$I3595)</f>
      </c>
      <c r="G3595">
        <f>IF(DATOS!$A3595="",0,IF(CONFIG_METADATA!$B$4&lt;&gt;"OR+EX",--(DATOS!$G3595=CONFIG_METADATA!$B$4),IF(DATOS!$G3595="EX",1,IF(DATOS!$G3595="OR",--(COUNTIFS(nNIA,DATOS!$A3595,nCURSO,DATOS!$D3595,nESPEC,DATOS!$E3595,nASIG,DATOS!$I3595,nEVAL,"EX")=0),0))))</f>
      </c>
      <c r="H3595">
        <f>IF(DATOS!$G3595&lt;&gt;"EX",0,--(COUNTIFS(nNIA,DATOS!$A3595,nCURSO,DATOS!$D3595,nESPEC,DATOS!$E3595,nASIG,DATOS!$I3595,nEVAL,"OR")=0))</f>
      </c>
      <c r="I3595">
        <f>IF(DATOS!$I3595="","",IFERROR(VLOOKUP(DATOS!$I3595,CONFIG_ASIGNATURAS!$B$2:$J$91,9,FALSE()),""))</f>
      </c>
    </row>
    <row r="3596">
      <c r="F3596">
        <f>IF(DATOS!$A3596="","",DATOS!$A3596&amp;"|"&amp;DATOS!$D3596&amp;"|"&amp;DATOS!$E3596&amp;"|"&amp;DATOS!$I3596)</f>
      </c>
      <c r="G3596">
        <f>IF(DATOS!$A3596="",0,IF(CONFIG_METADATA!$B$4&lt;&gt;"OR+EX",--(DATOS!$G3596=CONFIG_METADATA!$B$4),IF(DATOS!$G3596="EX",1,IF(DATOS!$G3596="OR",--(COUNTIFS(nNIA,DATOS!$A3596,nCURSO,DATOS!$D3596,nESPEC,DATOS!$E3596,nASIG,DATOS!$I3596,nEVAL,"EX")=0),0))))</f>
      </c>
      <c r="H3596">
        <f>IF(DATOS!$G3596&lt;&gt;"EX",0,--(COUNTIFS(nNIA,DATOS!$A3596,nCURSO,DATOS!$D3596,nESPEC,DATOS!$E3596,nASIG,DATOS!$I3596,nEVAL,"OR")=0))</f>
      </c>
      <c r="I3596">
        <f>IF(DATOS!$I3596="","",IFERROR(VLOOKUP(DATOS!$I3596,CONFIG_ASIGNATURAS!$B$2:$J$91,9,FALSE()),""))</f>
      </c>
    </row>
    <row r="3597">
      <c r="F3597">
        <f>IF(DATOS!$A3597="","",DATOS!$A3597&amp;"|"&amp;DATOS!$D3597&amp;"|"&amp;DATOS!$E3597&amp;"|"&amp;DATOS!$I3597)</f>
      </c>
      <c r="G3597">
        <f>IF(DATOS!$A3597="",0,IF(CONFIG_METADATA!$B$4&lt;&gt;"OR+EX",--(DATOS!$G3597=CONFIG_METADATA!$B$4),IF(DATOS!$G3597="EX",1,IF(DATOS!$G3597="OR",--(COUNTIFS(nNIA,DATOS!$A3597,nCURSO,DATOS!$D3597,nESPEC,DATOS!$E3597,nASIG,DATOS!$I3597,nEVAL,"EX")=0),0))))</f>
      </c>
      <c r="H3597">
        <f>IF(DATOS!$G3597&lt;&gt;"EX",0,--(COUNTIFS(nNIA,DATOS!$A3597,nCURSO,DATOS!$D3597,nESPEC,DATOS!$E3597,nASIG,DATOS!$I3597,nEVAL,"OR")=0))</f>
      </c>
      <c r="I3597">
        <f>IF(DATOS!$I3597="","",IFERROR(VLOOKUP(DATOS!$I3597,CONFIG_ASIGNATURAS!$B$2:$J$91,9,FALSE()),""))</f>
      </c>
    </row>
    <row r="3598">
      <c r="F3598">
        <f>IF(DATOS!$A3598="","",DATOS!$A3598&amp;"|"&amp;DATOS!$D3598&amp;"|"&amp;DATOS!$E3598&amp;"|"&amp;DATOS!$I3598)</f>
      </c>
      <c r="G3598">
        <f>IF(DATOS!$A3598="",0,IF(CONFIG_METADATA!$B$4&lt;&gt;"OR+EX",--(DATOS!$G3598=CONFIG_METADATA!$B$4),IF(DATOS!$G3598="EX",1,IF(DATOS!$G3598="OR",--(COUNTIFS(nNIA,DATOS!$A3598,nCURSO,DATOS!$D3598,nESPEC,DATOS!$E3598,nASIG,DATOS!$I3598,nEVAL,"EX")=0),0))))</f>
      </c>
      <c r="H3598">
        <f>IF(DATOS!$G3598&lt;&gt;"EX",0,--(COUNTIFS(nNIA,DATOS!$A3598,nCURSO,DATOS!$D3598,nESPEC,DATOS!$E3598,nASIG,DATOS!$I3598,nEVAL,"OR")=0))</f>
      </c>
      <c r="I3598">
        <f>IF(DATOS!$I3598="","",IFERROR(VLOOKUP(DATOS!$I3598,CONFIG_ASIGNATURAS!$B$2:$J$91,9,FALSE()),""))</f>
      </c>
    </row>
    <row r="3599">
      <c r="F3599">
        <f>IF(DATOS!$A3599="","",DATOS!$A3599&amp;"|"&amp;DATOS!$D3599&amp;"|"&amp;DATOS!$E3599&amp;"|"&amp;DATOS!$I3599)</f>
      </c>
      <c r="G3599">
        <f>IF(DATOS!$A3599="",0,IF(CONFIG_METADATA!$B$4&lt;&gt;"OR+EX",--(DATOS!$G3599=CONFIG_METADATA!$B$4),IF(DATOS!$G3599="EX",1,IF(DATOS!$G3599="OR",--(COUNTIFS(nNIA,DATOS!$A3599,nCURSO,DATOS!$D3599,nESPEC,DATOS!$E3599,nASIG,DATOS!$I3599,nEVAL,"EX")=0),0))))</f>
      </c>
      <c r="H3599">
        <f>IF(DATOS!$G3599&lt;&gt;"EX",0,--(COUNTIFS(nNIA,DATOS!$A3599,nCURSO,DATOS!$D3599,nESPEC,DATOS!$E3599,nASIG,DATOS!$I3599,nEVAL,"OR")=0))</f>
      </c>
      <c r="I3599">
        <f>IF(DATOS!$I3599="","",IFERROR(VLOOKUP(DATOS!$I3599,CONFIG_ASIGNATURAS!$B$2:$J$91,9,FALSE()),""))</f>
      </c>
    </row>
    <row r="3600">
      <c r="F3600">
        <f>IF(DATOS!$A3600="","",DATOS!$A3600&amp;"|"&amp;DATOS!$D3600&amp;"|"&amp;DATOS!$E3600&amp;"|"&amp;DATOS!$I3600)</f>
      </c>
      <c r="G3600">
        <f>IF(DATOS!$A3600="",0,IF(CONFIG_METADATA!$B$4&lt;&gt;"OR+EX",--(DATOS!$G3600=CONFIG_METADATA!$B$4),IF(DATOS!$G3600="EX",1,IF(DATOS!$G3600="OR",--(COUNTIFS(nNIA,DATOS!$A3600,nCURSO,DATOS!$D3600,nESPEC,DATOS!$E3600,nASIG,DATOS!$I3600,nEVAL,"EX")=0),0))))</f>
      </c>
      <c r="H3600">
        <f>IF(DATOS!$G3600&lt;&gt;"EX",0,--(COUNTIFS(nNIA,DATOS!$A3600,nCURSO,DATOS!$D3600,nESPEC,DATOS!$E3600,nASIG,DATOS!$I3600,nEVAL,"OR")=0))</f>
      </c>
      <c r="I3600">
        <f>IF(DATOS!$I3600="","",IFERROR(VLOOKUP(DATOS!$I3600,CONFIG_ASIGNATURAS!$B$2:$J$91,9,FALSE()),""))</f>
      </c>
    </row>
    <row r="3601">
      <c r="F3601">
        <f>IF(DATOS!$A3601="","",DATOS!$A3601&amp;"|"&amp;DATOS!$D3601&amp;"|"&amp;DATOS!$E3601&amp;"|"&amp;DATOS!$I3601)</f>
      </c>
      <c r="G3601">
        <f>IF(DATOS!$A3601="",0,IF(CONFIG_METADATA!$B$4&lt;&gt;"OR+EX",--(DATOS!$G3601=CONFIG_METADATA!$B$4),IF(DATOS!$G3601="EX",1,IF(DATOS!$G3601="OR",--(COUNTIFS(nNIA,DATOS!$A3601,nCURSO,DATOS!$D3601,nESPEC,DATOS!$E3601,nASIG,DATOS!$I3601,nEVAL,"EX")=0),0))))</f>
      </c>
      <c r="H3601">
        <f>IF(DATOS!$G3601&lt;&gt;"EX",0,--(COUNTIFS(nNIA,DATOS!$A3601,nCURSO,DATOS!$D3601,nESPEC,DATOS!$E3601,nASIG,DATOS!$I3601,nEVAL,"OR")=0))</f>
      </c>
      <c r="I3601">
        <f>IF(DATOS!$I3601="","",IFERROR(VLOOKUP(DATOS!$I3601,CONFIG_ASIGNATURAS!$B$2:$J$91,9,FALSE()),""))</f>
      </c>
    </row>
    <row r="3602">
      <c r="F3602">
        <f>IF(DATOS!$A3602="","",DATOS!$A3602&amp;"|"&amp;DATOS!$D3602&amp;"|"&amp;DATOS!$E3602&amp;"|"&amp;DATOS!$I3602)</f>
      </c>
      <c r="G3602">
        <f>IF(DATOS!$A3602="",0,IF(CONFIG_METADATA!$B$4&lt;&gt;"OR+EX",--(DATOS!$G3602=CONFIG_METADATA!$B$4),IF(DATOS!$G3602="EX",1,IF(DATOS!$G3602="OR",--(COUNTIFS(nNIA,DATOS!$A3602,nCURSO,DATOS!$D3602,nESPEC,DATOS!$E3602,nASIG,DATOS!$I3602,nEVAL,"EX")=0),0))))</f>
      </c>
      <c r="H3602">
        <f>IF(DATOS!$G3602&lt;&gt;"EX",0,--(COUNTIFS(nNIA,DATOS!$A3602,nCURSO,DATOS!$D3602,nESPEC,DATOS!$E3602,nASIG,DATOS!$I3602,nEVAL,"OR")=0))</f>
      </c>
      <c r="I3602">
        <f>IF(DATOS!$I3602="","",IFERROR(VLOOKUP(DATOS!$I3602,CONFIG_ASIGNATURAS!$B$2:$J$91,9,FALSE()),""))</f>
      </c>
    </row>
    <row r="3603">
      <c r="F3603">
        <f>IF(DATOS!$A3603="","",DATOS!$A3603&amp;"|"&amp;DATOS!$D3603&amp;"|"&amp;DATOS!$E3603&amp;"|"&amp;DATOS!$I3603)</f>
      </c>
      <c r="G3603">
        <f>IF(DATOS!$A3603="",0,IF(CONFIG_METADATA!$B$4&lt;&gt;"OR+EX",--(DATOS!$G3603=CONFIG_METADATA!$B$4),IF(DATOS!$G3603="EX",1,IF(DATOS!$G3603="OR",--(COUNTIFS(nNIA,DATOS!$A3603,nCURSO,DATOS!$D3603,nESPEC,DATOS!$E3603,nASIG,DATOS!$I3603,nEVAL,"EX")=0),0))))</f>
      </c>
      <c r="H3603">
        <f>IF(DATOS!$G3603&lt;&gt;"EX",0,--(COUNTIFS(nNIA,DATOS!$A3603,nCURSO,DATOS!$D3603,nESPEC,DATOS!$E3603,nASIG,DATOS!$I3603,nEVAL,"OR")=0))</f>
      </c>
      <c r="I3603">
        <f>IF(DATOS!$I3603="","",IFERROR(VLOOKUP(DATOS!$I3603,CONFIG_ASIGNATURAS!$B$2:$J$91,9,FALSE()),""))</f>
      </c>
    </row>
    <row r="3604">
      <c r="F3604">
        <f>IF(DATOS!$A3604="","",DATOS!$A3604&amp;"|"&amp;DATOS!$D3604&amp;"|"&amp;DATOS!$E3604&amp;"|"&amp;DATOS!$I3604)</f>
      </c>
      <c r="G3604">
        <f>IF(DATOS!$A3604="",0,IF(CONFIG_METADATA!$B$4&lt;&gt;"OR+EX",--(DATOS!$G3604=CONFIG_METADATA!$B$4),IF(DATOS!$G3604="EX",1,IF(DATOS!$G3604="OR",--(COUNTIFS(nNIA,DATOS!$A3604,nCURSO,DATOS!$D3604,nESPEC,DATOS!$E3604,nASIG,DATOS!$I3604,nEVAL,"EX")=0),0))))</f>
      </c>
      <c r="H3604">
        <f>IF(DATOS!$G3604&lt;&gt;"EX",0,--(COUNTIFS(nNIA,DATOS!$A3604,nCURSO,DATOS!$D3604,nESPEC,DATOS!$E3604,nASIG,DATOS!$I3604,nEVAL,"OR")=0))</f>
      </c>
      <c r="I3604">
        <f>IF(DATOS!$I3604="","",IFERROR(VLOOKUP(DATOS!$I3604,CONFIG_ASIGNATURAS!$B$2:$J$91,9,FALSE()),""))</f>
      </c>
    </row>
    <row r="3605">
      <c r="F3605">
        <f>IF(DATOS!$A3605="","",DATOS!$A3605&amp;"|"&amp;DATOS!$D3605&amp;"|"&amp;DATOS!$E3605&amp;"|"&amp;DATOS!$I3605)</f>
      </c>
      <c r="G3605">
        <f>IF(DATOS!$A3605="",0,IF(CONFIG_METADATA!$B$4&lt;&gt;"OR+EX",--(DATOS!$G3605=CONFIG_METADATA!$B$4),IF(DATOS!$G3605="EX",1,IF(DATOS!$G3605="OR",--(COUNTIFS(nNIA,DATOS!$A3605,nCURSO,DATOS!$D3605,nESPEC,DATOS!$E3605,nASIG,DATOS!$I3605,nEVAL,"EX")=0),0))))</f>
      </c>
      <c r="H3605">
        <f>IF(DATOS!$G3605&lt;&gt;"EX",0,--(COUNTIFS(nNIA,DATOS!$A3605,nCURSO,DATOS!$D3605,nESPEC,DATOS!$E3605,nASIG,DATOS!$I3605,nEVAL,"OR")=0))</f>
      </c>
      <c r="I3605">
        <f>IF(DATOS!$I3605="","",IFERROR(VLOOKUP(DATOS!$I3605,CONFIG_ASIGNATURAS!$B$2:$J$91,9,FALSE()),""))</f>
      </c>
    </row>
    <row r="3606">
      <c r="F3606">
        <f>IF(DATOS!$A3606="","",DATOS!$A3606&amp;"|"&amp;DATOS!$D3606&amp;"|"&amp;DATOS!$E3606&amp;"|"&amp;DATOS!$I3606)</f>
      </c>
      <c r="G3606">
        <f>IF(DATOS!$A3606="",0,IF(CONFIG_METADATA!$B$4&lt;&gt;"OR+EX",--(DATOS!$G3606=CONFIG_METADATA!$B$4),IF(DATOS!$G3606="EX",1,IF(DATOS!$G3606="OR",--(COUNTIFS(nNIA,DATOS!$A3606,nCURSO,DATOS!$D3606,nESPEC,DATOS!$E3606,nASIG,DATOS!$I3606,nEVAL,"EX")=0),0))))</f>
      </c>
      <c r="H3606">
        <f>IF(DATOS!$G3606&lt;&gt;"EX",0,--(COUNTIFS(nNIA,DATOS!$A3606,nCURSO,DATOS!$D3606,nESPEC,DATOS!$E3606,nASIG,DATOS!$I3606,nEVAL,"OR")=0))</f>
      </c>
      <c r="I3606">
        <f>IF(DATOS!$I3606="","",IFERROR(VLOOKUP(DATOS!$I3606,CONFIG_ASIGNATURAS!$B$2:$J$91,9,FALSE()),""))</f>
      </c>
    </row>
    <row r="3607">
      <c r="F3607">
        <f>IF(DATOS!$A3607="","",DATOS!$A3607&amp;"|"&amp;DATOS!$D3607&amp;"|"&amp;DATOS!$E3607&amp;"|"&amp;DATOS!$I3607)</f>
      </c>
      <c r="G3607">
        <f>IF(DATOS!$A3607="",0,IF(CONFIG_METADATA!$B$4&lt;&gt;"OR+EX",--(DATOS!$G3607=CONFIG_METADATA!$B$4),IF(DATOS!$G3607="EX",1,IF(DATOS!$G3607="OR",--(COUNTIFS(nNIA,DATOS!$A3607,nCURSO,DATOS!$D3607,nESPEC,DATOS!$E3607,nASIG,DATOS!$I3607,nEVAL,"EX")=0),0))))</f>
      </c>
      <c r="H3607">
        <f>IF(DATOS!$G3607&lt;&gt;"EX",0,--(COUNTIFS(nNIA,DATOS!$A3607,nCURSO,DATOS!$D3607,nESPEC,DATOS!$E3607,nASIG,DATOS!$I3607,nEVAL,"OR")=0))</f>
      </c>
      <c r="I3607">
        <f>IF(DATOS!$I3607="","",IFERROR(VLOOKUP(DATOS!$I3607,CONFIG_ASIGNATURAS!$B$2:$J$91,9,FALSE()),""))</f>
      </c>
    </row>
    <row r="3608">
      <c r="F3608">
        <f>IF(DATOS!$A3608="","",DATOS!$A3608&amp;"|"&amp;DATOS!$D3608&amp;"|"&amp;DATOS!$E3608&amp;"|"&amp;DATOS!$I3608)</f>
      </c>
      <c r="G3608">
        <f>IF(DATOS!$A3608="",0,IF(CONFIG_METADATA!$B$4&lt;&gt;"OR+EX",--(DATOS!$G3608=CONFIG_METADATA!$B$4),IF(DATOS!$G3608="EX",1,IF(DATOS!$G3608="OR",--(COUNTIFS(nNIA,DATOS!$A3608,nCURSO,DATOS!$D3608,nESPEC,DATOS!$E3608,nASIG,DATOS!$I3608,nEVAL,"EX")=0),0))))</f>
      </c>
      <c r="H3608">
        <f>IF(DATOS!$G3608&lt;&gt;"EX",0,--(COUNTIFS(nNIA,DATOS!$A3608,nCURSO,DATOS!$D3608,nESPEC,DATOS!$E3608,nASIG,DATOS!$I3608,nEVAL,"OR")=0))</f>
      </c>
      <c r="I3608">
        <f>IF(DATOS!$I3608="","",IFERROR(VLOOKUP(DATOS!$I3608,CONFIG_ASIGNATURAS!$B$2:$J$91,9,FALSE()),""))</f>
      </c>
    </row>
    <row r="3609">
      <c r="F3609">
        <f>IF(DATOS!$A3609="","",DATOS!$A3609&amp;"|"&amp;DATOS!$D3609&amp;"|"&amp;DATOS!$E3609&amp;"|"&amp;DATOS!$I3609)</f>
      </c>
      <c r="G3609">
        <f>IF(DATOS!$A3609="",0,IF(CONFIG_METADATA!$B$4&lt;&gt;"OR+EX",--(DATOS!$G3609=CONFIG_METADATA!$B$4),IF(DATOS!$G3609="EX",1,IF(DATOS!$G3609="OR",--(COUNTIFS(nNIA,DATOS!$A3609,nCURSO,DATOS!$D3609,nESPEC,DATOS!$E3609,nASIG,DATOS!$I3609,nEVAL,"EX")=0),0))))</f>
      </c>
      <c r="H3609">
        <f>IF(DATOS!$G3609&lt;&gt;"EX",0,--(COUNTIFS(nNIA,DATOS!$A3609,nCURSO,DATOS!$D3609,nESPEC,DATOS!$E3609,nASIG,DATOS!$I3609,nEVAL,"OR")=0))</f>
      </c>
      <c r="I3609">
        <f>IF(DATOS!$I3609="","",IFERROR(VLOOKUP(DATOS!$I3609,CONFIG_ASIGNATURAS!$B$2:$J$91,9,FALSE()),""))</f>
      </c>
    </row>
    <row r="3610">
      <c r="F3610">
        <f>IF(DATOS!$A3610="","",DATOS!$A3610&amp;"|"&amp;DATOS!$D3610&amp;"|"&amp;DATOS!$E3610&amp;"|"&amp;DATOS!$I3610)</f>
      </c>
      <c r="G3610">
        <f>IF(DATOS!$A3610="",0,IF(CONFIG_METADATA!$B$4&lt;&gt;"OR+EX",--(DATOS!$G3610=CONFIG_METADATA!$B$4),IF(DATOS!$G3610="EX",1,IF(DATOS!$G3610="OR",--(COUNTIFS(nNIA,DATOS!$A3610,nCURSO,DATOS!$D3610,nESPEC,DATOS!$E3610,nASIG,DATOS!$I3610,nEVAL,"EX")=0),0))))</f>
      </c>
      <c r="H3610">
        <f>IF(DATOS!$G3610&lt;&gt;"EX",0,--(COUNTIFS(nNIA,DATOS!$A3610,nCURSO,DATOS!$D3610,nESPEC,DATOS!$E3610,nASIG,DATOS!$I3610,nEVAL,"OR")=0))</f>
      </c>
      <c r="I3610">
        <f>IF(DATOS!$I3610="","",IFERROR(VLOOKUP(DATOS!$I3610,CONFIG_ASIGNATURAS!$B$2:$J$91,9,FALSE()),""))</f>
      </c>
    </row>
    <row r="3611">
      <c r="F3611">
        <f>IF(DATOS!$A3611="","",DATOS!$A3611&amp;"|"&amp;DATOS!$D3611&amp;"|"&amp;DATOS!$E3611&amp;"|"&amp;DATOS!$I3611)</f>
      </c>
      <c r="G3611">
        <f>IF(DATOS!$A3611="",0,IF(CONFIG_METADATA!$B$4&lt;&gt;"OR+EX",--(DATOS!$G3611=CONFIG_METADATA!$B$4),IF(DATOS!$G3611="EX",1,IF(DATOS!$G3611="OR",--(COUNTIFS(nNIA,DATOS!$A3611,nCURSO,DATOS!$D3611,nESPEC,DATOS!$E3611,nASIG,DATOS!$I3611,nEVAL,"EX")=0),0))))</f>
      </c>
      <c r="H3611">
        <f>IF(DATOS!$G3611&lt;&gt;"EX",0,--(COUNTIFS(nNIA,DATOS!$A3611,nCURSO,DATOS!$D3611,nESPEC,DATOS!$E3611,nASIG,DATOS!$I3611,nEVAL,"OR")=0))</f>
      </c>
      <c r="I3611">
        <f>IF(DATOS!$I3611="","",IFERROR(VLOOKUP(DATOS!$I3611,CONFIG_ASIGNATURAS!$B$2:$J$91,9,FALSE()),""))</f>
      </c>
    </row>
    <row r="3612">
      <c r="F3612">
        <f>IF(DATOS!$A3612="","",DATOS!$A3612&amp;"|"&amp;DATOS!$D3612&amp;"|"&amp;DATOS!$E3612&amp;"|"&amp;DATOS!$I3612)</f>
      </c>
      <c r="G3612">
        <f>IF(DATOS!$A3612="",0,IF(CONFIG_METADATA!$B$4&lt;&gt;"OR+EX",--(DATOS!$G3612=CONFIG_METADATA!$B$4),IF(DATOS!$G3612="EX",1,IF(DATOS!$G3612="OR",--(COUNTIFS(nNIA,DATOS!$A3612,nCURSO,DATOS!$D3612,nESPEC,DATOS!$E3612,nASIG,DATOS!$I3612,nEVAL,"EX")=0),0))))</f>
      </c>
      <c r="H3612">
        <f>IF(DATOS!$G3612&lt;&gt;"EX",0,--(COUNTIFS(nNIA,DATOS!$A3612,nCURSO,DATOS!$D3612,nESPEC,DATOS!$E3612,nASIG,DATOS!$I3612,nEVAL,"OR")=0))</f>
      </c>
      <c r="I3612">
        <f>IF(DATOS!$I3612="","",IFERROR(VLOOKUP(DATOS!$I3612,CONFIG_ASIGNATURAS!$B$2:$J$91,9,FALSE()),""))</f>
      </c>
    </row>
    <row r="3613">
      <c r="F3613">
        <f>IF(DATOS!$A3613="","",DATOS!$A3613&amp;"|"&amp;DATOS!$D3613&amp;"|"&amp;DATOS!$E3613&amp;"|"&amp;DATOS!$I3613)</f>
      </c>
      <c r="G3613">
        <f>IF(DATOS!$A3613="",0,IF(CONFIG_METADATA!$B$4&lt;&gt;"OR+EX",--(DATOS!$G3613=CONFIG_METADATA!$B$4),IF(DATOS!$G3613="EX",1,IF(DATOS!$G3613="OR",--(COUNTIFS(nNIA,DATOS!$A3613,nCURSO,DATOS!$D3613,nESPEC,DATOS!$E3613,nASIG,DATOS!$I3613,nEVAL,"EX")=0),0))))</f>
      </c>
      <c r="H3613">
        <f>IF(DATOS!$G3613&lt;&gt;"EX",0,--(COUNTIFS(nNIA,DATOS!$A3613,nCURSO,DATOS!$D3613,nESPEC,DATOS!$E3613,nASIG,DATOS!$I3613,nEVAL,"OR")=0))</f>
      </c>
      <c r="I3613">
        <f>IF(DATOS!$I3613="","",IFERROR(VLOOKUP(DATOS!$I3613,CONFIG_ASIGNATURAS!$B$2:$J$91,9,FALSE()),""))</f>
      </c>
    </row>
    <row r="3614">
      <c r="F3614">
        <f>IF(DATOS!$A3614="","",DATOS!$A3614&amp;"|"&amp;DATOS!$D3614&amp;"|"&amp;DATOS!$E3614&amp;"|"&amp;DATOS!$I3614)</f>
      </c>
      <c r="G3614">
        <f>IF(DATOS!$A3614="",0,IF(CONFIG_METADATA!$B$4&lt;&gt;"OR+EX",--(DATOS!$G3614=CONFIG_METADATA!$B$4),IF(DATOS!$G3614="EX",1,IF(DATOS!$G3614="OR",--(COUNTIFS(nNIA,DATOS!$A3614,nCURSO,DATOS!$D3614,nESPEC,DATOS!$E3614,nASIG,DATOS!$I3614,nEVAL,"EX")=0),0))))</f>
      </c>
      <c r="H3614">
        <f>IF(DATOS!$G3614&lt;&gt;"EX",0,--(COUNTIFS(nNIA,DATOS!$A3614,nCURSO,DATOS!$D3614,nESPEC,DATOS!$E3614,nASIG,DATOS!$I3614,nEVAL,"OR")=0))</f>
      </c>
      <c r="I3614">
        <f>IF(DATOS!$I3614="","",IFERROR(VLOOKUP(DATOS!$I3614,CONFIG_ASIGNATURAS!$B$2:$J$91,9,FALSE()),""))</f>
      </c>
    </row>
    <row r="3615">
      <c r="F3615">
        <f>IF(DATOS!$A3615="","",DATOS!$A3615&amp;"|"&amp;DATOS!$D3615&amp;"|"&amp;DATOS!$E3615&amp;"|"&amp;DATOS!$I3615)</f>
      </c>
      <c r="G3615">
        <f>IF(DATOS!$A3615="",0,IF(CONFIG_METADATA!$B$4&lt;&gt;"OR+EX",--(DATOS!$G3615=CONFIG_METADATA!$B$4),IF(DATOS!$G3615="EX",1,IF(DATOS!$G3615="OR",--(COUNTIFS(nNIA,DATOS!$A3615,nCURSO,DATOS!$D3615,nESPEC,DATOS!$E3615,nASIG,DATOS!$I3615,nEVAL,"EX")=0),0))))</f>
      </c>
      <c r="H3615">
        <f>IF(DATOS!$G3615&lt;&gt;"EX",0,--(COUNTIFS(nNIA,DATOS!$A3615,nCURSO,DATOS!$D3615,nESPEC,DATOS!$E3615,nASIG,DATOS!$I3615,nEVAL,"OR")=0))</f>
      </c>
      <c r="I3615">
        <f>IF(DATOS!$I3615="","",IFERROR(VLOOKUP(DATOS!$I3615,CONFIG_ASIGNATURAS!$B$2:$J$91,9,FALSE()),""))</f>
      </c>
    </row>
    <row r="3616">
      <c r="F3616">
        <f>IF(DATOS!$A3616="","",DATOS!$A3616&amp;"|"&amp;DATOS!$D3616&amp;"|"&amp;DATOS!$E3616&amp;"|"&amp;DATOS!$I3616)</f>
      </c>
      <c r="G3616">
        <f>IF(DATOS!$A3616="",0,IF(CONFIG_METADATA!$B$4&lt;&gt;"OR+EX",--(DATOS!$G3616=CONFIG_METADATA!$B$4),IF(DATOS!$G3616="EX",1,IF(DATOS!$G3616="OR",--(COUNTIFS(nNIA,DATOS!$A3616,nCURSO,DATOS!$D3616,nESPEC,DATOS!$E3616,nASIG,DATOS!$I3616,nEVAL,"EX")=0),0))))</f>
      </c>
      <c r="H3616">
        <f>IF(DATOS!$G3616&lt;&gt;"EX",0,--(COUNTIFS(nNIA,DATOS!$A3616,nCURSO,DATOS!$D3616,nESPEC,DATOS!$E3616,nASIG,DATOS!$I3616,nEVAL,"OR")=0))</f>
      </c>
      <c r="I3616">
        <f>IF(DATOS!$I3616="","",IFERROR(VLOOKUP(DATOS!$I3616,CONFIG_ASIGNATURAS!$B$2:$J$91,9,FALSE()),""))</f>
      </c>
    </row>
    <row r="3617">
      <c r="F3617">
        <f>IF(DATOS!$A3617="","",DATOS!$A3617&amp;"|"&amp;DATOS!$D3617&amp;"|"&amp;DATOS!$E3617&amp;"|"&amp;DATOS!$I3617)</f>
      </c>
      <c r="G3617">
        <f>IF(DATOS!$A3617="",0,IF(CONFIG_METADATA!$B$4&lt;&gt;"OR+EX",--(DATOS!$G3617=CONFIG_METADATA!$B$4),IF(DATOS!$G3617="EX",1,IF(DATOS!$G3617="OR",--(COUNTIFS(nNIA,DATOS!$A3617,nCURSO,DATOS!$D3617,nESPEC,DATOS!$E3617,nASIG,DATOS!$I3617,nEVAL,"EX")=0),0))))</f>
      </c>
      <c r="H3617">
        <f>IF(DATOS!$G3617&lt;&gt;"EX",0,--(COUNTIFS(nNIA,DATOS!$A3617,nCURSO,DATOS!$D3617,nESPEC,DATOS!$E3617,nASIG,DATOS!$I3617,nEVAL,"OR")=0))</f>
      </c>
      <c r="I3617">
        <f>IF(DATOS!$I3617="","",IFERROR(VLOOKUP(DATOS!$I3617,CONFIG_ASIGNATURAS!$B$2:$J$91,9,FALSE()),""))</f>
      </c>
    </row>
    <row r="3618">
      <c r="F3618">
        <f>IF(DATOS!$A3618="","",DATOS!$A3618&amp;"|"&amp;DATOS!$D3618&amp;"|"&amp;DATOS!$E3618&amp;"|"&amp;DATOS!$I3618)</f>
      </c>
      <c r="G3618">
        <f>IF(DATOS!$A3618="",0,IF(CONFIG_METADATA!$B$4&lt;&gt;"OR+EX",--(DATOS!$G3618=CONFIG_METADATA!$B$4),IF(DATOS!$G3618="EX",1,IF(DATOS!$G3618="OR",--(COUNTIFS(nNIA,DATOS!$A3618,nCURSO,DATOS!$D3618,nESPEC,DATOS!$E3618,nASIG,DATOS!$I3618,nEVAL,"EX")=0),0))))</f>
      </c>
      <c r="H3618">
        <f>IF(DATOS!$G3618&lt;&gt;"EX",0,--(COUNTIFS(nNIA,DATOS!$A3618,nCURSO,DATOS!$D3618,nESPEC,DATOS!$E3618,nASIG,DATOS!$I3618,nEVAL,"OR")=0))</f>
      </c>
      <c r="I3618">
        <f>IF(DATOS!$I3618="","",IFERROR(VLOOKUP(DATOS!$I3618,CONFIG_ASIGNATURAS!$B$2:$J$91,9,FALSE()),""))</f>
      </c>
    </row>
    <row r="3619">
      <c r="F3619">
        <f>IF(DATOS!$A3619="","",DATOS!$A3619&amp;"|"&amp;DATOS!$D3619&amp;"|"&amp;DATOS!$E3619&amp;"|"&amp;DATOS!$I3619)</f>
      </c>
      <c r="G3619">
        <f>IF(DATOS!$A3619="",0,IF(CONFIG_METADATA!$B$4&lt;&gt;"OR+EX",--(DATOS!$G3619=CONFIG_METADATA!$B$4),IF(DATOS!$G3619="EX",1,IF(DATOS!$G3619="OR",--(COUNTIFS(nNIA,DATOS!$A3619,nCURSO,DATOS!$D3619,nESPEC,DATOS!$E3619,nASIG,DATOS!$I3619,nEVAL,"EX")=0),0))))</f>
      </c>
      <c r="H3619">
        <f>IF(DATOS!$G3619&lt;&gt;"EX",0,--(COUNTIFS(nNIA,DATOS!$A3619,nCURSO,DATOS!$D3619,nESPEC,DATOS!$E3619,nASIG,DATOS!$I3619,nEVAL,"OR")=0))</f>
      </c>
      <c r="I3619">
        <f>IF(DATOS!$I3619="","",IFERROR(VLOOKUP(DATOS!$I3619,CONFIG_ASIGNATURAS!$B$2:$J$91,9,FALSE()),""))</f>
      </c>
    </row>
    <row r="3620">
      <c r="F3620">
        <f>IF(DATOS!$A3620="","",DATOS!$A3620&amp;"|"&amp;DATOS!$D3620&amp;"|"&amp;DATOS!$E3620&amp;"|"&amp;DATOS!$I3620)</f>
      </c>
      <c r="G3620">
        <f>IF(DATOS!$A3620="",0,IF(CONFIG_METADATA!$B$4&lt;&gt;"OR+EX",--(DATOS!$G3620=CONFIG_METADATA!$B$4),IF(DATOS!$G3620="EX",1,IF(DATOS!$G3620="OR",--(COUNTIFS(nNIA,DATOS!$A3620,nCURSO,DATOS!$D3620,nESPEC,DATOS!$E3620,nASIG,DATOS!$I3620,nEVAL,"EX")=0),0))))</f>
      </c>
      <c r="H3620">
        <f>IF(DATOS!$G3620&lt;&gt;"EX",0,--(COUNTIFS(nNIA,DATOS!$A3620,nCURSO,DATOS!$D3620,nESPEC,DATOS!$E3620,nASIG,DATOS!$I3620,nEVAL,"OR")=0))</f>
      </c>
      <c r="I3620">
        <f>IF(DATOS!$I3620="","",IFERROR(VLOOKUP(DATOS!$I3620,CONFIG_ASIGNATURAS!$B$2:$J$91,9,FALSE()),""))</f>
      </c>
    </row>
    <row r="3621">
      <c r="F3621">
        <f>IF(DATOS!$A3621="","",DATOS!$A3621&amp;"|"&amp;DATOS!$D3621&amp;"|"&amp;DATOS!$E3621&amp;"|"&amp;DATOS!$I3621)</f>
      </c>
      <c r="G3621">
        <f>IF(DATOS!$A3621="",0,IF(CONFIG_METADATA!$B$4&lt;&gt;"OR+EX",--(DATOS!$G3621=CONFIG_METADATA!$B$4),IF(DATOS!$G3621="EX",1,IF(DATOS!$G3621="OR",--(COUNTIFS(nNIA,DATOS!$A3621,nCURSO,DATOS!$D3621,nESPEC,DATOS!$E3621,nASIG,DATOS!$I3621,nEVAL,"EX")=0),0))))</f>
      </c>
      <c r="H3621">
        <f>IF(DATOS!$G3621&lt;&gt;"EX",0,--(COUNTIFS(nNIA,DATOS!$A3621,nCURSO,DATOS!$D3621,nESPEC,DATOS!$E3621,nASIG,DATOS!$I3621,nEVAL,"OR")=0))</f>
      </c>
      <c r="I3621">
        <f>IF(DATOS!$I3621="","",IFERROR(VLOOKUP(DATOS!$I3621,CONFIG_ASIGNATURAS!$B$2:$J$91,9,FALSE()),""))</f>
      </c>
    </row>
    <row r="3622">
      <c r="F3622">
        <f>IF(DATOS!$A3622="","",DATOS!$A3622&amp;"|"&amp;DATOS!$D3622&amp;"|"&amp;DATOS!$E3622&amp;"|"&amp;DATOS!$I3622)</f>
      </c>
      <c r="G3622">
        <f>IF(DATOS!$A3622="",0,IF(CONFIG_METADATA!$B$4&lt;&gt;"OR+EX",--(DATOS!$G3622=CONFIG_METADATA!$B$4),IF(DATOS!$G3622="EX",1,IF(DATOS!$G3622="OR",--(COUNTIFS(nNIA,DATOS!$A3622,nCURSO,DATOS!$D3622,nESPEC,DATOS!$E3622,nASIG,DATOS!$I3622,nEVAL,"EX")=0),0))))</f>
      </c>
      <c r="H3622">
        <f>IF(DATOS!$G3622&lt;&gt;"EX",0,--(COUNTIFS(nNIA,DATOS!$A3622,nCURSO,DATOS!$D3622,nESPEC,DATOS!$E3622,nASIG,DATOS!$I3622,nEVAL,"OR")=0))</f>
      </c>
      <c r="I3622">
        <f>IF(DATOS!$I3622="","",IFERROR(VLOOKUP(DATOS!$I3622,CONFIG_ASIGNATURAS!$B$2:$J$91,9,FALSE()),""))</f>
      </c>
    </row>
    <row r="3623">
      <c r="F3623">
        <f>IF(DATOS!$A3623="","",DATOS!$A3623&amp;"|"&amp;DATOS!$D3623&amp;"|"&amp;DATOS!$E3623&amp;"|"&amp;DATOS!$I3623)</f>
      </c>
      <c r="G3623">
        <f>IF(DATOS!$A3623="",0,IF(CONFIG_METADATA!$B$4&lt;&gt;"OR+EX",--(DATOS!$G3623=CONFIG_METADATA!$B$4),IF(DATOS!$G3623="EX",1,IF(DATOS!$G3623="OR",--(COUNTIFS(nNIA,DATOS!$A3623,nCURSO,DATOS!$D3623,nESPEC,DATOS!$E3623,nASIG,DATOS!$I3623,nEVAL,"EX")=0),0))))</f>
      </c>
      <c r="H3623">
        <f>IF(DATOS!$G3623&lt;&gt;"EX",0,--(COUNTIFS(nNIA,DATOS!$A3623,nCURSO,DATOS!$D3623,nESPEC,DATOS!$E3623,nASIG,DATOS!$I3623,nEVAL,"OR")=0))</f>
      </c>
      <c r="I3623">
        <f>IF(DATOS!$I3623="","",IFERROR(VLOOKUP(DATOS!$I3623,CONFIG_ASIGNATURAS!$B$2:$J$91,9,FALSE()),""))</f>
      </c>
    </row>
    <row r="3624">
      <c r="F3624">
        <f>IF(DATOS!$A3624="","",DATOS!$A3624&amp;"|"&amp;DATOS!$D3624&amp;"|"&amp;DATOS!$E3624&amp;"|"&amp;DATOS!$I3624)</f>
      </c>
      <c r="G3624">
        <f>IF(DATOS!$A3624="",0,IF(CONFIG_METADATA!$B$4&lt;&gt;"OR+EX",--(DATOS!$G3624=CONFIG_METADATA!$B$4),IF(DATOS!$G3624="EX",1,IF(DATOS!$G3624="OR",--(COUNTIFS(nNIA,DATOS!$A3624,nCURSO,DATOS!$D3624,nESPEC,DATOS!$E3624,nASIG,DATOS!$I3624,nEVAL,"EX")=0),0))))</f>
      </c>
      <c r="H3624">
        <f>IF(DATOS!$G3624&lt;&gt;"EX",0,--(COUNTIFS(nNIA,DATOS!$A3624,nCURSO,DATOS!$D3624,nESPEC,DATOS!$E3624,nASIG,DATOS!$I3624,nEVAL,"OR")=0))</f>
      </c>
      <c r="I3624">
        <f>IF(DATOS!$I3624="","",IFERROR(VLOOKUP(DATOS!$I3624,CONFIG_ASIGNATURAS!$B$2:$J$91,9,FALSE()),""))</f>
      </c>
    </row>
    <row r="3625">
      <c r="F3625">
        <f>IF(DATOS!$A3625="","",DATOS!$A3625&amp;"|"&amp;DATOS!$D3625&amp;"|"&amp;DATOS!$E3625&amp;"|"&amp;DATOS!$I3625)</f>
      </c>
      <c r="G3625">
        <f>IF(DATOS!$A3625="",0,IF(CONFIG_METADATA!$B$4&lt;&gt;"OR+EX",--(DATOS!$G3625=CONFIG_METADATA!$B$4),IF(DATOS!$G3625="EX",1,IF(DATOS!$G3625="OR",--(COUNTIFS(nNIA,DATOS!$A3625,nCURSO,DATOS!$D3625,nESPEC,DATOS!$E3625,nASIG,DATOS!$I3625,nEVAL,"EX")=0),0))))</f>
      </c>
      <c r="H3625">
        <f>IF(DATOS!$G3625&lt;&gt;"EX",0,--(COUNTIFS(nNIA,DATOS!$A3625,nCURSO,DATOS!$D3625,nESPEC,DATOS!$E3625,nASIG,DATOS!$I3625,nEVAL,"OR")=0))</f>
      </c>
      <c r="I3625">
        <f>IF(DATOS!$I3625="","",IFERROR(VLOOKUP(DATOS!$I3625,CONFIG_ASIGNATURAS!$B$2:$J$91,9,FALSE()),""))</f>
      </c>
    </row>
    <row r="3626">
      <c r="F3626">
        <f>IF(DATOS!$A3626="","",DATOS!$A3626&amp;"|"&amp;DATOS!$D3626&amp;"|"&amp;DATOS!$E3626&amp;"|"&amp;DATOS!$I3626)</f>
      </c>
      <c r="G3626">
        <f>IF(DATOS!$A3626="",0,IF(CONFIG_METADATA!$B$4&lt;&gt;"OR+EX",--(DATOS!$G3626=CONFIG_METADATA!$B$4),IF(DATOS!$G3626="EX",1,IF(DATOS!$G3626="OR",--(COUNTIFS(nNIA,DATOS!$A3626,nCURSO,DATOS!$D3626,nESPEC,DATOS!$E3626,nASIG,DATOS!$I3626,nEVAL,"EX")=0),0))))</f>
      </c>
      <c r="H3626">
        <f>IF(DATOS!$G3626&lt;&gt;"EX",0,--(COUNTIFS(nNIA,DATOS!$A3626,nCURSO,DATOS!$D3626,nESPEC,DATOS!$E3626,nASIG,DATOS!$I3626,nEVAL,"OR")=0))</f>
      </c>
      <c r="I3626">
        <f>IF(DATOS!$I3626="","",IFERROR(VLOOKUP(DATOS!$I3626,CONFIG_ASIGNATURAS!$B$2:$J$91,9,FALSE()),""))</f>
      </c>
    </row>
    <row r="3627">
      <c r="F3627">
        <f>IF(DATOS!$A3627="","",DATOS!$A3627&amp;"|"&amp;DATOS!$D3627&amp;"|"&amp;DATOS!$E3627&amp;"|"&amp;DATOS!$I3627)</f>
      </c>
      <c r="G3627">
        <f>IF(DATOS!$A3627="",0,IF(CONFIG_METADATA!$B$4&lt;&gt;"OR+EX",--(DATOS!$G3627=CONFIG_METADATA!$B$4),IF(DATOS!$G3627="EX",1,IF(DATOS!$G3627="OR",--(COUNTIFS(nNIA,DATOS!$A3627,nCURSO,DATOS!$D3627,nESPEC,DATOS!$E3627,nASIG,DATOS!$I3627,nEVAL,"EX")=0),0))))</f>
      </c>
      <c r="H3627">
        <f>IF(DATOS!$G3627&lt;&gt;"EX",0,--(COUNTIFS(nNIA,DATOS!$A3627,nCURSO,DATOS!$D3627,nESPEC,DATOS!$E3627,nASIG,DATOS!$I3627,nEVAL,"OR")=0))</f>
      </c>
      <c r="I3627">
        <f>IF(DATOS!$I3627="","",IFERROR(VLOOKUP(DATOS!$I3627,CONFIG_ASIGNATURAS!$B$2:$J$91,9,FALSE()),""))</f>
      </c>
    </row>
    <row r="3628">
      <c r="F3628">
        <f>IF(DATOS!$A3628="","",DATOS!$A3628&amp;"|"&amp;DATOS!$D3628&amp;"|"&amp;DATOS!$E3628&amp;"|"&amp;DATOS!$I3628)</f>
      </c>
      <c r="G3628">
        <f>IF(DATOS!$A3628="",0,IF(CONFIG_METADATA!$B$4&lt;&gt;"OR+EX",--(DATOS!$G3628=CONFIG_METADATA!$B$4),IF(DATOS!$G3628="EX",1,IF(DATOS!$G3628="OR",--(COUNTIFS(nNIA,DATOS!$A3628,nCURSO,DATOS!$D3628,nESPEC,DATOS!$E3628,nASIG,DATOS!$I3628,nEVAL,"EX")=0),0))))</f>
      </c>
      <c r="H3628">
        <f>IF(DATOS!$G3628&lt;&gt;"EX",0,--(COUNTIFS(nNIA,DATOS!$A3628,nCURSO,DATOS!$D3628,nESPEC,DATOS!$E3628,nASIG,DATOS!$I3628,nEVAL,"OR")=0))</f>
      </c>
      <c r="I3628">
        <f>IF(DATOS!$I3628="","",IFERROR(VLOOKUP(DATOS!$I3628,CONFIG_ASIGNATURAS!$B$2:$J$91,9,FALSE()),""))</f>
      </c>
    </row>
    <row r="3629">
      <c r="F3629">
        <f>IF(DATOS!$A3629="","",DATOS!$A3629&amp;"|"&amp;DATOS!$D3629&amp;"|"&amp;DATOS!$E3629&amp;"|"&amp;DATOS!$I3629)</f>
      </c>
      <c r="G3629">
        <f>IF(DATOS!$A3629="",0,IF(CONFIG_METADATA!$B$4&lt;&gt;"OR+EX",--(DATOS!$G3629=CONFIG_METADATA!$B$4),IF(DATOS!$G3629="EX",1,IF(DATOS!$G3629="OR",--(COUNTIFS(nNIA,DATOS!$A3629,nCURSO,DATOS!$D3629,nESPEC,DATOS!$E3629,nASIG,DATOS!$I3629,nEVAL,"EX")=0),0))))</f>
      </c>
      <c r="H3629">
        <f>IF(DATOS!$G3629&lt;&gt;"EX",0,--(COUNTIFS(nNIA,DATOS!$A3629,nCURSO,DATOS!$D3629,nESPEC,DATOS!$E3629,nASIG,DATOS!$I3629,nEVAL,"OR")=0))</f>
      </c>
      <c r="I3629">
        <f>IF(DATOS!$I3629="","",IFERROR(VLOOKUP(DATOS!$I3629,CONFIG_ASIGNATURAS!$B$2:$J$91,9,FALSE()),""))</f>
      </c>
    </row>
    <row r="3630">
      <c r="F3630">
        <f>IF(DATOS!$A3630="","",DATOS!$A3630&amp;"|"&amp;DATOS!$D3630&amp;"|"&amp;DATOS!$E3630&amp;"|"&amp;DATOS!$I3630)</f>
      </c>
      <c r="G3630">
        <f>IF(DATOS!$A3630="",0,IF(CONFIG_METADATA!$B$4&lt;&gt;"OR+EX",--(DATOS!$G3630=CONFIG_METADATA!$B$4),IF(DATOS!$G3630="EX",1,IF(DATOS!$G3630="OR",--(COUNTIFS(nNIA,DATOS!$A3630,nCURSO,DATOS!$D3630,nESPEC,DATOS!$E3630,nASIG,DATOS!$I3630,nEVAL,"EX")=0),0))))</f>
      </c>
      <c r="H3630">
        <f>IF(DATOS!$G3630&lt;&gt;"EX",0,--(COUNTIFS(nNIA,DATOS!$A3630,nCURSO,DATOS!$D3630,nESPEC,DATOS!$E3630,nASIG,DATOS!$I3630,nEVAL,"OR")=0))</f>
      </c>
      <c r="I3630">
        <f>IF(DATOS!$I3630="","",IFERROR(VLOOKUP(DATOS!$I3630,CONFIG_ASIGNATURAS!$B$2:$J$91,9,FALSE()),""))</f>
      </c>
    </row>
    <row r="3631">
      <c r="F3631">
        <f>IF(DATOS!$A3631="","",DATOS!$A3631&amp;"|"&amp;DATOS!$D3631&amp;"|"&amp;DATOS!$E3631&amp;"|"&amp;DATOS!$I3631)</f>
      </c>
      <c r="G3631">
        <f>IF(DATOS!$A3631="",0,IF(CONFIG_METADATA!$B$4&lt;&gt;"OR+EX",--(DATOS!$G3631=CONFIG_METADATA!$B$4),IF(DATOS!$G3631="EX",1,IF(DATOS!$G3631="OR",--(COUNTIFS(nNIA,DATOS!$A3631,nCURSO,DATOS!$D3631,nESPEC,DATOS!$E3631,nASIG,DATOS!$I3631,nEVAL,"EX")=0),0))))</f>
      </c>
      <c r="H3631">
        <f>IF(DATOS!$G3631&lt;&gt;"EX",0,--(COUNTIFS(nNIA,DATOS!$A3631,nCURSO,DATOS!$D3631,nESPEC,DATOS!$E3631,nASIG,DATOS!$I3631,nEVAL,"OR")=0))</f>
      </c>
      <c r="I3631">
        <f>IF(DATOS!$I3631="","",IFERROR(VLOOKUP(DATOS!$I3631,CONFIG_ASIGNATURAS!$B$2:$J$91,9,FALSE()),""))</f>
      </c>
    </row>
    <row r="3632">
      <c r="F3632">
        <f>IF(DATOS!$A3632="","",DATOS!$A3632&amp;"|"&amp;DATOS!$D3632&amp;"|"&amp;DATOS!$E3632&amp;"|"&amp;DATOS!$I3632)</f>
      </c>
      <c r="G3632">
        <f>IF(DATOS!$A3632="",0,IF(CONFIG_METADATA!$B$4&lt;&gt;"OR+EX",--(DATOS!$G3632=CONFIG_METADATA!$B$4),IF(DATOS!$G3632="EX",1,IF(DATOS!$G3632="OR",--(COUNTIFS(nNIA,DATOS!$A3632,nCURSO,DATOS!$D3632,nESPEC,DATOS!$E3632,nASIG,DATOS!$I3632,nEVAL,"EX")=0),0))))</f>
      </c>
      <c r="H3632">
        <f>IF(DATOS!$G3632&lt;&gt;"EX",0,--(COUNTIFS(nNIA,DATOS!$A3632,nCURSO,DATOS!$D3632,nESPEC,DATOS!$E3632,nASIG,DATOS!$I3632,nEVAL,"OR")=0))</f>
      </c>
      <c r="I3632">
        <f>IF(DATOS!$I3632="","",IFERROR(VLOOKUP(DATOS!$I3632,CONFIG_ASIGNATURAS!$B$2:$J$91,9,FALSE()),""))</f>
      </c>
    </row>
    <row r="3633">
      <c r="F3633">
        <f>IF(DATOS!$A3633="","",DATOS!$A3633&amp;"|"&amp;DATOS!$D3633&amp;"|"&amp;DATOS!$E3633&amp;"|"&amp;DATOS!$I3633)</f>
      </c>
      <c r="G3633">
        <f>IF(DATOS!$A3633="",0,IF(CONFIG_METADATA!$B$4&lt;&gt;"OR+EX",--(DATOS!$G3633=CONFIG_METADATA!$B$4),IF(DATOS!$G3633="EX",1,IF(DATOS!$G3633="OR",--(COUNTIFS(nNIA,DATOS!$A3633,nCURSO,DATOS!$D3633,nESPEC,DATOS!$E3633,nASIG,DATOS!$I3633,nEVAL,"EX")=0),0))))</f>
      </c>
      <c r="H3633">
        <f>IF(DATOS!$G3633&lt;&gt;"EX",0,--(COUNTIFS(nNIA,DATOS!$A3633,nCURSO,DATOS!$D3633,nESPEC,DATOS!$E3633,nASIG,DATOS!$I3633,nEVAL,"OR")=0))</f>
      </c>
      <c r="I3633">
        <f>IF(DATOS!$I3633="","",IFERROR(VLOOKUP(DATOS!$I3633,CONFIG_ASIGNATURAS!$B$2:$J$91,9,FALSE()),""))</f>
      </c>
    </row>
    <row r="3634">
      <c r="F3634">
        <f>IF(DATOS!$A3634="","",DATOS!$A3634&amp;"|"&amp;DATOS!$D3634&amp;"|"&amp;DATOS!$E3634&amp;"|"&amp;DATOS!$I3634)</f>
      </c>
      <c r="G3634">
        <f>IF(DATOS!$A3634="",0,IF(CONFIG_METADATA!$B$4&lt;&gt;"OR+EX",--(DATOS!$G3634=CONFIG_METADATA!$B$4),IF(DATOS!$G3634="EX",1,IF(DATOS!$G3634="OR",--(COUNTIFS(nNIA,DATOS!$A3634,nCURSO,DATOS!$D3634,nESPEC,DATOS!$E3634,nASIG,DATOS!$I3634,nEVAL,"EX")=0),0))))</f>
      </c>
      <c r="H3634">
        <f>IF(DATOS!$G3634&lt;&gt;"EX",0,--(COUNTIFS(nNIA,DATOS!$A3634,nCURSO,DATOS!$D3634,nESPEC,DATOS!$E3634,nASIG,DATOS!$I3634,nEVAL,"OR")=0))</f>
      </c>
      <c r="I3634">
        <f>IF(DATOS!$I3634="","",IFERROR(VLOOKUP(DATOS!$I3634,CONFIG_ASIGNATURAS!$B$2:$J$91,9,FALSE()),""))</f>
      </c>
    </row>
    <row r="3635">
      <c r="F3635">
        <f>IF(DATOS!$A3635="","",DATOS!$A3635&amp;"|"&amp;DATOS!$D3635&amp;"|"&amp;DATOS!$E3635&amp;"|"&amp;DATOS!$I3635)</f>
      </c>
      <c r="G3635">
        <f>IF(DATOS!$A3635="",0,IF(CONFIG_METADATA!$B$4&lt;&gt;"OR+EX",--(DATOS!$G3635=CONFIG_METADATA!$B$4),IF(DATOS!$G3635="EX",1,IF(DATOS!$G3635="OR",--(COUNTIFS(nNIA,DATOS!$A3635,nCURSO,DATOS!$D3635,nESPEC,DATOS!$E3635,nASIG,DATOS!$I3635,nEVAL,"EX")=0),0))))</f>
      </c>
      <c r="H3635">
        <f>IF(DATOS!$G3635&lt;&gt;"EX",0,--(COUNTIFS(nNIA,DATOS!$A3635,nCURSO,DATOS!$D3635,nESPEC,DATOS!$E3635,nASIG,DATOS!$I3635,nEVAL,"OR")=0))</f>
      </c>
      <c r="I3635">
        <f>IF(DATOS!$I3635="","",IFERROR(VLOOKUP(DATOS!$I3635,CONFIG_ASIGNATURAS!$B$2:$J$91,9,FALSE()),""))</f>
      </c>
    </row>
    <row r="3636">
      <c r="F3636">
        <f>IF(DATOS!$A3636="","",DATOS!$A3636&amp;"|"&amp;DATOS!$D3636&amp;"|"&amp;DATOS!$E3636&amp;"|"&amp;DATOS!$I3636)</f>
      </c>
      <c r="G3636">
        <f>IF(DATOS!$A3636="",0,IF(CONFIG_METADATA!$B$4&lt;&gt;"OR+EX",--(DATOS!$G3636=CONFIG_METADATA!$B$4),IF(DATOS!$G3636="EX",1,IF(DATOS!$G3636="OR",--(COUNTIFS(nNIA,DATOS!$A3636,nCURSO,DATOS!$D3636,nESPEC,DATOS!$E3636,nASIG,DATOS!$I3636,nEVAL,"EX")=0),0))))</f>
      </c>
      <c r="H3636">
        <f>IF(DATOS!$G3636&lt;&gt;"EX",0,--(COUNTIFS(nNIA,DATOS!$A3636,nCURSO,DATOS!$D3636,nESPEC,DATOS!$E3636,nASIG,DATOS!$I3636,nEVAL,"OR")=0))</f>
      </c>
      <c r="I3636">
        <f>IF(DATOS!$I3636="","",IFERROR(VLOOKUP(DATOS!$I3636,CONFIG_ASIGNATURAS!$B$2:$J$91,9,FALSE()),""))</f>
      </c>
    </row>
    <row r="3637">
      <c r="F3637">
        <f>IF(DATOS!$A3637="","",DATOS!$A3637&amp;"|"&amp;DATOS!$D3637&amp;"|"&amp;DATOS!$E3637&amp;"|"&amp;DATOS!$I3637)</f>
      </c>
      <c r="G3637">
        <f>IF(DATOS!$A3637="",0,IF(CONFIG_METADATA!$B$4&lt;&gt;"OR+EX",--(DATOS!$G3637=CONFIG_METADATA!$B$4),IF(DATOS!$G3637="EX",1,IF(DATOS!$G3637="OR",--(COUNTIFS(nNIA,DATOS!$A3637,nCURSO,DATOS!$D3637,nESPEC,DATOS!$E3637,nASIG,DATOS!$I3637,nEVAL,"EX")=0),0))))</f>
      </c>
      <c r="H3637">
        <f>IF(DATOS!$G3637&lt;&gt;"EX",0,--(COUNTIFS(nNIA,DATOS!$A3637,nCURSO,DATOS!$D3637,nESPEC,DATOS!$E3637,nASIG,DATOS!$I3637,nEVAL,"OR")=0))</f>
      </c>
      <c r="I3637">
        <f>IF(DATOS!$I3637="","",IFERROR(VLOOKUP(DATOS!$I3637,CONFIG_ASIGNATURAS!$B$2:$J$91,9,FALSE()),""))</f>
      </c>
    </row>
    <row r="3638">
      <c r="F3638">
        <f>IF(DATOS!$A3638="","",DATOS!$A3638&amp;"|"&amp;DATOS!$D3638&amp;"|"&amp;DATOS!$E3638&amp;"|"&amp;DATOS!$I3638)</f>
      </c>
      <c r="G3638">
        <f>IF(DATOS!$A3638="",0,IF(CONFIG_METADATA!$B$4&lt;&gt;"OR+EX",--(DATOS!$G3638=CONFIG_METADATA!$B$4),IF(DATOS!$G3638="EX",1,IF(DATOS!$G3638="OR",--(COUNTIFS(nNIA,DATOS!$A3638,nCURSO,DATOS!$D3638,nESPEC,DATOS!$E3638,nASIG,DATOS!$I3638,nEVAL,"EX")=0),0))))</f>
      </c>
      <c r="H3638">
        <f>IF(DATOS!$G3638&lt;&gt;"EX",0,--(COUNTIFS(nNIA,DATOS!$A3638,nCURSO,DATOS!$D3638,nESPEC,DATOS!$E3638,nASIG,DATOS!$I3638,nEVAL,"OR")=0))</f>
      </c>
      <c r="I3638">
        <f>IF(DATOS!$I3638="","",IFERROR(VLOOKUP(DATOS!$I3638,CONFIG_ASIGNATURAS!$B$2:$J$91,9,FALSE()),""))</f>
      </c>
    </row>
    <row r="3639">
      <c r="F3639">
        <f>IF(DATOS!$A3639="","",DATOS!$A3639&amp;"|"&amp;DATOS!$D3639&amp;"|"&amp;DATOS!$E3639&amp;"|"&amp;DATOS!$I3639)</f>
      </c>
      <c r="G3639">
        <f>IF(DATOS!$A3639="",0,IF(CONFIG_METADATA!$B$4&lt;&gt;"OR+EX",--(DATOS!$G3639=CONFIG_METADATA!$B$4),IF(DATOS!$G3639="EX",1,IF(DATOS!$G3639="OR",--(COUNTIFS(nNIA,DATOS!$A3639,nCURSO,DATOS!$D3639,nESPEC,DATOS!$E3639,nASIG,DATOS!$I3639,nEVAL,"EX")=0),0))))</f>
      </c>
      <c r="H3639">
        <f>IF(DATOS!$G3639&lt;&gt;"EX",0,--(COUNTIFS(nNIA,DATOS!$A3639,nCURSO,DATOS!$D3639,nESPEC,DATOS!$E3639,nASIG,DATOS!$I3639,nEVAL,"OR")=0))</f>
      </c>
      <c r="I3639">
        <f>IF(DATOS!$I3639="","",IFERROR(VLOOKUP(DATOS!$I3639,CONFIG_ASIGNATURAS!$B$2:$J$91,9,FALSE()),""))</f>
      </c>
    </row>
    <row r="3640">
      <c r="F3640">
        <f>IF(DATOS!$A3640="","",DATOS!$A3640&amp;"|"&amp;DATOS!$D3640&amp;"|"&amp;DATOS!$E3640&amp;"|"&amp;DATOS!$I3640)</f>
      </c>
      <c r="G3640">
        <f>IF(DATOS!$A3640="",0,IF(CONFIG_METADATA!$B$4&lt;&gt;"OR+EX",--(DATOS!$G3640=CONFIG_METADATA!$B$4),IF(DATOS!$G3640="EX",1,IF(DATOS!$G3640="OR",--(COUNTIFS(nNIA,DATOS!$A3640,nCURSO,DATOS!$D3640,nESPEC,DATOS!$E3640,nASIG,DATOS!$I3640,nEVAL,"EX")=0),0))))</f>
      </c>
      <c r="H3640">
        <f>IF(DATOS!$G3640&lt;&gt;"EX",0,--(COUNTIFS(nNIA,DATOS!$A3640,nCURSO,DATOS!$D3640,nESPEC,DATOS!$E3640,nASIG,DATOS!$I3640,nEVAL,"OR")=0))</f>
      </c>
      <c r="I3640">
        <f>IF(DATOS!$I3640="","",IFERROR(VLOOKUP(DATOS!$I3640,CONFIG_ASIGNATURAS!$B$2:$J$91,9,FALSE()),""))</f>
      </c>
    </row>
    <row r="3641">
      <c r="F3641">
        <f>IF(DATOS!$A3641="","",DATOS!$A3641&amp;"|"&amp;DATOS!$D3641&amp;"|"&amp;DATOS!$E3641&amp;"|"&amp;DATOS!$I3641)</f>
      </c>
      <c r="G3641">
        <f>IF(DATOS!$A3641="",0,IF(CONFIG_METADATA!$B$4&lt;&gt;"OR+EX",--(DATOS!$G3641=CONFIG_METADATA!$B$4),IF(DATOS!$G3641="EX",1,IF(DATOS!$G3641="OR",--(COUNTIFS(nNIA,DATOS!$A3641,nCURSO,DATOS!$D3641,nESPEC,DATOS!$E3641,nASIG,DATOS!$I3641,nEVAL,"EX")=0),0))))</f>
      </c>
      <c r="H3641">
        <f>IF(DATOS!$G3641&lt;&gt;"EX",0,--(COUNTIFS(nNIA,DATOS!$A3641,nCURSO,DATOS!$D3641,nESPEC,DATOS!$E3641,nASIG,DATOS!$I3641,nEVAL,"OR")=0))</f>
      </c>
      <c r="I3641">
        <f>IF(DATOS!$I3641="","",IFERROR(VLOOKUP(DATOS!$I3641,CONFIG_ASIGNATURAS!$B$2:$J$91,9,FALSE()),""))</f>
      </c>
    </row>
    <row r="3642">
      <c r="F3642">
        <f>IF(DATOS!$A3642="","",DATOS!$A3642&amp;"|"&amp;DATOS!$D3642&amp;"|"&amp;DATOS!$E3642&amp;"|"&amp;DATOS!$I3642)</f>
      </c>
      <c r="G3642">
        <f>IF(DATOS!$A3642="",0,IF(CONFIG_METADATA!$B$4&lt;&gt;"OR+EX",--(DATOS!$G3642=CONFIG_METADATA!$B$4),IF(DATOS!$G3642="EX",1,IF(DATOS!$G3642="OR",--(COUNTIFS(nNIA,DATOS!$A3642,nCURSO,DATOS!$D3642,nESPEC,DATOS!$E3642,nASIG,DATOS!$I3642,nEVAL,"EX")=0),0))))</f>
      </c>
      <c r="H3642">
        <f>IF(DATOS!$G3642&lt;&gt;"EX",0,--(COUNTIFS(nNIA,DATOS!$A3642,nCURSO,DATOS!$D3642,nESPEC,DATOS!$E3642,nASIG,DATOS!$I3642,nEVAL,"OR")=0))</f>
      </c>
      <c r="I3642">
        <f>IF(DATOS!$I3642="","",IFERROR(VLOOKUP(DATOS!$I3642,CONFIG_ASIGNATURAS!$B$2:$J$91,9,FALSE()),""))</f>
      </c>
    </row>
    <row r="3643">
      <c r="F3643">
        <f>IF(DATOS!$A3643="","",DATOS!$A3643&amp;"|"&amp;DATOS!$D3643&amp;"|"&amp;DATOS!$E3643&amp;"|"&amp;DATOS!$I3643)</f>
      </c>
      <c r="G3643">
        <f>IF(DATOS!$A3643="",0,IF(CONFIG_METADATA!$B$4&lt;&gt;"OR+EX",--(DATOS!$G3643=CONFIG_METADATA!$B$4),IF(DATOS!$G3643="EX",1,IF(DATOS!$G3643="OR",--(COUNTIFS(nNIA,DATOS!$A3643,nCURSO,DATOS!$D3643,nESPEC,DATOS!$E3643,nASIG,DATOS!$I3643,nEVAL,"EX")=0),0))))</f>
      </c>
      <c r="H3643">
        <f>IF(DATOS!$G3643&lt;&gt;"EX",0,--(COUNTIFS(nNIA,DATOS!$A3643,nCURSO,DATOS!$D3643,nESPEC,DATOS!$E3643,nASIG,DATOS!$I3643,nEVAL,"OR")=0))</f>
      </c>
      <c r="I3643">
        <f>IF(DATOS!$I3643="","",IFERROR(VLOOKUP(DATOS!$I3643,CONFIG_ASIGNATURAS!$B$2:$J$91,9,FALSE()),""))</f>
      </c>
    </row>
    <row r="3644">
      <c r="F3644">
        <f>IF(DATOS!$A3644="","",DATOS!$A3644&amp;"|"&amp;DATOS!$D3644&amp;"|"&amp;DATOS!$E3644&amp;"|"&amp;DATOS!$I3644)</f>
      </c>
      <c r="G3644">
        <f>IF(DATOS!$A3644="",0,IF(CONFIG_METADATA!$B$4&lt;&gt;"OR+EX",--(DATOS!$G3644=CONFIG_METADATA!$B$4),IF(DATOS!$G3644="EX",1,IF(DATOS!$G3644="OR",--(COUNTIFS(nNIA,DATOS!$A3644,nCURSO,DATOS!$D3644,nESPEC,DATOS!$E3644,nASIG,DATOS!$I3644,nEVAL,"EX")=0),0))))</f>
      </c>
      <c r="H3644">
        <f>IF(DATOS!$G3644&lt;&gt;"EX",0,--(COUNTIFS(nNIA,DATOS!$A3644,nCURSO,DATOS!$D3644,nESPEC,DATOS!$E3644,nASIG,DATOS!$I3644,nEVAL,"OR")=0))</f>
      </c>
      <c r="I3644">
        <f>IF(DATOS!$I3644="","",IFERROR(VLOOKUP(DATOS!$I3644,CONFIG_ASIGNATURAS!$B$2:$J$91,9,FALSE()),""))</f>
      </c>
    </row>
    <row r="3645">
      <c r="F3645">
        <f>IF(DATOS!$A3645="","",DATOS!$A3645&amp;"|"&amp;DATOS!$D3645&amp;"|"&amp;DATOS!$E3645&amp;"|"&amp;DATOS!$I3645)</f>
      </c>
      <c r="G3645">
        <f>IF(DATOS!$A3645="",0,IF(CONFIG_METADATA!$B$4&lt;&gt;"OR+EX",--(DATOS!$G3645=CONFIG_METADATA!$B$4),IF(DATOS!$G3645="EX",1,IF(DATOS!$G3645="OR",--(COUNTIFS(nNIA,DATOS!$A3645,nCURSO,DATOS!$D3645,nESPEC,DATOS!$E3645,nASIG,DATOS!$I3645,nEVAL,"EX")=0),0))))</f>
      </c>
      <c r="H3645">
        <f>IF(DATOS!$G3645&lt;&gt;"EX",0,--(COUNTIFS(nNIA,DATOS!$A3645,nCURSO,DATOS!$D3645,nESPEC,DATOS!$E3645,nASIG,DATOS!$I3645,nEVAL,"OR")=0))</f>
      </c>
      <c r="I3645">
        <f>IF(DATOS!$I3645="","",IFERROR(VLOOKUP(DATOS!$I3645,CONFIG_ASIGNATURAS!$B$2:$J$91,9,FALSE()),""))</f>
      </c>
    </row>
    <row r="3646">
      <c r="F3646">
        <f>IF(DATOS!$A3646="","",DATOS!$A3646&amp;"|"&amp;DATOS!$D3646&amp;"|"&amp;DATOS!$E3646&amp;"|"&amp;DATOS!$I3646)</f>
      </c>
      <c r="G3646">
        <f>IF(DATOS!$A3646="",0,IF(CONFIG_METADATA!$B$4&lt;&gt;"OR+EX",--(DATOS!$G3646=CONFIG_METADATA!$B$4),IF(DATOS!$G3646="EX",1,IF(DATOS!$G3646="OR",--(COUNTIFS(nNIA,DATOS!$A3646,nCURSO,DATOS!$D3646,nESPEC,DATOS!$E3646,nASIG,DATOS!$I3646,nEVAL,"EX")=0),0))))</f>
      </c>
      <c r="H3646">
        <f>IF(DATOS!$G3646&lt;&gt;"EX",0,--(COUNTIFS(nNIA,DATOS!$A3646,nCURSO,DATOS!$D3646,nESPEC,DATOS!$E3646,nASIG,DATOS!$I3646,nEVAL,"OR")=0))</f>
      </c>
      <c r="I3646">
        <f>IF(DATOS!$I3646="","",IFERROR(VLOOKUP(DATOS!$I3646,CONFIG_ASIGNATURAS!$B$2:$J$91,9,FALSE()),""))</f>
      </c>
    </row>
    <row r="3647">
      <c r="F3647">
        <f>IF(DATOS!$A3647="","",DATOS!$A3647&amp;"|"&amp;DATOS!$D3647&amp;"|"&amp;DATOS!$E3647&amp;"|"&amp;DATOS!$I3647)</f>
      </c>
      <c r="G3647">
        <f>IF(DATOS!$A3647="",0,IF(CONFIG_METADATA!$B$4&lt;&gt;"OR+EX",--(DATOS!$G3647=CONFIG_METADATA!$B$4),IF(DATOS!$G3647="EX",1,IF(DATOS!$G3647="OR",--(COUNTIFS(nNIA,DATOS!$A3647,nCURSO,DATOS!$D3647,nESPEC,DATOS!$E3647,nASIG,DATOS!$I3647,nEVAL,"EX")=0),0))))</f>
      </c>
      <c r="H3647">
        <f>IF(DATOS!$G3647&lt;&gt;"EX",0,--(COUNTIFS(nNIA,DATOS!$A3647,nCURSO,DATOS!$D3647,nESPEC,DATOS!$E3647,nASIG,DATOS!$I3647,nEVAL,"OR")=0))</f>
      </c>
      <c r="I3647">
        <f>IF(DATOS!$I3647="","",IFERROR(VLOOKUP(DATOS!$I3647,CONFIG_ASIGNATURAS!$B$2:$J$91,9,FALSE()),""))</f>
      </c>
    </row>
    <row r="3648">
      <c r="F3648">
        <f>IF(DATOS!$A3648="","",DATOS!$A3648&amp;"|"&amp;DATOS!$D3648&amp;"|"&amp;DATOS!$E3648&amp;"|"&amp;DATOS!$I3648)</f>
      </c>
      <c r="G3648">
        <f>IF(DATOS!$A3648="",0,IF(CONFIG_METADATA!$B$4&lt;&gt;"OR+EX",--(DATOS!$G3648=CONFIG_METADATA!$B$4),IF(DATOS!$G3648="EX",1,IF(DATOS!$G3648="OR",--(COUNTIFS(nNIA,DATOS!$A3648,nCURSO,DATOS!$D3648,nESPEC,DATOS!$E3648,nASIG,DATOS!$I3648,nEVAL,"EX")=0),0))))</f>
      </c>
      <c r="H3648">
        <f>IF(DATOS!$G3648&lt;&gt;"EX",0,--(COUNTIFS(nNIA,DATOS!$A3648,nCURSO,DATOS!$D3648,nESPEC,DATOS!$E3648,nASIG,DATOS!$I3648,nEVAL,"OR")=0))</f>
      </c>
      <c r="I3648">
        <f>IF(DATOS!$I3648="","",IFERROR(VLOOKUP(DATOS!$I3648,CONFIG_ASIGNATURAS!$B$2:$J$91,9,FALSE()),""))</f>
      </c>
    </row>
    <row r="3649">
      <c r="F3649">
        <f>IF(DATOS!$A3649="","",DATOS!$A3649&amp;"|"&amp;DATOS!$D3649&amp;"|"&amp;DATOS!$E3649&amp;"|"&amp;DATOS!$I3649)</f>
      </c>
      <c r="G3649">
        <f>IF(DATOS!$A3649="",0,IF(CONFIG_METADATA!$B$4&lt;&gt;"OR+EX",--(DATOS!$G3649=CONFIG_METADATA!$B$4),IF(DATOS!$G3649="EX",1,IF(DATOS!$G3649="OR",--(COUNTIFS(nNIA,DATOS!$A3649,nCURSO,DATOS!$D3649,nESPEC,DATOS!$E3649,nASIG,DATOS!$I3649,nEVAL,"EX")=0),0))))</f>
      </c>
      <c r="H3649">
        <f>IF(DATOS!$G3649&lt;&gt;"EX",0,--(COUNTIFS(nNIA,DATOS!$A3649,nCURSO,DATOS!$D3649,nESPEC,DATOS!$E3649,nASIG,DATOS!$I3649,nEVAL,"OR")=0))</f>
      </c>
      <c r="I3649">
        <f>IF(DATOS!$I3649="","",IFERROR(VLOOKUP(DATOS!$I3649,CONFIG_ASIGNATURAS!$B$2:$J$91,9,FALSE()),""))</f>
      </c>
    </row>
    <row r="3650">
      <c r="F3650">
        <f>IF(DATOS!$A3650="","",DATOS!$A3650&amp;"|"&amp;DATOS!$D3650&amp;"|"&amp;DATOS!$E3650&amp;"|"&amp;DATOS!$I3650)</f>
      </c>
      <c r="G3650">
        <f>IF(DATOS!$A3650="",0,IF(CONFIG_METADATA!$B$4&lt;&gt;"OR+EX",--(DATOS!$G3650=CONFIG_METADATA!$B$4),IF(DATOS!$G3650="EX",1,IF(DATOS!$G3650="OR",--(COUNTIFS(nNIA,DATOS!$A3650,nCURSO,DATOS!$D3650,nESPEC,DATOS!$E3650,nASIG,DATOS!$I3650,nEVAL,"EX")=0),0))))</f>
      </c>
      <c r="H3650">
        <f>IF(DATOS!$G3650&lt;&gt;"EX",0,--(COUNTIFS(nNIA,DATOS!$A3650,nCURSO,DATOS!$D3650,nESPEC,DATOS!$E3650,nASIG,DATOS!$I3650,nEVAL,"OR")=0))</f>
      </c>
      <c r="I3650">
        <f>IF(DATOS!$I3650="","",IFERROR(VLOOKUP(DATOS!$I3650,CONFIG_ASIGNATURAS!$B$2:$J$91,9,FALSE()),""))</f>
      </c>
    </row>
    <row r="3651">
      <c r="F3651">
        <f>IF(DATOS!$A3651="","",DATOS!$A3651&amp;"|"&amp;DATOS!$D3651&amp;"|"&amp;DATOS!$E3651&amp;"|"&amp;DATOS!$I3651)</f>
      </c>
      <c r="G3651">
        <f>IF(DATOS!$A3651="",0,IF(CONFIG_METADATA!$B$4&lt;&gt;"OR+EX",--(DATOS!$G3651=CONFIG_METADATA!$B$4),IF(DATOS!$G3651="EX",1,IF(DATOS!$G3651="OR",--(COUNTIFS(nNIA,DATOS!$A3651,nCURSO,DATOS!$D3651,nESPEC,DATOS!$E3651,nASIG,DATOS!$I3651,nEVAL,"EX")=0),0))))</f>
      </c>
      <c r="H3651">
        <f>IF(DATOS!$G3651&lt;&gt;"EX",0,--(COUNTIFS(nNIA,DATOS!$A3651,nCURSO,DATOS!$D3651,nESPEC,DATOS!$E3651,nASIG,DATOS!$I3651,nEVAL,"OR")=0))</f>
      </c>
      <c r="I3651">
        <f>IF(DATOS!$I3651="","",IFERROR(VLOOKUP(DATOS!$I3651,CONFIG_ASIGNATURAS!$B$2:$J$91,9,FALSE()),""))</f>
      </c>
    </row>
    <row r="3652">
      <c r="F3652">
        <f>IF(DATOS!$A3652="","",DATOS!$A3652&amp;"|"&amp;DATOS!$D3652&amp;"|"&amp;DATOS!$E3652&amp;"|"&amp;DATOS!$I3652)</f>
      </c>
      <c r="G3652">
        <f>IF(DATOS!$A3652="",0,IF(CONFIG_METADATA!$B$4&lt;&gt;"OR+EX",--(DATOS!$G3652=CONFIG_METADATA!$B$4),IF(DATOS!$G3652="EX",1,IF(DATOS!$G3652="OR",--(COUNTIFS(nNIA,DATOS!$A3652,nCURSO,DATOS!$D3652,nESPEC,DATOS!$E3652,nASIG,DATOS!$I3652,nEVAL,"EX")=0),0))))</f>
      </c>
      <c r="H3652">
        <f>IF(DATOS!$G3652&lt;&gt;"EX",0,--(COUNTIFS(nNIA,DATOS!$A3652,nCURSO,DATOS!$D3652,nESPEC,DATOS!$E3652,nASIG,DATOS!$I3652,nEVAL,"OR")=0))</f>
      </c>
      <c r="I3652">
        <f>IF(DATOS!$I3652="","",IFERROR(VLOOKUP(DATOS!$I3652,CONFIG_ASIGNATURAS!$B$2:$J$91,9,FALSE()),""))</f>
      </c>
    </row>
    <row r="3653">
      <c r="F3653">
        <f>IF(DATOS!$A3653="","",DATOS!$A3653&amp;"|"&amp;DATOS!$D3653&amp;"|"&amp;DATOS!$E3653&amp;"|"&amp;DATOS!$I3653)</f>
      </c>
      <c r="G3653">
        <f>IF(DATOS!$A3653="",0,IF(CONFIG_METADATA!$B$4&lt;&gt;"OR+EX",--(DATOS!$G3653=CONFIG_METADATA!$B$4),IF(DATOS!$G3653="EX",1,IF(DATOS!$G3653="OR",--(COUNTIFS(nNIA,DATOS!$A3653,nCURSO,DATOS!$D3653,nESPEC,DATOS!$E3653,nASIG,DATOS!$I3653,nEVAL,"EX")=0),0))))</f>
      </c>
      <c r="H3653">
        <f>IF(DATOS!$G3653&lt;&gt;"EX",0,--(COUNTIFS(nNIA,DATOS!$A3653,nCURSO,DATOS!$D3653,nESPEC,DATOS!$E3653,nASIG,DATOS!$I3653,nEVAL,"OR")=0))</f>
      </c>
      <c r="I3653">
        <f>IF(DATOS!$I3653="","",IFERROR(VLOOKUP(DATOS!$I3653,CONFIG_ASIGNATURAS!$B$2:$J$91,9,FALSE()),""))</f>
      </c>
    </row>
    <row r="3654">
      <c r="F3654">
        <f>IF(DATOS!$A3654="","",DATOS!$A3654&amp;"|"&amp;DATOS!$D3654&amp;"|"&amp;DATOS!$E3654&amp;"|"&amp;DATOS!$I3654)</f>
      </c>
      <c r="G3654">
        <f>IF(DATOS!$A3654="",0,IF(CONFIG_METADATA!$B$4&lt;&gt;"OR+EX",--(DATOS!$G3654=CONFIG_METADATA!$B$4),IF(DATOS!$G3654="EX",1,IF(DATOS!$G3654="OR",--(COUNTIFS(nNIA,DATOS!$A3654,nCURSO,DATOS!$D3654,nESPEC,DATOS!$E3654,nASIG,DATOS!$I3654,nEVAL,"EX")=0),0))))</f>
      </c>
      <c r="H3654">
        <f>IF(DATOS!$G3654&lt;&gt;"EX",0,--(COUNTIFS(nNIA,DATOS!$A3654,nCURSO,DATOS!$D3654,nESPEC,DATOS!$E3654,nASIG,DATOS!$I3654,nEVAL,"OR")=0))</f>
      </c>
      <c r="I3654">
        <f>IF(DATOS!$I3654="","",IFERROR(VLOOKUP(DATOS!$I3654,CONFIG_ASIGNATURAS!$B$2:$J$91,9,FALSE()),""))</f>
      </c>
    </row>
    <row r="3655">
      <c r="F3655">
        <f>IF(DATOS!$A3655="","",DATOS!$A3655&amp;"|"&amp;DATOS!$D3655&amp;"|"&amp;DATOS!$E3655&amp;"|"&amp;DATOS!$I3655)</f>
      </c>
      <c r="G3655">
        <f>IF(DATOS!$A3655="",0,IF(CONFIG_METADATA!$B$4&lt;&gt;"OR+EX",--(DATOS!$G3655=CONFIG_METADATA!$B$4),IF(DATOS!$G3655="EX",1,IF(DATOS!$G3655="OR",--(COUNTIFS(nNIA,DATOS!$A3655,nCURSO,DATOS!$D3655,nESPEC,DATOS!$E3655,nASIG,DATOS!$I3655,nEVAL,"EX")=0),0))))</f>
      </c>
      <c r="H3655">
        <f>IF(DATOS!$G3655&lt;&gt;"EX",0,--(COUNTIFS(nNIA,DATOS!$A3655,nCURSO,DATOS!$D3655,nESPEC,DATOS!$E3655,nASIG,DATOS!$I3655,nEVAL,"OR")=0))</f>
      </c>
      <c r="I3655">
        <f>IF(DATOS!$I3655="","",IFERROR(VLOOKUP(DATOS!$I3655,CONFIG_ASIGNATURAS!$B$2:$J$91,9,FALSE()),""))</f>
      </c>
    </row>
    <row r="3656">
      <c r="F3656">
        <f>IF(DATOS!$A3656="","",DATOS!$A3656&amp;"|"&amp;DATOS!$D3656&amp;"|"&amp;DATOS!$E3656&amp;"|"&amp;DATOS!$I3656)</f>
      </c>
      <c r="G3656">
        <f>IF(DATOS!$A3656="",0,IF(CONFIG_METADATA!$B$4&lt;&gt;"OR+EX",--(DATOS!$G3656=CONFIG_METADATA!$B$4),IF(DATOS!$G3656="EX",1,IF(DATOS!$G3656="OR",--(COUNTIFS(nNIA,DATOS!$A3656,nCURSO,DATOS!$D3656,nESPEC,DATOS!$E3656,nASIG,DATOS!$I3656,nEVAL,"EX")=0),0))))</f>
      </c>
      <c r="H3656">
        <f>IF(DATOS!$G3656&lt;&gt;"EX",0,--(COUNTIFS(nNIA,DATOS!$A3656,nCURSO,DATOS!$D3656,nESPEC,DATOS!$E3656,nASIG,DATOS!$I3656,nEVAL,"OR")=0))</f>
      </c>
      <c r="I3656">
        <f>IF(DATOS!$I3656="","",IFERROR(VLOOKUP(DATOS!$I3656,CONFIG_ASIGNATURAS!$B$2:$J$91,9,FALSE()),""))</f>
      </c>
    </row>
    <row r="3657">
      <c r="F3657">
        <f>IF(DATOS!$A3657="","",DATOS!$A3657&amp;"|"&amp;DATOS!$D3657&amp;"|"&amp;DATOS!$E3657&amp;"|"&amp;DATOS!$I3657)</f>
      </c>
      <c r="G3657">
        <f>IF(DATOS!$A3657="",0,IF(CONFIG_METADATA!$B$4&lt;&gt;"OR+EX",--(DATOS!$G3657=CONFIG_METADATA!$B$4),IF(DATOS!$G3657="EX",1,IF(DATOS!$G3657="OR",--(COUNTIFS(nNIA,DATOS!$A3657,nCURSO,DATOS!$D3657,nESPEC,DATOS!$E3657,nASIG,DATOS!$I3657,nEVAL,"EX")=0),0))))</f>
      </c>
      <c r="H3657">
        <f>IF(DATOS!$G3657&lt;&gt;"EX",0,--(COUNTIFS(nNIA,DATOS!$A3657,nCURSO,DATOS!$D3657,nESPEC,DATOS!$E3657,nASIG,DATOS!$I3657,nEVAL,"OR")=0))</f>
      </c>
      <c r="I3657">
        <f>IF(DATOS!$I3657="","",IFERROR(VLOOKUP(DATOS!$I3657,CONFIG_ASIGNATURAS!$B$2:$J$91,9,FALSE()),""))</f>
      </c>
    </row>
    <row r="3658">
      <c r="F3658">
        <f>IF(DATOS!$A3658="","",DATOS!$A3658&amp;"|"&amp;DATOS!$D3658&amp;"|"&amp;DATOS!$E3658&amp;"|"&amp;DATOS!$I3658)</f>
      </c>
      <c r="G3658">
        <f>IF(DATOS!$A3658="",0,IF(CONFIG_METADATA!$B$4&lt;&gt;"OR+EX",--(DATOS!$G3658=CONFIG_METADATA!$B$4),IF(DATOS!$G3658="EX",1,IF(DATOS!$G3658="OR",--(COUNTIFS(nNIA,DATOS!$A3658,nCURSO,DATOS!$D3658,nESPEC,DATOS!$E3658,nASIG,DATOS!$I3658,nEVAL,"EX")=0),0))))</f>
      </c>
      <c r="H3658">
        <f>IF(DATOS!$G3658&lt;&gt;"EX",0,--(COUNTIFS(nNIA,DATOS!$A3658,nCURSO,DATOS!$D3658,nESPEC,DATOS!$E3658,nASIG,DATOS!$I3658,nEVAL,"OR")=0))</f>
      </c>
      <c r="I3658">
        <f>IF(DATOS!$I3658="","",IFERROR(VLOOKUP(DATOS!$I3658,CONFIG_ASIGNATURAS!$B$2:$J$91,9,FALSE()),""))</f>
      </c>
    </row>
    <row r="3659">
      <c r="F3659">
        <f>IF(DATOS!$A3659="","",DATOS!$A3659&amp;"|"&amp;DATOS!$D3659&amp;"|"&amp;DATOS!$E3659&amp;"|"&amp;DATOS!$I3659)</f>
      </c>
      <c r="G3659">
        <f>IF(DATOS!$A3659="",0,IF(CONFIG_METADATA!$B$4&lt;&gt;"OR+EX",--(DATOS!$G3659=CONFIG_METADATA!$B$4),IF(DATOS!$G3659="EX",1,IF(DATOS!$G3659="OR",--(COUNTIFS(nNIA,DATOS!$A3659,nCURSO,DATOS!$D3659,nESPEC,DATOS!$E3659,nASIG,DATOS!$I3659,nEVAL,"EX")=0),0))))</f>
      </c>
      <c r="H3659">
        <f>IF(DATOS!$G3659&lt;&gt;"EX",0,--(COUNTIFS(nNIA,DATOS!$A3659,nCURSO,DATOS!$D3659,nESPEC,DATOS!$E3659,nASIG,DATOS!$I3659,nEVAL,"OR")=0))</f>
      </c>
      <c r="I3659">
        <f>IF(DATOS!$I3659="","",IFERROR(VLOOKUP(DATOS!$I3659,CONFIG_ASIGNATURAS!$B$2:$J$91,9,FALSE()),""))</f>
      </c>
    </row>
    <row r="3660">
      <c r="F3660">
        <f>IF(DATOS!$A3660="","",DATOS!$A3660&amp;"|"&amp;DATOS!$D3660&amp;"|"&amp;DATOS!$E3660&amp;"|"&amp;DATOS!$I3660)</f>
      </c>
      <c r="G3660">
        <f>IF(DATOS!$A3660="",0,IF(CONFIG_METADATA!$B$4&lt;&gt;"OR+EX",--(DATOS!$G3660=CONFIG_METADATA!$B$4),IF(DATOS!$G3660="EX",1,IF(DATOS!$G3660="OR",--(COUNTIFS(nNIA,DATOS!$A3660,nCURSO,DATOS!$D3660,nESPEC,DATOS!$E3660,nASIG,DATOS!$I3660,nEVAL,"EX")=0),0))))</f>
      </c>
      <c r="H3660">
        <f>IF(DATOS!$G3660&lt;&gt;"EX",0,--(COUNTIFS(nNIA,DATOS!$A3660,nCURSO,DATOS!$D3660,nESPEC,DATOS!$E3660,nASIG,DATOS!$I3660,nEVAL,"OR")=0))</f>
      </c>
      <c r="I3660">
        <f>IF(DATOS!$I3660="","",IFERROR(VLOOKUP(DATOS!$I3660,CONFIG_ASIGNATURAS!$B$2:$J$91,9,FALSE()),""))</f>
      </c>
    </row>
    <row r="3661">
      <c r="F3661">
        <f>IF(DATOS!$A3661="","",DATOS!$A3661&amp;"|"&amp;DATOS!$D3661&amp;"|"&amp;DATOS!$E3661&amp;"|"&amp;DATOS!$I3661)</f>
      </c>
      <c r="G3661">
        <f>IF(DATOS!$A3661="",0,IF(CONFIG_METADATA!$B$4&lt;&gt;"OR+EX",--(DATOS!$G3661=CONFIG_METADATA!$B$4),IF(DATOS!$G3661="EX",1,IF(DATOS!$G3661="OR",--(COUNTIFS(nNIA,DATOS!$A3661,nCURSO,DATOS!$D3661,nESPEC,DATOS!$E3661,nASIG,DATOS!$I3661,nEVAL,"EX")=0),0))))</f>
      </c>
      <c r="H3661">
        <f>IF(DATOS!$G3661&lt;&gt;"EX",0,--(COUNTIFS(nNIA,DATOS!$A3661,nCURSO,DATOS!$D3661,nESPEC,DATOS!$E3661,nASIG,DATOS!$I3661,nEVAL,"OR")=0))</f>
      </c>
      <c r="I3661">
        <f>IF(DATOS!$I3661="","",IFERROR(VLOOKUP(DATOS!$I3661,CONFIG_ASIGNATURAS!$B$2:$J$91,9,FALSE()),""))</f>
      </c>
    </row>
    <row r="3662">
      <c r="F3662">
        <f>IF(DATOS!$A3662="","",DATOS!$A3662&amp;"|"&amp;DATOS!$D3662&amp;"|"&amp;DATOS!$E3662&amp;"|"&amp;DATOS!$I3662)</f>
      </c>
      <c r="G3662">
        <f>IF(DATOS!$A3662="",0,IF(CONFIG_METADATA!$B$4&lt;&gt;"OR+EX",--(DATOS!$G3662=CONFIG_METADATA!$B$4),IF(DATOS!$G3662="EX",1,IF(DATOS!$G3662="OR",--(COUNTIFS(nNIA,DATOS!$A3662,nCURSO,DATOS!$D3662,nESPEC,DATOS!$E3662,nASIG,DATOS!$I3662,nEVAL,"EX")=0),0))))</f>
      </c>
      <c r="H3662">
        <f>IF(DATOS!$G3662&lt;&gt;"EX",0,--(COUNTIFS(nNIA,DATOS!$A3662,nCURSO,DATOS!$D3662,nESPEC,DATOS!$E3662,nASIG,DATOS!$I3662,nEVAL,"OR")=0))</f>
      </c>
      <c r="I3662">
        <f>IF(DATOS!$I3662="","",IFERROR(VLOOKUP(DATOS!$I3662,CONFIG_ASIGNATURAS!$B$2:$J$91,9,FALSE()),""))</f>
      </c>
    </row>
    <row r="3663">
      <c r="F3663">
        <f>IF(DATOS!$A3663="","",DATOS!$A3663&amp;"|"&amp;DATOS!$D3663&amp;"|"&amp;DATOS!$E3663&amp;"|"&amp;DATOS!$I3663)</f>
      </c>
      <c r="G3663">
        <f>IF(DATOS!$A3663="",0,IF(CONFIG_METADATA!$B$4&lt;&gt;"OR+EX",--(DATOS!$G3663=CONFIG_METADATA!$B$4),IF(DATOS!$G3663="EX",1,IF(DATOS!$G3663="OR",--(COUNTIFS(nNIA,DATOS!$A3663,nCURSO,DATOS!$D3663,nESPEC,DATOS!$E3663,nASIG,DATOS!$I3663,nEVAL,"EX")=0),0))))</f>
      </c>
      <c r="H3663">
        <f>IF(DATOS!$G3663&lt;&gt;"EX",0,--(COUNTIFS(nNIA,DATOS!$A3663,nCURSO,DATOS!$D3663,nESPEC,DATOS!$E3663,nASIG,DATOS!$I3663,nEVAL,"OR")=0))</f>
      </c>
      <c r="I3663">
        <f>IF(DATOS!$I3663="","",IFERROR(VLOOKUP(DATOS!$I3663,CONFIG_ASIGNATURAS!$B$2:$J$91,9,FALSE()),""))</f>
      </c>
    </row>
    <row r="3664">
      <c r="F3664">
        <f>IF(DATOS!$A3664="","",DATOS!$A3664&amp;"|"&amp;DATOS!$D3664&amp;"|"&amp;DATOS!$E3664&amp;"|"&amp;DATOS!$I3664)</f>
      </c>
      <c r="G3664">
        <f>IF(DATOS!$A3664="",0,IF(CONFIG_METADATA!$B$4&lt;&gt;"OR+EX",--(DATOS!$G3664=CONFIG_METADATA!$B$4),IF(DATOS!$G3664="EX",1,IF(DATOS!$G3664="OR",--(COUNTIFS(nNIA,DATOS!$A3664,nCURSO,DATOS!$D3664,nESPEC,DATOS!$E3664,nASIG,DATOS!$I3664,nEVAL,"EX")=0),0))))</f>
      </c>
      <c r="H3664">
        <f>IF(DATOS!$G3664&lt;&gt;"EX",0,--(COUNTIFS(nNIA,DATOS!$A3664,nCURSO,DATOS!$D3664,nESPEC,DATOS!$E3664,nASIG,DATOS!$I3664,nEVAL,"OR")=0))</f>
      </c>
      <c r="I3664">
        <f>IF(DATOS!$I3664="","",IFERROR(VLOOKUP(DATOS!$I3664,CONFIG_ASIGNATURAS!$B$2:$J$91,9,FALSE()),""))</f>
      </c>
    </row>
    <row r="3665">
      <c r="F3665">
        <f>IF(DATOS!$A3665="","",DATOS!$A3665&amp;"|"&amp;DATOS!$D3665&amp;"|"&amp;DATOS!$E3665&amp;"|"&amp;DATOS!$I3665)</f>
      </c>
      <c r="G3665">
        <f>IF(DATOS!$A3665="",0,IF(CONFIG_METADATA!$B$4&lt;&gt;"OR+EX",--(DATOS!$G3665=CONFIG_METADATA!$B$4),IF(DATOS!$G3665="EX",1,IF(DATOS!$G3665="OR",--(COUNTIFS(nNIA,DATOS!$A3665,nCURSO,DATOS!$D3665,nESPEC,DATOS!$E3665,nASIG,DATOS!$I3665,nEVAL,"EX")=0),0))))</f>
      </c>
      <c r="H3665">
        <f>IF(DATOS!$G3665&lt;&gt;"EX",0,--(COUNTIFS(nNIA,DATOS!$A3665,nCURSO,DATOS!$D3665,nESPEC,DATOS!$E3665,nASIG,DATOS!$I3665,nEVAL,"OR")=0))</f>
      </c>
      <c r="I3665">
        <f>IF(DATOS!$I3665="","",IFERROR(VLOOKUP(DATOS!$I3665,CONFIG_ASIGNATURAS!$B$2:$J$91,9,FALSE()),""))</f>
      </c>
    </row>
    <row r="3666">
      <c r="F3666">
        <f>IF(DATOS!$A3666="","",DATOS!$A3666&amp;"|"&amp;DATOS!$D3666&amp;"|"&amp;DATOS!$E3666&amp;"|"&amp;DATOS!$I3666)</f>
      </c>
      <c r="G3666">
        <f>IF(DATOS!$A3666="",0,IF(CONFIG_METADATA!$B$4&lt;&gt;"OR+EX",--(DATOS!$G3666=CONFIG_METADATA!$B$4),IF(DATOS!$G3666="EX",1,IF(DATOS!$G3666="OR",--(COUNTIFS(nNIA,DATOS!$A3666,nCURSO,DATOS!$D3666,nESPEC,DATOS!$E3666,nASIG,DATOS!$I3666,nEVAL,"EX")=0),0))))</f>
      </c>
      <c r="H3666">
        <f>IF(DATOS!$G3666&lt;&gt;"EX",0,--(COUNTIFS(nNIA,DATOS!$A3666,nCURSO,DATOS!$D3666,nESPEC,DATOS!$E3666,nASIG,DATOS!$I3666,nEVAL,"OR")=0))</f>
      </c>
      <c r="I3666">
        <f>IF(DATOS!$I3666="","",IFERROR(VLOOKUP(DATOS!$I3666,CONFIG_ASIGNATURAS!$B$2:$J$91,9,FALSE()),""))</f>
      </c>
    </row>
    <row r="3667">
      <c r="F3667">
        <f>IF(DATOS!$A3667="","",DATOS!$A3667&amp;"|"&amp;DATOS!$D3667&amp;"|"&amp;DATOS!$E3667&amp;"|"&amp;DATOS!$I3667)</f>
      </c>
      <c r="G3667">
        <f>IF(DATOS!$A3667="",0,IF(CONFIG_METADATA!$B$4&lt;&gt;"OR+EX",--(DATOS!$G3667=CONFIG_METADATA!$B$4),IF(DATOS!$G3667="EX",1,IF(DATOS!$G3667="OR",--(COUNTIFS(nNIA,DATOS!$A3667,nCURSO,DATOS!$D3667,nESPEC,DATOS!$E3667,nASIG,DATOS!$I3667,nEVAL,"EX")=0),0))))</f>
      </c>
      <c r="H3667">
        <f>IF(DATOS!$G3667&lt;&gt;"EX",0,--(COUNTIFS(nNIA,DATOS!$A3667,nCURSO,DATOS!$D3667,nESPEC,DATOS!$E3667,nASIG,DATOS!$I3667,nEVAL,"OR")=0))</f>
      </c>
      <c r="I3667">
        <f>IF(DATOS!$I3667="","",IFERROR(VLOOKUP(DATOS!$I3667,CONFIG_ASIGNATURAS!$B$2:$J$91,9,FALSE()),""))</f>
      </c>
    </row>
    <row r="3668">
      <c r="F3668">
        <f>IF(DATOS!$A3668="","",DATOS!$A3668&amp;"|"&amp;DATOS!$D3668&amp;"|"&amp;DATOS!$E3668&amp;"|"&amp;DATOS!$I3668)</f>
      </c>
      <c r="G3668">
        <f>IF(DATOS!$A3668="",0,IF(CONFIG_METADATA!$B$4&lt;&gt;"OR+EX",--(DATOS!$G3668=CONFIG_METADATA!$B$4),IF(DATOS!$G3668="EX",1,IF(DATOS!$G3668="OR",--(COUNTIFS(nNIA,DATOS!$A3668,nCURSO,DATOS!$D3668,nESPEC,DATOS!$E3668,nASIG,DATOS!$I3668,nEVAL,"EX")=0),0))))</f>
      </c>
      <c r="H3668">
        <f>IF(DATOS!$G3668&lt;&gt;"EX",0,--(COUNTIFS(nNIA,DATOS!$A3668,nCURSO,DATOS!$D3668,nESPEC,DATOS!$E3668,nASIG,DATOS!$I3668,nEVAL,"OR")=0))</f>
      </c>
      <c r="I3668">
        <f>IF(DATOS!$I3668="","",IFERROR(VLOOKUP(DATOS!$I3668,CONFIG_ASIGNATURAS!$B$2:$J$91,9,FALSE()),""))</f>
      </c>
    </row>
    <row r="3669">
      <c r="F3669">
        <f>IF(DATOS!$A3669="","",DATOS!$A3669&amp;"|"&amp;DATOS!$D3669&amp;"|"&amp;DATOS!$E3669&amp;"|"&amp;DATOS!$I3669)</f>
      </c>
      <c r="G3669">
        <f>IF(DATOS!$A3669="",0,IF(CONFIG_METADATA!$B$4&lt;&gt;"OR+EX",--(DATOS!$G3669=CONFIG_METADATA!$B$4),IF(DATOS!$G3669="EX",1,IF(DATOS!$G3669="OR",--(COUNTIFS(nNIA,DATOS!$A3669,nCURSO,DATOS!$D3669,nESPEC,DATOS!$E3669,nASIG,DATOS!$I3669,nEVAL,"EX")=0),0))))</f>
      </c>
      <c r="H3669">
        <f>IF(DATOS!$G3669&lt;&gt;"EX",0,--(COUNTIFS(nNIA,DATOS!$A3669,nCURSO,DATOS!$D3669,nESPEC,DATOS!$E3669,nASIG,DATOS!$I3669,nEVAL,"OR")=0))</f>
      </c>
      <c r="I3669">
        <f>IF(DATOS!$I3669="","",IFERROR(VLOOKUP(DATOS!$I3669,CONFIG_ASIGNATURAS!$B$2:$J$91,9,FALSE()),""))</f>
      </c>
    </row>
    <row r="3670">
      <c r="F3670">
        <f>IF(DATOS!$A3670="","",DATOS!$A3670&amp;"|"&amp;DATOS!$D3670&amp;"|"&amp;DATOS!$E3670&amp;"|"&amp;DATOS!$I3670)</f>
      </c>
      <c r="G3670">
        <f>IF(DATOS!$A3670="",0,IF(CONFIG_METADATA!$B$4&lt;&gt;"OR+EX",--(DATOS!$G3670=CONFIG_METADATA!$B$4),IF(DATOS!$G3670="EX",1,IF(DATOS!$G3670="OR",--(COUNTIFS(nNIA,DATOS!$A3670,nCURSO,DATOS!$D3670,nESPEC,DATOS!$E3670,nASIG,DATOS!$I3670,nEVAL,"EX")=0),0))))</f>
      </c>
      <c r="H3670">
        <f>IF(DATOS!$G3670&lt;&gt;"EX",0,--(COUNTIFS(nNIA,DATOS!$A3670,nCURSO,DATOS!$D3670,nESPEC,DATOS!$E3670,nASIG,DATOS!$I3670,nEVAL,"OR")=0))</f>
      </c>
      <c r="I3670">
        <f>IF(DATOS!$I3670="","",IFERROR(VLOOKUP(DATOS!$I3670,CONFIG_ASIGNATURAS!$B$2:$J$91,9,FALSE()),""))</f>
      </c>
    </row>
    <row r="3671">
      <c r="F3671">
        <f>IF(DATOS!$A3671="","",DATOS!$A3671&amp;"|"&amp;DATOS!$D3671&amp;"|"&amp;DATOS!$E3671&amp;"|"&amp;DATOS!$I3671)</f>
      </c>
      <c r="G3671">
        <f>IF(DATOS!$A3671="",0,IF(CONFIG_METADATA!$B$4&lt;&gt;"OR+EX",--(DATOS!$G3671=CONFIG_METADATA!$B$4),IF(DATOS!$G3671="EX",1,IF(DATOS!$G3671="OR",--(COUNTIFS(nNIA,DATOS!$A3671,nCURSO,DATOS!$D3671,nESPEC,DATOS!$E3671,nASIG,DATOS!$I3671,nEVAL,"EX")=0),0))))</f>
      </c>
      <c r="H3671">
        <f>IF(DATOS!$G3671&lt;&gt;"EX",0,--(COUNTIFS(nNIA,DATOS!$A3671,nCURSO,DATOS!$D3671,nESPEC,DATOS!$E3671,nASIG,DATOS!$I3671,nEVAL,"OR")=0))</f>
      </c>
      <c r="I3671">
        <f>IF(DATOS!$I3671="","",IFERROR(VLOOKUP(DATOS!$I3671,CONFIG_ASIGNATURAS!$B$2:$J$91,9,FALSE()),""))</f>
      </c>
    </row>
    <row r="3672">
      <c r="F3672">
        <f>IF(DATOS!$A3672="","",DATOS!$A3672&amp;"|"&amp;DATOS!$D3672&amp;"|"&amp;DATOS!$E3672&amp;"|"&amp;DATOS!$I3672)</f>
      </c>
      <c r="G3672">
        <f>IF(DATOS!$A3672="",0,IF(CONFIG_METADATA!$B$4&lt;&gt;"OR+EX",--(DATOS!$G3672=CONFIG_METADATA!$B$4),IF(DATOS!$G3672="EX",1,IF(DATOS!$G3672="OR",--(COUNTIFS(nNIA,DATOS!$A3672,nCURSO,DATOS!$D3672,nESPEC,DATOS!$E3672,nASIG,DATOS!$I3672,nEVAL,"EX")=0),0))))</f>
      </c>
      <c r="H3672">
        <f>IF(DATOS!$G3672&lt;&gt;"EX",0,--(COUNTIFS(nNIA,DATOS!$A3672,nCURSO,DATOS!$D3672,nESPEC,DATOS!$E3672,nASIG,DATOS!$I3672,nEVAL,"OR")=0))</f>
      </c>
      <c r="I3672">
        <f>IF(DATOS!$I3672="","",IFERROR(VLOOKUP(DATOS!$I3672,CONFIG_ASIGNATURAS!$B$2:$J$91,9,FALSE()),""))</f>
      </c>
    </row>
    <row r="3673">
      <c r="F3673">
        <f>IF(DATOS!$A3673="","",DATOS!$A3673&amp;"|"&amp;DATOS!$D3673&amp;"|"&amp;DATOS!$E3673&amp;"|"&amp;DATOS!$I3673)</f>
      </c>
      <c r="G3673">
        <f>IF(DATOS!$A3673="",0,IF(CONFIG_METADATA!$B$4&lt;&gt;"OR+EX",--(DATOS!$G3673=CONFIG_METADATA!$B$4),IF(DATOS!$G3673="EX",1,IF(DATOS!$G3673="OR",--(COUNTIFS(nNIA,DATOS!$A3673,nCURSO,DATOS!$D3673,nESPEC,DATOS!$E3673,nASIG,DATOS!$I3673,nEVAL,"EX")=0),0))))</f>
      </c>
      <c r="H3673">
        <f>IF(DATOS!$G3673&lt;&gt;"EX",0,--(COUNTIFS(nNIA,DATOS!$A3673,nCURSO,DATOS!$D3673,nESPEC,DATOS!$E3673,nASIG,DATOS!$I3673,nEVAL,"OR")=0))</f>
      </c>
      <c r="I3673">
        <f>IF(DATOS!$I3673="","",IFERROR(VLOOKUP(DATOS!$I3673,CONFIG_ASIGNATURAS!$B$2:$J$91,9,FALSE()),""))</f>
      </c>
    </row>
    <row r="3674">
      <c r="F3674">
        <f>IF(DATOS!$A3674="","",DATOS!$A3674&amp;"|"&amp;DATOS!$D3674&amp;"|"&amp;DATOS!$E3674&amp;"|"&amp;DATOS!$I3674)</f>
      </c>
      <c r="G3674">
        <f>IF(DATOS!$A3674="",0,IF(CONFIG_METADATA!$B$4&lt;&gt;"OR+EX",--(DATOS!$G3674=CONFIG_METADATA!$B$4),IF(DATOS!$G3674="EX",1,IF(DATOS!$G3674="OR",--(COUNTIFS(nNIA,DATOS!$A3674,nCURSO,DATOS!$D3674,nESPEC,DATOS!$E3674,nASIG,DATOS!$I3674,nEVAL,"EX")=0),0))))</f>
      </c>
      <c r="H3674">
        <f>IF(DATOS!$G3674&lt;&gt;"EX",0,--(COUNTIFS(nNIA,DATOS!$A3674,nCURSO,DATOS!$D3674,nESPEC,DATOS!$E3674,nASIG,DATOS!$I3674,nEVAL,"OR")=0))</f>
      </c>
      <c r="I3674">
        <f>IF(DATOS!$I3674="","",IFERROR(VLOOKUP(DATOS!$I3674,CONFIG_ASIGNATURAS!$B$2:$J$91,9,FALSE()),""))</f>
      </c>
    </row>
    <row r="3675">
      <c r="F3675">
        <f>IF(DATOS!$A3675="","",DATOS!$A3675&amp;"|"&amp;DATOS!$D3675&amp;"|"&amp;DATOS!$E3675&amp;"|"&amp;DATOS!$I3675)</f>
      </c>
      <c r="G3675">
        <f>IF(DATOS!$A3675="",0,IF(CONFIG_METADATA!$B$4&lt;&gt;"OR+EX",--(DATOS!$G3675=CONFIG_METADATA!$B$4),IF(DATOS!$G3675="EX",1,IF(DATOS!$G3675="OR",--(COUNTIFS(nNIA,DATOS!$A3675,nCURSO,DATOS!$D3675,nESPEC,DATOS!$E3675,nASIG,DATOS!$I3675,nEVAL,"EX")=0),0))))</f>
      </c>
      <c r="H3675">
        <f>IF(DATOS!$G3675&lt;&gt;"EX",0,--(COUNTIFS(nNIA,DATOS!$A3675,nCURSO,DATOS!$D3675,nESPEC,DATOS!$E3675,nASIG,DATOS!$I3675,nEVAL,"OR")=0))</f>
      </c>
      <c r="I3675">
        <f>IF(DATOS!$I3675="","",IFERROR(VLOOKUP(DATOS!$I3675,CONFIG_ASIGNATURAS!$B$2:$J$91,9,FALSE()),""))</f>
      </c>
    </row>
    <row r="3676">
      <c r="F3676">
        <f>IF(DATOS!$A3676="","",DATOS!$A3676&amp;"|"&amp;DATOS!$D3676&amp;"|"&amp;DATOS!$E3676&amp;"|"&amp;DATOS!$I3676)</f>
      </c>
      <c r="G3676">
        <f>IF(DATOS!$A3676="",0,IF(CONFIG_METADATA!$B$4&lt;&gt;"OR+EX",--(DATOS!$G3676=CONFIG_METADATA!$B$4),IF(DATOS!$G3676="EX",1,IF(DATOS!$G3676="OR",--(COUNTIFS(nNIA,DATOS!$A3676,nCURSO,DATOS!$D3676,nESPEC,DATOS!$E3676,nASIG,DATOS!$I3676,nEVAL,"EX")=0),0))))</f>
      </c>
      <c r="H3676">
        <f>IF(DATOS!$G3676&lt;&gt;"EX",0,--(COUNTIFS(nNIA,DATOS!$A3676,nCURSO,DATOS!$D3676,nESPEC,DATOS!$E3676,nASIG,DATOS!$I3676,nEVAL,"OR")=0))</f>
      </c>
      <c r="I3676">
        <f>IF(DATOS!$I3676="","",IFERROR(VLOOKUP(DATOS!$I3676,CONFIG_ASIGNATURAS!$B$2:$J$91,9,FALSE()),""))</f>
      </c>
    </row>
    <row r="3677">
      <c r="F3677">
        <f>IF(DATOS!$A3677="","",DATOS!$A3677&amp;"|"&amp;DATOS!$D3677&amp;"|"&amp;DATOS!$E3677&amp;"|"&amp;DATOS!$I3677)</f>
      </c>
      <c r="G3677">
        <f>IF(DATOS!$A3677="",0,IF(CONFIG_METADATA!$B$4&lt;&gt;"OR+EX",--(DATOS!$G3677=CONFIG_METADATA!$B$4),IF(DATOS!$G3677="EX",1,IF(DATOS!$G3677="OR",--(COUNTIFS(nNIA,DATOS!$A3677,nCURSO,DATOS!$D3677,nESPEC,DATOS!$E3677,nASIG,DATOS!$I3677,nEVAL,"EX")=0),0))))</f>
      </c>
      <c r="H3677">
        <f>IF(DATOS!$G3677&lt;&gt;"EX",0,--(COUNTIFS(nNIA,DATOS!$A3677,nCURSO,DATOS!$D3677,nESPEC,DATOS!$E3677,nASIG,DATOS!$I3677,nEVAL,"OR")=0))</f>
      </c>
      <c r="I3677">
        <f>IF(DATOS!$I3677="","",IFERROR(VLOOKUP(DATOS!$I3677,CONFIG_ASIGNATURAS!$B$2:$J$91,9,FALSE()),""))</f>
      </c>
    </row>
    <row r="3678">
      <c r="F3678">
        <f>IF(DATOS!$A3678="","",DATOS!$A3678&amp;"|"&amp;DATOS!$D3678&amp;"|"&amp;DATOS!$E3678&amp;"|"&amp;DATOS!$I3678)</f>
      </c>
      <c r="G3678">
        <f>IF(DATOS!$A3678="",0,IF(CONFIG_METADATA!$B$4&lt;&gt;"OR+EX",--(DATOS!$G3678=CONFIG_METADATA!$B$4),IF(DATOS!$G3678="EX",1,IF(DATOS!$G3678="OR",--(COUNTIFS(nNIA,DATOS!$A3678,nCURSO,DATOS!$D3678,nESPEC,DATOS!$E3678,nASIG,DATOS!$I3678,nEVAL,"EX")=0),0))))</f>
      </c>
      <c r="H3678">
        <f>IF(DATOS!$G3678&lt;&gt;"EX",0,--(COUNTIFS(nNIA,DATOS!$A3678,nCURSO,DATOS!$D3678,nESPEC,DATOS!$E3678,nASIG,DATOS!$I3678,nEVAL,"OR")=0))</f>
      </c>
      <c r="I3678">
        <f>IF(DATOS!$I3678="","",IFERROR(VLOOKUP(DATOS!$I3678,CONFIG_ASIGNATURAS!$B$2:$J$91,9,FALSE()),""))</f>
      </c>
    </row>
    <row r="3679">
      <c r="F3679">
        <f>IF(DATOS!$A3679="","",DATOS!$A3679&amp;"|"&amp;DATOS!$D3679&amp;"|"&amp;DATOS!$E3679&amp;"|"&amp;DATOS!$I3679)</f>
      </c>
      <c r="G3679">
        <f>IF(DATOS!$A3679="",0,IF(CONFIG_METADATA!$B$4&lt;&gt;"OR+EX",--(DATOS!$G3679=CONFIG_METADATA!$B$4),IF(DATOS!$G3679="EX",1,IF(DATOS!$G3679="OR",--(COUNTIFS(nNIA,DATOS!$A3679,nCURSO,DATOS!$D3679,nESPEC,DATOS!$E3679,nASIG,DATOS!$I3679,nEVAL,"EX")=0),0))))</f>
      </c>
      <c r="H3679">
        <f>IF(DATOS!$G3679&lt;&gt;"EX",0,--(COUNTIFS(nNIA,DATOS!$A3679,nCURSO,DATOS!$D3679,nESPEC,DATOS!$E3679,nASIG,DATOS!$I3679,nEVAL,"OR")=0))</f>
      </c>
      <c r="I3679">
        <f>IF(DATOS!$I3679="","",IFERROR(VLOOKUP(DATOS!$I3679,CONFIG_ASIGNATURAS!$B$2:$J$91,9,FALSE()),""))</f>
      </c>
    </row>
    <row r="3680">
      <c r="F3680">
        <f>IF(DATOS!$A3680="","",DATOS!$A3680&amp;"|"&amp;DATOS!$D3680&amp;"|"&amp;DATOS!$E3680&amp;"|"&amp;DATOS!$I3680)</f>
      </c>
      <c r="G3680">
        <f>IF(DATOS!$A3680="",0,IF(CONFIG_METADATA!$B$4&lt;&gt;"OR+EX",--(DATOS!$G3680=CONFIG_METADATA!$B$4),IF(DATOS!$G3680="EX",1,IF(DATOS!$G3680="OR",--(COUNTIFS(nNIA,DATOS!$A3680,nCURSO,DATOS!$D3680,nESPEC,DATOS!$E3680,nASIG,DATOS!$I3680,nEVAL,"EX")=0),0))))</f>
      </c>
      <c r="H3680">
        <f>IF(DATOS!$G3680&lt;&gt;"EX",0,--(COUNTIFS(nNIA,DATOS!$A3680,nCURSO,DATOS!$D3680,nESPEC,DATOS!$E3680,nASIG,DATOS!$I3680,nEVAL,"OR")=0))</f>
      </c>
      <c r="I3680">
        <f>IF(DATOS!$I3680="","",IFERROR(VLOOKUP(DATOS!$I3680,CONFIG_ASIGNATURAS!$B$2:$J$91,9,FALSE()),""))</f>
      </c>
    </row>
    <row r="3681">
      <c r="F3681">
        <f>IF(DATOS!$A3681="","",DATOS!$A3681&amp;"|"&amp;DATOS!$D3681&amp;"|"&amp;DATOS!$E3681&amp;"|"&amp;DATOS!$I3681)</f>
      </c>
      <c r="G3681">
        <f>IF(DATOS!$A3681="",0,IF(CONFIG_METADATA!$B$4&lt;&gt;"OR+EX",--(DATOS!$G3681=CONFIG_METADATA!$B$4),IF(DATOS!$G3681="EX",1,IF(DATOS!$G3681="OR",--(COUNTIFS(nNIA,DATOS!$A3681,nCURSO,DATOS!$D3681,nESPEC,DATOS!$E3681,nASIG,DATOS!$I3681,nEVAL,"EX")=0),0))))</f>
      </c>
      <c r="H3681">
        <f>IF(DATOS!$G3681&lt;&gt;"EX",0,--(COUNTIFS(nNIA,DATOS!$A3681,nCURSO,DATOS!$D3681,nESPEC,DATOS!$E3681,nASIG,DATOS!$I3681,nEVAL,"OR")=0))</f>
      </c>
      <c r="I3681">
        <f>IF(DATOS!$I3681="","",IFERROR(VLOOKUP(DATOS!$I3681,CONFIG_ASIGNATURAS!$B$2:$J$91,9,FALSE()),""))</f>
      </c>
    </row>
    <row r="3682">
      <c r="F3682">
        <f>IF(DATOS!$A3682="","",DATOS!$A3682&amp;"|"&amp;DATOS!$D3682&amp;"|"&amp;DATOS!$E3682&amp;"|"&amp;DATOS!$I3682)</f>
      </c>
      <c r="G3682">
        <f>IF(DATOS!$A3682="",0,IF(CONFIG_METADATA!$B$4&lt;&gt;"OR+EX",--(DATOS!$G3682=CONFIG_METADATA!$B$4),IF(DATOS!$G3682="EX",1,IF(DATOS!$G3682="OR",--(COUNTIFS(nNIA,DATOS!$A3682,nCURSO,DATOS!$D3682,nESPEC,DATOS!$E3682,nASIG,DATOS!$I3682,nEVAL,"EX")=0),0))))</f>
      </c>
      <c r="H3682">
        <f>IF(DATOS!$G3682&lt;&gt;"EX",0,--(COUNTIFS(nNIA,DATOS!$A3682,nCURSO,DATOS!$D3682,nESPEC,DATOS!$E3682,nASIG,DATOS!$I3682,nEVAL,"OR")=0))</f>
      </c>
      <c r="I3682">
        <f>IF(DATOS!$I3682="","",IFERROR(VLOOKUP(DATOS!$I3682,CONFIG_ASIGNATURAS!$B$2:$J$91,9,FALSE()),""))</f>
      </c>
    </row>
    <row r="3683">
      <c r="F3683">
        <f>IF(DATOS!$A3683="","",DATOS!$A3683&amp;"|"&amp;DATOS!$D3683&amp;"|"&amp;DATOS!$E3683&amp;"|"&amp;DATOS!$I3683)</f>
      </c>
      <c r="G3683">
        <f>IF(DATOS!$A3683="",0,IF(CONFIG_METADATA!$B$4&lt;&gt;"OR+EX",--(DATOS!$G3683=CONFIG_METADATA!$B$4),IF(DATOS!$G3683="EX",1,IF(DATOS!$G3683="OR",--(COUNTIFS(nNIA,DATOS!$A3683,nCURSO,DATOS!$D3683,nESPEC,DATOS!$E3683,nASIG,DATOS!$I3683,nEVAL,"EX")=0),0))))</f>
      </c>
      <c r="H3683">
        <f>IF(DATOS!$G3683&lt;&gt;"EX",0,--(COUNTIFS(nNIA,DATOS!$A3683,nCURSO,DATOS!$D3683,nESPEC,DATOS!$E3683,nASIG,DATOS!$I3683,nEVAL,"OR")=0))</f>
      </c>
      <c r="I3683">
        <f>IF(DATOS!$I3683="","",IFERROR(VLOOKUP(DATOS!$I3683,CONFIG_ASIGNATURAS!$B$2:$J$91,9,FALSE()),""))</f>
      </c>
    </row>
    <row r="3684">
      <c r="F3684">
        <f>IF(DATOS!$A3684="","",DATOS!$A3684&amp;"|"&amp;DATOS!$D3684&amp;"|"&amp;DATOS!$E3684&amp;"|"&amp;DATOS!$I3684)</f>
      </c>
      <c r="G3684">
        <f>IF(DATOS!$A3684="",0,IF(CONFIG_METADATA!$B$4&lt;&gt;"OR+EX",--(DATOS!$G3684=CONFIG_METADATA!$B$4),IF(DATOS!$G3684="EX",1,IF(DATOS!$G3684="OR",--(COUNTIFS(nNIA,DATOS!$A3684,nCURSO,DATOS!$D3684,nESPEC,DATOS!$E3684,nASIG,DATOS!$I3684,nEVAL,"EX")=0),0))))</f>
      </c>
      <c r="H3684">
        <f>IF(DATOS!$G3684&lt;&gt;"EX",0,--(COUNTIFS(nNIA,DATOS!$A3684,nCURSO,DATOS!$D3684,nESPEC,DATOS!$E3684,nASIG,DATOS!$I3684,nEVAL,"OR")=0))</f>
      </c>
      <c r="I3684">
        <f>IF(DATOS!$I3684="","",IFERROR(VLOOKUP(DATOS!$I3684,CONFIG_ASIGNATURAS!$B$2:$J$91,9,FALSE()),""))</f>
      </c>
    </row>
    <row r="3685">
      <c r="F3685">
        <f>IF(DATOS!$A3685="","",DATOS!$A3685&amp;"|"&amp;DATOS!$D3685&amp;"|"&amp;DATOS!$E3685&amp;"|"&amp;DATOS!$I3685)</f>
      </c>
      <c r="G3685">
        <f>IF(DATOS!$A3685="",0,IF(CONFIG_METADATA!$B$4&lt;&gt;"OR+EX",--(DATOS!$G3685=CONFIG_METADATA!$B$4),IF(DATOS!$G3685="EX",1,IF(DATOS!$G3685="OR",--(COUNTIFS(nNIA,DATOS!$A3685,nCURSO,DATOS!$D3685,nESPEC,DATOS!$E3685,nASIG,DATOS!$I3685,nEVAL,"EX")=0),0))))</f>
      </c>
      <c r="H3685">
        <f>IF(DATOS!$G3685&lt;&gt;"EX",0,--(COUNTIFS(nNIA,DATOS!$A3685,nCURSO,DATOS!$D3685,nESPEC,DATOS!$E3685,nASIG,DATOS!$I3685,nEVAL,"OR")=0))</f>
      </c>
      <c r="I3685">
        <f>IF(DATOS!$I3685="","",IFERROR(VLOOKUP(DATOS!$I3685,CONFIG_ASIGNATURAS!$B$2:$J$91,9,FALSE()),""))</f>
      </c>
    </row>
    <row r="3686">
      <c r="F3686">
        <f>IF(DATOS!$A3686="","",DATOS!$A3686&amp;"|"&amp;DATOS!$D3686&amp;"|"&amp;DATOS!$E3686&amp;"|"&amp;DATOS!$I3686)</f>
      </c>
      <c r="G3686">
        <f>IF(DATOS!$A3686="",0,IF(CONFIG_METADATA!$B$4&lt;&gt;"OR+EX",--(DATOS!$G3686=CONFIG_METADATA!$B$4),IF(DATOS!$G3686="EX",1,IF(DATOS!$G3686="OR",--(COUNTIFS(nNIA,DATOS!$A3686,nCURSO,DATOS!$D3686,nESPEC,DATOS!$E3686,nASIG,DATOS!$I3686,nEVAL,"EX")=0),0))))</f>
      </c>
      <c r="H3686">
        <f>IF(DATOS!$G3686&lt;&gt;"EX",0,--(COUNTIFS(nNIA,DATOS!$A3686,nCURSO,DATOS!$D3686,nESPEC,DATOS!$E3686,nASIG,DATOS!$I3686,nEVAL,"OR")=0))</f>
      </c>
      <c r="I3686">
        <f>IF(DATOS!$I3686="","",IFERROR(VLOOKUP(DATOS!$I3686,CONFIG_ASIGNATURAS!$B$2:$J$91,9,FALSE()),""))</f>
      </c>
    </row>
    <row r="3687">
      <c r="F3687">
        <f>IF(DATOS!$A3687="","",DATOS!$A3687&amp;"|"&amp;DATOS!$D3687&amp;"|"&amp;DATOS!$E3687&amp;"|"&amp;DATOS!$I3687)</f>
      </c>
      <c r="G3687">
        <f>IF(DATOS!$A3687="",0,IF(CONFIG_METADATA!$B$4&lt;&gt;"OR+EX",--(DATOS!$G3687=CONFIG_METADATA!$B$4),IF(DATOS!$G3687="EX",1,IF(DATOS!$G3687="OR",--(COUNTIFS(nNIA,DATOS!$A3687,nCURSO,DATOS!$D3687,nESPEC,DATOS!$E3687,nASIG,DATOS!$I3687,nEVAL,"EX")=0),0))))</f>
      </c>
      <c r="H3687">
        <f>IF(DATOS!$G3687&lt;&gt;"EX",0,--(COUNTIFS(nNIA,DATOS!$A3687,nCURSO,DATOS!$D3687,nESPEC,DATOS!$E3687,nASIG,DATOS!$I3687,nEVAL,"OR")=0))</f>
      </c>
      <c r="I3687">
        <f>IF(DATOS!$I3687="","",IFERROR(VLOOKUP(DATOS!$I3687,CONFIG_ASIGNATURAS!$B$2:$J$91,9,FALSE()),""))</f>
      </c>
    </row>
    <row r="3688">
      <c r="F3688">
        <f>IF(DATOS!$A3688="","",DATOS!$A3688&amp;"|"&amp;DATOS!$D3688&amp;"|"&amp;DATOS!$E3688&amp;"|"&amp;DATOS!$I3688)</f>
      </c>
      <c r="G3688">
        <f>IF(DATOS!$A3688="",0,IF(CONFIG_METADATA!$B$4&lt;&gt;"OR+EX",--(DATOS!$G3688=CONFIG_METADATA!$B$4),IF(DATOS!$G3688="EX",1,IF(DATOS!$G3688="OR",--(COUNTIFS(nNIA,DATOS!$A3688,nCURSO,DATOS!$D3688,nESPEC,DATOS!$E3688,nASIG,DATOS!$I3688,nEVAL,"EX")=0),0))))</f>
      </c>
      <c r="H3688">
        <f>IF(DATOS!$G3688&lt;&gt;"EX",0,--(COUNTIFS(nNIA,DATOS!$A3688,nCURSO,DATOS!$D3688,nESPEC,DATOS!$E3688,nASIG,DATOS!$I3688,nEVAL,"OR")=0))</f>
      </c>
      <c r="I3688">
        <f>IF(DATOS!$I3688="","",IFERROR(VLOOKUP(DATOS!$I3688,CONFIG_ASIGNATURAS!$B$2:$J$91,9,FALSE()),""))</f>
      </c>
    </row>
    <row r="3689">
      <c r="F3689">
        <f>IF(DATOS!$A3689="","",DATOS!$A3689&amp;"|"&amp;DATOS!$D3689&amp;"|"&amp;DATOS!$E3689&amp;"|"&amp;DATOS!$I3689)</f>
      </c>
      <c r="G3689">
        <f>IF(DATOS!$A3689="",0,IF(CONFIG_METADATA!$B$4&lt;&gt;"OR+EX",--(DATOS!$G3689=CONFIG_METADATA!$B$4),IF(DATOS!$G3689="EX",1,IF(DATOS!$G3689="OR",--(COUNTIFS(nNIA,DATOS!$A3689,nCURSO,DATOS!$D3689,nESPEC,DATOS!$E3689,nASIG,DATOS!$I3689,nEVAL,"EX")=0),0))))</f>
      </c>
      <c r="H3689">
        <f>IF(DATOS!$G3689&lt;&gt;"EX",0,--(COUNTIFS(nNIA,DATOS!$A3689,nCURSO,DATOS!$D3689,nESPEC,DATOS!$E3689,nASIG,DATOS!$I3689,nEVAL,"OR")=0))</f>
      </c>
      <c r="I3689">
        <f>IF(DATOS!$I3689="","",IFERROR(VLOOKUP(DATOS!$I3689,CONFIG_ASIGNATURAS!$B$2:$J$91,9,FALSE()),""))</f>
      </c>
    </row>
    <row r="3690">
      <c r="F3690">
        <f>IF(DATOS!$A3690="","",DATOS!$A3690&amp;"|"&amp;DATOS!$D3690&amp;"|"&amp;DATOS!$E3690&amp;"|"&amp;DATOS!$I3690)</f>
      </c>
      <c r="G3690">
        <f>IF(DATOS!$A3690="",0,IF(CONFIG_METADATA!$B$4&lt;&gt;"OR+EX",--(DATOS!$G3690=CONFIG_METADATA!$B$4),IF(DATOS!$G3690="EX",1,IF(DATOS!$G3690="OR",--(COUNTIFS(nNIA,DATOS!$A3690,nCURSO,DATOS!$D3690,nESPEC,DATOS!$E3690,nASIG,DATOS!$I3690,nEVAL,"EX")=0),0))))</f>
      </c>
      <c r="H3690">
        <f>IF(DATOS!$G3690&lt;&gt;"EX",0,--(COUNTIFS(nNIA,DATOS!$A3690,nCURSO,DATOS!$D3690,nESPEC,DATOS!$E3690,nASIG,DATOS!$I3690,nEVAL,"OR")=0))</f>
      </c>
      <c r="I3690">
        <f>IF(DATOS!$I3690="","",IFERROR(VLOOKUP(DATOS!$I3690,CONFIG_ASIGNATURAS!$B$2:$J$91,9,FALSE()),""))</f>
      </c>
    </row>
    <row r="3691">
      <c r="F3691">
        <f>IF(DATOS!$A3691="","",DATOS!$A3691&amp;"|"&amp;DATOS!$D3691&amp;"|"&amp;DATOS!$E3691&amp;"|"&amp;DATOS!$I3691)</f>
      </c>
      <c r="G3691">
        <f>IF(DATOS!$A3691="",0,IF(CONFIG_METADATA!$B$4&lt;&gt;"OR+EX",--(DATOS!$G3691=CONFIG_METADATA!$B$4),IF(DATOS!$G3691="EX",1,IF(DATOS!$G3691="OR",--(COUNTIFS(nNIA,DATOS!$A3691,nCURSO,DATOS!$D3691,nESPEC,DATOS!$E3691,nASIG,DATOS!$I3691,nEVAL,"EX")=0),0))))</f>
      </c>
      <c r="H3691">
        <f>IF(DATOS!$G3691&lt;&gt;"EX",0,--(COUNTIFS(nNIA,DATOS!$A3691,nCURSO,DATOS!$D3691,nESPEC,DATOS!$E3691,nASIG,DATOS!$I3691,nEVAL,"OR")=0))</f>
      </c>
      <c r="I3691">
        <f>IF(DATOS!$I3691="","",IFERROR(VLOOKUP(DATOS!$I3691,CONFIG_ASIGNATURAS!$B$2:$J$91,9,FALSE()),""))</f>
      </c>
    </row>
    <row r="3692">
      <c r="F3692">
        <f>IF(DATOS!$A3692="","",DATOS!$A3692&amp;"|"&amp;DATOS!$D3692&amp;"|"&amp;DATOS!$E3692&amp;"|"&amp;DATOS!$I3692)</f>
      </c>
      <c r="G3692">
        <f>IF(DATOS!$A3692="",0,IF(CONFIG_METADATA!$B$4&lt;&gt;"OR+EX",--(DATOS!$G3692=CONFIG_METADATA!$B$4),IF(DATOS!$G3692="EX",1,IF(DATOS!$G3692="OR",--(COUNTIFS(nNIA,DATOS!$A3692,nCURSO,DATOS!$D3692,nESPEC,DATOS!$E3692,nASIG,DATOS!$I3692,nEVAL,"EX")=0),0))))</f>
      </c>
      <c r="H3692">
        <f>IF(DATOS!$G3692&lt;&gt;"EX",0,--(COUNTIFS(nNIA,DATOS!$A3692,nCURSO,DATOS!$D3692,nESPEC,DATOS!$E3692,nASIG,DATOS!$I3692,nEVAL,"OR")=0))</f>
      </c>
      <c r="I3692">
        <f>IF(DATOS!$I3692="","",IFERROR(VLOOKUP(DATOS!$I3692,CONFIG_ASIGNATURAS!$B$2:$J$91,9,FALSE()),""))</f>
      </c>
    </row>
    <row r="3693">
      <c r="F3693">
        <f>IF(DATOS!$A3693="","",DATOS!$A3693&amp;"|"&amp;DATOS!$D3693&amp;"|"&amp;DATOS!$E3693&amp;"|"&amp;DATOS!$I3693)</f>
      </c>
      <c r="G3693">
        <f>IF(DATOS!$A3693="",0,IF(CONFIG_METADATA!$B$4&lt;&gt;"OR+EX",--(DATOS!$G3693=CONFIG_METADATA!$B$4),IF(DATOS!$G3693="EX",1,IF(DATOS!$G3693="OR",--(COUNTIFS(nNIA,DATOS!$A3693,nCURSO,DATOS!$D3693,nESPEC,DATOS!$E3693,nASIG,DATOS!$I3693,nEVAL,"EX")=0),0))))</f>
      </c>
      <c r="H3693">
        <f>IF(DATOS!$G3693&lt;&gt;"EX",0,--(COUNTIFS(nNIA,DATOS!$A3693,nCURSO,DATOS!$D3693,nESPEC,DATOS!$E3693,nASIG,DATOS!$I3693,nEVAL,"OR")=0))</f>
      </c>
      <c r="I3693">
        <f>IF(DATOS!$I3693="","",IFERROR(VLOOKUP(DATOS!$I3693,CONFIG_ASIGNATURAS!$B$2:$J$91,9,FALSE()),""))</f>
      </c>
    </row>
    <row r="3694">
      <c r="F3694">
        <f>IF(DATOS!$A3694="","",DATOS!$A3694&amp;"|"&amp;DATOS!$D3694&amp;"|"&amp;DATOS!$E3694&amp;"|"&amp;DATOS!$I3694)</f>
      </c>
      <c r="G3694">
        <f>IF(DATOS!$A3694="",0,IF(CONFIG_METADATA!$B$4&lt;&gt;"OR+EX",--(DATOS!$G3694=CONFIG_METADATA!$B$4),IF(DATOS!$G3694="EX",1,IF(DATOS!$G3694="OR",--(COUNTIFS(nNIA,DATOS!$A3694,nCURSO,DATOS!$D3694,nESPEC,DATOS!$E3694,nASIG,DATOS!$I3694,nEVAL,"EX")=0),0))))</f>
      </c>
      <c r="H3694">
        <f>IF(DATOS!$G3694&lt;&gt;"EX",0,--(COUNTIFS(nNIA,DATOS!$A3694,nCURSO,DATOS!$D3694,nESPEC,DATOS!$E3694,nASIG,DATOS!$I3694,nEVAL,"OR")=0))</f>
      </c>
      <c r="I3694">
        <f>IF(DATOS!$I3694="","",IFERROR(VLOOKUP(DATOS!$I3694,CONFIG_ASIGNATURAS!$B$2:$J$91,9,FALSE()),""))</f>
      </c>
    </row>
    <row r="3695">
      <c r="F3695">
        <f>IF(DATOS!$A3695="","",DATOS!$A3695&amp;"|"&amp;DATOS!$D3695&amp;"|"&amp;DATOS!$E3695&amp;"|"&amp;DATOS!$I3695)</f>
      </c>
      <c r="G3695">
        <f>IF(DATOS!$A3695="",0,IF(CONFIG_METADATA!$B$4&lt;&gt;"OR+EX",--(DATOS!$G3695=CONFIG_METADATA!$B$4),IF(DATOS!$G3695="EX",1,IF(DATOS!$G3695="OR",--(COUNTIFS(nNIA,DATOS!$A3695,nCURSO,DATOS!$D3695,nESPEC,DATOS!$E3695,nASIG,DATOS!$I3695,nEVAL,"EX")=0),0))))</f>
      </c>
      <c r="H3695">
        <f>IF(DATOS!$G3695&lt;&gt;"EX",0,--(COUNTIFS(nNIA,DATOS!$A3695,nCURSO,DATOS!$D3695,nESPEC,DATOS!$E3695,nASIG,DATOS!$I3695,nEVAL,"OR")=0))</f>
      </c>
      <c r="I3695">
        <f>IF(DATOS!$I3695="","",IFERROR(VLOOKUP(DATOS!$I3695,CONFIG_ASIGNATURAS!$B$2:$J$91,9,FALSE()),""))</f>
      </c>
    </row>
    <row r="3696">
      <c r="F3696">
        <f>IF(DATOS!$A3696="","",DATOS!$A3696&amp;"|"&amp;DATOS!$D3696&amp;"|"&amp;DATOS!$E3696&amp;"|"&amp;DATOS!$I3696)</f>
      </c>
      <c r="G3696">
        <f>IF(DATOS!$A3696="",0,IF(CONFIG_METADATA!$B$4&lt;&gt;"OR+EX",--(DATOS!$G3696=CONFIG_METADATA!$B$4),IF(DATOS!$G3696="EX",1,IF(DATOS!$G3696="OR",--(COUNTIFS(nNIA,DATOS!$A3696,nCURSO,DATOS!$D3696,nESPEC,DATOS!$E3696,nASIG,DATOS!$I3696,nEVAL,"EX")=0),0))))</f>
      </c>
      <c r="H3696">
        <f>IF(DATOS!$G3696&lt;&gt;"EX",0,--(COUNTIFS(nNIA,DATOS!$A3696,nCURSO,DATOS!$D3696,nESPEC,DATOS!$E3696,nASIG,DATOS!$I3696,nEVAL,"OR")=0))</f>
      </c>
      <c r="I3696">
        <f>IF(DATOS!$I3696="","",IFERROR(VLOOKUP(DATOS!$I3696,CONFIG_ASIGNATURAS!$B$2:$J$91,9,FALSE()),""))</f>
      </c>
    </row>
    <row r="3697">
      <c r="F3697">
        <f>IF(DATOS!$A3697="","",DATOS!$A3697&amp;"|"&amp;DATOS!$D3697&amp;"|"&amp;DATOS!$E3697&amp;"|"&amp;DATOS!$I3697)</f>
      </c>
      <c r="G3697">
        <f>IF(DATOS!$A3697="",0,IF(CONFIG_METADATA!$B$4&lt;&gt;"OR+EX",--(DATOS!$G3697=CONFIG_METADATA!$B$4),IF(DATOS!$G3697="EX",1,IF(DATOS!$G3697="OR",--(COUNTIFS(nNIA,DATOS!$A3697,nCURSO,DATOS!$D3697,nESPEC,DATOS!$E3697,nASIG,DATOS!$I3697,nEVAL,"EX")=0),0))))</f>
      </c>
      <c r="H3697">
        <f>IF(DATOS!$G3697&lt;&gt;"EX",0,--(COUNTIFS(nNIA,DATOS!$A3697,nCURSO,DATOS!$D3697,nESPEC,DATOS!$E3697,nASIG,DATOS!$I3697,nEVAL,"OR")=0))</f>
      </c>
      <c r="I3697">
        <f>IF(DATOS!$I3697="","",IFERROR(VLOOKUP(DATOS!$I3697,CONFIG_ASIGNATURAS!$B$2:$J$91,9,FALSE()),""))</f>
      </c>
    </row>
    <row r="3698">
      <c r="F3698">
        <f>IF(DATOS!$A3698="","",DATOS!$A3698&amp;"|"&amp;DATOS!$D3698&amp;"|"&amp;DATOS!$E3698&amp;"|"&amp;DATOS!$I3698)</f>
      </c>
      <c r="G3698">
        <f>IF(DATOS!$A3698="",0,IF(CONFIG_METADATA!$B$4&lt;&gt;"OR+EX",--(DATOS!$G3698=CONFIG_METADATA!$B$4),IF(DATOS!$G3698="EX",1,IF(DATOS!$G3698="OR",--(COUNTIFS(nNIA,DATOS!$A3698,nCURSO,DATOS!$D3698,nESPEC,DATOS!$E3698,nASIG,DATOS!$I3698,nEVAL,"EX")=0),0))))</f>
      </c>
      <c r="H3698">
        <f>IF(DATOS!$G3698&lt;&gt;"EX",0,--(COUNTIFS(nNIA,DATOS!$A3698,nCURSO,DATOS!$D3698,nESPEC,DATOS!$E3698,nASIG,DATOS!$I3698,nEVAL,"OR")=0))</f>
      </c>
      <c r="I3698">
        <f>IF(DATOS!$I3698="","",IFERROR(VLOOKUP(DATOS!$I3698,CONFIG_ASIGNATURAS!$B$2:$J$91,9,FALSE()),""))</f>
      </c>
    </row>
    <row r="3699">
      <c r="F3699">
        <f>IF(DATOS!$A3699="","",DATOS!$A3699&amp;"|"&amp;DATOS!$D3699&amp;"|"&amp;DATOS!$E3699&amp;"|"&amp;DATOS!$I3699)</f>
      </c>
      <c r="G3699">
        <f>IF(DATOS!$A3699="",0,IF(CONFIG_METADATA!$B$4&lt;&gt;"OR+EX",--(DATOS!$G3699=CONFIG_METADATA!$B$4),IF(DATOS!$G3699="EX",1,IF(DATOS!$G3699="OR",--(COUNTIFS(nNIA,DATOS!$A3699,nCURSO,DATOS!$D3699,nESPEC,DATOS!$E3699,nASIG,DATOS!$I3699,nEVAL,"EX")=0),0))))</f>
      </c>
      <c r="H3699">
        <f>IF(DATOS!$G3699&lt;&gt;"EX",0,--(COUNTIFS(nNIA,DATOS!$A3699,nCURSO,DATOS!$D3699,nESPEC,DATOS!$E3699,nASIG,DATOS!$I3699,nEVAL,"OR")=0))</f>
      </c>
      <c r="I3699">
        <f>IF(DATOS!$I3699="","",IFERROR(VLOOKUP(DATOS!$I3699,CONFIG_ASIGNATURAS!$B$2:$J$91,9,FALSE()),""))</f>
      </c>
    </row>
    <row r="3700">
      <c r="F3700">
        <f>IF(DATOS!$A3700="","",DATOS!$A3700&amp;"|"&amp;DATOS!$D3700&amp;"|"&amp;DATOS!$E3700&amp;"|"&amp;DATOS!$I3700)</f>
      </c>
      <c r="G3700">
        <f>IF(DATOS!$A3700="",0,IF(CONFIG_METADATA!$B$4&lt;&gt;"OR+EX",--(DATOS!$G3700=CONFIG_METADATA!$B$4),IF(DATOS!$G3700="EX",1,IF(DATOS!$G3700="OR",--(COUNTIFS(nNIA,DATOS!$A3700,nCURSO,DATOS!$D3700,nESPEC,DATOS!$E3700,nASIG,DATOS!$I3700,nEVAL,"EX")=0),0))))</f>
      </c>
      <c r="H3700">
        <f>IF(DATOS!$G3700&lt;&gt;"EX",0,--(COUNTIFS(nNIA,DATOS!$A3700,nCURSO,DATOS!$D3700,nESPEC,DATOS!$E3700,nASIG,DATOS!$I3700,nEVAL,"OR")=0))</f>
      </c>
      <c r="I3700">
        <f>IF(DATOS!$I3700="","",IFERROR(VLOOKUP(DATOS!$I3700,CONFIG_ASIGNATURAS!$B$2:$J$91,9,FALSE()),""))</f>
      </c>
    </row>
    <row r="3701">
      <c r="F3701">
        <f>IF(DATOS!$A3701="","",DATOS!$A3701&amp;"|"&amp;DATOS!$D3701&amp;"|"&amp;DATOS!$E3701&amp;"|"&amp;DATOS!$I3701)</f>
      </c>
      <c r="G3701">
        <f>IF(DATOS!$A3701="",0,IF(CONFIG_METADATA!$B$4&lt;&gt;"OR+EX",--(DATOS!$G3701=CONFIG_METADATA!$B$4),IF(DATOS!$G3701="EX",1,IF(DATOS!$G3701="OR",--(COUNTIFS(nNIA,DATOS!$A3701,nCURSO,DATOS!$D3701,nESPEC,DATOS!$E3701,nASIG,DATOS!$I3701,nEVAL,"EX")=0),0))))</f>
      </c>
      <c r="H3701">
        <f>IF(DATOS!$G3701&lt;&gt;"EX",0,--(COUNTIFS(nNIA,DATOS!$A3701,nCURSO,DATOS!$D3701,nESPEC,DATOS!$E3701,nASIG,DATOS!$I3701,nEVAL,"OR")=0))</f>
      </c>
      <c r="I3701">
        <f>IF(DATOS!$I3701="","",IFERROR(VLOOKUP(DATOS!$I3701,CONFIG_ASIGNATURAS!$B$2:$J$91,9,FALSE()),""))</f>
      </c>
    </row>
    <row r="3702">
      <c r="F3702">
        <f>IF(DATOS!$A3702="","",DATOS!$A3702&amp;"|"&amp;DATOS!$D3702&amp;"|"&amp;DATOS!$E3702&amp;"|"&amp;DATOS!$I3702)</f>
      </c>
      <c r="G3702">
        <f>IF(DATOS!$A3702="",0,IF(CONFIG_METADATA!$B$4&lt;&gt;"OR+EX",--(DATOS!$G3702=CONFIG_METADATA!$B$4),IF(DATOS!$G3702="EX",1,IF(DATOS!$G3702="OR",--(COUNTIFS(nNIA,DATOS!$A3702,nCURSO,DATOS!$D3702,nESPEC,DATOS!$E3702,nASIG,DATOS!$I3702,nEVAL,"EX")=0),0))))</f>
      </c>
      <c r="H3702">
        <f>IF(DATOS!$G3702&lt;&gt;"EX",0,--(COUNTIFS(nNIA,DATOS!$A3702,nCURSO,DATOS!$D3702,nESPEC,DATOS!$E3702,nASIG,DATOS!$I3702,nEVAL,"OR")=0))</f>
      </c>
      <c r="I3702">
        <f>IF(DATOS!$I3702="","",IFERROR(VLOOKUP(DATOS!$I3702,CONFIG_ASIGNATURAS!$B$2:$J$91,9,FALSE()),""))</f>
      </c>
    </row>
    <row r="3703">
      <c r="F3703">
        <f>IF(DATOS!$A3703="","",DATOS!$A3703&amp;"|"&amp;DATOS!$D3703&amp;"|"&amp;DATOS!$E3703&amp;"|"&amp;DATOS!$I3703)</f>
      </c>
      <c r="G3703">
        <f>IF(DATOS!$A3703="",0,IF(CONFIG_METADATA!$B$4&lt;&gt;"OR+EX",--(DATOS!$G3703=CONFIG_METADATA!$B$4),IF(DATOS!$G3703="EX",1,IF(DATOS!$G3703="OR",--(COUNTIFS(nNIA,DATOS!$A3703,nCURSO,DATOS!$D3703,nESPEC,DATOS!$E3703,nASIG,DATOS!$I3703,nEVAL,"EX")=0),0))))</f>
      </c>
      <c r="H3703">
        <f>IF(DATOS!$G3703&lt;&gt;"EX",0,--(COUNTIFS(nNIA,DATOS!$A3703,nCURSO,DATOS!$D3703,nESPEC,DATOS!$E3703,nASIG,DATOS!$I3703,nEVAL,"OR")=0))</f>
      </c>
      <c r="I3703">
        <f>IF(DATOS!$I3703="","",IFERROR(VLOOKUP(DATOS!$I3703,CONFIG_ASIGNATURAS!$B$2:$J$91,9,FALSE()),""))</f>
      </c>
    </row>
    <row r="3704">
      <c r="F3704">
        <f>IF(DATOS!$A3704="","",DATOS!$A3704&amp;"|"&amp;DATOS!$D3704&amp;"|"&amp;DATOS!$E3704&amp;"|"&amp;DATOS!$I3704)</f>
      </c>
      <c r="G3704">
        <f>IF(DATOS!$A3704="",0,IF(CONFIG_METADATA!$B$4&lt;&gt;"OR+EX",--(DATOS!$G3704=CONFIG_METADATA!$B$4),IF(DATOS!$G3704="EX",1,IF(DATOS!$G3704="OR",--(COUNTIFS(nNIA,DATOS!$A3704,nCURSO,DATOS!$D3704,nESPEC,DATOS!$E3704,nASIG,DATOS!$I3704,nEVAL,"EX")=0),0))))</f>
      </c>
      <c r="H3704">
        <f>IF(DATOS!$G3704&lt;&gt;"EX",0,--(COUNTIFS(nNIA,DATOS!$A3704,nCURSO,DATOS!$D3704,nESPEC,DATOS!$E3704,nASIG,DATOS!$I3704,nEVAL,"OR")=0))</f>
      </c>
      <c r="I3704">
        <f>IF(DATOS!$I3704="","",IFERROR(VLOOKUP(DATOS!$I3704,CONFIG_ASIGNATURAS!$B$2:$J$91,9,FALSE()),""))</f>
      </c>
    </row>
    <row r="3705">
      <c r="F3705">
        <f>IF(DATOS!$A3705="","",DATOS!$A3705&amp;"|"&amp;DATOS!$D3705&amp;"|"&amp;DATOS!$E3705&amp;"|"&amp;DATOS!$I3705)</f>
      </c>
      <c r="G3705">
        <f>IF(DATOS!$A3705="",0,IF(CONFIG_METADATA!$B$4&lt;&gt;"OR+EX",--(DATOS!$G3705=CONFIG_METADATA!$B$4),IF(DATOS!$G3705="EX",1,IF(DATOS!$G3705="OR",--(COUNTIFS(nNIA,DATOS!$A3705,nCURSO,DATOS!$D3705,nESPEC,DATOS!$E3705,nASIG,DATOS!$I3705,nEVAL,"EX")=0),0))))</f>
      </c>
      <c r="H3705">
        <f>IF(DATOS!$G3705&lt;&gt;"EX",0,--(COUNTIFS(nNIA,DATOS!$A3705,nCURSO,DATOS!$D3705,nESPEC,DATOS!$E3705,nASIG,DATOS!$I3705,nEVAL,"OR")=0))</f>
      </c>
      <c r="I3705">
        <f>IF(DATOS!$I3705="","",IFERROR(VLOOKUP(DATOS!$I3705,CONFIG_ASIGNATURAS!$B$2:$J$91,9,FALSE()),""))</f>
      </c>
    </row>
    <row r="3706">
      <c r="F3706">
        <f>IF(DATOS!$A3706="","",DATOS!$A3706&amp;"|"&amp;DATOS!$D3706&amp;"|"&amp;DATOS!$E3706&amp;"|"&amp;DATOS!$I3706)</f>
      </c>
      <c r="G3706">
        <f>IF(DATOS!$A3706="",0,IF(CONFIG_METADATA!$B$4&lt;&gt;"OR+EX",--(DATOS!$G3706=CONFIG_METADATA!$B$4),IF(DATOS!$G3706="EX",1,IF(DATOS!$G3706="OR",--(COUNTIFS(nNIA,DATOS!$A3706,nCURSO,DATOS!$D3706,nESPEC,DATOS!$E3706,nASIG,DATOS!$I3706,nEVAL,"EX")=0),0))))</f>
      </c>
      <c r="H3706">
        <f>IF(DATOS!$G3706&lt;&gt;"EX",0,--(COUNTIFS(nNIA,DATOS!$A3706,nCURSO,DATOS!$D3706,nESPEC,DATOS!$E3706,nASIG,DATOS!$I3706,nEVAL,"OR")=0))</f>
      </c>
      <c r="I3706">
        <f>IF(DATOS!$I3706="","",IFERROR(VLOOKUP(DATOS!$I3706,CONFIG_ASIGNATURAS!$B$2:$J$91,9,FALSE()),""))</f>
      </c>
    </row>
    <row r="3707">
      <c r="F3707">
        <f>IF(DATOS!$A3707="","",DATOS!$A3707&amp;"|"&amp;DATOS!$D3707&amp;"|"&amp;DATOS!$E3707&amp;"|"&amp;DATOS!$I3707)</f>
      </c>
      <c r="G3707">
        <f>IF(DATOS!$A3707="",0,IF(CONFIG_METADATA!$B$4&lt;&gt;"OR+EX",--(DATOS!$G3707=CONFIG_METADATA!$B$4),IF(DATOS!$G3707="EX",1,IF(DATOS!$G3707="OR",--(COUNTIFS(nNIA,DATOS!$A3707,nCURSO,DATOS!$D3707,nESPEC,DATOS!$E3707,nASIG,DATOS!$I3707,nEVAL,"EX")=0),0))))</f>
      </c>
      <c r="H3707">
        <f>IF(DATOS!$G3707&lt;&gt;"EX",0,--(COUNTIFS(nNIA,DATOS!$A3707,nCURSO,DATOS!$D3707,nESPEC,DATOS!$E3707,nASIG,DATOS!$I3707,nEVAL,"OR")=0))</f>
      </c>
      <c r="I3707">
        <f>IF(DATOS!$I3707="","",IFERROR(VLOOKUP(DATOS!$I3707,CONFIG_ASIGNATURAS!$B$2:$J$91,9,FALSE()),""))</f>
      </c>
    </row>
    <row r="3708">
      <c r="F3708">
        <f>IF(DATOS!$A3708="","",DATOS!$A3708&amp;"|"&amp;DATOS!$D3708&amp;"|"&amp;DATOS!$E3708&amp;"|"&amp;DATOS!$I3708)</f>
      </c>
      <c r="G3708">
        <f>IF(DATOS!$A3708="",0,IF(CONFIG_METADATA!$B$4&lt;&gt;"OR+EX",--(DATOS!$G3708=CONFIG_METADATA!$B$4),IF(DATOS!$G3708="EX",1,IF(DATOS!$G3708="OR",--(COUNTIFS(nNIA,DATOS!$A3708,nCURSO,DATOS!$D3708,nESPEC,DATOS!$E3708,nASIG,DATOS!$I3708,nEVAL,"EX")=0),0))))</f>
      </c>
      <c r="H3708">
        <f>IF(DATOS!$G3708&lt;&gt;"EX",0,--(COUNTIFS(nNIA,DATOS!$A3708,nCURSO,DATOS!$D3708,nESPEC,DATOS!$E3708,nASIG,DATOS!$I3708,nEVAL,"OR")=0))</f>
      </c>
      <c r="I3708">
        <f>IF(DATOS!$I3708="","",IFERROR(VLOOKUP(DATOS!$I3708,CONFIG_ASIGNATURAS!$B$2:$J$91,9,FALSE()),""))</f>
      </c>
    </row>
    <row r="3709">
      <c r="F3709">
        <f>IF(DATOS!$A3709="","",DATOS!$A3709&amp;"|"&amp;DATOS!$D3709&amp;"|"&amp;DATOS!$E3709&amp;"|"&amp;DATOS!$I3709)</f>
      </c>
      <c r="G3709">
        <f>IF(DATOS!$A3709="",0,IF(CONFIG_METADATA!$B$4&lt;&gt;"OR+EX",--(DATOS!$G3709=CONFIG_METADATA!$B$4),IF(DATOS!$G3709="EX",1,IF(DATOS!$G3709="OR",--(COUNTIFS(nNIA,DATOS!$A3709,nCURSO,DATOS!$D3709,nESPEC,DATOS!$E3709,nASIG,DATOS!$I3709,nEVAL,"EX")=0),0))))</f>
      </c>
      <c r="H3709">
        <f>IF(DATOS!$G3709&lt;&gt;"EX",0,--(COUNTIFS(nNIA,DATOS!$A3709,nCURSO,DATOS!$D3709,nESPEC,DATOS!$E3709,nASIG,DATOS!$I3709,nEVAL,"OR")=0))</f>
      </c>
      <c r="I3709">
        <f>IF(DATOS!$I3709="","",IFERROR(VLOOKUP(DATOS!$I3709,CONFIG_ASIGNATURAS!$B$2:$J$91,9,FALSE()),""))</f>
      </c>
    </row>
    <row r="3710">
      <c r="F3710">
        <f>IF(DATOS!$A3710="","",DATOS!$A3710&amp;"|"&amp;DATOS!$D3710&amp;"|"&amp;DATOS!$E3710&amp;"|"&amp;DATOS!$I3710)</f>
      </c>
      <c r="G3710">
        <f>IF(DATOS!$A3710="",0,IF(CONFIG_METADATA!$B$4&lt;&gt;"OR+EX",--(DATOS!$G3710=CONFIG_METADATA!$B$4),IF(DATOS!$G3710="EX",1,IF(DATOS!$G3710="OR",--(COUNTIFS(nNIA,DATOS!$A3710,nCURSO,DATOS!$D3710,nESPEC,DATOS!$E3710,nASIG,DATOS!$I3710,nEVAL,"EX")=0),0))))</f>
      </c>
      <c r="H3710">
        <f>IF(DATOS!$G3710&lt;&gt;"EX",0,--(COUNTIFS(nNIA,DATOS!$A3710,nCURSO,DATOS!$D3710,nESPEC,DATOS!$E3710,nASIG,DATOS!$I3710,nEVAL,"OR")=0))</f>
      </c>
      <c r="I3710">
        <f>IF(DATOS!$I3710="","",IFERROR(VLOOKUP(DATOS!$I3710,CONFIG_ASIGNATURAS!$B$2:$J$91,9,FALSE()),""))</f>
      </c>
    </row>
    <row r="3711">
      <c r="F3711">
        <f>IF(DATOS!$A3711="","",DATOS!$A3711&amp;"|"&amp;DATOS!$D3711&amp;"|"&amp;DATOS!$E3711&amp;"|"&amp;DATOS!$I3711)</f>
      </c>
      <c r="G3711">
        <f>IF(DATOS!$A3711="",0,IF(CONFIG_METADATA!$B$4&lt;&gt;"OR+EX",--(DATOS!$G3711=CONFIG_METADATA!$B$4),IF(DATOS!$G3711="EX",1,IF(DATOS!$G3711="OR",--(COUNTIFS(nNIA,DATOS!$A3711,nCURSO,DATOS!$D3711,nESPEC,DATOS!$E3711,nASIG,DATOS!$I3711,nEVAL,"EX")=0),0))))</f>
      </c>
      <c r="H3711">
        <f>IF(DATOS!$G3711&lt;&gt;"EX",0,--(COUNTIFS(nNIA,DATOS!$A3711,nCURSO,DATOS!$D3711,nESPEC,DATOS!$E3711,nASIG,DATOS!$I3711,nEVAL,"OR")=0))</f>
      </c>
      <c r="I3711">
        <f>IF(DATOS!$I3711="","",IFERROR(VLOOKUP(DATOS!$I3711,CONFIG_ASIGNATURAS!$B$2:$J$91,9,FALSE()),""))</f>
      </c>
    </row>
    <row r="3712">
      <c r="F3712">
        <f>IF(DATOS!$A3712="","",DATOS!$A3712&amp;"|"&amp;DATOS!$D3712&amp;"|"&amp;DATOS!$E3712&amp;"|"&amp;DATOS!$I3712)</f>
      </c>
      <c r="G3712">
        <f>IF(DATOS!$A3712="",0,IF(CONFIG_METADATA!$B$4&lt;&gt;"OR+EX",--(DATOS!$G3712=CONFIG_METADATA!$B$4),IF(DATOS!$G3712="EX",1,IF(DATOS!$G3712="OR",--(COUNTIFS(nNIA,DATOS!$A3712,nCURSO,DATOS!$D3712,nESPEC,DATOS!$E3712,nASIG,DATOS!$I3712,nEVAL,"EX")=0),0))))</f>
      </c>
      <c r="H3712">
        <f>IF(DATOS!$G3712&lt;&gt;"EX",0,--(COUNTIFS(nNIA,DATOS!$A3712,nCURSO,DATOS!$D3712,nESPEC,DATOS!$E3712,nASIG,DATOS!$I3712,nEVAL,"OR")=0))</f>
      </c>
      <c r="I3712">
        <f>IF(DATOS!$I3712="","",IFERROR(VLOOKUP(DATOS!$I3712,CONFIG_ASIGNATURAS!$B$2:$J$91,9,FALSE()),""))</f>
      </c>
    </row>
    <row r="3713">
      <c r="F3713">
        <f>IF(DATOS!$A3713="","",DATOS!$A3713&amp;"|"&amp;DATOS!$D3713&amp;"|"&amp;DATOS!$E3713&amp;"|"&amp;DATOS!$I3713)</f>
      </c>
      <c r="G3713">
        <f>IF(DATOS!$A3713="",0,IF(CONFIG_METADATA!$B$4&lt;&gt;"OR+EX",--(DATOS!$G3713=CONFIG_METADATA!$B$4),IF(DATOS!$G3713="EX",1,IF(DATOS!$G3713="OR",--(COUNTIFS(nNIA,DATOS!$A3713,nCURSO,DATOS!$D3713,nESPEC,DATOS!$E3713,nASIG,DATOS!$I3713,nEVAL,"EX")=0),0))))</f>
      </c>
      <c r="H3713">
        <f>IF(DATOS!$G3713&lt;&gt;"EX",0,--(COUNTIFS(nNIA,DATOS!$A3713,nCURSO,DATOS!$D3713,nESPEC,DATOS!$E3713,nASIG,DATOS!$I3713,nEVAL,"OR")=0))</f>
      </c>
      <c r="I3713">
        <f>IF(DATOS!$I3713="","",IFERROR(VLOOKUP(DATOS!$I3713,CONFIG_ASIGNATURAS!$B$2:$J$91,9,FALSE()),""))</f>
      </c>
    </row>
    <row r="3714">
      <c r="F3714">
        <f>IF(DATOS!$A3714="","",DATOS!$A3714&amp;"|"&amp;DATOS!$D3714&amp;"|"&amp;DATOS!$E3714&amp;"|"&amp;DATOS!$I3714)</f>
      </c>
      <c r="G3714">
        <f>IF(DATOS!$A3714="",0,IF(CONFIG_METADATA!$B$4&lt;&gt;"OR+EX",--(DATOS!$G3714=CONFIG_METADATA!$B$4),IF(DATOS!$G3714="EX",1,IF(DATOS!$G3714="OR",--(COUNTIFS(nNIA,DATOS!$A3714,nCURSO,DATOS!$D3714,nESPEC,DATOS!$E3714,nASIG,DATOS!$I3714,nEVAL,"EX")=0),0))))</f>
      </c>
      <c r="H3714">
        <f>IF(DATOS!$G3714&lt;&gt;"EX",0,--(COUNTIFS(nNIA,DATOS!$A3714,nCURSO,DATOS!$D3714,nESPEC,DATOS!$E3714,nASIG,DATOS!$I3714,nEVAL,"OR")=0))</f>
      </c>
      <c r="I3714">
        <f>IF(DATOS!$I3714="","",IFERROR(VLOOKUP(DATOS!$I3714,CONFIG_ASIGNATURAS!$B$2:$J$91,9,FALSE()),""))</f>
      </c>
    </row>
    <row r="3715">
      <c r="F3715">
        <f>IF(DATOS!$A3715="","",DATOS!$A3715&amp;"|"&amp;DATOS!$D3715&amp;"|"&amp;DATOS!$E3715&amp;"|"&amp;DATOS!$I3715)</f>
      </c>
      <c r="G3715">
        <f>IF(DATOS!$A3715="",0,IF(CONFIG_METADATA!$B$4&lt;&gt;"OR+EX",--(DATOS!$G3715=CONFIG_METADATA!$B$4),IF(DATOS!$G3715="EX",1,IF(DATOS!$G3715="OR",--(COUNTIFS(nNIA,DATOS!$A3715,nCURSO,DATOS!$D3715,nESPEC,DATOS!$E3715,nASIG,DATOS!$I3715,nEVAL,"EX")=0),0))))</f>
      </c>
      <c r="H3715">
        <f>IF(DATOS!$G3715&lt;&gt;"EX",0,--(COUNTIFS(nNIA,DATOS!$A3715,nCURSO,DATOS!$D3715,nESPEC,DATOS!$E3715,nASIG,DATOS!$I3715,nEVAL,"OR")=0))</f>
      </c>
      <c r="I3715">
        <f>IF(DATOS!$I3715="","",IFERROR(VLOOKUP(DATOS!$I3715,CONFIG_ASIGNATURAS!$B$2:$J$91,9,FALSE()),""))</f>
      </c>
    </row>
    <row r="3716">
      <c r="F3716">
        <f>IF(DATOS!$A3716="","",DATOS!$A3716&amp;"|"&amp;DATOS!$D3716&amp;"|"&amp;DATOS!$E3716&amp;"|"&amp;DATOS!$I3716)</f>
      </c>
      <c r="G3716">
        <f>IF(DATOS!$A3716="",0,IF(CONFIG_METADATA!$B$4&lt;&gt;"OR+EX",--(DATOS!$G3716=CONFIG_METADATA!$B$4),IF(DATOS!$G3716="EX",1,IF(DATOS!$G3716="OR",--(COUNTIFS(nNIA,DATOS!$A3716,nCURSO,DATOS!$D3716,nESPEC,DATOS!$E3716,nASIG,DATOS!$I3716,nEVAL,"EX")=0),0))))</f>
      </c>
      <c r="H3716">
        <f>IF(DATOS!$G3716&lt;&gt;"EX",0,--(COUNTIFS(nNIA,DATOS!$A3716,nCURSO,DATOS!$D3716,nESPEC,DATOS!$E3716,nASIG,DATOS!$I3716,nEVAL,"OR")=0))</f>
      </c>
      <c r="I3716">
        <f>IF(DATOS!$I3716="","",IFERROR(VLOOKUP(DATOS!$I3716,CONFIG_ASIGNATURAS!$B$2:$J$91,9,FALSE()),""))</f>
      </c>
    </row>
    <row r="3717">
      <c r="F3717">
        <f>IF(DATOS!$A3717="","",DATOS!$A3717&amp;"|"&amp;DATOS!$D3717&amp;"|"&amp;DATOS!$E3717&amp;"|"&amp;DATOS!$I3717)</f>
      </c>
      <c r="G3717">
        <f>IF(DATOS!$A3717="",0,IF(CONFIG_METADATA!$B$4&lt;&gt;"OR+EX",--(DATOS!$G3717=CONFIG_METADATA!$B$4),IF(DATOS!$G3717="EX",1,IF(DATOS!$G3717="OR",--(COUNTIFS(nNIA,DATOS!$A3717,nCURSO,DATOS!$D3717,nESPEC,DATOS!$E3717,nASIG,DATOS!$I3717,nEVAL,"EX")=0),0))))</f>
      </c>
      <c r="H3717">
        <f>IF(DATOS!$G3717&lt;&gt;"EX",0,--(COUNTIFS(nNIA,DATOS!$A3717,nCURSO,DATOS!$D3717,nESPEC,DATOS!$E3717,nASIG,DATOS!$I3717,nEVAL,"OR")=0))</f>
      </c>
      <c r="I3717">
        <f>IF(DATOS!$I3717="","",IFERROR(VLOOKUP(DATOS!$I3717,CONFIG_ASIGNATURAS!$B$2:$J$91,9,FALSE()),""))</f>
      </c>
    </row>
    <row r="3718">
      <c r="F3718">
        <f>IF(DATOS!$A3718="","",DATOS!$A3718&amp;"|"&amp;DATOS!$D3718&amp;"|"&amp;DATOS!$E3718&amp;"|"&amp;DATOS!$I3718)</f>
      </c>
      <c r="G3718">
        <f>IF(DATOS!$A3718="",0,IF(CONFIG_METADATA!$B$4&lt;&gt;"OR+EX",--(DATOS!$G3718=CONFIG_METADATA!$B$4),IF(DATOS!$G3718="EX",1,IF(DATOS!$G3718="OR",--(COUNTIFS(nNIA,DATOS!$A3718,nCURSO,DATOS!$D3718,nESPEC,DATOS!$E3718,nASIG,DATOS!$I3718,nEVAL,"EX")=0),0))))</f>
      </c>
      <c r="H3718">
        <f>IF(DATOS!$G3718&lt;&gt;"EX",0,--(COUNTIFS(nNIA,DATOS!$A3718,nCURSO,DATOS!$D3718,nESPEC,DATOS!$E3718,nASIG,DATOS!$I3718,nEVAL,"OR")=0))</f>
      </c>
      <c r="I3718">
        <f>IF(DATOS!$I3718="","",IFERROR(VLOOKUP(DATOS!$I3718,CONFIG_ASIGNATURAS!$B$2:$J$91,9,FALSE()),""))</f>
      </c>
    </row>
    <row r="3719">
      <c r="F3719">
        <f>IF(DATOS!$A3719="","",DATOS!$A3719&amp;"|"&amp;DATOS!$D3719&amp;"|"&amp;DATOS!$E3719&amp;"|"&amp;DATOS!$I3719)</f>
      </c>
      <c r="G3719">
        <f>IF(DATOS!$A3719="",0,IF(CONFIG_METADATA!$B$4&lt;&gt;"OR+EX",--(DATOS!$G3719=CONFIG_METADATA!$B$4),IF(DATOS!$G3719="EX",1,IF(DATOS!$G3719="OR",--(COUNTIFS(nNIA,DATOS!$A3719,nCURSO,DATOS!$D3719,nESPEC,DATOS!$E3719,nASIG,DATOS!$I3719,nEVAL,"EX")=0),0))))</f>
      </c>
      <c r="H3719">
        <f>IF(DATOS!$G3719&lt;&gt;"EX",0,--(COUNTIFS(nNIA,DATOS!$A3719,nCURSO,DATOS!$D3719,nESPEC,DATOS!$E3719,nASIG,DATOS!$I3719,nEVAL,"OR")=0))</f>
      </c>
      <c r="I3719">
        <f>IF(DATOS!$I3719="","",IFERROR(VLOOKUP(DATOS!$I3719,CONFIG_ASIGNATURAS!$B$2:$J$91,9,FALSE()),""))</f>
      </c>
    </row>
    <row r="3720">
      <c r="F3720">
        <f>IF(DATOS!$A3720="","",DATOS!$A3720&amp;"|"&amp;DATOS!$D3720&amp;"|"&amp;DATOS!$E3720&amp;"|"&amp;DATOS!$I3720)</f>
      </c>
      <c r="G3720">
        <f>IF(DATOS!$A3720="",0,IF(CONFIG_METADATA!$B$4&lt;&gt;"OR+EX",--(DATOS!$G3720=CONFIG_METADATA!$B$4),IF(DATOS!$G3720="EX",1,IF(DATOS!$G3720="OR",--(COUNTIFS(nNIA,DATOS!$A3720,nCURSO,DATOS!$D3720,nESPEC,DATOS!$E3720,nASIG,DATOS!$I3720,nEVAL,"EX")=0),0))))</f>
      </c>
      <c r="H3720">
        <f>IF(DATOS!$G3720&lt;&gt;"EX",0,--(COUNTIFS(nNIA,DATOS!$A3720,nCURSO,DATOS!$D3720,nESPEC,DATOS!$E3720,nASIG,DATOS!$I3720,nEVAL,"OR")=0))</f>
      </c>
      <c r="I3720">
        <f>IF(DATOS!$I3720="","",IFERROR(VLOOKUP(DATOS!$I3720,CONFIG_ASIGNATURAS!$B$2:$J$91,9,FALSE()),""))</f>
      </c>
    </row>
    <row r="3721">
      <c r="F3721">
        <f>IF(DATOS!$A3721="","",DATOS!$A3721&amp;"|"&amp;DATOS!$D3721&amp;"|"&amp;DATOS!$E3721&amp;"|"&amp;DATOS!$I3721)</f>
      </c>
      <c r="G3721">
        <f>IF(DATOS!$A3721="",0,IF(CONFIG_METADATA!$B$4&lt;&gt;"OR+EX",--(DATOS!$G3721=CONFIG_METADATA!$B$4),IF(DATOS!$G3721="EX",1,IF(DATOS!$G3721="OR",--(COUNTIFS(nNIA,DATOS!$A3721,nCURSO,DATOS!$D3721,nESPEC,DATOS!$E3721,nASIG,DATOS!$I3721,nEVAL,"EX")=0),0))))</f>
      </c>
      <c r="H3721">
        <f>IF(DATOS!$G3721&lt;&gt;"EX",0,--(COUNTIFS(nNIA,DATOS!$A3721,nCURSO,DATOS!$D3721,nESPEC,DATOS!$E3721,nASIG,DATOS!$I3721,nEVAL,"OR")=0))</f>
      </c>
      <c r="I3721">
        <f>IF(DATOS!$I3721="","",IFERROR(VLOOKUP(DATOS!$I3721,CONFIG_ASIGNATURAS!$B$2:$J$91,9,FALSE()),""))</f>
      </c>
    </row>
    <row r="3722">
      <c r="F3722">
        <f>IF(DATOS!$A3722="","",DATOS!$A3722&amp;"|"&amp;DATOS!$D3722&amp;"|"&amp;DATOS!$E3722&amp;"|"&amp;DATOS!$I3722)</f>
      </c>
      <c r="G3722">
        <f>IF(DATOS!$A3722="",0,IF(CONFIG_METADATA!$B$4&lt;&gt;"OR+EX",--(DATOS!$G3722=CONFIG_METADATA!$B$4),IF(DATOS!$G3722="EX",1,IF(DATOS!$G3722="OR",--(COUNTIFS(nNIA,DATOS!$A3722,nCURSO,DATOS!$D3722,nESPEC,DATOS!$E3722,nASIG,DATOS!$I3722,nEVAL,"EX")=0),0))))</f>
      </c>
      <c r="H3722">
        <f>IF(DATOS!$G3722&lt;&gt;"EX",0,--(COUNTIFS(nNIA,DATOS!$A3722,nCURSO,DATOS!$D3722,nESPEC,DATOS!$E3722,nASIG,DATOS!$I3722,nEVAL,"OR")=0))</f>
      </c>
      <c r="I3722">
        <f>IF(DATOS!$I3722="","",IFERROR(VLOOKUP(DATOS!$I3722,CONFIG_ASIGNATURAS!$B$2:$J$91,9,FALSE()),""))</f>
      </c>
    </row>
    <row r="3723">
      <c r="F3723">
        <f>IF(DATOS!$A3723="","",DATOS!$A3723&amp;"|"&amp;DATOS!$D3723&amp;"|"&amp;DATOS!$E3723&amp;"|"&amp;DATOS!$I3723)</f>
      </c>
      <c r="G3723">
        <f>IF(DATOS!$A3723="",0,IF(CONFIG_METADATA!$B$4&lt;&gt;"OR+EX",--(DATOS!$G3723=CONFIG_METADATA!$B$4),IF(DATOS!$G3723="EX",1,IF(DATOS!$G3723="OR",--(COUNTIFS(nNIA,DATOS!$A3723,nCURSO,DATOS!$D3723,nESPEC,DATOS!$E3723,nASIG,DATOS!$I3723,nEVAL,"EX")=0),0))))</f>
      </c>
      <c r="H3723">
        <f>IF(DATOS!$G3723&lt;&gt;"EX",0,--(COUNTIFS(nNIA,DATOS!$A3723,nCURSO,DATOS!$D3723,nESPEC,DATOS!$E3723,nASIG,DATOS!$I3723,nEVAL,"OR")=0))</f>
      </c>
      <c r="I3723">
        <f>IF(DATOS!$I3723="","",IFERROR(VLOOKUP(DATOS!$I3723,CONFIG_ASIGNATURAS!$B$2:$J$91,9,FALSE()),""))</f>
      </c>
    </row>
    <row r="3724">
      <c r="F3724">
        <f>IF(DATOS!$A3724="","",DATOS!$A3724&amp;"|"&amp;DATOS!$D3724&amp;"|"&amp;DATOS!$E3724&amp;"|"&amp;DATOS!$I3724)</f>
      </c>
      <c r="G3724">
        <f>IF(DATOS!$A3724="",0,IF(CONFIG_METADATA!$B$4&lt;&gt;"OR+EX",--(DATOS!$G3724=CONFIG_METADATA!$B$4),IF(DATOS!$G3724="EX",1,IF(DATOS!$G3724="OR",--(COUNTIFS(nNIA,DATOS!$A3724,nCURSO,DATOS!$D3724,nESPEC,DATOS!$E3724,nASIG,DATOS!$I3724,nEVAL,"EX")=0),0))))</f>
      </c>
      <c r="H3724">
        <f>IF(DATOS!$G3724&lt;&gt;"EX",0,--(COUNTIFS(nNIA,DATOS!$A3724,nCURSO,DATOS!$D3724,nESPEC,DATOS!$E3724,nASIG,DATOS!$I3724,nEVAL,"OR")=0))</f>
      </c>
      <c r="I3724">
        <f>IF(DATOS!$I3724="","",IFERROR(VLOOKUP(DATOS!$I3724,CONFIG_ASIGNATURAS!$B$2:$J$91,9,FALSE()),""))</f>
      </c>
    </row>
    <row r="3725">
      <c r="F3725">
        <f>IF(DATOS!$A3725="","",DATOS!$A3725&amp;"|"&amp;DATOS!$D3725&amp;"|"&amp;DATOS!$E3725&amp;"|"&amp;DATOS!$I3725)</f>
      </c>
      <c r="G3725">
        <f>IF(DATOS!$A3725="",0,IF(CONFIG_METADATA!$B$4&lt;&gt;"OR+EX",--(DATOS!$G3725=CONFIG_METADATA!$B$4),IF(DATOS!$G3725="EX",1,IF(DATOS!$G3725="OR",--(COUNTIFS(nNIA,DATOS!$A3725,nCURSO,DATOS!$D3725,nESPEC,DATOS!$E3725,nASIG,DATOS!$I3725,nEVAL,"EX")=0),0))))</f>
      </c>
      <c r="H3725">
        <f>IF(DATOS!$G3725&lt;&gt;"EX",0,--(COUNTIFS(nNIA,DATOS!$A3725,nCURSO,DATOS!$D3725,nESPEC,DATOS!$E3725,nASIG,DATOS!$I3725,nEVAL,"OR")=0))</f>
      </c>
      <c r="I3725">
        <f>IF(DATOS!$I3725="","",IFERROR(VLOOKUP(DATOS!$I3725,CONFIG_ASIGNATURAS!$B$2:$J$91,9,FALSE()),""))</f>
      </c>
    </row>
    <row r="3726">
      <c r="F3726">
        <f>IF(DATOS!$A3726="","",DATOS!$A3726&amp;"|"&amp;DATOS!$D3726&amp;"|"&amp;DATOS!$E3726&amp;"|"&amp;DATOS!$I3726)</f>
      </c>
      <c r="G3726">
        <f>IF(DATOS!$A3726="",0,IF(CONFIG_METADATA!$B$4&lt;&gt;"OR+EX",--(DATOS!$G3726=CONFIG_METADATA!$B$4),IF(DATOS!$G3726="EX",1,IF(DATOS!$G3726="OR",--(COUNTIFS(nNIA,DATOS!$A3726,nCURSO,DATOS!$D3726,nESPEC,DATOS!$E3726,nASIG,DATOS!$I3726,nEVAL,"EX")=0),0))))</f>
      </c>
      <c r="H3726">
        <f>IF(DATOS!$G3726&lt;&gt;"EX",0,--(COUNTIFS(nNIA,DATOS!$A3726,nCURSO,DATOS!$D3726,nESPEC,DATOS!$E3726,nASIG,DATOS!$I3726,nEVAL,"OR")=0))</f>
      </c>
      <c r="I3726">
        <f>IF(DATOS!$I3726="","",IFERROR(VLOOKUP(DATOS!$I3726,CONFIG_ASIGNATURAS!$B$2:$J$91,9,FALSE()),""))</f>
      </c>
    </row>
    <row r="3727">
      <c r="F3727">
        <f>IF(DATOS!$A3727="","",DATOS!$A3727&amp;"|"&amp;DATOS!$D3727&amp;"|"&amp;DATOS!$E3727&amp;"|"&amp;DATOS!$I3727)</f>
      </c>
      <c r="G3727">
        <f>IF(DATOS!$A3727="",0,IF(CONFIG_METADATA!$B$4&lt;&gt;"OR+EX",--(DATOS!$G3727=CONFIG_METADATA!$B$4),IF(DATOS!$G3727="EX",1,IF(DATOS!$G3727="OR",--(COUNTIFS(nNIA,DATOS!$A3727,nCURSO,DATOS!$D3727,nESPEC,DATOS!$E3727,nASIG,DATOS!$I3727,nEVAL,"EX")=0),0))))</f>
      </c>
      <c r="H3727">
        <f>IF(DATOS!$G3727&lt;&gt;"EX",0,--(COUNTIFS(nNIA,DATOS!$A3727,nCURSO,DATOS!$D3727,nESPEC,DATOS!$E3727,nASIG,DATOS!$I3727,nEVAL,"OR")=0))</f>
      </c>
      <c r="I3727">
        <f>IF(DATOS!$I3727="","",IFERROR(VLOOKUP(DATOS!$I3727,CONFIG_ASIGNATURAS!$B$2:$J$91,9,FALSE()),""))</f>
      </c>
    </row>
    <row r="3728">
      <c r="F3728">
        <f>IF(DATOS!$A3728="","",DATOS!$A3728&amp;"|"&amp;DATOS!$D3728&amp;"|"&amp;DATOS!$E3728&amp;"|"&amp;DATOS!$I3728)</f>
      </c>
      <c r="G3728">
        <f>IF(DATOS!$A3728="",0,IF(CONFIG_METADATA!$B$4&lt;&gt;"OR+EX",--(DATOS!$G3728=CONFIG_METADATA!$B$4),IF(DATOS!$G3728="EX",1,IF(DATOS!$G3728="OR",--(COUNTIFS(nNIA,DATOS!$A3728,nCURSO,DATOS!$D3728,nESPEC,DATOS!$E3728,nASIG,DATOS!$I3728,nEVAL,"EX")=0),0))))</f>
      </c>
      <c r="H3728">
        <f>IF(DATOS!$G3728&lt;&gt;"EX",0,--(COUNTIFS(nNIA,DATOS!$A3728,nCURSO,DATOS!$D3728,nESPEC,DATOS!$E3728,nASIG,DATOS!$I3728,nEVAL,"OR")=0))</f>
      </c>
      <c r="I3728">
        <f>IF(DATOS!$I3728="","",IFERROR(VLOOKUP(DATOS!$I3728,CONFIG_ASIGNATURAS!$B$2:$J$91,9,FALSE()),""))</f>
      </c>
    </row>
    <row r="3729">
      <c r="F3729">
        <f>IF(DATOS!$A3729="","",DATOS!$A3729&amp;"|"&amp;DATOS!$D3729&amp;"|"&amp;DATOS!$E3729&amp;"|"&amp;DATOS!$I3729)</f>
      </c>
      <c r="G3729">
        <f>IF(DATOS!$A3729="",0,IF(CONFIG_METADATA!$B$4&lt;&gt;"OR+EX",--(DATOS!$G3729=CONFIG_METADATA!$B$4),IF(DATOS!$G3729="EX",1,IF(DATOS!$G3729="OR",--(COUNTIFS(nNIA,DATOS!$A3729,nCURSO,DATOS!$D3729,nESPEC,DATOS!$E3729,nASIG,DATOS!$I3729,nEVAL,"EX")=0),0))))</f>
      </c>
      <c r="H3729">
        <f>IF(DATOS!$G3729&lt;&gt;"EX",0,--(COUNTIFS(nNIA,DATOS!$A3729,nCURSO,DATOS!$D3729,nESPEC,DATOS!$E3729,nASIG,DATOS!$I3729,nEVAL,"OR")=0))</f>
      </c>
      <c r="I3729">
        <f>IF(DATOS!$I3729="","",IFERROR(VLOOKUP(DATOS!$I3729,CONFIG_ASIGNATURAS!$B$2:$J$91,9,FALSE()),""))</f>
      </c>
    </row>
    <row r="3730">
      <c r="F3730">
        <f>IF(DATOS!$A3730="","",DATOS!$A3730&amp;"|"&amp;DATOS!$D3730&amp;"|"&amp;DATOS!$E3730&amp;"|"&amp;DATOS!$I3730)</f>
      </c>
      <c r="G3730">
        <f>IF(DATOS!$A3730="",0,IF(CONFIG_METADATA!$B$4&lt;&gt;"OR+EX",--(DATOS!$G3730=CONFIG_METADATA!$B$4),IF(DATOS!$G3730="EX",1,IF(DATOS!$G3730="OR",--(COUNTIFS(nNIA,DATOS!$A3730,nCURSO,DATOS!$D3730,nESPEC,DATOS!$E3730,nASIG,DATOS!$I3730,nEVAL,"EX")=0),0))))</f>
      </c>
      <c r="H3730">
        <f>IF(DATOS!$G3730&lt;&gt;"EX",0,--(COUNTIFS(nNIA,DATOS!$A3730,nCURSO,DATOS!$D3730,nESPEC,DATOS!$E3730,nASIG,DATOS!$I3730,nEVAL,"OR")=0))</f>
      </c>
      <c r="I3730">
        <f>IF(DATOS!$I3730="","",IFERROR(VLOOKUP(DATOS!$I3730,CONFIG_ASIGNATURAS!$B$2:$J$91,9,FALSE()),""))</f>
      </c>
    </row>
    <row r="3731">
      <c r="F3731">
        <f>IF(DATOS!$A3731="","",DATOS!$A3731&amp;"|"&amp;DATOS!$D3731&amp;"|"&amp;DATOS!$E3731&amp;"|"&amp;DATOS!$I3731)</f>
      </c>
      <c r="G3731">
        <f>IF(DATOS!$A3731="",0,IF(CONFIG_METADATA!$B$4&lt;&gt;"OR+EX",--(DATOS!$G3731=CONFIG_METADATA!$B$4),IF(DATOS!$G3731="EX",1,IF(DATOS!$G3731="OR",--(COUNTIFS(nNIA,DATOS!$A3731,nCURSO,DATOS!$D3731,nESPEC,DATOS!$E3731,nASIG,DATOS!$I3731,nEVAL,"EX")=0),0))))</f>
      </c>
      <c r="H3731">
        <f>IF(DATOS!$G3731&lt;&gt;"EX",0,--(COUNTIFS(nNIA,DATOS!$A3731,nCURSO,DATOS!$D3731,nESPEC,DATOS!$E3731,nASIG,DATOS!$I3731,nEVAL,"OR")=0))</f>
      </c>
      <c r="I3731">
        <f>IF(DATOS!$I3731="","",IFERROR(VLOOKUP(DATOS!$I3731,CONFIG_ASIGNATURAS!$B$2:$J$91,9,FALSE()),""))</f>
      </c>
    </row>
    <row r="3732">
      <c r="F3732">
        <f>IF(DATOS!$A3732="","",DATOS!$A3732&amp;"|"&amp;DATOS!$D3732&amp;"|"&amp;DATOS!$E3732&amp;"|"&amp;DATOS!$I3732)</f>
      </c>
      <c r="G3732">
        <f>IF(DATOS!$A3732="",0,IF(CONFIG_METADATA!$B$4&lt;&gt;"OR+EX",--(DATOS!$G3732=CONFIG_METADATA!$B$4),IF(DATOS!$G3732="EX",1,IF(DATOS!$G3732="OR",--(COUNTIFS(nNIA,DATOS!$A3732,nCURSO,DATOS!$D3732,nESPEC,DATOS!$E3732,nASIG,DATOS!$I3732,nEVAL,"EX")=0),0))))</f>
      </c>
      <c r="H3732">
        <f>IF(DATOS!$G3732&lt;&gt;"EX",0,--(COUNTIFS(nNIA,DATOS!$A3732,nCURSO,DATOS!$D3732,nESPEC,DATOS!$E3732,nASIG,DATOS!$I3732,nEVAL,"OR")=0))</f>
      </c>
      <c r="I3732">
        <f>IF(DATOS!$I3732="","",IFERROR(VLOOKUP(DATOS!$I3732,CONFIG_ASIGNATURAS!$B$2:$J$91,9,FALSE()),""))</f>
      </c>
    </row>
    <row r="3733">
      <c r="F3733">
        <f>IF(DATOS!$A3733="","",DATOS!$A3733&amp;"|"&amp;DATOS!$D3733&amp;"|"&amp;DATOS!$E3733&amp;"|"&amp;DATOS!$I3733)</f>
      </c>
      <c r="G3733">
        <f>IF(DATOS!$A3733="",0,IF(CONFIG_METADATA!$B$4&lt;&gt;"OR+EX",--(DATOS!$G3733=CONFIG_METADATA!$B$4),IF(DATOS!$G3733="EX",1,IF(DATOS!$G3733="OR",--(COUNTIFS(nNIA,DATOS!$A3733,nCURSO,DATOS!$D3733,nESPEC,DATOS!$E3733,nASIG,DATOS!$I3733,nEVAL,"EX")=0),0))))</f>
      </c>
      <c r="H3733">
        <f>IF(DATOS!$G3733&lt;&gt;"EX",0,--(COUNTIFS(nNIA,DATOS!$A3733,nCURSO,DATOS!$D3733,nESPEC,DATOS!$E3733,nASIG,DATOS!$I3733,nEVAL,"OR")=0))</f>
      </c>
      <c r="I3733">
        <f>IF(DATOS!$I3733="","",IFERROR(VLOOKUP(DATOS!$I3733,CONFIG_ASIGNATURAS!$B$2:$J$91,9,FALSE()),""))</f>
      </c>
    </row>
    <row r="3734">
      <c r="F3734">
        <f>IF(DATOS!$A3734="","",DATOS!$A3734&amp;"|"&amp;DATOS!$D3734&amp;"|"&amp;DATOS!$E3734&amp;"|"&amp;DATOS!$I3734)</f>
      </c>
      <c r="G3734">
        <f>IF(DATOS!$A3734="",0,IF(CONFIG_METADATA!$B$4&lt;&gt;"OR+EX",--(DATOS!$G3734=CONFIG_METADATA!$B$4),IF(DATOS!$G3734="EX",1,IF(DATOS!$G3734="OR",--(COUNTIFS(nNIA,DATOS!$A3734,nCURSO,DATOS!$D3734,nESPEC,DATOS!$E3734,nASIG,DATOS!$I3734,nEVAL,"EX")=0),0))))</f>
      </c>
      <c r="H3734">
        <f>IF(DATOS!$G3734&lt;&gt;"EX",0,--(COUNTIFS(nNIA,DATOS!$A3734,nCURSO,DATOS!$D3734,nESPEC,DATOS!$E3734,nASIG,DATOS!$I3734,nEVAL,"OR")=0))</f>
      </c>
      <c r="I3734">
        <f>IF(DATOS!$I3734="","",IFERROR(VLOOKUP(DATOS!$I3734,CONFIG_ASIGNATURAS!$B$2:$J$91,9,FALSE()),""))</f>
      </c>
    </row>
    <row r="3735">
      <c r="F3735">
        <f>IF(DATOS!$A3735="","",DATOS!$A3735&amp;"|"&amp;DATOS!$D3735&amp;"|"&amp;DATOS!$E3735&amp;"|"&amp;DATOS!$I3735)</f>
      </c>
      <c r="G3735">
        <f>IF(DATOS!$A3735="",0,IF(CONFIG_METADATA!$B$4&lt;&gt;"OR+EX",--(DATOS!$G3735=CONFIG_METADATA!$B$4),IF(DATOS!$G3735="EX",1,IF(DATOS!$G3735="OR",--(COUNTIFS(nNIA,DATOS!$A3735,nCURSO,DATOS!$D3735,nESPEC,DATOS!$E3735,nASIG,DATOS!$I3735,nEVAL,"EX")=0),0))))</f>
      </c>
      <c r="H3735">
        <f>IF(DATOS!$G3735&lt;&gt;"EX",0,--(COUNTIFS(nNIA,DATOS!$A3735,nCURSO,DATOS!$D3735,nESPEC,DATOS!$E3735,nASIG,DATOS!$I3735,nEVAL,"OR")=0))</f>
      </c>
      <c r="I3735">
        <f>IF(DATOS!$I3735="","",IFERROR(VLOOKUP(DATOS!$I3735,CONFIG_ASIGNATURAS!$B$2:$J$91,9,FALSE()),""))</f>
      </c>
    </row>
    <row r="3736">
      <c r="F3736">
        <f>IF(DATOS!$A3736="","",DATOS!$A3736&amp;"|"&amp;DATOS!$D3736&amp;"|"&amp;DATOS!$E3736&amp;"|"&amp;DATOS!$I3736)</f>
      </c>
      <c r="G3736">
        <f>IF(DATOS!$A3736="",0,IF(CONFIG_METADATA!$B$4&lt;&gt;"OR+EX",--(DATOS!$G3736=CONFIG_METADATA!$B$4),IF(DATOS!$G3736="EX",1,IF(DATOS!$G3736="OR",--(COUNTIFS(nNIA,DATOS!$A3736,nCURSO,DATOS!$D3736,nESPEC,DATOS!$E3736,nASIG,DATOS!$I3736,nEVAL,"EX")=0),0))))</f>
      </c>
      <c r="H3736">
        <f>IF(DATOS!$G3736&lt;&gt;"EX",0,--(COUNTIFS(nNIA,DATOS!$A3736,nCURSO,DATOS!$D3736,nESPEC,DATOS!$E3736,nASIG,DATOS!$I3736,nEVAL,"OR")=0))</f>
      </c>
      <c r="I3736">
        <f>IF(DATOS!$I3736="","",IFERROR(VLOOKUP(DATOS!$I3736,CONFIG_ASIGNATURAS!$B$2:$J$91,9,FALSE()),""))</f>
      </c>
    </row>
    <row r="3737">
      <c r="F3737">
        <f>IF(DATOS!$A3737="","",DATOS!$A3737&amp;"|"&amp;DATOS!$D3737&amp;"|"&amp;DATOS!$E3737&amp;"|"&amp;DATOS!$I3737)</f>
      </c>
      <c r="G3737">
        <f>IF(DATOS!$A3737="",0,IF(CONFIG_METADATA!$B$4&lt;&gt;"OR+EX",--(DATOS!$G3737=CONFIG_METADATA!$B$4),IF(DATOS!$G3737="EX",1,IF(DATOS!$G3737="OR",--(COUNTIFS(nNIA,DATOS!$A3737,nCURSO,DATOS!$D3737,nESPEC,DATOS!$E3737,nASIG,DATOS!$I3737,nEVAL,"EX")=0),0))))</f>
      </c>
      <c r="H3737">
        <f>IF(DATOS!$G3737&lt;&gt;"EX",0,--(COUNTIFS(nNIA,DATOS!$A3737,nCURSO,DATOS!$D3737,nESPEC,DATOS!$E3737,nASIG,DATOS!$I3737,nEVAL,"OR")=0))</f>
      </c>
      <c r="I3737">
        <f>IF(DATOS!$I3737="","",IFERROR(VLOOKUP(DATOS!$I3737,CONFIG_ASIGNATURAS!$B$2:$J$91,9,FALSE()),""))</f>
      </c>
    </row>
    <row r="3738">
      <c r="F3738">
        <f>IF(DATOS!$A3738="","",DATOS!$A3738&amp;"|"&amp;DATOS!$D3738&amp;"|"&amp;DATOS!$E3738&amp;"|"&amp;DATOS!$I3738)</f>
      </c>
      <c r="G3738">
        <f>IF(DATOS!$A3738="",0,IF(CONFIG_METADATA!$B$4&lt;&gt;"OR+EX",--(DATOS!$G3738=CONFIG_METADATA!$B$4),IF(DATOS!$G3738="EX",1,IF(DATOS!$G3738="OR",--(COUNTIFS(nNIA,DATOS!$A3738,nCURSO,DATOS!$D3738,nESPEC,DATOS!$E3738,nASIG,DATOS!$I3738,nEVAL,"EX")=0),0))))</f>
      </c>
      <c r="H3738">
        <f>IF(DATOS!$G3738&lt;&gt;"EX",0,--(COUNTIFS(nNIA,DATOS!$A3738,nCURSO,DATOS!$D3738,nESPEC,DATOS!$E3738,nASIG,DATOS!$I3738,nEVAL,"OR")=0))</f>
      </c>
      <c r="I3738">
        <f>IF(DATOS!$I3738="","",IFERROR(VLOOKUP(DATOS!$I3738,CONFIG_ASIGNATURAS!$B$2:$J$91,9,FALSE()),""))</f>
      </c>
    </row>
    <row r="3739">
      <c r="F3739">
        <f>IF(DATOS!$A3739="","",DATOS!$A3739&amp;"|"&amp;DATOS!$D3739&amp;"|"&amp;DATOS!$E3739&amp;"|"&amp;DATOS!$I3739)</f>
      </c>
      <c r="G3739">
        <f>IF(DATOS!$A3739="",0,IF(CONFIG_METADATA!$B$4&lt;&gt;"OR+EX",--(DATOS!$G3739=CONFIG_METADATA!$B$4),IF(DATOS!$G3739="EX",1,IF(DATOS!$G3739="OR",--(COUNTIFS(nNIA,DATOS!$A3739,nCURSO,DATOS!$D3739,nESPEC,DATOS!$E3739,nASIG,DATOS!$I3739,nEVAL,"EX")=0),0))))</f>
      </c>
      <c r="H3739">
        <f>IF(DATOS!$G3739&lt;&gt;"EX",0,--(COUNTIFS(nNIA,DATOS!$A3739,nCURSO,DATOS!$D3739,nESPEC,DATOS!$E3739,nASIG,DATOS!$I3739,nEVAL,"OR")=0))</f>
      </c>
      <c r="I3739">
        <f>IF(DATOS!$I3739="","",IFERROR(VLOOKUP(DATOS!$I3739,CONFIG_ASIGNATURAS!$B$2:$J$91,9,FALSE()),""))</f>
      </c>
    </row>
    <row r="3740">
      <c r="F3740">
        <f>IF(DATOS!$A3740="","",DATOS!$A3740&amp;"|"&amp;DATOS!$D3740&amp;"|"&amp;DATOS!$E3740&amp;"|"&amp;DATOS!$I3740)</f>
      </c>
      <c r="G3740">
        <f>IF(DATOS!$A3740="",0,IF(CONFIG_METADATA!$B$4&lt;&gt;"OR+EX",--(DATOS!$G3740=CONFIG_METADATA!$B$4),IF(DATOS!$G3740="EX",1,IF(DATOS!$G3740="OR",--(COUNTIFS(nNIA,DATOS!$A3740,nCURSO,DATOS!$D3740,nESPEC,DATOS!$E3740,nASIG,DATOS!$I3740,nEVAL,"EX")=0),0))))</f>
      </c>
      <c r="H3740">
        <f>IF(DATOS!$G3740&lt;&gt;"EX",0,--(COUNTIFS(nNIA,DATOS!$A3740,nCURSO,DATOS!$D3740,nESPEC,DATOS!$E3740,nASIG,DATOS!$I3740,nEVAL,"OR")=0))</f>
      </c>
      <c r="I3740">
        <f>IF(DATOS!$I3740="","",IFERROR(VLOOKUP(DATOS!$I3740,CONFIG_ASIGNATURAS!$B$2:$J$91,9,FALSE()),""))</f>
      </c>
    </row>
    <row r="3741">
      <c r="F3741">
        <f>IF(DATOS!$A3741="","",DATOS!$A3741&amp;"|"&amp;DATOS!$D3741&amp;"|"&amp;DATOS!$E3741&amp;"|"&amp;DATOS!$I3741)</f>
      </c>
      <c r="G3741">
        <f>IF(DATOS!$A3741="",0,IF(CONFIG_METADATA!$B$4&lt;&gt;"OR+EX",--(DATOS!$G3741=CONFIG_METADATA!$B$4),IF(DATOS!$G3741="EX",1,IF(DATOS!$G3741="OR",--(COUNTIFS(nNIA,DATOS!$A3741,nCURSO,DATOS!$D3741,nESPEC,DATOS!$E3741,nASIG,DATOS!$I3741,nEVAL,"EX")=0),0))))</f>
      </c>
      <c r="H3741">
        <f>IF(DATOS!$G3741&lt;&gt;"EX",0,--(COUNTIFS(nNIA,DATOS!$A3741,nCURSO,DATOS!$D3741,nESPEC,DATOS!$E3741,nASIG,DATOS!$I3741,nEVAL,"OR")=0))</f>
      </c>
      <c r="I3741">
        <f>IF(DATOS!$I3741="","",IFERROR(VLOOKUP(DATOS!$I3741,CONFIG_ASIGNATURAS!$B$2:$J$91,9,FALSE()),""))</f>
      </c>
    </row>
    <row r="3742">
      <c r="F3742">
        <f>IF(DATOS!$A3742="","",DATOS!$A3742&amp;"|"&amp;DATOS!$D3742&amp;"|"&amp;DATOS!$E3742&amp;"|"&amp;DATOS!$I3742)</f>
      </c>
      <c r="G3742">
        <f>IF(DATOS!$A3742="",0,IF(CONFIG_METADATA!$B$4&lt;&gt;"OR+EX",--(DATOS!$G3742=CONFIG_METADATA!$B$4),IF(DATOS!$G3742="EX",1,IF(DATOS!$G3742="OR",--(COUNTIFS(nNIA,DATOS!$A3742,nCURSO,DATOS!$D3742,nESPEC,DATOS!$E3742,nASIG,DATOS!$I3742,nEVAL,"EX")=0),0))))</f>
      </c>
      <c r="H3742">
        <f>IF(DATOS!$G3742&lt;&gt;"EX",0,--(COUNTIFS(nNIA,DATOS!$A3742,nCURSO,DATOS!$D3742,nESPEC,DATOS!$E3742,nASIG,DATOS!$I3742,nEVAL,"OR")=0))</f>
      </c>
      <c r="I3742">
        <f>IF(DATOS!$I3742="","",IFERROR(VLOOKUP(DATOS!$I3742,CONFIG_ASIGNATURAS!$B$2:$J$91,9,FALSE()),""))</f>
      </c>
    </row>
    <row r="3743">
      <c r="F3743">
        <f>IF(DATOS!$A3743="","",DATOS!$A3743&amp;"|"&amp;DATOS!$D3743&amp;"|"&amp;DATOS!$E3743&amp;"|"&amp;DATOS!$I3743)</f>
      </c>
      <c r="G3743">
        <f>IF(DATOS!$A3743="",0,IF(CONFIG_METADATA!$B$4&lt;&gt;"OR+EX",--(DATOS!$G3743=CONFIG_METADATA!$B$4),IF(DATOS!$G3743="EX",1,IF(DATOS!$G3743="OR",--(COUNTIFS(nNIA,DATOS!$A3743,nCURSO,DATOS!$D3743,nESPEC,DATOS!$E3743,nASIG,DATOS!$I3743,nEVAL,"EX")=0),0))))</f>
      </c>
      <c r="H3743">
        <f>IF(DATOS!$G3743&lt;&gt;"EX",0,--(COUNTIFS(nNIA,DATOS!$A3743,nCURSO,DATOS!$D3743,nESPEC,DATOS!$E3743,nASIG,DATOS!$I3743,nEVAL,"OR")=0))</f>
      </c>
      <c r="I3743">
        <f>IF(DATOS!$I3743="","",IFERROR(VLOOKUP(DATOS!$I3743,CONFIG_ASIGNATURAS!$B$2:$J$91,9,FALSE()),""))</f>
      </c>
    </row>
    <row r="3744">
      <c r="F3744">
        <f>IF(DATOS!$A3744="","",DATOS!$A3744&amp;"|"&amp;DATOS!$D3744&amp;"|"&amp;DATOS!$E3744&amp;"|"&amp;DATOS!$I3744)</f>
      </c>
      <c r="G3744">
        <f>IF(DATOS!$A3744="",0,IF(CONFIG_METADATA!$B$4&lt;&gt;"OR+EX",--(DATOS!$G3744=CONFIG_METADATA!$B$4),IF(DATOS!$G3744="EX",1,IF(DATOS!$G3744="OR",--(COUNTIFS(nNIA,DATOS!$A3744,nCURSO,DATOS!$D3744,nESPEC,DATOS!$E3744,nASIG,DATOS!$I3744,nEVAL,"EX")=0),0))))</f>
      </c>
      <c r="H3744">
        <f>IF(DATOS!$G3744&lt;&gt;"EX",0,--(COUNTIFS(nNIA,DATOS!$A3744,nCURSO,DATOS!$D3744,nESPEC,DATOS!$E3744,nASIG,DATOS!$I3744,nEVAL,"OR")=0))</f>
      </c>
      <c r="I3744">
        <f>IF(DATOS!$I3744="","",IFERROR(VLOOKUP(DATOS!$I3744,CONFIG_ASIGNATURAS!$B$2:$J$91,9,FALSE()),""))</f>
      </c>
    </row>
    <row r="3745">
      <c r="F3745">
        <f>IF(DATOS!$A3745="","",DATOS!$A3745&amp;"|"&amp;DATOS!$D3745&amp;"|"&amp;DATOS!$E3745&amp;"|"&amp;DATOS!$I3745)</f>
      </c>
      <c r="G3745">
        <f>IF(DATOS!$A3745="",0,IF(CONFIG_METADATA!$B$4&lt;&gt;"OR+EX",--(DATOS!$G3745=CONFIG_METADATA!$B$4),IF(DATOS!$G3745="EX",1,IF(DATOS!$G3745="OR",--(COUNTIFS(nNIA,DATOS!$A3745,nCURSO,DATOS!$D3745,nESPEC,DATOS!$E3745,nASIG,DATOS!$I3745,nEVAL,"EX")=0),0))))</f>
      </c>
      <c r="H3745">
        <f>IF(DATOS!$G3745&lt;&gt;"EX",0,--(COUNTIFS(nNIA,DATOS!$A3745,nCURSO,DATOS!$D3745,nESPEC,DATOS!$E3745,nASIG,DATOS!$I3745,nEVAL,"OR")=0))</f>
      </c>
      <c r="I3745">
        <f>IF(DATOS!$I3745="","",IFERROR(VLOOKUP(DATOS!$I3745,CONFIG_ASIGNATURAS!$B$2:$J$91,9,FALSE()),""))</f>
      </c>
    </row>
    <row r="3746">
      <c r="F3746">
        <f>IF(DATOS!$A3746="","",DATOS!$A3746&amp;"|"&amp;DATOS!$D3746&amp;"|"&amp;DATOS!$E3746&amp;"|"&amp;DATOS!$I3746)</f>
      </c>
      <c r="G3746">
        <f>IF(DATOS!$A3746="",0,IF(CONFIG_METADATA!$B$4&lt;&gt;"OR+EX",--(DATOS!$G3746=CONFIG_METADATA!$B$4),IF(DATOS!$G3746="EX",1,IF(DATOS!$G3746="OR",--(COUNTIFS(nNIA,DATOS!$A3746,nCURSO,DATOS!$D3746,nESPEC,DATOS!$E3746,nASIG,DATOS!$I3746,nEVAL,"EX")=0),0))))</f>
      </c>
      <c r="H3746">
        <f>IF(DATOS!$G3746&lt;&gt;"EX",0,--(COUNTIFS(nNIA,DATOS!$A3746,nCURSO,DATOS!$D3746,nESPEC,DATOS!$E3746,nASIG,DATOS!$I3746,nEVAL,"OR")=0))</f>
      </c>
      <c r="I3746">
        <f>IF(DATOS!$I3746="","",IFERROR(VLOOKUP(DATOS!$I3746,CONFIG_ASIGNATURAS!$B$2:$J$91,9,FALSE()),""))</f>
      </c>
    </row>
    <row r="3747">
      <c r="F3747">
        <f>IF(DATOS!$A3747="","",DATOS!$A3747&amp;"|"&amp;DATOS!$D3747&amp;"|"&amp;DATOS!$E3747&amp;"|"&amp;DATOS!$I3747)</f>
      </c>
      <c r="G3747">
        <f>IF(DATOS!$A3747="",0,IF(CONFIG_METADATA!$B$4&lt;&gt;"OR+EX",--(DATOS!$G3747=CONFIG_METADATA!$B$4),IF(DATOS!$G3747="EX",1,IF(DATOS!$G3747="OR",--(COUNTIFS(nNIA,DATOS!$A3747,nCURSO,DATOS!$D3747,nESPEC,DATOS!$E3747,nASIG,DATOS!$I3747,nEVAL,"EX")=0),0))))</f>
      </c>
      <c r="H3747">
        <f>IF(DATOS!$G3747&lt;&gt;"EX",0,--(COUNTIFS(nNIA,DATOS!$A3747,nCURSO,DATOS!$D3747,nESPEC,DATOS!$E3747,nASIG,DATOS!$I3747,nEVAL,"OR")=0))</f>
      </c>
      <c r="I3747">
        <f>IF(DATOS!$I3747="","",IFERROR(VLOOKUP(DATOS!$I3747,CONFIG_ASIGNATURAS!$B$2:$J$91,9,FALSE()),""))</f>
      </c>
    </row>
    <row r="3748">
      <c r="F3748">
        <f>IF(DATOS!$A3748="","",DATOS!$A3748&amp;"|"&amp;DATOS!$D3748&amp;"|"&amp;DATOS!$E3748&amp;"|"&amp;DATOS!$I3748)</f>
      </c>
      <c r="G3748">
        <f>IF(DATOS!$A3748="",0,IF(CONFIG_METADATA!$B$4&lt;&gt;"OR+EX",--(DATOS!$G3748=CONFIG_METADATA!$B$4),IF(DATOS!$G3748="EX",1,IF(DATOS!$G3748="OR",--(COUNTIFS(nNIA,DATOS!$A3748,nCURSO,DATOS!$D3748,nESPEC,DATOS!$E3748,nASIG,DATOS!$I3748,nEVAL,"EX")=0),0))))</f>
      </c>
      <c r="H3748">
        <f>IF(DATOS!$G3748&lt;&gt;"EX",0,--(COUNTIFS(nNIA,DATOS!$A3748,nCURSO,DATOS!$D3748,nESPEC,DATOS!$E3748,nASIG,DATOS!$I3748,nEVAL,"OR")=0))</f>
      </c>
      <c r="I3748">
        <f>IF(DATOS!$I3748="","",IFERROR(VLOOKUP(DATOS!$I3748,CONFIG_ASIGNATURAS!$B$2:$J$91,9,FALSE()),""))</f>
      </c>
    </row>
    <row r="3749">
      <c r="F3749">
        <f>IF(DATOS!$A3749="","",DATOS!$A3749&amp;"|"&amp;DATOS!$D3749&amp;"|"&amp;DATOS!$E3749&amp;"|"&amp;DATOS!$I3749)</f>
      </c>
      <c r="G3749">
        <f>IF(DATOS!$A3749="",0,IF(CONFIG_METADATA!$B$4&lt;&gt;"OR+EX",--(DATOS!$G3749=CONFIG_METADATA!$B$4),IF(DATOS!$G3749="EX",1,IF(DATOS!$G3749="OR",--(COUNTIFS(nNIA,DATOS!$A3749,nCURSO,DATOS!$D3749,nESPEC,DATOS!$E3749,nASIG,DATOS!$I3749,nEVAL,"EX")=0),0))))</f>
      </c>
      <c r="H3749">
        <f>IF(DATOS!$G3749&lt;&gt;"EX",0,--(COUNTIFS(nNIA,DATOS!$A3749,nCURSO,DATOS!$D3749,nESPEC,DATOS!$E3749,nASIG,DATOS!$I3749,nEVAL,"OR")=0))</f>
      </c>
      <c r="I3749">
        <f>IF(DATOS!$I3749="","",IFERROR(VLOOKUP(DATOS!$I3749,CONFIG_ASIGNATURAS!$B$2:$J$91,9,FALSE()),""))</f>
      </c>
    </row>
    <row r="3750">
      <c r="F3750">
        <f>IF(DATOS!$A3750="","",DATOS!$A3750&amp;"|"&amp;DATOS!$D3750&amp;"|"&amp;DATOS!$E3750&amp;"|"&amp;DATOS!$I3750)</f>
      </c>
      <c r="G3750">
        <f>IF(DATOS!$A3750="",0,IF(CONFIG_METADATA!$B$4&lt;&gt;"OR+EX",--(DATOS!$G3750=CONFIG_METADATA!$B$4),IF(DATOS!$G3750="EX",1,IF(DATOS!$G3750="OR",--(COUNTIFS(nNIA,DATOS!$A3750,nCURSO,DATOS!$D3750,nESPEC,DATOS!$E3750,nASIG,DATOS!$I3750,nEVAL,"EX")=0),0))))</f>
      </c>
      <c r="H3750">
        <f>IF(DATOS!$G3750&lt;&gt;"EX",0,--(COUNTIFS(nNIA,DATOS!$A3750,nCURSO,DATOS!$D3750,nESPEC,DATOS!$E3750,nASIG,DATOS!$I3750,nEVAL,"OR")=0))</f>
      </c>
      <c r="I3750">
        <f>IF(DATOS!$I3750="","",IFERROR(VLOOKUP(DATOS!$I3750,CONFIG_ASIGNATURAS!$B$2:$J$91,9,FALSE()),""))</f>
      </c>
    </row>
    <row r="3751">
      <c r="F3751">
        <f>IF(DATOS!$A3751="","",DATOS!$A3751&amp;"|"&amp;DATOS!$D3751&amp;"|"&amp;DATOS!$E3751&amp;"|"&amp;DATOS!$I3751)</f>
      </c>
      <c r="G3751">
        <f>IF(DATOS!$A3751="",0,IF(CONFIG_METADATA!$B$4&lt;&gt;"OR+EX",--(DATOS!$G3751=CONFIG_METADATA!$B$4),IF(DATOS!$G3751="EX",1,IF(DATOS!$G3751="OR",--(COUNTIFS(nNIA,DATOS!$A3751,nCURSO,DATOS!$D3751,nESPEC,DATOS!$E3751,nASIG,DATOS!$I3751,nEVAL,"EX")=0),0))))</f>
      </c>
      <c r="H3751">
        <f>IF(DATOS!$G3751&lt;&gt;"EX",0,--(COUNTIFS(nNIA,DATOS!$A3751,nCURSO,DATOS!$D3751,nESPEC,DATOS!$E3751,nASIG,DATOS!$I3751,nEVAL,"OR")=0))</f>
      </c>
      <c r="I3751">
        <f>IF(DATOS!$I3751="","",IFERROR(VLOOKUP(DATOS!$I3751,CONFIG_ASIGNATURAS!$B$2:$J$91,9,FALSE()),""))</f>
      </c>
    </row>
    <row r="3752">
      <c r="F3752">
        <f>IF(DATOS!$A3752="","",DATOS!$A3752&amp;"|"&amp;DATOS!$D3752&amp;"|"&amp;DATOS!$E3752&amp;"|"&amp;DATOS!$I3752)</f>
      </c>
      <c r="G3752">
        <f>IF(DATOS!$A3752="",0,IF(CONFIG_METADATA!$B$4&lt;&gt;"OR+EX",--(DATOS!$G3752=CONFIG_METADATA!$B$4),IF(DATOS!$G3752="EX",1,IF(DATOS!$G3752="OR",--(COUNTIFS(nNIA,DATOS!$A3752,nCURSO,DATOS!$D3752,nESPEC,DATOS!$E3752,nASIG,DATOS!$I3752,nEVAL,"EX")=0),0))))</f>
      </c>
      <c r="H3752">
        <f>IF(DATOS!$G3752&lt;&gt;"EX",0,--(COUNTIFS(nNIA,DATOS!$A3752,nCURSO,DATOS!$D3752,nESPEC,DATOS!$E3752,nASIG,DATOS!$I3752,nEVAL,"OR")=0))</f>
      </c>
      <c r="I3752">
        <f>IF(DATOS!$I3752="","",IFERROR(VLOOKUP(DATOS!$I3752,CONFIG_ASIGNATURAS!$B$2:$J$91,9,FALSE()),""))</f>
      </c>
    </row>
    <row r="3753">
      <c r="F3753">
        <f>IF(DATOS!$A3753="","",DATOS!$A3753&amp;"|"&amp;DATOS!$D3753&amp;"|"&amp;DATOS!$E3753&amp;"|"&amp;DATOS!$I3753)</f>
      </c>
      <c r="G3753">
        <f>IF(DATOS!$A3753="",0,IF(CONFIG_METADATA!$B$4&lt;&gt;"OR+EX",--(DATOS!$G3753=CONFIG_METADATA!$B$4),IF(DATOS!$G3753="EX",1,IF(DATOS!$G3753="OR",--(COUNTIFS(nNIA,DATOS!$A3753,nCURSO,DATOS!$D3753,nESPEC,DATOS!$E3753,nASIG,DATOS!$I3753,nEVAL,"EX")=0),0))))</f>
      </c>
      <c r="H3753">
        <f>IF(DATOS!$G3753&lt;&gt;"EX",0,--(COUNTIFS(nNIA,DATOS!$A3753,nCURSO,DATOS!$D3753,nESPEC,DATOS!$E3753,nASIG,DATOS!$I3753,nEVAL,"OR")=0))</f>
      </c>
      <c r="I3753">
        <f>IF(DATOS!$I3753="","",IFERROR(VLOOKUP(DATOS!$I3753,CONFIG_ASIGNATURAS!$B$2:$J$91,9,FALSE()),""))</f>
      </c>
    </row>
    <row r="3754">
      <c r="F3754">
        <f>IF(DATOS!$A3754="","",DATOS!$A3754&amp;"|"&amp;DATOS!$D3754&amp;"|"&amp;DATOS!$E3754&amp;"|"&amp;DATOS!$I3754)</f>
      </c>
      <c r="G3754">
        <f>IF(DATOS!$A3754="",0,IF(CONFIG_METADATA!$B$4&lt;&gt;"OR+EX",--(DATOS!$G3754=CONFIG_METADATA!$B$4),IF(DATOS!$G3754="EX",1,IF(DATOS!$G3754="OR",--(COUNTIFS(nNIA,DATOS!$A3754,nCURSO,DATOS!$D3754,nESPEC,DATOS!$E3754,nASIG,DATOS!$I3754,nEVAL,"EX")=0),0))))</f>
      </c>
      <c r="H3754">
        <f>IF(DATOS!$G3754&lt;&gt;"EX",0,--(COUNTIFS(nNIA,DATOS!$A3754,nCURSO,DATOS!$D3754,nESPEC,DATOS!$E3754,nASIG,DATOS!$I3754,nEVAL,"OR")=0))</f>
      </c>
      <c r="I3754">
        <f>IF(DATOS!$I3754="","",IFERROR(VLOOKUP(DATOS!$I3754,CONFIG_ASIGNATURAS!$B$2:$J$91,9,FALSE()),""))</f>
      </c>
    </row>
    <row r="3755">
      <c r="F3755">
        <f>IF(DATOS!$A3755="","",DATOS!$A3755&amp;"|"&amp;DATOS!$D3755&amp;"|"&amp;DATOS!$E3755&amp;"|"&amp;DATOS!$I3755)</f>
      </c>
      <c r="G3755">
        <f>IF(DATOS!$A3755="",0,IF(CONFIG_METADATA!$B$4&lt;&gt;"OR+EX",--(DATOS!$G3755=CONFIG_METADATA!$B$4),IF(DATOS!$G3755="EX",1,IF(DATOS!$G3755="OR",--(COUNTIFS(nNIA,DATOS!$A3755,nCURSO,DATOS!$D3755,nESPEC,DATOS!$E3755,nASIG,DATOS!$I3755,nEVAL,"EX")=0),0))))</f>
      </c>
      <c r="H3755">
        <f>IF(DATOS!$G3755&lt;&gt;"EX",0,--(COUNTIFS(nNIA,DATOS!$A3755,nCURSO,DATOS!$D3755,nESPEC,DATOS!$E3755,nASIG,DATOS!$I3755,nEVAL,"OR")=0))</f>
      </c>
      <c r="I3755">
        <f>IF(DATOS!$I3755="","",IFERROR(VLOOKUP(DATOS!$I3755,CONFIG_ASIGNATURAS!$B$2:$J$91,9,FALSE()),""))</f>
      </c>
    </row>
    <row r="3756">
      <c r="F3756">
        <f>IF(DATOS!$A3756="","",DATOS!$A3756&amp;"|"&amp;DATOS!$D3756&amp;"|"&amp;DATOS!$E3756&amp;"|"&amp;DATOS!$I3756)</f>
      </c>
      <c r="G3756">
        <f>IF(DATOS!$A3756="",0,IF(CONFIG_METADATA!$B$4&lt;&gt;"OR+EX",--(DATOS!$G3756=CONFIG_METADATA!$B$4),IF(DATOS!$G3756="EX",1,IF(DATOS!$G3756="OR",--(COUNTIFS(nNIA,DATOS!$A3756,nCURSO,DATOS!$D3756,nESPEC,DATOS!$E3756,nASIG,DATOS!$I3756,nEVAL,"EX")=0),0))))</f>
      </c>
      <c r="H3756">
        <f>IF(DATOS!$G3756&lt;&gt;"EX",0,--(COUNTIFS(nNIA,DATOS!$A3756,nCURSO,DATOS!$D3756,nESPEC,DATOS!$E3756,nASIG,DATOS!$I3756,nEVAL,"OR")=0))</f>
      </c>
      <c r="I3756">
        <f>IF(DATOS!$I3756="","",IFERROR(VLOOKUP(DATOS!$I3756,CONFIG_ASIGNATURAS!$B$2:$J$91,9,FALSE()),""))</f>
      </c>
    </row>
    <row r="3757">
      <c r="F3757">
        <f>IF(DATOS!$A3757="","",DATOS!$A3757&amp;"|"&amp;DATOS!$D3757&amp;"|"&amp;DATOS!$E3757&amp;"|"&amp;DATOS!$I3757)</f>
      </c>
      <c r="G3757">
        <f>IF(DATOS!$A3757="",0,IF(CONFIG_METADATA!$B$4&lt;&gt;"OR+EX",--(DATOS!$G3757=CONFIG_METADATA!$B$4),IF(DATOS!$G3757="EX",1,IF(DATOS!$G3757="OR",--(COUNTIFS(nNIA,DATOS!$A3757,nCURSO,DATOS!$D3757,nESPEC,DATOS!$E3757,nASIG,DATOS!$I3757,nEVAL,"EX")=0),0))))</f>
      </c>
      <c r="H3757">
        <f>IF(DATOS!$G3757&lt;&gt;"EX",0,--(COUNTIFS(nNIA,DATOS!$A3757,nCURSO,DATOS!$D3757,nESPEC,DATOS!$E3757,nASIG,DATOS!$I3757,nEVAL,"OR")=0))</f>
      </c>
      <c r="I3757">
        <f>IF(DATOS!$I3757="","",IFERROR(VLOOKUP(DATOS!$I3757,CONFIG_ASIGNATURAS!$B$2:$J$91,9,FALSE()),""))</f>
      </c>
    </row>
    <row r="3758">
      <c r="F3758">
        <f>IF(DATOS!$A3758="","",DATOS!$A3758&amp;"|"&amp;DATOS!$D3758&amp;"|"&amp;DATOS!$E3758&amp;"|"&amp;DATOS!$I3758)</f>
      </c>
      <c r="G3758">
        <f>IF(DATOS!$A3758="",0,IF(CONFIG_METADATA!$B$4&lt;&gt;"OR+EX",--(DATOS!$G3758=CONFIG_METADATA!$B$4),IF(DATOS!$G3758="EX",1,IF(DATOS!$G3758="OR",--(COUNTIFS(nNIA,DATOS!$A3758,nCURSO,DATOS!$D3758,nESPEC,DATOS!$E3758,nASIG,DATOS!$I3758,nEVAL,"EX")=0),0))))</f>
      </c>
      <c r="H3758">
        <f>IF(DATOS!$G3758&lt;&gt;"EX",0,--(COUNTIFS(nNIA,DATOS!$A3758,nCURSO,DATOS!$D3758,nESPEC,DATOS!$E3758,nASIG,DATOS!$I3758,nEVAL,"OR")=0))</f>
      </c>
      <c r="I3758">
        <f>IF(DATOS!$I3758="","",IFERROR(VLOOKUP(DATOS!$I3758,CONFIG_ASIGNATURAS!$B$2:$J$91,9,FALSE()),""))</f>
      </c>
    </row>
    <row r="3759">
      <c r="F3759">
        <f>IF(DATOS!$A3759="","",DATOS!$A3759&amp;"|"&amp;DATOS!$D3759&amp;"|"&amp;DATOS!$E3759&amp;"|"&amp;DATOS!$I3759)</f>
      </c>
      <c r="G3759">
        <f>IF(DATOS!$A3759="",0,IF(CONFIG_METADATA!$B$4&lt;&gt;"OR+EX",--(DATOS!$G3759=CONFIG_METADATA!$B$4),IF(DATOS!$G3759="EX",1,IF(DATOS!$G3759="OR",--(COUNTIFS(nNIA,DATOS!$A3759,nCURSO,DATOS!$D3759,nESPEC,DATOS!$E3759,nASIG,DATOS!$I3759,nEVAL,"EX")=0),0))))</f>
      </c>
      <c r="H3759">
        <f>IF(DATOS!$G3759&lt;&gt;"EX",0,--(COUNTIFS(nNIA,DATOS!$A3759,nCURSO,DATOS!$D3759,nESPEC,DATOS!$E3759,nASIG,DATOS!$I3759,nEVAL,"OR")=0))</f>
      </c>
      <c r="I3759">
        <f>IF(DATOS!$I3759="","",IFERROR(VLOOKUP(DATOS!$I3759,CONFIG_ASIGNATURAS!$B$2:$J$91,9,FALSE()),""))</f>
      </c>
    </row>
    <row r="3760">
      <c r="F3760">
        <f>IF(DATOS!$A3760="","",DATOS!$A3760&amp;"|"&amp;DATOS!$D3760&amp;"|"&amp;DATOS!$E3760&amp;"|"&amp;DATOS!$I3760)</f>
      </c>
      <c r="G3760">
        <f>IF(DATOS!$A3760="",0,IF(CONFIG_METADATA!$B$4&lt;&gt;"OR+EX",--(DATOS!$G3760=CONFIG_METADATA!$B$4),IF(DATOS!$G3760="EX",1,IF(DATOS!$G3760="OR",--(COUNTIFS(nNIA,DATOS!$A3760,nCURSO,DATOS!$D3760,nESPEC,DATOS!$E3760,nASIG,DATOS!$I3760,nEVAL,"EX")=0),0))))</f>
      </c>
      <c r="H3760">
        <f>IF(DATOS!$G3760&lt;&gt;"EX",0,--(COUNTIFS(nNIA,DATOS!$A3760,nCURSO,DATOS!$D3760,nESPEC,DATOS!$E3760,nASIG,DATOS!$I3760,nEVAL,"OR")=0))</f>
      </c>
      <c r="I3760">
        <f>IF(DATOS!$I3760="","",IFERROR(VLOOKUP(DATOS!$I3760,CONFIG_ASIGNATURAS!$B$2:$J$91,9,FALSE()),""))</f>
      </c>
    </row>
    <row r="3761">
      <c r="F3761">
        <f>IF(DATOS!$A3761="","",DATOS!$A3761&amp;"|"&amp;DATOS!$D3761&amp;"|"&amp;DATOS!$E3761&amp;"|"&amp;DATOS!$I3761)</f>
      </c>
      <c r="G3761">
        <f>IF(DATOS!$A3761="",0,IF(CONFIG_METADATA!$B$4&lt;&gt;"OR+EX",--(DATOS!$G3761=CONFIG_METADATA!$B$4),IF(DATOS!$G3761="EX",1,IF(DATOS!$G3761="OR",--(COUNTIFS(nNIA,DATOS!$A3761,nCURSO,DATOS!$D3761,nESPEC,DATOS!$E3761,nASIG,DATOS!$I3761,nEVAL,"EX")=0),0))))</f>
      </c>
      <c r="H3761">
        <f>IF(DATOS!$G3761&lt;&gt;"EX",0,--(COUNTIFS(nNIA,DATOS!$A3761,nCURSO,DATOS!$D3761,nESPEC,DATOS!$E3761,nASIG,DATOS!$I3761,nEVAL,"OR")=0))</f>
      </c>
      <c r="I3761">
        <f>IF(DATOS!$I3761="","",IFERROR(VLOOKUP(DATOS!$I3761,CONFIG_ASIGNATURAS!$B$2:$J$91,9,FALSE()),""))</f>
      </c>
    </row>
    <row r="3762">
      <c r="F3762">
        <f>IF(DATOS!$A3762="","",DATOS!$A3762&amp;"|"&amp;DATOS!$D3762&amp;"|"&amp;DATOS!$E3762&amp;"|"&amp;DATOS!$I3762)</f>
      </c>
      <c r="G3762">
        <f>IF(DATOS!$A3762="",0,IF(CONFIG_METADATA!$B$4&lt;&gt;"OR+EX",--(DATOS!$G3762=CONFIG_METADATA!$B$4),IF(DATOS!$G3762="EX",1,IF(DATOS!$G3762="OR",--(COUNTIFS(nNIA,DATOS!$A3762,nCURSO,DATOS!$D3762,nESPEC,DATOS!$E3762,nASIG,DATOS!$I3762,nEVAL,"EX")=0),0))))</f>
      </c>
      <c r="H3762">
        <f>IF(DATOS!$G3762&lt;&gt;"EX",0,--(COUNTIFS(nNIA,DATOS!$A3762,nCURSO,DATOS!$D3762,nESPEC,DATOS!$E3762,nASIG,DATOS!$I3762,nEVAL,"OR")=0))</f>
      </c>
      <c r="I3762">
        <f>IF(DATOS!$I3762="","",IFERROR(VLOOKUP(DATOS!$I3762,CONFIG_ASIGNATURAS!$B$2:$J$91,9,FALSE()),""))</f>
      </c>
    </row>
    <row r="3763">
      <c r="F3763">
        <f>IF(DATOS!$A3763="","",DATOS!$A3763&amp;"|"&amp;DATOS!$D3763&amp;"|"&amp;DATOS!$E3763&amp;"|"&amp;DATOS!$I3763)</f>
      </c>
      <c r="G3763">
        <f>IF(DATOS!$A3763="",0,IF(CONFIG_METADATA!$B$4&lt;&gt;"OR+EX",--(DATOS!$G3763=CONFIG_METADATA!$B$4),IF(DATOS!$G3763="EX",1,IF(DATOS!$G3763="OR",--(COUNTIFS(nNIA,DATOS!$A3763,nCURSO,DATOS!$D3763,nESPEC,DATOS!$E3763,nASIG,DATOS!$I3763,nEVAL,"EX")=0),0))))</f>
      </c>
      <c r="H3763">
        <f>IF(DATOS!$G3763&lt;&gt;"EX",0,--(COUNTIFS(nNIA,DATOS!$A3763,nCURSO,DATOS!$D3763,nESPEC,DATOS!$E3763,nASIG,DATOS!$I3763,nEVAL,"OR")=0))</f>
      </c>
      <c r="I3763">
        <f>IF(DATOS!$I3763="","",IFERROR(VLOOKUP(DATOS!$I3763,CONFIG_ASIGNATURAS!$B$2:$J$91,9,FALSE()),""))</f>
      </c>
    </row>
    <row r="3764">
      <c r="F3764">
        <f>IF(DATOS!$A3764="","",DATOS!$A3764&amp;"|"&amp;DATOS!$D3764&amp;"|"&amp;DATOS!$E3764&amp;"|"&amp;DATOS!$I3764)</f>
      </c>
      <c r="G3764">
        <f>IF(DATOS!$A3764="",0,IF(CONFIG_METADATA!$B$4&lt;&gt;"OR+EX",--(DATOS!$G3764=CONFIG_METADATA!$B$4),IF(DATOS!$G3764="EX",1,IF(DATOS!$G3764="OR",--(COUNTIFS(nNIA,DATOS!$A3764,nCURSO,DATOS!$D3764,nESPEC,DATOS!$E3764,nASIG,DATOS!$I3764,nEVAL,"EX")=0),0))))</f>
      </c>
      <c r="H3764">
        <f>IF(DATOS!$G3764&lt;&gt;"EX",0,--(COUNTIFS(nNIA,DATOS!$A3764,nCURSO,DATOS!$D3764,nESPEC,DATOS!$E3764,nASIG,DATOS!$I3764,nEVAL,"OR")=0))</f>
      </c>
      <c r="I3764">
        <f>IF(DATOS!$I3764="","",IFERROR(VLOOKUP(DATOS!$I3764,CONFIG_ASIGNATURAS!$B$2:$J$91,9,FALSE()),""))</f>
      </c>
    </row>
    <row r="3765">
      <c r="F3765">
        <f>IF(DATOS!$A3765="","",DATOS!$A3765&amp;"|"&amp;DATOS!$D3765&amp;"|"&amp;DATOS!$E3765&amp;"|"&amp;DATOS!$I3765)</f>
      </c>
      <c r="G3765">
        <f>IF(DATOS!$A3765="",0,IF(CONFIG_METADATA!$B$4&lt;&gt;"OR+EX",--(DATOS!$G3765=CONFIG_METADATA!$B$4),IF(DATOS!$G3765="EX",1,IF(DATOS!$G3765="OR",--(COUNTIFS(nNIA,DATOS!$A3765,nCURSO,DATOS!$D3765,nESPEC,DATOS!$E3765,nASIG,DATOS!$I3765,nEVAL,"EX")=0),0))))</f>
      </c>
      <c r="H3765">
        <f>IF(DATOS!$G3765&lt;&gt;"EX",0,--(COUNTIFS(nNIA,DATOS!$A3765,nCURSO,DATOS!$D3765,nESPEC,DATOS!$E3765,nASIG,DATOS!$I3765,nEVAL,"OR")=0))</f>
      </c>
      <c r="I3765">
        <f>IF(DATOS!$I3765="","",IFERROR(VLOOKUP(DATOS!$I3765,CONFIG_ASIGNATURAS!$B$2:$J$91,9,FALSE()),""))</f>
      </c>
    </row>
    <row r="3766">
      <c r="F3766">
        <f>IF(DATOS!$A3766="","",DATOS!$A3766&amp;"|"&amp;DATOS!$D3766&amp;"|"&amp;DATOS!$E3766&amp;"|"&amp;DATOS!$I3766)</f>
      </c>
      <c r="G3766">
        <f>IF(DATOS!$A3766="",0,IF(CONFIG_METADATA!$B$4&lt;&gt;"OR+EX",--(DATOS!$G3766=CONFIG_METADATA!$B$4),IF(DATOS!$G3766="EX",1,IF(DATOS!$G3766="OR",--(COUNTIFS(nNIA,DATOS!$A3766,nCURSO,DATOS!$D3766,nESPEC,DATOS!$E3766,nASIG,DATOS!$I3766,nEVAL,"EX")=0),0))))</f>
      </c>
      <c r="H3766">
        <f>IF(DATOS!$G3766&lt;&gt;"EX",0,--(COUNTIFS(nNIA,DATOS!$A3766,nCURSO,DATOS!$D3766,nESPEC,DATOS!$E3766,nASIG,DATOS!$I3766,nEVAL,"OR")=0))</f>
      </c>
      <c r="I3766">
        <f>IF(DATOS!$I3766="","",IFERROR(VLOOKUP(DATOS!$I3766,CONFIG_ASIGNATURAS!$B$2:$J$91,9,FALSE()),""))</f>
      </c>
    </row>
    <row r="3767">
      <c r="F3767">
        <f>IF(DATOS!$A3767="","",DATOS!$A3767&amp;"|"&amp;DATOS!$D3767&amp;"|"&amp;DATOS!$E3767&amp;"|"&amp;DATOS!$I3767)</f>
      </c>
      <c r="G3767">
        <f>IF(DATOS!$A3767="",0,IF(CONFIG_METADATA!$B$4&lt;&gt;"OR+EX",--(DATOS!$G3767=CONFIG_METADATA!$B$4),IF(DATOS!$G3767="EX",1,IF(DATOS!$G3767="OR",--(COUNTIFS(nNIA,DATOS!$A3767,nCURSO,DATOS!$D3767,nESPEC,DATOS!$E3767,nASIG,DATOS!$I3767,nEVAL,"EX")=0),0))))</f>
      </c>
      <c r="H3767">
        <f>IF(DATOS!$G3767&lt;&gt;"EX",0,--(COUNTIFS(nNIA,DATOS!$A3767,nCURSO,DATOS!$D3767,nESPEC,DATOS!$E3767,nASIG,DATOS!$I3767,nEVAL,"OR")=0))</f>
      </c>
      <c r="I3767">
        <f>IF(DATOS!$I3767="","",IFERROR(VLOOKUP(DATOS!$I3767,CONFIG_ASIGNATURAS!$B$2:$J$91,9,FALSE()),""))</f>
      </c>
    </row>
    <row r="3768">
      <c r="F3768">
        <f>IF(DATOS!$A3768="","",DATOS!$A3768&amp;"|"&amp;DATOS!$D3768&amp;"|"&amp;DATOS!$E3768&amp;"|"&amp;DATOS!$I3768)</f>
      </c>
      <c r="G3768">
        <f>IF(DATOS!$A3768="",0,IF(CONFIG_METADATA!$B$4&lt;&gt;"OR+EX",--(DATOS!$G3768=CONFIG_METADATA!$B$4),IF(DATOS!$G3768="EX",1,IF(DATOS!$G3768="OR",--(COUNTIFS(nNIA,DATOS!$A3768,nCURSO,DATOS!$D3768,nESPEC,DATOS!$E3768,nASIG,DATOS!$I3768,nEVAL,"EX")=0),0))))</f>
      </c>
      <c r="H3768">
        <f>IF(DATOS!$G3768&lt;&gt;"EX",0,--(COUNTIFS(nNIA,DATOS!$A3768,nCURSO,DATOS!$D3768,nESPEC,DATOS!$E3768,nASIG,DATOS!$I3768,nEVAL,"OR")=0))</f>
      </c>
      <c r="I3768">
        <f>IF(DATOS!$I3768="","",IFERROR(VLOOKUP(DATOS!$I3768,CONFIG_ASIGNATURAS!$B$2:$J$91,9,FALSE()),""))</f>
      </c>
    </row>
    <row r="3769">
      <c r="F3769">
        <f>IF(DATOS!$A3769="","",DATOS!$A3769&amp;"|"&amp;DATOS!$D3769&amp;"|"&amp;DATOS!$E3769&amp;"|"&amp;DATOS!$I3769)</f>
      </c>
      <c r="G3769">
        <f>IF(DATOS!$A3769="",0,IF(CONFIG_METADATA!$B$4&lt;&gt;"OR+EX",--(DATOS!$G3769=CONFIG_METADATA!$B$4),IF(DATOS!$G3769="EX",1,IF(DATOS!$G3769="OR",--(COUNTIFS(nNIA,DATOS!$A3769,nCURSO,DATOS!$D3769,nESPEC,DATOS!$E3769,nASIG,DATOS!$I3769,nEVAL,"EX")=0),0))))</f>
      </c>
      <c r="H3769">
        <f>IF(DATOS!$G3769&lt;&gt;"EX",0,--(COUNTIFS(nNIA,DATOS!$A3769,nCURSO,DATOS!$D3769,nESPEC,DATOS!$E3769,nASIG,DATOS!$I3769,nEVAL,"OR")=0))</f>
      </c>
      <c r="I3769">
        <f>IF(DATOS!$I3769="","",IFERROR(VLOOKUP(DATOS!$I3769,CONFIG_ASIGNATURAS!$B$2:$J$91,9,FALSE()),""))</f>
      </c>
    </row>
    <row r="3770">
      <c r="F3770">
        <f>IF(DATOS!$A3770="","",DATOS!$A3770&amp;"|"&amp;DATOS!$D3770&amp;"|"&amp;DATOS!$E3770&amp;"|"&amp;DATOS!$I3770)</f>
      </c>
      <c r="G3770">
        <f>IF(DATOS!$A3770="",0,IF(CONFIG_METADATA!$B$4&lt;&gt;"OR+EX",--(DATOS!$G3770=CONFIG_METADATA!$B$4),IF(DATOS!$G3770="EX",1,IF(DATOS!$G3770="OR",--(COUNTIFS(nNIA,DATOS!$A3770,nCURSO,DATOS!$D3770,nESPEC,DATOS!$E3770,nASIG,DATOS!$I3770,nEVAL,"EX")=0),0))))</f>
      </c>
      <c r="H3770">
        <f>IF(DATOS!$G3770&lt;&gt;"EX",0,--(COUNTIFS(nNIA,DATOS!$A3770,nCURSO,DATOS!$D3770,nESPEC,DATOS!$E3770,nASIG,DATOS!$I3770,nEVAL,"OR")=0))</f>
      </c>
      <c r="I3770">
        <f>IF(DATOS!$I3770="","",IFERROR(VLOOKUP(DATOS!$I3770,CONFIG_ASIGNATURAS!$B$2:$J$91,9,FALSE()),""))</f>
      </c>
    </row>
    <row r="3771">
      <c r="F3771">
        <f>IF(DATOS!$A3771="","",DATOS!$A3771&amp;"|"&amp;DATOS!$D3771&amp;"|"&amp;DATOS!$E3771&amp;"|"&amp;DATOS!$I3771)</f>
      </c>
      <c r="G3771">
        <f>IF(DATOS!$A3771="",0,IF(CONFIG_METADATA!$B$4&lt;&gt;"OR+EX",--(DATOS!$G3771=CONFIG_METADATA!$B$4),IF(DATOS!$G3771="EX",1,IF(DATOS!$G3771="OR",--(COUNTIFS(nNIA,DATOS!$A3771,nCURSO,DATOS!$D3771,nESPEC,DATOS!$E3771,nASIG,DATOS!$I3771,nEVAL,"EX")=0),0))))</f>
      </c>
      <c r="H3771">
        <f>IF(DATOS!$G3771&lt;&gt;"EX",0,--(COUNTIFS(nNIA,DATOS!$A3771,nCURSO,DATOS!$D3771,nESPEC,DATOS!$E3771,nASIG,DATOS!$I3771,nEVAL,"OR")=0))</f>
      </c>
      <c r="I3771">
        <f>IF(DATOS!$I3771="","",IFERROR(VLOOKUP(DATOS!$I3771,CONFIG_ASIGNATURAS!$B$2:$J$91,9,FALSE()),""))</f>
      </c>
    </row>
    <row r="3772">
      <c r="F3772">
        <f>IF(DATOS!$A3772="","",DATOS!$A3772&amp;"|"&amp;DATOS!$D3772&amp;"|"&amp;DATOS!$E3772&amp;"|"&amp;DATOS!$I3772)</f>
      </c>
      <c r="G3772">
        <f>IF(DATOS!$A3772="",0,IF(CONFIG_METADATA!$B$4&lt;&gt;"OR+EX",--(DATOS!$G3772=CONFIG_METADATA!$B$4),IF(DATOS!$G3772="EX",1,IF(DATOS!$G3772="OR",--(COUNTIFS(nNIA,DATOS!$A3772,nCURSO,DATOS!$D3772,nESPEC,DATOS!$E3772,nASIG,DATOS!$I3772,nEVAL,"EX")=0),0))))</f>
      </c>
      <c r="H3772">
        <f>IF(DATOS!$G3772&lt;&gt;"EX",0,--(COUNTIFS(nNIA,DATOS!$A3772,nCURSO,DATOS!$D3772,nESPEC,DATOS!$E3772,nASIG,DATOS!$I3772,nEVAL,"OR")=0))</f>
      </c>
      <c r="I3772">
        <f>IF(DATOS!$I3772="","",IFERROR(VLOOKUP(DATOS!$I3772,CONFIG_ASIGNATURAS!$B$2:$J$91,9,FALSE()),""))</f>
      </c>
    </row>
    <row r="3773">
      <c r="F3773">
        <f>IF(DATOS!$A3773="","",DATOS!$A3773&amp;"|"&amp;DATOS!$D3773&amp;"|"&amp;DATOS!$E3773&amp;"|"&amp;DATOS!$I3773)</f>
      </c>
      <c r="G3773">
        <f>IF(DATOS!$A3773="",0,IF(CONFIG_METADATA!$B$4&lt;&gt;"OR+EX",--(DATOS!$G3773=CONFIG_METADATA!$B$4),IF(DATOS!$G3773="EX",1,IF(DATOS!$G3773="OR",--(COUNTIFS(nNIA,DATOS!$A3773,nCURSO,DATOS!$D3773,nESPEC,DATOS!$E3773,nASIG,DATOS!$I3773,nEVAL,"EX")=0),0))))</f>
      </c>
      <c r="H3773">
        <f>IF(DATOS!$G3773&lt;&gt;"EX",0,--(COUNTIFS(nNIA,DATOS!$A3773,nCURSO,DATOS!$D3773,nESPEC,DATOS!$E3773,nASIG,DATOS!$I3773,nEVAL,"OR")=0))</f>
      </c>
      <c r="I3773">
        <f>IF(DATOS!$I3773="","",IFERROR(VLOOKUP(DATOS!$I3773,CONFIG_ASIGNATURAS!$B$2:$J$91,9,FALSE()),""))</f>
      </c>
    </row>
    <row r="3774">
      <c r="F3774">
        <f>IF(DATOS!$A3774="","",DATOS!$A3774&amp;"|"&amp;DATOS!$D3774&amp;"|"&amp;DATOS!$E3774&amp;"|"&amp;DATOS!$I3774)</f>
      </c>
      <c r="G3774">
        <f>IF(DATOS!$A3774="",0,IF(CONFIG_METADATA!$B$4&lt;&gt;"OR+EX",--(DATOS!$G3774=CONFIG_METADATA!$B$4),IF(DATOS!$G3774="EX",1,IF(DATOS!$G3774="OR",--(COUNTIFS(nNIA,DATOS!$A3774,nCURSO,DATOS!$D3774,nESPEC,DATOS!$E3774,nASIG,DATOS!$I3774,nEVAL,"EX")=0),0))))</f>
      </c>
      <c r="H3774">
        <f>IF(DATOS!$G3774&lt;&gt;"EX",0,--(COUNTIFS(nNIA,DATOS!$A3774,nCURSO,DATOS!$D3774,nESPEC,DATOS!$E3774,nASIG,DATOS!$I3774,nEVAL,"OR")=0))</f>
      </c>
      <c r="I3774">
        <f>IF(DATOS!$I3774="","",IFERROR(VLOOKUP(DATOS!$I3774,CONFIG_ASIGNATURAS!$B$2:$J$91,9,FALSE()),""))</f>
      </c>
    </row>
    <row r="3775">
      <c r="F3775">
        <f>IF(DATOS!$A3775="","",DATOS!$A3775&amp;"|"&amp;DATOS!$D3775&amp;"|"&amp;DATOS!$E3775&amp;"|"&amp;DATOS!$I3775)</f>
      </c>
      <c r="G3775">
        <f>IF(DATOS!$A3775="",0,IF(CONFIG_METADATA!$B$4&lt;&gt;"OR+EX",--(DATOS!$G3775=CONFIG_METADATA!$B$4),IF(DATOS!$G3775="EX",1,IF(DATOS!$G3775="OR",--(COUNTIFS(nNIA,DATOS!$A3775,nCURSO,DATOS!$D3775,nESPEC,DATOS!$E3775,nASIG,DATOS!$I3775,nEVAL,"EX")=0),0))))</f>
      </c>
      <c r="H3775">
        <f>IF(DATOS!$G3775&lt;&gt;"EX",0,--(COUNTIFS(nNIA,DATOS!$A3775,nCURSO,DATOS!$D3775,nESPEC,DATOS!$E3775,nASIG,DATOS!$I3775,nEVAL,"OR")=0))</f>
      </c>
      <c r="I3775">
        <f>IF(DATOS!$I3775="","",IFERROR(VLOOKUP(DATOS!$I3775,CONFIG_ASIGNATURAS!$B$2:$J$91,9,FALSE()),""))</f>
      </c>
    </row>
    <row r="3776">
      <c r="F3776">
        <f>IF(DATOS!$A3776="","",DATOS!$A3776&amp;"|"&amp;DATOS!$D3776&amp;"|"&amp;DATOS!$E3776&amp;"|"&amp;DATOS!$I3776)</f>
      </c>
      <c r="G3776">
        <f>IF(DATOS!$A3776="",0,IF(CONFIG_METADATA!$B$4&lt;&gt;"OR+EX",--(DATOS!$G3776=CONFIG_METADATA!$B$4),IF(DATOS!$G3776="EX",1,IF(DATOS!$G3776="OR",--(COUNTIFS(nNIA,DATOS!$A3776,nCURSO,DATOS!$D3776,nESPEC,DATOS!$E3776,nASIG,DATOS!$I3776,nEVAL,"EX")=0),0))))</f>
      </c>
      <c r="H3776">
        <f>IF(DATOS!$G3776&lt;&gt;"EX",0,--(COUNTIFS(nNIA,DATOS!$A3776,nCURSO,DATOS!$D3776,nESPEC,DATOS!$E3776,nASIG,DATOS!$I3776,nEVAL,"OR")=0))</f>
      </c>
      <c r="I3776">
        <f>IF(DATOS!$I3776="","",IFERROR(VLOOKUP(DATOS!$I3776,CONFIG_ASIGNATURAS!$B$2:$J$91,9,FALSE()),""))</f>
      </c>
    </row>
    <row r="3777">
      <c r="F3777">
        <f>IF(DATOS!$A3777="","",DATOS!$A3777&amp;"|"&amp;DATOS!$D3777&amp;"|"&amp;DATOS!$E3777&amp;"|"&amp;DATOS!$I3777)</f>
      </c>
      <c r="G3777">
        <f>IF(DATOS!$A3777="",0,IF(CONFIG_METADATA!$B$4&lt;&gt;"OR+EX",--(DATOS!$G3777=CONFIG_METADATA!$B$4),IF(DATOS!$G3777="EX",1,IF(DATOS!$G3777="OR",--(COUNTIFS(nNIA,DATOS!$A3777,nCURSO,DATOS!$D3777,nESPEC,DATOS!$E3777,nASIG,DATOS!$I3777,nEVAL,"EX")=0),0))))</f>
      </c>
      <c r="H3777">
        <f>IF(DATOS!$G3777&lt;&gt;"EX",0,--(COUNTIFS(nNIA,DATOS!$A3777,nCURSO,DATOS!$D3777,nESPEC,DATOS!$E3777,nASIG,DATOS!$I3777,nEVAL,"OR")=0))</f>
      </c>
      <c r="I3777">
        <f>IF(DATOS!$I3777="","",IFERROR(VLOOKUP(DATOS!$I3777,CONFIG_ASIGNATURAS!$B$2:$J$91,9,FALSE()),""))</f>
      </c>
    </row>
    <row r="3778">
      <c r="F3778">
        <f>IF(DATOS!$A3778="","",DATOS!$A3778&amp;"|"&amp;DATOS!$D3778&amp;"|"&amp;DATOS!$E3778&amp;"|"&amp;DATOS!$I3778)</f>
      </c>
      <c r="G3778">
        <f>IF(DATOS!$A3778="",0,IF(CONFIG_METADATA!$B$4&lt;&gt;"OR+EX",--(DATOS!$G3778=CONFIG_METADATA!$B$4),IF(DATOS!$G3778="EX",1,IF(DATOS!$G3778="OR",--(COUNTIFS(nNIA,DATOS!$A3778,nCURSO,DATOS!$D3778,nESPEC,DATOS!$E3778,nASIG,DATOS!$I3778,nEVAL,"EX")=0),0))))</f>
      </c>
      <c r="H3778">
        <f>IF(DATOS!$G3778&lt;&gt;"EX",0,--(COUNTIFS(nNIA,DATOS!$A3778,nCURSO,DATOS!$D3778,nESPEC,DATOS!$E3778,nASIG,DATOS!$I3778,nEVAL,"OR")=0))</f>
      </c>
      <c r="I3778">
        <f>IF(DATOS!$I3778="","",IFERROR(VLOOKUP(DATOS!$I3778,CONFIG_ASIGNATURAS!$B$2:$J$91,9,FALSE()),""))</f>
      </c>
    </row>
    <row r="3779">
      <c r="F3779">
        <f>IF(DATOS!$A3779="","",DATOS!$A3779&amp;"|"&amp;DATOS!$D3779&amp;"|"&amp;DATOS!$E3779&amp;"|"&amp;DATOS!$I3779)</f>
      </c>
      <c r="G3779">
        <f>IF(DATOS!$A3779="",0,IF(CONFIG_METADATA!$B$4&lt;&gt;"OR+EX",--(DATOS!$G3779=CONFIG_METADATA!$B$4),IF(DATOS!$G3779="EX",1,IF(DATOS!$G3779="OR",--(COUNTIFS(nNIA,DATOS!$A3779,nCURSO,DATOS!$D3779,nESPEC,DATOS!$E3779,nASIG,DATOS!$I3779,nEVAL,"EX")=0),0))))</f>
      </c>
      <c r="H3779">
        <f>IF(DATOS!$G3779&lt;&gt;"EX",0,--(COUNTIFS(nNIA,DATOS!$A3779,nCURSO,DATOS!$D3779,nESPEC,DATOS!$E3779,nASIG,DATOS!$I3779,nEVAL,"OR")=0))</f>
      </c>
      <c r="I3779">
        <f>IF(DATOS!$I3779="","",IFERROR(VLOOKUP(DATOS!$I3779,CONFIG_ASIGNATURAS!$B$2:$J$91,9,FALSE()),""))</f>
      </c>
    </row>
    <row r="3780">
      <c r="F3780">
        <f>IF(DATOS!$A3780="","",DATOS!$A3780&amp;"|"&amp;DATOS!$D3780&amp;"|"&amp;DATOS!$E3780&amp;"|"&amp;DATOS!$I3780)</f>
      </c>
      <c r="G3780">
        <f>IF(DATOS!$A3780="",0,IF(CONFIG_METADATA!$B$4&lt;&gt;"OR+EX",--(DATOS!$G3780=CONFIG_METADATA!$B$4),IF(DATOS!$G3780="EX",1,IF(DATOS!$G3780="OR",--(COUNTIFS(nNIA,DATOS!$A3780,nCURSO,DATOS!$D3780,nESPEC,DATOS!$E3780,nASIG,DATOS!$I3780,nEVAL,"EX")=0),0))))</f>
      </c>
      <c r="H3780">
        <f>IF(DATOS!$G3780&lt;&gt;"EX",0,--(COUNTIFS(nNIA,DATOS!$A3780,nCURSO,DATOS!$D3780,nESPEC,DATOS!$E3780,nASIG,DATOS!$I3780,nEVAL,"OR")=0))</f>
      </c>
      <c r="I3780">
        <f>IF(DATOS!$I3780="","",IFERROR(VLOOKUP(DATOS!$I3780,CONFIG_ASIGNATURAS!$B$2:$J$91,9,FALSE()),""))</f>
      </c>
    </row>
    <row r="3781">
      <c r="F3781">
        <f>IF(DATOS!$A3781="","",DATOS!$A3781&amp;"|"&amp;DATOS!$D3781&amp;"|"&amp;DATOS!$E3781&amp;"|"&amp;DATOS!$I3781)</f>
      </c>
      <c r="G3781">
        <f>IF(DATOS!$A3781="",0,IF(CONFIG_METADATA!$B$4&lt;&gt;"OR+EX",--(DATOS!$G3781=CONFIG_METADATA!$B$4),IF(DATOS!$G3781="EX",1,IF(DATOS!$G3781="OR",--(COUNTIFS(nNIA,DATOS!$A3781,nCURSO,DATOS!$D3781,nESPEC,DATOS!$E3781,nASIG,DATOS!$I3781,nEVAL,"EX")=0),0))))</f>
      </c>
      <c r="H3781">
        <f>IF(DATOS!$G3781&lt;&gt;"EX",0,--(COUNTIFS(nNIA,DATOS!$A3781,nCURSO,DATOS!$D3781,nESPEC,DATOS!$E3781,nASIG,DATOS!$I3781,nEVAL,"OR")=0))</f>
      </c>
      <c r="I3781">
        <f>IF(DATOS!$I3781="","",IFERROR(VLOOKUP(DATOS!$I3781,CONFIG_ASIGNATURAS!$B$2:$J$91,9,FALSE()),""))</f>
      </c>
    </row>
    <row r="3782">
      <c r="F3782">
        <f>IF(DATOS!$A3782="","",DATOS!$A3782&amp;"|"&amp;DATOS!$D3782&amp;"|"&amp;DATOS!$E3782&amp;"|"&amp;DATOS!$I3782)</f>
      </c>
      <c r="G3782">
        <f>IF(DATOS!$A3782="",0,IF(CONFIG_METADATA!$B$4&lt;&gt;"OR+EX",--(DATOS!$G3782=CONFIG_METADATA!$B$4),IF(DATOS!$G3782="EX",1,IF(DATOS!$G3782="OR",--(COUNTIFS(nNIA,DATOS!$A3782,nCURSO,DATOS!$D3782,nESPEC,DATOS!$E3782,nASIG,DATOS!$I3782,nEVAL,"EX")=0),0))))</f>
      </c>
      <c r="H3782">
        <f>IF(DATOS!$G3782&lt;&gt;"EX",0,--(COUNTIFS(nNIA,DATOS!$A3782,nCURSO,DATOS!$D3782,nESPEC,DATOS!$E3782,nASIG,DATOS!$I3782,nEVAL,"OR")=0))</f>
      </c>
      <c r="I3782">
        <f>IF(DATOS!$I3782="","",IFERROR(VLOOKUP(DATOS!$I3782,CONFIG_ASIGNATURAS!$B$2:$J$91,9,FALSE()),""))</f>
      </c>
    </row>
    <row r="3783">
      <c r="F3783">
        <f>IF(DATOS!$A3783="","",DATOS!$A3783&amp;"|"&amp;DATOS!$D3783&amp;"|"&amp;DATOS!$E3783&amp;"|"&amp;DATOS!$I3783)</f>
      </c>
      <c r="G3783">
        <f>IF(DATOS!$A3783="",0,IF(CONFIG_METADATA!$B$4&lt;&gt;"OR+EX",--(DATOS!$G3783=CONFIG_METADATA!$B$4),IF(DATOS!$G3783="EX",1,IF(DATOS!$G3783="OR",--(COUNTIFS(nNIA,DATOS!$A3783,nCURSO,DATOS!$D3783,nESPEC,DATOS!$E3783,nASIG,DATOS!$I3783,nEVAL,"EX")=0),0))))</f>
      </c>
      <c r="H3783">
        <f>IF(DATOS!$G3783&lt;&gt;"EX",0,--(COUNTIFS(nNIA,DATOS!$A3783,nCURSO,DATOS!$D3783,nESPEC,DATOS!$E3783,nASIG,DATOS!$I3783,nEVAL,"OR")=0))</f>
      </c>
      <c r="I3783">
        <f>IF(DATOS!$I3783="","",IFERROR(VLOOKUP(DATOS!$I3783,CONFIG_ASIGNATURAS!$B$2:$J$91,9,FALSE()),""))</f>
      </c>
    </row>
    <row r="3784">
      <c r="F3784">
        <f>IF(DATOS!$A3784="","",DATOS!$A3784&amp;"|"&amp;DATOS!$D3784&amp;"|"&amp;DATOS!$E3784&amp;"|"&amp;DATOS!$I3784)</f>
      </c>
      <c r="G3784">
        <f>IF(DATOS!$A3784="",0,IF(CONFIG_METADATA!$B$4&lt;&gt;"OR+EX",--(DATOS!$G3784=CONFIG_METADATA!$B$4),IF(DATOS!$G3784="EX",1,IF(DATOS!$G3784="OR",--(COUNTIFS(nNIA,DATOS!$A3784,nCURSO,DATOS!$D3784,nESPEC,DATOS!$E3784,nASIG,DATOS!$I3784,nEVAL,"EX")=0),0))))</f>
      </c>
      <c r="H3784">
        <f>IF(DATOS!$G3784&lt;&gt;"EX",0,--(COUNTIFS(nNIA,DATOS!$A3784,nCURSO,DATOS!$D3784,nESPEC,DATOS!$E3784,nASIG,DATOS!$I3784,nEVAL,"OR")=0))</f>
      </c>
      <c r="I3784">
        <f>IF(DATOS!$I3784="","",IFERROR(VLOOKUP(DATOS!$I3784,CONFIG_ASIGNATURAS!$B$2:$J$91,9,FALSE()),""))</f>
      </c>
    </row>
    <row r="3785">
      <c r="F3785">
        <f>IF(DATOS!$A3785="","",DATOS!$A3785&amp;"|"&amp;DATOS!$D3785&amp;"|"&amp;DATOS!$E3785&amp;"|"&amp;DATOS!$I3785)</f>
      </c>
      <c r="G3785">
        <f>IF(DATOS!$A3785="",0,IF(CONFIG_METADATA!$B$4&lt;&gt;"OR+EX",--(DATOS!$G3785=CONFIG_METADATA!$B$4),IF(DATOS!$G3785="EX",1,IF(DATOS!$G3785="OR",--(COUNTIFS(nNIA,DATOS!$A3785,nCURSO,DATOS!$D3785,nESPEC,DATOS!$E3785,nASIG,DATOS!$I3785,nEVAL,"EX")=0),0))))</f>
      </c>
      <c r="H3785">
        <f>IF(DATOS!$G3785&lt;&gt;"EX",0,--(COUNTIFS(nNIA,DATOS!$A3785,nCURSO,DATOS!$D3785,nESPEC,DATOS!$E3785,nASIG,DATOS!$I3785,nEVAL,"OR")=0))</f>
      </c>
      <c r="I3785">
        <f>IF(DATOS!$I3785="","",IFERROR(VLOOKUP(DATOS!$I3785,CONFIG_ASIGNATURAS!$B$2:$J$91,9,FALSE()),""))</f>
      </c>
    </row>
    <row r="3786">
      <c r="F3786">
        <f>IF(DATOS!$A3786="","",DATOS!$A3786&amp;"|"&amp;DATOS!$D3786&amp;"|"&amp;DATOS!$E3786&amp;"|"&amp;DATOS!$I3786)</f>
      </c>
      <c r="G3786">
        <f>IF(DATOS!$A3786="",0,IF(CONFIG_METADATA!$B$4&lt;&gt;"OR+EX",--(DATOS!$G3786=CONFIG_METADATA!$B$4),IF(DATOS!$G3786="EX",1,IF(DATOS!$G3786="OR",--(COUNTIFS(nNIA,DATOS!$A3786,nCURSO,DATOS!$D3786,nESPEC,DATOS!$E3786,nASIG,DATOS!$I3786,nEVAL,"EX")=0),0))))</f>
      </c>
      <c r="H3786">
        <f>IF(DATOS!$G3786&lt;&gt;"EX",0,--(COUNTIFS(nNIA,DATOS!$A3786,nCURSO,DATOS!$D3786,nESPEC,DATOS!$E3786,nASIG,DATOS!$I3786,nEVAL,"OR")=0))</f>
      </c>
      <c r="I3786">
        <f>IF(DATOS!$I3786="","",IFERROR(VLOOKUP(DATOS!$I3786,CONFIG_ASIGNATURAS!$B$2:$J$91,9,FALSE()),""))</f>
      </c>
    </row>
    <row r="3787">
      <c r="F3787">
        <f>IF(DATOS!$A3787="","",DATOS!$A3787&amp;"|"&amp;DATOS!$D3787&amp;"|"&amp;DATOS!$E3787&amp;"|"&amp;DATOS!$I3787)</f>
      </c>
      <c r="G3787">
        <f>IF(DATOS!$A3787="",0,IF(CONFIG_METADATA!$B$4&lt;&gt;"OR+EX",--(DATOS!$G3787=CONFIG_METADATA!$B$4),IF(DATOS!$G3787="EX",1,IF(DATOS!$G3787="OR",--(COUNTIFS(nNIA,DATOS!$A3787,nCURSO,DATOS!$D3787,nESPEC,DATOS!$E3787,nASIG,DATOS!$I3787,nEVAL,"EX")=0),0))))</f>
      </c>
      <c r="H3787">
        <f>IF(DATOS!$G3787&lt;&gt;"EX",0,--(COUNTIFS(nNIA,DATOS!$A3787,nCURSO,DATOS!$D3787,nESPEC,DATOS!$E3787,nASIG,DATOS!$I3787,nEVAL,"OR")=0))</f>
      </c>
      <c r="I3787">
        <f>IF(DATOS!$I3787="","",IFERROR(VLOOKUP(DATOS!$I3787,CONFIG_ASIGNATURAS!$B$2:$J$91,9,FALSE()),""))</f>
      </c>
    </row>
    <row r="3788">
      <c r="F3788">
        <f>IF(DATOS!$A3788="","",DATOS!$A3788&amp;"|"&amp;DATOS!$D3788&amp;"|"&amp;DATOS!$E3788&amp;"|"&amp;DATOS!$I3788)</f>
      </c>
      <c r="G3788">
        <f>IF(DATOS!$A3788="",0,IF(CONFIG_METADATA!$B$4&lt;&gt;"OR+EX",--(DATOS!$G3788=CONFIG_METADATA!$B$4),IF(DATOS!$G3788="EX",1,IF(DATOS!$G3788="OR",--(COUNTIFS(nNIA,DATOS!$A3788,nCURSO,DATOS!$D3788,nESPEC,DATOS!$E3788,nASIG,DATOS!$I3788,nEVAL,"EX")=0),0))))</f>
      </c>
      <c r="H3788">
        <f>IF(DATOS!$G3788&lt;&gt;"EX",0,--(COUNTIFS(nNIA,DATOS!$A3788,nCURSO,DATOS!$D3788,nESPEC,DATOS!$E3788,nASIG,DATOS!$I3788,nEVAL,"OR")=0))</f>
      </c>
      <c r="I3788">
        <f>IF(DATOS!$I3788="","",IFERROR(VLOOKUP(DATOS!$I3788,CONFIG_ASIGNATURAS!$B$2:$J$91,9,FALSE()),""))</f>
      </c>
    </row>
    <row r="3789">
      <c r="F3789">
        <f>IF(DATOS!$A3789="","",DATOS!$A3789&amp;"|"&amp;DATOS!$D3789&amp;"|"&amp;DATOS!$E3789&amp;"|"&amp;DATOS!$I3789)</f>
      </c>
      <c r="G3789">
        <f>IF(DATOS!$A3789="",0,IF(CONFIG_METADATA!$B$4&lt;&gt;"OR+EX",--(DATOS!$G3789=CONFIG_METADATA!$B$4),IF(DATOS!$G3789="EX",1,IF(DATOS!$G3789="OR",--(COUNTIFS(nNIA,DATOS!$A3789,nCURSO,DATOS!$D3789,nESPEC,DATOS!$E3789,nASIG,DATOS!$I3789,nEVAL,"EX")=0),0))))</f>
      </c>
      <c r="H3789">
        <f>IF(DATOS!$G3789&lt;&gt;"EX",0,--(COUNTIFS(nNIA,DATOS!$A3789,nCURSO,DATOS!$D3789,nESPEC,DATOS!$E3789,nASIG,DATOS!$I3789,nEVAL,"OR")=0))</f>
      </c>
      <c r="I3789">
        <f>IF(DATOS!$I3789="","",IFERROR(VLOOKUP(DATOS!$I3789,CONFIG_ASIGNATURAS!$B$2:$J$91,9,FALSE()),""))</f>
      </c>
    </row>
    <row r="3790">
      <c r="F3790">
        <f>IF(DATOS!$A3790="","",DATOS!$A3790&amp;"|"&amp;DATOS!$D3790&amp;"|"&amp;DATOS!$E3790&amp;"|"&amp;DATOS!$I3790)</f>
      </c>
      <c r="G3790">
        <f>IF(DATOS!$A3790="",0,IF(CONFIG_METADATA!$B$4&lt;&gt;"OR+EX",--(DATOS!$G3790=CONFIG_METADATA!$B$4),IF(DATOS!$G3790="EX",1,IF(DATOS!$G3790="OR",--(COUNTIFS(nNIA,DATOS!$A3790,nCURSO,DATOS!$D3790,nESPEC,DATOS!$E3790,nASIG,DATOS!$I3790,nEVAL,"EX")=0),0))))</f>
      </c>
      <c r="H3790">
        <f>IF(DATOS!$G3790&lt;&gt;"EX",0,--(COUNTIFS(nNIA,DATOS!$A3790,nCURSO,DATOS!$D3790,nESPEC,DATOS!$E3790,nASIG,DATOS!$I3790,nEVAL,"OR")=0))</f>
      </c>
      <c r="I3790">
        <f>IF(DATOS!$I3790="","",IFERROR(VLOOKUP(DATOS!$I3790,CONFIG_ASIGNATURAS!$B$2:$J$91,9,FALSE()),""))</f>
      </c>
    </row>
    <row r="3791">
      <c r="F3791">
        <f>IF(DATOS!$A3791="","",DATOS!$A3791&amp;"|"&amp;DATOS!$D3791&amp;"|"&amp;DATOS!$E3791&amp;"|"&amp;DATOS!$I3791)</f>
      </c>
      <c r="G3791">
        <f>IF(DATOS!$A3791="",0,IF(CONFIG_METADATA!$B$4&lt;&gt;"OR+EX",--(DATOS!$G3791=CONFIG_METADATA!$B$4),IF(DATOS!$G3791="EX",1,IF(DATOS!$G3791="OR",--(COUNTIFS(nNIA,DATOS!$A3791,nCURSO,DATOS!$D3791,nESPEC,DATOS!$E3791,nASIG,DATOS!$I3791,nEVAL,"EX")=0),0))))</f>
      </c>
      <c r="H3791">
        <f>IF(DATOS!$G3791&lt;&gt;"EX",0,--(COUNTIFS(nNIA,DATOS!$A3791,nCURSO,DATOS!$D3791,nESPEC,DATOS!$E3791,nASIG,DATOS!$I3791,nEVAL,"OR")=0))</f>
      </c>
      <c r="I3791">
        <f>IF(DATOS!$I3791="","",IFERROR(VLOOKUP(DATOS!$I3791,CONFIG_ASIGNATURAS!$B$2:$J$91,9,FALSE()),""))</f>
      </c>
    </row>
    <row r="3792">
      <c r="F3792">
        <f>IF(DATOS!$A3792="","",DATOS!$A3792&amp;"|"&amp;DATOS!$D3792&amp;"|"&amp;DATOS!$E3792&amp;"|"&amp;DATOS!$I3792)</f>
      </c>
      <c r="G3792">
        <f>IF(DATOS!$A3792="",0,IF(CONFIG_METADATA!$B$4&lt;&gt;"OR+EX",--(DATOS!$G3792=CONFIG_METADATA!$B$4),IF(DATOS!$G3792="EX",1,IF(DATOS!$G3792="OR",--(COUNTIFS(nNIA,DATOS!$A3792,nCURSO,DATOS!$D3792,nESPEC,DATOS!$E3792,nASIG,DATOS!$I3792,nEVAL,"EX")=0),0))))</f>
      </c>
      <c r="H3792">
        <f>IF(DATOS!$G3792&lt;&gt;"EX",0,--(COUNTIFS(nNIA,DATOS!$A3792,nCURSO,DATOS!$D3792,nESPEC,DATOS!$E3792,nASIG,DATOS!$I3792,nEVAL,"OR")=0))</f>
      </c>
      <c r="I3792">
        <f>IF(DATOS!$I3792="","",IFERROR(VLOOKUP(DATOS!$I3792,CONFIG_ASIGNATURAS!$B$2:$J$91,9,FALSE()),""))</f>
      </c>
    </row>
    <row r="3793">
      <c r="F3793">
        <f>IF(DATOS!$A3793="","",DATOS!$A3793&amp;"|"&amp;DATOS!$D3793&amp;"|"&amp;DATOS!$E3793&amp;"|"&amp;DATOS!$I3793)</f>
      </c>
      <c r="G3793">
        <f>IF(DATOS!$A3793="",0,IF(CONFIG_METADATA!$B$4&lt;&gt;"OR+EX",--(DATOS!$G3793=CONFIG_METADATA!$B$4),IF(DATOS!$G3793="EX",1,IF(DATOS!$G3793="OR",--(COUNTIFS(nNIA,DATOS!$A3793,nCURSO,DATOS!$D3793,nESPEC,DATOS!$E3793,nASIG,DATOS!$I3793,nEVAL,"EX")=0),0))))</f>
      </c>
      <c r="H3793">
        <f>IF(DATOS!$G3793&lt;&gt;"EX",0,--(COUNTIFS(nNIA,DATOS!$A3793,nCURSO,DATOS!$D3793,nESPEC,DATOS!$E3793,nASIG,DATOS!$I3793,nEVAL,"OR")=0))</f>
      </c>
      <c r="I3793">
        <f>IF(DATOS!$I3793="","",IFERROR(VLOOKUP(DATOS!$I3793,CONFIG_ASIGNATURAS!$B$2:$J$91,9,FALSE()),""))</f>
      </c>
    </row>
    <row r="3794">
      <c r="F3794">
        <f>IF(DATOS!$A3794="","",DATOS!$A3794&amp;"|"&amp;DATOS!$D3794&amp;"|"&amp;DATOS!$E3794&amp;"|"&amp;DATOS!$I3794)</f>
      </c>
      <c r="G3794">
        <f>IF(DATOS!$A3794="",0,IF(CONFIG_METADATA!$B$4&lt;&gt;"OR+EX",--(DATOS!$G3794=CONFIG_METADATA!$B$4),IF(DATOS!$G3794="EX",1,IF(DATOS!$G3794="OR",--(COUNTIFS(nNIA,DATOS!$A3794,nCURSO,DATOS!$D3794,nESPEC,DATOS!$E3794,nASIG,DATOS!$I3794,nEVAL,"EX")=0),0))))</f>
      </c>
      <c r="H3794">
        <f>IF(DATOS!$G3794&lt;&gt;"EX",0,--(COUNTIFS(nNIA,DATOS!$A3794,nCURSO,DATOS!$D3794,nESPEC,DATOS!$E3794,nASIG,DATOS!$I3794,nEVAL,"OR")=0))</f>
      </c>
      <c r="I3794">
        <f>IF(DATOS!$I3794="","",IFERROR(VLOOKUP(DATOS!$I3794,CONFIG_ASIGNATURAS!$B$2:$J$91,9,FALSE()),""))</f>
      </c>
    </row>
    <row r="3795">
      <c r="F3795">
        <f>IF(DATOS!$A3795="","",DATOS!$A3795&amp;"|"&amp;DATOS!$D3795&amp;"|"&amp;DATOS!$E3795&amp;"|"&amp;DATOS!$I3795)</f>
      </c>
      <c r="G3795">
        <f>IF(DATOS!$A3795="",0,IF(CONFIG_METADATA!$B$4&lt;&gt;"OR+EX",--(DATOS!$G3795=CONFIG_METADATA!$B$4),IF(DATOS!$G3795="EX",1,IF(DATOS!$G3795="OR",--(COUNTIFS(nNIA,DATOS!$A3795,nCURSO,DATOS!$D3795,nESPEC,DATOS!$E3795,nASIG,DATOS!$I3795,nEVAL,"EX")=0),0))))</f>
      </c>
      <c r="H3795">
        <f>IF(DATOS!$G3795&lt;&gt;"EX",0,--(COUNTIFS(nNIA,DATOS!$A3795,nCURSO,DATOS!$D3795,nESPEC,DATOS!$E3795,nASIG,DATOS!$I3795,nEVAL,"OR")=0))</f>
      </c>
      <c r="I3795">
        <f>IF(DATOS!$I3795="","",IFERROR(VLOOKUP(DATOS!$I3795,CONFIG_ASIGNATURAS!$B$2:$J$91,9,FALSE()),""))</f>
      </c>
    </row>
    <row r="3796">
      <c r="F3796">
        <f>IF(DATOS!$A3796="","",DATOS!$A3796&amp;"|"&amp;DATOS!$D3796&amp;"|"&amp;DATOS!$E3796&amp;"|"&amp;DATOS!$I3796)</f>
      </c>
      <c r="G3796">
        <f>IF(DATOS!$A3796="",0,IF(CONFIG_METADATA!$B$4&lt;&gt;"OR+EX",--(DATOS!$G3796=CONFIG_METADATA!$B$4),IF(DATOS!$G3796="EX",1,IF(DATOS!$G3796="OR",--(COUNTIFS(nNIA,DATOS!$A3796,nCURSO,DATOS!$D3796,nESPEC,DATOS!$E3796,nASIG,DATOS!$I3796,nEVAL,"EX")=0),0))))</f>
      </c>
      <c r="H3796">
        <f>IF(DATOS!$G3796&lt;&gt;"EX",0,--(COUNTIFS(nNIA,DATOS!$A3796,nCURSO,DATOS!$D3796,nESPEC,DATOS!$E3796,nASIG,DATOS!$I3796,nEVAL,"OR")=0))</f>
      </c>
      <c r="I3796">
        <f>IF(DATOS!$I3796="","",IFERROR(VLOOKUP(DATOS!$I3796,CONFIG_ASIGNATURAS!$B$2:$J$91,9,FALSE()),""))</f>
      </c>
    </row>
    <row r="3797">
      <c r="F3797">
        <f>IF(DATOS!$A3797="","",DATOS!$A3797&amp;"|"&amp;DATOS!$D3797&amp;"|"&amp;DATOS!$E3797&amp;"|"&amp;DATOS!$I3797)</f>
      </c>
      <c r="G3797">
        <f>IF(DATOS!$A3797="",0,IF(CONFIG_METADATA!$B$4&lt;&gt;"OR+EX",--(DATOS!$G3797=CONFIG_METADATA!$B$4),IF(DATOS!$G3797="EX",1,IF(DATOS!$G3797="OR",--(COUNTIFS(nNIA,DATOS!$A3797,nCURSO,DATOS!$D3797,nESPEC,DATOS!$E3797,nASIG,DATOS!$I3797,nEVAL,"EX")=0),0))))</f>
      </c>
      <c r="H3797">
        <f>IF(DATOS!$G3797&lt;&gt;"EX",0,--(COUNTIFS(nNIA,DATOS!$A3797,nCURSO,DATOS!$D3797,nESPEC,DATOS!$E3797,nASIG,DATOS!$I3797,nEVAL,"OR")=0))</f>
      </c>
      <c r="I3797">
        <f>IF(DATOS!$I3797="","",IFERROR(VLOOKUP(DATOS!$I3797,CONFIG_ASIGNATURAS!$B$2:$J$91,9,FALSE()),""))</f>
      </c>
    </row>
    <row r="3798">
      <c r="F3798">
        <f>IF(DATOS!$A3798="","",DATOS!$A3798&amp;"|"&amp;DATOS!$D3798&amp;"|"&amp;DATOS!$E3798&amp;"|"&amp;DATOS!$I3798)</f>
      </c>
      <c r="G3798">
        <f>IF(DATOS!$A3798="",0,IF(CONFIG_METADATA!$B$4&lt;&gt;"OR+EX",--(DATOS!$G3798=CONFIG_METADATA!$B$4),IF(DATOS!$G3798="EX",1,IF(DATOS!$G3798="OR",--(COUNTIFS(nNIA,DATOS!$A3798,nCURSO,DATOS!$D3798,nESPEC,DATOS!$E3798,nASIG,DATOS!$I3798,nEVAL,"EX")=0),0))))</f>
      </c>
      <c r="H3798">
        <f>IF(DATOS!$G3798&lt;&gt;"EX",0,--(COUNTIFS(nNIA,DATOS!$A3798,nCURSO,DATOS!$D3798,nESPEC,DATOS!$E3798,nASIG,DATOS!$I3798,nEVAL,"OR")=0))</f>
      </c>
      <c r="I3798">
        <f>IF(DATOS!$I3798="","",IFERROR(VLOOKUP(DATOS!$I3798,CONFIG_ASIGNATURAS!$B$2:$J$91,9,FALSE()),""))</f>
      </c>
    </row>
    <row r="3799">
      <c r="F3799">
        <f>IF(DATOS!$A3799="","",DATOS!$A3799&amp;"|"&amp;DATOS!$D3799&amp;"|"&amp;DATOS!$E3799&amp;"|"&amp;DATOS!$I3799)</f>
      </c>
      <c r="G3799">
        <f>IF(DATOS!$A3799="",0,IF(CONFIG_METADATA!$B$4&lt;&gt;"OR+EX",--(DATOS!$G3799=CONFIG_METADATA!$B$4),IF(DATOS!$G3799="EX",1,IF(DATOS!$G3799="OR",--(COUNTIFS(nNIA,DATOS!$A3799,nCURSO,DATOS!$D3799,nESPEC,DATOS!$E3799,nASIG,DATOS!$I3799,nEVAL,"EX")=0),0))))</f>
      </c>
      <c r="H3799">
        <f>IF(DATOS!$G3799&lt;&gt;"EX",0,--(COUNTIFS(nNIA,DATOS!$A3799,nCURSO,DATOS!$D3799,nESPEC,DATOS!$E3799,nASIG,DATOS!$I3799,nEVAL,"OR")=0))</f>
      </c>
      <c r="I3799">
        <f>IF(DATOS!$I3799="","",IFERROR(VLOOKUP(DATOS!$I3799,CONFIG_ASIGNATURAS!$B$2:$J$91,9,FALSE()),""))</f>
      </c>
    </row>
    <row r="3800">
      <c r="F3800">
        <f>IF(DATOS!$A3800="","",DATOS!$A3800&amp;"|"&amp;DATOS!$D3800&amp;"|"&amp;DATOS!$E3800&amp;"|"&amp;DATOS!$I3800)</f>
      </c>
      <c r="G3800">
        <f>IF(DATOS!$A3800="",0,IF(CONFIG_METADATA!$B$4&lt;&gt;"OR+EX",--(DATOS!$G3800=CONFIG_METADATA!$B$4),IF(DATOS!$G3800="EX",1,IF(DATOS!$G3800="OR",--(COUNTIFS(nNIA,DATOS!$A3800,nCURSO,DATOS!$D3800,nESPEC,DATOS!$E3800,nASIG,DATOS!$I3800,nEVAL,"EX")=0),0))))</f>
      </c>
      <c r="H3800">
        <f>IF(DATOS!$G3800&lt;&gt;"EX",0,--(COUNTIFS(nNIA,DATOS!$A3800,nCURSO,DATOS!$D3800,nESPEC,DATOS!$E3800,nASIG,DATOS!$I3800,nEVAL,"OR")=0))</f>
      </c>
      <c r="I3800">
        <f>IF(DATOS!$I3800="","",IFERROR(VLOOKUP(DATOS!$I3800,CONFIG_ASIGNATURAS!$B$2:$J$91,9,FALSE()),""))</f>
      </c>
    </row>
    <row r="3801">
      <c r="F3801">
        <f>IF(DATOS!$A3801="","",DATOS!$A3801&amp;"|"&amp;DATOS!$D3801&amp;"|"&amp;DATOS!$E3801&amp;"|"&amp;DATOS!$I3801)</f>
      </c>
      <c r="G3801">
        <f>IF(DATOS!$A3801="",0,IF(CONFIG_METADATA!$B$4&lt;&gt;"OR+EX",--(DATOS!$G3801=CONFIG_METADATA!$B$4),IF(DATOS!$G3801="EX",1,IF(DATOS!$G3801="OR",--(COUNTIFS(nNIA,DATOS!$A3801,nCURSO,DATOS!$D3801,nESPEC,DATOS!$E3801,nASIG,DATOS!$I3801,nEVAL,"EX")=0),0))))</f>
      </c>
      <c r="H3801">
        <f>IF(DATOS!$G3801&lt;&gt;"EX",0,--(COUNTIFS(nNIA,DATOS!$A3801,nCURSO,DATOS!$D3801,nESPEC,DATOS!$E3801,nASIG,DATOS!$I3801,nEVAL,"OR")=0))</f>
      </c>
      <c r="I3801">
        <f>IF(DATOS!$I3801="","",IFERROR(VLOOKUP(DATOS!$I3801,CONFIG_ASIGNATURAS!$B$2:$J$91,9,FALSE()),""))</f>
      </c>
    </row>
    <row r="3802">
      <c r="F3802">
        <f>IF(DATOS!$A3802="","",DATOS!$A3802&amp;"|"&amp;DATOS!$D3802&amp;"|"&amp;DATOS!$E3802&amp;"|"&amp;DATOS!$I3802)</f>
      </c>
      <c r="G3802">
        <f>IF(DATOS!$A3802="",0,IF(CONFIG_METADATA!$B$4&lt;&gt;"OR+EX",--(DATOS!$G3802=CONFIG_METADATA!$B$4),IF(DATOS!$G3802="EX",1,IF(DATOS!$G3802="OR",--(COUNTIFS(nNIA,DATOS!$A3802,nCURSO,DATOS!$D3802,nESPEC,DATOS!$E3802,nASIG,DATOS!$I3802,nEVAL,"EX")=0),0))))</f>
      </c>
      <c r="H3802">
        <f>IF(DATOS!$G3802&lt;&gt;"EX",0,--(COUNTIFS(nNIA,DATOS!$A3802,nCURSO,DATOS!$D3802,nESPEC,DATOS!$E3802,nASIG,DATOS!$I3802,nEVAL,"OR")=0))</f>
      </c>
      <c r="I3802">
        <f>IF(DATOS!$I3802="","",IFERROR(VLOOKUP(DATOS!$I3802,CONFIG_ASIGNATURAS!$B$2:$J$91,9,FALSE()),""))</f>
      </c>
    </row>
    <row r="3803">
      <c r="F3803">
        <f>IF(DATOS!$A3803="","",DATOS!$A3803&amp;"|"&amp;DATOS!$D3803&amp;"|"&amp;DATOS!$E3803&amp;"|"&amp;DATOS!$I3803)</f>
      </c>
      <c r="G3803">
        <f>IF(DATOS!$A3803="",0,IF(CONFIG_METADATA!$B$4&lt;&gt;"OR+EX",--(DATOS!$G3803=CONFIG_METADATA!$B$4),IF(DATOS!$G3803="EX",1,IF(DATOS!$G3803="OR",--(COUNTIFS(nNIA,DATOS!$A3803,nCURSO,DATOS!$D3803,nESPEC,DATOS!$E3803,nASIG,DATOS!$I3803,nEVAL,"EX")=0),0))))</f>
      </c>
      <c r="H3803">
        <f>IF(DATOS!$G3803&lt;&gt;"EX",0,--(COUNTIFS(nNIA,DATOS!$A3803,nCURSO,DATOS!$D3803,nESPEC,DATOS!$E3803,nASIG,DATOS!$I3803,nEVAL,"OR")=0))</f>
      </c>
      <c r="I3803">
        <f>IF(DATOS!$I3803="","",IFERROR(VLOOKUP(DATOS!$I3803,CONFIG_ASIGNATURAS!$B$2:$J$91,9,FALSE()),""))</f>
      </c>
    </row>
    <row r="3804">
      <c r="F3804">
        <f>IF(DATOS!$A3804="","",DATOS!$A3804&amp;"|"&amp;DATOS!$D3804&amp;"|"&amp;DATOS!$E3804&amp;"|"&amp;DATOS!$I3804)</f>
      </c>
      <c r="G3804">
        <f>IF(DATOS!$A3804="",0,IF(CONFIG_METADATA!$B$4&lt;&gt;"OR+EX",--(DATOS!$G3804=CONFIG_METADATA!$B$4),IF(DATOS!$G3804="EX",1,IF(DATOS!$G3804="OR",--(COUNTIFS(nNIA,DATOS!$A3804,nCURSO,DATOS!$D3804,nESPEC,DATOS!$E3804,nASIG,DATOS!$I3804,nEVAL,"EX")=0),0))))</f>
      </c>
      <c r="H3804">
        <f>IF(DATOS!$G3804&lt;&gt;"EX",0,--(COUNTIFS(nNIA,DATOS!$A3804,nCURSO,DATOS!$D3804,nESPEC,DATOS!$E3804,nASIG,DATOS!$I3804,nEVAL,"OR")=0))</f>
      </c>
      <c r="I3804">
        <f>IF(DATOS!$I3804="","",IFERROR(VLOOKUP(DATOS!$I3804,CONFIG_ASIGNATURAS!$B$2:$J$91,9,FALSE()),""))</f>
      </c>
    </row>
    <row r="3805">
      <c r="F3805">
        <f>IF(DATOS!$A3805="","",DATOS!$A3805&amp;"|"&amp;DATOS!$D3805&amp;"|"&amp;DATOS!$E3805&amp;"|"&amp;DATOS!$I3805)</f>
      </c>
      <c r="G3805">
        <f>IF(DATOS!$A3805="",0,IF(CONFIG_METADATA!$B$4&lt;&gt;"OR+EX",--(DATOS!$G3805=CONFIG_METADATA!$B$4),IF(DATOS!$G3805="EX",1,IF(DATOS!$G3805="OR",--(COUNTIFS(nNIA,DATOS!$A3805,nCURSO,DATOS!$D3805,nESPEC,DATOS!$E3805,nASIG,DATOS!$I3805,nEVAL,"EX")=0),0))))</f>
      </c>
      <c r="H3805">
        <f>IF(DATOS!$G3805&lt;&gt;"EX",0,--(COUNTIFS(nNIA,DATOS!$A3805,nCURSO,DATOS!$D3805,nESPEC,DATOS!$E3805,nASIG,DATOS!$I3805,nEVAL,"OR")=0))</f>
      </c>
      <c r="I3805">
        <f>IF(DATOS!$I3805="","",IFERROR(VLOOKUP(DATOS!$I3805,CONFIG_ASIGNATURAS!$B$2:$J$91,9,FALSE()),""))</f>
      </c>
    </row>
    <row r="3806">
      <c r="F3806">
        <f>IF(DATOS!$A3806="","",DATOS!$A3806&amp;"|"&amp;DATOS!$D3806&amp;"|"&amp;DATOS!$E3806&amp;"|"&amp;DATOS!$I3806)</f>
      </c>
      <c r="G3806">
        <f>IF(DATOS!$A3806="",0,IF(CONFIG_METADATA!$B$4&lt;&gt;"OR+EX",--(DATOS!$G3806=CONFIG_METADATA!$B$4),IF(DATOS!$G3806="EX",1,IF(DATOS!$G3806="OR",--(COUNTIFS(nNIA,DATOS!$A3806,nCURSO,DATOS!$D3806,nESPEC,DATOS!$E3806,nASIG,DATOS!$I3806,nEVAL,"EX")=0),0))))</f>
      </c>
      <c r="H3806">
        <f>IF(DATOS!$G3806&lt;&gt;"EX",0,--(COUNTIFS(nNIA,DATOS!$A3806,nCURSO,DATOS!$D3806,nESPEC,DATOS!$E3806,nASIG,DATOS!$I3806,nEVAL,"OR")=0))</f>
      </c>
      <c r="I3806">
        <f>IF(DATOS!$I3806="","",IFERROR(VLOOKUP(DATOS!$I3806,CONFIG_ASIGNATURAS!$B$2:$J$91,9,FALSE()),""))</f>
      </c>
    </row>
    <row r="3807">
      <c r="F3807">
        <f>IF(DATOS!$A3807="","",DATOS!$A3807&amp;"|"&amp;DATOS!$D3807&amp;"|"&amp;DATOS!$E3807&amp;"|"&amp;DATOS!$I3807)</f>
      </c>
      <c r="G3807">
        <f>IF(DATOS!$A3807="",0,IF(CONFIG_METADATA!$B$4&lt;&gt;"OR+EX",--(DATOS!$G3807=CONFIG_METADATA!$B$4),IF(DATOS!$G3807="EX",1,IF(DATOS!$G3807="OR",--(COUNTIFS(nNIA,DATOS!$A3807,nCURSO,DATOS!$D3807,nESPEC,DATOS!$E3807,nASIG,DATOS!$I3807,nEVAL,"EX")=0),0))))</f>
      </c>
      <c r="H3807">
        <f>IF(DATOS!$G3807&lt;&gt;"EX",0,--(COUNTIFS(nNIA,DATOS!$A3807,nCURSO,DATOS!$D3807,nESPEC,DATOS!$E3807,nASIG,DATOS!$I3807,nEVAL,"OR")=0))</f>
      </c>
      <c r="I3807">
        <f>IF(DATOS!$I3807="","",IFERROR(VLOOKUP(DATOS!$I3807,CONFIG_ASIGNATURAS!$B$2:$J$91,9,FALSE()),""))</f>
      </c>
    </row>
    <row r="3808">
      <c r="F3808">
        <f>IF(DATOS!$A3808="","",DATOS!$A3808&amp;"|"&amp;DATOS!$D3808&amp;"|"&amp;DATOS!$E3808&amp;"|"&amp;DATOS!$I3808)</f>
      </c>
      <c r="G3808">
        <f>IF(DATOS!$A3808="",0,IF(CONFIG_METADATA!$B$4&lt;&gt;"OR+EX",--(DATOS!$G3808=CONFIG_METADATA!$B$4),IF(DATOS!$G3808="EX",1,IF(DATOS!$G3808="OR",--(COUNTIFS(nNIA,DATOS!$A3808,nCURSO,DATOS!$D3808,nESPEC,DATOS!$E3808,nASIG,DATOS!$I3808,nEVAL,"EX")=0),0))))</f>
      </c>
      <c r="H3808">
        <f>IF(DATOS!$G3808&lt;&gt;"EX",0,--(COUNTIFS(nNIA,DATOS!$A3808,nCURSO,DATOS!$D3808,nESPEC,DATOS!$E3808,nASIG,DATOS!$I3808,nEVAL,"OR")=0))</f>
      </c>
      <c r="I3808">
        <f>IF(DATOS!$I3808="","",IFERROR(VLOOKUP(DATOS!$I3808,CONFIG_ASIGNATURAS!$B$2:$J$91,9,FALSE()),""))</f>
      </c>
    </row>
    <row r="3809">
      <c r="F3809">
        <f>IF(DATOS!$A3809="","",DATOS!$A3809&amp;"|"&amp;DATOS!$D3809&amp;"|"&amp;DATOS!$E3809&amp;"|"&amp;DATOS!$I3809)</f>
      </c>
      <c r="G3809">
        <f>IF(DATOS!$A3809="",0,IF(CONFIG_METADATA!$B$4&lt;&gt;"OR+EX",--(DATOS!$G3809=CONFIG_METADATA!$B$4),IF(DATOS!$G3809="EX",1,IF(DATOS!$G3809="OR",--(COUNTIFS(nNIA,DATOS!$A3809,nCURSO,DATOS!$D3809,nESPEC,DATOS!$E3809,nASIG,DATOS!$I3809,nEVAL,"EX")=0),0))))</f>
      </c>
      <c r="H3809">
        <f>IF(DATOS!$G3809&lt;&gt;"EX",0,--(COUNTIFS(nNIA,DATOS!$A3809,nCURSO,DATOS!$D3809,nESPEC,DATOS!$E3809,nASIG,DATOS!$I3809,nEVAL,"OR")=0))</f>
      </c>
      <c r="I3809">
        <f>IF(DATOS!$I3809="","",IFERROR(VLOOKUP(DATOS!$I3809,CONFIG_ASIGNATURAS!$B$2:$J$91,9,FALSE()),""))</f>
      </c>
    </row>
    <row r="3810">
      <c r="F3810">
        <f>IF(DATOS!$A3810="","",DATOS!$A3810&amp;"|"&amp;DATOS!$D3810&amp;"|"&amp;DATOS!$E3810&amp;"|"&amp;DATOS!$I3810)</f>
      </c>
      <c r="G3810">
        <f>IF(DATOS!$A3810="",0,IF(CONFIG_METADATA!$B$4&lt;&gt;"OR+EX",--(DATOS!$G3810=CONFIG_METADATA!$B$4),IF(DATOS!$G3810="EX",1,IF(DATOS!$G3810="OR",--(COUNTIFS(nNIA,DATOS!$A3810,nCURSO,DATOS!$D3810,nESPEC,DATOS!$E3810,nASIG,DATOS!$I3810,nEVAL,"EX")=0),0))))</f>
      </c>
      <c r="H3810">
        <f>IF(DATOS!$G3810&lt;&gt;"EX",0,--(COUNTIFS(nNIA,DATOS!$A3810,nCURSO,DATOS!$D3810,nESPEC,DATOS!$E3810,nASIG,DATOS!$I3810,nEVAL,"OR")=0))</f>
      </c>
      <c r="I3810">
        <f>IF(DATOS!$I3810="","",IFERROR(VLOOKUP(DATOS!$I3810,CONFIG_ASIGNATURAS!$B$2:$J$91,9,FALSE()),""))</f>
      </c>
    </row>
    <row r="3811">
      <c r="F3811">
        <f>IF(DATOS!$A3811="","",DATOS!$A3811&amp;"|"&amp;DATOS!$D3811&amp;"|"&amp;DATOS!$E3811&amp;"|"&amp;DATOS!$I3811)</f>
      </c>
      <c r="G3811">
        <f>IF(DATOS!$A3811="",0,IF(CONFIG_METADATA!$B$4&lt;&gt;"OR+EX",--(DATOS!$G3811=CONFIG_METADATA!$B$4),IF(DATOS!$G3811="EX",1,IF(DATOS!$G3811="OR",--(COUNTIFS(nNIA,DATOS!$A3811,nCURSO,DATOS!$D3811,nESPEC,DATOS!$E3811,nASIG,DATOS!$I3811,nEVAL,"EX")=0),0))))</f>
      </c>
      <c r="H3811">
        <f>IF(DATOS!$G3811&lt;&gt;"EX",0,--(COUNTIFS(nNIA,DATOS!$A3811,nCURSO,DATOS!$D3811,nESPEC,DATOS!$E3811,nASIG,DATOS!$I3811,nEVAL,"OR")=0))</f>
      </c>
      <c r="I3811">
        <f>IF(DATOS!$I3811="","",IFERROR(VLOOKUP(DATOS!$I3811,CONFIG_ASIGNATURAS!$B$2:$J$91,9,FALSE()),""))</f>
      </c>
    </row>
    <row r="3812">
      <c r="F3812">
        <f>IF(DATOS!$A3812="","",DATOS!$A3812&amp;"|"&amp;DATOS!$D3812&amp;"|"&amp;DATOS!$E3812&amp;"|"&amp;DATOS!$I3812)</f>
      </c>
      <c r="G3812">
        <f>IF(DATOS!$A3812="",0,IF(CONFIG_METADATA!$B$4&lt;&gt;"OR+EX",--(DATOS!$G3812=CONFIG_METADATA!$B$4),IF(DATOS!$G3812="EX",1,IF(DATOS!$G3812="OR",--(COUNTIFS(nNIA,DATOS!$A3812,nCURSO,DATOS!$D3812,nESPEC,DATOS!$E3812,nASIG,DATOS!$I3812,nEVAL,"EX")=0),0))))</f>
      </c>
      <c r="H3812">
        <f>IF(DATOS!$G3812&lt;&gt;"EX",0,--(COUNTIFS(nNIA,DATOS!$A3812,nCURSO,DATOS!$D3812,nESPEC,DATOS!$E3812,nASIG,DATOS!$I3812,nEVAL,"OR")=0))</f>
      </c>
      <c r="I3812">
        <f>IF(DATOS!$I3812="","",IFERROR(VLOOKUP(DATOS!$I3812,CONFIG_ASIGNATURAS!$B$2:$J$91,9,FALSE()),""))</f>
      </c>
    </row>
    <row r="3813">
      <c r="F3813">
        <f>IF(DATOS!$A3813="","",DATOS!$A3813&amp;"|"&amp;DATOS!$D3813&amp;"|"&amp;DATOS!$E3813&amp;"|"&amp;DATOS!$I3813)</f>
      </c>
      <c r="G3813">
        <f>IF(DATOS!$A3813="",0,IF(CONFIG_METADATA!$B$4&lt;&gt;"OR+EX",--(DATOS!$G3813=CONFIG_METADATA!$B$4),IF(DATOS!$G3813="EX",1,IF(DATOS!$G3813="OR",--(COUNTIFS(nNIA,DATOS!$A3813,nCURSO,DATOS!$D3813,nESPEC,DATOS!$E3813,nASIG,DATOS!$I3813,nEVAL,"EX")=0),0))))</f>
      </c>
      <c r="H3813">
        <f>IF(DATOS!$G3813&lt;&gt;"EX",0,--(COUNTIFS(nNIA,DATOS!$A3813,nCURSO,DATOS!$D3813,nESPEC,DATOS!$E3813,nASIG,DATOS!$I3813,nEVAL,"OR")=0))</f>
      </c>
      <c r="I3813">
        <f>IF(DATOS!$I3813="","",IFERROR(VLOOKUP(DATOS!$I3813,CONFIG_ASIGNATURAS!$B$2:$J$91,9,FALSE()),""))</f>
      </c>
    </row>
    <row r="3814">
      <c r="F3814">
        <f>IF(DATOS!$A3814="","",DATOS!$A3814&amp;"|"&amp;DATOS!$D3814&amp;"|"&amp;DATOS!$E3814&amp;"|"&amp;DATOS!$I3814)</f>
      </c>
      <c r="G3814">
        <f>IF(DATOS!$A3814="",0,IF(CONFIG_METADATA!$B$4&lt;&gt;"OR+EX",--(DATOS!$G3814=CONFIG_METADATA!$B$4),IF(DATOS!$G3814="EX",1,IF(DATOS!$G3814="OR",--(COUNTIFS(nNIA,DATOS!$A3814,nCURSO,DATOS!$D3814,nESPEC,DATOS!$E3814,nASIG,DATOS!$I3814,nEVAL,"EX")=0),0))))</f>
      </c>
      <c r="H3814">
        <f>IF(DATOS!$G3814&lt;&gt;"EX",0,--(COUNTIFS(nNIA,DATOS!$A3814,nCURSO,DATOS!$D3814,nESPEC,DATOS!$E3814,nASIG,DATOS!$I3814,nEVAL,"OR")=0))</f>
      </c>
      <c r="I3814">
        <f>IF(DATOS!$I3814="","",IFERROR(VLOOKUP(DATOS!$I3814,CONFIG_ASIGNATURAS!$B$2:$J$91,9,FALSE()),""))</f>
      </c>
    </row>
    <row r="3815">
      <c r="F3815">
        <f>IF(DATOS!$A3815="","",DATOS!$A3815&amp;"|"&amp;DATOS!$D3815&amp;"|"&amp;DATOS!$E3815&amp;"|"&amp;DATOS!$I3815)</f>
      </c>
      <c r="G3815">
        <f>IF(DATOS!$A3815="",0,IF(CONFIG_METADATA!$B$4&lt;&gt;"OR+EX",--(DATOS!$G3815=CONFIG_METADATA!$B$4),IF(DATOS!$G3815="EX",1,IF(DATOS!$G3815="OR",--(COUNTIFS(nNIA,DATOS!$A3815,nCURSO,DATOS!$D3815,nESPEC,DATOS!$E3815,nASIG,DATOS!$I3815,nEVAL,"EX")=0),0))))</f>
      </c>
      <c r="H3815">
        <f>IF(DATOS!$G3815&lt;&gt;"EX",0,--(COUNTIFS(nNIA,DATOS!$A3815,nCURSO,DATOS!$D3815,nESPEC,DATOS!$E3815,nASIG,DATOS!$I3815,nEVAL,"OR")=0))</f>
      </c>
      <c r="I3815">
        <f>IF(DATOS!$I3815="","",IFERROR(VLOOKUP(DATOS!$I3815,CONFIG_ASIGNATURAS!$B$2:$J$91,9,FALSE()),""))</f>
      </c>
    </row>
    <row r="3816">
      <c r="F3816">
        <f>IF(DATOS!$A3816="","",DATOS!$A3816&amp;"|"&amp;DATOS!$D3816&amp;"|"&amp;DATOS!$E3816&amp;"|"&amp;DATOS!$I3816)</f>
      </c>
      <c r="G3816">
        <f>IF(DATOS!$A3816="",0,IF(CONFIG_METADATA!$B$4&lt;&gt;"OR+EX",--(DATOS!$G3816=CONFIG_METADATA!$B$4),IF(DATOS!$G3816="EX",1,IF(DATOS!$G3816="OR",--(COUNTIFS(nNIA,DATOS!$A3816,nCURSO,DATOS!$D3816,nESPEC,DATOS!$E3816,nASIG,DATOS!$I3816,nEVAL,"EX")=0),0))))</f>
      </c>
      <c r="H3816">
        <f>IF(DATOS!$G3816&lt;&gt;"EX",0,--(COUNTIFS(nNIA,DATOS!$A3816,nCURSO,DATOS!$D3816,nESPEC,DATOS!$E3816,nASIG,DATOS!$I3816,nEVAL,"OR")=0))</f>
      </c>
      <c r="I3816">
        <f>IF(DATOS!$I3816="","",IFERROR(VLOOKUP(DATOS!$I3816,CONFIG_ASIGNATURAS!$B$2:$J$91,9,FALSE()),""))</f>
      </c>
    </row>
    <row r="3817">
      <c r="F3817">
        <f>IF(DATOS!$A3817="","",DATOS!$A3817&amp;"|"&amp;DATOS!$D3817&amp;"|"&amp;DATOS!$E3817&amp;"|"&amp;DATOS!$I3817)</f>
      </c>
      <c r="G3817">
        <f>IF(DATOS!$A3817="",0,IF(CONFIG_METADATA!$B$4&lt;&gt;"OR+EX",--(DATOS!$G3817=CONFIG_METADATA!$B$4),IF(DATOS!$G3817="EX",1,IF(DATOS!$G3817="OR",--(COUNTIFS(nNIA,DATOS!$A3817,nCURSO,DATOS!$D3817,nESPEC,DATOS!$E3817,nASIG,DATOS!$I3817,nEVAL,"EX")=0),0))))</f>
      </c>
      <c r="H3817">
        <f>IF(DATOS!$G3817&lt;&gt;"EX",0,--(COUNTIFS(nNIA,DATOS!$A3817,nCURSO,DATOS!$D3817,nESPEC,DATOS!$E3817,nASIG,DATOS!$I3817,nEVAL,"OR")=0))</f>
      </c>
      <c r="I3817">
        <f>IF(DATOS!$I3817="","",IFERROR(VLOOKUP(DATOS!$I3817,CONFIG_ASIGNATURAS!$B$2:$J$91,9,FALSE()),""))</f>
      </c>
    </row>
    <row r="3818">
      <c r="F3818">
        <f>IF(DATOS!$A3818="","",DATOS!$A3818&amp;"|"&amp;DATOS!$D3818&amp;"|"&amp;DATOS!$E3818&amp;"|"&amp;DATOS!$I3818)</f>
      </c>
      <c r="G3818">
        <f>IF(DATOS!$A3818="",0,IF(CONFIG_METADATA!$B$4&lt;&gt;"OR+EX",--(DATOS!$G3818=CONFIG_METADATA!$B$4),IF(DATOS!$G3818="EX",1,IF(DATOS!$G3818="OR",--(COUNTIFS(nNIA,DATOS!$A3818,nCURSO,DATOS!$D3818,nESPEC,DATOS!$E3818,nASIG,DATOS!$I3818,nEVAL,"EX")=0),0))))</f>
      </c>
      <c r="H3818">
        <f>IF(DATOS!$G3818&lt;&gt;"EX",0,--(COUNTIFS(nNIA,DATOS!$A3818,nCURSO,DATOS!$D3818,nESPEC,DATOS!$E3818,nASIG,DATOS!$I3818,nEVAL,"OR")=0))</f>
      </c>
      <c r="I3818">
        <f>IF(DATOS!$I3818="","",IFERROR(VLOOKUP(DATOS!$I3818,CONFIG_ASIGNATURAS!$B$2:$J$91,9,FALSE()),""))</f>
      </c>
    </row>
    <row r="3819">
      <c r="F3819">
        <f>IF(DATOS!$A3819="","",DATOS!$A3819&amp;"|"&amp;DATOS!$D3819&amp;"|"&amp;DATOS!$E3819&amp;"|"&amp;DATOS!$I3819)</f>
      </c>
      <c r="G3819">
        <f>IF(DATOS!$A3819="",0,IF(CONFIG_METADATA!$B$4&lt;&gt;"OR+EX",--(DATOS!$G3819=CONFIG_METADATA!$B$4),IF(DATOS!$G3819="EX",1,IF(DATOS!$G3819="OR",--(COUNTIFS(nNIA,DATOS!$A3819,nCURSO,DATOS!$D3819,nESPEC,DATOS!$E3819,nASIG,DATOS!$I3819,nEVAL,"EX")=0),0))))</f>
      </c>
      <c r="H3819">
        <f>IF(DATOS!$G3819&lt;&gt;"EX",0,--(COUNTIFS(nNIA,DATOS!$A3819,nCURSO,DATOS!$D3819,nESPEC,DATOS!$E3819,nASIG,DATOS!$I3819,nEVAL,"OR")=0))</f>
      </c>
      <c r="I3819">
        <f>IF(DATOS!$I3819="","",IFERROR(VLOOKUP(DATOS!$I3819,CONFIG_ASIGNATURAS!$B$2:$J$91,9,FALSE()),""))</f>
      </c>
    </row>
    <row r="3820">
      <c r="F3820">
        <f>IF(DATOS!$A3820="","",DATOS!$A3820&amp;"|"&amp;DATOS!$D3820&amp;"|"&amp;DATOS!$E3820&amp;"|"&amp;DATOS!$I3820)</f>
      </c>
      <c r="G3820">
        <f>IF(DATOS!$A3820="",0,IF(CONFIG_METADATA!$B$4&lt;&gt;"OR+EX",--(DATOS!$G3820=CONFIG_METADATA!$B$4),IF(DATOS!$G3820="EX",1,IF(DATOS!$G3820="OR",--(COUNTIFS(nNIA,DATOS!$A3820,nCURSO,DATOS!$D3820,nESPEC,DATOS!$E3820,nASIG,DATOS!$I3820,nEVAL,"EX")=0),0))))</f>
      </c>
      <c r="H3820">
        <f>IF(DATOS!$G3820&lt;&gt;"EX",0,--(COUNTIFS(nNIA,DATOS!$A3820,nCURSO,DATOS!$D3820,nESPEC,DATOS!$E3820,nASIG,DATOS!$I3820,nEVAL,"OR")=0))</f>
      </c>
      <c r="I3820">
        <f>IF(DATOS!$I3820="","",IFERROR(VLOOKUP(DATOS!$I3820,CONFIG_ASIGNATURAS!$B$2:$J$91,9,FALSE()),""))</f>
      </c>
    </row>
    <row r="3821">
      <c r="F3821">
        <f>IF(DATOS!$A3821="","",DATOS!$A3821&amp;"|"&amp;DATOS!$D3821&amp;"|"&amp;DATOS!$E3821&amp;"|"&amp;DATOS!$I3821)</f>
      </c>
      <c r="G3821">
        <f>IF(DATOS!$A3821="",0,IF(CONFIG_METADATA!$B$4&lt;&gt;"OR+EX",--(DATOS!$G3821=CONFIG_METADATA!$B$4),IF(DATOS!$G3821="EX",1,IF(DATOS!$G3821="OR",--(COUNTIFS(nNIA,DATOS!$A3821,nCURSO,DATOS!$D3821,nESPEC,DATOS!$E3821,nASIG,DATOS!$I3821,nEVAL,"EX")=0),0))))</f>
      </c>
      <c r="H3821">
        <f>IF(DATOS!$G3821&lt;&gt;"EX",0,--(COUNTIFS(nNIA,DATOS!$A3821,nCURSO,DATOS!$D3821,nESPEC,DATOS!$E3821,nASIG,DATOS!$I3821,nEVAL,"OR")=0))</f>
      </c>
      <c r="I3821">
        <f>IF(DATOS!$I3821="","",IFERROR(VLOOKUP(DATOS!$I3821,CONFIG_ASIGNATURAS!$B$2:$J$91,9,FALSE()),""))</f>
      </c>
    </row>
    <row r="3822">
      <c r="F3822">
        <f>IF(DATOS!$A3822="","",DATOS!$A3822&amp;"|"&amp;DATOS!$D3822&amp;"|"&amp;DATOS!$E3822&amp;"|"&amp;DATOS!$I3822)</f>
      </c>
      <c r="G3822">
        <f>IF(DATOS!$A3822="",0,IF(CONFIG_METADATA!$B$4&lt;&gt;"OR+EX",--(DATOS!$G3822=CONFIG_METADATA!$B$4),IF(DATOS!$G3822="EX",1,IF(DATOS!$G3822="OR",--(COUNTIFS(nNIA,DATOS!$A3822,nCURSO,DATOS!$D3822,nESPEC,DATOS!$E3822,nASIG,DATOS!$I3822,nEVAL,"EX")=0),0))))</f>
      </c>
      <c r="H3822">
        <f>IF(DATOS!$G3822&lt;&gt;"EX",0,--(COUNTIFS(nNIA,DATOS!$A3822,nCURSO,DATOS!$D3822,nESPEC,DATOS!$E3822,nASIG,DATOS!$I3822,nEVAL,"OR")=0))</f>
      </c>
      <c r="I3822">
        <f>IF(DATOS!$I3822="","",IFERROR(VLOOKUP(DATOS!$I3822,CONFIG_ASIGNATURAS!$B$2:$J$91,9,FALSE()),""))</f>
      </c>
    </row>
    <row r="3823">
      <c r="F3823">
        <f>IF(DATOS!$A3823="","",DATOS!$A3823&amp;"|"&amp;DATOS!$D3823&amp;"|"&amp;DATOS!$E3823&amp;"|"&amp;DATOS!$I3823)</f>
      </c>
      <c r="G3823">
        <f>IF(DATOS!$A3823="",0,IF(CONFIG_METADATA!$B$4&lt;&gt;"OR+EX",--(DATOS!$G3823=CONFIG_METADATA!$B$4),IF(DATOS!$G3823="EX",1,IF(DATOS!$G3823="OR",--(COUNTIFS(nNIA,DATOS!$A3823,nCURSO,DATOS!$D3823,nESPEC,DATOS!$E3823,nASIG,DATOS!$I3823,nEVAL,"EX")=0),0))))</f>
      </c>
      <c r="H3823">
        <f>IF(DATOS!$G3823&lt;&gt;"EX",0,--(COUNTIFS(nNIA,DATOS!$A3823,nCURSO,DATOS!$D3823,nESPEC,DATOS!$E3823,nASIG,DATOS!$I3823,nEVAL,"OR")=0))</f>
      </c>
      <c r="I3823">
        <f>IF(DATOS!$I3823="","",IFERROR(VLOOKUP(DATOS!$I3823,CONFIG_ASIGNATURAS!$B$2:$J$91,9,FALSE()),""))</f>
      </c>
    </row>
    <row r="3824">
      <c r="F3824">
        <f>IF(DATOS!$A3824="","",DATOS!$A3824&amp;"|"&amp;DATOS!$D3824&amp;"|"&amp;DATOS!$E3824&amp;"|"&amp;DATOS!$I3824)</f>
      </c>
      <c r="G3824">
        <f>IF(DATOS!$A3824="",0,IF(CONFIG_METADATA!$B$4&lt;&gt;"OR+EX",--(DATOS!$G3824=CONFIG_METADATA!$B$4),IF(DATOS!$G3824="EX",1,IF(DATOS!$G3824="OR",--(COUNTIFS(nNIA,DATOS!$A3824,nCURSO,DATOS!$D3824,nESPEC,DATOS!$E3824,nASIG,DATOS!$I3824,nEVAL,"EX")=0),0))))</f>
      </c>
      <c r="H3824">
        <f>IF(DATOS!$G3824&lt;&gt;"EX",0,--(COUNTIFS(nNIA,DATOS!$A3824,nCURSO,DATOS!$D3824,nESPEC,DATOS!$E3824,nASIG,DATOS!$I3824,nEVAL,"OR")=0))</f>
      </c>
      <c r="I3824">
        <f>IF(DATOS!$I3824="","",IFERROR(VLOOKUP(DATOS!$I3824,CONFIG_ASIGNATURAS!$B$2:$J$91,9,FALSE()),""))</f>
      </c>
    </row>
    <row r="3825">
      <c r="F3825">
        <f>IF(DATOS!$A3825="","",DATOS!$A3825&amp;"|"&amp;DATOS!$D3825&amp;"|"&amp;DATOS!$E3825&amp;"|"&amp;DATOS!$I3825)</f>
      </c>
      <c r="G3825">
        <f>IF(DATOS!$A3825="",0,IF(CONFIG_METADATA!$B$4&lt;&gt;"OR+EX",--(DATOS!$G3825=CONFIG_METADATA!$B$4),IF(DATOS!$G3825="EX",1,IF(DATOS!$G3825="OR",--(COUNTIFS(nNIA,DATOS!$A3825,nCURSO,DATOS!$D3825,nESPEC,DATOS!$E3825,nASIG,DATOS!$I3825,nEVAL,"EX")=0),0))))</f>
      </c>
      <c r="H3825">
        <f>IF(DATOS!$G3825&lt;&gt;"EX",0,--(COUNTIFS(nNIA,DATOS!$A3825,nCURSO,DATOS!$D3825,nESPEC,DATOS!$E3825,nASIG,DATOS!$I3825,nEVAL,"OR")=0))</f>
      </c>
      <c r="I3825">
        <f>IF(DATOS!$I3825="","",IFERROR(VLOOKUP(DATOS!$I3825,CONFIG_ASIGNATURAS!$B$2:$J$91,9,FALSE()),""))</f>
      </c>
    </row>
    <row r="3826">
      <c r="F3826">
        <f>IF(DATOS!$A3826="","",DATOS!$A3826&amp;"|"&amp;DATOS!$D3826&amp;"|"&amp;DATOS!$E3826&amp;"|"&amp;DATOS!$I3826)</f>
      </c>
      <c r="G3826">
        <f>IF(DATOS!$A3826="",0,IF(CONFIG_METADATA!$B$4&lt;&gt;"OR+EX",--(DATOS!$G3826=CONFIG_METADATA!$B$4),IF(DATOS!$G3826="EX",1,IF(DATOS!$G3826="OR",--(COUNTIFS(nNIA,DATOS!$A3826,nCURSO,DATOS!$D3826,nESPEC,DATOS!$E3826,nASIG,DATOS!$I3826,nEVAL,"EX")=0),0))))</f>
      </c>
      <c r="H3826">
        <f>IF(DATOS!$G3826&lt;&gt;"EX",0,--(COUNTIFS(nNIA,DATOS!$A3826,nCURSO,DATOS!$D3826,nESPEC,DATOS!$E3826,nASIG,DATOS!$I3826,nEVAL,"OR")=0))</f>
      </c>
      <c r="I3826">
        <f>IF(DATOS!$I3826="","",IFERROR(VLOOKUP(DATOS!$I3826,CONFIG_ASIGNATURAS!$B$2:$J$91,9,FALSE()),""))</f>
      </c>
    </row>
    <row r="3827">
      <c r="F3827">
        <f>IF(DATOS!$A3827="","",DATOS!$A3827&amp;"|"&amp;DATOS!$D3827&amp;"|"&amp;DATOS!$E3827&amp;"|"&amp;DATOS!$I3827)</f>
      </c>
      <c r="G3827">
        <f>IF(DATOS!$A3827="",0,IF(CONFIG_METADATA!$B$4&lt;&gt;"OR+EX",--(DATOS!$G3827=CONFIG_METADATA!$B$4),IF(DATOS!$G3827="EX",1,IF(DATOS!$G3827="OR",--(COUNTIFS(nNIA,DATOS!$A3827,nCURSO,DATOS!$D3827,nESPEC,DATOS!$E3827,nASIG,DATOS!$I3827,nEVAL,"EX")=0),0))))</f>
      </c>
      <c r="H3827">
        <f>IF(DATOS!$G3827&lt;&gt;"EX",0,--(COUNTIFS(nNIA,DATOS!$A3827,nCURSO,DATOS!$D3827,nESPEC,DATOS!$E3827,nASIG,DATOS!$I3827,nEVAL,"OR")=0))</f>
      </c>
      <c r="I3827">
        <f>IF(DATOS!$I3827="","",IFERROR(VLOOKUP(DATOS!$I3827,CONFIG_ASIGNATURAS!$B$2:$J$91,9,FALSE()),""))</f>
      </c>
    </row>
    <row r="3828">
      <c r="F3828">
        <f>IF(DATOS!$A3828="","",DATOS!$A3828&amp;"|"&amp;DATOS!$D3828&amp;"|"&amp;DATOS!$E3828&amp;"|"&amp;DATOS!$I3828)</f>
      </c>
      <c r="G3828">
        <f>IF(DATOS!$A3828="",0,IF(CONFIG_METADATA!$B$4&lt;&gt;"OR+EX",--(DATOS!$G3828=CONFIG_METADATA!$B$4),IF(DATOS!$G3828="EX",1,IF(DATOS!$G3828="OR",--(COUNTIFS(nNIA,DATOS!$A3828,nCURSO,DATOS!$D3828,nESPEC,DATOS!$E3828,nASIG,DATOS!$I3828,nEVAL,"EX")=0),0))))</f>
      </c>
      <c r="H3828">
        <f>IF(DATOS!$G3828&lt;&gt;"EX",0,--(COUNTIFS(nNIA,DATOS!$A3828,nCURSO,DATOS!$D3828,nESPEC,DATOS!$E3828,nASIG,DATOS!$I3828,nEVAL,"OR")=0))</f>
      </c>
      <c r="I3828">
        <f>IF(DATOS!$I3828="","",IFERROR(VLOOKUP(DATOS!$I3828,CONFIG_ASIGNATURAS!$B$2:$J$91,9,FALSE()),""))</f>
      </c>
    </row>
    <row r="3829">
      <c r="F3829">
        <f>IF(DATOS!$A3829="","",DATOS!$A3829&amp;"|"&amp;DATOS!$D3829&amp;"|"&amp;DATOS!$E3829&amp;"|"&amp;DATOS!$I3829)</f>
      </c>
      <c r="G3829">
        <f>IF(DATOS!$A3829="",0,IF(CONFIG_METADATA!$B$4&lt;&gt;"OR+EX",--(DATOS!$G3829=CONFIG_METADATA!$B$4),IF(DATOS!$G3829="EX",1,IF(DATOS!$G3829="OR",--(COUNTIFS(nNIA,DATOS!$A3829,nCURSO,DATOS!$D3829,nESPEC,DATOS!$E3829,nASIG,DATOS!$I3829,nEVAL,"EX")=0),0))))</f>
      </c>
      <c r="H3829">
        <f>IF(DATOS!$G3829&lt;&gt;"EX",0,--(COUNTIFS(nNIA,DATOS!$A3829,nCURSO,DATOS!$D3829,nESPEC,DATOS!$E3829,nASIG,DATOS!$I3829,nEVAL,"OR")=0))</f>
      </c>
      <c r="I3829">
        <f>IF(DATOS!$I3829="","",IFERROR(VLOOKUP(DATOS!$I3829,CONFIG_ASIGNATURAS!$B$2:$J$91,9,FALSE()),""))</f>
      </c>
    </row>
    <row r="3830">
      <c r="F3830">
        <f>IF(DATOS!$A3830="","",DATOS!$A3830&amp;"|"&amp;DATOS!$D3830&amp;"|"&amp;DATOS!$E3830&amp;"|"&amp;DATOS!$I3830)</f>
      </c>
      <c r="G3830">
        <f>IF(DATOS!$A3830="",0,IF(CONFIG_METADATA!$B$4&lt;&gt;"OR+EX",--(DATOS!$G3830=CONFIG_METADATA!$B$4),IF(DATOS!$G3830="EX",1,IF(DATOS!$G3830="OR",--(COUNTIFS(nNIA,DATOS!$A3830,nCURSO,DATOS!$D3830,nESPEC,DATOS!$E3830,nASIG,DATOS!$I3830,nEVAL,"EX")=0),0))))</f>
      </c>
      <c r="H3830">
        <f>IF(DATOS!$G3830&lt;&gt;"EX",0,--(COUNTIFS(nNIA,DATOS!$A3830,nCURSO,DATOS!$D3830,nESPEC,DATOS!$E3830,nASIG,DATOS!$I3830,nEVAL,"OR")=0))</f>
      </c>
      <c r="I3830">
        <f>IF(DATOS!$I3830="","",IFERROR(VLOOKUP(DATOS!$I3830,CONFIG_ASIGNATURAS!$B$2:$J$91,9,FALSE()),""))</f>
      </c>
    </row>
    <row r="3831">
      <c r="F3831">
        <f>IF(DATOS!$A3831="","",DATOS!$A3831&amp;"|"&amp;DATOS!$D3831&amp;"|"&amp;DATOS!$E3831&amp;"|"&amp;DATOS!$I3831)</f>
      </c>
      <c r="G3831">
        <f>IF(DATOS!$A3831="",0,IF(CONFIG_METADATA!$B$4&lt;&gt;"OR+EX",--(DATOS!$G3831=CONFIG_METADATA!$B$4),IF(DATOS!$G3831="EX",1,IF(DATOS!$G3831="OR",--(COUNTIFS(nNIA,DATOS!$A3831,nCURSO,DATOS!$D3831,nESPEC,DATOS!$E3831,nASIG,DATOS!$I3831,nEVAL,"EX")=0),0))))</f>
      </c>
      <c r="H3831">
        <f>IF(DATOS!$G3831&lt;&gt;"EX",0,--(COUNTIFS(nNIA,DATOS!$A3831,nCURSO,DATOS!$D3831,nESPEC,DATOS!$E3831,nASIG,DATOS!$I3831,nEVAL,"OR")=0))</f>
      </c>
      <c r="I3831">
        <f>IF(DATOS!$I3831="","",IFERROR(VLOOKUP(DATOS!$I3831,CONFIG_ASIGNATURAS!$B$2:$J$91,9,FALSE()),""))</f>
      </c>
    </row>
    <row r="3832">
      <c r="F3832">
        <f>IF(DATOS!$A3832="","",DATOS!$A3832&amp;"|"&amp;DATOS!$D3832&amp;"|"&amp;DATOS!$E3832&amp;"|"&amp;DATOS!$I3832)</f>
      </c>
      <c r="G3832">
        <f>IF(DATOS!$A3832="",0,IF(CONFIG_METADATA!$B$4&lt;&gt;"OR+EX",--(DATOS!$G3832=CONFIG_METADATA!$B$4),IF(DATOS!$G3832="EX",1,IF(DATOS!$G3832="OR",--(COUNTIFS(nNIA,DATOS!$A3832,nCURSO,DATOS!$D3832,nESPEC,DATOS!$E3832,nASIG,DATOS!$I3832,nEVAL,"EX")=0),0))))</f>
      </c>
      <c r="H3832">
        <f>IF(DATOS!$G3832&lt;&gt;"EX",0,--(COUNTIFS(nNIA,DATOS!$A3832,nCURSO,DATOS!$D3832,nESPEC,DATOS!$E3832,nASIG,DATOS!$I3832,nEVAL,"OR")=0))</f>
      </c>
      <c r="I3832">
        <f>IF(DATOS!$I3832="","",IFERROR(VLOOKUP(DATOS!$I3832,CONFIG_ASIGNATURAS!$B$2:$J$91,9,FALSE()),""))</f>
      </c>
    </row>
    <row r="3833">
      <c r="F3833">
        <f>IF(DATOS!$A3833="","",DATOS!$A3833&amp;"|"&amp;DATOS!$D3833&amp;"|"&amp;DATOS!$E3833&amp;"|"&amp;DATOS!$I3833)</f>
      </c>
      <c r="G3833">
        <f>IF(DATOS!$A3833="",0,IF(CONFIG_METADATA!$B$4&lt;&gt;"OR+EX",--(DATOS!$G3833=CONFIG_METADATA!$B$4),IF(DATOS!$G3833="EX",1,IF(DATOS!$G3833="OR",--(COUNTIFS(nNIA,DATOS!$A3833,nCURSO,DATOS!$D3833,nESPEC,DATOS!$E3833,nASIG,DATOS!$I3833,nEVAL,"EX")=0),0))))</f>
      </c>
      <c r="H3833">
        <f>IF(DATOS!$G3833&lt;&gt;"EX",0,--(COUNTIFS(nNIA,DATOS!$A3833,nCURSO,DATOS!$D3833,nESPEC,DATOS!$E3833,nASIG,DATOS!$I3833,nEVAL,"OR")=0))</f>
      </c>
      <c r="I3833">
        <f>IF(DATOS!$I3833="","",IFERROR(VLOOKUP(DATOS!$I3833,CONFIG_ASIGNATURAS!$B$2:$J$91,9,FALSE()),""))</f>
      </c>
    </row>
    <row r="3834">
      <c r="F3834">
        <f>IF(DATOS!$A3834="","",DATOS!$A3834&amp;"|"&amp;DATOS!$D3834&amp;"|"&amp;DATOS!$E3834&amp;"|"&amp;DATOS!$I3834)</f>
      </c>
      <c r="G3834">
        <f>IF(DATOS!$A3834="",0,IF(CONFIG_METADATA!$B$4&lt;&gt;"OR+EX",--(DATOS!$G3834=CONFIG_METADATA!$B$4),IF(DATOS!$G3834="EX",1,IF(DATOS!$G3834="OR",--(COUNTIFS(nNIA,DATOS!$A3834,nCURSO,DATOS!$D3834,nESPEC,DATOS!$E3834,nASIG,DATOS!$I3834,nEVAL,"EX")=0),0))))</f>
      </c>
      <c r="H3834">
        <f>IF(DATOS!$G3834&lt;&gt;"EX",0,--(COUNTIFS(nNIA,DATOS!$A3834,nCURSO,DATOS!$D3834,nESPEC,DATOS!$E3834,nASIG,DATOS!$I3834,nEVAL,"OR")=0))</f>
      </c>
      <c r="I3834">
        <f>IF(DATOS!$I3834="","",IFERROR(VLOOKUP(DATOS!$I3834,CONFIG_ASIGNATURAS!$B$2:$J$91,9,FALSE()),""))</f>
      </c>
    </row>
    <row r="3835">
      <c r="F3835">
        <f>IF(DATOS!$A3835="","",DATOS!$A3835&amp;"|"&amp;DATOS!$D3835&amp;"|"&amp;DATOS!$E3835&amp;"|"&amp;DATOS!$I3835)</f>
      </c>
      <c r="G3835">
        <f>IF(DATOS!$A3835="",0,IF(CONFIG_METADATA!$B$4&lt;&gt;"OR+EX",--(DATOS!$G3835=CONFIG_METADATA!$B$4),IF(DATOS!$G3835="EX",1,IF(DATOS!$G3835="OR",--(COUNTIFS(nNIA,DATOS!$A3835,nCURSO,DATOS!$D3835,nESPEC,DATOS!$E3835,nASIG,DATOS!$I3835,nEVAL,"EX")=0),0))))</f>
      </c>
      <c r="H3835">
        <f>IF(DATOS!$G3835&lt;&gt;"EX",0,--(COUNTIFS(nNIA,DATOS!$A3835,nCURSO,DATOS!$D3835,nESPEC,DATOS!$E3835,nASIG,DATOS!$I3835,nEVAL,"OR")=0))</f>
      </c>
      <c r="I3835">
        <f>IF(DATOS!$I3835="","",IFERROR(VLOOKUP(DATOS!$I3835,CONFIG_ASIGNATURAS!$B$2:$J$91,9,FALSE()),""))</f>
      </c>
    </row>
    <row r="3836">
      <c r="F3836">
        <f>IF(DATOS!$A3836="","",DATOS!$A3836&amp;"|"&amp;DATOS!$D3836&amp;"|"&amp;DATOS!$E3836&amp;"|"&amp;DATOS!$I3836)</f>
      </c>
      <c r="G3836">
        <f>IF(DATOS!$A3836="",0,IF(CONFIG_METADATA!$B$4&lt;&gt;"OR+EX",--(DATOS!$G3836=CONFIG_METADATA!$B$4),IF(DATOS!$G3836="EX",1,IF(DATOS!$G3836="OR",--(COUNTIFS(nNIA,DATOS!$A3836,nCURSO,DATOS!$D3836,nESPEC,DATOS!$E3836,nASIG,DATOS!$I3836,nEVAL,"EX")=0),0))))</f>
      </c>
      <c r="H3836">
        <f>IF(DATOS!$G3836&lt;&gt;"EX",0,--(COUNTIFS(nNIA,DATOS!$A3836,nCURSO,DATOS!$D3836,nESPEC,DATOS!$E3836,nASIG,DATOS!$I3836,nEVAL,"OR")=0))</f>
      </c>
      <c r="I3836">
        <f>IF(DATOS!$I3836="","",IFERROR(VLOOKUP(DATOS!$I3836,CONFIG_ASIGNATURAS!$B$2:$J$91,9,FALSE()),""))</f>
      </c>
    </row>
    <row r="3837">
      <c r="F3837">
        <f>IF(DATOS!$A3837="","",DATOS!$A3837&amp;"|"&amp;DATOS!$D3837&amp;"|"&amp;DATOS!$E3837&amp;"|"&amp;DATOS!$I3837)</f>
      </c>
      <c r="G3837">
        <f>IF(DATOS!$A3837="",0,IF(CONFIG_METADATA!$B$4&lt;&gt;"OR+EX",--(DATOS!$G3837=CONFIG_METADATA!$B$4),IF(DATOS!$G3837="EX",1,IF(DATOS!$G3837="OR",--(COUNTIFS(nNIA,DATOS!$A3837,nCURSO,DATOS!$D3837,nESPEC,DATOS!$E3837,nASIG,DATOS!$I3837,nEVAL,"EX")=0),0))))</f>
      </c>
      <c r="H3837">
        <f>IF(DATOS!$G3837&lt;&gt;"EX",0,--(COUNTIFS(nNIA,DATOS!$A3837,nCURSO,DATOS!$D3837,nESPEC,DATOS!$E3837,nASIG,DATOS!$I3837,nEVAL,"OR")=0))</f>
      </c>
      <c r="I3837">
        <f>IF(DATOS!$I3837="","",IFERROR(VLOOKUP(DATOS!$I3837,CONFIG_ASIGNATURAS!$B$2:$J$91,9,FALSE()),""))</f>
      </c>
    </row>
    <row r="3838">
      <c r="F3838">
        <f>IF(DATOS!$A3838="","",DATOS!$A3838&amp;"|"&amp;DATOS!$D3838&amp;"|"&amp;DATOS!$E3838&amp;"|"&amp;DATOS!$I3838)</f>
      </c>
      <c r="G3838">
        <f>IF(DATOS!$A3838="",0,IF(CONFIG_METADATA!$B$4&lt;&gt;"OR+EX",--(DATOS!$G3838=CONFIG_METADATA!$B$4),IF(DATOS!$G3838="EX",1,IF(DATOS!$G3838="OR",--(COUNTIFS(nNIA,DATOS!$A3838,nCURSO,DATOS!$D3838,nESPEC,DATOS!$E3838,nASIG,DATOS!$I3838,nEVAL,"EX")=0),0))))</f>
      </c>
      <c r="H3838">
        <f>IF(DATOS!$G3838&lt;&gt;"EX",0,--(COUNTIFS(nNIA,DATOS!$A3838,nCURSO,DATOS!$D3838,nESPEC,DATOS!$E3838,nASIG,DATOS!$I3838,nEVAL,"OR")=0))</f>
      </c>
      <c r="I3838">
        <f>IF(DATOS!$I3838="","",IFERROR(VLOOKUP(DATOS!$I3838,CONFIG_ASIGNATURAS!$B$2:$J$91,9,FALSE()),""))</f>
      </c>
    </row>
    <row r="3839">
      <c r="F3839">
        <f>IF(DATOS!$A3839="","",DATOS!$A3839&amp;"|"&amp;DATOS!$D3839&amp;"|"&amp;DATOS!$E3839&amp;"|"&amp;DATOS!$I3839)</f>
      </c>
      <c r="G3839">
        <f>IF(DATOS!$A3839="",0,IF(CONFIG_METADATA!$B$4&lt;&gt;"OR+EX",--(DATOS!$G3839=CONFIG_METADATA!$B$4),IF(DATOS!$G3839="EX",1,IF(DATOS!$G3839="OR",--(COUNTIFS(nNIA,DATOS!$A3839,nCURSO,DATOS!$D3839,nESPEC,DATOS!$E3839,nASIG,DATOS!$I3839,nEVAL,"EX")=0),0))))</f>
      </c>
      <c r="H3839">
        <f>IF(DATOS!$G3839&lt;&gt;"EX",0,--(COUNTIFS(nNIA,DATOS!$A3839,nCURSO,DATOS!$D3839,nESPEC,DATOS!$E3839,nASIG,DATOS!$I3839,nEVAL,"OR")=0))</f>
      </c>
      <c r="I3839">
        <f>IF(DATOS!$I3839="","",IFERROR(VLOOKUP(DATOS!$I3839,CONFIG_ASIGNATURAS!$B$2:$J$91,9,FALSE()),""))</f>
      </c>
    </row>
    <row r="3840">
      <c r="F3840">
        <f>IF(DATOS!$A3840="","",DATOS!$A3840&amp;"|"&amp;DATOS!$D3840&amp;"|"&amp;DATOS!$E3840&amp;"|"&amp;DATOS!$I3840)</f>
      </c>
      <c r="G3840">
        <f>IF(DATOS!$A3840="",0,IF(CONFIG_METADATA!$B$4&lt;&gt;"OR+EX",--(DATOS!$G3840=CONFIG_METADATA!$B$4),IF(DATOS!$G3840="EX",1,IF(DATOS!$G3840="OR",--(COUNTIFS(nNIA,DATOS!$A3840,nCURSO,DATOS!$D3840,nESPEC,DATOS!$E3840,nASIG,DATOS!$I3840,nEVAL,"EX")=0),0))))</f>
      </c>
      <c r="H3840">
        <f>IF(DATOS!$G3840&lt;&gt;"EX",0,--(COUNTIFS(nNIA,DATOS!$A3840,nCURSO,DATOS!$D3840,nESPEC,DATOS!$E3840,nASIG,DATOS!$I3840,nEVAL,"OR")=0))</f>
      </c>
      <c r="I3840">
        <f>IF(DATOS!$I3840="","",IFERROR(VLOOKUP(DATOS!$I3840,CONFIG_ASIGNATURAS!$B$2:$J$91,9,FALSE()),""))</f>
      </c>
    </row>
    <row r="3841">
      <c r="F3841">
        <f>IF(DATOS!$A3841="","",DATOS!$A3841&amp;"|"&amp;DATOS!$D3841&amp;"|"&amp;DATOS!$E3841&amp;"|"&amp;DATOS!$I3841)</f>
      </c>
      <c r="G3841">
        <f>IF(DATOS!$A3841="",0,IF(CONFIG_METADATA!$B$4&lt;&gt;"OR+EX",--(DATOS!$G3841=CONFIG_METADATA!$B$4),IF(DATOS!$G3841="EX",1,IF(DATOS!$G3841="OR",--(COUNTIFS(nNIA,DATOS!$A3841,nCURSO,DATOS!$D3841,nESPEC,DATOS!$E3841,nASIG,DATOS!$I3841,nEVAL,"EX")=0),0))))</f>
      </c>
      <c r="H3841">
        <f>IF(DATOS!$G3841&lt;&gt;"EX",0,--(COUNTIFS(nNIA,DATOS!$A3841,nCURSO,DATOS!$D3841,nESPEC,DATOS!$E3841,nASIG,DATOS!$I3841,nEVAL,"OR")=0))</f>
      </c>
      <c r="I3841">
        <f>IF(DATOS!$I3841="","",IFERROR(VLOOKUP(DATOS!$I3841,CONFIG_ASIGNATURAS!$B$2:$J$91,9,FALSE()),""))</f>
      </c>
    </row>
    <row r="3842">
      <c r="F3842">
        <f>IF(DATOS!$A3842="","",DATOS!$A3842&amp;"|"&amp;DATOS!$D3842&amp;"|"&amp;DATOS!$E3842&amp;"|"&amp;DATOS!$I3842)</f>
      </c>
      <c r="G3842">
        <f>IF(DATOS!$A3842="",0,IF(CONFIG_METADATA!$B$4&lt;&gt;"OR+EX",--(DATOS!$G3842=CONFIG_METADATA!$B$4),IF(DATOS!$G3842="EX",1,IF(DATOS!$G3842="OR",--(COUNTIFS(nNIA,DATOS!$A3842,nCURSO,DATOS!$D3842,nESPEC,DATOS!$E3842,nASIG,DATOS!$I3842,nEVAL,"EX")=0),0))))</f>
      </c>
      <c r="H3842">
        <f>IF(DATOS!$G3842&lt;&gt;"EX",0,--(COUNTIFS(nNIA,DATOS!$A3842,nCURSO,DATOS!$D3842,nESPEC,DATOS!$E3842,nASIG,DATOS!$I3842,nEVAL,"OR")=0))</f>
      </c>
      <c r="I3842">
        <f>IF(DATOS!$I3842="","",IFERROR(VLOOKUP(DATOS!$I3842,CONFIG_ASIGNATURAS!$B$2:$J$91,9,FALSE()),""))</f>
      </c>
    </row>
    <row r="3843">
      <c r="F3843">
        <f>IF(DATOS!$A3843="","",DATOS!$A3843&amp;"|"&amp;DATOS!$D3843&amp;"|"&amp;DATOS!$E3843&amp;"|"&amp;DATOS!$I3843)</f>
      </c>
      <c r="G3843">
        <f>IF(DATOS!$A3843="",0,IF(CONFIG_METADATA!$B$4&lt;&gt;"OR+EX",--(DATOS!$G3843=CONFIG_METADATA!$B$4),IF(DATOS!$G3843="EX",1,IF(DATOS!$G3843="OR",--(COUNTIFS(nNIA,DATOS!$A3843,nCURSO,DATOS!$D3843,nESPEC,DATOS!$E3843,nASIG,DATOS!$I3843,nEVAL,"EX")=0),0))))</f>
      </c>
      <c r="H3843">
        <f>IF(DATOS!$G3843&lt;&gt;"EX",0,--(COUNTIFS(nNIA,DATOS!$A3843,nCURSO,DATOS!$D3843,nESPEC,DATOS!$E3843,nASIG,DATOS!$I3843,nEVAL,"OR")=0))</f>
      </c>
      <c r="I3843">
        <f>IF(DATOS!$I3843="","",IFERROR(VLOOKUP(DATOS!$I3843,CONFIG_ASIGNATURAS!$B$2:$J$91,9,FALSE()),""))</f>
      </c>
    </row>
    <row r="3844">
      <c r="F3844">
        <f>IF(DATOS!$A3844="","",DATOS!$A3844&amp;"|"&amp;DATOS!$D3844&amp;"|"&amp;DATOS!$E3844&amp;"|"&amp;DATOS!$I3844)</f>
      </c>
      <c r="G3844">
        <f>IF(DATOS!$A3844="",0,IF(CONFIG_METADATA!$B$4&lt;&gt;"OR+EX",--(DATOS!$G3844=CONFIG_METADATA!$B$4),IF(DATOS!$G3844="EX",1,IF(DATOS!$G3844="OR",--(COUNTIFS(nNIA,DATOS!$A3844,nCURSO,DATOS!$D3844,nESPEC,DATOS!$E3844,nASIG,DATOS!$I3844,nEVAL,"EX")=0),0))))</f>
      </c>
      <c r="H3844">
        <f>IF(DATOS!$G3844&lt;&gt;"EX",0,--(COUNTIFS(nNIA,DATOS!$A3844,nCURSO,DATOS!$D3844,nESPEC,DATOS!$E3844,nASIG,DATOS!$I3844,nEVAL,"OR")=0))</f>
      </c>
      <c r="I3844">
        <f>IF(DATOS!$I3844="","",IFERROR(VLOOKUP(DATOS!$I3844,CONFIG_ASIGNATURAS!$B$2:$J$91,9,FALSE()),""))</f>
      </c>
    </row>
    <row r="3845">
      <c r="F3845">
        <f>IF(DATOS!$A3845="","",DATOS!$A3845&amp;"|"&amp;DATOS!$D3845&amp;"|"&amp;DATOS!$E3845&amp;"|"&amp;DATOS!$I3845)</f>
      </c>
      <c r="G3845">
        <f>IF(DATOS!$A3845="",0,IF(CONFIG_METADATA!$B$4&lt;&gt;"OR+EX",--(DATOS!$G3845=CONFIG_METADATA!$B$4),IF(DATOS!$G3845="EX",1,IF(DATOS!$G3845="OR",--(COUNTIFS(nNIA,DATOS!$A3845,nCURSO,DATOS!$D3845,nESPEC,DATOS!$E3845,nASIG,DATOS!$I3845,nEVAL,"EX")=0),0))))</f>
      </c>
      <c r="H3845">
        <f>IF(DATOS!$G3845&lt;&gt;"EX",0,--(COUNTIFS(nNIA,DATOS!$A3845,nCURSO,DATOS!$D3845,nESPEC,DATOS!$E3845,nASIG,DATOS!$I3845,nEVAL,"OR")=0))</f>
      </c>
      <c r="I3845">
        <f>IF(DATOS!$I3845="","",IFERROR(VLOOKUP(DATOS!$I3845,CONFIG_ASIGNATURAS!$B$2:$J$91,9,FALSE()),""))</f>
      </c>
    </row>
    <row r="3846">
      <c r="F3846">
        <f>IF(DATOS!$A3846="","",DATOS!$A3846&amp;"|"&amp;DATOS!$D3846&amp;"|"&amp;DATOS!$E3846&amp;"|"&amp;DATOS!$I3846)</f>
      </c>
      <c r="G3846">
        <f>IF(DATOS!$A3846="",0,IF(CONFIG_METADATA!$B$4&lt;&gt;"OR+EX",--(DATOS!$G3846=CONFIG_METADATA!$B$4),IF(DATOS!$G3846="EX",1,IF(DATOS!$G3846="OR",--(COUNTIFS(nNIA,DATOS!$A3846,nCURSO,DATOS!$D3846,nESPEC,DATOS!$E3846,nASIG,DATOS!$I3846,nEVAL,"EX")=0),0))))</f>
      </c>
      <c r="H3846">
        <f>IF(DATOS!$G3846&lt;&gt;"EX",0,--(COUNTIFS(nNIA,DATOS!$A3846,nCURSO,DATOS!$D3846,nESPEC,DATOS!$E3846,nASIG,DATOS!$I3846,nEVAL,"OR")=0))</f>
      </c>
      <c r="I3846">
        <f>IF(DATOS!$I3846="","",IFERROR(VLOOKUP(DATOS!$I3846,CONFIG_ASIGNATURAS!$B$2:$J$91,9,FALSE()),""))</f>
      </c>
    </row>
    <row r="3847">
      <c r="F3847">
        <f>IF(DATOS!$A3847="","",DATOS!$A3847&amp;"|"&amp;DATOS!$D3847&amp;"|"&amp;DATOS!$E3847&amp;"|"&amp;DATOS!$I3847)</f>
      </c>
      <c r="G3847">
        <f>IF(DATOS!$A3847="",0,IF(CONFIG_METADATA!$B$4&lt;&gt;"OR+EX",--(DATOS!$G3847=CONFIG_METADATA!$B$4),IF(DATOS!$G3847="EX",1,IF(DATOS!$G3847="OR",--(COUNTIFS(nNIA,DATOS!$A3847,nCURSO,DATOS!$D3847,nESPEC,DATOS!$E3847,nASIG,DATOS!$I3847,nEVAL,"EX")=0),0))))</f>
      </c>
      <c r="H3847">
        <f>IF(DATOS!$G3847&lt;&gt;"EX",0,--(COUNTIFS(nNIA,DATOS!$A3847,nCURSO,DATOS!$D3847,nESPEC,DATOS!$E3847,nASIG,DATOS!$I3847,nEVAL,"OR")=0))</f>
      </c>
      <c r="I3847">
        <f>IF(DATOS!$I3847="","",IFERROR(VLOOKUP(DATOS!$I3847,CONFIG_ASIGNATURAS!$B$2:$J$91,9,FALSE()),""))</f>
      </c>
    </row>
    <row r="3848">
      <c r="F3848">
        <f>IF(DATOS!$A3848="","",DATOS!$A3848&amp;"|"&amp;DATOS!$D3848&amp;"|"&amp;DATOS!$E3848&amp;"|"&amp;DATOS!$I3848)</f>
      </c>
      <c r="G3848">
        <f>IF(DATOS!$A3848="",0,IF(CONFIG_METADATA!$B$4&lt;&gt;"OR+EX",--(DATOS!$G3848=CONFIG_METADATA!$B$4),IF(DATOS!$G3848="EX",1,IF(DATOS!$G3848="OR",--(COUNTIFS(nNIA,DATOS!$A3848,nCURSO,DATOS!$D3848,nESPEC,DATOS!$E3848,nASIG,DATOS!$I3848,nEVAL,"EX")=0),0))))</f>
      </c>
      <c r="H3848">
        <f>IF(DATOS!$G3848&lt;&gt;"EX",0,--(COUNTIFS(nNIA,DATOS!$A3848,nCURSO,DATOS!$D3848,nESPEC,DATOS!$E3848,nASIG,DATOS!$I3848,nEVAL,"OR")=0))</f>
      </c>
      <c r="I3848">
        <f>IF(DATOS!$I3848="","",IFERROR(VLOOKUP(DATOS!$I3848,CONFIG_ASIGNATURAS!$B$2:$J$91,9,FALSE()),""))</f>
      </c>
    </row>
    <row r="3849">
      <c r="F3849">
        <f>IF(DATOS!$A3849="","",DATOS!$A3849&amp;"|"&amp;DATOS!$D3849&amp;"|"&amp;DATOS!$E3849&amp;"|"&amp;DATOS!$I3849)</f>
      </c>
      <c r="G3849">
        <f>IF(DATOS!$A3849="",0,IF(CONFIG_METADATA!$B$4&lt;&gt;"OR+EX",--(DATOS!$G3849=CONFIG_METADATA!$B$4),IF(DATOS!$G3849="EX",1,IF(DATOS!$G3849="OR",--(COUNTIFS(nNIA,DATOS!$A3849,nCURSO,DATOS!$D3849,nESPEC,DATOS!$E3849,nASIG,DATOS!$I3849,nEVAL,"EX")=0),0))))</f>
      </c>
      <c r="H3849">
        <f>IF(DATOS!$G3849&lt;&gt;"EX",0,--(COUNTIFS(nNIA,DATOS!$A3849,nCURSO,DATOS!$D3849,nESPEC,DATOS!$E3849,nASIG,DATOS!$I3849,nEVAL,"OR")=0))</f>
      </c>
      <c r="I3849">
        <f>IF(DATOS!$I3849="","",IFERROR(VLOOKUP(DATOS!$I3849,CONFIG_ASIGNATURAS!$B$2:$J$91,9,FALSE()),""))</f>
      </c>
    </row>
    <row r="3850">
      <c r="F3850">
        <f>IF(DATOS!$A3850="","",DATOS!$A3850&amp;"|"&amp;DATOS!$D3850&amp;"|"&amp;DATOS!$E3850&amp;"|"&amp;DATOS!$I3850)</f>
      </c>
      <c r="G3850">
        <f>IF(DATOS!$A3850="",0,IF(CONFIG_METADATA!$B$4&lt;&gt;"OR+EX",--(DATOS!$G3850=CONFIG_METADATA!$B$4),IF(DATOS!$G3850="EX",1,IF(DATOS!$G3850="OR",--(COUNTIFS(nNIA,DATOS!$A3850,nCURSO,DATOS!$D3850,nESPEC,DATOS!$E3850,nASIG,DATOS!$I3850,nEVAL,"EX")=0),0))))</f>
      </c>
      <c r="H3850">
        <f>IF(DATOS!$G3850&lt;&gt;"EX",0,--(COUNTIFS(nNIA,DATOS!$A3850,nCURSO,DATOS!$D3850,nESPEC,DATOS!$E3850,nASIG,DATOS!$I3850,nEVAL,"OR")=0))</f>
      </c>
      <c r="I3850">
        <f>IF(DATOS!$I3850="","",IFERROR(VLOOKUP(DATOS!$I3850,CONFIG_ASIGNATURAS!$B$2:$J$91,9,FALSE()),""))</f>
      </c>
    </row>
    <row r="3851">
      <c r="F3851">
        <f>IF(DATOS!$A3851="","",DATOS!$A3851&amp;"|"&amp;DATOS!$D3851&amp;"|"&amp;DATOS!$E3851&amp;"|"&amp;DATOS!$I3851)</f>
      </c>
      <c r="G3851">
        <f>IF(DATOS!$A3851="",0,IF(CONFIG_METADATA!$B$4&lt;&gt;"OR+EX",--(DATOS!$G3851=CONFIG_METADATA!$B$4),IF(DATOS!$G3851="EX",1,IF(DATOS!$G3851="OR",--(COUNTIFS(nNIA,DATOS!$A3851,nCURSO,DATOS!$D3851,nESPEC,DATOS!$E3851,nASIG,DATOS!$I3851,nEVAL,"EX")=0),0))))</f>
      </c>
      <c r="H3851">
        <f>IF(DATOS!$G3851&lt;&gt;"EX",0,--(COUNTIFS(nNIA,DATOS!$A3851,nCURSO,DATOS!$D3851,nESPEC,DATOS!$E3851,nASIG,DATOS!$I3851,nEVAL,"OR")=0))</f>
      </c>
      <c r="I3851">
        <f>IF(DATOS!$I3851="","",IFERROR(VLOOKUP(DATOS!$I3851,CONFIG_ASIGNATURAS!$B$2:$J$91,9,FALSE()),""))</f>
      </c>
    </row>
    <row r="3852">
      <c r="F3852">
        <f>IF(DATOS!$A3852="","",DATOS!$A3852&amp;"|"&amp;DATOS!$D3852&amp;"|"&amp;DATOS!$E3852&amp;"|"&amp;DATOS!$I3852)</f>
      </c>
      <c r="G3852">
        <f>IF(DATOS!$A3852="",0,IF(CONFIG_METADATA!$B$4&lt;&gt;"OR+EX",--(DATOS!$G3852=CONFIG_METADATA!$B$4),IF(DATOS!$G3852="EX",1,IF(DATOS!$G3852="OR",--(COUNTIFS(nNIA,DATOS!$A3852,nCURSO,DATOS!$D3852,nESPEC,DATOS!$E3852,nASIG,DATOS!$I3852,nEVAL,"EX")=0),0))))</f>
      </c>
      <c r="H3852">
        <f>IF(DATOS!$G3852&lt;&gt;"EX",0,--(COUNTIFS(nNIA,DATOS!$A3852,nCURSO,DATOS!$D3852,nESPEC,DATOS!$E3852,nASIG,DATOS!$I3852,nEVAL,"OR")=0))</f>
      </c>
      <c r="I3852">
        <f>IF(DATOS!$I3852="","",IFERROR(VLOOKUP(DATOS!$I3852,CONFIG_ASIGNATURAS!$B$2:$J$91,9,FALSE()),""))</f>
      </c>
    </row>
    <row r="3853">
      <c r="F3853">
        <f>IF(DATOS!$A3853="","",DATOS!$A3853&amp;"|"&amp;DATOS!$D3853&amp;"|"&amp;DATOS!$E3853&amp;"|"&amp;DATOS!$I3853)</f>
      </c>
      <c r="G3853">
        <f>IF(DATOS!$A3853="",0,IF(CONFIG_METADATA!$B$4&lt;&gt;"OR+EX",--(DATOS!$G3853=CONFIG_METADATA!$B$4),IF(DATOS!$G3853="EX",1,IF(DATOS!$G3853="OR",--(COUNTIFS(nNIA,DATOS!$A3853,nCURSO,DATOS!$D3853,nESPEC,DATOS!$E3853,nASIG,DATOS!$I3853,nEVAL,"EX")=0),0))))</f>
      </c>
      <c r="H3853">
        <f>IF(DATOS!$G3853&lt;&gt;"EX",0,--(COUNTIFS(nNIA,DATOS!$A3853,nCURSO,DATOS!$D3853,nESPEC,DATOS!$E3853,nASIG,DATOS!$I3853,nEVAL,"OR")=0))</f>
      </c>
      <c r="I3853">
        <f>IF(DATOS!$I3853="","",IFERROR(VLOOKUP(DATOS!$I3853,CONFIG_ASIGNATURAS!$B$2:$J$91,9,FALSE()),""))</f>
      </c>
    </row>
    <row r="3854">
      <c r="F3854">
        <f>IF(DATOS!$A3854="","",DATOS!$A3854&amp;"|"&amp;DATOS!$D3854&amp;"|"&amp;DATOS!$E3854&amp;"|"&amp;DATOS!$I3854)</f>
      </c>
      <c r="G3854">
        <f>IF(DATOS!$A3854="",0,IF(CONFIG_METADATA!$B$4&lt;&gt;"OR+EX",--(DATOS!$G3854=CONFIG_METADATA!$B$4),IF(DATOS!$G3854="EX",1,IF(DATOS!$G3854="OR",--(COUNTIFS(nNIA,DATOS!$A3854,nCURSO,DATOS!$D3854,nESPEC,DATOS!$E3854,nASIG,DATOS!$I3854,nEVAL,"EX")=0),0))))</f>
      </c>
      <c r="H3854">
        <f>IF(DATOS!$G3854&lt;&gt;"EX",0,--(COUNTIFS(nNIA,DATOS!$A3854,nCURSO,DATOS!$D3854,nESPEC,DATOS!$E3854,nASIG,DATOS!$I3854,nEVAL,"OR")=0))</f>
      </c>
      <c r="I3854">
        <f>IF(DATOS!$I3854="","",IFERROR(VLOOKUP(DATOS!$I3854,CONFIG_ASIGNATURAS!$B$2:$J$91,9,FALSE()),""))</f>
      </c>
    </row>
    <row r="3855">
      <c r="F3855">
        <f>IF(DATOS!$A3855="","",DATOS!$A3855&amp;"|"&amp;DATOS!$D3855&amp;"|"&amp;DATOS!$E3855&amp;"|"&amp;DATOS!$I3855)</f>
      </c>
      <c r="G3855">
        <f>IF(DATOS!$A3855="",0,IF(CONFIG_METADATA!$B$4&lt;&gt;"OR+EX",--(DATOS!$G3855=CONFIG_METADATA!$B$4),IF(DATOS!$G3855="EX",1,IF(DATOS!$G3855="OR",--(COUNTIFS(nNIA,DATOS!$A3855,nCURSO,DATOS!$D3855,nESPEC,DATOS!$E3855,nASIG,DATOS!$I3855,nEVAL,"EX")=0),0))))</f>
      </c>
      <c r="H3855">
        <f>IF(DATOS!$G3855&lt;&gt;"EX",0,--(COUNTIFS(nNIA,DATOS!$A3855,nCURSO,DATOS!$D3855,nESPEC,DATOS!$E3855,nASIG,DATOS!$I3855,nEVAL,"OR")=0))</f>
      </c>
      <c r="I3855">
        <f>IF(DATOS!$I3855="","",IFERROR(VLOOKUP(DATOS!$I3855,CONFIG_ASIGNATURAS!$B$2:$J$91,9,FALSE()),""))</f>
      </c>
    </row>
    <row r="3856">
      <c r="F3856">
        <f>IF(DATOS!$A3856="","",DATOS!$A3856&amp;"|"&amp;DATOS!$D3856&amp;"|"&amp;DATOS!$E3856&amp;"|"&amp;DATOS!$I3856)</f>
      </c>
      <c r="G3856">
        <f>IF(DATOS!$A3856="",0,IF(CONFIG_METADATA!$B$4&lt;&gt;"OR+EX",--(DATOS!$G3856=CONFIG_METADATA!$B$4),IF(DATOS!$G3856="EX",1,IF(DATOS!$G3856="OR",--(COUNTIFS(nNIA,DATOS!$A3856,nCURSO,DATOS!$D3856,nESPEC,DATOS!$E3856,nASIG,DATOS!$I3856,nEVAL,"EX")=0),0))))</f>
      </c>
      <c r="H3856">
        <f>IF(DATOS!$G3856&lt;&gt;"EX",0,--(COUNTIFS(nNIA,DATOS!$A3856,nCURSO,DATOS!$D3856,nESPEC,DATOS!$E3856,nASIG,DATOS!$I3856,nEVAL,"OR")=0))</f>
      </c>
      <c r="I3856">
        <f>IF(DATOS!$I3856="","",IFERROR(VLOOKUP(DATOS!$I3856,CONFIG_ASIGNATURAS!$B$2:$J$91,9,FALSE()),""))</f>
      </c>
    </row>
    <row r="3857">
      <c r="F3857">
        <f>IF(DATOS!$A3857="","",DATOS!$A3857&amp;"|"&amp;DATOS!$D3857&amp;"|"&amp;DATOS!$E3857&amp;"|"&amp;DATOS!$I3857)</f>
      </c>
      <c r="G3857">
        <f>IF(DATOS!$A3857="",0,IF(CONFIG_METADATA!$B$4&lt;&gt;"OR+EX",--(DATOS!$G3857=CONFIG_METADATA!$B$4),IF(DATOS!$G3857="EX",1,IF(DATOS!$G3857="OR",--(COUNTIFS(nNIA,DATOS!$A3857,nCURSO,DATOS!$D3857,nESPEC,DATOS!$E3857,nASIG,DATOS!$I3857,nEVAL,"EX")=0),0))))</f>
      </c>
      <c r="H3857">
        <f>IF(DATOS!$G3857&lt;&gt;"EX",0,--(COUNTIFS(nNIA,DATOS!$A3857,nCURSO,DATOS!$D3857,nESPEC,DATOS!$E3857,nASIG,DATOS!$I3857,nEVAL,"OR")=0))</f>
      </c>
      <c r="I3857">
        <f>IF(DATOS!$I3857="","",IFERROR(VLOOKUP(DATOS!$I3857,CONFIG_ASIGNATURAS!$B$2:$J$91,9,FALSE()),""))</f>
      </c>
    </row>
    <row r="3858">
      <c r="F3858">
        <f>IF(DATOS!$A3858="","",DATOS!$A3858&amp;"|"&amp;DATOS!$D3858&amp;"|"&amp;DATOS!$E3858&amp;"|"&amp;DATOS!$I3858)</f>
      </c>
      <c r="G3858">
        <f>IF(DATOS!$A3858="",0,IF(CONFIG_METADATA!$B$4&lt;&gt;"OR+EX",--(DATOS!$G3858=CONFIG_METADATA!$B$4),IF(DATOS!$G3858="EX",1,IF(DATOS!$G3858="OR",--(COUNTIFS(nNIA,DATOS!$A3858,nCURSO,DATOS!$D3858,nESPEC,DATOS!$E3858,nASIG,DATOS!$I3858,nEVAL,"EX")=0),0))))</f>
      </c>
      <c r="H3858">
        <f>IF(DATOS!$G3858&lt;&gt;"EX",0,--(COUNTIFS(nNIA,DATOS!$A3858,nCURSO,DATOS!$D3858,nESPEC,DATOS!$E3858,nASIG,DATOS!$I3858,nEVAL,"OR")=0))</f>
      </c>
      <c r="I3858">
        <f>IF(DATOS!$I3858="","",IFERROR(VLOOKUP(DATOS!$I3858,CONFIG_ASIGNATURAS!$B$2:$J$91,9,FALSE()),""))</f>
      </c>
    </row>
    <row r="3859">
      <c r="F3859">
        <f>IF(DATOS!$A3859="","",DATOS!$A3859&amp;"|"&amp;DATOS!$D3859&amp;"|"&amp;DATOS!$E3859&amp;"|"&amp;DATOS!$I3859)</f>
      </c>
      <c r="G3859">
        <f>IF(DATOS!$A3859="",0,IF(CONFIG_METADATA!$B$4&lt;&gt;"OR+EX",--(DATOS!$G3859=CONFIG_METADATA!$B$4),IF(DATOS!$G3859="EX",1,IF(DATOS!$G3859="OR",--(COUNTIFS(nNIA,DATOS!$A3859,nCURSO,DATOS!$D3859,nESPEC,DATOS!$E3859,nASIG,DATOS!$I3859,nEVAL,"EX")=0),0))))</f>
      </c>
      <c r="H3859">
        <f>IF(DATOS!$G3859&lt;&gt;"EX",0,--(COUNTIFS(nNIA,DATOS!$A3859,nCURSO,DATOS!$D3859,nESPEC,DATOS!$E3859,nASIG,DATOS!$I3859,nEVAL,"OR")=0))</f>
      </c>
      <c r="I3859">
        <f>IF(DATOS!$I3859="","",IFERROR(VLOOKUP(DATOS!$I3859,CONFIG_ASIGNATURAS!$B$2:$J$91,9,FALSE()),""))</f>
      </c>
    </row>
    <row r="3860">
      <c r="F3860">
        <f>IF(DATOS!$A3860="","",DATOS!$A3860&amp;"|"&amp;DATOS!$D3860&amp;"|"&amp;DATOS!$E3860&amp;"|"&amp;DATOS!$I3860)</f>
      </c>
      <c r="G3860">
        <f>IF(DATOS!$A3860="",0,IF(CONFIG_METADATA!$B$4&lt;&gt;"OR+EX",--(DATOS!$G3860=CONFIG_METADATA!$B$4),IF(DATOS!$G3860="EX",1,IF(DATOS!$G3860="OR",--(COUNTIFS(nNIA,DATOS!$A3860,nCURSO,DATOS!$D3860,nESPEC,DATOS!$E3860,nASIG,DATOS!$I3860,nEVAL,"EX")=0),0))))</f>
      </c>
      <c r="H3860">
        <f>IF(DATOS!$G3860&lt;&gt;"EX",0,--(COUNTIFS(nNIA,DATOS!$A3860,nCURSO,DATOS!$D3860,nESPEC,DATOS!$E3860,nASIG,DATOS!$I3860,nEVAL,"OR")=0))</f>
      </c>
      <c r="I3860">
        <f>IF(DATOS!$I3860="","",IFERROR(VLOOKUP(DATOS!$I3860,CONFIG_ASIGNATURAS!$B$2:$J$91,9,FALSE()),""))</f>
      </c>
    </row>
    <row r="3861">
      <c r="F3861">
        <f>IF(DATOS!$A3861="","",DATOS!$A3861&amp;"|"&amp;DATOS!$D3861&amp;"|"&amp;DATOS!$E3861&amp;"|"&amp;DATOS!$I3861)</f>
      </c>
      <c r="G3861">
        <f>IF(DATOS!$A3861="",0,IF(CONFIG_METADATA!$B$4&lt;&gt;"OR+EX",--(DATOS!$G3861=CONFIG_METADATA!$B$4),IF(DATOS!$G3861="EX",1,IF(DATOS!$G3861="OR",--(COUNTIFS(nNIA,DATOS!$A3861,nCURSO,DATOS!$D3861,nESPEC,DATOS!$E3861,nASIG,DATOS!$I3861,nEVAL,"EX")=0),0))))</f>
      </c>
      <c r="H3861">
        <f>IF(DATOS!$G3861&lt;&gt;"EX",0,--(COUNTIFS(nNIA,DATOS!$A3861,nCURSO,DATOS!$D3861,nESPEC,DATOS!$E3861,nASIG,DATOS!$I3861,nEVAL,"OR")=0))</f>
      </c>
      <c r="I3861">
        <f>IF(DATOS!$I3861="","",IFERROR(VLOOKUP(DATOS!$I3861,CONFIG_ASIGNATURAS!$B$2:$J$91,9,FALSE()),""))</f>
      </c>
    </row>
    <row r="3862">
      <c r="F3862">
        <f>IF(DATOS!$A3862="","",DATOS!$A3862&amp;"|"&amp;DATOS!$D3862&amp;"|"&amp;DATOS!$E3862&amp;"|"&amp;DATOS!$I3862)</f>
      </c>
      <c r="G3862">
        <f>IF(DATOS!$A3862="",0,IF(CONFIG_METADATA!$B$4&lt;&gt;"OR+EX",--(DATOS!$G3862=CONFIG_METADATA!$B$4),IF(DATOS!$G3862="EX",1,IF(DATOS!$G3862="OR",--(COUNTIFS(nNIA,DATOS!$A3862,nCURSO,DATOS!$D3862,nESPEC,DATOS!$E3862,nASIG,DATOS!$I3862,nEVAL,"EX")=0),0))))</f>
      </c>
      <c r="H3862">
        <f>IF(DATOS!$G3862&lt;&gt;"EX",0,--(COUNTIFS(nNIA,DATOS!$A3862,nCURSO,DATOS!$D3862,nESPEC,DATOS!$E3862,nASIG,DATOS!$I3862,nEVAL,"OR")=0))</f>
      </c>
      <c r="I3862">
        <f>IF(DATOS!$I3862="","",IFERROR(VLOOKUP(DATOS!$I3862,CONFIG_ASIGNATURAS!$B$2:$J$91,9,FALSE()),""))</f>
      </c>
    </row>
    <row r="3863">
      <c r="F3863">
        <f>IF(DATOS!$A3863="","",DATOS!$A3863&amp;"|"&amp;DATOS!$D3863&amp;"|"&amp;DATOS!$E3863&amp;"|"&amp;DATOS!$I3863)</f>
      </c>
      <c r="G3863">
        <f>IF(DATOS!$A3863="",0,IF(CONFIG_METADATA!$B$4&lt;&gt;"OR+EX",--(DATOS!$G3863=CONFIG_METADATA!$B$4),IF(DATOS!$G3863="EX",1,IF(DATOS!$G3863="OR",--(COUNTIFS(nNIA,DATOS!$A3863,nCURSO,DATOS!$D3863,nESPEC,DATOS!$E3863,nASIG,DATOS!$I3863,nEVAL,"EX")=0),0))))</f>
      </c>
      <c r="H3863">
        <f>IF(DATOS!$G3863&lt;&gt;"EX",0,--(COUNTIFS(nNIA,DATOS!$A3863,nCURSO,DATOS!$D3863,nESPEC,DATOS!$E3863,nASIG,DATOS!$I3863,nEVAL,"OR")=0))</f>
      </c>
      <c r="I3863">
        <f>IF(DATOS!$I3863="","",IFERROR(VLOOKUP(DATOS!$I3863,CONFIG_ASIGNATURAS!$B$2:$J$91,9,FALSE()),""))</f>
      </c>
    </row>
    <row r="3864">
      <c r="F3864">
        <f>IF(DATOS!$A3864="","",DATOS!$A3864&amp;"|"&amp;DATOS!$D3864&amp;"|"&amp;DATOS!$E3864&amp;"|"&amp;DATOS!$I3864)</f>
      </c>
      <c r="G3864">
        <f>IF(DATOS!$A3864="",0,IF(CONFIG_METADATA!$B$4&lt;&gt;"OR+EX",--(DATOS!$G3864=CONFIG_METADATA!$B$4),IF(DATOS!$G3864="EX",1,IF(DATOS!$G3864="OR",--(COUNTIFS(nNIA,DATOS!$A3864,nCURSO,DATOS!$D3864,nESPEC,DATOS!$E3864,nASIG,DATOS!$I3864,nEVAL,"EX")=0),0))))</f>
      </c>
      <c r="H3864">
        <f>IF(DATOS!$G3864&lt;&gt;"EX",0,--(COUNTIFS(nNIA,DATOS!$A3864,nCURSO,DATOS!$D3864,nESPEC,DATOS!$E3864,nASIG,DATOS!$I3864,nEVAL,"OR")=0))</f>
      </c>
      <c r="I3864">
        <f>IF(DATOS!$I3864="","",IFERROR(VLOOKUP(DATOS!$I3864,CONFIG_ASIGNATURAS!$B$2:$J$91,9,FALSE()),""))</f>
      </c>
    </row>
    <row r="3865">
      <c r="F3865">
        <f>IF(DATOS!$A3865="","",DATOS!$A3865&amp;"|"&amp;DATOS!$D3865&amp;"|"&amp;DATOS!$E3865&amp;"|"&amp;DATOS!$I3865)</f>
      </c>
      <c r="G3865">
        <f>IF(DATOS!$A3865="",0,IF(CONFIG_METADATA!$B$4&lt;&gt;"OR+EX",--(DATOS!$G3865=CONFIG_METADATA!$B$4),IF(DATOS!$G3865="EX",1,IF(DATOS!$G3865="OR",--(COUNTIFS(nNIA,DATOS!$A3865,nCURSO,DATOS!$D3865,nESPEC,DATOS!$E3865,nASIG,DATOS!$I3865,nEVAL,"EX")=0),0))))</f>
      </c>
      <c r="H3865">
        <f>IF(DATOS!$G3865&lt;&gt;"EX",0,--(COUNTIFS(nNIA,DATOS!$A3865,nCURSO,DATOS!$D3865,nESPEC,DATOS!$E3865,nASIG,DATOS!$I3865,nEVAL,"OR")=0))</f>
      </c>
      <c r="I3865">
        <f>IF(DATOS!$I3865="","",IFERROR(VLOOKUP(DATOS!$I3865,CONFIG_ASIGNATURAS!$B$2:$J$91,9,FALSE()),""))</f>
      </c>
    </row>
    <row r="3866">
      <c r="F3866">
        <f>IF(DATOS!$A3866="","",DATOS!$A3866&amp;"|"&amp;DATOS!$D3866&amp;"|"&amp;DATOS!$E3866&amp;"|"&amp;DATOS!$I3866)</f>
      </c>
      <c r="G3866">
        <f>IF(DATOS!$A3866="",0,IF(CONFIG_METADATA!$B$4&lt;&gt;"OR+EX",--(DATOS!$G3866=CONFIG_METADATA!$B$4),IF(DATOS!$G3866="EX",1,IF(DATOS!$G3866="OR",--(COUNTIFS(nNIA,DATOS!$A3866,nCURSO,DATOS!$D3866,nESPEC,DATOS!$E3866,nASIG,DATOS!$I3866,nEVAL,"EX")=0),0))))</f>
      </c>
      <c r="H3866">
        <f>IF(DATOS!$G3866&lt;&gt;"EX",0,--(COUNTIFS(nNIA,DATOS!$A3866,nCURSO,DATOS!$D3866,nESPEC,DATOS!$E3866,nASIG,DATOS!$I3866,nEVAL,"OR")=0))</f>
      </c>
      <c r="I3866">
        <f>IF(DATOS!$I3866="","",IFERROR(VLOOKUP(DATOS!$I3866,CONFIG_ASIGNATURAS!$B$2:$J$91,9,FALSE()),""))</f>
      </c>
    </row>
    <row r="3867">
      <c r="F3867">
        <f>IF(DATOS!$A3867="","",DATOS!$A3867&amp;"|"&amp;DATOS!$D3867&amp;"|"&amp;DATOS!$E3867&amp;"|"&amp;DATOS!$I3867)</f>
      </c>
      <c r="G3867">
        <f>IF(DATOS!$A3867="",0,IF(CONFIG_METADATA!$B$4&lt;&gt;"OR+EX",--(DATOS!$G3867=CONFIG_METADATA!$B$4),IF(DATOS!$G3867="EX",1,IF(DATOS!$G3867="OR",--(COUNTIFS(nNIA,DATOS!$A3867,nCURSO,DATOS!$D3867,nESPEC,DATOS!$E3867,nASIG,DATOS!$I3867,nEVAL,"EX")=0),0))))</f>
      </c>
      <c r="H3867">
        <f>IF(DATOS!$G3867&lt;&gt;"EX",0,--(COUNTIFS(nNIA,DATOS!$A3867,nCURSO,DATOS!$D3867,nESPEC,DATOS!$E3867,nASIG,DATOS!$I3867,nEVAL,"OR")=0))</f>
      </c>
      <c r="I3867">
        <f>IF(DATOS!$I3867="","",IFERROR(VLOOKUP(DATOS!$I3867,CONFIG_ASIGNATURAS!$B$2:$J$91,9,FALSE()),""))</f>
      </c>
    </row>
    <row r="3868">
      <c r="F3868">
        <f>IF(DATOS!$A3868="","",DATOS!$A3868&amp;"|"&amp;DATOS!$D3868&amp;"|"&amp;DATOS!$E3868&amp;"|"&amp;DATOS!$I3868)</f>
      </c>
      <c r="G3868">
        <f>IF(DATOS!$A3868="",0,IF(CONFIG_METADATA!$B$4&lt;&gt;"OR+EX",--(DATOS!$G3868=CONFIG_METADATA!$B$4),IF(DATOS!$G3868="EX",1,IF(DATOS!$G3868="OR",--(COUNTIFS(nNIA,DATOS!$A3868,nCURSO,DATOS!$D3868,nESPEC,DATOS!$E3868,nASIG,DATOS!$I3868,nEVAL,"EX")=0),0))))</f>
      </c>
      <c r="H3868">
        <f>IF(DATOS!$G3868&lt;&gt;"EX",0,--(COUNTIFS(nNIA,DATOS!$A3868,nCURSO,DATOS!$D3868,nESPEC,DATOS!$E3868,nASIG,DATOS!$I3868,nEVAL,"OR")=0))</f>
      </c>
      <c r="I3868">
        <f>IF(DATOS!$I3868="","",IFERROR(VLOOKUP(DATOS!$I3868,CONFIG_ASIGNATURAS!$B$2:$J$91,9,FALSE()),""))</f>
      </c>
    </row>
    <row r="3869">
      <c r="F3869">
        <f>IF(DATOS!$A3869="","",DATOS!$A3869&amp;"|"&amp;DATOS!$D3869&amp;"|"&amp;DATOS!$E3869&amp;"|"&amp;DATOS!$I3869)</f>
      </c>
      <c r="G3869">
        <f>IF(DATOS!$A3869="",0,IF(CONFIG_METADATA!$B$4&lt;&gt;"OR+EX",--(DATOS!$G3869=CONFIG_METADATA!$B$4),IF(DATOS!$G3869="EX",1,IF(DATOS!$G3869="OR",--(COUNTIFS(nNIA,DATOS!$A3869,nCURSO,DATOS!$D3869,nESPEC,DATOS!$E3869,nASIG,DATOS!$I3869,nEVAL,"EX")=0),0))))</f>
      </c>
      <c r="H3869">
        <f>IF(DATOS!$G3869&lt;&gt;"EX",0,--(COUNTIFS(nNIA,DATOS!$A3869,nCURSO,DATOS!$D3869,nESPEC,DATOS!$E3869,nASIG,DATOS!$I3869,nEVAL,"OR")=0))</f>
      </c>
      <c r="I3869">
        <f>IF(DATOS!$I3869="","",IFERROR(VLOOKUP(DATOS!$I3869,CONFIG_ASIGNATURAS!$B$2:$J$91,9,FALSE()),""))</f>
      </c>
    </row>
    <row r="3870">
      <c r="F3870">
        <f>IF(DATOS!$A3870="","",DATOS!$A3870&amp;"|"&amp;DATOS!$D3870&amp;"|"&amp;DATOS!$E3870&amp;"|"&amp;DATOS!$I3870)</f>
      </c>
      <c r="G3870">
        <f>IF(DATOS!$A3870="",0,IF(CONFIG_METADATA!$B$4&lt;&gt;"OR+EX",--(DATOS!$G3870=CONFIG_METADATA!$B$4),IF(DATOS!$G3870="EX",1,IF(DATOS!$G3870="OR",--(COUNTIFS(nNIA,DATOS!$A3870,nCURSO,DATOS!$D3870,nESPEC,DATOS!$E3870,nASIG,DATOS!$I3870,nEVAL,"EX")=0),0))))</f>
      </c>
      <c r="H3870">
        <f>IF(DATOS!$G3870&lt;&gt;"EX",0,--(COUNTIFS(nNIA,DATOS!$A3870,nCURSO,DATOS!$D3870,nESPEC,DATOS!$E3870,nASIG,DATOS!$I3870,nEVAL,"OR")=0))</f>
      </c>
      <c r="I3870">
        <f>IF(DATOS!$I3870="","",IFERROR(VLOOKUP(DATOS!$I3870,CONFIG_ASIGNATURAS!$B$2:$J$91,9,FALSE()),""))</f>
      </c>
    </row>
    <row r="3871">
      <c r="F3871">
        <f>IF(DATOS!$A3871="","",DATOS!$A3871&amp;"|"&amp;DATOS!$D3871&amp;"|"&amp;DATOS!$E3871&amp;"|"&amp;DATOS!$I3871)</f>
      </c>
      <c r="G3871">
        <f>IF(DATOS!$A3871="",0,IF(CONFIG_METADATA!$B$4&lt;&gt;"OR+EX",--(DATOS!$G3871=CONFIG_METADATA!$B$4),IF(DATOS!$G3871="EX",1,IF(DATOS!$G3871="OR",--(COUNTIFS(nNIA,DATOS!$A3871,nCURSO,DATOS!$D3871,nESPEC,DATOS!$E3871,nASIG,DATOS!$I3871,nEVAL,"EX")=0),0))))</f>
      </c>
      <c r="H3871">
        <f>IF(DATOS!$G3871&lt;&gt;"EX",0,--(COUNTIFS(nNIA,DATOS!$A3871,nCURSO,DATOS!$D3871,nESPEC,DATOS!$E3871,nASIG,DATOS!$I3871,nEVAL,"OR")=0))</f>
      </c>
      <c r="I3871">
        <f>IF(DATOS!$I3871="","",IFERROR(VLOOKUP(DATOS!$I3871,CONFIG_ASIGNATURAS!$B$2:$J$91,9,FALSE()),""))</f>
      </c>
    </row>
    <row r="3872">
      <c r="F3872">
        <f>IF(DATOS!$A3872="","",DATOS!$A3872&amp;"|"&amp;DATOS!$D3872&amp;"|"&amp;DATOS!$E3872&amp;"|"&amp;DATOS!$I3872)</f>
      </c>
      <c r="G3872">
        <f>IF(DATOS!$A3872="",0,IF(CONFIG_METADATA!$B$4&lt;&gt;"OR+EX",--(DATOS!$G3872=CONFIG_METADATA!$B$4),IF(DATOS!$G3872="EX",1,IF(DATOS!$G3872="OR",--(COUNTIFS(nNIA,DATOS!$A3872,nCURSO,DATOS!$D3872,nESPEC,DATOS!$E3872,nASIG,DATOS!$I3872,nEVAL,"EX")=0),0))))</f>
      </c>
      <c r="H3872">
        <f>IF(DATOS!$G3872&lt;&gt;"EX",0,--(COUNTIFS(nNIA,DATOS!$A3872,nCURSO,DATOS!$D3872,nESPEC,DATOS!$E3872,nASIG,DATOS!$I3872,nEVAL,"OR")=0))</f>
      </c>
      <c r="I3872">
        <f>IF(DATOS!$I3872="","",IFERROR(VLOOKUP(DATOS!$I3872,CONFIG_ASIGNATURAS!$B$2:$J$91,9,FALSE()),""))</f>
      </c>
    </row>
    <row r="3873">
      <c r="F3873">
        <f>IF(DATOS!$A3873="","",DATOS!$A3873&amp;"|"&amp;DATOS!$D3873&amp;"|"&amp;DATOS!$E3873&amp;"|"&amp;DATOS!$I3873)</f>
      </c>
      <c r="G3873">
        <f>IF(DATOS!$A3873="",0,IF(CONFIG_METADATA!$B$4&lt;&gt;"OR+EX",--(DATOS!$G3873=CONFIG_METADATA!$B$4),IF(DATOS!$G3873="EX",1,IF(DATOS!$G3873="OR",--(COUNTIFS(nNIA,DATOS!$A3873,nCURSO,DATOS!$D3873,nESPEC,DATOS!$E3873,nASIG,DATOS!$I3873,nEVAL,"EX")=0),0))))</f>
      </c>
      <c r="H3873">
        <f>IF(DATOS!$G3873&lt;&gt;"EX",0,--(COUNTIFS(nNIA,DATOS!$A3873,nCURSO,DATOS!$D3873,nESPEC,DATOS!$E3873,nASIG,DATOS!$I3873,nEVAL,"OR")=0))</f>
      </c>
      <c r="I3873">
        <f>IF(DATOS!$I3873="","",IFERROR(VLOOKUP(DATOS!$I3873,CONFIG_ASIGNATURAS!$B$2:$J$91,9,FALSE()),""))</f>
      </c>
    </row>
    <row r="3874">
      <c r="F3874">
        <f>IF(DATOS!$A3874="","",DATOS!$A3874&amp;"|"&amp;DATOS!$D3874&amp;"|"&amp;DATOS!$E3874&amp;"|"&amp;DATOS!$I3874)</f>
      </c>
      <c r="G3874">
        <f>IF(DATOS!$A3874="",0,IF(CONFIG_METADATA!$B$4&lt;&gt;"OR+EX",--(DATOS!$G3874=CONFIG_METADATA!$B$4),IF(DATOS!$G3874="EX",1,IF(DATOS!$G3874="OR",--(COUNTIFS(nNIA,DATOS!$A3874,nCURSO,DATOS!$D3874,nESPEC,DATOS!$E3874,nASIG,DATOS!$I3874,nEVAL,"EX")=0),0))))</f>
      </c>
      <c r="H3874">
        <f>IF(DATOS!$G3874&lt;&gt;"EX",0,--(COUNTIFS(nNIA,DATOS!$A3874,nCURSO,DATOS!$D3874,nESPEC,DATOS!$E3874,nASIG,DATOS!$I3874,nEVAL,"OR")=0))</f>
      </c>
      <c r="I3874">
        <f>IF(DATOS!$I3874="","",IFERROR(VLOOKUP(DATOS!$I3874,CONFIG_ASIGNATURAS!$B$2:$J$91,9,FALSE()),""))</f>
      </c>
    </row>
    <row r="3875">
      <c r="F3875">
        <f>IF(DATOS!$A3875="","",DATOS!$A3875&amp;"|"&amp;DATOS!$D3875&amp;"|"&amp;DATOS!$E3875&amp;"|"&amp;DATOS!$I3875)</f>
      </c>
      <c r="G3875">
        <f>IF(DATOS!$A3875="",0,IF(CONFIG_METADATA!$B$4&lt;&gt;"OR+EX",--(DATOS!$G3875=CONFIG_METADATA!$B$4),IF(DATOS!$G3875="EX",1,IF(DATOS!$G3875="OR",--(COUNTIFS(nNIA,DATOS!$A3875,nCURSO,DATOS!$D3875,nESPEC,DATOS!$E3875,nASIG,DATOS!$I3875,nEVAL,"EX")=0),0))))</f>
      </c>
      <c r="H3875">
        <f>IF(DATOS!$G3875&lt;&gt;"EX",0,--(COUNTIFS(nNIA,DATOS!$A3875,nCURSO,DATOS!$D3875,nESPEC,DATOS!$E3875,nASIG,DATOS!$I3875,nEVAL,"OR")=0))</f>
      </c>
      <c r="I3875">
        <f>IF(DATOS!$I3875="","",IFERROR(VLOOKUP(DATOS!$I3875,CONFIG_ASIGNATURAS!$B$2:$J$91,9,FALSE()),""))</f>
      </c>
    </row>
    <row r="3876">
      <c r="F3876">
        <f>IF(DATOS!$A3876="","",DATOS!$A3876&amp;"|"&amp;DATOS!$D3876&amp;"|"&amp;DATOS!$E3876&amp;"|"&amp;DATOS!$I3876)</f>
      </c>
      <c r="G3876">
        <f>IF(DATOS!$A3876="",0,IF(CONFIG_METADATA!$B$4&lt;&gt;"OR+EX",--(DATOS!$G3876=CONFIG_METADATA!$B$4),IF(DATOS!$G3876="EX",1,IF(DATOS!$G3876="OR",--(COUNTIFS(nNIA,DATOS!$A3876,nCURSO,DATOS!$D3876,nESPEC,DATOS!$E3876,nASIG,DATOS!$I3876,nEVAL,"EX")=0),0))))</f>
      </c>
      <c r="H3876">
        <f>IF(DATOS!$G3876&lt;&gt;"EX",0,--(COUNTIFS(nNIA,DATOS!$A3876,nCURSO,DATOS!$D3876,nESPEC,DATOS!$E3876,nASIG,DATOS!$I3876,nEVAL,"OR")=0))</f>
      </c>
      <c r="I3876">
        <f>IF(DATOS!$I3876="","",IFERROR(VLOOKUP(DATOS!$I3876,CONFIG_ASIGNATURAS!$B$2:$J$91,9,FALSE()),""))</f>
      </c>
    </row>
    <row r="3877">
      <c r="F3877">
        <f>IF(DATOS!$A3877="","",DATOS!$A3877&amp;"|"&amp;DATOS!$D3877&amp;"|"&amp;DATOS!$E3877&amp;"|"&amp;DATOS!$I3877)</f>
      </c>
      <c r="G3877">
        <f>IF(DATOS!$A3877="",0,IF(CONFIG_METADATA!$B$4&lt;&gt;"OR+EX",--(DATOS!$G3877=CONFIG_METADATA!$B$4),IF(DATOS!$G3877="EX",1,IF(DATOS!$G3877="OR",--(COUNTIFS(nNIA,DATOS!$A3877,nCURSO,DATOS!$D3877,nESPEC,DATOS!$E3877,nASIG,DATOS!$I3877,nEVAL,"EX")=0),0))))</f>
      </c>
      <c r="H3877">
        <f>IF(DATOS!$G3877&lt;&gt;"EX",0,--(COUNTIFS(nNIA,DATOS!$A3877,nCURSO,DATOS!$D3877,nESPEC,DATOS!$E3877,nASIG,DATOS!$I3877,nEVAL,"OR")=0))</f>
      </c>
      <c r="I3877">
        <f>IF(DATOS!$I3877="","",IFERROR(VLOOKUP(DATOS!$I3877,CONFIG_ASIGNATURAS!$B$2:$J$91,9,FALSE()),""))</f>
      </c>
    </row>
    <row r="3878">
      <c r="F3878">
        <f>IF(DATOS!$A3878="","",DATOS!$A3878&amp;"|"&amp;DATOS!$D3878&amp;"|"&amp;DATOS!$E3878&amp;"|"&amp;DATOS!$I3878)</f>
      </c>
      <c r="G3878">
        <f>IF(DATOS!$A3878="",0,IF(CONFIG_METADATA!$B$4&lt;&gt;"OR+EX",--(DATOS!$G3878=CONFIG_METADATA!$B$4),IF(DATOS!$G3878="EX",1,IF(DATOS!$G3878="OR",--(COUNTIFS(nNIA,DATOS!$A3878,nCURSO,DATOS!$D3878,nESPEC,DATOS!$E3878,nASIG,DATOS!$I3878,nEVAL,"EX")=0),0))))</f>
      </c>
      <c r="H3878">
        <f>IF(DATOS!$G3878&lt;&gt;"EX",0,--(COUNTIFS(nNIA,DATOS!$A3878,nCURSO,DATOS!$D3878,nESPEC,DATOS!$E3878,nASIG,DATOS!$I3878,nEVAL,"OR")=0))</f>
      </c>
      <c r="I3878">
        <f>IF(DATOS!$I3878="","",IFERROR(VLOOKUP(DATOS!$I3878,CONFIG_ASIGNATURAS!$B$2:$J$91,9,FALSE()),""))</f>
      </c>
    </row>
    <row r="3879">
      <c r="F3879">
        <f>IF(DATOS!$A3879="","",DATOS!$A3879&amp;"|"&amp;DATOS!$D3879&amp;"|"&amp;DATOS!$E3879&amp;"|"&amp;DATOS!$I3879)</f>
      </c>
      <c r="G3879">
        <f>IF(DATOS!$A3879="",0,IF(CONFIG_METADATA!$B$4&lt;&gt;"OR+EX",--(DATOS!$G3879=CONFIG_METADATA!$B$4),IF(DATOS!$G3879="EX",1,IF(DATOS!$G3879="OR",--(COUNTIFS(nNIA,DATOS!$A3879,nCURSO,DATOS!$D3879,nESPEC,DATOS!$E3879,nASIG,DATOS!$I3879,nEVAL,"EX")=0),0))))</f>
      </c>
      <c r="H3879">
        <f>IF(DATOS!$G3879&lt;&gt;"EX",0,--(COUNTIFS(nNIA,DATOS!$A3879,nCURSO,DATOS!$D3879,nESPEC,DATOS!$E3879,nASIG,DATOS!$I3879,nEVAL,"OR")=0))</f>
      </c>
      <c r="I3879">
        <f>IF(DATOS!$I3879="","",IFERROR(VLOOKUP(DATOS!$I3879,CONFIG_ASIGNATURAS!$B$2:$J$91,9,FALSE()),""))</f>
      </c>
    </row>
    <row r="3880">
      <c r="F3880">
        <f>IF(DATOS!$A3880="","",DATOS!$A3880&amp;"|"&amp;DATOS!$D3880&amp;"|"&amp;DATOS!$E3880&amp;"|"&amp;DATOS!$I3880)</f>
      </c>
      <c r="G3880">
        <f>IF(DATOS!$A3880="",0,IF(CONFIG_METADATA!$B$4&lt;&gt;"OR+EX",--(DATOS!$G3880=CONFIG_METADATA!$B$4),IF(DATOS!$G3880="EX",1,IF(DATOS!$G3880="OR",--(COUNTIFS(nNIA,DATOS!$A3880,nCURSO,DATOS!$D3880,nESPEC,DATOS!$E3880,nASIG,DATOS!$I3880,nEVAL,"EX")=0),0))))</f>
      </c>
      <c r="H3880">
        <f>IF(DATOS!$G3880&lt;&gt;"EX",0,--(COUNTIFS(nNIA,DATOS!$A3880,nCURSO,DATOS!$D3880,nESPEC,DATOS!$E3880,nASIG,DATOS!$I3880,nEVAL,"OR")=0))</f>
      </c>
      <c r="I3880">
        <f>IF(DATOS!$I3880="","",IFERROR(VLOOKUP(DATOS!$I3880,CONFIG_ASIGNATURAS!$B$2:$J$91,9,FALSE()),""))</f>
      </c>
    </row>
    <row r="3881">
      <c r="F3881">
        <f>IF(DATOS!$A3881="","",DATOS!$A3881&amp;"|"&amp;DATOS!$D3881&amp;"|"&amp;DATOS!$E3881&amp;"|"&amp;DATOS!$I3881)</f>
      </c>
      <c r="G3881">
        <f>IF(DATOS!$A3881="",0,IF(CONFIG_METADATA!$B$4&lt;&gt;"OR+EX",--(DATOS!$G3881=CONFIG_METADATA!$B$4),IF(DATOS!$G3881="EX",1,IF(DATOS!$G3881="OR",--(COUNTIFS(nNIA,DATOS!$A3881,nCURSO,DATOS!$D3881,nESPEC,DATOS!$E3881,nASIG,DATOS!$I3881,nEVAL,"EX")=0),0))))</f>
      </c>
      <c r="H3881">
        <f>IF(DATOS!$G3881&lt;&gt;"EX",0,--(COUNTIFS(nNIA,DATOS!$A3881,nCURSO,DATOS!$D3881,nESPEC,DATOS!$E3881,nASIG,DATOS!$I3881,nEVAL,"OR")=0))</f>
      </c>
      <c r="I3881">
        <f>IF(DATOS!$I3881="","",IFERROR(VLOOKUP(DATOS!$I3881,CONFIG_ASIGNATURAS!$B$2:$J$91,9,FALSE()),""))</f>
      </c>
    </row>
    <row r="3882">
      <c r="F3882">
        <f>IF(DATOS!$A3882="","",DATOS!$A3882&amp;"|"&amp;DATOS!$D3882&amp;"|"&amp;DATOS!$E3882&amp;"|"&amp;DATOS!$I3882)</f>
      </c>
      <c r="G3882">
        <f>IF(DATOS!$A3882="",0,IF(CONFIG_METADATA!$B$4&lt;&gt;"OR+EX",--(DATOS!$G3882=CONFIG_METADATA!$B$4),IF(DATOS!$G3882="EX",1,IF(DATOS!$G3882="OR",--(COUNTIFS(nNIA,DATOS!$A3882,nCURSO,DATOS!$D3882,nESPEC,DATOS!$E3882,nASIG,DATOS!$I3882,nEVAL,"EX")=0),0))))</f>
      </c>
      <c r="H3882">
        <f>IF(DATOS!$G3882&lt;&gt;"EX",0,--(COUNTIFS(nNIA,DATOS!$A3882,nCURSO,DATOS!$D3882,nESPEC,DATOS!$E3882,nASIG,DATOS!$I3882,nEVAL,"OR")=0))</f>
      </c>
      <c r="I3882">
        <f>IF(DATOS!$I3882="","",IFERROR(VLOOKUP(DATOS!$I3882,CONFIG_ASIGNATURAS!$B$2:$J$91,9,FALSE()),""))</f>
      </c>
    </row>
    <row r="3883">
      <c r="F3883">
        <f>IF(DATOS!$A3883="","",DATOS!$A3883&amp;"|"&amp;DATOS!$D3883&amp;"|"&amp;DATOS!$E3883&amp;"|"&amp;DATOS!$I3883)</f>
      </c>
      <c r="G3883">
        <f>IF(DATOS!$A3883="",0,IF(CONFIG_METADATA!$B$4&lt;&gt;"OR+EX",--(DATOS!$G3883=CONFIG_METADATA!$B$4),IF(DATOS!$G3883="EX",1,IF(DATOS!$G3883="OR",--(COUNTIFS(nNIA,DATOS!$A3883,nCURSO,DATOS!$D3883,nESPEC,DATOS!$E3883,nASIG,DATOS!$I3883,nEVAL,"EX")=0),0))))</f>
      </c>
      <c r="H3883">
        <f>IF(DATOS!$G3883&lt;&gt;"EX",0,--(COUNTIFS(nNIA,DATOS!$A3883,nCURSO,DATOS!$D3883,nESPEC,DATOS!$E3883,nASIG,DATOS!$I3883,nEVAL,"OR")=0))</f>
      </c>
      <c r="I3883">
        <f>IF(DATOS!$I3883="","",IFERROR(VLOOKUP(DATOS!$I3883,CONFIG_ASIGNATURAS!$B$2:$J$91,9,FALSE()),""))</f>
      </c>
    </row>
    <row r="3884">
      <c r="F3884">
        <f>IF(DATOS!$A3884="","",DATOS!$A3884&amp;"|"&amp;DATOS!$D3884&amp;"|"&amp;DATOS!$E3884&amp;"|"&amp;DATOS!$I3884)</f>
      </c>
      <c r="G3884">
        <f>IF(DATOS!$A3884="",0,IF(CONFIG_METADATA!$B$4&lt;&gt;"OR+EX",--(DATOS!$G3884=CONFIG_METADATA!$B$4),IF(DATOS!$G3884="EX",1,IF(DATOS!$G3884="OR",--(COUNTIFS(nNIA,DATOS!$A3884,nCURSO,DATOS!$D3884,nESPEC,DATOS!$E3884,nASIG,DATOS!$I3884,nEVAL,"EX")=0),0))))</f>
      </c>
      <c r="H3884">
        <f>IF(DATOS!$G3884&lt;&gt;"EX",0,--(COUNTIFS(nNIA,DATOS!$A3884,nCURSO,DATOS!$D3884,nESPEC,DATOS!$E3884,nASIG,DATOS!$I3884,nEVAL,"OR")=0))</f>
      </c>
      <c r="I3884">
        <f>IF(DATOS!$I3884="","",IFERROR(VLOOKUP(DATOS!$I3884,CONFIG_ASIGNATURAS!$B$2:$J$91,9,FALSE()),""))</f>
      </c>
    </row>
    <row r="3885">
      <c r="F3885">
        <f>IF(DATOS!$A3885="","",DATOS!$A3885&amp;"|"&amp;DATOS!$D3885&amp;"|"&amp;DATOS!$E3885&amp;"|"&amp;DATOS!$I3885)</f>
      </c>
      <c r="G3885">
        <f>IF(DATOS!$A3885="",0,IF(CONFIG_METADATA!$B$4&lt;&gt;"OR+EX",--(DATOS!$G3885=CONFIG_METADATA!$B$4),IF(DATOS!$G3885="EX",1,IF(DATOS!$G3885="OR",--(COUNTIFS(nNIA,DATOS!$A3885,nCURSO,DATOS!$D3885,nESPEC,DATOS!$E3885,nASIG,DATOS!$I3885,nEVAL,"EX")=0),0))))</f>
      </c>
      <c r="H3885">
        <f>IF(DATOS!$G3885&lt;&gt;"EX",0,--(COUNTIFS(nNIA,DATOS!$A3885,nCURSO,DATOS!$D3885,nESPEC,DATOS!$E3885,nASIG,DATOS!$I3885,nEVAL,"OR")=0))</f>
      </c>
      <c r="I3885">
        <f>IF(DATOS!$I3885="","",IFERROR(VLOOKUP(DATOS!$I3885,CONFIG_ASIGNATURAS!$B$2:$J$91,9,FALSE()),""))</f>
      </c>
    </row>
    <row r="3886">
      <c r="F3886">
        <f>IF(DATOS!$A3886="","",DATOS!$A3886&amp;"|"&amp;DATOS!$D3886&amp;"|"&amp;DATOS!$E3886&amp;"|"&amp;DATOS!$I3886)</f>
      </c>
      <c r="G3886">
        <f>IF(DATOS!$A3886="",0,IF(CONFIG_METADATA!$B$4&lt;&gt;"OR+EX",--(DATOS!$G3886=CONFIG_METADATA!$B$4),IF(DATOS!$G3886="EX",1,IF(DATOS!$G3886="OR",--(COUNTIFS(nNIA,DATOS!$A3886,nCURSO,DATOS!$D3886,nESPEC,DATOS!$E3886,nASIG,DATOS!$I3886,nEVAL,"EX")=0),0))))</f>
      </c>
      <c r="H3886">
        <f>IF(DATOS!$G3886&lt;&gt;"EX",0,--(COUNTIFS(nNIA,DATOS!$A3886,nCURSO,DATOS!$D3886,nESPEC,DATOS!$E3886,nASIG,DATOS!$I3886,nEVAL,"OR")=0))</f>
      </c>
      <c r="I3886">
        <f>IF(DATOS!$I3886="","",IFERROR(VLOOKUP(DATOS!$I3886,CONFIG_ASIGNATURAS!$B$2:$J$91,9,FALSE()),""))</f>
      </c>
    </row>
    <row r="3887">
      <c r="F3887">
        <f>IF(DATOS!$A3887="","",DATOS!$A3887&amp;"|"&amp;DATOS!$D3887&amp;"|"&amp;DATOS!$E3887&amp;"|"&amp;DATOS!$I3887)</f>
      </c>
      <c r="G3887">
        <f>IF(DATOS!$A3887="",0,IF(CONFIG_METADATA!$B$4&lt;&gt;"OR+EX",--(DATOS!$G3887=CONFIG_METADATA!$B$4),IF(DATOS!$G3887="EX",1,IF(DATOS!$G3887="OR",--(COUNTIFS(nNIA,DATOS!$A3887,nCURSO,DATOS!$D3887,nESPEC,DATOS!$E3887,nASIG,DATOS!$I3887,nEVAL,"EX")=0),0))))</f>
      </c>
      <c r="H3887">
        <f>IF(DATOS!$G3887&lt;&gt;"EX",0,--(COUNTIFS(nNIA,DATOS!$A3887,nCURSO,DATOS!$D3887,nESPEC,DATOS!$E3887,nASIG,DATOS!$I3887,nEVAL,"OR")=0))</f>
      </c>
      <c r="I3887">
        <f>IF(DATOS!$I3887="","",IFERROR(VLOOKUP(DATOS!$I3887,CONFIG_ASIGNATURAS!$B$2:$J$91,9,FALSE()),""))</f>
      </c>
    </row>
    <row r="3888">
      <c r="F3888">
        <f>IF(DATOS!$A3888="","",DATOS!$A3888&amp;"|"&amp;DATOS!$D3888&amp;"|"&amp;DATOS!$E3888&amp;"|"&amp;DATOS!$I3888)</f>
      </c>
      <c r="G3888">
        <f>IF(DATOS!$A3888="",0,IF(CONFIG_METADATA!$B$4&lt;&gt;"OR+EX",--(DATOS!$G3888=CONFIG_METADATA!$B$4),IF(DATOS!$G3888="EX",1,IF(DATOS!$G3888="OR",--(COUNTIFS(nNIA,DATOS!$A3888,nCURSO,DATOS!$D3888,nESPEC,DATOS!$E3888,nASIG,DATOS!$I3888,nEVAL,"EX")=0),0))))</f>
      </c>
      <c r="H3888">
        <f>IF(DATOS!$G3888&lt;&gt;"EX",0,--(COUNTIFS(nNIA,DATOS!$A3888,nCURSO,DATOS!$D3888,nESPEC,DATOS!$E3888,nASIG,DATOS!$I3888,nEVAL,"OR")=0))</f>
      </c>
      <c r="I3888">
        <f>IF(DATOS!$I3888="","",IFERROR(VLOOKUP(DATOS!$I3888,CONFIG_ASIGNATURAS!$B$2:$J$91,9,FALSE()),""))</f>
      </c>
    </row>
    <row r="3889">
      <c r="F3889">
        <f>IF(DATOS!$A3889="","",DATOS!$A3889&amp;"|"&amp;DATOS!$D3889&amp;"|"&amp;DATOS!$E3889&amp;"|"&amp;DATOS!$I3889)</f>
      </c>
      <c r="G3889">
        <f>IF(DATOS!$A3889="",0,IF(CONFIG_METADATA!$B$4&lt;&gt;"OR+EX",--(DATOS!$G3889=CONFIG_METADATA!$B$4),IF(DATOS!$G3889="EX",1,IF(DATOS!$G3889="OR",--(COUNTIFS(nNIA,DATOS!$A3889,nCURSO,DATOS!$D3889,nESPEC,DATOS!$E3889,nASIG,DATOS!$I3889,nEVAL,"EX")=0),0))))</f>
      </c>
      <c r="H3889">
        <f>IF(DATOS!$G3889&lt;&gt;"EX",0,--(COUNTIFS(nNIA,DATOS!$A3889,nCURSO,DATOS!$D3889,nESPEC,DATOS!$E3889,nASIG,DATOS!$I3889,nEVAL,"OR")=0))</f>
      </c>
      <c r="I3889">
        <f>IF(DATOS!$I3889="","",IFERROR(VLOOKUP(DATOS!$I3889,CONFIG_ASIGNATURAS!$B$2:$J$91,9,FALSE()),""))</f>
      </c>
    </row>
    <row r="3890">
      <c r="F3890">
        <f>IF(DATOS!$A3890="","",DATOS!$A3890&amp;"|"&amp;DATOS!$D3890&amp;"|"&amp;DATOS!$E3890&amp;"|"&amp;DATOS!$I3890)</f>
      </c>
      <c r="G3890">
        <f>IF(DATOS!$A3890="",0,IF(CONFIG_METADATA!$B$4&lt;&gt;"OR+EX",--(DATOS!$G3890=CONFIG_METADATA!$B$4),IF(DATOS!$G3890="EX",1,IF(DATOS!$G3890="OR",--(COUNTIFS(nNIA,DATOS!$A3890,nCURSO,DATOS!$D3890,nESPEC,DATOS!$E3890,nASIG,DATOS!$I3890,nEVAL,"EX")=0),0))))</f>
      </c>
      <c r="H3890">
        <f>IF(DATOS!$G3890&lt;&gt;"EX",0,--(COUNTIFS(nNIA,DATOS!$A3890,nCURSO,DATOS!$D3890,nESPEC,DATOS!$E3890,nASIG,DATOS!$I3890,nEVAL,"OR")=0))</f>
      </c>
      <c r="I3890">
        <f>IF(DATOS!$I3890="","",IFERROR(VLOOKUP(DATOS!$I3890,CONFIG_ASIGNATURAS!$B$2:$J$91,9,FALSE()),""))</f>
      </c>
    </row>
    <row r="3891">
      <c r="F3891">
        <f>IF(DATOS!$A3891="","",DATOS!$A3891&amp;"|"&amp;DATOS!$D3891&amp;"|"&amp;DATOS!$E3891&amp;"|"&amp;DATOS!$I3891)</f>
      </c>
      <c r="G3891">
        <f>IF(DATOS!$A3891="",0,IF(CONFIG_METADATA!$B$4&lt;&gt;"OR+EX",--(DATOS!$G3891=CONFIG_METADATA!$B$4),IF(DATOS!$G3891="EX",1,IF(DATOS!$G3891="OR",--(COUNTIFS(nNIA,DATOS!$A3891,nCURSO,DATOS!$D3891,nESPEC,DATOS!$E3891,nASIG,DATOS!$I3891,nEVAL,"EX")=0),0))))</f>
      </c>
      <c r="H3891">
        <f>IF(DATOS!$G3891&lt;&gt;"EX",0,--(COUNTIFS(nNIA,DATOS!$A3891,nCURSO,DATOS!$D3891,nESPEC,DATOS!$E3891,nASIG,DATOS!$I3891,nEVAL,"OR")=0))</f>
      </c>
      <c r="I3891">
        <f>IF(DATOS!$I3891="","",IFERROR(VLOOKUP(DATOS!$I3891,CONFIG_ASIGNATURAS!$B$2:$J$91,9,FALSE()),""))</f>
      </c>
    </row>
    <row r="3892">
      <c r="F3892">
        <f>IF(DATOS!$A3892="","",DATOS!$A3892&amp;"|"&amp;DATOS!$D3892&amp;"|"&amp;DATOS!$E3892&amp;"|"&amp;DATOS!$I3892)</f>
      </c>
      <c r="G3892">
        <f>IF(DATOS!$A3892="",0,IF(CONFIG_METADATA!$B$4&lt;&gt;"OR+EX",--(DATOS!$G3892=CONFIG_METADATA!$B$4),IF(DATOS!$G3892="EX",1,IF(DATOS!$G3892="OR",--(COUNTIFS(nNIA,DATOS!$A3892,nCURSO,DATOS!$D3892,nESPEC,DATOS!$E3892,nASIG,DATOS!$I3892,nEVAL,"EX")=0),0))))</f>
      </c>
      <c r="H3892">
        <f>IF(DATOS!$G3892&lt;&gt;"EX",0,--(COUNTIFS(nNIA,DATOS!$A3892,nCURSO,DATOS!$D3892,nESPEC,DATOS!$E3892,nASIG,DATOS!$I3892,nEVAL,"OR")=0))</f>
      </c>
      <c r="I3892">
        <f>IF(DATOS!$I3892="","",IFERROR(VLOOKUP(DATOS!$I3892,CONFIG_ASIGNATURAS!$B$2:$J$91,9,FALSE()),""))</f>
      </c>
    </row>
    <row r="3893">
      <c r="F3893">
        <f>IF(DATOS!$A3893="","",DATOS!$A3893&amp;"|"&amp;DATOS!$D3893&amp;"|"&amp;DATOS!$E3893&amp;"|"&amp;DATOS!$I3893)</f>
      </c>
      <c r="G3893">
        <f>IF(DATOS!$A3893="",0,IF(CONFIG_METADATA!$B$4&lt;&gt;"OR+EX",--(DATOS!$G3893=CONFIG_METADATA!$B$4),IF(DATOS!$G3893="EX",1,IF(DATOS!$G3893="OR",--(COUNTIFS(nNIA,DATOS!$A3893,nCURSO,DATOS!$D3893,nESPEC,DATOS!$E3893,nASIG,DATOS!$I3893,nEVAL,"EX")=0),0))))</f>
      </c>
      <c r="H3893">
        <f>IF(DATOS!$G3893&lt;&gt;"EX",0,--(COUNTIFS(nNIA,DATOS!$A3893,nCURSO,DATOS!$D3893,nESPEC,DATOS!$E3893,nASIG,DATOS!$I3893,nEVAL,"OR")=0))</f>
      </c>
      <c r="I3893">
        <f>IF(DATOS!$I3893="","",IFERROR(VLOOKUP(DATOS!$I3893,CONFIG_ASIGNATURAS!$B$2:$J$91,9,FALSE()),""))</f>
      </c>
    </row>
    <row r="3894">
      <c r="F3894">
        <f>IF(DATOS!$A3894="","",DATOS!$A3894&amp;"|"&amp;DATOS!$D3894&amp;"|"&amp;DATOS!$E3894&amp;"|"&amp;DATOS!$I3894)</f>
      </c>
      <c r="G3894">
        <f>IF(DATOS!$A3894="",0,IF(CONFIG_METADATA!$B$4&lt;&gt;"OR+EX",--(DATOS!$G3894=CONFIG_METADATA!$B$4),IF(DATOS!$G3894="EX",1,IF(DATOS!$G3894="OR",--(COUNTIFS(nNIA,DATOS!$A3894,nCURSO,DATOS!$D3894,nESPEC,DATOS!$E3894,nASIG,DATOS!$I3894,nEVAL,"EX")=0),0))))</f>
      </c>
      <c r="H3894">
        <f>IF(DATOS!$G3894&lt;&gt;"EX",0,--(COUNTIFS(nNIA,DATOS!$A3894,nCURSO,DATOS!$D3894,nESPEC,DATOS!$E3894,nASIG,DATOS!$I3894,nEVAL,"OR")=0))</f>
      </c>
      <c r="I3894">
        <f>IF(DATOS!$I3894="","",IFERROR(VLOOKUP(DATOS!$I3894,CONFIG_ASIGNATURAS!$B$2:$J$91,9,FALSE()),""))</f>
      </c>
    </row>
    <row r="3895">
      <c r="F3895">
        <f>IF(DATOS!$A3895="","",DATOS!$A3895&amp;"|"&amp;DATOS!$D3895&amp;"|"&amp;DATOS!$E3895&amp;"|"&amp;DATOS!$I3895)</f>
      </c>
      <c r="G3895">
        <f>IF(DATOS!$A3895="",0,IF(CONFIG_METADATA!$B$4&lt;&gt;"OR+EX",--(DATOS!$G3895=CONFIG_METADATA!$B$4),IF(DATOS!$G3895="EX",1,IF(DATOS!$G3895="OR",--(COUNTIFS(nNIA,DATOS!$A3895,nCURSO,DATOS!$D3895,nESPEC,DATOS!$E3895,nASIG,DATOS!$I3895,nEVAL,"EX")=0),0))))</f>
      </c>
      <c r="H3895">
        <f>IF(DATOS!$G3895&lt;&gt;"EX",0,--(COUNTIFS(nNIA,DATOS!$A3895,nCURSO,DATOS!$D3895,nESPEC,DATOS!$E3895,nASIG,DATOS!$I3895,nEVAL,"OR")=0))</f>
      </c>
      <c r="I3895">
        <f>IF(DATOS!$I3895="","",IFERROR(VLOOKUP(DATOS!$I3895,CONFIG_ASIGNATURAS!$B$2:$J$91,9,FALSE()),""))</f>
      </c>
    </row>
    <row r="3896">
      <c r="F3896">
        <f>IF(DATOS!$A3896="","",DATOS!$A3896&amp;"|"&amp;DATOS!$D3896&amp;"|"&amp;DATOS!$E3896&amp;"|"&amp;DATOS!$I3896)</f>
      </c>
      <c r="G3896">
        <f>IF(DATOS!$A3896="",0,IF(CONFIG_METADATA!$B$4&lt;&gt;"OR+EX",--(DATOS!$G3896=CONFIG_METADATA!$B$4),IF(DATOS!$G3896="EX",1,IF(DATOS!$G3896="OR",--(COUNTIFS(nNIA,DATOS!$A3896,nCURSO,DATOS!$D3896,nESPEC,DATOS!$E3896,nASIG,DATOS!$I3896,nEVAL,"EX")=0),0))))</f>
      </c>
      <c r="H3896">
        <f>IF(DATOS!$G3896&lt;&gt;"EX",0,--(COUNTIFS(nNIA,DATOS!$A3896,nCURSO,DATOS!$D3896,nESPEC,DATOS!$E3896,nASIG,DATOS!$I3896,nEVAL,"OR")=0))</f>
      </c>
      <c r="I3896">
        <f>IF(DATOS!$I3896="","",IFERROR(VLOOKUP(DATOS!$I3896,CONFIG_ASIGNATURAS!$B$2:$J$91,9,FALSE()),""))</f>
      </c>
    </row>
    <row r="3897">
      <c r="F3897">
        <f>IF(DATOS!$A3897="","",DATOS!$A3897&amp;"|"&amp;DATOS!$D3897&amp;"|"&amp;DATOS!$E3897&amp;"|"&amp;DATOS!$I3897)</f>
      </c>
      <c r="G3897">
        <f>IF(DATOS!$A3897="",0,IF(CONFIG_METADATA!$B$4&lt;&gt;"OR+EX",--(DATOS!$G3897=CONFIG_METADATA!$B$4),IF(DATOS!$G3897="EX",1,IF(DATOS!$G3897="OR",--(COUNTIFS(nNIA,DATOS!$A3897,nCURSO,DATOS!$D3897,nESPEC,DATOS!$E3897,nASIG,DATOS!$I3897,nEVAL,"EX")=0),0))))</f>
      </c>
      <c r="H3897">
        <f>IF(DATOS!$G3897&lt;&gt;"EX",0,--(COUNTIFS(nNIA,DATOS!$A3897,nCURSO,DATOS!$D3897,nESPEC,DATOS!$E3897,nASIG,DATOS!$I3897,nEVAL,"OR")=0))</f>
      </c>
      <c r="I3897">
        <f>IF(DATOS!$I3897="","",IFERROR(VLOOKUP(DATOS!$I3897,CONFIG_ASIGNATURAS!$B$2:$J$91,9,FALSE()),""))</f>
      </c>
    </row>
    <row r="3898">
      <c r="F3898">
        <f>IF(DATOS!$A3898="","",DATOS!$A3898&amp;"|"&amp;DATOS!$D3898&amp;"|"&amp;DATOS!$E3898&amp;"|"&amp;DATOS!$I3898)</f>
      </c>
      <c r="G3898">
        <f>IF(DATOS!$A3898="",0,IF(CONFIG_METADATA!$B$4&lt;&gt;"OR+EX",--(DATOS!$G3898=CONFIG_METADATA!$B$4),IF(DATOS!$G3898="EX",1,IF(DATOS!$G3898="OR",--(COUNTIFS(nNIA,DATOS!$A3898,nCURSO,DATOS!$D3898,nESPEC,DATOS!$E3898,nASIG,DATOS!$I3898,nEVAL,"EX")=0),0))))</f>
      </c>
      <c r="H3898">
        <f>IF(DATOS!$G3898&lt;&gt;"EX",0,--(COUNTIFS(nNIA,DATOS!$A3898,nCURSO,DATOS!$D3898,nESPEC,DATOS!$E3898,nASIG,DATOS!$I3898,nEVAL,"OR")=0))</f>
      </c>
      <c r="I3898">
        <f>IF(DATOS!$I3898="","",IFERROR(VLOOKUP(DATOS!$I3898,CONFIG_ASIGNATURAS!$B$2:$J$91,9,FALSE()),""))</f>
      </c>
    </row>
    <row r="3899">
      <c r="F3899">
        <f>IF(DATOS!$A3899="","",DATOS!$A3899&amp;"|"&amp;DATOS!$D3899&amp;"|"&amp;DATOS!$E3899&amp;"|"&amp;DATOS!$I3899)</f>
      </c>
      <c r="G3899">
        <f>IF(DATOS!$A3899="",0,IF(CONFIG_METADATA!$B$4&lt;&gt;"OR+EX",--(DATOS!$G3899=CONFIG_METADATA!$B$4),IF(DATOS!$G3899="EX",1,IF(DATOS!$G3899="OR",--(COUNTIFS(nNIA,DATOS!$A3899,nCURSO,DATOS!$D3899,nESPEC,DATOS!$E3899,nASIG,DATOS!$I3899,nEVAL,"EX")=0),0))))</f>
      </c>
      <c r="H3899">
        <f>IF(DATOS!$G3899&lt;&gt;"EX",0,--(COUNTIFS(nNIA,DATOS!$A3899,nCURSO,DATOS!$D3899,nESPEC,DATOS!$E3899,nASIG,DATOS!$I3899,nEVAL,"OR")=0))</f>
      </c>
      <c r="I3899">
        <f>IF(DATOS!$I3899="","",IFERROR(VLOOKUP(DATOS!$I3899,CONFIG_ASIGNATURAS!$B$2:$J$91,9,FALSE()),""))</f>
      </c>
    </row>
    <row r="3900">
      <c r="F3900">
        <f>IF(DATOS!$A3900="","",DATOS!$A3900&amp;"|"&amp;DATOS!$D3900&amp;"|"&amp;DATOS!$E3900&amp;"|"&amp;DATOS!$I3900)</f>
      </c>
      <c r="G3900">
        <f>IF(DATOS!$A3900="",0,IF(CONFIG_METADATA!$B$4&lt;&gt;"OR+EX",--(DATOS!$G3900=CONFIG_METADATA!$B$4),IF(DATOS!$G3900="EX",1,IF(DATOS!$G3900="OR",--(COUNTIFS(nNIA,DATOS!$A3900,nCURSO,DATOS!$D3900,nESPEC,DATOS!$E3900,nASIG,DATOS!$I3900,nEVAL,"EX")=0),0))))</f>
      </c>
      <c r="H3900">
        <f>IF(DATOS!$G3900&lt;&gt;"EX",0,--(COUNTIFS(nNIA,DATOS!$A3900,nCURSO,DATOS!$D3900,nESPEC,DATOS!$E3900,nASIG,DATOS!$I3900,nEVAL,"OR")=0))</f>
      </c>
      <c r="I3900">
        <f>IF(DATOS!$I3900="","",IFERROR(VLOOKUP(DATOS!$I3900,CONFIG_ASIGNATURAS!$B$2:$J$91,9,FALSE()),""))</f>
      </c>
    </row>
    <row r="3901">
      <c r="F3901">
        <f>IF(DATOS!$A3901="","",DATOS!$A3901&amp;"|"&amp;DATOS!$D3901&amp;"|"&amp;DATOS!$E3901&amp;"|"&amp;DATOS!$I3901)</f>
      </c>
      <c r="G3901">
        <f>IF(DATOS!$A3901="",0,IF(CONFIG_METADATA!$B$4&lt;&gt;"OR+EX",--(DATOS!$G3901=CONFIG_METADATA!$B$4),IF(DATOS!$G3901="EX",1,IF(DATOS!$G3901="OR",--(COUNTIFS(nNIA,DATOS!$A3901,nCURSO,DATOS!$D3901,nESPEC,DATOS!$E3901,nASIG,DATOS!$I3901,nEVAL,"EX")=0),0))))</f>
      </c>
      <c r="H3901">
        <f>IF(DATOS!$G3901&lt;&gt;"EX",0,--(COUNTIFS(nNIA,DATOS!$A3901,nCURSO,DATOS!$D3901,nESPEC,DATOS!$E3901,nASIG,DATOS!$I3901,nEVAL,"OR")=0))</f>
      </c>
      <c r="I3901">
        <f>IF(DATOS!$I3901="","",IFERROR(VLOOKUP(DATOS!$I3901,CONFIG_ASIGNATURAS!$B$2:$J$91,9,FALSE()),""))</f>
      </c>
    </row>
    <row r="3902">
      <c r="F3902">
        <f>IF(DATOS!$A3902="","",DATOS!$A3902&amp;"|"&amp;DATOS!$D3902&amp;"|"&amp;DATOS!$E3902&amp;"|"&amp;DATOS!$I3902)</f>
      </c>
      <c r="G3902">
        <f>IF(DATOS!$A3902="",0,IF(CONFIG_METADATA!$B$4&lt;&gt;"OR+EX",--(DATOS!$G3902=CONFIG_METADATA!$B$4),IF(DATOS!$G3902="EX",1,IF(DATOS!$G3902="OR",--(COUNTIFS(nNIA,DATOS!$A3902,nCURSO,DATOS!$D3902,nESPEC,DATOS!$E3902,nASIG,DATOS!$I3902,nEVAL,"EX")=0),0))))</f>
      </c>
      <c r="H3902">
        <f>IF(DATOS!$G3902&lt;&gt;"EX",0,--(COUNTIFS(nNIA,DATOS!$A3902,nCURSO,DATOS!$D3902,nESPEC,DATOS!$E3902,nASIG,DATOS!$I3902,nEVAL,"OR")=0))</f>
      </c>
      <c r="I3902">
        <f>IF(DATOS!$I3902="","",IFERROR(VLOOKUP(DATOS!$I3902,CONFIG_ASIGNATURAS!$B$2:$J$91,9,FALSE()),""))</f>
      </c>
    </row>
    <row r="3903">
      <c r="F3903">
        <f>IF(DATOS!$A3903="","",DATOS!$A3903&amp;"|"&amp;DATOS!$D3903&amp;"|"&amp;DATOS!$E3903&amp;"|"&amp;DATOS!$I3903)</f>
      </c>
      <c r="G3903">
        <f>IF(DATOS!$A3903="",0,IF(CONFIG_METADATA!$B$4&lt;&gt;"OR+EX",--(DATOS!$G3903=CONFIG_METADATA!$B$4),IF(DATOS!$G3903="EX",1,IF(DATOS!$G3903="OR",--(COUNTIFS(nNIA,DATOS!$A3903,nCURSO,DATOS!$D3903,nESPEC,DATOS!$E3903,nASIG,DATOS!$I3903,nEVAL,"EX")=0),0))))</f>
      </c>
      <c r="H3903">
        <f>IF(DATOS!$G3903&lt;&gt;"EX",0,--(COUNTIFS(nNIA,DATOS!$A3903,nCURSO,DATOS!$D3903,nESPEC,DATOS!$E3903,nASIG,DATOS!$I3903,nEVAL,"OR")=0))</f>
      </c>
      <c r="I3903">
        <f>IF(DATOS!$I3903="","",IFERROR(VLOOKUP(DATOS!$I3903,CONFIG_ASIGNATURAS!$B$2:$J$91,9,FALSE()),""))</f>
      </c>
    </row>
    <row r="3904">
      <c r="F3904">
        <f>IF(DATOS!$A3904="","",DATOS!$A3904&amp;"|"&amp;DATOS!$D3904&amp;"|"&amp;DATOS!$E3904&amp;"|"&amp;DATOS!$I3904)</f>
      </c>
      <c r="G3904">
        <f>IF(DATOS!$A3904="",0,IF(CONFIG_METADATA!$B$4&lt;&gt;"OR+EX",--(DATOS!$G3904=CONFIG_METADATA!$B$4),IF(DATOS!$G3904="EX",1,IF(DATOS!$G3904="OR",--(COUNTIFS(nNIA,DATOS!$A3904,nCURSO,DATOS!$D3904,nESPEC,DATOS!$E3904,nASIG,DATOS!$I3904,nEVAL,"EX")=0),0))))</f>
      </c>
      <c r="H3904">
        <f>IF(DATOS!$G3904&lt;&gt;"EX",0,--(COUNTIFS(nNIA,DATOS!$A3904,nCURSO,DATOS!$D3904,nESPEC,DATOS!$E3904,nASIG,DATOS!$I3904,nEVAL,"OR")=0))</f>
      </c>
      <c r="I3904">
        <f>IF(DATOS!$I3904="","",IFERROR(VLOOKUP(DATOS!$I3904,CONFIG_ASIGNATURAS!$B$2:$J$91,9,FALSE()),""))</f>
      </c>
    </row>
    <row r="3905">
      <c r="F3905">
        <f>IF(DATOS!$A3905="","",DATOS!$A3905&amp;"|"&amp;DATOS!$D3905&amp;"|"&amp;DATOS!$E3905&amp;"|"&amp;DATOS!$I3905)</f>
      </c>
      <c r="G3905">
        <f>IF(DATOS!$A3905="",0,IF(CONFIG_METADATA!$B$4&lt;&gt;"OR+EX",--(DATOS!$G3905=CONFIG_METADATA!$B$4),IF(DATOS!$G3905="EX",1,IF(DATOS!$G3905="OR",--(COUNTIFS(nNIA,DATOS!$A3905,nCURSO,DATOS!$D3905,nESPEC,DATOS!$E3905,nASIG,DATOS!$I3905,nEVAL,"EX")=0),0))))</f>
      </c>
      <c r="H3905">
        <f>IF(DATOS!$G3905&lt;&gt;"EX",0,--(COUNTIFS(nNIA,DATOS!$A3905,nCURSO,DATOS!$D3905,nESPEC,DATOS!$E3905,nASIG,DATOS!$I3905,nEVAL,"OR")=0))</f>
      </c>
      <c r="I3905">
        <f>IF(DATOS!$I3905="","",IFERROR(VLOOKUP(DATOS!$I3905,CONFIG_ASIGNATURAS!$B$2:$J$91,9,FALSE()),""))</f>
      </c>
    </row>
    <row r="3906">
      <c r="F3906">
        <f>IF(DATOS!$A3906="","",DATOS!$A3906&amp;"|"&amp;DATOS!$D3906&amp;"|"&amp;DATOS!$E3906&amp;"|"&amp;DATOS!$I3906)</f>
      </c>
      <c r="G3906">
        <f>IF(DATOS!$A3906="",0,IF(CONFIG_METADATA!$B$4&lt;&gt;"OR+EX",--(DATOS!$G3906=CONFIG_METADATA!$B$4),IF(DATOS!$G3906="EX",1,IF(DATOS!$G3906="OR",--(COUNTIFS(nNIA,DATOS!$A3906,nCURSO,DATOS!$D3906,nESPEC,DATOS!$E3906,nASIG,DATOS!$I3906,nEVAL,"EX")=0),0))))</f>
      </c>
      <c r="H3906">
        <f>IF(DATOS!$G3906&lt;&gt;"EX",0,--(COUNTIFS(nNIA,DATOS!$A3906,nCURSO,DATOS!$D3906,nESPEC,DATOS!$E3906,nASIG,DATOS!$I3906,nEVAL,"OR")=0))</f>
      </c>
      <c r="I3906">
        <f>IF(DATOS!$I3906="","",IFERROR(VLOOKUP(DATOS!$I3906,CONFIG_ASIGNATURAS!$B$2:$J$91,9,FALSE()),""))</f>
      </c>
    </row>
    <row r="3907">
      <c r="F3907">
        <f>IF(DATOS!$A3907="","",DATOS!$A3907&amp;"|"&amp;DATOS!$D3907&amp;"|"&amp;DATOS!$E3907&amp;"|"&amp;DATOS!$I3907)</f>
      </c>
      <c r="G3907">
        <f>IF(DATOS!$A3907="",0,IF(CONFIG_METADATA!$B$4&lt;&gt;"OR+EX",--(DATOS!$G3907=CONFIG_METADATA!$B$4),IF(DATOS!$G3907="EX",1,IF(DATOS!$G3907="OR",--(COUNTIFS(nNIA,DATOS!$A3907,nCURSO,DATOS!$D3907,nESPEC,DATOS!$E3907,nASIG,DATOS!$I3907,nEVAL,"EX")=0),0))))</f>
      </c>
      <c r="H3907">
        <f>IF(DATOS!$G3907&lt;&gt;"EX",0,--(COUNTIFS(nNIA,DATOS!$A3907,nCURSO,DATOS!$D3907,nESPEC,DATOS!$E3907,nASIG,DATOS!$I3907,nEVAL,"OR")=0))</f>
      </c>
      <c r="I3907">
        <f>IF(DATOS!$I3907="","",IFERROR(VLOOKUP(DATOS!$I3907,CONFIG_ASIGNATURAS!$B$2:$J$91,9,FALSE()),""))</f>
      </c>
    </row>
    <row r="3908">
      <c r="F3908">
        <f>IF(DATOS!$A3908="","",DATOS!$A3908&amp;"|"&amp;DATOS!$D3908&amp;"|"&amp;DATOS!$E3908&amp;"|"&amp;DATOS!$I3908)</f>
      </c>
      <c r="G3908">
        <f>IF(DATOS!$A3908="",0,IF(CONFIG_METADATA!$B$4&lt;&gt;"OR+EX",--(DATOS!$G3908=CONFIG_METADATA!$B$4),IF(DATOS!$G3908="EX",1,IF(DATOS!$G3908="OR",--(COUNTIFS(nNIA,DATOS!$A3908,nCURSO,DATOS!$D3908,nESPEC,DATOS!$E3908,nASIG,DATOS!$I3908,nEVAL,"EX")=0),0))))</f>
      </c>
      <c r="H3908">
        <f>IF(DATOS!$G3908&lt;&gt;"EX",0,--(COUNTIFS(nNIA,DATOS!$A3908,nCURSO,DATOS!$D3908,nESPEC,DATOS!$E3908,nASIG,DATOS!$I3908,nEVAL,"OR")=0))</f>
      </c>
      <c r="I3908">
        <f>IF(DATOS!$I3908="","",IFERROR(VLOOKUP(DATOS!$I3908,CONFIG_ASIGNATURAS!$B$2:$J$91,9,FALSE()),""))</f>
      </c>
    </row>
    <row r="3909">
      <c r="F3909">
        <f>IF(DATOS!$A3909="","",DATOS!$A3909&amp;"|"&amp;DATOS!$D3909&amp;"|"&amp;DATOS!$E3909&amp;"|"&amp;DATOS!$I3909)</f>
      </c>
      <c r="G3909">
        <f>IF(DATOS!$A3909="",0,IF(CONFIG_METADATA!$B$4&lt;&gt;"OR+EX",--(DATOS!$G3909=CONFIG_METADATA!$B$4),IF(DATOS!$G3909="EX",1,IF(DATOS!$G3909="OR",--(COUNTIFS(nNIA,DATOS!$A3909,nCURSO,DATOS!$D3909,nESPEC,DATOS!$E3909,nASIG,DATOS!$I3909,nEVAL,"EX")=0),0))))</f>
      </c>
      <c r="H3909">
        <f>IF(DATOS!$G3909&lt;&gt;"EX",0,--(COUNTIFS(nNIA,DATOS!$A3909,nCURSO,DATOS!$D3909,nESPEC,DATOS!$E3909,nASIG,DATOS!$I3909,nEVAL,"OR")=0))</f>
      </c>
      <c r="I3909">
        <f>IF(DATOS!$I3909="","",IFERROR(VLOOKUP(DATOS!$I3909,CONFIG_ASIGNATURAS!$B$2:$J$91,9,FALSE()),""))</f>
      </c>
    </row>
    <row r="3910">
      <c r="F3910">
        <f>IF(DATOS!$A3910="","",DATOS!$A3910&amp;"|"&amp;DATOS!$D3910&amp;"|"&amp;DATOS!$E3910&amp;"|"&amp;DATOS!$I3910)</f>
      </c>
      <c r="G3910">
        <f>IF(DATOS!$A3910="",0,IF(CONFIG_METADATA!$B$4&lt;&gt;"OR+EX",--(DATOS!$G3910=CONFIG_METADATA!$B$4),IF(DATOS!$G3910="EX",1,IF(DATOS!$G3910="OR",--(COUNTIFS(nNIA,DATOS!$A3910,nCURSO,DATOS!$D3910,nESPEC,DATOS!$E3910,nASIG,DATOS!$I3910,nEVAL,"EX")=0),0))))</f>
      </c>
      <c r="H3910">
        <f>IF(DATOS!$G3910&lt;&gt;"EX",0,--(COUNTIFS(nNIA,DATOS!$A3910,nCURSO,DATOS!$D3910,nESPEC,DATOS!$E3910,nASIG,DATOS!$I3910,nEVAL,"OR")=0))</f>
      </c>
      <c r="I3910">
        <f>IF(DATOS!$I3910="","",IFERROR(VLOOKUP(DATOS!$I3910,CONFIG_ASIGNATURAS!$B$2:$J$91,9,FALSE()),""))</f>
      </c>
    </row>
    <row r="3911">
      <c r="F3911">
        <f>IF(DATOS!$A3911="","",DATOS!$A3911&amp;"|"&amp;DATOS!$D3911&amp;"|"&amp;DATOS!$E3911&amp;"|"&amp;DATOS!$I3911)</f>
      </c>
      <c r="G3911">
        <f>IF(DATOS!$A3911="",0,IF(CONFIG_METADATA!$B$4&lt;&gt;"OR+EX",--(DATOS!$G3911=CONFIG_METADATA!$B$4),IF(DATOS!$G3911="EX",1,IF(DATOS!$G3911="OR",--(COUNTIFS(nNIA,DATOS!$A3911,nCURSO,DATOS!$D3911,nESPEC,DATOS!$E3911,nASIG,DATOS!$I3911,nEVAL,"EX")=0),0))))</f>
      </c>
      <c r="H3911">
        <f>IF(DATOS!$G3911&lt;&gt;"EX",0,--(COUNTIFS(nNIA,DATOS!$A3911,nCURSO,DATOS!$D3911,nESPEC,DATOS!$E3911,nASIG,DATOS!$I3911,nEVAL,"OR")=0))</f>
      </c>
      <c r="I3911">
        <f>IF(DATOS!$I3911="","",IFERROR(VLOOKUP(DATOS!$I3911,CONFIG_ASIGNATURAS!$B$2:$J$91,9,FALSE()),""))</f>
      </c>
    </row>
    <row r="3912">
      <c r="F3912">
        <f>IF(DATOS!$A3912="","",DATOS!$A3912&amp;"|"&amp;DATOS!$D3912&amp;"|"&amp;DATOS!$E3912&amp;"|"&amp;DATOS!$I3912)</f>
      </c>
      <c r="G3912">
        <f>IF(DATOS!$A3912="",0,IF(CONFIG_METADATA!$B$4&lt;&gt;"OR+EX",--(DATOS!$G3912=CONFIG_METADATA!$B$4),IF(DATOS!$G3912="EX",1,IF(DATOS!$G3912="OR",--(COUNTIFS(nNIA,DATOS!$A3912,nCURSO,DATOS!$D3912,nESPEC,DATOS!$E3912,nASIG,DATOS!$I3912,nEVAL,"EX")=0),0))))</f>
      </c>
      <c r="H3912">
        <f>IF(DATOS!$G3912&lt;&gt;"EX",0,--(COUNTIFS(nNIA,DATOS!$A3912,nCURSO,DATOS!$D3912,nESPEC,DATOS!$E3912,nASIG,DATOS!$I3912,nEVAL,"OR")=0))</f>
      </c>
      <c r="I3912">
        <f>IF(DATOS!$I3912="","",IFERROR(VLOOKUP(DATOS!$I3912,CONFIG_ASIGNATURAS!$B$2:$J$91,9,FALSE()),""))</f>
      </c>
    </row>
    <row r="3913">
      <c r="F3913">
        <f>IF(DATOS!$A3913="","",DATOS!$A3913&amp;"|"&amp;DATOS!$D3913&amp;"|"&amp;DATOS!$E3913&amp;"|"&amp;DATOS!$I3913)</f>
      </c>
      <c r="G3913">
        <f>IF(DATOS!$A3913="",0,IF(CONFIG_METADATA!$B$4&lt;&gt;"OR+EX",--(DATOS!$G3913=CONFIG_METADATA!$B$4),IF(DATOS!$G3913="EX",1,IF(DATOS!$G3913="OR",--(COUNTIFS(nNIA,DATOS!$A3913,nCURSO,DATOS!$D3913,nESPEC,DATOS!$E3913,nASIG,DATOS!$I3913,nEVAL,"EX")=0),0))))</f>
      </c>
      <c r="H3913">
        <f>IF(DATOS!$G3913&lt;&gt;"EX",0,--(COUNTIFS(nNIA,DATOS!$A3913,nCURSO,DATOS!$D3913,nESPEC,DATOS!$E3913,nASIG,DATOS!$I3913,nEVAL,"OR")=0))</f>
      </c>
      <c r="I3913">
        <f>IF(DATOS!$I3913="","",IFERROR(VLOOKUP(DATOS!$I3913,CONFIG_ASIGNATURAS!$B$2:$J$91,9,FALSE()),""))</f>
      </c>
    </row>
    <row r="3914">
      <c r="F3914">
        <f>IF(DATOS!$A3914="","",DATOS!$A3914&amp;"|"&amp;DATOS!$D3914&amp;"|"&amp;DATOS!$E3914&amp;"|"&amp;DATOS!$I3914)</f>
      </c>
      <c r="G3914">
        <f>IF(DATOS!$A3914="",0,IF(CONFIG_METADATA!$B$4&lt;&gt;"OR+EX",--(DATOS!$G3914=CONFIG_METADATA!$B$4),IF(DATOS!$G3914="EX",1,IF(DATOS!$G3914="OR",--(COUNTIFS(nNIA,DATOS!$A3914,nCURSO,DATOS!$D3914,nESPEC,DATOS!$E3914,nASIG,DATOS!$I3914,nEVAL,"EX")=0),0))))</f>
      </c>
      <c r="H3914">
        <f>IF(DATOS!$G3914&lt;&gt;"EX",0,--(COUNTIFS(nNIA,DATOS!$A3914,nCURSO,DATOS!$D3914,nESPEC,DATOS!$E3914,nASIG,DATOS!$I3914,nEVAL,"OR")=0))</f>
      </c>
      <c r="I3914">
        <f>IF(DATOS!$I3914="","",IFERROR(VLOOKUP(DATOS!$I3914,CONFIG_ASIGNATURAS!$B$2:$J$91,9,FALSE()),""))</f>
      </c>
    </row>
    <row r="3915">
      <c r="F3915">
        <f>IF(DATOS!$A3915="","",DATOS!$A3915&amp;"|"&amp;DATOS!$D3915&amp;"|"&amp;DATOS!$E3915&amp;"|"&amp;DATOS!$I3915)</f>
      </c>
      <c r="G3915">
        <f>IF(DATOS!$A3915="",0,IF(CONFIG_METADATA!$B$4&lt;&gt;"OR+EX",--(DATOS!$G3915=CONFIG_METADATA!$B$4),IF(DATOS!$G3915="EX",1,IF(DATOS!$G3915="OR",--(COUNTIFS(nNIA,DATOS!$A3915,nCURSO,DATOS!$D3915,nESPEC,DATOS!$E3915,nASIG,DATOS!$I3915,nEVAL,"EX")=0),0))))</f>
      </c>
      <c r="H3915">
        <f>IF(DATOS!$G3915&lt;&gt;"EX",0,--(COUNTIFS(nNIA,DATOS!$A3915,nCURSO,DATOS!$D3915,nESPEC,DATOS!$E3915,nASIG,DATOS!$I3915,nEVAL,"OR")=0))</f>
      </c>
      <c r="I3915">
        <f>IF(DATOS!$I3915="","",IFERROR(VLOOKUP(DATOS!$I3915,CONFIG_ASIGNATURAS!$B$2:$J$91,9,FALSE()),""))</f>
      </c>
    </row>
    <row r="3916">
      <c r="F3916">
        <f>IF(DATOS!$A3916="","",DATOS!$A3916&amp;"|"&amp;DATOS!$D3916&amp;"|"&amp;DATOS!$E3916&amp;"|"&amp;DATOS!$I3916)</f>
      </c>
      <c r="G3916">
        <f>IF(DATOS!$A3916="",0,IF(CONFIG_METADATA!$B$4&lt;&gt;"OR+EX",--(DATOS!$G3916=CONFIG_METADATA!$B$4),IF(DATOS!$G3916="EX",1,IF(DATOS!$G3916="OR",--(COUNTIFS(nNIA,DATOS!$A3916,nCURSO,DATOS!$D3916,nESPEC,DATOS!$E3916,nASIG,DATOS!$I3916,nEVAL,"EX")=0),0))))</f>
      </c>
      <c r="H3916">
        <f>IF(DATOS!$G3916&lt;&gt;"EX",0,--(COUNTIFS(nNIA,DATOS!$A3916,nCURSO,DATOS!$D3916,nESPEC,DATOS!$E3916,nASIG,DATOS!$I3916,nEVAL,"OR")=0))</f>
      </c>
      <c r="I3916">
        <f>IF(DATOS!$I3916="","",IFERROR(VLOOKUP(DATOS!$I3916,CONFIG_ASIGNATURAS!$B$2:$J$91,9,FALSE()),""))</f>
      </c>
    </row>
    <row r="3917">
      <c r="F3917">
        <f>IF(DATOS!$A3917="","",DATOS!$A3917&amp;"|"&amp;DATOS!$D3917&amp;"|"&amp;DATOS!$E3917&amp;"|"&amp;DATOS!$I3917)</f>
      </c>
      <c r="G3917">
        <f>IF(DATOS!$A3917="",0,IF(CONFIG_METADATA!$B$4&lt;&gt;"OR+EX",--(DATOS!$G3917=CONFIG_METADATA!$B$4),IF(DATOS!$G3917="EX",1,IF(DATOS!$G3917="OR",--(COUNTIFS(nNIA,DATOS!$A3917,nCURSO,DATOS!$D3917,nESPEC,DATOS!$E3917,nASIG,DATOS!$I3917,nEVAL,"EX")=0),0))))</f>
      </c>
      <c r="H3917">
        <f>IF(DATOS!$G3917&lt;&gt;"EX",0,--(COUNTIFS(nNIA,DATOS!$A3917,nCURSO,DATOS!$D3917,nESPEC,DATOS!$E3917,nASIG,DATOS!$I3917,nEVAL,"OR")=0))</f>
      </c>
      <c r="I3917">
        <f>IF(DATOS!$I3917="","",IFERROR(VLOOKUP(DATOS!$I3917,CONFIG_ASIGNATURAS!$B$2:$J$91,9,FALSE()),""))</f>
      </c>
    </row>
    <row r="3918">
      <c r="F3918">
        <f>IF(DATOS!$A3918="","",DATOS!$A3918&amp;"|"&amp;DATOS!$D3918&amp;"|"&amp;DATOS!$E3918&amp;"|"&amp;DATOS!$I3918)</f>
      </c>
      <c r="G3918">
        <f>IF(DATOS!$A3918="",0,IF(CONFIG_METADATA!$B$4&lt;&gt;"OR+EX",--(DATOS!$G3918=CONFIG_METADATA!$B$4),IF(DATOS!$G3918="EX",1,IF(DATOS!$G3918="OR",--(COUNTIFS(nNIA,DATOS!$A3918,nCURSO,DATOS!$D3918,nESPEC,DATOS!$E3918,nASIG,DATOS!$I3918,nEVAL,"EX")=0),0))))</f>
      </c>
      <c r="H3918">
        <f>IF(DATOS!$G3918&lt;&gt;"EX",0,--(COUNTIFS(nNIA,DATOS!$A3918,nCURSO,DATOS!$D3918,nESPEC,DATOS!$E3918,nASIG,DATOS!$I3918,nEVAL,"OR")=0))</f>
      </c>
      <c r="I3918">
        <f>IF(DATOS!$I3918="","",IFERROR(VLOOKUP(DATOS!$I3918,CONFIG_ASIGNATURAS!$B$2:$J$91,9,FALSE()),""))</f>
      </c>
    </row>
    <row r="3919">
      <c r="F3919">
        <f>IF(DATOS!$A3919="","",DATOS!$A3919&amp;"|"&amp;DATOS!$D3919&amp;"|"&amp;DATOS!$E3919&amp;"|"&amp;DATOS!$I3919)</f>
      </c>
      <c r="G3919">
        <f>IF(DATOS!$A3919="",0,IF(CONFIG_METADATA!$B$4&lt;&gt;"OR+EX",--(DATOS!$G3919=CONFIG_METADATA!$B$4),IF(DATOS!$G3919="EX",1,IF(DATOS!$G3919="OR",--(COUNTIFS(nNIA,DATOS!$A3919,nCURSO,DATOS!$D3919,nESPEC,DATOS!$E3919,nASIG,DATOS!$I3919,nEVAL,"EX")=0),0))))</f>
      </c>
      <c r="H3919">
        <f>IF(DATOS!$G3919&lt;&gt;"EX",0,--(COUNTIFS(nNIA,DATOS!$A3919,nCURSO,DATOS!$D3919,nESPEC,DATOS!$E3919,nASIG,DATOS!$I3919,nEVAL,"OR")=0))</f>
      </c>
      <c r="I3919">
        <f>IF(DATOS!$I3919="","",IFERROR(VLOOKUP(DATOS!$I3919,CONFIG_ASIGNATURAS!$B$2:$J$91,9,FALSE()),""))</f>
      </c>
    </row>
    <row r="3920">
      <c r="F3920">
        <f>IF(DATOS!$A3920="","",DATOS!$A3920&amp;"|"&amp;DATOS!$D3920&amp;"|"&amp;DATOS!$E3920&amp;"|"&amp;DATOS!$I3920)</f>
      </c>
      <c r="G3920">
        <f>IF(DATOS!$A3920="",0,IF(CONFIG_METADATA!$B$4&lt;&gt;"OR+EX",--(DATOS!$G3920=CONFIG_METADATA!$B$4),IF(DATOS!$G3920="EX",1,IF(DATOS!$G3920="OR",--(COUNTIFS(nNIA,DATOS!$A3920,nCURSO,DATOS!$D3920,nESPEC,DATOS!$E3920,nASIG,DATOS!$I3920,nEVAL,"EX")=0),0))))</f>
      </c>
      <c r="H3920">
        <f>IF(DATOS!$G3920&lt;&gt;"EX",0,--(COUNTIFS(nNIA,DATOS!$A3920,nCURSO,DATOS!$D3920,nESPEC,DATOS!$E3920,nASIG,DATOS!$I3920,nEVAL,"OR")=0))</f>
      </c>
      <c r="I3920">
        <f>IF(DATOS!$I3920="","",IFERROR(VLOOKUP(DATOS!$I3920,CONFIG_ASIGNATURAS!$B$2:$J$91,9,FALSE()),""))</f>
      </c>
    </row>
    <row r="3921">
      <c r="F3921">
        <f>IF(DATOS!$A3921="","",DATOS!$A3921&amp;"|"&amp;DATOS!$D3921&amp;"|"&amp;DATOS!$E3921&amp;"|"&amp;DATOS!$I3921)</f>
      </c>
      <c r="G3921">
        <f>IF(DATOS!$A3921="",0,IF(CONFIG_METADATA!$B$4&lt;&gt;"OR+EX",--(DATOS!$G3921=CONFIG_METADATA!$B$4),IF(DATOS!$G3921="EX",1,IF(DATOS!$G3921="OR",--(COUNTIFS(nNIA,DATOS!$A3921,nCURSO,DATOS!$D3921,nESPEC,DATOS!$E3921,nASIG,DATOS!$I3921,nEVAL,"EX")=0),0))))</f>
      </c>
      <c r="H3921">
        <f>IF(DATOS!$G3921&lt;&gt;"EX",0,--(COUNTIFS(nNIA,DATOS!$A3921,nCURSO,DATOS!$D3921,nESPEC,DATOS!$E3921,nASIG,DATOS!$I3921,nEVAL,"OR")=0))</f>
      </c>
      <c r="I3921">
        <f>IF(DATOS!$I3921="","",IFERROR(VLOOKUP(DATOS!$I3921,CONFIG_ASIGNATURAS!$B$2:$J$91,9,FALSE()),""))</f>
      </c>
    </row>
    <row r="3922">
      <c r="F3922">
        <f>IF(DATOS!$A3922="","",DATOS!$A3922&amp;"|"&amp;DATOS!$D3922&amp;"|"&amp;DATOS!$E3922&amp;"|"&amp;DATOS!$I3922)</f>
      </c>
      <c r="G3922">
        <f>IF(DATOS!$A3922="",0,IF(CONFIG_METADATA!$B$4&lt;&gt;"OR+EX",--(DATOS!$G3922=CONFIG_METADATA!$B$4),IF(DATOS!$G3922="EX",1,IF(DATOS!$G3922="OR",--(COUNTIFS(nNIA,DATOS!$A3922,nCURSO,DATOS!$D3922,nESPEC,DATOS!$E3922,nASIG,DATOS!$I3922,nEVAL,"EX")=0),0))))</f>
      </c>
      <c r="H3922">
        <f>IF(DATOS!$G3922&lt;&gt;"EX",0,--(COUNTIFS(nNIA,DATOS!$A3922,nCURSO,DATOS!$D3922,nESPEC,DATOS!$E3922,nASIG,DATOS!$I3922,nEVAL,"OR")=0))</f>
      </c>
      <c r="I3922">
        <f>IF(DATOS!$I3922="","",IFERROR(VLOOKUP(DATOS!$I3922,CONFIG_ASIGNATURAS!$B$2:$J$91,9,FALSE()),""))</f>
      </c>
    </row>
    <row r="3923">
      <c r="F3923">
        <f>IF(DATOS!$A3923="","",DATOS!$A3923&amp;"|"&amp;DATOS!$D3923&amp;"|"&amp;DATOS!$E3923&amp;"|"&amp;DATOS!$I3923)</f>
      </c>
      <c r="G3923">
        <f>IF(DATOS!$A3923="",0,IF(CONFIG_METADATA!$B$4&lt;&gt;"OR+EX",--(DATOS!$G3923=CONFIG_METADATA!$B$4),IF(DATOS!$G3923="EX",1,IF(DATOS!$G3923="OR",--(COUNTIFS(nNIA,DATOS!$A3923,nCURSO,DATOS!$D3923,nESPEC,DATOS!$E3923,nASIG,DATOS!$I3923,nEVAL,"EX")=0),0))))</f>
      </c>
      <c r="H3923">
        <f>IF(DATOS!$G3923&lt;&gt;"EX",0,--(COUNTIFS(nNIA,DATOS!$A3923,nCURSO,DATOS!$D3923,nESPEC,DATOS!$E3923,nASIG,DATOS!$I3923,nEVAL,"OR")=0))</f>
      </c>
      <c r="I3923">
        <f>IF(DATOS!$I3923="","",IFERROR(VLOOKUP(DATOS!$I3923,CONFIG_ASIGNATURAS!$B$2:$J$91,9,FALSE()),""))</f>
      </c>
    </row>
    <row r="3924">
      <c r="F3924">
        <f>IF(DATOS!$A3924="","",DATOS!$A3924&amp;"|"&amp;DATOS!$D3924&amp;"|"&amp;DATOS!$E3924&amp;"|"&amp;DATOS!$I3924)</f>
      </c>
      <c r="G3924">
        <f>IF(DATOS!$A3924="",0,IF(CONFIG_METADATA!$B$4&lt;&gt;"OR+EX",--(DATOS!$G3924=CONFIG_METADATA!$B$4),IF(DATOS!$G3924="EX",1,IF(DATOS!$G3924="OR",--(COUNTIFS(nNIA,DATOS!$A3924,nCURSO,DATOS!$D3924,nESPEC,DATOS!$E3924,nASIG,DATOS!$I3924,nEVAL,"EX")=0),0))))</f>
      </c>
      <c r="H3924">
        <f>IF(DATOS!$G3924&lt;&gt;"EX",0,--(COUNTIFS(nNIA,DATOS!$A3924,nCURSO,DATOS!$D3924,nESPEC,DATOS!$E3924,nASIG,DATOS!$I3924,nEVAL,"OR")=0))</f>
      </c>
      <c r="I3924">
        <f>IF(DATOS!$I3924="","",IFERROR(VLOOKUP(DATOS!$I3924,CONFIG_ASIGNATURAS!$B$2:$J$91,9,FALSE()),""))</f>
      </c>
    </row>
    <row r="3925">
      <c r="F3925">
        <f>IF(DATOS!$A3925="","",DATOS!$A3925&amp;"|"&amp;DATOS!$D3925&amp;"|"&amp;DATOS!$E3925&amp;"|"&amp;DATOS!$I3925)</f>
      </c>
      <c r="G3925">
        <f>IF(DATOS!$A3925="",0,IF(CONFIG_METADATA!$B$4&lt;&gt;"OR+EX",--(DATOS!$G3925=CONFIG_METADATA!$B$4),IF(DATOS!$G3925="EX",1,IF(DATOS!$G3925="OR",--(COUNTIFS(nNIA,DATOS!$A3925,nCURSO,DATOS!$D3925,nESPEC,DATOS!$E3925,nASIG,DATOS!$I3925,nEVAL,"EX")=0),0))))</f>
      </c>
      <c r="H3925">
        <f>IF(DATOS!$G3925&lt;&gt;"EX",0,--(COUNTIFS(nNIA,DATOS!$A3925,nCURSO,DATOS!$D3925,nESPEC,DATOS!$E3925,nASIG,DATOS!$I3925,nEVAL,"OR")=0))</f>
      </c>
      <c r="I3925">
        <f>IF(DATOS!$I3925="","",IFERROR(VLOOKUP(DATOS!$I3925,CONFIG_ASIGNATURAS!$B$2:$J$91,9,FALSE()),""))</f>
      </c>
    </row>
    <row r="3926">
      <c r="F3926">
        <f>IF(DATOS!$A3926="","",DATOS!$A3926&amp;"|"&amp;DATOS!$D3926&amp;"|"&amp;DATOS!$E3926&amp;"|"&amp;DATOS!$I3926)</f>
      </c>
      <c r="G3926">
        <f>IF(DATOS!$A3926="",0,IF(CONFIG_METADATA!$B$4&lt;&gt;"OR+EX",--(DATOS!$G3926=CONFIG_METADATA!$B$4),IF(DATOS!$G3926="EX",1,IF(DATOS!$G3926="OR",--(COUNTIFS(nNIA,DATOS!$A3926,nCURSO,DATOS!$D3926,nESPEC,DATOS!$E3926,nASIG,DATOS!$I3926,nEVAL,"EX")=0),0))))</f>
      </c>
      <c r="H3926">
        <f>IF(DATOS!$G3926&lt;&gt;"EX",0,--(COUNTIFS(nNIA,DATOS!$A3926,nCURSO,DATOS!$D3926,nESPEC,DATOS!$E3926,nASIG,DATOS!$I3926,nEVAL,"OR")=0))</f>
      </c>
      <c r="I3926">
        <f>IF(DATOS!$I3926="","",IFERROR(VLOOKUP(DATOS!$I3926,CONFIG_ASIGNATURAS!$B$2:$J$91,9,FALSE()),""))</f>
      </c>
    </row>
    <row r="3927">
      <c r="F3927">
        <f>IF(DATOS!$A3927="","",DATOS!$A3927&amp;"|"&amp;DATOS!$D3927&amp;"|"&amp;DATOS!$E3927&amp;"|"&amp;DATOS!$I3927)</f>
      </c>
      <c r="G3927">
        <f>IF(DATOS!$A3927="",0,IF(CONFIG_METADATA!$B$4&lt;&gt;"OR+EX",--(DATOS!$G3927=CONFIG_METADATA!$B$4),IF(DATOS!$G3927="EX",1,IF(DATOS!$G3927="OR",--(COUNTIFS(nNIA,DATOS!$A3927,nCURSO,DATOS!$D3927,nESPEC,DATOS!$E3927,nASIG,DATOS!$I3927,nEVAL,"EX")=0),0))))</f>
      </c>
      <c r="H3927">
        <f>IF(DATOS!$G3927&lt;&gt;"EX",0,--(COUNTIFS(nNIA,DATOS!$A3927,nCURSO,DATOS!$D3927,nESPEC,DATOS!$E3927,nASIG,DATOS!$I3927,nEVAL,"OR")=0))</f>
      </c>
      <c r="I3927">
        <f>IF(DATOS!$I3927="","",IFERROR(VLOOKUP(DATOS!$I3927,CONFIG_ASIGNATURAS!$B$2:$J$91,9,FALSE()),""))</f>
      </c>
    </row>
    <row r="3928">
      <c r="F3928">
        <f>IF(DATOS!$A3928="","",DATOS!$A3928&amp;"|"&amp;DATOS!$D3928&amp;"|"&amp;DATOS!$E3928&amp;"|"&amp;DATOS!$I3928)</f>
      </c>
      <c r="G3928">
        <f>IF(DATOS!$A3928="",0,IF(CONFIG_METADATA!$B$4&lt;&gt;"OR+EX",--(DATOS!$G3928=CONFIG_METADATA!$B$4),IF(DATOS!$G3928="EX",1,IF(DATOS!$G3928="OR",--(COUNTIFS(nNIA,DATOS!$A3928,nCURSO,DATOS!$D3928,nESPEC,DATOS!$E3928,nASIG,DATOS!$I3928,nEVAL,"EX")=0),0))))</f>
      </c>
      <c r="H3928">
        <f>IF(DATOS!$G3928&lt;&gt;"EX",0,--(COUNTIFS(nNIA,DATOS!$A3928,nCURSO,DATOS!$D3928,nESPEC,DATOS!$E3928,nASIG,DATOS!$I3928,nEVAL,"OR")=0))</f>
      </c>
      <c r="I3928">
        <f>IF(DATOS!$I3928="","",IFERROR(VLOOKUP(DATOS!$I3928,CONFIG_ASIGNATURAS!$B$2:$J$91,9,FALSE()),""))</f>
      </c>
    </row>
    <row r="3929">
      <c r="F3929">
        <f>IF(DATOS!$A3929="","",DATOS!$A3929&amp;"|"&amp;DATOS!$D3929&amp;"|"&amp;DATOS!$E3929&amp;"|"&amp;DATOS!$I3929)</f>
      </c>
      <c r="G3929">
        <f>IF(DATOS!$A3929="",0,IF(CONFIG_METADATA!$B$4&lt;&gt;"OR+EX",--(DATOS!$G3929=CONFIG_METADATA!$B$4),IF(DATOS!$G3929="EX",1,IF(DATOS!$G3929="OR",--(COUNTIFS(nNIA,DATOS!$A3929,nCURSO,DATOS!$D3929,nESPEC,DATOS!$E3929,nASIG,DATOS!$I3929,nEVAL,"EX")=0),0))))</f>
      </c>
      <c r="H3929">
        <f>IF(DATOS!$G3929&lt;&gt;"EX",0,--(COUNTIFS(nNIA,DATOS!$A3929,nCURSO,DATOS!$D3929,nESPEC,DATOS!$E3929,nASIG,DATOS!$I3929,nEVAL,"OR")=0))</f>
      </c>
      <c r="I3929">
        <f>IF(DATOS!$I3929="","",IFERROR(VLOOKUP(DATOS!$I3929,CONFIG_ASIGNATURAS!$B$2:$J$91,9,FALSE()),""))</f>
      </c>
    </row>
    <row r="3930">
      <c r="F3930">
        <f>IF(DATOS!$A3930="","",DATOS!$A3930&amp;"|"&amp;DATOS!$D3930&amp;"|"&amp;DATOS!$E3930&amp;"|"&amp;DATOS!$I3930)</f>
      </c>
      <c r="G3930">
        <f>IF(DATOS!$A3930="",0,IF(CONFIG_METADATA!$B$4&lt;&gt;"OR+EX",--(DATOS!$G3930=CONFIG_METADATA!$B$4),IF(DATOS!$G3930="EX",1,IF(DATOS!$G3930="OR",--(COUNTIFS(nNIA,DATOS!$A3930,nCURSO,DATOS!$D3930,nESPEC,DATOS!$E3930,nASIG,DATOS!$I3930,nEVAL,"EX")=0),0))))</f>
      </c>
      <c r="H3930">
        <f>IF(DATOS!$G3930&lt;&gt;"EX",0,--(COUNTIFS(nNIA,DATOS!$A3930,nCURSO,DATOS!$D3930,nESPEC,DATOS!$E3930,nASIG,DATOS!$I3930,nEVAL,"OR")=0))</f>
      </c>
      <c r="I3930">
        <f>IF(DATOS!$I3930="","",IFERROR(VLOOKUP(DATOS!$I3930,CONFIG_ASIGNATURAS!$B$2:$J$91,9,FALSE()),""))</f>
      </c>
    </row>
    <row r="3931">
      <c r="F3931">
        <f>IF(DATOS!$A3931="","",DATOS!$A3931&amp;"|"&amp;DATOS!$D3931&amp;"|"&amp;DATOS!$E3931&amp;"|"&amp;DATOS!$I3931)</f>
      </c>
      <c r="G3931">
        <f>IF(DATOS!$A3931="",0,IF(CONFIG_METADATA!$B$4&lt;&gt;"OR+EX",--(DATOS!$G3931=CONFIG_METADATA!$B$4),IF(DATOS!$G3931="EX",1,IF(DATOS!$G3931="OR",--(COUNTIFS(nNIA,DATOS!$A3931,nCURSO,DATOS!$D3931,nESPEC,DATOS!$E3931,nASIG,DATOS!$I3931,nEVAL,"EX")=0),0))))</f>
      </c>
      <c r="H3931">
        <f>IF(DATOS!$G3931&lt;&gt;"EX",0,--(COUNTIFS(nNIA,DATOS!$A3931,nCURSO,DATOS!$D3931,nESPEC,DATOS!$E3931,nASIG,DATOS!$I3931,nEVAL,"OR")=0))</f>
      </c>
      <c r="I3931">
        <f>IF(DATOS!$I3931="","",IFERROR(VLOOKUP(DATOS!$I3931,CONFIG_ASIGNATURAS!$B$2:$J$91,9,FALSE()),""))</f>
      </c>
    </row>
    <row r="3932">
      <c r="F3932">
        <f>IF(DATOS!$A3932="","",DATOS!$A3932&amp;"|"&amp;DATOS!$D3932&amp;"|"&amp;DATOS!$E3932&amp;"|"&amp;DATOS!$I3932)</f>
      </c>
      <c r="G3932">
        <f>IF(DATOS!$A3932="",0,IF(CONFIG_METADATA!$B$4&lt;&gt;"OR+EX",--(DATOS!$G3932=CONFIG_METADATA!$B$4),IF(DATOS!$G3932="EX",1,IF(DATOS!$G3932="OR",--(COUNTIFS(nNIA,DATOS!$A3932,nCURSO,DATOS!$D3932,nESPEC,DATOS!$E3932,nASIG,DATOS!$I3932,nEVAL,"EX")=0),0))))</f>
      </c>
      <c r="H3932">
        <f>IF(DATOS!$G3932&lt;&gt;"EX",0,--(COUNTIFS(nNIA,DATOS!$A3932,nCURSO,DATOS!$D3932,nESPEC,DATOS!$E3932,nASIG,DATOS!$I3932,nEVAL,"OR")=0))</f>
      </c>
      <c r="I3932">
        <f>IF(DATOS!$I3932="","",IFERROR(VLOOKUP(DATOS!$I3932,CONFIG_ASIGNATURAS!$B$2:$J$91,9,FALSE()),""))</f>
      </c>
    </row>
    <row r="3933">
      <c r="F3933">
        <f>IF(DATOS!$A3933="","",DATOS!$A3933&amp;"|"&amp;DATOS!$D3933&amp;"|"&amp;DATOS!$E3933&amp;"|"&amp;DATOS!$I3933)</f>
      </c>
      <c r="G3933">
        <f>IF(DATOS!$A3933="",0,IF(CONFIG_METADATA!$B$4&lt;&gt;"OR+EX",--(DATOS!$G3933=CONFIG_METADATA!$B$4),IF(DATOS!$G3933="EX",1,IF(DATOS!$G3933="OR",--(COUNTIFS(nNIA,DATOS!$A3933,nCURSO,DATOS!$D3933,nESPEC,DATOS!$E3933,nASIG,DATOS!$I3933,nEVAL,"EX")=0),0))))</f>
      </c>
      <c r="H3933">
        <f>IF(DATOS!$G3933&lt;&gt;"EX",0,--(COUNTIFS(nNIA,DATOS!$A3933,nCURSO,DATOS!$D3933,nESPEC,DATOS!$E3933,nASIG,DATOS!$I3933,nEVAL,"OR")=0))</f>
      </c>
      <c r="I3933">
        <f>IF(DATOS!$I3933="","",IFERROR(VLOOKUP(DATOS!$I3933,CONFIG_ASIGNATURAS!$B$2:$J$91,9,FALSE()),""))</f>
      </c>
    </row>
    <row r="3934">
      <c r="F3934">
        <f>IF(DATOS!$A3934="","",DATOS!$A3934&amp;"|"&amp;DATOS!$D3934&amp;"|"&amp;DATOS!$E3934&amp;"|"&amp;DATOS!$I3934)</f>
      </c>
      <c r="G3934">
        <f>IF(DATOS!$A3934="",0,IF(CONFIG_METADATA!$B$4&lt;&gt;"OR+EX",--(DATOS!$G3934=CONFIG_METADATA!$B$4),IF(DATOS!$G3934="EX",1,IF(DATOS!$G3934="OR",--(COUNTIFS(nNIA,DATOS!$A3934,nCURSO,DATOS!$D3934,nESPEC,DATOS!$E3934,nASIG,DATOS!$I3934,nEVAL,"EX")=0),0))))</f>
      </c>
      <c r="H3934">
        <f>IF(DATOS!$G3934&lt;&gt;"EX",0,--(COUNTIFS(nNIA,DATOS!$A3934,nCURSO,DATOS!$D3934,nESPEC,DATOS!$E3934,nASIG,DATOS!$I3934,nEVAL,"OR")=0))</f>
      </c>
      <c r="I3934">
        <f>IF(DATOS!$I3934="","",IFERROR(VLOOKUP(DATOS!$I3934,CONFIG_ASIGNATURAS!$B$2:$J$91,9,FALSE()),""))</f>
      </c>
    </row>
    <row r="3935">
      <c r="F3935">
        <f>IF(DATOS!$A3935="","",DATOS!$A3935&amp;"|"&amp;DATOS!$D3935&amp;"|"&amp;DATOS!$E3935&amp;"|"&amp;DATOS!$I3935)</f>
      </c>
      <c r="G3935">
        <f>IF(DATOS!$A3935="",0,IF(CONFIG_METADATA!$B$4&lt;&gt;"OR+EX",--(DATOS!$G3935=CONFIG_METADATA!$B$4),IF(DATOS!$G3935="EX",1,IF(DATOS!$G3935="OR",--(COUNTIFS(nNIA,DATOS!$A3935,nCURSO,DATOS!$D3935,nESPEC,DATOS!$E3935,nASIG,DATOS!$I3935,nEVAL,"EX")=0),0))))</f>
      </c>
      <c r="H3935">
        <f>IF(DATOS!$G3935&lt;&gt;"EX",0,--(COUNTIFS(nNIA,DATOS!$A3935,nCURSO,DATOS!$D3935,nESPEC,DATOS!$E3935,nASIG,DATOS!$I3935,nEVAL,"OR")=0))</f>
      </c>
      <c r="I3935">
        <f>IF(DATOS!$I3935="","",IFERROR(VLOOKUP(DATOS!$I3935,CONFIG_ASIGNATURAS!$B$2:$J$91,9,FALSE()),""))</f>
      </c>
    </row>
    <row r="3936">
      <c r="F3936">
        <f>IF(DATOS!$A3936="","",DATOS!$A3936&amp;"|"&amp;DATOS!$D3936&amp;"|"&amp;DATOS!$E3936&amp;"|"&amp;DATOS!$I3936)</f>
      </c>
      <c r="G3936">
        <f>IF(DATOS!$A3936="",0,IF(CONFIG_METADATA!$B$4&lt;&gt;"OR+EX",--(DATOS!$G3936=CONFIG_METADATA!$B$4),IF(DATOS!$G3936="EX",1,IF(DATOS!$G3936="OR",--(COUNTIFS(nNIA,DATOS!$A3936,nCURSO,DATOS!$D3936,nESPEC,DATOS!$E3936,nASIG,DATOS!$I3936,nEVAL,"EX")=0),0))))</f>
      </c>
      <c r="H3936">
        <f>IF(DATOS!$G3936&lt;&gt;"EX",0,--(COUNTIFS(nNIA,DATOS!$A3936,nCURSO,DATOS!$D3936,nESPEC,DATOS!$E3936,nASIG,DATOS!$I3936,nEVAL,"OR")=0))</f>
      </c>
      <c r="I3936">
        <f>IF(DATOS!$I3936="","",IFERROR(VLOOKUP(DATOS!$I3936,CONFIG_ASIGNATURAS!$B$2:$J$91,9,FALSE()),""))</f>
      </c>
    </row>
    <row r="3937">
      <c r="F3937">
        <f>IF(DATOS!$A3937="","",DATOS!$A3937&amp;"|"&amp;DATOS!$D3937&amp;"|"&amp;DATOS!$E3937&amp;"|"&amp;DATOS!$I3937)</f>
      </c>
      <c r="G3937">
        <f>IF(DATOS!$A3937="",0,IF(CONFIG_METADATA!$B$4&lt;&gt;"OR+EX",--(DATOS!$G3937=CONFIG_METADATA!$B$4),IF(DATOS!$G3937="EX",1,IF(DATOS!$G3937="OR",--(COUNTIFS(nNIA,DATOS!$A3937,nCURSO,DATOS!$D3937,nESPEC,DATOS!$E3937,nASIG,DATOS!$I3937,nEVAL,"EX")=0),0))))</f>
      </c>
      <c r="H3937">
        <f>IF(DATOS!$G3937&lt;&gt;"EX",0,--(COUNTIFS(nNIA,DATOS!$A3937,nCURSO,DATOS!$D3937,nESPEC,DATOS!$E3937,nASIG,DATOS!$I3937,nEVAL,"OR")=0))</f>
      </c>
      <c r="I3937">
        <f>IF(DATOS!$I3937="","",IFERROR(VLOOKUP(DATOS!$I3937,CONFIG_ASIGNATURAS!$B$2:$J$91,9,FALSE()),""))</f>
      </c>
    </row>
    <row r="3938">
      <c r="F3938">
        <f>IF(DATOS!$A3938="","",DATOS!$A3938&amp;"|"&amp;DATOS!$D3938&amp;"|"&amp;DATOS!$E3938&amp;"|"&amp;DATOS!$I3938)</f>
      </c>
      <c r="G3938">
        <f>IF(DATOS!$A3938="",0,IF(CONFIG_METADATA!$B$4&lt;&gt;"OR+EX",--(DATOS!$G3938=CONFIG_METADATA!$B$4),IF(DATOS!$G3938="EX",1,IF(DATOS!$G3938="OR",--(COUNTIFS(nNIA,DATOS!$A3938,nCURSO,DATOS!$D3938,nESPEC,DATOS!$E3938,nASIG,DATOS!$I3938,nEVAL,"EX")=0),0))))</f>
      </c>
      <c r="H3938">
        <f>IF(DATOS!$G3938&lt;&gt;"EX",0,--(COUNTIFS(nNIA,DATOS!$A3938,nCURSO,DATOS!$D3938,nESPEC,DATOS!$E3938,nASIG,DATOS!$I3938,nEVAL,"OR")=0))</f>
      </c>
      <c r="I3938">
        <f>IF(DATOS!$I3938="","",IFERROR(VLOOKUP(DATOS!$I3938,CONFIG_ASIGNATURAS!$B$2:$J$91,9,FALSE()),""))</f>
      </c>
    </row>
    <row r="3939">
      <c r="F3939">
        <f>IF(DATOS!$A3939="","",DATOS!$A3939&amp;"|"&amp;DATOS!$D3939&amp;"|"&amp;DATOS!$E3939&amp;"|"&amp;DATOS!$I3939)</f>
      </c>
      <c r="G3939">
        <f>IF(DATOS!$A3939="",0,IF(CONFIG_METADATA!$B$4&lt;&gt;"OR+EX",--(DATOS!$G3939=CONFIG_METADATA!$B$4),IF(DATOS!$G3939="EX",1,IF(DATOS!$G3939="OR",--(COUNTIFS(nNIA,DATOS!$A3939,nCURSO,DATOS!$D3939,nESPEC,DATOS!$E3939,nASIG,DATOS!$I3939,nEVAL,"EX")=0),0))))</f>
      </c>
      <c r="H3939">
        <f>IF(DATOS!$G3939&lt;&gt;"EX",0,--(COUNTIFS(nNIA,DATOS!$A3939,nCURSO,DATOS!$D3939,nESPEC,DATOS!$E3939,nASIG,DATOS!$I3939,nEVAL,"OR")=0))</f>
      </c>
      <c r="I3939">
        <f>IF(DATOS!$I3939="","",IFERROR(VLOOKUP(DATOS!$I3939,CONFIG_ASIGNATURAS!$B$2:$J$91,9,FALSE()),""))</f>
      </c>
    </row>
    <row r="3940">
      <c r="F3940">
        <f>IF(DATOS!$A3940="","",DATOS!$A3940&amp;"|"&amp;DATOS!$D3940&amp;"|"&amp;DATOS!$E3940&amp;"|"&amp;DATOS!$I3940)</f>
      </c>
      <c r="G3940">
        <f>IF(DATOS!$A3940="",0,IF(CONFIG_METADATA!$B$4&lt;&gt;"OR+EX",--(DATOS!$G3940=CONFIG_METADATA!$B$4),IF(DATOS!$G3940="EX",1,IF(DATOS!$G3940="OR",--(COUNTIFS(nNIA,DATOS!$A3940,nCURSO,DATOS!$D3940,nESPEC,DATOS!$E3940,nASIG,DATOS!$I3940,nEVAL,"EX")=0),0))))</f>
      </c>
      <c r="H3940">
        <f>IF(DATOS!$G3940&lt;&gt;"EX",0,--(COUNTIFS(nNIA,DATOS!$A3940,nCURSO,DATOS!$D3940,nESPEC,DATOS!$E3940,nASIG,DATOS!$I3940,nEVAL,"OR")=0))</f>
      </c>
      <c r="I3940">
        <f>IF(DATOS!$I3940="","",IFERROR(VLOOKUP(DATOS!$I3940,CONFIG_ASIGNATURAS!$B$2:$J$91,9,FALSE()),""))</f>
      </c>
    </row>
    <row r="3941">
      <c r="F3941">
        <f>IF(DATOS!$A3941="","",DATOS!$A3941&amp;"|"&amp;DATOS!$D3941&amp;"|"&amp;DATOS!$E3941&amp;"|"&amp;DATOS!$I3941)</f>
      </c>
      <c r="G3941">
        <f>IF(DATOS!$A3941="",0,IF(CONFIG_METADATA!$B$4&lt;&gt;"OR+EX",--(DATOS!$G3941=CONFIG_METADATA!$B$4),IF(DATOS!$G3941="EX",1,IF(DATOS!$G3941="OR",--(COUNTIFS(nNIA,DATOS!$A3941,nCURSO,DATOS!$D3941,nESPEC,DATOS!$E3941,nASIG,DATOS!$I3941,nEVAL,"EX")=0),0))))</f>
      </c>
      <c r="H3941">
        <f>IF(DATOS!$G3941&lt;&gt;"EX",0,--(COUNTIFS(nNIA,DATOS!$A3941,nCURSO,DATOS!$D3941,nESPEC,DATOS!$E3941,nASIG,DATOS!$I3941,nEVAL,"OR")=0))</f>
      </c>
      <c r="I3941">
        <f>IF(DATOS!$I3941="","",IFERROR(VLOOKUP(DATOS!$I3941,CONFIG_ASIGNATURAS!$B$2:$J$91,9,FALSE()),""))</f>
      </c>
    </row>
    <row r="3942">
      <c r="F3942">
        <f>IF(DATOS!$A3942="","",DATOS!$A3942&amp;"|"&amp;DATOS!$D3942&amp;"|"&amp;DATOS!$E3942&amp;"|"&amp;DATOS!$I3942)</f>
      </c>
      <c r="G3942">
        <f>IF(DATOS!$A3942="",0,IF(CONFIG_METADATA!$B$4&lt;&gt;"OR+EX",--(DATOS!$G3942=CONFIG_METADATA!$B$4),IF(DATOS!$G3942="EX",1,IF(DATOS!$G3942="OR",--(COUNTIFS(nNIA,DATOS!$A3942,nCURSO,DATOS!$D3942,nESPEC,DATOS!$E3942,nASIG,DATOS!$I3942,nEVAL,"EX")=0),0))))</f>
      </c>
      <c r="H3942">
        <f>IF(DATOS!$G3942&lt;&gt;"EX",0,--(COUNTIFS(nNIA,DATOS!$A3942,nCURSO,DATOS!$D3942,nESPEC,DATOS!$E3942,nASIG,DATOS!$I3942,nEVAL,"OR")=0))</f>
      </c>
      <c r="I3942">
        <f>IF(DATOS!$I3942="","",IFERROR(VLOOKUP(DATOS!$I3942,CONFIG_ASIGNATURAS!$B$2:$J$91,9,FALSE()),""))</f>
      </c>
    </row>
    <row r="3943">
      <c r="F3943">
        <f>IF(DATOS!$A3943="","",DATOS!$A3943&amp;"|"&amp;DATOS!$D3943&amp;"|"&amp;DATOS!$E3943&amp;"|"&amp;DATOS!$I3943)</f>
      </c>
      <c r="G3943">
        <f>IF(DATOS!$A3943="",0,IF(CONFIG_METADATA!$B$4&lt;&gt;"OR+EX",--(DATOS!$G3943=CONFIG_METADATA!$B$4),IF(DATOS!$G3943="EX",1,IF(DATOS!$G3943="OR",--(COUNTIFS(nNIA,DATOS!$A3943,nCURSO,DATOS!$D3943,nESPEC,DATOS!$E3943,nASIG,DATOS!$I3943,nEVAL,"EX")=0),0))))</f>
      </c>
      <c r="H3943">
        <f>IF(DATOS!$G3943&lt;&gt;"EX",0,--(COUNTIFS(nNIA,DATOS!$A3943,nCURSO,DATOS!$D3943,nESPEC,DATOS!$E3943,nASIG,DATOS!$I3943,nEVAL,"OR")=0))</f>
      </c>
      <c r="I3943">
        <f>IF(DATOS!$I3943="","",IFERROR(VLOOKUP(DATOS!$I3943,CONFIG_ASIGNATURAS!$B$2:$J$91,9,FALSE()),""))</f>
      </c>
    </row>
    <row r="3944">
      <c r="F3944">
        <f>IF(DATOS!$A3944="","",DATOS!$A3944&amp;"|"&amp;DATOS!$D3944&amp;"|"&amp;DATOS!$E3944&amp;"|"&amp;DATOS!$I3944)</f>
      </c>
      <c r="G3944">
        <f>IF(DATOS!$A3944="",0,IF(CONFIG_METADATA!$B$4&lt;&gt;"OR+EX",--(DATOS!$G3944=CONFIG_METADATA!$B$4),IF(DATOS!$G3944="EX",1,IF(DATOS!$G3944="OR",--(COUNTIFS(nNIA,DATOS!$A3944,nCURSO,DATOS!$D3944,nESPEC,DATOS!$E3944,nASIG,DATOS!$I3944,nEVAL,"EX")=0),0))))</f>
      </c>
      <c r="H3944">
        <f>IF(DATOS!$G3944&lt;&gt;"EX",0,--(COUNTIFS(nNIA,DATOS!$A3944,nCURSO,DATOS!$D3944,nESPEC,DATOS!$E3944,nASIG,DATOS!$I3944,nEVAL,"OR")=0))</f>
      </c>
      <c r="I3944">
        <f>IF(DATOS!$I3944="","",IFERROR(VLOOKUP(DATOS!$I3944,CONFIG_ASIGNATURAS!$B$2:$J$91,9,FALSE()),""))</f>
      </c>
    </row>
    <row r="3945">
      <c r="F3945">
        <f>IF(DATOS!$A3945="","",DATOS!$A3945&amp;"|"&amp;DATOS!$D3945&amp;"|"&amp;DATOS!$E3945&amp;"|"&amp;DATOS!$I3945)</f>
      </c>
      <c r="G3945">
        <f>IF(DATOS!$A3945="",0,IF(CONFIG_METADATA!$B$4&lt;&gt;"OR+EX",--(DATOS!$G3945=CONFIG_METADATA!$B$4),IF(DATOS!$G3945="EX",1,IF(DATOS!$G3945="OR",--(COUNTIFS(nNIA,DATOS!$A3945,nCURSO,DATOS!$D3945,nESPEC,DATOS!$E3945,nASIG,DATOS!$I3945,nEVAL,"EX")=0),0))))</f>
      </c>
      <c r="H3945">
        <f>IF(DATOS!$G3945&lt;&gt;"EX",0,--(COUNTIFS(nNIA,DATOS!$A3945,nCURSO,DATOS!$D3945,nESPEC,DATOS!$E3945,nASIG,DATOS!$I3945,nEVAL,"OR")=0))</f>
      </c>
      <c r="I3945">
        <f>IF(DATOS!$I3945="","",IFERROR(VLOOKUP(DATOS!$I3945,CONFIG_ASIGNATURAS!$B$2:$J$91,9,FALSE()),""))</f>
      </c>
    </row>
    <row r="3946">
      <c r="F3946">
        <f>IF(DATOS!$A3946="","",DATOS!$A3946&amp;"|"&amp;DATOS!$D3946&amp;"|"&amp;DATOS!$E3946&amp;"|"&amp;DATOS!$I3946)</f>
      </c>
      <c r="G3946">
        <f>IF(DATOS!$A3946="",0,IF(CONFIG_METADATA!$B$4&lt;&gt;"OR+EX",--(DATOS!$G3946=CONFIG_METADATA!$B$4),IF(DATOS!$G3946="EX",1,IF(DATOS!$G3946="OR",--(COUNTIFS(nNIA,DATOS!$A3946,nCURSO,DATOS!$D3946,nESPEC,DATOS!$E3946,nASIG,DATOS!$I3946,nEVAL,"EX")=0),0))))</f>
      </c>
      <c r="H3946">
        <f>IF(DATOS!$G3946&lt;&gt;"EX",0,--(COUNTIFS(nNIA,DATOS!$A3946,nCURSO,DATOS!$D3946,nESPEC,DATOS!$E3946,nASIG,DATOS!$I3946,nEVAL,"OR")=0))</f>
      </c>
      <c r="I3946">
        <f>IF(DATOS!$I3946="","",IFERROR(VLOOKUP(DATOS!$I3946,CONFIG_ASIGNATURAS!$B$2:$J$91,9,FALSE()),""))</f>
      </c>
    </row>
    <row r="3947">
      <c r="F3947">
        <f>IF(DATOS!$A3947="","",DATOS!$A3947&amp;"|"&amp;DATOS!$D3947&amp;"|"&amp;DATOS!$E3947&amp;"|"&amp;DATOS!$I3947)</f>
      </c>
      <c r="G3947">
        <f>IF(DATOS!$A3947="",0,IF(CONFIG_METADATA!$B$4&lt;&gt;"OR+EX",--(DATOS!$G3947=CONFIG_METADATA!$B$4),IF(DATOS!$G3947="EX",1,IF(DATOS!$G3947="OR",--(COUNTIFS(nNIA,DATOS!$A3947,nCURSO,DATOS!$D3947,nESPEC,DATOS!$E3947,nASIG,DATOS!$I3947,nEVAL,"EX")=0),0))))</f>
      </c>
      <c r="H3947">
        <f>IF(DATOS!$G3947&lt;&gt;"EX",0,--(COUNTIFS(nNIA,DATOS!$A3947,nCURSO,DATOS!$D3947,nESPEC,DATOS!$E3947,nASIG,DATOS!$I3947,nEVAL,"OR")=0))</f>
      </c>
      <c r="I3947">
        <f>IF(DATOS!$I3947="","",IFERROR(VLOOKUP(DATOS!$I3947,CONFIG_ASIGNATURAS!$B$2:$J$91,9,FALSE()),""))</f>
      </c>
    </row>
    <row r="3948">
      <c r="F3948">
        <f>IF(DATOS!$A3948="","",DATOS!$A3948&amp;"|"&amp;DATOS!$D3948&amp;"|"&amp;DATOS!$E3948&amp;"|"&amp;DATOS!$I3948)</f>
      </c>
      <c r="G3948">
        <f>IF(DATOS!$A3948="",0,IF(CONFIG_METADATA!$B$4&lt;&gt;"OR+EX",--(DATOS!$G3948=CONFIG_METADATA!$B$4),IF(DATOS!$G3948="EX",1,IF(DATOS!$G3948="OR",--(COUNTIFS(nNIA,DATOS!$A3948,nCURSO,DATOS!$D3948,nESPEC,DATOS!$E3948,nASIG,DATOS!$I3948,nEVAL,"EX")=0),0))))</f>
      </c>
      <c r="H3948">
        <f>IF(DATOS!$G3948&lt;&gt;"EX",0,--(COUNTIFS(nNIA,DATOS!$A3948,nCURSO,DATOS!$D3948,nESPEC,DATOS!$E3948,nASIG,DATOS!$I3948,nEVAL,"OR")=0))</f>
      </c>
      <c r="I3948">
        <f>IF(DATOS!$I3948="","",IFERROR(VLOOKUP(DATOS!$I3948,CONFIG_ASIGNATURAS!$B$2:$J$91,9,FALSE()),""))</f>
      </c>
    </row>
    <row r="3949">
      <c r="F3949">
        <f>IF(DATOS!$A3949="","",DATOS!$A3949&amp;"|"&amp;DATOS!$D3949&amp;"|"&amp;DATOS!$E3949&amp;"|"&amp;DATOS!$I3949)</f>
      </c>
      <c r="G3949">
        <f>IF(DATOS!$A3949="",0,IF(CONFIG_METADATA!$B$4&lt;&gt;"OR+EX",--(DATOS!$G3949=CONFIG_METADATA!$B$4),IF(DATOS!$G3949="EX",1,IF(DATOS!$G3949="OR",--(COUNTIFS(nNIA,DATOS!$A3949,nCURSO,DATOS!$D3949,nESPEC,DATOS!$E3949,nASIG,DATOS!$I3949,nEVAL,"EX")=0),0))))</f>
      </c>
      <c r="H3949">
        <f>IF(DATOS!$G3949&lt;&gt;"EX",0,--(COUNTIFS(nNIA,DATOS!$A3949,nCURSO,DATOS!$D3949,nESPEC,DATOS!$E3949,nASIG,DATOS!$I3949,nEVAL,"OR")=0))</f>
      </c>
      <c r="I3949">
        <f>IF(DATOS!$I3949="","",IFERROR(VLOOKUP(DATOS!$I3949,CONFIG_ASIGNATURAS!$B$2:$J$91,9,FALSE()),""))</f>
      </c>
    </row>
    <row r="3950">
      <c r="F3950">
        <f>IF(DATOS!$A3950="","",DATOS!$A3950&amp;"|"&amp;DATOS!$D3950&amp;"|"&amp;DATOS!$E3950&amp;"|"&amp;DATOS!$I3950)</f>
      </c>
      <c r="G3950">
        <f>IF(DATOS!$A3950="",0,IF(CONFIG_METADATA!$B$4&lt;&gt;"OR+EX",--(DATOS!$G3950=CONFIG_METADATA!$B$4),IF(DATOS!$G3950="EX",1,IF(DATOS!$G3950="OR",--(COUNTIFS(nNIA,DATOS!$A3950,nCURSO,DATOS!$D3950,nESPEC,DATOS!$E3950,nASIG,DATOS!$I3950,nEVAL,"EX")=0),0))))</f>
      </c>
      <c r="H3950">
        <f>IF(DATOS!$G3950&lt;&gt;"EX",0,--(COUNTIFS(nNIA,DATOS!$A3950,nCURSO,DATOS!$D3950,nESPEC,DATOS!$E3950,nASIG,DATOS!$I3950,nEVAL,"OR")=0))</f>
      </c>
      <c r="I3950">
        <f>IF(DATOS!$I3950="","",IFERROR(VLOOKUP(DATOS!$I3950,CONFIG_ASIGNATURAS!$B$2:$J$91,9,FALSE()),""))</f>
      </c>
    </row>
    <row r="3951">
      <c r="F3951">
        <f>IF(DATOS!$A3951="","",DATOS!$A3951&amp;"|"&amp;DATOS!$D3951&amp;"|"&amp;DATOS!$E3951&amp;"|"&amp;DATOS!$I3951)</f>
      </c>
      <c r="G3951">
        <f>IF(DATOS!$A3951="",0,IF(CONFIG_METADATA!$B$4&lt;&gt;"OR+EX",--(DATOS!$G3951=CONFIG_METADATA!$B$4),IF(DATOS!$G3951="EX",1,IF(DATOS!$G3951="OR",--(COUNTIFS(nNIA,DATOS!$A3951,nCURSO,DATOS!$D3951,nESPEC,DATOS!$E3951,nASIG,DATOS!$I3951,nEVAL,"EX")=0),0))))</f>
      </c>
      <c r="H3951">
        <f>IF(DATOS!$G3951&lt;&gt;"EX",0,--(COUNTIFS(nNIA,DATOS!$A3951,nCURSO,DATOS!$D3951,nESPEC,DATOS!$E3951,nASIG,DATOS!$I3951,nEVAL,"OR")=0))</f>
      </c>
      <c r="I3951">
        <f>IF(DATOS!$I3951="","",IFERROR(VLOOKUP(DATOS!$I3951,CONFIG_ASIGNATURAS!$B$2:$J$91,9,FALSE()),""))</f>
      </c>
    </row>
    <row r="3952">
      <c r="F3952">
        <f>IF(DATOS!$A3952="","",DATOS!$A3952&amp;"|"&amp;DATOS!$D3952&amp;"|"&amp;DATOS!$E3952&amp;"|"&amp;DATOS!$I3952)</f>
      </c>
      <c r="G3952">
        <f>IF(DATOS!$A3952="",0,IF(CONFIG_METADATA!$B$4&lt;&gt;"OR+EX",--(DATOS!$G3952=CONFIG_METADATA!$B$4),IF(DATOS!$G3952="EX",1,IF(DATOS!$G3952="OR",--(COUNTIFS(nNIA,DATOS!$A3952,nCURSO,DATOS!$D3952,nESPEC,DATOS!$E3952,nASIG,DATOS!$I3952,nEVAL,"EX")=0),0))))</f>
      </c>
      <c r="H3952">
        <f>IF(DATOS!$G3952&lt;&gt;"EX",0,--(COUNTIFS(nNIA,DATOS!$A3952,nCURSO,DATOS!$D3952,nESPEC,DATOS!$E3952,nASIG,DATOS!$I3952,nEVAL,"OR")=0))</f>
      </c>
      <c r="I3952">
        <f>IF(DATOS!$I3952="","",IFERROR(VLOOKUP(DATOS!$I3952,CONFIG_ASIGNATURAS!$B$2:$J$91,9,FALSE()),""))</f>
      </c>
    </row>
    <row r="3953">
      <c r="F3953">
        <f>IF(DATOS!$A3953="","",DATOS!$A3953&amp;"|"&amp;DATOS!$D3953&amp;"|"&amp;DATOS!$E3953&amp;"|"&amp;DATOS!$I3953)</f>
      </c>
      <c r="G3953">
        <f>IF(DATOS!$A3953="",0,IF(CONFIG_METADATA!$B$4&lt;&gt;"OR+EX",--(DATOS!$G3953=CONFIG_METADATA!$B$4),IF(DATOS!$G3953="EX",1,IF(DATOS!$G3953="OR",--(COUNTIFS(nNIA,DATOS!$A3953,nCURSO,DATOS!$D3953,nESPEC,DATOS!$E3953,nASIG,DATOS!$I3953,nEVAL,"EX")=0),0))))</f>
      </c>
      <c r="H3953">
        <f>IF(DATOS!$G3953&lt;&gt;"EX",0,--(COUNTIFS(nNIA,DATOS!$A3953,nCURSO,DATOS!$D3953,nESPEC,DATOS!$E3953,nASIG,DATOS!$I3953,nEVAL,"OR")=0))</f>
      </c>
      <c r="I3953">
        <f>IF(DATOS!$I3953="","",IFERROR(VLOOKUP(DATOS!$I3953,CONFIG_ASIGNATURAS!$B$2:$J$91,9,FALSE()),""))</f>
      </c>
    </row>
    <row r="3954">
      <c r="F3954">
        <f>IF(DATOS!$A3954="","",DATOS!$A3954&amp;"|"&amp;DATOS!$D3954&amp;"|"&amp;DATOS!$E3954&amp;"|"&amp;DATOS!$I3954)</f>
      </c>
      <c r="G3954">
        <f>IF(DATOS!$A3954="",0,IF(CONFIG_METADATA!$B$4&lt;&gt;"OR+EX",--(DATOS!$G3954=CONFIG_METADATA!$B$4),IF(DATOS!$G3954="EX",1,IF(DATOS!$G3954="OR",--(COUNTIFS(nNIA,DATOS!$A3954,nCURSO,DATOS!$D3954,nESPEC,DATOS!$E3954,nASIG,DATOS!$I3954,nEVAL,"EX")=0),0))))</f>
      </c>
      <c r="H3954">
        <f>IF(DATOS!$G3954&lt;&gt;"EX",0,--(COUNTIFS(nNIA,DATOS!$A3954,nCURSO,DATOS!$D3954,nESPEC,DATOS!$E3954,nASIG,DATOS!$I3954,nEVAL,"OR")=0))</f>
      </c>
      <c r="I3954">
        <f>IF(DATOS!$I3954="","",IFERROR(VLOOKUP(DATOS!$I3954,CONFIG_ASIGNATURAS!$B$2:$J$91,9,FALSE()),""))</f>
      </c>
    </row>
    <row r="3955">
      <c r="F3955">
        <f>IF(DATOS!$A3955="","",DATOS!$A3955&amp;"|"&amp;DATOS!$D3955&amp;"|"&amp;DATOS!$E3955&amp;"|"&amp;DATOS!$I3955)</f>
      </c>
      <c r="G3955">
        <f>IF(DATOS!$A3955="",0,IF(CONFIG_METADATA!$B$4&lt;&gt;"OR+EX",--(DATOS!$G3955=CONFIG_METADATA!$B$4),IF(DATOS!$G3955="EX",1,IF(DATOS!$G3955="OR",--(COUNTIFS(nNIA,DATOS!$A3955,nCURSO,DATOS!$D3955,nESPEC,DATOS!$E3955,nASIG,DATOS!$I3955,nEVAL,"EX")=0),0))))</f>
      </c>
      <c r="H3955">
        <f>IF(DATOS!$G3955&lt;&gt;"EX",0,--(COUNTIFS(nNIA,DATOS!$A3955,nCURSO,DATOS!$D3955,nESPEC,DATOS!$E3955,nASIG,DATOS!$I3955,nEVAL,"OR")=0))</f>
      </c>
      <c r="I3955">
        <f>IF(DATOS!$I3955="","",IFERROR(VLOOKUP(DATOS!$I3955,CONFIG_ASIGNATURAS!$B$2:$J$91,9,FALSE()),""))</f>
      </c>
    </row>
    <row r="3956">
      <c r="F3956">
        <f>IF(DATOS!$A3956="","",DATOS!$A3956&amp;"|"&amp;DATOS!$D3956&amp;"|"&amp;DATOS!$E3956&amp;"|"&amp;DATOS!$I3956)</f>
      </c>
      <c r="G3956">
        <f>IF(DATOS!$A3956="",0,IF(CONFIG_METADATA!$B$4&lt;&gt;"OR+EX",--(DATOS!$G3956=CONFIG_METADATA!$B$4),IF(DATOS!$G3956="EX",1,IF(DATOS!$G3956="OR",--(COUNTIFS(nNIA,DATOS!$A3956,nCURSO,DATOS!$D3956,nESPEC,DATOS!$E3956,nASIG,DATOS!$I3956,nEVAL,"EX")=0),0))))</f>
      </c>
      <c r="H3956">
        <f>IF(DATOS!$G3956&lt;&gt;"EX",0,--(COUNTIFS(nNIA,DATOS!$A3956,nCURSO,DATOS!$D3956,nESPEC,DATOS!$E3956,nASIG,DATOS!$I3956,nEVAL,"OR")=0))</f>
      </c>
      <c r="I3956">
        <f>IF(DATOS!$I3956="","",IFERROR(VLOOKUP(DATOS!$I3956,CONFIG_ASIGNATURAS!$B$2:$J$91,9,FALSE()),""))</f>
      </c>
    </row>
    <row r="3957">
      <c r="F3957">
        <f>IF(DATOS!$A3957="","",DATOS!$A3957&amp;"|"&amp;DATOS!$D3957&amp;"|"&amp;DATOS!$E3957&amp;"|"&amp;DATOS!$I3957)</f>
      </c>
      <c r="G3957">
        <f>IF(DATOS!$A3957="",0,IF(CONFIG_METADATA!$B$4&lt;&gt;"OR+EX",--(DATOS!$G3957=CONFIG_METADATA!$B$4),IF(DATOS!$G3957="EX",1,IF(DATOS!$G3957="OR",--(COUNTIFS(nNIA,DATOS!$A3957,nCURSO,DATOS!$D3957,nESPEC,DATOS!$E3957,nASIG,DATOS!$I3957,nEVAL,"EX")=0),0))))</f>
      </c>
      <c r="H3957">
        <f>IF(DATOS!$G3957&lt;&gt;"EX",0,--(COUNTIFS(nNIA,DATOS!$A3957,nCURSO,DATOS!$D3957,nESPEC,DATOS!$E3957,nASIG,DATOS!$I3957,nEVAL,"OR")=0))</f>
      </c>
      <c r="I3957">
        <f>IF(DATOS!$I3957="","",IFERROR(VLOOKUP(DATOS!$I3957,CONFIG_ASIGNATURAS!$B$2:$J$91,9,FALSE()),""))</f>
      </c>
    </row>
    <row r="3958">
      <c r="F3958">
        <f>IF(DATOS!$A3958="","",DATOS!$A3958&amp;"|"&amp;DATOS!$D3958&amp;"|"&amp;DATOS!$E3958&amp;"|"&amp;DATOS!$I3958)</f>
      </c>
      <c r="G3958">
        <f>IF(DATOS!$A3958="",0,IF(CONFIG_METADATA!$B$4&lt;&gt;"OR+EX",--(DATOS!$G3958=CONFIG_METADATA!$B$4),IF(DATOS!$G3958="EX",1,IF(DATOS!$G3958="OR",--(COUNTIFS(nNIA,DATOS!$A3958,nCURSO,DATOS!$D3958,nESPEC,DATOS!$E3958,nASIG,DATOS!$I3958,nEVAL,"EX")=0),0))))</f>
      </c>
      <c r="H3958">
        <f>IF(DATOS!$G3958&lt;&gt;"EX",0,--(COUNTIFS(nNIA,DATOS!$A3958,nCURSO,DATOS!$D3958,nESPEC,DATOS!$E3958,nASIG,DATOS!$I3958,nEVAL,"OR")=0))</f>
      </c>
      <c r="I3958">
        <f>IF(DATOS!$I3958="","",IFERROR(VLOOKUP(DATOS!$I3958,CONFIG_ASIGNATURAS!$B$2:$J$91,9,FALSE()),""))</f>
      </c>
    </row>
    <row r="3959">
      <c r="F3959">
        <f>IF(DATOS!$A3959="","",DATOS!$A3959&amp;"|"&amp;DATOS!$D3959&amp;"|"&amp;DATOS!$E3959&amp;"|"&amp;DATOS!$I3959)</f>
      </c>
      <c r="G3959">
        <f>IF(DATOS!$A3959="",0,IF(CONFIG_METADATA!$B$4&lt;&gt;"OR+EX",--(DATOS!$G3959=CONFIG_METADATA!$B$4),IF(DATOS!$G3959="EX",1,IF(DATOS!$G3959="OR",--(COUNTIFS(nNIA,DATOS!$A3959,nCURSO,DATOS!$D3959,nESPEC,DATOS!$E3959,nASIG,DATOS!$I3959,nEVAL,"EX")=0),0))))</f>
      </c>
      <c r="H3959">
        <f>IF(DATOS!$G3959&lt;&gt;"EX",0,--(COUNTIFS(nNIA,DATOS!$A3959,nCURSO,DATOS!$D3959,nESPEC,DATOS!$E3959,nASIG,DATOS!$I3959,nEVAL,"OR")=0))</f>
      </c>
      <c r="I3959">
        <f>IF(DATOS!$I3959="","",IFERROR(VLOOKUP(DATOS!$I3959,CONFIG_ASIGNATURAS!$B$2:$J$91,9,FALSE()),""))</f>
      </c>
    </row>
    <row r="3960">
      <c r="F3960">
        <f>IF(DATOS!$A3960="","",DATOS!$A3960&amp;"|"&amp;DATOS!$D3960&amp;"|"&amp;DATOS!$E3960&amp;"|"&amp;DATOS!$I3960)</f>
      </c>
      <c r="G3960">
        <f>IF(DATOS!$A3960="",0,IF(CONFIG_METADATA!$B$4&lt;&gt;"OR+EX",--(DATOS!$G3960=CONFIG_METADATA!$B$4),IF(DATOS!$G3960="EX",1,IF(DATOS!$G3960="OR",--(COUNTIFS(nNIA,DATOS!$A3960,nCURSO,DATOS!$D3960,nESPEC,DATOS!$E3960,nASIG,DATOS!$I3960,nEVAL,"EX")=0),0))))</f>
      </c>
      <c r="H3960">
        <f>IF(DATOS!$G3960&lt;&gt;"EX",0,--(COUNTIFS(nNIA,DATOS!$A3960,nCURSO,DATOS!$D3960,nESPEC,DATOS!$E3960,nASIG,DATOS!$I3960,nEVAL,"OR")=0))</f>
      </c>
      <c r="I3960">
        <f>IF(DATOS!$I3960="","",IFERROR(VLOOKUP(DATOS!$I3960,CONFIG_ASIGNATURAS!$B$2:$J$91,9,FALSE()),""))</f>
      </c>
    </row>
    <row r="3961">
      <c r="F3961">
        <f>IF(DATOS!$A3961="","",DATOS!$A3961&amp;"|"&amp;DATOS!$D3961&amp;"|"&amp;DATOS!$E3961&amp;"|"&amp;DATOS!$I3961)</f>
      </c>
      <c r="G3961">
        <f>IF(DATOS!$A3961="",0,IF(CONFIG_METADATA!$B$4&lt;&gt;"OR+EX",--(DATOS!$G3961=CONFIG_METADATA!$B$4),IF(DATOS!$G3961="EX",1,IF(DATOS!$G3961="OR",--(COUNTIFS(nNIA,DATOS!$A3961,nCURSO,DATOS!$D3961,nESPEC,DATOS!$E3961,nASIG,DATOS!$I3961,nEVAL,"EX")=0),0))))</f>
      </c>
      <c r="H3961">
        <f>IF(DATOS!$G3961&lt;&gt;"EX",0,--(COUNTIFS(nNIA,DATOS!$A3961,nCURSO,DATOS!$D3961,nESPEC,DATOS!$E3961,nASIG,DATOS!$I3961,nEVAL,"OR")=0))</f>
      </c>
      <c r="I3961">
        <f>IF(DATOS!$I3961="","",IFERROR(VLOOKUP(DATOS!$I3961,CONFIG_ASIGNATURAS!$B$2:$J$91,9,FALSE()),""))</f>
      </c>
    </row>
    <row r="3962">
      <c r="F3962">
        <f>IF(DATOS!$A3962="","",DATOS!$A3962&amp;"|"&amp;DATOS!$D3962&amp;"|"&amp;DATOS!$E3962&amp;"|"&amp;DATOS!$I3962)</f>
      </c>
      <c r="G3962">
        <f>IF(DATOS!$A3962="",0,IF(CONFIG_METADATA!$B$4&lt;&gt;"OR+EX",--(DATOS!$G3962=CONFIG_METADATA!$B$4),IF(DATOS!$G3962="EX",1,IF(DATOS!$G3962="OR",--(COUNTIFS(nNIA,DATOS!$A3962,nCURSO,DATOS!$D3962,nESPEC,DATOS!$E3962,nASIG,DATOS!$I3962,nEVAL,"EX")=0),0))))</f>
      </c>
      <c r="H3962">
        <f>IF(DATOS!$G3962&lt;&gt;"EX",0,--(COUNTIFS(nNIA,DATOS!$A3962,nCURSO,DATOS!$D3962,nESPEC,DATOS!$E3962,nASIG,DATOS!$I3962,nEVAL,"OR")=0))</f>
      </c>
      <c r="I3962">
        <f>IF(DATOS!$I3962="","",IFERROR(VLOOKUP(DATOS!$I3962,CONFIG_ASIGNATURAS!$B$2:$J$91,9,FALSE()),""))</f>
      </c>
    </row>
    <row r="3963">
      <c r="F3963">
        <f>IF(DATOS!$A3963="","",DATOS!$A3963&amp;"|"&amp;DATOS!$D3963&amp;"|"&amp;DATOS!$E3963&amp;"|"&amp;DATOS!$I3963)</f>
      </c>
      <c r="G3963">
        <f>IF(DATOS!$A3963="",0,IF(CONFIG_METADATA!$B$4&lt;&gt;"OR+EX",--(DATOS!$G3963=CONFIG_METADATA!$B$4),IF(DATOS!$G3963="EX",1,IF(DATOS!$G3963="OR",--(COUNTIFS(nNIA,DATOS!$A3963,nCURSO,DATOS!$D3963,nESPEC,DATOS!$E3963,nASIG,DATOS!$I3963,nEVAL,"EX")=0),0))))</f>
      </c>
      <c r="H3963">
        <f>IF(DATOS!$G3963&lt;&gt;"EX",0,--(COUNTIFS(nNIA,DATOS!$A3963,nCURSO,DATOS!$D3963,nESPEC,DATOS!$E3963,nASIG,DATOS!$I3963,nEVAL,"OR")=0))</f>
      </c>
      <c r="I3963">
        <f>IF(DATOS!$I3963="","",IFERROR(VLOOKUP(DATOS!$I3963,CONFIG_ASIGNATURAS!$B$2:$J$91,9,FALSE()),""))</f>
      </c>
    </row>
    <row r="3964">
      <c r="F3964">
        <f>IF(DATOS!$A3964="","",DATOS!$A3964&amp;"|"&amp;DATOS!$D3964&amp;"|"&amp;DATOS!$E3964&amp;"|"&amp;DATOS!$I3964)</f>
      </c>
      <c r="G3964">
        <f>IF(DATOS!$A3964="",0,IF(CONFIG_METADATA!$B$4&lt;&gt;"OR+EX",--(DATOS!$G3964=CONFIG_METADATA!$B$4),IF(DATOS!$G3964="EX",1,IF(DATOS!$G3964="OR",--(COUNTIFS(nNIA,DATOS!$A3964,nCURSO,DATOS!$D3964,nESPEC,DATOS!$E3964,nASIG,DATOS!$I3964,nEVAL,"EX")=0),0))))</f>
      </c>
      <c r="H3964">
        <f>IF(DATOS!$G3964&lt;&gt;"EX",0,--(COUNTIFS(nNIA,DATOS!$A3964,nCURSO,DATOS!$D3964,nESPEC,DATOS!$E3964,nASIG,DATOS!$I3964,nEVAL,"OR")=0))</f>
      </c>
      <c r="I3964">
        <f>IF(DATOS!$I3964="","",IFERROR(VLOOKUP(DATOS!$I3964,CONFIG_ASIGNATURAS!$B$2:$J$91,9,FALSE()),""))</f>
      </c>
    </row>
    <row r="3965">
      <c r="F3965">
        <f>IF(DATOS!$A3965="","",DATOS!$A3965&amp;"|"&amp;DATOS!$D3965&amp;"|"&amp;DATOS!$E3965&amp;"|"&amp;DATOS!$I3965)</f>
      </c>
      <c r="G3965">
        <f>IF(DATOS!$A3965="",0,IF(CONFIG_METADATA!$B$4&lt;&gt;"OR+EX",--(DATOS!$G3965=CONFIG_METADATA!$B$4),IF(DATOS!$G3965="EX",1,IF(DATOS!$G3965="OR",--(COUNTIFS(nNIA,DATOS!$A3965,nCURSO,DATOS!$D3965,nESPEC,DATOS!$E3965,nASIG,DATOS!$I3965,nEVAL,"EX")=0),0))))</f>
      </c>
      <c r="H3965">
        <f>IF(DATOS!$G3965&lt;&gt;"EX",0,--(COUNTIFS(nNIA,DATOS!$A3965,nCURSO,DATOS!$D3965,nESPEC,DATOS!$E3965,nASIG,DATOS!$I3965,nEVAL,"OR")=0))</f>
      </c>
      <c r="I3965">
        <f>IF(DATOS!$I3965="","",IFERROR(VLOOKUP(DATOS!$I3965,CONFIG_ASIGNATURAS!$B$2:$J$91,9,FALSE()),""))</f>
      </c>
    </row>
    <row r="3966">
      <c r="F3966">
        <f>IF(DATOS!$A3966="","",DATOS!$A3966&amp;"|"&amp;DATOS!$D3966&amp;"|"&amp;DATOS!$E3966&amp;"|"&amp;DATOS!$I3966)</f>
      </c>
      <c r="G3966">
        <f>IF(DATOS!$A3966="",0,IF(CONFIG_METADATA!$B$4&lt;&gt;"OR+EX",--(DATOS!$G3966=CONFIG_METADATA!$B$4),IF(DATOS!$G3966="EX",1,IF(DATOS!$G3966="OR",--(COUNTIFS(nNIA,DATOS!$A3966,nCURSO,DATOS!$D3966,nESPEC,DATOS!$E3966,nASIG,DATOS!$I3966,nEVAL,"EX")=0),0))))</f>
      </c>
      <c r="H3966">
        <f>IF(DATOS!$G3966&lt;&gt;"EX",0,--(COUNTIFS(nNIA,DATOS!$A3966,nCURSO,DATOS!$D3966,nESPEC,DATOS!$E3966,nASIG,DATOS!$I3966,nEVAL,"OR")=0))</f>
      </c>
      <c r="I3966">
        <f>IF(DATOS!$I3966="","",IFERROR(VLOOKUP(DATOS!$I3966,CONFIG_ASIGNATURAS!$B$2:$J$91,9,FALSE()),""))</f>
      </c>
    </row>
    <row r="3967">
      <c r="F3967">
        <f>IF(DATOS!$A3967="","",DATOS!$A3967&amp;"|"&amp;DATOS!$D3967&amp;"|"&amp;DATOS!$E3967&amp;"|"&amp;DATOS!$I3967)</f>
      </c>
      <c r="G3967">
        <f>IF(DATOS!$A3967="",0,IF(CONFIG_METADATA!$B$4&lt;&gt;"OR+EX",--(DATOS!$G3967=CONFIG_METADATA!$B$4),IF(DATOS!$G3967="EX",1,IF(DATOS!$G3967="OR",--(COUNTIFS(nNIA,DATOS!$A3967,nCURSO,DATOS!$D3967,nESPEC,DATOS!$E3967,nASIG,DATOS!$I3967,nEVAL,"EX")=0),0))))</f>
      </c>
      <c r="H3967">
        <f>IF(DATOS!$G3967&lt;&gt;"EX",0,--(COUNTIFS(nNIA,DATOS!$A3967,nCURSO,DATOS!$D3967,nESPEC,DATOS!$E3967,nASIG,DATOS!$I3967,nEVAL,"OR")=0))</f>
      </c>
      <c r="I3967">
        <f>IF(DATOS!$I3967="","",IFERROR(VLOOKUP(DATOS!$I3967,CONFIG_ASIGNATURAS!$B$2:$J$91,9,FALSE()),""))</f>
      </c>
    </row>
    <row r="3968">
      <c r="F3968">
        <f>IF(DATOS!$A3968="","",DATOS!$A3968&amp;"|"&amp;DATOS!$D3968&amp;"|"&amp;DATOS!$E3968&amp;"|"&amp;DATOS!$I3968)</f>
      </c>
      <c r="G3968">
        <f>IF(DATOS!$A3968="",0,IF(CONFIG_METADATA!$B$4&lt;&gt;"OR+EX",--(DATOS!$G3968=CONFIG_METADATA!$B$4),IF(DATOS!$G3968="EX",1,IF(DATOS!$G3968="OR",--(COUNTIFS(nNIA,DATOS!$A3968,nCURSO,DATOS!$D3968,nESPEC,DATOS!$E3968,nASIG,DATOS!$I3968,nEVAL,"EX")=0),0))))</f>
      </c>
      <c r="H3968">
        <f>IF(DATOS!$G3968&lt;&gt;"EX",0,--(COUNTIFS(nNIA,DATOS!$A3968,nCURSO,DATOS!$D3968,nESPEC,DATOS!$E3968,nASIG,DATOS!$I3968,nEVAL,"OR")=0))</f>
      </c>
      <c r="I3968">
        <f>IF(DATOS!$I3968="","",IFERROR(VLOOKUP(DATOS!$I3968,CONFIG_ASIGNATURAS!$B$2:$J$91,9,FALSE()),""))</f>
      </c>
    </row>
    <row r="3969">
      <c r="F3969">
        <f>IF(DATOS!$A3969="","",DATOS!$A3969&amp;"|"&amp;DATOS!$D3969&amp;"|"&amp;DATOS!$E3969&amp;"|"&amp;DATOS!$I3969)</f>
      </c>
      <c r="G3969">
        <f>IF(DATOS!$A3969="",0,IF(CONFIG_METADATA!$B$4&lt;&gt;"OR+EX",--(DATOS!$G3969=CONFIG_METADATA!$B$4),IF(DATOS!$G3969="EX",1,IF(DATOS!$G3969="OR",--(COUNTIFS(nNIA,DATOS!$A3969,nCURSO,DATOS!$D3969,nESPEC,DATOS!$E3969,nASIG,DATOS!$I3969,nEVAL,"EX")=0),0))))</f>
      </c>
      <c r="H3969">
        <f>IF(DATOS!$G3969&lt;&gt;"EX",0,--(COUNTIFS(nNIA,DATOS!$A3969,nCURSO,DATOS!$D3969,nESPEC,DATOS!$E3969,nASIG,DATOS!$I3969,nEVAL,"OR")=0))</f>
      </c>
      <c r="I3969">
        <f>IF(DATOS!$I3969="","",IFERROR(VLOOKUP(DATOS!$I3969,CONFIG_ASIGNATURAS!$B$2:$J$91,9,FALSE()),""))</f>
      </c>
    </row>
    <row r="3970">
      <c r="F3970">
        <f>IF(DATOS!$A3970="","",DATOS!$A3970&amp;"|"&amp;DATOS!$D3970&amp;"|"&amp;DATOS!$E3970&amp;"|"&amp;DATOS!$I3970)</f>
      </c>
      <c r="G3970">
        <f>IF(DATOS!$A3970="",0,IF(CONFIG_METADATA!$B$4&lt;&gt;"OR+EX",--(DATOS!$G3970=CONFIG_METADATA!$B$4),IF(DATOS!$G3970="EX",1,IF(DATOS!$G3970="OR",--(COUNTIFS(nNIA,DATOS!$A3970,nCURSO,DATOS!$D3970,nESPEC,DATOS!$E3970,nASIG,DATOS!$I3970,nEVAL,"EX")=0),0))))</f>
      </c>
      <c r="H3970">
        <f>IF(DATOS!$G3970&lt;&gt;"EX",0,--(COUNTIFS(nNIA,DATOS!$A3970,nCURSO,DATOS!$D3970,nESPEC,DATOS!$E3970,nASIG,DATOS!$I3970,nEVAL,"OR")=0))</f>
      </c>
      <c r="I3970">
        <f>IF(DATOS!$I3970="","",IFERROR(VLOOKUP(DATOS!$I3970,CONFIG_ASIGNATURAS!$B$2:$J$91,9,FALSE()),""))</f>
      </c>
    </row>
    <row r="3971">
      <c r="F3971">
        <f>IF(DATOS!$A3971="","",DATOS!$A3971&amp;"|"&amp;DATOS!$D3971&amp;"|"&amp;DATOS!$E3971&amp;"|"&amp;DATOS!$I3971)</f>
      </c>
      <c r="G3971">
        <f>IF(DATOS!$A3971="",0,IF(CONFIG_METADATA!$B$4&lt;&gt;"OR+EX",--(DATOS!$G3971=CONFIG_METADATA!$B$4),IF(DATOS!$G3971="EX",1,IF(DATOS!$G3971="OR",--(COUNTIFS(nNIA,DATOS!$A3971,nCURSO,DATOS!$D3971,nESPEC,DATOS!$E3971,nASIG,DATOS!$I3971,nEVAL,"EX")=0),0))))</f>
      </c>
      <c r="H3971">
        <f>IF(DATOS!$G3971&lt;&gt;"EX",0,--(COUNTIFS(nNIA,DATOS!$A3971,nCURSO,DATOS!$D3971,nESPEC,DATOS!$E3971,nASIG,DATOS!$I3971,nEVAL,"OR")=0))</f>
      </c>
      <c r="I3971">
        <f>IF(DATOS!$I3971="","",IFERROR(VLOOKUP(DATOS!$I3971,CONFIG_ASIGNATURAS!$B$2:$J$91,9,FALSE()),""))</f>
      </c>
    </row>
    <row r="3972">
      <c r="F3972">
        <f>IF(DATOS!$A3972="","",DATOS!$A3972&amp;"|"&amp;DATOS!$D3972&amp;"|"&amp;DATOS!$E3972&amp;"|"&amp;DATOS!$I3972)</f>
      </c>
      <c r="G3972">
        <f>IF(DATOS!$A3972="",0,IF(CONFIG_METADATA!$B$4&lt;&gt;"OR+EX",--(DATOS!$G3972=CONFIG_METADATA!$B$4),IF(DATOS!$G3972="EX",1,IF(DATOS!$G3972="OR",--(COUNTIFS(nNIA,DATOS!$A3972,nCURSO,DATOS!$D3972,nESPEC,DATOS!$E3972,nASIG,DATOS!$I3972,nEVAL,"EX")=0),0))))</f>
      </c>
      <c r="H3972">
        <f>IF(DATOS!$G3972&lt;&gt;"EX",0,--(COUNTIFS(nNIA,DATOS!$A3972,nCURSO,DATOS!$D3972,nESPEC,DATOS!$E3972,nASIG,DATOS!$I3972,nEVAL,"OR")=0))</f>
      </c>
      <c r="I3972">
        <f>IF(DATOS!$I3972="","",IFERROR(VLOOKUP(DATOS!$I3972,CONFIG_ASIGNATURAS!$B$2:$J$91,9,FALSE()),""))</f>
      </c>
    </row>
    <row r="3973">
      <c r="F3973">
        <f>IF(DATOS!$A3973="","",DATOS!$A3973&amp;"|"&amp;DATOS!$D3973&amp;"|"&amp;DATOS!$E3973&amp;"|"&amp;DATOS!$I3973)</f>
      </c>
      <c r="G3973">
        <f>IF(DATOS!$A3973="",0,IF(CONFIG_METADATA!$B$4&lt;&gt;"OR+EX",--(DATOS!$G3973=CONFIG_METADATA!$B$4),IF(DATOS!$G3973="EX",1,IF(DATOS!$G3973="OR",--(COUNTIFS(nNIA,DATOS!$A3973,nCURSO,DATOS!$D3973,nESPEC,DATOS!$E3973,nASIG,DATOS!$I3973,nEVAL,"EX")=0),0))))</f>
      </c>
      <c r="H3973">
        <f>IF(DATOS!$G3973&lt;&gt;"EX",0,--(COUNTIFS(nNIA,DATOS!$A3973,nCURSO,DATOS!$D3973,nESPEC,DATOS!$E3973,nASIG,DATOS!$I3973,nEVAL,"OR")=0))</f>
      </c>
      <c r="I3973">
        <f>IF(DATOS!$I3973="","",IFERROR(VLOOKUP(DATOS!$I3973,CONFIG_ASIGNATURAS!$B$2:$J$91,9,FALSE()),""))</f>
      </c>
    </row>
    <row r="3974">
      <c r="F3974">
        <f>IF(DATOS!$A3974="","",DATOS!$A3974&amp;"|"&amp;DATOS!$D3974&amp;"|"&amp;DATOS!$E3974&amp;"|"&amp;DATOS!$I3974)</f>
      </c>
      <c r="G3974">
        <f>IF(DATOS!$A3974="",0,IF(CONFIG_METADATA!$B$4&lt;&gt;"OR+EX",--(DATOS!$G3974=CONFIG_METADATA!$B$4),IF(DATOS!$G3974="EX",1,IF(DATOS!$G3974="OR",--(COUNTIFS(nNIA,DATOS!$A3974,nCURSO,DATOS!$D3974,nESPEC,DATOS!$E3974,nASIG,DATOS!$I3974,nEVAL,"EX")=0),0))))</f>
      </c>
      <c r="H3974">
        <f>IF(DATOS!$G3974&lt;&gt;"EX",0,--(COUNTIFS(nNIA,DATOS!$A3974,nCURSO,DATOS!$D3974,nESPEC,DATOS!$E3974,nASIG,DATOS!$I3974,nEVAL,"OR")=0))</f>
      </c>
      <c r="I3974">
        <f>IF(DATOS!$I3974="","",IFERROR(VLOOKUP(DATOS!$I3974,CONFIG_ASIGNATURAS!$B$2:$J$91,9,FALSE()),""))</f>
      </c>
    </row>
    <row r="3975">
      <c r="F3975">
        <f>IF(DATOS!$A3975="","",DATOS!$A3975&amp;"|"&amp;DATOS!$D3975&amp;"|"&amp;DATOS!$E3975&amp;"|"&amp;DATOS!$I3975)</f>
      </c>
      <c r="G3975">
        <f>IF(DATOS!$A3975="",0,IF(CONFIG_METADATA!$B$4&lt;&gt;"OR+EX",--(DATOS!$G3975=CONFIG_METADATA!$B$4),IF(DATOS!$G3975="EX",1,IF(DATOS!$G3975="OR",--(COUNTIFS(nNIA,DATOS!$A3975,nCURSO,DATOS!$D3975,nESPEC,DATOS!$E3975,nASIG,DATOS!$I3975,nEVAL,"EX")=0),0))))</f>
      </c>
      <c r="H3975">
        <f>IF(DATOS!$G3975&lt;&gt;"EX",0,--(COUNTIFS(nNIA,DATOS!$A3975,nCURSO,DATOS!$D3975,nESPEC,DATOS!$E3975,nASIG,DATOS!$I3975,nEVAL,"OR")=0))</f>
      </c>
      <c r="I3975">
        <f>IF(DATOS!$I3975="","",IFERROR(VLOOKUP(DATOS!$I3975,CONFIG_ASIGNATURAS!$B$2:$J$91,9,FALSE()),""))</f>
      </c>
    </row>
    <row r="3976">
      <c r="F3976">
        <f>IF(DATOS!$A3976="","",DATOS!$A3976&amp;"|"&amp;DATOS!$D3976&amp;"|"&amp;DATOS!$E3976&amp;"|"&amp;DATOS!$I3976)</f>
      </c>
      <c r="G3976">
        <f>IF(DATOS!$A3976="",0,IF(CONFIG_METADATA!$B$4&lt;&gt;"OR+EX",--(DATOS!$G3976=CONFIG_METADATA!$B$4),IF(DATOS!$G3976="EX",1,IF(DATOS!$G3976="OR",--(COUNTIFS(nNIA,DATOS!$A3976,nCURSO,DATOS!$D3976,nESPEC,DATOS!$E3976,nASIG,DATOS!$I3976,nEVAL,"EX")=0),0))))</f>
      </c>
      <c r="H3976">
        <f>IF(DATOS!$G3976&lt;&gt;"EX",0,--(COUNTIFS(nNIA,DATOS!$A3976,nCURSO,DATOS!$D3976,nESPEC,DATOS!$E3976,nASIG,DATOS!$I3976,nEVAL,"OR")=0))</f>
      </c>
      <c r="I3976">
        <f>IF(DATOS!$I3976="","",IFERROR(VLOOKUP(DATOS!$I3976,CONFIG_ASIGNATURAS!$B$2:$J$91,9,FALSE()),""))</f>
      </c>
    </row>
    <row r="3977">
      <c r="F3977">
        <f>IF(DATOS!$A3977="","",DATOS!$A3977&amp;"|"&amp;DATOS!$D3977&amp;"|"&amp;DATOS!$E3977&amp;"|"&amp;DATOS!$I3977)</f>
      </c>
      <c r="G3977">
        <f>IF(DATOS!$A3977="",0,IF(CONFIG_METADATA!$B$4&lt;&gt;"OR+EX",--(DATOS!$G3977=CONFIG_METADATA!$B$4),IF(DATOS!$G3977="EX",1,IF(DATOS!$G3977="OR",--(COUNTIFS(nNIA,DATOS!$A3977,nCURSO,DATOS!$D3977,nESPEC,DATOS!$E3977,nASIG,DATOS!$I3977,nEVAL,"EX")=0),0))))</f>
      </c>
      <c r="H3977">
        <f>IF(DATOS!$G3977&lt;&gt;"EX",0,--(COUNTIFS(nNIA,DATOS!$A3977,nCURSO,DATOS!$D3977,nESPEC,DATOS!$E3977,nASIG,DATOS!$I3977,nEVAL,"OR")=0))</f>
      </c>
      <c r="I3977">
        <f>IF(DATOS!$I3977="","",IFERROR(VLOOKUP(DATOS!$I3977,CONFIG_ASIGNATURAS!$B$2:$J$91,9,FALSE()),""))</f>
      </c>
    </row>
    <row r="3978">
      <c r="F3978">
        <f>IF(DATOS!$A3978="","",DATOS!$A3978&amp;"|"&amp;DATOS!$D3978&amp;"|"&amp;DATOS!$E3978&amp;"|"&amp;DATOS!$I3978)</f>
      </c>
      <c r="G3978">
        <f>IF(DATOS!$A3978="",0,IF(CONFIG_METADATA!$B$4&lt;&gt;"OR+EX",--(DATOS!$G3978=CONFIG_METADATA!$B$4),IF(DATOS!$G3978="EX",1,IF(DATOS!$G3978="OR",--(COUNTIFS(nNIA,DATOS!$A3978,nCURSO,DATOS!$D3978,nESPEC,DATOS!$E3978,nASIG,DATOS!$I3978,nEVAL,"EX")=0),0))))</f>
      </c>
      <c r="H3978">
        <f>IF(DATOS!$G3978&lt;&gt;"EX",0,--(COUNTIFS(nNIA,DATOS!$A3978,nCURSO,DATOS!$D3978,nESPEC,DATOS!$E3978,nASIG,DATOS!$I3978,nEVAL,"OR")=0))</f>
      </c>
      <c r="I3978">
        <f>IF(DATOS!$I3978="","",IFERROR(VLOOKUP(DATOS!$I3978,CONFIG_ASIGNATURAS!$B$2:$J$91,9,FALSE()),""))</f>
      </c>
    </row>
    <row r="3979">
      <c r="F3979">
        <f>IF(DATOS!$A3979="","",DATOS!$A3979&amp;"|"&amp;DATOS!$D3979&amp;"|"&amp;DATOS!$E3979&amp;"|"&amp;DATOS!$I3979)</f>
      </c>
      <c r="G3979">
        <f>IF(DATOS!$A3979="",0,IF(CONFIG_METADATA!$B$4&lt;&gt;"OR+EX",--(DATOS!$G3979=CONFIG_METADATA!$B$4),IF(DATOS!$G3979="EX",1,IF(DATOS!$G3979="OR",--(COUNTIFS(nNIA,DATOS!$A3979,nCURSO,DATOS!$D3979,nESPEC,DATOS!$E3979,nASIG,DATOS!$I3979,nEVAL,"EX")=0),0))))</f>
      </c>
      <c r="H3979">
        <f>IF(DATOS!$G3979&lt;&gt;"EX",0,--(COUNTIFS(nNIA,DATOS!$A3979,nCURSO,DATOS!$D3979,nESPEC,DATOS!$E3979,nASIG,DATOS!$I3979,nEVAL,"OR")=0))</f>
      </c>
      <c r="I3979">
        <f>IF(DATOS!$I3979="","",IFERROR(VLOOKUP(DATOS!$I3979,CONFIG_ASIGNATURAS!$B$2:$J$91,9,FALSE()),""))</f>
      </c>
    </row>
    <row r="3980">
      <c r="F3980">
        <f>IF(DATOS!$A3980="","",DATOS!$A3980&amp;"|"&amp;DATOS!$D3980&amp;"|"&amp;DATOS!$E3980&amp;"|"&amp;DATOS!$I3980)</f>
      </c>
      <c r="G3980">
        <f>IF(DATOS!$A3980="",0,IF(CONFIG_METADATA!$B$4&lt;&gt;"OR+EX",--(DATOS!$G3980=CONFIG_METADATA!$B$4),IF(DATOS!$G3980="EX",1,IF(DATOS!$G3980="OR",--(COUNTIFS(nNIA,DATOS!$A3980,nCURSO,DATOS!$D3980,nESPEC,DATOS!$E3980,nASIG,DATOS!$I3980,nEVAL,"EX")=0),0))))</f>
      </c>
      <c r="H3980">
        <f>IF(DATOS!$G3980&lt;&gt;"EX",0,--(COUNTIFS(nNIA,DATOS!$A3980,nCURSO,DATOS!$D3980,nESPEC,DATOS!$E3980,nASIG,DATOS!$I3980,nEVAL,"OR")=0))</f>
      </c>
      <c r="I3980">
        <f>IF(DATOS!$I3980="","",IFERROR(VLOOKUP(DATOS!$I3980,CONFIG_ASIGNATURAS!$B$2:$J$91,9,FALSE()),""))</f>
      </c>
    </row>
    <row r="3981">
      <c r="F3981">
        <f>IF(DATOS!$A3981="","",DATOS!$A3981&amp;"|"&amp;DATOS!$D3981&amp;"|"&amp;DATOS!$E3981&amp;"|"&amp;DATOS!$I3981)</f>
      </c>
      <c r="G3981">
        <f>IF(DATOS!$A3981="",0,IF(CONFIG_METADATA!$B$4&lt;&gt;"OR+EX",--(DATOS!$G3981=CONFIG_METADATA!$B$4),IF(DATOS!$G3981="EX",1,IF(DATOS!$G3981="OR",--(COUNTIFS(nNIA,DATOS!$A3981,nCURSO,DATOS!$D3981,nESPEC,DATOS!$E3981,nASIG,DATOS!$I3981,nEVAL,"EX")=0),0))))</f>
      </c>
      <c r="H3981">
        <f>IF(DATOS!$G3981&lt;&gt;"EX",0,--(COUNTIFS(nNIA,DATOS!$A3981,nCURSO,DATOS!$D3981,nESPEC,DATOS!$E3981,nASIG,DATOS!$I3981,nEVAL,"OR")=0))</f>
      </c>
      <c r="I3981">
        <f>IF(DATOS!$I3981="","",IFERROR(VLOOKUP(DATOS!$I3981,CONFIG_ASIGNATURAS!$B$2:$J$91,9,FALSE()),""))</f>
      </c>
    </row>
    <row r="3982">
      <c r="F3982">
        <f>IF(DATOS!$A3982="","",DATOS!$A3982&amp;"|"&amp;DATOS!$D3982&amp;"|"&amp;DATOS!$E3982&amp;"|"&amp;DATOS!$I3982)</f>
      </c>
      <c r="G3982">
        <f>IF(DATOS!$A3982="",0,IF(CONFIG_METADATA!$B$4&lt;&gt;"OR+EX",--(DATOS!$G3982=CONFIG_METADATA!$B$4),IF(DATOS!$G3982="EX",1,IF(DATOS!$G3982="OR",--(COUNTIFS(nNIA,DATOS!$A3982,nCURSO,DATOS!$D3982,nESPEC,DATOS!$E3982,nASIG,DATOS!$I3982,nEVAL,"EX")=0),0))))</f>
      </c>
      <c r="H3982">
        <f>IF(DATOS!$G3982&lt;&gt;"EX",0,--(COUNTIFS(nNIA,DATOS!$A3982,nCURSO,DATOS!$D3982,nESPEC,DATOS!$E3982,nASIG,DATOS!$I3982,nEVAL,"OR")=0))</f>
      </c>
      <c r="I3982">
        <f>IF(DATOS!$I3982="","",IFERROR(VLOOKUP(DATOS!$I3982,CONFIG_ASIGNATURAS!$B$2:$J$91,9,FALSE()),""))</f>
      </c>
    </row>
    <row r="3983">
      <c r="F3983">
        <f>IF(DATOS!$A3983="","",DATOS!$A3983&amp;"|"&amp;DATOS!$D3983&amp;"|"&amp;DATOS!$E3983&amp;"|"&amp;DATOS!$I3983)</f>
      </c>
      <c r="G3983">
        <f>IF(DATOS!$A3983="",0,IF(CONFIG_METADATA!$B$4&lt;&gt;"OR+EX",--(DATOS!$G3983=CONFIG_METADATA!$B$4),IF(DATOS!$G3983="EX",1,IF(DATOS!$G3983="OR",--(COUNTIFS(nNIA,DATOS!$A3983,nCURSO,DATOS!$D3983,nESPEC,DATOS!$E3983,nASIG,DATOS!$I3983,nEVAL,"EX")=0),0))))</f>
      </c>
      <c r="H3983">
        <f>IF(DATOS!$G3983&lt;&gt;"EX",0,--(COUNTIFS(nNIA,DATOS!$A3983,nCURSO,DATOS!$D3983,nESPEC,DATOS!$E3983,nASIG,DATOS!$I3983,nEVAL,"OR")=0))</f>
      </c>
      <c r="I3983">
        <f>IF(DATOS!$I3983="","",IFERROR(VLOOKUP(DATOS!$I3983,CONFIG_ASIGNATURAS!$B$2:$J$91,9,FALSE()),""))</f>
      </c>
    </row>
    <row r="3984">
      <c r="F3984">
        <f>IF(DATOS!$A3984="","",DATOS!$A3984&amp;"|"&amp;DATOS!$D3984&amp;"|"&amp;DATOS!$E3984&amp;"|"&amp;DATOS!$I3984)</f>
      </c>
      <c r="G3984">
        <f>IF(DATOS!$A3984="",0,IF(CONFIG_METADATA!$B$4&lt;&gt;"OR+EX",--(DATOS!$G3984=CONFIG_METADATA!$B$4),IF(DATOS!$G3984="EX",1,IF(DATOS!$G3984="OR",--(COUNTIFS(nNIA,DATOS!$A3984,nCURSO,DATOS!$D3984,nESPEC,DATOS!$E3984,nASIG,DATOS!$I3984,nEVAL,"EX")=0),0))))</f>
      </c>
      <c r="H3984">
        <f>IF(DATOS!$G3984&lt;&gt;"EX",0,--(COUNTIFS(nNIA,DATOS!$A3984,nCURSO,DATOS!$D3984,nESPEC,DATOS!$E3984,nASIG,DATOS!$I3984,nEVAL,"OR")=0))</f>
      </c>
      <c r="I3984">
        <f>IF(DATOS!$I3984="","",IFERROR(VLOOKUP(DATOS!$I3984,CONFIG_ASIGNATURAS!$B$2:$J$91,9,FALSE()),""))</f>
      </c>
    </row>
    <row r="3985">
      <c r="F3985">
        <f>IF(DATOS!$A3985="","",DATOS!$A3985&amp;"|"&amp;DATOS!$D3985&amp;"|"&amp;DATOS!$E3985&amp;"|"&amp;DATOS!$I3985)</f>
      </c>
      <c r="G3985">
        <f>IF(DATOS!$A3985="",0,IF(CONFIG_METADATA!$B$4&lt;&gt;"OR+EX",--(DATOS!$G3985=CONFIG_METADATA!$B$4),IF(DATOS!$G3985="EX",1,IF(DATOS!$G3985="OR",--(COUNTIFS(nNIA,DATOS!$A3985,nCURSO,DATOS!$D3985,nESPEC,DATOS!$E3985,nASIG,DATOS!$I3985,nEVAL,"EX")=0),0))))</f>
      </c>
      <c r="H3985">
        <f>IF(DATOS!$G3985&lt;&gt;"EX",0,--(COUNTIFS(nNIA,DATOS!$A3985,nCURSO,DATOS!$D3985,nESPEC,DATOS!$E3985,nASIG,DATOS!$I3985,nEVAL,"OR")=0))</f>
      </c>
      <c r="I3985">
        <f>IF(DATOS!$I3985="","",IFERROR(VLOOKUP(DATOS!$I3985,CONFIG_ASIGNATURAS!$B$2:$J$91,9,FALSE()),""))</f>
      </c>
    </row>
    <row r="3986">
      <c r="F3986">
        <f>IF(DATOS!$A3986="","",DATOS!$A3986&amp;"|"&amp;DATOS!$D3986&amp;"|"&amp;DATOS!$E3986&amp;"|"&amp;DATOS!$I3986)</f>
      </c>
      <c r="G3986">
        <f>IF(DATOS!$A3986="",0,IF(CONFIG_METADATA!$B$4&lt;&gt;"OR+EX",--(DATOS!$G3986=CONFIG_METADATA!$B$4),IF(DATOS!$G3986="EX",1,IF(DATOS!$G3986="OR",--(COUNTIFS(nNIA,DATOS!$A3986,nCURSO,DATOS!$D3986,nESPEC,DATOS!$E3986,nASIG,DATOS!$I3986,nEVAL,"EX")=0),0))))</f>
      </c>
      <c r="H3986">
        <f>IF(DATOS!$G3986&lt;&gt;"EX",0,--(COUNTIFS(nNIA,DATOS!$A3986,nCURSO,DATOS!$D3986,nESPEC,DATOS!$E3986,nASIG,DATOS!$I3986,nEVAL,"OR")=0))</f>
      </c>
      <c r="I3986">
        <f>IF(DATOS!$I3986="","",IFERROR(VLOOKUP(DATOS!$I3986,CONFIG_ASIGNATURAS!$B$2:$J$91,9,FALSE()),""))</f>
      </c>
    </row>
    <row r="3987">
      <c r="F3987">
        <f>IF(DATOS!$A3987="","",DATOS!$A3987&amp;"|"&amp;DATOS!$D3987&amp;"|"&amp;DATOS!$E3987&amp;"|"&amp;DATOS!$I3987)</f>
      </c>
      <c r="G3987">
        <f>IF(DATOS!$A3987="",0,IF(CONFIG_METADATA!$B$4&lt;&gt;"OR+EX",--(DATOS!$G3987=CONFIG_METADATA!$B$4),IF(DATOS!$G3987="EX",1,IF(DATOS!$G3987="OR",--(COUNTIFS(nNIA,DATOS!$A3987,nCURSO,DATOS!$D3987,nESPEC,DATOS!$E3987,nASIG,DATOS!$I3987,nEVAL,"EX")=0),0))))</f>
      </c>
      <c r="H3987">
        <f>IF(DATOS!$G3987&lt;&gt;"EX",0,--(COUNTIFS(nNIA,DATOS!$A3987,nCURSO,DATOS!$D3987,nESPEC,DATOS!$E3987,nASIG,DATOS!$I3987,nEVAL,"OR")=0))</f>
      </c>
      <c r="I3987">
        <f>IF(DATOS!$I3987="","",IFERROR(VLOOKUP(DATOS!$I3987,CONFIG_ASIGNATURAS!$B$2:$J$91,9,FALSE()),""))</f>
      </c>
    </row>
    <row r="3988">
      <c r="F3988">
        <f>IF(DATOS!$A3988="","",DATOS!$A3988&amp;"|"&amp;DATOS!$D3988&amp;"|"&amp;DATOS!$E3988&amp;"|"&amp;DATOS!$I3988)</f>
      </c>
      <c r="G3988">
        <f>IF(DATOS!$A3988="",0,IF(CONFIG_METADATA!$B$4&lt;&gt;"OR+EX",--(DATOS!$G3988=CONFIG_METADATA!$B$4),IF(DATOS!$G3988="EX",1,IF(DATOS!$G3988="OR",--(COUNTIFS(nNIA,DATOS!$A3988,nCURSO,DATOS!$D3988,nESPEC,DATOS!$E3988,nASIG,DATOS!$I3988,nEVAL,"EX")=0),0))))</f>
      </c>
      <c r="H3988">
        <f>IF(DATOS!$G3988&lt;&gt;"EX",0,--(COUNTIFS(nNIA,DATOS!$A3988,nCURSO,DATOS!$D3988,nESPEC,DATOS!$E3988,nASIG,DATOS!$I3988,nEVAL,"OR")=0))</f>
      </c>
      <c r="I3988">
        <f>IF(DATOS!$I3988="","",IFERROR(VLOOKUP(DATOS!$I3988,CONFIG_ASIGNATURAS!$B$2:$J$91,9,FALSE()),""))</f>
      </c>
    </row>
    <row r="3989">
      <c r="F3989">
        <f>IF(DATOS!$A3989="","",DATOS!$A3989&amp;"|"&amp;DATOS!$D3989&amp;"|"&amp;DATOS!$E3989&amp;"|"&amp;DATOS!$I3989)</f>
      </c>
      <c r="G3989">
        <f>IF(DATOS!$A3989="",0,IF(CONFIG_METADATA!$B$4&lt;&gt;"OR+EX",--(DATOS!$G3989=CONFIG_METADATA!$B$4),IF(DATOS!$G3989="EX",1,IF(DATOS!$G3989="OR",--(COUNTIFS(nNIA,DATOS!$A3989,nCURSO,DATOS!$D3989,nESPEC,DATOS!$E3989,nASIG,DATOS!$I3989,nEVAL,"EX")=0),0))))</f>
      </c>
      <c r="H3989">
        <f>IF(DATOS!$G3989&lt;&gt;"EX",0,--(COUNTIFS(nNIA,DATOS!$A3989,nCURSO,DATOS!$D3989,nESPEC,DATOS!$E3989,nASIG,DATOS!$I3989,nEVAL,"OR")=0))</f>
      </c>
      <c r="I3989">
        <f>IF(DATOS!$I3989="","",IFERROR(VLOOKUP(DATOS!$I3989,CONFIG_ASIGNATURAS!$B$2:$J$91,9,FALSE()),""))</f>
      </c>
    </row>
    <row r="3990">
      <c r="F3990">
        <f>IF(DATOS!$A3990="","",DATOS!$A3990&amp;"|"&amp;DATOS!$D3990&amp;"|"&amp;DATOS!$E3990&amp;"|"&amp;DATOS!$I3990)</f>
      </c>
      <c r="G3990">
        <f>IF(DATOS!$A3990="",0,IF(CONFIG_METADATA!$B$4&lt;&gt;"OR+EX",--(DATOS!$G3990=CONFIG_METADATA!$B$4),IF(DATOS!$G3990="EX",1,IF(DATOS!$G3990="OR",--(COUNTIFS(nNIA,DATOS!$A3990,nCURSO,DATOS!$D3990,nESPEC,DATOS!$E3990,nASIG,DATOS!$I3990,nEVAL,"EX")=0),0))))</f>
      </c>
      <c r="H3990">
        <f>IF(DATOS!$G3990&lt;&gt;"EX",0,--(COUNTIFS(nNIA,DATOS!$A3990,nCURSO,DATOS!$D3990,nESPEC,DATOS!$E3990,nASIG,DATOS!$I3990,nEVAL,"OR")=0))</f>
      </c>
      <c r="I3990">
        <f>IF(DATOS!$I3990="","",IFERROR(VLOOKUP(DATOS!$I3990,CONFIG_ASIGNATURAS!$B$2:$J$91,9,FALSE()),""))</f>
      </c>
    </row>
    <row r="3991">
      <c r="F3991">
        <f>IF(DATOS!$A3991="","",DATOS!$A3991&amp;"|"&amp;DATOS!$D3991&amp;"|"&amp;DATOS!$E3991&amp;"|"&amp;DATOS!$I3991)</f>
      </c>
      <c r="G3991">
        <f>IF(DATOS!$A3991="",0,IF(CONFIG_METADATA!$B$4&lt;&gt;"OR+EX",--(DATOS!$G3991=CONFIG_METADATA!$B$4),IF(DATOS!$G3991="EX",1,IF(DATOS!$G3991="OR",--(COUNTIFS(nNIA,DATOS!$A3991,nCURSO,DATOS!$D3991,nESPEC,DATOS!$E3991,nASIG,DATOS!$I3991,nEVAL,"EX")=0),0))))</f>
      </c>
      <c r="H3991">
        <f>IF(DATOS!$G3991&lt;&gt;"EX",0,--(COUNTIFS(nNIA,DATOS!$A3991,nCURSO,DATOS!$D3991,nESPEC,DATOS!$E3991,nASIG,DATOS!$I3991,nEVAL,"OR")=0))</f>
      </c>
      <c r="I3991">
        <f>IF(DATOS!$I3991="","",IFERROR(VLOOKUP(DATOS!$I3991,CONFIG_ASIGNATURAS!$B$2:$J$91,9,FALSE()),""))</f>
      </c>
    </row>
    <row r="3992">
      <c r="F3992">
        <f>IF(DATOS!$A3992="","",DATOS!$A3992&amp;"|"&amp;DATOS!$D3992&amp;"|"&amp;DATOS!$E3992&amp;"|"&amp;DATOS!$I3992)</f>
      </c>
      <c r="G3992">
        <f>IF(DATOS!$A3992="",0,IF(CONFIG_METADATA!$B$4&lt;&gt;"OR+EX",--(DATOS!$G3992=CONFIG_METADATA!$B$4),IF(DATOS!$G3992="EX",1,IF(DATOS!$G3992="OR",--(COUNTIFS(nNIA,DATOS!$A3992,nCURSO,DATOS!$D3992,nESPEC,DATOS!$E3992,nASIG,DATOS!$I3992,nEVAL,"EX")=0),0))))</f>
      </c>
      <c r="H3992">
        <f>IF(DATOS!$G3992&lt;&gt;"EX",0,--(COUNTIFS(nNIA,DATOS!$A3992,nCURSO,DATOS!$D3992,nESPEC,DATOS!$E3992,nASIG,DATOS!$I3992,nEVAL,"OR")=0))</f>
      </c>
      <c r="I3992">
        <f>IF(DATOS!$I3992="","",IFERROR(VLOOKUP(DATOS!$I3992,CONFIG_ASIGNATURAS!$B$2:$J$91,9,FALSE()),""))</f>
      </c>
    </row>
    <row r="3993">
      <c r="F3993">
        <f>IF(DATOS!$A3993="","",DATOS!$A3993&amp;"|"&amp;DATOS!$D3993&amp;"|"&amp;DATOS!$E3993&amp;"|"&amp;DATOS!$I3993)</f>
      </c>
      <c r="G3993">
        <f>IF(DATOS!$A3993="",0,IF(CONFIG_METADATA!$B$4&lt;&gt;"OR+EX",--(DATOS!$G3993=CONFIG_METADATA!$B$4),IF(DATOS!$G3993="EX",1,IF(DATOS!$G3993="OR",--(COUNTIFS(nNIA,DATOS!$A3993,nCURSO,DATOS!$D3993,nESPEC,DATOS!$E3993,nASIG,DATOS!$I3993,nEVAL,"EX")=0),0))))</f>
      </c>
      <c r="H3993">
        <f>IF(DATOS!$G3993&lt;&gt;"EX",0,--(COUNTIFS(nNIA,DATOS!$A3993,nCURSO,DATOS!$D3993,nESPEC,DATOS!$E3993,nASIG,DATOS!$I3993,nEVAL,"OR")=0))</f>
      </c>
      <c r="I3993">
        <f>IF(DATOS!$I3993="","",IFERROR(VLOOKUP(DATOS!$I3993,CONFIG_ASIGNATURAS!$B$2:$J$91,9,FALSE()),""))</f>
      </c>
    </row>
    <row r="3994">
      <c r="F3994">
        <f>IF(DATOS!$A3994="","",DATOS!$A3994&amp;"|"&amp;DATOS!$D3994&amp;"|"&amp;DATOS!$E3994&amp;"|"&amp;DATOS!$I3994)</f>
      </c>
      <c r="G3994">
        <f>IF(DATOS!$A3994="",0,IF(CONFIG_METADATA!$B$4&lt;&gt;"OR+EX",--(DATOS!$G3994=CONFIG_METADATA!$B$4),IF(DATOS!$G3994="EX",1,IF(DATOS!$G3994="OR",--(COUNTIFS(nNIA,DATOS!$A3994,nCURSO,DATOS!$D3994,nESPEC,DATOS!$E3994,nASIG,DATOS!$I3994,nEVAL,"EX")=0),0))))</f>
      </c>
      <c r="H3994">
        <f>IF(DATOS!$G3994&lt;&gt;"EX",0,--(COUNTIFS(nNIA,DATOS!$A3994,nCURSO,DATOS!$D3994,nESPEC,DATOS!$E3994,nASIG,DATOS!$I3994,nEVAL,"OR")=0))</f>
      </c>
      <c r="I3994">
        <f>IF(DATOS!$I3994="","",IFERROR(VLOOKUP(DATOS!$I3994,CONFIG_ASIGNATURAS!$B$2:$J$91,9,FALSE()),""))</f>
      </c>
    </row>
    <row r="3995">
      <c r="F3995">
        <f>IF(DATOS!$A3995="","",DATOS!$A3995&amp;"|"&amp;DATOS!$D3995&amp;"|"&amp;DATOS!$E3995&amp;"|"&amp;DATOS!$I3995)</f>
      </c>
      <c r="G3995">
        <f>IF(DATOS!$A3995="",0,IF(CONFIG_METADATA!$B$4&lt;&gt;"OR+EX",--(DATOS!$G3995=CONFIG_METADATA!$B$4),IF(DATOS!$G3995="EX",1,IF(DATOS!$G3995="OR",--(COUNTIFS(nNIA,DATOS!$A3995,nCURSO,DATOS!$D3995,nESPEC,DATOS!$E3995,nASIG,DATOS!$I3995,nEVAL,"EX")=0),0))))</f>
      </c>
      <c r="H3995">
        <f>IF(DATOS!$G3995&lt;&gt;"EX",0,--(COUNTIFS(nNIA,DATOS!$A3995,nCURSO,DATOS!$D3995,nESPEC,DATOS!$E3995,nASIG,DATOS!$I3995,nEVAL,"OR")=0))</f>
      </c>
      <c r="I3995">
        <f>IF(DATOS!$I3995="","",IFERROR(VLOOKUP(DATOS!$I3995,CONFIG_ASIGNATURAS!$B$2:$J$91,9,FALSE()),""))</f>
      </c>
    </row>
    <row r="3996">
      <c r="F3996">
        <f>IF(DATOS!$A3996="","",DATOS!$A3996&amp;"|"&amp;DATOS!$D3996&amp;"|"&amp;DATOS!$E3996&amp;"|"&amp;DATOS!$I3996)</f>
      </c>
      <c r="G3996">
        <f>IF(DATOS!$A3996="",0,IF(CONFIG_METADATA!$B$4&lt;&gt;"OR+EX",--(DATOS!$G3996=CONFIG_METADATA!$B$4),IF(DATOS!$G3996="EX",1,IF(DATOS!$G3996="OR",--(COUNTIFS(nNIA,DATOS!$A3996,nCURSO,DATOS!$D3996,nESPEC,DATOS!$E3996,nASIG,DATOS!$I3996,nEVAL,"EX")=0),0))))</f>
      </c>
      <c r="H3996">
        <f>IF(DATOS!$G3996&lt;&gt;"EX",0,--(COUNTIFS(nNIA,DATOS!$A3996,nCURSO,DATOS!$D3996,nESPEC,DATOS!$E3996,nASIG,DATOS!$I3996,nEVAL,"OR")=0))</f>
      </c>
      <c r="I3996">
        <f>IF(DATOS!$I3996="","",IFERROR(VLOOKUP(DATOS!$I3996,CONFIG_ASIGNATURAS!$B$2:$J$91,9,FALSE()),""))</f>
      </c>
    </row>
    <row r="3997">
      <c r="F3997">
        <f>IF(DATOS!$A3997="","",DATOS!$A3997&amp;"|"&amp;DATOS!$D3997&amp;"|"&amp;DATOS!$E3997&amp;"|"&amp;DATOS!$I3997)</f>
      </c>
      <c r="G3997">
        <f>IF(DATOS!$A3997="",0,IF(CONFIG_METADATA!$B$4&lt;&gt;"OR+EX",--(DATOS!$G3997=CONFIG_METADATA!$B$4),IF(DATOS!$G3997="EX",1,IF(DATOS!$G3997="OR",--(COUNTIFS(nNIA,DATOS!$A3997,nCURSO,DATOS!$D3997,nESPEC,DATOS!$E3997,nASIG,DATOS!$I3997,nEVAL,"EX")=0),0))))</f>
      </c>
      <c r="H3997">
        <f>IF(DATOS!$G3997&lt;&gt;"EX",0,--(COUNTIFS(nNIA,DATOS!$A3997,nCURSO,DATOS!$D3997,nESPEC,DATOS!$E3997,nASIG,DATOS!$I3997,nEVAL,"OR")=0))</f>
      </c>
      <c r="I3997">
        <f>IF(DATOS!$I3997="","",IFERROR(VLOOKUP(DATOS!$I3997,CONFIG_ASIGNATURAS!$B$2:$J$91,9,FALSE()),""))</f>
      </c>
    </row>
    <row r="3998">
      <c r="F3998">
        <f>IF(DATOS!$A3998="","",DATOS!$A3998&amp;"|"&amp;DATOS!$D3998&amp;"|"&amp;DATOS!$E3998&amp;"|"&amp;DATOS!$I3998)</f>
      </c>
      <c r="G3998">
        <f>IF(DATOS!$A3998="",0,IF(CONFIG_METADATA!$B$4&lt;&gt;"OR+EX",--(DATOS!$G3998=CONFIG_METADATA!$B$4),IF(DATOS!$G3998="EX",1,IF(DATOS!$G3998="OR",--(COUNTIFS(nNIA,DATOS!$A3998,nCURSO,DATOS!$D3998,nESPEC,DATOS!$E3998,nASIG,DATOS!$I3998,nEVAL,"EX")=0),0))))</f>
      </c>
      <c r="H3998">
        <f>IF(DATOS!$G3998&lt;&gt;"EX",0,--(COUNTIFS(nNIA,DATOS!$A3998,nCURSO,DATOS!$D3998,nESPEC,DATOS!$E3998,nASIG,DATOS!$I3998,nEVAL,"OR")=0))</f>
      </c>
      <c r="I3998">
        <f>IF(DATOS!$I3998="","",IFERROR(VLOOKUP(DATOS!$I3998,CONFIG_ASIGNATURAS!$B$2:$J$91,9,FALSE()),""))</f>
      </c>
    </row>
    <row r="3999">
      <c r="F3999">
        <f>IF(DATOS!$A3999="","",DATOS!$A3999&amp;"|"&amp;DATOS!$D3999&amp;"|"&amp;DATOS!$E3999&amp;"|"&amp;DATOS!$I3999)</f>
      </c>
      <c r="G3999">
        <f>IF(DATOS!$A3999="",0,IF(CONFIG_METADATA!$B$4&lt;&gt;"OR+EX",--(DATOS!$G3999=CONFIG_METADATA!$B$4),IF(DATOS!$G3999="EX",1,IF(DATOS!$G3999="OR",--(COUNTIFS(nNIA,DATOS!$A3999,nCURSO,DATOS!$D3999,nESPEC,DATOS!$E3999,nASIG,DATOS!$I3999,nEVAL,"EX")=0),0))))</f>
      </c>
      <c r="H3999">
        <f>IF(DATOS!$G3999&lt;&gt;"EX",0,--(COUNTIFS(nNIA,DATOS!$A3999,nCURSO,DATOS!$D3999,nESPEC,DATOS!$E3999,nASIG,DATOS!$I3999,nEVAL,"OR")=0))</f>
      </c>
      <c r="I3999">
        <f>IF(DATOS!$I3999="","",IFERROR(VLOOKUP(DATOS!$I3999,CONFIG_ASIGNATURAS!$B$2:$J$91,9,FALSE()),""))</f>
      </c>
    </row>
    <row r="4000">
      <c r="F4000">
        <f>IF(DATOS!$A4000="","",DATOS!$A4000&amp;"|"&amp;DATOS!$D4000&amp;"|"&amp;DATOS!$E4000&amp;"|"&amp;DATOS!$I4000)</f>
      </c>
      <c r="G4000">
        <f>IF(DATOS!$A4000="",0,IF(CONFIG_METADATA!$B$4&lt;&gt;"OR+EX",--(DATOS!$G4000=CONFIG_METADATA!$B$4),IF(DATOS!$G4000="EX",1,IF(DATOS!$G4000="OR",--(COUNTIFS(nNIA,DATOS!$A4000,nCURSO,DATOS!$D4000,nESPEC,DATOS!$E4000,nASIG,DATOS!$I4000,nEVAL,"EX")=0),0))))</f>
      </c>
      <c r="H4000">
        <f>IF(DATOS!$G4000&lt;&gt;"EX",0,--(COUNTIFS(nNIA,DATOS!$A4000,nCURSO,DATOS!$D4000,nESPEC,DATOS!$E4000,nASIG,DATOS!$I4000,nEVAL,"OR")=0))</f>
      </c>
      <c r="I4000">
        <f>IF(DATOS!$I4000="","",IFERROR(VLOOKUP(DATOS!$I4000,CONFIG_ASIGNATURAS!$B$2:$J$91,9,FALSE()),""))</f>
      </c>
    </row>
    <row r="4001">
      <c r="F4001">
        <f>IF(DATOS!$A4001="","",DATOS!$A4001&amp;"|"&amp;DATOS!$D4001&amp;"|"&amp;DATOS!$E4001&amp;"|"&amp;DATOS!$I4001)</f>
      </c>
      <c r="G4001">
        <f>IF(DATOS!$A4001="",0,IF(CONFIG_METADATA!$B$4&lt;&gt;"OR+EX",--(DATOS!$G4001=CONFIG_METADATA!$B$4),IF(DATOS!$G4001="EX",1,IF(DATOS!$G4001="OR",--(COUNTIFS(nNIA,DATOS!$A4001,nCURSO,DATOS!$D4001,nESPEC,DATOS!$E4001,nASIG,DATOS!$I4001,nEVAL,"EX")=0),0))))</f>
      </c>
      <c r="H4001">
        <f>IF(DATOS!$G4001&lt;&gt;"EX",0,--(COUNTIFS(nNIA,DATOS!$A4001,nCURSO,DATOS!$D4001,nESPEC,DATOS!$E4001,nASIG,DATOS!$I4001,nEVAL,"OR")=0))</f>
      </c>
      <c r="I4001">
        <f>IF(DATOS!$I4001="","",IFERROR(VLOOKUP(DATOS!$I4001,CONFIG_ASIGNATURAS!$B$2:$J$91,9,FALSE()),""))</f>
      </c>
    </row>
    <row r="4002">
      <c r="F4002">
        <f>IF(DATOS!$A4002="","",DATOS!$A4002&amp;"|"&amp;DATOS!$D4002&amp;"|"&amp;DATOS!$E4002&amp;"|"&amp;DATOS!$I4002)</f>
      </c>
      <c r="G4002">
        <f>IF(DATOS!$A4002="",0,IF(CONFIG_METADATA!$B$4&lt;&gt;"OR+EX",--(DATOS!$G4002=CONFIG_METADATA!$B$4),IF(DATOS!$G4002="EX",1,IF(DATOS!$G4002="OR",--(COUNTIFS(nNIA,DATOS!$A4002,nCURSO,DATOS!$D4002,nESPEC,DATOS!$E4002,nASIG,DATOS!$I4002,nEVAL,"EX")=0),0))))</f>
      </c>
      <c r="H4002">
        <f>IF(DATOS!$G4002&lt;&gt;"EX",0,--(COUNTIFS(nNIA,DATOS!$A4002,nCURSO,DATOS!$D4002,nESPEC,DATOS!$E4002,nASIG,DATOS!$I4002,nEVAL,"OR")=0))</f>
      </c>
      <c r="I4002">
        <f>IF(DATOS!$I4002="","",IFERROR(VLOOKUP(DATOS!$I4002,CONFIG_ASIGNATURAS!$B$2:$J$91,9,FALSE()),""))</f>
      </c>
    </row>
    <row r="4003">
      <c r="F4003">
        <f>IF(DATOS!$A4003="","",DATOS!$A4003&amp;"|"&amp;DATOS!$D4003&amp;"|"&amp;DATOS!$E4003&amp;"|"&amp;DATOS!$I4003)</f>
      </c>
      <c r="G4003">
        <f>IF(DATOS!$A4003="",0,IF(CONFIG_METADATA!$B$4&lt;&gt;"OR+EX",--(DATOS!$G4003=CONFIG_METADATA!$B$4),IF(DATOS!$G4003="EX",1,IF(DATOS!$G4003="OR",--(COUNTIFS(nNIA,DATOS!$A4003,nCURSO,DATOS!$D4003,nESPEC,DATOS!$E4003,nASIG,DATOS!$I4003,nEVAL,"EX")=0),0))))</f>
      </c>
      <c r="H4003">
        <f>IF(DATOS!$G4003&lt;&gt;"EX",0,--(COUNTIFS(nNIA,DATOS!$A4003,nCURSO,DATOS!$D4003,nESPEC,DATOS!$E4003,nASIG,DATOS!$I4003,nEVAL,"OR")=0))</f>
      </c>
      <c r="I4003">
        <f>IF(DATOS!$I4003="","",IFERROR(VLOOKUP(DATOS!$I4003,CONFIG_ASIGNATURAS!$B$2:$J$91,9,FALSE()),""))</f>
      </c>
    </row>
    <row r="4004">
      <c r="F4004">
        <f>IF(DATOS!$A4004="","",DATOS!$A4004&amp;"|"&amp;DATOS!$D4004&amp;"|"&amp;DATOS!$E4004&amp;"|"&amp;DATOS!$I4004)</f>
      </c>
      <c r="G4004">
        <f>IF(DATOS!$A4004="",0,IF(CONFIG_METADATA!$B$4&lt;&gt;"OR+EX",--(DATOS!$G4004=CONFIG_METADATA!$B$4),IF(DATOS!$G4004="EX",1,IF(DATOS!$G4004="OR",--(COUNTIFS(nNIA,DATOS!$A4004,nCURSO,DATOS!$D4004,nESPEC,DATOS!$E4004,nASIG,DATOS!$I4004,nEVAL,"EX")=0),0))))</f>
      </c>
      <c r="H4004">
        <f>IF(DATOS!$G4004&lt;&gt;"EX",0,--(COUNTIFS(nNIA,DATOS!$A4004,nCURSO,DATOS!$D4004,nESPEC,DATOS!$E4004,nASIG,DATOS!$I4004,nEVAL,"OR")=0))</f>
      </c>
      <c r="I4004">
        <f>IF(DATOS!$I4004="","",IFERROR(VLOOKUP(DATOS!$I4004,CONFIG_ASIGNATURAS!$B$2:$J$91,9,FALSE()),""))</f>
      </c>
    </row>
    <row r="4005">
      <c r="F4005">
        <f>IF(DATOS!$A4005="","",DATOS!$A4005&amp;"|"&amp;DATOS!$D4005&amp;"|"&amp;DATOS!$E4005&amp;"|"&amp;DATOS!$I4005)</f>
      </c>
      <c r="G4005">
        <f>IF(DATOS!$A4005="",0,IF(CONFIG_METADATA!$B$4&lt;&gt;"OR+EX",--(DATOS!$G4005=CONFIG_METADATA!$B$4),IF(DATOS!$G4005="EX",1,IF(DATOS!$G4005="OR",--(COUNTIFS(nNIA,DATOS!$A4005,nCURSO,DATOS!$D4005,nESPEC,DATOS!$E4005,nASIG,DATOS!$I4005,nEVAL,"EX")=0),0))))</f>
      </c>
      <c r="H4005">
        <f>IF(DATOS!$G4005&lt;&gt;"EX",0,--(COUNTIFS(nNIA,DATOS!$A4005,nCURSO,DATOS!$D4005,nESPEC,DATOS!$E4005,nASIG,DATOS!$I4005,nEVAL,"OR")=0))</f>
      </c>
      <c r="I4005">
        <f>IF(DATOS!$I4005="","",IFERROR(VLOOKUP(DATOS!$I4005,CONFIG_ASIGNATURAS!$B$2:$J$91,9,FALSE()),""))</f>
      </c>
    </row>
    <row r="4006">
      <c r="F4006">
        <f>IF(DATOS!$A4006="","",DATOS!$A4006&amp;"|"&amp;DATOS!$D4006&amp;"|"&amp;DATOS!$E4006&amp;"|"&amp;DATOS!$I4006)</f>
      </c>
      <c r="G4006">
        <f>IF(DATOS!$A4006="",0,IF(CONFIG_METADATA!$B$4&lt;&gt;"OR+EX",--(DATOS!$G4006=CONFIG_METADATA!$B$4),IF(DATOS!$G4006="EX",1,IF(DATOS!$G4006="OR",--(COUNTIFS(nNIA,DATOS!$A4006,nCURSO,DATOS!$D4006,nESPEC,DATOS!$E4006,nASIG,DATOS!$I4006,nEVAL,"EX")=0),0))))</f>
      </c>
      <c r="H4006">
        <f>IF(DATOS!$G4006&lt;&gt;"EX",0,--(COUNTIFS(nNIA,DATOS!$A4006,nCURSO,DATOS!$D4006,nESPEC,DATOS!$E4006,nASIG,DATOS!$I4006,nEVAL,"OR")=0))</f>
      </c>
      <c r="I4006">
        <f>IF(DATOS!$I4006="","",IFERROR(VLOOKUP(DATOS!$I4006,CONFIG_ASIGNATURAS!$B$2:$J$91,9,FALSE()),""))</f>
      </c>
    </row>
    <row r="4007">
      <c r="F4007">
        <f>IF(DATOS!$A4007="","",DATOS!$A4007&amp;"|"&amp;DATOS!$D4007&amp;"|"&amp;DATOS!$E4007&amp;"|"&amp;DATOS!$I4007)</f>
      </c>
      <c r="G4007">
        <f>IF(DATOS!$A4007="",0,IF(CONFIG_METADATA!$B$4&lt;&gt;"OR+EX",--(DATOS!$G4007=CONFIG_METADATA!$B$4),IF(DATOS!$G4007="EX",1,IF(DATOS!$G4007="OR",--(COUNTIFS(nNIA,DATOS!$A4007,nCURSO,DATOS!$D4007,nESPEC,DATOS!$E4007,nASIG,DATOS!$I4007,nEVAL,"EX")=0),0))))</f>
      </c>
      <c r="H4007">
        <f>IF(DATOS!$G4007&lt;&gt;"EX",0,--(COUNTIFS(nNIA,DATOS!$A4007,nCURSO,DATOS!$D4007,nESPEC,DATOS!$E4007,nASIG,DATOS!$I4007,nEVAL,"OR")=0))</f>
      </c>
      <c r="I4007">
        <f>IF(DATOS!$I4007="","",IFERROR(VLOOKUP(DATOS!$I4007,CONFIG_ASIGNATURAS!$B$2:$J$91,9,FALSE()),""))</f>
      </c>
    </row>
    <row r="4008">
      <c r="F4008">
        <f>IF(DATOS!$A4008="","",DATOS!$A4008&amp;"|"&amp;DATOS!$D4008&amp;"|"&amp;DATOS!$E4008&amp;"|"&amp;DATOS!$I4008)</f>
      </c>
      <c r="G4008">
        <f>IF(DATOS!$A4008="",0,IF(CONFIG_METADATA!$B$4&lt;&gt;"OR+EX",--(DATOS!$G4008=CONFIG_METADATA!$B$4),IF(DATOS!$G4008="EX",1,IF(DATOS!$G4008="OR",--(COUNTIFS(nNIA,DATOS!$A4008,nCURSO,DATOS!$D4008,nESPEC,DATOS!$E4008,nASIG,DATOS!$I4008,nEVAL,"EX")=0),0))))</f>
      </c>
      <c r="H4008">
        <f>IF(DATOS!$G4008&lt;&gt;"EX",0,--(COUNTIFS(nNIA,DATOS!$A4008,nCURSO,DATOS!$D4008,nESPEC,DATOS!$E4008,nASIG,DATOS!$I4008,nEVAL,"OR")=0))</f>
      </c>
      <c r="I4008">
        <f>IF(DATOS!$I4008="","",IFERROR(VLOOKUP(DATOS!$I4008,CONFIG_ASIGNATURAS!$B$2:$J$91,9,FALSE()),""))</f>
      </c>
    </row>
    <row r="4009">
      <c r="F4009">
        <f>IF(DATOS!$A4009="","",DATOS!$A4009&amp;"|"&amp;DATOS!$D4009&amp;"|"&amp;DATOS!$E4009&amp;"|"&amp;DATOS!$I4009)</f>
      </c>
      <c r="G4009">
        <f>IF(DATOS!$A4009="",0,IF(CONFIG_METADATA!$B$4&lt;&gt;"OR+EX",--(DATOS!$G4009=CONFIG_METADATA!$B$4),IF(DATOS!$G4009="EX",1,IF(DATOS!$G4009="OR",--(COUNTIFS(nNIA,DATOS!$A4009,nCURSO,DATOS!$D4009,nESPEC,DATOS!$E4009,nASIG,DATOS!$I4009,nEVAL,"EX")=0),0))))</f>
      </c>
      <c r="H4009">
        <f>IF(DATOS!$G4009&lt;&gt;"EX",0,--(COUNTIFS(nNIA,DATOS!$A4009,nCURSO,DATOS!$D4009,nESPEC,DATOS!$E4009,nASIG,DATOS!$I4009,nEVAL,"OR")=0))</f>
      </c>
      <c r="I4009">
        <f>IF(DATOS!$I4009="","",IFERROR(VLOOKUP(DATOS!$I4009,CONFIG_ASIGNATURAS!$B$2:$J$91,9,FALSE()),""))</f>
      </c>
    </row>
    <row r="4010">
      <c r="F4010">
        <f>IF(DATOS!$A4010="","",DATOS!$A4010&amp;"|"&amp;DATOS!$D4010&amp;"|"&amp;DATOS!$E4010&amp;"|"&amp;DATOS!$I4010)</f>
      </c>
      <c r="G4010">
        <f>IF(DATOS!$A4010="",0,IF(CONFIG_METADATA!$B$4&lt;&gt;"OR+EX",--(DATOS!$G4010=CONFIG_METADATA!$B$4),IF(DATOS!$G4010="EX",1,IF(DATOS!$G4010="OR",--(COUNTIFS(nNIA,DATOS!$A4010,nCURSO,DATOS!$D4010,nESPEC,DATOS!$E4010,nASIG,DATOS!$I4010,nEVAL,"EX")=0),0))))</f>
      </c>
      <c r="H4010">
        <f>IF(DATOS!$G4010&lt;&gt;"EX",0,--(COUNTIFS(nNIA,DATOS!$A4010,nCURSO,DATOS!$D4010,nESPEC,DATOS!$E4010,nASIG,DATOS!$I4010,nEVAL,"OR")=0))</f>
      </c>
      <c r="I4010">
        <f>IF(DATOS!$I4010="","",IFERROR(VLOOKUP(DATOS!$I4010,CONFIG_ASIGNATURAS!$B$2:$J$91,9,FALSE()),""))</f>
      </c>
    </row>
    <row r="4011">
      <c r="F4011">
        <f>IF(DATOS!$A4011="","",DATOS!$A4011&amp;"|"&amp;DATOS!$D4011&amp;"|"&amp;DATOS!$E4011&amp;"|"&amp;DATOS!$I4011)</f>
      </c>
      <c r="G4011">
        <f>IF(DATOS!$A4011="",0,IF(CONFIG_METADATA!$B$4&lt;&gt;"OR+EX",--(DATOS!$G4011=CONFIG_METADATA!$B$4),IF(DATOS!$G4011="EX",1,IF(DATOS!$G4011="OR",--(COUNTIFS(nNIA,DATOS!$A4011,nCURSO,DATOS!$D4011,nESPEC,DATOS!$E4011,nASIG,DATOS!$I4011,nEVAL,"EX")=0),0))))</f>
      </c>
      <c r="H4011">
        <f>IF(DATOS!$G4011&lt;&gt;"EX",0,--(COUNTIFS(nNIA,DATOS!$A4011,nCURSO,DATOS!$D4011,nESPEC,DATOS!$E4011,nASIG,DATOS!$I4011,nEVAL,"OR")=0))</f>
      </c>
      <c r="I4011">
        <f>IF(DATOS!$I4011="","",IFERROR(VLOOKUP(DATOS!$I4011,CONFIG_ASIGNATURAS!$B$2:$J$91,9,FALSE()),""))</f>
      </c>
    </row>
    <row r="4012">
      <c r="F4012">
        <f>IF(DATOS!$A4012="","",DATOS!$A4012&amp;"|"&amp;DATOS!$D4012&amp;"|"&amp;DATOS!$E4012&amp;"|"&amp;DATOS!$I4012)</f>
      </c>
      <c r="G4012">
        <f>IF(DATOS!$A4012="",0,IF(CONFIG_METADATA!$B$4&lt;&gt;"OR+EX",--(DATOS!$G4012=CONFIG_METADATA!$B$4),IF(DATOS!$G4012="EX",1,IF(DATOS!$G4012="OR",--(COUNTIFS(nNIA,DATOS!$A4012,nCURSO,DATOS!$D4012,nESPEC,DATOS!$E4012,nASIG,DATOS!$I4012,nEVAL,"EX")=0),0))))</f>
      </c>
      <c r="H4012">
        <f>IF(DATOS!$G4012&lt;&gt;"EX",0,--(COUNTIFS(nNIA,DATOS!$A4012,nCURSO,DATOS!$D4012,nESPEC,DATOS!$E4012,nASIG,DATOS!$I4012,nEVAL,"OR")=0))</f>
      </c>
      <c r="I4012">
        <f>IF(DATOS!$I4012="","",IFERROR(VLOOKUP(DATOS!$I4012,CONFIG_ASIGNATURAS!$B$2:$J$91,9,FALSE()),""))</f>
      </c>
    </row>
    <row r="4013">
      <c r="F4013">
        <f>IF(DATOS!$A4013="","",DATOS!$A4013&amp;"|"&amp;DATOS!$D4013&amp;"|"&amp;DATOS!$E4013&amp;"|"&amp;DATOS!$I4013)</f>
      </c>
      <c r="G4013">
        <f>IF(DATOS!$A4013="",0,IF(CONFIG_METADATA!$B$4&lt;&gt;"OR+EX",--(DATOS!$G4013=CONFIG_METADATA!$B$4),IF(DATOS!$G4013="EX",1,IF(DATOS!$G4013="OR",--(COUNTIFS(nNIA,DATOS!$A4013,nCURSO,DATOS!$D4013,nESPEC,DATOS!$E4013,nASIG,DATOS!$I4013,nEVAL,"EX")=0),0))))</f>
      </c>
      <c r="H4013">
        <f>IF(DATOS!$G4013&lt;&gt;"EX",0,--(COUNTIFS(nNIA,DATOS!$A4013,nCURSO,DATOS!$D4013,nESPEC,DATOS!$E4013,nASIG,DATOS!$I4013,nEVAL,"OR")=0))</f>
      </c>
      <c r="I4013">
        <f>IF(DATOS!$I4013="","",IFERROR(VLOOKUP(DATOS!$I4013,CONFIG_ASIGNATURAS!$B$2:$J$91,9,FALSE()),""))</f>
      </c>
    </row>
    <row r="4014">
      <c r="F4014">
        <f>IF(DATOS!$A4014="","",DATOS!$A4014&amp;"|"&amp;DATOS!$D4014&amp;"|"&amp;DATOS!$E4014&amp;"|"&amp;DATOS!$I4014)</f>
      </c>
      <c r="G4014">
        <f>IF(DATOS!$A4014="",0,IF(CONFIG_METADATA!$B$4&lt;&gt;"OR+EX",--(DATOS!$G4014=CONFIG_METADATA!$B$4),IF(DATOS!$G4014="EX",1,IF(DATOS!$G4014="OR",--(COUNTIFS(nNIA,DATOS!$A4014,nCURSO,DATOS!$D4014,nESPEC,DATOS!$E4014,nASIG,DATOS!$I4014,nEVAL,"EX")=0),0))))</f>
      </c>
      <c r="H4014">
        <f>IF(DATOS!$G4014&lt;&gt;"EX",0,--(COUNTIFS(nNIA,DATOS!$A4014,nCURSO,DATOS!$D4014,nESPEC,DATOS!$E4014,nASIG,DATOS!$I4014,nEVAL,"OR")=0))</f>
      </c>
      <c r="I4014">
        <f>IF(DATOS!$I4014="","",IFERROR(VLOOKUP(DATOS!$I4014,CONFIG_ASIGNATURAS!$B$2:$J$91,9,FALSE()),""))</f>
      </c>
    </row>
    <row r="4015">
      <c r="F4015">
        <f>IF(DATOS!$A4015="","",DATOS!$A4015&amp;"|"&amp;DATOS!$D4015&amp;"|"&amp;DATOS!$E4015&amp;"|"&amp;DATOS!$I4015)</f>
      </c>
      <c r="G4015">
        <f>IF(DATOS!$A4015="",0,IF(CONFIG_METADATA!$B$4&lt;&gt;"OR+EX",--(DATOS!$G4015=CONFIG_METADATA!$B$4),IF(DATOS!$G4015="EX",1,IF(DATOS!$G4015="OR",--(COUNTIFS(nNIA,DATOS!$A4015,nCURSO,DATOS!$D4015,nESPEC,DATOS!$E4015,nASIG,DATOS!$I4015,nEVAL,"EX")=0),0))))</f>
      </c>
      <c r="H4015">
        <f>IF(DATOS!$G4015&lt;&gt;"EX",0,--(COUNTIFS(nNIA,DATOS!$A4015,nCURSO,DATOS!$D4015,nESPEC,DATOS!$E4015,nASIG,DATOS!$I4015,nEVAL,"OR")=0))</f>
      </c>
      <c r="I4015">
        <f>IF(DATOS!$I4015="","",IFERROR(VLOOKUP(DATOS!$I4015,CONFIG_ASIGNATURAS!$B$2:$J$91,9,FALSE()),""))</f>
      </c>
    </row>
    <row r="4016">
      <c r="F4016">
        <f>IF(DATOS!$A4016="","",DATOS!$A4016&amp;"|"&amp;DATOS!$D4016&amp;"|"&amp;DATOS!$E4016&amp;"|"&amp;DATOS!$I4016)</f>
      </c>
      <c r="G4016">
        <f>IF(DATOS!$A4016="",0,IF(CONFIG_METADATA!$B$4&lt;&gt;"OR+EX",--(DATOS!$G4016=CONFIG_METADATA!$B$4),IF(DATOS!$G4016="EX",1,IF(DATOS!$G4016="OR",--(COUNTIFS(nNIA,DATOS!$A4016,nCURSO,DATOS!$D4016,nESPEC,DATOS!$E4016,nASIG,DATOS!$I4016,nEVAL,"EX")=0),0))))</f>
      </c>
      <c r="H4016">
        <f>IF(DATOS!$G4016&lt;&gt;"EX",0,--(COUNTIFS(nNIA,DATOS!$A4016,nCURSO,DATOS!$D4016,nESPEC,DATOS!$E4016,nASIG,DATOS!$I4016,nEVAL,"OR")=0))</f>
      </c>
      <c r="I4016">
        <f>IF(DATOS!$I4016="","",IFERROR(VLOOKUP(DATOS!$I4016,CONFIG_ASIGNATURAS!$B$2:$J$91,9,FALSE()),""))</f>
      </c>
    </row>
    <row r="4017">
      <c r="F4017">
        <f>IF(DATOS!$A4017="","",DATOS!$A4017&amp;"|"&amp;DATOS!$D4017&amp;"|"&amp;DATOS!$E4017&amp;"|"&amp;DATOS!$I4017)</f>
      </c>
      <c r="G4017">
        <f>IF(DATOS!$A4017="",0,IF(CONFIG_METADATA!$B$4&lt;&gt;"OR+EX",--(DATOS!$G4017=CONFIG_METADATA!$B$4),IF(DATOS!$G4017="EX",1,IF(DATOS!$G4017="OR",--(COUNTIFS(nNIA,DATOS!$A4017,nCURSO,DATOS!$D4017,nESPEC,DATOS!$E4017,nASIG,DATOS!$I4017,nEVAL,"EX")=0),0))))</f>
      </c>
      <c r="H4017">
        <f>IF(DATOS!$G4017&lt;&gt;"EX",0,--(COUNTIFS(nNIA,DATOS!$A4017,nCURSO,DATOS!$D4017,nESPEC,DATOS!$E4017,nASIG,DATOS!$I4017,nEVAL,"OR")=0))</f>
      </c>
      <c r="I4017">
        <f>IF(DATOS!$I4017="","",IFERROR(VLOOKUP(DATOS!$I4017,CONFIG_ASIGNATURAS!$B$2:$J$91,9,FALSE()),""))</f>
      </c>
    </row>
    <row r="4018">
      <c r="F4018">
        <f>IF(DATOS!$A4018="","",DATOS!$A4018&amp;"|"&amp;DATOS!$D4018&amp;"|"&amp;DATOS!$E4018&amp;"|"&amp;DATOS!$I4018)</f>
      </c>
      <c r="G4018">
        <f>IF(DATOS!$A4018="",0,IF(CONFIG_METADATA!$B$4&lt;&gt;"OR+EX",--(DATOS!$G4018=CONFIG_METADATA!$B$4),IF(DATOS!$G4018="EX",1,IF(DATOS!$G4018="OR",--(COUNTIFS(nNIA,DATOS!$A4018,nCURSO,DATOS!$D4018,nESPEC,DATOS!$E4018,nASIG,DATOS!$I4018,nEVAL,"EX")=0),0))))</f>
      </c>
      <c r="H4018">
        <f>IF(DATOS!$G4018&lt;&gt;"EX",0,--(COUNTIFS(nNIA,DATOS!$A4018,nCURSO,DATOS!$D4018,nESPEC,DATOS!$E4018,nASIG,DATOS!$I4018,nEVAL,"OR")=0))</f>
      </c>
      <c r="I4018">
        <f>IF(DATOS!$I4018="","",IFERROR(VLOOKUP(DATOS!$I4018,CONFIG_ASIGNATURAS!$B$2:$J$91,9,FALSE()),""))</f>
      </c>
    </row>
    <row r="4019">
      <c r="F4019">
        <f>IF(DATOS!$A4019="","",DATOS!$A4019&amp;"|"&amp;DATOS!$D4019&amp;"|"&amp;DATOS!$E4019&amp;"|"&amp;DATOS!$I4019)</f>
      </c>
      <c r="G4019">
        <f>IF(DATOS!$A4019="",0,IF(CONFIG_METADATA!$B$4&lt;&gt;"OR+EX",--(DATOS!$G4019=CONFIG_METADATA!$B$4),IF(DATOS!$G4019="EX",1,IF(DATOS!$G4019="OR",--(COUNTIFS(nNIA,DATOS!$A4019,nCURSO,DATOS!$D4019,nESPEC,DATOS!$E4019,nASIG,DATOS!$I4019,nEVAL,"EX")=0),0))))</f>
      </c>
      <c r="H4019">
        <f>IF(DATOS!$G4019&lt;&gt;"EX",0,--(COUNTIFS(nNIA,DATOS!$A4019,nCURSO,DATOS!$D4019,nESPEC,DATOS!$E4019,nASIG,DATOS!$I4019,nEVAL,"OR")=0))</f>
      </c>
      <c r="I4019">
        <f>IF(DATOS!$I4019="","",IFERROR(VLOOKUP(DATOS!$I4019,CONFIG_ASIGNATURAS!$B$2:$J$91,9,FALSE()),""))</f>
      </c>
    </row>
    <row r="4020">
      <c r="F4020">
        <f>IF(DATOS!$A4020="","",DATOS!$A4020&amp;"|"&amp;DATOS!$D4020&amp;"|"&amp;DATOS!$E4020&amp;"|"&amp;DATOS!$I4020)</f>
      </c>
      <c r="G4020">
        <f>IF(DATOS!$A4020="",0,IF(CONFIG_METADATA!$B$4&lt;&gt;"OR+EX",--(DATOS!$G4020=CONFIG_METADATA!$B$4),IF(DATOS!$G4020="EX",1,IF(DATOS!$G4020="OR",--(COUNTIFS(nNIA,DATOS!$A4020,nCURSO,DATOS!$D4020,nESPEC,DATOS!$E4020,nASIG,DATOS!$I4020,nEVAL,"EX")=0),0))))</f>
      </c>
      <c r="H4020">
        <f>IF(DATOS!$G4020&lt;&gt;"EX",0,--(COUNTIFS(nNIA,DATOS!$A4020,nCURSO,DATOS!$D4020,nESPEC,DATOS!$E4020,nASIG,DATOS!$I4020,nEVAL,"OR")=0))</f>
      </c>
      <c r="I4020">
        <f>IF(DATOS!$I4020="","",IFERROR(VLOOKUP(DATOS!$I4020,CONFIG_ASIGNATURAS!$B$2:$J$91,9,FALSE()),""))</f>
      </c>
    </row>
    <row r="4021">
      <c r="F4021">
        <f>IF(DATOS!$A4021="","",DATOS!$A4021&amp;"|"&amp;DATOS!$D4021&amp;"|"&amp;DATOS!$E4021&amp;"|"&amp;DATOS!$I4021)</f>
      </c>
      <c r="G4021">
        <f>IF(DATOS!$A4021="",0,IF(CONFIG_METADATA!$B$4&lt;&gt;"OR+EX",--(DATOS!$G4021=CONFIG_METADATA!$B$4),IF(DATOS!$G4021="EX",1,IF(DATOS!$G4021="OR",--(COUNTIFS(nNIA,DATOS!$A4021,nCURSO,DATOS!$D4021,nESPEC,DATOS!$E4021,nASIG,DATOS!$I4021,nEVAL,"EX")=0),0))))</f>
      </c>
      <c r="H4021">
        <f>IF(DATOS!$G4021&lt;&gt;"EX",0,--(COUNTIFS(nNIA,DATOS!$A4021,nCURSO,DATOS!$D4021,nESPEC,DATOS!$E4021,nASIG,DATOS!$I4021,nEVAL,"OR")=0))</f>
      </c>
      <c r="I4021">
        <f>IF(DATOS!$I4021="","",IFERROR(VLOOKUP(DATOS!$I4021,CONFIG_ASIGNATURAS!$B$2:$J$91,9,FALSE()),""))</f>
      </c>
    </row>
    <row r="4022">
      <c r="F4022">
        <f>IF(DATOS!$A4022="","",DATOS!$A4022&amp;"|"&amp;DATOS!$D4022&amp;"|"&amp;DATOS!$E4022&amp;"|"&amp;DATOS!$I4022)</f>
      </c>
      <c r="G4022">
        <f>IF(DATOS!$A4022="",0,IF(CONFIG_METADATA!$B$4&lt;&gt;"OR+EX",--(DATOS!$G4022=CONFIG_METADATA!$B$4),IF(DATOS!$G4022="EX",1,IF(DATOS!$G4022="OR",--(COUNTIFS(nNIA,DATOS!$A4022,nCURSO,DATOS!$D4022,nESPEC,DATOS!$E4022,nASIG,DATOS!$I4022,nEVAL,"EX")=0),0))))</f>
      </c>
      <c r="H4022">
        <f>IF(DATOS!$G4022&lt;&gt;"EX",0,--(COUNTIFS(nNIA,DATOS!$A4022,nCURSO,DATOS!$D4022,nESPEC,DATOS!$E4022,nASIG,DATOS!$I4022,nEVAL,"OR")=0))</f>
      </c>
      <c r="I4022">
        <f>IF(DATOS!$I4022="","",IFERROR(VLOOKUP(DATOS!$I4022,CONFIG_ASIGNATURAS!$B$2:$J$91,9,FALSE()),""))</f>
      </c>
    </row>
    <row r="4023">
      <c r="F4023">
        <f>IF(DATOS!$A4023="","",DATOS!$A4023&amp;"|"&amp;DATOS!$D4023&amp;"|"&amp;DATOS!$E4023&amp;"|"&amp;DATOS!$I4023)</f>
      </c>
      <c r="G4023">
        <f>IF(DATOS!$A4023="",0,IF(CONFIG_METADATA!$B$4&lt;&gt;"OR+EX",--(DATOS!$G4023=CONFIG_METADATA!$B$4),IF(DATOS!$G4023="EX",1,IF(DATOS!$G4023="OR",--(COUNTIFS(nNIA,DATOS!$A4023,nCURSO,DATOS!$D4023,nESPEC,DATOS!$E4023,nASIG,DATOS!$I4023,nEVAL,"EX")=0),0))))</f>
      </c>
      <c r="H4023">
        <f>IF(DATOS!$G4023&lt;&gt;"EX",0,--(COUNTIFS(nNIA,DATOS!$A4023,nCURSO,DATOS!$D4023,nESPEC,DATOS!$E4023,nASIG,DATOS!$I4023,nEVAL,"OR")=0))</f>
      </c>
      <c r="I4023">
        <f>IF(DATOS!$I4023="","",IFERROR(VLOOKUP(DATOS!$I4023,CONFIG_ASIGNATURAS!$B$2:$J$91,9,FALSE()),""))</f>
      </c>
    </row>
    <row r="4024">
      <c r="F4024">
        <f>IF(DATOS!$A4024="","",DATOS!$A4024&amp;"|"&amp;DATOS!$D4024&amp;"|"&amp;DATOS!$E4024&amp;"|"&amp;DATOS!$I4024)</f>
      </c>
      <c r="G4024">
        <f>IF(DATOS!$A4024="",0,IF(CONFIG_METADATA!$B$4&lt;&gt;"OR+EX",--(DATOS!$G4024=CONFIG_METADATA!$B$4),IF(DATOS!$G4024="EX",1,IF(DATOS!$G4024="OR",--(COUNTIFS(nNIA,DATOS!$A4024,nCURSO,DATOS!$D4024,nESPEC,DATOS!$E4024,nASIG,DATOS!$I4024,nEVAL,"EX")=0),0))))</f>
      </c>
      <c r="H4024">
        <f>IF(DATOS!$G4024&lt;&gt;"EX",0,--(COUNTIFS(nNIA,DATOS!$A4024,nCURSO,DATOS!$D4024,nESPEC,DATOS!$E4024,nASIG,DATOS!$I4024,nEVAL,"OR")=0))</f>
      </c>
      <c r="I4024">
        <f>IF(DATOS!$I4024="","",IFERROR(VLOOKUP(DATOS!$I4024,CONFIG_ASIGNATURAS!$B$2:$J$91,9,FALSE()),""))</f>
      </c>
    </row>
    <row r="4025">
      <c r="F4025">
        <f>IF(DATOS!$A4025="","",DATOS!$A4025&amp;"|"&amp;DATOS!$D4025&amp;"|"&amp;DATOS!$E4025&amp;"|"&amp;DATOS!$I4025)</f>
      </c>
      <c r="G4025">
        <f>IF(DATOS!$A4025="",0,IF(CONFIG_METADATA!$B$4&lt;&gt;"OR+EX",--(DATOS!$G4025=CONFIG_METADATA!$B$4),IF(DATOS!$G4025="EX",1,IF(DATOS!$G4025="OR",--(COUNTIFS(nNIA,DATOS!$A4025,nCURSO,DATOS!$D4025,nESPEC,DATOS!$E4025,nASIG,DATOS!$I4025,nEVAL,"EX")=0),0))))</f>
      </c>
      <c r="H4025">
        <f>IF(DATOS!$G4025&lt;&gt;"EX",0,--(COUNTIFS(nNIA,DATOS!$A4025,nCURSO,DATOS!$D4025,nESPEC,DATOS!$E4025,nASIG,DATOS!$I4025,nEVAL,"OR")=0))</f>
      </c>
      <c r="I4025">
        <f>IF(DATOS!$I4025="","",IFERROR(VLOOKUP(DATOS!$I4025,CONFIG_ASIGNATURAS!$B$2:$J$91,9,FALSE()),""))</f>
      </c>
    </row>
    <row r="4026">
      <c r="F4026">
        <f>IF(DATOS!$A4026="","",DATOS!$A4026&amp;"|"&amp;DATOS!$D4026&amp;"|"&amp;DATOS!$E4026&amp;"|"&amp;DATOS!$I4026)</f>
      </c>
      <c r="G4026">
        <f>IF(DATOS!$A4026="",0,IF(CONFIG_METADATA!$B$4&lt;&gt;"OR+EX",--(DATOS!$G4026=CONFIG_METADATA!$B$4),IF(DATOS!$G4026="EX",1,IF(DATOS!$G4026="OR",--(COUNTIFS(nNIA,DATOS!$A4026,nCURSO,DATOS!$D4026,nESPEC,DATOS!$E4026,nASIG,DATOS!$I4026,nEVAL,"EX")=0),0))))</f>
      </c>
      <c r="H4026">
        <f>IF(DATOS!$G4026&lt;&gt;"EX",0,--(COUNTIFS(nNIA,DATOS!$A4026,nCURSO,DATOS!$D4026,nESPEC,DATOS!$E4026,nASIG,DATOS!$I4026,nEVAL,"OR")=0))</f>
      </c>
      <c r="I4026">
        <f>IF(DATOS!$I4026="","",IFERROR(VLOOKUP(DATOS!$I4026,CONFIG_ASIGNATURAS!$B$2:$J$91,9,FALSE()),""))</f>
      </c>
    </row>
    <row r="4027">
      <c r="F4027">
        <f>IF(DATOS!$A4027="","",DATOS!$A4027&amp;"|"&amp;DATOS!$D4027&amp;"|"&amp;DATOS!$E4027&amp;"|"&amp;DATOS!$I4027)</f>
      </c>
      <c r="G4027">
        <f>IF(DATOS!$A4027="",0,IF(CONFIG_METADATA!$B$4&lt;&gt;"OR+EX",--(DATOS!$G4027=CONFIG_METADATA!$B$4),IF(DATOS!$G4027="EX",1,IF(DATOS!$G4027="OR",--(COUNTIFS(nNIA,DATOS!$A4027,nCURSO,DATOS!$D4027,nESPEC,DATOS!$E4027,nASIG,DATOS!$I4027,nEVAL,"EX")=0),0))))</f>
      </c>
      <c r="H4027">
        <f>IF(DATOS!$G4027&lt;&gt;"EX",0,--(COUNTIFS(nNIA,DATOS!$A4027,nCURSO,DATOS!$D4027,nESPEC,DATOS!$E4027,nASIG,DATOS!$I4027,nEVAL,"OR")=0))</f>
      </c>
      <c r="I4027">
        <f>IF(DATOS!$I4027="","",IFERROR(VLOOKUP(DATOS!$I4027,CONFIG_ASIGNATURAS!$B$2:$J$91,9,FALSE()),""))</f>
      </c>
    </row>
    <row r="4028">
      <c r="F4028">
        <f>IF(DATOS!$A4028="","",DATOS!$A4028&amp;"|"&amp;DATOS!$D4028&amp;"|"&amp;DATOS!$E4028&amp;"|"&amp;DATOS!$I4028)</f>
      </c>
      <c r="G4028">
        <f>IF(DATOS!$A4028="",0,IF(CONFIG_METADATA!$B$4&lt;&gt;"OR+EX",--(DATOS!$G4028=CONFIG_METADATA!$B$4),IF(DATOS!$G4028="EX",1,IF(DATOS!$G4028="OR",--(COUNTIFS(nNIA,DATOS!$A4028,nCURSO,DATOS!$D4028,nESPEC,DATOS!$E4028,nASIG,DATOS!$I4028,nEVAL,"EX")=0),0))))</f>
      </c>
      <c r="H4028">
        <f>IF(DATOS!$G4028&lt;&gt;"EX",0,--(COUNTIFS(nNIA,DATOS!$A4028,nCURSO,DATOS!$D4028,nESPEC,DATOS!$E4028,nASIG,DATOS!$I4028,nEVAL,"OR")=0))</f>
      </c>
      <c r="I4028">
        <f>IF(DATOS!$I4028="","",IFERROR(VLOOKUP(DATOS!$I4028,CONFIG_ASIGNATURAS!$B$2:$J$91,9,FALSE()),""))</f>
      </c>
    </row>
    <row r="4029">
      <c r="F4029">
        <f>IF(DATOS!$A4029="","",DATOS!$A4029&amp;"|"&amp;DATOS!$D4029&amp;"|"&amp;DATOS!$E4029&amp;"|"&amp;DATOS!$I4029)</f>
      </c>
      <c r="G4029">
        <f>IF(DATOS!$A4029="",0,IF(CONFIG_METADATA!$B$4&lt;&gt;"OR+EX",--(DATOS!$G4029=CONFIG_METADATA!$B$4),IF(DATOS!$G4029="EX",1,IF(DATOS!$G4029="OR",--(COUNTIFS(nNIA,DATOS!$A4029,nCURSO,DATOS!$D4029,nESPEC,DATOS!$E4029,nASIG,DATOS!$I4029,nEVAL,"EX")=0),0))))</f>
      </c>
      <c r="H4029">
        <f>IF(DATOS!$G4029&lt;&gt;"EX",0,--(COUNTIFS(nNIA,DATOS!$A4029,nCURSO,DATOS!$D4029,nESPEC,DATOS!$E4029,nASIG,DATOS!$I4029,nEVAL,"OR")=0))</f>
      </c>
      <c r="I4029">
        <f>IF(DATOS!$I4029="","",IFERROR(VLOOKUP(DATOS!$I4029,CONFIG_ASIGNATURAS!$B$2:$J$91,9,FALSE()),""))</f>
      </c>
    </row>
    <row r="4030">
      <c r="F4030">
        <f>IF(DATOS!$A4030="","",DATOS!$A4030&amp;"|"&amp;DATOS!$D4030&amp;"|"&amp;DATOS!$E4030&amp;"|"&amp;DATOS!$I4030)</f>
      </c>
      <c r="G4030">
        <f>IF(DATOS!$A4030="",0,IF(CONFIG_METADATA!$B$4&lt;&gt;"OR+EX",--(DATOS!$G4030=CONFIG_METADATA!$B$4),IF(DATOS!$G4030="EX",1,IF(DATOS!$G4030="OR",--(COUNTIFS(nNIA,DATOS!$A4030,nCURSO,DATOS!$D4030,nESPEC,DATOS!$E4030,nASIG,DATOS!$I4030,nEVAL,"EX")=0),0))))</f>
      </c>
      <c r="H4030">
        <f>IF(DATOS!$G4030&lt;&gt;"EX",0,--(COUNTIFS(nNIA,DATOS!$A4030,nCURSO,DATOS!$D4030,nESPEC,DATOS!$E4030,nASIG,DATOS!$I4030,nEVAL,"OR")=0))</f>
      </c>
      <c r="I4030">
        <f>IF(DATOS!$I4030="","",IFERROR(VLOOKUP(DATOS!$I4030,CONFIG_ASIGNATURAS!$B$2:$J$91,9,FALSE()),""))</f>
      </c>
    </row>
    <row r="4031">
      <c r="F4031">
        <f>IF(DATOS!$A4031="","",DATOS!$A4031&amp;"|"&amp;DATOS!$D4031&amp;"|"&amp;DATOS!$E4031&amp;"|"&amp;DATOS!$I4031)</f>
      </c>
      <c r="G4031">
        <f>IF(DATOS!$A4031="",0,IF(CONFIG_METADATA!$B$4&lt;&gt;"OR+EX",--(DATOS!$G4031=CONFIG_METADATA!$B$4),IF(DATOS!$G4031="EX",1,IF(DATOS!$G4031="OR",--(COUNTIFS(nNIA,DATOS!$A4031,nCURSO,DATOS!$D4031,nESPEC,DATOS!$E4031,nASIG,DATOS!$I4031,nEVAL,"EX")=0),0))))</f>
      </c>
      <c r="H4031">
        <f>IF(DATOS!$G4031&lt;&gt;"EX",0,--(COUNTIFS(nNIA,DATOS!$A4031,nCURSO,DATOS!$D4031,nESPEC,DATOS!$E4031,nASIG,DATOS!$I4031,nEVAL,"OR")=0))</f>
      </c>
      <c r="I4031">
        <f>IF(DATOS!$I4031="","",IFERROR(VLOOKUP(DATOS!$I4031,CONFIG_ASIGNATURAS!$B$2:$J$91,9,FALSE()),""))</f>
      </c>
    </row>
    <row r="4032">
      <c r="F4032">
        <f>IF(DATOS!$A4032="","",DATOS!$A4032&amp;"|"&amp;DATOS!$D4032&amp;"|"&amp;DATOS!$E4032&amp;"|"&amp;DATOS!$I4032)</f>
      </c>
      <c r="G4032">
        <f>IF(DATOS!$A4032="",0,IF(CONFIG_METADATA!$B$4&lt;&gt;"OR+EX",--(DATOS!$G4032=CONFIG_METADATA!$B$4),IF(DATOS!$G4032="EX",1,IF(DATOS!$G4032="OR",--(COUNTIFS(nNIA,DATOS!$A4032,nCURSO,DATOS!$D4032,nESPEC,DATOS!$E4032,nASIG,DATOS!$I4032,nEVAL,"EX")=0),0))))</f>
      </c>
      <c r="H4032">
        <f>IF(DATOS!$G4032&lt;&gt;"EX",0,--(COUNTIFS(nNIA,DATOS!$A4032,nCURSO,DATOS!$D4032,nESPEC,DATOS!$E4032,nASIG,DATOS!$I4032,nEVAL,"OR")=0))</f>
      </c>
      <c r="I4032">
        <f>IF(DATOS!$I4032="","",IFERROR(VLOOKUP(DATOS!$I4032,CONFIG_ASIGNATURAS!$B$2:$J$91,9,FALSE()),""))</f>
      </c>
    </row>
    <row r="4033">
      <c r="F4033">
        <f>IF(DATOS!$A4033="","",DATOS!$A4033&amp;"|"&amp;DATOS!$D4033&amp;"|"&amp;DATOS!$E4033&amp;"|"&amp;DATOS!$I4033)</f>
      </c>
      <c r="G4033">
        <f>IF(DATOS!$A4033="",0,IF(CONFIG_METADATA!$B$4&lt;&gt;"OR+EX",--(DATOS!$G4033=CONFIG_METADATA!$B$4),IF(DATOS!$G4033="EX",1,IF(DATOS!$G4033="OR",--(COUNTIFS(nNIA,DATOS!$A4033,nCURSO,DATOS!$D4033,nESPEC,DATOS!$E4033,nASIG,DATOS!$I4033,nEVAL,"EX")=0),0))))</f>
      </c>
      <c r="H4033">
        <f>IF(DATOS!$G4033&lt;&gt;"EX",0,--(COUNTIFS(nNIA,DATOS!$A4033,nCURSO,DATOS!$D4033,nESPEC,DATOS!$E4033,nASIG,DATOS!$I4033,nEVAL,"OR")=0))</f>
      </c>
      <c r="I4033">
        <f>IF(DATOS!$I4033="","",IFERROR(VLOOKUP(DATOS!$I4033,CONFIG_ASIGNATURAS!$B$2:$J$91,9,FALSE()),""))</f>
      </c>
    </row>
    <row r="4034">
      <c r="F4034">
        <f>IF(DATOS!$A4034="","",DATOS!$A4034&amp;"|"&amp;DATOS!$D4034&amp;"|"&amp;DATOS!$E4034&amp;"|"&amp;DATOS!$I4034)</f>
      </c>
      <c r="G4034">
        <f>IF(DATOS!$A4034="",0,IF(CONFIG_METADATA!$B$4&lt;&gt;"OR+EX",--(DATOS!$G4034=CONFIG_METADATA!$B$4),IF(DATOS!$G4034="EX",1,IF(DATOS!$G4034="OR",--(COUNTIFS(nNIA,DATOS!$A4034,nCURSO,DATOS!$D4034,nESPEC,DATOS!$E4034,nASIG,DATOS!$I4034,nEVAL,"EX")=0),0))))</f>
      </c>
      <c r="H4034">
        <f>IF(DATOS!$G4034&lt;&gt;"EX",0,--(COUNTIFS(nNIA,DATOS!$A4034,nCURSO,DATOS!$D4034,nESPEC,DATOS!$E4034,nASIG,DATOS!$I4034,nEVAL,"OR")=0))</f>
      </c>
      <c r="I4034">
        <f>IF(DATOS!$I4034="","",IFERROR(VLOOKUP(DATOS!$I4034,CONFIG_ASIGNATURAS!$B$2:$J$91,9,FALSE()),""))</f>
      </c>
    </row>
    <row r="4035">
      <c r="F4035">
        <f>IF(DATOS!$A4035="","",DATOS!$A4035&amp;"|"&amp;DATOS!$D4035&amp;"|"&amp;DATOS!$E4035&amp;"|"&amp;DATOS!$I4035)</f>
      </c>
      <c r="G4035">
        <f>IF(DATOS!$A4035="",0,IF(CONFIG_METADATA!$B$4&lt;&gt;"OR+EX",--(DATOS!$G4035=CONFIG_METADATA!$B$4),IF(DATOS!$G4035="EX",1,IF(DATOS!$G4035="OR",--(COUNTIFS(nNIA,DATOS!$A4035,nCURSO,DATOS!$D4035,nESPEC,DATOS!$E4035,nASIG,DATOS!$I4035,nEVAL,"EX")=0),0))))</f>
      </c>
      <c r="H4035">
        <f>IF(DATOS!$G4035&lt;&gt;"EX",0,--(COUNTIFS(nNIA,DATOS!$A4035,nCURSO,DATOS!$D4035,nESPEC,DATOS!$E4035,nASIG,DATOS!$I4035,nEVAL,"OR")=0))</f>
      </c>
      <c r="I4035">
        <f>IF(DATOS!$I4035="","",IFERROR(VLOOKUP(DATOS!$I4035,CONFIG_ASIGNATURAS!$B$2:$J$91,9,FALSE()),""))</f>
      </c>
    </row>
    <row r="4036">
      <c r="F4036">
        <f>IF(DATOS!$A4036="","",DATOS!$A4036&amp;"|"&amp;DATOS!$D4036&amp;"|"&amp;DATOS!$E4036&amp;"|"&amp;DATOS!$I4036)</f>
      </c>
      <c r="G4036">
        <f>IF(DATOS!$A4036="",0,IF(CONFIG_METADATA!$B$4&lt;&gt;"OR+EX",--(DATOS!$G4036=CONFIG_METADATA!$B$4),IF(DATOS!$G4036="EX",1,IF(DATOS!$G4036="OR",--(COUNTIFS(nNIA,DATOS!$A4036,nCURSO,DATOS!$D4036,nESPEC,DATOS!$E4036,nASIG,DATOS!$I4036,nEVAL,"EX")=0),0))))</f>
      </c>
      <c r="H4036">
        <f>IF(DATOS!$G4036&lt;&gt;"EX",0,--(COUNTIFS(nNIA,DATOS!$A4036,nCURSO,DATOS!$D4036,nESPEC,DATOS!$E4036,nASIG,DATOS!$I4036,nEVAL,"OR")=0))</f>
      </c>
      <c r="I4036">
        <f>IF(DATOS!$I4036="","",IFERROR(VLOOKUP(DATOS!$I4036,CONFIG_ASIGNATURAS!$B$2:$J$91,9,FALSE()),""))</f>
      </c>
    </row>
    <row r="4037">
      <c r="F4037">
        <f>IF(DATOS!$A4037="","",DATOS!$A4037&amp;"|"&amp;DATOS!$D4037&amp;"|"&amp;DATOS!$E4037&amp;"|"&amp;DATOS!$I4037)</f>
      </c>
      <c r="G4037">
        <f>IF(DATOS!$A4037="",0,IF(CONFIG_METADATA!$B$4&lt;&gt;"OR+EX",--(DATOS!$G4037=CONFIG_METADATA!$B$4),IF(DATOS!$G4037="EX",1,IF(DATOS!$G4037="OR",--(COUNTIFS(nNIA,DATOS!$A4037,nCURSO,DATOS!$D4037,nESPEC,DATOS!$E4037,nASIG,DATOS!$I4037,nEVAL,"EX")=0),0))))</f>
      </c>
      <c r="H4037">
        <f>IF(DATOS!$G4037&lt;&gt;"EX",0,--(COUNTIFS(nNIA,DATOS!$A4037,nCURSO,DATOS!$D4037,nESPEC,DATOS!$E4037,nASIG,DATOS!$I4037,nEVAL,"OR")=0))</f>
      </c>
      <c r="I4037">
        <f>IF(DATOS!$I4037="","",IFERROR(VLOOKUP(DATOS!$I4037,CONFIG_ASIGNATURAS!$B$2:$J$91,9,FALSE()),""))</f>
      </c>
    </row>
    <row r="4038">
      <c r="F4038">
        <f>IF(DATOS!$A4038="","",DATOS!$A4038&amp;"|"&amp;DATOS!$D4038&amp;"|"&amp;DATOS!$E4038&amp;"|"&amp;DATOS!$I4038)</f>
      </c>
      <c r="G4038">
        <f>IF(DATOS!$A4038="",0,IF(CONFIG_METADATA!$B$4&lt;&gt;"OR+EX",--(DATOS!$G4038=CONFIG_METADATA!$B$4),IF(DATOS!$G4038="EX",1,IF(DATOS!$G4038="OR",--(COUNTIFS(nNIA,DATOS!$A4038,nCURSO,DATOS!$D4038,nESPEC,DATOS!$E4038,nASIG,DATOS!$I4038,nEVAL,"EX")=0),0))))</f>
      </c>
      <c r="H4038">
        <f>IF(DATOS!$G4038&lt;&gt;"EX",0,--(COUNTIFS(nNIA,DATOS!$A4038,nCURSO,DATOS!$D4038,nESPEC,DATOS!$E4038,nASIG,DATOS!$I4038,nEVAL,"OR")=0))</f>
      </c>
      <c r="I4038">
        <f>IF(DATOS!$I4038="","",IFERROR(VLOOKUP(DATOS!$I4038,CONFIG_ASIGNATURAS!$B$2:$J$91,9,FALSE()),""))</f>
      </c>
    </row>
    <row r="4039">
      <c r="F4039">
        <f>IF(DATOS!$A4039="","",DATOS!$A4039&amp;"|"&amp;DATOS!$D4039&amp;"|"&amp;DATOS!$E4039&amp;"|"&amp;DATOS!$I4039)</f>
      </c>
      <c r="G4039">
        <f>IF(DATOS!$A4039="",0,IF(CONFIG_METADATA!$B$4&lt;&gt;"OR+EX",--(DATOS!$G4039=CONFIG_METADATA!$B$4),IF(DATOS!$G4039="EX",1,IF(DATOS!$G4039="OR",--(COUNTIFS(nNIA,DATOS!$A4039,nCURSO,DATOS!$D4039,nESPEC,DATOS!$E4039,nASIG,DATOS!$I4039,nEVAL,"EX")=0),0))))</f>
      </c>
      <c r="H4039">
        <f>IF(DATOS!$G4039&lt;&gt;"EX",0,--(COUNTIFS(nNIA,DATOS!$A4039,nCURSO,DATOS!$D4039,nESPEC,DATOS!$E4039,nASIG,DATOS!$I4039,nEVAL,"OR")=0))</f>
      </c>
      <c r="I4039">
        <f>IF(DATOS!$I4039="","",IFERROR(VLOOKUP(DATOS!$I4039,CONFIG_ASIGNATURAS!$B$2:$J$91,9,FALSE()),""))</f>
      </c>
    </row>
    <row r="4040">
      <c r="F4040">
        <f>IF(DATOS!$A4040="","",DATOS!$A4040&amp;"|"&amp;DATOS!$D4040&amp;"|"&amp;DATOS!$E4040&amp;"|"&amp;DATOS!$I4040)</f>
      </c>
      <c r="G4040">
        <f>IF(DATOS!$A4040="",0,IF(CONFIG_METADATA!$B$4&lt;&gt;"OR+EX",--(DATOS!$G4040=CONFIG_METADATA!$B$4),IF(DATOS!$G4040="EX",1,IF(DATOS!$G4040="OR",--(COUNTIFS(nNIA,DATOS!$A4040,nCURSO,DATOS!$D4040,nESPEC,DATOS!$E4040,nASIG,DATOS!$I4040,nEVAL,"EX")=0),0))))</f>
      </c>
      <c r="H4040">
        <f>IF(DATOS!$G4040&lt;&gt;"EX",0,--(COUNTIFS(nNIA,DATOS!$A4040,nCURSO,DATOS!$D4040,nESPEC,DATOS!$E4040,nASIG,DATOS!$I4040,nEVAL,"OR")=0))</f>
      </c>
      <c r="I4040">
        <f>IF(DATOS!$I4040="","",IFERROR(VLOOKUP(DATOS!$I4040,CONFIG_ASIGNATURAS!$B$2:$J$91,9,FALSE()),""))</f>
      </c>
    </row>
    <row r="4041">
      <c r="F4041">
        <f>IF(DATOS!$A4041="","",DATOS!$A4041&amp;"|"&amp;DATOS!$D4041&amp;"|"&amp;DATOS!$E4041&amp;"|"&amp;DATOS!$I4041)</f>
      </c>
      <c r="G4041">
        <f>IF(DATOS!$A4041="",0,IF(CONFIG_METADATA!$B$4&lt;&gt;"OR+EX",--(DATOS!$G4041=CONFIG_METADATA!$B$4),IF(DATOS!$G4041="EX",1,IF(DATOS!$G4041="OR",--(COUNTIFS(nNIA,DATOS!$A4041,nCURSO,DATOS!$D4041,nESPEC,DATOS!$E4041,nASIG,DATOS!$I4041,nEVAL,"EX")=0),0))))</f>
      </c>
      <c r="H4041">
        <f>IF(DATOS!$G4041&lt;&gt;"EX",0,--(COUNTIFS(nNIA,DATOS!$A4041,nCURSO,DATOS!$D4041,nESPEC,DATOS!$E4041,nASIG,DATOS!$I4041,nEVAL,"OR")=0))</f>
      </c>
      <c r="I4041">
        <f>IF(DATOS!$I4041="","",IFERROR(VLOOKUP(DATOS!$I4041,CONFIG_ASIGNATURAS!$B$2:$J$91,9,FALSE()),""))</f>
      </c>
    </row>
    <row r="4042">
      <c r="F4042">
        <f>IF(DATOS!$A4042="","",DATOS!$A4042&amp;"|"&amp;DATOS!$D4042&amp;"|"&amp;DATOS!$E4042&amp;"|"&amp;DATOS!$I4042)</f>
      </c>
      <c r="G4042">
        <f>IF(DATOS!$A4042="",0,IF(CONFIG_METADATA!$B$4&lt;&gt;"OR+EX",--(DATOS!$G4042=CONFIG_METADATA!$B$4),IF(DATOS!$G4042="EX",1,IF(DATOS!$G4042="OR",--(COUNTIFS(nNIA,DATOS!$A4042,nCURSO,DATOS!$D4042,nESPEC,DATOS!$E4042,nASIG,DATOS!$I4042,nEVAL,"EX")=0),0))))</f>
      </c>
      <c r="H4042">
        <f>IF(DATOS!$G4042&lt;&gt;"EX",0,--(COUNTIFS(nNIA,DATOS!$A4042,nCURSO,DATOS!$D4042,nESPEC,DATOS!$E4042,nASIG,DATOS!$I4042,nEVAL,"OR")=0))</f>
      </c>
      <c r="I4042">
        <f>IF(DATOS!$I4042="","",IFERROR(VLOOKUP(DATOS!$I4042,CONFIG_ASIGNATURAS!$B$2:$J$91,9,FALSE()),""))</f>
      </c>
    </row>
    <row r="4043">
      <c r="F4043">
        <f>IF(DATOS!$A4043="","",DATOS!$A4043&amp;"|"&amp;DATOS!$D4043&amp;"|"&amp;DATOS!$E4043&amp;"|"&amp;DATOS!$I4043)</f>
      </c>
      <c r="G4043">
        <f>IF(DATOS!$A4043="",0,IF(CONFIG_METADATA!$B$4&lt;&gt;"OR+EX",--(DATOS!$G4043=CONFIG_METADATA!$B$4),IF(DATOS!$G4043="EX",1,IF(DATOS!$G4043="OR",--(COUNTIFS(nNIA,DATOS!$A4043,nCURSO,DATOS!$D4043,nESPEC,DATOS!$E4043,nASIG,DATOS!$I4043,nEVAL,"EX")=0),0))))</f>
      </c>
      <c r="H4043">
        <f>IF(DATOS!$G4043&lt;&gt;"EX",0,--(COUNTIFS(nNIA,DATOS!$A4043,nCURSO,DATOS!$D4043,nESPEC,DATOS!$E4043,nASIG,DATOS!$I4043,nEVAL,"OR")=0))</f>
      </c>
      <c r="I4043">
        <f>IF(DATOS!$I4043="","",IFERROR(VLOOKUP(DATOS!$I4043,CONFIG_ASIGNATURAS!$B$2:$J$91,9,FALSE()),""))</f>
      </c>
    </row>
    <row r="4044">
      <c r="F4044">
        <f>IF(DATOS!$A4044="","",DATOS!$A4044&amp;"|"&amp;DATOS!$D4044&amp;"|"&amp;DATOS!$E4044&amp;"|"&amp;DATOS!$I4044)</f>
      </c>
      <c r="G4044">
        <f>IF(DATOS!$A4044="",0,IF(CONFIG_METADATA!$B$4&lt;&gt;"OR+EX",--(DATOS!$G4044=CONFIG_METADATA!$B$4),IF(DATOS!$G4044="EX",1,IF(DATOS!$G4044="OR",--(COUNTIFS(nNIA,DATOS!$A4044,nCURSO,DATOS!$D4044,nESPEC,DATOS!$E4044,nASIG,DATOS!$I4044,nEVAL,"EX")=0),0))))</f>
      </c>
      <c r="H4044">
        <f>IF(DATOS!$G4044&lt;&gt;"EX",0,--(COUNTIFS(nNIA,DATOS!$A4044,nCURSO,DATOS!$D4044,nESPEC,DATOS!$E4044,nASIG,DATOS!$I4044,nEVAL,"OR")=0))</f>
      </c>
      <c r="I4044">
        <f>IF(DATOS!$I4044="","",IFERROR(VLOOKUP(DATOS!$I4044,CONFIG_ASIGNATURAS!$B$2:$J$91,9,FALSE()),""))</f>
      </c>
    </row>
    <row r="4045">
      <c r="F4045">
        <f>IF(DATOS!$A4045="","",DATOS!$A4045&amp;"|"&amp;DATOS!$D4045&amp;"|"&amp;DATOS!$E4045&amp;"|"&amp;DATOS!$I4045)</f>
      </c>
      <c r="G4045">
        <f>IF(DATOS!$A4045="",0,IF(CONFIG_METADATA!$B$4&lt;&gt;"OR+EX",--(DATOS!$G4045=CONFIG_METADATA!$B$4),IF(DATOS!$G4045="EX",1,IF(DATOS!$G4045="OR",--(COUNTIFS(nNIA,DATOS!$A4045,nCURSO,DATOS!$D4045,nESPEC,DATOS!$E4045,nASIG,DATOS!$I4045,nEVAL,"EX")=0),0))))</f>
      </c>
      <c r="H4045">
        <f>IF(DATOS!$G4045&lt;&gt;"EX",0,--(COUNTIFS(nNIA,DATOS!$A4045,nCURSO,DATOS!$D4045,nESPEC,DATOS!$E4045,nASIG,DATOS!$I4045,nEVAL,"OR")=0))</f>
      </c>
      <c r="I4045">
        <f>IF(DATOS!$I4045="","",IFERROR(VLOOKUP(DATOS!$I4045,CONFIG_ASIGNATURAS!$B$2:$J$91,9,FALSE()),""))</f>
      </c>
    </row>
    <row r="4046">
      <c r="F4046">
        <f>IF(DATOS!$A4046="","",DATOS!$A4046&amp;"|"&amp;DATOS!$D4046&amp;"|"&amp;DATOS!$E4046&amp;"|"&amp;DATOS!$I4046)</f>
      </c>
      <c r="G4046">
        <f>IF(DATOS!$A4046="",0,IF(CONFIG_METADATA!$B$4&lt;&gt;"OR+EX",--(DATOS!$G4046=CONFIG_METADATA!$B$4),IF(DATOS!$G4046="EX",1,IF(DATOS!$G4046="OR",--(COUNTIFS(nNIA,DATOS!$A4046,nCURSO,DATOS!$D4046,nESPEC,DATOS!$E4046,nASIG,DATOS!$I4046,nEVAL,"EX")=0),0))))</f>
      </c>
      <c r="H4046">
        <f>IF(DATOS!$G4046&lt;&gt;"EX",0,--(COUNTIFS(nNIA,DATOS!$A4046,nCURSO,DATOS!$D4046,nESPEC,DATOS!$E4046,nASIG,DATOS!$I4046,nEVAL,"OR")=0))</f>
      </c>
      <c r="I4046">
        <f>IF(DATOS!$I4046="","",IFERROR(VLOOKUP(DATOS!$I4046,CONFIG_ASIGNATURAS!$B$2:$J$91,9,FALSE()),""))</f>
      </c>
    </row>
    <row r="4047">
      <c r="F4047">
        <f>IF(DATOS!$A4047="","",DATOS!$A4047&amp;"|"&amp;DATOS!$D4047&amp;"|"&amp;DATOS!$E4047&amp;"|"&amp;DATOS!$I4047)</f>
      </c>
      <c r="G4047">
        <f>IF(DATOS!$A4047="",0,IF(CONFIG_METADATA!$B$4&lt;&gt;"OR+EX",--(DATOS!$G4047=CONFIG_METADATA!$B$4),IF(DATOS!$G4047="EX",1,IF(DATOS!$G4047="OR",--(COUNTIFS(nNIA,DATOS!$A4047,nCURSO,DATOS!$D4047,nESPEC,DATOS!$E4047,nASIG,DATOS!$I4047,nEVAL,"EX")=0),0))))</f>
      </c>
      <c r="H4047">
        <f>IF(DATOS!$G4047&lt;&gt;"EX",0,--(COUNTIFS(nNIA,DATOS!$A4047,nCURSO,DATOS!$D4047,nESPEC,DATOS!$E4047,nASIG,DATOS!$I4047,nEVAL,"OR")=0))</f>
      </c>
      <c r="I4047">
        <f>IF(DATOS!$I4047="","",IFERROR(VLOOKUP(DATOS!$I4047,CONFIG_ASIGNATURAS!$B$2:$J$91,9,FALSE()),""))</f>
      </c>
    </row>
    <row r="4048">
      <c r="F4048">
        <f>IF(DATOS!$A4048="","",DATOS!$A4048&amp;"|"&amp;DATOS!$D4048&amp;"|"&amp;DATOS!$E4048&amp;"|"&amp;DATOS!$I4048)</f>
      </c>
      <c r="G4048">
        <f>IF(DATOS!$A4048="",0,IF(CONFIG_METADATA!$B$4&lt;&gt;"OR+EX",--(DATOS!$G4048=CONFIG_METADATA!$B$4),IF(DATOS!$G4048="EX",1,IF(DATOS!$G4048="OR",--(COUNTIFS(nNIA,DATOS!$A4048,nCURSO,DATOS!$D4048,nESPEC,DATOS!$E4048,nASIG,DATOS!$I4048,nEVAL,"EX")=0),0))))</f>
      </c>
      <c r="H4048">
        <f>IF(DATOS!$G4048&lt;&gt;"EX",0,--(COUNTIFS(nNIA,DATOS!$A4048,nCURSO,DATOS!$D4048,nESPEC,DATOS!$E4048,nASIG,DATOS!$I4048,nEVAL,"OR")=0))</f>
      </c>
      <c r="I4048">
        <f>IF(DATOS!$I4048="","",IFERROR(VLOOKUP(DATOS!$I4048,CONFIG_ASIGNATURAS!$B$2:$J$91,9,FALSE()),""))</f>
      </c>
    </row>
    <row r="4049">
      <c r="F4049">
        <f>IF(DATOS!$A4049="","",DATOS!$A4049&amp;"|"&amp;DATOS!$D4049&amp;"|"&amp;DATOS!$E4049&amp;"|"&amp;DATOS!$I4049)</f>
      </c>
      <c r="G4049">
        <f>IF(DATOS!$A4049="",0,IF(CONFIG_METADATA!$B$4&lt;&gt;"OR+EX",--(DATOS!$G4049=CONFIG_METADATA!$B$4),IF(DATOS!$G4049="EX",1,IF(DATOS!$G4049="OR",--(COUNTIFS(nNIA,DATOS!$A4049,nCURSO,DATOS!$D4049,nESPEC,DATOS!$E4049,nASIG,DATOS!$I4049,nEVAL,"EX")=0),0))))</f>
      </c>
      <c r="H4049">
        <f>IF(DATOS!$G4049&lt;&gt;"EX",0,--(COUNTIFS(nNIA,DATOS!$A4049,nCURSO,DATOS!$D4049,nESPEC,DATOS!$E4049,nASIG,DATOS!$I4049,nEVAL,"OR")=0))</f>
      </c>
      <c r="I4049">
        <f>IF(DATOS!$I4049="","",IFERROR(VLOOKUP(DATOS!$I4049,CONFIG_ASIGNATURAS!$B$2:$J$91,9,FALSE()),""))</f>
      </c>
    </row>
    <row r="4050">
      <c r="F4050">
        <f>IF(DATOS!$A4050="","",DATOS!$A4050&amp;"|"&amp;DATOS!$D4050&amp;"|"&amp;DATOS!$E4050&amp;"|"&amp;DATOS!$I4050)</f>
      </c>
      <c r="G4050">
        <f>IF(DATOS!$A4050="",0,IF(CONFIG_METADATA!$B$4&lt;&gt;"OR+EX",--(DATOS!$G4050=CONFIG_METADATA!$B$4),IF(DATOS!$G4050="EX",1,IF(DATOS!$G4050="OR",--(COUNTIFS(nNIA,DATOS!$A4050,nCURSO,DATOS!$D4050,nESPEC,DATOS!$E4050,nASIG,DATOS!$I4050,nEVAL,"EX")=0),0))))</f>
      </c>
      <c r="H4050">
        <f>IF(DATOS!$G4050&lt;&gt;"EX",0,--(COUNTIFS(nNIA,DATOS!$A4050,nCURSO,DATOS!$D4050,nESPEC,DATOS!$E4050,nASIG,DATOS!$I4050,nEVAL,"OR")=0))</f>
      </c>
      <c r="I4050">
        <f>IF(DATOS!$I4050="","",IFERROR(VLOOKUP(DATOS!$I4050,CONFIG_ASIGNATURAS!$B$2:$J$91,9,FALSE()),""))</f>
      </c>
    </row>
    <row r="4051">
      <c r="F4051">
        <f>IF(DATOS!$A4051="","",DATOS!$A4051&amp;"|"&amp;DATOS!$D4051&amp;"|"&amp;DATOS!$E4051&amp;"|"&amp;DATOS!$I4051)</f>
      </c>
      <c r="G4051">
        <f>IF(DATOS!$A4051="",0,IF(CONFIG_METADATA!$B$4&lt;&gt;"OR+EX",--(DATOS!$G4051=CONFIG_METADATA!$B$4),IF(DATOS!$G4051="EX",1,IF(DATOS!$G4051="OR",--(COUNTIFS(nNIA,DATOS!$A4051,nCURSO,DATOS!$D4051,nESPEC,DATOS!$E4051,nASIG,DATOS!$I4051,nEVAL,"EX")=0),0))))</f>
      </c>
      <c r="H4051">
        <f>IF(DATOS!$G4051&lt;&gt;"EX",0,--(COUNTIFS(nNIA,DATOS!$A4051,nCURSO,DATOS!$D4051,nESPEC,DATOS!$E4051,nASIG,DATOS!$I4051,nEVAL,"OR")=0))</f>
      </c>
      <c r="I4051">
        <f>IF(DATOS!$I4051="","",IFERROR(VLOOKUP(DATOS!$I4051,CONFIG_ASIGNATURAS!$B$2:$J$91,9,FALSE()),""))</f>
      </c>
    </row>
    <row r="4052">
      <c r="F4052">
        <f>IF(DATOS!$A4052="","",DATOS!$A4052&amp;"|"&amp;DATOS!$D4052&amp;"|"&amp;DATOS!$E4052&amp;"|"&amp;DATOS!$I4052)</f>
      </c>
      <c r="G4052">
        <f>IF(DATOS!$A4052="",0,IF(CONFIG_METADATA!$B$4&lt;&gt;"OR+EX",--(DATOS!$G4052=CONFIG_METADATA!$B$4),IF(DATOS!$G4052="EX",1,IF(DATOS!$G4052="OR",--(COUNTIFS(nNIA,DATOS!$A4052,nCURSO,DATOS!$D4052,nESPEC,DATOS!$E4052,nASIG,DATOS!$I4052,nEVAL,"EX")=0),0))))</f>
      </c>
      <c r="H4052">
        <f>IF(DATOS!$G4052&lt;&gt;"EX",0,--(COUNTIFS(nNIA,DATOS!$A4052,nCURSO,DATOS!$D4052,nESPEC,DATOS!$E4052,nASIG,DATOS!$I4052,nEVAL,"OR")=0))</f>
      </c>
      <c r="I4052">
        <f>IF(DATOS!$I4052="","",IFERROR(VLOOKUP(DATOS!$I4052,CONFIG_ASIGNATURAS!$B$2:$J$91,9,FALSE()),""))</f>
      </c>
    </row>
    <row r="4053">
      <c r="F4053">
        <f>IF(DATOS!$A4053="","",DATOS!$A4053&amp;"|"&amp;DATOS!$D4053&amp;"|"&amp;DATOS!$E4053&amp;"|"&amp;DATOS!$I4053)</f>
      </c>
      <c r="G4053">
        <f>IF(DATOS!$A4053="",0,IF(CONFIG_METADATA!$B$4&lt;&gt;"OR+EX",--(DATOS!$G4053=CONFIG_METADATA!$B$4),IF(DATOS!$G4053="EX",1,IF(DATOS!$G4053="OR",--(COUNTIFS(nNIA,DATOS!$A4053,nCURSO,DATOS!$D4053,nESPEC,DATOS!$E4053,nASIG,DATOS!$I4053,nEVAL,"EX")=0),0))))</f>
      </c>
      <c r="H4053">
        <f>IF(DATOS!$G4053&lt;&gt;"EX",0,--(COUNTIFS(nNIA,DATOS!$A4053,nCURSO,DATOS!$D4053,nESPEC,DATOS!$E4053,nASIG,DATOS!$I4053,nEVAL,"OR")=0))</f>
      </c>
      <c r="I4053">
        <f>IF(DATOS!$I4053="","",IFERROR(VLOOKUP(DATOS!$I4053,CONFIG_ASIGNATURAS!$B$2:$J$91,9,FALSE()),""))</f>
      </c>
    </row>
    <row r="4054">
      <c r="F4054">
        <f>IF(DATOS!$A4054="","",DATOS!$A4054&amp;"|"&amp;DATOS!$D4054&amp;"|"&amp;DATOS!$E4054&amp;"|"&amp;DATOS!$I4054)</f>
      </c>
      <c r="G4054">
        <f>IF(DATOS!$A4054="",0,IF(CONFIG_METADATA!$B$4&lt;&gt;"OR+EX",--(DATOS!$G4054=CONFIG_METADATA!$B$4),IF(DATOS!$G4054="EX",1,IF(DATOS!$G4054="OR",--(COUNTIFS(nNIA,DATOS!$A4054,nCURSO,DATOS!$D4054,nESPEC,DATOS!$E4054,nASIG,DATOS!$I4054,nEVAL,"EX")=0),0))))</f>
      </c>
      <c r="H4054">
        <f>IF(DATOS!$G4054&lt;&gt;"EX",0,--(COUNTIFS(nNIA,DATOS!$A4054,nCURSO,DATOS!$D4054,nESPEC,DATOS!$E4054,nASIG,DATOS!$I4054,nEVAL,"OR")=0))</f>
      </c>
      <c r="I4054">
        <f>IF(DATOS!$I4054="","",IFERROR(VLOOKUP(DATOS!$I4054,CONFIG_ASIGNATURAS!$B$2:$J$91,9,FALSE()),""))</f>
      </c>
    </row>
    <row r="4055">
      <c r="F4055">
        <f>IF(DATOS!$A4055="","",DATOS!$A4055&amp;"|"&amp;DATOS!$D4055&amp;"|"&amp;DATOS!$E4055&amp;"|"&amp;DATOS!$I4055)</f>
      </c>
      <c r="G4055">
        <f>IF(DATOS!$A4055="",0,IF(CONFIG_METADATA!$B$4&lt;&gt;"OR+EX",--(DATOS!$G4055=CONFIG_METADATA!$B$4),IF(DATOS!$G4055="EX",1,IF(DATOS!$G4055="OR",--(COUNTIFS(nNIA,DATOS!$A4055,nCURSO,DATOS!$D4055,nESPEC,DATOS!$E4055,nASIG,DATOS!$I4055,nEVAL,"EX")=0),0))))</f>
      </c>
      <c r="H4055">
        <f>IF(DATOS!$G4055&lt;&gt;"EX",0,--(COUNTIFS(nNIA,DATOS!$A4055,nCURSO,DATOS!$D4055,nESPEC,DATOS!$E4055,nASIG,DATOS!$I4055,nEVAL,"OR")=0))</f>
      </c>
      <c r="I4055">
        <f>IF(DATOS!$I4055="","",IFERROR(VLOOKUP(DATOS!$I4055,CONFIG_ASIGNATURAS!$B$2:$J$91,9,FALSE()),""))</f>
      </c>
    </row>
    <row r="4056">
      <c r="F4056">
        <f>IF(DATOS!$A4056="","",DATOS!$A4056&amp;"|"&amp;DATOS!$D4056&amp;"|"&amp;DATOS!$E4056&amp;"|"&amp;DATOS!$I4056)</f>
      </c>
      <c r="G4056">
        <f>IF(DATOS!$A4056="",0,IF(CONFIG_METADATA!$B$4&lt;&gt;"OR+EX",--(DATOS!$G4056=CONFIG_METADATA!$B$4),IF(DATOS!$G4056="EX",1,IF(DATOS!$G4056="OR",--(COUNTIFS(nNIA,DATOS!$A4056,nCURSO,DATOS!$D4056,nESPEC,DATOS!$E4056,nASIG,DATOS!$I4056,nEVAL,"EX")=0),0))))</f>
      </c>
      <c r="H4056">
        <f>IF(DATOS!$G4056&lt;&gt;"EX",0,--(COUNTIFS(nNIA,DATOS!$A4056,nCURSO,DATOS!$D4056,nESPEC,DATOS!$E4056,nASIG,DATOS!$I4056,nEVAL,"OR")=0))</f>
      </c>
      <c r="I4056">
        <f>IF(DATOS!$I4056="","",IFERROR(VLOOKUP(DATOS!$I4056,CONFIG_ASIGNATURAS!$B$2:$J$91,9,FALSE()),""))</f>
      </c>
    </row>
    <row r="4057">
      <c r="F4057">
        <f>IF(DATOS!$A4057="","",DATOS!$A4057&amp;"|"&amp;DATOS!$D4057&amp;"|"&amp;DATOS!$E4057&amp;"|"&amp;DATOS!$I4057)</f>
      </c>
      <c r="G4057">
        <f>IF(DATOS!$A4057="",0,IF(CONFIG_METADATA!$B$4&lt;&gt;"OR+EX",--(DATOS!$G4057=CONFIG_METADATA!$B$4),IF(DATOS!$G4057="EX",1,IF(DATOS!$G4057="OR",--(COUNTIFS(nNIA,DATOS!$A4057,nCURSO,DATOS!$D4057,nESPEC,DATOS!$E4057,nASIG,DATOS!$I4057,nEVAL,"EX")=0),0))))</f>
      </c>
      <c r="H4057">
        <f>IF(DATOS!$G4057&lt;&gt;"EX",0,--(COUNTIFS(nNIA,DATOS!$A4057,nCURSO,DATOS!$D4057,nESPEC,DATOS!$E4057,nASIG,DATOS!$I4057,nEVAL,"OR")=0))</f>
      </c>
      <c r="I4057">
        <f>IF(DATOS!$I4057="","",IFERROR(VLOOKUP(DATOS!$I4057,CONFIG_ASIGNATURAS!$B$2:$J$91,9,FALSE()),""))</f>
      </c>
    </row>
    <row r="4058">
      <c r="F4058">
        <f>IF(DATOS!$A4058="","",DATOS!$A4058&amp;"|"&amp;DATOS!$D4058&amp;"|"&amp;DATOS!$E4058&amp;"|"&amp;DATOS!$I4058)</f>
      </c>
      <c r="G4058">
        <f>IF(DATOS!$A4058="",0,IF(CONFIG_METADATA!$B$4&lt;&gt;"OR+EX",--(DATOS!$G4058=CONFIG_METADATA!$B$4),IF(DATOS!$G4058="EX",1,IF(DATOS!$G4058="OR",--(COUNTIFS(nNIA,DATOS!$A4058,nCURSO,DATOS!$D4058,nESPEC,DATOS!$E4058,nASIG,DATOS!$I4058,nEVAL,"EX")=0),0))))</f>
      </c>
      <c r="H4058">
        <f>IF(DATOS!$G4058&lt;&gt;"EX",0,--(COUNTIFS(nNIA,DATOS!$A4058,nCURSO,DATOS!$D4058,nESPEC,DATOS!$E4058,nASIG,DATOS!$I4058,nEVAL,"OR")=0))</f>
      </c>
      <c r="I4058">
        <f>IF(DATOS!$I4058="","",IFERROR(VLOOKUP(DATOS!$I4058,CONFIG_ASIGNATURAS!$B$2:$J$91,9,FALSE()),""))</f>
      </c>
    </row>
    <row r="4059">
      <c r="F4059">
        <f>IF(DATOS!$A4059="","",DATOS!$A4059&amp;"|"&amp;DATOS!$D4059&amp;"|"&amp;DATOS!$E4059&amp;"|"&amp;DATOS!$I4059)</f>
      </c>
      <c r="G4059">
        <f>IF(DATOS!$A4059="",0,IF(CONFIG_METADATA!$B$4&lt;&gt;"OR+EX",--(DATOS!$G4059=CONFIG_METADATA!$B$4),IF(DATOS!$G4059="EX",1,IF(DATOS!$G4059="OR",--(COUNTIFS(nNIA,DATOS!$A4059,nCURSO,DATOS!$D4059,nESPEC,DATOS!$E4059,nASIG,DATOS!$I4059,nEVAL,"EX")=0),0))))</f>
      </c>
      <c r="H4059">
        <f>IF(DATOS!$G4059&lt;&gt;"EX",0,--(COUNTIFS(nNIA,DATOS!$A4059,nCURSO,DATOS!$D4059,nESPEC,DATOS!$E4059,nASIG,DATOS!$I4059,nEVAL,"OR")=0))</f>
      </c>
      <c r="I4059">
        <f>IF(DATOS!$I4059="","",IFERROR(VLOOKUP(DATOS!$I4059,CONFIG_ASIGNATURAS!$B$2:$J$91,9,FALSE()),""))</f>
      </c>
    </row>
    <row r="4060">
      <c r="F4060">
        <f>IF(DATOS!$A4060="","",DATOS!$A4060&amp;"|"&amp;DATOS!$D4060&amp;"|"&amp;DATOS!$E4060&amp;"|"&amp;DATOS!$I4060)</f>
      </c>
      <c r="G4060">
        <f>IF(DATOS!$A4060="",0,IF(CONFIG_METADATA!$B$4&lt;&gt;"OR+EX",--(DATOS!$G4060=CONFIG_METADATA!$B$4),IF(DATOS!$G4060="EX",1,IF(DATOS!$G4060="OR",--(COUNTIFS(nNIA,DATOS!$A4060,nCURSO,DATOS!$D4060,nESPEC,DATOS!$E4060,nASIG,DATOS!$I4060,nEVAL,"EX")=0),0))))</f>
      </c>
      <c r="H4060">
        <f>IF(DATOS!$G4060&lt;&gt;"EX",0,--(COUNTIFS(nNIA,DATOS!$A4060,nCURSO,DATOS!$D4060,nESPEC,DATOS!$E4060,nASIG,DATOS!$I4060,nEVAL,"OR")=0))</f>
      </c>
      <c r="I4060">
        <f>IF(DATOS!$I4060="","",IFERROR(VLOOKUP(DATOS!$I4060,CONFIG_ASIGNATURAS!$B$2:$J$91,9,FALSE()),""))</f>
      </c>
    </row>
    <row r="4061">
      <c r="F4061">
        <f>IF(DATOS!$A4061="","",DATOS!$A4061&amp;"|"&amp;DATOS!$D4061&amp;"|"&amp;DATOS!$E4061&amp;"|"&amp;DATOS!$I4061)</f>
      </c>
      <c r="G4061">
        <f>IF(DATOS!$A4061="",0,IF(CONFIG_METADATA!$B$4&lt;&gt;"OR+EX",--(DATOS!$G4061=CONFIG_METADATA!$B$4),IF(DATOS!$G4061="EX",1,IF(DATOS!$G4061="OR",--(COUNTIFS(nNIA,DATOS!$A4061,nCURSO,DATOS!$D4061,nESPEC,DATOS!$E4061,nASIG,DATOS!$I4061,nEVAL,"EX")=0),0))))</f>
      </c>
      <c r="H4061">
        <f>IF(DATOS!$G4061&lt;&gt;"EX",0,--(COUNTIFS(nNIA,DATOS!$A4061,nCURSO,DATOS!$D4061,nESPEC,DATOS!$E4061,nASIG,DATOS!$I4061,nEVAL,"OR")=0))</f>
      </c>
      <c r="I4061">
        <f>IF(DATOS!$I4061="","",IFERROR(VLOOKUP(DATOS!$I4061,CONFIG_ASIGNATURAS!$B$2:$J$91,9,FALSE()),""))</f>
      </c>
    </row>
    <row r="4062">
      <c r="F4062">
        <f>IF(DATOS!$A4062="","",DATOS!$A4062&amp;"|"&amp;DATOS!$D4062&amp;"|"&amp;DATOS!$E4062&amp;"|"&amp;DATOS!$I4062)</f>
      </c>
      <c r="G4062">
        <f>IF(DATOS!$A4062="",0,IF(CONFIG_METADATA!$B$4&lt;&gt;"OR+EX",--(DATOS!$G4062=CONFIG_METADATA!$B$4),IF(DATOS!$G4062="EX",1,IF(DATOS!$G4062="OR",--(COUNTIFS(nNIA,DATOS!$A4062,nCURSO,DATOS!$D4062,nESPEC,DATOS!$E4062,nASIG,DATOS!$I4062,nEVAL,"EX")=0),0))))</f>
      </c>
      <c r="H4062">
        <f>IF(DATOS!$G4062&lt;&gt;"EX",0,--(COUNTIFS(nNIA,DATOS!$A4062,nCURSO,DATOS!$D4062,nESPEC,DATOS!$E4062,nASIG,DATOS!$I4062,nEVAL,"OR")=0))</f>
      </c>
      <c r="I4062">
        <f>IF(DATOS!$I4062="","",IFERROR(VLOOKUP(DATOS!$I4062,CONFIG_ASIGNATURAS!$B$2:$J$91,9,FALSE()),""))</f>
      </c>
    </row>
    <row r="4063">
      <c r="F4063">
        <f>IF(DATOS!$A4063="","",DATOS!$A4063&amp;"|"&amp;DATOS!$D4063&amp;"|"&amp;DATOS!$E4063&amp;"|"&amp;DATOS!$I4063)</f>
      </c>
      <c r="G4063">
        <f>IF(DATOS!$A4063="",0,IF(CONFIG_METADATA!$B$4&lt;&gt;"OR+EX",--(DATOS!$G4063=CONFIG_METADATA!$B$4),IF(DATOS!$G4063="EX",1,IF(DATOS!$G4063="OR",--(COUNTIFS(nNIA,DATOS!$A4063,nCURSO,DATOS!$D4063,nESPEC,DATOS!$E4063,nASIG,DATOS!$I4063,nEVAL,"EX")=0),0))))</f>
      </c>
      <c r="H4063">
        <f>IF(DATOS!$G4063&lt;&gt;"EX",0,--(COUNTIFS(nNIA,DATOS!$A4063,nCURSO,DATOS!$D4063,nESPEC,DATOS!$E4063,nASIG,DATOS!$I4063,nEVAL,"OR")=0))</f>
      </c>
      <c r="I4063">
        <f>IF(DATOS!$I4063="","",IFERROR(VLOOKUP(DATOS!$I4063,CONFIG_ASIGNATURAS!$B$2:$J$91,9,FALSE()),""))</f>
      </c>
    </row>
    <row r="4064">
      <c r="F4064">
        <f>IF(DATOS!$A4064="","",DATOS!$A4064&amp;"|"&amp;DATOS!$D4064&amp;"|"&amp;DATOS!$E4064&amp;"|"&amp;DATOS!$I4064)</f>
      </c>
      <c r="G4064">
        <f>IF(DATOS!$A4064="",0,IF(CONFIG_METADATA!$B$4&lt;&gt;"OR+EX",--(DATOS!$G4064=CONFIG_METADATA!$B$4),IF(DATOS!$G4064="EX",1,IF(DATOS!$G4064="OR",--(COUNTIFS(nNIA,DATOS!$A4064,nCURSO,DATOS!$D4064,nESPEC,DATOS!$E4064,nASIG,DATOS!$I4064,nEVAL,"EX")=0),0))))</f>
      </c>
      <c r="H4064">
        <f>IF(DATOS!$G4064&lt;&gt;"EX",0,--(COUNTIFS(nNIA,DATOS!$A4064,nCURSO,DATOS!$D4064,nESPEC,DATOS!$E4064,nASIG,DATOS!$I4064,nEVAL,"OR")=0))</f>
      </c>
      <c r="I4064">
        <f>IF(DATOS!$I4064="","",IFERROR(VLOOKUP(DATOS!$I4064,CONFIG_ASIGNATURAS!$B$2:$J$91,9,FALSE()),""))</f>
      </c>
    </row>
    <row r="4065">
      <c r="F4065">
        <f>IF(DATOS!$A4065="","",DATOS!$A4065&amp;"|"&amp;DATOS!$D4065&amp;"|"&amp;DATOS!$E4065&amp;"|"&amp;DATOS!$I4065)</f>
      </c>
      <c r="G4065">
        <f>IF(DATOS!$A4065="",0,IF(CONFIG_METADATA!$B$4&lt;&gt;"OR+EX",--(DATOS!$G4065=CONFIG_METADATA!$B$4),IF(DATOS!$G4065="EX",1,IF(DATOS!$G4065="OR",--(COUNTIFS(nNIA,DATOS!$A4065,nCURSO,DATOS!$D4065,nESPEC,DATOS!$E4065,nASIG,DATOS!$I4065,nEVAL,"EX")=0),0))))</f>
      </c>
      <c r="H4065">
        <f>IF(DATOS!$G4065&lt;&gt;"EX",0,--(COUNTIFS(nNIA,DATOS!$A4065,nCURSO,DATOS!$D4065,nESPEC,DATOS!$E4065,nASIG,DATOS!$I4065,nEVAL,"OR")=0))</f>
      </c>
      <c r="I4065">
        <f>IF(DATOS!$I4065="","",IFERROR(VLOOKUP(DATOS!$I4065,CONFIG_ASIGNATURAS!$B$2:$J$91,9,FALSE()),""))</f>
      </c>
    </row>
    <row r="4066">
      <c r="F4066">
        <f>IF(DATOS!$A4066="","",DATOS!$A4066&amp;"|"&amp;DATOS!$D4066&amp;"|"&amp;DATOS!$E4066&amp;"|"&amp;DATOS!$I4066)</f>
      </c>
      <c r="G4066">
        <f>IF(DATOS!$A4066="",0,IF(CONFIG_METADATA!$B$4&lt;&gt;"OR+EX",--(DATOS!$G4066=CONFIG_METADATA!$B$4),IF(DATOS!$G4066="EX",1,IF(DATOS!$G4066="OR",--(COUNTIFS(nNIA,DATOS!$A4066,nCURSO,DATOS!$D4066,nESPEC,DATOS!$E4066,nASIG,DATOS!$I4066,nEVAL,"EX")=0),0))))</f>
      </c>
      <c r="H4066">
        <f>IF(DATOS!$G4066&lt;&gt;"EX",0,--(COUNTIFS(nNIA,DATOS!$A4066,nCURSO,DATOS!$D4066,nESPEC,DATOS!$E4066,nASIG,DATOS!$I4066,nEVAL,"OR")=0))</f>
      </c>
      <c r="I4066">
        <f>IF(DATOS!$I4066="","",IFERROR(VLOOKUP(DATOS!$I4066,CONFIG_ASIGNATURAS!$B$2:$J$91,9,FALSE()),""))</f>
      </c>
    </row>
    <row r="4067">
      <c r="F4067">
        <f>IF(DATOS!$A4067="","",DATOS!$A4067&amp;"|"&amp;DATOS!$D4067&amp;"|"&amp;DATOS!$E4067&amp;"|"&amp;DATOS!$I4067)</f>
      </c>
      <c r="G4067">
        <f>IF(DATOS!$A4067="",0,IF(CONFIG_METADATA!$B$4&lt;&gt;"OR+EX",--(DATOS!$G4067=CONFIG_METADATA!$B$4),IF(DATOS!$G4067="EX",1,IF(DATOS!$G4067="OR",--(COUNTIFS(nNIA,DATOS!$A4067,nCURSO,DATOS!$D4067,nESPEC,DATOS!$E4067,nASIG,DATOS!$I4067,nEVAL,"EX")=0),0))))</f>
      </c>
      <c r="H4067">
        <f>IF(DATOS!$G4067&lt;&gt;"EX",0,--(COUNTIFS(nNIA,DATOS!$A4067,nCURSO,DATOS!$D4067,nESPEC,DATOS!$E4067,nASIG,DATOS!$I4067,nEVAL,"OR")=0))</f>
      </c>
      <c r="I4067">
        <f>IF(DATOS!$I4067="","",IFERROR(VLOOKUP(DATOS!$I4067,CONFIG_ASIGNATURAS!$B$2:$J$91,9,FALSE()),""))</f>
      </c>
    </row>
    <row r="4068">
      <c r="F4068">
        <f>IF(DATOS!$A4068="","",DATOS!$A4068&amp;"|"&amp;DATOS!$D4068&amp;"|"&amp;DATOS!$E4068&amp;"|"&amp;DATOS!$I4068)</f>
      </c>
      <c r="G4068">
        <f>IF(DATOS!$A4068="",0,IF(CONFIG_METADATA!$B$4&lt;&gt;"OR+EX",--(DATOS!$G4068=CONFIG_METADATA!$B$4),IF(DATOS!$G4068="EX",1,IF(DATOS!$G4068="OR",--(COUNTIFS(nNIA,DATOS!$A4068,nCURSO,DATOS!$D4068,nESPEC,DATOS!$E4068,nASIG,DATOS!$I4068,nEVAL,"EX")=0),0))))</f>
      </c>
      <c r="H4068">
        <f>IF(DATOS!$G4068&lt;&gt;"EX",0,--(COUNTIFS(nNIA,DATOS!$A4068,nCURSO,DATOS!$D4068,nESPEC,DATOS!$E4068,nASIG,DATOS!$I4068,nEVAL,"OR")=0))</f>
      </c>
      <c r="I4068">
        <f>IF(DATOS!$I4068="","",IFERROR(VLOOKUP(DATOS!$I4068,CONFIG_ASIGNATURAS!$B$2:$J$91,9,FALSE()),""))</f>
      </c>
    </row>
    <row r="4069">
      <c r="F4069">
        <f>IF(DATOS!$A4069="","",DATOS!$A4069&amp;"|"&amp;DATOS!$D4069&amp;"|"&amp;DATOS!$E4069&amp;"|"&amp;DATOS!$I4069)</f>
      </c>
      <c r="G4069">
        <f>IF(DATOS!$A4069="",0,IF(CONFIG_METADATA!$B$4&lt;&gt;"OR+EX",--(DATOS!$G4069=CONFIG_METADATA!$B$4),IF(DATOS!$G4069="EX",1,IF(DATOS!$G4069="OR",--(COUNTIFS(nNIA,DATOS!$A4069,nCURSO,DATOS!$D4069,nESPEC,DATOS!$E4069,nASIG,DATOS!$I4069,nEVAL,"EX")=0),0))))</f>
      </c>
      <c r="H4069">
        <f>IF(DATOS!$G4069&lt;&gt;"EX",0,--(COUNTIFS(nNIA,DATOS!$A4069,nCURSO,DATOS!$D4069,nESPEC,DATOS!$E4069,nASIG,DATOS!$I4069,nEVAL,"OR")=0))</f>
      </c>
      <c r="I4069">
        <f>IF(DATOS!$I4069="","",IFERROR(VLOOKUP(DATOS!$I4069,CONFIG_ASIGNATURAS!$B$2:$J$91,9,FALSE()),""))</f>
      </c>
    </row>
    <row r="4070">
      <c r="F4070">
        <f>IF(DATOS!$A4070="","",DATOS!$A4070&amp;"|"&amp;DATOS!$D4070&amp;"|"&amp;DATOS!$E4070&amp;"|"&amp;DATOS!$I4070)</f>
      </c>
      <c r="G4070">
        <f>IF(DATOS!$A4070="",0,IF(CONFIG_METADATA!$B$4&lt;&gt;"OR+EX",--(DATOS!$G4070=CONFIG_METADATA!$B$4),IF(DATOS!$G4070="EX",1,IF(DATOS!$G4070="OR",--(COUNTIFS(nNIA,DATOS!$A4070,nCURSO,DATOS!$D4070,nESPEC,DATOS!$E4070,nASIG,DATOS!$I4070,nEVAL,"EX")=0),0))))</f>
      </c>
      <c r="H4070">
        <f>IF(DATOS!$G4070&lt;&gt;"EX",0,--(COUNTIFS(nNIA,DATOS!$A4070,nCURSO,DATOS!$D4070,nESPEC,DATOS!$E4070,nASIG,DATOS!$I4070,nEVAL,"OR")=0))</f>
      </c>
      <c r="I4070">
        <f>IF(DATOS!$I4070="","",IFERROR(VLOOKUP(DATOS!$I4070,CONFIG_ASIGNATURAS!$B$2:$J$91,9,FALSE()),""))</f>
      </c>
    </row>
    <row r="4071">
      <c r="F4071">
        <f>IF(DATOS!$A4071="","",DATOS!$A4071&amp;"|"&amp;DATOS!$D4071&amp;"|"&amp;DATOS!$E4071&amp;"|"&amp;DATOS!$I4071)</f>
      </c>
      <c r="G4071">
        <f>IF(DATOS!$A4071="",0,IF(CONFIG_METADATA!$B$4&lt;&gt;"OR+EX",--(DATOS!$G4071=CONFIG_METADATA!$B$4),IF(DATOS!$G4071="EX",1,IF(DATOS!$G4071="OR",--(COUNTIFS(nNIA,DATOS!$A4071,nCURSO,DATOS!$D4071,nESPEC,DATOS!$E4071,nASIG,DATOS!$I4071,nEVAL,"EX")=0),0))))</f>
      </c>
      <c r="H4071">
        <f>IF(DATOS!$G4071&lt;&gt;"EX",0,--(COUNTIFS(nNIA,DATOS!$A4071,nCURSO,DATOS!$D4071,nESPEC,DATOS!$E4071,nASIG,DATOS!$I4071,nEVAL,"OR")=0))</f>
      </c>
      <c r="I4071">
        <f>IF(DATOS!$I4071="","",IFERROR(VLOOKUP(DATOS!$I4071,CONFIG_ASIGNATURAS!$B$2:$J$91,9,FALSE()),""))</f>
      </c>
    </row>
    <row r="4072">
      <c r="F4072">
        <f>IF(DATOS!$A4072="","",DATOS!$A4072&amp;"|"&amp;DATOS!$D4072&amp;"|"&amp;DATOS!$E4072&amp;"|"&amp;DATOS!$I4072)</f>
      </c>
      <c r="G4072">
        <f>IF(DATOS!$A4072="",0,IF(CONFIG_METADATA!$B$4&lt;&gt;"OR+EX",--(DATOS!$G4072=CONFIG_METADATA!$B$4),IF(DATOS!$G4072="EX",1,IF(DATOS!$G4072="OR",--(COUNTIFS(nNIA,DATOS!$A4072,nCURSO,DATOS!$D4072,nESPEC,DATOS!$E4072,nASIG,DATOS!$I4072,nEVAL,"EX")=0),0))))</f>
      </c>
      <c r="H4072">
        <f>IF(DATOS!$G4072&lt;&gt;"EX",0,--(COUNTIFS(nNIA,DATOS!$A4072,nCURSO,DATOS!$D4072,nESPEC,DATOS!$E4072,nASIG,DATOS!$I4072,nEVAL,"OR")=0))</f>
      </c>
      <c r="I4072">
        <f>IF(DATOS!$I4072="","",IFERROR(VLOOKUP(DATOS!$I4072,CONFIG_ASIGNATURAS!$B$2:$J$91,9,FALSE()),""))</f>
      </c>
    </row>
    <row r="4073">
      <c r="F4073">
        <f>IF(DATOS!$A4073="","",DATOS!$A4073&amp;"|"&amp;DATOS!$D4073&amp;"|"&amp;DATOS!$E4073&amp;"|"&amp;DATOS!$I4073)</f>
      </c>
      <c r="G4073">
        <f>IF(DATOS!$A4073="",0,IF(CONFIG_METADATA!$B$4&lt;&gt;"OR+EX",--(DATOS!$G4073=CONFIG_METADATA!$B$4),IF(DATOS!$G4073="EX",1,IF(DATOS!$G4073="OR",--(COUNTIFS(nNIA,DATOS!$A4073,nCURSO,DATOS!$D4073,nESPEC,DATOS!$E4073,nASIG,DATOS!$I4073,nEVAL,"EX")=0),0))))</f>
      </c>
      <c r="H4073">
        <f>IF(DATOS!$G4073&lt;&gt;"EX",0,--(COUNTIFS(nNIA,DATOS!$A4073,nCURSO,DATOS!$D4073,nESPEC,DATOS!$E4073,nASIG,DATOS!$I4073,nEVAL,"OR")=0))</f>
      </c>
      <c r="I4073">
        <f>IF(DATOS!$I4073="","",IFERROR(VLOOKUP(DATOS!$I4073,CONFIG_ASIGNATURAS!$B$2:$J$91,9,FALSE()),""))</f>
      </c>
    </row>
    <row r="4074">
      <c r="F4074">
        <f>IF(DATOS!$A4074="","",DATOS!$A4074&amp;"|"&amp;DATOS!$D4074&amp;"|"&amp;DATOS!$E4074&amp;"|"&amp;DATOS!$I4074)</f>
      </c>
      <c r="G4074">
        <f>IF(DATOS!$A4074="",0,IF(CONFIG_METADATA!$B$4&lt;&gt;"OR+EX",--(DATOS!$G4074=CONFIG_METADATA!$B$4),IF(DATOS!$G4074="EX",1,IF(DATOS!$G4074="OR",--(COUNTIFS(nNIA,DATOS!$A4074,nCURSO,DATOS!$D4074,nESPEC,DATOS!$E4074,nASIG,DATOS!$I4074,nEVAL,"EX")=0),0))))</f>
      </c>
      <c r="H4074">
        <f>IF(DATOS!$G4074&lt;&gt;"EX",0,--(COUNTIFS(nNIA,DATOS!$A4074,nCURSO,DATOS!$D4074,nESPEC,DATOS!$E4074,nASIG,DATOS!$I4074,nEVAL,"OR")=0))</f>
      </c>
      <c r="I4074">
        <f>IF(DATOS!$I4074="","",IFERROR(VLOOKUP(DATOS!$I4074,CONFIG_ASIGNATURAS!$B$2:$J$91,9,FALSE()),""))</f>
      </c>
    </row>
    <row r="4075">
      <c r="F4075">
        <f>IF(DATOS!$A4075="","",DATOS!$A4075&amp;"|"&amp;DATOS!$D4075&amp;"|"&amp;DATOS!$E4075&amp;"|"&amp;DATOS!$I4075)</f>
      </c>
      <c r="G4075">
        <f>IF(DATOS!$A4075="",0,IF(CONFIG_METADATA!$B$4&lt;&gt;"OR+EX",--(DATOS!$G4075=CONFIG_METADATA!$B$4),IF(DATOS!$G4075="EX",1,IF(DATOS!$G4075="OR",--(COUNTIFS(nNIA,DATOS!$A4075,nCURSO,DATOS!$D4075,nESPEC,DATOS!$E4075,nASIG,DATOS!$I4075,nEVAL,"EX")=0),0))))</f>
      </c>
      <c r="H4075">
        <f>IF(DATOS!$G4075&lt;&gt;"EX",0,--(COUNTIFS(nNIA,DATOS!$A4075,nCURSO,DATOS!$D4075,nESPEC,DATOS!$E4075,nASIG,DATOS!$I4075,nEVAL,"OR")=0))</f>
      </c>
      <c r="I4075">
        <f>IF(DATOS!$I4075="","",IFERROR(VLOOKUP(DATOS!$I4075,CONFIG_ASIGNATURAS!$B$2:$J$91,9,FALSE()),""))</f>
      </c>
    </row>
    <row r="4076">
      <c r="F4076">
        <f>IF(DATOS!$A4076="","",DATOS!$A4076&amp;"|"&amp;DATOS!$D4076&amp;"|"&amp;DATOS!$E4076&amp;"|"&amp;DATOS!$I4076)</f>
      </c>
      <c r="G4076">
        <f>IF(DATOS!$A4076="",0,IF(CONFIG_METADATA!$B$4&lt;&gt;"OR+EX",--(DATOS!$G4076=CONFIG_METADATA!$B$4),IF(DATOS!$G4076="EX",1,IF(DATOS!$G4076="OR",--(COUNTIFS(nNIA,DATOS!$A4076,nCURSO,DATOS!$D4076,nESPEC,DATOS!$E4076,nASIG,DATOS!$I4076,nEVAL,"EX")=0),0))))</f>
      </c>
      <c r="H4076">
        <f>IF(DATOS!$G4076&lt;&gt;"EX",0,--(COUNTIFS(nNIA,DATOS!$A4076,nCURSO,DATOS!$D4076,nESPEC,DATOS!$E4076,nASIG,DATOS!$I4076,nEVAL,"OR")=0))</f>
      </c>
      <c r="I4076">
        <f>IF(DATOS!$I4076="","",IFERROR(VLOOKUP(DATOS!$I4076,CONFIG_ASIGNATURAS!$B$2:$J$91,9,FALSE()),""))</f>
      </c>
    </row>
    <row r="4077">
      <c r="F4077">
        <f>IF(DATOS!$A4077="","",DATOS!$A4077&amp;"|"&amp;DATOS!$D4077&amp;"|"&amp;DATOS!$E4077&amp;"|"&amp;DATOS!$I4077)</f>
      </c>
      <c r="G4077">
        <f>IF(DATOS!$A4077="",0,IF(CONFIG_METADATA!$B$4&lt;&gt;"OR+EX",--(DATOS!$G4077=CONFIG_METADATA!$B$4),IF(DATOS!$G4077="EX",1,IF(DATOS!$G4077="OR",--(COUNTIFS(nNIA,DATOS!$A4077,nCURSO,DATOS!$D4077,nESPEC,DATOS!$E4077,nASIG,DATOS!$I4077,nEVAL,"EX")=0),0))))</f>
      </c>
      <c r="H4077">
        <f>IF(DATOS!$G4077&lt;&gt;"EX",0,--(COUNTIFS(nNIA,DATOS!$A4077,nCURSO,DATOS!$D4077,nESPEC,DATOS!$E4077,nASIG,DATOS!$I4077,nEVAL,"OR")=0))</f>
      </c>
      <c r="I4077">
        <f>IF(DATOS!$I4077="","",IFERROR(VLOOKUP(DATOS!$I4077,CONFIG_ASIGNATURAS!$B$2:$J$91,9,FALSE()),""))</f>
      </c>
    </row>
    <row r="4078">
      <c r="F4078">
        <f>IF(DATOS!$A4078="","",DATOS!$A4078&amp;"|"&amp;DATOS!$D4078&amp;"|"&amp;DATOS!$E4078&amp;"|"&amp;DATOS!$I4078)</f>
      </c>
      <c r="G4078">
        <f>IF(DATOS!$A4078="",0,IF(CONFIG_METADATA!$B$4&lt;&gt;"OR+EX",--(DATOS!$G4078=CONFIG_METADATA!$B$4),IF(DATOS!$G4078="EX",1,IF(DATOS!$G4078="OR",--(COUNTIFS(nNIA,DATOS!$A4078,nCURSO,DATOS!$D4078,nESPEC,DATOS!$E4078,nASIG,DATOS!$I4078,nEVAL,"EX")=0),0))))</f>
      </c>
      <c r="H4078">
        <f>IF(DATOS!$G4078&lt;&gt;"EX",0,--(COUNTIFS(nNIA,DATOS!$A4078,nCURSO,DATOS!$D4078,nESPEC,DATOS!$E4078,nASIG,DATOS!$I4078,nEVAL,"OR")=0))</f>
      </c>
      <c r="I4078">
        <f>IF(DATOS!$I4078="","",IFERROR(VLOOKUP(DATOS!$I4078,CONFIG_ASIGNATURAS!$B$2:$J$91,9,FALSE()),""))</f>
      </c>
    </row>
    <row r="4079">
      <c r="F4079">
        <f>IF(DATOS!$A4079="","",DATOS!$A4079&amp;"|"&amp;DATOS!$D4079&amp;"|"&amp;DATOS!$E4079&amp;"|"&amp;DATOS!$I4079)</f>
      </c>
      <c r="G4079">
        <f>IF(DATOS!$A4079="",0,IF(CONFIG_METADATA!$B$4&lt;&gt;"OR+EX",--(DATOS!$G4079=CONFIG_METADATA!$B$4),IF(DATOS!$G4079="EX",1,IF(DATOS!$G4079="OR",--(COUNTIFS(nNIA,DATOS!$A4079,nCURSO,DATOS!$D4079,nESPEC,DATOS!$E4079,nASIG,DATOS!$I4079,nEVAL,"EX")=0),0))))</f>
      </c>
      <c r="H4079">
        <f>IF(DATOS!$G4079&lt;&gt;"EX",0,--(COUNTIFS(nNIA,DATOS!$A4079,nCURSO,DATOS!$D4079,nESPEC,DATOS!$E4079,nASIG,DATOS!$I4079,nEVAL,"OR")=0))</f>
      </c>
      <c r="I4079">
        <f>IF(DATOS!$I4079="","",IFERROR(VLOOKUP(DATOS!$I4079,CONFIG_ASIGNATURAS!$B$2:$J$91,9,FALSE()),""))</f>
      </c>
    </row>
    <row r="4080">
      <c r="F4080">
        <f>IF(DATOS!$A4080="","",DATOS!$A4080&amp;"|"&amp;DATOS!$D4080&amp;"|"&amp;DATOS!$E4080&amp;"|"&amp;DATOS!$I4080)</f>
      </c>
      <c r="G4080">
        <f>IF(DATOS!$A4080="",0,IF(CONFIG_METADATA!$B$4&lt;&gt;"OR+EX",--(DATOS!$G4080=CONFIG_METADATA!$B$4),IF(DATOS!$G4080="EX",1,IF(DATOS!$G4080="OR",--(COUNTIFS(nNIA,DATOS!$A4080,nCURSO,DATOS!$D4080,nESPEC,DATOS!$E4080,nASIG,DATOS!$I4080,nEVAL,"EX")=0),0))))</f>
      </c>
      <c r="H4080">
        <f>IF(DATOS!$G4080&lt;&gt;"EX",0,--(COUNTIFS(nNIA,DATOS!$A4080,nCURSO,DATOS!$D4080,nESPEC,DATOS!$E4080,nASIG,DATOS!$I4080,nEVAL,"OR")=0))</f>
      </c>
      <c r="I4080">
        <f>IF(DATOS!$I4080="","",IFERROR(VLOOKUP(DATOS!$I4080,CONFIG_ASIGNATURAS!$B$2:$J$91,9,FALSE()),""))</f>
      </c>
    </row>
    <row r="4081">
      <c r="F4081">
        <f>IF(DATOS!$A4081="","",DATOS!$A4081&amp;"|"&amp;DATOS!$D4081&amp;"|"&amp;DATOS!$E4081&amp;"|"&amp;DATOS!$I4081)</f>
      </c>
      <c r="G4081">
        <f>IF(DATOS!$A4081="",0,IF(CONFIG_METADATA!$B$4&lt;&gt;"OR+EX",--(DATOS!$G4081=CONFIG_METADATA!$B$4),IF(DATOS!$G4081="EX",1,IF(DATOS!$G4081="OR",--(COUNTIFS(nNIA,DATOS!$A4081,nCURSO,DATOS!$D4081,nESPEC,DATOS!$E4081,nASIG,DATOS!$I4081,nEVAL,"EX")=0),0))))</f>
      </c>
      <c r="H4081">
        <f>IF(DATOS!$G4081&lt;&gt;"EX",0,--(COUNTIFS(nNIA,DATOS!$A4081,nCURSO,DATOS!$D4081,nESPEC,DATOS!$E4081,nASIG,DATOS!$I4081,nEVAL,"OR")=0))</f>
      </c>
      <c r="I4081">
        <f>IF(DATOS!$I4081="","",IFERROR(VLOOKUP(DATOS!$I4081,CONFIG_ASIGNATURAS!$B$2:$J$91,9,FALSE()),""))</f>
      </c>
    </row>
    <row r="4082">
      <c r="F4082">
        <f>IF(DATOS!$A4082="","",DATOS!$A4082&amp;"|"&amp;DATOS!$D4082&amp;"|"&amp;DATOS!$E4082&amp;"|"&amp;DATOS!$I4082)</f>
      </c>
      <c r="G4082">
        <f>IF(DATOS!$A4082="",0,IF(CONFIG_METADATA!$B$4&lt;&gt;"OR+EX",--(DATOS!$G4082=CONFIG_METADATA!$B$4),IF(DATOS!$G4082="EX",1,IF(DATOS!$G4082="OR",--(COUNTIFS(nNIA,DATOS!$A4082,nCURSO,DATOS!$D4082,nESPEC,DATOS!$E4082,nASIG,DATOS!$I4082,nEVAL,"EX")=0),0))))</f>
      </c>
      <c r="H4082">
        <f>IF(DATOS!$G4082&lt;&gt;"EX",0,--(COUNTIFS(nNIA,DATOS!$A4082,nCURSO,DATOS!$D4082,nESPEC,DATOS!$E4082,nASIG,DATOS!$I4082,nEVAL,"OR")=0))</f>
      </c>
      <c r="I4082">
        <f>IF(DATOS!$I4082="","",IFERROR(VLOOKUP(DATOS!$I4082,CONFIG_ASIGNATURAS!$B$2:$J$91,9,FALSE()),""))</f>
      </c>
    </row>
    <row r="4083">
      <c r="F4083">
        <f>IF(DATOS!$A4083="","",DATOS!$A4083&amp;"|"&amp;DATOS!$D4083&amp;"|"&amp;DATOS!$E4083&amp;"|"&amp;DATOS!$I4083)</f>
      </c>
      <c r="G4083">
        <f>IF(DATOS!$A4083="",0,IF(CONFIG_METADATA!$B$4&lt;&gt;"OR+EX",--(DATOS!$G4083=CONFIG_METADATA!$B$4),IF(DATOS!$G4083="EX",1,IF(DATOS!$G4083="OR",--(COUNTIFS(nNIA,DATOS!$A4083,nCURSO,DATOS!$D4083,nESPEC,DATOS!$E4083,nASIG,DATOS!$I4083,nEVAL,"EX")=0),0))))</f>
      </c>
      <c r="H4083">
        <f>IF(DATOS!$G4083&lt;&gt;"EX",0,--(COUNTIFS(nNIA,DATOS!$A4083,nCURSO,DATOS!$D4083,nESPEC,DATOS!$E4083,nASIG,DATOS!$I4083,nEVAL,"OR")=0))</f>
      </c>
      <c r="I4083">
        <f>IF(DATOS!$I4083="","",IFERROR(VLOOKUP(DATOS!$I4083,CONFIG_ASIGNATURAS!$B$2:$J$91,9,FALSE()),""))</f>
      </c>
    </row>
    <row r="4084">
      <c r="F4084">
        <f>IF(DATOS!$A4084="","",DATOS!$A4084&amp;"|"&amp;DATOS!$D4084&amp;"|"&amp;DATOS!$E4084&amp;"|"&amp;DATOS!$I4084)</f>
      </c>
      <c r="G4084">
        <f>IF(DATOS!$A4084="",0,IF(CONFIG_METADATA!$B$4&lt;&gt;"OR+EX",--(DATOS!$G4084=CONFIG_METADATA!$B$4),IF(DATOS!$G4084="EX",1,IF(DATOS!$G4084="OR",--(COUNTIFS(nNIA,DATOS!$A4084,nCURSO,DATOS!$D4084,nESPEC,DATOS!$E4084,nASIG,DATOS!$I4084,nEVAL,"EX")=0),0))))</f>
      </c>
      <c r="H4084">
        <f>IF(DATOS!$G4084&lt;&gt;"EX",0,--(COUNTIFS(nNIA,DATOS!$A4084,nCURSO,DATOS!$D4084,nESPEC,DATOS!$E4084,nASIG,DATOS!$I4084,nEVAL,"OR")=0))</f>
      </c>
      <c r="I4084">
        <f>IF(DATOS!$I4084="","",IFERROR(VLOOKUP(DATOS!$I4084,CONFIG_ASIGNATURAS!$B$2:$J$91,9,FALSE()),""))</f>
      </c>
    </row>
    <row r="4085">
      <c r="F4085">
        <f>IF(DATOS!$A4085="","",DATOS!$A4085&amp;"|"&amp;DATOS!$D4085&amp;"|"&amp;DATOS!$E4085&amp;"|"&amp;DATOS!$I4085)</f>
      </c>
      <c r="G4085">
        <f>IF(DATOS!$A4085="",0,IF(CONFIG_METADATA!$B$4&lt;&gt;"OR+EX",--(DATOS!$G4085=CONFIG_METADATA!$B$4),IF(DATOS!$G4085="EX",1,IF(DATOS!$G4085="OR",--(COUNTIFS(nNIA,DATOS!$A4085,nCURSO,DATOS!$D4085,nESPEC,DATOS!$E4085,nASIG,DATOS!$I4085,nEVAL,"EX")=0),0))))</f>
      </c>
      <c r="H4085">
        <f>IF(DATOS!$G4085&lt;&gt;"EX",0,--(COUNTIFS(nNIA,DATOS!$A4085,nCURSO,DATOS!$D4085,nESPEC,DATOS!$E4085,nASIG,DATOS!$I4085,nEVAL,"OR")=0))</f>
      </c>
      <c r="I4085">
        <f>IF(DATOS!$I4085="","",IFERROR(VLOOKUP(DATOS!$I4085,CONFIG_ASIGNATURAS!$B$2:$J$91,9,FALSE()),""))</f>
      </c>
    </row>
    <row r="4086">
      <c r="F4086">
        <f>IF(DATOS!$A4086="","",DATOS!$A4086&amp;"|"&amp;DATOS!$D4086&amp;"|"&amp;DATOS!$E4086&amp;"|"&amp;DATOS!$I4086)</f>
      </c>
      <c r="G4086">
        <f>IF(DATOS!$A4086="",0,IF(CONFIG_METADATA!$B$4&lt;&gt;"OR+EX",--(DATOS!$G4086=CONFIG_METADATA!$B$4),IF(DATOS!$G4086="EX",1,IF(DATOS!$G4086="OR",--(COUNTIFS(nNIA,DATOS!$A4086,nCURSO,DATOS!$D4086,nESPEC,DATOS!$E4086,nASIG,DATOS!$I4086,nEVAL,"EX")=0),0))))</f>
      </c>
      <c r="H4086">
        <f>IF(DATOS!$G4086&lt;&gt;"EX",0,--(COUNTIFS(nNIA,DATOS!$A4086,nCURSO,DATOS!$D4086,nESPEC,DATOS!$E4086,nASIG,DATOS!$I4086,nEVAL,"OR")=0))</f>
      </c>
      <c r="I4086">
        <f>IF(DATOS!$I4086="","",IFERROR(VLOOKUP(DATOS!$I4086,CONFIG_ASIGNATURAS!$B$2:$J$91,9,FALSE()),""))</f>
      </c>
    </row>
    <row r="4087">
      <c r="F4087">
        <f>IF(DATOS!$A4087="","",DATOS!$A4087&amp;"|"&amp;DATOS!$D4087&amp;"|"&amp;DATOS!$E4087&amp;"|"&amp;DATOS!$I4087)</f>
      </c>
      <c r="G4087">
        <f>IF(DATOS!$A4087="",0,IF(CONFIG_METADATA!$B$4&lt;&gt;"OR+EX",--(DATOS!$G4087=CONFIG_METADATA!$B$4),IF(DATOS!$G4087="EX",1,IF(DATOS!$G4087="OR",--(COUNTIFS(nNIA,DATOS!$A4087,nCURSO,DATOS!$D4087,nESPEC,DATOS!$E4087,nASIG,DATOS!$I4087,nEVAL,"EX")=0),0))))</f>
      </c>
      <c r="H4087">
        <f>IF(DATOS!$G4087&lt;&gt;"EX",0,--(COUNTIFS(nNIA,DATOS!$A4087,nCURSO,DATOS!$D4087,nESPEC,DATOS!$E4087,nASIG,DATOS!$I4087,nEVAL,"OR")=0))</f>
      </c>
      <c r="I4087">
        <f>IF(DATOS!$I4087="","",IFERROR(VLOOKUP(DATOS!$I4087,CONFIG_ASIGNATURAS!$B$2:$J$91,9,FALSE()),""))</f>
      </c>
    </row>
    <row r="4088">
      <c r="F4088">
        <f>IF(DATOS!$A4088="","",DATOS!$A4088&amp;"|"&amp;DATOS!$D4088&amp;"|"&amp;DATOS!$E4088&amp;"|"&amp;DATOS!$I4088)</f>
      </c>
      <c r="G4088">
        <f>IF(DATOS!$A4088="",0,IF(CONFIG_METADATA!$B$4&lt;&gt;"OR+EX",--(DATOS!$G4088=CONFIG_METADATA!$B$4),IF(DATOS!$G4088="EX",1,IF(DATOS!$G4088="OR",--(COUNTIFS(nNIA,DATOS!$A4088,nCURSO,DATOS!$D4088,nESPEC,DATOS!$E4088,nASIG,DATOS!$I4088,nEVAL,"EX")=0),0))))</f>
      </c>
      <c r="H4088">
        <f>IF(DATOS!$G4088&lt;&gt;"EX",0,--(COUNTIFS(nNIA,DATOS!$A4088,nCURSO,DATOS!$D4088,nESPEC,DATOS!$E4088,nASIG,DATOS!$I4088,nEVAL,"OR")=0))</f>
      </c>
      <c r="I4088">
        <f>IF(DATOS!$I4088="","",IFERROR(VLOOKUP(DATOS!$I4088,CONFIG_ASIGNATURAS!$B$2:$J$91,9,FALSE()),""))</f>
      </c>
    </row>
    <row r="4089">
      <c r="F4089">
        <f>IF(DATOS!$A4089="","",DATOS!$A4089&amp;"|"&amp;DATOS!$D4089&amp;"|"&amp;DATOS!$E4089&amp;"|"&amp;DATOS!$I4089)</f>
      </c>
      <c r="G4089">
        <f>IF(DATOS!$A4089="",0,IF(CONFIG_METADATA!$B$4&lt;&gt;"OR+EX",--(DATOS!$G4089=CONFIG_METADATA!$B$4),IF(DATOS!$G4089="EX",1,IF(DATOS!$G4089="OR",--(COUNTIFS(nNIA,DATOS!$A4089,nCURSO,DATOS!$D4089,nESPEC,DATOS!$E4089,nASIG,DATOS!$I4089,nEVAL,"EX")=0),0))))</f>
      </c>
      <c r="H4089">
        <f>IF(DATOS!$G4089&lt;&gt;"EX",0,--(COUNTIFS(nNIA,DATOS!$A4089,nCURSO,DATOS!$D4089,nESPEC,DATOS!$E4089,nASIG,DATOS!$I4089,nEVAL,"OR")=0))</f>
      </c>
      <c r="I4089">
        <f>IF(DATOS!$I4089="","",IFERROR(VLOOKUP(DATOS!$I4089,CONFIG_ASIGNATURAS!$B$2:$J$91,9,FALSE()),""))</f>
      </c>
    </row>
    <row r="4090">
      <c r="F4090">
        <f>IF(DATOS!$A4090="","",DATOS!$A4090&amp;"|"&amp;DATOS!$D4090&amp;"|"&amp;DATOS!$E4090&amp;"|"&amp;DATOS!$I4090)</f>
      </c>
      <c r="G4090">
        <f>IF(DATOS!$A4090="",0,IF(CONFIG_METADATA!$B$4&lt;&gt;"OR+EX",--(DATOS!$G4090=CONFIG_METADATA!$B$4),IF(DATOS!$G4090="EX",1,IF(DATOS!$G4090="OR",--(COUNTIFS(nNIA,DATOS!$A4090,nCURSO,DATOS!$D4090,nESPEC,DATOS!$E4090,nASIG,DATOS!$I4090,nEVAL,"EX")=0),0))))</f>
      </c>
      <c r="H4090">
        <f>IF(DATOS!$G4090&lt;&gt;"EX",0,--(COUNTIFS(nNIA,DATOS!$A4090,nCURSO,DATOS!$D4090,nESPEC,DATOS!$E4090,nASIG,DATOS!$I4090,nEVAL,"OR")=0))</f>
      </c>
      <c r="I4090">
        <f>IF(DATOS!$I4090="","",IFERROR(VLOOKUP(DATOS!$I4090,CONFIG_ASIGNATURAS!$B$2:$J$91,9,FALSE()),""))</f>
      </c>
    </row>
    <row r="4091">
      <c r="F4091">
        <f>IF(DATOS!$A4091="","",DATOS!$A4091&amp;"|"&amp;DATOS!$D4091&amp;"|"&amp;DATOS!$E4091&amp;"|"&amp;DATOS!$I4091)</f>
      </c>
      <c r="G4091">
        <f>IF(DATOS!$A4091="",0,IF(CONFIG_METADATA!$B$4&lt;&gt;"OR+EX",--(DATOS!$G4091=CONFIG_METADATA!$B$4),IF(DATOS!$G4091="EX",1,IF(DATOS!$G4091="OR",--(COUNTIFS(nNIA,DATOS!$A4091,nCURSO,DATOS!$D4091,nESPEC,DATOS!$E4091,nASIG,DATOS!$I4091,nEVAL,"EX")=0),0))))</f>
      </c>
      <c r="H4091">
        <f>IF(DATOS!$G4091&lt;&gt;"EX",0,--(COUNTIFS(nNIA,DATOS!$A4091,nCURSO,DATOS!$D4091,nESPEC,DATOS!$E4091,nASIG,DATOS!$I4091,nEVAL,"OR")=0))</f>
      </c>
      <c r="I4091">
        <f>IF(DATOS!$I4091="","",IFERROR(VLOOKUP(DATOS!$I4091,CONFIG_ASIGNATURAS!$B$2:$J$91,9,FALSE()),""))</f>
      </c>
    </row>
    <row r="4092">
      <c r="F4092">
        <f>IF(DATOS!$A4092="","",DATOS!$A4092&amp;"|"&amp;DATOS!$D4092&amp;"|"&amp;DATOS!$E4092&amp;"|"&amp;DATOS!$I4092)</f>
      </c>
      <c r="G4092">
        <f>IF(DATOS!$A4092="",0,IF(CONFIG_METADATA!$B$4&lt;&gt;"OR+EX",--(DATOS!$G4092=CONFIG_METADATA!$B$4),IF(DATOS!$G4092="EX",1,IF(DATOS!$G4092="OR",--(COUNTIFS(nNIA,DATOS!$A4092,nCURSO,DATOS!$D4092,nESPEC,DATOS!$E4092,nASIG,DATOS!$I4092,nEVAL,"EX")=0),0))))</f>
      </c>
      <c r="H4092">
        <f>IF(DATOS!$G4092&lt;&gt;"EX",0,--(COUNTIFS(nNIA,DATOS!$A4092,nCURSO,DATOS!$D4092,nESPEC,DATOS!$E4092,nASIG,DATOS!$I4092,nEVAL,"OR")=0))</f>
      </c>
      <c r="I4092">
        <f>IF(DATOS!$I4092="","",IFERROR(VLOOKUP(DATOS!$I4092,CONFIG_ASIGNATURAS!$B$2:$J$91,9,FALSE()),""))</f>
      </c>
    </row>
    <row r="4093">
      <c r="F4093">
        <f>IF(DATOS!$A4093="","",DATOS!$A4093&amp;"|"&amp;DATOS!$D4093&amp;"|"&amp;DATOS!$E4093&amp;"|"&amp;DATOS!$I4093)</f>
      </c>
      <c r="G4093">
        <f>IF(DATOS!$A4093="",0,IF(CONFIG_METADATA!$B$4&lt;&gt;"OR+EX",--(DATOS!$G4093=CONFIG_METADATA!$B$4),IF(DATOS!$G4093="EX",1,IF(DATOS!$G4093="OR",--(COUNTIFS(nNIA,DATOS!$A4093,nCURSO,DATOS!$D4093,nESPEC,DATOS!$E4093,nASIG,DATOS!$I4093,nEVAL,"EX")=0),0))))</f>
      </c>
      <c r="H4093">
        <f>IF(DATOS!$G4093&lt;&gt;"EX",0,--(COUNTIFS(nNIA,DATOS!$A4093,nCURSO,DATOS!$D4093,nESPEC,DATOS!$E4093,nASIG,DATOS!$I4093,nEVAL,"OR")=0))</f>
      </c>
      <c r="I4093">
        <f>IF(DATOS!$I4093="","",IFERROR(VLOOKUP(DATOS!$I4093,CONFIG_ASIGNATURAS!$B$2:$J$91,9,FALSE()),""))</f>
      </c>
    </row>
    <row r="4094">
      <c r="F4094">
        <f>IF(DATOS!$A4094="","",DATOS!$A4094&amp;"|"&amp;DATOS!$D4094&amp;"|"&amp;DATOS!$E4094&amp;"|"&amp;DATOS!$I4094)</f>
      </c>
      <c r="G4094">
        <f>IF(DATOS!$A4094="",0,IF(CONFIG_METADATA!$B$4&lt;&gt;"OR+EX",--(DATOS!$G4094=CONFIG_METADATA!$B$4),IF(DATOS!$G4094="EX",1,IF(DATOS!$G4094="OR",--(COUNTIFS(nNIA,DATOS!$A4094,nCURSO,DATOS!$D4094,nESPEC,DATOS!$E4094,nASIG,DATOS!$I4094,nEVAL,"EX")=0),0))))</f>
      </c>
      <c r="H4094">
        <f>IF(DATOS!$G4094&lt;&gt;"EX",0,--(COUNTIFS(nNIA,DATOS!$A4094,nCURSO,DATOS!$D4094,nESPEC,DATOS!$E4094,nASIG,DATOS!$I4094,nEVAL,"OR")=0))</f>
      </c>
      <c r="I4094">
        <f>IF(DATOS!$I4094="","",IFERROR(VLOOKUP(DATOS!$I4094,CONFIG_ASIGNATURAS!$B$2:$J$91,9,FALSE()),""))</f>
      </c>
    </row>
    <row r="4095">
      <c r="F4095">
        <f>IF(DATOS!$A4095="","",DATOS!$A4095&amp;"|"&amp;DATOS!$D4095&amp;"|"&amp;DATOS!$E4095&amp;"|"&amp;DATOS!$I4095)</f>
      </c>
      <c r="G4095">
        <f>IF(DATOS!$A4095="",0,IF(CONFIG_METADATA!$B$4&lt;&gt;"OR+EX",--(DATOS!$G4095=CONFIG_METADATA!$B$4),IF(DATOS!$G4095="EX",1,IF(DATOS!$G4095="OR",--(COUNTIFS(nNIA,DATOS!$A4095,nCURSO,DATOS!$D4095,nESPEC,DATOS!$E4095,nASIG,DATOS!$I4095,nEVAL,"EX")=0),0))))</f>
      </c>
      <c r="H4095">
        <f>IF(DATOS!$G4095&lt;&gt;"EX",0,--(COUNTIFS(nNIA,DATOS!$A4095,nCURSO,DATOS!$D4095,nESPEC,DATOS!$E4095,nASIG,DATOS!$I4095,nEVAL,"OR")=0))</f>
      </c>
      <c r="I4095">
        <f>IF(DATOS!$I4095="","",IFERROR(VLOOKUP(DATOS!$I4095,CONFIG_ASIGNATURAS!$B$2:$J$91,9,FALSE()),""))</f>
      </c>
    </row>
    <row r="4096">
      <c r="F4096">
        <f>IF(DATOS!$A4096="","",DATOS!$A4096&amp;"|"&amp;DATOS!$D4096&amp;"|"&amp;DATOS!$E4096&amp;"|"&amp;DATOS!$I4096)</f>
      </c>
      <c r="G4096">
        <f>IF(DATOS!$A4096="",0,IF(CONFIG_METADATA!$B$4&lt;&gt;"OR+EX",--(DATOS!$G4096=CONFIG_METADATA!$B$4),IF(DATOS!$G4096="EX",1,IF(DATOS!$G4096="OR",--(COUNTIFS(nNIA,DATOS!$A4096,nCURSO,DATOS!$D4096,nESPEC,DATOS!$E4096,nASIG,DATOS!$I4096,nEVAL,"EX")=0),0))))</f>
      </c>
      <c r="H4096">
        <f>IF(DATOS!$G4096&lt;&gt;"EX",0,--(COUNTIFS(nNIA,DATOS!$A4096,nCURSO,DATOS!$D4096,nESPEC,DATOS!$E4096,nASIG,DATOS!$I4096,nEVAL,"OR")=0))</f>
      </c>
      <c r="I4096">
        <f>IF(DATOS!$I4096="","",IFERROR(VLOOKUP(DATOS!$I4096,CONFIG_ASIGNATURAS!$B$2:$J$91,9,FALSE()),""))</f>
      </c>
    </row>
    <row r="4097">
      <c r="F4097">
        <f>IF(DATOS!$A4097="","",DATOS!$A4097&amp;"|"&amp;DATOS!$D4097&amp;"|"&amp;DATOS!$E4097&amp;"|"&amp;DATOS!$I4097)</f>
      </c>
      <c r="G4097">
        <f>IF(DATOS!$A4097="",0,IF(CONFIG_METADATA!$B$4&lt;&gt;"OR+EX",--(DATOS!$G4097=CONFIG_METADATA!$B$4),IF(DATOS!$G4097="EX",1,IF(DATOS!$G4097="OR",--(COUNTIFS(nNIA,DATOS!$A4097,nCURSO,DATOS!$D4097,nESPEC,DATOS!$E4097,nASIG,DATOS!$I4097,nEVAL,"EX")=0),0))))</f>
      </c>
      <c r="H4097">
        <f>IF(DATOS!$G4097&lt;&gt;"EX",0,--(COUNTIFS(nNIA,DATOS!$A4097,nCURSO,DATOS!$D4097,nESPEC,DATOS!$E4097,nASIG,DATOS!$I4097,nEVAL,"OR")=0))</f>
      </c>
      <c r="I4097">
        <f>IF(DATOS!$I4097="","",IFERROR(VLOOKUP(DATOS!$I4097,CONFIG_ASIGNATURAS!$B$2:$J$91,9,FALSE()),""))</f>
      </c>
    </row>
    <row r="4098">
      <c r="F4098">
        <f>IF(DATOS!$A4098="","",DATOS!$A4098&amp;"|"&amp;DATOS!$D4098&amp;"|"&amp;DATOS!$E4098&amp;"|"&amp;DATOS!$I4098)</f>
      </c>
      <c r="G4098">
        <f>IF(DATOS!$A4098="",0,IF(CONFIG_METADATA!$B$4&lt;&gt;"OR+EX",--(DATOS!$G4098=CONFIG_METADATA!$B$4),IF(DATOS!$G4098="EX",1,IF(DATOS!$G4098="OR",--(COUNTIFS(nNIA,DATOS!$A4098,nCURSO,DATOS!$D4098,nESPEC,DATOS!$E4098,nASIG,DATOS!$I4098,nEVAL,"EX")=0),0))))</f>
      </c>
      <c r="H4098">
        <f>IF(DATOS!$G4098&lt;&gt;"EX",0,--(COUNTIFS(nNIA,DATOS!$A4098,nCURSO,DATOS!$D4098,nESPEC,DATOS!$E4098,nASIG,DATOS!$I4098,nEVAL,"OR")=0))</f>
      </c>
      <c r="I4098">
        <f>IF(DATOS!$I4098="","",IFERROR(VLOOKUP(DATOS!$I4098,CONFIG_ASIGNATURAS!$B$2:$J$91,9,FALSE()),""))</f>
      </c>
    </row>
    <row r="4099">
      <c r="F4099">
        <f>IF(DATOS!$A4099="","",DATOS!$A4099&amp;"|"&amp;DATOS!$D4099&amp;"|"&amp;DATOS!$E4099&amp;"|"&amp;DATOS!$I4099)</f>
      </c>
      <c r="G4099">
        <f>IF(DATOS!$A4099="",0,IF(CONFIG_METADATA!$B$4&lt;&gt;"OR+EX",--(DATOS!$G4099=CONFIG_METADATA!$B$4),IF(DATOS!$G4099="EX",1,IF(DATOS!$G4099="OR",--(COUNTIFS(nNIA,DATOS!$A4099,nCURSO,DATOS!$D4099,nESPEC,DATOS!$E4099,nASIG,DATOS!$I4099,nEVAL,"EX")=0),0))))</f>
      </c>
      <c r="H4099">
        <f>IF(DATOS!$G4099&lt;&gt;"EX",0,--(COUNTIFS(nNIA,DATOS!$A4099,nCURSO,DATOS!$D4099,nESPEC,DATOS!$E4099,nASIG,DATOS!$I4099,nEVAL,"OR")=0))</f>
      </c>
      <c r="I4099">
        <f>IF(DATOS!$I4099="","",IFERROR(VLOOKUP(DATOS!$I4099,CONFIG_ASIGNATURAS!$B$2:$J$91,9,FALSE()),""))</f>
      </c>
    </row>
    <row r="4100">
      <c r="F4100">
        <f>IF(DATOS!$A4100="","",DATOS!$A4100&amp;"|"&amp;DATOS!$D4100&amp;"|"&amp;DATOS!$E4100&amp;"|"&amp;DATOS!$I4100)</f>
      </c>
      <c r="G4100">
        <f>IF(DATOS!$A4100="",0,IF(CONFIG_METADATA!$B$4&lt;&gt;"OR+EX",--(DATOS!$G4100=CONFIG_METADATA!$B$4),IF(DATOS!$G4100="EX",1,IF(DATOS!$G4100="OR",--(COUNTIFS(nNIA,DATOS!$A4100,nCURSO,DATOS!$D4100,nESPEC,DATOS!$E4100,nASIG,DATOS!$I4100,nEVAL,"EX")=0),0))))</f>
      </c>
      <c r="H4100">
        <f>IF(DATOS!$G4100&lt;&gt;"EX",0,--(COUNTIFS(nNIA,DATOS!$A4100,nCURSO,DATOS!$D4100,nESPEC,DATOS!$E4100,nASIG,DATOS!$I4100,nEVAL,"OR")=0))</f>
      </c>
      <c r="I4100">
        <f>IF(DATOS!$I4100="","",IFERROR(VLOOKUP(DATOS!$I4100,CONFIG_ASIGNATURAS!$B$2:$J$91,9,FALSE()),""))</f>
      </c>
    </row>
    <row r="4101">
      <c r="F4101">
        <f>IF(DATOS!$A4101="","",DATOS!$A4101&amp;"|"&amp;DATOS!$D4101&amp;"|"&amp;DATOS!$E4101&amp;"|"&amp;DATOS!$I4101)</f>
      </c>
      <c r="G4101">
        <f>IF(DATOS!$A4101="",0,IF(CONFIG_METADATA!$B$4&lt;&gt;"OR+EX",--(DATOS!$G4101=CONFIG_METADATA!$B$4),IF(DATOS!$G4101="EX",1,IF(DATOS!$G4101="OR",--(COUNTIFS(nNIA,DATOS!$A4101,nCURSO,DATOS!$D4101,nESPEC,DATOS!$E4101,nASIG,DATOS!$I4101,nEVAL,"EX")=0),0))))</f>
      </c>
      <c r="H4101">
        <f>IF(DATOS!$G4101&lt;&gt;"EX",0,--(COUNTIFS(nNIA,DATOS!$A4101,nCURSO,DATOS!$D4101,nESPEC,DATOS!$E4101,nASIG,DATOS!$I4101,nEVAL,"OR")=0))</f>
      </c>
      <c r="I4101">
        <f>IF(DATOS!$I4101="","",IFERROR(VLOOKUP(DATOS!$I4101,CONFIG_ASIGNATURAS!$B$2:$J$91,9,FALSE()),""))</f>
      </c>
    </row>
    <row r="4102">
      <c r="F4102">
        <f>IF(DATOS!$A4102="","",DATOS!$A4102&amp;"|"&amp;DATOS!$D4102&amp;"|"&amp;DATOS!$E4102&amp;"|"&amp;DATOS!$I4102)</f>
      </c>
      <c r="G4102">
        <f>IF(DATOS!$A4102="",0,IF(CONFIG_METADATA!$B$4&lt;&gt;"OR+EX",--(DATOS!$G4102=CONFIG_METADATA!$B$4),IF(DATOS!$G4102="EX",1,IF(DATOS!$G4102="OR",--(COUNTIFS(nNIA,DATOS!$A4102,nCURSO,DATOS!$D4102,nESPEC,DATOS!$E4102,nASIG,DATOS!$I4102,nEVAL,"EX")=0),0))))</f>
      </c>
      <c r="H4102">
        <f>IF(DATOS!$G4102&lt;&gt;"EX",0,--(COUNTIFS(nNIA,DATOS!$A4102,nCURSO,DATOS!$D4102,nESPEC,DATOS!$E4102,nASIG,DATOS!$I4102,nEVAL,"OR")=0))</f>
      </c>
      <c r="I4102">
        <f>IF(DATOS!$I4102="","",IFERROR(VLOOKUP(DATOS!$I4102,CONFIG_ASIGNATURAS!$B$2:$J$91,9,FALSE()),""))</f>
      </c>
    </row>
    <row r="4103">
      <c r="F4103">
        <f>IF(DATOS!$A4103="","",DATOS!$A4103&amp;"|"&amp;DATOS!$D4103&amp;"|"&amp;DATOS!$E4103&amp;"|"&amp;DATOS!$I4103)</f>
      </c>
      <c r="G4103">
        <f>IF(DATOS!$A4103="",0,IF(CONFIG_METADATA!$B$4&lt;&gt;"OR+EX",--(DATOS!$G4103=CONFIG_METADATA!$B$4),IF(DATOS!$G4103="EX",1,IF(DATOS!$G4103="OR",--(COUNTIFS(nNIA,DATOS!$A4103,nCURSO,DATOS!$D4103,nESPEC,DATOS!$E4103,nASIG,DATOS!$I4103,nEVAL,"EX")=0),0))))</f>
      </c>
      <c r="H4103">
        <f>IF(DATOS!$G4103&lt;&gt;"EX",0,--(COUNTIFS(nNIA,DATOS!$A4103,nCURSO,DATOS!$D4103,nESPEC,DATOS!$E4103,nASIG,DATOS!$I4103,nEVAL,"OR")=0))</f>
      </c>
      <c r="I4103">
        <f>IF(DATOS!$I4103="","",IFERROR(VLOOKUP(DATOS!$I4103,CONFIG_ASIGNATURAS!$B$2:$J$91,9,FALSE()),""))</f>
      </c>
    </row>
    <row r="4104">
      <c r="F4104">
        <f>IF(DATOS!$A4104="","",DATOS!$A4104&amp;"|"&amp;DATOS!$D4104&amp;"|"&amp;DATOS!$E4104&amp;"|"&amp;DATOS!$I4104)</f>
      </c>
      <c r="G4104">
        <f>IF(DATOS!$A4104="",0,IF(CONFIG_METADATA!$B$4&lt;&gt;"OR+EX",--(DATOS!$G4104=CONFIG_METADATA!$B$4),IF(DATOS!$G4104="EX",1,IF(DATOS!$G4104="OR",--(COUNTIFS(nNIA,DATOS!$A4104,nCURSO,DATOS!$D4104,nESPEC,DATOS!$E4104,nASIG,DATOS!$I4104,nEVAL,"EX")=0),0))))</f>
      </c>
      <c r="H4104">
        <f>IF(DATOS!$G4104&lt;&gt;"EX",0,--(COUNTIFS(nNIA,DATOS!$A4104,nCURSO,DATOS!$D4104,nESPEC,DATOS!$E4104,nASIG,DATOS!$I4104,nEVAL,"OR")=0))</f>
      </c>
      <c r="I4104">
        <f>IF(DATOS!$I4104="","",IFERROR(VLOOKUP(DATOS!$I4104,CONFIG_ASIGNATURAS!$B$2:$J$91,9,FALSE()),""))</f>
      </c>
    </row>
    <row r="4105">
      <c r="F4105">
        <f>IF(DATOS!$A4105="","",DATOS!$A4105&amp;"|"&amp;DATOS!$D4105&amp;"|"&amp;DATOS!$E4105&amp;"|"&amp;DATOS!$I4105)</f>
      </c>
      <c r="G4105">
        <f>IF(DATOS!$A4105="",0,IF(CONFIG_METADATA!$B$4&lt;&gt;"OR+EX",--(DATOS!$G4105=CONFIG_METADATA!$B$4),IF(DATOS!$G4105="EX",1,IF(DATOS!$G4105="OR",--(COUNTIFS(nNIA,DATOS!$A4105,nCURSO,DATOS!$D4105,nESPEC,DATOS!$E4105,nASIG,DATOS!$I4105,nEVAL,"EX")=0),0))))</f>
      </c>
      <c r="H4105">
        <f>IF(DATOS!$G4105&lt;&gt;"EX",0,--(COUNTIFS(nNIA,DATOS!$A4105,nCURSO,DATOS!$D4105,nESPEC,DATOS!$E4105,nASIG,DATOS!$I4105,nEVAL,"OR")=0))</f>
      </c>
      <c r="I4105">
        <f>IF(DATOS!$I4105="","",IFERROR(VLOOKUP(DATOS!$I4105,CONFIG_ASIGNATURAS!$B$2:$J$91,9,FALSE()),""))</f>
      </c>
    </row>
    <row r="4106">
      <c r="F4106">
        <f>IF(DATOS!$A4106="","",DATOS!$A4106&amp;"|"&amp;DATOS!$D4106&amp;"|"&amp;DATOS!$E4106&amp;"|"&amp;DATOS!$I4106)</f>
      </c>
      <c r="G4106">
        <f>IF(DATOS!$A4106="",0,IF(CONFIG_METADATA!$B$4&lt;&gt;"OR+EX",--(DATOS!$G4106=CONFIG_METADATA!$B$4),IF(DATOS!$G4106="EX",1,IF(DATOS!$G4106="OR",--(COUNTIFS(nNIA,DATOS!$A4106,nCURSO,DATOS!$D4106,nESPEC,DATOS!$E4106,nASIG,DATOS!$I4106,nEVAL,"EX")=0),0))))</f>
      </c>
      <c r="H4106">
        <f>IF(DATOS!$G4106&lt;&gt;"EX",0,--(COUNTIFS(nNIA,DATOS!$A4106,nCURSO,DATOS!$D4106,nESPEC,DATOS!$E4106,nASIG,DATOS!$I4106,nEVAL,"OR")=0))</f>
      </c>
      <c r="I4106">
        <f>IF(DATOS!$I4106="","",IFERROR(VLOOKUP(DATOS!$I4106,CONFIG_ASIGNATURAS!$B$2:$J$91,9,FALSE()),""))</f>
      </c>
    </row>
    <row r="4107">
      <c r="F4107">
        <f>IF(DATOS!$A4107="","",DATOS!$A4107&amp;"|"&amp;DATOS!$D4107&amp;"|"&amp;DATOS!$E4107&amp;"|"&amp;DATOS!$I4107)</f>
      </c>
      <c r="G4107">
        <f>IF(DATOS!$A4107="",0,IF(CONFIG_METADATA!$B$4&lt;&gt;"OR+EX",--(DATOS!$G4107=CONFIG_METADATA!$B$4),IF(DATOS!$G4107="EX",1,IF(DATOS!$G4107="OR",--(COUNTIFS(nNIA,DATOS!$A4107,nCURSO,DATOS!$D4107,nESPEC,DATOS!$E4107,nASIG,DATOS!$I4107,nEVAL,"EX")=0),0))))</f>
      </c>
      <c r="H4107">
        <f>IF(DATOS!$G4107&lt;&gt;"EX",0,--(COUNTIFS(nNIA,DATOS!$A4107,nCURSO,DATOS!$D4107,nESPEC,DATOS!$E4107,nASIG,DATOS!$I4107,nEVAL,"OR")=0))</f>
      </c>
      <c r="I4107">
        <f>IF(DATOS!$I4107="","",IFERROR(VLOOKUP(DATOS!$I4107,CONFIG_ASIGNATURAS!$B$2:$J$91,9,FALSE()),""))</f>
      </c>
    </row>
    <row r="4108">
      <c r="F4108">
        <f>IF(DATOS!$A4108="","",DATOS!$A4108&amp;"|"&amp;DATOS!$D4108&amp;"|"&amp;DATOS!$E4108&amp;"|"&amp;DATOS!$I4108)</f>
      </c>
      <c r="G4108">
        <f>IF(DATOS!$A4108="",0,IF(CONFIG_METADATA!$B$4&lt;&gt;"OR+EX",--(DATOS!$G4108=CONFIG_METADATA!$B$4),IF(DATOS!$G4108="EX",1,IF(DATOS!$G4108="OR",--(COUNTIFS(nNIA,DATOS!$A4108,nCURSO,DATOS!$D4108,nESPEC,DATOS!$E4108,nASIG,DATOS!$I4108,nEVAL,"EX")=0),0))))</f>
      </c>
      <c r="H4108">
        <f>IF(DATOS!$G4108&lt;&gt;"EX",0,--(COUNTIFS(nNIA,DATOS!$A4108,nCURSO,DATOS!$D4108,nESPEC,DATOS!$E4108,nASIG,DATOS!$I4108,nEVAL,"OR")=0))</f>
      </c>
      <c r="I4108">
        <f>IF(DATOS!$I4108="","",IFERROR(VLOOKUP(DATOS!$I4108,CONFIG_ASIGNATURAS!$B$2:$J$91,9,FALSE()),""))</f>
      </c>
    </row>
    <row r="4109">
      <c r="F4109">
        <f>IF(DATOS!$A4109="","",DATOS!$A4109&amp;"|"&amp;DATOS!$D4109&amp;"|"&amp;DATOS!$E4109&amp;"|"&amp;DATOS!$I4109)</f>
      </c>
      <c r="G4109">
        <f>IF(DATOS!$A4109="",0,IF(CONFIG_METADATA!$B$4&lt;&gt;"OR+EX",--(DATOS!$G4109=CONFIG_METADATA!$B$4),IF(DATOS!$G4109="EX",1,IF(DATOS!$G4109="OR",--(COUNTIFS(nNIA,DATOS!$A4109,nCURSO,DATOS!$D4109,nESPEC,DATOS!$E4109,nASIG,DATOS!$I4109,nEVAL,"EX")=0),0))))</f>
      </c>
      <c r="H4109">
        <f>IF(DATOS!$G4109&lt;&gt;"EX",0,--(COUNTIFS(nNIA,DATOS!$A4109,nCURSO,DATOS!$D4109,nESPEC,DATOS!$E4109,nASIG,DATOS!$I4109,nEVAL,"OR")=0))</f>
      </c>
      <c r="I4109">
        <f>IF(DATOS!$I4109="","",IFERROR(VLOOKUP(DATOS!$I4109,CONFIG_ASIGNATURAS!$B$2:$J$91,9,FALSE()),""))</f>
      </c>
    </row>
    <row r="4110">
      <c r="F4110">
        <f>IF(DATOS!$A4110="","",DATOS!$A4110&amp;"|"&amp;DATOS!$D4110&amp;"|"&amp;DATOS!$E4110&amp;"|"&amp;DATOS!$I4110)</f>
      </c>
      <c r="G4110">
        <f>IF(DATOS!$A4110="",0,IF(CONFIG_METADATA!$B$4&lt;&gt;"OR+EX",--(DATOS!$G4110=CONFIG_METADATA!$B$4),IF(DATOS!$G4110="EX",1,IF(DATOS!$G4110="OR",--(COUNTIFS(nNIA,DATOS!$A4110,nCURSO,DATOS!$D4110,nESPEC,DATOS!$E4110,nASIG,DATOS!$I4110,nEVAL,"EX")=0),0))))</f>
      </c>
      <c r="H4110">
        <f>IF(DATOS!$G4110&lt;&gt;"EX",0,--(COUNTIFS(nNIA,DATOS!$A4110,nCURSO,DATOS!$D4110,nESPEC,DATOS!$E4110,nASIG,DATOS!$I4110,nEVAL,"OR")=0))</f>
      </c>
      <c r="I4110">
        <f>IF(DATOS!$I4110="","",IFERROR(VLOOKUP(DATOS!$I4110,CONFIG_ASIGNATURAS!$B$2:$J$91,9,FALSE()),""))</f>
      </c>
    </row>
    <row r="4111">
      <c r="F4111">
        <f>IF(DATOS!$A4111="","",DATOS!$A4111&amp;"|"&amp;DATOS!$D4111&amp;"|"&amp;DATOS!$E4111&amp;"|"&amp;DATOS!$I4111)</f>
      </c>
      <c r="G4111">
        <f>IF(DATOS!$A4111="",0,IF(CONFIG_METADATA!$B$4&lt;&gt;"OR+EX",--(DATOS!$G4111=CONFIG_METADATA!$B$4),IF(DATOS!$G4111="EX",1,IF(DATOS!$G4111="OR",--(COUNTIFS(nNIA,DATOS!$A4111,nCURSO,DATOS!$D4111,nESPEC,DATOS!$E4111,nASIG,DATOS!$I4111,nEVAL,"EX")=0),0))))</f>
      </c>
      <c r="H4111">
        <f>IF(DATOS!$G4111&lt;&gt;"EX",0,--(COUNTIFS(nNIA,DATOS!$A4111,nCURSO,DATOS!$D4111,nESPEC,DATOS!$E4111,nASIG,DATOS!$I4111,nEVAL,"OR")=0))</f>
      </c>
      <c r="I4111">
        <f>IF(DATOS!$I4111="","",IFERROR(VLOOKUP(DATOS!$I4111,CONFIG_ASIGNATURAS!$B$2:$J$91,9,FALSE()),""))</f>
      </c>
    </row>
    <row r="4112">
      <c r="F4112">
        <f>IF(DATOS!$A4112="","",DATOS!$A4112&amp;"|"&amp;DATOS!$D4112&amp;"|"&amp;DATOS!$E4112&amp;"|"&amp;DATOS!$I4112)</f>
      </c>
      <c r="G4112">
        <f>IF(DATOS!$A4112="",0,IF(CONFIG_METADATA!$B$4&lt;&gt;"OR+EX",--(DATOS!$G4112=CONFIG_METADATA!$B$4),IF(DATOS!$G4112="EX",1,IF(DATOS!$G4112="OR",--(COUNTIFS(nNIA,DATOS!$A4112,nCURSO,DATOS!$D4112,nESPEC,DATOS!$E4112,nASIG,DATOS!$I4112,nEVAL,"EX")=0),0))))</f>
      </c>
      <c r="H4112">
        <f>IF(DATOS!$G4112&lt;&gt;"EX",0,--(COUNTIFS(nNIA,DATOS!$A4112,nCURSO,DATOS!$D4112,nESPEC,DATOS!$E4112,nASIG,DATOS!$I4112,nEVAL,"OR")=0))</f>
      </c>
      <c r="I4112">
        <f>IF(DATOS!$I4112="","",IFERROR(VLOOKUP(DATOS!$I4112,CONFIG_ASIGNATURAS!$B$2:$J$91,9,FALSE()),""))</f>
      </c>
    </row>
    <row r="4113">
      <c r="F4113">
        <f>IF(DATOS!$A4113="","",DATOS!$A4113&amp;"|"&amp;DATOS!$D4113&amp;"|"&amp;DATOS!$E4113&amp;"|"&amp;DATOS!$I4113)</f>
      </c>
      <c r="G4113">
        <f>IF(DATOS!$A4113="",0,IF(CONFIG_METADATA!$B$4&lt;&gt;"OR+EX",--(DATOS!$G4113=CONFIG_METADATA!$B$4),IF(DATOS!$G4113="EX",1,IF(DATOS!$G4113="OR",--(COUNTIFS(nNIA,DATOS!$A4113,nCURSO,DATOS!$D4113,nESPEC,DATOS!$E4113,nASIG,DATOS!$I4113,nEVAL,"EX")=0),0))))</f>
      </c>
      <c r="H4113">
        <f>IF(DATOS!$G4113&lt;&gt;"EX",0,--(COUNTIFS(nNIA,DATOS!$A4113,nCURSO,DATOS!$D4113,nESPEC,DATOS!$E4113,nASIG,DATOS!$I4113,nEVAL,"OR")=0))</f>
      </c>
      <c r="I4113">
        <f>IF(DATOS!$I4113="","",IFERROR(VLOOKUP(DATOS!$I4113,CONFIG_ASIGNATURAS!$B$2:$J$91,9,FALSE()),""))</f>
      </c>
    </row>
    <row r="4114">
      <c r="F4114">
        <f>IF(DATOS!$A4114="","",DATOS!$A4114&amp;"|"&amp;DATOS!$D4114&amp;"|"&amp;DATOS!$E4114&amp;"|"&amp;DATOS!$I4114)</f>
      </c>
      <c r="G4114">
        <f>IF(DATOS!$A4114="",0,IF(CONFIG_METADATA!$B$4&lt;&gt;"OR+EX",--(DATOS!$G4114=CONFIG_METADATA!$B$4),IF(DATOS!$G4114="EX",1,IF(DATOS!$G4114="OR",--(COUNTIFS(nNIA,DATOS!$A4114,nCURSO,DATOS!$D4114,nESPEC,DATOS!$E4114,nASIG,DATOS!$I4114,nEVAL,"EX")=0),0))))</f>
      </c>
      <c r="H4114">
        <f>IF(DATOS!$G4114&lt;&gt;"EX",0,--(COUNTIFS(nNIA,DATOS!$A4114,nCURSO,DATOS!$D4114,nESPEC,DATOS!$E4114,nASIG,DATOS!$I4114,nEVAL,"OR")=0))</f>
      </c>
      <c r="I4114">
        <f>IF(DATOS!$I4114="","",IFERROR(VLOOKUP(DATOS!$I4114,CONFIG_ASIGNATURAS!$B$2:$J$91,9,FALSE()),""))</f>
      </c>
    </row>
    <row r="4115">
      <c r="F4115">
        <f>IF(DATOS!$A4115="","",DATOS!$A4115&amp;"|"&amp;DATOS!$D4115&amp;"|"&amp;DATOS!$E4115&amp;"|"&amp;DATOS!$I4115)</f>
      </c>
      <c r="G4115">
        <f>IF(DATOS!$A4115="",0,IF(CONFIG_METADATA!$B$4&lt;&gt;"OR+EX",--(DATOS!$G4115=CONFIG_METADATA!$B$4),IF(DATOS!$G4115="EX",1,IF(DATOS!$G4115="OR",--(COUNTIFS(nNIA,DATOS!$A4115,nCURSO,DATOS!$D4115,nESPEC,DATOS!$E4115,nASIG,DATOS!$I4115,nEVAL,"EX")=0),0))))</f>
      </c>
      <c r="H4115">
        <f>IF(DATOS!$G4115&lt;&gt;"EX",0,--(COUNTIFS(nNIA,DATOS!$A4115,nCURSO,DATOS!$D4115,nESPEC,DATOS!$E4115,nASIG,DATOS!$I4115,nEVAL,"OR")=0))</f>
      </c>
      <c r="I4115">
        <f>IF(DATOS!$I4115="","",IFERROR(VLOOKUP(DATOS!$I4115,CONFIG_ASIGNATURAS!$B$2:$J$91,9,FALSE()),""))</f>
      </c>
    </row>
    <row r="4116">
      <c r="F4116">
        <f>IF(DATOS!$A4116="","",DATOS!$A4116&amp;"|"&amp;DATOS!$D4116&amp;"|"&amp;DATOS!$E4116&amp;"|"&amp;DATOS!$I4116)</f>
      </c>
      <c r="G4116">
        <f>IF(DATOS!$A4116="",0,IF(CONFIG_METADATA!$B$4&lt;&gt;"OR+EX",--(DATOS!$G4116=CONFIG_METADATA!$B$4),IF(DATOS!$G4116="EX",1,IF(DATOS!$G4116="OR",--(COUNTIFS(nNIA,DATOS!$A4116,nCURSO,DATOS!$D4116,nESPEC,DATOS!$E4116,nASIG,DATOS!$I4116,nEVAL,"EX")=0),0))))</f>
      </c>
      <c r="H4116">
        <f>IF(DATOS!$G4116&lt;&gt;"EX",0,--(COUNTIFS(nNIA,DATOS!$A4116,nCURSO,DATOS!$D4116,nESPEC,DATOS!$E4116,nASIG,DATOS!$I4116,nEVAL,"OR")=0))</f>
      </c>
      <c r="I4116">
        <f>IF(DATOS!$I4116="","",IFERROR(VLOOKUP(DATOS!$I4116,CONFIG_ASIGNATURAS!$B$2:$J$91,9,FALSE()),""))</f>
      </c>
    </row>
    <row r="4117">
      <c r="F4117">
        <f>IF(DATOS!$A4117="","",DATOS!$A4117&amp;"|"&amp;DATOS!$D4117&amp;"|"&amp;DATOS!$E4117&amp;"|"&amp;DATOS!$I4117)</f>
      </c>
      <c r="G4117">
        <f>IF(DATOS!$A4117="",0,IF(CONFIG_METADATA!$B$4&lt;&gt;"OR+EX",--(DATOS!$G4117=CONFIG_METADATA!$B$4),IF(DATOS!$G4117="EX",1,IF(DATOS!$G4117="OR",--(COUNTIFS(nNIA,DATOS!$A4117,nCURSO,DATOS!$D4117,nESPEC,DATOS!$E4117,nASIG,DATOS!$I4117,nEVAL,"EX")=0),0))))</f>
      </c>
      <c r="H4117">
        <f>IF(DATOS!$G4117&lt;&gt;"EX",0,--(COUNTIFS(nNIA,DATOS!$A4117,nCURSO,DATOS!$D4117,nESPEC,DATOS!$E4117,nASIG,DATOS!$I4117,nEVAL,"OR")=0))</f>
      </c>
      <c r="I4117">
        <f>IF(DATOS!$I4117="","",IFERROR(VLOOKUP(DATOS!$I4117,CONFIG_ASIGNATURAS!$B$2:$J$91,9,FALSE()),""))</f>
      </c>
    </row>
    <row r="4118">
      <c r="F4118">
        <f>IF(DATOS!$A4118="","",DATOS!$A4118&amp;"|"&amp;DATOS!$D4118&amp;"|"&amp;DATOS!$E4118&amp;"|"&amp;DATOS!$I4118)</f>
      </c>
      <c r="G4118">
        <f>IF(DATOS!$A4118="",0,IF(CONFIG_METADATA!$B$4&lt;&gt;"OR+EX",--(DATOS!$G4118=CONFIG_METADATA!$B$4),IF(DATOS!$G4118="EX",1,IF(DATOS!$G4118="OR",--(COUNTIFS(nNIA,DATOS!$A4118,nCURSO,DATOS!$D4118,nESPEC,DATOS!$E4118,nASIG,DATOS!$I4118,nEVAL,"EX")=0),0))))</f>
      </c>
      <c r="H4118">
        <f>IF(DATOS!$G4118&lt;&gt;"EX",0,--(COUNTIFS(nNIA,DATOS!$A4118,nCURSO,DATOS!$D4118,nESPEC,DATOS!$E4118,nASIG,DATOS!$I4118,nEVAL,"OR")=0))</f>
      </c>
      <c r="I4118">
        <f>IF(DATOS!$I4118="","",IFERROR(VLOOKUP(DATOS!$I4118,CONFIG_ASIGNATURAS!$B$2:$J$91,9,FALSE()),""))</f>
      </c>
    </row>
    <row r="4119">
      <c r="F4119">
        <f>IF(DATOS!$A4119="","",DATOS!$A4119&amp;"|"&amp;DATOS!$D4119&amp;"|"&amp;DATOS!$E4119&amp;"|"&amp;DATOS!$I4119)</f>
      </c>
      <c r="G4119">
        <f>IF(DATOS!$A4119="",0,IF(CONFIG_METADATA!$B$4&lt;&gt;"OR+EX",--(DATOS!$G4119=CONFIG_METADATA!$B$4),IF(DATOS!$G4119="EX",1,IF(DATOS!$G4119="OR",--(COUNTIFS(nNIA,DATOS!$A4119,nCURSO,DATOS!$D4119,nESPEC,DATOS!$E4119,nASIG,DATOS!$I4119,nEVAL,"EX")=0),0))))</f>
      </c>
      <c r="H4119">
        <f>IF(DATOS!$G4119&lt;&gt;"EX",0,--(COUNTIFS(nNIA,DATOS!$A4119,nCURSO,DATOS!$D4119,nESPEC,DATOS!$E4119,nASIG,DATOS!$I4119,nEVAL,"OR")=0))</f>
      </c>
      <c r="I4119">
        <f>IF(DATOS!$I4119="","",IFERROR(VLOOKUP(DATOS!$I4119,CONFIG_ASIGNATURAS!$B$2:$J$91,9,FALSE()),""))</f>
      </c>
    </row>
    <row r="4120">
      <c r="F4120">
        <f>IF(DATOS!$A4120="","",DATOS!$A4120&amp;"|"&amp;DATOS!$D4120&amp;"|"&amp;DATOS!$E4120&amp;"|"&amp;DATOS!$I4120)</f>
      </c>
      <c r="G4120">
        <f>IF(DATOS!$A4120="",0,IF(CONFIG_METADATA!$B$4&lt;&gt;"OR+EX",--(DATOS!$G4120=CONFIG_METADATA!$B$4),IF(DATOS!$G4120="EX",1,IF(DATOS!$G4120="OR",--(COUNTIFS(nNIA,DATOS!$A4120,nCURSO,DATOS!$D4120,nESPEC,DATOS!$E4120,nASIG,DATOS!$I4120,nEVAL,"EX")=0),0))))</f>
      </c>
      <c r="H4120">
        <f>IF(DATOS!$G4120&lt;&gt;"EX",0,--(COUNTIFS(nNIA,DATOS!$A4120,nCURSO,DATOS!$D4120,nESPEC,DATOS!$E4120,nASIG,DATOS!$I4120,nEVAL,"OR")=0))</f>
      </c>
      <c r="I4120">
        <f>IF(DATOS!$I4120="","",IFERROR(VLOOKUP(DATOS!$I4120,CONFIG_ASIGNATURAS!$B$2:$J$91,9,FALSE()),""))</f>
      </c>
    </row>
    <row r="4121">
      <c r="F4121">
        <f>IF(DATOS!$A4121="","",DATOS!$A4121&amp;"|"&amp;DATOS!$D4121&amp;"|"&amp;DATOS!$E4121&amp;"|"&amp;DATOS!$I4121)</f>
      </c>
      <c r="G4121">
        <f>IF(DATOS!$A4121="",0,IF(CONFIG_METADATA!$B$4&lt;&gt;"OR+EX",--(DATOS!$G4121=CONFIG_METADATA!$B$4),IF(DATOS!$G4121="EX",1,IF(DATOS!$G4121="OR",--(COUNTIFS(nNIA,DATOS!$A4121,nCURSO,DATOS!$D4121,nESPEC,DATOS!$E4121,nASIG,DATOS!$I4121,nEVAL,"EX")=0),0))))</f>
      </c>
      <c r="H4121">
        <f>IF(DATOS!$G4121&lt;&gt;"EX",0,--(COUNTIFS(nNIA,DATOS!$A4121,nCURSO,DATOS!$D4121,nESPEC,DATOS!$E4121,nASIG,DATOS!$I4121,nEVAL,"OR")=0))</f>
      </c>
      <c r="I4121">
        <f>IF(DATOS!$I4121="","",IFERROR(VLOOKUP(DATOS!$I4121,CONFIG_ASIGNATURAS!$B$2:$J$91,9,FALSE()),""))</f>
      </c>
    </row>
    <row r="4122">
      <c r="F4122">
        <f>IF(DATOS!$A4122="","",DATOS!$A4122&amp;"|"&amp;DATOS!$D4122&amp;"|"&amp;DATOS!$E4122&amp;"|"&amp;DATOS!$I4122)</f>
      </c>
      <c r="G4122">
        <f>IF(DATOS!$A4122="",0,IF(CONFIG_METADATA!$B$4&lt;&gt;"OR+EX",--(DATOS!$G4122=CONFIG_METADATA!$B$4),IF(DATOS!$G4122="EX",1,IF(DATOS!$G4122="OR",--(COUNTIFS(nNIA,DATOS!$A4122,nCURSO,DATOS!$D4122,nESPEC,DATOS!$E4122,nASIG,DATOS!$I4122,nEVAL,"EX")=0),0))))</f>
      </c>
      <c r="H4122">
        <f>IF(DATOS!$G4122&lt;&gt;"EX",0,--(COUNTIFS(nNIA,DATOS!$A4122,nCURSO,DATOS!$D4122,nESPEC,DATOS!$E4122,nASIG,DATOS!$I4122,nEVAL,"OR")=0))</f>
      </c>
      <c r="I4122">
        <f>IF(DATOS!$I4122="","",IFERROR(VLOOKUP(DATOS!$I4122,CONFIG_ASIGNATURAS!$B$2:$J$91,9,FALSE()),""))</f>
      </c>
    </row>
    <row r="4123">
      <c r="F4123">
        <f>IF(DATOS!$A4123="","",DATOS!$A4123&amp;"|"&amp;DATOS!$D4123&amp;"|"&amp;DATOS!$E4123&amp;"|"&amp;DATOS!$I4123)</f>
      </c>
      <c r="G4123">
        <f>IF(DATOS!$A4123="",0,IF(CONFIG_METADATA!$B$4&lt;&gt;"OR+EX",--(DATOS!$G4123=CONFIG_METADATA!$B$4),IF(DATOS!$G4123="EX",1,IF(DATOS!$G4123="OR",--(COUNTIFS(nNIA,DATOS!$A4123,nCURSO,DATOS!$D4123,nESPEC,DATOS!$E4123,nASIG,DATOS!$I4123,nEVAL,"EX")=0),0))))</f>
      </c>
      <c r="H4123">
        <f>IF(DATOS!$G4123&lt;&gt;"EX",0,--(COUNTIFS(nNIA,DATOS!$A4123,nCURSO,DATOS!$D4123,nESPEC,DATOS!$E4123,nASIG,DATOS!$I4123,nEVAL,"OR")=0))</f>
      </c>
      <c r="I4123">
        <f>IF(DATOS!$I4123="","",IFERROR(VLOOKUP(DATOS!$I4123,CONFIG_ASIGNATURAS!$B$2:$J$91,9,FALSE()),""))</f>
      </c>
    </row>
    <row r="4124">
      <c r="F4124">
        <f>IF(DATOS!$A4124="","",DATOS!$A4124&amp;"|"&amp;DATOS!$D4124&amp;"|"&amp;DATOS!$E4124&amp;"|"&amp;DATOS!$I4124)</f>
      </c>
      <c r="G4124">
        <f>IF(DATOS!$A4124="",0,IF(CONFIG_METADATA!$B$4&lt;&gt;"OR+EX",--(DATOS!$G4124=CONFIG_METADATA!$B$4),IF(DATOS!$G4124="EX",1,IF(DATOS!$G4124="OR",--(COUNTIFS(nNIA,DATOS!$A4124,nCURSO,DATOS!$D4124,nESPEC,DATOS!$E4124,nASIG,DATOS!$I4124,nEVAL,"EX")=0),0))))</f>
      </c>
      <c r="H4124">
        <f>IF(DATOS!$G4124&lt;&gt;"EX",0,--(COUNTIFS(nNIA,DATOS!$A4124,nCURSO,DATOS!$D4124,nESPEC,DATOS!$E4124,nASIG,DATOS!$I4124,nEVAL,"OR")=0))</f>
      </c>
      <c r="I4124">
        <f>IF(DATOS!$I4124="","",IFERROR(VLOOKUP(DATOS!$I4124,CONFIG_ASIGNATURAS!$B$2:$J$91,9,FALSE()),""))</f>
      </c>
    </row>
    <row r="4125">
      <c r="F4125">
        <f>IF(DATOS!$A4125="","",DATOS!$A4125&amp;"|"&amp;DATOS!$D4125&amp;"|"&amp;DATOS!$E4125&amp;"|"&amp;DATOS!$I4125)</f>
      </c>
      <c r="G4125">
        <f>IF(DATOS!$A4125="",0,IF(CONFIG_METADATA!$B$4&lt;&gt;"OR+EX",--(DATOS!$G4125=CONFIG_METADATA!$B$4),IF(DATOS!$G4125="EX",1,IF(DATOS!$G4125="OR",--(COUNTIFS(nNIA,DATOS!$A4125,nCURSO,DATOS!$D4125,nESPEC,DATOS!$E4125,nASIG,DATOS!$I4125,nEVAL,"EX")=0),0))))</f>
      </c>
      <c r="H4125">
        <f>IF(DATOS!$G4125&lt;&gt;"EX",0,--(COUNTIFS(nNIA,DATOS!$A4125,nCURSO,DATOS!$D4125,nESPEC,DATOS!$E4125,nASIG,DATOS!$I4125,nEVAL,"OR")=0))</f>
      </c>
      <c r="I4125">
        <f>IF(DATOS!$I4125="","",IFERROR(VLOOKUP(DATOS!$I4125,CONFIG_ASIGNATURAS!$B$2:$J$91,9,FALSE()),""))</f>
      </c>
    </row>
    <row r="4126">
      <c r="F4126">
        <f>IF(DATOS!$A4126="","",DATOS!$A4126&amp;"|"&amp;DATOS!$D4126&amp;"|"&amp;DATOS!$E4126&amp;"|"&amp;DATOS!$I4126)</f>
      </c>
      <c r="G4126">
        <f>IF(DATOS!$A4126="",0,IF(CONFIG_METADATA!$B$4&lt;&gt;"OR+EX",--(DATOS!$G4126=CONFIG_METADATA!$B$4),IF(DATOS!$G4126="EX",1,IF(DATOS!$G4126="OR",--(COUNTIFS(nNIA,DATOS!$A4126,nCURSO,DATOS!$D4126,nESPEC,DATOS!$E4126,nASIG,DATOS!$I4126,nEVAL,"EX")=0),0))))</f>
      </c>
      <c r="H4126">
        <f>IF(DATOS!$G4126&lt;&gt;"EX",0,--(COUNTIFS(nNIA,DATOS!$A4126,nCURSO,DATOS!$D4126,nESPEC,DATOS!$E4126,nASIG,DATOS!$I4126,nEVAL,"OR")=0))</f>
      </c>
      <c r="I4126">
        <f>IF(DATOS!$I4126="","",IFERROR(VLOOKUP(DATOS!$I4126,CONFIG_ASIGNATURAS!$B$2:$J$91,9,FALSE()),""))</f>
      </c>
    </row>
    <row r="4127">
      <c r="F4127">
        <f>IF(DATOS!$A4127="","",DATOS!$A4127&amp;"|"&amp;DATOS!$D4127&amp;"|"&amp;DATOS!$E4127&amp;"|"&amp;DATOS!$I4127)</f>
      </c>
      <c r="G4127">
        <f>IF(DATOS!$A4127="",0,IF(CONFIG_METADATA!$B$4&lt;&gt;"OR+EX",--(DATOS!$G4127=CONFIG_METADATA!$B$4),IF(DATOS!$G4127="EX",1,IF(DATOS!$G4127="OR",--(COUNTIFS(nNIA,DATOS!$A4127,nCURSO,DATOS!$D4127,nESPEC,DATOS!$E4127,nASIG,DATOS!$I4127,nEVAL,"EX")=0),0))))</f>
      </c>
      <c r="H4127">
        <f>IF(DATOS!$G4127&lt;&gt;"EX",0,--(COUNTIFS(nNIA,DATOS!$A4127,nCURSO,DATOS!$D4127,nESPEC,DATOS!$E4127,nASIG,DATOS!$I4127,nEVAL,"OR")=0))</f>
      </c>
      <c r="I4127">
        <f>IF(DATOS!$I4127="","",IFERROR(VLOOKUP(DATOS!$I4127,CONFIG_ASIGNATURAS!$B$2:$J$91,9,FALSE()),""))</f>
      </c>
    </row>
    <row r="4128">
      <c r="F4128">
        <f>IF(DATOS!$A4128="","",DATOS!$A4128&amp;"|"&amp;DATOS!$D4128&amp;"|"&amp;DATOS!$E4128&amp;"|"&amp;DATOS!$I4128)</f>
      </c>
      <c r="G4128">
        <f>IF(DATOS!$A4128="",0,IF(CONFIG_METADATA!$B$4&lt;&gt;"OR+EX",--(DATOS!$G4128=CONFIG_METADATA!$B$4),IF(DATOS!$G4128="EX",1,IF(DATOS!$G4128="OR",--(COUNTIFS(nNIA,DATOS!$A4128,nCURSO,DATOS!$D4128,nESPEC,DATOS!$E4128,nASIG,DATOS!$I4128,nEVAL,"EX")=0),0))))</f>
      </c>
      <c r="H4128">
        <f>IF(DATOS!$G4128&lt;&gt;"EX",0,--(COUNTIFS(nNIA,DATOS!$A4128,nCURSO,DATOS!$D4128,nESPEC,DATOS!$E4128,nASIG,DATOS!$I4128,nEVAL,"OR")=0))</f>
      </c>
      <c r="I4128">
        <f>IF(DATOS!$I4128="","",IFERROR(VLOOKUP(DATOS!$I4128,CONFIG_ASIGNATURAS!$B$2:$J$91,9,FALSE()),""))</f>
      </c>
    </row>
    <row r="4129">
      <c r="F4129">
        <f>IF(DATOS!$A4129="","",DATOS!$A4129&amp;"|"&amp;DATOS!$D4129&amp;"|"&amp;DATOS!$E4129&amp;"|"&amp;DATOS!$I4129)</f>
      </c>
      <c r="G4129">
        <f>IF(DATOS!$A4129="",0,IF(CONFIG_METADATA!$B$4&lt;&gt;"OR+EX",--(DATOS!$G4129=CONFIG_METADATA!$B$4),IF(DATOS!$G4129="EX",1,IF(DATOS!$G4129="OR",--(COUNTIFS(nNIA,DATOS!$A4129,nCURSO,DATOS!$D4129,nESPEC,DATOS!$E4129,nASIG,DATOS!$I4129,nEVAL,"EX")=0),0))))</f>
      </c>
      <c r="H4129">
        <f>IF(DATOS!$G4129&lt;&gt;"EX",0,--(COUNTIFS(nNIA,DATOS!$A4129,nCURSO,DATOS!$D4129,nESPEC,DATOS!$E4129,nASIG,DATOS!$I4129,nEVAL,"OR")=0))</f>
      </c>
      <c r="I4129">
        <f>IF(DATOS!$I4129="","",IFERROR(VLOOKUP(DATOS!$I4129,CONFIG_ASIGNATURAS!$B$2:$J$91,9,FALSE()),""))</f>
      </c>
    </row>
    <row r="4130">
      <c r="F4130">
        <f>IF(DATOS!$A4130="","",DATOS!$A4130&amp;"|"&amp;DATOS!$D4130&amp;"|"&amp;DATOS!$E4130&amp;"|"&amp;DATOS!$I4130)</f>
      </c>
      <c r="G4130">
        <f>IF(DATOS!$A4130="",0,IF(CONFIG_METADATA!$B$4&lt;&gt;"OR+EX",--(DATOS!$G4130=CONFIG_METADATA!$B$4),IF(DATOS!$G4130="EX",1,IF(DATOS!$G4130="OR",--(COUNTIFS(nNIA,DATOS!$A4130,nCURSO,DATOS!$D4130,nESPEC,DATOS!$E4130,nASIG,DATOS!$I4130,nEVAL,"EX")=0),0))))</f>
      </c>
      <c r="H4130">
        <f>IF(DATOS!$G4130&lt;&gt;"EX",0,--(COUNTIFS(nNIA,DATOS!$A4130,nCURSO,DATOS!$D4130,nESPEC,DATOS!$E4130,nASIG,DATOS!$I4130,nEVAL,"OR")=0))</f>
      </c>
      <c r="I4130">
        <f>IF(DATOS!$I4130="","",IFERROR(VLOOKUP(DATOS!$I4130,CONFIG_ASIGNATURAS!$B$2:$J$91,9,FALSE()),""))</f>
      </c>
    </row>
    <row r="4131">
      <c r="F4131">
        <f>IF(DATOS!$A4131="","",DATOS!$A4131&amp;"|"&amp;DATOS!$D4131&amp;"|"&amp;DATOS!$E4131&amp;"|"&amp;DATOS!$I4131)</f>
      </c>
      <c r="G4131">
        <f>IF(DATOS!$A4131="",0,IF(CONFIG_METADATA!$B$4&lt;&gt;"OR+EX",--(DATOS!$G4131=CONFIG_METADATA!$B$4),IF(DATOS!$G4131="EX",1,IF(DATOS!$G4131="OR",--(COUNTIFS(nNIA,DATOS!$A4131,nCURSO,DATOS!$D4131,nESPEC,DATOS!$E4131,nASIG,DATOS!$I4131,nEVAL,"EX")=0),0))))</f>
      </c>
      <c r="H4131">
        <f>IF(DATOS!$G4131&lt;&gt;"EX",0,--(COUNTIFS(nNIA,DATOS!$A4131,nCURSO,DATOS!$D4131,nESPEC,DATOS!$E4131,nASIG,DATOS!$I4131,nEVAL,"OR")=0))</f>
      </c>
      <c r="I4131">
        <f>IF(DATOS!$I4131="","",IFERROR(VLOOKUP(DATOS!$I4131,CONFIG_ASIGNATURAS!$B$2:$J$91,9,FALSE()),""))</f>
      </c>
    </row>
    <row r="4132">
      <c r="F4132">
        <f>IF(DATOS!$A4132="","",DATOS!$A4132&amp;"|"&amp;DATOS!$D4132&amp;"|"&amp;DATOS!$E4132&amp;"|"&amp;DATOS!$I4132)</f>
      </c>
      <c r="G4132">
        <f>IF(DATOS!$A4132="",0,IF(CONFIG_METADATA!$B$4&lt;&gt;"OR+EX",--(DATOS!$G4132=CONFIG_METADATA!$B$4),IF(DATOS!$G4132="EX",1,IF(DATOS!$G4132="OR",--(COUNTIFS(nNIA,DATOS!$A4132,nCURSO,DATOS!$D4132,nESPEC,DATOS!$E4132,nASIG,DATOS!$I4132,nEVAL,"EX")=0),0))))</f>
      </c>
      <c r="H4132">
        <f>IF(DATOS!$G4132&lt;&gt;"EX",0,--(COUNTIFS(nNIA,DATOS!$A4132,nCURSO,DATOS!$D4132,nESPEC,DATOS!$E4132,nASIG,DATOS!$I4132,nEVAL,"OR")=0))</f>
      </c>
      <c r="I4132">
        <f>IF(DATOS!$I4132="","",IFERROR(VLOOKUP(DATOS!$I4132,CONFIG_ASIGNATURAS!$B$2:$J$91,9,FALSE()),""))</f>
      </c>
    </row>
    <row r="4133">
      <c r="F4133">
        <f>IF(DATOS!$A4133="","",DATOS!$A4133&amp;"|"&amp;DATOS!$D4133&amp;"|"&amp;DATOS!$E4133&amp;"|"&amp;DATOS!$I4133)</f>
      </c>
      <c r="G4133">
        <f>IF(DATOS!$A4133="",0,IF(CONFIG_METADATA!$B$4&lt;&gt;"OR+EX",--(DATOS!$G4133=CONFIG_METADATA!$B$4),IF(DATOS!$G4133="EX",1,IF(DATOS!$G4133="OR",--(COUNTIFS(nNIA,DATOS!$A4133,nCURSO,DATOS!$D4133,nESPEC,DATOS!$E4133,nASIG,DATOS!$I4133,nEVAL,"EX")=0),0))))</f>
      </c>
      <c r="H4133">
        <f>IF(DATOS!$G4133&lt;&gt;"EX",0,--(COUNTIFS(nNIA,DATOS!$A4133,nCURSO,DATOS!$D4133,nESPEC,DATOS!$E4133,nASIG,DATOS!$I4133,nEVAL,"OR")=0))</f>
      </c>
      <c r="I4133">
        <f>IF(DATOS!$I4133="","",IFERROR(VLOOKUP(DATOS!$I4133,CONFIG_ASIGNATURAS!$B$2:$J$91,9,FALSE()),""))</f>
      </c>
    </row>
    <row r="4134">
      <c r="F4134">
        <f>IF(DATOS!$A4134="","",DATOS!$A4134&amp;"|"&amp;DATOS!$D4134&amp;"|"&amp;DATOS!$E4134&amp;"|"&amp;DATOS!$I4134)</f>
      </c>
      <c r="G4134">
        <f>IF(DATOS!$A4134="",0,IF(CONFIG_METADATA!$B$4&lt;&gt;"OR+EX",--(DATOS!$G4134=CONFIG_METADATA!$B$4),IF(DATOS!$G4134="EX",1,IF(DATOS!$G4134="OR",--(COUNTIFS(nNIA,DATOS!$A4134,nCURSO,DATOS!$D4134,nESPEC,DATOS!$E4134,nASIG,DATOS!$I4134,nEVAL,"EX")=0),0))))</f>
      </c>
      <c r="H4134">
        <f>IF(DATOS!$G4134&lt;&gt;"EX",0,--(COUNTIFS(nNIA,DATOS!$A4134,nCURSO,DATOS!$D4134,nESPEC,DATOS!$E4134,nASIG,DATOS!$I4134,nEVAL,"OR")=0))</f>
      </c>
      <c r="I4134">
        <f>IF(DATOS!$I4134="","",IFERROR(VLOOKUP(DATOS!$I4134,CONFIG_ASIGNATURAS!$B$2:$J$91,9,FALSE()),""))</f>
      </c>
    </row>
    <row r="4135">
      <c r="F4135">
        <f>IF(DATOS!$A4135="","",DATOS!$A4135&amp;"|"&amp;DATOS!$D4135&amp;"|"&amp;DATOS!$E4135&amp;"|"&amp;DATOS!$I4135)</f>
      </c>
      <c r="G4135">
        <f>IF(DATOS!$A4135="",0,IF(CONFIG_METADATA!$B$4&lt;&gt;"OR+EX",--(DATOS!$G4135=CONFIG_METADATA!$B$4),IF(DATOS!$G4135="EX",1,IF(DATOS!$G4135="OR",--(COUNTIFS(nNIA,DATOS!$A4135,nCURSO,DATOS!$D4135,nESPEC,DATOS!$E4135,nASIG,DATOS!$I4135,nEVAL,"EX")=0),0))))</f>
      </c>
      <c r="H4135">
        <f>IF(DATOS!$G4135&lt;&gt;"EX",0,--(COUNTIFS(nNIA,DATOS!$A4135,nCURSO,DATOS!$D4135,nESPEC,DATOS!$E4135,nASIG,DATOS!$I4135,nEVAL,"OR")=0))</f>
      </c>
      <c r="I4135">
        <f>IF(DATOS!$I4135="","",IFERROR(VLOOKUP(DATOS!$I4135,CONFIG_ASIGNATURAS!$B$2:$J$91,9,FALSE()),""))</f>
      </c>
    </row>
    <row r="4136">
      <c r="F4136">
        <f>IF(DATOS!$A4136="","",DATOS!$A4136&amp;"|"&amp;DATOS!$D4136&amp;"|"&amp;DATOS!$E4136&amp;"|"&amp;DATOS!$I4136)</f>
      </c>
      <c r="G4136">
        <f>IF(DATOS!$A4136="",0,IF(CONFIG_METADATA!$B$4&lt;&gt;"OR+EX",--(DATOS!$G4136=CONFIG_METADATA!$B$4),IF(DATOS!$G4136="EX",1,IF(DATOS!$G4136="OR",--(COUNTIFS(nNIA,DATOS!$A4136,nCURSO,DATOS!$D4136,nESPEC,DATOS!$E4136,nASIG,DATOS!$I4136,nEVAL,"EX")=0),0))))</f>
      </c>
      <c r="H4136">
        <f>IF(DATOS!$G4136&lt;&gt;"EX",0,--(COUNTIFS(nNIA,DATOS!$A4136,nCURSO,DATOS!$D4136,nESPEC,DATOS!$E4136,nASIG,DATOS!$I4136,nEVAL,"OR")=0))</f>
      </c>
      <c r="I4136">
        <f>IF(DATOS!$I4136="","",IFERROR(VLOOKUP(DATOS!$I4136,CONFIG_ASIGNATURAS!$B$2:$J$91,9,FALSE()),""))</f>
      </c>
    </row>
    <row r="4137">
      <c r="F4137">
        <f>IF(DATOS!$A4137="","",DATOS!$A4137&amp;"|"&amp;DATOS!$D4137&amp;"|"&amp;DATOS!$E4137&amp;"|"&amp;DATOS!$I4137)</f>
      </c>
      <c r="G4137">
        <f>IF(DATOS!$A4137="",0,IF(CONFIG_METADATA!$B$4&lt;&gt;"OR+EX",--(DATOS!$G4137=CONFIG_METADATA!$B$4),IF(DATOS!$G4137="EX",1,IF(DATOS!$G4137="OR",--(COUNTIFS(nNIA,DATOS!$A4137,nCURSO,DATOS!$D4137,nESPEC,DATOS!$E4137,nASIG,DATOS!$I4137,nEVAL,"EX")=0),0))))</f>
      </c>
      <c r="H4137">
        <f>IF(DATOS!$G4137&lt;&gt;"EX",0,--(COUNTIFS(nNIA,DATOS!$A4137,nCURSO,DATOS!$D4137,nESPEC,DATOS!$E4137,nASIG,DATOS!$I4137,nEVAL,"OR")=0))</f>
      </c>
      <c r="I4137">
        <f>IF(DATOS!$I4137="","",IFERROR(VLOOKUP(DATOS!$I4137,CONFIG_ASIGNATURAS!$B$2:$J$91,9,FALSE()),""))</f>
      </c>
    </row>
    <row r="4138">
      <c r="F4138">
        <f>IF(DATOS!$A4138="","",DATOS!$A4138&amp;"|"&amp;DATOS!$D4138&amp;"|"&amp;DATOS!$E4138&amp;"|"&amp;DATOS!$I4138)</f>
      </c>
      <c r="G4138">
        <f>IF(DATOS!$A4138="",0,IF(CONFIG_METADATA!$B$4&lt;&gt;"OR+EX",--(DATOS!$G4138=CONFIG_METADATA!$B$4),IF(DATOS!$G4138="EX",1,IF(DATOS!$G4138="OR",--(COUNTIFS(nNIA,DATOS!$A4138,nCURSO,DATOS!$D4138,nESPEC,DATOS!$E4138,nASIG,DATOS!$I4138,nEVAL,"EX")=0),0))))</f>
      </c>
      <c r="H4138">
        <f>IF(DATOS!$G4138&lt;&gt;"EX",0,--(COUNTIFS(nNIA,DATOS!$A4138,nCURSO,DATOS!$D4138,nESPEC,DATOS!$E4138,nASIG,DATOS!$I4138,nEVAL,"OR")=0))</f>
      </c>
      <c r="I4138">
        <f>IF(DATOS!$I4138="","",IFERROR(VLOOKUP(DATOS!$I4138,CONFIG_ASIGNATURAS!$B$2:$J$91,9,FALSE()),""))</f>
      </c>
    </row>
    <row r="4139">
      <c r="F4139">
        <f>IF(DATOS!$A4139="","",DATOS!$A4139&amp;"|"&amp;DATOS!$D4139&amp;"|"&amp;DATOS!$E4139&amp;"|"&amp;DATOS!$I4139)</f>
      </c>
      <c r="G4139">
        <f>IF(DATOS!$A4139="",0,IF(CONFIG_METADATA!$B$4&lt;&gt;"OR+EX",--(DATOS!$G4139=CONFIG_METADATA!$B$4),IF(DATOS!$G4139="EX",1,IF(DATOS!$G4139="OR",--(COUNTIFS(nNIA,DATOS!$A4139,nCURSO,DATOS!$D4139,nESPEC,DATOS!$E4139,nASIG,DATOS!$I4139,nEVAL,"EX")=0),0))))</f>
      </c>
      <c r="H4139">
        <f>IF(DATOS!$G4139&lt;&gt;"EX",0,--(COUNTIFS(nNIA,DATOS!$A4139,nCURSO,DATOS!$D4139,nESPEC,DATOS!$E4139,nASIG,DATOS!$I4139,nEVAL,"OR")=0))</f>
      </c>
      <c r="I4139">
        <f>IF(DATOS!$I4139="","",IFERROR(VLOOKUP(DATOS!$I4139,CONFIG_ASIGNATURAS!$B$2:$J$91,9,FALSE()),""))</f>
      </c>
    </row>
    <row r="4140">
      <c r="F4140">
        <f>IF(DATOS!$A4140="","",DATOS!$A4140&amp;"|"&amp;DATOS!$D4140&amp;"|"&amp;DATOS!$E4140&amp;"|"&amp;DATOS!$I4140)</f>
      </c>
      <c r="G4140">
        <f>IF(DATOS!$A4140="",0,IF(CONFIG_METADATA!$B$4&lt;&gt;"OR+EX",--(DATOS!$G4140=CONFIG_METADATA!$B$4),IF(DATOS!$G4140="EX",1,IF(DATOS!$G4140="OR",--(COUNTIFS(nNIA,DATOS!$A4140,nCURSO,DATOS!$D4140,nESPEC,DATOS!$E4140,nASIG,DATOS!$I4140,nEVAL,"EX")=0),0))))</f>
      </c>
      <c r="H4140">
        <f>IF(DATOS!$G4140&lt;&gt;"EX",0,--(COUNTIFS(nNIA,DATOS!$A4140,nCURSO,DATOS!$D4140,nESPEC,DATOS!$E4140,nASIG,DATOS!$I4140,nEVAL,"OR")=0))</f>
      </c>
      <c r="I4140">
        <f>IF(DATOS!$I4140="","",IFERROR(VLOOKUP(DATOS!$I4140,CONFIG_ASIGNATURAS!$B$2:$J$91,9,FALSE()),""))</f>
      </c>
    </row>
    <row r="4141">
      <c r="F4141">
        <f>IF(DATOS!$A4141="","",DATOS!$A4141&amp;"|"&amp;DATOS!$D4141&amp;"|"&amp;DATOS!$E4141&amp;"|"&amp;DATOS!$I4141)</f>
      </c>
      <c r="G4141">
        <f>IF(DATOS!$A4141="",0,IF(CONFIG_METADATA!$B$4&lt;&gt;"OR+EX",--(DATOS!$G4141=CONFIG_METADATA!$B$4),IF(DATOS!$G4141="EX",1,IF(DATOS!$G4141="OR",--(COUNTIFS(nNIA,DATOS!$A4141,nCURSO,DATOS!$D4141,nESPEC,DATOS!$E4141,nASIG,DATOS!$I4141,nEVAL,"EX")=0),0))))</f>
      </c>
      <c r="H4141">
        <f>IF(DATOS!$G4141&lt;&gt;"EX",0,--(COUNTIFS(nNIA,DATOS!$A4141,nCURSO,DATOS!$D4141,nESPEC,DATOS!$E4141,nASIG,DATOS!$I4141,nEVAL,"OR")=0))</f>
      </c>
      <c r="I4141">
        <f>IF(DATOS!$I4141="","",IFERROR(VLOOKUP(DATOS!$I4141,CONFIG_ASIGNATURAS!$B$2:$J$91,9,FALSE()),""))</f>
      </c>
    </row>
    <row r="4142">
      <c r="F4142">
        <f>IF(DATOS!$A4142="","",DATOS!$A4142&amp;"|"&amp;DATOS!$D4142&amp;"|"&amp;DATOS!$E4142&amp;"|"&amp;DATOS!$I4142)</f>
      </c>
      <c r="G4142">
        <f>IF(DATOS!$A4142="",0,IF(CONFIG_METADATA!$B$4&lt;&gt;"OR+EX",--(DATOS!$G4142=CONFIG_METADATA!$B$4),IF(DATOS!$G4142="EX",1,IF(DATOS!$G4142="OR",--(COUNTIFS(nNIA,DATOS!$A4142,nCURSO,DATOS!$D4142,nESPEC,DATOS!$E4142,nASIG,DATOS!$I4142,nEVAL,"EX")=0),0))))</f>
      </c>
      <c r="H4142">
        <f>IF(DATOS!$G4142&lt;&gt;"EX",0,--(COUNTIFS(nNIA,DATOS!$A4142,nCURSO,DATOS!$D4142,nESPEC,DATOS!$E4142,nASIG,DATOS!$I4142,nEVAL,"OR")=0))</f>
      </c>
      <c r="I4142">
        <f>IF(DATOS!$I4142="","",IFERROR(VLOOKUP(DATOS!$I4142,CONFIG_ASIGNATURAS!$B$2:$J$91,9,FALSE()),""))</f>
      </c>
    </row>
    <row r="4143">
      <c r="F4143">
        <f>IF(DATOS!$A4143="","",DATOS!$A4143&amp;"|"&amp;DATOS!$D4143&amp;"|"&amp;DATOS!$E4143&amp;"|"&amp;DATOS!$I4143)</f>
      </c>
      <c r="G4143">
        <f>IF(DATOS!$A4143="",0,IF(CONFIG_METADATA!$B$4&lt;&gt;"OR+EX",--(DATOS!$G4143=CONFIG_METADATA!$B$4),IF(DATOS!$G4143="EX",1,IF(DATOS!$G4143="OR",--(COUNTIFS(nNIA,DATOS!$A4143,nCURSO,DATOS!$D4143,nESPEC,DATOS!$E4143,nASIG,DATOS!$I4143,nEVAL,"EX")=0),0))))</f>
      </c>
      <c r="H4143">
        <f>IF(DATOS!$G4143&lt;&gt;"EX",0,--(COUNTIFS(nNIA,DATOS!$A4143,nCURSO,DATOS!$D4143,nESPEC,DATOS!$E4143,nASIG,DATOS!$I4143,nEVAL,"OR")=0))</f>
      </c>
      <c r="I4143">
        <f>IF(DATOS!$I4143="","",IFERROR(VLOOKUP(DATOS!$I4143,CONFIG_ASIGNATURAS!$B$2:$J$91,9,FALSE()),""))</f>
      </c>
    </row>
    <row r="4144">
      <c r="F4144">
        <f>IF(DATOS!$A4144="","",DATOS!$A4144&amp;"|"&amp;DATOS!$D4144&amp;"|"&amp;DATOS!$E4144&amp;"|"&amp;DATOS!$I4144)</f>
      </c>
      <c r="G4144">
        <f>IF(DATOS!$A4144="",0,IF(CONFIG_METADATA!$B$4&lt;&gt;"OR+EX",--(DATOS!$G4144=CONFIG_METADATA!$B$4),IF(DATOS!$G4144="EX",1,IF(DATOS!$G4144="OR",--(COUNTIFS(nNIA,DATOS!$A4144,nCURSO,DATOS!$D4144,nESPEC,DATOS!$E4144,nASIG,DATOS!$I4144,nEVAL,"EX")=0),0))))</f>
      </c>
      <c r="H4144">
        <f>IF(DATOS!$G4144&lt;&gt;"EX",0,--(COUNTIFS(nNIA,DATOS!$A4144,nCURSO,DATOS!$D4144,nESPEC,DATOS!$E4144,nASIG,DATOS!$I4144,nEVAL,"OR")=0))</f>
      </c>
      <c r="I4144">
        <f>IF(DATOS!$I4144="","",IFERROR(VLOOKUP(DATOS!$I4144,CONFIG_ASIGNATURAS!$B$2:$J$91,9,FALSE()),""))</f>
      </c>
    </row>
    <row r="4145">
      <c r="F4145">
        <f>IF(DATOS!$A4145="","",DATOS!$A4145&amp;"|"&amp;DATOS!$D4145&amp;"|"&amp;DATOS!$E4145&amp;"|"&amp;DATOS!$I4145)</f>
      </c>
      <c r="G4145">
        <f>IF(DATOS!$A4145="",0,IF(CONFIG_METADATA!$B$4&lt;&gt;"OR+EX",--(DATOS!$G4145=CONFIG_METADATA!$B$4),IF(DATOS!$G4145="EX",1,IF(DATOS!$G4145="OR",--(COUNTIFS(nNIA,DATOS!$A4145,nCURSO,DATOS!$D4145,nESPEC,DATOS!$E4145,nASIG,DATOS!$I4145,nEVAL,"EX")=0),0))))</f>
      </c>
      <c r="H4145">
        <f>IF(DATOS!$G4145&lt;&gt;"EX",0,--(COUNTIFS(nNIA,DATOS!$A4145,nCURSO,DATOS!$D4145,nESPEC,DATOS!$E4145,nASIG,DATOS!$I4145,nEVAL,"OR")=0))</f>
      </c>
      <c r="I4145">
        <f>IF(DATOS!$I4145="","",IFERROR(VLOOKUP(DATOS!$I4145,CONFIG_ASIGNATURAS!$B$2:$J$91,9,FALSE()),""))</f>
      </c>
    </row>
    <row r="4146">
      <c r="F4146">
        <f>IF(DATOS!$A4146="","",DATOS!$A4146&amp;"|"&amp;DATOS!$D4146&amp;"|"&amp;DATOS!$E4146&amp;"|"&amp;DATOS!$I4146)</f>
      </c>
      <c r="G4146">
        <f>IF(DATOS!$A4146="",0,IF(CONFIG_METADATA!$B$4&lt;&gt;"OR+EX",--(DATOS!$G4146=CONFIG_METADATA!$B$4),IF(DATOS!$G4146="EX",1,IF(DATOS!$G4146="OR",--(COUNTIFS(nNIA,DATOS!$A4146,nCURSO,DATOS!$D4146,nESPEC,DATOS!$E4146,nASIG,DATOS!$I4146,nEVAL,"EX")=0),0))))</f>
      </c>
      <c r="H4146">
        <f>IF(DATOS!$G4146&lt;&gt;"EX",0,--(COUNTIFS(nNIA,DATOS!$A4146,nCURSO,DATOS!$D4146,nESPEC,DATOS!$E4146,nASIG,DATOS!$I4146,nEVAL,"OR")=0))</f>
      </c>
      <c r="I4146">
        <f>IF(DATOS!$I4146="","",IFERROR(VLOOKUP(DATOS!$I4146,CONFIG_ASIGNATURAS!$B$2:$J$91,9,FALSE()),""))</f>
      </c>
    </row>
    <row r="4147">
      <c r="F4147">
        <f>IF(DATOS!$A4147="","",DATOS!$A4147&amp;"|"&amp;DATOS!$D4147&amp;"|"&amp;DATOS!$E4147&amp;"|"&amp;DATOS!$I4147)</f>
      </c>
      <c r="G4147">
        <f>IF(DATOS!$A4147="",0,IF(CONFIG_METADATA!$B$4&lt;&gt;"OR+EX",--(DATOS!$G4147=CONFIG_METADATA!$B$4),IF(DATOS!$G4147="EX",1,IF(DATOS!$G4147="OR",--(COUNTIFS(nNIA,DATOS!$A4147,nCURSO,DATOS!$D4147,nESPEC,DATOS!$E4147,nASIG,DATOS!$I4147,nEVAL,"EX")=0),0))))</f>
      </c>
      <c r="H4147">
        <f>IF(DATOS!$G4147&lt;&gt;"EX",0,--(COUNTIFS(nNIA,DATOS!$A4147,nCURSO,DATOS!$D4147,nESPEC,DATOS!$E4147,nASIG,DATOS!$I4147,nEVAL,"OR")=0))</f>
      </c>
      <c r="I4147">
        <f>IF(DATOS!$I4147="","",IFERROR(VLOOKUP(DATOS!$I4147,CONFIG_ASIGNATURAS!$B$2:$J$91,9,FALSE()),""))</f>
      </c>
    </row>
    <row r="4148">
      <c r="F4148">
        <f>IF(DATOS!$A4148="","",DATOS!$A4148&amp;"|"&amp;DATOS!$D4148&amp;"|"&amp;DATOS!$E4148&amp;"|"&amp;DATOS!$I4148)</f>
      </c>
      <c r="G4148">
        <f>IF(DATOS!$A4148="",0,IF(CONFIG_METADATA!$B$4&lt;&gt;"OR+EX",--(DATOS!$G4148=CONFIG_METADATA!$B$4),IF(DATOS!$G4148="EX",1,IF(DATOS!$G4148="OR",--(COUNTIFS(nNIA,DATOS!$A4148,nCURSO,DATOS!$D4148,nESPEC,DATOS!$E4148,nASIG,DATOS!$I4148,nEVAL,"EX")=0),0))))</f>
      </c>
      <c r="H4148">
        <f>IF(DATOS!$G4148&lt;&gt;"EX",0,--(COUNTIFS(nNIA,DATOS!$A4148,nCURSO,DATOS!$D4148,nESPEC,DATOS!$E4148,nASIG,DATOS!$I4148,nEVAL,"OR")=0))</f>
      </c>
      <c r="I4148">
        <f>IF(DATOS!$I4148="","",IFERROR(VLOOKUP(DATOS!$I4148,CONFIG_ASIGNATURAS!$B$2:$J$91,9,FALSE()),""))</f>
      </c>
    </row>
    <row r="4149">
      <c r="F4149">
        <f>IF(DATOS!$A4149="","",DATOS!$A4149&amp;"|"&amp;DATOS!$D4149&amp;"|"&amp;DATOS!$E4149&amp;"|"&amp;DATOS!$I4149)</f>
      </c>
      <c r="G4149">
        <f>IF(DATOS!$A4149="",0,IF(CONFIG_METADATA!$B$4&lt;&gt;"OR+EX",--(DATOS!$G4149=CONFIG_METADATA!$B$4),IF(DATOS!$G4149="EX",1,IF(DATOS!$G4149="OR",--(COUNTIFS(nNIA,DATOS!$A4149,nCURSO,DATOS!$D4149,nESPEC,DATOS!$E4149,nASIG,DATOS!$I4149,nEVAL,"EX")=0),0))))</f>
      </c>
      <c r="H4149">
        <f>IF(DATOS!$G4149&lt;&gt;"EX",0,--(COUNTIFS(nNIA,DATOS!$A4149,nCURSO,DATOS!$D4149,nESPEC,DATOS!$E4149,nASIG,DATOS!$I4149,nEVAL,"OR")=0))</f>
      </c>
      <c r="I4149">
        <f>IF(DATOS!$I4149="","",IFERROR(VLOOKUP(DATOS!$I4149,CONFIG_ASIGNATURAS!$B$2:$J$91,9,FALSE()),""))</f>
      </c>
    </row>
    <row r="4150">
      <c r="F4150">
        <f>IF(DATOS!$A4150="","",DATOS!$A4150&amp;"|"&amp;DATOS!$D4150&amp;"|"&amp;DATOS!$E4150&amp;"|"&amp;DATOS!$I4150)</f>
      </c>
      <c r="G4150">
        <f>IF(DATOS!$A4150="",0,IF(CONFIG_METADATA!$B$4&lt;&gt;"OR+EX",--(DATOS!$G4150=CONFIG_METADATA!$B$4),IF(DATOS!$G4150="EX",1,IF(DATOS!$G4150="OR",--(COUNTIFS(nNIA,DATOS!$A4150,nCURSO,DATOS!$D4150,nESPEC,DATOS!$E4150,nASIG,DATOS!$I4150,nEVAL,"EX")=0),0))))</f>
      </c>
      <c r="H4150">
        <f>IF(DATOS!$G4150&lt;&gt;"EX",0,--(COUNTIFS(nNIA,DATOS!$A4150,nCURSO,DATOS!$D4150,nESPEC,DATOS!$E4150,nASIG,DATOS!$I4150,nEVAL,"OR")=0))</f>
      </c>
      <c r="I4150">
        <f>IF(DATOS!$I4150="","",IFERROR(VLOOKUP(DATOS!$I4150,CONFIG_ASIGNATURAS!$B$2:$J$91,9,FALSE()),""))</f>
      </c>
    </row>
    <row r="4151">
      <c r="F4151">
        <f>IF(DATOS!$A4151="","",DATOS!$A4151&amp;"|"&amp;DATOS!$D4151&amp;"|"&amp;DATOS!$E4151&amp;"|"&amp;DATOS!$I4151)</f>
      </c>
      <c r="G4151">
        <f>IF(DATOS!$A4151="",0,IF(CONFIG_METADATA!$B$4&lt;&gt;"OR+EX",--(DATOS!$G4151=CONFIG_METADATA!$B$4),IF(DATOS!$G4151="EX",1,IF(DATOS!$G4151="OR",--(COUNTIFS(nNIA,DATOS!$A4151,nCURSO,DATOS!$D4151,nESPEC,DATOS!$E4151,nASIG,DATOS!$I4151,nEVAL,"EX")=0),0))))</f>
      </c>
      <c r="H4151">
        <f>IF(DATOS!$G4151&lt;&gt;"EX",0,--(COUNTIFS(nNIA,DATOS!$A4151,nCURSO,DATOS!$D4151,nESPEC,DATOS!$E4151,nASIG,DATOS!$I4151,nEVAL,"OR")=0))</f>
      </c>
      <c r="I4151">
        <f>IF(DATOS!$I4151="","",IFERROR(VLOOKUP(DATOS!$I4151,CONFIG_ASIGNATURAS!$B$2:$J$91,9,FALSE()),""))</f>
      </c>
    </row>
    <row r="4152">
      <c r="F4152">
        <f>IF(DATOS!$A4152="","",DATOS!$A4152&amp;"|"&amp;DATOS!$D4152&amp;"|"&amp;DATOS!$E4152&amp;"|"&amp;DATOS!$I4152)</f>
      </c>
      <c r="G4152">
        <f>IF(DATOS!$A4152="",0,IF(CONFIG_METADATA!$B$4&lt;&gt;"OR+EX",--(DATOS!$G4152=CONFIG_METADATA!$B$4),IF(DATOS!$G4152="EX",1,IF(DATOS!$G4152="OR",--(COUNTIFS(nNIA,DATOS!$A4152,nCURSO,DATOS!$D4152,nESPEC,DATOS!$E4152,nASIG,DATOS!$I4152,nEVAL,"EX")=0),0))))</f>
      </c>
      <c r="H4152">
        <f>IF(DATOS!$G4152&lt;&gt;"EX",0,--(COUNTIFS(nNIA,DATOS!$A4152,nCURSO,DATOS!$D4152,nESPEC,DATOS!$E4152,nASIG,DATOS!$I4152,nEVAL,"OR")=0))</f>
      </c>
      <c r="I4152">
        <f>IF(DATOS!$I4152="","",IFERROR(VLOOKUP(DATOS!$I4152,CONFIG_ASIGNATURAS!$B$2:$J$91,9,FALSE()),""))</f>
      </c>
    </row>
    <row r="4153">
      <c r="F4153">
        <f>IF(DATOS!$A4153="","",DATOS!$A4153&amp;"|"&amp;DATOS!$D4153&amp;"|"&amp;DATOS!$E4153&amp;"|"&amp;DATOS!$I4153)</f>
      </c>
      <c r="G4153">
        <f>IF(DATOS!$A4153="",0,IF(CONFIG_METADATA!$B$4&lt;&gt;"OR+EX",--(DATOS!$G4153=CONFIG_METADATA!$B$4),IF(DATOS!$G4153="EX",1,IF(DATOS!$G4153="OR",--(COUNTIFS(nNIA,DATOS!$A4153,nCURSO,DATOS!$D4153,nESPEC,DATOS!$E4153,nASIG,DATOS!$I4153,nEVAL,"EX")=0),0))))</f>
      </c>
      <c r="H4153">
        <f>IF(DATOS!$G4153&lt;&gt;"EX",0,--(COUNTIFS(nNIA,DATOS!$A4153,nCURSO,DATOS!$D4153,nESPEC,DATOS!$E4153,nASIG,DATOS!$I4153,nEVAL,"OR")=0))</f>
      </c>
      <c r="I4153">
        <f>IF(DATOS!$I4153="","",IFERROR(VLOOKUP(DATOS!$I4153,CONFIG_ASIGNATURAS!$B$2:$J$91,9,FALSE()),""))</f>
      </c>
    </row>
    <row r="4154">
      <c r="F4154">
        <f>IF(DATOS!$A4154="","",DATOS!$A4154&amp;"|"&amp;DATOS!$D4154&amp;"|"&amp;DATOS!$E4154&amp;"|"&amp;DATOS!$I4154)</f>
      </c>
      <c r="G4154">
        <f>IF(DATOS!$A4154="",0,IF(CONFIG_METADATA!$B$4&lt;&gt;"OR+EX",--(DATOS!$G4154=CONFIG_METADATA!$B$4),IF(DATOS!$G4154="EX",1,IF(DATOS!$G4154="OR",--(COUNTIFS(nNIA,DATOS!$A4154,nCURSO,DATOS!$D4154,nESPEC,DATOS!$E4154,nASIG,DATOS!$I4154,nEVAL,"EX")=0),0))))</f>
      </c>
      <c r="H4154">
        <f>IF(DATOS!$G4154&lt;&gt;"EX",0,--(COUNTIFS(nNIA,DATOS!$A4154,nCURSO,DATOS!$D4154,nESPEC,DATOS!$E4154,nASIG,DATOS!$I4154,nEVAL,"OR")=0))</f>
      </c>
      <c r="I4154">
        <f>IF(DATOS!$I4154="","",IFERROR(VLOOKUP(DATOS!$I4154,CONFIG_ASIGNATURAS!$B$2:$J$91,9,FALSE()),""))</f>
      </c>
    </row>
    <row r="4155">
      <c r="F4155">
        <f>IF(DATOS!$A4155="","",DATOS!$A4155&amp;"|"&amp;DATOS!$D4155&amp;"|"&amp;DATOS!$E4155&amp;"|"&amp;DATOS!$I4155)</f>
      </c>
      <c r="G4155">
        <f>IF(DATOS!$A4155="",0,IF(CONFIG_METADATA!$B$4&lt;&gt;"OR+EX",--(DATOS!$G4155=CONFIG_METADATA!$B$4),IF(DATOS!$G4155="EX",1,IF(DATOS!$G4155="OR",--(COUNTIFS(nNIA,DATOS!$A4155,nCURSO,DATOS!$D4155,nESPEC,DATOS!$E4155,nASIG,DATOS!$I4155,nEVAL,"EX")=0),0))))</f>
      </c>
      <c r="H4155">
        <f>IF(DATOS!$G4155&lt;&gt;"EX",0,--(COUNTIFS(nNIA,DATOS!$A4155,nCURSO,DATOS!$D4155,nESPEC,DATOS!$E4155,nASIG,DATOS!$I4155,nEVAL,"OR")=0))</f>
      </c>
      <c r="I4155">
        <f>IF(DATOS!$I4155="","",IFERROR(VLOOKUP(DATOS!$I4155,CONFIG_ASIGNATURAS!$B$2:$J$91,9,FALSE()),""))</f>
      </c>
    </row>
    <row r="4156">
      <c r="F4156">
        <f>IF(DATOS!$A4156="","",DATOS!$A4156&amp;"|"&amp;DATOS!$D4156&amp;"|"&amp;DATOS!$E4156&amp;"|"&amp;DATOS!$I4156)</f>
      </c>
      <c r="G4156">
        <f>IF(DATOS!$A4156="",0,IF(CONFIG_METADATA!$B$4&lt;&gt;"OR+EX",--(DATOS!$G4156=CONFIG_METADATA!$B$4),IF(DATOS!$G4156="EX",1,IF(DATOS!$G4156="OR",--(COUNTIFS(nNIA,DATOS!$A4156,nCURSO,DATOS!$D4156,nESPEC,DATOS!$E4156,nASIG,DATOS!$I4156,nEVAL,"EX")=0),0))))</f>
      </c>
      <c r="H4156">
        <f>IF(DATOS!$G4156&lt;&gt;"EX",0,--(COUNTIFS(nNIA,DATOS!$A4156,nCURSO,DATOS!$D4156,nESPEC,DATOS!$E4156,nASIG,DATOS!$I4156,nEVAL,"OR")=0))</f>
      </c>
      <c r="I4156">
        <f>IF(DATOS!$I4156="","",IFERROR(VLOOKUP(DATOS!$I4156,CONFIG_ASIGNATURAS!$B$2:$J$91,9,FALSE()),""))</f>
      </c>
    </row>
    <row r="4157">
      <c r="F4157">
        <f>IF(DATOS!$A4157="","",DATOS!$A4157&amp;"|"&amp;DATOS!$D4157&amp;"|"&amp;DATOS!$E4157&amp;"|"&amp;DATOS!$I4157)</f>
      </c>
      <c r="G4157">
        <f>IF(DATOS!$A4157="",0,IF(CONFIG_METADATA!$B$4&lt;&gt;"OR+EX",--(DATOS!$G4157=CONFIG_METADATA!$B$4),IF(DATOS!$G4157="EX",1,IF(DATOS!$G4157="OR",--(COUNTIFS(nNIA,DATOS!$A4157,nCURSO,DATOS!$D4157,nESPEC,DATOS!$E4157,nASIG,DATOS!$I4157,nEVAL,"EX")=0),0))))</f>
      </c>
      <c r="H4157">
        <f>IF(DATOS!$G4157&lt;&gt;"EX",0,--(COUNTIFS(nNIA,DATOS!$A4157,nCURSO,DATOS!$D4157,nESPEC,DATOS!$E4157,nASIG,DATOS!$I4157,nEVAL,"OR")=0))</f>
      </c>
      <c r="I4157">
        <f>IF(DATOS!$I4157="","",IFERROR(VLOOKUP(DATOS!$I4157,CONFIG_ASIGNATURAS!$B$2:$J$91,9,FALSE()),""))</f>
      </c>
    </row>
    <row r="4158">
      <c r="F4158">
        <f>IF(DATOS!$A4158="","",DATOS!$A4158&amp;"|"&amp;DATOS!$D4158&amp;"|"&amp;DATOS!$E4158&amp;"|"&amp;DATOS!$I4158)</f>
      </c>
      <c r="G4158">
        <f>IF(DATOS!$A4158="",0,IF(CONFIG_METADATA!$B$4&lt;&gt;"OR+EX",--(DATOS!$G4158=CONFIG_METADATA!$B$4),IF(DATOS!$G4158="EX",1,IF(DATOS!$G4158="OR",--(COUNTIFS(nNIA,DATOS!$A4158,nCURSO,DATOS!$D4158,nESPEC,DATOS!$E4158,nASIG,DATOS!$I4158,nEVAL,"EX")=0),0))))</f>
      </c>
      <c r="H4158">
        <f>IF(DATOS!$G4158&lt;&gt;"EX",0,--(COUNTIFS(nNIA,DATOS!$A4158,nCURSO,DATOS!$D4158,nESPEC,DATOS!$E4158,nASIG,DATOS!$I4158,nEVAL,"OR")=0))</f>
      </c>
      <c r="I4158">
        <f>IF(DATOS!$I4158="","",IFERROR(VLOOKUP(DATOS!$I4158,CONFIG_ASIGNATURAS!$B$2:$J$91,9,FALSE()),""))</f>
      </c>
    </row>
    <row r="4159">
      <c r="F4159">
        <f>IF(DATOS!$A4159="","",DATOS!$A4159&amp;"|"&amp;DATOS!$D4159&amp;"|"&amp;DATOS!$E4159&amp;"|"&amp;DATOS!$I4159)</f>
      </c>
      <c r="G4159">
        <f>IF(DATOS!$A4159="",0,IF(CONFIG_METADATA!$B$4&lt;&gt;"OR+EX",--(DATOS!$G4159=CONFIG_METADATA!$B$4),IF(DATOS!$G4159="EX",1,IF(DATOS!$G4159="OR",--(COUNTIFS(nNIA,DATOS!$A4159,nCURSO,DATOS!$D4159,nESPEC,DATOS!$E4159,nASIG,DATOS!$I4159,nEVAL,"EX")=0),0))))</f>
      </c>
      <c r="H4159">
        <f>IF(DATOS!$G4159&lt;&gt;"EX",0,--(COUNTIFS(nNIA,DATOS!$A4159,nCURSO,DATOS!$D4159,nESPEC,DATOS!$E4159,nASIG,DATOS!$I4159,nEVAL,"OR")=0))</f>
      </c>
      <c r="I4159">
        <f>IF(DATOS!$I4159="","",IFERROR(VLOOKUP(DATOS!$I4159,CONFIG_ASIGNATURAS!$B$2:$J$91,9,FALSE()),""))</f>
      </c>
    </row>
    <row r="4160">
      <c r="F4160">
        <f>IF(DATOS!$A4160="","",DATOS!$A4160&amp;"|"&amp;DATOS!$D4160&amp;"|"&amp;DATOS!$E4160&amp;"|"&amp;DATOS!$I4160)</f>
      </c>
      <c r="G4160">
        <f>IF(DATOS!$A4160="",0,IF(CONFIG_METADATA!$B$4&lt;&gt;"OR+EX",--(DATOS!$G4160=CONFIG_METADATA!$B$4),IF(DATOS!$G4160="EX",1,IF(DATOS!$G4160="OR",--(COUNTIFS(nNIA,DATOS!$A4160,nCURSO,DATOS!$D4160,nESPEC,DATOS!$E4160,nASIG,DATOS!$I4160,nEVAL,"EX")=0),0))))</f>
      </c>
      <c r="H4160">
        <f>IF(DATOS!$G4160&lt;&gt;"EX",0,--(COUNTIFS(nNIA,DATOS!$A4160,nCURSO,DATOS!$D4160,nESPEC,DATOS!$E4160,nASIG,DATOS!$I4160,nEVAL,"OR")=0))</f>
      </c>
      <c r="I4160">
        <f>IF(DATOS!$I4160="","",IFERROR(VLOOKUP(DATOS!$I4160,CONFIG_ASIGNATURAS!$B$2:$J$91,9,FALSE()),""))</f>
      </c>
    </row>
    <row r="4161">
      <c r="F4161">
        <f>IF(DATOS!$A4161="","",DATOS!$A4161&amp;"|"&amp;DATOS!$D4161&amp;"|"&amp;DATOS!$E4161&amp;"|"&amp;DATOS!$I4161)</f>
      </c>
      <c r="G4161">
        <f>IF(DATOS!$A4161="",0,IF(CONFIG_METADATA!$B$4&lt;&gt;"OR+EX",--(DATOS!$G4161=CONFIG_METADATA!$B$4),IF(DATOS!$G4161="EX",1,IF(DATOS!$G4161="OR",--(COUNTIFS(nNIA,DATOS!$A4161,nCURSO,DATOS!$D4161,nESPEC,DATOS!$E4161,nASIG,DATOS!$I4161,nEVAL,"EX")=0),0))))</f>
      </c>
      <c r="H4161">
        <f>IF(DATOS!$G4161&lt;&gt;"EX",0,--(COUNTIFS(nNIA,DATOS!$A4161,nCURSO,DATOS!$D4161,nESPEC,DATOS!$E4161,nASIG,DATOS!$I4161,nEVAL,"OR")=0))</f>
      </c>
      <c r="I4161">
        <f>IF(DATOS!$I4161="","",IFERROR(VLOOKUP(DATOS!$I4161,CONFIG_ASIGNATURAS!$B$2:$J$91,9,FALSE()),""))</f>
      </c>
    </row>
    <row r="4162">
      <c r="F4162">
        <f>IF(DATOS!$A4162="","",DATOS!$A4162&amp;"|"&amp;DATOS!$D4162&amp;"|"&amp;DATOS!$E4162&amp;"|"&amp;DATOS!$I4162)</f>
      </c>
      <c r="G4162">
        <f>IF(DATOS!$A4162="",0,IF(CONFIG_METADATA!$B$4&lt;&gt;"OR+EX",--(DATOS!$G4162=CONFIG_METADATA!$B$4),IF(DATOS!$G4162="EX",1,IF(DATOS!$G4162="OR",--(COUNTIFS(nNIA,DATOS!$A4162,nCURSO,DATOS!$D4162,nESPEC,DATOS!$E4162,nASIG,DATOS!$I4162,nEVAL,"EX")=0),0))))</f>
      </c>
      <c r="H4162">
        <f>IF(DATOS!$G4162&lt;&gt;"EX",0,--(COUNTIFS(nNIA,DATOS!$A4162,nCURSO,DATOS!$D4162,nESPEC,DATOS!$E4162,nASIG,DATOS!$I4162,nEVAL,"OR")=0))</f>
      </c>
      <c r="I4162">
        <f>IF(DATOS!$I4162="","",IFERROR(VLOOKUP(DATOS!$I4162,CONFIG_ASIGNATURAS!$B$2:$J$91,9,FALSE()),""))</f>
      </c>
    </row>
    <row r="4163">
      <c r="F4163">
        <f>IF(DATOS!$A4163="","",DATOS!$A4163&amp;"|"&amp;DATOS!$D4163&amp;"|"&amp;DATOS!$E4163&amp;"|"&amp;DATOS!$I4163)</f>
      </c>
      <c r="G4163">
        <f>IF(DATOS!$A4163="",0,IF(CONFIG_METADATA!$B$4&lt;&gt;"OR+EX",--(DATOS!$G4163=CONFIG_METADATA!$B$4),IF(DATOS!$G4163="EX",1,IF(DATOS!$G4163="OR",--(COUNTIFS(nNIA,DATOS!$A4163,nCURSO,DATOS!$D4163,nESPEC,DATOS!$E4163,nASIG,DATOS!$I4163,nEVAL,"EX")=0),0))))</f>
      </c>
      <c r="H4163">
        <f>IF(DATOS!$G4163&lt;&gt;"EX",0,--(COUNTIFS(nNIA,DATOS!$A4163,nCURSO,DATOS!$D4163,nESPEC,DATOS!$E4163,nASIG,DATOS!$I4163,nEVAL,"OR")=0))</f>
      </c>
      <c r="I4163">
        <f>IF(DATOS!$I4163="","",IFERROR(VLOOKUP(DATOS!$I4163,CONFIG_ASIGNATURAS!$B$2:$J$91,9,FALSE()),""))</f>
      </c>
    </row>
    <row r="4164">
      <c r="F4164">
        <f>IF(DATOS!$A4164="","",DATOS!$A4164&amp;"|"&amp;DATOS!$D4164&amp;"|"&amp;DATOS!$E4164&amp;"|"&amp;DATOS!$I4164)</f>
      </c>
      <c r="G4164">
        <f>IF(DATOS!$A4164="",0,IF(CONFIG_METADATA!$B$4&lt;&gt;"OR+EX",--(DATOS!$G4164=CONFIG_METADATA!$B$4),IF(DATOS!$G4164="EX",1,IF(DATOS!$G4164="OR",--(COUNTIFS(nNIA,DATOS!$A4164,nCURSO,DATOS!$D4164,nESPEC,DATOS!$E4164,nASIG,DATOS!$I4164,nEVAL,"EX")=0),0))))</f>
      </c>
      <c r="H4164">
        <f>IF(DATOS!$G4164&lt;&gt;"EX",0,--(COUNTIFS(nNIA,DATOS!$A4164,nCURSO,DATOS!$D4164,nESPEC,DATOS!$E4164,nASIG,DATOS!$I4164,nEVAL,"OR")=0))</f>
      </c>
      <c r="I4164">
        <f>IF(DATOS!$I4164="","",IFERROR(VLOOKUP(DATOS!$I4164,CONFIG_ASIGNATURAS!$B$2:$J$91,9,FALSE()),""))</f>
      </c>
    </row>
    <row r="4165">
      <c r="F4165">
        <f>IF(DATOS!$A4165="","",DATOS!$A4165&amp;"|"&amp;DATOS!$D4165&amp;"|"&amp;DATOS!$E4165&amp;"|"&amp;DATOS!$I4165)</f>
      </c>
      <c r="G4165">
        <f>IF(DATOS!$A4165="",0,IF(CONFIG_METADATA!$B$4&lt;&gt;"OR+EX",--(DATOS!$G4165=CONFIG_METADATA!$B$4),IF(DATOS!$G4165="EX",1,IF(DATOS!$G4165="OR",--(COUNTIFS(nNIA,DATOS!$A4165,nCURSO,DATOS!$D4165,nESPEC,DATOS!$E4165,nASIG,DATOS!$I4165,nEVAL,"EX")=0),0))))</f>
      </c>
      <c r="H4165">
        <f>IF(DATOS!$G4165&lt;&gt;"EX",0,--(COUNTIFS(nNIA,DATOS!$A4165,nCURSO,DATOS!$D4165,nESPEC,DATOS!$E4165,nASIG,DATOS!$I4165,nEVAL,"OR")=0))</f>
      </c>
      <c r="I4165">
        <f>IF(DATOS!$I4165="","",IFERROR(VLOOKUP(DATOS!$I4165,CONFIG_ASIGNATURAS!$B$2:$J$91,9,FALSE()),""))</f>
      </c>
    </row>
    <row r="4166">
      <c r="F4166">
        <f>IF(DATOS!$A4166="","",DATOS!$A4166&amp;"|"&amp;DATOS!$D4166&amp;"|"&amp;DATOS!$E4166&amp;"|"&amp;DATOS!$I4166)</f>
      </c>
      <c r="G4166">
        <f>IF(DATOS!$A4166="",0,IF(CONFIG_METADATA!$B$4&lt;&gt;"OR+EX",--(DATOS!$G4166=CONFIG_METADATA!$B$4),IF(DATOS!$G4166="EX",1,IF(DATOS!$G4166="OR",--(COUNTIFS(nNIA,DATOS!$A4166,nCURSO,DATOS!$D4166,nESPEC,DATOS!$E4166,nASIG,DATOS!$I4166,nEVAL,"EX")=0),0))))</f>
      </c>
      <c r="H4166">
        <f>IF(DATOS!$G4166&lt;&gt;"EX",0,--(COUNTIFS(nNIA,DATOS!$A4166,nCURSO,DATOS!$D4166,nESPEC,DATOS!$E4166,nASIG,DATOS!$I4166,nEVAL,"OR")=0))</f>
      </c>
      <c r="I4166">
        <f>IF(DATOS!$I4166="","",IFERROR(VLOOKUP(DATOS!$I4166,CONFIG_ASIGNATURAS!$B$2:$J$91,9,FALSE()),""))</f>
      </c>
    </row>
    <row r="4167">
      <c r="F4167">
        <f>IF(DATOS!$A4167="","",DATOS!$A4167&amp;"|"&amp;DATOS!$D4167&amp;"|"&amp;DATOS!$E4167&amp;"|"&amp;DATOS!$I4167)</f>
      </c>
      <c r="G4167">
        <f>IF(DATOS!$A4167="",0,IF(CONFIG_METADATA!$B$4&lt;&gt;"OR+EX",--(DATOS!$G4167=CONFIG_METADATA!$B$4),IF(DATOS!$G4167="EX",1,IF(DATOS!$G4167="OR",--(COUNTIFS(nNIA,DATOS!$A4167,nCURSO,DATOS!$D4167,nESPEC,DATOS!$E4167,nASIG,DATOS!$I4167,nEVAL,"EX")=0),0))))</f>
      </c>
      <c r="H4167">
        <f>IF(DATOS!$G4167&lt;&gt;"EX",0,--(COUNTIFS(nNIA,DATOS!$A4167,nCURSO,DATOS!$D4167,nESPEC,DATOS!$E4167,nASIG,DATOS!$I4167,nEVAL,"OR")=0))</f>
      </c>
      <c r="I4167">
        <f>IF(DATOS!$I4167="","",IFERROR(VLOOKUP(DATOS!$I4167,CONFIG_ASIGNATURAS!$B$2:$J$91,9,FALSE()),""))</f>
      </c>
    </row>
    <row r="4168">
      <c r="F4168">
        <f>IF(DATOS!$A4168="","",DATOS!$A4168&amp;"|"&amp;DATOS!$D4168&amp;"|"&amp;DATOS!$E4168&amp;"|"&amp;DATOS!$I4168)</f>
      </c>
      <c r="G4168">
        <f>IF(DATOS!$A4168="",0,IF(CONFIG_METADATA!$B$4&lt;&gt;"OR+EX",--(DATOS!$G4168=CONFIG_METADATA!$B$4),IF(DATOS!$G4168="EX",1,IF(DATOS!$G4168="OR",--(COUNTIFS(nNIA,DATOS!$A4168,nCURSO,DATOS!$D4168,nESPEC,DATOS!$E4168,nASIG,DATOS!$I4168,nEVAL,"EX")=0),0))))</f>
      </c>
      <c r="H4168">
        <f>IF(DATOS!$G4168&lt;&gt;"EX",0,--(COUNTIFS(nNIA,DATOS!$A4168,nCURSO,DATOS!$D4168,nESPEC,DATOS!$E4168,nASIG,DATOS!$I4168,nEVAL,"OR")=0))</f>
      </c>
      <c r="I4168">
        <f>IF(DATOS!$I4168="","",IFERROR(VLOOKUP(DATOS!$I4168,CONFIG_ASIGNATURAS!$B$2:$J$91,9,FALSE()),""))</f>
      </c>
    </row>
    <row r="4169">
      <c r="F4169">
        <f>IF(DATOS!$A4169="","",DATOS!$A4169&amp;"|"&amp;DATOS!$D4169&amp;"|"&amp;DATOS!$E4169&amp;"|"&amp;DATOS!$I4169)</f>
      </c>
      <c r="G4169">
        <f>IF(DATOS!$A4169="",0,IF(CONFIG_METADATA!$B$4&lt;&gt;"OR+EX",--(DATOS!$G4169=CONFIG_METADATA!$B$4),IF(DATOS!$G4169="EX",1,IF(DATOS!$G4169="OR",--(COUNTIFS(nNIA,DATOS!$A4169,nCURSO,DATOS!$D4169,nESPEC,DATOS!$E4169,nASIG,DATOS!$I4169,nEVAL,"EX")=0),0))))</f>
      </c>
      <c r="H4169">
        <f>IF(DATOS!$G4169&lt;&gt;"EX",0,--(COUNTIFS(nNIA,DATOS!$A4169,nCURSO,DATOS!$D4169,nESPEC,DATOS!$E4169,nASIG,DATOS!$I4169,nEVAL,"OR")=0))</f>
      </c>
      <c r="I4169">
        <f>IF(DATOS!$I4169="","",IFERROR(VLOOKUP(DATOS!$I4169,CONFIG_ASIGNATURAS!$B$2:$J$91,9,FALSE()),""))</f>
      </c>
    </row>
    <row r="4170">
      <c r="F4170">
        <f>IF(DATOS!$A4170="","",DATOS!$A4170&amp;"|"&amp;DATOS!$D4170&amp;"|"&amp;DATOS!$E4170&amp;"|"&amp;DATOS!$I4170)</f>
      </c>
      <c r="G4170">
        <f>IF(DATOS!$A4170="",0,IF(CONFIG_METADATA!$B$4&lt;&gt;"OR+EX",--(DATOS!$G4170=CONFIG_METADATA!$B$4),IF(DATOS!$G4170="EX",1,IF(DATOS!$G4170="OR",--(COUNTIFS(nNIA,DATOS!$A4170,nCURSO,DATOS!$D4170,nESPEC,DATOS!$E4170,nASIG,DATOS!$I4170,nEVAL,"EX")=0),0))))</f>
      </c>
      <c r="H4170">
        <f>IF(DATOS!$G4170&lt;&gt;"EX",0,--(COUNTIFS(nNIA,DATOS!$A4170,nCURSO,DATOS!$D4170,nESPEC,DATOS!$E4170,nASIG,DATOS!$I4170,nEVAL,"OR")=0))</f>
      </c>
      <c r="I4170">
        <f>IF(DATOS!$I4170="","",IFERROR(VLOOKUP(DATOS!$I4170,CONFIG_ASIGNATURAS!$B$2:$J$91,9,FALSE()),""))</f>
      </c>
    </row>
    <row r="4171">
      <c r="F4171">
        <f>IF(DATOS!$A4171="","",DATOS!$A4171&amp;"|"&amp;DATOS!$D4171&amp;"|"&amp;DATOS!$E4171&amp;"|"&amp;DATOS!$I4171)</f>
      </c>
      <c r="G4171">
        <f>IF(DATOS!$A4171="",0,IF(CONFIG_METADATA!$B$4&lt;&gt;"OR+EX",--(DATOS!$G4171=CONFIG_METADATA!$B$4),IF(DATOS!$G4171="EX",1,IF(DATOS!$G4171="OR",--(COUNTIFS(nNIA,DATOS!$A4171,nCURSO,DATOS!$D4171,nESPEC,DATOS!$E4171,nASIG,DATOS!$I4171,nEVAL,"EX")=0),0))))</f>
      </c>
      <c r="H4171">
        <f>IF(DATOS!$G4171&lt;&gt;"EX",0,--(COUNTIFS(nNIA,DATOS!$A4171,nCURSO,DATOS!$D4171,nESPEC,DATOS!$E4171,nASIG,DATOS!$I4171,nEVAL,"OR")=0))</f>
      </c>
      <c r="I4171">
        <f>IF(DATOS!$I4171="","",IFERROR(VLOOKUP(DATOS!$I4171,CONFIG_ASIGNATURAS!$B$2:$J$91,9,FALSE()),""))</f>
      </c>
    </row>
    <row r="4172">
      <c r="F4172">
        <f>IF(DATOS!$A4172="","",DATOS!$A4172&amp;"|"&amp;DATOS!$D4172&amp;"|"&amp;DATOS!$E4172&amp;"|"&amp;DATOS!$I4172)</f>
      </c>
      <c r="G4172">
        <f>IF(DATOS!$A4172="",0,IF(CONFIG_METADATA!$B$4&lt;&gt;"OR+EX",--(DATOS!$G4172=CONFIG_METADATA!$B$4),IF(DATOS!$G4172="EX",1,IF(DATOS!$G4172="OR",--(COUNTIFS(nNIA,DATOS!$A4172,nCURSO,DATOS!$D4172,nESPEC,DATOS!$E4172,nASIG,DATOS!$I4172,nEVAL,"EX")=0),0))))</f>
      </c>
      <c r="H4172">
        <f>IF(DATOS!$G4172&lt;&gt;"EX",0,--(COUNTIFS(nNIA,DATOS!$A4172,nCURSO,DATOS!$D4172,nESPEC,DATOS!$E4172,nASIG,DATOS!$I4172,nEVAL,"OR")=0))</f>
      </c>
      <c r="I4172">
        <f>IF(DATOS!$I4172="","",IFERROR(VLOOKUP(DATOS!$I4172,CONFIG_ASIGNATURAS!$B$2:$J$91,9,FALSE()),""))</f>
      </c>
    </row>
    <row r="4173">
      <c r="F4173">
        <f>IF(DATOS!$A4173="","",DATOS!$A4173&amp;"|"&amp;DATOS!$D4173&amp;"|"&amp;DATOS!$E4173&amp;"|"&amp;DATOS!$I4173)</f>
      </c>
      <c r="G4173">
        <f>IF(DATOS!$A4173="",0,IF(CONFIG_METADATA!$B$4&lt;&gt;"OR+EX",--(DATOS!$G4173=CONFIG_METADATA!$B$4),IF(DATOS!$G4173="EX",1,IF(DATOS!$G4173="OR",--(COUNTIFS(nNIA,DATOS!$A4173,nCURSO,DATOS!$D4173,nESPEC,DATOS!$E4173,nASIG,DATOS!$I4173,nEVAL,"EX")=0),0))))</f>
      </c>
      <c r="H4173">
        <f>IF(DATOS!$G4173&lt;&gt;"EX",0,--(COUNTIFS(nNIA,DATOS!$A4173,nCURSO,DATOS!$D4173,nESPEC,DATOS!$E4173,nASIG,DATOS!$I4173,nEVAL,"OR")=0))</f>
      </c>
      <c r="I4173">
        <f>IF(DATOS!$I4173="","",IFERROR(VLOOKUP(DATOS!$I4173,CONFIG_ASIGNATURAS!$B$2:$J$91,9,FALSE()),""))</f>
      </c>
    </row>
    <row r="4174">
      <c r="F4174">
        <f>IF(DATOS!$A4174="","",DATOS!$A4174&amp;"|"&amp;DATOS!$D4174&amp;"|"&amp;DATOS!$E4174&amp;"|"&amp;DATOS!$I4174)</f>
      </c>
      <c r="G4174">
        <f>IF(DATOS!$A4174="",0,IF(CONFIG_METADATA!$B$4&lt;&gt;"OR+EX",--(DATOS!$G4174=CONFIG_METADATA!$B$4),IF(DATOS!$G4174="EX",1,IF(DATOS!$G4174="OR",--(COUNTIFS(nNIA,DATOS!$A4174,nCURSO,DATOS!$D4174,nESPEC,DATOS!$E4174,nASIG,DATOS!$I4174,nEVAL,"EX")=0),0))))</f>
      </c>
      <c r="H4174">
        <f>IF(DATOS!$G4174&lt;&gt;"EX",0,--(COUNTIFS(nNIA,DATOS!$A4174,nCURSO,DATOS!$D4174,nESPEC,DATOS!$E4174,nASIG,DATOS!$I4174,nEVAL,"OR")=0))</f>
      </c>
      <c r="I4174">
        <f>IF(DATOS!$I4174="","",IFERROR(VLOOKUP(DATOS!$I4174,CONFIG_ASIGNATURAS!$B$2:$J$91,9,FALSE()),""))</f>
      </c>
    </row>
    <row r="4175">
      <c r="F4175">
        <f>IF(DATOS!$A4175="","",DATOS!$A4175&amp;"|"&amp;DATOS!$D4175&amp;"|"&amp;DATOS!$E4175&amp;"|"&amp;DATOS!$I4175)</f>
      </c>
      <c r="G4175">
        <f>IF(DATOS!$A4175="",0,IF(CONFIG_METADATA!$B$4&lt;&gt;"OR+EX",--(DATOS!$G4175=CONFIG_METADATA!$B$4),IF(DATOS!$G4175="EX",1,IF(DATOS!$G4175="OR",--(COUNTIFS(nNIA,DATOS!$A4175,nCURSO,DATOS!$D4175,nESPEC,DATOS!$E4175,nASIG,DATOS!$I4175,nEVAL,"EX")=0),0))))</f>
      </c>
      <c r="H4175">
        <f>IF(DATOS!$G4175&lt;&gt;"EX",0,--(COUNTIFS(nNIA,DATOS!$A4175,nCURSO,DATOS!$D4175,nESPEC,DATOS!$E4175,nASIG,DATOS!$I4175,nEVAL,"OR")=0))</f>
      </c>
      <c r="I4175">
        <f>IF(DATOS!$I4175="","",IFERROR(VLOOKUP(DATOS!$I4175,CONFIG_ASIGNATURAS!$B$2:$J$91,9,FALSE()),""))</f>
      </c>
    </row>
    <row r="4176">
      <c r="F4176">
        <f>IF(DATOS!$A4176="","",DATOS!$A4176&amp;"|"&amp;DATOS!$D4176&amp;"|"&amp;DATOS!$E4176&amp;"|"&amp;DATOS!$I4176)</f>
      </c>
      <c r="G4176">
        <f>IF(DATOS!$A4176="",0,IF(CONFIG_METADATA!$B$4&lt;&gt;"OR+EX",--(DATOS!$G4176=CONFIG_METADATA!$B$4),IF(DATOS!$G4176="EX",1,IF(DATOS!$G4176="OR",--(COUNTIFS(nNIA,DATOS!$A4176,nCURSO,DATOS!$D4176,nESPEC,DATOS!$E4176,nASIG,DATOS!$I4176,nEVAL,"EX")=0),0))))</f>
      </c>
      <c r="H4176">
        <f>IF(DATOS!$G4176&lt;&gt;"EX",0,--(COUNTIFS(nNIA,DATOS!$A4176,nCURSO,DATOS!$D4176,nESPEC,DATOS!$E4176,nASIG,DATOS!$I4176,nEVAL,"OR")=0))</f>
      </c>
      <c r="I4176">
        <f>IF(DATOS!$I4176="","",IFERROR(VLOOKUP(DATOS!$I4176,CONFIG_ASIGNATURAS!$B$2:$J$91,9,FALSE()),""))</f>
      </c>
    </row>
    <row r="4177">
      <c r="F4177">
        <f>IF(DATOS!$A4177="","",DATOS!$A4177&amp;"|"&amp;DATOS!$D4177&amp;"|"&amp;DATOS!$E4177&amp;"|"&amp;DATOS!$I4177)</f>
      </c>
      <c r="G4177">
        <f>IF(DATOS!$A4177="",0,IF(CONFIG_METADATA!$B$4&lt;&gt;"OR+EX",--(DATOS!$G4177=CONFIG_METADATA!$B$4),IF(DATOS!$G4177="EX",1,IF(DATOS!$G4177="OR",--(COUNTIFS(nNIA,DATOS!$A4177,nCURSO,DATOS!$D4177,nESPEC,DATOS!$E4177,nASIG,DATOS!$I4177,nEVAL,"EX")=0),0))))</f>
      </c>
      <c r="H4177">
        <f>IF(DATOS!$G4177&lt;&gt;"EX",0,--(COUNTIFS(nNIA,DATOS!$A4177,nCURSO,DATOS!$D4177,nESPEC,DATOS!$E4177,nASIG,DATOS!$I4177,nEVAL,"OR")=0))</f>
      </c>
      <c r="I4177">
        <f>IF(DATOS!$I4177="","",IFERROR(VLOOKUP(DATOS!$I4177,CONFIG_ASIGNATURAS!$B$2:$J$91,9,FALSE()),""))</f>
      </c>
    </row>
    <row r="4178">
      <c r="F4178">
        <f>IF(DATOS!$A4178="","",DATOS!$A4178&amp;"|"&amp;DATOS!$D4178&amp;"|"&amp;DATOS!$E4178&amp;"|"&amp;DATOS!$I4178)</f>
      </c>
      <c r="G4178">
        <f>IF(DATOS!$A4178="",0,IF(CONFIG_METADATA!$B$4&lt;&gt;"OR+EX",--(DATOS!$G4178=CONFIG_METADATA!$B$4),IF(DATOS!$G4178="EX",1,IF(DATOS!$G4178="OR",--(COUNTIFS(nNIA,DATOS!$A4178,nCURSO,DATOS!$D4178,nESPEC,DATOS!$E4178,nASIG,DATOS!$I4178,nEVAL,"EX")=0),0))))</f>
      </c>
      <c r="H4178">
        <f>IF(DATOS!$G4178&lt;&gt;"EX",0,--(COUNTIFS(nNIA,DATOS!$A4178,nCURSO,DATOS!$D4178,nESPEC,DATOS!$E4178,nASIG,DATOS!$I4178,nEVAL,"OR")=0))</f>
      </c>
      <c r="I4178">
        <f>IF(DATOS!$I4178="","",IFERROR(VLOOKUP(DATOS!$I4178,CONFIG_ASIGNATURAS!$B$2:$J$91,9,FALSE()),""))</f>
      </c>
    </row>
    <row r="4179">
      <c r="F4179">
        <f>IF(DATOS!$A4179="","",DATOS!$A4179&amp;"|"&amp;DATOS!$D4179&amp;"|"&amp;DATOS!$E4179&amp;"|"&amp;DATOS!$I4179)</f>
      </c>
      <c r="G4179">
        <f>IF(DATOS!$A4179="",0,IF(CONFIG_METADATA!$B$4&lt;&gt;"OR+EX",--(DATOS!$G4179=CONFIG_METADATA!$B$4),IF(DATOS!$G4179="EX",1,IF(DATOS!$G4179="OR",--(COUNTIFS(nNIA,DATOS!$A4179,nCURSO,DATOS!$D4179,nESPEC,DATOS!$E4179,nASIG,DATOS!$I4179,nEVAL,"EX")=0),0))))</f>
      </c>
      <c r="H4179">
        <f>IF(DATOS!$G4179&lt;&gt;"EX",0,--(COUNTIFS(nNIA,DATOS!$A4179,nCURSO,DATOS!$D4179,nESPEC,DATOS!$E4179,nASIG,DATOS!$I4179,nEVAL,"OR")=0))</f>
      </c>
      <c r="I4179">
        <f>IF(DATOS!$I4179="","",IFERROR(VLOOKUP(DATOS!$I4179,CONFIG_ASIGNATURAS!$B$2:$J$91,9,FALSE()),""))</f>
      </c>
    </row>
    <row r="4180">
      <c r="F4180">
        <f>IF(DATOS!$A4180="","",DATOS!$A4180&amp;"|"&amp;DATOS!$D4180&amp;"|"&amp;DATOS!$E4180&amp;"|"&amp;DATOS!$I4180)</f>
      </c>
      <c r="G4180">
        <f>IF(DATOS!$A4180="",0,IF(CONFIG_METADATA!$B$4&lt;&gt;"OR+EX",--(DATOS!$G4180=CONFIG_METADATA!$B$4),IF(DATOS!$G4180="EX",1,IF(DATOS!$G4180="OR",--(COUNTIFS(nNIA,DATOS!$A4180,nCURSO,DATOS!$D4180,nESPEC,DATOS!$E4180,nASIG,DATOS!$I4180,nEVAL,"EX")=0),0))))</f>
      </c>
      <c r="H4180">
        <f>IF(DATOS!$G4180&lt;&gt;"EX",0,--(COUNTIFS(nNIA,DATOS!$A4180,nCURSO,DATOS!$D4180,nESPEC,DATOS!$E4180,nASIG,DATOS!$I4180,nEVAL,"OR")=0))</f>
      </c>
      <c r="I4180">
        <f>IF(DATOS!$I4180="","",IFERROR(VLOOKUP(DATOS!$I4180,CONFIG_ASIGNATURAS!$B$2:$J$91,9,FALSE()),""))</f>
      </c>
    </row>
    <row r="4181">
      <c r="F4181">
        <f>IF(DATOS!$A4181="","",DATOS!$A4181&amp;"|"&amp;DATOS!$D4181&amp;"|"&amp;DATOS!$E4181&amp;"|"&amp;DATOS!$I4181)</f>
      </c>
      <c r="G4181">
        <f>IF(DATOS!$A4181="",0,IF(CONFIG_METADATA!$B$4&lt;&gt;"OR+EX",--(DATOS!$G4181=CONFIG_METADATA!$B$4),IF(DATOS!$G4181="EX",1,IF(DATOS!$G4181="OR",--(COUNTIFS(nNIA,DATOS!$A4181,nCURSO,DATOS!$D4181,nESPEC,DATOS!$E4181,nASIG,DATOS!$I4181,nEVAL,"EX")=0),0))))</f>
      </c>
      <c r="H4181">
        <f>IF(DATOS!$G4181&lt;&gt;"EX",0,--(COUNTIFS(nNIA,DATOS!$A4181,nCURSO,DATOS!$D4181,nESPEC,DATOS!$E4181,nASIG,DATOS!$I4181,nEVAL,"OR")=0))</f>
      </c>
      <c r="I4181">
        <f>IF(DATOS!$I4181="","",IFERROR(VLOOKUP(DATOS!$I4181,CONFIG_ASIGNATURAS!$B$2:$J$91,9,FALSE()),""))</f>
      </c>
    </row>
    <row r="4182">
      <c r="F4182">
        <f>IF(DATOS!$A4182="","",DATOS!$A4182&amp;"|"&amp;DATOS!$D4182&amp;"|"&amp;DATOS!$E4182&amp;"|"&amp;DATOS!$I4182)</f>
      </c>
      <c r="G4182">
        <f>IF(DATOS!$A4182="",0,IF(CONFIG_METADATA!$B$4&lt;&gt;"OR+EX",--(DATOS!$G4182=CONFIG_METADATA!$B$4),IF(DATOS!$G4182="EX",1,IF(DATOS!$G4182="OR",--(COUNTIFS(nNIA,DATOS!$A4182,nCURSO,DATOS!$D4182,nESPEC,DATOS!$E4182,nASIG,DATOS!$I4182,nEVAL,"EX")=0),0))))</f>
      </c>
      <c r="H4182">
        <f>IF(DATOS!$G4182&lt;&gt;"EX",0,--(COUNTIFS(nNIA,DATOS!$A4182,nCURSO,DATOS!$D4182,nESPEC,DATOS!$E4182,nASIG,DATOS!$I4182,nEVAL,"OR")=0))</f>
      </c>
      <c r="I4182">
        <f>IF(DATOS!$I4182="","",IFERROR(VLOOKUP(DATOS!$I4182,CONFIG_ASIGNATURAS!$B$2:$J$91,9,FALSE()),""))</f>
      </c>
    </row>
    <row r="4183">
      <c r="F4183">
        <f>IF(DATOS!$A4183="","",DATOS!$A4183&amp;"|"&amp;DATOS!$D4183&amp;"|"&amp;DATOS!$E4183&amp;"|"&amp;DATOS!$I4183)</f>
      </c>
      <c r="G4183">
        <f>IF(DATOS!$A4183="",0,IF(CONFIG_METADATA!$B$4&lt;&gt;"OR+EX",--(DATOS!$G4183=CONFIG_METADATA!$B$4),IF(DATOS!$G4183="EX",1,IF(DATOS!$G4183="OR",--(COUNTIFS(nNIA,DATOS!$A4183,nCURSO,DATOS!$D4183,nESPEC,DATOS!$E4183,nASIG,DATOS!$I4183,nEVAL,"EX")=0),0))))</f>
      </c>
      <c r="H4183">
        <f>IF(DATOS!$G4183&lt;&gt;"EX",0,--(COUNTIFS(nNIA,DATOS!$A4183,nCURSO,DATOS!$D4183,nESPEC,DATOS!$E4183,nASIG,DATOS!$I4183,nEVAL,"OR")=0))</f>
      </c>
      <c r="I4183">
        <f>IF(DATOS!$I4183="","",IFERROR(VLOOKUP(DATOS!$I4183,CONFIG_ASIGNATURAS!$B$2:$J$91,9,FALSE()),""))</f>
      </c>
    </row>
    <row r="4184">
      <c r="F4184">
        <f>IF(DATOS!$A4184="","",DATOS!$A4184&amp;"|"&amp;DATOS!$D4184&amp;"|"&amp;DATOS!$E4184&amp;"|"&amp;DATOS!$I4184)</f>
      </c>
      <c r="G4184">
        <f>IF(DATOS!$A4184="",0,IF(CONFIG_METADATA!$B$4&lt;&gt;"OR+EX",--(DATOS!$G4184=CONFIG_METADATA!$B$4),IF(DATOS!$G4184="EX",1,IF(DATOS!$G4184="OR",--(COUNTIFS(nNIA,DATOS!$A4184,nCURSO,DATOS!$D4184,nESPEC,DATOS!$E4184,nASIG,DATOS!$I4184,nEVAL,"EX")=0),0))))</f>
      </c>
      <c r="H4184">
        <f>IF(DATOS!$G4184&lt;&gt;"EX",0,--(COUNTIFS(nNIA,DATOS!$A4184,nCURSO,DATOS!$D4184,nESPEC,DATOS!$E4184,nASIG,DATOS!$I4184,nEVAL,"OR")=0))</f>
      </c>
      <c r="I4184">
        <f>IF(DATOS!$I4184="","",IFERROR(VLOOKUP(DATOS!$I4184,CONFIG_ASIGNATURAS!$B$2:$J$91,9,FALSE()),""))</f>
      </c>
    </row>
    <row r="4185">
      <c r="F4185">
        <f>IF(DATOS!$A4185="","",DATOS!$A4185&amp;"|"&amp;DATOS!$D4185&amp;"|"&amp;DATOS!$E4185&amp;"|"&amp;DATOS!$I4185)</f>
      </c>
      <c r="G4185">
        <f>IF(DATOS!$A4185="",0,IF(CONFIG_METADATA!$B$4&lt;&gt;"OR+EX",--(DATOS!$G4185=CONFIG_METADATA!$B$4),IF(DATOS!$G4185="EX",1,IF(DATOS!$G4185="OR",--(COUNTIFS(nNIA,DATOS!$A4185,nCURSO,DATOS!$D4185,nESPEC,DATOS!$E4185,nASIG,DATOS!$I4185,nEVAL,"EX")=0),0))))</f>
      </c>
      <c r="H4185">
        <f>IF(DATOS!$G4185&lt;&gt;"EX",0,--(COUNTIFS(nNIA,DATOS!$A4185,nCURSO,DATOS!$D4185,nESPEC,DATOS!$E4185,nASIG,DATOS!$I4185,nEVAL,"OR")=0))</f>
      </c>
      <c r="I4185">
        <f>IF(DATOS!$I4185="","",IFERROR(VLOOKUP(DATOS!$I4185,CONFIG_ASIGNATURAS!$B$2:$J$91,9,FALSE()),""))</f>
      </c>
    </row>
    <row r="4186">
      <c r="F4186">
        <f>IF(DATOS!$A4186="","",DATOS!$A4186&amp;"|"&amp;DATOS!$D4186&amp;"|"&amp;DATOS!$E4186&amp;"|"&amp;DATOS!$I4186)</f>
      </c>
      <c r="G4186">
        <f>IF(DATOS!$A4186="",0,IF(CONFIG_METADATA!$B$4&lt;&gt;"OR+EX",--(DATOS!$G4186=CONFIG_METADATA!$B$4),IF(DATOS!$G4186="EX",1,IF(DATOS!$G4186="OR",--(COUNTIFS(nNIA,DATOS!$A4186,nCURSO,DATOS!$D4186,nESPEC,DATOS!$E4186,nASIG,DATOS!$I4186,nEVAL,"EX")=0),0))))</f>
      </c>
      <c r="H4186">
        <f>IF(DATOS!$G4186&lt;&gt;"EX",0,--(COUNTIFS(nNIA,DATOS!$A4186,nCURSO,DATOS!$D4186,nESPEC,DATOS!$E4186,nASIG,DATOS!$I4186,nEVAL,"OR")=0))</f>
      </c>
      <c r="I4186">
        <f>IF(DATOS!$I4186="","",IFERROR(VLOOKUP(DATOS!$I4186,CONFIG_ASIGNATURAS!$B$2:$J$91,9,FALSE()),""))</f>
      </c>
    </row>
    <row r="4187">
      <c r="F4187">
        <f>IF(DATOS!$A4187="","",DATOS!$A4187&amp;"|"&amp;DATOS!$D4187&amp;"|"&amp;DATOS!$E4187&amp;"|"&amp;DATOS!$I4187)</f>
      </c>
      <c r="G4187">
        <f>IF(DATOS!$A4187="",0,IF(CONFIG_METADATA!$B$4&lt;&gt;"OR+EX",--(DATOS!$G4187=CONFIG_METADATA!$B$4),IF(DATOS!$G4187="EX",1,IF(DATOS!$G4187="OR",--(COUNTIFS(nNIA,DATOS!$A4187,nCURSO,DATOS!$D4187,nESPEC,DATOS!$E4187,nASIG,DATOS!$I4187,nEVAL,"EX")=0),0))))</f>
      </c>
      <c r="H4187">
        <f>IF(DATOS!$G4187&lt;&gt;"EX",0,--(COUNTIFS(nNIA,DATOS!$A4187,nCURSO,DATOS!$D4187,nESPEC,DATOS!$E4187,nASIG,DATOS!$I4187,nEVAL,"OR")=0))</f>
      </c>
      <c r="I4187">
        <f>IF(DATOS!$I4187="","",IFERROR(VLOOKUP(DATOS!$I4187,CONFIG_ASIGNATURAS!$B$2:$J$91,9,FALSE()),""))</f>
      </c>
    </row>
    <row r="4188">
      <c r="F4188">
        <f>IF(DATOS!$A4188="","",DATOS!$A4188&amp;"|"&amp;DATOS!$D4188&amp;"|"&amp;DATOS!$E4188&amp;"|"&amp;DATOS!$I4188)</f>
      </c>
      <c r="G4188">
        <f>IF(DATOS!$A4188="",0,IF(CONFIG_METADATA!$B$4&lt;&gt;"OR+EX",--(DATOS!$G4188=CONFIG_METADATA!$B$4),IF(DATOS!$G4188="EX",1,IF(DATOS!$G4188="OR",--(COUNTIFS(nNIA,DATOS!$A4188,nCURSO,DATOS!$D4188,nESPEC,DATOS!$E4188,nASIG,DATOS!$I4188,nEVAL,"EX")=0),0))))</f>
      </c>
      <c r="H4188">
        <f>IF(DATOS!$G4188&lt;&gt;"EX",0,--(COUNTIFS(nNIA,DATOS!$A4188,nCURSO,DATOS!$D4188,nESPEC,DATOS!$E4188,nASIG,DATOS!$I4188,nEVAL,"OR")=0))</f>
      </c>
      <c r="I4188">
        <f>IF(DATOS!$I4188="","",IFERROR(VLOOKUP(DATOS!$I4188,CONFIG_ASIGNATURAS!$B$2:$J$91,9,FALSE()),""))</f>
      </c>
    </row>
    <row r="4189">
      <c r="F4189">
        <f>IF(DATOS!$A4189="","",DATOS!$A4189&amp;"|"&amp;DATOS!$D4189&amp;"|"&amp;DATOS!$E4189&amp;"|"&amp;DATOS!$I4189)</f>
      </c>
      <c r="G4189">
        <f>IF(DATOS!$A4189="",0,IF(CONFIG_METADATA!$B$4&lt;&gt;"OR+EX",--(DATOS!$G4189=CONFIG_METADATA!$B$4),IF(DATOS!$G4189="EX",1,IF(DATOS!$G4189="OR",--(COUNTIFS(nNIA,DATOS!$A4189,nCURSO,DATOS!$D4189,nESPEC,DATOS!$E4189,nASIG,DATOS!$I4189,nEVAL,"EX")=0),0))))</f>
      </c>
      <c r="H4189">
        <f>IF(DATOS!$G4189&lt;&gt;"EX",0,--(COUNTIFS(nNIA,DATOS!$A4189,nCURSO,DATOS!$D4189,nESPEC,DATOS!$E4189,nASIG,DATOS!$I4189,nEVAL,"OR")=0))</f>
      </c>
      <c r="I4189">
        <f>IF(DATOS!$I4189="","",IFERROR(VLOOKUP(DATOS!$I4189,CONFIG_ASIGNATURAS!$B$2:$J$91,9,FALSE()),""))</f>
      </c>
    </row>
    <row r="4190">
      <c r="F4190">
        <f>IF(DATOS!$A4190="","",DATOS!$A4190&amp;"|"&amp;DATOS!$D4190&amp;"|"&amp;DATOS!$E4190&amp;"|"&amp;DATOS!$I4190)</f>
      </c>
      <c r="G4190">
        <f>IF(DATOS!$A4190="",0,IF(CONFIG_METADATA!$B$4&lt;&gt;"OR+EX",--(DATOS!$G4190=CONFIG_METADATA!$B$4),IF(DATOS!$G4190="EX",1,IF(DATOS!$G4190="OR",--(COUNTIFS(nNIA,DATOS!$A4190,nCURSO,DATOS!$D4190,nESPEC,DATOS!$E4190,nASIG,DATOS!$I4190,nEVAL,"EX")=0),0))))</f>
      </c>
      <c r="H4190">
        <f>IF(DATOS!$G4190&lt;&gt;"EX",0,--(COUNTIFS(nNIA,DATOS!$A4190,nCURSO,DATOS!$D4190,nESPEC,DATOS!$E4190,nASIG,DATOS!$I4190,nEVAL,"OR")=0))</f>
      </c>
      <c r="I4190">
        <f>IF(DATOS!$I4190="","",IFERROR(VLOOKUP(DATOS!$I4190,CONFIG_ASIGNATURAS!$B$2:$J$91,9,FALSE()),""))</f>
      </c>
    </row>
    <row r="4191">
      <c r="F4191">
        <f>IF(DATOS!$A4191="","",DATOS!$A4191&amp;"|"&amp;DATOS!$D4191&amp;"|"&amp;DATOS!$E4191&amp;"|"&amp;DATOS!$I4191)</f>
      </c>
      <c r="G4191">
        <f>IF(DATOS!$A4191="",0,IF(CONFIG_METADATA!$B$4&lt;&gt;"OR+EX",--(DATOS!$G4191=CONFIG_METADATA!$B$4),IF(DATOS!$G4191="EX",1,IF(DATOS!$G4191="OR",--(COUNTIFS(nNIA,DATOS!$A4191,nCURSO,DATOS!$D4191,nESPEC,DATOS!$E4191,nASIG,DATOS!$I4191,nEVAL,"EX")=0),0))))</f>
      </c>
      <c r="H4191">
        <f>IF(DATOS!$G4191&lt;&gt;"EX",0,--(COUNTIFS(nNIA,DATOS!$A4191,nCURSO,DATOS!$D4191,nESPEC,DATOS!$E4191,nASIG,DATOS!$I4191,nEVAL,"OR")=0))</f>
      </c>
      <c r="I4191">
        <f>IF(DATOS!$I4191="","",IFERROR(VLOOKUP(DATOS!$I4191,CONFIG_ASIGNATURAS!$B$2:$J$91,9,FALSE()),""))</f>
      </c>
    </row>
    <row r="4192">
      <c r="F4192">
        <f>IF(DATOS!$A4192="","",DATOS!$A4192&amp;"|"&amp;DATOS!$D4192&amp;"|"&amp;DATOS!$E4192&amp;"|"&amp;DATOS!$I4192)</f>
      </c>
      <c r="G4192">
        <f>IF(DATOS!$A4192="",0,IF(CONFIG_METADATA!$B$4&lt;&gt;"OR+EX",--(DATOS!$G4192=CONFIG_METADATA!$B$4),IF(DATOS!$G4192="EX",1,IF(DATOS!$G4192="OR",--(COUNTIFS(nNIA,DATOS!$A4192,nCURSO,DATOS!$D4192,nESPEC,DATOS!$E4192,nASIG,DATOS!$I4192,nEVAL,"EX")=0),0))))</f>
      </c>
      <c r="H4192">
        <f>IF(DATOS!$G4192&lt;&gt;"EX",0,--(COUNTIFS(nNIA,DATOS!$A4192,nCURSO,DATOS!$D4192,nESPEC,DATOS!$E4192,nASIG,DATOS!$I4192,nEVAL,"OR")=0))</f>
      </c>
      <c r="I4192">
        <f>IF(DATOS!$I4192="","",IFERROR(VLOOKUP(DATOS!$I4192,CONFIG_ASIGNATURAS!$B$2:$J$91,9,FALSE()),""))</f>
      </c>
    </row>
    <row r="4193">
      <c r="F4193">
        <f>IF(DATOS!$A4193="","",DATOS!$A4193&amp;"|"&amp;DATOS!$D4193&amp;"|"&amp;DATOS!$E4193&amp;"|"&amp;DATOS!$I4193)</f>
      </c>
      <c r="G4193">
        <f>IF(DATOS!$A4193="",0,IF(CONFIG_METADATA!$B$4&lt;&gt;"OR+EX",--(DATOS!$G4193=CONFIG_METADATA!$B$4),IF(DATOS!$G4193="EX",1,IF(DATOS!$G4193="OR",--(COUNTIFS(nNIA,DATOS!$A4193,nCURSO,DATOS!$D4193,nESPEC,DATOS!$E4193,nASIG,DATOS!$I4193,nEVAL,"EX")=0),0))))</f>
      </c>
      <c r="H4193">
        <f>IF(DATOS!$G4193&lt;&gt;"EX",0,--(COUNTIFS(nNIA,DATOS!$A4193,nCURSO,DATOS!$D4193,nESPEC,DATOS!$E4193,nASIG,DATOS!$I4193,nEVAL,"OR")=0))</f>
      </c>
      <c r="I4193">
        <f>IF(DATOS!$I4193="","",IFERROR(VLOOKUP(DATOS!$I4193,CONFIG_ASIGNATURAS!$B$2:$J$91,9,FALSE()),""))</f>
      </c>
    </row>
    <row r="4194">
      <c r="F4194">
        <f>IF(DATOS!$A4194="","",DATOS!$A4194&amp;"|"&amp;DATOS!$D4194&amp;"|"&amp;DATOS!$E4194&amp;"|"&amp;DATOS!$I4194)</f>
      </c>
      <c r="G4194">
        <f>IF(DATOS!$A4194="",0,IF(CONFIG_METADATA!$B$4&lt;&gt;"OR+EX",--(DATOS!$G4194=CONFIG_METADATA!$B$4),IF(DATOS!$G4194="EX",1,IF(DATOS!$G4194="OR",--(COUNTIFS(nNIA,DATOS!$A4194,nCURSO,DATOS!$D4194,nESPEC,DATOS!$E4194,nASIG,DATOS!$I4194,nEVAL,"EX")=0),0))))</f>
      </c>
      <c r="H4194">
        <f>IF(DATOS!$G4194&lt;&gt;"EX",0,--(COUNTIFS(nNIA,DATOS!$A4194,nCURSO,DATOS!$D4194,nESPEC,DATOS!$E4194,nASIG,DATOS!$I4194,nEVAL,"OR")=0))</f>
      </c>
      <c r="I4194">
        <f>IF(DATOS!$I4194="","",IFERROR(VLOOKUP(DATOS!$I4194,CONFIG_ASIGNATURAS!$B$2:$J$91,9,FALSE()),""))</f>
      </c>
    </row>
    <row r="4195">
      <c r="F4195">
        <f>IF(DATOS!$A4195="","",DATOS!$A4195&amp;"|"&amp;DATOS!$D4195&amp;"|"&amp;DATOS!$E4195&amp;"|"&amp;DATOS!$I4195)</f>
      </c>
      <c r="G4195">
        <f>IF(DATOS!$A4195="",0,IF(CONFIG_METADATA!$B$4&lt;&gt;"OR+EX",--(DATOS!$G4195=CONFIG_METADATA!$B$4),IF(DATOS!$G4195="EX",1,IF(DATOS!$G4195="OR",--(COUNTIFS(nNIA,DATOS!$A4195,nCURSO,DATOS!$D4195,nESPEC,DATOS!$E4195,nASIG,DATOS!$I4195,nEVAL,"EX")=0),0))))</f>
      </c>
      <c r="H4195">
        <f>IF(DATOS!$G4195&lt;&gt;"EX",0,--(COUNTIFS(nNIA,DATOS!$A4195,nCURSO,DATOS!$D4195,nESPEC,DATOS!$E4195,nASIG,DATOS!$I4195,nEVAL,"OR")=0))</f>
      </c>
      <c r="I4195">
        <f>IF(DATOS!$I4195="","",IFERROR(VLOOKUP(DATOS!$I4195,CONFIG_ASIGNATURAS!$B$2:$J$91,9,FALSE()),""))</f>
      </c>
    </row>
    <row r="4196">
      <c r="F4196">
        <f>IF(DATOS!$A4196="","",DATOS!$A4196&amp;"|"&amp;DATOS!$D4196&amp;"|"&amp;DATOS!$E4196&amp;"|"&amp;DATOS!$I4196)</f>
      </c>
      <c r="G4196">
        <f>IF(DATOS!$A4196="",0,IF(CONFIG_METADATA!$B$4&lt;&gt;"OR+EX",--(DATOS!$G4196=CONFIG_METADATA!$B$4),IF(DATOS!$G4196="EX",1,IF(DATOS!$G4196="OR",--(COUNTIFS(nNIA,DATOS!$A4196,nCURSO,DATOS!$D4196,nESPEC,DATOS!$E4196,nASIG,DATOS!$I4196,nEVAL,"EX")=0),0))))</f>
      </c>
      <c r="H4196">
        <f>IF(DATOS!$G4196&lt;&gt;"EX",0,--(COUNTIFS(nNIA,DATOS!$A4196,nCURSO,DATOS!$D4196,nESPEC,DATOS!$E4196,nASIG,DATOS!$I4196,nEVAL,"OR")=0))</f>
      </c>
      <c r="I4196">
        <f>IF(DATOS!$I4196="","",IFERROR(VLOOKUP(DATOS!$I4196,CONFIG_ASIGNATURAS!$B$2:$J$91,9,FALSE()),""))</f>
      </c>
    </row>
    <row r="4197">
      <c r="F4197">
        <f>IF(DATOS!$A4197="","",DATOS!$A4197&amp;"|"&amp;DATOS!$D4197&amp;"|"&amp;DATOS!$E4197&amp;"|"&amp;DATOS!$I4197)</f>
      </c>
      <c r="G4197">
        <f>IF(DATOS!$A4197="",0,IF(CONFIG_METADATA!$B$4&lt;&gt;"OR+EX",--(DATOS!$G4197=CONFIG_METADATA!$B$4),IF(DATOS!$G4197="EX",1,IF(DATOS!$G4197="OR",--(COUNTIFS(nNIA,DATOS!$A4197,nCURSO,DATOS!$D4197,nESPEC,DATOS!$E4197,nASIG,DATOS!$I4197,nEVAL,"EX")=0),0))))</f>
      </c>
      <c r="H4197">
        <f>IF(DATOS!$G4197&lt;&gt;"EX",0,--(COUNTIFS(nNIA,DATOS!$A4197,nCURSO,DATOS!$D4197,nESPEC,DATOS!$E4197,nASIG,DATOS!$I4197,nEVAL,"OR")=0))</f>
      </c>
      <c r="I4197">
        <f>IF(DATOS!$I4197="","",IFERROR(VLOOKUP(DATOS!$I4197,CONFIG_ASIGNATURAS!$B$2:$J$91,9,FALSE()),""))</f>
      </c>
    </row>
    <row r="4198">
      <c r="F4198">
        <f>IF(DATOS!$A4198="","",DATOS!$A4198&amp;"|"&amp;DATOS!$D4198&amp;"|"&amp;DATOS!$E4198&amp;"|"&amp;DATOS!$I4198)</f>
      </c>
      <c r="G4198">
        <f>IF(DATOS!$A4198="",0,IF(CONFIG_METADATA!$B$4&lt;&gt;"OR+EX",--(DATOS!$G4198=CONFIG_METADATA!$B$4),IF(DATOS!$G4198="EX",1,IF(DATOS!$G4198="OR",--(COUNTIFS(nNIA,DATOS!$A4198,nCURSO,DATOS!$D4198,nESPEC,DATOS!$E4198,nASIG,DATOS!$I4198,nEVAL,"EX")=0),0))))</f>
      </c>
      <c r="H4198">
        <f>IF(DATOS!$G4198&lt;&gt;"EX",0,--(COUNTIFS(nNIA,DATOS!$A4198,nCURSO,DATOS!$D4198,nESPEC,DATOS!$E4198,nASIG,DATOS!$I4198,nEVAL,"OR")=0))</f>
      </c>
      <c r="I4198">
        <f>IF(DATOS!$I4198="","",IFERROR(VLOOKUP(DATOS!$I4198,CONFIG_ASIGNATURAS!$B$2:$J$91,9,FALSE()),""))</f>
      </c>
    </row>
    <row r="4199">
      <c r="F4199">
        <f>IF(DATOS!$A4199="","",DATOS!$A4199&amp;"|"&amp;DATOS!$D4199&amp;"|"&amp;DATOS!$E4199&amp;"|"&amp;DATOS!$I4199)</f>
      </c>
      <c r="G4199">
        <f>IF(DATOS!$A4199="",0,IF(CONFIG_METADATA!$B$4&lt;&gt;"OR+EX",--(DATOS!$G4199=CONFIG_METADATA!$B$4),IF(DATOS!$G4199="EX",1,IF(DATOS!$G4199="OR",--(COUNTIFS(nNIA,DATOS!$A4199,nCURSO,DATOS!$D4199,nESPEC,DATOS!$E4199,nASIG,DATOS!$I4199,nEVAL,"EX")=0),0))))</f>
      </c>
      <c r="H4199">
        <f>IF(DATOS!$G4199&lt;&gt;"EX",0,--(COUNTIFS(nNIA,DATOS!$A4199,nCURSO,DATOS!$D4199,nESPEC,DATOS!$E4199,nASIG,DATOS!$I4199,nEVAL,"OR")=0))</f>
      </c>
      <c r="I4199">
        <f>IF(DATOS!$I4199="","",IFERROR(VLOOKUP(DATOS!$I4199,CONFIG_ASIGNATURAS!$B$2:$J$91,9,FALSE()),""))</f>
      </c>
    </row>
    <row r="4200">
      <c r="F4200">
        <f>IF(DATOS!$A4200="","",DATOS!$A4200&amp;"|"&amp;DATOS!$D4200&amp;"|"&amp;DATOS!$E4200&amp;"|"&amp;DATOS!$I4200)</f>
      </c>
      <c r="G4200">
        <f>IF(DATOS!$A4200="",0,IF(CONFIG_METADATA!$B$4&lt;&gt;"OR+EX",--(DATOS!$G4200=CONFIG_METADATA!$B$4),IF(DATOS!$G4200="EX",1,IF(DATOS!$G4200="OR",--(COUNTIFS(nNIA,DATOS!$A4200,nCURSO,DATOS!$D4200,nESPEC,DATOS!$E4200,nASIG,DATOS!$I4200,nEVAL,"EX")=0),0))))</f>
      </c>
      <c r="H4200">
        <f>IF(DATOS!$G4200&lt;&gt;"EX",0,--(COUNTIFS(nNIA,DATOS!$A4200,nCURSO,DATOS!$D4200,nESPEC,DATOS!$E4200,nASIG,DATOS!$I4200,nEVAL,"OR")=0))</f>
      </c>
      <c r="I4200">
        <f>IF(DATOS!$I4200="","",IFERROR(VLOOKUP(DATOS!$I4200,CONFIG_ASIGNATURAS!$B$2:$J$91,9,FALSE()),""))</f>
      </c>
    </row>
    <row r="4201">
      <c r="F4201">
        <f>IF(DATOS!$A4201="","",DATOS!$A4201&amp;"|"&amp;DATOS!$D4201&amp;"|"&amp;DATOS!$E4201&amp;"|"&amp;DATOS!$I4201)</f>
      </c>
      <c r="G4201">
        <f>IF(DATOS!$A4201="",0,IF(CONFIG_METADATA!$B$4&lt;&gt;"OR+EX",--(DATOS!$G4201=CONFIG_METADATA!$B$4),IF(DATOS!$G4201="EX",1,IF(DATOS!$G4201="OR",--(COUNTIFS(nNIA,DATOS!$A4201,nCURSO,DATOS!$D4201,nESPEC,DATOS!$E4201,nASIG,DATOS!$I4201,nEVAL,"EX")=0),0))))</f>
      </c>
      <c r="H4201">
        <f>IF(DATOS!$G4201&lt;&gt;"EX",0,--(COUNTIFS(nNIA,DATOS!$A4201,nCURSO,DATOS!$D4201,nESPEC,DATOS!$E4201,nASIG,DATOS!$I4201,nEVAL,"OR")=0))</f>
      </c>
      <c r="I4201">
        <f>IF(DATOS!$I4201="","",IFERROR(VLOOKUP(DATOS!$I4201,CONFIG_ASIGNATURAS!$B$2:$J$91,9,FALSE()),""))</f>
      </c>
    </row>
    <row r="4202">
      <c r="F4202">
        <f>IF(DATOS!$A4202="","",DATOS!$A4202&amp;"|"&amp;DATOS!$D4202&amp;"|"&amp;DATOS!$E4202&amp;"|"&amp;DATOS!$I4202)</f>
      </c>
      <c r="G4202">
        <f>IF(DATOS!$A4202="",0,IF(CONFIG_METADATA!$B$4&lt;&gt;"OR+EX",--(DATOS!$G4202=CONFIG_METADATA!$B$4),IF(DATOS!$G4202="EX",1,IF(DATOS!$G4202="OR",--(COUNTIFS(nNIA,DATOS!$A4202,nCURSO,DATOS!$D4202,nESPEC,DATOS!$E4202,nASIG,DATOS!$I4202,nEVAL,"EX")=0),0))))</f>
      </c>
      <c r="H4202">
        <f>IF(DATOS!$G4202&lt;&gt;"EX",0,--(COUNTIFS(nNIA,DATOS!$A4202,nCURSO,DATOS!$D4202,nESPEC,DATOS!$E4202,nASIG,DATOS!$I4202,nEVAL,"OR")=0))</f>
      </c>
      <c r="I4202">
        <f>IF(DATOS!$I4202="","",IFERROR(VLOOKUP(DATOS!$I4202,CONFIG_ASIGNATURAS!$B$2:$J$91,9,FALSE()),""))</f>
      </c>
    </row>
    <row r="4203">
      <c r="F4203">
        <f>IF(DATOS!$A4203="","",DATOS!$A4203&amp;"|"&amp;DATOS!$D4203&amp;"|"&amp;DATOS!$E4203&amp;"|"&amp;DATOS!$I4203)</f>
      </c>
      <c r="G4203">
        <f>IF(DATOS!$A4203="",0,IF(CONFIG_METADATA!$B$4&lt;&gt;"OR+EX",--(DATOS!$G4203=CONFIG_METADATA!$B$4),IF(DATOS!$G4203="EX",1,IF(DATOS!$G4203="OR",--(COUNTIFS(nNIA,DATOS!$A4203,nCURSO,DATOS!$D4203,nESPEC,DATOS!$E4203,nASIG,DATOS!$I4203,nEVAL,"EX")=0),0))))</f>
      </c>
      <c r="H4203">
        <f>IF(DATOS!$G4203&lt;&gt;"EX",0,--(COUNTIFS(nNIA,DATOS!$A4203,nCURSO,DATOS!$D4203,nESPEC,DATOS!$E4203,nASIG,DATOS!$I4203,nEVAL,"OR")=0))</f>
      </c>
      <c r="I4203">
        <f>IF(DATOS!$I4203="","",IFERROR(VLOOKUP(DATOS!$I4203,CONFIG_ASIGNATURAS!$B$2:$J$91,9,FALSE()),""))</f>
      </c>
    </row>
    <row r="4204">
      <c r="F4204">
        <f>IF(DATOS!$A4204="","",DATOS!$A4204&amp;"|"&amp;DATOS!$D4204&amp;"|"&amp;DATOS!$E4204&amp;"|"&amp;DATOS!$I4204)</f>
      </c>
      <c r="G4204">
        <f>IF(DATOS!$A4204="",0,IF(CONFIG_METADATA!$B$4&lt;&gt;"OR+EX",--(DATOS!$G4204=CONFIG_METADATA!$B$4),IF(DATOS!$G4204="EX",1,IF(DATOS!$G4204="OR",--(COUNTIFS(nNIA,DATOS!$A4204,nCURSO,DATOS!$D4204,nESPEC,DATOS!$E4204,nASIG,DATOS!$I4204,nEVAL,"EX")=0),0))))</f>
      </c>
      <c r="H4204">
        <f>IF(DATOS!$G4204&lt;&gt;"EX",0,--(COUNTIFS(nNIA,DATOS!$A4204,nCURSO,DATOS!$D4204,nESPEC,DATOS!$E4204,nASIG,DATOS!$I4204,nEVAL,"OR")=0))</f>
      </c>
      <c r="I4204">
        <f>IF(DATOS!$I4204="","",IFERROR(VLOOKUP(DATOS!$I4204,CONFIG_ASIGNATURAS!$B$2:$J$91,9,FALSE()),""))</f>
      </c>
    </row>
    <row r="4205">
      <c r="F4205">
        <f>IF(DATOS!$A4205="","",DATOS!$A4205&amp;"|"&amp;DATOS!$D4205&amp;"|"&amp;DATOS!$E4205&amp;"|"&amp;DATOS!$I4205)</f>
      </c>
      <c r="G4205">
        <f>IF(DATOS!$A4205="",0,IF(CONFIG_METADATA!$B$4&lt;&gt;"OR+EX",--(DATOS!$G4205=CONFIG_METADATA!$B$4),IF(DATOS!$G4205="EX",1,IF(DATOS!$G4205="OR",--(COUNTIFS(nNIA,DATOS!$A4205,nCURSO,DATOS!$D4205,nESPEC,DATOS!$E4205,nASIG,DATOS!$I4205,nEVAL,"EX")=0),0))))</f>
      </c>
      <c r="H4205">
        <f>IF(DATOS!$G4205&lt;&gt;"EX",0,--(COUNTIFS(nNIA,DATOS!$A4205,nCURSO,DATOS!$D4205,nESPEC,DATOS!$E4205,nASIG,DATOS!$I4205,nEVAL,"OR")=0))</f>
      </c>
      <c r="I4205">
        <f>IF(DATOS!$I4205="","",IFERROR(VLOOKUP(DATOS!$I4205,CONFIG_ASIGNATURAS!$B$2:$J$91,9,FALSE()),""))</f>
      </c>
    </row>
    <row r="4206">
      <c r="F4206">
        <f>IF(DATOS!$A4206="","",DATOS!$A4206&amp;"|"&amp;DATOS!$D4206&amp;"|"&amp;DATOS!$E4206&amp;"|"&amp;DATOS!$I4206)</f>
      </c>
      <c r="G4206">
        <f>IF(DATOS!$A4206="",0,IF(CONFIG_METADATA!$B$4&lt;&gt;"OR+EX",--(DATOS!$G4206=CONFIG_METADATA!$B$4),IF(DATOS!$G4206="EX",1,IF(DATOS!$G4206="OR",--(COUNTIFS(nNIA,DATOS!$A4206,nCURSO,DATOS!$D4206,nESPEC,DATOS!$E4206,nASIG,DATOS!$I4206,nEVAL,"EX")=0),0))))</f>
      </c>
      <c r="H4206">
        <f>IF(DATOS!$G4206&lt;&gt;"EX",0,--(COUNTIFS(nNIA,DATOS!$A4206,nCURSO,DATOS!$D4206,nESPEC,DATOS!$E4206,nASIG,DATOS!$I4206,nEVAL,"OR")=0))</f>
      </c>
      <c r="I4206">
        <f>IF(DATOS!$I4206="","",IFERROR(VLOOKUP(DATOS!$I4206,CONFIG_ASIGNATURAS!$B$2:$J$91,9,FALSE()),""))</f>
      </c>
    </row>
    <row r="4207">
      <c r="F4207">
        <f>IF(DATOS!$A4207="","",DATOS!$A4207&amp;"|"&amp;DATOS!$D4207&amp;"|"&amp;DATOS!$E4207&amp;"|"&amp;DATOS!$I4207)</f>
      </c>
      <c r="G4207">
        <f>IF(DATOS!$A4207="",0,IF(CONFIG_METADATA!$B$4&lt;&gt;"OR+EX",--(DATOS!$G4207=CONFIG_METADATA!$B$4),IF(DATOS!$G4207="EX",1,IF(DATOS!$G4207="OR",--(COUNTIFS(nNIA,DATOS!$A4207,nCURSO,DATOS!$D4207,nESPEC,DATOS!$E4207,nASIG,DATOS!$I4207,nEVAL,"EX")=0),0))))</f>
      </c>
      <c r="H4207">
        <f>IF(DATOS!$G4207&lt;&gt;"EX",0,--(COUNTIFS(nNIA,DATOS!$A4207,nCURSO,DATOS!$D4207,nESPEC,DATOS!$E4207,nASIG,DATOS!$I4207,nEVAL,"OR")=0))</f>
      </c>
      <c r="I4207">
        <f>IF(DATOS!$I4207="","",IFERROR(VLOOKUP(DATOS!$I4207,CONFIG_ASIGNATURAS!$B$2:$J$91,9,FALSE()),""))</f>
      </c>
    </row>
    <row r="4208">
      <c r="F4208">
        <f>IF(DATOS!$A4208="","",DATOS!$A4208&amp;"|"&amp;DATOS!$D4208&amp;"|"&amp;DATOS!$E4208&amp;"|"&amp;DATOS!$I4208)</f>
      </c>
      <c r="G4208">
        <f>IF(DATOS!$A4208="",0,IF(CONFIG_METADATA!$B$4&lt;&gt;"OR+EX",--(DATOS!$G4208=CONFIG_METADATA!$B$4),IF(DATOS!$G4208="EX",1,IF(DATOS!$G4208="OR",--(COUNTIFS(nNIA,DATOS!$A4208,nCURSO,DATOS!$D4208,nESPEC,DATOS!$E4208,nASIG,DATOS!$I4208,nEVAL,"EX")=0),0))))</f>
      </c>
      <c r="H4208">
        <f>IF(DATOS!$G4208&lt;&gt;"EX",0,--(COUNTIFS(nNIA,DATOS!$A4208,nCURSO,DATOS!$D4208,nESPEC,DATOS!$E4208,nASIG,DATOS!$I4208,nEVAL,"OR")=0))</f>
      </c>
      <c r="I4208">
        <f>IF(DATOS!$I4208="","",IFERROR(VLOOKUP(DATOS!$I4208,CONFIG_ASIGNATURAS!$B$2:$J$91,9,FALSE()),""))</f>
      </c>
    </row>
    <row r="4209">
      <c r="F4209">
        <f>IF(DATOS!$A4209="","",DATOS!$A4209&amp;"|"&amp;DATOS!$D4209&amp;"|"&amp;DATOS!$E4209&amp;"|"&amp;DATOS!$I4209)</f>
      </c>
      <c r="G4209">
        <f>IF(DATOS!$A4209="",0,IF(CONFIG_METADATA!$B$4&lt;&gt;"OR+EX",--(DATOS!$G4209=CONFIG_METADATA!$B$4),IF(DATOS!$G4209="EX",1,IF(DATOS!$G4209="OR",--(COUNTIFS(nNIA,DATOS!$A4209,nCURSO,DATOS!$D4209,nESPEC,DATOS!$E4209,nASIG,DATOS!$I4209,nEVAL,"EX")=0),0))))</f>
      </c>
      <c r="H4209">
        <f>IF(DATOS!$G4209&lt;&gt;"EX",0,--(COUNTIFS(nNIA,DATOS!$A4209,nCURSO,DATOS!$D4209,nESPEC,DATOS!$E4209,nASIG,DATOS!$I4209,nEVAL,"OR")=0))</f>
      </c>
      <c r="I4209">
        <f>IF(DATOS!$I4209="","",IFERROR(VLOOKUP(DATOS!$I4209,CONFIG_ASIGNATURAS!$B$2:$J$91,9,FALSE()),""))</f>
      </c>
    </row>
    <row r="4210">
      <c r="F4210">
        <f>IF(DATOS!$A4210="","",DATOS!$A4210&amp;"|"&amp;DATOS!$D4210&amp;"|"&amp;DATOS!$E4210&amp;"|"&amp;DATOS!$I4210)</f>
      </c>
      <c r="G4210">
        <f>IF(DATOS!$A4210="",0,IF(CONFIG_METADATA!$B$4&lt;&gt;"OR+EX",--(DATOS!$G4210=CONFIG_METADATA!$B$4),IF(DATOS!$G4210="EX",1,IF(DATOS!$G4210="OR",--(COUNTIFS(nNIA,DATOS!$A4210,nCURSO,DATOS!$D4210,nESPEC,DATOS!$E4210,nASIG,DATOS!$I4210,nEVAL,"EX")=0),0))))</f>
      </c>
      <c r="H4210">
        <f>IF(DATOS!$G4210&lt;&gt;"EX",0,--(COUNTIFS(nNIA,DATOS!$A4210,nCURSO,DATOS!$D4210,nESPEC,DATOS!$E4210,nASIG,DATOS!$I4210,nEVAL,"OR")=0))</f>
      </c>
      <c r="I4210">
        <f>IF(DATOS!$I4210="","",IFERROR(VLOOKUP(DATOS!$I4210,CONFIG_ASIGNATURAS!$B$2:$J$91,9,FALSE()),""))</f>
      </c>
    </row>
    <row r="4211">
      <c r="F4211">
        <f>IF(DATOS!$A4211="","",DATOS!$A4211&amp;"|"&amp;DATOS!$D4211&amp;"|"&amp;DATOS!$E4211&amp;"|"&amp;DATOS!$I4211)</f>
      </c>
      <c r="G4211">
        <f>IF(DATOS!$A4211="",0,IF(CONFIG_METADATA!$B$4&lt;&gt;"OR+EX",--(DATOS!$G4211=CONFIG_METADATA!$B$4),IF(DATOS!$G4211="EX",1,IF(DATOS!$G4211="OR",--(COUNTIFS(nNIA,DATOS!$A4211,nCURSO,DATOS!$D4211,nESPEC,DATOS!$E4211,nASIG,DATOS!$I4211,nEVAL,"EX")=0),0))))</f>
      </c>
      <c r="H4211">
        <f>IF(DATOS!$G4211&lt;&gt;"EX",0,--(COUNTIFS(nNIA,DATOS!$A4211,nCURSO,DATOS!$D4211,nESPEC,DATOS!$E4211,nASIG,DATOS!$I4211,nEVAL,"OR")=0))</f>
      </c>
      <c r="I4211">
        <f>IF(DATOS!$I4211="","",IFERROR(VLOOKUP(DATOS!$I4211,CONFIG_ASIGNATURAS!$B$2:$J$91,9,FALSE()),""))</f>
      </c>
    </row>
    <row r="4212">
      <c r="F4212">
        <f>IF(DATOS!$A4212="","",DATOS!$A4212&amp;"|"&amp;DATOS!$D4212&amp;"|"&amp;DATOS!$E4212&amp;"|"&amp;DATOS!$I4212)</f>
      </c>
      <c r="G4212">
        <f>IF(DATOS!$A4212="",0,IF(CONFIG_METADATA!$B$4&lt;&gt;"OR+EX",--(DATOS!$G4212=CONFIG_METADATA!$B$4),IF(DATOS!$G4212="EX",1,IF(DATOS!$G4212="OR",--(COUNTIFS(nNIA,DATOS!$A4212,nCURSO,DATOS!$D4212,nESPEC,DATOS!$E4212,nASIG,DATOS!$I4212,nEVAL,"EX")=0),0))))</f>
      </c>
      <c r="H4212">
        <f>IF(DATOS!$G4212&lt;&gt;"EX",0,--(COUNTIFS(nNIA,DATOS!$A4212,nCURSO,DATOS!$D4212,nESPEC,DATOS!$E4212,nASIG,DATOS!$I4212,nEVAL,"OR")=0))</f>
      </c>
      <c r="I4212">
        <f>IF(DATOS!$I4212="","",IFERROR(VLOOKUP(DATOS!$I4212,CONFIG_ASIGNATURAS!$B$2:$J$91,9,FALSE()),""))</f>
      </c>
    </row>
    <row r="4213">
      <c r="F4213">
        <f>IF(DATOS!$A4213="","",DATOS!$A4213&amp;"|"&amp;DATOS!$D4213&amp;"|"&amp;DATOS!$E4213&amp;"|"&amp;DATOS!$I4213)</f>
      </c>
      <c r="G4213">
        <f>IF(DATOS!$A4213="",0,IF(CONFIG_METADATA!$B$4&lt;&gt;"OR+EX",--(DATOS!$G4213=CONFIG_METADATA!$B$4),IF(DATOS!$G4213="EX",1,IF(DATOS!$G4213="OR",--(COUNTIFS(nNIA,DATOS!$A4213,nCURSO,DATOS!$D4213,nESPEC,DATOS!$E4213,nASIG,DATOS!$I4213,nEVAL,"EX")=0),0))))</f>
      </c>
      <c r="H4213">
        <f>IF(DATOS!$G4213&lt;&gt;"EX",0,--(COUNTIFS(nNIA,DATOS!$A4213,nCURSO,DATOS!$D4213,nESPEC,DATOS!$E4213,nASIG,DATOS!$I4213,nEVAL,"OR")=0))</f>
      </c>
      <c r="I4213">
        <f>IF(DATOS!$I4213="","",IFERROR(VLOOKUP(DATOS!$I4213,CONFIG_ASIGNATURAS!$B$2:$J$91,9,FALSE()),""))</f>
      </c>
    </row>
    <row r="4214">
      <c r="F4214">
        <f>IF(DATOS!$A4214="","",DATOS!$A4214&amp;"|"&amp;DATOS!$D4214&amp;"|"&amp;DATOS!$E4214&amp;"|"&amp;DATOS!$I4214)</f>
      </c>
      <c r="G4214">
        <f>IF(DATOS!$A4214="",0,IF(CONFIG_METADATA!$B$4&lt;&gt;"OR+EX",--(DATOS!$G4214=CONFIG_METADATA!$B$4),IF(DATOS!$G4214="EX",1,IF(DATOS!$G4214="OR",--(COUNTIFS(nNIA,DATOS!$A4214,nCURSO,DATOS!$D4214,nESPEC,DATOS!$E4214,nASIG,DATOS!$I4214,nEVAL,"EX")=0),0))))</f>
      </c>
      <c r="H4214">
        <f>IF(DATOS!$G4214&lt;&gt;"EX",0,--(COUNTIFS(nNIA,DATOS!$A4214,nCURSO,DATOS!$D4214,nESPEC,DATOS!$E4214,nASIG,DATOS!$I4214,nEVAL,"OR")=0))</f>
      </c>
      <c r="I4214">
        <f>IF(DATOS!$I4214="","",IFERROR(VLOOKUP(DATOS!$I4214,CONFIG_ASIGNATURAS!$B$2:$J$91,9,FALSE()),""))</f>
      </c>
    </row>
    <row r="4215">
      <c r="F4215">
        <f>IF(DATOS!$A4215="","",DATOS!$A4215&amp;"|"&amp;DATOS!$D4215&amp;"|"&amp;DATOS!$E4215&amp;"|"&amp;DATOS!$I4215)</f>
      </c>
      <c r="G4215">
        <f>IF(DATOS!$A4215="",0,IF(CONFIG_METADATA!$B$4&lt;&gt;"OR+EX",--(DATOS!$G4215=CONFIG_METADATA!$B$4),IF(DATOS!$G4215="EX",1,IF(DATOS!$G4215="OR",--(COUNTIFS(nNIA,DATOS!$A4215,nCURSO,DATOS!$D4215,nESPEC,DATOS!$E4215,nASIG,DATOS!$I4215,nEVAL,"EX")=0),0))))</f>
      </c>
      <c r="H4215">
        <f>IF(DATOS!$G4215&lt;&gt;"EX",0,--(COUNTIFS(nNIA,DATOS!$A4215,nCURSO,DATOS!$D4215,nESPEC,DATOS!$E4215,nASIG,DATOS!$I4215,nEVAL,"OR")=0))</f>
      </c>
      <c r="I4215">
        <f>IF(DATOS!$I4215="","",IFERROR(VLOOKUP(DATOS!$I4215,CONFIG_ASIGNATURAS!$B$2:$J$91,9,FALSE()),""))</f>
      </c>
    </row>
    <row r="4216">
      <c r="F4216">
        <f>IF(DATOS!$A4216="","",DATOS!$A4216&amp;"|"&amp;DATOS!$D4216&amp;"|"&amp;DATOS!$E4216&amp;"|"&amp;DATOS!$I4216)</f>
      </c>
      <c r="G4216">
        <f>IF(DATOS!$A4216="",0,IF(CONFIG_METADATA!$B$4&lt;&gt;"OR+EX",--(DATOS!$G4216=CONFIG_METADATA!$B$4),IF(DATOS!$G4216="EX",1,IF(DATOS!$G4216="OR",--(COUNTIFS(nNIA,DATOS!$A4216,nCURSO,DATOS!$D4216,nESPEC,DATOS!$E4216,nASIG,DATOS!$I4216,nEVAL,"EX")=0),0))))</f>
      </c>
      <c r="H4216">
        <f>IF(DATOS!$G4216&lt;&gt;"EX",0,--(COUNTIFS(nNIA,DATOS!$A4216,nCURSO,DATOS!$D4216,nESPEC,DATOS!$E4216,nASIG,DATOS!$I4216,nEVAL,"OR")=0))</f>
      </c>
      <c r="I4216">
        <f>IF(DATOS!$I4216="","",IFERROR(VLOOKUP(DATOS!$I4216,CONFIG_ASIGNATURAS!$B$2:$J$91,9,FALSE()),""))</f>
      </c>
    </row>
    <row r="4217">
      <c r="F4217">
        <f>IF(DATOS!$A4217="","",DATOS!$A4217&amp;"|"&amp;DATOS!$D4217&amp;"|"&amp;DATOS!$E4217&amp;"|"&amp;DATOS!$I4217)</f>
      </c>
      <c r="G4217">
        <f>IF(DATOS!$A4217="",0,IF(CONFIG_METADATA!$B$4&lt;&gt;"OR+EX",--(DATOS!$G4217=CONFIG_METADATA!$B$4),IF(DATOS!$G4217="EX",1,IF(DATOS!$G4217="OR",--(COUNTIFS(nNIA,DATOS!$A4217,nCURSO,DATOS!$D4217,nESPEC,DATOS!$E4217,nASIG,DATOS!$I4217,nEVAL,"EX")=0),0))))</f>
      </c>
      <c r="H4217">
        <f>IF(DATOS!$G4217&lt;&gt;"EX",0,--(COUNTIFS(nNIA,DATOS!$A4217,nCURSO,DATOS!$D4217,nESPEC,DATOS!$E4217,nASIG,DATOS!$I4217,nEVAL,"OR")=0))</f>
      </c>
      <c r="I4217">
        <f>IF(DATOS!$I4217="","",IFERROR(VLOOKUP(DATOS!$I4217,CONFIG_ASIGNATURAS!$B$2:$J$91,9,FALSE()),""))</f>
      </c>
    </row>
    <row r="4218">
      <c r="F4218">
        <f>IF(DATOS!$A4218="","",DATOS!$A4218&amp;"|"&amp;DATOS!$D4218&amp;"|"&amp;DATOS!$E4218&amp;"|"&amp;DATOS!$I4218)</f>
      </c>
      <c r="G4218">
        <f>IF(DATOS!$A4218="",0,IF(CONFIG_METADATA!$B$4&lt;&gt;"OR+EX",--(DATOS!$G4218=CONFIG_METADATA!$B$4),IF(DATOS!$G4218="EX",1,IF(DATOS!$G4218="OR",--(COUNTIFS(nNIA,DATOS!$A4218,nCURSO,DATOS!$D4218,nESPEC,DATOS!$E4218,nASIG,DATOS!$I4218,nEVAL,"EX")=0),0))))</f>
      </c>
      <c r="H4218">
        <f>IF(DATOS!$G4218&lt;&gt;"EX",0,--(COUNTIFS(nNIA,DATOS!$A4218,nCURSO,DATOS!$D4218,nESPEC,DATOS!$E4218,nASIG,DATOS!$I4218,nEVAL,"OR")=0))</f>
      </c>
      <c r="I4218">
        <f>IF(DATOS!$I4218="","",IFERROR(VLOOKUP(DATOS!$I4218,CONFIG_ASIGNATURAS!$B$2:$J$91,9,FALSE()),""))</f>
      </c>
    </row>
    <row r="4219">
      <c r="F4219">
        <f>IF(DATOS!$A4219="","",DATOS!$A4219&amp;"|"&amp;DATOS!$D4219&amp;"|"&amp;DATOS!$E4219&amp;"|"&amp;DATOS!$I4219)</f>
      </c>
      <c r="G4219">
        <f>IF(DATOS!$A4219="",0,IF(CONFIG_METADATA!$B$4&lt;&gt;"OR+EX",--(DATOS!$G4219=CONFIG_METADATA!$B$4),IF(DATOS!$G4219="EX",1,IF(DATOS!$G4219="OR",--(COUNTIFS(nNIA,DATOS!$A4219,nCURSO,DATOS!$D4219,nESPEC,DATOS!$E4219,nASIG,DATOS!$I4219,nEVAL,"EX")=0),0))))</f>
      </c>
      <c r="H4219">
        <f>IF(DATOS!$G4219&lt;&gt;"EX",0,--(COUNTIFS(nNIA,DATOS!$A4219,nCURSO,DATOS!$D4219,nESPEC,DATOS!$E4219,nASIG,DATOS!$I4219,nEVAL,"OR")=0))</f>
      </c>
      <c r="I4219">
        <f>IF(DATOS!$I4219="","",IFERROR(VLOOKUP(DATOS!$I4219,CONFIG_ASIGNATURAS!$B$2:$J$91,9,FALSE()),""))</f>
      </c>
    </row>
    <row r="4220">
      <c r="F4220">
        <f>IF(DATOS!$A4220="","",DATOS!$A4220&amp;"|"&amp;DATOS!$D4220&amp;"|"&amp;DATOS!$E4220&amp;"|"&amp;DATOS!$I4220)</f>
      </c>
      <c r="G4220">
        <f>IF(DATOS!$A4220="",0,IF(CONFIG_METADATA!$B$4&lt;&gt;"OR+EX",--(DATOS!$G4220=CONFIG_METADATA!$B$4),IF(DATOS!$G4220="EX",1,IF(DATOS!$G4220="OR",--(COUNTIFS(nNIA,DATOS!$A4220,nCURSO,DATOS!$D4220,nESPEC,DATOS!$E4220,nASIG,DATOS!$I4220,nEVAL,"EX")=0),0))))</f>
      </c>
      <c r="H4220">
        <f>IF(DATOS!$G4220&lt;&gt;"EX",0,--(COUNTIFS(nNIA,DATOS!$A4220,nCURSO,DATOS!$D4220,nESPEC,DATOS!$E4220,nASIG,DATOS!$I4220,nEVAL,"OR")=0))</f>
      </c>
      <c r="I4220">
        <f>IF(DATOS!$I4220="","",IFERROR(VLOOKUP(DATOS!$I4220,CONFIG_ASIGNATURAS!$B$2:$J$91,9,FALSE()),""))</f>
      </c>
    </row>
    <row r="4221">
      <c r="F4221">
        <f>IF(DATOS!$A4221="","",DATOS!$A4221&amp;"|"&amp;DATOS!$D4221&amp;"|"&amp;DATOS!$E4221&amp;"|"&amp;DATOS!$I4221)</f>
      </c>
      <c r="G4221">
        <f>IF(DATOS!$A4221="",0,IF(CONFIG_METADATA!$B$4&lt;&gt;"OR+EX",--(DATOS!$G4221=CONFIG_METADATA!$B$4),IF(DATOS!$G4221="EX",1,IF(DATOS!$G4221="OR",--(COUNTIFS(nNIA,DATOS!$A4221,nCURSO,DATOS!$D4221,nESPEC,DATOS!$E4221,nASIG,DATOS!$I4221,nEVAL,"EX")=0),0))))</f>
      </c>
      <c r="H4221">
        <f>IF(DATOS!$G4221&lt;&gt;"EX",0,--(COUNTIFS(nNIA,DATOS!$A4221,nCURSO,DATOS!$D4221,nESPEC,DATOS!$E4221,nASIG,DATOS!$I4221,nEVAL,"OR")=0))</f>
      </c>
      <c r="I4221">
        <f>IF(DATOS!$I4221="","",IFERROR(VLOOKUP(DATOS!$I4221,CONFIG_ASIGNATURAS!$B$2:$J$91,9,FALSE()),""))</f>
      </c>
    </row>
    <row r="4222">
      <c r="F4222">
        <f>IF(DATOS!$A4222="","",DATOS!$A4222&amp;"|"&amp;DATOS!$D4222&amp;"|"&amp;DATOS!$E4222&amp;"|"&amp;DATOS!$I4222)</f>
      </c>
      <c r="G4222">
        <f>IF(DATOS!$A4222="",0,IF(CONFIG_METADATA!$B$4&lt;&gt;"OR+EX",--(DATOS!$G4222=CONFIG_METADATA!$B$4),IF(DATOS!$G4222="EX",1,IF(DATOS!$G4222="OR",--(COUNTIFS(nNIA,DATOS!$A4222,nCURSO,DATOS!$D4222,nESPEC,DATOS!$E4222,nASIG,DATOS!$I4222,nEVAL,"EX")=0),0))))</f>
      </c>
      <c r="H4222">
        <f>IF(DATOS!$G4222&lt;&gt;"EX",0,--(COUNTIFS(nNIA,DATOS!$A4222,nCURSO,DATOS!$D4222,nESPEC,DATOS!$E4222,nASIG,DATOS!$I4222,nEVAL,"OR")=0))</f>
      </c>
      <c r="I4222">
        <f>IF(DATOS!$I4222="","",IFERROR(VLOOKUP(DATOS!$I4222,CONFIG_ASIGNATURAS!$B$2:$J$91,9,FALSE()),""))</f>
      </c>
    </row>
    <row r="4223">
      <c r="F4223">
        <f>IF(DATOS!$A4223="","",DATOS!$A4223&amp;"|"&amp;DATOS!$D4223&amp;"|"&amp;DATOS!$E4223&amp;"|"&amp;DATOS!$I4223)</f>
      </c>
      <c r="G4223">
        <f>IF(DATOS!$A4223="",0,IF(CONFIG_METADATA!$B$4&lt;&gt;"OR+EX",--(DATOS!$G4223=CONFIG_METADATA!$B$4),IF(DATOS!$G4223="EX",1,IF(DATOS!$G4223="OR",--(COUNTIFS(nNIA,DATOS!$A4223,nCURSO,DATOS!$D4223,nESPEC,DATOS!$E4223,nASIG,DATOS!$I4223,nEVAL,"EX")=0),0))))</f>
      </c>
      <c r="H4223">
        <f>IF(DATOS!$G4223&lt;&gt;"EX",0,--(COUNTIFS(nNIA,DATOS!$A4223,nCURSO,DATOS!$D4223,nESPEC,DATOS!$E4223,nASIG,DATOS!$I4223,nEVAL,"OR")=0))</f>
      </c>
      <c r="I4223">
        <f>IF(DATOS!$I4223="","",IFERROR(VLOOKUP(DATOS!$I4223,CONFIG_ASIGNATURAS!$B$2:$J$91,9,FALSE()),""))</f>
      </c>
    </row>
    <row r="4224">
      <c r="F4224">
        <f>IF(DATOS!$A4224="","",DATOS!$A4224&amp;"|"&amp;DATOS!$D4224&amp;"|"&amp;DATOS!$E4224&amp;"|"&amp;DATOS!$I4224)</f>
      </c>
      <c r="G4224">
        <f>IF(DATOS!$A4224="",0,IF(CONFIG_METADATA!$B$4&lt;&gt;"OR+EX",--(DATOS!$G4224=CONFIG_METADATA!$B$4),IF(DATOS!$G4224="EX",1,IF(DATOS!$G4224="OR",--(COUNTIFS(nNIA,DATOS!$A4224,nCURSO,DATOS!$D4224,nESPEC,DATOS!$E4224,nASIG,DATOS!$I4224,nEVAL,"EX")=0),0))))</f>
      </c>
      <c r="H4224">
        <f>IF(DATOS!$G4224&lt;&gt;"EX",0,--(COUNTIFS(nNIA,DATOS!$A4224,nCURSO,DATOS!$D4224,nESPEC,DATOS!$E4224,nASIG,DATOS!$I4224,nEVAL,"OR")=0))</f>
      </c>
      <c r="I4224">
        <f>IF(DATOS!$I4224="","",IFERROR(VLOOKUP(DATOS!$I4224,CONFIG_ASIGNATURAS!$B$2:$J$91,9,FALSE()),""))</f>
      </c>
    </row>
    <row r="4225">
      <c r="F4225">
        <f>IF(DATOS!$A4225="","",DATOS!$A4225&amp;"|"&amp;DATOS!$D4225&amp;"|"&amp;DATOS!$E4225&amp;"|"&amp;DATOS!$I4225)</f>
      </c>
      <c r="G4225">
        <f>IF(DATOS!$A4225="",0,IF(CONFIG_METADATA!$B$4&lt;&gt;"OR+EX",--(DATOS!$G4225=CONFIG_METADATA!$B$4),IF(DATOS!$G4225="EX",1,IF(DATOS!$G4225="OR",--(COUNTIFS(nNIA,DATOS!$A4225,nCURSO,DATOS!$D4225,nESPEC,DATOS!$E4225,nASIG,DATOS!$I4225,nEVAL,"EX")=0),0))))</f>
      </c>
      <c r="H4225">
        <f>IF(DATOS!$G4225&lt;&gt;"EX",0,--(COUNTIFS(nNIA,DATOS!$A4225,nCURSO,DATOS!$D4225,nESPEC,DATOS!$E4225,nASIG,DATOS!$I4225,nEVAL,"OR")=0))</f>
      </c>
      <c r="I4225">
        <f>IF(DATOS!$I4225="","",IFERROR(VLOOKUP(DATOS!$I4225,CONFIG_ASIGNATURAS!$B$2:$J$91,9,FALSE()),""))</f>
      </c>
    </row>
    <row r="4226">
      <c r="F4226">
        <f>IF(DATOS!$A4226="","",DATOS!$A4226&amp;"|"&amp;DATOS!$D4226&amp;"|"&amp;DATOS!$E4226&amp;"|"&amp;DATOS!$I4226)</f>
      </c>
      <c r="G4226">
        <f>IF(DATOS!$A4226="",0,IF(CONFIG_METADATA!$B$4&lt;&gt;"OR+EX",--(DATOS!$G4226=CONFIG_METADATA!$B$4),IF(DATOS!$G4226="EX",1,IF(DATOS!$G4226="OR",--(COUNTIFS(nNIA,DATOS!$A4226,nCURSO,DATOS!$D4226,nESPEC,DATOS!$E4226,nASIG,DATOS!$I4226,nEVAL,"EX")=0),0))))</f>
      </c>
      <c r="H4226">
        <f>IF(DATOS!$G4226&lt;&gt;"EX",0,--(COUNTIFS(nNIA,DATOS!$A4226,nCURSO,DATOS!$D4226,nESPEC,DATOS!$E4226,nASIG,DATOS!$I4226,nEVAL,"OR")=0))</f>
      </c>
      <c r="I4226">
        <f>IF(DATOS!$I4226="","",IFERROR(VLOOKUP(DATOS!$I4226,CONFIG_ASIGNATURAS!$B$2:$J$91,9,FALSE()),""))</f>
      </c>
    </row>
    <row r="4227">
      <c r="F4227">
        <f>IF(DATOS!$A4227="","",DATOS!$A4227&amp;"|"&amp;DATOS!$D4227&amp;"|"&amp;DATOS!$E4227&amp;"|"&amp;DATOS!$I4227)</f>
      </c>
      <c r="G4227">
        <f>IF(DATOS!$A4227="",0,IF(CONFIG_METADATA!$B$4&lt;&gt;"OR+EX",--(DATOS!$G4227=CONFIG_METADATA!$B$4),IF(DATOS!$G4227="EX",1,IF(DATOS!$G4227="OR",--(COUNTIFS(nNIA,DATOS!$A4227,nCURSO,DATOS!$D4227,nESPEC,DATOS!$E4227,nASIG,DATOS!$I4227,nEVAL,"EX")=0),0))))</f>
      </c>
      <c r="H4227">
        <f>IF(DATOS!$G4227&lt;&gt;"EX",0,--(COUNTIFS(nNIA,DATOS!$A4227,nCURSO,DATOS!$D4227,nESPEC,DATOS!$E4227,nASIG,DATOS!$I4227,nEVAL,"OR")=0))</f>
      </c>
      <c r="I4227">
        <f>IF(DATOS!$I4227="","",IFERROR(VLOOKUP(DATOS!$I4227,CONFIG_ASIGNATURAS!$B$2:$J$91,9,FALSE()),""))</f>
      </c>
    </row>
    <row r="4228">
      <c r="F4228">
        <f>IF(DATOS!$A4228="","",DATOS!$A4228&amp;"|"&amp;DATOS!$D4228&amp;"|"&amp;DATOS!$E4228&amp;"|"&amp;DATOS!$I4228)</f>
      </c>
      <c r="G4228">
        <f>IF(DATOS!$A4228="",0,IF(CONFIG_METADATA!$B$4&lt;&gt;"OR+EX",--(DATOS!$G4228=CONFIG_METADATA!$B$4),IF(DATOS!$G4228="EX",1,IF(DATOS!$G4228="OR",--(COUNTIFS(nNIA,DATOS!$A4228,nCURSO,DATOS!$D4228,nESPEC,DATOS!$E4228,nASIG,DATOS!$I4228,nEVAL,"EX")=0),0))))</f>
      </c>
      <c r="H4228">
        <f>IF(DATOS!$G4228&lt;&gt;"EX",0,--(COUNTIFS(nNIA,DATOS!$A4228,nCURSO,DATOS!$D4228,nESPEC,DATOS!$E4228,nASIG,DATOS!$I4228,nEVAL,"OR")=0))</f>
      </c>
      <c r="I4228">
        <f>IF(DATOS!$I4228="","",IFERROR(VLOOKUP(DATOS!$I4228,CONFIG_ASIGNATURAS!$B$2:$J$91,9,FALSE()),""))</f>
      </c>
    </row>
    <row r="4229">
      <c r="F4229">
        <f>IF(DATOS!$A4229="","",DATOS!$A4229&amp;"|"&amp;DATOS!$D4229&amp;"|"&amp;DATOS!$E4229&amp;"|"&amp;DATOS!$I4229)</f>
      </c>
      <c r="G4229">
        <f>IF(DATOS!$A4229="",0,IF(CONFIG_METADATA!$B$4&lt;&gt;"OR+EX",--(DATOS!$G4229=CONFIG_METADATA!$B$4),IF(DATOS!$G4229="EX",1,IF(DATOS!$G4229="OR",--(COUNTIFS(nNIA,DATOS!$A4229,nCURSO,DATOS!$D4229,nESPEC,DATOS!$E4229,nASIG,DATOS!$I4229,nEVAL,"EX")=0),0))))</f>
      </c>
      <c r="H4229">
        <f>IF(DATOS!$G4229&lt;&gt;"EX",0,--(COUNTIFS(nNIA,DATOS!$A4229,nCURSO,DATOS!$D4229,nESPEC,DATOS!$E4229,nASIG,DATOS!$I4229,nEVAL,"OR")=0))</f>
      </c>
      <c r="I4229">
        <f>IF(DATOS!$I4229="","",IFERROR(VLOOKUP(DATOS!$I4229,CONFIG_ASIGNATURAS!$B$2:$J$91,9,FALSE()),""))</f>
      </c>
    </row>
    <row r="4230">
      <c r="F4230">
        <f>IF(DATOS!$A4230="","",DATOS!$A4230&amp;"|"&amp;DATOS!$D4230&amp;"|"&amp;DATOS!$E4230&amp;"|"&amp;DATOS!$I4230)</f>
      </c>
      <c r="G4230">
        <f>IF(DATOS!$A4230="",0,IF(CONFIG_METADATA!$B$4&lt;&gt;"OR+EX",--(DATOS!$G4230=CONFIG_METADATA!$B$4),IF(DATOS!$G4230="EX",1,IF(DATOS!$G4230="OR",--(COUNTIFS(nNIA,DATOS!$A4230,nCURSO,DATOS!$D4230,nESPEC,DATOS!$E4230,nASIG,DATOS!$I4230,nEVAL,"EX")=0),0))))</f>
      </c>
      <c r="H4230">
        <f>IF(DATOS!$G4230&lt;&gt;"EX",0,--(COUNTIFS(nNIA,DATOS!$A4230,nCURSO,DATOS!$D4230,nESPEC,DATOS!$E4230,nASIG,DATOS!$I4230,nEVAL,"OR")=0))</f>
      </c>
      <c r="I4230">
        <f>IF(DATOS!$I4230="","",IFERROR(VLOOKUP(DATOS!$I4230,CONFIG_ASIGNATURAS!$B$2:$J$91,9,FALSE()),""))</f>
      </c>
    </row>
    <row r="4231">
      <c r="F4231">
        <f>IF(DATOS!$A4231="","",DATOS!$A4231&amp;"|"&amp;DATOS!$D4231&amp;"|"&amp;DATOS!$E4231&amp;"|"&amp;DATOS!$I4231)</f>
      </c>
      <c r="G4231">
        <f>IF(DATOS!$A4231="",0,IF(CONFIG_METADATA!$B$4&lt;&gt;"OR+EX",--(DATOS!$G4231=CONFIG_METADATA!$B$4),IF(DATOS!$G4231="EX",1,IF(DATOS!$G4231="OR",--(COUNTIFS(nNIA,DATOS!$A4231,nCURSO,DATOS!$D4231,nESPEC,DATOS!$E4231,nASIG,DATOS!$I4231,nEVAL,"EX")=0),0))))</f>
      </c>
      <c r="H4231">
        <f>IF(DATOS!$G4231&lt;&gt;"EX",0,--(COUNTIFS(nNIA,DATOS!$A4231,nCURSO,DATOS!$D4231,nESPEC,DATOS!$E4231,nASIG,DATOS!$I4231,nEVAL,"OR")=0))</f>
      </c>
      <c r="I4231">
        <f>IF(DATOS!$I4231="","",IFERROR(VLOOKUP(DATOS!$I4231,CONFIG_ASIGNATURAS!$B$2:$J$91,9,FALSE()),""))</f>
      </c>
    </row>
    <row r="4232">
      <c r="F4232">
        <f>IF(DATOS!$A4232="","",DATOS!$A4232&amp;"|"&amp;DATOS!$D4232&amp;"|"&amp;DATOS!$E4232&amp;"|"&amp;DATOS!$I4232)</f>
      </c>
      <c r="G4232">
        <f>IF(DATOS!$A4232="",0,IF(CONFIG_METADATA!$B$4&lt;&gt;"OR+EX",--(DATOS!$G4232=CONFIG_METADATA!$B$4),IF(DATOS!$G4232="EX",1,IF(DATOS!$G4232="OR",--(COUNTIFS(nNIA,DATOS!$A4232,nCURSO,DATOS!$D4232,nESPEC,DATOS!$E4232,nASIG,DATOS!$I4232,nEVAL,"EX")=0),0))))</f>
      </c>
      <c r="H4232">
        <f>IF(DATOS!$G4232&lt;&gt;"EX",0,--(COUNTIFS(nNIA,DATOS!$A4232,nCURSO,DATOS!$D4232,nESPEC,DATOS!$E4232,nASIG,DATOS!$I4232,nEVAL,"OR")=0))</f>
      </c>
      <c r="I4232">
        <f>IF(DATOS!$I4232="","",IFERROR(VLOOKUP(DATOS!$I4232,CONFIG_ASIGNATURAS!$B$2:$J$91,9,FALSE()),""))</f>
      </c>
    </row>
    <row r="4233">
      <c r="F4233">
        <f>IF(DATOS!$A4233="","",DATOS!$A4233&amp;"|"&amp;DATOS!$D4233&amp;"|"&amp;DATOS!$E4233&amp;"|"&amp;DATOS!$I4233)</f>
      </c>
      <c r="G4233">
        <f>IF(DATOS!$A4233="",0,IF(CONFIG_METADATA!$B$4&lt;&gt;"OR+EX",--(DATOS!$G4233=CONFIG_METADATA!$B$4),IF(DATOS!$G4233="EX",1,IF(DATOS!$G4233="OR",--(COUNTIFS(nNIA,DATOS!$A4233,nCURSO,DATOS!$D4233,nESPEC,DATOS!$E4233,nASIG,DATOS!$I4233,nEVAL,"EX")=0),0))))</f>
      </c>
      <c r="H4233">
        <f>IF(DATOS!$G4233&lt;&gt;"EX",0,--(COUNTIFS(nNIA,DATOS!$A4233,nCURSO,DATOS!$D4233,nESPEC,DATOS!$E4233,nASIG,DATOS!$I4233,nEVAL,"OR")=0))</f>
      </c>
      <c r="I4233">
        <f>IF(DATOS!$I4233="","",IFERROR(VLOOKUP(DATOS!$I4233,CONFIG_ASIGNATURAS!$B$2:$J$91,9,FALSE()),""))</f>
      </c>
    </row>
    <row r="4234">
      <c r="F4234">
        <f>IF(DATOS!$A4234="","",DATOS!$A4234&amp;"|"&amp;DATOS!$D4234&amp;"|"&amp;DATOS!$E4234&amp;"|"&amp;DATOS!$I4234)</f>
      </c>
      <c r="G4234">
        <f>IF(DATOS!$A4234="",0,IF(CONFIG_METADATA!$B$4&lt;&gt;"OR+EX",--(DATOS!$G4234=CONFIG_METADATA!$B$4),IF(DATOS!$G4234="EX",1,IF(DATOS!$G4234="OR",--(COUNTIFS(nNIA,DATOS!$A4234,nCURSO,DATOS!$D4234,nESPEC,DATOS!$E4234,nASIG,DATOS!$I4234,nEVAL,"EX")=0),0))))</f>
      </c>
      <c r="H4234">
        <f>IF(DATOS!$G4234&lt;&gt;"EX",0,--(COUNTIFS(nNIA,DATOS!$A4234,nCURSO,DATOS!$D4234,nESPEC,DATOS!$E4234,nASIG,DATOS!$I4234,nEVAL,"OR")=0))</f>
      </c>
      <c r="I4234">
        <f>IF(DATOS!$I4234="","",IFERROR(VLOOKUP(DATOS!$I4234,CONFIG_ASIGNATURAS!$B$2:$J$91,9,FALSE()),""))</f>
      </c>
    </row>
    <row r="4235">
      <c r="F4235">
        <f>IF(DATOS!$A4235="","",DATOS!$A4235&amp;"|"&amp;DATOS!$D4235&amp;"|"&amp;DATOS!$E4235&amp;"|"&amp;DATOS!$I4235)</f>
      </c>
      <c r="G4235">
        <f>IF(DATOS!$A4235="",0,IF(CONFIG_METADATA!$B$4&lt;&gt;"OR+EX",--(DATOS!$G4235=CONFIG_METADATA!$B$4),IF(DATOS!$G4235="EX",1,IF(DATOS!$G4235="OR",--(COUNTIFS(nNIA,DATOS!$A4235,nCURSO,DATOS!$D4235,nESPEC,DATOS!$E4235,nASIG,DATOS!$I4235,nEVAL,"EX")=0),0))))</f>
      </c>
      <c r="H4235">
        <f>IF(DATOS!$G4235&lt;&gt;"EX",0,--(COUNTIFS(nNIA,DATOS!$A4235,nCURSO,DATOS!$D4235,nESPEC,DATOS!$E4235,nASIG,DATOS!$I4235,nEVAL,"OR")=0))</f>
      </c>
      <c r="I4235">
        <f>IF(DATOS!$I4235="","",IFERROR(VLOOKUP(DATOS!$I4235,CONFIG_ASIGNATURAS!$B$2:$J$91,9,FALSE()),""))</f>
      </c>
    </row>
    <row r="4236">
      <c r="F4236">
        <f>IF(DATOS!$A4236="","",DATOS!$A4236&amp;"|"&amp;DATOS!$D4236&amp;"|"&amp;DATOS!$E4236&amp;"|"&amp;DATOS!$I4236)</f>
      </c>
      <c r="G4236">
        <f>IF(DATOS!$A4236="",0,IF(CONFIG_METADATA!$B$4&lt;&gt;"OR+EX",--(DATOS!$G4236=CONFIG_METADATA!$B$4),IF(DATOS!$G4236="EX",1,IF(DATOS!$G4236="OR",--(COUNTIFS(nNIA,DATOS!$A4236,nCURSO,DATOS!$D4236,nESPEC,DATOS!$E4236,nASIG,DATOS!$I4236,nEVAL,"EX")=0),0))))</f>
      </c>
      <c r="H4236">
        <f>IF(DATOS!$G4236&lt;&gt;"EX",0,--(COUNTIFS(nNIA,DATOS!$A4236,nCURSO,DATOS!$D4236,nESPEC,DATOS!$E4236,nASIG,DATOS!$I4236,nEVAL,"OR")=0))</f>
      </c>
      <c r="I4236">
        <f>IF(DATOS!$I4236="","",IFERROR(VLOOKUP(DATOS!$I4236,CONFIG_ASIGNATURAS!$B$2:$J$91,9,FALSE()),""))</f>
      </c>
    </row>
    <row r="4237">
      <c r="F4237">
        <f>IF(DATOS!$A4237="","",DATOS!$A4237&amp;"|"&amp;DATOS!$D4237&amp;"|"&amp;DATOS!$E4237&amp;"|"&amp;DATOS!$I4237)</f>
      </c>
      <c r="G4237">
        <f>IF(DATOS!$A4237="",0,IF(CONFIG_METADATA!$B$4&lt;&gt;"OR+EX",--(DATOS!$G4237=CONFIG_METADATA!$B$4),IF(DATOS!$G4237="EX",1,IF(DATOS!$G4237="OR",--(COUNTIFS(nNIA,DATOS!$A4237,nCURSO,DATOS!$D4237,nESPEC,DATOS!$E4237,nASIG,DATOS!$I4237,nEVAL,"EX")=0),0))))</f>
      </c>
      <c r="H4237">
        <f>IF(DATOS!$G4237&lt;&gt;"EX",0,--(COUNTIFS(nNIA,DATOS!$A4237,nCURSO,DATOS!$D4237,nESPEC,DATOS!$E4237,nASIG,DATOS!$I4237,nEVAL,"OR")=0))</f>
      </c>
      <c r="I4237">
        <f>IF(DATOS!$I4237="","",IFERROR(VLOOKUP(DATOS!$I4237,CONFIG_ASIGNATURAS!$B$2:$J$91,9,FALSE()),""))</f>
      </c>
    </row>
    <row r="4238">
      <c r="F4238">
        <f>IF(DATOS!$A4238="","",DATOS!$A4238&amp;"|"&amp;DATOS!$D4238&amp;"|"&amp;DATOS!$E4238&amp;"|"&amp;DATOS!$I4238)</f>
      </c>
      <c r="G4238">
        <f>IF(DATOS!$A4238="",0,IF(CONFIG_METADATA!$B$4&lt;&gt;"OR+EX",--(DATOS!$G4238=CONFIG_METADATA!$B$4),IF(DATOS!$G4238="EX",1,IF(DATOS!$G4238="OR",--(COUNTIFS(nNIA,DATOS!$A4238,nCURSO,DATOS!$D4238,nESPEC,DATOS!$E4238,nASIG,DATOS!$I4238,nEVAL,"EX")=0),0))))</f>
      </c>
      <c r="H4238">
        <f>IF(DATOS!$G4238&lt;&gt;"EX",0,--(COUNTIFS(nNIA,DATOS!$A4238,nCURSO,DATOS!$D4238,nESPEC,DATOS!$E4238,nASIG,DATOS!$I4238,nEVAL,"OR")=0))</f>
      </c>
      <c r="I4238">
        <f>IF(DATOS!$I4238="","",IFERROR(VLOOKUP(DATOS!$I4238,CONFIG_ASIGNATURAS!$B$2:$J$91,9,FALSE()),""))</f>
      </c>
    </row>
    <row r="4239">
      <c r="F4239">
        <f>IF(DATOS!$A4239="","",DATOS!$A4239&amp;"|"&amp;DATOS!$D4239&amp;"|"&amp;DATOS!$E4239&amp;"|"&amp;DATOS!$I4239)</f>
      </c>
      <c r="G4239">
        <f>IF(DATOS!$A4239="",0,IF(CONFIG_METADATA!$B$4&lt;&gt;"OR+EX",--(DATOS!$G4239=CONFIG_METADATA!$B$4),IF(DATOS!$G4239="EX",1,IF(DATOS!$G4239="OR",--(COUNTIFS(nNIA,DATOS!$A4239,nCURSO,DATOS!$D4239,nESPEC,DATOS!$E4239,nASIG,DATOS!$I4239,nEVAL,"EX")=0),0))))</f>
      </c>
      <c r="H4239">
        <f>IF(DATOS!$G4239&lt;&gt;"EX",0,--(COUNTIFS(nNIA,DATOS!$A4239,nCURSO,DATOS!$D4239,nESPEC,DATOS!$E4239,nASIG,DATOS!$I4239,nEVAL,"OR")=0))</f>
      </c>
      <c r="I4239">
        <f>IF(DATOS!$I4239="","",IFERROR(VLOOKUP(DATOS!$I4239,CONFIG_ASIGNATURAS!$B$2:$J$91,9,FALSE()),""))</f>
      </c>
    </row>
    <row r="4240">
      <c r="F4240">
        <f>IF(DATOS!$A4240="","",DATOS!$A4240&amp;"|"&amp;DATOS!$D4240&amp;"|"&amp;DATOS!$E4240&amp;"|"&amp;DATOS!$I4240)</f>
      </c>
      <c r="G4240">
        <f>IF(DATOS!$A4240="",0,IF(CONFIG_METADATA!$B$4&lt;&gt;"OR+EX",--(DATOS!$G4240=CONFIG_METADATA!$B$4),IF(DATOS!$G4240="EX",1,IF(DATOS!$G4240="OR",--(COUNTIFS(nNIA,DATOS!$A4240,nCURSO,DATOS!$D4240,nESPEC,DATOS!$E4240,nASIG,DATOS!$I4240,nEVAL,"EX")=0),0))))</f>
      </c>
      <c r="H4240">
        <f>IF(DATOS!$G4240&lt;&gt;"EX",0,--(COUNTIFS(nNIA,DATOS!$A4240,nCURSO,DATOS!$D4240,nESPEC,DATOS!$E4240,nASIG,DATOS!$I4240,nEVAL,"OR")=0))</f>
      </c>
      <c r="I4240">
        <f>IF(DATOS!$I4240="","",IFERROR(VLOOKUP(DATOS!$I4240,CONFIG_ASIGNATURAS!$B$2:$J$91,9,FALSE()),""))</f>
      </c>
    </row>
    <row r="4241">
      <c r="F4241">
        <f>IF(DATOS!$A4241="","",DATOS!$A4241&amp;"|"&amp;DATOS!$D4241&amp;"|"&amp;DATOS!$E4241&amp;"|"&amp;DATOS!$I4241)</f>
      </c>
      <c r="G4241">
        <f>IF(DATOS!$A4241="",0,IF(CONFIG_METADATA!$B$4&lt;&gt;"OR+EX",--(DATOS!$G4241=CONFIG_METADATA!$B$4),IF(DATOS!$G4241="EX",1,IF(DATOS!$G4241="OR",--(COUNTIFS(nNIA,DATOS!$A4241,nCURSO,DATOS!$D4241,nESPEC,DATOS!$E4241,nASIG,DATOS!$I4241,nEVAL,"EX")=0),0))))</f>
      </c>
      <c r="H4241">
        <f>IF(DATOS!$G4241&lt;&gt;"EX",0,--(COUNTIFS(nNIA,DATOS!$A4241,nCURSO,DATOS!$D4241,nESPEC,DATOS!$E4241,nASIG,DATOS!$I4241,nEVAL,"OR")=0))</f>
      </c>
      <c r="I4241">
        <f>IF(DATOS!$I4241="","",IFERROR(VLOOKUP(DATOS!$I4241,CONFIG_ASIGNATURAS!$B$2:$J$91,9,FALSE()),""))</f>
      </c>
    </row>
    <row r="4242">
      <c r="F4242">
        <f>IF(DATOS!$A4242="","",DATOS!$A4242&amp;"|"&amp;DATOS!$D4242&amp;"|"&amp;DATOS!$E4242&amp;"|"&amp;DATOS!$I4242)</f>
      </c>
      <c r="G4242">
        <f>IF(DATOS!$A4242="",0,IF(CONFIG_METADATA!$B$4&lt;&gt;"OR+EX",--(DATOS!$G4242=CONFIG_METADATA!$B$4),IF(DATOS!$G4242="EX",1,IF(DATOS!$G4242="OR",--(COUNTIFS(nNIA,DATOS!$A4242,nCURSO,DATOS!$D4242,nESPEC,DATOS!$E4242,nASIG,DATOS!$I4242,nEVAL,"EX")=0),0))))</f>
      </c>
      <c r="H4242">
        <f>IF(DATOS!$G4242&lt;&gt;"EX",0,--(COUNTIFS(nNIA,DATOS!$A4242,nCURSO,DATOS!$D4242,nESPEC,DATOS!$E4242,nASIG,DATOS!$I4242,nEVAL,"OR")=0))</f>
      </c>
      <c r="I4242">
        <f>IF(DATOS!$I4242="","",IFERROR(VLOOKUP(DATOS!$I4242,CONFIG_ASIGNATURAS!$B$2:$J$91,9,FALSE()),""))</f>
      </c>
    </row>
    <row r="4243">
      <c r="F4243">
        <f>IF(DATOS!$A4243="","",DATOS!$A4243&amp;"|"&amp;DATOS!$D4243&amp;"|"&amp;DATOS!$E4243&amp;"|"&amp;DATOS!$I4243)</f>
      </c>
      <c r="G4243">
        <f>IF(DATOS!$A4243="",0,IF(CONFIG_METADATA!$B$4&lt;&gt;"OR+EX",--(DATOS!$G4243=CONFIG_METADATA!$B$4),IF(DATOS!$G4243="EX",1,IF(DATOS!$G4243="OR",--(COUNTIFS(nNIA,DATOS!$A4243,nCURSO,DATOS!$D4243,nESPEC,DATOS!$E4243,nASIG,DATOS!$I4243,nEVAL,"EX")=0),0))))</f>
      </c>
      <c r="H4243">
        <f>IF(DATOS!$G4243&lt;&gt;"EX",0,--(COUNTIFS(nNIA,DATOS!$A4243,nCURSO,DATOS!$D4243,nESPEC,DATOS!$E4243,nASIG,DATOS!$I4243,nEVAL,"OR")=0))</f>
      </c>
      <c r="I4243">
        <f>IF(DATOS!$I4243="","",IFERROR(VLOOKUP(DATOS!$I4243,CONFIG_ASIGNATURAS!$B$2:$J$91,9,FALSE()),""))</f>
      </c>
    </row>
    <row r="4244">
      <c r="F4244">
        <f>IF(DATOS!$A4244="","",DATOS!$A4244&amp;"|"&amp;DATOS!$D4244&amp;"|"&amp;DATOS!$E4244&amp;"|"&amp;DATOS!$I4244)</f>
      </c>
      <c r="G4244">
        <f>IF(DATOS!$A4244="",0,IF(CONFIG_METADATA!$B$4&lt;&gt;"OR+EX",--(DATOS!$G4244=CONFIG_METADATA!$B$4),IF(DATOS!$G4244="EX",1,IF(DATOS!$G4244="OR",--(COUNTIFS(nNIA,DATOS!$A4244,nCURSO,DATOS!$D4244,nESPEC,DATOS!$E4244,nASIG,DATOS!$I4244,nEVAL,"EX")=0),0))))</f>
      </c>
      <c r="H4244">
        <f>IF(DATOS!$G4244&lt;&gt;"EX",0,--(COUNTIFS(nNIA,DATOS!$A4244,nCURSO,DATOS!$D4244,nESPEC,DATOS!$E4244,nASIG,DATOS!$I4244,nEVAL,"OR")=0))</f>
      </c>
      <c r="I4244">
        <f>IF(DATOS!$I4244="","",IFERROR(VLOOKUP(DATOS!$I4244,CONFIG_ASIGNATURAS!$B$2:$J$91,9,FALSE()),""))</f>
      </c>
    </row>
    <row r="4245">
      <c r="F4245">
        <f>IF(DATOS!$A4245="","",DATOS!$A4245&amp;"|"&amp;DATOS!$D4245&amp;"|"&amp;DATOS!$E4245&amp;"|"&amp;DATOS!$I4245)</f>
      </c>
      <c r="G4245">
        <f>IF(DATOS!$A4245="",0,IF(CONFIG_METADATA!$B$4&lt;&gt;"OR+EX",--(DATOS!$G4245=CONFIG_METADATA!$B$4),IF(DATOS!$G4245="EX",1,IF(DATOS!$G4245="OR",--(COUNTIFS(nNIA,DATOS!$A4245,nCURSO,DATOS!$D4245,nESPEC,DATOS!$E4245,nASIG,DATOS!$I4245,nEVAL,"EX")=0),0))))</f>
      </c>
      <c r="H4245">
        <f>IF(DATOS!$G4245&lt;&gt;"EX",0,--(COUNTIFS(nNIA,DATOS!$A4245,nCURSO,DATOS!$D4245,nESPEC,DATOS!$E4245,nASIG,DATOS!$I4245,nEVAL,"OR")=0))</f>
      </c>
      <c r="I4245">
        <f>IF(DATOS!$I4245="","",IFERROR(VLOOKUP(DATOS!$I4245,CONFIG_ASIGNATURAS!$B$2:$J$91,9,FALSE()),""))</f>
      </c>
    </row>
    <row r="4246">
      <c r="F4246">
        <f>IF(DATOS!$A4246="","",DATOS!$A4246&amp;"|"&amp;DATOS!$D4246&amp;"|"&amp;DATOS!$E4246&amp;"|"&amp;DATOS!$I4246)</f>
      </c>
      <c r="G4246">
        <f>IF(DATOS!$A4246="",0,IF(CONFIG_METADATA!$B$4&lt;&gt;"OR+EX",--(DATOS!$G4246=CONFIG_METADATA!$B$4),IF(DATOS!$G4246="EX",1,IF(DATOS!$G4246="OR",--(COUNTIFS(nNIA,DATOS!$A4246,nCURSO,DATOS!$D4246,nESPEC,DATOS!$E4246,nASIG,DATOS!$I4246,nEVAL,"EX")=0),0))))</f>
      </c>
      <c r="H4246">
        <f>IF(DATOS!$G4246&lt;&gt;"EX",0,--(COUNTIFS(nNIA,DATOS!$A4246,nCURSO,DATOS!$D4246,nESPEC,DATOS!$E4246,nASIG,DATOS!$I4246,nEVAL,"OR")=0))</f>
      </c>
      <c r="I4246">
        <f>IF(DATOS!$I4246="","",IFERROR(VLOOKUP(DATOS!$I4246,CONFIG_ASIGNATURAS!$B$2:$J$91,9,FALSE()),""))</f>
      </c>
    </row>
    <row r="4247">
      <c r="F4247">
        <f>IF(DATOS!$A4247="","",DATOS!$A4247&amp;"|"&amp;DATOS!$D4247&amp;"|"&amp;DATOS!$E4247&amp;"|"&amp;DATOS!$I4247)</f>
      </c>
      <c r="G4247">
        <f>IF(DATOS!$A4247="",0,IF(CONFIG_METADATA!$B$4&lt;&gt;"OR+EX",--(DATOS!$G4247=CONFIG_METADATA!$B$4),IF(DATOS!$G4247="EX",1,IF(DATOS!$G4247="OR",--(COUNTIFS(nNIA,DATOS!$A4247,nCURSO,DATOS!$D4247,nESPEC,DATOS!$E4247,nASIG,DATOS!$I4247,nEVAL,"EX")=0),0))))</f>
      </c>
      <c r="H4247">
        <f>IF(DATOS!$G4247&lt;&gt;"EX",0,--(COUNTIFS(nNIA,DATOS!$A4247,nCURSO,DATOS!$D4247,nESPEC,DATOS!$E4247,nASIG,DATOS!$I4247,nEVAL,"OR")=0))</f>
      </c>
      <c r="I4247">
        <f>IF(DATOS!$I4247="","",IFERROR(VLOOKUP(DATOS!$I4247,CONFIG_ASIGNATURAS!$B$2:$J$91,9,FALSE()),""))</f>
      </c>
    </row>
    <row r="4248">
      <c r="F4248">
        <f>IF(DATOS!$A4248="","",DATOS!$A4248&amp;"|"&amp;DATOS!$D4248&amp;"|"&amp;DATOS!$E4248&amp;"|"&amp;DATOS!$I4248)</f>
      </c>
      <c r="G4248">
        <f>IF(DATOS!$A4248="",0,IF(CONFIG_METADATA!$B$4&lt;&gt;"OR+EX",--(DATOS!$G4248=CONFIG_METADATA!$B$4),IF(DATOS!$G4248="EX",1,IF(DATOS!$G4248="OR",--(COUNTIFS(nNIA,DATOS!$A4248,nCURSO,DATOS!$D4248,nESPEC,DATOS!$E4248,nASIG,DATOS!$I4248,nEVAL,"EX")=0),0))))</f>
      </c>
      <c r="H4248">
        <f>IF(DATOS!$G4248&lt;&gt;"EX",0,--(COUNTIFS(nNIA,DATOS!$A4248,nCURSO,DATOS!$D4248,nESPEC,DATOS!$E4248,nASIG,DATOS!$I4248,nEVAL,"OR")=0))</f>
      </c>
      <c r="I4248">
        <f>IF(DATOS!$I4248="","",IFERROR(VLOOKUP(DATOS!$I4248,CONFIG_ASIGNATURAS!$B$2:$J$91,9,FALSE()),""))</f>
      </c>
    </row>
    <row r="4249">
      <c r="F4249">
        <f>IF(DATOS!$A4249="","",DATOS!$A4249&amp;"|"&amp;DATOS!$D4249&amp;"|"&amp;DATOS!$E4249&amp;"|"&amp;DATOS!$I4249)</f>
      </c>
      <c r="G4249">
        <f>IF(DATOS!$A4249="",0,IF(CONFIG_METADATA!$B$4&lt;&gt;"OR+EX",--(DATOS!$G4249=CONFIG_METADATA!$B$4),IF(DATOS!$G4249="EX",1,IF(DATOS!$G4249="OR",--(COUNTIFS(nNIA,DATOS!$A4249,nCURSO,DATOS!$D4249,nESPEC,DATOS!$E4249,nASIG,DATOS!$I4249,nEVAL,"EX")=0),0))))</f>
      </c>
      <c r="H4249">
        <f>IF(DATOS!$G4249&lt;&gt;"EX",0,--(COUNTIFS(nNIA,DATOS!$A4249,nCURSO,DATOS!$D4249,nESPEC,DATOS!$E4249,nASIG,DATOS!$I4249,nEVAL,"OR")=0))</f>
      </c>
      <c r="I4249">
        <f>IF(DATOS!$I4249="","",IFERROR(VLOOKUP(DATOS!$I4249,CONFIG_ASIGNATURAS!$B$2:$J$91,9,FALSE()),""))</f>
      </c>
    </row>
    <row r="4250">
      <c r="F4250">
        <f>IF(DATOS!$A4250="","",DATOS!$A4250&amp;"|"&amp;DATOS!$D4250&amp;"|"&amp;DATOS!$E4250&amp;"|"&amp;DATOS!$I4250)</f>
      </c>
      <c r="G4250">
        <f>IF(DATOS!$A4250="",0,IF(CONFIG_METADATA!$B$4&lt;&gt;"OR+EX",--(DATOS!$G4250=CONFIG_METADATA!$B$4),IF(DATOS!$G4250="EX",1,IF(DATOS!$G4250="OR",--(COUNTIFS(nNIA,DATOS!$A4250,nCURSO,DATOS!$D4250,nESPEC,DATOS!$E4250,nASIG,DATOS!$I4250,nEVAL,"EX")=0),0))))</f>
      </c>
      <c r="H4250">
        <f>IF(DATOS!$G4250&lt;&gt;"EX",0,--(COUNTIFS(nNIA,DATOS!$A4250,nCURSO,DATOS!$D4250,nESPEC,DATOS!$E4250,nASIG,DATOS!$I4250,nEVAL,"OR")=0))</f>
      </c>
      <c r="I4250">
        <f>IF(DATOS!$I4250="","",IFERROR(VLOOKUP(DATOS!$I4250,CONFIG_ASIGNATURAS!$B$2:$J$91,9,FALSE()),""))</f>
      </c>
    </row>
    <row r="4251">
      <c r="F4251">
        <f>IF(DATOS!$A4251="","",DATOS!$A4251&amp;"|"&amp;DATOS!$D4251&amp;"|"&amp;DATOS!$E4251&amp;"|"&amp;DATOS!$I4251)</f>
      </c>
      <c r="G4251">
        <f>IF(DATOS!$A4251="",0,IF(CONFIG_METADATA!$B$4&lt;&gt;"OR+EX",--(DATOS!$G4251=CONFIG_METADATA!$B$4),IF(DATOS!$G4251="EX",1,IF(DATOS!$G4251="OR",--(COUNTIFS(nNIA,DATOS!$A4251,nCURSO,DATOS!$D4251,nESPEC,DATOS!$E4251,nASIG,DATOS!$I4251,nEVAL,"EX")=0),0))))</f>
      </c>
      <c r="H4251">
        <f>IF(DATOS!$G4251&lt;&gt;"EX",0,--(COUNTIFS(nNIA,DATOS!$A4251,nCURSO,DATOS!$D4251,nESPEC,DATOS!$E4251,nASIG,DATOS!$I4251,nEVAL,"OR")=0))</f>
      </c>
      <c r="I4251">
        <f>IF(DATOS!$I4251="","",IFERROR(VLOOKUP(DATOS!$I4251,CONFIG_ASIGNATURAS!$B$2:$J$91,9,FALSE()),""))</f>
      </c>
    </row>
    <row r="4252">
      <c r="F4252">
        <f>IF(DATOS!$A4252="","",DATOS!$A4252&amp;"|"&amp;DATOS!$D4252&amp;"|"&amp;DATOS!$E4252&amp;"|"&amp;DATOS!$I4252)</f>
      </c>
      <c r="G4252">
        <f>IF(DATOS!$A4252="",0,IF(CONFIG_METADATA!$B$4&lt;&gt;"OR+EX",--(DATOS!$G4252=CONFIG_METADATA!$B$4),IF(DATOS!$G4252="EX",1,IF(DATOS!$G4252="OR",--(COUNTIFS(nNIA,DATOS!$A4252,nCURSO,DATOS!$D4252,nESPEC,DATOS!$E4252,nASIG,DATOS!$I4252,nEVAL,"EX")=0),0))))</f>
      </c>
      <c r="H4252">
        <f>IF(DATOS!$G4252&lt;&gt;"EX",0,--(COUNTIFS(nNIA,DATOS!$A4252,nCURSO,DATOS!$D4252,nESPEC,DATOS!$E4252,nASIG,DATOS!$I4252,nEVAL,"OR")=0))</f>
      </c>
      <c r="I4252">
        <f>IF(DATOS!$I4252="","",IFERROR(VLOOKUP(DATOS!$I4252,CONFIG_ASIGNATURAS!$B$2:$J$91,9,FALSE()),""))</f>
      </c>
    </row>
    <row r="4253">
      <c r="F4253">
        <f>IF(DATOS!$A4253="","",DATOS!$A4253&amp;"|"&amp;DATOS!$D4253&amp;"|"&amp;DATOS!$E4253&amp;"|"&amp;DATOS!$I4253)</f>
      </c>
      <c r="G4253">
        <f>IF(DATOS!$A4253="",0,IF(CONFIG_METADATA!$B$4&lt;&gt;"OR+EX",--(DATOS!$G4253=CONFIG_METADATA!$B$4),IF(DATOS!$G4253="EX",1,IF(DATOS!$G4253="OR",--(COUNTIFS(nNIA,DATOS!$A4253,nCURSO,DATOS!$D4253,nESPEC,DATOS!$E4253,nASIG,DATOS!$I4253,nEVAL,"EX")=0),0))))</f>
      </c>
      <c r="H4253">
        <f>IF(DATOS!$G4253&lt;&gt;"EX",0,--(COUNTIFS(nNIA,DATOS!$A4253,nCURSO,DATOS!$D4253,nESPEC,DATOS!$E4253,nASIG,DATOS!$I4253,nEVAL,"OR")=0))</f>
      </c>
      <c r="I4253">
        <f>IF(DATOS!$I4253="","",IFERROR(VLOOKUP(DATOS!$I4253,CONFIG_ASIGNATURAS!$B$2:$J$91,9,FALSE()),""))</f>
      </c>
    </row>
    <row r="4254">
      <c r="F4254">
        <f>IF(DATOS!$A4254="","",DATOS!$A4254&amp;"|"&amp;DATOS!$D4254&amp;"|"&amp;DATOS!$E4254&amp;"|"&amp;DATOS!$I4254)</f>
      </c>
      <c r="G4254">
        <f>IF(DATOS!$A4254="",0,IF(CONFIG_METADATA!$B$4&lt;&gt;"OR+EX",--(DATOS!$G4254=CONFIG_METADATA!$B$4),IF(DATOS!$G4254="EX",1,IF(DATOS!$G4254="OR",--(COUNTIFS(nNIA,DATOS!$A4254,nCURSO,DATOS!$D4254,nESPEC,DATOS!$E4254,nASIG,DATOS!$I4254,nEVAL,"EX")=0),0))))</f>
      </c>
      <c r="H4254">
        <f>IF(DATOS!$G4254&lt;&gt;"EX",0,--(COUNTIFS(nNIA,DATOS!$A4254,nCURSO,DATOS!$D4254,nESPEC,DATOS!$E4254,nASIG,DATOS!$I4254,nEVAL,"OR")=0))</f>
      </c>
      <c r="I4254">
        <f>IF(DATOS!$I4254="","",IFERROR(VLOOKUP(DATOS!$I4254,CONFIG_ASIGNATURAS!$B$2:$J$91,9,FALSE()),""))</f>
      </c>
    </row>
    <row r="4255">
      <c r="F4255">
        <f>IF(DATOS!$A4255="","",DATOS!$A4255&amp;"|"&amp;DATOS!$D4255&amp;"|"&amp;DATOS!$E4255&amp;"|"&amp;DATOS!$I4255)</f>
      </c>
      <c r="G4255">
        <f>IF(DATOS!$A4255="",0,IF(CONFIG_METADATA!$B$4&lt;&gt;"OR+EX",--(DATOS!$G4255=CONFIG_METADATA!$B$4),IF(DATOS!$G4255="EX",1,IF(DATOS!$G4255="OR",--(COUNTIFS(nNIA,DATOS!$A4255,nCURSO,DATOS!$D4255,nESPEC,DATOS!$E4255,nASIG,DATOS!$I4255,nEVAL,"EX")=0),0))))</f>
      </c>
      <c r="H4255">
        <f>IF(DATOS!$G4255&lt;&gt;"EX",0,--(COUNTIFS(nNIA,DATOS!$A4255,nCURSO,DATOS!$D4255,nESPEC,DATOS!$E4255,nASIG,DATOS!$I4255,nEVAL,"OR")=0))</f>
      </c>
      <c r="I4255">
        <f>IF(DATOS!$I4255="","",IFERROR(VLOOKUP(DATOS!$I4255,CONFIG_ASIGNATURAS!$B$2:$J$91,9,FALSE()),""))</f>
      </c>
    </row>
    <row r="4256">
      <c r="F4256">
        <f>IF(DATOS!$A4256="","",DATOS!$A4256&amp;"|"&amp;DATOS!$D4256&amp;"|"&amp;DATOS!$E4256&amp;"|"&amp;DATOS!$I4256)</f>
      </c>
      <c r="G4256">
        <f>IF(DATOS!$A4256="",0,IF(CONFIG_METADATA!$B$4&lt;&gt;"OR+EX",--(DATOS!$G4256=CONFIG_METADATA!$B$4),IF(DATOS!$G4256="EX",1,IF(DATOS!$G4256="OR",--(COUNTIFS(nNIA,DATOS!$A4256,nCURSO,DATOS!$D4256,nESPEC,DATOS!$E4256,nASIG,DATOS!$I4256,nEVAL,"EX")=0),0))))</f>
      </c>
      <c r="H4256">
        <f>IF(DATOS!$G4256&lt;&gt;"EX",0,--(COUNTIFS(nNIA,DATOS!$A4256,nCURSO,DATOS!$D4256,nESPEC,DATOS!$E4256,nASIG,DATOS!$I4256,nEVAL,"OR")=0))</f>
      </c>
      <c r="I4256">
        <f>IF(DATOS!$I4256="","",IFERROR(VLOOKUP(DATOS!$I4256,CONFIG_ASIGNATURAS!$B$2:$J$91,9,FALSE()),""))</f>
      </c>
    </row>
    <row r="4257">
      <c r="F4257">
        <f>IF(DATOS!$A4257="","",DATOS!$A4257&amp;"|"&amp;DATOS!$D4257&amp;"|"&amp;DATOS!$E4257&amp;"|"&amp;DATOS!$I4257)</f>
      </c>
      <c r="G4257">
        <f>IF(DATOS!$A4257="",0,IF(CONFIG_METADATA!$B$4&lt;&gt;"OR+EX",--(DATOS!$G4257=CONFIG_METADATA!$B$4),IF(DATOS!$G4257="EX",1,IF(DATOS!$G4257="OR",--(COUNTIFS(nNIA,DATOS!$A4257,nCURSO,DATOS!$D4257,nESPEC,DATOS!$E4257,nASIG,DATOS!$I4257,nEVAL,"EX")=0),0))))</f>
      </c>
      <c r="H4257">
        <f>IF(DATOS!$G4257&lt;&gt;"EX",0,--(COUNTIFS(nNIA,DATOS!$A4257,nCURSO,DATOS!$D4257,nESPEC,DATOS!$E4257,nASIG,DATOS!$I4257,nEVAL,"OR")=0))</f>
      </c>
      <c r="I4257">
        <f>IF(DATOS!$I4257="","",IFERROR(VLOOKUP(DATOS!$I4257,CONFIG_ASIGNATURAS!$B$2:$J$91,9,FALSE()),""))</f>
      </c>
    </row>
    <row r="4258">
      <c r="F4258">
        <f>IF(DATOS!$A4258="","",DATOS!$A4258&amp;"|"&amp;DATOS!$D4258&amp;"|"&amp;DATOS!$E4258&amp;"|"&amp;DATOS!$I4258)</f>
      </c>
      <c r="G4258">
        <f>IF(DATOS!$A4258="",0,IF(CONFIG_METADATA!$B$4&lt;&gt;"OR+EX",--(DATOS!$G4258=CONFIG_METADATA!$B$4),IF(DATOS!$G4258="EX",1,IF(DATOS!$G4258="OR",--(COUNTIFS(nNIA,DATOS!$A4258,nCURSO,DATOS!$D4258,nESPEC,DATOS!$E4258,nASIG,DATOS!$I4258,nEVAL,"EX")=0),0))))</f>
      </c>
      <c r="H4258">
        <f>IF(DATOS!$G4258&lt;&gt;"EX",0,--(COUNTIFS(nNIA,DATOS!$A4258,nCURSO,DATOS!$D4258,nESPEC,DATOS!$E4258,nASIG,DATOS!$I4258,nEVAL,"OR")=0))</f>
      </c>
      <c r="I4258">
        <f>IF(DATOS!$I4258="","",IFERROR(VLOOKUP(DATOS!$I4258,CONFIG_ASIGNATURAS!$B$2:$J$91,9,FALSE()),""))</f>
      </c>
    </row>
    <row r="4259">
      <c r="F4259">
        <f>IF(DATOS!$A4259="","",DATOS!$A4259&amp;"|"&amp;DATOS!$D4259&amp;"|"&amp;DATOS!$E4259&amp;"|"&amp;DATOS!$I4259)</f>
      </c>
      <c r="G4259">
        <f>IF(DATOS!$A4259="",0,IF(CONFIG_METADATA!$B$4&lt;&gt;"OR+EX",--(DATOS!$G4259=CONFIG_METADATA!$B$4),IF(DATOS!$G4259="EX",1,IF(DATOS!$G4259="OR",--(COUNTIFS(nNIA,DATOS!$A4259,nCURSO,DATOS!$D4259,nESPEC,DATOS!$E4259,nASIG,DATOS!$I4259,nEVAL,"EX")=0),0))))</f>
      </c>
      <c r="H4259">
        <f>IF(DATOS!$G4259&lt;&gt;"EX",0,--(COUNTIFS(nNIA,DATOS!$A4259,nCURSO,DATOS!$D4259,nESPEC,DATOS!$E4259,nASIG,DATOS!$I4259,nEVAL,"OR")=0))</f>
      </c>
      <c r="I4259">
        <f>IF(DATOS!$I4259="","",IFERROR(VLOOKUP(DATOS!$I4259,CONFIG_ASIGNATURAS!$B$2:$J$91,9,FALSE()),""))</f>
      </c>
    </row>
    <row r="4260">
      <c r="F4260">
        <f>IF(DATOS!$A4260="","",DATOS!$A4260&amp;"|"&amp;DATOS!$D4260&amp;"|"&amp;DATOS!$E4260&amp;"|"&amp;DATOS!$I4260)</f>
      </c>
      <c r="G4260">
        <f>IF(DATOS!$A4260="",0,IF(CONFIG_METADATA!$B$4&lt;&gt;"OR+EX",--(DATOS!$G4260=CONFIG_METADATA!$B$4),IF(DATOS!$G4260="EX",1,IF(DATOS!$G4260="OR",--(COUNTIFS(nNIA,DATOS!$A4260,nCURSO,DATOS!$D4260,nESPEC,DATOS!$E4260,nASIG,DATOS!$I4260,nEVAL,"EX")=0),0))))</f>
      </c>
      <c r="H4260">
        <f>IF(DATOS!$G4260&lt;&gt;"EX",0,--(COUNTIFS(nNIA,DATOS!$A4260,nCURSO,DATOS!$D4260,nESPEC,DATOS!$E4260,nASIG,DATOS!$I4260,nEVAL,"OR")=0))</f>
      </c>
      <c r="I4260">
        <f>IF(DATOS!$I4260="","",IFERROR(VLOOKUP(DATOS!$I4260,CONFIG_ASIGNATURAS!$B$2:$J$91,9,FALSE()),""))</f>
      </c>
    </row>
    <row r="4261">
      <c r="F4261">
        <f>IF(DATOS!$A4261="","",DATOS!$A4261&amp;"|"&amp;DATOS!$D4261&amp;"|"&amp;DATOS!$E4261&amp;"|"&amp;DATOS!$I4261)</f>
      </c>
      <c r="G4261">
        <f>IF(DATOS!$A4261="",0,IF(CONFIG_METADATA!$B$4&lt;&gt;"OR+EX",--(DATOS!$G4261=CONFIG_METADATA!$B$4),IF(DATOS!$G4261="EX",1,IF(DATOS!$G4261="OR",--(COUNTIFS(nNIA,DATOS!$A4261,nCURSO,DATOS!$D4261,nESPEC,DATOS!$E4261,nASIG,DATOS!$I4261,nEVAL,"EX")=0),0))))</f>
      </c>
      <c r="H4261">
        <f>IF(DATOS!$G4261&lt;&gt;"EX",0,--(COUNTIFS(nNIA,DATOS!$A4261,nCURSO,DATOS!$D4261,nESPEC,DATOS!$E4261,nASIG,DATOS!$I4261,nEVAL,"OR")=0))</f>
      </c>
      <c r="I4261">
        <f>IF(DATOS!$I4261="","",IFERROR(VLOOKUP(DATOS!$I4261,CONFIG_ASIGNATURAS!$B$2:$J$91,9,FALSE()),""))</f>
      </c>
    </row>
    <row r="4262">
      <c r="F4262">
        <f>IF(DATOS!$A4262="","",DATOS!$A4262&amp;"|"&amp;DATOS!$D4262&amp;"|"&amp;DATOS!$E4262&amp;"|"&amp;DATOS!$I4262)</f>
      </c>
      <c r="G4262">
        <f>IF(DATOS!$A4262="",0,IF(CONFIG_METADATA!$B$4&lt;&gt;"OR+EX",--(DATOS!$G4262=CONFIG_METADATA!$B$4),IF(DATOS!$G4262="EX",1,IF(DATOS!$G4262="OR",--(COUNTIFS(nNIA,DATOS!$A4262,nCURSO,DATOS!$D4262,nESPEC,DATOS!$E4262,nASIG,DATOS!$I4262,nEVAL,"EX")=0),0))))</f>
      </c>
      <c r="H4262">
        <f>IF(DATOS!$G4262&lt;&gt;"EX",0,--(COUNTIFS(nNIA,DATOS!$A4262,nCURSO,DATOS!$D4262,nESPEC,DATOS!$E4262,nASIG,DATOS!$I4262,nEVAL,"OR")=0))</f>
      </c>
      <c r="I4262">
        <f>IF(DATOS!$I4262="","",IFERROR(VLOOKUP(DATOS!$I4262,CONFIG_ASIGNATURAS!$B$2:$J$91,9,FALSE()),""))</f>
      </c>
    </row>
    <row r="4263">
      <c r="F4263">
        <f>IF(DATOS!$A4263="","",DATOS!$A4263&amp;"|"&amp;DATOS!$D4263&amp;"|"&amp;DATOS!$E4263&amp;"|"&amp;DATOS!$I4263)</f>
      </c>
      <c r="G4263">
        <f>IF(DATOS!$A4263="",0,IF(CONFIG_METADATA!$B$4&lt;&gt;"OR+EX",--(DATOS!$G4263=CONFIG_METADATA!$B$4),IF(DATOS!$G4263="EX",1,IF(DATOS!$G4263="OR",--(COUNTIFS(nNIA,DATOS!$A4263,nCURSO,DATOS!$D4263,nESPEC,DATOS!$E4263,nASIG,DATOS!$I4263,nEVAL,"EX")=0),0))))</f>
      </c>
      <c r="H4263">
        <f>IF(DATOS!$G4263&lt;&gt;"EX",0,--(COUNTIFS(nNIA,DATOS!$A4263,nCURSO,DATOS!$D4263,nESPEC,DATOS!$E4263,nASIG,DATOS!$I4263,nEVAL,"OR")=0))</f>
      </c>
      <c r="I4263">
        <f>IF(DATOS!$I4263="","",IFERROR(VLOOKUP(DATOS!$I4263,CONFIG_ASIGNATURAS!$B$2:$J$91,9,FALSE()),""))</f>
      </c>
    </row>
    <row r="4264">
      <c r="F4264">
        <f>IF(DATOS!$A4264="","",DATOS!$A4264&amp;"|"&amp;DATOS!$D4264&amp;"|"&amp;DATOS!$E4264&amp;"|"&amp;DATOS!$I4264)</f>
      </c>
      <c r="G4264">
        <f>IF(DATOS!$A4264="",0,IF(CONFIG_METADATA!$B$4&lt;&gt;"OR+EX",--(DATOS!$G4264=CONFIG_METADATA!$B$4),IF(DATOS!$G4264="EX",1,IF(DATOS!$G4264="OR",--(COUNTIFS(nNIA,DATOS!$A4264,nCURSO,DATOS!$D4264,nESPEC,DATOS!$E4264,nASIG,DATOS!$I4264,nEVAL,"EX")=0),0))))</f>
      </c>
      <c r="H4264">
        <f>IF(DATOS!$G4264&lt;&gt;"EX",0,--(COUNTIFS(nNIA,DATOS!$A4264,nCURSO,DATOS!$D4264,nESPEC,DATOS!$E4264,nASIG,DATOS!$I4264,nEVAL,"OR")=0))</f>
      </c>
      <c r="I4264">
        <f>IF(DATOS!$I4264="","",IFERROR(VLOOKUP(DATOS!$I4264,CONFIG_ASIGNATURAS!$B$2:$J$91,9,FALSE()),""))</f>
      </c>
    </row>
    <row r="4265">
      <c r="F4265">
        <f>IF(DATOS!$A4265="","",DATOS!$A4265&amp;"|"&amp;DATOS!$D4265&amp;"|"&amp;DATOS!$E4265&amp;"|"&amp;DATOS!$I4265)</f>
      </c>
      <c r="G4265">
        <f>IF(DATOS!$A4265="",0,IF(CONFIG_METADATA!$B$4&lt;&gt;"OR+EX",--(DATOS!$G4265=CONFIG_METADATA!$B$4),IF(DATOS!$G4265="EX",1,IF(DATOS!$G4265="OR",--(COUNTIFS(nNIA,DATOS!$A4265,nCURSO,DATOS!$D4265,nESPEC,DATOS!$E4265,nASIG,DATOS!$I4265,nEVAL,"EX")=0),0))))</f>
      </c>
      <c r="H4265">
        <f>IF(DATOS!$G4265&lt;&gt;"EX",0,--(COUNTIFS(nNIA,DATOS!$A4265,nCURSO,DATOS!$D4265,nESPEC,DATOS!$E4265,nASIG,DATOS!$I4265,nEVAL,"OR")=0))</f>
      </c>
      <c r="I4265">
        <f>IF(DATOS!$I4265="","",IFERROR(VLOOKUP(DATOS!$I4265,CONFIG_ASIGNATURAS!$B$2:$J$91,9,FALSE()),""))</f>
      </c>
    </row>
    <row r="4266">
      <c r="F4266">
        <f>IF(DATOS!$A4266="","",DATOS!$A4266&amp;"|"&amp;DATOS!$D4266&amp;"|"&amp;DATOS!$E4266&amp;"|"&amp;DATOS!$I4266)</f>
      </c>
      <c r="G4266">
        <f>IF(DATOS!$A4266="",0,IF(CONFIG_METADATA!$B$4&lt;&gt;"OR+EX",--(DATOS!$G4266=CONFIG_METADATA!$B$4),IF(DATOS!$G4266="EX",1,IF(DATOS!$G4266="OR",--(COUNTIFS(nNIA,DATOS!$A4266,nCURSO,DATOS!$D4266,nESPEC,DATOS!$E4266,nASIG,DATOS!$I4266,nEVAL,"EX")=0),0))))</f>
      </c>
      <c r="H4266">
        <f>IF(DATOS!$G4266&lt;&gt;"EX",0,--(COUNTIFS(nNIA,DATOS!$A4266,nCURSO,DATOS!$D4266,nESPEC,DATOS!$E4266,nASIG,DATOS!$I4266,nEVAL,"OR")=0))</f>
      </c>
      <c r="I4266">
        <f>IF(DATOS!$I4266="","",IFERROR(VLOOKUP(DATOS!$I4266,CONFIG_ASIGNATURAS!$B$2:$J$91,9,FALSE()),""))</f>
      </c>
    </row>
    <row r="4267">
      <c r="F4267">
        <f>IF(DATOS!$A4267="","",DATOS!$A4267&amp;"|"&amp;DATOS!$D4267&amp;"|"&amp;DATOS!$E4267&amp;"|"&amp;DATOS!$I4267)</f>
      </c>
      <c r="G4267">
        <f>IF(DATOS!$A4267="",0,IF(CONFIG_METADATA!$B$4&lt;&gt;"OR+EX",--(DATOS!$G4267=CONFIG_METADATA!$B$4),IF(DATOS!$G4267="EX",1,IF(DATOS!$G4267="OR",--(COUNTIFS(nNIA,DATOS!$A4267,nCURSO,DATOS!$D4267,nESPEC,DATOS!$E4267,nASIG,DATOS!$I4267,nEVAL,"EX")=0),0))))</f>
      </c>
      <c r="H4267">
        <f>IF(DATOS!$G4267&lt;&gt;"EX",0,--(COUNTIFS(nNIA,DATOS!$A4267,nCURSO,DATOS!$D4267,nESPEC,DATOS!$E4267,nASIG,DATOS!$I4267,nEVAL,"OR")=0))</f>
      </c>
      <c r="I4267">
        <f>IF(DATOS!$I4267="","",IFERROR(VLOOKUP(DATOS!$I4267,CONFIG_ASIGNATURAS!$B$2:$J$91,9,FALSE()),""))</f>
      </c>
    </row>
    <row r="4268">
      <c r="F4268">
        <f>IF(DATOS!$A4268="","",DATOS!$A4268&amp;"|"&amp;DATOS!$D4268&amp;"|"&amp;DATOS!$E4268&amp;"|"&amp;DATOS!$I4268)</f>
      </c>
      <c r="G4268">
        <f>IF(DATOS!$A4268="",0,IF(CONFIG_METADATA!$B$4&lt;&gt;"OR+EX",--(DATOS!$G4268=CONFIG_METADATA!$B$4),IF(DATOS!$G4268="EX",1,IF(DATOS!$G4268="OR",--(COUNTIFS(nNIA,DATOS!$A4268,nCURSO,DATOS!$D4268,nESPEC,DATOS!$E4268,nASIG,DATOS!$I4268,nEVAL,"EX")=0),0))))</f>
      </c>
      <c r="H4268">
        <f>IF(DATOS!$G4268&lt;&gt;"EX",0,--(COUNTIFS(nNIA,DATOS!$A4268,nCURSO,DATOS!$D4268,nESPEC,DATOS!$E4268,nASIG,DATOS!$I4268,nEVAL,"OR")=0))</f>
      </c>
      <c r="I4268">
        <f>IF(DATOS!$I4268="","",IFERROR(VLOOKUP(DATOS!$I4268,CONFIG_ASIGNATURAS!$B$2:$J$91,9,FALSE()),""))</f>
      </c>
    </row>
    <row r="4269">
      <c r="F4269">
        <f>IF(DATOS!$A4269="","",DATOS!$A4269&amp;"|"&amp;DATOS!$D4269&amp;"|"&amp;DATOS!$E4269&amp;"|"&amp;DATOS!$I4269)</f>
      </c>
      <c r="G4269">
        <f>IF(DATOS!$A4269="",0,IF(CONFIG_METADATA!$B$4&lt;&gt;"OR+EX",--(DATOS!$G4269=CONFIG_METADATA!$B$4),IF(DATOS!$G4269="EX",1,IF(DATOS!$G4269="OR",--(COUNTIFS(nNIA,DATOS!$A4269,nCURSO,DATOS!$D4269,nESPEC,DATOS!$E4269,nASIG,DATOS!$I4269,nEVAL,"EX")=0),0))))</f>
      </c>
      <c r="H4269">
        <f>IF(DATOS!$G4269&lt;&gt;"EX",0,--(COUNTIFS(nNIA,DATOS!$A4269,nCURSO,DATOS!$D4269,nESPEC,DATOS!$E4269,nASIG,DATOS!$I4269,nEVAL,"OR")=0))</f>
      </c>
      <c r="I4269">
        <f>IF(DATOS!$I4269="","",IFERROR(VLOOKUP(DATOS!$I4269,CONFIG_ASIGNATURAS!$B$2:$J$91,9,FALSE()),""))</f>
      </c>
    </row>
    <row r="4270">
      <c r="F4270">
        <f>IF(DATOS!$A4270="","",DATOS!$A4270&amp;"|"&amp;DATOS!$D4270&amp;"|"&amp;DATOS!$E4270&amp;"|"&amp;DATOS!$I4270)</f>
      </c>
      <c r="G4270">
        <f>IF(DATOS!$A4270="",0,IF(CONFIG_METADATA!$B$4&lt;&gt;"OR+EX",--(DATOS!$G4270=CONFIG_METADATA!$B$4),IF(DATOS!$G4270="EX",1,IF(DATOS!$G4270="OR",--(COUNTIFS(nNIA,DATOS!$A4270,nCURSO,DATOS!$D4270,nESPEC,DATOS!$E4270,nASIG,DATOS!$I4270,nEVAL,"EX")=0),0))))</f>
      </c>
      <c r="H4270">
        <f>IF(DATOS!$G4270&lt;&gt;"EX",0,--(COUNTIFS(nNIA,DATOS!$A4270,nCURSO,DATOS!$D4270,nESPEC,DATOS!$E4270,nASIG,DATOS!$I4270,nEVAL,"OR")=0))</f>
      </c>
      <c r="I4270">
        <f>IF(DATOS!$I4270="","",IFERROR(VLOOKUP(DATOS!$I4270,CONFIG_ASIGNATURAS!$B$2:$J$91,9,FALSE()),""))</f>
      </c>
    </row>
    <row r="4271">
      <c r="F4271">
        <f>IF(DATOS!$A4271="","",DATOS!$A4271&amp;"|"&amp;DATOS!$D4271&amp;"|"&amp;DATOS!$E4271&amp;"|"&amp;DATOS!$I4271)</f>
      </c>
      <c r="G4271">
        <f>IF(DATOS!$A4271="",0,IF(CONFIG_METADATA!$B$4&lt;&gt;"OR+EX",--(DATOS!$G4271=CONFIG_METADATA!$B$4),IF(DATOS!$G4271="EX",1,IF(DATOS!$G4271="OR",--(COUNTIFS(nNIA,DATOS!$A4271,nCURSO,DATOS!$D4271,nESPEC,DATOS!$E4271,nASIG,DATOS!$I4271,nEVAL,"EX")=0),0))))</f>
      </c>
      <c r="H4271">
        <f>IF(DATOS!$G4271&lt;&gt;"EX",0,--(COUNTIFS(nNIA,DATOS!$A4271,nCURSO,DATOS!$D4271,nESPEC,DATOS!$E4271,nASIG,DATOS!$I4271,nEVAL,"OR")=0))</f>
      </c>
      <c r="I4271">
        <f>IF(DATOS!$I4271="","",IFERROR(VLOOKUP(DATOS!$I4271,CONFIG_ASIGNATURAS!$B$2:$J$91,9,FALSE()),""))</f>
      </c>
    </row>
    <row r="4272">
      <c r="F4272">
        <f>IF(DATOS!$A4272="","",DATOS!$A4272&amp;"|"&amp;DATOS!$D4272&amp;"|"&amp;DATOS!$E4272&amp;"|"&amp;DATOS!$I4272)</f>
      </c>
      <c r="G4272">
        <f>IF(DATOS!$A4272="",0,IF(CONFIG_METADATA!$B$4&lt;&gt;"OR+EX",--(DATOS!$G4272=CONFIG_METADATA!$B$4),IF(DATOS!$G4272="EX",1,IF(DATOS!$G4272="OR",--(COUNTIFS(nNIA,DATOS!$A4272,nCURSO,DATOS!$D4272,nESPEC,DATOS!$E4272,nASIG,DATOS!$I4272,nEVAL,"EX")=0),0))))</f>
      </c>
      <c r="H4272">
        <f>IF(DATOS!$G4272&lt;&gt;"EX",0,--(COUNTIFS(nNIA,DATOS!$A4272,nCURSO,DATOS!$D4272,nESPEC,DATOS!$E4272,nASIG,DATOS!$I4272,nEVAL,"OR")=0))</f>
      </c>
      <c r="I4272">
        <f>IF(DATOS!$I4272="","",IFERROR(VLOOKUP(DATOS!$I4272,CONFIG_ASIGNATURAS!$B$2:$J$91,9,FALSE()),""))</f>
      </c>
    </row>
    <row r="4273">
      <c r="F4273">
        <f>IF(DATOS!$A4273="","",DATOS!$A4273&amp;"|"&amp;DATOS!$D4273&amp;"|"&amp;DATOS!$E4273&amp;"|"&amp;DATOS!$I4273)</f>
      </c>
      <c r="G4273">
        <f>IF(DATOS!$A4273="",0,IF(CONFIG_METADATA!$B$4&lt;&gt;"OR+EX",--(DATOS!$G4273=CONFIG_METADATA!$B$4),IF(DATOS!$G4273="EX",1,IF(DATOS!$G4273="OR",--(COUNTIFS(nNIA,DATOS!$A4273,nCURSO,DATOS!$D4273,nESPEC,DATOS!$E4273,nASIG,DATOS!$I4273,nEVAL,"EX")=0),0))))</f>
      </c>
      <c r="H4273">
        <f>IF(DATOS!$G4273&lt;&gt;"EX",0,--(COUNTIFS(nNIA,DATOS!$A4273,nCURSO,DATOS!$D4273,nESPEC,DATOS!$E4273,nASIG,DATOS!$I4273,nEVAL,"OR")=0))</f>
      </c>
      <c r="I4273">
        <f>IF(DATOS!$I4273="","",IFERROR(VLOOKUP(DATOS!$I4273,CONFIG_ASIGNATURAS!$B$2:$J$91,9,FALSE()),""))</f>
      </c>
    </row>
    <row r="4274">
      <c r="F4274">
        <f>IF(DATOS!$A4274="","",DATOS!$A4274&amp;"|"&amp;DATOS!$D4274&amp;"|"&amp;DATOS!$E4274&amp;"|"&amp;DATOS!$I4274)</f>
      </c>
      <c r="G4274">
        <f>IF(DATOS!$A4274="",0,IF(CONFIG_METADATA!$B$4&lt;&gt;"OR+EX",--(DATOS!$G4274=CONFIG_METADATA!$B$4),IF(DATOS!$G4274="EX",1,IF(DATOS!$G4274="OR",--(COUNTIFS(nNIA,DATOS!$A4274,nCURSO,DATOS!$D4274,nESPEC,DATOS!$E4274,nASIG,DATOS!$I4274,nEVAL,"EX")=0),0))))</f>
      </c>
      <c r="H4274">
        <f>IF(DATOS!$G4274&lt;&gt;"EX",0,--(COUNTIFS(nNIA,DATOS!$A4274,nCURSO,DATOS!$D4274,nESPEC,DATOS!$E4274,nASIG,DATOS!$I4274,nEVAL,"OR")=0))</f>
      </c>
      <c r="I4274">
        <f>IF(DATOS!$I4274="","",IFERROR(VLOOKUP(DATOS!$I4274,CONFIG_ASIGNATURAS!$B$2:$J$91,9,FALSE()),""))</f>
      </c>
    </row>
    <row r="4275">
      <c r="F4275">
        <f>IF(DATOS!$A4275="","",DATOS!$A4275&amp;"|"&amp;DATOS!$D4275&amp;"|"&amp;DATOS!$E4275&amp;"|"&amp;DATOS!$I4275)</f>
      </c>
      <c r="G4275">
        <f>IF(DATOS!$A4275="",0,IF(CONFIG_METADATA!$B$4&lt;&gt;"OR+EX",--(DATOS!$G4275=CONFIG_METADATA!$B$4),IF(DATOS!$G4275="EX",1,IF(DATOS!$G4275="OR",--(COUNTIFS(nNIA,DATOS!$A4275,nCURSO,DATOS!$D4275,nESPEC,DATOS!$E4275,nASIG,DATOS!$I4275,nEVAL,"EX")=0),0))))</f>
      </c>
      <c r="H4275">
        <f>IF(DATOS!$G4275&lt;&gt;"EX",0,--(COUNTIFS(nNIA,DATOS!$A4275,nCURSO,DATOS!$D4275,nESPEC,DATOS!$E4275,nASIG,DATOS!$I4275,nEVAL,"OR")=0))</f>
      </c>
      <c r="I4275">
        <f>IF(DATOS!$I4275="","",IFERROR(VLOOKUP(DATOS!$I4275,CONFIG_ASIGNATURAS!$B$2:$J$91,9,FALSE()),""))</f>
      </c>
    </row>
    <row r="4276">
      <c r="F4276">
        <f>IF(DATOS!$A4276="","",DATOS!$A4276&amp;"|"&amp;DATOS!$D4276&amp;"|"&amp;DATOS!$E4276&amp;"|"&amp;DATOS!$I4276)</f>
      </c>
      <c r="G4276">
        <f>IF(DATOS!$A4276="",0,IF(CONFIG_METADATA!$B$4&lt;&gt;"OR+EX",--(DATOS!$G4276=CONFIG_METADATA!$B$4),IF(DATOS!$G4276="EX",1,IF(DATOS!$G4276="OR",--(COUNTIFS(nNIA,DATOS!$A4276,nCURSO,DATOS!$D4276,nESPEC,DATOS!$E4276,nASIG,DATOS!$I4276,nEVAL,"EX")=0),0))))</f>
      </c>
      <c r="H4276">
        <f>IF(DATOS!$G4276&lt;&gt;"EX",0,--(COUNTIFS(nNIA,DATOS!$A4276,nCURSO,DATOS!$D4276,nESPEC,DATOS!$E4276,nASIG,DATOS!$I4276,nEVAL,"OR")=0))</f>
      </c>
      <c r="I4276">
        <f>IF(DATOS!$I4276="","",IFERROR(VLOOKUP(DATOS!$I4276,CONFIG_ASIGNATURAS!$B$2:$J$91,9,FALSE()),""))</f>
      </c>
    </row>
    <row r="4277">
      <c r="F4277">
        <f>IF(DATOS!$A4277="","",DATOS!$A4277&amp;"|"&amp;DATOS!$D4277&amp;"|"&amp;DATOS!$E4277&amp;"|"&amp;DATOS!$I4277)</f>
      </c>
      <c r="G4277">
        <f>IF(DATOS!$A4277="",0,IF(CONFIG_METADATA!$B$4&lt;&gt;"OR+EX",--(DATOS!$G4277=CONFIG_METADATA!$B$4),IF(DATOS!$G4277="EX",1,IF(DATOS!$G4277="OR",--(COUNTIFS(nNIA,DATOS!$A4277,nCURSO,DATOS!$D4277,nESPEC,DATOS!$E4277,nASIG,DATOS!$I4277,nEVAL,"EX")=0),0))))</f>
      </c>
      <c r="H4277">
        <f>IF(DATOS!$G4277&lt;&gt;"EX",0,--(COUNTIFS(nNIA,DATOS!$A4277,nCURSO,DATOS!$D4277,nESPEC,DATOS!$E4277,nASIG,DATOS!$I4277,nEVAL,"OR")=0))</f>
      </c>
      <c r="I4277">
        <f>IF(DATOS!$I4277="","",IFERROR(VLOOKUP(DATOS!$I4277,CONFIG_ASIGNATURAS!$B$2:$J$91,9,FALSE()),""))</f>
      </c>
    </row>
    <row r="4278">
      <c r="F4278">
        <f>IF(DATOS!$A4278="","",DATOS!$A4278&amp;"|"&amp;DATOS!$D4278&amp;"|"&amp;DATOS!$E4278&amp;"|"&amp;DATOS!$I4278)</f>
      </c>
      <c r="G4278">
        <f>IF(DATOS!$A4278="",0,IF(CONFIG_METADATA!$B$4&lt;&gt;"OR+EX",--(DATOS!$G4278=CONFIG_METADATA!$B$4),IF(DATOS!$G4278="EX",1,IF(DATOS!$G4278="OR",--(COUNTIFS(nNIA,DATOS!$A4278,nCURSO,DATOS!$D4278,nESPEC,DATOS!$E4278,nASIG,DATOS!$I4278,nEVAL,"EX")=0),0))))</f>
      </c>
      <c r="H4278">
        <f>IF(DATOS!$G4278&lt;&gt;"EX",0,--(COUNTIFS(nNIA,DATOS!$A4278,nCURSO,DATOS!$D4278,nESPEC,DATOS!$E4278,nASIG,DATOS!$I4278,nEVAL,"OR")=0))</f>
      </c>
      <c r="I4278">
        <f>IF(DATOS!$I4278="","",IFERROR(VLOOKUP(DATOS!$I4278,CONFIG_ASIGNATURAS!$B$2:$J$91,9,FALSE()),""))</f>
      </c>
    </row>
    <row r="4279">
      <c r="F4279">
        <f>IF(DATOS!$A4279="","",DATOS!$A4279&amp;"|"&amp;DATOS!$D4279&amp;"|"&amp;DATOS!$E4279&amp;"|"&amp;DATOS!$I4279)</f>
      </c>
      <c r="G4279">
        <f>IF(DATOS!$A4279="",0,IF(CONFIG_METADATA!$B$4&lt;&gt;"OR+EX",--(DATOS!$G4279=CONFIG_METADATA!$B$4),IF(DATOS!$G4279="EX",1,IF(DATOS!$G4279="OR",--(COUNTIFS(nNIA,DATOS!$A4279,nCURSO,DATOS!$D4279,nESPEC,DATOS!$E4279,nASIG,DATOS!$I4279,nEVAL,"EX")=0),0))))</f>
      </c>
      <c r="H4279">
        <f>IF(DATOS!$G4279&lt;&gt;"EX",0,--(COUNTIFS(nNIA,DATOS!$A4279,nCURSO,DATOS!$D4279,nESPEC,DATOS!$E4279,nASIG,DATOS!$I4279,nEVAL,"OR")=0))</f>
      </c>
      <c r="I4279">
        <f>IF(DATOS!$I4279="","",IFERROR(VLOOKUP(DATOS!$I4279,CONFIG_ASIGNATURAS!$B$2:$J$91,9,FALSE()),""))</f>
      </c>
    </row>
    <row r="4280">
      <c r="F4280">
        <f>IF(DATOS!$A4280="","",DATOS!$A4280&amp;"|"&amp;DATOS!$D4280&amp;"|"&amp;DATOS!$E4280&amp;"|"&amp;DATOS!$I4280)</f>
      </c>
      <c r="G4280">
        <f>IF(DATOS!$A4280="",0,IF(CONFIG_METADATA!$B$4&lt;&gt;"OR+EX",--(DATOS!$G4280=CONFIG_METADATA!$B$4),IF(DATOS!$G4280="EX",1,IF(DATOS!$G4280="OR",--(COUNTIFS(nNIA,DATOS!$A4280,nCURSO,DATOS!$D4280,nESPEC,DATOS!$E4280,nASIG,DATOS!$I4280,nEVAL,"EX")=0),0))))</f>
      </c>
      <c r="H4280">
        <f>IF(DATOS!$G4280&lt;&gt;"EX",0,--(COUNTIFS(nNIA,DATOS!$A4280,nCURSO,DATOS!$D4280,nESPEC,DATOS!$E4280,nASIG,DATOS!$I4280,nEVAL,"OR")=0))</f>
      </c>
      <c r="I4280">
        <f>IF(DATOS!$I4280="","",IFERROR(VLOOKUP(DATOS!$I4280,CONFIG_ASIGNATURAS!$B$2:$J$91,9,FALSE()),""))</f>
      </c>
    </row>
    <row r="4281">
      <c r="F4281">
        <f>IF(DATOS!$A4281="","",DATOS!$A4281&amp;"|"&amp;DATOS!$D4281&amp;"|"&amp;DATOS!$E4281&amp;"|"&amp;DATOS!$I4281)</f>
      </c>
      <c r="G4281">
        <f>IF(DATOS!$A4281="",0,IF(CONFIG_METADATA!$B$4&lt;&gt;"OR+EX",--(DATOS!$G4281=CONFIG_METADATA!$B$4),IF(DATOS!$G4281="EX",1,IF(DATOS!$G4281="OR",--(COUNTIFS(nNIA,DATOS!$A4281,nCURSO,DATOS!$D4281,nESPEC,DATOS!$E4281,nASIG,DATOS!$I4281,nEVAL,"EX")=0),0))))</f>
      </c>
      <c r="H4281">
        <f>IF(DATOS!$G4281&lt;&gt;"EX",0,--(COUNTIFS(nNIA,DATOS!$A4281,nCURSO,DATOS!$D4281,nESPEC,DATOS!$E4281,nASIG,DATOS!$I4281,nEVAL,"OR")=0))</f>
      </c>
      <c r="I4281">
        <f>IF(DATOS!$I4281="","",IFERROR(VLOOKUP(DATOS!$I4281,CONFIG_ASIGNATURAS!$B$2:$J$91,9,FALSE()),""))</f>
      </c>
    </row>
    <row r="4282">
      <c r="F4282">
        <f>IF(DATOS!$A4282="","",DATOS!$A4282&amp;"|"&amp;DATOS!$D4282&amp;"|"&amp;DATOS!$E4282&amp;"|"&amp;DATOS!$I4282)</f>
      </c>
      <c r="G4282">
        <f>IF(DATOS!$A4282="",0,IF(CONFIG_METADATA!$B$4&lt;&gt;"OR+EX",--(DATOS!$G4282=CONFIG_METADATA!$B$4),IF(DATOS!$G4282="EX",1,IF(DATOS!$G4282="OR",--(COUNTIFS(nNIA,DATOS!$A4282,nCURSO,DATOS!$D4282,nESPEC,DATOS!$E4282,nASIG,DATOS!$I4282,nEVAL,"EX")=0),0))))</f>
      </c>
      <c r="H4282">
        <f>IF(DATOS!$G4282&lt;&gt;"EX",0,--(COUNTIFS(nNIA,DATOS!$A4282,nCURSO,DATOS!$D4282,nESPEC,DATOS!$E4282,nASIG,DATOS!$I4282,nEVAL,"OR")=0))</f>
      </c>
      <c r="I4282">
        <f>IF(DATOS!$I4282="","",IFERROR(VLOOKUP(DATOS!$I4282,CONFIG_ASIGNATURAS!$B$2:$J$91,9,FALSE()),""))</f>
      </c>
    </row>
    <row r="4283">
      <c r="F4283">
        <f>IF(DATOS!$A4283="","",DATOS!$A4283&amp;"|"&amp;DATOS!$D4283&amp;"|"&amp;DATOS!$E4283&amp;"|"&amp;DATOS!$I4283)</f>
      </c>
      <c r="G4283">
        <f>IF(DATOS!$A4283="",0,IF(CONFIG_METADATA!$B$4&lt;&gt;"OR+EX",--(DATOS!$G4283=CONFIG_METADATA!$B$4),IF(DATOS!$G4283="EX",1,IF(DATOS!$G4283="OR",--(COUNTIFS(nNIA,DATOS!$A4283,nCURSO,DATOS!$D4283,nESPEC,DATOS!$E4283,nASIG,DATOS!$I4283,nEVAL,"EX")=0),0))))</f>
      </c>
      <c r="H4283">
        <f>IF(DATOS!$G4283&lt;&gt;"EX",0,--(COUNTIFS(nNIA,DATOS!$A4283,nCURSO,DATOS!$D4283,nESPEC,DATOS!$E4283,nASIG,DATOS!$I4283,nEVAL,"OR")=0))</f>
      </c>
      <c r="I4283">
        <f>IF(DATOS!$I4283="","",IFERROR(VLOOKUP(DATOS!$I4283,CONFIG_ASIGNATURAS!$B$2:$J$91,9,FALSE()),""))</f>
      </c>
    </row>
    <row r="4284">
      <c r="F4284">
        <f>IF(DATOS!$A4284="","",DATOS!$A4284&amp;"|"&amp;DATOS!$D4284&amp;"|"&amp;DATOS!$E4284&amp;"|"&amp;DATOS!$I4284)</f>
      </c>
      <c r="G4284">
        <f>IF(DATOS!$A4284="",0,IF(CONFIG_METADATA!$B$4&lt;&gt;"OR+EX",--(DATOS!$G4284=CONFIG_METADATA!$B$4),IF(DATOS!$G4284="EX",1,IF(DATOS!$G4284="OR",--(COUNTIFS(nNIA,DATOS!$A4284,nCURSO,DATOS!$D4284,nESPEC,DATOS!$E4284,nASIG,DATOS!$I4284,nEVAL,"EX")=0),0))))</f>
      </c>
      <c r="H4284">
        <f>IF(DATOS!$G4284&lt;&gt;"EX",0,--(COUNTIFS(nNIA,DATOS!$A4284,nCURSO,DATOS!$D4284,nESPEC,DATOS!$E4284,nASIG,DATOS!$I4284,nEVAL,"OR")=0))</f>
      </c>
      <c r="I4284">
        <f>IF(DATOS!$I4284="","",IFERROR(VLOOKUP(DATOS!$I4284,CONFIG_ASIGNATURAS!$B$2:$J$91,9,FALSE()),""))</f>
      </c>
    </row>
    <row r="4285">
      <c r="F4285">
        <f>IF(DATOS!$A4285="","",DATOS!$A4285&amp;"|"&amp;DATOS!$D4285&amp;"|"&amp;DATOS!$E4285&amp;"|"&amp;DATOS!$I4285)</f>
      </c>
      <c r="G4285">
        <f>IF(DATOS!$A4285="",0,IF(CONFIG_METADATA!$B$4&lt;&gt;"OR+EX",--(DATOS!$G4285=CONFIG_METADATA!$B$4),IF(DATOS!$G4285="EX",1,IF(DATOS!$G4285="OR",--(COUNTIFS(nNIA,DATOS!$A4285,nCURSO,DATOS!$D4285,nESPEC,DATOS!$E4285,nASIG,DATOS!$I4285,nEVAL,"EX")=0),0))))</f>
      </c>
      <c r="H4285">
        <f>IF(DATOS!$G4285&lt;&gt;"EX",0,--(COUNTIFS(nNIA,DATOS!$A4285,nCURSO,DATOS!$D4285,nESPEC,DATOS!$E4285,nASIG,DATOS!$I4285,nEVAL,"OR")=0))</f>
      </c>
      <c r="I4285">
        <f>IF(DATOS!$I4285="","",IFERROR(VLOOKUP(DATOS!$I4285,CONFIG_ASIGNATURAS!$B$2:$J$91,9,FALSE()),""))</f>
      </c>
    </row>
    <row r="4286">
      <c r="F4286">
        <f>IF(DATOS!$A4286="","",DATOS!$A4286&amp;"|"&amp;DATOS!$D4286&amp;"|"&amp;DATOS!$E4286&amp;"|"&amp;DATOS!$I4286)</f>
      </c>
      <c r="G4286">
        <f>IF(DATOS!$A4286="",0,IF(CONFIG_METADATA!$B$4&lt;&gt;"OR+EX",--(DATOS!$G4286=CONFIG_METADATA!$B$4),IF(DATOS!$G4286="EX",1,IF(DATOS!$G4286="OR",--(COUNTIFS(nNIA,DATOS!$A4286,nCURSO,DATOS!$D4286,nESPEC,DATOS!$E4286,nASIG,DATOS!$I4286,nEVAL,"EX")=0),0))))</f>
      </c>
      <c r="H4286">
        <f>IF(DATOS!$G4286&lt;&gt;"EX",0,--(COUNTIFS(nNIA,DATOS!$A4286,nCURSO,DATOS!$D4286,nESPEC,DATOS!$E4286,nASIG,DATOS!$I4286,nEVAL,"OR")=0))</f>
      </c>
      <c r="I4286">
        <f>IF(DATOS!$I4286="","",IFERROR(VLOOKUP(DATOS!$I4286,CONFIG_ASIGNATURAS!$B$2:$J$91,9,FALSE()),""))</f>
      </c>
    </row>
    <row r="4287">
      <c r="F4287">
        <f>IF(DATOS!$A4287="","",DATOS!$A4287&amp;"|"&amp;DATOS!$D4287&amp;"|"&amp;DATOS!$E4287&amp;"|"&amp;DATOS!$I4287)</f>
      </c>
      <c r="G4287">
        <f>IF(DATOS!$A4287="",0,IF(CONFIG_METADATA!$B$4&lt;&gt;"OR+EX",--(DATOS!$G4287=CONFIG_METADATA!$B$4),IF(DATOS!$G4287="EX",1,IF(DATOS!$G4287="OR",--(COUNTIFS(nNIA,DATOS!$A4287,nCURSO,DATOS!$D4287,nESPEC,DATOS!$E4287,nASIG,DATOS!$I4287,nEVAL,"EX")=0),0))))</f>
      </c>
      <c r="H4287">
        <f>IF(DATOS!$G4287&lt;&gt;"EX",0,--(COUNTIFS(nNIA,DATOS!$A4287,nCURSO,DATOS!$D4287,nESPEC,DATOS!$E4287,nASIG,DATOS!$I4287,nEVAL,"OR")=0))</f>
      </c>
      <c r="I4287">
        <f>IF(DATOS!$I4287="","",IFERROR(VLOOKUP(DATOS!$I4287,CONFIG_ASIGNATURAS!$B$2:$J$91,9,FALSE()),""))</f>
      </c>
    </row>
    <row r="4288">
      <c r="F4288">
        <f>IF(DATOS!$A4288="","",DATOS!$A4288&amp;"|"&amp;DATOS!$D4288&amp;"|"&amp;DATOS!$E4288&amp;"|"&amp;DATOS!$I4288)</f>
      </c>
      <c r="G4288">
        <f>IF(DATOS!$A4288="",0,IF(CONFIG_METADATA!$B$4&lt;&gt;"OR+EX",--(DATOS!$G4288=CONFIG_METADATA!$B$4),IF(DATOS!$G4288="EX",1,IF(DATOS!$G4288="OR",--(COUNTIFS(nNIA,DATOS!$A4288,nCURSO,DATOS!$D4288,nESPEC,DATOS!$E4288,nASIG,DATOS!$I4288,nEVAL,"EX")=0),0))))</f>
      </c>
      <c r="H4288">
        <f>IF(DATOS!$G4288&lt;&gt;"EX",0,--(COUNTIFS(nNIA,DATOS!$A4288,nCURSO,DATOS!$D4288,nESPEC,DATOS!$E4288,nASIG,DATOS!$I4288,nEVAL,"OR")=0))</f>
      </c>
      <c r="I4288">
        <f>IF(DATOS!$I4288="","",IFERROR(VLOOKUP(DATOS!$I4288,CONFIG_ASIGNATURAS!$B$2:$J$91,9,FALSE()),""))</f>
      </c>
    </row>
    <row r="4289">
      <c r="F4289">
        <f>IF(DATOS!$A4289="","",DATOS!$A4289&amp;"|"&amp;DATOS!$D4289&amp;"|"&amp;DATOS!$E4289&amp;"|"&amp;DATOS!$I4289)</f>
      </c>
      <c r="G4289">
        <f>IF(DATOS!$A4289="",0,IF(CONFIG_METADATA!$B$4&lt;&gt;"OR+EX",--(DATOS!$G4289=CONFIG_METADATA!$B$4),IF(DATOS!$G4289="EX",1,IF(DATOS!$G4289="OR",--(COUNTIFS(nNIA,DATOS!$A4289,nCURSO,DATOS!$D4289,nESPEC,DATOS!$E4289,nASIG,DATOS!$I4289,nEVAL,"EX")=0),0))))</f>
      </c>
      <c r="H4289">
        <f>IF(DATOS!$G4289&lt;&gt;"EX",0,--(COUNTIFS(nNIA,DATOS!$A4289,nCURSO,DATOS!$D4289,nESPEC,DATOS!$E4289,nASIG,DATOS!$I4289,nEVAL,"OR")=0))</f>
      </c>
      <c r="I4289">
        <f>IF(DATOS!$I4289="","",IFERROR(VLOOKUP(DATOS!$I4289,CONFIG_ASIGNATURAS!$B$2:$J$91,9,FALSE()),""))</f>
      </c>
    </row>
    <row r="4290">
      <c r="F4290">
        <f>IF(DATOS!$A4290="","",DATOS!$A4290&amp;"|"&amp;DATOS!$D4290&amp;"|"&amp;DATOS!$E4290&amp;"|"&amp;DATOS!$I4290)</f>
      </c>
      <c r="G4290">
        <f>IF(DATOS!$A4290="",0,IF(CONFIG_METADATA!$B$4&lt;&gt;"OR+EX",--(DATOS!$G4290=CONFIG_METADATA!$B$4),IF(DATOS!$G4290="EX",1,IF(DATOS!$G4290="OR",--(COUNTIFS(nNIA,DATOS!$A4290,nCURSO,DATOS!$D4290,nESPEC,DATOS!$E4290,nASIG,DATOS!$I4290,nEVAL,"EX")=0),0))))</f>
      </c>
      <c r="H4290">
        <f>IF(DATOS!$G4290&lt;&gt;"EX",0,--(COUNTIFS(nNIA,DATOS!$A4290,nCURSO,DATOS!$D4290,nESPEC,DATOS!$E4290,nASIG,DATOS!$I4290,nEVAL,"OR")=0))</f>
      </c>
      <c r="I4290">
        <f>IF(DATOS!$I4290="","",IFERROR(VLOOKUP(DATOS!$I4290,CONFIG_ASIGNATURAS!$B$2:$J$91,9,FALSE()),""))</f>
      </c>
    </row>
    <row r="4291">
      <c r="F4291">
        <f>IF(DATOS!$A4291="","",DATOS!$A4291&amp;"|"&amp;DATOS!$D4291&amp;"|"&amp;DATOS!$E4291&amp;"|"&amp;DATOS!$I4291)</f>
      </c>
      <c r="G4291">
        <f>IF(DATOS!$A4291="",0,IF(CONFIG_METADATA!$B$4&lt;&gt;"OR+EX",--(DATOS!$G4291=CONFIG_METADATA!$B$4),IF(DATOS!$G4291="EX",1,IF(DATOS!$G4291="OR",--(COUNTIFS(nNIA,DATOS!$A4291,nCURSO,DATOS!$D4291,nESPEC,DATOS!$E4291,nASIG,DATOS!$I4291,nEVAL,"EX")=0),0))))</f>
      </c>
      <c r="H4291">
        <f>IF(DATOS!$G4291&lt;&gt;"EX",0,--(COUNTIFS(nNIA,DATOS!$A4291,nCURSO,DATOS!$D4291,nESPEC,DATOS!$E4291,nASIG,DATOS!$I4291,nEVAL,"OR")=0))</f>
      </c>
      <c r="I4291">
        <f>IF(DATOS!$I4291="","",IFERROR(VLOOKUP(DATOS!$I4291,CONFIG_ASIGNATURAS!$B$2:$J$91,9,FALSE()),""))</f>
      </c>
    </row>
    <row r="4292">
      <c r="F4292">
        <f>IF(DATOS!$A4292="","",DATOS!$A4292&amp;"|"&amp;DATOS!$D4292&amp;"|"&amp;DATOS!$E4292&amp;"|"&amp;DATOS!$I4292)</f>
      </c>
      <c r="G4292">
        <f>IF(DATOS!$A4292="",0,IF(CONFIG_METADATA!$B$4&lt;&gt;"OR+EX",--(DATOS!$G4292=CONFIG_METADATA!$B$4),IF(DATOS!$G4292="EX",1,IF(DATOS!$G4292="OR",--(COUNTIFS(nNIA,DATOS!$A4292,nCURSO,DATOS!$D4292,nESPEC,DATOS!$E4292,nASIG,DATOS!$I4292,nEVAL,"EX")=0),0))))</f>
      </c>
      <c r="H4292">
        <f>IF(DATOS!$G4292&lt;&gt;"EX",0,--(COUNTIFS(nNIA,DATOS!$A4292,nCURSO,DATOS!$D4292,nESPEC,DATOS!$E4292,nASIG,DATOS!$I4292,nEVAL,"OR")=0))</f>
      </c>
      <c r="I4292">
        <f>IF(DATOS!$I4292="","",IFERROR(VLOOKUP(DATOS!$I4292,CONFIG_ASIGNATURAS!$B$2:$J$91,9,FALSE()),""))</f>
      </c>
    </row>
    <row r="4293">
      <c r="F4293">
        <f>IF(DATOS!$A4293="","",DATOS!$A4293&amp;"|"&amp;DATOS!$D4293&amp;"|"&amp;DATOS!$E4293&amp;"|"&amp;DATOS!$I4293)</f>
      </c>
      <c r="G4293">
        <f>IF(DATOS!$A4293="",0,IF(CONFIG_METADATA!$B$4&lt;&gt;"OR+EX",--(DATOS!$G4293=CONFIG_METADATA!$B$4),IF(DATOS!$G4293="EX",1,IF(DATOS!$G4293="OR",--(COUNTIFS(nNIA,DATOS!$A4293,nCURSO,DATOS!$D4293,nESPEC,DATOS!$E4293,nASIG,DATOS!$I4293,nEVAL,"EX")=0),0))))</f>
      </c>
      <c r="H4293">
        <f>IF(DATOS!$G4293&lt;&gt;"EX",0,--(COUNTIFS(nNIA,DATOS!$A4293,nCURSO,DATOS!$D4293,nESPEC,DATOS!$E4293,nASIG,DATOS!$I4293,nEVAL,"OR")=0))</f>
      </c>
      <c r="I4293">
        <f>IF(DATOS!$I4293="","",IFERROR(VLOOKUP(DATOS!$I4293,CONFIG_ASIGNATURAS!$B$2:$J$91,9,FALSE()),""))</f>
      </c>
    </row>
    <row r="4294">
      <c r="F4294">
        <f>IF(DATOS!$A4294="","",DATOS!$A4294&amp;"|"&amp;DATOS!$D4294&amp;"|"&amp;DATOS!$E4294&amp;"|"&amp;DATOS!$I4294)</f>
      </c>
      <c r="G4294">
        <f>IF(DATOS!$A4294="",0,IF(CONFIG_METADATA!$B$4&lt;&gt;"OR+EX",--(DATOS!$G4294=CONFIG_METADATA!$B$4),IF(DATOS!$G4294="EX",1,IF(DATOS!$G4294="OR",--(COUNTIFS(nNIA,DATOS!$A4294,nCURSO,DATOS!$D4294,nESPEC,DATOS!$E4294,nASIG,DATOS!$I4294,nEVAL,"EX")=0),0))))</f>
      </c>
      <c r="H4294">
        <f>IF(DATOS!$G4294&lt;&gt;"EX",0,--(COUNTIFS(nNIA,DATOS!$A4294,nCURSO,DATOS!$D4294,nESPEC,DATOS!$E4294,nASIG,DATOS!$I4294,nEVAL,"OR")=0))</f>
      </c>
      <c r="I4294">
        <f>IF(DATOS!$I4294="","",IFERROR(VLOOKUP(DATOS!$I4294,CONFIG_ASIGNATURAS!$B$2:$J$91,9,FALSE()),""))</f>
      </c>
    </row>
    <row r="4295">
      <c r="F4295">
        <f>IF(DATOS!$A4295="","",DATOS!$A4295&amp;"|"&amp;DATOS!$D4295&amp;"|"&amp;DATOS!$E4295&amp;"|"&amp;DATOS!$I4295)</f>
      </c>
      <c r="G4295">
        <f>IF(DATOS!$A4295="",0,IF(CONFIG_METADATA!$B$4&lt;&gt;"OR+EX",--(DATOS!$G4295=CONFIG_METADATA!$B$4),IF(DATOS!$G4295="EX",1,IF(DATOS!$G4295="OR",--(COUNTIFS(nNIA,DATOS!$A4295,nCURSO,DATOS!$D4295,nESPEC,DATOS!$E4295,nASIG,DATOS!$I4295,nEVAL,"EX")=0),0))))</f>
      </c>
      <c r="H4295">
        <f>IF(DATOS!$G4295&lt;&gt;"EX",0,--(COUNTIFS(nNIA,DATOS!$A4295,nCURSO,DATOS!$D4295,nESPEC,DATOS!$E4295,nASIG,DATOS!$I4295,nEVAL,"OR")=0))</f>
      </c>
      <c r="I4295">
        <f>IF(DATOS!$I4295="","",IFERROR(VLOOKUP(DATOS!$I4295,CONFIG_ASIGNATURAS!$B$2:$J$91,9,FALSE()),""))</f>
      </c>
    </row>
    <row r="4296">
      <c r="F4296">
        <f>IF(DATOS!$A4296="","",DATOS!$A4296&amp;"|"&amp;DATOS!$D4296&amp;"|"&amp;DATOS!$E4296&amp;"|"&amp;DATOS!$I4296)</f>
      </c>
      <c r="G4296">
        <f>IF(DATOS!$A4296="",0,IF(CONFIG_METADATA!$B$4&lt;&gt;"OR+EX",--(DATOS!$G4296=CONFIG_METADATA!$B$4),IF(DATOS!$G4296="EX",1,IF(DATOS!$G4296="OR",--(COUNTIFS(nNIA,DATOS!$A4296,nCURSO,DATOS!$D4296,nESPEC,DATOS!$E4296,nASIG,DATOS!$I4296,nEVAL,"EX")=0),0))))</f>
      </c>
      <c r="H4296">
        <f>IF(DATOS!$G4296&lt;&gt;"EX",0,--(COUNTIFS(nNIA,DATOS!$A4296,nCURSO,DATOS!$D4296,nESPEC,DATOS!$E4296,nASIG,DATOS!$I4296,nEVAL,"OR")=0))</f>
      </c>
      <c r="I4296">
        <f>IF(DATOS!$I4296="","",IFERROR(VLOOKUP(DATOS!$I4296,CONFIG_ASIGNATURAS!$B$2:$J$91,9,FALSE()),""))</f>
      </c>
    </row>
    <row r="4297">
      <c r="F4297">
        <f>IF(DATOS!$A4297="","",DATOS!$A4297&amp;"|"&amp;DATOS!$D4297&amp;"|"&amp;DATOS!$E4297&amp;"|"&amp;DATOS!$I4297)</f>
      </c>
      <c r="G4297">
        <f>IF(DATOS!$A4297="",0,IF(CONFIG_METADATA!$B$4&lt;&gt;"OR+EX",--(DATOS!$G4297=CONFIG_METADATA!$B$4),IF(DATOS!$G4297="EX",1,IF(DATOS!$G4297="OR",--(COUNTIFS(nNIA,DATOS!$A4297,nCURSO,DATOS!$D4297,nESPEC,DATOS!$E4297,nASIG,DATOS!$I4297,nEVAL,"EX")=0),0))))</f>
      </c>
      <c r="H4297">
        <f>IF(DATOS!$G4297&lt;&gt;"EX",0,--(COUNTIFS(nNIA,DATOS!$A4297,nCURSO,DATOS!$D4297,nESPEC,DATOS!$E4297,nASIG,DATOS!$I4297,nEVAL,"OR")=0))</f>
      </c>
      <c r="I4297">
        <f>IF(DATOS!$I4297="","",IFERROR(VLOOKUP(DATOS!$I4297,CONFIG_ASIGNATURAS!$B$2:$J$91,9,FALSE()),""))</f>
      </c>
    </row>
    <row r="4298">
      <c r="F4298">
        <f>IF(DATOS!$A4298="","",DATOS!$A4298&amp;"|"&amp;DATOS!$D4298&amp;"|"&amp;DATOS!$E4298&amp;"|"&amp;DATOS!$I4298)</f>
      </c>
      <c r="G4298">
        <f>IF(DATOS!$A4298="",0,IF(CONFIG_METADATA!$B$4&lt;&gt;"OR+EX",--(DATOS!$G4298=CONFIG_METADATA!$B$4),IF(DATOS!$G4298="EX",1,IF(DATOS!$G4298="OR",--(COUNTIFS(nNIA,DATOS!$A4298,nCURSO,DATOS!$D4298,nESPEC,DATOS!$E4298,nASIG,DATOS!$I4298,nEVAL,"EX")=0),0))))</f>
      </c>
      <c r="H4298">
        <f>IF(DATOS!$G4298&lt;&gt;"EX",0,--(COUNTIFS(nNIA,DATOS!$A4298,nCURSO,DATOS!$D4298,nESPEC,DATOS!$E4298,nASIG,DATOS!$I4298,nEVAL,"OR")=0))</f>
      </c>
      <c r="I4298">
        <f>IF(DATOS!$I4298="","",IFERROR(VLOOKUP(DATOS!$I4298,CONFIG_ASIGNATURAS!$B$2:$J$91,9,FALSE()),""))</f>
      </c>
    </row>
    <row r="4299">
      <c r="F4299">
        <f>IF(DATOS!$A4299="","",DATOS!$A4299&amp;"|"&amp;DATOS!$D4299&amp;"|"&amp;DATOS!$E4299&amp;"|"&amp;DATOS!$I4299)</f>
      </c>
      <c r="G4299">
        <f>IF(DATOS!$A4299="",0,IF(CONFIG_METADATA!$B$4&lt;&gt;"OR+EX",--(DATOS!$G4299=CONFIG_METADATA!$B$4),IF(DATOS!$G4299="EX",1,IF(DATOS!$G4299="OR",--(COUNTIFS(nNIA,DATOS!$A4299,nCURSO,DATOS!$D4299,nESPEC,DATOS!$E4299,nASIG,DATOS!$I4299,nEVAL,"EX")=0),0))))</f>
      </c>
      <c r="H4299">
        <f>IF(DATOS!$G4299&lt;&gt;"EX",0,--(COUNTIFS(nNIA,DATOS!$A4299,nCURSO,DATOS!$D4299,nESPEC,DATOS!$E4299,nASIG,DATOS!$I4299,nEVAL,"OR")=0))</f>
      </c>
      <c r="I4299">
        <f>IF(DATOS!$I4299="","",IFERROR(VLOOKUP(DATOS!$I4299,CONFIG_ASIGNATURAS!$B$2:$J$91,9,FALSE()),""))</f>
      </c>
    </row>
    <row r="4300">
      <c r="F4300">
        <f>IF(DATOS!$A4300="","",DATOS!$A4300&amp;"|"&amp;DATOS!$D4300&amp;"|"&amp;DATOS!$E4300&amp;"|"&amp;DATOS!$I4300)</f>
      </c>
      <c r="G4300">
        <f>IF(DATOS!$A4300="",0,IF(CONFIG_METADATA!$B$4&lt;&gt;"OR+EX",--(DATOS!$G4300=CONFIG_METADATA!$B$4),IF(DATOS!$G4300="EX",1,IF(DATOS!$G4300="OR",--(COUNTIFS(nNIA,DATOS!$A4300,nCURSO,DATOS!$D4300,nESPEC,DATOS!$E4300,nASIG,DATOS!$I4300,nEVAL,"EX")=0),0))))</f>
      </c>
      <c r="H4300">
        <f>IF(DATOS!$G4300&lt;&gt;"EX",0,--(COUNTIFS(nNIA,DATOS!$A4300,nCURSO,DATOS!$D4300,nESPEC,DATOS!$E4300,nASIG,DATOS!$I4300,nEVAL,"OR")=0))</f>
      </c>
      <c r="I4300">
        <f>IF(DATOS!$I4300="","",IFERROR(VLOOKUP(DATOS!$I4300,CONFIG_ASIGNATURAS!$B$2:$J$91,9,FALSE()),""))</f>
      </c>
    </row>
    <row r="4301">
      <c r="F4301">
        <f>IF(DATOS!$A4301="","",DATOS!$A4301&amp;"|"&amp;DATOS!$D4301&amp;"|"&amp;DATOS!$E4301&amp;"|"&amp;DATOS!$I4301)</f>
      </c>
      <c r="G4301">
        <f>IF(DATOS!$A4301="",0,IF(CONFIG_METADATA!$B$4&lt;&gt;"OR+EX",--(DATOS!$G4301=CONFIG_METADATA!$B$4),IF(DATOS!$G4301="EX",1,IF(DATOS!$G4301="OR",--(COUNTIFS(nNIA,DATOS!$A4301,nCURSO,DATOS!$D4301,nESPEC,DATOS!$E4301,nASIG,DATOS!$I4301,nEVAL,"EX")=0),0))))</f>
      </c>
      <c r="H4301">
        <f>IF(DATOS!$G4301&lt;&gt;"EX",0,--(COUNTIFS(nNIA,DATOS!$A4301,nCURSO,DATOS!$D4301,nESPEC,DATOS!$E4301,nASIG,DATOS!$I4301,nEVAL,"OR")=0))</f>
      </c>
      <c r="I4301">
        <f>IF(DATOS!$I4301="","",IFERROR(VLOOKUP(DATOS!$I4301,CONFIG_ASIGNATURAS!$B$2:$J$91,9,FALSE()),""))</f>
      </c>
    </row>
    <row r="4302">
      <c r="F4302">
        <f>IF(DATOS!$A4302="","",DATOS!$A4302&amp;"|"&amp;DATOS!$D4302&amp;"|"&amp;DATOS!$E4302&amp;"|"&amp;DATOS!$I4302)</f>
      </c>
      <c r="G4302">
        <f>IF(DATOS!$A4302="",0,IF(CONFIG_METADATA!$B$4&lt;&gt;"OR+EX",--(DATOS!$G4302=CONFIG_METADATA!$B$4),IF(DATOS!$G4302="EX",1,IF(DATOS!$G4302="OR",--(COUNTIFS(nNIA,DATOS!$A4302,nCURSO,DATOS!$D4302,nESPEC,DATOS!$E4302,nASIG,DATOS!$I4302,nEVAL,"EX")=0),0))))</f>
      </c>
      <c r="H4302">
        <f>IF(DATOS!$G4302&lt;&gt;"EX",0,--(COUNTIFS(nNIA,DATOS!$A4302,nCURSO,DATOS!$D4302,nESPEC,DATOS!$E4302,nASIG,DATOS!$I4302,nEVAL,"OR")=0))</f>
      </c>
      <c r="I4302">
        <f>IF(DATOS!$I4302="","",IFERROR(VLOOKUP(DATOS!$I4302,CONFIG_ASIGNATURAS!$B$2:$J$91,9,FALSE()),""))</f>
      </c>
    </row>
    <row r="4303">
      <c r="F4303">
        <f>IF(DATOS!$A4303="","",DATOS!$A4303&amp;"|"&amp;DATOS!$D4303&amp;"|"&amp;DATOS!$E4303&amp;"|"&amp;DATOS!$I4303)</f>
      </c>
      <c r="G4303">
        <f>IF(DATOS!$A4303="",0,IF(CONFIG_METADATA!$B$4&lt;&gt;"OR+EX",--(DATOS!$G4303=CONFIG_METADATA!$B$4),IF(DATOS!$G4303="EX",1,IF(DATOS!$G4303="OR",--(COUNTIFS(nNIA,DATOS!$A4303,nCURSO,DATOS!$D4303,nESPEC,DATOS!$E4303,nASIG,DATOS!$I4303,nEVAL,"EX")=0),0))))</f>
      </c>
      <c r="H4303">
        <f>IF(DATOS!$G4303&lt;&gt;"EX",0,--(COUNTIFS(nNIA,DATOS!$A4303,nCURSO,DATOS!$D4303,nESPEC,DATOS!$E4303,nASIG,DATOS!$I4303,nEVAL,"OR")=0))</f>
      </c>
      <c r="I4303">
        <f>IF(DATOS!$I4303="","",IFERROR(VLOOKUP(DATOS!$I4303,CONFIG_ASIGNATURAS!$B$2:$J$91,9,FALSE()),""))</f>
      </c>
    </row>
    <row r="4304">
      <c r="F4304">
        <f>IF(DATOS!$A4304="","",DATOS!$A4304&amp;"|"&amp;DATOS!$D4304&amp;"|"&amp;DATOS!$E4304&amp;"|"&amp;DATOS!$I4304)</f>
      </c>
      <c r="G4304">
        <f>IF(DATOS!$A4304="",0,IF(CONFIG_METADATA!$B$4&lt;&gt;"OR+EX",--(DATOS!$G4304=CONFIG_METADATA!$B$4),IF(DATOS!$G4304="EX",1,IF(DATOS!$G4304="OR",--(COUNTIFS(nNIA,DATOS!$A4304,nCURSO,DATOS!$D4304,nESPEC,DATOS!$E4304,nASIG,DATOS!$I4304,nEVAL,"EX")=0),0))))</f>
      </c>
      <c r="H4304">
        <f>IF(DATOS!$G4304&lt;&gt;"EX",0,--(COUNTIFS(nNIA,DATOS!$A4304,nCURSO,DATOS!$D4304,nESPEC,DATOS!$E4304,nASIG,DATOS!$I4304,nEVAL,"OR")=0))</f>
      </c>
      <c r="I4304">
        <f>IF(DATOS!$I4304="","",IFERROR(VLOOKUP(DATOS!$I4304,CONFIG_ASIGNATURAS!$B$2:$J$91,9,FALSE()),""))</f>
      </c>
    </row>
    <row r="4305">
      <c r="F4305">
        <f>IF(DATOS!$A4305="","",DATOS!$A4305&amp;"|"&amp;DATOS!$D4305&amp;"|"&amp;DATOS!$E4305&amp;"|"&amp;DATOS!$I4305)</f>
      </c>
      <c r="G4305">
        <f>IF(DATOS!$A4305="",0,IF(CONFIG_METADATA!$B$4&lt;&gt;"OR+EX",--(DATOS!$G4305=CONFIG_METADATA!$B$4),IF(DATOS!$G4305="EX",1,IF(DATOS!$G4305="OR",--(COUNTIFS(nNIA,DATOS!$A4305,nCURSO,DATOS!$D4305,nESPEC,DATOS!$E4305,nASIG,DATOS!$I4305,nEVAL,"EX")=0),0))))</f>
      </c>
      <c r="H4305">
        <f>IF(DATOS!$G4305&lt;&gt;"EX",0,--(COUNTIFS(nNIA,DATOS!$A4305,nCURSO,DATOS!$D4305,nESPEC,DATOS!$E4305,nASIG,DATOS!$I4305,nEVAL,"OR")=0))</f>
      </c>
      <c r="I4305">
        <f>IF(DATOS!$I4305="","",IFERROR(VLOOKUP(DATOS!$I4305,CONFIG_ASIGNATURAS!$B$2:$J$91,9,FALSE()),""))</f>
      </c>
    </row>
    <row r="4306">
      <c r="F4306">
        <f>IF(DATOS!$A4306="","",DATOS!$A4306&amp;"|"&amp;DATOS!$D4306&amp;"|"&amp;DATOS!$E4306&amp;"|"&amp;DATOS!$I4306)</f>
      </c>
      <c r="G4306">
        <f>IF(DATOS!$A4306="",0,IF(CONFIG_METADATA!$B$4&lt;&gt;"OR+EX",--(DATOS!$G4306=CONFIG_METADATA!$B$4),IF(DATOS!$G4306="EX",1,IF(DATOS!$G4306="OR",--(COUNTIFS(nNIA,DATOS!$A4306,nCURSO,DATOS!$D4306,nESPEC,DATOS!$E4306,nASIG,DATOS!$I4306,nEVAL,"EX")=0),0))))</f>
      </c>
      <c r="H4306">
        <f>IF(DATOS!$G4306&lt;&gt;"EX",0,--(COUNTIFS(nNIA,DATOS!$A4306,nCURSO,DATOS!$D4306,nESPEC,DATOS!$E4306,nASIG,DATOS!$I4306,nEVAL,"OR")=0))</f>
      </c>
      <c r="I4306">
        <f>IF(DATOS!$I4306="","",IFERROR(VLOOKUP(DATOS!$I4306,CONFIG_ASIGNATURAS!$B$2:$J$91,9,FALSE()),""))</f>
      </c>
    </row>
    <row r="4307">
      <c r="F4307">
        <f>IF(DATOS!$A4307="","",DATOS!$A4307&amp;"|"&amp;DATOS!$D4307&amp;"|"&amp;DATOS!$E4307&amp;"|"&amp;DATOS!$I4307)</f>
      </c>
      <c r="G4307">
        <f>IF(DATOS!$A4307="",0,IF(CONFIG_METADATA!$B$4&lt;&gt;"OR+EX",--(DATOS!$G4307=CONFIG_METADATA!$B$4),IF(DATOS!$G4307="EX",1,IF(DATOS!$G4307="OR",--(COUNTIFS(nNIA,DATOS!$A4307,nCURSO,DATOS!$D4307,nESPEC,DATOS!$E4307,nASIG,DATOS!$I4307,nEVAL,"EX")=0),0))))</f>
      </c>
      <c r="H4307">
        <f>IF(DATOS!$G4307&lt;&gt;"EX",0,--(COUNTIFS(nNIA,DATOS!$A4307,nCURSO,DATOS!$D4307,nESPEC,DATOS!$E4307,nASIG,DATOS!$I4307,nEVAL,"OR")=0))</f>
      </c>
      <c r="I4307">
        <f>IF(DATOS!$I4307="","",IFERROR(VLOOKUP(DATOS!$I4307,CONFIG_ASIGNATURAS!$B$2:$J$91,9,FALSE()),""))</f>
      </c>
    </row>
    <row r="4308">
      <c r="F4308">
        <f>IF(DATOS!$A4308="","",DATOS!$A4308&amp;"|"&amp;DATOS!$D4308&amp;"|"&amp;DATOS!$E4308&amp;"|"&amp;DATOS!$I4308)</f>
      </c>
      <c r="G4308">
        <f>IF(DATOS!$A4308="",0,IF(CONFIG_METADATA!$B$4&lt;&gt;"OR+EX",--(DATOS!$G4308=CONFIG_METADATA!$B$4),IF(DATOS!$G4308="EX",1,IF(DATOS!$G4308="OR",--(COUNTIFS(nNIA,DATOS!$A4308,nCURSO,DATOS!$D4308,nESPEC,DATOS!$E4308,nASIG,DATOS!$I4308,nEVAL,"EX")=0),0))))</f>
      </c>
      <c r="H4308">
        <f>IF(DATOS!$G4308&lt;&gt;"EX",0,--(COUNTIFS(nNIA,DATOS!$A4308,nCURSO,DATOS!$D4308,nESPEC,DATOS!$E4308,nASIG,DATOS!$I4308,nEVAL,"OR")=0))</f>
      </c>
      <c r="I4308">
        <f>IF(DATOS!$I4308="","",IFERROR(VLOOKUP(DATOS!$I4308,CONFIG_ASIGNATURAS!$B$2:$J$91,9,FALSE()),""))</f>
      </c>
    </row>
    <row r="4309">
      <c r="F4309">
        <f>IF(DATOS!$A4309="","",DATOS!$A4309&amp;"|"&amp;DATOS!$D4309&amp;"|"&amp;DATOS!$E4309&amp;"|"&amp;DATOS!$I4309)</f>
      </c>
      <c r="G4309">
        <f>IF(DATOS!$A4309="",0,IF(CONFIG_METADATA!$B$4&lt;&gt;"OR+EX",--(DATOS!$G4309=CONFIG_METADATA!$B$4),IF(DATOS!$G4309="EX",1,IF(DATOS!$G4309="OR",--(COUNTIFS(nNIA,DATOS!$A4309,nCURSO,DATOS!$D4309,nESPEC,DATOS!$E4309,nASIG,DATOS!$I4309,nEVAL,"EX")=0),0))))</f>
      </c>
      <c r="H4309">
        <f>IF(DATOS!$G4309&lt;&gt;"EX",0,--(COUNTIFS(nNIA,DATOS!$A4309,nCURSO,DATOS!$D4309,nESPEC,DATOS!$E4309,nASIG,DATOS!$I4309,nEVAL,"OR")=0))</f>
      </c>
      <c r="I4309">
        <f>IF(DATOS!$I4309="","",IFERROR(VLOOKUP(DATOS!$I4309,CONFIG_ASIGNATURAS!$B$2:$J$91,9,FALSE()),""))</f>
      </c>
    </row>
    <row r="4310">
      <c r="F4310">
        <f>IF(DATOS!$A4310="","",DATOS!$A4310&amp;"|"&amp;DATOS!$D4310&amp;"|"&amp;DATOS!$E4310&amp;"|"&amp;DATOS!$I4310)</f>
      </c>
      <c r="G4310">
        <f>IF(DATOS!$A4310="",0,IF(CONFIG_METADATA!$B$4&lt;&gt;"OR+EX",--(DATOS!$G4310=CONFIG_METADATA!$B$4),IF(DATOS!$G4310="EX",1,IF(DATOS!$G4310="OR",--(COUNTIFS(nNIA,DATOS!$A4310,nCURSO,DATOS!$D4310,nESPEC,DATOS!$E4310,nASIG,DATOS!$I4310,nEVAL,"EX")=0),0))))</f>
      </c>
      <c r="H4310">
        <f>IF(DATOS!$G4310&lt;&gt;"EX",0,--(COUNTIFS(nNIA,DATOS!$A4310,nCURSO,DATOS!$D4310,nESPEC,DATOS!$E4310,nASIG,DATOS!$I4310,nEVAL,"OR")=0))</f>
      </c>
      <c r="I4310">
        <f>IF(DATOS!$I4310="","",IFERROR(VLOOKUP(DATOS!$I4310,CONFIG_ASIGNATURAS!$B$2:$J$91,9,FALSE()),""))</f>
      </c>
    </row>
    <row r="4311">
      <c r="F4311">
        <f>IF(DATOS!$A4311="","",DATOS!$A4311&amp;"|"&amp;DATOS!$D4311&amp;"|"&amp;DATOS!$E4311&amp;"|"&amp;DATOS!$I4311)</f>
      </c>
      <c r="G4311">
        <f>IF(DATOS!$A4311="",0,IF(CONFIG_METADATA!$B$4&lt;&gt;"OR+EX",--(DATOS!$G4311=CONFIG_METADATA!$B$4),IF(DATOS!$G4311="EX",1,IF(DATOS!$G4311="OR",--(COUNTIFS(nNIA,DATOS!$A4311,nCURSO,DATOS!$D4311,nESPEC,DATOS!$E4311,nASIG,DATOS!$I4311,nEVAL,"EX")=0),0))))</f>
      </c>
      <c r="H4311">
        <f>IF(DATOS!$G4311&lt;&gt;"EX",0,--(COUNTIFS(nNIA,DATOS!$A4311,nCURSO,DATOS!$D4311,nESPEC,DATOS!$E4311,nASIG,DATOS!$I4311,nEVAL,"OR")=0))</f>
      </c>
      <c r="I4311">
        <f>IF(DATOS!$I4311="","",IFERROR(VLOOKUP(DATOS!$I4311,CONFIG_ASIGNATURAS!$B$2:$J$91,9,FALSE()),""))</f>
      </c>
    </row>
    <row r="4312">
      <c r="F4312">
        <f>IF(DATOS!$A4312="","",DATOS!$A4312&amp;"|"&amp;DATOS!$D4312&amp;"|"&amp;DATOS!$E4312&amp;"|"&amp;DATOS!$I4312)</f>
      </c>
      <c r="G4312">
        <f>IF(DATOS!$A4312="",0,IF(CONFIG_METADATA!$B$4&lt;&gt;"OR+EX",--(DATOS!$G4312=CONFIG_METADATA!$B$4),IF(DATOS!$G4312="EX",1,IF(DATOS!$G4312="OR",--(COUNTIFS(nNIA,DATOS!$A4312,nCURSO,DATOS!$D4312,nESPEC,DATOS!$E4312,nASIG,DATOS!$I4312,nEVAL,"EX")=0),0))))</f>
      </c>
      <c r="H4312">
        <f>IF(DATOS!$G4312&lt;&gt;"EX",0,--(COUNTIFS(nNIA,DATOS!$A4312,nCURSO,DATOS!$D4312,nESPEC,DATOS!$E4312,nASIG,DATOS!$I4312,nEVAL,"OR")=0))</f>
      </c>
      <c r="I4312">
        <f>IF(DATOS!$I4312="","",IFERROR(VLOOKUP(DATOS!$I4312,CONFIG_ASIGNATURAS!$B$2:$J$91,9,FALSE()),""))</f>
      </c>
    </row>
    <row r="4313">
      <c r="F4313">
        <f>IF(DATOS!$A4313="","",DATOS!$A4313&amp;"|"&amp;DATOS!$D4313&amp;"|"&amp;DATOS!$E4313&amp;"|"&amp;DATOS!$I4313)</f>
      </c>
      <c r="G4313">
        <f>IF(DATOS!$A4313="",0,IF(CONFIG_METADATA!$B$4&lt;&gt;"OR+EX",--(DATOS!$G4313=CONFIG_METADATA!$B$4),IF(DATOS!$G4313="EX",1,IF(DATOS!$G4313="OR",--(COUNTIFS(nNIA,DATOS!$A4313,nCURSO,DATOS!$D4313,nESPEC,DATOS!$E4313,nASIG,DATOS!$I4313,nEVAL,"EX")=0),0))))</f>
      </c>
      <c r="H4313">
        <f>IF(DATOS!$G4313&lt;&gt;"EX",0,--(COUNTIFS(nNIA,DATOS!$A4313,nCURSO,DATOS!$D4313,nESPEC,DATOS!$E4313,nASIG,DATOS!$I4313,nEVAL,"OR")=0))</f>
      </c>
      <c r="I4313">
        <f>IF(DATOS!$I4313="","",IFERROR(VLOOKUP(DATOS!$I4313,CONFIG_ASIGNATURAS!$B$2:$J$91,9,FALSE()),""))</f>
      </c>
    </row>
    <row r="4314">
      <c r="F4314">
        <f>IF(DATOS!$A4314="","",DATOS!$A4314&amp;"|"&amp;DATOS!$D4314&amp;"|"&amp;DATOS!$E4314&amp;"|"&amp;DATOS!$I4314)</f>
      </c>
      <c r="G4314">
        <f>IF(DATOS!$A4314="",0,IF(CONFIG_METADATA!$B$4&lt;&gt;"OR+EX",--(DATOS!$G4314=CONFIG_METADATA!$B$4),IF(DATOS!$G4314="EX",1,IF(DATOS!$G4314="OR",--(COUNTIFS(nNIA,DATOS!$A4314,nCURSO,DATOS!$D4314,nESPEC,DATOS!$E4314,nASIG,DATOS!$I4314,nEVAL,"EX")=0),0))))</f>
      </c>
      <c r="H4314">
        <f>IF(DATOS!$G4314&lt;&gt;"EX",0,--(COUNTIFS(nNIA,DATOS!$A4314,nCURSO,DATOS!$D4314,nESPEC,DATOS!$E4314,nASIG,DATOS!$I4314,nEVAL,"OR")=0))</f>
      </c>
      <c r="I4314">
        <f>IF(DATOS!$I4314="","",IFERROR(VLOOKUP(DATOS!$I4314,CONFIG_ASIGNATURAS!$B$2:$J$91,9,FALSE()),""))</f>
      </c>
    </row>
    <row r="4315">
      <c r="F4315">
        <f>IF(DATOS!$A4315="","",DATOS!$A4315&amp;"|"&amp;DATOS!$D4315&amp;"|"&amp;DATOS!$E4315&amp;"|"&amp;DATOS!$I4315)</f>
      </c>
      <c r="G4315">
        <f>IF(DATOS!$A4315="",0,IF(CONFIG_METADATA!$B$4&lt;&gt;"OR+EX",--(DATOS!$G4315=CONFIG_METADATA!$B$4),IF(DATOS!$G4315="EX",1,IF(DATOS!$G4315="OR",--(COUNTIFS(nNIA,DATOS!$A4315,nCURSO,DATOS!$D4315,nESPEC,DATOS!$E4315,nASIG,DATOS!$I4315,nEVAL,"EX")=0),0))))</f>
      </c>
      <c r="H4315">
        <f>IF(DATOS!$G4315&lt;&gt;"EX",0,--(COUNTIFS(nNIA,DATOS!$A4315,nCURSO,DATOS!$D4315,nESPEC,DATOS!$E4315,nASIG,DATOS!$I4315,nEVAL,"OR")=0))</f>
      </c>
      <c r="I4315">
        <f>IF(DATOS!$I4315="","",IFERROR(VLOOKUP(DATOS!$I4315,CONFIG_ASIGNATURAS!$B$2:$J$91,9,FALSE()),""))</f>
      </c>
    </row>
    <row r="4316">
      <c r="F4316">
        <f>IF(DATOS!$A4316="","",DATOS!$A4316&amp;"|"&amp;DATOS!$D4316&amp;"|"&amp;DATOS!$E4316&amp;"|"&amp;DATOS!$I4316)</f>
      </c>
      <c r="G4316">
        <f>IF(DATOS!$A4316="",0,IF(CONFIG_METADATA!$B$4&lt;&gt;"OR+EX",--(DATOS!$G4316=CONFIG_METADATA!$B$4),IF(DATOS!$G4316="EX",1,IF(DATOS!$G4316="OR",--(COUNTIFS(nNIA,DATOS!$A4316,nCURSO,DATOS!$D4316,nESPEC,DATOS!$E4316,nASIG,DATOS!$I4316,nEVAL,"EX")=0),0))))</f>
      </c>
      <c r="H4316">
        <f>IF(DATOS!$G4316&lt;&gt;"EX",0,--(COUNTIFS(nNIA,DATOS!$A4316,nCURSO,DATOS!$D4316,nESPEC,DATOS!$E4316,nASIG,DATOS!$I4316,nEVAL,"OR")=0))</f>
      </c>
      <c r="I4316">
        <f>IF(DATOS!$I4316="","",IFERROR(VLOOKUP(DATOS!$I4316,CONFIG_ASIGNATURAS!$B$2:$J$91,9,FALSE()),""))</f>
      </c>
    </row>
    <row r="4317">
      <c r="F4317">
        <f>IF(DATOS!$A4317="","",DATOS!$A4317&amp;"|"&amp;DATOS!$D4317&amp;"|"&amp;DATOS!$E4317&amp;"|"&amp;DATOS!$I4317)</f>
      </c>
      <c r="G4317">
        <f>IF(DATOS!$A4317="",0,IF(CONFIG_METADATA!$B$4&lt;&gt;"OR+EX",--(DATOS!$G4317=CONFIG_METADATA!$B$4),IF(DATOS!$G4317="EX",1,IF(DATOS!$G4317="OR",--(COUNTIFS(nNIA,DATOS!$A4317,nCURSO,DATOS!$D4317,nESPEC,DATOS!$E4317,nASIG,DATOS!$I4317,nEVAL,"EX")=0),0))))</f>
      </c>
      <c r="H4317">
        <f>IF(DATOS!$G4317&lt;&gt;"EX",0,--(COUNTIFS(nNIA,DATOS!$A4317,nCURSO,DATOS!$D4317,nESPEC,DATOS!$E4317,nASIG,DATOS!$I4317,nEVAL,"OR")=0))</f>
      </c>
      <c r="I4317">
        <f>IF(DATOS!$I4317="","",IFERROR(VLOOKUP(DATOS!$I4317,CONFIG_ASIGNATURAS!$B$2:$J$91,9,FALSE()),""))</f>
      </c>
    </row>
    <row r="4318">
      <c r="F4318">
        <f>IF(DATOS!$A4318="","",DATOS!$A4318&amp;"|"&amp;DATOS!$D4318&amp;"|"&amp;DATOS!$E4318&amp;"|"&amp;DATOS!$I4318)</f>
      </c>
      <c r="G4318">
        <f>IF(DATOS!$A4318="",0,IF(CONFIG_METADATA!$B$4&lt;&gt;"OR+EX",--(DATOS!$G4318=CONFIG_METADATA!$B$4),IF(DATOS!$G4318="EX",1,IF(DATOS!$G4318="OR",--(COUNTIFS(nNIA,DATOS!$A4318,nCURSO,DATOS!$D4318,nESPEC,DATOS!$E4318,nASIG,DATOS!$I4318,nEVAL,"EX")=0),0))))</f>
      </c>
      <c r="H4318">
        <f>IF(DATOS!$G4318&lt;&gt;"EX",0,--(COUNTIFS(nNIA,DATOS!$A4318,nCURSO,DATOS!$D4318,nESPEC,DATOS!$E4318,nASIG,DATOS!$I4318,nEVAL,"OR")=0))</f>
      </c>
      <c r="I4318">
        <f>IF(DATOS!$I4318="","",IFERROR(VLOOKUP(DATOS!$I4318,CONFIG_ASIGNATURAS!$B$2:$J$91,9,FALSE()),""))</f>
      </c>
    </row>
    <row r="4319">
      <c r="F4319">
        <f>IF(DATOS!$A4319="","",DATOS!$A4319&amp;"|"&amp;DATOS!$D4319&amp;"|"&amp;DATOS!$E4319&amp;"|"&amp;DATOS!$I4319)</f>
      </c>
      <c r="G4319">
        <f>IF(DATOS!$A4319="",0,IF(CONFIG_METADATA!$B$4&lt;&gt;"OR+EX",--(DATOS!$G4319=CONFIG_METADATA!$B$4),IF(DATOS!$G4319="EX",1,IF(DATOS!$G4319="OR",--(COUNTIFS(nNIA,DATOS!$A4319,nCURSO,DATOS!$D4319,nESPEC,DATOS!$E4319,nASIG,DATOS!$I4319,nEVAL,"EX")=0),0))))</f>
      </c>
      <c r="H4319">
        <f>IF(DATOS!$G4319&lt;&gt;"EX",0,--(COUNTIFS(nNIA,DATOS!$A4319,nCURSO,DATOS!$D4319,nESPEC,DATOS!$E4319,nASIG,DATOS!$I4319,nEVAL,"OR")=0))</f>
      </c>
      <c r="I4319">
        <f>IF(DATOS!$I4319="","",IFERROR(VLOOKUP(DATOS!$I4319,CONFIG_ASIGNATURAS!$B$2:$J$91,9,FALSE()),""))</f>
      </c>
    </row>
    <row r="4320">
      <c r="F4320">
        <f>IF(DATOS!$A4320="","",DATOS!$A4320&amp;"|"&amp;DATOS!$D4320&amp;"|"&amp;DATOS!$E4320&amp;"|"&amp;DATOS!$I4320)</f>
      </c>
      <c r="G4320">
        <f>IF(DATOS!$A4320="",0,IF(CONFIG_METADATA!$B$4&lt;&gt;"OR+EX",--(DATOS!$G4320=CONFIG_METADATA!$B$4),IF(DATOS!$G4320="EX",1,IF(DATOS!$G4320="OR",--(COUNTIFS(nNIA,DATOS!$A4320,nCURSO,DATOS!$D4320,nESPEC,DATOS!$E4320,nASIG,DATOS!$I4320,nEVAL,"EX")=0),0))))</f>
      </c>
      <c r="H4320">
        <f>IF(DATOS!$G4320&lt;&gt;"EX",0,--(COUNTIFS(nNIA,DATOS!$A4320,nCURSO,DATOS!$D4320,nESPEC,DATOS!$E4320,nASIG,DATOS!$I4320,nEVAL,"OR")=0))</f>
      </c>
      <c r="I4320">
        <f>IF(DATOS!$I4320="","",IFERROR(VLOOKUP(DATOS!$I4320,CONFIG_ASIGNATURAS!$B$2:$J$91,9,FALSE()),""))</f>
      </c>
    </row>
    <row r="4321">
      <c r="F4321">
        <f>IF(DATOS!$A4321="","",DATOS!$A4321&amp;"|"&amp;DATOS!$D4321&amp;"|"&amp;DATOS!$E4321&amp;"|"&amp;DATOS!$I4321)</f>
      </c>
      <c r="G4321">
        <f>IF(DATOS!$A4321="",0,IF(CONFIG_METADATA!$B$4&lt;&gt;"OR+EX",--(DATOS!$G4321=CONFIG_METADATA!$B$4),IF(DATOS!$G4321="EX",1,IF(DATOS!$G4321="OR",--(COUNTIFS(nNIA,DATOS!$A4321,nCURSO,DATOS!$D4321,nESPEC,DATOS!$E4321,nASIG,DATOS!$I4321,nEVAL,"EX")=0),0))))</f>
      </c>
      <c r="H4321">
        <f>IF(DATOS!$G4321&lt;&gt;"EX",0,--(COUNTIFS(nNIA,DATOS!$A4321,nCURSO,DATOS!$D4321,nESPEC,DATOS!$E4321,nASIG,DATOS!$I4321,nEVAL,"OR")=0))</f>
      </c>
      <c r="I4321">
        <f>IF(DATOS!$I4321="","",IFERROR(VLOOKUP(DATOS!$I4321,CONFIG_ASIGNATURAS!$B$2:$J$91,9,FALSE()),""))</f>
      </c>
    </row>
    <row r="4322">
      <c r="F4322">
        <f>IF(DATOS!$A4322="","",DATOS!$A4322&amp;"|"&amp;DATOS!$D4322&amp;"|"&amp;DATOS!$E4322&amp;"|"&amp;DATOS!$I4322)</f>
      </c>
      <c r="G4322">
        <f>IF(DATOS!$A4322="",0,IF(CONFIG_METADATA!$B$4&lt;&gt;"OR+EX",--(DATOS!$G4322=CONFIG_METADATA!$B$4),IF(DATOS!$G4322="EX",1,IF(DATOS!$G4322="OR",--(COUNTIFS(nNIA,DATOS!$A4322,nCURSO,DATOS!$D4322,nESPEC,DATOS!$E4322,nASIG,DATOS!$I4322,nEVAL,"EX")=0),0))))</f>
      </c>
      <c r="H4322">
        <f>IF(DATOS!$G4322&lt;&gt;"EX",0,--(COUNTIFS(nNIA,DATOS!$A4322,nCURSO,DATOS!$D4322,nESPEC,DATOS!$E4322,nASIG,DATOS!$I4322,nEVAL,"OR")=0))</f>
      </c>
      <c r="I4322">
        <f>IF(DATOS!$I4322="","",IFERROR(VLOOKUP(DATOS!$I4322,CONFIG_ASIGNATURAS!$B$2:$J$91,9,FALSE()),""))</f>
      </c>
    </row>
    <row r="4323">
      <c r="F4323">
        <f>IF(DATOS!$A4323="","",DATOS!$A4323&amp;"|"&amp;DATOS!$D4323&amp;"|"&amp;DATOS!$E4323&amp;"|"&amp;DATOS!$I4323)</f>
      </c>
      <c r="G4323">
        <f>IF(DATOS!$A4323="",0,IF(CONFIG_METADATA!$B$4&lt;&gt;"OR+EX",--(DATOS!$G4323=CONFIG_METADATA!$B$4),IF(DATOS!$G4323="EX",1,IF(DATOS!$G4323="OR",--(COUNTIFS(nNIA,DATOS!$A4323,nCURSO,DATOS!$D4323,nESPEC,DATOS!$E4323,nASIG,DATOS!$I4323,nEVAL,"EX")=0),0))))</f>
      </c>
      <c r="H4323">
        <f>IF(DATOS!$G4323&lt;&gt;"EX",0,--(COUNTIFS(nNIA,DATOS!$A4323,nCURSO,DATOS!$D4323,nESPEC,DATOS!$E4323,nASIG,DATOS!$I4323,nEVAL,"OR")=0))</f>
      </c>
      <c r="I4323">
        <f>IF(DATOS!$I4323="","",IFERROR(VLOOKUP(DATOS!$I4323,CONFIG_ASIGNATURAS!$B$2:$J$91,9,FALSE()),""))</f>
      </c>
    </row>
    <row r="4324">
      <c r="F4324">
        <f>IF(DATOS!$A4324="","",DATOS!$A4324&amp;"|"&amp;DATOS!$D4324&amp;"|"&amp;DATOS!$E4324&amp;"|"&amp;DATOS!$I4324)</f>
      </c>
      <c r="G4324">
        <f>IF(DATOS!$A4324="",0,IF(CONFIG_METADATA!$B$4&lt;&gt;"OR+EX",--(DATOS!$G4324=CONFIG_METADATA!$B$4),IF(DATOS!$G4324="EX",1,IF(DATOS!$G4324="OR",--(COUNTIFS(nNIA,DATOS!$A4324,nCURSO,DATOS!$D4324,nESPEC,DATOS!$E4324,nASIG,DATOS!$I4324,nEVAL,"EX")=0),0))))</f>
      </c>
      <c r="H4324">
        <f>IF(DATOS!$G4324&lt;&gt;"EX",0,--(COUNTIFS(nNIA,DATOS!$A4324,nCURSO,DATOS!$D4324,nESPEC,DATOS!$E4324,nASIG,DATOS!$I4324,nEVAL,"OR")=0))</f>
      </c>
      <c r="I4324">
        <f>IF(DATOS!$I4324="","",IFERROR(VLOOKUP(DATOS!$I4324,CONFIG_ASIGNATURAS!$B$2:$J$91,9,FALSE()),""))</f>
      </c>
    </row>
    <row r="4325">
      <c r="F4325">
        <f>IF(DATOS!$A4325="","",DATOS!$A4325&amp;"|"&amp;DATOS!$D4325&amp;"|"&amp;DATOS!$E4325&amp;"|"&amp;DATOS!$I4325)</f>
      </c>
      <c r="G4325">
        <f>IF(DATOS!$A4325="",0,IF(CONFIG_METADATA!$B$4&lt;&gt;"OR+EX",--(DATOS!$G4325=CONFIG_METADATA!$B$4),IF(DATOS!$G4325="EX",1,IF(DATOS!$G4325="OR",--(COUNTIFS(nNIA,DATOS!$A4325,nCURSO,DATOS!$D4325,nESPEC,DATOS!$E4325,nASIG,DATOS!$I4325,nEVAL,"EX")=0),0))))</f>
      </c>
      <c r="H4325">
        <f>IF(DATOS!$G4325&lt;&gt;"EX",0,--(COUNTIFS(nNIA,DATOS!$A4325,nCURSO,DATOS!$D4325,nESPEC,DATOS!$E4325,nASIG,DATOS!$I4325,nEVAL,"OR")=0))</f>
      </c>
      <c r="I4325">
        <f>IF(DATOS!$I4325="","",IFERROR(VLOOKUP(DATOS!$I4325,CONFIG_ASIGNATURAS!$B$2:$J$91,9,FALSE()),""))</f>
      </c>
    </row>
    <row r="4326">
      <c r="F4326">
        <f>IF(DATOS!$A4326="","",DATOS!$A4326&amp;"|"&amp;DATOS!$D4326&amp;"|"&amp;DATOS!$E4326&amp;"|"&amp;DATOS!$I4326)</f>
      </c>
      <c r="G4326">
        <f>IF(DATOS!$A4326="",0,IF(CONFIG_METADATA!$B$4&lt;&gt;"OR+EX",--(DATOS!$G4326=CONFIG_METADATA!$B$4),IF(DATOS!$G4326="EX",1,IF(DATOS!$G4326="OR",--(COUNTIFS(nNIA,DATOS!$A4326,nCURSO,DATOS!$D4326,nESPEC,DATOS!$E4326,nASIG,DATOS!$I4326,nEVAL,"EX")=0),0))))</f>
      </c>
      <c r="H4326">
        <f>IF(DATOS!$G4326&lt;&gt;"EX",0,--(COUNTIFS(nNIA,DATOS!$A4326,nCURSO,DATOS!$D4326,nESPEC,DATOS!$E4326,nASIG,DATOS!$I4326,nEVAL,"OR")=0))</f>
      </c>
      <c r="I4326">
        <f>IF(DATOS!$I4326="","",IFERROR(VLOOKUP(DATOS!$I4326,CONFIG_ASIGNATURAS!$B$2:$J$91,9,FALSE()),""))</f>
      </c>
    </row>
    <row r="4327">
      <c r="F4327">
        <f>IF(DATOS!$A4327="","",DATOS!$A4327&amp;"|"&amp;DATOS!$D4327&amp;"|"&amp;DATOS!$E4327&amp;"|"&amp;DATOS!$I4327)</f>
      </c>
      <c r="G4327">
        <f>IF(DATOS!$A4327="",0,IF(CONFIG_METADATA!$B$4&lt;&gt;"OR+EX",--(DATOS!$G4327=CONFIG_METADATA!$B$4),IF(DATOS!$G4327="EX",1,IF(DATOS!$G4327="OR",--(COUNTIFS(nNIA,DATOS!$A4327,nCURSO,DATOS!$D4327,nESPEC,DATOS!$E4327,nASIG,DATOS!$I4327,nEVAL,"EX")=0),0))))</f>
      </c>
      <c r="H4327">
        <f>IF(DATOS!$G4327&lt;&gt;"EX",0,--(COUNTIFS(nNIA,DATOS!$A4327,nCURSO,DATOS!$D4327,nESPEC,DATOS!$E4327,nASIG,DATOS!$I4327,nEVAL,"OR")=0))</f>
      </c>
      <c r="I4327">
        <f>IF(DATOS!$I4327="","",IFERROR(VLOOKUP(DATOS!$I4327,CONFIG_ASIGNATURAS!$B$2:$J$91,9,FALSE()),""))</f>
      </c>
    </row>
    <row r="4328">
      <c r="F4328">
        <f>IF(DATOS!$A4328="","",DATOS!$A4328&amp;"|"&amp;DATOS!$D4328&amp;"|"&amp;DATOS!$E4328&amp;"|"&amp;DATOS!$I4328)</f>
      </c>
      <c r="G4328">
        <f>IF(DATOS!$A4328="",0,IF(CONFIG_METADATA!$B$4&lt;&gt;"OR+EX",--(DATOS!$G4328=CONFIG_METADATA!$B$4),IF(DATOS!$G4328="EX",1,IF(DATOS!$G4328="OR",--(COUNTIFS(nNIA,DATOS!$A4328,nCURSO,DATOS!$D4328,nESPEC,DATOS!$E4328,nASIG,DATOS!$I4328,nEVAL,"EX")=0),0))))</f>
      </c>
      <c r="H4328">
        <f>IF(DATOS!$G4328&lt;&gt;"EX",0,--(COUNTIFS(nNIA,DATOS!$A4328,nCURSO,DATOS!$D4328,nESPEC,DATOS!$E4328,nASIG,DATOS!$I4328,nEVAL,"OR")=0))</f>
      </c>
      <c r="I4328">
        <f>IF(DATOS!$I4328="","",IFERROR(VLOOKUP(DATOS!$I4328,CONFIG_ASIGNATURAS!$B$2:$J$91,9,FALSE()),""))</f>
      </c>
    </row>
    <row r="4329">
      <c r="F4329">
        <f>IF(DATOS!$A4329="","",DATOS!$A4329&amp;"|"&amp;DATOS!$D4329&amp;"|"&amp;DATOS!$E4329&amp;"|"&amp;DATOS!$I4329)</f>
      </c>
      <c r="G4329">
        <f>IF(DATOS!$A4329="",0,IF(CONFIG_METADATA!$B$4&lt;&gt;"OR+EX",--(DATOS!$G4329=CONFIG_METADATA!$B$4),IF(DATOS!$G4329="EX",1,IF(DATOS!$G4329="OR",--(COUNTIFS(nNIA,DATOS!$A4329,nCURSO,DATOS!$D4329,nESPEC,DATOS!$E4329,nASIG,DATOS!$I4329,nEVAL,"EX")=0),0))))</f>
      </c>
      <c r="H4329">
        <f>IF(DATOS!$G4329&lt;&gt;"EX",0,--(COUNTIFS(nNIA,DATOS!$A4329,nCURSO,DATOS!$D4329,nESPEC,DATOS!$E4329,nASIG,DATOS!$I4329,nEVAL,"OR")=0))</f>
      </c>
      <c r="I4329">
        <f>IF(DATOS!$I4329="","",IFERROR(VLOOKUP(DATOS!$I4329,CONFIG_ASIGNATURAS!$B$2:$J$91,9,FALSE()),""))</f>
      </c>
    </row>
    <row r="4330">
      <c r="F4330">
        <f>IF(DATOS!$A4330="","",DATOS!$A4330&amp;"|"&amp;DATOS!$D4330&amp;"|"&amp;DATOS!$E4330&amp;"|"&amp;DATOS!$I4330)</f>
      </c>
      <c r="G4330">
        <f>IF(DATOS!$A4330="",0,IF(CONFIG_METADATA!$B$4&lt;&gt;"OR+EX",--(DATOS!$G4330=CONFIG_METADATA!$B$4),IF(DATOS!$G4330="EX",1,IF(DATOS!$G4330="OR",--(COUNTIFS(nNIA,DATOS!$A4330,nCURSO,DATOS!$D4330,nESPEC,DATOS!$E4330,nASIG,DATOS!$I4330,nEVAL,"EX")=0),0))))</f>
      </c>
      <c r="H4330">
        <f>IF(DATOS!$G4330&lt;&gt;"EX",0,--(COUNTIFS(nNIA,DATOS!$A4330,nCURSO,DATOS!$D4330,nESPEC,DATOS!$E4330,nASIG,DATOS!$I4330,nEVAL,"OR")=0))</f>
      </c>
      <c r="I4330">
        <f>IF(DATOS!$I4330="","",IFERROR(VLOOKUP(DATOS!$I4330,CONFIG_ASIGNATURAS!$B$2:$J$91,9,FALSE()),""))</f>
      </c>
    </row>
    <row r="4331">
      <c r="F4331">
        <f>IF(DATOS!$A4331="","",DATOS!$A4331&amp;"|"&amp;DATOS!$D4331&amp;"|"&amp;DATOS!$E4331&amp;"|"&amp;DATOS!$I4331)</f>
      </c>
      <c r="G4331">
        <f>IF(DATOS!$A4331="",0,IF(CONFIG_METADATA!$B$4&lt;&gt;"OR+EX",--(DATOS!$G4331=CONFIG_METADATA!$B$4),IF(DATOS!$G4331="EX",1,IF(DATOS!$G4331="OR",--(COUNTIFS(nNIA,DATOS!$A4331,nCURSO,DATOS!$D4331,nESPEC,DATOS!$E4331,nASIG,DATOS!$I4331,nEVAL,"EX")=0),0))))</f>
      </c>
      <c r="H4331">
        <f>IF(DATOS!$G4331&lt;&gt;"EX",0,--(COUNTIFS(nNIA,DATOS!$A4331,nCURSO,DATOS!$D4331,nESPEC,DATOS!$E4331,nASIG,DATOS!$I4331,nEVAL,"OR")=0))</f>
      </c>
      <c r="I4331">
        <f>IF(DATOS!$I4331="","",IFERROR(VLOOKUP(DATOS!$I4331,CONFIG_ASIGNATURAS!$B$2:$J$91,9,FALSE()),""))</f>
      </c>
    </row>
    <row r="4332">
      <c r="F4332">
        <f>IF(DATOS!$A4332="","",DATOS!$A4332&amp;"|"&amp;DATOS!$D4332&amp;"|"&amp;DATOS!$E4332&amp;"|"&amp;DATOS!$I4332)</f>
      </c>
      <c r="G4332">
        <f>IF(DATOS!$A4332="",0,IF(CONFIG_METADATA!$B$4&lt;&gt;"OR+EX",--(DATOS!$G4332=CONFIG_METADATA!$B$4),IF(DATOS!$G4332="EX",1,IF(DATOS!$G4332="OR",--(COUNTIFS(nNIA,DATOS!$A4332,nCURSO,DATOS!$D4332,nESPEC,DATOS!$E4332,nASIG,DATOS!$I4332,nEVAL,"EX")=0),0))))</f>
      </c>
      <c r="H4332">
        <f>IF(DATOS!$G4332&lt;&gt;"EX",0,--(COUNTIFS(nNIA,DATOS!$A4332,nCURSO,DATOS!$D4332,nESPEC,DATOS!$E4332,nASIG,DATOS!$I4332,nEVAL,"OR")=0))</f>
      </c>
      <c r="I4332">
        <f>IF(DATOS!$I4332="","",IFERROR(VLOOKUP(DATOS!$I4332,CONFIG_ASIGNATURAS!$B$2:$J$91,9,FALSE()),""))</f>
      </c>
    </row>
    <row r="4333">
      <c r="F4333">
        <f>IF(DATOS!$A4333="","",DATOS!$A4333&amp;"|"&amp;DATOS!$D4333&amp;"|"&amp;DATOS!$E4333&amp;"|"&amp;DATOS!$I4333)</f>
      </c>
      <c r="G4333">
        <f>IF(DATOS!$A4333="",0,IF(CONFIG_METADATA!$B$4&lt;&gt;"OR+EX",--(DATOS!$G4333=CONFIG_METADATA!$B$4),IF(DATOS!$G4333="EX",1,IF(DATOS!$G4333="OR",--(COUNTIFS(nNIA,DATOS!$A4333,nCURSO,DATOS!$D4333,nESPEC,DATOS!$E4333,nASIG,DATOS!$I4333,nEVAL,"EX")=0),0))))</f>
      </c>
      <c r="H4333">
        <f>IF(DATOS!$G4333&lt;&gt;"EX",0,--(COUNTIFS(nNIA,DATOS!$A4333,nCURSO,DATOS!$D4333,nESPEC,DATOS!$E4333,nASIG,DATOS!$I4333,nEVAL,"OR")=0))</f>
      </c>
      <c r="I4333">
        <f>IF(DATOS!$I4333="","",IFERROR(VLOOKUP(DATOS!$I4333,CONFIG_ASIGNATURAS!$B$2:$J$91,9,FALSE()),""))</f>
      </c>
    </row>
    <row r="4334">
      <c r="F4334">
        <f>IF(DATOS!$A4334="","",DATOS!$A4334&amp;"|"&amp;DATOS!$D4334&amp;"|"&amp;DATOS!$E4334&amp;"|"&amp;DATOS!$I4334)</f>
      </c>
      <c r="G4334">
        <f>IF(DATOS!$A4334="",0,IF(CONFIG_METADATA!$B$4&lt;&gt;"OR+EX",--(DATOS!$G4334=CONFIG_METADATA!$B$4),IF(DATOS!$G4334="EX",1,IF(DATOS!$G4334="OR",--(COUNTIFS(nNIA,DATOS!$A4334,nCURSO,DATOS!$D4334,nESPEC,DATOS!$E4334,nASIG,DATOS!$I4334,nEVAL,"EX")=0),0))))</f>
      </c>
      <c r="H4334">
        <f>IF(DATOS!$G4334&lt;&gt;"EX",0,--(COUNTIFS(nNIA,DATOS!$A4334,nCURSO,DATOS!$D4334,nESPEC,DATOS!$E4334,nASIG,DATOS!$I4334,nEVAL,"OR")=0))</f>
      </c>
      <c r="I4334">
        <f>IF(DATOS!$I4334="","",IFERROR(VLOOKUP(DATOS!$I4334,CONFIG_ASIGNATURAS!$B$2:$J$91,9,FALSE()),""))</f>
      </c>
    </row>
    <row r="4335">
      <c r="F4335">
        <f>IF(DATOS!$A4335="","",DATOS!$A4335&amp;"|"&amp;DATOS!$D4335&amp;"|"&amp;DATOS!$E4335&amp;"|"&amp;DATOS!$I4335)</f>
      </c>
      <c r="G4335">
        <f>IF(DATOS!$A4335="",0,IF(CONFIG_METADATA!$B$4&lt;&gt;"OR+EX",--(DATOS!$G4335=CONFIG_METADATA!$B$4),IF(DATOS!$G4335="EX",1,IF(DATOS!$G4335="OR",--(COUNTIFS(nNIA,DATOS!$A4335,nCURSO,DATOS!$D4335,nESPEC,DATOS!$E4335,nASIG,DATOS!$I4335,nEVAL,"EX")=0),0))))</f>
      </c>
      <c r="H4335">
        <f>IF(DATOS!$G4335&lt;&gt;"EX",0,--(COUNTIFS(nNIA,DATOS!$A4335,nCURSO,DATOS!$D4335,nESPEC,DATOS!$E4335,nASIG,DATOS!$I4335,nEVAL,"OR")=0))</f>
      </c>
      <c r="I4335">
        <f>IF(DATOS!$I4335="","",IFERROR(VLOOKUP(DATOS!$I4335,CONFIG_ASIGNATURAS!$B$2:$J$91,9,FALSE()),""))</f>
      </c>
    </row>
    <row r="4336">
      <c r="F4336">
        <f>IF(DATOS!$A4336="","",DATOS!$A4336&amp;"|"&amp;DATOS!$D4336&amp;"|"&amp;DATOS!$E4336&amp;"|"&amp;DATOS!$I4336)</f>
      </c>
      <c r="G4336">
        <f>IF(DATOS!$A4336="",0,IF(CONFIG_METADATA!$B$4&lt;&gt;"OR+EX",--(DATOS!$G4336=CONFIG_METADATA!$B$4),IF(DATOS!$G4336="EX",1,IF(DATOS!$G4336="OR",--(COUNTIFS(nNIA,DATOS!$A4336,nCURSO,DATOS!$D4336,nESPEC,DATOS!$E4336,nASIG,DATOS!$I4336,nEVAL,"EX")=0),0))))</f>
      </c>
      <c r="H4336">
        <f>IF(DATOS!$G4336&lt;&gt;"EX",0,--(COUNTIFS(nNIA,DATOS!$A4336,nCURSO,DATOS!$D4336,nESPEC,DATOS!$E4336,nASIG,DATOS!$I4336,nEVAL,"OR")=0))</f>
      </c>
      <c r="I4336">
        <f>IF(DATOS!$I4336="","",IFERROR(VLOOKUP(DATOS!$I4336,CONFIG_ASIGNATURAS!$B$2:$J$91,9,FALSE()),""))</f>
      </c>
    </row>
    <row r="4337">
      <c r="F4337">
        <f>IF(DATOS!$A4337="","",DATOS!$A4337&amp;"|"&amp;DATOS!$D4337&amp;"|"&amp;DATOS!$E4337&amp;"|"&amp;DATOS!$I4337)</f>
      </c>
      <c r="G4337">
        <f>IF(DATOS!$A4337="",0,IF(CONFIG_METADATA!$B$4&lt;&gt;"OR+EX",--(DATOS!$G4337=CONFIG_METADATA!$B$4),IF(DATOS!$G4337="EX",1,IF(DATOS!$G4337="OR",--(COUNTIFS(nNIA,DATOS!$A4337,nCURSO,DATOS!$D4337,nESPEC,DATOS!$E4337,nASIG,DATOS!$I4337,nEVAL,"EX")=0),0))))</f>
      </c>
      <c r="H4337">
        <f>IF(DATOS!$G4337&lt;&gt;"EX",0,--(COUNTIFS(nNIA,DATOS!$A4337,nCURSO,DATOS!$D4337,nESPEC,DATOS!$E4337,nASIG,DATOS!$I4337,nEVAL,"OR")=0))</f>
      </c>
      <c r="I4337">
        <f>IF(DATOS!$I4337="","",IFERROR(VLOOKUP(DATOS!$I4337,CONFIG_ASIGNATURAS!$B$2:$J$91,9,FALSE()),""))</f>
      </c>
    </row>
    <row r="4338">
      <c r="F4338">
        <f>IF(DATOS!$A4338="","",DATOS!$A4338&amp;"|"&amp;DATOS!$D4338&amp;"|"&amp;DATOS!$E4338&amp;"|"&amp;DATOS!$I4338)</f>
      </c>
      <c r="G4338">
        <f>IF(DATOS!$A4338="",0,IF(CONFIG_METADATA!$B$4&lt;&gt;"OR+EX",--(DATOS!$G4338=CONFIG_METADATA!$B$4),IF(DATOS!$G4338="EX",1,IF(DATOS!$G4338="OR",--(COUNTIFS(nNIA,DATOS!$A4338,nCURSO,DATOS!$D4338,nESPEC,DATOS!$E4338,nASIG,DATOS!$I4338,nEVAL,"EX")=0),0))))</f>
      </c>
      <c r="H4338">
        <f>IF(DATOS!$G4338&lt;&gt;"EX",0,--(COUNTIFS(nNIA,DATOS!$A4338,nCURSO,DATOS!$D4338,nESPEC,DATOS!$E4338,nASIG,DATOS!$I4338,nEVAL,"OR")=0))</f>
      </c>
      <c r="I4338">
        <f>IF(DATOS!$I4338="","",IFERROR(VLOOKUP(DATOS!$I4338,CONFIG_ASIGNATURAS!$B$2:$J$91,9,FALSE()),""))</f>
      </c>
    </row>
    <row r="4339">
      <c r="F4339">
        <f>IF(DATOS!$A4339="","",DATOS!$A4339&amp;"|"&amp;DATOS!$D4339&amp;"|"&amp;DATOS!$E4339&amp;"|"&amp;DATOS!$I4339)</f>
      </c>
      <c r="G4339">
        <f>IF(DATOS!$A4339="",0,IF(CONFIG_METADATA!$B$4&lt;&gt;"OR+EX",--(DATOS!$G4339=CONFIG_METADATA!$B$4),IF(DATOS!$G4339="EX",1,IF(DATOS!$G4339="OR",--(COUNTIFS(nNIA,DATOS!$A4339,nCURSO,DATOS!$D4339,nESPEC,DATOS!$E4339,nASIG,DATOS!$I4339,nEVAL,"EX")=0),0))))</f>
      </c>
      <c r="H4339">
        <f>IF(DATOS!$G4339&lt;&gt;"EX",0,--(COUNTIFS(nNIA,DATOS!$A4339,nCURSO,DATOS!$D4339,nESPEC,DATOS!$E4339,nASIG,DATOS!$I4339,nEVAL,"OR")=0))</f>
      </c>
      <c r="I4339">
        <f>IF(DATOS!$I4339="","",IFERROR(VLOOKUP(DATOS!$I4339,CONFIG_ASIGNATURAS!$B$2:$J$91,9,FALSE()),""))</f>
      </c>
    </row>
    <row r="4340">
      <c r="F4340">
        <f>IF(DATOS!$A4340="","",DATOS!$A4340&amp;"|"&amp;DATOS!$D4340&amp;"|"&amp;DATOS!$E4340&amp;"|"&amp;DATOS!$I4340)</f>
      </c>
      <c r="G4340">
        <f>IF(DATOS!$A4340="",0,IF(CONFIG_METADATA!$B$4&lt;&gt;"OR+EX",--(DATOS!$G4340=CONFIG_METADATA!$B$4),IF(DATOS!$G4340="EX",1,IF(DATOS!$G4340="OR",--(COUNTIFS(nNIA,DATOS!$A4340,nCURSO,DATOS!$D4340,nESPEC,DATOS!$E4340,nASIG,DATOS!$I4340,nEVAL,"EX")=0),0))))</f>
      </c>
      <c r="H4340">
        <f>IF(DATOS!$G4340&lt;&gt;"EX",0,--(COUNTIFS(nNIA,DATOS!$A4340,nCURSO,DATOS!$D4340,nESPEC,DATOS!$E4340,nASIG,DATOS!$I4340,nEVAL,"OR")=0))</f>
      </c>
      <c r="I4340">
        <f>IF(DATOS!$I4340="","",IFERROR(VLOOKUP(DATOS!$I4340,CONFIG_ASIGNATURAS!$B$2:$J$91,9,FALSE()),""))</f>
      </c>
    </row>
    <row r="4341">
      <c r="F4341">
        <f>IF(DATOS!$A4341="","",DATOS!$A4341&amp;"|"&amp;DATOS!$D4341&amp;"|"&amp;DATOS!$E4341&amp;"|"&amp;DATOS!$I4341)</f>
      </c>
      <c r="G4341">
        <f>IF(DATOS!$A4341="",0,IF(CONFIG_METADATA!$B$4&lt;&gt;"OR+EX",--(DATOS!$G4341=CONFIG_METADATA!$B$4),IF(DATOS!$G4341="EX",1,IF(DATOS!$G4341="OR",--(COUNTIFS(nNIA,DATOS!$A4341,nCURSO,DATOS!$D4341,nESPEC,DATOS!$E4341,nASIG,DATOS!$I4341,nEVAL,"EX")=0),0))))</f>
      </c>
      <c r="H4341">
        <f>IF(DATOS!$G4341&lt;&gt;"EX",0,--(COUNTIFS(nNIA,DATOS!$A4341,nCURSO,DATOS!$D4341,nESPEC,DATOS!$E4341,nASIG,DATOS!$I4341,nEVAL,"OR")=0))</f>
      </c>
      <c r="I4341">
        <f>IF(DATOS!$I4341="","",IFERROR(VLOOKUP(DATOS!$I4341,CONFIG_ASIGNATURAS!$B$2:$J$91,9,FALSE()),""))</f>
      </c>
    </row>
    <row r="4342">
      <c r="F4342">
        <f>IF(DATOS!$A4342="","",DATOS!$A4342&amp;"|"&amp;DATOS!$D4342&amp;"|"&amp;DATOS!$E4342&amp;"|"&amp;DATOS!$I4342)</f>
      </c>
      <c r="G4342">
        <f>IF(DATOS!$A4342="",0,IF(CONFIG_METADATA!$B$4&lt;&gt;"OR+EX",--(DATOS!$G4342=CONFIG_METADATA!$B$4),IF(DATOS!$G4342="EX",1,IF(DATOS!$G4342="OR",--(COUNTIFS(nNIA,DATOS!$A4342,nCURSO,DATOS!$D4342,nESPEC,DATOS!$E4342,nASIG,DATOS!$I4342,nEVAL,"EX")=0),0))))</f>
      </c>
      <c r="H4342">
        <f>IF(DATOS!$G4342&lt;&gt;"EX",0,--(COUNTIFS(nNIA,DATOS!$A4342,nCURSO,DATOS!$D4342,nESPEC,DATOS!$E4342,nASIG,DATOS!$I4342,nEVAL,"OR")=0))</f>
      </c>
      <c r="I4342">
        <f>IF(DATOS!$I4342="","",IFERROR(VLOOKUP(DATOS!$I4342,CONFIG_ASIGNATURAS!$B$2:$J$91,9,FALSE()),""))</f>
      </c>
    </row>
    <row r="4343">
      <c r="F4343">
        <f>IF(DATOS!$A4343="","",DATOS!$A4343&amp;"|"&amp;DATOS!$D4343&amp;"|"&amp;DATOS!$E4343&amp;"|"&amp;DATOS!$I4343)</f>
      </c>
      <c r="G4343">
        <f>IF(DATOS!$A4343="",0,IF(CONFIG_METADATA!$B$4&lt;&gt;"OR+EX",--(DATOS!$G4343=CONFIG_METADATA!$B$4),IF(DATOS!$G4343="EX",1,IF(DATOS!$G4343="OR",--(COUNTIFS(nNIA,DATOS!$A4343,nCURSO,DATOS!$D4343,nESPEC,DATOS!$E4343,nASIG,DATOS!$I4343,nEVAL,"EX")=0),0))))</f>
      </c>
      <c r="H4343">
        <f>IF(DATOS!$G4343&lt;&gt;"EX",0,--(COUNTIFS(nNIA,DATOS!$A4343,nCURSO,DATOS!$D4343,nESPEC,DATOS!$E4343,nASIG,DATOS!$I4343,nEVAL,"OR")=0))</f>
      </c>
      <c r="I4343">
        <f>IF(DATOS!$I4343="","",IFERROR(VLOOKUP(DATOS!$I4343,CONFIG_ASIGNATURAS!$B$2:$J$91,9,FALSE()),""))</f>
      </c>
    </row>
    <row r="4344">
      <c r="F4344">
        <f>IF(DATOS!$A4344="","",DATOS!$A4344&amp;"|"&amp;DATOS!$D4344&amp;"|"&amp;DATOS!$E4344&amp;"|"&amp;DATOS!$I4344)</f>
      </c>
      <c r="G4344">
        <f>IF(DATOS!$A4344="",0,IF(CONFIG_METADATA!$B$4&lt;&gt;"OR+EX",--(DATOS!$G4344=CONFIG_METADATA!$B$4),IF(DATOS!$G4344="EX",1,IF(DATOS!$G4344="OR",--(COUNTIFS(nNIA,DATOS!$A4344,nCURSO,DATOS!$D4344,nESPEC,DATOS!$E4344,nASIG,DATOS!$I4344,nEVAL,"EX")=0),0))))</f>
      </c>
      <c r="H4344">
        <f>IF(DATOS!$G4344&lt;&gt;"EX",0,--(COUNTIFS(nNIA,DATOS!$A4344,nCURSO,DATOS!$D4344,nESPEC,DATOS!$E4344,nASIG,DATOS!$I4344,nEVAL,"OR")=0))</f>
      </c>
      <c r="I4344">
        <f>IF(DATOS!$I4344="","",IFERROR(VLOOKUP(DATOS!$I4344,CONFIG_ASIGNATURAS!$B$2:$J$91,9,FALSE()),""))</f>
      </c>
    </row>
    <row r="4345">
      <c r="F4345">
        <f>IF(DATOS!$A4345="","",DATOS!$A4345&amp;"|"&amp;DATOS!$D4345&amp;"|"&amp;DATOS!$E4345&amp;"|"&amp;DATOS!$I4345)</f>
      </c>
      <c r="G4345">
        <f>IF(DATOS!$A4345="",0,IF(CONFIG_METADATA!$B$4&lt;&gt;"OR+EX",--(DATOS!$G4345=CONFIG_METADATA!$B$4),IF(DATOS!$G4345="EX",1,IF(DATOS!$G4345="OR",--(COUNTIFS(nNIA,DATOS!$A4345,nCURSO,DATOS!$D4345,nESPEC,DATOS!$E4345,nASIG,DATOS!$I4345,nEVAL,"EX")=0),0))))</f>
      </c>
      <c r="H4345">
        <f>IF(DATOS!$G4345&lt;&gt;"EX",0,--(COUNTIFS(nNIA,DATOS!$A4345,nCURSO,DATOS!$D4345,nESPEC,DATOS!$E4345,nASIG,DATOS!$I4345,nEVAL,"OR")=0))</f>
      </c>
      <c r="I4345">
        <f>IF(DATOS!$I4345="","",IFERROR(VLOOKUP(DATOS!$I4345,CONFIG_ASIGNATURAS!$B$2:$J$91,9,FALSE()),""))</f>
      </c>
    </row>
    <row r="4346">
      <c r="F4346">
        <f>IF(DATOS!$A4346="","",DATOS!$A4346&amp;"|"&amp;DATOS!$D4346&amp;"|"&amp;DATOS!$E4346&amp;"|"&amp;DATOS!$I4346)</f>
      </c>
      <c r="G4346">
        <f>IF(DATOS!$A4346="",0,IF(CONFIG_METADATA!$B$4&lt;&gt;"OR+EX",--(DATOS!$G4346=CONFIG_METADATA!$B$4),IF(DATOS!$G4346="EX",1,IF(DATOS!$G4346="OR",--(COUNTIFS(nNIA,DATOS!$A4346,nCURSO,DATOS!$D4346,nESPEC,DATOS!$E4346,nASIG,DATOS!$I4346,nEVAL,"EX")=0),0))))</f>
      </c>
      <c r="H4346">
        <f>IF(DATOS!$G4346&lt;&gt;"EX",0,--(COUNTIFS(nNIA,DATOS!$A4346,nCURSO,DATOS!$D4346,nESPEC,DATOS!$E4346,nASIG,DATOS!$I4346,nEVAL,"OR")=0))</f>
      </c>
      <c r="I4346">
        <f>IF(DATOS!$I4346="","",IFERROR(VLOOKUP(DATOS!$I4346,CONFIG_ASIGNATURAS!$B$2:$J$91,9,FALSE()),""))</f>
      </c>
    </row>
    <row r="4347">
      <c r="F4347">
        <f>IF(DATOS!$A4347="","",DATOS!$A4347&amp;"|"&amp;DATOS!$D4347&amp;"|"&amp;DATOS!$E4347&amp;"|"&amp;DATOS!$I4347)</f>
      </c>
      <c r="G4347">
        <f>IF(DATOS!$A4347="",0,IF(CONFIG_METADATA!$B$4&lt;&gt;"OR+EX",--(DATOS!$G4347=CONFIG_METADATA!$B$4),IF(DATOS!$G4347="EX",1,IF(DATOS!$G4347="OR",--(COUNTIFS(nNIA,DATOS!$A4347,nCURSO,DATOS!$D4347,nESPEC,DATOS!$E4347,nASIG,DATOS!$I4347,nEVAL,"EX")=0),0))))</f>
      </c>
      <c r="H4347">
        <f>IF(DATOS!$G4347&lt;&gt;"EX",0,--(COUNTIFS(nNIA,DATOS!$A4347,nCURSO,DATOS!$D4347,nESPEC,DATOS!$E4347,nASIG,DATOS!$I4347,nEVAL,"OR")=0))</f>
      </c>
      <c r="I4347">
        <f>IF(DATOS!$I4347="","",IFERROR(VLOOKUP(DATOS!$I4347,CONFIG_ASIGNATURAS!$B$2:$J$91,9,FALSE()),""))</f>
      </c>
    </row>
    <row r="4348">
      <c r="F4348">
        <f>IF(DATOS!$A4348="","",DATOS!$A4348&amp;"|"&amp;DATOS!$D4348&amp;"|"&amp;DATOS!$E4348&amp;"|"&amp;DATOS!$I4348)</f>
      </c>
      <c r="G4348">
        <f>IF(DATOS!$A4348="",0,IF(CONFIG_METADATA!$B$4&lt;&gt;"OR+EX",--(DATOS!$G4348=CONFIG_METADATA!$B$4),IF(DATOS!$G4348="EX",1,IF(DATOS!$G4348="OR",--(COUNTIFS(nNIA,DATOS!$A4348,nCURSO,DATOS!$D4348,nESPEC,DATOS!$E4348,nASIG,DATOS!$I4348,nEVAL,"EX")=0),0))))</f>
      </c>
      <c r="H4348">
        <f>IF(DATOS!$G4348&lt;&gt;"EX",0,--(COUNTIFS(nNIA,DATOS!$A4348,nCURSO,DATOS!$D4348,nESPEC,DATOS!$E4348,nASIG,DATOS!$I4348,nEVAL,"OR")=0))</f>
      </c>
      <c r="I4348">
        <f>IF(DATOS!$I4348="","",IFERROR(VLOOKUP(DATOS!$I4348,CONFIG_ASIGNATURAS!$B$2:$J$91,9,FALSE()),""))</f>
      </c>
    </row>
    <row r="4349">
      <c r="F4349">
        <f>IF(DATOS!$A4349="","",DATOS!$A4349&amp;"|"&amp;DATOS!$D4349&amp;"|"&amp;DATOS!$E4349&amp;"|"&amp;DATOS!$I4349)</f>
      </c>
      <c r="G4349">
        <f>IF(DATOS!$A4349="",0,IF(CONFIG_METADATA!$B$4&lt;&gt;"OR+EX",--(DATOS!$G4349=CONFIG_METADATA!$B$4),IF(DATOS!$G4349="EX",1,IF(DATOS!$G4349="OR",--(COUNTIFS(nNIA,DATOS!$A4349,nCURSO,DATOS!$D4349,nESPEC,DATOS!$E4349,nASIG,DATOS!$I4349,nEVAL,"EX")=0),0))))</f>
      </c>
      <c r="H4349">
        <f>IF(DATOS!$G4349&lt;&gt;"EX",0,--(COUNTIFS(nNIA,DATOS!$A4349,nCURSO,DATOS!$D4349,nESPEC,DATOS!$E4349,nASIG,DATOS!$I4349,nEVAL,"OR")=0))</f>
      </c>
      <c r="I4349">
        <f>IF(DATOS!$I4349="","",IFERROR(VLOOKUP(DATOS!$I4349,CONFIG_ASIGNATURAS!$B$2:$J$91,9,FALSE()),""))</f>
      </c>
    </row>
    <row r="4350">
      <c r="F4350">
        <f>IF(DATOS!$A4350="","",DATOS!$A4350&amp;"|"&amp;DATOS!$D4350&amp;"|"&amp;DATOS!$E4350&amp;"|"&amp;DATOS!$I4350)</f>
      </c>
      <c r="G4350">
        <f>IF(DATOS!$A4350="",0,IF(CONFIG_METADATA!$B$4&lt;&gt;"OR+EX",--(DATOS!$G4350=CONFIG_METADATA!$B$4),IF(DATOS!$G4350="EX",1,IF(DATOS!$G4350="OR",--(COUNTIFS(nNIA,DATOS!$A4350,nCURSO,DATOS!$D4350,nESPEC,DATOS!$E4350,nASIG,DATOS!$I4350,nEVAL,"EX")=0),0))))</f>
      </c>
      <c r="H4350">
        <f>IF(DATOS!$G4350&lt;&gt;"EX",0,--(COUNTIFS(nNIA,DATOS!$A4350,nCURSO,DATOS!$D4350,nESPEC,DATOS!$E4350,nASIG,DATOS!$I4350,nEVAL,"OR")=0))</f>
      </c>
      <c r="I4350">
        <f>IF(DATOS!$I4350="","",IFERROR(VLOOKUP(DATOS!$I4350,CONFIG_ASIGNATURAS!$B$2:$J$91,9,FALSE()),""))</f>
      </c>
    </row>
    <row r="4351">
      <c r="F4351">
        <f>IF(DATOS!$A4351="","",DATOS!$A4351&amp;"|"&amp;DATOS!$D4351&amp;"|"&amp;DATOS!$E4351&amp;"|"&amp;DATOS!$I4351)</f>
      </c>
      <c r="G4351">
        <f>IF(DATOS!$A4351="",0,IF(CONFIG_METADATA!$B$4&lt;&gt;"OR+EX",--(DATOS!$G4351=CONFIG_METADATA!$B$4),IF(DATOS!$G4351="EX",1,IF(DATOS!$G4351="OR",--(COUNTIFS(nNIA,DATOS!$A4351,nCURSO,DATOS!$D4351,nESPEC,DATOS!$E4351,nASIG,DATOS!$I4351,nEVAL,"EX")=0),0))))</f>
      </c>
      <c r="H4351">
        <f>IF(DATOS!$G4351&lt;&gt;"EX",0,--(COUNTIFS(nNIA,DATOS!$A4351,nCURSO,DATOS!$D4351,nESPEC,DATOS!$E4351,nASIG,DATOS!$I4351,nEVAL,"OR")=0))</f>
      </c>
      <c r="I4351">
        <f>IF(DATOS!$I4351="","",IFERROR(VLOOKUP(DATOS!$I4351,CONFIG_ASIGNATURAS!$B$2:$J$91,9,FALSE()),""))</f>
      </c>
    </row>
    <row r="4352">
      <c r="F4352">
        <f>IF(DATOS!$A4352="","",DATOS!$A4352&amp;"|"&amp;DATOS!$D4352&amp;"|"&amp;DATOS!$E4352&amp;"|"&amp;DATOS!$I4352)</f>
      </c>
      <c r="G4352">
        <f>IF(DATOS!$A4352="",0,IF(CONFIG_METADATA!$B$4&lt;&gt;"OR+EX",--(DATOS!$G4352=CONFIG_METADATA!$B$4),IF(DATOS!$G4352="EX",1,IF(DATOS!$G4352="OR",--(COUNTIFS(nNIA,DATOS!$A4352,nCURSO,DATOS!$D4352,nESPEC,DATOS!$E4352,nASIG,DATOS!$I4352,nEVAL,"EX")=0),0))))</f>
      </c>
      <c r="H4352">
        <f>IF(DATOS!$G4352&lt;&gt;"EX",0,--(COUNTIFS(nNIA,DATOS!$A4352,nCURSO,DATOS!$D4352,nESPEC,DATOS!$E4352,nASIG,DATOS!$I4352,nEVAL,"OR")=0))</f>
      </c>
      <c r="I4352">
        <f>IF(DATOS!$I4352="","",IFERROR(VLOOKUP(DATOS!$I4352,CONFIG_ASIGNATURAS!$B$2:$J$91,9,FALSE()),""))</f>
      </c>
    </row>
    <row r="4353">
      <c r="F4353">
        <f>IF(DATOS!$A4353="","",DATOS!$A4353&amp;"|"&amp;DATOS!$D4353&amp;"|"&amp;DATOS!$E4353&amp;"|"&amp;DATOS!$I4353)</f>
      </c>
      <c r="G4353">
        <f>IF(DATOS!$A4353="",0,IF(CONFIG_METADATA!$B$4&lt;&gt;"OR+EX",--(DATOS!$G4353=CONFIG_METADATA!$B$4),IF(DATOS!$G4353="EX",1,IF(DATOS!$G4353="OR",--(COUNTIFS(nNIA,DATOS!$A4353,nCURSO,DATOS!$D4353,nESPEC,DATOS!$E4353,nASIG,DATOS!$I4353,nEVAL,"EX")=0),0))))</f>
      </c>
      <c r="H4353">
        <f>IF(DATOS!$G4353&lt;&gt;"EX",0,--(COUNTIFS(nNIA,DATOS!$A4353,nCURSO,DATOS!$D4353,nESPEC,DATOS!$E4353,nASIG,DATOS!$I4353,nEVAL,"OR")=0))</f>
      </c>
      <c r="I4353">
        <f>IF(DATOS!$I4353="","",IFERROR(VLOOKUP(DATOS!$I4353,CONFIG_ASIGNATURAS!$B$2:$J$91,9,FALSE()),""))</f>
      </c>
    </row>
    <row r="4354">
      <c r="F4354">
        <f>IF(DATOS!$A4354="","",DATOS!$A4354&amp;"|"&amp;DATOS!$D4354&amp;"|"&amp;DATOS!$E4354&amp;"|"&amp;DATOS!$I4354)</f>
      </c>
      <c r="G4354">
        <f>IF(DATOS!$A4354="",0,IF(CONFIG_METADATA!$B$4&lt;&gt;"OR+EX",--(DATOS!$G4354=CONFIG_METADATA!$B$4),IF(DATOS!$G4354="EX",1,IF(DATOS!$G4354="OR",--(COUNTIFS(nNIA,DATOS!$A4354,nCURSO,DATOS!$D4354,nESPEC,DATOS!$E4354,nASIG,DATOS!$I4354,nEVAL,"EX")=0),0))))</f>
      </c>
      <c r="H4354">
        <f>IF(DATOS!$G4354&lt;&gt;"EX",0,--(COUNTIFS(nNIA,DATOS!$A4354,nCURSO,DATOS!$D4354,nESPEC,DATOS!$E4354,nASIG,DATOS!$I4354,nEVAL,"OR")=0))</f>
      </c>
      <c r="I4354">
        <f>IF(DATOS!$I4354="","",IFERROR(VLOOKUP(DATOS!$I4354,CONFIG_ASIGNATURAS!$B$2:$J$91,9,FALSE()),""))</f>
      </c>
    </row>
    <row r="4355">
      <c r="F4355">
        <f>IF(DATOS!$A4355="","",DATOS!$A4355&amp;"|"&amp;DATOS!$D4355&amp;"|"&amp;DATOS!$E4355&amp;"|"&amp;DATOS!$I4355)</f>
      </c>
      <c r="G4355">
        <f>IF(DATOS!$A4355="",0,IF(CONFIG_METADATA!$B$4&lt;&gt;"OR+EX",--(DATOS!$G4355=CONFIG_METADATA!$B$4),IF(DATOS!$G4355="EX",1,IF(DATOS!$G4355="OR",--(COUNTIFS(nNIA,DATOS!$A4355,nCURSO,DATOS!$D4355,nESPEC,DATOS!$E4355,nASIG,DATOS!$I4355,nEVAL,"EX")=0),0))))</f>
      </c>
      <c r="H4355">
        <f>IF(DATOS!$G4355&lt;&gt;"EX",0,--(COUNTIFS(nNIA,DATOS!$A4355,nCURSO,DATOS!$D4355,nESPEC,DATOS!$E4355,nASIG,DATOS!$I4355,nEVAL,"OR")=0))</f>
      </c>
      <c r="I4355">
        <f>IF(DATOS!$I4355="","",IFERROR(VLOOKUP(DATOS!$I4355,CONFIG_ASIGNATURAS!$B$2:$J$91,9,FALSE()),""))</f>
      </c>
    </row>
    <row r="4356">
      <c r="F4356">
        <f>IF(DATOS!$A4356="","",DATOS!$A4356&amp;"|"&amp;DATOS!$D4356&amp;"|"&amp;DATOS!$E4356&amp;"|"&amp;DATOS!$I4356)</f>
      </c>
      <c r="G4356">
        <f>IF(DATOS!$A4356="",0,IF(CONFIG_METADATA!$B$4&lt;&gt;"OR+EX",--(DATOS!$G4356=CONFIG_METADATA!$B$4),IF(DATOS!$G4356="EX",1,IF(DATOS!$G4356="OR",--(COUNTIFS(nNIA,DATOS!$A4356,nCURSO,DATOS!$D4356,nESPEC,DATOS!$E4356,nASIG,DATOS!$I4356,nEVAL,"EX")=0),0))))</f>
      </c>
      <c r="H4356">
        <f>IF(DATOS!$G4356&lt;&gt;"EX",0,--(COUNTIFS(nNIA,DATOS!$A4356,nCURSO,DATOS!$D4356,nESPEC,DATOS!$E4356,nASIG,DATOS!$I4356,nEVAL,"OR")=0))</f>
      </c>
      <c r="I4356">
        <f>IF(DATOS!$I4356="","",IFERROR(VLOOKUP(DATOS!$I4356,CONFIG_ASIGNATURAS!$B$2:$J$91,9,FALSE()),""))</f>
      </c>
    </row>
    <row r="4357">
      <c r="F4357">
        <f>IF(DATOS!$A4357="","",DATOS!$A4357&amp;"|"&amp;DATOS!$D4357&amp;"|"&amp;DATOS!$E4357&amp;"|"&amp;DATOS!$I4357)</f>
      </c>
      <c r="G4357">
        <f>IF(DATOS!$A4357="",0,IF(CONFIG_METADATA!$B$4&lt;&gt;"OR+EX",--(DATOS!$G4357=CONFIG_METADATA!$B$4),IF(DATOS!$G4357="EX",1,IF(DATOS!$G4357="OR",--(COUNTIFS(nNIA,DATOS!$A4357,nCURSO,DATOS!$D4357,nESPEC,DATOS!$E4357,nASIG,DATOS!$I4357,nEVAL,"EX")=0),0))))</f>
      </c>
      <c r="H4357">
        <f>IF(DATOS!$G4357&lt;&gt;"EX",0,--(COUNTIFS(nNIA,DATOS!$A4357,nCURSO,DATOS!$D4357,nESPEC,DATOS!$E4357,nASIG,DATOS!$I4357,nEVAL,"OR")=0))</f>
      </c>
      <c r="I4357">
        <f>IF(DATOS!$I4357="","",IFERROR(VLOOKUP(DATOS!$I4357,CONFIG_ASIGNATURAS!$B$2:$J$91,9,FALSE()),""))</f>
      </c>
    </row>
    <row r="4358">
      <c r="F4358">
        <f>IF(DATOS!$A4358="","",DATOS!$A4358&amp;"|"&amp;DATOS!$D4358&amp;"|"&amp;DATOS!$E4358&amp;"|"&amp;DATOS!$I4358)</f>
      </c>
      <c r="G4358">
        <f>IF(DATOS!$A4358="",0,IF(CONFIG_METADATA!$B$4&lt;&gt;"OR+EX",--(DATOS!$G4358=CONFIG_METADATA!$B$4),IF(DATOS!$G4358="EX",1,IF(DATOS!$G4358="OR",--(COUNTIFS(nNIA,DATOS!$A4358,nCURSO,DATOS!$D4358,nESPEC,DATOS!$E4358,nASIG,DATOS!$I4358,nEVAL,"EX")=0),0))))</f>
      </c>
      <c r="H4358">
        <f>IF(DATOS!$G4358&lt;&gt;"EX",0,--(COUNTIFS(nNIA,DATOS!$A4358,nCURSO,DATOS!$D4358,nESPEC,DATOS!$E4358,nASIG,DATOS!$I4358,nEVAL,"OR")=0))</f>
      </c>
      <c r="I4358">
        <f>IF(DATOS!$I4358="","",IFERROR(VLOOKUP(DATOS!$I4358,CONFIG_ASIGNATURAS!$B$2:$J$91,9,FALSE()),""))</f>
      </c>
    </row>
    <row r="4359">
      <c r="F4359">
        <f>IF(DATOS!$A4359="","",DATOS!$A4359&amp;"|"&amp;DATOS!$D4359&amp;"|"&amp;DATOS!$E4359&amp;"|"&amp;DATOS!$I4359)</f>
      </c>
      <c r="G4359">
        <f>IF(DATOS!$A4359="",0,IF(CONFIG_METADATA!$B$4&lt;&gt;"OR+EX",--(DATOS!$G4359=CONFIG_METADATA!$B$4),IF(DATOS!$G4359="EX",1,IF(DATOS!$G4359="OR",--(COUNTIFS(nNIA,DATOS!$A4359,nCURSO,DATOS!$D4359,nESPEC,DATOS!$E4359,nASIG,DATOS!$I4359,nEVAL,"EX")=0),0))))</f>
      </c>
      <c r="H4359">
        <f>IF(DATOS!$G4359&lt;&gt;"EX",0,--(COUNTIFS(nNIA,DATOS!$A4359,nCURSO,DATOS!$D4359,nESPEC,DATOS!$E4359,nASIG,DATOS!$I4359,nEVAL,"OR")=0))</f>
      </c>
      <c r="I4359">
        <f>IF(DATOS!$I4359="","",IFERROR(VLOOKUP(DATOS!$I4359,CONFIG_ASIGNATURAS!$B$2:$J$91,9,FALSE()),""))</f>
      </c>
    </row>
    <row r="4360">
      <c r="F4360">
        <f>IF(DATOS!$A4360="","",DATOS!$A4360&amp;"|"&amp;DATOS!$D4360&amp;"|"&amp;DATOS!$E4360&amp;"|"&amp;DATOS!$I4360)</f>
      </c>
      <c r="G4360">
        <f>IF(DATOS!$A4360="",0,IF(CONFIG_METADATA!$B$4&lt;&gt;"OR+EX",--(DATOS!$G4360=CONFIG_METADATA!$B$4),IF(DATOS!$G4360="EX",1,IF(DATOS!$G4360="OR",--(COUNTIFS(nNIA,DATOS!$A4360,nCURSO,DATOS!$D4360,nESPEC,DATOS!$E4360,nASIG,DATOS!$I4360,nEVAL,"EX")=0),0))))</f>
      </c>
      <c r="H4360">
        <f>IF(DATOS!$G4360&lt;&gt;"EX",0,--(COUNTIFS(nNIA,DATOS!$A4360,nCURSO,DATOS!$D4360,nESPEC,DATOS!$E4360,nASIG,DATOS!$I4360,nEVAL,"OR")=0))</f>
      </c>
      <c r="I4360">
        <f>IF(DATOS!$I4360="","",IFERROR(VLOOKUP(DATOS!$I4360,CONFIG_ASIGNATURAS!$B$2:$J$91,9,FALSE()),""))</f>
      </c>
    </row>
    <row r="4361">
      <c r="F4361">
        <f>IF(DATOS!$A4361="","",DATOS!$A4361&amp;"|"&amp;DATOS!$D4361&amp;"|"&amp;DATOS!$E4361&amp;"|"&amp;DATOS!$I4361)</f>
      </c>
      <c r="G4361">
        <f>IF(DATOS!$A4361="",0,IF(CONFIG_METADATA!$B$4&lt;&gt;"OR+EX",--(DATOS!$G4361=CONFIG_METADATA!$B$4),IF(DATOS!$G4361="EX",1,IF(DATOS!$G4361="OR",--(COUNTIFS(nNIA,DATOS!$A4361,nCURSO,DATOS!$D4361,nESPEC,DATOS!$E4361,nASIG,DATOS!$I4361,nEVAL,"EX")=0),0))))</f>
      </c>
      <c r="H4361">
        <f>IF(DATOS!$G4361&lt;&gt;"EX",0,--(COUNTIFS(nNIA,DATOS!$A4361,nCURSO,DATOS!$D4361,nESPEC,DATOS!$E4361,nASIG,DATOS!$I4361,nEVAL,"OR")=0))</f>
      </c>
      <c r="I4361">
        <f>IF(DATOS!$I4361="","",IFERROR(VLOOKUP(DATOS!$I4361,CONFIG_ASIGNATURAS!$B$2:$J$91,9,FALSE()),""))</f>
      </c>
    </row>
    <row r="4362">
      <c r="F4362">
        <f>IF(DATOS!$A4362="","",DATOS!$A4362&amp;"|"&amp;DATOS!$D4362&amp;"|"&amp;DATOS!$E4362&amp;"|"&amp;DATOS!$I4362)</f>
      </c>
      <c r="G4362">
        <f>IF(DATOS!$A4362="",0,IF(CONFIG_METADATA!$B$4&lt;&gt;"OR+EX",--(DATOS!$G4362=CONFIG_METADATA!$B$4),IF(DATOS!$G4362="EX",1,IF(DATOS!$G4362="OR",--(COUNTIFS(nNIA,DATOS!$A4362,nCURSO,DATOS!$D4362,nESPEC,DATOS!$E4362,nASIG,DATOS!$I4362,nEVAL,"EX")=0),0))))</f>
      </c>
      <c r="H4362">
        <f>IF(DATOS!$G4362&lt;&gt;"EX",0,--(COUNTIFS(nNIA,DATOS!$A4362,nCURSO,DATOS!$D4362,nESPEC,DATOS!$E4362,nASIG,DATOS!$I4362,nEVAL,"OR")=0))</f>
      </c>
      <c r="I4362">
        <f>IF(DATOS!$I4362="","",IFERROR(VLOOKUP(DATOS!$I4362,CONFIG_ASIGNATURAS!$B$2:$J$91,9,FALSE()),""))</f>
      </c>
    </row>
    <row r="4363">
      <c r="F4363">
        <f>IF(DATOS!$A4363="","",DATOS!$A4363&amp;"|"&amp;DATOS!$D4363&amp;"|"&amp;DATOS!$E4363&amp;"|"&amp;DATOS!$I4363)</f>
      </c>
      <c r="G4363">
        <f>IF(DATOS!$A4363="",0,IF(CONFIG_METADATA!$B$4&lt;&gt;"OR+EX",--(DATOS!$G4363=CONFIG_METADATA!$B$4),IF(DATOS!$G4363="EX",1,IF(DATOS!$G4363="OR",--(COUNTIFS(nNIA,DATOS!$A4363,nCURSO,DATOS!$D4363,nESPEC,DATOS!$E4363,nASIG,DATOS!$I4363,nEVAL,"EX")=0),0))))</f>
      </c>
      <c r="H4363">
        <f>IF(DATOS!$G4363&lt;&gt;"EX",0,--(COUNTIFS(nNIA,DATOS!$A4363,nCURSO,DATOS!$D4363,nESPEC,DATOS!$E4363,nASIG,DATOS!$I4363,nEVAL,"OR")=0))</f>
      </c>
      <c r="I4363">
        <f>IF(DATOS!$I4363="","",IFERROR(VLOOKUP(DATOS!$I4363,CONFIG_ASIGNATURAS!$B$2:$J$91,9,FALSE()),""))</f>
      </c>
    </row>
    <row r="4364">
      <c r="F4364">
        <f>IF(DATOS!$A4364="","",DATOS!$A4364&amp;"|"&amp;DATOS!$D4364&amp;"|"&amp;DATOS!$E4364&amp;"|"&amp;DATOS!$I4364)</f>
      </c>
      <c r="G4364">
        <f>IF(DATOS!$A4364="",0,IF(CONFIG_METADATA!$B$4&lt;&gt;"OR+EX",--(DATOS!$G4364=CONFIG_METADATA!$B$4),IF(DATOS!$G4364="EX",1,IF(DATOS!$G4364="OR",--(COUNTIFS(nNIA,DATOS!$A4364,nCURSO,DATOS!$D4364,nESPEC,DATOS!$E4364,nASIG,DATOS!$I4364,nEVAL,"EX")=0),0))))</f>
      </c>
      <c r="H4364">
        <f>IF(DATOS!$G4364&lt;&gt;"EX",0,--(COUNTIFS(nNIA,DATOS!$A4364,nCURSO,DATOS!$D4364,nESPEC,DATOS!$E4364,nASIG,DATOS!$I4364,nEVAL,"OR")=0))</f>
      </c>
      <c r="I4364">
        <f>IF(DATOS!$I4364="","",IFERROR(VLOOKUP(DATOS!$I4364,CONFIG_ASIGNATURAS!$B$2:$J$91,9,FALSE()),""))</f>
      </c>
    </row>
    <row r="4365">
      <c r="F4365">
        <f>IF(DATOS!$A4365="","",DATOS!$A4365&amp;"|"&amp;DATOS!$D4365&amp;"|"&amp;DATOS!$E4365&amp;"|"&amp;DATOS!$I4365)</f>
      </c>
      <c r="G4365">
        <f>IF(DATOS!$A4365="",0,IF(CONFIG_METADATA!$B$4&lt;&gt;"OR+EX",--(DATOS!$G4365=CONFIG_METADATA!$B$4),IF(DATOS!$G4365="EX",1,IF(DATOS!$G4365="OR",--(COUNTIFS(nNIA,DATOS!$A4365,nCURSO,DATOS!$D4365,nESPEC,DATOS!$E4365,nASIG,DATOS!$I4365,nEVAL,"EX")=0),0))))</f>
      </c>
      <c r="H4365">
        <f>IF(DATOS!$G4365&lt;&gt;"EX",0,--(COUNTIFS(nNIA,DATOS!$A4365,nCURSO,DATOS!$D4365,nESPEC,DATOS!$E4365,nASIG,DATOS!$I4365,nEVAL,"OR")=0))</f>
      </c>
      <c r="I4365">
        <f>IF(DATOS!$I4365="","",IFERROR(VLOOKUP(DATOS!$I4365,CONFIG_ASIGNATURAS!$B$2:$J$91,9,FALSE()),""))</f>
      </c>
    </row>
    <row r="4366">
      <c r="F4366">
        <f>IF(DATOS!$A4366="","",DATOS!$A4366&amp;"|"&amp;DATOS!$D4366&amp;"|"&amp;DATOS!$E4366&amp;"|"&amp;DATOS!$I4366)</f>
      </c>
      <c r="G4366">
        <f>IF(DATOS!$A4366="",0,IF(CONFIG_METADATA!$B$4&lt;&gt;"OR+EX",--(DATOS!$G4366=CONFIG_METADATA!$B$4),IF(DATOS!$G4366="EX",1,IF(DATOS!$G4366="OR",--(COUNTIFS(nNIA,DATOS!$A4366,nCURSO,DATOS!$D4366,nESPEC,DATOS!$E4366,nASIG,DATOS!$I4366,nEVAL,"EX")=0),0))))</f>
      </c>
      <c r="H4366">
        <f>IF(DATOS!$G4366&lt;&gt;"EX",0,--(COUNTIFS(nNIA,DATOS!$A4366,nCURSO,DATOS!$D4366,nESPEC,DATOS!$E4366,nASIG,DATOS!$I4366,nEVAL,"OR")=0))</f>
      </c>
      <c r="I4366">
        <f>IF(DATOS!$I4366="","",IFERROR(VLOOKUP(DATOS!$I4366,CONFIG_ASIGNATURAS!$B$2:$J$91,9,FALSE()),""))</f>
      </c>
    </row>
    <row r="4367">
      <c r="F4367">
        <f>IF(DATOS!$A4367="","",DATOS!$A4367&amp;"|"&amp;DATOS!$D4367&amp;"|"&amp;DATOS!$E4367&amp;"|"&amp;DATOS!$I4367)</f>
      </c>
      <c r="G4367">
        <f>IF(DATOS!$A4367="",0,IF(CONFIG_METADATA!$B$4&lt;&gt;"OR+EX",--(DATOS!$G4367=CONFIG_METADATA!$B$4),IF(DATOS!$G4367="EX",1,IF(DATOS!$G4367="OR",--(COUNTIFS(nNIA,DATOS!$A4367,nCURSO,DATOS!$D4367,nESPEC,DATOS!$E4367,nASIG,DATOS!$I4367,nEVAL,"EX")=0),0))))</f>
      </c>
      <c r="H4367">
        <f>IF(DATOS!$G4367&lt;&gt;"EX",0,--(COUNTIFS(nNIA,DATOS!$A4367,nCURSO,DATOS!$D4367,nESPEC,DATOS!$E4367,nASIG,DATOS!$I4367,nEVAL,"OR")=0))</f>
      </c>
      <c r="I4367">
        <f>IF(DATOS!$I4367="","",IFERROR(VLOOKUP(DATOS!$I4367,CONFIG_ASIGNATURAS!$B$2:$J$91,9,FALSE()),""))</f>
      </c>
    </row>
    <row r="4368">
      <c r="F4368">
        <f>IF(DATOS!$A4368="","",DATOS!$A4368&amp;"|"&amp;DATOS!$D4368&amp;"|"&amp;DATOS!$E4368&amp;"|"&amp;DATOS!$I4368)</f>
      </c>
      <c r="G4368">
        <f>IF(DATOS!$A4368="",0,IF(CONFIG_METADATA!$B$4&lt;&gt;"OR+EX",--(DATOS!$G4368=CONFIG_METADATA!$B$4),IF(DATOS!$G4368="EX",1,IF(DATOS!$G4368="OR",--(COUNTIFS(nNIA,DATOS!$A4368,nCURSO,DATOS!$D4368,nESPEC,DATOS!$E4368,nASIG,DATOS!$I4368,nEVAL,"EX")=0),0))))</f>
      </c>
      <c r="H4368">
        <f>IF(DATOS!$G4368&lt;&gt;"EX",0,--(COUNTIFS(nNIA,DATOS!$A4368,nCURSO,DATOS!$D4368,nESPEC,DATOS!$E4368,nASIG,DATOS!$I4368,nEVAL,"OR")=0))</f>
      </c>
      <c r="I4368">
        <f>IF(DATOS!$I4368="","",IFERROR(VLOOKUP(DATOS!$I4368,CONFIG_ASIGNATURAS!$B$2:$J$91,9,FALSE()),""))</f>
      </c>
    </row>
    <row r="4369">
      <c r="F4369">
        <f>IF(DATOS!$A4369="","",DATOS!$A4369&amp;"|"&amp;DATOS!$D4369&amp;"|"&amp;DATOS!$E4369&amp;"|"&amp;DATOS!$I4369)</f>
      </c>
      <c r="G4369">
        <f>IF(DATOS!$A4369="",0,IF(CONFIG_METADATA!$B$4&lt;&gt;"OR+EX",--(DATOS!$G4369=CONFIG_METADATA!$B$4),IF(DATOS!$G4369="EX",1,IF(DATOS!$G4369="OR",--(COUNTIFS(nNIA,DATOS!$A4369,nCURSO,DATOS!$D4369,nESPEC,DATOS!$E4369,nASIG,DATOS!$I4369,nEVAL,"EX")=0),0))))</f>
      </c>
      <c r="H4369">
        <f>IF(DATOS!$G4369&lt;&gt;"EX",0,--(COUNTIFS(nNIA,DATOS!$A4369,nCURSO,DATOS!$D4369,nESPEC,DATOS!$E4369,nASIG,DATOS!$I4369,nEVAL,"OR")=0))</f>
      </c>
      <c r="I4369">
        <f>IF(DATOS!$I4369="","",IFERROR(VLOOKUP(DATOS!$I4369,CONFIG_ASIGNATURAS!$B$2:$J$91,9,FALSE()),""))</f>
      </c>
    </row>
    <row r="4370">
      <c r="F4370">
        <f>IF(DATOS!$A4370="","",DATOS!$A4370&amp;"|"&amp;DATOS!$D4370&amp;"|"&amp;DATOS!$E4370&amp;"|"&amp;DATOS!$I4370)</f>
      </c>
      <c r="G4370">
        <f>IF(DATOS!$A4370="",0,IF(CONFIG_METADATA!$B$4&lt;&gt;"OR+EX",--(DATOS!$G4370=CONFIG_METADATA!$B$4),IF(DATOS!$G4370="EX",1,IF(DATOS!$G4370="OR",--(COUNTIFS(nNIA,DATOS!$A4370,nCURSO,DATOS!$D4370,nESPEC,DATOS!$E4370,nASIG,DATOS!$I4370,nEVAL,"EX")=0),0))))</f>
      </c>
      <c r="H4370">
        <f>IF(DATOS!$G4370&lt;&gt;"EX",0,--(COUNTIFS(nNIA,DATOS!$A4370,nCURSO,DATOS!$D4370,nESPEC,DATOS!$E4370,nASIG,DATOS!$I4370,nEVAL,"OR")=0))</f>
      </c>
      <c r="I4370">
        <f>IF(DATOS!$I4370="","",IFERROR(VLOOKUP(DATOS!$I4370,CONFIG_ASIGNATURAS!$B$2:$J$91,9,FALSE()),""))</f>
      </c>
    </row>
    <row r="4371">
      <c r="F4371">
        <f>IF(DATOS!$A4371="","",DATOS!$A4371&amp;"|"&amp;DATOS!$D4371&amp;"|"&amp;DATOS!$E4371&amp;"|"&amp;DATOS!$I4371)</f>
      </c>
      <c r="G4371">
        <f>IF(DATOS!$A4371="",0,IF(CONFIG_METADATA!$B$4&lt;&gt;"OR+EX",--(DATOS!$G4371=CONFIG_METADATA!$B$4),IF(DATOS!$G4371="EX",1,IF(DATOS!$G4371="OR",--(COUNTIFS(nNIA,DATOS!$A4371,nCURSO,DATOS!$D4371,nESPEC,DATOS!$E4371,nASIG,DATOS!$I4371,nEVAL,"EX")=0),0))))</f>
      </c>
      <c r="H4371">
        <f>IF(DATOS!$G4371&lt;&gt;"EX",0,--(COUNTIFS(nNIA,DATOS!$A4371,nCURSO,DATOS!$D4371,nESPEC,DATOS!$E4371,nASIG,DATOS!$I4371,nEVAL,"OR")=0))</f>
      </c>
      <c r="I4371">
        <f>IF(DATOS!$I4371="","",IFERROR(VLOOKUP(DATOS!$I4371,CONFIG_ASIGNATURAS!$B$2:$J$91,9,FALSE()),""))</f>
      </c>
    </row>
    <row r="4372">
      <c r="F4372">
        <f>IF(DATOS!$A4372="","",DATOS!$A4372&amp;"|"&amp;DATOS!$D4372&amp;"|"&amp;DATOS!$E4372&amp;"|"&amp;DATOS!$I4372)</f>
      </c>
      <c r="G4372">
        <f>IF(DATOS!$A4372="",0,IF(CONFIG_METADATA!$B$4&lt;&gt;"OR+EX",--(DATOS!$G4372=CONFIG_METADATA!$B$4),IF(DATOS!$G4372="EX",1,IF(DATOS!$G4372="OR",--(COUNTIFS(nNIA,DATOS!$A4372,nCURSO,DATOS!$D4372,nESPEC,DATOS!$E4372,nASIG,DATOS!$I4372,nEVAL,"EX")=0),0))))</f>
      </c>
      <c r="H4372">
        <f>IF(DATOS!$G4372&lt;&gt;"EX",0,--(COUNTIFS(nNIA,DATOS!$A4372,nCURSO,DATOS!$D4372,nESPEC,DATOS!$E4372,nASIG,DATOS!$I4372,nEVAL,"OR")=0))</f>
      </c>
      <c r="I4372">
        <f>IF(DATOS!$I4372="","",IFERROR(VLOOKUP(DATOS!$I4372,CONFIG_ASIGNATURAS!$B$2:$J$91,9,FALSE()),""))</f>
      </c>
    </row>
    <row r="4373">
      <c r="F4373">
        <f>IF(DATOS!$A4373="","",DATOS!$A4373&amp;"|"&amp;DATOS!$D4373&amp;"|"&amp;DATOS!$E4373&amp;"|"&amp;DATOS!$I4373)</f>
      </c>
      <c r="G4373">
        <f>IF(DATOS!$A4373="",0,IF(CONFIG_METADATA!$B$4&lt;&gt;"OR+EX",--(DATOS!$G4373=CONFIG_METADATA!$B$4),IF(DATOS!$G4373="EX",1,IF(DATOS!$G4373="OR",--(COUNTIFS(nNIA,DATOS!$A4373,nCURSO,DATOS!$D4373,nESPEC,DATOS!$E4373,nASIG,DATOS!$I4373,nEVAL,"EX")=0),0))))</f>
      </c>
      <c r="H4373">
        <f>IF(DATOS!$G4373&lt;&gt;"EX",0,--(COUNTIFS(nNIA,DATOS!$A4373,nCURSO,DATOS!$D4373,nESPEC,DATOS!$E4373,nASIG,DATOS!$I4373,nEVAL,"OR")=0))</f>
      </c>
      <c r="I4373">
        <f>IF(DATOS!$I4373="","",IFERROR(VLOOKUP(DATOS!$I4373,CONFIG_ASIGNATURAS!$B$2:$J$91,9,FALSE()),""))</f>
      </c>
    </row>
    <row r="4374">
      <c r="F4374">
        <f>IF(DATOS!$A4374="","",DATOS!$A4374&amp;"|"&amp;DATOS!$D4374&amp;"|"&amp;DATOS!$E4374&amp;"|"&amp;DATOS!$I4374)</f>
      </c>
      <c r="G4374">
        <f>IF(DATOS!$A4374="",0,IF(CONFIG_METADATA!$B$4&lt;&gt;"OR+EX",--(DATOS!$G4374=CONFIG_METADATA!$B$4),IF(DATOS!$G4374="EX",1,IF(DATOS!$G4374="OR",--(COUNTIFS(nNIA,DATOS!$A4374,nCURSO,DATOS!$D4374,nESPEC,DATOS!$E4374,nASIG,DATOS!$I4374,nEVAL,"EX")=0),0))))</f>
      </c>
      <c r="H4374">
        <f>IF(DATOS!$G4374&lt;&gt;"EX",0,--(COUNTIFS(nNIA,DATOS!$A4374,nCURSO,DATOS!$D4374,nESPEC,DATOS!$E4374,nASIG,DATOS!$I4374,nEVAL,"OR")=0))</f>
      </c>
      <c r="I4374">
        <f>IF(DATOS!$I4374="","",IFERROR(VLOOKUP(DATOS!$I4374,CONFIG_ASIGNATURAS!$B$2:$J$91,9,FALSE()),""))</f>
      </c>
    </row>
    <row r="4375">
      <c r="F4375">
        <f>IF(DATOS!$A4375="","",DATOS!$A4375&amp;"|"&amp;DATOS!$D4375&amp;"|"&amp;DATOS!$E4375&amp;"|"&amp;DATOS!$I4375)</f>
      </c>
      <c r="G4375">
        <f>IF(DATOS!$A4375="",0,IF(CONFIG_METADATA!$B$4&lt;&gt;"OR+EX",--(DATOS!$G4375=CONFIG_METADATA!$B$4),IF(DATOS!$G4375="EX",1,IF(DATOS!$G4375="OR",--(COUNTIFS(nNIA,DATOS!$A4375,nCURSO,DATOS!$D4375,nESPEC,DATOS!$E4375,nASIG,DATOS!$I4375,nEVAL,"EX")=0),0))))</f>
      </c>
      <c r="H4375">
        <f>IF(DATOS!$G4375&lt;&gt;"EX",0,--(COUNTIFS(nNIA,DATOS!$A4375,nCURSO,DATOS!$D4375,nESPEC,DATOS!$E4375,nASIG,DATOS!$I4375,nEVAL,"OR")=0))</f>
      </c>
      <c r="I4375">
        <f>IF(DATOS!$I4375="","",IFERROR(VLOOKUP(DATOS!$I4375,CONFIG_ASIGNATURAS!$B$2:$J$91,9,FALSE()),""))</f>
      </c>
    </row>
    <row r="4376">
      <c r="F4376">
        <f>IF(DATOS!$A4376="","",DATOS!$A4376&amp;"|"&amp;DATOS!$D4376&amp;"|"&amp;DATOS!$E4376&amp;"|"&amp;DATOS!$I4376)</f>
      </c>
      <c r="G4376">
        <f>IF(DATOS!$A4376="",0,IF(CONFIG_METADATA!$B$4&lt;&gt;"OR+EX",--(DATOS!$G4376=CONFIG_METADATA!$B$4),IF(DATOS!$G4376="EX",1,IF(DATOS!$G4376="OR",--(COUNTIFS(nNIA,DATOS!$A4376,nCURSO,DATOS!$D4376,nESPEC,DATOS!$E4376,nASIG,DATOS!$I4376,nEVAL,"EX")=0),0))))</f>
      </c>
      <c r="H4376">
        <f>IF(DATOS!$G4376&lt;&gt;"EX",0,--(COUNTIFS(nNIA,DATOS!$A4376,nCURSO,DATOS!$D4376,nESPEC,DATOS!$E4376,nASIG,DATOS!$I4376,nEVAL,"OR")=0))</f>
      </c>
      <c r="I4376">
        <f>IF(DATOS!$I4376="","",IFERROR(VLOOKUP(DATOS!$I4376,CONFIG_ASIGNATURAS!$B$2:$J$91,9,FALSE()),""))</f>
      </c>
    </row>
    <row r="4377">
      <c r="F4377">
        <f>IF(DATOS!$A4377="","",DATOS!$A4377&amp;"|"&amp;DATOS!$D4377&amp;"|"&amp;DATOS!$E4377&amp;"|"&amp;DATOS!$I4377)</f>
      </c>
      <c r="G4377">
        <f>IF(DATOS!$A4377="",0,IF(CONFIG_METADATA!$B$4&lt;&gt;"OR+EX",--(DATOS!$G4377=CONFIG_METADATA!$B$4),IF(DATOS!$G4377="EX",1,IF(DATOS!$G4377="OR",--(COUNTIFS(nNIA,DATOS!$A4377,nCURSO,DATOS!$D4377,nESPEC,DATOS!$E4377,nASIG,DATOS!$I4377,nEVAL,"EX")=0),0))))</f>
      </c>
      <c r="H4377">
        <f>IF(DATOS!$G4377&lt;&gt;"EX",0,--(COUNTIFS(nNIA,DATOS!$A4377,nCURSO,DATOS!$D4377,nESPEC,DATOS!$E4377,nASIG,DATOS!$I4377,nEVAL,"OR")=0))</f>
      </c>
      <c r="I4377">
        <f>IF(DATOS!$I4377="","",IFERROR(VLOOKUP(DATOS!$I4377,CONFIG_ASIGNATURAS!$B$2:$J$91,9,FALSE()),""))</f>
      </c>
    </row>
    <row r="4378">
      <c r="F4378">
        <f>IF(DATOS!$A4378="","",DATOS!$A4378&amp;"|"&amp;DATOS!$D4378&amp;"|"&amp;DATOS!$E4378&amp;"|"&amp;DATOS!$I4378)</f>
      </c>
      <c r="G4378">
        <f>IF(DATOS!$A4378="",0,IF(CONFIG_METADATA!$B$4&lt;&gt;"OR+EX",--(DATOS!$G4378=CONFIG_METADATA!$B$4),IF(DATOS!$G4378="EX",1,IF(DATOS!$G4378="OR",--(COUNTIFS(nNIA,DATOS!$A4378,nCURSO,DATOS!$D4378,nESPEC,DATOS!$E4378,nASIG,DATOS!$I4378,nEVAL,"EX")=0),0))))</f>
      </c>
      <c r="H4378">
        <f>IF(DATOS!$G4378&lt;&gt;"EX",0,--(COUNTIFS(nNIA,DATOS!$A4378,nCURSO,DATOS!$D4378,nESPEC,DATOS!$E4378,nASIG,DATOS!$I4378,nEVAL,"OR")=0))</f>
      </c>
      <c r="I4378">
        <f>IF(DATOS!$I4378="","",IFERROR(VLOOKUP(DATOS!$I4378,CONFIG_ASIGNATURAS!$B$2:$J$91,9,FALSE()),""))</f>
      </c>
    </row>
    <row r="4379">
      <c r="F4379">
        <f>IF(DATOS!$A4379="","",DATOS!$A4379&amp;"|"&amp;DATOS!$D4379&amp;"|"&amp;DATOS!$E4379&amp;"|"&amp;DATOS!$I4379)</f>
      </c>
      <c r="G4379">
        <f>IF(DATOS!$A4379="",0,IF(CONFIG_METADATA!$B$4&lt;&gt;"OR+EX",--(DATOS!$G4379=CONFIG_METADATA!$B$4),IF(DATOS!$G4379="EX",1,IF(DATOS!$G4379="OR",--(COUNTIFS(nNIA,DATOS!$A4379,nCURSO,DATOS!$D4379,nESPEC,DATOS!$E4379,nASIG,DATOS!$I4379,nEVAL,"EX")=0),0))))</f>
      </c>
      <c r="H4379">
        <f>IF(DATOS!$G4379&lt;&gt;"EX",0,--(COUNTIFS(nNIA,DATOS!$A4379,nCURSO,DATOS!$D4379,nESPEC,DATOS!$E4379,nASIG,DATOS!$I4379,nEVAL,"OR")=0))</f>
      </c>
      <c r="I4379">
        <f>IF(DATOS!$I4379="","",IFERROR(VLOOKUP(DATOS!$I4379,CONFIG_ASIGNATURAS!$B$2:$J$91,9,FALSE()),""))</f>
      </c>
    </row>
    <row r="4380">
      <c r="F4380">
        <f>IF(DATOS!$A4380="","",DATOS!$A4380&amp;"|"&amp;DATOS!$D4380&amp;"|"&amp;DATOS!$E4380&amp;"|"&amp;DATOS!$I4380)</f>
      </c>
      <c r="G4380">
        <f>IF(DATOS!$A4380="",0,IF(CONFIG_METADATA!$B$4&lt;&gt;"OR+EX",--(DATOS!$G4380=CONFIG_METADATA!$B$4),IF(DATOS!$G4380="EX",1,IF(DATOS!$G4380="OR",--(COUNTIFS(nNIA,DATOS!$A4380,nCURSO,DATOS!$D4380,nESPEC,DATOS!$E4380,nASIG,DATOS!$I4380,nEVAL,"EX")=0),0))))</f>
      </c>
      <c r="H4380">
        <f>IF(DATOS!$G4380&lt;&gt;"EX",0,--(COUNTIFS(nNIA,DATOS!$A4380,nCURSO,DATOS!$D4380,nESPEC,DATOS!$E4380,nASIG,DATOS!$I4380,nEVAL,"OR")=0))</f>
      </c>
      <c r="I4380">
        <f>IF(DATOS!$I4380="","",IFERROR(VLOOKUP(DATOS!$I4380,CONFIG_ASIGNATURAS!$B$2:$J$91,9,FALSE()),""))</f>
      </c>
    </row>
    <row r="4381">
      <c r="F4381">
        <f>IF(DATOS!$A4381="","",DATOS!$A4381&amp;"|"&amp;DATOS!$D4381&amp;"|"&amp;DATOS!$E4381&amp;"|"&amp;DATOS!$I4381)</f>
      </c>
      <c r="G4381">
        <f>IF(DATOS!$A4381="",0,IF(CONFIG_METADATA!$B$4&lt;&gt;"OR+EX",--(DATOS!$G4381=CONFIG_METADATA!$B$4),IF(DATOS!$G4381="EX",1,IF(DATOS!$G4381="OR",--(COUNTIFS(nNIA,DATOS!$A4381,nCURSO,DATOS!$D4381,nESPEC,DATOS!$E4381,nASIG,DATOS!$I4381,nEVAL,"EX")=0),0))))</f>
      </c>
      <c r="H4381">
        <f>IF(DATOS!$G4381&lt;&gt;"EX",0,--(COUNTIFS(nNIA,DATOS!$A4381,nCURSO,DATOS!$D4381,nESPEC,DATOS!$E4381,nASIG,DATOS!$I4381,nEVAL,"OR")=0))</f>
      </c>
      <c r="I4381">
        <f>IF(DATOS!$I4381="","",IFERROR(VLOOKUP(DATOS!$I4381,CONFIG_ASIGNATURAS!$B$2:$J$91,9,FALSE()),""))</f>
      </c>
    </row>
    <row r="4382">
      <c r="F4382">
        <f>IF(DATOS!$A4382="","",DATOS!$A4382&amp;"|"&amp;DATOS!$D4382&amp;"|"&amp;DATOS!$E4382&amp;"|"&amp;DATOS!$I4382)</f>
      </c>
      <c r="G4382">
        <f>IF(DATOS!$A4382="",0,IF(CONFIG_METADATA!$B$4&lt;&gt;"OR+EX",--(DATOS!$G4382=CONFIG_METADATA!$B$4),IF(DATOS!$G4382="EX",1,IF(DATOS!$G4382="OR",--(COUNTIFS(nNIA,DATOS!$A4382,nCURSO,DATOS!$D4382,nESPEC,DATOS!$E4382,nASIG,DATOS!$I4382,nEVAL,"EX")=0),0))))</f>
      </c>
      <c r="H4382">
        <f>IF(DATOS!$G4382&lt;&gt;"EX",0,--(COUNTIFS(nNIA,DATOS!$A4382,nCURSO,DATOS!$D4382,nESPEC,DATOS!$E4382,nASIG,DATOS!$I4382,nEVAL,"OR")=0))</f>
      </c>
      <c r="I4382">
        <f>IF(DATOS!$I4382="","",IFERROR(VLOOKUP(DATOS!$I4382,CONFIG_ASIGNATURAS!$B$2:$J$91,9,FALSE()),""))</f>
      </c>
    </row>
    <row r="4383">
      <c r="F4383">
        <f>IF(DATOS!$A4383="","",DATOS!$A4383&amp;"|"&amp;DATOS!$D4383&amp;"|"&amp;DATOS!$E4383&amp;"|"&amp;DATOS!$I4383)</f>
      </c>
      <c r="G4383">
        <f>IF(DATOS!$A4383="",0,IF(CONFIG_METADATA!$B$4&lt;&gt;"OR+EX",--(DATOS!$G4383=CONFIG_METADATA!$B$4),IF(DATOS!$G4383="EX",1,IF(DATOS!$G4383="OR",--(COUNTIFS(nNIA,DATOS!$A4383,nCURSO,DATOS!$D4383,nESPEC,DATOS!$E4383,nASIG,DATOS!$I4383,nEVAL,"EX")=0),0))))</f>
      </c>
      <c r="H4383">
        <f>IF(DATOS!$G4383&lt;&gt;"EX",0,--(COUNTIFS(nNIA,DATOS!$A4383,nCURSO,DATOS!$D4383,nESPEC,DATOS!$E4383,nASIG,DATOS!$I4383,nEVAL,"OR")=0))</f>
      </c>
      <c r="I4383">
        <f>IF(DATOS!$I4383="","",IFERROR(VLOOKUP(DATOS!$I4383,CONFIG_ASIGNATURAS!$B$2:$J$91,9,FALSE()),""))</f>
      </c>
    </row>
    <row r="4384">
      <c r="F4384">
        <f>IF(DATOS!$A4384="","",DATOS!$A4384&amp;"|"&amp;DATOS!$D4384&amp;"|"&amp;DATOS!$E4384&amp;"|"&amp;DATOS!$I4384)</f>
      </c>
      <c r="G4384">
        <f>IF(DATOS!$A4384="",0,IF(CONFIG_METADATA!$B$4&lt;&gt;"OR+EX",--(DATOS!$G4384=CONFIG_METADATA!$B$4),IF(DATOS!$G4384="EX",1,IF(DATOS!$G4384="OR",--(COUNTIFS(nNIA,DATOS!$A4384,nCURSO,DATOS!$D4384,nESPEC,DATOS!$E4384,nASIG,DATOS!$I4384,nEVAL,"EX")=0),0))))</f>
      </c>
      <c r="H4384">
        <f>IF(DATOS!$G4384&lt;&gt;"EX",0,--(COUNTIFS(nNIA,DATOS!$A4384,nCURSO,DATOS!$D4384,nESPEC,DATOS!$E4384,nASIG,DATOS!$I4384,nEVAL,"OR")=0))</f>
      </c>
      <c r="I4384">
        <f>IF(DATOS!$I4384="","",IFERROR(VLOOKUP(DATOS!$I4384,CONFIG_ASIGNATURAS!$B$2:$J$91,9,FALSE()),""))</f>
      </c>
    </row>
    <row r="4385">
      <c r="F4385">
        <f>IF(DATOS!$A4385="","",DATOS!$A4385&amp;"|"&amp;DATOS!$D4385&amp;"|"&amp;DATOS!$E4385&amp;"|"&amp;DATOS!$I4385)</f>
      </c>
      <c r="G4385">
        <f>IF(DATOS!$A4385="",0,IF(CONFIG_METADATA!$B$4&lt;&gt;"OR+EX",--(DATOS!$G4385=CONFIG_METADATA!$B$4),IF(DATOS!$G4385="EX",1,IF(DATOS!$G4385="OR",--(COUNTIFS(nNIA,DATOS!$A4385,nCURSO,DATOS!$D4385,nESPEC,DATOS!$E4385,nASIG,DATOS!$I4385,nEVAL,"EX")=0),0))))</f>
      </c>
      <c r="H4385">
        <f>IF(DATOS!$G4385&lt;&gt;"EX",0,--(COUNTIFS(nNIA,DATOS!$A4385,nCURSO,DATOS!$D4385,nESPEC,DATOS!$E4385,nASIG,DATOS!$I4385,nEVAL,"OR")=0))</f>
      </c>
      <c r="I4385">
        <f>IF(DATOS!$I4385="","",IFERROR(VLOOKUP(DATOS!$I4385,CONFIG_ASIGNATURAS!$B$2:$J$91,9,FALSE()),""))</f>
      </c>
    </row>
    <row r="4386">
      <c r="F4386">
        <f>IF(DATOS!$A4386="","",DATOS!$A4386&amp;"|"&amp;DATOS!$D4386&amp;"|"&amp;DATOS!$E4386&amp;"|"&amp;DATOS!$I4386)</f>
      </c>
      <c r="G4386">
        <f>IF(DATOS!$A4386="",0,IF(CONFIG_METADATA!$B$4&lt;&gt;"OR+EX",--(DATOS!$G4386=CONFIG_METADATA!$B$4),IF(DATOS!$G4386="EX",1,IF(DATOS!$G4386="OR",--(COUNTIFS(nNIA,DATOS!$A4386,nCURSO,DATOS!$D4386,nESPEC,DATOS!$E4386,nASIG,DATOS!$I4386,nEVAL,"EX")=0),0))))</f>
      </c>
      <c r="H4386">
        <f>IF(DATOS!$G4386&lt;&gt;"EX",0,--(COUNTIFS(nNIA,DATOS!$A4386,nCURSO,DATOS!$D4386,nESPEC,DATOS!$E4386,nASIG,DATOS!$I4386,nEVAL,"OR")=0))</f>
      </c>
      <c r="I4386">
        <f>IF(DATOS!$I4386="","",IFERROR(VLOOKUP(DATOS!$I4386,CONFIG_ASIGNATURAS!$B$2:$J$91,9,FALSE()),""))</f>
      </c>
    </row>
    <row r="4387">
      <c r="F4387">
        <f>IF(DATOS!$A4387="","",DATOS!$A4387&amp;"|"&amp;DATOS!$D4387&amp;"|"&amp;DATOS!$E4387&amp;"|"&amp;DATOS!$I4387)</f>
      </c>
      <c r="G4387">
        <f>IF(DATOS!$A4387="",0,IF(CONFIG_METADATA!$B$4&lt;&gt;"OR+EX",--(DATOS!$G4387=CONFIG_METADATA!$B$4),IF(DATOS!$G4387="EX",1,IF(DATOS!$G4387="OR",--(COUNTIFS(nNIA,DATOS!$A4387,nCURSO,DATOS!$D4387,nESPEC,DATOS!$E4387,nASIG,DATOS!$I4387,nEVAL,"EX")=0),0))))</f>
      </c>
      <c r="H4387">
        <f>IF(DATOS!$G4387&lt;&gt;"EX",0,--(COUNTIFS(nNIA,DATOS!$A4387,nCURSO,DATOS!$D4387,nESPEC,DATOS!$E4387,nASIG,DATOS!$I4387,nEVAL,"OR")=0))</f>
      </c>
      <c r="I4387">
        <f>IF(DATOS!$I4387="","",IFERROR(VLOOKUP(DATOS!$I4387,CONFIG_ASIGNATURAS!$B$2:$J$91,9,FALSE()),""))</f>
      </c>
    </row>
    <row r="4388">
      <c r="F4388">
        <f>IF(DATOS!$A4388="","",DATOS!$A4388&amp;"|"&amp;DATOS!$D4388&amp;"|"&amp;DATOS!$E4388&amp;"|"&amp;DATOS!$I4388)</f>
      </c>
      <c r="G4388">
        <f>IF(DATOS!$A4388="",0,IF(CONFIG_METADATA!$B$4&lt;&gt;"OR+EX",--(DATOS!$G4388=CONFIG_METADATA!$B$4),IF(DATOS!$G4388="EX",1,IF(DATOS!$G4388="OR",--(COUNTIFS(nNIA,DATOS!$A4388,nCURSO,DATOS!$D4388,nESPEC,DATOS!$E4388,nASIG,DATOS!$I4388,nEVAL,"EX")=0),0))))</f>
      </c>
      <c r="H4388">
        <f>IF(DATOS!$G4388&lt;&gt;"EX",0,--(COUNTIFS(nNIA,DATOS!$A4388,nCURSO,DATOS!$D4388,nESPEC,DATOS!$E4388,nASIG,DATOS!$I4388,nEVAL,"OR")=0))</f>
      </c>
      <c r="I4388">
        <f>IF(DATOS!$I4388="","",IFERROR(VLOOKUP(DATOS!$I4388,CONFIG_ASIGNATURAS!$B$2:$J$91,9,FALSE()),""))</f>
      </c>
    </row>
    <row r="4389">
      <c r="F4389">
        <f>IF(DATOS!$A4389="","",DATOS!$A4389&amp;"|"&amp;DATOS!$D4389&amp;"|"&amp;DATOS!$E4389&amp;"|"&amp;DATOS!$I4389)</f>
      </c>
      <c r="G4389">
        <f>IF(DATOS!$A4389="",0,IF(CONFIG_METADATA!$B$4&lt;&gt;"OR+EX",--(DATOS!$G4389=CONFIG_METADATA!$B$4),IF(DATOS!$G4389="EX",1,IF(DATOS!$G4389="OR",--(COUNTIFS(nNIA,DATOS!$A4389,nCURSO,DATOS!$D4389,nESPEC,DATOS!$E4389,nASIG,DATOS!$I4389,nEVAL,"EX")=0),0))))</f>
      </c>
      <c r="H4389">
        <f>IF(DATOS!$G4389&lt;&gt;"EX",0,--(COUNTIFS(nNIA,DATOS!$A4389,nCURSO,DATOS!$D4389,nESPEC,DATOS!$E4389,nASIG,DATOS!$I4389,nEVAL,"OR")=0))</f>
      </c>
      <c r="I4389">
        <f>IF(DATOS!$I4389="","",IFERROR(VLOOKUP(DATOS!$I4389,CONFIG_ASIGNATURAS!$B$2:$J$91,9,FALSE()),""))</f>
      </c>
    </row>
    <row r="4390">
      <c r="F4390">
        <f>IF(DATOS!$A4390="","",DATOS!$A4390&amp;"|"&amp;DATOS!$D4390&amp;"|"&amp;DATOS!$E4390&amp;"|"&amp;DATOS!$I4390)</f>
      </c>
      <c r="G4390">
        <f>IF(DATOS!$A4390="",0,IF(CONFIG_METADATA!$B$4&lt;&gt;"OR+EX",--(DATOS!$G4390=CONFIG_METADATA!$B$4),IF(DATOS!$G4390="EX",1,IF(DATOS!$G4390="OR",--(COUNTIFS(nNIA,DATOS!$A4390,nCURSO,DATOS!$D4390,nESPEC,DATOS!$E4390,nASIG,DATOS!$I4390,nEVAL,"EX")=0),0))))</f>
      </c>
      <c r="H4390">
        <f>IF(DATOS!$G4390&lt;&gt;"EX",0,--(COUNTIFS(nNIA,DATOS!$A4390,nCURSO,DATOS!$D4390,nESPEC,DATOS!$E4390,nASIG,DATOS!$I4390,nEVAL,"OR")=0))</f>
      </c>
      <c r="I4390">
        <f>IF(DATOS!$I4390="","",IFERROR(VLOOKUP(DATOS!$I4390,CONFIG_ASIGNATURAS!$B$2:$J$91,9,FALSE()),""))</f>
      </c>
    </row>
    <row r="4391">
      <c r="F4391">
        <f>IF(DATOS!$A4391="","",DATOS!$A4391&amp;"|"&amp;DATOS!$D4391&amp;"|"&amp;DATOS!$E4391&amp;"|"&amp;DATOS!$I4391)</f>
      </c>
      <c r="G4391">
        <f>IF(DATOS!$A4391="",0,IF(CONFIG_METADATA!$B$4&lt;&gt;"OR+EX",--(DATOS!$G4391=CONFIG_METADATA!$B$4),IF(DATOS!$G4391="EX",1,IF(DATOS!$G4391="OR",--(COUNTIFS(nNIA,DATOS!$A4391,nCURSO,DATOS!$D4391,nESPEC,DATOS!$E4391,nASIG,DATOS!$I4391,nEVAL,"EX")=0),0))))</f>
      </c>
      <c r="H4391">
        <f>IF(DATOS!$G4391&lt;&gt;"EX",0,--(COUNTIFS(nNIA,DATOS!$A4391,nCURSO,DATOS!$D4391,nESPEC,DATOS!$E4391,nASIG,DATOS!$I4391,nEVAL,"OR")=0))</f>
      </c>
      <c r="I4391">
        <f>IF(DATOS!$I4391="","",IFERROR(VLOOKUP(DATOS!$I4391,CONFIG_ASIGNATURAS!$B$2:$J$91,9,FALSE()),""))</f>
      </c>
    </row>
    <row r="4392">
      <c r="F4392">
        <f>IF(DATOS!$A4392="","",DATOS!$A4392&amp;"|"&amp;DATOS!$D4392&amp;"|"&amp;DATOS!$E4392&amp;"|"&amp;DATOS!$I4392)</f>
      </c>
      <c r="G4392">
        <f>IF(DATOS!$A4392="",0,IF(CONFIG_METADATA!$B$4&lt;&gt;"OR+EX",--(DATOS!$G4392=CONFIG_METADATA!$B$4),IF(DATOS!$G4392="EX",1,IF(DATOS!$G4392="OR",--(COUNTIFS(nNIA,DATOS!$A4392,nCURSO,DATOS!$D4392,nESPEC,DATOS!$E4392,nASIG,DATOS!$I4392,nEVAL,"EX")=0),0))))</f>
      </c>
      <c r="H4392">
        <f>IF(DATOS!$G4392&lt;&gt;"EX",0,--(COUNTIFS(nNIA,DATOS!$A4392,nCURSO,DATOS!$D4392,nESPEC,DATOS!$E4392,nASIG,DATOS!$I4392,nEVAL,"OR")=0))</f>
      </c>
      <c r="I4392">
        <f>IF(DATOS!$I4392="","",IFERROR(VLOOKUP(DATOS!$I4392,CONFIG_ASIGNATURAS!$B$2:$J$91,9,FALSE()),""))</f>
      </c>
    </row>
    <row r="4393">
      <c r="F4393">
        <f>IF(DATOS!$A4393="","",DATOS!$A4393&amp;"|"&amp;DATOS!$D4393&amp;"|"&amp;DATOS!$E4393&amp;"|"&amp;DATOS!$I4393)</f>
      </c>
      <c r="G4393">
        <f>IF(DATOS!$A4393="",0,IF(CONFIG_METADATA!$B$4&lt;&gt;"OR+EX",--(DATOS!$G4393=CONFIG_METADATA!$B$4),IF(DATOS!$G4393="EX",1,IF(DATOS!$G4393="OR",--(COUNTIFS(nNIA,DATOS!$A4393,nCURSO,DATOS!$D4393,nESPEC,DATOS!$E4393,nASIG,DATOS!$I4393,nEVAL,"EX")=0),0))))</f>
      </c>
      <c r="H4393">
        <f>IF(DATOS!$G4393&lt;&gt;"EX",0,--(COUNTIFS(nNIA,DATOS!$A4393,nCURSO,DATOS!$D4393,nESPEC,DATOS!$E4393,nASIG,DATOS!$I4393,nEVAL,"OR")=0))</f>
      </c>
      <c r="I4393">
        <f>IF(DATOS!$I4393="","",IFERROR(VLOOKUP(DATOS!$I4393,CONFIG_ASIGNATURAS!$B$2:$J$91,9,FALSE()),""))</f>
      </c>
    </row>
    <row r="4394">
      <c r="F4394">
        <f>IF(DATOS!$A4394="","",DATOS!$A4394&amp;"|"&amp;DATOS!$D4394&amp;"|"&amp;DATOS!$E4394&amp;"|"&amp;DATOS!$I4394)</f>
      </c>
      <c r="G4394">
        <f>IF(DATOS!$A4394="",0,IF(CONFIG_METADATA!$B$4&lt;&gt;"OR+EX",--(DATOS!$G4394=CONFIG_METADATA!$B$4),IF(DATOS!$G4394="EX",1,IF(DATOS!$G4394="OR",--(COUNTIFS(nNIA,DATOS!$A4394,nCURSO,DATOS!$D4394,nESPEC,DATOS!$E4394,nASIG,DATOS!$I4394,nEVAL,"EX")=0),0))))</f>
      </c>
      <c r="H4394">
        <f>IF(DATOS!$G4394&lt;&gt;"EX",0,--(COUNTIFS(nNIA,DATOS!$A4394,nCURSO,DATOS!$D4394,nESPEC,DATOS!$E4394,nASIG,DATOS!$I4394,nEVAL,"OR")=0))</f>
      </c>
      <c r="I4394">
        <f>IF(DATOS!$I4394="","",IFERROR(VLOOKUP(DATOS!$I4394,CONFIG_ASIGNATURAS!$B$2:$J$91,9,FALSE()),""))</f>
      </c>
    </row>
    <row r="4395">
      <c r="F4395">
        <f>IF(DATOS!$A4395="","",DATOS!$A4395&amp;"|"&amp;DATOS!$D4395&amp;"|"&amp;DATOS!$E4395&amp;"|"&amp;DATOS!$I4395)</f>
      </c>
      <c r="G4395">
        <f>IF(DATOS!$A4395="",0,IF(CONFIG_METADATA!$B$4&lt;&gt;"OR+EX",--(DATOS!$G4395=CONFIG_METADATA!$B$4),IF(DATOS!$G4395="EX",1,IF(DATOS!$G4395="OR",--(COUNTIFS(nNIA,DATOS!$A4395,nCURSO,DATOS!$D4395,nESPEC,DATOS!$E4395,nASIG,DATOS!$I4395,nEVAL,"EX")=0),0))))</f>
      </c>
      <c r="H4395">
        <f>IF(DATOS!$G4395&lt;&gt;"EX",0,--(COUNTIFS(nNIA,DATOS!$A4395,nCURSO,DATOS!$D4395,nESPEC,DATOS!$E4395,nASIG,DATOS!$I4395,nEVAL,"OR")=0))</f>
      </c>
      <c r="I4395">
        <f>IF(DATOS!$I4395="","",IFERROR(VLOOKUP(DATOS!$I4395,CONFIG_ASIGNATURAS!$B$2:$J$91,9,FALSE()),""))</f>
      </c>
    </row>
    <row r="4396">
      <c r="F4396">
        <f>IF(DATOS!$A4396="","",DATOS!$A4396&amp;"|"&amp;DATOS!$D4396&amp;"|"&amp;DATOS!$E4396&amp;"|"&amp;DATOS!$I4396)</f>
      </c>
      <c r="G4396">
        <f>IF(DATOS!$A4396="",0,IF(CONFIG_METADATA!$B$4&lt;&gt;"OR+EX",--(DATOS!$G4396=CONFIG_METADATA!$B$4),IF(DATOS!$G4396="EX",1,IF(DATOS!$G4396="OR",--(COUNTIFS(nNIA,DATOS!$A4396,nCURSO,DATOS!$D4396,nESPEC,DATOS!$E4396,nASIG,DATOS!$I4396,nEVAL,"EX")=0),0))))</f>
      </c>
      <c r="H4396">
        <f>IF(DATOS!$G4396&lt;&gt;"EX",0,--(COUNTIFS(nNIA,DATOS!$A4396,nCURSO,DATOS!$D4396,nESPEC,DATOS!$E4396,nASIG,DATOS!$I4396,nEVAL,"OR")=0))</f>
      </c>
      <c r="I4396">
        <f>IF(DATOS!$I4396="","",IFERROR(VLOOKUP(DATOS!$I4396,CONFIG_ASIGNATURAS!$B$2:$J$91,9,FALSE()),""))</f>
      </c>
    </row>
    <row r="4397">
      <c r="F4397">
        <f>IF(DATOS!$A4397="","",DATOS!$A4397&amp;"|"&amp;DATOS!$D4397&amp;"|"&amp;DATOS!$E4397&amp;"|"&amp;DATOS!$I4397)</f>
      </c>
      <c r="G4397">
        <f>IF(DATOS!$A4397="",0,IF(CONFIG_METADATA!$B$4&lt;&gt;"OR+EX",--(DATOS!$G4397=CONFIG_METADATA!$B$4),IF(DATOS!$G4397="EX",1,IF(DATOS!$G4397="OR",--(COUNTIFS(nNIA,DATOS!$A4397,nCURSO,DATOS!$D4397,nESPEC,DATOS!$E4397,nASIG,DATOS!$I4397,nEVAL,"EX")=0),0))))</f>
      </c>
      <c r="H4397">
        <f>IF(DATOS!$G4397&lt;&gt;"EX",0,--(COUNTIFS(nNIA,DATOS!$A4397,nCURSO,DATOS!$D4397,nESPEC,DATOS!$E4397,nASIG,DATOS!$I4397,nEVAL,"OR")=0))</f>
      </c>
      <c r="I4397">
        <f>IF(DATOS!$I4397="","",IFERROR(VLOOKUP(DATOS!$I4397,CONFIG_ASIGNATURAS!$B$2:$J$91,9,FALSE()),""))</f>
      </c>
    </row>
    <row r="4398">
      <c r="F4398">
        <f>IF(DATOS!$A4398="","",DATOS!$A4398&amp;"|"&amp;DATOS!$D4398&amp;"|"&amp;DATOS!$E4398&amp;"|"&amp;DATOS!$I4398)</f>
      </c>
      <c r="G4398">
        <f>IF(DATOS!$A4398="",0,IF(CONFIG_METADATA!$B$4&lt;&gt;"OR+EX",--(DATOS!$G4398=CONFIG_METADATA!$B$4),IF(DATOS!$G4398="EX",1,IF(DATOS!$G4398="OR",--(COUNTIFS(nNIA,DATOS!$A4398,nCURSO,DATOS!$D4398,nESPEC,DATOS!$E4398,nASIG,DATOS!$I4398,nEVAL,"EX")=0),0))))</f>
      </c>
      <c r="H4398">
        <f>IF(DATOS!$G4398&lt;&gt;"EX",0,--(COUNTIFS(nNIA,DATOS!$A4398,nCURSO,DATOS!$D4398,nESPEC,DATOS!$E4398,nASIG,DATOS!$I4398,nEVAL,"OR")=0))</f>
      </c>
      <c r="I4398">
        <f>IF(DATOS!$I4398="","",IFERROR(VLOOKUP(DATOS!$I4398,CONFIG_ASIGNATURAS!$B$2:$J$91,9,FALSE()),""))</f>
      </c>
    </row>
    <row r="4399">
      <c r="F4399">
        <f>IF(DATOS!$A4399="","",DATOS!$A4399&amp;"|"&amp;DATOS!$D4399&amp;"|"&amp;DATOS!$E4399&amp;"|"&amp;DATOS!$I4399)</f>
      </c>
      <c r="G4399">
        <f>IF(DATOS!$A4399="",0,IF(CONFIG_METADATA!$B$4&lt;&gt;"OR+EX",--(DATOS!$G4399=CONFIG_METADATA!$B$4),IF(DATOS!$G4399="EX",1,IF(DATOS!$G4399="OR",--(COUNTIFS(nNIA,DATOS!$A4399,nCURSO,DATOS!$D4399,nESPEC,DATOS!$E4399,nASIG,DATOS!$I4399,nEVAL,"EX")=0),0))))</f>
      </c>
      <c r="H4399">
        <f>IF(DATOS!$G4399&lt;&gt;"EX",0,--(COUNTIFS(nNIA,DATOS!$A4399,nCURSO,DATOS!$D4399,nESPEC,DATOS!$E4399,nASIG,DATOS!$I4399,nEVAL,"OR")=0))</f>
      </c>
      <c r="I4399">
        <f>IF(DATOS!$I4399="","",IFERROR(VLOOKUP(DATOS!$I4399,CONFIG_ASIGNATURAS!$B$2:$J$91,9,FALSE()),""))</f>
      </c>
    </row>
    <row r="4400">
      <c r="F4400">
        <f>IF(DATOS!$A4400="","",DATOS!$A4400&amp;"|"&amp;DATOS!$D4400&amp;"|"&amp;DATOS!$E4400&amp;"|"&amp;DATOS!$I4400)</f>
      </c>
      <c r="G4400">
        <f>IF(DATOS!$A4400="",0,IF(CONFIG_METADATA!$B$4&lt;&gt;"OR+EX",--(DATOS!$G4400=CONFIG_METADATA!$B$4),IF(DATOS!$G4400="EX",1,IF(DATOS!$G4400="OR",--(COUNTIFS(nNIA,DATOS!$A4400,nCURSO,DATOS!$D4400,nESPEC,DATOS!$E4400,nASIG,DATOS!$I4400,nEVAL,"EX")=0),0))))</f>
      </c>
      <c r="H4400">
        <f>IF(DATOS!$G4400&lt;&gt;"EX",0,--(COUNTIFS(nNIA,DATOS!$A4400,nCURSO,DATOS!$D4400,nESPEC,DATOS!$E4400,nASIG,DATOS!$I4400,nEVAL,"OR")=0))</f>
      </c>
      <c r="I4400">
        <f>IF(DATOS!$I4400="","",IFERROR(VLOOKUP(DATOS!$I4400,CONFIG_ASIGNATURAS!$B$2:$J$91,9,FALSE()),""))</f>
      </c>
    </row>
    <row r="4401">
      <c r="F4401">
        <f>IF(DATOS!$A4401="","",DATOS!$A4401&amp;"|"&amp;DATOS!$D4401&amp;"|"&amp;DATOS!$E4401&amp;"|"&amp;DATOS!$I4401)</f>
      </c>
      <c r="G4401">
        <f>IF(DATOS!$A4401="",0,IF(CONFIG_METADATA!$B$4&lt;&gt;"OR+EX",--(DATOS!$G4401=CONFIG_METADATA!$B$4),IF(DATOS!$G4401="EX",1,IF(DATOS!$G4401="OR",--(COUNTIFS(nNIA,DATOS!$A4401,nCURSO,DATOS!$D4401,nESPEC,DATOS!$E4401,nASIG,DATOS!$I4401,nEVAL,"EX")=0),0))))</f>
      </c>
      <c r="H4401">
        <f>IF(DATOS!$G4401&lt;&gt;"EX",0,--(COUNTIFS(nNIA,DATOS!$A4401,nCURSO,DATOS!$D4401,nESPEC,DATOS!$E4401,nASIG,DATOS!$I4401,nEVAL,"OR")=0))</f>
      </c>
      <c r="I4401">
        <f>IF(DATOS!$I4401="","",IFERROR(VLOOKUP(DATOS!$I4401,CONFIG_ASIGNATURAS!$B$2:$J$91,9,FALSE()),""))</f>
      </c>
    </row>
    <row r="4402">
      <c r="F4402">
        <f>IF(DATOS!$A4402="","",DATOS!$A4402&amp;"|"&amp;DATOS!$D4402&amp;"|"&amp;DATOS!$E4402&amp;"|"&amp;DATOS!$I4402)</f>
      </c>
      <c r="G4402">
        <f>IF(DATOS!$A4402="",0,IF(CONFIG_METADATA!$B$4&lt;&gt;"OR+EX",--(DATOS!$G4402=CONFIG_METADATA!$B$4),IF(DATOS!$G4402="EX",1,IF(DATOS!$G4402="OR",--(COUNTIFS(nNIA,DATOS!$A4402,nCURSO,DATOS!$D4402,nESPEC,DATOS!$E4402,nASIG,DATOS!$I4402,nEVAL,"EX")=0),0))))</f>
      </c>
      <c r="H4402">
        <f>IF(DATOS!$G4402&lt;&gt;"EX",0,--(COUNTIFS(nNIA,DATOS!$A4402,nCURSO,DATOS!$D4402,nESPEC,DATOS!$E4402,nASIG,DATOS!$I4402,nEVAL,"OR")=0))</f>
      </c>
      <c r="I4402">
        <f>IF(DATOS!$I4402="","",IFERROR(VLOOKUP(DATOS!$I4402,CONFIG_ASIGNATURAS!$B$2:$J$91,9,FALSE()),""))</f>
      </c>
    </row>
    <row r="4403">
      <c r="F4403">
        <f>IF(DATOS!$A4403="","",DATOS!$A4403&amp;"|"&amp;DATOS!$D4403&amp;"|"&amp;DATOS!$E4403&amp;"|"&amp;DATOS!$I4403)</f>
      </c>
      <c r="G4403">
        <f>IF(DATOS!$A4403="",0,IF(CONFIG_METADATA!$B$4&lt;&gt;"OR+EX",--(DATOS!$G4403=CONFIG_METADATA!$B$4),IF(DATOS!$G4403="EX",1,IF(DATOS!$G4403="OR",--(COUNTIFS(nNIA,DATOS!$A4403,nCURSO,DATOS!$D4403,nESPEC,DATOS!$E4403,nASIG,DATOS!$I4403,nEVAL,"EX")=0),0))))</f>
      </c>
      <c r="H4403">
        <f>IF(DATOS!$G4403&lt;&gt;"EX",0,--(COUNTIFS(nNIA,DATOS!$A4403,nCURSO,DATOS!$D4403,nESPEC,DATOS!$E4403,nASIG,DATOS!$I4403,nEVAL,"OR")=0))</f>
      </c>
      <c r="I4403">
        <f>IF(DATOS!$I4403="","",IFERROR(VLOOKUP(DATOS!$I4403,CONFIG_ASIGNATURAS!$B$2:$J$91,9,FALSE()),""))</f>
      </c>
    </row>
    <row r="4404">
      <c r="F4404">
        <f>IF(DATOS!$A4404="","",DATOS!$A4404&amp;"|"&amp;DATOS!$D4404&amp;"|"&amp;DATOS!$E4404&amp;"|"&amp;DATOS!$I4404)</f>
      </c>
      <c r="G4404">
        <f>IF(DATOS!$A4404="",0,IF(CONFIG_METADATA!$B$4&lt;&gt;"OR+EX",--(DATOS!$G4404=CONFIG_METADATA!$B$4),IF(DATOS!$G4404="EX",1,IF(DATOS!$G4404="OR",--(COUNTIFS(nNIA,DATOS!$A4404,nCURSO,DATOS!$D4404,nESPEC,DATOS!$E4404,nASIG,DATOS!$I4404,nEVAL,"EX")=0),0))))</f>
      </c>
      <c r="H4404">
        <f>IF(DATOS!$G4404&lt;&gt;"EX",0,--(COUNTIFS(nNIA,DATOS!$A4404,nCURSO,DATOS!$D4404,nESPEC,DATOS!$E4404,nASIG,DATOS!$I4404,nEVAL,"OR")=0))</f>
      </c>
      <c r="I4404">
        <f>IF(DATOS!$I4404="","",IFERROR(VLOOKUP(DATOS!$I4404,CONFIG_ASIGNATURAS!$B$2:$J$91,9,FALSE()),""))</f>
      </c>
    </row>
    <row r="4405">
      <c r="F4405">
        <f>IF(DATOS!$A4405="","",DATOS!$A4405&amp;"|"&amp;DATOS!$D4405&amp;"|"&amp;DATOS!$E4405&amp;"|"&amp;DATOS!$I4405)</f>
      </c>
      <c r="G4405">
        <f>IF(DATOS!$A4405="",0,IF(CONFIG_METADATA!$B$4&lt;&gt;"OR+EX",--(DATOS!$G4405=CONFIG_METADATA!$B$4),IF(DATOS!$G4405="EX",1,IF(DATOS!$G4405="OR",--(COUNTIFS(nNIA,DATOS!$A4405,nCURSO,DATOS!$D4405,nESPEC,DATOS!$E4405,nASIG,DATOS!$I4405,nEVAL,"EX")=0),0))))</f>
      </c>
      <c r="H4405">
        <f>IF(DATOS!$G4405&lt;&gt;"EX",0,--(COUNTIFS(nNIA,DATOS!$A4405,nCURSO,DATOS!$D4405,nESPEC,DATOS!$E4405,nASIG,DATOS!$I4405,nEVAL,"OR")=0))</f>
      </c>
      <c r="I4405">
        <f>IF(DATOS!$I4405="","",IFERROR(VLOOKUP(DATOS!$I4405,CONFIG_ASIGNATURAS!$B$2:$J$91,9,FALSE()),""))</f>
      </c>
    </row>
    <row r="4406">
      <c r="F4406">
        <f>IF(DATOS!$A4406="","",DATOS!$A4406&amp;"|"&amp;DATOS!$D4406&amp;"|"&amp;DATOS!$E4406&amp;"|"&amp;DATOS!$I4406)</f>
      </c>
      <c r="G4406">
        <f>IF(DATOS!$A4406="",0,IF(CONFIG_METADATA!$B$4&lt;&gt;"OR+EX",--(DATOS!$G4406=CONFIG_METADATA!$B$4),IF(DATOS!$G4406="EX",1,IF(DATOS!$G4406="OR",--(COUNTIFS(nNIA,DATOS!$A4406,nCURSO,DATOS!$D4406,nESPEC,DATOS!$E4406,nASIG,DATOS!$I4406,nEVAL,"EX")=0),0))))</f>
      </c>
      <c r="H4406">
        <f>IF(DATOS!$G4406&lt;&gt;"EX",0,--(COUNTIFS(nNIA,DATOS!$A4406,nCURSO,DATOS!$D4406,nESPEC,DATOS!$E4406,nASIG,DATOS!$I4406,nEVAL,"OR")=0))</f>
      </c>
      <c r="I4406">
        <f>IF(DATOS!$I4406="","",IFERROR(VLOOKUP(DATOS!$I4406,CONFIG_ASIGNATURAS!$B$2:$J$91,9,FALSE()),""))</f>
      </c>
    </row>
    <row r="4407">
      <c r="F4407">
        <f>IF(DATOS!$A4407="","",DATOS!$A4407&amp;"|"&amp;DATOS!$D4407&amp;"|"&amp;DATOS!$E4407&amp;"|"&amp;DATOS!$I4407)</f>
      </c>
      <c r="G4407">
        <f>IF(DATOS!$A4407="",0,IF(CONFIG_METADATA!$B$4&lt;&gt;"OR+EX",--(DATOS!$G4407=CONFIG_METADATA!$B$4),IF(DATOS!$G4407="EX",1,IF(DATOS!$G4407="OR",--(COUNTIFS(nNIA,DATOS!$A4407,nCURSO,DATOS!$D4407,nESPEC,DATOS!$E4407,nASIG,DATOS!$I4407,nEVAL,"EX")=0),0))))</f>
      </c>
      <c r="H4407">
        <f>IF(DATOS!$G4407&lt;&gt;"EX",0,--(COUNTIFS(nNIA,DATOS!$A4407,nCURSO,DATOS!$D4407,nESPEC,DATOS!$E4407,nASIG,DATOS!$I4407,nEVAL,"OR")=0))</f>
      </c>
      <c r="I4407">
        <f>IF(DATOS!$I4407="","",IFERROR(VLOOKUP(DATOS!$I4407,CONFIG_ASIGNATURAS!$B$2:$J$91,9,FALSE()),""))</f>
      </c>
    </row>
    <row r="4408">
      <c r="F4408">
        <f>IF(DATOS!$A4408="","",DATOS!$A4408&amp;"|"&amp;DATOS!$D4408&amp;"|"&amp;DATOS!$E4408&amp;"|"&amp;DATOS!$I4408)</f>
      </c>
      <c r="G4408">
        <f>IF(DATOS!$A4408="",0,IF(CONFIG_METADATA!$B$4&lt;&gt;"OR+EX",--(DATOS!$G4408=CONFIG_METADATA!$B$4),IF(DATOS!$G4408="EX",1,IF(DATOS!$G4408="OR",--(COUNTIFS(nNIA,DATOS!$A4408,nCURSO,DATOS!$D4408,nESPEC,DATOS!$E4408,nASIG,DATOS!$I4408,nEVAL,"EX")=0),0))))</f>
      </c>
      <c r="H4408">
        <f>IF(DATOS!$G4408&lt;&gt;"EX",0,--(COUNTIFS(nNIA,DATOS!$A4408,nCURSO,DATOS!$D4408,nESPEC,DATOS!$E4408,nASIG,DATOS!$I4408,nEVAL,"OR")=0))</f>
      </c>
      <c r="I4408">
        <f>IF(DATOS!$I4408="","",IFERROR(VLOOKUP(DATOS!$I4408,CONFIG_ASIGNATURAS!$B$2:$J$91,9,FALSE()),""))</f>
      </c>
    </row>
    <row r="4409">
      <c r="F4409">
        <f>IF(DATOS!$A4409="","",DATOS!$A4409&amp;"|"&amp;DATOS!$D4409&amp;"|"&amp;DATOS!$E4409&amp;"|"&amp;DATOS!$I4409)</f>
      </c>
      <c r="G4409">
        <f>IF(DATOS!$A4409="",0,IF(CONFIG_METADATA!$B$4&lt;&gt;"OR+EX",--(DATOS!$G4409=CONFIG_METADATA!$B$4),IF(DATOS!$G4409="EX",1,IF(DATOS!$G4409="OR",--(COUNTIFS(nNIA,DATOS!$A4409,nCURSO,DATOS!$D4409,nESPEC,DATOS!$E4409,nASIG,DATOS!$I4409,nEVAL,"EX")=0),0))))</f>
      </c>
      <c r="H4409">
        <f>IF(DATOS!$G4409&lt;&gt;"EX",0,--(COUNTIFS(nNIA,DATOS!$A4409,nCURSO,DATOS!$D4409,nESPEC,DATOS!$E4409,nASIG,DATOS!$I4409,nEVAL,"OR")=0))</f>
      </c>
      <c r="I4409">
        <f>IF(DATOS!$I4409="","",IFERROR(VLOOKUP(DATOS!$I4409,CONFIG_ASIGNATURAS!$B$2:$J$91,9,FALSE()),""))</f>
      </c>
    </row>
    <row r="4410">
      <c r="F4410">
        <f>IF(DATOS!$A4410="","",DATOS!$A4410&amp;"|"&amp;DATOS!$D4410&amp;"|"&amp;DATOS!$E4410&amp;"|"&amp;DATOS!$I4410)</f>
      </c>
      <c r="G4410">
        <f>IF(DATOS!$A4410="",0,IF(CONFIG_METADATA!$B$4&lt;&gt;"OR+EX",--(DATOS!$G4410=CONFIG_METADATA!$B$4),IF(DATOS!$G4410="EX",1,IF(DATOS!$G4410="OR",--(COUNTIFS(nNIA,DATOS!$A4410,nCURSO,DATOS!$D4410,nESPEC,DATOS!$E4410,nASIG,DATOS!$I4410,nEVAL,"EX")=0),0))))</f>
      </c>
      <c r="H4410">
        <f>IF(DATOS!$G4410&lt;&gt;"EX",0,--(COUNTIFS(nNIA,DATOS!$A4410,nCURSO,DATOS!$D4410,nESPEC,DATOS!$E4410,nASIG,DATOS!$I4410,nEVAL,"OR")=0))</f>
      </c>
      <c r="I4410">
        <f>IF(DATOS!$I4410="","",IFERROR(VLOOKUP(DATOS!$I4410,CONFIG_ASIGNATURAS!$B$2:$J$91,9,FALSE()),""))</f>
      </c>
    </row>
    <row r="4411">
      <c r="F4411">
        <f>IF(DATOS!$A4411="","",DATOS!$A4411&amp;"|"&amp;DATOS!$D4411&amp;"|"&amp;DATOS!$E4411&amp;"|"&amp;DATOS!$I4411)</f>
      </c>
      <c r="G4411">
        <f>IF(DATOS!$A4411="",0,IF(CONFIG_METADATA!$B$4&lt;&gt;"OR+EX",--(DATOS!$G4411=CONFIG_METADATA!$B$4),IF(DATOS!$G4411="EX",1,IF(DATOS!$G4411="OR",--(COUNTIFS(nNIA,DATOS!$A4411,nCURSO,DATOS!$D4411,nESPEC,DATOS!$E4411,nASIG,DATOS!$I4411,nEVAL,"EX")=0),0))))</f>
      </c>
      <c r="H4411">
        <f>IF(DATOS!$G4411&lt;&gt;"EX",0,--(COUNTIFS(nNIA,DATOS!$A4411,nCURSO,DATOS!$D4411,nESPEC,DATOS!$E4411,nASIG,DATOS!$I4411,nEVAL,"OR")=0))</f>
      </c>
      <c r="I4411">
        <f>IF(DATOS!$I4411="","",IFERROR(VLOOKUP(DATOS!$I4411,CONFIG_ASIGNATURAS!$B$2:$J$91,9,FALSE()),""))</f>
      </c>
    </row>
    <row r="4412">
      <c r="F4412">
        <f>IF(DATOS!$A4412="","",DATOS!$A4412&amp;"|"&amp;DATOS!$D4412&amp;"|"&amp;DATOS!$E4412&amp;"|"&amp;DATOS!$I4412)</f>
      </c>
      <c r="G4412">
        <f>IF(DATOS!$A4412="",0,IF(CONFIG_METADATA!$B$4&lt;&gt;"OR+EX",--(DATOS!$G4412=CONFIG_METADATA!$B$4),IF(DATOS!$G4412="EX",1,IF(DATOS!$G4412="OR",--(COUNTIFS(nNIA,DATOS!$A4412,nCURSO,DATOS!$D4412,nESPEC,DATOS!$E4412,nASIG,DATOS!$I4412,nEVAL,"EX")=0),0))))</f>
      </c>
      <c r="H4412">
        <f>IF(DATOS!$G4412&lt;&gt;"EX",0,--(COUNTIFS(nNIA,DATOS!$A4412,nCURSO,DATOS!$D4412,nESPEC,DATOS!$E4412,nASIG,DATOS!$I4412,nEVAL,"OR")=0))</f>
      </c>
      <c r="I4412">
        <f>IF(DATOS!$I4412="","",IFERROR(VLOOKUP(DATOS!$I4412,CONFIG_ASIGNATURAS!$B$2:$J$91,9,FALSE()),""))</f>
      </c>
    </row>
    <row r="4413">
      <c r="F4413">
        <f>IF(DATOS!$A4413="","",DATOS!$A4413&amp;"|"&amp;DATOS!$D4413&amp;"|"&amp;DATOS!$E4413&amp;"|"&amp;DATOS!$I4413)</f>
      </c>
      <c r="G4413">
        <f>IF(DATOS!$A4413="",0,IF(CONFIG_METADATA!$B$4&lt;&gt;"OR+EX",--(DATOS!$G4413=CONFIG_METADATA!$B$4),IF(DATOS!$G4413="EX",1,IF(DATOS!$G4413="OR",--(COUNTIFS(nNIA,DATOS!$A4413,nCURSO,DATOS!$D4413,nESPEC,DATOS!$E4413,nASIG,DATOS!$I4413,nEVAL,"EX")=0),0))))</f>
      </c>
      <c r="H4413">
        <f>IF(DATOS!$G4413&lt;&gt;"EX",0,--(COUNTIFS(nNIA,DATOS!$A4413,nCURSO,DATOS!$D4413,nESPEC,DATOS!$E4413,nASIG,DATOS!$I4413,nEVAL,"OR")=0))</f>
      </c>
      <c r="I4413">
        <f>IF(DATOS!$I4413="","",IFERROR(VLOOKUP(DATOS!$I4413,CONFIG_ASIGNATURAS!$B$2:$J$91,9,FALSE()),""))</f>
      </c>
    </row>
    <row r="4414">
      <c r="F4414">
        <f>IF(DATOS!$A4414="","",DATOS!$A4414&amp;"|"&amp;DATOS!$D4414&amp;"|"&amp;DATOS!$E4414&amp;"|"&amp;DATOS!$I4414)</f>
      </c>
      <c r="G4414">
        <f>IF(DATOS!$A4414="",0,IF(CONFIG_METADATA!$B$4&lt;&gt;"OR+EX",--(DATOS!$G4414=CONFIG_METADATA!$B$4),IF(DATOS!$G4414="EX",1,IF(DATOS!$G4414="OR",--(COUNTIFS(nNIA,DATOS!$A4414,nCURSO,DATOS!$D4414,nESPEC,DATOS!$E4414,nASIG,DATOS!$I4414,nEVAL,"EX")=0),0))))</f>
      </c>
      <c r="H4414">
        <f>IF(DATOS!$G4414&lt;&gt;"EX",0,--(COUNTIFS(nNIA,DATOS!$A4414,nCURSO,DATOS!$D4414,nESPEC,DATOS!$E4414,nASIG,DATOS!$I4414,nEVAL,"OR")=0))</f>
      </c>
      <c r="I4414">
        <f>IF(DATOS!$I4414="","",IFERROR(VLOOKUP(DATOS!$I4414,CONFIG_ASIGNATURAS!$B$2:$J$91,9,FALSE()),""))</f>
      </c>
    </row>
    <row r="4415">
      <c r="F4415">
        <f>IF(DATOS!$A4415="","",DATOS!$A4415&amp;"|"&amp;DATOS!$D4415&amp;"|"&amp;DATOS!$E4415&amp;"|"&amp;DATOS!$I4415)</f>
      </c>
      <c r="G4415">
        <f>IF(DATOS!$A4415="",0,IF(CONFIG_METADATA!$B$4&lt;&gt;"OR+EX",--(DATOS!$G4415=CONFIG_METADATA!$B$4),IF(DATOS!$G4415="EX",1,IF(DATOS!$G4415="OR",--(COUNTIFS(nNIA,DATOS!$A4415,nCURSO,DATOS!$D4415,nESPEC,DATOS!$E4415,nASIG,DATOS!$I4415,nEVAL,"EX")=0),0))))</f>
      </c>
      <c r="H4415">
        <f>IF(DATOS!$G4415&lt;&gt;"EX",0,--(COUNTIFS(nNIA,DATOS!$A4415,nCURSO,DATOS!$D4415,nESPEC,DATOS!$E4415,nASIG,DATOS!$I4415,nEVAL,"OR")=0))</f>
      </c>
      <c r="I4415">
        <f>IF(DATOS!$I4415="","",IFERROR(VLOOKUP(DATOS!$I4415,CONFIG_ASIGNATURAS!$B$2:$J$91,9,FALSE()),""))</f>
      </c>
    </row>
    <row r="4416">
      <c r="F4416">
        <f>IF(DATOS!$A4416="","",DATOS!$A4416&amp;"|"&amp;DATOS!$D4416&amp;"|"&amp;DATOS!$E4416&amp;"|"&amp;DATOS!$I4416)</f>
      </c>
      <c r="G4416">
        <f>IF(DATOS!$A4416="",0,IF(CONFIG_METADATA!$B$4&lt;&gt;"OR+EX",--(DATOS!$G4416=CONFIG_METADATA!$B$4),IF(DATOS!$G4416="EX",1,IF(DATOS!$G4416="OR",--(COUNTIFS(nNIA,DATOS!$A4416,nCURSO,DATOS!$D4416,nESPEC,DATOS!$E4416,nASIG,DATOS!$I4416,nEVAL,"EX")=0),0))))</f>
      </c>
      <c r="H4416">
        <f>IF(DATOS!$G4416&lt;&gt;"EX",0,--(COUNTIFS(nNIA,DATOS!$A4416,nCURSO,DATOS!$D4416,nESPEC,DATOS!$E4416,nASIG,DATOS!$I4416,nEVAL,"OR")=0))</f>
      </c>
      <c r="I4416">
        <f>IF(DATOS!$I4416="","",IFERROR(VLOOKUP(DATOS!$I4416,CONFIG_ASIGNATURAS!$B$2:$J$91,9,FALSE()),""))</f>
      </c>
    </row>
    <row r="4417">
      <c r="F4417">
        <f>IF(DATOS!$A4417="","",DATOS!$A4417&amp;"|"&amp;DATOS!$D4417&amp;"|"&amp;DATOS!$E4417&amp;"|"&amp;DATOS!$I4417)</f>
      </c>
      <c r="G4417">
        <f>IF(DATOS!$A4417="",0,IF(CONFIG_METADATA!$B$4&lt;&gt;"OR+EX",--(DATOS!$G4417=CONFIG_METADATA!$B$4),IF(DATOS!$G4417="EX",1,IF(DATOS!$G4417="OR",--(COUNTIFS(nNIA,DATOS!$A4417,nCURSO,DATOS!$D4417,nESPEC,DATOS!$E4417,nASIG,DATOS!$I4417,nEVAL,"EX")=0),0))))</f>
      </c>
      <c r="H4417">
        <f>IF(DATOS!$G4417&lt;&gt;"EX",0,--(COUNTIFS(nNIA,DATOS!$A4417,nCURSO,DATOS!$D4417,nESPEC,DATOS!$E4417,nASIG,DATOS!$I4417,nEVAL,"OR")=0))</f>
      </c>
      <c r="I4417">
        <f>IF(DATOS!$I4417="","",IFERROR(VLOOKUP(DATOS!$I4417,CONFIG_ASIGNATURAS!$B$2:$J$91,9,FALSE()),""))</f>
      </c>
    </row>
    <row r="4418">
      <c r="F4418">
        <f>IF(DATOS!$A4418="","",DATOS!$A4418&amp;"|"&amp;DATOS!$D4418&amp;"|"&amp;DATOS!$E4418&amp;"|"&amp;DATOS!$I4418)</f>
      </c>
      <c r="G4418">
        <f>IF(DATOS!$A4418="",0,IF(CONFIG_METADATA!$B$4&lt;&gt;"OR+EX",--(DATOS!$G4418=CONFIG_METADATA!$B$4),IF(DATOS!$G4418="EX",1,IF(DATOS!$G4418="OR",--(COUNTIFS(nNIA,DATOS!$A4418,nCURSO,DATOS!$D4418,nESPEC,DATOS!$E4418,nASIG,DATOS!$I4418,nEVAL,"EX")=0),0))))</f>
      </c>
      <c r="H4418">
        <f>IF(DATOS!$G4418&lt;&gt;"EX",0,--(COUNTIFS(nNIA,DATOS!$A4418,nCURSO,DATOS!$D4418,nESPEC,DATOS!$E4418,nASIG,DATOS!$I4418,nEVAL,"OR")=0))</f>
      </c>
      <c r="I4418">
        <f>IF(DATOS!$I4418="","",IFERROR(VLOOKUP(DATOS!$I4418,CONFIG_ASIGNATURAS!$B$2:$J$91,9,FALSE()),""))</f>
      </c>
    </row>
    <row r="4419">
      <c r="F4419">
        <f>IF(DATOS!$A4419="","",DATOS!$A4419&amp;"|"&amp;DATOS!$D4419&amp;"|"&amp;DATOS!$E4419&amp;"|"&amp;DATOS!$I4419)</f>
      </c>
      <c r="G4419">
        <f>IF(DATOS!$A4419="",0,IF(CONFIG_METADATA!$B$4&lt;&gt;"OR+EX",--(DATOS!$G4419=CONFIG_METADATA!$B$4),IF(DATOS!$G4419="EX",1,IF(DATOS!$G4419="OR",--(COUNTIFS(nNIA,DATOS!$A4419,nCURSO,DATOS!$D4419,nESPEC,DATOS!$E4419,nASIG,DATOS!$I4419,nEVAL,"EX")=0),0))))</f>
      </c>
      <c r="H4419">
        <f>IF(DATOS!$G4419&lt;&gt;"EX",0,--(COUNTIFS(nNIA,DATOS!$A4419,nCURSO,DATOS!$D4419,nESPEC,DATOS!$E4419,nASIG,DATOS!$I4419,nEVAL,"OR")=0))</f>
      </c>
      <c r="I4419">
        <f>IF(DATOS!$I4419="","",IFERROR(VLOOKUP(DATOS!$I4419,CONFIG_ASIGNATURAS!$B$2:$J$91,9,FALSE()),""))</f>
      </c>
    </row>
    <row r="4420">
      <c r="F4420">
        <f>IF(DATOS!$A4420="","",DATOS!$A4420&amp;"|"&amp;DATOS!$D4420&amp;"|"&amp;DATOS!$E4420&amp;"|"&amp;DATOS!$I4420)</f>
      </c>
      <c r="G4420">
        <f>IF(DATOS!$A4420="",0,IF(CONFIG_METADATA!$B$4&lt;&gt;"OR+EX",--(DATOS!$G4420=CONFIG_METADATA!$B$4),IF(DATOS!$G4420="EX",1,IF(DATOS!$G4420="OR",--(COUNTIFS(nNIA,DATOS!$A4420,nCURSO,DATOS!$D4420,nESPEC,DATOS!$E4420,nASIG,DATOS!$I4420,nEVAL,"EX")=0),0))))</f>
      </c>
      <c r="H4420">
        <f>IF(DATOS!$G4420&lt;&gt;"EX",0,--(COUNTIFS(nNIA,DATOS!$A4420,nCURSO,DATOS!$D4420,nESPEC,DATOS!$E4420,nASIG,DATOS!$I4420,nEVAL,"OR")=0))</f>
      </c>
      <c r="I4420">
        <f>IF(DATOS!$I4420="","",IFERROR(VLOOKUP(DATOS!$I4420,CONFIG_ASIGNATURAS!$B$2:$J$91,9,FALSE()),""))</f>
      </c>
    </row>
    <row r="4421">
      <c r="F4421">
        <f>IF(DATOS!$A4421="","",DATOS!$A4421&amp;"|"&amp;DATOS!$D4421&amp;"|"&amp;DATOS!$E4421&amp;"|"&amp;DATOS!$I4421)</f>
      </c>
      <c r="G4421">
        <f>IF(DATOS!$A4421="",0,IF(CONFIG_METADATA!$B$4&lt;&gt;"OR+EX",--(DATOS!$G4421=CONFIG_METADATA!$B$4),IF(DATOS!$G4421="EX",1,IF(DATOS!$G4421="OR",--(COUNTIFS(nNIA,DATOS!$A4421,nCURSO,DATOS!$D4421,nESPEC,DATOS!$E4421,nASIG,DATOS!$I4421,nEVAL,"EX")=0),0))))</f>
      </c>
      <c r="H4421">
        <f>IF(DATOS!$G4421&lt;&gt;"EX",0,--(COUNTIFS(nNIA,DATOS!$A4421,nCURSO,DATOS!$D4421,nESPEC,DATOS!$E4421,nASIG,DATOS!$I4421,nEVAL,"OR")=0))</f>
      </c>
      <c r="I4421">
        <f>IF(DATOS!$I4421="","",IFERROR(VLOOKUP(DATOS!$I4421,CONFIG_ASIGNATURAS!$B$2:$J$91,9,FALSE()),""))</f>
      </c>
    </row>
    <row r="4422">
      <c r="F4422">
        <f>IF(DATOS!$A4422="","",DATOS!$A4422&amp;"|"&amp;DATOS!$D4422&amp;"|"&amp;DATOS!$E4422&amp;"|"&amp;DATOS!$I4422)</f>
      </c>
      <c r="G4422">
        <f>IF(DATOS!$A4422="",0,IF(CONFIG_METADATA!$B$4&lt;&gt;"OR+EX",--(DATOS!$G4422=CONFIG_METADATA!$B$4),IF(DATOS!$G4422="EX",1,IF(DATOS!$G4422="OR",--(COUNTIFS(nNIA,DATOS!$A4422,nCURSO,DATOS!$D4422,nESPEC,DATOS!$E4422,nASIG,DATOS!$I4422,nEVAL,"EX")=0),0))))</f>
      </c>
      <c r="H4422">
        <f>IF(DATOS!$G4422&lt;&gt;"EX",0,--(COUNTIFS(nNIA,DATOS!$A4422,nCURSO,DATOS!$D4422,nESPEC,DATOS!$E4422,nASIG,DATOS!$I4422,nEVAL,"OR")=0))</f>
      </c>
      <c r="I4422">
        <f>IF(DATOS!$I4422="","",IFERROR(VLOOKUP(DATOS!$I4422,CONFIG_ASIGNATURAS!$B$2:$J$91,9,FALSE()),""))</f>
      </c>
    </row>
    <row r="4423">
      <c r="F4423">
        <f>IF(DATOS!$A4423="","",DATOS!$A4423&amp;"|"&amp;DATOS!$D4423&amp;"|"&amp;DATOS!$E4423&amp;"|"&amp;DATOS!$I4423)</f>
      </c>
      <c r="G4423">
        <f>IF(DATOS!$A4423="",0,IF(CONFIG_METADATA!$B$4&lt;&gt;"OR+EX",--(DATOS!$G4423=CONFIG_METADATA!$B$4),IF(DATOS!$G4423="EX",1,IF(DATOS!$G4423="OR",--(COUNTIFS(nNIA,DATOS!$A4423,nCURSO,DATOS!$D4423,nESPEC,DATOS!$E4423,nASIG,DATOS!$I4423,nEVAL,"EX")=0),0))))</f>
      </c>
      <c r="H4423">
        <f>IF(DATOS!$G4423&lt;&gt;"EX",0,--(COUNTIFS(nNIA,DATOS!$A4423,nCURSO,DATOS!$D4423,nESPEC,DATOS!$E4423,nASIG,DATOS!$I4423,nEVAL,"OR")=0))</f>
      </c>
      <c r="I4423">
        <f>IF(DATOS!$I4423="","",IFERROR(VLOOKUP(DATOS!$I4423,CONFIG_ASIGNATURAS!$B$2:$J$91,9,FALSE()),""))</f>
      </c>
    </row>
    <row r="4424">
      <c r="F4424">
        <f>IF(DATOS!$A4424="","",DATOS!$A4424&amp;"|"&amp;DATOS!$D4424&amp;"|"&amp;DATOS!$E4424&amp;"|"&amp;DATOS!$I4424)</f>
      </c>
      <c r="G4424">
        <f>IF(DATOS!$A4424="",0,IF(CONFIG_METADATA!$B$4&lt;&gt;"OR+EX",--(DATOS!$G4424=CONFIG_METADATA!$B$4),IF(DATOS!$G4424="EX",1,IF(DATOS!$G4424="OR",--(COUNTIFS(nNIA,DATOS!$A4424,nCURSO,DATOS!$D4424,nESPEC,DATOS!$E4424,nASIG,DATOS!$I4424,nEVAL,"EX")=0),0))))</f>
      </c>
      <c r="H4424">
        <f>IF(DATOS!$G4424&lt;&gt;"EX",0,--(COUNTIFS(nNIA,DATOS!$A4424,nCURSO,DATOS!$D4424,nESPEC,DATOS!$E4424,nASIG,DATOS!$I4424,nEVAL,"OR")=0))</f>
      </c>
      <c r="I4424">
        <f>IF(DATOS!$I4424="","",IFERROR(VLOOKUP(DATOS!$I4424,CONFIG_ASIGNATURAS!$B$2:$J$91,9,FALSE()),""))</f>
      </c>
    </row>
    <row r="4425">
      <c r="F4425">
        <f>IF(DATOS!$A4425="","",DATOS!$A4425&amp;"|"&amp;DATOS!$D4425&amp;"|"&amp;DATOS!$E4425&amp;"|"&amp;DATOS!$I4425)</f>
      </c>
      <c r="G4425">
        <f>IF(DATOS!$A4425="",0,IF(CONFIG_METADATA!$B$4&lt;&gt;"OR+EX",--(DATOS!$G4425=CONFIG_METADATA!$B$4),IF(DATOS!$G4425="EX",1,IF(DATOS!$G4425="OR",--(COUNTIFS(nNIA,DATOS!$A4425,nCURSO,DATOS!$D4425,nESPEC,DATOS!$E4425,nASIG,DATOS!$I4425,nEVAL,"EX")=0),0))))</f>
      </c>
      <c r="H4425">
        <f>IF(DATOS!$G4425&lt;&gt;"EX",0,--(COUNTIFS(nNIA,DATOS!$A4425,nCURSO,DATOS!$D4425,nESPEC,DATOS!$E4425,nASIG,DATOS!$I4425,nEVAL,"OR")=0))</f>
      </c>
      <c r="I4425">
        <f>IF(DATOS!$I4425="","",IFERROR(VLOOKUP(DATOS!$I4425,CONFIG_ASIGNATURAS!$B$2:$J$91,9,FALSE()),""))</f>
      </c>
    </row>
    <row r="4426">
      <c r="F4426">
        <f>IF(DATOS!$A4426="","",DATOS!$A4426&amp;"|"&amp;DATOS!$D4426&amp;"|"&amp;DATOS!$E4426&amp;"|"&amp;DATOS!$I4426)</f>
      </c>
      <c r="G4426">
        <f>IF(DATOS!$A4426="",0,IF(CONFIG_METADATA!$B$4&lt;&gt;"OR+EX",--(DATOS!$G4426=CONFIG_METADATA!$B$4),IF(DATOS!$G4426="EX",1,IF(DATOS!$G4426="OR",--(COUNTIFS(nNIA,DATOS!$A4426,nCURSO,DATOS!$D4426,nESPEC,DATOS!$E4426,nASIG,DATOS!$I4426,nEVAL,"EX")=0),0))))</f>
      </c>
      <c r="H4426">
        <f>IF(DATOS!$G4426&lt;&gt;"EX",0,--(COUNTIFS(nNIA,DATOS!$A4426,nCURSO,DATOS!$D4426,nESPEC,DATOS!$E4426,nASIG,DATOS!$I4426,nEVAL,"OR")=0))</f>
      </c>
      <c r="I4426">
        <f>IF(DATOS!$I4426="","",IFERROR(VLOOKUP(DATOS!$I4426,CONFIG_ASIGNATURAS!$B$2:$J$91,9,FALSE()),""))</f>
      </c>
    </row>
    <row r="4427">
      <c r="F4427">
        <f>IF(DATOS!$A4427="","",DATOS!$A4427&amp;"|"&amp;DATOS!$D4427&amp;"|"&amp;DATOS!$E4427&amp;"|"&amp;DATOS!$I4427)</f>
      </c>
      <c r="G4427">
        <f>IF(DATOS!$A4427="",0,IF(CONFIG_METADATA!$B$4&lt;&gt;"OR+EX",--(DATOS!$G4427=CONFIG_METADATA!$B$4),IF(DATOS!$G4427="EX",1,IF(DATOS!$G4427="OR",--(COUNTIFS(nNIA,DATOS!$A4427,nCURSO,DATOS!$D4427,nESPEC,DATOS!$E4427,nASIG,DATOS!$I4427,nEVAL,"EX")=0),0))))</f>
      </c>
      <c r="H4427">
        <f>IF(DATOS!$G4427&lt;&gt;"EX",0,--(COUNTIFS(nNIA,DATOS!$A4427,nCURSO,DATOS!$D4427,nESPEC,DATOS!$E4427,nASIG,DATOS!$I4427,nEVAL,"OR")=0))</f>
      </c>
      <c r="I4427">
        <f>IF(DATOS!$I4427="","",IFERROR(VLOOKUP(DATOS!$I4427,CONFIG_ASIGNATURAS!$B$2:$J$91,9,FALSE()),""))</f>
      </c>
    </row>
    <row r="4428">
      <c r="F4428">
        <f>IF(DATOS!$A4428="","",DATOS!$A4428&amp;"|"&amp;DATOS!$D4428&amp;"|"&amp;DATOS!$E4428&amp;"|"&amp;DATOS!$I4428)</f>
      </c>
      <c r="G4428">
        <f>IF(DATOS!$A4428="",0,IF(CONFIG_METADATA!$B$4&lt;&gt;"OR+EX",--(DATOS!$G4428=CONFIG_METADATA!$B$4),IF(DATOS!$G4428="EX",1,IF(DATOS!$G4428="OR",--(COUNTIFS(nNIA,DATOS!$A4428,nCURSO,DATOS!$D4428,nESPEC,DATOS!$E4428,nASIG,DATOS!$I4428,nEVAL,"EX")=0),0))))</f>
      </c>
      <c r="H4428">
        <f>IF(DATOS!$G4428&lt;&gt;"EX",0,--(COUNTIFS(nNIA,DATOS!$A4428,nCURSO,DATOS!$D4428,nESPEC,DATOS!$E4428,nASIG,DATOS!$I4428,nEVAL,"OR")=0))</f>
      </c>
      <c r="I4428">
        <f>IF(DATOS!$I4428="","",IFERROR(VLOOKUP(DATOS!$I4428,CONFIG_ASIGNATURAS!$B$2:$J$91,9,FALSE()),""))</f>
      </c>
    </row>
    <row r="4429">
      <c r="F4429">
        <f>IF(DATOS!$A4429="","",DATOS!$A4429&amp;"|"&amp;DATOS!$D4429&amp;"|"&amp;DATOS!$E4429&amp;"|"&amp;DATOS!$I4429)</f>
      </c>
      <c r="G4429">
        <f>IF(DATOS!$A4429="",0,IF(CONFIG_METADATA!$B$4&lt;&gt;"OR+EX",--(DATOS!$G4429=CONFIG_METADATA!$B$4),IF(DATOS!$G4429="EX",1,IF(DATOS!$G4429="OR",--(COUNTIFS(nNIA,DATOS!$A4429,nCURSO,DATOS!$D4429,nESPEC,DATOS!$E4429,nASIG,DATOS!$I4429,nEVAL,"EX")=0),0))))</f>
      </c>
      <c r="H4429">
        <f>IF(DATOS!$G4429&lt;&gt;"EX",0,--(COUNTIFS(nNIA,DATOS!$A4429,nCURSO,DATOS!$D4429,nESPEC,DATOS!$E4429,nASIG,DATOS!$I4429,nEVAL,"OR")=0))</f>
      </c>
      <c r="I4429">
        <f>IF(DATOS!$I4429="","",IFERROR(VLOOKUP(DATOS!$I4429,CONFIG_ASIGNATURAS!$B$2:$J$91,9,FALSE()),""))</f>
      </c>
    </row>
    <row r="4430">
      <c r="F4430">
        <f>IF(DATOS!$A4430="","",DATOS!$A4430&amp;"|"&amp;DATOS!$D4430&amp;"|"&amp;DATOS!$E4430&amp;"|"&amp;DATOS!$I4430)</f>
      </c>
      <c r="G4430">
        <f>IF(DATOS!$A4430="",0,IF(CONFIG_METADATA!$B$4&lt;&gt;"OR+EX",--(DATOS!$G4430=CONFIG_METADATA!$B$4),IF(DATOS!$G4430="EX",1,IF(DATOS!$G4430="OR",--(COUNTIFS(nNIA,DATOS!$A4430,nCURSO,DATOS!$D4430,nESPEC,DATOS!$E4430,nASIG,DATOS!$I4430,nEVAL,"EX")=0),0))))</f>
      </c>
      <c r="H4430">
        <f>IF(DATOS!$G4430&lt;&gt;"EX",0,--(COUNTIFS(nNIA,DATOS!$A4430,nCURSO,DATOS!$D4430,nESPEC,DATOS!$E4430,nASIG,DATOS!$I4430,nEVAL,"OR")=0))</f>
      </c>
      <c r="I4430">
        <f>IF(DATOS!$I4430="","",IFERROR(VLOOKUP(DATOS!$I4430,CONFIG_ASIGNATURAS!$B$2:$J$91,9,FALSE()),""))</f>
      </c>
    </row>
    <row r="4431">
      <c r="F4431">
        <f>IF(DATOS!$A4431="","",DATOS!$A4431&amp;"|"&amp;DATOS!$D4431&amp;"|"&amp;DATOS!$E4431&amp;"|"&amp;DATOS!$I4431)</f>
      </c>
      <c r="G4431">
        <f>IF(DATOS!$A4431="",0,IF(CONFIG_METADATA!$B$4&lt;&gt;"OR+EX",--(DATOS!$G4431=CONFIG_METADATA!$B$4),IF(DATOS!$G4431="EX",1,IF(DATOS!$G4431="OR",--(COUNTIFS(nNIA,DATOS!$A4431,nCURSO,DATOS!$D4431,nESPEC,DATOS!$E4431,nASIG,DATOS!$I4431,nEVAL,"EX")=0),0))))</f>
      </c>
      <c r="H4431">
        <f>IF(DATOS!$G4431&lt;&gt;"EX",0,--(COUNTIFS(nNIA,DATOS!$A4431,nCURSO,DATOS!$D4431,nESPEC,DATOS!$E4431,nASIG,DATOS!$I4431,nEVAL,"OR")=0))</f>
      </c>
      <c r="I4431">
        <f>IF(DATOS!$I4431="","",IFERROR(VLOOKUP(DATOS!$I4431,CONFIG_ASIGNATURAS!$B$2:$J$91,9,FALSE()),""))</f>
      </c>
    </row>
    <row r="4432">
      <c r="F4432">
        <f>IF(DATOS!$A4432="","",DATOS!$A4432&amp;"|"&amp;DATOS!$D4432&amp;"|"&amp;DATOS!$E4432&amp;"|"&amp;DATOS!$I4432)</f>
      </c>
      <c r="G4432">
        <f>IF(DATOS!$A4432="",0,IF(CONFIG_METADATA!$B$4&lt;&gt;"OR+EX",--(DATOS!$G4432=CONFIG_METADATA!$B$4),IF(DATOS!$G4432="EX",1,IF(DATOS!$G4432="OR",--(COUNTIFS(nNIA,DATOS!$A4432,nCURSO,DATOS!$D4432,nESPEC,DATOS!$E4432,nASIG,DATOS!$I4432,nEVAL,"EX")=0),0))))</f>
      </c>
      <c r="H4432">
        <f>IF(DATOS!$G4432&lt;&gt;"EX",0,--(COUNTIFS(nNIA,DATOS!$A4432,nCURSO,DATOS!$D4432,nESPEC,DATOS!$E4432,nASIG,DATOS!$I4432,nEVAL,"OR")=0))</f>
      </c>
      <c r="I4432">
        <f>IF(DATOS!$I4432="","",IFERROR(VLOOKUP(DATOS!$I4432,CONFIG_ASIGNATURAS!$B$2:$J$91,9,FALSE()),""))</f>
      </c>
    </row>
    <row r="4433">
      <c r="F4433">
        <f>IF(DATOS!$A4433="","",DATOS!$A4433&amp;"|"&amp;DATOS!$D4433&amp;"|"&amp;DATOS!$E4433&amp;"|"&amp;DATOS!$I4433)</f>
      </c>
      <c r="G4433">
        <f>IF(DATOS!$A4433="",0,IF(CONFIG_METADATA!$B$4&lt;&gt;"OR+EX",--(DATOS!$G4433=CONFIG_METADATA!$B$4),IF(DATOS!$G4433="EX",1,IF(DATOS!$G4433="OR",--(COUNTIFS(nNIA,DATOS!$A4433,nCURSO,DATOS!$D4433,nESPEC,DATOS!$E4433,nASIG,DATOS!$I4433,nEVAL,"EX")=0),0))))</f>
      </c>
      <c r="H4433">
        <f>IF(DATOS!$G4433&lt;&gt;"EX",0,--(COUNTIFS(nNIA,DATOS!$A4433,nCURSO,DATOS!$D4433,nESPEC,DATOS!$E4433,nASIG,DATOS!$I4433,nEVAL,"OR")=0))</f>
      </c>
      <c r="I4433">
        <f>IF(DATOS!$I4433="","",IFERROR(VLOOKUP(DATOS!$I4433,CONFIG_ASIGNATURAS!$B$2:$J$91,9,FALSE()),""))</f>
      </c>
    </row>
    <row r="4434">
      <c r="F4434">
        <f>IF(DATOS!$A4434="","",DATOS!$A4434&amp;"|"&amp;DATOS!$D4434&amp;"|"&amp;DATOS!$E4434&amp;"|"&amp;DATOS!$I4434)</f>
      </c>
      <c r="G4434">
        <f>IF(DATOS!$A4434="",0,IF(CONFIG_METADATA!$B$4&lt;&gt;"OR+EX",--(DATOS!$G4434=CONFIG_METADATA!$B$4),IF(DATOS!$G4434="EX",1,IF(DATOS!$G4434="OR",--(COUNTIFS(nNIA,DATOS!$A4434,nCURSO,DATOS!$D4434,nESPEC,DATOS!$E4434,nASIG,DATOS!$I4434,nEVAL,"EX")=0),0))))</f>
      </c>
      <c r="H4434">
        <f>IF(DATOS!$G4434&lt;&gt;"EX",0,--(COUNTIFS(nNIA,DATOS!$A4434,nCURSO,DATOS!$D4434,nESPEC,DATOS!$E4434,nASIG,DATOS!$I4434,nEVAL,"OR")=0))</f>
      </c>
      <c r="I4434">
        <f>IF(DATOS!$I4434="","",IFERROR(VLOOKUP(DATOS!$I4434,CONFIG_ASIGNATURAS!$B$2:$J$91,9,FALSE()),""))</f>
      </c>
    </row>
    <row r="4435">
      <c r="F4435">
        <f>IF(DATOS!$A4435="","",DATOS!$A4435&amp;"|"&amp;DATOS!$D4435&amp;"|"&amp;DATOS!$E4435&amp;"|"&amp;DATOS!$I4435)</f>
      </c>
      <c r="G4435">
        <f>IF(DATOS!$A4435="",0,IF(CONFIG_METADATA!$B$4&lt;&gt;"OR+EX",--(DATOS!$G4435=CONFIG_METADATA!$B$4),IF(DATOS!$G4435="EX",1,IF(DATOS!$G4435="OR",--(COUNTIFS(nNIA,DATOS!$A4435,nCURSO,DATOS!$D4435,nESPEC,DATOS!$E4435,nASIG,DATOS!$I4435,nEVAL,"EX")=0),0))))</f>
      </c>
      <c r="H4435">
        <f>IF(DATOS!$G4435&lt;&gt;"EX",0,--(COUNTIFS(nNIA,DATOS!$A4435,nCURSO,DATOS!$D4435,nESPEC,DATOS!$E4435,nASIG,DATOS!$I4435,nEVAL,"OR")=0))</f>
      </c>
      <c r="I4435">
        <f>IF(DATOS!$I4435="","",IFERROR(VLOOKUP(DATOS!$I4435,CONFIG_ASIGNATURAS!$B$2:$J$91,9,FALSE()),""))</f>
      </c>
    </row>
    <row r="4436">
      <c r="F4436">
        <f>IF(DATOS!$A4436="","",DATOS!$A4436&amp;"|"&amp;DATOS!$D4436&amp;"|"&amp;DATOS!$E4436&amp;"|"&amp;DATOS!$I4436)</f>
      </c>
      <c r="G4436">
        <f>IF(DATOS!$A4436="",0,IF(CONFIG_METADATA!$B$4&lt;&gt;"OR+EX",--(DATOS!$G4436=CONFIG_METADATA!$B$4),IF(DATOS!$G4436="EX",1,IF(DATOS!$G4436="OR",--(COUNTIFS(nNIA,DATOS!$A4436,nCURSO,DATOS!$D4436,nESPEC,DATOS!$E4436,nASIG,DATOS!$I4436,nEVAL,"EX")=0),0))))</f>
      </c>
      <c r="H4436">
        <f>IF(DATOS!$G4436&lt;&gt;"EX",0,--(COUNTIFS(nNIA,DATOS!$A4436,nCURSO,DATOS!$D4436,nESPEC,DATOS!$E4436,nASIG,DATOS!$I4436,nEVAL,"OR")=0))</f>
      </c>
      <c r="I4436">
        <f>IF(DATOS!$I4436="","",IFERROR(VLOOKUP(DATOS!$I4436,CONFIG_ASIGNATURAS!$B$2:$J$91,9,FALSE()),""))</f>
      </c>
    </row>
    <row r="4437">
      <c r="F4437">
        <f>IF(DATOS!$A4437="","",DATOS!$A4437&amp;"|"&amp;DATOS!$D4437&amp;"|"&amp;DATOS!$E4437&amp;"|"&amp;DATOS!$I4437)</f>
      </c>
      <c r="G4437">
        <f>IF(DATOS!$A4437="",0,IF(CONFIG_METADATA!$B$4&lt;&gt;"OR+EX",--(DATOS!$G4437=CONFIG_METADATA!$B$4),IF(DATOS!$G4437="EX",1,IF(DATOS!$G4437="OR",--(COUNTIFS(nNIA,DATOS!$A4437,nCURSO,DATOS!$D4437,nESPEC,DATOS!$E4437,nASIG,DATOS!$I4437,nEVAL,"EX")=0),0))))</f>
      </c>
      <c r="H4437">
        <f>IF(DATOS!$G4437&lt;&gt;"EX",0,--(COUNTIFS(nNIA,DATOS!$A4437,nCURSO,DATOS!$D4437,nESPEC,DATOS!$E4437,nASIG,DATOS!$I4437,nEVAL,"OR")=0))</f>
      </c>
      <c r="I4437">
        <f>IF(DATOS!$I4437="","",IFERROR(VLOOKUP(DATOS!$I4437,CONFIG_ASIGNATURAS!$B$2:$J$91,9,FALSE()),""))</f>
      </c>
    </row>
    <row r="4438">
      <c r="F4438">
        <f>IF(DATOS!$A4438="","",DATOS!$A4438&amp;"|"&amp;DATOS!$D4438&amp;"|"&amp;DATOS!$E4438&amp;"|"&amp;DATOS!$I4438)</f>
      </c>
      <c r="G4438">
        <f>IF(DATOS!$A4438="",0,IF(CONFIG_METADATA!$B$4&lt;&gt;"OR+EX",--(DATOS!$G4438=CONFIG_METADATA!$B$4),IF(DATOS!$G4438="EX",1,IF(DATOS!$G4438="OR",--(COUNTIFS(nNIA,DATOS!$A4438,nCURSO,DATOS!$D4438,nESPEC,DATOS!$E4438,nASIG,DATOS!$I4438,nEVAL,"EX")=0),0))))</f>
      </c>
      <c r="H4438">
        <f>IF(DATOS!$G4438&lt;&gt;"EX",0,--(COUNTIFS(nNIA,DATOS!$A4438,nCURSO,DATOS!$D4438,nESPEC,DATOS!$E4438,nASIG,DATOS!$I4438,nEVAL,"OR")=0))</f>
      </c>
      <c r="I4438">
        <f>IF(DATOS!$I4438="","",IFERROR(VLOOKUP(DATOS!$I4438,CONFIG_ASIGNATURAS!$B$2:$J$91,9,FALSE()),""))</f>
      </c>
    </row>
    <row r="4439">
      <c r="F4439">
        <f>IF(DATOS!$A4439="","",DATOS!$A4439&amp;"|"&amp;DATOS!$D4439&amp;"|"&amp;DATOS!$E4439&amp;"|"&amp;DATOS!$I4439)</f>
      </c>
      <c r="G4439">
        <f>IF(DATOS!$A4439="",0,IF(CONFIG_METADATA!$B$4&lt;&gt;"OR+EX",--(DATOS!$G4439=CONFIG_METADATA!$B$4),IF(DATOS!$G4439="EX",1,IF(DATOS!$G4439="OR",--(COUNTIFS(nNIA,DATOS!$A4439,nCURSO,DATOS!$D4439,nESPEC,DATOS!$E4439,nASIG,DATOS!$I4439,nEVAL,"EX")=0),0))))</f>
      </c>
      <c r="H4439">
        <f>IF(DATOS!$G4439&lt;&gt;"EX",0,--(COUNTIFS(nNIA,DATOS!$A4439,nCURSO,DATOS!$D4439,nESPEC,DATOS!$E4439,nASIG,DATOS!$I4439,nEVAL,"OR")=0))</f>
      </c>
      <c r="I4439">
        <f>IF(DATOS!$I4439="","",IFERROR(VLOOKUP(DATOS!$I4439,CONFIG_ASIGNATURAS!$B$2:$J$91,9,FALSE()),""))</f>
      </c>
    </row>
    <row r="4440">
      <c r="F4440">
        <f>IF(DATOS!$A4440="","",DATOS!$A4440&amp;"|"&amp;DATOS!$D4440&amp;"|"&amp;DATOS!$E4440&amp;"|"&amp;DATOS!$I4440)</f>
      </c>
      <c r="G4440">
        <f>IF(DATOS!$A4440="",0,IF(CONFIG_METADATA!$B$4&lt;&gt;"OR+EX",--(DATOS!$G4440=CONFIG_METADATA!$B$4),IF(DATOS!$G4440="EX",1,IF(DATOS!$G4440="OR",--(COUNTIFS(nNIA,DATOS!$A4440,nCURSO,DATOS!$D4440,nESPEC,DATOS!$E4440,nASIG,DATOS!$I4440,nEVAL,"EX")=0),0))))</f>
      </c>
      <c r="H4440">
        <f>IF(DATOS!$G4440&lt;&gt;"EX",0,--(COUNTIFS(nNIA,DATOS!$A4440,nCURSO,DATOS!$D4440,nESPEC,DATOS!$E4440,nASIG,DATOS!$I4440,nEVAL,"OR")=0))</f>
      </c>
      <c r="I4440">
        <f>IF(DATOS!$I4440="","",IFERROR(VLOOKUP(DATOS!$I4440,CONFIG_ASIGNATURAS!$B$2:$J$91,9,FALSE()),""))</f>
      </c>
    </row>
    <row r="4441">
      <c r="F4441">
        <f>IF(DATOS!$A4441="","",DATOS!$A4441&amp;"|"&amp;DATOS!$D4441&amp;"|"&amp;DATOS!$E4441&amp;"|"&amp;DATOS!$I4441)</f>
      </c>
      <c r="G4441">
        <f>IF(DATOS!$A4441="",0,IF(CONFIG_METADATA!$B$4&lt;&gt;"OR+EX",--(DATOS!$G4441=CONFIG_METADATA!$B$4),IF(DATOS!$G4441="EX",1,IF(DATOS!$G4441="OR",--(COUNTIFS(nNIA,DATOS!$A4441,nCURSO,DATOS!$D4441,nESPEC,DATOS!$E4441,nASIG,DATOS!$I4441,nEVAL,"EX")=0),0))))</f>
      </c>
      <c r="H4441">
        <f>IF(DATOS!$G4441&lt;&gt;"EX",0,--(COUNTIFS(nNIA,DATOS!$A4441,nCURSO,DATOS!$D4441,nESPEC,DATOS!$E4441,nASIG,DATOS!$I4441,nEVAL,"OR")=0))</f>
      </c>
      <c r="I4441">
        <f>IF(DATOS!$I4441="","",IFERROR(VLOOKUP(DATOS!$I4441,CONFIG_ASIGNATURAS!$B$2:$J$91,9,FALSE()),""))</f>
      </c>
    </row>
    <row r="4442">
      <c r="F4442">
        <f>IF(DATOS!$A4442="","",DATOS!$A4442&amp;"|"&amp;DATOS!$D4442&amp;"|"&amp;DATOS!$E4442&amp;"|"&amp;DATOS!$I4442)</f>
      </c>
      <c r="G4442">
        <f>IF(DATOS!$A4442="",0,IF(CONFIG_METADATA!$B$4&lt;&gt;"OR+EX",--(DATOS!$G4442=CONFIG_METADATA!$B$4),IF(DATOS!$G4442="EX",1,IF(DATOS!$G4442="OR",--(COUNTIFS(nNIA,DATOS!$A4442,nCURSO,DATOS!$D4442,nESPEC,DATOS!$E4442,nASIG,DATOS!$I4442,nEVAL,"EX")=0),0))))</f>
      </c>
      <c r="H4442">
        <f>IF(DATOS!$G4442&lt;&gt;"EX",0,--(COUNTIFS(nNIA,DATOS!$A4442,nCURSO,DATOS!$D4442,nESPEC,DATOS!$E4442,nASIG,DATOS!$I4442,nEVAL,"OR")=0))</f>
      </c>
      <c r="I4442">
        <f>IF(DATOS!$I4442="","",IFERROR(VLOOKUP(DATOS!$I4442,CONFIG_ASIGNATURAS!$B$2:$J$91,9,FALSE()),""))</f>
      </c>
    </row>
    <row r="4443">
      <c r="F4443">
        <f>IF(DATOS!$A4443="","",DATOS!$A4443&amp;"|"&amp;DATOS!$D4443&amp;"|"&amp;DATOS!$E4443&amp;"|"&amp;DATOS!$I4443)</f>
      </c>
      <c r="G4443">
        <f>IF(DATOS!$A4443="",0,IF(CONFIG_METADATA!$B$4&lt;&gt;"OR+EX",--(DATOS!$G4443=CONFIG_METADATA!$B$4),IF(DATOS!$G4443="EX",1,IF(DATOS!$G4443="OR",--(COUNTIFS(nNIA,DATOS!$A4443,nCURSO,DATOS!$D4443,nESPEC,DATOS!$E4443,nASIG,DATOS!$I4443,nEVAL,"EX")=0),0))))</f>
      </c>
      <c r="H4443">
        <f>IF(DATOS!$G4443&lt;&gt;"EX",0,--(COUNTIFS(nNIA,DATOS!$A4443,nCURSO,DATOS!$D4443,nESPEC,DATOS!$E4443,nASIG,DATOS!$I4443,nEVAL,"OR")=0))</f>
      </c>
      <c r="I4443">
        <f>IF(DATOS!$I4443="","",IFERROR(VLOOKUP(DATOS!$I4443,CONFIG_ASIGNATURAS!$B$2:$J$91,9,FALSE()),""))</f>
      </c>
    </row>
    <row r="4444">
      <c r="F4444">
        <f>IF(DATOS!$A4444="","",DATOS!$A4444&amp;"|"&amp;DATOS!$D4444&amp;"|"&amp;DATOS!$E4444&amp;"|"&amp;DATOS!$I4444)</f>
      </c>
      <c r="G4444">
        <f>IF(DATOS!$A4444="",0,IF(CONFIG_METADATA!$B$4&lt;&gt;"OR+EX",--(DATOS!$G4444=CONFIG_METADATA!$B$4),IF(DATOS!$G4444="EX",1,IF(DATOS!$G4444="OR",--(COUNTIFS(nNIA,DATOS!$A4444,nCURSO,DATOS!$D4444,nESPEC,DATOS!$E4444,nASIG,DATOS!$I4444,nEVAL,"EX")=0),0))))</f>
      </c>
      <c r="H4444">
        <f>IF(DATOS!$G4444&lt;&gt;"EX",0,--(COUNTIFS(nNIA,DATOS!$A4444,nCURSO,DATOS!$D4444,nESPEC,DATOS!$E4444,nASIG,DATOS!$I4444,nEVAL,"OR")=0))</f>
      </c>
      <c r="I4444">
        <f>IF(DATOS!$I4444="","",IFERROR(VLOOKUP(DATOS!$I4444,CONFIG_ASIGNATURAS!$B$2:$J$91,9,FALSE()),""))</f>
      </c>
    </row>
    <row r="4445">
      <c r="F4445">
        <f>IF(DATOS!$A4445="","",DATOS!$A4445&amp;"|"&amp;DATOS!$D4445&amp;"|"&amp;DATOS!$E4445&amp;"|"&amp;DATOS!$I4445)</f>
      </c>
      <c r="G4445">
        <f>IF(DATOS!$A4445="",0,IF(CONFIG_METADATA!$B$4&lt;&gt;"OR+EX",--(DATOS!$G4445=CONFIG_METADATA!$B$4),IF(DATOS!$G4445="EX",1,IF(DATOS!$G4445="OR",--(COUNTIFS(nNIA,DATOS!$A4445,nCURSO,DATOS!$D4445,nESPEC,DATOS!$E4445,nASIG,DATOS!$I4445,nEVAL,"EX")=0),0))))</f>
      </c>
      <c r="H4445">
        <f>IF(DATOS!$G4445&lt;&gt;"EX",0,--(COUNTIFS(nNIA,DATOS!$A4445,nCURSO,DATOS!$D4445,nESPEC,DATOS!$E4445,nASIG,DATOS!$I4445,nEVAL,"OR")=0))</f>
      </c>
      <c r="I4445">
        <f>IF(DATOS!$I4445="","",IFERROR(VLOOKUP(DATOS!$I4445,CONFIG_ASIGNATURAS!$B$2:$J$91,9,FALSE()),""))</f>
      </c>
    </row>
    <row r="4446">
      <c r="F4446">
        <f>IF(DATOS!$A4446="","",DATOS!$A4446&amp;"|"&amp;DATOS!$D4446&amp;"|"&amp;DATOS!$E4446&amp;"|"&amp;DATOS!$I4446)</f>
      </c>
      <c r="G4446">
        <f>IF(DATOS!$A4446="",0,IF(CONFIG_METADATA!$B$4&lt;&gt;"OR+EX",--(DATOS!$G4446=CONFIG_METADATA!$B$4),IF(DATOS!$G4446="EX",1,IF(DATOS!$G4446="OR",--(COUNTIFS(nNIA,DATOS!$A4446,nCURSO,DATOS!$D4446,nESPEC,DATOS!$E4446,nASIG,DATOS!$I4446,nEVAL,"EX")=0),0))))</f>
      </c>
      <c r="H4446">
        <f>IF(DATOS!$G4446&lt;&gt;"EX",0,--(COUNTIFS(nNIA,DATOS!$A4446,nCURSO,DATOS!$D4446,nESPEC,DATOS!$E4446,nASIG,DATOS!$I4446,nEVAL,"OR")=0))</f>
      </c>
      <c r="I4446">
        <f>IF(DATOS!$I4446="","",IFERROR(VLOOKUP(DATOS!$I4446,CONFIG_ASIGNATURAS!$B$2:$J$91,9,FALSE()),""))</f>
      </c>
    </row>
    <row r="4447">
      <c r="F4447">
        <f>IF(DATOS!$A4447="","",DATOS!$A4447&amp;"|"&amp;DATOS!$D4447&amp;"|"&amp;DATOS!$E4447&amp;"|"&amp;DATOS!$I4447)</f>
      </c>
      <c r="G4447">
        <f>IF(DATOS!$A4447="",0,IF(CONFIG_METADATA!$B$4&lt;&gt;"OR+EX",--(DATOS!$G4447=CONFIG_METADATA!$B$4),IF(DATOS!$G4447="EX",1,IF(DATOS!$G4447="OR",--(COUNTIFS(nNIA,DATOS!$A4447,nCURSO,DATOS!$D4447,nESPEC,DATOS!$E4447,nASIG,DATOS!$I4447,nEVAL,"EX")=0),0))))</f>
      </c>
      <c r="H4447">
        <f>IF(DATOS!$G4447&lt;&gt;"EX",0,--(COUNTIFS(nNIA,DATOS!$A4447,nCURSO,DATOS!$D4447,nESPEC,DATOS!$E4447,nASIG,DATOS!$I4447,nEVAL,"OR")=0))</f>
      </c>
      <c r="I4447">
        <f>IF(DATOS!$I4447="","",IFERROR(VLOOKUP(DATOS!$I4447,CONFIG_ASIGNATURAS!$B$2:$J$91,9,FALSE()),""))</f>
      </c>
    </row>
    <row r="4448">
      <c r="F4448">
        <f>IF(DATOS!$A4448="","",DATOS!$A4448&amp;"|"&amp;DATOS!$D4448&amp;"|"&amp;DATOS!$E4448&amp;"|"&amp;DATOS!$I4448)</f>
      </c>
      <c r="G4448">
        <f>IF(DATOS!$A4448="",0,IF(CONFIG_METADATA!$B$4&lt;&gt;"OR+EX",--(DATOS!$G4448=CONFIG_METADATA!$B$4),IF(DATOS!$G4448="EX",1,IF(DATOS!$G4448="OR",--(COUNTIFS(nNIA,DATOS!$A4448,nCURSO,DATOS!$D4448,nESPEC,DATOS!$E4448,nASIG,DATOS!$I4448,nEVAL,"EX")=0),0))))</f>
      </c>
      <c r="H4448">
        <f>IF(DATOS!$G4448&lt;&gt;"EX",0,--(COUNTIFS(nNIA,DATOS!$A4448,nCURSO,DATOS!$D4448,nESPEC,DATOS!$E4448,nASIG,DATOS!$I4448,nEVAL,"OR")=0))</f>
      </c>
      <c r="I4448">
        <f>IF(DATOS!$I4448="","",IFERROR(VLOOKUP(DATOS!$I4448,CONFIG_ASIGNATURAS!$B$2:$J$91,9,FALSE()),""))</f>
      </c>
    </row>
    <row r="4449">
      <c r="F4449">
        <f>IF(DATOS!$A4449="","",DATOS!$A4449&amp;"|"&amp;DATOS!$D4449&amp;"|"&amp;DATOS!$E4449&amp;"|"&amp;DATOS!$I4449)</f>
      </c>
      <c r="G4449">
        <f>IF(DATOS!$A4449="",0,IF(CONFIG_METADATA!$B$4&lt;&gt;"OR+EX",--(DATOS!$G4449=CONFIG_METADATA!$B$4),IF(DATOS!$G4449="EX",1,IF(DATOS!$G4449="OR",--(COUNTIFS(nNIA,DATOS!$A4449,nCURSO,DATOS!$D4449,nESPEC,DATOS!$E4449,nASIG,DATOS!$I4449,nEVAL,"EX")=0),0))))</f>
      </c>
      <c r="H4449">
        <f>IF(DATOS!$G4449&lt;&gt;"EX",0,--(COUNTIFS(nNIA,DATOS!$A4449,nCURSO,DATOS!$D4449,nESPEC,DATOS!$E4449,nASIG,DATOS!$I4449,nEVAL,"OR")=0))</f>
      </c>
      <c r="I4449">
        <f>IF(DATOS!$I4449="","",IFERROR(VLOOKUP(DATOS!$I4449,CONFIG_ASIGNATURAS!$B$2:$J$91,9,FALSE()),""))</f>
      </c>
    </row>
    <row r="4450">
      <c r="F4450">
        <f>IF(DATOS!$A4450="","",DATOS!$A4450&amp;"|"&amp;DATOS!$D4450&amp;"|"&amp;DATOS!$E4450&amp;"|"&amp;DATOS!$I4450)</f>
      </c>
      <c r="G4450">
        <f>IF(DATOS!$A4450="",0,IF(CONFIG_METADATA!$B$4&lt;&gt;"OR+EX",--(DATOS!$G4450=CONFIG_METADATA!$B$4),IF(DATOS!$G4450="EX",1,IF(DATOS!$G4450="OR",--(COUNTIFS(nNIA,DATOS!$A4450,nCURSO,DATOS!$D4450,nESPEC,DATOS!$E4450,nASIG,DATOS!$I4450,nEVAL,"EX")=0),0))))</f>
      </c>
      <c r="H4450">
        <f>IF(DATOS!$G4450&lt;&gt;"EX",0,--(COUNTIFS(nNIA,DATOS!$A4450,nCURSO,DATOS!$D4450,nESPEC,DATOS!$E4450,nASIG,DATOS!$I4450,nEVAL,"OR")=0))</f>
      </c>
      <c r="I4450">
        <f>IF(DATOS!$I4450="","",IFERROR(VLOOKUP(DATOS!$I4450,CONFIG_ASIGNATURAS!$B$2:$J$91,9,FALSE()),""))</f>
      </c>
    </row>
    <row r="4451">
      <c r="F4451">
        <f>IF(DATOS!$A4451="","",DATOS!$A4451&amp;"|"&amp;DATOS!$D4451&amp;"|"&amp;DATOS!$E4451&amp;"|"&amp;DATOS!$I4451)</f>
      </c>
      <c r="G4451">
        <f>IF(DATOS!$A4451="",0,IF(CONFIG_METADATA!$B$4&lt;&gt;"OR+EX",--(DATOS!$G4451=CONFIG_METADATA!$B$4),IF(DATOS!$G4451="EX",1,IF(DATOS!$G4451="OR",--(COUNTIFS(nNIA,DATOS!$A4451,nCURSO,DATOS!$D4451,nESPEC,DATOS!$E4451,nASIG,DATOS!$I4451,nEVAL,"EX")=0),0))))</f>
      </c>
      <c r="H4451">
        <f>IF(DATOS!$G4451&lt;&gt;"EX",0,--(COUNTIFS(nNIA,DATOS!$A4451,nCURSO,DATOS!$D4451,nESPEC,DATOS!$E4451,nASIG,DATOS!$I4451,nEVAL,"OR")=0))</f>
      </c>
      <c r="I4451">
        <f>IF(DATOS!$I4451="","",IFERROR(VLOOKUP(DATOS!$I4451,CONFIG_ASIGNATURAS!$B$2:$J$91,9,FALSE()),""))</f>
      </c>
    </row>
    <row r="4452">
      <c r="F4452">
        <f>IF(DATOS!$A4452="","",DATOS!$A4452&amp;"|"&amp;DATOS!$D4452&amp;"|"&amp;DATOS!$E4452&amp;"|"&amp;DATOS!$I4452)</f>
      </c>
      <c r="G4452">
        <f>IF(DATOS!$A4452="",0,IF(CONFIG_METADATA!$B$4&lt;&gt;"OR+EX",--(DATOS!$G4452=CONFIG_METADATA!$B$4),IF(DATOS!$G4452="EX",1,IF(DATOS!$G4452="OR",--(COUNTIFS(nNIA,DATOS!$A4452,nCURSO,DATOS!$D4452,nESPEC,DATOS!$E4452,nASIG,DATOS!$I4452,nEVAL,"EX")=0),0))))</f>
      </c>
      <c r="H4452">
        <f>IF(DATOS!$G4452&lt;&gt;"EX",0,--(COUNTIFS(nNIA,DATOS!$A4452,nCURSO,DATOS!$D4452,nESPEC,DATOS!$E4452,nASIG,DATOS!$I4452,nEVAL,"OR")=0))</f>
      </c>
      <c r="I4452">
        <f>IF(DATOS!$I4452="","",IFERROR(VLOOKUP(DATOS!$I4452,CONFIG_ASIGNATURAS!$B$2:$J$91,9,FALSE()),""))</f>
      </c>
    </row>
    <row r="4453">
      <c r="F4453">
        <f>IF(DATOS!$A4453="","",DATOS!$A4453&amp;"|"&amp;DATOS!$D4453&amp;"|"&amp;DATOS!$E4453&amp;"|"&amp;DATOS!$I4453)</f>
      </c>
      <c r="G4453">
        <f>IF(DATOS!$A4453="",0,IF(CONFIG_METADATA!$B$4&lt;&gt;"OR+EX",--(DATOS!$G4453=CONFIG_METADATA!$B$4),IF(DATOS!$G4453="EX",1,IF(DATOS!$G4453="OR",--(COUNTIFS(nNIA,DATOS!$A4453,nCURSO,DATOS!$D4453,nESPEC,DATOS!$E4453,nASIG,DATOS!$I4453,nEVAL,"EX")=0),0))))</f>
      </c>
      <c r="H4453">
        <f>IF(DATOS!$G4453&lt;&gt;"EX",0,--(COUNTIFS(nNIA,DATOS!$A4453,nCURSO,DATOS!$D4453,nESPEC,DATOS!$E4453,nASIG,DATOS!$I4453,nEVAL,"OR")=0))</f>
      </c>
      <c r="I4453">
        <f>IF(DATOS!$I4453="","",IFERROR(VLOOKUP(DATOS!$I4453,CONFIG_ASIGNATURAS!$B$2:$J$91,9,FALSE()),""))</f>
      </c>
    </row>
    <row r="4454">
      <c r="F4454">
        <f>IF(DATOS!$A4454="","",DATOS!$A4454&amp;"|"&amp;DATOS!$D4454&amp;"|"&amp;DATOS!$E4454&amp;"|"&amp;DATOS!$I4454)</f>
      </c>
      <c r="G4454">
        <f>IF(DATOS!$A4454="",0,IF(CONFIG_METADATA!$B$4&lt;&gt;"OR+EX",--(DATOS!$G4454=CONFIG_METADATA!$B$4),IF(DATOS!$G4454="EX",1,IF(DATOS!$G4454="OR",--(COUNTIFS(nNIA,DATOS!$A4454,nCURSO,DATOS!$D4454,nESPEC,DATOS!$E4454,nASIG,DATOS!$I4454,nEVAL,"EX")=0),0))))</f>
      </c>
      <c r="H4454">
        <f>IF(DATOS!$G4454&lt;&gt;"EX",0,--(COUNTIFS(nNIA,DATOS!$A4454,nCURSO,DATOS!$D4454,nESPEC,DATOS!$E4454,nASIG,DATOS!$I4454,nEVAL,"OR")=0))</f>
      </c>
      <c r="I4454">
        <f>IF(DATOS!$I4454="","",IFERROR(VLOOKUP(DATOS!$I4454,CONFIG_ASIGNATURAS!$B$2:$J$91,9,FALSE()),""))</f>
      </c>
    </row>
    <row r="4455">
      <c r="F4455">
        <f>IF(DATOS!$A4455="","",DATOS!$A4455&amp;"|"&amp;DATOS!$D4455&amp;"|"&amp;DATOS!$E4455&amp;"|"&amp;DATOS!$I4455)</f>
      </c>
      <c r="G4455">
        <f>IF(DATOS!$A4455="",0,IF(CONFIG_METADATA!$B$4&lt;&gt;"OR+EX",--(DATOS!$G4455=CONFIG_METADATA!$B$4),IF(DATOS!$G4455="EX",1,IF(DATOS!$G4455="OR",--(COUNTIFS(nNIA,DATOS!$A4455,nCURSO,DATOS!$D4455,nESPEC,DATOS!$E4455,nASIG,DATOS!$I4455,nEVAL,"EX")=0),0))))</f>
      </c>
      <c r="H4455">
        <f>IF(DATOS!$G4455&lt;&gt;"EX",0,--(COUNTIFS(nNIA,DATOS!$A4455,nCURSO,DATOS!$D4455,nESPEC,DATOS!$E4455,nASIG,DATOS!$I4455,nEVAL,"OR")=0))</f>
      </c>
      <c r="I4455">
        <f>IF(DATOS!$I4455="","",IFERROR(VLOOKUP(DATOS!$I4455,CONFIG_ASIGNATURAS!$B$2:$J$91,9,FALSE()),""))</f>
      </c>
    </row>
    <row r="4456">
      <c r="F4456">
        <f>IF(DATOS!$A4456="","",DATOS!$A4456&amp;"|"&amp;DATOS!$D4456&amp;"|"&amp;DATOS!$E4456&amp;"|"&amp;DATOS!$I4456)</f>
      </c>
      <c r="G4456">
        <f>IF(DATOS!$A4456="",0,IF(CONFIG_METADATA!$B$4&lt;&gt;"OR+EX",--(DATOS!$G4456=CONFIG_METADATA!$B$4),IF(DATOS!$G4456="EX",1,IF(DATOS!$G4456="OR",--(COUNTIFS(nNIA,DATOS!$A4456,nCURSO,DATOS!$D4456,nESPEC,DATOS!$E4456,nASIG,DATOS!$I4456,nEVAL,"EX")=0),0))))</f>
      </c>
      <c r="H4456">
        <f>IF(DATOS!$G4456&lt;&gt;"EX",0,--(COUNTIFS(nNIA,DATOS!$A4456,nCURSO,DATOS!$D4456,nESPEC,DATOS!$E4456,nASIG,DATOS!$I4456,nEVAL,"OR")=0))</f>
      </c>
      <c r="I4456">
        <f>IF(DATOS!$I4456="","",IFERROR(VLOOKUP(DATOS!$I4456,CONFIG_ASIGNATURAS!$B$2:$J$91,9,FALSE()),""))</f>
      </c>
    </row>
    <row r="4457">
      <c r="F4457">
        <f>IF(DATOS!$A4457="","",DATOS!$A4457&amp;"|"&amp;DATOS!$D4457&amp;"|"&amp;DATOS!$E4457&amp;"|"&amp;DATOS!$I4457)</f>
      </c>
      <c r="G4457">
        <f>IF(DATOS!$A4457="",0,IF(CONFIG_METADATA!$B$4&lt;&gt;"OR+EX",--(DATOS!$G4457=CONFIG_METADATA!$B$4),IF(DATOS!$G4457="EX",1,IF(DATOS!$G4457="OR",--(COUNTIFS(nNIA,DATOS!$A4457,nCURSO,DATOS!$D4457,nESPEC,DATOS!$E4457,nASIG,DATOS!$I4457,nEVAL,"EX")=0),0))))</f>
      </c>
      <c r="H4457">
        <f>IF(DATOS!$G4457&lt;&gt;"EX",0,--(COUNTIFS(nNIA,DATOS!$A4457,nCURSO,DATOS!$D4457,nESPEC,DATOS!$E4457,nASIG,DATOS!$I4457,nEVAL,"OR")=0))</f>
      </c>
      <c r="I4457">
        <f>IF(DATOS!$I4457="","",IFERROR(VLOOKUP(DATOS!$I4457,CONFIG_ASIGNATURAS!$B$2:$J$91,9,FALSE()),""))</f>
      </c>
    </row>
    <row r="4458">
      <c r="F4458">
        <f>IF(DATOS!$A4458="","",DATOS!$A4458&amp;"|"&amp;DATOS!$D4458&amp;"|"&amp;DATOS!$E4458&amp;"|"&amp;DATOS!$I4458)</f>
      </c>
      <c r="G4458">
        <f>IF(DATOS!$A4458="",0,IF(CONFIG_METADATA!$B$4&lt;&gt;"OR+EX",--(DATOS!$G4458=CONFIG_METADATA!$B$4),IF(DATOS!$G4458="EX",1,IF(DATOS!$G4458="OR",--(COUNTIFS(nNIA,DATOS!$A4458,nCURSO,DATOS!$D4458,nESPEC,DATOS!$E4458,nASIG,DATOS!$I4458,nEVAL,"EX")=0),0))))</f>
      </c>
      <c r="H4458">
        <f>IF(DATOS!$G4458&lt;&gt;"EX",0,--(COUNTIFS(nNIA,DATOS!$A4458,nCURSO,DATOS!$D4458,nESPEC,DATOS!$E4458,nASIG,DATOS!$I4458,nEVAL,"OR")=0))</f>
      </c>
      <c r="I4458">
        <f>IF(DATOS!$I4458="","",IFERROR(VLOOKUP(DATOS!$I4458,CONFIG_ASIGNATURAS!$B$2:$J$91,9,FALSE()),""))</f>
      </c>
    </row>
    <row r="4459">
      <c r="F4459">
        <f>IF(DATOS!$A4459="","",DATOS!$A4459&amp;"|"&amp;DATOS!$D4459&amp;"|"&amp;DATOS!$E4459&amp;"|"&amp;DATOS!$I4459)</f>
      </c>
      <c r="G4459">
        <f>IF(DATOS!$A4459="",0,IF(CONFIG_METADATA!$B$4&lt;&gt;"OR+EX",--(DATOS!$G4459=CONFIG_METADATA!$B$4),IF(DATOS!$G4459="EX",1,IF(DATOS!$G4459="OR",--(COUNTIFS(nNIA,DATOS!$A4459,nCURSO,DATOS!$D4459,nESPEC,DATOS!$E4459,nASIG,DATOS!$I4459,nEVAL,"EX")=0),0))))</f>
      </c>
      <c r="H4459">
        <f>IF(DATOS!$G4459&lt;&gt;"EX",0,--(COUNTIFS(nNIA,DATOS!$A4459,nCURSO,DATOS!$D4459,nESPEC,DATOS!$E4459,nASIG,DATOS!$I4459,nEVAL,"OR")=0))</f>
      </c>
      <c r="I4459">
        <f>IF(DATOS!$I4459="","",IFERROR(VLOOKUP(DATOS!$I4459,CONFIG_ASIGNATURAS!$B$2:$J$91,9,FALSE()),""))</f>
      </c>
    </row>
    <row r="4460">
      <c r="F4460">
        <f>IF(DATOS!$A4460="","",DATOS!$A4460&amp;"|"&amp;DATOS!$D4460&amp;"|"&amp;DATOS!$E4460&amp;"|"&amp;DATOS!$I4460)</f>
      </c>
      <c r="G4460">
        <f>IF(DATOS!$A4460="",0,IF(CONFIG_METADATA!$B$4&lt;&gt;"OR+EX",--(DATOS!$G4460=CONFIG_METADATA!$B$4),IF(DATOS!$G4460="EX",1,IF(DATOS!$G4460="OR",--(COUNTIFS(nNIA,DATOS!$A4460,nCURSO,DATOS!$D4460,nESPEC,DATOS!$E4460,nASIG,DATOS!$I4460,nEVAL,"EX")=0),0))))</f>
      </c>
      <c r="H4460">
        <f>IF(DATOS!$G4460&lt;&gt;"EX",0,--(COUNTIFS(nNIA,DATOS!$A4460,nCURSO,DATOS!$D4460,nESPEC,DATOS!$E4460,nASIG,DATOS!$I4460,nEVAL,"OR")=0))</f>
      </c>
      <c r="I4460">
        <f>IF(DATOS!$I4460="","",IFERROR(VLOOKUP(DATOS!$I4460,CONFIG_ASIGNATURAS!$B$2:$J$91,9,FALSE()),""))</f>
      </c>
    </row>
    <row r="4461">
      <c r="F4461">
        <f>IF(DATOS!$A4461="","",DATOS!$A4461&amp;"|"&amp;DATOS!$D4461&amp;"|"&amp;DATOS!$E4461&amp;"|"&amp;DATOS!$I4461)</f>
      </c>
      <c r="G4461">
        <f>IF(DATOS!$A4461="",0,IF(CONFIG_METADATA!$B$4&lt;&gt;"OR+EX",--(DATOS!$G4461=CONFIG_METADATA!$B$4),IF(DATOS!$G4461="EX",1,IF(DATOS!$G4461="OR",--(COUNTIFS(nNIA,DATOS!$A4461,nCURSO,DATOS!$D4461,nESPEC,DATOS!$E4461,nASIG,DATOS!$I4461,nEVAL,"EX")=0),0))))</f>
      </c>
      <c r="H4461">
        <f>IF(DATOS!$G4461&lt;&gt;"EX",0,--(COUNTIFS(nNIA,DATOS!$A4461,nCURSO,DATOS!$D4461,nESPEC,DATOS!$E4461,nASIG,DATOS!$I4461,nEVAL,"OR")=0))</f>
      </c>
      <c r="I4461">
        <f>IF(DATOS!$I4461="","",IFERROR(VLOOKUP(DATOS!$I4461,CONFIG_ASIGNATURAS!$B$2:$J$91,9,FALSE()),""))</f>
      </c>
    </row>
    <row r="4462">
      <c r="F4462">
        <f>IF(DATOS!$A4462="","",DATOS!$A4462&amp;"|"&amp;DATOS!$D4462&amp;"|"&amp;DATOS!$E4462&amp;"|"&amp;DATOS!$I4462)</f>
      </c>
      <c r="G4462">
        <f>IF(DATOS!$A4462="",0,IF(CONFIG_METADATA!$B$4&lt;&gt;"OR+EX",--(DATOS!$G4462=CONFIG_METADATA!$B$4),IF(DATOS!$G4462="EX",1,IF(DATOS!$G4462="OR",--(COUNTIFS(nNIA,DATOS!$A4462,nCURSO,DATOS!$D4462,nESPEC,DATOS!$E4462,nASIG,DATOS!$I4462,nEVAL,"EX")=0),0))))</f>
      </c>
      <c r="H4462">
        <f>IF(DATOS!$G4462&lt;&gt;"EX",0,--(COUNTIFS(nNIA,DATOS!$A4462,nCURSO,DATOS!$D4462,nESPEC,DATOS!$E4462,nASIG,DATOS!$I4462,nEVAL,"OR")=0))</f>
      </c>
      <c r="I4462">
        <f>IF(DATOS!$I4462="","",IFERROR(VLOOKUP(DATOS!$I4462,CONFIG_ASIGNATURAS!$B$2:$J$91,9,FALSE()),""))</f>
      </c>
    </row>
    <row r="4463">
      <c r="F4463">
        <f>IF(DATOS!$A4463="","",DATOS!$A4463&amp;"|"&amp;DATOS!$D4463&amp;"|"&amp;DATOS!$E4463&amp;"|"&amp;DATOS!$I4463)</f>
      </c>
      <c r="G4463">
        <f>IF(DATOS!$A4463="",0,IF(CONFIG_METADATA!$B$4&lt;&gt;"OR+EX",--(DATOS!$G4463=CONFIG_METADATA!$B$4),IF(DATOS!$G4463="EX",1,IF(DATOS!$G4463="OR",--(COUNTIFS(nNIA,DATOS!$A4463,nCURSO,DATOS!$D4463,nESPEC,DATOS!$E4463,nASIG,DATOS!$I4463,nEVAL,"EX")=0),0))))</f>
      </c>
      <c r="H4463">
        <f>IF(DATOS!$G4463&lt;&gt;"EX",0,--(COUNTIFS(nNIA,DATOS!$A4463,nCURSO,DATOS!$D4463,nESPEC,DATOS!$E4463,nASIG,DATOS!$I4463,nEVAL,"OR")=0))</f>
      </c>
      <c r="I4463">
        <f>IF(DATOS!$I4463="","",IFERROR(VLOOKUP(DATOS!$I4463,CONFIG_ASIGNATURAS!$B$2:$J$91,9,FALSE()),""))</f>
      </c>
    </row>
    <row r="4464">
      <c r="F4464">
        <f>IF(DATOS!$A4464="","",DATOS!$A4464&amp;"|"&amp;DATOS!$D4464&amp;"|"&amp;DATOS!$E4464&amp;"|"&amp;DATOS!$I4464)</f>
      </c>
      <c r="G4464">
        <f>IF(DATOS!$A4464="",0,IF(CONFIG_METADATA!$B$4&lt;&gt;"OR+EX",--(DATOS!$G4464=CONFIG_METADATA!$B$4),IF(DATOS!$G4464="EX",1,IF(DATOS!$G4464="OR",--(COUNTIFS(nNIA,DATOS!$A4464,nCURSO,DATOS!$D4464,nESPEC,DATOS!$E4464,nASIG,DATOS!$I4464,nEVAL,"EX")=0),0))))</f>
      </c>
      <c r="H4464">
        <f>IF(DATOS!$G4464&lt;&gt;"EX",0,--(COUNTIFS(nNIA,DATOS!$A4464,nCURSO,DATOS!$D4464,nESPEC,DATOS!$E4464,nASIG,DATOS!$I4464,nEVAL,"OR")=0))</f>
      </c>
      <c r="I4464">
        <f>IF(DATOS!$I4464="","",IFERROR(VLOOKUP(DATOS!$I4464,CONFIG_ASIGNATURAS!$B$2:$J$91,9,FALSE()),""))</f>
      </c>
    </row>
    <row r="4465">
      <c r="F4465">
        <f>IF(DATOS!$A4465="","",DATOS!$A4465&amp;"|"&amp;DATOS!$D4465&amp;"|"&amp;DATOS!$E4465&amp;"|"&amp;DATOS!$I4465)</f>
      </c>
      <c r="G4465">
        <f>IF(DATOS!$A4465="",0,IF(CONFIG_METADATA!$B$4&lt;&gt;"OR+EX",--(DATOS!$G4465=CONFIG_METADATA!$B$4),IF(DATOS!$G4465="EX",1,IF(DATOS!$G4465="OR",--(COUNTIFS(nNIA,DATOS!$A4465,nCURSO,DATOS!$D4465,nESPEC,DATOS!$E4465,nASIG,DATOS!$I4465,nEVAL,"EX")=0),0))))</f>
      </c>
      <c r="H4465">
        <f>IF(DATOS!$G4465&lt;&gt;"EX",0,--(COUNTIFS(nNIA,DATOS!$A4465,nCURSO,DATOS!$D4465,nESPEC,DATOS!$E4465,nASIG,DATOS!$I4465,nEVAL,"OR")=0))</f>
      </c>
      <c r="I4465">
        <f>IF(DATOS!$I4465="","",IFERROR(VLOOKUP(DATOS!$I4465,CONFIG_ASIGNATURAS!$B$2:$J$91,9,FALSE()),""))</f>
      </c>
    </row>
    <row r="4466">
      <c r="F4466">
        <f>IF(DATOS!$A4466="","",DATOS!$A4466&amp;"|"&amp;DATOS!$D4466&amp;"|"&amp;DATOS!$E4466&amp;"|"&amp;DATOS!$I4466)</f>
      </c>
      <c r="G4466">
        <f>IF(DATOS!$A4466="",0,IF(CONFIG_METADATA!$B$4&lt;&gt;"OR+EX",--(DATOS!$G4466=CONFIG_METADATA!$B$4),IF(DATOS!$G4466="EX",1,IF(DATOS!$G4466="OR",--(COUNTIFS(nNIA,DATOS!$A4466,nCURSO,DATOS!$D4466,nESPEC,DATOS!$E4466,nASIG,DATOS!$I4466,nEVAL,"EX")=0),0))))</f>
      </c>
      <c r="H4466">
        <f>IF(DATOS!$G4466&lt;&gt;"EX",0,--(COUNTIFS(nNIA,DATOS!$A4466,nCURSO,DATOS!$D4466,nESPEC,DATOS!$E4466,nASIG,DATOS!$I4466,nEVAL,"OR")=0))</f>
      </c>
      <c r="I4466">
        <f>IF(DATOS!$I4466="","",IFERROR(VLOOKUP(DATOS!$I4466,CONFIG_ASIGNATURAS!$B$2:$J$91,9,FALSE()),""))</f>
      </c>
    </row>
    <row r="4467">
      <c r="F4467">
        <f>IF(DATOS!$A4467="","",DATOS!$A4467&amp;"|"&amp;DATOS!$D4467&amp;"|"&amp;DATOS!$E4467&amp;"|"&amp;DATOS!$I4467)</f>
      </c>
      <c r="G4467">
        <f>IF(DATOS!$A4467="",0,IF(CONFIG_METADATA!$B$4&lt;&gt;"OR+EX",--(DATOS!$G4467=CONFIG_METADATA!$B$4),IF(DATOS!$G4467="EX",1,IF(DATOS!$G4467="OR",--(COUNTIFS(nNIA,DATOS!$A4467,nCURSO,DATOS!$D4467,nESPEC,DATOS!$E4467,nASIG,DATOS!$I4467,nEVAL,"EX")=0),0))))</f>
      </c>
      <c r="H4467">
        <f>IF(DATOS!$G4467&lt;&gt;"EX",0,--(COUNTIFS(nNIA,DATOS!$A4467,nCURSO,DATOS!$D4467,nESPEC,DATOS!$E4467,nASIG,DATOS!$I4467,nEVAL,"OR")=0))</f>
      </c>
      <c r="I4467">
        <f>IF(DATOS!$I4467="","",IFERROR(VLOOKUP(DATOS!$I4467,CONFIG_ASIGNATURAS!$B$2:$J$91,9,FALSE()),""))</f>
      </c>
    </row>
    <row r="4468">
      <c r="F4468">
        <f>IF(DATOS!$A4468="","",DATOS!$A4468&amp;"|"&amp;DATOS!$D4468&amp;"|"&amp;DATOS!$E4468&amp;"|"&amp;DATOS!$I4468)</f>
      </c>
      <c r="G4468">
        <f>IF(DATOS!$A4468="",0,IF(CONFIG_METADATA!$B$4&lt;&gt;"OR+EX",--(DATOS!$G4468=CONFIG_METADATA!$B$4),IF(DATOS!$G4468="EX",1,IF(DATOS!$G4468="OR",--(COUNTIFS(nNIA,DATOS!$A4468,nCURSO,DATOS!$D4468,nESPEC,DATOS!$E4468,nASIG,DATOS!$I4468,nEVAL,"EX")=0),0))))</f>
      </c>
      <c r="H4468">
        <f>IF(DATOS!$G4468&lt;&gt;"EX",0,--(COUNTIFS(nNIA,DATOS!$A4468,nCURSO,DATOS!$D4468,nESPEC,DATOS!$E4468,nASIG,DATOS!$I4468,nEVAL,"OR")=0))</f>
      </c>
      <c r="I4468">
        <f>IF(DATOS!$I4468="","",IFERROR(VLOOKUP(DATOS!$I4468,CONFIG_ASIGNATURAS!$B$2:$J$91,9,FALSE()),""))</f>
      </c>
    </row>
    <row r="4469">
      <c r="F4469">
        <f>IF(DATOS!$A4469="","",DATOS!$A4469&amp;"|"&amp;DATOS!$D4469&amp;"|"&amp;DATOS!$E4469&amp;"|"&amp;DATOS!$I4469)</f>
      </c>
      <c r="G4469">
        <f>IF(DATOS!$A4469="",0,IF(CONFIG_METADATA!$B$4&lt;&gt;"OR+EX",--(DATOS!$G4469=CONFIG_METADATA!$B$4),IF(DATOS!$G4469="EX",1,IF(DATOS!$G4469="OR",--(COUNTIFS(nNIA,DATOS!$A4469,nCURSO,DATOS!$D4469,nESPEC,DATOS!$E4469,nASIG,DATOS!$I4469,nEVAL,"EX")=0),0))))</f>
      </c>
      <c r="H4469">
        <f>IF(DATOS!$G4469&lt;&gt;"EX",0,--(COUNTIFS(nNIA,DATOS!$A4469,nCURSO,DATOS!$D4469,nESPEC,DATOS!$E4469,nASIG,DATOS!$I4469,nEVAL,"OR")=0))</f>
      </c>
      <c r="I4469">
        <f>IF(DATOS!$I4469="","",IFERROR(VLOOKUP(DATOS!$I4469,CONFIG_ASIGNATURAS!$B$2:$J$91,9,FALSE()),""))</f>
      </c>
    </row>
    <row r="4470">
      <c r="F4470">
        <f>IF(DATOS!$A4470="","",DATOS!$A4470&amp;"|"&amp;DATOS!$D4470&amp;"|"&amp;DATOS!$E4470&amp;"|"&amp;DATOS!$I4470)</f>
      </c>
      <c r="G4470">
        <f>IF(DATOS!$A4470="",0,IF(CONFIG_METADATA!$B$4&lt;&gt;"OR+EX",--(DATOS!$G4470=CONFIG_METADATA!$B$4),IF(DATOS!$G4470="EX",1,IF(DATOS!$G4470="OR",--(COUNTIFS(nNIA,DATOS!$A4470,nCURSO,DATOS!$D4470,nESPEC,DATOS!$E4470,nASIG,DATOS!$I4470,nEVAL,"EX")=0),0))))</f>
      </c>
      <c r="H4470">
        <f>IF(DATOS!$G4470&lt;&gt;"EX",0,--(COUNTIFS(nNIA,DATOS!$A4470,nCURSO,DATOS!$D4470,nESPEC,DATOS!$E4470,nASIG,DATOS!$I4470,nEVAL,"OR")=0))</f>
      </c>
      <c r="I4470">
        <f>IF(DATOS!$I4470="","",IFERROR(VLOOKUP(DATOS!$I4470,CONFIG_ASIGNATURAS!$B$2:$J$91,9,FALSE()),""))</f>
      </c>
    </row>
    <row r="4471">
      <c r="F4471">
        <f>IF(DATOS!$A4471="","",DATOS!$A4471&amp;"|"&amp;DATOS!$D4471&amp;"|"&amp;DATOS!$E4471&amp;"|"&amp;DATOS!$I4471)</f>
      </c>
      <c r="G4471">
        <f>IF(DATOS!$A4471="",0,IF(CONFIG_METADATA!$B$4&lt;&gt;"OR+EX",--(DATOS!$G4471=CONFIG_METADATA!$B$4),IF(DATOS!$G4471="EX",1,IF(DATOS!$G4471="OR",--(COUNTIFS(nNIA,DATOS!$A4471,nCURSO,DATOS!$D4471,nESPEC,DATOS!$E4471,nASIG,DATOS!$I4471,nEVAL,"EX")=0),0))))</f>
      </c>
      <c r="H4471">
        <f>IF(DATOS!$G4471&lt;&gt;"EX",0,--(COUNTIFS(nNIA,DATOS!$A4471,nCURSO,DATOS!$D4471,nESPEC,DATOS!$E4471,nASIG,DATOS!$I4471,nEVAL,"OR")=0))</f>
      </c>
      <c r="I4471">
        <f>IF(DATOS!$I4471="","",IFERROR(VLOOKUP(DATOS!$I4471,CONFIG_ASIGNATURAS!$B$2:$J$91,9,FALSE()),""))</f>
      </c>
    </row>
    <row r="4472">
      <c r="F4472">
        <f>IF(DATOS!$A4472="","",DATOS!$A4472&amp;"|"&amp;DATOS!$D4472&amp;"|"&amp;DATOS!$E4472&amp;"|"&amp;DATOS!$I4472)</f>
      </c>
      <c r="G4472">
        <f>IF(DATOS!$A4472="",0,IF(CONFIG_METADATA!$B$4&lt;&gt;"OR+EX",--(DATOS!$G4472=CONFIG_METADATA!$B$4),IF(DATOS!$G4472="EX",1,IF(DATOS!$G4472="OR",--(COUNTIFS(nNIA,DATOS!$A4472,nCURSO,DATOS!$D4472,nESPEC,DATOS!$E4472,nASIG,DATOS!$I4472,nEVAL,"EX")=0),0))))</f>
      </c>
      <c r="H4472">
        <f>IF(DATOS!$G4472&lt;&gt;"EX",0,--(COUNTIFS(nNIA,DATOS!$A4472,nCURSO,DATOS!$D4472,nESPEC,DATOS!$E4472,nASIG,DATOS!$I4472,nEVAL,"OR")=0))</f>
      </c>
      <c r="I4472">
        <f>IF(DATOS!$I4472="","",IFERROR(VLOOKUP(DATOS!$I4472,CONFIG_ASIGNATURAS!$B$2:$J$91,9,FALSE()),""))</f>
      </c>
    </row>
    <row r="4473">
      <c r="F4473">
        <f>IF(DATOS!$A4473="","",DATOS!$A4473&amp;"|"&amp;DATOS!$D4473&amp;"|"&amp;DATOS!$E4473&amp;"|"&amp;DATOS!$I4473)</f>
      </c>
      <c r="G4473">
        <f>IF(DATOS!$A4473="",0,IF(CONFIG_METADATA!$B$4&lt;&gt;"OR+EX",--(DATOS!$G4473=CONFIG_METADATA!$B$4),IF(DATOS!$G4473="EX",1,IF(DATOS!$G4473="OR",--(COUNTIFS(nNIA,DATOS!$A4473,nCURSO,DATOS!$D4473,nESPEC,DATOS!$E4473,nASIG,DATOS!$I4473,nEVAL,"EX")=0),0))))</f>
      </c>
      <c r="H4473">
        <f>IF(DATOS!$G4473&lt;&gt;"EX",0,--(COUNTIFS(nNIA,DATOS!$A4473,nCURSO,DATOS!$D4473,nESPEC,DATOS!$E4473,nASIG,DATOS!$I4473,nEVAL,"OR")=0))</f>
      </c>
      <c r="I4473">
        <f>IF(DATOS!$I4473="","",IFERROR(VLOOKUP(DATOS!$I4473,CONFIG_ASIGNATURAS!$B$2:$J$91,9,FALSE()),""))</f>
      </c>
    </row>
    <row r="4474">
      <c r="F4474">
        <f>IF(DATOS!$A4474="","",DATOS!$A4474&amp;"|"&amp;DATOS!$D4474&amp;"|"&amp;DATOS!$E4474&amp;"|"&amp;DATOS!$I4474)</f>
      </c>
      <c r="G4474">
        <f>IF(DATOS!$A4474="",0,IF(CONFIG_METADATA!$B$4&lt;&gt;"OR+EX",--(DATOS!$G4474=CONFIG_METADATA!$B$4),IF(DATOS!$G4474="EX",1,IF(DATOS!$G4474="OR",--(COUNTIFS(nNIA,DATOS!$A4474,nCURSO,DATOS!$D4474,nESPEC,DATOS!$E4474,nASIG,DATOS!$I4474,nEVAL,"EX")=0),0))))</f>
      </c>
      <c r="H4474">
        <f>IF(DATOS!$G4474&lt;&gt;"EX",0,--(COUNTIFS(nNIA,DATOS!$A4474,nCURSO,DATOS!$D4474,nESPEC,DATOS!$E4474,nASIG,DATOS!$I4474,nEVAL,"OR")=0))</f>
      </c>
      <c r="I4474">
        <f>IF(DATOS!$I4474="","",IFERROR(VLOOKUP(DATOS!$I4474,CONFIG_ASIGNATURAS!$B$2:$J$91,9,FALSE()),""))</f>
      </c>
    </row>
    <row r="4475">
      <c r="F4475">
        <f>IF(DATOS!$A4475="","",DATOS!$A4475&amp;"|"&amp;DATOS!$D4475&amp;"|"&amp;DATOS!$E4475&amp;"|"&amp;DATOS!$I4475)</f>
      </c>
      <c r="G4475">
        <f>IF(DATOS!$A4475="",0,IF(CONFIG_METADATA!$B$4&lt;&gt;"OR+EX",--(DATOS!$G4475=CONFIG_METADATA!$B$4),IF(DATOS!$G4475="EX",1,IF(DATOS!$G4475="OR",--(COUNTIFS(nNIA,DATOS!$A4475,nCURSO,DATOS!$D4475,nESPEC,DATOS!$E4475,nASIG,DATOS!$I4475,nEVAL,"EX")=0),0))))</f>
      </c>
      <c r="H4475">
        <f>IF(DATOS!$G4475&lt;&gt;"EX",0,--(COUNTIFS(nNIA,DATOS!$A4475,nCURSO,DATOS!$D4475,nESPEC,DATOS!$E4475,nASIG,DATOS!$I4475,nEVAL,"OR")=0))</f>
      </c>
      <c r="I4475">
        <f>IF(DATOS!$I4475="","",IFERROR(VLOOKUP(DATOS!$I4475,CONFIG_ASIGNATURAS!$B$2:$J$91,9,FALSE()),""))</f>
      </c>
    </row>
    <row r="4476">
      <c r="F4476">
        <f>IF(DATOS!$A4476="","",DATOS!$A4476&amp;"|"&amp;DATOS!$D4476&amp;"|"&amp;DATOS!$E4476&amp;"|"&amp;DATOS!$I4476)</f>
      </c>
      <c r="G4476">
        <f>IF(DATOS!$A4476="",0,IF(CONFIG_METADATA!$B$4&lt;&gt;"OR+EX",--(DATOS!$G4476=CONFIG_METADATA!$B$4),IF(DATOS!$G4476="EX",1,IF(DATOS!$G4476="OR",--(COUNTIFS(nNIA,DATOS!$A4476,nCURSO,DATOS!$D4476,nESPEC,DATOS!$E4476,nASIG,DATOS!$I4476,nEVAL,"EX")=0),0))))</f>
      </c>
      <c r="H4476">
        <f>IF(DATOS!$G4476&lt;&gt;"EX",0,--(COUNTIFS(nNIA,DATOS!$A4476,nCURSO,DATOS!$D4476,nESPEC,DATOS!$E4476,nASIG,DATOS!$I4476,nEVAL,"OR")=0))</f>
      </c>
      <c r="I4476">
        <f>IF(DATOS!$I4476="","",IFERROR(VLOOKUP(DATOS!$I4476,CONFIG_ASIGNATURAS!$B$2:$J$91,9,FALSE()),""))</f>
      </c>
    </row>
    <row r="4477">
      <c r="F4477">
        <f>IF(DATOS!$A4477="","",DATOS!$A4477&amp;"|"&amp;DATOS!$D4477&amp;"|"&amp;DATOS!$E4477&amp;"|"&amp;DATOS!$I4477)</f>
      </c>
      <c r="G4477">
        <f>IF(DATOS!$A4477="",0,IF(CONFIG_METADATA!$B$4&lt;&gt;"OR+EX",--(DATOS!$G4477=CONFIG_METADATA!$B$4),IF(DATOS!$G4477="EX",1,IF(DATOS!$G4477="OR",--(COUNTIFS(nNIA,DATOS!$A4477,nCURSO,DATOS!$D4477,nESPEC,DATOS!$E4477,nASIG,DATOS!$I4477,nEVAL,"EX")=0),0))))</f>
      </c>
      <c r="H4477">
        <f>IF(DATOS!$G4477&lt;&gt;"EX",0,--(COUNTIFS(nNIA,DATOS!$A4477,nCURSO,DATOS!$D4477,nESPEC,DATOS!$E4477,nASIG,DATOS!$I4477,nEVAL,"OR")=0))</f>
      </c>
      <c r="I4477">
        <f>IF(DATOS!$I4477="","",IFERROR(VLOOKUP(DATOS!$I4477,CONFIG_ASIGNATURAS!$B$2:$J$91,9,FALSE()),""))</f>
      </c>
    </row>
    <row r="4478">
      <c r="F4478">
        <f>IF(DATOS!$A4478="","",DATOS!$A4478&amp;"|"&amp;DATOS!$D4478&amp;"|"&amp;DATOS!$E4478&amp;"|"&amp;DATOS!$I4478)</f>
      </c>
      <c r="G4478">
        <f>IF(DATOS!$A4478="",0,IF(CONFIG_METADATA!$B$4&lt;&gt;"OR+EX",--(DATOS!$G4478=CONFIG_METADATA!$B$4),IF(DATOS!$G4478="EX",1,IF(DATOS!$G4478="OR",--(COUNTIFS(nNIA,DATOS!$A4478,nCURSO,DATOS!$D4478,nESPEC,DATOS!$E4478,nASIG,DATOS!$I4478,nEVAL,"EX")=0),0))))</f>
      </c>
      <c r="H4478">
        <f>IF(DATOS!$G4478&lt;&gt;"EX",0,--(COUNTIFS(nNIA,DATOS!$A4478,nCURSO,DATOS!$D4478,nESPEC,DATOS!$E4478,nASIG,DATOS!$I4478,nEVAL,"OR")=0))</f>
      </c>
      <c r="I4478">
        <f>IF(DATOS!$I4478="","",IFERROR(VLOOKUP(DATOS!$I4478,CONFIG_ASIGNATURAS!$B$2:$J$91,9,FALSE()),""))</f>
      </c>
    </row>
    <row r="4479">
      <c r="F4479">
        <f>IF(DATOS!$A4479="","",DATOS!$A4479&amp;"|"&amp;DATOS!$D4479&amp;"|"&amp;DATOS!$E4479&amp;"|"&amp;DATOS!$I4479)</f>
      </c>
      <c r="G4479">
        <f>IF(DATOS!$A4479="",0,IF(CONFIG_METADATA!$B$4&lt;&gt;"OR+EX",--(DATOS!$G4479=CONFIG_METADATA!$B$4),IF(DATOS!$G4479="EX",1,IF(DATOS!$G4479="OR",--(COUNTIFS(nNIA,DATOS!$A4479,nCURSO,DATOS!$D4479,nESPEC,DATOS!$E4479,nASIG,DATOS!$I4479,nEVAL,"EX")=0),0))))</f>
      </c>
      <c r="H4479">
        <f>IF(DATOS!$G4479&lt;&gt;"EX",0,--(COUNTIFS(nNIA,DATOS!$A4479,nCURSO,DATOS!$D4479,nESPEC,DATOS!$E4479,nASIG,DATOS!$I4479,nEVAL,"OR")=0))</f>
      </c>
      <c r="I4479">
        <f>IF(DATOS!$I4479="","",IFERROR(VLOOKUP(DATOS!$I4479,CONFIG_ASIGNATURAS!$B$2:$J$91,9,FALSE()),""))</f>
      </c>
    </row>
    <row r="4480">
      <c r="F4480">
        <f>IF(DATOS!$A4480="","",DATOS!$A4480&amp;"|"&amp;DATOS!$D4480&amp;"|"&amp;DATOS!$E4480&amp;"|"&amp;DATOS!$I4480)</f>
      </c>
      <c r="G4480">
        <f>IF(DATOS!$A4480="",0,IF(CONFIG_METADATA!$B$4&lt;&gt;"OR+EX",--(DATOS!$G4480=CONFIG_METADATA!$B$4),IF(DATOS!$G4480="EX",1,IF(DATOS!$G4480="OR",--(COUNTIFS(nNIA,DATOS!$A4480,nCURSO,DATOS!$D4480,nESPEC,DATOS!$E4480,nASIG,DATOS!$I4480,nEVAL,"EX")=0),0))))</f>
      </c>
      <c r="H4480">
        <f>IF(DATOS!$G4480&lt;&gt;"EX",0,--(COUNTIFS(nNIA,DATOS!$A4480,nCURSO,DATOS!$D4480,nESPEC,DATOS!$E4480,nASIG,DATOS!$I4480,nEVAL,"OR")=0))</f>
      </c>
      <c r="I4480">
        <f>IF(DATOS!$I4480="","",IFERROR(VLOOKUP(DATOS!$I4480,CONFIG_ASIGNATURAS!$B$2:$J$91,9,FALSE()),""))</f>
      </c>
    </row>
    <row r="4481">
      <c r="F4481">
        <f>IF(DATOS!$A4481="","",DATOS!$A4481&amp;"|"&amp;DATOS!$D4481&amp;"|"&amp;DATOS!$E4481&amp;"|"&amp;DATOS!$I4481)</f>
      </c>
      <c r="G4481">
        <f>IF(DATOS!$A4481="",0,IF(CONFIG_METADATA!$B$4&lt;&gt;"OR+EX",--(DATOS!$G4481=CONFIG_METADATA!$B$4),IF(DATOS!$G4481="EX",1,IF(DATOS!$G4481="OR",--(COUNTIFS(nNIA,DATOS!$A4481,nCURSO,DATOS!$D4481,nESPEC,DATOS!$E4481,nASIG,DATOS!$I4481,nEVAL,"EX")=0),0))))</f>
      </c>
      <c r="H4481">
        <f>IF(DATOS!$G4481&lt;&gt;"EX",0,--(COUNTIFS(nNIA,DATOS!$A4481,nCURSO,DATOS!$D4481,nESPEC,DATOS!$E4481,nASIG,DATOS!$I4481,nEVAL,"OR")=0))</f>
      </c>
      <c r="I4481">
        <f>IF(DATOS!$I4481="","",IFERROR(VLOOKUP(DATOS!$I4481,CONFIG_ASIGNATURAS!$B$2:$J$91,9,FALSE()),""))</f>
      </c>
    </row>
    <row r="4482">
      <c r="F4482">
        <f>IF(DATOS!$A4482="","",DATOS!$A4482&amp;"|"&amp;DATOS!$D4482&amp;"|"&amp;DATOS!$E4482&amp;"|"&amp;DATOS!$I4482)</f>
      </c>
      <c r="G4482">
        <f>IF(DATOS!$A4482="",0,IF(CONFIG_METADATA!$B$4&lt;&gt;"OR+EX",--(DATOS!$G4482=CONFIG_METADATA!$B$4),IF(DATOS!$G4482="EX",1,IF(DATOS!$G4482="OR",--(COUNTIFS(nNIA,DATOS!$A4482,nCURSO,DATOS!$D4482,nESPEC,DATOS!$E4482,nASIG,DATOS!$I4482,nEVAL,"EX")=0),0))))</f>
      </c>
      <c r="H4482">
        <f>IF(DATOS!$G4482&lt;&gt;"EX",0,--(COUNTIFS(nNIA,DATOS!$A4482,nCURSO,DATOS!$D4482,nESPEC,DATOS!$E4482,nASIG,DATOS!$I4482,nEVAL,"OR")=0))</f>
      </c>
      <c r="I4482">
        <f>IF(DATOS!$I4482="","",IFERROR(VLOOKUP(DATOS!$I4482,CONFIG_ASIGNATURAS!$B$2:$J$91,9,FALSE()),""))</f>
      </c>
    </row>
    <row r="4483">
      <c r="F4483">
        <f>IF(DATOS!$A4483="","",DATOS!$A4483&amp;"|"&amp;DATOS!$D4483&amp;"|"&amp;DATOS!$E4483&amp;"|"&amp;DATOS!$I4483)</f>
      </c>
      <c r="G4483">
        <f>IF(DATOS!$A4483="",0,IF(CONFIG_METADATA!$B$4&lt;&gt;"OR+EX",--(DATOS!$G4483=CONFIG_METADATA!$B$4),IF(DATOS!$G4483="EX",1,IF(DATOS!$G4483="OR",--(COUNTIFS(nNIA,DATOS!$A4483,nCURSO,DATOS!$D4483,nESPEC,DATOS!$E4483,nASIG,DATOS!$I4483,nEVAL,"EX")=0),0))))</f>
      </c>
      <c r="H4483">
        <f>IF(DATOS!$G4483&lt;&gt;"EX",0,--(COUNTIFS(nNIA,DATOS!$A4483,nCURSO,DATOS!$D4483,nESPEC,DATOS!$E4483,nASIG,DATOS!$I4483,nEVAL,"OR")=0))</f>
      </c>
      <c r="I4483">
        <f>IF(DATOS!$I4483="","",IFERROR(VLOOKUP(DATOS!$I4483,CONFIG_ASIGNATURAS!$B$2:$J$91,9,FALSE()),""))</f>
      </c>
    </row>
    <row r="4484">
      <c r="F4484">
        <f>IF(DATOS!$A4484="","",DATOS!$A4484&amp;"|"&amp;DATOS!$D4484&amp;"|"&amp;DATOS!$E4484&amp;"|"&amp;DATOS!$I4484)</f>
      </c>
      <c r="G4484">
        <f>IF(DATOS!$A4484="",0,IF(CONFIG_METADATA!$B$4&lt;&gt;"OR+EX",--(DATOS!$G4484=CONFIG_METADATA!$B$4),IF(DATOS!$G4484="EX",1,IF(DATOS!$G4484="OR",--(COUNTIFS(nNIA,DATOS!$A4484,nCURSO,DATOS!$D4484,nESPEC,DATOS!$E4484,nASIG,DATOS!$I4484,nEVAL,"EX")=0),0))))</f>
      </c>
      <c r="H4484">
        <f>IF(DATOS!$G4484&lt;&gt;"EX",0,--(COUNTIFS(nNIA,DATOS!$A4484,nCURSO,DATOS!$D4484,nESPEC,DATOS!$E4484,nASIG,DATOS!$I4484,nEVAL,"OR")=0))</f>
      </c>
      <c r="I4484">
        <f>IF(DATOS!$I4484="","",IFERROR(VLOOKUP(DATOS!$I4484,CONFIG_ASIGNATURAS!$B$2:$J$91,9,FALSE()),""))</f>
      </c>
    </row>
    <row r="4485">
      <c r="F4485">
        <f>IF(DATOS!$A4485="","",DATOS!$A4485&amp;"|"&amp;DATOS!$D4485&amp;"|"&amp;DATOS!$E4485&amp;"|"&amp;DATOS!$I4485)</f>
      </c>
      <c r="G4485">
        <f>IF(DATOS!$A4485="",0,IF(CONFIG_METADATA!$B$4&lt;&gt;"OR+EX",--(DATOS!$G4485=CONFIG_METADATA!$B$4),IF(DATOS!$G4485="EX",1,IF(DATOS!$G4485="OR",--(COUNTIFS(nNIA,DATOS!$A4485,nCURSO,DATOS!$D4485,nESPEC,DATOS!$E4485,nASIG,DATOS!$I4485,nEVAL,"EX")=0),0))))</f>
      </c>
      <c r="H4485">
        <f>IF(DATOS!$G4485&lt;&gt;"EX",0,--(COUNTIFS(nNIA,DATOS!$A4485,nCURSO,DATOS!$D4485,nESPEC,DATOS!$E4485,nASIG,DATOS!$I4485,nEVAL,"OR")=0))</f>
      </c>
      <c r="I4485">
        <f>IF(DATOS!$I4485="","",IFERROR(VLOOKUP(DATOS!$I4485,CONFIG_ASIGNATURAS!$B$2:$J$91,9,FALSE()),""))</f>
      </c>
    </row>
    <row r="4486">
      <c r="F4486">
        <f>IF(DATOS!$A4486="","",DATOS!$A4486&amp;"|"&amp;DATOS!$D4486&amp;"|"&amp;DATOS!$E4486&amp;"|"&amp;DATOS!$I4486)</f>
      </c>
      <c r="G4486">
        <f>IF(DATOS!$A4486="",0,IF(CONFIG_METADATA!$B$4&lt;&gt;"OR+EX",--(DATOS!$G4486=CONFIG_METADATA!$B$4),IF(DATOS!$G4486="EX",1,IF(DATOS!$G4486="OR",--(COUNTIFS(nNIA,DATOS!$A4486,nCURSO,DATOS!$D4486,nESPEC,DATOS!$E4486,nASIG,DATOS!$I4486,nEVAL,"EX")=0),0))))</f>
      </c>
      <c r="H4486">
        <f>IF(DATOS!$G4486&lt;&gt;"EX",0,--(COUNTIFS(nNIA,DATOS!$A4486,nCURSO,DATOS!$D4486,nESPEC,DATOS!$E4486,nASIG,DATOS!$I4486,nEVAL,"OR")=0))</f>
      </c>
      <c r="I4486">
        <f>IF(DATOS!$I4486="","",IFERROR(VLOOKUP(DATOS!$I4486,CONFIG_ASIGNATURAS!$B$2:$J$91,9,FALSE()),""))</f>
      </c>
    </row>
    <row r="4487">
      <c r="F4487">
        <f>IF(DATOS!$A4487="","",DATOS!$A4487&amp;"|"&amp;DATOS!$D4487&amp;"|"&amp;DATOS!$E4487&amp;"|"&amp;DATOS!$I4487)</f>
      </c>
      <c r="G4487">
        <f>IF(DATOS!$A4487="",0,IF(CONFIG_METADATA!$B$4&lt;&gt;"OR+EX",--(DATOS!$G4487=CONFIG_METADATA!$B$4),IF(DATOS!$G4487="EX",1,IF(DATOS!$G4487="OR",--(COUNTIFS(nNIA,DATOS!$A4487,nCURSO,DATOS!$D4487,nESPEC,DATOS!$E4487,nASIG,DATOS!$I4487,nEVAL,"EX")=0),0))))</f>
      </c>
      <c r="H4487">
        <f>IF(DATOS!$G4487&lt;&gt;"EX",0,--(COUNTIFS(nNIA,DATOS!$A4487,nCURSO,DATOS!$D4487,nESPEC,DATOS!$E4487,nASIG,DATOS!$I4487,nEVAL,"OR")=0))</f>
      </c>
      <c r="I4487">
        <f>IF(DATOS!$I4487="","",IFERROR(VLOOKUP(DATOS!$I4487,CONFIG_ASIGNATURAS!$B$2:$J$91,9,FALSE()),""))</f>
      </c>
    </row>
    <row r="4488">
      <c r="F4488">
        <f>IF(DATOS!$A4488="","",DATOS!$A4488&amp;"|"&amp;DATOS!$D4488&amp;"|"&amp;DATOS!$E4488&amp;"|"&amp;DATOS!$I4488)</f>
      </c>
      <c r="G4488">
        <f>IF(DATOS!$A4488="",0,IF(CONFIG_METADATA!$B$4&lt;&gt;"OR+EX",--(DATOS!$G4488=CONFIG_METADATA!$B$4),IF(DATOS!$G4488="EX",1,IF(DATOS!$G4488="OR",--(COUNTIFS(nNIA,DATOS!$A4488,nCURSO,DATOS!$D4488,nESPEC,DATOS!$E4488,nASIG,DATOS!$I4488,nEVAL,"EX")=0),0))))</f>
      </c>
      <c r="H4488">
        <f>IF(DATOS!$G4488&lt;&gt;"EX",0,--(COUNTIFS(nNIA,DATOS!$A4488,nCURSO,DATOS!$D4488,nESPEC,DATOS!$E4488,nASIG,DATOS!$I4488,nEVAL,"OR")=0))</f>
      </c>
      <c r="I4488">
        <f>IF(DATOS!$I4488="","",IFERROR(VLOOKUP(DATOS!$I4488,CONFIG_ASIGNATURAS!$B$2:$J$91,9,FALSE()),""))</f>
      </c>
    </row>
    <row r="4489">
      <c r="F4489">
        <f>IF(DATOS!$A4489="","",DATOS!$A4489&amp;"|"&amp;DATOS!$D4489&amp;"|"&amp;DATOS!$E4489&amp;"|"&amp;DATOS!$I4489)</f>
      </c>
      <c r="G4489">
        <f>IF(DATOS!$A4489="",0,IF(CONFIG_METADATA!$B$4&lt;&gt;"OR+EX",--(DATOS!$G4489=CONFIG_METADATA!$B$4),IF(DATOS!$G4489="EX",1,IF(DATOS!$G4489="OR",--(COUNTIFS(nNIA,DATOS!$A4489,nCURSO,DATOS!$D4489,nESPEC,DATOS!$E4489,nASIG,DATOS!$I4489,nEVAL,"EX")=0),0))))</f>
      </c>
      <c r="H4489">
        <f>IF(DATOS!$G4489&lt;&gt;"EX",0,--(COUNTIFS(nNIA,DATOS!$A4489,nCURSO,DATOS!$D4489,nESPEC,DATOS!$E4489,nASIG,DATOS!$I4489,nEVAL,"OR")=0))</f>
      </c>
      <c r="I4489">
        <f>IF(DATOS!$I4489="","",IFERROR(VLOOKUP(DATOS!$I4489,CONFIG_ASIGNATURAS!$B$2:$J$91,9,FALSE()),""))</f>
      </c>
    </row>
    <row r="4490">
      <c r="F4490">
        <f>IF(DATOS!$A4490="","",DATOS!$A4490&amp;"|"&amp;DATOS!$D4490&amp;"|"&amp;DATOS!$E4490&amp;"|"&amp;DATOS!$I4490)</f>
      </c>
      <c r="G4490">
        <f>IF(DATOS!$A4490="",0,IF(CONFIG_METADATA!$B$4&lt;&gt;"OR+EX",--(DATOS!$G4490=CONFIG_METADATA!$B$4),IF(DATOS!$G4490="EX",1,IF(DATOS!$G4490="OR",--(COUNTIFS(nNIA,DATOS!$A4490,nCURSO,DATOS!$D4490,nESPEC,DATOS!$E4490,nASIG,DATOS!$I4490,nEVAL,"EX")=0),0))))</f>
      </c>
      <c r="H4490">
        <f>IF(DATOS!$G4490&lt;&gt;"EX",0,--(COUNTIFS(nNIA,DATOS!$A4490,nCURSO,DATOS!$D4490,nESPEC,DATOS!$E4490,nASIG,DATOS!$I4490,nEVAL,"OR")=0))</f>
      </c>
      <c r="I4490">
        <f>IF(DATOS!$I4490="","",IFERROR(VLOOKUP(DATOS!$I4490,CONFIG_ASIGNATURAS!$B$2:$J$91,9,FALSE()),""))</f>
      </c>
    </row>
    <row r="4491">
      <c r="F4491">
        <f>IF(DATOS!$A4491="","",DATOS!$A4491&amp;"|"&amp;DATOS!$D4491&amp;"|"&amp;DATOS!$E4491&amp;"|"&amp;DATOS!$I4491)</f>
      </c>
      <c r="G4491">
        <f>IF(DATOS!$A4491="",0,IF(CONFIG_METADATA!$B$4&lt;&gt;"OR+EX",--(DATOS!$G4491=CONFIG_METADATA!$B$4),IF(DATOS!$G4491="EX",1,IF(DATOS!$G4491="OR",--(COUNTIFS(nNIA,DATOS!$A4491,nCURSO,DATOS!$D4491,nESPEC,DATOS!$E4491,nASIG,DATOS!$I4491,nEVAL,"EX")=0),0))))</f>
      </c>
      <c r="H4491">
        <f>IF(DATOS!$G4491&lt;&gt;"EX",0,--(COUNTIFS(nNIA,DATOS!$A4491,nCURSO,DATOS!$D4491,nESPEC,DATOS!$E4491,nASIG,DATOS!$I4491,nEVAL,"OR")=0))</f>
      </c>
      <c r="I4491">
        <f>IF(DATOS!$I4491="","",IFERROR(VLOOKUP(DATOS!$I4491,CONFIG_ASIGNATURAS!$B$2:$J$91,9,FALSE()),""))</f>
      </c>
    </row>
    <row r="4492">
      <c r="F4492">
        <f>IF(DATOS!$A4492="","",DATOS!$A4492&amp;"|"&amp;DATOS!$D4492&amp;"|"&amp;DATOS!$E4492&amp;"|"&amp;DATOS!$I4492)</f>
      </c>
      <c r="G4492">
        <f>IF(DATOS!$A4492="",0,IF(CONFIG_METADATA!$B$4&lt;&gt;"OR+EX",--(DATOS!$G4492=CONFIG_METADATA!$B$4),IF(DATOS!$G4492="EX",1,IF(DATOS!$G4492="OR",--(COUNTIFS(nNIA,DATOS!$A4492,nCURSO,DATOS!$D4492,nESPEC,DATOS!$E4492,nASIG,DATOS!$I4492,nEVAL,"EX")=0),0))))</f>
      </c>
      <c r="H4492">
        <f>IF(DATOS!$G4492&lt;&gt;"EX",0,--(COUNTIFS(nNIA,DATOS!$A4492,nCURSO,DATOS!$D4492,nESPEC,DATOS!$E4492,nASIG,DATOS!$I4492,nEVAL,"OR")=0))</f>
      </c>
      <c r="I4492">
        <f>IF(DATOS!$I4492="","",IFERROR(VLOOKUP(DATOS!$I4492,CONFIG_ASIGNATURAS!$B$2:$J$91,9,FALSE()),""))</f>
      </c>
    </row>
    <row r="4493">
      <c r="F4493">
        <f>IF(DATOS!$A4493="","",DATOS!$A4493&amp;"|"&amp;DATOS!$D4493&amp;"|"&amp;DATOS!$E4493&amp;"|"&amp;DATOS!$I4493)</f>
      </c>
      <c r="G4493">
        <f>IF(DATOS!$A4493="",0,IF(CONFIG_METADATA!$B$4&lt;&gt;"OR+EX",--(DATOS!$G4493=CONFIG_METADATA!$B$4),IF(DATOS!$G4493="EX",1,IF(DATOS!$G4493="OR",--(COUNTIFS(nNIA,DATOS!$A4493,nCURSO,DATOS!$D4493,nESPEC,DATOS!$E4493,nASIG,DATOS!$I4493,nEVAL,"EX")=0),0))))</f>
      </c>
      <c r="H4493">
        <f>IF(DATOS!$G4493&lt;&gt;"EX",0,--(COUNTIFS(nNIA,DATOS!$A4493,nCURSO,DATOS!$D4493,nESPEC,DATOS!$E4493,nASIG,DATOS!$I4493,nEVAL,"OR")=0))</f>
      </c>
      <c r="I4493">
        <f>IF(DATOS!$I4493="","",IFERROR(VLOOKUP(DATOS!$I4493,CONFIG_ASIGNATURAS!$B$2:$J$91,9,FALSE()),""))</f>
      </c>
    </row>
    <row r="4494">
      <c r="F4494">
        <f>IF(DATOS!$A4494="","",DATOS!$A4494&amp;"|"&amp;DATOS!$D4494&amp;"|"&amp;DATOS!$E4494&amp;"|"&amp;DATOS!$I4494)</f>
      </c>
      <c r="G4494">
        <f>IF(DATOS!$A4494="",0,IF(CONFIG_METADATA!$B$4&lt;&gt;"OR+EX",--(DATOS!$G4494=CONFIG_METADATA!$B$4),IF(DATOS!$G4494="EX",1,IF(DATOS!$G4494="OR",--(COUNTIFS(nNIA,DATOS!$A4494,nCURSO,DATOS!$D4494,nESPEC,DATOS!$E4494,nASIG,DATOS!$I4494,nEVAL,"EX")=0),0))))</f>
      </c>
      <c r="H4494">
        <f>IF(DATOS!$G4494&lt;&gt;"EX",0,--(COUNTIFS(nNIA,DATOS!$A4494,nCURSO,DATOS!$D4494,nESPEC,DATOS!$E4494,nASIG,DATOS!$I4494,nEVAL,"OR")=0))</f>
      </c>
      <c r="I4494">
        <f>IF(DATOS!$I4494="","",IFERROR(VLOOKUP(DATOS!$I4494,CONFIG_ASIGNATURAS!$B$2:$J$91,9,FALSE()),""))</f>
      </c>
    </row>
    <row r="4495">
      <c r="F4495">
        <f>IF(DATOS!$A4495="","",DATOS!$A4495&amp;"|"&amp;DATOS!$D4495&amp;"|"&amp;DATOS!$E4495&amp;"|"&amp;DATOS!$I4495)</f>
      </c>
      <c r="G4495">
        <f>IF(DATOS!$A4495="",0,IF(CONFIG_METADATA!$B$4&lt;&gt;"OR+EX",--(DATOS!$G4495=CONFIG_METADATA!$B$4),IF(DATOS!$G4495="EX",1,IF(DATOS!$G4495="OR",--(COUNTIFS(nNIA,DATOS!$A4495,nCURSO,DATOS!$D4495,nESPEC,DATOS!$E4495,nASIG,DATOS!$I4495,nEVAL,"EX")=0),0))))</f>
      </c>
      <c r="H4495">
        <f>IF(DATOS!$G4495&lt;&gt;"EX",0,--(COUNTIFS(nNIA,DATOS!$A4495,nCURSO,DATOS!$D4495,nESPEC,DATOS!$E4495,nASIG,DATOS!$I4495,nEVAL,"OR")=0))</f>
      </c>
      <c r="I4495">
        <f>IF(DATOS!$I4495="","",IFERROR(VLOOKUP(DATOS!$I4495,CONFIG_ASIGNATURAS!$B$2:$J$91,9,FALSE()),""))</f>
      </c>
    </row>
    <row r="4496">
      <c r="F4496">
        <f>IF(DATOS!$A4496="","",DATOS!$A4496&amp;"|"&amp;DATOS!$D4496&amp;"|"&amp;DATOS!$E4496&amp;"|"&amp;DATOS!$I4496)</f>
      </c>
      <c r="G4496">
        <f>IF(DATOS!$A4496="",0,IF(CONFIG_METADATA!$B$4&lt;&gt;"OR+EX",--(DATOS!$G4496=CONFIG_METADATA!$B$4),IF(DATOS!$G4496="EX",1,IF(DATOS!$G4496="OR",--(COUNTIFS(nNIA,DATOS!$A4496,nCURSO,DATOS!$D4496,nESPEC,DATOS!$E4496,nASIG,DATOS!$I4496,nEVAL,"EX")=0),0))))</f>
      </c>
      <c r="H4496">
        <f>IF(DATOS!$G4496&lt;&gt;"EX",0,--(COUNTIFS(nNIA,DATOS!$A4496,nCURSO,DATOS!$D4496,nESPEC,DATOS!$E4496,nASIG,DATOS!$I4496,nEVAL,"OR")=0))</f>
      </c>
      <c r="I4496">
        <f>IF(DATOS!$I4496="","",IFERROR(VLOOKUP(DATOS!$I4496,CONFIG_ASIGNATURAS!$B$2:$J$91,9,FALSE()),""))</f>
      </c>
    </row>
    <row r="4497">
      <c r="F4497">
        <f>IF(DATOS!$A4497="","",DATOS!$A4497&amp;"|"&amp;DATOS!$D4497&amp;"|"&amp;DATOS!$E4497&amp;"|"&amp;DATOS!$I4497)</f>
      </c>
      <c r="G4497">
        <f>IF(DATOS!$A4497="",0,IF(CONFIG_METADATA!$B$4&lt;&gt;"OR+EX",--(DATOS!$G4497=CONFIG_METADATA!$B$4),IF(DATOS!$G4497="EX",1,IF(DATOS!$G4497="OR",--(COUNTIFS(nNIA,DATOS!$A4497,nCURSO,DATOS!$D4497,nESPEC,DATOS!$E4497,nASIG,DATOS!$I4497,nEVAL,"EX")=0),0))))</f>
      </c>
      <c r="H4497">
        <f>IF(DATOS!$G4497&lt;&gt;"EX",0,--(COUNTIFS(nNIA,DATOS!$A4497,nCURSO,DATOS!$D4497,nESPEC,DATOS!$E4497,nASIG,DATOS!$I4497,nEVAL,"OR")=0))</f>
      </c>
      <c r="I4497">
        <f>IF(DATOS!$I4497="","",IFERROR(VLOOKUP(DATOS!$I4497,CONFIG_ASIGNATURAS!$B$2:$J$91,9,FALSE()),""))</f>
      </c>
    </row>
    <row r="4498">
      <c r="F4498">
        <f>IF(DATOS!$A4498="","",DATOS!$A4498&amp;"|"&amp;DATOS!$D4498&amp;"|"&amp;DATOS!$E4498&amp;"|"&amp;DATOS!$I4498)</f>
      </c>
      <c r="G4498">
        <f>IF(DATOS!$A4498="",0,IF(CONFIG_METADATA!$B$4&lt;&gt;"OR+EX",--(DATOS!$G4498=CONFIG_METADATA!$B$4),IF(DATOS!$G4498="EX",1,IF(DATOS!$G4498="OR",--(COUNTIFS(nNIA,DATOS!$A4498,nCURSO,DATOS!$D4498,nESPEC,DATOS!$E4498,nASIG,DATOS!$I4498,nEVAL,"EX")=0),0))))</f>
      </c>
      <c r="H4498">
        <f>IF(DATOS!$G4498&lt;&gt;"EX",0,--(COUNTIFS(nNIA,DATOS!$A4498,nCURSO,DATOS!$D4498,nESPEC,DATOS!$E4498,nASIG,DATOS!$I4498,nEVAL,"OR")=0))</f>
      </c>
      <c r="I4498">
        <f>IF(DATOS!$I4498="","",IFERROR(VLOOKUP(DATOS!$I4498,CONFIG_ASIGNATURAS!$B$2:$J$91,9,FALSE()),""))</f>
      </c>
    </row>
    <row r="4499">
      <c r="F4499">
        <f>IF(DATOS!$A4499="","",DATOS!$A4499&amp;"|"&amp;DATOS!$D4499&amp;"|"&amp;DATOS!$E4499&amp;"|"&amp;DATOS!$I4499)</f>
      </c>
      <c r="G4499">
        <f>IF(DATOS!$A4499="",0,IF(CONFIG_METADATA!$B$4&lt;&gt;"OR+EX",--(DATOS!$G4499=CONFIG_METADATA!$B$4),IF(DATOS!$G4499="EX",1,IF(DATOS!$G4499="OR",--(COUNTIFS(nNIA,DATOS!$A4499,nCURSO,DATOS!$D4499,nESPEC,DATOS!$E4499,nASIG,DATOS!$I4499,nEVAL,"EX")=0),0))))</f>
      </c>
      <c r="H4499">
        <f>IF(DATOS!$G4499&lt;&gt;"EX",0,--(COUNTIFS(nNIA,DATOS!$A4499,nCURSO,DATOS!$D4499,nESPEC,DATOS!$E4499,nASIG,DATOS!$I4499,nEVAL,"OR")=0))</f>
      </c>
      <c r="I4499">
        <f>IF(DATOS!$I4499="","",IFERROR(VLOOKUP(DATOS!$I4499,CONFIG_ASIGNATURAS!$B$2:$J$91,9,FALSE()),""))</f>
      </c>
    </row>
    <row r="4500">
      <c r="F4500">
        <f>IF(DATOS!$A4500="","",DATOS!$A4500&amp;"|"&amp;DATOS!$D4500&amp;"|"&amp;DATOS!$E4500&amp;"|"&amp;DATOS!$I4500)</f>
      </c>
      <c r="G4500">
        <f>IF(DATOS!$A4500="",0,IF(CONFIG_METADATA!$B$4&lt;&gt;"OR+EX",--(DATOS!$G4500=CONFIG_METADATA!$B$4),IF(DATOS!$G4500="EX",1,IF(DATOS!$G4500="OR",--(COUNTIFS(nNIA,DATOS!$A4500,nCURSO,DATOS!$D4500,nESPEC,DATOS!$E4500,nASIG,DATOS!$I4500,nEVAL,"EX")=0),0))))</f>
      </c>
      <c r="H4500">
        <f>IF(DATOS!$G4500&lt;&gt;"EX",0,--(COUNTIFS(nNIA,DATOS!$A4500,nCURSO,DATOS!$D4500,nESPEC,DATOS!$E4500,nASIG,DATOS!$I4500,nEVAL,"OR")=0))</f>
      </c>
      <c r="I4500">
        <f>IF(DATOS!$I4500="","",IFERROR(VLOOKUP(DATOS!$I4500,CONFIG_ASIGNATURAS!$B$2:$J$91,9,FALSE()),""))</f>
      </c>
    </row>
    <row r="4501">
      <c r="F4501">
        <f>IF(DATOS!$A4501="","",DATOS!$A4501&amp;"|"&amp;DATOS!$D4501&amp;"|"&amp;DATOS!$E4501&amp;"|"&amp;DATOS!$I4501)</f>
      </c>
      <c r="G4501">
        <f>IF(DATOS!$A4501="",0,IF(CONFIG_METADATA!$B$4&lt;&gt;"OR+EX",--(DATOS!$G4501=CONFIG_METADATA!$B$4),IF(DATOS!$G4501="EX",1,IF(DATOS!$G4501="OR",--(COUNTIFS(nNIA,DATOS!$A4501,nCURSO,DATOS!$D4501,nESPEC,DATOS!$E4501,nASIG,DATOS!$I4501,nEVAL,"EX")=0),0))))</f>
      </c>
      <c r="H4501">
        <f>IF(DATOS!$G4501&lt;&gt;"EX",0,--(COUNTIFS(nNIA,DATOS!$A4501,nCURSO,DATOS!$D4501,nESPEC,DATOS!$E4501,nASIG,DATOS!$I4501,nEVAL,"OR")=0))</f>
      </c>
      <c r="I4501">
        <f>IF(DATOS!$I4501="","",IFERROR(VLOOKUP(DATOS!$I4501,CONFIG_ASIGNATURAS!$B$2:$J$91,9,FALSE()),""))</f>
      </c>
    </row>
    <row r="4502">
      <c r="F4502">
        <f>IF(DATOS!$A4502="","",DATOS!$A4502&amp;"|"&amp;DATOS!$D4502&amp;"|"&amp;DATOS!$E4502&amp;"|"&amp;DATOS!$I4502)</f>
      </c>
      <c r="G4502">
        <f>IF(DATOS!$A4502="",0,IF(CONFIG_METADATA!$B$4&lt;&gt;"OR+EX",--(DATOS!$G4502=CONFIG_METADATA!$B$4),IF(DATOS!$G4502="EX",1,IF(DATOS!$G4502="OR",--(COUNTIFS(nNIA,DATOS!$A4502,nCURSO,DATOS!$D4502,nESPEC,DATOS!$E4502,nASIG,DATOS!$I4502,nEVAL,"EX")=0),0))))</f>
      </c>
      <c r="H4502">
        <f>IF(DATOS!$G4502&lt;&gt;"EX",0,--(COUNTIFS(nNIA,DATOS!$A4502,nCURSO,DATOS!$D4502,nESPEC,DATOS!$E4502,nASIG,DATOS!$I4502,nEVAL,"OR")=0))</f>
      </c>
      <c r="I4502">
        <f>IF(DATOS!$I4502="","",IFERROR(VLOOKUP(DATOS!$I4502,CONFIG_ASIGNATURAS!$B$2:$J$91,9,FALSE()),""))</f>
      </c>
    </row>
    <row r="4503">
      <c r="F4503">
        <f>IF(DATOS!$A4503="","",DATOS!$A4503&amp;"|"&amp;DATOS!$D4503&amp;"|"&amp;DATOS!$E4503&amp;"|"&amp;DATOS!$I4503)</f>
      </c>
      <c r="G4503">
        <f>IF(DATOS!$A4503="",0,IF(CONFIG_METADATA!$B$4&lt;&gt;"OR+EX",--(DATOS!$G4503=CONFIG_METADATA!$B$4),IF(DATOS!$G4503="EX",1,IF(DATOS!$G4503="OR",--(COUNTIFS(nNIA,DATOS!$A4503,nCURSO,DATOS!$D4503,nESPEC,DATOS!$E4503,nASIG,DATOS!$I4503,nEVAL,"EX")=0),0))))</f>
      </c>
      <c r="H4503">
        <f>IF(DATOS!$G4503&lt;&gt;"EX",0,--(COUNTIFS(nNIA,DATOS!$A4503,nCURSO,DATOS!$D4503,nESPEC,DATOS!$E4503,nASIG,DATOS!$I4503,nEVAL,"OR")=0))</f>
      </c>
      <c r="I4503">
        <f>IF(DATOS!$I4503="","",IFERROR(VLOOKUP(DATOS!$I4503,CONFIG_ASIGNATURAS!$B$2:$J$91,9,FALSE()),""))</f>
      </c>
    </row>
    <row r="4504">
      <c r="F4504">
        <f>IF(DATOS!$A4504="","",DATOS!$A4504&amp;"|"&amp;DATOS!$D4504&amp;"|"&amp;DATOS!$E4504&amp;"|"&amp;DATOS!$I4504)</f>
      </c>
      <c r="G4504">
        <f>IF(DATOS!$A4504="",0,IF(CONFIG_METADATA!$B$4&lt;&gt;"OR+EX",--(DATOS!$G4504=CONFIG_METADATA!$B$4),IF(DATOS!$G4504="EX",1,IF(DATOS!$G4504="OR",--(COUNTIFS(nNIA,DATOS!$A4504,nCURSO,DATOS!$D4504,nESPEC,DATOS!$E4504,nASIG,DATOS!$I4504,nEVAL,"EX")=0),0))))</f>
      </c>
      <c r="H4504">
        <f>IF(DATOS!$G4504&lt;&gt;"EX",0,--(COUNTIFS(nNIA,DATOS!$A4504,nCURSO,DATOS!$D4504,nESPEC,DATOS!$E4504,nASIG,DATOS!$I4504,nEVAL,"OR")=0))</f>
      </c>
      <c r="I4504">
        <f>IF(DATOS!$I4504="","",IFERROR(VLOOKUP(DATOS!$I4504,CONFIG_ASIGNATURAS!$B$2:$J$91,9,FALSE()),""))</f>
      </c>
    </row>
    <row r="4505">
      <c r="F4505">
        <f>IF(DATOS!$A4505="","",DATOS!$A4505&amp;"|"&amp;DATOS!$D4505&amp;"|"&amp;DATOS!$E4505&amp;"|"&amp;DATOS!$I4505)</f>
      </c>
      <c r="G4505">
        <f>IF(DATOS!$A4505="",0,IF(CONFIG_METADATA!$B$4&lt;&gt;"OR+EX",--(DATOS!$G4505=CONFIG_METADATA!$B$4),IF(DATOS!$G4505="EX",1,IF(DATOS!$G4505="OR",--(COUNTIFS(nNIA,DATOS!$A4505,nCURSO,DATOS!$D4505,nESPEC,DATOS!$E4505,nASIG,DATOS!$I4505,nEVAL,"EX")=0),0))))</f>
      </c>
      <c r="H4505">
        <f>IF(DATOS!$G4505&lt;&gt;"EX",0,--(COUNTIFS(nNIA,DATOS!$A4505,nCURSO,DATOS!$D4505,nESPEC,DATOS!$E4505,nASIG,DATOS!$I4505,nEVAL,"OR")=0))</f>
      </c>
      <c r="I4505">
        <f>IF(DATOS!$I4505="","",IFERROR(VLOOKUP(DATOS!$I4505,CONFIG_ASIGNATURAS!$B$2:$J$91,9,FALSE()),""))</f>
      </c>
    </row>
    <row r="4506">
      <c r="F4506">
        <f>IF(DATOS!$A4506="","",DATOS!$A4506&amp;"|"&amp;DATOS!$D4506&amp;"|"&amp;DATOS!$E4506&amp;"|"&amp;DATOS!$I4506)</f>
      </c>
      <c r="G4506">
        <f>IF(DATOS!$A4506="",0,IF(CONFIG_METADATA!$B$4&lt;&gt;"OR+EX",--(DATOS!$G4506=CONFIG_METADATA!$B$4),IF(DATOS!$G4506="EX",1,IF(DATOS!$G4506="OR",--(COUNTIFS(nNIA,DATOS!$A4506,nCURSO,DATOS!$D4506,nESPEC,DATOS!$E4506,nASIG,DATOS!$I4506,nEVAL,"EX")=0),0))))</f>
      </c>
      <c r="H4506">
        <f>IF(DATOS!$G4506&lt;&gt;"EX",0,--(COUNTIFS(nNIA,DATOS!$A4506,nCURSO,DATOS!$D4506,nESPEC,DATOS!$E4506,nASIG,DATOS!$I4506,nEVAL,"OR")=0))</f>
      </c>
      <c r="I4506">
        <f>IF(DATOS!$I4506="","",IFERROR(VLOOKUP(DATOS!$I4506,CONFIG_ASIGNATURAS!$B$2:$J$91,9,FALSE()),""))</f>
      </c>
    </row>
    <row r="4507">
      <c r="F4507">
        <f>IF(DATOS!$A4507="","",DATOS!$A4507&amp;"|"&amp;DATOS!$D4507&amp;"|"&amp;DATOS!$E4507&amp;"|"&amp;DATOS!$I4507)</f>
      </c>
      <c r="G4507">
        <f>IF(DATOS!$A4507="",0,IF(CONFIG_METADATA!$B$4&lt;&gt;"OR+EX",--(DATOS!$G4507=CONFIG_METADATA!$B$4),IF(DATOS!$G4507="EX",1,IF(DATOS!$G4507="OR",--(COUNTIFS(nNIA,DATOS!$A4507,nCURSO,DATOS!$D4507,nESPEC,DATOS!$E4507,nASIG,DATOS!$I4507,nEVAL,"EX")=0),0))))</f>
      </c>
      <c r="H4507">
        <f>IF(DATOS!$G4507&lt;&gt;"EX",0,--(COUNTIFS(nNIA,DATOS!$A4507,nCURSO,DATOS!$D4507,nESPEC,DATOS!$E4507,nASIG,DATOS!$I4507,nEVAL,"OR")=0))</f>
      </c>
      <c r="I4507">
        <f>IF(DATOS!$I4507="","",IFERROR(VLOOKUP(DATOS!$I4507,CONFIG_ASIGNATURAS!$B$2:$J$91,9,FALSE()),""))</f>
      </c>
    </row>
    <row r="4508">
      <c r="F4508">
        <f>IF(DATOS!$A4508="","",DATOS!$A4508&amp;"|"&amp;DATOS!$D4508&amp;"|"&amp;DATOS!$E4508&amp;"|"&amp;DATOS!$I4508)</f>
      </c>
      <c r="G4508">
        <f>IF(DATOS!$A4508="",0,IF(CONFIG_METADATA!$B$4&lt;&gt;"OR+EX",--(DATOS!$G4508=CONFIG_METADATA!$B$4),IF(DATOS!$G4508="EX",1,IF(DATOS!$G4508="OR",--(COUNTIFS(nNIA,DATOS!$A4508,nCURSO,DATOS!$D4508,nESPEC,DATOS!$E4508,nASIG,DATOS!$I4508,nEVAL,"EX")=0),0))))</f>
      </c>
      <c r="H4508">
        <f>IF(DATOS!$G4508&lt;&gt;"EX",0,--(COUNTIFS(nNIA,DATOS!$A4508,nCURSO,DATOS!$D4508,nESPEC,DATOS!$E4508,nASIG,DATOS!$I4508,nEVAL,"OR")=0))</f>
      </c>
      <c r="I4508">
        <f>IF(DATOS!$I4508="","",IFERROR(VLOOKUP(DATOS!$I4508,CONFIG_ASIGNATURAS!$B$2:$J$91,9,FALSE()),""))</f>
      </c>
    </row>
    <row r="4509">
      <c r="F4509">
        <f>IF(DATOS!$A4509="","",DATOS!$A4509&amp;"|"&amp;DATOS!$D4509&amp;"|"&amp;DATOS!$E4509&amp;"|"&amp;DATOS!$I4509)</f>
      </c>
      <c r="G4509">
        <f>IF(DATOS!$A4509="",0,IF(CONFIG_METADATA!$B$4&lt;&gt;"OR+EX",--(DATOS!$G4509=CONFIG_METADATA!$B$4),IF(DATOS!$G4509="EX",1,IF(DATOS!$G4509="OR",--(COUNTIFS(nNIA,DATOS!$A4509,nCURSO,DATOS!$D4509,nESPEC,DATOS!$E4509,nASIG,DATOS!$I4509,nEVAL,"EX")=0),0))))</f>
      </c>
      <c r="H4509">
        <f>IF(DATOS!$G4509&lt;&gt;"EX",0,--(COUNTIFS(nNIA,DATOS!$A4509,nCURSO,DATOS!$D4509,nESPEC,DATOS!$E4509,nASIG,DATOS!$I4509,nEVAL,"OR")=0))</f>
      </c>
      <c r="I4509">
        <f>IF(DATOS!$I4509="","",IFERROR(VLOOKUP(DATOS!$I4509,CONFIG_ASIGNATURAS!$B$2:$J$91,9,FALSE()),""))</f>
      </c>
    </row>
    <row r="4510">
      <c r="F4510">
        <f>IF(DATOS!$A4510="","",DATOS!$A4510&amp;"|"&amp;DATOS!$D4510&amp;"|"&amp;DATOS!$E4510&amp;"|"&amp;DATOS!$I4510)</f>
      </c>
      <c r="G4510">
        <f>IF(DATOS!$A4510="",0,IF(CONFIG_METADATA!$B$4&lt;&gt;"OR+EX",--(DATOS!$G4510=CONFIG_METADATA!$B$4),IF(DATOS!$G4510="EX",1,IF(DATOS!$G4510="OR",--(COUNTIFS(nNIA,DATOS!$A4510,nCURSO,DATOS!$D4510,nESPEC,DATOS!$E4510,nASIG,DATOS!$I4510,nEVAL,"EX")=0),0))))</f>
      </c>
      <c r="H4510">
        <f>IF(DATOS!$G4510&lt;&gt;"EX",0,--(COUNTIFS(nNIA,DATOS!$A4510,nCURSO,DATOS!$D4510,nESPEC,DATOS!$E4510,nASIG,DATOS!$I4510,nEVAL,"OR")=0))</f>
      </c>
      <c r="I4510">
        <f>IF(DATOS!$I4510="","",IFERROR(VLOOKUP(DATOS!$I4510,CONFIG_ASIGNATURAS!$B$2:$J$91,9,FALSE()),""))</f>
      </c>
    </row>
    <row r="4511">
      <c r="F4511">
        <f>IF(DATOS!$A4511="","",DATOS!$A4511&amp;"|"&amp;DATOS!$D4511&amp;"|"&amp;DATOS!$E4511&amp;"|"&amp;DATOS!$I4511)</f>
      </c>
      <c r="G4511">
        <f>IF(DATOS!$A4511="",0,IF(CONFIG_METADATA!$B$4&lt;&gt;"OR+EX",--(DATOS!$G4511=CONFIG_METADATA!$B$4),IF(DATOS!$G4511="EX",1,IF(DATOS!$G4511="OR",--(COUNTIFS(nNIA,DATOS!$A4511,nCURSO,DATOS!$D4511,nESPEC,DATOS!$E4511,nASIG,DATOS!$I4511,nEVAL,"EX")=0),0))))</f>
      </c>
      <c r="H4511">
        <f>IF(DATOS!$G4511&lt;&gt;"EX",0,--(COUNTIFS(nNIA,DATOS!$A4511,nCURSO,DATOS!$D4511,nESPEC,DATOS!$E4511,nASIG,DATOS!$I4511,nEVAL,"OR")=0))</f>
      </c>
      <c r="I4511">
        <f>IF(DATOS!$I4511="","",IFERROR(VLOOKUP(DATOS!$I4511,CONFIG_ASIGNATURAS!$B$2:$J$91,9,FALSE()),""))</f>
      </c>
    </row>
    <row r="4512">
      <c r="F4512">
        <f>IF(DATOS!$A4512="","",DATOS!$A4512&amp;"|"&amp;DATOS!$D4512&amp;"|"&amp;DATOS!$E4512&amp;"|"&amp;DATOS!$I4512)</f>
      </c>
      <c r="G4512">
        <f>IF(DATOS!$A4512="",0,IF(CONFIG_METADATA!$B$4&lt;&gt;"OR+EX",--(DATOS!$G4512=CONFIG_METADATA!$B$4),IF(DATOS!$G4512="EX",1,IF(DATOS!$G4512="OR",--(COUNTIFS(nNIA,DATOS!$A4512,nCURSO,DATOS!$D4512,nESPEC,DATOS!$E4512,nASIG,DATOS!$I4512,nEVAL,"EX")=0),0))))</f>
      </c>
      <c r="H4512">
        <f>IF(DATOS!$G4512&lt;&gt;"EX",0,--(COUNTIFS(nNIA,DATOS!$A4512,nCURSO,DATOS!$D4512,nESPEC,DATOS!$E4512,nASIG,DATOS!$I4512,nEVAL,"OR")=0))</f>
      </c>
      <c r="I4512">
        <f>IF(DATOS!$I4512="","",IFERROR(VLOOKUP(DATOS!$I4512,CONFIG_ASIGNATURAS!$B$2:$J$91,9,FALSE()),""))</f>
      </c>
    </row>
    <row r="4513">
      <c r="F4513">
        <f>IF(DATOS!$A4513="","",DATOS!$A4513&amp;"|"&amp;DATOS!$D4513&amp;"|"&amp;DATOS!$E4513&amp;"|"&amp;DATOS!$I4513)</f>
      </c>
      <c r="G4513">
        <f>IF(DATOS!$A4513="",0,IF(CONFIG_METADATA!$B$4&lt;&gt;"OR+EX",--(DATOS!$G4513=CONFIG_METADATA!$B$4),IF(DATOS!$G4513="EX",1,IF(DATOS!$G4513="OR",--(COUNTIFS(nNIA,DATOS!$A4513,nCURSO,DATOS!$D4513,nESPEC,DATOS!$E4513,nASIG,DATOS!$I4513,nEVAL,"EX")=0),0))))</f>
      </c>
      <c r="H4513">
        <f>IF(DATOS!$G4513&lt;&gt;"EX",0,--(COUNTIFS(nNIA,DATOS!$A4513,nCURSO,DATOS!$D4513,nESPEC,DATOS!$E4513,nASIG,DATOS!$I4513,nEVAL,"OR")=0))</f>
      </c>
      <c r="I4513">
        <f>IF(DATOS!$I4513="","",IFERROR(VLOOKUP(DATOS!$I4513,CONFIG_ASIGNATURAS!$B$2:$J$91,9,FALSE()),""))</f>
      </c>
    </row>
    <row r="4514">
      <c r="F4514">
        <f>IF(DATOS!$A4514="","",DATOS!$A4514&amp;"|"&amp;DATOS!$D4514&amp;"|"&amp;DATOS!$E4514&amp;"|"&amp;DATOS!$I4514)</f>
      </c>
      <c r="G4514">
        <f>IF(DATOS!$A4514="",0,IF(CONFIG_METADATA!$B$4&lt;&gt;"OR+EX",--(DATOS!$G4514=CONFIG_METADATA!$B$4),IF(DATOS!$G4514="EX",1,IF(DATOS!$G4514="OR",--(COUNTIFS(nNIA,DATOS!$A4514,nCURSO,DATOS!$D4514,nESPEC,DATOS!$E4514,nASIG,DATOS!$I4514,nEVAL,"EX")=0),0))))</f>
      </c>
      <c r="H4514">
        <f>IF(DATOS!$G4514&lt;&gt;"EX",0,--(COUNTIFS(nNIA,DATOS!$A4514,nCURSO,DATOS!$D4514,nESPEC,DATOS!$E4514,nASIG,DATOS!$I4514,nEVAL,"OR")=0))</f>
      </c>
      <c r="I4514">
        <f>IF(DATOS!$I4514="","",IFERROR(VLOOKUP(DATOS!$I4514,CONFIG_ASIGNATURAS!$B$2:$J$91,9,FALSE()),""))</f>
      </c>
    </row>
    <row r="4515">
      <c r="F4515">
        <f>IF(DATOS!$A4515="","",DATOS!$A4515&amp;"|"&amp;DATOS!$D4515&amp;"|"&amp;DATOS!$E4515&amp;"|"&amp;DATOS!$I4515)</f>
      </c>
      <c r="G4515">
        <f>IF(DATOS!$A4515="",0,IF(CONFIG_METADATA!$B$4&lt;&gt;"OR+EX",--(DATOS!$G4515=CONFIG_METADATA!$B$4),IF(DATOS!$G4515="EX",1,IF(DATOS!$G4515="OR",--(COUNTIFS(nNIA,DATOS!$A4515,nCURSO,DATOS!$D4515,nESPEC,DATOS!$E4515,nASIG,DATOS!$I4515,nEVAL,"EX")=0),0))))</f>
      </c>
      <c r="H4515">
        <f>IF(DATOS!$G4515&lt;&gt;"EX",0,--(COUNTIFS(nNIA,DATOS!$A4515,nCURSO,DATOS!$D4515,nESPEC,DATOS!$E4515,nASIG,DATOS!$I4515,nEVAL,"OR")=0))</f>
      </c>
      <c r="I4515">
        <f>IF(DATOS!$I4515="","",IFERROR(VLOOKUP(DATOS!$I4515,CONFIG_ASIGNATURAS!$B$2:$J$91,9,FALSE()),""))</f>
      </c>
    </row>
    <row r="4516">
      <c r="F4516">
        <f>IF(DATOS!$A4516="","",DATOS!$A4516&amp;"|"&amp;DATOS!$D4516&amp;"|"&amp;DATOS!$E4516&amp;"|"&amp;DATOS!$I4516)</f>
      </c>
      <c r="G4516">
        <f>IF(DATOS!$A4516="",0,IF(CONFIG_METADATA!$B$4&lt;&gt;"OR+EX",--(DATOS!$G4516=CONFIG_METADATA!$B$4),IF(DATOS!$G4516="EX",1,IF(DATOS!$G4516="OR",--(COUNTIFS(nNIA,DATOS!$A4516,nCURSO,DATOS!$D4516,nESPEC,DATOS!$E4516,nASIG,DATOS!$I4516,nEVAL,"EX")=0),0))))</f>
      </c>
      <c r="H4516">
        <f>IF(DATOS!$G4516&lt;&gt;"EX",0,--(COUNTIFS(nNIA,DATOS!$A4516,nCURSO,DATOS!$D4516,nESPEC,DATOS!$E4516,nASIG,DATOS!$I4516,nEVAL,"OR")=0))</f>
      </c>
      <c r="I4516">
        <f>IF(DATOS!$I4516="","",IFERROR(VLOOKUP(DATOS!$I4516,CONFIG_ASIGNATURAS!$B$2:$J$91,9,FALSE()),""))</f>
      </c>
    </row>
    <row r="4517">
      <c r="F4517">
        <f>IF(DATOS!$A4517="","",DATOS!$A4517&amp;"|"&amp;DATOS!$D4517&amp;"|"&amp;DATOS!$E4517&amp;"|"&amp;DATOS!$I4517)</f>
      </c>
      <c r="G4517">
        <f>IF(DATOS!$A4517="",0,IF(CONFIG_METADATA!$B$4&lt;&gt;"OR+EX",--(DATOS!$G4517=CONFIG_METADATA!$B$4),IF(DATOS!$G4517="EX",1,IF(DATOS!$G4517="OR",--(COUNTIFS(nNIA,DATOS!$A4517,nCURSO,DATOS!$D4517,nESPEC,DATOS!$E4517,nASIG,DATOS!$I4517,nEVAL,"EX")=0),0))))</f>
      </c>
      <c r="H4517">
        <f>IF(DATOS!$G4517&lt;&gt;"EX",0,--(COUNTIFS(nNIA,DATOS!$A4517,nCURSO,DATOS!$D4517,nESPEC,DATOS!$E4517,nASIG,DATOS!$I4517,nEVAL,"OR")=0))</f>
      </c>
      <c r="I4517">
        <f>IF(DATOS!$I4517="","",IFERROR(VLOOKUP(DATOS!$I4517,CONFIG_ASIGNATURAS!$B$2:$J$91,9,FALSE()),""))</f>
      </c>
    </row>
    <row r="4518">
      <c r="F4518">
        <f>IF(DATOS!$A4518="","",DATOS!$A4518&amp;"|"&amp;DATOS!$D4518&amp;"|"&amp;DATOS!$E4518&amp;"|"&amp;DATOS!$I4518)</f>
      </c>
      <c r="G4518">
        <f>IF(DATOS!$A4518="",0,IF(CONFIG_METADATA!$B$4&lt;&gt;"OR+EX",--(DATOS!$G4518=CONFIG_METADATA!$B$4),IF(DATOS!$G4518="EX",1,IF(DATOS!$G4518="OR",--(COUNTIFS(nNIA,DATOS!$A4518,nCURSO,DATOS!$D4518,nESPEC,DATOS!$E4518,nASIG,DATOS!$I4518,nEVAL,"EX")=0),0))))</f>
      </c>
      <c r="H4518">
        <f>IF(DATOS!$G4518&lt;&gt;"EX",0,--(COUNTIFS(nNIA,DATOS!$A4518,nCURSO,DATOS!$D4518,nESPEC,DATOS!$E4518,nASIG,DATOS!$I4518,nEVAL,"OR")=0))</f>
      </c>
      <c r="I4518">
        <f>IF(DATOS!$I4518="","",IFERROR(VLOOKUP(DATOS!$I4518,CONFIG_ASIGNATURAS!$B$2:$J$91,9,FALSE()),""))</f>
      </c>
    </row>
    <row r="4519">
      <c r="F4519">
        <f>IF(DATOS!$A4519="","",DATOS!$A4519&amp;"|"&amp;DATOS!$D4519&amp;"|"&amp;DATOS!$E4519&amp;"|"&amp;DATOS!$I4519)</f>
      </c>
      <c r="G4519">
        <f>IF(DATOS!$A4519="",0,IF(CONFIG_METADATA!$B$4&lt;&gt;"OR+EX",--(DATOS!$G4519=CONFIG_METADATA!$B$4),IF(DATOS!$G4519="EX",1,IF(DATOS!$G4519="OR",--(COUNTIFS(nNIA,DATOS!$A4519,nCURSO,DATOS!$D4519,nESPEC,DATOS!$E4519,nASIG,DATOS!$I4519,nEVAL,"EX")=0),0))))</f>
      </c>
      <c r="H4519">
        <f>IF(DATOS!$G4519&lt;&gt;"EX",0,--(COUNTIFS(nNIA,DATOS!$A4519,nCURSO,DATOS!$D4519,nESPEC,DATOS!$E4519,nASIG,DATOS!$I4519,nEVAL,"OR")=0))</f>
      </c>
      <c r="I4519">
        <f>IF(DATOS!$I4519="","",IFERROR(VLOOKUP(DATOS!$I4519,CONFIG_ASIGNATURAS!$B$2:$J$91,9,FALSE()),""))</f>
      </c>
    </row>
    <row r="4520">
      <c r="F4520">
        <f>IF(DATOS!$A4520="","",DATOS!$A4520&amp;"|"&amp;DATOS!$D4520&amp;"|"&amp;DATOS!$E4520&amp;"|"&amp;DATOS!$I4520)</f>
      </c>
      <c r="G4520">
        <f>IF(DATOS!$A4520="",0,IF(CONFIG_METADATA!$B$4&lt;&gt;"OR+EX",--(DATOS!$G4520=CONFIG_METADATA!$B$4),IF(DATOS!$G4520="EX",1,IF(DATOS!$G4520="OR",--(COUNTIFS(nNIA,DATOS!$A4520,nCURSO,DATOS!$D4520,nESPEC,DATOS!$E4520,nASIG,DATOS!$I4520,nEVAL,"EX")=0),0))))</f>
      </c>
      <c r="H4520">
        <f>IF(DATOS!$G4520&lt;&gt;"EX",0,--(COUNTIFS(nNIA,DATOS!$A4520,nCURSO,DATOS!$D4520,nESPEC,DATOS!$E4520,nASIG,DATOS!$I4520,nEVAL,"OR")=0))</f>
      </c>
      <c r="I4520">
        <f>IF(DATOS!$I4520="","",IFERROR(VLOOKUP(DATOS!$I4520,CONFIG_ASIGNATURAS!$B$2:$J$91,9,FALSE()),""))</f>
      </c>
    </row>
    <row r="4521">
      <c r="F4521">
        <f>IF(DATOS!$A4521="","",DATOS!$A4521&amp;"|"&amp;DATOS!$D4521&amp;"|"&amp;DATOS!$E4521&amp;"|"&amp;DATOS!$I4521)</f>
      </c>
      <c r="G4521">
        <f>IF(DATOS!$A4521="",0,IF(CONFIG_METADATA!$B$4&lt;&gt;"OR+EX",--(DATOS!$G4521=CONFIG_METADATA!$B$4),IF(DATOS!$G4521="EX",1,IF(DATOS!$G4521="OR",--(COUNTIFS(nNIA,DATOS!$A4521,nCURSO,DATOS!$D4521,nESPEC,DATOS!$E4521,nASIG,DATOS!$I4521,nEVAL,"EX")=0),0))))</f>
      </c>
      <c r="H4521">
        <f>IF(DATOS!$G4521&lt;&gt;"EX",0,--(COUNTIFS(nNIA,DATOS!$A4521,nCURSO,DATOS!$D4521,nESPEC,DATOS!$E4521,nASIG,DATOS!$I4521,nEVAL,"OR")=0))</f>
      </c>
      <c r="I4521">
        <f>IF(DATOS!$I4521="","",IFERROR(VLOOKUP(DATOS!$I4521,CONFIG_ASIGNATURAS!$B$2:$J$91,9,FALSE()),""))</f>
      </c>
    </row>
    <row r="4522">
      <c r="F4522">
        <f>IF(DATOS!$A4522="","",DATOS!$A4522&amp;"|"&amp;DATOS!$D4522&amp;"|"&amp;DATOS!$E4522&amp;"|"&amp;DATOS!$I4522)</f>
      </c>
      <c r="G4522">
        <f>IF(DATOS!$A4522="",0,IF(CONFIG_METADATA!$B$4&lt;&gt;"OR+EX",--(DATOS!$G4522=CONFIG_METADATA!$B$4),IF(DATOS!$G4522="EX",1,IF(DATOS!$G4522="OR",--(COUNTIFS(nNIA,DATOS!$A4522,nCURSO,DATOS!$D4522,nESPEC,DATOS!$E4522,nASIG,DATOS!$I4522,nEVAL,"EX")=0),0))))</f>
      </c>
      <c r="H4522">
        <f>IF(DATOS!$G4522&lt;&gt;"EX",0,--(COUNTIFS(nNIA,DATOS!$A4522,nCURSO,DATOS!$D4522,nESPEC,DATOS!$E4522,nASIG,DATOS!$I4522,nEVAL,"OR")=0))</f>
      </c>
      <c r="I4522">
        <f>IF(DATOS!$I4522="","",IFERROR(VLOOKUP(DATOS!$I4522,CONFIG_ASIGNATURAS!$B$2:$J$91,9,FALSE()),""))</f>
      </c>
    </row>
    <row r="4523">
      <c r="F4523">
        <f>IF(DATOS!$A4523="","",DATOS!$A4523&amp;"|"&amp;DATOS!$D4523&amp;"|"&amp;DATOS!$E4523&amp;"|"&amp;DATOS!$I4523)</f>
      </c>
      <c r="G4523">
        <f>IF(DATOS!$A4523="",0,IF(CONFIG_METADATA!$B$4&lt;&gt;"OR+EX",--(DATOS!$G4523=CONFIG_METADATA!$B$4),IF(DATOS!$G4523="EX",1,IF(DATOS!$G4523="OR",--(COUNTIFS(nNIA,DATOS!$A4523,nCURSO,DATOS!$D4523,nESPEC,DATOS!$E4523,nASIG,DATOS!$I4523,nEVAL,"EX")=0),0))))</f>
      </c>
      <c r="H4523">
        <f>IF(DATOS!$G4523&lt;&gt;"EX",0,--(COUNTIFS(nNIA,DATOS!$A4523,nCURSO,DATOS!$D4523,nESPEC,DATOS!$E4523,nASIG,DATOS!$I4523,nEVAL,"OR")=0))</f>
      </c>
      <c r="I4523">
        <f>IF(DATOS!$I4523="","",IFERROR(VLOOKUP(DATOS!$I4523,CONFIG_ASIGNATURAS!$B$2:$J$91,9,FALSE()),""))</f>
      </c>
    </row>
    <row r="4524">
      <c r="F4524">
        <f>IF(DATOS!$A4524="","",DATOS!$A4524&amp;"|"&amp;DATOS!$D4524&amp;"|"&amp;DATOS!$E4524&amp;"|"&amp;DATOS!$I4524)</f>
      </c>
      <c r="G4524">
        <f>IF(DATOS!$A4524="",0,IF(CONFIG_METADATA!$B$4&lt;&gt;"OR+EX",--(DATOS!$G4524=CONFIG_METADATA!$B$4),IF(DATOS!$G4524="EX",1,IF(DATOS!$G4524="OR",--(COUNTIFS(nNIA,DATOS!$A4524,nCURSO,DATOS!$D4524,nESPEC,DATOS!$E4524,nASIG,DATOS!$I4524,nEVAL,"EX")=0),0))))</f>
      </c>
      <c r="H4524">
        <f>IF(DATOS!$G4524&lt;&gt;"EX",0,--(COUNTIFS(nNIA,DATOS!$A4524,nCURSO,DATOS!$D4524,nESPEC,DATOS!$E4524,nASIG,DATOS!$I4524,nEVAL,"OR")=0))</f>
      </c>
      <c r="I4524">
        <f>IF(DATOS!$I4524="","",IFERROR(VLOOKUP(DATOS!$I4524,CONFIG_ASIGNATURAS!$B$2:$J$91,9,FALSE()),""))</f>
      </c>
    </row>
    <row r="4525">
      <c r="F4525">
        <f>IF(DATOS!$A4525="","",DATOS!$A4525&amp;"|"&amp;DATOS!$D4525&amp;"|"&amp;DATOS!$E4525&amp;"|"&amp;DATOS!$I4525)</f>
      </c>
      <c r="G4525">
        <f>IF(DATOS!$A4525="",0,IF(CONFIG_METADATA!$B$4&lt;&gt;"OR+EX",--(DATOS!$G4525=CONFIG_METADATA!$B$4),IF(DATOS!$G4525="EX",1,IF(DATOS!$G4525="OR",--(COUNTIFS(nNIA,DATOS!$A4525,nCURSO,DATOS!$D4525,nESPEC,DATOS!$E4525,nASIG,DATOS!$I4525,nEVAL,"EX")=0),0))))</f>
      </c>
      <c r="H4525">
        <f>IF(DATOS!$G4525&lt;&gt;"EX",0,--(COUNTIFS(nNIA,DATOS!$A4525,nCURSO,DATOS!$D4525,nESPEC,DATOS!$E4525,nASIG,DATOS!$I4525,nEVAL,"OR")=0))</f>
      </c>
      <c r="I4525">
        <f>IF(DATOS!$I4525="","",IFERROR(VLOOKUP(DATOS!$I4525,CONFIG_ASIGNATURAS!$B$2:$J$91,9,FALSE()),""))</f>
      </c>
    </row>
    <row r="4526">
      <c r="F4526">
        <f>IF(DATOS!$A4526="","",DATOS!$A4526&amp;"|"&amp;DATOS!$D4526&amp;"|"&amp;DATOS!$E4526&amp;"|"&amp;DATOS!$I4526)</f>
      </c>
      <c r="G4526">
        <f>IF(DATOS!$A4526="",0,IF(CONFIG_METADATA!$B$4&lt;&gt;"OR+EX",--(DATOS!$G4526=CONFIG_METADATA!$B$4),IF(DATOS!$G4526="EX",1,IF(DATOS!$G4526="OR",--(COUNTIFS(nNIA,DATOS!$A4526,nCURSO,DATOS!$D4526,nESPEC,DATOS!$E4526,nASIG,DATOS!$I4526,nEVAL,"EX")=0),0))))</f>
      </c>
      <c r="H4526">
        <f>IF(DATOS!$G4526&lt;&gt;"EX",0,--(COUNTIFS(nNIA,DATOS!$A4526,nCURSO,DATOS!$D4526,nESPEC,DATOS!$E4526,nASIG,DATOS!$I4526,nEVAL,"OR")=0))</f>
      </c>
      <c r="I4526">
        <f>IF(DATOS!$I4526="","",IFERROR(VLOOKUP(DATOS!$I4526,CONFIG_ASIGNATURAS!$B$2:$J$91,9,FALSE()),""))</f>
      </c>
    </row>
    <row r="4527">
      <c r="F4527">
        <f>IF(DATOS!$A4527="","",DATOS!$A4527&amp;"|"&amp;DATOS!$D4527&amp;"|"&amp;DATOS!$E4527&amp;"|"&amp;DATOS!$I4527)</f>
      </c>
      <c r="G4527">
        <f>IF(DATOS!$A4527="",0,IF(CONFIG_METADATA!$B$4&lt;&gt;"OR+EX",--(DATOS!$G4527=CONFIG_METADATA!$B$4),IF(DATOS!$G4527="EX",1,IF(DATOS!$G4527="OR",--(COUNTIFS(nNIA,DATOS!$A4527,nCURSO,DATOS!$D4527,nESPEC,DATOS!$E4527,nASIG,DATOS!$I4527,nEVAL,"EX")=0),0))))</f>
      </c>
      <c r="H4527">
        <f>IF(DATOS!$G4527&lt;&gt;"EX",0,--(COUNTIFS(nNIA,DATOS!$A4527,nCURSO,DATOS!$D4527,nESPEC,DATOS!$E4527,nASIG,DATOS!$I4527,nEVAL,"OR")=0))</f>
      </c>
      <c r="I4527">
        <f>IF(DATOS!$I4527="","",IFERROR(VLOOKUP(DATOS!$I4527,CONFIG_ASIGNATURAS!$B$2:$J$91,9,FALSE()),""))</f>
      </c>
    </row>
    <row r="4528">
      <c r="F4528">
        <f>IF(DATOS!$A4528="","",DATOS!$A4528&amp;"|"&amp;DATOS!$D4528&amp;"|"&amp;DATOS!$E4528&amp;"|"&amp;DATOS!$I4528)</f>
      </c>
      <c r="G4528">
        <f>IF(DATOS!$A4528="",0,IF(CONFIG_METADATA!$B$4&lt;&gt;"OR+EX",--(DATOS!$G4528=CONFIG_METADATA!$B$4),IF(DATOS!$G4528="EX",1,IF(DATOS!$G4528="OR",--(COUNTIFS(nNIA,DATOS!$A4528,nCURSO,DATOS!$D4528,nESPEC,DATOS!$E4528,nASIG,DATOS!$I4528,nEVAL,"EX")=0),0))))</f>
      </c>
      <c r="H4528">
        <f>IF(DATOS!$G4528&lt;&gt;"EX",0,--(COUNTIFS(nNIA,DATOS!$A4528,nCURSO,DATOS!$D4528,nESPEC,DATOS!$E4528,nASIG,DATOS!$I4528,nEVAL,"OR")=0))</f>
      </c>
      <c r="I4528">
        <f>IF(DATOS!$I4528="","",IFERROR(VLOOKUP(DATOS!$I4528,CONFIG_ASIGNATURAS!$B$2:$J$91,9,FALSE()),""))</f>
      </c>
    </row>
    <row r="4529">
      <c r="F4529">
        <f>IF(DATOS!$A4529="","",DATOS!$A4529&amp;"|"&amp;DATOS!$D4529&amp;"|"&amp;DATOS!$E4529&amp;"|"&amp;DATOS!$I4529)</f>
      </c>
      <c r="G4529">
        <f>IF(DATOS!$A4529="",0,IF(CONFIG_METADATA!$B$4&lt;&gt;"OR+EX",--(DATOS!$G4529=CONFIG_METADATA!$B$4),IF(DATOS!$G4529="EX",1,IF(DATOS!$G4529="OR",--(COUNTIFS(nNIA,DATOS!$A4529,nCURSO,DATOS!$D4529,nESPEC,DATOS!$E4529,nASIG,DATOS!$I4529,nEVAL,"EX")=0),0))))</f>
      </c>
      <c r="H4529">
        <f>IF(DATOS!$G4529&lt;&gt;"EX",0,--(COUNTIFS(nNIA,DATOS!$A4529,nCURSO,DATOS!$D4529,nESPEC,DATOS!$E4529,nASIG,DATOS!$I4529,nEVAL,"OR")=0))</f>
      </c>
      <c r="I4529">
        <f>IF(DATOS!$I4529="","",IFERROR(VLOOKUP(DATOS!$I4529,CONFIG_ASIGNATURAS!$B$2:$J$91,9,FALSE()),""))</f>
      </c>
    </row>
    <row r="4530">
      <c r="F4530">
        <f>IF(DATOS!$A4530="","",DATOS!$A4530&amp;"|"&amp;DATOS!$D4530&amp;"|"&amp;DATOS!$E4530&amp;"|"&amp;DATOS!$I4530)</f>
      </c>
      <c r="G4530">
        <f>IF(DATOS!$A4530="",0,IF(CONFIG_METADATA!$B$4&lt;&gt;"OR+EX",--(DATOS!$G4530=CONFIG_METADATA!$B$4),IF(DATOS!$G4530="EX",1,IF(DATOS!$G4530="OR",--(COUNTIFS(nNIA,DATOS!$A4530,nCURSO,DATOS!$D4530,nESPEC,DATOS!$E4530,nASIG,DATOS!$I4530,nEVAL,"EX")=0),0))))</f>
      </c>
      <c r="H4530">
        <f>IF(DATOS!$G4530&lt;&gt;"EX",0,--(COUNTIFS(nNIA,DATOS!$A4530,nCURSO,DATOS!$D4530,nESPEC,DATOS!$E4530,nASIG,DATOS!$I4530,nEVAL,"OR")=0))</f>
      </c>
      <c r="I4530">
        <f>IF(DATOS!$I4530="","",IFERROR(VLOOKUP(DATOS!$I4530,CONFIG_ASIGNATURAS!$B$2:$J$91,9,FALSE()),""))</f>
      </c>
    </row>
    <row r="4531">
      <c r="F4531">
        <f>IF(DATOS!$A4531="","",DATOS!$A4531&amp;"|"&amp;DATOS!$D4531&amp;"|"&amp;DATOS!$E4531&amp;"|"&amp;DATOS!$I4531)</f>
      </c>
      <c r="G4531">
        <f>IF(DATOS!$A4531="",0,IF(CONFIG_METADATA!$B$4&lt;&gt;"OR+EX",--(DATOS!$G4531=CONFIG_METADATA!$B$4),IF(DATOS!$G4531="EX",1,IF(DATOS!$G4531="OR",--(COUNTIFS(nNIA,DATOS!$A4531,nCURSO,DATOS!$D4531,nESPEC,DATOS!$E4531,nASIG,DATOS!$I4531,nEVAL,"EX")=0),0))))</f>
      </c>
      <c r="H4531">
        <f>IF(DATOS!$G4531&lt;&gt;"EX",0,--(COUNTIFS(nNIA,DATOS!$A4531,nCURSO,DATOS!$D4531,nESPEC,DATOS!$E4531,nASIG,DATOS!$I4531,nEVAL,"OR")=0))</f>
      </c>
      <c r="I4531">
        <f>IF(DATOS!$I4531="","",IFERROR(VLOOKUP(DATOS!$I4531,CONFIG_ASIGNATURAS!$B$2:$J$91,9,FALSE()),""))</f>
      </c>
    </row>
    <row r="4532">
      <c r="F4532">
        <f>IF(DATOS!$A4532="","",DATOS!$A4532&amp;"|"&amp;DATOS!$D4532&amp;"|"&amp;DATOS!$E4532&amp;"|"&amp;DATOS!$I4532)</f>
      </c>
      <c r="G4532">
        <f>IF(DATOS!$A4532="",0,IF(CONFIG_METADATA!$B$4&lt;&gt;"OR+EX",--(DATOS!$G4532=CONFIG_METADATA!$B$4),IF(DATOS!$G4532="EX",1,IF(DATOS!$G4532="OR",--(COUNTIFS(nNIA,DATOS!$A4532,nCURSO,DATOS!$D4532,nESPEC,DATOS!$E4532,nASIG,DATOS!$I4532,nEVAL,"EX")=0),0))))</f>
      </c>
      <c r="H4532">
        <f>IF(DATOS!$G4532&lt;&gt;"EX",0,--(COUNTIFS(nNIA,DATOS!$A4532,nCURSO,DATOS!$D4532,nESPEC,DATOS!$E4532,nASIG,DATOS!$I4532,nEVAL,"OR")=0))</f>
      </c>
      <c r="I4532">
        <f>IF(DATOS!$I4532="","",IFERROR(VLOOKUP(DATOS!$I4532,CONFIG_ASIGNATURAS!$B$2:$J$91,9,FALSE()),""))</f>
      </c>
    </row>
    <row r="4533">
      <c r="F4533">
        <f>IF(DATOS!$A4533="","",DATOS!$A4533&amp;"|"&amp;DATOS!$D4533&amp;"|"&amp;DATOS!$E4533&amp;"|"&amp;DATOS!$I4533)</f>
      </c>
      <c r="G4533">
        <f>IF(DATOS!$A4533="",0,IF(CONFIG_METADATA!$B$4&lt;&gt;"OR+EX",--(DATOS!$G4533=CONFIG_METADATA!$B$4),IF(DATOS!$G4533="EX",1,IF(DATOS!$G4533="OR",--(COUNTIFS(nNIA,DATOS!$A4533,nCURSO,DATOS!$D4533,nESPEC,DATOS!$E4533,nASIG,DATOS!$I4533,nEVAL,"EX")=0),0))))</f>
      </c>
      <c r="H4533">
        <f>IF(DATOS!$G4533&lt;&gt;"EX",0,--(COUNTIFS(nNIA,DATOS!$A4533,nCURSO,DATOS!$D4533,nESPEC,DATOS!$E4533,nASIG,DATOS!$I4533,nEVAL,"OR")=0))</f>
      </c>
      <c r="I4533">
        <f>IF(DATOS!$I4533="","",IFERROR(VLOOKUP(DATOS!$I4533,CONFIG_ASIGNATURAS!$B$2:$J$91,9,FALSE()),""))</f>
      </c>
    </row>
    <row r="4534">
      <c r="F4534">
        <f>IF(DATOS!$A4534="","",DATOS!$A4534&amp;"|"&amp;DATOS!$D4534&amp;"|"&amp;DATOS!$E4534&amp;"|"&amp;DATOS!$I4534)</f>
      </c>
      <c r="G4534">
        <f>IF(DATOS!$A4534="",0,IF(CONFIG_METADATA!$B$4&lt;&gt;"OR+EX",--(DATOS!$G4534=CONFIG_METADATA!$B$4),IF(DATOS!$G4534="EX",1,IF(DATOS!$G4534="OR",--(COUNTIFS(nNIA,DATOS!$A4534,nCURSO,DATOS!$D4534,nESPEC,DATOS!$E4534,nASIG,DATOS!$I4534,nEVAL,"EX")=0),0))))</f>
      </c>
      <c r="H4534">
        <f>IF(DATOS!$G4534&lt;&gt;"EX",0,--(COUNTIFS(nNIA,DATOS!$A4534,nCURSO,DATOS!$D4534,nESPEC,DATOS!$E4534,nASIG,DATOS!$I4534,nEVAL,"OR")=0))</f>
      </c>
      <c r="I4534">
        <f>IF(DATOS!$I4534="","",IFERROR(VLOOKUP(DATOS!$I4534,CONFIG_ASIGNATURAS!$B$2:$J$91,9,FALSE()),""))</f>
      </c>
    </row>
    <row r="4535">
      <c r="F4535">
        <f>IF(DATOS!$A4535="","",DATOS!$A4535&amp;"|"&amp;DATOS!$D4535&amp;"|"&amp;DATOS!$E4535&amp;"|"&amp;DATOS!$I4535)</f>
      </c>
      <c r="G4535">
        <f>IF(DATOS!$A4535="",0,IF(CONFIG_METADATA!$B$4&lt;&gt;"OR+EX",--(DATOS!$G4535=CONFIG_METADATA!$B$4),IF(DATOS!$G4535="EX",1,IF(DATOS!$G4535="OR",--(COUNTIFS(nNIA,DATOS!$A4535,nCURSO,DATOS!$D4535,nESPEC,DATOS!$E4535,nASIG,DATOS!$I4535,nEVAL,"EX")=0),0))))</f>
      </c>
      <c r="H4535">
        <f>IF(DATOS!$G4535&lt;&gt;"EX",0,--(COUNTIFS(nNIA,DATOS!$A4535,nCURSO,DATOS!$D4535,nESPEC,DATOS!$E4535,nASIG,DATOS!$I4535,nEVAL,"OR")=0))</f>
      </c>
      <c r="I4535">
        <f>IF(DATOS!$I4535="","",IFERROR(VLOOKUP(DATOS!$I4535,CONFIG_ASIGNATURAS!$B$2:$J$91,9,FALSE()),""))</f>
      </c>
    </row>
    <row r="4536">
      <c r="F4536">
        <f>IF(DATOS!$A4536="","",DATOS!$A4536&amp;"|"&amp;DATOS!$D4536&amp;"|"&amp;DATOS!$E4536&amp;"|"&amp;DATOS!$I4536)</f>
      </c>
      <c r="G4536">
        <f>IF(DATOS!$A4536="",0,IF(CONFIG_METADATA!$B$4&lt;&gt;"OR+EX",--(DATOS!$G4536=CONFIG_METADATA!$B$4),IF(DATOS!$G4536="EX",1,IF(DATOS!$G4536="OR",--(COUNTIFS(nNIA,DATOS!$A4536,nCURSO,DATOS!$D4536,nESPEC,DATOS!$E4536,nASIG,DATOS!$I4536,nEVAL,"EX")=0),0))))</f>
      </c>
      <c r="H4536">
        <f>IF(DATOS!$G4536&lt;&gt;"EX",0,--(COUNTIFS(nNIA,DATOS!$A4536,nCURSO,DATOS!$D4536,nESPEC,DATOS!$E4536,nASIG,DATOS!$I4536,nEVAL,"OR")=0))</f>
      </c>
      <c r="I4536">
        <f>IF(DATOS!$I4536="","",IFERROR(VLOOKUP(DATOS!$I4536,CONFIG_ASIGNATURAS!$B$2:$J$91,9,FALSE()),""))</f>
      </c>
    </row>
    <row r="4537">
      <c r="F4537">
        <f>IF(DATOS!$A4537="","",DATOS!$A4537&amp;"|"&amp;DATOS!$D4537&amp;"|"&amp;DATOS!$E4537&amp;"|"&amp;DATOS!$I4537)</f>
      </c>
      <c r="G4537">
        <f>IF(DATOS!$A4537="",0,IF(CONFIG_METADATA!$B$4&lt;&gt;"OR+EX",--(DATOS!$G4537=CONFIG_METADATA!$B$4),IF(DATOS!$G4537="EX",1,IF(DATOS!$G4537="OR",--(COUNTIFS(nNIA,DATOS!$A4537,nCURSO,DATOS!$D4537,nESPEC,DATOS!$E4537,nASIG,DATOS!$I4537,nEVAL,"EX")=0),0))))</f>
      </c>
      <c r="H4537">
        <f>IF(DATOS!$G4537&lt;&gt;"EX",0,--(COUNTIFS(nNIA,DATOS!$A4537,nCURSO,DATOS!$D4537,nESPEC,DATOS!$E4537,nASIG,DATOS!$I4537,nEVAL,"OR")=0))</f>
      </c>
      <c r="I4537">
        <f>IF(DATOS!$I4537="","",IFERROR(VLOOKUP(DATOS!$I4537,CONFIG_ASIGNATURAS!$B$2:$J$91,9,FALSE()),""))</f>
      </c>
    </row>
    <row r="4538">
      <c r="F4538">
        <f>IF(DATOS!$A4538="","",DATOS!$A4538&amp;"|"&amp;DATOS!$D4538&amp;"|"&amp;DATOS!$E4538&amp;"|"&amp;DATOS!$I4538)</f>
      </c>
      <c r="G4538">
        <f>IF(DATOS!$A4538="",0,IF(CONFIG_METADATA!$B$4&lt;&gt;"OR+EX",--(DATOS!$G4538=CONFIG_METADATA!$B$4),IF(DATOS!$G4538="EX",1,IF(DATOS!$G4538="OR",--(COUNTIFS(nNIA,DATOS!$A4538,nCURSO,DATOS!$D4538,nESPEC,DATOS!$E4538,nASIG,DATOS!$I4538,nEVAL,"EX")=0),0))))</f>
      </c>
      <c r="H4538">
        <f>IF(DATOS!$G4538&lt;&gt;"EX",0,--(COUNTIFS(nNIA,DATOS!$A4538,nCURSO,DATOS!$D4538,nESPEC,DATOS!$E4538,nASIG,DATOS!$I4538,nEVAL,"OR")=0))</f>
      </c>
      <c r="I4538">
        <f>IF(DATOS!$I4538="","",IFERROR(VLOOKUP(DATOS!$I4538,CONFIG_ASIGNATURAS!$B$2:$J$91,9,FALSE()),""))</f>
      </c>
    </row>
    <row r="4539">
      <c r="F4539">
        <f>IF(DATOS!$A4539="","",DATOS!$A4539&amp;"|"&amp;DATOS!$D4539&amp;"|"&amp;DATOS!$E4539&amp;"|"&amp;DATOS!$I4539)</f>
      </c>
      <c r="G4539">
        <f>IF(DATOS!$A4539="",0,IF(CONFIG_METADATA!$B$4&lt;&gt;"OR+EX",--(DATOS!$G4539=CONFIG_METADATA!$B$4),IF(DATOS!$G4539="EX",1,IF(DATOS!$G4539="OR",--(COUNTIFS(nNIA,DATOS!$A4539,nCURSO,DATOS!$D4539,nESPEC,DATOS!$E4539,nASIG,DATOS!$I4539,nEVAL,"EX")=0),0))))</f>
      </c>
      <c r="H4539">
        <f>IF(DATOS!$G4539&lt;&gt;"EX",0,--(COUNTIFS(nNIA,DATOS!$A4539,nCURSO,DATOS!$D4539,nESPEC,DATOS!$E4539,nASIG,DATOS!$I4539,nEVAL,"OR")=0))</f>
      </c>
      <c r="I4539">
        <f>IF(DATOS!$I4539="","",IFERROR(VLOOKUP(DATOS!$I4539,CONFIG_ASIGNATURAS!$B$2:$J$91,9,FALSE()),""))</f>
      </c>
    </row>
    <row r="4540">
      <c r="F4540">
        <f>IF(DATOS!$A4540="","",DATOS!$A4540&amp;"|"&amp;DATOS!$D4540&amp;"|"&amp;DATOS!$E4540&amp;"|"&amp;DATOS!$I4540)</f>
      </c>
      <c r="G4540">
        <f>IF(DATOS!$A4540="",0,IF(CONFIG_METADATA!$B$4&lt;&gt;"OR+EX",--(DATOS!$G4540=CONFIG_METADATA!$B$4),IF(DATOS!$G4540="EX",1,IF(DATOS!$G4540="OR",--(COUNTIFS(nNIA,DATOS!$A4540,nCURSO,DATOS!$D4540,nESPEC,DATOS!$E4540,nASIG,DATOS!$I4540,nEVAL,"EX")=0),0))))</f>
      </c>
      <c r="H4540">
        <f>IF(DATOS!$G4540&lt;&gt;"EX",0,--(COUNTIFS(nNIA,DATOS!$A4540,nCURSO,DATOS!$D4540,nESPEC,DATOS!$E4540,nASIG,DATOS!$I4540,nEVAL,"OR")=0))</f>
      </c>
      <c r="I4540">
        <f>IF(DATOS!$I4540="","",IFERROR(VLOOKUP(DATOS!$I4540,CONFIG_ASIGNATURAS!$B$2:$J$91,9,FALSE()),""))</f>
      </c>
    </row>
    <row r="4541">
      <c r="F4541">
        <f>IF(DATOS!$A4541="","",DATOS!$A4541&amp;"|"&amp;DATOS!$D4541&amp;"|"&amp;DATOS!$E4541&amp;"|"&amp;DATOS!$I4541)</f>
      </c>
      <c r="G4541">
        <f>IF(DATOS!$A4541="",0,IF(CONFIG_METADATA!$B$4&lt;&gt;"OR+EX",--(DATOS!$G4541=CONFIG_METADATA!$B$4),IF(DATOS!$G4541="EX",1,IF(DATOS!$G4541="OR",--(COUNTIFS(nNIA,DATOS!$A4541,nCURSO,DATOS!$D4541,nESPEC,DATOS!$E4541,nASIG,DATOS!$I4541,nEVAL,"EX")=0),0))))</f>
      </c>
      <c r="H4541">
        <f>IF(DATOS!$G4541&lt;&gt;"EX",0,--(COUNTIFS(nNIA,DATOS!$A4541,nCURSO,DATOS!$D4541,nESPEC,DATOS!$E4541,nASIG,DATOS!$I4541,nEVAL,"OR")=0))</f>
      </c>
      <c r="I4541">
        <f>IF(DATOS!$I4541="","",IFERROR(VLOOKUP(DATOS!$I4541,CONFIG_ASIGNATURAS!$B$2:$J$91,9,FALSE()),""))</f>
      </c>
    </row>
    <row r="4542">
      <c r="F4542">
        <f>IF(DATOS!$A4542="","",DATOS!$A4542&amp;"|"&amp;DATOS!$D4542&amp;"|"&amp;DATOS!$E4542&amp;"|"&amp;DATOS!$I4542)</f>
      </c>
      <c r="G4542">
        <f>IF(DATOS!$A4542="",0,IF(CONFIG_METADATA!$B$4&lt;&gt;"OR+EX",--(DATOS!$G4542=CONFIG_METADATA!$B$4),IF(DATOS!$G4542="EX",1,IF(DATOS!$G4542="OR",--(COUNTIFS(nNIA,DATOS!$A4542,nCURSO,DATOS!$D4542,nESPEC,DATOS!$E4542,nASIG,DATOS!$I4542,nEVAL,"EX")=0),0))))</f>
      </c>
      <c r="H4542">
        <f>IF(DATOS!$G4542&lt;&gt;"EX",0,--(COUNTIFS(nNIA,DATOS!$A4542,nCURSO,DATOS!$D4542,nESPEC,DATOS!$E4542,nASIG,DATOS!$I4542,nEVAL,"OR")=0))</f>
      </c>
      <c r="I4542">
        <f>IF(DATOS!$I4542="","",IFERROR(VLOOKUP(DATOS!$I4542,CONFIG_ASIGNATURAS!$B$2:$J$91,9,FALSE()),""))</f>
      </c>
    </row>
    <row r="4543">
      <c r="F4543">
        <f>IF(DATOS!$A4543="","",DATOS!$A4543&amp;"|"&amp;DATOS!$D4543&amp;"|"&amp;DATOS!$E4543&amp;"|"&amp;DATOS!$I4543)</f>
      </c>
      <c r="G4543">
        <f>IF(DATOS!$A4543="",0,IF(CONFIG_METADATA!$B$4&lt;&gt;"OR+EX",--(DATOS!$G4543=CONFIG_METADATA!$B$4),IF(DATOS!$G4543="EX",1,IF(DATOS!$G4543="OR",--(COUNTIFS(nNIA,DATOS!$A4543,nCURSO,DATOS!$D4543,nESPEC,DATOS!$E4543,nASIG,DATOS!$I4543,nEVAL,"EX")=0),0))))</f>
      </c>
      <c r="H4543">
        <f>IF(DATOS!$G4543&lt;&gt;"EX",0,--(COUNTIFS(nNIA,DATOS!$A4543,nCURSO,DATOS!$D4543,nESPEC,DATOS!$E4543,nASIG,DATOS!$I4543,nEVAL,"OR")=0))</f>
      </c>
      <c r="I4543">
        <f>IF(DATOS!$I4543="","",IFERROR(VLOOKUP(DATOS!$I4543,CONFIG_ASIGNATURAS!$B$2:$J$91,9,FALSE()),""))</f>
      </c>
    </row>
    <row r="4544">
      <c r="F4544">
        <f>IF(DATOS!$A4544="","",DATOS!$A4544&amp;"|"&amp;DATOS!$D4544&amp;"|"&amp;DATOS!$E4544&amp;"|"&amp;DATOS!$I4544)</f>
      </c>
      <c r="G4544">
        <f>IF(DATOS!$A4544="",0,IF(CONFIG_METADATA!$B$4&lt;&gt;"OR+EX",--(DATOS!$G4544=CONFIG_METADATA!$B$4),IF(DATOS!$G4544="EX",1,IF(DATOS!$G4544="OR",--(COUNTIFS(nNIA,DATOS!$A4544,nCURSO,DATOS!$D4544,nESPEC,DATOS!$E4544,nASIG,DATOS!$I4544,nEVAL,"EX")=0),0))))</f>
      </c>
      <c r="H4544">
        <f>IF(DATOS!$G4544&lt;&gt;"EX",0,--(COUNTIFS(nNIA,DATOS!$A4544,nCURSO,DATOS!$D4544,nESPEC,DATOS!$E4544,nASIG,DATOS!$I4544,nEVAL,"OR")=0))</f>
      </c>
      <c r="I4544">
        <f>IF(DATOS!$I4544="","",IFERROR(VLOOKUP(DATOS!$I4544,CONFIG_ASIGNATURAS!$B$2:$J$91,9,FALSE()),""))</f>
      </c>
    </row>
    <row r="4545">
      <c r="F4545">
        <f>IF(DATOS!$A4545="","",DATOS!$A4545&amp;"|"&amp;DATOS!$D4545&amp;"|"&amp;DATOS!$E4545&amp;"|"&amp;DATOS!$I4545)</f>
      </c>
      <c r="G4545">
        <f>IF(DATOS!$A4545="",0,IF(CONFIG_METADATA!$B$4&lt;&gt;"OR+EX",--(DATOS!$G4545=CONFIG_METADATA!$B$4),IF(DATOS!$G4545="EX",1,IF(DATOS!$G4545="OR",--(COUNTIFS(nNIA,DATOS!$A4545,nCURSO,DATOS!$D4545,nESPEC,DATOS!$E4545,nASIG,DATOS!$I4545,nEVAL,"EX")=0),0))))</f>
      </c>
      <c r="H4545">
        <f>IF(DATOS!$G4545&lt;&gt;"EX",0,--(COUNTIFS(nNIA,DATOS!$A4545,nCURSO,DATOS!$D4545,nESPEC,DATOS!$E4545,nASIG,DATOS!$I4545,nEVAL,"OR")=0))</f>
      </c>
      <c r="I4545">
        <f>IF(DATOS!$I4545="","",IFERROR(VLOOKUP(DATOS!$I4545,CONFIG_ASIGNATURAS!$B$2:$J$91,9,FALSE()),""))</f>
      </c>
    </row>
    <row r="4546">
      <c r="F4546">
        <f>IF(DATOS!$A4546="","",DATOS!$A4546&amp;"|"&amp;DATOS!$D4546&amp;"|"&amp;DATOS!$E4546&amp;"|"&amp;DATOS!$I4546)</f>
      </c>
      <c r="G4546">
        <f>IF(DATOS!$A4546="",0,IF(CONFIG_METADATA!$B$4&lt;&gt;"OR+EX",--(DATOS!$G4546=CONFIG_METADATA!$B$4),IF(DATOS!$G4546="EX",1,IF(DATOS!$G4546="OR",--(COUNTIFS(nNIA,DATOS!$A4546,nCURSO,DATOS!$D4546,nESPEC,DATOS!$E4546,nASIG,DATOS!$I4546,nEVAL,"EX")=0),0))))</f>
      </c>
      <c r="H4546">
        <f>IF(DATOS!$G4546&lt;&gt;"EX",0,--(COUNTIFS(nNIA,DATOS!$A4546,nCURSO,DATOS!$D4546,nESPEC,DATOS!$E4546,nASIG,DATOS!$I4546,nEVAL,"OR")=0))</f>
      </c>
      <c r="I4546">
        <f>IF(DATOS!$I4546="","",IFERROR(VLOOKUP(DATOS!$I4546,CONFIG_ASIGNATURAS!$B$2:$J$91,9,FALSE()),""))</f>
      </c>
    </row>
    <row r="4547">
      <c r="F4547">
        <f>IF(DATOS!$A4547="","",DATOS!$A4547&amp;"|"&amp;DATOS!$D4547&amp;"|"&amp;DATOS!$E4547&amp;"|"&amp;DATOS!$I4547)</f>
      </c>
      <c r="G4547">
        <f>IF(DATOS!$A4547="",0,IF(CONFIG_METADATA!$B$4&lt;&gt;"OR+EX",--(DATOS!$G4547=CONFIG_METADATA!$B$4),IF(DATOS!$G4547="EX",1,IF(DATOS!$G4547="OR",--(COUNTIFS(nNIA,DATOS!$A4547,nCURSO,DATOS!$D4547,nESPEC,DATOS!$E4547,nASIG,DATOS!$I4547,nEVAL,"EX")=0),0))))</f>
      </c>
      <c r="H4547">
        <f>IF(DATOS!$G4547&lt;&gt;"EX",0,--(COUNTIFS(nNIA,DATOS!$A4547,nCURSO,DATOS!$D4547,nESPEC,DATOS!$E4547,nASIG,DATOS!$I4547,nEVAL,"OR")=0))</f>
      </c>
      <c r="I4547">
        <f>IF(DATOS!$I4547="","",IFERROR(VLOOKUP(DATOS!$I4547,CONFIG_ASIGNATURAS!$B$2:$J$91,9,FALSE()),""))</f>
      </c>
    </row>
    <row r="4548">
      <c r="F4548">
        <f>IF(DATOS!$A4548="","",DATOS!$A4548&amp;"|"&amp;DATOS!$D4548&amp;"|"&amp;DATOS!$E4548&amp;"|"&amp;DATOS!$I4548)</f>
      </c>
      <c r="G4548">
        <f>IF(DATOS!$A4548="",0,IF(CONFIG_METADATA!$B$4&lt;&gt;"OR+EX",--(DATOS!$G4548=CONFIG_METADATA!$B$4),IF(DATOS!$G4548="EX",1,IF(DATOS!$G4548="OR",--(COUNTIFS(nNIA,DATOS!$A4548,nCURSO,DATOS!$D4548,nESPEC,DATOS!$E4548,nASIG,DATOS!$I4548,nEVAL,"EX")=0),0))))</f>
      </c>
      <c r="H4548">
        <f>IF(DATOS!$G4548&lt;&gt;"EX",0,--(COUNTIFS(nNIA,DATOS!$A4548,nCURSO,DATOS!$D4548,nESPEC,DATOS!$E4548,nASIG,DATOS!$I4548,nEVAL,"OR")=0))</f>
      </c>
      <c r="I4548">
        <f>IF(DATOS!$I4548="","",IFERROR(VLOOKUP(DATOS!$I4548,CONFIG_ASIGNATURAS!$B$2:$J$91,9,FALSE()),""))</f>
      </c>
    </row>
    <row r="4549">
      <c r="F4549">
        <f>IF(DATOS!$A4549="","",DATOS!$A4549&amp;"|"&amp;DATOS!$D4549&amp;"|"&amp;DATOS!$E4549&amp;"|"&amp;DATOS!$I4549)</f>
      </c>
      <c r="G4549">
        <f>IF(DATOS!$A4549="",0,IF(CONFIG_METADATA!$B$4&lt;&gt;"OR+EX",--(DATOS!$G4549=CONFIG_METADATA!$B$4),IF(DATOS!$G4549="EX",1,IF(DATOS!$G4549="OR",--(COUNTIFS(nNIA,DATOS!$A4549,nCURSO,DATOS!$D4549,nESPEC,DATOS!$E4549,nASIG,DATOS!$I4549,nEVAL,"EX")=0),0))))</f>
      </c>
      <c r="H4549">
        <f>IF(DATOS!$G4549&lt;&gt;"EX",0,--(COUNTIFS(nNIA,DATOS!$A4549,nCURSO,DATOS!$D4549,nESPEC,DATOS!$E4549,nASIG,DATOS!$I4549,nEVAL,"OR")=0))</f>
      </c>
      <c r="I4549">
        <f>IF(DATOS!$I4549="","",IFERROR(VLOOKUP(DATOS!$I4549,CONFIG_ASIGNATURAS!$B$2:$J$91,9,FALSE()),""))</f>
      </c>
    </row>
    <row r="4550">
      <c r="F4550">
        <f>IF(DATOS!$A4550="","",DATOS!$A4550&amp;"|"&amp;DATOS!$D4550&amp;"|"&amp;DATOS!$E4550&amp;"|"&amp;DATOS!$I4550)</f>
      </c>
      <c r="G4550">
        <f>IF(DATOS!$A4550="",0,IF(CONFIG_METADATA!$B$4&lt;&gt;"OR+EX",--(DATOS!$G4550=CONFIG_METADATA!$B$4),IF(DATOS!$G4550="EX",1,IF(DATOS!$G4550="OR",--(COUNTIFS(nNIA,DATOS!$A4550,nCURSO,DATOS!$D4550,nESPEC,DATOS!$E4550,nASIG,DATOS!$I4550,nEVAL,"EX")=0),0))))</f>
      </c>
      <c r="H4550">
        <f>IF(DATOS!$G4550&lt;&gt;"EX",0,--(COUNTIFS(nNIA,DATOS!$A4550,nCURSO,DATOS!$D4550,nESPEC,DATOS!$E4550,nASIG,DATOS!$I4550,nEVAL,"OR")=0))</f>
      </c>
      <c r="I4550">
        <f>IF(DATOS!$I4550="","",IFERROR(VLOOKUP(DATOS!$I4550,CONFIG_ASIGNATURAS!$B$2:$J$91,9,FALSE()),""))</f>
      </c>
    </row>
    <row r="4551">
      <c r="F4551">
        <f>IF(DATOS!$A4551="","",DATOS!$A4551&amp;"|"&amp;DATOS!$D4551&amp;"|"&amp;DATOS!$E4551&amp;"|"&amp;DATOS!$I4551)</f>
      </c>
      <c r="G4551">
        <f>IF(DATOS!$A4551="",0,IF(CONFIG_METADATA!$B$4&lt;&gt;"OR+EX",--(DATOS!$G4551=CONFIG_METADATA!$B$4),IF(DATOS!$G4551="EX",1,IF(DATOS!$G4551="OR",--(COUNTIFS(nNIA,DATOS!$A4551,nCURSO,DATOS!$D4551,nESPEC,DATOS!$E4551,nASIG,DATOS!$I4551,nEVAL,"EX")=0),0))))</f>
      </c>
      <c r="H4551">
        <f>IF(DATOS!$G4551&lt;&gt;"EX",0,--(COUNTIFS(nNIA,DATOS!$A4551,nCURSO,DATOS!$D4551,nESPEC,DATOS!$E4551,nASIG,DATOS!$I4551,nEVAL,"OR")=0))</f>
      </c>
      <c r="I4551">
        <f>IF(DATOS!$I4551="","",IFERROR(VLOOKUP(DATOS!$I4551,CONFIG_ASIGNATURAS!$B$2:$J$91,9,FALSE()),""))</f>
      </c>
    </row>
    <row r="4552">
      <c r="F4552">
        <f>IF(DATOS!$A4552="","",DATOS!$A4552&amp;"|"&amp;DATOS!$D4552&amp;"|"&amp;DATOS!$E4552&amp;"|"&amp;DATOS!$I4552)</f>
      </c>
      <c r="G4552">
        <f>IF(DATOS!$A4552="",0,IF(CONFIG_METADATA!$B$4&lt;&gt;"OR+EX",--(DATOS!$G4552=CONFIG_METADATA!$B$4),IF(DATOS!$G4552="EX",1,IF(DATOS!$G4552="OR",--(COUNTIFS(nNIA,DATOS!$A4552,nCURSO,DATOS!$D4552,nESPEC,DATOS!$E4552,nASIG,DATOS!$I4552,nEVAL,"EX")=0),0))))</f>
      </c>
      <c r="H4552">
        <f>IF(DATOS!$G4552&lt;&gt;"EX",0,--(COUNTIFS(nNIA,DATOS!$A4552,nCURSO,DATOS!$D4552,nESPEC,DATOS!$E4552,nASIG,DATOS!$I4552,nEVAL,"OR")=0))</f>
      </c>
      <c r="I4552">
        <f>IF(DATOS!$I4552="","",IFERROR(VLOOKUP(DATOS!$I4552,CONFIG_ASIGNATURAS!$B$2:$J$91,9,FALSE()),""))</f>
      </c>
    </row>
    <row r="4553">
      <c r="F4553">
        <f>IF(DATOS!$A4553="","",DATOS!$A4553&amp;"|"&amp;DATOS!$D4553&amp;"|"&amp;DATOS!$E4553&amp;"|"&amp;DATOS!$I4553)</f>
      </c>
      <c r="G4553">
        <f>IF(DATOS!$A4553="",0,IF(CONFIG_METADATA!$B$4&lt;&gt;"OR+EX",--(DATOS!$G4553=CONFIG_METADATA!$B$4),IF(DATOS!$G4553="EX",1,IF(DATOS!$G4553="OR",--(COUNTIFS(nNIA,DATOS!$A4553,nCURSO,DATOS!$D4553,nESPEC,DATOS!$E4553,nASIG,DATOS!$I4553,nEVAL,"EX")=0),0))))</f>
      </c>
      <c r="H4553">
        <f>IF(DATOS!$G4553&lt;&gt;"EX",0,--(COUNTIFS(nNIA,DATOS!$A4553,nCURSO,DATOS!$D4553,nESPEC,DATOS!$E4553,nASIG,DATOS!$I4553,nEVAL,"OR")=0))</f>
      </c>
      <c r="I4553">
        <f>IF(DATOS!$I4553="","",IFERROR(VLOOKUP(DATOS!$I4553,CONFIG_ASIGNATURAS!$B$2:$J$91,9,FALSE()),""))</f>
      </c>
    </row>
    <row r="4554">
      <c r="F4554">
        <f>IF(DATOS!$A4554="","",DATOS!$A4554&amp;"|"&amp;DATOS!$D4554&amp;"|"&amp;DATOS!$E4554&amp;"|"&amp;DATOS!$I4554)</f>
      </c>
      <c r="G4554">
        <f>IF(DATOS!$A4554="",0,IF(CONFIG_METADATA!$B$4&lt;&gt;"OR+EX",--(DATOS!$G4554=CONFIG_METADATA!$B$4),IF(DATOS!$G4554="EX",1,IF(DATOS!$G4554="OR",--(COUNTIFS(nNIA,DATOS!$A4554,nCURSO,DATOS!$D4554,nESPEC,DATOS!$E4554,nASIG,DATOS!$I4554,nEVAL,"EX")=0),0))))</f>
      </c>
      <c r="H4554">
        <f>IF(DATOS!$G4554&lt;&gt;"EX",0,--(COUNTIFS(nNIA,DATOS!$A4554,nCURSO,DATOS!$D4554,nESPEC,DATOS!$E4554,nASIG,DATOS!$I4554,nEVAL,"OR")=0))</f>
      </c>
      <c r="I4554">
        <f>IF(DATOS!$I4554="","",IFERROR(VLOOKUP(DATOS!$I4554,CONFIG_ASIGNATURAS!$B$2:$J$91,9,FALSE()),""))</f>
      </c>
    </row>
    <row r="4555">
      <c r="F4555">
        <f>IF(DATOS!$A4555="","",DATOS!$A4555&amp;"|"&amp;DATOS!$D4555&amp;"|"&amp;DATOS!$E4555&amp;"|"&amp;DATOS!$I4555)</f>
      </c>
      <c r="G4555">
        <f>IF(DATOS!$A4555="",0,IF(CONFIG_METADATA!$B$4&lt;&gt;"OR+EX",--(DATOS!$G4555=CONFIG_METADATA!$B$4),IF(DATOS!$G4555="EX",1,IF(DATOS!$G4555="OR",--(COUNTIFS(nNIA,DATOS!$A4555,nCURSO,DATOS!$D4555,nESPEC,DATOS!$E4555,nASIG,DATOS!$I4555,nEVAL,"EX")=0),0))))</f>
      </c>
      <c r="H4555">
        <f>IF(DATOS!$G4555&lt;&gt;"EX",0,--(COUNTIFS(nNIA,DATOS!$A4555,nCURSO,DATOS!$D4555,nESPEC,DATOS!$E4555,nASIG,DATOS!$I4555,nEVAL,"OR")=0))</f>
      </c>
      <c r="I4555">
        <f>IF(DATOS!$I4555="","",IFERROR(VLOOKUP(DATOS!$I4555,CONFIG_ASIGNATURAS!$B$2:$J$91,9,FALSE()),""))</f>
      </c>
    </row>
    <row r="4556">
      <c r="F4556">
        <f>IF(DATOS!$A4556="","",DATOS!$A4556&amp;"|"&amp;DATOS!$D4556&amp;"|"&amp;DATOS!$E4556&amp;"|"&amp;DATOS!$I4556)</f>
      </c>
      <c r="G4556">
        <f>IF(DATOS!$A4556="",0,IF(CONFIG_METADATA!$B$4&lt;&gt;"OR+EX",--(DATOS!$G4556=CONFIG_METADATA!$B$4),IF(DATOS!$G4556="EX",1,IF(DATOS!$G4556="OR",--(COUNTIFS(nNIA,DATOS!$A4556,nCURSO,DATOS!$D4556,nESPEC,DATOS!$E4556,nASIG,DATOS!$I4556,nEVAL,"EX")=0),0))))</f>
      </c>
      <c r="H4556">
        <f>IF(DATOS!$G4556&lt;&gt;"EX",0,--(COUNTIFS(nNIA,DATOS!$A4556,nCURSO,DATOS!$D4556,nESPEC,DATOS!$E4556,nASIG,DATOS!$I4556,nEVAL,"OR")=0))</f>
      </c>
      <c r="I4556">
        <f>IF(DATOS!$I4556="","",IFERROR(VLOOKUP(DATOS!$I4556,CONFIG_ASIGNATURAS!$B$2:$J$91,9,FALSE()),""))</f>
      </c>
    </row>
    <row r="4557">
      <c r="F4557">
        <f>IF(DATOS!$A4557="","",DATOS!$A4557&amp;"|"&amp;DATOS!$D4557&amp;"|"&amp;DATOS!$E4557&amp;"|"&amp;DATOS!$I4557)</f>
      </c>
      <c r="G4557">
        <f>IF(DATOS!$A4557="",0,IF(CONFIG_METADATA!$B$4&lt;&gt;"OR+EX",--(DATOS!$G4557=CONFIG_METADATA!$B$4),IF(DATOS!$G4557="EX",1,IF(DATOS!$G4557="OR",--(COUNTIFS(nNIA,DATOS!$A4557,nCURSO,DATOS!$D4557,nESPEC,DATOS!$E4557,nASIG,DATOS!$I4557,nEVAL,"EX")=0),0))))</f>
      </c>
      <c r="H4557">
        <f>IF(DATOS!$G4557&lt;&gt;"EX",0,--(COUNTIFS(nNIA,DATOS!$A4557,nCURSO,DATOS!$D4557,nESPEC,DATOS!$E4557,nASIG,DATOS!$I4557,nEVAL,"OR")=0))</f>
      </c>
      <c r="I4557">
        <f>IF(DATOS!$I4557="","",IFERROR(VLOOKUP(DATOS!$I4557,CONFIG_ASIGNATURAS!$B$2:$J$91,9,FALSE()),""))</f>
      </c>
    </row>
    <row r="4558">
      <c r="F4558">
        <f>IF(DATOS!$A4558="","",DATOS!$A4558&amp;"|"&amp;DATOS!$D4558&amp;"|"&amp;DATOS!$E4558&amp;"|"&amp;DATOS!$I4558)</f>
      </c>
      <c r="G4558">
        <f>IF(DATOS!$A4558="",0,IF(CONFIG_METADATA!$B$4&lt;&gt;"OR+EX",--(DATOS!$G4558=CONFIG_METADATA!$B$4),IF(DATOS!$G4558="EX",1,IF(DATOS!$G4558="OR",--(COUNTIFS(nNIA,DATOS!$A4558,nCURSO,DATOS!$D4558,nESPEC,DATOS!$E4558,nASIG,DATOS!$I4558,nEVAL,"EX")=0),0))))</f>
      </c>
      <c r="H4558">
        <f>IF(DATOS!$G4558&lt;&gt;"EX",0,--(COUNTIFS(nNIA,DATOS!$A4558,nCURSO,DATOS!$D4558,nESPEC,DATOS!$E4558,nASIG,DATOS!$I4558,nEVAL,"OR")=0))</f>
      </c>
      <c r="I4558">
        <f>IF(DATOS!$I4558="","",IFERROR(VLOOKUP(DATOS!$I4558,CONFIG_ASIGNATURAS!$B$2:$J$91,9,FALSE()),""))</f>
      </c>
    </row>
    <row r="4559">
      <c r="F4559">
        <f>IF(DATOS!$A4559="","",DATOS!$A4559&amp;"|"&amp;DATOS!$D4559&amp;"|"&amp;DATOS!$E4559&amp;"|"&amp;DATOS!$I4559)</f>
      </c>
      <c r="G4559">
        <f>IF(DATOS!$A4559="",0,IF(CONFIG_METADATA!$B$4&lt;&gt;"OR+EX",--(DATOS!$G4559=CONFIG_METADATA!$B$4),IF(DATOS!$G4559="EX",1,IF(DATOS!$G4559="OR",--(COUNTIFS(nNIA,DATOS!$A4559,nCURSO,DATOS!$D4559,nESPEC,DATOS!$E4559,nASIG,DATOS!$I4559,nEVAL,"EX")=0),0))))</f>
      </c>
      <c r="H4559">
        <f>IF(DATOS!$G4559&lt;&gt;"EX",0,--(COUNTIFS(nNIA,DATOS!$A4559,nCURSO,DATOS!$D4559,nESPEC,DATOS!$E4559,nASIG,DATOS!$I4559,nEVAL,"OR")=0))</f>
      </c>
      <c r="I4559">
        <f>IF(DATOS!$I4559="","",IFERROR(VLOOKUP(DATOS!$I4559,CONFIG_ASIGNATURAS!$B$2:$J$91,9,FALSE()),""))</f>
      </c>
    </row>
    <row r="4560">
      <c r="F4560">
        <f>IF(DATOS!$A4560="","",DATOS!$A4560&amp;"|"&amp;DATOS!$D4560&amp;"|"&amp;DATOS!$E4560&amp;"|"&amp;DATOS!$I4560)</f>
      </c>
      <c r="G4560">
        <f>IF(DATOS!$A4560="",0,IF(CONFIG_METADATA!$B$4&lt;&gt;"OR+EX",--(DATOS!$G4560=CONFIG_METADATA!$B$4),IF(DATOS!$G4560="EX",1,IF(DATOS!$G4560="OR",--(COUNTIFS(nNIA,DATOS!$A4560,nCURSO,DATOS!$D4560,nESPEC,DATOS!$E4560,nASIG,DATOS!$I4560,nEVAL,"EX")=0),0))))</f>
      </c>
      <c r="H4560">
        <f>IF(DATOS!$G4560&lt;&gt;"EX",0,--(COUNTIFS(nNIA,DATOS!$A4560,nCURSO,DATOS!$D4560,nESPEC,DATOS!$E4560,nASIG,DATOS!$I4560,nEVAL,"OR")=0))</f>
      </c>
      <c r="I4560">
        <f>IF(DATOS!$I4560="","",IFERROR(VLOOKUP(DATOS!$I4560,CONFIG_ASIGNATURAS!$B$2:$J$91,9,FALSE()),""))</f>
      </c>
    </row>
    <row r="4561">
      <c r="F4561">
        <f>IF(DATOS!$A4561="","",DATOS!$A4561&amp;"|"&amp;DATOS!$D4561&amp;"|"&amp;DATOS!$E4561&amp;"|"&amp;DATOS!$I4561)</f>
      </c>
      <c r="G4561">
        <f>IF(DATOS!$A4561="",0,IF(CONFIG_METADATA!$B$4&lt;&gt;"OR+EX",--(DATOS!$G4561=CONFIG_METADATA!$B$4),IF(DATOS!$G4561="EX",1,IF(DATOS!$G4561="OR",--(COUNTIFS(nNIA,DATOS!$A4561,nCURSO,DATOS!$D4561,nESPEC,DATOS!$E4561,nASIG,DATOS!$I4561,nEVAL,"EX")=0),0))))</f>
      </c>
      <c r="H4561">
        <f>IF(DATOS!$G4561&lt;&gt;"EX",0,--(COUNTIFS(nNIA,DATOS!$A4561,nCURSO,DATOS!$D4561,nESPEC,DATOS!$E4561,nASIG,DATOS!$I4561,nEVAL,"OR")=0))</f>
      </c>
      <c r="I4561">
        <f>IF(DATOS!$I4561="","",IFERROR(VLOOKUP(DATOS!$I4561,CONFIG_ASIGNATURAS!$B$2:$J$91,9,FALSE()),""))</f>
      </c>
    </row>
    <row r="4562">
      <c r="F4562">
        <f>IF(DATOS!$A4562="","",DATOS!$A4562&amp;"|"&amp;DATOS!$D4562&amp;"|"&amp;DATOS!$E4562&amp;"|"&amp;DATOS!$I4562)</f>
      </c>
      <c r="G4562">
        <f>IF(DATOS!$A4562="",0,IF(CONFIG_METADATA!$B$4&lt;&gt;"OR+EX",--(DATOS!$G4562=CONFIG_METADATA!$B$4),IF(DATOS!$G4562="EX",1,IF(DATOS!$G4562="OR",--(COUNTIFS(nNIA,DATOS!$A4562,nCURSO,DATOS!$D4562,nESPEC,DATOS!$E4562,nASIG,DATOS!$I4562,nEVAL,"EX")=0),0))))</f>
      </c>
      <c r="H4562">
        <f>IF(DATOS!$G4562&lt;&gt;"EX",0,--(COUNTIFS(nNIA,DATOS!$A4562,nCURSO,DATOS!$D4562,nESPEC,DATOS!$E4562,nASIG,DATOS!$I4562,nEVAL,"OR")=0))</f>
      </c>
      <c r="I4562">
        <f>IF(DATOS!$I4562="","",IFERROR(VLOOKUP(DATOS!$I4562,CONFIG_ASIGNATURAS!$B$2:$J$91,9,FALSE()),""))</f>
      </c>
    </row>
    <row r="4563">
      <c r="F4563">
        <f>IF(DATOS!$A4563="","",DATOS!$A4563&amp;"|"&amp;DATOS!$D4563&amp;"|"&amp;DATOS!$E4563&amp;"|"&amp;DATOS!$I4563)</f>
      </c>
      <c r="G4563">
        <f>IF(DATOS!$A4563="",0,IF(CONFIG_METADATA!$B$4&lt;&gt;"OR+EX",--(DATOS!$G4563=CONFIG_METADATA!$B$4),IF(DATOS!$G4563="EX",1,IF(DATOS!$G4563="OR",--(COUNTIFS(nNIA,DATOS!$A4563,nCURSO,DATOS!$D4563,nESPEC,DATOS!$E4563,nASIG,DATOS!$I4563,nEVAL,"EX")=0),0))))</f>
      </c>
      <c r="H4563">
        <f>IF(DATOS!$G4563&lt;&gt;"EX",0,--(COUNTIFS(nNIA,DATOS!$A4563,nCURSO,DATOS!$D4563,nESPEC,DATOS!$E4563,nASIG,DATOS!$I4563,nEVAL,"OR")=0))</f>
      </c>
      <c r="I4563">
        <f>IF(DATOS!$I4563="","",IFERROR(VLOOKUP(DATOS!$I4563,CONFIG_ASIGNATURAS!$B$2:$J$91,9,FALSE()),""))</f>
      </c>
    </row>
    <row r="4564">
      <c r="F4564">
        <f>IF(DATOS!$A4564="","",DATOS!$A4564&amp;"|"&amp;DATOS!$D4564&amp;"|"&amp;DATOS!$E4564&amp;"|"&amp;DATOS!$I4564)</f>
      </c>
      <c r="G4564">
        <f>IF(DATOS!$A4564="",0,IF(CONFIG_METADATA!$B$4&lt;&gt;"OR+EX",--(DATOS!$G4564=CONFIG_METADATA!$B$4),IF(DATOS!$G4564="EX",1,IF(DATOS!$G4564="OR",--(COUNTIFS(nNIA,DATOS!$A4564,nCURSO,DATOS!$D4564,nESPEC,DATOS!$E4564,nASIG,DATOS!$I4564,nEVAL,"EX")=0),0))))</f>
      </c>
      <c r="H4564">
        <f>IF(DATOS!$G4564&lt;&gt;"EX",0,--(COUNTIFS(nNIA,DATOS!$A4564,nCURSO,DATOS!$D4564,nESPEC,DATOS!$E4564,nASIG,DATOS!$I4564,nEVAL,"OR")=0))</f>
      </c>
      <c r="I4564">
        <f>IF(DATOS!$I4564="","",IFERROR(VLOOKUP(DATOS!$I4564,CONFIG_ASIGNATURAS!$B$2:$J$91,9,FALSE()),""))</f>
      </c>
    </row>
    <row r="4565">
      <c r="F4565">
        <f>IF(DATOS!$A4565="","",DATOS!$A4565&amp;"|"&amp;DATOS!$D4565&amp;"|"&amp;DATOS!$E4565&amp;"|"&amp;DATOS!$I4565)</f>
      </c>
      <c r="G4565">
        <f>IF(DATOS!$A4565="",0,IF(CONFIG_METADATA!$B$4&lt;&gt;"OR+EX",--(DATOS!$G4565=CONFIG_METADATA!$B$4),IF(DATOS!$G4565="EX",1,IF(DATOS!$G4565="OR",--(COUNTIFS(nNIA,DATOS!$A4565,nCURSO,DATOS!$D4565,nESPEC,DATOS!$E4565,nASIG,DATOS!$I4565,nEVAL,"EX")=0),0))))</f>
      </c>
      <c r="H4565">
        <f>IF(DATOS!$G4565&lt;&gt;"EX",0,--(COUNTIFS(nNIA,DATOS!$A4565,nCURSO,DATOS!$D4565,nESPEC,DATOS!$E4565,nASIG,DATOS!$I4565,nEVAL,"OR")=0))</f>
      </c>
      <c r="I4565">
        <f>IF(DATOS!$I4565="","",IFERROR(VLOOKUP(DATOS!$I4565,CONFIG_ASIGNATURAS!$B$2:$J$91,9,FALSE()),""))</f>
      </c>
    </row>
    <row r="4566">
      <c r="F4566">
        <f>IF(DATOS!$A4566="","",DATOS!$A4566&amp;"|"&amp;DATOS!$D4566&amp;"|"&amp;DATOS!$E4566&amp;"|"&amp;DATOS!$I4566)</f>
      </c>
      <c r="G4566">
        <f>IF(DATOS!$A4566="",0,IF(CONFIG_METADATA!$B$4&lt;&gt;"OR+EX",--(DATOS!$G4566=CONFIG_METADATA!$B$4),IF(DATOS!$G4566="EX",1,IF(DATOS!$G4566="OR",--(COUNTIFS(nNIA,DATOS!$A4566,nCURSO,DATOS!$D4566,nESPEC,DATOS!$E4566,nASIG,DATOS!$I4566,nEVAL,"EX")=0),0))))</f>
      </c>
      <c r="H4566">
        <f>IF(DATOS!$G4566&lt;&gt;"EX",0,--(COUNTIFS(nNIA,DATOS!$A4566,nCURSO,DATOS!$D4566,nESPEC,DATOS!$E4566,nASIG,DATOS!$I4566,nEVAL,"OR")=0))</f>
      </c>
      <c r="I4566">
        <f>IF(DATOS!$I4566="","",IFERROR(VLOOKUP(DATOS!$I4566,CONFIG_ASIGNATURAS!$B$2:$J$91,9,FALSE()),""))</f>
      </c>
    </row>
    <row r="4567">
      <c r="F4567">
        <f>IF(DATOS!$A4567="","",DATOS!$A4567&amp;"|"&amp;DATOS!$D4567&amp;"|"&amp;DATOS!$E4567&amp;"|"&amp;DATOS!$I4567)</f>
      </c>
      <c r="G4567">
        <f>IF(DATOS!$A4567="",0,IF(CONFIG_METADATA!$B$4&lt;&gt;"OR+EX",--(DATOS!$G4567=CONFIG_METADATA!$B$4),IF(DATOS!$G4567="EX",1,IF(DATOS!$G4567="OR",--(COUNTIFS(nNIA,DATOS!$A4567,nCURSO,DATOS!$D4567,nESPEC,DATOS!$E4567,nASIG,DATOS!$I4567,nEVAL,"EX")=0),0))))</f>
      </c>
      <c r="H4567">
        <f>IF(DATOS!$G4567&lt;&gt;"EX",0,--(COUNTIFS(nNIA,DATOS!$A4567,nCURSO,DATOS!$D4567,nESPEC,DATOS!$E4567,nASIG,DATOS!$I4567,nEVAL,"OR")=0))</f>
      </c>
      <c r="I4567">
        <f>IF(DATOS!$I4567="","",IFERROR(VLOOKUP(DATOS!$I4567,CONFIG_ASIGNATURAS!$B$2:$J$91,9,FALSE()),""))</f>
      </c>
    </row>
    <row r="4568">
      <c r="F4568">
        <f>IF(DATOS!$A4568="","",DATOS!$A4568&amp;"|"&amp;DATOS!$D4568&amp;"|"&amp;DATOS!$E4568&amp;"|"&amp;DATOS!$I4568)</f>
      </c>
      <c r="G4568">
        <f>IF(DATOS!$A4568="",0,IF(CONFIG_METADATA!$B$4&lt;&gt;"OR+EX",--(DATOS!$G4568=CONFIG_METADATA!$B$4),IF(DATOS!$G4568="EX",1,IF(DATOS!$G4568="OR",--(COUNTIFS(nNIA,DATOS!$A4568,nCURSO,DATOS!$D4568,nESPEC,DATOS!$E4568,nASIG,DATOS!$I4568,nEVAL,"EX")=0),0))))</f>
      </c>
      <c r="H4568">
        <f>IF(DATOS!$G4568&lt;&gt;"EX",0,--(COUNTIFS(nNIA,DATOS!$A4568,nCURSO,DATOS!$D4568,nESPEC,DATOS!$E4568,nASIG,DATOS!$I4568,nEVAL,"OR")=0))</f>
      </c>
      <c r="I4568">
        <f>IF(DATOS!$I4568="","",IFERROR(VLOOKUP(DATOS!$I4568,CONFIG_ASIGNATURAS!$B$2:$J$91,9,FALSE()),""))</f>
      </c>
    </row>
    <row r="4569">
      <c r="F4569">
        <f>IF(DATOS!$A4569="","",DATOS!$A4569&amp;"|"&amp;DATOS!$D4569&amp;"|"&amp;DATOS!$E4569&amp;"|"&amp;DATOS!$I4569)</f>
      </c>
      <c r="G4569">
        <f>IF(DATOS!$A4569="",0,IF(CONFIG_METADATA!$B$4&lt;&gt;"OR+EX",--(DATOS!$G4569=CONFIG_METADATA!$B$4),IF(DATOS!$G4569="EX",1,IF(DATOS!$G4569="OR",--(COUNTIFS(nNIA,DATOS!$A4569,nCURSO,DATOS!$D4569,nESPEC,DATOS!$E4569,nASIG,DATOS!$I4569,nEVAL,"EX")=0),0))))</f>
      </c>
      <c r="H4569">
        <f>IF(DATOS!$G4569&lt;&gt;"EX",0,--(COUNTIFS(nNIA,DATOS!$A4569,nCURSO,DATOS!$D4569,nESPEC,DATOS!$E4569,nASIG,DATOS!$I4569,nEVAL,"OR")=0))</f>
      </c>
      <c r="I4569">
        <f>IF(DATOS!$I4569="","",IFERROR(VLOOKUP(DATOS!$I4569,CONFIG_ASIGNATURAS!$B$2:$J$91,9,FALSE()),""))</f>
      </c>
    </row>
    <row r="4570">
      <c r="F4570">
        <f>IF(DATOS!$A4570="","",DATOS!$A4570&amp;"|"&amp;DATOS!$D4570&amp;"|"&amp;DATOS!$E4570&amp;"|"&amp;DATOS!$I4570)</f>
      </c>
      <c r="G4570">
        <f>IF(DATOS!$A4570="",0,IF(CONFIG_METADATA!$B$4&lt;&gt;"OR+EX",--(DATOS!$G4570=CONFIG_METADATA!$B$4),IF(DATOS!$G4570="EX",1,IF(DATOS!$G4570="OR",--(COUNTIFS(nNIA,DATOS!$A4570,nCURSO,DATOS!$D4570,nESPEC,DATOS!$E4570,nASIG,DATOS!$I4570,nEVAL,"EX")=0),0))))</f>
      </c>
      <c r="H4570">
        <f>IF(DATOS!$G4570&lt;&gt;"EX",0,--(COUNTIFS(nNIA,DATOS!$A4570,nCURSO,DATOS!$D4570,nESPEC,DATOS!$E4570,nASIG,DATOS!$I4570,nEVAL,"OR")=0))</f>
      </c>
      <c r="I4570">
        <f>IF(DATOS!$I4570="","",IFERROR(VLOOKUP(DATOS!$I4570,CONFIG_ASIGNATURAS!$B$2:$J$91,9,FALSE()),""))</f>
      </c>
    </row>
    <row r="4571">
      <c r="F4571">
        <f>IF(DATOS!$A4571="","",DATOS!$A4571&amp;"|"&amp;DATOS!$D4571&amp;"|"&amp;DATOS!$E4571&amp;"|"&amp;DATOS!$I4571)</f>
      </c>
      <c r="G4571">
        <f>IF(DATOS!$A4571="",0,IF(CONFIG_METADATA!$B$4&lt;&gt;"OR+EX",--(DATOS!$G4571=CONFIG_METADATA!$B$4),IF(DATOS!$G4571="EX",1,IF(DATOS!$G4571="OR",--(COUNTIFS(nNIA,DATOS!$A4571,nCURSO,DATOS!$D4571,nESPEC,DATOS!$E4571,nASIG,DATOS!$I4571,nEVAL,"EX")=0),0))))</f>
      </c>
      <c r="H4571">
        <f>IF(DATOS!$G4571&lt;&gt;"EX",0,--(COUNTIFS(nNIA,DATOS!$A4571,nCURSO,DATOS!$D4571,nESPEC,DATOS!$E4571,nASIG,DATOS!$I4571,nEVAL,"OR")=0))</f>
      </c>
      <c r="I4571">
        <f>IF(DATOS!$I4571="","",IFERROR(VLOOKUP(DATOS!$I4571,CONFIG_ASIGNATURAS!$B$2:$J$91,9,FALSE()),""))</f>
      </c>
    </row>
    <row r="4572">
      <c r="F4572">
        <f>IF(DATOS!$A4572="","",DATOS!$A4572&amp;"|"&amp;DATOS!$D4572&amp;"|"&amp;DATOS!$E4572&amp;"|"&amp;DATOS!$I4572)</f>
      </c>
      <c r="G4572">
        <f>IF(DATOS!$A4572="",0,IF(CONFIG_METADATA!$B$4&lt;&gt;"OR+EX",--(DATOS!$G4572=CONFIG_METADATA!$B$4),IF(DATOS!$G4572="EX",1,IF(DATOS!$G4572="OR",--(COUNTIFS(nNIA,DATOS!$A4572,nCURSO,DATOS!$D4572,nESPEC,DATOS!$E4572,nASIG,DATOS!$I4572,nEVAL,"EX")=0),0))))</f>
      </c>
      <c r="H4572">
        <f>IF(DATOS!$G4572&lt;&gt;"EX",0,--(COUNTIFS(nNIA,DATOS!$A4572,nCURSO,DATOS!$D4572,nESPEC,DATOS!$E4572,nASIG,DATOS!$I4572,nEVAL,"OR")=0))</f>
      </c>
      <c r="I4572">
        <f>IF(DATOS!$I4572="","",IFERROR(VLOOKUP(DATOS!$I4572,CONFIG_ASIGNATURAS!$B$2:$J$91,9,FALSE()),""))</f>
      </c>
    </row>
    <row r="4573">
      <c r="F4573">
        <f>IF(DATOS!$A4573="","",DATOS!$A4573&amp;"|"&amp;DATOS!$D4573&amp;"|"&amp;DATOS!$E4573&amp;"|"&amp;DATOS!$I4573)</f>
      </c>
      <c r="G4573">
        <f>IF(DATOS!$A4573="",0,IF(CONFIG_METADATA!$B$4&lt;&gt;"OR+EX",--(DATOS!$G4573=CONFIG_METADATA!$B$4),IF(DATOS!$G4573="EX",1,IF(DATOS!$G4573="OR",--(COUNTIFS(nNIA,DATOS!$A4573,nCURSO,DATOS!$D4573,nESPEC,DATOS!$E4573,nASIG,DATOS!$I4573,nEVAL,"EX")=0),0))))</f>
      </c>
      <c r="H4573">
        <f>IF(DATOS!$G4573&lt;&gt;"EX",0,--(COUNTIFS(nNIA,DATOS!$A4573,nCURSO,DATOS!$D4573,nESPEC,DATOS!$E4573,nASIG,DATOS!$I4573,nEVAL,"OR")=0))</f>
      </c>
      <c r="I4573">
        <f>IF(DATOS!$I4573="","",IFERROR(VLOOKUP(DATOS!$I4573,CONFIG_ASIGNATURAS!$B$2:$J$91,9,FALSE()),""))</f>
      </c>
    </row>
    <row r="4574">
      <c r="F4574">
        <f>IF(DATOS!$A4574="","",DATOS!$A4574&amp;"|"&amp;DATOS!$D4574&amp;"|"&amp;DATOS!$E4574&amp;"|"&amp;DATOS!$I4574)</f>
      </c>
      <c r="G4574">
        <f>IF(DATOS!$A4574="",0,IF(CONFIG_METADATA!$B$4&lt;&gt;"OR+EX",--(DATOS!$G4574=CONFIG_METADATA!$B$4),IF(DATOS!$G4574="EX",1,IF(DATOS!$G4574="OR",--(COUNTIFS(nNIA,DATOS!$A4574,nCURSO,DATOS!$D4574,nESPEC,DATOS!$E4574,nASIG,DATOS!$I4574,nEVAL,"EX")=0),0))))</f>
      </c>
      <c r="H4574">
        <f>IF(DATOS!$G4574&lt;&gt;"EX",0,--(COUNTIFS(nNIA,DATOS!$A4574,nCURSO,DATOS!$D4574,nESPEC,DATOS!$E4574,nASIG,DATOS!$I4574,nEVAL,"OR")=0))</f>
      </c>
      <c r="I4574">
        <f>IF(DATOS!$I4574="","",IFERROR(VLOOKUP(DATOS!$I4574,CONFIG_ASIGNATURAS!$B$2:$J$91,9,FALSE()),""))</f>
      </c>
    </row>
    <row r="4575">
      <c r="F4575">
        <f>IF(DATOS!$A4575="","",DATOS!$A4575&amp;"|"&amp;DATOS!$D4575&amp;"|"&amp;DATOS!$E4575&amp;"|"&amp;DATOS!$I4575)</f>
      </c>
      <c r="G4575">
        <f>IF(DATOS!$A4575="",0,IF(CONFIG_METADATA!$B$4&lt;&gt;"OR+EX",--(DATOS!$G4575=CONFIG_METADATA!$B$4),IF(DATOS!$G4575="EX",1,IF(DATOS!$G4575="OR",--(COUNTIFS(nNIA,DATOS!$A4575,nCURSO,DATOS!$D4575,nESPEC,DATOS!$E4575,nASIG,DATOS!$I4575,nEVAL,"EX")=0),0))))</f>
      </c>
      <c r="H4575">
        <f>IF(DATOS!$G4575&lt;&gt;"EX",0,--(COUNTIFS(nNIA,DATOS!$A4575,nCURSO,DATOS!$D4575,nESPEC,DATOS!$E4575,nASIG,DATOS!$I4575,nEVAL,"OR")=0))</f>
      </c>
      <c r="I4575">
        <f>IF(DATOS!$I4575="","",IFERROR(VLOOKUP(DATOS!$I4575,CONFIG_ASIGNATURAS!$B$2:$J$91,9,FALSE()),""))</f>
      </c>
    </row>
    <row r="4576">
      <c r="F4576">
        <f>IF(DATOS!$A4576="","",DATOS!$A4576&amp;"|"&amp;DATOS!$D4576&amp;"|"&amp;DATOS!$E4576&amp;"|"&amp;DATOS!$I4576)</f>
      </c>
      <c r="G4576">
        <f>IF(DATOS!$A4576="",0,IF(CONFIG_METADATA!$B$4&lt;&gt;"OR+EX",--(DATOS!$G4576=CONFIG_METADATA!$B$4),IF(DATOS!$G4576="EX",1,IF(DATOS!$G4576="OR",--(COUNTIFS(nNIA,DATOS!$A4576,nCURSO,DATOS!$D4576,nESPEC,DATOS!$E4576,nASIG,DATOS!$I4576,nEVAL,"EX")=0),0))))</f>
      </c>
      <c r="H4576">
        <f>IF(DATOS!$G4576&lt;&gt;"EX",0,--(COUNTIFS(nNIA,DATOS!$A4576,nCURSO,DATOS!$D4576,nESPEC,DATOS!$E4576,nASIG,DATOS!$I4576,nEVAL,"OR")=0))</f>
      </c>
      <c r="I4576">
        <f>IF(DATOS!$I4576="","",IFERROR(VLOOKUP(DATOS!$I4576,CONFIG_ASIGNATURAS!$B$2:$J$91,9,FALSE()),""))</f>
      </c>
    </row>
    <row r="4577">
      <c r="F4577">
        <f>IF(DATOS!$A4577="","",DATOS!$A4577&amp;"|"&amp;DATOS!$D4577&amp;"|"&amp;DATOS!$E4577&amp;"|"&amp;DATOS!$I4577)</f>
      </c>
      <c r="G4577">
        <f>IF(DATOS!$A4577="",0,IF(CONFIG_METADATA!$B$4&lt;&gt;"OR+EX",--(DATOS!$G4577=CONFIG_METADATA!$B$4),IF(DATOS!$G4577="EX",1,IF(DATOS!$G4577="OR",--(COUNTIFS(nNIA,DATOS!$A4577,nCURSO,DATOS!$D4577,nESPEC,DATOS!$E4577,nASIG,DATOS!$I4577,nEVAL,"EX")=0),0))))</f>
      </c>
      <c r="H4577">
        <f>IF(DATOS!$G4577&lt;&gt;"EX",0,--(COUNTIFS(nNIA,DATOS!$A4577,nCURSO,DATOS!$D4577,nESPEC,DATOS!$E4577,nASIG,DATOS!$I4577,nEVAL,"OR")=0))</f>
      </c>
      <c r="I4577">
        <f>IF(DATOS!$I4577="","",IFERROR(VLOOKUP(DATOS!$I4577,CONFIG_ASIGNATURAS!$B$2:$J$91,9,FALSE()),""))</f>
      </c>
    </row>
    <row r="4578">
      <c r="F4578">
        <f>IF(DATOS!$A4578="","",DATOS!$A4578&amp;"|"&amp;DATOS!$D4578&amp;"|"&amp;DATOS!$E4578&amp;"|"&amp;DATOS!$I4578)</f>
      </c>
      <c r="G4578">
        <f>IF(DATOS!$A4578="",0,IF(CONFIG_METADATA!$B$4&lt;&gt;"OR+EX",--(DATOS!$G4578=CONFIG_METADATA!$B$4),IF(DATOS!$G4578="EX",1,IF(DATOS!$G4578="OR",--(COUNTIFS(nNIA,DATOS!$A4578,nCURSO,DATOS!$D4578,nESPEC,DATOS!$E4578,nASIG,DATOS!$I4578,nEVAL,"EX")=0),0))))</f>
      </c>
      <c r="H4578">
        <f>IF(DATOS!$G4578&lt;&gt;"EX",0,--(COUNTIFS(nNIA,DATOS!$A4578,nCURSO,DATOS!$D4578,nESPEC,DATOS!$E4578,nASIG,DATOS!$I4578,nEVAL,"OR")=0))</f>
      </c>
      <c r="I4578">
        <f>IF(DATOS!$I4578="","",IFERROR(VLOOKUP(DATOS!$I4578,CONFIG_ASIGNATURAS!$B$2:$J$91,9,FALSE()),""))</f>
      </c>
    </row>
    <row r="4579">
      <c r="F4579">
        <f>IF(DATOS!$A4579="","",DATOS!$A4579&amp;"|"&amp;DATOS!$D4579&amp;"|"&amp;DATOS!$E4579&amp;"|"&amp;DATOS!$I4579)</f>
      </c>
      <c r="G4579">
        <f>IF(DATOS!$A4579="",0,IF(CONFIG_METADATA!$B$4&lt;&gt;"OR+EX",--(DATOS!$G4579=CONFIG_METADATA!$B$4),IF(DATOS!$G4579="EX",1,IF(DATOS!$G4579="OR",--(COUNTIFS(nNIA,DATOS!$A4579,nCURSO,DATOS!$D4579,nESPEC,DATOS!$E4579,nASIG,DATOS!$I4579,nEVAL,"EX")=0),0))))</f>
      </c>
      <c r="H4579">
        <f>IF(DATOS!$G4579&lt;&gt;"EX",0,--(COUNTIFS(nNIA,DATOS!$A4579,nCURSO,DATOS!$D4579,nESPEC,DATOS!$E4579,nASIG,DATOS!$I4579,nEVAL,"OR")=0))</f>
      </c>
      <c r="I4579">
        <f>IF(DATOS!$I4579="","",IFERROR(VLOOKUP(DATOS!$I4579,CONFIG_ASIGNATURAS!$B$2:$J$91,9,FALSE()),""))</f>
      </c>
    </row>
    <row r="4580">
      <c r="F4580">
        <f>IF(DATOS!$A4580="","",DATOS!$A4580&amp;"|"&amp;DATOS!$D4580&amp;"|"&amp;DATOS!$E4580&amp;"|"&amp;DATOS!$I4580)</f>
      </c>
      <c r="G4580">
        <f>IF(DATOS!$A4580="",0,IF(CONFIG_METADATA!$B$4&lt;&gt;"OR+EX",--(DATOS!$G4580=CONFIG_METADATA!$B$4),IF(DATOS!$G4580="EX",1,IF(DATOS!$G4580="OR",--(COUNTIFS(nNIA,DATOS!$A4580,nCURSO,DATOS!$D4580,nESPEC,DATOS!$E4580,nASIG,DATOS!$I4580,nEVAL,"EX")=0),0))))</f>
      </c>
      <c r="H4580">
        <f>IF(DATOS!$G4580&lt;&gt;"EX",0,--(COUNTIFS(nNIA,DATOS!$A4580,nCURSO,DATOS!$D4580,nESPEC,DATOS!$E4580,nASIG,DATOS!$I4580,nEVAL,"OR")=0))</f>
      </c>
      <c r="I4580">
        <f>IF(DATOS!$I4580="","",IFERROR(VLOOKUP(DATOS!$I4580,CONFIG_ASIGNATURAS!$B$2:$J$91,9,FALSE()),""))</f>
      </c>
    </row>
    <row r="4581">
      <c r="F4581">
        <f>IF(DATOS!$A4581="","",DATOS!$A4581&amp;"|"&amp;DATOS!$D4581&amp;"|"&amp;DATOS!$E4581&amp;"|"&amp;DATOS!$I4581)</f>
      </c>
      <c r="G4581">
        <f>IF(DATOS!$A4581="",0,IF(CONFIG_METADATA!$B$4&lt;&gt;"OR+EX",--(DATOS!$G4581=CONFIG_METADATA!$B$4),IF(DATOS!$G4581="EX",1,IF(DATOS!$G4581="OR",--(COUNTIFS(nNIA,DATOS!$A4581,nCURSO,DATOS!$D4581,nESPEC,DATOS!$E4581,nASIG,DATOS!$I4581,nEVAL,"EX")=0),0))))</f>
      </c>
      <c r="H4581">
        <f>IF(DATOS!$G4581&lt;&gt;"EX",0,--(COUNTIFS(nNIA,DATOS!$A4581,nCURSO,DATOS!$D4581,nESPEC,DATOS!$E4581,nASIG,DATOS!$I4581,nEVAL,"OR")=0))</f>
      </c>
      <c r="I4581">
        <f>IF(DATOS!$I4581="","",IFERROR(VLOOKUP(DATOS!$I4581,CONFIG_ASIGNATURAS!$B$2:$J$91,9,FALSE()),""))</f>
      </c>
    </row>
    <row r="4582">
      <c r="F4582">
        <f>IF(DATOS!$A4582="","",DATOS!$A4582&amp;"|"&amp;DATOS!$D4582&amp;"|"&amp;DATOS!$E4582&amp;"|"&amp;DATOS!$I4582)</f>
      </c>
      <c r="G4582">
        <f>IF(DATOS!$A4582="",0,IF(CONFIG_METADATA!$B$4&lt;&gt;"OR+EX",--(DATOS!$G4582=CONFIG_METADATA!$B$4),IF(DATOS!$G4582="EX",1,IF(DATOS!$G4582="OR",--(COUNTIFS(nNIA,DATOS!$A4582,nCURSO,DATOS!$D4582,nESPEC,DATOS!$E4582,nASIG,DATOS!$I4582,nEVAL,"EX")=0),0))))</f>
      </c>
      <c r="H4582">
        <f>IF(DATOS!$G4582&lt;&gt;"EX",0,--(COUNTIFS(nNIA,DATOS!$A4582,nCURSO,DATOS!$D4582,nESPEC,DATOS!$E4582,nASIG,DATOS!$I4582,nEVAL,"OR")=0))</f>
      </c>
      <c r="I4582">
        <f>IF(DATOS!$I4582="","",IFERROR(VLOOKUP(DATOS!$I4582,CONFIG_ASIGNATURAS!$B$2:$J$91,9,FALSE()),""))</f>
      </c>
    </row>
    <row r="4583">
      <c r="F4583">
        <f>IF(DATOS!$A4583="","",DATOS!$A4583&amp;"|"&amp;DATOS!$D4583&amp;"|"&amp;DATOS!$E4583&amp;"|"&amp;DATOS!$I4583)</f>
      </c>
      <c r="G4583">
        <f>IF(DATOS!$A4583="",0,IF(CONFIG_METADATA!$B$4&lt;&gt;"OR+EX",--(DATOS!$G4583=CONFIG_METADATA!$B$4),IF(DATOS!$G4583="EX",1,IF(DATOS!$G4583="OR",--(COUNTIFS(nNIA,DATOS!$A4583,nCURSO,DATOS!$D4583,nESPEC,DATOS!$E4583,nASIG,DATOS!$I4583,nEVAL,"EX")=0),0))))</f>
      </c>
      <c r="H4583">
        <f>IF(DATOS!$G4583&lt;&gt;"EX",0,--(COUNTIFS(nNIA,DATOS!$A4583,nCURSO,DATOS!$D4583,nESPEC,DATOS!$E4583,nASIG,DATOS!$I4583,nEVAL,"OR")=0))</f>
      </c>
      <c r="I4583">
        <f>IF(DATOS!$I4583="","",IFERROR(VLOOKUP(DATOS!$I4583,CONFIG_ASIGNATURAS!$B$2:$J$91,9,FALSE()),""))</f>
      </c>
    </row>
    <row r="4584">
      <c r="F4584">
        <f>IF(DATOS!$A4584="","",DATOS!$A4584&amp;"|"&amp;DATOS!$D4584&amp;"|"&amp;DATOS!$E4584&amp;"|"&amp;DATOS!$I4584)</f>
      </c>
      <c r="G4584">
        <f>IF(DATOS!$A4584="",0,IF(CONFIG_METADATA!$B$4&lt;&gt;"OR+EX",--(DATOS!$G4584=CONFIG_METADATA!$B$4),IF(DATOS!$G4584="EX",1,IF(DATOS!$G4584="OR",--(COUNTIFS(nNIA,DATOS!$A4584,nCURSO,DATOS!$D4584,nESPEC,DATOS!$E4584,nASIG,DATOS!$I4584,nEVAL,"EX")=0),0))))</f>
      </c>
      <c r="H4584">
        <f>IF(DATOS!$G4584&lt;&gt;"EX",0,--(COUNTIFS(nNIA,DATOS!$A4584,nCURSO,DATOS!$D4584,nESPEC,DATOS!$E4584,nASIG,DATOS!$I4584,nEVAL,"OR")=0))</f>
      </c>
      <c r="I4584">
        <f>IF(DATOS!$I4584="","",IFERROR(VLOOKUP(DATOS!$I4584,CONFIG_ASIGNATURAS!$B$2:$J$91,9,FALSE()),""))</f>
      </c>
    </row>
    <row r="4585">
      <c r="F4585">
        <f>IF(DATOS!$A4585="","",DATOS!$A4585&amp;"|"&amp;DATOS!$D4585&amp;"|"&amp;DATOS!$E4585&amp;"|"&amp;DATOS!$I4585)</f>
      </c>
      <c r="G4585">
        <f>IF(DATOS!$A4585="",0,IF(CONFIG_METADATA!$B$4&lt;&gt;"OR+EX",--(DATOS!$G4585=CONFIG_METADATA!$B$4),IF(DATOS!$G4585="EX",1,IF(DATOS!$G4585="OR",--(COUNTIFS(nNIA,DATOS!$A4585,nCURSO,DATOS!$D4585,nESPEC,DATOS!$E4585,nASIG,DATOS!$I4585,nEVAL,"EX")=0),0))))</f>
      </c>
      <c r="H4585">
        <f>IF(DATOS!$G4585&lt;&gt;"EX",0,--(COUNTIFS(nNIA,DATOS!$A4585,nCURSO,DATOS!$D4585,nESPEC,DATOS!$E4585,nASIG,DATOS!$I4585,nEVAL,"OR")=0))</f>
      </c>
      <c r="I4585">
        <f>IF(DATOS!$I4585="","",IFERROR(VLOOKUP(DATOS!$I4585,CONFIG_ASIGNATURAS!$B$2:$J$91,9,FALSE()),""))</f>
      </c>
    </row>
    <row r="4586">
      <c r="F4586">
        <f>IF(DATOS!$A4586="","",DATOS!$A4586&amp;"|"&amp;DATOS!$D4586&amp;"|"&amp;DATOS!$E4586&amp;"|"&amp;DATOS!$I4586)</f>
      </c>
      <c r="G4586">
        <f>IF(DATOS!$A4586="",0,IF(CONFIG_METADATA!$B$4&lt;&gt;"OR+EX",--(DATOS!$G4586=CONFIG_METADATA!$B$4),IF(DATOS!$G4586="EX",1,IF(DATOS!$G4586="OR",--(COUNTIFS(nNIA,DATOS!$A4586,nCURSO,DATOS!$D4586,nESPEC,DATOS!$E4586,nASIG,DATOS!$I4586,nEVAL,"EX")=0),0))))</f>
      </c>
      <c r="H4586">
        <f>IF(DATOS!$G4586&lt;&gt;"EX",0,--(COUNTIFS(nNIA,DATOS!$A4586,nCURSO,DATOS!$D4586,nESPEC,DATOS!$E4586,nASIG,DATOS!$I4586,nEVAL,"OR")=0))</f>
      </c>
      <c r="I4586">
        <f>IF(DATOS!$I4586="","",IFERROR(VLOOKUP(DATOS!$I4586,CONFIG_ASIGNATURAS!$B$2:$J$91,9,FALSE()),""))</f>
      </c>
    </row>
    <row r="4587">
      <c r="F4587">
        <f>IF(DATOS!$A4587="","",DATOS!$A4587&amp;"|"&amp;DATOS!$D4587&amp;"|"&amp;DATOS!$E4587&amp;"|"&amp;DATOS!$I4587)</f>
      </c>
      <c r="G4587">
        <f>IF(DATOS!$A4587="",0,IF(CONFIG_METADATA!$B$4&lt;&gt;"OR+EX",--(DATOS!$G4587=CONFIG_METADATA!$B$4),IF(DATOS!$G4587="EX",1,IF(DATOS!$G4587="OR",--(COUNTIFS(nNIA,DATOS!$A4587,nCURSO,DATOS!$D4587,nESPEC,DATOS!$E4587,nASIG,DATOS!$I4587,nEVAL,"EX")=0),0))))</f>
      </c>
      <c r="H4587">
        <f>IF(DATOS!$G4587&lt;&gt;"EX",0,--(COUNTIFS(nNIA,DATOS!$A4587,nCURSO,DATOS!$D4587,nESPEC,DATOS!$E4587,nASIG,DATOS!$I4587,nEVAL,"OR")=0))</f>
      </c>
      <c r="I4587">
        <f>IF(DATOS!$I4587="","",IFERROR(VLOOKUP(DATOS!$I4587,CONFIG_ASIGNATURAS!$B$2:$J$91,9,FALSE()),""))</f>
      </c>
    </row>
    <row r="4588">
      <c r="F4588">
        <f>IF(DATOS!$A4588="","",DATOS!$A4588&amp;"|"&amp;DATOS!$D4588&amp;"|"&amp;DATOS!$E4588&amp;"|"&amp;DATOS!$I4588)</f>
      </c>
      <c r="G4588">
        <f>IF(DATOS!$A4588="",0,IF(CONFIG_METADATA!$B$4&lt;&gt;"OR+EX",--(DATOS!$G4588=CONFIG_METADATA!$B$4),IF(DATOS!$G4588="EX",1,IF(DATOS!$G4588="OR",--(COUNTIFS(nNIA,DATOS!$A4588,nCURSO,DATOS!$D4588,nESPEC,DATOS!$E4588,nASIG,DATOS!$I4588,nEVAL,"EX")=0),0))))</f>
      </c>
      <c r="H4588">
        <f>IF(DATOS!$G4588&lt;&gt;"EX",0,--(COUNTIFS(nNIA,DATOS!$A4588,nCURSO,DATOS!$D4588,nESPEC,DATOS!$E4588,nASIG,DATOS!$I4588,nEVAL,"OR")=0))</f>
      </c>
      <c r="I4588">
        <f>IF(DATOS!$I4588="","",IFERROR(VLOOKUP(DATOS!$I4588,CONFIG_ASIGNATURAS!$B$2:$J$91,9,FALSE()),""))</f>
      </c>
    </row>
    <row r="4589">
      <c r="F4589">
        <f>IF(DATOS!$A4589="","",DATOS!$A4589&amp;"|"&amp;DATOS!$D4589&amp;"|"&amp;DATOS!$E4589&amp;"|"&amp;DATOS!$I4589)</f>
      </c>
      <c r="G4589">
        <f>IF(DATOS!$A4589="",0,IF(CONFIG_METADATA!$B$4&lt;&gt;"OR+EX",--(DATOS!$G4589=CONFIG_METADATA!$B$4),IF(DATOS!$G4589="EX",1,IF(DATOS!$G4589="OR",--(COUNTIFS(nNIA,DATOS!$A4589,nCURSO,DATOS!$D4589,nESPEC,DATOS!$E4589,nASIG,DATOS!$I4589,nEVAL,"EX")=0),0))))</f>
      </c>
      <c r="H4589">
        <f>IF(DATOS!$G4589&lt;&gt;"EX",0,--(COUNTIFS(nNIA,DATOS!$A4589,nCURSO,DATOS!$D4589,nESPEC,DATOS!$E4589,nASIG,DATOS!$I4589,nEVAL,"OR")=0))</f>
      </c>
      <c r="I4589">
        <f>IF(DATOS!$I4589="","",IFERROR(VLOOKUP(DATOS!$I4589,CONFIG_ASIGNATURAS!$B$2:$J$91,9,FALSE()),""))</f>
      </c>
    </row>
    <row r="4590">
      <c r="F4590">
        <f>IF(DATOS!$A4590="","",DATOS!$A4590&amp;"|"&amp;DATOS!$D4590&amp;"|"&amp;DATOS!$E4590&amp;"|"&amp;DATOS!$I4590)</f>
      </c>
      <c r="G4590">
        <f>IF(DATOS!$A4590="",0,IF(CONFIG_METADATA!$B$4&lt;&gt;"OR+EX",--(DATOS!$G4590=CONFIG_METADATA!$B$4),IF(DATOS!$G4590="EX",1,IF(DATOS!$G4590="OR",--(COUNTIFS(nNIA,DATOS!$A4590,nCURSO,DATOS!$D4590,nESPEC,DATOS!$E4590,nASIG,DATOS!$I4590,nEVAL,"EX")=0),0))))</f>
      </c>
      <c r="H4590">
        <f>IF(DATOS!$G4590&lt;&gt;"EX",0,--(COUNTIFS(nNIA,DATOS!$A4590,nCURSO,DATOS!$D4590,nESPEC,DATOS!$E4590,nASIG,DATOS!$I4590,nEVAL,"OR")=0))</f>
      </c>
      <c r="I4590">
        <f>IF(DATOS!$I4590="","",IFERROR(VLOOKUP(DATOS!$I4590,CONFIG_ASIGNATURAS!$B$2:$J$91,9,FALSE()),""))</f>
      </c>
    </row>
    <row r="4591">
      <c r="F4591">
        <f>IF(DATOS!$A4591="","",DATOS!$A4591&amp;"|"&amp;DATOS!$D4591&amp;"|"&amp;DATOS!$E4591&amp;"|"&amp;DATOS!$I4591)</f>
      </c>
      <c r="G4591">
        <f>IF(DATOS!$A4591="",0,IF(CONFIG_METADATA!$B$4&lt;&gt;"OR+EX",--(DATOS!$G4591=CONFIG_METADATA!$B$4),IF(DATOS!$G4591="EX",1,IF(DATOS!$G4591="OR",--(COUNTIFS(nNIA,DATOS!$A4591,nCURSO,DATOS!$D4591,nESPEC,DATOS!$E4591,nASIG,DATOS!$I4591,nEVAL,"EX")=0),0))))</f>
      </c>
      <c r="H4591">
        <f>IF(DATOS!$G4591&lt;&gt;"EX",0,--(COUNTIFS(nNIA,DATOS!$A4591,nCURSO,DATOS!$D4591,nESPEC,DATOS!$E4591,nASIG,DATOS!$I4591,nEVAL,"OR")=0))</f>
      </c>
      <c r="I4591">
        <f>IF(DATOS!$I4591="","",IFERROR(VLOOKUP(DATOS!$I4591,CONFIG_ASIGNATURAS!$B$2:$J$91,9,FALSE()),""))</f>
      </c>
    </row>
    <row r="4592">
      <c r="F4592">
        <f>IF(DATOS!$A4592="","",DATOS!$A4592&amp;"|"&amp;DATOS!$D4592&amp;"|"&amp;DATOS!$E4592&amp;"|"&amp;DATOS!$I4592)</f>
      </c>
      <c r="G4592">
        <f>IF(DATOS!$A4592="",0,IF(CONFIG_METADATA!$B$4&lt;&gt;"OR+EX",--(DATOS!$G4592=CONFIG_METADATA!$B$4),IF(DATOS!$G4592="EX",1,IF(DATOS!$G4592="OR",--(COUNTIFS(nNIA,DATOS!$A4592,nCURSO,DATOS!$D4592,nESPEC,DATOS!$E4592,nASIG,DATOS!$I4592,nEVAL,"EX")=0),0))))</f>
      </c>
      <c r="H4592">
        <f>IF(DATOS!$G4592&lt;&gt;"EX",0,--(COUNTIFS(nNIA,DATOS!$A4592,nCURSO,DATOS!$D4592,nESPEC,DATOS!$E4592,nASIG,DATOS!$I4592,nEVAL,"OR")=0))</f>
      </c>
      <c r="I4592">
        <f>IF(DATOS!$I4592="","",IFERROR(VLOOKUP(DATOS!$I4592,CONFIG_ASIGNATURAS!$B$2:$J$91,9,FALSE()),""))</f>
      </c>
    </row>
    <row r="4593">
      <c r="F4593">
        <f>IF(DATOS!$A4593="","",DATOS!$A4593&amp;"|"&amp;DATOS!$D4593&amp;"|"&amp;DATOS!$E4593&amp;"|"&amp;DATOS!$I4593)</f>
      </c>
      <c r="G4593">
        <f>IF(DATOS!$A4593="",0,IF(CONFIG_METADATA!$B$4&lt;&gt;"OR+EX",--(DATOS!$G4593=CONFIG_METADATA!$B$4),IF(DATOS!$G4593="EX",1,IF(DATOS!$G4593="OR",--(COUNTIFS(nNIA,DATOS!$A4593,nCURSO,DATOS!$D4593,nESPEC,DATOS!$E4593,nASIG,DATOS!$I4593,nEVAL,"EX")=0),0))))</f>
      </c>
      <c r="H4593">
        <f>IF(DATOS!$G4593&lt;&gt;"EX",0,--(COUNTIFS(nNIA,DATOS!$A4593,nCURSO,DATOS!$D4593,nESPEC,DATOS!$E4593,nASIG,DATOS!$I4593,nEVAL,"OR")=0))</f>
      </c>
      <c r="I4593">
        <f>IF(DATOS!$I4593="","",IFERROR(VLOOKUP(DATOS!$I4593,CONFIG_ASIGNATURAS!$B$2:$J$91,9,FALSE()),""))</f>
      </c>
    </row>
    <row r="4594">
      <c r="F4594">
        <f>IF(DATOS!$A4594="","",DATOS!$A4594&amp;"|"&amp;DATOS!$D4594&amp;"|"&amp;DATOS!$E4594&amp;"|"&amp;DATOS!$I4594)</f>
      </c>
      <c r="G4594">
        <f>IF(DATOS!$A4594="",0,IF(CONFIG_METADATA!$B$4&lt;&gt;"OR+EX",--(DATOS!$G4594=CONFIG_METADATA!$B$4),IF(DATOS!$G4594="EX",1,IF(DATOS!$G4594="OR",--(COUNTIFS(nNIA,DATOS!$A4594,nCURSO,DATOS!$D4594,nESPEC,DATOS!$E4594,nASIG,DATOS!$I4594,nEVAL,"EX")=0),0))))</f>
      </c>
      <c r="H4594">
        <f>IF(DATOS!$G4594&lt;&gt;"EX",0,--(COUNTIFS(nNIA,DATOS!$A4594,nCURSO,DATOS!$D4594,nESPEC,DATOS!$E4594,nASIG,DATOS!$I4594,nEVAL,"OR")=0))</f>
      </c>
      <c r="I4594">
        <f>IF(DATOS!$I4594="","",IFERROR(VLOOKUP(DATOS!$I4594,CONFIG_ASIGNATURAS!$B$2:$J$91,9,FALSE()),""))</f>
      </c>
    </row>
    <row r="4595">
      <c r="F4595">
        <f>IF(DATOS!$A4595="","",DATOS!$A4595&amp;"|"&amp;DATOS!$D4595&amp;"|"&amp;DATOS!$E4595&amp;"|"&amp;DATOS!$I4595)</f>
      </c>
      <c r="G4595">
        <f>IF(DATOS!$A4595="",0,IF(CONFIG_METADATA!$B$4&lt;&gt;"OR+EX",--(DATOS!$G4595=CONFIG_METADATA!$B$4),IF(DATOS!$G4595="EX",1,IF(DATOS!$G4595="OR",--(COUNTIFS(nNIA,DATOS!$A4595,nCURSO,DATOS!$D4595,nESPEC,DATOS!$E4595,nASIG,DATOS!$I4595,nEVAL,"EX")=0),0))))</f>
      </c>
      <c r="H4595">
        <f>IF(DATOS!$G4595&lt;&gt;"EX",0,--(COUNTIFS(nNIA,DATOS!$A4595,nCURSO,DATOS!$D4595,nESPEC,DATOS!$E4595,nASIG,DATOS!$I4595,nEVAL,"OR")=0))</f>
      </c>
      <c r="I4595">
        <f>IF(DATOS!$I4595="","",IFERROR(VLOOKUP(DATOS!$I4595,CONFIG_ASIGNATURAS!$B$2:$J$91,9,FALSE()),""))</f>
      </c>
    </row>
    <row r="4596">
      <c r="F4596">
        <f>IF(DATOS!$A4596="","",DATOS!$A4596&amp;"|"&amp;DATOS!$D4596&amp;"|"&amp;DATOS!$E4596&amp;"|"&amp;DATOS!$I4596)</f>
      </c>
      <c r="G4596">
        <f>IF(DATOS!$A4596="",0,IF(CONFIG_METADATA!$B$4&lt;&gt;"OR+EX",--(DATOS!$G4596=CONFIG_METADATA!$B$4),IF(DATOS!$G4596="EX",1,IF(DATOS!$G4596="OR",--(COUNTIFS(nNIA,DATOS!$A4596,nCURSO,DATOS!$D4596,nESPEC,DATOS!$E4596,nASIG,DATOS!$I4596,nEVAL,"EX")=0),0))))</f>
      </c>
      <c r="H4596">
        <f>IF(DATOS!$G4596&lt;&gt;"EX",0,--(COUNTIFS(nNIA,DATOS!$A4596,nCURSO,DATOS!$D4596,nESPEC,DATOS!$E4596,nASIG,DATOS!$I4596,nEVAL,"OR")=0))</f>
      </c>
      <c r="I4596">
        <f>IF(DATOS!$I4596="","",IFERROR(VLOOKUP(DATOS!$I4596,CONFIG_ASIGNATURAS!$B$2:$J$91,9,FALSE()),""))</f>
      </c>
    </row>
    <row r="4597">
      <c r="F4597">
        <f>IF(DATOS!$A4597="","",DATOS!$A4597&amp;"|"&amp;DATOS!$D4597&amp;"|"&amp;DATOS!$E4597&amp;"|"&amp;DATOS!$I4597)</f>
      </c>
      <c r="G4597">
        <f>IF(DATOS!$A4597="",0,IF(CONFIG_METADATA!$B$4&lt;&gt;"OR+EX",--(DATOS!$G4597=CONFIG_METADATA!$B$4),IF(DATOS!$G4597="EX",1,IF(DATOS!$G4597="OR",--(COUNTIFS(nNIA,DATOS!$A4597,nCURSO,DATOS!$D4597,nESPEC,DATOS!$E4597,nASIG,DATOS!$I4597,nEVAL,"EX")=0),0))))</f>
      </c>
      <c r="H4597">
        <f>IF(DATOS!$G4597&lt;&gt;"EX",0,--(COUNTIFS(nNIA,DATOS!$A4597,nCURSO,DATOS!$D4597,nESPEC,DATOS!$E4597,nASIG,DATOS!$I4597,nEVAL,"OR")=0))</f>
      </c>
      <c r="I4597">
        <f>IF(DATOS!$I4597="","",IFERROR(VLOOKUP(DATOS!$I4597,CONFIG_ASIGNATURAS!$B$2:$J$91,9,FALSE()),""))</f>
      </c>
    </row>
    <row r="4598">
      <c r="F4598">
        <f>IF(DATOS!$A4598="","",DATOS!$A4598&amp;"|"&amp;DATOS!$D4598&amp;"|"&amp;DATOS!$E4598&amp;"|"&amp;DATOS!$I4598)</f>
      </c>
      <c r="G4598">
        <f>IF(DATOS!$A4598="",0,IF(CONFIG_METADATA!$B$4&lt;&gt;"OR+EX",--(DATOS!$G4598=CONFIG_METADATA!$B$4),IF(DATOS!$G4598="EX",1,IF(DATOS!$G4598="OR",--(COUNTIFS(nNIA,DATOS!$A4598,nCURSO,DATOS!$D4598,nESPEC,DATOS!$E4598,nASIG,DATOS!$I4598,nEVAL,"EX")=0),0))))</f>
      </c>
      <c r="H4598">
        <f>IF(DATOS!$G4598&lt;&gt;"EX",0,--(COUNTIFS(nNIA,DATOS!$A4598,nCURSO,DATOS!$D4598,nESPEC,DATOS!$E4598,nASIG,DATOS!$I4598,nEVAL,"OR")=0))</f>
      </c>
      <c r="I4598">
        <f>IF(DATOS!$I4598="","",IFERROR(VLOOKUP(DATOS!$I4598,CONFIG_ASIGNATURAS!$B$2:$J$91,9,FALSE()),""))</f>
      </c>
    </row>
    <row r="4599">
      <c r="F4599">
        <f>IF(DATOS!$A4599="","",DATOS!$A4599&amp;"|"&amp;DATOS!$D4599&amp;"|"&amp;DATOS!$E4599&amp;"|"&amp;DATOS!$I4599)</f>
      </c>
      <c r="G4599">
        <f>IF(DATOS!$A4599="",0,IF(CONFIG_METADATA!$B$4&lt;&gt;"OR+EX",--(DATOS!$G4599=CONFIG_METADATA!$B$4),IF(DATOS!$G4599="EX",1,IF(DATOS!$G4599="OR",--(COUNTIFS(nNIA,DATOS!$A4599,nCURSO,DATOS!$D4599,nESPEC,DATOS!$E4599,nASIG,DATOS!$I4599,nEVAL,"EX")=0),0))))</f>
      </c>
      <c r="H4599">
        <f>IF(DATOS!$G4599&lt;&gt;"EX",0,--(COUNTIFS(nNIA,DATOS!$A4599,nCURSO,DATOS!$D4599,nESPEC,DATOS!$E4599,nASIG,DATOS!$I4599,nEVAL,"OR")=0))</f>
      </c>
      <c r="I4599">
        <f>IF(DATOS!$I4599="","",IFERROR(VLOOKUP(DATOS!$I4599,CONFIG_ASIGNATURAS!$B$2:$J$91,9,FALSE()),""))</f>
      </c>
    </row>
    <row r="4600">
      <c r="F4600">
        <f>IF(DATOS!$A4600="","",DATOS!$A4600&amp;"|"&amp;DATOS!$D4600&amp;"|"&amp;DATOS!$E4600&amp;"|"&amp;DATOS!$I4600)</f>
      </c>
      <c r="G4600">
        <f>IF(DATOS!$A4600="",0,IF(CONFIG_METADATA!$B$4&lt;&gt;"OR+EX",--(DATOS!$G4600=CONFIG_METADATA!$B$4),IF(DATOS!$G4600="EX",1,IF(DATOS!$G4600="OR",--(COUNTIFS(nNIA,DATOS!$A4600,nCURSO,DATOS!$D4600,nESPEC,DATOS!$E4600,nASIG,DATOS!$I4600,nEVAL,"EX")=0),0))))</f>
      </c>
      <c r="H4600">
        <f>IF(DATOS!$G4600&lt;&gt;"EX",0,--(COUNTIFS(nNIA,DATOS!$A4600,nCURSO,DATOS!$D4600,nESPEC,DATOS!$E4600,nASIG,DATOS!$I4600,nEVAL,"OR")=0))</f>
      </c>
      <c r="I4600">
        <f>IF(DATOS!$I4600="","",IFERROR(VLOOKUP(DATOS!$I4600,CONFIG_ASIGNATURAS!$B$2:$J$91,9,FALSE()),""))</f>
      </c>
    </row>
    <row r="4601">
      <c r="F4601">
        <f>IF(DATOS!$A4601="","",DATOS!$A4601&amp;"|"&amp;DATOS!$D4601&amp;"|"&amp;DATOS!$E4601&amp;"|"&amp;DATOS!$I4601)</f>
      </c>
      <c r="G4601">
        <f>IF(DATOS!$A4601="",0,IF(CONFIG_METADATA!$B$4&lt;&gt;"OR+EX",--(DATOS!$G4601=CONFIG_METADATA!$B$4),IF(DATOS!$G4601="EX",1,IF(DATOS!$G4601="OR",--(COUNTIFS(nNIA,DATOS!$A4601,nCURSO,DATOS!$D4601,nESPEC,DATOS!$E4601,nASIG,DATOS!$I4601,nEVAL,"EX")=0),0))))</f>
      </c>
      <c r="H4601">
        <f>IF(DATOS!$G4601&lt;&gt;"EX",0,--(COUNTIFS(nNIA,DATOS!$A4601,nCURSO,DATOS!$D4601,nESPEC,DATOS!$E4601,nASIG,DATOS!$I4601,nEVAL,"OR")=0))</f>
      </c>
      <c r="I4601">
        <f>IF(DATOS!$I4601="","",IFERROR(VLOOKUP(DATOS!$I4601,CONFIG_ASIGNATURAS!$B$2:$J$91,9,FALSE()),""))</f>
      </c>
    </row>
    <row r="4602">
      <c r="F4602">
        <f>IF(DATOS!$A4602="","",DATOS!$A4602&amp;"|"&amp;DATOS!$D4602&amp;"|"&amp;DATOS!$E4602&amp;"|"&amp;DATOS!$I4602)</f>
      </c>
      <c r="G4602">
        <f>IF(DATOS!$A4602="",0,IF(CONFIG_METADATA!$B$4&lt;&gt;"OR+EX",--(DATOS!$G4602=CONFIG_METADATA!$B$4),IF(DATOS!$G4602="EX",1,IF(DATOS!$G4602="OR",--(COUNTIFS(nNIA,DATOS!$A4602,nCURSO,DATOS!$D4602,nESPEC,DATOS!$E4602,nASIG,DATOS!$I4602,nEVAL,"EX")=0),0))))</f>
      </c>
      <c r="H4602">
        <f>IF(DATOS!$G4602&lt;&gt;"EX",0,--(COUNTIFS(nNIA,DATOS!$A4602,nCURSO,DATOS!$D4602,nESPEC,DATOS!$E4602,nASIG,DATOS!$I4602,nEVAL,"OR")=0))</f>
      </c>
      <c r="I4602">
        <f>IF(DATOS!$I4602="","",IFERROR(VLOOKUP(DATOS!$I4602,CONFIG_ASIGNATURAS!$B$2:$J$91,9,FALSE()),""))</f>
      </c>
    </row>
    <row r="4603">
      <c r="F4603">
        <f>IF(DATOS!$A4603="","",DATOS!$A4603&amp;"|"&amp;DATOS!$D4603&amp;"|"&amp;DATOS!$E4603&amp;"|"&amp;DATOS!$I4603)</f>
      </c>
      <c r="G4603">
        <f>IF(DATOS!$A4603="",0,IF(CONFIG_METADATA!$B$4&lt;&gt;"OR+EX",--(DATOS!$G4603=CONFIG_METADATA!$B$4),IF(DATOS!$G4603="EX",1,IF(DATOS!$G4603="OR",--(COUNTIFS(nNIA,DATOS!$A4603,nCURSO,DATOS!$D4603,nESPEC,DATOS!$E4603,nASIG,DATOS!$I4603,nEVAL,"EX")=0),0))))</f>
      </c>
      <c r="H4603">
        <f>IF(DATOS!$G4603&lt;&gt;"EX",0,--(COUNTIFS(nNIA,DATOS!$A4603,nCURSO,DATOS!$D4603,nESPEC,DATOS!$E4603,nASIG,DATOS!$I4603,nEVAL,"OR")=0))</f>
      </c>
      <c r="I4603">
        <f>IF(DATOS!$I4603="","",IFERROR(VLOOKUP(DATOS!$I4603,CONFIG_ASIGNATURAS!$B$2:$J$91,9,FALSE()),""))</f>
      </c>
    </row>
    <row r="4604">
      <c r="F4604">
        <f>IF(DATOS!$A4604="","",DATOS!$A4604&amp;"|"&amp;DATOS!$D4604&amp;"|"&amp;DATOS!$E4604&amp;"|"&amp;DATOS!$I4604)</f>
      </c>
      <c r="G4604">
        <f>IF(DATOS!$A4604="",0,IF(CONFIG_METADATA!$B$4&lt;&gt;"OR+EX",--(DATOS!$G4604=CONFIG_METADATA!$B$4),IF(DATOS!$G4604="EX",1,IF(DATOS!$G4604="OR",--(COUNTIFS(nNIA,DATOS!$A4604,nCURSO,DATOS!$D4604,nESPEC,DATOS!$E4604,nASIG,DATOS!$I4604,nEVAL,"EX")=0),0))))</f>
      </c>
      <c r="H4604">
        <f>IF(DATOS!$G4604&lt;&gt;"EX",0,--(COUNTIFS(nNIA,DATOS!$A4604,nCURSO,DATOS!$D4604,nESPEC,DATOS!$E4604,nASIG,DATOS!$I4604,nEVAL,"OR")=0))</f>
      </c>
      <c r="I4604">
        <f>IF(DATOS!$I4604="","",IFERROR(VLOOKUP(DATOS!$I4604,CONFIG_ASIGNATURAS!$B$2:$J$91,9,FALSE()),""))</f>
      </c>
    </row>
    <row r="4605">
      <c r="F4605">
        <f>IF(DATOS!$A4605="","",DATOS!$A4605&amp;"|"&amp;DATOS!$D4605&amp;"|"&amp;DATOS!$E4605&amp;"|"&amp;DATOS!$I4605)</f>
      </c>
      <c r="G4605">
        <f>IF(DATOS!$A4605="",0,IF(CONFIG_METADATA!$B$4&lt;&gt;"OR+EX",--(DATOS!$G4605=CONFIG_METADATA!$B$4),IF(DATOS!$G4605="EX",1,IF(DATOS!$G4605="OR",--(COUNTIFS(nNIA,DATOS!$A4605,nCURSO,DATOS!$D4605,nESPEC,DATOS!$E4605,nASIG,DATOS!$I4605,nEVAL,"EX")=0),0))))</f>
      </c>
      <c r="H4605">
        <f>IF(DATOS!$G4605&lt;&gt;"EX",0,--(COUNTIFS(nNIA,DATOS!$A4605,nCURSO,DATOS!$D4605,nESPEC,DATOS!$E4605,nASIG,DATOS!$I4605,nEVAL,"OR")=0))</f>
      </c>
      <c r="I4605">
        <f>IF(DATOS!$I4605="","",IFERROR(VLOOKUP(DATOS!$I4605,CONFIG_ASIGNATURAS!$B$2:$J$91,9,FALSE()),""))</f>
      </c>
    </row>
    <row r="4606">
      <c r="F4606">
        <f>IF(DATOS!$A4606="","",DATOS!$A4606&amp;"|"&amp;DATOS!$D4606&amp;"|"&amp;DATOS!$E4606&amp;"|"&amp;DATOS!$I4606)</f>
      </c>
      <c r="G4606">
        <f>IF(DATOS!$A4606="",0,IF(CONFIG_METADATA!$B$4&lt;&gt;"OR+EX",--(DATOS!$G4606=CONFIG_METADATA!$B$4),IF(DATOS!$G4606="EX",1,IF(DATOS!$G4606="OR",--(COUNTIFS(nNIA,DATOS!$A4606,nCURSO,DATOS!$D4606,nESPEC,DATOS!$E4606,nASIG,DATOS!$I4606,nEVAL,"EX")=0),0))))</f>
      </c>
      <c r="H4606">
        <f>IF(DATOS!$G4606&lt;&gt;"EX",0,--(COUNTIFS(nNIA,DATOS!$A4606,nCURSO,DATOS!$D4606,nESPEC,DATOS!$E4606,nASIG,DATOS!$I4606,nEVAL,"OR")=0))</f>
      </c>
      <c r="I4606">
        <f>IF(DATOS!$I4606="","",IFERROR(VLOOKUP(DATOS!$I4606,CONFIG_ASIGNATURAS!$B$2:$J$91,9,FALSE()),""))</f>
      </c>
    </row>
    <row r="4607">
      <c r="F4607">
        <f>IF(DATOS!$A4607="","",DATOS!$A4607&amp;"|"&amp;DATOS!$D4607&amp;"|"&amp;DATOS!$E4607&amp;"|"&amp;DATOS!$I4607)</f>
      </c>
      <c r="G4607">
        <f>IF(DATOS!$A4607="",0,IF(CONFIG_METADATA!$B$4&lt;&gt;"OR+EX",--(DATOS!$G4607=CONFIG_METADATA!$B$4),IF(DATOS!$G4607="EX",1,IF(DATOS!$G4607="OR",--(COUNTIFS(nNIA,DATOS!$A4607,nCURSO,DATOS!$D4607,nESPEC,DATOS!$E4607,nASIG,DATOS!$I4607,nEVAL,"EX")=0),0))))</f>
      </c>
      <c r="H4607">
        <f>IF(DATOS!$G4607&lt;&gt;"EX",0,--(COUNTIFS(nNIA,DATOS!$A4607,nCURSO,DATOS!$D4607,nESPEC,DATOS!$E4607,nASIG,DATOS!$I4607,nEVAL,"OR")=0))</f>
      </c>
      <c r="I4607">
        <f>IF(DATOS!$I4607="","",IFERROR(VLOOKUP(DATOS!$I4607,CONFIG_ASIGNATURAS!$B$2:$J$91,9,FALSE()),""))</f>
      </c>
    </row>
    <row r="4608">
      <c r="F4608">
        <f>IF(DATOS!$A4608="","",DATOS!$A4608&amp;"|"&amp;DATOS!$D4608&amp;"|"&amp;DATOS!$E4608&amp;"|"&amp;DATOS!$I4608)</f>
      </c>
      <c r="G4608">
        <f>IF(DATOS!$A4608="",0,IF(CONFIG_METADATA!$B$4&lt;&gt;"OR+EX",--(DATOS!$G4608=CONFIG_METADATA!$B$4),IF(DATOS!$G4608="EX",1,IF(DATOS!$G4608="OR",--(COUNTIFS(nNIA,DATOS!$A4608,nCURSO,DATOS!$D4608,nESPEC,DATOS!$E4608,nASIG,DATOS!$I4608,nEVAL,"EX")=0),0))))</f>
      </c>
      <c r="H4608">
        <f>IF(DATOS!$G4608&lt;&gt;"EX",0,--(COUNTIFS(nNIA,DATOS!$A4608,nCURSO,DATOS!$D4608,nESPEC,DATOS!$E4608,nASIG,DATOS!$I4608,nEVAL,"OR")=0))</f>
      </c>
      <c r="I4608">
        <f>IF(DATOS!$I4608="","",IFERROR(VLOOKUP(DATOS!$I4608,CONFIG_ASIGNATURAS!$B$2:$J$91,9,FALSE()),""))</f>
      </c>
    </row>
    <row r="4609">
      <c r="F4609">
        <f>IF(DATOS!$A4609="","",DATOS!$A4609&amp;"|"&amp;DATOS!$D4609&amp;"|"&amp;DATOS!$E4609&amp;"|"&amp;DATOS!$I4609)</f>
      </c>
      <c r="G4609">
        <f>IF(DATOS!$A4609="",0,IF(CONFIG_METADATA!$B$4&lt;&gt;"OR+EX",--(DATOS!$G4609=CONFIG_METADATA!$B$4),IF(DATOS!$G4609="EX",1,IF(DATOS!$G4609="OR",--(COUNTIFS(nNIA,DATOS!$A4609,nCURSO,DATOS!$D4609,nESPEC,DATOS!$E4609,nASIG,DATOS!$I4609,nEVAL,"EX")=0),0))))</f>
      </c>
      <c r="H4609">
        <f>IF(DATOS!$G4609&lt;&gt;"EX",0,--(COUNTIFS(nNIA,DATOS!$A4609,nCURSO,DATOS!$D4609,nESPEC,DATOS!$E4609,nASIG,DATOS!$I4609,nEVAL,"OR")=0))</f>
      </c>
      <c r="I4609">
        <f>IF(DATOS!$I4609="","",IFERROR(VLOOKUP(DATOS!$I4609,CONFIG_ASIGNATURAS!$B$2:$J$91,9,FALSE()),""))</f>
      </c>
    </row>
    <row r="4610">
      <c r="F4610">
        <f>IF(DATOS!$A4610="","",DATOS!$A4610&amp;"|"&amp;DATOS!$D4610&amp;"|"&amp;DATOS!$E4610&amp;"|"&amp;DATOS!$I4610)</f>
      </c>
      <c r="G4610">
        <f>IF(DATOS!$A4610="",0,IF(CONFIG_METADATA!$B$4&lt;&gt;"OR+EX",--(DATOS!$G4610=CONFIG_METADATA!$B$4),IF(DATOS!$G4610="EX",1,IF(DATOS!$G4610="OR",--(COUNTIFS(nNIA,DATOS!$A4610,nCURSO,DATOS!$D4610,nESPEC,DATOS!$E4610,nASIG,DATOS!$I4610,nEVAL,"EX")=0),0))))</f>
      </c>
      <c r="H4610">
        <f>IF(DATOS!$G4610&lt;&gt;"EX",0,--(COUNTIFS(nNIA,DATOS!$A4610,nCURSO,DATOS!$D4610,nESPEC,DATOS!$E4610,nASIG,DATOS!$I4610,nEVAL,"OR")=0))</f>
      </c>
      <c r="I4610">
        <f>IF(DATOS!$I4610="","",IFERROR(VLOOKUP(DATOS!$I4610,CONFIG_ASIGNATURAS!$B$2:$J$91,9,FALSE()),""))</f>
      </c>
    </row>
    <row r="4611">
      <c r="F4611">
        <f>IF(DATOS!$A4611="","",DATOS!$A4611&amp;"|"&amp;DATOS!$D4611&amp;"|"&amp;DATOS!$E4611&amp;"|"&amp;DATOS!$I4611)</f>
      </c>
      <c r="G4611">
        <f>IF(DATOS!$A4611="",0,IF(CONFIG_METADATA!$B$4&lt;&gt;"OR+EX",--(DATOS!$G4611=CONFIG_METADATA!$B$4),IF(DATOS!$G4611="EX",1,IF(DATOS!$G4611="OR",--(COUNTIFS(nNIA,DATOS!$A4611,nCURSO,DATOS!$D4611,nESPEC,DATOS!$E4611,nASIG,DATOS!$I4611,nEVAL,"EX")=0),0))))</f>
      </c>
      <c r="H4611">
        <f>IF(DATOS!$G4611&lt;&gt;"EX",0,--(COUNTIFS(nNIA,DATOS!$A4611,nCURSO,DATOS!$D4611,nESPEC,DATOS!$E4611,nASIG,DATOS!$I4611,nEVAL,"OR")=0))</f>
      </c>
      <c r="I4611">
        <f>IF(DATOS!$I4611="","",IFERROR(VLOOKUP(DATOS!$I4611,CONFIG_ASIGNATURAS!$B$2:$J$91,9,FALSE()),""))</f>
      </c>
    </row>
    <row r="4612">
      <c r="F4612">
        <f>IF(DATOS!$A4612="","",DATOS!$A4612&amp;"|"&amp;DATOS!$D4612&amp;"|"&amp;DATOS!$E4612&amp;"|"&amp;DATOS!$I4612)</f>
      </c>
      <c r="G4612">
        <f>IF(DATOS!$A4612="",0,IF(CONFIG_METADATA!$B$4&lt;&gt;"OR+EX",--(DATOS!$G4612=CONFIG_METADATA!$B$4),IF(DATOS!$G4612="EX",1,IF(DATOS!$G4612="OR",--(COUNTIFS(nNIA,DATOS!$A4612,nCURSO,DATOS!$D4612,nESPEC,DATOS!$E4612,nASIG,DATOS!$I4612,nEVAL,"EX")=0),0))))</f>
      </c>
      <c r="H4612">
        <f>IF(DATOS!$G4612&lt;&gt;"EX",0,--(COUNTIFS(nNIA,DATOS!$A4612,nCURSO,DATOS!$D4612,nESPEC,DATOS!$E4612,nASIG,DATOS!$I4612,nEVAL,"OR")=0))</f>
      </c>
      <c r="I4612">
        <f>IF(DATOS!$I4612="","",IFERROR(VLOOKUP(DATOS!$I4612,CONFIG_ASIGNATURAS!$B$2:$J$91,9,FALSE()),""))</f>
      </c>
    </row>
    <row r="4613">
      <c r="F4613">
        <f>IF(DATOS!$A4613="","",DATOS!$A4613&amp;"|"&amp;DATOS!$D4613&amp;"|"&amp;DATOS!$E4613&amp;"|"&amp;DATOS!$I4613)</f>
      </c>
      <c r="G4613">
        <f>IF(DATOS!$A4613="",0,IF(CONFIG_METADATA!$B$4&lt;&gt;"OR+EX",--(DATOS!$G4613=CONFIG_METADATA!$B$4),IF(DATOS!$G4613="EX",1,IF(DATOS!$G4613="OR",--(COUNTIFS(nNIA,DATOS!$A4613,nCURSO,DATOS!$D4613,nESPEC,DATOS!$E4613,nASIG,DATOS!$I4613,nEVAL,"EX")=0),0))))</f>
      </c>
      <c r="H4613">
        <f>IF(DATOS!$G4613&lt;&gt;"EX",0,--(COUNTIFS(nNIA,DATOS!$A4613,nCURSO,DATOS!$D4613,nESPEC,DATOS!$E4613,nASIG,DATOS!$I4613,nEVAL,"OR")=0))</f>
      </c>
      <c r="I4613">
        <f>IF(DATOS!$I4613="","",IFERROR(VLOOKUP(DATOS!$I4613,CONFIG_ASIGNATURAS!$B$2:$J$91,9,FALSE()),""))</f>
      </c>
    </row>
    <row r="4614">
      <c r="F4614">
        <f>IF(DATOS!$A4614="","",DATOS!$A4614&amp;"|"&amp;DATOS!$D4614&amp;"|"&amp;DATOS!$E4614&amp;"|"&amp;DATOS!$I4614)</f>
      </c>
      <c r="G4614">
        <f>IF(DATOS!$A4614="",0,IF(CONFIG_METADATA!$B$4&lt;&gt;"OR+EX",--(DATOS!$G4614=CONFIG_METADATA!$B$4),IF(DATOS!$G4614="EX",1,IF(DATOS!$G4614="OR",--(COUNTIFS(nNIA,DATOS!$A4614,nCURSO,DATOS!$D4614,nESPEC,DATOS!$E4614,nASIG,DATOS!$I4614,nEVAL,"EX")=0),0))))</f>
      </c>
      <c r="H4614">
        <f>IF(DATOS!$G4614&lt;&gt;"EX",0,--(COUNTIFS(nNIA,DATOS!$A4614,nCURSO,DATOS!$D4614,nESPEC,DATOS!$E4614,nASIG,DATOS!$I4614,nEVAL,"OR")=0))</f>
      </c>
      <c r="I4614">
        <f>IF(DATOS!$I4614="","",IFERROR(VLOOKUP(DATOS!$I4614,CONFIG_ASIGNATURAS!$B$2:$J$91,9,FALSE()),""))</f>
      </c>
    </row>
    <row r="4615">
      <c r="F4615">
        <f>IF(DATOS!$A4615="","",DATOS!$A4615&amp;"|"&amp;DATOS!$D4615&amp;"|"&amp;DATOS!$E4615&amp;"|"&amp;DATOS!$I4615)</f>
      </c>
      <c r="G4615">
        <f>IF(DATOS!$A4615="",0,IF(CONFIG_METADATA!$B$4&lt;&gt;"OR+EX",--(DATOS!$G4615=CONFIG_METADATA!$B$4),IF(DATOS!$G4615="EX",1,IF(DATOS!$G4615="OR",--(COUNTIFS(nNIA,DATOS!$A4615,nCURSO,DATOS!$D4615,nESPEC,DATOS!$E4615,nASIG,DATOS!$I4615,nEVAL,"EX")=0),0))))</f>
      </c>
      <c r="H4615">
        <f>IF(DATOS!$G4615&lt;&gt;"EX",0,--(COUNTIFS(nNIA,DATOS!$A4615,nCURSO,DATOS!$D4615,nESPEC,DATOS!$E4615,nASIG,DATOS!$I4615,nEVAL,"OR")=0))</f>
      </c>
      <c r="I4615">
        <f>IF(DATOS!$I4615="","",IFERROR(VLOOKUP(DATOS!$I4615,CONFIG_ASIGNATURAS!$B$2:$J$91,9,FALSE()),""))</f>
      </c>
    </row>
    <row r="4616">
      <c r="F4616">
        <f>IF(DATOS!$A4616="","",DATOS!$A4616&amp;"|"&amp;DATOS!$D4616&amp;"|"&amp;DATOS!$E4616&amp;"|"&amp;DATOS!$I4616)</f>
      </c>
      <c r="G4616">
        <f>IF(DATOS!$A4616="",0,IF(CONFIG_METADATA!$B$4&lt;&gt;"OR+EX",--(DATOS!$G4616=CONFIG_METADATA!$B$4),IF(DATOS!$G4616="EX",1,IF(DATOS!$G4616="OR",--(COUNTIFS(nNIA,DATOS!$A4616,nCURSO,DATOS!$D4616,nESPEC,DATOS!$E4616,nASIG,DATOS!$I4616,nEVAL,"EX")=0),0))))</f>
      </c>
      <c r="H4616">
        <f>IF(DATOS!$G4616&lt;&gt;"EX",0,--(COUNTIFS(nNIA,DATOS!$A4616,nCURSO,DATOS!$D4616,nESPEC,DATOS!$E4616,nASIG,DATOS!$I4616,nEVAL,"OR")=0))</f>
      </c>
      <c r="I4616">
        <f>IF(DATOS!$I4616="","",IFERROR(VLOOKUP(DATOS!$I4616,CONFIG_ASIGNATURAS!$B$2:$J$91,9,FALSE()),""))</f>
      </c>
    </row>
    <row r="4617">
      <c r="F4617">
        <f>IF(DATOS!$A4617="","",DATOS!$A4617&amp;"|"&amp;DATOS!$D4617&amp;"|"&amp;DATOS!$E4617&amp;"|"&amp;DATOS!$I4617)</f>
      </c>
      <c r="G4617">
        <f>IF(DATOS!$A4617="",0,IF(CONFIG_METADATA!$B$4&lt;&gt;"OR+EX",--(DATOS!$G4617=CONFIG_METADATA!$B$4),IF(DATOS!$G4617="EX",1,IF(DATOS!$G4617="OR",--(COUNTIFS(nNIA,DATOS!$A4617,nCURSO,DATOS!$D4617,nESPEC,DATOS!$E4617,nASIG,DATOS!$I4617,nEVAL,"EX")=0),0))))</f>
      </c>
      <c r="H4617">
        <f>IF(DATOS!$G4617&lt;&gt;"EX",0,--(COUNTIFS(nNIA,DATOS!$A4617,nCURSO,DATOS!$D4617,nESPEC,DATOS!$E4617,nASIG,DATOS!$I4617,nEVAL,"OR")=0))</f>
      </c>
      <c r="I4617">
        <f>IF(DATOS!$I4617="","",IFERROR(VLOOKUP(DATOS!$I4617,CONFIG_ASIGNATURAS!$B$2:$J$91,9,FALSE()),""))</f>
      </c>
    </row>
    <row r="4618">
      <c r="F4618">
        <f>IF(DATOS!$A4618="","",DATOS!$A4618&amp;"|"&amp;DATOS!$D4618&amp;"|"&amp;DATOS!$E4618&amp;"|"&amp;DATOS!$I4618)</f>
      </c>
      <c r="G4618">
        <f>IF(DATOS!$A4618="",0,IF(CONFIG_METADATA!$B$4&lt;&gt;"OR+EX",--(DATOS!$G4618=CONFIG_METADATA!$B$4),IF(DATOS!$G4618="EX",1,IF(DATOS!$G4618="OR",--(COUNTIFS(nNIA,DATOS!$A4618,nCURSO,DATOS!$D4618,nESPEC,DATOS!$E4618,nASIG,DATOS!$I4618,nEVAL,"EX")=0),0))))</f>
      </c>
      <c r="H4618">
        <f>IF(DATOS!$G4618&lt;&gt;"EX",0,--(COUNTIFS(nNIA,DATOS!$A4618,nCURSO,DATOS!$D4618,nESPEC,DATOS!$E4618,nASIG,DATOS!$I4618,nEVAL,"OR")=0))</f>
      </c>
      <c r="I4618">
        <f>IF(DATOS!$I4618="","",IFERROR(VLOOKUP(DATOS!$I4618,CONFIG_ASIGNATURAS!$B$2:$J$91,9,FALSE()),""))</f>
      </c>
    </row>
    <row r="4619">
      <c r="F4619">
        <f>IF(DATOS!$A4619="","",DATOS!$A4619&amp;"|"&amp;DATOS!$D4619&amp;"|"&amp;DATOS!$E4619&amp;"|"&amp;DATOS!$I4619)</f>
      </c>
      <c r="G4619">
        <f>IF(DATOS!$A4619="",0,IF(CONFIG_METADATA!$B$4&lt;&gt;"OR+EX",--(DATOS!$G4619=CONFIG_METADATA!$B$4),IF(DATOS!$G4619="EX",1,IF(DATOS!$G4619="OR",--(COUNTIFS(nNIA,DATOS!$A4619,nCURSO,DATOS!$D4619,nESPEC,DATOS!$E4619,nASIG,DATOS!$I4619,nEVAL,"EX")=0),0))))</f>
      </c>
      <c r="H4619">
        <f>IF(DATOS!$G4619&lt;&gt;"EX",0,--(COUNTIFS(nNIA,DATOS!$A4619,nCURSO,DATOS!$D4619,nESPEC,DATOS!$E4619,nASIG,DATOS!$I4619,nEVAL,"OR")=0))</f>
      </c>
      <c r="I4619">
        <f>IF(DATOS!$I4619="","",IFERROR(VLOOKUP(DATOS!$I4619,CONFIG_ASIGNATURAS!$B$2:$J$91,9,FALSE()),""))</f>
      </c>
    </row>
    <row r="4620">
      <c r="F4620">
        <f>IF(DATOS!$A4620="","",DATOS!$A4620&amp;"|"&amp;DATOS!$D4620&amp;"|"&amp;DATOS!$E4620&amp;"|"&amp;DATOS!$I4620)</f>
      </c>
      <c r="G4620">
        <f>IF(DATOS!$A4620="",0,IF(CONFIG_METADATA!$B$4&lt;&gt;"OR+EX",--(DATOS!$G4620=CONFIG_METADATA!$B$4),IF(DATOS!$G4620="EX",1,IF(DATOS!$G4620="OR",--(COUNTIFS(nNIA,DATOS!$A4620,nCURSO,DATOS!$D4620,nESPEC,DATOS!$E4620,nASIG,DATOS!$I4620,nEVAL,"EX")=0),0))))</f>
      </c>
      <c r="H4620">
        <f>IF(DATOS!$G4620&lt;&gt;"EX",0,--(COUNTIFS(nNIA,DATOS!$A4620,nCURSO,DATOS!$D4620,nESPEC,DATOS!$E4620,nASIG,DATOS!$I4620,nEVAL,"OR")=0))</f>
      </c>
      <c r="I4620">
        <f>IF(DATOS!$I4620="","",IFERROR(VLOOKUP(DATOS!$I4620,CONFIG_ASIGNATURAS!$B$2:$J$91,9,FALSE()),""))</f>
      </c>
    </row>
    <row r="4621">
      <c r="F4621">
        <f>IF(DATOS!$A4621="","",DATOS!$A4621&amp;"|"&amp;DATOS!$D4621&amp;"|"&amp;DATOS!$E4621&amp;"|"&amp;DATOS!$I4621)</f>
      </c>
      <c r="G4621">
        <f>IF(DATOS!$A4621="",0,IF(CONFIG_METADATA!$B$4&lt;&gt;"OR+EX",--(DATOS!$G4621=CONFIG_METADATA!$B$4),IF(DATOS!$G4621="EX",1,IF(DATOS!$G4621="OR",--(COUNTIFS(nNIA,DATOS!$A4621,nCURSO,DATOS!$D4621,nESPEC,DATOS!$E4621,nASIG,DATOS!$I4621,nEVAL,"EX")=0),0))))</f>
      </c>
      <c r="H4621">
        <f>IF(DATOS!$G4621&lt;&gt;"EX",0,--(COUNTIFS(nNIA,DATOS!$A4621,nCURSO,DATOS!$D4621,nESPEC,DATOS!$E4621,nASIG,DATOS!$I4621,nEVAL,"OR")=0))</f>
      </c>
      <c r="I4621">
        <f>IF(DATOS!$I4621="","",IFERROR(VLOOKUP(DATOS!$I4621,CONFIG_ASIGNATURAS!$B$2:$J$91,9,FALSE()),""))</f>
      </c>
    </row>
    <row r="4622">
      <c r="F4622">
        <f>IF(DATOS!$A4622="","",DATOS!$A4622&amp;"|"&amp;DATOS!$D4622&amp;"|"&amp;DATOS!$E4622&amp;"|"&amp;DATOS!$I4622)</f>
      </c>
      <c r="G4622">
        <f>IF(DATOS!$A4622="",0,IF(CONFIG_METADATA!$B$4&lt;&gt;"OR+EX",--(DATOS!$G4622=CONFIG_METADATA!$B$4),IF(DATOS!$G4622="EX",1,IF(DATOS!$G4622="OR",--(COUNTIFS(nNIA,DATOS!$A4622,nCURSO,DATOS!$D4622,nESPEC,DATOS!$E4622,nASIG,DATOS!$I4622,nEVAL,"EX")=0),0))))</f>
      </c>
      <c r="H4622">
        <f>IF(DATOS!$G4622&lt;&gt;"EX",0,--(COUNTIFS(nNIA,DATOS!$A4622,nCURSO,DATOS!$D4622,nESPEC,DATOS!$E4622,nASIG,DATOS!$I4622,nEVAL,"OR")=0))</f>
      </c>
      <c r="I4622">
        <f>IF(DATOS!$I4622="","",IFERROR(VLOOKUP(DATOS!$I4622,CONFIG_ASIGNATURAS!$B$2:$J$91,9,FALSE()),""))</f>
      </c>
    </row>
    <row r="4623">
      <c r="F4623">
        <f>IF(DATOS!$A4623="","",DATOS!$A4623&amp;"|"&amp;DATOS!$D4623&amp;"|"&amp;DATOS!$E4623&amp;"|"&amp;DATOS!$I4623)</f>
      </c>
      <c r="G4623">
        <f>IF(DATOS!$A4623="",0,IF(CONFIG_METADATA!$B$4&lt;&gt;"OR+EX",--(DATOS!$G4623=CONFIG_METADATA!$B$4),IF(DATOS!$G4623="EX",1,IF(DATOS!$G4623="OR",--(COUNTIFS(nNIA,DATOS!$A4623,nCURSO,DATOS!$D4623,nESPEC,DATOS!$E4623,nASIG,DATOS!$I4623,nEVAL,"EX")=0),0))))</f>
      </c>
      <c r="H4623">
        <f>IF(DATOS!$G4623&lt;&gt;"EX",0,--(COUNTIFS(nNIA,DATOS!$A4623,nCURSO,DATOS!$D4623,nESPEC,DATOS!$E4623,nASIG,DATOS!$I4623,nEVAL,"OR")=0))</f>
      </c>
      <c r="I4623">
        <f>IF(DATOS!$I4623="","",IFERROR(VLOOKUP(DATOS!$I4623,CONFIG_ASIGNATURAS!$B$2:$J$91,9,FALSE()),""))</f>
      </c>
    </row>
    <row r="4624">
      <c r="F4624">
        <f>IF(DATOS!$A4624="","",DATOS!$A4624&amp;"|"&amp;DATOS!$D4624&amp;"|"&amp;DATOS!$E4624&amp;"|"&amp;DATOS!$I4624)</f>
      </c>
      <c r="G4624">
        <f>IF(DATOS!$A4624="",0,IF(CONFIG_METADATA!$B$4&lt;&gt;"OR+EX",--(DATOS!$G4624=CONFIG_METADATA!$B$4),IF(DATOS!$G4624="EX",1,IF(DATOS!$G4624="OR",--(COUNTIFS(nNIA,DATOS!$A4624,nCURSO,DATOS!$D4624,nESPEC,DATOS!$E4624,nASIG,DATOS!$I4624,nEVAL,"EX")=0),0))))</f>
      </c>
      <c r="H4624">
        <f>IF(DATOS!$G4624&lt;&gt;"EX",0,--(COUNTIFS(nNIA,DATOS!$A4624,nCURSO,DATOS!$D4624,nESPEC,DATOS!$E4624,nASIG,DATOS!$I4624,nEVAL,"OR")=0))</f>
      </c>
      <c r="I4624">
        <f>IF(DATOS!$I4624="","",IFERROR(VLOOKUP(DATOS!$I4624,CONFIG_ASIGNATURAS!$B$2:$J$91,9,FALSE()),""))</f>
      </c>
    </row>
    <row r="4625">
      <c r="F4625">
        <f>IF(DATOS!$A4625="","",DATOS!$A4625&amp;"|"&amp;DATOS!$D4625&amp;"|"&amp;DATOS!$E4625&amp;"|"&amp;DATOS!$I4625)</f>
      </c>
      <c r="G4625">
        <f>IF(DATOS!$A4625="",0,IF(CONFIG_METADATA!$B$4&lt;&gt;"OR+EX",--(DATOS!$G4625=CONFIG_METADATA!$B$4),IF(DATOS!$G4625="EX",1,IF(DATOS!$G4625="OR",--(COUNTIFS(nNIA,DATOS!$A4625,nCURSO,DATOS!$D4625,nESPEC,DATOS!$E4625,nASIG,DATOS!$I4625,nEVAL,"EX")=0),0))))</f>
      </c>
      <c r="H4625">
        <f>IF(DATOS!$G4625&lt;&gt;"EX",0,--(COUNTIFS(nNIA,DATOS!$A4625,nCURSO,DATOS!$D4625,nESPEC,DATOS!$E4625,nASIG,DATOS!$I4625,nEVAL,"OR")=0))</f>
      </c>
      <c r="I4625">
        <f>IF(DATOS!$I4625="","",IFERROR(VLOOKUP(DATOS!$I4625,CONFIG_ASIGNATURAS!$B$2:$J$91,9,FALSE()),""))</f>
      </c>
    </row>
    <row r="4626">
      <c r="F4626">
        <f>IF(DATOS!$A4626="","",DATOS!$A4626&amp;"|"&amp;DATOS!$D4626&amp;"|"&amp;DATOS!$E4626&amp;"|"&amp;DATOS!$I4626)</f>
      </c>
      <c r="G4626">
        <f>IF(DATOS!$A4626="",0,IF(CONFIG_METADATA!$B$4&lt;&gt;"OR+EX",--(DATOS!$G4626=CONFIG_METADATA!$B$4),IF(DATOS!$G4626="EX",1,IF(DATOS!$G4626="OR",--(COUNTIFS(nNIA,DATOS!$A4626,nCURSO,DATOS!$D4626,nESPEC,DATOS!$E4626,nASIG,DATOS!$I4626,nEVAL,"EX")=0),0))))</f>
      </c>
      <c r="H4626">
        <f>IF(DATOS!$G4626&lt;&gt;"EX",0,--(COUNTIFS(nNIA,DATOS!$A4626,nCURSO,DATOS!$D4626,nESPEC,DATOS!$E4626,nASIG,DATOS!$I4626,nEVAL,"OR")=0))</f>
      </c>
      <c r="I4626">
        <f>IF(DATOS!$I4626="","",IFERROR(VLOOKUP(DATOS!$I4626,CONFIG_ASIGNATURAS!$B$2:$J$91,9,FALSE()),""))</f>
      </c>
    </row>
    <row r="4627">
      <c r="F4627">
        <f>IF(DATOS!$A4627="","",DATOS!$A4627&amp;"|"&amp;DATOS!$D4627&amp;"|"&amp;DATOS!$E4627&amp;"|"&amp;DATOS!$I4627)</f>
      </c>
      <c r="G4627">
        <f>IF(DATOS!$A4627="",0,IF(CONFIG_METADATA!$B$4&lt;&gt;"OR+EX",--(DATOS!$G4627=CONFIG_METADATA!$B$4),IF(DATOS!$G4627="EX",1,IF(DATOS!$G4627="OR",--(COUNTIFS(nNIA,DATOS!$A4627,nCURSO,DATOS!$D4627,nESPEC,DATOS!$E4627,nASIG,DATOS!$I4627,nEVAL,"EX")=0),0))))</f>
      </c>
      <c r="H4627">
        <f>IF(DATOS!$G4627&lt;&gt;"EX",0,--(COUNTIFS(nNIA,DATOS!$A4627,nCURSO,DATOS!$D4627,nESPEC,DATOS!$E4627,nASIG,DATOS!$I4627,nEVAL,"OR")=0))</f>
      </c>
      <c r="I4627">
        <f>IF(DATOS!$I4627="","",IFERROR(VLOOKUP(DATOS!$I4627,CONFIG_ASIGNATURAS!$B$2:$J$91,9,FALSE()),""))</f>
      </c>
    </row>
    <row r="4628">
      <c r="F4628">
        <f>IF(DATOS!$A4628="","",DATOS!$A4628&amp;"|"&amp;DATOS!$D4628&amp;"|"&amp;DATOS!$E4628&amp;"|"&amp;DATOS!$I4628)</f>
      </c>
      <c r="G4628">
        <f>IF(DATOS!$A4628="",0,IF(CONFIG_METADATA!$B$4&lt;&gt;"OR+EX",--(DATOS!$G4628=CONFIG_METADATA!$B$4),IF(DATOS!$G4628="EX",1,IF(DATOS!$G4628="OR",--(COUNTIFS(nNIA,DATOS!$A4628,nCURSO,DATOS!$D4628,nESPEC,DATOS!$E4628,nASIG,DATOS!$I4628,nEVAL,"EX")=0),0))))</f>
      </c>
      <c r="H4628">
        <f>IF(DATOS!$G4628&lt;&gt;"EX",0,--(COUNTIFS(nNIA,DATOS!$A4628,nCURSO,DATOS!$D4628,nESPEC,DATOS!$E4628,nASIG,DATOS!$I4628,nEVAL,"OR")=0))</f>
      </c>
      <c r="I4628">
        <f>IF(DATOS!$I4628="","",IFERROR(VLOOKUP(DATOS!$I4628,CONFIG_ASIGNATURAS!$B$2:$J$91,9,FALSE()),""))</f>
      </c>
    </row>
    <row r="4629">
      <c r="F4629">
        <f>IF(DATOS!$A4629="","",DATOS!$A4629&amp;"|"&amp;DATOS!$D4629&amp;"|"&amp;DATOS!$E4629&amp;"|"&amp;DATOS!$I4629)</f>
      </c>
      <c r="G4629">
        <f>IF(DATOS!$A4629="",0,IF(CONFIG_METADATA!$B$4&lt;&gt;"OR+EX",--(DATOS!$G4629=CONFIG_METADATA!$B$4),IF(DATOS!$G4629="EX",1,IF(DATOS!$G4629="OR",--(COUNTIFS(nNIA,DATOS!$A4629,nCURSO,DATOS!$D4629,nESPEC,DATOS!$E4629,nASIG,DATOS!$I4629,nEVAL,"EX")=0),0))))</f>
      </c>
      <c r="H4629">
        <f>IF(DATOS!$G4629&lt;&gt;"EX",0,--(COUNTIFS(nNIA,DATOS!$A4629,nCURSO,DATOS!$D4629,nESPEC,DATOS!$E4629,nASIG,DATOS!$I4629,nEVAL,"OR")=0))</f>
      </c>
      <c r="I4629">
        <f>IF(DATOS!$I4629="","",IFERROR(VLOOKUP(DATOS!$I4629,CONFIG_ASIGNATURAS!$B$2:$J$91,9,FALSE()),""))</f>
      </c>
    </row>
    <row r="4630">
      <c r="F4630">
        <f>IF(DATOS!$A4630="","",DATOS!$A4630&amp;"|"&amp;DATOS!$D4630&amp;"|"&amp;DATOS!$E4630&amp;"|"&amp;DATOS!$I4630)</f>
      </c>
      <c r="G4630">
        <f>IF(DATOS!$A4630="",0,IF(CONFIG_METADATA!$B$4&lt;&gt;"OR+EX",--(DATOS!$G4630=CONFIG_METADATA!$B$4),IF(DATOS!$G4630="EX",1,IF(DATOS!$G4630="OR",--(COUNTIFS(nNIA,DATOS!$A4630,nCURSO,DATOS!$D4630,nESPEC,DATOS!$E4630,nASIG,DATOS!$I4630,nEVAL,"EX")=0),0))))</f>
      </c>
      <c r="H4630">
        <f>IF(DATOS!$G4630&lt;&gt;"EX",0,--(COUNTIFS(nNIA,DATOS!$A4630,nCURSO,DATOS!$D4630,nESPEC,DATOS!$E4630,nASIG,DATOS!$I4630,nEVAL,"OR")=0))</f>
      </c>
      <c r="I4630">
        <f>IF(DATOS!$I4630="","",IFERROR(VLOOKUP(DATOS!$I4630,CONFIG_ASIGNATURAS!$B$2:$J$91,9,FALSE()),""))</f>
      </c>
    </row>
    <row r="4631">
      <c r="F4631">
        <f>IF(DATOS!$A4631="","",DATOS!$A4631&amp;"|"&amp;DATOS!$D4631&amp;"|"&amp;DATOS!$E4631&amp;"|"&amp;DATOS!$I4631)</f>
      </c>
      <c r="G4631">
        <f>IF(DATOS!$A4631="",0,IF(CONFIG_METADATA!$B$4&lt;&gt;"OR+EX",--(DATOS!$G4631=CONFIG_METADATA!$B$4),IF(DATOS!$G4631="EX",1,IF(DATOS!$G4631="OR",--(COUNTIFS(nNIA,DATOS!$A4631,nCURSO,DATOS!$D4631,nESPEC,DATOS!$E4631,nASIG,DATOS!$I4631,nEVAL,"EX")=0),0))))</f>
      </c>
      <c r="H4631">
        <f>IF(DATOS!$G4631&lt;&gt;"EX",0,--(COUNTIFS(nNIA,DATOS!$A4631,nCURSO,DATOS!$D4631,nESPEC,DATOS!$E4631,nASIG,DATOS!$I4631,nEVAL,"OR")=0))</f>
      </c>
      <c r="I4631">
        <f>IF(DATOS!$I4631="","",IFERROR(VLOOKUP(DATOS!$I4631,CONFIG_ASIGNATURAS!$B$2:$J$91,9,FALSE()),""))</f>
      </c>
    </row>
    <row r="4632">
      <c r="F4632">
        <f>IF(DATOS!$A4632="","",DATOS!$A4632&amp;"|"&amp;DATOS!$D4632&amp;"|"&amp;DATOS!$E4632&amp;"|"&amp;DATOS!$I4632)</f>
      </c>
      <c r="G4632">
        <f>IF(DATOS!$A4632="",0,IF(CONFIG_METADATA!$B$4&lt;&gt;"OR+EX",--(DATOS!$G4632=CONFIG_METADATA!$B$4),IF(DATOS!$G4632="EX",1,IF(DATOS!$G4632="OR",--(COUNTIFS(nNIA,DATOS!$A4632,nCURSO,DATOS!$D4632,nESPEC,DATOS!$E4632,nASIG,DATOS!$I4632,nEVAL,"EX")=0),0))))</f>
      </c>
      <c r="H4632">
        <f>IF(DATOS!$G4632&lt;&gt;"EX",0,--(COUNTIFS(nNIA,DATOS!$A4632,nCURSO,DATOS!$D4632,nESPEC,DATOS!$E4632,nASIG,DATOS!$I4632,nEVAL,"OR")=0))</f>
      </c>
      <c r="I4632">
        <f>IF(DATOS!$I4632="","",IFERROR(VLOOKUP(DATOS!$I4632,CONFIG_ASIGNATURAS!$B$2:$J$91,9,FALSE()),""))</f>
      </c>
    </row>
    <row r="4633">
      <c r="F4633">
        <f>IF(DATOS!$A4633="","",DATOS!$A4633&amp;"|"&amp;DATOS!$D4633&amp;"|"&amp;DATOS!$E4633&amp;"|"&amp;DATOS!$I4633)</f>
      </c>
      <c r="G4633">
        <f>IF(DATOS!$A4633="",0,IF(CONFIG_METADATA!$B$4&lt;&gt;"OR+EX",--(DATOS!$G4633=CONFIG_METADATA!$B$4),IF(DATOS!$G4633="EX",1,IF(DATOS!$G4633="OR",--(COUNTIFS(nNIA,DATOS!$A4633,nCURSO,DATOS!$D4633,nESPEC,DATOS!$E4633,nASIG,DATOS!$I4633,nEVAL,"EX")=0),0))))</f>
      </c>
      <c r="H4633">
        <f>IF(DATOS!$G4633&lt;&gt;"EX",0,--(COUNTIFS(nNIA,DATOS!$A4633,nCURSO,DATOS!$D4633,nESPEC,DATOS!$E4633,nASIG,DATOS!$I4633,nEVAL,"OR")=0))</f>
      </c>
      <c r="I4633">
        <f>IF(DATOS!$I4633="","",IFERROR(VLOOKUP(DATOS!$I4633,CONFIG_ASIGNATURAS!$B$2:$J$91,9,FALSE()),""))</f>
      </c>
    </row>
    <row r="4634">
      <c r="F4634">
        <f>IF(DATOS!$A4634="","",DATOS!$A4634&amp;"|"&amp;DATOS!$D4634&amp;"|"&amp;DATOS!$E4634&amp;"|"&amp;DATOS!$I4634)</f>
      </c>
      <c r="G4634">
        <f>IF(DATOS!$A4634="",0,IF(CONFIG_METADATA!$B$4&lt;&gt;"OR+EX",--(DATOS!$G4634=CONFIG_METADATA!$B$4),IF(DATOS!$G4634="EX",1,IF(DATOS!$G4634="OR",--(COUNTIFS(nNIA,DATOS!$A4634,nCURSO,DATOS!$D4634,nESPEC,DATOS!$E4634,nASIG,DATOS!$I4634,nEVAL,"EX")=0),0))))</f>
      </c>
      <c r="H4634">
        <f>IF(DATOS!$G4634&lt;&gt;"EX",0,--(COUNTIFS(nNIA,DATOS!$A4634,nCURSO,DATOS!$D4634,nESPEC,DATOS!$E4634,nASIG,DATOS!$I4634,nEVAL,"OR")=0))</f>
      </c>
      <c r="I4634">
        <f>IF(DATOS!$I4634="","",IFERROR(VLOOKUP(DATOS!$I4634,CONFIG_ASIGNATURAS!$B$2:$J$91,9,FALSE()),""))</f>
      </c>
    </row>
    <row r="4635">
      <c r="F4635">
        <f>IF(DATOS!$A4635="","",DATOS!$A4635&amp;"|"&amp;DATOS!$D4635&amp;"|"&amp;DATOS!$E4635&amp;"|"&amp;DATOS!$I4635)</f>
      </c>
      <c r="G4635">
        <f>IF(DATOS!$A4635="",0,IF(CONFIG_METADATA!$B$4&lt;&gt;"OR+EX",--(DATOS!$G4635=CONFIG_METADATA!$B$4),IF(DATOS!$G4635="EX",1,IF(DATOS!$G4635="OR",--(COUNTIFS(nNIA,DATOS!$A4635,nCURSO,DATOS!$D4635,nESPEC,DATOS!$E4635,nASIG,DATOS!$I4635,nEVAL,"EX")=0),0))))</f>
      </c>
      <c r="H4635">
        <f>IF(DATOS!$G4635&lt;&gt;"EX",0,--(COUNTIFS(nNIA,DATOS!$A4635,nCURSO,DATOS!$D4635,nESPEC,DATOS!$E4635,nASIG,DATOS!$I4635,nEVAL,"OR")=0))</f>
      </c>
      <c r="I4635">
        <f>IF(DATOS!$I4635="","",IFERROR(VLOOKUP(DATOS!$I4635,CONFIG_ASIGNATURAS!$B$2:$J$91,9,FALSE()),""))</f>
      </c>
    </row>
    <row r="4636">
      <c r="F4636">
        <f>IF(DATOS!$A4636="","",DATOS!$A4636&amp;"|"&amp;DATOS!$D4636&amp;"|"&amp;DATOS!$E4636&amp;"|"&amp;DATOS!$I4636)</f>
      </c>
      <c r="G4636">
        <f>IF(DATOS!$A4636="",0,IF(CONFIG_METADATA!$B$4&lt;&gt;"OR+EX",--(DATOS!$G4636=CONFIG_METADATA!$B$4),IF(DATOS!$G4636="EX",1,IF(DATOS!$G4636="OR",--(COUNTIFS(nNIA,DATOS!$A4636,nCURSO,DATOS!$D4636,nESPEC,DATOS!$E4636,nASIG,DATOS!$I4636,nEVAL,"EX")=0),0))))</f>
      </c>
      <c r="H4636">
        <f>IF(DATOS!$G4636&lt;&gt;"EX",0,--(COUNTIFS(nNIA,DATOS!$A4636,nCURSO,DATOS!$D4636,nESPEC,DATOS!$E4636,nASIG,DATOS!$I4636,nEVAL,"OR")=0))</f>
      </c>
      <c r="I4636">
        <f>IF(DATOS!$I4636="","",IFERROR(VLOOKUP(DATOS!$I4636,CONFIG_ASIGNATURAS!$B$2:$J$91,9,FALSE()),""))</f>
      </c>
    </row>
    <row r="4637">
      <c r="F4637">
        <f>IF(DATOS!$A4637="","",DATOS!$A4637&amp;"|"&amp;DATOS!$D4637&amp;"|"&amp;DATOS!$E4637&amp;"|"&amp;DATOS!$I4637)</f>
      </c>
      <c r="G4637">
        <f>IF(DATOS!$A4637="",0,IF(CONFIG_METADATA!$B$4&lt;&gt;"OR+EX",--(DATOS!$G4637=CONFIG_METADATA!$B$4),IF(DATOS!$G4637="EX",1,IF(DATOS!$G4637="OR",--(COUNTIFS(nNIA,DATOS!$A4637,nCURSO,DATOS!$D4637,nESPEC,DATOS!$E4637,nASIG,DATOS!$I4637,nEVAL,"EX")=0),0))))</f>
      </c>
      <c r="H4637">
        <f>IF(DATOS!$G4637&lt;&gt;"EX",0,--(COUNTIFS(nNIA,DATOS!$A4637,nCURSO,DATOS!$D4637,nESPEC,DATOS!$E4637,nASIG,DATOS!$I4637,nEVAL,"OR")=0))</f>
      </c>
      <c r="I4637">
        <f>IF(DATOS!$I4637="","",IFERROR(VLOOKUP(DATOS!$I4637,CONFIG_ASIGNATURAS!$B$2:$J$91,9,FALSE()),""))</f>
      </c>
    </row>
    <row r="4638">
      <c r="F4638">
        <f>IF(DATOS!$A4638="","",DATOS!$A4638&amp;"|"&amp;DATOS!$D4638&amp;"|"&amp;DATOS!$E4638&amp;"|"&amp;DATOS!$I4638)</f>
      </c>
      <c r="G4638">
        <f>IF(DATOS!$A4638="",0,IF(CONFIG_METADATA!$B$4&lt;&gt;"OR+EX",--(DATOS!$G4638=CONFIG_METADATA!$B$4),IF(DATOS!$G4638="EX",1,IF(DATOS!$G4638="OR",--(COUNTIFS(nNIA,DATOS!$A4638,nCURSO,DATOS!$D4638,nESPEC,DATOS!$E4638,nASIG,DATOS!$I4638,nEVAL,"EX")=0),0))))</f>
      </c>
      <c r="H4638">
        <f>IF(DATOS!$G4638&lt;&gt;"EX",0,--(COUNTIFS(nNIA,DATOS!$A4638,nCURSO,DATOS!$D4638,nESPEC,DATOS!$E4638,nASIG,DATOS!$I4638,nEVAL,"OR")=0))</f>
      </c>
      <c r="I4638">
        <f>IF(DATOS!$I4638="","",IFERROR(VLOOKUP(DATOS!$I4638,CONFIG_ASIGNATURAS!$B$2:$J$91,9,FALSE()),""))</f>
      </c>
    </row>
    <row r="4639">
      <c r="F4639">
        <f>IF(DATOS!$A4639="","",DATOS!$A4639&amp;"|"&amp;DATOS!$D4639&amp;"|"&amp;DATOS!$E4639&amp;"|"&amp;DATOS!$I4639)</f>
      </c>
      <c r="G4639">
        <f>IF(DATOS!$A4639="",0,IF(CONFIG_METADATA!$B$4&lt;&gt;"OR+EX",--(DATOS!$G4639=CONFIG_METADATA!$B$4),IF(DATOS!$G4639="EX",1,IF(DATOS!$G4639="OR",--(COUNTIFS(nNIA,DATOS!$A4639,nCURSO,DATOS!$D4639,nESPEC,DATOS!$E4639,nASIG,DATOS!$I4639,nEVAL,"EX")=0),0))))</f>
      </c>
      <c r="H4639">
        <f>IF(DATOS!$G4639&lt;&gt;"EX",0,--(COUNTIFS(nNIA,DATOS!$A4639,nCURSO,DATOS!$D4639,nESPEC,DATOS!$E4639,nASIG,DATOS!$I4639,nEVAL,"OR")=0))</f>
      </c>
      <c r="I4639">
        <f>IF(DATOS!$I4639="","",IFERROR(VLOOKUP(DATOS!$I4639,CONFIG_ASIGNATURAS!$B$2:$J$91,9,FALSE()),""))</f>
      </c>
    </row>
    <row r="4640">
      <c r="F4640">
        <f>IF(DATOS!$A4640="","",DATOS!$A4640&amp;"|"&amp;DATOS!$D4640&amp;"|"&amp;DATOS!$E4640&amp;"|"&amp;DATOS!$I4640)</f>
      </c>
      <c r="G4640">
        <f>IF(DATOS!$A4640="",0,IF(CONFIG_METADATA!$B$4&lt;&gt;"OR+EX",--(DATOS!$G4640=CONFIG_METADATA!$B$4),IF(DATOS!$G4640="EX",1,IF(DATOS!$G4640="OR",--(COUNTIFS(nNIA,DATOS!$A4640,nCURSO,DATOS!$D4640,nESPEC,DATOS!$E4640,nASIG,DATOS!$I4640,nEVAL,"EX")=0),0))))</f>
      </c>
      <c r="H4640">
        <f>IF(DATOS!$G4640&lt;&gt;"EX",0,--(COUNTIFS(nNIA,DATOS!$A4640,nCURSO,DATOS!$D4640,nESPEC,DATOS!$E4640,nASIG,DATOS!$I4640,nEVAL,"OR")=0))</f>
      </c>
      <c r="I4640">
        <f>IF(DATOS!$I4640="","",IFERROR(VLOOKUP(DATOS!$I4640,CONFIG_ASIGNATURAS!$B$2:$J$91,9,FALSE()),""))</f>
      </c>
    </row>
    <row r="4641">
      <c r="F4641">
        <f>IF(DATOS!$A4641="","",DATOS!$A4641&amp;"|"&amp;DATOS!$D4641&amp;"|"&amp;DATOS!$E4641&amp;"|"&amp;DATOS!$I4641)</f>
      </c>
      <c r="G4641">
        <f>IF(DATOS!$A4641="",0,IF(CONFIG_METADATA!$B$4&lt;&gt;"OR+EX",--(DATOS!$G4641=CONFIG_METADATA!$B$4),IF(DATOS!$G4641="EX",1,IF(DATOS!$G4641="OR",--(COUNTIFS(nNIA,DATOS!$A4641,nCURSO,DATOS!$D4641,nESPEC,DATOS!$E4641,nASIG,DATOS!$I4641,nEVAL,"EX")=0),0))))</f>
      </c>
      <c r="H4641">
        <f>IF(DATOS!$G4641&lt;&gt;"EX",0,--(COUNTIFS(nNIA,DATOS!$A4641,nCURSO,DATOS!$D4641,nESPEC,DATOS!$E4641,nASIG,DATOS!$I4641,nEVAL,"OR")=0))</f>
      </c>
      <c r="I4641">
        <f>IF(DATOS!$I4641="","",IFERROR(VLOOKUP(DATOS!$I4641,CONFIG_ASIGNATURAS!$B$2:$J$91,9,FALSE()),""))</f>
      </c>
    </row>
    <row r="4642">
      <c r="F4642">
        <f>IF(DATOS!$A4642="","",DATOS!$A4642&amp;"|"&amp;DATOS!$D4642&amp;"|"&amp;DATOS!$E4642&amp;"|"&amp;DATOS!$I4642)</f>
      </c>
      <c r="G4642">
        <f>IF(DATOS!$A4642="",0,IF(CONFIG_METADATA!$B$4&lt;&gt;"OR+EX",--(DATOS!$G4642=CONFIG_METADATA!$B$4),IF(DATOS!$G4642="EX",1,IF(DATOS!$G4642="OR",--(COUNTIFS(nNIA,DATOS!$A4642,nCURSO,DATOS!$D4642,nESPEC,DATOS!$E4642,nASIG,DATOS!$I4642,nEVAL,"EX")=0),0))))</f>
      </c>
      <c r="H4642">
        <f>IF(DATOS!$G4642&lt;&gt;"EX",0,--(COUNTIFS(nNIA,DATOS!$A4642,nCURSO,DATOS!$D4642,nESPEC,DATOS!$E4642,nASIG,DATOS!$I4642,nEVAL,"OR")=0))</f>
      </c>
      <c r="I4642">
        <f>IF(DATOS!$I4642="","",IFERROR(VLOOKUP(DATOS!$I4642,CONFIG_ASIGNATURAS!$B$2:$J$91,9,FALSE()),""))</f>
      </c>
    </row>
    <row r="4643">
      <c r="F4643">
        <f>IF(DATOS!$A4643="","",DATOS!$A4643&amp;"|"&amp;DATOS!$D4643&amp;"|"&amp;DATOS!$E4643&amp;"|"&amp;DATOS!$I4643)</f>
      </c>
      <c r="G4643">
        <f>IF(DATOS!$A4643="",0,IF(CONFIG_METADATA!$B$4&lt;&gt;"OR+EX",--(DATOS!$G4643=CONFIG_METADATA!$B$4),IF(DATOS!$G4643="EX",1,IF(DATOS!$G4643="OR",--(COUNTIFS(nNIA,DATOS!$A4643,nCURSO,DATOS!$D4643,nESPEC,DATOS!$E4643,nASIG,DATOS!$I4643,nEVAL,"EX")=0),0))))</f>
      </c>
      <c r="H4643">
        <f>IF(DATOS!$G4643&lt;&gt;"EX",0,--(COUNTIFS(nNIA,DATOS!$A4643,nCURSO,DATOS!$D4643,nESPEC,DATOS!$E4643,nASIG,DATOS!$I4643,nEVAL,"OR")=0))</f>
      </c>
      <c r="I4643">
        <f>IF(DATOS!$I4643="","",IFERROR(VLOOKUP(DATOS!$I4643,CONFIG_ASIGNATURAS!$B$2:$J$91,9,FALSE()),""))</f>
      </c>
    </row>
    <row r="4644">
      <c r="F4644">
        <f>IF(DATOS!$A4644="","",DATOS!$A4644&amp;"|"&amp;DATOS!$D4644&amp;"|"&amp;DATOS!$E4644&amp;"|"&amp;DATOS!$I4644)</f>
      </c>
      <c r="G4644">
        <f>IF(DATOS!$A4644="",0,IF(CONFIG_METADATA!$B$4&lt;&gt;"OR+EX",--(DATOS!$G4644=CONFIG_METADATA!$B$4),IF(DATOS!$G4644="EX",1,IF(DATOS!$G4644="OR",--(COUNTIFS(nNIA,DATOS!$A4644,nCURSO,DATOS!$D4644,nESPEC,DATOS!$E4644,nASIG,DATOS!$I4644,nEVAL,"EX")=0),0))))</f>
      </c>
      <c r="H4644">
        <f>IF(DATOS!$G4644&lt;&gt;"EX",0,--(COUNTIFS(nNIA,DATOS!$A4644,nCURSO,DATOS!$D4644,nESPEC,DATOS!$E4644,nASIG,DATOS!$I4644,nEVAL,"OR")=0))</f>
      </c>
      <c r="I4644">
        <f>IF(DATOS!$I4644="","",IFERROR(VLOOKUP(DATOS!$I4644,CONFIG_ASIGNATURAS!$B$2:$J$91,9,FALSE()),""))</f>
      </c>
    </row>
    <row r="4645">
      <c r="F4645">
        <f>IF(DATOS!$A4645="","",DATOS!$A4645&amp;"|"&amp;DATOS!$D4645&amp;"|"&amp;DATOS!$E4645&amp;"|"&amp;DATOS!$I4645)</f>
      </c>
      <c r="G4645">
        <f>IF(DATOS!$A4645="",0,IF(CONFIG_METADATA!$B$4&lt;&gt;"OR+EX",--(DATOS!$G4645=CONFIG_METADATA!$B$4),IF(DATOS!$G4645="EX",1,IF(DATOS!$G4645="OR",--(COUNTIFS(nNIA,DATOS!$A4645,nCURSO,DATOS!$D4645,nESPEC,DATOS!$E4645,nASIG,DATOS!$I4645,nEVAL,"EX")=0),0))))</f>
      </c>
      <c r="H4645">
        <f>IF(DATOS!$G4645&lt;&gt;"EX",0,--(COUNTIFS(nNIA,DATOS!$A4645,nCURSO,DATOS!$D4645,nESPEC,DATOS!$E4645,nASIG,DATOS!$I4645,nEVAL,"OR")=0))</f>
      </c>
      <c r="I4645">
        <f>IF(DATOS!$I4645="","",IFERROR(VLOOKUP(DATOS!$I4645,CONFIG_ASIGNATURAS!$B$2:$J$91,9,FALSE()),""))</f>
      </c>
    </row>
    <row r="4646">
      <c r="F4646">
        <f>IF(DATOS!$A4646="","",DATOS!$A4646&amp;"|"&amp;DATOS!$D4646&amp;"|"&amp;DATOS!$E4646&amp;"|"&amp;DATOS!$I4646)</f>
      </c>
      <c r="G4646">
        <f>IF(DATOS!$A4646="",0,IF(CONFIG_METADATA!$B$4&lt;&gt;"OR+EX",--(DATOS!$G4646=CONFIG_METADATA!$B$4),IF(DATOS!$G4646="EX",1,IF(DATOS!$G4646="OR",--(COUNTIFS(nNIA,DATOS!$A4646,nCURSO,DATOS!$D4646,nESPEC,DATOS!$E4646,nASIG,DATOS!$I4646,nEVAL,"EX")=0),0))))</f>
      </c>
      <c r="H4646">
        <f>IF(DATOS!$G4646&lt;&gt;"EX",0,--(COUNTIFS(nNIA,DATOS!$A4646,nCURSO,DATOS!$D4646,nESPEC,DATOS!$E4646,nASIG,DATOS!$I4646,nEVAL,"OR")=0))</f>
      </c>
      <c r="I4646">
        <f>IF(DATOS!$I4646="","",IFERROR(VLOOKUP(DATOS!$I4646,CONFIG_ASIGNATURAS!$B$2:$J$91,9,FALSE()),""))</f>
      </c>
    </row>
    <row r="4647">
      <c r="F4647">
        <f>IF(DATOS!$A4647="","",DATOS!$A4647&amp;"|"&amp;DATOS!$D4647&amp;"|"&amp;DATOS!$E4647&amp;"|"&amp;DATOS!$I4647)</f>
      </c>
      <c r="G4647">
        <f>IF(DATOS!$A4647="",0,IF(CONFIG_METADATA!$B$4&lt;&gt;"OR+EX",--(DATOS!$G4647=CONFIG_METADATA!$B$4),IF(DATOS!$G4647="EX",1,IF(DATOS!$G4647="OR",--(COUNTIFS(nNIA,DATOS!$A4647,nCURSO,DATOS!$D4647,nESPEC,DATOS!$E4647,nASIG,DATOS!$I4647,nEVAL,"EX")=0),0))))</f>
      </c>
      <c r="H4647">
        <f>IF(DATOS!$G4647&lt;&gt;"EX",0,--(COUNTIFS(nNIA,DATOS!$A4647,nCURSO,DATOS!$D4647,nESPEC,DATOS!$E4647,nASIG,DATOS!$I4647,nEVAL,"OR")=0))</f>
      </c>
      <c r="I4647">
        <f>IF(DATOS!$I4647="","",IFERROR(VLOOKUP(DATOS!$I4647,CONFIG_ASIGNATURAS!$B$2:$J$91,9,FALSE()),""))</f>
      </c>
    </row>
    <row r="4648">
      <c r="F4648">
        <f>IF(DATOS!$A4648="","",DATOS!$A4648&amp;"|"&amp;DATOS!$D4648&amp;"|"&amp;DATOS!$E4648&amp;"|"&amp;DATOS!$I4648)</f>
      </c>
      <c r="G4648">
        <f>IF(DATOS!$A4648="",0,IF(CONFIG_METADATA!$B$4&lt;&gt;"OR+EX",--(DATOS!$G4648=CONFIG_METADATA!$B$4),IF(DATOS!$G4648="EX",1,IF(DATOS!$G4648="OR",--(COUNTIFS(nNIA,DATOS!$A4648,nCURSO,DATOS!$D4648,nESPEC,DATOS!$E4648,nASIG,DATOS!$I4648,nEVAL,"EX")=0),0))))</f>
      </c>
      <c r="H4648">
        <f>IF(DATOS!$G4648&lt;&gt;"EX",0,--(COUNTIFS(nNIA,DATOS!$A4648,nCURSO,DATOS!$D4648,nESPEC,DATOS!$E4648,nASIG,DATOS!$I4648,nEVAL,"OR")=0))</f>
      </c>
      <c r="I4648">
        <f>IF(DATOS!$I4648="","",IFERROR(VLOOKUP(DATOS!$I4648,CONFIG_ASIGNATURAS!$B$2:$J$91,9,FALSE()),""))</f>
      </c>
    </row>
    <row r="4649">
      <c r="F4649">
        <f>IF(DATOS!$A4649="","",DATOS!$A4649&amp;"|"&amp;DATOS!$D4649&amp;"|"&amp;DATOS!$E4649&amp;"|"&amp;DATOS!$I4649)</f>
      </c>
      <c r="G4649">
        <f>IF(DATOS!$A4649="",0,IF(CONFIG_METADATA!$B$4&lt;&gt;"OR+EX",--(DATOS!$G4649=CONFIG_METADATA!$B$4),IF(DATOS!$G4649="EX",1,IF(DATOS!$G4649="OR",--(COUNTIFS(nNIA,DATOS!$A4649,nCURSO,DATOS!$D4649,nESPEC,DATOS!$E4649,nASIG,DATOS!$I4649,nEVAL,"EX")=0),0))))</f>
      </c>
      <c r="H4649">
        <f>IF(DATOS!$G4649&lt;&gt;"EX",0,--(COUNTIFS(nNIA,DATOS!$A4649,nCURSO,DATOS!$D4649,nESPEC,DATOS!$E4649,nASIG,DATOS!$I4649,nEVAL,"OR")=0))</f>
      </c>
      <c r="I4649">
        <f>IF(DATOS!$I4649="","",IFERROR(VLOOKUP(DATOS!$I4649,CONFIG_ASIGNATURAS!$B$2:$J$91,9,FALSE()),""))</f>
      </c>
    </row>
    <row r="4650">
      <c r="F4650">
        <f>IF(DATOS!$A4650="","",DATOS!$A4650&amp;"|"&amp;DATOS!$D4650&amp;"|"&amp;DATOS!$E4650&amp;"|"&amp;DATOS!$I4650)</f>
      </c>
      <c r="G4650">
        <f>IF(DATOS!$A4650="",0,IF(CONFIG_METADATA!$B$4&lt;&gt;"OR+EX",--(DATOS!$G4650=CONFIG_METADATA!$B$4),IF(DATOS!$G4650="EX",1,IF(DATOS!$G4650="OR",--(COUNTIFS(nNIA,DATOS!$A4650,nCURSO,DATOS!$D4650,nESPEC,DATOS!$E4650,nASIG,DATOS!$I4650,nEVAL,"EX")=0),0))))</f>
      </c>
      <c r="H4650">
        <f>IF(DATOS!$G4650&lt;&gt;"EX",0,--(COUNTIFS(nNIA,DATOS!$A4650,nCURSO,DATOS!$D4650,nESPEC,DATOS!$E4650,nASIG,DATOS!$I4650,nEVAL,"OR")=0))</f>
      </c>
      <c r="I4650">
        <f>IF(DATOS!$I4650="","",IFERROR(VLOOKUP(DATOS!$I4650,CONFIG_ASIGNATURAS!$B$2:$J$91,9,FALSE()),""))</f>
      </c>
    </row>
    <row r="4651">
      <c r="F4651">
        <f>IF(DATOS!$A4651="","",DATOS!$A4651&amp;"|"&amp;DATOS!$D4651&amp;"|"&amp;DATOS!$E4651&amp;"|"&amp;DATOS!$I4651)</f>
      </c>
      <c r="G4651">
        <f>IF(DATOS!$A4651="",0,IF(CONFIG_METADATA!$B$4&lt;&gt;"OR+EX",--(DATOS!$G4651=CONFIG_METADATA!$B$4),IF(DATOS!$G4651="EX",1,IF(DATOS!$G4651="OR",--(COUNTIFS(nNIA,DATOS!$A4651,nCURSO,DATOS!$D4651,nESPEC,DATOS!$E4651,nASIG,DATOS!$I4651,nEVAL,"EX")=0),0))))</f>
      </c>
      <c r="H4651">
        <f>IF(DATOS!$G4651&lt;&gt;"EX",0,--(COUNTIFS(nNIA,DATOS!$A4651,nCURSO,DATOS!$D4651,nESPEC,DATOS!$E4651,nASIG,DATOS!$I4651,nEVAL,"OR")=0))</f>
      </c>
      <c r="I4651">
        <f>IF(DATOS!$I4651="","",IFERROR(VLOOKUP(DATOS!$I4651,CONFIG_ASIGNATURAS!$B$2:$J$91,9,FALSE()),""))</f>
      </c>
    </row>
    <row r="4652">
      <c r="F4652">
        <f>IF(DATOS!$A4652="","",DATOS!$A4652&amp;"|"&amp;DATOS!$D4652&amp;"|"&amp;DATOS!$E4652&amp;"|"&amp;DATOS!$I4652)</f>
      </c>
      <c r="G4652">
        <f>IF(DATOS!$A4652="",0,IF(CONFIG_METADATA!$B$4&lt;&gt;"OR+EX",--(DATOS!$G4652=CONFIG_METADATA!$B$4),IF(DATOS!$G4652="EX",1,IF(DATOS!$G4652="OR",--(COUNTIFS(nNIA,DATOS!$A4652,nCURSO,DATOS!$D4652,nESPEC,DATOS!$E4652,nASIG,DATOS!$I4652,nEVAL,"EX")=0),0))))</f>
      </c>
      <c r="H4652">
        <f>IF(DATOS!$G4652&lt;&gt;"EX",0,--(COUNTIFS(nNIA,DATOS!$A4652,nCURSO,DATOS!$D4652,nESPEC,DATOS!$E4652,nASIG,DATOS!$I4652,nEVAL,"OR")=0))</f>
      </c>
      <c r="I4652">
        <f>IF(DATOS!$I4652="","",IFERROR(VLOOKUP(DATOS!$I4652,CONFIG_ASIGNATURAS!$B$2:$J$91,9,FALSE()),""))</f>
      </c>
    </row>
    <row r="4653">
      <c r="F4653">
        <f>IF(DATOS!$A4653="","",DATOS!$A4653&amp;"|"&amp;DATOS!$D4653&amp;"|"&amp;DATOS!$E4653&amp;"|"&amp;DATOS!$I4653)</f>
      </c>
      <c r="G4653">
        <f>IF(DATOS!$A4653="",0,IF(CONFIG_METADATA!$B$4&lt;&gt;"OR+EX",--(DATOS!$G4653=CONFIG_METADATA!$B$4),IF(DATOS!$G4653="EX",1,IF(DATOS!$G4653="OR",--(COUNTIFS(nNIA,DATOS!$A4653,nCURSO,DATOS!$D4653,nESPEC,DATOS!$E4653,nASIG,DATOS!$I4653,nEVAL,"EX")=0),0))))</f>
      </c>
      <c r="H4653">
        <f>IF(DATOS!$G4653&lt;&gt;"EX",0,--(COUNTIFS(nNIA,DATOS!$A4653,nCURSO,DATOS!$D4653,nESPEC,DATOS!$E4653,nASIG,DATOS!$I4653,nEVAL,"OR")=0))</f>
      </c>
      <c r="I4653">
        <f>IF(DATOS!$I4653="","",IFERROR(VLOOKUP(DATOS!$I4653,CONFIG_ASIGNATURAS!$B$2:$J$91,9,FALSE()),""))</f>
      </c>
    </row>
    <row r="4654">
      <c r="F4654">
        <f>IF(DATOS!$A4654="","",DATOS!$A4654&amp;"|"&amp;DATOS!$D4654&amp;"|"&amp;DATOS!$E4654&amp;"|"&amp;DATOS!$I4654)</f>
      </c>
      <c r="G4654">
        <f>IF(DATOS!$A4654="",0,IF(CONFIG_METADATA!$B$4&lt;&gt;"OR+EX",--(DATOS!$G4654=CONFIG_METADATA!$B$4),IF(DATOS!$G4654="EX",1,IF(DATOS!$G4654="OR",--(COUNTIFS(nNIA,DATOS!$A4654,nCURSO,DATOS!$D4654,nESPEC,DATOS!$E4654,nASIG,DATOS!$I4654,nEVAL,"EX")=0),0))))</f>
      </c>
      <c r="H4654">
        <f>IF(DATOS!$G4654&lt;&gt;"EX",0,--(COUNTIFS(nNIA,DATOS!$A4654,nCURSO,DATOS!$D4654,nESPEC,DATOS!$E4654,nASIG,DATOS!$I4654,nEVAL,"OR")=0))</f>
      </c>
      <c r="I4654">
        <f>IF(DATOS!$I4654="","",IFERROR(VLOOKUP(DATOS!$I4654,CONFIG_ASIGNATURAS!$B$2:$J$91,9,FALSE()),""))</f>
      </c>
    </row>
    <row r="4655">
      <c r="F4655">
        <f>IF(DATOS!$A4655="","",DATOS!$A4655&amp;"|"&amp;DATOS!$D4655&amp;"|"&amp;DATOS!$E4655&amp;"|"&amp;DATOS!$I4655)</f>
      </c>
      <c r="G4655">
        <f>IF(DATOS!$A4655="",0,IF(CONFIG_METADATA!$B$4&lt;&gt;"OR+EX",--(DATOS!$G4655=CONFIG_METADATA!$B$4),IF(DATOS!$G4655="EX",1,IF(DATOS!$G4655="OR",--(COUNTIFS(nNIA,DATOS!$A4655,nCURSO,DATOS!$D4655,nESPEC,DATOS!$E4655,nASIG,DATOS!$I4655,nEVAL,"EX")=0),0))))</f>
      </c>
      <c r="H4655">
        <f>IF(DATOS!$G4655&lt;&gt;"EX",0,--(COUNTIFS(nNIA,DATOS!$A4655,nCURSO,DATOS!$D4655,nESPEC,DATOS!$E4655,nASIG,DATOS!$I4655,nEVAL,"OR")=0))</f>
      </c>
      <c r="I4655">
        <f>IF(DATOS!$I4655="","",IFERROR(VLOOKUP(DATOS!$I4655,CONFIG_ASIGNATURAS!$B$2:$J$91,9,FALSE()),""))</f>
      </c>
    </row>
    <row r="4656">
      <c r="F4656">
        <f>IF(DATOS!$A4656="","",DATOS!$A4656&amp;"|"&amp;DATOS!$D4656&amp;"|"&amp;DATOS!$E4656&amp;"|"&amp;DATOS!$I4656)</f>
      </c>
      <c r="G4656">
        <f>IF(DATOS!$A4656="",0,IF(CONFIG_METADATA!$B$4&lt;&gt;"OR+EX",--(DATOS!$G4656=CONFIG_METADATA!$B$4),IF(DATOS!$G4656="EX",1,IF(DATOS!$G4656="OR",--(COUNTIFS(nNIA,DATOS!$A4656,nCURSO,DATOS!$D4656,nESPEC,DATOS!$E4656,nASIG,DATOS!$I4656,nEVAL,"EX")=0),0))))</f>
      </c>
      <c r="H4656">
        <f>IF(DATOS!$G4656&lt;&gt;"EX",0,--(COUNTIFS(nNIA,DATOS!$A4656,nCURSO,DATOS!$D4656,nESPEC,DATOS!$E4656,nASIG,DATOS!$I4656,nEVAL,"OR")=0))</f>
      </c>
      <c r="I4656">
        <f>IF(DATOS!$I4656="","",IFERROR(VLOOKUP(DATOS!$I4656,CONFIG_ASIGNATURAS!$B$2:$J$91,9,FALSE()),""))</f>
      </c>
    </row>
    <row r="4657">
      <c r="F4657">
        <f>IF(DATOS!$A4657="","",DATOS!$A4657&amp;"|"&amp;DATOS!$D4657&amp;"|"&amp;DATOS!$E4657&amp;"|"&amp;DATOS!$I4657)</f>
      </c>
      <c r="G4657">
        <f>IF(DATOS!$A4657="",0,IF(CONFIG_METADATA!$B$4&lt;&gt;"OR+EX",--(DATOS!$G4657=CONFIG_METADATA!$B$4),IF(DATOS!$G4657="EX",1,IF(DATOS!$G4657="OR",--(COUNTIFS(nNIA,DATOS!$A4657,nCURSO,DATOS!$D4657,nESPEC,DATOS!$E4657,nASIG,DATOS!$I4657,nEVAL,"EX")=0),0))))</f>
      </c>
      <c r="H4657">
        <f>IF(DATOS!$G4657&lt;&gt;"EX",0,--(COUNTIFS(nNIA,DATOS!$A4657,nCURSO,DATOS!$D4657,nESPEC,DATOS!$E4657,nASIG,DATOS!$I4657,nEVAL,"OR")=0))</f>
      </c>
      <c r="I4657">
        <f>IF(DATOS!$I4657="","",IFERROR(VLOOKUP(DATOS!$I4657,CONFIG_ASIGNATURAS!$B$2:$J$91,9,FALSE()),""))</f>
      </c>
    </row>
    <row r="4658">
      <c r="F4658">
        <f>IF(DATOS!$A4658="","",DATOS!$A4658&amp;"|"&amp;DATOS!$D4658&amp;"|"&amp;DATOS!$E4658&amp;"|"&amp;DATOS!$I4658)</f>
      </c>
      <c r="G4658">
        <f>IF(DATOS!$A4658="",0,IF(CONFIG_METADATA!$B$4&lt;&gt;"OR+EX",--(DATOS!$G4658=CONFIG_METADATA!$B$4),IF(DATOS!$G4658="EX",1,IF(DATOS!$G4658="OR",--(COUNTIFS(nNIA,DATOS!$A4658,nCURSO,DATOS!$D4658,nESPEC,DATOS!$E4658,nASIG,DATOS!$I4658,nEVAL,"EX")=0),0))))</f>
      </c>
      <c r="H4658">
        <f>IF(DATOS!$G4658&lt;&gt;"EX",0,--(COUNTIFS(nNIA,DATOS!$A4658,nCURSO,DATOS!$D4658,nESPEC,DATOS!$E4658,nASIG,DATOS!$I4658,nEVAL,"OR")=0))</f>
      </c>
      <c r="I4658">
        <f>IF(DATOS!$I4658="","",IFERROR(VLOOKUP(DATOS!$I4658,CONFIG_ASIGNATURAS!$B$2:$J$91,9,FALSE()),""))</f>
      </c>
    </row>
    <row r="4659">
      <c r="F4659">
        <f>IF(DATOS!$A4659="","",DATOS!$A4659&amp;"|"&amp;DATOS!$D4659&amp;"|"&amp;DATOS!$E4659&amp;"|"&amp;DATOS!$I4659)</f>
      </c>
      <c r="G4659">
        <f>IF(DATOS!$A4659="",0,IF(CONFIG_METADATA!$B$4&lt;&gt;"OR+EX",--(DATOS!$G4659=CONFIG_METADATA!$B$4),IF(DATOS!$G4659="EX",1,IF(DATOS!$G4659="OR",--(COUNTIFS(nNIA,DATOS!$A4659,nCURSO,DATOS!$D4659,nESPEC,DATOS!$E4659,nASIG,DATOS!$I4659,nEVAL,"EX")=0),0))))</f>
      </c>
      <c r="H4659">
        <f>IF(DATOS!$G4659&lt;&gt;"EX",0,--(COUNTIFS(nNIA,DATOS!$A4659,nCURSO,DATOS!$D4659,nESPEC,DATOS!$E4659,nASIG,DATOS!$I4659,nEVAL,"OR")=0))</f>
      </c>
      <c r="I4659">
        <f>IF(DATOS!$I4659="","",IFERROR(VLOOKUP(DATOS!$I4659,CONFIG_ASIGNATURAS!$B$2:$J$91,9,FALSE()),""))</f>
      </c>
    </row>
    <row r="4660">
      <c r="F4660">
        <f>IF(DATOS!$A4660="","",DATOS!$A4660&amp;"|"&amp;DATOS!$D4660&amp;"|"&amp;DATOS!$E4660&amp;"|"&amp;DATOS!$I4660)</f>
      </c>
      <c r="G4660">
        <f>IF(DATOS!$A4660="",0,IF(CONFIG_METADATA!$B$4&lt;&gt;"OR+EX",--(DATOS!$G4660=CONFIG_METADATA!$B$4),IF(DATOS!$G4660="EX",1,IF(DATOS!$G4660="OR",--(COUNTIFS(nNIA,DATOS!$A4660,nCURSO,DATOS!$D4660,nESPEC,DATOS!$E4660,nASIG,DATOS!$I4660,nEVAL,"EX")=0),0))))</f>
      </c>
      <c r="H4660">
        <f>IF(DATOS!$G4660&lt;&gt;"EX",0,--(COUNTIFS(nNIA,DATOS!$A4660,nCURSO,DATOS!$D4660,nESPEC,DATOS!$E4660,nASIG,DATOS!$I4660,nEVAL,"OR")=0))</f>
      </c>
      <c r="I4660">
        <f>IF(DATOS!$I4660="","",IFERROR(VLOOKUP(DATOS!$I4660,CONFIG_ASIGNATURAS!$B$2:$J$91,9,FALSE()),""))</f>
      </c>
    </row>
    <row r="4661">
      <c r="F4661">
        <f>IF(DATOS!$A4661="","",DATOS!$A4661&amp;"|"&amp;DATOS!$D4661&amp;"|"&amp;DATOS!$E4661&amp;"|"&amp;DATOS!$I4661)</f>
      </c>
      <c r="G4661">
        <f>IF(DATOS!$A4661="",0,IF(CONFIG_METADATA!$B$4&lt;&gt;"OR+EX",--(DATOS!$G4661=CONFIG_METADATA!$B$4),IF(DATOS!$G4661="EX",1,IF(DATOS!$G4661="OR",--(COUNTIFS(nNIA,DATOS!$A4661,nCURSO,DATOS!$D4661,nESPEC,DATOS!$E4661,nASIG,DATOS!$I4661,nEVAL,"EX")=0),0))))</f>
      </c>
      <c r="H4661">
        <f>IF(DATOS!$G4661&lt;&gt;"EX",0,--(COUNTIFS(nNIA,DATOS!$A4661,nCURSO,DATOS!$D4661,nESPEC,DATOS!$E4661,nASIG,DATOS!$I4661,nEVAL,"OR")=0))</f>
      </c>
      <c r="I4661">
        <f>IF(DATOS!$I4661="","",IFERROR(VLOOKUP(DATOS!$I4661,CONFIG_ASIGNATURAS!$B$2:$J$91,9,FALSE()),""))</f>
      </c>
    </row>
    <row r="4662">
      <c r="F4662">
        <f>IF(DATOS!$A4662="","",DATOS!$A4662&amp;"|"&amp;DATOS!$D4662&amp;"|"&amp;DATOS!$E4662&amp;"|"&amp;DATOS!$I4662)</f>
      </c>
      <c r="G4662">
        <f>IF(DATOS!$A4662="",0,IF(CONFIG_METADATA!$B$4&lt;&gt;"OR+EX",--(DATOS!$G4662=CONFIG_METADATA!$B$4),IF(DATOS!$G4662="EX",1,IF(DATOS!$G4662="OR",--(COUNTIFS(nNIA,DATOS!$A4662,nCURSO,DATOS!$D4662,nESPEC,DATOS!$E4662,nASIG,DATOS!$I4662,nEVAL,"EX")=0),0))))</f>
      </c>
      <c r="H4662">
        <f>IF(DATOS!$G4662&lt;&gt;"EX",0,--(COUNTIFS(nNIA,DATOS!$A4662,nCURSO,DATOS!$D4662,nESPEC,DATOS!$E4662,nASIG,DATOS!$I4662,nEVAL,"OR")=0))</f>
      </c>
      <c r="I4662">
        <f>IF(DATOS!$I4662="","",IFERROR(VLOOKUP(DATOS!$I4662,CONFIG_ASIGNATURAS!$B$2:$J$91,9,FALSE()),""))</f>
      </c>
    </row>
    <row r="4663">
      <c r="F4663">
        <f>IF(DATOS!$A4663="","",DATOS!$A4663&amp;"|"&amp;DATOS!$D4663&amp;"|"&amp;DATOS!$E4663&amp;"|"&amp;DATOS!$I4663)</f>
      </c>
      <c r="G4663">
        <f>IF(DATOS!$A4663="",0,IF(CONFIG_METADATA!$B$4&lt;&gt;"OR+EX",--(DATOS!$G4663=CONFIG_METADATA!$B$4),IF(DATOS!$G4663="EX",1,IF(DATOS!$G4663="OR",--(COUNTIFS(nNIA,DATOS!$A4663,nCURSO,DATOS!$D4663,nESPEC,DATOS!$E4663,nASIG,DATOS!$I4663,nEVAL,"EX")=0),0))))</f>
      </c>
      <c r="H4663">
        <f>IF(DATOS!$G4663&lt;&gt;"EX",0,--(COUNTIFS(nNIA,DATOS!$A4663,nCURSO,DATOS!$D4663,nESPEC,DATOS!$E4663,nASIG,DATOS!$I4663,nEVAL,"OR")=0))</f>
      </c>
      <c r="I4663">
        <f>IF(DATOS!$I4663="","",IFERROR(VLOOKUP(DATOS!$I4663,CONFIG_ASIGNATURAS!$B$2:$J$91,9,FALSE()),""))</f>
      </c>
    </row>
    <row r="4664">
      <c r="F4664">
        <f>IF(DATOS!$A4664="","",DATOS!$A4664&amp;"|"&amp;DATOS!$D4664&amp;"|"&amp;DATOS!$E4664&amp;"|"&amp;DATOS!$I4664)</f>
      </c>
      <c r="G4664">
        <f>IF(DATOS!$A4664="",0,IF(CONFIG_METADATA!$B$4&lt;&gt;"OR+EX",--(DATOS!$G4664=CONFIG_METADATA!$B$4),IF(DATOS!$G4664="EX",1,IF(DATOS!$G4664="OR",--(COUNTIFS(nNIA,DATOS!$A4664,nCURSO,DATOS!$D4664,nESPEC,DATOS!$E4664,nASIG,DATOS!$I4664,nEVAL,"EX")=0),0))))</f>
      </c>
      <c r="H4664">
        <f>IF(DATOS!$G4664&lt;&gt;"EX",0,--(COUNTIFS(nNIA,DATOS!$A4664,nCURSO,DATOS!$D4664,nESPEC,DATOS!$E4664,nASIG,DATOS!$I4664,nEVAL,"OR")=0))</f>
      </c>
      <c r="I4664">
        <f>IF(DATOS!$I4664="","",IFERROR(VLOOKUP(DATOS!$I4664,CONFIG_ASIGNATURAS!$B$2:$J$91,9,FALSE()),""))</f>
      </c>
    </row>
    <row r="4665">
      <c r="F4665">
        <f>IF(DATOS!$A4665="","",DATOS!$A4665&amp;"|"&amp;DATOS!$D4665&amp;"|"&amp;DATOS!$E4665&amp;"|"&amp;DATOS!$I4665)</f>
      </c>
      <c r="G4665">
        <f>IF(DATOS!$A4665="",0,IF(CONFIG_METADATA!$B$4&lt;&gt;"OR+EX",--(DATOS!$G4665=CONFIG_METADATA!$B$4),IF(DATOS!$G4665="EX",1,IF(DATOS!$G4665="OR",--(COUNTIFS(nNIA,DATOS!$A4665,nCURSO,DATOS!$D4665,nESPEC,DATOS!$E4665,nASIG,DATOS!$I4665,nEVAL,"EX")=0),0))))</f>
      </c>
      <c r="H4665">
        <f>IF(DATOS!$G4665&lt;&gt;"EX",0,--(COUNTIFS(nNIA,DATOS!$A4665,nCURSO,DATOS!$D4665,nESPEC,DATOS!$E4665,nASIG,DATOS!$I4665,nEVAL,"OR")=0))</f>
      </c>
      <c r="I4665">
        <f>IF(DATOS!$I4665="","",IFERROR(VLOOKUP(DATOS!$I4665,CONFIG_ASIGNATURAS!$B$2:$J$91,9,FALSE()),""))</f>
      </c>
    </row>
    <row r="4666">
      <c r="F4666">
        <f>IF(DATOS!$A4666="","",DATOS!$A4666&amp;"|"&amp;DATOS!$D4666&amp;"|"&amp;DATOS!$E4666&amp;"|"&amp;DATOS!$I4666)</f>
      </c>
      <c r="G4666">
        <f>IF(DATOS!$A4666="",0,IF(CONFIG_METADATA!$B$4&lt;&gt;"OR+EX",--(DATOS!$G4666=CONFIG_METADATA!$B$4),IF(DATOS!$G4666="EX",1,IF(DATOS!$G4666="OR",--(COUNTIFS(nNIA,DATOS!$A4666,nCURSO,DATOS!$D4666,nESPEC,DATOS!$E4666,nASIG,DATOS!$I4666,nEVAL,"EX")=0),0))))</f>
      </c>
      <c r="H4666">
        <f>IF(DATOS!$G4666&lt;&gt;"EX",0,--(COUNTIFS(nNIA,DATOS!$A4666,nCURSO,DATOS!$D4666,nESPEC,DATOS!$E4666,nASIG,DATOS!$I4666,nEVAL,"OR")=0))</f>
      </c>
      <c r="I4666">
        <f>IF(DATOS!$I4666="","",IFERROR(VLOOKUP(DATOS!$I4666,CONFIG_ASIGNATURAS!$B$2:$J$91,9,FALSE()),""))</f>
      </c>
    </row>
    <row r="4667">
      <c r="F4667">
        <f>IF(DATOS!$A4667="","",DATOS!$A4667&amp;"|"&amp;DATOS!$D4667&amp;"|"&amp;DATOS!$E4667&amp;"|"&amp;DATOS!$I4667)</f>
      </c>
      <c r="G4667">
        <f>IF(DATOS!$A4667="",0,IF(CONFIG_METADATA!$B$4&lt;&gt;"OR+EX",--(DATOS!$G4667=CONFIG_METADATA!$B$4),IF(DATOS!$G4667="EX",1,IF(DATOS!$G4667="OR",--(COUNTIFS(nNIA,DATOS!$A4667,nCURSO,DATOS!$D4667,nESPEC,DATOS!$E4667,nASIG,DATOS!$I4667,nEVAL,"EX")=0),0))))</f>
      </c>
      <c r="H4667">
        <f>IF(DATOS!$G4667&lt;&gt;"EX",0,--(COUNTIFS(nNIA,DATOS!$A4667,nCURSO,DATOS!$D4667,nESPEC,DATOS!$E4667,nASIG,DATOS!$I4667,nEVAL,"OR")=0))</f>
      </c>
      <c r="I4667">
        <f>IF(DATOS!$I4667="","",IFERROR(VLOOKUP(DATOS!$I4667,CONFIG_ASIGNATURAS!$B$2:$J$91,9,FALSE()),""))</f>
      </c>
    </row>
    <row r="4668">
      <c r="F4668">
        <f>IF(DATOS!$A4668="","",DATOS!$A4668&amp;"|"&amp;DATOS!$D4668&amp;"|"&amp;DATOS!$E4668&amp;"|"&amp;DATOS!$I4668)</f>
      </c>
      <c r="G4668">
        <f>IF(DATOS!$A4668="",0,IF(CONFIG_METADATA!$B$4&lt;&gt;"OR+EX",--(DATOS!$G4668=CONFIG_METADATA!$B$4),IF(DATOS!$G4668="EX",1,IF(DATOS!$G4668="OR",--(COUNTIFS(nNIA,DATOS!$A4668,nCURSO,DATOS!$D4668,nESPEC,DATOS!$E4668,nASIG,DATOS!$I4668,nEVAL,"EX")=0),0))))</f>
      </c>
      <c r="H4668">
        <f>IF(DATOS!$G4668&lt;&gt;"EX",0,--(COUNTIFS(nNIA,DATOS!$A4668,nCURSO,DATOS!$D4668,nESPEC,DATOS!$E4668,nASIG,DATOS!$I4668,nEVAL,"OR")=0))</f>
      </c>
      <c r="I4668">
        <f>IF(DATOS!$I4668="","",IFERROR(VLOOKUP(DATOS!$I4668,CONFIG_ASIGNATURAS!$B$2:$J$91,9,FALSE()),""))</f>
      </c>
    </row>
    <row r="4669">
      <c r="F4669">
        <f>IF(DATOS!$A4669="","",DATOS!$A4669&amp;"|"&amp;DATOS!$D4669&amp;"|"&amp;DATOS!$E4669&amp;"|"&amp;DATOS!$I4669)</f>
      </c>
      <c r="G4669">
        <f>IF(DATOS!$A4669="",0,IF(CONFIG_METADATA!$B$4&lt;&gt;"OR+EX",--(DATOS!$G4669=CONFIG_METADATA!$B$4),IF(DATOS!$G4669="EX",1,IF(DATOS!$G4669="OR",--(COUNTIFS(nNIA,DATOS!$A4669,nCURSO,DATOS!$D4669,nESPEC,DATOS!$E4669,nASIG,DATOS!$I4669,nEVAL,"EX")=0),0))))</f>
      </c>
      <c r="H4669">
        <f>IF(DATOS!$G4669&lt;&gt;"EX",0,--(COUNTIFS(nNIA,DATOS!$A4669,nCURSO,DATOS!$D4669,nESPEC,DATOS!$E4669,nASIG,DATOS!$I4669,nEVAL,"OR")=0))</f>
      </c>
      <c r="I4669">
        <f>IF(DATOS!$I4669="","",IFERROR(VLOOKUP(DATOS!$I4669,CONFIG_ASIGNATURAS!$B$2:$J$91,9,FALSE()),""))</f>
      </c>
    </row>
    <row r="4670">
      <c r="F4670">
        <f>IF(DATOS!$A4670="","",DATOS!$A4670&amp;"|"&amp;DATOS!$D4670&amp;"|"&amp;DATOS!$E4670&amp;"|"&amp;DATOS!$I4670)</f>
      </c>
      <c r="G4670">
        <f>IF(DATOS!$A4670="",0,IF(CONFIG_METADATA!$B$4&lt;&gt;"OR+EX",--(DATOS!$G4670=CONFIG_METADATA!$B$4),IF(DATOS!$G4670="EX",1,IF(DATOS!$G4670="OR",--(COUNTIFS(nNIA,DATOS!$A4670,nCURSO,DATOS!$D4670,nESPEC,DATOS!$E4670,nASIG,DATOS!$I4670,nEVAL,"EX")=0),0))))</f>
      </c>
      <c r="H4670">
        <f>IF(DATOS!$G4670&lt;&gt;"EX",0,--(COUNTIFS(nNIA,DATOS!$A4670,nCURSO,DATOS!$D4670,nESPEC,DATOS!$E4670,nASIG,DATOS!$I4670,nEVAL,"OR")=0))</f>
      </c>
      <c r="I4670">
        <f>IF(DATOS!$I4670="","",IFERROR(VLOOKUP(DATOS!$I4670,CONFIG_ASIGNATURAS!$B$2:$J$91,9,FALSE()),""))</f>
      </c>
    </row>
    <row r="4671">
      <c r="F4671">
        <f>IF(DATOS!$A4671="","",DATOS!$A4671&amp;"|"&amp;DATOS!$D4671&amp;"|"&amp;DATOS!$E4671&amp;"|"&amp;DATOS!$I4671)</f>
      </c>
      <c r="G4671">
        <f>IF(DATOS!$A4671="",0,IF(CONFIG_METADATA!$B$4&lt;&gt;"OR+EX",--(DATOS!$G4671=CONFIG_METADATA!$B$4),IF(DATOS!$G4671="EX",1,IF(DATOS!$G4671="OR",--(COUNTIFS(nNIA,DATOS!$A4671,nCURSO,DATOS!$D4671,nESPEC,DATOS!$E4671,nASIG,DATOS!$I4671,nEVAL,"EX")=0),0))))</f>
      </c>
      <c r="H4671">
        <f>IF(DATOS!$G4671&lt;&gt;"EX",0,--(COUNTIFS(nNIA,DATOS!$A4671,nCURSO,DATOS!$D4671,nESPEC,DATOS!$E4671,nASIG,DATOS!$I4671,nEVAL,"OR")=0))</f>
      </c>
      <c r="I4671">
        <f>IF(DATOS!$I4671="","",IFERROR(VLOOKUP(DATOS!$I4671,CONFIG_ASIGNATURAS!$B$2:$J$91,9,FALSE()),""))</f>
      </c>
    </row>
    <row r="4672">
      <c r="F4672">
        <f>IF(DATOS!$A4672="","",DATOS!$A4672&amp;"|"&amp;DATOS!$D4672&amp;"|"&amp;DATOS!$E4672&amp;"|"&amp;DATOS!$I4672)</f>
      </c>
      <c r="G4672">
        <f>IF(DATOS!$A4672="",0,IF(CONFIG_METADATA!$B$4&lt;&gt;"OR+EX",--(DATOS!$G4672=CONFIG_METADATA!$B$4),IF(DATOS!$G4672="EX",1,IF(DATOS!$G4672="OR",--(COUNTIFS(nNIA,DATOS!$A4672,nCURSO,DATOS!$D4672,nESPEC,DATOS!$E4672,nASIG,DATOS!$I4672,nEVAL,"EX")=0),0))))</f>
      </c>
      <c r="H4672">
        <f>IF(DATOS!$G4672&lt;&gt;"EX",0,--(COUNTIFS(nNIA,DATOS!$A4672,nCURSO,DATOS!$D4672,nESPEC,DATOS!$E4672,nASIG,DATOS!$I4672,nEVAL,"OR")=0))</f>
      </c>
      <c r="I4672">
        <f>IF(DATOS!$I4672="","",IFERROR(VLOOKUP(DATOS!$I4672,CONFIG_ASIGNATURAS!$B$2:$J$91,9,FALSE()),""))</f>
      </c>
    </row>
    <row r="4673">
      <c r="F4673">
        <f>IF(DATOS!$A4673="","",DATOS!$A4673&amp;"|"&amp;DATOS!$D4673&amp;"|"&amp;DATOS!$E4673&amp;"|"&amp;DATOS!$I4673)</f>
      </c>
      <c r="G4673">
        <f>IF(DATOS!$A4673="",0,IF(CONFIG_METADATA!$B$4&lt;&gt;"OR+EX",--(DATOS!$G4673=CONFIG_METADATA!$B$4),IF(DATOS!$G4673="EX",1,IF(DATOS!$G4673="OR",--(COUNTIFS(nNIA,DATOS!$A4673,nCURSO,DATOS!$D4673,nESPEC,DATOS!$E4673,nASIG,DATOS!$I4673,nEVAL,"EX")=0),0))))</f>
      </c>
      <c r="H4673">
        <f>IF(DATOS!$G4673&lt;&gt;"EX",0,--(COUNTIFS(nNIA,DATOS!$A4673,nCURSO,DATOS!$D4673,nESPEC,DATOS!$E4673,nASIG,DATOS!$I4673,nEVAL,"OR")=0))</f>
      </c>
      <c r="I4673">
        <f>IF(DATOS!$I4673="","",IFERROR(VLOOKUP(DATOS!$I4673,CONFIG_ASIGNATURAS!$B$2:$J$91,9,FALSE()),""))</f>
      </c>
    </row>
    <row r="4674">
      <c r="F4674">
        <f>IF(DATOS!$A4674="","",DATOS!$A4674&amp;"|"&amp;DATOS!$D4674&amp;"|"&amp;DATOS!$E4674&amp;"|"&amp;DATOS!$I4674)</f>
      </c>
      <c r="G4674">
        <f>IF(DATOS!$A4674="",0,IF(CONFIG_METADATA!$B$4&lt;&gt;"OR+EX",--(DATOS!$G4674=CONFIG_METADATA!$B$4),IF(DATOS!$G4674="EX",1,IF(DATOS!$G4674="OR",--(COUNTIFS(nNIA,DATOS!$A4674,nCURSO,DATOS!$D4674,nESPEC,DATOS!$E4674,nASIG,DATOS!$I4674,nEVAL,"EX")=0),0))))</f>
      </c>
      <c r="H4674">
        <f>IF(DATOS!$G4674&lt;&gt;"EX",0,--(COUNTIFS(nNIA,DATOS!$A4674,nCURSO,DATOS!$D4674,nESPEC,DATOS!$E4674,nASIG,DATOS!$I4674,nEVAL,"OR")=0))</f>
      </c>
      <c r="I4674">
        <f>IF(DATOS!$I4674="","",IFERROR(VLOOKUP(DATOS!$I4674,CONFIG_ASIGNATURAS!$B$2:$J$91,9,FALSE()),""))</f>
      </c>
    </row>
    <row r="4675">
      <c r="F4675">
        <f>IF(DATOS!$A4675="","",DATOS!$A4675&amp;"|"&amp;DATOS!$D4675&amp;"|"&amp;DATOS!$E4675&amp;"|"&amp;DATOS!$I4675)</f>
      </c>
      <c r="G4675">
        <f>IF(DATOS!$A4675="",0,IF(CONFIG_METADATA!$B$4&lt;&gt;"OR+EX",--(DATOS!$G4675=CONFIG_METADATA!$B$4),IF(DATOS!$G4675="EX",1,IF(DATOS!$G4675="OR",--(COUNTIFS(nNIA,DATOS!$A4675,nCURSO,DATOS!$D4675,nESPEC,DATOS!$E4675,nASIG,DATOS!$I4675,nEVAL,"EX")=0),0))))</f>
      </c>
      <c r="H4675">
        <f>IF(DATOS!$G4675&lt;&gt;"EX",0,--(COUNTIFS(nNIA,DATOS!$A4675,nCURSO,DATOS!$D4675,nESPEC,DATOS!$E4675,nASIG,DATOS!$I4675,nEVAL,"OR")=0))</f>
      </c>
      <c r="I4675">
        <f>IF(DATOS!$I4675="","",IFERROR(VLOOKUP(DATOS!$I4675,CONFIG_ASIGNATURAS!$B$2:$J$91,9,FALSE()),""))</f>
      </c>
    </row>
    <row r="4676">
      <c r="F4676">
        <f>IF(DATOS!$A4676="","",DATOS!$A4676&amp;"|"&amp;DATOS!$D4676&amp;"|"&amp;DATOS!$E4676&amp;"|"&amp;DATOS!$I4676)</f>
      </c>
      <c r="G4676">
        <f>IF(DATOS!$A4676="",0,IF(CONFIG_METADATA!$B$4&lt;&gt;"OR+EX",--(DATOS!$G4676=CONFIG_METADATA!$B$4),IF(DATOS!$G4676="EX",1,IF(DATOS!$G4676="OR",--(COUNTIFS(nNIA,DATOS!$A4676,nCURSO,DATOS!$D4676,nESPEC,DATOS!$E4676,nASIG,DATOS!$I4676,nEVAL,"EX")=0),0))))</f>
      </c>
      <c r="H4676">
        <f>IF(DATOS!$G4676&lt;&gt;"EX",0,--(COUNTIFS(nNIA,DATOS!$A4676,nCURSO,DATOS!$D4676,nESPEC,DATOS!$E4676,nASIG,DATOS!$I4676,nEVAL,"OR")=0))</f>
      </c>
      <c r="I4676">
        <f>IF(DATOS!$I4676="","",IFERROR(VLOOKUP(DATOS!$I4676,CONFIG_ASIGNATURAS!$B$2:$J$91,9,FALSE()),""))</f>
      </c>
    </row>
    <row r="4677">
      <c r="F4677">
        <f>IF(DATOS!$A4677="","",DATOS!$A4677&amp;"|"&amp;DATOS!$D4677&amp;"|"&amp;DATOS!$E4677&amp;"|"&amp;DATOS!$I4677)</f>
      </c>
      <c r="G4677">
        <f>IF(DATOS!$A4677="",0,IF(CONFIG_METADATA!$B$4&lt;&gt;"OR+EX",--(DATOS!$G4677=CONFIG_METADATA!$B$4),IF(DATOS!$G4677="EX",1,IF(DATOS!$G4677="OR",--(COUNTIFS(nNIA,DATOS!$A4677,nCURSO,DATOS!$D4677,nESPEC,DATOS!$E4677,nASIG,DATOS!$I4677,nEVAL,"EX")=0),0))))</f>
      </c>
      <c r="H4677">
        <f>IF(DATOS!$G4677&lt;&gt;"EX",0,--(COUNTIFS(nNIA,DATOS!$A4677,nCURSO,DATOS!$D4677,nESPEC,DATOS!$E4677,nASIG,DATOS!$I4677,nEVAL,"OR")=0))</f>
      </c>
      <c r="I4677">
        <f>IF(DATOS!$I4677="","",IFERROR(VLOOKUP(DATOS!$I4677,CONFIG_ASIGNATURAS!$B$2:$J$91,9,FALSE()),""))</f>
      </c>
    </row>
    <row r="4678">
      <c r="F4678">
        <f>IF(DATOS!$A4678="","",DATOS!$A4678&amp;"|"&amp;DATOS!$D4678&amp;"|"&amp;DATOS!$E4678&amp;"|"&amp;DATOS!$I4678)</f>
      </c>
      <c r="G4678">
        <f>IF(DATOS!$A4678="",0,IF(CONFIG_METADATA!$B$4&lt;&gt;"OR+EX",--(DATOS!$G4678=CONFIG_METADATA!$B$4),IF(DATOS!$G4678="EX",1,IF(DATOS!$G4678="OR",--(COUNTIFS(nNIA,DATOS!$A4678,nCURSO,DATOS!$D4678,nESPEC,DATOS!$E4678,nASIG,DATOS!$I4678,nEVAL,"EX")=0),0))))</f>
      </c>
      <c r="H4678">
        <f>IF(DATOS!$G4678&lt;&gt;"EX",0,--(COUNTIFS(nNIA,DATOS!$A4678,nCURSO,DATOS!$D4678,nESPEC,DATOS!$E4678,nASIG,DATOS!$I4678,nEVAL,"OR")=0))</f>
      </c>
      <c r="I4678">
        <f>IF(DATOS!$I4678="","",IFERROR(VLOOKUP(DATOS!$I4678,CONFIG_ASIGNATURAS!$B$2:$J$91,9,FALSE()),""))</f>
      </c>
    </row>
    <row r="4679">
      <c r="F4679">
        <f>IF(DATOS!$A4679="","",DATOS!$A4679&amp;"|"&amp;DATOS!$D4679&amp;"|"&amp;DATOS!$E4679&amp;"|"&amp;DATOS!$I4679)</f>
      </c>
      <c r="G4679">
        <f>IF(DATOS!$A4679="",0,IF(CONFIG_METADATA!$B$4&lt;&gt;"OR+EX",--(DATOS!$G4679=CONFIG_METADATA!$B$4),IF(DATOS!$G4679="EX",1,IF(DATOS!$G4679="OR",--(COUNTIFS(nNIA,DATOS!$A4679,nCURSO,DATOS!$D4679,nESPEC,DATOS!$E4679,nASIG,DATOS!$I4679,nEVAL,"EX")=0),0))))</f>
      </c>
      <c r="H4679">
        <f>IF(DATOS!$G4679&lt;&gt;"EX",0,--(COUNTIFS(nNIA,DATOS!$A4679,nCURSO,DATOS!$D4679,nESPEC,DATOS!$E4679,nASIG,DATOS!$I4679,nEVAL,"OR")=0))</f>
      </c>
      <c r="I4679">
        <f>IF(DATOS!$I4679="","",IFERROR(VLOOKUP(DATOS!$I4679,CONFIG_ASIGNATURAS!$B$2:$J$91,9,FALSE()),""))</f>
      </c>
    </row>
    <row r="4680">
      <c r="F4680">
        <f>IF(DATOS!$A4680="","",DATOS!$A4680&amp;"|"&amp;DATOS!$D4680&amp;"|"&amp;DATOS!$E4680&amp;"|"&amp;DATOS!$I4680)</f>
      </c>
      <c r="G4680">
        <f>IF(DATOS!$A4680="",0,IF(CONFIG_METADATA!$B$4&lt;&gt;"OR+EX",--(DATOS!$G4680=CONFIG_METADATA!$B$4),IF(DATOS!$G4680="EX",1,IF(DATOS!$G4680="OR",--(COUNTIFS(nNIA,DATOS!$A4680,nCURSO,DATOS!$D4680,nESPEC,DATOS!$E4680,nASIG,DATOS!$I4680,nEVAL,"EX")=0),0))))</f>
      </c>
      <c r="H4680">
        <f>IF(DATOS!$G4680&lt;&gt;"EX",0,--(COUNTIFS(nNIA,DATOS!$A4680,nCURSO,DATOS!$D4680,nESPEC,DATOS!$E4680,nASIG,DATOS!$I4680,nEVAL,"OR")=0))</f>
      </c>
      <c r="I4680">
        <f>IF(DATOS!$I4680="","",IFERROR(VLOOKUP(DATOS!$I4680,CONFIG_ASIGNATURAS!$B$2:$J$91,9,FALSE()),""))</f>
      </c>
    </row>
    <row r="4681">
      <c r="F4681">
        <f>IF(DATOS!$A4681="","",DATOS!$A4681&amp;"|"&amp;DATOS!$D4681&amp;"|"&amp;DATOS!$E4681&amp;"|"&amp;DATOS!$I4681)</f>
      </c>
      <c r="G4681">
        <f>IF(DATOS!$A4681="",0,IF(CONFIG_METADATA!$B$4&lt;&gt;"OR+EX",--(DATOS!$G4681=CONFIG_METADATA!$B$4),IF(DATOS!$G4681="EX",1,IF(DATOS!$G4681="OR",--(COUNTIFS(nNIA,DATOS!$A4681,nCURSO,DATOS!$D4681,nESPEC,DATOS!$E4681,nASIG,DATOS!$I4681,nEVAL,"EX")=0),0))))</f>
      </c>
      <c r="H4681">
        <f>IF(DATOS!$G4681&lt;&gt;"EX",0,--(COUNTIFS(nNIA,DATOS!$A4681,nCURSO,DATOS!$D4681,nESPEC,DATOS!$E4681,nASIG,DATOS!$I4681,nEVAL,"OR")=0))</f>
      </c>
      <c r="I4681">
        <f>IF(DATOS!$I4681="","",IFERROR(VLOOKUP(DATOS!$I4681,CONFIG_ASIGNATURAS!$B$2:$J$91,9,FALSE()),""))</f>
      </c>
    </row>
    <row r="4682">
      <c r="F4682">
        <f>IF(DATOS!$A4682="","",DATOS!$A4682&amp;"|"&amp;DATOS!$D4682&amp;"|"&amp;DATOS!$E4682&amp;"|"&amp;DATOS!$I4682)</f>
      </c>
      <c r="G4682">
        <f>IF(DATOS!$A4682="",0,IF(CONFIG_METADATA!$B$4&lt;&gt;"OR+EX",--(DATOS!$G4682=CONFIG_METADATA!$B$4),IF(DATOS!$G4682="EX",1,IF(DATOS!$G4682="OR",--(COUNTIFS(nNIA,DATOS!$A4682,nCURSO,DATOS!$D4682,nESPEC,DATOS!$E4682,nASIG,DATOS!$I4682,nEVAL,"EX")=0),0))))</f>
      </c>
      <c r="H4682">
        <f>IF(DATOS!$G4682&lt;&gt;"EX",0,--(COUNTIFS(nNIA,DATOS!$A4682,nCURSO,DATOS!$D4682,nESPEC,DATOS!$E4682,nASIG,DATOS!$I4682,nEVAL,"OR")=0))</f>
      </c>
      <c r="I4682">
        <f>IF(DATOS!$I4682="","",IFERROR(VLOOKUP(DATOS!$I4682,CONFIG_ASIGNATURAS!$B$2:$J$91,9,FALSE()),""))</f>
      </c>
    </row>
    <row r="4683">
      <c r="F4683">
        <f>IF(DATOS!$A4683="","",DATOS!$A4683&amp;"|"&amp;DATOS!$D4683&amp;"|"&amp;DATOS!$E4683&amp;"|"&amp;DATOS!$I4683)</f>
      </c>
      <c r="G4683">
        <f>IF(DATOS!$A4683="",0,IF(CONFIG_METADATA!$B$4&lt;&gt;"OR+EX",--(DATOS!$G4683=CONFIG_METADATA!$B$4),IF(DATOS!$G4683="EX",1,IF(DATOS!$G4683="OR",--(COUNTIFS(nNIA,DATOS!$A4683,nCURSO,DATOS!$D4683,nESPEC,DATOS!$E4683,nASIG,DATOS!$I4683,nEVAL,"EX")=0),0))))</f>
      </c>
      <c r="H4683">
        <f>IF(DATOS!$G4683&lt;&gt;"EX",0,--(COUNTIFS(nNIA,DATOS!$A4683,nCURSO,DATOS!$D4683,nESPEC,DATOS!$E4683,nASIG,DATOS!$I4683,nEVAL,"OR")=0))</f>
      </c>
      <c r="I4683">
        <f>IF(DATOS!$I4683="","",IFERROR(VLOOKUP(DATOS!$I4683,CONFIG_ASIGNATURAS!$B$2:$J$91,9,FALSE()),""))</f>
      </c>
    </row>
    <row r="4684">
      <c r="F4684">
        <f>IF(DATOS!$A4684="","",DATOS!$A4684&amp;"|"&amp;DATOS!$D4684&amp;"|"&amp;DATOS!$E4684&amp;"|"&amp;DATOS!$I4684)</f>
      </c>
      <c r="G4684">
        <f>IF(DATOS!$A4684="",0,IF(CONFIG_METADATA!$B$4&lt;&gt;"OR+EX",--(DATOS!$G4684=CONFIG_METADATA!$B$4),IF(DATOS!$G4684="EX",1,IF(DATOS!$G4684="OR",--(COUNTIFS(nNIA,DATOS!$A4684,nCURSO,DATOS!$D4684,nESPEC,DATOS!$E4684,nASIG,DATOS!$I4684,nEVAL,"EX")=0),0))))</f>
      </c>
      <c r="H4684">
        <f>IF(DATOS!$G4684&lt;&gt;"EX",0,--(COUNTIFS(nNIA,DATOS!$A4684,nCURSO,DATOS!$D4684,nESPEC,DATOS!$E4684,nASIG,DATOS!$I4684,nEVAL,"OR")=0))</f>
      </c>
      <c r="I4684">
        <f>IF(DATOS!$I4684="","",IFERROR(VLOOKUP(DATOS!$I4684,CONFIG_ASIGNATURAS!$B$2:$J$91,9,FALSE()),""))</f>
      </c>
    </row>
    <row r="4685">
      <c r="F4685">
        <f>IF(DATOS!$A4685="","",DATOS!$A4685&amp;"|"&amp;DATOS!$D4685&amp;"|"&amp;DATOS!$E4685&amp;"|"&amp;DATOS!$I4685)</f>
      </c>
      <c r="G4685">
        <f>IF(DATOS!$A4685="",0,IF(CONFIG_METADATA!$B$4&lt;&gt;"OR+EX",--(DATOS!$G4685=CONFIG_METADATA!$B$4),IF(DATOS!$G4685="EX",1,IF(DATOS!$G4685="OR",--(COUNTIFS(nNIA,DATOS!$A4685,nCURSO,DATOS!$D4685,nESPEC,DATOS!$E4685,nASIG,DATOS!$I4685,nEVAL,"EX")=0),0))))</f>
      </c>
      <c r="H4685">
        <f>IF(DATOS!$G4685&lt;&gt;"EX",0,--(COUNTIFS(nNIA,DATOS!$A4685,nCURSO,DATOS!$D4685,nESPEC,DATOS!$E4685,nASIG,DATOS!$I4685,nEVAL,"OR")=0))</f>
      </c>
      <c r="I4685">
        <f>IF(DATOS!$I4685="","",IFERROR(VLOOKUP(DATOS!$I4685,CONFIG_ASIGNATURAS!$B$2:$J$91,9,FALSE()),""))</f>
      </c>
    </row>
    <row r="4686">
      <c r="F4686">
        <f>IF(DATOS!$A4686="","",DATOS!$A4686&amp;"|"&amp;DATOS!$D4686&amp;"|"&amp;DATOS!$E4686&amp;"|"&amp;DATOS!$I4686)</f>
      </c>
      <c r="G4686">
        <f>IF(DATOS!$A4686="",0,IF(CONFIG_METADATA!$B$4&lt;&gt;"OR+EX",--(DATOS!$G4686=CONFIG_METADATA!$B$4),IF(DATOS!$G4686="EX",1,IF(DATOS!$G4686="OR",--(COUNTIFS(nNIA,DATOS!$A4686,nCURSO,DATOS!$D4686,nESPEC,DATOS!$E4686,nASIG,DATOS!$I4686,nEVAL,"EX")=0),0))))</f>
      </c>
      <c r="H4686">
        <f>IF(DATOS!$G4686&lt;&gt;"EX",0,--(COUNTIFS(nNIA,DATOS!$A4686,nCURSO,DATOS!$D4686,nESPEC,DATOS!$E4686,nASIG,DATOS!$I4686,nEVAL,"OR")=0))</f>
      </c>
      <c r="I4686">
        <f>IF(DATOS!$I4686="","",IFERROR(VLOOKUP(DATOS!$I4686,CONFIG_ASIGNATURAS!$B$2:$J$91,9,FALSE()),""))</f>
      </c>
    </row>
    <row r="4687">
      <c r="F4687">
        <f>IF(DATOS!$A4687="","",DATOS!$A4687&amp;"|"&amp;DATOS!$D4687&amp;"|"&amp;DATOS!$E4687&amp;"|"&amp;DATOS!$I4687)</f>
      </c>
      <c r="G4687">
        <f>IF(DATOS!$A4687="",0,IF(CONFIG_METADATA!$B$4&lt;&gt;"OR+EX",--(DATOS!$G4687=CONFIG_METADATA!$B$4),IF(DATOS!$G4687="EX",1,IF(DATOS!$G4687="OR",--(COUNTIFS(nNIA,DATOS!$A4687,nCURSO,DATOS!$D4687,nESPEC,DATOS!$E4687,nASIG,DATOS!$I4687,nEVAL,"EX")=0),0))))</f>
      </c>
      <c r="H4687">
        <f>IF(DATOS!$G4687&lt;&gt;"EX",0,--(COUNTIFS(nNIA,DATOS!$A4687,nCURSO,DATOS!$D4687,nESPEC,DATOS!$E4687,nASIG,DATOS!$I4687,nEVAL,"OR")=0))</f>
      </c>
      <c r="I4687">
        <f>IF(DATOS!$I4687="","",IFERROR(VLOOKUP(DATOS!$I4687,CONFIG_ASIGNATURAS!$B$2:$J$91,9,FALSE()),""))</f>
      </c>
    </row>
    <row r="4688">
      <c r="F4688">
        <f>IF(DATOS!$A4688="","",DATOS!$A4688&amp;"|"&amp;DATOS!$D4688&amp;"|"&amp;DATOS!$E4688&amp;"|"&amp;DATOS!$I4688)</f>
      </c>
      <c r="G4688">
        <f>IF(DATOS!$A4688="",0,IF(CONFIG_METADATA!$B$4&lt;&gt;"OR+EX",--(DATOS!$G4688=CONFIG_METADATA!$B$4),IF(DATOS!$G4688="EX",1,IF(DATOS!$G4688="OR",--(COUNTIFS(nNIA,DATOS!$A4688,nCURSO,DATOS!$D4688,nESPEC,DATOS!$E4688,nASIG,DATOS!$I4688,nEVAL,"EX")=0),0))))</f>
      </c>
      <c r="H4688">
        <f>IF(DATOS!$G4688&lt;&gt;"EX",0,--(COUNTIFS(nNIA,DATOS!$A4688,nCURSO,DATOS!$D4688,nESPEC,DATOS!$E4688,nASIG,DATOS!$I4688,nEVAL,"OR")=0))</f>
      </c>
      <c r="I4688">
        <f>IF(DATOS!$I4688="","",IFERROR(VLOOKUP(DATOS!$I4688,CONFIG_ASIGNATURAS!$B$2:$J$91,9,FALSE()),""))</f>
      </c>
    </row>
    <row r="4689">
      <c r="F4689">
        <f>IF(DATOS!$A4689="","",DATOS!$A4689&amp;"|"&amp;DATOS!$D4689&amp;"|"&amp;DATOS!$E4689&amp;"|"&amp;DATOS!$I4689)</f>
      </c>
      <c r="G4689">
        <f>IF(DATOS!$A4689="",0,IF(CONFIG_METADATA!$B$4&lt;&gt;"OR+EX",--(DATOS!$G4689=CONFIG_METADATA!$B$4),IF(DATOS!$G4689="EX",1,IF(DATOS!$G4689="OR",--(COUNTIFS(nNIA,DATOS!$A4689,nCURSO,DATOS!$D4689,nESPEC,DATOS!$E4689,nASIG,DATOS!$I4689,nEVAL,"EX")=0),0))))</f>
      </c>
      <c r="H4689">
        <f>IF(DATOS!$G4689&lt;&gt;"EX",0,--(COUNTIFS(nNIA,DATOS!$A4689,nCURSO,DATOS!$D4689,nESPEC,DATOS!$E4689,nASIG,DATOS!$I4689,nEVAL,"OR")=0))</f>
      </c>
      <c r="I4689">
        <f>IF(DATOS!$I4689="","",IFERROR(VLOOKUP(DATOS!$I4689,CONFIG_ASIGNATURAS!$B$2:$J$91,9,FALSE()),""))</f>
      </c>
    </row>
    <row r="4690">
      <c r="F4690">
        <f>IF(DATOS!$A4690="","",DATOS!$A4690&amp;"|"&amp;DATOS!$D4690&amp;"|"&amp;DATOS!$E4690&amp;"|"&amp;DATOS!$I4690)</f>
      </c>
      <c r="G4690">
        <f>IF(DATOS!$A4690="",0,IF(CONFIG_METADATA!$B$4&lt;&gt;"OR+EX",--(DATOS!$G4690=CONFIG_METADATA!$B$4),IF(DATOS!$G4690="EX",1,IF(DATOS!$G4690="OR",--(COUNTIFS(nNIA,DATOS!$A4690,nCURSO,DATOS!$D4690,nESPEC,DATOS!$E4690,nASIG,DATOS!$I4690,nEVAL,"EX")=0),0))))</f>
      </c>
      <c r="H4690">
        <f>IF(DATOS!$G4690&lt;&gt;"EX",0,--(COUNTIFS(nNIA,DATOS!$A4690,nCURSO,DATOS!$D4690,nESPEC,DATOS!$E4690,nASIG,DATOS!$I4690,nEVAL,"OR")=0))</f>
      </c>
      <c r="I4690">
        <f>IF(DATOS!$I4690="","",IFERROR(VLOOKUP(DATOS!$I4690,CONFIG_ASIGNATURAS!$B$2:$J$91,9,FALSE()),""))</f>
      </c>
    </row>
    <row r="4691">
      <c r="F4691">
        <f>IF(DATOS!$A4691="","",DATOS!$A4691&amp;"|"&amp;DATOS!$D4691&amp;"|"&amp;DATOS!$E4691&amp;"|"&amp;DATOS!$I4691)</f>
      </c>
      <c r="G4691">
        <f>IF(DATOS!$A4691="",0,IF(CONFIG_METADATA!$B$4&lt;&gt;"OR+EX",--(DATOS!$G4691=CONFIG_METADATA!$B$4),IF(DATOS!$G4691="EX",1,IF(DATOS!$G4691="OR",--(COUNTIFS(nNIA,DATOS!$A4691,nCURSO,DATOS!$D4691,nESPEC,DATOS!$E4691,nASIG,DATOS!$I4691,nEVAL,"EX")=0),0))))</f>
      </c>
      <c r="H4691">
        <f>IF(DATOS!$G4691&lt;&gt;"EX",0,--(COUNTIFS(nNIA,DATOS!$A4691,nCURSO,DATOS!$D4691,nESPEC,DATOS!$E4691,nASIG,DATOS!$I4691,nEVAL,"OR")=0))</f>
      </c>
      <c r="I4691">
        <f>IF(DATOS!$I4691="","",IFERROR(VLOOKUP(DATOS!$I4691,CONFIG_ASIGNATURAS!$B$2:$J$91,9,FALSE()),""))</f>
      </c>
    </row>
    <row r="4692">
      <c r="F4692">
        <f>IF(DATOS!$A4692="","",DATOS!$A4692&amp;"|"&amp;DATOS!$D4692&amp;"|"&amp;DATOS!$E4692&amp;"|"&amp;DATOS!$I4692)</f>
      </c>
      <c r="G4692">
        <f>IF(DATOS!$A4692="",0,IF(CONFIG_METADATA!$B$4&lt;&gt;"OR+EX",--(DATOS!$G4692=CONFIG_METADATA!$B$4),IF(DATOS!$G4692="EX",1,IF(DATOS!$G4692="OR",--(COUNTIFS(nNIA,DATOS!$A4692,nCURSO,DATOS!$D4692,nESPEC,DATOS!$E4692,nASIG,DATOS!$I4692,nEVAL,"EX")=0),0))))</f>
      </c>
      <c r="H4692">
        <f>IF(DATOS!$G4692&lt;&gt;"EX",0,--(COUNTIFS(nNIA,DATOS!$A4692,nCURSO,DATOS!$D4692,nESPEC,DATOS!$E4692,nASIG,DATOS!$I4692,nEVAL,"OR")=0))</f>
      </c>
      <c r="I4692">
        <f>IF(DATOS!$I4692="","",IFERROR(VLOOKUP(DATOS!$I4692,CONFIG_ASIGNATURAS!$B$2:$J$91,9,FALSE()),""))</f>
      </c>
    </row>
    <row r="4693">
      <c r="F4693">
        <f>IF(DATOS!$A4693="","",DATOS!$A4693&amp;"|"&amp;DATOS!$D4693&amp;"|"&amp;DATOS!$E4693&amp;"|"&amp;DATOS!$I4693)</f>
      </c>
      <c r="G4693">
        <f>IF(DATOS!$A4693="",0,IF(CONFIG_METADATA!$B$4&lt;&gt;"OR+EX",--(DATOS!$G4693=CONFIG_METADATA!$B$4),IF(DATOS!$G4693="EX",1,IF(DATOS!$G4693="OR",--(COUNTIFS(nNIA,DATOS!$A4693,nCURSO,DATOS!$D4693,nESPEC,DATOS!$E4693,nASIG,DATOS!$I4693,nEVAL,"EX")=0),0))))</f>
      </c>
      <c r="H4693">
        <f>IF(DATOS!$G4693&lt;&gt;"EX",0,--(COUNTIFS(nNIA,DATOS!$A4693,nCURSO,DATOS!$D4693,nESPEC,DATOS!$E4693,nASIG,DATOS!$I4693,nEVAL,"OR")=0))</f>
      </c>
      <c r="I4693">
        <f>IF(DATOS!$I4693="","",IFERROR(VLOOKUP(DATOS!$I4693,CONFIG_ASIGNATURAS!$B$2:$J$91,9,FALSE()),""))</f>
      </c>
    </row>
    <row r="4694">
      <c r="F4694">
        <f>IF(DATOS!$A4694="","",DATOS!$A4694&amp;"|"&amp;DATOS!$D4694&amp;"|"&amp;DATOS!$E4694&amp;"|"&amp;DATOS!$I4694)</f>
      </c>
      <c r="G4694">
        <f>IF(DATOS!$A4694="",0,IF(CONFIG_METADATA!$B$4&lt;&gt;"OR+EX",--(DATOS!$G4694=CONFIG_METADATA!$B$4),IF(DATOS!$G4694="EX",1,IF(DATOS!$G4694="OR",--(COUNTIFS(nNIA,DATOS!$A4694,nCURSO,DATOS!$D4694,nESPEC,DATOS!$E4694,nASIG,DATOS!$I4694,nEVAL,"EX")=0),0))))</f>
      </c>
      <c r="H4694">
        <f>IF(DATOS!$G4694&lt;&gt;"EX",0,--(COUNTIFS(nNIA,DATOS!$A4694,nCURSO,DATOS!$D4694,nESPEC,DATOS!$E4694,nASIG,DATOS!$I4694,nEVAL,"OR")=0))</f>
      </c>
      <c r="I4694">
        <f>IF(DATOS!$I4694="","",IFERROR(VLOOKUP(DATOS!$I4694,CONFIG_ASIGNATURAS!$B$2:$J$91,9,FALSE()),""))</f>
      </c>
    </row>
    <row r="4695">
      <c r="F4695">
        <f>IF(DATOS!$A4695="","",DATOS!$A4695&amp;"|"&amp;DATOS!$D4695&amp;"|"&amp;DATOS!$E4695&amp;"|"&amp;DATOS!$I4695)</f>
      </c>
      <c r="G4695">
        <f>IF(DATOS!$A4695="",0,IF(CONFIG_METADATA!$B$4&lt;&gt;"OR+EX",--(DATOS!$G4695=CONFIG_METADATA!$B$4),IF(DATOS!$G4695="EX",1,IF(DATOS!$G4695="OR",--(COUNTIFS(nNIA,DATOS!$A4695,nCURSO,DATOS!$D4695,nESPEC,DATOS!$E4695,nASIG,DATOS!$I4695,nEVAL,"EX")=0),0))))</f>
      </c>
      <c r="H4695">
        <f>IF(DATOS!$G4695&lt;&gt;"EX",0,--(COUNTIFS(nNIA,DATOS!$A4695,nCURSO,DATOS!$D4695,nESPEC,DATOS!$E4695,nASIG,DATOS!$I4695,nEVAL,"OR")=0))</f>
      </c>
      <c r="I4695">
        <f>IF(DATOS!$I4695="","",IFERROR(VLOOKUP(DATOS!$I4695,CONFIG_ASIGNATURAS!$B$2:$J$91,9,FALSE()),""))</f>
      </c>
    </row>
    <row r="4696">
      <c r="F4696">
        <f>IF(DATOS!$A4696="","",DATOS!$A4696&amp;"|"&amp;DATOS!$D4696&amp;"|"&amp;DATOS!$E4696&amp;"|"&amp;DATOS!$I4696)</f>
      </c>
      <c r="G4696">
        <f>IF(DATOS!$A4696="",0,IF(CONFIG_METADATA!$B$4&lt;&gt;"OR+EX",--(DATOS!$G4696=CONFIG_METADATA!$B$4),IF(DATOS!$G4696="EX",1,IF(DATOS!$G4696="OR",--(COUNTIFS(nNIA,DATOS!$A4696,nCURSO,DATOS!$D4696,nESPEC,DATOS!$E4696,nASIG,DATOS!$I4696,nEVAL,"EX")=0),0))))</f>
      </c>
      <c r="H4696">
        <f>IF(DATOS!$G4696&lt;&gt;"EX",0,--(COUNTIFS(nNIA,DATOS!$A4696,nCURSO,DATOS!$D4696,nESPEC,DATOS!$E4696,nASIG,DATOS!$I4696,nEVAL,"OR")=0))</f>
      </c>
      <c r="I4696">
        <f>IF(DATOS!$I4696="","",IFERROR(VLOOKUP(DATOS!$I4696,CONFIG_ASIGNATURAS!$B$2:$J$91,9,FALSE()),""))</f>
      </c>
    </row>
    <row r="4697">
      <c r="F4697">
        <f>IF(DATOS!$A4697="","",DATOS!$A4697&amp;"|"&amp;DATOS!$D4697&amp;"|"&amp;DATOS!$E4697&amp;"|"&amp;DATOS!$I4697)</f>
      </c>
      <c r="G4697">
        <f>IF(DATOS!$A4697="",0,IF(CONFIG_METADATA!$B$4&lt;&gt;"OR+EX",--(DATOS!$G4697=CONFIG_METADATA!$B$4),IF(DATOS!$G4697="EX",1,IF(DATOS!$G4697="OR",--(COUNTIFS(nNIA,DATOS!$A4697,nCURSO,DATOS!$D4697,nESPEC,DATOS!$E4697,nASIG,DATOS!$I4697,nEVAL,"EX")=0),0))))</f>
      </c>
      <c r="H4697">
        <f>IF(DATOS!$G4697&lt;&gt;"EX",0,--(COUNTIFS(nNIA,DATOS!$A4697,nCURSO,DATOS!$D4697,nESPEC,DATOS!$E4697,nASIG,DATOS!$I4697,nEVAL,"OR")=0))</f>
      </c>
      <c r="I4697">
        <f>IF(DATOS!$I4697="","",IFERROR(VLOOKUP(DATOS!$I4697,CONFIG_ASIGNATURAS!$B$2:$J$91,9,FALSE()),""))</f>
      </c>
    </row>
    <row r="4698">
      <c r="F4698">
        <f>IF(DATOS!$A4698="","",DATOS!$A4698&amp;"|"&amp;DATOS!$D4698&amp;"|"&amp;DATOS!$E4698&amp;"|"&amp;DATOS!$I4698)</f>
      </c>
      <c r="G4698">
        <f>IF(DATOS!$A4698="",0,IF(CONFIG_METADATA!$B$4&lt;&gt;"OR+EX",--(DATOS!$G4698=CONFIG_METADATA!$B$4),IF(DATOS!$G4698="EX",1,IF(DATOS!$G4698="OR",--(COUNTIFS(nNIA,DATOS!$A4698,nCURSO,DATOS!$D4698,nESPEC,DATOS!$E4698,nASIG,DATOS!$I4698,nEVAL,"EX")=0),0))))</f>
      </c>
      <c r="H4698">
        <f>IF(DATOS!$G4698&lt;&gt;"EX",0,--(COUNTIFS(nNIA,DATOS!$A4698,nCURSO,DATOS!$D4698,nESPEC,DATOS!$E4698,nASIG,DATOS!$I4698,nEVAL,"OR")=0))</f>
      </c>
      <c r="I4698">
        <f>IF(DATOS!$I4698="","",IFERROR(VLOOKUP(DATOS!$I4698,CONFIG_ASIGNATURAS!$B$2:$J$91,9,FALSE()),""))</f>
      </c>
    </row>
    <row r="4699">
      <c r="F4699">
        <f>IF(DATOS!$A4699="","",DATOS!$A4699&amp;"|"&amp;DATOS!$D4699&amp;"|"&amp;DATOS!$E4699&amp;"|"&amp;DATOS!$I4699)</f>
      </c>
      <c r="G4699">
        <f>IF(DATOS!$A4699="",0,IF(CONFIG_METADATA!$B$4&lt;&gt;"OR+EX",--(DATOS!$G4699=CONFIG_METADATA!$B$4),IF(DATOS!$G4699="EX",1,IF(DATOS!$G4699="OR",--(COUNTIFS(nNIA,DATOS!$A4699,nCURSO,DATOS!$D4699,nESPEC,DATOS!$E4699,nASIG,DATOS!$I4699,nEVAL,"EX")=0),0))))</f>
      </c>
      <c r="H4699">
        <f>IF(DATOS!$G4699&lt;&gt;"EX",0,--(COUNTIFS(nNIA,DATOS!$A4699,nCURSO,DATOS!$D4699,nESPEC,DATOS!$E4699,nASIG,DATOS!$I4699,nEVAL,"OR")=0))</f>
      </c>
      <c r="I4699">
        <f>IF(DATOS!$I4699="","",IFERROR(VLOOKUP(DATOS!$I4699,CONFIG_ASIGNATURAS!$B$2:$J$91,9,FALSE()),""))</f>
      </c>
    </row>
    <row r="4700">
      <c r="F4700">
        <f>IF(DATOS!$A4700="","",DATOS!$A4700&amp;"|"&amp;DATOS!$D4700&amp;"|"&amp;DATOS!$E4700&amp;"|"&amp;DATOS!$I4700)</f>
      </c>
      <c r="G4700">
        <f>IF(DATOS!$A4700="",0,IF(CONFIG_METADATA!$B$4&lt;&gt;"OR+EX",--(DATOS!$G4700=CONFIG_METADATA!$B$4),IF(DATOS!$G4700="EX",1,IF(DATOS!$G4700="OR",--(COUNTIFS(nNIA,DATOS!$A4700,nCURSO,DATOS!$D4700,nESPEC,DATOS!$E4700,nASIG,DATOS!$I4700,nEVAL,"EX")=0),0))))</f>
      </c>
      <c r="H4700">
        <f>IF(DATOS!$G4700&lt;&gt;"EX",0,--(COUNTIFS(nNIA,DATOS!$A4700,nCURSO,DATOS!$D4700,nESPEC,DATOS!$E4700,nASIG,DATOS!$I4700,nEVAL,"OR")=0))</f>
      </c>
      <c r="I4700">
        <f>IF(DATOS!$I4700="","",IFERROR(VLOOKUP(DATOS!$I4700,CONFIG_ASIGNATURAS!$B$2:$J$91,9,FALSE()),""))</f>
      </c>
    </row>
    <row r="4701">
      <c r="F4701">
        <f>IF(DATOS!$A4701="","",DATOS!$A4701&amp;"|"&amp;DATOS!$D4701&amp;"|"&amp;DATOS!$E4701&amp;"|"&amp;DATOS!$I4701)</f>
      </c>
      <c r="G4701">
        <f>IF(DATOS!$A4701="",0,IF(CONFIG_METADATA!$B$4&lt;&gt;"OR+EX",--(DATOS!$G4701=CONFIG_METADATA!$B$4),IF(DATOS!$G4701="EX",1,IF(DATOS!$G4701="OR",--(COUNTIFS(nNIA,DATOS!$A4701,nCURSO,DATOS!$D4701,nESPEC,DATOS!$E4701,nASIG,DATOS!$I4701,nEVAL,"EX")=0),0))))</f>
      </c>
      <c r="H4701">
        <f>IF(DATOS!$G4701&lt;&gt;"EX",0,--(COUNTIFS(nNIA,DATOS!$A4701,nCURSO,DATOS!$D4701,nESPEC,DATOS!$E4701,nASIG,DATOS!$I4701,nEVAL,"OR")=0))</f>
      </c>
      <c r="I4701">
        <f>IF(DATOS!$I4701="","",IFERROR(VLOOKUP(DATOS!$I4701,CONFIG_ASIGNATURAS!$B$2:$J$91,9,FALSE()),""))</f>
      </c>
    </row>
    <row r="4702">
      <c r="F4702">
        <f>IF(DATOS!$A4702="","",DATOS!$A4702&amp;"|"&amp;DATOS!$D4702&amp;"|"&amp;DATOS!$E4702&amp;"|"&amp;DATOS!$I4702)</f>
      </c>
      <c r="G4702">
        <f>IF(DATOS!$A4702="",0,IF(CONFIG_METADATA!$B$4&lt;&gt;"OR+EX",--(DATOS!$G4702=CONFIG_METADATA!$B$4),IF(DATOS!$G4702="EX",1,IF(DATOS!$G4702="OR",--(COUNTIFS(nNIA,DATOS!$A4702,nCURSO,DATOS!$D4702,nESPEC,DATOS!$E4702,nASIG,DATOS!$I4702,nEVAL,"EX")=0),0))))</f>
      </c>
      <c r="H4702">
        <f>IF(DATOS!$G4702&lt;&gt;"EX",0,--(COUNTIFS(nNIA,DATOS!$A4702,nCURSO,DATOS!$D4702,nESPEC,DATOS!$E4702,nASIG,DATOS!$I4702,nEVAL,"OR")=0))</f>
      </c>
      <c r="I4702">
        <f>IF(DATOS!$I4702="","",IFERROR(VLOOKUP(DATOS!$I4702,CONFIG_ASIGNATURAS!$B$2:$J$91,9,FALSE()),""))</f>
      </c>
    </row>
    <row r="4703">
      <c r="F4703">
        <f>IF(DATOS!$A4703="","",DATOS!$A4703&amp;"|"&amp;DATOS!$D4703&amp;"|"&amp;DATOS!$E4703&amp;"|"&amp;DATOS!$I4703)</f>
      </c>
      <c r="G4703">
        <f>IF(DATOS!$A4703="",0,IF(CONFIG_METADATA!$B$4&lt;&gt;"OR+EX",--(DATOS!$G4703=CONFIG_METADATA!$B$4),IF(DATOS!$G4703="EX",1,IF(DATOS!$G4703="OR",--(COUNTIFS(nNIA,DATOS!$A4703,nCURSO,DATOS!$D4703,nESPEC,DATOS!$E4703,nASIG,DATOS!$I4703,nEVAL,"EX")=0),0))))</f>
      </c>
      <c r="H4703">
        <f>IF(DATOS!$G4703&lt;&gt;"EX",0,--(COUNTIFS(nNIA,DATOS!$A4703,nCURSO,DATOS!$D4703,nESPEC,DATOS!$E4703,nASIG,DATOS!$I4703,nEVAL,"OR")=0))</f>
      </c>
      <c r="I4703">
        <f>IF(DATOS!$I4703="","",IFERROR(VLOOKUP(DATOS!$I4703,CONFIG_ASIGNATURAS!$B$2:$J$91,9,FALSE()),""))</f>
      </c>
    </row>
    <row r="4704">
      <c r="F4704">
        <f>IF(DATOS!$A4704="","",DATOS!$A4704&amp;"|"&amp;DATOS!$D4704&amp;"|"&amp;DATOS!$E4704&amp;"|"&amp;DATOS!$I4704)</f>
      </c>
      <c r="G4704">
        <f>IF(DATOS!$A4704="",0,IF(CONFIG_METADATA!$B$4&lt;&gt;"OR+EX",--(DATOS!$G4704=CONFIG_METADATA!$B$4),IF(DATOS!$G4704="EX",1,IF(DATOS!$G4704="OR",--(COUNTIFS(nNIA,DATOS!$A4704,nCURSO,DATOS!$D4704,nESPEC,DATOS!$E4704,nASIG,DATOS!$I4704,nEVAL,"EX")=0),0))))</f>
      </c>
      <c r="H4704">
        <f>IF(DATOS!$G4704&lt;&gt;"EX",0,--(COUNTIFS(nNIA,DATOS!$A4704,nCURSO,DATOS!$D4704,nESPEC,DATOS!$E4704,nASIG,DATOS!$I4704,nEVAL,"OR")=0))</f>
      </c>
      <c r="I4704">
        <f>IF(DATOS!$I4704="","",IFERROR(VLOOKUP(DATOS!$I4704,CONFIG_ASIGNATURAS!$B$2:$J$91,9,FALSE()),""))</f>
      </c>
    </row>
    <row r="4705">
      <c r="F4705">
        <f>IF(DATOS!$A4705="","",DATOS!$A4705&amp;"|"&amp;DATOS!$D4705&amp;"|"&amp;DATOS!$E4705&amp;"|"&amp;DATOS!$I4705)</f>
      </c>
      <c r="G4705">
        <f>IF(DATOS!$A4705="",0,IF(CONFIG_METADATA!$B$4&lt;&gt;"OR+EX",--(DATOS!$G4705=CONFIG_METADATA!$B$4),IF(DATOS!$G4705="EX",1,IF(DATOS!$G4705="OR",--(COUNTIFS(nNIA,DATOS!$A4705,nCURSO,DATOS!$D4705,nESPEC,DATOS!$E4705,nASIG,DATOS!$I4705,nEVAL,"EX")=0),0))))</f>
      </c>
      <c r="H4705">
        <f>IF(DATOS!$G4705&lt;&gt;"EX",0,--(COUNTIFS(nNIA,DATOS!$A4705,nCURSO,DATOS!$D4705,nESPEC,DATOS!$E4705,nASIG,DATOS!$I4705,nEVAL,"OR")=0))</f>
      </c>
      <c r="I4705">
        <f>IF(DATOS!$I4705="","",IFERROR(VLOOKUP(DATOS!$I4705,CONFIG_ASIGNATURAS!$B$2:$J$91,9,FALSE()),""))</f>
      </c>
    </row>
    <row r="4706">
      <c r="F4706">
        <f>IF(DATOS!$A4706="","",DATOS!$A4706&amp;"|"&amp;DATOS!$D4706&amp;"|"&amp;DATOS!$E4706&amp;"|"&amp;DATOS!$I4706)</f>
      </c>
      <c r="G4706">
        <f>IF(DATOS!$A4706="",0,IF(CONFIG_METADATA!$B$4&lt;&gt;"OR+EX",--(DATOS!$G4706=CONFIG_METADATA!$B$4),IF(DATOS!$G4706="EX",1,IF(DATOS!$G4706="OR",--(COUNTIFS(nNIA,DATOS!$A4706,nCURSO,DATOS!$D4706,nESPEC,DATOS!$E4706,nASIG,DATOS!$I4706,nEVAL,"EX")=0),0))))</f>
      </c>
      <c r="H4706">
        <f>IF(DATOS!$G4706&lt;&gt;"EX",0,--(COUNTIFS(nNIA,DATOS!$A4706,nCURSO,DATOS!$D4706,nESPEC,DATOS!$E4706,nASIG,DATOS!$I4706,nEVAL,"OR")=0))</f>
      </c>
      <c r="I4706">
        <f>IF(DATOS!$I4706="","",IFERROR(VLOOKUP(DATOS!$I4706,CONFIG_ASIGNATURAS!$B$2:$J$91,9,FALSE()),""))</f>
      </c>
    </row>
    <row r="4707">
      <c r="F4707">
        <f>IF(DATOS!$A4707="","",DATOS!$A4707&amp;"|"&amp;DATOS!$D4707&amp;"|"&amp;DATOS!$E4707&amp;"|"&amp;DATOS!$I4707)</f>
      </c>
      <c r="G4707">
        <f>IF(DATOS!$A4707="",0,IF(CONFIG_METADATA!$B$4&lt;&gt;"OR+EX",--(DATOS!$G4707=CONFIG_METADATA!$B$4),IF(DATOS!$G4707="EX",1,IF(DATOS!$G4707="OR",--(COUNTIFS(nNIA,DATOS!$A4707,nCURSO,DATOS!$D4707,nESPEC,DATOS!$E4707,nASIG,DATOS!$I4707,nEVAL,"EX")=0),0))))</f>
      </c>
      <c r="H4707">
        <f>IF(DATOS!$G4707&lt;&gt;"EX",0,--(COUNTIFS(nNIA,DATOS!$A4707,nCURSO,DATOS!$D4707,nESPEC,DATOS!$E4707,nASIG,DATOS!$I4707,nEVAL,"OR")=0))</f>
      </c>
      <c r="I4707">
        <f>IF(DATOS!$I4707="","",IFERROR(VLOOKUP(DATOS!$I4707,CONFIG_ASIGNATURAS!$B$2:$J$91,9,FALSE()),""))</f>
      </c>
    </row>
    <row r="4708">
      <c r="F4708">
        <f>IF(DATOS!$A4708="","",DATOS!$A4708&amp;"|"&amp;DATOS!$D4708&amp;"|"&amp;DATOS!$E4708&amp;"|"&amp;DATOS!$I4708)</f>
      </c>
      <c r="G4708">
        <f>IF(DATOS!$A4708="",0,IF(CONFIG_METADATA!$B$4&lt;&gt;"OR+EX",--(DATOS!$G4708=CONFIG_METADATA!$B$4),IF(DATOS!$G4708="EX",1,IF(DATOS!$G4708="OR",--(COUNTIFS(nNIA,DATOS!$A4708,nCURSO,DATOS!$D4708,nESPEC,DATOS!$E4708,nASIG,DATOS!$I4708,nEVAL,"EX")=0),0))))</f>
      </c>
      <c r="H4708">
        <f>IF(DATOS!$G4708&lt;&gt;"EX",0,--(COUNTIFS(nNIA,DATOS!$A4708,nCURSO,DATOS!$D4708,nESPEC,DATOS!$E4708,nASIG,DATOS!$I4708,nEVAL,"OR")=0))</f>
      </c>
      <c r="I4708">
        <f>IF(DATOS!$I4708="","",IFERROR(VLOOKUP(DATOS!$I4708,CONFIG_ASIGNATURAS!$B$2:$J$91,9,FALSE()),""))</f>
      </c>
    </row>
    <row r="4709">
      <c r="F4709">
        <f>IF(DATOS!$A4709="","",DATOS!$A4709&amp;"|"&amp;DATOS!$D4709&amp;"|"&amp;DATOS!$E4709&amp;"|"&amp;DATOS!$I4709)</f>
      </c>
      <c r="G4709">
        <f>IF(DATOS!$A4709="",0,IF(CONFIG_METADATA!$B$4&lt;&gt;"OR+EX",--(DATOS!$G4709=CONFIG_METADATA!$B$4),IF(DATOS!$G4709="EX",1,IF(DATOS!$G4709="OR",--(COUNTIFS(nNIA,DATOS!$A4709,nCURSO,DATOS!$D4709,nESPEC,DATOS!$E4709,nASIG,DATOS!$I4709,nEVAL,"EX")=0),0))))</f>
      </c>
      <c r="H4709">
        <f>IF(DATOS!$G4709&lt;&gt;"EX",0,--(COUNTIFS(nNIA,DATOS!$A4709,nCURSO,DATOS!$D4709,nESPEC,DATOS!$E4709,nASIG,DATOS!$I4709,nEVAL,"OR")=0))</f>
      </c>
      <c r="I4709">
        <f>IF(DATOS!$I4709="","",IFERROR(VLOOKUP(DATOS!$I4709,CONFIG_ASIGNATURAS!$B$2:$J$91,9,FALSE()),""))</f>
      </c>
    </row>
    <row r="4710">
      <c r="F4710">
        <f>IF(DATOS!$A4710="","",DATOS!$A4710&amp;"|"&amp;DATOS!$D4710&amp;"|"&amp;DATOS!$E4710&amp;"|"&amp;DATOS!$I4710)</f>
      </c>
      <c r="G4710">
        <f>IF(DATOS!$A4710="",0,IF(CONFIG_METADATA!$B$4&lt;&gt;"OR+EX",--(DATOS!$G4710=CONFIG_METADATA!$B$4),IF(DATOS!$G4710="EX",1,IF(DATOS!$G4710="OR",--(COUNTIFS(nNIA,DATOS!$A4710,nCURSO,DATOS!$D4710,nESPEC,DATOS!$E4710,nASIG,DATOS!$I4710,nEVAL,"EX")=0),0))))</f>
      </c>
      <c r="H4710">
        <f>IF(DATOS!$G4710&lt;&gt;"EX",0,--(COUNTIFS(nNIA,DATOS!$A4710,nCURSO,DATOS!$D4710,nESPEC,DATOS!$E4710,nASIG,DATOS!$I4710,nEVAL,"OR")=0))</f>
      </c>
      <c r="I4710">
        <f>IF(DATOS!$I4710="","",IFERROR(VLOOKUP(DATOS!$I4710,CONFIG_ASIGNATURAS!$B$2:$J$91,9,FALSE()),""))</f>
      </c>
    </row>
    <row r="4711">
      <c r="F4711">
        <f>IF(DATOS!$A4711="","",DATOS!$A4711&amp;"|"&amp;DATOS!$D4711&amp;"|"&amp;DATOS!$E4711&amp;"|"&amp;DATOS!$I4711)</f>
      </c>
      <c r="G4711">
        <f>IF(DATOS!$A4711="",0,IF(CONFIG_METADATA!$B$4&lt;&gt;"OR+EX",--(DATOS!$G4711=CONFIG_METADATA!$B$4),IF(DATOS!$G4711="EX",1,IF(DATOS!$G4711="OR",--(COUNTIFS(nNIA,DATOS!$A4711,nCURSO,DATOS!$D4711,nESPEC,DATOS!$E4711,nASIG,DATOS!$I4711,nEVAL,"EX")=0),0))))</f>
      </c>
      <c r="H4711">
        <f>IF(DATOS!$G4711&lt;&gt;"EX",0,--(COUNTIFS(nNIA,DATOS!$A4711,nCURSO,DATOS!$D4711,nESPEC,DATOS!$E4711,nASIG,DATOS!$I4711,nEVAL,"OR")=0))</f>
      </c>
      <c r="I4711">
        <f>IF(DATOS!$I4711="","",IFERROR(VLOOKUP(DATOS!$I4711,CONFIG_ASIGNATURAS!$B$2:$J$91,9,FALSE()),""))</f>
      </c>
    </row>
    <row r="4712">
      <c r="F4712">
        <f>IF(DATOS!$A4712="","",DATOS!$A4712&amp;"|"&amp;DATOS!$D4712&amp;"|"&amp;DATOS!$E4712&amp;"|"&amp;DATOS!$I4712)</f>
      </c>
      <c r="G4712">
        <f>IF(DATOS!$A4712="",0,IF(CONFIG_METADATA!$B$4&lt;&gt;"OR+EX",--(DATOS!$G4712=CONFIG_METADATA!$B$4),IF(DATOS!$G4712="EX",1,IF(DATOS!$G4712="OR",--(COUNTIFS(nNIA,DATOS!$A4712,nCURSO,DATOS!$D4712,nESPEC,DATOS!$E4712,nASIG,DATOS!$I4712,nEVAL,"EX")=0),0))))</f>
      </c>
      <c r="H4712">
        <f>IF(DATOS!$G4712&lt;&gt;"EX",0,--(COUNTIFS(nNIA,DATOS!$A4712,nCURSO,DATOS!$D4712,nESPEC,DATOS!$E4712,nASIG,DATOS!$I4712,nEVAL,"OR")=0))</f>
      </c>
      <c r="I4712">
        <f>IF(DATOS!$I4712="","",IFERROR(VLOOKUP(DATOS!$I4712,CONFIG_ASIGNATURAS!$B$2:$J$91,9,FALSE()),""))</f>
      </c>
    </row>
    <row r="4713">
      <c r="F4713">
        <f>IF(DATOS!$A4713="","",DATOS!$A4713&amp;"|"&amp;DATOS!$D4713&amp;"|"&amp;DATOS!$E4713&amp;"|"&amp;DATOS!$I4713)</f>
      </c>
      <c r="G4713">
        <f>IF(DATOS!$A4713="",0,IF(CONFIG_METADATA!$B$4&lt;&gt;"OR+EX",--(DATOS!$G4713=CONFIG_METADATA!$B$4),IF(DATOS!$G4713="EX",1,IF(DATOS!$G4713="OR",--(COUNTIFS(nNIA,DATOS!$A4713,nCURSO,DATOS!$D4713,nESPEC,DATOS!$E4713,nASIG,DATOS!$I4713,nEVAL,"EX")=0),0))))</f>
      </c>
      <c r="H4713">
        <f>IF(DATOS!$G4713&lt;&gt;"EX",0,--(COUNTIFS(nNIA,DATOS!$A4713,nCURSO,DATOS!$D4713,nESPEC,DATOS!$E4713,nASIG,DATOS!$I4713,nEVAL,"OR")=0))</f>
      </c>
      <c r="I4713">
        <f>IF(DATOS!$I4713="","",IFERROR(VLOOKUP(DATOS!$I4713,CONFIG_ASIGNATURAS!$B$2:$J$91,9,FALSE()),""))</f>
      </c>
    </row>
    <row r="4714">
      <c r="F4714">
        <f>IF(DATOS!$A4714="","",DATOS!$A4714&amp;"|"&amp;DATOS!$D4714&amp;"|"&amp;DATOS!$E4714&amp;"|"&amp;DATOS!$I4714)</f>
      </c>
      <c r="G4714">
        <f>IF(DATOS!$A4714="",0,IF(CONFIG_METADATA!$B$4&lt;&gt;"OR+EX",--(DATOS!$G4714=CONFIG_METADATA!$B$4),IF(DATOS!$G4714="EX",1,IF(DATOS!$G4714="OR",--(COUNTIFS(nNIA,DATOS!$A4714,nCURSO,DATOS!$D4714,nESPEC,DATOS!$E4714,nASIG,DATOS!$I4714,nEVAL,"EX")=0),0))))</f>
      </c>
      <c r="H4714">
        <f>IF(DATOS!$G4714&lt;&gt;"EX",0,--(COUNTIFS(nNIA,DATOS!$A4714,nCURSO,DATOS!$D4714,nESPEC,DATOS!$E4714,nASIG,DATOS!$I4714,nEVAL,"OR")=0))</f>
      </c>
      <c r="I4714">
        <f>IF(DATOS!$I4714="","",IFERROR(VLOOKUP(DATOS!$I4714,CONFIG_ASIGNATURAS!$B$2:$J$91,9,FALSE()),""))</f>
      </c>
    </row>
    <row r="4715">
      <c r="F4715">
        <f>IF(DATOS!$A4715="","",DATOS!$A4715&amp;"|"&amp;DATOS!$D4715&amp;"|"&amp;DATOS!$E4715&amp;"|"&amp;DATOS!$I4715)</f>
      </c>
      <c r="G4715">
        <f>IF(DATOS!$A4715="",0,IF(CONFIG_METADATA!$B$4&lt;&gt;"OR+EX",--(DATOS!$G4715=CONFIG_METADATA!$B$4),IF(DATOS!$G4715="EX",1,IF(DATOS!$G4715="OR",--(COUNTIFS(nNIA,DATOS!$A4715,nCURSO,DATOS!$D4715,nESPEC,DATOS!$E4715,nASIG,DATOS!$I4715,nEVAL,"EX")=0),0))))</f>
      </c>
      <c r="H4715">
        <f>IF(DATOS!$G4715&lt;&gt;"EX",0,--(COUNTIFS(nNIA,DATOS!$A4715,nCURSO,DATOS!$D4715,nESPEC,DATOS!$E4715,nASIG,DATOS!$I4715,nEVAL,"OR")=0))</f>
      </c>
      <c r="I4715">
        <f>IF(DATOS!$I4715="","",IFERROR(VLOOKUP(DATOS!$I4715,CONFIG_ASIGNATURAS!$B$2:$J$91,9,FALSE()),""))</f>
      </c>
    </row>
    <row r="4716">
      <c r="F4716">
        <f>IF(DATOS!$A4716="","",DATOS!$A4716&amp;"|"&amp;DATOS!$D4716&amp;"|"&amp;DATOS!$E4716&amp;"|"&amp;DATOS!$I4716)</f>
      </c>
      <c r="G4716">
        <f>IF(DATOS!$A4716="",0,IF(CONFIG_METADATA!$B$4&lt;&gt;"OR+EX",--(DATOS!$G4716=CONFIG_METADATA!$B$4),IF(DATOS!$G4716="EX",1,IF(DATOS!$G4716="OR",--(COUNTIFS(nNIA,DATOS!$A4716,nCURSO,DATOS!$D4716,nESPEC,DATOS!$E4716,nASIG,DATOS!$I4716,nEVAL,"EX")=0),0))))</f>
      </c>
      <c r="H4716">
        <f>IF(DATOS!$G4716&lt;&gt;"EX",0,--(COUNTIFS(nNIA,DATOS!$A4716,nCURSO,DATOS!$D4716,nESPEC,DATOS!$E4716,nASIG,DATOS!$I4716,nEVAL,"OR")=0))</f>
      </c>
      <c r="I4716">
        <f>IF(DATOS!$I4716="","",IFERROR(VLOOKUP(DATOS!$I4716,CONFIG_ASIGNATURAS!$B$2:$J$91,9,FALSE()),""))</f>
      </c>
    </row>
    <row r="4717">
      <c r="F4717">
        <f>IF(DATOS!$A4717="","",DATOS!$A4717&amp;"|"&amp;DATOS!$D4717&amp;"|"&amp;DATOS!$E4717&amp;"|"&amp;DATOS!$I4717)</f>
      </c>
      <c r="G4717">
        <f>IF(DATOS!$A4717="",0,IF(CONFIG_METADATA!$B$4&lt;&gt;"OR+EX",--(DATOS!$G4717=CONFIG_METADATA!$B$4),IF(DATOS!$G4717="EX",1,IF(DATOS!$G4717="OR",--(COUNTIFS(nNIA,DATOS!$A4717,nCURSO,DATOS!$D4717,nESPEC,DATOS!$E4717,nASIG,DATOS!$I4717,nEVAL,"EX")=0),0))))</f>
      </c>
      <c r="H4717">
        <f>IF(DATOS!$G4717&lt;&gt;"EX",0,--(COUNTIFS(nNIA,DATOS!$A4717,nCURSO,DATOS!$D4717,nESPEC,DATOS!$E4717,nASIG,DATOS!$I4717,nEVAL,"OR")=0))</f>
      </c>
      <c r="I4717">
        <f>IF(DATOS!$I4717="","",IFERROR(VLOOKUP(DATOS!$I4717,CONFIG_ASIGNATURAS!$B$2:$J$91,9,FALSE()),""))</f>
      </c>
    </row>
    <row r="4718">
      <c r="F4718">
        <f>IF(DATOS!$A4718="","",DATOS!$A4718&amp;"|"&amp;DATOS!$D4718&amp;"|"&amp;DATOS!$E4718&amp;"|"&amp;DATOS!$I4718)</f>
      </c>
      <c r="G4718">
        <f>IF(DATOS!$A4718="",0,IF(CONFIG_METADATA!$B$4&lt;&gt;"OR+EX",--(DATOS!$G4718=CONFIG_METADATA!$B$4),IF(DATOS!$G4718="EX",1,IF(DATOS!$G4718="OR",--(COUNTIFS(nNIA,DATOS!$A4718,nCURSO,DATOS!$D4718,nESPEC,DATOS!$E4718,nASIG,DATOS!$I4718,nEVAL,"EX")=0),0))))</f>
      </c>
      <c r="H4718">
        <f>IF(DATOS!$G4718&lt;&gt;"EX",0,--(COUNTIFS(nNIA,DATOS!$A4718,nCURSO,DATOS!$D4718,nESPEC,DATOS!$E4718,nASIG,DATOS!$I4718,nEVAL,"OR")=0))</f>
      </c>
      <c r="I4718">
        <f>IF(DATOS!$I4718="","",IFERROR(VLOOKUP(DATOS!$I4718,CONFIG_ASIGNATURAS!$B$2:$J$91,9,FALSE()),""))</f>
      </c>
    </row>
    <row r="4719">
      <c r="F4719">
        <f>IF(DATOS!$A4719="","",DATOS!$A4719&amp;"|"&amp;DATOS!$D4719&amp;"|"&amp;DATOS!$E4719&amp;"|"&amp;DATOS!$I4719)</f>
      </c>
      <c r="G4719">
        <f>IF(DATOS!$A4719="",0,IF(CONFIG_METADATA!$B$4&lt;&gt;"OR+EX",--(DATOS!$G4719=CONFIG_METADATA!$B$4),IF(DATOS!$G4719="EX",1,IF(DATOS!$G4719="OR",--(COUNTIFS(nNIA,DATOS!$A4719,nCURSO,DATOS!$D4719,nESPEC,DATOS!$E4719,nASIG,DATOS!$I4719,nEVAL,"EX")=0),0))))</f>
      </c>
      <c r="H4719">
        <f>IF(DATOS!$G4719&lt;&gt;"EX",0,--(COUNTIFS(nNIA,DATOS!$A4719,nCURSO,DATOS!$D4719,nESPEC,DATOS!$E4719,nASIG,DATOS!$I4719,nEVAL,"OR")=0))</f>
      </c>
      <c r="I4719">
        <f>IF(DATOS!$I4719="","",IFERROR(VLOOKUP(DATOS!$I4719,CONFIG_ASIGNATURAS!$B$2:$J$91,9,FALSE()),""))</f>
      </c>
    </row>
    <row r="4720">
      <c r="F4720">
        <f>IF(DATOS!$A4720="","",DATOS!$A4720&amp;"|"&amp;DATOS!$D4720&amp;"|"&amp;DATOS!$E4720&amp;"|"&amp;DATOS!$I4720)</f>
      </c>
      <c r="G4720">
        <f>IF(DATOS!$A4720="",0,IF(CONFIG_METADATA!$B$4&lt;&gt;"OR+EX",--(DATOS!$G4720=CONFIG_METADATA!$B$4),IF(DATOS!$G4720="EX",1,IF(DATOS!$G4720="OR",--(COUNTIFS(nNIA,DATOS!$A4720,nCURSO,DATOS!$D4720,nESPEC,DATOS!$E4720,nASIG,DATOS!$I4720,nEVAL,"EX")=0),0))))</f>
      </c>
      <c r="H4720">
        <f>IF(DATOS!$G4720&lt;&gt;"EX",0,--(COUNTIFS(nNIA,DATOS!$A4720,nCURSO,DATOS!$D4720,nESPEC,DATOS!$E4720,nASIG,DATOS!$I4720,nEVAL,"OR")=0))</f>
      </c>
      <c r="I4720">
        <f>IF(DATOS!$I4720="","",IFERROR(VLOOKUP(DATOS!$I4720,CONFIG_ASIGNATURAS!$B$2:$J$91,9,FALSE()),""))</f>
      </c>
    </row>
    <row r="4721">
      <c r="F4721">
        <f>IF(DATOS!$A4721="","",DATOS!$A4721&amp;"|"&amp;DATOS!$D4721&amp;"|"&amp;DATOS!$E4721&amp;"|"&amp;DATOS!$I4721)</f>
      </c>
      <c r="G4721">
        <f>IF(DATOS!$A4721="",0,IF(CONFIG_METADATA!$B$4&lt;&gt;"OR+EX",--(DATOS!$G4721=CONFIG_METADATA!$B$4),IF(DATOS!$G4721="EX",1,IF(DATOS!$G4721="OR",--(COUNTIFS(nNIA,DATOS!$A4721,nCURSO,DATOS!$D4721,nESPEC,DATOS!$E4721,nASIG,DATOS!$I4721,nEVAL,"EX")=0),0))))</f>
      </c>
      <c r="H4721">
        <f>IF(DATOS!$G4721&lt;&gt;"EX",0,--(COUNTIFS(nNIA,DATOS!$A4721,nCURSO,DATOS!$D4721,nESPEC,DATOS!$E4721,nASIG,DATOS!$I4721,nEVAL,"OR")=0))</f>
      </c>
      <c r="I4721">
        <f>IF(DATOS!$I4721="","",IFERROR(VLOOKUP(DATOS!$I4721,CONFIG_ASIGNATURAS!$B$2:$J$91,9,FALSE()),""))</f>
      </c>
    </row>
    <row r="4722">
      <c r="F4722">
        <f>IF(DATOS!$A4722="","",DATOS!$A4722&amp;"|"&amp;DATOS!$D4722&amp;"|"&amp;DATOS!$E4722&amp;"|"&amp;DATOS!$I4722)</f>
      </c>
      <c r="G4722">
        <f>IF(DATOS!$A4722="",0,IF(CONFIG_METADATA!$B$4&lt;&gt;"OR+EX",--(DATOS!$G4722=CONFIG_METADATA!$B$4),IF(DATOS!$G4722="EX",1,IF(DATOS!$G4722="OR",--(COUNTIFS(nNIA,DATOS!$A4722,nCURSO,DATOS!$D4722,nESPEC,DATOS!$E4722,nASIG,DATOS!$I4722,nEVAL,"EX")=0),0))))</f>
      </c>
      <c r="H4722">
        <f>IF(DATOS!$G4722&lt;&gt;"EX",0,--(COUNTIFS(nNIA,DATOS!$A4722,nCURSO,DATOS!$D4722,nESPEC,DATOS!$E4722,nASIG,DATOS!$I4722,nEVAL,"OR")=0))</f>
      </c>
      <c r="I4722">
        <f>IF(DATOS!$I4722="","",IFERROR(VLOOKUP(DATOS!$I4722,CONFIG_ASIGNATURAS!$B$2:$J$91,9,FALSE()),""))</f>
      </c>
    </row>
    <row r="4723">
      <c r="F4723">
        <f>IF(DATOS!$A4723="","",DATOS!$A4723&amp;"|"&amp;DATOS!$D4723&amp;"|"&amp;DATOS!$E4723&amp;"|"&amp;DATOS!$I4723)</f>
      </c>
      <c r="G4723">
        <f>IF(DATOS!$A4723="",0,IF(CONFIG_METADATA!$B$4&lt;&gt;"OR+EX",--(DATOS!$G4723=CONFIG_METADATA!$B$4),IF(DATOS!$G4723="EX",1,IF(DATOS!$G4723="OR",--(COUNTIFS(nNIA,DATOS!$A4723,nCURSO,DATOS!$D4723,nESPEC,DATOS!$E4723,nASIG,DATOS!$I4723,nEVAL,"EX")=0),0))))</f>
      </c>
      <c r="H4723">
        <f>IF(DATOS!$G4723&lt;&gt;"EX",0,--(COUNTIFS(nNIA,DATOS!$A4723,nCURSO,DATOS!$D4723,nESPEC,DATOS!$E4723,nASIG,DATOS!$I4723,nEVAL,"OR")=0))</f>
      </c>
      <c r="I4723">
        <f>IF(DATOS!$I4723="","",IFERROR(VLOOKUP(DATOS!$I4723,CONFIG_ASIGNATURAS!$B$2:$J$91,9,FALSE()),""))</f>
      </c>
    </row>
    <row r="4724">
      <c r="F4724">
        <f>IF(DATOS!$A4724="","",DATOS!$A4724&amp;"|"&amp;DATOS!$D4724&amp;"|"&amp;DATOS!$E4724&amp;"|"&amp;DATOS!$I4724)</f>
      </c>
      <c r="G4724">
        <f>IF(DATOS!$A4724="",0,IF(CONFIG_METADATA!$B$4&lt;&gt;"OR+EX",--(DATOS!$G4724=CONFIG_METADATA!$B$4),IF(DATOS!$G4724="EX",1,IF(DATOS!$G4724="OR",--(COUNTIFS(nNIA,DATOS!$A4724,nCURSO,DATOS!$D4724,nESPEC,DATOS!$E4724,nASIG,DATOS!$I4724,nEVAL,"EX")=0),0))))</f>
      </c>
      <c r="H4724">
        <f>IF(DATOS!$G4724&lt;&gt;"EX",0,--(COUNTIFS(nNIA,DATOS!$A4724,nCURSO,DATOS!$D4724,nESPEC,DATOS!$E4724,nASIG,DATOS!$I4724,nEVAL,"OR")=0))</f>
      </c>
      <c r="I4724">
        <f>IF(DATOS!$I4724="","",IFERROR(VLOOKUP(DATOS!$I4724,CONFIG_ASIGNATURAS!$B$2:$J$91,9,FALSE()),""))</f>
      </c>
    </row>
    <row r="4725">
      <c r="F4725">
        <f>IF(DATOS!$A4725="","",DATOS!$A4725&amp;"|"&amp;DATOS!$D4725&amp;"|"&amp;DATOS!$E4725&amp;"|"&amp;DATOS!$I4725)</f>
      </c>
      <c r="G4725">
        <f>IF(DATOS!$A4725="",0,IF(CONFIG_METADATA!$B$4&lt;&gt;"OR+EX",--(DATOS!$G4725=CONFIG_METADATA!$B$4),IF(DATOS!$G4725="EX",1,IF(DATOS!$G4725="OR",--(COUNTIFS(nNIA,DATOS!$A4725,nCURSO,DATOS!$D4725,nESPEC,DATOS!$E4725,nASIG,DATOS!$I4725,nEVAL,"EX")=0),0))))</f>
      </c>
      <c r="H4725">
        <f>IF(DATOS!$G4725&lt;&gt;"EX",0,--(COUNTIFS(nNIA,DATOS!$A4725,nCURSO,DATOS!$D4725,nESPEC,DATOS!$E4725,nASIG,DATOS!$I4725,nEVAL,"OR")=0))</f>
      </c>
      <c r="I4725">
        <f>IF(DATOS!$I4725="","",IFERROR(VLOOKUP(DATOS!$I4725,CONFIG_ASIGNATURAS!$B$2:$J$91,9,FALSE()),""))</f>
      </c>
    </row>
    <row r="4726">
      <c r="F4726">
        <f>IF(DATOS!$A4726="","",DATOS!$A4726&amp;"|"&amp;DATOS!$D4726&amp;"|"&amp;DATOS!$E4726&amp;"|"&amp;DATOS!$I4726)</f>
      </c>
      <c r="G4726">
        <f>IF(DATOS!$A4726="",0,IF(CONFIG_METADATA!$B$4&lt;&gt;"OR+EX",--(DATOS!$G4726=CONFIG_METADATA!$B$4),IF(DATOS!$G4726="EX",1,IF(DATOS!$G4726="OR",--(COUNTIFS(nNIA,DATOS!$A4726,nCURSO,DATOS!$D4726,nESPEC,DATOS!$E4726,nASIG,DATOS!$I4726,nEVAL,"EX")=0),0))))</f>
      </c>
      <c r="H4726">
        <f>IF(DATOS!$G4726&lt;&gt;"EX",0,--(COUNTIFS(nNIA,DATOS!$A4726,nCURSO,DATOS!$D4726,nESPEC,DATOS!$E4726,nASIG,DATOS!$I4726,nEVAL,"OR")=0))</f>
      </c>
      <c r="I4726">
        <f>IF(DATOS!$I4726="","",IFERROR(VLOOKUP(DATOS!$I4726,CONFIG_ASIGNATURAS!$B$2:$J$91,9,FALSE()),""))</f>
      </c>
    </row>
    <row r="4727">
      <c r="F4727">
        <f>IF(DATOS!$A4727="","",DATOS!$A4727&amp;"|"&amp;DATOS!$D4727&amp;"|"&amp;DATOS!$E4727&amp;"|"&amp;DATOS!$I4727)</f>
      </c>
      <c r="G4727">
        <f>IF(DATOS!$A4727="",0,IF(CONFIG_METADATA!$B$4&lt;&gt;"OR+EX",--(DATOS!$G4727=CONFIG_METADATA!$B$4),IF(DATOS!$G4727="EX",1,IF(DATOS!$G4727="OR",--(COUNTIFS(nNIA,DATOS!$A4727,nCURSO,DATOS!$D4727,nESPEC,DATOS!$E4727,nASIG,DATOS!$I4727,nEVAL,"EX")=0),0))))</f>
      </c>
      <c r="H4727">
        <f>IF(DATOS!$G4727&lt;&gt;"EX",0,--(COUNTIFS(nNIA,DATOS!$A4727,nCURSO,DATOS!$D4727,nESPEC,DATOS!$E4727,nASIG,DATOS!$I4727,nEVAL,"OR")=0))</f>
      </c>
      <c r="I4727">
        <f>IF(DATOS!$I4727="","",IFERROR(VLOOKUP(DATOS!$I4727,CONFIG_ASIGNATURAS!$B$2:$J$91,9,FALSE()),""))</f>
      </c>
    </row>
    <row r="4728">
      <c r="F4728">
        <f>IF(DATOS!$A4728="","",DATOS!$A4728&amp;"|"&amp;DATOS!$D4728&amp;"|"&amp;DATOS!$E4728&amp;"|"&amp;DATOS!$I4728)</f>
      </c>
      <c r="G4728">
        <f>IF(DATOS!$A4728="",0,IF(CONFIG_METADATA!$B$4&lt;&gt;"OR+EX",--(DATOS!$G4728=CONFIG_METADATA!$B$4),IF(DATOS!$G4728="EX",1,IF(DATOS!$G4728="OR",--(COUNTIFS(nNIA,DATOS!$A4728,nCURSO,DATOS!$D4728,nESPEC,DATOS!$E4728,nASIG,DATOS!$I4728,nEVAL,"EX")=0),0))))</f>
      </c>
      <c r="H4728">
        <f>IF(DATOS!$G4728&lt;&gt;"EX",0,--(COUNTIFS(nNIA,DATOS!$A4728,nCURSO,DATOS!$D4728,nESPEC,DATOS!$E4728,nASIG,DATOS!$I4728,nEVAL,"OR")=0))</f>
      </c>
      <c r="I4728">
        <f>IF(DATOS!$I4728="","",IFERROR(VLOOKUP(DATOS!$I4728,CONFIG_ASIGNATURAS!$B$2:$J$91,9,FALSE()),""))</f>
      </c>
    </row>
    <row r="4729">
      <c r="F4729">
        <f>IF(DATOS!$A4729="","",DATOS!$A4729&amp;"|"&amp;DATOS!$D4729&amp;"|"&amp;DATOS!$E4729&amp;"|"&amp;DATOS!$I4729)</f>
      </c>
      <c r="G4729">
        <f>IF(DATOS!$A4729="",0,IF(CONFIG_METADATA!$B$4&lt;&gt;"OR+EX",--(DATOS!$G4729=CONFIG_METADATA!$B$4),IF(DATOS!$G4729="EX",1,IF(DATOS!$G4729="OR",--(COUNTIFS(nNIA,DATOS!$A4729,nCURSO,DATOS!$D4729,nESPEC,DATOS!$E4729,nASIG,DATOS!$I4729,nEVAL,"EX")=0),0))))</f>
      </c>
      <c r="H4729">
        <f>IF(DATOS!$G4729&lt;&gt;"EX",0,--(COUNTIFS(nNIA,DATOS!$A4729,nCURSO,DATOS!$D4729,nESPEC,DATOS!$E4729,nASIG,DATOS!$I4729,nEVAL,"OR")=0))</f>
      </c>
      <c r="I4729">
        <f>IF(DATOS!$I4729="","",IFERROR(VLOOKUP(DATOS!$I4729,CONFIG_ASIGNATURAS!$B$2:$J$91,9,FALSE()),""))</f>
      </c>
    </row>
    <row r="4730">
      <c r="F4730">
        <f>IF(DATOS!$A4730="","",DATOS!$A4730&amp;"|"&amp;DATOS!$D4730&amp;"|"&amp;DATOS!$E4730&amp;"|"&amp;DATOS!$I4730)</f>
      </c>
      <c r="G4730">
        <f>IF(DATOS!$A4730="",0,IF(CONFIG_METADATA!$B$4&lt;&gt;"OR+EX",--(DATOS!$G4730=CONFIG_METADATA!$B$4),IF(DATOS!$G4730="EX",1,IF(DATOS!$G4730="OR",--(COUNTIFS(nNIA,DATOS!$A4730,nCURSO,DATOS!$D4730,nESPEC,DATOS!$E4730,nASIG,DATOS!$I4730,nEVAL,"EX")=0),0))))</f>
      </c>
      <c r="H4730">
        <f>IF(DATOS!$G4730&lt;&gt;"EX",0,--(COUNTIFS(nNIA,DATOS!$A4730,nCURSO,DATOS!$D4730,nESPEC,DATOS!$E4730,nASIG,DATOS!$I4730,nEVAL,"OR")=0))</f>
      </c>
      <c r="I4730">
        <f>IF(DATOS!$I4730="","",IFERROR(VLOOKUP(DATOS!$I4730,CONFIG_ASIGNATURAS!$B$2:$J$91,9,FALSE()),""))</f>
      </c>
    </row>
    <row r="4731">
      <c r="F4731">
        <f>IF(DATOS!$A4731="","",DATOS!$A4731&amp;"|"&amp;DATOS!$D4731&amp;"|"&amp;DATOS!$E4731&amp;"|"&amp;DATOS!$I4731)</f>
      </c>
      <c r="G4731">
        <f>IF(DATOS!$A4731="",0,IF(CONFIG_METADATA!$B$4&lt;&gt;"OR+EX",--(DATOS!$G4731=CONFIG_METADATA!$B$4),IF(DATOS!$G4731="EX",1,IF(DATOS!$G4731="OR",--(COUNTIFS(nNIA,DATOS!$A4731,nCURSO,DATOS!$D4731,nESPEC,DATOS!$E4731,nASIG,DATOS!$I4731,nEVAL,"EX")=0),0))))</f>
      </c>
      <c r="H4731">
        <f>IF(DATOS!$G4731&lt;&gt;"EX",0,--(COUNTIFS(nNIA,DATOS!$A4731,nCURSO,DATOS!$D4731,nESPEC,DATOS!$E4731,nASIG,DATOS!$I4731,nEVAL,"OR")=0))</f>
      </c>
      <c r="I4731">
        <f>IF(DATOS!$I4731="","",IFERROR(VLOOKUP(DATOS!$I4731,CONFIG_ASIGNATURAS!$B$2:$J$91,9,FALSE()),""))</f>
      </c>
    </row>
    <row r="4732">
      <c r="F4732">
        <f>IF(DATOS!$A4732="","",DATOS!$A4732&amp;"|"&amp;DATOS!$D4732&amp;"|"&amp;DATOS!$E4732&amp;"|"&amp;DATOS!$I4732)</f>
      </c>
      <c r="G4732">
        <f>IF(DATOS!$A4732="",0,IF(CONFIG_METADATA!$B$4&lt;&gt;"OR+EX",--(DATOS!$G4732=CONFIG_METADATA!$B$4),IF(DATOS!$G4732="EX",1,IF(DATOS!$G4732="OR",--(COUNTIFS(nNIA,DATOS!$A4732,nCURSO,DATOS!$D4732,nESPEC,DATOS!$E4732,nASIG,DATOS!$I4732,nEVAL,"EX")=0),0))))</f>
      </c>
      <c r="H4732">
        <f>IF(DATOS!$G4732&lt;&gt;"EX",0,--(COUNTIFS(nNIA,DATOS!$A4732,nCURSO,DATOS!$D4732,nESPEC,DATOS!$E4732,nASIG,DATOS!$I4732,nEVAL,"OR")=0))</f>
      </c>
      <c r="I4732">
        <f>IF(DATOS!$I4732="","",IFERROR(VLOOKUP(DATOS!$I4732,CONFIG_ASIGNATURAS!$B$2:$J$91,9,FALSE()),""))</f>
      </c>
    </row>
    <row r="4733">
      <c r="F4733">
        <f>IF(DATOS!$A4733="","",DATOS!$A4733&amp;"|"&amp;DATOS!$D4733&amp;"|"&amp;DATOS!$E4733&amp;"|"&amp;DATOS!$I4733)</f>
      </c>
      <c r="G4733">
        <f>IF(DATOS!$A4733="",0,IF(CONFIG_METADATA!$B$4&lt;&gt;"OR+EX",--(DATOS!$G4733=CONFIG_METADATA!$B$4),IF(DATOS!$G4733="EX",1,IF(DATOS!$G4733="OR",--(COUNTIFS(nNIA,DATOS!$A4733,nCURSO,DATOS!$D4733,nESPEC,DATOS!$E4733,nASIG,DATOS!$I4733,nEVAL,"EX")=0),0))))</f>
      </c>
      <c r="H4733">
        <f>IF(DATOS!$G4733&lt;&gt;"EX",0,--(COUNTIFS(nNIA,DATOS!$A4733,nCURSO,DATOS!$D4733,nESPEC,DATOS!$E4733,nASIG,DATOS!$I4733,nEVAL,"OR")=0))</f>
      </c>
      <c r="I4733">
        <f>IF(DATOS!$I4733="","",IFERROR(VLOOKUP(DATOS!$I4733,CONFIG_ASIGNATURAS!$B$2:$J$91,9,FALSE()),""))</f>
      </c>
    </row>
    <row r="4734">
      <c r="F4734">
        <f>IF(DATOS!$A4734="","",DATOS!$A4734&amp;"|"&amp;DATOS!$D4734&amp;"|"&amp;DATOS!$E4734&amp;"|"&amp;DATOS!$I4734)</f>
      </c>
      <c r="G4734">
        <f>IF(DATOS!$A4734="",0,IF(CONFIG_METADATA!$B$4&lt;&gt;"OR+EX",--(DATOS!$G4734=CONFIG_METADATA!$B$4),IF(DATOS!$G4734="EX",1,IF(DATOS!$G4734="OR",--(COUNTIFS(nNIA,DATOS!$A4734,nCURSO,DATOS!$D4734,nESPEC,DATOS!$E4734,nASIG,DATOS!$I4734,nEVAL,"EX")=0),0))))</f>
      </c>
      <c r="H4734">
        <f>IF(DATOS!$G4734&lt;&gt;"EX",0,--(COUNTIFS(nNIA,DATOS!$A4734,nCURSO,DATOS!$D4734,nESPEC,DATOS!$E4734,nASIG,DATOS!$I4734,nEVAL,"OR")=0))</f>
      </c>
      <c r="I4734">
        <f>IF(DATOS!$I4734="","",IFERROR(VLOOKUP(DATOS!$I4734,CONFIG_ASIGNATURAS!$B$2:$J$91,9,FALSE()),""))</f>
      </c>
    </row>
    <row r="4735">
      <c r="F4735">
        <f>IF(DATOS!$A4735="","",DATOS!$A4735&amp;"|"&amp;DATOS!$D4735&amp;"|"&amp;DATOS!$E4735&amp;"|"&amp;DATOS!$I4735)</f>
      </c>
      <c r="G4735">
        <f>IF(DATOS!$A4735="",0,IF(CONFIG_METADATA!$B$4&lt;&gt;"OR+EX",--(DATOS!$G4735=CONFIG_METADATA!$B$4),IF(DATOS!$G4735="EX",1,IF(DATOS!$G4735="OR",--(COUNTIFS(nNIA,DATOS!$A4735,nCURSO,DATOS!$D4735,nESPEC,DATOS!$E4735,nASIG,DATOS!$I4735,nEVAL,"EX")=0),0))))</f>
      </c>
      <c r="H4735">
        <f>IF(DATOS!$G4735&lt;&gt;"EX",0,--(COUNTIFS(nNIA,DATOS!$A4735,nCURSO,DATOS!$D4735,nESPEC,DATOS!$E4735,nASIG,DATOS!$I4735,nEVAL,"OR")=0))</f>
      </c>
      <c r="I4735">
        <f>IF(DATOS!$I4735="","",IFERROR(VLOOKUP(DATOS!$I4735,CONFIG_ASIGNATURAS!$B$2:$J$91,9,FALSE()),""))</f>
      </c>
    </row>
    <row r="4736">
      <c r="F4736">
        <f>IF(DATOS!$A4736="","",DATOS!$A4736&amp;"|"&amp;DATOS!$D4736&amp;"|"&amp;DATOS!$E4736&amp;"|"&amp;DATOS!$I4736)</f>
      </c>
      <c r="G4736">
        <f>IF(DATOS!$A4736="",0,IF(CONFIG_METADATA!$B$4&lt;&gt;"OR+EX",--(DATOS!$G4736=CONFIG_METADATA!$B$4),IF(DATOS!$G4736="EX",1,IF(DATOS!$G4736="OR",--(COUNTIFS(nNIA,DATOS!$A4736,nCURSO,DATOS!$D4736,nESPEC,DATOS!$E4736,nASIG,DATOS!$I4736,nEVAL,"EX")=0),0))))</f>
      </c>
      <c r="H4736">
        <f>IF(DATOS!$G4736&lt;&gt;"EX",0,--(COUNTIFS(nNIA,DATOS!$A4736,nCURSO,DATOS!$D4736,nESPEC,DATOS!$E4736,nASIG,DATOS!$I4736,nEVAL,"OR")=0))</f>
      </c>
      <c r="I4736">
        <f>IF(DATOS!$I4736="","",IFERROR(VLOOKUP(DATOS!$I4736,CONFIG_ASIGNATURAS!$B$2:$J$91,9,FALSE()),""))</f>
      </c>
    </row>
    <row r="4737">
      <c r="F4737">
        <f>IF(DATOS!$A4737="","",DATOS!$A4737&amp;"|"&amp;DATOS!$D4737&amp;"|"&amp;DATOS!$E4737&amp;"|"&amp;DATOS!$I4737)</f>
      </c>
      <c r="G4737">
        <f>IF(DATOS!$A4737="",0,IF(CONFIG_METADATA!$B$4&lt;&gt;"OR+EX",--(DATOS!$G4737=CONFIG_METADATA!$B$4),IF(DATOS!$G4737="EX",1,IF(DATOS!$G4737="OR",--(COUNTIFS(nNIA,DATOS!$A4737,nCURSO,DATOS!$D4737,nESPEC,DATOS!$E4737,nASIG,DATOS!$I4737,nEVAL,"EX")=0),0))))</f>
      </c>
      <c r="H4737">
        <f>IF(DATOS!$G4737&lt;&gt;"EX",0,--(COUNTIFS(nNIA,DATOS!$A4737,nCURSO,DATOS!$D4737,nESPEC,DATOS!$E4737,nASIG,DATOS!$I4737,nEVAL,"OR")=0))</f>
      </c>
      <c r="I4737">
        <f>IF(DATOS!$I4737="","",IFERROR(VLOOKUP(DATOS!$I4737,CONFIG_ASIGNATURAS!$B$2:$J$91,9,FALSE()),""))</f>
      </c>
    </row>
    <row r="4738">
      <c r="F4738">
        <f>IF(DATOS!$A4738="","",DATOS!$A4738&amp;"|"&amp;DATOS!$D4738&amp;"|"&amp;DATOS!$E4738&amp;"|"&amp;DATOS!$I4738)</f>
      </c>
      <c r="G4738">
        <f>IF(DATOS!$A4738="",0,IF(CONFIG_METADATA!$B$4&lt;&gt;"OR+EX",--(DATOS!$G4738=CONFIG_METADATA!$B$4),IF(DATOS!$G4738="EX",1,IF(DATOS!$G4738="OR",--(COUNTIFS(nNIA,DATOS!$A4738,nCURSO,DATOS!$D4738,nESPEC,DATOS!$E4738,nASIG,DATOS!$I4738,nEVAL,"EX")=0),0))))</f>
      </c>
      <c r="H4738">
        <f>IF(DATOS!$G4738&lt;&gt;"EX",0,--(COUNTIFS(nNIA,DATOS!$A4738,nCURSO,DATOS!$D4738,nESPEC,DATOS!$E4738,nASIG,DATOS!$I4738,nEVAL,"OR")=0))</f>
      </c>
      <c r="I4738">
        <f>IF(DATOS!$I4738="","",IFERROR(VLOOKUP(DATOS!$I4738,CONFIG_ASIGNATURAS!$B$2:$J$91,9,FALSE()),""))</f>
      </c>
    </row>
    <row r="4739">
      <c r="F4739">
        <f>IF(DATOS!$A4739="","",DATOS!$A4739&amp;"|"&amp;DATOS!$D4739&amp;"|"&amp;DATOS!$E4739&amp;"|"&amp;DATOS!$I4739)</f>
      </c>
      <c r="G4739">
        <f>IF(DATOS!$A4739="",0,IF(CONFIG_METADATA!$B$4&lt;&gt;"OR+EX",--(DATOS!$G4739=CONFIG_METADATA!$B$4),IF(DATOS!$G4739="EX",1,IF(DATOS!$G4739="OR",--(COUNTIFS(nNIA,DATOS!$A4739,nCURSO,DATOS!$D4739,nESPEC,DATOS!$E4739,nASIG,DATOS!$I4739,nEVAL,"EX")=0),0))))</f>
      </c>
      <c r="H4739">
        <f>IF(DATOS!$G4739&lt;&gt;"EX",0,--(COUNTIFS(nNIA,DATOS!$A4739,nCURSO,DATOS!$D4739,nESPEC,DATOS!$E4739,nASIG,DATOS!$I4739,nEVAL,"OR")=0))</f>
      </c>
      <c r="I4739">
        <f>IF(DATOS!$I4739="","",IFERROR(VLOOKUP(DATOS!$I4739,CONFIG_ASIGNATURAS!$B$2:$J$91,9,FALSE()),""))</f>
      </c>
    </row>
    <row r="4740">
      <c r="F4740">
        <f>IF(DATOS!$A4740="","",DATOS!$A4740&amp;"|"&amp;DATOS!$D4740&amp;"|"&amp;DATOS!$E4740&amp;"|"&amp;DATOS!$I4740)</f>
      </c>
      <c r="G4740">
        <f>IF(DATOS!$A4740="",0,IF(CONFIG_METADATA!$B$4&lt;&gt;"OR+EX",--(DATOS!$G4740=CONFIG_METADATA!$B$4),IF(DATOS!$G4740="EX",1,IF(DATOS!$G4740="OR",--(COUNTIFS(nNIA,DATOS!$A4740,nCURSO,DATOS!$D4740,nESPEC,DATOS!$E4740,nASIG,DATOS!$I4740,nEVAL,"EX")=0),0))))</f>
      </c>
      <c r="H4740">
        <f>IF(DATOS!$G4740&lt;&gt;"EX",0,--(COUNTIFS(nNIA,DATOS!$A4740,nCURSO,DATOS!$D4740,nESPEC,DATOS!$E4740,nASIG,DATOS!$I4740,nEVAL,"OR")=0))</f>
      </c>
      <c r="I4740">
        <f>IF(DATOS!$I4740="","",IFERROR(VLOOKUP(DATOS!$I4740,CONFIG_ASIGNATURAS!$B$2:$J$91,9,FALSE()),""))</f>
      </c>
    </row>
    <row r="4741">
      <c r="F4741">
        <f>IF(DATOS!$A4741="","",DATOS!$A4741&amp;"|"&amp;DATOS!$D4741&amp;"|"&amp;DATOS!$E4741&amp;"|"&amp;DATOS!$I4741)</f>
      </c>
      <c r="G4741">
        <f>IF(DATOS!$A4741="",0,IF(CONFIG_METADATA!$B$4&lt;&gt;"OR+EX",--(DATOS!$G4741=CONFIG_METADATA!$B$4),IF(DATOS!$G4741="EX",1,IF(DATOS!$G4741="OR",--(COUNTIFS(nNIA,DATOS!$A4741,nCURSO,DATOS!$D4741,nESPEC,DATOS!$E4741,nASIG,DATOS!$I4741,nEVAL,"EX")=0),0))))</f>
      </c>
      <c r="H4741">
        <f>IF(DATOS!$G4741&lt;&gt;"EX",0,--(COUNTIFS(nNIA,DATOS!$A4741,nCURSO,DATOS!$D4741,nESPEC,DATOS!$E4741,nASIG,DATOS!$I4741,nEVAL,"OR")=0))</f>
      </c>
      <c r="I4741">
        <f>IF(DATOS!$I4741="","",IFERROR(VLOOKUP(DATOS!$I4741,CONFIG_ASIGNATURAS!$B$2:$J$91,9,FALSE()),""))</f>
      </c>
    </row>
    <row r="4742">
      <c r="F4742">
        <f>IF(DATOS!$A4742="","",DATOS!$A4742&amp;"|"&amp;DATOS!$D4742&amp;"|"&amp;DATOS!$E4742&amp;"|"&amp;DATOS!$I4742)</f>
      </c>
      <c r="G4742">
        <f>IF(DATOS!$A4742="",0,IF(CONFIG_METADATA!$B$4&lt;&gt;"OR+EX",--(DATOS!$G4742=CONFIG_METADATA!$B$4),IF(DATOS!$G4742="EX",1,IF(DATOS!$G4742="OR",--(COUNTIFS(nNIA,DATOS!$A4742,nCURSO,DATOS!$D4742,nESPEC,DATOS!$E4742,nASIG,DATOS!$I4742,nEVAL,"EX")=0),0))))</f>
      </c>
      <c r="H4742">
        <f>IF(DATOS!$G4742&lt;&gt;"EX",0,--(COUNTIFS(nNIA,DATOS!$A4742,nCURSO,DATOS!$D4742,nESPEC,DATOS!$E4742,nASIG,DATOS!$I4742,nEVAL,"OR")=0))</f>
      </c>
      <c r="I4742">
        <f>IF(DATOS!$I4742="","",IFERROR(VLOOKUP(DATOS!$I4742,CONFIG_ASIGNATURAS!$B$2:$J$91,9,FALSE()),""))</f>
      </c>
    </row>
    <row r="4743">
      <c r="F4743">
        <f>IF(DATOS!$A4743="","",DATOS!$A4743&amp;"|"&amp;DATOS!$D4743&amp;"|"&amp;DATOS!$E4743&amp;"|"&amp;DATOS!$I4743)</f>
      </c>
      <c r="G4743">
        <f>IF(DATOS!$A4743="",0,IF(CONFIG_METADATA!$B$4&lt;&gt;"OR+EX",--(DATOS!$G4743=CONFIG_METADATA!$B$4),IF(DATOS!$G4743="EX",1,IF(DATOS!$G4743="OR",--(COUNTIFS(nNIA,DATOS!$A4743,nCURSO,DATOS!$D4743,nESPEC,DATOS!$E4743,nASIG,DATOS!$I4743,nEVAL,"EX")=0),0))))</f>
      </c>
      <c r="H4743">
        <f>IF(DATOS!$G4743&lt;&gt;"EX",0,--(COUNTIFS(nNIA,DATOS!$A4743,nCURSO,DATOS!$D4743,nESPEC,DATOS!$E4743,nASIG,DATOS!$I4743,nEVAL,"OR")=0))</f>
      </c>
      <c r="I4743">
        <f>IF(DATOS!$I4743="","",IFERROR(VLOOKUP(DATOS!$I4743,CONFIG_ASIGNATURAS!$B$2:$J$91,9,FALSE()),""))</f>
      </c>
    </row>
    <row r="4744">
      <c r="F4744">
        <f>IF(DATOS!$A4744="","",DATOS!$A4744&amp;"|"&amp;DATOS!$D4744&amp;"|"&amp;DATOS!$E4744&amp;"|"&amp;DATOS!$I4744)</f>
      </c>
      <c r="G4744">
        <f>IF(DATOS!$A4744="",0,IF(CONFIG_METADATA!$B$4&lt;&gt;"OR+EX",--(DATOS!$G4744=CONFIG_METADATA!$B$4),IF(DATOS!$G4744="EX",1,IF(DATOS!$G4744="OR",--(COUNTIFS(nNIA,DATOS!$A4744,nCURSO,DATOS!$D4744,nESPEC,DATOS!$E4744,nASIG,DATOS!$I4744,nEVAL,"EX")=0),0))))</f>
      </c>
      <c r="H4744">
        <f>IF(DATOS!$G4744&lt;&gt;"EX",0,--(COUNTIFS(nNIA,DATOS!$A4744,nCURSO,DATOS!$D4744,nESPEC,DATOS!$E4744,nASIG,DATOS!$I4744,nEVAL,"OR")=0))</f>
      </c>
      <c r="I4744">
        <f>IF(DATOS!$I4744="","",IFERROR(VLOOKUP(DATOS!$I4744,CONFIG_ASIGNATURAS!$B$2:$J$91,9,FALSE()),""))</f>
      </c>
    </row>
    <row r="4745">
      <c r="F4745">
        <f>IF(DATOS!$A4745="","",DATOS!$A4745&amp;"|"&amp;DATOS!$D4745&amp;"|"&amp;DATOS!$E4745&amp;"|"&amp;DATOS!$I4745)</f>
      </c>
      <c r="G4745">
        <f>IF(DATOS!$A4745="",0,IF(CONFIG_METADATA!$B$4&lt;&gt;"OR+EX",--(DATOS!$G4745=CONFIG_METADATA!$B$4),IF(DATOS!$G4745="EX",1,IF(DATOS!$G4745="OR",--(COUNTIFS(nNIA,DATOS!$A4745,nCURSO,DATOS!$D4745,nESPEC,DATOS!$E4745,nASIG,DATOS!$I4745,nEVAL,"EX")=0),0))))</f>
      </c>
      <c r="H4745">
        <f>IF(DATOS!$G4745&lt;&gt;"EX",0,--(COUNTIFS(nNIA,DATOS!$A4745,nCURSO,DATOS!$D4745,nESPEC,DATOS!$E4745,nASIG,DATOS!$I4745,nEVAL,"OR")=0))</f>
      </c>
      <c r="I4745">
        <f>IF(DATOS!$I4745="","",IFERROR(VLOOKUP(DATOS!$I4745,CONFIG_ASIGNATURAS!$B$2:$J$91,9,FALSE()),""))</f>
      </c>
    </row>
    <row r="4746">
      <c r="F4746">
        <f>IF(DATOS!$A4746="","",DATOS!$A4746&amp;"|"&amp;DATOS!$D4746&amp;"|"&amp;DATOS!$E4746&amp;"|"&amp;DATOS!$I4746)</f>
      </c>
      <c r="G4746">
        <f>IF(DATOS!$A4746="",0,IF(CONFIG_METADATA!$B$4&lt;&gt;"OR+EX",--(DATOS!$G4746=CONFIG_METADATA!$B$4),IF(DATOS!$G4746="EX",1,IF(DATOS!$G4746="OR",--(COUNTIFS(nNIA,DATOS!$A4746,nCURSO,DATOS!$D4746,nESPEC,DATOS!$E4746,nASIG,DATOS!$I4746,nEVAL,"EX")=0),0))))</f>
      </c>
      <c r="H4746">
        <f>IF(DATOS!$G4746&lt;&gt;"EX",0,--(COUNTIFS(nNIA,DATOS!$A4746,nCURSO,DATOS!$D4746,nESPEC,DATOS!$E4746,nASIG,DATOS!$I4746,nEVAL,"OR")=0))</f>
      </c>
      <c r="I4746">
        <f>IF(DATOS!$I4746="","",IFERROR(VLOOKUP(DATOS!$I4746,CONFIG_ASIGNATURAS!$B$2:$J$91,9,FALSE()),""))</f>
      </c>
    </row>
    <row r="4747">
      <c r="F4747">
        <f>IF(DATOS!$A4747="","",DATOS!$A4747&amp;"|"&amp;DATOS!$D4747&amp;"|"&amp;DATOS!$E4747&amp;"|"&amp;DATOS!$I4747)</f>
      </c>
      <c r="G4747">
        <f>IF(DATOS!$A4747="",0,IF(CONFIG_METADATA!$B$4&lt;&gt;"OR+EX",--(DATOS!$G4747=CONFIG_METADATA!$B$4),IF(DATOS!$G4747="EX",1,IF(DATOS!$G4747="OR",--(COUNTIFS(nNIA,DATOS!$A4747,nCURSO,DATOS!$D4747,nESPEC,DATOS!$E4747,nASIG,DATOS!$I4747,nEVAL,"EX")=0),0))))</f>
      </c>
      <c r="H4747">
        <f>IF(DATOS!$G4747&lt;&gt;"EX",0,--(COUNTIFS(nNIA,DATOS!$A4747,nCURSO,DATOS!$D4747,nESPEC,DATOS!$E4747,nASIG,DATOS!$I4747,nEVAL,"OR")=0))</f>
      </c>
      <c r="I4747">
        <f>IF(DATOS!$I4747="","",IFERROR(VLOOKUP(DATOS!$I4747,CONFIG_ASIGNATURAS!$B$2:$J$91,9,FALSE()),""))</f>
      </c>
    </row>
    <row r="4748">
      <c r="F4748">
        <f>IF(DATOS!$A4748="","",DATOS!$A4748&amp;"|"&amp;DATOS!$D4748&amp;"|"&amp;DATOS!$E4748&amp;"|"&amp;DATOS!$I4748)</f>
      </c>
      <c r="G4748">
        <f>IF(DATOS!$A4748="",0,IF(CONFIG_METADATA!$B$4&lt;&gt;"OR+EX",--(DATOS!$G4748=CONFIG_METADATA!$B$4),IF(DATOS!$G4748="EX",1,IF(DATOS!$G4748="OR",--(COUNTIFS(nNIA,DATOS!$A4748,nCURSO,DATOS!$D4748,nESPEC,DATOS!$E4748,nASIG,DATOS!$I4748,nEVAL,"EX")=0),0))))</f>
      </c>
      <c r="H4748">
        <f>IF(DATOS!$G4748&lt;&gt;"EX",0,--(COUNTIFS(nNIA,DATOS!$A4748,nCURSO,DATOS!$D4748,nESPEC,DATOS!$E4748,nASIG,DATOS!$I4748,nEVAL,"OR")=0))</f>
      </c>
      <c r="I4748">
        <f>IF(DATOS!$I4748="","",IFERROR(VLOOKUP(DATOS!$I4748,CONFIG_ASIGNATURAS!$B$2:$J$91,9,FALSE()),""))</f>
      </c>
    </row>
    <row r="4749">
      <c r="F4749">
        <f>IF(DATOS!$A4749="","",DATOS!$A4749&amp;"|"&amp;DATOS!$D4749&amp;"|"&amp;DATOS!$E4749&amp;"|"&amp;DATOS!$I4749)</f>
      </c>
      <c r="G4749">
        <f>IF(DATOS!$A4749="",0,IF(CONFIG_METADATA!$B$4&lt;&gt;"OR+EX",--(DATOS!$G4749=CONFIG_METADATA!$B$4),IF(DATOS!$G4749="EX",1,IF(DATOS!$G4749="OR",--(COUNTIFS(nNIA,DATOS!$A4749,nCURSO,DATOS!$D4749,nESPEC,DATOS!$E4749,nASIG,DATOS!$I4749,nEVAL,"EX")=0),0))))</f>
      </c>
      <c r="H4749">
        <f>IF(DATOS!$G4749&lt;&gt;"EX",0,--(COUNTIFS(nNIA,DATOS!$A4749,nCURSO,DATOS!$D4749,nESPEC,DATOS!$E4749,nASIG,DATOS!$I4749,nEVAL,"OR")=0))</f>
      </c>
      <c r="I4749">
        <f>IF(DATOS!$I4749="","",IFERROR(VLOOKUP(DATOS!$I4749,CONFIG_ASIGNATURAS!$B$2:$J$91,9,FALSE()),""))</f>
      </c>
    </row>
    <row r="4750">
      <c r="F4750">
        <f>IF(DATOS!$A4750="","",DATOS!$A4750&amp;"|"&amp;DATOS!$D4750&amp;"|"&amp;DATOS!$E4750&amp;"|"&amp;DATOS!$I4750)</f>
      </c>
      <c r="G4750">
        <f>IF(DATOS!$A4750="",0,IF(CONFIG_METADATA!$B$4&lt;&gt;"OR+EX",--(DATOS!$G4750=CONFIG_METADATA!$B$4),IF(DATOS!$G4750="EX",1,IF(DATOS!$G4750="OR",--(COUNTIFS(nNIA,DATOS!$A4750,nCURSO,DATOS!$D4750,nESPEC,DATOS!$E4750,nASIG,DATOS!$I4750,nEVAL,"EX")=0),0))))</f>
      </c>
      <c r="H4750">
        <f>IF(DATOS!$G4750&lt;&gt;"EX",0,--(COUNTIFS(nNIA,DATOS!$A4750,nCURSO,DATOS!$D4750,nESPEC,DATOS!$E4750,nASIG,DATOS!$I4750,nEVAL,"OR")=0))</f>
      </c>
      <c r="I4750">
        <f>IF(DATOS!$I4750="","",IFERROR(VLOOKUP(DATOS!$I4750,CONFIG_ASIGNATURAS!$B$2:$J$91,9,FALSE()),""))</f>
      </c>
    </row>
    <row r="4751">
      <c r="F4751">
        <f>IF(DATOS!$A4751="","",DATOS!$A4751&amp;"|"&amp;DATOS!$D4751&amp;"|"&amp;DATOS!$E4751&amp;"|"&amp;DATOS!$I4751)</f>
      </c>
      <c r="G4751">
        <f>IF(DATOS!$A4751="",0,IF(CONFIG_METADATA!$B$4&lt;&gt;"OR+EX",--(DATOS!$G4751=CONFIG_METADATA!$B$4),IF(DATOS!$G4751="EX",1,IF(DATOS!$G4751="OR",--(COUNTIFS(nNIA,DATOS!$A4751,nCURSO,DATOS!$D4751,nESPEC,DATOS!$E4751,nASIG,DATOS!$I4751,nEVAL,"EX")=0),0))))</f>
      </c>
      <c r="H4751">
        <f>IF(DATOS!$G4751&lt;&gt;"EX",0,--(COUNTIFS(nNIA,DATOS!$A4751,nCURSO,DATOS!$D4751,nESPEC,DATOS!$E4751,nASIG,DATOS!$I4751,nEVAL,"OR")=0))</f>
      </c>
      <c r="I4751">
        <f>IF(DATOS!$I4751="","",IFERROR(VLOOKUP(DATOS!$I4751,CONFIG_ASIGNATURAS!$B$2:$J$91,9,FALSE()),""))</f>
      </c>
    </row>
    <row r="4752">
      <c r="F4752">
        <f>IF(DATOS!$A4752="","",DATOS!$A4752&amp;"|"&amp;DATOS!$D4752&amp;"|"&amp;DATOS!$E4752&amp;"|"&amp;DATOS!$I4752)</f>
      </c>
      <c r="G4752">
        <f>IF(DATOS!$A4752="",0,IF(CONFIG_METADATA!$B$4&lt;&gt;"OR+EX",--(DATOS!$G4752=CONFIG_METADATA!$B$4),IF(DATOS!$G4752="EX",1,IF(DATOS!$G4752="OR",--(COUNTIFS(nNIA,DATOS!$A4752,nCURSO,DATOS!$D4752,nESPEC,DATOS!$E4752,nASIG,DATOS!$I4752,nEVAL,"EX")=0),0))))</f>
      </c>
      <c r="H4752">
        <f>IF(DATOS!$G4752&lt;&gt;"EX",0,--(COUNTIFS(nNIA,DATOS!$A4752,nCURSO,DATOS!$D4752,nESPEC,DATOS!$E4752,nASIG,DATOS!$I4752,nEVAL,"OR")=0))</f>
      </c>
      <c r="I4752">
        <f>IF(DATOS!$I4752="","",IFERROR(VLOOKUP(DATOS!$I4752,CONFIG_ASIGNATURAS!$B$2:$J$91,9,FALSE()),""))</f>
      </c>
    </row>
    <row r="4753">
      <c r="F4753">
        <f>IF(DATOS!$A4753="","",DATOS!$A4753&amp;"|"&amp;DATOS!$D4753&amp;"|"&amp;DATOS!$E4753&amp;"|"&amp;DATOS!$I4753)</f>
      </c>
      <c r="G4753">
        <f>IF(DATOS!$A4753="",0,IF(CONFIG_METADATA!$B$4&lt;&gt;"OR+EX",--(DATOS!$G4753=CONFIG_METADATA!$B$4),IF(DATOS!$G4753="EX",1,IF(DATOS!$G4753="OR",--(COUNTIFS(nNIA,DATOS!$A4753,nCURSO,DATOS!$D4753,nESPEC,DATOS!$E4753,nASIG,DATOS!$I4753,nEVAL,"EX")=0),0))))</f>
      </c>
      <c r="H4753">
        <f>IF(DATOS!$G4753&lt;&gt;"EX",0,--(COUNTIFS(nNIA,DATOS!$A4753,nCURSO,DATOS!$D4753,nESPEC,DATOS!$E4753,nASIG,DATOS!$I4753,nEVAL,"OR")=0))</f>
      </c>
      <c r="I4753">
        <f>IF(DATOS!$I4753="","",IFERROR(VLOOKUP(DATOS!$I4753,CONFIG_ASIGNATURAS!$B$2:$J$91,9,FALSE()),""))</f>
      </c>
    </row>
    <row r="4754">
      <c r="F4754">
        <f>IF(DATOS!$A4754="","",DATOS!$A4754&amp;"|"&amp;DATOS!$D4754&amp;"|"&amp;DATOS!$E4754&amp;"|"&amp;DATOS!$I4754)</f>
      </c>
      <c r="G4754">
        <f>IF(DATOS!$A4754="",0,IF(CONFIG_METADATA!$B$4&lt;&gt;"OR+EX",--(DATOS!$G4754=CONFIG_METADATA!$B$4),IF(DATOS!$G4754="EX",1,IF(DATOS!$G4754="OR",--(COUNTIFS(nNIA,DATOS!$A4754,nCURSO,DATOS!$D4754,nESPEC,DATOS!$E4754,nASIG,DATOS!$I4754,nEVAL,"EX")=0),0))))</f>
      </c>
      <c r="H4754">
        <f>IF(DATOS!$G4754&lt;&gt;"EX",0,--(COUNTIFS(nNIA,DATOS!$A4754,nCURSO,DATOS!$D4754,nESPEC,DATOS!$E4754,nASIG,DATOS!$I4754,nEVAL,"OR")=0))</f>
      </c>
      <c r="I4754">
        <f>IF(DATOS!$I4754="","",IFERROR(VLOOKUP(DATOS!$I4754,CONFIG_ASIGNATURAS!$B$2:$J$91,9,FALSE()),""))</f>
      </c>
    </row>
    <row r="4755">
      <c r="F4755">
        <f>IF(DATOS!$A4755="","",DATOS!$A4755&amp;"|"&amp;DATOS!$D4755&amp;"|"&amp;DATOS!$E4755&amp;"|"&amp;DATOS!$I4755)</f>
      </c>
      <c r="G4755">
        <f>IF(DATOS!$A4755="",0,IF(CONFIG_METADATA!$B$4&lt;&gt;"OR+EX",--(DATOS!$G4755=CONFIG_METADATA!$B$4),IF(DATOS!$G4755="EX",1,IF(DATOS!$G4755="OR",--(COUNTIFS(nNIA,DATOS!$A4755,nCURSO,DATOS!$D4755,nESPEC,DATOS!$E4755,nASIG,DATOS!$I4755,nEVAL,"EX")=0),0))))</f>
      </c>
      <c r="H4755">
        <f>IF(DATOS!$G4755&lt;&gt;"EX",0,--(COUNTIFS(nNIA,DATOS!$A4755,nCURSO,DATOS!$D4755,nESPEC,DATOS!$E4755,nASIG,DATOS!$I4755,nEVAL,"OR")=0))</f>
      </c>
      <c r="I4755">
        <f>IF(DATOS!$I4755="","",IFERROR(VLOOKUP(DATOS!$I4755,CONFIG_ASIGNATURAS!$B$2:$J$91,9,FALSE()),""))</f>
      </c>
    </row>
    <row r="4756">
      <c r="F4756">
        <f>IF(DATOS!$A4756="","",DATOS!$A4756&amp;"|"&amp;DATOS!$D4756&amp;"|"&amp;DATOS!$E4756&amp;"|"&amp;DATOS!$I4756)</f>
      </c>
      <c r="G4756">
        <f>IF(DATOS!$A4756="",0,IF(CONFIG_METADATA!$B$4&lt;&gt;"OR+EX",--(DATOS!$G4756=CONFIG_METADATA!$B$4),IF(DATOS!$G4756="EX",1,IF(DATOS!$G4756="OR",--(COUNTIFS(nNIA,DATOS!$A4756,nCURSO,DATOS!$D4756,nESPEC,DATOS!$E4756,nASIG,DATOS!$I4756,nEVAL,"EX")=0),0))))</f>
      </c>
      <c r="H4756">
        <f>IF(DATOS!$G4756&lt;&gt;"EX",0,--(COUNTIFS(nNIA,DATOS!$A4756,nCURSO,DATOS!$D4756,nESPEC,DATOS!$E4756,nASIG,DATOS!$I4756,nEVAL,"OR")=0))</f>
      </c>
      <c r="I4756">
        <f>IF(DATOS!$I4756="","",IFERROR(VLOOKUP(DATOS!$I4756,CONFIG_ASIGNATURAS!$B$2:$J$91,9,FALSE()),""))</f>
      </c>
    </row>
    <row r="4757">
      <c r="F4757">
        <f>IF(DATOS!$A4757="","",DATOS!$A4757&amp;"|"&amp;DATOS!$D4757&amp;"|"&amp;DATOS!$E4757&amp;"|"&amp;DATOS!$I4757)</f>
      </c>
      <c r="G4757">
        <f>IF(DATOS!$A4757="",0,IF(CONFIG_METADATA!$B$4&lt;&gt;"OR+EX",--(DATOS!$G4757=CONFIG_METADATA!$B$4),IF(DATOS!$G4757="EX",1,IF(DATOS!$G4757="OR",--(COUNTIFS(nNIA,DATOS!$A4757,nCURSO,DATOS!$D4757,nESPEC,DATOS!$E4757,nASIG,DATOS!$I4757,nEVAL,"EX")=0),0))))</f>
      </c>
      <c r="H4757">
        <f>IF(DATOS!$G4757&lt;&gt;"EX",0,--(COUNTIFS(nNIA,DATOS!$A4757,nCURSO,DATOS!$D4757,nESPEC,DATOS!$E4757,nASIG,DATOS!$I4757,nEVAL,"OR")=0))</f>
      </c>
      <c r="I4757">
        <f>IF(DATOS!$I4757="","",IFERROR(VLOOKUP(DATOS!$I4757,CONFIG_ASIGNATURAS!$B$2:$J$91,9,FALSE()),""))</f>
      </c>
    </row>
    <row r="4758">
      <c r="F4758">
        <f>IF(DATOS!$A4758="","",DATOS!$A4758&amp;"|"&amp;DATOS!$D4758&amp;"|"&amp;DATOS!$E4758&amp;"|"&amp;DATOS!$I4758)</f>
      </c>
      <c r="G4758">
        <f>IF(DATOS!$A4758="",0,IF(CONFIG_METADATA!$B$4&lt;&gt;"OR+EX",--(DATOS!$G4758=CONFIG_METADATA!$B$4),IF(DATOS!$G4758="EX",1,IF(DATOS!$G4758="OR",--(COUNTIFS(nNIA,DATOS!$A4758,nCURSO,DATOS!$D4758,nESPEC,DATOS!$E4758,nASIG,DATOS!$I4758,nEVAL,"EX")=0),0))))</f>
      </c>
      <c r="H4758">
        <f>IF(DATOS!$G4758&lt;&gt;"EX",0,--(COUNTIFS(nNIA,DATOS!$A4758,nCURSO,DATOS!$D4758,nESPEC,DATOS!$E4758,nASIG,DATOS!$I4758,nEVAL,"OR")=0))</f>
      </c>
      <c r="I4758">
        <f>IF(DATOS!$I4758="","",IFERROR(VLOOKUP(DATOS!$I4758,CONFIG_ASIGNATURAS!$B$2:$J$91,9,FALSE()),""))</f>
      </c>
    </row>
    <row r="4759">
      <c r="F4759">
        <f>IF(DATOS!$A4759="","",DATOS!$A4759&amp;"|"&amp;DATOS!$D4759&amp;"|"&amp;DATOS!$E4759&amp;"|"&amp;DATOS!$I4759)</f>
      </c>
      <c r="G4759">
        <f>IF(DATOS!$A4759="",0,IF(CONFIG_METADATA!$B$4&lt;&gt;"OR+EX",--(DATOS!$G4759=CONFIG_METADATA!$B$4),IF(DATOS!$G4759="EX",1,IF(DATOS!$G4759="OR",--(COUNTIFS(nNIA,DATOS!$A4759,nCURSO,DATOS!$D4759,nESPEC,DATOS!$E4759,nASIG,DATOS!$I4759,nEVAL,"EX")=0),0))))</f>
      </c>
      <c r="H4759">
        <f>IF(DATOS!$G4759&lt;&gt;"EX",0,--(COUNTIFS(nNIA,DATOS!$A4759,nCURSO,DATOS!$D4759,nESPEC,DATOS!$E4759,nASIG,DATOS!$I4759,nEVAL,"OR")=0))</f>
      </c>
      <c r="I4759">
        <f>IF(DATOS!$I4759="","",IFERROR(VLOOKUP(DATOS!$I4759,CONFIG_ASIGNATURAS!$B$2:$J$91,9,FALSE()),""))</f>
      </c>
    </row>
    <row r="4760">
      <c r="F4760">
        <f>IF(DATOS!$A4760="","",DATOS!$A4760&amp;"|"&amp;DATOS!$D4760&amp;"|"&amp;DATOS!$E4760&amp;"|"&amp;DATOS!$I4760)</f>
      </c>
      <c r="G4760">
        <f>IF(DATOS!$A4760="",0,IF(CONFIG_METADATA!$B$4&lt;&gt;"OR+EX",--(DATOS!$G4760=CONFIG_METADATA!$B$4),IF(DATOS!$G4760="EX",1,IF(DATOS!$G4760="OR",--(COUNTIFS(nNIA,DATOS!$A4760,nCURSO,DATOS!$D4760,nESPEC,DATOS!$E4760,nASIG,DATOS!$I4760,nEVAL,"EX")=0),0))))</f>
      </c>
      <c r="H4760">
        <f>IF(DATOS!$G4760&lt;&gt;"EX",0,--(COUNTIFS(nNIA,DATOS!$A4760,nCURSO,DATOS!$D4760,nESPEC,DATOS!$E4760,nASIG,DATOS!$I4760,nEVAL,"OR")=0))</f>
      </c>
      <c r="I4760">
        <f>IF(DATOS!$I4760="","",IFERROR(VLOOKUP(DATOS!$I4760,CONFIG_ASIGNATURAS!$B$2:$J$91,9,FALSE()),""))</f>
      </c>
    </row>
    <row r="4761">
      <c r="F4761">
        <f>IF(DATOS!$A4761="","",DATOS!$A4761&amp;"|"&amp;DATOS!$D4761&amp;"|"&amp;DATOS!$E4761&amp;"|"&amp;DATOS!$I4761)</f>
      </c>
      <c r="G4761">
        <f>IF(DATOS!$A4761="",0,IF(CONFIG_METADATA!$B$4&lt;&gt;"OR+EX",--(DATOS!$G4761=CONFIG_METADATA!$B$4),IF(DATOS!$G4761="EX",1,IF(DATOS!$G4761="OR",--(COUNTIFS(nNIA,DATOS!$A4761,nCURSO,DATOS!$D4761,nESPEC,DATOS!$E4761,nASIG,DATOS!$I4761,nEVAL,"EX")=0),0))))</f>
      </c>
      <c r="H4761">
        <f>IF(DATOS!$G4761&lt;&gt;"EX",0,--(COUNTIFS(nNIA,DATOS!$A4761,nCURSO,DATOS!$D4761,nESPEC,DATOS!$E4761,nASIG,DATOS!$I4761,nEVAL,"OR")=0))</f>
      </c>
      <c r="I4761">
        <f>IF(DATOS!$I4761="","",IFERROR(VLOOKUP(DATOS!$I4761,CONFIG_ASIGNATURAS!$B$2:$J$91,9,FALSE()),""))</f>
      </c>
    </row>
    <row r="4762">
      <c r="F4762">
        <f>IF(DATOS!$A4762="","",DATOS!$A4762&amp;"|"&amp;DATOS!$D4762&amp;"|"&amp;DATOS!$E4762&amp;"|"&amp;DATOS!$I4762)</f>
      </c>
      <c r="G4762">
        <f>IF(DATOS!$A4762="",0,IF(CONFIG_METADATA!$B$4&lt;&gt;"OR+EX",--(DATOS!$G4762=CONFIG_METADATA!$B$4),IF(DATOS!$G4762="EX",1,IF(DATOS!$G4762="OR",--(COUNTIFS(nNIA,DATOS!$A4762,nCURSO,DATOS!$D4762,nESPEC,DATOS!$E4762,nASIG,DATOS!$I4762,nEVAL,"EX")=0),0))))</f>
      </c>
      <c r="H4762">
        <f>IF(DATOS!$G4762&lt;&gt;"EX",0,--(COUNTIFS(nNIA,DATOS!$A4762,nCURSO,DATOS!$D4762,nESPEC,DATOS!$E4762,nASIG,DATOS!$I4762,nEVAL,"OR")=0))</f>
      </c>
      <c r="I4762">
        <f>IF(DATOS!$I4762="","",IFERROR(VLOOKUP(DATOS!$I4762,CONFIG_ASIGNATURAS!$B$2:$J$91,9,FALSE()),""))</f>
      </c>
    </row>
    <row r="4763">
      <c r="F4763">
        <f>IF(DATOS!$A4763="","",DATOS!$A4763&amp;"|"&amp;DATOS!$D4763&amp;"|"&amp;DATOS!$E4763&amp;"|"&amp;DATOS!$I4763)</f>
      </c>
      <c r="G4763">
        <f>IF(DATOS!$A4763="",0,IF(CONFIG_METADATA!$B$4&lt;&gt;"OR+EX",--(DATOS!$G4763=CONFIG_METADATA!$B$4),IF(DATOS!$G4763="EX",1,IF(DATOS!$G4763="OR",--(COUNTIFS(nNIA,DATOS!$A4763,nCURSO,DATOS!$D4763,nESPEC,DATOS!$E4763,nASIG,DATOS!$I4763,nEVAL,"EX")=0),0))))</f>
      </c>
      <c r="H4763">
        <f>IF(DATOS!$G4763&lt;&gt;"EX",0,--(COUNTIFS(nNIA,DATOS!$A4763,nCURSO,DATOS!$D4763,nESPEC,DATOS!$E4763,nASIG,DATOS!$I4763,nEVAL,"OR")=0))</f>
      </c>
      <c r="I4763">
        <f>IF(DATOS!$I4763="","",IFERROR(VLOOKUP(DATOS!$I4763,CONFIG_ASIGNATURAS!$B$2:$J$91,9,FALSE()),""))</f>
      </c>
    </row>
    <row r="4764">
      <c r="F4764">
        <f>IF(DATOS!$A4764="","",DATOS!$A4764&amp;"|"&amp;DATOS!$D4764&amp;"|"&amp;DATOS!$E4764&amp;"|"&amp;DATOS!$I4764)</f>
      </c>
      <c r="G4764">
        <f>IF(DATOS!$A4764="",0,IF(CONFIG_METADATA!$B$4&lt;&gt;"OR+EX",--(DATOS!$G4764=CONFIG_METADATA!$B$4),IF(DATOS!$G4764="EX",1,IF(DATOS!$G4764="OR",--(COUNTIFS(nNIA,DATOS!$A4764,nCURSO,DATOS!$D4764,nESPEC,DATOS!$E4764,nASIG,DATOS!$I4764,nEVAL,"EX")=0),0))))</f>
      </c>
      <c r="H4764">
        <f>IF(DATOS!$G4764&lt;&gt;"EX",0,--(COUNTIFS(nNIA,DATOS!$A4764,nCURSO,DATOS!$D4764,nESPEC,DATOS!$E4764,nASIG,DATOS!$I4764,nEVAL,"OR")=0))</f>
      </c>
      <c r="I4764">
        <f>IF(DATOS!$I4764="","",IFERROR(VLOOKUP(DATOS!$I4764,CONFIG_ASIGNATURAS!$B$2:$J$91,9,FALSE()),""))</f>
      </c>
    </row>
    <row r="4765">
      <c r="F4765">
        <f>IF(DATOS!$A4765="","",DATOS!$A4765&amp;"|"&amp;DATOS!$D4765&amp;"|"&amp;DATOS!$E4765&amp;"|"&amp;DATOS!$I4765)</f>
      </c>
      <c r="G4765">
        <f>IF(DATOS!$A4765="",0,IF(CONFIG_METADATA!$B$4&lt;&gt;"OR+EX",--(DATOS!$G4765=CONFIG_METADATA!$B$4),IF(DATOS!$G4765="EX",1,IF(DATOS!$G4765="OR",--(COUNTIFS(nNIA,DATOS!$A4765,nCURSO,DATOS!$D4765,nESPEC,DATOS!$E4765,nASIG,DATOS!$I4765,nEVAL,"EX")=0),0))))</f>
      </c>
      <c r="H4765">
        <f>IF(DATOS!$G4765&lt;&gt;"EX",0,--(COUNTIFS(nNIA,DATOS!$A4765,nCURSO,DATOS!$D4765,nESPEC,DATOS!$E4765,nASIG,DATOS!$I4765,nEVAL,"OR")=0))</f>
      </c>
      <c r="I4765">
        <f>IF(DATOS!$I4765="","",IFERROR(VLOOKUP(DATOS!$I4765,CONFIG_ASIGNATURAS!$B$2:$J$91,9,FALSE()),""))</f>
      </c>
    </row>
    <row r="4766">
      <c r="F4766">
        <f>IF(DATOS!$A4766="","",DATOS!$A4766&amp;"|"&amp;DATOS!$D4766&amp;"|"&amp;DATOS!$E4766&amp;"|"&amp;DATOS!$I4766)</f>
      </c>
      <c r="G4766">
        <f>IF(DATOS!$A4766="",0,IF(CONFIG_METADATA!$B$4&lt;&gt;"OR+EX",--(DATOS!$G4766=CONFIG_METADATA!$B$4),IF(DATOS!$G4766="EX",1,IF(DATOS!$G4766="OR",--(COUNTIFS(nNIA,DATOS!$A4766,nCURSO,DATOS!$D4766,nESPEC,DATOS!$E4766,nASIG,DATOS!$I4766,nEVAL,"EX")=0),0))))</f>
      </c>
      <c r="H4766">
        <f>IF(DATOS!$G4766&lt;&gt;"EX",0,--(COUNTIFS(nNIA,DATOS!$A4766,nCURSO,DATOS!$D4766,nESPEC,DATOS!$E4766,nASIG,DATOS!$I4766,nEVAL,"OR")=0))</f>
      </c>
      <c r="I4766">
        <f>IF(DATOS!$I4766="","",IFERROR(VLOOKUP(DATOS!$I4766,CONFIG_ASIGNATURAS!$B$2:$J$91,9,FALSE()),""))</f>
      </c>
    </row>
    <row r="4767">
      <c r="F4767">
        <f>IF(DATOS!$A4767="","",DATOS!$A4767&amp;"|"&amp;DATOS!$D4767&amp;"|"&amp;DATOS!$E4767&amp;"|"&amp;DATOS!$I4767)</f>
      </c>
      <c r="G4767">
        <f>IF(DATOS!$A4767="",0,IF(CONFIG_METADATA!$B$4&lt;&gt;"OR+EX",--(DATOS!$G4767=CONFIG_METADATA!$B$4),IF(DATOS!$G4767="EX",1,IF(DATOS!$G4767="OR",--(COUNTIFS(nNIA,DATOS!$A4767,nCURSO,DATOS!$D4767,nESPEC,DATOS!$E4767,nASIG,DATOS!$I4767,nEVAL,"EX")=0),0))))</f>
      </c>
      <c r="H4767">
        <f>IF(DATOS!$G4767&lt;&gt;"EX",0,--(COUNTIFS(nNIA,DATOS!$A4767,nCURSO,DATOS!$D4767,nESPEC,DATOS!$E4767,nASIG,DATOS!$I4767,nEVAL,"OR")=0))</f>
      </c>
      <c r="I4767">
        <f>IF(DATOS!$I4767="","",IFERROR(VLOOKUP(DATOS!$I4767,CONFIG_ASIGNATURAS!$B$2:$J$91,9,FALSE()),""))</f>
      </c>
    </row>
    <row r="4768">
      <c r="F4768">
        <f>IF(DATOS!$A4768="","",DATOS!$A4768&amp;"|"&amp;DATOS!$D4768&amp;"|"&amp;DATOS!$E4768&amp;"|"&amp;DATOS!$I4768)</f>
      </c>
      <c r="G4768">
        <f>IF(DATOS!$A4768="",0,IF(CONFIG_METADATA!$B$4&lt;&gt;"OR+EX",--(DATOS!$G4768=CONFIG_METADATA!$B$4),IF(DATOS!$G4768="EX",1,IF(DATOS!$G4768="OR",--(COUNTIFS(nNIA,DATOS!$A4768,nCURSO,DATOS!$D4768,nESPEC,DATOS!$E4768,nASIG,DATOS!$I4768,nEVAL,"EX")=0),0))))</f>
      </c>
      <c r="H4768">
        <f>IF(DATOS!$G4768&lt;&gt;"EX",0,--(COUNTIFS(nNIA,DATOS!$A4768,nCURSO,DATOS!$D4768,nESPEC,DATOS!$E4768,nASIG,DATOS!$I4768,nEVAL,"OR")=0))</f>
      </c>
      <c r="I4768">
        <f>IF(DATOS!$I4768="","",IFERROR(VLOOKUP(DATOS!$I4768,CONFIG_ASIGNATURAS!$B$2:$J$91,9,FALSE()),""))</f>
      </c>
    </row>
    <row r="4769">
      <c r="F4769">
        <f>IF(DATOS!$A4769="","",DATOS!$A4769&amp;"|"&amp;DATOS!$D4769&amp;"|"&amp;DATOS!$E4769&amp;"|"&amp;DATOS!$I4769)</f>
      </c>
      <c r="G4769">
        <f>IF(DATOS!$A4769="",0,IF(CONFIG_METADATA!$B$4&lt;&gt;"OR+EX",--(DATOS!$G4769=CONFIG_METADATA!$B$4),IF(DATOS!$G4769="EX",1,IF(DATOS!$G4769="OR",--(COUNTIFS(nNIA,DATOS!$A4769,nCURSO,DATOS!$D4769,nESPEC,DATOS!$E4769,nASIG,DATOS!$I4769,nEVAL,"EX")=0),0))))</f>
      </c>
      <c r="H4769">
        <f>IF(DATOS!$G4769&lt;&gt;"EX",0,--(COUNTIFS(nNIA,DATOS!$A4769,nCURSO,DATOS!$D4769,nESPEC,DATOS!$E4769,nASIG,DATOS!$I4769,nEVAL,"OR")=0))</f>
      </c>
      <c r="I4769">
        <f>IF(DATOS!$I4769="","",IFERROR(VLOOKUP(DATOS!$I4769,CONFIG_ASIGNATURAS!$B$2:$J$91,9,FALSE()),""))</f>
      </c>
    </row>
    <row r="4770">
      <c r="F4770">
        <f>IF(DATOS!$A4770="","",DATOS!$A4770&amp;"|"&amp;DATOS!$D4770&amp;"|"&amp;DATOS!$E4770&amp;"|"&amp;DATOS!$I4770)</f>
      </c>
      <c r="G4770">
        <f>IF(DATOS!$A4770="",0,IF(CONFIG_METADATA!$B$4&lt;&gt;"OR+EX",--(DATOS!$G4770=CONFIG_METADATA!$B$4),IF(DATOS!$G4770="EX",1,IF(DATOS!$G4770="OR",--(COUNTIFS(nNIA,DATOS!$A4770,nCURSO,DATOS!$D4770,nESPEC,DATOS!$E4770,nASIG,DATOS!$I4770,nEVAL,"EX")=0),0))))</f>
      </c>
      <c r="H4770">
        <f>IF(DATOS!$G4770&lt;&gt;"EX",0,--(COUNTIFS(nNIA,DATOS!$A4770,nCURSO,DATOS!$D4770,nESPEC,DATOS!$E4770,nASIG,DATOS!$I4770,nEVAL,"OR")=0))</f>
      </c>
      <c r="I4770">
        <f>IF(DATOS!$I4770="","",IFERROR(VLOOKUP(DATOS!$I4770,CONFIG_ASIGNATURAS!$B$2:$J$91,9,FALSE()),""))</f>
      </c>
    </row>
    <row r="4771">
      <c r="F4771">
        <f>IF(DATOS!$A4771="","",DATOS!$A4771&amp;"|"&amp;DATOS!$D4771&amp;"|"&amp;DATOS!$E4771&amp;"|"&amp;DATOS!$I4771)</f>
      </c>
      <c r="G4771">
        <f>IF(DATOS!$A4771="",0,IF(CONFIG_METADATA!$B$4&lt;&gt;"OR+EX",--(DATOS!$G4771=CONFIG_METADATA!$B$4),IF(DATOS!$G4771="EX",1,IF(DATOS!$G4771="OR",--(COUNTIFS(nNIA,DATOS!$A4771,nCURSO,DATOS!$D4771,nESPEC,DATOS!$E4771,nASIG,DATOS!$I4771,nEVAL,"EX")=0),0))))</f>
      </c>
      <c r="H4771">
        <f>IF(DATOS!$G4771&lt;&gt;"EX",0,--(COUNTIFS(nNIA,DATOS!$A4771,nCURSO,DATOS!$D4771,nESPEC,DATOS!$E4771,nASIG,DATOS!$I4771,nEVAL,"OR")=0))</f>
      </c>
      <c r="I4771">
        <f>IF(DATOS!$I4771="","",IFERROR(VLOOKUP(DATOS!$I4771,CONFIG_ASIGNATURAS!$B$2:$J$91,9,FALSE()),""))</f>
      </c>
    </row>
    <row r="4772">
      <c r="F4772">
        <f>IF(DATOS!$A4772="","",DATOS!$A4772&amp;"|"&amp;DATOS!$D4772&amp;"|"&amp;DATOS!$E4772&amp;"|"&amp;DATOS!$I4772)</f>
      </c>
      <c r="G4772">
        <f>IF(DATOS!$A4772="",0,IF(CONFIG_METADATA!$B$4&lt;&gt;"OR+EX",--(DATOS!$G4772=CONFIG_METADATA!$B$4),IF(DATOS!$G4772="EX",1,IF(DATOS!$G4772="OR",--(COUNTIFS(nNIA,DATOS!$A4772,nCURSO,DATOS!$D4772,nESPEC,DATOS!$E4772,nASIG,DATOS!$I4772,nEVAL,"EX")=0),0))))</f>
      </c>
      <c r="H4772">
        <f>IF(DATOS!$G4772&lt;&gt;"EX",0,--(COUNTIFS(nNIA,DATOS!$A4772,nCURSO,DATOS!$D4772,nESPEC,DATOS!$E4772,nASIG,DATOS!$I4772,nEVAL,"OR")=0))</f>
      </c>
      <c r="I4772">
        <f>IF(DATOS!$I4772="","",IFERROR(VLOOKUP(DATOS!$I4772,CONFIG_ASIGNATURAS!$B$2:$J$91,9,FALSE()),""))</f>
      </c>
    </row>
    <row r="4773">
      <c r="F4773">
        <f>IF(DATOS!$A4773="","",DATOS!$A4773&amp;"|"&amp;DATOS!$D4773&amp;"|"&amp;DATOS!$E4773&amp;"|"&amp;DATOS!$I4773)</f>
      </c>
      <c r="G4773">
        <f>IF(DATOS!$A4773="",0,IF(CONFIG_METADATA!$B$4&lt;&gt;"OR+EX",--(DATOS!$G4773=CONFIG_METADATA!$B$4),IF(DATOS!$G4773="EX",1,IF(DATOS!$G4773="OR",--(COUNTIFS(nNIA,DATOS!$A4773,nCURSO,DATOS!$D4773,nESPEC,DATOS!$E4773,nASIG,DATOS!$I4773,nEVAL,"EX")=0),0))))</f>
      </c>
      <c r="H4773">
        <f>IF(DATOS!$G4773&lt;&gt;"EX",0,--(COUNTIFS(nNIA,DATOS!$A4773,nCURSO,DATOS!$D4773,nESPEC,DATOS!$E4773,nASIG,DATOS!$I4773,nEVAL,"OR")=0))</f>
      </c>
      <c r="I4773">
        <f>IF(DATOS!$I4773="","",IFERROR(VLOOKUP(DATOS!$I4773,CONFIG_ASIGNATURAS!$B$2:$J$91,9,FALSE()),""))</f>
      </c>
    </row>
    <row r="4774">
      <c r="F4774">
        <f>IF(DATOS!$A4774="","",DATOS!$A4774&amp;"|"&amp;DATOS!$D4774&amp;"|"&amp;DATOS!$E4774&amp;"|"&amp;DATOS!$I4774)</f>
      </c>
      <c r="G4774">
        <f>IF(DATOS!$A4774="",0,IF(CONFIG_METADATA!$B$4&lt;&gt;"OR+EX",--(DATOS!$G4774=CONFIG_METADATA!$B$4),IF(DATOS!$G4774="EX",1,IF(DATOS!$G4774="OR",--(COUNTIFS(nNIA,DATOS!$A4774,nCURSO,DATOS!$D4774,nESPEC,DATOS!$E4774,nASIG,DATOS!$I4774,nEVAL,"EX")=0),0))))</f>
      </c>
      <c r="H4774">
        <f>IF(DATOS!$G4774&lt;&gt;"EX",0,--(COUNTIFS(nNIA,DATOS!$A4774,nCURSO,DATOS!$D4774,nESPEC,DATOS!$E4774,nASIG,DATOS!$I4774,nEVAL,"OR")=0))</f>
      </c>
      <c r="I4774">
        <f>IF(DATOS!$I4774="","",IFERROR(VLOOKUP(DATOS!$I4774,CONFIG_ASIGNATURAS!$B$2:$J$91,9,FALSE()),""))</f>
      </c>
    </row>
    <row r="4775">
      <c r="F4775">
        <f>IF(DATOS!$A4775="","",DATOS!$A4775&amp;"|"&amp;DATOS!$D4775&amp;"|"&amp;DATOS!$E4775&amp;"|"&amp;DATOS!$I4775)</f>
      </c>
      <c r="G4775">
        <f>IF(DATOS!$A4775="",0,IF(CONFIG_METADATA!$B$4&lt;&gt;"OR+EX",--(DATOS!$G4775=CONFIG_METADATA!$B$4),IF(DATOS!$G4775="EX",1,IF(DATOS!$G4775="OR",--(COUNTIFS(nNIA,DATOS!$A4775,nCURSO,DATOS!$D4775,nESPEC,DATOS!$E4775,nASIG,DATOS!$I4775,nEVAL,"EX")=0),0))))</f>
      </c>
      <c r="H4775">
        <f>IF(DATOS!$G4775&lt;&gt;"EX",0,--(COUNTIFS(nNIA,DATOS!$A4775,nCURSO,DATOS!$D4775,nESPEC,DATOS!$E4775,nASIG,DATOS!$I4775,nEVAL,"OR")=0))</f>
      </c>
      <c r="I4775">
        <f>IF(DATOS!$I4775="","",IFERROR(VLOOKUP(DATOS!$I4775,CONFIG_ASIGNATURAS!$B$2:$J$91,9,FALSE()),""))</f>
      </c>
    </row>
    <row r="4776">
      <c r="F4776">
        <f>IF(DATOS!$A4776="","",DATOS!$A4776&amp;"|"&amp;DATOS!$D4776&amp;"|"&amp;DATOS!$E4776&amp;"|"&amp;DATOS!$I4776)</f>
      </c>
      <c r="G4776">
        <f>IF(DATOS!$A4776="",0,IF(CONFIG_METADATA!$B$4&lt;&gt;"OR+EX",--(DATOS!$G4776=CONFIG_METADATA!$B$4),IF(DATOS!$G4776="EX",1,IF(DATOS!$G4776="OR",--(COUNTIFS(nNIA,DATOS!$A4776,nCURSO,DATOS!$D4776,nESPEC,DATOS!$E4776,nASIG,DATOS!$I4776,nEVAL,"EX")=0),0))))</f>
      </c>
      <c r="H4776">
        <f>IF(DATOS!$G4776&lt;&gt;"EX",0,--(COUNTIFS(nNIA,DATOS!$A4776,nCURSO,DATOS!$D4776,nESPEC,DATOS!$E4776,nASIG,DATOS!$I4776,nEVAL,"OR")=0))</f>
      </c>
      <c r="I4776">
        <f>IF(DATOS!$I4776="","",IFERROR(VLOOKUP(DATOS!$I4776,CONFIG_ASIGNATURAS!$B$2:$J$91,9,FALSE()),""))</f>
      </c>
    </row>
    <row r="4777">
      <c r="F4777">
        <f>IF(DATOS!$A4777="","",DATOS!$A4777&amp;"|"&amp;DATOS!$D4777&amp;"|"&amp;DATOS!$E4777&amp;"|"&amp;DATOS!$I4777)</f>
      </c>
      <c r="G4777">
        <f>IF(DATOS!$A4777="",0,IF(CONFIG_METADATA!$B$4&lt;&gt;"OR+EX",--(DATOS!$G4777=CONFIG_METADATA!$B$4),IF(DATOS!$G4777="EX",1,IF(DATOS!$G4777="OR",--(COUNTIFS(nNIA,DATOS!$A4777,nCURSO,DATOS!$D4777,nESPEC,DATOS!$E4777,nASIG,DATOS!$I4777,nEVAL,"EX")=0),0))))</f>
      </c>
      <c r="H4777">
        <f>IF(DATOS!$G4777&lt;&gt;"EX",0,--(COUNTIFS(nNIA,DATOS!$A4777,nCURSO,DATOS!$D4777,nESPEC,DATOS!$E4777,nASIG,DATOS!$I4777,nEVAL,"OR")=0))</f>
      </c>
      <c r="I4777">
        <f>IF(DATOS!$I4777="","",IFERROR(VLOOKUP(DATOS!$I4777,CONFIG_ASIGNATURAS!$B$2:$J$91,9,FALSE()),""))</f>
      </c>
    </row>
    <row r="4778">
      <c r="F4778">
        <f>IF(DATOS!$A4778="","",DATOS!$A4778&amp;"|"&amp;DATOS!$D4778&amp;"|"&amp;DATOS!$E4778&amp;"|"&amp;DATOS!$I4778)</f>
      </c>
      <c r="G4778">
        <f>IF(DATOS!$A4778="",0,IF(CONFIG_METADATA!$B$4&lt;&gt;"OR+EX",--(DATOS!$G4778=CONFIG_METADATA!$B$4),IF(DATOS!$G4778="EX",1,IF(DATOS!$G4778="OR",--(COUNTIFS(nNIA,DATOS!$A4778,nCURSO,DATOS!$D4778,nESPEC,DATOS!$E4778,nASIG,DATOS!$I4778,nEVAL,"EX")=0),0))))</f>
      </c>
      <c r="H4778">
        <f>IF(DATOS!$G4778&lt;&gt;"EX",0,--(COUNTIFS(nNIA,DATOS!$A4778,nCURSO,DATOS!$D4778,nESPEC,DATOS!$E4778,nASIG,DATOS!$I4778,nEVAL,"OR")=0))</f>
      </c>
      <c r="I4778">
        <f>IF(DATOS!$I4778="","",IFERROR(VLOOKUP(DATOS!$I4778,CONFIG_ASIGNATURAS!$B$2:$J$91,9,FALSE()),""))</f>
      </c>
    </row>
    <row r="4779">
      <c r="F4779">
        <f>IF(DATOS!$A4779="","",DATOS!$A4779&amp;"|"&amp;DATOS!$D4779&amp;"|"&amp;DATOS!$E4779&amp;"|"&amp;DATOS!$I4779)</f>
      </c>
      <c r="G4779">
        <f>IF(DATOS!$A4779="",0,IF(CONFIG_METADATA!$B$4&lt;&gt;"OR+EX",--(DATOS!$G4779=CONFIG_METADATA!$B$4),IF(DATOS!$G4779="EX",1,IF(DATOS!$G4779="OR",--(COUNTIFS(nNIA,DATOS!$A4779,nCURSO,DATOS!$D4779,nESPEC,DATOS!$E4779,nASIG,DATOS!$I4779,nEVAL,"EX")=0),0))))</f>
      </c>
      <c r="H4779">
        <f>IF(DATOS!$G4779&lt;&gt;"EX",0,--(COUNTIFS(nNIA,DATOS!$A4779,nCURSO,DATOS!$D4779,nESPEC,DATOS!$E4779,nASIG,DATOS!$I4779,nEVAL,"OR")=0))</f>
      </c>
      <c r="I4779">
        <f>IF(DATOS!$I4779="","",IFERROR(VLOOKUP(DATOS!$I4779,CONFIG_ASIGNATURAS!$B$2:$J$91,9,FALSE()),""))</f>
      </c>
    </row>
    <row r="4780">
      <c r="F4780">
        <f>IF(DATOS!$A4780="","",DATOS!$A4780&amp;"|"&amp;DATOS!$D4780&amp;"|"&amp;DATOS!$E4780&amp;"|"&amp;DATOS!$I4780)</f>
      </c>
      <c r="G4780">
        <f>IF(DATOS!$A4780="",0,IF(CONFIG_METADATA!$B$4&lt;&gt;"OR+EX",--(DATOS!$G4780=CONFIG_METADATA!$B$4),IF(DATOS!$G4780="EX",1,IF(DATOS!$G4780="OR",--(COUNTIFS(nNIA,DATOS!$A4780,nCURSO,DATOS!$D4780,nESPEC,DATOS!$E4780,nASIG,DATOS!$I4780,nEVAL,"EX")=0),0))))</f>
      </c>
      <c r="H4780">
        <f>IF(DATOS!$G4780&lt;&gt;"EX",0,--(COUNTIFS(nNIA,DATOS!$A4780,nCURSO,DATOS!$D4780,nESPEC,DATOS!$E4780,nASIG,DATOS!$I4780,nEVAL,"OR")=0))</f>
      </c>
      <c r="I4780">
        <f>IF(DATOS!$I4780="","",IFERROR(VLOOKUP(DATOS!$I4780,CONFIG_ASIGNATURAS!$B$2:$J$91,9,FALSE()),""))</f>
      </c>
    </row>
    <row r="4781">
      <c r="F4781">
        <f>IF(DATOS!$A4781="","",DATOS!$A4781&amp;"|"&amp;DATOS!$D4781&amp;"|"&amp;DATOS!$E4781&amp;"|"&amp;DATOS!$I4781)</f>
      </c>
      <c r="G4781">
        <f>IF(DATOS!$A4781="",0,IF(CONFIG_METADATA!$B$4&lt;&gt;"OR+EX",--(DATOS!$G4781=CONFIG_METADATA!$B$4),IF(DATOS!$G4781="EX",1,IF(DATOS!$G4781="OR",--(COUNTIFS(nNIA,DATOS!$A4781,nCURSO,DATOS!$D4781,nESPEC,DATOS!$E4781,nASIG,DATOS!$I4781,nEVAL,"EX")=0),0))))</f>
      </c>
      <c r="H4781">
        <f>IF(DATOS!$G4781&lt;&gt;"EX",0,--(COUNTIFS(nNIA,DATOS!$A4781,nCURSO,DATOS!$D4781,nESPEC,DATOS!$E4781,nASIG,DATOS!$I4781,nEVAL,"OR")=0))</f>
      </c>
      <c r="I4781">
        <f>IF(DATOS!$I4781="","",IFERROR(VLOOKUP(DATOS!$I4781,CONFIG_ASIGNATURAS!$B$2:$J$91,9,FALSE()),""))</f>
      </c>
    </row>
    <row r="4782">
      <c r="F4782">
        <f>IF(DATOS!$A4782="","",DATOS!$A4782&amp;"|"&amp;DATOS!$D4782&amp;"|"&amp;DATOS!$E4782&amp;"|"&amp;DATOS!$I4782)</f>
      </c>
      <c r="G4782">
        <f>IF(DATOS!$A4782="",0,IF(CONFIG_METADATA!$B$4&lt;&gt;"OR+EX",--(DATOS!$G4782=CONFIG_METADATA!$B$4),IF(DATOS!$G4782="EX",1,IF(DATOS!$G4782="OR",--(COUNTIFS(nNIA,DATOS!$A4782,nCURSO,DATOS!$D4782,nESPEC,DATOS!$E4782,nASIG,DATOS!$I4782,nEVAL,"EX")=0),0))))</f>
      </c>
      <c r="H4782">
        <f>IF(DATOS!$G4782&lt;&gt;"EX",0,--(COUNTIFS(nNIA,DATOS!$A4782,nCURSO,DATOS!$D4782,nESPEC,DATOS!$E4782,nASIG,DATOS!$I4782,nEVAL,"OR")=0))</f>
      </c>
      <c r="I4782">
        <f>IF(DATOS!$I4782="","",IFERROR(VLOOKUP(DATOS!$I4782,CONFIG_ASIGNATURAS!$B$2:$J$91,9,FALSE()),""))</f>
      </c>
    </row>
    <row r="4783">
      <c r="F4783">
        <f>IF(DATOS!$A4783="","",DATOS!$A4783&amp;"|"&amp;DATOS!$D4783&amp;"|"&amp;DATOS!$E4783&amp;"|"&amp;DATOS!$I4783)</f>
      </c>
      <c r="G4783">
        <f>IF(DATOS!$A4783="",0,IF(CONFIG_METADATA!$B$4&lt;&gt;"OR+EX",--(DATOS!$G4783=CONFIG_METADATA!$B$4),IF(DATOS!$G4783="EX",1,IF(DATOS!$G4783="OR",--(COUNTIFS(nNIA,DATOS!$A4783,nCURSO,DATOS!$D4783,nESPEC,DATOS!$E4783,nASIG,DATOS!$I4783,nEVAL,"EX")=0),0))))</f>
      </c>
      <c r="H4783">
        <f>IF(DATOS!$G4783&lt;&gt;"EX",0,--(COUNTIFS(nNIA,DATOS!$A4783,nCURSO,DATOS!$D4783,nESPEC,DATOS!$E4783,nASIG,DATOS!$I4783,nEVAL,"OR")=0))</f>
      </c>
      <c r="I4783">
        <f>IF(DATOS!$I4783="","",IFERROR(VLOOKUP(DATOS!$I4783,CONFIG_ASIGNATURAS!$B$2:$J$91,9,FALSE()),""))</f>
      </c>
    </row>
    <row r="4784">
      <c r="F4784">
        <f>IF(DATOS!$A4784="","",DATOS!$A4784&amp;"|"&amp;DATOS!$D4784&amp;"|"&amp;DATOS!$E4784&amp;"|"&amp;DATOS!$I4784)</f>
      </c>
      <c r="G4784">
        <f>IF(DATOS!$A4784="",0,IF(CONFIG_METADATA!$B$4&lt;&gt;"OR+EX",--(DATOS!$G4784=CONFIG_METADATA!$B$4),IF(DATOS!$G4784="EX",1,IF(DATOS!$G4784="OR",--(COUNTIFS(nNIA,DATOS!$A4784,nCURSO,DATOS!$D4784,nESPEC,DATOS!$E4784,nASIG,DATOS!$I4784,nEVAL,"EX")=0),0))))</f>
      </c>
      <c r="H4784">
        <f>IF(DATOS!$G4784&lt;&gt;"EX",0,--(COUNTIFS(nNIA,DATOS!$A4784,nCURSO,DATOS!$D4784,nESPEC,DATOS!$E4784,nASIG,DATOS!$I4784,nEVAL,"OR")=0))</f>
      </c>
      <c r="I4784">
        <f>IF(DATOS!$I4784="","",IFERROR(VLOOKUP(DATOS!$I4784,CONFIG_ASIGNATURAS!$B$2:$J$91,9,FALSE()),""))</f>
      </c>
    </row>
    <row r="4785">
      <c r="F4785">
        <f>IF(DATOS!$A4785="","",DATOS!$A4785&amp;"|"&amp;DATOS!$D4785&amp;"|"&amp;DATOS!$E4785&amp;"|"&amp;DATOS!$I4785)</f>
      </c>
      <c r="G4785">
        <f>IF(DATOS!$A4785="",0,IF(CONFIG_METADATA!$B$4&lt;&gt;"OR+EX",--(DATOS!$G4785=CONFIG_METADATA!$B$4),IF(DATOS!$G4785="EX",1,IF(DATOS!$G4785="OR",--(COUNTIFS(nNIA,DATOS!$A4785,nCURSO,DATOS!$D4785,nESPEC,DATOS!$E4785,nASIG,DATOS!$I4785,nEVAL,"EX")=0),0))))</f>
      </c>
      <c r="H4785">
        <f>IF(DATOS!$G4785&lt;&gt;"EX",0,--(COUNTIFS(nNIA,DATOS!$A4785,nCURSO,DATOS!$D4785,nESPEC,DATOS!$E4785,nASIG,DATOS!$I4785,nEVAL,"OR")=0))</f>
      </c>
      <c r="I4785">
        <f>IF(DATOS!$I4785="","",IFERROR(VLOOKUP(DATOS!$I4785,CONFIG_ASIGNATURAS!$B$2:$J$91,9,FALSE()),""))</f>
      </c>
    </row>
    <row r="4786">
      <c r="F4786">
        <f>IF(DATOS!$A4786="","",DATOS!$A4786&amp;"|"&amp;DATOS!$D4786&amp;"|"&amp;DATOS!$E4786&amp;"|"&amp;DATOS!$I4786)</f>
      </c>
      <c r="G4786">
        <f>IF(DATOS!$A4786="",0,IF(CONFIG_METADATA!$B$4&lt;&gt;"OR+EX",--(DATOS!$G4786=CONFIG_METADATA!$B$4),IF(DATOS!$G4786="EX",1,IF(DATOS!$G4786="OR",--(COUNTIFS(nNIA,DATOS!$A4786,nCURSO,DATOS!$D4786,nESPEC,DATOS!$E4786,nASIG,DATOS!$I4786,nEVAL,"EX")=0),0))))</f>
      </c>
      <c r="H4786">
        <f>IF(DATOS!$G4786&lt;&gt;"EX",0,--(COUNTIFS(nNIA,DATOS!$A4786,nCURSO,DATOS!$D4786,nESPEC,DATOS!$E4786,nASIG,DATOS!$I4786,nEVAL,"OR")=0))</f>
      </c>
      <c r="I4786">
        <f>IF(DATOS!$I4786="","",IFERROR(VLOOKUP(DATOS!$I4786,CONFIG_ASIGNATURAS!$B$2:$J$91,9,FALSE()),""))</f>
      </c>
    </row>
    <row r="4787">
      <c r="F4787">
        <f>IF(DATOS!$A4787="","",DATOS!$A4787&amp;"|"&amp;DATOS!$D4787&amp;"|"&amp;DATOS!$E4787&amp;"|"&amp;DATOS!$I4787)</f>
      </c>
      <c r="G4787">
        <f>IF(DATOS!$A4787="",0,IF(CONFIG_METADATA!$B$4&lt;&gt;"OR+EX",--(DATOS!$G4787=CONFIG_METADATA!$B$4),IF(DATOS!$G4787="EX",1,IF(DATOS!$G4787="OR",--(COUNTIFS(nNIA,DATOS!$A4787,nCURSO,DATOS!$D4787,nESPEC,DATOS!$E4787,nASIG,DATOS!$I4787,nEVAL,"EX")=0),0))))</f>
      </c>
      <c r="H4787">
        <f>IF(DATOS!$G4787&lt;&gt;"EX",0,--(COUNTIFS(nNIA,DATOS!$A4787,nCURSO,DATOS!$D4787,nESPEC,DATOS!$E4787,nASIG,DATOS!$I4787,nEVAL,"OR")=0))</f>
      </c>
      <c r="I4787">
        <f>IF(DATOS!$I4787="","",IFERROR(VLOOKUP(DATOS!$I4787,CONFIG_ASIGNATURAS!$B$2:$J$91,9,FALSE()),""))</f>
      </c>
    </row>
    <row r="4788">
      <c r="F4788">
        <f>IF(DATOS!$A4788="","",DATOS!$A4788&amp;"|"&amp;DATOS!$D4788&amp;"|"&amp;DATOS!$E4788&amp;"|"&amp;DATOS!$I4788)</f>
      </c>
      <c r="G4788">
        <f>IF(DATOS!$A4788="",0,IF(CONFIG_METADATA!$B$4&lt;&gt;"OR+EX",--(DATOS!$G4788=CONFIG_METADATA!$B$4),IF(DATOS!$G4788="EX",1,IF(DATOS!$G4788="OR",--(COUNTIFS(nNIA,DATOS!$A4788,nCURSO,DATOS!$D4788,nESPEC,DATOS!$E4788,nASIG,DATOS!$I4788,nEVAL,"EX")=0),0))))</f>
      </c>
      <c r="H4788">
        <f>IF(DATOS!$G4788&lt;&gt;"EX",0,--(COUNTIFS(nNIA,DATOS!$A4788,nCURSO,DATOS!$D4788,nESPEC,DATOS!$E4788,nASIG,DATOS!$I4788,nEVAL,"OR")=0))</f>
      </c>
      <c r="I4788">
        <f>IF(DATOS!$I4788="","",IFERROR(VLOOKUP(DATOS!$I4788,CONFIG_ASIGNATURAS!$B$2:$J$91,9,FALSE()),""))</f>
      </c>
    </row>
    <row r="4789">
      <c r="F4789">
        <f>IF(DATOS!$A4789="","",DATOS!$A4789&amp;"|"&amp;DATOS!$D4789&amp;"|"&amp;DATOS!$E4789&amp;"|"&amp;DATOS!$I4789)</f>
      </c>
      <c r="G4789">
        <f>IF(DATOS!$A4789="",0,IF(CONFIG_METADATA!$B$4&lt;&gt;"OR+EX",--(DATOS!$G4789=CONFIG_METADATA!$B$4),IF(DATOS!$G4789="EX",1,IF(DATOS!$G4789="OR",--(COUNTIFS(nNIA,DATOS!$A4789,nCURSO,DATOS!$D4789,nESPEC,DATOS!$E4789,nASIG,DATOS!$I4789,nEVAL,"EX")=0),0))))</f>
      </c>
      <c r="H4789">
        <f>IF(DATOS!$G4789&lt;&gt;"EX",0,--(COUNTIFS(nNIA,DATOS!$A4789,nCURSO,DATOS!$D4789,nESPEC,DATOS!$E4789,nASIG,DATOS!$I4789,nEVAL,"OR")=0))</f>
      </c>
      <c r="I4789">
        <f>IF(DATOS!$I4789="","",IFERROR(VLOOKUP(DATOS!$I4789,CONFIG_ASIGNATURAS!$B$2:$J$91,9,FALSE()),""))</f>
      </c>
    </row>
    <row r="4790">
      <c r="F4790">
        <f>IF(DATOS!$A4790="","",DATOS!$A4790&amp;"|"&amp;DATOS!$D4790&amp;"|"&amp;DATOS!$E4790&amp;"|"&amp;DATOS!$I4790)</f>
      </c>
      <c r="G4790">
        <f>IF(DATOS!$A4790="",0,IF(CONFIG_METADATA!$B$4&lt;&gt;"OR+EX",--(DATOS!$G4790=CONFIG_METADATA!$B$4),IF(DATOS!$G4790="EX",1,IF(DATOS!$G4790="OR",--(COUNTIFS(nNIA,DATOS!$A4790,nCURSO,DATOS!$D4790,nESPEC,DATOS!$E4790,nASIG,DATOS!$I4790,nEVAL,"EX")=0),0))))</f>
      </c>
      <c r="H4790">
        <f>IF(DATOS!$G4790&lt;&gt;"EX",0,--(COUNTIFS(nNIA,DATOS!$A4790,nCURSO,DATOS!$D4790,nESPEC,DATOS!$E4790,nASIG,DATOS!$I4790,nEVAL,"OR")=0))</f>
      </c>
      <c r="I4790">
        <f>IF(DATOS!$I4790="","",IFERROR(VLOOKUP(DATOS!$I4790,CONFIG_ASIGNATURAS!$B$2:$J$91,9,FALSE()),""))</f>
      </c>
    </row>
    <row r="4791">
      <c r="F4791">
        <f>IF(DATOS!$A4791="","",DATOS!$A4791&amp;"|"&amp;DATOS!$D4791&amp;"|"&amp;DATOS!$E4791&amp;"|"&amp;DATOS!$I4791)</f>
      </c>
      <c r="G4791">
        <f>IF(DATOS!$A4791="",0,IF(CONFIG_METADATA!$B$4&lt;&gt;"OR+EX",--(DATOS!$G4791=CONFIG_METADATA!$B$4),IF(DATOS!$G4791="EX",1,IF(DATOS!$G4791="OR",--(COUNTIFS(nNIA,DATOS!$A4791,nCURSO,DATOS!$D4791,nESPEC,DATOS!$E4791,nASIG,DATOS!$I4791,nEVAL,"EX")=0),0))))</f>
      </c>
      <c r="H4791">
        <f>IF(DATOS!$G4791&lt;&gt;"EX",0,--(COUNTIFS(nNIA,DATOS!$A4791,nCURSO,DATOS!$D4791,nESPEC,DATOS!$E4791,nASIG,DATOS!$I4791,nEVAL,"OR")=0))</f>
      </c>
      <c r="I4791">
        <f>IF(DATOS!$I4791="","",IFERROR(VLOOKUP(DATOS!$I4791,CONFIG_ASIGNATURAS!$B$2:$J$91,9,FALSE()),""))</f>
      </c>
    </row>
    <row r="4792">
      <c r="F4792">
        <f>IF(DATOS!$A4792="","",DATOS!$A4792&amp;"|"&amp;DATOS!$D4792&amp;"|"&amp;DATOS!$E4792&amp;"|"&amp;DATOS!$I4792)</f>
      </c>
      <c r="G4792">
        <f>IF(DATOS!$A4792="",0,IF(CONFIG_METADATA!$B$4&lt;&gt;"OR+EX",--(DATOS!$G4792=CONFIG_METADATA!$B$4),IF(DATOS!$G4792="EX",1,IF(DATOS!$G4792="OR",--(COUNTIFS(nNIA,DATOS!$A4792,nCURSO,DATOS!$D4792,nESPEC,DATOS!$E4792,nASIG,DATOS!$I4792,nEVAL,"EX")=0),0))))</f>
      </c>
      <c r="H4792">
        <f>IF(DATOS!$G4792&lt;&gt;"EX",0,--(COUNTIFS(nNIA,DATOS!$A4792,nCURSO,DATOS!$D4792,nESPEC,DATOS!$E4792,nASIG,DATOS!$I4792,nEVAL,"OR")=0))</f>
      </c>
      <c r="I4792">
        <f>IF(DATOS!$I4792="","",IFERROR(VLOOKUP(DATOS!$I4792,CONFIG_ASIGNATURAS!$B$2:$J$91,9,FALSE()),""))</f>
      </c>
    </row>
    <row r="4793">
      <c r="F4793">
        <f>IF(DATOS!$A4793="","",DATOS!$A4793&amp;"|"&amp;DATOS!$D4793&amp;"|"&amp;DATOS!$E4793&amp;"|"&amp;DATOS!$I4793)</f>
      </c>
      <c r="G4793">
        <f>IF(DATOS!$A4793="",0,IF(CONFIG_METADATA!$B$4&lt;&gt;"OR+EX",--(DATOS!$G4793=CONFIG_METADATA!$B$4),IF(DATOS!$G4793="EX",1,IF(DATOS!$G4793="OR",--(COUNTIFS(nNIA,DATOS!$A4793,nCURSO,DATOS!$D4793,nESPEC,DATOS!$E4793,nASIG,DATOS!$I4793,nEVAL,"EX")=0),0))))</f>
      </c>
      <c r="H4793">
        <f>IF(DATOS!$G4793&lt;&gt;"EX",0,--(COUNTIFS(nNIA,DATOS!$A4793,nCURSO,DATOS!$D4793,nESPEC,DATOS!$E4793,nASIG,DATOS!$I4793,nEVAL,"OR")=0))</f>
      </c>
      <c r="I4793">
        <f>IF(DATOS!$I4793="","",IFERROR(VLOOKUP(DATOS!$I4793,CONFIG_ASIGNATURAS!$B$2:$J$91,9,FALSE()),""))</f>
      </c>
    </row>
    <row r="4794">
      <c r="F4794">
        <f>IF(DATOS!$A4794="","",DATOS!$A4794&amp;"|"&amp;DATOS!$D4794&amp;"|"&amp;DATOS!$E4794&amp;"|"&amp;DATOS!$I4794)</f>
      </c>
      <c r="G4794">
        <f>IF(DATOS!$A4794="",0,IF(CONFIG_METADATA!$B$4&lt;&gt;"OR+EX",--(DATOS!$G4794=CONFIG_METADATA!$B$4),IF(DATOS!$G4794="EX",1,IF(DATOS!$G4794="OR",--(COUNTIFS(nNIA,DATOS!$A4794,nCURSO,DATOS!$D4794,nESPEC,DATOS!$E4794,nASIG,DATOS!$I4794,nEVAL,"EX")=0),0))))</f>
      </c>
      <c r="H4794">
        <f>IF(DATOS!$G4794&lt;&gt;"EX",0,--(COUNTIFS(nNIA,DATOS!$A4794,nCURSO,DATOS!$D4794,nESPEC,DATOS!$E4794,nASIG,DATOS!$I4794,nEVAL,"OR")=0))</f>
      </c>
      <c r="I4794">
        <f>IF(DATOS!$I4794="","",IFERROR(VLOOKUP(DATOS!$I4794,CONFIG_ASIGNATURAS!$B$2:$J$91,9,FALSE()),""))</f>
      </c>
    </row>
    <row r="4795">
      <c r="F4795">
        <f>IF(DATOS!$A4795="","",DATOS!$A4795&amp;"|"&amp;DATOS!$D4795&amp;"|"&amp;DATOS!$E4795&amp;"|"&amp;DATOS!$I4795)</f>
      </c>
      <c r="G4795">
        <f>IF(DATOS!$A4795="",0,IF(CONFIG_METADATA!$B$4&lt;&gt;"OR+EX",--(DATOS!$G4795=CONFIG_METADATA!$B$4),IF(DATOS!$G4795="EX",1,IF(DATOS!$G4795="OR",--(COUNTIFS(nNIA,DATOS!$A4795,nCURSO,DATOS!$D4795,nESPEC,DATOS!$E4795,nASIG,DATOS!$I4795,nEVAL,"EX")=0),0))))</f>
      </c>
      <c r="H4795">
        <f>IF(DATOS!$G4795&lt;&gt;"EX",0,--(COUNTIFS(nNIA,DATOS!$A4795,nCURSO,DATOS!$D4795,nESPEC,DATOS!$E4795,nASIG,DATOS!$I4795,nEVAL,"OR")=0))</f>
      </c>
      <c r="I4795">
        <f>IF(DATOS!$I4795="","",IFERROR(VLOOKUP(DATOS!$I4795,CONFIG_ASIGNATURAS!$B$2:$J$91,9,FALSE()),""))</f>
      </c>
    </row>
    <row r="4796">
      <c r="F4796">
        <f>IF(DATOS!$A4796="","",DATOS!$A4796&amp;"|"&amp;DATOS!$D4796&amp;"|"&amp;DATOS!$E4796&amp;"|"&amp;DATOS!$I4796)</f>
      </c>
      <c r="G4796">
        <f>IF(DATOS!$A4796="",0,IF(CONFIG_METADATA!$B$4&lt;&gt;"OR+EX",--(DATOS!$G4796=CONFIG_METADATA!$B$4),IF(DATOS!$G4796="EX",1,IF(DATOS!$G4796="OR",--(COUNTIFS(nNIA,DATOS!$A4796,nCURSO,DATOS!$D4796,nESPEC,DATOS!$E4796,nASIG,DATOS!$I4796,nEVAL,"EX")=0),0))))</f>
      </c>
      <c r="H4796">
        <f>IF(DATOS!$G4796&lt;&gt;"EX",0,--(COUNTIFS(nNIA,DATOS!$A4796,nCURSO,DATOS!$D4796,nESPEC,DATOS!$E4796,nASIG,DATOS!$I4796,nEVAL,"OR")=0))</f>
      </c>
      <c r="I4796">
        <f>IF(DATOS!$I4796="","",IFERROR(VLOOKUP(DATOS!$I4796,CONFIG_ASIGNATURAS!$B$2:$J$91,9,FALSE()),""))</f>
      </c>
    </row>
    <row r="4797">
      <c r="F4797">
        <f>IF(DATOS!$A4797="","",DATOS!$A4797&amp;"|"&amp;DATOS!$D4797&amp;"|"&amp;DATOS!$E4797&amp;"|"&amp;DATOS!$I4797)</f>
      </c>
      <c r="G4797">
        <f>IF(DATOS!$A4797="",0,IF(CONFIG_METADATA!$B$4&lt;&gt;"OR+EX",--(DATOS!$G4797=CONFIG_METADATA!$B$4),IF(DATOS!$G4797="EX",1,IF(DATOS!$G4797="OR",--(COUNTIFS(nNIA,DATOS!$A4797,nCURSO,DATOS!$D4797,nESPEC,DATOS!$E4797,nASIG,DATOS!$I4797,nEVAL,"EX")=0),0))))</f>
      </c>
      <c r="H4797">
        <f>IF(DATOS!$G4797&lt;&gt;"EX",0,--(COUNTIFS(nNIA,DATOS!$A4797,nCURSO,DATOS!$D4797,nESPEC,DATOS!$E4797,nASIG,DATOS!$I4797,nEVAL,"OR")=0))</f>
      </c>
      <c r="I4797">
        <f>IF(DATOS!$I4797="","",IFERROR(VLOOKUP(DATOS!$I4797,CONFIG_ASIGNATURAS!$B$2:$J$91,9,FALSE()),""))</f>
      </c>
    </row>
    <row r="4798">
      <c r="F4798">
        <f>IF(DATOS!$A4798="","",DATOS!$A4798&amp;"|"&amp;DATOS!$D4798&amp;"|"&amp;DATOS!$E4798&amp;"|"&amp;DATOS!$I4798)</f>
      </c>
      <c r="G4798">
        <f>IF(DATOS!$A4798="",0,IF(CONFIG_METADATA!$B$4&lt;&gt;"OR+EX",--(DATOS!$G4798=CONFIG_METADATA!$B$4),IF(DATOS!$G4798="EX",1,IF(DATOS!$G4798="OR",--(COUNTIFS(nNIA,DATOS!$A4798,nCURSO,DATOS!$D4798,nESPEC,DATOS!$E4798,nASIG,DATOS!$I4798,nEVAL,"EX")=0),0))))</f>
      </c>
      <c r="H4798">
        <f>IF(DATOS!$G4798&lt;&gt;"EX",0,--(COUNTIFS(nNIA,DATOS!$A4798,nCURSO,DATOS!$D4798,nESPEC,DATOS!$E4798,nASIG,DATOS!$I4798,nEVAL,"OR")=0))</f>
      </c>
      <c r="I4798">
        <f>IF(DATOS!$I4798="","",IFERROR(VLOOKUP(DATOS!$I4798,CONFIG_ASIGNATURAS!$B$2:$J$91,9,FALSE()),""))</f>
      </c>
    </row>
    <row r="4799">
      <c r="F4799">
        <f>IF(DATOS!$A4799="","",DATOS!$A4799&amp;"|"&amp;DATOS!$D4799&amp;"|"&amp;DATOS!$E4799&amp;"|"&amp;DATOS!$I4799)</f>
      </c>
      <c r="G4799">
        <f>IF(DATOS!$A4799="",0,IF(CONFIG_METADATA!$B$4&lt;&gt;"OR+EX",--(DATOS!$G4799=CONFIG_METADATA!$B$4),IF(DATOS!$G4799="EX",1,IF(DATOS!$G4799="OR",--(COUNTIFS(nNIA,DATOS!$A4799,nCURSO,DATOS!$D4799,nESPEC,DATOS!$E4799,nASIG,DATOS!$I4799,nEVAL,"EX")=0),0))))</f>
      </c>
      <c r="H4799">
        <f>IF(DATOS!$G4799&lt;&gt;"EX",0,--(COUNTIFS(nNIA,DATOS!$A4799,nCURSO,DATOS!$D4799,nESPEC,DATOS!$E4799,nASIG,DATOS!$I4799,nEVAL,"OR")=0))</f>
      </c>
      <c r="I4799">
        <f>IF(DATOS!$I4799="","",IFERROR(VLOOKUP(DATOS!$I4799,CONFIG_ASIGNATURAS!$B$2:$J$91,9,FALSE()),""))</f>
      </c>
    </row>
    <row r="4800">
      <c r="F4800">
        <f>IF(DATOS!$A4800="","",DATOS!$A4800&amp;"|"&amp;DATOS!$D4800&amp;"|"&amp;DATOS!$E4800&amp;"|"&amp;DATOS!$I4800)</f>
      </c>
      <c r="G4800">
        <f>IF(DATOS!$A4800="",0,IF(CONFIG_METADATA!$B$4&lt;&gt;"OR+EX",--(DATOS!$G4800=CONFIG_METADATA!$B$4),IF(DATOS!$G4800="EX",1,IF(DATOS!$G4800="OR",--(COUNTIFS(nNIA,DATOS!$A4800,nCURSO,DATOS!$D4800,nESPEC,DATOS!$E4800,nASIG,DATOS!$I4800,nEVAL,"EX")=0),0))))</f>
      </c>
      <c r="H4800">
        <f>IF(DATOS!$G4800&lt;&gt;"EX",0,--(COUNTIFS(nNIA,DATOS!$A4800,nCURSO,DATOS!$D4800,nESPEC,DATOS!$E4800,nASIG,DATOS!$I4800,nEVAL,"OR")=0))</f>
      </c>
      <c r="I4800">
        <f>IF(DATOS!$I4800="","",IFERROR(VLOOKUP(DATOS!$I4800,CONFIG_ASIGNATURAS!$B$2:$J$91,9,FALSE()),""))</f>
      </c>
    </row>
    <row r="4801">
      <c r="F4801">
        <f>IF(DATOS!$A4801="","",DATOS!$A4801&amp;"|"&amp;DATOS!$D4801&amp;"|"&amp;DATOS!$E4801&amp;"|"&amp;DATOS!$I4801)</f>
      </c>
      <c r="G4801">
        <f>IF(DATOS!$A4801="",0,IF(CONFIG_METADATA!$B$4&lt;&gt;"OR+EX",--(DATOS!$G4801=CONFIG_METADATA!$B$4),IF(DATOS!$G4801="EX",1,IF(DATOS!$G4801="OR",--(COUNTIFS(nNIA,DATOS!$A4801,nCURSO,DATOS!$D4801,nESPEC,DATOS!$E4801,nASIG,DATOS!$I4801,nEVAL,"EX")=0),0))))</f>
      </c>
      <c r="H4801">
        <f>IF(DATOS!$G4801&lt;&gt;"EX",0,--(COUNTIFS(nNIA,DATOS!$A4801,nCURSO,DATOS!$D4801,nESPEC,DATOS!$E4801,nASIG,DATOS!$I4801,nEVAL,"OR")=0))</f>
      </c>
      <c r="I4801">
        <f>IF(DATOS!$I4801="","",IFERROR(VLOOKUP(DATOS!$I4801,CONFIG_ASIGNATURAS!$B$2:$J$91,9,FALSE()),""))</f>
      </c>
    </row>
    <row r="4802">
      <c r="F4802">
        <f>IF(DATOS!$A4802="","",DATOS!$A4802&amp;"|"&amp;DATOS!$D4802&amp;"|"&amp;DATOS!$E4802&amp;"|"&amp;DATOS!$I4802)</f>
      </c>
      <c r="G4802">
        <f>IF(DATOS!$A4802="",0,IF(CONFIG_METADATA!$B$4&lt;&gt;"OR+EX",--(DATOS!$G4802=CONFIG_METADATA!$B$4),IF(DATOS!$G4802="EX",1,IF(DATOS!$G4802="OR",--(COUNTIFS(nNIA,DATOS!$A4802,nCURSO,DATOS!$D4802,nESPEC,DATOS!$E4802,nASIG,DATOS!$I4802,nEVAL,"EX")=0),0))))</f>
      </c>
      <c r="H4802">
        <f>IF(DATOS!$G4802&lt;&gt;"EX",0,--(COUNTIFS(nNIA,DATOS!$A4802,nCURSO,DATOS!$D4802,nESPEC,DATOS!$E4802,nASIG,DATOS!$I4802,nEVAL,"OR")=0))</f>
      </c>
      <c r="I4802">
        <f>IF(DATOS!$I4802="","",IFERROR(VLOOKUP(DATOS!$I4802,CONFIG_ASIGNATURAS!$B$2:$J$91,9,FALSE()),""))</f>
      </c>
    </row>
    <row r="4803">
      <c r="F4803">
        <f>IF(DATOS!$A4803="","",DATOS!$A4803&amp;"|"&amp;DATOS!$D4803&amp;"|"&amp;DATOS!$E4803&amp;"|"&amp;DATOS!$I4803)</f>
      </c>
      <c r="G4803">
        <f>IF(DATOS!$A4803="",0,IF(CONFIG_METADATA!$B$4&lt;&gt;"OR+EX",--(DATOS!$G4803=CONFIG_METADATA!$B$4),IF(DATOS!$G4803="EX",1,IF(DATOS!$G4803="OR",--(COUNTIFS(nNIA,DATOS!$A4803,nCURSO,DATOS!$D4803,nESPEC,DATOS!$E4803,nASIG,DATOS!$I4803,nEVAL,"EX")=0),0))))</f>
      </c>
      <c r="H4803">
        <f>IF(DATOS!$G4803&lt;&gt;"EX",0,--(COUNTIFS(nNIA,DATOS!$A4803,nCURSO,DATOS!$D4803,nESPEC,DATOS!$E4803,nASIG,DATOS!$I4803,nEVAL,"OR")=0))</f>
      </c>
      <c r="I4803">
        <f>IF(DATOS!$I4803="","",IFERROR(VLOOKUP(DATOS!$I4803,CONFIG_ASIGNATURAS!$B$2:$J$91,9,FALSE()),""))</f>
      </c>
    </row>
    <row r="4804">
      <c r="F4804">
        <f>IF(DATOS!$A4804="","",DATOS!$A4804&amp;"|"&amp;DATOS!$D4804&amp;"|"&amp;DATOS!$E4804&amp;"|"&amp;DATOS!$I4804)</f>
      </c>
      <c r="G4804">
        <f>IF(DATOS!$A4804="",0,IF(CONFIG_METADATA!$B$4&lt;&gt;"OR+EX",--(DATOS!$G4804=CONFIG_METADATA!$B$4),IF(DATOS!$G4804="EX",1,IF(DATOS!$G4804="OR",--(COUNTIFS(nNIA,DATOS!$A4804,nCURSO,DATOS!$D4804,nESPEC,DATOS!$E4804,nASIG,DATOS!$I4804,nEVAL,"EX")=0),0))))</f>
      </c>
      <c r="H4804">
        <f>IF(DATOS!$G4804&lt;&gt;"EX",0,--(COUNTIFS(nNIA,DATOS!$A4804,nCURSO,DATOS!$D4804,nESPEC,DATOS!$E4804,nASIG,DATOS!$I4804,nEVAL,"OR")=0))</f>
      </c>
      <c r="I4804">
        <f>IF(DATOS!$I4804="","",IFERROR(VLOOKUP(DATOS!$I4804,CONFIG_ASIGNATURAS!$B$2:$J$91,9,FALSE()),""))</f>
      </c>
    </row>
    <row r="4805">
      <c r="F4805">
        <f>IF(DATOS!$A4805="","",DATOS!$A4805&amp;"|"&amp;DATOS!$D4805&amp;"|"&amp;DATOS!$E4805&amp;"|"&amp;DATOS!$I4805)</f>
      </c>
      <c r="G4805">
        <f>IF(DATOS!$A4805="",0,IF(CONFIG_METADATA!$B$4&lt;&gt;"OR+EX",--(DATOS!$G4805=CONFIG_METADATA!$B$4),IF(DATOS!$G4805="EX",1,IF(DATOS!$G4805="OR",--(COUNTIFS(nNIA,DATOS!$A4805,nCURSO,DATOS!$D4805,nESPEC,DATOS!$E4805,nASIG,DATOS!$I4805,nEVAL,"EX")=0),0))))</f>
      </c>
      <c r="H4805">
        <f>IF(DATOS!$G4805&lt;&gt;"EX",0,--(COUNTIFS(nNIA,DATOS!$A4805,nCURSO,DATOS!$D4805,nESPEC,DATOS!$E4805,nASIG,DATOS!$I4805,nEVAL,"OR")=0))</f>
      </c>
      <c r="I4805">
        <f>IF(DATOS!$I4805="","",IFERROR(VLOOKUP(DATOS!$I4805,CONFIG_ASIGNATURAS!$B$2:$J$91,9,FALSE()),""))</f>
      </c>
    </row>
    <row r="4806">
      <c r="F4806">
        <f>IF(DATOS!$A4806="","",DATOS!$A4806&amp;"|"&amp;DATOS!$D4806&amp;"|"&amp;DATOS!$E4806&amp;"|"&amp;DATOS!$I4806)</f>
      </c>
      <c r="G4806">
        <f>IF(DATOS!$A4806="",0,IF(CONFIG_METADATA!$B$4&lt;&gt;"OR+EX",--(DATOS!$G4806=CONFIG_METADATA!$B$4),IF(DATOS!$G4806="EX",1,IF(DATOS!$G4806="OR",--(COUNTIFS(nNIA,DATOS!$A4806,nCURSO,DATOS!$D4806,nESPEC,DATOS!$E4806,nASIG,DATOS!$I4806,nEVAL,"EX")=0),0))))</f>
      </c>
      <c r="H4806">
        <f>IF(DATOS!$G4806&lt;&gt;"EX",0,--(COUNTIFS(nNIA,DATOS!$A4806,nCURSO,DATOS!$D4806,nESPEC,DATOS!$E4806,nASIG,DATOS!$I4806,nEVAL,"OR")=0))</f>
      </c>
      <c r="I4806">
        <f>IF(DATOS!$I4806="","",IFERROR(VLOOKUP(DATOS!$I4806,CONFIG_ASIGNATURAS!$B$2:$J$91,9,FALSE()),""))</f>
      </c>
    </row>
    <row r="4807">
      <c r="F4807">
        <f>IF(DATOS!$A4807="","",DATOS!$A4807&amp;"|"&amp;DATOS!$D4807&amp;"|"&amp;DATOS!$E4807&amp;"|"&amp;DATOS!$I4807)</f>
      </c>
      <c r="G4807">
        <f>IF(DATOS!$A4807="",0,IF(CONFIG_METADATA!$B$4&lt;&gt;"OR+EX",--(DATOS!$G4807=CONFIG_METADATA!$B$4),IF(DATOS!$G4807="EX",1,IF(DATOS!$G4807="OR",--(COUNTIFS(nNIA,DATOS!$A4807,nCURSO,DATOS!$D4807,nESPEC,DATOS!$E4807,nASIG,DATOS!$I4807,nEVAL,"EX")=0),0))))</f>
      </c>
      <c r="H4807">
        <f>IF(DATOS!$G4807&lt;&gt;"EX",0,--(COUNTIFS(nNIA,DATOS!$A4807,nCURSO,DATOS!$D4807,nESPEC,DATOS!$E4807,nASIG,DATOS!$I4807,nEVAL,"OR")=0))</f>
      </c>
      <c r="I4807">
        <f>IF(DATOS!$I4807="","",IFERROR(VLOOKUP(DATOS!$I4807,CONFIG_ASIGNATURAS!$B$2:$J$91,9,FALSE()),""))</f>
      </c>
    </row>
    <row r="4808">
      <c r="F4808">
        <f>IF(DATOS!$A4808="","",DATOS!$A4808&amp;"|"&amp;DATOS!$D4808&amp;"|"&amp;DATOS!$E4808&amp;"|"&amp;DATOS!$I4808)</f>
      </c>
      <c r="G4808">
        <f>IF(DATOS!$A4808="",0,IF(CONFIG_METADATA!$B$4&lt;&gt;"OR+EX",--(DATOS!$G4808=CONFIG_METADATA!$B$4),IF(DATOS!$G4808="EX",1,IF(DATOS!$G4808="OR",--(COUNTIFS(nNIA,DATOS!$A4808,nCURSO,DATOS!$D4808,nESPEC,DATOS!$E4808,nASIG,DATOS!$I4808,nEVAL,"EX")=0),0))))</f>
      </c>
      <c r="H4808">
        <f>IF(DATOS!$G4808&lt;&gt;"EX",0,--(COUNTIFS(nNIA,DATOS!$A4808,nCURSO,DATOS!$D4808,nESPEC,DATOS!$E4808,nASIG,DATOS!$I4808,nEVAL,"OR")=0))</f>
      </c>
      <c r="I4808">
        <f>IF(DATOS!$I4808="","",IFERROR(VLOOKUP(DATOS!$I4808,CONFIG_ASIGNATURAS!$B$2:$J$91,9,FALSE()),""))</f>
      </c>
    </row>
    <row r="4809">
      <c r="F4809">
        <f>IF(DATOS!$A4809="","",DATOS!$A4809&amp;"|"&amp;DATOS!$D4809&amp;"|"&amp;DATOS!$E4809&amp;"|"&amp;DATOS!$I4809)</f>
      </c>
      <c r="G4809">
        <f>IF(DATOS!$A4809="",0,IF(CONFIG_METADATA!$B$4&lt;&gt;"OR+EX",--(DATOS!$G4809=CONFIG_METADATA!$B$4),IF(DATOS!$G4809="EX",1,IF(DATOS!$G4809="OR",--(COUNTIFS(nNIA,DATOS!$A4809,nCURSO,DATOS!$D4809,nESPEC,DATOS!$E4809,nASIG,DATOS!$I4809,nEVAL,"EX")=0),0))))</f>
      </c>
      <c r="H4809">
        <f>IF(DATOS!$G4809&lt;&gt;"EX",0,--(COUNTIFS(nNIA,DATOS!$A4809,nCURSO,DATOS!$D4809,nESPEC,DATOS!$E4809,nASIG,DATOS!$I4809,nEVAL,"OR")=0))</f>
      </c>
      <c r="I4809">
        <f>IF(DATOS!$I4809="","",IFERROR(VLOOKUP(DATOS!$I4809,CONFIG_ASIGNATURAS!$B$2:$J$91,9,FALSE()),""))</f>
      </c>
    </row>
    <row r="4810">
      <c r="F4810">
        <f>IF(DATOS!$A4810="","",DATOS!$A4810&amp;"|"&amp;DATOS!$D4810&amp;"|"&amp;DATOS!$E4810&amp;"|"&amp;DATOS!$I4810)</f>
      </c>
      <c r="G4810">
        <f>IF(DATOS!$A4810="",0,IF(CONFIG_METADATA!$B$4&lt;&gt;"OR+EX",--(DATOS!$G4810=CONFIG_METADATA!$B$4),IF(DATOS!$G4810="EX",1,IF(DATOS!$G4810="OR",--(COUNTIFS(nNIA,DATOS!$A4810,nCURSO,DATOS!$D4810,nESPEC,DATOS!$E4810,nASIG,DATOS!$I4810,nEVAL,"EX")=0),0))))</f>
      </c>
      <c r="H4810">
        <f>IF(DATOS!$G4810&lt;&gt;"EX",0,--(COUNTIFS(nNIA,DATOS!$A4810,nCURSO,DATOS!$D4810,nESPEC,DATOS!$E4810,nASIG,DATOS!$I4810,nEVAL,"OR")=0))</f>
      </c>
      <c r="I4810">
        <f>IF(DATOS!$I4810="","",IFERROR(VLOOKUP(DATOS!$I4810,CONFIG_ASIGNATURAS!$B$2:$J$91,9,FALSE()),""))</f>
      </c>
    </row>
    <row r="4811">
      <c r="F4811">
        <f>IF(DATOS!$A4811="","",DATOS!$A4811&amp;"|"&amp;DATOS!$D4811&amp;"|"&amp;DATOS!$E4811&amp;"|"&amp;DATOS!$I4811)</f>
      </c>
      <c r="G4811">
        <f>IF(DATOS!$A4811="",0,IF(CONFIG_METADATA!$B$4&lt;&gt;"OR+EX",--(DATOS!$G4811=CONFIG_METADATA!$B$4),IF(DATOS!$G4811="EX",1,IF(DATOS!$G4811="OR",--(COUNTIFS(nNIA,DATOS!$A4811,nCURSO,DATOS!$D4811,nESPEC,DATOS!$E4811,nASIG,DATOS!$I4811,nEVAL,"EX")=0),0))))</f>
      </c>
      <c r="H4811">
        <f>IF(DATOS!$G4811&lt;&gt;"EX",0,--(COUNTIFS(nNIA,DATOS!$A4811,nCURSO,DATOS!$D4811,nESPEC,DATOS!$E4811,nASIG,DATOS!$I4811,nEVAL,"OR")=0))</f>
      </c>
      <c r="I4811">
        <f>IF(DATOS!$I4811="","",IFERROR(VLOOKUP(DATOS!$I4811,CONFIG_ASIGNATURAS!$B$2:$J$91,9,FALSE()),""))</f>
      </c>
    </row>
    <row r="4812">
      <c r="F4812">
        <f>IF(DATOS!$A4812="","",DATOS!$A4812&amp;"|"&amp;DATOS!$D4812&amp;"|"&amp;DATOS!$E4812&amp;"|"&amp;DATOS!$I4812)</f>
      </c>
      <c r="G4812">
        <f>IF(DATOS!$A4812="",0,IF(CONFIG_METADATA!$B$4&lt;&gt;"OR+EX",--(DATOS!$G4812=CONFIG_METADATA!$B$4),IF(DATOS!$G4812="EX",1,IF(DATOS!$G4812="OR",--(COUNTIFS(nNIA,DATOS!$A4812,nCURSO,DATOS!$D4812,nESPEC,DATOS!$E4812,nASIG,DATOS!$I4812,nEVAL,"EX")=0),0))))</f>
      </c>
      <c r="H4812">
        <f>IF(DATOS!$G4812&lt;&gt;"EX",0,--(COUNTIFS(nNIA,DATOS!$A4812,nCURSO,DATOS!$D4812,nESPEC,DATOS!$E4812,nASIG,DATOS!$I4812,nEVAL,"OR")=0))</f>
      </c>
      <c r="I4812">
        <f>IF(DATOS!$I4812="","",IFERROR(VLOOKUP(DATOS!$I4812,CONFIG_ASIGNATURAS!$B$2:$J$91,9,FALSE()),""))</f>
      </c>
    </row>
    <row r="4813">
      <c r="F4813">
        <f>IF(DATOS!$A4813="","",DATOS!$A4813&amp;"|"&amp;DATOS!$D4813&amp;"|"&amp;DATOS!$E4813&amp;"|"&amp;DATOS!$I4813)</f>
      </c>
      <c r="G4813">
        <f>IF(DATOS!$A4813="",0,IF(CONFIG_METADATA!$B$4&lt;&gt;"OR+EX",--(DATOS!$G4813=CONFIG_METADATA!$B$4),IF(DATOS!$G4813="EX",1,IF(DATOS!$G4813="OR",--(COUNTIFS(nNIA,DATOS!$A4813,nCURSO,DATOS!$D4813,nESPEC,DATOS!$E4813,nASIG,DATOS!$I4813,nEVAL,"EX")=0),0))))</f>
      </c>
      <c r="H4813">
        <f>IF(DATOS!$G4813&lt;&gt;"EX",0,--(COUNTIFS(nNIA,DATOS!$A4813,nCURSO,DATOS!$D4813,nESPEC,DATOS!$E4813,nASIG,DATOS!$I4813,nEVAL,"OR")=0))</f>
      </c>
      <c r="I4813">
        <f>IF(DATOS!$I4813="","",IFERROR(VLOOKUP(DATOS!$I4813,CONFIG_ASIGNATURAS!$B$2:$J$91,9,FALSE()),""))</f>
      </c>
    </row>
    <row r="4814">
      <c r="F4814">
        <f>IF(DATOS!$A4814="","",DATOS!$A4814&amp;"|"&amp;DATOS!$D4814&amp;"|"&amp;DATOS!$E4814&amp;"|"&amp;DATOS!$I4814)</f>
      </c>
      <c r="G4814">
        <f>IF(DATOS!$A4814="",0,IF(CONFIG_METADATA!$B$4&lt;&gt;"OR+EX",--(DATOS!$G4814=CONFIG_METADATA!$B$4),IF(DATOS!$G4814="EX",1,IF(DATOS!$G4814="OR",--(COUNTIFS(nNIA,DATOS!$A4814,nCURSO,DATOS!$D4814,nESPEC,DATOS!$E4814,nASIG,DATOS!$I4814,nEVAL,"EX")=0),0))))</f>
      </c>
      <c r="H4814">
        <f>IF(DATOS!$G4814&lt;&gt;"EX",0,--(COUNTIFS(nNIA,DATOS!$A4814,nCURSO,DATOS!$D4814,nESPEC,DATOS!$E4814,nASIG,DATOS!$I4814,nEVAL,"OR")=0))</f>
      </c>
      <c r="I4814">
        <f>IF(DATOS!$I4814="","",IFERROR(VLOOKUP(DATOS!$I4814,CONFIG_ASIGNATURAS!$B$2:$J$91,9,FALSE()),""))</f>
      </c>
    </row>
    <row r="4815">
      <c r="F4815">
        <f>IF(DATOS!$A4815="","",DATOS!$A4815&amp;"|"&amp;DATOS!$D4815&amp;"|"&amp;DATOS!$E4815&amp;"|"&amp;DATOS!$I4815)</f>
      </c>
      <c r="G4815">
        <f>IF(DATOS!$A4815="",0,IF(CONFIG_METADATA!$B$4&lt;&gt;"OR+EX",--(DATOS!$G4815=CONFIG_METADATA!$B$4),IF(DATOS!$G4815="EX",1,IF(DATOS!$G4815="OR",--(COUNTIFS(nNIA,DATOS!$A4815,nCURSO,DATOS!$D4815,nESPEC,DATOS!$E4815,nASIG,DATOS!$I4815,nEVAL,"EX")=0),0))))</f>
      </c>
      <c r="H4815">
        <f>IF(DATOS!$G4815&lt;&gt;"EX",0,--(COUNTIFS(nNIA,DATOS!$A4815,nCURSO,DATOS!$D4815,nESPEC,DATOS!$E4815,nASIG,DATOS!$I4815,nEVAL,"OR")=0))</f>
      </c>
      <c r="I4815">
        <f>IF(DATOS!$I4815="","",IFERROR(VLOOKUP(DATOS!$I4815,CONFIG_ASIGNATURAS!$B$2:$J$91,9,FALSE()),""))</f>
      </c>
    </row>
    <row r="4816">
      <c r="F4816">
        <f>IF(DATOS!$A4816="","",DATOS!$A4816&amp;"|"&amp;DATOS!$D4816&amp;"|"&amp;DATOS!$E4816&amp;"|"&amp;DATOS!$I4816)</f>
      </c>
      <c r="G4816">
        <f>IF(DATOS!$A4816="",0,IF(CONFIG_METADATA!$B$4&lt;&gt;"OR+EX",--(DATOS!$G4816=CONFIG_METADATA!$B$4),IF(DATOS!$G4816="EX",1,IF(DATOS!$G4816="OR",--(COUNTIFS(nNIA,DATOS!$A4816,nCURSO,DATOS!$D4816,nESPEC,DATOS!$E4816,nASIG,DATOS!$I4816,nEVAL,"EX")=0),0))))</f>
      </c>
      <c r="H4816">
        <f>IF(DATOS!$G4816&lt;&gt;"EX",0,--(COUNTIFS(nNIA,DATOS!$A4816,nCURSO,DATOS!$D4816,nESPEC,DATOS!$E4816,nASIG,DATOS!$I4816,nEVAL,"OR")=0))</f>
      </c>
      <c r="I4816">
        <f>IF(DATOS!$I4816="","",IFERROR(VLOOKUP(DATOS!$I4816,CONFIG_ASIGNATURAS!$B$2:$J$91,9,FALSE()),""))</f>
      </c>
    </row>
    <row r="4817">
      <c r="F4817">
        <f>IF(DATOS!$A4817="","",DATOS!$A4817&amp;"|"&amp;DATOS!$D4817&amp;"|"&amp;DATOS!$E4817&amp;"|"&amp;DATOS!$I4817)</f>
      </c>
      <c r="G4817">
        <f>IF(DATOS!$A4817="",0,IF(CONFIG_METADATA!$B$4&lt;&gt;"OR+EX",--(DATOS!$G4817=CONFIG_METADATA!$B$4),IF(DATOS!$G4817="EX",1,IF(DATOS!$G4817="OR",--(COUNTIFS(nNIA,DATOS!$A4817,nCURSO,DATOS!$D4817,nESPEC,DATOS!$E4817,nASIG,DATOS!$I4817,nEVAL,"EX")=0),0))))</f>
      </c>
      <c r="H4817">
        <f>IF(DATOS!$G4817&lt;&gt;"EX",0,--(COUNTIFS(nNIA,DATOS!$A4817,nCURSO,DATOS!$D4817,nESPEC,DATOS!$E4817,nASIG,DATOS!$I4817,nEVAL,"OR")=0))</f>
      </c>
      <c r="I4817">
        <f>IF(DATOS!$I4817="","",IFERROR(VLOOKUP(DATOS!$I4817,CONFIG_ASIGNATURAS!$B$2:$J$91,9,FALSE()),""))</f>
      </c>
    </row>
    <row r="4818">
      <c r="F4818">
        <f>IF(DATOS!$A4818="","",DATOS!$A4818&amp;"|"&amp;DATOS!$D4818&amp;"|"&amp;DATOS!$E4818&amp;"|"&amp;DATOS!$I4818)</f>
      </c>
      <c r="G4818">
        <f>IF(DATOS!$A4818="",0,IF(CONFIG_METADATA!$B$4&lt;&gt;"OR+EX",--(DATOS!$G4818=CONFIG_METADATA!$B$4),IF(DATOS!$G4818="EX",1,IF(DATOS!$G4818="OR",--(COUNTIFS(nNIA,DATOS!$A4818,nCURSO,DATOS!$D4818,nESPEC,DATOS!$E4818,nASIG,DATOS!$I4818,nEVAL,"EX")=0),0))))</f>
      </c>
      <c r="H4818">
        <f>IF(DATOS!$G4818&lt;&gt;"EX",0,--(COUNTIFS(nNIA,DATOS!$A4818,nCURSO,DATOS!$D4818,nESPEC,DATOS!$E4818,nASIG,DATOS!$I4818,nEVAL,"OR")=0))</f>
      </c>
      <c r="I4818">
        <f>IF(DATOS!$I4818="","",IFERROR(VLOOKUP(DATOS!$I4818,CONFIG_ASIGNATURAS!$B$2:$J$91,9,FALSE()),""))</f>
      </c>
    </row>
    <row r="4819">
      <c r="F4819">
        <f>IF(DATOS!$A4819="","",DATOS!$A4819&amp;"|"&amp;DATOS!$D4819&amp;"|"&amp;DATOS!$E4819&amp;"|"&amp;DATOS!$I4819)</f>
      </c>
      <c r="G4819">
        <f>IF(DATOS!$A4819="",0,IF(CONFIG_METADATA!$B$4&lt;&gt;"OR+EX",--(DATOS!$G4819=CONFIG_METADATA!$B$4),IF(DATOS!$G4819="EX",1,IF(DATOS!$G4819="OR",--(COUNTIFS(nNIA,DATOS!$A4819,nCURSO,DATOS!$D4819,nESPEC,DATOS!$E4819,nASIG,DATOS!$I4819,nEVAL,"EX")=0),0))))</f>
      </c>
      <c r="H4819">
        <f>IF(DATOS!$G4819&lt;&gt;"EX",0,--(COUNTIFS(nNIA,DATOS!$A4819,nCURSO,DATOS!$D4819,nESPEC,DATOS!$E4819,nASIG,DATOS!$I4819,nEVAL,"OR")=0))</f>
      </c>
      <c r="I4819">
        <f>IF(DATOS!$I4819="","",IFERROR(VLOOKUP(DATOS!$I4819,CONFIG_ASIGNATURAS!$B$2:$J$91,9,FALSE()),""))</f>
      </c>
    </row>
    <row r="4820">
      <c r="F4820">
        <f>IF(DATOS!$A4820="","",DATOS!$A4820&amp;"|"&amp;DATOS!$D4820&amp;"|"&amp;DATOS!$E4820&amp;"|"&amp;DATOS!$I4820)</f>
      </c>
      <c r="G4820">
        <f>IF(DATOS!$A4820="",0,IF(CONFIG_METADATA!$B$4&lt;&gt;"OR+EX",--(DATOS!$G4820=CONFIG_METADATA!$B$4),IF(DATOS!$G4820="EX",1,IF(DATOS!$G4820="OR",--(COUNTIFS(nNIA,DATOS!$A4820,nCURSO,DATOS!$D4820,nESPEC,DATOS!$E4820,nASIG,DATOS!$I4820,nEVAL,"EX")=0),0))))</f>
      </c>
      <c r="H4820">
        <f>IF(DATOS!$G4820&lt;&gt;"EX",0,--(COUNTIFS(nNIA,DATOS!$A4820,nCURSO,DATOS!$D4820,nESPEC,DATOS!$E4820,nASIG,DATOS!$I4820,nEVAL,"OR")=0))</f>
      </c>
      <c r="I4820">
        <f>IF(DATOS!$I4820="","",IFERROR(VLOOKUP(DATOS!$I4820,CONFIG_ASIGNATURAS!$B$2:$J$91,9,FALSE()),""))</f>
      </c>
    </row>
    <row r="4821">
      <c r="F4821">
        <f>IF(DATOS!$A4821="","",DATOS!$A4821&amp;"|"&amp;DATOS!$D4821&amp;"|"&amp;DATOS!$E4821&amp;"|"&amp;DATOS!$I4821)</f>
      </c>
      <c r="G4821">
        <f>IF(DATOS!$A4821="",0,IF(CONFIG_METADATA!$B$4&lt;&gt;"OR+EX",--(DATOS!$G4821=CONFIG_METADATA!$B$4),IF(DATOS!$G4821="EX",1,IF(DATOS!$G4821="OR",--(COUNTIFS(nNIA,DATOS!$A4821,nCURSO,DATOS!$D4821,nESPEC,DATOS!$E4821,nASIG,DATOS!$I4821,nEVAL,"EX")=0),0))))</f>
      </c>
      <c r="H4821">
        <f>IF(DATOS!$G4821&lt;&gt;"EX",0,--(COUNTIFS(nNIA,DATOS!$A4821,nCURSO,DATOS!$D4821,nESPEC,DATOS!$E4821,nASIG,DATOS!$I4821,nEVAL,"OR")=0))</f>
      </c>
      <c r="I4821">
        <f>IF(DATOS!$I4821="","",IFERROR(VLOOKUP(DATOS!$I4821,CONFIG_ASIGNATURAS!$B$2:$J$91,9,FALSE()),""))</f>
      </c>
    </row>
    <row r="4822">
      <c r="F4822">
        <f>IF(DATOS!$A4822="","",DATOS!$A4822&amp;"|"&amp;DATOS!$D4822&amp;"|"&amp;DATOS!$E4822&amp;"|"&amp;DATOS!$I4822)</f>
      </c>
      <c r="G4822">
        <f>IF(DATOS!$A4822="",0,IF(CONFIG_METADATA!$B$4&lt;&gt;"OR+EX",--(DATOS!$G4822=CONFIG_METADATA!$B$4),IF(DATOS!$G4822="EX",1,IF(DATOS!$G4822="OR",--(COUNTIFS(nNIA,DATOS!$A4822,nCURSO,DATOS!$D4822,nESPEC,DATOS!$E4822,nASIG,DATOS!$I4822,nEVAL,"EX")=0),0))))</f>
      </c>
      <c r="H4822">
        <f>IF(DATOS!$G4822&lt;&gt;"EX",0,--(COUNTIFS(nNIA,DATOS!$A4822,nCURSO,DATOS!$D4822,nESPEC,DATOS!$E4822,nASIG,DATOS!$I4822,nEVAL,"OR")=0))</f>
      </c>
      <c r="I4822">
        <f>IF(DATOS!$I4822="","",IFERROR(VLOOKUP(DATOS!$I4822,CONFIG_ASIGNATURAS!$B$2:$J$91,9,FALSE()),""))</f>
      </c>
    </row>
    <row r="4823">
      <c r="F4823">
        <f>IF(DATOS!$A4823="","",DATOS!$A4823&amp;"|"&amp;DATOS!$D4823&amp;"|"&amp;DATOS!$E4823&amp;"|"&amp;DATOS!$I4823)</f>
      </c>
      <c r="G4823">
        <f>IF(DATOS!$A4823="",0,IF(CONFIG_METADATA!$B$4&lt;&gt;"OR+EX",--(DATOS!$G4823=CONFIG_METADATA!$B$4),IF(DATOS!$G4823="EX",1,IF(DATOS!$G4823="OR",--(COUNTIFS(nNIA,DATOS!$A4823,nCURSO,DATOS!$D4823,nESPEC,DATOS!$E4823,nASIG,DATOS!$I4823,nEVAL,"EX")=0),0))))</f>
      </c>
      <c r="H4823">
        <f>IF(DATOS!$G4823&lt;&gt;"EX",0,--(COUNTIFS(nNIA,DATOS!$A4823,nCURSO,DATOS!$D4823,nESPEC,DATOS!$E4823,nASIG,DATOS!$I4823,nEVAL,"OR")=0))</f>
      </c>
      <c r="I4823">
        <f>IF(DATOS!$I4823="","",IFERROR(VLOOKUP(DATOS!$I4823,CONFIG_ASIGNATURAS!$B$2:$J$91,9,FALSE()),""))</f>
      </c>
    </row>
    <row r="4824">
      <c r="F4824">
        <f>IF(DATOS!$A4824="","",DATOS!$A4824&amp;"|"&amp;DATOS!$D4824&amp;"|"&amp;DATOS!$E4824&amp;"|"&amp;DATOS!$I4824)</f>
      </c>
      <c r="G4824">
        <f>IF(DATOS!$A4824="",0,IF(CONFIG_METADATA!$B$4&lt;&gt;"OR+EX",--(DATOS!$G4824=CONFIG_METADATA!$B$4),IF(DATOS!$G4824="EX",1,IF(DATOS!$G4824="OR",--(COUNTIFS(nNIA,DATOS!$A4824,nCURSO,DATOS!$D4824,nESPEC,DATOS!$E4824,nASIG,DATOS!$I4824,nEVAL,"EX")=0),0))))</f>
      </c>
      <c r="H4824">
        <f>IF(DATOS!$G4824&lt;&gt;"EX",0,--(COUNTIFS(nNIA,DATOS!$A4824,nCURSO,DATOS!$D4824,nESPEC,DATOS!$E4824,nASIG,DATOS!$I4824,nEVAL,"OR")=0))</f>
      </c>
      <c r="I4824">
        <f>IF(DATOS!$I4824="","",IFERROR(VLOOKUP(DATOS!$I4824,CONFIG_ASIGNATURAS!$B$2:$J$91,9,FALSE()),""))</f>
      </c>
    </row>
    <row r="4825">
      <c r="F4825">
        <f>IF(DATOS!$A4825="","",DATOS!$A4825&amp;"|"&amp;DATOS!$D4825&amp;"|"&amp;DATOS!$E4825&amp;"|"&amp;DATOS!$I4825)</f>
      </c>
      <c r="G4825">
        <f>IF(DATOS!$A4825="",0,IF(CONFIG_METADATA!$B$4&lt;&gt;"OR+EX",--(DATOS!$G4825=CONFIG_METADATA!$B$4),IF(DATOS!$G4825="EX",1,IF(DATOS!$G4825="OR",--(COUNTIFS(nNIA,DATOS!$A4825,nCURSO,DATOS!$D4825,nESPEC,DATOS!$E4825,nASIG,DATOS!$I4825,nEVAL,"EX")=0),0))))</f>
      </c>
      <c r="H4825">
        <f>IF(DATOS!$G4825&lt;&gt;"EX",0,--(COUNTIFS(nNIA,DATOS!$A4825,nCURSO,DATOS!$D4825,nESPEC,DATOS!$E4825,nASIG,DATOS!$I4825,nEVAL,"OR")=0))</f>
      </c>
      <c r="I4825">
        <f>IF(DATOS!$I4825="","",IFERROR(VLOOKUP(DATOS!$I4825,CONFIG_ASIGNATURAS!$B$2:$J$91,9,FALSE()),""))</f>
      </c>
    </row>
    <row r="4826">
      <c r="F4826">
        <f>IF(DATOS!$A4826="","",DATOS!$A4826&amp;"|"&amp;DATOS!$D4826&amp;"|"&amp;DATOS!$E4826&amp;"|"&amp;DATOS!$I4826)</f>
      </c>
      <c r="G4826">
        <f>IF(DATOS!$A4826="",0,IF(CONFIG_METADATA!$B$4&lt;&gt;"OR+EX",--(DATOS!$G4826=CONFIG_METADATA!$B$4),IF(DATOS!$G4826="EX",1,IF(DATOS!$G4826="OR",--(COUNTIFS(nNIA,DATOS!$A4826,nCURSO,DATOS!$D4826,nESPEC,DATOS!$E4826,nASIG,DATOS!$I4826,nEVAL,"EX")=0),0))))</f>
      </c>
      <c r="H4826">
        <f>IF(DATOS!$G4826&lt;&gt;"EX",0,--(COUNTIFS(nNIA,DATOS!$A4826,nCURSO,DATOS!$D4826,nESPEC,DATOS!$E4826,nASIG,DATOS!$I4826,nEVAL,"OR")=0))</f>
      </c>
      <c r="I4826">
        <f>IF(DATOS!$I4826="","",IFERROR(VLOOKUP(DATOS!$I4826,CONFIG_ASIGNATURAS!$B$2:$J$91,9,FALSE()),""))</f>
      </c>
    </row>
    <row r="4827">
      <c r="F4827">
        <f>IF(DATOS!$A4827="","",DATOS!$A4827&amp;"|"&amp;DATOS!$D4827&amp;"|"&amp;DATOS!$E4827&amp;"|"&amp;DATOS!$I4827)</f>
      </c>
      <c r="G4827">
        <f>IF(DATOS!$A4827="",0,IF(CONFIG_METADATA!$B$4&lt;&gt;"OR+EX",--(DATOS!$G4827=CONFIG_METADATA!$B$4),IF(DATOS!$G4827="EX",1,IF(DATOS!$G4827="OR",--(COUNTIFS(nNIA,DATOS!$A4827,nCURSO,DATOS!$D4827,nESPEC,DATOS!$E4827,nASIG,DATOS!$I4827,nEVAL,"EX")=0),0))))</f>
      </c>
      <c r="H4827">
        <f>IF(DATOS!$G4827&lt;&gt;"EX",0,--(COUNTIFS(nNIA,DATOS!$A4827,nCURSO,DATOS!$D4827,nESPEC,DATOS!$E4827,nASIG,DATOS!$I4827,nEVAL,"OR")=0))</f>
      </c>
      <c r="I4827">
        <f>IF(DATOS!$I4827="","",IFERROR(VLOOKUP(DATOS!$I4827,CONFIG_ASIGNATURAS!$B$2:$J$91,9,FALSE()),""))</f>
      </c>
    </row>
    <row r="4828">
      <c r="F4828">
        <f>IF(DATOS!$A4828="","",DATOS!$A4828&amp;"|"&amp;DATOS!$D4828&amp;"|"&amp;DATOS!$E4828&amp;"|"&amp;DATOS!$I4828)</f>
      </c>
      <c r="G4828">
        <f>IF(DATOS!$A4828="",0,IF(CONFIG_METADATA!$B$4&lt;&gt;"OR+EX",--(DATOS!$G4828=CONFIG_METADATA!$B$4),IF(DATOS!$G4828="EX",1,IF(DATOS!$G4828="OR",--(COUNTIFS(nNIA,DATOS!$A4828,nCURSO,DATOS!$D4828,nESPEC,DATOS!$E4828,nASIG,DATOS!$I4828,nEVAL,"EX")=0),0))))</f>
      </c>
      <c r="H4828">
        <f>IF(DATOS!$G4828&lt;&gt;"EX",0,--(COUNTIFS(nNIA,DATOS!$A4828,nCURSO,DATOS!$D4828,nESPEC,DATOS!$E4828,nASIG,DATOS!$I4828,nEVAL,"OR")=0))</f>
      </c>
      <c r="I4828">
        <f>IF(DATOS!$I4828="","",IFERROR(VLOOKUP(DATOS!$I4828,CONFIG_ASIGNATURAS!$B$2:$J$91,9,FALSE()),""))</f>
      </c>
    </row>
    <row r="4829">
      <c r="F4829">
        <f>IF(DATOS!$A4829="","",DATOS!$A4829&amp;"|"&amp;DATOS!$D4829&amp;"|"&amp;DATOS!$E4829&amp;"|"&amp;DATOS!$I4829)</f>
      </c>
      <c r="G4829">
        <f>IF(DATOS!$A4829="",0,IF(CONFIG_METADATA!$B$4&lt;&gt;"OR+EX",--(DATOS!$G4829=CONFIG_METADATA!$B$4),IF(DATOS!$G4829="EX",1,IF(DATOS!$G4829="OR",--(COUNTIFS(nNIA,DATOS!$A4829,nCURSO,DATOS!$D4829,nESPEC,DATOS!$E4829,nASIG,DATOS!$I4829,nEVAL,"EX")=0),0))))</f>
      </c>
      <c r="H4829">
        <f>IF(DATOS!$G4829&lt;&gt;"EX",0,--(COUNTIFS(nNIA,DATOS!$A4829,nCURSO,DATOS!$D4829,nESPEC,DATOS!$E4829,nASIG,DATOS!$I4829,nEVAL,"OR")=0))</f>
      </c>
      <c r="I4829">
        <f>IF(DATOS!$I4829="","",IFERROR(VLOOKUP(DATOS!$I4829,CONFIG_ASIGNATURAS!$B$2:$J$91,9,FALSE()),""))</f>
      </c>
    </row>
    <row r="4830">
      <c r="F4830">
        <f>IF(DATOS!$A4830="","",DATOS!$A4830&amp;"|"&amp;DATOS!$D4830&amp;"|"&amp;DATOS!$E4830&amp;"|"&amp;DATOS!$I4830)</f>
      </c>
      <c r="G4830">
        <f>IF(DATOS!$A4830="",0,IF(CONFIG_METADATA!$B$4&lt;&gt;"OR+EX",--(DATOS!$G4830=CONFIG_METADATA!$B$4),IF(DATOS!$G4830="EX",1,IF(DATOS!$G4830="OR",--(COUNTIFS(nNIA,DATOS!$A4830,nCURSO,DATOS!$D4830,nESPEC,DATOS!$E4830,nASIG,DATOS!$I4830,nEVAL,"EX")=0),0))))</f>
      </c>
      <c r="H4830">
        <f>IF(DATOS!$G4830&lt;&gt;"EX",0,--(COUNTIFS(nNIA,DATOS!$A4830,nCURSO,DATOS!$D4830,nESPEC,DATOS!$E4830,nASIG,DATOS!$I4830,nEVAL,"OR")=0))</f>
      </c>
      <c r="I4830">
        <f>IF(DATOS!$I4830="","",IFERROR(VLOOKUP(DATOS!$I4830,CONFIG_ASIGNATURAS!$B$2:$J$91,9,FALSE()),""))</f>
      </c>
    </row>
    <row r="4831">
      <c r="F4831">
        <f>IF(DATOS!$A4831="","",DATOS!$A4831&amp;"|"&amp;DATOS!$D4831&amp;"|"&amp;DATOS!$E4831&amp;"|"&amp;DATOS!$I4831)</f>
      </c>
      <c r="G4831">
        <f>IF(DATOS!$A4831="",0,IF(CONFIG_METADATA!$B$4&lt;&gt;"OR+EX",--(DATOS!$G4831=CONFIG_METADATA!$B$4),IF(DATOS!$G4831="EX",1,IF(DATOS!$G4831="OR",--(COUNTIFS(nNIA,DATOS!$A4831,nCURSO,DATOS!$D4831,nESPEC,DATOS!$E4831,nASIG,DATOS!$I4831,nEVAL,"EX")=0),0))))</f>
      </c>
      <c r="H4831">
        <f>IF(DATOS!$G4831&lt;&gt;"EX",0,--(COUNTIFS(nNIA,DATOS!$A4831,nCURSO,DATOS!$D4831,nESPEC,DATOS!$E4831,nASIG,DATOS!$I4831,nEVAL,"OR")=0))</f>
      </c>
      <c r="I4831">
        <f>IF(DATOS!$I4831="","",IFERROR(VLOOKUP(DATOS!$I4831,CONFIG_ASIGNATURAS!$B$2:$J$91,9,FALSE()),""))</f>
      </c>
    </row>
    <row r="4832">
      <c r="F4832">
        <f>IF(DATOS!$A4832="","",DATOS!$A4832&amp;"|"&amp;DATOS!$D4832&amp;"|"&amp;DATOS!$E4832&amp;"|"&amp;DATOS!$I4832)</f>
      </c>
      <c r="G4832">
        <f>IF(DATOS!$A4832="",0,IF(CONFIG_METADATA!$B$4&lt;&gt;"OR+EX",--(DATOS!$G4832=CONFIG_METADATA!$B$4),IF(DATOS!$G4832="EX",1,IF(DATOS!$G4832="OR",--(COUNTIFS(nNIA,DATOS!$A4832,nCURSO,DATOS!$D4832,nESPEC,DATOS!$E4832,nASIG,DATOS!$I4832,nEVAL,"EX")=0),0))))</f>
      </c>
      <c r="H4832">
        <f>IF(DATOS!$G4832&lt;&gt;"EX",0,--(COUNTIFS(nNIA,DATOS!$A4832,nCURSO,DATOS!$D4832,nESPEC,DATOS!$E4832,nASIG,DATOS!$I4832,nEVAL,"OR")=0))</f>
      </c>
      <c r="I4832">
        <f>IF(DATOS!$I4832="","",IFERROR(VLOOKUP(DATOS!$I4832,CONFIG_ASIGNATURAS!$B$2:$J$91,9,FALSE()),""))</f>
      </c>
    </row>
    <row r="4833">
      <c r="F4833">
        <f>IF(DATOS!$A4833="","",DATOS!$A4833&amp;"|"&amp;DATOS!$D4833&amp;"|"&amp;DATOS!$E4833&amp;"|"&amp;DATOS!$I4833)</f>
      </c>
      <c r="G4833">
        <f>IF(DATOS!$A4833="",0,IF(CONFIG_METADATA!$B$4&lt;&gt;"OR+EX",--(DATOS!$G4833=CONFIG_METADATA!$B$4),IF(DATOS!$G4833="EX",1,IF(DATOS!$G4833="OR",--(COUNTIFS(nNIA,DATOS!$A4833,nCURSO,DATOS!$D4833,nESPEC,DATOS!$E4833,nASIG,DATOS!$I4833,nEVAL,"EX")=0),0))))</f>
      </c>
      <c r="H4833">
        <f>IF(DATOS!$G4833&lt;&gt;"EX",0,--(COUNTIFS(nNIA,DATOS!$A4833,nCURSO,DATOS!$D4833,nESPEC,DATOS!$E4833,nASIG,DATOS!$I4833,nEVAL,"OR")=0))</f>
      </c>
      <c r="I4833">
        <f>IF(DATOS!$I4833="","",IFERROR(VLOOKUP(DATOS!$I4833,CONFIG_ASIGNATURAS!$B$2:$J$91,9,FALSE()),""))</f>
      </c>
    </row>
    <row r="4834">
      <c r="F4834">
        <f>IF(DATOS!$A4834="","",DATOS!$A4834&amp;"|"&amp;DATOS!$D4834&amp;"|"&amp;DATOS!$E4834&amp;"|"&amp;DATOS!$I4834)</f>
      </c>
      <c r="G4834">
        <f>IF(DATOS!$A4834="",0,IF(CONFIG_METADATA!$B$4&lt;&gt;"OR+EX",--(DATOS!$G4834=CONFIG_METADATA!$B$4),IF(DATOS!$G4834="EX",1,IF(DATOS!$G4834="OR",--(COUNTIFS(nNIA,DATOS!$A4834,nCURSO,DATOS!$D4834,nESPEC,DATOS!$E4834,nASIG,DATOS!$I4834,nEVAL,"EX")=0),0))))</f>
      </c>
      <c r="H4834">
        <f>IF(DATOS!$G4834&lt;&gt;"EX",0,--(COUNTIFS(nNIA,DATOS!$A4834,nCURSO,DATOS!$D4834,nESPEC,DATOS!$E4834,nASIG,DATOS!$I4834,nEVAL,"OR")=0))</f>
      </c>
      <c r="I4834">
        <f>IF(DATOS!$I4834="","",IFERROR(VLOOKUP(DATOS!$I4834,CONFIG_ASIGNATURAS!$B$2:$J$91,9,FALSE()),""))</f>
      </c>
    </row>
    <row r="4835">
      <c r="F4835">
        <f>IF(DATOS!$A4835="","",DATOS!$A4835&amp;"|"&amp;DATOS!$D4835&amp;"|"&amp;DATOS!$E4835&amp;"|"&amp;DATOS!$I4835)</f>
      </c>
      <c r="G4835">
        <f>IF(DATOS!$A4835="",0,IF(CONFIG_METADATA!$B$4&lt;&gt;"OR+EX",--(DATOS!$G4835=CONFIG_METADATA!$B$4),IF(DATOS!$G4835="EX",1,IF(DATOS!$G4835="OR",--(COUNTIFS(nNIA,DATOS!$A4835,nCURSO,DATOS!$D4835,nESPEC,DATOS!$E4835,nASIG,DATOS!$I4835,nEVAL,"EX")=0),0))))</f>
      </c>
      <c r="H4835">
        <f>IF(DATOS!$G4835&lt;&gt;"EX",0,--(COUNTIFS(nNIA,DATOS!$A4835,nCURSO,DATOS!$D4835,nESPEC,DATOS!$E4835,nASIG,DATOS!$I4835,nEVAL,"OR")=0))</f>
      </c>
      <c r="I4835">
        <f>IF(DATOS!$I4835="","",IFERROR(VLOOKUP(DATOS!$I4835,CONFIG_ASIGNATURAS!$B$2:$J$91,9,FALSE()),""))</f>
      </c>
    </row>
    <row r="4836">
      <c r="F4836">
        <f>IF(DATOS!$A4836="","",DATOS!$A4836&amp;"|"&amp;DATOS!$D4836&amp;"|"&amp;DATOS!$E4836&amp;"|"&amp;DATOS!$I4836)</f>
      </c>
      <c r="G4836">
        <f>IF(DATOS!$A4836="",0,IF(CONFIG_METADATA!$B$4&lt;&gt;"OR+EX",--(DATOS!$G4836=CONFIG_METADATA!$B$4),IF(DATOS!$G4836="EX",1,IF(DATOS!$G4836="OR",--(COUNTIFS(nNIA,DATOS!$A4836,nCURSO,DATOS!$D4836,nESPEC,DATOS!$E4836,nASIG,DATOS!$I4836,nEVAL,"EX")=0),0))))</f>
      </c>
      <c r="H4836">
        <f>IF(DATOS!$G4836&lt;&gt;"EX",0,--(COUNTIFS(nNIA,DATOS!$A4836,nCURSO,DATOS!$D4836,nESPEC,DATOS!$E4836,nASIG,DATOS!$I4836,nEVAL,"OR")=0))</f>
      </c>
      <c r="I4836">
        <f>IF(DATOS!$I4836="","",IFERROR(VLOOKUP(DATOS!$I4836,CONFIG_ASIGNATURAS!$B$2:$J$91,9,FALSE()),""))</f>
      </c>
    </row>
    <row r="4837">
      <c r="F4837">
        <f>IF(DATOS!$A4837="","",DATOS!$A4837&amp;"|"&amp;DATOS!$D4837&amp;"|"&amp;DATOS!$E4837&amp;"|"&amp;DATOS!$I4837)</f>
      </c>
      <c r="G4837">
        <f>IF(DATOS!$A4837="",0,IF(CONFIG_METADATA!$B$4&lt;&gt;"OR+EX",--(DATOS!$G4837=CONFIG_METADATA!$B$4),IF(DATOS!$G4837="EX",1,IF(DATOS!$G4837="OR",--(COUNTIFS(nNIA,DATOS!$A4837,nCURSO,DATOS!$D4837,nESPEC,DATOS!$E4837,nASIG,DATOS!$I4837,nEVAL,"EX")=0),0))))</f>
      </c>
      <c r="H4837">
        <f>IF(DATOS!$G4837&lt;&gt;"EX",0,--(COUNTIFS(nNIA,DATOS!$A4837,nCURSO,DATOS!$D4837,nESPEC,DATOS!$E4837,nASIG,DATOS!$I4837,nEVAL,"OR")=0))</f>
      </c>
      <c r="I4837">
        <f>IF(DATOS!$I4837="","",IFERROR(VLOOKUP(DATOS!$I4837,CONFIG_ASIGNATURAS!$B$2:$J$91,9,FALSE()),""))</f>
      </c>
    </row>
    <row r="4838">
      <c r="F4838">
        <f>IF(DATOS!$A4838="","",DATOS!$A4838&amp;"|"&amp;DATOS!$D4838&amp;"|"&amp;DATOS!$E4838&amp;"|"&amp;DATOS!$I4838)</f>
      </c>
      <c r="G4838">
        <f>IF(DATOS!$A4838="",0,IF(CONFIG_METADATA!$B$4&lt;&gt;"OR+EX",--(DATOS!$G4838=CONFIG_METADATA!$B$4),IF(DATOS!$G4838="EX",1,IF(DATOS!$G4838="OR",--(COUNTIFS(nNIA,DATOS!$A4838,nCURSO,DATOS!$D4838,nESPEC,DATOS!$E4838,nASIG,DATOS!$I4838,nEVAL,"EX")=0),0))))</f>
      </c>
      <c r="H4838">
        <f>IF(DATOS!$G4838&lt;&gt;"EX",0,--(COUNTIFS(nNIA,DATOS!$A4838,nCURSO,DATOS!$D4838,nESPEC,DATOS!$E4838,nASIG,DATOS!$I4838,nEVAL,"OR")=0))</f>
      </c>
      <c r="I4838">
        <f>IF(DATOS!$I4838="","",IFERROR(VLOOKUP(DATOS!$I4838,CONFIG_ASIGNATURAS!$B$2:$J$91,9,FALSE()),""))</f>
      </c>
    </row>
    <row r="4839">
      <c r="F4839">
        <f>IF(DATOS!$A4839="","",DATOS!$A4839&amp;"|"&amp;DATOS!$D4839&amp;"|"&amp;DATOS!$E4839&amp;"|"&amp;DATOS!$I4839)</f>
      </c>
      <c r="G4839">
        <f>IF(DATOS!$A4839="",0,IF(CONFIG_METADATA!$B$4&lt;&gt;"OR+EX",--(DATOS!$G4839=CONFIG_METADATA!$B$4),IF(DATOS!$G4839="EX",1,IF(DATOS!$G4839="OR",--(COUNTIFS(nNIA,DATOS!$A4839,nCURSO,DATOS!$D4839,nESPEC,DATOS!$E4839,nASIG,DATOS!$I4839,nEVAL,"EX")=0),0))))</f>
      </c>
      <c r="H4839">
        <f>IF(DATOS!$G4839&lt;&gt;"EX",0,--(COUNTIFS(nNIA,DATOS!$A4839,nCURSO,DATOS!$D4839,nESPEC,DATOS!$E4839,nASIG,DATOS!$I4839,nEVAL,"OR")=0))</f>
      </c>
      <c r="I4839">
        <f>IF(DATOS!$I4839="","",IFERROR(VLOOKUP(DATOS!$I4839,CONFIG_ASIGNATURAS!$B$2:$J$91,9,FALSE()),""))</f>
      </c>
    </row>
    <row r="4840">
      <c r="F4840">
        <f>IF(DATOS!$A4840="","",DATOS!$A4840&amp;"|"&amp;DATOS!$D4840&amp;"|"&amp;DATOS!$E4840&amp;"|"&amp;DATOS!$I4840)</f>
      </c>
      <c r="G4840">
        <f>IF(DATOS!$A4840="",0,IF(CONFIG_METADATA!$B$4&lt;&gt;"OR+EX",--(DATOS!$G4840=CONFIG_METADATA!$B$4),IF(DATOS!$G4840="EX",1,IF(DATOS!$G4840="OR",--(COUNTIFS(nNIA,DATOS!$A4840,nCURSO,DATOS!$D4840,nESPEC,DATOS!$E4840,nASIG,DATOS!$I4840,nEVAL,"EX")=0),0))))</f>
      </c>
      <c r="H4840">
        <f>IF(DATOS!$G4840&lt;&gt;"EX",0,--(COUNTIFS(nNIA,DATOS!$A4840,nCURSO,DATOS!$D4840,nESPEC,DATOS!$E4840,nASIG,DATOS!$I4840,nEVAL,"OR")=0))</f>
      </c>
      <c r="I4840">
        <f>IF(DATOS!$I4840="","",IFERROR(VLOOKUP(DATOS!$I4840,CONFIG_ASIGNATURAS!$B$2:$J$91,9,FALSE()),""))</f>
      </c>
    </row>
    <row r="4841">
      <c r="F4841">
        <f>IF(DATOS!$A4841="","",DATOS!$A4841&amp;"|"&amp;DATOS!$D4841&amp;"|"&amp;DATOS!$E4841&amp;"|"&amp;DATOS!$I4841)</f>
      </c>
      <c r="G4841">
        <f>IF(DATOS!$A4841="",0,IF(CONFIG_METADATA!$B$4&lt;&gt;"OR+EX",--(DATOS!$G4841=CONFIG_METADATA!$B$4),IF(DATOS!$G4841="EX",1,IF(DATOS!$G4841="OR",--(COUNTIFS(nNIA,DATOS!$A4841,nCURSO,DATOS!$D4841,nESPEC,DATOS!$E4841,nASIG,DATOS!$I4841,nEVAL,"EX")=0),0))))</f>
      </c>
      <c r="H4841">
        <f>IF(DATOS!$G4841&lt;&gt;"EX",0,--(COUNTIFS(nNIA,DATOS!$A4841,nCURSO,DATOS!$D4841,nESPEC,DATOS!$E4841,nASIG,DATOS!$I4841,nEVAL,"OR")=0))</f>
      </c>
      <c r="I4841">
        <f>IF(DATOS!$I4841="","",IFERROR(VLOOKUP(DATOS!$I4841,CONFIG_ASIGNATURAS!$B$2:$J$91,9,FALSE()),""))</f>
      </c>
    </row>
    <row r="4842">
      <c r="F4842">
        <f>IF(DATOS!$A4842="","",DATOS!$A4842&amp;"|"&amp;DATOS!$D4842&amp;"|"&amp;DATOS!$E4842&amp;"|"&amp;DATOS!$I4842)</f>
      </c>
      <c r="G4842">
        <f>IF(DATOS!$A4842="",0,IF(CONFIG_METADATA!$B$4&lt;&gt;"OR+EX",--(DATOS!$G4842=CONFIG_METADATA!$B$4),IF(DATOS!$G4842="EX",1,IF(DATOS!$G4842="OR",--(COUNTIFS(nNIA,DATOS!$A4842,nCURSO,DATOS!$D4842,nESPEC,DATOS!$E4842,nASIG,DATOS!$I4842,nEVAL,"EX")=0),0))))</f>
      </c>
      <c r="H4842">
        <f>IF(DATOS!$G4842&lt;&gt;"EX",0,--(COUNTIFS(nNIA,DATOS!$A4842,nCURSO,DATOS!$D4842,nESPEC,DATOS!$E4842,nASIG,DATOS!$I4842,nEVAL,"OR")=0))</f>
      </c>
      <c r="I4842">
        <f>IF(DATOS!$I4842="","",IFERROR(VLOOKUP(DATOS!$I4842,CONFIG_ASIGNATURAS!$B$2:$J$91,9,FALSE()),""))</f>
      </c>
    </row>
    <row r="4843">
      <c r="F4843">
        <f>IF(DATOS!$A4843="","",DATOS!$A4843&amp;"|"&amp;DATOS!$D4843&amp;"|"&amp;DATOS!$E4843&amp;"|"&amp;DATOS!$I4843)</f>
      </c>
      <c r="G4843">
        <f>IF(DATOS!$A4843="",0,IF(CONFIG_METADATA!$B$4&lt;&gt;"OR+EX",--(DATOS!$G4843=CONFIG_METADATA!$B$4),IF(DATOS!$G4843="EX",1,IF(DATOS!$G4843="OR",--(COUNTIFS(nNIA,DATOS!$A4843,nCURSO,DATOS!$D4843,nESPEC,DATOS!$E4843,nASIG,DATOS!$I4843,nEVAL,"EX")=0),0))))</f>
      </c>
      <c r="H4843">
        <f>IF(DATOS!$G4843&lt;&gt;"EX",0,--(COUNTIFS(nNIA,DATOS!$A4843,nCURSO,DATOS!$D4843,nESPEC,DATOS!$E4843,nASIG,DATOS!$I4843,nEVAL,"OR")=0))</f>
      </c>
      <c r="I4843">
        <f>IF(DATOS!$I4843="","",IFERROR(VLOOKUP(DATOS!$I4843,CONFIG_ASIGNATURAS!$B$2:$J$91,9,FALSE()),""))</f>
      </c>
    </row>
    <row r="4844">
      <c r="F4844">
        <f>IF(DATOS!$A4844="","",DATOS!$A4844&amp;"|"&amp;DATOS!$D4844&amp;"|"&amp;DATOS!$E4844&amp;"|"&amp;DATOS!$I4844)</f>
      </c>
      <c r="G4844">
        <f>IF(DATOS!$A4844="",0,IF(CONFIG_METADATA!$B$4&lt;&gt;"OR+EX",--(DATOS!$G4844=CONFIG_METADATA!$B$4),IF(DATOS!$G4844="EX",1,IF(DATOS!$G4844="OR",--(COUNTIFS(nNIA,DATOS!$A4844,nCURSO,DATOS!$D4844,nESPEC,DATOS!$E4844,nASIG,DATOS!$I4844,nEVAL,"EX")=0),0))))</f>
      </c>
      <c r="H4844">
        <f>IF(DATOS!$G4844&lt;&gt;"EX",0,--(COUNTIFS(nNIA,DATOS!$A4844,nCURSO,DATOS!$D4844,nESPEC,DATOS!$E4844,nASIG,DATOS!$I4844,nEVAL,"OR")=0))</f>
      </c>
      <c r="I4844">
        <f>IF(DATOS!$I4844="","",IFERROR(VLOOKUP(DATOS!$I4844,CONFIG_ASIGNATURAS!$B$2:$J$91,9,FALSE()),""))</f>
      </c>
    </row>
    <row r="4845">
      <c r="F4845">
        <f>IF(DATOS!$A4845="","",DATOS!$A4845&amp;"|"&amp;DATOS!$D4845&amp;"|"&amp;DATOS!$E4845&amp;"|"&amp;DATOS!$I4845)</f>
      </c>
      <c r="G4845">
        <f>IF(DATOS!$A4845="",0,IF(CONFIG_METADATA!$B$4&lt;&gt;"OR+EX",--(DATOS!$G4845=CONFIG_METADATA!$B$4),IF(DATOS!$G4845="EX",1,IF(DATOS!$G4845="OR",--(COUNTIFS(nNIA,DATOS!$A4845,nCURSO,DATOS!$D4845,nESPEC,DATOS!$E4845,nASIG,DATOS!$I4845,nEVAL,"EX")=0),0))))</f>
      </c>
      <c r="H4845">
        <f>IF(DATOS!$G4845&lt;&gt;"EX",0,--(COUNTIFS(nNIA,DATOS!$A4845,nCURSO,DATOS!$D4845,nESPEC,DATOS!$E4845,nASIG,DATOS!$I4845,nEVAL,"OR")=0))</f>
      </c>
      <c r="I4845">
        <f>IF(DATOS!$I4845="","",IFERROR(VLOOKUP(DATOS!$I4845,CONFIG_ASIGNATURAS!$B$2:$J$91,9,FALSE()),""))</f>
      </c>
    </row>
    <row r="4846">
      <c r="F4846">
        <f>IF(DATOS!$A4846="","",DATOS!$A4846&amp;"|"&amp;DATOS!$D4846&amp;"|"&amp;DATOS!$E4846&amp;"|"&amp;DATOS!$I4846)</f>
      </c>
      <c r="G4846">
        <f>IF(DATOS!$A4846="",0,IF(CONFIG_METADATA!$B$4&lt;&gt;"OR+EX",--(DATOS!$G4846=CONFIG_METADATA!$B$4),IF(DATOS!$G4846="EX",1,IF(DATOS!$G4846="OR",--(COUNTIFS(nNIA,DATOS!$A4846,nCURSO,DATOS!$D4846,nESPEC,DATOS!$E4846,nASIG,DATOS!$I4846,nEVAL,"EX")=0),0))))</f>
      </c>
      <c r="H4846">
        <f>IF(DATOS!$G4846&lt;&gt;"EX",0,--(COUNTIFS(nNIA,DATOS!$A4846,nCURSO,DATOS!$D4846,nESPEC,DATOS!$E4846,nASIG,DATOS!$I4846,nEVAL,"OR")=0))</f>
      </c>
      <c r="I4846">
        <f>IF(DATOS!$I4846="","",IFERROR(VLOOKUP(DATOS!$I4846,CONFIG_ASIGNATURAS!$B$2:$J$91,9,FALSE()),""))</f>
      </c>
    </row>
    <row r="4847">
      <c r="F4847">
        <f>IF(DATOS!$A4847="","",DATOS!$A4847&amp;"|"&amp;DATOS!$D4847&amp;"|"&amp;DATOS!$E4847&amp;"|"&amp;DATOS!$I4847)</f>
      </c>
      <c r="G4847">
        <f>IF(DATOS!$A4847="",0,IF(CONFIG_METADATA!$B$4&lt;&gt;"OR+EX",--(DATOS!$G4847=CONFIG_METADATA!$B$4),IF(DATOS!$G4847="EX",1,IF(DATOS!$G4847="OR",--(COUNTIFS(nNIA,DATOS!$A4847,nCURSO,DATOS!$D4847,nESPEC,DATOS!$E4847,nASIG,DATOS!$I4847,nEVAL,"EX")=0),0))))</f>
      </c>
      <c r="H4847">
        <f>IF(DATOS!$G4847&lt;&gt;"EX",0,--(COUNTIFS(nNIA,DATOS!$A4847,nCURSO,DATOS!$D4847,nESPEC,DATOS!$E4847,nASIG,DATOS!$I4847,nEVAL,"OR")=0))</f>
      </c>
      <c r="I4847">
        <f>IF(DATOS!$I4847="","",IFERROR(VLOOKUP(DATOS!$I4847,CONFIG_ASIGNATURAS!$B$2:$J$91,9,FALSE()),""))</f>
      </c>
    </row>
    <row r="4848">
      <c r="F4848">
        <f>IF(DATOS!$A4848="","",DATOS!$A4848&amp;"|"&amp;DATOS!$D4848&amp;"|"&amp;DATOS!$E4848&amp;"|"&amp;DATOS!$I4848)</f>
      </c>
      <c r="G4848">
        <f>IF(DATOS!$A4848="",0,IF(CONFIG_METADATA!$B$4&lt;&gt;"OR+EX",--(DATOS!$G4848=CONFIG_METADATA!$B$4),IF(DATOS!$G4848="EX",1,IF(DATOS!$G4848="OR",--(COUNTIFS(nNIA,DATOS!$A4848,nCURSO,DATOS!$D4848,nESPEC,DATOS!$E4848,nASIG,DATOS!$I4848,nEVAL,"EX")=0),0))))</f>
      </c>
      <c r="H4848">
        <f>IF(DATOS!$G4848&lt;&gt;"EX",0,--(COUNTIFS(nNIA,DATOS!$A4848,nCURSO,DATOS!$D4848,nESPEC,DATOS!$E4848,nASIG,DATOS!$I4848,nEVAL,"OR")=0))</f>
      </c>
      <c r="I4848">
        <f>IF(DATOS!$I4848="","",IFERROR(VLOOKUP(DATOS!$I4848,CONFIG_ASIGNATURAS!$B$2:$J$91,9,FALSE()),""))</f>
      </c>
    </row>
    <row r="4849">
      <c r="F4849">
        <f>IF(DATOS!$A4849="","",DATOS!$A4849&amp;"|"&amp;DATOS!$D4849&amp;"|"&amp;DATOS!$E4849&amp;"|"&amp;DATOS!$I4849)</f>
      </c>
      <c r="G4849">
        <f>IF(DATOS!$A4849="",0,IF(CONFIG_METADATA!$B$4&lt;&gt;"OR+EX",--(DATOS!$G4849=CONFIG_METADATA!$B$4),IF(DATOS!$G4849="EX",1,IF(DATOS!$G4849="OR",--(COUNTIFS(nNIA,DATOS!$A4849,nCURSO,DATOS!$D4849,nESPEC,DATOS!$E4849,nASIG,DATOS!$I4849,nEVAL,"EX")=0),0))))</f>
      </c>
      <c r="H4849">
        <f>IF(DATOS!$G4849&lt;&gt;"EX",0,--(COUNTIFS(nNIA,DATOS!$A4849,nCURSO,DATOS!$D4849,nESPEC,DATOS!$E4849,nASIG,DATOS!$I4849,nEVAL,"OR")=0))</f>
      </c>
      <c r="I4849">
        <f>IF(DATOS!$I4849="","",IFERROR(VLOOKUP(DATOS!$I4849,CONFIG_ASIGNATURAS!$B$2:$J$91,9,FALSE()),""))</f>
      </c>
    </row>
    <row r="4850">
      <c r="F4850">
        <f>IF(DATOS!$A4850="","",DATOS!$A4850&amp;"|"&amp;DATOS!$D4850&amp;"|"&amp;DATOS!$E4850&amp;"|"&amp;DATOS!$I4850)</f>
      </c>
      <c r="G4850">
        <f>IF(DATOS!$A4850="",0,IF(CONFIG_METADATA!$B$4&lt;&gt;"OR+EX",--(DATOS!$G4850=CONFIG_METADATA!$B$4),IF(DATOS!$G4850="EX",1,IF(DATOS!$G4850="OR",--(COUNTIFS(nNIA,DATOS!$A4850,nCURSO,DATOS!$D4850,nESPEC,DATOS!$E4850,nASIG,DATOS!$I4850,nEVAL,"EX")=0),0))))</f>
      </c>
      <c r="H4850">
        <f>IF(DATOS!$G4850&lt;&gt;"EX",0,--(COUNTIFS(nNIA,DATOS!$A4850,nCURSO,DATOS!$D4850,nESPEC,DATOS!$E4850,nASIG,DATOS!$I4850,nEVAL,"OR")=0))</f>
      </c>
      <c r="I4850">
        <f>IF(DATOS!$I4850="","",IFERROR(VLOOKUP(DATOS!$I4850,CONFIG_ASIGNATURAS!$B$2:$J$91,9,FALSE()),""))</f>
      </c>
    </row>
    <row r="4851">
      <c r="F4851">
        <f>IF(DATOS!$A4851="","",DATOS!$A4851&amp;"|"&amp;DATOS!$D4851&amp;"|"&amp;DATOS!$E4851&amp;"|"&amp;DATOS!$I4851)</f>
      </c>
      <c r="G4851">
        <f>IF(DATOS!$A4851="",0,IF(CONFIG_METADATA!$B$4&lt;&gt;"OR+EX",--(DATOS!$G4851=CONFIG_METADATA!$B$4),IF(DATOS!$G4851="EX",1,IF(DATOS!$G4851="OR",--(COUNTIFS(nNIA,DATOS!$A4851,nCURSO,DATOS!$D4851,nESPEC,DATOS!$E4851,nASIG,DATOS!$I4851,nEVAL,"EX")=0),0))))</f>
      </c>
      <c r="H4851">
        <f>IF(DATOS!$G4851&lt;&gt;"EX",0,--(COUNTIFS(nNIA,DATOS!$A4851,nCURSO,DATOS!$D4851,nESPEC,DATOS!$E4851,nASIG,DATOS!$I4851,nEVAL,"OR")=0))</f>
      </c>
      <c r="I4851">
        <f>IF(DATOS!$I4851="","",IFERROR(VLOOKUP(DATOS!$I4851,CONFIG_ASIGNATURAS!$B$2:$J$91,9,FALSE()),""))</f>
      </c>
    </row>
    <row r="4852">
      <c r="F4852">
        <f>IF(DATOS!$A4852="","",DATOS!$A4852&amp;"|"&amp;DATOS!$D4852&amp;"|"&amp;DATOS!$E4852&amp;"|"&amp;DATOS!$I4852)</f>
      </c>
      <c r="G4852">
        <f>IF(DATOS!$A4852="",0,IF(CONFIG_METADATA!$B$4&lt;&gt;"OR+EX",--(DATOS!$G4852=CONFIG_METADATA!$B$4),IF(DATOS!$G4852="EX",1,IF(DATOS!$G4852="OR",--(COUNTIFS(nNIA,DATOS!$A4852,nCURSO,DATOS!$D4852,nESPEC,DATOS!$E4852,nASIG,DATOS!$I4852,nEVAL,"EX")=0),0))))</f>
      </c>
      <c r="H4852">
        <f>IF(DATOS!$G4852&lt;&gt;"EX",0,--(COUNTIFS(nNIA,DATOS!$A4852,nCURSO,DATOS!$D4852,nESPEC,DATOS!$E4852,nASIG,DATOS!$I4852,nEVAL,"OR")=0))</f>
      </c>
      <c r="I4852">
        <f>IF(DATOS!$I4852="","",IFERROR(VLOOKUP(DATOS!$I4852,CONFIG_ASIGNATURAS!$B$2:$J$91,9,FALSE()),""))</f>
      </c>
    </row>
    <row r="4853">
      <c r="F4853">
        <f>IF(DATOS!$A4853="","",DATOS!$A4853&amp;"|"&amp;DATOS!$D4853&amp;"|"&amp;DATOS!$E4853&amp;"|"&amp;DATOS!$I4853)</f>
      </c>
      <c r="G4853">
        <f>IF(DATOS!$A4853="",0,IF(CONFIG_METADATA!$B$4&lt;&gt;"OR+EX",--(DATOS!$G4853=CONFIG_METADATA!$B$4),IF(DATOS!$G4853="EX",1,IF(DATOS!$G4853="OR",--(COUNTIFS(nNIA,DATOS!$A4853,nCURSO,DATOS!$D4853,nESPEC,DATOS!$E4853,nASIG,DATOS!$I4853,nEVAL,"EX")=0),0))))</f>
      </c>
      <c r="H4853">
        <f>IF(DATOS!$G4853&lt;&gt;"EX",0,--(COUNTIFS(nNIA,DATOS!$A4853,nCURSO,DATOS!$D4853,nESPEC,DATOS!$E4853,nASIG,DATOS!$I4853,nEVAL,"OR")=0))</f>
      </c>
      <c r="I4853">
        <f>IF(DATOS!$I4853="","",IFERROR(VLOOKUP(DATOS!$I4853,CONFIG_ASIGNATURAS!$B$2:$J$91,9,FALSE()),""))</f>
      </c>
    </row>
    <row r="4854">
      <c r="F4854">
        <f>IF(DATOS!$A4854="","",DATOS!$A4854&amp;"|"&amp;DATOS!$D4854&amp;"|"&amp;DATOS!$E4854&amp;"|"&amp;DATOS!$I4854)</f>
      </c>
      <c r="G4854">
        <f>IF(DATOS!$A4854="",0,IF(CONFIG_METADATA!$B$4&lt;&gt;"OR+EX",--(DATOS!$G4854=CONFIG_METADATA!$B$4),IF(DATOS!$G4854="EX",1,IF(DATOS!$G4854="OR",--(COUNTIFS(nNIA,DATOS!$A4854,nCURSO,DATOS!$D4854,nESPEC,DATOS!$E4854,nASIG,DATOS!$I4854,nEVAL,"EX")=0),0))))</f>
      </c>
      <c r="H4854">
        <f>IF(DATOS!$G4854&lt;&gt;"EX",0,--(COUNTIFS(nNIA,DATOS!$A4854,nCURSO,DATOS!$D4854,nESPEC,DATOS!$E4854,nASIG,DATOS!$I4854,nEVAL,"OR")=0))</f>
      </c>
      <c r="I4854">
        <f>IF(DATOS!$I4854="","",IFERROR(VLOOKUP(DATOS!$I4854,CONFIG_ASIGNATURAS!$B$2:$J$91,9,FALSE()),""))</f>
      </c>
    </row>
    <row r="4855">
      <c r="F4855">
        <f>IF(DATOS!$A4855="","",DATOS!$A4855&amp;"|"&amp;DATOS!$D4855&amp;"|"&amp;DATOS!$E4855&amp;"|"&amp;DATOS!$I4855)</f>
      </c>
      <c r="G4855">
        <f>IF(DATOS!$A4855="",0,IF(CONFIG_METADATA!$B$4&lt;&gt;"OR+EX",--(DATOS!$G4855=CONFIG_METADATA!$B$4),IF(DATOS!$G4855="EX",1,IF(DATOS!$G4855="OR",--(COUNTIFS(nNIA,DATOS!$A4855,nCURSO,DATOS!$D4855,nESPEC,DATOS!$E4855,nASIG,DATOS!$I4855,nEVAL,"EX")=0),0))))</f>
      </c>
      <c r="H4855">
        <f>IF(DATOS!$G4855&lt;&gt;"EX",0,--(COUNTIFS(nNIA,DATOS!$A4855,nCURSO,DATOS!$D4855,nESPEC,DATOS!$E4855,nASIG,DATOS!$I4855,nEVAL,"OR")=0))</f>
      </c>
      <c r="I4855">
        <f>IF(DATOS!$I4855="","",IFERROR(VLOOKUP(DATOS!$I4855,CONFIG_ASIGNATURAS!$B$2:$J$91,9,FALSE()),""))</f>
      </c>
    </row>
    <row r="4856">
      <c r="F4856">
        <f>IF(DATOS!$A4856="","",DATOS!$A4856&amp;"|"&amp;DATOS!$D4856&amp;"|"&amp;DATOS!$E4856&amp;"|"&amp;DATOS!$I4856)</f>
      </c>
      <c r="G4856">
        <f>IF(DATOS!$A4856="",0,IF(CONFIG_METADATA!$B$4&lt;&gt;"OR+EX",--(DATOS!$G4856=CONFIG_METADATA!$B$4),IF(DATOS!$G4856="EX",1,IF(DATOS!$G4856="OR",--(COUNTIFS(nNIA,DATOS!$A4856,nCURSO,DATOS!$D4856,nESPEC,DATOS!$E4856,nASIG,DATOS!$I4856,nEVAL,"EX")=0),0))))</f>
      </c>
      <c r="H4856">
        <f>IF(DATOS!$G4856&lt;&gt;"EX",0,--(COUNTIFS(nNIA,DATOS!$A4856,nCURSO,DATOS!$D4856,nESPEC,DATOS!$E4856,nASIG,DATOS!$I4856,nEVAL,"OR")=0))</f>
      </c>
      <c r="I4856">
        <f>IF(DATOS!$I4856="","",IFERROR(VLOOKUP(DATOS!$I4856,CONFIG_ASIGNATURAS!$B$2:$J$91,9,FALSE()),""))</f>
      </c>
    </row>
    <row r="4857">
      <c r="F4857">
        <f>IF(DATOS!$A4857="","",DATOS!$A4857&amp;"|"&amp;DATOS!$D4857&amp;"|"&amp;DATOS!$E4857&amp;"|"&amp;DATOS!$I4857)</f>
      </c>
      <c r="G4857">
        <f>IF(DATOS!$A4857="",0,IF(CONFIG_METADATA!$B$4&lt;&gt;"OR+EX",--(DATOS!$G4857=CONFIG_METADATA!$B$4),IF(DATOS!$G4857="EX",1,IF(DATOS!$G4857="OR",--(COUNTIFS(nNIA,DATOS!$A4857,nCURSO,DATOS!$D4857,nESPEC,DATOS!$E4857,nASIG,DATOS!$I4857,nEVAL,"EX")=0),0))))</f>
      </c>
      <c r="H4857">
        <f>IF(DATOS!$G4857&lt;&gt;"EX",0,--(COUNTIFS(nNIA,DATOS!$A4857,nCURSO,DATOS!$D4857,nESPEC,DATOS!$E4857,nASIG,DATOS!$I4857,nEVAL,"OR")=0))</f>
      </c>
      <c r="I4857">
        <f>IF(DATOS!$I4857="","",IFERROR(VLOOKUP(DATOS!$I4857,CONFIG_ASIGNATURAS!$B$2:$J$91,9,FALSE()),""))</f>
      </c>
    </row>
    <row r="4858">
      <c r="F4858">
        <f>IF(DATOS!$A4858="","",DATOS!$A4858&amp;"|"&amp;DATOS!$D4858&amp;"|"&amp;DATOS!$E4858&amp;"|"&amp;DATOS!$I4858)</f>
      </c>
      <c r="G4858">
        <f>IF(DATOS!$A4858="",0,IF(CONFIG_METADATA!$B$4&lt;&gt;"OR+EX",--(DATOS!$G4858=CONFIG_METADATA!$B$4),IF(DATOS!$G4858="EX",1,IF(DATOS!$G4858="OR",--(COUNTIFS(nNIA,DATOS!$A4858,nCURSO,DATOS!$D4858,nESPEC,DATOS!$E4858,nASIG,DATOS!$I4858,nEVAL,"EX")=0),0))))</f>
      </c>
      <c r="H4858">
        <f>IF(DATOS!$G4858&lt;&gt;"EX",0,--(COUNTIFS(nNIA,DATOS!$A4858,nCURSO,DATOS!$D4858,nESPEC,DATOS!$E4858,nASIG,DATOS!$I4858,nEVAL,"OR")=0))</f>
      </c>
      <c r="I4858">
        <f>IF(DATOS!$I4858="","",IFERROR(VLOOKUP(DATOS!$I4858,CONFIG_ASIGNATURAS!$B$2:$J$91,9,FALSE()),""))</f>
      </c>
    </row>
    <row r="4859">
      <c r="F4859">
        <f>IF(DATOS!$A4859="","",DATOS!$A4859&amp;"|"&amp;DATOS!$D4859&amp;"|"&amp;DATOS!$E4859&amp;"|"&amp;DATOS!$I4859)</f>
      </c>
      <c r="G4859">
        <f>IF(DATOS!$A4859="",0,IF(CONFIG_METADATA!$B$4&lt;&gt;"OR+EX",--(DATOS!$G4859=CONFIG_METADATA!$B$4),IF(DATOS!$G4859="EX",1,IF(DATOS!$G4859="OR",--(COUNTIFS(nNIA,DATOS!$A4859,nCURSO,DATOS!$D4859,nESPEC,DATOS!$E4859,nASIG,DATOS!$I4859,nEVAL,"EX")=0),0))))</f>
      </c>
      <c r="H4859">
        <f>IF(DATOS!$G4859&lt;&gt;"EX",0,--(COUNTIFS(nNIA,DATOS!$A4859,nCURSO,DATOS!$D4859,nESPEC,DATOS!$E4859,nASIG,DATOS!$I4859,nEVAL,"OR")=0))</f>
      </c>
      <c r="I4859">
        <f>IF(DATOS!$I4859="","",IFERROR(VLOOKUP(DATOS!$I4859,CONFIG_ASIGNATURAS!$B$2:$J$91,9,FALSE()),""))</f>
      </c>
    </row>
    <row r="4860">
      <c r="F4860">
        <f>IF(DATOS!$A4860="","",DATOS!$A4860&amp;"|"&amp;DATOS!$D4860&amp;"|"&amp;DATOS!$E4860&amp;"|"&amp;DATOS!$I4860)</f>
      </c>
      <c r="G4860">
        <f>IF(DATOS!$A4860="",0,IF(CONFIG_METADATA!$B$4&lt;&gt;"OR+EX",--(DATOS!$G4860=CONFIG_METADATA!$B$4),IF(DATOS!$G4860="EX",1,IF(DATOS!$G4860="OR",--(COUNTIFS(nNIA,DATOS!$A4860,nCURSO,DATOS!$D4860,nESPEC,DATOS!$E4860,nASIG,DATOS!$I4860,nEVAL,"EX")=0),0))))</f>
      </c>
      <c r="H4860">
        <f>IF(DATOS!$G4860&lt;&gt;"EX",0,--(COUNTIFS(nNIA,DATOS!$A4860,nCURSO,DATOS!$D4860,nESPEC,DATOS!$E4860,nASIG,DATOS!$I4860,nEVAL,"OR")=0))</f>
      </c>
      <c r="I4860">
        <f>IF(DATOS!$I4860="","",IFERROR(VLOOKUP(DATOS!$I4860,CONFIG_ASIGNATURAS!$B$2:$J$91,9,FALSE()),""))</f>
      </c>
    </row>
    <row r="4861">
      <c r="F4861">
        <f>IF(DATOS!$A4861="","",DATOS!$A4861&amp;"|"&amp;DATOS!$D4861&amp;"|"&amp;DATOS!$E4861&amp;"|"&amp;DATOS!$I4861)</f>
      </c>
      <c r="G4861">
        <f>IF(DATOS!$A4861="",0,IF(CONFIG_METADATA!$B$4&lt;&gt;"OR+EX",--(DATOS!$G4861=CONFIG_METADATA!$B$4),IF(DATOS!$G4861="EX",1,IF(DATOS!$G4861="OR",--(COUNTIFS(nNIA,DATOS!$A4861,nCURSO,DATOS!$D4861,nESPEC,DATOS!$E4861,nASIG,DATOS!$I4861,nEVAL,"EX")=0),0))))</f>
      </c>
      <c r="H4861">
        <f>IF(DATOS!$G4861&lt;&gt;"EX",0,--(COUNTIFS(nNIA,DATOS!$A4861,nCURSO,DATOS!$D4861,nESPEC,DATOS!$E4861,nASIG,DATOS!$I4861,nEVAL,"OR")=0))</f>
      </c>
      <c r="I4861">
        <f>IF(DATOS!$I4861="","",IFERROR(VLOOKUP(DATOS!$I4861,CONFIG_ASIGNATURAS!$B$2:$J$91,9,FALSE()),""))</f>
      </c>
    </row>
    <row r="4862">
      <c r="F4862">
        <f>IF(DATOS!$A4862="","",DATOS!$A4862&amp;"|"&amp;DATOS!$D4862&amp;"|"&amp;DATOS!$E4862&amp;"|"&amp;DATOS!$I4862)</f>
      </c>
      <c r="G4862">
        <f>IF(DATOS!$A4862="",0,IF(CONFIG_METADATA!$B$4&lt;&gt;"OR+EX",--(DATOS!$G4862=CONFIG_METADATA!$B$4),IF(DATOS!$G4862="EX",1,IF(DATOS!$G4862="OR",--(COUNTIFS(nNIA,DATOS!$A4862,nCURSO,DATOS!$D4862,nESPEC,DATOS!$E4862,nASIG,DATOS!$I4862,nEVAL,"EX")=0),0))))</f>
      </c>
      <c r="H4862">
        <f>IF(DATOS!$G4862&lt;&gt;"EX",0,--(COUNTIFS(nNIA,DATOS!$A4862,nCURSO,DATOS!$D4862,nESPEC,DATOS!$E4862,nASIG,DATOS!$I4862,nEVAL,"OR")=0))</f>
      </c>
      <c r="I4862">
        <f>IF(DATOS!$I4862="","",IFERROR(VLOOKUP(DATOS!$I4862,CONFIG_ASIGNATURAS!$B$2:$J$91,9,FALSE()),""))</f>
      </c>
    </row>
    <row r="4863">
      <c r="F4863">
        <f>IF(DATOS!$A4863="","",DATOS!$A4863&amp;"|"&amp;DATOS!$D4863&amp;"|"&amp;DATOS!$E4863&amp;"|"&amp;DATOS!$I4863)</f>
      </c>
      <c r="G4863">
        <f>IF(DATOS!$A4863="",0,IF(CONFIG_METADATA!$B$4&lt;&gt;"OR+EX",--(DATOS!$G4863=CONFIG_METADATA!$B$4),IF(DATOS!$G4863="EX",1,IF(DATOS!$G4863="OR",--(COUNTIFS(nNIA,DATOS!$A4863,nCURSO,DATOS!$D4863,nESPEC,DATOS!$E4863,nASIG,DATOS!$I4863,nEVAL,"EX")=0),0))))</f>
      </c>
      <c r="H4863">
        <f>IF(DATOS!$G4863&lt;&gt;"EX",0,--(COUNTIFS(nNIA,DATOS!$A4863,nCURSO,DATOS!$D4863,nESPEC,DATOS!$E4863,nASIG,DATOS!$I4863,nEVAL,"OR")=0))</f>
      </c>
      <c r="I4863">
        <f>IF(DATOS!$I4863="","",IFERROR(VLOOKUP(DATOS!$I4863,CONFIG_ASIGNATURAS!$B$2:$J$91,9,FALSE()),""))</f>
      </c>
    </row>
    <row r="4864">
      <c r="F4864">
        <f>IF(DATOS!$A4864="","",DATOS!$A4864&amp;"|"&amp;DATOS!$D4864&amp;"|"&amp;DATOS!$E4864&amp;"|"&amp;DATOS!$I4864)</f>
      </c>
      <c r="G4864">
        <f>IF(DATOS!$A4864="",0,IF(CONFIG_METADATA!$B$4&lt;&gt;"OR+EX",--(DATOS!$G4864=CONFIG_METADATA!$B$4),IF(DATOS!$G4864="EX",1,IF(DATOS!$G4864="OR",--(COUNTIFS(nNIA,DATOS!$A4864,nCURSO,DATOS!$D4864,nESPEC,DATOS!$E4864,nASIG,DATOS!$I4864,nEVAL,"EX")=0),0))))</f>
      </c>
      <c r="H4864">
        <f>IF(DATOS!$G4864&lt;&gt;"EX",0,--(COUNTIFS(nNIA,DATOS!$A4864,nCURSO,DATOS!$D4864,nESPEC,DATOS!$E4864,nASIG,DATOS!$I4864,nEVAL,"OR")=0))</f>
      </c>
      <c r="I4864">
        <f>IF(DATOS!$I4864="","",IFERROR(VLOOKUP(DATOS!$I4864,CONFIG_ASIGNATURAS!$B$2:$J$91,9,FALSE()),""))</f>
      </c>
    </row>
    <row r="4865">
      <c r="F4865">
        <f>IF(DATOS!$A4865="","",DATOS!$A4865&amp;"|"&amp;DATOS!$D4865&amp;"|"&amp;DATOS!$E4865&amp;"|"&amp;DATOS!$I4865)</f>
      </c>
      <c r="G4865">
        <f>IF(DATOS!$A4865="",0,IF(CONFIG_METADATA!$B$4&lt;&gt;"OR+EX",--(DATOS!$G4865=CONFIG_METADATA!$B$4),IF(DATOS!$G4865="EX",1,IF(DATOS!$G4865="OR",--(COUNTIFS(nNIA,DATOS!$A4865,nCURSO,DATOS!$D4865,nESPEC,DATOS!$E4865,nASIG,DATOS!$I4865,nEVAL,"EX")=0),0))))</f>
      </c>
      <c r="H4865">
        <f>IF(DATOS!$G4865&lt;&gt;"EX",0,--(COUNTIFS(nNIA,DATOS!$A4865,nCURSO,DATOS!$D4865,nESPEC,DATOS!$E4865,nASIG,DATOS!$I4865,nEVAL,"OR")=0))</f>
      </c>
      <c r="I4865">
        <f>IF(DATOS!$I4865="","",IFERROR(VLOOKUP(DATOS!$I4865,CONFIG_ASIGNATURAS!$B$2:$J$91,9,FALSE()),""))</f>
      </c>
    </row>
    <row r="4866">
      <c r="F4866">
        <f>IF(DATOS!$A4866="","",DATOS!$A4866&amp;"|"&amp;DATOS!$D4866&amp;"|"&amp;DATOS!$E4866&amp;"|"&amp;DATOS!$I4866)</f>
      </c>
      <c r="G4866">
        <f>IF(DATOS!$A4866="",0,IF(CONFIG_METADATA!$B$4&lt;&gt;"OR+EX",--(DATOS!$G4866=CONFIG_METADATA!$B$4),IF(DATOS!$G4866="EX",1,IF(DATOS!$G4866="OR",--(COUNTIFS(nNIA,DATOS!$A4866,nCURSO,DATOS!$D4866,nESPEC,DATOS!$E4866,nASIG,DATOS!$I4866,nEVAL,"EX")=0),0))))</f>
      </c>
      <c r="H4866">
        <f>IF(DATOS!$G4866&lt;&gt;"EX",0,--(COUNTIFS(nNIA,DATOS!$A4866,nCURSO,DATOS!$D4866,nESPEC,DATOS!$E4866,nASIG,DATOS!$I4866,nEVAL,"OR")=0))</f>
      </c>
      <c r="I4866">
        <f>IF(DATOS!$I4866="","",IFERROR(VLOOKUP(DATOS!$I4866,CONFIG_ASIGNATURAS!$B$2:$J$91,9,FALSE()),""))</f>
      </c>
    </row>
    <row r="4867">
      <c r="F4867">
        <f>IF(DATOS!$A4867="","",DATOS!$A4867&amp;"|"&amp;DATOS!$D4867&amp;"|"&amp;DATOS!$E4867&amp;"|"&amp;DATOS!$I4867)</f>
      </c>
      <c r="G4867">
        <f>IF(DATOS!$A4867="",0,IF(CONFIG_METADATA!$B$4&lt;&gt;"OR+EX",--(DATOS!$G4867=CONFIG_METADATA!$B$4),IF(DATOS!$G4867="EX",1,IF(DATOS!$G4867="OR",--(COUNTIFS(nNIA,DATOS!$A4867,nCURSO,DATOS!$D4867,nESPEC,DATOS!$E4867,nASIG,DATOS!$I4867,nEVAL,"EX")=0),0))))</f>
      </c>
      <c r="H4867">
        <f>IF(DATOS!$G4867&lt;&gt;"EX",0,--(COUNTIFS(nNIA,DATOS!$A4867,nCURSO,DATOS!$D4867,nESPEC,DATOS!$E4867,nASIG,DATOS!$I4867,nEVAL,"OR")=0))</f>
      </c>
      <c r="I4867">
        <f>IF(DATOS!$I4867="","",IFERROR(VLOOKUP(DATOS!$I4867,CONFIG_ASIGNATURAS!$B$2:$J$91,9,FALSE()),""))</f>
      </c>
    </row>
    <row r="4868">
      <c r="F4868">
        <f>IF(DATOS!$A4868="","",DATOS!$A4868&amp;"|"&amp;DATOS!$D4868&amp;"|"&amp;DATOS!$E4868&amp;"|"&amp;DATOS!$I4868)</f>
      </c>
      <c r="G4868">
        <f>IF(DATOS!$A4868="",0,IF(CONFIG_METADATA!$B$4&lt;&gt;"OR+EX",--(DATOS!$G4868=CONFIG_METADATA!$B$4),IF(DATOS!$G4868="EX",1,IF(DATOS!$G4868="OR",--(COUNTIFS(nNIA,DATOS!$A4868,nCURSO,DATOS!$D4868,nESPEC,DATOS!$E4868,nASIG,DATOS!$I4868,nEVAL,"EX")=0),0))))</f>
      </c>
      <c r="H4868">
        <f>IF(DATOS!$G4868&lt;&gt;"EX",0,--(COUNTIFS(nNIA,DATOS!$A4868,nCURSO,DATOS!$D4868,nESPEC,DATOS!$E4868,nASIG,DATOS!$I4868,nEVAL,"OR")=0))</f>
      </c>
      <c r="I4868">
        <f>IF(DATOS!$I4868="","",IFERROR(VLOOKUP(DATOS!$I4868,CONFIG_ASIGNATURAS!$B$2:$J$91,9,FALSE()),""))</f>
      </c>
    </row>
    <row r="4869">
      <c r="F4869">
        <f>IF(DATOS!$A4869="","",DATOS!$A4869&amp;"|"&amp;DATOS!$D4869&amp;"|"&amp;DATOS!$E4869&amp;"|"&amp;DATOS!$I4869)</f>
      </c>
      <c r="G4869">
        <f>IF(DATOS!$A4869="",0,IF(CONFIG_METADATA!$B$4&lt;&gt;"OR+EX",--(DATOS!$G4869=CONFIG_METADATA!$B$4),IF(DATOS!$G4869="EX",1,IF(DATOS!$G4869="OR",--(COUNTIFS(nNIA,DATOS!$A4869,nCURSO,DATOS!$D4869,nESPEC,DATOS!$E4869,nASIG,DATOS!$I4869,nEVAL,"EX")=0),0))))</f>
      </c>
      <c r="H4869">
        <f>IF(DATOS!$G4869&lt;&gt;"EX",0,--(COUNTIFS(nNIA,DATOS!$A4869,nCURSO,DATOS!$D4869,nESPEC,DATOS!$E4869,nASIG,DATOS!$I4869,nEVAL,"OR")=0))</f>
      </c>
      <c r="I4869">
        <f>IF(DATOS!$I4869="","",IFERROR(VLOOKUP(DATOS!$I4869,CONFIG_ASIGNATURAS!$B$2:$J$91,9,FALSE()),""))</f>
      </c>
    </row>
    <row r="4870">
      <c r="F4870">
        <f>IF(DATOS!$A4870="","",DATOS!$A4870&amp;"|"&amp;DATOS!$D4870&amp;"|"&amp;DATOS!$E4870&amp;"|"&amp;DATOS!$I4870)</f>
      </c>
      <c r="G4870">
        <f>IF(DATOS!$A4870="",0,IF(CONFIG_METADATA!$B$4&lt;&gt;"OR+EX",--(DATOS!$G4870=CONFIG_METADATA!$B$4),IF(DATOS!$G4870="EX",1,IF(DATOS!$G4870="OR",--(COUNTIFS(nNIA,DATOS!$A4870,nCURSO,DATOS!$D4870,nESPEC,DATOS!$E4870,nASIG,DATOS!$I4870,nEVAL,"EX")=0),0))))</f>
      </c>
      <c r="H4870">
        <f>IF(DATOS!$G4870&lt;&gt;"EX",0,--(COUNTIFS(nNIA,DATOS!$A4870,nCURSO,DATOS!$D4870,nESPEC,DATOS!$E4870,nASIG,DATOS!$I4870,nEVAL,"OR")=0))</f>
      </c>
      <c r="I4870">
        <f>IF(DATOS!$I4870="","",IFERROR(VLOOKUP(DATOS!$I4870,CONFIG_ASIGNATURAS!$B$2:$J$91,9,FALSE()),""))</f>
      </c>
    </row>
    <row r="4871">
      <c r="F4871">
        <f>IF(DATOS!$A4871="","",DATOS!$A4871&amp;"|"&amp;DATOS!$D4871&amp;"|"&amp;DATOS!$E4871&amp;"|"&amp;DATOS!$I4871)</f>
      </c>
      <c r="G4871">
        <f>IF(DATOS!$A4871="",0,IF(CONFIG_METADATA!$B$4&lt;&gt;"OR+EX",--(DATOS!$G4871=CONFIG_METADATA!$B$4),IF(DATOS!$G4871="EX",1,IF(DATOS!$G4871="OR",--(COUNTIFS(nNIA,DATOS!$A4871,nCURSO,DATOS!$D4871,nESPEC,DATOS!$E4871,nASIG,DATOS!$I4871,nEVAL,"EX")=0),0))))</f>
      </c>
      <c r="H4871">
        <f>IF(DATOS!$G4871&lt;&gt;"EX",0,--(COUNTIFS(nNIA,DATOS!$A4871,nCURSO,DATOS!$D4871,nESPEC,DATOS!$E4871,nASIG,DATOS!$I4871,nEVAL,"OR")=0))</f>
      </c>
      <c r="I4871">
        <f>IF(DATOS!$I4871="","",IFERROR(VLOOKUP(DATOS!$I4871,CONFIG_ASIGNATURAS!$B$2:$J$91,9,FALSE()),""))</f>
      </c>
    </row>
    <row r="4872">
      <c r="F4872">
        <f>IF(DATOS!$A4872="","",DATOS!$A4872&amp;"|"&amp;DATOS!$D4872&amp;"|"&amp;DATOS!$E4872&amp;"|"&amp;DATOS!$I4872)</f>
      </c>
      <c r="G4872">
        <f>IF(DATOS!$A4872="",0,IF(CONFIG_METADATA!$B$4&lt;&gt;"OR+EX",--(DATOS!$G4872=CONFIG_METADATA!$B$4),IF(DATOS!$G4872="EX",1,IF(DATOS!$G4872="OR",--(COUNTIFS(nNIA,DATOS!$A4872,nCURSO,DATOS!$D4872,nESPEC,DATOS!$E4872,nASIG,DATOS!$I4872,nEVAL,"EX")=0),0))))</f>
      </c>
      <c r="H4872">
        <f>IF(DATOS!$G4872&lt;&gt;"EX",0,--(COUNTIFS(nNIA,DATOS!$A4872,nCURSO,DATOS!$D4872,nESPEC,DATOS!$E4872,nASIG,DATOS!$I4872,nEVAL,"OR")=0))</f>
      </c>
      <c r="I4872">
        <f>IF(DATOS!$I4872="","",IFERROR(VLOOKUP(DATOS!$I4872,CONFIG_ASIGNATURAS!$B$2:$J$91,9,FALSE()),""))</f>
      </c>
    </row>
    <row r="4873">
      <c r="F4873">
        <f>IF(DATOS!$A4873="","",DATOS!$A4873&amp;"|"&amp;DATOS!$D4873&amp;"|"&amp;DATOS!$E4873&amp;"|"&amp;DATOS!$I4873)</f>
      </c>
      <c r="G4873">
        <f>IF(DATOS!$A4873="",0,IF(CONFIG_METADATA!$B$4&lt;&gt;"OR+EX",--(DATOS!$G4873=CONFIG_METADATA!$B$4),IF(DATOS!$G4873="EX",1,IF(DATOS!$G4873="OR",--(COUNTIFS(nNIA,DATOS!$A4873,nCURSO,DATOS!$D4873,nESPEC,DATOS!$E4873,nASIG,DATOS!$I4873,nEVAL,"EX")=0),0))))</f>
      </c>
      <c r="H4873">
        <f>IF(DATOS!$G4873&lt;&gt;"EX",0,--(COUNTIFS(nNIA,DATOS!$A4873,nCURSO,DATOS!$D4873,nESPEC,DATOS!$E4873,nASIG,DATOS!$I4873,nEVAL,"OR")=0))</f>
      </c>
      <c r="I4873">
        <f>IF(DATOS!$I4873="","",IFERROR(VLOOKUP(DATOS!$I4873,CONFIG_ASIGNATURAS!$B$2:$J$91,9,FALSE()),""))</f>
      </c>
    </row>
    <row r="4874">
      <c r="F4874">
        <f>IF(DATOS!$A4874="","",DATOS!$A4874&amp;"|"&amp;DATOS!$D4874&amp;"|"&amp;DATOS!$E4874&amp;"|"&amp;DATOS!$I4874)</f>
      </c>
      <c r="G4874">
        <f>IF(DATOS!$A4874="",0,IF(CONFIG_METADATA!$B$4&lt;&gt;"OR+EX",--(DATOS!$G4874=CONFIG_METADATA!$B$4),IF(DATOS!$G4874="EX",1,IF(DATOS!$G4874="OR",--(COUNTIFS(nNIA,DATOS!$A4874,nCURSO,DATOS!$D4874,nESPEC,DATOS!$E4874,nASIG,DATOS!$I4874,nEVAL,"EX")=0),0))))</f>
      </c>
      <c r="H4874">
        <f>IF(DATOS!$G4874&lt;&gt;"EX",0,--(COUNTIFS(nNIA,DATOS!$A4874,nCURSO,DATOS!$D4874,nESPEC,DATOS!$E4874,nASIG,DATOS!$I4874,nEVAL,"OR")=0))</f>
      </c>
      <c r="I4874">
        <f>IF(DATOS!$I4874="","",IFERROR(VLOOKUP(DATOS!$I4874,CONFIG_ASIGNATURAS!$B$2:$J$91,9,FALSE()),""))</f>
      </c>
    </row>
    <row r="4875">
      <c r="F4875">
        <f>IF(DATOS!$A4875="","",DATOS!$A4875&amp;"|"&amp;DATOS!$D4875&amp;"|"&amp;DATOS!$E4875&amp;"|"&amp;DATOS!$I4875)</f>
      </c>
      <c r="G4875">
        <f>IF(DATOS!$A4875="",0,IF(CONFIG_METADATA!$B$4&lt;&gt;"OR+EX",--(DATOS!$G4875=CONFIG_METADATA!$B$4),IF(DATOS!$G4875="EX",1,IF(DATOS!$G4875="OR",--(COUNTIFS(nNIA,DATOS!$A4875,nCURSO,DATOS!$D4875,nESPEC,DATOS!$E4875,nASIG,DATOS!$I4875,nEVAL,"EX")=0),0))))</f>
      </c>
      <c r="H4875">
        <f>IF(DATOS!$G4875&lt;&gt;"EX",0,--(COUNTIFS(nNIA,DATOS!$A4875,nCURSO,DATOS!$D4875,nESPEC,DATOS!$E4875,nASIG,DATOS!$I4875,nEVAL,"OR")=0))</f>
      </c>
      <c r="I4875">
        <f>IF(DATOS!$I4875="","",IFERROR(VLOOKUP(DATOS!$I4875,CONFIG_ASIGNATURAS!$B$2:$J$91,9,FALSE()),""))</f>
      </c>
    </row>
    <row r="4876">
      <c r="F4876">
        <f>IF(DATOS!$A4876="","",DATOS!$A4876&amp;"|"&amp;DATOS!$D4876&amp;"|"&amp;DATOS!$E4876&amp;"|"&amp;DATOS!$I4876)</f>
      </c>
      <c r="G4876">
        <f>IF(DATOS!$A4876="",0,IF(CONFIG_METADATA!$B$4&lt;&gt;"OR+EX",--(DATOS!$G4876=CONFIG_METADATA!$B$4),IF(DATOS!$G4876="EX",1,IF(DATOS!$G4876="OR",--(COUNTIFS(nNIA,DATOS!$A4876,nCURSO,DATOS!$D4876,nESPEC,DATOS!$E4876,nASIG,DATOS!$I4876,nEVAL,"EX")=0),0))))</f>
      </c>
      <c r="H4876">
        <f>IF(DATOS!$G4876&lt;&gt;"EX",0,--(COUNTIFS(nNIA,DATOS!$A4876,nCURSO,DATOS!$D4876,nESPEC,DATOS!$E4876,nASIG,DATOS!$I4876,nEVAL,"OR")=0))</f>
      </c>
      <c r="I4876">
        <f>IF(DATOS!$I4876="","",IFERROR(VLOOKUP(DATOS!$I4876,CONFIG_ASIGNATURAS!$B$2:$J$91,9,FALSE()),""))</f>
      </c>
    </row>
    <row r="4877">
      <c r="F4877">
        <f>IF(DATOS!$A4877="","",DATOS!$A4877&amp;"|"&amp;DATOS!$D4877&amp;"|"&amp;DATOS!$E4877&amp;"|"&amp;DATOS!$I4877)</f>
      </c>
      <c r="G4877">
        <f>IF(DATOS!$A4877="",0,IF(CONFIG_METADATA!$B$4&lt;&gt;"OR+EX",--(DATOS!$G4877=CONFIG_METADATA!$B$4),IF(DATOS!$G4877="EX",1,IF(DATOS!$G4877="OR",--(COUNTIFS(nNIA,DATOS!$A4877,nCURSO,DATOS!$D4877,nESPEC,DATOS!$E4877,nASIG,DATOS!$I4877,nEVAL,"EX")=0),0))))</f>
      </c>
      <c r="H4877">
        <f>IF(DATOS!$G4877&lt;&gt;"EX",0,--(COUNTIFS(nNIA,DATOS!$A4877,nCURSO,DATOS!$D4877,nESPEC,DATOS!$E4877,nASIG,DATOS!$I4877,nEVAL,"OR")=0))</f>
      </c>
      <c r="I4877">
        <f>IF(DATOS!$I4877="","",IFERROR(VLOOKUP(DATOS!$I4877,CONFIG_ASIGNATURAS!$B$2:$J$91,9,FALSE()),""))</f>
      </c>
    </row>
    <row r="4878">
      <c r="F4878">
        <f>IF(DATOS!$A4878="","",DATOS!$A4878&amp;"|"&amp;DATOS!$D4878&amp;"|"&amp;DATOS!$E4878&amp;"|"&amp;DATOS!$I4878)</f>
      </c>
      <c r="G4878">
        <f>IF(DATOS!$A4878="",0,IF(CONFIG_METADATA!$B$4&lt;&gt;"OR+EX",--(DATOS!$G4878=CONFIG_METADATA!$B$4),IF(DATOS!$G4878="EX",1,IF(DATOS!$G4878="OR",--(COUNTIFS(nNIA,DATOS!$A4878,nCURSO,DATOS!$D4878,nESPEC,DATOS!$E4878,nASIG,DATOS!$I4878,nEVAL,"EX")=0),0))))</f>
      </c>
      <c r="H4878">
        <f>IF(DATOS!$G4878&lt;&gt;"EX",0,--(COUNTIFS(nNIA,DATOS!$A4878,nCURSO,DATOS!$D4878,nESPEC,DATOS!$E4878,nASIG,DATOS!$I4878,nEVAL,"OR")=0))</f>
      </c>
      <c r="I4878">
        <f>IF(DATOS!$I4878="","",IFERROR(VLOOKUP(DATOS!$I4878,CONFIG_ASIGNATURAS!$B$2:$J$91,9,FALSE()),""))</f>
      </c>
    </row>
    <row r="4879">
      <c r="F4879">
        <f>IF(DATOS!$A4879="","",DATOS!$A4879&amp;"|"&amp;DATOS!$D4879&amp;"|"&amp;DATOS!$E4879&amp;"|"&amp;DATOS!$I4879)</f>
      </c>
      <c r="G4879">
        <f>IF(DATOS!$A4879="",0,IF(CONFIG_METADATA!$B$4&lt;&gt;"OR+EX",--(DATOS!$G4879=CONFIG_METADATA!$B$4),IF(DATOS!$G4879="EX",1,IF(DATOS!$G4879="OR",--(COUNTIFS(nNIA,DATOS!$A4879,nCURSO,DATOS!$D4879,nESPEC,DATOS!$E4879,nASIG,DATOS!$I4879,nEVAL,"EX")=0),0))))</f>
      </c>
      <c r="H4879">
        <f>IF(DATOS!$G4879&lt;&gt;"EX",0,--(COUNTIFS(nNIA,DATOS!$A4879,nCURSO,DATOS!$D4879,nESPEC,DATOS!$E4879,nASIG,DATOS!$I4879,nEVAL,"OR")=0))</f>
      </c>
      <c r="I4879">
        <f>IF(DATOS!$I4879="","",IFERROR(VLOOKUP(DATOS!$I4879,CONFIG_ASIGNATURAS!$B$2:$J$91,9,FALSE()),""))</f>
      </c>
    </row>
    <row r="4880">
      <c r="F4880">
        <f>IF(DATOS!$A4880="","",DATOS!$A4880&amp;"|"&amp;DATOS!$D4880&amp;"|"&amp;DATOS!$E4880&amp;"|"&amp;DATOS!$I4880)</f>
      </c>
      <c r="G4880">
        <f>IF(DATOS!$A4880="",0,IF(CONFIG_METADATA!$B$4&lt;&gt;"OR+EX",--(DATOS!$G4880=CONFIG_METADATA!$B$4),IF(DATOS!$G4880="EX",1,IF(DATOS!$G4880="OR",--(COUNTIFS(nNIA,DATOS!$A4880,nCURSO,DATOS!$D4880,nESPEC,DATOS!$E4880,nASIG,DATOS!$I4880,nEVAL,"EX")=0),0))))</f>
      </c>
      <c r="H4880">
        <f>IF(DATOS!$G4880&lt;&gt;"EX",0,--(COUNTIFS(nNIA,DATOS!$A4880,nCURSO,DATOS!$D4880,nESPEC,DATOS!$E4880,nASIG,DATOS!$I4880,nEVAL,"OR")=0))</f>
      </c>
      <c r="I4880">
        <f>IF(DATOS!$I4880="","",IFERROR(VLOOKUP(DATOS!$I4880,CONFIG_ASIGNATURAS!$B$2:$J$91,9,FALSE()),""))</f>
      </c>
    </row>
    <row r="4881">
      <c r="F4881">
        <f>IF(DATOS!$A4881="","",DATOS!$A4881&amp;"|"&amp;DATOS!$D4881&amp;"|"&amp;DATOS!$E4881&amp;"|"&amp;DATOS!$I4881)</f>
      </c>
      <c r="G4881">
        <f>IF(DATOS!$A4881="",0,IF(CONFIG_METADATA!$B$4&lt;&gt;"OR+EX",--(DATOS!$G4881=CONFIG_METADATA!$B$4),IF(DATOS!$G4881="EX",1,IF(DATOS!$G4881="OR",--(COUNTIFS(nNIA,DATOS!$A4881,nCURSO,DATOS!$D4881,nESPEC,DATOS!$E4881,nASIG,DATOS!$I4881,nEVAL,"EX")=0),0))))</f>
      </c>
      <c r="H4881">
        <f>IF(DATOS!$G4881&lt;&gt;"EX",0,--(COUNTIFS(nNIA,DATOS!$A4881,nCURSO,DATOS!$D4881,nESPEC,DATOS!$E4881,nASIG,DATOS!$I4881,nEVAL,"OR")=0))</f>
      </c>
      <c r="I4881">
        <f>IF(DATOS!$I4881="","",IFERROR(VLOOKUP(DATOS!$I4881,CONFIG_ASIGNATURAS!$B$2:$J$91,9,FALSE()),""))</f>
      </c>
    </row>
    <row r="4882">
      <c r="F4882">
        <f>IF(DATOS!$A4882="","",DATOS!$A4882&amp;"|"&amp;DATOS!$D4882&amp;"|"&amp;DATOS!$E4882&amp;"|"&amp;DATOS!$I4882)</f>
      </c>
      <c r="G4882">
        <f>IF(DATOS!$A4882="",0,IF(CONFIG_METADATA!$B$4&lt;&gt;"OR+EX",--(DATOS!$G4882=CONFIG_METADATA!$B$4),IF(DATOS!$G4882="EX",1,IF(DATOS!$G4882="OR",--(COUNTIFS(nNIA,DATOS!$A4882,nCURSO,DATOS!$D4882,nESPEC,DATOS!$E4882,nASIG,DATOS!$I4882,nEVAL,"EX")=0),0))))</f>
      </c>
      <c r="H4882">
        <f>IF(DATOS!$G4882&lt;&gt;"EX",0,--(COUNTIFS(nNIA,DATOS!$A4882,nCURSO,DATOS!$D4882,nESPEC,DATOS!$E4882,nASIG,DATOS!$I4882,nEVAL,"OR")=0))</f>
      </c>
      <c r="I4882">
        <f>IF(DATOS!$I4882="","",IFERROR(VLOOKUP(DATOS!$I4882,CONFIG_ASIGNATURAS!$B$2:$J$91,9,FALSE()),""))</f>
      </c>
    </row>
    <row r="4883">
      <c r="F4883">
        <f>IF(DATOS!$A4883="","",DATOS!$A4883&amp;"|"&amp;DATOS!$D4883&amp;"|"&amp;DATOS!$E4883&amp;"|"&amp;DATOS!$I4883)</f>
      </c>
      <c r="G4883">
        <f>IF(DATOS!$A4883="",0,IF(CONFIG_METADATA!$B$4&lt;&gt;"OR+EX",--(DATOS!$G4883=CONFIG_METADATA!$B$4),IF(DATOS!$G4883="EX",1,IF(DATOS!$G4883="OR",--(COUNTIFS(nNIA,DATOS!$A4883,nCURSO,DATOS!$D4883,nESPEC,DATOS!$E4883,nASIG,DATOS!$I4883,nEVAL,"EX")=0),0))))</f>
      </c>
      <c r="H4883">
        <f>IF(DATOS!$G4883&lt;&gt;"EX",0,--(COUNTIFS(nNIA,DATOS!$A4883,nCURSO,DATOS!$D4883,nESPEC,DATOS!$E4883,nASIG,DATOS!$I4883,nEVAL,"OR")=0))</f>
      </c>
      <c r="I4883">
        <f>IF(DATOS!$I4883="","",IFERROR(VLOOKUP(DATOS!$I4883,CONFIG_ASIGNATURAS!$B$2:$J$91,9,FALSE()),""))</f>
      </c>
    </row>
    <row r="4884">
      <c r="F4884">
        <f>IF(DATOS!$A4884="","",DATOS!$A4884&amp;"|"&amp;DATOS!$D4884&amp;"|"&amp;DATOS!$E4884&amp;"|"&amp;DATOS!$I4884)</f>
      </c>
      <c r="G4884">
        <f>IF(DATOS!$A4884="",0,IF(CONFIG_METADATA!$B$4&lt;&gt;"OR+EX",--(DATOS!$G4884=CONFIG_METADATA!$B$4),IF(DATOS!$G4884="EX",1,IF(DATOS!$G4884="OR",--(COUNTIFS(nNIA,DATOS!$A4884,nCURSO,DATOS!$D4884,nESPEC,DATOS!$E4884,nASIG,DATOS!$I4884,nEVAL,"EX")=0),0))))</f>
      </c>
      <c r="H4884">
        <f>IF(DATOS!$G4884&lt;&gt;"EX",0,--(COUNTIFS(nNIA,DATOS!$A4884,nCURSO,DATOS!$D4884,nESPEC,DATOS!$E4884,nASIG,DATOS!$I4884,nEVAL,"OR")=0))</f>
      </c>
      <c r="I4884">
        <f>IF(DATOS!$I4884="","",IFERROR(VLOOKUP(DATOS!$I4884,CONFIG_ASIGNATURAS!$B$2:$J$91,9,FALSE()),""))</f>
      </c>
    </row>
    <row r="4885">
      <c r="F4885">
        <f>IF(DATOS!$A4885="","",DATOS!$A4885&amp;"|"&amp;DATOS!$D4885&amp;"|"&amp;DATOS!$E4885&amp;"|"&amp;DATOS!$I4885)</f>
      </c>
      <c r="G4885">
        <f>IF(DATOS!$A4885="",0,IF(CONFIG_METADATA!$B$4&lt;&gt;"OR+EX",--(DATOS!$G4885=CONFIG_METADATA!$B$4),IF(DATOS!$G4885="EX",1,IF(DATOS!$G4885="OR",--(COUNTIFS(nNIA,DATOS!$A4885,nCURSO,DATOS!$D4885,nESPEC,DATOS!$E4885,nASIG,DATOS!$I4885,nEVAL,"EX")=0),0))))</f>
      </c>
      <c r="H4885">
        <f>IF(DATOS!$G4885&lt;&gt;"EX",0,--(COUNTIFS(nNIA,DATOS!$A4885,nCURSO,DATOS!$D4885,nESPEC,DATOS!$E4885,nASIG,DATOS!$I4885,nEVAL,"OR")=0))</f>
      </c>
      <c r="I4885">
        <f>IF(DATOS!$I4885="","",IFERROR(VLOOKUP(DATOS!$I4885,CONFIG_ASIGNATURAS!$B$2:$J$91,9,FALSE()),""))</f>
      </c>
    </row>
    <row r="4886">
      <c r="F4886">
        <f>IF(DATOS!$A4886="","",DATOS!$A4886&amp;"|"&amp;DATOS!$D4886&amp;"|"&amp;DATOS!$E4886&amp;"|"&amp;DATOS!$I4886)</f>
      </c>
      <c r="G4886">
        <f>IF(DATOS!$A4886="",0,IF(CONFIG_METADATA!$B$4&lt;&gt;"OR+EX",--(DATOS!$G4886=CONFIG_METADATA!$B$4),IF(DATOS!$G4886="EX",1,IF(DATOS!$G4886="OR",--(COUNTIFS(nNIA,DATOS!$A4886,nCURSO,DATOS!$D4886,nESPEC,DATOS!$E4886,nASIG,DATOS!$I4886,nEVAL,"EX")=0),0))))</f>
      </c>
      <c r="H4886">
        <f>IF(DATOS!$G4886&lt;&gt;"EX",0,--(COUNTIFS(nNIA,DATOS!$A4886,nCURSO,DATOS!$D4886,nESPEC,DATOS!$E4886,nASIG,DATOS!$I4886,nEVAL,"OR")=0))</f>
      </c>
      <c r="I4886">
        <f>IF(DATOS!$I4886="","",IFERROR(VLOOKUP(DATOS!$I4886,CONFIG_ASIGNATURAS!$B$2:$J$91,9,FALSE()),""))</f>
      </c>
    </row>
    <row r="4887">
      <c r="F4887">
        <f>IF(DATOS!$A4887="","",DATOS!$A4887&amp;"|"&amp;DATOS!$D4887&amp;"|"&amp;DATOS!$E4887&amp;"|"&amp;DATOS!$I4887)</f>
      </c>
      <c r="G4887">
        <f>IF(DATOS!$A4887="",0,IF(CONFIG_METADATA!$B$4&lt;&gt;"OR+EX",--(DATOS!$G4887=CONFIG_METADATA!$B$4),IF(DATOS!$G4887="EX",1,IF(DATOS!$G4887="OR",--(COUNTIFS(nNIA,DATOS!$A4887,nCURSO,DATOS!$D4887,nESPEC,DATOS!$E4887,nASIG,DATOS!$I4887,nEVAL,"EX")=0),0))))</f>
      </c>
      <c r="H4887">
        <f>IF(DATOS!$G4887&lt;&gt;"EX",0,--(COUNTIFS(nNIA,DATOS!$A4887,nCURSO,DATOS!$D4887,nESPEC,DATOS!$E4887,nASIG,DATOS!$I4887,nEVAL,"OR")=0))</f>
      </c>
      <c r="I4887">
        <f>IF(DATOS!$I4887="","",IFERROR(VLOOKUP(DATOS!$I4887,CONFIG_ASIGNATURAS!$B$2:$J$91,9,FALSE()),""))</f>
      </c>
    </row>
    <row r="4888">
      <c r="F4888">
        <f>IF(DATOS!$A4888="","",DATOS!$A4888&amp;"|"&amp;DATOS!$D4888&amp;"|"&amp;DATOS!$E4888&amp;"|"&amp;DATOS!$I4888)</f>
      </c>
      <c r="G4888">
        <f>IF(DATOS!$A4888="",0,IF(CONFIG_METADATA!$B$4&lt;&gt;"OR+EX",--(DATOS!$G4888=CONFIG_METADATA!$B$4),IF(DATOS!$G4888="EX",1,IF(DATOS!$G4888="OR",--(COUNTIFS(nNIA,DATOS!$A4888,nCURSO,DATOS!$D4888,nESPEC,DATOS!$E4888,nASIG,DATOS!$I4888,nEVAL,"EX")=0),0))))</f>
      </c>
      <c r="H4888">
        <f>IF(DATOS!$G4888&lt;&gt;"EX",0,--(COUNTIFS(nNIA,DATOS!$A4888,nCURSO,DATOS!$D4888,nESPEC,DATOS!$E4888,nASIG,DATOS!$I4888,nEVAL,"OR")=0))</f>
      </c>
      <c r="I4888">
        <f>IF(DATOS!$I4888="","",IFERROR(VLOOKUP(DATOS!$I4888,CONFIG_ASIGNATURAS!$B$2:$J$91,9,FALSE()),""))</f>
      </c>
    </row>
    <row r="4889">
      <c r="F4889">
        <f>IF(DATOS!$A4889="","",DATOS!$A4889&amp;"|"&amp;DATOS!$D4889&amp;"|"&amp;DATOS!$E4889&amp;"|"&amp;DATOS!$I4889)</f>
      </c>
      <c r="G4889">
        <f>IF(DATOS!$A4889="",0,IF(CONFIG_METADATA!$B$4&lt;&gt;"OR+EX",--(DATOS!$G4889=CONFIG_METADATA!$B$4),IF(DATOS!$G4889="EX",1,IF(DATOS!$G4889="OR",--(COUNTIFS(nNIA,DATOS!$A4889,nCURSO,DATOS!$D4889,nESPEC,DATOS!$E4889,nASIG,DATOS!$I4889,nEVAL,"EX")=0),0))))</f>
      </c>
      <c r="H4889">
        <f>IF(DATOS!$G4889&lt;&gt;"EX",0,--(COUNTIFS(nNIA,DATOS!$A4889,nCURSO,DATOS!$D4889,nESPEC,DATOS!$E4889,nASIG,DATOS!$I4889,nEVAL,"OR")=0))</f>
      </c>
      <c r="I4889">
        <f>IF(DATOS!$I4889="","",IFERROR(VLOOKUP(DATOS!$I4889,CONFIG_ASIGNATURAS!$B$2:$J$91,9,FALSE()),""))</f>
      </c>
    </row>
    <row r="4890">
      <c r="F4890">
        <f>IF(DATOS!$A4890="","",DATOS!$A4890&amp;"|"&amp;DATOS!$D4890&amp;"|"&amp;DATOS!$E4890&amp;"|"&amp;DATOS!$I4890)</f>
      </c>
      <c r="G4890">
        <f>IF(DATOS!$A4890="",0,IF(CONFIG_METADATA!$B$4&lt;&gt;"OR+EX",--(DATOS!$G4890=CONFIG_METADATA!$B$4),IF(DATOS!$G4890="EX",1,IF(DATOS!$G4890="OR",--(COUNTIFS(nNIA,DATOS!$A4890,nCURSO,DATOS!$D4890,nESPEC,DATOS!$E4890,nASIG,DATOS!$I4890,nEVAL,"EX")=0),0))))</f>
      </c>
      <c r="H4890">
        <f>IF(DATOS!$G4890&lt;&gt;"EX",0,--(COUNTIFS(nNIA,DATOS!$A4890,nCURSO,DATOS!$D4890,nESPEC,DATOS!$E4890,nASIG,DATOS!$I4890,nEVAL,"OR")=0))</f>
      </c>
      <c r="I4890">
        <f>IF(DATOS!$I4890="","",IFERROR(VLOOKUP(DATOS!$I4890,CONFIG_ASIGNATURAS!$B$2:$J$91,9,FALSE()),""))</f>
      </c>
    </row>
    <row r="4891">
      <c r="F4891">
        <f>IF(DATOS!$A4891="","",DATOS!$A4891&amp;"|"&amp;DATOS!$D4891&amp;"|"&amp;DATOS!$E4891&amp;"|"&amp;DATOS!$I4891)</f>
      </c>
      <c r="G4891">
        <f>IF(DATOS!$A4891="",0,IF(CONFIG_METADATA!$B$4&lt;&gt;"OR+EX",--(DATOS!$G4891=CONFIG_METADATA!$B$4),IF(DATOS!$G4891="EX",1,IF(DATOS!$G4891="OR",--(COUNTIFS(nNIA,DATOS!$A4891,nCURSO,DATOS!$D4891,nESPEC,DATOS!$E4891,nASIG,DATOS!$I4891,nEVAL,"EX")=0),0))))</f>
      </c>
      <c r="H4891">
        <f>IF(DATOS!$G4891&lt;&gt;"EX",0,--(COUNTIFS(nNIA,DATOS!$A4891,nCURSO,DATOS!$D4891,nESPEC,DATOS!$E4891,nASIG,DATOS!$I4891,nEVAL,"OR")=0))</f>
      </c>
      <c r="I4891">
        <f>IF(DATOS!$I4891="","",IFERROR(VLOOKUP(DATOS!$I4891,CONFIG_ASIGNATURAS!$B$2:$J$91,9,FALSE()),""))</f>
      </c>
    </row>
    <row r="4892">
      <c r="F4892">
        <f>IF(DATOS!$A4892="","",DATOS!$A4892&amp;"|"&amp;DATOS!$D4892&amp;"|"&amp;DATOS!$E4892&amp;"|"&amp;DATOS!$I4892)</f>
      </c>
      <c r="G4892">
        <f>IF(DATOS!$A4892="",0,IF(CONFIG_METADATA!$B$4&lt;&gt;"OR+EX",--(DATOS!$G4892=CONFIG_METADATA!$B$4),IF(DATOS!$G4892="EX",1,IF(DATOS!$G4892="OR",--(COUNTIFS(nNIA,DATOS!$A4892,nCURSO,DATOS!$D4892,nESPEC,DATOS!$E4892,nASIG,DATOS!$I4892,nEVAL,"EX")=0),0))))</f>
      </c>
      <c r="H4892">
        <f>IF(DATOS!$G4892&lt;&gt;"EX",0,--(COUNTIFS(nNIA,DATOS!$A4892,nCURSO,DATOS!$D4892,nESPEC,DATOS!$E4892,nASIG,DATOS!$I4892,nEVAL,"OR")=0))</f>
      </c>
      <c r="I4892">
        <f>IF(DATOS!$I4892="","",IFERROR(VLOOKUP(DATOS!$I4892,CONFIG_ASIGNATURAS!$B$2:$J$91,9,FALSE()),""))</f>
      </c>
    </row>
    <row r="4893">
      <c r="F4893">
        <f>IF(DATOS!$A4893="","",DATOS!$A4893&amp;"|"&amp;DATOS!$D4893&amp;"|"&amp;DATOS!$E4893&amp;"|"&amp;DATOS!$I4893)</f>
      </c>
      <c r="G4893">
        <f>IF(DATOS!$A4893="",0,IF(CONFIG_METADATA!$B$4&lt;&gt;"OR+EX",--(DATOS!$G4893=CONFIG_METADATA!$B$4),IF(DATOS!$G4893="EX",1,IF(DATOS!$G4893="OR",--(COUNTIFS(nNIA,DATOS!$A4893,nCURSO,DATOS!$D4893,nESPEC,DATOS!$E4893,nASIG,DATOS!$I4893,nEVAL,"EX")=0),0))))</f>
      </c>
      <c r="H4893">
        <f>IF(DATOS!$G4893&lt;&gt;"EX",0,--(COUNTIFS(nNIA,DATOS!$A4893,nCURSO,DATOS!$D4893,nESPEC,DATOS!$E4893,nASIG,DATOS!$I4893,nEVAL,"OR")=0))</f>
      </c>
      <c r="I4893">
        <f>IF(DATOS!$I4893="","",IFERROR(VLOOKUP(DATOS!$I4893,CONFIG_ASIGNATURAS!$B$2:$J$91,9,FALSE()),""))</f>
      </c>
    </row>
    <row r="4894">
      <c r="F4894">
        <f>IF(DATOS!$A4894="","",DATOS!$A4894&amp;"|"&amp;DATOS!$D4894&amp;"|"&amp;DATOS!$E4894&amp;"|"&amp;DATOS!$I4894)</f>
      </c>
      <c r="G4894">
        <f>IF(DATOS!$A4894="",0,IF(CONFIG_METADATA!$B$4&lt;&gt;"OR+EX",--(DATOS!$G4894=CONFIG_METADATA!$B$4),IF(DATOS!$G4894="EX",1,IF(DATOS!$G4894="OR",--(COUNTIFS(nNIA,DATOS!$A4894,nCURSO,DATOS!$D4894,nESPEC,DATOS!$E4894,nASIG,DATOS!$I4894,nEVAL,"EX")=0),0))))</f>
      </c>
      <c r="H4894">
        <f>IF(DATOS!$G4894&lt;&gt;"EX",0,--(COUNTIFS(nNIA,DATOS!$A4894,nCURSO,DATOS!$D4894,nESPEC,DATOS!$E4894,nASIG,DATOS!$I4894,nEVAL,"OR")=0))</f>
      </c>
      <c r="I4894">
        <f>IF(DATOS!$I4894="","",IFERROR(VLOOKUP(DATOS!$I4894,CONFIG_ASIGNATURAS!$B$2:$J$91,9,FALSE()),""))</f>
      </c>
    </row>
    <row r="4895">
      <c r="F4895">
        <f>IF(DATOS!$A4895="","",DATOS!$A4895&amp;"|"&amp;DATOS!$D4895&amp;"|"&amp;DATOS!$E4895&amp;"|"&amp;DATOS!$I4895)</f>
      </c>
      <c r="G4895">
        <f>IF(DATOS!$A4895="",0,IF(CONFIG_METADATA!$B$4&lt;&gt;"OR+EX",--(DATOS!$G4895=CONFIG_METADATA!$B$4),IF(DATOS!$G4895="EX",1,IF(DATOS!$G4895="OR",--(COUNTIFS(nNIA,DATOS!$A4895,nCURSO,DATOS!$D4895,nESPEC,DATOS!$E4895,nASIG,DATOS!$I4895,nEVAL,"EX")=0),0))))</f>
      </c>
      <c r="H4895">
        <f>IF(DATOS!$G4895&lt;&gt;"EX",0,--(COUNTIFS(nNIA,DATOS!$A4895,nCURSO,DATOS!$D4895,nESPEC,DATOS!$E4895,nASIG,DATOS!$I4895,nEVAL,"OR")=0))</f>
      </c>
      <c r="I4895">
        <f>IF(DATOS!$I4895="","",IFERROR(VLOOKUP(DATOS!$I4895,CONFIG_ASIGNATURAS!$B$2:$J$91,9,FALSE()),""))</f>
      </c>
    </row>
    <row r="4896">
      <c r="F4896">
        <f>IF(DATOS!$A4896="","",DATOS!$A4896&amp;"|"&amp;DATOS!$D4896&amp;"|"&amp;DATOS!$E4896&amp;"|"&amp;DATOS!$I4896)</f>
      </c>
      <c r="G4896">
        <f>IF(DATOS!$A4896="",0,IF(CONFIG_METADATA!$B$4&lt;&gt;"OR+EX",--(DATOS!$G4896=CONFIG_METADATA!$B$4),IF(DATOS!$G4896="EX",1,IF(DATOS!$G4896="OR",--(COUNTIFS(nNIA,DATOS!$A4896,nCURSO,DATOS!$D4896,nESPEC,DATOS!$E4896,nASIG,DATOS!$I4896,nEVAL,"EX")=0),0))))</f>
      </c>
      <c r="H4896">
        <f>IF(DATOS!$G4896&lt;&gt;"EX",0,--(COUNTIFS(nNIA,DATOS!$A4896,nCURSO,DATOS!$D4896,nESPEC,DATOS!$E4896,nASIG,DATOS!$I4896,nEVAL,"OR")=0))</f>
      </c>
      <c r="I4896">
        <f>IF(DATOS!$I4896="","",IFERROR(VLOOKUP(DATOS!$I4896,CONFIG_ASIGNATURAS!$B$2:$J$91,9,FALSE()),""))</f>
      </c>
    </row>
    <row r="4897">
      <c r="F4897">
        <f>IF(DATOS!$A4897="","",DATOS!$A4897&amp;"|"&amp;DATOS!$D4897&amp;"|"&amp;DATOS!$E4897&amp;"|"&amp;DATOS!$I4897)</f>
      </c>
      <c r="G4897">
        <f>IF(DATOS!$A4897="",0,IF(CONFIG_METADATA!$B$4&lt;&gt;"OR+EX",--(DATOS!$G4897=CONFIG_METADATA!$B$4),IF(DATOS!$G4897="EX",1,IF(DATOS!$G4897="OR",--(COUNTIFS(nNIA,DATOS!$A4897,nCURSO,DATOS!$D4897,nESPEC,DATOS!$E4897,nASIG,DATOS!$I4897,nEVAL,"EX")=0),0))))</f>
      </c>
      <c r="H4897">
        <f>IF(DATOS!$G4897&lt;&gt;"EX",0,--(COUNTIFS(nNIA,DATOS!$A4897,nCURSO,DATOS!$D4897,nESPEC,DATOS!$E4897,nASIG,DATOS!$I4897,nEVAL,"OR")=0))</f>
      </c>
      <c r="I4897">
        <f>IF(DATOS!$I4897="","",IFERROR(VLOOKUP(DATOS!$I4897,CONFIG_ASIGNATURAS!$B$2:$J$91,9,FALSE()),""))</f>
      </c>
    </row>
    <row r="4898">
      <c r="F4898">
        <f>IF(DATOS!$A4898="","",DATOS!$A4898&amp;"|"&amp;DATOS!$D4898&amp;"|"&amp;DATOS!$E4898&amp;"|"&amp;DATOS!$I4898)</f>
      </c>
      <c r="G4898">
        <f>IF(DATOS!$A4898="",0,IF(CONFIG_METADATA!$B$4&lt;&gt;"OR+EX",--(DATOS!$G4898=CONFIG_METADATA!$B$4),IF(DATOS!$G4898="EX",1,IF(DATOS!$G4898="OR",--(COUNTIFS(nNIA,DATOS!$A4898,nCURSO,DATOS!$D4898,nESPEC,DATOS!$E4898,nASIG,DATOS!$I4898,nEVAL,"EX")=0),0))))</f>
      </c>
      <c r="H4898">
        <f>IF(DATOS!$G4898&lt;&gt;"EX",0,--(COUNTIFS(nNIA,DATOS!$A4898,nCURSO,DATOS!$D4898,nESPEC,DATOS!$E4898,nASIG,DATOS!$I4898,nEVAL,"OR")=0))</f>
      </c>
      <c r="I4898">
        <f>IF(DATOS!$I4898="","",IFERROR(VLOOKUP(DATOS!$I4898,CONFIG_ASIGNATURAS!$B$2:$J$91,9,FALSE()),""))</f>
      </c>
    </row>
    <row r="4899">
      <c r="F4899">
        <f>IF(DATOS!$A4899="","",DATOS!$A4899&amp;"|"&amp;DATOS!$D4899&amp;"|"&amp;DATOS!$E4899&amp;"|"&amp;DATOS!$I4899)</f>
      </c>
      <c r="G4899">
        <f>IF(DATOS!$A4899="",0,IF(CONFIG_METADATA!$B$4&lt;&gt;"OR+EX",--(DATOS!$G4899=CONFIG_METADATA!$B$4),IF(DATOS!$G4899="EX",1,IF(DATOS!$G4899="OR",--(COUNTIFS(nNIA,DATOS!$A4899,nCURSO,DATOS!$D4899,nESPEC,DATOS!$E4899,nASIG,DATOS!$I4899,nEVAL,"EX")=0),0))))</f>
      </c>
      <c r="H4899">
        <f>IF(DATOS!$G4899&lt;&gt;"EX",0,--(COUNTIFS(nNIA,DATOS!$A4899,nCURSO,DATOS!$D4899,nESPEC,DATOS!$E4899,nASIG,DATOS!$I4899,nEVAL,"OR")=0))</f>
      </c>
      <c r="I4899">
        <f>IF(DATOS!$I4899="","",IFERROR(VLOOKUP(DATOS!$I4899,CONFIG_ASIGNATURAS!$B$2:$J$91,9,FALSE()),""))</f>
      </c>
    </row>
    <row r="4900">
      <c r="F4900">
        <f>IF(DATOS!$A4900="","",DATOS!$A4900&amp;"|"&amp;DATOS!$D4900&amp;"|"&amp;DATOS!$E4900&amp;"|"&amp;DATOS!$I4900)</f>
      </c>
      <c r="G4900">
        <f>IF(DATOS!$A4900="",0,IF(CONFIG_METADATA!$B$4&lt;&gt;"OR+EX",--(DATOS!$G4900=CONFIG_METADATA!$B$4),IF(DATOS!$G4900="EX",1,IF(DATOS!$G4900="OR",--(COUNTIFS(nNIA,DATOS!$A4900,nCURSO,DATOS!$D4900,nESPEC,DATOS!$E4900,nASIG,DATOS!$I4900,nEVAL,"EX")=0),0))))</f>
      </c>
      <c r="H4900">
        <f>IF(DATOS!$G4900&lt;&gt;"EX",0,--(COUNTIFS(nNIA,DATOS!$A4900,nCURSO,DATOS!$D4900,nESPEC,DATOS!$E4900,nASIG,DATOS!$I4900,nEVAL,"OR")=0))</f>
      </c>
      <c r="I4900">
        <f>IF(DATOS!$I4900="","",IFERROR(VLOOKUP(DATOS!$I4900,CONFIG_ASIGNATURAS!$B$2:$J$91,9,FALSE()),""))</f>
      </c>
    </row>
    <row r="4901">
      <c r="F4901">
        <f>IF(DATOS!$A4901="","",DATOS!$A4901&amp;"|"&amp;DATOS!$D4901&amp;"|"&amp;DATOS!$E4901&amp;"|"&amp;DATOS!$I4901)</f>
      </c>
      <c r="G4901">
        <f>IF(DATOS!$A4901="",0,IF(CONFIG_METADATA!$B$4&lt;&gt;"OR+EX",--(DATOS!$G4901=CONFIG_METADATA!$B$4),IF(DATOS!$G4901="EX",1,IF(DATOS!$G4901="OR",--(COUNTIFS(nNIA,DATOS!$A4901,nCURSO,DATOS!$D4901,nESPEC,DATOS!$E4901,nASIG,DATOS!$I4901,nEVAL,"EX")=0),0))))</f>
      </c>
      <c r="H4901">
        <f>IF(DATOS!$G4901&lt;&gt;"EX",0,--(COUNTIFS(nNIA,DATOS!$A4901,nCURSO,DATOS!$D4901,nESPEC,DATOS!$E4901,nASIG,DATOS!$I4901,nEVAL,"OR")=0))</f>
      </c>
      <c r="I4901">
        <f>IF(DATOS!$I4901="","",IFERROR(VLOOKUP(DATOS!$I4901,CONFIG_ASIGNATURAS!$B$2:$J$91,9,FALSE()),""))</f>
      </c>
    </row>
    <row r="4902">
      <c r="F4902">
        <f>IF(DATOS!$A4902="","",DATOS!$A4902&amp;"|"&amp;DATOS!$D4902&amp;"|"&amp;DATOS!$E4902&amp;"|"&amp;DATOS!$I4902)</f>
      </c>
      <c r="G4902">
        <f>IF(DATOS!$A4902="",0,IF(CONFIG_METADATA!$B$4&lt;&gt;"OR+EX",--(DATOS!$G4902=CONFIG_METADATA!$B$4),IF(DATOS!$G4902="EX",1,IF(DATOS!$G4902="OR",--(COUNTIFS(nNIA,DATOS!$A4902,nCURSO,DATOS!$D4902,nESPEC,DATOS!$E4902,nASIG,DATOS!$I4902,nEVAL,"EX")=0),0))))</f>
      </c>
      <c r="H4902">
        <f>IF(DATOS!$G4902&lt;&gt;"EX",0,--(COUNTIFS(nNIA,DATOS!$A4902,nCURSO,DATOS!$D4902,nESPEC,DATOS!$E4902,nASIG,DATOS!$I4902,nEVAL,"OR")=0))</f>
      </c>
      <c r="I4902">
        <f>IF(DATOS!$I4902="","",IFERROR(VLOOKUP(DATOS!$I4902,CONFIG_ASIGNATURAS!$B$2:$J$91,9,FALSE()),""))</f>
      </c>
    </row>
    <row r="4903">
      <c r="F4903">
        <f>IF(DATOS!$A4903="","",DATOS!$A4903&amp;"|"&amp;DATOS!$D4903&amp;"|"&amp;DATOS!$E4903&amp;"|"&amp;DATOS!$I4903)</f>
      </c>
      <c r="G4903">
        <f>IF(DATOS!$A4903="",0,IF(CONFIG_METADATA!$B$4&lt;&gt;"OR+EX",--(DATOS!$G4903=CONFIG_METADATA!$B$4),IF(DATOS!$G4903="EX",1,IF(DATOS!$G4903="OR",--(COUNTIFS(nNIA,DATOS!$A4903,nCURSO,DATOS!$D4903,nESPEC,DATOS!$E4903,nASIG,DATOS!$I4903,nEVAL,"EX")=0),0))))</f>
      </c>
      <c r="H4903">
        <f>IF(DATOS!$G4903&lt;&gt;"EX",0,--(COUNTIFS(nNIA,DATOS!$A4903,nCURSO,DATOS!$D4903,nESPEC,DATOS!$E4903,nASIG,DATOS!$I4903,nEVAL,"OR")=0))</f>
      </c>
      <c r="I4903">
        <f>IF(DATOS!$I4903="","",IFERROR(VLOOKUP(DATOS!$I4903,CONFIG_ASIGNATURAS!$B$2:$J$91,9,FALSE()),""))</f>
      </c>
    </row>
    <row r="4904">
      <c r="F4904">
        <f>IF(DATOS!$A4904="","",DATOS!$A4904&amp;"|"&amp;DATOS!$D4904&amp;"|"&amp;DATOS!$E4904&amp;"|"&amp;DATOS!$I4904)</f>
      </c>
      <c r="G4904">
        <f>IF(DATOS!$A4904="",0,IF(CONFIG_METADATA!$B$4&lt;&gt;"OR+EX",--(DATOS!$G4904=CONFIG_METADATA!$B$4),IF(DATOS!$G4904="EX",1,IF(DATOS!$G4904="OR",--(COUNTIFS(nNIA,DATOS!$A4904,nCURSO,DATOS!$D4904,nESPEC,DATOS!$E4904,nASIG,DATOS!$I4904,nEVAL,"EX")=0),0))))</f>
      </c>
      <c r="H4904">
        <f>IF(DATOS!$G4904&lt;&gt;"EX",0,--(COUNTIFS(nNIA,DATOS!$A4904,nCURSO,DATOS!$D4904,nESPEC,DATOS!$E4904,nASIG,DATOS!$I4904,nEVAL,"OR")=0))</f>
      </c>
      <c r="I4904">
        <f>IF(DATOS!$I4904="","",IFERROR(VLOOKUP(DATOS!$I4904,CONFIG_ASIGNATURAS!$B$2:$J$91,9,FALSE()),""))</f>
      </c>
    </row>
    <row r="4905">
      <c r="F4905">
        <f>IF(DATOS!$A4905="","",DATOS!$A4905&amp;"|"&amp;DATOS!$D4905&amp;"|"&amp;DATOS!$E4905&amp;"|"&amp;DATOS!$I4905)</f>
      </c>
      <c r="G4905">
        <f>IF(DATOS!$A4905="",0,IF(CONFIG_METADATA!$B$4&lt;&gt;"OR+EX",--(DATOS!$G4905=CONFIG_METADATA!$B$4),IF(DATOS!$G4905="EX",1,IF(DATOS!$G4905="OR",--(COUNTIFS(nNIA,DATOS!$A4905,nCURSO,DATOS!$D4905,nESPEC,DATOS!$E4905,nASIG,DATOS!$I4905,nEVAL,"EX")=0),0))))</f>
      </c>
      <c r="H4905">
        <f>IF(DATOS!$G4905&lt;&gt;"EX",0,--(COUNTIFS(nNIA,DATOS!$A4905,nCURSO,DATOS!$D4905,nESPEC,DATOS!$E4905,nASIG,DATOS!$I4905,nEVAL,"OR")=0))</f>
      </c>
      <c r="I4905">
        <f>IF(DATOS!$I4905="","",IFERROR(VLOOKUP(DATOS!$I4905,CONFIG_ASIGNATURAS!$B$2:$J$91,9,FALSE()),""))</f>
      </c>
    </row>
    <row r="4906">
      <c r="F4906">
        <f>IF(DATOS!$A4906="","",DATOS!$A4906&amp;"|"&amp;DATOS!$D4906&amp;"|"&amp;DATOS!$E4906&amp;"|"&amp;DATOS!$I4906)</f>
      </c>
      <c r="G4906">
        <f>IF(DATOS!$A4906="",0,IF(CONFIG_METADATA!$B$4&lt;&gt;"OR+EX",--(DATOS!$G4906=CONFIG_METADATA!$B$4),IF(DATOS!$G4906="EX",1,IF(DATOS!$G4906="OR",--(COUNTIFS(nNIA,DATOS!$A4906,nCURSO,DATOS!$D4906,nESPEC,DATOS!$E4906,nASIG,DATOS!$I4906,nEVAL,"EX")=0),0))))</f>
      </c>
      <c r="H4906">
        <f>IF(DATOS!$G4906&lt;&gt;"EX",0,--(COUNTIFS(nNIA,DATOS!$A4906,nCURSO,DATOS!$D4906,nESPEC,DATOS!$E4906,nASIG,DATOS!$I4906,nEVAL,"OR")=0))</f>
      </c>
      <c r="I4906">
        <f>IF(DATOS!$I4906="","",IFERROR(VLOOKUP(DATOS!$I4906,CONFIG_ASIGNATURAS!$B$2:$J$91,9,FALSE()),""))</f>
      </c>
    </row>
    <row r="4907">
      <c r="F4907">
        <f>IF(DATOS!$A4907="","",DATOS!$A4907&amp;"|"&amp;DATOS!$D4907&amp;"|"&amp;DATOS!$E4907&amp;"|"&amp;DATOS!$I4907)</f>
      </c>
      <c r="G4907">
        <f>IF(DATOS!$A4907="",0,IF(CONFIG_METADATA!$B$4&lt;&gt;"OR+EX",--(DATOS!$G4907=CONFIG_METADATA!$B$4),IF(DATOS!$G4907="EX",1,IF(DATOS!$G4907="OR",--(COUNTIFS(nNIA,DATOS!$A4907,nCURSO,DATOS!$D4907,nESPEC,DATOS!$E4907,nASIG,DATOS!$I4907,nEVAL,"EX")=0),0))))</f>
      </c>
      <c r="H4907">
        <f>IF(DATOS!$G4907&lt;&gt;"EX",0,--(COUNTIFS(nNIA,DATOS!$A4907,nCURSO,DATOS!$D4907,nESPEC,DATOS!$E4907,nASIG,DATOS!$I4907,nEVAL,"OR")=0))</f>
      </c>
      <c r="I4907">
        <f>IF(DATOS!$I4907="","",IFERROR(VLOOKUP(DATOS!$I4907,CONFIG_ASIGNATURAS!$B$2:$J$91,9,FALSE()),""))</f>
      </c>
    </row>
    <row r="4908">
      <c r="F4908">
        <f>IF(DATOS!$A4908="","",DATOS!$A4908&amp;"|"&amp;DATOS!$D4908&amp;"|"&amp;DATOS!$E4908&amp;"|"&amp;DATOS!$I4908)</f>
      </c>
      <c r="G4908">
        <f>IF(DATOS!$A4908="",0,IF(CONFIG_METADATA!$B$4&lt;&gt;"OR+EX",--(DATOS!$G4908=CONFIG_METADATA!$B$4),IF(DATOS!$G4908="EX",1,IF(DATOS!$G4908="OR",--(COUNTIFS(nNIA,DATOS!$A4908,nCURSO,DATOS!$D4908,nESPEC,DATOS!$E4908,nASIG,DATOS!$I4908,nEVAL,"EX")=0),0))))</f>
      </c>
      <c r="H4908">
        <f>IF(DATOS!$G4908&lt;&gt;"EX",0,--(COUNTIFS(nNIA,DATOS!$A4908,nCURSO,DATOS!$D4908,nESPEC,DATOS!$E4908,nASIG,DATOS!$I4908,nEVAL,"OR")=0))</f>
      </c>
      <c r="I4908">
        <f>IF(DATOS!$I4908="","",IFERROR(VLOOKUP(DATOS!$I4908,CONFIG_ASIGNATURAS!$B$2:$J$91,9,FALSE()),""))</f>
      </c>
    </row>
    <row r="4909">
      <c r="F4909">
        <f>IF(DATOS!$A4909="","",DATOS!$A4909&amp;"|"&amp;DATOS!$D4909&amp;"|"&amp;DATOS!$E4909&amp;"|"&amp;DATOS!$I4909)</f>
      </c>
      <c r="G4909">
        <f>IF(DATOS!$A4909="",0,IF(CONFIG_METADATA!$B$4&lt;&gt;"OR+EX",--(DATOS!$G4909=CONFIG_METADATA!$B$4),IF(DATOS!$G4909="EX",1,IF(DATOS!$G4909="OR",--(COUNTIFS(nNIA,DATOS!$A4909,nCURSO,DATOS!$D4909,nESPEC,DATOS!$E4909,nASIG,DATOS!$I4909,nEVAL,"EX")=0),0))))</f>
      </c>
      <c r="H4909">
        <f>IF(DATOS!$G4909&lt;&gt;"EX",0,--(COUNTIFS(nNIA,DATOS!$A4909,nCURSO,DATOS!$D4909,nESPEC,DATOS!$E4909,nASIG,DATOS!$I4909,nEVAL,"OR")=0))</f>
      </c>
      <c r="I4909">
        <f>IF(DATOS!$I4909="","",IFERROR(VLOOKUP(DATOS!$I4909,CONFIG_ASIGNATURAS!$B$2:$J$91,9,FALSE()),""))</f>
      </c>
    </row>
    <row r="4910">
      <c r="F4910">
        <f>IF(DATOS!$A4910="","",DATOS!$A4910&amp;"|"&amp;DATOS!$D4910&amp;"|"&amp;DATOS!$E4910&amp;"|"&amp;DATOS!$I4910)</f>
      </c>
      <c r="G4910">
        <f>IF(DATOS!$A4910="",0,IF(CONFIG_METADATA!$B$4&lt;&gt;"OR+EX",--(DATOS!$G4910=CONFIG_METADATA!$B$4),IF(DATOS!$G4910="EX",1,IF(DATOS!$G4910="OR",--(COUNTIFS(nNIA,DATOS!$A4910,nCURSO,DATOS!$D4910,nESPEC,DATOS!$E4910,nASIG,DATOS!$I4910,nEVAL,"EX")=0),0))))</f>
      </c>
      <c r="H4910">
        <f>IF(DATOS!$G4910&lt;&gt;"EX",0,--(COUNTIFS(nNIA,DATOS!$A4910,nCURSO,DATOS!$D4910,nESPEC,DATOS!$E4910,nASIG,DATOS!$I4910,nEVAL,"OR")=0))</f>
      </c>
      <c r="I4910">
        <f>IF(DATOS!$I4910="","",IFERROR(VLOOKUP(DATOS!$I4910,CONFIG_ASIGNATURAS!$B$2:$J$91,9,FALSE()),""))</f>
      </c>
    </row>
    <row r="4911">
      <c r="F4911">
        <f>IF(DATOS!$A4911="","",DATOS!$A4911&amp;"|"&amp;DATOS!$D4911&amp;"|"&amp;DATOS!$E4911&amp;"|"&amp;DATOS!$I4911)</f>
      </c>
      <c r="G4911">
        <f>IF(DATOS!$A4911="",0,IF(CONFIG_METADATA!$B$4&lt;&gt;"OR+EX",--(DATOS!$G4911=CONFIG_METADATA!$B$4),IF(DATOS!$G4911="EX",1,IF(DATOS!$G4911="OR",--(COUNTIFS(nNIA,DATOS!$A4911,nCURSO,DATOS!$D4911,nESPEC,DATOS!$E4911,nASIG,DATOS!$I4911,nEVAL,"EX")=0),0))))</f>
      </c>
      <c r="H4911">
        <f>IF(DATOS!$G4911&lt;&gt;"EX",0,--(COUNTIFS(nNIA,DATOS!$A4911,nCURSO,DATOS!$D4911,nESPEC,DATOS!$E4911,nASIG,DATOS!$I4911,nEVAL,"OR")=0))</f>
      </c>
      <c r="I4911">
        <f>IF(DATOS!$I4911="","",IFERROR(VLOOKUP(DATOS!$I4911,CONFIG_ASIGNATURAS!$B$2:$J$91,9,FALSE()),""))</f>
      </c>
    </row>
    <row r="4912">
      <c r="F4912">
        <f>IF(DATOS!$A4912="","",DATOS!$A4912&amp;"|"&amp;DATOS!$D4912&amp;"|"&amp;DATOS!$E4912&amp;"|"&amp;DATOS!$I4912)</f>
      </c>
      <c r="G4912">
        <f>IF(DATOS!$A4912="",0,IF(CONFIG_METADATA!$B$4&lt;&gt;"OR+EX",--(DATOS!$G4912=CONFIG_METADATA!$B$4),IF(DATOS!$G4912="EX",1,IF(DATOS!$G4912="OR",--(COUNTIFS(nNIA,DATOS!$A4912,nCURSO,DATOS!$D4912,nESPEC,DATOS!$E4912,nASIG,DATOS!$I4912,nEVAL,"EX")=0),0))))</f>
      </c>
      <c r="H4912">
        <f>IF(DATOS!$G4912&lt;&gt;"EX",0,--(COUNTIFS(nNIA,DATOS!$A4912,nCURSO,DATOS!$D4912,nESPEC,DATOS!$E4912,nASIG,DATOS!$I4912,nEVAL,"OR")=0))</f>
      </c>
      <c r="I4912">
        <f>IF(DATOS!$I4912="","",IFERROR(VLOOKUP(DATOS!$I4912,CONFIG_ASIGNATURAS!$B$2:$J$91,9,FALSE()),""))</f>
      </c>
    </row>
    <row r="4913">
      <c r="F4913">
        <f>IF(DATOS!$A4913="","",DATOS!$A4913&amp;"|"&amp;DATOS!$D4913&amp;"|"&amp;DATOS!$E4913&amp;"|"&amp;DATOS!$I4913)</f>
      </c>
      <c r="G4913">
        <f>IF(DATOS!$A4913="",0,IF(CONFIG_METADATA!$B$4&lt;&gt;"OR+EX",--(DATOS!$G4913=CONFIG_METADATA!$B$4),IF(DATOS!$G4913="EX",1,IF(DATOS!$G4913="OR",--(COUNTIFS(nNIA,DATOS!$A4913,nCURSO,DATOS!$D4913,nESPEC,DATOS!$E4913,nASIG,DATOS!$I4913,nEVAL,"EX")=0),0))))</f>
      </c>
      <c r="H4913">
        <f>IF(DATOS!$G4913&lt;&gt;"EX",0,--(COUNTIFS(nNIA,DATOS!$A4913,nCURSO,DATOS!$D4913,nESPEC,DATOS!$E4913,nASIG,DATOS!$I4913,nEVAL,"OR")=0))</f>
      </c>
      <c r="I4913">
        <f>IF(DATOS!$I4913="","",IFERROR(VLOOKUP(DATOS!$I4913,CONFIG_ASIGNATURAS!$B$2:$J$91,9,FALSE()),""))</f>
      </c>
    </row>
    <row r="4914">
      <c r="F4914">
        <f>IF(DATOS!$A4914="","",DATOS!$A4914&amp;"|"&amp;DATOS!$D4914&amp;"|"&amp;DATOS!$E4914&amp;"|"&amp;DATOS!$I4914)</f>
      </c>
      <c r="G4914">
        <f>IF(DATOS!$A4914="",0,IF(CONFIG_METADATA!$B$4&lt;&gt;"OR+EX",--(DATOS!$G4914=CONFIG_METADATA!$B$4),IF(DATOS!$G4914="EX",1,IF(DATOS!$G4914="OR",--(COUNTIFS(nNIA,DATOS!$A4914,nCURSO,DATOS!$D4914,nESPEC,DATOS!$E4914,nASIG,DATOS!$I4914,nEVAL,"EX")=0),0))))</f>
      </c>
      <c r="H4914">
        <f>IF(DATOS!$G4914&lt;&gt;"EX",0,--(COUNTIFS(nNIA,DATOS!$A4914,nCURSO,DATOS!$D4914,nESPEC,DATOS!$E4914,nASIG,DATOS!$I4914,nEVAL,"OR")=0))</f>
      </c>
      <c r="I4914">
        <f>IF(DATOS!$I4914="","",IFERROR(VLOOKUP(DATOS!$I4914,CONFIG_ASIGNATURAS!$B$2:$J$91,9,FALSE()),""))</f>
      </c>
    </row>
    <row r="4915">
      <c r="F4915">
        <f>IF(DATOS!$A4915="","",DATOS!$A4915&amp;"|"&amp;DATOS!$D4915&amp;"|"&amp;DATOS!$E4915&amp;"|"&amp;DATOS!$I4915)</f>
      </c>
      <c r="G4915">
        <f>IF(DATOS!$A4915="",0,IF(CONFIG_METADATA!$B$4&lt;&gt;"OR+EX",--(DATOS!$G4915=CONFIG_METADATA!$B$4),IF(DATOS!$G4915="EX",1,IF(DATOS!$G4915="OR",--(COUNTIFS(nNIA,DATOS!$A4915,nCURSO,DATOS!$D4915,nESPEC,DATOS!$E4915,nASIG,DATOS!$I4915,nEVAL,"EX")=0),0))))</f>
      </c>
      <c r="H4915">
        <f>IF(DATOS!$G4915&lt;&gt;"EX",0,--(COUNTIFS(nNIA,DATOS!$A4915,nCURSO,DATOS!$D4915,nESPEC,DATOS!$E4915,nASIG,DATOS!$I4915,nEVAL,"OR")=0))</f>
      </c>
      <c r="I4915">
        <f>IF(DATOS!$I4915="","",IFERROR(VLOOKUP(DATOS!$I4915,CONFIG_ASIGNATURAS!$B$2:$J$91,9,FALSE()),""))</f>
      </c>
    </row>
    <row r="4916">
      <c r="F4916">
        <f>IF(DATOS!$A4916="","",DATOS!$A4916&amp;"|"&amp;DATOS!$D4916&amp;"|"&amp;DATOS!$E4916&amp;"|"&amp;DATOS!$I4916)</f>
      </c>
      <c r="G4916">
        <f>IF(DATOS!$A4916="",0,IF(CONFIG_METADATA!$B$4&lt;&gt;"OR+EX",--(DATOS!$G4916=CONFIG_METADATA!$B$4),IF(DATOS!$G4916="EX",1,IF(DATOS!$G4916="OR",--(COUNTIFS(nNIA,DATOS!$A4916,nCURSO,DATOS!$D4916,nESPEC,DATOS!$E4916,nASIG,DATOS!$I4916,nEVAL,"EX")=0),0))))</f>
      </c>
      <c r="H4916">
        <f>IF(DATOS!$G4916&lt;&gt;"EX",0,--(COUNTIFS(nNIA,DATOS!$A4916,nCURSO,DATOS!$D4916,nESPEC,DATOS!$E4916,nASIG,DATOS!$I4916,nEVAL,"OR")=0))</f>
      </c>
      <c r="I4916">
        <f>IF(DATOS!$I4916="","",IFERROR(VLOOKUP(DATOS!$I4916,CONFIG_ASIGNATURAS!$B$2:$J$91,9,FALSE()),""))</f>
      </c>
    </row>
    <row r="4917">
      <c r="F4917">
        <f>IF(DATOS!$A4917="","",DATOS!$A4917&amp;"|"&amp;DATOS!$D4917&amp;"|"&amp;DATOS!$E4917&amp;"|"&amp;DATOS!$I4917)</f>
      </c>
      <c r="G4917">
        <f>IF(DATOS!$A4917="",0,IF(CONFIG_METADATA!$B$4&lt;&gt;"OR+EX",--(DATOS!$G4917=CONFIG_METADATA!$B$4),IF(DATOS!$G4917="EX",1,IF(DATOS!$G4917="OR",--(COUNTIFS(nNIA,DATOS!$A4917,nCURSO,DATOS!$D4917,nESPEC,DATOS!$E4917,nASIG,DATOS!$I4917,nEVAL,"EX")=0),0))))</f>
      </c>
      <c r="H4917">
        <f>IF(DATOS!$G4917&lt;&gt;"EX",0,--(COUNTIFS(nNIA,DATOS!$A4917,nCURSO,DATOS!$D4917,nESPEC,DATOS!$E4917,nASIG,DATOS!$I4917,nEVAL,"OR")=0))</f>
      </c>
      <c r="I4917">
        <f>IF(DATOS!$I4917="","",IFERROR(VLOOKUP(DATOS!$I4917,CONFIG_ASIGNATURAS!$B$2:$J$91,9,FALSE()),""))</f>
      </c>
    </row>
    <row r="4918">
      <c r="F4918">
        <f>IF(DATOS!$A4918="","",DATOS!$A4918&amp;"|"&amp;DATOS!$D4918&amp;"|"&amp;DATOS!$E4918&amp;"|"&amp;DATOS!$I4918)</f>
      </c>
      <c r="G4918">
        <f>IF(DATOS!$A4918="",0,IF(CONFIG_METADATA!$B$4&lt;&gt;"OR+EX",--(DATOS!$G4918=CONFIG_METADATA!$B$4),IF(DATOS!$G4918="EX",1,IF(DATOS!$G4918="OR",--(COUNTIFS(nNIA,DATOS!$A4918,nCURSO,DATOS!$D4918,nESPEC,DATOS!$E4918,nASIG,DATOS!$I4918,nEVAL,"EX")=0),0))))</f>
      </c>
      <c r="H4918">
        <f>IF(DATOS!$G4918&lt;&gt;"EX",0,--(COUNTIFS(nNIA,DATOS!$A4918,nCURSO,DATOS!$D4918,nESPEC,DATOS!$E4918,nASIG,DATOS!$I4918,nEVAL,"OR")=0))</f>
      </c>
      <c r="I4918">
        <f>IF(DATOS!$I4918="","",IFERROR(VLOOKUP(DATOS!$I4918,CONFIG_ASIGNATURAS!$B$2:$J$91,9,FALSE()),""))</f>
      </c>
    </row>
    <row r="4919">
      <c r="F4919">
        <f>IF(DATOS!$A4919="","",DATOS!$A4919&amp;"|"&amp;DATOS!$D4919&amp;"|"&amp;DATOS!$E4919&amp;"|"&amp;DATOS!$I4919)</f>
      </c>
      <c r="G4919">
        <f>IF(DATOS!$A4919="",0,IF(CONFIG_METADATA!$B$4&lt;&gt;"OR+EX",--(DATOS!$G4919=CONFIG_METADATA!$B$4),IF(DATOS!$G4919="EX",1,IF(DATOS!$G4919="OR",--(COUNTIFS(nNIA,DATOS!$A4919,nCURSO,DATOS!$D4919,nESPEC,DATOS!$E4919,nASIG,DATOS!$I4919,nEVAL,"EX")=0),0))))</f>
      </c>
      <c r="H4919">
        <f>IF(DATOS!$G4919&lt;&gt;"EX",0,--(COUNTIFS(nNIA,DATOS!$A4919,nCURSO,DATOS!$D4919,nESPEC,DATOS!$E4919,nASIG,DATOS!$I4919,nEVAL,"OR")=0))</f>
      </c>
      <c r="I4919">
        <f>IF(DATOS!$I4919="","",IFERROR(VLOOKUP(DATOS!$I4919,CONFIG_ASIGNATURAS!$B$2:$J$91,9,FALSE()),""))</f>
      </c>
    </row>
    <row r="4920">
      <c r="F4920">
        <f>IF(DATOS!$A4920="","",DATOS!$A4920&amp;"|"&amp;DATOS!$D4920&amp;"|"&amp;DATOS!$E4920&amp;"|"&amp;DATOS!$I4920)</f>
      </c>
      <c r="G4920">
        <f>IF(DATOS!$A4920="",0,IF(CONFIG_METADATA!$B$4&lt;&gt;"OR+EX",--(DATOS!$G4920=CONFIG_METADATA!$B$4),IF(DATOS!$G4920="EX",1,IF(DATOS!$G4920="OR",--(COUNTIFS(nNIA,DATOS!$A4920,nCURSO,DATOS!$D4920,nESPEC,DATOS!$E4920,nASIG,DATOS!$I4920,nEVAL,"EX")=0),0))))</f>
      </c>
      <c r="H4920">
        <f>IF(DATOS!$G4920&lt;&gt;"EX",0,--(COUNTIFS(nNIA,DATOS!$A4920,nCURSO,DATOS!$D4920,nESPEC,DATOS!$E4920,nASIG,DATOS!$I4920,nEVAL,"OR")=0))</f>
      </c>
      <c r="I4920">
        <f>IF(DATOS!$I4920="","",IFERROR(VLOOKUP(DATOS!$I4920,CONFIG_ASIGNATURAS!$B$2:$J$91,9,FALSE()),""))</f>
      </c>
    </row>
    <row r="4921">
      <c r="F4921">
        <f>IF(DATOS!$A4921="","",DATOS!$A4921&amp;"|"&amp;DATOS!$D4921&amp;"|"&amp;DATOS!$E4921&amp;"|"&amp;DATOS!$I4921)</f>
      </c>
      <c r="G4921">
        <f>IF(DATOS!$A4921="",0,IF(CONFIG_METADATA!$B$4&lt;&gt;"OR+EX",--(DATOS!$G4921=CONFIG_METADATA!$B$4),IF(DATOS!$G4921="EX",1,IF(DATOS!$G4921="OR",--(COUNTIFS(nNIA,DATOS!$A4921,nCURSO,DATOS!$D4921,nESPEC,DATOS!$E4921,nASIG,DATOS!$I4921,nEVAL,"EX")=0),0))))</f>
      </c>
      <c r="H4921">
        <f>IF(DATOS!$G4921&lt;&gt;"EX",0,--(COUNTIFS(nNIA,DATOS!$A4921,nCURSO,DATOS!$D4921,nESPEC,DATOS!$E4921,nASIG,DATOS!$I4921,nEVAL,"OR")=0))</f>
      </c>
      <c r="I4921">
        <f>IF(DATOS!$I4921="","",IFERROR(VLOOKUP(DATOS!$I4921,CONFIG_ASIGNATURAS!$B$2:$J$91,9,FALSE()),""))</f>
      </c>
    </row>
    <row r="4922">
      <c r="F4922">
        <f>IF(DATOS!$A4922="","",DATOS!$A4922&amp;"|"&amp;DATOS!$D4922&amp;"|"&amp;DATOS!$E4922&amp;"|"&amp;DATOS!$I4922)</f>
      </c>
      <c r="G4922">
        <f>IF(DATOS!$A4922="",0,IF(CONFIG_METADATA!$B$4&lt;&gt;"OR+EX",--(DATOS!$G4922=CONFIG_METADATA!$B$4),IF(DATOS!$G4922="EX",1,IF(DATOS!$G4922="OR",--(COUNTIFS(nNIA,DATOS!$A4922,nCURSO,DATOS!$D4922,nESPEC,DATOS!$E4922,nASIG,DATOS!$I4922,nEVAL,"EX")=0),0))))</f>
      </c>
      <c r="H4922">
        <f>IF(DATOS!$G4922&lt;&gt;"EX",0,--(COUNTIFS(nNIA,DATOS!$A4922,nCURSO,DATOS!$D4922,nESPEC,DATOS!$E4922,nASIG,DATOS!$I4922,nEVAL,"OR")=0))</f>
      </c>
      <c r="I4922">
        <f>IF(DATOS!$I4922="","",IFERROR(VLOOKUP(DATOS!$I4922,CONFIG_ASIGNATURAS!$B$2:$J$91,9,FALSE()),""))</f>
      </c>
    </row>
    <row r="4923">
      <c r="F4923">
        <f>IF(DATOS!$A4923="","",DATOS!$A4923&amp;"|"&amp;DATOS!$D4923&amp;"|"&amp;DATOS!$E4923&amp;"|"&amp;DATOS!$I4923)</f>
      </c>
      <c r="G4923">
        <f>IF(DATOS!$A4923="",0,IF(CONFIG_METADATA!$B$4&lt;&gt;"OR+EX",--(DATOS!$G4923=CONFIG_METADATA!$B$4),IF(DATOS!$G4923="EX",1,IF(DATOS!$G4923="OR",--(COUNTIFS(nNIA,DATOS!$A4923,nCURSO,DATOS!$D4923,nESPEC,DATOS!$E4923,nASIG,DATOS!$I4923,nEVAL,"EX")=0),0))))</f>
      </c>
      <c r="H4923">
        <f>IF(DATOS!$G4923&lt;&gt;"EX",0,--(COUNTIFS(nNIA,DATOS!$A4923,nCURSO,DATOS!$D4923,nESPEC,DATOS!$E4923,nASIG,DATOS!$I4923,nEVAL,"OR")=0))</f>
      </c>
      <c r="I4923">
        <f>IF(DATOS!$I4923="","",IFERROR(VLOOKUP(DATOS!$I4923,CONFIG_ASIGNATURAS!$B$2:$J$91,9,FALSE()),""))</f>
      </c>
    </row>
    <row r="4924">
      <c r="F4924">
        <f>IF(DATOS!$A4924="","",DATOS!$A4924&amp;"|"&amp;DATOS!$D4924&amp;"|"&amp;DATOS!$E4924&amp;"|"&amp;DATOS!$I4924)</f>
      </c>
      <c r="G4924">
        <f>IF(DATOS!$A4924="",0,IF(CONFIG_METADATA!$B$4&lt;&gt;"OR+EX",--(DATOS!$G4924=CONFIG_METADATA!$B$4),IF(DATOS!$G4924="EX",1,IF(DATOS!$G4924="OR",--(COUNTIFS(nNIA,DATOS!$A4924,nCURSO,DATOS!$D4924,nESPEC,DATOS!$E4924,nASIG,DATOS!$I4924,nEVAL,"EX")=0),0))))</f>
      </c>
      <c r="H4924">
        <f>IF(DATOS!$G4924&lt;&gt;"EX",0,--(COUNTIFS(nNIA,DATOS!$A4924,nCURSO,DATOS!$D4924,nESPEC,DATOS!$E4924,nASIG,DATOS!$I4924,nEVAL,"OR")=0))</f>
      </c>
      <c r="I4924">
        <f>IF(DATOS!$I4924="","",IFERROR(VLOOKUP(DATOS!$I4924,CONFIG_ASIGNATURAS!$B$2:$J$91,9,FALSE()),""))</f>
      </c>
    </row>
    <row r="4925">
      <c r="F4925">
        <f>IF(DATOS!$A4925="","",DATOS!$A4925&amp;"|"&amp;DATOS!$D4925&amp;"|"&amp;DATOS!$E4925&amp;"|"&amp;DATOS!$I4925)</f>
      </c>
      <c r="G4925">
        <f>IF(DATOS!$A4925="",0,IF(CONFIG_METADATA!$B$4&lt;&gt;"OR+EX",--(DATOS!$G4925=CONFIG_METADATA!$B$4),IF(DATOS!$G4925="EX",1,IF(DATOS!$G4925="OR",--(COUNTIFS(nNIA,DATOS!$A4925,nCURSO,DATOS!$D4925,nESPEC,DATOS!$E4925,nASIG,DATOS!$I4925,nEVAL,"EX")=0),0))))</f>
      </c>
      <c r="H4925">
        <f>IF(DATOS!$G4925&lt;&gt;"EX",0,--(COUNTIFS(nNIA,DATOS!$A4925,nCURSO,DATOS!$D4925,nESPEC,DATOS!$E4925,nASIG,DATOS!$I4925,nEVAL,"OR")=0))</f>
      </c>
      <c r="I4925">
        <f>IF(DATOS!$I4925="","",IFERROR(VLOOKUP(DATOS!$I4925,CONFIG_ASIGNATURAS!$B$2:$J$91,9,FALSE()),""))</f>
      </c>
    </row>
    <row r="4926">
      <c r="F4926">
        <f>IF(DATOS!$A4926="","",DATOS!$A4926&amp;"|"&amp;DATOS!$D4926&amp;"|"&amp;DATOS!$E4926&amp;"|"&amp;DATOS!$I4926)</f>
      </c>
      <c r="G4926">
        <f>IF(DATOS!$A4926="",0,IF(CONFIG_METADATA!$B$4&lt;&gt;"OR+EX",--(DATOS!$G4926=CONFIG_METADATA!$B$4),IF(DATOS!$G4926="EX",1,IF(DATOS!$G4926="OR",--(COUNTIFS(nNIA,DATOS!$A4926,nCURSO,DATOS!$D4926,nESPEC,DATOS!$E4926,nASIG,DATOS!$I4926,nEVAL,"EX")=0),0))))</f>
      </c>
      <c r="H4926">
        <f>IF(DATOS!$G4926&lt;&gt;"EX",0,--(COUNTIFS(nNIA,DATOS!$A4926,nCURSO,DATOS!$D4926,nESPEC,DATOS!$E4926,nASIG,DATOS!$I4926,nEVAL,"OR")=0))</f>
      </c>
      <c r="I4926">
        <f>IF(DATOS!$I4926="","",IFERROR(VLOOKUP(DATOS!$I4926,CONFIG_ASIGNATURAS!$B$2:$J$91,9,FALSE()),""))</f>
      </c>
    </row>
    <row r="4927">
      <c r="F4927">
        <f>IF(DATOS!$A4927="","",DATOS!$A4927&amp;"|"&amp;DATOS!$D4927&amp;"|"&amp;DATOS!$E4927&amp;"|"&amp;DATOS!$I4927)</f>
      </c>
      <c r="G4927">
        <f>IF(DATOS!$A4927="",0,IF(CONFIG_METADATA!$B$4&lt;&gt;"OR+EX",--(DATOS!$G4927=CONFIG_METADATA!$B$4),IF(DATOS!$G4927="EX",1,IF(DATOS!$G4927="OR",--(COUNTIFS(nNIA,DATOS!$A4927,nCURSO,DATOS!$D4927,nESPEC,DATOS!$E4927,nASIG,DATOS!$I4927,nEVAL,"EX")=0),0))))</f>
      </c>
      <c r="H4927">
        <f>IF(DATOS!$G4927&lt;&gt;"EX",0,--(COUNTIFS(nNIA,DATOS!$A4927,nCURSO,DATOS!$D4927,nESPEC,DATOS!$E4927,nASIG,DATOS!$I4927,nEVAL,"OR")=0))</f>
      </c>
      <c r="I4927">
        <f>IF(DATOS!$I4927="","",IFERROR(VLOOKUP(DATOS!$I4927,CONFIG_ASIGNATURAS!$B$2:$J$91,9,FALSE()),""))</f>
      </c>
    </row>
    <row r="4928">
      <c r="F4928">
        <f>IF(DATOS!$A4928="","",DATOS!$A4928&amp;"|"&amp;DATOS!$D4928&amp;"|"&amp;DATOS!$E4928&amp;"|"&amp;DATOS!$I4928)</f>
      </c>
      <c r="G4928">
        <f>IF(DATOS!$A4928="",0,IF(CONFIG_METADATA!$B$4&lt;&gt;"OR+EX",--(DATOS!$G4928=CONFIG_METADATA!$B$4),IF(DATOS!$G4928="EX",1,IF(DATOS!$G4928="OR",--(COUNTIFS(nNIA,DATOS!$A4928,nCURSO,DATOS!$D4928,nESPEC,DATOS!$E4928,nASIG,DATOS!$I4928,nEVAL,"EX")=0),0))))</f>
      </c>
      <c r="H4928">
        <f>IF(DATOS!$G4928&lt;&gt;"EX",0,--(COUNTIFS(nNIA,DATOS!$A4928,nCURSO,DATOS!$D4928,nESPEC,DATOS!$E4928,nASIG,DATOS!$I4928,nEVAL,"OR")=0))</f>
      </c>
      <c r="I4928">
        <f>IF(DATOS!$I4928="","",IFERROR(VLOOKUP(DATOS!$I4928,CONFIG_ASIGNATURAS!$B$2:$J$91,9,FALSE()),""))</f>
      </c>
    </row>
    <row r="4929">
      <c r="F4929">
        <f>IF(DATOS!$A4929="","",DATOS!$A4929&amp;"|"&amp;DATOS!$D4929&amp;"|"&amp;DATOS!$E4929&amp;"|"&amp;DATOS!$I4929)</f>
      </c>
      <c r="G4929">
        <f>IF(DATOS!$A4929="",0,IF(CONFIG_METADATA!$B$4&lt;&gt;"OR+EX",--(DATOS!$G4929=CONFIG_METADATA!$B$4),IF(DATOS!$G4929="EX",1,IF(DATOS!$G4929="OR",--(COUNTIFS(nNIA,DATOS!$A4929,nCURSO,DATOS!$D4929,nESPEC,DATOS!$E4929,nASIG,DATOS!$I4929,nEVAL,"EX")=0),0))))</f>
      </c>
      <c r="H4929">
        <f>IF(DATOS!$G4929&lt;&gt;"EX",0,--(COUNTIFS(nNIA,DATOS!$A4929,nCURSO,DATOS!$D4929,nESPEC,DATOS!$E4929,nASIG,DATOS!$I4929,nEVAL,"OR")=0))</f>
      </c>
      <c r="I4929">
        <f>IF(DATOS!$I4929="","",IFERROR(VLOOKUP(DATOS!$I4929,CONFIG_ASIGNATURAS!$B$2:$J$91,9,FALSE()),""))</f>
      </c>
    </row>
    <row r="4930">
      <c r="F4930">
        <f>IF(DATOS!$A4930="","",DATOS!$A4930&amp;"|"&amp;DATOS!$D4930&amp;"|"&amp;DATOS!$E4930&amp;"|"&amp;DATOS!$I4930)</f>
      </c>
      <c r="G4930">
        <f>IF(DATOS!$A4930="",0,IF(CONFIG_METADATA!$B$4&lt;&gt;"OR+EX",--(DATOS!$G4930=CONFIG_METADATA!$B$4),IF(DATOS!$G4930="EX",1,IF(DATOS!$G4930="OR",--(COUNTIFS(nNIA,DATOS!$A4930,nCURSO,DATOS!$D4930,nESPEC,DATOS!$E4930,nASIG,DATOS!$I4930,nEVAL,"EX")=0),0))))</f>
      </c>
      <c r="H4930">
        <f>IF(DATOS!$G4930&lt;&gt;"EX",0,--(COUNTIFS(nNIA,DATOS!$A4930,nCURSO,DATOS!$D4930,nESPEC,DATOS!$E4930,nASIG,DATOS!$I4930,nEVAL,"OR")=0))</f>
      </c>
      <c r="I4930">
        <f>IF(DATOS!$I4930="","",IFERROR(VLOOKUP(DATOS!$I4930,CONFIG_ASIGNATURAS!$B$2:$J$91,9,FALSE()),""))</f>
      </c>
    </row>
    <row r="4931">
      <c r="F4931">
        <f>IF(DATOS!$A4931="","",DATOS!$A4931&amp;"|"&amp;DATOS!$D4931&amp;"|"&amp;DATOS!$E4931&amp;"|"&amp;DATOS!$I4931)</f>
      </c>
      <c r="G4931">
        <f>IF(DATOS!$A4931="",0,IF(CONFIG_METADATA!$B$4&lt;&gt;"OR+EX",--(DATOS!$G4931=CONFIG_METADATA!$B$4),IF(DATOS!$G4931="EX",1,IF(DATOS!$G4931="OR",--(COUNTIFS(nNIA,DATOS!$A4931,nCURSO,DATOS!$D4931,nESPEC,DATOS!$E4931,nASIG,DATOS!$I4931,nEVAL,"EX")=0),0))))</f>
      </c>
      <c r="H4931">
        <f>IF(DATOS!$G4931&lt;&gt;"EX",0,--(COUNTIFS(nNIA,DATOS!$A4931,nCURSO,DATOS!$D4931,nESPEC,DATOS!$E4931,nASIG,DATOS!$I4931,nEVAL,"OR")=0))</f>
      </c>
      <c r="I4931">
        <f>IF(DATOS!$I4931="","",IFERROR(VLOOKUP(DATOS!$I4931,CONFIG_ASIGNATURAS!$B$2:$J$91,9,FALSE()),""))</f>
      </c>
    </row>
    <row r="4932">
      <c r="F4932">
        <f>IF(DATOS!$A4932="","",DATOS!$A4932&amp;"|"&amp;DATOS!$D4932&amp;"|"&amp;DATOS!$E4932&amp;"|"&amp;DATOS!$I4932)</f>
      </c>
      <c r="G4932">
        <f>IF(DATOS!$A4932="",0,IF(CONFIG_METADATA!$B$4&lt;&gt;"OR+EX",--(DATOS!$G4932=CONFIG_METADATA!$B$4),IF(DATOS!$G4932="EX",1,IF(DATOS!$G4932="OR",--(COUNTIFS(nNIA,DATOS!$A4932,nCURSO,DATOS!$D4932,nESPEC,DATOS!$E4932,nASIG,DATOS!$I4932,nEVAL,"EX")=0),0))))</f>
      </c>
      <c r="H4932">
        <f>IF(DATOS!$G4932&lt;&gt;"EX",0,--(COUNTIFS(nNIA,DATOS!$A4932,nCURSO,DATOS!$D4932,nESPEC,DATOS!$E4932,nASIG,DATOS!$I4932,nEVAL,"OR")=0))</f>
      </c>
      <c r="I4932">
        <f>IF(DATOS!$I4932="","",IFERROR(VLOOKUP(DATOS!$I4932,CONFIG_ASIGNATURAS!$B$2:$J$91,9,FALSE()),""))</f>
      </c>
    </row>
    <row r="4933">
      <c r="F4933">
        <f>IF(DATOS!$A4933="","",DATOS!$A4933&amp;"|"&amp;DATOS!$D4933&amp;"|"&amp;DATOS!$E4933&amp;"|"&amp;DATOS!$I4933)</f>
      </c>
      <c r="G4933">
        <f>IF(DATOS!$A4933="",0,IF(CONFIG_METADATA!$B$4&lt;&gt;"OR+EX",--(DATOS!$G4933=CONFIG_METADATA!$B$4),IF(DATOS!$G4933="EX",1,IF(DATOS!$G4933="OR",--(COUNTIFS(nNIA,DATOS!$A4933,nCURSO,DATOS!$D4933,nESPEC,DATOS!$E4933,nASIG,DATOS!$I4933,nEVAL,"EX")=0),0))))</f>
      </c>
      <c r="H4933">
        <f>IF(DATOS!$G4933&lt;&gt;"EX",0,--(COUNTIFS(nNIA,DATOS!$A4933,nCURSO,DATOS!$D4933,nESPEC,DATOS!$E4933,nASIG,DATOS!$I4933,nEVAL,"OR")=0))</f>
      </c>
      <c r="I4933">
        <f>IF(DATOS!$I4933="","",IFERROR(VLOOKUP(DATOS!$I4933,CONFIG_ASIGNATURAS!$B$2:$J$91,9,FALSE()),""))</f>
      </c>
    </row>
    <row r="4934">
      <c r="F4934">
        <f>IF(DATOS!$A4934="","",DATOS!$A4934&amp;"|"&amp;DATOS!$D4934&amp;"|"&amp;DATOS!$E4934&amp;"|"&amp;DATOS!$I4934)</f>
      </c>
      <c r="G4934">
        <f>IF(DATOS!$A4934="",0,IF(CONFIG_METADATA!$B$4&lt;&gt;"OR+EX",--(DATOS!$G4934=CONFIG_METADATA!$B$4),IF(DATOS!$G4934="EX",1,IF(DATOS!$G4934="OR",--(COUNTIFS(nNIA,DATOS!$A4934,nCURSO,DATOS!$D4934,nESPEC,DATOS!$E4934,nASIG,DATOS!$I4934,nEVAL,"EX")=0),0))))</f>
      </c>
      <c r="H4934">
        <f>IF(DATOS!$G4934&lt;&gt;"EX",0,--(COUNTIFS(nNIA,DATOS!$A4934,nCURSO,DATOS!$D4934,nESPEC,DATOS!$E4934,nASIG,DATOS!$I4934,nEVAL,"OR")=0))</f>
      </c>
      <c r="I4934">
        <f>IF(DATOS!$I4934="","",IFERROR(VLOOKUP(DATOS!$I4934,CONFIG_ASIGNATURAS!$B$2:$J$91,9,FALSE()),""))</f>
      </c>
    </row>
    <row r="4935">
      <c r="F4935">
        <f>IF(DATOS!$A4935="","",DATOS!$A4935&amp;"|"&amp;DATOS!$D4935&amp;"|"&amp;DATOS!$E4935&amp;"|"&amp;DATOS!$I4935)</f>
      </c>
      <c r="G4935">
        <f>IF(DATOS!$A4935="",0,IF(CONFIG_METADATA!$B$4&lt;&gt;"OR+EX",--(DATOS!$G4935=CONFIG_METADATA!$B$4),IF(DATOS!$G4935="EX",1,IF(DATOS!$G4935="OR",--(COUNTIFS(nNIA,DATOS!$A4935,nCURSO,DATOS!$D4935,nESPEC,DATOS!$E4935,nASIG,DATOS!$I4935,nEVAL,"EX")=0),0))))</f>
      </c>
      <c r="H4935">
        <f>IF(DATOS!$G4935&lt;&gt;"EX",0,--(COUNTIFS(nNIA,DATOS!$A4935,nCURSO,DATOS!$D4935,nESPEC,DATOS!$E4935,nASIG,DATOS!$I4935,nEVAL,"OR")=0))</f>
      </c>
      <c r="I4935">
        <f>IF(DATOS!$I4935="","",IFERROR(VLOOKUP(DATOS!$I4935,CONFIG_ASIGNATURAS!$B$2:$J$91,9,FALSE()),""))</f>
      </c>
    </row>
    <row r="4936">
      <c r="F4936">
        <f>IF(DATOS!$A4936="","",DATOS!$A4936&amp;"|"&amp;DATOS!$D4936&amp;"|"&amp;DATOS!$E4936&amp;"|"&amp;DATOS!$I4936)</f>
      </c>
      <c r="G4936">
        <f>IF(DATOS!$A4936="",0,IF(CONFIG_METADATA!$B$4&lt;&gt;"OR+EX",--(DATOS!$G4936=CONFIG_METADATA!$B$4),IF(DATOS!$G4936="EX",1,IF(DATOS!$G4936="OR",--(COUNTIFS(nNIA,DATOS!$A4936,nCURSO,DATOS!$D4936,nESPEC,DATOS!$E4936,nASIG,DATOS!$I4936,nEVAL,"EX")=0),0))))</f>
      </c>
      <c r="H4936">
        <f>IF(DATOS!$G4936&lt;&gt;"EX",0,--(COUNTIFS(nNIA,DATOS!$A4936,nCURSO,DATOS!$D4936,nESPEC,DATOS!$E4936,nASIG,DATOS!$I4936,nEVAL,"OR")=0))</f>
      </c>
      <c r="I4936">
        <f>IF(DATOS!$I4936="","",IFERROR(VLOOKUP(DATOS!$I4936,CONFIG_ASIGNATURAS!$B$2:$J$91,9,FALSE()),""))</f>
      </c>
    </row>
    <row r="4937">
      <c r="F4937">
        <f>IF(DATOS!$A4937="","",DATOS!$A4937&amp;"|"&amp;DATOS!$D4937&amp;"|"&amp;DATOS!$E4937&amp;"|"&amp;DATOS!$I4937)</f>
      </c>
      <c r="G4937">
        <f>IF(DATOS!$A4937="",0,IF(CONFIG_METADATA!$B$4&lt;&gt;"OR+EX",--(DATOS!$G4937=CONFIG_METADATA!$B$4),IF(DATOS!$G4937="EX",1,IF(DATOS!$G4937="OR",--(COUNTIFS(nNIA,DATOS!$A4937,nCURSO,DATOS!$D4937,nESPEC,DATOS!$E4937,nASIG,DATOS!$I4937,nEVAL,"EX")=0),0))))</f>
      </c>
      <c r="H4937">
        <f>IF(DATOS!$G4937&lt;&gt;"EX",0,--(COUNTIFS(nNIA,DATOS!$A4937,nCURSO,DATOS!$D4937,nESPEC,DATOS!$E4937,nASIG,DATOS!$I4937,nEVAL,"OR")=0))</f>
      </c>
      <c r="I4937">
        <f>IF(DATOS!$I4937="","",IFERROR(VLOOKUP(DATOS!$I4937,CONFIG_ASIGNATURAS!$B$2:$J$91,9,FALSE()),""))</f>
      </c>
    </row>
    <row r="4938">
      <c r="F4938">
        <f>IF(DATOS!$A4938="","",DATOS!$A4938&amp;"|"&amp;DATOS!$D4938&amp;"|"&amp;DATOS!$E4938&amp;"|"&amp;DATOS!$I4938)</f>
      </c>
      <c r="G4938">
        <f>IF(DATOS!$A4938="",0,IF(CONFIG_METADATA!$B$4&lt;&gt;"OR+EX",--(DATOS!$G4938=CONFIG_METADATA!$B$4),IF(DATOS!$G4938="EX",1,IF(DATOS!$G4938="OR",--(COUNTIFS(nNIA,DATOS!$A4938,nCURSO,DATOS!$D4938,nESPEC,DATOS!$E4938,nASIG,DATOS!$I4938,nEVAL,"EX")=0),0))))</f>
      </c>
      <c r="H4938">
        <f>IF(DATOS!$G4938&lt;&gt;"EX",0,--(COUNTIFS(nNIA,DATOS!$A4938,nCURSO,DATOS!$D4938,nESPEC,DATOS!$E4938,nASIG,DATOS!$I4938,nEVAL,"OR")=0))</f>
      </c>
      <c r="I4938">
        <f>IF(DATOS!$I4938="","",IFERROR(VLOOKUP(DATOS!$I4938,CONFIG_ASIGNATURAS!$B$2:$J$91,9,FALSE()),""))</f>
      </c>
    </row>
    <row r="4939">
      <c r="F4939">
        <f>IF(DATOS!$A4939="","",DATOS!$A4939&amp;"|"&amp;DATOS!$D4939&amp;"|"&amp;DATOS!$E4939&amp;"|"&amp;DATOS!$I4939)</f>
      </c>
      <c r="G4939">
        <f>IF(DATOS!$A4939="",0,IF(CONFIG_METADATA!$B$4&lt;&gt;"OR+EX",--(DATOS!$G4939=CONFIG_METADATA!$B$4),IF(DATOS!$G4939="EX",1,IF(DATOS!$G4939="OR",--(COUNTIFS(nNIA,DATOS!$A4939,nCURSO,DATOS!$D4939,nESPEC,DATOS!$E4939,nASIG,DATOS!$I4939,nEVAL,"EX")=0),0))))</f>
      </c>
      <c r="H4939">
        <f>IF(DATOS!$G4939&lt;&gt;"EX",0,--(COUNTIFS(nNIA,DATOS!$A4939,nCURSO,DATOS!$D4939,nESPEC,DATOS!$E4939,nASIG,DATOS!$I4939,nEVAL,"OR")=0))</f>
      </c>
      <c r="I4939">
        <f>IF(DATOS!$I4939="","",IFERROR(VLOOKUP(DATOS!$I4939,CONFIG_ASIGNATURAS!$B$2:$J$91,9,FALSE()),""))</f>
      </c>
    </row>
    <row r="4940">
      <c r="F4940">
        <f>IF(DATOS!$A4940="","",DATOS!$A4940&amp;"|"&amp;DATOS!$D4940&amp;"|"&amp;DATOS!$E4940&amp;"|"&amp;DATOS!$I4940)</f>
      </c>
      <c r="G4940">
        <f>IF(DATOS!$A4940="",0,IF(CONFIG_METADATA!$B$4&lt;&gt;"OR+EX",--(DATOS!$G4940=CONFIG_METADATA!$B$4),IF(DATOS!$G4940="EX",1,IF(DATOS!$G4940="OR",--(COUNTIFS(nNIA,DATOS!$A4940,nCURSO,DATOS!$D4940,nESPEC,DATOS!$E4940,nASIG,DATOS!$I4940,nEVAL,"EX")=0),0))))</f>
      </c>
      <c r="H4940">
        <f>IF(DATOS!$G4940&lt;&gt;"EX",0,--(COUNTIFS(nNIA,DATOS!$A4940,nCURSO,DATOS!$D4940,nESPEC,DATOS!$E4940,nASIG,DATOS!$I4940,nEVAL,"OR")=0))</f>
      </c>
      <c r="I4940">
        <f>IF(DATOS!$I4940="","",IFERROR(VLOOKUP(DATOS!$I4940,CONFIG_ASIGNATURAS!$B$2:$J$91,9,FALSE()),""))</f>
      </c>
    </row>
    <row r="4941">
      <c r="F4941">
        <f>IF(DATOS!$A4941="","",DATOS!$A4941&amp;"|"&amp;DATOS!$D4941&amp;"|"&amp;DATOS!$E4941&amp;"|"&amp;DATOS!$I4941)</f>
      </c>
      <c r="G4941">
        <f>IF(DATOS!$A4941="",0,IF(CONFIG_METADATA!$B$4&lt;&gt;"OR+EX",--(DATOS!$G4941=CONFIG_METADATA!$B$4),IF(DATOS!$G4941="EX",1,IF(DATOS!$G4941="OR",--(COUNTIFS(nNIA,DATOS!$A4941,nCURSO,DATOS!$D4941,nESPEC,DATOS!$E4941,nASIG,DATOS!$I4941,nEVAL,"EX")=0),0))))</f>
      </c>
      <c r="H4941">
        <f>IF(DATOS!$G4941&lt;&gt;"EX",0,--(COUNTIFS(nNIA,DATOS!$A4941,nCURSO,DATOS!$D4941,nESPEC,DATOS!$E4941,nASIG,DATOS!$I4941,nEVAL,"OR")=0))</f>
      </c>
      <c r="I4941">
        <f>IF(DATOS!$I4941="","",IFERROR(VLOOKUP(DATOS!$I4941,CONFIG_ASIGNATURAS!$B$2:$J$91,9,FALSE()),""))</f>
      </c>
    </row>
    <row r="4942">
      <c r="F4942">
        <f>IF(DATOS!$A4942="","",DATOS!$A4942&amp;"|"&amp;DATOS!$D4942&amp;"|"&amp;DATOS!$E4942&amp;"|"&amp;DATOS!$I4942)</f>
      </c>
      <c r="G4942">
        <f>IF(DATOS!$A4942="",0,IF(CONFIG_METADATA!$B$4&lt;&gt;"OR+EX",--(DATOS!$G4942=CONFIG_METADATA!$B$4),IF(DATOS!$G4942="EX",1,IF(DATOS!$G4942="OR",--(COUNTIFS(nNIA,DATOS!$A4942,nCURSO,DATOS!$D4942,nESPEC,DATOS!$E4942,nASIG,DATOS!$I4942,nEVAL,"EX")=0),0))))</f>
      </c>
      <c r="H4942">
        <f>IF(DATOS!$G4942&lt;&gt;"EX",0,--(COUNTIFS(nNIA,DATOS!$A4942,nCURSO,DATOS!$D4942,nESPEC,DATOS!$E4942,nASIG,DATOS!$I4942,nEVAL,"OR")=0))</f>
      </c>
      <c r="I4942">
        <f>IF(DATOS!$I4942="","",IFERROR(VLOOKUP(DATOS!$I4942,CONFIG_ASIGNATURAS!$B$2:$J$91,9,FALSE()),""))</f>
      </c>
    </row>
    <row r="4943">
      <c r="F4943">
        <f>IF(DATOS!$A4943="","",DATOS!$A4943&amp;"|"&amp;DATOS!$D4943&amp;"|"&amp;DATOS!$E4943&amp;"|"&amp;DATOS!$I4943)</f>
      </c>
      <c r="G4943">
        <f>IF(DATOS!$A4943="",0,IF(CONFIG_METADATA!$B$4&lt;&gt;"OR+EX",--(DATOS!$G4943=CONFIG_METADATA!$B$4),IF(DATOS!$G4943="EX",1,IF(DATOS!$G4943="OR",--(COUNTIFS(nNIA,DATOS!$A4943,nCURSO,DATOS!$D4943,nESPEC,DATOS!$E4943,nASIG,DATOS!$I4943,nEVAL,"EX")=0),0))))</f>
      </c>
      <c r="H4943">
        <f>IF(DATOS!$G4943&lt;&gt;"EX",0,--(COUNTIFS(nNIA,DATOS!$A4943,nCURSO,DATOS!$D4943,nESPEC,DATOS!$E4943,nASIG,DATOS!$I4943,nEVAL,"OR")=0))</f>
      </c>
      <c r="I4943">
        <f>IF(DATOS!$I4943="","",IFERROR(VLOOKUP(DATOS!$I4943,CONFIG_ASIGNATURAS!$B$2:$J$91,9,FALSE()),""))</f>
      </c>
    </row>
    <row r="4944">
      <c r="F4944">
        <f>IF(DATOS!$A4944="","",DATOS!$A4944&amp;"|"&amp;DATOS!$D4944&amp;"|"&amp;DATOS!$E4944&amp;"|"&amp;DATOS!$I4944)</f>
      </c>
      <c r="G4944">
        <f>IF(DATOS!$A4944="",0,IF(CONFIG_METADATA!$B$4&lt;&gt;"OR+EX",--(DATOS!$G4944=CONFIG_METADATA!$B$4),IF(DATOS!$G4944="EX",1,IF(DATOS!$G4944="OR",--(COUNTIFS(nNIA,DATOS!$A4944,nCURSO,DATOS!$D4944,nESPEC,DATOS!$E4944,nASIG,DATOS!$I4944,nEVAL,"EX")=0),0))))</f>
      </c>
      <c r="H4944">
        <f>IF(DATOS!$G4944&lt;&gt;"EX",0,--(COUNTIFS(nNIA,DATOS!$A4944,nCURSO,DATOS!$D4944,nESPEC,DATOS!$E4944,nASIG,DATOS!$I4944,nEVAL,"OR")=0))</f>
      </c>
      <c r="I4944">
        <f>IF(DATOS!$I4944="","",IFERROR(VLOOKUP(DATOS!$I4944,CONFIG_ASIGNATURAS!$B$2:$J$91,9,FALSE()),""))</f>
      </c>
    </row>
    <row r="4945">
      <c r="F4945">
        <f>IF(DATOS!$A4945="","",DATOS!$A4945&amp;"|"&amp;DATOS!$D4945&amp;"|"&amp;DATOS!$E4945&amp;"|"&amp;DATOS!$I4945)</f>
      </c>
      <c r="G4945">
        <f>IF(DATOS!$A4945="",0,IF(CONFIG_METADATA!$B$4&lt;&gt;"OR+EX",--(DATOS!$G4945=CONFIG_METADATA!$B$4),IF(DATOS!$G4945="EX",1,IF(DATOS!$G4945="OR",--(COUNTIFS(nNIA,DATOS!$A4945,nCURSO,DATOS!$D4945,nESPEC,DATOS!$E4945,nASIG,DATOS!$I4945,nEVAL,"EX")=0),0))))</f>
      </c>
      <c r="H4945">
        <f>IF(DATOS!$G4945&lt;&gt;"EX",0,--(COUNTIFS(nNIA,DATOS!$A4945,nCURSO,DATOS!$D4945,nESPEC,DATOS!$E4945,nASIG,DATOS!$I4945,nEVAL,"OR")=0))</f>
      </c>
      <c r="I4945">
        <f>IF(DATOS!$I4945="","",IFERROR(VLOOKUP(DATOS!$I4945,CONFIG_ASIGNATURAS!$B$2:$J$91,9,FALSE()),""))</f>
      </c>
    </row>
    <row r="4946">
      <c r="F4946">
        <f>IF(DATOS!$A4946="","",DATOS!$A4946&amp;"|"&amp;DATOS!$D4946&amp;"|"&amp;DATOS!$E4946&amp;"|"&amp;DATOS!$I4946)</f>
      </c>
      <c r="G4946">
        <f>IF(DATOS!$A4946="",0,IF(CONFIG_METADATA!$B$4&lt;&gt;"OR+EX",--(DATOS!$G4946=CONFIG_METADATA!$B$4),IF(DATOS!$G4946="EX",1,IF(DATOS!$G4946="OR",--(COUNTIFS(nNIA,DATOS!$A4946,nCURSO,DATOS!$D4946,nESPEC,DATOS!$E4946,nASIG,DATOS!$I4946,nEVAL,"EX")=0),0))))</f>
      </c>
      <c r="H4946">
        <f>IF(DATOS!$G4946&lt;&gt;"EX",0,--(COUNTIFS(nNIA,DATOS!$A4946,nCURSO,DATOS!$D4946,nESPEC,DATOS!$E4946,nASIG,DATOS!$I4946,nEVAL,"OR")=0))</f>
      </c>
      <c r="I4946">
        <f>IF(DATOS!$I4946="","",IFERROR(VLOOKUP(DATOS!$I4946,CONFIG_ASIGNATURAS!$B$2:$J$91,9,FALSE()),""))</f>
      </c>
    </row>
    <row r="4947">
      <c r="F4947">
        <f>IF(DATOS!$A4947="","",DATOS!$A4947&amp;"|"&amp;DATOS!$D4947&amp;"|"&amp;DATOS!$E4947&amp;"|"&amp;DATOS!$I4947)</f>
      </c>
      <c r="G4947">
        <f>IF(DATOS!$A4947="",0,IF(CONFIG_METADATA!$B$4&lt;&gt;"OR+EX",--(DATOS!$G4947=CONFIG_METADATA!$B$4),IF(DATOS!$G4947="EX",1,IF(DATOS!$G4947="OR",--(COUNTIFS(nNIA,DATOS!$A4947,nCURSO,DATOS!$D4947,nESPEC,DATOS!$E4947,nASIG,DATOS!$I4947,nEVAL,"EX")=0),0))))</f>
      </c>
      <c r="H4947">
        <f>IF(DATOS!$G4947&lt;&gt;"EX",0,--(COUNTIFS(nNIA,DATOS!$A4947,nCURSO,DATOS!$D4947,nESPEC,DATOS!$E4947,nASIG,DATOS!$I4947,nEVAL,"OR")=0))</f>
      </c>
      <c r="I4947">
        <f>IF(DATOS!$I4947="","",IFERROR(VLOOKUP(DATOS!$I4947,CONFIG_ASIGNATURAS!$B$2:$J$91,9,FALSE()),""))</f>
      </c>
    </row>
    <row r="4948">
      <c r="F4948">
        <f>IF(DATOS!$A4948="","",DATOS!$A4948&amp;"|"&amp;DATOS!$D4948&amp;"|"&amp;DATOS!$E4948&amp;"|"&amp;DATOS!$I4948)</f>
      </c>
      <c r="G4948">
        <f>IF(DATOS!$A4948="",0,IF(CONFIG_METADATA!$B$4&lt;&gt;"OR+EX",--(DATOS!$G4948=CONFIG_METADATA!$B$4),IF(DATOS!$G4948="EX",1,IF(DATOS!$G4948="OR",--(COUNTIFS(nNIA,DATOS!$A4948,nCURSO,DATOS!$D4948,nESPEC,DATOS!$E4948,nASIG,DATOS!$I4948,nEVAL,"EX")=0),0))))</f>
      </c>
      <c r="H4948">
        <f>IF(DATOS!$G4948&lt;&gt;"EX",0,--(COUNTIFS(nNIA,DATOS!$A4948,nCURSO,DATOS!$D4948,nESPEC,DATOS!$E4948,nASIG,DATOS!$I4948,nEVAL,"OR")=0))</f>
      </c>
      <c r="I4948">
        <f>IF(DATOS!$I4948="","",IFERROR(VLOOKUP(DATOS!$I4948,CONFIG_ASIGNATURAS!$B$2:$J$91,9,FALSE()),""))</f>
      </c>
    </row>
    <row r="4949">
      <c r="F4949">
        <f>IF(DATOS!$A4949="","",DATOS!$A4949&amp;"|"&amp;DATOS!$D4949&amp;"|"&amp;DATOS!$E4949&amp;"|"&amp;DATOS!$I4949)</f>
      </c>
      <c r="G4949">
        <f>IF(DATOS!$A4949="",0,IF(CONFIG_METADATA!$B$4&lt;&gt;"OR+EX",--(DATOS!$G4949=CONFIG_METADATA!$B$4),IF(DATOS!$G4949="EX",1,IF(DATOS!$G4949="OR",--(COUNTIFS(nNIA,DATOS!$A4949,nCURSO,DATOS!$D4949,nESPEC,DATOS!$E4949,nASIG,DATOS!$I4949,nEVAL,"EX")=0),0))))</f>
      </c>
      <c r="H4949">
        <f>IF(DATOS!$G4949&lt;&gt;"EX",0,--(COUNTIFS(nNIA,DATOS!$A4949,nCURSO,DATOS!$D4949,nESPEC,DATOS!$E4949,nASIG,DATOS!$I4949,nEVAL,"OR")=0))</f>
      </c>
      <c r="I4949">
        <f>IF(DATOS!$I4949="","",IFERROR(VLOOKUP(DATOS!$I4949,CONFIG_ASIGNATURAS!$B$2:$J$91,9,FALSE()),""))</f>
      </c>
    </row>
    <row r="4950">
      <c r="F4950">
        <f>IF(DATOS!$A4950="","",DATOS!$A4950&amp;"|"&amp;DATOS!$D4950&amp;"|"&amp;DATOS!$E4950&amp;"|"&amp;DATOS!$I4950)</f>
      </c>
      <c r="G4950">
        <f>IF(DATOS!$A4950="",0,IF(CONFIG_METADATA!$B$4&lt;&gt;"OR+EX",--(DATOS!$G4950=CONFIG_METADATA!$B$4),IF(DATOS!$G4950="EX",1,IF(DATOS!$G4950="OR",--(COUNTIFS(nNIA,DATOS!$A4950,nCURSO,DATOS!$D4950,nESPEC,DATOS!$E4950,nASIG,DATOS!$I4950,nEVAL,"EX")=0),0))))</f>
      </c>
      <c r="H4950">
        <f>IF(DATOS!$G4950&lt;&gt;"EX",0,--(COUNTIFS(nNIA,DATOS!$A4950,nCURSO,DATOS!$D4950,nESPEC,DATOS!$E4950,nASIG,DATOS!$I4950,nEVAL,"OR")=0))</f>
      </c>
      <c r="I4950">
        <f>IF(DATOS!$I4950="","",IFERROR(VLOOKUP(DATOS!$I4950,CONFIG_ASIGNATURAS!$B$2:$J$91,9,FALSE()),""))</f>
      </c>
    </row>
    <row r="4951">
      <c r="F4951">
        <f>IF(DATOS!$A4951="","",DATOS!$A4951&amp;"|"&amp;DATOS!$D4951&amp;"|"&amp;DATOS!$E4951&amp;"|"&amp;DATOS!$I4951)</f>
      </c>
      <c r="G4951">
        <f>IF(DATOS!$A4951="",0,IF(CONFIG_METADATA!$B$4&lt;&gt;"OR+EX",--(DATOS!$G4951=CONFIG_METADATA!$B$4),IF(DATOS!$G4951="EX",1,IF(DATOS!$G4951="OR",--(COUNTIFS(nNIA,DATOS!$A4951,nCURSO,DATOS!$D4951,nESPEC,DATOS!$E4951,nASIG,DATOS!$I4951,nEVAL,"EX")=0),0))))</f>
      </c>
      <c r="H4951">
        <f>IF(DATOS!$G4951&lt;&gt;"EX",0,--(COUNTIFS(nNIA,DATOS!$A4951,nCURSO,DATOS!$D4951,nESPEC,DATOS!$E4951,nASIG,DATOS!$I4951,nEVAL,"OR")=0))</f>
      </c>
      <c r="I4951">
        <f>IF(DATOS!$I4951="","",IFERROR(VLOOKUP(DATOS!$I4951,CONFIG_ASIGNATURAS!$B$2:$J$91,9,FALSE()),""))</f>
      </c>
    </row>
    <row r="4952">
      <c r="F4952">
        <f>IF(DATOS!$A4952="","",DATOS!$A4952&amp;"|"&amp;DATOS!$D4952&amp;"|"&amp;DATOS!$E4952&amp;"|"&amp;DATOS!$I4952)</f>
      </c>
      <c r="G4952">
        <f>IF(DATOS!$A4952="",0,IF(CONFIG_METADATA!$B$4&lt;&gt;"OR+EX",--(DATOS!$G4952=CONFIG_METADATA!$B$4),IF(DATOS!$G4952="EX",1,IF(DATOS!$G4952="OR",--(COUNTIFS(nNIA,DATOS!$A4952,nCURSO,DATOS!$D4952,nESPEC,DATOS!$E4952,nASIG,DATOS!$I4952,nEVAL,"EX")=0),0))))</f>
      </c>
      <c r="H4952">
        <f>IF(DATOS!$G4952&lt;&gt;"EX",0,--(COUNTIFS(nNIA,DATOS!$A4952,nCURSO,DATOS!$D4952,nESPEC,DATOS!$E4952,nASIG,DATOS!$I4952,nEVAL,"OR")=0))</f>
      </c>
      <c r="I4952">
        <f>IF(DATOS!$I4952="","",IFERROR(VLOOKUP(DATOS!$I4952,CONFIG_ASIGNATURAS!$B$2:$J$91,9,FALSE()),""))</f>
      </c>
    </row>
    <row r="4953">
      <c r="F4953">
        <f>IF(DATOS!$A4953="","",DATOS!$A4953&amp;"|"&amp;DATOS!$D4953&amp;"|"&amp;DATOS!$E4953&amp;"|"&amp;DATOS!$I4953)</f>
      </c>
      <c r="G4953">
        <f>IF(DATOS!$A4953="",0,IF(CONFIG_METADATA!$B$4&lt;&gt;"OR+EX",--(DATOS!$G4953=CONFIG_METADATA!$B$4),IF(DATOS!$G4953="EX",1,IF(DATOS!$G4953="OR",--(COUNTIFS(nNIA,DATOS!$A4953,nCURSO,DATOS!$D4953,nESPEC,DATOS!$E4953,nASIG,DATOS!$I4953,nEVAL,"EX")=0),0))))</f>
      </c>
      <c r="H4953">
        <f>IF(DATOS!$G4953&lt;&gt;"EX",0,--(COUNTIFS(nNIA,DATOS!$A4953,nCURSO,DATOS!$D4953,nESPEC,DATOS!$E4953,nASIG,DATOS!$I4953,nEVAL,"OR")=0))</f>
      </c>
      <c r="I4953">
        <f>IF(DATOS!$I4953="","",IFERROR(VLOOKUP(DATOS!$I4953,CONFIG_ASIGNATURAS!$B$2:$J$91,9,FALSE()),""))</f>
      </c>
    </row>
    <row r="4954">
      <c r="F4954">
        <f>IF(DATOS!$A4954="","",DATOS!$A4954&amp;"|"&amp;DATOS!$D4954&amp;"|"&amp;DATOS!$E4954&amp;"|"&amp;DATOS!$I4954)</f>
      </c>
      <c r="G4954">
        <f>IF(DATOS!$A4954="",0,IF(CONFIG_METADATA!$B$4&lt;&gt;"OR+EX",--(DATOS!$G4954=CONFIG_METADATA!$B$4),IF(DATOS!$G4954="EX",1,IF(DATOS!$G4954="OR",--(COUNTIFS(nNIA,DATOS!$A4954,nCURSO,DATOS!$D4954,nESPEC,DATOS!$E4954,nASIG,DATOS!$I4954,nEVAL,"EX")=0),0))))</f>
      </c>
      <c r="H4954">
        <f>IF(DATOS!$G4954&lt;&gt;"EX",0,--(COUNTIFS(nNIA,DATOS!$A4954,nCURSO,DATOS!$D4954,nESPEC,DATOS!$E4954,nASIG,DATOS!$I4954,nEVAL,"OR")=0))</f>
      </c>
      <c r="I4954">
        <f>IF(DATOS!$I4954="","",IFERROR(VLOOKUP(DATOS!$I4954,CONFIG_ASIGNATURAS!$B$2:$J$91,9,FALSE()),""))</f>
      </c>
    </row>
    <row r="4955">
      <c r="F4955">
        <f>IF(DATOS!$A4955="","",DATOS!$A4955&amp;"|"&amp;DATOS!$D4955&amp;"|"&amp;DATOS!$E4955&amp;"|"&amp;DATOS!$I4955)</f>
      </c>
      <c r="G4955">
        <f>IF(DATOS!$A4955="",0,IF(CONFIG_METADATA!$B$4&lt;&gt;"OR+EX",--(DATOS!$G4955=CONFIG_METADATA!$B$4),IF(DATOS!$G4955="EX",1,IF(DATOS!$G4955="OR",--(COUNTIFS(nNIA,DATOS!$A4955,nCURSO,DATOS!$D4955,nESPEC,DATOS!$E4955,nASIG,DATOS!$I4955,nEVAL,"EX")=0),0))))</f>
      </c>
      <c r="H4955">
        <f>IF(DATOS!$G4955&lt;&gt;"EX",0,--(COUNTIFS(nNIA,DATOS!$A4955,nCURSO,DATOS!$D4955,nESPEC,DATOS!$E4955,nASIG,DATOS!$I4955,nEVAL,"OR")=0))</f>
      </c>
      <c r="I4955">
        <f>IF(DATOS!$I4955="","",IFERROR(VLOOKUP(DATOS!$I4955,CONFIG_ASIGNATURAS!$B$2:$J$91,9,FALSE()),""))</f>
      </c>
    </row>
    <row r="4956">
      <c r="F4956">
        <f>IF(DATOS!$A4956="","",DATOS!$A4956&amp;"|"&amp;DATOS!$D4956&amp;"|"&amp;DATOS!$E4956&amp;"|"&amp;DATOS!$I4956)</f>
      </c>
      <c r="G4956">
        <f>IF(DATOS!$A4956="",0,IF(CONFIG_METADATA!$B$4&lt;&gt;"OR+EX",--(DATOS!$G4956=CONFIG_METADATA!$B$4),IF(DATOS!$G4956="EX",1,IF(DATOS!$G4956="OR",--(COUNTIFS(nNIA,DATOS!$A4956,nCURSO,DATOS!$D4956,nESPEC,DATOS!$E4956,nASIG,DATOS!$I4956,nEVAL,"EX")=0),0))))</f>
      </c>
      <c r="H4956">
        <f>IF(DATOS!$G4956&lt;&gt;"EX",0,--(COUNTIFS(nNIA,DATOS!$A4956,nCURSO,DATOS!$D4956,nESPEC,DATOS!$E4956,nASIG,DATOS!$I4956,nEVAL,"OR")=0))</f>
      </c>
      <c r="I4956">
        <f>IF(DATOS!$I4956="","",IFERROR(VLOOKUP(DATOS!$I4956,CONFIG_ASIGNATURAS!$B$2:$J$91,9,FALSE()),""))</f>
      </c>
    </row>
    <row r="4957">
      <c r="F4957">
        <f>IF(DATOS!$A4957="","",DATOS!$A4957&amp;"|"&amp;DATOS!$D4957&amp;"|"&amp;DATOS!$E4957&amp;"|"&amp;DATOS!$I4957)</f>
      </c>
      <c r="G4957">
        <f>IF(DATOS!$A4957="",0,IF(CONFIG_METADATA!$B$4&lt;&gt;"OR+EX",--(DATOS!$G4957=CONFIG_METADATA!$B$4),IF(DATOS!$G4957="EX",1,IF(DATOS!$G4957="OR",--(COUNTIFS(nNIA,DATOS!$A4957,nCURSO,DATOS!$D4957,nESPEC,DATOS!$E4957,nASIG,DATOS!$I4957,nEVAL,"EX")=0),0))))</f>
      </c>
      <c r="H4957">
        <f>IF(DATOS!$G4957&lt;&gt;"EX",0,--(COUNTIFS(nNIA,DATOS!$A4957,nCURSO,DATOS!$D4957,nESPEC,DATOS!$E4957,nASIG,DATOS!$I4957,nEVAL,"OR")=0))</f>
      </c>
      <c r="I4957">
        <f>IF(DATOS!$I4957="","",IFERROR(VLOOKUP(DATOS!$I4957,CONFIG_ASIGNATURAS!$B$2:$J$91,9,FALSE()),""))</f>
      </c>
    </row>
    <row r="4958">
      <c r="F4958">
        <f>IF(DATOS!$A4958="","",DATOS!$A4958&amp;"|"&amp;DATOS!$D4958&amp;"|"&amp;DATOS!$E4958&amp;"|"&amp;DATOS!$I4958)</f>
      </c>
      <c r="G4958">
        <f>IF(DATOS!$A4958="",0,IF(CONFIG_METADATA!$B$4&lt;&gt;"OR+EX",--(DATOS!$G4958=CONFIG_METADATA!$B$4),IF(DATOS!$G4958="EX",1,IF(DATOS!$G4958="OR",--(COUNTIFS(nNIA,DATOS!$A4958,nCURSO,DATOS!$D4958,nESPEC,DATOS!$E4958,nASIG,DATOS!$I4958,nEVAL,"EX")=0),0))))</f>
      </c>
      <c r="H4958">
        <f>IF(DATOS!$G4958&lt;&gt;"EX",0,--(COUNTIFS(nNIA,DATOS!$A4958,nCURSO,DATOS!$D4958,nESPEC,DATOS!$E4958,nASIG,DATOS!$I4958,nEVAL,"OR")=0))</f>
      </c>
      <c r="I4958">
        <f>IF(DATOS!$I4958="","",IFERROR(VLOOKUP(DATOS!$I4958,CONFIG_ASIGNATURAS!$B$2:$J$91,9,FALSE()),""))</f>
      </c>
    </row>
    <row r="4959">
      <c r="F4959">
        <f>IF(DATOS!$A4959="","",DATOS!$A4959&amp;"|"&amp;DATOS!$D4959&amp;"|"&amp;DATOS!$E4959&amp;"|"&amp;DATOS!$I4959)</f>
      </c>
      <c r="G4959">
        <f>IF(DATOS!$A4959="",0,IF(CONFIG_METADATA!$B$4&lt;&gt;"OR+EX",--(DATOS!$G4959=CONFIG_METADATA!$B$4),IF(DATOS!$G4959="EX",1,IF(DATOS!$G4959="OR",--(COUNTIFS(nNIA,DATOS!$A4959,nCURSO,DATOS!$D4959,nESPEC,DATOS!$E4959,nASIG,DATOS!$I4959,nEVAL,"EX")=0),0))))</f>
      </c>
      <c r="H4959">
        <f>IF(DATOS!$G4959&lt;&gt;"EX",0,--(COUNTIFS(nNIA,DATOS!$A4959,nCURSO,DATOS!$D4959,nESPEC,DATOS!$E4959,nASIG,DATOS!$I4959,nEVAL,"OR")=0))</f>
      </c>
      <c r="I4959">
        <f>IF(DATOS!$I4959="","",IFERROR(VLOOKUP(DATOS!$I4959,CONFIG_ASIGNATURAS!$B$2:$J$91,9,FALSE()),""))</f>
      </c>
    </row>
    <row r="4960">
      <c r="F4960">
        <f>IF(DATOS!$A4960="","",DATOS!$A4960&amp;"|"&amp;DATOS!$D4960&amp;"|"&amp;DATOS!$E4960&amp;"|"&amp;DATOS!$I4960)</f>
      </c>
      <c r="G4960">
        <f>IF(DATOS!$A4960="",0,IF(CONFIG_METADATA!$B$4&lt;&gt;"OR+EX",--(DATOS!$G4960=CONFIG_METADATA!$B$4),IF(DATOS!$G4960="EX",1,IF(DATOS!$G4960="OR",--(COUNTIFS(nNIA,DATOS!$A4960,nCURSO,DATOS!$D4960,nESPEC,DATOS!$E4960,nASIG,DATOS!$I4960,nEVAL,"EX")=0),0))))</f>
      </c>
      <c r="H4960">
        <f>IF(DATOS!$G4960&lt;&gt;"EX",0,--(COUNTIFS(nNIA,DATOS!$A4960,nCURSO,DATOS!$D4960,nESPEC,DATOS!$E4960,nASIG,DATOS!$I4960,nEVAL,"OR")=0))</f>
      </c>
      <c r="I4960">
        <f>IF(DATOS!$I4960="","",IFERROR(VLOOKUP(DATOS!$I4960,CONFIG_ASIGNATURAS!$B$2:$J$91,9,FALSE()),""))</f>
      </c>
    </row>
    <row r="4961">
      <c r="F4961">
        <f>IF(DATOS!$A4961="","",DATOS!$A4961&amp;"|"&amp;DATOS!$D4961&amp;"|"&amp;DATOS!$E4961&amp;"|"&amp;DATOS!$I4961)</f>
      </c>
      <c r="G4961">
        <f>IF(DATOS!$A4961="",0,IF(CONFIG_METADATA!$B$4&lt;&gt;"OR+EX",--(DATOS!$G4961=CONFIG_METADATA!$B$4),IF(DATOS!$G4961="EX",1,IF(DATOS!$G4961="OR",--(COUNTIFS(nNIA,DATOS!$A4961,nCURSO,DATOS!$D4961,nESPEC,DATOS!$E4961,nASIG,DATOS!$I4961,nEVAL,"EX")=0),0))))</f>
      </c>
      <c r="H4961">
        <f>IF(DATOS!$G4961&lt;&gt;"EX",0,--(COUNTIFS(nNIA,DATOS!$A4961,nCURSO,DATOS!$D4961,nESPEC,DATOS!$E4961,nASIG,DATOS!$I4961,nEVAL,"OR")=0))</f>
      </c>
      <c r="I4961">
        <f>IF(DATOS!$I4961="","",IFERROR(VLOOKUP(DATOS!$I4961,CONFIG_ASIGNATURAS!$B$2:$J$91,9,FALSE()),""))</f>
      </c>
    </row>
    <row r="4962">
      <c r="F4962">
        <f>IF(DATOS!$A4962="","",DATOS!$A4962&amp;"|"&amp;DATOS!$D4962&amp;"|"&amp;DATOS!$E4962&amp;"|"&amp;DATOS!$I4962)</f>
      </c>
      <c r="G4962">
        <f>IF(DATOS!$A4962="",0,IF(CONFIG_METADATA!$B$4&lt;&gt;"OR+EX",--(DATOS!$G4962=CONFIG_METADATA!$B$4),IF(DATOS!$G4962="EX",1,IF(DATOS!$G4962="OR",--(COUNTIFS(nNIA,DATOS!$A4962,nCURSO,DATOS!$D4962,nESPEC,DATOS!$E4962,nASIG,DATOS!$I4962,nEVAL,"EX")=0),0))))</f>
      </c>
      <c r="H4962">
        <f>IF(DATOS!$G4962&lt;&gt;"EX",0,--(COUNTIFS(nNIA,DATOS!$A4962,nCURSO,DATOS!$D4962,nESPEC,DATOS!$E4962,nASIG,DATOS!$I4962,nEVAL,"OR")=0))</f>
      </c>
      <c r="I4962">
        <f>IF(DATOS!$I4962="","",IFERROR(VLOOKUP(DATOS!$I4962,CONFIG_ASIGNATURAS!$B$2:$J$91,9,FALSE()),""))</f>
      </c>
    </row>
    <row r="4963">
      <c r="F4963">
        <f>IF(DATOS!$A4963="","",DATOS!$A4963&amp;"|"&amp;DATOS!$D4963&amp;"|"&amp;DATOS!$E4963&amp;"|"&amp;DATOS!$I4963)</f>
      </c>
      <c r="G4963">
        <f>IF(DATOS!$A4963="",0,IF(CONFIG_METADATA!$B$4&lt;&gt;"OR+EX",--(DATOS!$G4963=CONFIG_METADATA!$B$4),IF(DATOS!$G4963="EX",1,IF(DATOS!$G4963="OR",--(COUNTIFS(nNIA,DATOS!$A4963,nCURSO,DATOS!$D4963,nESPEC,DATOS!$E4963,nASIG,DATOS!$I4963,nEVAL,"EX")=0),0))))</f>
      </c>
      <c r="H4963">
        <f>IF(DATOS!$G4963&lt;&gt;"EX",0,--(COUNTIFS(nNIA,DATOS!$A4963,nCURSO,DATOS!$D4963,nESPEC,DATOS!$E4963,nASIG,DATOS!$I4963,nEVAL,"OR")=0))</f>
      </c>
      <c r="I4963">
        <f>IF(DATOS!$I4963="","",IFERROR(VLOOKUP(DATOS!$I4963,CONFIG_ASIGNATURAS!$B$2:$J$91,9,FALSE()),""))</f>
      </c>
    </row>
    <row r="4964">
      <c r="F4964">
        <f>IF(DATOS!$A4964="","",DATOS!$A4964&amp;"|"&amp;DATOS!$D4964&amp;"|"&amp;DATOS!$E4964&amp;"|"&amp;DATOS!$I4964)</f>
      </c>
      <c r="G4964">
        <f>IF(DATOS!$A4964="",0,IF(CONFIG_METADATA!$B$4&lt;&gt;"OR+EX",--(DATOS!$G4964=CONFIG_METADATA!$B$4),IF(DATOS!$G4964="EX",1,IF(DATOS!$G4964="OR",--(COUNTIFS(nNIA,DATOS!$A4964,nCURSO,DATOS!$D4964,nESPEC,DATOS!$E4964,nASIG,DATOS!$I4964,nEVAL,"EX")=0),0))))</f>
      </c>
      <c r="H4964">
        <f>IF(DATOS!$G4964&lt;&gt;"EX",0,--(COUNTIFS(nNIA,DATOS!$A4964,nCURSO,DATOS!$D4964,nESPEC,DATOS!$E4964,nASIG,DATOS!$I4964,nEVAL,"OR")=0))</f>
      </c>
      <c r="I4964">
        <f>IF(DATOS!$I4964="","",IFERROR(VLOOKUP(DATOS!$I4964,CONFIG_ASIGNATURAS!$B$2:$J$91,9,FALSE()),""))</f>
      </c>
    </row>
    <row r="4965">
      <c r="F4965">
        <f>IF(DATOS!$A4965="","",DATOS!$A4965&amp;"|"&amp;DATOS!$D4965&amp;"|"&amp;DATOS!$E4965&amp;"|"&amp;DATOS!$I4965)</f>
      </c>
      <c r="G4965">
        <f>IF(DATOS!$A4965="",0,IF(CONFIG_METADATA!$B$4&lt;&gt;"OR+EX",--(DATOS!$G4965=CONFIG_METADATA!$B$4),IF(DATOS!$G4965="EX",1,IF(DATOS!$G4965="OR",--(COUNTIFS(nNIA,DATOS!$A4965,nCURSO,DATOS!$D4965,nESPEC,DATOS!$E4965,nASIG,DATOS!$I4965,nEVAL,"EX")=0),0))))</f>
      </c>
      <c r="H4965">
        <f>IF(DATOS!$G4965&lt;&gt;"EX",0,--(COUNTIFS(nNIA,DATOS!$A4965,nCURSO,DATOS!$D4965,nESPEC,DATOS!$E4965,nASIG,DATOS!$I4965,nEVAL,"OR")=0))</f>
      </c>
      <c r="I4965">
        <f>IF(DATOS!$I4965="","",IFERROR(VLOOKUP(DATOS!$I4965,CONFIG_ASIGNATURAS!$B$2:$J$91,9,FALSE()),""))</f>
      </c>
    </row>
    <row r="4966">
      <c r="F4966">
        <f>IF(DATOS!$A4966="","",DATOS!$A4966&amp;"|"&amp;DATOS!$D4966&amp;"|"&amp;DATOS!$E4966&amp;"|"&amp;DATOS!$I4966)</f>
      </c>
      <c r="G4966">
        <f>IF(DATOS!$A4966="",0,IF(CONFIG_METADATA!$B$4&lt;&gt;"OR+EX",--(DATOS!$G4966=CONFIG_METADATA!$B$4),IF(DATOS!$G4966="EX",1,IF(DATOS!$G4966="OR",--(COUNTIFS(nNIA,DATOS!$A4966,nCURSO,DATOS!$D4966,nESPEC,DATOS!$E4966,nASIG,DATOS!$I4966,nEVAL,"EX")=0),0))))</f>
      </c>
      <c r="H4966">
        <f>IF(DATOS!$G4966&lt;&gt;"EX",0,--(COUNTIFS(nNIA,DATOS!$A4966,nCURSO,DATOS!$D4966,nESPEC,DATOS!$E4966,nASIG,DATOS!$I4966,nEVAL,"OR")=0))</f>
      </c>
      <c r="I4966">
        <f>IF(DATOS!$I4966="","",IFERROR(VLOOKUP(DATOS!$I4966,CONFIG_ASIGNATURAS!$B$2:$J$91,9,FALSE()),""))</f>
      </c>
    </row>
    <row r="4967">
      <c r="F4967">
        <f>IF(DATOS!$A4967="","",DATOS!$A4967&amp;"|"&amp;DATOS!$D4967&amp;"|"&amp;DATOS!$E4967&amp;"|"&amp;DATOS!$I4967)</f>
      </c>
      <c r="G4967">
        <f>IF(DATOS!$A4967="",0,IF(CONFIG_METADATA!$B$4&lt;&gt;"OR+EX",--(DATOS!$G4967=CONFIG_METADATA!$B$4),IF(DATOS!$G4967="EX",1,IF(DATOS!$G4967="OR",--(COUNTIFS(nNIA,DATOS!$A4967,nCURSO,DATOS!$D4967,nESPEC,DATOS!$E4967,nASIG,DATOS!$I4967,nEVAL,"EX")=0),0))))</f>
      </c>
      <c r="H4967">
        <f>IF(DATOS!$G4967&lt;&gt;"EX",0,--(COUNTIFS(nNIA,DATOS!$A4967,nCURSO,DATOS!$D4967,nESPEC,DATOS!$E4967,nASIG,DATOS!$I4967,nEVAL,"OR")=0))</f>
      </c>
      <c r="I4967">
        <f>IF(DATOS!$I4967="","",IFERROR(VLOOKUP(DATOS!$I4967,CONFIG_ASIGNATURAS!$B$2:$J$91,9,FALSE()),""))</f>
      </c>
    </row>
    <row r="4968">
      <c r="F4968">
        <f>IF(DATOS!$A4968="","",DATOS!$A4968&amp;"|"&amp;DATOS!$D4968&amp;"|"&amp;DATOS!$E4968&amp;"|"&amp;DATOS!$I4968)</f>
      </c>
      <c r="G4968">
        <f>IF(DATOS!$A4968="",0,IF(CONFIG_METADATA!$B$4&lt;&gt;"OR+EX",--(DATOS!$G4968=CONFIG_METADATA!$B$4),IF(DATOS!$G4968="EX",1,IF(DATOS!$G4968="OR",--(COUNTIFS(nNIA,DATOS!$A4968,nCURSO,DATOS!$D4968,nESPEC,DATOS!$E4968,nASIG,DATOS!$I4968,nEVAL,"EX")=0),0))))</f>
      </c>
      <c r="H4968">
        <f>IF(DATOS!$G4968&lt;&gt;"EX",0,--(COUNTIFS(nNIA,DATOS!$A4968,nCURSO,DATOS!$D4968,nESPEC,DATOS!$E4968,nASIG,DATOS!$I4968,nEVAL,"OR")=0))</f>
      </c>
      <c r="I4968">
        <f>IF(DATOS!$I4968="","",IFERROR(VLOOKUP(DATOS!$I4968,CONFIG_ASIGNATURAS!$B$2:$J$91,9,FALSE()),""))</f>
      </c>
    </row>
    <row r="4969">
      <c r="F4969">
        <f>IF(DATOS!$A4969="","",DATOS!$A4969&amp;"|"&amp;DATOS!$D4969&amp;"|"&amp;DATOS!$E4969&amp;"|"&amp;DATOS!$I4969)</f>
      </c>
      <c r="G4969">
        <f>IF(DATOS!$A4969="",0,IF(CONFIG_METADATA!$B$4&lt;&gt;"OR+EX",--(DATOS!$G4969=CONFIG_METADATA!$B$4),IF(DATOS!$G4969="EX",1,IF(DATOS!$G4969="OR",--(COUNTIFS(nNIA,DATOS!$A4969,nCURSO,DATOS!$D4969,nESPEC,DATOS!$E4969,nASIG,DATOS!$I4969,nEVAL,"EX")=0),0))))</f>
      </c>
      <c r="H4969">
        <f>IF(DATOS!$G4969&lt;&gt;"EX",0,--(COUNTIFS(nNIA,DATOS!$A4969,nCURSO,DATOS!$D4969,nESPEC,DATOS!$E4969,nASIG,DATOS!$I4969,nEVAL,"OR")=0))</f>
      </c>
      <c r="I4969">
        <f>IF(DATOS!$I4969="","",IFERROR(VLOOKUP(DATOS!$I4969,CONFIG_ASIGNATURAS!$B$2:$J$91,9,FALSE()),""))</f>
      </c>
    </row>
    <row r="4970">
      <c r="F4970">
        <f>IF(DATOS!$A4970="","",DATOS!$A4970&amp;"|"&amp;DATOS!$D4970&amp;"|"&amp;DATOS!$E4970&amp;"|"&amp;DATOS!$I4970)</f>
      </c>
      <c r="G4970">
        <f>IF(DATOS!$A4970="",0,IF(CONFIG_METADATA!$B$4&lt;&gt;"OR+EX",--(DATOS!$G4970=CONFIG_METADATA!$B$4),IF(DATOS!$G4970="EX",1,IF(DATOS!$G4970="OR",--(COUNTIFS(nNIA,DATOS!$A4970,nCURSO,DATOS!$D4970,nESPEC,DATOS!$E4970,nASIG,DATOS!$I4970,nEVAL,"EX")=0),0))))</f>
      </c>
      <c r="H4970">
        <f>IF(DATOS!$G4970&lt;&gt;"EX",0,--(COUNTIFS(nNIA,DATOS!$A4970,nCURSO,DATOS!$D4970,nESPEC,DATOS!$E4970,nASIG,DATOS!$I4970,nEVAL,"OR")=0))</f>
      </c>
      <c r="I4970">
        <f>IF(DATOS!$I4970="","",IFERROR(VLOOKUP(DATOS!$I4970,CONFIG_ASIGNATURAS!$B$2:$J$91,9,FALSE()),""))</f>
      </c>
    </row>
    <row r="4971">
      <c r="F4971">
        <f>IF(DATOS!$A4971="","",DATOS!$A4971&amp;"|"&amp;DATOS!$D4971&amp;"|"&amp;DATOS!$E4971&amp;"|"&amp;DATOS!$I4971)</f>
      </c>
      <c r="G4971">
        <f>IF(DATOS!$A4971="",0,IF(CONFIG_METADATA!$B$4&lt;&gt;"OR+EX",--(DATOS!$G4971=CONFIG_METADATA!$B$4),IF(DATOS!$G4971="EX",1,IF(DATOS!$G4971="OR",--(COUNTIFS(nNIA,DATOS!$A4971,nCURSO,DATOS!$D4971,nESPEC,DATOS!$E4971,nASIG,DATOS!$I4971,nEVAL,"EX")=0),0))))</f>
      </c>
      <c r="H4971">
        <f>IF(DATOS!$G4971&lt;&gt;"EX",0,--(COUNTIFS(nNIA,DATOS!$A4971,nCURSO,DATOS!$D4971,nESPEC,DATOS!$E4971,nASIG,DATOS!$I4971,nEVAL,"OR")=0))</f>
      </c>
      <c r="I4971">
        <f>IF(DATOS!$I4971="","",IFERROR(VLOOKUP(DATOS!$I4971,CONFIG_ASIGNATURAS!$B$2:$J$91,9,FALSE()),""))</f>
      </c>
    </row>
    <row r="4972">
      <c r="F4972">
        <f>IF(DATOS!$A4972="","",DATOS!$A4972&amp;"|"&amp;DATOS!$D4972&amp;"|"&amp;DATOS!$E4972&amp;"|"&amp;DATOS!$I4972)</f>
      </c>
      <c r="G4972">
        <f>IF(DATOS!$A4972="",0,IF(CONFIG_METADATA!$B$4&lt;&gt;"OR+EX",--(DATOS!$G4972=CONFIG_METADATA!$B$4),IF(DATOS!$G4972="EX",1,IF(DATOS!$G4972="OR",--(COUNTIFS(nNIA,DATOS!$A4972,nCURSO,DATOS!$D4972,nESPEC,DATOS!$E4972,nASIG,DATOS!$I4972,nEVAL,"EX")=0),0))))</f>
      </c>
      <c r="H4972">
        <f>IF(DATOS!$G4972&lt;&gt;"EX",0,--(COUNTIFS(nNIA,DATOS!$A4972,nCURSO,DATOS!$D4972,nESPEC,DATOS!$E4972,nASIG,DATOS!$I4972,nEVAL,"OR")=0))</f>
      </c>
      <c r="I4972">
        <f>IF(DATOS!$I4972="","",IFERROR(VLOOKUP(DATOS!$I4972,CONFIG_ASIGNATURAS!$B$2:$J$91,9,FALSE()),""))</f>
      </c>
    </row>
    <row r="4973">
      <c r="F4973">
        <f>IF(DATOS!$A4973="","",DATOS!$A4973&amp;"|"&amp;DATOS!$D4973&amp;"|"&amp;DATOS!$E4973&amp;"|"&amp;DATOS!$I4973)</f>
      </c>
      <c r="G4973">
        <f>IF(DATOS!$A4973="",0,IF(CONFIG_METADATA!$B$4&lt;&gt;"OR+EX",--(DATOS!$G4973=CONFIG_METADATA!$B$4),IF(DATOS!$G4973="EX",1,IF(DATOS!$G4973="OR",--(COUNTIFS(nNIA,DATOS!$A4973,nCURSO,DATOS!$D4973,nESPEC,DATOS!$E4973,nASIG,DATOS!$I4973,nEVAL,"EX")=0),0))))</f>
      </c>
      <c r="H4973">
        <f>IF(DATOS!$G4973&lt;&gt;"EX",0,--(COUNTIFS(nNIA,DATOS!$A4973,nCURSO,DATOS!$D4973,nESPEC,DATOS!$E4973,nASIG,DATOS!$I4973,nEVAL,"OR")=0))</f>
      </c>
      <c r="I4973">
        <f>IF(DATOS!$I4973="","",IFERROR(VLOOKUP(DATOS!$I4973,CONFIG_ASIGNATURAS!$B$2:$J$91,9,FALSE()),""))</f>
      </c>
    </row>
    <row r="4974">
      <c r="F4974">
        <f>IF(DATOS!$A4974="","",DATOS!$A4974&amp;"|"&amp;DATOS!$D4974&amp;"|"&amp;DATOS!$E4974&amp;"|"&amp;DATOS!$I4974)</f>
      </c>
      <c r="G4974">
        <f>IF(DATOS!$A4974="",0,IF(CONFIG_METADATA!$B$4&lt;&gt;"OR+EX",--(DATOS!$G4974=CONFIG_METADATA!$B$4),IF(DATOS!$G4974="EX",1,IF(DATOS!$G4974="OR",--(COUNTIFS(nNIA,DATOS!$A4974,nCURSO,DATOS!$D4974,nESPEC,DATOS!$E4974,nASIG,DATOS!$I4974,nEVAL,"EX")=0),0))))</f>
      </c>
      <c r="H4974">
        <f>IF(DATOS!$G4974&lt;&gt;"EX",0,--(COUNTIFS(nNIA,DATOS!$A4974,nCURSO,DATOS!$D4974,nESPEC,DATOS!$E4974,nASIG,DATOS!$I4974,nEVAL,"OR")=0))</f>
      </c>
      <c r="I4974">
        <f>IF(DATOS!$I4974="","",IFERROR(VLOOKUP(DATOS!$I4974,CONFIG_ASIGNATURAS!$B$2:$J$91,9,FALSE()),""))</f>
      </c>
    </row>
    <row r="4975">
      <c r="F4975">
        <f>IF(DATOS!$A4975="","",DATOS!$A4975&amp;"|"&amp;DATOS!$D4975&amp;"|"&amp;DATOS!$E4975&amp;"|"&amp;DATOS!$I4975)</f>
      </c>
      <c r="G4975">
        <f>IF(DATOS!$A4975="",0,IF(CONFIG_METADATA!$B$4&lt;&gt;"OR+EX",--(DATOS!$G4975=CONFIG_METADATA!$B$4),IF(DATOS!$G4975="EX",1,IF(DATOS!$G4975="OR",--(COUNTIFS(nNIA,DATOS!$A4975,nCURSO,DATOS!$D4975,nESPEC,DATOS!$E4975,nASIG,DATOS!$I4975,nEVAL,"EX")=0),0))))</f>
      </c>
      <c r="H4975">
        <f>IF(DATOS!$G4975&lt;&gt;"EX",0,--(COUNTIFS(nNIA,DATOS!$A4975,nCURSO,DATOS!$D4975,nESPEC,DATOS!$E4975,nASIG,DATOS!$I4975,nEVAL,"OR")=0))</f>
      </c>
      <c r="I4975">
        <f>IF(DATOS!$I4975="","",IFERROR(VLOOKUP(DATOS!$I4975,CONFIG_ASIGNATURAS!$B$2:$J$91,9,FALSE()),""))</f>
      </c>
    </row>
    <row r="4976">
      <c r="F4976">
        <f>IF(DATOS!$A4976="","",DATOS!$A4976&amp;"|"&amp;DATOS!$D4976&amp;"|"&amp;DATOS!$E4976&amp;"|"&amp;DATOS!$I4976)</f>
      </c>
      <c r="G4976">
        <f>IF(DATOS!$A4976="",0,IF(CONFIG_METADATA!$B$4&lt;&gt;"OR+EX",--(DATOS!$G4976=CONFIG_METADATA!$B$4),IF(DATOS!$G4976="EX",1,IF(DATOS!$G4976="OR",--(COUNTIFS(nNIA,DATOS!$A4976,nCURSO,DATOS!$D4976,nESPEC,DATOS!$E4976,nASIG,DATOS!$I4976,nEVAL,"EX")=0),0))))</f>
      </c>
      <c r="H4976">
        <f>IF(DATOS!$G4976&lt;&gt;"EX",0,--(COUNTIFS(nNIA,DATOS!$A4976,nCURSO,DATOS!$D4976,nESPEC,DATOS!$E4976,nASIG,DATOS!$I4976,nEVAL,"OR")=0))</f>
      </c>
      <c r="I4976">
        <f>IF(DATOS!$I4976="","",IFERROR(VLOOKUP(DATOS!$I4976,CONFIG_ASIGNATURAS!$B$2:$J$91,9,FALSE()),""))</f>
      </c>
    </row>
    <row r="4977">
      <c r="F4977">
        <f>IF(DATOS!$A4977="","",DATOS!$A4977&amp;"|"&amp;DATOS!$D4977&amp;"|"&amp;DATOS!$E4977&amp;"|"&amp;DATOS!$I4977)</f>
      </c>
      <c r="G4977">
        <f>IF(DATOS!$A4977="",0,IF(CONFIG_METADATA!$B$4&lt;&gt;"OR+EX",--(DATOS!$G4977=CONFIG_METADATA!$B$4),IF(DATOS!$G4977="EX",1,IF(DATOS!$G4977="OR",--(COUNTIFS(nNIA,DATOS!$A4977,nCURSO,DATOS!$D4977,nESPEC,DATOS!$E4977,nASIG,DATOS!$I4977,nEVAL,"EX")=0),0))))</f>
      </c>
      <c r="H4977">
        <f>IF(DATOS!$G4977&lt;&gt;"EX",0,--(COUNTIFS(nNIA,DATOS!$A4977,nCURSO,DATOS!$D4977,nESPEC,DATOS!$E4977,nASIG,DATOS!$I4977,nEVAL,"OR")=0))</f>
      </c>
      <c r="I4977">
        <f>IF(DATOS!$I4977="","",IFERROR(VLOOKUP(DATOS!$I4977,CONFIG_ASIGNATURAS!$B$2:$J$91,9,FALSE()),""))</f>
      </c>
    </row>
    <row r="4978">
      <c r="F4978">
        <f>IF(DATOS!$A4978="","",DATOS!$A4978&amp;"|"&amp;DATOS!$D4978&amp;"|"&amp;DATOS!$E4978&amp;"|"&amp;DATOS!$I4978)</f>
      </c>
      <c r="G4978">
        <f>IF(DATOS!$A4978="",0,IF(CONFIG_METADATA!$B$4&lt;&gt;"OR+EX",--(DATOS!$G4978=CONFIG_METADATA!$B$4),IF(DATOS!$G4978="EX",1,IF(DATOS!$G4978="OR",--(COUNTIFS(nNIA,DATOS!$A4978,nCURSO,DATOS!$D4978,nESPEC,DATOS!$E4978,nASIG,DATOS!$I4978,nEVAL,"EX")=0),0))))</f>
      </c>
      <c r="H4978">
        <f>IF(DATOS!$G4978&lt;&gt;"EX",0,--(COUNTIFS(nNIA,DATOS!$A4978,nCURSO,DATOS!$D4978,nESPEC,DATOS!$E4978,nASIG,DATOS!$I4978,nEVAL,"OR")=0))</f>
      </c>
      <c r="I4978">
        <f>IF(DATOS!$I4978="","",IFERROR(VLOOKUP(DATOS!$I4978,CONFIG_ASIGNATURAS!$B$2:$J$91,9,FALSE()),""))</f>
      </c>
    </row>
    <row r="4979">
      <c r="F4979">
        <f>IF(DATOS!$A4979="","",DATOS!$A4979&amp;"|"&amp;DATOS!$D4979&amp;"|"&amp;DATOS!$E4979&amp;"|"&amp;DATOS!$I4979)</f>
      </c>
      <c r="G4979">
        <f>IF(DATOS!$A4979="",0,IF(CONFIG_METADATA!$B$4&lt;&gt;"OR+EX",--(DATOS!$G4979=CONFIG_METADATA!$B$4),IF(DATOS!$G4979="EX",1,IF(DATOS!$G4979="OR",--(COUNTIFS(nNIA,DATOS!$A4979,nCURSO,DATOS!$D4979,nESPEC,DATOS!$E4979,nASIG,DATOS!$I4979,nEVAL,"EX")=0),0))))</f>
      </c>
      <c r="H4979">
        <f>IF(DATOS!$G4979&lt;&gt;"EX",0,--(COUNTIFS(nNIA,DATOS!$A4979,nCURSO,DATOS!$D4979,nESPEC,DATOS!$E4979,nASIG,DATOS!$I4979,nEVAL,"OR")=0))</f>
      </c>
      <c r="I4979">
        <f>IF(DATOS!$I4979="","",IFERROR(VLOOKUP(DATOS!$I4979,CONFIG_ASIGNATURAS!$B$2:$J$91,9,FALSE()),""))</f>
      </c>
    </row>
    <row r="4980">
      <c r="F4980">
        <f>IF(DATOS!$A4980="","",DATOS!$A4980&amp;"|"&amp;DATOS!$D4980&amp;"|"&amp;DATOS!$E4980&amp;"|"&amp;DATOS!$I4980)</f>
      </c>
      <c r="G4980">
        <f>IF(DATOS!$A4980="",0,IF(CONFIG_METADATA!$B$4&lt;&gt;"OR+EX",--(DATOS!$G4980=CONFIG_METADATA!$B$4),IF(DATOS!$G4980="EX",1,IF(DATOS!$G4980="OR",--(COUNTIFS(nNIA,DATOS!$A4980,nCURSO,DATOS!$D4980,nESPEC,DATOS!$E4980,nASIG,DATOS!$I4980,nEVAL,"EX")=0),0))))</f>
      </c>
      <c r="H4980">
        <f>IF(DATOS!$G4980&lt;&gt;"EX",0,--(COUNTIFS(nNIA,DATOS!$A4980,nCURSO,DATOS!$D4980,nESPEC,DATOS!$E4980,nASIG,DATOS!$I4980,nEVAL,"OR")=0))</f>
      </c>
      <c r="I4980">
        <f>IF(DATOS!$I4980="","",IFERROR(VLOOKUP(DATOS!$I4980,CONFIG_ASIGNATURAS!$B$2:$J$91,9,FALSE()),""))</f>
      </c>
    </row>
    <row r="4981">
      <c r="F4981">
        <f>IF(DATOS!$A4981="","",DATOS!$A4981&amp;"|"&amp;DATOS!$D4981&amp;"|"&amp;DATOS!$E4981&amp;"|"&amp;DATOS!$I4981)</f>
      </c>
      <c r="G4981">
        <f>IF(DATOS!$A4981="",0,IF(CONFIG_METADATA!$B$4&lt;&gt;"OR+EX",--(DATOS!$G4981=CONFIG_METADATA!$B$4),IF(DATOS!$G4981="EX",1,IF(DATOS!$G4981="OR",--(COUNTIFS(nNIA,DATOS!$A4981,nCURSO,DATOS!$D4981,nESPEC,DATOS!$E4981,nASIG,DATOS!$I4981,nEVAL,"EX")=0),0))))</f>
      </c>
      <c r="H4981">
        <f>IF(DATOS!$G4981&lt;&gt;"EX",0,--(COUNTIFS(nNIA,DATOS!$A4981,nCURSO,DATOS!$D4981,nESPEC,DATOS!$E4981,nASIG,DATOS!$I4981,nEVAL,"OR")=0))</f>
      </c>
      <c r="I4981">
        <f>IF(DATOS!$I4981="","",IFERROR(VLOOKUP(DATOS!$I4981,CONFIG_ASIGNATURAS!$B$2:$J$91,9,FALSE()),""))</f>
      </c>
    </row>
    <row r="4982">
      <c r="F4982">
        <f>IF(DATOS!$A4982="","",DATOS!$A4982&amp;"|"&amp;DATOS!$D4982&amp;"|"&amp;DATOS!$E4982&amp;"|"&amp;DATOS!$I4982)</f>
      </c>
      <c r="G4982">
        <f>IF(DATOS!$A4982="",0,IF(CONFIG_METADATA!$B$4&lt;&gt;"OR+EX",--(DATOS!$G4982=CONFIG_METADATA!$B$4),IF(DATOS!$G4982="EX",1,IF(DATOS!$G4982="OR",--(COUNTIFS(nNIA,DATOS!$A4982,nCURSO,DATOS!$D4982,nESPEC,DATOS!$E4982,nASIG,DATOS!$I4982,nEVAL,"EX")=0),0))))</f>
      </c>
      <c r="H4982">
        <f>IF(DATOS!$G4982&lt;&gt;"EX",0,--(COUNTIFS(nNIA,DATOS!$A4982,nCURSO,DATOS!$D4982,nESPEC,DATOS!$E4982,nASIG,DATOS!$I4982,nEVAL,"OR")=0))</f>
      </c>
      <c r="I4982">
        <f>IF(DATOS!$I4982="","",IFERROR(VLOOKUP(DATOS!$I4982,CONFIG_ASIGNATURAS!$B$2:$J$91,9,FALSE()),""))</f>
      </c>
    </row>
    <row r="4983">
      <c r="F4983">
        <f>IF(DATOS!$A4983="","",DATOS!$A4983&amp;"|"&amp;DATOS!$D4983&amp;"|"&amp;DATOS!$E4983&amp;"|"&amp;DATOS!$I4983)</f>
      </c>
      <c r="G4983">
        <f>IF(DATOS!$A4983="",0,IF(CONFIG_METADATA!$B$4&lt;&gt;"OR+EX",--(DATOS!$G4983=CONFIG_METADATA!$B$4),IF(DATOS!$G4983="EX",1,IF(DATOS!$G4983="OR",--(COUNTIFS(nNIA,DATOS!$A4983,nCURSO,DATOS!$D4983,nESPEC,DATOS!$E4983,nASIG,DATOS!$I4983,nEVAL,"EX")=0),0))))</f>
      </c>
      <c r="H4983">
        <f>IF(DATOS!$G4983&lt;&gt;"EX",0,--(COUNTIFS(nNIA,DATOS!$A4983,nCURSO,DATOS!$D4983,nESPEC,DATOS!$E4983,nASIG,DATOS!$I4983,nEVAL,"OR")=0))</f>
      </c>
      <c r="I4983">
        <f>IF(DATOS!$I4983="","",IFERROR(VLOOKUP(DATOS!$I4983,CONFIG_ASIGNATURAS!$B$2:$J$91,9,FALSE()),""))</f>
      </c>
    </row>
    <row r="4984">
      <c r="F4984">
        <f>IF(DATOS!$A4984="","",DATOS!$A4984&amp;"|"&amp;DATOS!$D4984&amp;"|"&amp;DATOS!$E4984&amp;"|"&amp;DATOS!$I4984)</f>
      </c>
      <c r="G4984">
        <f>IF(DATOS!$A4984="",0,IF(CONFIG_METADATA!$B$4&lt;&gt;"OR+EX",--(DATOS!$G4984=CONFIG_METADATA!$B$4),IF(DATOS!$G4984="EX",1,IF(DATOS!$G4984="OR",--(COUNTIFS(nNIA,DATOS!$A4984,nCURSO,DATOS!$D4984,nESPEC,DATOS!$E4984,nASIG,DATOS!$I4984,nEVAL,"EX")=0),0))))</f>
      </c>
      <c r="H4984">
        <f>IF(DATOS!$G4984&lt;&gt;"EX",0,--(COUNTIFS(nNIA,DATOS!$A4984,nCURSO,DATOS!$D4984,nESPEC,DATOS!$E4984,nASIG,DATOS!$I4984,nEVAL,"OR")=0))</f>
      </c>
      <c r="I4984">
        <f>IF(DATOS!$I4984="","",IFERROR(VLOOKUP(DATOS!$I4984,CONFIG_ASIGNATURAS!$B$2:$J$91,9,FALSE()),""))</f>
      </c>
    </row>
    <row r="4985">
      <c r="F4985">
        <f>IF(DATOS!$A4985="","",DATOS!$A4985&amp;"|"&amp;DATOS!$D4985&amp;"|"&amp;DATOS!$E4985&amp;"|"&amp;DATOS!$I4985)</f>
      </c>
      <c r="G4985">
        <f>IF(DATOS!$A4985="",0,IF(CONFIG_METADATA!$B$4&lt;&gt;"OR+EX",--(DATOS!$G4985=CONFIG_METADATA!$B$4),IF(DATOS!$G4985="EX",1,IF(DATOS!$G4985="OR",--(COUNTIFS(nNIA,DATOS!$A4985,nCURSO,DATOS!$D4985,nESPEC,DATOS!$E4985,nASIG,DATOS!$I4985,nEVAL,"EX")=0),0))))</f>
      </c>
      <c r="H4985">
        <f>IF(DATOS!$G4985&lt;&gt;"EX",0,--(COUNTIFS(nNIA,DATOS!$A4985,nCURSO,DATOS!$D4985,nESPEC,DATOS!$E4985,nASIG,DATOS!$I4985,nEVAL,"OR")=0))</f>
      </c>
      <c r="I4985">
        <f>IF(DATOS!$I4985="","",IFERROR(VLOOKUP(DATOS!$I4985,CONFIG_ASIGNATURAS!$B$2:$J$91,9,FALSE()),""))</f>
      </c>
    </row>
    <row r="4986">
      <c r="F4986">
        <f>IF(DATOS!$A4986="","",DATOS!$A4986&amp;"|"&amp;DATOS!$D4986&amp;"|"&amp;DATOS!$E4986&amp;"|"&amp;DATOS!$I4986)</f>
      </c>
      <c r="G4986">
        <f>IF(DATOS!$A4986="",0,IF(CONFIG_METADATA!$B$4&lt;&gt;"OR+EX",--(DATOS!$G4986=CONFIG_METADATA!$B$4),IF(DATOS!$G4986="EX",1,IF(DATOS!$G4986="OR",--(COUNTIFS(nNIA,DATOS!$A4986,nCURSO,DATOS!$D4986,nESPEC,DATOS!$E4986,nASIG,DATOS!$I4986,nEVAL,"EX")=0),0))))</f>
      </c>
      <c r="H4986">
        <f>IF(DATOS!$G4986&lt;&gt;"EX",0,--(COUNTIFS(nNIA,DATOS!$A4986,nCURSO,DATOS!$D4986,nESPEC,DATOS!$E4986,nASIG,DATOS!$I4986,nEVAL,"OR")=0))</f>
      </c>
      <c r="I4986">
        <f>IF(DATOS!$I4986="","",IFERROR(VLOOKUP(DATOS!$I4986,CONFIG_ASIGNATURAS!$B$2:$J$91,9,FALSE()),""))</f>
      </c>
    </row>
    <row r="4987">
      <c r="F4987">
        <f>IF(DATOS!$A4987="","",DATOS!$A4987&amp;"|"&amp;DATOS!$D4987&amp;"|"&amp;DATOS!$E4987&amp;"|"&amp;DATOS!$I4987)</f>
      </c>
      <c r="G4987">
        <f>IF(DATOS!$A4987="",0,IF(CONFIG_METADATA!$B$4&lt;&gt;"OR+EX",--(DATOS!$G4987=CONFIG_METADATA!$B$4),IF(DATOS!$G4987="EX",1,IF(DATOS!$G4987="OR",--(COUNTIFS(nNIA,DATOS!$A4987,nCURSO,DATOS!$D4987,nESPEC,DATOS!$E4987,nASIG,DATOS!$I4987,nEVAL,"EX")=0),0))))</f>
      </c>
      <c r="H4987">
        <f>IF(DATOS!$G4987&lt;&gt;"EX",0,--(COUNTIFS(nNIA,DATOS!$A4987,nCURSO,DATOS!$D4987,nESPEC,DATOS!$E4987,nASIG,DATOS!$I4987,nEVAL,"OR")=0))</f>
      </c>
      <c r="I4987">
        <f>IF(DATOS!$I4987="","",IFERROR(VLOOKUP(DATOS!$I4987,CONFIG_ASIGNATURAS!$B$2:$J$91,9,FALSE()),""))</f>
      </c>
    </row>
    <row r="4988">
      <c r="F4988">
        <f>IF(DATOS!$A4988="","",DATOS!$A4988&amp;"|"&amp;DATOS!$D4988&amp;"|"&amp;DATOS!$E4988&amp;"|"&amp;DATOS!$I4988)</f>
      </c>
      <c r="G4988">
        <f>IF(DATOS!$A4988="",0,IF(CONFIG_METADATA!$B$4&lt;&gt;"OR+EX",--(DATOS!$G4988=CONFIG_METADATA!$B$4),IF(DATOS!$G4988="EX",1,IF(DATOS!$G4988="OR",--(COUNTIFS(nNIA,DATOS!$A4988,nCURSO,DATOS!$D4988,nESPEC,DATOS!$E4988,nASIG,DATOS!$I4988,nEVAL,"EX")=0),0))))</f>
      </c>
      <c r="H4988">
        <f>IF(DATOS!$G4988&lt;&gt;"EX",0,--(COUNTIFS(nNIA,DATOS!$A4988,nCURSO,DATOS!$D4988,nESPEC,DATOS!$E4988,nASIG,DATOS!$I4988,nEVAL,"OR")=0))</f>
      </c>
      <c r="I4988">
        <f>IF(DATOS!$I4988="","",IFERROR(VLOOKUP(DATOS!$I4988,CONFIG_ASIGNATURAS!$B$2:$J$91,9,FALSE()),""))</f>
      </c>
    </row>
    <row r="4989">
      <c r="F4989">
        <f>IF(DATOS!$A4989="","",DATOS!$A4989&amp;"|"&amp;DATOS!$D4989&amp;"|"&amp;DATOS!$E4989&amp;"|"&amp;DATOS!$I4989)</f>
      </c>
      <c r="G4989">
        <f>IF(DATOS!$A4989="",0,IF(CONFIG_METADATA!$B$4&lt;&gt;"OR+EX",--(DATOS!$G4989=CONFIG_METADATA!$B$4),IF(DATOS!$G4989="EX",1,IF(DATOS!$G4989="OR",--(COUNTIFS(nNIA,DATOS!$A4989,nCURSO,DATOS!$D4989,nESPEC,DATOS!$E4989,nASIG,DATOS!$I4989,nEVAL,"EX")=0),0))))</f>
      </c>
      <c r="H4989">
        <f>IF(DATOS!$G4989&lt;&gt;"EX",0,--(COUNTIFS(nNIA,DATOS!$A4989,nCURSO,DATOS!$D4989,nESPEC,DATOS!$E4989,nASIG,DATOS!$I4989,nEVAL,"OR")=0))</f>
      </c>
      <c r="I4989">
        <f>IF(DATOS!$I4989="","",IFERROR(VLOOKUP(DATOS!$I4989,CONFIG_ASIGNATURAS!$B$2:$J$91,9,FALSE()),""))</f>
      </c>
    </row>
    <row r="4990">
      <c r="F4990">
        <f>IF(DATOS!$A4990="","",DATOS!$A4990&amp;"|"&amp;DATOS!$D4990&amp;"|"&amp;DATOS!$E4990&amp;"|"&amp;DATOS!$I4990)</f>
      </c>
      <c r="G4990">
        <f>IF(DATOS!$A4990="",0,IF(CONFIG_METADATA!$B$4&lt;&gt;"OR+EX",--(DATOS!$G4990=CONFIG_METADATA!$B$4),IF(DATOS!$G4990="EX",1,IF(DATOS!$G4990="OR",--(COUNTIFS(nNIA,DATOS!$A4990,nCURSO,DATOS!$D4990,nESPEC,DATOS!$E4990,nASIG,DATOS!$I4990,nEVAL,"EX")=0),0))))</f>
      </c>
      <c r="H4990">
        <f>IF(DATOS!$G4990&lt;&gt;"EX",0,--(COUNTIFS(nNIA,DATOS!$A4990,nCURSO,DATOS!$D4990,nESPEC,DATOS!$E4990,nASIG,DATOS!$I4990,nEVAL,"OR")=0))</f>
      </c>
      <c r="I4990">
        <f>IF(DATOS!$I4990="","",IFERROR(VLOOKUP(DATOS!$I4990,CONFIG_ASIGNATURAS!$B$2:$J$91,9,FALSE()),""))</f>
      </c>
    </row>
    <row r="4991">
      <c r="F4991">
        <f>IF(DATOS!$A4991="","",DATOS!$A4991&amp;"|"&amp;DATOS!$D4991&amp;"|"&amp;DATOS!$E4991&amp;"|"&amp;DATOS!$I4991)</f>
      </c>
      <c r="G4991">
        <f>IF(DATOS!$A4991="",0,IF(CONFIG_METADATA!$B$4&lt;&gt;"OR+EX",--(DATOS!$G4991=CONFIG_METADATA!$B$4),IF(DATOS!$G4991="EX",1,IF(DATOS!$G4991="OR",--(COUNTIFS(nNIA,DATOS!$A4991,nCURSO,DATOS!$D4991,nESPEC,DATOS!$E4991,nASIG,DATOS!$I4991,nEVAL,"EX")=0),0))))</f>
      </c>
      <c r="H4991">
        <f>IF(DATOS!$G4991&lt;&gt;"EX",0,--(COUNTIFS(nNIA,DATOS!$A4991,nCURSO,DATOS!$D4991,nESPEC,DATOS!$E4991,nASIG,DATOS!$I4991,nEVAL,"OR")=0))</f>
      </c>
      <c r="I4991">
        <f>IF(DATOS!$I4991="","",IFERROR(VLOOKUP(DATOS!$I4991,CONFIG_ASIGNATURAS!$B$2:$J$91,9,FALSE()),""))</f>
      </c>
    </row>
    <row r="4992">
      <c r="F4992">
        <f>IF(DATOS!$A4992="","",DATOS!$A4992&amp;"|"&amp;DATOS!$D4992&amp;"|"&amp;DATOS!$E4992&amp;"|"&amp;DATOS!$I4992)</f>
      </c>
      <c r="G4992">
        <f>IF(DATOS!$A4992="",0,IF(CONFIG_METADATA!$B$4&lt;&gt;"OR+EX",--(DATOS!$G4992=CONFIG_METADATA!$B$4),IF(DATOS!$G4992="EX",1,IF(DATOS!$G4992="OR",--(COUNTIFS(nNIA,DATOS!$A4992,nCURSO,DATOS!$D4992,nESPEC,DATOS!$E4992,nASIG,DATOS!$I4992,nEVAL,"EX")=0),0))))</f>
      </c>
      <c r="H4992">
        <f>IF(DATOS!$G4992&lt;&gt;"EX",0,--(COUNTIFS(nNIA,DATOS!$A4992,nCURSO,DATOS!$D4992,nESPEC,DATOS!$E4992,nASIG,DATOS!$I4992,nEVAL,"OR")=0))</f>
      </c>
      <c r="I4992">
        <f>IF(DATOS!$I4992="","",IFERROR(VLOOKUP(DATOS!$I4992,CONFIG_ASIGNATURAS!$B$2:$J$91,9,FALSE()),""))</f>
      </c>
    </row>
    <row r="4993">
      <c r="F4993">
        <f>IF(DATOS!$A4993="","",DATOS!$A4993&amp;"|"&amp;DATOS!$D4993&amp;"|"&amp;DATOS!$E4993&amp;"|"&amp;DATOS!$I4993)</f>
      </c>
      <c r="G4993">
        <f>IF(DATOS!$A4993="",0,IF(CONFIG_METADATA!$B$4&lt;&gt;"OR+EX",--(DATOS!$G4993=CONFIG_METADATA!$B$4),IF(DATOS!$G4993="EX",1,IF(DATOS!$G4993="OR",--(COUNTIFS(nNIA,DATOS!$A4993,nCURSO,DATOS!$D4993,nESPEC,DATOS!$E4993,nASIG,DATOS!$I4993,nEVAL,"EX")=0),0))))</f>
      </c>
      <c r="H4993">
        <f>IF(DATOS!$G4993&lt;&gt;"EX",0,--(COUNTIFS(nNIA,DATOS!$A4993,nCURSO,DATOS!$D4993,nESPEC,DATOS!$E4993,nASIG,DATOS!$I4993,nEVAL,"OR")=0))</f>
      </c>
      <c r="I4993">
        <f>IF(DATOS!$I4993="","",IFERROR(VLOOKUP(DATOS!$I4993,CONFIG_ASIGNATURAS!$B$2:$J$91,9,FALSE()),""))</f>
      </c>
    </row>
    <row r="4994">
      <c r="F4994">
        <f>IF(DATOS!$A4994="","",DATOS!$A4994&amp;"|"&amp;DATOS!$D4994&amp;"|"&amp;DATOS!$E4994&amp;"|"&amp;DATOS!$I4994)</f>
      </c>
      <c r="G4994">
        <f>IF(DATOS!$A4994="",0,IF(CONFIG_METADATA!$B$4&lt;&gt;"OR+EX",--(DATOS!$G4994=CONFIG_METADATA!$B$4),IF(DATOS!$G4994="EX",1,IF(DATOS!$G4994="OR",--(COUNTIFS(nNIA,DATOS!$A4994,nCURSO,DATOS!$D4994,nESPEC,DATOS!$E4994,nASIG,DATOS!$I4994,nEVAL,"EX")=0),0))))</f>
      </c>
      <c r="H4994">
        <f>IF(DATOS!$G4994&lt;&gt;"EX",0,--(COUNTIFS(nNIA,DATOS!$A4994,nCURSO,DATOS!$D4994,nESPEC,DATOS!$E4994,nASIG,DATOS!$I4994,nEVAL,"OR")=0))</f>
      </c>
      <c r="I4994">
        <f>IF(DATOS!$I4994="","",IFERROR(VLOOKUP(DATOS!$I4994,CONFIG_ASIGNATURAS!$B$2:$J$91,9,FALSE()),""))</f>
      </c>
    </row>
    <row r="4995">
      <c r="F4995">
        <f>IF(DATOS!$A4995="","",DATOS!$A4995&amp;"|"&amp;DATOS!$D4995&amp;"|"&amp;DATOS!$E4995&amp;"|"&amp;DATOS!$I4995)</f>
      </c>
      <c r="G4995">
        <f>IF(DATOS!$A4995="",0,IF(CONFIG_METADATA!$B$4&lt;&gt;"OR+EX",--(DATOS!$G4995=CONFIG_METADATA!$B$4),IF(DATOS!$G4995="EX",1,IF(DATOS!$G4995="OR",--(COUNTIFS(nNIA,DATOS!$A4995,nCURSO,DATOS!$D4995,nESPEC,DATOS!$E4995,nASIG,DATOS!$I4995,nEVAL,"EX")=0),0))))</f>
      </c>
      <c r="H4995">
        <f>IF(DATOS!$G4995&lt;&gt;"EX",0,--(COUNTIFS(nNIA,DATOS!$A4995,nCURSO,DATOS!$D4995,nESPEC,DATOS!$E4995,nASIG,DATOS!$I4995,nEVAL,"OR")=0))</f>
      </c>
      <c r="I4995">
        <f>IF(DATOS!$I4995="","",IFERROR(VLOOKUP(DATOS!$I4995,CONFIG_ASIGNATURAS!$B$2:$J$91,9,FALSE()),""))</f>
      </c>
    </row>
    <row r="4996">
      <c r="F4996">
        <f>IF(DATOS!$A4996="","",DATOS!$A4996&amp;"|"&amp;DATOS!$D4996&amp;"|"&amp;DATOS!$E4996&amp;"|"&amp;DATOS!$I4996)</f>
      </c>
      <c r="G4996">
        <f>IF(DATOS!$A4996="",0,IF(CONFIG_METADATA!$B$4&lt;&gt;"OR+EX",--(DATOS!$G4996=CONFIG_METADATA!$B$4),IF(DATOS!$G4996="EX",1,IF(DATOS!$G4996="OR",--(COUNTIFS(nNIA,DATOS!$A4996,nCURSO,DATOS!$D4996,nESPEC,DATOS!$E4996,nASIG,DATOS!$I4996,nEVAL,"EX")=0),0))))</f>
      </c>
      <c r="H4996">
        <f>IF(DATOS!$G4996&lt;&gt;"EX",0,--(COUNTIFS(nNIA,DATOS!$A4996,nCURSO,DATOS!$D4996,nESPEC,DATOS!$E4996,nASIG,DATOS!$I4996,nEVAL,"OR")=0))</f>
      </c>
      <c r="I4996">
        <f>IF(DATOS!$I4996="","",IFERROR(VLOOKUP(DATOS!$I4996,CONFIG_ASIGNATURAS!$B$2:$J$91,9,FALSE()),""))</f>
      </c>
    </row>
    <row r="4997">
      <c r="F4997">
        <f>IF(DATOS!$A4997="","",DATOS!$A4997&amp;"|"&amp;DATOS!$D4997&amp;"|"&amp;DATOS!$E4997&amp;"|"&amp;DATOS!$I4997)</f>
      </c>
      <c r="G4997">
        <f>IF(DATOS!$A4997="",0,IF(CONFIG_METADATA!$B$4&lt;&gt;"OR+EX",--(DATOS!$G4997=CONFIG_METADATA!$B$4),IF(DATOS!$G4997="EX",1,IF(DATOS!$G4997="OR",--(COUNTIFS(nNIA,DATOS!$A4997,nCURSO,DATOS!$D4997,nESPEC,DATOS!$E4997,nASIG,DATOS!$I4997,nEVAL,"EX")=0),0))))</f>
      </c>
      <c r="H4997">
        <f>IF(DATOS!$G4997&lt;&gt;"EX",0,--(COUNTIFS(nNIA,DATOS!$A4997,nCURSO,DATOS!$D4997,nESPEC,DATOS!$E4997,nASIG,DATOS!$I4997,nEVAL,"OR")=0))</f>
      </c>
      <c r="I4997">
        <f>IF(DATOS!$I4997="","",IFERROR(VLOOKUP(DATOS!$I4997,CONFIG_ASIGNATURAS!$B$2:$J$91,9,FALSE()),""))</f>
      </c>
    </row>
    <row r="4998">
      <c r="F4998">
        <f>IF(DATOS!$A4998="","",DATOS!$A4998&amp;"|"&amp;DATOS!$D4998&amp;"|"&amp;DATOS!$E4998&amp;"|"&amp;DATOS!$I4998)</f>
      </c>
      <c r="G4998">
        <f>IF(DATOS!$A4998="",0,IF(CONFIG_METADATA!$B$4&lt;&gt;"OR+EX",--(DATOS!$G4998=CONFIG_METADATA!$B$4),IF(DATOS!$G4998="EX",1,IF(DATOS!$G4998="OR",--(COUNTIFS(nNIA,DATOS!$A4998,nCURSO,DATOS!$D4998,nESPEC,DATOS!$E4998,nASIG,DATOS!$I4998,nEVAL,"EX")=0),0))))</f>
      </c>
      <c r="H4998">
        <f>IF(DATOS!$G4998&lt;&gt;"EX",0,--(COUNTIFS(nNIA,DATOS!$A4998,nCURSO,DATOS!$D4998,nESPEC,DATOS!$E4998,nASIG,DATOS!$I4998,nEVAL,"OR")=0))</f>
      </c>
      <c r="I4998">
        <f>IF(DATOS!$I4998="","",IFERROR(VLOOKUP(DATOS!$I4998,CONFIG_ASIGNATURAS!$B$2:$J$91,9,FALSE()),""))</f>
      </c>
    </row>
    <row r="4999">
      <c r="F4999">
        <f>IF(DATOS!$A4999="","",DATOS!$A4999&amp;"|"&amp;DATOS!$D4999&amp;"|"&amp;DATOS!$E4999&amp;"|"&amp;DATOS!$I4999)</f>
      </c>
      <c r="G4999">
        <f>IF(DATOS!$A4999="",0,IF(CONFIG_METADATA!$B$4&lt;&gt;"OR+EX",--(DATOS!$G4999=CONFIG_METADATA!$B$4),IF(DATOS!$G4999="EX",1,IF(DATOS!$G4999="OR",--(COUNTIFS(nNIA,DATOS!$A4999,nCURSO,DATOS!$D4999,nESPEC,DATOS!$E4999,nASIG,DATOS!$I4999,nEVAL,"EX")=0),0))))</f>
      </c>
      <c r="H4999">
        <f>IF(DATOS!$G4999&lt;&gt;"EX",0,--(COUNTIFS(nNIA,DATOS!$A4999,nCURSO,DATOS!$D4999,nESPEC,DATOS!$E4999,nASIG,DATOS!$I4999,nEVAL,"OR")=0))</f>
      </c>
      <c r="I4999">
        <f>IF(DATOS!$I4999="","",IFERROR(VLOOKUP(DATOS!$I4999,CONFIG_ASIGNATURAS!$B$2:$J$91,9,FALSE()),""))</f>
      </c>
    </row>
    <row r="5000">
      <c r="F5000">
        <f>IF(DATOS!$A5000="","",DATOS!$A5000&amp;"|"&amp;DATOS!$D5000&amp;"|"&amp;DATOS!$E5000&amp;"|"&amp;DATOS!$I5000)</f>
      </c>
      <c r="G5000">
        <f>IF(DATOS!$A5000="",0,IF(CONFIG_METADATA!$B$4&lt;&gt;"OR+EX",--(DATOS!$G5000=CONFIG_METADATA!$B$4),IF(DATOS!$G5000="EX",1,IF(DATOS!$G5000="OR",--(COUNTIFS(nNIA,DATOS!$A5000,nCURSO,DATOS!$D5000,nESPEC,DATOS!$E5000,nASIG,DATOS!$I5000,nEVAL,"EX")=0),0))))</f>
      </c>
      <c r="H5000">
        <f>IF(DATOS!$G5000&lt;&gt;"EX",0,--(COUNTIFS(nNIA,DATOS!$A5000,nCURSO,DATOS!$D5000,nESPEC,DATOS!$E5000,nASIG,DATOS!$I5000,nEVAL,"OR")=0))</f>
      </c>
      <c r="I5000">
        <f>IF(DATOS!$I5000="","",IFERROR(VLOOKUP(DATOS!$I5000,CONFIG_ASIGNATURAS!$B$2:$J$91,9,FALSE()),""))</f>
      </c>
    </row>
    <row r="5001">
      <c r="F5001">
        <f>IF(DATOS!$A5001="","",DATOS!$A5001&amp;"|"&amp;DATOS!$D5001&amp;"|"&amp;DATOS!$E5001&amp;"|"&amp;DATOS!$I5001)</f>
      </c>
      <c r="G5001">
        <f>IF(DATOS!$A5001="",0,IF(CONFIG_METADATA!$B$4&lt;&gt;"OR+EX",--(DATOS!$G5001=CONFIG_METADATA!$B$4),IF(DATOS!$G5001="EX",1,IF(DATOS!$G5001="OR",--(COUNTIFS(nNIA,DATOS!$A5001,nCURSO,DATOS!$D5001,nESPEC,DATOS!$E5001,nASIG,DATOS!$I5001,nEVAL,"EX")=0),0))))</f>
      </c>
      <c r="H5001">
        <f>IF(DATOS!$G5001&lt;&gt;"EX",0,--(COUNTIFS(nNIA,DATOS!$A5001,nCURSO,DATOS!$D5001,nESPEC,DATOS!$E5001,nASIG,DATOS!$I5001,nEVAL,"OR")=0))</f>
      </c>
      <c r="I5001">
        <f>IF(DATOS!$I5001="","",IFERROR(VLOOKUP(DATOS!$I5001,CONFIG_ASIGNATURAS!$B$2:$J$91,9,FALSE()),""))</f>
      </c>
    </row>
    <row r="5002">
      <c r="F5002">
        <f>IF(DATOS!$A5002="","",DATOS!$A5002&amp;"|"&amp;DATOS!$D5002&amp;"|"&amp;DATOS!$E5002&amp;"|"&amp;DATOS!$I5002)</f>
      </c>
      <c r="G5002">
        <f>IF(DATOS!$A5002="",0,IF(CONFIG_METADATA!$B$4&lt;&gt;"OR+EX",--(DATOS!$G5002=CONFIG_METADATA!$B$4),IF(DATOS!$G5002="EX",1,IF(DATOS!$G5002="OR",--(COUNTIFS(nNIA,DATOS!$A5002,nCURSO,DATOS!$D5002,nESPEC,DATOS!$E5002,nASIG,DATOS!$I5002,nEVAL,"EX")=0),0))))</f>
      </c>
      <c r="H5002">
        <f>IF(DATOS!$G5002&lt;&gt;"EX",0,--(COUNTIFS(nNIA,DATOS!$A5002,nCURSO,DATOS!$D5002,nESPEC,DATOS!$E5002,nASIG,DATOS!$I5002,nEVAL,"OR")=0))</f>
      </c>
      <c r="I5002">
        <f>IF(DATOS!$I5002="","",IFERROR(VLOOKUP(DATOS!$I5002,CONFIG_ASIGNATURAS!$B$2:$J$91,9,FALSE()),""))</f>
      </c>
    </row>
    <row r="5003">
      <c r="F5003">
        <f>IF(DATOS!$A5003="","",DATOS!$A5003&amp;"|"&amp;DATOS!$D5003&amp;"|"&amp;DATOS!$E5003&amp;"|"&amp;DATOS!$I5003)</f>
      </c>
      <c r="G5003">
        <f>IF(DATOS!$A5003="",0,IF(CONFIG_METADATA!$B$4&lt;&gt;"OR+EX",--(DATOS!$G5003=CONFIG_METADATA!$B$4),IF(DATOS!$G5003="EX",1,IF(DATOS!$G5003="OR",--(COUNTIFS(nNIA,DATOS!$A5003,nCURSO,DATOS!$D5003,nESPEC,DATOS!$E5003,nASIG,DATOS!$I5003,nEVAL,"EX")=0),0))))</f>
      </c>
      <c r="H5003">
        <f>IF(DATOS!$G5003&lt;&gt;"EX",0,--(COUNTIFS(nNIA,DATOS!$A5003,nCURSO,DATOS!$D5003,nESPEC,DATOS!$E5003,nASIG,DATOS!$I5003,nEVAL,"OR")=0))</f>
      </c>
      <c r="I5003">
        <f>IF(DATOS!$I5003="","",IFERROR(VLOOKUP(DATOS!$I5003,CONFIG_ASIGNATURAS!$B$2:$J$91,9,FALSE()),""))</f>
      </c>
    </row>
    <row r="5004">
      <c r="F5004">
        <f>IF(DATOS!$A5004="","",DATOS!$A5004&amp;"|"&amp;DATOS!$D5004&amp;"|"&amp;DATOS!$E5004&amp;"|"&amp;DATOS!$I5004)</f>
      </c>
      <c r="G5004">
        <f>IF(DATOS!$A5004="",0,IF(CONFIG_METADATA!$B$4&lt;&gt;"OR+EX",--(DATOS!$G5004=CONFIG_METADATA!$B$4),IF(DATOS!$G5004="EX",1,IF(DATOS!$G5004="OR",--(COUNTIFS(nNIA,DATOS!$A5004,nCURSO,DATOS!$D5004,nESPEC,DATOS!$E5004,nASIG,DATOS!$I5004,nEVAL,"EX")=0),0))))</f>
      </c>
      <c r="H5004">
        <f>IF(DATOS!$G5004&lt;&gt;"EX",0,--(COUNTIFS(nNIA,DATOS!$A5004,nCURSO,DATOS!$D5004,nESPEC,DATOS!$E5004,nASIG,DATOS!$I5004,nEVAL,"OR")=0))</f>
      </c>
      <c r="I5004">
        <f>IF(DATOS!$I5004="","",IFERROR(VLOOKUP(DATOS!$I5004,CONFIG_ASIGNATURAS!$B$2:$J$91,9,FALSE()),""))</f>
      </c>
    </row>
    <row r="5005">
      <c r="F5005">
        <f>IF(DATOS!$A5005="","",DATOS!$A5005&amp;"|"&amp;DATOS!$D5005&amp;"|"&amp;DATOS!$E5005&amp;"|"&amp;DATOS!$I5005)</f>
      </c>
      <c r="G5005">
        <f>IF(DATOS!$A5005="",0,IF(CONFIG_METADATA!$B$4&lt;&gt;"OR+EX",--(DATOS!$G5005=CONFIG_METADATA!$B$4),IF(DATOS!$G5005="EX",1,IF(DATOS!$G5005="OR",--(COUNTIFS(nNIA,DATOS!$A5005,nCURSO,DATOS!$D5005,nESPEC,DATOS!$E5005,nASIG,DATOS!$I5005,nEVAL,"EX")=0),0))))</f>
      </c>
      <c r="H5005">
        <f>IF(DATOS!$G5005&lt;&gt;"EX",0,--(COUNTIFS(nNIA,DATOS!$A5005,nCURSO,DATOS!$D5005,nESPEC,DATOS!$E5005,nASIG,DATOS!$I5005,nEVAL,"OR")=0))</f>
      </c>
      <c r="I5005">
        <f>IF(DATOS!$I5005="","",IFERROR(VLOOKUP(DATOS!$I5005,CONFIG_ASIGNATURAS!$B$2:$J$91,9,FALSE()),""))</f>
      </c>
    </row>
    <row r="5006">
      <c r="F5006">
        <f>IF(DATOS!$A5006="","",DATOS!$A5006&amp;"|"&amp;DATOS!$D5006&amp;"|"&amp;DATOS!$E5006&amp;"|"&amp;DATOS!$I5006)</f>
      </c>
      <c r="G5006">
        <f>IF(DATOS!$A5006="",0,IF(CONFIG_METADATA!$B$4&lt;&gt;"OR+EX",--(DATOS!$G5006=CONFIG_METADATA!$B$4),IF(DATOS!$G5006="EX",1,IF(DATOS!$G5006="OR",--(COUNTIFS(nNIA,DATOS!$A5006,nCURSO,DATOS!$D5006,nESPEC,DATOS!$E5006,nASIG,DATOS!$I5006,nEVAL,"EX")=0),0))))</f>
      </c>
      <c r="H5006">
        <f>IF(DATOS!$G5006&lt;&gt;"EX",0,--(COUNTIFS(nNIA,DATOS!$A5006,nCURSO,DATOS!$D5006,nESPEC,DATOS!$E5006,nASIG,DATOS!$I5006,nEVAL,"OR")=0))</f>
      </c>
      <c r="I5006">
        <f>IF(DATOS!$I5006="","",IFERROR(VLOOKUP(DATOS!$I5006,CONFIG_ASIGNATURAS!$B$2:$J$91,9,FALSE()),""))</f>
      </c>
    </row>
    <row r="5007">
      <c r="F5007">
        <f>IF(DATOS!$A5007="","",DATOS!$A5007&amp;"|"&amp;DATOS!$D5007&amp;"|"&amp;DATOS!$E5007&amp;"|"&amp;DATOS!$I5007)</f>
      </c>
      <c r="G5007">
        <f>IF(DATOS!$A5007="",0,IF(CONFIG_METADATA!$B$4&lt;&gt;"OR+EX",--(DATOS!$G5007=CONFIG_METADATA!$B$4),IF(DATOS!$G5007="EX",1,IF(DATOS!$G5007="OR",--(COUNTIFS(nNIA,DATOS!$A5007,nCURSO,DATOS!$D5007,nESPEC,DATOS!$E5007,nASIG,DATOS!$I5007,nEVAL,"EX")=0),0))))</f>
      </c>
      <c r="H5007">
        <f>IF(DATOS!$G5007&lt;&gt;"EX",0,--(COUNTIFS(nNIA,DATOS!$A5007,nCURSO,DATOS!$D5007,nESPEC,DATOS!$E5007,nASIG,DATOS!$I5007,nEVAL,"OR")=0))</f>
      </c>
      <c r="I5007">
        <f>IF(DATOS!$I5007="","",IFERROR(VLOOKUP(DATOS!$I5007,CONFIG_ASIGNATURAS!$B$2:$J$91,9,FALSE()),""))</f>
      </c>
    </row>
    <row r="5008">
      <c r="F5008">
        <f>IF(DATOS!$A5008="","",DATOS!$A5008&amp;"|"&amp;DATOS!$D5008&amp;"|"&amp;DATOS!$E5008&amp;"|"&amp;DATOS!$I5008)</f>
      </c>
      <c r="G5008">
        <f>IF(DATOS!$A5008="",0,IF(CONFIG_METADATA!$B$4&lt;&gt;"OR+EX",--(DATOS!$G5008=CONFIG_METADATA!$B$4),IF(DATOS!$G5008="EX",1,IF(DATOS!$G5008="OR",--(COUNTIFS(nNIA,DATOS!$A5008,nCURSO,DATOS!$D5008,nESPEC,DATOS!$E5008,nASIG,DATOS!$I5008,nEVAL,"EX")=0),0))))</f>
      </c>
      <c r="H5008">
        <f>IF(DATOS!$G5008&lt;&gt;"EX",0,--(COUNTIFS(nNIA,DATOS!$A5008,nCURSO,DATOS!$D5008,nESPEC,DATOS!$E5008,nASIG,DATOS!$I5008,nEVAL,"OR")=0))</f>
      </c>
      <c r="I5008">
        <f>IF(DATOS!$I5008="","",IFERROR(VLOOKUP(DATOS!$I5008,CONFIG_ASIGNATURAS!$B$2:$J$91,9,FALSE()),""))</f>
      </c>
    </row>
    <row r="5009">
      <c r="F5009">
        <f>IF(DATOS!$A5009="","",DATOS!$A5009&amp;"|"&amp;DATOS!$D5009&amp;"|"&amp;DATOS!$E5009&amp;"|"&amp;DATOS!$I5009)</f>
      </c>
      <c r="G5009">
        <f>IF(DATOS!$A5009="",0,IF(CONFIG_METADATA!$B$4&lt;&gt;"OR+EX",--(DATOS!$G5009=CONFIG_METADATA!$B$4),IF(DATOS!$G5009="EX",1,IF(DATOS!$G5009="OR",--(COUNTIFS(nNIA,DATOS!$A5009,nCURSO,DATOS!$D5009,nESPEC,DATOS!$E5009,nASIG,DATOS!$I5009,nEVAL,"EX")=0),0))))</f>
      </c>
      <c r="H5009">
        <f>IF(DATOS!$G5009&lt;&gt;"EX",0,--(COUNTIFS(nNIA,DATOS!$A5009,nCURSO,DATOS!$D5009,nESPEC,DATOS!$E5009,nASIG,DATOS!$I5009,nEVAL,"OR")=0))</f>
      </c>
      <c r="I5009">
        <f>IF(DATOS!$I5009="","",IFERROR(VLOOKUP(DATOS!$I5009,CONFIG_ASIGNATURAS!$B$2:$J$91,9,FALSE()),""))</f>
      </c>
    </row>
    <row r="5010">
      <c r="F5010">
        <f>IF(DATOS!$A5010="","",DATOS!$A5010&amp;"|"&amp;DATOS!$D5010&amp;"|"&amp;DATOS!$E5010&amp;"|"&amp;DATOS!$I5010)</f>
      </c>
      <c r="G5010">
        <f>IF(DATOS!$A5010="",0,IF(CONFIG_METADATA!$B$4&lt;&gt;"OR+EX",--(DATOS!$G5010=CONFIG_METADATA!$B$4),IF(DATOS!$G5010="EX",1,IF(DATOS!$G5010="OR",--(COUNTIFS(nNIA,DATOS!$A5010,nCURSO,DATOS!$D5010,nESPEC,DATOS!$E5010,nASIG,DATOS!$I5010,nEVAL,"EX")=0),0))))</f>
      </c>
      <c r="H5010">
        <f>IF(DATOS!$G5010&lt;&gt;"EX",0,--(COUNTIFS(nNIA,DATOS!$A5010,nCURSO,DATOS!$D5010,nESPEC,DATOS!$E5010,nASIG,DATOS!$I5010,nEVAL,"OR")=0))</f>
      </c>
      <c r="I5010">
        <f>IF(DATOS!$I5010="","",IFERROR(VLOOKUP(DATOS!$I5010,CONFIG_ASIGNATURAS!$B$2:$J$91,9,FALSE()),""))</f>
      </c>
    </row>
    <row r="5011">
      <c r="F5011">
        <f>IF(DATOS!$A5011="","",DATOS!$A5011&amp;"|"&amp;DATOS!$D5011&amp;"|"&amp;DATOS!$E5011&amp;"|"&amp;DATOS!$I5011)</f>
      </c>
      <c r="G5011">
        <f>IF(DATOS!$A5011="",0,IF(CONFIG_METADATA!$B$4&lt;&gt;"OR+EX",--(DATOS!$G5011=CONFIG_METADATA!$B$4),IF(DATOS!$G5011="EX",1,IF(DATOS!$G5011="OR",--(COUNTIFS(nNIA,DATOS!$A5011,nCURSO,DATOS!$D5011,nESPEC,DATOS!$E5011,nASIG,DATOS!$I5011,nEVAL,"EX")=0),0))))</f>
      </c>
      <c r="H5011">
        <f>IF(DATOS!$G5011&lt;&gt;"EX",0,--(COUNTIFS(nNIA,DATOS!$A5011,nCURSO,DATOS!$D5011,nESPEC,DATOS!$E5011,nASIG,DATOS!$I5011,nEVAL,"OR")=0))</f>
      </c>
      <c r="I5011">
        <f>IF(DATOS!$I5011="","",IFERROR(VLOOKUP(DATOS!$I5011,CONFIG_ASIGNATURAS!$B$2:$J$91,9,FALSE()),""))</f>
      </c>
    </row>
    <row r="5012">
      <c r="F5012">
        <f>IF(DATOS!$A5012="","",DATOS!$A5012&amp;"|"&amp;DATOS!$D5012&amp;"|"&amp;DATOS!$E5012&amp;"|"&amp;DATOS!$I5012)</f>
      </c>
      <c r="G5012">
        <f>IF(DATOS!$A5012="",0,IF(CONFIG_METADATA!$B$4&lt;&gt;"OR+EX",--(DATOS!$G5012=CONFIG_METADATA!$B$4),IF(DATOS!$G5012="EX",1,IF(DATOS!$G5012="OR",--(COUNTIFS(nNIA,DATOS!$A5012,nCURSO,DATOS!$D5012,nESPEC,DATOS!$E5012,nASIG,DATOS!$I5012,nEVAL,"EX")=0),0))))</f>
      </c>
      <c r="H5012">
        <f>IF(DATOS!$G5012&lt;&gt;"EX",0,--(COUNTIFS(nNIA,DATOS!$A5012,nCURSO,DATOS!$D5012,nESPEC,DATOS!$E5012,nASIG,DATOS!$I5012,nEVAL,"OR")=0))</f>
      </c>
      <c r="I5012">
        <f>IF(DATOS!$I5012="","",IFERROR(VLOOKUP(DATOS!$I5012,CONFIG_ASIGNATURAS!$B$2:$J$91,9,FALSE()),""))</f>
      </c>
    </row>
    <row r="5013">
      <c r="F5013">
        <f>IF(DATOS!$A5013="","",DATOS!$A5013&amp;"|"&amp;DATOS!$D5013&amp;"|"&amp;DATOS!$E5013&amp;"|"&amp;DATOS!$I5013)</f>
      </c>
      <c r="G5013">
        <f>IF(DATOS!$A5013="",0,IF(CONFIG_METADATA!$B$4&lt;&gt;"OR+EX",--(DATOS!$G5013=CONFIG_METADATA!$B$4),IF(DATOS!$G5013="EX",1,IF(DATOS!$G5013="OR",--(COUNTIFS(nNIA,DATOS!$A5013,nCURSO,DATOS!$D5013,nESPEC,DATOS!$E5013,nASIG,DATOS!$I5013,nEVAL,"EX")=0),0))))</f>
      </c>
      <c r="H5013">
        <f>IF(DATOS!$G5013&lt;&gt;"EX",0,--(COUNTIFS(nNIA,DATOS!$A5013,nCURSO,DATOS!$D5013,nESPEC,DATOS!$E5013,nASIG,DATOS!$I5013,nEVAL,"OR")=0))</f>
      </c>
      <c r="I5013">
        <f>IF(DATOS!$I5013="","",IFERROR(VLOOKUP(DATOS!$I5013,CONFIG_ASIGNATURAS!$B$2:$J$91,9,FALSE()),""))</f>
      </c>
    </row>
    <row r="5014">
      <c r="F5014">
        <f>IF(DATOS!$A5014="","",DATOS!$A5014&amp;"|"&amp;DATOS!$D5014&amp;"|"&amp;DATOS!$E5014&amp;"|"&amp;DATOS!$I5014)</f>
      </c>
      <c r="G5014">
        <f>IF(DATOS!$A5014="",0,IF(CONFIG_METADATA!$B$4&lt;&gt;"OR+EX",--(DATOS!$G5014=CONFIG_METADATA!$B$4),IF(DATOS!$G5014="EX",1,IF(DATOS!$G5014="OR",--(COUNTIFS(nNIA,DATOS!$A5014,nCURSO,DATOS!$D5014,nESPEC,DATOS!$E5014,nASIG,DATOS!$I5014,nEVAL,"EX")=0),0))))</f>
      </c>
      <c r="H5014">
        <f>IF(DATOS!$G5014&lt;&gt;"EX",0,--(COUNTIFS(nNIA,DATOS!$A5014,nCURSO,DATOS!$D5014,nESPEC,DATOS!$E5014,nASIG,DATOS!$I5014,nEVAL,"OR")=0))</f>
      </c>
      <c r="I5014">
        <f>IF(DATOS!$I5014="","",IFERROR(VLOOKUP(DATOS!$I5014,CONFIG_ASIGNATURAS!$B$2:$J$91,9,FALSE()),""))</f>
      </c>
    </row>
    <row r="5015">
      <c r="F5015">
        <f>IF(DATOS!$A5015="","",DATOS!$A5015&amp;"|"&amp;DATOS!$D5015&amp;"|"&amp;DATOS!$E5015&amp;"|"&amp;DATOS!$I5015)</f>
      </c>
      <c r="G5015">
        <f>IF(DATOS!$A5015="",0,IF(CONFIG_METADATA!$B$4&lt;&gt;"OR+EX",--(DATOS!$G5015=CONFIG_METADATA!$B$4),IF(DATOS!$G5015="EX",1,IF(DATOS!$G5015="OR",--(COUNTIFS(nNIA,DATOS!$A5015,nCURSO,DATOS!$D5015,nESPEC,DATOS!$E5015,nASIG,DATOS!$I5015,nEVAL,"EX")=0),0))))</f>
      </c>
      <c r="H5015">
        <f>IF(DATOS!$G5015&lt;&gt;"EX",0,--(COUNTIFS(nNIA,DATOS!$A5015,nCURSO,DATOS!$D5015,nESPEC,DATOS!$E5015,nASIG,DATOS!$I5015,nEVAL,"OR")=0))</f>
      </c>
      <c r="I5015">
        <f>IF(DATOS!$I5015="","",IFERROR(VLOOKUP(DATOS!$I5015,CONFIG_ASIGNATURAS!$B$2:$J$91,9,FALSE()),""))</f>
      </c>
    </row>
    <row r="5016">
      <c r="F5016">
        <f>IF(DATOS!$A5016="","",DATOS!$A5016&amp;"|"&amp;DATOS!$D5016&amp;"|"&amp;DATOS!$E5016&amp;"|"&amp;DATOS!$I5016)</f>
      </c>
      <c r="G5016">
        <f>IF(DATOS!$A5016="",0,IF(CONFIG_METADATA!$B$4&lt;&gt;"OR+EX",--(DATOS!$G5016=CONFIG_METADATA!$B$4),IF(DATOS!$G5016="EX",1,IF(DATOS!$G5016="OR",--(COUNTIFS(nNIA,DATOS!$A5016,nCURSO,DATOS!$D5016,nESPEC,DATOS!$E5016,nASIG,DATOS!$I5016,nEVAL,"EX")=0),0))))</f>
      </c>
      <c r="H5016">
        <f>IF(DATOS!$G5016&lt;&gt;"EX",0,--(COUNTIFS(nNIA,DATOS!$A5016,nCURSO,DATOS!$D5016,nESPEC,DATOS!$E5016,nASIG,DATOS!$I5016,nEVAL,"OR")=0))</f>
      </c>
      <c r="I5016">
        <f>IF(DATOS!$I5016="","",IFERROR(VLOOKUP(DATOS!$I5016,CONFIG_ASIGNATURAS!$B$2:$J$91,9,FALSE()),""))</f>
      </c>
    </row>
    <row r="5017">
      <c r="F5017">
        <f>IF(DATOS!$A5017="","",DATOS!$A5017&amp;"|"&amp;DATOS!$D5017&amp;"|"&amp;DATOS!$E5017&amp;"|"&amp;DATOS!$I5017)</f>
      </c>
      <c r="G5017">
        <f>IF(DATOS!$A5017="",0,IF(CONFIG_METADATA!$B$4&lt;&gt;"OR+EX",--(DATOS!$G5017=CONFIG_METADATA!$B$4),IF(DATOS!$G5017="EX",1,IF(DATOS!$G5017="OR",--(COUNTIFS(nNIA,DATOS!$A5017,nCURSO,DATOS!$D5017,nESPEC,DATOS!$E5017,nASIG,DATOS!$I5017,nEVAL,"EX")=0),0))))</f>
      </c>
      <c r="H5017">
        <f>IF(DATOS!$G5017&lt;&gt;"EX",0,--(COUNTIFS(nNIA,DATOS!$A5017,nCURSO,DATOS!$D5017,nESPEC,DATOS!$E5017,nASIG,DATOS!$I5017,nEVAL,"OR")=0))</f>
      </c>
      <c r="I5017">
        <f>IF(DATOS!$I5017="","",IFERROR(VLOOKUP(DATOS!$I5017,CONFIG_ASIGNATURAS!$B$2:$J$91,9,FALSE()),""))</f>
      </c>
    </row>
    <row r="5018">
      <c r="F5018">
        <f>IF(DATOS!$A5018="","",DATOS!$A5018&amp;"|"&amp;DATOS!$D5018&amp;"|"&amp;DATOS!$E5018&amp;"|"&amp;DATOS!$I5018)</f>
      </c>
      <c r="G5018">
        <f>IF(DATOS!$A5018="",0,IF(CONFIG_METADATA!$B$4&lt;&gt;"OR+EX",--(DATOS!$G5018=CONFIG_METADATA!$B$4),IF(DATOS!$G5018="EX",1,IF(DATOS!$G5018="OR",--(COUNTIFS(nNIA,DATOS!$A5018,nCURSO,DATOS!$D5018,nESPEC,DATOS!$E5018,nASIG,DATOS!$I5018,nEVAL,"EX")=0),0))))</f>
      </c>
      <c r="H5018">
        <f>IF(DATOS!$G5018&lt;&gt;"EX",0,--(COUNTIFS(nNIA,DATOS!$A5018,nCURSO,DATOS!$D5018,nESPEC,DATOS!$E5018,nASIG,DATOS!$I5018,nEVAL,"OR")=0))</f>
      </c>
      <c r="I5018">
        <f>IF(DATOS!$I5018="","",IFERROR(VLOOKUP(DATOS!$I5018,CONFIG_ASIGNATURAS!$B$2:$J$91,9,FALSE()),""))</f>
      </c>
    </row>
    <row r="5019">
      <c r="F5019">
        <f>IF(DATOS!$A5019="","",DATOS!$A5019&amp;"|"&amp;DATOS!$D5019&amp;"|"&amp;DATOS!$E5019&amp;"|"&amp;DATOS!$I5019)</f>
      </c>
      <c r="G5019">
        <f>IF(DATOS!$A5019="",0,IF(CONFIG_METADATA!$B$4&lt;&gt;"OR+EX",--(DATOS!$G5019=CONFIG_METADATA!$B$4),IF(DATOS!$G5019="EX",1,IF(DATOS!$G5019="OR",--(COUNTIFS(nNIA,DATOS!$A5019,nCURSO,DATOS!$D5019,nESPEC,DATOS!$E5019,nASIG,DATOS!$I5019,nEVAL,"EX")=0),0))))</f>
      </c>
      <c r="H5019">
        <f>IF(DATOS!$G5019&lt;&gt;"EX",0,--(COUNTIFS(nNIA,DATOS!$A5019,nCURSO,DATOS!$D5019,nESPEC,DATOS!$E5019,nASIG,DATOS!$I5019,nEVAL,"OR")=0))</f>
      </c>
      <c r="I5019">
        <f>IF(DATOS!$I5019="","",IFERROR(VLOOKUP(DATOS!$I5019,CONFIG_ASIGNATURAS!$B$2:$J$91,9,FALSE()),""))</f>
      </c>
    </row>
    <row r="5020">
      <c r="F5020">
        <f>IF(DATOS!$A5020="","",DATOS!$A5020&amp;"|"&amp;DATOS!$D5020&amp;"|"&amp;DATOS!$E5020&amp;"|"&amp;DATOS!$I5020)</f>
      </c>
      <c r="G5020">
        <f>IF(DATOS!$A5020="",0,IF(CONFIG_METADATA!$B$4&lt;&gt;"OR+EX",--(DATOS!$G5020=CONFIG_METADATA!$B$4),IF(DATOS!$G5020="EX",1,IF(DATOS!$G5020="OR",--(COUNTIFS(nNIA,DATOS!$A5020,nCURSO,DATOS!$D5020,nESPEC,DATOS!$E5020,nASIG,DATOS!$I5020,nEVAL,"EX")=0),0))))</f>
      </c>
      <c r="H5020">
        <f>IF(DATOS!$G5020&lt;&gt;"EX",0,--(COUNTIFS(nNIA,DATOS!$A5020,nCURSO,DATOS!$D5020,nESPEC,DATOS!$E5020,nASIG,DATOS!$I5020,nEVAL,"OR")=0))</f>
      </c>
      <c r="I5020">
        <f>IF(DATOS!$I5020="","",IFERROR(VLOOKUP(DATOS!$I5020,CONFIG_ASIGNATURAS!$B$2:$J$91,9,FALSE()),""))</f>
      </c>
    </row>
    <row r="5021">
      <c r="F5021">
        <f>IF(DATOS!$A5021="","",DATOS!$A5021&amp;"|"&amp;DATOS!$D5021&amp;"|"&amp;DATOS!$E5021&amp;"|"&amp;DATOS!$I5021)</f>
      </c>
      <c r="G5021">
        <f>IF(DATOS!$A5021="",0,IF(CONFIG_METADATA!$B$4&lt;&gt;"OR+EX",--(DATOS!$G5021=CONFIG_METADATA!$B$4),IF(DATOS!$G5021="EX",1,IF(DATOS!$G5021="OR",--(COUNTIFS(nNIA,DATOS!$A5021,nCURSO,DATOS!$D5021,nESPEC,DATOS!$E5021,nASIG,DATOS!$I5021,nEVAL,"EX")=0),0))))</f>
      </c>
      <c r="H5021">
        <f>IF(DATOS!$G5021&lt;&gt;"EX",0,--(COUNTIFS(nNIA,DATOS!$A5021,nCURSO,DATOS!$D5021,nESPEC,DATOS!$E5021,nASIG,DATOS!$I5021,nEVAL,"OR")=0))</f>
      </c>
      <c r="I5021">
        <f>IF(DATOS!$I5021="","",IFERROR(VLOOKUP(DATOS!$I5021,CONFIG_ASIGNATURAS!$B$2:$J$91,9,FALSE()),""))</f>
      </c>
    </row>
    <row r="5022">
      <c r="F5022">
        <f>IF(DATOS!$A5022="","",DATOS!$A5022&amp;"|"&amp;DATOS!$D5022&amp;"|"&amp;DATOS!$E5022&amp;"|"&amp;DATOS!$I5022)</f>
      </c>
      <c r="G5022">
        <f>IF(DATOS!$A5022="",0,IF(CONFIG_METADATA!$B$4&lt;&gt;"OR+EX",--(DATOS!$G5022=CONFIG_METADATA!$B$4),IF(DATOS!$G5022="EX",1,IF(DATOS!$G5022="OR",--(COUNTIFS(nNIA,DATOS!$A5022,nCURSO,DATOS!$D5022,nESPEC,DATOS!$E5022,nASIG,DATOS!$I5022,nEVAL,"EX")=0),0))))</f>
      </c>
      <c r="H5022">
        <f>IF(DATOS!$G5022&lt;&gt;"EX",0,--(COUNTIFS(nNIA,DATOS!$A5022,nCURSO,DATOS!$D5022,nESPEC,DATOS!$E5022,nASIG,DATOS!$I5022,nEVAL,"OR")=0))</f>
      </c>
      <c r="I5022">
        <f>IF(DATOS!$I5022="","",IFERROR(VLOOKUP(DATOS!$I5022,CONFIG_ASIGNATURAS!$B$2:$J$91,9,FALSE()),""))</f>
      </c>
    </row>
    <row r="5023">
      <c r="F5023">
        <f>IF(DATOS!$A5023="","",DATOS!$A5023&amp;"|"&amp;DATOS!$D5023&amp;"|"&amp;DATOS!$E5023&amp;"|"&amp;DATOS!$I5023)</f>
      </c>
      <c r="G5023">
        <f>IF(DATOS!$A5023="",0,IF(CONFIG_METADATA!$B$4&lt;&gt;"OR+EX",--(DATOS!$G5023=CONFIG_METADATA!$B$4),IF(DATOS!$G5023="EX",1,IF(DATOS!$G5023="OR",--(COUNTIFS(nNIA,DATOS!$A5023,nCURSO,DATOS!$D5023,nESPEC,DATOS!$E5023,nASIG,DATOS!$I5023,nEVAL,"EX")=0),0))))</f>
      </c>
      <c r="H5023">
        <f>IF(DATOS!$G5023&lt;&gt;"EX",0,--(COUNTIFS(nNIA,DATOS!$A5023,nCURSO,DATOS!$D5023,nESPEC,DATOS!$E5023,nASIG,DATOS!$I5023,nEVAL,"OR")=0))</f>
      </c>
      <c r="I5023">
        <f>IF(DATOS!$I5023="","",IFERROR(VLOOKUP(DATOS!$I5023,CONFIG_ASIGNATURAS!$B$2:$J$91,9,FALSE()),""))</f>
      </c>
    </row>
    <row r="5024">
      <c r="F5024">
        <f>IF(DATOS!$A5024="","",DATOS!$A5024&amp;"|"&amp;DATOS!$D5024&amp;"|"&amp;DATOS!$E5024&amp;"|"&amp;DATOS!$I5024)</f>
      </c>
      <c r="G5024">
        <f>IF(DATOS!$A5024="",0,IF(CONFIG_METADATA!$B$4&lt;&gt;"OR+EX",--(DATOS!$G5024=CONFIG_METADATA!$B$4),IF(DATOS!$G5024="EX",1,IF(DATOS!$G5024="OR",--(COUNTIFS(nNIA,DATOS!$A5024,nCURSO,DATOS!$D5024,nESPEC,DATOS!$E5024,nASIG,DATOS!$I5024,nEVAL,"EX")=0),0))))</f>
      </c>
      <c r="H5024">
        <f>IF(DATOS!$G5024&lt;&gt;"EX",0,--(COUNTIFS(nNIA,DATOS!$A5024,nCURSO,DATOS!$D5024,nESPEC,DATOS!$E5024,nASIG,DATOS!$I5024,nEVAL,"OR")=0))</f>
      </c>
      <c r="I5024">
        <f>IF(DATOS!$I5024="","",IFERROR(VLOOKUP(DATOS!$I5024,CONFIG_ASIGNATURAS!$B$2:$J$91,9,FALSE()),""))</f>
      </c>
    </row>
    <row r="5025">
      <c r="F5025">
        <f>IF(DATOS!$A5025="","",DATOS!$A5025&amp;"|"&amp;DATOS!$D5025&amp;"|"&amp;DATOS!$E5025&amp;"|"&amp;DATOS!$I5025)</f>
      </c>
      <c r="G5025">
        <f>IF(DATOS!$A5025="",0,IF(CONFIG_METADATA!$B$4&lt;&gt;"OR+EX",--(DATOS!$G5025=CONFIG_METADATA!$B$4),IF(DATOS!$G5025="EX",1,IF(DATOS!$G5025="OR",--(COUNTIFS(nNIA,DATOS!$A5025,nCURSO,DATOS!$D5025,nESPEC,DATOS!$E5025,nASIG,DATOS!$I5025,nEVAL,"EX")=0),0))))</f>
      </c>
      <c r="H5025">
        <f>IF(DATOS!$G5025&lt;&gt;"EX",0,--(COUNTIFS(nNIA,DATOS!$A5025,nCURSO,DATOS!$D5025,nESPEC,DATOS!$E5025,nASIG,DATOS!$I5025,nEVAL,"OR")=0))</f>
      </c>
      <c r="I5025">
        <f>IF(DATOS!$I5025="","",IFERROR(VLOOKUP(DATOS!$I5025,CONFIG_ASIGNATURAS!$B$2:$J$91,9,FALSE()),""))</f>
      </c>
    </row>
    <row r="5026">
      <c r="F5026">
        <f>IF(DATOS!$A5026="","",DATOS!$A5026&amp;"|"&amp;DATOS!$D5026&amp;"|"&amp;DATOS!$E5026&amp;"|"&amp;DATOS!$I5026)</f>
      </c>
      <c r="G5026">
        <f>IF(DATOS!$A5026="",0,IF(CONFIG_METADATA!$B$4&lt;&gt;"OR+EX",--(DATOS!$G5026=CONFIG_METADATA!$B$4),IF(DATOS!$G5026="EX",1,IF(DATOS!$G5026="OR",--(COUNTIFS(nNIA,DATOS!$A5026,nCURSO,DATOS!$D5026,nESPEC,DATOS!$E5026,nASIG,DATOS!$I5026,nEVAL,"EX")=0),0))))</f>
      </c>
      <c r="H5026">
        <f>IF(DATOS!$G5026&lt;&gt;"EX",0,--(COUNTIFS(nNIA,DATOS!$A5026,nCURSO,DATOS!$D5026,nESPEC,DATOS!$E5026,nASIG,DATOS!$I5026,nEVAL,"OR")=0))</f>
      </c>
      <c r="I5026">
        <f>IF(DATOS!$I5026="","",IFERROR(VLOOKUP(DATOS!$I5026,CONFIG_ASIGNATURAS!$B$2:$J$91,9,FALSE()),""))</f>
      </c>
    </row>
    <row r="5027">
      <c r="F5027">
        <f>IF(DATOS!$A5027="","",DATOS!$A5027&amp;"|"&amp;DATOS!$D5027&amp;"|"&amp;DATOS!$E5027&amp;"|"&amp;DATOS!$I5027)</f>
      </c>
      <c r="G5027">
        <f>IF(DATOS!$A5027="",0,IF(CONFIG_METADATA!$B$4&lt;&gt;"OR+EX",--(DATOS!$G5027=CONFIG_METADATA!$B$4),IF(DATOS!$G5027="EX",1,IF(DATOS!$G5027="OR",--(COUNTIFS(nNIA,DATOS!$A5027,nCURSO,DATOS!$D5027,nESPEC,DATOS!$E5027,nASIG,DATOS!$I5027,nEVAL,"EX")=0),0))))</f>
      </c>
      <c r="H5027">
        <f>IF(DATOS!$G5027&lt;&gt;"EX",0,--(COUNTIFS(nNIA,DATOS!$A5027,nCURSO,DATOS!$D5027,nESPEC,DATOS!$E5027,nASIG,DATOS!$I5027,nEVAL,"OR")=0))</f>
      </c>
      <c r="I5027">
        <f>IF(DATOS!$I5027="","",IFERROR(VLOOKUP(DATOS!$I5027,CONFIG_ASIGNATURAS!$B$2:$J$91,9,FALSE()),""))</f>
      </c>
    </row>
    <row r="5028">
      <c r="F5028">
        <f>IF(DATOS!$A5028="","",DATOS!$A5028&amp;"|"&amp;DATOS!$D5028&amp;"|"&amp;DATOS!$E5028&amp;"|"&amp;DATOS!$I5028)</f>
      </c>
      <c r="G5028">
        <f>IF(DATOS!$A5028="",0,IF(CONFIG_METADATA!$B$4&lt;&gt;"OR+EX",--(DATOS!$G5028=CONFIG_METADATA!$B$4),IF(DATOS!$G5028="EX",1,IF(DATOS!$G5028="OR",--(COUNTIFS(nNIA,DATOS!$A5028,nCURSO,DATOS!$D5028,nESPEC,DATOS!$E5028,nASIG,DATOS!$I5028,nEVAL,"EX")=0),0))))</f>
      </c>
      <c r="H5028">
        <f>IF(DATOS!$G5028&lt;&gt;"EX",0,--(COUNTIFS(nNIA,DATOS!$A5028,nCURSO,DATOS!$D5028,nESPEC,DATOS!$E5028,nASIG,DATOS!$I5028,nEVAL,"OR")=0))</f>
      </c>
      <c r="I5028">
        <f>IF(DATOS!$I5028="","",IFERROR(VLOOKUP(DATOS!$I5028,CONFIG_ASIGNATURAS!$B$2:$J$91,9,FALSE()),""))</f>
      </c>
    </row>
    <row r="5029">
      <c r="F5029">
        <f>IF(DATOS!$A5029="","",DATOS!$A5029&amp;"|"&amp;DATOS!$D5029&amp;"|"&amp;DATOS!$E5029&amp;"|"&amp;DATOS!$I5029)</f>
      </c>
      <c r="G5029">
        <f>IF(DATOS!$A5029="",0,IF(CONFIG_METADATA!$B$4&lt;&gt;"OR+EX",--(DATOS!$G5029=CONFIG_METADATA!$B$4),IF(DATOS!$G5029="EX",1,IF(DATOS!$G5029="OR",--(COUNTIFS(nNIA,DATOS!$A5029,nCURSO,DATOS!$D5029,nESPEC,DATOS!$E5029,nASIG,DATOS!$I5029,nEVAL,"EX")=0),0))))</f>
      </c>
      <c r="H5029">
        <f>IF(DATOS!$G5029&lt;&gt;"EX",0,--(COUNTIFS(nNIA,DATOS!$A5029,nCURSO,DATOS!$D5029,nESPEC,DATOS!$E5029,nASIG,DATOS!$I5029,nEVAL,"OR")=0))</f>
      </c>
      <c r="I5029">
        <f>IF(DATOS!$I5029="","",IFERROR(VLOOKUP(DATOS!$I5029,CONFIG_ASIGNATURAS!$B$2:$J$91,9,FALSE()),""))</f>
      </c>
    </row>
    <row r="5030">
      <c r="F5030">
        <f>IF(DATOS!$A5030="","",DATOS!$A5030&amp;"|"&amp;DATOS!$D5030&amp;"|"&amp;DATOS!$E5030&amp;"|"&amp;DATOS!$I5030)</f>
      </c>
      <c r="G5030">
        <f>IF(DATOS!$A5030="",0,IF(CONFIG_METADATA!$B$4&lt;&gt;"OR+EX",--(DATOS!$G5030=CONFIG_METADATA!$B$4),IF(DATOS!$G5030="EX",1,IF(DATOS!$G5030="OR",--(COUNTIFS(nNIA,DATOS!$A5030,nCURSO,DATOS!$D5030,nESPEC,DATOS!$E5030,nASIG,DATOS!$I5030,nEVAL,"EX")=0),0))))</f>
      </c>
      <c r="H5030">
        <f>IF(DATOS!$G5030&lt;&gt;"EX",0,--(COUNTIFS(nNIA,DATOS!$A5030,nCURSO,DATOS!$D5030,nESPEC,DATOS!$E5030,nASIG,DATOS!$I5030,nEVAL,"OR")=0))</f>
      </c>
      <c r="I5030">
        <f>IF(DATOS!$I5030="","",IFERROR(VLOOKUP(DATOS!$I5030,CONFIG_ASIGNATURAS!$B$2:$J$91,9,FALSE()),""))</f>
      </c>
    </row>
    <row r="5031">
      <c r="F5031">
        <f>IF(DATOS!$A5031="","",DATOS!$A5031&amp;"|"&amp;DATOS!$D5031&amp;"|"&amp;DATOS!$E5031&amp;"|"&amp;DATOS!$I5031)</f>
      </c>
      <c r="G5031">
        <f>IF(DATOS!$A5031="",0,IF(CONFIG_METADATA!$B$4&lt;&gt;"OR+EX",--(DATOS!$G5031=CONFIG_METADATA!$B$4),IF(DATOS!$G5031="EX",1,IF(DATOS!$G5031="OR",--(COUNTIFS(nNIA,DATOS!$A5031,nCURSO,DATOS!$D5031,nESPEC,DATOS!$E5031,nASIG,DATOS!$I5031,nEVAL,"EX")=0),0))))</f>
      </c>
      <c r="H5031">
        <f>IF(DATOS!$G5031&lt;&gt;"EX",0,--(COUNTIFS(nNIA,DATOS!$A5031,nCURSO,DATOS!$D5031,nESPEC,DATOS!$E5031,nASIG,DATOS!$I5031,nEVAL,"OR")=0))</f>
      </c>
      <c r="I5031">
        <f>IF(DATOS!$I5031="","",IFERROR(VLOOKUP(DATOS!$I5031,CONFIG_ASIGNATURAS!$B$2:$J$91,9,FALSE()),""))</f>
      </c>
    </row>
    <row r="5032">
      <c r="F5032">
        <f>IF(DATOS!$A5032="","",DATOS!$A5032&amp;"|"&amp;DATOS!$D5032&amp;"|"&amp;DATOS!$E5032&amp;"|"&amp;DATOS!$I5032)</f>
      </c>
      <c r="G5032">
        <f>IF(DATOS!$A5032="",0,IF(CONFIG_METADATA!$B$4&lt;&gt;"OR+EX",--(DATOS!$G5032=CONFIG_METADATA!$B$4),IF(DATOS!$G5032="EX",1,IF(DATOS!$G5032="OR",--(COUNTIFS(nNIA,DATOS!$A5032,nCURSO,DATOS!$D5032,nESPEC,DATOS!$E5032,nASIG,DATOS!$I5032,nEVAL,"EX")=0),0))))</f>
      </c>
      <c r="H5032">
        <f>IF(DATOS!$G5032&lt;&gt;"EX",0,--(COUNTIFS(nNIA,DATOS!$A5032,nCURSO,DATOS!$D5032,nESPEC,DATOS!$E5032,nASIG,DATOS!$I5032,nEVAL,"OR")=0))</f>
      </c>
      <c r="I5032">
        <f>IF(DATOS!$I5032="","",IFERROR(VLOOKUP(DATOS!$I5032,CONFIG_ASIGNATURAS!$B$2:$J$91,9,FALSE()),""))</f>
      </c>
    </row>
    <row r="5033">
      <c r="F5033">
        <f>IF(DATOS!$A5033="","",DATOS!$A5033&amp;"|"&amp;DATOS!$D5033&amp;"|"&amp;DATOS!$E5033&amp;"|"&amp;DATOS!$I5033)</f>
      </c>
      <c r="G5033">
        <f>IF(DATOS!$A5033="",0,IF(CONFIG_METADATA!$B$4&lt;&gt;"OR+EX",--(DATOS!$G5033=CONFIG_METADATA!$B$4),IF(DATOS!$G5033="EX",1,IF(DATOS!$G5033="OR",--(COUNTIFS(nNIA,DATOS!$A5033,nCURSO,DATOS!$D5033,nESPEC,DATOS!$E5033,nASIG,DATOS!$I5033,nEVAL,"EX")=0),0))))</f>
      </c>
      <c r="H5033">
        <f>IF(DATOS!$G5033&lt;&gt;"EX",0,--(COUNTIFS(nNIA,DATOS!$A5033,nCURSO,DATOS!$D5033,nESPEC,DATOS!$E5033,nASIG,DATOS!$I5033,nEVAL,"OR")=0))</f>
      </c>
      <c r="I5033">
        <f>IF(DATOS!$I5033="","",IFERROR(VLOOKUP(DATOS!$I5033,CONFIG_ASIGNATURAS!$B$2:$J$91,9,FALSE()),""))</f>
      </c>
    </row>
    <row r="5034">
      <c r="F5034">
        <f>IF(DATOS!$A5034="","",DATOS!$A5034&amp;"|"&amp;DATOS!$D5034&amp;"|"&amp;DATOS!$E5034&amp;"|"&amp;DATOS!$I5034)</f>
      </c>
      <c r="G5034">
        <f>IF(DATOS!$A5034="",0,IF(CONFIG_METADATA!$B$4&lt;&gt;"OR+EX",--(DATOS!$G5034=CONFIG_METADATA!$B$4),IF(DATOS!$G5034="EX",1,IF(DATOS!$G5034="OR",--(COUNTIFS(nNIA,DATOS!$A5034,nCURSO,DATOS!$D5034,nESPEC,DATOS!$E5034,nASIG,DATOS!$I5034,nEVAL,"EX")=0),0))))</f>
      </c>
      <c r="H5034">
        <f>IF(DATOS!$G5034&lt;&gt;"EX",0,--(COUNTIFS(nNIA,DATOS!$A5034,nCURSO,DATOS!$D5034,nESPEC,DATOS!$E5034,nASIG,DATOS!$I5034,nEVAL,"OR")=0))</f>
      </c>
      <c r="I5034">
        <f>IF(DATOS!$I5034="","",IFERROR(VLOOKUP(DATOS!$I5034,CONFIG_ASIGNATURAS!$B$2:$J$91,9,FALSE()),""))</f>
      </c>
    </row>
    <row r="5035">
      <c r="F5035">
        <f>IF(DATOS!$A5035="","",DATOS!$A5035&amp;"|"&amp;DATOS!$D5035&amp;"|"&amp;DATOS!$E5035&amp;"|"&amp;DATOS!$I5035)</f>
      </c>
      <c r="G5035">
        <f>IF(DATOS!$A5035="",0,IF(CONFIG_METADATA!$B$4&lt;&gt;"OR+EX",--(DATOS!$G5035=CONFIG_METADATA!$B$4),IF(DATOS!$G5035="EX",1,IF(DATOS!$G5035="OR",--(COUNTIFS(nNIA,DATOS!$A5035,nCURSO,DATOS!$D5035,nESPEC,DATOS!$E5035,nASIG,DATOS!$I5035,nEVAL,"EX")=0),0))))</f>
      </c>
      <c r="H5035">
        <f>IF(DATOS!$G5035&lt;&gt;"EX",0,--(COUNTIFS(nNIA,DATOS!$A5035,nCURSO,DATOS!$D5035,nESPEC,DATOS!$E5035,nASIG,DATOS!$I5035,nEVAL,"OR")=0))</f>
      </c>
      <c r="I5035">
        <f>IF(DATOS!$I5035="","",IFERROR(VLOOKUP(DATOS!$I5035,CONFIG_ASIGNATURAS!$B$2:$J$91,9,FALSE()),""))</f>
      </c>
    </row>
    <row r="5036">
      <c r="F5036">
        <f>IF(DATOS!$A5036="","",DATOS!$A5036&amp;"|"&amp;DATOS!$D5036&amp;"|"&amp;DATOS!$E5036&amp;"|"&amp;DATOS!$I5036)</f>
      </c>
      <c r="G5036">
        <f>IF(DATOS!$A5036="",0,IF(CONFIG_METADATA!$B$4&lt;&gt;"OR+EX",--(DATOS!$G5036=CONFIG_METADATA!$B$4),IF(DATOS!$G5036="EX",1,IF(DATOS!$G5036="OR",--(COUNTIFS(nNIA,DATOS!$A5036,nCURSO,DATOS!$D5036,nESPEC,DATOS!$E5036,nASIG,DATOS!$I5036,nEVAL,"EX")=0),0))))</f>
      </c>
      <c r="H5036">
        <f>IF(DATOS!$G5036&lt;&gt;"EX",0,--(COUNTIFS(nNIA,DATOS!$A5036,nCURSO,DATOS!$D5036,nESPEC,DATOS!$E5036,nASIG,DATOS!$I5036,nEVAL,"OR")=0))</f>
      </c>
      <c r="I5036">
        <f>IF(DATOS!$I5036="","",IFERROR(VLOOKUP(DATOS!$I5036,CONFIG_ASIGNATURAS!$B$2:$J$91,9,FALSE()),""))</f>
      </c>
    </row>
    <row r="5037">
      <c r="F5037">
        <f>IF(DATOS!$A5037="","",DATOS!$A5037&amp;"|"&amp;DATOS!$D5037&amp;"|"&amp;DATOS!$E5037&amp;"|"&amp;DATOS!$I5037)</f>
      </c>
      <c r="G5037">
        <f>IF(DATOS!$A5037="",0,IF(CONFIG_METADATA!$B$4&lt;&gt;"OR+EX",--(DATOS!$G5037=CONFIG_METADATA!$B$4),IF(DATOS!$G5037="EX",1,IF(DATOS!$G5037="OR",--(COUNTIFS(nNIA,DATOS!$A5037,nCURSO,DATOS!$D5037,nESPEC,DATOS!$E5037,nASIG,DATOS!$I5037,nEVAL,"EX")=0),0))))</f>
      </c>
      <c r="H5037">
        <f>IF(DATOS!$G5037&lt;&gt;"EX",0,--(COUNTIFS(nNIA,DATOS!$A5037,nCURSO,DATOS!$D5037,nESPEC,DATOS!$E5037,nASIG,DATOS!$I5037,nEVAL,"OR")=0))</f>
      </c>
      <c r="I5037">
        <f>IF(DATOS!$I5037="","",IFERROR(VLOOKUP(DATOS!$I5037,CONFIG_ASIGNATURAS!$B$2:$J$91,9,FALSE()),""))</f>
      </c>
    </row>
    <row r="5038">
      <c r="F5038">
        <f>IF(DATOS!$A5038="","",DATOS!$A5038&amp;"|"&amp;DATOS!$D5038&amp;"|"&amp;DATOS!$E5038&amp;"|"&amp;DATOS!$I5038)</f>
      </c>
      <c r="G5038">
        <f>IF(DATOS!$A5038="",0,IF(CONFIG_METADATA!$B$4&lt;&gt;"OR+EX",--(DATOS!$G5038=CONFIG_METADATA!$B$4),IF(DATOS!$G5038="EX",1,IF(DATOS!$G5038="OR",--(COUNTIFS(nNIA,DATOS!$A5038,nCURSO,DATOS!$D5038,nESPEC,DATOS!$E5038,nASIG,DATOS!$I5038,nEVAL,"EX")=0),0))))</f>
      </c>
      <c r="H5038">
        <f>IF(DATOS!$G5038&lt;&gt;"EX",0,--(COUNTIFS(nNIA,DATOS!$A5038,nCURSO,DATOS!$D5038,nESPEC,DATOS!$E5038,nASIG,DATOS!$I5038,nEVAL,"OR")=0))</f>
      </c>
      <c r="I5038">
        <f>IF(DATOS!$I5038="","",IFERROR(VLOOKUP(DATOS!$I5038,CONFIG_ASIGNATURAS!$B$2:$J$91,9,FALSE()),""))</f>
      </c>
    </row>
    <row r="5039">
      <c r="F5039">
        <f>IF(DATOS!$A5039="","",DATOS!$A5039&amp;"|"&amp;DATOS!$D5039&amp;"|"&amp;DATOS!$E5039&amp;"|"&amp;DATOS!$I5039)</f>
      </c>
      <c r="G5039">
        <f>IF(DATOS!$A5039="",0,IF(CONFIG_METADATA!$B$4&lt;&gt;"OR+EX",--(DATOS!$G5039=CONFIG_METADATA!$B$4),IF(DATOS!$G5039="EX",1,IF(DATOS!$G5039="OR",--(COUNTIFS(nNIA,DATOS!$A5039,nCURSO,DATOS!$D5039,nESPEC,DATOS!$E5039,nASIG,DATOS!$I5039,nEVAL,"EX")=0),0))))</f>
      </c>
      <c r="H5039">
        <f>IF(DATOS!$G5039&lt;&gt;"EX",0,--(COUNTIFS(nNIA,DATOS!$A5039,nCURSO,DATOS!$D5039,nESPEC,DATOS!$E5039,nASIG,DATOS!$I5039,nEVAL,"OR")=0))</f>
      </c>
      <c r="I5039">
        <f>IF(DATOS!$I5039="","",IFERROR(VLOOKUP(DATOS!$I5039,CONFIG_ASIGNATURAS!$B$2:$J$91,9,FALSE()),""))</f>
      </c>
    </row>
    <row r="5040">
      <c r="F5040">
        <f>IF(DATOS!$A5040="","",DATOS!$A5040&amp;"|"&amp;DATOS!$D5040&amp;"|"&amp;DATOS!$E5040&amp;"|"&amp;DATOS!$I5040)</f>
      </c>
      <c r="G5040">
        <f>IF(DATOS!$A5040="",0,IF(CONFIG_METADATA!$B$4&lt;&gt;"OR+EX",--(DATOS!$G5040=CONFIG_METADATA!$B$4),IF(DATOS!$G5040="EX",1,IF(DATOS!$G5040="OR",--(COUNTIFS(nNIA,DATOS!$A5040,nCURSO,DATOS!$D5040,nESPEC,DATOS!$E5040,nASIG,DATOS!$I5040,nEVAL,"EX")=0),0))))</f>
      </c>
      <c r="H5040">
        <f>IF(DATOS!$G5040&lt;&gt;"EX",0,--(COUNTIFS(nNIA,DATOS!$A5040,nCURSO,DATOS!$D5040,nESPEC,DATOS!$E5040,nASIG,DATOS!$I5040,nEVAL,"OR")=0))</f>
      </c>
      <c r="I5040">
        <f>IF(DATOS!$I5040="","",IFERROR(VLOOKUP(DATOS!$I5040,CONFIG_ASIGNATURAS!$B$2:$J$91,9,FALSE()),""))</f>
      </c>
    </row>
    <row r="5041">
      <c r="F5041">
        <f>IF(DATOS!$A5041="","",DATOS!$A5041&amp;"|"&amp;DATOS!$D5041&amp;"|"&amp;DATOS!$E5041&amp;"|"&amp;DATOS!$I5041)</f>
      </c>
      <c r="G5041">
        <f>IF(DATOS!$A5041="",0,IF(CONFIG_METADATA!$B$4&lt;&gt;"OR+EX",--(DATOS!$G5041=CONFIG_METADATA!$B$4),IF(DATOS!$G5041="EX",1,IF(DATOS!$G5041="OR",--(COUNTIFS(nNIA,DATOS!$A5041,nCURSO,DATOS!$D5041,nESPEC,DATOS!$E5041,nASIG,DATOS!$I5041,nEVAL,"EX")=0),0))))</f>
      </c>
      <c r="H5041">
        <f>IF(DATOS!$G5041&lt;&gt;"EX",0,--(COUNTIFS(nNIA,DATOS!$A5041,nCURSO,DATOS!$D5041,nESPEC,DATOS!$E5041,nASIG,DATOS!$I5041,nEVAL,"OR")=0))</f>
      </c>
      <c r="I5041">
        <f>IF(DATOS!$I5041="","",IFERROR(VLOOKUP(DATOS!$I5041,CONFIG_ASIGNATURAS!$B$2:$J$91,9,FALSE()),""))</f>
      </c>
    </row>
    <row r="5042">
      <c r="F5042">
        <f>IF(DATOS!$A5042="","",DATOS!$A5042&amp;"|"&amp;DATOS!$D5042&amp;"|"&amp;DATOS!$E5042&amp;"|"&amp;DATOS!$I5042)</f>
      </c>
      <c r="G5042">
        <f>IF(DATOS!$A5042="",0,IF(CONFIG_METADATA!$B$4&lt;&gt;"OR+EX",--(DATOS!$G5042=CONFIG_METADATA!$B$4),IF(DATOS!$G5042="EX",1,IF(DATOS!$G5042="OR",--(COUNTIFS(nNIA,DATOS!$A5042,nCURSO,DATOS!$D5042,nESPEC,DATOS!$E5042,nASIG,DATOS!$I5042,nEVAL,"EX")=0),0))))</f>
      </c>
      <c r="H5042">
        <f>IF(DATOS!$G5042&lt;&gt;"EX",0,--(COUNTIFS(nNIA,DATOS!$A5042,nCURSO,DATOS!$D5042,nESPEC,DATOS!$E5042,nASIG,DATOS!$I5042,nEVAL,"OR")=0))</f>
      </c>
      <c r="I5042">
        <f>IF(DATOS!$I5042="","",IFERROR(VLOOKUP(DATOS!$I5042,CONFIG_ASIGNATURAS!$B$2:$J$91,9,FALSE()),""))</f>
      </c>
    </row>
    <row r="5043">
      <c r="F5043">
        <f>IF(DATOS!$A5043="","",DATOS!$A5043&amp;"|"&amp;DATOS!$D5043&amp;"|"&amp;DATOS!$E5043&amp;"|"&amp;DATOS!$I5043)</f>
      </c>
      <c r="G5043">
        <f>IF(DATOS!$A5043="",0,IF(CONFIG_METADATA!$B$4&lt;&gt;"OR+EX",--(DATOS!$G5043=CONFIG_METADATA!$B$4),IF(DATOS!$G5043="EX",1,IF(DATOS!$G5043="OR",--(COUNTIFS(nNIA,DATOS!$A5043,nCURSO,DATOS!$D5043,nESPEC,DATOS!$E5043,nASIG,DATOS!$I5043,nEVAL,"EX")=0),0))))</f>
      </c>
      <c r="H5043">
        <f>IF(DATOS!$G5043&lt;&gt;"EX",0,--(COUNTIFS(nNIA,DATOS!$A5043,nCURSO,DATOS!$D5043,nESPEC,DATOS!$E5043,nASIG,DATOS!$I5043,nEVAL,"OR")=0))</f>
      </c>
      <c r="I5043">
        <f>IF(DATOS!$I5043="","",IFERROR(VLOOKUP(DATOS!$I5043,CONFIG_ASIGNATURAS!$B$2:$J$91,9,FALSE()),""))</f>
      </c>
    </row>
    <row r="5044">
      <c r="F5044">
        <f>IF(DATOS!$A5044="","",DATOS!$A5044&amp;"|"&amp;DATOS!$D5044&amp;"|"&amp;DATOS!$E5044&amp;"|"&amp;DATOS!$I5044)</f>
      </c>
      <c r="G5044">
        <f>IF(DATOS!$A5044="",0,IF(CONFIG_METADATA!$B$4&lt;&gt;"OR+EX",--(DATOS!$G5044=CONFIG_METADATA!$B$4),IF(DATOS!$G5044="EX",1,IF(DATOS!$G5044="OR",--(COUNTIFS(nNIA,DATOS!$A5044,nCURSO,DATOS!$D5044,nESPEC,DATOS!$E5044,nASIG,DATOS!$I5044,nEVAL,"EX")=0),0))))</f>
      </c>
      <c r="H5044">
        <f>IF(DATOS!$G5044&lt;&gt;"EX",0,--(COUNTIFS(nNIA,DATOS!$A5044,nCURSO,DATOS!$D5044,nESPEC,DATOS!$E5044,nASIG,DATOS!$I5044,nEVAL,"OR")=0))</f>
      </c>
      <c r="I5044">
        <f>IF(DATOS!$I5044="","",IFERROR(VLOOKUP(DATOS!$I5044,CONFIG_ASIGNATURAS!$B$2:$J$91,9,FALSE()),""))</f>
      </c>
    </row>
    <row r="5045">
      <c r="F5045">
        <f>IF(DATOS!$A5045="","",DATOS!$A5045&amp;"|"&amp;DATOS!$D5045&amp;"|"&amp;DATOS!$E5045&amp;"|"&amp;DATOS!$I5045)</f>
      </c>
      <c r="G5045">
        <f>IF(DATOS!$A5045="",0,IF(CONFIG_METADATA!$B$4&lt;&gt;"OR+EX",--(DATOS!$G5045=CONFIG_METADATA!$B$4),IF(DATOS!$G5045="EX",1,IF(DATOS!$G5045="OR",--(COUNTIFS(nNIA,DATOS!$A5045,nCURSO,DATOS!$D5045,nESPEC,DATOS!$E5045,nASIG,DATOS!$I5045,nEVAL,"EX")=0),0))))</f>
      </c>
      <c r="H5045">
        <f>IF(DATOS!$G5045&lt;&gt;"EX",0,--(COUNTIFS(nNIA,DATOS!$A5045,nCURSO,DATOS!$D5045,nESPEC,DATOS!$E5045,nASIG,DATOS!$I5045,nEVAL,"OR")=0))</f>
      </c>
      <c r="I5045">
        <f>IF(DATOS!$I5045="","",IFERROR(VLOOKUP(DATOS!$I5045,CONFIG_ASIGNATURAS!$B$2:$J$91,9,FALSE()),""))</f>
      </c>
    </row>
    <row r="5046">
      <c r="F5046">
        <f>IF(DATOS!$A5046="","",DATOS!$A5046&amp;"|"&amp;DATOS!$D5046&amp;"|"&amp;DATOS!$E5046&amp;"|"&amp;DATOS!$I5046)</f>
      </c>
      <c r="G5046">
        <f>IF(DATOS!$A5046="",0,IF(CONFIG_METADATA!$B$4&lt;&gt;"OR+EX",--(DATOS!$G5046=CONFIG_METADATA!$B$4),IF(DATOS!$G5046="EX",1,IF(DATOS!$G5046="OR",--(COUNTIFS(nNIA,DATOS!$A5046,nCURSO,DATOS!$D5046,nESPEC,DATOS!$E5046,nASIG,DATOS!$I5046,nEVAL,"EX")=0),0))))</f>
      </c>
      <c r="H5046">
        <f>IF(DATOS!$G5046&lt;&gt;"EX",0,--(COUNTIFS(nNIA,DATOS!$A5046,nCURSO,DATOS!$D5046,nESPEC,DATOS!$E5046,nASIG,DATOS!$I5046,nEVAL,"OR")=0))</f>
      </c>
      <c r="I5046">
        <f>IF(DATOS!$I5046="","",IFERROR(VLOOKUP(DATOS!$I5046,CONFIG_ASIGNATURAS!$B$2:$J$91,9,FALSE()),""))</f>
      </c>
    </row>
    <row r="5047">
      <c r="F5047">
        <f>IF(DATOS!$A5047="","",DATOS!$A5047&amp;"|"&amp;DATOS!$D5047&amp;"|"&amp;DATOS!$E5047&amp;"|"&amp;DATOS!$I5047)</f>
      </c>
      <c r="G5047">
        <f>IF(DATOS!$A5047="",0,IF(CONFIG_METADATA!$B$4&lt;&gt;"OR+EX",--(DATOS!$G5047=CONFIG_METADATA!$B$4),IF(DATOS!$G5047="EX",1,IF(DATOS!$G5047="OR",--(COUNTIFS(nNIA,DATOS!$A5047,nCURSO,DATOS!$D5047,nESPEC,DATOS!$E5047,nASIG,DATOS!$I5047,nEVAL,"EX")=0),0))))</f>
      </c>
      <c r="H5047">
        <f>IF(DATOS!$G5047&lt;&gt;"EX",0,--(COUNTIFS(nNIA,DATOS!$A5047,nCURSO,DATOS!$D5047,nESPEC,DATOS!$E5047,nASIG,DATOS!$I5047,nEVAL,"OR")=0))</f>
      </c>
      <c r="I5047">
        <f>IF(DATOS!$I5047="","",IFERROR(VLOOKUP(DATOS!$I5047,CONFIG_ASIGNATURAS!$B$2:$J$91,9,FALSE()),""))</f>
      </c>
    </row>
    <row r="5048">
      <c r="F5048">
        <f>IF(DATOS!$A5048="","",DATOS!$A5048&amp;"|"&amp;DATOS!$D5048&amp;"|"&amp;DATOS!$E5048&amp;"|"&amp;DATOS!$I5048)</f>
      </c>
      <c r="G5048">
        <f>IF(DATOS!$A5048="",0,IF(CONFIG_METADATA!$B$4&lt;&gt;"OR+EX",--(DATOS!$G5048=CONFIG_METADATA!$B$4),IF(DATOS!$G5048="EX",1,IF(DATOS!$G5048="OR",--(COUNTIFS(nNIA,DATOS!$A5048,nCURSO,DATOS!$D5048,nESPEC,DATOS!$E5048,nASIG,DATOS!$I5048,nEVAL,"EX")=0),0))))</f>
      </c>
      <c r="H5048">
        <f>IF(DATOS!$G5048&lt;&gt;"EX",0,--(COUNTIFS(nNIA,DATOS!$A5048,nCURSO,DATOS!$D5048,nESPEC,DATOS!$E5048,nASIG,DATOS!$I5048,nEVAL,"OR")=0))</f>
      </c>
      <c r="I5048">
        <f>IF(DATOS!$I5048="","",IFERROR(VLOOKUP(DATOS!$I5048,CONFIG_ASIGNATURAS!$B$2:$J$91,9,FALSE()),""))</f>
      </c>
    </row>
    <row r="5049">
      <c r="F5049">
        <f>IF(DATOS!$A5049="","",DATOS!$A5049&amp;"|"&amp;DATOS!$D5049&amp;"|"&amp;DATOS!$E5049&amp;"|"&amp;DATOS!$I5049)</f>
      </c>
      <c r="G5049">
        <f>IF(DATOS!$A5049="",0,IF(CONFIG_METADATA!$B$4&lt;&gt;"OR+EX",--(DATOS!$G5049=CONFIG_METADATA!$B$4),IF(DATOS!$G5049="EX",1,IF(DATOS!$G5049="OR",--(COUNTIFS(nNIA,DATOS!$A5049,nCURSO,DATOS!$D5049,nESPEC,DATOS!$E5049,nASIG,DATOS!$I5049,nEVAL,"EX")=0),0))))</f>
      </c>
      <c r="H5049">
        <f>IF(DATOS!$G5049&lt;&gt;"EX",0,--(COUNTIFS(nNIA,DATOS!$A5049,nCURSO,DATOS!$D5049,nESPEC,DATOS!$E5049,nASIG,DATOS!$I5049,nEVAL,"OR")=0))</f>
      </c>
      <c r="I5049">
        <f>IF(DATOS!$I5049="","",IFERROR(VLOOKUP(DATOS!$I5049,CONFIG_ASIGNATURAS!$B$2:$J$91,9,FALSE()),""))</f>
      </c>
    </row>
    <row r="5050">
      <c r="F5050">
        <f>IF(DATOS!$A5050="","",DATOS!$A5050&amp;"|"&amp;DATOS!$D5050&amp;"|"&amp;DATOS!$E5050&amp;"|"&amp;DATOS!$I5050)</f>
      </c>
      <c r="G5050">
        <f>IF(DATOS!$A5050="",0,IF(CONFIG_METADATA!$B$4&lt;&gt;"OR+EX",--(DATOS!$G5050=CONFIG_METADATA!$B$4),IF(DATOS!$G5050="EX",1,IF(DATOS!$G5050="OR",--(COUNTIFS(nNIA,DATOS!$A5050,nCURSO,DATOS!$D5050,nESPEC,DATOS!$E5050,nASIG,DATOS!$I5050,nEVAL,"EX")=0),0))))</f>
      </c>
      <c r="H5050">
        <f>IF(DATOS!$G5050&lt;&gt;"EX",0,--(COUNTIFS(nNIA,DATOS!$A5050,nCURSO,DATOS!$D5050,nESPEC,DATOS!$E5050,nASIG,DATOS!$I5050,nEVAL,"OR")=0))</f>
      </c>
      <c r="I5050">
        <f>IF(DATOS!$I5050="","",IFERROR(VLOOKUP(DATOS!$I5050,CONFIG_ASIGNATURAS!$B$2:$J$91,9,FALSE()),""))</f>
      </c>
    </row>
    <row r="5051">
      <c r="F5051">
        <f>IF(DATOS!$A5051="","",DATOS!$A5051&amp;"|"&amp;DATOS!$D5051&amp;"|"&amp;DATOS!$E5051&amp;"|"&amp;DATOS!$I5051)</f>
      </c>
      <c r="G5051">
        <f>IF(DATOS!$A5051="",0,IF(CONFIG_METADATA!$B$4&lt;&gt;"OR+EX",--(DATOS!$G5051=CONFIG_METADATA!$B$4),IF(DATOS!$G5051="EX",1,IF(DATOS!$G5051="OR",--(COUNTIFS(nNIA,DATOS!$A5051,nCURSO,DATOS!$D5051,nESPEC,DATOS!$E5051,nASIG,DATOS!$I5051,nEVAL,"EX")=0),0))))</f>
      </c>
      <c r="H5051">
        <f>IF(DATOS!$G5051&lt;&gt;"EX",0,--(COUNTIFS(nNIA,DATOS!$A5051,nCURSO,DATOS!$D5051,nESPEC,DATOS!$E5051,nASIG,DATOS!$I5051,nEVAL,"OR")=0))</f>
      </c>
      <c r="I5051">
        <f>IF(DATOS!$I5051="","",IFERROR(VLOOKUP(DATOS!$I5051,CONFIG_ASIGNATURAS!$B$2:$J$91,9,FALSE()),""))</f>
      </c>
    </row>
    <row r="5052">
      <c r="F5052">
        <f>IF(DATOS!$A5052="","",DATOS!$A5052&amp;"|"&amp;DATOS!$D5052&amp;"|"&amp;DATOS!$E5052&amp;"|"&amp;DATOS!$I5052)</f>
      </c>
      <c r="G5052">
        <f>IF(DATOS!$A5052="",0,IF(CONFIG_METADATA!$B$4&lt;&gt;"OR+EX",--(DATOS!$G5052=CONFIG_METADATA!$B$4),IF(DATOS!$G5052="EX",1,IF(DATOS!$G5052="OR",--(COUNTIFS(nNIA,DATOS!$A5052,nCURSO,DATOS!$D5052,nESPEC,DATOS!$E5052,nASIG,DATOS!$I5052,nEVAL,"EX")=0),0))))</f>
      </c>
      <c r="H5052">
        <f>IF(DATOS!$G5052&lt;&gt;"EX",0,--(COUNTIFS(nNIA,DATOS!$A5052,nCURSO,DATOS!$D5052,nESPEC,DATOS!$E5052,nASIG,DATOS!$I5052,nEVAL,"OR")=0))</f>
      </c>
      <c r="I5052">
        <f>IF(DATOS!$I5052="","",IFERROR(VLOOKUP(DATOS!$I5052,CONFIG_ASIGNATURAS!$B$2:$J$91,9,FALSE()),""))</f>
      </c>
    </row>
    <row r="5053">
      <c r="F5053">
        <f>IF(DATOS!$A5053="","",DATOS!$A5053&amp;"|"&amp;DATOS!$D5053&amp;"|"&amp;DATOS!$E5053&amp;"|"&amp;DATOS!$I5053)</f>
      </c>
      <c r="G5053">
        <f>IF(DATOS!$A5053="",0,IF(CONFIG_METADATA!$B$4&lt;&gt;"OR+EX",--(DATOS!$G5053=CONFIG_METADATA!$B$4),IF(DATOS!$G5053="EX",1,IF(DATOS!$G5053="OR",--(COUNTIFS(nNIA,DATOS!$A5053,nCURSO,DATOS!$D5053,nESPEC,DATOS!$E5053,nASIG,DATOS!$I5053,nEVAL,"EX")=0),0))))</f>
      </c>
      <c r="H5053">
        <f>IF(DATOS!$G5053&lt;&gt;"EX",0,--(COUNTIFS(nNIA,DATOS!$A5053,nCURSO,DATOS!$D5053,nESPEC,DATOS!$E5053,nASIG,DATOS!$I5053,nEVAL,"OR")=0))</f>
      </c>
      <c r="I5053">
        <f>IF(DATOS!$I5053="","",IFERROR(VLOOKUP(DATOS!$I5053,CONFIG_ASIGNATURAS!$B$2:$J$91,9,FALSE()),""))</f>
      </c>
    </row>
    <row r="5054">
      <c r="F5054">
        <f>IF(DATOS!$A5054="","",DATOS!$A5054&amp;"|"&amp;DATOS!$D5054&amp;"|"&amp;DATOS!$E5054&amp;"|"&amp;DATOS!$I5054)</f>
      </c>
      <c r="G5054">
        <f>IF(DATOS!$A5054="",0,IF(CONFIG_METADATA!$B$4&lt;&gt;"OR+EX",--(DATOS!$G5054=CONFIG_METADATA!$B$4),IF(DATOS!$G5054="EX",1,IF(DATOS!$G5054="OR",--(COUNTIFS(nNIA,DATOS!$A5054,nCURSO,DATOS!$D5054,nESPEC,DATOS!$E5054,nASIG,DATOS!$I5054,nEVAL,"EX")=0),0))))</f>
      </c>
      <c r="H5054">
        <f>IF(DATOS!$G5054&lt;&gt;"EX",0,--(COUNTIFS(nNIA,DATOS!$A5054,nCURSO,DATOS!$D5054,nESPEC,DATOS!$E5054,nASIG,DATOS!$I5054,nEVAL,"OR")=0))</f>
      </c>
      <c r="I5054">
        <f>IF(DATOS!$I5054="","",IFERROR(VLOOKUP(DATOS!$I5054,CONFIG_ASIGNATURAS!$B$2:$J$91,9,FALSE()),""))</f>
      </c>
    </row>
    <row r="5055">
      <c r="F5055">
        <f>IF(DATOS!$A5055="","",DATOS!$A5055&amp;"|"&amp;DATOS!$D5055&amp;"|"&amp;DATOS!$E5055&amp;"|"&amp;DATOS!$I5055)</f>
      </c>
      <c r="G5055">
        <f>IF(DATOS!$A5055="",0,IF(CONFIG_METADATA!$B$4&lt;&gt;"OR+EX",--(DATOS!$G5055=CONFIG_METADATA!$B$4),IF(DATOS!$G5055="EX",1,IF(DATOS!$G5055="OR",--(COUNTIFS(nNIA,DATOS!$A5055,nCURSO,DATOS!$D5055,nESPEC,DATOS!$E5055,nASIG,DATOS!$I5055,nEVAL,"EX")=0),0))))</f>
      </c>
      <c r="H5055">
        <f>IF(DATOS!$G5055&lt;&gt;"EX",0,--(COUNTIFS(nNIA,DATOS!$A5055,nCURSO,DATOS!$D5055,nESPEC,DATOS!$E5055,nASIG,DATOS!$I5055,nEVAL,"OR")=0))</f>
      </c>
      <c r="I5055">
        <f>IF(DATOS!$I5055="","",IFERROR(VLOOKUP(DATOS!$I5055,CONFIG_ASIGNATURAS!$B$2:$J$91,9,FALSE()),""))</f>
      </c>
    </row>
    <row r="5056">
      <c r="F5056">
        <f>IF(DATOS!$A5056="","",DATOS!$A5056&amp;"|"&amp;DATOS!$D5056&amp;"|"&amp;DATOS!$E5056&amp;"|"&amp;DATOS!$I5056)</f>
      </c>
      <c r="G5056">
        <f>IF(DATOS!$A5056="",0,IF(CONFIG_METADATA!$B$4&lt;&gt;"OR+EX",--(DATOS!$G5056=CONFIG_METADATA!$B$4),IF(DATOS!$G5056="EX",1,IF(DATOS!$G5056="OR",--(COUNTIFS(nNIA,DATOS!$A5056,nCURSO,DATOS!$D5056,nESPEC,DATOS!$E5056,nASIG,DATOS!$I5056,nEVAL,"EX")=0),0))))</f>
      </c>
      <c r="H5056">
        <f>IF(DATOS!$G5056&lt;&gt;"EX",0,--(COUNTIFS(nNIA,DATOS!$A5056,nCURSO,DATOS!$D5056,nESPEC,DATOS!$E5056,nASIG,DATOS!$I5056,nEVAL,"OR")=0))</f>
      </c>
      <c r="I5056">
        <f>IF(DATOS!$I5056="","",IFERROR(VLOOKUP(DATOS!$I5056,CONFIG_ASIGNATURAS!$B$2:$J$91,9,FALSE()),""))</f>
      </c>
    </row>
    <row r="5057">
      <c r="F5057">
        <f>IF(DATOS!$A5057="","",DATOS!$A5057&amp;"|"&amp;DATOS!$D5057&amp;"|"&amp;DATOS!$E5057&amp;"|"&amp;DATOS!$I5057)</f>
      </c>
      <c r="G5057">
        <f>IF(DATOS!$A5057="",0,IF(CONFIG_METADATA!$B$4&lt;&gt;"OR+EX",--(DATOS!$G5057=CONFIG_METADATA!$B$4),IF(DATOS!$G5057="EX",1,IF(DATOS!$G5057="OR",--(COUNTIFS(nNIA,DATOS!$A5057,nCURSO,DATOS!$D5057,nESPEC,DATOS!$E5057,nASIG,DATOS!$I5057,nEVAL,"EX")=0),0))))</f>
      </c>
      <c r="H5057">
        <f>IF(DATOS!$G5057&lt;&gt;"EX",0,--(COUNTIFS(nNIA,DATOS!$A5057,nCURSO,DATOS!$D5057,nESPEC,DATOS!$E5057,nASIG,DATOS!$I5057,nEVAL,"OR")=0))</f>
      </c>
      <c r="I5057">
        <f>IF(DATOS!$I5057="","",IFERROR(VLOOKUP(DATOS!$I5057,CONFIG_ASIGNATURAS!$B$2:$J$91,9,FALSE()),""))</f>
      </c>
    </row>
    <row r="5058">
      <c r="F5058">
        <f>IF(DATOS!$A5058="","",DATOS!$A5058&amp;"|"&amp;DATOS!$D5058&amp;"|"&amp;DATOS!$E5058&amp;"|"&amp;DATOS!$I5058)</f>
      </c>
      <c r="G5058">
        <f>IF(DATOS!$A5058="",0,IF(CONFIG_METADATA!$B$4&lt;&gt;"OR+EX",--(DATOS!$G5058=CONFIG_METADATA!$B$4),IF(DATOS!$G5058="EX",1,IF(DATOS!$G5058="OR",--(COUNTIFS(nNIA,DATOS!$A5058,nCURSO,DATOS!$D5058,nESPEC,DATOS!$E5058,nASIG,DATOS!$I5058,nEVAL,"EX")=0),0))))</f>
      </c>
      <c r="H5058">
        <f>IF(DATOS!$G5058&lt;&gt;"EX",0,--(COUNTIFS(nNIA,DATOS!$A5058,nCURSO,DATOS!$D5058,nESPEC,DATOS!$E5058,nASIG,DATOS!$I5058,nEVAL,"OR")=0))</f>
      </c>
      <c r="I5058">
        <f>IF(DATOS!$I5058="","",IFERROR(VLOOKUP(DATOS!$I5058,CONFIG_ASIGNATURAS!$B$2:$J$91,9,FALSE()),""))</f>
      </c>
    </row>
    <row r="5059">
      <c r="F5059">
        <f>IF(DATOS!$A5059="","",DATOS!$A5059&amp;"|"&amp;DATOS!$D5059&amp;"|"&amp;DATOS!$E5059&amp;"|"&amp;DATOS!$I5059)</f>
      </c>
      <c r="G5059">
        <f>IF(DATOS!$A5059="",0,IF(CONFIG_METADATA!$B$4&lt;&gt;"OR+EX",--(DATOS!$G5059=CONFIG_METADATA!$B$4),IF(DATOS!$G5059="EX",1,IF(DATOS!$G5059="OR",--(COUNTIFS(nNIA,DATOS!$A5059,nCURSO,DATOS!$D5059,nESPEC,DATOS!$E5059,nASIG,DATOS!$I5059,nEVAL,"EX")=0),0))))</f>
      </c>
      <c r="H5059">
        <f>IF(DATOS!$G5059&lt;&gt;"EX",0,--(COUNTIFS(nNIA,DATOS!$A5059,nCURSO,DATOS!$D5059,nESPEC,DATOS!$E5059,nASIG,DATOS!$I5059,nEVAL,"OR")=0))</f>
      </c>
      <c r="I5059">
        <f>IF(DATOS!$I5059="","",IFERROR(VLOOKUP(DATOS!$I5059,CONFIG_ASIGNATURAS!$B$2:$J$91,9,FALSE()),""))</f>
      </c>
    </row>
    <row r="5060">
      <c r="F5060">
        <f>IF(DATOS!$A5060="","",DATOS!$A5060&amp;"|"&amp;DATOS!$D5060&amp;"|"&amp;DATOS!$E5060&amp;"|"&amp;DATOS!$I5060)</f>
      </c>
      <c r="G5060">
        <f>IF(DATOS!$A5060="",0,IF(CONFIG_METADATA!$B$4&lt;&gt;"OR+EX",--(DATOS!$G5060=CONFIG_METADATA!$B$4),IF(DATOS!$G5060="EX",1,IF(DATOS!$G5060="OR",--(COUNTIFS(nNIA,DATOS!$A5060,nCURSO,DATOS!$D5060,nESPEC,DATOS!$E5060,nASIG,DATOS!$I5060,nEVAL,"EX")=0),0))))</f>
      </c>
      <c r="H5060">
        <f>IF(DATOS!$G5060&lt;&gt;"EX",0,--(COUNTIFS(nNIA,DATOS!$A5060,nCURSO,DATOS!$D5060,nESPEC,DATOS!$E5060,nASIG,DATOS!$I5060,nEVAL,"OR")=0))</f>
      </c>
      <c r="I5060">
        <f>IF(DATOS!$I5060="","",IFERROR(VLOOKUP(DATOS!$I5060,CONFIG_ASIGNATURAS!$B$2:$J$91,9,FALSE()),""))</f>
      </c>
    </row>
    <row r="5061">
      <c r="F5061">
        <f>IF(DATOS!$A5061="","",DATOS!$A5061&amp;"|"&amp;DATOS!$D5061&amp;"|"&amp;DATOS!$E5061&amp;"|"&amp;DATOS!$I5061)</f>
      </c>
      <c r="G5061">
        <f>IF(DATOS!$A5061="",0,IF(CONFIG_METADATA!$B$4&lt;&gt;"OR+EX",--(DATOS!$G5061=CONFIG_METADATA!$B$4),IF(DATOS!$G5061="EX",1,IF(DATOS!$G5061="OR",--(COUNTIFS(nNIA,DATOS!$A5061,nCURSO,DATOS!$D5061,nESPEC,DATOS!$E5061,nASIG,DATOS!$I5061,nEVAL,"EX")=0),0))))</f>
      </c>
      <c r="H5061">
        <f>IF(DATOS!$G5061&lt;&gt;"EX",0,--(COUNTIFS(nNIA,DATOS!$A5061,nCURSO,DATOS!$D5061,nESPEC,DATOS!$E5061,nASIG,DATOS!$I5061,nEVAL,"OR")=0))</f>
      </c>
      <c r="I5061">
        <f>IF(DATOS!$I5061="","",IFERROR(VLOOKUP(DATOS!$I5061,CONFIG_ASIGNATURAS!$B$2:$J$91,9,FALSE()),""))</f>
      </c>
    </row>
    <row r="5062">
      <c r="F5062">
        <f>IF(DATOS!$A5062="","",DATOS!$A5062&amp;"|"&amp;DATOS!$D5062&amp;"|"&amp;DATOS!$E5062&amp;"|"&amp;DATOS!$I5062)</f>
      </c>
      <c r="G5062">
        <f>IF(DATOS!$A5062="",0,IF(CONFIG_METADATA!$B$4&lt;&gt;"OR+EX",--(DATOS!$G5062=CONFIG_METADATA!$B$4),IF(DATOS!$G5062="EX",1,IF(DATOS!$G5062="OR",--(COUNTIFS(nNIA,DATOS!$A5062,nCURSO,DATOS!$D5062,nESPEC,DATOS!$E5062,nASIG,DATOS!$I5062,nEVAL,"EX")=0),0))))</f>
      </c>
      <c r="H5062">
        <f>IF(DATOS!$G5062&lt;&gt;"EX",0,--(COUNTIFS(nNIA,DATOS!$A5062,nCURSO,DATOS!$D5062,nESPEC,DATOS!$E5062,nASIG,DATOS!$I5062,nEVAL,"OR")=0))</f>
      </c>
      <c r="I5062">
        <f>IF(DATOS!$I5062="","",IFERROR(VLOOKUP(DATOS!$I5062,CONFIG_ASIGNATURAS!$B$2:$J$91,9,FALSE()),""))</f>
      </c>
    </row>
    <row r="5063">
      <c r="F5063">
        <f>IF(DATOS!$A5063="","",DATOS!$A5063&amp;"|"&amp;DATOS!$D5063&amp;"|"&amp;DATOS!$E5063&amp;"|"&amp;DATOS!$I5063)</f>
      </c>
      <c r="G5063">
        <f>IF(DATOS!$A5063="",0,IF(CONFIG_METADATA!$B$4&lt;&gt;"OR+EX",--(DATOS!$G5063=CONFIG_METADATA!$B$4),IF(DATOS!$G5063="EX",1,IF(DATOS!$G5063="OR",--(COUNTIFS(nNIA,DATOS!$A5063,nCURSO,DATOS!$D5063,nESPEC,DATOS!$E5063,nASIG,DATOS!$I5063,nEVAL,"EX")=0),0))))</f>
      </c>
      <c r="H5063">
        <f>IF(DATOS!$G5063&lt;&gt;"EX",0,--(COUNTIFS(nNIA,DATOS!$A5063,nCURSO,DATOS!$D5063,nESPEC,DATOS!$E5063,nASIG,DATOS!$I5063,nEVAL,"OR")=0))</f>
      </c>
      <c r="I5063">
        <f>IF(DATOS!$I5063="","",IFERROR(VLOOKUP(DATOS!$I5063,CONFIG_ASIGNATURAS!$B$2:$J$91,9,FALSE()),""))</f>
      </c>
    </row>
    <row r="5064">
      <c r="F5064">
        <f>IF(DATOS!$A5064="","",DATOS!$A5064&amp;"|"&amp;DATOS!$D5064&amp;"|"&amp;DATOS!$E5064&amp;"|"&amp;DATOS!$I5064)</f>
      </c>
      <c r="G5064">
        <f>IF(DATOS!$A5064="",0,IF(CONFIG_METADATA!$B$4&lt;&gt;"OR+EX",--(DATOS!$G5064=CONFIG_METADATA!$B$4),IF(DATOS!$G5064="EX",1,IF(DATOS!$G5064="OR",--(COUNTIFS(nNIA,DATOS!$A5064,nCURSO,DATOS!$D5064,nESPEC,DATOS!$E5064,nASIG,DATOS!$I5064,nEVAL,"EX")=0),0))))</f>
      </c>
      <c r="H5064">
        <f>IF(DATOS!$G5064&lt;&gt;"EX",0,--(COUNTIFS(nNIA,DATOS!$A5064,nCURSO,DATOS!$D5064,nESPEC,DATOS!$E5064,nASIG,DATOS!$I5064,nEVAL,"OR")=0))</f>
      </c>
      <c r="I5064">
        <f>IF(DATOS!$I5064="","",IFERROR(VLOOKUP(DATOS!$I5064,CONFIG_ASIGNATURAS!$B$2:$J$91,9,FALSE()),""))</f>
      </c>
    </row>
    <row r="5065">
      <c r="F5065">
        <f>IF(DATOS!$A5065="","",DATOS!$A5065&amp;"|"&amp;DATOS!$D5065&amp;"|"&amp;DATOS!$E5065&amp;"|"&amp;DATOS!$I5065)</f>
      </c>
      <c r="G5065">
        <f>IF(DATOS!$A5065="",0,IF(CONFIG_METADATA!$B$4&lt;&gt;"OR+EX",--(DATOS!$G5065=CONFIG_METADATA!$B$4),IF(DATOS!$G5065="EX",1,IF(DATOS!$G5065="OR",--(COUNTIFS(nNIA,DATOS!$A5065,nCURSO,DATOS!$D5065,nESPEC,DATOS!$E5065,nASIG,DATOS!$I5065,nEVAL,"EX")=0),0))))</f>
      </c>
      <c r="H5065">
        <f>IF(DATOS!$G5065&lt;&gt;"EX",0,--(COUNTIFS(nNIA,DATOS!$A5065,nCURSO,DATOS!$D5065,nESPEC,DATOS!$E5065,nASIG,DATOS!$I5065,nEVAL,"OR")=0))</f>
      </c>
      <c r="I5065">
        <f>IF(DATOS!$I5065="","",IFERROR(VLOOKUP(DATOS!$I5065,CONFIG_ASIGNATURAS!$B$2:$J$91,9,FALSE()),""))</f>
      </c>
    </row>
    <row r="5066">
      <c r="F5066">
        <f>IF(DATOS!$A5066="","",DATOS!$A5066&amp;"|"&amp;DATOS!$D5066&amp;"|"&amp;DATOS!$E5066&amp;"|"&amp;DATOS!$I5066)</f>
      </c>
      <c r="G5066">
        <f>IF(DATOS!$A5066="",0,IF(CONFIG_METADATA!$B$4&lt;&gt;"OR+EX",--(DATOS!$G5066=CONFIG_METADATA!$B$4),IF(DATOS!$G5066="EX",1,IF(DATOS!$G5066="OR",--(COUNTIFS(nNIA,DATOS!$A5066,nCURSO,DATOS!$D5066,nESPEC,DATOS!$E5066,nASIG,DATOS!$I5066,nEVAL,"EX")=0),0))))</f>
      </c>
      <c r="H5066">
        <f>IF(DATOS!$G5066&lt;&gt;"EX",0,--(COUNTIFS(nNIA,DATOS!$A5066,nCURSO,DATOS!$D5066,nESPEC,DATOS!$E5066,nASIG,DATOS!$I5066,nEVAL,"OR")=0))</f>
      </c>
      <c r="I5066">
        <f>IF(DATOS!$I5066="","",IFERROR(VLOOKUP(DATOS!$I5066,CONFIG_ASIGNATURAS!$B$2:$J$91,9,FALSE()),""))</f>
      </c>
    </row>
    <row r="5067">
      <c r="F5067">
        <f>IF(DATOS!$A5067="","",DATOS!$A5067&amp;"|"&amp;DATOS!$D5067&amp;"|"&amp;DATOS!$E5067&amp;"|"&amp;DATOS!$I5067)</f>
      </c>
      <c r="G5067">
        <f>IF(DATOS!$A5067="",0,IF(CONFIG_METADATA!$B$4&lt;&gt;"OR+EX",--(DATOS!$G5067=CONFIG_METADATA!$B$4),IF(DATOS!$G5067="EX",1,IF(DATOS!$G5067="OR",--(COUNTIFS(nNIA,DATOS!$A5067,nCURSO,DATOS!$D5067,nESPEC,DATOS!$E5067,nASIG,DATOS!$I5067,nEVAL,"EX")=0),0))))</f>
      </c>
      <c r="H5067">
        <f>IF(DATOS!$G5067&lt;&gt;"EX",0,--(COUNTIFS(nNIA,DATOS!$A5067,nCURSO,DATOS!$D5067,nESPEC,DATOS!$E5067,nASIG,DATOS!$I5067,nEVAL,"OR")=0))</f>
      </c>
      <c r="I5067">
        <f>IF(DATOS!$I5067="","",IFERROR(VLOOKUP(DATOS!$I5067,CONFIG_ASIGNATURAS!$B$2:$J$91,9,FALSE()),""))</f>
      </c>
    </row>
    <row r="5068">
      <c r="F5068">
        <f>IF(DATOS!$A5068="","",DATOS!$A5068&amp;"|"&amp;DATOS!$D5068&amp;"|"&amp;DATOS!$E5068&amp;"|"&amp;DATOS!$I5068)</f>
      </c>
      <c r="G5068">
        <f>IF(DATOS!$A5068="",0,IF(CONFIG_METADATA!$B$4&lt;&gt;"OR+EX",--(DATOS!$G5068=CONFIG_METADATA!$B$4),IF(DATOS!$G5068="EX",1,IF(DATOS!$G5068="OR",--(COUNTIFS(nNIA,DATOS!$A5068,nCURSO,DATOS!$D5068,nESPEC,DATOS!$E5068,nASIG,DATOS!$I5068,nEVAL,"EX")=0),0))))</f>
      </c>
      <c r="H5068">
        <f>IF(DATOS!$G5068&lt;&gt;"EX",0,--(COUNTIFS(nNIA,DATOS!$A5068,nCURSO,DATOS!$D5068,nESPEC,DATOS!$E5068,nASIG,DATOS!$I5068,nEVAL,"OR")=0))</f>
      </c>
      <c r="I5068">
        <f>IF(DATOS!$I5068="","",IFERROR(VLOOKUP(DATOS!$I5068,CONFIG_ASIGNATURAS!$B$2:$J$91,9,FALSE()),""))</f>
      </c>
    </row>
    <row r="5069">
      <c r="F5069">
        <f>IF(DATOS!$A5069="","",DATOS!$A5069&amp;"|"&amp;DATOS!$D5069&amp;"|"&amp;DATOS!$E5069&amp;"|"&amp;DATOS!$I5069)</f>
      </c>
      <c r="G5069">
        <f>IF(DATOS!$A5069="",0,IF(CONFIG_METADATA!$B$4&lt;&gt;"OR+EX",--(DATOS!$G5069=CONFIG_METADATA!$B$4),IF(DATOS!$G5069="EX",1,IF(DATOS!$G5069="OR",--(COUNTIFS(nNIA,DATOS!$A5069,nCURSO,DATOS!$D5069,nESPEC,DATOS!$E5069,nASIG,DATOS!$I5069,nEVAL,"EX")=0),0))))</f>
      </c>
      <c r="H5069">
        <f>IF(DATOS!$G5069&lt;&gt;"EX",0,--(COUNTIFS(nNIA,DATOS!$A5069,nCURSO,DATOS!$D5069,nESPEC,DATOS!$E5069,nASIG,DATOS!$I5069,nEVAL,"OR")=0))</f>
      </c>
      <c r="I5069">
        <f>IF(DATOS!$I5069="","",IFERROR(VLOOKUP(DATOS!$I5069,CONFIG_ASIGNATURAS!$B$2:$J$91,9,FALSE()),""))</f>
      </c>
    </row>
    <row r="5070">
      <c r="F5070">
        <f>IF(DATOS!$A5070="","",DATOS!$A5070&amp;"|"&amp;DATOS!$D5070&amp;"|"&amp;DATOS!$E5070&amp;"|"&amp;DATOS!$I5070)</f>
      </c>
      <c r="G5070">
        <f>IF(DATOS!$A5070="",0,IF(CONFIG_METADATA!$B$4&lt;&gt;"OR+EX",--(DATOS!$G5070=CONFIG_METADATA!$B$4),IF(DATOS!$G5070="EX",1,IF(DATOS!$G5070="OR",--(COUNTIFS(nNIA,DATOS!$A5070,nCURSO,DATOS!$D5070,nESPEC,DATOS!$E5070,nASIG,DATOS!$I5070,nEVAL,"EX")=0),0))))</f>
      </c>
      <c r="H5070">
        <f>IF(DATOS!$G5070&lt;&gt;"EX",0,--(COUNTIFS(nNIA,DATOS!$A5070,nCURSO,DATOS!$D5070,nESPEC,DATOS!$E5070,nASIG,DATOS!$I5070,nEVAL,"OR")=0))</f>
      </c>
      <c r="I5070">
        <f>IF(DATOS!$I5070="","",IFERROR(VLOOKUP(DATOS!$I5070,CONFIG_ASIGNATURAS!$B$2:$J$91,9,FALSE()),""))</f>
      </c>
    </row>
    <row r="5071">
      <c r="F5071">
        <f>IF(DATOS!$A5071="","",DATOS!$A5071&amp;"|"&amp;DATOS!$D5071&amp;"|"&amp;DATOS!$E5071&amp;"|"&amp;DATOS!$I5071)</f>
      </c>
      <c r="G5071">
        <f>IF(DATOS!$A5071="",0,IF(CONFIG_METADATA!$B$4&lt;&gt;"OR+EX",--(DATOS!$G5071=CONFIG_METADATA!$B$4),IF(DATOS!$G5071="EX",1,IF(DATOS!$G5071="OR",--(COUNTIFS(nNIA,DATOS!$A5071,nCURSO,DATOS!$D5071,nESPEC,DATOS!$E5071,nASIG,DATOS!$I5071,nEVAL,"EX")=0),0))))</f>
      </c>
      <c r="H5071">
        <f>IF(DATOS!$G5071&lt;&gt;"EX",0,--(COUNTIFS(nNIA,DATOS!$A5071,nCURSO,DATOS!$D5071,nESPEC,DATOS!$E5071,nASIG,DATOS!$I5071,nEVAL,"OR")=0))</f>
      </c>
      <c r="I5071">
        <f>IF(DATOS!$I5071="","",IFERROR(VLOOKUP(DATOS!$I5071,CONFIG_ASIGNATURAS!$B$2:$J$91,9,FALSE()),""))</f>
      </c>
    </row>
    <row r="5072">
      <c r="F5072">
        <f>IF(DATOS!$A5072="","",DATOS!$A5072&amp;"|"&amp;DATOS!$D5072&amp;"|"&amp;DATOS!$E5072&amp;"|"&amp;DATOS!$I5072)</f>
      </c>
      <c r="G5072">
        <f>IF(DATOS!$A5072="",0,IF(CONFIG_METADATA!$B$4&lt;&gt;"OR+EX",--(DATOS!$G5072=CONFIG_METADATA!$B$4),IF(DATOS!$G5072="EX",1,IF(DATOS!$G5072="OR",--(COUNTIFS(nNIA,DATOS!$A5072,nCURSO,DATOS!$D5072,nESPEC,DATOS!$E5072,nASIG,DATOS!$I5072,nEVAL,"EX")=0),0))))</f>
      </c>
      <c r="H5072">
        <f>IF(DATOS!$G5072&lt;&gt;"EX",0,--(COUNTIFS(nNIA,DATOS!$A5072,nCURSO,DATOS!$D5072,nESPEC,DATOS!$E5072,nASIG,DATOS!$I5072,nEVAL,"OR")=0))</f>
      </c>
      <c r="I5072">
        <f>IF(DATOS!$I5072="","",IFERROR(VLOOKUP(DATOS!$I5072,CONFIG_ASIGNATURAS!$B$2:$J$91,9,FALSE()),""))</f>
      </c>
    </row>
    <row r="5073">
      <c r="F5073">
        <f>IF(DATOS!$A5073="","",DATOS!$A5073&amp;"|"&amp;DATOS!$D5073&amp;"|"&amp;DATOS!$E5073&amp;"|"&amp;DATOS!$I5073)</f>
      </c>
      <c r="G5073">
        <f>IF(DATOS!$A5073="",0,IF(CONFIG_METADATA!$B$4&lt;&gt;"OR+EX",--(DATOS!$G5073=CONFIG_METADATA!$B$4),IF(DATOS!$G5073="EX",1,IF(DATOS!$G5073="OR",--(COUNTIFS(nNIA,DATOS!$A5073,nCURSO,DATOS!$D5073,nESPEC,DATOS!$E5073,nASIG,DATOS!$I5073,nEVAL,"EX")=0),0))))</f>
      </c>
      <c r="H5073">
        <f>IF(DATOS!$G5073&lt;&gt;"EX",0,--(COUNTIFS(nNIA,DATOS!$A5073,nCURSO,DATOS!$D5073,nESPEC,DATOS!$E5073,nASIG,DATOS!$I5073,nEVAL,"OR")=0))</f>
      </c>
      <c r="I5073">
        <f>IF(DATOS!$I5073="","",IFERROR(VLOOKUP(DATOS!$I5073,CONFIG_ASIGNATURAS!$B$2:$J$91,9,FALSE()),""))</f>
      </c>
    </row>
    <row r="5074">
      <c r="F5074">
        <f>IF(DATOS!$A5074="","",DATOS!$A5074&amp;"|"&amp;DATOS!$D5074&amp;"|"&amp;DATOS!$E5074&amp;"|"&amp;DATOS!$I5074)</f>
      </c>
      <c r="G5074">
        <f>IF(DATOS!$A5074="",0,IF(CONFIG_METADATA!$B$4&lt;&gt;"OR+EX",--(DATOS!$G5074=CONFIG_METADATA!$B$4),IF(DATOS!$G5074="EX",1,IF(DATOS!$G5074="OR",--(COUNTIFS(nNIA,DATOS!$A5074,nCURSO,DATOS!$D5074,nESPEC,DATOS!$E5074,nASIG,DATOS!$I5074,nEVAL,"EX")=0),0))))</f>
      </c>
      <c r="H5074">
        <f>IF(DATOS!$G5074&lt;&gt;"EX",0,--(COUNTIFS(nNIA,DATOS!$A5074,nCURSO,DATOS!$D5074,nESPEC,DATOS!$E5074,nASIG,DATOS!$I5074,nEVAL,"OR")=0))</f>
      </c>
      <c r="I5074">
        <f>IF(DATOS!$I5074="","",IFERROR(VLOOKUP(DATOS!$I5074,CONFIG_ASIGNATURAS!$B$2:$J$91,9,FALSE()),""))</f>
      </c>
    </row>
    <row r="5075">
      <c r="F5075">
        <f>IF(DATOS!$A5075="","",DATOS!$A5075&amp;"|"&amp;DATOS!$D5075&amp;"|"&amp;DATOS!$E5075&amp;"|"&amp;DATOS!$I5075)</f>
      </c>
      <c r="G5075">
        <f>IF(DATOS!$A5075="",0,IF(CONFIG_METADATA!$B$4&lt;&gt;"OR+EX",--(DATOS!$G5075=CONFIG_METADATA!$B$4),IF(DATOS!$G5075="EX",1,IF(DATOS!$G5075="OR",--(COUNTIFS(nNIA,DATOS!$A5075,nCURSO,DATOS!$D5075,nESPEC,DATOS!$E5075,nASIG,DATOS!$I5075,nEVAL,"EX")=0),0))))</f>
      </c>
      <c r="H5075">
        <f>IF(DATOS!$G5075&lt;&gt;"EX",0,--(COUNTIFS(nNIA,DATOS!$A5075,nCURSO,DATOS!$D5075,nESPEC,DATOS!$E5075,nASIG,DATOS!$I5075,nEVAL,"OR")=0))</f>
      </c>
      <c r="I5075">
        <f>IF(DATOS!$I5075="","",IFERROR(VLOOKUP(DATOS!$I5075,CONFIG_ASIGNATURAS!$B$2:$J$91,9,FALSE()),""))</f>
      </c>
    </row>
    <row r="5076">
      <c r="F5076">
        <f>IF(DATOS!$A5076="","",DATOS!$A5076&amp;"|"&amp;DATOS!$D5076&amp;"|"&amp;DATOS!$E5076&amp;"|"&amp;DATOS!$I5076)</f>
      </c>
      <c r="G5076">
        <f>IF(DATOS!$A5076="",0,IF(CONFIG_METADATA!$B$4&lt;&gt;"OR+EX",--(DATOS!$G5076=CONFIG_METADATA!$B$4),IF(DATOS!$G5076="EX",1,IF(DATOS!$G5076="OR",--(COUNTIFS(nNIA,DATOS!$A5076,nCURSO,DATOS!$D5076,nESPEC,DATOS!$E5076,nASIG,DATOS!$I5076,nEVAL,"EX")=0),0))))</f>
      </c>
      <c r="H5076">
        <f>IF(DATOS!$G5076&lt;&gt;"EX",0,--(COUNTIFS(nNIA,DATOS!$A5076,nCURSO,DATOS!$D5076,nESPEC,DATOS!$E5076,nASIG,DATOS!$I5076,nEVAL,"OR")=0))</f>
      </c>
      <c r="I5076">
        <f>IF(DATOS!$I5076="","",IFERROR(VLOOKUP(DATOS!$I5076,CONFIG_ASIGNATURAS!$B$2:$J$91,9,FALSE()),""))</f>
      </c>
    </row>
    <row r="5077">
      <c r="F5077">
        <f>IF(DATOS!$A5077="","",DATOS!$A5077&amp;"|"&amp;DATOS!$D5077&amp;"|"&amp;DATOS!$E5077&amp;"|"&amp;DATOS!$I5077)</f>
      </c>
      <c r="G5077">
        <f>IF(DATOS!$A5077="",0,IF(CONFIG_METADATA!$B$4&lt;&gt;"OR+EX",--(DATOS!$G5077=CONFIG_METADATA!$B$4),IF(DATOS!$G5077="EX",1,IF(DATOS!$G5077="OR",--(COUNTIFS(nNIA,DATOS!$A5077,nCURSO,DATOS!$D5077,nESPEC,DATOS!$E5077,nASIG,DATOS!$I5077,nEVAL,"EX")=0),0))))</f>
      </c>
      <c r="H5077">
        <f>IF(DATOS!$G5077&lt;&gt;"EX",0,--(COUNTIFS(nNIA,DATOS!$A5077,nCURSO,DATOS!$D5077,nESPEC,DATOS!$E5077,nASIG,DATOS!$I5077,nEVAL,"OR")=0))</f>
      </c>
      <c r="I5077">
        <f>IF(DATOS!$I5077="","",IFERROR(VLOOKUP(DATOS!$I5077,CONFIG_ASIGNATURAS!$B$2:$J$91,9,FALSE()),""))</f>
      </c>
    </row>
    <row r="5078">
      <c r="F5078">
        <f>IF(DATOS!$A5078="","",DATOS!$A5078&amp;"|"&amp;DATOS!$D5078&amp;"|"&amp;DATOS!$E5078&amp;"|"&amp;DATOS!$I5078)</f>
      </c>
      <c r="G5078">
        <f>IF(DATOS!$A5078="",0,IF(CONFIG_METADATA!$B$4&lt;&gt;"OR+EX",--(DATOS!$G5078=CONFIG_METADATA!$B$4),IF(DATOS!$G5078="EX",1,IF(DATOS!$G5078="OR",--(COUNTIFS(nNIA,DATOS!$A5078,nCURSO,DATOS!$D5078,nESPEC,DATOS!$E5078,nASIG,DATOS!$I5078,nEVAL,"EX")=0),0))))</f>
      </c>
      <c r="H5078">
        <f>IF(DATOS!$G5078&lt;&gt;"EX",0,--(COUNTIFS(nNIA,DATOS!$A5078,nCURSO,DATOS!$D5078,nESPEC,DATOS!$E5078,nASIG,DATOS!$I5078,nEVAL,"OR")=0))</f>
      </c>
      <c r="I5078">
        <f>IF(DATOS!$I5078="","",IFERROR(VLOOKUP(DATOS!$I5078,CONFIG_ASIGNATURAS!$B$2:$J$91,9,FALSE()),""))</f>
      </c>
    </row>
    <row r="5079">
      <c r="F5079">
        <f>IF(DATOS!$A5079="","",DATOS!$A5079&amp;"|"&amp;DATOS!$D5079&amp;"|"&amp;DATOS!$E5079&amp;"|"&amp;DATOS!$I5079)</f>
      </c>
      <c r="G5079">
        <f>IF(DATOS!$A5079="",0,IF(CONFIG_METADATA!$B$4&lt;&gt;"OR+EX",--(DATOS!$G5079=CONFIG_METADATA!$B$4),IF(DATOS!$G5079="EX",1,IF(DATOS!$G5079="OR",--(COUNTIFS(nNIA,DATOS!$A5079,nCURSO,DATOS!$D5079,nESPEC,DATOS!$E5079,nASIG,DATOS!$I5079,nEVAL,"EX")=0),0))))</f>
      </c>
      <c r="H5079">
        <f>IF(DATOS!$G5079&lt;&gt;"EX",0,--(COUNTIFS(nNIA,DATOS!$A5079,nCURSO,DATOS!$D5079,nESPEC,DATOS!$E5079,nASIG,DATOS!$I5079,nEVAL,"OR")=0))</f>
      </c>
      <c r="I5079">
        <f>IF(DATOS!$I5079="","",IFERROR(VLOOKUP(DATOS!$I5079,CONFIG_ASIGNATURAS!$B$2:$J$91,9,FALSE()),""))</f>
      </c>
    </row>
    <row r="5080">
      <c r="F5080">
        <f>IF(DATOS!$A5080="","",DATOS!$A5080&amp;"|"&amp;DATOS!$D5080&amp;"|"&amp;DATOS!$E5080&amp;"|"&amp;DATOS!$I5080)</f>
      </c>
      <c r="G5080">
        <f>IF(DATOS!$A5080="",0,IF(CONFIG_METADATA!$B$4&lt;&gt;"OR+EX",--(DATOS!$G5080=CONFIG_METADATA!$B$4),IF(DATOS!$G5080="EX",1,IF(DATOS!$G5080="OR",--(COUNTIFS(nNIA,DATOS!$A5080,nCURSO,DATOS!$D5080,nESPEC,DATOS!$E5080,nASIG,DATOS!$I5080,nEVAL,"EX")=0),0))))</f>
      </c>
      <c r="H5080">
        <f>IF(DATOS!$G5080&lt;&gt;"EX",0,--(COUNTIFS(nNIA,DATOS!$A5080,nCURSO,DATOS!$D5080,nESPEC,DATOS!$E5080,nASIG,DATOS!$I5080,nEVAL,"OR")=0))</f>
      </c>
      <c r="I5080">
        <f>IF(DATOS!$I5080="","",IFERROR(VLOOKUP(DATOS!$I5080,CONFIG_ASIGNATURAS!$B$2:$J$91,9,FALSE()),""))</f>
      </c>
    </row>
    <row r="5081">
      <c r="F5081">
        <f>IF(DATOS!$A5081="","",DATOS!$A5081&amp;"|"&amp;DATOS!$D5081&amp;"|"&amp;DATOS!$E5081&amp;"|"&amp;DATOS!$I5081)</f>
      </c>
      <c r="G5081">
        <f>IF(DATOS!$A5081="",0,IF(CONFIG_METADATA!$B$4&lt;&gt;"OR+EX",--(DATOS!$G5081=CONFIG_METADATA!$B$4),IF(DATOS!$G5081="EX",1,IF(DATOS!$G5081="OR",--(COUNTIFS(nNIA,DATOS!$A5081,nCURSO,DATOS!$D5081,nESPEC,DATOS!$E5081,nASIG,DATOS!$I5081,nEVAL,"EX")=0),0))))</f>
      </c>
      <c r="H5081">
        <f>IF(DATOS!$G5081&lt;&gt;"EX",0,--(COUNTIFS(nNIA,DATOS!$A5081,nCURSO,DATOS!$D5081,nESPEC,DATOS!$E5081,nASIG,DATOS!$I5081,nEVAL,"OR")=0))</f>
      </c>
      <c r="I5081">
        <f>IF(DATOS!$I5081="","",IFERROR(VLOOKUP(DATOS!$I5081,CONFIG_ASIGNATURAS!$B$2:$J$91,9,FALSE()),""))</f>
      </c>
    </row>
    <row r="5082">
      <c r="F5082">
        <f>IF(DATOS!$A5082="","",DATOS!$A5082&amp;"|"&amp;DATOS!$D5082&amp;"|"&amp;DATOS!$E5082&amp;"|"&amp;DATOS!$I5082)</f>
      </c>
      <c r="G5082">
        <f>IF(DATOS!$A5082="",0,IF(CONFIG_METADATA!$B$4&lt;&gt;"OR+EX",--(DATOS!$G5082=CONFIG_METADATA!$B$4),IF(DATOS!$G5082="EX",1,IF(DATOS!$G5082="OR",--(COUNTIFS(nNIA,DATOS!$A5082,nCURSO,DATOS!$D5082,nESPEC,DATOS!$E5082,nASIG,DATOS!$I5082,nEVAL,"EX")=0),0))))</f>
      </c>
      <c r="H5082">
        <f>IF(DATOS!$G5082&lt;&gt;"EX",0,--(COUNTIFS(nNIA,DATOS!$A5082,nCURSO,DATOS!$D5082,nESPEC,DATOS!$E5082,nASIG,DATOS!$I5082,nEVAL,"OR")=0))</f>
      </c>
      <c r="I5082">
        <f>IF(DATOS!$I5082="","",IFERROR(VLOOKUP(DATOS!$I5082,CONFIG_ASIGNATURAS!$B$2:$J$91,9,FALSE()),""))</f>
      </c>
    </row>
    <row r="5083">
      <c r="F5083">
        <f>IF(DATOS!$A5083="","",DATOS!$A5083&amp;"|"&amp;DATOS!$D5083&amp;"|"&amp;DATOS!$E5083&amp;"|"&amp;DATOS!$I5083)</f>
      </c>
      <c r="G5083">
        <f>IF(DATOS!$A5083="",0,IF(CONFIG_METADATA!$B$4&lt;&gt;"OR+EX",--(DATOS!$G5083=CONFIG_METADATA!$B$4),IF(DATOS!$G5083="EX",1,IF(DATOS!$G5083="OR",--(COUNTIFS(nNIA,DATOS!$A5083,nCURSO,DATOS!$D5083,nESPEC,DATOS!$E5083,nASIG,DATOS!$I5083,nEVAL,"EX")=0),0))))</f>
      </c>
      <c r="H5083">
        <f>IF(DATOS!$G5083&lt;&gt;"EX",0,--(COUNTIFS(nNIA,DATOS!$A5083,nCURSO,DATOS!$D5083,nESPEC,DATOS!$E5083,nASIG,DATOS!$I5083,nEVAL,"OR")=0))</f>
      </c>
      <c r="I5083">
        <f>IF(DATOS!$I5083="","",IFERROR(VLOOKUP(DATOS!$I5083,CONFIG_ASIGNATURAS!$B$2:$J$91,9,FALSE()),""))</f>
      </c>
    </row>
    <row r="5084">
      <c r="F5084">
        <f>IF(DATOS!$A5084="","",DATOS!$A5084&amp;"|"&amp;DATOS!$D5084&amp;"|"&amp;DATOS!$E5084&amp;"|"&amp;DATOS!$I5084)</f>
      </c>
      <c r="G5084">
        <f>IF(DATOS!$A5084="",0,IF(CONFIG_METADATA!$B$4&lt;&gt;"OR+EX",--(DATOS!$G5084=CONFIG_METADATA!$B$4),IF(DATOS!$G5084="EX",1,IF(DATOS!$G5084="OR",--(COUNTIFS(nNIA,DATOS!$A5084,nCURSO,DATOS!$D5084,nESPEC,DATOS!$E5084,nASIG,DATOS!$I5084,nEVAL,"EX")=0),0))))</f>
      </c>
      <c r="H5084">
        <f>IF(DATOS!$G5084&lt;&gt;"EX",0,--(COUNTIFS(nNIA,DATOS!$A5084,nCURSO,DATOS!$D5084,nESPEC,DATOS!$E5084,nASIG,DATOS!$I5084,nEVAL,"OR")=0))</f>
      </c>
      <c r="I5084">
        <f>IF(DATOS!$I5084="","",IFERROR(VLOOKUP(DATOS!$I5084,CONFIG_ASIGNATURAS!$B$2:$J$91,9,FALSE()),""))</f>
      </c>
    </row>
    <row r="5085">
      <c r="F5085">
        <f>IF(DATOS!$A5085="","",DATOS!$A5085&amp;"|"&amp;DATOS!$D5085&amp;"|"&amp;DATOS!$E5085&amp;"|"&amp;DATOS!$I5085)</f>
      </c>
      <c r="G5085">
        <f>IF(DATOS!$A5085="",0,IF(CONFIG_METADATA!$B$4&lt;&gt;"OR+EX",--(DATOS!$G5085=CONFIG_METADATA!$B$4),IF(DATOS!$G5085="EX",1,IF(DATOS!$G5085="OR",--(COUNTIFS(nNIA,DATOS!$A5085,nCURSO,DATOS!$D5085,nESPEC,DATOS!$E5085,nASIG,DATOS!$I5085,nEVAL,"EX")=0),0))))</f>
      </c>
      <c r="H5085">
        <f>IF(DATOS!$G5085&lt;&gt;"EX",0,--(COUNTIFS(nNIA,DATOS!$A5085,nCURSO,DATOS!$D5085,nESPEC,DATOS!$E5085,nASIG,DATOS!$I5085,nEVAL,"OR")=0))</f>
      </c>
      <c r="I5085">
        <f>IF(DATOS!$I5085="","",IFERROR(VLOOKUP(DATOS!$I5085,CONFIG_ASIGNATURAS!$B$2:$J$91,9,FALSE()),""))</f>
      </c>
    </row>
    <row r="5086">
      <c r="F5086">
        <f>IF(DATOS!$A5086="","",DATOS!$A5086&amp;"|"&amp;DATOS!$D5086&amp;"|"&amp;DATOS!$E5086&amp;"|"&amp;DATOS!$I5086)</f>
      </c>
      <c r="G5086">
        <f>IF(DATOS!$A5086="",0,IF(CONFIG_METADATA!$B$4&lt;&gt;"OR+EX",--(DATOS!$G5086=CONFIG_METADATA!$B$4),IF(DATOS!$G5086="EX",1,IF(DATOS!$G5086="OR",--(COUNTIFS(nNIA,DATOS!$A5086,nCURSO,DATOS!$D5086,nESPEC,DATOS!$E5086,nASIG,DATOS!$I5086,nEVAL,"EX")=0),0))))</f>
      </c>
      <c r="H5086">
        <f>IF(DATOS!$G5086&lt;&gt;"EX",0,--(COUNTIFS(nNIA,DATOS!$A5086,nCURSO,DATOS!$D5086,nESPEC,DATOS!$E5086,nASIG,DATOS!$I5086,nEVAL,"OR")=0))</f>
      </c>
      <c r="I5086">
        <f>IF(DATOS!$I5086="","",IFERROR(VLOOKUP(DATOS!$I5086,CONFIG_ASIGNATURAS!$B$2:$J$91,9,FALSE()),""))</f>
      </c>
    </row>
    <row r="5087">
      <c r="F5087">
        <f>IF(DATOS!$A5087="","",DATOS!$A5087&amp;"|"&amp;DATOS!$D5087&amp;"|"&amp;DATOS!$E5087&amp;"|"&amp;DATOS!$I5087)</f>
      </c>
      <c r="G5087">
        <f>IF(DATOS!$A5087="",0,IF(CONFIG_METADATA!$B$4&lt;&gt;"OR+EX",--(DATOS!$G5087=CONFIG_METADATA!$B$4),IF(DATOS!$G5087="EX",1,IF(DATOS!$G5087="OR",--(COUNTIFS(nNIA,DATOS!$A5087,nCURSO,DATOS!$D5087,nESPEC,DATOS!$E5087,nASIG,DATOS!$I5087,nEVAL,"EX")=0),0))))</f>
      </c>
      <c r="H5087">
        <f>IF(DATOS!$G5087&lt;&gt;"EX",0,--(COUNTIFS(nNIA,DATOS!$A5087,nCURSO,DATOS!$D5087,nESPEC,DATOS!$E5087,nASIG,DATOS!$I5087,nEVAL,"OR")=0))</f>
      </c>
      <c r="I5087">
        <f>IF(DATOS!$I5087="","",IFERROR(VLOOKUP(DATOS!$I5087,CONFIG_ASIGNATURAS!$B$2:$J$91,9,FALSE()),""))</f>
      </c>
    </row>
    <row r="5088">
      <c r="F5088">
        <f>IF(DATOS!$A5088="","",DATOS!$A5088&amp;"|"&amp;DATOS!$D5088&amp;"|"&amp;DATOS!$E5088&amp;"|"&amp;DATOS!$I5088)</f>
      </c>
      <c r="G5088">
        <f>IF(DATOS!$A5088="",0,IF(CONFIG_METADATA!$B$4&lt;&gt;"OR+EX",--(DATOS!$G5088=CONFIG_METADATA!$B$4),IF(DATOS!$G5088="EX",1,IF(DATOS!$G5088="OR",--(COUNTIFS(nNIA,DATOS!$A5088,nCURSO,DATOS!$D5088,nESPEC,DATOS!$E5088,nASIG,DATOS!$I5088,nEVAL,"EX")=0),0))))</f>
      </c>
      <c r="H5088">
        <f>IF(DATOS!$G5088&lt;&gt;"EX",0,--(COUNTIFS(nNIA,DATOS!$A5088,nCURSO,DATOS!$D5088,nESPEC,DATOS!$E5088,nASIG,DATOS!$I5088,nEVAL,"OR")=0))</f>
      </c>
      <c r="I5088">
        <f>IF(DATOS!$I5088="","",IFERROR(VLOOKUP(DATOS!$I5088,CONFIG_ASIGNATURAS!$B$2:$J$91,9,FALSE()),""))</f>
      </c>
    </row>
    <row r="5089">
      <c r="F5089">
        <f>IF(DATOS!$A5089="","",DATOS!$A5089&amp;"|"&amp;DATOS!$D5089&amp;"|"&amp;DATOS!$E5089&amp;"|"&amp;DATOS!$I5089)</f>
      </c>
      <c r="G5089">
        <f>IF(DATOS!$A5089="",0,IF(CONFIG_METADATA!$B$4&lt;&gt;"OR+EX",--(DATOS!$G5089=CONFIG_METADATA!$B$4),IF(DATOS!$G5089="EX",1,IF(DATOS!$G5089="OR",--(COUNTIFS(nNIA,DATOS!$A5089,nCURSO,DATOS!$D5089,nESPEC,DATOS!$E5089,nASIG,DATOS!$I5089,nEVAL,"EX")=0),0))))</f>
      </c>
      <c r="H5089">
        <f>IF(DATOS!$G5089&lt;&gt;"EX",0,--(COUNTIFS(nNIA,DATOS!$A5089,nCURSO,DATOS!$D5089,nESPEC,DATOS!$E5089,nASIG,DATOS!$I5089,nEVAL,"OR")=0))</f>
      </c>
      <c r="I5089">
        <f>IF(DATOS!$I5089="","",IFERROR(VLOOKUP(DATOS!$I5089,CONFIG_ASIGNATURAS!$B$2:$J$91,9,FALSE()),""))</f>
      </c>
    </row>
    <row r="5090">
      <c r="F5090">
        <f>IF(DATOS!$A5090="","",DATOS!$A5090&amp;"|"&amp;DATOS!$D5090&amp;"|"&amp;DATOS!$E5090&amp;"|"&amp;DATOS!$I5090)</f>
      </c>
      <c r="G5090">
        <f>IF(DATOS!$A5090="",0,IF(CONFIG_METADATA!$B$4&lt;&gt;"OR+EX",--(DATOS!$G5090=CONFIG_METADATA!$B$4),IF(DATOS!$G5090="EX",1,IF(DATOS!$G5090="OR",--(COUNTIFS(nNIA,DATOS!$A5090,nCURSO,DATOS!$D5090,nESPEC,DATOS!$E5090,nASIG,DATOS!$I5090,nEVAL,"EX")=0),0))))</f>
      </c>
      <c r="H5090">
        <f>IF(DATOS!$G5090&lt;&gt;"EX",0,--(COUNTIFS(nNIA,DATOS!$A5090,nCURSO,DATOS!$D5090,nESPEC,DATOS!$E5090,nASIG,DATOS!$I5090,nEVAL,"OR")=0))</f>
      </c>
      <c r="I5090">
        <f>IF(DATOS!$I5090="","",IFERROR(VLOOKUP(DATOS!$I5090,CONFIG_ASIGNATURAS!$B$2:$J$91,9,FALSE()),""))</f>
      </c>
    </row>
    <row r="5091">
      <c r="F5091">
        <f>IF(DATOS!$A5091="","",DATOS!$A5091&amp;"|"&amp;DATOS!$D5091&amp;"|"&amp;DATOS!$E5091&amp;"|"&amp;DATOS!$I5091)</f>
      </c>
      <c r="G5091">
        <f>IF(DATOS!$A5091="",0,IF(CONFIG_METADATA!$B$4&lt;&gt;"OR+EX",--(DATOS!$G5091=CONFIG_METADATA!$B$4),IF(DATOS!$G5091="EX",1,IF(DATOS!$G5091="OR",--(COUNTIFS(nNIA,DATOS!$A5091,nCURSO,DATOS!$D5091,nESPEC,DATOS!$E5091,nASIG,DATOS!$I5091,nEVAL,"EX")=0),0))))</f>
      </c>
      <c r="H5091">
        <f>IF(DATOS!$G5091&lt;&gt;"EX",0,--(COUNTIFS(nNIA,DATOS!$A5091,nCURSO,DATOS!$D5091,nESPEC,DATOS!$E5091,nASIG,DATOS!$I5091,nEVAL,"OR")=0))</f>
      </c>
      <c r="I5091">
        <f>IF(DATOS!$I5091="","",IFERROR(VLOOKUP(DATOS!$I5091,CONFIG_ASIGNATURAS!$B$2:$J$91,9,FALSE()),""))</f>
      </c>
    </row>
    <row r="5092">
      <c r="F5092">
        <f>IF(DATOS!$A5092="","",DATOS!$A5092&amp;"|"&amp;DATOS!$D5092&amp;"|"&amp;DATOS!$E5092&amp;"|"&amp;DATOS!$I5092)</f>
      </c>
      <c r="G5092">
        <f>IF(DATOS!$A5092="",0,IF(CONFIG_METADATA!$B$4&lt;&gt;"OR+EX",--(DATOS!$G5092=CONFIG_METADATA!$B$4),IF(DATOS!$G5092="EX",1,IF(DATOS!$G5092="OR",--(COUNTIFS(nNIA,DATOS!$A5092,nCURSO,DATOS!$D5092,nESPEC,DATOS!$E5092,nASIG,DATOS!$I5092,nEVAL,"EX")=0),0))))</f>
      </c>
      <c r="H5092">
        <f>IF(DATOS!$G5092&lt;&gt;"EX",0,--(COUNTIFS(nNIA,DATOS!$A5092,nCURSO,DATOS!$D5092,nESPEC,DATOS!$E5092,nASIG,DATOS!$I5092,nEVAL,"OR")=0))</f>
      </c>
      <c r="I5092">
        <f>IF(DATOS!$I5092="","",IFERROR(VLOOKUP(DATOS!$I5092,CONFIG_ASIGNATURAS!$B$2:$J$91,9,FALSE()),""))</f>
      </c>
    </row>
    <row r="5093">
      <c r="F5093">
        <f>IF(DATOS!$A5093="","",DATOS!$A5093&amp;"|"&amp;DATOS!$D5093&amp;"|"&amp;DATOS!$E5093&amp;"|"&amp;DATOS!$I5093)</f>
      </c>
      <c r="G5093">
        <f>IF(DATOS!$A5093="",0,IF(CONFIG_METADATA!$B$4&lt;&gt;"OR+EX",--(DATOS!$G5093=CONFIG_METADATA!$B$4),IF(DATOS!$G5093="EX",1,IF(DATOS!$G5093="OR",--(COUNTIFS(nNIA,DATOS!$A5093,nCURSO,DATOS!$D5093,nESPEC,DATOS!$E5093,nASIG,DATOS!$I5093,nEVAL,"EX")=0),0))))</f>
      </c>
      <c r="H5093">
        <f>IF(DATOS!$G5093&lt;&gt;"EX",0,--(COUNTIFS(nNIA,DATOS!$A5093,nCURSO,DATOS!$D5093,nESPEC,DATOS!$E5093,nASIG,DATOS!$I5093,nEVAL,"OR")=0))</f>
      </c>
      <c r="I5093">
        <f>IF(DATOS!$I5093="","",IFERROR(VLOOKUP(DATOS!$I5093,CONFIG_ASIGNATURAS!$B$2:$J$91,9,FALSE()),""))</f>
      </c>
    </row>
    <row r="5094">
      <c r="F5094">
        <f>IF(DATOS!$A5094="","",DATOS!$A5094&amp;"|"&amp;DATOS!$D5094&amp;"|"&amp;DATOS!$E5094&amp;"|"&amp;DATOS!$I5094)</f>
      </c>
      <c r="G5094">
        <f>IF(DATOS!$A5094="",0,IF(CONFIG_METADATA!$B$4&lt;&gt;"OR+EX",--(DATOS!$G5094=CONFIG_METADATA!$B$4),IF(DATOS!$G5094="EX",1,IF(DATOS!$G5094="OR",--(COUNTIFS(nNIA,DATOS!$A5094,nCURSO,DATOS!$D5094,nESPEC,DATOS!$E5094,nASIG,DATOS!$I5094,nEVAL,"EX")=0),0))))</f>
      </c>
      <c r="H5094">
        <f>IF(DATOS!$G5094&lt;&gt;"EX",0,--(COUNTIFS(nNIA,DATOS!$A5094,nCURSO,DATOS!$D5094,nESPEC,DATOS!$E5094,nASIG,DATOS!$I5094,nEVAL,"OR")=0))</f>
      </c>
      <c r="I5094">
        <f>IF(DATOS!$I5094="","",IFERROR(VLOOKUP(DATOS!$I5094,CONFIG_ASIGNATURAS!$B$2:$J$91,9,FALSE()),""))</f>
      </c>
    </row>
    <row r="5095">
      <c r="F5095">
        <f>IF(DATOS!$A5095="","",DATOS!$A5095&amp;"|"&amp;DATOS!$D5095&amp;"|"&amp;DATOS!$E5095&amp;"|"&amp;DATOS!$I5095)</f>
      </c>
      <c r="G5095">
        <f>IF(DATOS!$A5095="",0,IF(CONFIG_METADATA!$B$4&lt;&gt;"OR+EX",--(DATOS!$G5095=CONFIG_METADATA!$B$4),IF(DATOS!$G5095="EX",1,IF(DATOS!$G5095="OR",--(COUNTIFS(nNIA,DATOS!$A5095,nCURSO,DATOS!$D5095,nESPEC,DATOS!$E5095,nASIG,DATOS!$I5095,nEVAL,"EX")=0),0))))</f>
      </c>
      <c r="H5095">
        <f>IF(DATOS!$G5095&lt;&gt;"EX",0,--(COUNTIFS(nNIA,DATOS!$A5095,nCURSO,DATOS!$D5095,nESPEC,DATOS!$E5095,nASIG,DATOS!$I5095,nEVAL,"OR")=0))</f>
      </c>
      <c r="I5095">
        <f>IF(DATOS!$I5095="","",IFERROR(VLOOKUP(DATOS!$I5095,CONFIG_ASIGNATURAS!$B$2:$J$91,9,FALSE()),""))</f>
      </c>
    </row>
    <row r="5096">
      <c r="F5096">
        <f>IF(DATOS!$A5096="","",DATOS!$A5096&amp;"|"&amp;DATOS!$D5096&amp;"|"&amp;DATOS!$E5096&amp;"|"&amp;DATOS!$I5096)</f>
      </c>
      <c r="G5096">
        <f>IF(DATOS!$A5096="",0,IF(CONFIG_METADATA!$B$4&lt;&gt;"OR+EX",--(DATOS!$G5096=CONFIG_METADATA!$B$4),IF(DATOS!$G5096="EX",1,IF(DATOS!$G5096="OR",--(COUNTIFS(nNIA,DATOS!$A5096,nCURSO,DATOS!$D5096,nESPEC,DATOS!$E5096,nASIG,DATOS!$I5096,nEVAL,"EX")=0),0))))</f>
      </c>
      <c r="H5096">
        <f>IF(DATOS!$G5096&lt;&gt;"EX",0,--(COUNTIFS(nNIA,DATOS!$A5096,nCURSO,DATOS!$D5096,nESPEC,DATOS!$E5096,nASIG,DATOS!$I5096,nEVAL,"OR")=0))</f>
      </c>
      <c r="I5096">
        <f>IF(DATOS!$I5096="","",IFERROR(VLOOKUP(DATOS!$I5096,CONFIG_ASIGNATURAS!$B$2:$J$91,9,FALSE()),""))</f>
      </c>
    </row>
    <row r="5097">
      <c r="F5097">
        <f>IF(DATOS!$A5097="","",DATOS!$A5097&amp;"|"&amp;DATOS!$D5097&amp;"|"&amp;DATOS!$E5097&amp;"|"&amp;DATOS!$I5097)</f>
      </c>
      <c r="G5097">
        <f>IF(DATOS!$A5097="",0,IF(CONFIG_METADATA!$B$4&lt;&gt;"OR+EX",--(DATOS!$G5097=CONFIG_METADATA!$B$4),IF(DATOS!$G5097="EX",1,IF(DATOS!$G5097="OR",--(COUNTIFS(nNIA,DATOS!$A5097,nCURSO,DATOS!$D5097,nESPEC,DATOS!$E5097,nASIG,DATOS!$I5097,nEVAL,"EX")=0),0))))</f>
      </c>
      <c r="H5097">
        <f>IF(DATOS!$G5097&lt;&gt;"EX",0,--(COUNTIFS(nNIA,DATOS!$A5097,nCURSO,DATOS!$D5097,nESPEC,DATOS!$E5097,nASIG,DATOS!$I5097,nEVAL,"OR")=0))</f>
      </c>
      <c r="I5097">
        <f>IF(DATOS!$I5097="","",IFERROR(VLOOKUP(DATOS!$I5097,CONFIG_ASIGNATURAS!$B$2:$J$91,9,FALSE()),""))</f>
      </c>
    </row>
    <row r="5098">
      <c r="F5098">
        <f>IF(DATOS!$A5098="","",DATOS!$A5098&amp;"|"&amp;DATOS!$D5098&amp;"|"&amp;DATOS!$E5098&amp;"|"&amp;DATOS!$I5098)</f>
      </c>
      <c r="G5098">
        <f>IF(DATOS!$A5098="",0,IF(CONFIG_METADATA!$B$4&lt;&gt;"OR+EX",--(DATOS!$G5098=CONFIG_METADATA!$B$4),IF(DATOS!$G5098="EX",1,IF(DATOS!$G5098="OR",--(COUNTIFS(nNIA,DATOS!$A5098,nCURSO,DATOS!$D5098,nESPEC,DATOS!$E5098,nASIG,DATOS!$I5098,nEVAL,"EX")=0),0))))</f>
      </c>
      <c r="H5098">
        <f>IF(DATOS!$G5098&lt;&gt;"EX",0,--(COUNTIFS(nNIA,DATOS!$A5098,nCURSO,DATOS!$D5098,nESPEC,DATOS!$E5098,nASIG,DATOS!$I5098,nEVAL,"OR")=0))</f>
      </c>
      <c r="I5098">
        <f>IF(DATOS!$I5098="","",IFERROR(VLOOKUP(DATOS!$I5098,CONFIG_ASIGNATURAS!$B$2:$J$91,9,FALSE()),""))</f>
      </c>
    </row>
    <row r="5099">
      <c r="F5099">
        <f>IF(DATOS!$A5099="","",DATOS!$A5099&amp;"|"&amp;DATOS!$D5099&amp;"|"&amp;DATOS!$E5099&amp;"|"&amp;DATOS!$I5099)</f>
      </c>
      <c r="G5099">
        <f>IF(DATOS!$A5099="",0,IF(CONFIG_METADATA!$B$4&lt;&gt;"OR+EX",--(DATOS!$G5099=CONFIG_METADATA!$B$4),IF(DATOS!$G5099="EX",1,IF(DATOS!$G5099="OR",--(COUNTIFS(nNIA,DATOS!$A5099,nCURSO,DATOS!$D5099,nESPEC,DATOS!$E5099,nASIG,DATOS!$I5099,nEVAL,"EX")=0),0))))</f>
      </c>
      <c r="H5099">
        <f>IF(DATOS!$G5099&lt;&gt;"EX",0,--(COUNTIFS(nNIA,DATOS!$A5099,nCURSO,DATOS!$D5099,nESPEC,DATOS!$E5099,nASIG,DATOS!$I5099,nEVAL,"OR")=0))</f>
      </c>
      <c r="I5099">
        <f>IF(DATOS!$I5099="","",IFERROR(VLOOKUP(DATOS!$I5099,CONFIG_ASIGNATURAS!$B$2:$J$91,9,FALSE()),""))</f>
      </c>
    </row>
    <row r="5100">
      <c r="F5100">
        <f>IF(DATOS!$A5100="","",DATOS!$A5100&amp;"|"&amp;DATOS!$D5100&amp;"|"&amp;DATOS!$E5100&amp;"|"&amp;DATOS!$I5100)</f>
      </c>
      <c r="G5100">
        <f>IF(DATOS!$A5100="",0,IF(CONFIG_METADATA!$B$4&lt;&gt;"OR+EX",--(DATOS!$G5100=CONFIG_METADATA!$B$4),IF(DATOS!$G5100="EX",1,IF(DATOS!$G5100="OR",--(COUNTIFS(nNIA,DATOS!$A5100,nCURSO,DATOS!$D5100,nESPEC,DATOS!$E5100,nASIG,DATOS!$I5100,nEVAL,"EX")=0),0))))</f>
      </c>
      <c r="H5100">
        <f>IF(DATOS!$G5100&lt;&gt;"EX",0,--(COUNTIFS(nNIA,DATOS!$A5100,nCURSO,DATOS!$D5100,nESPEC,DATOS!$E5100,nASIG,DATOS!$I5100,nEVAL,"OR")=0))</f>
      </c>
      <c r="I5100">
        <f>IF(DATOS!$I5100="","",IFERROR(VLOOKUP(DATOS!$I5100,CONFIG_ASIGNATURAS!$B$2:$J$91,9,FALSE()),""))</f>
      </c>
    </row>
    <row r="5101">
      <c r="F5101">
        <f>IF(DATOS!$A5101="","",DATOS!$A5101&amp;"|"&amp;DATOS!$D5101&amp;"|"&amp;DATOS!$E5101&amp;"|"&amp;DATOS!$I5101)</f>
      </c>
      <c r="G5101">
        <f>IF(DATOS!$A5101="",0,IF(CONFIG_METADATA!$B$4&lt;&gt;"OR+EX",--(DATOS!$G5101=CONFIG_METADATA!$B$4),IF(DATOS!$G5101="EX",1,IF(DATOS!$G5101="OR",--(COUNTIFS(nNIA,DATOS!$A5101,nCURSO,DATOS!$D5101,nESPEC,DATOS!$E5101,nASIG,DATOS!$I5101,nEVAL,"EX")=0),0))))</f>
      </c>
      <c r="H5101">
        <f>IF(DATOS!$G5101&lt;&gt;"EX",0,--(COUNTIFS(nNIA,DATOS!$A5101,nCURSO,DATOS!$D5101,nESPEC,DATOS!$E5101,nASIG,DATOS!$I5101,nEVAL,"OR")=0))</f>
      </c>
      <c r="I5101">
        <f>IF(DATOS!$I5101="","",IFERROR(VLOOKUP(DATOS!$I5101,CONFIG_ASIGNATURAS!$B$2:$J$91,9,FALSE()),""))</f>
      </c>
    </row>
    <row r="5102">
      <c r="F5102">
        <f>IF(DATOS!$A5102="","",DATOS!$A5102&amp;"|"&amp;DATOS!$D5102&amp;"|"&amp;DATOS!$E5102&amp;"|"&amp;DATOS!$I5102)</f>
      </c>
      <c r="G5102">
        <f>IF(DATOS!$A5102="",0,IF(CONFIG_METADATA!$B$4&lt;&gt;"OR+EX",--(DATOS!$G5102=CONFIG_METADATA!$B$4),IF(DATOS!$G5102="EX",1,IF(DATOS!$G5102="OR",--(COUNTIFS(nNIA,DATOS!$A5102,nCURSO,DATOS!$D5102,nESPEC,DATOS!$E5102,nASIG,DATOS!$I5102,nEVAL,"EX")=0),0))))</f>
      </c>
      <c r="H5102">
        <f>IF(DATOS!$G5102&lt;&gt;"EX",0,--(COUNTIFS(nNIA,DATOS!$A5102,nCURSO,DATOS!$D5102,nESPEC,DATOS!$E5102,nASIG,DATOS!$I5102,nEVAL,"OR")=0))</f>
      </c>
      <c r="I5102">
        <f>IF(DATOS!$I5102="","",IFERROR(VLOOKUP(DATOS!$I5102,CONFIG_ASIGNATURAS!$B$2:$J$91,9,FALSE()),""))</f>
      </c>
    </row>
    <row r="5103">
      <c r="F5103">
        <f>IF(DATOS!$A5103="","",DATOS!$A5103&amp;"|"&amp;DATOS!$D5103&amp;"|"&amp;DATOS!$E5103&amp;"|"&amp;DATOS!$I5103)</f>
      </c>
      <c r="G5103">
        <f>IF(DATOS!$A5103="",0,IF(CONFIG_METADATA!$B$4&lt;&gt;"OR+EX",--(DATOS!$G5103=CONFIG_METADATA!$B$4),IF(DATOS!$G5103="EX",1,IF(DATOS!$G5103="OR",--(COUNTIFS(nNIA,DATOS!$A5103,nCURSO,DATOS!$D5103,nESPEC,DATOS!$E5103,nASIG,DATOS!$I5103,nEVAL,"EX")=0),0))))</f>
      </c>
      <c r="H5103">
        <f>IF(DATOS!$G5103&lt;&gt;"EX",0,--(COUNTIFS(nNIA,DATOS!$A5103,nCURSO,DATOS!$D5103,nESPEC,DATOS!$E5103,nASIG,DATOS!$I5103,nEVAL,"OR")=0))</f>
      </c>
      <c r="I5103">
        <f>IF(DATOS!$I5103="","",IFERROR(VLOOKUP(DATOS!$I5103,CONFIG_ASIGNATURAS!$B$2:$J$91,9,FALSE()),""))</f>
      </c>
    </row>
    <row r="5104">
      <c r="F5104">
        <f>IF(DATOS!$A5104="","",DATOS!$A5104&amp;"|"&amp;DATOS!$D5104&amp;"|"&amp;DATOS!$E5104&amp;"|"&amp;DATOS!$I5104)</f>
      </c>
      <c r="G5104">
        <f>IF(DATOS!$A5104="",0,IF(CONFIG_METADATA!$B$4&lt;&gt;"OR+EX",--(DATOS!$G5104=CONFIG_METADATA!$B$4),IF(DATOS!$G5104="EX",1,IF(DATOS!$G5104="OR",--(COUNTIFS(nNIA,DATOS!$A5104,nCURSO,DATOS!$D5104,nESPEC,DATOS!$E5104,nASIG,DATOS!$I5104,nEVAL,"EX")=0),0))))</f>
      </c>
      <c r="H5104">
        <f>IF(DATOS!$G5104&lt;&gt;"EX",0,--(COUNTIFS(nNIA,DATOS!$A5104,nCURSO,DATOS!$D5104,nESPEC,DATOS!$E5104,nASIG,DATOS!$I5104,nEVAL,"OR")=0))</f>
      </c>
      <c r="I5104">
        <f>IF(DATOS!$I5104="","",IFERROR(VLOOKUP(DATOS!$I5104,CONFIG_ASIGNATURAS!$B$2:$J$91,9,FALSE()),""))</f>
      </c>
    </row>
    <row r="5105">
      <c r="F5105">
        <f>IF(DATOS!$A5105="","",DATOS!$A5105&amp;"|"&amp;DATOS!$D5105&amp;"|"&amp;DATOS!$E5105&amp;"|"&amp;DATOS!$I5105)</f>
      </c>
      <c r="G5105">
        <f>IF(DATOS!$A5105="",0,IF(CONFIG_METADATA!$B$4&lt;&gt;"OR+EX",--(DATOS!$G5105=CONFIG_METADATA!$B$4),IF(DATOS!$G5105="EX",1,IF(DATOS!$G5105="OR",--(COUNTIFS(nNIA,DATOS!$A5105,nCURSO,DATOS!$D5105,nESPEC,DATOS!$E5105,nASIG,DATOS!$I5105,nEVAL,"EX")=0),0))))</f>
      </c>
      <c r="H5105">
        <f>IF(DATOS!$G5105&lt;&gt;"EX",0,--(COUNTIFS(nNIA,DATOS!$A5105,nCURSO,DATOS!$D5105,nESPEC,DATOS!$E5105,nASIG,DATOS!$I5105,nEVAL,"OR")=0))</f>
      </c>
      <c r="I5105">
        <f>IF(DATOS!$I5105="","",IFERROR(VLOOKUP(DATOS!$I5105,CONFIG_ASIGNATURAS!$B$2:$J$91,9,FALSE()),""))</f>
      </c>
    </row>
    <row r="5106">
      <c r="F5106">
        <f>IF(DATOS!$A5106="","",DATOS!$A5106&amp;"|"&amp;DATOS!$D5106&amp;"|"&amp;DATOS!$E5106&amp;"|"&amp;DATOS!$I5106)</f>
      </c>
      <c r="G5106">
        <f>IF(DATOS!$A5106="",0,IF(CONFIG_METADATA!$B$4&lt;&gt;"OR+EX",--(DATOS!$G5106=CONFIG_METADATA!$B$4),IF(DATOS!$G5106="EX",1,IF(DATOS!$G5106="OR",--(COUNTIFS(nNIA,DATOS!$A5106,nCURSO,DATOS!$D5106,nESPEC,DATOS!$E5106,nASIG,DATOS!$I5106,nEVAL,"EX")=0),0))))</f>
      </c>
      <c r="H5106">
        <f>IF(DATOS!$G5106&lt;&gt;"EX",0,--(COUNTIFS(nNIA,DATOS!$A5106,nCURSO,DATOS!$D5106,nESPEC,DATOS!$E5106,nASIG,DATOS!$I5106,nEVAL,"OR")=0))</f>
      </c>
      <c r="I5106">
        <f>IF(DATOS!$I5106="","",IFERROR(VLOOKUP(DATOS!$I5106,CONFIG_ASIGNATURAS!$B$2:$J$91,9,FALSE()),""))</f>
      </c>
    </row>
    <row r="5107">
      <c r="F5107">
        <f>IF(DATOS!$A5107="","",DATOS!$A5107&amp;"|"&amp;DATOS!$D5107&amp;"|"&amp;DATOS!$E5107&amp;"|"&amp;DATOS!$I5107)</f>
      </c>
      <c r="G5107">
        <f>IF(DATOS!$A5107="",0,IF(CONFIG_METADATA!$B$4&lt;&gt;"OR+EX",--(DATOS!$G5107=CONFIG_METADATA!$B$4),IF(DATOS!$G5107="EX",1,IF(DATOS!$G5107="OR",--(COUNTIFS(nNIA,DATOS!$A5107,nCURSO,DATOS!$D5107,nESPEC,DATOS!$E5107,nASIG,DATOS!$I5107,nEVAL,"EX")=0),0))))</f>
      </c>
      <c r="H5107">
        <f>IF(DATOS!$G5107&lt;&gt;"EX",0,--(COUNTIFS(nNIA,DATOS!$A5107,nCURSO,DATOS!$D5107,nESPEC,DATOS!$E5107,nASIG,DATOS!$I5107,nEVAL,"OR")=0))</f>
      </c>
      <c r="I5107">
        <f>IF(DATOS!$I5107="","",IFERROR(VLOOKUP(DATOS!$I5107,CONFIG_ASIGNATURAS!$B$2:$J$91,9,FALSE()),""))</f>
      </c>
    </row>
    <row r="5108">
      <c r="F5108">
        <f>IF(DATOS!$A5108="","",DATOS!$A5108&amp;"|"&amp;DATOS!$D5108&amp;"|"&amp;DATOS!$E5108&amp;"|"&amp;DATOS!$I5108)</f>
      </c>
      <c r="G5108">
        <f>IF(DATOS!$A5108="",0,IF(CONFIG_METADATA!$B$4&lt;&gt;"OR+EX",--(DATOS!$G5108=CONFIG_METADATA!$B$4),IF(DATOS!$G5108="EX",1,IF(DATOS!$G5108="OR",--(COUNTIFS(nNIA,DATOS!$A5108,nCURSO,DATOS!$D5108,nESPEC,DATOS!$E5108,nASIG,DATOS!$I5108,nEVAL,"EX")=0),0))))</f>
      </c>
      <c r="H5108">
        <f>IF(DATOS!$G5108&lt;&gt;"EX",0,--(COUNTIFS(nNIA,DATOS!$A5108,nCURSO,DATOS!$D5108,nESPEC,DATOS!$E5108,nASIG,DATOS!$I5108,nEVAL,"OR")=0))</f>
      </c>
      <c r="I5108">
        <f>IF(DATOS!$I5108="","",IFERROR(VLOOKUP(DATOS!$I5108,CONFIG_ASIGNATURAS!$B$2:$J$91,9,FALSE()),""))</f>
      </c>
    </row>
    <row r="5109">
      <c r="F5109">
        <f>IF(DATOS!$A5109="","",DATOS!$A5109&amp;"|"&amp;DATOS!$D5109&amp;"|"&amp;DATOS!$E5109&amp;"|"&amp;DATOS!$I5109)</f>
      </c>
      <c r="G5109">
        <f>IF(DATOS!$A5109="",0,IF(CONFIG_METADATA!$B$4&lt;&gt;"OR+EX",--(DATOS!$G5109=CONFIG_METADATA!$B$4),IF(DATOS!$G5109="EX",1,IF(DATOS!$G5109="OR",--(COUNTIFS(nNIA,DATOS!$A5109,nCURSO,DATOS!$D5109,nESPEC,DATOS!$E5109,nASIG,DATOS!$I5109,nEVAL,"EX")=0),0))))</f>
      </c>
      <c r="H5109">
        <f>IF(DATOS!$G5109&lt;&gt;"EX",0,--(COUNTIFS(nNIA,DATOS!$A5109,nCURSO,DATOS!$D5109,nESPEC,DATOS!$E5109,nASIG,DATOS!$I5109,nEVAL,"OR")=0))</f>
      </c>
      <c r="I5109">
        <f>IF(DATOS!$I5109="","",IFERROR(VLOOKUP(DATOS!$I5109,CONFIG_ASIGNATURAS!$B$2:$J$91,9,FALSE()),""))</f>
      </c>
    </row>
    <row r="5110">
      <c r="F5110">
        <f>IF(DATOS!$A5110="","",DATOS!$A5110&amp;"|"&amp;DATOS!$D5110&amp;"|"&amp;DATOS!$E5110&amp;"|"&amp;DATOS!$I5110)</f>
      </c>
      <c r="G5110">
        <f>IF(DATOS!$A5110="",0,IF(CONFIG_METADATA!$B$4&lt;&gt;"OR+EX",--(DATOS!$G5110=CONFIG_METADATA!$B$4),IF(DATOS!$G5110="EX",1,IF(DATOS!$G5110="OR",--(COUNTIFS(nNIA,DATOS!$A5110,nCURSO,DATOS!$D5110,nESPEC,DATOS!$E5110,nASIG,DATOS!$I5110,nEVAL,"EX")=0),0))))</f>
      </c>
      <c r="H5110">
        <f>IF(DATOS!$G5110&lt;&gt;"EX",0,--(COUNTIFS(nNIA,DATOS!$A5110,nCURSO,DATOS!$D5110,nESPEC,DATOS!$E5110,nASIG,DATOS!$I5110,nEVAL,"OR")=0))</f>
      </c>
      <c r="I5110">
        <f>IF(DATOS!$I5110="","",IFERROR(VLOOKUP(DATOS!$I5110,CONFIG_ASIGNATURAS!$B$2:$J$91,9,FALSE()),""))</f>
      </c>
    </row>
    <row r="5111">
      <c r="F5111">
        <f>IF(DATOS!$A5111="","",DATOS!$A5111&amp;"|"&amp;DATOS!$D5111&amp;"|"&amp;DATOS!$E5111&amp;"|"&amp;DATOS!$I5111)</f>
      </c>
      <c r="G5111">
        <f>IF(DATOS!$A5111="",0,IF(CONFIG_METADATA!$B$4&lt;&gt;"OR+EX",--(DATOS!$G5111=CONFIG_METADATA!$B$4),IF(DATOS!$G5111="EX",1,IF(DATOS!$G5111="OR",--(COUNTIFS(nNIA,DATOS!$A5111,nCURSO,DATOS!$D5111,nESPEC,DATOS!$E5111,nASIG,DATOS!$I5111,nEVAL,"EX")=0),0))))</f>
      </c>
      <c r="H5111">
        <f>IF(DATOS!$G5111&lt;&gt;"EX",0,--(COUNTIFS(nNIA,DATOS!$A5111,nCURSO,DATOS!$D5111,nESPEC,DATOS!$E5111,nASIG,DATOS!$I5111,nEVAL,"OR")=0))</f>
      </c>
      <c r="I5111">
        <f>IF(DATOS!$I5111="","",IFERROR(VLOOKUP(DATOS!$I5111,CONFIG_ASIGNATURAS!$B$2:$J$91,9,FALSE()),""))</f>
      </c>
    </row>
    <row r="5112">
      <c r="F5112">
        <f>IF(DATOS!$A5112="","",DATOS!$A5112&amp;"|"&amp;DATOS!$D5112&amp;"|"&amp;DATOS!$E5112&amp;"|"&amp;DATOS!$I5112)</f>
      </c>
      <c r="G5112">
        <f>IF(DATOS!$A5112="",0,IF(CONFIG_METADATA!$B$4&lt;&gt;"OR+EX",--(DATOS!$G5112=CONFIG_METADATA!$B$4),IF(DATOS!$G5112="EX",1,IF(DATOS!$G5112="OR",--(COUNTIFS(nNIA,DATOS!$A5112,nCURSO,DATOS!$D5112,nESPEC,DATOS!$E5112,nASIG,DATOS!$I5112,nEVAL,"EX")=0),0))))</f>
      </c>
      <c r="H5112">
        <f>IF(DATOS!$G5112&lt;&gt;"EX",0,--(COUNTIFS(nNIA,DATOS!$A5112,nCURSO,DATOS!$D5112,nESPEC,DATOS!$E5112,nASIG,DATOS!$I5112,nEVAL,"OR")=0))</f>
      </c>
      <c r="I5112">
        <f>IF(DATOS!$I5112="","",IFERROR(VLOOKUP(DATOS!$I5112,CONFIG_ASIGNATURAS!$B$2:$J$91,9,FALSE()),""))</f>
      </c>
    </row>
    <row r="5113">
      <c r="F5113">
        <f>IF(DATOS!$A5113="","",DATOS!$A5113&amp;"|"&amp;DATOS!$D5113&amp;"|"&amp;DATOS!$E5113&amp;"|"&amp;DATOS!$I5113)</f>
      </c>
      <c r="G5113">
        <f>IF(DATOS!$A5113="",0,IF(CONFIG_METADATA!$B$4&lt;&gt;"OR+EX",--(DATOS!$G5113=CONFIG_METADATA!$B$4),IF(DATOS!$G5113="EX",1,IF(DATOS!$G5113="OR",--(COUNTIFS(nNIA,DATOS!$A5113,nCURSO,DATOS!$D5113,nESPEC,DATOS!$E5113,nASIG,DATOS!$I5113,nEVAL,"EX")=0),0))))</f>
      </c>
      <c r="H5113">
        <f>IF(DATOS!$G5113&lt;&gt;"EX",0,--(COUNTIFS(nNIA,DATOS!$A5113,nCURSO,DATOS!$D5113,nESPEC,DATOS!$E5113,nASIG,DATOS!$I5113,nEVAL,"OR")=0))</f>
      </c>
      <c r="I5113">
        <f>IF(DATOS!$I5113="","",IFERROR(VLOOKUP(DATOS!$I5113,CONFIG_ASIGNATURAS!$B$2:$J$91,9,FALSE()),""))</f>
      </c>
    </row>
    <row r="5114">
      <c r="F5114">
        <f>IF(DATOS!$A5114="","",DATOS!$A5114&amp;"|"&amp;DATOS!$D5114&amp;"|"&amp;DATOS!$E5114&amp;"|"&amp;DATOS!$I5114)</f>
      </c>
      <c r="G5114">
        <f>IF(DATOS!$A5114="",0,IF(CONFIG_METADATA!$B$4&lt;&gt;"OR+EX",--(DATOS!$G5114=CONFIG_METADATA!$B$4),IF(DATOS!$G5114="EX",1,IF(DATOS!$G5114="OR",--(COUNTIFS(nNIA,DATOS!$A5114,nCURSO,DATOS!$D5114,nESPEC,DATOS!$E5114,nASIG,DATOS!$I5114,nEVAL,"EX")=0),0))))</f>
      </c>
      <c r="H5114">
        <f>IF(DATOS!$G5114&lt;&gt;"EX",0,--(COUNTIFS(nNIA,DATOS!$A5114,nCURSO,DATOS!$D5114,nESPEC,DATOS!$E5114,nASIG,DATOS!$I5114,nEVAL,"OR")=0))</f>
      </c>
      <c r="I5114">
        <f>IF(DATOS!$I5114="","",IFERROR(VLOOKUP(DATOS!$I5114,CONFIG_ASIGNATURAS!$B$2:$J$91,9,FALSE()),""))</f>
      </c>
    </row>
    <row r="5115">
      <c r="F5115">
        <f>IF(DATOS!$A5115="","",DATOS!$A5115&amp;"|"&amp;DATOS!$D5115&amp;"|"&amp;DATOS!$E5115&amp;"|"&amp;DATOS!$I5115)</f>
      </c>
      <c r="G5115">
        <f>IF(DATOS!$A5115="",0,IF(CONFIG_METADATA!$B$4&lt;&gt;"OR+EX",--(DATOS!$G5115=CONFIG_METADATA!$B$4),IF(DATOS!$G5115="EX",1,IF(DATOS!$G5115="OR",--(COUNTIFS(nNIA,DATOS!$A5115,nCURSO,DATOS!$D5115,nESPEC,DATOS!$E5115,nASIG,DATOS!$I5115,nEVAL,"EX")=0),0))))</f>
      </c>
      <c r="H5115">
        <f>IF(DATOS!$G5115&lt;&gt;"EX",0,--(COUNTIFS(nNIA,DATOS!$A5115,nCURSO,DATOS!$D5115,nESPEC,DATOS!$E5115,nASIG,DATOS!$I5115,nEVAL,"OR")=0))</f>
      </c>
      <c r="I5115">
        <f>IF(DATOS!$I5115="","",IFERROR(VLOOKUP(DATOS!$I5115,CONFIG_ASIGNATURAS!$B$2:$J$91,9,FALSE()),""))</f>
      </c>
    </row>
    <row r="5116">
      <c r="F5116">
        <f>IF(DATOS!$A5116="","",DATOS!$A5116&amp;"|"&amp;DATOS!$D5116&amp;"|"&amp;DATOS!$E5116&amp;"|"&amp;DATOS!$I5116)</f>
      </c>
      <c r="G5116">
        <f>IF(DATOS!$A5116="",0,IF(CONFIG_METADATA!$B$4&lt;&gt;"OR+EX",--(DATOS!$G5116=CONFIG_METADATA!$B$4),IF(DATOS!$G5116="EX",1,IF(DATOS!$G5116="OR",--(COUNTIFS(nNIA,DATOS!$A5116,nCURSO,DATOS!$D5116,nESPEC,DATOS!$E5116,nASIG,DATOS!$I5116,nEVAL,"EX")=0),0))))</f>
      </c>
      <c r="H5116">
        <f>IF(DATOS!$G5116&lt;&gt;"EX",0,--(COUNTIFS(nNIA,DATOS!$A5116,nCURSO,DATOS!$D5116,nESPEC,DATOS!$E5116,nASIG,DATOS!$I5116,nEVAL,"OR")=0))</f>
      </c>
      <c r="I5116">
        <f>IF(DATOS!$I5116="","",IFERROR(VLOOKUP(DATOS!$I5116,CONFIG_ASIGNATURAS!$B$2:$J$91,9,FALSE()),""))</f>
      </c>
    </row>
    <row r="5117">
      <c r="F5117">
        <f>IF(DATOS!$A5117="","",DATOS!$A5117&amp;"|"&amp;DATOS!$D5117&amp;"|"&amp;DATOS!$E5117&amp;"|"&amp;DATOS!$I5117)</f>
      </c>
      <c r="G5117">
        <f>IF(DATOS!$A5117="",0,IF(CONFIG_METADATA!$B$4&lt;&gt;"OR+EX",--(DATOS!$G5117=CONFIG_METADATA!$B$4),IF(DATOS!$G5117="EX",1,IF(DATOS!$G5117="OR",--(COUNTIFS(nNIA,DATOS!$A5117,nCURSO,DATOS!$D5117,nESPEC,DATOS!$E5117,nASIG,DATOS!$I5117,nEVAL,"EX")=0),0))))</f>
      </c>
      <c r="H5117">
        <f>IF(DATOS!$G5117&lt;&gt;"EX",0,--(COUNTIFS(nNIA,DATOS!$A5117,nCURSO,DATOS!$D5117,nESPEC,DATOS!$E5117,nASIG,DATOS!$I5117,nEVAL,"OR")=0))</f>
      </c>
      <c r="I5117">
        <f>IF(DATOS!$I5117="","",IFERROR(VLOOKUP(DATOS!$I5117,CONFIG_ASIGNATURAS!$B$2:$J$91,9,FALSE()),""))</f>
      </c>
    </row>
    <row r="5118">
      <c r="F5118">
        <f>IF(DATOS!$A5118="","",DATOS!$A5118&amp;"|"&amp;DATOS!$D5118&amp;"|"&amp;DATOS!$E5118&amp;"|"&amp;DATOS!$I5118)</f>
      </c>
      <c r="G5118">
        <f>IF(DATOS!$A5118="",0,IF(CONFIG_METADATA!$B$4&lt;&gt;"OR+EX",--(DATOS!$G5118=CONFIG_METADATA!$B$4),IF(DATOS!$G5118="EX",1,IF(DATOS!$G5118="OR",--(COUNTIFS(nNIA,DATOS!$A5118,nCURSO,DATOS!$D5118,nESPEC,DATOS!$E5118,nASIG,DATOS!$I5118,nEVAL,"EX")=0),0))))</f>
      </c>
      <c r="H5118">
        <f>IF(DATOS!$G5118&lt;&gt;"EX",0,--(COUNTIFS(nNIA,DATOS!$A5118,nCURSO,DATOS!$D5118,nESPEC,DATOS!$E5118,nASIG,DATOS!$I5118,nEVAL,"OR")=0))</f>
      </c>
      <c r="I5118">
        <f>IF(DATOS!$I5118="","",IFERROR(VLOOKUP(DATOS!$I5118,CONFIG_ASIGNATURAS!$B$2:$J$91,9,FALSE()),""))</f>
      </c>
    </row>
    <row r="5119">
      <c r="F5119">
        <f>IF(DATOS!$A5119="","",DATOS!$A5119&amp;"|"&amp;DATOS!$D5119&amp;"|"&amp;DATOS!$E5119&amp;"|"&amp;DATOS!$I5119)</f>
      </c>
      <c r="G5119">
        <f>IF(DATOS!$A5119="",0,IF(CONFIG_METADATA!$B$4&lt;&gt;"OR+EX",--(DATOS!$G5119=CONFIG_METADATA!$B$4),IF(DATOS!$G5119="EX",1,IF(DATOS!$G5119="OR",--(COUNTIFS(nNIA,DATOS!$A5119,nCURSO,DATOS!$D5119,nESPEC,DATOS!$E5119,nASIG,DATOS!$I5119,nEVAL,"EX")=0),0))))</f>
      </c>
      <c r="H5119">
        <f>IF(DATOS!$G5119&lt;&gt;"EX",0,--(COUNTIFS(nNIA,DATOS!$A5119,nCURSO,DATOS!$D5119,nESPEC,DATOS!$E5119,nASIG,DATOS!$I5119,nEVAL,"OR")=0))</f>
      </c>
      <c r="I5119">
        <f>IF(DATOS!$I5119="","",IFERROR(VLOOKUP(DATOS!$I5119,CONFIG_ASIGNATURAS!$B$2:$J$91,9,FALSE()),""))</f>
      </c>
    </row>
    <row r="5120">
      <c r="F5120">
        <f>IF(DATOS!$A5120="","",DATOS!$A5120&amp;"|"&amp;DATOS!$D5120&amp;"|"&amp;DATOS!$E5120&amp;"|"&amp;DATOS!$I5120)</f>
      </c>
      <c r="G5120">
        <f>IF(DATOS!$A5120="",0,IF(CONFIG_METADATA!$B$4&lt;&gt;"OR+EX",--(DATOS!$G5120=CONFIG_METADATA!$B$4),IF(DATOS!$G5120="EX",1,IF(DATOS!$G5120="OR",--(COUNTIFS(nNIA,DATOS!$A5120,nCURSO,DATOS!$D5120,nESPEC,DATOS!$E5120,nASIG,DATOS!$I5120,nEVAL,"EX")=0),0))))</f>
      </c>
      <c r="H5120">
        <f>IF(DATOS!$G5120&lt;&gt;"EX",0,--(COUNTIFS(nNIA,DATOS!$A5120,nCURSO,DATOS!$D5120,nESPEC,DATOS!$E5120,nASIG,DATOS!$I5120,nEVAL,"OR")=0))</f>
      </c>
      <c r="I5120">
        <f>IF(DATOS!$I5120="","",IFERROR(VLOOKUP(DATOS!$I5120,CONFIG_ASIGNATURAS!$B$2:$J$91,9,FALSE()),""))</f>
      </c>
    </row>
    <row r="5121">
      <c r="F5121">
        <f>IF(DATOS!$A5121="","",DATOS!$A5121&amp;"|"&amp;DATOS!$D5121&amp;"|"&amp;DATOS!$E5121&amp;"|"&amp;DATOS!$I5121)</f>
      </c>
      <c r="G5121">
        <f>IF(DATOS!$A5121="",0,IF(CONFIG_METADATA!$B$4&lt;&gt;"OR+EX",--(DATOS!$G5121=CONFIG_METADATA!$B$4),IF(DATOS!$G5121="EX",1,IF(DATOS!$G5121="OR",--(COUNTIFS(nNIA,DATOS!$A5121,nCURSO,DATOS!$D5121,nESPEC,DATOS!$E5121,nASIG,DATOS!$I5121,nEVAL,"EX")=0),0))))</f>
      </c>
      <c r="H5121">
        <f>IF(DATOS!$G5121&lt;&gt;"EX",0,--(COUNTIFS(nNIA,DATOS!$A5121,nCURSO,DATOS!$D5121,nESPEC,DATOS!$E5121,nASIG,DATOS!$I5121,nEVAL,"OR")=0))</f>
      </c>
      <c r="I5121">
        <f>IF(DATOS!$I5121="","",IFERROR(VLOOKUP(DATOS!$I5121,CONFIG_ASIGNATURAS!$B$2:$J$91,9,FALSE()),""))</f>
      </c>
    </row>
    <row r="5122">
      <c r="F5122">
        <f>IF(DATOS!$A5122="","",DATOS!$A5122&amp;"|"&amp;DATOS!$D5122&amp;"|"&amp;DATOS!$E5122&amp;"|"&amp;DATOS!$I5122)</f>
      </c>
      <c r="G5122">
        <f>IF(DATOS!$A5122="",0,IF(CONFIG_METADATA!$B$4&lt;&gt;"OR+EX",--(DATOS!$G5122=CONFIG_METADATA!$B$4),IF(DATOS!$G5122="EX",1,IF(DATOS!$G5122="OR",--(COUNTIFS(nNIA,DATOS!$A5122,nCURSO,DATOS!$D5122,nESPEC,DATOS!$E5122,nASIG,DATOS!$I5122,nEVAL,"EX")=0),0))))</f>
      </c>
      <c r="H5122">
        <f>IF(DATOS!$G5122&lt;&gt;"EX",0,--(COUNTIFS(nNIA,DATOS!$A5122,nCURSO,DATOS!$D5122,nESPEC,DATOS!$E5122,nASIG,DATOS!$I5122,nEVAL,"OR")=0))</f>
      </c>
      <c r="I5122">
        <f>IF(DATOS!$I5122="","",IFERROR(VLOOKUP(DATOS!$I5122,CONFIG_ASIGNATURAS!$B$2:$J$91,9,FALSE()),""))</f>
      </c>
    </row>
    <row r="5123">
      <c r="F5123">
        <f>IF(DATOS!$A5123="","",DATOS!$A5123&amp;"|"&amp;DATOS!$D5123&amp;"|"&amp;DATOS!$E5123&amp;"|"&amp;DATOS!$I5123)</f>
      </c>
      <c r="G5123">
        <f>IF(DATOS!$A5123="",0,IF(CONFIG_METADATA!$B$4&lt;&gt;"OR+EX",--(DATOS!$G5123=CONFIG_METADATA!$B$4),IF(DATOS!$G5123="EX",1,IF(DATOS!$G5123="OR",--(COUNTIFS(nNIA,DATOS!$A5123,nCURSO,DATOS!$D5123,nESPEC,DATOS!$E5123,nASIG,DATOS!$I5123,nEVAL,"EX")=0),0))))</f>
      </c>
      <c r="H5123">
        <f>IF(DATOS!$G5123&lt;&gt;"EX",0,--(COUNTIFS(nNIA,DATOS!$A5123,nCURSO,DATOS!$D5123,nESPEC,DATOS!$E5123,nASIG,DATOS!$I5123,nEVAL,"OR")=0))</f>
      </c>
      <c r="I5123">
        <f>IF(DATOS!$I5123="","",IFERROR(VLOOKUP(DATOS!$I5123,CONFIG_ASIGNATURAS!$B$2:$J$91,9,FALSE()),""))</f>
      </c>
    </row>
    <row r="5124">
      <c r="F5124">
        <f>IF(DATOS!$A5124="","",DATOS!$A5124&amp;"|"&amp;DATOS!$D5124&amp;"|"&amp;DATOS!$E5124&amp;"|"&amp;DATOS!$I5124)</f>
      </c>
      <c r="G5124">
        <f>IF(DATOS!$A5124="",0,IF(CONFIG_METADATA!$B$4&lt;&gt;"OR+EX",--(DATOS!$G5124=CONFIG_METADATA!$B$4),IF(DATOS!$G5124="EX",1,IF(DATOS!$G5124="OR",--(COUNTIFS(nNIA,DATOS!$A5124,nCURSO,DATOS!$D5124,nESPEC,DATOS!$E5124,nASIG,DATOS!$I5124,nEVAL,"EX")=0),0))))</f>
      </c>
      <c r="H5124">
        <f>IF(DATOS!$G5124&lt;&gt;"EX",0,--(COUNTIFS(nNIA,DATOS!$A5124,nCURSO,DATOS!$D5124,nESPEC,DATOS!$E5124,nASIG,DATOS!$I5124,nEVAL,"OR")=0))</f>
      </c>
      <c r="I5124">
        <f>IF(DATOS!$I5124="","",IFERROR(VLOOKUP(DATOS!$I5124,CONFIG_ASIGNATURAS!$B$2:$J$91,9,FALSE()),""))</f>
      </c>
    </row>
    <row r="5125">
      <c r="F5125">
        <f>IF(DATOS!$A5125="","",DATOS!$A5125&amp;"|"&amp;DATOS!$D5125&amp;"|"&amp;DATOS!$E5125&amp;"|"&amp;DATOS!$I5125)</f>
      </c>
      <c r="G5125">
        <f>IF(DATOS!$A5125="",0,IF(CONFIG_METADATA!$B$4&lt;&gt;"OR+EX",--(DATOS!$G5125=CONFIG_METADATA!$B$4),IF(DATOS!$G5125="EX",1,IF(DATOS!$G5125="OR",--(COUNTIFS(nNIA,DATOS!$A5125,nCURSO,DATOS!$D5125,nESPEC,DATOS!$E5125,nASIG,DATOS!$I5125,nEVAL,"EX")=0),0))))</f>
      </c>
      <c r="H5125">
        <f>IF(DATOS!$G5125&lt;&gt;"EX",0,--(COUNTIFS(nNIA,DATOS!$A5125,nCURSO,DATOS!$D5125,nESPEC,DATOS!$E5125,nASIG,DATOS!$I5125,nEVAL,"OR")=0))</f>
      </c>
      <c r="I5125">
        <f>IF(DATOS!$I5125="","",IFERROR(VLOOKUP(DATOS!$I5125,CONFIG_ASIGNATURAS!$B$2:$J$91,9,FALSE()),""))</f>
      </c>
    </row>
    <row r="5126">
      <c r="F5126">
        <f>IF(DATOS!$A5126="","",DATOS!$A5126&amp;"|"&amp;DATOS!$D5126&amp;"|"&amp;DATOS!$E5126&amp;"|"&amp;DATOS!$I5126)</f>
      </c>
      <c r="G5126">
        <f>IF(DATOS!$A5126="",0,IF(CONFIG_METADATA!$B$4&lt;&gt;"OR+EX",--(DATOS!$G5126=CONFIG_METADATA!$B$4),IF(DATOS!$G5126="EX",1,IF(DATOS!$G5126="OR",--(COUNTIFS(nNIA,DATOS!$A5126,nCURSO,DATOS!$D5126,nESPEC,DATOS!$E5126,nASIG,DATOS!$I5126,nEVAL,"EX")=0),0))))</f>
      </c>
      <c r="H5126">
        <f>IF(DATOS!$G5126&lt;&gt;"EX",0,--(COUNTIFS(nNIA,DATOS!$A5126,nCURSO,DATOS!$D5126,nESPEC,DATOS!$E5126,nASIG,DATOS!$I5126,nEVAL,"OR")=0))</f>
      </c>
      <c r="I5126">
        <f>IF(DATOS!$I5126="","",IFERROR(VLOOKUP(DATOS!$I5126,CONFIG_ASIGNATURAS!$B$2:$J$91,9,FALSE()),""))</f>
      </c>
    </row>
    <row r="5127">
      <c r="F5127">
        <f>IF(DATOS!$A5127="","",DATOS!$A5127&amp;"|"&amp;DATOS!$D5127&amp;"|"&amp;DATOS!$E5127&amp;"|"&amp;DATOS!$I5127)</f>
      </c>
      <c r="G5127">
        <f>IF(DATOS!$A5127="",0,IF(CONFIG_METADATA!$B$4&lt;&gt;"OR+EX",--(DATOS!$G5127=CONFIG_METADATA!$B$4),IF(DATOS!$G5127="EX",1,IF(DATOS!$G5127="OR",--(COUNTIFS(nNIA,DATOS!$A5127,nCURSO,DATOS!$D5127,nESPEC,DATOS!$E5127,nASIG,DATOS!$I5127,nEVAL,"EX")=0),0))))</f>
      </c>
      <c r="H5127">
        <f>IF(DATOS!$G5127&lt;&gt;"EX",0,--(COUNTIFS(nNIA,DATOS!$A5127,nCURSO,DATOS!$D5127,nESPEC,DATOS!$E5127,nASIG,DATOS!$I5127,nEVAL,"OR")=0))</f>
      </c>
      <c r="I5127">
        <f>IF(DATOS!$I5127="","",IFERROR(VLOOKUP(DATOS!$I5127,CONFIG_ASIGNATURAS!$B$2:$J$91,9,FALSE()),""))</f>
      </c>
    </row>
    <row r="5128">
      <c r="F5128">
        <f>IF(DATOS!$A5128="","",DATOS!$A5128&amp;"|"&amp;DATOS!$D5128&amp;"|"&amp;DATOS!$E5128&amp;"|"&amp;DATOS!$I5128)</f>
      </c>
      <c r="G5128">
        <f>IF(DATOS!$A5128="",0,IF(CONFIG_METADATA!$B$4&lt;&gt;"OR+EX",--(DATOS!$G5128=CONFIG_METADATA!$B$4),IF(DATOS!$G5128="EX",1,IF(DATOS!$G5128="OR",--(COUNTIFS(nNIA,DATOS!$A5128,nCURSO,DATOS!$D5128,nESPEC,DATOS!$E5128,nASIG,DATOS!$I5128,nEVAL,"EX")=0),0))))</f>
      </c>
      <c r="H5128">
        <f>IF(DATOS!$G5128&lt;&gt;"EX",0,--(COUNTIFS(nNIA,DATOS!$A5128,nCURSO,DATOS!$D5128,nESPEC,DATOS!$E5128,nASIG,DATOS!$I5128,nEVAL,"OR")=0))</f>
      </c>
      <c r="I5128">
        <f>IF(DATOS!$I5128="","",IFERROR(VLOOKUP(DATOS!$I5128,CONFIG_ASIGNATURAS!$B$2:$J$91,9,FALSE()),""))</f>
      </c>
    </row>
    <row r="5129">
      <c r="F5129">
        <f>IF(DATOS!$A5129="","",DATOS!$A5129&amp;"|"&amp;DATOS!$D5129&amp;"|"&amp;DATOS!$E5129&amp;"|"&amp;DATOS!$I5129)</f>
      </c>
      <c r="G5129">
        <f>IF(DATOS!$A5129="",0,IF(CONFIG_METADATA!$B$4&lt;&gt;"OR+EX",--(DATOS!$G5129=CONFIG_METADATA!$B$4),IF(DATOS!$G5129="EX",1,IF(DATOS!$G5129="OR",--(COUNTIFS(nNIA,DATOS!$A5129,nCURSO,DATOS!$D5129,nESPEC,DATOS!$E5129,nASIG,DATOS!$I5129,nEVAL,"EX")=0),0))))</f>
      </c>
      <c r="H5129">
        <f>IF(DATOS!$G5129&lt;&gt;"EX",0,--(COUNTIFS(nNIA,DATOS!$A5129,nCURSO,DATOS!$D5129,nESPEC,DATOS!$E5129,nASIG,DATOS!$I5129,nEVAL,"OR")=0))</f>
      </c>
      <c r="I5129">
        <f>IF(DATOS!$I5129="","",IFERROR(VLOOKUP(DATOS!$I5129,CONFIG_ASIGNATURAS!$B$2:$J$91,9,FALSE()),""))</f>
      </c>
    </row>
    <row r="5130">
      <c r="F5130">
        <f>IF(DATOS!$A5130="","",DATOS!$A5130&amp;"|"&amp;DATOS!$D5130&amp;"|"&amp;DATOS!$E5130&amp;"|"&amp;DATOS!$I5130)</f>
      </c>
      <c r="G5130">
        <f>IF(DATOS!$A5130="",0,IF(CONFIG_METADATA!$B$4&lt;&gt;"OR+EX",--(DATOS!$G5130=CONFIG_METADATA!$B$4),IF(DATOS!$G5130="EX",1,IF(DATOS!$G5130="OR",--(COUNTIFS(nNIA,DATOS!$A5130,nCURSO,DATOS!$D5130,nESPEC,DATOS!$E5130,nASIG,DATOS!$I5130,nEVAL,"EX")=0),0))))</f>
      </c>
      <c r="H5130">
        <f>IF(DATOS!$G5130&lt;&gt;"EX",0,--(COUNTIFS(nNIA,DATOS!$A5130,nCURSO,DATOS!$D5130,nESPEC,DATOS!$E5130,nASIG,DATOS!$I5130,nEVAL,"OR")=0))</f>
      </c>
      <c r="I5130">
        <f>IF(DATOS!$I5130="","",IFERROR(VLOOKUP(DATOS!$I5130,CONFIG_ASIGNATURAS!$B$2:$J$91,9,FALSE()),""))</f>
      </c>
    </row>
    <row r="5131">
      <c r="F5131">
        <f>IF(DATOS!$A5131="","",DATOS!$A5131&amp;"|"&amp;DATOS!$D5131&amp;"|"&amp;DATOS!$E5131&amp;"|"&amp;DATOS!$I5131)</f>
      </c>
      <c r="G5131">
        <f>IF(DATOS!$A5131="",0,IF(CONFIG_METADATA!$B$4&lt;&gt;"OR+EX",--(DATOS!$G5131=CONFIG_METADATA!$B$4),IF(DATOS!$G5131="EX",1,IF(DATOS!$G5131="OR",--(COUNTIFS(nNIA,DATOS!$A5131,nCURSO,DATOS!$D5131,nESPEC,DATOS!$E5131,nASIG,DATOS!$I5131,nEVAL,"EX")=0),0))))</f>
      </c>
      <c r="H5131">
        <f>IF(DATOS!$G5131&lt;&gt;"EX",0,--(COUNTIFS(nNIA,DATOS!$A5131,nCURSO,DATOS!$D5131,nESPEC,DATOS!$E5131,nASIG,DATOS!$I5131,nEVAL,"OR")=0))</f>
      </c>
      <c r="I5131">
        <f>IF(DATOS!$I5131="","",IFERROR(VLOOKUP(DATOS!$I5131,CONFIG_ASIGNATURAS!$B$2:$J$91,9,FALSE()),""))</f>
      </c>
    </row>
    <row r="5132">
      <c r="F5132">
        <f>IF(DATOS!$A5132="","",DATOS!$A5132&amp;"|"&amp;DATOS!$D5132&amp;"|"&amp;DATOS!$E5132&amp;"|"&amp;DATOS!$I5132)</f>
      </c>
      <c r="G5132">
        <f>IF(DATOS!$A5132="",0,IF(CONFIG_METADATA!$B$4&lt;&gt;"OR+EX",--(DATOS!$G5132=CONFIG_METADATA!$B$4),IF(DATOS!$G5132="EX",1,IF(DATOS!$G5132="OR",--(COUNTIFS(nNIA,DATOS!$A5132,nCURSO,DATOS!$D5132,nESPEC,DATOS!$E5132,nASIG,DATOS!$I5132,nEVAL,"EX")=0),0))))</f>
      </c>
      <c r="H5132">
        <f>IF(DATOS!$G5132&lt;&gt;"EX",0,--(COUNTIFS(nNIA,DATOS!$A5132,nCURSO,DATOS!$D5132,nESPEC,DATOS!$E5132,nASIG,DATOS!$I5132,nEVAL,"OR")=0))</f>
      </c>
      <c r="I5132">
        <f>IF(DATOS!$I5132="","",IFERROR(VLOOKUP(DATOS!$I5132,CONFIG_ASIGNATURAS!$B$2:$J$91,9,FALSE()),""))</f>
      </c>
    </row>
    <row r="5133">
      <c r="F5133">
        <f>IF(DATOS!$A5133="","",DATOS!$A5133&amp;"|"&amp;DATOS!$D5133&amp;"|"&amp;DATOS!$E5133&amp;"|"&amp;DATOS!$I5133)</f>
      </c>
      <c r="G5133">
        <f>IF(DATOS!$A5133="",0,IF(CONFIG_METADATA!$B$4&lt;&gt;"OR+EX",--(DATOS!$G5133=CONFIG_METADATA!$B$4),IF(DATOS!$G5133="EX",1,IF(DATOS!$G5133="OR",--(COUNTIFS(nNIA,DATOS!$A5133,nCURSO,DATOS!$D5133,nESPEC,DATOS!$E5133,nASIG,DATOS!$I5133,nEVAL,"EX")=0),0))))</f>
      </c>
      <c r="H5133">
        <f>IF(DATOS!$G5133&lt;&gt;"EX",0,--(COUNTIFS(nNIA,DATOS!$A5133,nCURSO,DATOS!$D5133,nESPEC,DATOS!$E5133,nASIG,DATOS!$I5133,nEVAL,"OR")=0))</f>
      </c>
      <c r="I5133">
        <f>IF(DATOS!$I5133="","",IFERROR(VLOOKUP(DATOS!$I5133,CONFIG_ASIGNATURAS!$B$2:$J$91,9,FALSE()),""))</f>
      </c>
    </row>
    <row r="5134">
      <c r="F5134">
        <f>IF(DATOS!$A5134="","",DATOS!$A5134&amp;"|"&amp;DATOS!$D5134&amp;"|"&amp;DATOS!$E5134&amp;"|"&amp;DATOS!$I5134)</f>
      </c>
      <c r="G5134">
        <f>IF(DATOS!$A5134="",0,IF(CONFIG_METADATA!$B$4&lt;&gt;"OR+EX",--(DATOS!$G5134=CONFIG_METADATA!$B$4),IF(DATOS!$G5134="EX",1,IF(DATOS!$G5134="OR",--(COUNTIFS(nNIA,DATOS!$A5134,nCURSO,DATOS!$D5134,nESPEC,DATOS!$E5134,nASIG,DATOS!$I5134,nEVAL,"EX")=0),0))))</f>
      </c>
      <c r="H5134">
        <f>IF(DATOS!$G5134&lt;&gt;"EX",0,--(COUNTIFS(nNIA,DATOS!$A5134,nCURSO,DATOS!$D5134,nESPEC,DATOS!$E5134,nASIG,DATOS!$I5134,nEVAL,"OR")=0))</f>
      </c>
      <c r="I5134">
        <f>IF(DATOS!$I5134="","",IFERROR(VLOOKUP(DATOS!$I5134,CONFIG_ASIGNATURAS!$B$2:$J$91,9,FALSE()),""))</f>
      </c>
    </row>
    <row r="5135">
      <c r="F5135">
        <f>IF(DATOS!$A5135="","",DATOS!$A5135&amp;"|"&amp;DATOS!$D5135&amp;"|"&amp;DATOS!$E5135&amp;"|"&amp;DATOS!$I5135)</f>
      </c>
      <c r="G5135">
        <f>IF(DATOS!$A5135="",0,IF(CONFIG_METADATA!$B$4&lt;&gt;"OR+EX",--(DATOS!$G5135=CONFIG_METADATA!$B$4),IF(DATOS!$G5135="EX",1,IF(DATOS!$G5135="OR",--(COUNTIFS(nNIA,DATOS!$A5135,nCURSO,DATOS!$D5135,nESPEC,DATOS!$E5135,nASIG,DATOS!$I5135,nEVAL,"EX")=0),0))))</f>
      </c>
      <c r="H5135">
        <f>IF(DATOS!$G5135&lt;&gt;"EX",0,--(COUNTIFS(nNIA,DATOS!$A5135,nCURSO,DATOS!$D5135,nESPEC,DATOS!$E5135,nASIG,DATOS!$I5135,nEVAL,"OR")=0))</f>
      </c>
      <c r="I5135">
        <f>IF(DATOS!$I5135="","",IFERROR(VLOOKUP(DATOS!$I5135,CONFIG_ASIGNATURAS!$B$2:$J$91,9,FALSE()),""))</f>
      </c>
    </row>
    <row r="5136">
      <c r="F5136">
        <f>IF(DATOS!$A5136="","",DATOS!$A5136&amp;"|"&amp;DATOS!$D5136&amp;"|"&amp;DATOS!$E5136&amp;"|"&amp;DATOS!$I5136)</f>
      </c>
      <c r="G5136">
        <f>IF(DATOS!$A5136="",0,IF(CONFIG_METADATA!$B$4&lt;&gt;"OR+EX",--(DATOS!$G5136=CONFIG_METADATA!$B$4),IF(DATOS!$G5136="EX",1,IF(DATOS!$G5136="OR",--(COUNTIFS(nNIA,DATOS!$A5136,nCURSO,DATOS!$D5136,nESPEC,DATOS!$E5136,nASIG,DATOS!$I5136,nEVAL,"EX")=0),0))))</f>
      </c>
      <c r="H5136">
        <f>IF(DATOS!$G5136&lt;&gt;"EX",0,--(COUNTIFS(nNIA,DATOS!$A5136,nCURSO,DATOS!$D5136,nESPEC,DATOS!$E5136,nASIG,DATOS!$I5136,nEVAL,"OR")=0))</f>
      </c>
      <c r="I5136">
        <f>IF(DATOS!$I5136="","",IFERROR(VLOOKUP(DATOS!$I5136,CONFIG_ASIGNATURAS!$B$2:$J$91,9,FALSE()),""))</f>
      </c>
    </row>
    <row r="5137">
      <c r="F5137">
        <f>IF(DATOS!$A5137="","",DATOS!$A5137&amp;"|"&amp;DATOS!$D5137&amp;"|"&amp;DATOS!$E5137&amp;"|"&amp;DATOS!$I5137)</f>
      </c>
      <c r="G5137">
        <f>IF(DATOS!$A5137="",0,IF(CONFIG_METADATA!$B$4&lt;&gt;"OR+EX",--(DATOS!$G5137=CONFIG_METADATA!$B$4),IF(DATOS!$G5137="EX",1,IF(DATOS!$G5137="OR",--(COUNTIFS(nNIA,DATOS!$A5137,nCURSO,DATOS!$D5137,nESPEC,DATOS!$E5137,nASIG,DATOS!$I5137,nEVAL,"EX")=0),0))))</f>
      </c>
      <c r="H5137">
        <f>IF(DATOS!$G5137&lt;&gt;"EX",0,--(COUNTIFS(nNIA,DATOS!$A5137,nCURSO,DATOS!$D5137,nESPEC,DATOS!$E5137,nASIG,DATOS!$I5137,nEVAL,"OR")=0))</f>
      </c>
      <c r="I5137">
        <f>IF(DATOS!$I5137="","",IFERROR(VLOOKUP(DATOS!$I5137,CONFIG_ASIGNATURAS!$B$2:$J$91,9,FALSE()),""))</f>
      </c>
    </row>
    <row r="5138">
      <c r="F5138">
        <f>IF(DATOS!$A5138="","",DATOS!$A5138&amp;"|"&amp;DATOS!$D5138&amp;"|"&amp;DATOS!$E5138&amp;"|"&amp;DATOS!$I5138)</f>
      </c>
      <c r="G5138">
        <f>IF(DATOS!$A5138="",0,IF(CONFIG_METADATA!$B$4&lt;&gt;"OR+EX",--(DATOS!$G5138=CONFIG_METADATA!$B$4),IF(DATOS!$G5138="EX",1,IF(DATOS!$G5138="OR",--(COUNTIFS(nNIA,DATOS!$A5138,nCURSO,DATOS!$D5138,nESPEC,DATOS!$E5138,nASIG,DATOS!$I5138,nEVAL,"EX")=0),0))))</f>
      </c>
      <c r="H5138">
        <f>IF(DATOS!$G5138&lt;&gt;"EX",0,--(COUNTIFS(nNIA,DATOS!$A5138,nCURSO,DATOS!$D5138,nESPEC,DATOS!$E5138,nASIG,DATOS!$I5138,nEVAL,"OR")=0))</f>
      </c>
      <c r="I5138">
        <f>IF(DATOS!$I5138="","",IFERROR(VLOOKUP(DATOS!$I5138,CONFIG_ASIGNATURAS!$B$2:$J$91,9,FALSE()),""))</f>
      </c>
    </row>
    <row r="5139">
      <c r="F5139">
        <f>IF(DATOS!$A5139="","",DATOS!$A5139&amp;"|"&amp;DATOS!$D5139&amp;"|"&amp;DATOS!$E5139&amp;"|"&amp;DATOS!$I5139)</f>
      </c>
      <c r="G5139">
        <f>IF(DATOS!$A5139="",0,IF(CONFIG_METADATA!$B$4&lt;&gt;"OR+EX",--(DATOS!$G5139=CONFIG_METADATA!$B$4),IF(DATOS!$G5139="EX",1,IF(DATOS!$G5139="OR",--(COUNTIFS(nNIA,DATOS!$A5139,nCURSO,DATOS!$D5139,nESPEC,DATOS!$E5139,nASIG,DATOS!$I5139,nEVAL,"EX")=0),0))))</f>
      </c>
      <c r="H5139">
        <f>IF(DATOS!$G5139&lt;&gt;"EX",0,--(COUNTIFS(nNIA,DATOS!$A5139,nCURSO,DATOS!$D5139,nESPEC,DATOS!$E5139,nASIG,DATOS!$I5139,nEVAL,"OR")=0))</f>
      </c>
      <c r="I5139">
        <f>IF(DATOS!$I5139="","",IFERROR(VLOOKUP(DATOS!$I5139,CONFIG_ASIGNATURAS!$B$2:$J$91,9,FALSE()),""))</f>
      </c>
    </row>
    <row r="5140">
      <c r="F5140">
        <f>IF(DATOS!$A5140="","",DATOS!$A5140&amp;"|"&amp;DATOS!$D5140&amp;"|"&amp;DATOS!$E5140&amp;"|"&amp;DATOS!$I5140)</f>
      </c>
      <c r="G5140">
        <f>IF(DATOS!$A5140="",0,IF(CONFIG_METADATA!$B$4&lt;&gt;"OR+EX",--(DATOS!$G5140=CONFIG_METADATA!$B$4),IF(DATOS!$G5140="EX",1,IF(DATOS!$G5140="OR",--(COUNTIFS(nNIA,DATOS!$A5140,nCURSO,DATOS!$D5140,nESPEC,DATOS!$E5140,nASIG,DATOS!$I5140,nEVAL,"EX")=0),0))))</f>
      </c>
      <c r="H5140">
        <f>IF(DATOS!$G5140&lt;&gt;"EX",0,--(COUNTIFS(nNIA,DATOS!$A5140,nCURSO,DATOS!$D5140,nESPEC,DATOS!$E5140,nASIG,DATOS!$I5140,nEVAL,"OR")=0))</f>
      </c>
      <c r="I5140">
        <f>IF(DATOS!$I5140="","",IFERROR(VLOOKUP(DATOS!$I5140,CONFIG_ASIGNATURAS!$B$2:$J$91,9,FALSE()),""))</f>
      </c>
    </row>
    <row r="5141">
      <c r="F5141">
        <f>IF(DATOS!$A5141="","",DATOS!$A5141&amp;"|"&amp;DATOS!$D5141&amp;"|"&amp;DATOS!$E5141&amp;"|"&amp;DATOS!$I5141)</f>
      </c>
      <c r="G5141">
        <f>IF(DATOS!$A5141="",0,IF(CONFIG_METADATA!$B$4&lt;&gt;"OR+EX",--(DATOS!$G5141=CONFIG_METADATA!$B$4),IF(DATOS!$G5141="EX",1,IF(DATOS!$G5141="OR",--(COUNTIFS(nNIA,DATOS!$A5141,nCURSO,DATOS!$D5141,nESPEC,DATOS!$E5141,nASIG,DATOS!$I5141,nEVAL,"EX")=0),0))))</f>
      </c>
      <c r="H5141">
        <f>IF(DATOS!$G5141&lt;&gt;"EX",0,--(COUNTIFS(nNIA,DATOS!$A5141,nCURSO,DATOS!$D5141,nESPEC,DATOS!$E5141,nASIG,DATOS!$I5141,nEVAL,"OR")=0))</f>
      </c>
      <c r="I5141">
        <f>IF(DATOS!$I5141="","",IFERROR(VLOOKUP(DATOS!$I5141,CONFIG_ASIGNATURAS!$B$2:$J$91,9,FALSE()),""))</f>
      </c>
    </row>
    <row r="5142">
      <c r="F5142">
        <f>IF(DATOS!$A5142="","",DATOS!$A5142&amp;"|"&amp;DATOS!$D5142&amp;"|"&amp;DATOS!$E5142&amp;"|"&amp;DATOS!$I5142)</f>
      </c>
      <c r="G5142">
        <f>IF(DATOS!$A5142="",0,IF(CONFIG_METADATA!$B$4&lt;&gt;"OR+EX",--(DATOS!$G5142=CONFIG_METADATA!$B$4),IF(DATOS!$G5142="EX",1,IF(DATOS!$G5142="OR",--(COUNTIFS(nNIA,DATOS!$A5142,nCURSO,DATOS!$D5142,nESPEC,DATOS!$E5142,nASIG,DATOS!$I5142,nEVAL,"EX")=0),0))))</f>
      </c>
      <c r="H5142">
        <f>IF(DATOS!$G5142&lt;&gt;"EX",0,--(COUNTIFS(nNIA,DATOS!$A5142,nCURSO,DATOS!$D5142,nESPEC,DATOS!$E5142,nASIG,DATOS!$I5142,nEVAL,"OR")=0))</f>
      </c>
      <c r="I5142">
        <f>IF(DATOS!$I5142="","",IFERROR(VLOOKUP(DATOS!$I5142,CONFIG_ASIGNATURAS!$B$2:$J$91,9,FALSE()),""))</f>
      </c>
    </row>
    <row r="5143">
      <c r="F5143">
        <f>IF(DATOS!$A5143="","",DATOS!$A5143&amp;"|"&amp;DATOS!$D5143&amp;"|"&amp;DATOS!$E5143&amp;"|"&amp;DATOS!$I5143)</f>
      </c>
      <c r="G5143">
        <f>IF(DATOS!$A5143="",0,IF(CONFIG_METADATA!$B$4&lt;&gt;"OR+EX",--(DATOS!$G5143=CONFIG_METADATA!$B$4),IF(DATOS!$G5143="EX",1,IF(DATOS!$G5143="OR",--(COUNTIFS(nNIA,DATOS!$A5143,nCURSO,DATOS!$D5143,nESPEC,DATOS!$E5143,nASIG,DATOS!$I5143,nEVAL,"EX")=0),0))))</f>
      </c>
      <c r="H5143">
        <f>IF(DATOS!$G5143&lt;&gt;"EX",0,--(COUNTIFS(nNIA,DATOS!$A5143,nCURSO,DATOS!$D5143,nESPEC,DATOS!$E5143,nASIG,DATOS!$I5143,nEVAL,"OR")=0))</f>
      </c>
      <c r="I5143">
        <f>IF(DATOS!$I5143="","",IFERROR(VLOOKUP(DATOS!$I5143,CONFIG_ASIGNATURAS!$B$2:$J$91,9,FALSE()),""))</f>
      </c>
    </row>
    <row r="5144">
      <c r="F5144">
        <f>IF(DATOS!$A5144="","",DATOS!$A5144&amp;"|"&amp;DATOS!$D5144&amp;"|"&amp;DATOS!$E5144&amp;"|"&amp;DATOS!$I5144)</f>
      </c>
      <c r="G5144">
        <f>IF(DATOS!$A5144="",0,IF(CONFIG_METADATA!$B$4&lt;&gt;"OR+EX",--(DATOS!$G5144=CONFIG_METADATA!$B$4),IF(DATOS!$G5144="EX",1,IF(DATOS!$G5144="OR",--(COUNTIFS(nNIA,DATOS!$A5144,nCURSO,DATOS!$D5144,nESPEC,DATOS!$E5144,nASIG,DATOS!$I5144,nEVAL,"EX")=0),0))))</f>
      </c>
      <c r="H5144">
        <f>IF(DATOS!$G5144&lt;&gt;"EX",0,--(COUNTIFS(nNIA,DATOS!$A5144,nCURSO,DATOS!$D5144,nESPEC,DATOS!$E5144,nASIG,DATOS!$I5144,nEVAL,"OR")=0))</f>
      </c>
      <c r="I5144">
        <f>IF(DATOS!$I5144="","",IFERROR(VLOOKUP(DATOS!$I5144,CONFIG_ASIGNATURAS!$B$2:$J$91,9,FALSE()),""))</f>
      </c>
    </row>
    <row r="5145">
      <c r="F5145">
        <f>IF(DATOS!$A5145="","",DATOS!$A5145&amp;"|"&amp;DATOS!$D5145&amp;"|"&amp;DATOS!$E5145&amp;"|"&amp;DATOS!$I5145)</f>
      </c>
      <c r="G5145">
        <f>IF(DATOS!$A5145="",0,IF(CONFIG_METADATA!$B$4&lt;&gt;"OR+EX",--(DATOS!$G5145=CONFIG_METADATA!$B$4),IF(DATOS!$G5145="EX",1,IF(DATOS!$G5145="OR",--(COUNTIFS(nNIA,DATOS!$A5145,nCURSO,DATOS!$D5145,nESPEC,DATOS!$E5145,nASIG,DATOS!$I5145,nEVAL,"EX")=0),0))))</f>
      </c>
      <c r="H5145">
        <f>IF(DATOS!$G5145&lt;&gt;"EX",0,--(COUNTIFS(nNIA,DATOS!$A5145,nCURSO,DATOS!$D5145,nESPEC,DATOS!$E5145,nASIG,DATOS!$I5145,nEVAL,"OR")=0))</f>
      </c>
      <c r="I5145">
        <f>IF(DATOS!$I5145="","",IFERROR(VLOOKUP(DATOS!$I5145,CONFIG_ASIGNATURAS!$B$2:$J$91,9,FALSE()),""))</f>
      </c>
    </row>
    <row r="5146">
      <c r="F5146">
        <f>IF(DATOS!$A5146="","",DATOS!$A5146&amp;"|"&amp;DATOS!$D5146&amp;"|"&amp;DATOS!$E5146&amp;"|"&amp;DATOS!$I5146)</f>
      </c>
      <c r="G5146">
        <f>IF(DATOS!$A5146="",0,IF(CONFIG_METADATA!$B$4&lt;&gt;"OR+EX",--(DATOS!$G5146=CONFIG_METADATA!$B$4),IF(DATOS!$G5146="EX",1,IF(DATOS!$G5146="OR",--(COUNTIFS(nNIA,DATOS!$A5146,nCURSO,DATOS!$D5146,nESPEC,DATOS!$E5146,nASIG,DATOS!$I5146,nEVAL,"EX")=0),0))))</f>
      </c>
      <c r="H5146">
        <f>IF(DATOS!$G5146&lt;&gt;"EX",0,--(COUNTIFS(nNIA,DATOS!$A5146,nCURSO,DATOS!$D5146,nESPEC,DATOS!$E5146,nASIG,DATOS!$I5146,nEVAL,"OR")=0))</f>
      </c>
      <c r="I5146">
        <f>IF(DATOS!$I5146="","",IFERROR(VLOOKUP(DATOS!$I5146,CONFIG_ASIGNATURAS!$B$2:$J$91,9,FALSE()),""))</f>
      </c>
    </row>
    <row r="5147">
      <c r="F5147">
        <f>IF(DATOS!$A5147="","",DATOS!$A5147&amp;"|"&amp;DATOS!$D5147&amp;"|"&amp;DATOS!$E5147&amp;"|"&amp;DATOS!$I5147)</f>
      </c>
      <c r="G5147">
        <f>IF(DATOS!$A5147="",0,IF(CONFIG_METADATA!$B$4&lt;&gt;"OR+EX",--(DATOS!$G5147=CONFIG_METADATA!$B$4),IF(DATOS!$G5147="EX",1,IF(DATOS!$G5147="OR",--(COUNTIFS(nNIA,DATOS!$A5147,nCURSO,DATOS!$D5147,nESPEC,DATOS!$E5147,nASIG,DATOS!$I5147,nEVAL,"EX")=0),0))))</f>
      </c>
      <c r="H5147">
        <f>IF(DATOS!$G5147&lt;&gt;"EX",0,--(COUNTIFS(nNIA,DATOS!$A5147,nCURSO,DATOS!$D5147,nESPEC,DATOS!$E5147,nASIG,DATOS!$I5147,nEVAL,"OR")=0))</f>
      </c>
      <c r="I5147">
        <f>IF(DATOS!$I5147="","",IFERROR(VLOOKUP(DATOS!$I5147,CONFIG_ASIGNATURAS!$B$2:$J$91,9,FALSE()),""))</f>
      </c>
    </row>
    <row r="5148">
      <c r="F5148">
        <f>IF(DATOS!$A5148="","",DATOS!$A5148&amp;"|"&amp;DATOS!$D5148&amp;"|"&amp;DATOS!$E5148&amp;"|"&amp;DATOS!$I5148)</f>
      </c>
      <c r="G5148">
        <f>IF(DATOS!$A5148="",0,IF(CONFIG_METADATA!$B$4&lt;&gt;"OR+EX",--(DATOS!$G5148=CONFIG_METADATA!$B$4),IF(DATOS!$G5148="EX",1,IF(DATOS!$G5148="OR",--(COUNTIFS(nNIA,DATOS!$A5148,nCURSO,DATOS!$D5148,nESPEC,DATOS!$E5148,nASIG,DATOS!$I5148,nEVAL,"EX")=0),0))))</f>
      </c>
      <c r="H5148">
        <f>IF(DATOS!$G5148&lt;&gt;"EX",0,--(COUNTIFS(nNIA,DATOS!$A5148,nCURSO,DATOS!$D5148,nESPEC,DATOS!$E5148,nASIG,DATOS!$I5148,nEVAL,"OR")=0))</f>
      </c>
      <c r="I5148">
        <f>IF(DATOS!$I5148="","",IFERROR(VLOOKUP(DATOS!$I5148,CONFIG_ASIGNATURAS!$B$2:$J$91,9,FALSE()),""))</f>
      </c>
    </row>
    <row r="5149">
      <c r="F5149">
        <f>IF(DATOS!$A5149="","",DATOS!$A5149&amp;"|"&amp;DATOS!$D5149&amp;"|"&amp;DATOS!$E5149&amp;"|"&amp;DATOS!$I5149)</f>
      </c>
      <c r="G5149">
        <f>IF(DATOS!$A5149="",0,IF(CONFIG_METADATA!$B$4&lt;&gt;"OR+EX",--(DATOS!$G5149=CONFIG_METADATA!$B$4),IF(DATOS!$G5149="EX",1,IF(DATOS!$G5149="OR",--(COUNTIFS(nNIA,DATOS!$A5149,nCURSO,DATOS!$D5149,nESPEC,DATOS!$E5149,nASIG,DATOS!$I5149,nEVAL,"EX")=0),0))))</f>
      </c>
      <c r="H5149">
        <f>IF(DATOS!$G5149&lt;&gt;"EX",0,--(COUNTIFS(nNIA,DATOS!$A5149,nCURSO,DATOS!$D5149,nESPEC,DATOS!$E5149,nASIG,DATOS!$I5149,nEVAL,"OR")=0))</f>
      </c>
      <c r="I5149">
        <f>IF(DATOS!$I5149="","",IFERROR(VLOOKUP(DATOS!$I5149,CONFIG_ASIGNATURAS!$B$2:$J$91,9,FALSE()),""))</f>
      </c>
    </row>
    <row r="5150">
      <c r="F5150">
        <f>IF(DATOS!$A5150="","",DATOS!$A5150&amp;"|"&amp;DATOS!$D5150&amp;"|"&amp;DATOS!$E5150&amp;"|"&amp;DATOS!$I5150)</f>
      </c>
      <c r="G5150">
        <f>IF(DATOS!$A5150="",0,IF(CONFIG_METADATA!$B$4&lt;&gt;"OR+EX",--(DATOS!$G5150=CONFIG_METADATA!$B$4),IF(DATOS!$G5150="EX",1,IF(DATOS!$G5150="OR",--(COUNTIFS(nNIA,DATOS!$A5150,nCURSO,DATOS!$D5150,nESPEC,DATOS!$E5150,nASIG,DATOS!$I5150,nEVAL,"EX")=0),0))))</f>
      </c>
      <c r="H5150">
        <f>IF(DATOS!$G5150&lt;&gt;"EX",0,--(COUNTIFS(nNIA,DATOS!$A5150,nCURSO,DATOS!$D5150,nESPEC,DATOS!$E5150,nASIG,DATOS!$I5150,nEVAL,"OR")=0))</f>
      </c>
      <c r="I5150">
        <f>IF(DATOS!$I5150="","",IFERROR(VLOOKUP(DATOS!$I5150,CONFIG_ASIGNATURAS!$B$2:$J$91,9,FALSE()),""))</f>
      </c>
    </row>
    <row r="5151">
      <c r="F5151">
        <f>IF(DATOS!$A5151="","",DATOS!$A5151&amp;"|"&amp;DATOS!$D5151&amp;"|"&amp;DATOS!$E5151&amp;"|"&amp;DATOS!$I5151)</f>
      </c>
      <c r="G5151">
        <f>IF(DATOS!$A5151="",0,IF(CONFIG_METADATA!$B$4&lt;&gt;"OR+EX",--(DATOS!$G5151=CONFIG_METADATA!$B$4),IF(DATOS!$G5151="EX",1,IF(DATOS!$G5151="OR",--(COUNTIFS(nNIA,DATOS!$A5151,nCURSO,DATOS!$D5151,nESPEC,DATOS!$E5151,nASIG,DATOS!$I5151,nEVAL,"EX")=0),0))))</f>
      </c>
      <c r="H5151">
        <f>IF(DATOS!$G5151&lt;&gt;"EX",0,--(COUNTIFS(nNIA,DATOS!$A5151,nCURSO,DATOS!$D5151,nESPEC,DATOS!$E5151,nASIG,DATOS!$I5151,nEVAL,"OR")=0))</f>
      </c>
      <c r="I5151">
        <f>IF(DATOS!$I5151="","",IFERROR(VLOOKUP(DATOS!$I5151,CONFIG_ASIGNATURAS!$B$2:$J$91,9,FALSE()),""))</f>
      </c>
    </row>
    <row r="5152">
      <c r="F5152">
        <f>IF(DATOS!$A5152="","",DATOS!$A5152&amp;"|"&amp;DATOS!$D5152&amp;"|"&amp;DATOS!$E5152&amp;"|"&amp;DATOS!$I5152)</f>
      </c>
      <c r="G5152">
        <f>IF(DATOS!$A5152="",0,IF(CONFIG_METADATA!$B$4&lt;&gt;"OR+EX",--(DATOS!$G5152=CONFIG_METADATA!$B$4),IF(DATOS!$G5152="EX",1,IF(DATOS!$G5152="OR",--(COUNTIFS(nNIA,DATOS!$A5152,nCURSO,DATOS!$D5152,nESPEC,DATOS!$E5152,nASIG,DATOS!$I5152,nEVAL,"EX")=0),0))))</f>
      </c>
      <c r="H5152">
        <f>IF(DATOS!$G5152&lt;&gt;"EX",0,--(COUNTIFS(nNIA,DATOS!$A5152,nCURSO,DATOS!$D5152,nESPEC,DATOS!$E5152,nASIG,DATOS!$I5152,nEVAL,"OR")=0))</f>
      </c>
      <c r="I5152">
        <f>IF(DATOS!$I5152="","",IFERROR(VLOOKUP(DATOS!$I5152,CONFIG_ASIGNATURAS!$B$2:$J$91,9,FALSE()),""))</f>
      </c>
    </row>
    <row r="5153">
      <c r="F5153">
        <f>IF(DATOS!$A5153="","",DATOS!$A5153&amp;"|"&amp;DATOS!$D5153&amp;"|"&amp;DATOS!$E5153&amp;"|"&amp;DATOS!$I5153)</f>
      </c>
      <c r="G5153">
        <f>IF(DATOS!$A5153="",0,IF(CONFIG_METADATA!$B$4&lt;&gt;"OR+EX",--(DATOS!$G5153=CONFIG_METADATA!$B$4),IF(DATOS!$G5153="EX",1,IF(DATOS!$G5153="OR",--(COUNTIFS(nNIA,DATOS!$A5153,nCURSO,DATOS!$D5153,nESPEC,DATOS!$E5153,nASIG,DATOS!$I5153,nEVAL,"EX")=0),0))))</f>
      </c>
      <c r="H5153">
        <f>IF(DATOS!$G5153&lt;&gt;"EX",0,--(COUNTIFS(nNIA,DATOS!$A5153,nCURSO,DATOS!$D5153,nESPEC,DATOS!$E5153,nASIG,DATOS!$I5153,nEVAL,"OR")=0))</f>
      </c>
      <c r="I5153">
        <f>IF(DATOS!$I5153="","",IFERROR(VLOOKUP(DATOS!$I5153,CONFIG_ASIGNATURAS!$B$2:$J$91,9,FALSE()),""))</f>
      </c>
    </row>
    <row r="5154">
      <c r="F5154">
        <f>IF(DATOS!$A5154="","",DATOS!$A5154&amp;"|"&amp;DATOS!$D5154&amp;"|"&amp;DATOS!$E5154&amp;"|"&amp;DATOS!$I5154)</f>
      </c>
      <c r="G5154">
        <f>IF(DATOS!$A5154="",0,IF(CONFIG_METADATA!$B$4&lt;&gt;"OR+EX",--(DATOS!$G5154=CONFIG_METADATA!$B$4),IF(DATOS!$G5154="EX",1,IF(DATOS!$G5154="OR",--(COUNTIFS(nNIA,DATOS!$A5154,nCURSO,DATOS!$D5154,nESPEC,DATOS!$E5154,nASIG,DATOS!$I5154,nEVAL,"EX")=0),0))))</f>
      </c>
      <c r="H5154">
        <f>IF(DATOS!$G5154&lt;&gt;"EX",0,--(COUNTIFS(nNIA,DATOS!$A5154,nCURSO,DATOS!$D5154,nESPEC,DATOS!$E5154,nASIG,DATOS!$I5154,nEVAL,"OR")=0))</f>
      </c>
      <c r="I5154">
        <f>IF(DATOS!$I5154="","",IFERROR(VLOOKUP(DATOS!$I5154,CONFIG_ASIGNATURAS!$B$2:$J$91,9,FALSE()),""))</f>
      </c>
    </row>
    <row r="5155">
      <c r="F5155">
        <f>IF(DATOS!$A5155="","",DATOS!$A5155&amp;"|"&amp;DATOS!$D5155&amp;"|"&amp;DATOS!$E5155&amp;"|"&amp;DATOS!$I5155)</f>
      </c>
      <c r="G5155">
        <f>IF(DATOS!$A5155="",0,IF(CONFIG_METADATA!$B$4&lt;&gt;"OR+EX",--(DATOS!$G5155=CONFIG_METADATA!$B$4),IF(DATOS!$G5155="EX",1,IF(DATOS!$G5155="OR",--(COUNTIFS(nNIA,DATOS!$A5155,nCURSO,DATOS!$D5155,nESPEC,DATOS!$E5155,nASIG,DATOS!$I5155,nEVAL,"EX")=0),0))))</f>
      </c>
      <c r="H5155">
        <f>IF(DATOS!$G5155&lt;&gt;"EX",0,--(COUNTIFS(nNIA,DATOS!$A5155,nCURSO,DATOS!$D5155,nESPEC,DATOS!$E5155,nASIG,DATOS!$I5155,nEVAL,"OR")=0))</f>
      </c>
      <c r="I5155">
        <f>IF(DATOS!$I5155="","",IFERROR(VLOOKUP(DATOS!$I5155,CONFIG_ASIGNATURAS!$B$2:$J$91,9,FALSE()),""))</f>
      </c>
    </row>
    <row r="5156">
      <c r="F5156">
        <f>IF(DATOS!$A5156="","",DATOS!$A5156&amp;"|"&amp;DATOS!$D5156&amp;"|"&amp;DATOS!$E5156&amp;"|"&amp;DATOS!$I5156)</f>
      </c>
      <c r="G5156">
        <f>IF(DATOS!$A5156="",0,IF(CONFIG_METADATA!$B$4&lt;&gt;"OR+EX",--(DATOS!$G5156=CONFIG_METADATA!$B$4),IF(DATOS!$G5156="EX",1,IF(DATOS!$G5156="OR",--(COUNTIFS(nNIA,DATOS!$A5156,nCURSO,DATOS!$D5156,nESPEC,DATOS!$E5156,nASIG,DATOS!$I5156,nEVAL,"EX")=0),0))))</f>
      </c>
      <c r="H5156">
        <f>IF(DATOS!$G5156&lt;&gt;"EX",0,--(COUNTIFS(nNIA,DATOS!$A5156,nCURSO,DATOS!$D5156,nESPEC,DATOS!$E5156,nASIG,DATOS!$I5156,nEVAL,"OR")=0))</f>
      </c>
      <c r="I5156">
        <f>IF(DATOS!$I5156="","",IFERROR(VLOOKUP(DATOS!$I5156,CONFIG_ASIGNATURAS!$B$2:$J$91,9,FALSE()),""))</f>
      </c>
    </row>
    <row r="5157">
      <c r="F5157">
        <f>IF(DATOS!$A5157="","",DATOS!$A5157&amp;"|"&amp;DATOS!$D5157&amp;"|"&amp;DATOS!$E5157&amp;"|"&amp;DATOS!$I5157)</f>
      </c>
      <c r="G5157">
        <f>IF(DATOS!$A5157="",0,IF(CONFIG_METADATA!$B$4&lt;&gt;"OR+EX",--(DATOS!$G5157=CONFIG_METADATA!$B$4),IF(DATOS!$G5157="EX",1,IF(DATOS!$G5157="OR",--(COUNTIFS(nNIA,DATOS!$A5157,nCURSO,DATOS!$D5157,nESPEC,DATOS!$E5157,nASIG,DATOS!$I5157,nEVAL,"EX")=0),0))))</f>
      </c>
      <c r="H5157">
        <f>IF(DATOS!$G5157&lt;&gt;"EX",0,--(COUNTIFS(nNIA,DATOS!$A5157,nCURSO,DATOS!$D5157,nESPEC,DATOS!$E5157,nASIG,DATOS!$I5157,nEVAL,"OR")=0))</f>
      </c>
      <c r="I5157">
        <f>IF(DATOS!$I5157="","",IFERROR(VLOOKUP(DATOS!$I5157,CONFIG_ASIGNATURAS!$B$2:$J$91,9,FALSE()),""))</f>
      </c>
    </row>
    <row r="5158">
      <c r="F5158">
        <f>IF(DATOS!$A5158="","",DATOS!$A5158&amp;"|"&amp;DATOS!$D5158&amp;"|"&amp;DATOS!$E5158&amp;"|"&amp;DATOS!$I5158)</f>
      </c>
      <c r="G5158">
        <f>IF(DATOS!$A5158="",0,IF(CONFIG_METADATA!$B$4&lt;&gt;"OR+EX",--(DATOS!$G5158=CONFIG_METADATA!$B$4),IF(DATOS!$G5158="EX",1,IF(DATOS!$G5158="OR",--(COUNTIFS(nNIA,DATOS!$A5158,nCURSO,DATOS!$D5158,nESPEC,DATOS!$E5158,nASIG,DATOS!$I5158,nEVAL,"EX")=0),0))))</f>
      </c>
      <c r="H5158">
        <f>IF(DATOS!$G5158&lt;&gt;"EX",0,--(COUNTIFS(nNIA,DATOS!$A5158,nCURSO,DATOS!$D5158,nESPEC,DATOS!$E5158,nASIG,DATOS!$I5158,nEVAL,"OR")=0))</f>
      </c>
      <c r="I5158">
        <f>IF(DATOS!$I5158="","",IFERROR(VLOOKUP(DATOS!$I5158,CONFIG_ASIGNATURAS!$B$2:$J$91,9,FALSE()),""))</f>
      </c>
    </row>
    <row r="5159">
      <c r="F5159">
        <f>IF(DATOS!$A5159="","",DATOS!$A5159&amp;"|"&amp;DATOS!$D5159&amp;"|"&amp;DATOS!$E5159&amp;"|"&amp;DATOS!$I5159)</f>
      </c>
      <c r="G5159">
        <f>IF(DATOS!$A5159="",0,IF(CONFIG_METADATA!$B$4&lt;&gt;"OR+EX",--(DATOS!$G5159=CONFIG_METADATA!$B$4),IF(DATOS!$G5159="EX",1,IF(DATOS!$G5159="OR",--(COUNTIFS(nNIA,DATOS!$A5159,nCURSO,DATOS!$D5159,nESPEC,DATOS!$E5159,nASIG,DATOS!$I5159,nEVAL,"EX")=0),0))))</f>
      </c>
      <c r="H5159">
        <f>IF(DATOS!$G5159&lt;&gt;"EX",0,--(COUNTIFS(nNIA,DATOS!$A5159,nCURSO,DATOS!$D5159,nESPEC,DATOS!$E5159,nASIG,DATOS!$I5159,nEVAL,"OR")=0))</f>
      </c>
      <c r="I5159">
        <f>IF(DATOS!$I5159="","",IFERROR(VLOOKUP(DATOS!$I5159,CONFIG_ASIGNATURAS!$B$2:$J$91,9,FALSE()),""))</f>
      </c>
    </row>
    <row r="5160">
      <c r="F5160">
        <f>IF(DATOS!$A5160="","",DATOS!$A5160&amp;"|"&amp;DATOS!$D5160&amp;"|"&amp;DATOS!$E5160&amp;"|"&amp;DATOS!$I5160)</f>
      </c>
      <c r="G5160">
        <f>IF(DATOS!$A5160="",0,IF(CONFIG_METADATA!$B$4&lt;&gt;"OR+EX",--(DATOS!$G5160=CONFIG_METADATA!$B$4),IF(DATOS!$G5160="EX",1,IF(DATOS!$G5160="OR",--(COUNTIFS(nNIA,DATOS!$A5160,nCURSO,DATOS!$D5160,nESPEC,DATOS!$E5160,nASIG,DATOS!$I5160,nEVAL,"EX")=0),0))))</f>
      </c>
      <c r="H5160">
        <f>IF(DATOS!$G5160&lt;&gt;"EX",0,--(COUNTIFS(nNIA,DATOS!$A5160,nCURSO,DATOS!$D5160,nESPEC,DATOS!$E5160,nASIG,DATOS!$I5160,nEVAL,"OR")=0))</f>
      </c>
      <c r="I5160">
        <f>IF(DATOS!$I5160="","",IFERROR(VLOOKUP(DATOS!$I5160,CONFIG_ASIGNATURAS!$B$2:$J$91,9,FALSE()),""))</f>
      </c>
    </row>
    <row r="5161">
      <c r="F5161">
        <f>IF(DATOS!$A5161="","",DATOS!$A5161&amp;"|"&amp;DATOS!$D5161&amp;"|"&amp;DATOS!$E5161&amp;"|"&amp;DATOS!$I5161)</f>
      </c>
      <c r="G5161">
        <f>IF(DATOS!$A5161="",0,IF(CONFIG_METADATA!$B$4&lt;&gt;"OR+EX",--(DATOS!$G5161=CONFIG_METADATA!$B$4),IF(DATOS!$G5161="EX",1,IF(DATOS!$G5161="OR",--(COUNTIFS(nNIA,DATOS!$A5161,nCURSO,DATOS!$D5161,nESPEC,DATOS!$E5161,nASIG,DATOS!$I5161,nEVAL,"EX")=0),0))))</f>
      </c>
      <c r="H5161">
        <f>IF(DATOS!$G5161&lt;&gt;"EX",0,--(COUNTIFS(nNIA,DATOS!$A5161,nCURSO,DATOS!$D5161,nESPEC,DATOS!$E5161,nASIG,DATOS!$I5161,nEVAL,"OR")=0))</f>
      </c>
      <c r="I5161">
        <f>IF(DATOS!$I5161="","",IFERROR(VLOOKUP(DATOS!$I5161,CONFIG_ASIGNATURAS!$B$2:$J$91,9,FALSE()),""))</f>
      </c>
    </row>
    <row r="5162">
      <c r="F5162">
        <f>IF(DATOS!$A5162="","",DATOS!$A5162&amp;"|"&amp;DATOS!$D5162&amp;"|"&amp;DATOS!$E5162&amp;"|"&amp;DATOS!$I5162)</f>
      </c>
      <c r="G5162">
        <f>IF(DATOS!$A5162="",0,IF(CONFIG_METADATA!$B$4&lt;&gt;"OR+EX",--(DATOS!$G5162=CONFIG_METADATA!$B$4),IF(DATOS!$G5162="EX",1,IF(DATOS!$G5162="OR",--(COUNTIFS(nNIA,DATOS!$A5162,nCURSO,DATOS!$D5162,nESPEC,DATOS!$E5162,nASIG,DATOS!$I5162,nEVAL,"EX")=0),0))))</f>
      </c>
      <c r="H5162">
        <f>IF(DATOS!$G5162&lt;&gt;"EX",0,--(COUNTIFS(nNIA,DATOS!$A5162,nCURSO,DATOS!$D5162,nESPEC,DATOS!$E5162,nASIG,DATOS!$I5162,nEVAL,"OR")=0))</f>
      </c>
      <c r="I5162">
        <f>IF(DATOS!$I5162="","",IFERROR(VLOOKUP(DATOS!$I5162,CONFIG_ASIGNATURAS!$B$2:$J$91,9,FALSE()),""))</f>
      </c>
    </row>
    <row r="5163">
      <c r="F5163">
        <f>IF(DATOS!$A5163="","",DATOS!$A5163&amp;"|"&amp;DATOS!$D5163&amp;"|"&amp;DATOS!$E5163&amp;"|"&amp;DATOS!$I5163)</f>
      </c>
      <c r="G5163">
        <f>IF(DATOS!$A5163="",0,IF(CONFIG_METADATA!$B$4&lt;&gt;"OR+EX",--(DATOS!$G5163=CONFIG_METADATA!$B$4),IF(DATOS!$G5163="EX",1,IF(DATOS!$G5163="OR",--(COUNTIFS(nNIA,DATOS!$A5163,nCURSO,DATOS!$D5163,nESPEC,DATOS!$E5163,nASIG,DATOS!$I5163,nEVAL,"EX")=0),0))))</f>
      </c>
      <c r="H5163">
        <f>IF(DATOS!$G5163&lt;&gt;"EX",0,--(COUNTIFS(nNIA,DATOS!$A5163,nCURSO,DATOS!$D5163,nESPEC,DATOS!$E5163,nASIG,DATOS!$I5163,nEVAL,"OR")=0))</f>
      </c>
      <c r="I5163">
        <f>IF(DATOS!$I5163="","",IFERROR(VLOOKUP(DATOS!$I5163,CONFIG_ASIGNATURAS!$B$2:$J$91,9,FALSE()),""))</f>
      </c>
    </row>
    <row r="5164">
      <c r="F5164">
        <f>IF(DATOS!$A5164="","",DATOS!$A5164&amp;"|"&amp;DATOS!$D5164&amp;"|"&amp;DATOS!$E5164&amp;"|"&amp;DATOS!$I5164)</f>
      </c>
      <c r="G5164">
        <f>IF(DATOS!$A5164="",0,IF(CONFIG_METADATA!$B$4&lt;&gt;"OR+EX",--(DATOS!$G5164=CONFIG_METADATA!$B$4),IF(DATOS!$G5164="EX",1,IF(DATOS!$G5164="OR",--(COUNTIFS(nNIA,DATOS!$A5164,nCURSO,DATOS!$D5164,nESPEC,DATOS!$E5164,nASIG,DATOS!$I5164,nEVAL,"EX")=0),0))))</f>
      </c>
      <c r="H5164">
        <f>IF(DATOS!$G5164&lt;&gt;"EX",0,--(COUNTIFS(nNIA,DATOS!$A5164,nCURSO,DATOS!$D5164,nESPEC,DATOS!$E5164,nASIG,DATOS!$I5164,nEVAL,"OR")=0))</f>
      </c>
      <c r="I5164">
        <f>IF(DATOS!$I5164="","",IFERROR(VLOOKUP(DATOS!$I5164,CONFIG_ASIGNATURAS!$B$2:$J$91,9,FALSE()),""))</f>
      </c>
    </row>
    <row r="5165">
      <c r="F5165">
        <f>IF(DATOS!$A5165="","",DATOS!$A5165&amp;"|"&amp;DATOS!$D5165&amp;"|"&amp;DATOS!$E5165&amp;"|"&amp;DATOS!$I5165)</f>
      </c>
      <c r="G5165">
        <f>IF(DATOS!$A5165="",0,IF(CONFIG_METADATA!$B$4&lt;&gt;"OR+EX",--(DATOS!$G5165=CONFIG_METADATA!$B$4),IF(DATOS!$G5165="EX",1,IF(DATOS!$G5165="OR",--(COUNTIFS(nNIA,DATOS!$A5165,nCURSO,DATOS!$D5165,nESPEC,DATOS!$E5165,nASIG,DATOS!$I5165,nEVAL,"EX")=0),0))))</f>
      </c>
      <c r="H5165">
        <f>IF(DATOS!$G5165&lt;&gt;"EX",0,--(COUNTIFS(nNIA,DATOS!$A5165,nCURSO,DATOS!$D5165,nESPEC,DATOS!$E5165,nASIG,DATOS!$I5165,nEVAL,"OR")=0))</f>
      </c>
      <c r="I5165">
        <f>IF(DATOS!$I5165="","",IFERROR(VLOOKUP(DATOS!$I5165,CONFIG_ASIGNATURAS!$B$2:$J$91,9,FALSE()),""))</f>
      </c>
    </row>
    <row r="5166">
      <c r="F5166">
        <f>IF(DATOS!$A5166="","",DATOS!$A5166&amp;"|"&amp;DATOS!$D5166&amp;"|"&amp;DATOS!$E5166&amp;"|"&amp;DATOS!$I5166)</f>
      </c>
      <c r="G5166">
        <f>IF(DATOS!$A5166="",0,IF(CONFIG_METADATA!$B$4&lt;&gt;"OR+EX",--(DATOS!$G5166=CONFIG_METADATA!$B$4),IF(DATOS!$G5166="EX",1,IF(DATOS!$G5166="OR",--(COUNTIFS(nNIA,DATOS!$A5166,nCURSO,DATOS!$D5166,nESPEC,DATOS!$E5166,nASIG,DATOS!$I5166,nEVAL,"EX")=0),0))))</f>
      </c>
      <c r="H5166">
        <f>IF(DATOS!$G5166&lt;&gt;"EX",0,--(COUNTIFS(nNIA,DATOS!$A5166,nCURSO,DATOS!$D5166,nESPEC,DATOS!$E5166,nASIG,DATOS!$I5166,nEVAL,"OR")=0))</f>
      </c>
      <c r="I5166">
        <f>IF(DATOS!$I5166="","",IFERROR(VLOOKUP(DATOS!$I5166,CONFIG_ASIGNATURAS!$B$2:$J$91,9,FALSE()),""))</f>
      </c>
    </row>
    <row r="5167">
      <c r="F5167">
        <f>IF(DATOS!$A5167="","",DATOS!$A5167&amp;"|"&amp;DATOS!$D5167&amp;"|"&amp;DATOS!$E5167&amp;"|"&amp;DATOS!$I5167)</f>
      </c>
      <c r="G5167">
        <f>IF(DATOS!$A5167="",0,IF(CONFIG_METADATA!$B$4&lt;&gt;"OR+EX",--(DATOS!$G5167=CONFIG_METADATA!$B$4),IF(DATOS!$G5167="EX",1,IF(DATOS!$G5167="OR",--(COUNTIFS(nNIA,DATOS!$A5167,nCURSO,DATOS!$D5167,nESPEC,DATOS!$E5167,nASIG,DATOS!$I5167,nEVAL,"EX")=0),0))))</f>
      </c>
      <c r="H5167">
        <f>IF(DATOS!$G5167&lt;&gt;"EX",0,--(COUNTIFS(nNIA,DATOS!$A5167,nCURSO,DATOS!$D5167,nESPEC,DATOS!$E5167,nASIG,DATOS!$I5167,nEVAL,"OR")=0))</f>
      </c>
      <c r="I5167">
        <f>IF(DATOS!$I5167="","",IFERROR(VLOOKUP(DATOS!$I5167,CONFIG_ASIGNATURAS!$B$2:$J$91,9,FALSE()),""))</f>
      </c>
    </row>
    <row r="5168">
      <c r="F5168">
        <f>IF(DATOS!$A5168="","",DATOS!$A5168&amp;"|"&amp;DATOS!$D5168&amp;"|"&amp;DATOS!$E5168&amp;"|"&amp;DATOS!$I5168)</f>
      </c>
      <c r="G5168">
        <f>IF(DATOS!$A5168="",0,IF(CONFIG_METADATA!$B$4&lt;&gt;"OR+EX",--(DATOS!$G5168=CONFIG_METADATA!$B$4),IF(DATOS!$G5168="EX",1,IF(DATOS!$G5168="OR",--(COUNTIFS(nNIA,DATOS!$A5168,nCURSO,DATOS!$D5168,nESPEC,DATOS!$E5168,nASIG,DATOS!$I5168,nEVAL,"EX")=0),0))))</f>
      </c>
      <c r="H5168">
        <f>IF(DATOS!$G5168&lt;&gt;"EX",0,--(COUNTIFS(nNIA,DATOS!$A5168,nCURSO,DATOS!$D5168,nESPEC,DATOS!$E5168,nASIG,DATOS!$I5168,nEVAL,"OR")=0))</f>
      </c>
      <c r="I5168">
        <f>IF(DATOS!$I5168="","",IFERROR(VLOOKUP(DATOS!$I5168,CONFIG_ASIGNATURAS!$B$2:$J$91,9,FALSE()),""))</f>
      </c>
    </row>
    <row r="5169">
      <c r="F5169">
        <f>IF(DATOS!$A5169="","",DATOS!$A5169&amp;"|"&amp;DATOS!$D5169&amp;"|"&amp;DATOS!$E5169&amp;"|"&amp;DATOS!$I5169)</f>
      </c>
      <c r="G5169">
        <f>IF(DATOS!$A5169="",0,IF(CONFIG_METADATA!$B$4&lt;&gt;"OR+EX",--(DATOS!$G5169=CONFIG_METADATA!$B$4),IF(DATOS!$G5169="EX",1,IF(DATOS!$G5169="OR",--(COUNTIFS(nNIA,DATOS!$A5169,nCURSO,DATOS!$D5169,nESPEC,DATOS!$E5169,nASIG,DATOS!$I5169,nEVAL,"EX")=0),0))))</f>
      </c>
      <c r="H5169">
        <f>IF(DATOS!$G5169&lt;&gt;"EX",0,--(COUNTIFS(nNIA,DATOS!$A5169,nCURSO,DATOS!$D5169,nESPEC,DATOS!$E5169,nASIG,DATOS!$I5169,nEVAL,"OR")=0))</f>
      </c>
      <c r="I5169">
        <f>IF(DATOS!$I5169="","",IFERROR(VLOOKUP(DATOS!$I5169,CONFIG_ASIGNATURAS!$B$2:$J$91,9,FALSE()),""))</f>
      </c>
    </row>
    <row r="5170">
      <c r="F5170">
        <f>IF(DATOS!$A5170="","",DATOS!$A5170&amp;"|"&amp;DATOS!$D5170&amp;"|"&amp;DATOS!$E5170&amp;"|"&amp;DATOS!$I5170)</f>
      </c>
      <c r="G5170">
        <f>IF(DATOS!$A5170="",0,IF(CONFIG_METADATA!$B$4&lt;&gt;"OR+EX",--(DATOS!$G5170=CONFIG_METADATA!$B$4),IF(DATOS!$G5170="EX",1,IF(DATOS!$G5170="OR",--(COUNTIFS(nNIA,DATOS!$A5170,nCURSO,DATOS!$D5170,nESPEC,DATOS!$E5170,nASIG,DATOS!$I5170,nEVAL,"EX")=0),0))))</f>
      </c>
      <c r="H5170">
        <f>IF(DATOS!$G5170&lt;&gt;"EX",0,--(COUNTIFS(nNIA,DATOS!$A5170,nCURSO,DATOS!$D5170,nESPEC,DATOS!$E5170,nASIG,DATOS!$I5170,nEVAL,"OR")=0))</f>
      </c>
      <c r="I5170">
        <f>IF(DATOS!$I5170="","",IFERROR(VLOOKUP(DATOS!$I5170,CONFIG_ASIGNATURAS!$B$2:$J$91,9,FALSE()),""))</f>
      </c>
    </row>
    <row r="5171">
      <c r="F5171">
        <f>IF(DATOS!$A5171="","",DATOS!$A5171&amp;"|"&amp;DATOS!$D5171&amp;"|"&amp;DATOS!$E5171&amp;"|"&amp;DATOS!$I5171)</f>
      </c>
      <c r="G5171">
        <f>IF(DATOS!$A5171="",0,IF(CONFIG_METADATA!$B$4&lt;&gt;"OR+EX",--(DATOS!$G5171=CONFIG_METADATA!$B$4),IF(DATOS!$G5171="EX",1,IF(DATOS!$G5171="OR",--(COUNTIFS(nNIA,DATOS!$A5171,nCURSO,DATOS!$D5171,nESPEC,DATOS!$E5171,nASIG,DATOS!$I5171,nEVAL,"EX")=0),0))))</f>
      </c>
      <c r="H5171">
        <f>IF(DATOS!$G5171&lt;&gt;"EX",0,--(COUNTIFS(nNIA,DATOS!$A5171,nCURSO,DATOS!$D5171,nESPEC,DATOS!$E5171,nASIG,DATOS!$I5171,nEVAL,"OR")=0))</f>
      </c>
      <c r="I5171">
        <f>IF(DATOS!$I5171="","",IFERROR(VLOOKUP(DATOS!$I5171,CONFIG_ASIGNATURAS!$B$2:$J$91,9,FALSE()),""))</f>
      </c>
    </row>
    <row r="5172">
      <c r="F5172">
        <f>IF(DATOS!$A5172="","",DATOS!$A5172&amp;"|"&amp;DATOS!$D5172&amp;"|"&amp;DATOS!$E5172&amp;"|"&amp;DATOS!$I5172)</f>
      </c>
      <c r="G5172">
        <f>IF(DATOS!$A5172="",0,IF(CONFIG_METADATA!$B$4&lt;&gt;"OR+EX",--(DATOS!$G5172=CONFIG_METADATA!$B$4),IF(DATOS!$G5172="EX",1,IF(DATOS!$G5172="OR",--(COUNTIFS(nNIA,DATOS!$A5172,nCURSO,DATOS!$D5172,nESPEC,DATOS!$E5172,nASIG,DATOS!$I5172,nEVAL,"EX")=0),0))))</f>
      </c>
      <c r="H5172">
        <f>IF(DATOS!$G5172&lt;&gt;"EX",0,--(COUNTIFS(nNIA,DATOS!$A5172,nCURSO,DATOS!$D5172,nESPEC,DATOS!$E5172,nASIG,DATOS!$I5172,nEVAL,"OR")=0))</f>
      </c>
      <c r="I5172">
        <f>IF(DATOS!$I5172="","",IFERROR(VLOOKUP(DATOS!$I5172,CONFIG_ASIGNATURAS!$B$2:$J$91,9,FALSE()),""))</f>
      </c>
    </row>
    <row r="5173">
      <c r="F5173">
        <f>IF(DATOS!$A5173="","",DATOS!$A5173&amp;"|"&amp;DATOS!$D5173&amp;"|"&amp;DATOS!$E5173&amp;"|"&amp;DATOS!$I5173)</f>
      </c>
      <c r="G5173">
        <f>IF(DATOS!$A5173="",0,IF(CONFIG_METADATA!$B$4&lt;&gt;"OR+EX",--(DATOS!$G5173=CONFIG_METADATA!$B$4),IF(DATOS!$G5173="EX",1,IF(DATOS!$G5173="OR",--(COUNTIFS(nNIA,DATOS!$A5173,nCURSO,DATOS!$D5173,nESPEC,DATOS!$E5173,nASIG,DATOS!$I5173,nEVAL,"EX")=0),0))))</f>
      </c>
      <c r="H5173">
        <f>IF(DATOS!$G5173&lt;&gt;"EX",0,--(COUNTIFS(nNIA,DATOS!$A5173,nCURSO,DATOS!$D5173,nESPEC,DATOS!$E5173,nASIG,DATOS!$I5173,nEVAL,"OR")=0))</f>
      </c>
      <c r="I5173">
        <f>IF(DATOS!$I5173="","",IFERROR(VLOOKUP(DATOS!$I5173,CONFIG_ASIGNATURAS!$B$2:$J$91,9,FALSE()),""))</f>
      </c>
    </row>
    <row r="5174">
      <c r="F5174">
        <f>IF(DATOS!$A5174="","",DATOS!$A5174&amp;"|"&amp;DATOS!$D5174&amp;"|"&amp;DATOS!$E5174&amp;"|"&amp;DATOS!$I5174)</f>
      </c>
      <c r="G5174">
        <f>IF(DATOS!$A5174="",0,IF(CONFIG_METADATA!$B$4&lt;&gt;"OR+EX",--(DATOS!$G5174=CONFIG_METADATA!$B$4),IF(DATOS!$G5174="EX",1,IF(DATOS!$G5174="OR",--(COUNTIFS(nNIA,DATOS!$A5174,nCURSO,DATOS!$D5174,nESPEC,DATOS!$E5174,nASIG,DATOS!$I5174,nEVAL,"EX")=0),0))))</f>
      </c>
      <c r="H5174">
        <f>IF(DATOS!$G5174&lt;&gt;"EX",0,--(COUNTIFS(nNIA,DATOS!$A5174,nCURSO,DATOS!$D5174,nESPEC,DATOS!$E5174,nASIG,DATOS!$I5174,nEVAL,"OR")=0))</f>
      </c>
      <c r="I5174">
        <f>IF(DATOS!$I5174="","",IFERROR(VLOOKUP(DATOS!$I5174,CONFIG_ASIGNATURAS!$B$2:$J$91,9,FALSE()),""))</f>
      </c>
    </row>
    <row r="5175">
      <c r="F5175">
        <f>IF(DATOS!$A5175="","",DATOS!$A5175&amp;"|"&amp;DATOS!$D5175&amp;"|"&amp;DATOS!$E5175&amp;"|"&amp;DATOS!$I5175)</f>
      </c>
      <c r="G5175">
        <f>IF(DATOS!$A5175="",0,IF(CONFIG_METADATA!$B$4&lt;&gt;"OR+EX",--(DATOS!$G5175=CONFIG_METADATA!$B$4),IF(DATOS!$G5175="EX",1,IF(DATOS!$G5175="OR",--(COUNTIFS(nNIA,DATOS!$A5175,nCURSO,DATOS!$D5175,nESPEC,DATOS!$E5175,nASIG,DATOS!$I5175,nEVAL,"EX")=0),0))))</f>
      </c>
      <c r="H5175">
        <f>IF(DATOS!$G5175&lt;&gt;"EX",0,--(COUNTIFS(nNIA,DATOS!$A5175,nCURSO,DATOS!$D5175,nESPEC,DATOS!$E5175,nASIG,DATOS!$I5175,nEVAL,"OR")=0))</f>
      </c>
      <c r="I5175">
        <f>IF(DATOS!$I5175="","",IFERROR(VLOOKUP(DATOS!$I5175,CONFIG_ASIGNATURAS!$B$2:$J$91,9,FALSE()),""))</f>
      </c>
    </row>
    <row r="5176">
      <c r="F5176">
        <f>IF(DATOS!$A5176="","",DATOS!$A5176&amp;"|"&amp;DATOS!$D5176&amp;"|"&amp;DATOS!$E5176&amp;"|"&amp;DATOS!$I5176)</f>
      </c>
      <c r="G5176">
        <f>IF(DATOS!$A5176="",0,IF(CONFIG_METADATA!$B$4&lt;&gt;"OR+EX",--(DATOS!$G5176=CONFIG_METADATA!$B$4),IF(DATOS!$G5176="EX",1,IF(DATOS!$G5176="OR",--(COUNTIFS(nNIA,DATOS!$A5176,nCURSO,DATOS!$D5176,nESPEC,DATOS!$E5176,nASIG,DATOS!$I5176,nEVAL,"EX")=0),0))))</f>
      </c>
      <c r="H5176">
        <f>IF(DATOS!$G5176&lt;&gt;"EX",0,--(COUNTIFS(nNIA,DATOS!$A5176,nCURSO,DATOS!$D5176,nESPEC,DATOS!$E5176,nASIG,DATOS!$I5176,nEVAL,"OR")=0))</f>
      </c>
      <c r="I5176">
        <f>IF(DATOS!$I5176="","",IFERROR(VLOOKUP(DATOS!$I5176,CONFIG_ASIGNATURAS!$B$2:$J$91,9,FALSE()),""))</f>
      </c>
    </row>
    <row r="5177">
      <c r="F5177">
        <f>IF(DATOS!$A5177="","",DATOS!$A5177&amp;"|"&amp;DATOS!$D5177&amp;"|"&amp;DATOS!$E5177&amp;"|"&amp;DATOS!$I5177)</f>
      </c>
      <c r="G5177">
        <f>IF(DATOS!$A5177="",0,IF(CONFIG_METADATA!$B$4&lt;&gt;"OR+EX",--(DATOS!$G5177=CONFIG_METADATA!$B$4),IF(DATOS!$G5177="EX",1,IF(DATOS!$G5177="OR",--(COUNTIFS(nNIA,DATOS!$A5177,nCURSO,DATOS!$D5177,nESPEC,DATOS!$E5177,nASIG,DATOS!$I5177,nEVAL,"EX")=0),0))))</f>
      </c>
      <c r="H5177">
        <f>IF(DATOS!$G5177&lt;&gt;"EX",0,--(COUNTIFS(nNIA,DATOS!$A5177,nCURSO,DATOS!$D5177,nESPEC,DATOS!$E5177,nASIG,DATOS!$I5177,nEVAL,"OR")=0))</f>
      </c>
      <c r="I5177">
        <f>IF(DATOS!$I5177="","",IFERROR(VLOOKUP(DATOS!$I5177,CONFIG_ASIGNATURAS!$B$2:$J$91,9,FALSE()),""))</f>
      </c>
    </row>
    <row r="5178">
      <c r="F5178">
        <f>IF(DATOS!$A5178="","",DATOS!$A5178&amp;"|"&amp;DATOS!$D5178&amp;"|"&amp;DATOS!$E5178&amp;"|"&amp;DATOS!$I5178)</f>
      </c>
      <c r="G5178">
        <f>IF(DATOS!$A5178="",0,IF(CONFIG_METADATA!$B$4&lt;&gt;"OR+EX",--(DATOS!$G5178=CONFIG_METADATA!$B$4),IF(DATOS!$G5178="EX",1,IF(DATOS!$G5178="OR",--(COUNTIFS(nNIA,DATOS!$A5178,nCURSO,DATOS!$D5178,nESPEC,DATOS!$E5178,nASIG,DATOS!$I5178,nEVAL,"EX")=0),0))))</f>
      </c>
      <c r="H5178">
        <f>IF(DATOS!$G5178&lt;&gt;"EX",0,--(COUNTIFS(nNIA,DATOS!$A5178,nCURSO,DATOS!$D5178,nESPEC,DATOS!$E5178,nASIG,DATOS!$I5178,nEVAL,"OR")=0))</f>
      </c>
      <c r="I5178">
        <f>IF(DATOS!$I5178="","",IFERROR(VLOOKUP(DATOS!$I5178,CONFIG_ASIGNATURAS!$B$2:$J$91,9,FALSE()),""))</f>
      </c>
    </row>
    <row r="5179">
      <c r="F5179">
        <f>IF(DATOS!$A5179="","",DATOS!$A5179&amp;"|"&amp;DATOS!$D5179&amp;"|"&amp;DATOS!$E5179&amp;"|"&amp;DATOS!$I5179)</f>
      </c>
      <c r="G5179">
        <f>IF(DATOS!$A5179="",0,IF(CONFIG_METADATA!$B$4&lt;&gt;"OR+EX",--(DATOS!$G5179=CONFIG_METADATA!$B$4),IF(DATOS!$G5179="EX",1,IF(DATOS!$G5179="OR",--(COUNTIFS(nNIA,DATOS!$A5179,nCURSO,DATOS!$D5179,nESPEC,DATOS!$E5179,nASIG,DATOS!$I5179,nEVAL,"EX")=0),0))))</f>
      </c>
      <c r="H5179">
        <f>IF(DATOS!$G5179&lt;&gt;"EX",0,--(COUNTIFS(nNIA,DATOS!$A5179,nCURSO,DATOS!$D5179,nESPEC,DATOS!$E5179,nASIG,DATOS!$I5179,nEVAL,"OR")=0))</f>
      </c>
      <c r="I5179">
        <f>IF(DATOS!$I5179="","",IFERROR(VLOOKUP(DATOS!$I5179,CONFIG_ASIGNATURAS!$B$2:$J$91,9,FALSE()),""))</f>
      </c>
    </row>
    <row r="5180">
      <c r="F5180">
        <f>IF(DATOS!$A5180="","",DATOS!$A5180&amp;"|"&amp;DATOS!$D5180&amp;"|"&amp;DATOS!$E5180&amp;"|"&amp;DATOS!$I5180)</f>
      </c>
      <c r="G5180">
        <f>IF(DATOS!$A5180="",0,IF(CONFIG_METADATA!$B$4&lt;&gt;"OR+EX",--(DATOS!$G5180=CONFIG_METADATA!$B$4),IF(DATOS!$G5180="EX",1,IF(DATOS!$G5180="OR",--(COUNTIFS(nNIA,DATOS!$A5180,nCURSO,DATOS!$D5180,nESPEC,DATOS!$E5180,nASIG,DATOS!$I5180,nEVAL,"EX")=0),0))))</f>
      </c>
      <c r="H5180">
        <f>IF(DATOS!$G5180&lt;&gt;"EX",0,--(COUNTIFS(nNIA,DATOS!$A5180,nCURSO,DATOS!$D5180,nESPEC,DATOS!$E5180,nASIG,DATOS!$I5180,nEVAL,"OR")=0))</f>
      </c>
      <c r="I5180">
        <f>IF(DATOS!$I5180="","",IFERROR(VLOOKUP(DATOS!$I5180,CONFIG_ASIGNATURAS!$B$2:$J$91,9,FALSE()),""))</f>
      </c>
    </row>
    <row r="5181">
      <c r="F5181">
        <f>IF(DATOS!$A5181="","",DATOS!$A5181&amp;"|"&amp;DATOS!$D5181&amp;"|"&amp;DATOS!$E5181&amp;"|"&amp;DATOS!$I5181)</f>
      </c>
      <c r="G5181">
        <f>IF(DATOS!$A5181="",0,IF(CONFIG_METADATA!$B$4&lt;&gt;"OR+EX",--(DATOS!$G5181=CONFIG_METADATA!$B$4),IF(DATOS!$G5181="EX",1,IF(DATOS!$G5181="OR",--(COUNTIFS(nNIA,DATOS!$A5181,nCURSO,DATOS!$D5181,nESPEC,DATOS!$E5181,nASIG,DATOS!$I5181,nEVAL,"EX")=0),0))))</f>
      </c>
      <c r="H5181">
        <f>IF(DATOS!$G5181&lt;&gt;"EX",0,--(COUNTIFS(nNIA,DATOS!$A5181,nCURSO,DATOS!$D5181,nESPEC,DATOS!$E5181,nASIG,DATOS!$I5181,nEVAL,"OR")=0))</f>
      </c>
      <c r="I5181">
        <f>IF(DATOS!$I5181="","",IFERROR(VLOOKUP(DATOS!$I5181,CONFIG_ASIGNATURAS!$B$2:$J$91,9,FALSE()),""))</f>
      </c>
    </row>
    <row r="5182">
      <c r="F5182">
        <f>IF(DATOS!$A5182="","",DATOS!$A5182&amp;"|"&amp;DATOS!$D5182&amp;"|"&amp;DATOS!$E5182&amp;"|"&amp;DATOS!$I5182)</f>
      </c>
      <c r="G5182">
        <f>IF(DATOS!$A5182="",0,IF(CONFIG_METADATA!$B$4&lt;&gt;"OR+EX",--(DATOS!$G5182=CONFIG_METADATA!$B$4),IF(DATOS!$G5182="EX",1,IF(DATOS!$G5182="OR",--(COUNTIFS(nNIA,DATOS!$A5182,nCURSO,DATOS!$D5182,nESPEC,DATOS!$E5182,nASIG,DATOS!$I5182,nEVAL,"EX")=0),0))))</f>
      </c>
      <c r="H5182">
        <f>IF(DATOS!$G5182&lt;&gt;"EX",0,--(COUNTIFS(nNIA,DATOS!$A5182,nCURSO,DATOS!$D5182,nESPEC,DATOS!$E5182,nASIG,DATOS!$I5182,nEVAL,"OR")=0))</f>
      </c>
      <c r="I5182">
        <f>IF(DATOS!$I5182="","",IFERROR(VLOOKUP(DATOS!$I5182,CONFIG_ASIGNATURAS!$B$2:$J$91,9,FALSE()),""))</f>
      </c>
    </row>
    <row r="5183">
      <c r="F5183">
        <f>IF(DATOS!$A5183="","",DATOS!$A5183&amp;"|"&amp;DATOS!$D5183&amp;"|"&amp;DATOS!$E5183&amp;"|"&amp;DATOS!$I5183)</f>
      </c>
      <c r="G5183">
        <f>IF(DATOS!$A5183="",0,IF(CONFIG_METADATA!$B$4&lt;&gt;"OR+EX",--(DATOS!$G5183=CONFIG_METADATA!$B$4),IF(DATOS!$G5183="EX",1,IF(DATOS!$G5183="OR",--(COUNTIFS(nNIA,DATOS!$A5183,nCURSO,DATOS!$D5183,nESPEC,DATOS!$E5183,nASIG,DATOS!$I5183,nEVAL,"EX")=0),0))))</f>
      </c>
      <c r="H5183">
        <f>IF(DATOS!$G5183&lt;&gt;"EX",0,--(COUNTIFS(nNIA,DATOS!$A5183,nCURSO,DATOS!$D5183,nESPEC,DATOS!$E5183,nASIG,DATOS!$I5183,nEVAL,"OR")=0))</f>
      </c>
      <c r="I5183">
        <f>IF(DATOS!$I5183="","",IFERROR(VLOOKUP(DATOS!$I5183,CONFIG_ASIGNATURAS!$B$2:$J$91,9,FALSE()),""))</f>
      </c>
    </row>
    <row r="5184">
      <c r="F5184">
        <f>IF(DATOS!$A5184="","",DATOS!$A5184&amp;"|"&amp;DATOS!$D5184&amp;"|"&amp;DATOS!$E5184&amp;"|"&amp;DATOS!$I5184)</f>
      </c>
      <c r="G5184">
        <f>IF(DATOS!$A5184="",0,IF(CONFIG_METADATA!$B$4&lt;&gt;"OR+EX",--(DATOS!$G5184=CONFIG_METADATA!$B$4),IF(DATOS!$G5184="EX",1,IF(DATOS!$G5184="OR",--(COUNTIFS(nNIA,DATOS!$A5184,nCURSO,DATOS!$D5184,nESPEC,DATOS!$E5184,nASIG,DATOS!$I5184,nEVAL,"EX")=0),0))))</f>
      </c>
      <c r="H5184">
        <f>IF(DATOS!$G5184&lt;&gt;"EX",0,--(COUNTIFS(nNIA,DATOS!$A5184,nCURSO,DATOS!$D5184,nESPEC,DATOS!$E5184,nASIG,DATOS!$I5184,nEVAL,"OR")=0))</f>
      </c>
      <c r="I5184">
        <f>IF(DATOS!$I5184="","",IFERROR(VLOOKUP(DATOS!$I5184,CONFIG_ASIGNATURAS!$B$2:$J$91,9,FALSE()),""))</f>
      </c>
    </row>
    <row r="5185">
      <c r="F5185">
        <f>IF(DATOS!$A5185="","",DATOS!$A5185&amp;"|"&amp;DATOS!$D5185&amp;"|"&amp;DATOS!$E5185&amp;"|"&amp;DATOS!$I5185)</f>
      </c>
      <c r="G5185">
        <f>IF(DATOS!$A5185="",0,IF(CONFIG_METADATA!$B$4&lt;&gt;"OR+EX",--(DATOS!$G5185=CONFIG_METADATA!$B$4),IF(DATOS!$G5185="EX",1,IF(DATOS!$G5185="OR",--(COUNTIFS(nNIA,DATOS!$A5185,nCURSO,DATOS!$D5185,nESPEC,DATOS!$E5185,nASIG,DATOS!$I5185,nEVAL,"EX")=0),0))))</f>
      </c>
      <c r="H5185">
        <f>IF(DATOS!$G5185&lt;&gt;"EX",0,--(COUNTIFS(nNIA,DATOS!$A5185,nCURSO,DATOS!$D5185,nESPEC,DATOS!$E5185,nASIG,DATOS!$I5185,nEVAL,"OR")=0))</f>
      </c>
      <c r="I5185">
        <f>IF(DATOS!$I5185="","",IFERROR(VLOOKUP(DATOS!$I5185,CONFIG_ASIGNATURAS!$B$2:$J$91,9,FALSE()),""))</f>
      </c>
    </row>
    <row r="5186">
      <c r="F5186">
        <f>IF(DATOS!$A5186="","",DATOS!$A5186&amp;"|"&amp;DATOS!$D5186&amp;"|"&amp;DATOS!$E5186&amp;"|"&amp;DATOS!$I5186)</f>
      </c>
      <c r="G5186">
        <f>IF(DATOS!$A5186="",0,IF(CONFIG_METADATA!$B$4&lt;&gt;"OR+EX",--(DATOS!$G5186=CONFIG_METADATA!$B$4),IF(DATOS!$G5186="EX",1,IF(DATOS!$G5186="OR",--(COUNTIFS(nNIA,DATOS!$A5186,nCURSO,DATOS!$D5186,nESPEC,DATOS!$E5186,nASIG,DATOS!$I5186,nEVAL,"EX")=0),0))))</f>
      </c>
      <c r="H5186">
        <f>IF(DATOS!$G5186&lt;&gt;"EX",0,--(COUNTIFS(nNIA,DATOS!$A5186,nCURSO,DATOS!$D5186,nESPEC,DATOS!$E5186,nASIG,DATOS!$I5186,nEVAL,"OR")=0))</f>
      </c>
      <c r="I5186">
        <f>IF(DATOS!$I5186="","",IFERROR(VLOOKUP(DATOS!$I5186,CONFIG_ASIGNATURAS!$B$2:$J$91,9,FALSE()),""))</f>
      </c>
    </row>
    <row r="5187">
      <c r="F5187">
        <f>IF(DATOS!$A5187="","",DATOS!$A5187&amp;"|"&amp;DATOS!$D5187&amp;"|"&amp;DATOS!$E5187&amp;"|"&amp;DATOS!$I5187)</f>
      </c>
      <c r="G5187">
        <f>IF(DATOS!$A5187="",0,IF(CONFIG_METADATA!$B$4&lt;&gt;"OR+EX",--(DATOS!$G5187=CONFIG_METADATA!$B$4),IF(DATOS!$G5187="EX",1,IF(DATOS!$G5187="OR",--(COUNTIFS(nNIA,DATOS!$A5187,nCURSO,DATOS!$D5187,nESPEC,DATOS!$E5187,nASIG,DATOS!$I5187,nEVAL,"EX")=0),0))))</f>
      </c>
      <c r="H5187">
        <f>IF(DATOS!$G5187&lt;&gt;"EX",0,--(COUNTIFS(nNIA,DATOS!$A5187,nCURSO,DATOS!$D5187,nESPEC,DATOS!$E5187,nASIG,DATOS!$I5187,nEVAL,"OR")=0))</f>
      </c>
      <c r="I5187">
        <f>IF(DATOS!$I5187="","",IFERROR(VLOOKUP(DATOS!$I5187,CONFIG_ASIGNATURAS!$B$2:$J$91,9,FALSE()),""))</f>
      </c>
    </row>
    <row r="5188">
      <c r="F5188">
        <f>IF(DATOS!$A5188="","",DATOS!$A5188&amp;"|"&amp;DATOS!$D5188&amp;"|"&amp;DATOS!$E5188&amp;"|"&amp;DATOS!$I5188)</f>
      </c>
      <c r="G5188">
        <f>IF(DATOS!$A5188="",0,IF(CONFIG_METADATA!$B$4&lt;&gt;"OR+EX",--(DATOS!$G5188=CONFIG_METADATA!$B$4),IF(DATOS!$G5188="EX",1,IF(DATOS!$G5188="OR",--(COUNTIFS(nNIA,DATOS!$A5188,nCURSO,DATOS!$D5188,nESPEC,DATOS!$E5188,nASIG,DATOS!$I5188,nEVAL,"EX")=0),0))))</f>
      </c>
      <c r="H5188">
        <f>IF(DATOS!$G5188&lt;&gt;"EX",0,--(COUNTIFS(nNIA,DATOS!$A5188,nCURSO,DATOS!$D5188,nESPEC,DATOS!$E5188,nASIG,DATOS!$I5188,nEVAL,"OR")=0))</f>
      </c>
      <c r="I5188">
        <f>IF(DATOS!$I5188="","",IFERROR(VLOOKUP(DATOS!$I5188,CONFIG_ASIGNATURAS!$B$2:$J$91,9,FALSE()),""))</f>
      </c>
    </row>
    <row r="5189">
      <c r="F5189">
        <f>IF(DATOS!$A5189="","",DATOS!$A5189&amp;"|"&amp;DATOS!$D5189&amp;"|"&amp;DATOS!$E5189&amp;"|"&amp;DATOS!$I5189)</f>
      </c>
      <c r="G5189">
        <f>IF(DATOS!$A5189="",0,IF(CONFIG_METADATA!$B$4&lt;&gt;"OR+EX",--(DATOS!$G5189=CONFIG_METADATA!$B$4),IF(DATOS!$G5189="EX",1,IF(DATOS!$G5189="OR",--(COUNTIFS(nNIA,DATOS!$A5189,nCURSO,DATOS!$D5189,nESPEC,DATOS!$E5189,nASIG,DATOS!$I5189,nEVAL,"EX")=0),0))))</f>
      </c>
      <c r="H5189">
        <f>IF(DATOS!$G5189&lt;&gt;"EX",0,--(COUNTIFS(nNIA,DATOS!$A5189,nCURSO,DATOS!$D5189,nESPEC,DATOS!$E5189,nASIG,DATOS!$I5189,nEVAL,"OR")=0))</f>
      </c>
      <c r="I5189">
        <f>IF(DATOS!$I5189="","",IFERROR(VLOOKUP(DATOS!$I5189,CONFIG_ASIGNATURAS!$B$2:$J$91,9,FALSE()),""))</f>
      </c>
    </row>
    <row r="5190">
      <c r="F5190">
        <f>IF(DATOS!$A5190="","",DATOS!$A5190&amp;"|"&amp;DATOS!$D5190&amp;"|"&amp;DATOS!$E5190&amp;"|"&amp;DATOS!$I5190)</f>
      </c>
      <c r="G5190">
        <f>IF(DATOS!$A5190="",0,IF(CONFIG_METADATA!$B$4&lt;&gt;"OR+EX",--(DATOS!$G5190=CONFIG_METADATA!$B$4),IF(DATOS!$G5190="EX",1,IF(DATOS!$G5190="OR",--(COUNTIFS(nNIA,DATOS!$A5190,nCURSO,DATOS!$D5190,nESPEC,DATOS!$E5190,nASIG,DATOS!$I5190,nEVAL,"EX")=0),0))))</f>
      </c>
      <c r="H5190">
        <f>IF(DATOS!$G5190&lt;&gt;"EX",0,--(COUNTIFS(nNIA,DATOS!$A5190,nCURSO,DATOS!$D5190,nESPEC,DATOS!$E5190,nASIG,DATOS!$I5190,nEVAL,"OR")=0))</f>
      </c>
      <c r="I5190">
        <f>IF(DATOS!$I5190="","",IFERROR(VLOOKUP(DATOS!$I5190,CONFIG_ASIGNATURAS!$B$2:$J$91,9,FALSE()),""))</f>
      </c>
    </row>
    <row r="5191">
      <c r="F5191">
        <f>IF(DATOS!$A5191="","",DATOS!$A5191&amp;"|"&amp;DATOS!$D5191&amp;"|"&amp;DATOS!$E5191&amp;"|"&amp;DATOS!$I5191)</f>
      </c>
      <c r="G5191">
        <f>IF(DATOS!$A5191="",0,IF(CONFIG_METADATA!$B$4&lt;&gt;"OR+EX",--(DATOS!$G5191=CONFIG_METADATA!$B$4),IF(DATOS!$G5191="EX",1,IF(DATOS!$G5191="OR",--(COUNTIFS(nNIA,DATOS!$A5191,nCURSO,DATOS!$D5191,nESPEC,DATOS!$E5191,nASIG,DATOS!$I5191,nEVAL,"EX")=0),0))))</f>
      </c>
      <c r="H5191">
        <f>IF(DATOS!$G5191&lt;&gt;"EX",0,--(COUNTIFS(nNIA,DATOS!$A5191,nCURSO,DATOS!$D5191,nESPEC,DATOS!$E5191,nASIG,DATOS!$I5191,nEVAL,"OR")=0))</f>
      </c>
      <c r="I5191">
        <f>IF(DATOS!$I5191="","",IFERROR(VLOOKUP(DATOS!$I5191,CONFIG_ASIGNATURAS!$B$2:$J$91,9,FALSE()),""))</f>
      </c>
    </row>
    <row r="5192">
      <c r="F5192">
        <f>IF(DATOS!$A5192="","",DATOS!$A5192&amp;"|"&amp;DATOS!$D5192&amp;"|"&amp;DATOS!$E5192&amp;"|"&amp;DATOS!$I5192)</f>
      </c>
      <c r="G5192">
        <f>IF(DATOS!$A5192="",0,IF(CONFIG_METADATA!$B$4&lt;&gt;"OR+EX",--(DATOS!$G5192=CONFIG_METADATA!$B$4),IF(DATOS!$G5192="EX",1,IF(DATOS!$G5192="OR",--(COUNTIFS(nNIA,DATOS!$A5192,nCURSO,DATOS!$D5192,nESPEC,DATOS!$E5192,nASIG,DATOS!$I5192,nEVAL,"EX")=0),0))))</f>
      </c>
      <c r="H5192">
        <f>IF(DATOS!$G5192&lt;&gt;"EX",0,--(COUNTIFS(nNIA,DATOS!$A5192,nCURSO,DATOS!$D5192,nESPEC,DATOS!$E5192,nASIG,DATOS!$I5192,nEVAL,"OR")=0))</f>
      </c>
      <c r="I5192">
        <f>IF(DATOS!$I5192="","",IFERROR(VLOOKUP(DATOS!$I5192,CONFIG_ASIGNATURAS!$B$2:$J$91,9,FALSE()),""))</f>
      </c>
    </row>
    <row r="5193">
      <c r="F5193">
        <f>IF(DATOS!$A5193="","",DATOS!$A5193&amp;"|"&amp;DATOS!$D5193&amp;"|"&amp;DATOS!$E5193&amp;"|"&amp;DATOS!$I5193)</f>
      </c>
      <c r="G5193">
        <f>IF(DATOS!$A5193="",0,IF(CONFIG_METADATA!$B$4&lt;&gt;"OR+EX",--(DATOS!$G5193=CONFIG_METADATA!$B$4),IF(DATOS!$G5193="EX",1,IF(DATOS!$G5193="OR",--(COUNTIFS(nNIA,DATOS!$A5193,nCURSO,DATOS!$D5193,nESPEC,DATOS!$E5193,nASIG,DATOS!$I5193,nEVAL,"EX")=0),0))))</f>
      </c>
      <c r="H5193">
        <f>IF(DATOS!$G5193&lt;&gt;"EX",0,--(COUNTIFS(nNIA,DATOS!$A5193,nCURSO,DATOS!$D5193,nESPEC,DATOS!$E5193,nASIG,DATOS!$I5193,nEVAL,"OR")=0))</f>
      </c>
      <c r="I5193">
        <f>IF(DATOS!$I5193="","",IFERROR(VLOOKUP(DATOS!$I5193,CONFIG_ASIGNATURAS!$B$2:$J$91,9,FALSE()),""))</f>
      </c>
    </row>
    <row r="5194">
      <c r="F5194">
        <f>IF(DATOS!$A5194="","",DATOS!$A5194&amp;"|"&amp;DATOS!$D5194&amp;"|"&amp;DATOS!$E5194&amp;"|"&amp;DATOS!$I5194)</f>
      </c>
      <c r="G5194">
        <f>IF(DATOS!$A5194="",0,IF(CONFIG_METADATA!$B$4&lt;&gt;"OR+EX",--(DATOS!$G5194=CONFIG_METADATA!$B$4),IF(DATOS!$G5194="EX",1,IF(DATOS!$G5194="OR",--(COUNTIFS(nNIA,DATOS!$A5194,nCURSO,DATOS!$D5194,nESPEC,DATOS!$E5194,nASIG,DATOS!$I5194,nEVAL,"EX")=0),0))))</f>
      </c>
      <c r="H5194">
        <f>IF(DATOS!$G5194&lt;&gt;"EX",0,--(COUNTIFS(nNIA,DATOS!$A5194,nCURSO,DATOS!$D5194,nESPEC,DATOS!$E5194,nASIG,DATOS!$I5194,nEVAL,"OR")=0))</f>
      </c>
      <c r="I5194">
        <f>IF(DATOS!$I5194="","",IFERROR(VLOOKUP(DATOS!$I5194,CONFIG_ASIGNATURAS!$B$2:$J$91,9,FALSE()),""))</f>
      </c>
    </row>
    <row r="5195">
      <c r="F5195">
        <f>IF(DATOS!$A5195="","",DATOS!$A5195&amp;"|"&amp;DATOS!$D5195&amp;"|"&amp;DATOS!$E5195&amp;"|"&amp;DATOS!$I5195)</f>
      </c>
      <c r="G5195">
        <f>IF(DATOS!$A5195="",0,IF(CONFIG_METADATA!$B$4&lt;&gt;"OR+EX",--(DATOS!$G5195=CONFIG_METADATA!$B$4),IF(DATOS!$G5195="EX",1,IF(DATOS!$G5195="OR",--(COUNTIFS(nNIA,DATOS!$A5195,nCURSO,DATOS!$D5195,nESPEC,DATOS!$E5195,nASIG,DATOS!$I5195,nEVAL,"EX")=0),0))))</f>
      </c>
      <c r="H5195">
        <f>IF(DATOS!$G5195&lt;&gt;"EX",0,--(COUNTIFS(nNIA,DATOS!$A5195,nCURSO,DATOS!$D5195,nESPEC,DATOS!$E5195,nASIG,DATOS!$I5195,nEVAL,"OR")=0))</f>
      </c>
      <c r="I5195">
        <f>IF(DATOS!$I5195="","",IFERROR(VLOOKUP(DATOS!$I5195,CONFIG_ASIGNATURAS!$B$2:$J$91,9,FALSE()),""))</f>
      </c>
    </row>
    <row r="5196">
      <c r="F5196">
        <f>IF(DATOS!$A5196="","",DATOS!$A5196&amp;"|"&amp;DATOS!$D5196&amp;"|"&amp;DATOS!$E5196&amp;"|"&amp;DATOS!$I5196)</f>
      </c>
      <c r="G5196">
        <f>IF(DATOS!$A5196="",0,IF(CONFIG_METADATA!$B$4&lt;&gt;"OR+EX",--(DATOS!$G5196=CONFIG_METADATA!$B$4),IF(DATOS!$G5196="EX",1,IF(DATOS!$G5196="OR",--(COUNTIFS(nNIA,DATOS!$A5196,nCURSO,DATOS!$D5196,nESPEC,DATOS!$E5196,nASIG,DATOS!$I5196,nEVAL,"EX")=0),0))))</f>
      </c>
      <c r="H5196">
        <f>IF(DATOS!$G5196&lt;&gt;"EX",0,--(COUNTIFS(nNIA,DATOS!$A5196,nCURSO,DATOS!$D5196,nESPEC,DATOS!$E5196,nASIG,DATOS!$I5196,nEVAL,"OR")=0))</f>
      </c>
      <c r="I5196">
        <f>IF(DATOS!$I5196="","",IFERROR(VLOOKUP(DATOS!$I5196,CONFIG_ASIGNATURAS!$B$2:$J$91,9,FALSE()),""))</f>
      </c>
    </row>
    <row r="5197">
      <c r="F5197">
        <f>IF(DATOS!$A5197="","",DATOS!$A5197&amp;"|"&amp;DATOS!$D5197&amp;"|"&amp;DATOS!$E5197&amp;"|"&amp;DATOS!$I5197)</f>
      </c>
      <c r="G5197">
        <f>IF(DATOS!$A5197="",0,IF(CONFIG_METADATA!$B$4&lt;&gt;"OR+EX",--(DATOS!$G5197=CONFIG_METADATA!$B$4),IF(DATOS!$G5197="EX",1,IF(DATOS!$G5197="OR",--(COUNTIFS(nNIA,DATOS!$A5197,nCURSO,DATOS!$D5197,nESPEC,DATOS!$E5197,nASIG,DATOS!$I5197,nEVAL,"EX")=0),0))))</f>
      </c>
      <c r="H5197">
        <f>IF(DATOS!$G5197&lt;&gt;"EX",0,--(COUNTIFS(nNIA,DATOS!$A5197,nCURSO,DATOS!$D5197,nESPEC,DATOS!$E5197,nASIG,DATOS!$I5197,nEVAL,"OR")=0))</f>
      </c>
      <c r="I5197">
        <f>IF(DATOS!$I5197="","",IFERROR(VLOOKUP(DATOS!$I5197,CONFIG_ASIGNATURAS!$B$2:$J$91,9,FALSE()),""))</f>
      </c>
    </row>
    <row r="5198">
      <c r="F5198">
        <f>IF(DATOS!$A5198="","",DATOS!$A5198&amp;"|"&amp;DATOS!$D5198&amp;"|"&amp;DATOS!$E5198&amp;"|"&amp;DATOS!$I5198)</f>
      </c>
      <c r="G5198">
        <f>IF(DATOS!$A5198="",0,IF(CONFIG_METADATA!$B$4&lt;&gt;"OR+EX",--(DATOS!$G5198=CONFIG_METADATA!$B$4),IF(DATOS!$G5198="EX",1,IF(DATOS!$G5198="OR",--(COUNTIFS(nNIA,DATOS!$A5198,nCURSO,DATOS!$D5198,nESPEC,DATOS!$E5198,nASIG,DATOS!$I5198,nEVAL,"EX")=0),0))))</f>
      </c>
      <c r="H5198">
        <f>IF(DATOS!$G5198&lt;&gt;"EX",0,--(COUNTIFS(nNIA,DATOS!$A5198,nCURSO,DATOS!$D5198,nESPEC,DATOS!$E5198,nASIG,DATOS!$I5198,nEVAL,"OR")=0))</f>
      </c>
      <c r="I5198">
        <f>IF(DATOS!$I5198="","",IFERROR(VLOOKUP(DATOS!$I5198,CONFIG_ASIGNATURAS!$B$2:$J$91,9,FALSE()),""))</f>
      </c>
    </row>
    <row r="5199">
      <c r="F5199">
        <f>IF(DATOS!$A5199="","",DATOS!$A5199&amp;"|"&amp;DATOS!$D5199&amp;"|"&amp;DATOS!$E5199&amp;"|"&amp;DATOS!$I5199)</f>
      </c>
      <c r="G5199">
        <f>IF(DATOS!$A5199="",0,IF(CONFIG_METADATA!$B$4&lt;&gt;"OR+EX",--(DATOS!$G5199=CONFIG_METADATA!$B$4),IF(DATOS!$G5199="EX",1,IF(DATOS!$G5199="OR",--(COUNTIFS(nNIA,DATOS!$A5199,nCURSO,DATOS!$D5199,nESPEC,DATOS!$E5199,nASIG,DATOS!$I5199,nEVAL,"EX")=0),0))))</f>
      </c>
      <c r="H5199">
        <f>IF(DATOS!$G5199&lt;&gt;"EX",0,--(COUNTIFS(nNIA,DATOS!$A5199,nCURSO,DATOS!$D5199,nESPEC,DATOS!$E5199,nASIG,DATOS!$I5199,nEVAL,"OR")=0))</f>
      </c>
      <c r="I5199">
        <f>IF(DATOS!$I5199="","",IFERROR(VLOOKUP(DATOS!$I5199,CONFIG_ASIGNATURAS!$B$2:$J$91,9,FALSE()),""))</f>
      </c>
    </row>
    <row r="5200">
      <c r="F5200">
        <f>IF(DATOS!$A5200="","",DATOS!$A5200&amp;"|"&amp;DATOS!$D5200&amp;"|"&amp;DATOS!$E5200&amp;"|"&amp;DATOS!$I5200)</f>
      </c>
      <c r="G5200">
        <f>IF(DATOS!$A5200="",0,IF(CONFIG_METADATA!$B$4&lt;&gt;"OR+EX",--(DATOS!$G5200=CONFIG_METADATA!$B$4),IF(DATOS!$G5200="EX",1,IF(DATOS!$G5200="OR",--(COUNTIFS(nNIA,DATOS!$A5200,nCURSO,DATOS!$D5200,nESPEC,DATOS!$E5200,nASIG,DATOS!$I5200,nEVAL,"EX")=0),0))))</f>
      </c>
      <c r="H5200">
        <f>IF(DATOS!$G5200&lt;&gt;"EX",0,--(COUNTIFS(nNIA,DATOS!$A5200,nCURSO,DATOS!$D5200,nESPEC,DATOS!$E5200,nASIG,DATOS!$I5200,nEVAL,"OR")=0))</f>
      </c>
      <c r="I5200">
        <f>IF(DATOS!$I5200="","",IFERROR(VLOOKUP(DATOS!$I5200,CONFIG_ASIGNATURAS!$B$2:$J$91,9,FALSE()),""))</f>
      </c>
    </row>
    <row r="5201">
      <c r="F5201">
        <f>IF(DATOS!$A5201="","",DATOS!$A5201&amp;"|"&amp;DATOS!$D5201&amp;"|"&amp;DATOS!$E5201&amp;"|"&amp;DATOS!$I5201)</f>
      </c>
      <c r="G5201">
        <f>IF(DATOS!$A5201="",0,IF(CONFIG_METADATA!$B$4&lt;&gt;"OR+EX",--(DATOS!$G5201=CONFIG_METADATA!$B$4),IF(DATOS!$G5201="EX",1,IF(DATOS!$G5201="OR",--(COUNTIFS(nNIA,DATOS!$A5201,nCURSO,DATOS!$D5201,nESPEC,DATOS!$E5201,nASIG,DATOS!$I5201,nEVAL,"EX")=0),0))))</f>
      </c>
      <c r="H5201">
        <f>IF(DATOS!$G5201&lt;&gt;"EX",0,--(COUNTIFS(nNIA,DATOS!$A5201,nCURSO,DATOS!$D5201,nESPEC,DATOS!$E5201,nASIG,DATOS!$I5201,nEVAL,"OR")=0))</f>
      </c>
      <c r="I5201">
        <f>IF(DATOS!$I5201="","",IFERROR(VLOOKUP(DATOS!$I5201,CONFIG_ASIGNATURAS!$B$2:$J$91,9,FALSE()),""))</f>
      </c>
    </row>
    <row r="5202">
      <c r="F5202">
        <f>IF(DATOS!$A5202="","",DATOS!$A5202&amp;"|"&amp;DATOS!$D5202&amp;"|"&amp;DATOS!$E5202&amp;"|"&amp;DATOS!$I5202)</f>
      </c>
      <c r="G5202">
        <f>IF(DATOS!$A5202="",0,IF(CONFIG_METADATA!$B$4&lt;&gt;"OR+EX",--(DATOS!$G5202=CONFIG_METADATA!$B$4),IF(DATOS!$G5202="EX",1,IF(DATOS!$G5202="OR",--(COUNTIFS(nNIA,DATOS!$A5202,nCURSO,DATOS!$D5202,nESPEC,DATOS!$E5202,nASIG,DATOS!$I5202,nEVAL,"EX")=0),0))))</f>
      </c>
      <c r="H5202">
        <f>IF(DATOS!$G5202&lt;&gt;"EX",0,--(COUNTIFS(nNIA,DATOS!$A5202,nCURSO,DATOS!$D5202,nESPEC,DATOS!$E5202,nASIG,DATOS!$I5202,nEVAL,"OR")=0))</f>
      </c>
      <c r="I5202">
        <f>IF(DATOS!$I5202="","",IFERROR(VLOOKUP(DATOS!$I5202,CONFIG_ASIGNATURAS!$B$2:$J$91,9,FALSE()),""))</f>
      </c>
    </row>
    <row r="5203">
      <c r="F5203">
        <f>IF(DATOS!$A5203="","",DATOS!$A5203&amp;"|"&amp;DATOS!$D5203&amp;"|"&amp;DATOS!$E5203&amp;"|"&amp;DATOS!$I5203)</f>
      </c>
      <c r="G5203">
        <f>IF(DATOS!$A5203="",0,IF(CONFIG_METADATA!$B$4&lt;&gt;"OR+EX",--(DATOS!$G5203=CONFIG_METADATA!$B$4),IF(DATOS!$G5203="EX",1,IF(DATOS!$G5203="OR",--(COUNTIFS(nNIA,DATOS!$A5203,nCURSO,DATOS!$D5203,nESPEC,DATOS!$E5203,nASIG,DATOS!$I5203,nEVAL,"EX")=0),0))))</f>
      </c>
      <c r="H5203">
        <f>IF(DATOS!$G5203&lt;&gt;"EX",0,--(COUNTIFS(nNIA,DATOS!$A5203,nCURSO,DATOS!$D5203,nESPEC,DATOS!$E5203,nASIG,DATOS!$I5203,nEVAL,"OR")=0))</f>
      </c>
      <c r="I5203">
        <f>IF(DATOS!$I5203="","",IFERROR(VLOOKUP(DATOS!$I5203,CONFIG_ASIGNATURAS!$B$2:$J$91,9,FALSE()),""))</f>
      </c>
    </row>
    <row r="5204">
      <c r="F5204">
        <f>IF(DATOS!$A5204="","",DATOS!$A5204&amp;"|"&amp;DATOS!$D5204&amp;"|"&amp;DATOS!$E5204&amp;"|"&amp;DATOS!$I5204)</f>
      </c>
      <c r="G5204">
        <f>IF(DATOS!$A5204="",0,IF(CONFIG_METADATA!$B$4&lt;&gt;"OR+EX",--(DATOS!$G5204=CONFIG_METADATA!$B$4),IF(DATOS!$G5204="EX",1,IF(DATOS!$G5204="OR",--(COUNTIFS(nNIA,DATOS!$A5204,nCURSO,DATOS!$D5204,nESPEC,DATOS!$E5204,nASIG,DATOS!$I5204,nEVAL,"EX")=0),0))))</f>
      </c>
      <c r="H5204">
        <f>IF(DATOS!$G5204&lt;&gt;"EX",0,--(COUNTIFS(nNIA,DATOS!$A5204,nCURSO,DATOS!$D5204,nESPEC,DATOS!$E5204,nASIG,DATOS!$I5204,nEVAL,"OR")=0))</f>
      </c>
      <c r="I5204">
        <f>IF(DATOS!$I5204="","",IFERROR(VLOOKUP(DATOS!$I5204,CONFIG_ASIGNATURAS!$B$2:$J$91,9,FALSE()),""))</f>
      </c>
    </row>
    <row r="5205">
      <c r="F5205">
        <f>IF(DATOS!$A5205="","",DATOS!$A5205&amp;"|"&amp;DATOS!$D5205&amp;"|"&amp;DATOS!$E5205&amp;"|"&amp;DATOS!$I5205)</f>
      </c>
      <c r="G5205">
        <f>IF(DATOS!$A5205="",0,IF(CONFIG_METADATA!$B$4&lt;&gt;"OR+EX",--(DATOS!$G5205=CONFIG_METADATA!$B$4),IF(DATOS!$G5205="EX",1,IF(DATOS!$G5205="OR",--(COUNTIFS(nNIA,DATOS!$A5205,nCURSO,DATOS!$D5205,nESPEC,DATOS!$E5205,nASIG,DATOS!$I5205,nEVAL,"EX")=0),0))))</f>
      </c>
      <c r="H5205">
        <f>IF(DATOS!$G5205&lt;&gt;"EX",0,--(COUNTIFS(nNIA,DATOS!$A5205,nCURSO,DATOS!$D5205,nESPEC,DATOS!$E5205,nASIG,DATOS!$I5205,nEVAL,"OR")=0))</f>
      </c>
      <c r="I5205">
        <f>IF(DATOS!$I5205="","",IFERROR(VLOOKUP(DATOS!$I5205,CONFIG_ASIGNATURAS!$B$2:$J$91,9,FALSE()),""))</f>
      </c>
    </row>
    <row r="5206">
      <c r="F5206">
        <f>IF(DATOS!$A5206="","",DATOS!$A5206&amp;"|"&amp;DATOS!$D5206&amp;"|"&amp;DATOS!$E5206&amp;"|"&amp;DATOS!$I5206)</f>
      </c>
      <c r="G5206">
        <f>IF(DATOS!$A5206="",0,IF(CONFIG_METADATA!$B$4&lt;&gt;"OR+EX",--(DATOS!$G5206=CONFIG_METADATA!$B$4),IF(DATOS!$G5206="EX",1,IF(DATOS!$G5206="OR",--(COUNTIFS(nNIA,DATOS!$A5206,nCURSO,DATOS!$D5206,nESPEC,DATOS!$E5206,nASIG,DATOS!$I5206,nEVAL,"EX")=0),0))))</f>
      </c>
      <c r="H5206">
        <f>IF(DATOS!$G5206&lt;&gt;"EX",0,--(COUNTIFS(nNIA,DATOS!$A5206,nCURSO,DATOS!$D5206,nESPEC,DATOS!$E5206,nASIG,DATOS!$I5206,nEVAL,"OR")=0))</f>
      </c>
      <c r="I5206">
        <f>IF(DATOS!$I5206="","",IFERROR(VLOOKUP(DATOS!$I5206,CONFIG_ASIGNATURAS!$B$2:$J$91,9,FALSE()),""))</f>
      </c>
    </row>
    <row r="5207">
      <c r="F5207">
        <f>IF(DATOS!$A5207="","",DATOS!$A5207&amp;"|"&amp;DATOS!$D5207&amp;"|"&amp;DATOS!$E5207&amp;"|"&amp;DATOS!$I5207)</f>
      </c>
      <c r="G5207">
        <f>IF(DATOS!$A5207="",0,IF(CONFIG_METADATA!$B$4&lt;&gt;"OR+EX",--(DATOS!$G5207=CONFIG_METADATA!$B$4),IF(DATOS!$G5207="EX",1,IF(DATOS!$G5207="OR",--(COUNTIFS(nNIA,DATOS!$A5207,nCURSO,DATOS!$D5207,nESPEC,DATOS!$E5207,nASIG,DATOS!$I5207,nEVAL,"EX")=0),0))))</f>
      </c>
      <c r="H5207">
        <f>IF(DATOS!$G5207&lt;&gt;"EX",0,--(COUNTIFS(nNIA,DATOS!$A5207,nCURSO,DATOS!$D5207,nESPEC,DATOS!$E5207,nASIG,DATOS!$I5207,nEVAL,"OR")=0))</f>
      </c>
      <c r="I5207">
        <f>IF(DATOS!$I5207="","",IFERROR(VLOOKUP(DATOS!$I5207,CONFIG_ASIGNATURAS!$B$2:$J$91,9,FALSE()),""))</f>
      </c>
    </row>
    <row r="5208">
      <c r="F5208">
        <f>IF(DATOS!$A5208="","",DATOS!$A5208&amp;"|"&amp;DATOS!$D5208&amp;"|"&amp;DATOS!$E5208&amp;"|"&amp;DATOS!$I5208)</f>
      </c>
      <c r="G5208">
        <f>IF(DATOS!$A5208="",0,IF(CONFIG_METADATA!$B$4&lt;&gt;"OR+EX",--(DATOS!$G5208=CONFIG_METADATA!$B$4),IF(DATOS!$G5208="EX",1,IF(DATOS!$G5208="OR",--(COUNTIFS(nNIA,DATOS!$A5208,nCURSO,DATOS!$D5208,nESPEC,DATOS!$E5208,nASIG,DATOS!$I5208,nEVAL,"EX")=0),0))))</f>
      </c>
      <c r="H5208">
        <f>IF(DATOS!$G5208&lt;&gt;"EX",0,--(COUNTIFS(nNIA,DATOS!$A5208,nCURSO,DATOS!$D5208,nESPEC,DATOS!$E5208,nASIG,DATOS!$I5208,nEVAL,"OR")=0))</f>
      </c>
      <c r="I5208">
        <f>IF(DATOS!$I5208="","",IFERROR(VLOOKUP(DATOS!$I5208,CONFIG_ASIGNATURAS!$B$2:$J$91,9,FALSE()),""))</f>
      </c>
    </row>
    <row r="5209">
      <c r="F5209">
        <f>IF(DATOS!$A5209="","",DATOS!$A5209&amp;"|"&amp;DATOS!$D5209&amp;"|"&amp;DATOS!$E5209&amp;"|"&amp;DATOS!$I5209)</f>
      </c>
      <c r="G5209">
        <f>IF(DATOS!$A5209="",0,IF(CONFIG_METADATA!$B$4&lt;&gt;"OR+EX",--(DATOS!$G5209=CONFIG_METADATA!$B$4),IF(DATOS!$G5209="EX",1,IF(DATOS!$G5209="OR",--(COUNTIFS(nNIA,DATOS!$A5209,nCURSO,DATOS!$D5209,nESPEC,DATOS!$E5209,nASIG,DATOS!$I5209,nEVAL,"EX")=0),0))))</f>
      </c>
      <c r="H5209">
        <f>IF(DATOS!$G5209&lt;&gt;"EX",0,--(COUNTIFS(nNIA,DATOS!$A5209,nCURSO,DATOS!$D5209,nESPEC,DATOS!$E5209,nASIG,DATOS!$I5209,nEVAL,"OR")=0))</f>
      </c>
      <c r="I5209">
        <f>IF(DATOS!$I5209="","",IFERROR(VLOOKUP(DATOS!$I5209,CONFIG_ASIGNATURAS!$B$2:$J$91,9,FALSE()),""))</f>
      </c>
    </row>
    <row r="5210">
      <c r="F5210">
        <f>IF(DATOS!$A5210="","",DATOS!$A5210&amp;"|"&amp;DATOS!$D5210&amp;"|"&amp;DATOS!$E5210&amp;"|"&amp;DATOS!$I5210)</f>
      </c>
      <c r="G5210">
        <f>IF(DATOS!$A5210="",0,IF(CONFIG_METADATA!$B$4&lt;&gt;"OR+EX",--(DATOS!$G5210=CONFIG_METADATA!$B$4),IF(DATOS!$G5210="EX",1,IF(DATOS!$G5210="OR",--(COUNTIFS(nNIA,DATOS!$A5210,nCURSO,DATOS!$D5210,nESPEC,DATOS!$E5210,nASIG,DATOS!$I5210,nEVAL,"EX")=0),0))))</f>
      </c>
      <c r="H5210">
        <f>IF(DATOS!$G5210&lt;&gt;"EX",0,--(COUNTIFS(nNIA,DATOS!$A5210,nCURSO,DATOS!$D5210,nESPEC,DATOS!$E5210,nASIG,DATOS!$I5210,nEVAL,"OR")=0))</f>
      </c>
      <c r="I5210">
        <f>IF(DATOS!$I5210="","",IFERROR(VLOOKUP(DATOS!$I5210,CONFIG_ASIGNATURAS!$B$2:$J$91,9,FALSE()),""))</f>
      </c>
    </row>
    <row r="5211">
      <c r="F5211">
        <f>IF(DATOS!$A5211="","",DATOS!$A5211&amp;"|"&amp;DATOS!$D5211&amp;"|"&amp;DATOS!$E5211&amp;"|"&amp;DATOS!$I5211)</f>
      </c>
      <c r="G5211">
        <f>IF(DATOS!$A5211="",0,IF(CONFIG_METADATA!$B$4&lt;&gt;"OR+EX",--(DATOS!$G5211=CONFIG_METADATA!$B$4),IF(DATOS!$G5211="EX",1,IF(DATOS!$G5211="OR",--(COUNTIFS(nNIA,DATOS!$A5211,nCURSO,DATOS!$D5211,nESPEC,DATOS!$E5211,nASIG,DATOS!$I5211,nEVAL,"EX")=0),0))))</f>
      </c>
      <c r="H5211">
        <f>IF(DATOS!$G5211&lt;&gt;"EX",0,--(COUNTIFS(nNIA,DATOS!$A5211,nCURSO,DATOS!$D5211,nESPEC,DATOS!$E5211,nASIG,DATOS!$I5211,nEVAL,"OR")=0))</f>
      </c>
      <c r="I5211">
        <f>IF(DATOS!$I5211="","",IFERROR(VLOOKUP(DATOS!$I5211,CONFIG_ASIGNATURAS!$B$2:$J$91,9,FALSE()),""))</f>
      </c>
    </row>
    <row r="5212">
      <c r="F5212">
        <f>IF(DATOS!$A5212="","",DATOS!$A5212&amp;"|"&amp;DATOS!$D5212&amp;"|"&amp;DATOS!$E5212&amp;"|"&amp;DATOS!$I5212)</f>
      </c>
      <c r="G5212">
        <f>IF(DATOS!$A5212="",0,IF(CONFIG_METADATA!$B$4&lt;&gt;"OR+EX",--(DATOS!$G5212=CONFIG_METADATA!$B$4),IF(DATOS!$G5212="EX",1,IF(DATOS!$G5212="OR",--(COUNTIFS(nNIA,DATOS!$A5212,nCURSO,DATOS!$D5212,nESPEC,DATOS!$E5212,nASIG,DATOS!$I5212,nEVAL,"EX")=0),0))))</f>
      </c>
      <c r="H5212">
        <f>IF(DATOS!$G5212&lt;&gt;"EX",0,--(COUNTIFS(nNIA,DATOS!$A5212,nCURSO,DATOS!$D5212,nESPEC,DATOS!$E5212,nASIG,DATOS!$I5212,nEVAL,"OR")=0))</f>
      </c>
      <c r="I5212">
        <f>IF(DATOS!$I5212="","",IFERROR(VLOOKUP(DATOS!$I5212,CONFIG_ASIGNATURAS!$B$2:$J$91,9,FALSE()),""))</f>
      </c>
    </row>
    <row r="5213">
      <c r="F5213">
        <f>IF(DATOS!$A5213="","",DATOS!$A5213&amp;"|"&amp;DATOS!$D5213&amp;"|"&amp;DATOS!$E5213&amp;"|"&amp;DATOS!$I5213)</f>
      </c>
      <c r="G5213">
        <f>IF(DATOS!$A5213="",0,IF(CONFIG_METADATA!$B$4&lt;&gt;"OR+EX",--(DATOS!$G5213=CONFIG_METADATA!$B$4),IF(DATOS!$G5213="EX",1,IF(DATOS!$G5213="OR",--(COUNTIFS(nNIA,DATOS!$A5213,nCURSO,DATOS!$D5213,nESPEC,DATOS!$E5213,nASIG,DATOS!$I5213,nEVAL,"EX")=0),0))))</f>
      </c>
      <c r="H5213">
        <f>IF(DATOS!$G5213&lt;&gt;"EX",0,--(COUNTIFS(nNIA,DATOS!$A5213,nCURSO,DATOS!$D5213,nESPEC,DATOS!$E5213,nASIG,DATOS!$I5213,nEVAL,"OR")=0))</f>
      </c>
      <c r="I5213">
        <f>IF(DATOS!$I5213="","",IFERROR(VLOOKUP(DATOS!$I5213,CONFIG_ASIGNATURAS!$B$2:$J$91,9,FALSE()),""))</f>
      </c>
    </row>
    <row r="5214">
      <c r="F5214">
        <f>IF(DATOS!$A5214="","",DATOS!$A5214&amp;"|"&amp;DATOS!$D5214&amp;"|"&amp;DATOS!$E5214&amp;"|"&amp;DATOS!$I5214)</f>
      </c>
      <c r="G5214">
        <f>IF(DATOS!$A5214="",0,IF(CONFIG_METADATA!$B$4&lt;&gt;"OR+EX",--(DATOS!$G5214=CONFIG_METADATA!$B$4),IF(DATOS!$G5214="EX",1,IF(DATOS!$G5214="OR",--(COUNTIFS(nNIA,DATOS!$A5214,nCURSO,DATOS!$D5214,nESPEC,DATOS!$E5214,nASIG,DATOS!$I5214,nEVAL,"EX")=0),0))))</f>
      </c>
      <c r="H5214">
        <f>IF(DATOS!$G5214&lt;&gt;"EX",0,--(COUNTIFS(nNIA,DATOS!$A5214,nCURSO,DATOS!$D5214,nESPEC,DATOS!$E5214,nASIG,DATOS!$I5214,nEVAL,"OR")=0))</f>
      </c>
      <c r="I5214">
        <f>IF(DATOS!$I5214="","",IFERROR(VLOOKUP(DATOS!$I5214,CONFIG_ASIGNATURAS!$B$2:$J$91,9,FALSE()),""))</f>
      </c>
    </row>
    <row r="5215">
      <c r="F5215">
        <f>IF(DATOS!$A5215="","",DATOS!$A5215&amp;"|"&amp;DATOS!$D5215&amp;"|"&amp;DATOS!$E5215&amp;"|"&amp;DATOS!$I5215)</f>
      </c>
      <c r="G5215">
        <f>IF(DATOS!$A5215="",0,IF(CONFIG_METADATA!$B$4&lt;&gt;"OR+EX",--(DATOS!$G5215=CONFIG_METADATA!$B$4),IF(DATOS!$G5215="EX",1,IF(DATOS!$G5215="OR",--(COUNTIFS(nNIA,DATOS!$A5215,nCURSO,DATOS!$D5215,nESPEC,DATOS!$E5215,nASIG,DATOS!$I5215,nEVAL,"EX")=0),0))))</f>
      </c>
      <c r="H5215">
        <f>IF(DATOS!$G5215&lt;&gt;"EX",0,--(COUNTIFS(nNIA,DATOS!$A5215,nCURSO,DATOS!$D5215,nESPEC,DATOS!$E5215,nASIG,DATOS!$I5215,nEVAL,"OR")=0))</f>
      </c>
      <c r="I5215">
        <f>IF(DATOS!$I5215="","",IFERROR(VLOOKUP(DATOS!$I5215,CONFIG_ASIGNATURAS!$B$2:$J$91,9,FALSE()),""))</f>
      </c>
    </row>
    <row r="5216">
      <c r="F5216">
        <f>IF(DATOS!$A5216="","",DATOS!$A5216&amp;"|"&amp;DATOS!$D5216&amp;"|"&amp;DATOS!$E5216&amp;"|"&amp;DATOS!$I5216)</f>
      </c>
      <c r="G5216">
        <f>IF(DATOS!$A5216="",0,IF(CONFIG_METADATA!$B$4&lt;&gt;"OR+EX",--(DATOS!$G5216=CONFIG_METADATA!$B$4),IF(DATOS!$G5216="EX",1,IF(DATOS!$G5216="OR",--(COUNTIFS(nNIA,DATOS!$A5216,nCURSO,DATOS!$D5216,nESPEC,DATOS!$E5216,nASIG,DATOS!$I5216,nEVAL,"EX")=0),0))))</f>
      </c>
      <c r="H5216">
        <f>IF(DATOS!$G5216&lt;&gt;"EX",0,--(COUNTIFS(nNIA,DATOS!$A5216,nCURSO,DATOS!$D5216,nESPEC,DATOS!$E5216,nASIG,DATOS!$I5216,nEVAL,"OR")=0))</f>
      </c>
      <c r="I5216">
        <f>IF(DATOS!$I5216="","",IFERROR(VLOOKUP(DATOS!$I5216,CONFIG_ASIGNATURAS!$B$2:$J$91,9,FALSE()),""))</f>
      </c>
    </row>
    <row r="5217">
      <c r="F5217">
        <f>IF(DATOS!$A5217="","",DATOS!$A5217&amp;"|"&amp;DATOS!$D5217&amp;"|"&amp;DATOS!$E5217&amp;"|"&amp;DATOS!$I5217)</f>
      </c>
      <c r="G5217">
        <f>IF(DATOS!$A5217="",0,IF(CONFIG_METADATA!$B$4&lt;&gt;"OR+EX",--(DATOS!$G5217=CONFIG_METADATA!$B$4),IF(DATOS!$G5217="EX",1,IF(DATOS!$G5217="OR",--(COUNTIFS(nNIA,DATOS!$A5217,nCURSO,DATOS!$D5217,nESPEC,DATOS!$E5217,nASIG,DATOS!$I5217,nEVAL,"EX")=0),0))))</f>
      </c>
      <c r="H5217">
        <f>IF(DATOS!$G5217&lt;&gt;"EX",0,--(COUNTIFS(nNIA,DATOS!$A5217,nCURSO,DATOS!$D5217,nESPEC,DATOS!$E5217,nASIG,DATOS!$I5217,nEVAL,"OR")=0))</f>
      </c>
      <c r="I5217">
        <f>IF(DATOS!$I5217="","",IFERROR(VLOOKUP(DATOS!$I5217,CONFIG_ASIGNATURAS!$B$2:$J$91,9,FALSE()),""))</f>
      </c>
    </row>
    <row r="5218">
      <c r="F5218">
        <f>IF(DATOS!$A5218="","",DATOS!$A5218&amp;"|"&amp;DATOS!$D5218&amp;"|"&amp;DATOS!$E5218&amp;"|"&amp;DATOS!$I5218)</f>
      </c>
      <c r="G5218">
        <f>IF(DATOS!$A5218="",0,IF(CONFIG_METADATA!$B$4&lt;&gt;"OR+EX",--(DATOS!$G5218=CONFIG_METADATA!$B$4),IF(DATOS!$G5218="EX",1,IF(DATOS!$G5218="OR",--(COUNTIFS(nNIA,DATOS!$A5218,nCURSO,DATOS!$D5218,nESPEC,DATOS!$E5218,nASIG,DATOS!$I5218,nEVAL,"EX")=0),0))))</f>
      </c>
      <c r="H5218">
        <f>IF(DATOS!$G5218&lt;&gt;"EX",0,--(COUNTIFS(nNIA,DATOS!$A5218,nCURSO,DATOS!$D5218,nESPEC,DATOS!$E5218,nASIG,DATOS!$I5218,nEVAL,"OR")=0))</f>
      </c>
      <c r="I5218">
        <f>IF(DATOS!$I5218="","",IFERROR(VLOOKUP(DATOS!$I5218,CONFIG_ASIGNATURAS!$B$2:$J$91,9,FALSE()),""))</f>
      </c>
    </row>
    <row r="5219">
      <c r="F5219">
        <f>IF(DATOS!$A5219="","",DATOS!$A5219&amp;"|"&amp;DATOS!$D5219&amp;"|"&amp;DATOS!$E5219&amp;"|"&amp;DATOS!$I5219)</f>
      </c>
      <c r="G5219">
        <f>IF(DATOS!$A5219="",0,IF(CONFIG_METADATA!$B$4&lt;&gt;"OR+EX",--(DATOS!$G5219=CONFIG_METADATA!$B$4),IF(DATOS!$G5219="EX",1,IF(DATOS!$G5219="OR",--(COUNTIFS(nNIA,DATOS!$A5219,nCURSO,DATOS!$D5219,nESPEC,DATOS!$E5219,nASIG,DATOS!$I5219,nEVAL,"EX")=0),0))))</f>
      </c>
      <c r="H5219">
        <f>IF(DATOS!$G5219&lt;&gt;"EX",0,--(COUNTIFS(nNIA,DATOS!$A5219,nCURSO,DATOS!$D5219,nESPEC,DATOS!$E5219,nASIG,DATOS!$I5219,nEVAL,"OR")=0))</f>
      </c>
      <c r="I5219">
        <f>IF(DATOS!$I5219="","",IFERROR(VLOOKUP(DATOS!$I5219,CONFIG_ASIGNATURAS!$B$2:$J$91,9,FALSE()),""))</f>
      </c>
    </row>
    <row r="5220">
      <c r="F5220">
        <f>IF(DATOS!$A5220="","",DATOS!$A5220&amp;"|"&amp;DATOS!$D5220&amp;"|"&amp;DATOS!$E5220&amp;"|"&amp;DATOS!$I5220)</f>
      </c>
      <c r="G5220">
        <f>IF(DATOS!$A5220="",0,IF(CONFIG_METADATA!$B$4&lt;&gt;"OR+EX",--(DATOS!$G5220=CONFIG_METADATA!$B$4),IF(DATOS!$G5220="EX",1,IF(DATOS!$G5220="OR",--(COUNTIFS(nNIA,DATOS!$A5220,nCURSO,DATOS!$D5220,nESPEC,DATOS!$E5220,nASIG,DATOS!$I5220,nEVAL,"EX")=0),0))))</f>
      </c>
      <c r="H5220">
        <f>IF(DATOS!$G5220&lt;&gt;"EX",0,--(COUNTIFS(nNIA,DATOS!$A5220,nCURSO,DATOS!$D5220,nESPEC,DATOS!$E5220,nASIG,DATOS!$I5220,nEVAL,"OR")=0))</f>
      </c>
      <c r="I5220">
        <f>IF(DATOS!$I5220="","",IFERROR(VLOOKUP(DATOS!$I5220,CONFIG_ASIGNATURAS!$B$2:$J$91,9,FALSE()),""))</f>
      </c>
    </row>
    <row r="5221">
      <c r="F5221">
        <f>IF(DATOS!$A5221="","",DATOS!$A5221&amp;"|"&amp;DATOS!$D5221&amp;"|"&amp;DATOS!$E5221&amp;"|"&amp;DATOS!$I5221)</f>
      </c>
      <c r="G5221">
        <f>IF(DATOS!$A5221="",0,IF(CONFIG_METADATA!$B$4&lt;&gt;"OR+EX",--(DATOS!$G5221=CONFIG_METADATA!$B$4),IF(DATOS!$G5221="EX",1,IF(DATOS!$G5221="OR",--(COUNTIFS(nNIA,DATOS!$A5221,nCURSO,DATOS!$D5221,nESPEC,DATOS!$E5221,nASIG,DATOS!$I5221,nEVAL,"EX")=0),0))))</f>
      </c>
      <c r="H5221">
        <f>IF(DATOS!$G5221&lt;&gt;"EX",0,--(COUNTIFS(nNIA,DATOS!$A5221,nCURSO,DATOS!$D5221,nESPEC,DATOS!$E5221,nASIG,DATOS!$I5221,nEVAL,"OR")=0))</f>
      </c>
      <c r="I5221">
        <f>IF(DATOS!$I5221="","",IFERROR(VLOOKUP(DATOS!$I5221,CONFIG_ASIGNATURAS!$B$2:$J$91,9,FALSE()),""))</f>
      </c>
    </row>
    <row r="5222">
      <c r="F5222">
        <f>IF(DATOS!$A5222="","",DATOS!$A5222&amp;"|"&amp;DATOS!$D5222&amp;"|"&amp;DATOS!$E5222&amp;"|"&amp;DATOS!$I5222)</f>
      </c>
      <c r="G5222">
        <f>IF(DATOS!$A5222="",0,IF(CONFIG_METADATA!$B$4&lt;&gt;"OR+EX",--(DATOS!$G5222=CONFIG_METADATA!$B$4),IF(DATOS!$G5222="EX",1,IF(DATOS!$G5222="OR",--(COUNTIFS(nNIA,DATOS!$A5222,nCURSO,DATOS!$D5222,nESPEC,DATOS!$E5222,nASIG,DATOS!$I5222,nEVAL,"EX")=0),0))))</f>
      </c>
      <c r="H5222">
        <f>IF(DATOS!$G5222&lt;&gt;"EX",0,--(COUNTIFS(nNIA,DATOS!$A5222,nCURSO,DATOS!$D5222,nESPEC,DATOS!$E5222,nASIG,DATOS!$I5222,nEVAL,"OR")=0))</f>
      </c>
      <c r="I5222">
        <f>IF(DATOS!$I5222="","",IFERROR(VLOOKUP(DATOS!$I5222,CONFIG_ASIGNATURAS!$B$2:$J$91,9,FALSE()),""))</f>
      </c>
    </row>
    <row r="5223">
      <c r="F5223">
        <f>IF(DATOS!$A5223="","",DATOS!$A5223&amp;"|"&amp;DATOS!$D5223&amp;"|"&amp;DATOS!$E5223&amp;"|"&amp;DATOS!$I5223)</f>
      </c>
      <c r="G5223">
        <f>IF(DATOS!$A5223="",0,IF(CONFIG_METADATA!$B$4&lt;&gt;"OR+EX",--(DATOS!$G5223=CONFIG_METADATA!$B$4),IF(DATOS!$G5223="EX",1,IF(DATOS!$G5223="OR",--(COUNTIFS(nNIA,DATOS!$A5223,nCURSO,DATOS!$D5223,nESPEC,DATOS!$E5223,nASIG,DATOS!$I5223,nEVAL,"EX")=0),0))))</f>
      </c>
      <c r="H5223">
        <f>IF(DATOS!$G5223&lt;&gt;"EX",0,--(COUNTIFS(nNIA,DATOS!$A5223,nCURSO,DATOS!$D5223,nESPEC,DATOS!$E5223,nASIG,DATOS!$I5223,nEVAL,"OR")=0))</f>
      </c>
      <c r="I5223">
        <f>IF(DATOS!$I5223="","",IFERROR(VLOOKUP(DATOS!$I5223,CONFIG_ASIGNATURAS!$B$2:$J$91,9,FALSE()),""))</f>
      </c>
    </row>
    <row r="5224">
      <c r="F5224">
        <f>IF(DATOS!$A5224="","",DATOS!$A5224&amp;"|"&amp;DATOS!$D5224&amp;"|"&amp;DATOS!$E5224&amp;"|"&amp;DATOS!$I5224)</f>
      </c>
      <c r="G5224">
        <f>IF(DATOS!$A5224="",0,IF(CONFIG_METADATA!$B$4&lt;&gt;"OR+EX",--(DATOS!$G5224=CONFIG_METADATA!$B$4),IF(DATOS!$G5224="EX",1,IF(DATOS!$G5224="OR",--(COUNTIFS(nNIA,DATOS!$A5224,nCURSO,DATOS!$D5224,nESPEC,DATOS!$E5224,nASIG,DATOS!$I5224,nEVAL,"EX")=0),0))))</f>
      </c>
      <c r="H5224">
        <f>IF(DATOS!$G5224&lt;&gt;"EX",0,--(COUNTIFS(nNIA,DATOS!$A5224,nCURSO,DATOS!$D5224,nESPEC,DATOS!$E5224,nASIG,DATOS!$I5224,nEVAL,"OR")=0))</f>
      </c>
      <c r="I5224">
        <f>IF(DATOS!$I5224="","",IFERROR(VLOOKUP(DATOS!$I5224,CONFIG_ASIGNATURAS!$B$2:$J$91,9,FALSE()),""))</f>
      </c>
    </row>
    <row r="5225">
      <c r="F5225">
        <f>IF(DATOS!$A5225="","",DATOS!$A5225&amp;"|"&amp;DATOS!$D5225&amp;"|"&amp;DATOS!$E5225&amp;"|"&amp;DATOS!$I5225)</f>
      </c>
      <c r="G5225">
        <f>IF(DATOS!$A5225="",0,IF(CONFIG_METADATA!$B$4&lt;&gt;"OR+EX",--(DATOS!$G5225=CONFIG_METADATA!$B$4),IF(DATOS!$G5225="EX",1,IF(DATOS!$G5225="OR",--(COUNTIFS(nNIA,DATOS!$A5225,nCURSO,DATOS!$D5225,nESPEC,DATOS!$E5225,nASIG,DATOS!$I5225,nEVAL,"EX")=0),0))))</f>
      </c>
      <c r="H5225">
        <f>IF(DATOS!$G5225&lt;&gt;"EX",0,--(COUNTIFS(nNIA,DATOS!$A5225,nCURSO,DATOS!$D5225,nESPEC,DATOS!$E5225,nASIG,DATOS!$I5225,nEVAL,"OR")=0))</f>
      </c>
      <c r="I5225">
        <f>IF(DATOS!$I5225="","",IFERROR(VLOOKUP(DATOS!$I5225,CONFIG_ASIGNATURAS!$B$2:$J$91,9,FALSE()),""))</f>
      </c>
    </row>
    <row r="5226">
      <c r="F5226">
        <f>IF(DATOS!$A5226="","",DATOS!$A5226&amp;"|"&amp;DATOS!$D5226&amp;"|"&amp;DATOS!$E5226&amp;"|"&amp;DATOS!$I5226)</f>
      </c>
      <c r="G5226">
        <f>IF(DATOS!$A5226="",0,IF(CONFIG_METADATA!$B$4&lt;&gt;"OR+EX",--(DATOS!$G5226=CONFIG_METADATA!$B$4),IF(DATOS!$G5226="EX",1,IF(DATOS!$G5226="OR",--(COUNTIFS(nNIA,DATOS!$A5226,nCURSO,DATOS!$D5226,nESPEC,DATOS!$E5226,nASIG,DATOS!$I5226,nEVAL,"EX")=0),0))))</f>
      </c>
      <c r="H5226">
        <f>IF(DATOS!$G5226&lt;&gt;"EX",0,--(COUNTIFS(nNIA,DATOS!$A5226,nCURSO,DATOS!$D5226,nESPEC,DATOS!$E5226,nASIG,DATOS!$I5226,nEVAL,"OR")=0))</f>
      </c>
      <c r="I5226">
        <f>IF(DATOS!$I5226="","",IFERROR(VLOOKUP(DATOS!$I5226,CONFIG_ASIGNATURAS!$B$2:$J$91,9,FALSE()),""))</f>
      </c>
    </row>
    <row r="5227">
      <c r="F5227">
        <f>IF(DATOS!$A5227="","",DATOS!$A5227&amp;"|"&amp;DATOS!$D5227&amp;"|"&amp;DATOS!$E5227&amp;"|"&amp;DATOS!$I5227)</f>
      </c>
      <c r="G5227">
        <f>IF(DATOS!$A5227="",0,IF(CONFIG_METADATA!$B$4&lt;&gt;"OR+EX",--(DATOS!$G5227=CONFIG_METADATA!$B$4),IF(DATOS!$G5227="EX",1,IF(DATOS!$G5227="OR",--(COUNTIFS(nNIA,DATOS!$A5227,nCURSO,DATOS!$D5227,nESPEC,DATOS!$E5227,nASIG,DATOS!$I5227,nEVAL,"EX")=0),0))))</f>
      </c>
      <c r="H5227">
        <f>IF(DATOS!$G5227&lt;&gt;"EX",0,--(COUNTIFS(nNIA,DATOS!$A5227,nCURSO,DATOS!$D5227,nESPEC,DATOS!$E5227,nASIG,DATOS!$I5227,nEVAL,"OR")=0))</f>
      </c>
      <c r="I5227">
        <f>IF(DATOS!$I5227="","",IFERROR(VLOOKUP(DATOS!$I5227,CONFIG_ASIGNATURAS!$B$2:$J$91,9,FALSE()),""))</f>
      </c>
    </row>
    <row r="5228">
      <c r="F5228">
        <f>IF(DATOS!$A5228="","",DATOS!$A5228&amp;"|"&amp;DATOS!$D5228&amp;"|"&amp;DATOS!$E5228&amp;"|"&amp;DATOS!$I5228)</f>
      </c>
      <c r="G5228">
        <f>IF(DATOS!$A5228="",0,IF(CONFIG_METADATA!$B$4&lt;&gt;"OR+EX",--(DATOS!$G5228=CONFIG_METADATA!$B$4),IF(DATOS!$G5228="EX",1,IF(DATOS!$G5228="OR",--(COUNTIFS(nNIA,DATOS!$A5228,nCURSO,DATOS!$D5228,nESPEC,DATOS!$E5228,nASIG,DATOS!$I5228,nEVAL,"EX")=0),0))))</f>
      </c>
      <c r="H5228">
        <f>IF(DATOS!$G5228&lt;&gt;"EX",0,--(COUNTIFS(nNIA,DATOS!$A5228,nCURSO,DATOS!$D5228,nESPEC,DATOS!$E5228,nASIG,DATOS!$I5228,nEVAL,"OR")=0))</f>
      </c>
      <c r="I5228">
        <f>IF(DATOS!$I5228="","",IFERROR(VLOOKUP(DATOS!$I5228,CONFIG_ASIGNATURAS!$B$2:$J$91,9,FALSE()),""))</f>
      </c>
    </row>
    <row r="5229">
      <c r="F5229">
        <f>IF(DATOS!$A5229="","",DATOS!$A5229&amp;"|"&amp;DATOS!$D5229&amp;"|"&amp;DATOS!$E5229&amp;"|"&amp;DATOS!$I5229)</f>
      </c>
      <c r="G5229">
        <f>IF(DATOS!$A5229="",0,IF(CONFIG_METADATA!$B$4&lt;&gt;"OR+EX",--(DATOS!$G5229=CONFIG_METADATA!$B$4),IF(DATOS!$G5229="EX",1,IF(DATOS!$G5229="OR",--(COUNTIFS(nNIA,DATOS!$A5229,nCURSO,DATOS!$D5229,nESPEC,DATOS!$E5229,nASIG,DATOS!$I5229,nEVAL,"EX")=0),0))))</f>
      </c>
      <c r="H5229">
        <f>IF(DATOS!$G5229&lt;&gt;"EX",0,--(COUNTIFS(nNIA,DATOS!$A5229,nCURSO,DATOS!$D5229,nESPEC,DATOS!$E5229,nASIG,DATOS!$I5229,nEVAL,"OR")=0))</f>
      </c>
      <c r="I5229">
        <f>IF(DATOS!$I5229="","",IFERROR(VLOOKUP(DATOS!$I5229,CONFIG_ASIGNATURAS!$B$2:$J$91,9,FALSE()),""))</f>
      </c>
    </row>
    <row r="5230">
      <c r="F5230">
        <f>IF(DATOS!$A5230="","",DATOS!$A5230&amp;"|"&amp;DATOS!$D5230&amp;"|"&amp;DATOS!$E5230&amp;"|"&amp;DATOS!$I5230)</f>
      </c>
      <c r="G5230">
        <f>IF(DATOS!$A5230="",0,IF(CONFIG_METADATA!$B$4&lt;&gt;"OR+EX",--(DATOS!$G5230=CONFIG_METADATA!$B$4),IF(DATOS!$G5230="EX",1,IF(DATOS!$G5230="OR",--(COUNTIFS(nNIA,DATOS!$A5230,nCURSO,DATOS!$D5230,nESPEC,DATOS!$E5230,nASIG,DATOS!$I5230,nEVAL,"EX")=0),0))))</f>
      </c>
      <c r="H5230">
        <f>IF(DATOS!$G5230&lt;&gt;"EX",0,--(COUNTIFS(nNIA,DATOS!$A5230,nCURSO,DATOS!$D5230,nESPEC,DATOS!$E5230,nASIG,DATOS!$I5230,nEVAL,"OR")=0))</f>
      </c>
      <c r="I5230">
        <f>IF(DATOS!$I5230="","",IFERROR(VLOOKUP(DATOS!$I5230,CONFIG_ASIGNATURAS!$B$2:$J$91,9,FALSE()),""))</f>
      </c>
    </row>
    <row r="5231">
      <c r="F5231">
        <f>IF(DATOS!$A5231="","",DATOS!$A5231&amp;"|"&amp;DATOS!$D5231&amp;"|"&amp;DATOS!$E5231&amp;"|"&amp;DATOS!$I5231)</f>
      </c>
      <c r="G5231">
        <f>IF(DATOS!$A5231="",0,IF(CONFIG_METADATA!$B$4&lt;&gt;"OR+EX",--(DATOS!$G5231=CONFIG_METADATA!$B$4),IF(DATOS!$G5231="EX",1,IF(DATOS!$G5231="OR",--(COUNTIFS(nNIA,DATOS!$A5231,nCURSO,DATOS!$D5231,nESPEC,DATOS!$E5231,nASIG,DATOS!$I5231,nEVAL,"EX")=0),0))))</f>
      </c>
      <c r="H5231">
        <f>IF(DATOS!$G5231&lt;&gt;"EX",0,--(COUNTIFS(nNIA,DATOS!$A5231,nCURSO,DATOS!$D5231,nESPEC,DATOS!$E5231,nASIG,DATOS!$I5231,nEVAL,"OR")=0))</f>
      </c>
      <c r="I5231">
        <f>IF(DATOS!$I5231="","",IFERROR(VLOOKUP(DATOS!$I5231,CONFIG_ASIGNATURAS!$B$2:$J$91,9,FALSE()),""))</f>
      </c>
    </row>
    <row r="5232">
      <c r="F5232">
        <f>IF(DATOS!$A5232="","",DATOS!$A5232&amp;"|"&amp;DATOS!$D5232&amp;"|"&amp;DATOS!$E5232&amp;"|"&amp;DATOS!$I5232)</f>
      </c>
      <c r="G5232">
        <f>IF(DATOS!$A5232="",0,IF(CONFIG_METADATA!$B$4&lt;&gt;"OR+EX",--(DATOS!$G5232=CONFIG_METADATA!$B$4),IF(DATOS!$G5232="EX",1,IF(DATOS!$G5232="OR",--(COUNTIFS(nNIA,DATOS!$A5232,nCURSO,DATOS!$D5232,nESPEC,DATOS!$E5232,nASIG,DATOS!$I5232,nEVAL,"EX")=0),0))))</f>
      </c>
      <c r="H5232">
        <f>IF(DATOS!$G5232&lt;&gt;"EX",0,--(COUNTIFS(nNIA,DATOS!$A5232,nCURSO,DATOS!$D5232,nESPEC,DATOS!$E5232,nASIG,DATOS!$I5232,nEVAL,"OR")=0))</f>
      </c>
      <c r="I5232">
        <f>IF(DATOS!$I5232="","",IFERROR(VLOOKUP(DATOS!$I5232,CONFIG_ASIGNATURAS!$B$2:$J$91,9,FALSE()),""))</f>
      </c>
    </row>
    <row r="5233">
      <c r="F5233">
        <f>IF(DATOS!$A5233="","",DATOS!$A5233&amp;"|"&amp;DATOS!$D5233&amp;"|"&amp;DATOS!$E5233&amp;"|"&amp;DATOS!$I5233)</f>
      </c>
      <c r="G5233">
        <f>IF(DATOS!$A5233="",0,IF(CONFIG_METADATA!$B$4&lt;&gt;"OR+EX",--(DATOS!$G5233=CONFIG_METADATA!$B$4),IF(DATOS!$G5233="EX",1,IF(DATOS!$G5233="OR",--(COUNTIFS(nNIA,DATOS!$A5233,nCURSO,DATOS!$D5233,nESPEC,DATOS!$E5233,nASIG,DATOS!$I5233,nEVAL,"EX")=0),0))))</f>
      </c>
      <c r="H5233">
        <f>IF(DATOS!$G5233&lt;&gt;"EX",0,--(COUNTIFS(nNIA,DATOS!$A5233,nCURSO,DATOS!$D5233,nESPEC,DATOS!$E5233,nASIG,DATOS!$I5233,nEVAL,"OR")=0))</f>
      </c>
      <c r="I5233">
        <f>IF(DATOS!$I5233="","",IFERROR(VLOOKUP(DATOS!$I5233,CONFIG_ASIGNATURAS!$B$2:$J$91,9,FALSE()),""))</f>
      </c>
    </row>
    <row r="5234">
      <c r="F5234">
        <f>IF(DATOS!$A5234="","",DATOS!$A5234&amp;"|"&amp;DATOS!$D5234&amp;"|"&amp;DATOS!$E5234&amp;"|"&amp;DATOS!$I5234)</f>
      </c>
      <c r="G5234">
        <f>IF(DATOS!$A5234="",0,IF(CONFIG_METADATA!$B$4&lt;&gt;"OR+EX",--(DATOS!$G5234=CONFIG_METADATA!$B$4),IF(DATOS!$G5234="EX",1,IF(DATOS!$G5234="OR",--(COUNTIFS(nNIA,DATOS!$A5234,nCURSO,DATOS!$D5234,nESPEC,DATOS!$E5234,nASIG,DATOS!$I5234,nEVAL,"EX")=0),0))))</f>
      </c>
      <c r="H5234">
        <f>IF(DATOS!$G5234&lt;&gt;"EX",0,--(COUNTIFS(nNIA,DATOS!$A5234,nCURSO,DATOS!$D5234,nESPEC,DATOS!$E5234,nASIG,DATOS!$I5234,nEVAL,"OR")=0))</f>
      </c>
      <c r="I5234">
        <f>IF(DATOS!$I5234="","",IFERROR(VLOOKUP(DATOS!$I5234,CONFIG_ASIGNATURAS!$B$2:$J$91,9,FALSE()),""))</f>
      </c>
    </row>
    <row r="5235">
      <c r="F5235">
        <f>IF(DATOS!$A5235="","",DATOS!$A5235&amp;"|"&amp;DATOS!$D5235&amp;"|"&amp;DATOS!$E5235&amp;"|"&amp;DATOS!$I5235)</f>
      </c>
      <c r="G5235">
        <f>IF(DATOS!$A5235="",0,IF(CONFIG_METADATA!$B$4&lt;&gt;"OR+EX",--(DATOS!$G5235=CONFIG_METADATA!$B$4),IF(DATOS!$G5235="EX",1,IF(DATOS!$G5235="OR",--(COUNTIFS(nNIA,DATOS!$A5235,nCURSO,DATOS!$D5235,nESPEC,DATOS!$E5235,nASIG,DATOS!$I5235,nEVAL,"EX")=0),0))))</f>
      </c>
      <c r="H5235">
        <f>IF(DATOS!$G5235&lt;&gt;"EX",0,--(COUNTIFS(nNIA,DATOS!$A5235,nCURSO,DATOS!$D5235,nESPEC,DATOS!$E5235,nASIG,DATOS!$I5235,nEVAL,"OR")=0))</f>
      </c>
      <c r="I5235">
        <f>IF(DATOS!$I5235="","",IFERROR(VLOOKUP(DATOS!$I5235,CONFIG_ASIGNATURAS!$B$2:$J$91,9,FALSE()),""))</f>
      </c>
    </row>
    <row r="5236">
      <c r="F5236">
        <f>IF(DATOS!$A5236="","",DATOS!$A5236&amp;"|"&amp;DATOS!$D5236&amp;"|"&amp;DATOS!$E5236&amp;"|"&amp;DATOS!$I5236)</f>
      </c>
      <c r="G5236">
        <f>IF(DATOS!$A5236="",0,IF(CONFIG_METADATA!$B$4&lt;&gt;"OR+EX",--(DATOS!$G5236=CONFIG_METADATA!$B$4),IF(DATOS!$G5236="EX",1,IF(DATOS!$G5236="OR",--(COUNTIFS(nNIA,DATOS!$A5236,nCURSO,DATOS!$D5236,nESPEC,DATOS!$E5236,nASIG,DATOS!$I5236,nEVAL,"EX")=0),0))))</f>
      </c>
      <c r="H5236">
        <f>IF(DATOS!$G5236&lt;&gt;"EX",0,--(COUNTIFS(nNIA,DATOS!$A5236,nCURSO,DATOS!$D5236,nESPEC,DATOS!$E5236,nASIG,DATOS!$I5236,nEVAL,"OR")=0))</f>
      </c>
      <c r="I5236">
        <f>IF(DATOS!$I5236="","",IFERROR(VLOOKUP(DATOS!$I5236,CONFIG_ASIGNATURAS!$B$2:$J$91,9,FALSE()),""))</f>
      </c>
    </row>
    <row r="5237">
      <c r="F5237">
        <f>IF(DATOS!$A5237="","",DATOS!$A5237&amp;"|"&amp;DATOS!$D5237&amp;"|"&amp;DATOS!$E5237&amp;"|"&amp;DATOS!$I5237)</f>
      </c>
      <c r="G5237">
        <f>IF(DATOS!$A5237="",0,IF(CONFIG_METADATA!$B$4&lt;&gt;"OR+EX",--(DATOS!$G5237=CONFIG_METADATA!$B$4),IF(DATOS!$G5237="EX",1,IF(DATOS!$G5237="OR",--(COUNTIFS(nNIA,DATOS!$A5237,nCURSO,DATOS!$D5237,nESPEC,DATOS!$E5237,nASIG,DATOS!$I5237,nEVAL,"EX")=0),0))))</f>
      </c>
      <c r="H5237">
        <f>IF(DATOS!$G5237&lt;&gt;"EX",0,--(COUNTIFS(nNIA,DATOS!$A5237,nCURSO,DATOS!$D5237,nESPEC,DATOS!$E5237,nASIG,DATOS!$I5237,nEVAL,"OR")=0))</f>
      </c>
      <c r="I5237">
        <f>IF(DATOS!$I5237="","",IFERROR(VLOOKUP(DATOS!$I5237,CONFIG_ASIGNATURAS!$B$2:$J$91,9,FALSE()),""))</f>
      </c>
    </row>
    <row r="5238">
      <c r="F5238">
        <f>IF(DATOS!$A5238="","",DATOS!$A5238&amp;"|"&amp;DATOS!$D5238&amp;"|"&amp;DATOS!$E5238&amp;"|"&amp;DATOS!$I5238)</f>
      </c>
      <c r="G5238">
        <f>IF(DATOS!$A5238="",0,IF(CONFIG_METADATA!$B$4&lt;&gt;"OR+EX",--(DATOS!$G5238=CONFIG_METADATA!$B$4),IF(DATOS!$G5238="EX",1,IF(DATOS!$G5238="OR",--(COUNTIFS(nNIA,DATOS!$A5238,nCURSO,DATOS!$D5238,nESPEC,DATOS!$E5238,nASIG,DATOS!$I5238,nEVAL,"EX")=0),0))))</f>
      </c>
      <c r="H5238">
        <f>IF(DATOS!$G5238&lt;&gt;"EX",0,--(COUNTIFS(nNIA,DATOS!$A5238,nCURSO,DATOS!$D5238,nESPEC,DATOS!$E5238,nASIG,DATOS!$I5238,nEVAL,"OR")=0))</f>
      </c>
      <c r="I5238">
        <f>IF(DATOS!$I5238="","",IFERROR(VLOOKUP(DATOS!$I5238,CONFIG_ASIGNATURAS!$B$2:$J$91,9,FALSE()),""))</f>
      </c>
    </row>
    <row r="5239">
      <c r="F5239">
        <f>IF(DATOS!$A5239="","",DATOS!$A5239&amp;"|"&amp;DATOS!$D5239&amp;"|"&amp;DATOS!$E5239&amp;"|"&amp;DATOS!$I5239)</f>
      </c>
      <c r="G5239">
        <f>IF(DATOS!$A5239="",0,IF(CONFIG_METADATA!$B$4&lt;&gt;"OR+EX",--(DATOS!$G5239=CONFIG_METADATA!$B$4),IF(DATOS!$G5239="EX",1,IF(DATOS!$G5239="OR",--(COUNTIFS(nNIA,DATOS!$A5239,nCURSO,DATOS!$D5239,nESPEC,DATOS!$E5239,nASIG,DATOS!$I5239,nEVAL,"EX")=0),0))))</f>
      </c>
      <c r="H5239">
        <f>IF(DATOS!$G5239&lt;&gt;"EX",0,--(COUNTIFS(nNIA,DATOS!$A5239,nCURSO,DATOS!$D5239,nESPEC,DATOS!$E5239,nASIG,DATOS!$I5239,nEVAL,"OR")=0))</f>
      </c>
      <c r="I5239">
        <f>IF(DATOS!$I5239="","",IFERROR(VLOOKUP(DATOS!$I5239,CONFIG_ASIGNATURAS!$B$2:$J$91,9,FALSE()),""))</f>
      </c>
    </row>
    <row r="5240">
      <c r="F5240">
        <f>IF(DATOS!$A5240="","",DATOS!$A5240&amp;"|"&amp;DATOS!$D5240&amp;"|"&amp;DATOS!$E5240&amp;"|"&amp;DATOS!$I5240)</f>
      </c>
      <c r="G5240">
        <f>IF(DATOS!$A5240="",0,IF(CONFIG_METADATA!$B$4&lt;&gt;"OR+EX",--(DATOS!$G5240=CONFIG_METADATA!$B$4),IF(DATOS!$G5240="EX",1,IF(DATOS!$G5240="OR",--(COUNTIFS(nNIA,DATOS!$A5240,nCURSO,DATOS!$D5240,nESPEC,DATOS!$E5240,nASIG,DATOS!$I5240,nEVAL,"EX")=0),0))))</f>
      </c>
      <c r="H5240">
        <f>IF(DATOS!$G5240&lt;&gt;"EX",0,--(COUNTIFS(nNIA,DATOS!$A5240,nCURSO,DATOS!$D5240,nESPEC,DATOS!$E5240,nASIG,DATOS!$I5240,nEVAL,"OR")=0))</f>
      </c>
      <c r="I5240">
        <f>IF(DATOS!$I5240="","",IFERROR(VLOOKUP(DATOS!$I5240,CONFIG_ASIGNATURAS!$B$2:$J$91,9,FALSE()),""))</f>
      </c>
    </row>
    <row r="5241">
      <c r="F5241">
        <f>IF(DATOS!$A5241="","",DATOS!$A5241&amp;"|"&amp;DATOS!$D5241&amp;"|"&amp;DATOS!$E5241&amp;"|"&amp;DATOS!$I5241)</f>
      </c>
      <c r="G5241">
        <f>IF(DATOS!$A5241="",0,IF(CONFIG_METADATA!$B$4&lt;&gt;"OR+EX",--(DATOS!$G5241=CONFIG_METADATA!$B$4),IF(DATOS!$G5241="EX",1,IF(DATOS!$G5241="OR",--(COUNTIFS(nNIA,DATOS!$A5241,nCURSO,DATOS!$D5241,nESPEC,DATOS!$E5241,nASIG,DATOS!$I5241,nEVAL,"EX")=0),0))))</f>
      </c>
      <c r="H5241">
        <f>IF(DATOS!$G5241&lt;&gt;"EX",0,--(COUNTIFS(nNIA,DATOS!$A5241,nCURSO,DATOS!$D5241,nESPEC,DATOS!$E5241,nASIG,DATOS!$I5241,nEVAL,"OR")=0))</f>
      </c>
      <c r="I5241">
        <f>IF(DATOS!$I5241="","",IFERROR(VLOOKUP(DATOS!$I5241,CONFIG_ASIGNATURAS!$B$2:$J$91,9,FALSE()),""))</f>
      </c>
    </row>
    <row r="5242">
      <c r="F5242">
        <f>IF(DATOS!$A5242="","",DATOS!$A5242&amp;"|"&amp;DATOS!$D5242&amp;"|"&amp;DATOS!$E5242&amp;"|"&amp;DATOS!$I5242)</f>
      </c>
      <c r="G5242">
        <f>IF(DATOS!$A5242="",0,IF(CONFIG_METADATA!$B$4&lt;&gt;"OR+EX",--(DATOS!$G5242=CONFIG_METADATA!$B$4),IF(DATOS!$G5242="EX",1,IF(DATOS!$G5242="OR",--(COUNTIFS(nNIA,DATOS!$A5242,nCURSO,DATOS!$D5242,nESPEC,DATOS!$E5242,nASIG,DATOS!$I5242,nEVAL,"EX")=0),0))))</f>
      </c>
      <c r="H5242">
        <f>IF(DATOS!$G5242&lt;&gt;"EX",0,--(COUNTIFS(nNIA,DATOS!$A5242,nCURSO,DATOS!$D5242,nESPEC,DATOS!$E5242,nASIG,DATOS!$I5242,nEVAL,"OR")=0))</f>
      </c>
      <c r="I5242">
        <f>IF(DATOS!$I5242="","",IFERROR(VLOOKUP(DATOS!$I5242,CONFIG_ASIGNATURAS!$B$2:$J$91,9,FALSE()),""))</f>
      </c>
    </row>
    <row r="5243">
      <c r="F5243">
        <f>IF(DATOS!$A5243="","",DATOS!$A5243&amp;"|"&amp;DATOS!$D5243&amp;"|"&amp;DATOS!$E5243&amp;"|"&amp;DATOS!$I5243)</f>
      </c>
      <c r="G5243">
        <f>IF(DATOS!$A5243="",0,IF(CONFIG_METADATA!$B$4&lt;&gt;"OR+EX",--(DATOS!$G5243=CONFIG_METADATA!$B$4),IF(DATOS!$G5243="EX",1,IF(DATOS!$G5243="OR",--(COUNTIFS(nNIA,DATOS!$A5243,nCURSO,DATOS!$D5243,nESPEC,DATOS!$E5243,nASIG,DATOS!$I5243,nEVAL,"EX")=0),0))))</f>
      </c>
      <c r="H5243">
        <f>IF(DATOS!$G5243&lt;&gt;"EX",0,--(COUNTIFS(nNIA,DATOS!$A5243,nCURSO,DATOS!$D5243,nESPEC,DATOS!$E5243,nASIG,DATOS!$I5243,nEVAL,"OR")=0))</f>
      </c>
      <c r="I5243">
        <f>IF(DATOS!$I5243="","",IFERROR(VLOOKUP(DATOS!$I5243,CONFIG_ASIGNATURAS!$B$2:$J$91,9,FALSE()),""))</f>
      </c>
    </row>
    <row r="5244">
      <c r="F5244">
        <f>IF(DATOS!$A5244="","",DATOS!$A5244&amp;"|"&amp;DATOS!$D5244&amp;"|"&amp;DATOS!$E5244&amp;"|"&amp;DATOS!$I5244)</f>
      </c>
      <c r="G5244">
        <f>IF(DATOS!$A5244="",0,IF(CONFIG_METADATA!$B$4&lt;&gt;"OR+EX",--(DATOS!$G5244=CONFIG_METADATA!$B$4),IF(DATOS!$G5244="EX",1,IF(DATOS!$G5244="OR",--(COUNTIFS(nNIA,DATOS!$A5244,nCURSO,DATOS!$D5244,nESPEC,DATOS!$E5244,nASIG,DATOS!$I5244,nEVAL,"EX")=0),0))))</f>
      </c>
      <c r="H5244">
        <f>IF(DATOS!$G5244&lt;&gt;"EX",0,--(COUNTIFS(nNIA,DATOS!$A5244,nCURSO,DATOS!$D5244,nESPEC,DATOS!$E5244,nASIG,DATOS!$I5244,nEVAL,"OR")=0))</f>
      </c>
      <c r="I5244">
        <f>IF(DATOS!$I5244="","",IFERROR(VLOOKUP(DATOS!$I5244,CONFIG_ASIGNATURAS!$B$2:$J$91,9,FALSE()),""))</f>
      </c>
    </row>
    <row r="5245">
      <c r="F5245">
        <f>IF(DATOS!$A5245="","",DATOS!$A5245&amp;"|"&amp;DATOS!$D5245&amp;"|"&amp;DATOS!$E5245&amp;"|"&amp;DATOS!$I5245)</f>
      </c>
      <c r="G5245">
        <f>IF(DATOS!$A5245="",0,IF(CONFIG_METADATA!$B$4&lt;&gt;"OR+EX",--(DATOS!$G5245=CONFIG_METADATA!$B$4),IF(DATOS!$G5245="EX",1,IF(DATOS!$G5245="OR",--(COUNTIFS(nNIA,DATOS!$A5245,nCURSO,DATOS!$D5245,nESPEC,DATOS!$E5245,nASIG,DATOS!$I5245,nEVAL,"EX")=0),0))))</f>
      </c>
      <c r="H5245">
        <f>IF(DATOS!$G5245&lt;&gt;"EX",0,--(COUNTIFS(nNIA,DATOS!$A5245,nCURSO,DATOS!$D5245,nESPEC,DATOS!$E5245,nASIG,DATOS!$I5245,nEVAL,"OR")=0))</f>
      </c>
      <c r="I5245">
        <f>IF(DATOS!$I5245="","",IFERROR(VLOOKUP(DATOS!$I5245,CONFIG_ASIGNATURAS!$B$2:$J$91,9,FALSE()),""))</f>
      </c>
    </row>
    <row r="5246">
      <c r="F5246">
        <f>IF(DATOS!$A5246="","",DATOS!$A5246&amp;"|"&amp;DATOS!$D5246&amp;"|"&amp;DATOS!$E5246&amp;"|"&amp;DATOS!$I5246)</f>
      </c>
      <c r="G5246">
        <f>IF(DATOS!$A5246="",0,IF(CONFIG_METADATA!$B$4&lt;&gt;"OR+EX",--(DATOS!$G5246=CONFIG_METADATA!$B$4),IF(DATOS!$G5246="EX",1,IF(DATOS!$G5246="OR",--(COUNTIFS(nNIA,DATOS!$A5246,nCURSO,DATOS!$D5246,nESPEC,DATOS!$E5246,nASIG,DATOS!$I5246,nEVAL,"EX")=0),0))))</f>
      </c>
      <c r="H5246">
        <f>IF(DATOS!$G5246&lt;&gt;"EX",0,--(COUNTIFS(nNIA,DATOS!$A5246,nCURSO,DATOS!$D5246,nESPEC,DATOS!$E5246,nASIG,DATOS!$I5246,nEVAL,"OR")=0))</f>
      </c>
      <c r="I5246">
        <f>IF(DATOS!$I5246="","",IFERROR(VLOOKUP(DATOS!$I5246,CONFIG_ASIGNATURAS!$B$2:$J$91,9,FALSE()),""))</f>
      </c>
    </row>
    <row r="5247">
      <c r="F5247">
        <f>IF(DATOS!$A5247="","",DATOS!$A5247&amp;"|"&amp;DATOS!$D5247&amp;"|"&amp;DATOS!$E5247&amp;"|"&amp;DATOS!$I5247)</f>
      </c>
      <c r="G5247">
        <f>IF(DATOS!$A5247="",0,IF(CONFIG_METADATA!$B$4&lt;&gt;"OR+EX",--(DATOS!$G5247=CONFIG_METADATA!$B$4),IF(DATOS!$G5247="EX",1,IF(DATOS!$G5247="OR",--(COUNTIFS(nNIA,DATOS!$A5247,nCURSO,DATOS!$D5247,nESPEC,DATOS!$E5247,nASIG,DATOS!$I5247,nEVAL,"EX")=0),0))))</f>
      </c>
      <c r="H5247">
        <f>IF(DATOS!$G5247&lt;&gt;"EX",0,--(COUNTIFS(nNIA,DATOS!$A5247,nCURSO,DATOS!$D5247,nESPEC,DATOS!$E5247,nASIG,DATOS!$I5247,nEVAL,"OR")=0))</f>
      </c>
      <c r="I5247">
        <f>IF(DATOS!$I5247="","",IFERROR(VLOOKUP(DATOS!$I5247,CONFIG_ASIGNATURAS!$B$2:$J$91,9,FALSE()),""))</f>
      </c>
    </row>
    <row r="5248">
      <c r="F5248">
        <f>IF(DATOS!$A5248="","",DATOS!$A5248&amp;"|"&amp;DATOS!$D5248&amp;"|"&amp;DATOS!$E5248&amp;"|"&amp;DATOS!$I5248)</f>
      </c>
      <c r="G5248">
        <f>IF(DATOS!$A5248="",0,IF(CONFIG_METADATA!$B$4&lt;&gt;"OR+EX",--(DATOS!$G5248=CONFIG_METADATA!$B$4),IF(DATOS!$G5248="EX",1,IF(DATOS!$G5248="OR",--(COUNTIFS(nNIA,DATOS!$A5248,nCURSO,DATOS!$D5248,nESPEC,DATOS!$E5248,nASIG,DATOS!$I5248,nEVAL,"EX")=0),0))))</f>
      </c>
      <c r="H5248">
        <f>IF(DATOS!$G5248&lt;&gt;"EX",0,--(COUNTIFS(nNIA,DATOS!$A5248,nCURSO,DATOS!$D5248,nESPEC,DATOS!$E5248,nASIG,DATOS!$I5248,nEVAL,"OR")=0))</f>
      </c>
      <c r="I5248">
        <f>IF(DATOS!$I5248="","",IFERROR(VLOOKUP(DATOS!$I5248,CONFIG_ASIGNATURAS!$B$2:$J$91,9,FALSE()),""))</f>
      </c>
    </row>
    <row r="5249">
      <c r="F5249">
        <f>IF(DATOS!$A5249="","",DATOS!$A5249&amp;"|"&amp;DATOS!$D5249&amp;"|"&amp;DATOS!$E5249&amp;"|"&amp;DATOS!$I5249)</f>
      </c>
      <c r="G5249">
        <f>IF(DATOS!$A5249="",0,IF(CONFIG_METADATA!$B$4&lt;&gt;"OR+EX",--(DATOS!$G5249=CONFIG_METADATA!$B$4),IF(DATOS!$G5249="EX",1,IF(DATOS!$G5249="OR",--(COUNTIFS(nNIA,DATOS!$A5249,nCURSO,DATOS!$D5249,nESPEC,DATOS!$E5249,nASIG,DATOS!$I5249,nEVAL,"EX")=0),0))))</f>
      </c>
      <c r="H5249">
        <f>IF(DATOS!$G5249&lt;&gt;"EX",0,--(COUNTIFS(nNIA,DATOS!$A5249,nCURSO,DATOS!$D5249,nESPEC,DATOS!$E5249,nASIG,DATOS!$I5249,nEVAL,"OR")=0))</f>
      </c>
      <c r="I5249">
        <f>IF(DATOS!$I5249="","",IFERROR(VLOOKUP(DATOS!$I5249,CONFIG_ASIGNATURAS!$B$2:$J$91,9,FALSE()),""))</f>
      </c>
    </row>
    <row r="5250">
      <c r="F5250">
        <f>IF(DATOS!$A5250="","",DATOS!$A5250&amp;"|"&amp;DATOS!$D5250&amp;"|"&amp;DATOS!$E5250&amp;"|"&amp;DATOS!$I5250)</f>
      </c>
      <c r="G5250">
        <f>IF(DATOS!$A5250="",0,IF(CONFIG_METADATA!$B$4&lt;&gt;"OR+EX",--(DATOS!$G5250=CONFIG_METADATA!$B$4),IF(DATOS!$G5250="EX",1,IF(DATOS!$G5250="OR",--(COUNTIFS(nNIA,DATOS!$A5250,nCURSO,DATOS!$D5250,nESPEC,DATOS!$E5250,nASIG,DATOS!$I5250,nEVAL,"EX")=0),0))))</f>
      </c>
      <c r="H5250">
        <f>IF(DATOS!$G5250&lt;&gt;"EX",0,--(COUNTIFS(nNIA,DATOS!$A5250,nCURSO,DATOS!$D5250,nESPEC,DATOS!$E5250,nASIG,DATOS!$I5250,nEVAL,"OR")=0))</f>
      </c>
      <c r="I5250">
        <f>IF(DATOS!$I5250="","",IFERROR(VLOOKUP(DATOS!$I5250,CONFIG_ASIGNATURAS!$B$2:$J$91,9,FALSE()),""))</f>
      </c>
    </row>
    <row r="5251">
      <c r="F5251">
        <f>IF(DATOS!$A5251="","",DATOS!$A5251&amp;"|"&amp;DATOS!$D5251&amp;"|"&amp;DATOS!$E5251&amp;"|"&amp;DATOS!$I5251)</f>
      </c>
      <c r="G5251">
        <f>IF(DATOS!$A5251="",0,IF(CONFIG_METADATA!$B$4&lt;&gt;"OR+EX",--(DATOS!$G5251=CONFIG_METADATA!$B$4),IF(DATOS!$G5251="EX",1,IF(DATOS!$G5251="OR",--(COUNTIFS(nNIA,DATOS!$A5251,nCURSO,DATOS!$D5251,nESPEC,DATOS!$E5251,nASIG,DATOS!$I5251,nEVAL,"EX")=0),0))))</f>
      </c>
      <c r="H5251">
        <f>IF(DATOS!$G5251&lt;&gt;"EX",0,--(COUNTIFS(nNIA,DATOS!$A5251,nCURSO,DATOS!$D5251,nESPEC,DATOS!$E5251,nASIG,DATOS!$I5251,nEVAL,"OR")=0))</f>
      </c>
      <c r="I5251">
        <f>IF(DATOS!$I5251="","",IFERROR(VLOOKUP(DATOS!$I5251,CONFIG_ASIGNATURAS!$B$2:$J$91,9,FALSE()),""))</f>
      </c>
    </row>
    <row r="5252">
      <c r="F5252">
        <f>IF(DATOS!$A5252="","",DATOS!$A5252&amp;"|"&amp;DATOS!$D5252&amp;"|"&amp;DATOS!$E5252&amp;"|"&amp;DATOS!$I5252)</f>
      </c>
      <c r="G5252">
        <f>IF(DATOS!$A5252="",0,IF(CONFIG_METADATA!$B$4&lt;&gt;"OR+EX",--(DATOS!$G5252=CONFIG_METADATA!$B$4),IF(DATOS!$G5252="EX",1,IF(DATOS!$G5252="OR",--(COUNTIFS(nNIA,DATOS!$A5252,nCURSO,DATOS!$D5252,nESPEC,DATOS!$E5252,nASIG,DATOS!$I5252,nEVAL,"EX")=0),0))))</f>
      </c>
      <c r="H5252">
        <f>IF(DATOS!$G5252&lt;&gt;"EX",0,--(COUNTIFS(nNIA,DATOS!$A5252,nCURSO,DATOS!$D5252,nESPEC,DATOS!$E5252,nASIG,DATOS!$I5252,nEVAL,"OR")=0))</f>
      </c>
      <c r="I5252">
        <f>IF(DATOS!$I5252="","",IFERROR(VLOOKUP(DATOS!$I5252,CONFIG_ASIGNATURAS!$B$2:$J$91,9,FALSE()),""))</f>
      </c>
    </row>
    <row r="5253">
      <c r="F5253">
        <f>IF(DATOS!$A5253="","",DATOS!$A5253&amp;"|"&amp;DATOS!$D5253&amp;"|"&amp;DATOS!$E5253&amp;"|"&amp;DATOS!$I5253)</f>
      </c>
      <c r="G5253">
        <f>IF(DATOS!$A5253="",0,IF(CONFIG_METADATA!$B$4&lt;&gt;"OR+EX",--(DATOS!$G5253=CONFIG_METADATA!$B$4),IF(DATOS!$G5253="EX",1,IF(DATOS!$G5253="OR",--(COUNTIFS(nNIA,DATOS!$A5253,nCURSO,DATOS!$D5253,nESPEC,DATOS!$E5253,nASIG,DATOS!$I5253,nEVAL,"EX")=0),0))))</f>
      </c>
      <c r="H5253">
        <f>IF(DATOS!$G5253&lt;&gt;"EX",0,--(COUNTIFS(nNIA,DATOS!$A5253,nCURSO,DATOS!$D5253,nESPEC,DATOS!$E5253,nASIG,DATOS!$I5253,nEVAL,"OR")=0))</f>
      </c>
      <c r="I5253">
        <f>IF(DATOS!$I5253="","",IFERROR(VLOOKUP(DATOS!$I5253,CONFIG_ASIGNATURAS!$B$2:$J$91,9,FALSE()),""))</f>
      </c>
    </row>
    <row r="5254">
      <c r="F5254">
        <f>IF(DATOS!$A5254="","",DATOS!$A5254&amp;"|"&amp;DATOS!$D5254&amp;"|"&amp;DATOS!$E5254&amp;"|"&amp;DATOS!$I5254)</f>
      </c>
      <c r="G5254">
        <f>IF(DATOS!$A5254="",0,IF(CONFIG_METADATA!$B$4&lt;&gt;"OR+EX",--(DATOS!$G5254=CONFIG_METADATA!$B$4),IF(DATOS!$G5254="EX",1,IF(DATOS!$G5254="OR",--(COUNTIFS(nNIA,DATOS!$A5254,nCURSO,DATOS!$D5254,nESPEC,DATOS!$E5254,nASIG,DATOS!$I5254,nEVAL,"EX")=0),0))))</f>
      </c>
      <c r="H5254">
        <f>IF(DATOS!$G5254&lt;&gt;"EX",0,--(COUNTIFS(nNIA,DATOS!$A5254,nCURSO,DATOS!$D5254,nESPEC,DATOS!$E5254,nASIG,DATOS!$I5254,nEVAL,"OR")=0))</f>
      </c>
      <c r="I5254">
        <f>IF(DATOS!$I5254="","",IFERROR(VLOOKUP(DATOS!$I5254,CONFIG_ASIGNATURAS!$B$2:$J$91,9,FALSE()),""))</f>
      </c>
    </row>
    <row r="5255">
      <c r="F5255">
        <f>IF(DATOS!$A5255="","",DATOS!$A5255&amp;"|"&amp;DATOS!$D5255&amp;"|"&amp;DATOS!$E5255&amp;"|"&amp;DATOS!$I5255)</f>
      </c>
      <c r="G5255">
        <f>IF(DATOS!$A5255="",0,IF(CONFIG_METADATA!$B$4&lt;&gt;"OR+EX",--(DATOS!$G5255=CONFIG_METADATA!$B$4),IF(DATOS!$G5255="EX",1,IF(DATOS!$G5255="OR",--(COUNTIFS(nNIA,DATOS!$A5255,nCURSO,DATOS!$D5255,nESPEC,DATOS!$E5255,nASIG,DATOS!$I5255,nEVAL,"EX")=0),0))))</f>
      </c>
      <c r="H5255">
        <f>IF(DATOS!$G5255&lt;&gt;"EX",0,--(COUNTIFS(nNIA,DATOS!$A5255,nCURSO,DATOS!$D5255,nESPEC,DATOS!$E5255,nASIG,DATOS!$I5255,nEVAL,"OR")=0))</f>
      </c>
      <c r="I5255">
        <f>IF(DATOS!$I5255="","",IFERROR(VLOOKUP(DATOS!$I5255,CONFIG_ASIGNATURAS!$B$2:$J$91,9,FALSE()),""))</f>
      </c>
    </row>
    <row r="5256">
      <c r="F5256">
        <f>IF(DATOS!$A5256="","",DATOS!$A5256&amp;"|"&amp;DATOS!$D5256&amp;"|"&amp;DATOS!$E5256&amp;"|"&amp;DATOS!$I5256)</f>
      </c>
      <c r="G5256">
        <f>IF(DATOS!$A5256="",0,IF(CONFIG_METADATA!$B$4&lt;&gt;"OR+EX",--(DATOS!$G5256=CONFIG_METADATA!$B$4),IF(DATOS!$G5256="EX",1,IF(DATOS!$G5256="OR",--(COUNTIFS(nNIA,DATOS!$A5256,nCURSO,DATOS!$D5256,nESPEC,DATOS!$E5256,nASIG,DATOS!$I5256,nEVAL,"EX")=0),0))))</f>
      </c>
      <c r="H5256">
        <f>IF(DATOS!$G5256&lt;&gt;"EX",0,--(COUNTIFS(nNIA,DATOS!$A5256,nCURSO,DATOS!$D5256,nESPEC,DATOS!$E5256,nASIG,DATOS!$I5256,nEVAL,"OR")=0))</f>
      </c>
      <c r="I5256">
        <f>IF(DATOS!$I5256="","",IFERROR(VLOOKUP(DATOS!$I5256,CONFIG_ASIGNATURAS!$B$2:$J$91,9,FALSE()),""))</f>
      </c>
    </row>
    <row r="5257">
      <c r="F5257">
        <f>IF(DATOS!$A5257="","",DATOS!$A5257&amp;"|"&amp;DATOS!$D5257&amp;"|"&amp;DATOS!$E5257&amp;"|"&amp;DATOS!$I5257)</f>
      </c>
      <c r="G5257">
        <f>IF(DATOS!$A5257="",0,IF(CONFIG_METADATA!$B$4&lt;&gt;"OR+EX",--(DATOS!$G5257=CONFIG_METADATA!$B$4),IF(DATOS!$G5257="EX",1,IF(DATOS!$G5257="OR",--(COUNTIFS(nNIA,DATOS!$A5257,nCURSO,DATOS!$D5257,nESPEC,DATOS!$E5257,nASIG,DATOS!$I5257,nEVAL,"EX")=0),0))))</f>
      </c>
      <c r="H5257">
        <f>IF(DATOS!$G5257&lt;&gt;"EX",0,--(COUNTIFS(nNIA,DATOS!$A5257,nCURSO,DATOS!$D5257,nESPEC,DATOS!$E5257,nASIG,DATOS!$I5257,nEVAL,"OR")=0))</f>
      </c>
      <c r="I5257">
        <f>IF(DATOS!$I5257="","",IFERROR(VLOOKUP(DATOS!$I5257,CONFIG_ASIGNATURAS!$B$2:$J$91,9,FALSE()),""))</f>
      </c>
    </row>
    <row r="5258">
      <c r="F5258">
        <f>IF(DATOS!$A5258="","",DATOS!$A5258&amp;"|"&amp;DATOS!$D5258&amp;"|"&amp;DATOS!$E5258&amp;"|"&amp;DATOS!$I5258)</f>
      </c>
      <c r="G5258">
        <f>IF(DATOS!$A5258="",0,IF(CONFIG_METADATA!$B$4&lt;&gt;"OR+EX",--(DATOS!$G5258=CONFIG_METADATA!$B$4),IF(DATOS!$G5258="EX",1,IF(DATOS!$G5258="OR",--(COUNTIFS(nNIA,DATOS!$A5258,nCURSO,DATOS!$D5258,nESPEC,DATOS!$E5258,nASIG,DATOS!$I5258,nEVAL,"EX")=0),0))))</f>
      </c>
      <c r="H5258">
        <f>IF(DATOS!$G5258&lt;&gt;"EX",0,--(COUNTIFS(nNIA,DATOS!$A5258,nCURSO,DATOS!$D5258,nESPEC,DATOS!$E5258,nASIG,DATOS!$I5258,nEVAL,"OR")=0))</f>
      </c>
      <c r="I5258">
        <f>IF(DATOS!$I5258="","",IFERROR(VLOOKUP(DATOS!$I5258,CONFIG_ASIGNATURAS!$B$2:$J$91,9,FALSE()),""))</f>
      </c>
    </row>
    <row r="5259">
      <c r="F5259">
        <f>IF(DATOS!$A5259="","",DATOS!$A5259&amp;"|"&amp;DATOS!$D5259&amp;"|"&amp;DATOS!$E5259&amp;"|"&amp;DATOS!$I5259)</f>
      </c>
      <c r="G5259">
        <f>IF(DATOS!$A5259="",0,IF(CONFIG_METADATA!$B$4&lt;&gt;"OR+EX",--(DATOS!$G5259=CONFIG_METADATA!$B$4),IF(DATOS!$G5259="EX",1,IF(DATOS!$G5259="OR",--(COUNTIFS(nNIA,DATOS!$A5259,nCURSO,DATOS!$D5259,nESPEC,DATOS!$E5259,nASIG,DATOS!$I5259,nEVAL,"EX")=0),0))))</f>
      </c>
      <c r="H5259">
        <f>IF(DATOS!$G5259&lt;&gt;"EX",0,--(COUNTIFS(nNIA,DATOS!$A5259,nCURSO,DATOS!$D5259,nESPEC,DATOS!$E5259,nASIG,DATOS!$I5259,nEVAL,"OR")=0))</f>
      </c>
      <c r="I5259">
        <f>IF(DATOS!$I5259="","",IFERROR(VLOOKUP(DATOS!$I5259,CONFIG_ASIGNATURAS!$B$2:$J$91,9,FALSE()),""))</f>
      </c>
    </row>
    <row r="5260">
      <c r="F5260">
        <f>IF(DATOS!$A5260="","",DATOS!$A5260&amp;"|"&amp;DATOS!$D5260&amp;"|"&amp;DATOS!$E5260&amp;"|"&amp;DATOS!$I5260)</f>
      </c>
      <c r="G5260">
        <f>IF(DATOS!$A5260="",0,IF(CONFIG_METADATA!$B$4&lt;&gt;"OR+EX",--(DATOS!$G5260=CONFIG_METADATA!$B$4),IF(DATOS!$G5260="EX",1,IF(DATOS!$G5260="OR",--(COUNTIFS(nNIA,DATOS!$A5260,nCURSO,DATOS!$D5260,nESPEC,DATOS!$E5260,nASIG,DATOS!$I5260,nEVAL,"EX")=0),0))))</f>
      </c>
      <c r="H5260">
        <f>IF(DATOS!$G5260&lt;&gt;"EX",0,--(COUNTIFS(nNIA,DATOS!$A5260,nCURSO,DATOS!$D5260,nESPEC,DATOS!$E5260,nASIG,DATOS!$I5260,nEVAL,"OR")=0))</f>
      </c>
      <c r="I5260">
        <f>IF(DATOS!$I5260="","",IFERROR(VLOOKUP(DATOS!$I5260,CONFIG_ASIGNATURAS!$B$2:$J$91,9,FALSE()),""))</f>
      </c>
    </row>
    <row r="5261">
      <c r="F5261">
        <f>IF(DATOS!$A5261="","",DATOS!$A5261&amp;"|"&amp;DATOS!$D5261&amp;"|"&amp;DATOS!$E5261&amp;"|"&amp;DATOS!$I5261)</f>
      </c>
      <c r="G5261">
        <f>IF(DATOS!$A5261="",0,IF(CONFIG_METADATA!$B$4&lt;&gt;"OR+EX",--(DATOS!$G5261=CONFIG_METADATA!$B$4),IF(DATOS!$G5261="EX",1,IF(DATOS!$G5261="OR",--(COUNTIFS(nNIA,DATOS!$A5261,nCURSO,DATOS!$D5261,nESPEC,DATOS!$E5261,nASIG,DATOS!$I5261,nEVAL,"EX")=0),0))))</f>
      </c>
      <c r="H5261">
        <f>IF(DATOS!$G5261&lt;&gt;"EX",0,--(COUNTIFS(nNIA,DATOS!$A5261,nCURSO,DATOS!$D5261,nESPEC,DATOS!$E5261,nASIG,DATOS!$I5261,nEVAL,"OR")=0))</f>
      </c>
      <c r="I5261">
        <f>IF(DATOS!$I5261="","",IFERROR(VLOOKUP(DATOS!$I5261,CONFIG_ASIGNATURAS!$B$2:$J$91,9,FALSE()),""))</f>
      </c>
    </row>
    <row r="5262">
      <c r="F5262">
        <f>IF(DATOS!$A5262="","",DATOS!$A5262&amp;"|"&amp;DATOS!$D5262&amp;"|"&amp;DATOS!$E5262&amp;"|"&amp;DATOS!$I5262)</f>
      </c>
      <c r="G5262">
        <f>IF(DATOS!$A5262="",0,IF(CONFIG_METADATA!$B$4&lt;&gt;"OR+EX",--(DATOS!$G5262=CONFIG_METADATA!$B$4),IF(DATOS!$G5262="EX",1,IF(DATOS!$G5262="OR",--(COUNTIFS(nNIA,DATOS!$A5262,nCURSO,DATOS!$D5262,nESPEC,DATOS!$E5262,nASIG,DATOS!$I5262,nEVAL,"EX")=0),0))))</f>
      </c>
      <c r="H5262">
        <f>IF(DATOS!$G5262&lt;&gt;"EX",0,--(COUNTIFS(nNIA,DATOS!$A5262,nCURSO,DATOS!$D5262,nESPEC,DATOS!$E5262,nASIG,DATOS!$I5262,nEVAL,"OR")=0))</f>
      </c>
      <c r="I5262">
        <f>IF(DATOS!$I5262="","",IFERROR(VLOOKUP(DATOS!$I5262,CONFIG_ASIGNATURAS!$B$2:$J$91,9,FALSE()),""))</f>
      </c>
    </row>
    <row r="5263">
      <c r="F5263">
        <f>IF(DATOS!$A5263="","",DATOS!$A5263&amp;"|"&amp;DATOS!$D5263&amp;"|"&amp;DATOS!$E5263&amp;"|"&amp;DATOS!$I5263)</f>
      </c>
      <c r="G5263">
        <f>IF(DATOS!$A5263="",0,IF(CONFIG_METADATA!$B$4&lt;&gt;"OR+EX",--(DATOS!$G5263=CONFIG_METADATA!$B$4),IF(DATOS!$G5263="EX",1,IF(DATOS!$G5263="OR",--(COUNTIFS(nNIA,DATOS!$A5263,nCURSO,DATOS!$D5263,nESPEC,DATOS!$E5263,nASIG,DATOS!$I5263,nEVAL,"EX")=0),0))))</f>
      </c>
      <c r="H5263">
        <f>IF(DATOS!$G5263&lt;&gt;"EX",0,--(COUNTIFS(nNIA,DATOS!$A5263,nCURSO,DATOS!$D5263,nESPEC,DATOS!$E5263,nASIG,DATOS!$I5263,nEVAL,"OR")=0))</f>
      </c>
      <c r="I5263">
        <f>IF(DATOS!$I5263="","",IFERROR(VLOOKUP(DATOS!$I5263,CONFIG_ASIGNATURAS!$B$2:$J$91,9,FALSE()),""))</f>
      </c>
    </row>
    <row r="5264">
      <c r="F5264">
        <f>IF(DATOS!$A5264="","",DATOS!$A5264&amp;"|"&amp;DATOS!$D5264&amp;"|"&amp;DATOS!$E5264&amp;"|"&amp;DATOS!$I5264)</f>
      </c>
      <c r="G5264">
        <f>IF(DATOS!$A5264="",0,IF(CONFIG_METADATA!$B$4&lt;&gt;"OR+EX",--(DATOS!$G5264=CONFIG_METADATA!$B$4),IF(DATOS!$G5264="EX",1,IF(DATOS!$G5264="OR",--(COUNTIFS(nNIA,DATOS!$A5264,nCURSO,DATOS!$D5264,nESPEC,DATOS!$E5264,nASIG,DATOS!$I5264,nEVAL,"EX")=0),0))))</f>
      </c>
      <c r="H5264">
        <f>IF(DATOS!$G5264&lt;&gt;"EX",0,--(COUNTIFS(nNIA,DATOS!$A5264,nCURSO,DATOS!$D5264,nESPEC,DATOS!$E5264,nASIG,DATOS!$I5264,nEVAL,"OR")=0))</f>
      </c>
      <c r="I5264">
        <f>IF(DATOS!$I5264="","",IFERROR(VLOOKUP(DATOS!$I5264,CONFIG_ASIGNATURAS!$B$2:$J$91,9,FALSE()),""))</f>
      </c>
    </row>
    <row r="5265">
      <c r="F5265">
        <f>IF(DATOS!$A5265="","",DATOS!$A5265&amp;"|"&amp;DATOS!$D5265&amp;"|"&amp;DATOS!$E5265&amp;"|"&amp;DATOS!$I5265)</f>
      </c>
      <c r="G5265">
        <f>IF(DATOS!$A5265="",0,IF(CONFIG_METADATA!$B$4&lt;&gt;"OR+EX",--(DATOS!$G5265=CONFIG_METADATA!$B$4),IF(DATOS!$G5265="EX",1,IF(DATOS!$G5265="OR",--(COUNTIFS(nNIA,DATOS!$A5265,nCURSO,DATOS!$D5265,nESPEC,DATOS!$E5265,nASIG,DATOS!$I5265,nEVAL,"EX")=0),0))))</f>
      </c>
      <c r="H5265">
        <f>IF(DATOS!$G5265&lt;&gt;"EX",0,--(COUNTIFS(nNIA,DATOS!$A5265,nCURSO,DATOS!$D5265,nESPEC,DATOS!$E5265,nASIG,DATOS!$I5265,nEVAL,"OR")=0))</f>
      </c>
      <c r="I5265">
        <f>IF(DATOS!$I5265="","",IFERROR(VLOOKUP(DATOS!$I5265,CONFIG_ASIGNATURAS!$B$2:$J$91,9,FALSE()),""))</f>
      </c>
    </row>
    <row r="5266">
      <c r="F5266">
        <f>IF(DATOS!$A5266="","",DATOS!$A5266&amp;"|"&amp;DATOS!$D5266&amp;"|"&amp;DATOS!$E5266&amp;"|"&amp;DATOS!$I5266)</f>
      </c>
      <c r="G5266">
        <f>IF(DATOS!$A5266="",0,IF(CONFIG_METADATA!$B$4&lt;&gt;"OR+EX",--(DATOS!$G5266=CONFIG_METADATA!$B$4),IF(DATOS!$G5266="EX",1,IF(DATOS!$G5266="OR",--(COUNTIFS(nNIA,DATOS!$A5266,nCURSO,DATOS!$D5266,nESPEC,DATOS!$E5266,nASIG,DATOS!$I5266,nEVAL,"EX")=0),0))))</f>
      </c>
      <c r="H5266">
        <f>IF(DATOS!$G5266&lt;&gt;"EX",0,--(COUNTIFS(nNIA,DATOS!$A5266,nCURSO,DATOS!$D5266,nESPEC,DATOS!$E5266,nASIG,DATOS!$I5266,nEVAL,"OR")=0))</f>
      </c>
      <c r="I5266">
        <f>IF(DATOS!$I5266="","",IFERROR(VLOOKUP(DATOS!$I5266,CONFIG_ASIGNATURAS!$B$2:$J$91,9,FALSE()),""))</f>
      </c>
    </row>
    <row r="5267">
      <c r="F5267">
        <f>IF(DATOS!$A5267="","",DATOS!$A5267&amp;"|"&amp;DATOS!$D5267&amp;"|"&amp;DATOS!$E5267&amp;"|"&amp;DATOS!$I5267)</f>
      </c>
      <c r="G5267">
        <f>IF(DATOS!$A5267="",0,IF(CONFIG_METADATA!$B$4&lt;&gt;"OR+EX",--(DATOS!$G5267=CONFIG_METADATA!$B$4),IF(DATOS!$G5267="EX",1,IF(DATOS!$G5267="OR",--(COUNTIFS(nNIA,DATOS!$A5267,nCURSO,DATOS!$D5267,nESPEC,DATOS!$E5267,nASIG,DATOS!$I5267,nEVAL,"EX")=0),0))))</f>
      </c>
      <c r="H5267">
        <f>IF(DATOS!$G5267&lt;&gt;"EX",0,--(COUNTIFS(nNIA,DATOS!$A5267,nCURSO,DATOS!$D5267,nESPEC,DATOS!$E5267,nASIG,DATOS!$I5267,nEVAL,"OR")=0))</f>
      </c>
      <c r="I5267">
        <f>IF(DATOS!$I5267="","",IFERROR(VLOOKUP(DATOS!$I5267,CONFIG_ASIGNATURAS!$B$2:$J$91,9,FALSE()),""))</f>
      </c>
    </row>
    <row r="5268">
      <c r="F5268">
        <f>IF(DATOS!$A5268="","",DATOS!$A5268&amp;"|"&amp;DATOS!$D5268&amp;"|"&amp;DATOS!$E5268&amp;"|"&amp;DATOS!$I5268)</f>
      </c>
      <c r="G5268">
        <f>IF(DATOS!$A5268="",0,IF(CONFIG_METADATA!$B$4&lt;&gt;"OR+EX",--(DATOS!$G5268=CONFIG_METADATA!$B$4),IF(DATOS!$G5268="EX",1,IF(DATOS!$G5268="OR",--(COUNTIFS(nNIA,DATOS!$A5268,nCURSO,DATOS!$D5268,nESPEC,DATOS!$E5268,nASIG,DATOS!$I5268,nEVAL,"EX")=0),0))))</f>
      </c>
      <c r="H5268">
        <f>IF(DATOS!$G5268&lt;&gt;"EX",0,--(COUNTIFS(nNIA,DATOS!$A5268,nCURSO,DATOS!$D5268,nESPEC,DATOS!$E5268,nASIG,DATOS!$I5268,nEVAL,"OR")=0))</f>
      </c>
      <c r="I5268">
        <f>IF(DATOS!$I5268="","",IFERROR(VLOOKUP(DATOS!$I5268,CONFIG_ASIGNATURAS!$B$2:$J$91,9,FALSE()),""))</f>
      </c>
    </row>
    <row r="5269">
      <c r="F5269">
        <f>IF(DATOS!$A5269="","",DATOS!$A5269&amp;"|"&amp;DATOS!$D5269&amp;"|"&amp;DATOS!$E5269&amp;"|"&amp;DATOS!$I5269)</f>
      </c>
      <c r="G5269">
        <f>IF(DATOS!$A5269="",0,IF(CONFIG_METADATA!$B$4&lt;&gt;"OR+EX",--(DATOS!$G5269=CONFIG_METADATA!$B$4),IF(DATOS!$G5269="EX",1,IF(DATOS!$G5269="OR",--(COUNTIFS(nNIA,DATOS!$A5269,nCURSO,DATOS!$D5269,nESPEC,DATOS!$E5269,nASIG,DATOS!$I5269,nEVAL,"EX")=0),0))))</f>
      </c>
      <c r="H5269">
        <f>IF(DATOS!$G5269&lt;&gt;"EX",0,--(COUNTIFS(nNIA,DATOS!$A5269,nCURSO,DATOS!$D5269,nESPEC,DATOS!$E5269,nASIG,DATOS!$I5269,nEVAL,"OR")=0))</f>
      </c>
      <c r="I5269">
        <f>IF(DATOS!$I5269="","",IFERROR(VLOOKUP(DATOS!$I5269,CONFIG_ASIGNATURAS!$B$2:$J$91,9,FALSE()),""))</f>
      </c>
    </row>
    <row r="5270">
      <c r="F5270">
        <f>IF(DATOS!$A5270="","",DATOS!$A5270&amp;"|"&amp;DATOS!$D5270&amp;"|"&amp;DATOS!$E5270&amp;"|"&amp;DATOS!$I5270)</f>
      </c>
      <c r="G5270">
        <f>IF(DATOS!$A5270="",0,IF(CONFIG_METADATA!$B$4&lt;&gt;"OR+EX",--(DATOS!$G5270=CONFIG_METADATA!$B$4),IF(DATOS!$G5270="EX",1,IF(DATOS!$G5270="OR",--(COUNTIFS(nNIA,DATOS!$A5270,nCURSO,DATOS!$D5270,nESPEC,DATOS!$E5270,nASIG,DATOS!$I5270,nEVAL,"EX")=0),0))))</f>
      </c>
      <c r="H5270">
        <f>IF(DATOS!$G5270&lt;&gt;"EX",0,--(COUNTIFS(nNIA,DATOS!$A5270,nCURSO,DATOS!$D5270,nESPEC,DATOS!$E5270,nASIG,DATOS!$I5270,nEVAL,"OR")=0))</f>
      </c>
      <c r="I5270">
        <f>IF(DATOS!$I5270="","",IFERROR(VLOOKUP(DATOS!$I5270,CONFIG_ASIGNATURAS!$B$2:$J$91,9,FALSE()),""))</f>
      </c>
    </row>
    <row r="5271">
      <c r="F5271">
        <f>IF(DATOS!$A5271="","",DATOS!$A5271&amp;"|"&amp;DATOS!$D5271&amp;"|"&amp;DATOS!$E5271&amp;"|"&amp;DATOS!$I5271)</f>
      </c>
      <c r="G5271">
        <f>IF(DATOS!$A5271="",0,IF(CONFIG_METADATA!$B$4&lt;&gt;"OR+EX",--(DATOS!$G5271=CONFIG_METADATA!$B$4),IF(DATOS!$G5271="EX",1,IF(DATOS!$G5271="OR",--(COUNTIFS(nNIA,DATOS!$A5271,nCURSO,DATOS!$D5271,nESPEC,DATOS!$E5271,nASIG,DATOS!$I5271,nEVAL,"EX")=0),0))))</f>
      </c>
      <c r="H5271">
        <f>IF(DATOS!$G5271&lt;&gt;"EX",0,--(COUNTIFS(nNIA,DATOS!$A5271,nCURSO,DATOS!$D5271,nESPEC,DATOS!$E5271,nASIG,DATOS!$I5271,nEVAL,"OR")=0))</f>
      </c>
      <c r="I5271">
        <f>IF(DATOS!$I5271="","",IFERROR(VLOOKUP(DATOS!$I5271,CONFIG_ASIGNATURAS!$B$2:$J$91,9,FALSE()),""))</f>
      </c>
    </row>
    <row r="5272">
      <c r="F5272">
        <f>IF(DATOS!$A5272="","",DATOS!$A5272&amp;"|"&amp;DATOS!$D5272&amp;"|"&amp;DATOS!$E5272&amp;"|"&amp;DATOS!$I5272)</f>
      </c>
      <c r="G5272">
        <f>IF(DATOS!$A5272="",0,IF(CONFIG_METADATA!$B$4&lt;&gt;"OR+EX",--(DATOS!$G5272=CONFIG_METADATA!$B$4),IF(DATOS!$G5272="EX",1,IF(DATOS!$G5272="OR",--(COUNTIFS(nNIA,DATOS!$A5272,nCURSO,DATOS!$D5272,nESPEC,DATOS!$E5272,nASIG,DATOS!$I5272,nEVAL,"EX")=0),0))))</f>
      </c>
      <c r="H5272">
        <f>IF(DATOS!$G5272&lt;&gt;"EX",0,--(COUNTIFS(nNIA,DATOS!$A5272,nCURSO,DATOS!$D5272,nESPEC,DATOS!$E5272,nASIG,DATOS!$I5272,nEVAL,"OR")=0))</f>
      </c>
      <c r="I5272">
        <f>IF(DATOS!$I5272="","",IFERROR(VLOOKUP(DATOS!$I5272,CONFIG_ASIGNATURAS!$B$2:$J$91,9,FALSE()),""))</f>
      </c>
    </row>
    <row r="5273">
      <c r="F5273">
        <f>IF(DATOS!$A5273="","",DATOS!$A5273&amp;"|"&amp;DATOS!$D5273&amp;"|"&amp;DATOS!$E5273&amp;"|"&amp;DATOS!$I5273)</f>
      </c>
      <c r="G5273">
        <f>IF(DATOS!$A5273="",0,IF(CONFIG_METADATA!$B$4&lt;&gt;"OR+EX",--(DATOS!$G5273=CONFIG_METADATA!$B$4),IF(DATOS!$G5273="EX",1,IF(DATOS!$G5273="OR",--(COUNTIFS(nNIA,DATOS!$A5273,nCURSO,DATOS!$D5273,nESPEC,DATOS!$E5273,nASIG,DATOS!$I5273,nEVAL,"EX")=0),0))))</f>
      </c>
      <c r="H5273">
        <f>IF(DATOS!$G5273&lt;&gt;"EX",0,--(COUNTIFS(nNIA,DATOS!$A5273,nCURSO,DATOS!$D5273,nESPEC,DATOS!$E5273,nASIG,DATOS!$I5273,nEVAL,"OR")=0))</f>
      </c>
      <c r="I5273">
        <f>IF(DATOS!$I5273="","",IFERROR(VLOOKUP(DATOS!$I5273,CONFIG_ASIGNATURAS!$B$2:$J$91,9,FALSE()),""))</f>
      </c>
    </row>
    <row r="5274">
      <c r="F5274">
        <f>IF(DATOS!$A5274="","",DATOS!$A5274&amp;"|"&amp;DATOS!$D5274&amp;"|"&amp;DATOS!$E5274&amp;"|"&amp;DATOS!$I5274)</f>
      </c>
      <c r="G5274">
        <f>IF(DATOS!$A5274="",0,IF(CONFIG_METADATA!$B$4&lt;&gt;"OR+EX",--(DATOS!$G5274=CONFIG_METADATA!$B$4),IF(DATOS!$G5274="EX",1,IF(DATOS!$G5274="OR",--(COUNTIFS(nNIA,DATOS!$A5274,nCURSO,DATOS!$D5274,nESPEC,DATOS!$E5274,nASIG,DATOS!$I5274,nEVAL,"EX")=0),0))))</f>
      </c>
      <c r="H5274">
        <f>IF(DATOS!$G5274&lt;&gt;"EX",0,--(COUNTIFS(nNIA,DATOS!$A5274,nCURSO,DATOS!$D5274,nESPEC,DATOS!$E5274,nASIG,DATOS!$I5274,nEVAL,"OR")=0))</f>
      </c>
      <c r="I5274">
        <f>IF(DATOS!$I5274="","",IFERROR(VLOOKUP(DATOS!$I5274,CONFIG_ASIGNATURAS!$B$2:$J$91,9,FALSE()),""))</f>
      </c>
    </row>
    <row r="5275">
      <c r="F5275">
        <f>IF(DATOS!$A5275="","",DATOS!$A5275&amp;"|"&amp;DATOS!$D5275&amp;"|"&amp;DATOS!$E5275&amp;"|"&amp;DATOS!$I5275)</f>
      </c>
      <c r="G5275">
        <f>IF(DATOS!$A5275="",0,IF(CONFIG_METADATA!$B$4&lt;&gt;"OR+EX",--(DATOS!$G5275=CONFIG_METADATA!$B$4),IF(DATOS!$G5275="EX",1,IF(DATOS!$G5275="OR",--(COUNTIFS(nNIA,DATOS!$A5275,nCURSO,DATOS!$D5275,nESPEC,DATOS!$E5275,nASIG,DATOS!$I5275,nEVAL,"EX")=0),0))))</f>
      </c>
      <c r="H5275">
        <f>IF(DATOS!$G5275&lt;&gt;"EX",0,--(COUNTIFS(nNIA,DATOS!$A5275,nCURSO,DATOS!$D5275,nESPEC,DATOS!$E5275,nASIG,DATOS!$I5275,nEVAL,"OR")=0))</f>
      </c>
      <c r="I5275">
        <f>IF(DATOS!$I5275="","",IFERROR(VLOOKUP(DATOS!$I5275,CONFIG_ASIGNATURAS!$B$2:$J$91,9,FALSE()),""))</f>
      </c>
    </row>
    <row r="5276">
      <c r="F5276">
        <f>IF(DATOS!$A5276="","",DATOS!$A5276&amp;"|"&amp;DATOS!$D5276&amp;"|"&amp;DATOS!$E5276&amp;"|"&amp;DATOS!$I5276)</f>
      </c>
      <c r="G5276">
        <f>IF(DATOS!$A5276="",0,IF(CONFIG_METADATA!$B$4&lt;&gt;"OR+EX",--(DATOS!$G5276=CONFIG_METADATA!$B$4),IF(DATOS!$G5276="EX",1,IF(DATOS!$G5276="OR",--(COUNTIFS(nNIA,DATOS!$A5276,nCURSO,DATOS!$D5276,nESPEC,DATOS!$E5276,nASIG,DATOS!$I5276,nEVAL,"EX")=0),0))))</f>
      </c>
      <c r="H5276">
        <f>IF(DATOS!$G5276&lt;&gt;"EX",0,--(COUNTIFS(nNIA,DATOS!$A5276,nCURSO,DATOS!$D5276,nESPEC,DATOS!$E5276,nASIG,DATOS!$I5276,nEVAL,"OR")=0))</f>
      </c>
      <c r="I5276">
        <f>IF(DATOS!$I5276="","",IFERROR(VLOOKUP(DATOS!$I5276,CONFIG_ASIGNATURAS!$B$2:$J$91,9,FALSE()),""))</f>
      </c>
    </row>
    <row r="5277">
      <c r="F5277">
        <f>IF(DATOS!$A5277="","",DATOS!$A5277&amp;"|"&amp;DATOS!$D5277&amp;"|"&amp;DATOS!$E5277&amp;"|"&amp;DATOS!$I5277)</f>
      </c>
      <c r="G5277">
        <f>IF(DATOS!$A5277="",0,IF(CONFIG_METADATA!$B$4&lt;&gt;"OR+EX",--(DATOS!$G5277=CONFIG_METADATA!$B$4),IF(DATOS!$G5277="EX",1,IF(DATOS!$G5277="OR",--(COUNTIFS(nNIA,DATOS!$A5277,nCURSO,DATOS!$D5277,nESPEC,DATOS!$E5277,nASIG,DATOS!$I5277,nEVAL,"EX")=0),0))))</f>
      </c>
      <c r="H5277">
        <f>IF(DATOS!$G5277&lt;&gt;"EX",0,--(COUNTIFS(nNIA,DATOS!$A5277,nCURSO,DATOS!$D5277,nESPEC,DATOS!$E5277,nASIG,DATOS!$I5277,nEVAL,"OR")=0))</f>
      </c>
      <c r="I5277">
        <f>IF(DATOS!$I5277="","",IFERROR(VLOOKUP(DATOS!$I5277,CONFIG_ASIGNATURAS!$B$2:$J$91,9,FALSE()),""))</f>
      </c>
    </row>
    <row r="5278">
      <c r="F5278">
        <f>IF(DATOS!$A5278="","",DATOS!$A5278&amp;"|"&amp;DATOS!$D5278&amp;"|"&amp;DATOS!$E5278&amp;"|"&amp;DATOS!$I5278)</f>
      </c>
      <c r="G5278">
        <f>IF(DATOS!$A5278="",0,IF(CONFIG_METADATA!$B$4&lt;&gt;"OR+EX",--(DATOS!$G5278=CONFIG_METADATA!$B$4),IF(DATOS!$G5278="EX",1,IF(DATOS!$G5278="OR",--(COUNTIFS(nNIA,DATOS!$A5278,nCURSO,DATOS!$D5278,nESPEC,DATOS!$E5278,nASIG,DATOS!$I5278,nEVAL,"EX")=0),0))))</f>
      </c>
      <c r="H5278">
        <f>IF(DATOS!$G5278&lt;&gt;"EX",0,--(COUNTIFS(nNIA,DATOS!$A5278,nCURSO,DATOS!$D5278,nESPEC,DATOS!$E5278,nASIG,DATOS!$I5278,nEVAL,"OR")=0))</f>
      </c>
      <c r="I5278">
        <f>IF(DATOS!$I5278="","",IFERROR(VLOOKUP(DATOS!$I5278,CONFIG_ASIGNATURAS!$B$2:$J$91,9,FALSE()),""))</f>
      </c>
    </row>
    <row r="5279">
      <c r="F5279">
        <f>IF(DATOS!$A5279="","",DATOS!$A5279&amp;"|"&amp;DATOS!$D5279&amp;"|"&amp;DATOS!$E5279&amp;"|"&amp;DATOS!$I5279)</f>
      </c>
      <c r="G5279">
        <f>IF(DATOS!$A5279="",0,IF(CONFIG_METADATA!$B$4&lt;&gt;"OR+EX",--(DATOS!$G5279=CONFIG_METADATA!$B$4),IF(DATOS!$G5279="EX",1,IF(DATOS!$G5279="OR",--(COUNTIFS(nNIA,DATOS!$A5279,nCURSO,DATOS!$D5279,nESPEC,DATOS!$E5279,nASIG,DATOS!$I5279,nEVAL,"EX")=0),0))))</f>
      </c>
      <c r="H5279">
        <f>IF(DATOS!$G5279&lt;&gt;"EX",0,--(COUNTIFS(nNIA,DATOS!$A5279,nCURSO,DATOS!$D5279,nESPEC,DATOS!$E5279,nASIG,DATOS!$I5279,nEVAL,"OR")=0))</f>
      </c>
      <c r="I5279">
        <f>IF(DATOS!$I5279="","",IFERROR(VLOOKUP(DATOS!$I5279,CONFIG_ASIGNATURAS!$B$2:$J$91,9,FALSE()),""))</f>
      </c>
    </row>
    <row r="5280">
      <c r="F5280">
        <f>IF(DATOS!$A5280="","",DATOS!$A5280&amp;"|"&amp;DATOS!$D5280&amp;"|"&amp;DATOS!$E5280&amp;"|"&amp;DATOS!$I5280)</f>
      </c>
      <c r="G5280">
        <f>IF(DATOS!$A5280="",0,IF(CONFIG_METADATA!$B$4&lt;&gt;"OR+EX",--(DATOS!$G5280=CONFIG_METADATA!$B$4),IF(DATOS!$G5280="EX",1,IF(DATOS!$G5280="OR",--(COUNTIFS(nNIA,DATOS!$A5280,nCURSO,DATOS!$D5280,nESPEC,DATOS!$E5280,nASIG,DATOS!$I5280,nEVAL,"EX")=0),0))))</f>
      </c>
      <c r="H5280">
        <f>IF(DATOS!$G5280&lt;&gt;"EX",0,--(COUNTIFS(nNIA,DATOS!$A5280,nCURSO,DATOS!$D5280,nESPEC,DATOS!$E5280,nASIG,DATOS!$I5280,nEVAL,"OR")=0))</f>
      </c>
      <c r="I5280">
        <f>IF(DATOS!$I5280="","",IFERROR(VLOOKUP(DATOS!$I5280,CONFIG_ASIGNATURAS!$B$2:$J$91,9,FALSE()),""))</f>
      </c>
    </row>
    <row r="5281">
      <c r="F5281">
        <f>IF(DATOS!$A5281="","",DATOS!$A5281&amp;"|"&amp;DATOS!$D5281&amp;"|"&amp;DATOS!$E5281&amp;"|"&amp;DATOS!$I5281)</f>
      </c>
      <c r="G5281">
        <f>IF(DATOS!$A5281="",0,IF(CONFIG_METADATA!$B$4&lt;&gt;"OR+EX",--(DATOS!$G5281=CONFIG_METADATA!$B$4),IF(DATOS!$G5281="EX",1,IF(DATOS!$G5281="OR",--(COUNTIFS(nNIA,DATOS!$A5281,nCURSO,DATOS!$D5281,nESPEC,DATOS!$E5281,nASIG,DATOS!$I5281,nEVAL,"EX")=0),0))))</f>
      </c>
      <c r="H5281">
        <f>IF(DATOS!$G5281&lt;&gt;"EX",0,--(COUNTIFS(nNIA,DATOS!$A5281,nCURSO,DATOS!$D5281,nESPEC,DATOS!$E5281,nASIG,DATOS!$I5281,nEVAL,"OR")=0))</f>
      </c>
      <c r="I5281">
        <f>IF(DATOS!$I5281="","",IFERROR(VLOOKUP(DATOS!$I5281,CONFIG_ASIGNATURAS!$B$2:$J$91,9,FALSE()),""))</f>
      </c>
    </row>
    <row r="5282">
      <c r="F5282">
        <f>IF(DATOS!$A5282="","",DATOS!$A5282&amp;"|"&amp;DATOS!$D5282&amp;"|"&amp;DATOS!$E5282&amp;"|"&amp;DATOS!$I5282)</f>
      </c>
      <c r="G5282">
        <f>IF(DATOS!$A5282="",0,IF(CONFIG_METADATA!$B$4&lt;&gt;"OR+EX",--(DATOS!$G5282=CONFIG_METADATA!$B$4),IF(DATOS!$G5282="EX",1,IF(DATOS!$G5282="OR",--(COUNTIFS(nNIA,DATOS!$A5282,nCURSO,DATOS!$D5282,nESPEC,DATOS!$E5282,nASIG,DATOS!$I5282,nEVAL,"EX")=0),0))))</f>
      </c>
      <c r="H5282">
        <f>IF(DATOS!$G5282&lt;&gt;"EX",0,--(COUNTIFS(nNIA,DATOS!$A5282,nCURSO,DATOS!$D5282,nESPEC,DATOS!$E5282,nASIG,DATOS!$I5282,nEVAL,"OR")=0))</f>
      </c>
      <c r="I5282">
        <f>IF(DATOS!$I5282="","",IFERROR(VLOOKUP(DATOS!$I5282,CONFIG_ASIGNATURAS!$B$2:$J$91,9,FALSE()),""))</f>
      </c>
    </row>
    <row r="5283">
      <c r="F5283">
        <f>IF(DATOS!$A5283="","",DATOS!$A5283&amp;"|"&amp;DATOS!$D5283&amp;"|"&amp;DATOS!$E5283&amp;"|"&amp;DATOS!$I5283)</f>
      </c>
      <c r="G5283">
        <f>IF(DATOS!$A5283="",0,IF(CONFIG_METADATA!$B$4&lt;&gt;"OR+EX",--(DATOS!$G5283=CONFIG_METADATA!$B$4),IF(DATOS!$G5283="EX",1,IF(DATOS!$G5283="OR",--(COUNTIFS(nNIA,DATOS!$A5283,nCURSO,DATOS!$D5283,nESPEC,DATOS!$E5283,nASIG,DATOS!$I5283,nEVAL,"EX")=0),0))))</f>
      </c>
      <c r="H5283">
        <f>IF(DATOS!$G5283&lt;&gt;"EX",0,--(COUNTIFS(nNIA,DATOS!$A5283,nCURSO,DATOS!$D5283,nESPEC,DATOS!$E5283,nASIG,DATOS!$I5283,nEVAL,"OR")=0))</f>
      </c>
      <c r="I5283">
        <f>IF(DATOS!$I5283="","",IFERROR(VLOOKUP(DATOS!$I5283,CONFIG_ASIGNATURAS!$B$2:$J$91,9,FALSE()),""))</f>
      </c>
    </row>
    <row r="5284">
      <c r="F5284">
        <f>IF(DATOS!$A5284="","",DATOS!$A5284&amp;"|"&amp;DATOS!$D5284&amp;"|"&amp;DATOS!$E5284&amp;"|"&amp;DATOS!$I5284)</f>
      </c>
      <c r="G5284">
        <f>IF(DATOS!$A5284="",0,IF(CONFIG_METADATA!$B$4&lt;&gt;"OR+EX",--(DATOS!$G5284=CONFIG_METADATA!$B$4),IF(DATOS!$G5284="EX",1,IF(DATOS!$G5284="OR",--(COUNTIFS(nNIA,DATOS!$A5284,nCURSO,DATOS!$D5284,nESPEC,DATOS!$E5284,nASIG,DATOS!$I5284,nEVAL,"EX")=0),0))))</f>
      </c>
      <c r="H5284">
        <f>IF(DATOS!$G5284&lt;&gt;"EX",0,--(COUNTIFS(nNIA,DATOS!$A5284,nCURSO,DATOS!$D5284,nESPEC,DATOS!$E5284,nASIG,DATOS!$I5284,nEVAL,"OR")=0))</f>
      </c>
      <c r="I5284">
        <f>IF(DATOS!$I5284="","",IFERROR(VLOOKUP(DATOS!$I5284,CONFIG_ASIGNATURAS!$B$2:$J$91,9,FALSE()),""))</f>
      </c>
    </row>
    <row r="5285">
      <c r="F5285">
        <f>IF(DATOS!$A5285="","",DATOS!$A5285&amp;"|"&amp;DATOS!$D5285&amp;"|"&amp;DATOS!$E5285&amp;"|"&amp;DATOS!$I5285)</f>
      </c>
      <c r="G5285">
        <f>IF(DATOS!$A5285="",0,IF(CONFIG_METADATA!$B$4&lt;&gt;"OR+EX",--(DATOS!$G5285=CONFIG_METADATA!$B$4),IF(DATOS!$G5285="EX",1,IF(DATOS!$G5285="OR",--(COUNTIFS(nNIA,DATOS!$A5285,nCURSO,DATOS!$D5285,nESPEC,DATOS!$E5285,nASIG,DATOS!$I5285,nEVAL,"EX")=0),0))))</f>
      </c>
      <c r="H5285">
        <f>IF(DATOS!$G5285&lt;&gt;"EX",0,--(COUNTIFS(nNIA,DATOS!$A5285,nCURSO,DATOS!$D5285,nESPEC,DATOS!$E5285,nASIG,DATOS!$I5285,nEVAL,"OR")=0))</f>
      </c>
      <c r="I5285">
        <f>IF(DATOS!$I5285="","",IFERROR(VLOOKUP(DATOS!$I5285,CONFIG_ASIGNATURAS!$B$2:$J$91,9,FALSE()),""))</f>
      </c>
    </row>
    <row r="5286">
      <c r="F5286">
        <f>IF(DATOS!$A5286="","",DATOS!$A5286&amp;"|"&amp;DATOS!$D5286&amp;"|"&amp;DATOS!$E5286&amp;"|"&amp;DATOS!$I5286)</f>
      </c>
      <c r="G5286">
        <f>IF(DATOS!$A5286="",0,IF(CONFIG_METADATA!$B$4&lt;&gt;"OR+EX",--(DATOS!$G5286=CONFIG_METADATA!$B$4),IF(DATOS!$G5286="EX",1,IF(DATOS!$G5286="OR",--(COUNTIFS(nNIA,DATOS!$A5286,nCURSO,DATOS!$D5286,nESPEC,DATOS!$E5286,nASIG,DATOS!$I5286,nEVAL,"EX")=0),0))))</f>
      </c>
      <c r="H5286">
        <f>IF(DATOS!$G5286&lt;&gt;"EX",0,--(COUNTIFS(nNIA,DATOS!$A5286,nCURSO,DATOS!$D5286,nESPEC,DATOS!$E5286,nASIG,DATOS!$I5286,nEVAL,"OR")=0))</f>
      </c>
      <c r="I5286">
        <f>IF(DATOS!$I5286="","",IFERROR(VLOOKUP(DATOS!$I5286,CONFIG_ASIGNATURAS!$B$2:$J$91,9,FALSE()),""))</f>
      </c>
    </row>
    <row r="5287">
      <c r="F5287">
        <f>IF(DATOS!$A5287="","",DATOS!$A5287&amp;"|"&amp;DATOS!$D5287&amp;"|"&amp;DATOS!$E5287&amp;"|"&amp;DATOS!$I5287)</f>
      </c>
      <c r="G5287">
        <f>IF(DATOS!$A5287="",0,IF(CONFIG_METADATA!$B$4&lt;&gt;"OR+EX",--(DATOS!$G5287=CONFIG_METADATA!$B$4),IF(DATOS!$G5287="EX",1,IF(DATOS!$G5287="OR",--(COUNTIFS(nNIA,DATOS!$A5287,nCURSO,DATOS!$D5287,nESPEC,DATOS!$E5287,nASIG,DATOS!$I5287,nEVAL,"EX")=0),0))))</f>
      </c>
      <c r="H5287">
        <f>IF(DATOS!$G5287&lt;&gt;"EX",0,--(COUNTIFS(nNIA,DATOS!$A5287,nCURSO,DATOS!$D5287,nESPEC,DATOS!$E5287,nASIG,DATOS!$I5287,nEVAL,"OR")=0))</f>
      </c>
      <c r="I5287">
        <f>IF(DATOS!$I5287="","",IFERROR(VLOOKUP(DATOS!$I5287,CONFIG_ASIGNATURAS!$B$2:$J$91,9,FALSE()),""))</f>
      </c>
    </row>
    <row r="5288">
      <c r="F5288">
        <f>IF(DATOS!$A5288="","",DATOS!$A5288&amp;"|"&amp;DATOS!$D5288&amp;"|"&amp;DATOS!$E5288&amp;"|"&amp;DATOS!$I5288)</f>
      </c>
      <c r="G5288">
        <f>IF(DATOS!$A5288="",0,IF(CONFIG_METADATA!$B$4&lt;&gt;"OR+EX",--(DATOS!$G5288=CONFIG_METADATA!$B$4),IF(DATOS!$G5288="EX",1,IF(DATOS!$G5288="OR",--(COUNTIFS(nNIA,DATOS!$A5288,nCURSO,DATOS!$D5288,nESPEC,DATOS!$E5288,nASIG,DATOS!$I5288,nEVAL,"EX")=0),0))))</f>
      </c>
      <c r="H5288">
        <f>IF(DATOS!$G5288&lt;&gt;"EX",0,--(COUNTIFS(nNIA,DATOS!$A5288,nCURSO,DATOS!$D5288,nESPEC,DATOS!$E5288,nASIG,DATOS!$I5288,nEVAL,"OR")=0))</f>
      </c>
      <c r="I5288">
        <f>IF(DATOS!$I5288="","",IFERROR(VLOOKUP(DATOS!$I5288,CONFIG_ASIGNATURAS!$B$2:$J$91,9,FALSE()),""))</f>
      </c>
    </row>
    <row r="5289">
      <c r="F5289">
        <f>IF(DATOS!$A5289="","",DATOS!$A5289&amp;"|"&amp;DATOS!$D5289&amp;"|"&amp;DATOS!$E5289&amp;"|"&amp;DATOS!$I5289)</f>
      </c>
      <c r="G5289">
        <f>IF(DATOS!$A5289="",0,IF(CONFIG_METADATA!$B$4&lt;&gt;"OR+EX",--(DATOS!$G5289=CONFIG_METADATA!$B$4),IF(DATOS!$G5289="EX",1,IF(DATOS!$G5289="OR",--(COUNTIFS(nNIA,DATOS!$A5289,nCURSO,DATOS!$D5289,nESPEC,DATOS!$E5289,nASIG,DATOS!$I5289,nEVAL,"EX")=0),0))))</f>
      </c>
      <c r="H5289">
        <f>IF(DATOS!$G5289&lt;&gt;"EX",0,--(COUNTIFS(nNIA,DATOS!$A5289,nCURSO,DATOS!$D5289,nESPEC,DATOS!$E5289,nASIG,DATOS!$I5289,nEVAL,"OR")=0))</f>
      </c>
      <c r="I5289">
        <f>IF(DATOS!$I5289="","",IFERROR(VLOOKUP(DATOS!$I5289,CONFIG_ASIGNATURAS!$B$2:$J$91,9,FALSE()),""))</f>
      </c>
    </row>
    <row r="5290">
      <c r="F5290">
        <f>IF(DATOS!$A5290="","",DATOS!$A5290&amp;"|"&amp;DATOS!$D5290&amp;"|"&amp;DATOS!$E5290&amp;"|"&amp;DATOS!$I5290)</f>
      </c>
      <c r="G5290">
        <f>IF(DATOS!$A5290="",0,IF(CONFIG_METADATA!$B$4&lt;&gt;"OR+EX",--(DATOS!$G5290=CONFIG_METADATA!$B$4),IF(DATOS!$G5290="EX",1,IF(DATOS!$G5290="OR",--(COUNTIFS(nNIA,DATOS!$A5290,nCURSO,DATOS!$D5290,nESPEC,DATOS!$E5290,nASIG,DATOS!$I5290,nEVAL,"EX")=0),0))))</f>
      </c>
      <c r="H5290">
        <f>IF(DATOS!$G5290&lt;&gt;"EX",0,--(COUNTIFS(nNIA,DATOS!$A5290,nCURSO,DATOS!$D5290,nESPEC,DATOS!$E5290,nASIG,DATOS!$I5290,nEVAL,"OR")=0))</f>
      </c>
      <c r="I5290">
        <f>IF(DATOS!$I5290="","",IFERROR(VLOOKUP(DATOS!$I5290,CONFIG_ASIGNATURAS!$B$2:$J$91,9,FALSE()),""))</f>
      </c>
    </row>
    <row r="5291">
      <c r="F5291">
        <f>IF(DATOS!$A5291="","",DATOS!$A5291&amp;"|"&amp;DATOS!$D5291&amp;"|"&amp;DATOS!$E5291&amp;"|"&amp;DATOS!$I5291)</f>
      </c>
      <c r="G5291">
        <f>IF(DATOS!$A5291="",0,IF(CONFIG_METADATA!$B$4&lt;&gt;"OR+EX",--(DATOS!$G5291=CONFIG_METADATA!$B$4),IF(DATOS!$G5291="EX",1,IF(DATOS!$G5291="OR",--(COUNTIFS(nNIA,DATOS!$A5291,nCURSO,DATOS!$D5291,nESPEC,DATOS!$E5291,nASIG,DATOS!$I5291,nEVAL,"EX")=0),0))))</f>
      </c>
      <c r="H5291">
        <f>IF(DATOS!$G5291&lt;&gt;"EX",0,--(COUNTIFS(nNIA,DATOS!$A5291,nCURSO,DATOS!$D5291,nESPEC,DATOS!$E5291,nASIG,DATOS!$I5291,nEVAL,"OR")=0))</f>
      </c>
      <c r="I5291">
        <f>IF(DATOS!$I5291="","",IFERROR(VLOOKUP(DATOS!$I5291,CONFIG_ASIGNATURAS!$B$2:$J$91,9,FALSE()),""))</f>
      </c>
    </row>
    <row r="5292">
      <c r="F5292">
        <f>IF(DATOS!$A5292="","",DATOS!$A5292&amp;"|"&amp;DATOS!$D5292&amp;"|"&amp;DATOS!$E5292&amp;"|"&amp;DATOS!$I5292)</f>
      </c>
      <c r="G5292">
        <f>IF(DATOS!$A5292="",0,IF(CONFIG_METADATA!$B$4&lt;&gt;"OR+EX",--(DATOS!$G5292=CONFIG_METADATA!$B$4),IF(DATOS!$G5292="EX",1,IF(DATOS!$G5292="OR",--(COUNTIFS(nNIA,DATOS!$A5292,nCURSO,DATOS!$D5292,nESPEC,DATOS!$E5292,nASIG,DATOS!$I5292,nEVAL,"EX")=0),0))))</f>
      </c>
      <c r="H5292">
        <f>IF(DATOS!$G5292&lt;&gt;"EX",0,--(COUNTIFS(nNIA,DATOS!$A5292,nCURSO,DATOS!$D5292,nESPEC,DATOS!$E5292,nASIG,DATOS!$I5292,nEVAL,"OR")=0))</f>
      </c>
      <c r="I5292">
        <f>IF(DATOS!$I5292="","",IFERROR(VLOOKUP(DATOS!$I5292,CONFIG_ASIGNATURAS!$B$2:$J$91,9,FALSE()),""))</f>
      </c>
    </row>
    <row r="5293">
      <c r="F5293">
        <f>IF(DATOS!$A5293="","",DATOS!$A5293&amp;"|"&amp;DATOS!$D5293&amp;"|"&amp;DATOS!$E5293&amp;"|"&amp;DATOS!$I5293)</f>
      </c>
      <c r="G5293">
        <f>IF(DATOS!$A5293="",0,IF(CONFIG_METADATA!$B$4&lt;&gt;"OR+EX",--(DATOS!$G5293=CONFIG_METADATA!$B$4),IF(DATOS!$G5293="EX",1,IF(DATOS!$G5293="OR",--(COUNTIFS(nNIA,DATOS!$A5293,nCURSO,DATOS!$D5293,nESPEC,DATOS!$E5293,nASIG,DATOS!$I5293,nEVAL,"EX")=0),0))))</f>
      </c>
      <c r="H5293">
        <f>IF(DATOS!$G5293&lt;&gt;"EX",0,--(COUNTIFS(nNIA,DATOS!$A5293,nCURSO,DATOS!$D5293,nESPEC,DATOS!$E5293,nASIG,DATOS!$I5293,nEVAL,"OR")=0))</f>
      </c>
      <c r="I5293">
        <f>IF(DATOS!$I5293="","",IFERROR(VLOOKUP(DATOS!$I5293,CONFIG_ASIGNATURAS!$B$2:$J$91,9,FALSE()),""))</f>
      </c>
    </row>
    <row r="5294">
      <c r="F5294">
        <f>IF(DATOS!$A5294="","",DATOS!$A5294&amp;"|"&amp;DATOS!$D5294&amp;"|"&amp;DATOS!$E5294&amp;"|"&amp;DATOS!$I5294)</f>
      </c>
      <c r="G5294">
        <f>IF(DATOS!$A5294="",0,IF(CONFIG_METADATA!$B$4&lt;&gt;"OR+EX",--(DATOS!$G5294=CONFIG_METADATA!$B$4),IF(DATOS!$G5294="EX",1,IF(DATOS!$G5294="OR",--(COUNTIFS(nNIA,DATOS!$A5294,nCURSO,DATOS!$D5294,nESPEC,DATOS!$E5294,nASIG,DATOS!$I5294,nEVAL,"EX")=0),0))))</f>
      </c>
      <c r="H5294">
        <f>IF(DATOS!$G5294&lt;&gt;"EX",0,--(COUNTIFS(nNIA,DATOS!$A5294,nCURSO,DATOS!$D5294,nESPEC,DATOS!$E5294,nASIG,DATOS!$I5294,nEVAL,"OR")=0))</f>
      </c>
      <c r="I5294">
        <f>IF(DATOS!$I5294="","",IFERROR(VLOOKUP(DATOS!$I5294,CONFIG_ASIGNATURAS!$B$2:$J$91,9,FALSE()),""))</f>
      </c>
    </row>
    <row r="5295">
      <c r="F5295">
        <f>IF(DATOS!$A5295="","",DATOS!$A5295&amp;"|"&amp;DATOS!$D5295&amp;"|"&amp;DATOS!$E5295&amp;"|"&amp;DATOS!$I5295)</f>
      </c>
      <c r="G5295">
        <f>IF(DATOS!$A5295="",0,IF(CONFIG_METADATA!$B$4&lt;&gt;"OR+EX",--(DATOS!$G5295=CONFIG_METADATA!$B$4),IF(DATOS!$G5295="EX",1,IF(DATOS!$G5295="OR",--(COUNTIFS(nNIA,DATOS!$A5295,nCURSO,DATOS!$D5295,nESPEC,DATOS!$E5295,nASIG,DATOS!$I5295,nEVAL,"EX")=0),0))))</f>
      </c>
      <c r="H5295">
        <f>IF(DATOS!$G5295&lt;&gt;"EX",0,--(COUNTIFS(nNIA,DATOS!$A5295,nCURSO,DATOS!$D5295,nESPEC,DATOS!$E5295,nASIG,DATOS!$I5295,nEVAL,"OR")=0))</f>
      </c>
      <c r="I5295">
        <f>IF(DATOS!$I5295="","",IFERROR(VLOOKUP(DATOS!$I5295,CONFIG_ASIGNATURAS!$B$2:$J$91,9,FALSE()),""))</f>
      </c>
    </row>
    <row r="5296">
      <c r="F5296">
        <f>IF(DATOS!$A5296="","",DATOS!$A5296&amp;"|"&amp;DATOS!$D5296&amp;"|"&amp;DATOS!$E5296&amp;"|"&amp;DATOS!$I5296)</f>
      </c>
      <c r="G5296">
        <f>IF(DATOS!$A5296="",0,IF(CONFIG_METADATA!$B$4&lt;&gt;"OR+EX",--(DATOS!$G5296=CONFIG_METADATA!$B$4),IF(DATOS!$G5296="EX",1,IF(DATOS!$G5296="OR",--(COUNTIFS(nNIA,DATOS!$A5296,nCURSO,DATOS!$D5296,nESPEC,DATOS!$E5296,nASIG,DATOS!$I5296,nEVAL,"EX")=0),0))))</f>
      </c>
      <c r="H5296">
        <f>IF(DATOS!$G5296&lt;&gt;"EX",0,--(COUNTIFS(nNIA,DATOS!$A5296,nCURSO,DATOS!$D5296,nESPEC,DATOS!$E5296,nASIG,DATOS!$I5296,nEVAL,"OR")=0))</f>
      </c>
      <c r="I5296">
        <f>IF(DATOS!$I5296="","",IFERROR(VLOOKUP(DATOS!$I5296,CONFIG_ASIGNATURAS!$B$2:$J$91,9,FALSE()),""))</f>
      </c>
    </row>
    <row r="5297">
      <c r="F5297">
        <f>IF(DATOS!$A5297="","",DATOS!$A5297&amp;"|"&amp;DATOS!$D5297&amp;"|"&amp;DATOS!$E5297&amp;"|"&amp;DATOS!$I5297)</f>
      </c>
      <c r="G5297">
        <f>IF(DATOS!$A5297="",0,IF(CONFIG_METADATA!$B$4&lt;&gt;"OR+EX",--(DATOS!$G5297=CONFIG_METADATA!$B$4),IF(DATOS!$G5297="EX",1,IF(DATOS!$G5297="OR",--(COUNTIFS(nNIA,DATOS!$A5297,nCURSO,DATOS!$D5297,nESPEC,DATOS!$E5297,nASIG,DATOS!$I5297,nEVAL,"EX")=0),0))))</f>
      </c>
      <c r="H5297">
        <f>IF(DATOS!$G5297&lt;&gt;"EX",0,--(COUNTIFS(nNIA,DATOS!$A5297,nCURSO,DATOS!$D5297,nESPEC,DATOS!$E5297,nASIG,DATOS!$I5297,nEVAL,"OR")=0))</f>
      </c>
      <c r="I5297">
        <f>IF(DATOS!$I5297="","",IFERROR(VLOOKUP(DATOS!$I5297,CONFIG_ASIGNATURAS!$B$2:$J$91,9,FALSE()),""))</f>
      </c>
    </row>
    <row r="5298">
      <c r="F5298">
        <f>IF(DATOS!$A5298="","",DATOS!$A5298&amp;"|"&amp;DATOS!$D5298&amp;"|"&amp;DATOS!$E5298&amp;"|"&amp;DATOS!$I5298)</f>
      </c>
      <c r="G5298">
        <f>IF(DATOS!$A5298="",0,IF(CONFIG_METADATA!$B$4&lt;&gt;"OR+EX",--(DATOS!$G5298=CONFIG_METADATA!$B$4),IF(DATOS!$G5298="EX",1,IF(DATOS!$G5298="OR",--(COUNTIFS(nNIA,DATOS!$A5298,nCURSO,DATOS!$D5298,nESPEC,DATOS!$E5298,nASIG,DATOS!$I5298,nEVAL,"EX")=0),0))))</f>
      </c>
      <c r="H5298">
        <f>IF(DATOS!$G5298&lt;&gt;"EX",0,--(COUNTIFS(nNIA,DATOS!$A5298,nCURSO,DATOS!$D5298,nESPEC,DATOS!$E5298,nASIG,DATOS!$I5298,nEVAL,"OR")=0))</f>
      </c>
      <c r="I5298">
        <f>IF(DATOS!$I5298="","",IFERROR(VLOOKUP(DATOS!$I5298,CONFIG_ASIGNATURAS!$B$2:$J$91,9,FALSE()),""))</f>
      </c>
    </row>
    <row r="5299">
      <c r="F5299">
        <f>IF(DATOS!$A5299="","",DATOS!$A5299&amp;"|"&amp;DATOS!$D5299&amp;"|"&amp;DATOS!$E5299&amp;"|"&amp;DATOS!$I5299)</f>
      </c>
      <c r="G5299">
        <f>IF(DATOS!$A5299="",0,IF(CONFIG_METADATA!$B$4&lt;&gt;"OR+EX",--(DATOS!$G5299=CONFIG_METADATA!$B$4),IF(DATOS!$G5299="EX",1,IF(DATOS!$G5299="OR",--(COUNTIFS(nNIA,DATOS!$A5299,nCURSO,DATOS!$D5299,nESPEC,DATOS!$E5299,nASIG,DATOS!$I5299,nEVAL,"EX")=0),0))))</f>
      </c>
      <c r="H5299">
        <f>IF(DATOS!$G5299&lt;&gt;"EX",0,--(COUNTIFS(nNIA,DATOS!$A5299,nCURSO,DATOS!$D5299,nESPEC,DATOS!$E5299,nASIG,DATOS!$I5299,nEVAL,"OR")=0))</f>
      </c>
      <c r="I5299">
        <f>IF(DATOS!$I5299="","",IFERROR(VLOOKUP(DATOS!$I5299,CONFIG_ASIGNATURAS!$B$2:$J$91,9,FALSE()),""))</f>
      </c>
    </row>
    <row r="5300">
      <c r="F5300">
        <f>IF(DATOS!$A5300="","",DATOS!$A5300&amp;"|"&amp;DATOS!$D5300&amp;"|"&amp;DATOS!$E5300&amp;"|"&amp;DATOS!$I5300)</f>
      </c>
      <c r="G5300">
        <f>IF(DATOS!$A5300="",0,IF(CONFIG_METADATA!$B$4&lt;&gt;"OR+EX",--(DATOS!$G5300=CONFIG_METADATA!$B$4),IF(DATOS!$G5300="EX",1,IF(DATOS!$G5300="OR",--(COUNTIFS(nNIA,DATOS!$A5300,nCURSO,DATOS!$D5300,nESPEC,DATOS!$E5300,nASIG,DATOS!$I5300,nEVAL,"EX")=0),0))))</f>
      </c>
      <c r="H5300">
        <f>IF(DATOS!$G5300&lt;&gt;"EX",0,--(COUNTIFS(nNIA,DATOS!$A5300,nCURSO,DATOS!$D5300,nESPEC,DATOS!$E5300,nASIG,DATOS!$I5300,nEVAL,"OR")=0))</f>
      </c>
      <c r="I5300">
        <f>IF(DATOS!$I5300="","",IFERROR(VLOOKUP(DATOS!$I5300,CONFIG_ASIGNATURAS!$B$2:$J$91,9,FALSE()),""))</f>
      </c>
    </row>
    <row r="5301">
      <c r="F5301">
        <f>IF(DATOS!$A5301="","",DATOS!$A5301&amp;"|"&amp;DATOS!$D5301&amp;"|"&amp;DATOS!$E5301&amp;"|"&amp;DATOS!$I5301)</f>
      </c>
      <c r="G5301">
        <f>IF(DATOS!$A5301="",0,IF(CONFIG_METADATA!$B$4&lt;&gt;"OR+EX",--(DATOS!$G5301=CONFIG_METADATA!$B$4),IF(DATOS!$G5301="EX",1,IF(DATOS!$G5301="OR",--(COUNTIFS(nNIA,DATOS!$A5301,nCURSO,DATOS!$D5301,nESPEC,DATOS!$E5301,nASIG,DATOS!$I5301,nEVAL,"EX")=0),0))))</f>
      </c>
      <c r="H5301">
        <f>IF(DATOS!$G5301&lt;&gt;"EX",0,--(COUNTIFS(nNIA,DATOS!$A5301,nCURSO,DATOS!$D5301,nESPEC,DATOS!$E5301,nASIG,DATOS!$I5301,nEVAL,"OR")=0))</f>
      </c>
      <c r="I5301">
        <f>IF(DATOS!$I5301="","",IFERROR(VLOOKUP(DATOS!$I5301,CONFIG_ASIGNATURAS!$B$2:$J$91,9,FALSE()),""))</f>
      </c>
    </row>
    <row r="5302">
      <c r="F5302">
        <f>IF(DATOS!$A5302="","",DATOS!$A5302&amp;"|"&amp;DATOS!$D5302&amp;"|"&amp;DATOS!$E5302&amp;"|"&amp;DATOS!$I5302)</f>
      </c>
      <c r="G5302">
        <f>IF(DATOS!$A5302="",0,IF(CONFIG_METADATA!$B$4&lt;&gt;"OR+EX",--(DATOS!$G5302=CONFIG_METADATA!$B$4),IF(DATOS!$G5302="EX",1,IF(DATOS!$G5302="OR",--(COUNTIFS(nNIA,DATOS!$A5302,nCURSO,DATOS!$D5302,nESPEC,DATOS!$E5302,nASIG,DATOS!$I5302,nEVAL,"EX")=0),0))))</f>
      </c>
      <c r="H5302">
        <f>IF(DATOS!$G5302&lt;&gt;"EX",0,--(COUNTIFS(nNIA,DATOS!$A5302,nCURSO,DATOS!$D5302,nESPEC,DATOS!$E5302,nASIG,DATOS!$I5302,nEVAL,"OR")=0))</f>
      </c>
      <c r="I5302">
        <f>IF(DATOS!$I5302="","",IFERROR(VLOOKUP(DATOS!$I5302,CONFIG_ASIGNATURAS!$B$2:$J$91,9,FALSE()),""))</f>
      </c>
    </row>
    <row r="5303">
      <c r="F5303">
        <f>IF(DATOS!$A5303="","",DATOS!$A5303&amp;"|"&amp;DATOS!$D5303&amp;"|"&amp;DATOS!$E5303&amp;"|"&amp;DATOS!$I5303)</f>
      </c>
      <c r="G5303">
        <f>IF(DATOS!$A5303="",0,IF(CONFIG_METADATA!$B$4&lt;&gt;"OR+EX",--(DATOS!$G5303=CONFIG_METADATA!$B$4),IF(DATOS!$G5303="EX",1,IF(DATOS!$G5303="OR",--(COUNTIFS(nNIA,DATOS!$A5303,nCURSO,DATOS!$D5303,nESPEC,DATOS!$E5303,nASIG,DATOS!$I5303,nEVAL,"EX")=0),0))))</f>
      </c>
      <c r="H5303">
        <f>IF(DATOS!$G5303&lt;&gt;"EX",0,--(COUNTIFS(nNIA,DATOS!$A5303,nCURSO,DATOS!$D5303,nESPEC,DATOS!$E5303,nASIG,DATOS!$I5303,nEVAL,"OR")=0))</f>
      </c>
      <c r="I5303">
        <f>IF(DATOS!$I5303="","",IFERROR(VLOOKUP(DATOS!$I5303,CONFIG_ASIGNATURAS!$B$2:$J$91,9,FALSE()),""))</f>
      </c>
    </row>
    <row r="5304">
      <c r="F5304">
        <f>IF(DATOS!$A5304="","",DATOS!$A5304&amp;"|"&amp;DATOS!$D5304&amp;"|"&amp;DATOS!$E5304&amp;"|"&amp;DATOS!$I5304)</f>
      </c>
      <c r="G5304">
        <f>IF(DATOS!$A5304="",0,IF(CONFIG_METADATA!$B$4&lt;&gt;"OR+EX",--(DATOS!$G5304=CONFIG_METADATA!$B$4),IF(DATOS!$G5304="EX",1,IF(DATOS!$G5304="OR",--(COUNTIFS(nNIA,DATOS!$A5304,nCURSO,DATOS!$D5304,nESPEC,DATOS!$E5304,nASIG,DATOS!$I5304,nEVAL,"EX")=0),0))))</f>
      </c>
      <c r="H5304">
        <f>IF(DATOS!$G5304&lt;&gt;"EX",0,--(COUNTIFS(nNIA,DATOS!$A5304,nCURSO,DATOS!$D5304,nESPEC,DATOS!$E5304,nASIG,DATOS!$I5304,nEVAL,"OR")=0))</f>
      </c>
      <c r="I5304">
        <f>IF(DATOS!$I5304="","",IFERROR(VLOOKUP(DATOS!$I5304,CONFIG_ASIGNATURAS!$B$2:$J$91,9,FALSE()),""))</f>
      </c>
    </row>
    <row r="5305">
      <c r="F5305">
        <f>IF(DATOS!$A5305="","",DATOS!$A5305&amp;"|"&amp;DATOS!$D5305&amp;"|"&amp;DATOS!$E5305&amp;"|"&amp;DATOS!$I5305)</f>
      </c>
      <c r="G5305">
        <f>IF(DATOS!$A5305="",0,IF(CONFIG_METADATA!$B$4&lt;&gt;"OR+EX",--(DATOS!$G5305=CONFIG_METADATA!$B$4),IF(DATOS!$G5305="EX",1,IF(DATOS!$G5305="OR",--(COUNTIFS(nNIA,DATOS!$A5305,nCURSO,DATOS!$D5305,nESPEC,DATOS!$E5305,nASIG,DATOS!$I5305,nEVAL,"EX")=0),0))))</f>
      </c>
      <c r="H5305">
        <f>IF(DATOS!$G5305&lt;&gt;"EX",0,--(COUNTIFS(nNIA,DATOS!$A5305,nCURSO,DATOS!$D5305,nESPEC,DATOS!$E5305,nASIG,DATOS!$I5305,nEVAL,"OR")=0))</f>
      </c>
      <c r="I5305">
        <f>IF(DATOS!$I5305="","",IFERROR(VLOOKUP(DATOS!$I5305,CONFIG_ASIGNATURAS!$B$2:$J$91,9,FALSE()),""))</f>
      </c>
    </row>
    <row r="5306">
      <c r="F5306">
        <f>IF(DATOS!$A5306="","",DATOS!$A5306&amp;"|"&amp;DATOS!$D5306&amp;"|"&amp;DATOS!$E5306&amp;"|"&amp;DATOS!$I5306)</f>
      </c>
      <c r="G5306">
        <f>IF(DATOS!$A5306="",0,IF(CONFIG_METADATA!$B$4&lt;&gt;"OR+EX",--(DATOS!$G5306=CONFIG_METADATA!$B$4),IF(DATOS!$G5306="EX",1,IF(DATOS!$G5306="OR",--(COUNTIFS(nNIA,DATOS!$A5306,nCURSO,DATOS!$D5306,nESPEC,DATOS!$E5306,nASIG,DATOS!$I5306,nEVAL,"EX")=0),0))))</f>
      </c>
      <c r="H5306">
        <f>IF(DATOS!$G5306&lt;&gt;"EX",0,--(COUNTIFS(nNIA,DATOS!$A5306,nCURSO,DATOS!$D5306,nESPEC,DATOS!$E5306,nASIG,DATOS!$I5306,nEVAL,"OR")=0))</f>
      </c>
      <c r="I5306">
        <f>IF(DATOS!$I5306="","",IFERROR(VLOOKUP(DATOS!$I5306,CONFIG_ASIGNATURAS!$B$2:$J$91,9,FALSE()),""))</f>
      </c>
    </row>
    <row r="5307">
      <c r="F5307">
        <f>IF(DATOS!$A5307="","",DATOS!$A5307&amp;"|"&amp;DATOS!$D5307&amp;"|"&amp;DATOS!$E5307&amp;"|"&amp;DATOS!$I5307)</f>
      </c>
      <c r="G5307">
        <f>IF(DATOS!$A5307="",0,IF(CONFIG_METADATA!$B$4&lt;&gt;"OR+EX",--(DATOS!$G5307=CONFIG_METADATA!$B$4),IF(DATOS!$G5307="EX",1,IF(DATOS!$G5307="OR",--(COUNTIFS(nNIA,DATOS!$A5307,nCURSO,DATOS!$D5307,nESPEC,DATOS!$E5307,nASIG,DATOS!$I5307,nEVAL,"EX")=0),0))))</f>
      </c>
      <c r="H5307">
        <f>IF(DATOS!$G5307&lt;&gt;"EX",0,--(COUNTIFS(nNIA,DATOS!$A5307,nCURSO,DATOS!$D5307,nESPEC,DATOS!$E5307,nASIG,DATOS!$I5307,nEVAL,"OR")=0))</f>
      </c>
      <c r="I5307">
        <f>IF(DATOS!$I5307="","",IFERROR(VLOOKUP(DATOS!$I5307,CONFIG_ASIGNATURAS!$B$2:$J$91,9,FALSE()),""))</f>
      </c>
    </row>
    <row r="5308">
      <c r="F5308">
        <f>IF(DATOS!$A5308="","",DATOS!$A5308&amp;"|"&amp;DATOS!$D5308&amp;"|"&amp;DATOS!$E5308&amp;"|"&amp;DATOS!$I5308)</f>
      </c>
      <c r="G5308">
        <f>IF(DATOS!$A5308="",0,IF(CONFIG_METADATA!$B$4&lt;&gt;"OR+EX",--(DATOS!$G5308=CONFIG_METADATA!$B$4),IF(DATOS!$G5308="EX",1,IF(DATOS!$G5308="OR",--(COUNTIFS(nNIA,DATOS!$A5308,nCURSO,DATOS!$D5308,nESPEC,DATOS!$E5308,nASIG,DATOS!$I5308,nEVAL,"EX")=0),0))))</f>
      </c>
      <c r="H5308">
        <f>IF(DATOS!$G5308&lt;&gt;"EX",0,--(COUNTIFS(nNIA,DATOS!$A5308,nCURSO,DATOS!$D5308,nESPEC,DATOS!$E5308,nASIG,DATOS!$I5308,nEVAL,"OR")=0))</f>
      </c>
      <c r="I5308">
        <f>IF(DATOS!$I5308="","",IFERROR(VLOOKUP(DATOS!$I5308,CONFIG_ASIGNATURAS!$B$2:$J$91,9,FALSE()),""))</f>
      </c>
    </row>
    <row r="5309">
      <c r="F5309">
        <f>IF(DATOS!$A5309="","",DATOS!$A5309&amp;"|"&amp;DATOS!$D5309&amp;"|"&amp;DATOS!$E5309&amp;"|"&amp;DATOS!$I5309)</f>
      </c>
      <c r="G5309">
        <f>IF(DATOS!$A5309="",0,IF(CONFIG_METADATA!$B$4&lt;&gt;"OR+EX",--(DATOS!$G5309=CONFIG_METADATA!$B$4),IF(DATOS!$G5309="EX",1,IF(DATOS!$G5309="OR",--(COUNTIFS(nNIA,DATOS!$A5309,nCURSO,DATOS!$D5309,nESPEC,DATOS!$E5309,nASIG,DATOS!$I5309,nEVAL,"EX")=0),0))))</f>
      </c>
      <c r="H5309">
        <f>IF(DATOS!$G5309&lt;&gt;"EX",0,--(COUNTIFS(nNIA,DATOS!$A5309,nCURSO,DATOS!$D5309,nESPEC,DATOS!$E5309,nASIG,DATOS!$I5309,nEVAL,"OR")=0))</f>
      </c>
      <c r="I5309">
        <f>IF(DATOS!$I5309="","",IFERROR(VLOOKUP(DATOS!$I5309,CONFIG_ASIGNATURAS!$B$2:$J$91,9,FALSE()),""))</f>
      </c>
    </row>
    <row r="5310">
      <c r="F5310">
        <f>IF(DATOS!$A5310="","",DATOS!$A5310&amp;"|"&amp;DATOS!$D5310&amp;"|"&amp;DATOS!$E5310&amp;"|"&amp;DATOS!$I5310)</f>
      </c>
      <c r="G5310">
        <f>IF(DATOS!$A5310="",0,IF(CONFIG_METADATA!$B$4&lt;&gt;"OR+EX",--(DATOS!$G5310=CONFIG_METADATA!$B$4),IF(DATOS!$G5310="EX",1,IF(DATOS!$G5310="OR",--(COUNTIFS(nNIA,DATOS!$A5310,nCURSO,DATOS!$D5310,nESPEC,DATOS!$E5310,nASIG,DATOS!$I5310,nEVAL,"EX")=0),0))))</f>
      </c>
      <c r="H5310">
        <f>IF(DATOS!$G5310&lt;&gt;"EX",0,--(COUNTIFS(nNIA,DATOS!$A5310,nCURSO,DATOS!$D5310,nESPEC,DATOS!$E5310,nASIG,DATOS!$I5310,nEVAL,"OR")=0))</f>
      </c>
      <c r="I5310">
        <f>IF(DATOS!$I5310="","",IFERROR(VLOOKUP(DATOS!$I5310,CONFIG_ASIGNATURAS!$B$2:$J$91,9,FALSE()),""))</f>
      </c>
    </row>
    <row r="5311">
      <c r="F5311">
        <f>IF(DATOS!$A5311="","",DATOS!$A5311&amp;"|"&amp;DATOS!$D5311&amp;"|"&amp;DATOS!$E5311&amp;"|"&amp;DATOS!$I5311)</f>
      </c>
      <c r="G5311">
        <f>IF(DATOS!$A5311="",0,IF(CONFIG_METADATA!$B$4&lt;&gt;"OR+EX",--(DATOS!$G5311=CONFIG_METADATA!$B$4),IF(DATOS!$G5311="EX",1,IF(DATOS!$G5311="OR",--(COUNTIFS(nNIA,DATOS!$A5311,nCURSO,DATOS!$D5311,nESPEC,DATOS!$E5311,nASIG,DATOS!$I5311,nEVAL,"EX")=0),0))))</f>
      </c>
      <c r="H5311">
        <f>IF(DATOS!$G5311&lt;&gt;"EX",0,--(COUNTIFS(nNIA,DATOS!$A5311,nCURSO,DATOS!$D5311,nESPEC,DATOS!$E5311,nASIG,DATOS!$I5311,nEVAL,"OR")=0))</f>
      </c>
      <c r="I5311">
        <f>IF(DATOS!$I5311="","",IFERROR(VLOOKUP(DATOS!$I5311,CONFIG_ASIGNATURAS!$B$2:$J$91,9,FALSE()),""))</f>
      </c>
    </row>
    <row r="5312">
      <c r="F5312">
        <f>IF(DATOS!$A5312="","",DATOS!$A5312&amp;"|"&amp;DATOS!$D5312&amp;"|"&amp;DATOS!$E5312&amp;"|"&amp;DATOS!$I5312)</f>
      </c>
      <c r="G5312">
        <f>IF(DATOS!$A5312="",0,IF(CONFIG_METADATA!$B$4&lt;&gt;"OR+EX",--(DATOS!$G5312=CONFIG_METADATA!$B$4),IF(DATOS!$G5312="EX",1,IF(DATOS!$G5312="OR",--(COUNTIFS(nNIA,DATOS!$A5312,nCURSO,DATOS!$D5312,nESPEC,DATOS!$E5312,nASIG,DATOS!$I5312,nEVAL,"EX")=0),0))))</f>
      </c>
      <c r="H5312">
        <f>IF(DATOS!$G5312&lt;&gt;"EX",0,--(COUNTIFS(nNIA,DATOS!$A5312,nCURSO,DATOS!$D5312,nESPEC,DATOS!$E5312,nASIG,DATOS!$I5312,nEVAL,"OR")=0))</f>
      </c>
      <c r="I5312">
        <f>IF(DATOS!$I5312="","",IFERROR(VLOOKUP(DATOS!$I5312,CONFIG_ASIGNATURAS!$B$2:$J$91,9,FALSE()),""))</f>
      </c>
    </row>
    <row r="5313">
      <c r="F5313">
        <f>IF(DATOS!$A5313="","",DATOS!$A5313&amp;"|"&amp;DATOS!$D5313&amp;"|"&amp;DATOS!$E5313&amp;"|"&amp;DATOS!$I5313)</f>
      </c>
      <c r="G5313">
        <f>IF(DATOS!$A5313="",0,IF(CONFIG_METADATA!$B$4&lt;&gt;"OR+EX",--(DATOS!$G5313=CONFIG_METADATA!$B$4),IF(DATOS!$G5313="EX",1,IF(DATOS!$G5313="OR",--(COUNTIFS(nNIA,DATOS!$A5313,nCURSO,DATOS!$D5313,nESPEC,DATOS!$E5313,nASIG,DATOS!$I5313,nEVAL,"EX")=0),0))))</f>
      </c>
      <c r="H5313">
        <f>IF(DATOS!$G5313&lt;&gt;"EX",0,--(COUNTIFS(nNIA,DATOS!$A5313,nCURSO,DATOS!$D5313,nESPEC,DATOS!$E5313,nASIG,DATOS!$I5313,nEVAL,"OR")=0))</f>
      </c>
      <c r="I5313">
        <f>IF(DATOS!$I5313="","",IFERROR(VLOOKUP(DATOS!$I5313,CONFIG_ASIGNATURAS!$B$2:$J$91,9,FALSE()),""))</f>
      </c>
    </row>
    <row r="5314">
      <c r="F5314">
        <f>IF(DATOS!$A5314="","",DATOS!$A5314&amp;"|"&amp;DATOS!$D5314&amp;"|"&amp;DATOS!$E5314&amp;"|"&amp;DATOS!$I5314)</f>
      </c>
      <c r="G5314">
        <f>IF(DATOS!$A5314="",0,IF(CONFIG_METADATA!$B$4&lt;&gt;"OR+EX",--(DATOS!$G5314=CONFIG_METADATA!$B$4),IF(DATOS!$G5314="EX",1,IF(DATOS!$G5314="OR",--(COUNTIFS(nNIA,DATOS!$A5314,nCURSO,DATOS!$D5314,nESPEC,DATOS!$E5314,nASIG,DATOS!$I5314,nEVAL,"EX")=0),0))))</f>
      </c>
      <c r="H5314">
        <f>IF(DATOS!$G5314&lt;&gt;"EX",0,--(COUNTIFS(nNIA,DATOS!$A5314,nCURSO,DATOS!$D5314,nESPEC,DATOS!$E5314,nASIG,DATOS!$I5314,nEVAL,"OR")=0))</f>
      </c>
      <c r="I5314">
        <f>IF(DATOS!$I5314="","",IFERROR(VLOOKUP(DATOS!$I5314,CONFIG_ASIGNATURAS!$B$2:$J$91,9,FALSE()),""))</f>
      </c>
    </row>
    <row r="5315">
      <c r="F5315">
        <f>IF(DATOS!$A5315="","",DATOS!$A5315&amp;"|"&amp;DATOS!$D5315&amp;"|"&amp;DATOS!$E5315&amp;"|"&amp;DATOS!$I5315)</f>
      </c>
      <c r="G5315">
        <f>IF(DATOS!$A5315="",0,IF(CONFIG_METADATA!$B$4&lt;&gt;"OR+EX",--(DATOS!$G5315=CONFIG_METADATA!$B$4),IF(DATOS!$G5315="EX",1,IF(DATOS!$G5315="OR",--(COUNTIFS(nNIA,DATOS!$A5315,nCURSO,DATOS!$D5315,nESPEC,DATOS!$E5315,nASIG,DATOS!$I5315,nEVAL,"EX")=0),0))))</f>
      </c>
      <c r="H5315">
        <f>IF(DATOS!$G5315&lt;&gt;"EX",0,--(COUNTIFS(nNIA,DATOS!$A5315,nCURSO,DATOS!$D5315,nESPEC,DATOS!$E5315,nASIG,DATOS!$I5315,nEVAL,"OR")=0))</f>
      </c>
      <c r="I5315">
        <f>IF(DATOS!$I5315="","",IFERROR(VLOOKUP(DATOS!$I5315,CONFIG_ASIGNATURAS!$B$2:$J$91,9,FALSE()),""))</f>
      </c>
    </row>
    <row r="5316">
      <c r="F5316">
        <f>IF(DATOS!$A5316="","",DATOS!$A5316&amp;"|"&amp;DATOS!$D5316&amp;"|"&amp;DATOS!$E5316&amp;"|"&amp;DATOS!$I5316)</f>
      </c>
      <c r="G5316">
        <f>IF(DATOS!$A5316="",0,IF(CONFIG_METADATA!$B$4&lt;&gt;"OR+EX",--(DATOS!$G5316=CONFIG_METADATA!$B$4),IF(DATOS!$G5316="EX",1,IF(DATOS!$G5316="OR",--(COUNTIFS(nNIA,DATOS!$A5316,nCURSO,DATOS!$D5316,nESPEC,DATOS!$E5316,nASIG,DATOS!$I5316,nEVAL,"EX")=0),0))))</f>
      </c>
      <c r="H5316">
        <f>IF(DATOS!$G5316&lt;&gt;"EX",0,--(COUNTIFS(nNIA,DATOS!$A5316,nCURSO,DATOS!$D5316,nESPEC,DATOS!$E5316,nASIG,DATOS!$I5316,nEVAL,"OR")=0))</f>
      </c>
      <c r="I5316">
        <f>IF(DATOS!$I5316="","",IFERROR(VLOOKUP(DATOS!$I5316,CONFIG_ASIGNATURAS!$B$2:$J$91,9,FALSE()),""))</f>
      </c>
    </row>
    <row r="5317">
      <c r="F5317">
        <f>IF(DATOS!$A5317="","",DATOS!$A5317&amp;"|"&amp;DATOS!$D5317&amp;"|"&amp;DATOS!$E5317&amp;"|"&amp;DATOS!$I5317)</f>
      </c>
      <c r="G5317">
        <f>IF(DATOS!$A5317="",0,IF(CONFIG_METADATA!$B$4&lt;&gt;"OR+EX",--(DATOS!$G5317=CONFIG_METADATA!$B$4),IF(DATOS!$G5317="EX",1,IF(DATOS!$G5317="OR",--(COUNTIFS(nNIA,DATOS!$A5317,nCURSO,DATOS!$D5317,nESPEC,DATOS!$E5317,nASIG,DATOS!$I5317,nEVAL,"EX")=0),0))))</f>
      </c>
      <c r="H5317">
        <f>IF(DATOS!$G5317&lt;&gt;"EX",0,--(COUNTIFS(nNIA,DATOS!$A5317,nCURSO,DATOS!$D5317,nESPEC,DATOS!$E5317,nASIG,DATOS!$I5317,nEVAL,"OR")=0))</f>
      </c>
      <c r="I5317">
        <f>IF(DATOS!$I5317="","",IFERROR(VLOOKUP(DATOS!$I5317,CONFIG_ASIGNATURAS!$B$2:$J$91,9,FALSE()),""))</f>
      </c>
    </row>
    <row r="5318">
      <c r="F5318">
        <f>IF(DATOS!$A5318="","",DATOS!$A5318&amp;"|"&amp;DATOS!$D5318&amp;"|"&amp;DATOS!$E5318&amp;"|"&amp;DATOS!$I5318)</f>
      </c>
      <c r="G5318">
        <f>IF(DATOS!$A5318="",0,IF(CONFIG_METADATA!$B$4&lt;&gt;"OR+EX",--(DATOS!$G5318=CONFIG_METADATA!$B$4),IF(DATOS!$G5318="EX",1,IF(DATOS!$G5318="OR",--(COUNTIFS(nNIA,DATOS!$A5318,nCURSO,DATOS!$D5318,nESPEC,DATOS!$E5318,nASIG,DATOS!$I5318,nEVAL,"EX")=0),0))))</f>
      </c>
      <c r="H5318">
        <f>IF(DATOS!$G5318&lt;&gt;"EX",0,--(COUNTIFS(nNIA,DATOS!$A5318,nCURSO,DATOS!$D5318,nESPEC,DATOS!$E5318,nASIG,DATOS!$I5318,nEVAL,"OR")=0))</f>
      </c>
      <c r="I5318">
        <f>IF(DATOS!$I5318="","",IFERROR(VLOOKUP(DATOS!$I5318,CONFIG_ASIGNATURAS!$B$2:$J$91,9,FALSE()),""))</f>
      </c>
    </row>
    <row r="5319">
      <c r="F5319">
        <f>IF(DATOS!$A5319="","",DATOS!$A5319&amp;"|"&amp;DATOS!$D5319&amp;"|"&amp;DATOS!$E5319&amp;"|"&amp;DATOS!$I5319)</f>
      </c>
      <c r="G5319">
        <f>IF(DATOS!$A5319="",0,IF(CONFIG_METADATA!$B$4&lt;&gt;"OR+EX",--(DATOS!$G5319=CONFIG_METADATA!$B$4),IF(DATOS!$G5319="EX",1,IF(DATOS!$G5319="OR",--(COUNTIFS(nNIA,DATOS!$A5319,nCURSO,DATOS!$D5319,nESPEC,DATOS!$E5319,nASIG,DATOS!$I5319,nEVAL,"EX")=0),0))))</f>
      </c>
      <c r="H5319">
        <f>IF(DATOS!$G5319&lt;&gt;"EX",0,--(COUNTIFS(nNIA,DATOS!$A5319,nCURSO,DATOS!$D5319,nESPEC,DATOS!$E5319,nASIG,DATOS!$I5319,nEVAL,"OR")=0))</f>
      </c>
      <c r="I5319">
        <f>IF(DATOS!$I5319="","",IFERROR(VLOOKUP(DATOS!$I5319,CONFIG_ASIGNATURAS!$B$2:$J$91,9,FALSE()),""))</f>
      </c>
    </row>
    <row r="5320">
      <c r="F5320">
        <f>IF(DATOS!$A5320="","",DATOS!$A5320&amp;"|"&amp;DATOS!$D5320&amp;"|"&amp;DATOS!$E5320&amp;"|"&amp;DATOS!$I5320)</f>
      </c>
      <c r="G5320">
        <f>IF(DATOS!$A5320="",0,IF(CONFIG_METADATA!$B$4&lt;&gt;"OR+EX",--(DATOS!$G5320=CONFIG_METADATA!$B$4),IF(DATOS!$G5320="EX",1,IF(DATOS!$G5320="OR",--(COUNTIFS(nNIA,DATOS!$A5320,nCURSO,DATOS!$D5320,nESPEC,DATOS!$E5320,nASIG,DATOS!$I5320,nEVAL,"EX")=0),0))))</f>
      </c>
      <c r="H5320">
        <f>IF(DATOS!$G5320&lt;&gt;"EX",0,--(COUNTIFS(nNIA,DATOS!$A5320,nCURSO,DATOS!$D5320,nESPEC,DATOS!$E5320,nASIG,DATOS!$I5320,nEVAL,"OR")=0))</f>
      </c>
      <c r="I5320">
        <f>IF(DATOS!$I5320="","",IFERROR(VLOOKUP(DATOS!$I5320,CONFIG_ASIGNATURAS!$B$2:$J$91,9,FALSE()),""))</f>
      </c>
    </row>
    <row r="5321">
      <c r="F5321">
        <f>IF(DATOS!$A5321="","",DATOS!$A5321&amp;"|"&amp;DATOS!$D5321&amp;"|"&amp;DATOS!$E5321&amp;"|"&amp;DATOS!$I5321)</f>
      </c>
      <c r="G5321">
        <f>IF(DATOS!$A5321="",0,IF(CONFIG_METADATA!$B$4&lt;&gt;"OR+EX",--(DATOS!$G5321=CONFIG_METADATA!$B$4),IF(DATOS!$G5321="EX",1,IF(DATOS!$G5321="OR",--(COUNTIFS(nNIA,DATOS!$A5321,nCURSO,DATOS!$D5321,nESPEC,DATOS!$E5321,nASIG,DATOS!$I5321,nEVAL,"EX")=0),0))))</f>
      </c>
      <c r="H5321">
        <f>IF(DATOS!$G5321&lt;&gt;"EX",0,--(COUNTIFS(nNIA,DATOS!$A5321,nCURSO,DATOS!$D5321,nESPEC,DATOS!$E5321,nASIG,DATOS!$I5321,nEVAL,"OR")=0))</f>
      </c>
      <c r="I5321">
        <f>IF(DATOS!$I5321="","",IFERROR(VLOOKUP(DATOS!$I5321,CONFIG_ASIGNATURAS!$B$2:$J$91,9,FALSE()),""))</f>
      </c>
    </row>
    <row r="5322">
      <c r="F5322">
        <f>IF(DATOS!$A5322="","",DATOS!$A5322&amp;"|"&amp;DATOS!$D5322&amp;"|"&amp;DATOS!$E5322&amp;"|"&amp;DATOS!$I5322)</f>
      </c>
      <c r="G5322">
        <f>IF(DATOS!$A5322="",0,IF(CONFIG_METADATA!$B$4&lt;&gt;"OR+EX",--(DATOS!$G5322=CONFIG_METADATA!$B$4),IF(DATOS!$G5322="EX",1,IF(DATOS!$G5322="OR",--(COUNTIFS(nNIA,DATOS!$A5322,nCURSO,DATOS!$D5322,nESPEC,DATOS!$E5322,nASIG,DATOS!$I5322,nEVAL,"EX")=0),0))))</f>
      </c>
      <c r="H5322">
        <f>IF(DATOS!$G5322&lt;&gt;"EX",0,--(COUNTIFS(nNIA,DATOS!$A5322,nCURSO,DATOS!$D5322,nESPEC,DATOS!$E5322,nASIG,DATOS!$I5322,nEVAL,"OR")=0))</f>
      </c>
      <c r="I5322">
        <f>IF(DATOS!$I5322="","",IFERROR(VLOOKUP(DATOS!$I5322,CONFIG_ASIGNATURAS!$B$2:$J$91,9,FALSE()),""))</f>
      </c>
    </row>
    <row r="5323">
      <c r="F5323">
        <f>IF(DATOS!$A5323="","",DATOS!$A5323&amp;"|"&amp;DATOS!$D5323&amp;"|"&amp;DATOS!$E5323&amp;"|"&amp;DATOS!$I5323)</f>
      </c>
      <c r="G5323">
        <f>IF(DATOS!$A5323="",0,IF(CONFIG_METADATA!$B$4&lt;&gt;"OR+EX",--(DATOS!$G5323=CONFIG_METADATA!$B$4),IF(DATOS!$G5323="EX",1,IF(DATOS!$G5323="OR",--(COUNTIFS(nNIA,DATOS!$A5323,nCURSO,DATOS!$D5323,nESPEC,DATOS!$E5323,nASIG,DATOS!$I5323,nEVAL,"EX")=0),0))))</f>
      </c>
      <c r="H5323">
        <f>IF(DATOS!$G5323&lt;&gt;"EX",0,--(COUNTIFS(nNIA,DATOS!$A5323,nCURSO,DATOS!$D5323,nESPEC,DATOS!$E5323,nASIG,DATOS!$I5323,nEVAL,"OR")=0))</f>
      </c>
      <c r="I5323">
        <f>IF(DATOS!$I5323="","",IFERROR(VLOOKUP(DATOS!$I5323,CONFIG_ASIGNATURAS!$B$2:$J$91,9,FALSE()),""))</f>
      </c>
    </row>
    <row r="5324">
      <c r="F5324">
        <f>IF(DATOS!$A5324="","",DATOS!$A5324&amp;"|"&amp;DATOS!$D5324&amp;"|"&amp;DATOS!$E5324&amp;"|"&amp;DATOS!$I5324)</f>
      </c>
      <c r="G5324">
        <f>IF(DATOS!$A5324="",0,IF(CONFIG_METADATA!$B$4&lt;&gt;"OR+EX",--(DATOS!$G5324=CONFIG_METADATA!$B$4),IF(DATOS!$G5324="EX",1,IF(DATOS!$G5324="OR",--(COUNTIFS(nNIA,DATOS!$A5324,nCURSO,DATOS!$D5324,nESPEC,DATOS!$E5324,nASIG,DATOS!$I5324,nEVAL,"EX")=0),0))))</f>
      </c>
      <c r="H5324">
        <f>IF(DATOS!$G5324&lt;&gt;"EX",0,--(COUNTIFS(nNIA,DATOS!$A5324,nCURSO,DATOS!$D5324,nESPEC,DATOS!$E5324,nASIG,DATOS!$I5324,nEVAL,"OR")=0))</f>
      </c>
      <c r="I5324">
        <f>IF(DATOS!$I5324="","",IFERROR(VLOOKUP(DATOS!$I5324,CONFIG_ASIGNATURAS!$B$2:$J$91,9,FALSE()),""))</f>
      </c>
    </row>
    <row r="5325">
      <c r="F5325">
        <f>IF(DATOS!$A5325="","",DATOS!$A5325&amp;"|"&amp;DATOS!$D5325&amp;"|"&amp;DATOS!$E5325&amp;"|"&amp;DATOS!$I5325)</f>
      </c>
      <c r="G5325">
        <f>IF(DATOS!$A5325="",0,IF(CONFIG_METADATA!$B$4&lt;&gt;"OR+EX",--(DATOS!$G5325=CONFIG_METADATA!$B$4),IF(DATOS!$G5325="EX",1,IF(DATOS!$G5325="OR",--(COUNTIFS(nNIA,DATOS!$A5325,nCURSO,DATOS!$D5325,nESPEC,DATOS!$E5325,nASIG,DATOS!$I5325,nEVAL,"EX")=0),0))))</f>
      </c>
      <c r="H5325">
        <f>IF(DATOS!$G5325&lt;&gt;"EX",0,--(COUNTIFS(nNIA,DATOS!$A5325,nCURSO,DATOS!$D5325,nESPEC,DATOS!$E5325,nASIG,DATOS!$I5325,nEVAL,"OR")=0))</f>
      </c>
      <c r="I5325">
        <f>IF(DATOS!$I5325="","",IFERROR(VLOOKUP(DATOS!$I5325,CONFIG_ASIGNATURAS!$B$2:$J$91,9,FALSE()),""))</f>
      </c>
    </row>
    <row r="5326">
      <c r="F5326">
        <f>IF(DATOS!$A5326="","",DATOS!$A5326&amp;"|"&amp;DATOS!$D5326&amp;"|"&amp;DATOS!$E5326&amp;"|"&amp;DATOS!$I5326)</f>
      </c>
      <c r="G5326">
        <f>IF(DATOS!$A5326="",0,IF(CONFIG_METADATA!$B$4&lt;&gt;"OR+EX",--(DATOS!$G5326=CONFIG_METADATA!$B$4),IF(DATOS!$G5326="EX",1,IF(DATOS!$G5326="OR",--(COUNTIFS(nNIA,DATOS!$A5326,nCURSO,DATOS!$D5326,nESPEC,DATOS!$E5326,nASIG,DATOS!$I5326,nEVAL,"EX")=0),0))))</f>
      </c>
      <c r="H5326">
        <f>IF(DATOS!$G5326&lt;&gt;"EX",0,--(COUNTIFS(nNIA,DATOS!$A5326,nCURSO,DATOS!$D5326,nESPEC,DATOS!$E5326,nASIG,DATOS!$I5326,nEVAL,"OR")=0))</f>
      </c>
      <c r="I5326">
        <f>IF(DATOS!$I5326="","",IFERROR(VLOOKUP(DATOS!$I5326,CONFIG_ASIGNATURAS!$B$2:$J$91,9,FALSE()),""))</f>
      </c>
    </row>
    <row r="5327">
      <c r="F5327">
        <f>IF(DATOS!$A5327="","",DATOS!$A5327&amp;"|"&amp;DATOS!$D5327&amp;"|"&amp;DATOS!$E5327&amp;"|"&amp;DATOS!$I5327)</f>
      </c>
      <c r="G5327">
        <f>IF(DATOS!$A5327="",0,IF(CONFIG_METADATA!$B$4&lt;&gt;"OR+EX",--(DATOS!$G5327=CONFIG_METADATA!$B$4),IF(DATOS!$G5327="EX",1,IF(DATOS!$G5327="OR",--(COUNTIFS(nNIA,DATOS!$A5327,nCURSO,DATOS!$D5327,nESPEC,DATOS!$E5327,nASIG,DATOS!$I5327,nEVAL,"EX")=0),0))))</f>
      </c>
      <c r="H5327">
        <f>IF(DATOS!$G5327&lt;&gt;"EX",0,--(COUNTIFS(nNIA,DATOS!$A5327,nCURSO,DATOS!$D5327,nESPEC,DATOS!$E5327,nASIG,DATOS!$I5327,nEVAL,"OR")=0))</f>
      </c>
      <c r="I5327">
        <f>IF(DATOS!$I5327="","",IFERROR(VLOOKUP(DATOS!$I5327,CONFIG_ASIGNATURAS!$B$2:$J$91,9,FALSE()),""))</f>
      </c>
    </row>
    <row r="5328">
      <c r="F5328">
        <f>IF(DATOS!$A5328="","",DATOS!$A5328&amp;"|"&amp;DATOS!$D5328&amp;"|"&amp;DATOS!$E5328&amp;"|"&amp;DATOS!$I5328)</f>
      </c>
      <c r="G5328">
        <f>IF(DATOS!$A5328="",0,IF(CONFIG_METADATA!$B$4&lt;&gt;"OR+EX",--(DATOS!$G5328=CONFIG_METADATA!$B$4),IF(DATOS!$G5328="EX",1,IF(DATOS!$G5328="OR",--(COUNTIFS(nNIA,DATOS!$A5328,nCURSO,DATOS!$D5328,nESPEC,DATOS!$E5328,nASIG,DATOS!$I5328,nEVAL,"EX")=0),0))))</f>
      </c>
      <c r="H5328">
        <f>IF(DATOS!$G5328&lt;&gt;"EX",0,--(COUNTIFS(nNIA,DATOS!$A5328,nCURSO,DATOS!$D5328,nESPEC,DATOS!$E5328,nASIG,DATOS!$I5328,nEVAL,"OR")=0))</f>
      </c>
      <c r="I5328">
        <f>IF(DATOS!$I5328="","",IFERROR(VLOOKUP(DATOS!$I5328,CONFIG_ASIGNATURAS!$B$2:$J$91,9,FALSE()),""))</f>
      </c>
    </row>
    <row r="5329">
      <c r="F5329">
        <f>IF(DATOS!$A5329="","",DATOS!$A5329&amp;"|"&amp;DATOS!$D5329&amp;"|"&amp;DATOS!$E5329&amp;"|"&amp;DATOS!$I5329)</f>
      </c>
      <c r="G5329">
        <f>IF(DATOS!$A5329="",0,IF(CONFIG_METADATA!$B$4&lt;&gt;"OR+EX",--(DATOS!$G5329=CONFIG_METADATA!$B$4),IF(DATOS!$G5329="EX",1,IF(DATOS!$G5329="OR",--(COUNTIFS(nNIA,DATOS!$A5329,nCURSO,DATOS!$D5329,nESPEC,DATOS!$E5329,nASIG,DATOS!$I5329,nEVAL,"EX")=0),0))))</f>
      </c>
      <c r="H5329">
        <f>IF(DATOS!$G5329&lt;&gt;"EX",0,--(COUNTIFS(nNIA,DATOS!$A5329,nCURSO,DATOS!$D5329,nESPEC,DATOS!$E5329,nASIG,DATOS!$I5329,nEVAL,"OR")=0))</f>
      </c>
      <c r="I5329">
        <f>IF(DATOS!$I5329="","",IFERROR(VLOOKUP(DATOS!$I5329,CONFIG_ASIGNATURAS!$B$2:$J$91,9,FALSE()),""))</f>
      </c>
    </row>
    <row r="5330">
      <c r="F5330">
        <f>IF(DATOS!$A5330="","",DATOS!$A5330&amp;"|"&amp;DATOS!$D5330&amp;"|"&amp;DATOS!$E5330&amp;"|"&amp;DATOS!$I5330)</f>
      </c>
      <c r="G5330">
        <f>IF(DATOS!$A5330="",0,IF(CONFIG_METADATA!$B$4&lt;&gt;"OR+EX",--(DATOS!$G5330=CONFIG_METADATA!$B$4),IF(DATOS!$G5330="EX",1,IF(DATOS!$G5330="OR",--(COUNTIFS(nNIA,DATOS!$A5330,nCURSO,DATOS!$D5330,nESPEC,DATOS!$E5330,nASIG,DATOS!$I5330,nEVAL,"EX")=0),0))))</f>
      </c>
      <c r="H5330">
        <f>IF(DATOS!$G5330&lt;&gt;"EX",0,--(COUNTIFS(nNIA,DATOS!$A5330,nCURSO,DATOS!$D5330,nESPEC,DATOS!$E5330,nASIG,DATOS!$I5330,nEVAL,"OR")=0))</f>
      </c>
      <c r="I5330">
        <f>IF(DATOS!$I5330="","",IFERROR(VLOOKUP(DATOS!$I5330,CONFIG_ASIGNATURAS!$B$2:$J$91,9,FALSE()),""))</f>
      </c>
    </row>
    <row r="5331">
      <c r="F5331">
        <f>IF(DATOS!$A5331="","",DATOS!$A5331&amp;"|"&amp;DATOS!$D5331&amp;"|"&amp;DATOS!$E5331&amp;"|"&amp;DATOS!$I5331)</f>
      </c>
      <c r="G5331">
        <f>IF(DATOS!$A5331="",0,IF(CONFIG_METADATA!$B$4&lt;&gt;"OR+EX",--(DATOS!$G5331=CONFIG_METADATA!$B$4),IF(DATOS!$G5331="EX",1,IF(DATOS!$G5331="OR",--(COUNTIFS(nNIA,DATOS!$A5331,nCURSO,DATOS!$D5331,nESPEC,DATOS!$E5331,nASIG,DATOS!$I5331,nEVAL,"EX")=0),0))))</f>
      </c>
      <c r="H5331">
        <f>IF(DATOS!$G5331&lt;&gt;"EX",0,--(COUNTIFS(nNIA,DATOS!$A5331,nCURSO,DATOS!$D5331,nESPEC,DATOS!$E5331,nASIG,DATOS!$I5331,nEVAL,"OR")=0))</f>
      </c>
      <c r="I5331">
        <f>IF(DATOS!$I5331="","",IFERROR(VLOOKUP(DATOS!$I5331,CONFIG_ASIGNATURAS!$B$2:$J$91,9,FALSE()),""))</f>
      </c>
    </row>
    <row r="5332">
      <c r="F5332">
        <f>IF(DATOS!$A5332="","",DATOS!$A5332&amp;"|"&amp;DATOS!$D5332&amp;"|"&amp;DATOS!$E5332&amp;"|"&amp;DATOS!$I5332)</f>
      </c>
      <c r="G5332">
        <f>IF(DATOS!$A5332="",0,IF(CONFIG_METADATA!$B$4&lt;&gt;"OR+EX",--(DATOS!$G5332=CONFIG_METADATA!$B$4),IF(DATOS!$G5332="EX",1,IF(DATOS!$G5332="OR",--(COUNTIFS(nNIA,DATOS!$A5332,nCURSO,DATOS!$D5332,nESPEC,DATOS!$E5332,nASIG,DATOS!$I5332,nEVAL,"EX")=0),0))))</f>
      </c>
      <c r="H5332">
        <f>IF(DATOS!$G5332&lt;&gt;"EX",0,--(COUNTIFS(nNIA,DATOS!$A5332,nCURSO,DATOS!$D5332,nESPEC,DATOS!$E5332,nASIG,DATOS!$I5332,nEVAL,"OR")=0))</f>
      </c>
      <c r="I5332">
        <f>IF(DATOS!$I5332="","",IFERROR(VLOOKUP(DATOS!$I5332,CONFIG_ASIGNATURAS!$B$2:$J$91,9,FALSE()),""))</f>
      </c>
    </row>
    <row r="5333">
      <c r="F5333">
        <f>IF(DATOS!$A5333="","",DATOS!$A5333&amp;"|"&amp;DATOS!$D5333&amp;"|"&amp;DATOS!$E5333&amp;"|"&amp;DATOS!$I5333)</f>
      </c>
      <c r="G5333">
        <f>IF(DATOS!$A5333="",0,IF(CONFIG_METADATA!$B$4&lt;&gt;"OR+EX",--(DATOS!$G5333=CONFIG_METADATA!$B$4),IF(DATOS!$G5333="EX",1,IF(DATOS!$G5333="OR",--(COUNTIFS(nNIA,DATOS!$A5333,nCURSO,DATOS!$D5333,nESPEC,DATOS!$E5333,nASIG,DATOS!$I5333,nEVAL,"EX")=0),0))))</f>
      </c>
      <c r="H5333">
        <f>IF(DATOS!$G5333&lt;&gt;"EX",0,--(COUNTIFS(nNIA,DATOS!$A5333,nCURSO,DATOS!$D5333,nESPEC,DATOS!$E5333,nASIG,DATOS!$I5333,nEVAL,"OR")=0))</f>
      </c>
      <c r="I5333">
        <f>IF(DATOS!$I5333="","",IFERROR(VLOOKUP(DATOS!$I5333,CONFIG_ASIGNATURAS!$B$2:$J$91,9,FALSE()),""))</f>
      </c>
    </row>
    <row r="5334">
      <c r="F5334">
        <f>IF(DATOS!$A5334="","",DATOS!$A5334&amp;"|"&amp;DATOS!$D5334&amp;"|"&amp;DATOS!$E5334&amp;"|"&amp;DATOS!$I5334)</f>
      </c>
      <c r="G5334">
        <f>IF(DATOS!$A5334="",0,IF(CONFIG_METADATA!$B$4&lt;&gt;"OR+EX",--(DATOS!$G5334=CONFIG_METADATA!$B$4),IF(DATOS!$G5334="EX",1,IF(DATOS!$G5334="OR",--(COUNTIFS(nNIA,DATOS!$A5334,nCURSO,DATOS!$D5334,nESPEC,DATOS!$E5334,nASIG,DATOS!$I5334,nEVAL,"EX")=0),0))))</f>
      </c>
      <c r="H5334">
        <f>IF(DATOS!$G5334&lt;&gt;"EX",0,--(COUNTIFS(nNIA,DATOS!$A5334,nCURSO,DATOS!$D5334,nESPEC,DATOS!$E5334,nASIG,DATOS!$I5334,nEVAL,"OR")=0))</f>
      </c>
      <c r="I5334">
        <f>IF(DATOS!$I5334="","",IFERROR(VLOOKUP(DATOS!$I5334,CONFIG_ASIGNATURAS!$B$2:$J$91,9,FALSE()),""))</f>
      </c>
    </row>
    <row r="5335">
      <c r="F5335">
        <f>IF(DATOS!$A5335="","",DATOS!$A5335&amp;"|"&amp;DATOS!$D5335&amp;"|"&amp;DATOS!$E5335&amp;"|"&amp;DATOS!$I5335)</f>
      </c>
      <c r="G5335">
        <f>IF(DATOS!$A5335="",0,IF(CONFIG_METADATA!$B$4&lt;&gt;"OR+EX",--(DATOS!$G5335=CONFIG_METADATA!$B$4),IF(DATOS!$G5335="EX",1,IF(DATOS!$G5335="OR",--(COUNTIFS(nNIA,DATOS!$A5335,nCURSO,DATOS!$D5335,nESPEC,DATOS!$E5335,nASIG,DATOS!$I5335,nEVAL,"EX")=0),0))))</f>
      </c>
      <c r="H5335">
        <f>IF(DATOS!$G5335&lt;&gt;"EX",0,--(COUNTIFS(nNIA,DATOS!$A5335,nCURSO,DATOS!$D5335,nESPEC,DATOS!$E5335,nASIG,DATOS!$I5335,nEVAL,"OR")=0))</f>
      </c>
      <c r="I5335">
        <f>IF(DATOS!$I5335="","",IFERROR(VLOOKUP(DATOS!$I5335,CONFIG_ASIGNATURAS!$B$2:$J$91,9,FALSE()),""))</f>
      </c>
    </row>
    <row r="5336">
      <c r="F5336">
        <f>IF(DATOS!$A5336="","",DATOS!$A5336&amp;"|"&amp;DATOS!$D5336&amp;"|"&amp;DATOS!$E5336&amp;"|"&amp;DATOS!$I5336)</f>
      </c>
      <c r="G5336">
        <f>IF(DATOS!$A5336="",0,IF(CONFIG_METADATA!$B$4&lt;&gt;"OR+EX",--(DATOS!$G5336=CONFIG_METADATA!$B$4),IF(DATOS!$G5336="EX",1,IF(DATOS!$G5336="OR",--(COUNTIFS(nNIA,DATOS!$A5336,nCURSO,DATOS!$D5336,nESPEC,DATOS!$E5336,nASIG,DATOS!$I5336,nEVAL,"EX")=0),0))))</f>
      </c>
      <c r="H5336">
        <f>IF(DATOS!$G5336&lt;&gt;"EX",0,--(COUNTIFS(nNIA,DATOS!$A5336,nCURSO,DATOS!$D5336,nESPEC,DATOS!$E5336,nASIG,DATOS!$I5336,nEVAL,"OR")=0))</f>
      </c>
      <c r="I5336">
        <f>IF(DATOS!$I5336="","",IFERROR(VLOOKUP(DATOS!$I5336,CONFIG_ASIGNATURAS!$B$2:$J$91,9,FALSE()),""))</f>
      </c>
    </row>
    <row r="5337">
      <c r="F5337">
        <f>IF(DATOS!$A5337="","",DATOS!$A5337&amp;"|"&amp;DATOS!$D5337&amp;"|"&amp;DATOS!$E5337&amp;"|"&amp;DATOS!$I5337)</f>
      </c>
      <c r="G5337">
        <f>IF(DATOS!$A5337="",0,IF(CONFIG_METADATA!$B$4&lt;&gt;"OR+EX",--(DATOS!$G5337=CONFIG_METADATA!$B$4),IF(DATOS!$G5337="EX",1,IF(DATOS!$G5337="OR",--(COUNTIFS(nNIA,DATOS!$A5337,nCURSO,DATOS!$D5337,nESPEC,DATOS!$E5337,nASIG,DATOS!$I5337,nEVAL,"EX")=0),0))))</f>
      </c>
      <c r="H5337">
        <f>IF(DATOS!$G5337&lt;&gt;"EX",0,--(COUNTIFS(nNIA,DATOS!$A5337,nCURSO,DATOS!$D5337,nESPEC,DATOS!$E5337,nASIG,DATOS!$I5337,nEVAL,"OR")=0))</f>
      </c>
      <c r="I5337">
        <f>IF(DATOS!$I5337="","",IFERROR(VLOOKUP(DATOS!$I5337,CONFIG_ASIGNATURAS!$B$2:$J$91,9,FALSE()),""))</f>
      </c>
    </row>
    <row r="5338">
      <c r="F5338">
        <f>IF(DATOS!$A5338="","",DATOS!$A5338&amp;"|"&amp;DATOS!$D5338&amp;"|"&amp;DATOS!$E5338&amp;"|"&amp;DATOS!$I5338)</f>
      </c>
      <c r="G5338">
        <f>IF(DATOS!$A5338="",0,IF(CONFIG_METADATA!$B$4&lt;&gt;"OR+EX",--(DATOS!$G5338=CONFIG_METADATA!$B$4),IF(DATOS!$G5338="EX",1,IF(DATOS!$G5338="OR",--(COUNTIFS(nNIA,DATOS!$A5338,nCURSO,DATOS!$D5338,nESPEC,DATOS!$E5338,nASIG,DATOS!$I5338,nEVAL,"EX")=0),0))))</f>
      </c>
      <c r="H5338">
        <f>IF(DATOS!$G5338&lt;&gt;"EX",0,--(COUNTIFS(nNIA,DATOS!$A5338,nCURSO,DATOS!$D5338,nESPEC,DATOS!$E5338,nASIG,DATOS!$I5338,nEVAL,"OR")=0))</f>
      </c>
      <c r="I5338">
        <f>IF(DATOS!$I5338="","",IFERROR(VLOOKUP(DATOS!$I5338,CONFIG_ASIGNATURAS!$B$2:$J$91,9,FALSE()),""))</f>
      </c>
    </row>
    <row r="5339">
      <c r="F5339">
        <f>IF(DATOS!$A5339="","",DATOS!$A5339&amp;"|"&amp;DATOS!$D5339&amp;"|"&amp;DATOS!$E5339&amp;"|"&amp;DATOS!$I5339)</f>
      </c>
      <c r="G5339">
        <f>IF(DATOS!$A5339="",0,IF(CONFIG_METADATA!$B$4&lt;&gt;"OR+EX",--(DATOS!$G5339=CONFIG_METADATA!$B$4),IF(DATOS!$G5339="EX",1,IF(DATOS!$G5339="OR",--(COUNTIFS(nNIA,DATOS!$A5339,nCURSO,DATOS!$D5339,nESPEC,DATOS!$E5339,nASIG,DATOS!$I5339,nEVAL,"EX")=0),0))))</f>
      </c>
      <c r="H5339">
        <f>IF(DATOS!$G5339&lt;&gt;"EX",0,--(COUNTIFS(nNIA,DATOS!$A5339,nCURSO,DATOS!$D5339,nESPEC,DATOS!$E5339,nASIG,DATOS!$I5339,nEVAL,"OR")=0))</f>
      </c>
      <c r="I5339">
        <f>IF(DATOS!$I5339="","",IFERROR(VLOOKUP(DATOS!$I5339,CONFIG_ASIGNATURAS!$B$2:$J$91,9,FALSE()),""))</f>
      </c>
    </row>
    <row r="5340">
      <c r="F5340">
        <f>IF(DATOS!$A5340="","",DATOS!$A5340&amp;"|"&amp;DATOS!$D5340&amp;"|"&amp;DATOS!$E5340&amp;"|"&amp;DATOS!$I5340)</f>
      </c>
      <c r="G5340">
        <f>IF(DATOS!$A5340="",0,IF(CONFIG_METADATA!$B$4&lt;&gt;"OR+EX",--(DATOS!$G5340=CONFIG_METADATA!$B$4),IF(DATOS!$G5340="EX",1,IF(DATOS!$G5340="OR",--(COUNTIFS(nNIA,DATOS!$A5340,nCURSO,DATOS!$D5340,nESPEC,DATOS!$E5340,nASIG,DATOS!$I5340,nEVAL,"EX")=0),0))))</f>
      </c>
      <c r="H5340">
        <f>IF(DATOS!$G5340&lt;&gt;"EX",0,--(COUNTIFS(nNIA,DATOS!$A5340,nCURSO,DATOS!$D5340,nESPEC,DATOS!$E5340,nASIG,DATOS!$I5340,nEVAL,"OR")=0))</f>
      </c>
      <c r="I5340">
        <f>IF(DATOS!$I5340="","",IFERROR(VLOOKUP(DATOS!$I5340,CONFIG_ASIGNATURAS!$B$2:$J$91,9,FALSE()),""))</f>
      </c>
    </row>
    <row r="5341">
      <c r="F5341">
        <f>IF(DATOS!$A5341="","",DATOS!$A5341&amp;"|"&amp;DATOS!$D5341&amp;"|"&amp;DATOS!$E5341&amp;"|"&amp;DATOS!$I5341)</f>
      </c>
      <c r="G5341">
        <f>IF(DATOS!$A5341="",0,IF(CONFIG_METADATA!$B$4&lt;&gt;"OR+EX",--(DATOS!$G5341=CONFIG_METADATA!$B$4),IF(DATOS!$G5341="EX",1,IF(DATOS!$G5341="OR",--(COUNTIFS(nNIA,DATOS!$A5341,nCURSO,DATOS!$D5341,nESPEC,DATOS!$E5341,nASIG,DATOS!$I5341,nEVAL,"EX")=0),0))))</f>
      </c>
      <c r="H5341">
        <f>IF(DATOS!$G5341&lt;&gt;"EX",0,--(COUNTIFS(nNIA,DATOS!$A5341,nCURSO,DATOS!$D5341,nESPEC,DATOS!$E5341,nASIG,DATOS!$I5341,nEVAL,"OR")=0))</f>
      </c>
      <c r="I5341">
        <f>IF(DATOS!$I5341="","",IFERROR(VLOOKUP(DATOS!$I5341,CONFIG_ASIGNATURAS!$B$2:$J$91,9,FALSE()),""))</f>
      </c>
    </row>
    <row r="5342">
      <c r="F5342">
        <f>IF(DATOS!$A5342="","",DATOS!$A5342&amp;"|"&amp;DATOS!$D5342&amp;"|"&amp;DATOS!$E5342&amp;"|"&amp;DATOS!$I5342)</f>
      </c>
      <c r="G5342">
        <f>IF(DATOS!$A5342="",0,IF(CONFIG_METADATA!$B$4&lt;&gt;"OR+EX",--(DATOS!$G5342=CONFIG_METADATA!$B$4),IF(DATOS!$G5342="EX",1,IF(DATOS!$G5342="OR",--(COUNTIFS(nNIA,DATOS!$A5342,nCURSO,DATOS!$D5342,nESPEC,DATOS!$E5342,nASIG,DATOS!$I5342,nEVAL,"EX")=0),0))))</f>
      </c>
      <c r="H5342">
        <f>IF(DATOS!$G5342&lt;&gt;"EX",0,--(COUNTIFS(nNIA,DATOS!$A5342,nCURSO,DATOS!$D5342,nESPEC,DATOS!$E5342,nASIG,DATOS!$I5342,nEVAL,"OR")=0))</f>
      </c>
      <c r="I5342">
        <f>IF(DATOS!$I5342="","",IFERROR(VLOOKUP(DATOS!$I5342,CONFIG_ASIGNATURAS!$B$2:$J$91,9,FALSE()),""))</f>
      </c>
    </row>
    <row r="5343">
      <c r="F5343">
        <f>IF(DATOS!$A5343="","",DATOS!$A5343&amp;"|"&amp;DATOS!$D5343&amp;"|"&amp;DATOS!$E5343&amp;"|"&amp;DATOS!$I5343)</f>
      </c>
      <c r="G5343">
        <f>IF(DATOS!$A5343="",0,IF(CONFIG_METADATA!$B$4&lt;&gt;"OR+EX",--(DATOS!$G5343=CONFIG_METADATA!$B$4),IF(DATOS!$G5343="EX",1,IF(DATOS!$G5343="OR",--(COUNTIFS(nNIA,DATOS!$A5343,nCURSO,DATOS!$D5343,nESPEC,DATOS!$E5343,nASIG,DATOS!$I5343,nEVAL,"EX")=0),0))))</f>
      </c>
      <c r="H5343">
        <f>IF(DATOS!$G5343&lt;&gt;"EX",0,--(COUNTIFS(nNIA,DATOS!$A5343,nCURSO,DATOS!$D5343,nESPEC,DATOS!$E5343,nASIG,DATOS!$I5343,nEVAL,"OR")=0))</f>
      </c>
      <c r="I5343">
        <f>IF(DATOS!$I5343="","",IFERROR(VLOOKUP(DATOS!$I5343,CONFIG_ASIGNATURAS!$B$2:$J$91,9,FALSE()),""))</f>
      </c>
    </row>
    <row r="5344">
      <c r="F5344">
        <f>IF(DATOS!$A5344="","",DATOS!$A5344&amp;"|"&amp;DATOS!$D5344&amp;"|"&amp;DATOS!$E5344&amp;"|"&amp;DATOS!$I5344)</f>
      </c>
      <c r="G5344">
        <f>IF(DATOS!$A5344="",0,IF(CONFIG_METADATA!$B$4&lt;&gt;"OR+EX",--(DATOS!$G5344=CONFIG_METADATA!$B$4),IF(DATOS!$G5344="EX",1,IF(DATOS!$G5344="OR",--(COUNTIFS(nNIA,DATOS!$A5344,nCURSO,DATOS!$D5344,nESPEC,DATOS!$E5344,nASIG,DATOS!$I5344,nEVAL,"EX")=0),0))))</f>
      </c>
      <c r="H5344">
        <f>IF(DATOS!$G5344&lt;&gt;"EX",0,--(COUNTIFS(nNIA,DATOS!$A5344,nCURSO,DATOS!$D5344,nESPEC,DATOS!$E5344,nASIG,DATOS!$I5344,nEVAL,"OR")=0))</f>
      </c>
      <c r="I5344">
        <f>IF(DATOS!$I5344="","",IFERROR(VLOOKUP(DATOS!$I5344,CONFIG_ASIGNATURAS!$B$2:$J$91,9,FALSE()),""))</f>
      </c>
    </row>
    <row r="5345">
      <c r="F5345">
        <f>IF(DATOS!$A5345="","",DATOS!$A5345&amp;"|"&amp;DATOS!$D5345&amp;"|"&amp;DATOS!$E5345&amp;"|"&amp;DATOS!$I5345)</f>
      </c>
      <c r="G5345">
        <f>IF(DATOS!$A5345="",0,IF(CONFIG_METADATA!$B$4&lt;&gt;"OR+EX",--(DATOS!$G5345=CONFIG_METADATA!$B$4),IF(DATOS!$G5345="EX",1,IF(DATOS!$G5345="OR",--(COUNTIFS(nNIA,DATOS!$A5345,nCURSO,DATOS!$D5345,nESPEC,DATOS!$E5345,nASIG,DATOS!$I5345,nEVAL,"EX")=0),0))))</f>
      </c>
      <c r="H5345">
        <f>IF(DATOS!$G5345&lt;&gt;"EX",0,--(COUNTIFS(nNIA,DATOS!$A5345,nCURSO,DATOS!$D5345,nESPEC,DATOS!$E5345,nASIG,DATOS!$I5345,nEVAL,"OR")=0))</f>
      </c>
      <c r="I5345">
        <f>IF(DATOS!$I5345="","",IFERROR(VLOOKUP(DATOS!$I5345,CONFIG_ASIGNATURAS!$B$2:$J$91,9,FALSE()),""))</f>
      </c>
    </row>
    <row r="5346">
      <c r="F5346">
        <f>IF(DATOS!$A5346="","",DATOS!$A5346&amp;"|"&amp;DATOS!$D5346&amp;"|"&amp;DATOS!$E5346&amp;"|"&amp;DATOS!$I5346)</f>
      </c>
      <c r="G5346">
        <f>IF(DATOS!$A5346="",0,IF(CONFIG_METADATA!$B$4&lt;&gt;"OR+EX",--(DATOS!$G5346=CONFIG_METADATA!$B$4),IF(DATOS!$G5346="EX",1,IF(DATOS!$G5346="OR",--(COUNTIFS(nNIA,DATOS!$A5346,nCURSO,DATOS!$D5346,nESPEC,DATOS!$E5346,nASIG,DATOS!$I5346,nEVAL,"EX")=0),0))))</f>
      </c>
      <c r="H5346">
        <f>IF(DATOS!$G5346&lt;&gt;"EX",0,--(COUNTIFS(nNIA,DATOS!$A5346,nCURSO,DATOS!$D5346,nESPEC,DATOS!$E5346,nASIG,DATOS!$I5346,nEVAL,"OR")=0))</f>
      </c>
      <c r="I5346">
        <f>IF(DATOS!$I5346="","",IFERROR(VLOOKUP(DATOS!$I5346,CONFIG_ASIGNATURAS!$B$2:$J$91,9,FALSE()),""))</f>
      </c>
    </row>
    <row r="5347">
      <c r="F5347">
        <f>IF(DATOS!$A5347="","",DATOS!$A5347&amp;"|"&amp;DATOS!$D5347&amp;"|"&amp;DATOS!$E5347&amp;"|"&amp;DATOS!$I5347)</f>
      </c>
      <c r="G5347">
        <f>IF(DATOS!$A5347="",0,IF(CONFIG_METADATA!$B$4&lt;&gt;"OR+EX",--(DATOS!$G5347=CONFIG_METADATA!$B$4),IF(DATOS!$G5347="EX",1,IF(DATOS!$G5347="OR",--(COUNTIFS(nNIA,DATOS!$A5347,nCURSO,DATOS!$D5347,nESPEC,DATOS!$E5347,nASIG,DATOS!$I5347,nEVAL,"EX")=0),0))))</f>
      </c>
      <c r="H5347">
        <f>IF(DATOS!$G5347&lt;&gt;"EX",0,--(COUNTIFS(nNIA,DATOS!$A5347,nCURSO,DATOS!$D5347,nESPEC,DATOS!$E5347,nASIG,DATOS!$I5347,nEVAL,"OR")=0))</f>
      </c>
      <c r="I5347">
        <f>IF(DATOS!$I5347="","",IFERROR(VLOOKUP(DATOS!$I5347,CONFIG_ASIGNATURAS!$B$2:$J$91,9,FALSE()),""))</f>
      </c>
    </row>
    <row r="5348">
      <c r="F5348">
        <f>IF(DATOS!$A5348="","",DATOS!$A5348&amp;"|"&amp;DATOS!$D5348&amp;"|"&amp;DATOS!$E5348&amp;"|"&amp;DATOS!$I5348)</f>
      </c>
      <c r="G5348">
        <f>IF(DATOS!$A5348="",0,IF(CONFIG_METADATA!$B$4&lt;&gt;"OR+EX",--(DATOS!$G5348=CONFIG_METADATA!$B$4),IF(DATOS!$G5348="EX",1,IF(DATOS!$G5348="OR",--(COUNTIFS(nNIA,DATOS!$A5348,nCURSO,DATOS!$D5348,nESPEC,DATOS!$E5348,nASIG,DATOS!$I5348,nEVAL,"EX")=0),0))))</f>
      </c>
      <c r="H5348">
        <f>IF(DATOS!$G5348&lt;&gt;"EX",0,--(COUNTIFS(nNIA,DATOS!$A5348,nCURSO,DATOS!$D5348,nESPEC,DATOS!$E5348,nASIG,DATOS!$I5348,nEVAL,"OR")=0))</f>
      </c>
      <c r="I5348">
        <f>IF(DATOS!$I5348="","",IFERROR(VLOOKUP(DATOS!$I5348,CONFIG_ASIGNATURAS!$B$2:$J$91,9,FALSE()),""))</f>
      </c>
    </row>
    <row r="5349">
      <c r="F5349">
        <f>IF(DATOS!$A5349="","",DATOS!$A5349&amp;"|"&amp;DATOS!$D5349&amp;"|"&amp;DATOS!$E5349&amp;"|"&amp;DATOS!$I5349)</f>
      </c>
      <c r="G5349">
        <f>IF(DATOS!$A5349="",0,IF(CONFIG_METADATA!$B$4&lt;&gt;"OR+EX",--(DATOS!$G5349=CONFIG_METADATA!$B$4),IF(DATOS!$G5349="EX",1,IF(DATOS!$G5349="OR",--(COUNTIFS(nNIA,DATOS!$A5349,nCURSO,DATOS!$D5349,nESPEC,DATOS!$E5349,nASIG,DATOS!$I5349,nEVAL,"EX")=0),0))))</f>
      </c>
      <c r="H5349">
        <f>IF(DATOS!$G5349&lt;&gt;"EX",0,--(COUNTIFS(nNIA,DATOS!$A5349,nCURSO,DATOS!$D5349,nESPEC,DATOS!$E5349,nASIG,DATOS!$I5349,nEVAL,"OR")=0))</f>
      </c>
      <c r="I5349">
        <f>IF(DATOS!$I5349="","",IFERROR(VLOOKUP(DATOS!$I5349,CONFIG_ASIGNATURAS!$B$2:$J$91,9,FALSE()),""))</f>
      </c>
    </row>
    <row r="5350">
      <c r="F5350">
        <f>IF(DATOS!$A5350="","",DATOS!$A5350&amp;"|"&amp;DATOS!$D5350&amp;"|"&amp;DATOS!$E5350&amp;"|"&amp;DATOS!$I5350)</f>
      </c>
      <c r="G5350">
        <f>IF(DATOS!$A5350="",0,IF(CONFIG_METADATA!$B$4&lt;&gt;"OR+EX",--(DATOS!$G5350=CONFIG_METADATA!$B$4),IF(DATOS!$G5350="EX",1,IF(DATOS!$G5350="OR",--(COUNTIFS(nNIA,DATOS!$A5350,nCURSO,DATOS!$D5350,nESPEC,DATOS!$E5350,nASIG,DATOS!$I5350,nEVAL,"EX")=0),0))))</f>
      </c>
      <c r="H5350">
        <f>IF(DATOS!$G5350&lt;&gt;"EX",0,--(COUNTIFS(nNIA,DATOS!$A5350,nCURSO,DATOS!$D5350,nESPEC,DATOS!$E5350,nASIG,DATOS!$I5350,nEVAL,"OR")=0))</f>
      </c>
      <c r="I5350">
        <f>IF(DATOS!$I5350="","",IFERROR(VLOOKUP(DATOS!$I5350,CONFIG_ASIGNATURAS!$B$2:$J$91,9,FALSE()),""))</f>
      </c>
    </row>
    <row r="5351">
      <c r="F5351">
        <f>IF(DATOS!$A5351="","",DATOS!$A5351&amp;"|"&amp;DATOS!$D5351&amp;"|"&amp;DATOS!$E5351&amp;"|"&amp;DATOS!$I5351)</f>
      </c>
      <c r="G5351">
        <f>IF(DATOS!$A5351="",0,IF(CONFIG_METADATA!$B$4&lt;&gt;"OR+EX",--(DATOS!$G5351=CONFIG_METADATA!$B$4),IF(DATOS!$G5351="EX",1,IF(DATOS!$G5351="OR",--(COUNTIFS(nNIA,DATOS!$A5351,nCURSO,DATOS!$D5351,nESPEC,DATOS!$E5351,nASIG,DATOS!$I5351,nEVAL,"EX")=0),0))))</f>
      </c>
      <c r="H5351">
        <f>IF(DATOS!$G5351&lt;&gt;"EX",0,--(COUNTIFS(nNIA,DATOS!$A5351,nCURSO,DATOS!$D5351,nESPEC,DATOS!$E5351,nASIG,DATOS!$I5351,nEVAL,"OR")=0))</f>
      </c>
      <c r="I5351">
        <f>IF(DATOS!$I5351="","",IFERROR(VLOOKUP(DATOS!$I5351,CONFIG_ASIGNATURAS!$B$2:$J$91,9,FALSE()),""))</f>
      </c>
    </row>
    <row r="5352">
      <c r="F5352">
        <f>IF(DATOS!$A5352="","",DATOS!$A5352&amp;"|"&amp;DATOS!$D5352&amp;"|"&amp;DATOS!$E5352&amp;"|"&amp;DATOS!$I5352)</f>
      </c>
      <c r="G5352">
        <f>IF(DATOS!$A5352="",0,IF(CONFIG_METADATA!$B$4&lt;&gt;"OR+EX",--(DATOS!$G5352=CONFIG_METADATA!$B$4),IF(DATOS!$G5352="EX",1,IF(DATOS!$G5352="OR",--(COUNTIFS(nNIA,DATOS!$A5352,nCURSO,DATOS!$D5352,nESPEC,DATOS!$E5352,nASIG,DATOS!$I5352,nEVAL,"EX")=0),0))))</f>
      </c>
      <c r="H5352">
        <f>IF(DATOS!$G5352&lt;&gt;"EX",0,--(COUNTIFS(nNIA,DATOS!$A5352,nCURSO,DATOS!$D5352,nESPEC,DATOS!$E5352,nASIG,DATOS!$I5352,nEVAL,"OR")=0))</f>
      </c>
      <c r="I5352">
        <f>IF(DATOS!$I5352="","",IFERROR(VLOOKUP(DATOS!$I5352,CONFIG_ASIGNATURAS!$B$2:$J$91,9,FALSE()),""))</f>
      </c>
    </row>
    <row r="5353">
      <c r="F5353">
        <f>IF(DATOS!$A5353="","",DATOS!$A5353&amp;"|"&amp;DATOS!$D5353&amp;"|"&amp;DATOS!$E5353&amp;"|"&amp;DATOS!$I5353)</f>
      </c>
      <c r="G5353">
        <f>IF(DATOS!$A5353="",0,IF(CONFIG_METADATA!$B$4&lt;&gt;"OR+EX",--(DATOS!$G5353=CONFIG_METADATA!$B$4),IF(DATOS!$G5353="EX",1,IF(DATOS!$G5353="OR",--(COUNTIFS(nNIA,DATOS!$A5353,nCURSO,DATOS!$D5353,nESPEC,DATOS!$E5353,nASIG,DATOS!$I5353,nEVAL,"EX")=0),0))))</f>
      </c>
      <c r="H5353">
        <f>IF(DATOS!$G5353&lt;&gt;"EX",0,--(COUNTIFS(nNIA,DATOS!$A5353,nCURSO,DATOS!$D5353,nESPEC,DATOS!$E5353,nASIG,DATOS!$I5353,nEVAL,"OR")=0))</f>
      </c>
      <c r="I5353">
        <f>IF(DATOS!$I5353="","",IFERROR(VLOOKUP(DATOS!$I5353,CONFIG_ASIGNATURAS!$B$2:$J$91,9,FALSE()),""))</f>
      </c>
    </row>
    <row r="5354">
      <c r="F5354">
        <f>IF(DATOS!$A5354="","",DATOS!$A5354&amp;"|"&amp;DATOS!$D5354&amp;"|"&amp;DATOS!$E5354&amp;"|"&amp;DATOS!$I5354)</f>
      </c>
      <c r="G5354">
        <f>IF(DATOS!$A5354="",0,IF(CONFIG_METADATA!$B$4&lt;&gt;"OR+EX",--(DATOS!$G5354=CONFIG_METADATA!$B$4),IF(DATOS!$G5354="EX",1,IF(DATOS!$G5354="OR",--(COUNTIFS(nNIA,DATOS!$A5354,nCURSO,DATOS!$D5354,nESPEC,DATOS!$E5354,nASIG,DATOS!$I5354,nEVAL,"EX")=0),0))))</f>
      </c>
      <c r="H5354">
        <f>IF(DATOS!$G5354&lt;&gt;"EX",0,--(COUNTIFS(nNIA,DATOS!$A5354,nCURSO,DATOS!$D5354,nESPEC,DATOS!$E5354,nASIG,DATOS!$I5354,nEVAL,"OR")=0))</f>
      </c>
      <c r="I5354">
        <f>IF(DATOS!$I5354="","",IFERROR(VLOOKUP(DATOS!$I5354,CONFIG_ASIGNATURAS!$B$2:$J$91,9,FALSE()),""))</f>
      </c>
    </row>
    <row r="5355">
      <c r="F5355">
        <f>IF(DATOS!$A5355="","",DATOS!$A5355&amp;"|"&amp;DATOS!$D5355&amp;"|"&amp;DATOS!$E5355&amp;"|"&amp;DATOS!$I5355)</f>
      </c>
      <c r="G5355">
        <f>IF(DATOS!$A5355="",0,IF(CONFIG_METADATA!$B$4&lt;&gt;"OR+EX",--(DATOS!$G5355=CONFIG_METADATA!$B$4),IF(DATOS!$G5355="EX",1,IF(DATOS!$G5355="OR",--(COUNTIFS(nNIA,DATOS!$A5355,nCURSO,DATOS!$D5355,nESPEC,DATOS!$E5355,nASIG,DATOS!$I5355,nEVAL,"EX")=0),0))))</f>
      </c>
      <c r="H5355">
        <f>IF(DATOS!$G5355&lt;&gt;"EX",0,--(COUNTIFS(nNIA,DATOS!$A5355,nCURSO,DATOS!$D5355,nESPEC,DATOS!$E5355,nASIG,DATOS!$I5355,nEVAL,"OR")=0))</f>
      </c>
      <c r="I5355">
        <f>IF(DATOS!$I5355="","",IFERROR(VLOOKUP(DATOS!$I5355,CONFIG_ASIGNATURAS!$B$2:$J$91,9,FALSE()),""))</f>
      </c>
    </row>
    <row r="5356">
      <c r="F5356">
        <f>IF(DATOS!$A5356="","",DATOS!$A5356&amp;"|"&amp;DATOS!$D5356&amp;"|"&amp;DATOS!$E5356&amp;"|"&amp;DATOS!$I5356)</f>
      </c>
      <c r="G5356">
        <f>IF(DATOS!$A5356="",0,IF(CONFIG_METADATA!$B$4&lt;&gt;"OR+EX",--(DATOS!$G5356=CONFIG_METADATA!$B$4),IF(DATOS!$G5356="EX",1,IF(DATOS!$G5356="OR",--(COUNTIFS(nNIA,DATOS!$A5356,nCURSO,DATOS!$D5356,nESPEC,DATOS!$E5356,nASIG,DATOS!$I5356,nEVAL,"EX")=0),0))))</f>
      </c>
      <c r="H5356">
        <f>IF(DATOS!$G5356&lt;&gt;"EX",0,--(COUNTIFS(nNIA,DATOS!$A5356,nCURSO,DATOS!$D5356,nESPEC,DATOS!$E5356,nASIG,DATOS!$I5356,nEVAL,"OR")=0))</f>
      </c>
      <c r="I5356">
        <f>IF(DATOS!$I5356="","",IFERROR(VLOOKUP(DATOS!$I5356,CONFIG_ASIGNATURAS!$B$2:$J$91,9,FALSE()),""))</f>
      </c>
    </row>
    <row r="5357">
      <c r="F5357">
        <f>IF(DATOS!$A5357="","",DATOS!$A5357&amp;"|"&amp;DATOS!$D5357&amp;"|"&amp;DATOS!$E5357&amp;"|"&amp;DATOS!$I5357)</f>
      </c>
      <c r="G5357">
        <f>IF(DATOS!$A5357="",0,IF(CONFIG_METADATA!$B$4&lt;&gt;"OR+EX",--(DATOS!$G5357=CONFIG_METADATA!$B$4),IF(DATOS!$G5357="EX",1,IF(DATOS!$G5357="OR",--(COUNTIFS(nNIA,DATOS!$A5357,nCURSO,DATOS!$D5357,nESPEC,DATOS!$E5357,nASIG,DATOS!$I5357,nEVAL,"EX")=0),0))))</f>
      </c>
      <c r="H5357">
        <f>IF(DATOS!$G5357&lt;&gt;"EX",0,--(COUNTIFS(nNIA,DATOS!$A5357,nCURSO,DATOS!$D5357,nESPEC,DATOS!$E5357,nASIG,DATOS!$I5357,nEVAL,"OR")=0))</f>
      </c>
      <c r="I5357">
        <f>IF(DATOS!$I5357="","",IFERROR(VLOOKUP(DATOS!$I5357,CONFIG_ASIGNATURAS!$B$2:$J$91,9,FALSE()),""))</f>
      </c>
    </row>
    <row r="5358">
      <c r="F5358">
        <f>IF(DATOS!$A5358="","",DATOS!$A5358&amp;"|"&amp;DATOS!$D5358&amp;"|"&amp;DATOS!$E5358&amp;"|"&amp;DATOS!$I5358)</f>
      </c>
      <c r="G5358">
        <f>IF(DATOS!$A5358="",0,IF(CONFIG_METADATA!$B$4&lt;&gt;"OR+EX",--(DATOS!$G5358=CONFIG_METADATA!$B$4),IF(DATOS!$G5358="EX",1,IF(DATOS!$G5358="OR",--(COUNTIFS(nNIA,DATOS!$A5358,nCURSO,DATOS!$D5358,nESPEC,DATOS!$E5358,nASIG,DATOS!$I5358,nEVAL,"EX")=0),0))))</f>
      </c>
      <c r="H5358">
        <f>IF(DATOS!$G5358&lt;&gt;"EX",0,--(COUNTIFS(nNIA,DATOS!$A5358,nCURSO,DATOS!$D5358,nESPEC,DATOS!$E5358,nASIG,DATOS!$I5358,nEVAL,"OR")=0))</f>
      </c>
      <c r="I5358">
        <f>IF(DATOS!$I5358="","",IFERROR(VLOOKUP(DATOS!$I5358,CONFIG_ASIGNATURAS!$B$2:$J$91,9,FALSE()),""))</f>
      </c>
    </row>
    <row r="5359">
      <c r="F5359">
        <f>IF(DATOS!$A5359="","",DATOS!$A5359&amp;"|"&amp;DATOS!$D5359&amp;"|"&amp;DATOS!$E5359&amp;"|"&amp;DATOS!$I5359)</f>
      </c>
      <c r="G5359">
        <f>IF(DATOS!$A5359="",0,IF(CONFIG_METADATA!$B$4&lt;&gt;"OR+EX",--(DATOS!$G5359=CONFIG_METADATA!$B$4),IF(DATOS!$G5359="EX",1,IF(DATOS!$G5359="OR",--(COUNTIFS(nNIA,DATOS!$A5359,nCURSO,DATOS!$D5359,nESPEC,DATOS!$E5359,nASIG,DATOS!$I5359,nEVAL,"EX")=0),0))))</f>
      </c>
      <c r="H5359">
        <f>IF(DATOS!$G5359&lt;&gt;"EX",0,--(COUNTIFS(nNIA,DATOS!$A5359,nCURSO,DATOS!$D5359,nESPEC,DATOS!$E5359,nASIG,DATOS!$I5359,nEVAL,"OR")=0))</f>
      </c>
      <c r="I5359">
        <f>IF(DATOS!$I5359="","",IFERROR(VLOOKUP(DATOS!$I5359,CONFIG_ASIGNATURAS!$B$2:$J$91,9,FALSE()),""))</f>
      </c>
    </row>
    <row r="5360">
      <c r="F5360">
        <f>IF(DATOS!$A5360="","",DATOS!$A5360&amp;"|"&amp;DATOS!$D5360&amp;"|"&amp;DATOS!$E5360&amp;"|"&amp;DATOS!$I5360)</f>
      </c>
      <c r="G5360">
        <f>IF(DATOS!$A5360="",0,IF(CONFIG_METADATA!$B$4&lt;&gt;"OR+EX",--(DATOS!$G5360=CONFIG_METADATA!$B$4),IF(DATOS!$G5360="EX",1,IF(DATOS!$G5360="OR",--(COUNTIFS(nNIA,DATOS!$A5360,nCURSO,DATOS!$D5360,nESPEC,DATOS!$E5360,nASIG,DATOS!$I5360,nEVAL,"EX")=0),0))))</f>
      </c>
      <c r="H5360">
        <f>IF(DATOS!$G5360&lt;&gt;"EX",0,--(COUNTIFS(nNIA,DATOS!$A5360,nCURSO,DATOS!$D5360,nESPEC,DATOS!$E5360,nASIG,DATOS!$I5360,nEVAL,"OR")=0))</f>
      </c>
      <c r="I5360">
        <f>IF(DATOS!$I5360="","",IFERROR(VLOOKUP(DATOS!$I5360,CONFIG_ASIGNATURAS!$B$2:$J$91,9,FALSE()),""))</f>
      </c>
    </row>
    <row r="5361">
      <c r="F5361">
        <f>IF(DATOS!$A5361="","",DATOS!$A5361&amp;"|"&amp;DATOS!$D5361&amp;"|"&amp;DATOS!$E5361&amp;"|"&amp;DATOS!$I5361)</f>
      </c>
      <c r="G5361">
        <f>IF(DATOS!$A5361="",0,IF(CONFIG_METADATA!$B$4&lt;&gt;"OR+EX",--(DATOS!$G5361=CONFIG_METADATA!$B$4),IF(DATOS!$G5361="EX",1,IF(DATOS!$G5361="OR",--(COUNTIFS(nNIA,DATOS!$A5361,nCURSO,DATOS!$D5361,nESPEC,DATOS!$E5361,nASIG,DATOS!$I5361,nEVAL,"EX")=0),0))))</f>
      </c>
      <c r="H5361">
        <f>IF(DATOS!$G5361&lt;&gt;"EX",0,--(COUNTIFS(nNIA,DATOS!$A5361,nCURSO,DATOS!$D5361,nESPEC,DATOS!$E5361,nASIG,DATOS!$I5361,nEVAL,"OR")=0))</f>
      </c>
      <c r="I5361">
        <f>IF(DATOS!$I5361="","",IFERROR(VLOOKUP(DATOS!$I5361,CONFIG_ASIGNATURAS!$B$2:$J$91,9,FALSE()),""))</f>
      </c>
    </row>
    <row r="5362">
      <c r="F5362">
        <f>IF(DATOS!$A5362="","",DATOS!$A5362&amp;"|"&amp;DATOS!$D5362&amp;"|"&amp;DATOS!$E5362&amp;"|"&amp;DATOS!$I5362)</f>
      </c>
      <c r="G5362">
        <f>IF(DATOS!$A5362="",0,IF(CONFIG_METADATA!$B$4&lt;&gt;"OR+EX",--(DATOS!$G5362=CONFIG_METADATA!$B$4),IF(DATOS!$G5362="EX",1,IF(DATOS!$G5362="OR",--(COUNTIFS(nNIA,DATOS!$A5362,nCURSO,DATOS!$D5362,nESPEC,DATOS!$E5362,nASIG,DATOS!$I5362,nEVAL,"EX")=0),0))))</f>
      </c>
      <c r="H5362">
        <f>IF(DATOS!$G5362&lt;&gt;"EX",0,--(COUNTIFS(nNIA,DATOS!$A5362,nCURSO,DATOS!$D5362,nESPEC,DATOS!$E5362,nASIG,DATOS!$I5362,nEVAL,"OR")=0))</f>
      </c>
      <c r="I5362">
        <f>IF(DATOS!$I5362="","",IFERROR(VLOOKUP(DATOS!$I5362,CONFIG_ASIGNATURAS!$B$2:$J$91,9,FALSE()),""))</f>
      </c>
    </row>
    <row r="5363">
      <c r="F5363">
        <f>IF(DATOS!$A5363="","",DATOS!$A5363&amp;"|"&amp;DATOS!$D5363&amp;"|"&amp;DATOS!$E5363&amp;"|"&amp;DATOS!$I5363)</f>
      </c>
      <c r="G5363">
        <f>IF(DATOS!$A5363="",0,IF(CONFIG_METADATA!$B$4&lt;&gt;"OR+EX",--(DATOS!$G5363=CONFIG_METADATA!$B$4),IF(DATOS!$G5363="EX",1,IF(DATOS!$G5363="OR",--(COUNTIFS(nNIA,DATOS!$A5363,nCURSO,DATOS!$D5363,nESPEC,DATOS!$E5363,nASIG,DATOS!$I5363,nEVAL,"EX")=0),0))))</f>
      </c>
      <c r="H5363">
        <f>IF(DATOS!$G5363&lt;&gt;"EX",0,--(COUNTIFS(nNIA,DATOS!$A5363,nCURSO,DATOS!$D5363,nESPEC,DATOS!$E5363,nASIG,DATOS!$I5363,nEVAL,"OR")=0))</f>
      </c>
      <c r="I5363">
        <f>IF(DATOS!$I5363="","",IFERROR(VLOOKUP(DATOS!$I5363,CONFIG_ASIGNATURAS!$B$2:$J$91,9,FALSE()),""))</f>
      </c>
    </row>
    <row r="5364">
      <c r="F5364">
        <f>IF(DATOS!$A5364="","",DATOS!$A5364&amp;"|"&amp;DATOS!$D5364&amp;"|"&amp;DATOS!$E5364&amp;"|"&amp;DATOS!$I5364)</f>
      </c>
      <c r="G5364">
        <f>IF(DATOS!$A5364="",0,IF(CONFIG_METADATA!$B$4&lt;&gt;"OR+EX",--(DATOS!$G5364=CONFIG_METADATA!$B$4),IF(DATOS!$G5364="EX",1,IF(DATOS!$G5364="OR",--(COUNTIFS(nNIA,DATOS!$A5364,nCURSO,DATOS!$D5364,nESPEC,DATOS!$E5364,nASIG,DATOS!$I5364,nEVAL,"EX")=0),0))))</f>
      </c>
      <c r="H5364">
        <f>IF(DATOS!$G5364&lt;&gt;"EX",0,--(COUNTIFS(nNIA,DATOS!$A5364,nCURSO,DATOS!$D5364,nESPEC,DATOS!$E5364,nASIG,DATOS!$I5364,nEVAL,"OR")=0))</f>
      </c>
      <c r="I5364">
        <f>IF(DATOS!$I5364="","",IFERROR(VLOOKUP(DATOS!$I5364,CONFIG_ASIGNATURAS!$B$2:$J$91,9,FALSE()),""))</f>
      </c>
    </row>
    <row r="5365">
      <c r="F5365">
        <f>IF(DATOS!$A5365="","",DATOS!$A5365&amp;"|"&amp;DATOS!$D5365&amp;"|"&amp;DATOS!$E5365&amp;"|"&amp;DATOS!$I5365)</f>
      </c>
      <c r="G5365">
        <f>IF(DATOS!$A5365="",0,IF(CONFIG_METADATA!$B$4&lt;&gt;"OR+EX",--(DATOS!$G5365=CONFIG_METADATA!$B$4),IF(DATOS!$G5365="EX",1,IF(DATOS!$G5365="OR",--(COUNTIFS(nNIA,DATOS!$A5365,nCURSO,DATOS!$D5365,nESPEC,DATOS!$E5365,nASIG,DATOS!$I5365,nEVAL,"EX")=0),0))))</f>
      </c>
      <c r="H5365">
        <f>IF(DATOS!$G5365&lt;&gt;"EX",0,--(COUNTIFS(nNIA,DATOS!$A5365,nCURSO,DATOS!$D5365,nESPEC,DATOS!$E5365,nASIG,DATOS!$I5365,nEVAL,"OR")=0))</f>
      </c>
      <c r="I5365">
        <f>IF(DATOS!$I5365="","",IFERROR(VLOOKUP(DATOS!$I5365,CONFIG_ASIGNATURAS!$B$2:$J$91,9,FALSE()),""))</f>
      </c>
    </row>
    <row r="5366">
      <c r="F5366">
        <f>IF(DATOS!$A5366="","",DATOS!$A5366&amp;"|"&amp;DATOS!$D5366&amp;"|"&amp;DATOS!$E5366&amp;"|"&amp;DATOS!$I5366)</f>
      </c>
      <c r="G5366">
        <f>IF(DATOS!$A5366="",0,IF(CONFIG_METADATA!$B$4&lt;&gt;"OR+EX",--(DATOS!$G5366=CONFIG_METADATA!$B$4),IF(DATOS!$G5366="EX",1,IF(DATOS!$G5366="OR",--(COUNTIFS(nNIA,DATOS!$A5366,nCURSO,DATOS!$D5366,nESPEC,DATOS!$E5366,nASIG,DATOS!$I5366,nEVAL,"EX")=0),0))))</f>
      </c>
      <c r="H5366">
        <f>IF(DATOS!$G5366&lt;&gt;"EX",0,--(COUNTIFS(nNIA,DATOS!$A5366,nCURSO,DATOS!$D5366,nESPEC,DATOS!$E5366,nASIG,DATOS!$I5366,nEVAL,"OR")=0))</f>
      </c>
      <c r="I5366">
        <f>IF(DATOS!$I5366="","",IFERROR(VLOOKUP(DATOS!$I5366,CONFIG_ASIGNATURAS!$B$2:$J$91,9,FALSE()),""))</f>
      </c>
    </row>
    <row r="5367">
      <c r="F5367">
        <f>IF(DATOS!$A5367="","",DATOS!$A5367&amp;"|"&amp;DATOS!$D5367&amp;"|"&amp;DATOS!$E5367&amp;"|"&amp;DATOS!$I5367)</f>
      </c>
      <c r="G5367">
        <f>IF(DATOS!$A5367="",0,IF(CONFIG_METADATA!$B$4&lt;&gt;"OR+EX",--(DATOS!$G5367=CONFIG_METADATA!$B$4),IF(DATOS!$G5367="EX",1,IF(DATOS!$G5367="OR",--(COUNTIFS(nNIA,DATOS!$A5367,nCURSO,DATOS!$D5367,nESPEC,DATOS!$E5367,nASIG,DATOS!$I5367,nEVAL,"EX")=0),0))))</f>
      </c>
      <c r="H5367">
        <f>IF(DATOS!$G5367&lt;&gt;"EX",0,--(COUNTIFS(nNIA,DATOS!$A5367,nCURSO,DATOS!$D5367,nESPEC,DATOS!$E5367,nASIG,DATOS!$I5367,nEVAL,"OR")=0))</f>
      </c>
      <c r="I5367">
        <f>IF(DATOS!$I5367="","",IFERROR(VLOOKUP(DATOS!$I5367,CONFIG_ASIGNATURAS!$B$2:$J$91,9,FALSE()),""))</f>
      </c>
    </row>
    <row r="5368">
      <c r="F5368">
        <f>IF(DATOS!$A5368="","",DATOS!$A5368&amp;"|"&amp;DATOS!$D5368&amp;"|"&amp;DATOS!$E5368&amp;"|"&amp;DATOS!$I5368)</f>
      </c>
      <c r="G5368">
        <f>IF(DATOS!$A5368="",0,IF(CONFIG_METADATA!$B$4&lt;&gt;"OR+EX",--(DATOS!$G5368=CONFIG_METADATA!$B$4),IF(DATOS!$G5368="EX",1,IF(DATOS!$G5368="OR",--(COUNTIFS(nNIA,DATOS!$A5368,nCURSO,DATOS!$D5368,nESPEC,DATOS!$E5368,nASIG,DATOS!$I5368,nEVAL,"EX")=0),0))))</f>
      </c>
      <c r="H5368">
        <f>IF(DATOS!$G5368&lt;&gt;"EX",0,--(COUNTIFS(nNIA,DATOS!$A5368,nCURSO,DATOS!$D5368,nESPEC,DATOS!$E5368,nASIG,DATOS!$I5368,nEVAL,"OR")=0))</f>
      </c>
      <c r="I5368">
        <f>IF(DATOS!$I5368="","",IFERROR(VLOOKUP(DATOS!$I5368,CONFIG_ASIGNATURAS!$B$2:$J$91,9,FALSE()),""))</f>
      </c>
    </row>
    <row r="5369">
      <c r="F5369">
        <f>IF(DATOS!$A5369="","",DATOS!$A5369&amp;"|"&amp;DATOS!$D5369&amp;"|"&amp;DATOS!$E5369&amp;"|"&amp;DATOS!$I5369)</f>
      </c>
      <c r="G5369">
        <f>IF(DATOS!$A5369="",0,IF(CONFIG_METADATA!$B$4&lt;&gt;"OR+EX",--(DATOS!$G5369=CONFIG_METADATA!$B$4),IF(DATOS!$G5369="EX",1,IF(DATOS!$G5369="OR",--(COUNTIFS(nNIA,DATOS!$A5369,nCURSO,DATOS!$D5369,nESPEC,DATOS!$E5369,nASIG,DATOS!$I5369,nEVAL,"EX")=0),0))))</f>
      </c>
      <c r="H5369">
        <f>IF(DATOS!$G5369&lt;&gt;"EX",0,--(COUNTIFS(nNIA,DATOS!$A5369,nCURSO,DATOS!$D5369,nESPEC,DATOS!$E5369,nASIG,DATOS!$I5369,nEVAL,"OR")=0))</f>
      </c>
      <c r="I5369">
        <f>IF(DATOS!$I5369="","",IFERROR(VLOOKUP(DATOS!$I5369,CONFIG_ASIGNATURAS!$B$2:$J$91,9,FALSE()),""))</f>
      </c>
    </row>
    <row r="5370">
      <c r="F5370">
        <f>IF(DATOS!$A5370="","",DATOS!$A5370&amp;"|"&amp;DATOS!$D5370&amp;"|"&amp;DATOS!$E5370&amp;"|"&amp;DATOS!$I5370)</f>
      </c>
      <c r="G5370">
        <f>IF(DATOS!$A5370="",0,IF(CONFIG_METADATA!$B$4&lt;&gt;"OR+EX",--(DATOS!$G5370=CONFIG_METADATA!$B$4),IF(DATOS!$G5370="EX",1,IF(DATOS!$G5370="OR",--(COUNTIFS(nNIA,DATOS!$A5370,nCURSO,DATOS!$D5370,nESPEC,DATOS!$E5370,nASIG,DATOS!$I5370,nEVAL,"EX")=0),0))))</f>
      </c>
      <c r="H5370">
        <f>IF(DATOS!$G5370&lt;&gt;"EX",0,--(COUNTIFS(nNIA,DATOS!$A5370,nCURSO,DATOS!$D5370,nESPEC,DATOS!$E5370,nASIG,DATOS!$I5370,nEVAL,"OR")=0))</f>
      </c>
      <c r="I5370">
        <f>IF(DATOS!$I5370="","",IFERROR(VLOOKUP(DATOS!$I5370,CONFIG_ASIGNATURAS!$B$2:$J$91,9,FALSE()),""))</f>
      </c>
    </row>
    <row r="5371">
      <c r="F5371">
        <f>IF(DATOS!$A5371="","",DATOS!$A5371&amp;"|"&amp;DATOS!$D5371&amp;"|"&amp;DATOS!$E5371&amp;"|"&amp;DATOS!$I5371)</f>
      </c>
      <c r="G5371">
        <f>IF(DATOS!$A5371="",0,IF(CONFIG_METADATA!$B$4&lt;&gt;"OR+EX",--(DATOS!$G5371=CONFIG_METADATA!$B$4),IF(DATOS!$G5371="EX",1,IF(DATOS!$G5371="OR",--(COUNTIFS(nNIA,DATOS!$A5371,nCURSO,DATOS!$D5371,nESPEC,DATOS!$E5371,nASIG,DATOS!$I5371,nEVAL,"EX")=0),0))))</f>
      </c>
      <c r="H5371">
        <f>IF(DATOS!$G5371&lt;&gt;"EX",0,--(COUNTIFS(nNIA,DATOS!$A5371,nCURSO,DATOS!$D5371,nESPEC,DATOS!$E5371,nASIG,DATOS!$I5371,nEVAL,"OR")=0))</f>
      </c>
      <c r="I5371">
        <f>IF(DATOS!$I5371="","",IFERROR(VLOOKUP(DATOS!$I5371,CONFIG_ASIGNATURAS!$B$2:$J$91,9,FALSE()),""))</f>
      </c>
    </row>
    <row r="5372">
      <c r="F5372">
        <f>IF(DATOS!$A5372="","",DATOS!$A5372&amp;"|"&amp;DATOS!$D5372&amp;"|"&amp;DATOS!$E5372&amp;"|"&amp;DATOS!$I5372)</f>
      </c>
      <c r="G5372">
        <f>IF(DATOS!$A5372="",0,IF(CONFIG_METADATA!$B$4&lt;&gt;"OR+EX",--(DATOS!$G5372=CONFIG_METADATA!$B$4),IF(DATOS!$G5372="EX",1,IF(DATOS!$G5372="OR",--(COUNTIFS(nNIA,DATOS!$A5372,nCURSO,DATOS!$D5372,nESPEC,DATOS!$E5372,nASIG,DATOS!$I5372,nEVAL,"EX")=0),0))))</f>
      </c>
      <c r="H5372">
        <f>IF(DATOS!$G5372&lt;&gt;"EX",0,--(COUNTIFS(nNIA,DATOS!$A5372,nCURSO,DATOS!$D5372,nESPEC,DATOS!$E5372,nASIG,DATOS!$I5372,nEVAL,"OR")=0))</f>
      </c>
      <c r="I5372">
        <f>IF(DATOS!$I5372="","",IFERROR(VLOOKUP(DATOS!$I5372,CONFIG_ASIGNATURAS!$B$2:$J$91,9,FALSE()),""))</f>
      </c>
    </row>
    <row r="5373">
      <c r="F5373">
        <f>IF(DATOS!$A5373="","",DATOS!$A5373&amp;"|"&amp;DATOS!$D5373&amp;"|"&amp;DATOS!$E5373&amp;"|"&amp;DATOS!$I5373)</f>
      </c>
      <c r="G5373">
        <f>IF(DATOS!$A5373="",0,IF(CONFIG_METADATA!$B$4&lt;&gt;"OR+EX",--(DATOS!$G5373=CONFIG_METADATA!$B$4),IF(DATOS!$G5373="EX",1,IF(DATOS!$G5373="OR",--(COUNTIFS(nNIA,DATOS!$A5373,nCURSO,DATOS!$D5373,nESPEC,DATOS!$E5373,nASIG,DATOS!$I5373,nEVAL,"EX")=0),0))))</f>
      </c>
      <c r="H5373">
        <f>IF(DATOS!$G5373&lt;&gt;"EX",0,--(COUNTIFS(nNIA,DATOS!$A5373,nCURSO,DATOS!$D5373,nESPEC,DATOS!$E5373,nASIG,DATOS!$I5373,nEVAL,"OR")=0))</f>
      </c>
      <c r="I5373">
        <f>IF(DATOS!$I5373="","",IFERROR(VLOOKUP(DATOS!$I5373,CONFIG_ASIGNATURAS!$B$2:$J$91,9,FALSE()),""))</f>
      </c>
    </row>
    <row r="5374">
      <c r="F5374">
        <f>IF(DATOS!$A5374="","",DATOS!$A5374&amp;"|"&amp;DATOS!$D5374&amp;"|"&amp;DATOS!$E5374&amp;"|"&amp;DATOS!$I5374)</f>
      </c>
      <c r="G5374">
        <f>IF(DATOS!$A5374="",0,IF(CONFIG_METADATA!$B$4&lt;&gt;"OR+EX",--(DATOS!$G5374=CONFIG_METADATA!$B$4),IF(DATOS!$G5374="EX",1,IF(DATOS!$G5374="OR",--(COUNTIFS(nNIA,DATOS!$A5374,nCURSO,DATOS!$D5374,nESPEC,DATOS!$E5374,nASIG,DATOS!$I5374,nEVAL,"EX")=0),0))))</f>
      </c>
      <c r="H5374">
        <f>IF(DATOS!$G5374&lt;&gt;"EX",0,--(COUNTIFS(nNIA,DATOS!$A5374,nCURSO,DATOS!$D5374,nESPEC,DATOS!$E5374,nASIG,DATOS!$I5374,nEVAL,"OR")=0))</f>
      </c>
      <c r="I5374">
        <f>IF(DATOS!$I5374="","",IFERROR(VLOOKUP(DATOS!$I5374,CONFIG_ASIGNATURAS!$B$2:$J$91,9,FALSE()),""))</f>
      </c>
    </row>
    <row r="5375">
      <c r="F5375">
        <f>IF(DATOS!$A5375="","",DATOS!$A5375&amp;"|"&amp;DATOS!$D5375&amp;"|"&amp;DATOS!$E5375&amp;"|"&amp;DATOS!$I5375)</f>
      </c>
      <c r="G5375">
        <f>IF(DATOS!$A5375="",0,IF(CONFIG_METADATA!$B$4&lt;&gt;"OR+EX",--(DATOS!$G5375=CONFIG_METADATA!$B$4),IF(DATOS!$G5375="EX",1,IF(DATOS!$G5375="OR",--(COUNTIFS(nNIA,DATOS!$A5375,nCURSO,DATOS!$D5375,nESPEC,DATOS!$E5375,nASIG,DATOS!$I5375,nEVAL,"EX")=0),0))))</f>
      </c>
      <c r="H5375">
        <f>IF(DATOS!$G5375&lt;&gt;"EX",0,--(COUNTIFS(nNIA,DATOS!$A5375,nCURSO,DATOS!$D5375,nESPEC,DATOS!$E5375,nASIG,DATOS!$I5375,nEVAL,"OR")=0))</f>
      </c>
      <c r="I5375">
        <f>IF(DATOS!$I5375="","",IFERROR(VLOOKUP(DATOS!$I5375,CONFIG_ASIGNATURAS!$B$2:$J$91,9,FALSE()),""))</f>
      </c>
    </row>
    <row r="5376">
      <c r="F5376">
        <f>IF(DATOS!$A5376="","",DATOS!$A5376&amp;"|"&amp;DATOS!$D5376&amp;"|"&amp;DATOS!$E5376&amp;"|"&amp;DATOS!$I5376)</f>
      </c>
      <c r="G5376">
        <f>IF(DATOS!$A5376="",0,IF(CONFIG_METADATA!$B$4&lt;&gt;"OR+EX",--(DATOS!$G5376=CONFIG_METADATA!$B$4),IF(DATOS!$G5376="EX",1,IF(DATOS!$G5376="OR",--(COUNTIFS(nNIA,DATOS!$A5376,nCURSO,DATOS!$D5376,nESPEC,DATOS!$E5376,nASIG,DATOS!$I5376,nEVAL,"EX")=0),0))))</f>
      </c>
      <c r="H5376">
        <f>IF(DATOS!$G5376&lt;&gt;"EX",0,--(COUNTIFS(nNIA,DATOS!$A5376,nCURSO,DATOS!$D5376,nESPEC,DATOS!$E5376,nASIG,DATOS!$I5376,nEVAL,"OR")=0))</f>
      </c>
      <c r="I5376">
        <f>IF(DATOS!$I5376="","",IFERROR(VLOOKUP(DATOS!$I5376,CONFIG_ASIGNATURAS!$B$2:$J$91,9,FALSE()),""))</f>
      </c>
    </row>
    <row r="5377">
      <c r="F5377">
        <f>IF(DATOS!$A5377="","",DATOS!$A5377&amp;"|"&amp;DATOS!$D5377&amp;"|"&amp;DATOS!$E5377&amp;"|"&amp;DATOS!$I5377)</f>
      </c>
      <c r="G5377">
        <f>IF(DATOS!$A5377="",0,IF(CONFIG_METADATA!$B$4&lt;&gt;"OR+EX",--(DATOS!$G5377=CONFIG_METADATA!$B$4),IF(DATOS!$G5377="EX",1,IF(DATOS!$G5377="OR",--(COUNTIFS(nNIA,DATOS!$A5377,nCURSO,DATOS!$D5377,nESPEC,DATOS!$E5377,nASIG,DATOS!$I5377,nEVAL,"EX")=0),0))))</f>
      </c>
      <c r="H5377">
        <f>IF(DATOS!$G5377&lt;&gt;"EX",0,--(COUNTIFS(nNIA,DATOS!$A5377,nCURSO,DATOS!$D5377,nESPEC,DATOS!$E5377,nASIG,DATOS!$I5377,nEVAL,"OR")=0))</f>
      </c>
      <c r="I5377">
        <f>IF(DATOS!$I5377="","",IFERROR(VLOOKUP(DATOS!$I5377,CONFIG_ASIGNATURAS!$B$2:$J$91,9,FALSE()),""))</f>
      </c>
    </row>
    <row r="5378">
      <c r="F5378">
        <f>IF(DATOS!$A5378="","",DATOS!$A5378&amp;"|"&amp;DATOS!$D5378&amp;"|"&amp;DATOS!$E5378&amp;"|"&amp;DATOS!$I5378)</f>
      </c>
      <c r="G5378">
        <f>IF(DATOS!$A5378="",0,IF(CONFIG_METADATA!$B$4&lt;&gt;"OR+EX",--(DATOS!$G5378=CONFIG_METADATA!$B$4),IF(DATOS!$G5378="EX",1,IF(DATOS!$G5378="OR",--(COUNTIFS(nNIA,DATOS!$A5378,nCURSO,DATOS!$D5378,nESPEC,DATOS!$E5378,nASIG,DATOS!$I5378,nEVAL,"EX")=0),0))))</f>
      </c>
      <c r="H5378">
        <f>IF(DATOS!$G5378&lt;&gt;"EX",0,--(COUNTIFS(nNIA,DATOS!$A5378,nCURSO,DATOS!$D5378,nESPEC,DATOS!$E5378,nASIG,DATOS!$I5378,nEVAL,"OR")=0))</f>
      </c>
      <c r="I5378">
        <f>IF(DATOS!$I5378="","",IFERROR(VLOOKUP(DATOS!$I5378,CONFIG_ASIGNATURAS!$B$2:$J$91,9,FALSE()),""))</f>
      </c>
    </row>
    <row r="5379">
      <c r="F5379">
        <f>IF(DATOS!$A5379="","",DATOS!$A5379&amp;"|"&amp;DATOS!$D5379&amp;"|"&amp;DATOS!$E5379&amp;"|"&amp;DATOS!$I5379)</f>
      </c>
      <c r="G5379">
        <f>IF(DATOS!$A5379="",0,IF(CONFIG_METADATA!$B$4&lt;&gt;"OR+EX",--(DATOS!$G5379=CONFIG_METADATA!$B$4),IF(DATOS!$G5379="EX",1,IF(DATOS!$G5379="OR",--(COUNTIFS(nNIA,DATOS!$A5379,nCURSO,DATOS!$D5379,nESPEC,DATOS!$E5379,nASIG,DATOS!$I5379,nEVAL,"EX")=0),0))))</f>
      </c>
      <c r="H5379">
        <f>IF(DATOS!$G5379&lt;&gt;"EX",0,--(COUNTIFS(nNIA,DATOS!$A5379,nCURSO,DATOS!$D5379,nESPEC,DATOS!$E5379,nASIG,DATOS!$I5379,nEVAL,"OR")=0))</f>
      </c>
      <c r="I5379">
        <f>IF(DATOS!$I5379="","",IFERROR(VLOOKUP(DATOS!$I5379,CONFIG_ASIGNATURAS!$B$2:$J$91,9,FALSE()),""))</f>
      </c>
    </row>
    <row r="5380">
      <c r="F5380">
        <f>IF(DATOS!$A5380="","",DATOS!$A5380&amp;"|"&amp;DATOS!$D5380&amp;"|"&amp;DATOS!$E5380&amp;"|"&amp;DATOS!$I5380)</f>
      </c>
      <c r="G5380">
        <f>IF(DATOS!$A5380="",0,IF(CONFIG_METADATA!$B$4&lt;&gt;"OR+EX",--(DATOS!$G5380=CONFIG_METADATA!$B$4),IF(DATOS!$G5380="EX",1,IF(DATOS!$G5380="OR",--(COUNTIFS(nNIA,DATOS!$A5380,nCURSO,DATOS!$D5380,nESPEC,DATOS!$E5380,nASIG,DATOS!$I5380,nEVAL,"EX")=0),0))))</f>
      </c>
      <c r="H5380">
        <f>IF(DATOS!$G5380&lt;&gt;"EX",0,--(COUNTIFS(nNIA,DATOS!$A5380,nCURSO,DATOS!$D5380,nESPEC,DATOS!$E5380,nASIG,DATOS!$I5380,nEVAL,"OR")=0))</f>
      </c>
      <c r="I5380">
        <f>IF(DATOS!$I5380="","",IFERROR(VLOOKUP(DATOS!$I5380,CONFIG_ASIGNATURAS!$B$2:$J$91,9,FALSE()),""))</f>
      </c>
    </row>
    <row r="5381">
      <c r="F5381">
        <f>IF(DATOS!$A5381="","",DATOS!$A5381&amp;"|"&amp;DATOS!$D5381&amp;"|"&amp;DATOS!$E5381&amp;"|"&amp;DATOS!$I5381)</f>
      </c>
      <c r="G5381">
        <f>IF(DATOS!$A5381="",0,IF(CONFIG_METADATA!$B$4&lt;&gt;"OR+EX",--(DATOS!$G5381=CONFIG_METADATA!$B$4),IF(DATOS!$G5381="EX",1,IF(DATOS!$G5381="OR",--(COUNTIFS(nNIA,DATOS!$A5381,nCURSO,DATOS!$D5381,nESPEC,DATOS!$E5381,nASIG,DATOS!$I5381,nEVAL,"EX")=0),0))))</f>
      </c>
      <c r="H5381">
        <f>IF(DATOS!$G5381&lt;&gt;"EX",0,--(COUNTIFS(nNIA,DATOS!$A5381,nCURSO,DATOS!$D5381,nESPEC,DATOS!$E5381,nASIG,DATOS!$I5381,nEVAL,"OR")=0))</f>
      </c>
      <c r="I5381">
        <f>IF(DATOS!$I5381="","",IFERROR(VLOOKUP(DATOS!$I5381,CONFIG_ASIGNATURAS!$B$2:$J$91,9,FALSE()),""))</f>
      </c>
    </row>
    <row r="5382">
      <c r="F5382">
        <f>IF(DATOS!$A5382="","",DATOS!$A5382&amp;"|"&amp;DATOS!$D5382&amp;"|"&amp;DATOS!$E5382&amp;"|"&amp;DATOS!$I5382)</f>
      </c>
      <c r="G5382">
        <f>IF(DATOS!$A5382="",0,IF(CONFIG_METADATA!$B$4&lt;&gt;"OR+EX",--(DATOS!$G5382=CONFIG_METADATA!$B$4),IF(DATOS!$G5382="EX",1,IF(DATOS!$G5382="OR",--(COUNTIFS(nNIA,DATOS!$A5382,nCURSO,DATOS!$D5382,nESPEC,DATOS!$E5382,nASIG,DATOS!$I5382,nEVAL,"EX")=0),0))))</f>
      </c>
      <c r="H5382">
        <f>IF(DATOS!$G5382&lt;&gt;"EX",0,--(COUNTIFS(nNIA,DATOS!$A5382,nCURSO,DATOS!$D5382,nESPEC,DATOS!$E5382,nASIG,DATOS!$I5382,nEVAL,"OR")=0))</f>
      </c>
      <c r="I5382">
        <f>IF(DATOS!$I5382="","",IFERROR(VLOOKUP(DATOS!$I5382,CONFIG_ASIGNATURAS!$B$2:$J$91,9,FALSE()),""))</f>
      </c>
    </row>
    <row r="5383">
      <c r="F5383">
        <f>IF(DATOS!$A5383="","",DATOS!$A5383&amp;"|"&amp;DATOS!$D5383&amp;"|"&amp;DATOS!$E5383&amp;"|"&amp;DATOS!$I5383)</f>
      </c>
      <c r="G5383">
        <f>IF(DATOS!$A5383="",0,IF(CONFIG_METADATA!$B$4&lt;&gt;"OR+EX",--(DATOS!$G5383=CONFIG_METADATA!$B$4),IF(DATOS!$G5383="EX",1,IF(DATOS!$G5383="OR",--(COUNTIFS(nNIA,DATOS!$A5383,nCURSO,DATOS!$D5383,nESPEC,DATOS!$E5383,nASIG,DATOS!$I5383,nEVAL,"EX")=0),0))))</f>
      </c>
      <c r="H5383">
        <f>IF(DATOS!$G5383&lt;&gt;"EX",0,--(COUNTIFS(nNIA,DATOS!$A5383,nCURSO,DATOS!$D5383,nESPEC,DATOS!$E5383,nASIG,DATOS!$I5383,nEVAL,"OR")=0))</f>
      </c>
      <c r="I5383">
        <f>IF(DATOS!$I5383="","",IFERROR(VLOOKUP(DATOS!$I5383,CONFIG_ASIGNATURAS!$B$2:$J$91,9,FALSE()),""))</f>
      </c>
    </row>
    <row r="5384">
      <c r="F5384">
        <f>IF(DATOS!$A5384="","",DATOS!$A5384&amp;"|"&amp;DATOS!$D5384&amp;"|"&amp;DATOS!$E5384&amp;"|"&amp;DATOS!$I5384)</f>
      </c>
      <c r="G5384">
        <f>IF(DATOS!$A5384="",0,IF(CONFIG_METADATA!$B$4&lt;&gt;"OR+EX",--(DATOS!$G5384=CONFIG_METADATA!$B$4),IF(DATOS!$G5384="EX",1,IF(DATOS!$G5384="OR",--(COUNTIFS(nNIA,DATOS!$A5384,nCURSO,DATOS!$D5384,nESPEC,DATOS!$E5384,nASIG,DATOS!$I5384,nEVAL,"EX")=0),0))))</f>
      </c>
      <c r="H5384">
        <f>IF(DATOS!$G5384&lt;&gt;"EX",0,--(COUNTIFS(nNIA,DATOS!$A5384,nCURSO,DATOS!$D5384,nESPEC,DATOS!$E5384,nASIG,DATOS!$I5384,nEVAL,"OR")=0))</f>
      </c>
      <c r="I5384">
        <f>IF(DATOS!$I5384="","",IFERROR(VLOOKUP(DATOS!$I5384,CONFIG_ASIGNATURAS!$B$2:$J$91,9,FALSE()),""))</f>
      </c>
    </row>
    <row r="5385">
      <c r="F5385">
        <f>IF(DATOS!$A5385="","",DATOS!$A5385&amp;"|"&amp;DATOS!$D5385&amp;"|"&amp;DATOS!$E5385&amp;"|"&amp;DATOS!$I5385)</f>
      </c>
      <c r="G5385">
        <f>IF(DATOS!$A5385="",0,IF(CONFIG_METADATA!$B$4&lt;&gt;"OR+EX",--(DATOS!$G5385=CONFIG_METADATA!$B$4),IF(DATOS!$G5385="EX",1,IF(DATOS!$G5385="OR",--(COUNTIFS(nNIA,DATOS!$A5385,nCURSO,DATOS!$D5385,nESPEC,DATOS!$E5385,nASIG,DATOS!$I5385,nEVAL,"EX")=0),0))))</f>
      </c>
      <c r="H5385">
        <f>IF(DATOS!$G5385&lt;&gt;"EX",0,--(COUNTIFS(nNIA,DATOS!$A5385,nCURSO,DATOS!$D5385,nESPEC,DATOS!$E5385,nASIG,DATOS!$I5385,nEVAL,"OR")=0))</f>
      </c>
      <c r="I5385">
        <f>IF(DATOS!$I5385="","",IFERROR(VLOOKUP(DATOS!$I5385,CONFIG_ASIGNATURAS!$B$2:$J$91,9,FALSE()),""))</f>
      </c>
    </row>
    <row r="5386">
      <c r="F5386">
        <f>IF(DATOS!$A5386="","",DATOS!$A5386&amp;"|"&amp;DATOS!$D5386&amp;"|"&amp;DATOS!$E5386&amp;"|"&amp;DATOS!$I5386)</f>
      </c>
      <c r="G5386">
        <f>IF(DATOS!$A5386="",0,IF(CONFIG_METADATA!$B$4&lt;&gt;"OR+EX",--(DATOS!$G5386=CONFIG_METADATA!$B$4),IF(DATOS!$G5386="EX",1,IF(DATOS!$G5386="OR",--(COUNTIFS(nNIA,DATOS!$A5386,nCURSO,DATOS!$D5386,nESPEC,DATOS!$E5386,nASIG,DATOS!$I5386,nEVAL,"EX")=0),0))))</f>
      </c>
      <c r="H5386">
        <f>IF(DATOS!$G5386&lt;&gt;"EX",0,--(COUNTIFS(nNIA,DATOS!$A5386,nCURSO,DATOS!$D5386,nESPEC,DATOS!$E5386,nASIG,DATOS!$I5386,nEVAL,"OR")=0))</f>
      </c>
      <c r="I5386">
        <f>IF(DATOS!$I5386="","",IFERROR(VLOOKUP(DATOS!$I5386,CONFIG_ASIGNATURAS!$B$2:$J$91,9,FALSE()),""))</f>
      </c>
    </row>
    <row r="5387">
      <c r="F5387">
        <f>IF(DATOS!$A5387="","",DATOS!$A5387&amp;"|"&amp;DATOS!$D5387&amp;"|"&amp;DATOS!$E5387&amp;"|"&amp;DATOS!$I5387)</f>
      </c>
      <c r="G5387">
        <f>IF(DATOS!$A5387="",0,IF(CONFIG_METADATA!$B$4&lt;&gt;"OR+EX",--(DATOS!$G5387=CONFIG_METADATA!$B$4),IF(DATOS!$G5387="EX",1,IF(DATOS!$G5387="OR",--(COUNTIFS(nNIA,DATOS!$A5387,nCURSO,DATOS!$D5387,nESPEC,DATOS!$E5387,nASIG,DATOS!$I5387,nEVAL,"EX")=0),0))))</f>
      </c>
      <c r="H5387">
        <f>IF(DATOS!$G5387&lt;&gt;"EX",0,--(COUNTIFS(nNIA,DATOS!$A5387,nCURSO,DATOS!$D5387,nESPEC,DATOS!$E5387,nASIG,DATOS!$I5387,nEVAL,"OR")=0))</f>
      </c>
      <c r="I5387">
        <f>IF(DATOS!$I5387="","",IFERROR(VLOOKUP(DATOS!$I5387,CONFIG_ASIGNATURAS!$B$2:$J$91,9,FALSE()),""))</f>
      </c>
    </row>
    <row r="5388">
      <c r="F5388">
        <f>IF(DATOS!$A5388="","",DATOS!$A5388&amp;"|"&amp;DATOS!$D5388&amp;"|"&amp;DATOS!$E5388&amp;"|"&amp;DATOS!$I5388)</f>
      </c>
      <c r="G5388">
        <f>IF(DATOS!$A5388="",0,IF(CONFIG_METADATA!$B$4&lt;&gt;"OR+EX",--(DATOS!$G5388=CONFIG_METADATA!$B$4),IF(DATOS!$G5388="EX",1,IF(DATOS!$G5388="OR",--(COUNTIFS(nNIA,DATOS!$A5388,nCURSO,DATOS!$D5388,nESPEC,DATOS!$E5388,nASIG,DATOS!$I5388,nEVAL,"EX")=0),0))))</f>
      </c>
      <c r="H5388">
        <f>IF(DATOS!$G5388&lt;&gt;"EX",0,--(COUNTIFS(nNIA,DATOS!$A5388,nCURSO,DATOS!$D5388,nESPEC,DATOS!$E5388,nASIG,DATOS!$I5388,nEVAL,"OR")=0))</f>
      </c>
      <c r="I5388">
        <f>IF(DATOS!$I5388="","",IFERROR(VLOOKUP(DATOS!$I5388,CONFIG_ASIGNATURAS!$B$2:$J$91,9,FALSE()),""))</f>
      </c>
    </row>
    <row r="5389">
      <c r="F5389">
        <f>IF(DATOS!$A5389="","",DATOS!$A5389&amp;"|"&amp;DATOS!$D5389&amp;"|"&amp;DATOS!$E5389&amp;"|"&amp;DATOS!$I5389)</f>
      </c>
      <c r="G5389">
        <f>IF(DATOS!$A5389="",0,IF(CONFIG_METADATA!$B$4&lt;&gt;"OR+EX",--(DATOS!$G5389=CONFIG_METADATA!$B$4),IF(DATOS!$G5389="EX",1,IF(DATOS!$G5389="OR",--(COUNTIFS(nNIA,DATOS!$A5389,nCURSO,DATOS!$D5389,nESPEC,DATOS!$E5389,nASIG,DATOS!$I5389,nEVAL,"EX")=0),0))))</f>
      </c>
      <c r="H5389">
        <f>IF(DATOS!$G5389&lt;&gt;"EX",0,--(COUNTIFS(nNIA,DATOS!$A5389,nCURSO,DATOS!$D5389,nESPEC,DATOS!$E5389,nASIG,DATOS!$I5389,nEVAL,"OR")=0))</f>
      </c>
      <c r="I5389">
        <f>IF(DATOS!$I5389="","",IFERROR(VLOOKUP(DATOS!$I5389,CONFIG_ASIGNATURAS!$B$2:$J$91,9,FALSE()),""))</f>
      </c>
    </row>
    <row r="5390">
      <c r="F5390">
        <f>IF(DATOS!$A5390="","",DATOS!$A5390&amp;"|"&amp;DATOS!$D5390&amp;"|"&amp;DATOS!$E5390&amp;"|"&amp;DATOS!$I5390)</f>
      </c>
      <c r="G5390">
        <f>IF(DATOS!$A5390="",0,IF(CONFIG_METADATA!$B$4&lt;&gt;"OR+EX",--(DATOS!$G5390=CONFIG_METADATA!$B$4),IF(DATOS!$G5390="EX",1,IF(DATOS!$G5390="OR",--(COUNTIFS(nNIA,DATOS!$A5390,nCURSO,DATOS!$D5390,nESPEC,DATOS!$E5390,nASIG,DATOS!$I5390,nEVAL,"EX")=0),0))))</f>
      </c>
      <c r="H5390">
        <f>IF(DATOS!$G5390&lt;&gt;"EX",0,--(COUNTIFS(nNIA,DATOS!$A5390,nCURSO,DATOS!$D5390,nESPEC,DATOS!$E5390,nASIG,DATOS!$I5390,nEVAL,"OR")=0))</f>
      </c>
      <c r="I5390">
        <f>IF(DATOS!$I5390="","",IFERROR(VLOOKUP(DATOS!$I5390,CONFIG_ASIGNATURAS!$B$2:$J$91,9,FALSE()),""))</f>
      </c>
    </row>
    <row r="5391">
      <c r="F5391">
        <f>IF(DATOS!$A5391="","",DATOS!$A5391&amp;"|"&amp;DATOS!$D5391&amp;"|"&amp;DATOS!$E5391&amp;"|"&amp;DATOS!$I5391)</f>
      </c>
      <c r="G5391">
        <f>IF(DATOS!$A5391="",0,IF(CONFIG_METADATA!$B$4&lt;&gt;"OR+EX",--(DATOS!$G5391=CONFIG_METADATA!$B$4),IF(DATOS!$G5391="EX",1,IF(DATOS!$G5391="OR",--(COUNTIFS(nNIA,DATOS!$A5391,nCURSO,DATOS!$D5391,nESPEC,DATOS!$E5391,nASIG,DATOS!$I5391,nEVAL,"EX")=0),0))))</f>
      </c>
      <c r="H5391">
        <f>IF(DATOS!$G5391&lt;&gt;"EX",0,--(COUNTIFS(nNIA,DATOS!$A5391,nCURSO,DATOS!$D5391,nESPEC,DATOS!$E5391,nASIG,DATOS!$I5391,nEVAL,"OR")=0))</f>
      </c>
      <c r="I5391">
        <f>IF(DATOS!$I5391="","",IFERROR(VLOOKUP(DATOS!$I5391,CONFIG_ASIGNATURAS!$B$2:$J$91,9,FALSE()),""))</f>
      </c>
    </row>
    <row r="5392">
      <c r="F5392">
        <f>IF(DATOS!$A5392="","",DATOS!$A5392&amp;"|"&amp;DATOS!$D5392&amp;"|"&amp;DATOS!$E5392&amp;"|"&amp;DATOS!$I5392)</f>
      </c>
      <c r="G5392">
        <f>IF(DATOS!$A5392="",0,IF(CONFIG_METADATA!$B$4&lt;&gt;"OR+EX",--(DATOS!$G5392=CONFIG_METADATA!$B$4),IF(DATOS!$G5392="EX",1,IF(DATOS!$G5392="OR",--(COUNTIFS(nNIA,DATOS!$A5392,nCURSO,DATOS!$D5392,nESPEC,DATOS!$E5392,nASIG,DATOS!$I5392,nEVAL,"EX")=0),0))))</f>
      </c>
      <c r="H5392">
        <f>IF(DATOS!$G5392&lt;&gt;"EX",0,--(COUNTIFS(nNIA,DATOS!$A5392,nCURSO,DATOS!$D5392,nESPEC,DATOS!$E5392,nASIG,DATOS!$I5392,nEVAL,"OR")=0))</f>
      </c>
      <c r="I5392">
        <f>IF(DATOS!$I5392="","",IFERROR(VLOOKUP(DATOS!$I5392,CONFIG_ASIGNATURAS!$B$2:$J$91,9,FALSE()),""))</f>
      </c>
    </row>
    <row r="5393">
      <c r="F5393">
        <f>IF(DATOS!$A5393="","",DATOS!$A5393&amp;"|"&amp;DATOS!$D5393&amp;"|"&amp;DATOS!$E5393&amp;"|"&amp;DATOS!$I5393)</f>
      </c>
      <c r="G5393">
        <f>IF(DATOS!$A5393="",0,IF(CONFIG_METADATA!$B$4&lt;&gt;"OR+EX",--(DATOS!$G5393=CONFIG_METADATA!$B$4),IF(DATOS!$G5393="EX",1,IF(DATOS!$G5393="OR",--(COUNTIFS(nNIA,DATOS!$A5393,nCURSO,DATOS!$D5393,nESPEC,DATOS!$E5393,nASIG,DATOS!$I5393,nEVAL,"EX")=0),0))))</f>
      </c>
      <c r="H5393">
        <f>IF(DATOS!$G5393&lt;&gt;"EX",0,--(COUNTIFS(nNIA,DATOS!$A5393,nCURSO,DATOS!$D5393,nESPEC,DATOS!$E5393,nASIG,DATOS!$I5393,nEVAL,"OR")=0))</f>
      </c>
      <c r="I5393">
        <f>IF(DATOS!$I5393="","",IFERROR(VLOOKUP(DATOS!$I5393,CONFIG_ASIGNATURAS!$B$2:$J$91,9,FALSE()),""))</f>
      </c>
    </row>
    <row r="5394">
      <c r="F5394">
        <f>IF(DATOS!$A5394="","",DATOS!$A5394&amp;"|"&amp;DATOS!$D5394&amp;"|"&amp;DATOS!$E5394&amp;"|"&amp;DATOS!$I5394)</f>
      </c>
      <c r="G5394">
        <f>IF(DATOS!$A5394="",0,IF(CONFIG_METADATA!$B$4&lt;&gt;"OR+EX",--(DATOS!$G5394=CONFIG_METADATA!$B$4),IF(DATOS!$G5394="EX",1,IF(DATOS!$G5394="OR",--(COUNTIFS(nNIA,DATOS!$A5394,nCURSO,DATOS!$D5394,nESPEC,DATOS!$E5394,nASIG,DATOS!$I5394,nEVAL,"EX")=0),0))))</f>
      </c>
      <c r="H5394">
        <f>IF(DATOS!$G5394&lt;&gt;"EX",0,--(COUNTIFS(nNIA,DATOS!$A5394,nCURSO,DATOS!$D5394,nESPEC,DATOS!$E5394,nASIG,DATOS!$I5394,nEVAL,"OR")=0))</f>
      </c>
      <c r="I5394">
        <f>IF(DATOS!$I5394="","",IFERROR(VLOOKUP(DATOS!$I5394,CONFIG_ASIGNATURAS!$B$2:$J$91,9,FALSE()),""))</f>
      </c>
    </row>
    <row r="5395">
      <c r="F5395">
        <f>IF(DATOS!$A5395="","",DATOS!$A5395&amp;"|"&amp;DATOS!$D5395&amp;"|"&amp;DATOS!$E5395&amp;"|"&amp;DATOS!$I5395)</f>
      </c>
      <c r="G5395">
        <f>IF(DATOS!$A5395="",0,IF(CONFIG_METADATA!$B$4&lt;&gt;"OR+EX",--(DATOS!$G5395=CONFIG_METADATA!$B$4),IF(DATOS!$G5395="EX",1,IF(DATOS!$G5395="OR",--(COUNTIFS(nNIA,DATOS!$A5395,nCURSO,DATOS!$D5395,nESPEC,DATOS!$E5395,nASIG,DATOS!$I5395,nEVAL,"EX")=0),0))))</f>
      </c>
      <c r="H5395">
        <f>IF(DATOS!$G5395&lt;&gt;"EX",0,--(COUNTIFS(nNIA,DATOS!$A5395,nCURSO,DATOS!$D5395,nESPEC,DATOS!$E5395,nASIG,DATOS!$I5395,nEVAL,"OR")=0))</f>
      </c>
      <c r="I5395">
        <f>IF(DATOS!$I5395="","",IFERROR(VLOOKUP(DATOS!$I5395,CONFIG_ASIGNATURAS!$B$2:$J$91,9,FALSE()),""))</f>
      </c>
    </row>
    <row r="5396">
      <c r="F5396">
        <f>IF(DATOS!$A5396="","",DATOS!$A5396&amp;"|"&amp;DATOS!$D5396&amp;"|"&amp;DATOS!$E5396&amp;"|"&amp;DATOS!$I5396)</f>
      </c>
      <c r="G5396">
        <f>IF(DATOS!$A5396="",0,IF(CONFIG_METADATA!$B$4&lt;&gt;"OR+EX",--(DATOS!$G5396=CONFIG_METADATA!$B$4),IF(DATOS!$G5396="EX",1,IF(DATOS!$G5396="OR",--(COUNTIFS(nNIA,DATOS!$A5396,nCURSO,DATOS!$D5396,nESPEC,DATOS!$E5396,nASIG,DATOS!$I5396,nEVAL,"EX")=0),0))))</f>
      </c>
      <c r="H5396">
        <f>IF(DATOS!$G5396&lt;&gt;"EX",0,--(COUNTIFS(nNIA,DATOS!$A5396,nCURSO,DATOS!$D5396,nESPEC,DATOS!$E5396,nASIG,DATOS!$I5396,nEVAL,"OR")=0))</f>
      </c>
      <c r="I5396">
        <f>IF(DATOS!$I5396="","",IFERROR(VLOOKUP(DATOS!$I5396,CONFIG_ASIGNATURAS!$B$2:$J$91,9,FALSE()),""))</f>
      </c>
    </row>
    <row r="5397">
      <c r="F5397">
        <f>IF(DATOS!$A5397="","",DATOS!$A5397&amp;"|"&amp;DATOS!$D5397&amp;"|"&amp;DATOS!$E5397&amp;"|"&amp;DATOS!$I5397)</f>
      </c>
      <c r="G5397">
        <f>IF(DATOS!$A5397="",0,IF(CONFIG_METADATA!$B$4&lt;&gt;"OR+EX",--(DATOS!$G5397=CONFIG_METADATA!$B$4),IF(DATOS!$G5397="EX",1,IF(DATOS!$G5397="OR",--(COUNTIFS(nNIA,DATOS!$A5397,nCURSO,DATOS!$D5397,nESPEC,DATOS!$E5397,nASIG,DATOS!$I5397,nEVAL,"EX")=0),0))))</f>
      </c>
      <c r="H5397">
        <f>IF(DATOS!$G5397&lt;&gt;"EX",0,--(COUNTIFS(nNIA,DATOS!$A5397,nCURSO,DATOS!$D5397,nESPEC,DATOS!$E5397,nASIG,DATOS!$I5397,nEVAL,"OR")=0))</f>
      </c>
      <c r="I5397">
        <f>IF(DATOS!$I5397="","",IFERROR(VLOOKUP(DATOS!$I5397,CONFIG_ASIGNATURAS!$B$2:$J$91,9,FALSE()),""))</f>
      </c>
    </row>
    <row r="5398">
      <c r="F5398">
        <f>IF(DATOS!$A5398="","",DATOS!$A5398&amp;"|"&amp;DATOS!$D5398&amp;"|"&amp;DATOS!$E5398&amp;"|"&amp;DATOS!$I5398)</f>
      </c>
      <c r="G5398">
        <f>IF(DATOS!$A5398="",0,IF(CONFIG_METADATA!$B$4&lt;&gt;"OR+EX",--(DATOS!$G5398=CONFIG_METADATA!$B$4),IF(DATOS!$G5398="EX",1,IF(DATOS!$G5398="OR",--(COUNTIFS(nNIA,DATOS!$A5398,nCURSO,DATOS!$D5398,nESPEC,DATOS!$E5398,nASIG,DATOS!$I5398,nEVAL,"EX")=0),0))))</f>
      </c>
      <c r="H5398">
        <f>IF(DATOS!$G5398&lt;&gt;"EX",0,--(COUNTIFS(nNIA,DATOS!$A5398,nCURSO,DATOS!$D5398,nESPEC,DATOS!$E5398,nASIG,DATOS!$I5398,nEVAL,"OR")=0))</f>
      </c>
      <c r="I5398">
        <f>IF(DATOS!$I5398="","",IFERROR(VLOOKUP(DATOS!$I5398,CONFIG_ASIGNATURAS!$B$2:$J$91,9,FALSE()),""))</f>
      </c>
    </row>
    <row r="5399">
      <c r="F5399">
        <f>IF(DATOS!$A5399="","",DATOS!$A5399&amp;"|"&amp;DATOS!$D5399&amp;"|"&amp;DATOS!$E5399&amp;"|"&amp;DATOS!$I5399)</f>
      </c>
      <c r="G5399">
        <f>IF(DATOS!$A5399="",0,IF(CONFIG_METADATA!$B$4&lt;&gt;"OR+EX",--(DATOS!$G5399=CONFIG_METADATA!$B$4),IF(DATOS!$G5399="EX",1,IF(DATOS!$G5399="OR",--(COUNTIFS(nNIA,DATOS!$A5399,nCURSO,DATOS!$D5399,nESPEC,DATOS!$E5399,nASIG,DATOS!$I5399,nEVAL,"EX")=0),0))))</f>
      </c>
      <c r="H5399">
        <f>IF(DATOS!$G5399&lt;&gt;"EX",0,--(COUNTIFS(nNIA,DATOS!$A5399,nCURSO,DATOS!$D5399,nESPEC,DATOS!$E5399,nASIG,DATOS!$I5399,nEVAL,"OR")=0))</f>
      </c>
      <c r="I5399">
        <f>IF(DATOS!$I5399="","",IFERROR(VLOOKUP(DATOS!$I5399,CONFIG_ASIGNATURAS!$B$2:$J$91,9,FALSE()),""))</f>
      </c>
    </row>
    <row r="5400">
      <c r="F5400">
        <f>IF(DATOS!$A5400="","",DATOS!$A5400&amp;"|"&amp;DATOS!$D5400&amp;"|"&amp;DATOS!$E5400&amp;"|"&amp;DATOS!$I5400)</f>
      </c>
      <c r="G5400">
        <f>IF(DATOS!$A5400="",0,IF(CONFIG_METADATA!$B$4&lt;&gt;"OR+EX",--(DATOS!$G5400=CONFIG_METADATA!$B$4),IF(DATOS!$G5400="EX",1,IF(DATOS!$G5400="OR",--(COUNTIFS(nNIA,DATOS!$A5400,nCURSO,DATOS!$D5400,nESPEC,DATOS!$E5400,nASIG,DATOS!$I5400,nEVAL,"EX")=0),0))))</f>
      </c>
      <c r="H5400">
        <f>IF(DATOS!$G5400&lt;&gt;"EX",0,--(COUNTIFS(nNIA,DATOS!$A5400,nCURSO,DATOS!$D5400,nESPEC,DATOS!$E5400,nASIG,DATOS!$I5400,nEVAL,"OR")=0))</f>
      </c>
      <c r="I5400">
        <f>IF(DATOS!$I5400="","",IFERROR(VLOOKUP(DATOS!$I5400,CONFIG_ASIGNATURAS!$B$2:$J$91,9,FALSE()),""))</f>
      </c>
    </row>
    <row r="5401">
      <c r="F5401">
        <f>IF(DATOS!$A5401="","",DATOS!$A5401&amp;"|"&amp;DATOS!$D5401&amp;"|"&amp;DATOS!$E5401&amp;"|"&amp;DATOS!$I5401)</f>
      </c>
      <c r="G5401">
        <f>IF(DATOS!$A5401="",0,IF(CONFIG_METADATA!$B$4&lt;&gt;"OR+EX",--(DATOS!$G5401=CONFIG_METADATA!$B$4),IF(DATOS!$G5401="EX",1,IF(DATOS!$G5401="OR",--(COUNTIFS(nNIA,DATOS!$A5401,nCURSO,DATOS!$D5401,nESPEC,DATOS!$E5401,nASIG,DATOS!$I5401,nEVAL,"EX")=0),0))))</f>
      </c>
      <c r="H5401">
        <f>IF(DATOS!$G5401&lt;&gt;"EX",0,--(COUNTIFS(nNIA,DATOS!$A5401,nCURSO,DATOS!$D5401,nESPEC,DATOS!$E5401,nASIG,DATOS!$I5401,nEVAL,"OR")=0))</f>
      </c>
      <c r="I5401">
        <f>IF(DATOS!$I5401="","",IFERROR(VLOOKUP(DATOS!$I5401,CONFIG_ASIGNATURAS!$B$2:$J$91,9,FALSE()),""))</f>
      </c>
    </row>
    <row r="5402">
      <c r="F5402">
        <f>IF(DATOS!$A5402="","",DATOS!$A5402&amp;"|"&amp;DATOS!$D5402&amp;"|"&amp;DATOS!$E5402&amp;"|"&amp;DATOS!$I5402)</f>
      </c>
      <c r="G5402">
        <f>IF(DATOS!$A5402="",0,IF(CONFIG_METADATA!$B$4&lt;&gt;"OR+EX",--(DATOS!$G5402=CONFIG_METADATA!$B$4),IF(DATOS!$G5402="EX",1,IF(DATOS!$G5402="OR",--(COUNTIFS(nNIA,DATOS!$A5402,nCURSO,DATOS!$D5402,nESPEC,DATOS!$E5402,nASIG,DATOS!$I5402,nEVAL,"EX")=0),0))))</f>
      </c>
      <c r="H5402">
        <f>IF(DATOS!$G5402&lt;&gt;"EX",0,--(COUNTIFS(nNIA,DATOS!$A5402,nCURSO,DATOS!$D5402,nESPEC,DATOS!$E5402,nASIG,DATOS!$I5402,nEVAL,"OR")=0))</f>
      </c>
      <c r="I5402">
        <f>IF(DATOS!$I5402="","",IFERROR(VLOOKUP(DATOS!$I5402,CONFIG_ASIGNATURAS!$B$2:$J$91,9,FALSE()),""))</f>
      </c>
    </row>
    <row r="5403">
      <c r="F5403">
        <f>IF(DATOS!$A5403="","",DATOS!$A5403&amp;"|"&amp;DATOS!$D5403&amp;"|"&amp;DATOS!$E5403&amp;"|"&amp;DATOS!$I5403)</f>
      </c>
      <c r="G5403">
        <f>IF(DATOS!$A5403="",0,IF(CONFIG_METADATA!$B$4&lt;&gt;"OR+EX",--(DATOS!$G5403=CONFIG_METADATA!$B$4),IF(DATOS!$G5403="EX",1,IF(DATOS!$G5403="OR",--(COUNTIFS(nNIA,DATOS!$A5403,nCURSO,DATOS!$D5403,nESPEC,DATOS!$E5403,nASIG,DATOS!$I5403,nEVAL,"EX")=0),0))))</f>
      </c>
      <c r="H5403">
        <f>IF(DATOS!$G5403&lt;&gt;"EX",0,--(COUNTIFS(nNIA,DATOS!$A5403,nCURSO,DATOS!$D5403,nESPEC,DATOS!$E5403,nASIG,DATOS!$I5403,nEVAL,"OR")=0))</f>
      </c>
      <c r="I5403">
        <f>IF(DATOS!$I5403="","",IFERROR(VLOOKUP(DATOS!$I5403,CONFIG_ASIGNATURAS!$B$2:$J$91,9,FALSE()),""))</f>
      </c>
    </row>
    <row r="5404">
      <c r="F5404">
        <f>IF(DATOS!$A5404="","",DATOS!$A5404&amp;"|"&amp;DATOS!$D5404&amp;"|"&amp;DATOS!$E5404&amp;"|"&amp;DATOS!$I5404)</f>
      </c>
      <c r="G5404">
        <f>IF(DATOS!$A5404="",0,IF(CONFIG_METADATA!$B$4&lt;&gt;"OR+EX",--(DATOS!$G5404=CONFIG_METADATA!$B$4),IF(DATOS!$G5404="EX",1,IF(DATOS!$G5404="OR",--(COUNTIFS(nNIA,DATOS!$A5404,nCURSO,DATOS!$D5404,nESPEC,DATOS!$E5404,nASIG,DATOS!$I5404,nEVAL,"EX")=0),0))))</f>
      </c>
      <c r="H5404">
        <f>IF(DATOS!$G5404&lt;&gt;"EX",0,--(COUNTIFS(nNIA,DATOS!$A5404,nCURSO,DATOS!$D5404,nESPEC,DATOS!$E5404,nASIG,DATOS!$I5404,nEVAL,"OR")=0))</f>
      </c>
      <c r="I5404">
        <f>IF(DATOS!$I5404="","",IFERROR(VLOOKUP(DATOS!$I5404,CONFIG_ASIGNATURAS!$B$2:$J$91,9,FALSE()),""))</f>
      </c>
    </row>
    <row r="5405">
      <c r="F5405">
        <f>IF(DATOS!$A5405="","",DATOS!$A5405&amp;"|"&amp;DATOS!$D5405&amp;"|"&amp;DATOS!$E5405&amp;"|"&amp;DATOS!$I5405)</f>
      </c>
      <c r="G5405">
        <f>IF(DATOS!$A5405="",0,IF(CONFIG_METADATA!$B$4&lt;&gt;"OR+EX",--(DATOS!$G5405=CONFIG_METADATA!$B$4),IF(DATOS!$G5405="EX",1,IF(DATOS!$G5405="OR",--(COUNTIFS(nNIA,DATOS!$A5405,nCURSO,DATOS!$D5405,nESPEC,DATOS!$E5405,nASIG,DATOS!$I5405,nEVAL,"EX")=0),0))))</f>
      </c>
      <c r="H5405">
        <f>IF(DATOS!$G5405&lt;&gt;"EX",0,--(COUNTIFS(nNIA,DATOS!$A5405,nCURSO,DATOS!$D5405,nESPEC,DATOS!$E5405,nASIG,DATOS!$I5405,nEVAL,"OR")=0))</f>
      </c>
      <c r="I5405">
        <f>IF(DATOS!$I5405="","",IFERROR(VLOOKUP(DATOS!$I5405,CONFIG_ASIGNATURAS!$B$2:$J$91,9,FALSE()),""))</f>
      </c>
    </row>
    <row r="5406">
      <c r="F5406">
        <f>IF(DATOS!$A5406="","",DATOS!$A5406&amp;"|"&amp;DATOS!$D5406&amp;"|"&amp;DATOS!$E5406&amp;"|"&amp;DATOS!$I5406)</f>
      </c>
      <c r="G5406">
        <f>IF(DATOS!$A5406="",0,IF(CONFIG_METADATA!$B$4&lt;&gt;"OR+EX",--(DATOS!$G5406=CONFIG_METADATA!$B$4),IF(DATOS!$G5406="EX",1,IF(DATOS!$G5406="OR",--(COUNTIFS(nNIA,DATOS!$A5406,nCURSO,DATOS!$D5406,nESPEC,DATOS!$E5406,nASIG,DATOS!$I5406,nEVAL,"EX")=0),0))))</f>
      </c>
      <c r="H5406">
        <f>IF(DATOS!$G5406&lt;&gt;"EX",0,--(COUNTIFS(nNIA,DATOS!$A5406,nCURSO,DATOS!$D5406,nESPEC,DATOS!$E5406,nASIG,DATOS!$I5406,nEVAL,"OR")=0))</f>
      </c>
      <c r="I5406">
        <f>IF(DATOS!$I5406="","",IFERROR(VLOOKUP(DATOS!$I5406,CONFIG_ASIGNATURAS!$B$2:$J$91,9,FALSE()),""))</f>
      </c>
    </row>
    <row r="5407">
      <c r="F5407">
        <f>IF(DATOS!$A5407="","",DATOS!$A5407&amp;"|"&amp;DATOS!$D5407&amp;"|"&amp;DATOS!$E5407&amp;"|"&amp;DATOS!$I5407)</f>
      </c>
      <c r="G5407">
        <f>IF(DATOS!$A5407="",0,IF(CONFIG_METADATA!$B$4&lt;&gt;"OR+EX",--(DATOS!$G5407=CONFIG_METADATA!$B$4),IF(DATOS!$G5407="EX",1,IF(DATOS!$G5407="OR",--(COUNTIFS(nNIA,DATOS!$A5407,nCURSO,DATOS!$D5407,nESPEC,DATOS!$E5407,nASIG,DATOS!$I5407,nEVAL,"EX")=0),0))))</f>
      </c>
      <c r="H5407">
        <f>IF(DATOS!$G5407&lt;&gt;"EX",0,--(COUNTIFS(nNIA,DATOS!$A5407,nCURSO,DATOS!$D5407,nESPEC,DATOS!$E5407,nASIG,DATOS!$I5407,nEVAL,"OR")=0))</f>
      </c>
      <c r="I5407">
        <f>IF(DATOS!$I5407="","",IFERROR(VLOOKUP(DATOS!$I5407,CONFIG_ASIGNATURAS!$B$2:$J$91,9,FALSE()),""))</f>
      </c>
    </row>
    <row r="5408">
      <c r="F5408">
        <f>IF(DATOS!$A5408="","",DATOS!$A5408&amp;"|"&amp;DATOS!$D5408&amp;"|"&amp;DATOS!$E5408&amp;"|"&amp;DATOS!$I5408)</f>
      </c>
      <c r="G5408">
        <f>IF(DATOS!$A5408="",0,IF(CONFIG_METADATA!$B$4&lt;&gt;"OR+EX",--(DATOS!$G5408=CONFIG_METADATA!$B$4),IF(DATOS!$G5408="EX",1,IF(DATOS!$G5408="OR",--(COUNTIFS(nNIA,DATOS!$A5408,nCURSO,DATOS!$D5408,nESPEC,DATOS!$E5408,nASIG,DATOS!$I5408,nEVAL,"EX")=0),0))))</f>
      </c>
      <c r="H5408">
        <f>IF(DATOS!$G5408&lt;&gt;"EX",0,--(COUNTIFS(nNIA,DATOS!$A5408,nCURSO,DATOS!$D5408,nESPEC,DATOS!$E5408,nASIG,DATOS!$I5408,nEVAL,"OR")=0))</f>
      </c>
      <c r="I5408">
        <f>IF(DATOS!$I5408="","",IFERROR(VLOOKUP(DATOS!$I5408,CONFIG_ASIGNATURAS!$B$2:$J$91,9,FALSE()),""))</f>
      </c>
    </row>
    <row r="5409">
      <c r="F5409">
        <f>IF(DATOS!$A5409="","",DATOS!$A5409&amp;"|"&amp;DATOS!$D5409&amp;"|"&amp;DATOS!$E5409&amp;"|"&amp;DATOS!$I5409)</f>
      </c>
      <c r="G5409">
        <f>IF(DATOS!$A5409="",0,IF(CONFIG_METADATA!$B$4&lt;&gt;"OR+EX",--(DATOS!$G5409=CONFIG_METADATA!$B$4),IF(DATOS!$G5409="EX",1,IF(DATOS!$G5409="OR",--(COUNTIFS(nNIA,DATOS!$A5409,nCURSO,DATOS!$D5409,nESPEC,DATOS!$E5409,nASIG,DATOS!$I5409,nEVAL,"EX")=0),0))))</f>
      </c>
      <c r="H5409">
        <f>IF(DATOS!$G5409&lt;&gt;"EX",0,--(COUNTIFS(nNIA,DATOS!$A5409,nCURSO,DATOS!$D5409,nESPEC,DATOS!$E5409,nASIG,DATOS!$I5409,nEVAL,"OR")=0))</f>
      </c>
      <c r="I5409">
        <f>IF(DATOS!$I5409="","",IFERROR(VLOOKUP(DATOS!$I5409,CONFIG_ASIGNATURAS!$B$2:$J$91,9,FALSE()),""))</f>
      </c>
    </row>
    <row r="5410">
      <c r="F5410">
        <f>IF(DATOS!$A5410="","",DATOS!$A5410&amp;"|"&amp;DATOS!$D5410&amp;"|"&amp;DATOS!$E5410&amp;"|"&amp;DATOS!$I5410)</f>
      </c>
      <c r="G5410">
        <f>IF(DATOS!$A5410="",0,IF(CONFIG_METADATA!$B$4&lt;&gt;"OR+EX",--(DATOS!$G5410=CONFIG_METADATA!$B$4),IF(DATOS!$G5410="EX",1,IF(DATOS!$G5410="OR",--(COUNTIFS(nNIA,DATOS!$A5410,nCURSO,DATOS!$D5410,nESPEC,DATOS!$E5410,nASIG,DATOS!$I5410,nEVAL,"EX")=0),0))))</f>
      </c>
      <c r="H5410">
        <f>IF(DATOS!$G5410&lt;&gt;"EX",0,--(COUNTIFS(nNIA,DATOS!$A5410,nCURSO,DATOS!$D5410,nESPEC,DATOS!$E5410,nASIG,DATOS!$I5410,nEVAL,"OR")=0))</f>
      </c>
      <c r="I5410">
        <f>IF(DATOS!$I5410="","",IFERROR(VLOOKUP(DATOS!$I5410,CONFIG_ASIGNATURAS!$B$2:$J$91,9,FALSE()),""))</f>
      </c>
    </row>
    <row r="5411">
      <c r="F5411">
        <f>IF(DATOS!$A5411="","",DATOS!$A5411&amp;"|"&amp;DATOS!$D5411&amp;"|"&amp;DATOS!$E5411&amp;"|"&amp;DATOS!$I5411)</f>
      </c>
      <c r="G5411">
        <f>IF(DATOS!$A5411="",0,IF(CONFIG_METADATA!$B$4&lt;&gt;"OR+EX",--(DATOS!$G5411=CONFIG_METADATA!$B$4),IF(DATOS!$G5411="EX",1,IF(DATOS!$G5411="OR",--(COUNTIFS(nNIA,DATOS!$A5411,nCURSO,DATOS!$D5411,nESPEC,DATOS!$E5411,nASIG,DATOS!$I5411,nEVAL,"EX")=0),0))))</f>
      </c>
      <c r="H5411">
        <f>IF(DATOS!$G5411&lt;&gt;"EX",0,--(COUNTIFS(nNIA,DATOS!$A5411,nCURSO,DATOS!$D5411,nESPEC,DATOS!$E5411,nASIG,DATOS!$I5411,nEVAL,"OR")=0))</f>
      </c>
      <c r="I5411">
        <f>IF(DATOS!$I5411="","",IFERROR(VLOOKUP(DATOS!$I5411,CONFIG_ASIGNATURAS!$B$2:$J$91,9,FALSE()),""))</f>
      </c>
    </row>
    <row r="5412">
      <c r="F5412">
        <f>IF(DATOS!$A5412="","",DATOS!$A5412&amp;"|"&amp;DATOS!$D5412&amp;"|"&amp;DATOS!$E5412&amp;"|"&amp;DATOS!$I5412)</f>
      </c>
      <c r="G5412">
        <f>IF(DATOS!$A5412="",0,IF(CONFIG_METADATA!$B$4&lt;&gt;"OR+EX",--(DATOS!$G5412=CONFIG_METADATA!$B$4),IF(DATOS!$G5412="EX",1,IF(DATOS!$G5412="OR",--(COUNTIFS(nNIA,DATOS!$A5412,nCURSO,DATOS!$D5412,nESPEC,DATOS!$E5412,nASIG,DATOS!$I5412,nEVAL,"EX")=0),0))))</f>
      </c>
      <c r="H5412">
        <f>IF(DATOS!$G5412&lt;&gt;"EX",0,--(COUNTIFS(nNIA,DATOS!$A5412,nCURSO,DATOS!$D5412,nESPEC,DATOS!$E5412,nASIG,DATOS!$I5412,nEVAL,"OR")=0))</f>
      </c>
      <c r="I5412">
        <f>IF(DATOS!$I5412="","",IFERROR(VLOOKUP(DATOS!$I5412,CONFIG_ASIGNATURAS!$B$2:$J$91,9,FALSE()),""))</f>
      </c>
    </row>
    <row r="5413">
      <c r="F5413">
        <f>IF(DATOS!$A5413="","",DATOS!$A5413&amp;"|"&amp;DATOS!$D5413&amp;"|"&amp;DATOS!$E5413&amp;"|"&amp;DATOS!$I5413)</f>
      </c>
      <c r="G5413">
        <f>IF(DATOS!$A5413="",0,IF(CONFIG_METADATA!$B$4&lt;&gt;"OR+EX",--(DATOS!$G5413=CONFIG_METADATA!$B$4),IF(DATOS!$G5413="EX",1,IF(DATOS!$G5413="OR",--(COUNTIFS(nNIA,DATOS!$A5413,nCURSO,DATOS!$D5413,nESPEC,DATOS!$E5413,nASIG,DATOS!$I5413,nEVAL,"EX")=0),0))))</f>
      </c>
      <c r="H5413">
        <f>IF(DATOS!$G5413&lt;&gt;"EX",0,--(COUNTIFS(nNIA,DATOS!$A5413,nCURSO,DATOS!$D5413,nESPEC,DATOS!$E5413,nASIG,DATOS!$I5413,nEVAL,"OR")=0))</f>
      </c>
      <c r="I5413">
        <f>IF(DATOS!$I5413="","",IFERROR(VLOOKUP(DATOS!$I5413,CONFIG_ASIGNATURAS!$B$2:$J$91,9,FALSE()),""))</f>
      </c>
    </row>
    <row r="5414">
      <c r="F5414">
        <f>IF(DATOS!$A5414="","",DATOS!$A5414&amp;"|"&amp;DATOS!$D5414&amp;"|"&amp;DATOS!$E5414&amp;"|"&amp;DATOS!$I5414)</f>
      </c>
      <c r="G5414">
        <f>IF(DATOS!$A5414="",0,IF(CONFIG_METADATA!$B$4&lt;&gt;"OR+EX",--(DATOS!$G5414=CONFIG_METADATA!$B$4),IF(DATOS!$G5414="EX",1,IF(DATOS!$G5414="OR",--(COUNTIFS(nNIA,DATOS!$A5414,nCURSO,DATOS!$D5414,nESPEC,DATOS!$E5414,nASIG,DATOS!$I5414,nEVAL,"EX")=0),0))))</f>
      </c>
      <c r="H5414">
        <f>IF(DATOS!$G5414&lt;&gt;"EX",0,--(COUNTIFS(nNIA,DATOS!$A5414,nCURSO,DATOS!$D5414,nESPEC,DATOS!$E5414,nASIG,DATOS!$I5414,nEVAL,"OR")=0))</f>
      </c>
      <c r="I5414">
        <f>IF(DATOS!$I5414="","",IFERROR(VLOOKUP(DATOS!$I5414,CONFIG_ASIGNATURAS!$B$2:$J$91,9,FALSE()),""))</f>
      </c>
    </row>
    <row r="5415">
      <c r="F5415">
        <f>IF(DATOS!$A5415="","",DATOS!$A5415&amp;"|"&amp;DATOS!$D5415&amp;"|"&amp;DATOS!$E5415&amp;"|"&amp;DATOS!$I5415)</f>
      </c>
      <c r="G5415">
        <f>IF(DATOS!$A5415="",0,IF(CONFIG_METADATA!$B$4&lt;&gt;"OR+EX",--(DATOS!$G5415=CONFIG_METADATA!$B$4),IF(DATOS!$G5415="EX",1,IF(DATOS!$G5415="OR",--(COUNTIFS(nNIA,DATOS!$A5415,nCURSO,DATOS!$D5415,nESPEC,DATOS!$E5415,nASIG,DATOS!$I5415,nEVAL,"EX")=0),0))))</f>
      </c>
      <c r="H5415">
        <f>IF(DATOS!$G5415&lt;&gt;"EX",0,--(COUNTIFS(nNIA,DATOS!$A5415,nCURSO,DATOS!$D5415,nESPEC,DATOS!$E5415,nASIG,DATOS!$I5415,nEVAL,"OR")=0))</f>
      </c>
      <c r="I5415">
        <f>IF(DATOS!$I5415="","",IFERROR(VLOOKUP(DATOS!$I5415,CONFIG_ASIGNATURAS!$B$2:$J$91,9,FALSE()),""))</f>
      </c>
    </row>
    <row r="5416">
      <c r="F5416">
        <f>IF(DATOS!$A5416="","",DATOS!$A5416&amp;"|"&amp;DATOS!$D5416&amp;"|"&amp;DATOS!$E5416&amp;"|"&amp;DATOS!$I5416)</f>
      </c>
      <c r="G5416">
        <f>IF(DATOS!$A5416="",0,IF(CONFIG_METADATA!$B$4&lt;&gt;"OR+EX",--(DATOS!$G5416=CONFIG_METADATA!$B$4),IF(DATOS!$G5416="EX",1,IF(DATOS!$G5416="OR",--(COUNTIFS(nNIA,DATOS!$A5416,nCURSO,DATOS!$D5416,nESPEC,DATOS!$E5416,nASIG,DATOS!$I5416,nEVAL,"EX")=0),0))))</f>
      </c>
      <c r="H5416">
        <f>IF(DATOS!$G5416&lt;&gt;"EX",0,--(COUNTIFS(nNIA,DATOS!$A5416,nCURSO,DATOS!$D5416,nESPEC,DATOS!$E5416,nASIG,DATOS!$I5416,nEVAL,"OR")=0))</f>
      </c>
      <c r="I5416">
        <f>IF(DATOS!$I5416="","",IFERROR(VLOOKUP(DATOS!$I5416,CONFIG_ASIGNATURAS!$B$2:$J$91,9,FALSE()),""))</f>
      </c>
    </row>
    <row r="5417">
      <c r="F5417">
        <f>IF(DATOS!$A5417="","",DATOS!$A5417&amp;"|"&amp;DATOS!$D5417&amp;"|"&amp;DATOS!$E5417&amp;"|"&amp;DATOS!$I5417)</f>
      </c>
      <c r="G5417">
        <f>IF(DATOS!$A5417="",0,IF(CONFIG_METADATA!$B$4&lt;&gt;"OR+EX",--(DATOS!$G5417=CONFIG_METADATA!$B$4),IF(DATOS!$G5417="EX",1,IF(DATOS!$G5417="OR",--(COUNTIFS(nNIA,DATOS!$A5417,nCURSO,DATOS!$D5417,nESPEC,DATOS!$E5417,nASIG,DATOS!$I5417,nEVAL,"EX")=0),0))))</f>
      </c>
      <c r="H5417">
        <f>IF(DATOS!$G5417&lt;&gt;"EX",0,--(COUNTIFS(nNIA,DATOS!$A5417,nCURSO,DATOS!$D5417,nESPEC,DATOS!$E5417,nASIG,DATOS!$I5417,nEVAL,"OR")=0))</f>
      </c>
      <c r="I5417">
        <f>IF(DATOS!$I5417="","",IFERROR(VLOOKUP(DATOS!$I5417,CONFIG_ASIGNATURAS!$B$2:$J$91,9,FALSE()),""))</f>
      </c>
    </row>
    <row r="5418">
      <c r="F5418">
        <f>IF(DATOS!$A5418="","",DATOS!$A5418&amp;"|"&amp;DATOS!$D5418&amp;"|"&amp;DATOS!$E5418&amp;"|"&amp;DATOS!$I5418)</f>
      </c>
      <c r="G5418">
        <f>IF(DATOS!$A5418="",0,IF(CONFIG_METADATA!$B$4&lt;&gt;"OR+EX",--(DATOS!$G5418=CONFIG_METADATA!$B$4),IF(DATOS!$G5418="EX",1,IF(DATOS!$G5418="OR",--(COUNTIFS(nNIA,DATOS!$A5418,nCURSO,DATOS!$D5418,nESPEC,DATOS!$E5418,nASIG,DATOS!$I5418,nEVAL,"EX")=0),0))))</f>
      </c>
      <c r="H5418">
        <f>IF(DATOS!$G5418&lt;&gt;"EX",0,--(COUNTIFS(nNIA,DATOS!$A5418,nCURSO,DATOS!$D5418,nESPEC,DATOS!$E5418,nASIG,DATOS!$I5418,nEVAL,"OR")=0))</f>
      </c>
      <c r="I5418">
        <f>IF(DATOS!$I5418="","",IFERROR(VLOOKUP(DATOS!$I5418,CONFIG_ASIGNATURAS!$B$2:$J$91,9,FALSE()),""))</f>
      </c>
    </row>
    <row r="5419">
      <c r="F5419">
        <f>IF(DATOS!$A5419="","",DATOS!$A5419&amp;"|"&amp;DATOS!$D5419&amp;"|"&amp;DATOS!$E5419&amp;"|"&amp;DATOS!$I5419)</f>
      </c>
      <c r="G5419">
        <f>IF(DATOS!$A5419="",0,IF(CONFIG_METADATA!$B$4&lt;&gt;"OR+EX",--(DATOS!$G5419=CONFIG_METADATA!$B$4),IF(DATOS!$G5419="EX",1,IF(DATOS!$G5419="OR",--(COUNTIFS(nNIA,DATOS!$A5419,nCURSO,DATOS!$D5419,nESPEC,DATOS!$E5419,nASIG,DATOS!$I5419,nEVAL,"EX")=0),0))))</f>
      </c>
      <c r="H5419">
        <f>IF(DATOS!$G5419&lt;&gt;"EX",0,--(COUNTIFS(nNIA,DATOS!$A5419,nCURSO,DATOS!$D5419,nESPEC,DATOS!$E5419,nASIG,DATOS!$I5419,nEVAL,"OR")=0))</f>
      </c>
      <c r="I5419">
        <f>IF(DATOS!$I5419="","",IFERROR(VLOOKUP(DATOS!$I5419,CONFIG_ASIGNATURAS!$B$2:$J$91,9,FALSE()),""))</f>
      </c>
    </row>
    <row r="5420">
      <c r="F5420">
        <f>IF(DATOS!$A5420="","",DATOS!$A5420&amp;"|"&amp;DATOS!$D5420&amp;"|"&amp;DATOS!$E5420&amp;"|"&amp;DATOS!$I5420)</f>
      </c>
      <c r="G5420">
        <f>IF(DATOS!$A5420="",0,IF(CONFIG_METADATA!$B$4&lt;&gt;"OR+EX",--(DATOS!$G5420=CONFIG_METADATA!$B$4),IF(DATOS!$G5420="EX",1,IF(DATOS!$G5420="OR",--(COUNTIFS(nNIA,DATOS!$A5420,nCURSO,DATOS!$D5420,nESPEC,DATOS!$E5420,nASIG,DATOS!$I5420,nEVAL,"EX")=0),0))))</f>
      </c>
      <c r="H5420">
        <f>IF(DATOS!$G5420&lt;&gt;"EX",0,--(COUNTIFS(nNIA,DATOS!$A5420,nCURSO,DATOS!$D5420,nESPEC,DATOS!$E5420,nASIG,DATOS!$I5420,nEVAL,"OR")=0))</f>
      </c>
      <c r="I5420">
        <f>IF(DATOS!$I5420="","",IFERROR(VLOOKUP(DATOS!$I5420,CONFIG_ASIGNATURAS!$B$2:$J$91,9,FALSE()),""))</f>
      </c>
    </row>
    <row r="5421">
      <c r="F5421">
        <f>IF(DATOS!$A5421="","",DATOS!$A5421&amp;"|"&amp;DATOS!$D5421&amp;"|"&amp;DATOS!$E5421&amp;"|"&amp;DATOS!$I5421)</f>
      </c>
      <c r="G5421">
        <f>IF(DATOS!$A5421="",0,IF(CONFIG_METADATA!$B$4&lt;&gt;"OR+EX",--(DATOS!$G5421=CONFIG_METADATA!$B$4),IF(DATOS!$G5421="EX",1,IF(DATOS!$G5421="OR",--(COUNTIFS(nNIA,DATOS!$A5421,nCURSO,DATOS!$D5421,nESPEC,DATOS!$E5421,nASIG,DATOS!$I5421,nEVAL,"EX")=0),0))))</f>
      </c>
      <c r="H5421">
        <f>IF(DATOS!$G5421&lt;&gt;"EX",0,--(COUNTIFS(nNIA,DATOS!$A5421,nCURSO,DATOS!$D5421,nESPEC,DATOS!$E5421,nASIG,DATOS!$I5421,nEVAL,"OR")=0))</f>
      </c>
      <c r="I5421">
        <f>IF(DATOS!$I5421="","",IFERROR(VLOOKUP(DATOS!$I5421,CONFIG_ASIGNATURAS!$B$2:$J$91,9,FALSE()),""))</f>
      </c>
    </row>
    <row r="5422">
      <c r="F5422">
        <f>IF(DATOS!$A5422="","",DATOS!$A5422&amp;"|"&amp;DATOS!$D5422&amp;"|"&amp;DATOS!$E5422&amp;"|"&amp;DATOS!$I5422)</f>
      </c>
      <c r="G5422">
        <f>IF(DATOS!$A5422="",0,IF(CONFIG_METADATA!$B$4&lt;&gt;"OR+EX",--(DATOS!$G5422=CONFIG_METADATA!$B$4),IF(DATOS!$G5422="EX",1,IF(DATOS!$G5422="OR",--(COUNTIFS(nNIA,DATOS!$A5422,nCURSO,DATOS!$D5422,nESPEC,DATOS!$E5422,nASIG,DATOS!$I5422,nEVAL,"EX")=0),0))))</f>
      </c>
      <c r="H5422">
        <f>IF(DATOS!$G5422&lt;&gt;"EX",0,--(COUNTIFS(nNIA,DATOS!$A5422,nCURSO,DATOS!$D5422,nESPEC,DATOS!$E5422,nASIG,DATOS!$I5422,nEVAL,"OR")=0))</f>
      </c>
      <c r="I5422">
        <f>IF(DATOS!$I5422="","",IFERROR(VLOOKUP(DATOS!$I5422,CONFIG_ASIGNATURAS!$B$2:$J$91,9,FALSE()),""))</f>
      </c>
    </row>
    <row r="5423">
      <c r="F5423">
        <f>IF(DATOS!$A5423="","",DATOS!$A5423&amp;"|"&amp;DATOS!$D5423&amp;"|"&amp;DATOS!$E5423&amp;"|"&amp;DATOS!$I5423)</f>
      </c>
      <c r="G5423">
        <f>IF(DATOS!$A5423="",0,IF(CONFIG_METADATA!$B$4&lt;&gt;"OR+EX",--(DATOS!$G5423=CONFIG_METADATA!$B$4),IF(DATOS!$G5423="EX",1,IF(DATOS!$G5423="OR",--(COUNTIFS(nNIA,DATOS!$A5423,nCURSO,DATOS!$D5423,nESPEC,DATOS!$E5423,nASIG,DATOS!$I5423,nEVAL,"EX")=0),0))))</f>
      </c>
      <c r="H5423">
        <f>IF(DATOS!$G5423&lt;&gt;"EX",0,--(COUNTIFS(nNIA,DATOS!$A5423,nCURSO,DATOS!$D5423,nESPEC,DATOS!$E5423,nASIG,DATOS!$I5423,nEVAL,"OR")=0))</f>
      </c>
      <c r="I5423">
        <f>IF(DATOS!$I5423="","",IFERROR(VLOOKUP(DATOS!$I5423,CONFIG_ASIGNATURAS!$B$2:$J$91,9,FALSE()),""))</f>
      </c>
    </row>
    <row r="5424">
      <c r="F5424">
        <f>IF(DATOS!$A5424="","",DATOS!$A5424&amp;"|"&amp;DATOS!$D5424&amp;"|"&amp;DATOS!$E5424&amp;"|"&amp;DATOS!$I5424)</f>
      </c>
      <c r="G5424">
        <f>IF(DATOS!$A5424="",0,IF(CONFIG_METADATA!$B$4&lt;&gt;"OR+EX",--(DATOS!$G5424=CONFIG_METADATA!$B$4),IF(DATOS!$G5424="EX",1,IF(DATOS!$G5424="OR",--(COUNTIFS(nNIA,DATOS!$A5424,nCURSO,DATOS!$D5424,nESPEC,DATOS!$E5424,nASIG,DATOS!$I5424,nEVAL,"EX")=0),0))))</f>
      </c>
      <c r="H5424">
        <f>IF(DATOS!$G5424&lt;&gt;"EX",0,--(COUNTIFS(nNIA,DATOS!$A5424,nCURSO,DATOS!$D5424,nESPEC,DATOS!$E5424,nASIG,DATOS!$I5424,nEVAL,"OR")=0))</f>
      </c>
      <c r="I5424">
        <f>IF(DATOS!$I5424="","",IFERROR(VLOOKUP(DATOS!$I5424,CONFIG_ASIGNATURAS!$B$2:$J$91,9,FALSE()),""))</f>
      </c>
    </row>
    <row r="5425">
      <c r="F5425">
        <f>IF(DATOS!$A5425="","",DATOS!$A5425&amp;"|"&amp;DATOS!$D5425&amp;"|"&amp;DATOS!$E5425&amp;"|"&amp;DATOS!$I5425)</f>
      </c>
      <c r="G5425">
        <f>IF(DATOS!$A5425="",0,IF(CONFIG_METADATA!$B$4&lt;&gt;"OR+EX",--(DATOS!$G5425=CONFIG_METADATA!$B$4),IF(DATOS!$G5425="EX",1,IF(DATOS!$G5425="OR",--(COUNTIFS(nNIA,DATOS!$A5425,nCURSO,DATOS!$D5425,nESPEC,DATOS!$E5425,nASIG,DATOS!$I5425,nEVAL,"EX")=0),0))))</f>
      </c>
      <c r="H5425">
        <f>IF(DATOS!$G5425&lt;&gt;"EX",0,--(COUNTIFS(nNIA,DATOS!$A5425,nCURSO,DATOS!$D5425,nESPEC,DATOS!$E5425,nASIG,DATOS!$I5425,nEVAL,"OR")=0))</f>
      </c>
      <c r="I5425">
        <f>IF(DATOS!$I5425="","",IFERROR(VLOOKUP(DATOS!$I5425,CONFIG_ASIGNATURAS!$B$2:$J$91,9,FALSE()),""))</f>
      </c>
    </row>
    <row r="5426">
      <c r="F5426">
        <f>IF(DATOS!$A5426="","",DATOS!$A5426&amp;"|"&amp;DATOS!$D5426&amp;"|"&amp;DATOS!$E5426&amp;"|"&amp;DATOS!$I5426)</f>
      </c>
      <c r="G5426">
        <f>IF(DATOS!$A5426="",0,IF(CONFIG_METADATA!$B$4&lt;&gt;"OR+EX",--(DATOS!$G5426=CONFIG_METADATA!$B$4),IF(DATOS!$G5426="EX",1,IF(DATOS!$G5426="OR",--(COUNTIFS(nNIA,DATOS!$A5426,nCURSO,DATOS!$D5426,nESPEC,DATOS!$E5426,nASIG,DATOS!$I5426,nEVAL,"EX")=0),0))))</f>
      </c>
      <c r="H5426">
        <f>IF(DATOS!$G5426&lt;&gt;"EX",0,--(COUNTIFS(nNIA,DATOS!$A5426,nCURSO,DATOS!$D5426,nESPEC,DATOS!$E5426,nASIG,DATOS!$I5426,nEVAL,"OR")=0))</f>
      </c>
      <c r="I5426">
        <f>IF(DATOS!$I5426="","",IFERROR(VLOOKUP(DATOS!$I5426,CONFIG_ASIGNATURAS!$B$2:$J$91,9,FALSE()),""))</f>
      </c>
    </row>
    <row r="5427">
      <c r="F5427">
        <f>IF(DATOS!$A5427="","",DATOS!$A5427&amp;"|"&amp;DATOS!$D5427&amp;"|"&amp;DATOS!$E5427&amp;"|"&amp;DATOS!$I5427)</f>
      </c>
      <c r="G5427">
        <f>IF(DATOS!$A5427="",0,IF(CONFIG_METADATA!$B$4&lt;&gt;"OR+EX",--(DATOS!$G5427=CONFIG_METADATA!$B$4),IF(DATOS!$G5427="EX",1,IF(DATOS!$G5427="OR",--(COUNTIFS(nNIA,DATOS!$A5427,nCURSO,DATOS!$D5427,nESPEC,DATOS!$E5427,nASIG,DATOS!$I5427,nEVAL,"EX")=0),0))))</f>
      </c>
      <c r="H5427">
        <f>IF(DATOS!$G5427&lt;&gt;"EX",0,--(COUNTIFS(nNIA,DATOS!$A5427,nCURSO,DATOS!$D5427,nESPEC,DATOS!$E5427,nASIG,DATOS!$I5427,nEVAL,"OR")=0))</f>
      </c>
      <c r="I5427">
        <f>IF(DATOS!$I5427="","",IFERROR(VLOOKUP(DATOS!$I5427,CONFIG_ASIGNATURAS!$B$2:$J$91,9,FALSE()),""))</f>
      </c>
    </row>
    <row r="5428">
      <c r="F5428">
        <f>IF(DATOS!$A5428="","",DATOS!$A5428&amp;"|"&amp;DATOS!$D5428&amp;"|"&amp;DATOS!$E5428&amp;"|"&amp;DATOS!$I5428)</f>
      </c>
      <c r="G5428">
        <f>IF(DATOS!$A5428="",0,IF(CONFIG_METADATA!$B$4&lt;&gt;"OR+EX",--(DATOS!$G5428=CONFIG_METADATA!$B$4),IF(DATOS!$G5428="EX",1,IF(DATOS!$G5428="OR",--(COUNTIFS(nNIA,DATOS!$A5428,nCURSO,DATOS!$D5428,nESPEC,DATOS!$E5428,nASIG,DATOS!$I5428,nEVAL,"EX")=0),0))))</f>
      </c>
      <c r="H5428">
        <f>IF(DATOS!$G5428&lt;&gt;"EX",0,--(COUNTIFS(nNIA,DATOS!$A5428,nCURSO,DATOS!$D5428,nESPEC,DATOS!$E5428,nASIG,DATOS!$I5428,nEVAL,"OR")=0))</f>
      </c>
      <c r="I5428">
        <f>IF(DATOS!$I5428="","",IFERROR(VLOOKUP(DATOS!$I5428,CONFIG_ASIGNATURAS!$B$2:$J$91,9,FALSE()),""))</f>
      </c>
    </row>
    <row r="5429">
      <c r="F5429">
        <f>IF(DATOS!$A5429="","",DATOS!$A5429&amp;"|"&amp;DATOS!$D5429&amp;"|"&amp;DATOS!$E5429&amp;"|"&amp;DATOS!$I5429)</f>
      </c>
      <c r="G5429">
        <f>IF(DATOS!$A5429="",0,IF(CONFIG_METADATA!$B$4&lt;&gt;"OR+EX",--(DATOS!$G5429=CONFIG_METADATA!$B$4),IF(DATOS!$G5429="EX",1,IF(DATOS!$G5429="OR",--(COUNTIFS(nNIA,DATOS!$A5429,nCURSO,DATOS!$D5429,nESPEC,DATOS!$E5429,nASIG,DATOS!$I5429,nEVAL,"EX")=0),0))))</f>
      </c>
      <c r="H5429">
        <f>IF(DATOS!$G5429&lt;&gt;"EX",0,--(COUNTIFS(nNIA,DATOS!$A5429,nCURSO,DATOS!$D5429,nESPEC,DATOS!$E5429,nASIG,DATOS!$I5429,nEVAL,"OR")=0))</f>
      </c>
      <c r="I5429">
        <f>IF(DATOS!$I5429="","",IFERROR(VLOOKUP(DATOS!$I5429,CONFIG_ASIGNATURAS!$B$2:$J$91,9,FALSE()),""))</f>
      </c>
    </row>
    <row r="5430">
      <c r="F5430">
        <f>IF(DATOS!$A5430="","",DATOS!$A5430&amp;"|"&amp;DATOS!$D5430&amp;"|"&amp;DATOS!$E5430&amp;"|"&amp;DATOS!$I5430)</f>
      </c>
      <c r="G5430">
        <f>IF(DATOS!$A5430="",0,IF(CONFIG_METADATA!$B$4&lt;&gt;"OR+EX",--(DATOS!$G5430=CONFIG_METADATA!$B$4),IF(DATOS!$G5430="EX",1,IF(DATOS!$G5430="OR",--(COUNTIFS(nNIA,DATOS!$A5430,nCURSO,DATOS!$D5430,nESPEC,DATOS!$E5430,nASIG,DATOS!$I5430,nEVAL,"EX")=0),0))))</f>
      </c>
      <c r="H5430">
        <f>IF(DATOS!$G5430&lt;&gt;"EX",0,--(COUNTIFS(nNIA,DATOS!$A5430,nCURSO,DATOS!$D5430,nESPEC,DATOS!$E5430,nASIG,DATOS!$I5430,nEVAL,"OR")=0))</f>
      </c>
      <c r="I5430">
        <f>IF(DATOS!$I5430="","",IFERROR(VLOOKUP(DATOS!$I5430,CONFIG_ASIGNATURAS!$B$2:$J$91,9,FALSE()),""))</f>
      </c>
    </row>
    <row r="5431">
      <c r="F5431">
        <f>IF(DATOS!$A5431="","",DATOS!$A5431&amp;"|"&amp;DATOS!$D5431&amp;"|"&amp;DATOS!$E5431&amp;"|"&amp;DATOS!$I5431)</f>
      </c>
      <c r="G5431">
        <f>IF(DATOS!$A5431="",0,IF(CONFIG_METADATA!$B$4&lt;&gt;"OR+EX",--(DATOS!$G5431=CONFIG_METADATA!$B$4),IF(DATOS!$G5431="EX",1,IF(DATOS!$G5431="OR",--(COUNTIFS(nNIA,DATOS!$A5431,nCURSO,DATOS!$D5431,nESPEC,DATOS!$E5431,nASIG,DATOS!$I5431,nEVAL,"EX")=0),0))))</f>
      </c>
      <c r="H5431">
        <f>IF(DATOS!$G5431&lt;&gt;"EX",0,--(COUNTIFS(nNIA,DATOS!$A5431,nCURSO,DATOS!$D5431,nESPEC,DATOS!$E5431,nASIG,DATOS!$I5431,nEVAL,"OR")=0))</f>
      </c>
      <c r="I5431">
        <f>IF(DATOS!$I5431="","",IFERROR(VLOOKUP(DATOS!$I5431,CONFIG_ASIGNATURAS!$B$2:$J$91,9,FALSE()),""))</f>
      </c>
    </row>
    <row r="5432">
      <c r="F5432">
        <f>IF(DATOS!$A5432="","",DATOS!$A5432&amp;"|"&amp;DATOS!$D5432&amp;"|"&amp;DATOS!$E5432&amp;"|"&amp;DATOS!$I5432)</f>
      </c>
      <c r="G5432">
        <f>IF(DATOS!$A5432="",0,IF(CONFIG_METADATA!$B$4&lt;&gt;"OR+EX",--(DATOS!$G5432=CONFIG_METADATA!$B$4),IF(DATOS!$G5432="EX",1,IF(DATOS!$G5432="OR",--(COUNTIFS(nNIA,DATOS!$A5432,nCURSO,DATOS!$D5432,nESPEC,DATOS!$E5432,nASIG,DATOS!$I5432,nEVAL,"EX")=0),0))))</f>
      </c>
      <c r="H5432">
        <f>IF(DATOS!$G5432&lt;&gt;"EX",0,--(COUNTIFS(nNIA,DATOS!$A5432,nCURSO,DATOS!$D5432,nESPEC,DATOS!$E5432,nASIG,DATOS!$I5432,nEVAL,"OR")=0))</f>
      </c>
      <c r="I5432">
        <f>IF(DATOS!$I5432="","",IFERROR(VLOOKUP(DATOS!$I5432,CONFIG_ASIGNATURAS!$B$2:$J$91,9,FALSE()),""))</f>
      </c>
    </row>
    <row r="5433">
      <c r="F5433">
        <f>IF(DATOS!$A5433="","",DATOS!$A5433&amp;"|"&amp;DATOS!$D5433&amp;"|"&amp;DATOS!$E5433&amp;"|"&amp;DATOS!$I5433)</f>
      </c>
      <c r="G5433">
        <f>IF(DATOS!$A5433="",0,IF(CONFIG_METADATA!$B$4&lt;&gt;"OR+EX",--(DATOS!$G5433=CONFIG_METADATA!$B$4),IF(DATOS!$G5433="EX",1,IF(DATOS!$G5433="OR",--(COUNTIFS(nNIA,DATOS!$A5433,nCURSO,DATOS!$D5433,nESPEC,DATOS!$E5433,nASIG,DATOS!$I5433,nEVAL,"EX")=0),0))))</f>
      </c>
      <c r="H5433">
        <f>IF(DATOS!$G5433&lt;&gt;"EX",0,--(COUNTIFS(nNIA,DATOS!$A5433,nCURSO,DATOS!$D5433,nESPEC,DATOS!$E5433,nASIG,DATOS!$I5433,nEVAL,"OR")=0))</f>
      </c>
      <c r="I5433">
        <f>IF(DATOS!$I5433="","",IFERROR(VLOOKUP(DATOS!$I5433,CONFIG_ASIGNATURAS!$B$2:$J$91,9,FALSE()),""))</f>
      </c>
    </row>
    <row r="5434">
      <c r="F5434">
        <f>IF(DATOS!$A5434="","",DATOS!$A5434&amp;"|"&amp;DATOS!$D5434&amp;"|"&amp;DATOS!$E5434&amp;"|"&amp;DATOS!$I5434)</f>
      </c>
      <c r="G5434">
        <f>IF(DATOS!$A5434="",0,IF(CONFIG_METADATA!$B$4&lt;&gt;"OR+EX",--(DATOS!$G5434=CONFIG_METADATA!$B$4),IF(DATOS!$G5434="EX",1,IF(DATOS!$G5434="OR",--(COUNTIFS(nNIA,DATOS!$A5434,nCURSO,DATOS!$D5434,nESPEC,DATOS!$E5434,nASIG,DATOS!$I5434,nEVAL,"EX")=0),0))))</f>
      </c>
      <c r="H5434">
        <f>IF(DATOS!$G5434&lt;&gt;"EX",0,--(COUNTIFS(nNIA,DATOS!$A5434,nCURSO,DATOS!$D5434,nESPEC,DATOS!$E5434,nASIG,DATOS!$I5434,nEVAL,"OR")=0))</f>
      </c>
      <c r="I5434">
        <f>IF(DATOS!$I5434="","",IFERROR(VLOOKUP(DATOS!$I5434,CONFIG_ASIGNATURAS!$B$2:$J$91,9,FALSE()),""))</f>
      </c>
    </row>
    <row r="5435">
      <c r="F5435">
        <f>IF(DATOS!$A5435="","",DATOS!$A5435&amp;"|"&amp;DATOS!$D5435&amp;"|"&amp;DATOS!$E5435&amp;"|"&amp;DATOS!$I5435)</f>
      </c>
      <c r="G5435">
        <f>IF(DATOS!$A5435="",0,IF(CONFIG_METADATA!$B$4&lt;&gt;"OR+EX",--(DATOS!$G5435=CONFIG_METADATA!$B$4),IF(DATOS!$G5435="EX",1,IF(DATOS!$G5435="OR",--(COUNTIFS(nNIA,DATOS!$A5435,nCURSO,DATOS!$D5435,nESPEC,DATOS!$E5435,nASIG,DATOS!$I5435,nEVAL,"EX")=0),0))))</f>
      </c>
      <c r="H5435">
        <f>IF(DATOS!$G5435&lt;&gt;"EX",0,--(COUNTIFS(nNIA,DATOS!$A5435,nCURSO,DATOS!$D5435,nESPEC,DATOS!$E5435,nASIG,DATOS!$I5435,nEVAL,"OR")=0))</f>
      </c>
      <c r="I5435">
        <f>IF(DATOS!$I5435="","",IFERROR(VLOOKUP(DATOS!$I5435,CONFIG_ASIGNATURAS!$B$2:$J$91,9,FALSE()),""))</f>
      </c>
    </row>
    <row r="5436">
      <c r="F5436">
        <f>IF(DATOS!$A5436="","",DATOS!$A5436&amp;"|"&amp;DATOS!$D5436&amp;"|"&amp;DATOS!$E5436&amp;"|"&amp;DATOS!$I5436)</f>
      </c>
      <c r="G5436">
        <f>IF(DATOS!$A5436="",0,IF(CONFIG_METADATA!$B$4&lt;&gt;"OR+EX",--(DATOS!$G5436=CONFIG_METADATA!$B$4),IF(DATOS!$G5436="EX",1,IF(DATOS!$G5436="OR",--(COUNTIFS(nNIA,DATOS!$A5436,nCURSO,DATOS!$D5436,nESPEC,DATOS!$E5436,nASIG,DATOS!$I5436,nEVAL,"EX")=0),0))))</f>
      </c>
      <c r="H5436">
        <f>IF(DATOS!$G5436&lt;&gt;"EX",0,--(COUNTIFS(nNIA,DATOS!$A5436,nCURSO,DATOS!$D5436,nESPEC,DATOS!$E5436,nASIG,DATOS!$I5436,nEVAL,"OR")=0))</f>
      </c>
      <c r="I5436">
        <f>IF(DATOS!$I5436="","",IFERROR(VLOOKUP(DATOS!$I5436,CONFIG_ASIGNATURAS!$B$2:$J$91,9,FALSE()),""))</f>
      </c>
    </row>
    <row r="5437">
      <c r="F5437">
        <f>IF(DATOS!$A5437="","",DATOS!$A5437&amp;"|"&amp;DATOS!$D5437&amp;"|"&amp;DATOS!$E5437&amp;"|"&amp;DATOS!$I5437)</f>
      </c>
      <c r="G5437">
        <f>IF(DATOS!$A5437="",0,IF(CONFIG_METADATA!$B$4&lt;&gt;"OR+EX",--(DATOS!$G5437=CONFIG_METADATA!$B$4),IF(DATOS!$G5437="EX",1,IF(DATOS!$G5437="OR",--(COUNTIFS(nNIA,DATOS!$A5437,nCURSO,DATOS!$D5437,nESPEC,DATOS!$E5437,nASIG,DATOS!$I5437,nEVAL,"EX")=0),0))))</f>
      </c>
      <c r="H5437">
        <f>IF(DATOS!$G5437&lt;&gt;"EX",0,--(COUNTIFS(nNIA,DATOS!$A5437,nCURSO,DATOS!$D5437,nESPEC,DATOS!$E5437,nASIG,DATOS!$I5437,nEVAL,"OR")=0))</f>
      </c>
      <c r="I5437">
        <f>IF(DATOS!$I5437="","",IFERROR(VLOOKUP(DATOS!$I5437,CONFIG_ASIGNATURAS!$B$2:$J$91,9,FALSE()),""))</f>
      </c>
    </row>
    <row r="5438">
      <c r="F5438">
        <f>IF(DATOS!$A5438="","",DATOS!$A5438&amp;"|"&amp;DATOS!$D5438&amp;"|"&amp;DATOS!$E5438&amp;"|"&amp;DATOS!$I5438)</f>
      </c>
      <c r="G5438">
        <f>IF(DATOS!$A5438="",0,IF(CONFIG_METADATA!$B$4&lt;&gt;"OR+EX",--(DATOS!$G5438=CONFIG_METADATA!$B$4),IF(DATOS!$G5438="EX",1,IF(DATOS!$G5438="OR",--(COUNTIFS(nNIA,DATOS!$A5438,nCURSO,DATOS!$D5438,nESPEC,DATOS!$E5438,nASIG,DATOS!$I5438,nEVAL,"EX")=0),0))))</f>
      </c>
      <c r="H5438">
        <f>IF(DATOS!$G5438&lt;&gt;"EX",0,--(COUNTIFS(nNIA,DATOS!$A5438,nCURSO,DATOS!$D5438,nESPEC,DATOS!$E5438,nASIG,DATOS!$I5438,nEVAL,"OR")=0))</f>
      </c>
      <c r="I5438">
        <f>IF(DATOS!$I5438="","",IFERROR(VLOOKUP(DATOS!$I5438,CONFIG_ASIGNATURAS!$B$2:$J$91,9,FALSE()),""))</f>
      </c>
    </row>
    <row r="5439">
      <c r="F5439">
        <f>IF(DATOS!$A5439="","",DATOS!$A5439&amp;"|"&amp;DATOS!$D5439&amp;"|"&amp;DATOS!$E5439&amp;"|"&amp;DATOS!$I5439)</f>
      </c>
      <c r="G5439">
        <f>IF(DATOS!$A5439="",0,IF(CONFIG_METADATA!$B$4&lt;&gt;"OR+EX",--(DATOS!$G5439=CONFIG_METADATA!$B$4),IF(DATOS!$G5439="EX",1,IF(DATOS!$G5439="OR",--(COUNTIFS(nNIA,DATOS!$A5439,nCURSO,DATOS!$D5439,nESPEC,DATOS!$E5439,nASIG,DATOS!$I5439,nEVAL,"EX")=0),0))))</f>
      </c>
      <c r="H5439">
        <f>IF(DATOS!$G5439&lt;&gt;"EX",0,--(COUNTIFS(nNIA,DATOS!$A5439,nCURSO,DATOS!$D5439,nESPEC,DATOS!$E5439,nASIG,DATOS!$I5439,nEVAL,"OR")=0))</f>
      </c>
      <c r="I5439">
        <f>IF(DATOS!$I5439="","",IFERROR(VLOOKUP(DATOS!$I5439,CONFIG_ASIGNATURAS!$B$2:$J$91,9,FALSE()),""))</f>
      </c>
    </row>
    <row r="5440">
      <c r="F5440">
        <f>IF(DATOS!$A5440="","",DATOS!$A5440&amp;"|"&amp;DATOS!$D5440&amp;"|"&amp;DATOS!$E5440&amp;"|"&amp;DATOS!$I5440)</f>
      </c>
      <c r="G5440">
        <f>IF(DATOS!$A5440="",0,IF(CONFIG_METADATA!$B$4&lt;&gt;"OR+EX",--(DATOS!$G5440=CONFIG_METADATA!$B$4),IF(DATOS!$G5440="EX",1,IF(DATOS!$G5440="OR",--(COUNTIFS(nNIA,DATOS!$A5440,nCURSO,DATOS!$D5440,nESPEC,DATOS!$E5440,nASIG,DATOS!$I5440,nEVAL,"EX")=0),0))))</f>
      </c>
      <c r="H5440">
        <f>IF(DATOS!$G5440&lt;&gt;"EX",0,--(COUNTIFS(nNIA,DATOS!$A5440,nCURSO,DATOS!$D5440,nESPEC,DATOS!$E5440,nASIG,DATOS!$I5440,nEVAL,"OR")=0))</f>
      </c>
      <c r="I5440">
        <f>IF(DATOS!$I5440="","",IFERROR(VLOOKUP(DATOS!$I5440,CONFIG_ASIGNATURAS!$B$2:$J$91,9,FALSE()),""))</f>
      </c>
    </row>
    <row r="5441">
      <c r="F5441">
        <f>IF(DATOS!$A5441="","",DATOS!$A5441&amp;"|"&amp;DATOS!$D5441&amp;"|"&amp;DATOS!$E5441&amp;"|"&amp;DATOS!$I5441)</f>
      </c>
      <c r="G5441">
        <f>IF(DATOS!$A5441="",0,IF(CONFIG_METADATA!$B$4&lt;&gt;"OR+EX",--(DATOS!$G5441=CONFIG_METADATA!$B$4),IF(DATOS!$G5441="EX",1,IF(DATOS!$G5441="OR",--(COUNTIFS(nNIA,DATOS!$A5441,nCURSO,DATOS!$D5441,nESPEC,DATOS!$E5441,nASIG,DATOS!$I5441,nEVAL,"EX")=0),0))))</f>
      </c>
      <c r="H5441">
        <f>IF(DATOS!$G5441&lt;&gt;"EX",0,--(COUNTIFS(nNIA,DATOS!$A5441,nCURSO,DATOS!$D5441,nESPEC,DATOS!$E5441,nASIG,DATOS!$I5441,nEVAL,"OR")=0))</f>
      </c>
      <c r="I5441">
        <f>IF(DATOS!$I5441="","",IFERROR(VLOOKUP(DATOS!$I5441,CONFIG_ASIGNATURAS!$B$2:$J$91,9,FALSE()),""))</f>
      </c>
    </row>
    <row r="5442">
      <c r="F5442">
        <f>IF(DATOS!$A5442="","",DATOS!$A5442&amp;"|"&amp;DATOS!$D5442&amp;"|"&amp;DATOS!$E5442&amp;"|"&amp;DATOS!$I5442)</f>
      </c>
      <c r="G5442">
        <f>IF(DATOS!$A5442="",0,IF(CONFIG_METADATA!$B$4&lt;&gt;"OR+EX",--(DATOS!$G5442=CONFIG_METADATA!$B$4),IF(DATOS!$G5442="EX",1,IF(DATOS!$G5442="OR",--(COUNTIFS(nNIA,DATOS!$A5442,nCURSO,DATOS!$D5442,nESPEC,DATOS!$E5442,nASIG,DATOS!$I5442,nEVAL,"EX")=0),0))))</f>
      </c>
      <c r="H5442">
        <f>IF(DATOS!$G5442&lt;&gt;"EX",0,--(COUNTIFS(nNIA,DATOS!$A5442,nCURSO,DATOS!$D5442,nESPEC,DATOS!$E5442,nASIG,DATOS!$I5442,nEVAL,"OR")=0))</f>
      </c>
      <c r="I5442">
        <f>IF(DATOS!$I5442="","",IFERROR(VLOOKUP(DATOS!$I5442,CONFIG_ASIGNATURAS!$B$2:$J$91,9,FALSE()),""))</f>
      </c>
    </row>
    <row r="5443">
      <c r="F5443">
        <f>IF(DATOS!$A5443="","",DATOS!$A5443&amp;"|"&amp;DATOS!$D5443&amp;"|"&amp;DATOS!$E5443&amp;"|"&amp;DATOS!$I5443)</f>
      </c>
      <c r="G5443">
        <f>IF(DATOS!$A5443="",0,IF(CONFIG_METADATA!$B$4&lt;&gt;"OR+EX",--(DATOS!$G5443=CONFIG_METADATA!$B$4),IF(DATOS!$G5443="EX",1,IF(DATOS!$G5443="OR",--(COUNTIFS(nNIA,DATOS!$A5443,nCURSO,DATOS!$D5443,nESPEC,DATOS!$E5443,nASIG,DATOS!$I5443,nEVAL,"EX")=0),0))))</f>
      </c>
      <c r="H5443">
        <f>IF(DATOS!$G5443&lt;&gt;"EX",0,--(COUNTIFS(nNIA,DATOS!$A5443,nCURSO,DATOS!$D5443,nESPEC,DATOS!$E5443,nASIG,DATOS!$I5443,nEVAL,"OR")=0))</f>
      </c>
      <c r="I5443">
        <f>IF(DATOS!$I5443="","",IFERROR(VLOOKUP(DATOS!$I5443,CONFIG_ASIGNATURAS!$B$2:$J$91,9,FALSE()),""))</f>
      </c>
    </row>
    <row r="5444">
      <c r="F5444">
        <f>IF(DATOS!$A5444="","",DATOS!$A5444&amp;"|"&amp;DATOS!$D5444&amp;"|"&amp;DATOS!$E5444&amp;"|"&amp;DATOS!$I5444)</f>
      </c>
      <c r="G5444">
        <f>IF(DATOS!$A5444="",0,IF(CONFIG_METADATA!$B$4&lt;&gt;"OR+EX",--(DATOS!$G5444=CONFIG_METADATA!$B$4),IF(DATOS!$G5444="EX",1,IF(DATOS!$G5444="OR",--(COUNTIFS(nNIA,DATOS!$A5444,nCURSO,DATOS!$D5444,nESPEC,DATOS!$E5444,nASIG,DATOS!$I5444,nEVAL,"EX")=0),0))))</f>
      </c>
      <c r="H5444">
        <f>IF(DATOS!$G5444&lt;&gt;"EX",0,--(COUNTIFS(nNIA,DATOS!$A5444,nCURSO,DATOS!$D5444,nESPEC,DATOS!$E5444,nASIG,DATOS!$I5444,nEVAL,"OR")=0))</f>
      </c>
      <c r="I5444">
        <f>IF(DATOS!$I5444="","",IFERROR(VLOOKUP(DATOS!$I5444,CONFIG_ASIGNATURAS!$B$2:$J$91,9,FALSE()),""))</f>
      </c>
    </row>
    <row r="5445">
      <c r="F5445">
        <f>IF(DATOS!$A5445="","",DATOS!$A5445&amp;"|"&amp;DATOS!$D5445&amp;"|"&amp;DATOS!$E5445&amp;"|"&amp;DATOS!$I5445)</f>
      </c>
      <c r="G5445">
        <f>IF(DATOS!$A5445="",0,IF(CONFIG_METADATA!$B$4&lt;&gt;"OR+EX",--(DATOS!$G5445=CONFIG_METADATA!$B$4),IF(DATOS!$G5445="EX",1,IF(DATOS!$G5445="OR",--(COUNTIFS(nNIA,DATOS!$A5445,nCURSO,DATOS!$D5445,nESPEC,DATOS!$E5445,nASIG,DATOS!$I5445,nEVAL,"EX")=0),0))))</f>
      </c>
      <c r="H5445">
        <f>IF(DATOS!$G5445&lt;&gt;"EX",0,--(COUNTIFS(nNIA,DATOS!$A5445,nCURSO,DATOS!$D5445,nESPEC,DATOS!$E5445,nASIG,DATOS!$I5445,nEVAL,"OR")=0))</f>
      </c>
      <c r="I5445">
        <f>IF(DATOS!$I5445="","",IFERROR(VLOOKUP(DATOS!$I5445,CONFIG_ASIGNATURAS!$B$2:$J$91,9,FALSE()),""))</f>
      </c>
    </row>
    <row r="5446">
      <c r="F5446">
        <f>IF(DATOS!$A5446="","",DATOS!$A5446&amp;"|"&amp;DATOS!$D5446&amp;"|"&amp;DATOS!$E5446&amp;"|"&amp;DATOS!$I5446)</f>
      </c>
      <c r="G5446">
        <f>IF(DATOS!$A5446="",0,IF(CONFIG_METADATA!$B$4&lt;&gt;"OR+EX",--(DATOS!$G5446=CONFIG_METADATA!$B$4),IF(DATOS!$G5446="EX",1,IF(DATOS!$G5446="OR",--(COUNTIFS(nNIA,DATOS!$A5446,nCURSO,DATOS!$D5446,nESPEC,DATOS!$E5446,nASIG,DATOS!$I5446,nEVAL,"EX")=0),0))))</f>
      </c>
      <c r="H5446">
        <f>IF(DATOS!$G5446&lt;&gt;"EX",0,--(COUNTIFS(nNIA,DATOS!$A5446,nCURSO,DATOS!$D5446,nESPEC,DATOS!$E5446,nASIG,DATOS!$I5446,nEVAL,"OR")=0))</f>
      </c>
      <c r="I5446">
        <f>IF(DATOS!$I5446="","",IFERROR(VLOOKUP(DATOS!$I5446,CONFIG_ASIGNATURAS!$B$2:$J$91,9,FALSE()),""))</f>
      </c>
    </row>
    <row r="5447">
      <c r="F5447">
        <f>IF(DATOS!$A5447="","",DATOS!$A5447&amp;"|"&amp;DATOS!$D5447&amp;"|"&amp;DATOS!$E5447&amp;"|"&amp;DATOS!$I5447)</f>
      </c>
      <c r="G5447">
        <f>IF(DATOS!$A5447="",0,IF(CONFIG_METADATA!$B$4&lt;&gt;"OR+EX",--(DATOS!$G5447=CONFIG_METADATA!$B$4),IF(DATOS!$G5447="EX",1,IF(DATOS!$G5447="OR",--(COUNTIFS(nNIA,DATOS!$A5447,nCURSO,DATOS!$D5447,nESPEC,DATOS!$E5447,nASIG,DATOS!$I5447,nEVAL,"EX")=0),0))))</f>
      </c>
      <c r="H5447">
        <f>IF(DATOS!$G5447&lt;&gt;"EX",0,--(COUNTIFS(nNIA,DATOS!$A5447,nCURSO,DATOS!$D5447,nESPEC,DATOS!$E5447,nASIG,DATOS!$I5447,nEVAL,"OR")=0))</f>
      </c>
      <c r="I5447">
        <f>IF(DATOS!$I5447="","",IFERROR(VLOOKUP(DATOS!$I5447,CONFIG_ASIGNATURAS!$B$2:$J$91,9,FALSE()),""))</f>
      </c>
    </row>
    <row r="5448">
      <c r="F5448">
        <f>IF(DATOS!$A5448="","",DATOS!$A5448&amp;"|"&amp;DATOS!$D5448&amp;"|"&amp;DATOS!$E5448&amp;"|"&amp;DATOS!$I5448)</f>
      </c>
      <c r="G5448">
        <f>IF(DATOS!$A5448="",0,IF(CONFIG_METADATA!$B$4&lt;&gt;"OR+EX",--(DATOS!$G5448=CONFIG_METADATA!$B$4),IF(DATOS!$G5448="EX",1,IF(DATOS!$G5448="OR",--(COUNTIFS(nNIA,DATOS!$A5448,nCURSO,DATOS!$D5448,nESPEC,DATOS!$E5448,nASIG,DATOS!$I5448,nEVAL,"EX")=0),0))))</f>
      </c>
      <c r="H5448">
        <f>IF(DATOS!$G5448&lt;&gt;"EX",0,--(COUNTIFS(nNIA,DATOS!$A5448,nCURSO,DATOS!$D5448,nESPEC,DATOS!$E5448,nASIG,DATOS!$I5448,nEVAL,"OR")=0))</f>
      </c>
      <c r="I5448">
        <f>IF(DATOS!$I5448="","",IFERROR(VLOOKUP(DATOS!$I5448,CONFIG_ASIGNATURAS!$B$2:$J$91,9,FALSE()),""))</f>
      </c>
    </row>
    <row r="5449">
      <c r="F5449">
        <f>IF(DATOS!$A5449="","",DATOS!$A5449&amp;"|"&amp;DATOS!$D5449&amp;"|"&amp;DATOS!$E5449&amp;"|"&amp;DATOS!$I5449)</f>
      </c>
      <c r="G5449">
        <f>IF(DATOS!$A5449="",0,IF(CONFIG_METADATA!$B$4&lt;&gt;"OR+EX",--(DATOS!$G5449=CONFIG_METADATA!$B$4),IF(DATOS!$G5449="EX",1,IF(DATOS!$G5449="OR",--(COUNTIFS(nNIA,DATOS!$A5449,nCURSO,DATOS!$D5449,nESPEC,DATOS!$E5449,nASIG,DATOS!$I5449,nEVAL,"EX")=0),0))))</f>
      </c>
      <c r="H5449">
        <f>IF(DATOS!$G5449&lt;&gt;"EX",0,--(COUNTIFS(nNIA,DATOS!$A5449,nCURSO,DATOS!$D5449,nESPEC,DATOS!$E5449,nASIG,DATOS!$I5449,nEVAL,"OR")=0))</f>
      </c>
      <c r="I5449">
        <f>IF(DATOS!$I5449="","",IFERROR(VLOOKUP(DATOS!$I5449,CONFIG_ASIGNATURAS!$B$2:$J$91,9,FALSE()),""))</f>
      </c>
    </row>
    <row r="5450">
      <c r="F5450">
        <f>IF(DATOS!$A5450="","",DATOS!$A5450&amp;"|"&amp;DATOS!$D5450&amp;"|"&amp;DATOS!$E5450&amp;"|"&amp;DATOS!$I5450)</f>
      </c>
      <c r="G5450">
        <f>IF(DATOS!$A5450="",0,IF(CONFIG_METADATA!$B$4&lt;&gt;"OR+EX",--(DATOS!$G5450=CONFIG_METADATA!$B$4),IF(DATOS!$G5450="EX",1,IF(DATOS!$G5450="OR",--(COUNTIFS(nNIA,DATOS!$A5450,nCURSO,DATOS!$D5450,nESPEC,DATOS!$E5450,nASIG,DATOS!$I5450,nEVAL,"EX")=0),0))))</f>
      </c>
      <c r="H5450">
        <f>IF(DATOS!$G5450&lt;&gt;"EX",0,--(COUNTIFS(nNIA,DATOS!$A5450,nCURSO,DATOS!$D5450,nESPEC,DATOS!$E5450,nASIG,DATOS!$I5450,nEVAL,"OR")=0))</f>
      </c>
      <c r="I5450">
        <f>IF(DATOS!$I5450="","",IFERROR(VLOOKUP(DATOS!$I5450,CONFIG_ASIGNATURAS!$B$2:$J$91,9,FALSE()),""))</f>
      </c>
    </row>
    <row r="5451">
      <c r="F5451">
        <f>IF(DATOS!$A5451="","",DATOS!$A5451&amp;"|"&amp;DATOS!$D5451&amp;"|"&amp;DATOS!$E5451&amp;"|"&amp;DATOS!$I5451)</f>
      </c>
      <c r="G5451">
        <f>IF(DATOS!$A5451="",0,IF(CONFIG_METADATA!$B$4&lt;&gt;"OR+EX",--(DATOS!$G5451=CONFIG_METADATA!$B$4),IF(DATOS!$G5451="EX",1,IF(DATOS!$G5451="OR",--(COUNTIFS(nNIA,DATOS!$A5451,nCURSO,DATOS!$D5451,nESPEC,DATOS!$E5451,nASIG,DATOS!$I5451,nEVAL,"EX")=0),0))))</f>
      </c>
      <c r="H5451">
        <f>IF(DATOS!$G5451&lt;&gt;"EX",0,--(COUNTIFS(nNIA,DATOS!$A5451,nCURSO,DATOS!$D5451,nESPEC,DATOS!$E5451,nASIG,DATOS!$I5451,nEVAL,"OR")=0))</f>
      </c>
      <c r="I5451">
        <f>IF(DATOS!$I5451="","",IFERROR(VLOOKUP(DATOS!$I5451,CONFIG_ASIGNATURAS!$B$2:$J$91,9,FALSE()),""))</f>
      </c>
    </row>
    <row r="5452">
      <c r="F5452">
        <f>IF(DATOS!$A5452="","",DATOS!$A5452&amp;"|"&amp;DATOS!$D5452&amp;"|"&amp;DATOS!$E5452&amp;"|"&amp;DATOS!$I5452)</f>
      </c>
      <c r="G5452">
        <f>IF(DATOS!$A5452="",0,IF(CONFIG_METADATA!$B$4&lt;&gt;"OR+EX",--(DATOS!$G5452=CONFIG_METADATA!$B$4),IF(DATOS!$G5452="EX",1,IF(DATOS!$G5452="OR",--(COUNTIFS(nNIA,DATOS!$A5452,nCURSO,DATOS!$D5452,nESPEC,DATOS!$E5452,nASIG,DATOS!$I5452,nEVAL,"EX")=0),0))))</f>
      </c>
      <c r="H5452">
        <f>IF(DATOS!$G5452&lt;&gt;"EX",0,--(COUNTIFS(nNIA,DATOS!$A5452,nCURSO,DATOS!$D5452,nESPEC,DATOS!$E5452,nASIG,DATOS!$I5452,nEVAL,"OR")=0))</f>
      </c>
      <c r="I5452">
        <f>IF(DATOS!$I5452="","",IFERROR(VLOOKUP(DATOS!$I5452,CONFIG_ASIGNATURAS!$B$2:$J$91,9,FALSE()),""))</f>
      </c>
    </row>
    <row r="5453">
      <c r="F5453">
        <f>IF(DATOS!$A5453="","",DATOS!$A5453&amp;"|"&amp;DATOS!$D5453&amp;"|"&amp;DATOS!$E5453&amp;"|"&amp;DATOS!$I5453)</f>
      </c>
      <c r="G5453">
        <f>IF(DATOS!$A5453="",0,IF(CONFIG_METADATA!$B$4&lt;&gt;"OR+EX",--(DATOS!$G5453=CONFIG_METADATA!$B$4),IF(DATOS!$G5453="EX",1,IF(DATOS!$G5453="OR",--(COUNTIFS(nNIA,DATOS!$A5453,nCURSO,DATOS!$D5453,nESPEC,DATOS!$E5453,nASIG,DATOS!$I5453,nEVAL,"EX")=0),0))))</f>
      </c>
      <c r="H5453">
        <f>IF(DATOS!$G5453&lt;&gt;"EX",0,--(COUNTIFS(nNIA,DATOS!$A5453,nCURSO,DATOS!$D5453,nESPEC,DATOS!$E5453,nASIG,DATOS!$I5453,nEVAL,"OR")=0))</f>
      </c>
      <c r="I5453">
        <f>IF(DATOS!$I5453="","",IFERROR(VLOOKUP(DATOS!$I5453,CONFIG_ASIGNATURAS!$B$2:$J$91,9,FALSE()),""))</f>
      </c>
    </row>
    <row r="5454">
      <c r="F5454">
        <f>IF(DATOS!$A5454="","",DATOS!$A5454&amp;"|"&amp;DATOS!$D5454&amp;"|"&amp;DATOS!$E5454&amp;"|"&amp;DATOS!$I5454)</f>
      </c>
      <c r="G5454">
        <f>IF(DATOS!$A5454="",0,IF(CONFIG_METADATA!$B$4&lt;&gt;"OR+EX",--(DATOS!$G5454=CONFIG_METADATA!$B$4),IF(DATOS!$G5454="EX",1,IF(DATOS!$G5454="OR",--(COUNTIFS(nNIA,DATOS!$A5454,nCURSO,DATOS!$D5454,nESPEC,DATOS!$E5454,nASIG,DATOS!$I5454,nEVAL,"EX")=0),0))))</f>
      </c>
      <c r="H5454">
        <f>IF(DATOS!$G5454&lt;&gt;"EX",0,--(COUNTIFS(nNIA,DATOS!$A5454,nCURSO,DATOS!$D5454,nESPEC,DATOS!$E5454,nASIG,DATOS!$I5454,nEVAL,"OR")=0))</f>
      </c>
      <c r="I5454">
        <f>IF(DATOS!$I5454="","",IFERROR(VLOOKUP(DATOS!$I5454,CONFIG_ASIGNATURAS!$B$2:$J$91,9,FALSE()),""))</f>
      </c>
    </row>
    <row r="5455">
      <c r="F5455">
        <f>IF(DATOS!$A5455="","",DATOS!$A5455&amp;"|"&amp;DATOS!$D5455&amp;"|"&amp;DATOS!$E5455&amp;"|"&amp;DATOS!$I5455)</f>
      </c>
      <c r="G5455">
        <f>IF(DATOS!$A5455="",0,IF(CONFIG_METADATA!$B$4&lt;&gt;"OR+EX",--(DATOS!$G5455=CONFIG_METADATA!$B$4),IF(DATOS!$G5455="EX",1,IF(DATOS!$G5455="OR",--(COUNTIFS(nNIA,DATOS!$A5455,nCURSO,DATOS!$D5455,nESPEC,DATOS!$E5455,nASIG,DATOS!$I5455,nEVAL,"EX")=0),0))))</f>
      </c>
      <c r="H5455">
        <f>IF(DATOS!$G5455&lt;&gt;"EX",0,--(COUNTIFS(nNIA,DATOS!$A5455,nCURSO,DATOS!$D5455,nESPEC,DATOS!$E5455,nASIG,DATOS!$I5455,nEVAL,"OR")=0))</f>
      </c>
      <c r="I5455">
        <f>IF(DATOS!$I5455="","",IFERROR(VLOOKUP(DATOS!$I5455,CONFIG_ASIGNATURAS!$B$2:$J$91,9,FALSE()),""))</f>
      </c>
    </row>
    <row r="5456">
      <c r="F5456">
        <f>IF(DATOS!$A5456="","",DATOS!$A5456&amp;"|"&amp;DATOS!$D5456&amp;"|"&amp;DATOS!$E5456&amp;"|"&amp;DATOS!$I5456)</f>
      </c>
      <c r="G5456">
        <f>IF(DATOS!$A5456="",0,IF(CONFIG_METADATA!$B$4&lt;&gt;"OR+EX",--(DATOS!$G5456=CONFIG_METADATA!$B$4),IF(DATOS!$G5456="EX",1,IF(DATOS!$G5456="OR",--(COUNTIFS(nNIA,DATOS!$A5456,nCURSO,DATOS!$D5456,nESPEC,DATOS!$E5456,nASIG,DATOS!$I5456,nEVAL,"EX")=0),0))))</f>
      </c>
      <c r="H5456">
        <f>IF(DATOS!$G5456&lt;&gt;"EX",0,--(COUNTIFS(nNIA,DATOS!$A5456,nCURSO,DATOS!$D5456,nESPEC,DATOS!$E5456,nASIG,DATOS!$I5456,nEVAL,"OR")=0))</f>
      </c>
      <c r="I5456">
        <f>IF(DATOS!$I5456="","",IFERROR(VLOOKUP(DATOS!$I5456,CONFIG_ASIGNATURAS!$B$2:$J$91,9,FALSE()),""))</f>
      </c>
    </row>
    <row r="5457">
      <c r="F5457">
        <f>IF(DATOS!$A5457="","",DATOS!$A5457&amp;"|"&amp;DATOS!$D5457&amp;"|"&amp;DATOS!$E5457&amp;"|"&amp;DATOS!$I5457)</f>
      </c>
      <c r="G5457">
        <f>IF(DATOS!$A5457="",0,IF(CONFIG_METADATA!$B$4&lt;&gt;"OR+EX",--(DATOS!$G5457=CONFIG_METADATA!$B$4),IF(DATOS!$G5457="EX",1,IF(DATOS!$G5457="OR",--(COUNTIFS(nNIA,DATOS!$A5457,nCURSO,DATOS!$D5457,nESPEC,DATOS!$E5457,nASIG,DATOS!$I5457,nEVAL,"EX")=0),0))))</f>
      </c>
      <c r="H5457">
        <f>IF(DATOS!$G5457&lt;&gt;"EX",0,--(COUNTIFS(nNIA,DATOS!$A5457,nCURSO,DATOS!$D5457,nESPEC,DATOS!$E5457,nASIG,DATOS!$I5457,nEVAL,"OR")=0))</f>
      </c>
      <c r="I5457">
        <f>IF(DATOS!$I5457="","",IFERROR(VLOOKUP(DATOS!$I5457,CONFIG_ASIGNATURAS!$B$2:$J$91,9,FALSE()),""))</f>
      </c>
    </row>
    <row r="5458">
      <c r="F5458">
        <f>IF(DATOS!$A5458="","",DATOS!$A5458&amp;"|"&amp;DATOS!$D5458&amp;"|"&amp;DATOS!$E5458&amp;"|"&amp;DATOS!$I5458)</f>
      </c>
      <c r="G5458">
        <f>IF(DATOS!$A5458="",0,IF(CONFIG_METADATA!$B$4&lt;&gt;"OR+EX",--(DATOS!$G5458=CONFIG_METADATA!$B$4),IF(DATOS!$G5458="EX",1,IF(DATOS!$G5458="OR",--(COUNTIFS(nNIA,DATOS!$A5458,nCURSO,DATOS!$D5458,nESPEC,DATOS!$E5458,nASIG,DATOS!$I5458,nEVAL,"EX")=0),0))))</f>
      </c>
      <c r="H5458">
        <f>IF(DATOS!$G5458&lt;&gt;"EX",0,--(COUNTIFS(nNIA,DATOS!$A5458,nCURSO,DATOS!$D5458,nESPEC,DATOS!$E5458,nASIG,DATOS!$I5458,nEVAL,"OR")=0))</f>
      </c>
      <c r="I5458">
        <f>IF(DATOS!$I5458="","",IFERROR(VLOOKUP(DATOS!$I5458,CONFIG_ASIGNATURAS!$B$2:$J$91,9,FALSE()),""))</f>
      </c>
    </row>
    <row r="5459">
      <c r="F5459">
        <f>IF(DATOS!$A5459="","",DATOS!$A5459&amp;"|"&amp;DATOS!$D5459&amp;"|"&amp;DATOS!$E5459&amp;"|"&amp;DATOS!$I5459)</f>
      </c>
      <c r="G5459">
        <f>IF(DATOS!$A5459="",0,IF(CONFIG_METADATA!$B$4&lt;&gt;"OR+EX",--(DATOS!$G5459=CONFIG_METADATA!$B$4),IF(DATOS!$G5459="EX",1,IF(DATOS!$G5459="OR",--(COUNTIFS(nNIA,DATOS!$A5459,nCURSO,DATOS!$D5459,nESPEC,DATOS!$E5459,nASIG,DATOS!$I5459,nEVAL,"EX")=0),0))))</f>
      </c>
      <c r="H5459">
        <f>IF(DATOS!$G5459&lt;&gt;"EX",0,--(COUNTIFS(nNIA,DATOS!$A5459,nCURSO,DATOS!$D5459,nESPEC,DATOS!$E5459,nASIG,DATOS!$I5459,nEVAL,"OR")=0))</f>
      </c>
      <c r="I5459">
        <f>IF(DATOS!$I5459="","",IFERROR(VLOOKUP(DATOS!$I5459,CONFIG_ASIGNATURAS!$B$2:$J$91,9,FALSE()),""))</f>
      </c>
    </row>
    <row r="5460">
      <c r="F5460">
        <f>IF(DATOS!$A5460="","",DATOS!$A5460&amp;"|"&amp;DATOS!$D5460&amp;"|"&amp;DATOS!$E5460&amp;"|"&amp;DATOS!$I5460)</f>
      </c>
      <c r="G5460">
        <f>IF(DATOS!$A5460="",0,IF(CONFIG_METADATA!$B$4&lt;&gt;"OR+EX",--(DATOS!$G5460=CONFIG_METADATA!$B$4),IF(DATOS!$G5460="EX",1,IF(DATOS!$G5460="OR",--(COUNTIFS(nNIA,DATOS!$A5460,nCURSO,DATOS!$D5460,nESPEC,DATOS!$E5460,nASIG,DATOS!$I5460,nEVAL,"EX")=0),0))))</f>
      </c>
      <c r="H5460">
        <f>IF(DATOS!$G5460&lt;&gt;"EX",0,--(COUNTIFS(nNIA,DATOS!$A5460,nCURSO,DATOS!$D5460,nESPEC,DATOS!$E5460,nASIG,DATOS!$I5460,nEVAL,"OR")=0))</f>
      </c>
      <c r="I5460">
        <f>IF(DATOS!$I5460="","",IFERROR(VLOOKUP(DATOS!$I5460,CONFIG_ASIGNATURAS!$B$2:$J$91,9,FALSE()),""))</f>
      </c>
    </row>
    <row r="5461">
      <c r="F5461">
        <f>IF(DATOS!$A5461="","",DATOS!$A5461&amp;"|"&amp;DATOS!$D5461&amp;"|"&amp;DATOS!$E5461&amp;"|"&amp;DATOS!$I5461)</f>
      </c>
      <c r="G5461">
        <f>IF(DATOS!$A5461="",0,IF(CONFIG_METADATA!$B$4&lt;&gt;"OR+EX",--(DATOS!$G5461=CONFIG_METADATA!$B$4),IF(DATOS!$G5461="EX",1,IF(DATOS!$G5461="OR",--(COUNTIFS(nNIA,DATOS!$A5461,nCURSO,DATOS!$D5461,nESPEC,DATOS!$E5461,nASIG,DATOS!$I5461,nEVAL,"EX")=0),0))))</f>
      </c>
      <c r="H5461">
        <f>IF(DATOS!$G5461&lt;&gt;"EX",0,--(COUNTIFS(nNIA,DATOS!$A5461,nCURSO,DATOS!$D5461,nESPEC,DATOS!$E5461,nASIG,DATOS!$I5461,nEVAL,"OR")=0))</f>
      </c>
      <c r="I5461">
        <f>IF(DATOS!$I5461="","",IFERROR(VLOOKUP(DATOS!$I5461,CONFIG_ASIGNATURAS!$B$2:$J$91,9,FALSE()),""))</f>
      </c>
    </row>
    <row r="5462">
      <c r="F5462">
        <f>IF(DATOS!$A5462="","",DATOS!$A5462&amp;"|"&amp;DATOS!$D5462&amp;"|"&amp;DATOS!$E5462&amp;"|"&amp;DATOS!$I5462)</f>
      </c>
      <c r="G5462">
        <f>IF(DATOS!$A5462="",0,IF(CONFIG_METADATA!$B$4&lt;&gt;"OR+EX",--(DATOS!$G5462=CONFIG_METADATA!$B$4),IF(DATOS!$G5462="EX",1,IF(DATOS!$G5462="OR",--(COUNTIFS(nNIA,DATOS!$A5462,nCURSO,DATOS!$D5462,nESPEC,DATOS!$E5462,nASIG,DATOS!$I5462,nEVAL,"EX")=0),0))))</f>
      </c>
      <c r="H5462">
        <f>IF(DATOS!$G5462&lt;&gt;"EX",0,--(COUNTIFS(nNIA,DATOS!$A5462,nCURSO,DATOS!$D5462,nESPEC,DATOS!$E5462,nASIG,DATOS!$I5462,nEVAL,"OR")=0))</f>
      </c>
      <c r="I5462">
        <f>IF(DATOS!$I5462="","",IFERROR(VLOOKUP(DATOS!$I5462,CONFIG_ASIGNATURAS!$B$2:$J$91,9,FALSE()),""))</f>
      </c>
    </row>
    <row r="5463">
      <c r="F5463">
        <f>IF(DATOS!$A5463="","",DATOS!$A5463&amp;"|"&amp;DATOS!$D5463&amp;"|"&amp;DATOS!$E5463&amp;"|"&amp;DATOS!$I5463)</f>
      </c>
      <c r="G5463">
        <f>IF(DATOS!$A5463="",0,IF(CONFIG_METADATA!$B$4&lt;&gt;"OR+EX",--(DATOS!$G5463=CONFIG_METADATA!$B$4),IF(DATOS!$G5463="EX",1,IF(DATOS!$G5463="OR",--(COUNTIFS(nNIA,DATOS!$A5463,nCURSO,DATOS!$D5463,nESPEC,DATOS!$E5463,nASIG,DATOS!$I5463,nEVAL,"EX")=0),0))))</f>
      </c>
      <c r="H5463">
        <f>IF(DATOS!$G5463&lt;&gt;"EX",0,--(COUNTIFS(nNIA,DATOS!$A5463,nCURSO,DATOS!$D5463,nESPEC,DATOS!$E5463,nASIG,DATOS!$I5463,nEVAL,"OR")=0))</f>
      </c>
      <c r="I5463">
        <f>IF(DATOS!$I5463="","",IFERROR(VLOOKUP(DATOS!$I5463,CONFIG_ASIGNATURAS!$B$2:$J$91,9,FALSE()),""))</f>
      </c>
    </row>
    <row r="5464">
      <c r="F5464">
        <f>IF(DATOS!$A5464="","",DATOS!$A5464&amp;"|"&amp;DATOS!$D5464&amp;"|"&amp;DATOS!$E5464&amp;"|"&amp;DATOS!$I5464)</f>
      </c>
      <c r="G5464">
        <f>IF(DATOS!$A5464="",0,IF(CONFIG_METADATA!$B$4&lt;&gt;"OR+EX",--(DATOS!$G5464=CONFIG_METADATA!$B$4),IF(DATOS!$G5464="EX",1,IF(DATOS!$G5464="OR",--(COUNTIFS(nNIA,DATOS!$A5464,nCURSO,DATOS!$D5464,nESPEC,DATOS!$E5464,nASIG,DATOS!$I5464,nEVAL,"EX")=0),0))))</f>
      </c>
      <c r="H5464">
        <f>IF(DATOS!$G5464&lt;&gt;"EX",0,--(COUNTIFS(nNIA,DATOS!$A5464,nCURSO,DATOS!$D5464,nESPEC,DATOS!$E5464,nASIG,DATOS!$I5464,nEVAL,"OR")=0))</f>
      </c>
      <c r="I5464">
        <f>IF(DATOS!$I5464="","",IFERROR(VLOOKUP(DATOS!$I5464,CONFIG_ASIGNATURAS!$B$2:$J$91,9,FALSE()),""))</f>
      </c>
    </row>
    <row r="5465">
      <c r="F5465">
        <f>IF(DATOS!$A5465="","",DATOS!$A5465&amp;"|"&amp;DATOS!$D5465&amp;"|"&amp;DATOS!$E5465&amp;"|"&amp;DATOS!$I5465)</f>
      </c>
      <c r="G5465">
        <f>IF(DATOS!$A5465="",0,IF(CONFIG_METADATA!$B$4&lt;&gt;"OR+EX",--(DATOS!$G5465=CONFIG_METADATA!$B$4),IF(DATOS!$G5465="EX",1,IF(DATOS!$G5465="OR",--(COUNTIFS(nNIA,DATOS!$A5465,nCURSO,DATOS!$D5465,nESPEC,DATOS!$E5465,nASIG,DATOS!$I5465,nEVAL,"EX")=0),0))))</f>
      </c>
      <c r="H5465">
        <f>IF(DATOS!$G5465&lt;&gt;"EX",0,--(COUNTIFS(nNIA,DATOS!$A5465,nCURSO,DATOS!$D5465,nESPEC,DATOS!$E5465,nASIG,DATOS!$I5465,nEVAL,"OR")=0))</f>
      </c>
      <c r="I5465">
        <f>IF(DATOS!$I5465="","",IFERROR(VLOOKUP(DATOS!$I5465,CONFIG_ASIGNATURAS!$B$2:$J$91,9,FALSE()),""))</f>
      </c>
    </row>
    <row r="5466">
      <c r="F5466">
        <f>IF(DATOS!$A5466="","",DATOS!$A5466&amp;"|"&amp;DATOS!$D5466&amp;"|"&amp;DATOS!$E5466&amp;"|"&amp;DATOS!$I5466)</f>
      </c>
      <c r="G5466">
        <f>IF(DATOS!$A5466="",0,IF(CONFIG_METADATA!$B$4&lt;&gt;"OR+EX",--(DATOS!$G5466=CONFIG_METADATA!$B$4),IF(DATOS!$G5466="EX",1,IF(DATOS!$G5466="OR",--(COUNTIFS(nNIA,DATOS!$A5466,nCURSO,DATOS!$D5466,nESPEC,DATOS!$E5466,nASIG,DATOS!$I5466,nEVAL,"EX")=0),0))))</f>
      </c>
      <c r="H5466">
        <f>IF(DATOS!$G5466&lt;&gt;"EX",0,--(COUNTIFS(nNIA,DATOS!$A5466,nCURSO,DATOS!$D5466,nESPEC,DATOS!$E5466,nASIG,DATOS!$I5466,nEVAL,"OR")=0))</f>
      </c>
      <c r="I5466">
        <f>IF(DATOS!$I5466="","",IFERROR(VLOOKUP(DATOS!$I5466,CONFIG_ASIGNATURAS!$B$2:$J$91,9,FALSE()),""))</f>
      </c>
    </row>
    <row r="5467">
      <c r="F5467">
        <f>IF(DATOS!$A5467="","",DATOS!$A5467&amp;"|"&amp;DATOS!$D5467&amp;"|"&amp;DATOS!$E5467&amp;"|"&amp;DATOS!$I5467)</f>
      </c>
      <c r="G5467">
        <f>IF(DATOS!$A5467="",0,IF(CONFIG_METADATA!$B$4&lt;&gt;"OR+EX",--(DATOS!$G5467=CONFIG_METADATA!$B$4),IF(DATOS!$G5467="EX",1,IF(DATOS!$G5467="OR",--(COUNTIFS(nNIA,DATOS!$A5467,nCURSO,DATOS!$D5467,nESPEC,DATOS!$E5467,nASIG,DATOS!$I5467,nEVAL,"EX")=0),0))))</f>
      </c>
      <c r="H5467">
        <f>IF(DATOS!$G5467&lt;&gt;"EX",0,--(COUNTIFS(nNIA,DATOS!$A5467,nCURSO,DATOS!$D5467,nESPEC,DATOS!$E5467,nASIG,DATOS!$I5467,nEVAL,"OR")=0))</f>
      </c>
      <c r="I5467">
        <f>IF(DATOS!$I5467="","",IFERROR(VLOOKUP(DATOS!$I5467,CONFIG_ASIGNATURAS!$B$2:$J$91,9,FALSE()),""))</f>
      </c>
    </row>
    <row r="5468">
      <c r="F5468">
        <f>IF(DATOS!$A5468="","",DATOS!$A5468&amp;"|"&amp;DATOS!$D5468&amp;"|"&amp;DATOS!$E5468&amp;"|"&amp;DATOS!$I5468)</f>
      </c>
      <c r="G5468">
        <f>IF(DATOS!$A5468="",0,IF(CONFIG_METADATA!$B$4&lt;&gt;"OR+EX",--(DATOS!$G5468=CONFIG_METADATA!$B$4),IF(DATOS!$G5468="EX",1,IF(DATOS!$G5468="OR",--(COUNTIFS(nNIA,DATOS!$A5468,nCURSO,DATOS!$D5468,nESPEC,DATOS!$E5468,nASIG,DATOS!$I5468,nEVAL,"EX")=0),0))))</f>
      </c>
      <c r="H5468">
        <f>IF(DATOS!$G5468&lt;&gt;"EX",0,--(COUNTIFS(nNIA,DATOS!$A5468,nCURSO,DATOS!$D5468,nESPEC,DATOS!$E5468,nASIG,DATOS!$I5468,nEVAL,"OR")=0))</f>
      </c>
      <c r="I5468">
        <f>IF(DATOS!$I5468="","",IFERROR(VLOOKUP(DATOS!$I5468,CONFIG_ASIGNATURAS!$B$2:$J$91,9,FALSE()),""))</f>
      </c>
    </row>
    <row r="5469">
      <c r="F5469">
        <f>IF(DATOS!$A5469="","",DATOS!$A5469&amp;"|"&amp;DATOS!$D5469&amp;"|"&amp;DATOS!$E5469&amp;"|"&amp;DATOS!$I5469)</f>
      </c>
      <c r="G5469">
        <f>IF(DATOS!$A5469="",0,IF(CONFIG_METADATA!$B$4&lt;&gt;"OR+EX",--(DATOS!$G5469=CONFIG_METADATA!$B$4),IF(DATOS!$G5469="EX",1,IF(DATOS!$G5469="OR",--(COUNTIFS(nNIA,DATOS!$A5469,nCURSO,DATOS!$D5469,nESPEC,DATOS!$E5469,nASIG,DATOS!$I5469,nEVAL,"EX")=0),0))))</f>
      </c>
      <c r="H5469">
        <f>IF(DATOS!$G5469&lt;&gt;"EX",0,--(COUNTIFS(nNIA,DATOS!$A5469,nCURSO,DATOS!$D5469,nESPEC,DATOS!$E5469,nASIG,DATOS!$I5469,nEVAL,"OR")=0))</f>
      </c>
      <c r="I5469">
        <f>IF(DATOS!$I5469="","",IFERROR(VLOOKUP(DATOS!$I5469,CONFIG_ASIGNATURAS!$B$2:$J$91,9,FALSE()),""))</f>
      </c>
    </row>
    <row r="5470">
      <c r="F5470">
        <f>IF(DATOS!$A5470="","",DATOS!$A5470&amp;"|"&amp;DATOS!$D5470&amp;"|"&amp;DATOS!$E5470&amp;"|"&amp;DATOS!$I5470)</f>
      </c>
      <c r="G5470">
        <f>IF(DATOS!$A5470="",0,IF(CONFIG_METADATA!$B$4&lt;&gt;"OR+EX",--(DATOS!$G5470=CONFIG_METADATA!$B$4),IF(DATOS!$G5470="EX",1,IF(DATOS!$G5470="OR",--(COUNTIFS(nNIA,DATOS!$A5470,nCURSO,DATOS!$D5470,nESPEC,DATOS!$E5470,nASIG,DATOS!$I5470,nEVAL,"EX")=0),0))))</f>
      </c>
      <c r="H5470">
        <f>IF(DATOS!$G5470&lt;&gt;"EX",0,--(COUNTIFS(nNIA,DATOS!$A5470,nCURSO,DATOS!$D5470,nESPEC,DATOS!$E5470,nASIG,DATOS!$I5470,nEVAL,"OR")=0))</f>
      </c>
      <c r="I5470">
        <f>IF(DATOS!$I5470="","",IFERROR(VLOOKUP(DATOS!$I5470,CONFIG_ASIGNATURAS!$B$2:$J$91,9,FALSE()),""))</f>
      </c>
    </row>
    <row r="5471">
      <c r="F5471">
        <f>IF(DATOS!$A5471="","",DATOS!$A5471&amp;"|"&amp;DATOS!$D5471&amp;"|"&amp;DATOS!$E5471&amp;"|"&amp;DATOS!$I5471)</f>
      </c>
      <c r="G5471">
        <f>IF(DATOS!$A5471="",0,IF(CONFIG_METADATA!$B$4&lt;&gt;"OR+EX",--(DATOS!$G5471=CONFIG_METADATA!$B$4),IF(DATOS!$G5471="EX",1,IF(DATOS!$G5471="OR",--(COUNTIFS(nNIA,DATOS!$A5471,nCURSO,DATOS!$D5471,nESPEC,DATOS!$E5471,nASIG,DATOS!$I5471,nEVAL,"EX")=0),0))))</f>
      </c>
      <c r="H5471">
        <f>IF(DATOS!$G5471&lt;&gt;"EX",0,--(COUNTIFS(nNIA,DATOS!$A5471,nCURSO,DATOS!$D5471,nESPEC,DATOS!$E5471,nASIG,DATOS!$I5471,nEVAL,"OR")=0))</f>
      </c>
      <c r="I5471">
        <f>IF(DATOS!$I5471="","",IFERROR(VLOOKUP(DATOS!$I5471,CONFIG_ASIGNATURAS!$B$2:$J$91,9,FALSE()),""))</f>
      </c>
    </row>
    <row r="5472">
      <c r="F5472">
        <f>IF(DATOS!$A5472="","",DATOS!$A5472&amp;"|"&amp;DATOS!$D5472&amp;"|"&amp;DATOS!$E5472&amp;"|"&amp;DATOS!$I5472)</f>
      </c>
      <c r="G5472">
        <f>IF(DATOS!$A5472="",0,IF(CONFIG_METADATA!$B$4&lt;&gt;"OR+EX",--(DATOS!$G5472=CONFIG_METADATA!$B$4),IF(DATOS!$G5472="EX",1,IF(DATOS!$G5472="OR",--(COUNTIFS(nNIA,DATOS!$A5472,nCURSO,DATOS!$D5472,nESPEC,DATOS!$E5472,nASIG,DATOS!$I5472,nEVAL,"EX")=0),0))))</f>
      </c>
      <c r="H5472">
        <f>IF(DATOS!$G5472&lt;&gt;"EX",0,--(COUNTIFS(nNIA,DATOS!$A5472,nCURSO,DATOS!$D5472,nESPEC,DATOS!$E5472,nASIG,DATOS!$I5472,nEVAL,"OR")=0))</f>
      </c>
      <c r="I5472">
        <f>IF(DATOS!$I5472="","",IFERROR(VLOOKUP(DATOS!$I5472,CONFIG_ASIGNATURAS!$B$2:$J$91,9,FALSE()),""))</f>
      </c>
    </row>
    <row r="5473">
      <c r="F5473">
        <f>IF(DATOS!$A5473="","",DATOS!$A5473&amp;"|"&amp;DATOS!$D5473&amp;"|"&amp;DATOS!$E5473&amp;"|"&amp;DATOS!$I5473)</f>
      </c>
      <c r="G5473">
        <f>IF(DATOS!$A5473="",0,IF(CONFIG_METADATA!$B$4&lt;&gt;"OR+EX",--(DATOS!$G5473=CONFIG_METADATA!$B$4),IF(DATOS!$G5473="EX",1,IF(DATOS!$G5473="OR",--(COUNTIFS(nNIA,DATOS!$A5473,nCURSO,DATOS!$D5473,nESPEC,DATOS!$E5473,nASIG,DATOS!$I5473,nEVAL,"EX")=0),0))))</f>
      </c>
      <c r="H5473">
        <f>IF(DATOS!$G5473&lt;&gt;"EX",0,--(COUNTIFS(nNIA,DATOS!$A5473,nCURSO,DATOS!$D5473,nESPEC,DATOS!$E5473,nASIG,DATOS!$I5473,nEVAL,"OR")=0))</f>
      </c>
      <c r="I5473">
        <f>IF(DATOS!$I5473="","",IFERROR(VLOOKUP(DATOS!$I5473,CONFIG_ASIGNATURAS!$B$2:$J$91,9,FALSE()),""))</f>
      </c>
    </row>
    <row r="5474">
      <c r="F5474">
        <f>IF(DATOS!$A5474="","",DATOS!$A5474&amp;"|"&amp;DATOS!$D5474&amp;"|"&amp;DATOS!$E5474&amp;"|"&amp;DATOS!$I5474)</f>
      </c>
      <c r="G5474">
        <f>IF(DATOS!$A5474="",0,IF(CONFIG_METADATA!$B$4&lt;&gt;"OR+EX",--(DATOS!$G5474=CONFIG_METADATA!$B$4),IF(DATOS!$G5474="EX",1,IF(DATOS!$G5474="OR",--(COUNTIFS(nNIA,DATOS!$A5474,nCURSO,DATOS!$D5474,nESPEC,DATOS!$E5474,nASIG,DATOS!$I5474,nEVAL,"EX")=0),0))))</f>
      </c>
      <c r="H5474">
        <f>IF(DATOS!$G5474&lt;&gt;"EX",0,--(COUNTIFS(nNIA,DATOS!$A5474,nCURSO,DATOS!$D5474,nESPEC,DATOS!$E5474,nASIG,DATOS!$I5474,nEVAL,"OR")=0))</f>
      </c>
      <c r="I5474">
        <f>IF(DATOS!$I5474="","",IFERROR(VLOOKUP(DATOS!$I5474,CONFIG_ASIGNATURAS!$B$2:$J$91,9,FALSE()),""))</f>
      </c>
    </row>
    <row r="5475">
      <c r="F5475">
        <f>IF(DATOS!$A5475="","",DATOS!$A5475&amp;"|"&amp;DATOS!$D5475&amp;"|"&amp;DATOS!$E5475&amp;"|"&amp;DATOS!$I5475)</f>
      </c>
      <c r="G5475">
        <f>IF(DATOS!$A5475="",0,IF(CONFIG_METADATA!$B$4&lt;&gt;"OR+EX",--(DATOS!$G5475=CONFIG_METADATA!$B$4),IF(DATOS!$G5475="EX",1,IF(DATOS!$G5475="OR",--(COUNTIFS(nNIA,DATOS!$A5475,nCURSO,DATOS!$D5475,nESPEC,DATOS!$E5475,nASIG,DATOS!$I5475,nEVAL,"EX")=0),0))))</f>
      </c>
      <c r="H5475">
        <f>IF(DATOS!$G5475&lt;&gt;"EX",0,--(COUNTIFS(nNIA,DATOS!$A5475,nCURSO,DATOS!$D5475,nESPEC,DATOS!$E5475,nASIG,DATOS!$I5475,nEVAL,"OR")=0))</f>
      </c>
      <c r="I5475">
        <f>IF(DATOS!$I5475="","",IFERROR(VLOOKUP(DATOS!$I5475,CONFIG_ASIGNATURAS!$B$2:$J$91,9,FALSE()),""))</f>
      </c>
    </row>
    <row r="5476">
      <c r="F5476">
        <f>IF(DATOS!$A5476="","",DATOS!$A5476&amp;"|"&amp;DATOS!$D5476&amp;"|"&amp;DATOS!$E5476&amp;"|"&amp;DATOS!$I5476)</f>
      </c>
      <c r="G5476">
        <f>IF(DATOS!$A5476="",0,IF(CONFIG_METADATA!$B$4&lt;&gt;"OR+EX",--(DATOS!$G5476=CONFIG_METADATA!$B$4),IF(DATOS!$G5476="EX",1,IF(DATOS!$G5476="OR",--(COUNTIFS(nNIA,DATOS!$A5476,nCURSO,DATOS!$D5476,nESPEC,DATOS!$E5476,nASIG,DATOS!$I5476,nEVAL,"EX")=0),0))))</f>
      </c>
      <c r="H5476">
        <f>IF(DATOS!$G5476&lt;&gt;"EX",0,--(COUNTIFS(nNIA,DATOS!$A5476,nCURSO,DATOS!$D5476,nESPEC,DATOS!$E5476,nASIG,DATOS!$I5476,nEVAL,"OR")=0))</f>
      </c>
      <c r="I5476">
        <f>IF(DATOS!$I5476="","",IFERROR(VLOOKUP(DATOS!$I5476,CONFIG_ASIGNATURAS!$B$2:$J$91,9,FALSE()),""))</f>
      </c>
    </row>
    <row r="5477">
      <c r="F5477">
        <f>IF(DATOS!$A5477="","",DATOS!$A5477&amp;"|"&amp;DATOS!$D5477&amp;"|"&amp;DATOS!$E5477&amp;"|"&amp;DATOS!$I5477)</f>
      </c>
      <c r="G5477">
        <f>IF(DATOS!$A5477="",0,IF(CONFIG_METADATA!$B$4&lt;&gt;"OR+EX",--(DATOS!$G5477=CONFIG_METADATA!$B$4),IF(DATOS!$G5477="EX",1,IF(DATOS!$G5477="OR",--(COUNTIFS(nNIA,DATOS!$A5477,nCURSO,DATOS!$D5477,nESPEC,DATOS!$E5477,nASIG,DATOS!$I5477,nEVAL,"EX")=0),0))))</f>
      </c>
      <c r="H5477">
        <f>IF(DATOS!$G5477&lt;&gt;"EX",0,--(COUNTIFS(nNIA,DATOS!$A5477,nCURSO,DATOS!$D5477,nESPEC,DATOS!$E5477,nASIG,DATOS!$I5477,nEVAL,"OR")=0))</f>
      </c>
      <c r="I5477">
        <f>IF(DATOS!$I5477="","",IFERROR(VLOOKUP(DATOS!$I5477,CONFIG_ASIGNATURAS!$B$2:$J$91,9,FALSE()),""))</f>
      </c>
    </row>
    <row r="5478">
      <c r="F5478">
        <f>IF(DATOS!$A5478="","",DATOS!$A5478&amp;"|"&amp;DATOS!$D5478&amp;"|"&amp;DATOS!$E5478&amp;"|"&amp;DATOS!$I5478)</f>
      </c>
      <c r="G5478">
        <f>IF(DATOS!$A5478="",0,IF(CONFIG_METADATA!$B$4&lt;&gt;"OR+EX",--(DATOS!$G5478=CONFIG_METADATA!$B$4),IF(DATOS!$G5478="EX",1,IF(DATOS!$G5478="OR",--(COUNTIFS(nNIA,DATOS!$A5478,nCURSO,DATOS!$D5478,nESPEC,DATOS!$E5478,nASIG,DATOS!$I5478,nEVAL,"EX")=0),0))))</f>
      </c>
      <c r="H5478">
        <f>IF(DATOS!$G5478&lt;&gt;"EX",0,--(COUNTIFS(nNIA,DATOS!$A5478,nCURSO,DATOS!$D5478,nESPEC,DATOS!$E5478,nASIG,DATOS!$I5478,nEVAL,"OR")=0))</f>
      </c>
      <c r="I5478">
        <f>IF(DATOS!$I5478="","",IFERROR(VLOOKUP(DATOS!$I5478,CONFIG_ASIGNATURAS!$B$2:$J$91,9,FALSE()),""))</f>
      </c>
    </row>
    <row r="5479">
      <c r="F5479">
        <f>IF(DATOS!$A5479="","",DATOS!$A5479&amp;"|"&amp;DATOS!$D5479&amp;"|"&amp;DATOS!$E5479&amp;"|"&amp;DATOS!$I5479)</f>
      </c>
      <c r="G5479">
        <f>IF(DATOS!$A5479="",0,IF(CONFIG_METADATA!$B$4&lt;&gt;"OR+EX",--(DATOS!$G5479=CONFIG_METADATA!$B$4),IF(DATOS!$G5479="EX",1,IF(DATOS!$G5479="OR",--(COUNTIFS(nNIA,DATOS!$A5479,nCURSO,DATOS!$D5479,nESPEC,DATOS!$E5479,nASIG,DATOS!$I5479,nEVAL,"EX")=0),0))))</f>
      </c>
      <c r="H5479">
        <f>IF(DATOS!$G5479&lt;&gt;"EX",0,--(COUNTIFS(nNIA,DATOS!$A5479,nCURSO,DATOS!$D5479,nESPEC,DATOS!$E5479,nASIG,DATOS!$I5479,nEVAL,"OR")=0))</f>
      </c>
      <c r="I5479">
        <f>IF(DATOS!$I5479="","",IFERROR(VLOOKUP(DATOS!$I5479,CONFIG_ASIGNATURAS!$B$2:$J$91,9,FALSE()),""))</f>
      </c>
    </row>
    <row r="5480">
      <c r="F5480">
        <f>IF(DATOS!$A5480="","",DATOS!$A5480&amp;"|"&amp;DATOS!$D5480&amp;"|"&amp;DATOS!$E5480&amp;"|"&amp;DATOS!$I5480)</f>
      </c>
      <c r="G5480">
        <f>IF(DATOS!$A5480="",0,IF(CONFIG_METADATA!$B$4&lt;&gt;"OR+EX",--(DATOS!$G5480=CONFIG_METADATA!$B$4),IF(DATOS!$G5480="EX",1,IF(DATOS!$G5480="OR",--(COUNTIFS(nNIA,DATOS!$A5480,nCURSO,DATOS!$D5480,nESPEC,DATOS!$E5480,nASIG,DATOS!$I5480,nEVAL,"EX")=0),0))))</f>
      </c>
      <c r="H5480">
        <f>IF(DATOS!$G5480&lt;&gt;"EX",0,--(COUNTIFS(nNIA,DATOS!$A5480,nCURSO,DATOS!$D5480,nESPEC,DATOS!$E5480,nASIG,DATOS!$I5480,nEVAL,"OR")=0))</f>
      </c>
      <c r="I5480">
        <f>IF(DATOS!$I5480="","",IFERROR(VLOOKUP(DATOS!$I5480,CONFIG_ASIGNATURAS!$B$2:$J$91,9,FALSE()),""))</f>
      </c>
    </row>
    <row r="5481">
      <c r="F5481">
        <f>IF(DATOS!$A5481="","",DATOS!$A5481&amp;"|"&amp;DATOS!$D5481&amp;"|"&amp;DATOS!$E5481&amp;"|"&amp;DATOS!$I5481)</f>
      </c>
      <c r="G5481">
        <f>IF(DATOS!$A5481="",0,IF(CONFIG_METADATA!$B$4&lt;&gt;"OR+EX",--(DATOS!$G5481=CONFIG_METADATA!$B$4),IF(DATOS!$G5481="EX",1,IF(DATOS!$G5481="OR",--(COUNTIFS(nNIA,DATOS!$A5481,nCURSO,DATOS!$D5481,nESPEC,DATOS!$E5481,nASIG,DATOS!$I5481,nEVAL,"EX")=0),0))))</f>
      </c>
      <c r="H5481">
        <f>IF(DATOS!$G5481&lt;&gt;"EX",0,--(COUNTIFS(nNIA,DATOS!$A5481,nCURSO,DATOS!$D5481,nESPEC,DATOS!$E5481,nASIG,DATOS!$I5481,nEVAL,"OR")=0))</f>
      </c>
      <c r="I5481">
        <f>IF(DATOS!$I5481="","",IFERROR(VLOOKUP(DATOS!$I5481,CONFIG_ASIGNATURAS!$B$2:$J$91,9,FALSE()),""))</f>
      </c>
    </row>
    <row r="5482">
      <c r="F5482">
        <f>IF(DATOS!$A5482="","",DATOS!$A5482&amp;"|"&amp;DATOS!$D5482&amp;"|"&amp;DATOS!$E5482&amp;"|"&amp;DATOS!$I5482)</f>
      </c>
      <c r="G5482">
        <f>IF(DATOS!$A5482="",0,IF(CONFIG_METADATA!$B$4&lt;&gt;"OR+EX",--(DATOS!$G5482=CONFIG_METADATA!$B$4),IF(DATOS!$G5482="EX",1,IF(DATOS!$G5482="OR",--(COUNTIFS(nNIA,DATOS!$A5482,nCURSO,DATOS!$D5482,nESPEC,DATOS!$E5482,nASIG,DATOS!$I5482,nEVAL,"EX")=0),0))))</f>
      </c>
      <c r="H5482">
        <f>IF(DATOS!$G5482&lt;&gt;"EX",0,--(COUNTIFS(nNIA,DATOS!$A5482,nCURSO,DATOS!$D5482,nESPEC,DATOS!$E5482,nASIG,DATOS!$I5482,nEVAL,"OR")=0))</f>
      </c>
      <c r="I5482">
        <f>IF(DATOS!$I5482="","",IFERROR(VLOOKUP(DATOS!$I5482,CONFIG_ASIGNATURAS!$B$2:$J$91,9,FALSE()),""))</f>
      </c>
    </row>
    <row r="5483">
      <c r="F5483">
        <f>IF(DATOS!$A5483="","",DATOS!$A5483&amp;"|"&amp;DATOS!$D5483&amp;"|"&amp;DATOS!$E5483&amp;"|"&amp;DATOS!$I5483)</f>
      </c>
      <c r="G5483">
        <f>IF(DATOS!$A5483="",0,IF(CONFIG_METADATA!$B$4&lt;&gt;"OR+EX",--(DATOS!$G5483=CONFIG_METADATA!$B$4),IF(DATOS!$G5483="EX",1,IF(DATOS!$G5483="OR",--(COUNTIFS(nNIA,DATOS!$A5483,nCURSO,DATOS!$D5483,nESPEC,DATOS!$E5483,nASIG,DATOS!$I5483,nEVAL,"EX")=0),0))))</f>
      </c>
      <c r="H5483">
        <f>IF(DATOS!$G5483&lt;&gt;"EX",0,--(COUNTIFS(nNIA,DATOS!$A5483,nCURSO,DATOS!$D5483,nESPEC,DATOS!$E5483,nASIG,DATOS!$I5483,nEVAL,"OR")=0))</f>
      </c>
      <c r="I5483">
        <f>IF(DATOS!$I5483="","",IFERROR(VLOOKUP(DATOS!$I5483,CONFIG_ASIGNATURAS!$B$2:$J$91,9,FALSE()),""))</f>
      </c>
    </row>
    <row r="5484">
      <c r="F5484">
        <f>IF(DATOS!$A5484="","",DATOS!$A5484&amp;"|"&amp;DATOS!$D5484&amp;"|"&amp;DATOS!$E5484&amp;"|"&amp;DATOS!$I5484)</f>
      </c>
      <c r="G5484">
        <f>IF(DATOS!$A5484="",0,IF(CONFIG_METADATA!$B$4&lt;&gt;"OR+EX",--(DATOS!$G5484=CONFIG_METADATA!$B$4),IF(DATOS!$G5484="EX",1,IF(DATOS!$G5484="OR",--(COUNTIFS(nNIA,DATOS!$A5484,nCURSO,DATOS!$D5484,nESPEC,DATOS!$E5484,nASIG,DATOS!$I5484,nEVAL,"EX")=0),0))))</f>
      </c>
      <c r="H5484">
        <f>IF(DATOS!$G5484&lt;&gt;"EX",0,--(COUNTIFS(nNIA,DATOS!$A5484,nCURSO,DATOS!$D5484,nESPEC,DATOS!$E5484,nASIG,DATOS!$I5484,nEVAL,"OR")=0))</f>
      </c>
      <c r="I5484">
        <f>IF(DATOS!$I5484="","",IFERROR(VLOOKUP(DATOS!$I5484,CONFIG_ASIGNATURAS!$B$2:$J$91,9,FALSE()),""))</f>
      </c>
    </row>
    <row r="5485">
      <c r="F5485">
        <f>IF(DATOS!$A5485="","",DATOS!$A5485&amp;"|"&amp;DATOS!$D5485&amp;"|"&amp;DATOS!$E5485&amp;"|"&amp;DATOS!$I5485)</f>
      </c>
      <c r="G5485">
        <f>IF(DATOS!$A5485="",0,IF(CONFIG_METADATA!$B$4&lt;&gt;"OR+EX",--(DATOS!$G5485=CONFIG_METADATA!$B$4),IF(DATOS!$G5485="EX",1,IF(DATOS!$G5485="OR",--(COUNTIFS(nNIA,DATOS!$A5485,nCURSO,DATOS!$D5485,nESPEC,DATOS!$E5485,nASIG,DATOS!$I5485,nEVAL,"EX")=0),0))))</f>
      </c>
      <c r="H5485">
        <f>IF(DATOS!$G5485&lt;&gt;"EX",0,--(COUNTIFS(nNIA,DATOS!$A5485,nCURSO,DATOS!$D5485,nESPEC,DATOS!$E5485,nASIG,DATOS!$I5485,nEVAL,"OR")=0))</f>
      </c>
      <c r="I5485">
        <f>IF(DATOS!$I5485="","",IFERROR(VLOOKUP(DATOS!$I5485,CONFIG_ASIGNATURAS!$B$2:$J$91,9,FALSE()),""))</f>
      </c>
    </row>
    <row r="5486">
      <c r="F5486">
        <f>IF(DATOS!$A5486="","",DATOS!$A5486&amp;"|"&amp;DATOS!$D5486&amp;"|"&amp;DATOS!$E5486&amp;"|"&amp;DATOS!$I5486)</f>
      </c>
      <c r="G5486">
        <f>IF(DATOS!$A5486="",0,IF(CONFIG_METADATA!$B$4&lt;&gt;"OR+EX",--(DATOS!$G5486=CONFIG_METADATA!$B$4),IF(DATOS!$G5486="EX",1,IF(DATOS!$G5486="OR",--(COUNTIFS(nNIA,DATOS!$A5486,nCURSO,DATOS!$D5486,nESPEC,DATOS!$E5486,nASIG,DATOS!$I5486,nEVAL,"EX")=0),0))))</f>
      </c>
      <c r="H5486">
        <f>IF(DATOS!$G5486&lt;&gt;"EX",0,--(COUNTIFS(nNIA,DATOS!$A5486,nCURSO,DATOS!$D5486,nESPEC,DATOS!$E5486,nASIG,DATOS!$I5486,nEVAL,"OR")=0))</f>
      </c>
      <c r="I5486">
        <f>IF(DATOS!$I5486="","",IFERROR(VLOOKUP(DATOS!$I5486,CONFIG_ASIGNATURAS!$B$2:$J$91,9,FALSE()),""))</f>
      </c>
    </row>
    <row r="5487">
      <c r="F5487">
        <f>IF(DATOS!$A5487="","",DATOS!$A5487&amp;"|"&amp;DATOS!$D5487&amp;"|"&amp;DATOS!$E5487&amp;"|"&amp;DATOS!$I5487)</f>
      </c>
      <c r="G5487">
        <f>IF(DATOS!$A5487="",0,IF(CONFIG_METADATA!$B$4&lt;&gt;"OR+EX",--(DATOS!$G5487=CONFIG_METADATA!$B$4),IF(DATOS!$G5487="EX",1,IF(DATOS!$G5487="OR",--(COUNTIFS(nNIA,DATOS!$A5487,nCURSO,DATOS!$D5487,nESPEC,DATOS!$E5487,nASIG,DATOS!$I5487,nEVAL,"EX")=0),0))))</f>
      </c>
      <c r="H5487">
        <f>IF(DATOS!$G5487&lt;&gt;"EX",0,--(COUNTIFS(nNIA,DATOS!$A5487,nCURSO,DATOS!$D5487,nESPEC,DATOS!$E5487,nASIG,DATOS!$I5487,nEVAL,"OR")=0))</f>
      </c>
      <c r="I5487">
        <f>IF(DATOS!$I5487="","",IFERROR(VLOOKUP(DATOS!$I5487,CONFIG_ASIGNATURAS!$B$2:$J$91,9,FALSE()),""))</f>
      </c>
    </row>
    <row r="5488">
      <c r="F5488">
        <f>IF(DATOS!$A5488="","",DATOS!$A5488&amp;"|"&amp;DATOS!$D5488&amp;"|"&amp;DATOS!$E5488&amp;"|"&amp;DATOS!$I5488)</f>
      </c>
      <c r="G5488">
        <f>IF(DATOS!$A5488="",0,IF(CONFIG_METADATA!$B$4&lt;&gt;"OR+EX",--(DATOS!$G5488=CONFIG_METADATA!$B$4),IF(DATOS!$G5488="EX",1,IF(DATOS!$G5488="OR",--(COUNTIFS(nNIA,DATOS!$A5488,nCURSO,DATOS!$D5488,nESPEC,DATOS!$E5488,nASIG,DATOS!$I5488,nEVAL,"EX")=0),0))))</f>
      </c>
      <c r="H5488">
        <f>IF(DATOS!$G5488&lt;&gt;"EX",0,--(COUNTIFS(nNIA,DATOS!$A5488,nCURSO,DATOS!$D5488,nESPEC,DATOS!$E5488,nASIG,DATOS!$I5488,nEVAL,"OR")=0))</f>
      </c>
      <c r="I5488">
        <f>IF(DATOS!$I5488="","",IFERROR(VLOOKUP(DATOS!$I5488,CONFIG_ASIGNATURAS!$B$2:$J$91,9,FALSE()),""))</f>
      </c>
    </row>
    <row r="5489">
      <c r="F5489">
        <f>IF(DATOS!$A5489="","",DATOS!$A5489&amp;"|"&amp;DATOS!$D5489&amp;"|"&amp;DATOS!$E5489&amp;"|"&amp;DATOS!$I5489)</f>
      </c>
      <c r="G5489">
        <f>IF(DATOS!$A5489="",0,IF(CONFIG_METADATA!$B$4&lt;&gt;"OR+EX",--(DATOS!$G5489=CONFIG_METADATA!$B$4),IF(DATOS!$G5489="EX",1,IF(DATOS!$G5489="OR",--(COUNTIFS(nNIA,DATOS!$A5489,nCURSO,DATOS!$D5489,nESPEC,DATOS!$E5489,nASIG,DATOS!$I5489,nEVAL,"EX")=0),0))))</f>
      </c>
      <c r="H5489">
        <f>IF(DATOS!$G5489&lt;&gt;"EX",0,--(COUNTIFS(nNIA,DATOS!$A5489,nCURSO,DATOS!$D5489,nESPEC,DATOS!$E5489,nASIG,DATOS!$I5489,nEVAL,"OR")=0))</f>
      </c>
      <c r="I5489">
        <f>IF(DATOS!$I5489="","",IFERROR(VLOOKUP(DATOS!$I5489,CONFIG_ASIGNATURAS!$B$2:$J$91,9,FALSE()),""))</f>
      </c>
    </row>
    <row r="5490">
      <c r="F5490">
        <f>IF(DATOS!$A5490="","",DATOS!$A5490&amp;"|"&amp;DATOS!$D5490&amp;"|"&amp;DATOS!$E5490&amp;"|"&amp;DATOS!$I5490)</f>
      </c>
      <c r="G5490">
        <f>IF(DATOS!$A5490="",0,IF(CONFIG_METADATA!$B$4&lt;&gt;"OR+EX",--(DATOS!$G5490=CONFIG_METADATA!$B$4),IF(DATOS!$G5490="EX",1,IF(DATOS!$G5490="OR",--(COUNTIFS(nNIA,DATOS!$A5490,nCURSO,DATOS!$D5490,nESPEC,DATOS!$E5490,nASIG,DATOS!$I5490,nEVAL,"EX")=0),0))))</f>
      </c>
      <c r="H5490">
        <f>IF(DATOS!$G5490&lt;&gt;"EX",0,--(COUNTIFS(nNIA,DATOS!$A5490,nCURSO,DATOS!$D5490,nESPEC,DATOS!$E5490,nASIG,DATOS!$I5490,nEVAL,"OR")=0))</f>
      </c>
      <c r="I5490">
        <f>IF(DATOS!$I5490="","",IFERROR(VLOOKUP(DATOS!$I5490,CONFIG_ASIGNATURAS!$B$2:$J$91,9,FALSE()),""))</f>
      </c>
    </row>
    <row r="5491">
      <c r="F5491">
        <f>IF(DATOS!$A5491="","",DATOS!$A5491&amp;"|"&amp;DATOS!$D5491&amp;"|"&amp;DATOS!$E5491&amp;"|"&amp;DATOS!$I5491)</f>
      </c>
      <c r="G5491">
        <f>IF(DATOS!$A5491="",0,IF(CONFIG_METADATA!$B$4&lt;&gt;"OR+EX",--(DATOS!$G5491=CONFIG_METADATA!$B$4),IF(DATOS!$G5491="EX",1,IF(DATOS!$G5491="OR",--(COUNTIFS(nNIA,DATOS!$A5491,nCURSO,DATOS!$D5491,nESPEC,DATOS!$E5491,nASIG,DATOS!$I5491,nEVAL,"EX")=0),0))))</f>
      </c>
      <c r="H5491">
        <f>IF(DATOS!$G5491&lt;&gt;"EX",0,--(COUNTIFS(nNIA,DATOS!$A5491,nCURSO,DATOS!$D5491,nESPEC,DATOS!$E5491,nASIG,DATOS!$I5491,nEVAL,"OR")=0))</f>
      </c>
      <c r="I5491">
        <f>IF(DATOS!$I5491="","",IFERROR(VLOOKUP(DATOS!$I5491,CONFIG_ASIGNATURAS!$B$2:$J$91,9,FALSE()),""))</f>
      </c>
    </row>
    <row r="5492">
      <c r="F5492">
        <f>IF(DATOS!$A5492="","",DATOS!$A5492&amp;"|"&amp;DATOS!$D5492&amp;"|"&amp;DATOS!$E5492&amp;"|"&amp;DATOS!$I5492)</f>
      </c>
      <c r="G5492">
        <f>IF(DATOS!$A5492="",0,IF(CONFIG_METADATA!$B$4&lt;&gt;"OR+EX",--(DATOS!$G5492=CONFIG_METADATA!$B$4),IF(DATOS!$G5492="EX",1,IF(DATOS!$G5492="OR",--(COUNTIFS(nNIA,DATOS!$A5492,nCURSO,DATOS!$D5492,nESPEC,DATOS!$E5492,nASIG,DATOS!$I5492,nEVAL,"EX")=0),0))))</f>
      </c>
      <c r="H5492">
        <f>IF(DATOS!$G5492&lt;&gt;"EX",0,--(COUNTIFS(nNIA,DATOS!$A5492,nCURSO,DATOS!$D5492,nESPEC,DATOS!$E5492,nASIG,DATOS!$I5492,nEVAL,"OR")=0))</f>
      </c>
      <c r="I5492">
        <f>IF(DATOS!$I5492="","",IFERROR(VLOOKUP(DATOS!$I5492,CONFIG_ASIGNATURAS!$B$2:$J$91,9,FALSE()),""))</f>
      </c>
    </row>
    <row r="5493">
      <c r="F5493">
        <f>IF(DATOS!$A5493="","",DATOS!$A5493&amp;"|"&amp;DATOS!$D5493&amp;"|"&amp;DATOS!$E5493&amp;"|"&amp;DATOS!$I5493)</f>
      </c>
      <c r="G5493">
        <f>IF(DATOS!$A5493="",0,IF(CONFIG_METADATA!$B$4&lt;&gt;"OR+EX",--(DATOS!$G5493=CONFIG_METADATA!$B$4),IF(DATOS!$G5493="EX",1,IF(DATOS!$G5493="OR",--(COUNTIFS(nNIA,DATOS!$A5493,nCURSO,DATOS!$D5493,nESPEC,DATOS!$E5493,nASIG,DATOS!$I5493,nEVAL,"EX")=0),0))))</f>
      </c>
      <c r="H5493">
        <f>IF(DATOS!$G5493&lt;&gt;"EX",0,--(COUNTIFS(nNIA,DATOS!$A5493,nCURSO,DATOS!$D5493,nESPEC,DATOS!$E5493,nASIG,DATOS!$I5493,nEVAL,"OR")=0))</f>
      </c>
      <c r="I5493">
        <f>IF(DATOS!$I5493="","",IFERROR(VLOOKUP(DATOS!$I5493,CONFIG_ASIGNATURAS!$B$2:$J$91,9,FALSE()),""))</f>
      </c>
    </row>
    <row r="5494">
      <c r="F5494">
        <f>IF(DATOS!$A5494="","",DATOS!$A5494&amp;"|"&amp;DATOS!$D5494&amp;"|"&amp;DATOS!$E5494&amp;"|"&amp;DATOS!$I5494)</f>
      </c>
      <c r="G5494">
        <f>IF(DATOS!$A5494="",0,IF(CONFIG_METADATA!$B$4&lt;&gt;"OR+EX",--(DATOS!$G5494=CONFIG_METADATA!$B$4),IF(DATOS!$G5494="EX",1,IF(DATOS!$G5494="OR",--(COUNTIFS(nNIA,DATOS!$A5494,nCURSO,DATOS!$D5494,nESPEC,DATOS!$E5494,nASIG,DATOS!$I5494,nEVAL,"EX")=0),0))))</f>
      </c>
      <c r="H5494">
        <f>IF(DATOS!$G5494&lt;&gt;"EX",0,--(COUNTIFS(nNIA,DATOS!$A5494,nCURSO,DATOS!$D5494,nESPEC,DATOS!$E5494,nASIG,DATOS!$I5494,nEVAL,"OR")=0))</f>
      </c>
      <c r="I5494">
        <f>IF(DATOS!$I5494="","",IFERROR(VLOOKUP(DATOS!$I5494,CONFIG_ASIGNATURAS!$B$2:$J$91,9,FALSE()),""))</f>
      </c>
    </row>
    <row r="5495">
      <c r="F5495">
        <f>IF(DATOS!$A5495="","",DATOS!$A5495&amp;"|"&amp;DATOS!$D5495&amp;"|"&amp;DATOS!$E5495&amp;"|"&amp;DATOS!$I5495)</f>
      </c>
      <c r="G5495">
        <f>IF(DATOS!$A5495="",0,IF(CONFIG_METADATA!$B$4&lt;&gt;"OR+EX",--(DATOS!$G5495=CONFIG_METADATA!$B$4),IF(DATOS!$G5495="EX",1,IF(DATOS!$G5495="OR",--(COUNTIFS(nNIA,DATOS!$A5495,nCURSO,DATOS!$D5495,nESPEC,DATOS!$E5495,nASIG,DATOS!$I5495,nEVAL,"EX")=0),0))))</f>
      </c>
      <c r="H5495">
        <f>IF(DATOS!$G5495&lt;&gt;"EX",0,--(COUNTIFS(nNIA,DATOS!$A5495,nCURSO,DATOS!$D5495,nESPEC,DATOS!$E5495,nASIG,DATOS!$I5495,nEVAL,"OR")=0))</f>
      </c>
      <c r="I5495">
        <f>IF(DATOS!$I5495="","",IFERROR(VLOOKUP(DATOS!$I5495,CONFIG_ASIGNATURAS!$B$2:$J$91,9,FALSE()),""))</f>
      </c>
    </row>
    <row r="5496">
      <c r="F5496">
        <f>IF(DATOS!$A5496="","",DATOS!$A5496&amp;"|"&amp;DATOS!$D5496&amp;"|"&amp;DATOS!$E5496&amp;"|"&amp;DATOS!$I5496)</f>
      </c>
      <c r="G5496">
        <f>IF(DATOS!$A5496="",0,IF(CONFIG_METADATA!$B$4&lt;&gt;"OR+EX",--(DATOS!$G5496=CONFIG_METADATA!$B$4),IF(DATOS!$G5496="EX",1,IF(DATOS!$G5496="OR",--(COUNTIFS(nNIA,DATOS!$A5496,nCURSO,DATOS!$D5496,nESPEC,DATOS!$E5496,nASIG,DATOS!$I5496,nEVAL,"EX")=0),0))))</f>
      </c>
      <c r="H5496">
        <f>IF(DATOS!$G5496&lt;&gt;"EX",0,--(COUNTIFS(nNIA,DATOS!$A5496,nCURSO,DATOS!$D5496,nESPEC,DATOS!$E5496,nASIG,DATOS!$I5496,nEVAL,"OR")=0))</f>
      </c>
      <c r="I5496">
        <f>IF(DATOS!$I5496="","",IFERROR(VLOOKUP(DATOS!$I5496,CONFIG_ASIGNATURAS!$B$2:$J$91,9,FALSE()),""))</f>
      </c>
    </row>
    <row r="5497">
      <c r="F5497">
        <f>IF(DATOS!$A5497="","",DATOS!$A5497&amp;"|"&amp;DATOS!$D5497&amp;"|"&amp;DATOS!$E5497&amp;"|"&amp;DATOS!$I5497)</f>
      </c>
      <c r="G5497">
        <f>IF(DATOS!$A5497="",0,IF(CONFIG_METADATA!$B$4&lt;&gt;"OR+EX",--(DATOS!$G5497=CONFIG_METADATA!$B$4),IF(DATOS!$G5497="EX",1,IF(DATOS!$G5497="OR",--(COUNTIFS(nNIA,DATOS!$A5497,nCURSO,DATOS!$D5497,nESPEC,DATOS!$E5497,nASIG,DATOS!$I5497,nEVAL,"EX")=0),0))))</f>
      </c>
      <c r="H5497">
        <f>IF(DATOS!$G5497&lt;&gt;"EX",0,--(COUNTIFS(nNIA,DATOS!$A5497,nCURSO,DATOS!$D5497,nESPEC,DATOS!$E5497,nASIG,DATOS!$I5497,nEVAL,"OR")=0))</f>
      </c>
      <c r="I5497">
        <f>IF(DATOS!$I5497="","",IFERROR(VLOOKUP(DATOS!$I5497,CONFIG_ASIGNATURAS!$B$2:$J$91,9,FALSE()),""))</f>
      </c>
    </row>
    <row r="5498">
      <c r="F5498">
        <f>IF(DATOS!$A5498="","",DATOS!$A5498&amp;"|"&amp;DATOS!$D5498&amp;"|"&amp;DATOS!$E5498&amp;"|"&amp;DATOS!$I5498)</f>
      </c>
      <c r="G5498">
        <f>IF(DATOS!$A5498="",0,IF(CONFIG_METADATA!$B$4&lt;&gt;"OR+EX",--(DATOS!$G5498=CONFIG_METADATA!$B$4),IF(DATOS!$G5498="EX",1,IF(DATOS!$G5498="OR",--(COUNTIFS(nNIA,DATOS!$A5498,nCURSO,DATOS!$D5498,nESPEC,DATOS!$E5498,nASIG,DATOS!$I5498,nEVAL,"EX")=0),0))))</f>
      </c>
      <c r="H5498">
        <f>IF(DATOS!$G5498&lt;&gt;"EX",0,--(COUNTIFS(nNIA,DATOS!$A5498,nCURSO,DATOS!$D5498,nESPEC,DATOS!$E5498,nASIG,DATOS!$I5498,nEVAL,"OR")=0))</f>
      </c>
      <c r="I5498">
        <f>IF(DATOS!$I5498="","",IFERROR(VLOOKUP(DATOS!$I5498,CONFIG_ASIGNATURAS!$B$2:$J$91,9,FALSE()),""))</f>
      </c>
    </row>
    <row r="5499">
      <c r="F5499">
        <f>IF(DATOS!$A5499="","",DATOS!$A5499&amp;"|"&amp;DATOS!$D5499&amp;"|"&amp;DATOS!$E5499&amp;"|"&amp;DATOS!$I5499)</f>
      </c>
      <c r="G5499">
        <f>IF(DATOS!$A5499="",0,IF(CONFIG_METADATA!$B$4&lt;&gt;"OR+EX",--(DATOS!$G5499=CONFIG_METADATA!$B$4),IF(DATOS!$G5499="EX",1,IF(DATOS!$G5499="OR",--(COUNTIFS(nNIA,DATOS!$A5499,nCURSO,DATOS!$D5499,nESPEC,DATOS!$E5499,nASIG,DATOS!$I5499,nEVAL,"EX")=0),0))))</f>
      </c>
      <c r="H5499">
        <f>IF(DATOS!$G5499&lt;&gt;"EX",0,--(COUNTIFS(nNIA,DATOS!$A5499,nCURSO,DATOS!$D5499,nESPEC,DATOS!$E5499,nASIG,DATOS!$I5499,nEVAL,"OR")=0))</f>
      </c>
      <c r="I5499">
        <f>IF(DATOS!$I5499="","",IFERROR(VLOOKUP(DATOS!$I5499,CONFIG_ASIGNATURAS!$B$2:$J$91,9,FALSE()),""))</f>
      </c>
    </row>
    <row r="5500">
      <c r="F5500">
        <f>IF(DATOS!$A5500="","",DATOS!$A5500&amp;"|"&amp;DATOS!$D5500&amp;"|"&amp;DATOS!$E5500&amp;"|"&amp;DATOS!$I5500)</f>
      </c>
      <c r="G5500">
        <f>IF(DATOS!$A5500="",0,IF(CONFIG_METADATA!$B$4&lt;&gt;"OR+EX",--(DATOS!$G5500=CONFIG_METADATA!$B$4),IF(DATOS!$G5500="EX",1,IF(DATOS!$G5500="OR",--(COUNTIFS(nNIA,DATOS!$A5500,nCURSO,DATOS!$D5500,nESPEC,DATOS!$E5500,nASIG,DATOS!$I5500,nEVAL,"EX")=0),0))))</f>
      </c>
      <c r="H5500">
        <f>IF(DATOS!$G5500&lt;&gt;"EX",0,--(COUNTIFS(nNIA,DATOS!$A5500,nCURSO,DATOS!$D5500,nESPEC,DATOS!$E5500,nASIG,DATOS!$I5500,nEVAL,"OR")=0))</f>
      </c>
      <c r="I5500">
        <f>IF(DATOS!$I5500="","",IFERROR(VLOOKUP(DATOS!$I5500,CONFIG_ASIGNATURAS!$B$2:$J$91,9,FALSE()),""))</f>
      </c>
    </row>
    <row r="5501">
      <c r="F5501">
        <f>IF(DATOS!$A5501="","",DATOS!$A5501&amp;"|"&amp;DATOS!$D5501&amp;"|"&amp;DATOS!$E5501&amp;"|"&amp;DATOS!$I5501)</f>
      </c>
      <c r="G5501">
        <f>IF(DATOS!$A5501="",0,IF(CONFIG_METADATA!$B$4&lt;&gt;"OR+EX",--(DATOS!$G5501=CONFIG_METADATA!$B$4),IF(DATOS!$G5501="EX",1,IF(DATOS!$G5501="OR",--(COUNTIFS(nNIA,DATOS!$A5501,nCURSO,DATOS!$D5501,nESPEC,DATOS!$E5501,nASIG,DATOS!$I5501,nEVAL,"EX")=0),0))))</f>
      </c>
      <c r="H5501">
        <f>IF(DATOS!$G5501&lt;&gt;"EX",0,--(COUNTIFS(nNIA,DATOS!$A5501,nCURSO,DATOS!$D5501,nESPEC,DATOS!$E5501,nASIG,DATOS!$I5501,nEVAL,"OR")=0))</f>
      </c>
      <c r="I5501">
        <f>IF(DATOS!$I5501="","",IFERROR(VLOOKUP(DATOS!$I5501,CONFIG_ASIGNATURAS!$B$2:$J$91,9,FALSE()),""))</f>
      </c>
    </row>
    <row r="5502">
      <c r="F5502">
        <f>IF(DATOS!$A5502="","",DATOS!$A5502&amp;"|"&amp;DATOS!$D5502&amp;"|"&amp;DATOS!$E5502&amp;"|"&amp;DATOS!$I5502)</f>
      </c>
      <c r="G5502">
        <f>IF(DATOS!$A5502="",0,IF(CONFIG_METADATA!$B$4&lt;&gt;"OR+EX",--(DATOS!$G5502=CONFIG_METADATA!$B$4),IF(DATOS!$G5502="EX",1,IF(DATOS!$G5502="OR",--(COUNTIFS(nNIA,DATOS!$A5502,nCURSO,DATOS!$D5502,nESPEC,DATOS!$E5502,nASIG,DATOS!$I5502,nEVAL,"EX")=0),0))))</f>
      </c>
      <c r="H5502">
        <f>IF(DATOS!$G5502&lt;&gt;"EX",0,--(COUNTIFS(nNIA,DATOS!$A5502,nCURSO,DATOS!$D5502,nESPEC,DATOS!$E5502,nASIG,DATOS!$I5502,nEVAL,"OR")=0))</f>
      </c>
      <c r="I5502">
        <f>IF(DATOS!$I5502="","",IFERROR(VLOOKUP(DATOS!$I5502,CONFIG_ASIGNATURAS!$B$2:$J$91,9,FALSE()),""))</f>
      </c>
    </row>
    <row r="5503">
      <c r="F5503">
        <f>IF(DATOS!$A5503="","",DATOS!$A5503&amp;"|"&amp;DATOS!$D5503&amp;"|"&amp;DATOS!$E5503&amp;"|"&amp;DATOS!$I5503)</f>
      </c>
      <c r="G5503">
        <f>IF(DATOS!$A5503="",0,IF(CONFIG_METADATA!$B$4&lt;&gt;"OR+EX",--(DATOS!$G5503=CONFIG_METADATA!$B$4),IF(DATOS!$G5503="EX",1,IF(DATOS!$G5503="OR",--(COUNTIFS(nNIA,DATOS!$A5503,nCURSO,DATOS!$D5503,nESPEC,DATOS!$E5503,nASIG,DATOS!$I5503,nEVAL,"EX")=0),0))))</f>
      </c>
      <c r="H5503">
        <f>IF(DATOS!$G5503&lt;&gt;"EX",0,--(COUNTIFS(nNIA,DATOS!$A5503,nCURSO,DATOS!$D5503,nESPEC,DATOS!$E5503,nASIG,DATOS!$I5503,nEVAL,"OR")=0))</f>
      </c>
      <c r="I5503">
        <f>IF(DATOS!$I5503="","",IFERROR(VLOOKUP(DATOS!$I5503,CONFIG_ASIGNATURAS!$B$2:$J$91,9,FALSE()),""))</f>
      </c>
    </row>
    <row r="5504">
      <c r="F5504">
        <f>IF(DATOS!$A5504="","",DATOS!$A5504&amp;"|"&amp;DATOS!$D5504&amp;"|"&amp;DATOS!$E5504&amp;"|"&amp;DATOS!$I5504)</f>
      </c>
      <c r="G5504">
        <f>IF(DATOS!$A5504="",0,IF(CONFIG_METADATA!$B$4&lt;&gt;"OR+EX",--(DATOS!$G5504=CONFIG_METADATA!$B$4),IF(DATOS!$G5504="EX",1,IF(DATOS!$G5504="OR",--(COUNTIFS(nNIA,DATOS!$A5504,nCURSO,DATOS!$D5504,nESPEC,DATOS!$E5504,nASIG,DATOS!$I5504,nEVAL,"EX")=0),0))))</f>
      </c>
      <c r="H5504">
        <f>IF(DATOS!$G5504&lt;&gt;"EX",0,--(COUNTIFS(nNIA,DATOS!$A5504,nCURSO,DATOS!$D5504,nESPEC,DATOS!$E5504,nASIG,DATOS!$I5504,nEVAL,"OR")=0))</f>
      </c>
      <c r="I5504">
        <f>IF(DATOS!$I5504="","",IFERROR(VLOOKUP(DATOS!$I5504,CONFIG_ASIGNATURAS!$B$2:$J$91,9,FALSE()),""))</f>
      </c>
    </row>
    <row r="5505">
      <c r="F5505">
        <f>IF(DATOS!$A5505="","",DATOS!$A5505&amp;"|"&amp;DATOS!$D5505&amp;"|"&amp;DATOS!$E5505&amp;"|"&amp;DATOS!$I5505)</f>
      </c>
      <c r="G5505">
        <f>IF(DATOS!$A5505="",0,IF(CONFIG_METADATA!$B$4&lt;&gt;"OR+EX",--(DATOS!$G5505=CONFIG_METADATA!$B$4),IF(DATOS!$G5505="EX",1,IF(DATOS!$G5505="OR",--(COUNTIFS(nNIA,DATOS!$A5505,nCURSO,DATOS!$D5505,nESPEC,DATOS!$E5505,nASIG,DATOS!$I5505,nEVAL,"EX")=0),0))))</f>
      </c>
      <c r="H5505">
        <f>IF(DATOS!$G5505&lt;&gt;"EX",0,--(COUNTIFS(nNIA,DATOS!$A5505,nCURSO,DATOS!$D5505,nESPEC,DATOS!$E5505,nASIG,DATOS!$I5505,nEVAL,"OR")=0))</f>
      </c>
      <c r="I5505">
        <f>IF(DATOS!$I5505="","",IFERROR(VLOOKUP(DATOS!$I5505,CONFIG_ASIGNATURAS!$B$2:$J$91,9,FALSE()),""))</f>
      </c>
    </row>
    <row r="5506">
      <c r="F5506">
        <f>IF(DATOS!$A5506="","",DATOS!$A5506&amp;"|"&amp;DATOS!$D5506&amp;"|"&amp;DATOS!$E5506&amp;"|"&amp;DATOS!$I5506)</f>
      </c>
      <c r="G5506">
        <f>IF(DATOS!$A5506="",0,IF(CONFIG_METADATA!$B$4&lt;&gt;"OR+EX",--(DATOS!$G5506=CONFIG_METADATA!$B$4),IF(DATOS!$G5506="EX",1,IF(DATOS!$G5506="OR",--(COUNTIFS(nNIA,DATOS!$A5506,nCURSO,DATOS!$D5506,nESPEC,DATOS!$E5506,nASIG,DATOS!$I5506,nEVAL,"EX")=0),0))))</f>
      </c>
      <c r="H5506">
        <f>IF(DATOS!$G5506&lt;&gt;"EX",0,--(COUNTIFS(nNIA,DATOS!$A5506,nCURSO,DATOS!$D5506,nESPEC,DATOS!$E5506,nASIG,DATOS!$I5506,nEVAL,"OR")=0))</f>
      </c>
      <c r="I5506">
        <f>IF(DATOS!$I5506="","",IFERROR(VLOOKUP(DATOS!$I5506,CONFIG_ASIGNATURAS!$B$2:$J$91,9,FALSE()),""))</f>
      </c>
    </row>
    <row r="5507">
      <c r="F5507">
        <f>IF(DATOS!$A5507="","",DATOS!$A5507&amp;"|"&amp;DATOS!$D5507&amp;"|"&amp;DATOS!$E5507&amp;"|"&amp;DATOS!$I5507)</f>
      </c>
      <c r="G5507">
        <f>IF(DATOS!$A5507="",0,IF(CONFIG_METADATA!$B$4&lt;&gt;"OR+EX",--(DATOS!$G5507=CONFIG_METADATA!$B$4),IF(DATOS!$G5507="EX",1,IF(DATOS!$G5507="OR",--(COUNTIFS(nNIA,DATOS!$A5507,nCURSO,DATOS!$D5507,nESPEC,DATOS!$E5507,nASIG,DATOS!$I5507,nEVAL,"EX")=0),0))))</f>
      </c>
      <c r="H5507">
        <f>IF(DATOS!$G5507&lt;&gt;"EX",0,--(COUNTIFS(nNIA,DATOS!$A5507,nCURSO,DATOS!$D5507,nESPEC,DATOS!$E5507,nASIG,DATOS!$I5507,nEVAL,"OR")=0))</f>
      </c>
      <c r="I5507">
        <f>IF(DATOS!$I5507="","",IFERROR(VLOOKUP(DATOS!$I5507,CONFIG_ASIGNATURAS!$B$2:$J$91,9,FALSE()),""))</f>
      </c>
    </row>
    <row r="5508">
      <c r="F5508">
        <f>IF(DATOS!$A5508="","",DATOS!$A5508&amp;"|"&amp;DATOS!$D5508&amp;"|"&amp;DATOS!$E5508&amp;"|"&amp;DATOS!$I5508)</f>
      </c>
      <c r="G5508">
        <f>IF(DATOS!$A5508="",0,IF(CONFIG_METADATA!$B$4&lt;&gt;"OR+EX",--(DATOS!$G5508=CONFIG_METADATA!$B$4),IF(DATOS!$G5508="EX",1,IF(DATOS!$G5508="OR",--(COUNTIFS(nNIA,DATOS!$A5508,nCURSO,DATOS!$D5508,nESPEC,DATOS!$E5508,nASIG,DATOS!$I5508,nEVAL,"EX")=0),0))))</f>
      </c>
      <c r="H5508">
        <f>IF(DATOS!$G5508&lt;&gt;"EX",0,--(COUNTIFS(nNIA,DATOS!$A5508,nCURSO,DATOS!$D5508,nESPEC,DATOS!$E5508,nASIG,DATOS!$I5508,nEVAL,"OR")=0))</f>
      </c>
      <c r="I5508">
        <f>IF(DATOS!$I5508="","",IFERROR(VLOOKUP(DATOS!$I5508,CONFIG_ASIGNATURAS!$B$2:$J$91,9,FALSE()),""))</f>
      </c>
    </row>
    <row r="5509">
      <c r="F5509">
        <f>IF(DATOS!$A5509="","",DATOS!$A5509&amp;"|"&amp;DATOS!$D5509&amp;"|"&amp;DATOS!$E5509&amp;"|"&amp;DATOS!$I5509)</f>
      </c>
      <c r="G5509">
        <f>IF(DATOS!$A5509="",0,IF(CONFIG_METADATA!$B$4&lt;&gt;"OR+EX",--(DATOS!$G5509=CONFIG_METADATA!$B$4),IF(DATOS!$G5509="EX",1,IF(DATOS!$G5509="OR",--(COUNTIFS(nNIA,DATOS!$A5509,nCURSO,DATOS!$D5509,nESPEC,DATOS!$E5509,nASIG,DATOS!$I5509,nEVAL,"EX")=0),0))))</f>
      </c>
      <c r="H5509">
        <f>IF(DATOS!$G5509&lt;&gt;"EX",0,--(COUNTIFS(nNIA,DATOS!$A5509,nCURSO,DATOS!$D5509,nESPEC,DATOS!$E5509,nASIG,DATOS!$I5509,nEVAL,"OR")=0))</f>
      </c>
      <c r="I5509">
        <f>IF(DATOS!$I5509="","",IFERROR(VLOOKUP(DATOS!$I5509,CONFIG_ASIGNATURAS!$B$2:$J$91,9,FALSE()),""))</f>
      </c>
    </row>
    <row r="5510">
      <c r="F5510">
        <f>IF(DATOS!$A5510="","",DATOS!$A5510&amp;"|"&amp;DATOS!$D5510&amp;"|"&amp;DATOS!$E5510&amp;"|"&amp;DATOS!$I5510)</f>
      </c>
      <c r="G5510">
        <f>IF(DATOS!$A5510="",0,IF(CONFIG_METADATA!$B$4&lt;&gt;"OR+EX",--(DATOS!$G5510=CONFIG_METADATA!$B$4),IF(DATOS!$G5510="EX",1,IF(DATOS!$G5510="OR",--(COUNTIFS(nNIA,DATOS!$A5510,nCURSO,DATOS!$D5510,nESPEC,DATOS!$E5510,nASIG,DATOS!$I5510,nEVAL,"EX")=0),0))))</f>
      </c>
      <c r="H5510">
        <f>IF(DATOS!$G5510&lt;&gt;"EX",0,--(COUNTIFS(nNIA,DATOS!$A5510,nCURSO,DATOS!$D5510,nESPEC,DATOS!$E5510,nASIG,DATOS!$I5510,nEVAL,"OR")=0))</f>
      </c>
      <c r="I5510">
        <f>IF(DATOS!$I5510="","",IFERROR(VLOOKUP(DATOS!$I5510,CONFIG_ASIGNATURAS!$B$2:$J$91,9,FALSE()),""))</f>
      </c>
    </row>
    <row r="5511">
      <c r="F5511">
        <f>IF(DATOS!$A5511="","",DATOS!$A5511&amp;"|"&amp;DATOS!$D5511&amp;"|"&amp;DATOS!$E5511&amp;"|"&amp;DATOS!$I5511)</f>
      </c>
      <c r="G5511">
        <f>IF(DATOS!$A5511="",0,IF(CONFIG_METADATA!$B$4&lt;&gt;"OR+EX",--(DATOS!$G5511=CONFIG_METADATA!$B$4),IF(DATOS!$G5511="EX",1,IF(DATOS!$G5511="OR",--(COUNTIFS(nNIA,DATOS!$A5511,nCURSO,DATOS!$D5511,nESPEC,DATOS!$E5511,nASIG,DATOS!$I5511,nEVAL,"EX")=0),0))))</f>
      </c>
      <c r="H5511">
        <f>IF(DATOS!$G5511&lt;&gt;"EX",0,--(COUNTIFS(nNIA,DATOS!$A5511,nCURSO,DATOS!$D5511,nESPEC,DATOS!$E5511,nASIG,DATOS!$I5511,nEVAL,"OR")=0))</f>
      </c>
      <c r="I5511">
        <f>IF(DATOS!$I5511="","",IFERROR(VLOOKUP(DATOS!$I5511,CONFIG_ASIGNATURAS!$B$2:$J$91,9,FALSE()),""))</f>
      </c>
    </row>
    <row r="5512">
      <c r="F5512">
        <f>IF(DATOS!$A5512="","",DATOS!$A5512&amp;"|"&amp;DATOS!$D5512&amp;"|"&amp;DATOS!$E5512&amp;"|"&amp;DATOS!$I5512)</f>
      </c>
      <c r="G5512">
        <f>IF(DATOS!$A5512="",0,IF(CONFIG_METADATA!$B$4&lt;&gt;"OR+EX",--(DATOS!$G5512=CONFIG_METADATA!$B$4),IF(DATOS!$G5512="EX",1,IF(DATOS!$G5512="OR",--(COUNTIFS(nNIA,DATOS!$A5512,nCURSO,DATOS!$D5512,nESPEC,DATOS!$E5512,nASIG,DATOS!$I5512,nEVAL,"EX")=0),0))))</f>
      </c>
      <c r="H5512">
        <f>IF(DATOS!$G5512&lt;&gt;"EX",0,--(COUNTIFS(nNIA,DATOS!$A5512,nCURSO,DATOS!$D5512,nESPEC,DATOS!$E5512,nASIG,DATOS!$I5512,nEVAL,"OR")=0))</f>
      </c>
      <c r="I5512">
        <f>IF(DATOS!$I5512="","",IFERROR(VLOOKUP(DATOS!$I5512,CONFIG_ASIGNATURAS!$B$2:$J$91,9,FALSE()),""))</f>
      </c>
    </row>
    <row r="5513">
      <c r="F5513">
        <f>IF(DATOS!$A5513="","",DATOS!$A5513&amp;"|"&amp;DATOS!$D5513&amp;"|"&amp;DATOS!$E5513&amp;"|"&amp;DATOS!$I5513)</f>
      </c>
      <c r="G5513">
        <f>IF(DATOS!$A5513="",0,IF(CONFIG_METADATA!$B$4&lt;&gt;"OR+EX",--(DATOS!$G5513=CONFIG_METADATA!$B$4),IF(DATOS!$G5513="EX",1,IF(DATOS!$G5513="OR",--(COUNTIFS(nNIA,DATOS!$A5513,nCURSO,DATOS!$D5513,nESPEC,DATOS!$E5513,nASIG,DATOS!$I5513,nEVAL,"EX")=0),0))))</f>
      </c>
      <c r="H5513">
        <f>IF(DATOS!$G5513&lt;&gt;"EX",0,--(COUNTIFS(nNIA,DATOS!$A5513,nCURSO,DATOS!$D5513,nESPEC,DATOS!$E5513,nASIG,DATOS!$I5513,nEVAL,"OR")=0))</f>
      </c>
      <c r="I5513">
        <f>IF(DATOS!$I5513="","",IFERROR(VLOOKUP(DATOS!$I5513,CONFIG_ASIGNATURAS!$B$2:$J$91,9,FALSE()),""))</f>
      </c>
    </row>
    <row r="5514">
      <c r="F5514">
        <f>IF(DATOS!$A5514="","",DATOS!$A5514&amp;"|"&amp;DATOS!$D5514&amp;"|"&amp;DATOS!$E5514&amp;"|"&amp;DATOS!$I5514)</f>
      </c>
      <c r="G5514">
        <f>IF(DATOS!$A5514="",0,IF(CONFIG_METADATA!$B$4&lt;&gt;"OR+EX",--(DATOS!$G5514=CONFIG_METADATA!$B$4),IF(DATOS!$G5514="EX",1,IF(DATOS!$G5514="OR",--(COUNTIFS(nNIA,DATOS!$A5514,nCURSO,DATOS!$D5514,nESPEC,DATOS!$E5514,nASIG,DATOS!$I5514,nEVAL,"EX")=0),0))))</f>
      </c>
      <c r="H5514">
        <f>IF(DATOS!$G5514&lt;&gt;"EX",0,--(COUNTIFS(nNIA,DATOS!$A5514,nCURSO,DATOS!$D5514,nESPEC,DATOS!$E5514,nASIG,DATOS!$I5514,nEVAL,"OR")=0))</f>
      </c>
      <c r="I5514">
        <f>IF(DATOS!$I5514="","",IFERROR(VLOOKUP(DATOS!$I5514,CONFIG_ASIGNATURAS!$B$2:$J$91,9,FALSE()),""))</f>
      </c>
    </row>
    <row r="5515">
      <c r="F5515">
        <f>IF(DATOS!$A5515="","",DATOS!$A5515&amp;"|"&amp;DATOS!$D5515&amp;"|"&amp;DATOS!$E5515&amp;"|"&amp;DATOS!$I5515)</f>
      </c>
      <c r="G5515">
        <f>IF(DATOS!$A5515="",0,IF(CONFIG_METADATA!$B$4&lt;&gt;"OR+EX",--(DATOS!$G5515=CONFIG_METADATA!$B$4),IF(DATOS!$G5515="EX",1,IF(DATOS!$G5515="OR",--(COUNTIFS(nNIA,DATOS!$A5515,nCURSO,DATOS!$D5515,nESPEC,DATOS!$E5515,nASIG,DATOS!$I5515,nEVAL,"EX")=0),0))))</f>
      </c>
      <c r="H5515">
        <f>IF(DATOS!$G5515&lt;&gt;"EX",0,--(COUNTIFS(nNIA,DATOS!$A5515,nCURSO,DATOS!$D5515,nESPEC,DATOS!$E5515,nASIG,DATOS!$I5515,nEVAL,"OR")=0))</f>
      </c>
      <c r="I5515">
        <f>IF(DATOS!$I5515="","",IFERROR(VLOOKUP(DATOS!$I5515,CONFIG_ASIGNATURAS!$B$2:$J$91,9,FALSE()),""))</f>
      </c>
    </row>
    <row r="5516">
      <c r="F5516">
        <f>IF(DATOS!$A5516="","",DATOS!$A5516&amp;"|"&amp;DATOS!$D5516&amp;"|"&amp;DATOS!$E5516&amp;"|"&amp;DATOS!$I5516)</f>
      </c>
      <c r="G5516">
        <f>IF(DATOS!$A5516="",0,IF(CONFIG_METADATA!$B$4&lt;&gt;"OR+EX",--(DATOS!$G5516=CONFIG_METADATA!$B$4),IF(DATOS!$G5516="EX",1,IF(DATOS!$G5516="OR",--(COUNTIFS(nNIA,DATOS!$A5516,nCURSO,DATOS!$D5516,nESPEC,DATOS!$E5516,nASIG,DATOS!$I5516,nEVAL,"EX")=0),0))))</f>
      </c>
      <c r="H5516">
        <f>IF(DATOS!$G5516&lt;&gt;"EX",0,--(COUNTIFS(nNIA,DATOS!$A5516,nCURSO,DATOS!$D5516,nESPEC,DATOS!$E5516,nASIG,DATOS!$I5516,nEVAL,"OR")=0))</f>
      </c>
      <c r="I5516">
        <f>IF(DATOS!$I5516="","",IFERROR(VLOOKUP(DATOS!$I5516,CONFIG_ASIGNATURAS!$B$2:$J$91,9,FALSE()),""))</f>
      </c>
    </row>
    <row r="5517">
      <c r="F5517">
        <f>IF(DATOS!$A5517="","",DATOS!$A5517&amp;"|"&amp;DATOS!$D5517&amp;"|"&amp;DATOS!$E5517&amp;"|"&amp;DATOS!$I5517)</f>
      </c>
      <c r="G5517">
        <f>IF(DATOS!$A5517="",0,IF(CONFIG_METADATA!$B$4&lt;&gt;"OR+EX",--(DATOS!$G5517=CONFIG_METADATA!$B$4),IF(DATOS!$G5517="EX",1,IF(DATOS!$G5517="OR",--(COUNTIFS(nNIA,DATOS!$A5517,nCURSO,DATOS!$D5517,nESPEC,DATOS!$E5517,nASIG,DATOS!$I5517,nEVAL,"EX")=0),0))))</f>
      </c>
      <c r="H5517">
        <f>IF(DATOS!$G5517&lt;&gt;"EX",0,--(COUNTIFS(nNIA,DATOS!$A5517,nCURSO,DATOS!$D5517,nESPEC,DATOS!$E5517,nASIG,DATOS!$I5517,nEVAL,"OR")=0))</f>
      </c>
      <c r="I5517">
        <f>IF(DATOS!$I5517="","",IFERROR(VLOOKUP(DATOS!$I5517,CONFIG_ASIGNATURAS!$B$2:$J$91,9,FALSE()),""))</f>
      </c>
    </row>
    <row r="5518">
      <c r="F5518">
        <f>IF(DATOS!$A5518="","",DATOS!$A5518&amp;"|"&amp;DATOS!$D5518&amp;"|"&amp;DATOS!$E5518&amp;"|"&amp;DATOS!$I5518)</f>
      </c>
      <c r="G5518">
        <f>IF(DATOS!$A5518="",0,IF(CONFIG_METADATA!$B$4&lt;&gt;"OR+EX",--(DATOS!$G5518=CONFIG_METADATA!$B$4),IF(DATOS!$G5518="EX",1,IF(DATOS!$G5518="OR",--(COUNTIFS(nNIA,DATOS!$A5518,nCURSO,DATOS!$D5518,nESPEC,DATOS!$E5518,nASIG,DATOS!$I5518,nEVAL,"EX")=0),0))))</f>
      </c>
      <c r="H5518">
        <f>IF(DATOS!$G5518&lt;&gt;"EX",0,--(COUNTIFS(nNIA,DATOS!$A5518,nCURSO,DATOS!$D5518,nESPEC,DATOS!$E5518,nASIG,DATOS!$I5518,nEVAL,"OR")=0))</f>
      </c>
      <c r="I5518">
        <f>IF(DATOS!$I5518="","",IFERROR(VLOOKUP(DATOS!$I5518,CONFIG_ASIGNATURAS!$B$2:$J$91,9,FALSE()),""))</f>
      </c>
    </row>
    <row r="5519">
      <c r="F5519">
        <f>IF(DATOS!$A5519="","",DATOS!$A5519&amp;"|"&amp;DATOS!$D5519&amp;"|"&amp;DATOS!$E5519&amp;"|"&amp;DATOS!$I5519)</f>
      </c>
      <c r="G5519">
        <f>IF(DATOS!$A5519="",0,IF(CONFIG_METADATA!$B$4&lt;&gt;"OR+EX",--(DATOS!$G5519=CONFIG_METADATA!$B$4),IF(DATOS!$G5519="EX",1,IF(DATOS!$G5519="OR",--(COUNTIFS(nNIA,DATOS!$A5519,nCURSO,DATOS!$D5519,nESPEC,DATOS!$E5519,nASIG,DATOS!$I5519,nEVAL,"EX")=0),0))))</f>
      </c>
      <c r="H5519">
        <f>IF(DATOS!$G5519&lt;&gt;"EX",0,--(COUNTIFS(nNIA,DATOS!$A5519,nCURSO,DATOS!$D5519,nESPEC,DATOS!$E5519,nASIG,DATOS!$I5519,nEVAL,"OR")=0))</f>
      </c>
      <c r="I5519">
        <f>IF(DATOS!$I5519="","",IFERROR(VLOOKUP(DATOS!$I5519,CONFIG_ASIGNATURAS!$B$2:$J$91,9,FALSE()),""))</f>
      </c>
    </row>
    <row r="5520">
      <c r="F5520">
        <f>IF(DATOS!$A5520="","",DATOS!$A5520&amp;"|"&amp;DATOS!$D5520&amp;"|"&amp;DATOS!$E5520&amp;"|"&amp;DATOS!$I5520)</f>
      </c>
      <c r="G5520">
        <f>IF(DATOS!$A5520="",0,IF(CONFIG_METADATA!$B$4&lt;&gt;"OR+EX",--(DATOS!$G5520=CONFIG_METADATA!$B$4),IF(DATOS!$G5520="EX",1,IF(DATOS!$G5520="OR",--(COUNTIFS(nNIA,DATOS!$A5520,nCURSO,DATOS!$D5520,nESPEC,DATOS!$E5520,nASIG,DATOS!$I5520,nEVAL,"EX")=0),0))))</f>
      </c>
      <c r="H5520">
        <f>IF(DATOS!$G5520&lt;&gt;"EX",0,--(COUNTIFS(nNIA,DATOS!$A5520,nCURSO,DATOS!$D5520,nESPEC,DATOS!$E5520,nASIG,DATOS!$I5520,nEVAL,"OR")=0))</f>
      </c>
      <c r="I5520">
        <f>IF(DATOS!$I5520="","",IFERROR(VLOOKUP(DATOS!$I5520,CONFIG_ASIGNATURAS!$B$2:$J$91,9,FALSE()),""))</f>
      </c>
    </row>
    <row r="5521">
      <c r="F5521">
        <f>IF(DATOS!$A5521="","",DATOS!$A5521&amp;"|"&amp;DATOS!$D5521&amp;"|"&amp;DATOS!$E5521&amp;"|"&amp;DATOS!$I5521)</f>
      </c>
      <c r="G5521">
        <f>IF(DATOS!$A5521="",0,IF(CONFIG_METADATA!$B$4&lt;&gt;"OR+EX",--(DATOS!$G5521=CONFIG_METADATA!$B$4),IF(DATOS!$G5521="EX",1,IF(DATOS!$G5521="OR",--(COUNTIFS(nNIA,DATOS!$A5521,nCURSO,DATOS!$D5521,nESPEC,DATOS!$E5521,nASIG,DATOS!$I5521,nEVAL,"EX")=0),0))))</f>
      </c>
      <c r="H5521">
        <f>IF(DATOS!$G5521&lt;&gt;"EX",0,--(COUNTIFS(nNIA,DATOS!$A5521,nCURSO,DATOS!$D5521,nESPEC,DATOS!$E5521,nASIG,DATOS!$I5521,nEVAL,"OR")=0))</f>
      </c>
      <c r="I5521">
        <f>IF(DATOS!$I5521="","",IFERROR(VLOOKUP(DATOS!$I5521,CONFIG_ASIGNATURAS!$B$2:$J$91,9,FALSE()),""))</f>
      </c>
    </row>
    <row r="5522">
      <c r="F5522">
        <f>IF(DATOS!$A5522="","",DATOS!$A5522&amp;"|"&amp;DATOS!$D5522&amp;"|"&amp;DATOS!$E5522&amp;"|"&amp;DATOS!$I5522)</f>
      </c>
      <c r="G5522">
        <f>IF(DATOS!$A5522="",0,IF(CONFIG_METADATA!$B$4&lt;&gt;"OR+EX",--(DATOS!$G5522=CONFIG_METADATA!$B$4),IF(DATOS!$G5522="EX",1,IF(DATOS!$G5522="OR",--(COUNTIFS(nNIA,DATOS!$A5522,nCURSO,DATOS!$D5522,nESPEC,DATOS!$E5522,nASIG,DATOS!$I5522,nEVAL,"EX")=0),0))))</f>
      </c>
      <c r="H5522">
        <f>IF(DATOS!$G5522&lt;&gt;"EX",0,--(COUNTIFS(nNIA,DATOS!$A5522,nCURSO,DATOS!$D5522,nESPEC,DATOS!$E5522,nASIG,DATOS!$I5522,nEVAL,"OR")=0))</f>
      </c>
      <c r="I5522">
        <f>IF(DATOS!$I5522="","",IFERROR(VLOOKUP(DATOS!$I5522,CONFIG_ASIGNATURAS!$B$2:$J$91,9,FALSE()),""))</f>
      </c>
    </row>
    <row r="5523">
      <c r="F5523">
        <f>IF(DATOS!$A5523="","",DATOS!$A5523&amp;"|"&amp;DATOS!$D5523&amp;"|"&amp;DATOS!$E5523&amp;"|"&amp;DATOS!$I5523)</f>
      </c>
      <c r="G5523">
        <f>IF(DATOS!$A5523="",0,IF(CONFIG_METADATA!$B$4&lt;&gt;"OR+EX",--(DATOS!$G5523=CONFIG_METADATA!$B$4),IF(DATOS!$G5523="EX",1,IF(DATOS!$G5523="OR",--(COUNTIFS(nNIA,DATOS!$A5523,nCURSO,DATOS!$D5523,nESPEC,DATOS!$E5523,nASIG,DATOS!$I5523,nEVAL,"EX")=0),0))))</f>
      </c>
      <c r="H5523">
        <f>IF(DATOS!$G5523&lt;&gt;"EX",0,--(COUNTIFS(nNIA,DATOS!$A5523,nCURSO,DATOS!$D5523,nESPEC,DATOS!$E5523,nASIG,DATOS!$I5523,nEVAL,"OR")=0))</f>
      </c>
      <c r="I5523">
        <f>IF(DATOS!$I5523="","",IFERROR(VLOOKUP(DATOS!$I5523,CONFIG_ASIGNATURAS!$B$2:$J$91,9,FALSE()),""))</f>
      </c>
    </row>
    <row r="5524">
      <c r="F5524">
        <f>IF(DATOS!$A5524="","",DATOS!$A5524&amp;"|"&amp;DATOS!$D5524&amp;"|"&amp;DATOS!$E5524&amp;"|"&amp;DATOS!$I5524)</f>
      </c>
      <c r="G5524">
        <f>IF(DATOS!$A5524="",0,IF(CONFIG_METADATA!$B$4&lt;&gt;"OR+EX",--(DATOS!$G5524=CONFIG_METADATA!$B$4),IF(DATOS!$G5524="EX",1,IF(DATOS!$G5524="OR",--(COUNTIFS(nNIA,DATOS!$A5524,nCURSO,DATOS!$D5524,nESPEC,DATOS!$E5524,nASIG,DATOS!$I5524,nEVAL,"EX")=0),0))))</f>
      </c>
      <c r="H5524">
        <f>IF(DATOS!$G5524&lt;&gt;"EX",0,--(COUNTIFS(nNIA,DATOS!$A5524,nCURSO,DATOS!$D5524,nESPEC,DATOS!$E5524,nASIG,DATOS!$I5524,nEVAL,"OR")=0))</f>
      </c>
      <c r="I5524">
        <f>IF(DATOS!$I5524="","",IFERROR(VLOOKUP(DATOS!$I5524,CONFIG_ASIGNATURAS!$B$2:$J$91,9,FALSE()),""))</f>
      </c>
    </row>
    <row r="5525">
      <c r="F5525">
        <f>IF(DATOS!$A5525="","",DATOS!$A5525&amp;"|"&amp;DATOS!$D5525&amp;"|"&amp;DATOS!$E5525&amp;"|"&amp;DATOS!$I5525)</f>
      </c>
      <c r="G5525">
        <f>IF(DATOS!$A5525="",0,IF(CONFIG_METADATA!$B$4&lt;&gt;"OR+EX",--(DATOS!$G5525=CONFIG_METADATA!$B$4),IF(DATOS!$G5525="EX",1,IF(DATOS!$G5525="OR",--(COUNTIFS(nNIA,DATOS!$A5525,nCURSO,DATOS!$D5525,nESPEC,DATOS!$E5525,nASIG,DATOS!$I5525,nEVAL,"EX")=0),0))))</f>
      </c>
      <c r="H5525">
        <f>IF(DATOS!$G5525&lt;&gt;"EX",0,--(COUNTIFS(nNIA,DATOS!$A5525,nCURSO,DATOS!$D5525,nESPEC,DATOS!$E5525,nASIG,DATOS!$I5525,nEVAL,"OR")=0))</f>
      </c>
      <c r="I5525">
        <f>IF(DATOS!$I5525="","",IFERROR(VLOOKUP(DATOS!$I5525,CONFIG_ASIGNATURAS!$B$2:$J$91,9,FALSE()),""))</f>
      </c>
    </row>
    <row r="5526">
      <c r="F5526">
        <f>IF(DATOS!$A5526="","",DATOS!$A5526&amp;"|"&amp;DATOS!$D5526&amp;"|"&amp;DATOS!$E5526&amp;"|"&amp;DATOS!$I5526)</f>
      </c>
      <c r="G5526">
        <f>IF(DATOS!$A5526="",0,IF(CONFIG_METADATA!$B$4&lt;&gt;"OR+EX",--(DATOS!$G5526=CONFIG_METADATA!$B$4),IF(DATOS!$G5526="EX",1,IF(DATOS!$G5526="OR",--(COUNTIFS(nNIA,DATOS!$A5526,nCURSO,DATOS!$D5526,nESPEC,DATOS!$E5526,nASIG,DATOS!$I5526,nEVAL,"EX")=0),0))))</f>
      </c>
      <c r="H5526">
        <f>IF(DATOS!$G5526&lt;&gt;"EX",0,--(COUNTIFS(nNIA,DATOS!$A5526,nCURSO,DATOS!$D5526,nESPEC,DATOS!$E5526,nASIG,DATOS!$I5526,nEVAL,"OR")=0))</f>
      </c>
      <c r="I5526">
        <f>IF(DATOS!$I5526="","",IFERROR(VLOOKUP(DATOS!$I5526,CONFIG_ASIGNATURAS!$B$2:$J$91,9,FALSE()),""))</f>
      </c>
    </row>
    <row r="5527">
      <c r="F5527">
        <f>IF(DATOS!$A5527="","",DATOS!$A5527&amp;"|"&amp;DATOS!$D5527&amp;"|"&amp;DATOS!$E5527&amp;"|"&amp;DATOS!$I5527)</f>
      </c>
      <c r="G5527">
        <f>IF(DATOS!$A5527="",0,IF(CONFIG_METADATA!$B$4&lt;&gt;"OR+EX",--(DATOS!$G5527=CONFIG_METADATA!$B$4),IF(DATOS!$G5527="EX",1,IF(DATOS!$G5527="OR",--(COUNTIFS(nNIA,DATOS!$A5527,nCURSO,DATOS!$D5527,nESPEC,DATOS!$E5527,nASIG,DATOS!$I5527,nEVAL,"EX")=0),0))))</f>
      </c>
      <c r="H5527">
        <f>IF(DATOS!$G5527&lt;&gt;"EX",0,--(COUNTIFS(nNIA,DATOS!$A5527,nCURSO,DATOS!$D5527,nESPEC,DATOS!$E5527,nASIG,DATOS!$I5527,nEVAL,"OR")=0))</f>
      </c>
      <c r="I5527">
        <f>IF(DATOS!$I5527="","",IFERROR(VLOOKUP(DATOS!$I5527,CONFIG_ASIGNATURAS!$B$2:$J$91,9,FALSE()),""))</f>
      </c>
    </row>
    <row r="5528">
      <c r="F5528">
        <f>IF(DATOS!$A5528="","",DATOS!$A5528&amp;"|"&amp;DATOS!$D5528&amp;"|"&amp;DATOS!$E5528&amp;"|"&amp;DATOS!$I5528)</f>
      </c>
      <c r="G5528">
        <f>IF(DATOS!$A5528="",0,IF(CONFIG_METADATA!$B$4&lt;&gt;"OR+EX",--(DATOS!$G5528=CONFIG_METADATA!$B$4),IF(DATOS!$G5528="EX",1,IF(DATOS!$G5528="OR",--(COUNTIFS(nNIA,DATOS!$A5528,nCURSO,DATOS!$D5528,nESPEC,DATOS!$E5528,nASIG,DATOS!$I5528,nEVAL,"EX")=0),0))))</f>
      </c>
      <c r="H5528">
        <f>IF(DATOS!$G5528&lt;&gt;"EX",0,--(COUNTIFS(nNIA,DATOS!$A5528,nCURSO,DATOS!$D5528,nESPEC,DATOS!$E5528,nASIG,DATOS!$I5528,nEVAL,"OR")=0))</f>
      </c>
      <c r="I5528">
        <f>IF(DATOS!$I5528="","",IFERROR(VLOOKUP(DATOS!$I5528,CONFIG_ASIGNATURAS!$B$2:$J$91,9,FALSE()),""))</f>
      </c>
    </row>
    <row r="5529">
      <c r="F5529">
        <f>IF(DATOS!$A5529="","",DATOS!$A5529&amp;"|"&amp;DATOS!$D5529&amp;"|"&amp;DATOS!$E5529&amp;"|"&amp;DATOS!$I5529)</f>
      </c>
      <c r="G5529">
        <f>IF(DATOS!$A5529="",0,IF(CONFIG_METADATA!$B$4&lt;&gt;"OR+EX",--(DATOS!$G5529=CONFIG_METADATA!$B$4),IF(DATOS!$G5529="EX",1,IF(DATOS!$G5529="OR",--(COUNTIFS(nNIA,DATOS!$A5529,nCURSO,DATOS!$D5529,nESPEC,DATOS!$E5529,nASIG,DATOS!$I5529,nEVAL,"EX")=0),0))))</f>
      </c>
      <c r="H5529">
        <f>IF(DATOS!$G5529&lt;&gt;"EX",0,--(COUNTIFS(nNIA,DATOS!$A5529,nCURSO,DATOS!$D5529,nESPEC,DATOS!$E5529,nASIG,DATOS!$I5529,nEVAL,"OR")=0))</f>
      </c>
      <c r="I5529">
        <f>IF(DATOS!$I5529="","",IFERROR(VLOOKUP(DATOS!$I5529,CONFIG_ASIGNATURAS!$B$2:$J$91,9,FALSE()),""))</f>
      </c>
    </row>
    <row r="5530">
      <c r="F5530">
        <f>IF(DATOS!$A5530="","",DATOS!$A5530&amp;"|"&amp;DATOS!$D5530&amp;"|"&amp;DATOS!$E5530&amp;"|"&amp;DATOS!$I5530)</f>
      </c>
      <c r="G5530">
        <f>IF(DATOS!$A5530="",0,IF(CONFIG_METADATA!$B$4&lt;&gt;"OR+EX",--(DATOS!$G5530=CONFIG_METADATA!$B$4),IF(DATOS!$G5530="EX",1,IF(DATOS!$G5530="OR",--(COUNTIFS(nNIA,DATOS!$A5530,nCURSO,DATOS!$D5530,nESPEC,DATOS!$E5530,nASIG,DATOS!$I5530,nEVAL,"EX")=0),0))))</f>
      </c>
      <c r="H5530">
        <f>IF(DATOS!$G5530&lt;&gt;"EX",0,--(COUNTIFS(nNIA,DATOS!$A5530,nCURSO,DATOS!$D5530,nESPEC,DATOS!$E5530,nASIG,DATOS!$I5530,nEVAL,"OR")=0))</f>
      </c>
      <c r="I5530">
        <f>IF(DATOS!$I5530="","",IFERROR(VLOOKUP(DATOS!$I5530,CONFIG_ASIGNATURAS!$B$2:$J$91,9,FALSE()),""))</f>
      </c>
    </row>
    <row r="5531">
      <c r="F5531">
        <f>IF(DATOS!$A5531="","",DATOS!$A5531&amp;"|"&amp;DATOS!$D5531&amp;"|"&amp;DATOS!$E5531&amp;"|"&amp;DATOS!$I5531)</f>
      </c>
      <c r="G5531">
        <f>IF(DATOS!$A5531="",0,IF(CONFIG_METADATA!$B$4&lt;&gt;"OR+EX",--(DATOS!$G5531=CONFIG_METADATA!$B$4),IF(DATOS!$G5531="EX",1,IF(DATOS!$G5531="OR",--(COUNTIFS(nNIA,DATOS!$A5531,nCURSO,DATOS!$D5531,nESPEC,DATOS!$E5531,nASIG,DATOS!$I5531,nEVAL,"EX")=0),0))))</f>
      </c>
      <c r="H5531">
        <f>IF(DATOS!$G5531&lt;&gt;"EX",0,--(COUNTIFS(nNIA,DATOS!$A5531,nCURSO,DATOS!$D5531,nESPEC,DATOS!$E5531,nASIG,DATOS!$I5531,nEVAL,"OR")=0))</f>
      </c>
      <c r="I5531">
        <f>IF(DATOS!$I5531="","",IFERROR(VLOOKUP(DATOS!$I5531,CONFIG_ASIGNATURAS!$B$2:$J$91,9,FALSE()),""))</f>
      </c>
    </row>
    <row r="5532">
      <c r="F5532">
        <f>IF(DATOS!$A5532="","",DATOS!$A5532&amp;"|"&amp;DATOS!$D5532&amp;"|"&amp;DATOS!$E5532&amp;"|"&amp;DATOS!$I5532)</f>
      </c>
      <c r="G5532">
        <f>IF(DATOS!$A5532="",0,IF(CONFIG_METADATA!$B$4&lt;&gt;"OR+EX",--(DATOS!$G5532=CONFIG_METADATA!$B$4),IF(DATOS!$G5532="EX",1,IF(DATOS!$G5532="OR",--(COUNTIFS(nNIA,DATOS!$A5532,nCURSO,DATOS!$D5532,nESPEC,DATOS!$E5532,nASIG,DATOS!$I5532,nEVAL,"EX")=0),0))))</f>
      </c>
      <c r="H5532">
        <f>IF(DATOS!$G5532&lt;&gt;"EX",0,--(COUNTIFS(nNIA,DATOS!$A5532,nCURSO,DATOS!$D5532,nESPEC,DATOS!$E5532,nASIG,DATOS!$I5532,nEVAL,"OR")=0))</f>
      </c>
      <c r="I5532">
        <f>IF(DATOS!$I5532="","",IFERROR(VLOOKUP(DATOS!$I5532,CONFIG_ASIGNATURAS!$B$2:$J$91,9,FALSE()),""))</f>
      </c>
    </row>
    <row r="5533">
      <c r="F5533">
        <f>IF(DATOS!$A5533="","",DATOS!$A5533&amp;"|"&amp;DATOS!$D5533&amp;"|"&amp;DATOS!$E5533&amp;"|"&amp;DATOS!$I5533)</f>
      </c>
      <c r="G5533">
        <f>IF(DATOS!$A5533="",0,IF(CONFIG_METADATA!$B$4&lt;&gt;"OR+EX",--(DATOS!$G5533=CONFIG_METADATA!$B$4),IF(DATOS!$G5533="EX",1,IF(DATOS!$G5533="OR",--(COUNTIFS(nNIA,DATOS!$A5533,nCURSO,DATOS!$D5533,nESPEC,DATOS!$E5533,nASIG,DATOS!$I5533,nEVAL,"EX")=0),0))))</f>
      </c>
      <c r="H5533">
        <f>IF(DATOS!$G5533&lt;&gt;"EX",0,--(COUNTIFS(nNIA,DATOS!$A5533,nCURSO,DATOS!$D5533,nESPEC,DATOS!$E5533,nASIG,DATOS!$I5533,nEVAL,"OR")=0))</f>
      </c>
      <c r="I5533">
        <f>IF(DATOS!$I5533="","",IFERROR(VLOOKUP(DATOS!$I5533,CONFIG_ASIGNATURAS!$B$2:$J$91,9,FALSE()),""))</f>
      </c>
    </row>
    <row r="5534">
      <c r="F5534">
        <f>IF(DATOS!$A5534="","",DATOS!$A5534&amp;"|"&amp;DATOS!$D5534&amp;"|"&amp;DATOS!$E5534&amp;"|"&amp;DATOS!$I5534)</f>
      </c>
      <c r="G5534">
        <f>IF(DATOS!$A5534="",0,IF(CONFIG_METADATA!$B$4&lt;&gt;"OR+EX",--(DATOS!$G5534=CONFIG_METADATA!$B$4),IF(DATOS!$G5534="EX",1,IF(DATOS!$G5534="OR",--(COUNTIFS(nNIA,DATOS!$A5534,nCURSO,DATOS!$D5534,nESPEC,DATOS!$E5534,nASIG,DATOS!$I5534,nEVAL,"EX")=0),0))))</f>
      </c>
      <c r="H5534">
        <f>IF(DATOS!$G5534&lt;&gt;"EX",0,--(COUNTIFS(nNIA,DATOS!$A5534,nCURSO,DATOS!$D5534,nESPEC,DATOS!$E5534,nASIG,DATOS!$I5534,nEVAL,"OR")=0))</f>
      </c>
      <c r="I5534">
        <f>IF(DATOS!$I5534="","",IFERROR(VLOOKUP(DATOS!$I5534,CONFIG_ASIGNATURAS!$B$2:$J$91,9,FALSE()),""))</f>
      </c>
    </row>
    <row r="5535">
      <c r="F5535">
        <f>IF(DATOS!$A5535="","",DATOS!$A5535&amp;"|"&amp;DATOS!$D5535&amp;"|"&amp;DATOS!$E5535&amp;"|"&amp;DATOS!$I5535)</f>
      </c>
      <c r="G5535">
        <f>IF(DATOS!$A5535="",0,IF(CONFIG_METADATA!$B$4&lt;&gt;"OR+EX",--(DATOS!$G5535=CONFIG_METADATA!$B$4),IF(DATOS!$G5535="EX",1,IF(DATOS!$G5535="OR",--(COUNTIFS(nNIA,DATOS!$A5535,nCURSO,DATOS!$D5535,nESPEC,DATOS!$E5535,nASIG,DATOS!$I5535,nEVAL,"EX")=0),0))))</f>
      </c>
      <c r="H5535">
        <f>IF(DATOS!$G5535&lt;&gt;"EX",0,--(COUNTIFS(nNIA,DATOS!$A5535,nCURSO,DATOS!$D5535,nESPEC,DATOS!$E5535,nASIG,DATOS!$I5535,nEVAL,"OR")=0))</f>
      </c>
      <c r="I5535">
        <f>IF(DATOS!$I5535="","",IFERROR(VLOOKUP(DATOS!$I5535,CONFIG_ASIGNATURAS!$B$2:$J$91,9,FALSE()),""))</f>
      </c>
    </row>
    <row r="5536">
      <c r="F5536">
        <f>IF(DATOS!$A5536="","",DATOS!$A5536&amp;"|"&amp;DATOS!$D5536&amp;"|"&amp;DATOS!$E5536&amp;"|"&amp;DATOS!$I5536)</f>
      </c>
      <c r="G5536">
        <f>IF(DATOS!$A5536="",0,IF(CONFIG_METADATA!$B$4&lt;&gt;"OR+EX",--(DATOS!$G5536=CONFIG_METADATA!$B$4),IF(DATOS!$G5536="EX",1,IF(DATOS!$G5536="OR",--(COUNTIFS(nNIA,DATOS!$A5536,nCURSO,DATOS!$D5536,nESPEC,DATOS!$E5536,nASIG,DATOS!$I5536,nEVAL,"EX")=0),0))))</f>
      </c>
      <c r="H5536">
        <f>IF(DATOS!$G5536&lt;&gt;"EX",0,--(COUNTIFS(nNIA,DATOS!$A5536,nCURSO,DATOS!$D5536,nESPEC,DATOS!$E5536,nASIG,DATOS!$I5536,nEVAL,"OR")=0))</f>
      </c>
      <c r="I5536">
        <f>IF(DATOS!$I5536="","",IFERROR(VLOOKUP(DATOS!$I5536,CONFIG_ASIGNATURAS!$B$2:$J$91,9,FALSE()),""))</f>
      </c>
    </row>
    <row r="5537">
      <c r="F5537">
        <f>IF(DATOS!$A5537="","",DATOS!$A5537&amp;"|"&amp;DATOS!$D5537&amp;"|"&amp;DATOS!$E5537&amp;"|"&amp;DATOS!$I5537)</f>
      </c>
      <c r="G5537">
        <f>IF(DATOS!$A5537="",0,IF(CONFIG_METADATA!$B$4&lt;&gt;"OR+EX",--(DATOS!$G5537=CONFIG_METADATA!$B$4),IF(DATOS!$G5537="EX",1,IF(DATOS!$G5537="OR",--(COUNTIFS(nNIA,DATOS!$A5537,nCURSO,DATOS!$D5537,nESPEC,DATOS!$E5537,nASIG,DATOS!$I5537,nEVAL,"EX")=0),0))))</f>
      </c>
      <c r="H5537">
        <f>IF(DATOS!$G5537&lt;&gt;"EX",0,--(COUNTIFS(nNIA,DATOS!$A5537,nCURSO,DATOS!$D5537,nESPEC,DATOS!$E5537,nASIG,DATOS!$I5537,nEVAL,"OR")=0))</f>
      </c>
      <c r="I5537">
        <f>IF(DATOS!$I5537="","",IFERROR(VLOOKUP(DATOS!$I5537,CONFIG_ASIGNATURAS!$B$2:$J$91,9,FALSE()),""))</f>
      </c>
    </row>
    <row r="5538">
      <c r="F5538">
        <f>IF(DATOS!$A5538="","",DATOS!$A5538&amp;"|"&amp;DATOS!$D5538&amp;"|"&amp;DATOS!$E5538&amp;"|"&amp;DATOS!$I5538)</f>
      </c>
      <c r="G5538">
        <f>IF(DATOS!$A5538="",0,IF(CONFIG_METADATA!$B$4&lt;&gt;"OR+EX",--(DATOS!$G5538=CONFIG_METADATA!$B$4),IF(DATOS!$G5538="EX",1,IF(DATOS!$G5538="OR",--(COUNTIFS(nNIA,DATOS!$A5538,nCURSO,DATOS!$D5538,nESPEC,DATOS!$E5538,nASIG,DATOS!$I5538,nEVAL,"EX")=0),0))))</f>
      </c>
      <c r="H5538">
        <f>IF(DATOS!$G5538&lt;&gt;"EX",0,--(COUNTIFS(nNIA,DATOS!$A5538,nCURSO,DATOS!$D5538,nESPEC,DATOS!$E5538,nASIG,DATOS!$I5538,nEVAL,"OR")=0))</f>
      </c>
      <c r="I5538">
        <f>IF(DATOS!$I5538="","",IFERROR(VLOOKUP(DATOS!$I5538,CONFIG_ASIGNATURAS!$B$2:$J$91,9,FALSE()),""))</f>
      </c>
    </row>
    <row r="5539">
      <c r="F5539">
        <f>IF(DATOS!$A5539="","",DATOS!$A5539&amp;"|"&amp;DATOS!$D5539&amp;"|"&amp;DATOS!$E5539&amp;"|"&amp;DATOS!$I5539)</f>
      </c>
      <c r="G5539">
        <f>IF(DATOS!$A5539="",0,IF(CONFIG_METADATA!$B$4&lt;&gt;"OR+EX",--(DATOS!$G5539=CONFIG_METADATA!$B$4),IF(DATOS!$G5539="EX",1,IF(DATOS!$G5539="OR",--(COUNTIFS(nNIA,DATOS!$A5539,nCURSO,DATOS!$D5539,nESPEC,DATOS!$E5539,nASIG,DATOS!$I5539,nEVAL,"EX")=0),0))))</f>
      </c>
      <c r="H5539">
        <f>IF(DATOS!$G5539&lt;&gt;"EX",0,--(COUNTIFS(nNIA,DATOS!$A5539,nCURSO,DATOS!$D5539,nESPEC,DATOS!$E5539,nASIG,DATOS!$I5539,nEVAL,"OR")=0))</f>
      </c>
      <c r="I5539">
        <f>IF(DATOS!$I5539="","",IFERROR(VLOOKUP(DATOS!$I5539,CONFIG_ASIGNATURAS!$B$2:$J$91,9,FALSE()),""))</f>
      </c>
    </row>
    <row r="5540">
      <c r="F5540">
        <f>IF(DATOS!$A5540="","",DATOS!$A5540&amp;"|"&amp;DATOS!$D5540&amp;"|"&amp;DATOS!$E5540&amp;"|"&amp;DATOS!$I5540)</f>
      </c>
      <c r="G5540">
        <f>IF(DATOS!$A5540="",0,IF(CONFIG_METADATA!$B$4&lt;&gt;"OR+EX",--(DATOS!$G5540=CONFIG_METADATA!$B$4),IF(DATOS!$G5540="EX",1,IF(DATOS!$G5540="OR",--(COUNTIFS(nNIA,DATOS!$A5540,nCURSO,DATOS!$D5540,nESPEC,DATOS!$E5540,nASIG,DATOS!$I5540,nEVAL,"EX")=0),0))))</f>
      </c>
      <c r="H5540">
        <f>IF(DATOS!$G5540&lt;&gt;"EX",0,--(COUNTIFS(nNIA,DATOS!$A5540,nCURSO,DATOS!$D5540,nESPEC,DATOS!$E5540,nASIG,DATOS!$I5540,nEVAL,"OR")=0))</f>
      </c>
      <c r="I5540">
        <f>IF(DATOS!$I5540="","",IFERROR(VLOOKUP(DATOS!$I5540,CONFIG_ASIGNATURAS!$B$2:$J$91,9,FALSE()),""))</f>
      </c>
    </row>
    <row r="5541">
      <c r="F5541">
        <f>IF(DATOS!$A5541="","",DATOS!$A5541&amp;"|"&amp;DATOS!$D5541&amp;"|"&amp;DATOS!$E5541&amp;"|"&amp;DATOS!$I5541)</f>
      </c>
      <c r="G5541">
        <f>IF(DATOS!$A5541="",0,IF(CONFIG_METADATA!$B$4&lt;&gt;"OR+EX",--(DATOS!$G5541=CONFIG_METADATA!$B$4),IF(DATOS!$G5541="EX",1,IF(DATOS!$G5541="OR",--(COUNTIFS(nNIA,DATOS!$A5541,nCURSO,DATOS!$D5541,nESPEC,DATOS!$E5541,nASIG,DATOS!$I5541,nEVAL,"EX")=0),0))))</f>
      </c>
      <c r="H5541">
        <f>IF(DATOS!$G5541&lt;&gt;"EX",0,--(COUNTIFS(nNIA,DATOS!$A5541,nCURSO,DATOS!$D5541,nESPEC,DATOS!$E5541,nASIG,DATOS!$I5541,nEVAL,"OR")=0))</f>
      </c>
      <c r="I5541">
        <f>IF(DATOS!$I5541="","",IFERROR(VLOOKUP(DATOS!$I5541,CONFIG_ASIGNATURAS!$B$2:$J$91,9,FALSE()),""))</f>
      </c>
    </row>
    <row r="5542">
      <c r="F5542">
        <f>IF(DATOS!$A5542="","",DATOS!$A5542&amp;"|"&amp;DATOS!$D5542&amp;"|"&amp;DATOS!$E5542&amp;"|"&amp;DATOS!$I5542)</f>
      </c>
      <c r="G5542">
        <f>IF(DATOS!$A5542="",0,IF(CONFIG_METADATA!$B$4&lt;&gt;"OR+EX",--(DATOS!$G5542=CONFIG_METADATA!$B$4),IF(DATOS!$G5542="EX",1,IF(DATOS!$G5542="OR",--(COUNTIFS(nNIA,DATOS!$A5542,nCURSO,DATOS!$D5542,nESPEC,DATOS!$E5542,nASIG,DATOS!$I5542,nEVAL,"EX")=0),0))))</f>
      </c>
      <c r="H5542">
        <f>IF(DATOS!$G5542&lt;&gt;"EX",0,--(COUNTIFS(nNIA,DATOS!$A5542,nCURSO,DATOS!$D5542,nESPEC,DATOS!$E5542,nASIG,DATOS!$I5542,nEVAL,"OR")=0))</f>
      </c>
      <c r="I5542">
        <f>IF(DATOS!$I5542="","",IFERROR(VLOOKUP(DATOS!$I5542,CONFIG_ASIGNATURAS!$B$2:$J$91,9,FALSE()),""))</f>
      </c>
    </row>
    <row r="5543">
      <c r="F5543">
        <f>IF(DATOS!$A5543="","",DATOS!$A5543&amp;"|"&amp;DATOS!$D5543&amp;"|"&amp;DATOS!$E5543&amp;"|"&amp;DATOS!$I5543)</f>
      </c>
      <c r="G5543">
        <f>IF(DATOS!$A5543="",0,IF(CONFIG_METADATA!$B$4&lt;&gt;"OR+EX",--(DATOS!$G5543=CONFIG_METADATA!$B$4),IF(DATOS!$G5543="EX",1,IF(DATOS!$G5543="OR",--(COUNTIFS(nNIA,DATOS!$A5543,nCURSO,DATOS!$D5543,nESPEC,DATOS!$E5543,nASIG,DATOS!$I5543,nEVAL,"EX")=0),0))))</f>
      </c>
      <c r="H5543">
        <f>IF(DATOS!$G5543&lt;&gt;"EX",0,--(COUNTIFS(nNIA,DATOS!$A5543,nCURSO,DATOS!$D5543,nESPEC,DATOS!$E5543,nASIG,DATOS!$I5543,nEVAL,"OR")=0))</f>
      </c>
      <c r="I5543">
        <f>IF(DATOS!$I5543="","",IFERROR(VLOOKUP(DATOS!$I5543,CONFIG_ASIGNATURAS!$B$2:$J$91,9,FALSE()),""))</f>
      </c>
    </row>
    <row r="5544">
      <c r="F5544">
        <f>IF(DATOS!$A5544="","",DATOS!$A5544&amp;"|"&amp;DATOS!$D5544&amp;"|"&amp;DATOS!$E5544&amp;"|"&amp;DATOS!$I5544)</f>
      </c>
      <c r="G5544">
        <f>IF(DATOS!$A5544="",0,IF(CONFIG_METADATA!$B$4&lt;&gt;"OR+EX",--(DATOS!$G5544=CONFIG_METADATA!$B$4),IF(DATOS!$G5544="EX",1,IF(DATOS!$G5544="OR",--(COUNTIFS(nNIA,DATOS!$A5544,nCURSO,DATOS!$D5544,nESPEC,DATOS!$E5544,nASIG,DATOS!$I5544,nEVAL,"EX")=0),0))))</f>
      </c>
      <c r="H5544">
        <f>IF(DATOS!$G5544&lt;&gt;"EX",0,--(COUNTIFS(nNIA,DATOS!$A5544,nCURSO,DATOS!$D5544,nESPEC,DATOS!$E5544,nASIG,DATOS!$I5544,nEVAL,"OR")=0))</f>
      </c>
      <c r="I5544">
        <f>IF(DATOS!$I5544="","",IFERROR(VLOOKUP(DATOS!$I5544,CONFIG_ASIGNATURAS!$B$2:$J$91,9,FALSE()),""))</f>
      </c>
    </row>
    <row r="5545">
      <c r="F5545">
        <f>IF(DATOS!$A5545="","",DATOS!$A5545&amp;"|"&amp;DATOS!$D5545&amp;"|"&amp;DATOS!$E5545&amp;"|"&amp;DATOS!$I5545)</f>
      </c>
      <c r="G5545">
        <f>IF(DATOS!$A5545="",0,IF(CONFIG_METADATA!$B$4&lt;&gt;"OR+EX",--(DATOS!$G5545=CONFIG_METADATA!$B$4),IF(DATOS!$G5545="EX",1,IF(DATOS!$G5545="OR",--(COUNTIFS(nNIA,DATOS!$A5545,nCURSO,DATOS!$D5545,nESPEC,DATOS!$E5545,nASIG,DATOS!$I5545,nEVAL,"EX")=0),0))))</f>
      </c>
      <c r="H5545">
        <f>IF(DATOS!$G5545&lt;&gt;"EX",0,--(COUNTIFS(nNIA,DATOS!$A5545,nCURSO,DATOS!$D5545,nESPEC,DATOS!$E5545,nASIG,DATOS!$I5545,nEVAL,"OR")=0))</f>
      </c>
      <c r="I5545">
        <f>IF(DATOS!$I5545="","",IFERROR(VLOOKUP(DATOS!$I5545,CONFIG_ASIGNATURAS!$B$2:$J$91,9,FALSE()),""))</f>
      </c>
    </row>
    <row r="5546">
      <c r="F5546">
        <f>IF(DATOS!$A5546="","",DATOS!$A5546&amp;"|"&amp;DATOS!$D5546&amp;"|"&amp;DATOS!$E5546&amp;"|"&amp;DATOS!$I5546)</f>
      </c>
      <c r="G5546">
        <f>IF(DATOS!$A5546="",0,IF(CONFIG_METADATA!$B$4&lt;&gt;"OR+EX",--(DATOS!$G5546=CONFIG_METADATA!$B$4),IF(DATOS!$G5546="EX",1,IF(DATOS!$G5546="OR",--(COUNTIFS(nNIA,DATOS!$A5546,nCURSO,DATOS!$D5546,nESPEC,DATOS!$E5546,nASIG,DATOS!$I5546,nEVAL,"EX")=0),0))))</f>
      </c>
      <c r="H5546">
        <f>IF(DATOS!$G5546&lt;&gt;"EX",0,--(COUNTIFS(nNIA,DATOS!$A5546,nCURSO,DATOS!$D5546,nESPEC,DATOS!$E5546,nASIG,DATOS!$I5546,nEVAL,"OR")=0))</f>
      </c>
      <c r="I5546">
        <f>IF(DATOS!$I5546="","",IFERROR(VLOOKUP(DATOS!$I5546,CONFIG_ASIGNATURAS!$B$2:$J$91,9,FALSE()),""))</f>
      </c>
    </row>
    <row r="5547">
      <c r="F5547">
        <f>IF(DATOS!$A5547="","",DATOS!$A5547&amp;"|"&amp;DATOS!$D5547&amp;"|"&amp;DATOS!$E5547&amp;"|"&amp;DATOS!$I5547)</f>
      </c>
      <c r="G5547">
        <f>IF(DATOS!$A5547="",0,IF(CONFIG_METADATA!$B$4&lt;&gt;"OR+EX",--(DATOS!$G5547=CONFIG_METADATA!$B$4),IF(DATOS!$G5547="EX",1,IF(DATOS!$G5547="OR",--(COUNTIFS(nNIA,DATOS!$A5547,nCURSO,DATOS!$D5547,nESPEC,DATOS!$E5547,nASIG,DATOS!$I5547,nEVAL,"EX")=0),0))))</f>
      </c>
      <c r="H5547">
        <f>IF(DATOS!$G5547&lt;&gt;"EX",0,--(COUNTIFS(nNIA,DATOS!$A5547,nCURSO,DATOS!$D5547,nESPEC,DATOS!$E5547,nASIG,DATOS!$I5547,nEVAL,"OR")=0))</f>
      </c>
      <c r="I5547">
        <f>IF(DATOS!$I5547="","",IFERROR(VLOOKUP(DATOS!$I5547,CONFIG_ASIGNATURAS!$B$2:$J$91,9,FALSE()),""))</f>
      </c>
    </row>
    <row r="5548">
      <c r="F5548">
        <f>IF(DATOS!$A5548="","",DATOS!$A5548&amp;"|"&amp;DATOS!$D5548&amp;"|"&amp;DATOS!$E5548&amp;"|"&amp;DATOS!$I5548)</f>
      </c>
      <c r="G5548">
        <f>IF(DATOS!$A5548="",0,IF(CONFIG_METADATA!$B$4&lt;&gt;"OR+EX",--(DATOS!$G5548=CONFIG_METADATA!$B$4),IF(DATOS!$G5548="EX",1,IF(DATOS!$G5548="OR",--(COUNTIFS(nNIA,DATOS!$A5548,nCURSO,DATOS!$D5548,nESPEC,DATOS!$E5548,nASIG,DATOS!$I5548,nEVAL,"EX")=0),0))))</f>
      </c>
      <c r="H5548">
        <f>IF(DATOS!$G5548&lt;&gt;"EX",0,--(COUNTIFS(nNIA,DATOS!$A5548,nCURSO,DATOS!$D5548,nESPEC,DATOS!$E5548,nASIG,DATOS!$I5548,nEVAL,"OR")=0))</f>
      </c>
      <c r="I5548">
        <f>IF(DATOS!$I5548="","",IFERROR(VLOOKUP(DATOS!$I5548,CONFIG_ASIGNATURAS!$B$2:$J$91,9,FALSE()),""))</f>
      </c>
    </row>
    <row r="5549">
      <c r="F5549">
        <f>IF(DATOS!$A5549="","",DATOS!$A5549&amp;"|"&amp;DATOS!$D5549&amp;"|"&amp;DATOS!$E5549&amp;"|"&amp;DATOS!$I5549)</f>
      </c>
      <c r="G5549">
        <f>IF(DATOS!$A5549="",0,IF(CONFIG_METADATA!$B$4&lt;&gt;"OR+EX",--(DATOS!$G5549=CONFIG_METADATA!$B$4),IF(DATOS!$G5549="EX",1,IF(DATOS!$G5549="OR",--(COUNTIFS(nNIA,DATOS!$A5549,nCURSO,DATOS!$D5549,nESPEC,DATOS!$E5549,nASIG,DATOS!$I5549,nEVAL,"EX")=0),0))))</f>
      </c>
      <c r="H5549">
        <f>IF(DATOS!$G5549&lt;&gt;"EX",0,--(COUNTIFS(nNIA,DATOS!$A5549,nCURSO,DATOS!$D5549,nESPEC,DATOS!$E5549,nASIG,DATOS!$I5549,nEVAL,"OR")=0))</f>
      </c>
      <c r="I5549">
        <f>IF(DATOS!$I5549="","",IFERROR(VLOOKUP(DATOS!$I5549,CONFIG_ASIGNATURAS!$B$2:$J$91,9,FALSE()),""))</f>
      </c>
    </row>
    <row r="5550">
      <c r="F5550">
        <f>IF(DATOS!$A5550="","",DATOS!$A5550&amp;"|"&amp;DATOS!$D5550&amp;"|"&amp;DATOS!$E5550&amp;"|"&amp;DATOS!$I5550)</f>
      </c>
      <c r="G5550">
        <f>IF(DATOS!$A5550="",0,IF(CONFIG_METADATA!$B$4&lt;&gt;"OR+EX",--(DATOS!$G5550=CONFIG_METADATA!$B$4),IF(DATOS!$G5550="EX",1,IF(DATOS!$G5550="OR",--(COUNTIFS(nNIA,DATOS!$A5550,nCURSO,DATOS!$D5550,nESPEC,DATOS!$E5550,nASIG,DATOS!$I5550,nEVAL,"EX")=0),0))))</f>
      </c>
      <c r="H5550">
        <f>IF(DATOS!$G5550&lt;&gt;"EX",0,--(COUNTIFS(nNIA,DATOS!$A5550,nCURSO,DATOS!$D5550,nESPEC,DATOS!$E5550,nASIG,DATOS!$I5550,nEVAL,"OR")=0))</f>
      </c>
      <c r="I5550">
        <f>IF(DATOS!$I5550="","",IFERROR(VLOOKUP(DATOS!$I5550,CONFIG_ASIGNATURAS!$B$2:$J$91,9,FALSE()),""))</f>
      </c>
    </row>
    <row r="5551">
      <c r="F5551">
        <f>IF(DATOS!$A5551="","",DATOS!$A5551&amp;"|"&amp;DATOS!$D5551&amp;"|"&amp;DATOS!$E5551&amp;"|"&amp;DATOS!$I5551)</f>
      </c>
      <c r="G5551">
        <f>IF(DATOS!$A5551="",0,IF(CONFIG_METADATA!$B$4&lt;&gt;"OR+EX",--(DATOS!$G5551=CONFIG_METADATA!$B$4),IF(DATOS!$G5551="EX",1,IF(DATOS!$G5551="OR",--(COUNTIFS(nNIA,DATOS!$A5551,nCURSO,DATOS!$D5551,nESPEC,DATOS!$E5551,nASIG,DATOS!$I5551,nEVAL,"EX")=0),0))))</f>
      </c>
      <c r="H5551">
        <f>IF(DATOS!$G5551&lt;&gt;"EX",0,--(COUNTIFS(nNIA,DATOS!$A5551,nCURSO,DATOS!$D5551,nESPEC,DATOS!$E5551,nASIG,DATOS!$I5551,nEVAL,"OR")=0))</f>
      </c>
      <c r="I5551">
        <f>IF(DATOS!$I5551="","",IFERROR(VLOOKUP(DATOS!$I5551,CONFIG_ASIGNATURAS!$B$2:$J$91,9,FALSE()),""))</f>
      </c>
    </row>
    <row r="5552">
      <c r="F5552">
        <f>IF(DATOS!$A5552="","",DATOS!$A5552&amp;"|"&amp;DATOS!$D5552&amp;"|"&amp;DATOS!$E5552&amp;"|"&amp;DATOS!$I5552)</f>
      </c>
      <c r="G5552">
        <f>IF(DATOS!$A5552="",0,IF(CONFIG_METADATA!$B$4&lt;&gt;"OR+EX",--(DATOS!$G5552=CONFIG_METADATA!$B$4),IF(DATOS!$G5552="EX",1,IF(DATOS!$G5552="OR",--(COUNTIFS(nNIA,DATOS!$A5552,nCURSO,DATOS!$D5552,nESPEC,DATOS!$E5552,nASIG,DATOS!$I5552,nEVAL,"EX")=0),0))))</f>
      </c>
      <c r="H5552">
        <f>IF(DATOS!$G5552&lt;&gt;"EX",0,--(COUNTIFS(nNIA,DATOS!$A5552,nCURSO,DATOS!$D5552,nESPEC,DATOS!$E5552,nASIG,DATOS!$I5552,nEVAL,"OR")=0))</f>
      </c>
      <c r="I5552">
        <f>IF(DATOS!$I5552="","",IFERROR(VLOOKUP(DATOS!$I5552,CONFIG_ASIGNATURAS!$B$2:$J$91,9,FALSE()),""))</f>
      </c>
    </row>
    <row r="5553">
      <c r="F5553">
        <f>IF(DATOS!$A5553="","",DATOS!$A5553&amp;"|"&amp;DATOS!$D5553&amp;"|"&amp;DATOS!$E5553&amp;"|"&amp;DATOS!$I5553)</f>
      </c>
      <c r="G5553">
        <f>IF(DATOS!$A5553="",0,IF(CONFIG_METADATA!$B$4&lt;&gt;"OR+EX",--(DATOS!$G5553=CONFIG_METADATA!$B$4),IF(DATOS!$G5553="EX",1,IF(DATOS!$G5553="OR",--(COUNTIFS(nNIA,DATOS!$A5553,nCURSO,DATOS!$D5553,nESPEC,DATOS!$E5553,nASIG,DATOS!$I5553,nEVAL,"EX")=0),0))))</f>
      </c>
      <c r="H5553">
        <f>IF(DATOS!$G5553&lt;&gt;"EX",0,--(COUNTIFS(nNIA,DATOS!$A5553,nCURSO,DATOS!$D5553,nESPEC,DATOS!$E5553,nASIG,DATOS!$I5553,nEVAL,"OR")=0))</f>
      </c>
      <c r="I5553">
        <f>IF(DATOS!$I5553="","",IFERROR(VLOOKUP(DATOS!$I5553,CONFIG_ASIGNATURAS!$B$2:$J$91,9,FALSE()),""))</f>
      </c>
    </row>
    <row r="5554">
      <c r="F5554">
        <f>IF(DATOS!$A5554="","",DATOS!$A5554&amp;"|"&amp;DATOS!$D5554&amp;"|"&amp;DATOS!$E5554&amp;"|"&amp;DATOS!$I5554)</f>
      </c>
      <c r="G5554">
        <f>IF(DATOS!$A5554="",0,IF(CONFIG_METADATA!$B$4&lt;&gt;"OR+EX",--(DATOS!$G5554=CONFIG_METADATA!$B$4),IF(DATOS!$G5554="EX",1,IF(DATOS!$G5554="OR",--(COUNTIFS(nNIA,DATOS!$A5554,nCURSO,DATOS!$D5554,nESPEC,DATOS!$E5554,nASIG,DATOS!$I5554,nEVAL,"EX")=0),0))))</f>
      </c>
      <c r="H5554">
        <f>IF(DATOS!$G5554&lt;&gt;"EX",0,--(COUNTIFS(nNIA,DATOS!$A5554,nCURSO,DATOS!$D5554,nESPEC,DATOS!$E5554,nASIG,DATOS!$I5554,nEVAL,"OR")=0))</f>
      </c>
      <c r="I5554">
        <f>IF(DATOS!$I5554="","",IFERROR(VLOOKUP(DATOS!$I5554,CONFIG_ASIGNATURAS!$B$2:$J$91,9,FALSE()),""))</f>
      </c>
    </row>
    <row r="5555">
      <c r="F5555">
        <f>IF(DATOS!$A5555="","",DATOS!$A5555&amp;"|"&amp;DATOS!$D5555&amp;"|"&amp;DATOS!$E5555&amp;"|"&amp;DATOS!$I5555)</f>
      </c>
      <c r="G5555">
        <f>IF(DATOS!$A5555="",0,IF(CONFIG_METADATA!$B$4&lt;&gt;"OR+EX",--(DATOS!$G5555=CONFIG_METADATA!$B$4),IF(DATOS!$G5555="EX",1,IF(DATOS!$G5555="OR",--(COUNTIFS(nNIA,DATOS!$A5555,nCURSO,DATOS!$D5555,nESPEC,DATOS!$E5555,nASIG,DATOS!$I5555,nEVAL,"EX")=0),0))))</f>
      </c>
      <c r="H5555">
        <f>IF(DATOS!$G5555&lt;&gt;"EX",0,--(COUNTIFS(nNIA,DATOS!$A5555,nCURSO,DATOS!$D5555,nESPEC,DATOS!$E5555,nASIG,DATOS!$I5555,nEVAL,"OR")=0))</f>
      </c>
      <c r="I5555">
        <f>IF(DATOS!$I5555="","",IFERROR(VLOOKUP(DATOS!$I5555,CONFIG_ASIGNATURAS!$B$2:$J$91,9,FALSE()),""))</f>
      </c>
    </row>
    <row r="5556">
      <c r="F5556">
        <f>IF(DATOS!$A5556="","",DATOS!$A5556&amp;"|"&amp;DATOS!$D5556&amp;"|"&amp;DATOS!$E5556&amp;"|"&amp;DATOS!$I5556)</f>
      </c>
      <c r="G5556">
        <f>IF(DATOS!$A5556="",0,IF(CONFIG_METADATA!$B$4&lt;&gt;"OR+EX",--(DATOS!$G5556=CONFIG_METADATA!$B$4),IF(DATOS!$G5556="EX",1,IF(DATOS!$G5556="OR",--(COUNTIFS(nNIA,DATOS!$A5556,nCURSO,DATOS!$D5556,nESPEC,DATOS!$E5556,nASIG,DATOS!$I5556,nEVAL,"EX")=0),0))))</f>
      </c>
      <c r="H5556">
        <f>IF(DATOS!$G5556&lt;&gt;"EX",0,--(COUNTIFS(nNIA,DATOS!$A5556,nCURSO,DATOS!$D5556,nESPEC,DATOS!$E5556,nASIG,DATOS!$I5556,nEVAL,"OR")=0))</f>
      </c>
      <c r="I5556">
        <f>IF(DATOS!$I5556="","",IFERROR(VLOOKUP(DATOS!$I5556,CONFIG_ASIGNATURAS!$B$2:$J$91,9,FALSE()),""))</f>
      </c>
    </row>
    <row r="5557">
      <c r="F5557">
        <f>IF(DATOS!$A5557="","",DATOS!$A5557&amp;"|"&amp;DATOS!$D5557&amp;"|"&amp;DATOS!$E5557&amp;"|"&amp;DATOS!$I5557)</f>
      </c>
      <c r="G5557">
        <f>IF(DATOS!$A5557="",0,IF(CONFIG_METADATA!$B$4&lt;&gt;"OR+EX",--(DATOS!$G5557=CONFIG_METADATA!$B$4),IF(DATOS!$G5557="EX",1,IF(DATOS!$G5557="OR",--(COUNTIFS(nNIA,DATOS!$A5557,nCURSO,DATOS!$D5557,nESPEC,DATOS!$E5557,nASIG,DATOS!$I5557,nEVAL,"EX")=0),0))))</f>
      </c>
      <c r="H5557">
        <f>IF(DATOS!$G5557&lt;&gt;"EX",0,--(COUNTIFS(nNIA,DATOS!$A5557,nCURSO,DATOS!$D5557,nESPEC,DATOS!$E5557,nASIG,DATOS!$I5557,nEVAL,"OR")=0))</f>
      </c>
      <c r="I5557">
        <f>IF(DATOS!$I5557="","",IFERROR(VLOOKUP(DATOS!$I5557,CONFIG_ASIGNATURAS!$B$2:$J$91,9,FALSE()),""))</f>
      </c>
    </row>
    <row r="5558">
      <c r="F5558">
        <f>IF(DATOS!$A5558="","",DATOS!$A5558&amp;"|"&amp;DATOS!$D5558&amp;"|"&amp;DATOS!$E5558&amp;"|"&amp;DATOS!$I5558)</f>
      </c>
      <c r="G5558">
        <f>IF(DATOS!$A5558="",0,IF(CONFIG_METADATA!$B$4&lt;&gt;"OR+EX",--(DATOS!$G5558=CONFIG_METADATA!$B$4),IF(DATOS!$G5558="EX",1,IF(DATOS!$G5558="OR",--(COUNTIFS(nNIA,DATOS!$A5558,nCURSO,DATOS!$D5558,nESPEC,DATOS!$E5558,nASIG,DATOS!$I5558,nEVAL,"EX")=0),0))))</f>
      </c>
      <c r="H5558">
        <f>IF(DATOS!$G5558&lt;&gt;"EX",0,--(COUNTIFS(nNIA,DATOS!$A5558,nCURSO,DATOS!$D5558,nESPEC,DATOS!$E5558,nASIG,DATOS!$I5558,nEVAL,"OR")=0))</f>
      </c>
      <c r="I5558">
        <f>IF(DATOS!$I5558="","",IFERROR(VLOOKUP(DATOS!$I5558,CONFIG_ASIGNATURAS!$B$2:$J$91,9,FALSE()),""))</f>
      </c>
    </row>
    <row r="5559">
      <c r="F5559">
        <f>IF(DATOS!$A5559="","",DATOS!$A5559&amp;"|"&amp;DATOS!$D5559&amp;"|"&amp;DATOS!$E5559&amp;"|"&amp;DATOS!$I5559)</f>
      </c>
      <c r="G5559">
        <f>IF(DATOS!$A5559="",0,IF(CONFIG_METADATA!$B$4&lt;&gt;"OR+EX",--(DATOS!$G5559=CONFIG_METADATA!$B$4),IF(DATOS!$G5559="EX",1,IF(DATOS!$G5559="OR",--(COUNTIFS(nNIA,DATOS!$A5559,nCURSO,DATOS!$D5559,nESPEC,DATOS!$E5559,nASIG,DATOS!$I5559,nEVAL,"EX")=0),0))))</f>
      </c>
      <c r="H5559">
        <f>IF(DATOS!$G5559&lt;&gt;"EX",0,--(COUNTIFS(nNIA,DATOS!$A5559,nCURSO,DATOS!$D5559,nESPEC,DATOS!$E5559,nASIG,DATOS!$I5559,nEVAL,"OR")=0))</f>
      </c>
      <c r="I5559">
        <f>IF(DATOS!$I5559="","",IFERROR(VLOOKUP(DATOS!$I5559,CONFIG_ASIGNATURAS!$B$2:$J$91,9,FALSE()),""))</f>
      </c>
    </row>
    <row r="5560">
      <c r="F5560">
        <f>IF(DATOS!$A5560="","",DATOS!$A5560&amp;"|"&amp;DATOS!$D5560&amp;"|"&amp;DATOS!$E5560&amp;"|"&amp;DATOS!$I5560)</f>
      </c>
      <c r="G5560">
        <f>IF(DATOS!$A5560="",0,IF(CONFIG_METADATA!$B$4&lt;&gt;"OR+EX",--(DATOS!$G5560=CONFIG_METADATA!$B$4),IF(DATOS!$G5560="EX",1,IF(DATOS!$G5560="OR",--(COUNTIFS(nNIA,DATOS!$A5560,nCURSO,DATOS!$D5560,nESPEC,DATOS!$E5560,nASIG,DATOS!$I5560,nEVAL,"EX")=0),0))))</f>
      </c>
      <c r="H5560">
        <f>IF(DATOS!$G5560&lt;&gt;"EX",0,--(COUNTIFS(nNIA,DATOS!$A5560,nCURSO,DATOS!$D5560,nESPEC,DATOS!$E5560,nASIG,DATOS!$I5560,nEVAL,"OR")=0))</f>
      </c>
      <c r="I5560">
        <f>IF(DATOS!$I5560="","",IFERROR(VLOOKUP(DATOS!$I5560,CONFIG_ASIGNATURAS!$B$2:$J$91,9,FALSE()),""))</f>
      </c>
    </row>
    <row r="5561">
      <c r="F5561">
        <f>IF(DATOS!$A5561="","",DATOS!$A5561&amp;"|"&amp;DATOS!$D5561&amp;"|"&amp;DATOS!$E5561&amp;"|"&amp;DATOS!$I5561)</f>
      </c>
      <c r="G5561">
        <f>IF(DATOS!$A5561="",0,IF(CONFIG_METADATA!$B$4&lt;&gt;"OR+EX",--(DATOS!$G5561=CONFIG_METADATA!$B$4),IF(DATOS!$G5561="EX",1,IF(DATOS!$G5561="OR",--(COUNTIFS(nNIA,DATOS!$A5561,nCURSO,DATOS!$D5561,nESPEC,DATOS!$E5561,nASIG,DATOS!$I5561,nEVAL,"EX")=0),0))))</f>
      </c>
      <c r="H5561">
        <f>IF(DATOS!$G5561&lt;&gt;"EX",0,--(COUNTIFS(nNIA,DATOS!$A5561,nCURSO,DATOS!$D5561,nESPEC,DATOS!$E5561,nASIG,DATOS!$I5561,nEVAL,"OR")=0))</f>
      </c>
      <c r="I5561">
        <f>IF(DATOS!$I5561="","",IFERROR(VLOOKUP(DATOS!$I5561,CONFIG_ASIGNATURAS!$B$2:$J$91,9,FALSE()),""))</f>
      </c>
    </row>
    <row r="5562">
      <c r="F5562">
        <f>IF(DATOS!$A5562="","",DATOS!$A5562&amp;"|"&amp;DATOS!$D5562&amp;"|"&amp;DATOS!$E5562&amp;"|"&amp;DATOS!$I5562)</f>
      </c>
      <c r="G5562">
        <f>IF(DATOS!$A5562="",0,IF(CONFIG_METADATA!$B$4&lt;&gt;"OR+EX",--(DATOS!$G5562=CONFIG_METADATA!$B$4),IF(DATOS!$G5562="EX",1,IF(DATOS!$G5562="OR",--(COUNTIFS(nNIA,DATOS!$A5562,nCURSO,DATOS!$D5562,nESPEC,DATOS!$E5562,nASIG,DATOS!$I5562,nEVAL,"EX")=0),0))))</f>
      </c>
      <c r="H5562">
        <f>IF(DATOS!$G5562&lt;&gt;"EX",0,--(COUNTIFS(nNIA,DATOS!$A5562,nCURSO,DATOS!$D5562,nESPEC,DATOS!$E5562,nASIG,DATOS!$I5562,nEVAL,"OR")=0))</f>
      </c>
      <c r="I5562">
        <f>IF(DATOS!$I5562="","",IFERROR(VLOOKUP(DATOS!$I5562,CONFIG_ASIGNATURAS!$B$2:$J$91,9,FALSE()),""))</f>
      </c>
    </row>
    <row r="5563">
      <c r="F5563">
        <f>IF(DATOS!$A5563="","",DATOS!$A5563&amp;"|"&amp;DATOS!$D5563&amp;"|"&amp;DATOS!$E5563&amp;"|"&amp;DATOS!$I5563)</f>
      </c>
      <c r="G5563">
        <f>IF(DATOS!$A5563="",0,IF(CONFIG_METADATA!$B$4&lt;&gt;"OR+EX",--(DATOS!$G5563=CONFIG_METADATA!$B$4),IF(DATOS!$G5563="EX",1,IF(DATOS!$G5563="OR",--(COUNTIFS(nNIA,DATOS!$A5563,nCURSO,DATOS!$D5563,nESPEC,DATOS!$E5563,nASIG,DATOS!$I5563,nEVAL,"EX")=0),0))))</f>
      </c>
      <c r="H5563">
        <f>IF(DATOS!$G5563&lt;&gt;"EX",0,--(COUNTIFS(nNIA,DATOS!$A5563,nCURSO,DATOS!$D5563,nESPEC,DATOS!$E5563,nASIG,DATOS!$I5563,nEVAL,"OR")=0))</f>
      </c>
      <c r="I5563">
        <f>IF(DATOS!$I5563="","",IFERROR(VLOOKUP(DATOS!$I5563,CONFIG_ASIGNATURAS!$B$2:$J$91,9,FALSE()),""))</f>
      </c>
    </row>
    <row r="5564">
      <c r="F5564">
        <f>IF(DATOS!$A5564="","",DATOS!$A5564&amp;"|"&amp;DATOS!$D5564&amp;"|"&amp;DATOS!$E5564&amp;"|"&amp;DATOS!$I5564)</f>
      </c>
      <c r="G5564">
        <f>IF(DATOS!$A5564="",0,IF(CONFIG_METADATA!$B$4&lt;&gt;"OR+EX",--(DATOS!$G5564=CONFIG_METADATA!$B$4),IF(DATOS!$G5564="EX",1,IF(DATOS!$G5564="OR",--(COUNTIFS(nNIA,DATOS!$A5564,nCURSO,DATOS!$D5564,nESPEC,DATOS!$E5564,nASIG,DATOS!$I5564,nEVAL,"EX")=0),0))))</f>
      </c>
      <c r="H5564">
        <f>IF(DATOS!$G5564&lt;&gt;"EX",0,--(COUNTIFS(nNIA,DATOS!$A5564,nCURSO,DATOS!$D5564,nESPEC,DATOS!$E5564,nASIG,DATOS!$I5564,nEVAL,"OR")=0))</f>
      </c>
      <c r="I5564">
        <f>IF(DATOS!$I5564="","",IFERROR(VLOOKUP(DATOS!$I5564,CONFIG_ASIGNATURAS!$B$2:$J$91,9,FALSE()),""))</f>
      </c>
    </row>
    <row r="5565">
      <c r="F5565">
        <f>IF(DATOS!$A5565="","",DATOS!$A5565&amp;"|"&amp;DATOS!$D5565&amp;"|"&amp;DATOS!$E5565&amp;"|"&amp;DATOS!$I5565)</f>
      </c>
      <c r="G5565">
        <f>IF(DATOS!$A5565="",0,IF(CONFIG_METADATA!$B$4&lt;&gt;"OR+EX",--(DATOS!$G5565=CONFIG_METADATA!$B$4),IF(DATOS!$G5565="EX",1,IF(DATOS!$G5565="OR",--(COUNTIFS(nNIA,DATOS!$A5565,nCURSO,DATOS!$D5565,nESPEC,DATOS!$E5565,nASIG,DATOS!$I5565,nEVAL,"EX")=0),0))))</f>
      </c>
      <c r="H5565">
        <f>IF(DATOS!$G5565&lt;&gt;"EX",0,--(COUNTIFS(nNIA,DATOS!$A5565,nCURSO,DATOS!$D5565,nESPEC,DATOS!$E5565,nASIG,DATOS!$I5565,nEVAL,"OR")=0))</f>
      </c>
      <c r="I5565">
        <f>IF(DATOS!$I5565="","",IFERROR(VLOOKUP(DATOS!$I5565,CONFIG_ASIGNATURAS!$B$2:$J$91,9,FALSE()),""))</f>
      </c>
    </row>
    <row r="5566">
      <c r="F5566">
        <f>IF(DATOS!$A5566="","",DATOS!$A5566&amp;"|"&amp;DATOS!$D5566&amp;"|"&amp;DATOS!$E5566&amp;"|"&amp;DATOS!$I5566)</f>
      </c>
      <c r="G5566">
        <f>IF(DATOS!$A5566="",0,IF(CONFIG_METADATA!$B$4&lt;&gt;"OR+EX",--(DATOS!$G5566=CONFIG_METADATA!$B$4),IF(DATOS!$G5566="EX",1,IF(DATOS!$G5566="OR",--(COUNTIFS(nNIA,DATOS!$A5566,nCURSO,DATOS!$D5566,nESPEC,DATOS!$E5566,nASIG,DATOS!$I5566,nEVAL,"EX")=0),0))))</f>
      </c>
      <c r="H5566">
        <f>IF(DATOS!$G5566&lt;&gt;"EX",0,--(COUNTIFS(nNIA,DATOS!$A5566,nCURSO,DATOS!$D5566,nESPEC,DATOS!$E5566,nASIG,DATOS!$I5566,nEVAL,"OR")=0))</f>
      </c>
      <c r="I5566">
        <f>IF(DATOS!$I5566="","",IFERROR(VLOOKUP(DATOS!$I5566,CONFIG_ASIGNATURAS!$B$2:$J$91,9,FALSE()),""))</f>
      </c>
    </row>
    <row r="5567">
      <c r="F5567">
        <f>IF(DATOS!$A5567="","",DATOS!$A5567&amp;"|"&amp;DATOS!$D5567&amp;"|"&amp;DATOS!$E5567&amp;"|"&amp;DATOS!$I5567)</f>
      </c>
      <c r="G5567">
        <f>IF(DATOS!$A5567="",0,IF(CONFIG_METADATA!$B$4&lt;&gt;"OR+EX",--(DATOS!$G5567=CONFIG_METADATA!$B$4),IF(DATOS!$G5567="EX",1,IF(DATOS!$G5567="OR",--(COUNTIFS(nNIA,DATOS!$A5567,nCURSO,DATOS!$D5567,nESPEC,DATOS!$E5567,nASIG,DATOS!$I5567,nEVAL,"EX")=0),0))))</f>
      </c>
      <c r="H5567">
        <f>IF(DATOS!$G5567&lt;&gt;"EX",0,--(COUNTIFS(nNIA,DATOS!$A5567,nCURSO,DATOS!$D5567,nESPEC,DATOS!$E5567,nASIG,DATOS!$I5567,nEVAL,"OR")=0))</f>
      </c>
      <c r="I5567">
        <f>IF(DATOS!$I5567="","",IFERROR(VLOOKUP(DATOS!$I5567,CONFIG_ASIGNATURAS!$B$2:$J$91,9,FALSE()),""))</f>
      </c>
    </row>
    <row r="5568">
      <c r="F5568">
        <f>IF(DATOS!$A5568="","",DATOS!$A5568&amp;"|"&amp;DATOS!$D5568&amp;"|"&amp;DATOS!$E5568&amp;"|"&amp;DATOS!$I5568)</f>
      </c>
      <c r="G5568">
        <f>IF(DATOS!$A5568="",0,IF(CONFIG_METADATA!$B$4&lt;&gt;"OR+EX",--(DATOS!$G5568=CONFIG_METADATA!$B$4),IF(DATOS!$G5568="EX",1,IF(DATOS!$G5568="OR",--(COUNTIFS(nNIA,DATOS!$A5568,nCURSO,DATOS!$D5568,nESPEC,DATOS!$E5568,nASIG,DATOS!$I5568,nEVAL,"EX")=0),0))))</f>
      </c>
      <c r="H5568">
        <f>IF(DATOS!$G5568&lt;&gt;"EX",0,--(COUNTIFS(nNIA,DATOS!$A5568,nCURSO,DATOS!$D5568,nESPEC,DATOS!$E5568,nASIG,DATOS!$I5568,nEVAL,"OR")=0))</f>
      </c>
      <c r="I5568">
        <f>IF(DATOS!$I5568="","",IFERROR(VLOOKUP(DATOS!$I5568,CONFIG_ASIGNATURAS!$B$2:$J$91,9,FALSE()),""))</f>
      </c>
    </row>
    <row r="5569">
      <c r="F5569">
        <f>IF(DATOS!$A5569="","",DATOS!$A5569&amp;"|"&amp;DATOS!$D5569&amp;"|"&amp;DATOS!$E5569&amp;"|"&amp;DATOS!$I5569)</f>
      </c>
      <c r="G5569">
        <f>IF(DATOS!$A5569="",0,IF(CONFIG_METADATA!$B$4&lt;&gt;"OR+EX",--(DATOS!$G5569=CONFIG_METADATA!$B$4),IF(DATOS!$G5569="EX",1,IF(DATOS!$G5569="OR",--(COUNTIFS(nNIA,DATOS!$A5569,nCURSO,DATOS!$D5569,nESPEC,DATOS!$E5569,nASIG,DATOS!$I5569,nEVAL,"EX")=0),0))))</f>
      </c>
      <c r="H5569">
        <f>IF(DATOS!$G5569&lt;&gt;"EX",0,--(COUNTIFS(nNIA,DATOS!$A5569,nCURSO,DATOS!$D5569,nESPEC,DATOS!$E5569,nASIG,DATOS!$I5569,nEVAL,"OR")=0))</f>
      </c>
      <c r="I5569">
        <f>IF(DATOS!$I5569="","",IFERROR(VLOOKUP(DATOS!$I5569,CONFIG_ASIGNATURAS!$B$2:$J$91,9,FALSE()),""))</f>
      </c>
    </row>
    <row r="5570">
      <c r="F5570">
        <f>IF(DATOS!$A5570="","",DATOS!$A5570&amp;"|"&amp;DATOS!$D5570&amp;"|"&amp;DATOS!$E5570&amp;"|"&amp;DATOS!$I5570)</f>
      </c>
      <c r="G5570">
        <f>IF(DATOS!$A5570="",0,IF(CONFIG_METADATA!$B$4&lt;&gt;"OR+EX",--(DATOS!$G5570=CONFIG_METADATA!$B$4),IF(DATOS!$G5570="EX",1,IF(DATOS!$G5570="OR",--(COUNTIFS(nNIA,DATOS!$A5570,nCURSO,DATOS!$D5570,nESPEC,DATOS!$E5570,nASIG,DATOS!$I5570,nEVAL,"EX")=0),0))))</f>
      </c>
      <c r="H5570">
        <f>IF(DATOS!$G5570&lt;&gt;"EX",0,--(COUNTIFS(nNIA,DATOS!$A5570,nCURSO,DATOS!$D5570,nESPEC,DATOS!$E5570,nASIG,DATOS!$I5570,nEVAL,"OR")=0))</f>
      </c>
      <c r="I5570">
        <f>IF(DATOS!$I5570="","",IFERROR(VLOOKUP(DATOS!$I5570,CONFIG_ASIGNATURAS!$B$2:$J$91,9,FALSE()),""))</f>
      </c>
    </row>
    <row r="5571">
      <c r="F5571">
        <f>IF(DATOS!$A5571="","",DATOS!$A5571&amp;"|"&amp;DATOS!$D5571&amp;"|"&amp;DATOS!$E5571&amp;"|"&amp;DATOS!$I5571)</f>
      </c>
      <c r="G5571">
        <f>IF(DATOS!$A5571="",0,IF(CONFIG_METADATA!$B$4&lt;&gt;"OR+EX",--(DATOS!$G5571=CONFIG_METADATA!$B$4),IF(DATOS!$G5571="EX",1,IF(DATOS!$G5571="OR",--(COUNTIFS(nNIA,DATOS!$A5571,nCURSO,DATOS!$D5571,nESPEC,DATOS!$E5571,nASIG,DATOS!$I5571,nEVAL,"EX")=0),0))))</f>
      </c>
      <c r="H5571">
        <f>IF(DATOS!$G5571&lt;&gt;"EX",0,--(COUNTIFS(nNIA,DATOS!$A5571,nCURSO,DATOS!$D5571,nESPEC,DATOS!$E5571,nASIG,DATOS!$I5571,nEVAL,"OR")=0))</f>
      </c>
      <c r="I5571">
        <f>IF(DATOS!$I5571="","",IFERROR(VLOOKUP(DATOS!$I5571,CONFIG_ASIGNATURAS!$B$2:$J$91,9,FALSE()),""))</f>
      </c>
    </row>
    <row r="5572">
      <c r="F5572">
        <f>IF(DATOS!$A5572="","",DATOS!$A5572&amp;"|"&amp;DATOS!$D5572&amp;"|"&amp;DATOS!$E5572&amp;"|"&amp;DATOS!$I5572)</f>
      </c>
      <c r="G5572">
        <f>IF(DATOS!$A5572="",0,IF(CONFIG_METADATA!$B$4&lt;&gt;"OR+EX",--(DATOS!$G5572=CONFIG_METADATA!$B$4),IF(DATOS!$G5572="EX",1,IF(DATOS!$G5572="OR",--(COUNTIFS(nNIA,DATOS!$A5572,nCURSO,DATOS!$D5572,nESPEC,DATOS!$E5572,nASIG,DATOS!$I5572,nEVAL,"EX")=0),0))))</f>
      </c>
      <c r="H5572">
        <f>IF(DATOS!$G5572&lt;&gt;"EX",0,--(COUNTIFS(nNIA,DATOS!$A5572,nCURSO,DATOS!$D5572,nESPEC,DATOS!$E5572,nASIG,DATOS!$I5572,nEVAL,"OR")=0))</f>
      </c>
      <c r="I5572">
        <f>IF(DATOS!$I5572="","",IFERROR(VLOOKUP(DATOS!$I5572,CONFIG_ASIGNATURAS!$B$2:$J$91,9,FALSE()),""))</f>
      </c>
    </row>
    <row r="5573">
      <c r="F5573">
        <f>IF(DATOS!$A5573="","",DATOS!$A5573&amp;"|"&amp;DATOS!$D5573&amp;"|"&amp;DATOS!$E5573&amp;"|"&amp;DATOS!$I5573)</f>
      </c>
      <c r="G5573">
        <f>IF(DATOS!$A5573="",0,IF(CONFIG_METADATA!$B$4&lt;&gt;"OR+EX",--(DATOS!$G5573=CONFIG_METADATA!$B$4),IF(DATOS!$G5573="EX",1,IF(DATOS!$G5573="OR",--(COUNTIFS(nNIA,DATOS!$A5573,nCURSO,DATOS!$D5573,nESPEC,DATOS!$E5573,nASIG,DATOS!$I5573,nEVAL,"EX")=0),0))))</f>
      </c>
      <c r="H5573">
        <f>IF(DATOS!$G5573&lt;&gt;"EX",0,--(COUNTIFS(nNIA,DATOS!$A5573,nCURSO,DATOS!$D5573,nESPEC,DATOS!$E5573,nASIG,DATOS!$I5573,nEVAL,"OR")=0))</f>
      </c>
      <c r="I5573">
        <f>IF(DATOS!$I5573="","",IFERROR(VLOOKUP(DATOS!$I5573,CONFIG_ASIGNATURAS!$B$2:$J$91,9,FALSE()),""))</f>
      </c>
    </row>
    <row r="5574">
      <c r="F5574">
        <f>IF(DATOS!$A5574="","",DATOS!$A5574&amp;"|"&amp;DATOS!$D5574&amp;"|"&amp;DATOS!$E5574&amp;"|"&amp;DATOS!$I5574)</f>
      </c>
      <c r="G5574">
        <f>IF(DATOS!$A5574="",0,IF(CONFIG_METADATA!$B$4&lt;&gt;"OR+EX",--(DATOS!$G5574=CONFIG_METADATA!$B$4),IF(DATOS!$G5574="EX",1,IF(DATOS!$G5574="OR",--(COUNTIFS(nNIA,DATOS!$A5574,nCURSO,DATOS!$D5574,nESPEC,DATOS!$E5574,nASIG,DATOS!$I5574,nEVAL,"EX")=0),0))))</f>
      </c>
      <c r="H5574">
        <f>IF(DATOS!$G5574&lt;&gt;"EX",0,--(COUNTIFS(nNIA,DATOS!$A5574,nCURSO,DATOS!$D5574,nESPEC,DATOS!$E5574,nASIG,DATOS!$I5574,nEVAL,"OR")=0))</f>
      </c>
      <c r="I5574">
        <f>IF(DATOS!$I5574="","",IFERROR(VLOOKUP(DATOS!$I5574,CONFIG_ASIGNATURAS!$B$2:$J$91,9,FALSE()),""))</f>
      </c>
    </row>
    <row r="5575">
      <c r="F5575">
        <f>IF(DATOS!$A5575="","",DATOS!$A5575&amp;"|"&amp;DATOS!$D5575&amp;"|"&amp;DATOS!$E5575&amp;"|"&amp;DATOS!$I5575)</f>
      </c>
      <c r="G5575">
        <f>IF(DATOS!$A5575="",0,IF(CONFIG_METADATA!$B$4&lt;&gt;"OR+EX",--(DATOS!$G5575=CONFIG_METADATA!$B$4),IF(DATOS!$G5575="EX",1,IF(DATOS!$G5575="OR",--(COUNTIFS(nNIA,DATOS!$A5575,nCURSO,DATOS!$D5575,nESPEC,DATOS!$E5575,nASIG,DATOS!$I5575,nEVAL,"EX")=0),0))))</f>
      </c>
      <c r="H5575">
        <f>IF(DATOS!$G5575&lt;&gt;"EX",0,--(COUNTIFS(nNIA,DATOS!$A5575,nCURSO,DATOS!$D5575,nESPEC,DATOS!$E5575,nASIG,DATOS!$I5575,nEVAL,"OR")=0))</f>
      </c>
      <c r="I5575">
        <f>IF(DATOS!$I5575="","",IFERROR(VLOOKUP(DATOS!$I5575,CONFIG_ASIGNATURAS!$B$2:$J$91,9,FALSE()),""))</f>
      </c>
    </row>
    <row r="5576">
      <c r="F5576">
        <f>IF(DATOS!$A5576="","",DATOS!$A5576&amp;"|"&amp;DATOS!$D5576&amp;"|"&amp;DATOS!$E5576&amp;"|"&amp;DATOS!$I5576)</f>
      </c>
      <c r="G5576">
        <f>IF(DATOS!$A5576="",0,IF(CONFIG_METADATA!$B$4&lt;&gt;"OR+EX",--(DATOS!$G5576=CONFIG_METADATA!$B$4),IF(DATOS!$G5576="EX",1,IF(DATOS!$G5576="OR",--(COUNTIFS(nNIA,DATOS!$A5576,nCURSO,DATOS!$D5576,nESPEC,DATOS!$E5576,nASIG,DATOS!$I5576,nEVAL,"EX")=0),0))))</f>
      </c>
      <c r="H5576">
        <f>IF(DATOS!$G5576&lt;&gt;"EX",0,--(COUNTIFS(nNIA,DATOS!$A5576,nCURSO,DATOS!$D5576,nESPEC,DATOS!$E5576,nASIG,DATOS!$I5576,nEVAL,"OR")=0))</f>
      </c>
      <c r="I5576">
        <f>IF(DATOS!$I5576="","",IFERROR(VLOOKUP(DATOS!$I5576,CONFIG_ASIGNATURAS!$B$2:$J$91,9,FALSE()),""))</f>
      </c>
    </row>
    <row r="5577">
      <c r="F5577">
        <f>IF(DATOS!$A5577="","",DATOS!$A5577&amp;"|"&amp;DATOS!$D5577&amp;"|"&amp;DATOS!$E5577&amp;"|"&amp;DATOS!$I5577)</f>
      </c>
      <c r="G5577">
        <f>IF(DATOS!$A5577="",0,IF(CONFIG_METADATA!$B$4&lt;&gt;"OR+EX",--(DATOS!$G5577=CONFIG_METADATA!$B$4),IF(DATOS!$G5577="EX",1,IF(DATOS!$G5577="OR",--(COUNTIFS(nNIA,DATOS!$A5577,nCURSO,DATOS!$D5577,nESPEC,DATOS!$E5577,nASIG,DATOS!$I5577,nEVAL,"EX")=0),0))))</f>
      </c>
      <c r="H5577">
        <f>IF(DATOS!$G5577&lt;&gt;"EX",0,--(COUNTIFS(nNIA,DATOS!$A5577,nCURSO,DATOS!$D5577,nESPEC,DATOS!$E5577,nASIG,DATOS!$I5577,nEVAL,"OR")=0))</f>
      </c>
      <c r="I5577">
        <f>IF(DATOS!$I5577="","",IFERROR(VLOOKUP(DATOS!$I5577,CONFIG_ASIGNATURAS!$B$2:$J$91,9,FALSE()),""))</f>
      </c>
    </row>
    <row r="5578">
      <c r="F5578">
        <f>IF(DATOS!$A5578="","",DATOS!$A5578&amp;"|"&amp;DATOS!$D5578&amp;"|"&amp;DATOS!$E5578&amp;"|"&amp;DATOS!$I5578)</f>
      </c>
      <c r="G5578">
        <f>IF(DATOS!$A5578="",0,IF(CONFIG_METADATA!$B$4&lt;&gt;"OR+EX",--(DATOS!$G5578=CONFIG_METADATA!$B$4),IF(DATOS!$G5578="EX",1,IF(DATOS!$G5578="OR",--(COUNTIFS(nNIA,DATOS!$A5578,nCURSO,DATOS!$D5578,nESPEC,DATOS!$E5578,nASIG,DATOS!$I5578,nEVAL,"EX")=0),0))))</f>
      </c>
      <c r="H5578">
        <f>IF(DATOS!$G5578&lt;&gt;"EX",0,--(COUNTIFS(nNIA,DATOS!$A5578,nCURSO,DATOS!$D5578,nESPEC,DATOS!$E5578,nASIG,DATOS!$I5578,nEVAL,"OR")=0))</f>
      </c>
      <c r="I5578">
        <f>IF(DATOS!$I5578="","",IFERROR(VLOOKUP(DATOS!$I5578,CONFIG_ASIGNATURAS!$B$2:$J$91,9,FALSE()),""))</f>
      </c>
    </row>
    <row r="5579">
      <c r="F5579">
        <f>IF(DATOS!$A5579="","",DATOS!$A5579&amp;"|"&amp;DATOS!$D5579&amp;"|"&amp;DATOS!$E5579&amp;"|"&amp;DATOS!$I5579)</f>
      </c>
      <c r="G5579">
        <f>IF(DATOS!$A5579="",0,IF(CONFIG_METADATA!$B$4&lt;&gt;"OR+EX",--(DATOS!$G5579=CONFIG_METADATA!$B$4),IF(DATOS!$G5579="EX",1,IF(DATOS!$G5579="OR",--(COUNTIFS(nNIA,DATOS!$A5579,nCURSO,DATOS!$D5579,nESPEC,DATOS!$E5579,nASIG,DATOS!$I5579,nEVAL,"EX")=0),0))))</f>
      </c>
      <c r="H5579">
        <f>IF(DATOS!$G5579&lt;&gt;"EX",0,--(COUNTIFS(nNIA,DATOS!$A5579,nCURSO,DATOS!$D5579,nESPEC,DATOS!$E5579,nASIG,DATOS!$I5579,nEVAL,"OR")=0))</f>
      </c>
      <c r="I5579">
        <f>IF(DATOS!$I5579="","",IFERROR(VLOOKUP(DATOS!$I5579,CONFIG_ASIGNATURAS!$B$2:$J$91,9,FALSE()),""))</f>
      </c>
    </row>
    <row r="5580">
      <c r="F5580">
        <f>IF(DATOS!$A5580="","",DATOS!$A5580&amp;"|"&amp;DATOS!$D5580&amp;"|"&amp;DATOS!$E5580&amp;"|"&amp;DATOS!$I5580)</f>
      </c>
      <c r="G5580">
        <f>IF(DATOS!$A5580="",0,IF(CONFIG_METADATA!$B$4&lt;&gt;"OR+EX",--(DATOS!$G5580=CONFIG_METADATA!$B$4),IF(DATOS!$G5580="EX",1,IF(DATOS!$G5580="OR",--(COUNTIFS(nNIA,DATOS!$A5580,nCURSO,DATOS!$D5580,nESPEC,DATOS!$E5580,nASIG,DATOS!$I5580,nEVAL,"EX")=0),0))))</f>
      </c>
      <c r="H5580">
        <f>IF(DATOS!$G5580&lt;&gt;"EX",0,--(COUNTIFS(nNIA,DATOS!$A5580,nCURSO,DATOS!$D5580,nESPEC,DATOS!$E5580,nASIG,DATOS!$I5580,nEVAL,"OR")=0))</f>
      </c>
      <c r="I5580">
        <f>IF(DATOS!$I5580="","",IFERROR(VLOOKUP(DATOS!$I5580,CONFIG_ASIGNATURAS!$B$2:$J$91,9,FALSE()),""))</f>
      </c>
    </row>
    <row r="5581">
      <c r="F5581">
        <f>IF(DATOS!$A5581="","",DATOS!$A5581&amp;"|"&amp;DATOS!$D5581&amp;"|"&amp;DATOS!$E5581&amp;"|"&amp;DATOS!$I5581)</f>
      </c>
      <c r="G5581">
        <f>IF(DATOS!$A5581="",0,IF(CONFIG_METADATA!$B$4&lt;&gt;"OR+EX",--(DATOS!$G5581=CONFIG_METADATA!$B$4),IF(DATOS!$G5581="EX",1,IF(DATOS!$G5581="OR",--(COUNTIFS(nNIA,DATOS!$A5581,nCURSO,DATOS!$D5581,nESPEC,DATOS!$E5581,nASIG,DATOS!$I5581,nEVAL,"EX")=0),0))))</f>
      </c>
      <c r="H5581">
        <f>IF(DATOS!$G5581&lt;&gt;"EX",0,--(COUNTIFS(nNIA,DATOS!$A5581,nCURSO,DATOS!$D5581,nESPEC,DATOS!$E5581,nASIG,DATOS!$I5581,nEVAL,"OR")=0))</f>
      </c>
      <c r="I5581">
        <f>IF(DATOS!$I5581="","",IFERROR(VLOOKUP(DATOS!$I5581,CONFIG_ASIGNATURAS!$B$2:$J$91,9,FALSE()),""))</f>
      </c>
    </row>
    <row r="5582">
      <c r="F5582">
        <f>IF(DATOS!$A5582="","",DATOS!$A5582&amp;"|"&amp;DATOS!$D5582&amp;"|"&amp;DATOS!$E5582&amp;"|"&amp;DATOS!$I5582)</f>
      </c>
      <c r="G5582">
        <f>IF(DATOS!$A5582="",0,IF(CONFIG_METADATA!$B$4&lt;&gt;"OR+EX",--(DATOS!$G5582=CONFIG_METADATA!$B$4),IF(DATOS!$G5582="EX",1,IF(DATOS!$G5582="OR",--(COUNTIFS(nNIA,DATOS!$A5582,nCURSO,DATOS!$D5582,nESPEC,DATOS!$E5582,nASIG,DATOS!$I5582,nEVAL,"EX")=0),0))))</f>
      </c>
      <c r="H5582">
        <f>IF(DATOS!$G5582&lt;&gt;"EX",0,--(COUNTIFS(nNIA,DATOS!$A5582,nCURSO,DATOS!$D5582,nESPEC,DATOS!$E5582,nASIG,DATOS!$I5582,nEVAL,"OR")=0))</f>
      </c>
      <c r="I5582">
        <f>IF(DATOS!$I5582="","",IFERROR(VLOOKUP(DATOS!$I5582,CONFIG_ASIGNATURAS!$B$2:$J$91,9,FALSE()),""))</f>
      </c>
    </row>
    <row r="5583">
      <c r="F5583">
        <f>IF(DATOS!$A5583="","",DATOS!$A5583&amp;"|"&amp;DATOS!$D5583&amp;"|"&amp;DATOS!$E5583&amp;"|"&amp;DATOS!$I5583)</f>
      </c>
      <c r="G5583">
        <f>IF(DATOS!$A5583="",0,IF(CONFIG_METADATA!$B$4&lt;&gt;"OR+EX",--(DATOS!$G5583=CONFIG_METADATA!$B$4),IF(DATOS!$G5583="EX",1,IF(DATOS!$G5583="OR",--(COUNTIFS(nNIA,DATOS!$A5583,nCURSO,DATOS!$D5583,nESPEC,DATOS!$E5583,nASIG,DATOS!$I5583,nEVAL,"EX")=0),0))))</f>
      </c>
      <c r="H5583">
        <f>IF(DATOS!$G5583&lt;&gt;"EX",0,--(COUNTIFS(nNIA,DATOS!$A5583,nCURSO,DATOS!$D5583,nESPEC,DATOS!$E5583,nASIG,DATOS!$I5583,nEVAL,"OR")=0))</f>
      </c>
      <c r="I5583">
        <f>IF(DATOS!$I5583="","",IFERROR(VLOOKUP(DATOS!$I5583,CONFIG_ASIGNATURAS!$B$2:$J$91,9,FALSE()),""))</f>
      </c>
    </row>
    <row r="5584">
      <c r="F5584">
        <f>IF(DATOS!$A5584="","",DATOS!$A5584&amp;"|"&amp;DATOS!$D5584&amp;"|"&amp;DATOS!$E5584&amp;"|"&amp;DATOS!$I5584)</f>
      </c>
      <c r="G5584">
        <f>IF(DATOS!$A5584="",0,IF(CONFIG_METADATA!$B$4&lt;&gt;"OR+EX",--(DATOS!$G5584=CONFIG_METADATA!$B$4),IF(DATOS!$G5584="EX",1,IF(DATOS!$G5584="OR",--(COUNTIFS(nNIA,DATOS!$A5584,nCURSO,DATOS!$D5584,nESPEC,DATOS!$E5584,nASIG,DATOS!$I5584,nEVAL,"EX")=0),0))))</f>
      </c>
      <c r="H5584">
        <f>IF(DATOS!$G5584&lt;&gt;"EX",0,--(COUNTIFS(nNIA,DATOS!$A5584,nCURSO,DATOS!$D5584,nESPEC,DATOS!$E5584,nASIG,DATOS!$I5584,nEVAL,"OR")=0))</f>
      </c>
      <c r="I5584">
        <f>IF(DATOS!$I5584="","",IFERROR(VLOOKUP(DATOS!$I5584,CONFIG_ASIGNATURAS!$B$2:$J$91,9,FALSE()),""))</f>
      </c>
    </row>
    <row r="5585">
      <c r="F5585">
        <f>IF(DATOS!$A5585="","",DATOS!$A5585&amp;"|"&amp;DATOS!$D5585&amp;"|"&amp;DATOS!$E5585&amp;"|"&amp;DATOS!$I5585)</f>
      </c>
      <c r="G5585">
        <f>IF(DATOS!$A5585="",0,IF(CONFIG_METADATA!$B$4&lt;&gt;"OR+EX",--(DATOS!$G5585=CONFIG_METADATA!$B$4),IF(DATOS!$G5585="EX",1,IF(DATOS!$G5585="OR",--(COUNTIFS(nNIA,DATOS!$A5585,nCURSO,DATOS!$D5585,nESPEC,DATOS!$E5585,nASIG,DATOS!$I5585,nEVAL,"EX")=0),0))))</f>
      </c>
      <c r="H5585">
        <f>IF(DATOS!$G5585&lt;&gt;"EX",0,--(COUNTIFS(nNIA,DATOS!$A5585,nCURSO,DATOS!$D5585,nESPEC,DATOS!$E5585,nASIG,DATOS!$I5585,nEVAL,"OR")=0))</f>
      </c>
      <c r="I5585">
        <f>IF(DATOS!$I5585="","",IFERROR(VLOOKUP(DATOS!$I5585,CONFIG_ASIGNATURAS!$B$2:$J$91,9,FALSE()),""))</f>
      </c>
    </row>
    <row r="5586">
      <c r="F5586">
        <f>IF(DATOS!$A5586="","",DATOS!$A5586&amp;"|"&amp;DATOS!$D5586&amp;"|"&amp;DATOS!$E5586&amp;"|"&amp;DATOS!$I5586)</f>
      </c>
      <c r="G5586">
        <f>IF(DATOS!$A5586="",0,IF(CONFIG_METADATA!$B$4&lt;&gt;"OR+EX",--(DATOS!$G5586=CONFIG_METADATA!$B$4),IF(DATOS!$G5586="EX",1,IF(DATOS!$G5586="OR",--(COUNTIFS(nNIA,DATOS!$A5586,nCURSO,DATOS!$D5586,nESPEC,DATOS!$E5586,nASIG,DATOS!$I5586,nEVAL,"EX")=0),0))))</f>
      </c>
      <c r="H5586">
        <f>IF(DATOS!$G5586&lt;&gt;"EX",0,--(COUNTIFS(nNIA,DATOS!$A5586,nCURSO,DATOS!$D5586,nESPEC,DATOS!$E5586,nASIG,DATOS!$I5586,nEVAL,"OR")=0))</f>
      </c>
      <c r="I5586">
        <f>IF(DATOS!$I5586="","",IFERROR(VLOOKUP(DATOS!$I5586,CONFIG_ASIGNATURAS!$B$2:$J$91,9,FALSE()),""))</f>
      </c>
    </row>
    <row r="5587">
      <c r="F5587">
        <f>IF(DATOS!$A5587="","",DATOS!$A5587&amp;"|"&amp;DATOS!$D5587&amp;"|"&amp;DATOS!$E5587&amp;"|"&amp;DATOS!$I5587)</f>
      </c>
      <c r="G5587">
        <f>IF(DATOS!$A5587="",0,IF(CONFIG_METADATA!$B$4&lt;&gt;"OR+EX",--(DATOS!$G5587=CONFIG_METADATA!$B$4),IF(DATOS!$G5587="EX",1,IF(DATOS!$G5587="OR",--(COUNTIFS(nNIA,DATOS!$A5587,nCURSO,DATOS!$D5587,nESPEC,DATOS!$E5587,nASIG,DATOS!$I5587,nEVAL,"EX")=0),0))))</f>
      </c>
      <c r="H5587">
        <f>IF(DATOS!$G5587&lt;&gt;"EX",0,--(COUNTIFS(nNIA,DATOS!$A5587,nCURSO,DATOS!$D5587,nESPEC,DATOS!$E5587,nASIG,DATOS!$I5587,nEVAL,"OR")=0))</f>
      </c>
      <c r="I5587">
        <f>IF(DATOS!$I5587="","",IFERROR(VLOOKUP(DATOS!$I5587,CONFIG_ASIGNATURAS!$B$2:$J$91,9,FALSE()),""))</f>
      </c>
    </row>
    <row r="5588">
      <c r="F5588">
        <f>IF(DATOS!$A5588="","",DATOS!$A5588&amp;"|"&amp;DATOS!$D5588&amp;"|"&amp;DATOS!$E5588&amp;"|"&amp;DATOS!$I5588)</f>
      </c>
      <c r="G5588">
        <f>IF(DATOS!$A5588="",0,IF(CONFIG_METADATA!$B$4&lt;&gt;"OR+EX",--(DATOS!$G5588=CONFIG_METADATA!$B$4),IF(DATOS!$G5588="EX",1,IF(DATOS!$G5588="OR",--(COUNTIFS(nNIA,DATOS!$A5588,nCURSO,DATOS!$D5588,nESPEC,DATOS!$E5588,nASIG,DATOS!$I5588,nEVAL,"EX")=0),0))))</f>
      </c>
      <c r="H5588">
        <f>IF(DATOS!$G5588&lt;&gt;"EX",0,--(COUNTIFS(nNIA,DATOS!$A5588,nCURSO,DATOS!$D5588,nESPEC,DATOS!$E5588,nASIG,DATOS!$I5588,nEVAL,"OR")=0))</f>
      </c>
      <c r="I5588">
        <f>IF(DATOS!$I5588="","",IFERROR(VLOOKUP(DATOS!$I5588,CONFIG_ASIGNATURAS!$B$2:$J$91,9,FALSE()),""))</f>
      </c>
    </row>
    <row r="5589">
      <c r="F5589">
        <f>IF(DATOS!$A5589="","",DATOS!$A5589&amp;"|"&amp;DATOS!$D5589&amp;"|"&amp;DATOS!$E5589&amp;"|"&amp;DATOS!$I5589)</f>
      </c>
      <c r="G5589">
        <f>IF(DATOS!$A5589="",0,IF(CONFIG_METADATA!$B$4&lt;&gt;"OR+EX",--(DATOS!$G5589=CONFIG_METADATA!$B$4),IF(DATOS!$G5589="EX",1,IF(DATOS!$G5589="OR",--(COUNTIFS(nNIA,DATOS!$A5589,nCURSO,DATOS!$D5589,nESPEC,DATOS!$E5589,nASIG,DATOS!$I5589,nEVAL,"EX")=0),0))))</f>
      </c>
      <c r="H5589">
        <f>IF(DATOS!$G5589&lt;&gt;"EX",0,--(COUNTIFS(nNIA,DATOS!$A5589,nCURSO,DATOS!$D5589,nESPEC,DATOS!$E5589,nASIG,DATOS!$I5589,nEVAL,"OR")=0))</f>
      </c>
      <c r="I5589">
        <f>IF(DATOS!$I5589="","",IFERROR(VLOOKUP(DATOS!$I5589,CONFIG_ASIGNATURAS!$B$2:$J$91,9,FALSE()),""))</f>
      </c>
    </row>
    <row r="5590">
      <c r="F5590">
        <f>IF(DATOS!$A5590="","",DATOS!$A5590&amp;"|"&amp;DATOS!$D5590&amp;"|"&amp;DATOS!$E5590&amp;"|"&amp;DATOS!$I5590)</f>
      </c>
      <c r="G5590">
        <f>IF(DATOS!$A5590="",0,IF(CONFIG_METADATA!$B$4&lt;&gt;"OR+EX",--(DATOS!$G5590=CONFIG_METADATA!$B$4),IF(DATOS!$G5590="EX",1,IF(DATOS!$G5590="OR",--(COUNTIFS(nNIA,DATOS!$A5590,nCURSO,DATOS!$D5590,nESPEC,DATOS!$E5590,nASIG,DATOS!$I5590,nEVAL,"EX")=0),0))))</f>
      </c>
      <c r="H5590">
        <f>IF(DATOS!$G5590&lt;&gt;"EX",0,--(COUNTIFS(nNIA,DATOS!$A5590,nCURSO,DATOS!$D5590,nESPEC,DATOS!$E5590,nASIG,DATOS!$I5590,nEVAL,"OR")=0))</f>
      </c>
      <c r="I5590">
        <f>IF(DATOS!$I5590="","",IFERROR(VLOOKUP(DATOS!$I5590,CONFIG_ASIGNATURAS!$B$2:$J$91,9,FALSE()),""))</f>
      </c>
    </row>
    <row r="5591">
      <c r="F5591">
        <f>IF(DATOS!$A5591="","",DATOS!$A5591&amp;"|"&amp;DATOS!$D5591&amp;"|"&amp;DATOS!$E5591&amp;"|"&amp;DATOS!$I5591)</f>
      </c>
      <c r="G5591">
        <f>IF(DATOS!$A5591="",0,IF(CONFIG_METADATA!$B$4&lt;&gt;"OR+EX",--(DATOS!$G5591=CONFIG_METADATA!$B$4),IF(DATOS!$G5591="EX",1,IF(DATOS!$G5591="OR",--(COUNTIFS(nNIA,DATOS!$A5591,nCURSO,DATOS!$D5591,nESPEC,DATOS!$E5591,nASIG,DATOS!$I5591,nEVAL,"EX")=0),0))))</f>
      </c>
      <c r="H5591">
        <f>IF(DATOS!$G5591&lt;&gt;"EX",0,--(COUNTIFS(nNIA,DATOS!$A5591,nCURSO,DATOS!$D5591,nESPEC,DATOS!$E5591,nASIG,DATOS!$I5591,nEVAL,"OR")=0))</f>
      </c>
      <c r="I5591">
        <f>IF(DATOS!$I5591="","",IFERROR(VLOOKUP(DATOS!$I5591,CONFIG_ASIGNATURAS!$B$2:$J$91,9,FALSE()),""))</f>
      </c>
    </row>
    <row r="5592">
      <c r="F5592">
        <f>IF(DATOS!$A5592="","",DATOS!$A5592&amp;"|"&amp;DATOS!$D5592&amp;"|"&amp;DATOS!$E5592&amp;"|"&amp;DATOS!$I5592)</f>
      </c>
      <c r="G5592">
        <f>IF(DATOS!$A5592="",0,IF(CONFIG_METADATA!$B$4&lt;&gt;"OR+EX",--(DATOS!$G5592=CONFIG_METADATA!$B$4),IF(DATOS!$G5592="EX",1,IF(DATOS!$G5592="OR",--(COUNTIFS(nNIA,DATOS!$A5592,nCURSO,DATOS!$D5592,nESPEC,DATOS!$E5592,nASIG,DATOS!$I5592,nEVAL,"EX")=0),0))))</f>
      </c>
      <c r="H5592">
        <f>IF(DATOS!$G5592&lt;&gt;"EX",0,--(COUNTIFS(nNIA,DATOS!$A5592,nCURSO,DATOS!$D5592,nESPEC,DATOS!$E5592,nASIG,DATOS!$I5592,nEVAL,"OR")=0))</f>
      </c>
      <c r="I5592">
        <f>IF(DATOS!$I5592="","",IFERROR(VLOOKUP(DATOS!$I5592,CONFIG_ASIGNATURAS!$B$2:$J$91,9,FALSE()),""))</f>
      </c>
    </row>
    <row r="5593">
      <c r="F5593">
        <f>IF(DATOS!$A5593="","",DATOS!$A5593&amp;"|"&amp;DATOS!$D5593&amp;"|"&amp;DATOS!$E5593&amp;"|"&amp;DATOS!$I5593)</f>
      </c>
      <c r="G5593">
        <f>IF(DATOS!$A5593="",0,IF(CONFIG_METADATA!$B$4&lt;&gt;"OR+EX",--(DATOS!$G5593=CONFIG_METADATA!$B$4),IF(DATOS!$G5593="EX",1,IF(DATOS!$G5593="OR",--(COUNTIFS(nNIA,DATOS!$A5593,nCURSO,DATOS!$D5593,nESPEC,DATOS!$E5593,nASIG,DATOS!$I5593,nEVAL,"EX")=0),0))))</f>
      </c>
      <c r="H5593">
        <f>IF(DATOS!$G5593&lt;&gt;"EX",0,--(COUNTIFS(nNIA,DATOS!$A5593,nCURSO,DATOS!$D5593,nESPEC,DATOS!$E5593,nASIG,DATOS!$I5593,nEVAL,"OR")=0))</f>
      </c>
      <c r="I5593">
        <f>IF(DATOS!$I5593="","",IFERROR(VLOOKUP(DATOS!$I5593,CONFIG_ASIGNATURAS!$B$2:$J$91,9,FALSE()),""))</f>
      </c>
    </row>
    <row r="5594">
      <c r="F5594">
        <f>IF(DATOS!$A5594="","",DATOS!$A5594&amp;"|"&amp;DATOS!$D5594&amp;"|"&amp;DATOS!$E5594&amp;"|"&amp;DATOS!$I5594)</f>
      </c>
      <c r="G5594">
        <f>IF(DATOS!$A5594="",0,IF(CONFIG_METADATA!$B$4&lt;&gt;"OR+EX",--(DATOS!$G5594=CONFIG_METADATA!$B$4),IF(DATOS!$G5594="EX",1,IF(DATOS!$G5594="OR",--(COUNTIFS(nNIA,DATOS!$A5594,nCURSO,DATOS!$D5594,nESPEC,DATOS!$E5594,nASIG,DATOS!$I5594,nEVAL,"EX")=0),0))))</f>
      </c>
      <c r="H5594">
        <f>IF(DATOS!$G5594&lt;&gt;"EX",0,--(COUNTIFS(nNIA,DATOS!$A5594,nCURSO,DATOS!$D5594,nESPEC,DATOS!$E5594,nASIG,DATOS!$I5594,nEVAL,"OR")=0))</f>
      </c>
      <c r="I5594">
        <f>IF(DATOS!$I5594="","",IFERROR(VLOOKUP(DATOS!$I5594,CONFIG_ASIGNATURAS!$B$2:$J$91,9,FALSE()),""))</f>
      </c>
    </row>
    <row r="5595">
      <c r="F5595">
        <f>IF(DATOS!$A5595="","",DATOS!$A5595&amp;"|"&amp;DATOS!$D5595&amp;"|"&amp;DATOS!$E5595&amp;"|"&amp;DATOS!$I5595)</f>
      </c>
      <c r="G5595">
        <f>IF(DATOS!$A5595="",0,IF(CONFIG_METADATA!$B$4&lt;&gt;"OR+EX",--(DATOS!$G5595=CONFIG_METADATA!$B$4),IF(DATOS!$G5595="EX",1,IF(DATOS!$G5595="OR",--(COUNTIFS(nNIA,DATOS!$A5595,nCURSO,DATOS!$D5595,nESPEC,DATOS!$E5595,nASIG,DATOS!$I5595,nEVAL,"EX")=0),0))))</f>
      </c>
      <c r="H5595">
        <f>IF(DATOS!$G5595&lt;&gt;"EX",0,--(COUNTIFS(nNIA,DATOS!$A5595,nCURSO,DATOS!$D5595,nESPEC,DATOS!$E5595,nASIG,DATOS!$I5595,nEVAL,"OR")=0))</f>
      </c>
      <c r="I5595">
        <f>IF(DATOS!$I5595="","",IFERROR(VLOOKUP(DATOS!$I5595,CONFIG_ASIGNATURAS!$B$2:$J$91,9,FALSE()),""))</f>
      </c>
    </row>
    <row r="5596">
      <c r="F5596">
        <f>IF(DATOS!$A5596="","",DATOS!$A5596&amp;"|"&amp;DATOS!$D5596&amp;"|"&amp;DATOS!$E5596&amp;"|"&amp;DATOS!$I5596)</f>
      </c>
      <c r="G5596">
        <f>IF(DATOS!$A5596="",0,IF(CONFIG_METADATA!$B$4&lt;&gt;"OR+EX",--(DATOS!$G5596=CONFIG_METADATA!$B$4),IF(DATOS!$G5596="EX",1,IF(DATOS!$G5596="OR",--(COUNTIFS(nNIA,DATOS!$A5596,nCURSO,DATOS!$D5596,nESPEC,DATOS!$E5596,nASIG,DATOS!$I5596,nEVAL,"EX")=0),0))))</f>
      </c>
      <c r="H5596">
        <f>IF(DATOS!$G5596&lt;&gt;"EX",0,--(COUNTIFS(nNIA,DATOS!$A5596,nCURSO,DATOS!$D5596,nESPEC,DATOS!$E5596,nASIG,DATOS!$I5596,nEVAL,"OR")=0))</f>
      </c>
      <c r="I5596">
        <f>IF(DATOS!$I5596="","",IFERROR(VLOOKUP(DATOS!$I5596,CONFIG_ASIGNATURAS!$B$2:$J$91,9,FALSE()),""))</f>
      </c>
    </row>
    <row r="5597">
      <c r="F5597">
        <f>IF(DATOS!$A5597="","",DATOS!$A5597&amp;"|"&amp;DATOS!$D5597&amp;"|"&amp;DATOS!$E5597&amp;"|"&amp;DATOS!$I5597)</f>
      </c>
      <c r="G5597">
        <f>IF(DATOS!$A5597="",0,IF(CONFIG_METADATA!$B$4&lt;&gt;"OR+EX",--(DATOS!$G5597=CONFIG_METADATA!$B$4),IF(DATOS!$G5597="EX",1,IF(DATOS!$G5597="OR",--(COUNTIFS(nNIA,DATOS!$A5597,nCURSO,DATOS!$D5597,nESPEC,DATOS!$E5597,nASIG,DATOS!$I5597,nEVAL,"EX")=0),0))))</f>
      </c>
      <c r="H5597">
        <f>IF(DATOS!$G5597&lt;&gt;"EX",0,--(COUNTIFS(nNIA,DATOS!$A5597,nCURSO,DATOS!$D5597,nESPEC,DATOS!$E5597,nASIG,DATOS!$I5597,nEVAL,"OR")=0))</f>
      </c>
      <c r="I5597">
        <f>IF(DATOS!$I5597="","",IFERROR(VLOOKUP(DATOS!$I5597,CONFIG_ASIGNATURAS!$B$2:$J$91,9,FALSE()),""))</f>
      </c>
    </row>
    <row r="5598">
      <c r="F5598">
        <f>IF(DATOS!$A5598="","",DATOS!$A5598&amp;"|"&amp;DATOS!$D5598&amp;"|"&amp;DATOS!$E5598&amp;"|"&amp;DATOS!$I5598)</f>
      </c>
      <c r="G5598">
        <f>IF(DATOS!$A5598="",0,IF(CONFIG_METADATA!$B$4&lt;&gt;"OR+EX",--(DATOS!$G5598=CONFIG_METADATA!$B$4),IF(DATOS!$G5598="EX",1,IF(DATOS!$G5598="OR",--(COUNTIFS(nNIA,DATOS!$A5598,nCURSO,DATOS!$D5598,nESPEC,DATOS!$E5598,nASIG,DATOS!$I5598,nEVAL,"EX")=0),0))))</f>
      </c>
      <c r="H5598">
        <f>IF(DATOS!$G5598&lt;&gt;"EX",0,--(COUNTIFS(nNIA,DATOS!$A5598,nCURSO,DATOS!$D5598,nESPEC,DATOS!$E5598,nASIG,DATOS!$I5598,nEVAL,"OR")=0))</f>
      </c>
      <c r="I5598">
        <f>IF(DATOS!$I5598="","",IFERROR(VLOOKUP(DATOS!$I5598,CONFIG_ASIGNATURAS!$B$2:$J$91,9,FALSE()),""))</f>
      </c>
    </row>
    <row r="5599">
      <c r="F5599">
        <f>IF(DATOS!$A5599="","",DATOS!$A5599&amp;"|"&amp;DATOS!$D5599&amp;"|"&amp;DATOS!$E5599&amp;"|"&amp;DATOS!$I5599)</f>
      </c>
      <c r="G5599">
        <f>IF(DATOS!$A5599="",0,IF(CONFIG_METADATA!$B$4&lt;&gt;"OR+EX",--(DATOS!$G5599=CONFIG_METADATA!$B$4),IF(DATOS!$G5599="EX",1,IF(DATOS!$G5599="OR",--(COUNTIFS(nNIA,DATOS!$A5599,nCURSO,DATOS!$D5599,nESPEC,DATOS!$E5599,nASIG,DATOS!$I5599,nEVAL,"EX")=0),0))))</f>
      </c>
      <c r="H5599">
        <f>IF(DATOS!$G5599&lt;&gt;"EX",0,--(COUNTIFS(nNIA,DATOS!$A5599,nCURSO,DATOS!$D5599,nESPEC,DATOS!$E5599,nASIG,DATOS!$I5599,nEVAL,"OR")=0))</f>
      </c>
      <c r="I5599">
        <f>IF(DATOS!$I5599="","",IFERROR(VLOOKUP(DATOS!$I5599,CONFIG_ASIGNATURAS!$B$2:$J$91,9,FALSE()),""))</f>
      </c>
    </row>
    <row r="5600">
      <c r="F5600">
        <f>IF(DATOS!$A5600="","",DATOS!$A5600&amp;"|"&amp;DATOS!$D5600&amp;"|"&amp;DATOS!$E5600&amp;"|"&amp;DATOS!$I5600)</f>
      </c>
      <c r="G5600">
        <f>IF(DATOS!$A5600="",0,IF(CONFIG_METADATA!$B$4&lt;&gt;"OR+EX",--(DATOS!$G5600=CONFIG_METADATA!$B$4),IF(DATOS!$G5600="EX",1,IF(DATOS!$G5600="OR",--(COUNTIFS(nNIA,DATOS!$A5600,nCURSO,DATOS!$D5600,nESPEC,DATOS!$E5600,nASIG,DATOS!$I5600,nEVAL,"EX")=0),0))))</f>
      </c>
      <c r="H5600">
        <f>IF(DATOS!$G5600&lt;&gt;"EX",0,--(COUNTIFS(nNIA,DATOS!$A5600,nCURSO,DATOS!$D5600,nESPEC,DATOS!$E5600,nASIG,DATOS!$I5600,nEVAL,"OR")=0))</f>
      </c>
      <c r="I5600">
        <f>IF(DATOS!$I5600="","",IFERROR(VLOOKUP(DATOS!$I5600,CONFIG_ASIGNATURAS!$B$2:$J$91,9,FALSE()),""))</f>
      </c>
    </row>
    <row r="5601">
      <c r="F5601">
        <f>IF(DATOS!$A5601="","",DATOS!$A5601&amp;"|"&amp;DATOS!$D5601&amp;"|"&amp;DATOS!$E5601&amp;"|"&amp;DATOS!$I5601)</f>
      </c>
      <c r="G5601">
        <f>IF(DATOS!$A5601="",0,IF(CONFIG_METADATA!$B$4&lt;&gt;"OR+EX",--(DATOS!$G5601=CONFIG_METADATA!$B$4),IF(DATOS!$G5601="EX",1,IF(DATOS!$G5601="OR",--(COUNTIFS(nNIA,DATOS!$A5601,nCURSO,DATOS!$D5601,nESPEC,DATOS!$E5601,nASIG,DATOS!$I5601,nEVAL,"EX")=0),0))))</f>
      </c>
      <c r="H5601">
        <f>IF(DATOS!$G5601&lt;&gt;"EX",0,--(COUNTIFS(nNIA,DATOS!$A5601,nCURSO,DATOS!$D5601,nESPEC,DATOS!$E5601,nASIG,DATOS!$I5601,nEVAL,"OR")=0))</f>
      </c>
      <c r="I5601">
        <f>IF(DATOS!$I5601="","",IFERROR(VLOOKUP(DATOS!$I5601,CONFIG_ASIGNATURAS!$B$2:$J$91,9,FALSE()),""))</f>
      </c>
    </row>
    <row r="5602">
      <c r="F5602">
        <f>IF(DATOS!$A5602="","",DATOS!$A5602&amp;"|"&amp;DATOS!$D5602&amp;"|"&amp;DATOS!$E5602&amp;"|"&amp;DATOS!$I5602)</f>
      </c>
      <c r="G5602">
        <f>IF(DATOS!$A5602="",0,IF(CONFIG_METADATA!$B$4&lt;&gt;"OR+EX",--(DATOS!$G5602=CONFIG_METADATA!$B$4),IF(DATOS!$G5602="EX",1,IF(DATOS!$G5602="OR",--(COUNTIFS(nNIA,DATOS!$A5602,nCURSO,DATOS!$D5602,nESPEC,DATOS!$E5602,nASIG,DATOS!$I5602,nEVAL,"EX")=0),0))))</f>
      </c>
      <c r="H5602">
        <f>IF(DATOS!$G5602&lt;&gt;"EX",0,--(COUNTIFS(nNIA,DATOS!$A5602,nCURSO,DATOS!$D5602,nESPEC,DATOS!$E5602,nASIG,DATOS!$I5602,nEVAL,"OR")=0))</f>
      </c>
      <c r="I5602">
        <f>IF(DATOS!$I5602="","",IFERROR(VLOOKUP(DATOS!$I5602,CONFIG_ASIGNATURAS!$B$2:$J$91,9,FALSE()),""))</f>
      </c>
    </row>
    <row r="5603">
      <c r="F5603">
        <f>IF(DATOS!$A5603="","",DATOS!$A5603&amp;"|"&amp;DATOS!$D5603&amp;"|"&amp;DATOS!$E5603&amp;"|"&amp;DATOS!$I5603)</f>
      </c>
      <c r="G5603">
        <f>IF(DATOS!$A5603="",0,IF(CONFIG_METADATA!$B$4&lt;&gt;"OR+EX",--(DATOS!$G5603=CONFIG_METADATA!$B$4),IF(DATOS!$G5603="EX",1,IF(DATOS!$G5603="OR",--(COUNTIFS(nNIA,DATOS!$A5603,nCURSO,DATOS!$D5603,nESPEC,DATOS!$E5603,nASIG,DATOS!$I5603,nEVAL,"EX")=0),0))))</f>
      </c>
      <c r="H5603">
        <f>IF(DATOS!$G5603&lt;&gt;"EX",0,--(COUNTIFS(nNIA,DATOS!$A5603,nCURSO,DATOS!$D5603,nESPEC,DATOS!$E5603,nASIG,DATOS!$I5603,nEVAL,"OR")=0))</f>
      </c>
      <c r="I5603">
        <f>IF(DATOS!$I5603="","",IFERROR(VLOOKUP(DATOS!$I5603,CONFIG_ASIGNATURAS!$B$2:$J$91,9,FALSE()),""))</f>
      </c>
    </row>
    <row r="5604">
      <c r="F5604">
        <f>IF(DATOS!$A5604="","",DATOS!$A5604&amp;"|"&amp;DATOS!$D5604&amp;"|"&amp;DATOS!$E5604&amp;"|"&amp;DATOS!$I5604)</f>
      </c>
      <c r="G5604">
        <f>IF(DATOS!$A5604="",0,IF(CONFIG_METADATA!$B$4&lt;&gt;"OR+EX",--(DATOS!$G5604=CONFIG_METADATA!$B$4),IF(DATOS!$G5604="EX",1,IF(DATOS!$G5604="OR",--(COUNTIFS(nNIA,DATOS!$A5604,nCURSO,DATOS!$D5604,nESPEC,DATOS!$E5604,nASIG,DATOS!$I5604,nEVAL,"EX")=0),0))))</f>
      </c>
      <c r="H5604">
        <f>IF(DATOS!$G5604&lt;&gt;"EX",0,--(COUNTIFS(nNIA,DATOS!$A5604,nCURSO,DATOS!$D5604,nESPEC,DATOS!$E5604,nASIG,DATOS!$I5604,nEVAL,"OR")=0))</f>
      </c>
      <c r="I5604">
        <f>IF(DATOS!$I5604="","",IFERROR(VLOOKUP(DATOS!$I5604,CONFIG_ASIGNATURAS!$B$2:$J$91,9,FALSE()),""))</f>
      </c>
    </row>
    <row r="5605">
      <c r="F5605">
        <f>IF(DATOS!$A5605="","",DATOS!$A5605&amp;"|"&amp;DATOS!$D5605&amp;"|"&amp;DATOS!$E5605&amp;"|"&amp;DATOS!$I5605)</f>
      </c>
      <c r="G5605">
        <f>IF(DATOS!$A5605="",0,IF(CONFIG_METADATA!$B$4&lt;&gt;"OR+EX",--(DATOS!$G5605=CONFIG_METADATA!$B$4),IF(DATOS!$G5605="EX",1,IF(DATOS!$G5605="OR",--(COUNTIFS(nNIA,DATOS!$A5605,nCURSO,DATOS!$D5605,nESPEC,DATOS!$E5605,nASIG,DATOS!$I5605,nEVAL,"EX")=0),0))))</f>
      </c>
      <c r="H5605">
        <f>IF(DATOS!$G5605&lt;&gt;"EX",0,--(COUNTIFS(nNIA,DATOS!$A5605,nCURSO,DATOS!$D5605,nESPEC,DATOS!$E5605,nASIG,DATOS!$I5605,nEVAL,"OR")=0))</f>
      </c>
      <c r="I5605">
        <f>IF(DATOS!$I5605="","",IFERROR(VLOOKUP(DATOS!$I5605,CONFIG_ASIGNATURAS!$B$2:$J$91,9,FALSE()),""))</f>
      </c>
    </row>
    <row r="5606">
      <c r="F5606">
        <f>IF(DATOS!$A5606="","",DATOS!$A5606&amp;"|"&amp;DATOS!$D5606&amp;"|"&amp;DATOS!$E5606&amp;"|"&amp;DATOS!$I5606)</f>
      </c>
      <c r="G5606">
        <f>IF(DATOS!$A5606="",0,IF(CONFIG_METADATA!$B$4&lt;&gt;"OR+EX",--(DATOS!$G5606=CONFIG_METADATA!$B$4),IF(DATOS!$G5606="EX",1,IF(DATOS!$G5606="OR",--(COUNTIFS(nNIA,DATOS!$A5606,nCURSO,DATOS!$D5606,nESPEC,DATOS!$E5606,nASIG,DATOS!$I5606,nEVAL,"EX")=0),0))))</f>
      </c>
      <c r="H5606">
        <f>IF(DATOS!$G5606&lt;&gt;"EX",0,--(COUNTIFS(nNIA,DATOS!$A5606,nCURSO,DATOS!$D5606,nESPEC,DATOS!$E5606,nASIG,DATOS!$I5606,nEVAL,"OR")=0))</f>
      </c>
      <c r="I5606">
        <f>IF(DATOS!$I5606="","",IFERROR(VLOOKUP(DATOS!$I5606,CONFIG_ASIGNATURAS!$B$2:$J$91,9,FALSE()),""))</f>
      </c>
    </row>
    <row r="5607">
      <c r="F5607">
        <f>IF(DATOS!$A5607="","",DATOS!$A5607&amp;"|"&amp;DATOS!$D5607&amp;"|"&amp;DATOS!$E5607&amp;"|"&amp;DATOS!$I5607)</f>
      </c>
      <c r="G5607">
        <f>IF(DATOS!$A5607="",0,IF(CONFIG_METADATA!$B$4&lt;&gt;"OR+EX",--(DATOS!$G5607=CONFIG_METADATA!$B$4),IF(DATOS!$G5607="EX",1,IF(DATOS!$G5607="OR",--(COUNTIFS(nNIA,DATOS!$A5607,nCURSO,DATOS!$D5607,nESPEC,DATOS!$E5607,nASIG,DATOS!$I5607,nEVAL,"EX")=0),0))))</f>
      </c>
      <c r="H5607">
        <f>IF(DATOS!$G5607&lt;&gt;"EX",0,--(COUNTIFS(nNIA,DATOS!$A5607,nCURSO,DATOS!$D5607,nESPEC,DATOS!$E5607,nASIG,DATOS!$I5607,nEVAL,"OR")=0))</f>
      </c>
      <c r="I5607">
        <f>IF(DATOS!$I5607="","",IFERROR(VLOOKUP(DATOS!$I5607,CONFIG_ASIGNATURAS!$B$2:$J$91,9,FALSE()),""))</f>
      </c>
    </row>
    <row r="5608">
      <c r="F5608">
        <f>IF(DATOS!$A5608="","",DATOS!$A5608&amp;"|"&amp;DATOS!$D5608&amp;"|"&amp;DATOS!$E5608&amp;"|"&amp;DATOS!$I5608)</f>
      </c>
      <c r="G5608">
        <f>IF(DATOS!$A5608="",0,IF(CONFIG_METADATA!$B$4&lt;&gt;"OR+EX",--(DATOS!$G5608=CONFIG_METADATA!$B$4),IF(DATOS!$G5608="EX",1,IF(DATOS!$G5608="OR",--(COUNTIFS(nNIA,DATOS!$A5608,nCURSO,DATOS!$D5608,nESPEC,DATOS!$E5608,nASIG,DATOS!$I5608,nEVAL,"EX")=0),0))))</f>
      </c>
      <c r="H5608">
        <f>IF(DATOS!$G5608&lt;&gt;"EX",0,--(COUNTIFS(nNIA,DATOS!$A5608,nCURSO,DATOS!$D5608,nESPEC,DATOS!$E5608,nASIG,DATOS!$I5608,nEVAL,"OR")=0))</f>
      </c>
      <c r="I5608">
        <f>IF(DATOS!$I5608="","",IFERROR(VLOOKUP(DATOS!$I5608,CONFIG_ASIGNATURAS!$B$2:$J$91,9,FALSE()),""))</f>
      </c>
    </row>
    <row r="5609">
      <c r="F5609">
        <f>IF(DATOS!$A5609="","",DATOS!$A5609&amp;"|"&amp;DATOS!$D5609&amp;"|"&amp;DATOS!$E5609&amp;"|"&amp;DATOS!$I5609)</f>
      </c>
      <c r="G5609">
        <f>IF(DATOS!$A5609="",0,IF(CONFIG_METADATA!$B$4&lt;&gt;"OR+EX",--(DATOS!$G5609=CONFIG_METADATA!$B$4),IF(DATOS!$G5609="EX",1,IF(DATOS!$G5609="OR",--(COUNTIFS(nNIA,DATOS!$A5609,nCURSO,DATOS!$D5609,nESPEC,DATOS!$E5609,nASIG,DATOS!$I5609,nEVAL,"EX")=0),0))))</f>
      </c>
      <c r="H5609">
        <f>IF(DATOS!$G5609&lt;&gt;"EX",0,--(COUNTIFS(nNIA,DATOS!$A5609,nCURSO,DATOS!$D5609,nESPEC,DATOS!$E5609,nASIG,DATOS!$I5609,nEVAL,"OR")=0))</f>
      </c>
      <c r="I5609">
        <f>IF(DATOS!$I5609="","",IFERROR(VLOOKUP(DATOS!$I5609,CONFIG_ASIGNATURAS!$B$2:$J$91,9,FALSE()),""))</f>
      </c>
    </row>
    <row r="5610">
      <c r="F5610">
        <f>IF(DATOS!$A5610="","",DATOS!$A5610&amp;"|"&amp;DATOS!$D5610&amp;"|"&amp;DATOS!$E5610&amp;"|"&amp;DATOS!$I5610)</f>
      </c>
      <c r="G5610">
        <f>IF(DATOS!$A5610="",0,IF(CONFIG_METADATA!$B$4&lt;&gt;"OR+EX",--(DATOS!$G5610=CONFIG_METADATA!$B$4),IF(DATOS!$G5610="EX",1,IF(DATOS!$G5610="OR",--(COUNTIFS(nNIA,DATOS!$A5610,nCURSO,DATOS!$D5610,nESPEC,DATOS!$E5610,nASIG,DATOS!$I5610,nEVAL,"EX")=0),0))))</f>
      </c>
      <c r="H5610">
        <f>IF(DATOS!$G5610&lt;&gt;"EX",0,--(COUNTIFS(nNIA,DATOS!$A5610,nCURSO,DATOS!$D5610,nESPEC,DATOS!$E5610,nASIG,DATOS!$I5610,nEVAL,"OR")=0))</f>
      </c>
      <c r="I5610">
        <f>IF(DATOS!$I5610="","",IFERROR(VLOOKUP(DATOS!$I5610,CONFIG_ASIGNATURAS!$B$2:$J$91,9,FALSE()),""))</f>
      </c>
    </row>
    <row r="5611">
      <c r="F5611">
        <f>IF(DATOS!$A5611="","",DATOS!$A5611&amp;"|"&amp;DATOS!$D5611&amp;"|"&amp;DATOS!$E5611&amp;"|"&amp;DATOS!$I5611)</f>
      </c>
      <c r="G5611">
        <f>IF(DATOS!$A5611="",0,IF(CONFIG_METADATA!$B$4&lt;&gt;"OR+EX",--(DATOS!$G5611=CONFIG_METADATA!$B$4),IF(DATOS!$G5611="EX",1,IF(DATOS!$G5611="OR",--(COUNTIFS(nNIA,DATOS!$A5611,nCURSO,DATOS!$D5611,nESPEC,DATOS!$E5611,nASIG,DATOS!$I5611,nEVAL,"EX")=0),0))))</f>
      </c>
      <c r="H5611">
        <f>IF(DATOS!$G5611&lt;&gt;"EX",0,--(COUNTIFS(nNIA,DATOS!$A5611,nCURSO,DATOS!$D5611,nESPEC,DATOS!$E5611,nASIG,DATOS!$I5611,nEVAL,"OR")=0))</f>
      </c>
      <c r="I5611">
        <f>IF(DATOS!$I5611="","",IFERROR(VLOOKUP(DATOS!$I5611,CONFIG_ASIGNATURAS!$B$2:$J$91,9,FALSE()),""))</f>
      </c>
    </row>
    <row r="5612">
      <c r="F5612">
        <f>IF(DATOS!$A5612="","",DATOS!$A5612&amp;"|"&amp;DATOS!$D5612&amp;"|"&amp;DATOS!$E5612&amp;"|"&amp;DATOS!$I5612)</f>
      </c>
      <c r="G5612">
        <f>IF(DATOS!$A5612="",0,IF(CONFIG_METADATA!$B$4&lt;&gt;"OR+EX",--(DATOS!$G5612=CONFIG_METADATA!$B$4),IF(DATOS!$G5612="EX",1,IF(DATOS!$G5612="OR",--(COUNTIFS(nNIA,DATOS!$A5612,nCURSO,DATOS!$D5612,nESPEC,DATOS!$E5612,nASIG,DATOS!$I5612,nEVAL,"EX")=0),0))))</f>
      </c>
      <c r="H5612">
        <f>IF(DATOS!$G5612&lt;&gt;"EX",0,--(COUNTIFS(nNIA,DATOS!$A5612,nCURSO,DATOS!$D5612,nESPEC,DATOS!$E5612,nASIG,DATOS!$I5612,nEVAL,"OR")=0))</f>
      </c>
      <c r="I5612">
        <f>IF(DATOS!$I5612="","",IFERROR(VLOOKUP(DATOS!$I5612,CONFIG_ASIGNATURAS!$B$2:$J$91,9,FALSE()),""))</f>
      </c>
    </row>
    <row r="5613">
      <c r="F5613">
        <f>IF(DATOS!$A5613="","",DATOS!$A5613&amp;"|"&amp;DATOS!$D5613&amp;"|"&amp;DATOS!$E5613&amp;"|"&amp;DATOS!$I5613)</f>
      </c>
      <c r="G5613">
        <f>IF(DATOS!$A5613="",0,IF(CONFIG_METADATA!$B$4&lt;&gt;"OR+EX",--(DATOS!$G5613=CONFIG_METADATA!$B$4),IF(DATOS!$G5613="EX",1,IF(DATOS!$G5613="OR",--(COUNTIFS(nNIA,DATOS!$A5613,nCURSO,DATOS!$D5613,nESPEC,DATOS!$E5613,nASIG,DATOS!$I5613,nEVAL,"EX")=0),0))))</f>
      </c>
      <c r="H5613">
        <f>IF(DATOS!$G5613&lt;&gt;"EX",0,--(COUNTIFS(nNIA,DATOS!$A5613,nCURSO,DATOS!$D5613,nESPEC,DATOS!$E5613,nASIG,DATOS!$I5613,nEVAL,"OR")=0))</f>
      </c>
      <c r="I5613">
        <f>IF(DATOS!$I5613="","",IFERROR(VLOOKUP(DATOS!$I5613,CONFIG_ASIGNATURAS!$B$2:$J$91,9,FALSE()),""))</f>
      </c>
    </row>
    <row r="5614">
      <c r="F5614">
        <f>IF(DATOS!$A5614="","",DATOS!$A5614&amp;"|"&amp;DATOS!$D5614&amp;"|"&amp;DATOS!$E5614&amp;"|"&amp;DATOS!$I5614)</f>
      </c>
      <c r="G5614">
        <f>IF(DATOS!$A5614="",0,IF(CONFIG_METADATA!$B$4&lt;&gt;"OR+EX",--(DATOS!$G5614=CONFIG_METADATA!$B$4),IF(DATOS!$G5614="EX",1,IF(DATOS!$G5614="OR",--(COUNTIFS(nNIA,DATOS!$A5614,nCURSO,DATOS!$D5614,nESPEC,DATOS!$E5614,nASIG,DATOS!$I5614,nEVAL,"EX")=0),0))))</f>
      </c>
      <c r="H5614">
        <f>IF(DATOS!$G5614&lt;&gt;"EX",0,--(COUNTIFS(nNIA,DATOS!$A5614,nCURSO,DATOS!$D5614,nESPEC,DATOS!$E5614,nASIG,DATOS!$I5614,nEVAL,"OR")=0))</f>
      </c>
      <c r="I5614">
        <f>IF(DATOS!$I5614="","",IFERROR(VLOOKUP(DATOS!$I5614,CONFIG_ASIGNATURAS!$B$2:$J$91,9,FALSE()),""))</f>
      </c>
    </row>
    <row r="5615">
      <c r="F5615">
        <f>IF(DATOS!$A5615="","",DATOS!$A5615&amp;"|"&amp;DATOS!$D5615&amp;"|"&amp;DATOS!$E5615&amp;"|"&amp;DATOS!$I5615)</f>
      </c>
      <c r="G5615">
        <f>IF(DATOS!$A5615="",0,IF(CONFIG_METADATA!$B$4&lt;&gt;"OR+EX",--(DATOS!$G5615=CONFIG_METADATA!$B$4),IF(DATOS!$G5615="EX",1,IF(DATOS!$G5615="OR",--(COUNTIFS(nNIA,DATOS!$A5615,nCURSO,DATOS!$D5615,nESPEC,DATOS!$E5615,nASIG,DATOS!$I5615,nEVAL,"EX")=0),0))))</f>
      </c>
      <c r="H5615">
        <f>IF(DATOS!$G5615&lt;&gt;"EX",0,--(COUNTIFS(nNIA,DATOS!$A5615,nCURSO,DATOS!$D5615,nESPEC,DATOS!$E5615,nASIG,DATOS!$I5615,nEVAL,"OR")=0))</f>
      </c>
      <c r="I5615">
        <f>IF(DATOS!$I5615="","",IFERROR(VLOOKUP(DATOS!$I5615,CONFIG_ASIGNATURAS!$B$2:$J$91,9,FALSE()),""))</f>
      </c>
    </row>
    <row r="5616">
      <c r="F5616">
        <f>IF(DATOS!$A5616="","",DATOS!$A5616&amp;"|"&amp;DATOS!$D5616&amp;"|"&amp;DATOS!$E5616&amp;"|"&amp;DATOS!$I5616)</f>
      </c>
      <c r="G5616">
        <f>IF(DATOS!$A5616="",0,IF(CONFIG_METADATA!$B$4&lt;&gt;"OR+EX",--(DATOS!$G5616=CONFIG_METADATA!$B$4),IF(DATOS!$G5616="EX",1,IF(DATOS!$G5616="OR",--(COUNTIFS(nNIA,DATOS!$A5616,nCURSO,DATOS!$D5616,nESPEC,DATOS!$E5616,nASIG,DATOS!$I5616,nEVAL,"EX")=0),0))))</f>
      </c>
      <c r="H5616">
        <f>IF(DATOS!$G5616&lt;&gt;"EX",0,--(COUNTIFS(nNIA,DATOS!$A5616,nCURSO,DATOS!$D5616,nESPEC,DATOS!$E5616,nASIG,DATOS!$I5616,nEVAL,"OR")=0))</f>
      </c>
      <c r="I5616">
        <f>IF(DATOS!$I5616="","",IFERROR(VLOOKUP(DATOS!$I5616,CONFIG_ASIGNATURAS!$B$2:$J$91,9,FALSE()),""))</f>
      </c>
    </row>
    <row r="5617">
      <c r="F5617">
        <f>IF(DATOS!$A5617="","",DATOS!$A5617&amp;"|"&amp;DATOS!$D5617&amp;"|"&amp;DATOS!$E5617&amp;"|"&amp;DATOS!$I5617)</f>
      </c>
      <c r="G5617">
        <f>IF(DATOS!$A5617="",0,IF(CONFIG_METADATA!$B$4&lt;&gt;"OR+EX",--(DATOS!$G5617=CONFIG_METADATA!$B$4),IF(DATOS!$G5617="EX",1,IF(DATOS!$G5617="OR",--(COUNTIFS(nNIA,DATOS!$A5617,nCURSO,DATOS!$D5617,nESPEC,DATOS!$E5617,nASIG,DATOS!$I5617,nEVAL,"EX")=0),0))))</f>
      </c>
      <c r="H5617">
        <f>IF(DATOS!$G5617&lt;&gt;"EX",0,--(COUNTIFS(nNIA,DATOS!$A5617,nCURSO,DATOS!$D5617,nESPEC,DATOS!$E5617,nASIG,DATOS!$I5617,nEVAL,"OR")=0))</f>
      </c>
      <c r="I5617">
        <f>IF(DATOS!$I5617="","",IFERROR(VLOOKUP(DATOS!$I5617,CONFIG_ASIGNATURAS!$B$2:$J$91,9,FALSE()),""))</f>
      </c>
    </row>
    <row r="5618">
      <c r="F5618">
        <f>IF(DATOS!$A5618="","",DATOS!$A5618&amp;"|"&amp;DATOS!$D5618&amp;"|"&amp;DATOS!$E5618&amp;"|"&amp;DATOS!$I5618)</f>
      </c>
      <c r="G5618">
        <f>IF(DATOS!$A5618="",0,IF(CONFIG_METADATA!$B$4&lt;&gt;"OR+EX",--(DATOS!$G5618=CONFIG_METADATA!$B$4),IF(DATOS!$G5618="EX",1,IF(DATOS!$G5618="OR",--(COUNTIFS(nNIA,DATOS!$A5618,nCURSO,DATOS!$D5618,nESPEC,DATOS!$E5618,nASIG,DATOS!$I5618,nEVAL,"EX")=0),0))))</f>
      </c>
      <c r="H5618">
        <f>IF(DATOS!$G5618&lt;&gt;"EX",0,--(COUNTIFS(nNIA,DATOS!$A5618,nCURSO,DATOS!$D5618,nESPEC,DATOS!$E5618,nASIG,DATOS!$I5618,nEVAL,"OR")=0))</f>
      </c>
      <c r="I5618">
        <f>IF(DATOS!$I5618="","",IFERROR(VLOOKUP(DATOS!$I5618,CONFIG_ASIGNATURAS!$B$2:$J$91,9,FALSE()),""))</f>
      </c>
    </row>
    <row r="5619">
      <c r="F5619">
        <f>IF(DATOS!$A5619="","",DATOS!$A5619&amp;"|"&amp;DATOS!$D5619&amp;"|"&amp;DATOS!$E5619&amp;"|"&amp;DATOS!$I5619)</f>
      </c>
      <c r="G5619">
        <f>IF(DATOS!$A5619="",0,IF(CONFIG_METADATA!$B$4&lt;&gt;"OR+EX",--(DATOS!$G5619=CONFIG_METADATA!$B$4),IF(DATOS!$G5619="EX",1,IF(DATOS!$G5619="OR",--(COUNTIFS(nNIA,DATOS!$A5619,nCURSO,DATOS!$D5619,nESPEC,DATOS!$E5619,nASIG,DATOS!$I5619,nEVAL,"EX")=0),0))))</f>
      </c>
      <c r="H5619">
        <f>IF(DATOS!$G5619&lt;&gt;"EX",0,--(COUNTIFS(nNIA,DATOS!$A5619,nCURSO,DATOS!$D5619,nESPEC,DATOS!$E5619,nASIG,DATOS!$I5619,nEVAL,"OR")=0))</f>
      </c>
      <c r="I5619">
        <f>IF(DATOS!$I5619="","",IFERROR(VLOOKUP(DATOS!$I5619,CONFIG_ASIGNATURAS!$B$2:$J$91,9,FALSE()),""))</f>
      </c>
    </row>
    <row r="5620">
      <c r="F5620">
        <f>IF(DATOS!$A5620="","",DATOS!$A5620&amp;"|"&amp;DATOS!$D5620&amp;"|"&amp;DATOS!$E5620&amp;"|"&amp;DATOS!$I5620)</f>
      </c>
      <c r="G5620">
        <f>IF(DATOS!$A5620="",0,IF(CONFIG_METADATA!$B$4&lt;&gt;"OR+EX",--(DATOS!$G5620=CONFIG_METADATA!$B$4),IF(DATOS!$G5620="EX",1,IF(DATOS!$G5620="OR",--(COUNTIFS(nNIA,DATOS!$A5620,nCURSO,DATOS!$D5620,nESPEC,DATOS!$E5620,nASIG,DATOS!$I5620,nEVAL,"EX")=0),0))))</f>
      </c>
      <c r="H5620">
        <f>IF(DATOS!$G5620&lt;&gt;"EX",0,--(COUNTIFS(nNIA,DATOS!$A5620,nCURSO,DATOS!$D5620,nESPEC,DATOS!$E5620,nASIG,DATOS!$I5620,nEVAL,"OR")=0))</f>
      </c>
      <c r="I5620">
        <f>IF(DATOS!$I5620="","",IFERROR(VLOOKUP(DATOS!$I5620,CONFIG_ASIGNATURAS!$B$2:$J$91,9,FALSE()),""))</f>
      </c>
    </row>
    <row r="5621">
      <c r="F5621">
        <f>IF(DATOS!$A5621="","",DATOS!$A5621&amp;"|"&amp;DATOS!$D5621&amp;"|"&amp;DATOS!$E5621&amp;"|"&amp;DATOS!$I5621)</f>
      </c>
      <c r="G5621">
        <f>IF(DATOS!$A5621="",0,IF(CONFIG_METADATA!$B$4&lt;&gt;"OR+EX",--(DATOS!$G5621=CONFIG_METADATA!$B$4),IF(DATOS!$G5621="EX",1,IF(DATOS!$G5621="OR",--(COUNTIFS(nNIA,DATOS!$A5621,nCURSO,DATOS!$D5621,nESPEC,DATOS!$E5621,nASIG,DATOS!$I5621,nEVAL,"EX")=0),0))))</f>
      </c>
      <c r="H5621">
        <f>IF(DATOS!$G5621&lt;&gt;"EX",0,--(COUNTIFS(nNIA,DATOS!$A5621,nCURSO,DATOS!$D5621,nESPEC,DATOS!$E5621,nASIG,DATOS!$I5621,nEVAL,"OR")=0))</f>
      </c>
      <c r="I5621">
        <f>IF(DATOS!$I5621="","",IFERROR(VLOOKUP(DATOS!$I5621,CONFIG_ASIGNATURAS!$B$2:$J$91,9,FALSE()),""))</f>
      </c>
    </row>
    <row r="5622">
      <c r="F5622">
        <f>IF(DATOS!$A5622="","",DATOS!$A5622&amp;"|"&amp;DATOS!$D5622&amp;"|"&amp;DATOS!$E5622&amp;"|"&amp;DATOS!$I5622)</f>
      </c>
      <c r="G5622">
        <f>IF(DATOS!$A5622="",0,IF(CONFIG_METADATA!$B$4&lt;&gt;"OR+EX",--(DATOS!$G5622=CONFIG_METADATA!$B$4),IF(DATOS!$G5622="EX",1,IF(DATOS!$G5622="OR",--(COUNTIFS(nNIA,DATOS!$A5622,nCURSO,DATOS!$D5622,nESPEC,DATOS!$E5622,nASIG,DATOS!$I5622,nEVAL,"EX")=0),0))))</f>
      </c>
      <c r="H5622">
        <f>IF(DATOS!$G5622&lt;&gt;"EX",0,--(COUNTIFS(nNIA,DATOS!$A5622,nCURSO,DATOS!$D5622,nESPEC,DATOS!$E5622,nASIG,DATOS!$I5622,nEVAL,"OR")=0))</f>
      </c>
      <c r="I5622">
        <f>IF(DATOS!$I5622="","",IFERROR(VLOOKUP(DATOS!$I5622,CONFIG_ASIGNATURAS!$B$2:$J$91,9,FALSE()),""))</f>
      </c>
    </row>
    <row r="5623">
      <c r="F5623">
        <f>IF(DATOS!$A5623="","",DATOS!$A5623&amp;"|"&amp;DATOS!$D5623&amp;"|"&amp;DATOS!$E5623&amp;"|"&amp;DATOS!$I5623)</f>
      </c>
      <c r="G5623">
        <f>IF(DATOS!$A5623="",0,IF(CONFIG_METADATA!$B$4&lt;&gt;"OR+EX",--(DATOS!$G5623=CONFIG_METADATA!$B$4),IF(DATOS!$G5623="EX",1,IF(DATOS!$G5623="OR",--(COUNTIFS(nNIA,DATOS!$A5623,nCURSO,DATOS!$D5623,nESPEC,DATOS!$E5623,nASIG,DATOS!$I5623,nEVAL,"EX")=0),0))))</f>
      </c>
      <c r="H5623">
        <f>IF(DATOS!$G5623&lt;&gt;"EX",0,--(COUNTIFS(nNIA,DATOS!$A5623,nCURSO,DATOS!$D5623,nESPEC,DATOS!$E5623,nASIG,DATOS!$I5623,nEVAL,"OR")=0))</f>
      </c>
      <c r="I5623">
        <f>IF(DATOS!$I5623="","",IFERROR(VLOOKUP(DATOS!$I5623,CONFIG_ASIGNATURAS!$B$2:$J$91,9,FALSE()),""))</f>
      </c>
    </row>
    <row r="5624">
      <c r="F5624">
        <f>IF(DATOS!$A5624="","",DATOS!$A5624&amp;"|"&amp;DATOS!$D5624&amp;"|"&amp;DATOS!$E5624&amp;"|"&amp;DATOS!$I5624)</f>
      </c>
      <c r="G5624">
        <f>IF(DATOS!$A5624="",0,IF(CONFIG_METADATA!$B$4&lt;&gt;"OR+EX",--(DATOS!$G5624=CONFIG_METADATA!$B$4),IF(DATOS!$G5624="EX",1,IF(DATOS!$G5624="OR",--(COUNTIFS(nNIA,DATOS!$A5624,nCURSO,DATOS!$D5624,nESPEC,DATOS!$E5624,nASIG,DATOS!$I5624,nEVAL,"EX")=0),0))))</f>
      </c>
      <c r="H5624">
        <f>IF(DATOS!$G5624&lt;&gt;"EX",0,--(COUNTIFS(nNIA,DATOS!$A5624,nCURSO,DATOS!$D5624,nESPEC,DATOS!$E5624,nASIG,DATOS!$I5624,nEVAL,"OR")=0))</f>
      </c>
      <c r="I5624">
        <f>IF(DATOS!$I5624="","",IFERROR(VLOOKUP(DATOS!$I5624,CONFIG_ASIGNATURAS!$B$2:$J$91,9,FALSE()),""))</f>
      </c>
    </row>
    <row r="5625">
      <c r="F5625">
        <f>IF(DATOS!$A5625="","",DATOS!$A5625&amp;"|"&amp;DATOS!$D5625&amp;"|"&amp;DATOS!$E5625&amp;"|"&amp;DATOS!$I5625)</f>
      </c>
      <c r="G5625">
        <f>IF(DATOS!$A5625="",0,IF(CONFIG_METADATA!$B$4&lt;&gt;"OR+EX",--(DATOS!$G5625=CONFIG_METADATA!$B$4),IF(DATOS!$G5625="EX",1,IF(DATOS!$G5625="OR",--(COUNTIFS(nNIA,DATOS!$A5625,nCURSO,DATOS!$D5625,nESPEC,DATOS!$E5625,nASIG,DATOS!$I5625,nEVAL,"EX")=0),0))))</f>
      </c>
      <c r="H5625">
        <f>IF(DATOS!$G5625&lt;&gt;"EX",0,--(COUNTIFS(nNIA,DATOS!$A5625,nCURSO,DATOS!$D5625,nESPEC,DATOS!$E5625,nASIG,DATOS!$I5625,nEVAL,"OR")=0))</f>
      </c>
      <c r="I5625">
        <f>IF(DATOS!$I5625="","",IFERROR(VLOOKUP(DATOS!$I5625,CONFIG_ASIGNATURAS!$B$2:$J$91,9,FALSE()),""))</f>
      </c>
    </row>
    <row r="5626">
      <c r="F5626">
        <f>IF(DATOS!$A5626="","",DATOS!$A5626&amp;"|"&amp;DATOS!$D5626&amp;"|"&amp;DATOS!$E5626&amp;"|"&amp;DATOS!$I5626)</f>
      </c>
      <c r="G5626">
        <f>IF(DATOS!$A5626="",0,IF(CONFIG_METADATA!$B$4&lt;&gt;"OR+EX",--(DATOS!$G5626=CONFIG_METADATA!$B$4),IF(DATOS!$G5626="EX",1,IF(DATOS!$G5626="OR",--(COUNTIFS(nNIA,DATOS!$A5626,nCURSO,DATOS!$D5626,nESPEC,DATOS!$E5626,nASIG,DATOS!$I5626,nEVAL,"EX")=0),0))))</f>
      </c>
      <c r="H5626">
        <f>IF(DATOS!$G5626&lt;&gt;"EX",0,--(COUNTIFS(nNIA,DATOS!$A5626,nCURSO,DATOS!$D5626,nESPEC,DATOS!$E5626,nASIG,DATOS!$I5626,nEVAL,"OR")=0))</f>
      </c>
      <c r="I5626">
        <f>IF(DATOS!$I5626="","",IFERROR(VLOOKUP(DATOS!$I5626,CONFIG_ASIGNATURAS!$B$2:$J$91,9,FALSE()),""))</f>
      </c>
    </row>
    <row r="5627">
      <c r="F5627">
        <f>IF(DATOS!$A5627="","",DATOS!$A5627&amp;"|"&amp;DATOS!$D5627&amp;"|"&amp;DATOS!$E5627&amp;"|"&amp;DATOS!$I5627)</f>
      </c>
      <c r="G5627">
        <f>IF(DATOS!$A5627="",0,IF(CONFIG_METADATA!$B$4&lt;&gt;"OR+EX",--(DATOS!$G5627=CONFIG_METADATA!$B$4),IF(DATOS!$G5627="EX",1,IF(DATOS!$G5627="OR",--(COUNTIFS(nNIA,DATOS!$A5627,nCURSO,DATOS!$D5627,nESPEC,DATOS!$E5627,nASIG,DATOS!$I5627,nEVAL,"EX")=0),0))))</f>
      </c>
      <c r="H5627">
        <f>IF(DATOS!$G5627&lt;&gt;"EX",0,--(COUNTIFS(nNIA,DATOS!$A5627,nCURSO,DATOS!$D5627,nESPEC,DATOS!$E5627,nASIG,DATOS!$I5627,nEVAL,"OR")=0))</f>
      </c>
      <c r="I5627">
        <f>IF(DATOS!$I5627="","",IFERROR(VLOOKUP(DATOS!$I5627,CONFIG_ASIGNATURAS!$B$2:$J$91,9,FALSE()),""))</f>
      </c>
    </row>
    <row r="5628">
      <c r="F5628">
        <f>IF(DATOS!$A5628="","",DATOS!$A5628&amp;"|"&amp;DATOS!$D5628&amp;"|"&amp;DATOS!$E5628&amp;"|"&amp;DATOS!$I5628)</f>
      </c>
      <c r="G5628">
        <f>IF(DATOS!$A5628="",0,IF(CONFIG_METADATA!$B$4&lt;&gt;"OR+EX",--(DATOS!$G5628=CONFIG_METADATA!$B$4),IF(DATOS!$G5628="EX",1,IF(DATOS!$G5628="OR",--(COUNTIFS(nNIA,DATOS!$A5628,nCURSO,DATOS!$D5628,nESPEC,DATOS!$E5628,nASIG,DATOS!$I5628,nEVAL,"EX")=0),0))))</f>
      </c>
      <c r="H5628">
        <f>IF(DATOS!$G5628&lt;&gt;"EX",0,--(COUNTIFS(nNIA,DATOS!$A5628,nCURSO,DATOS!$D5628,nESPEC,DATOS!$E5628,nASIG,DATOS!$I5628,nEVAL,"OR")=0))</f>
      </c>
      <c r="I5628">
        <f>IF(DATOS!$I5628="","",IFERROR(VLOOKUP(DATOS!$I5628,CONFIG_ASIGNATURAS!$B$2:$J$91,9,FALSE()),""))</f>
      </c>
    </row>
    <row r="5629">
      <c r="F5629">
        <f>IF(DATOS!$A5629="","",DATOS!$A5629&amp;"|"&amp;DATOS!$D5629&amp;"|"&amp;DATOS!$E5629&amp;"|"&amp;DATOS!$I5629)</f>
      </c>
      <c r="G5629">
        <f>IF(DATOS!$A5629="",0,IF(CONFIG_METADATA!$B$4&lt;&gt;"OR+EX",--(DATOS!$G5629=CONFIG_METADATA!$B$4),IF(DATOS!$G5629="EX",1,IF(DATOS!$G5629="OR",--(COUNTIFS(nNIA,DATOS!$A5629,nCURSO,DATOS!$D5629,nESPEC,DATOS!$E5629,nASIG,DATOS!$I5629,nEVAL,"EX")=0),0))))</f>
      </c>
      <c r="H5629">
        <f>IF(DATOS!$G5629&lt;&gt;"EX",0,--(COUNTIFS(nNIA,DATOS!$A5629,nCURSO,DATOS!$D5629,nESPEC,DATOS!$E5629,nASIG,DATOS!$I5629,nEVAL,"OR")=0))</f>
      </c>
      <c r="I5629">
        <f>IF(DATOS!$I5629="","",IFERROR(VLOOKUP(DATOS!$I5629,CONFIG_ASIGNATURAS!$B$2:$J$91,9,FALSE()),""))</f>
      </c>
    </row>
    <row r="5630">
      <c r="F5630">
        <f>IF(DATOS!$A5630="","",DATOS!$A5630&amp;"|"&amp;DATOS!$D5630&amp;"|"&amp;DATOS!$E5630&amp;"|"&amp;DATOS!$I5630)</f>
      </c>
      <c r="G5630">
        <f>IF(DATOS!$A5630="",0,IF(CONFIG_METADATA!$B$4&lt;&gt;"OR+EX",--(DATOS!$G5630=CONFIG_METADATA!$B$4),IF(DATOS!$G5630="EX",1,IF(DATOS!$G5630="OR",--(COUNTIFS(nNIA,DATOS!$A5630,nCURSO,DATOS!$D5630,nESPEC,DATOS!$E5630,nASIG,DATOS!$I5630,nEVAL,"EX")=0),0))))</f>
      </c>
      <c r="H5630">
        <f>IF(DATOS!$G5630&lt;&gt;"EX",0,--(COUNTIFS(nNIA,DATOS!$A5630,nCURSO,DATOS!$D5630,nESPEC,DATOS!$E5630,nASIG,DATOS!$I5630,nEVAL,"OR")=0))</f>
      </c>
      <c r="I5630">
        <f>IF(DATOS!$I5630="","",IFERROR(VLOOKUP(DATOS!$I5630,CONFIG_ASIGNATURAS!$B$2:$J$91,9,FALSE()),""))</f>
      </c>
    </row>
    <row r="5631">
      <c r="F5631">
        <f>IF(DATOS!$A5631="","",DATOS!$A5631&amp;"|"&amp;DATOS!$D5631&amp;"|"&amp;DATOS!$E5631&amp;"|"&amp;DATOS!$I5631)</f>
      </c>
      <c r="G5631">
        <f>IF(DATOS!$A5631="",0,IF(CONFIG_METADATA!$B$4&lt;&gt;"OR+EX",--(DATOS!$G5631=CONFIG_METADATA!$B$4),IF(DATOS!$G5631="EX",1,IF(DATOS!$G5631="OR",--(COUNTIFS(nNIA,DATOS!$A5631,nCURSO,DATOS!$D5631,nESPEC,DATOS!$E5631,nASIG,DATOS!$I5631,nEVAL,"EX")=0),0))))</f>
      </c>
      <c r="H5631">
        <f>IF(DATOS!$G5631&lt;&gt;"EX",0,--(COUNTIFS(nNIA,DATOS!$A5631,nCURSO,DATOS!$D5631,nESPEC,DATOS!$E5631,nASIG,DATOS!$I5631,nEVAL,"OR")=0))</f>
      </c>
      <c r="I5631">
        <f>IF(DATOS!$I5631="","",IFERROR(VLOOKUP(DATOS!$I5631,CONFIG_ASIGNATURAS!$B$2:$J$91,9,FALSE()),""))</f>
      </c>
    </row>
    <row r="5632">
      <c r="F5632">
        <f>IF(DATOS!$A5632="","",DATOS!$A5632&amp;"|"&amp;DATOS!$D5632&amp;"|"&amp;DATOS!$E5632&amp;"|"&amp;DATOS!$I5632)</f>
      </c>
      <c r="G5632">
        <f>IF(DATOS!$A5632="",0,IF(CONFIG_METADATA!$B$4&lt;&gt;"OR+EX",--(DATOS!$G5632=CONFIG_METADATA!$B$4),IF(DATOS!$G5632="EX",1,IF(DATOS!$G5632="OR",--(COUNTIFS(nNIA,DATOS!$A5632,nCURSO,DATOS!$D5632,nESPEC,DATOS!$E5632,nASIG,DATOS!$I5632,nEVAL,"EX")=0),0))))</f>
      </c>
      <c r="H5632">
        <f>IF(DATOS!$G5632&lt;&gt;"EX",0,--(COUNTIFS(nNIA,DATOS!$A5632,nCURSO,DATOS!$D5632,nESPEC,DATOS!$E5632,nASIG,DATOS!$I5632,nEVAL,"OR")=0))</f>
      </c>
      <c r="I5632">
        <f>IF(DATOS!$I5632="","",IFERROR(VLOOKUP(DATOS!$I5632,CONFIG_ASIGNATURAS!$B$2:$J$91,9,FALSE()),""))</f>
      </c>
    </row>
    <row r="5633">
      <c r="F5633">
        <f>IF(DATOS!$A5633="","",DATOS!$A5633&amp;"|"&amp;DATOS!$D5633&amp;"|"&amp;DATOS!$E5633&amp;"|"&amp;DATOS!$I5633)</f>
      </c>
      <c r="G5633">
        <f>IF(DATOS!$A5633="",0,IF(CONFIG_METADATA!$B$4&lt;&gt;"OR+EX",--(DATOS!$G5633=CONFIG_METADATA!$B$4),IF(DATOS!$G5633="EX",1,IF(DATOS!$G5633="OR",--(COUNTIFS(nNIA,DATOS!$A5633,nCURSO,DATOS!$D5633,nESPEC,DATOS!$E5633,nASIG,DATOS!$I5633,nEVAL,"EX")=0),0))))</f>
      </c>
      <c r="H5633">
        <f>IF(DATOS!$G5633&lt;&gt;"EX",0,--(COUNTIFS(nNIA,DATOS!$A5633,nCURSO,DATOS!$D5633,nESPEC,DATOS!$E5633,nASIG,DATOS!$I5633,nEVAL,"OR")=0))</f>
      </c>
      <c r="I5633">
        <f>IF(DATOS!$I5633="","",IFERROR(VLOOKUP(DATOS!$I5633,CONFIG_ASIGNATURAS!$B$2:$J$91,9,FALSE()),""))</f>
      </c>
    </row>
    <row r="5634">
      <c r="F5634">
        <f>IF(DATOS!$A5634="","",DATOS!$A5634&amp;"|"&amp;DATOS!$D5634&amp;"|"&amp;DATOS!$E5634&amp;"|"&amp;DATOS!$I5634)</f>
      </c>
      <c r="G5634">
        <f>IF(DATOS!$A5634="",0,IF(CONFIG_METADATA!$B$4&lt;&gt;"OR+EX",--(DATOS!$G5634=CONFIG_METADATA!$B$4),IF(DATOS!$G5634="EX",1,IF(DATOS!$G5634="OR",--(COUNTIFS(nNIA,DATOS!$A5634,nCURSO,DATOS!$D5634,nESPEC,DATOS!$E5634,nASIG,DATOS!$I5634,nEVAL,"EX")=0),0))))</f>
      </c>
      <c r="H5634">
        <f>IF(DATOS!$G5634&lt;&gt;"EX",0,--(COUNTIFS(nNIA,DATOS!$A5634,nCURSO,DATOS!$D5634,nESPEC,DATOS!$E5634,nASIG,DATOS!$I5634,nEVAL,"OR")=0))</f>
      </c>
      <c r="I5634">
        <f>IF(DATOS!$I5634="","",IFERROR(VLOOKUP(DATOS!$I5634,CONFIG_ASIGNATURAS!$B$2:$J$91,9,FALSE()),""))</f>
      </c>
    </row>
    <row r="5635">
      <c r="F5635">
        <f>IF(DATOS!$A5635="","",DATOS!$A5635&amp;"|"&amp;DATOS!$D5635&amp;"|"&amp;DATOS!$E5635&amp;"|"&amp;DATOS!$I5635)</f>
      </c>
      <c r="G5635">
        <f>IF(DATOS!$A5635="",0,IF(CONFIG_METADATA!$B$4&lt;&gt;"OR+EX",--(DATOS!$G5635=CONFIG_METADATA!$B$4),IF(DATOS!$G5635="EX",1,IF(DATOS!$G5635="OR",--(COUNTIFS(nNIA,DATOS!$A5635,nCURSO,DATOS!$D5635,nESPEC,DATOS!$E5635,nASIG,DATOS!$I5635,nEVAL,"EX")=0),0))))</f>
      </c>
      <c r="H5635">
        <f>IF(DATOS!$G5635&lt;&gt;"EX",0,--(COUNTIFS(nNIA,DATOS!$A5635,nCURSO,DATOS!$D5635,nESPEC,DATOS!$E5635,nASIG,DATOS!$I5635,nEVAL,"OR")=0))</f>
      </c>
      <c r="I5635">
        <f>IF(DATOS!$I5635="","",IFERROR(VLOOKUP(DATOS!$I5635,CONFIG_ASIGNATURAS!$B$2:$J$91,9,FALSE()),""))</f>
      </c>
    </row>
    <row r="5636">
      <c r="F5636">
        <f>IF(DATOS!$A5636="","",DATOS!$A5636&amp;"|"&amp;DATOS!$D5636&amp;"|"&amp;DATOS!$E5636&amp;"|"&amp;DATOS!$I5636)</f>
      </c>
      <c r="G5636">
        <f>IF(DATOS!$A5636="",0,IF(CONFIG_METADATA!$B$4&lt;&gt;"OR+EX",--(DATOS!$G5636=CONFIG_METADATA!$B$4),IF(DATOS!$G5636="EX",1,IF(DATOS!$G5636="OR",--(COUNTIFS(nNIA,DATOS!$A5636,nCURSO,DATOS!$D5636,nESPEC,DATOS!$E5636,nASIG,DATOS!$I5636,nEVAL,"EX")=0),0))))</f>
      </c>
      <c r="H5636">
        <f>IF(DATOS!$G5636&lt;&gt;"EX",0,--(COUNTIFS(nNIA,DATOS!$A5636,nCURSO,DATOS!$D5636,nESPEC,DATOS!$E5636,nASIG,DATOS!$I5636,nEVAL,"OR")=0))</f>
      </c>
      <c r="I5636">
        <f>IF(DATOS!$I5636="","",IFERROR(VLOOKUP(DATOS!$I5636,CONFIG_ASIGNATURAS!$B$2:$J$91,9,FALSE()),""))</f>
      </c>
    </row>
    <row r="5637">
      <c r="F5637">
        <f>IF(DATOS!$A5637="","",DATOS!$A5637&amp;"|"&amp;DATOS!$D5637&amp;"|"&amp;DATOS!$E5637&amp;"|"&amp;DATOS!$I5637)</f>
      </c>
      <c r="G5637">
        <f>IF(DATOS!$A5637="",0,IF(CONFIG_METADATA!$B$4&lt;&gt;"OR+EX",--(DATOS!$G5637=CONFIG_METADATA!$B$4),IF(DATOS!$G5637="EX",1,IF(DATOS!$G5637="OR",--(COUNTIFS(nNIA,DATOS!$A5637,nCURSO,DATOS!$D5637,nESPEC,DATOS!$E5637,nASIG,DATOS!$I5637,nEVAL,"EX")=0),0))))</f>
      </c>
      <c r="H5637">
        <f>IF(DATOS!$G5637&lt;&gt;"EX",0,--(COUNTIFS(nNIA,DATOS!$A5637,nCURSO,DATOS!$D5637,nESPEC,DATOS!$E5637,nASIG,DATOS!$I5637,nEVAL,"OR")=0))</f>
      </c>
      <c r="I5637">
        <f>IF(DATOS!$I5637="","",IFERROR(VLOOKUP(DATOS!$I5637,CONFIG_ASIGNATURAS!$B$2:$J$91,9,FALSE()),""))</f>
      </c>
    </row>
    <row r="5638">
      <c r="F5638">
        <f>IF(DATOS!$A5638="","",DATOS!$A5638&amp;"|"&amp;DATOS!$D5638&amp;"|"&amp;DATOS!$E5638&amp;"|"&amp;DATOS!$I5638)</f>
      </c>
      <c r="G5638">
        <f>IF(DATOS!$A5638="",0,IF(CONFIG_METADATA!$B$4&lt;&gt;"OR+EX",--(DATOS!$G5638=CONFIG_METADATA!$B$4),IF(DATOS!$G5638="EX",1,IF(DATOS!$G5638="OR",--(COUNTIFS(nNIA,DATOS!$A5638,nCURSO,DATOS!$D5638,nESPEC,DATOS!$E5638,nASIG,DATOS!$I5638,nEVAL,"EX")=0),0))))</f>
      </c>
      <c r="H5638">
        <f>IF(DATOS!$G5638&lt;&gt;"EX",0,--(COUNTIFS(nNIA,DATOS!$A5638,nCURSO,DATOS!$D5638,nESPEC,DATOS!$E5638,nASIG,DATOS!$I5638,nEVAL,"OR")=0))</f>
      </c>
      <c r="I5638">
        <f>IF(DATOS!$I5638="","",IFERROR(VLOOKUP(DATOS!$I5638,CONFIG_ASIGNATURAS!$B$2:$J$91,9,FALSE()),""))</f>
      </c>
    </row>
    <row r="5639">
      <c r="F5639">
        <f>IF(DATOS!$A5639="","",DATOS!$A5639&amp;"|"&amp;DATOS!$D5639&amp;"|"&amp;DATOS!$E5639&amp;"|"&amp;DATOS!$I5639)</f>
      </c>
      <c r="G5639">
        <f>IF(DATOS!$A5639="",0,IF(CONFIG_METADATA!$B$4&lt;&gt;"OR+EX",--(DATOS!$G5639=CONFIG_METADATA!$B$4),IF(DATOS!$G5639="EX",1,IF(DATOS!$G5639="OR",--(COUNTIFS(nNIA,DATOS!$A5639,nCURSO,DATOS!$D5639,nESPEC,DATOS!$E5639,nASIG,DATOS!$I5639,nEVAL,"EX")=0),0))))</f>
      </c>
      <c r="H5639">
        <f>IF(DATOS!$G5639&lt;&gt;"EX",0,--(COUNTIFS(nNIA,DATOS!$A5639,nCURSO,DATOS!$D5639,nESPEC,DATOS!$E5639,nASIG,DATOS!$I5639,nEVAL,"OR")=0))</f>
      </c>
      <c r="I5639">
        <f>IF(DATOS!$I5639="","",IFERROR(VLOOKUP(DATOS!$I5639,CONFIG_ASIGNATURAS!$B$2:$J$91,9,FALSE()),""))</f>
      </c>
    </row>
    <row r="5640">
      <c r="F5640">
        <f>IF(DATOS!$A5640="","",DATOS!$A5640&amp;"|"&amp;DATOS!$D5640&amp;"|"&amp;DATOS!$E5640&amp;"|"&amp;DATOS!$I5640)</f>
      </c>
      <c r="G5640">
        <f>IF(DATOS!$A5640="",0,IF(CONFIG_METADATA!$B$4&lt;&gt;"OR+EX",--(DATOS!$G5640=CONFIG_METADATA!$B$4),IF(DATOS!$G5640="EX",1,IF(DATOS!$G5640="OR",--(COUNTIFS(nNIA,DATOS!$A5640,nCURSO,DATOS!$D5640,nESPEC,DATOS!$E5640,nASIG,DATOS!$I5640,nEVAL,"EX")=0),0))))</f>
      </c>
      <c r="H5640">
        <f>IF(DATOS!$G5640&lt;&gt;"EX",0,--(COUNTIFS(nNIA,DATOS!$A5640,nCURSO,DATOS!$D5640,nESPEC,DATOS!$E5640,nASIG,DATOS!$I5640,nEVAL,"OR")=0))</f>
      </c>
      <c r="I5640">
        <f>IF(DATOS!$I5640="","",IFERROR(VLOOKUP(DATOS!$I5640,CONFIG_ASIGNATURAS!$B$2:$J$91,9,FALSE()),""))</f>
      </c>
    </row>
    <row r="5641">
      <c r="F5641">
        <f>IF(DATOS!$A5641="","",DATOS!$A5641&amp;"|"&amp;DATOS!$D5641&amp;"|"&amp;DATOS!$E5641&amp;"|"&amp;DATOS!$I5641)</f>
      </c>
      <c r="G5641">
        <f>IF(DATOS!$A5641="",0,IF(CONFIG_METADATA!$B$4&lt;&gt;"OR+EX",--(DATOS!$G5641=CONFIG_METADATA!$B$4),IF(DATOS!$G5641="EX",1,IF(DATOS!$G5641="OR",--(COUNTIFS(nNIA,DATOS!$A5641,nCURSO,DATOS!$D5641,nESPEC,DATOS!$E5641,nASIG,DATOS!$I5641,nEVAL,"EX")=0),0))))</f>
      </c>
      <c r="H5641">
        <f>IF(DATOS!$G5641&lt;&gt;"EX",0,--(COUNTIFS(nNIA,DATOS!$A5641,nCURSO,DATOS!$D5641,nESPEC,DATOS!$E5641,nASIG,DATOS!$I5641,nEVAL,"OR")=0))</f>
      </c>
      <c r="I5641">
        <f>IF(DATOS!$I5641="","",IFERROR(VLOOKUP(DATOS!$I5641,CONFIG_ASIGNATURAS!$B$2:$J$91,9,FALSE()),""))</f>
      </c>
    </row>
    <row r="5642">
      <c r="F5642">
        <f>IF(DATOS!$A5642="","",DATOS!$A5642&amp;"|"&amp;DATOS!$D5642&amp;"|"&amp;DATOS!$E5642&amp;"|"&amp;DATOS!$I5642)</f>
      </c>
      <c r="G5642">
        <f>IF(DATOS!$A5642="",0,IF(CONFIG_METADATA!$B$4&lt;&gt;"OR+EX",--(DATOS!$G5642=CONFIG_METADATA!$B$4),IF(DATOS!$G5642="EX",1,IF(DATOS!$G5642="OR",--(COUNTIFS(nNIA,DATOS!$A5642,nCURSO,DATOS!$D5642,nESPEC,DATOS!$E5642,nASIG,DATOS!$I5642,nEVAL,"EX")=0),0))))</f>
      </c>
      <c r="H5642">
        <f>IF(DATOS!$G5642&lt;&gt;"EX",0,--(COUNTIFS(nNIA,DATOS!$A5642,nCURSO,DATOS!$D5642,nESPEC,DATOS!$E5642,nASIG,DATOS!$I5642,nEVAL,"OR")=0))</f>
      </c>
      <c r="I5642">
        <f>IF(DATOS!$I5642="","",IFERROR(VLOOKUP(DATOS!$I5642,CONFIG_ASIGNATURAS!$B$2:$J$91,9,FALSE()),""))</f>
      </c>
    </row>
    <row r="5643">
      <c r="F5643">
        <f>IF(DATOS!$A5643="","",DATOS!$A5643&amp;"|"&amp;DATOS!$D5643&amp;"|"&amp;DATOS!$E5643&amp;"|"&amp;DATOS!$I5643)</f>
      </c>
      <c r="G5643">
        <f>IF(DATOS!$A5643="",0,IF(CONFIG_METADATA!$B$4&lt;&gt;"OR+EX",--(DATOS!$G5643=CONFIG_METADATA!$B$4),IF(DATOS!$G5643="EX",1,IF(DATOS!$G5643="OR",--(COUNTIFS(nNIA,DATOS!$A5643,nCURSO,DATOS!$D5643,nESPEC,DATOS!$E5643,nASIG,DATOS!$I5643,nEVAL,"EX")=0),0))))</f>
      </c>
      <c r="H5643">
        <f>IF(DATOS!$G5643&lt;&gt;"EX",0,--(COUNTIFS(nNIA,DATOS!$A5643,nCURSO,DATOS!$D5643,nESPEC,DATOS!$E5643,nASIG,DATOS!$I5643,nEVAL,"OR")=0))</f>
      </c>
      <c r="I5643">
        <f>IF(DATOS!$I5643="","",IFERROR(VLOOKUP(DATOS!$I5643,CONFIG_ASIGNATURAS!$B$2:$J$91,9,FALSE()),""))</f>
      </c>
    </row>
    <row r="5644">
      <c r="F5644">
        <f>IF(DATOS!$A5644="","",DATOS!$A5644&amp;"|"&amp;DATOS!$D5644&amp;"|"&amp;DATOS!$E5644&amp;"|"&amp;DATOS!$I5644)</f>
      </c>
      <c r="G5644">
        <f>IF(DATOS!$A5644="",0,IF(CONFIG_METADATA!$B$4&lt;&gt;"OR+EX",--(DATOS!$G5644=CONFIG_METADATA!$B$4),IF(DATOS!$G5644="EX",1,IF(DATOS!$G5644="OR",--(COUNTIFS(nNIA,DATOS!$A5644,nCURSO,DATOS!$D5644,nESPEC,DATOS!$E5644,nASIG,DATOS!$I5644,nEVAL,"EX")=0),0))))</f>
      </c>
      <c r="H5644">
        <f>IF(DATOS!$G5644&lt;&gt;"EX",0,--(COUNTIFS(nNIA,DATOS!$A5644,nCURSO,DATOS!$D5644,nESPEC,DATOS!$E5644,nASIG,DATOS!$I5644,nEVAL,"OR")=0))</f>
      </c>
      <c r="I5644">
        <f>IF(DATOS!$I5644="","",IFERROR(VLOOKUP(DATOS!$I5644,CONFIG_ASIGNATURAS!$B$2:$J$91,9,FALSE()),""))</f>
      </c>
    </row>
    <row r="5645">
      <c r="F5645">
        <f>IF(DATOS!$A5645="","",DATOS!$A5645&amp;"|"&amp;DATOS!$D5645&amp;"|"&amp;DATOS!$E5645&amp;"|"&amp;DATOS!$I5645)</f>
      </c>
      <c r="G5645">
        <f>IF(DATOS!$A5645="",0,IF(CONFIG_METADATA!$B$4&lt;&gt;"OR+EX",--(DATOS!$G5645=CONFIG_METADATA!$B$4),IF(DATOS!$G5645="EX",1,IF(DATOS!$G5645="OR",--(COUNTIFS(nNIA,DATOS!$A5645,nCURSO,DATOS!$D5645,nESPEC,DATOS!$E5645,nASIG,DATOS!$I5645,nEVAL,"EX")=0),0))))</f>
      </c>
      <c r="H5645">
        <f>IF(DATOS!$G5645&lt;&gt;"EX",0,--(COUNTIFS(nNIA,DATOS!$A5645,nCURSO,DATOS!$D5645,nESPEC,DATOS!$E5645,nASIG,DATOS!$I5645,nEVAL,"OR")=0))</f>
      </c>
      <c r="I5645">
        <f>IF(DATOS!$I5645="","",IFERROR(VLOOKUP(DATOS!$I5645,CONFIG_ASIGNATURAS!$B$2:$J$91,9,FALSE()),""))</f>
      </c>
    </row>
    <row r="5646">
      <c r="F5646">
        <f>IF(DATOS!$A5646="","",DATOS!$A5646&amp;"|"&amp;DATOS!$D5646&amp;"|"&amp;DATOS!$E5646&amp;"|"&amp;DATOS!$I5646)</f>
      </c>
      <c r="G5646">
        <f>IF(DATOS!$A5646="",0,IF(CONFIG_METADATA!$B$4&lt;&gt;"OR+EX",--(DATOS!$G5646=CONFIG_METADATA!$B$4),IF(DATOS!$G5646="EX",1,IF(DATOS!$G5646="OR",--(COUNTIFS(nNIA,DATOS!$A5646,nCURSO,DATOS!$D5646,nESPEC,DATOS!$E5646,nASIG,DATOS!$I5646,nEVAL,"EX")=0),0))))</f>
      </c>
      <c r="H5646">
        <f>IF(DATOS!$G5646&lt;&gt;"EX",0,--(COUNTIFS(nNIA,DATOS!$A5646,nCURSO,DATOS!$D5646,nESPEC,DATOS!$E5646,nASIG,DATOS!$I5646,nEVAL,"OR")=0))</f>
      </c>
      <c r="I5646">
        <f>IF(DATOS!$I5646="","",IFERROR(VLOOKUP(DATOS!$I5646,CONFIG_ASIGNATURAS!$B$2:$J$91,9,FALSE()),""))</f>
      </c>
    </row>
    <row r="5647">
      <c r="F5647">
        <f>IF(DATOS!$A5647="","",DATOS!$A5647&amp;"|"&amp;DATOS!$D5647&amp;"|"&amp;DATOS!$E5647&amp;"|"&amp;DATOS!$I5647)</f>
      </c>
      <c r="G5647">
        <f>IF(DATOS!$A5647="",0,IF(CONFIG_METADATA!$B$4&lt;&gt;"OR+EX",--(DATOS!$G5647=CONFIG_METADATA!$B$4),IF(DATOS!$G5647="EX",1,IF(DATOS!$G5647="OR",--(COUNTIFS(nNIA,DATOS!$A5647,nCURSO,DATOS!$D5647,nESPEC,DATOS!$E5647,nASIG,DATOS!$I5647,nEVAL,"EX")=0),0))))</f>
      </c>
      <c r="H5647">
        <f>IF(DATOS!$G5647&lt;&gt;"EX",0,--(COUNTIFS(nNIA,DATOS!$A5647,nCURSO,DATOS!$D5647,nESPEC,DATOS!$E5647,nASIG,DATOS!$I5647,nEVAL,"OR")=0))</f>
      </c>
      <c r="I5647">
        <f>IF(DATOS!$I5647="","",IFERROR(VLOOKUP(DATOS!$I5647,CONFIG_ASIGNATURAS!$B$2:$J$91,9,FALSE()),""))</f>
      </c>
    </row>
    <row r="5648">
      <c r="F5648">
        <f>IF(DATOS!$A5648="","",DATOS!$A5648&amp;"|"&amp;DATOS!$D5648&amp;"|"&amp;DATOS!$E5648&amp;"|"&amp;DATOS!$I5648)</f>
      </c>
      <c r="G5648">
        <f>IF(DATOS!$A5648="",0,IF(CONFIG_METADATA!$B$4&lt;&gt;"OR+EX",--(DATOS!$G5648=CONFIG_METADATA!$B$4),IF(DATOS!$G5648="EX",1,IF(DATOS!$G5648="OR",--(COUNTIFS(nNIA,DATOS!$A5648,nCURSO,DATOS!$D5648,nESPEC,DATOS!$E5648,nASIG,DATOS!$I5648,nEVAL,"EX")=0),0))))</f>
      </c>
      <c r="H5648">
        <f>IF(DATOS!$G5648&lt;&gt;"EX",0,--(COUNTIFS(nNIA,DATOS!$A5648,nCURSO,DATOS!$D5648,nESPEC,DATOS!$E5648,nASIG,DATOS!$I5648,nEVAL,"OR")=0))</f>
      </c>
      <c r="I5648">
        <f>IF(DATOS!$I5648="","",IFERROR(VLOOKUP(DATOS!$I5648,CONFIG_ASIGNATURAS!$B$2:$J$91,9,FALSE()),""))</f>
      </c>
    </row>
    <row r="5649">
      <c r="F5649">
        <f>IF(DATOS!$A5649="","",DATOS!$A5649&amp;"|"&amp;DATOS!$D5649&amp;"|"&amp;DATOS!$E5649&amp;"|"&amp;DATOS!$I5649)</f>
      </c>
      <c r="G5649">
        <f>IF(DATOS!$A5649="",0,IF(CONFIG_METADATA!$B$4&lt;&gt;"OR+EX",--(DATOS!$G5649=CONFIG_METADATA!$B$4),IF(DATOS!$G5649="EX",1,IF(DATOS!$G5649="OR",--(COUNTIFS(nNIA,DATOS!$A5649,nCURSO,DATOS!$D5649,nESPEC,DATOS!$E5649,nASIG,DATOS!$I5649,nEVAL,"EX")=0),0))))</f>
      </c>
      <c r="H5649">
        <f>IF(DATOS!$G5649&lt;&gt;"EX",0,--(COUNTIFS(nNIA,DATOS!$A5649,nCURSO,DATOS!$D5649,nESPEC,DATOS!$E5649,nASIG,DATOS!$I5649,nEVAL,"OR")=0))</f>
      </c>
      <c r="I5649">
        <f>IF(DATOS!$I5649="","",IFERROR(VLOOKUP(DATOS!$I5649,CONFIG_ASIGNATURAS!$B$2:$J$91,9,FALSE()),""))</f>
      </c>
    </row>
    <row r="5650">
      <c r="F5650">
        <f>IF(DATOS!$A5650="","",DATOS!$A5650&amp;"|"&amp;DATOS!$D5650&amp;"|"&amp;DATOS!$E5650&amp;"|"&amp;DATOS!$I5650)</f>
      </c>
      <c r="G5650">
        <f>IF(DATOS!$A5650="",0,IF(CONFIG_METADATA!$B$4&lt;&gt;"OR+EX",--(DATOS!$G5650=CONFIG_METADATA!$B$4),IF(DATOS!$G5650="EX",1,IF(DATOS!$G5650="OR",--(COUNTIFS(nNIA,DATOS!$A5650,nCURSO,DATOS!$D5650,nESPEC,DATOS!$E5650,nASIG,DATOS!$I5650,nEVAL,"EX")=0),0))))</f>
      </c>
      <c r="H5650">
        <f>IF(DATOS!$G5650&lt;&gt;"EX",0,--(COUNTIFS(nNIA,DATOS!$A5650,nCURSO,DATOS!$D5650,nESPEC,DATOS!$E5650,nASIG,DATOS!$I5650,nEVAL,"OR")=0))</f>
      </c>
      <c r="I5650">
        <f>IF(DATOS!$I5650="","",IFERROR(VLOOKUP(DATOS!$I5650,CONFIG_ASIGNATURAS!$B$2:$J$91,9,FALSE()),""))</f>
      </c>
    </row>
    <row r="5651">
      <c r="F5651">
        <f>IF(DATOS!$A5651="","",DATOS!$A5651&amp;"|"&amp;DATOS!$D5651&amp;"|"&amp;DATOS!$E5651&amp;"|"&amp;DATOS!$I5651)</f>
      </c>
      <c r="G5651">
        <f>IF(DATOS!$A5651="",0,IF(CONFIG_METADATA!$B$4&lt;&gt;"OR+EX",--(DATOS!$G5651=CONFIG_METADATA!$B$4),IF(DATOS!$G5651="EX",1,IF(DATOS!$G5651="OR",--(COUNTIFS(nNIA,DATOS!$A5651,nCURSO,DATOS!$D5651,nESPEC,DATOS!$E5651,nASIG,DATOS!$I5651,nEVAL,"EX")=0),0))))</f>
      </c>
      <c r="H5651">
        <f>IF(DATOS!$G5651&lt;&gt;"EX",0,--(COUNTIFS(nNIA,DATOS!$A5651,nCURSO,DATOS!$D5651,nESPEC,DATOS!$E5651,nASIG,DATOS!$I5651,nEVAL,"OR")=0))</f>
      </c>
      <c r="I5651">
        <f>IF(DATOS!$I5651="","",IFERROR(VLOOKUP(DATOS!$I5651,CONFIG_ASIGNATURAS!$B$2:$J$91,9,FALSE()),""))</f>
      </c>
    </row>
    <row r="5652">
      <c r="F5652">
        <f>IF(DATOS!$A5652="","",DATOS!$A5652&amp;"|"&amp;DATOS!$D5652&amp;"|"&amp;DATOS!$E5652&amp;"|"&amp;DATOS!$I5652)</f>
      </c>
      <c r="G5652">
        <f>IF(DATOS!$A5652="",0,IF(CONFIG_METADATA!$B$4&lt;&gt;"OR+EX",--(DATOS!$G5652=CONFIG_METADATA!$B$4),IF(DATOS!$G5652="EX",1,IF(DATOS!$G5652="OR",--(COUNTIFS(nNIA,DATOS!$A5652,nCURSO,DATOS!$D5652,nESPEC,DATOS!$E5652,nASIG,DATOS!$I5652,nEVAL,"EX")=0),0))))</f>
      </c>
      <c r="H5652">
        <f>IF(DATOS!$G5652&lt;&gt;"EX",0,--(COUNTIFS(nNIA,DATOS!$A5652,nCURSO,DATOS!$D5652,nESPEC,DATOS!$E5652,nASIG,DATOS!$I5652,nEVAL,"OR")=0))</f>
      </c>
      <c r="I5652">
        <f>IF(DATOS!$I5652="","",IFERROR(VLOOKUP(DATOS!$I5652,CONFIG_ASIGNATURAS!$B$2:$J$91,9,FALSE()),""))</f>
      </c>
    </row>
    <row r="5653">
      <c r="F5653">
        <f>IF(DATOS!$A5653="","",DATOS!$A5653&amp;"|"&amp;DATOS!$D5653&amp;"|"&amp;DATOS!$E5653&amp;"|"&amp;DATOS!$I5653)</f>
      </c>
      <c r="G5653">
        <f>IF(DATOS!$A5653="",0,IF(CONFIG_METADATA!$B$4&lt;&gt;"OR+EX",--(DATOS!$G5653=CONFIG_METADATA!$B$4),IF(DATOS!$G5653="EX",1,IF(DATOS!$G5653="OR",--(COUNTIFS(nNIA,DATOS!$A5653,nCURSO,DATOS!$D5653,nESPEC,DATOS!$E5653,nASIG,DATOS!$I5653,nEVAL,"EX")=0),0))))</f>
      </c>
      <c r="H5653">
        <f>IF(DATOS!$G5653&lt;&gt;"EX",0,--(COUNTIFS(nNIA,DATOS!$A5653,nCURSO,DATOS!$D5653,nESPEC,DATOS!$E5653,nASIG,DATOS!$I5653,nEVAL,"OR")=0))</f>
      </c>
      <c r="I5653">
        <f>IF(DATOS!$I5653="","",IFERROR(VLOOKUP(DATOS!$I5653,CONFIG_ASIGNATURAS!$B$2:$J$91,9,FALSE()),""))</f>
      </c>
    </row>
    <row r="5654">
      <c r="F5654">
        <f>IF(DATOS!$A5654="","",DATOS!$A5654&amp;"|"&amp;DATOS!$D5654&amp;"|"&amp;DATOS!$E5654&amp;"|"&amp;DATOS!$I5654)</f>
      </c>
      <c r="G5654">
        <f>IF(DATOS!$A5654="",0,IF(CONFIG_METADATA!$B$4&lt;&gt;"OR+EX",--(DATOS!$G5654=CONFIG_METADATA!$B$4),IF(DATOS!$G5654="EX",1,IF(DATOS!$G5654="OR",--(COUNTIFS(nNIA,DATOS!$A5654,nCURSO,DATOS!$D5654,nESPEC,DATOS!$E5654,nASIG,DATOS!$I5654,nEVAL,"EX")=0),0))))</f>
      </c>
      <c r="H5654">
        <f>IF(DATOS!$G5654&lt;&gt;"EX",0,--(COUNTIFS(nNIA,DATOS!$A5654,nCURSO,DATOS!$D5654,nESPEC,DATOS!$E5654,nASIG,DATOS!$I5654,nEVAL,"OR")=0))</f>
      </c>
      <c r="I5654">
        <f>IF(DATOS!$I5654="","",IFERROR(VLOOKUP(DATOS!$I5654,CONFIG_ASIGNATURAS!$B$2:$J$91,9,FALSE()),""))</f>
      </c>
    </row>
    <row r="5655">
      <c r="F5655">
        <f>IF(DATOS!$A5655="","",DATOS!$A5655&amp;"|"&amp;DATOS!$D5655&amp;"|"&amp;DATOS!$E5655&amp;"|"&amp;DATOS!$I5655)</f>
      </c>
      <c r="G5655">
        <f>IF(DATOS!$A5655="",0,IF(CONFIG_METADATA!$B$4&lt;&gt;"OR+EX",--(DATOS!$G5655=CONFIG_METADATA!$B$4),IF(DATOS!$G5655="EX",1,IF(DATOS!$G5655="OR",--(COUNTIFS(nNIA,DATOS!$A5655,nCURSO,DATOS!$D5655,nESPEC,DATOS!$E5655,nASIG,DATOS!$I5655,nEVAL,"EX")=0),0))))</f>
      </c>
      <c r="H5655">
        <f>IF(DATOS!$G5655&lt;&gt;"EX",0,--(COUNTIFS(nNIA,DATOS!$A5655,nCURSO,DATOS!$D5655,nESPEC,DATOS!$E5655,nASIG,DATOS!$I5655,nEVAL,"OR")=0))</f>
      </c>
      <c r="I5655">
        <f>IF(DATOS!$I5655="","",IFERROR(VLOOKUP(DATOS!$I5655,CONFIG_ASIGNATURAS!$B$2:$J$91,9,FALSE()),""))</f>
      </c>
    </row>
    <row r="5656">
      <c r="F5656">
        <f>IF(DATOS!$A5656="","",DATOS!$A5656&amp;"|"&amp;DATOS!$D5656&amp;"|"&amp;DATOS!$E5656&amp;"|"&amp;DATOS!$I5656)</f>
      </c>
      <c r="G5656">
        <f>IF(DATOS!$A5656="",0,IF(CONFIG_METADATA!$B$4&lt;&gt;"OR+EX",--(DATOS!$G5656=CONFIG_METADATA!$B$4),IF(DATOS!$G5656="EX",1,IF(DATOS!$G5656="OR",--(COUNTIFS(nNIA,DATOS!$A5656,nCURSO,DATOS!$D5656,nESPEC,DATOS!$E5656,nASIG,DATOS!$I5656,nEVAL,"EX")=0),0))))</f>
      </c>
      <c r="H5656">
        <f>IF(DATOS!$G5656&lt;&gt;"EX",0,--(COUNTIFS(nNIA,DATOS!$A5656,nCURSO,DATOS!$D5656,nESPEC,DATOS!$E5656,nASIG,DATOS!$I5656,nEVAL,"OR")=0))</f>
      </c>
      <c r="I5656">
        <f>IF(DATOS!$I5656="","",IFERROR(VLOOKUP(DATOS!$I5656,CONFIG_ASIGNATURAS!$B$2:$J$91,9,FALSE()),""))</f>
      </c>
    </row>
    <row r="5657">
      <c r="F5657">
        <f>IF(DATOS!$A5657="","",DATOS!$A5657&amp;"|"&amp;DATOS!$D5657&amp;"|"&amp;DATOS!$E5657&amp;"|"&amp;DATOS!$I5657)</f>
      </c>
      <c r="G5657">
        <f>IF(DATOS!$A5657="",0,IF(CONFIG_METADATA!$B$4&lt;&gt;"OR+EX",--(DATOS!$G5657=CONFIG_METADATA!$B$4),IF(DATOS!$G5657="EX",1,IF(DATOS!$G5657="OR",--(COUNTIFS(nNIA,DATOS!$A5657,nCURSO,DATOS!$D5657,nESPEC,DATOS!$E5657,nASIG,DATOS!$I5657,nEVAL,"EX")=0),0))))</f>
      </c>
      <c r="H5657">
        <f>IF(DATOS!$G5657&lt;&gt;"EX",0,--(COUNTIFS(nNIA,DATOS!$A5657,nCURSO,DATOS!$D5657,nESPEC,DATOS!$E5657,nASIG,DATOS!$I5657,nEVAL,"OR")=0))</f>
      </c>
      <c r="I5657">
        <f>IF(DATOS!$I5657="","",IFERROR(VLOOKUP(DATOS!$I5657,CONFIG_ASIGNATURAS!$B$2:$J$91,9,FALSE()),""))</f>
      </c>
    </row>
    <row r="5658">
      <c r="F5658">
        <f>IF(DATOS!$A5658="","",DATOS!$A5658&amp;"|"&amp;DATOS!$D5658&amp;"|"&amp;DATOS!$E5658&amp;"|"&amp;DATOS!$I5658)</f>
      </c>
      <c r="G5658">
        <f>IF(DATOS!$A5658="",0,IF(CONFIG_METADATA!$B$4&lt;&gt;"OR+EX",--(DATOS!$G5658=CONFIG_METADATA!$B$4),IF(DATOS!$G5658="EX",1,IF(DATOS!$G5658="OR",--(COUNTIFS(nNIA,DATOS!$A5658,nCURSO,DATOS!$D5658,nESPEC,DATOS!$E5658,nASIG,DATOS!$I5658,nEVAL,"EX")=0),0))))</f>
      </c>
      <c r="H5658">
        <f>IF(DATOS!$G5658&lt;&gt;"EX",0,--(COUNTIFS(nNIA,DATOS!$A5658,nCURSO,DATOS!$D5658,nESPEC,DATOS!$E5658,nASIG,DATOS!$I5658,nEVAL,"OR")=0))</f>
      </c>
      <c r="I5658">
        <f>IF(DATOS!$I5658="","",IFERROR(VLOOKUP(DATOS!$I5658,CONFIG_ASIGNATURAS!$B$2:$J$91,9,FALSE()),""))</f>
      </c>
    </row>
    <row r="5659">
      <c r="F5659">
        <f>IF(DATOS!$A5659="","",DATOS!$A5659&amp;"|"&amp;DATOS!$D5659&amp;"|"&amp;DATOS!$E5659&amp;"|"&amp;DATOS!$I5659)</f>
      </c>
      <c r="G5659">
        <f>IF(DATOS!$A5659="",0,IF(CONFIG_METADATA!$B$4&lt;&gt;"OR+EX",--(DATOS!$G5659=CONFIG_METADATA!$B$4),IF(DATOS!$G5659="EX",1,IF(DATOS!$G5659="OR",--(COUNTIFS(nNIA,DATOS!$A5659,nCURSO,DATOS!$D5659,nESPEC,DATOS!$E5659,nASIG,DATOS!$I5659,nEVAL,"EX")=0),0))))</f>
      </c>
      <c r="H5659">
        <f>IF(DATOS!$G5659&lt;&gt;"EX",0,--(COUNTIFS(nNIA,DATOS!$A5659,nCURSO,DATOS!$D5659,nESPEC,DATOS!$E5659,nASIG,DATOS!$I5659,nEVAL,"OR")=0))</f>
      </c>
      <c r="I5659">
        <f>IF(DATOS!$I5659="","",IFERROR(VLOOKUP(DATOS!$I5659,CONFIG_ASIGNATURAS!$B$2:$J$91,9,FALSE()),""))</f>
      </c>
    </row>
    <row r="5660">
      <c r="F5660">
        <f>IF(DATOS!$A5660="","",DATOS!$A5660&amp;"|"&amp;DATOS!$D5660&amp;"|"&amp;DATOS!$E5660&amp;"|"&amp;DATOS!$I5660)</f>
      </c>
      <c r="G5660">
        <f>IF(DATOS!$A5660="",0,IF(CONFIG_METADATA!$B$4&lt;&gt;"OR+EX",--(DATOS!$G5660=CONFIG_METADATA!$B$4),IF(DATOS!$G5660="EX",1,IF(DATOS!$G5660="OR",--(COUNTIFS(nNIA,DATOS!$A5660,nCURSO,DATOS!$D5660,nESPEC,DATOS!$E5660,nASIG,DATOS!$I5660,nEVAL,"EX")=0),0))))</f>
      </c>
      <c r="H5660">
        <f>IF(DATOS!$G5660&lt;&gt;"EX",0,--(COUNTIFS(nNIA,DATOS!$A5660,nCURSO,DATOS!$D5660,nESPEC,DATOS!$E5660,nASIG,DATOS!$I5660,nEVAL,"OR")=0))</f>
      </c>
      <c r="I5660">
        <f>IF(DATOS!$I5660="","",IFERROR(VLOOKUP(DATOS!$I5660,CONFIG_ASIGNATURAS!$B$2:$J$91,9,FALSE()),""))</f>
      </c>
    </row>
    <row r="5661">
      <c r="F5661">
        <f>IF(DATOS!$A5661="","",DATOS!$A5661&amp;"|"&amp;DATOS!$D5661&amp;"|"&amp;DATOS!$E5661&amp;"|"&amp;DATOS!$I5661)</f>
      </c>
      <c r="G5661">
        <f>IF(DATOS!$A5661="",0,IF(CONFIG_METADATA!$B$4&lt;&gt;"OR+EX",--(DATOS!$G5661=CONFIG_METADATA!$B$4),IF(DATOS!$G5661="EX",1,IF(DATOS!$G5661="OR",--(COUNTIFS(nNIA,DATOS!$A5661,nCURSO,DATOS!$D5661,nESPEC,DATOS!$E5661,nASIG,DATOS!$I5661,nEVAL,"EX")=0),0))))</f>
      </c>
      <c r="H5661">
        <f>IF(DATOS!$G5661&lt;&gt;"EX",0,--(COUNTIFS(nNIA,DATOS!$A5661,nCURSO,DATOS!$D5661,nESPEC,DATOS!$E5661,nASIG,DATOS!$I5661,nEVAL,"OR")=0))</f>
      </c>
      <c r="I5661">
        <f>IF(DATOS!$I5661="","",IFERROR(VLOOKUP(DATOS!$I5661,CONFIG_ASIGNATURAS!$B$2:$J$91,9,FALSE()),""))</f>
      </c>
    </row>
    <row r="5662">
      <c r="F5662">
        <f>IF(DATOS!$A5662="","",DATOS!$A5662&amp;"|"&amp;DATOS!$D5662&amp;"|"&amp;DATOS!$E5662&amp;"|"&amp;DATOS!$I5662)</f>
      </c>
      <c r="G5662">
        <f>IF(DATOS!$A5662="",0,IF(CONFIG_METADATA!$B$4&lt;&gt;"OR+EX",--(DATOS!$G5662=CONFIG_METADATA!$B$4),IF(DATOS!$G5662="EX",1,IF(DATOS!$G5662="OR",--(COUNTIFS(nNIA,DATOS!$A5662,nCURSO,DATOS!$D5662,nESPEC,DATOS!$E5662,nASIG,DATOS!$I5662,nEVAL,"EX")=0),0))))</f>
      </c>
      <c r="H5662">
        <f>IF(DATOS!$G5662&lt;&gt;"EX",0,--(COUNTIFS(nNIA,DATOS!$A5662,nCURSO,DATOS!$D5662,nESPEC,DATOS!$E5662,nASIG,DATOS!$I5662,nEVAL,"OR")=0))</f>
      </c>
      <c r="I5662">
        <f>IF(DATOS!$I5662="","",IFERROR(VLOOKUP(DATOS!$I5662,CONFIG_ASIGNATURAS!$B$2:$J$91,9,FALSE()),""))</f>
      </c>
    </row>
    <row r="5663">
      <c r="F5663">
        <f>IF(DATOS!$A5663="","",DATOS!$A5663&amp;"|"&amp;DATOS!$D5663&amp;"|"&amp;DATOS!$E5663&amp;"|"&amp;DATOS!$I5663)</f>
      </c>
      <c r="G5663">
        <f>IF(DATOS!$A5663="",0,IF(CONFIG_METADATA!$B$4&lt;&gt;"OR+EX",--(DATOS!$G5663=CONFIG_METADATA!$B$4),IF(DATOS!$G5663="EX",1,IF(DATOS!$G5663="OR",--(COUNTIFS(nNIA,DATOS!$A5663,nCURSO,DATOS!$D5663,nESPEC,DATOS!$E5663,nASIG,DATOS!$I5663,nEVAL,"EX")=0),0))))</f>
      </c>
      <c r="H5663">
        <f>IF(DATOS!$G5663&lt;&gt;"EX",0,--(COUNTIFS(nNIA,DATOS!$A5663,nCURSO,DATOS!$D5663,nESPEC,DATOS!$E5663,nASIG,DATOS!$I5663,nEVAL,"OR")=0))</f>
      </c>
      <c r="I5663">
        <f>IF(DATOS!$I5663="","",IFERROR(VLOOKUP(DATOS!$I5663,CONFIG_ASIGNATURAS!$B$2:$J$91,9,FALSE()),""))</f>
      </c>
    </row>
    <row r="5664">
      <c r="F5664">
        <f>IF(DATOS!$A5664="","",DATOS!$A5664&amp;"|"&amp;DATOS!$D5664&amp;"|"&amp;DATOS!$E5664&amp;"|"&amp;DATOS!$I5664)</f>
      </c>
      <c r="G5664">
        <f>IF(DATOS!$A5664="",0,IF(CONFIG_METADATA!$B$4&lt;&gt;"OR+EX",--(DATOS!$G5664=CONFIG_METADATA!$B$4),IF(DATOS!$G5664="EX",1,IF(DATOS!$G5664="OR",--(COUNTIFS(nNIA,DATOS!$A5664,nCURSO,DATOS!$D5664,nESPEC,DATOS!$E5664,nASIG,DATOS!$I5664,nEVAL,"EX")=0),0))))</f>
      </c>
      <c r="H5664">
        <f>IF(DATOS!$G5664&lt;&gt;"EX",0,--(COUNTIFS(nNIA,DATOS!$A5664,nCURSO,DATOS!$D5664,nESPEC,DATOS!$E5664,nASIG,DATOS!$I5664,nEVAL,"OR")=0))</f>
      </c>
      <c r="I5664">
        <f>IF(DATOS!$I5664="","",IFERROR(VLOOKUP(DATOS!$I5664,CONFIG_ASIGNATURAS!$B$2:$J$91,9,FALSE()),""))</f>
      </c>
    </row>
    <row r="5665">
      <c r="F5665">
        <f>IF(DATOS!$A5665="","",DATOS!$A5665&amp;"|"&amp;DATOS!$D5665&amp;"|"&amp;DATOS!$E5665&amp;"|"&amp;DATOS!$I5665)</f>
      </c>
      <c r="G5665">
        <f>IF(DATOS!$A5665="",0,IF(CONFIG_METADATA!$B$4&lt;&gt;"OR+EX",--(DATOS!$G5665=CONFIG_METADATA!$B$4),IF(DATOS!$G5665="EX",1,IF(DATOS!$G5665="OR",--(COUNTIFS(nNIA,DATOS!$A5665,nCURSO,DATOS!$D5665,nESPEC,DATOS!$E5665,nASIG,DATOS!$I5665,nEVAL,"EX")=0),0))))</f>
      </c>
      <c r="H5665">
        <f>IF(DATOS!$G5665&lt;&gt;"EX",0,--(COUNTIFS(nNIA,DATOS!$A5665,nCURSO,DATOS!$D5665,nESPEC,DATOS!$E5665,nASIG,DATOS!$I5665,nEVAL,"OR")=0))</f>
      </c>
      <c r="I5665">
        <f>IF(DATOS!$I5665="","",IFERROR(VLOOKUP(DATOS!$I5665,CONFIG_ASIGNATURAS!$B$2:$J$91,9,FALSE()),""))</f>
      </c>
    </row>
    <row r="5666">
      <c r="F5666">
        <f>IF(DATOS!$A5666="","",DATOS!$A5666&amp;"|"&amp;DATOS!$D5666&amp;"|"&amp;DATOS!$E5666&amp;"|"&amp;DATOS!$I5666)</f>
      </c>
      <c r="G5666">
        <f>IF(DATOS!$A5666="",0,IF(CONFIG_METADATA!$B$4&lt;&gt;"OR+EX",--(DATOS!$G5666=CONFIG_METADATA!$B$4),IF(DATOS!$G5666="EX",1,IF(DATOS!$G5666="OR",--(COUNTIFS(nNIA,DATOS!$A5666,nCURSO,DATOS!$D5666,nESPEC,DATOS!$E5666,nASIG,DATOS!$I5666,nEVAL,"EX")=0),0))))</f>
      </c>
      <c r="H5666">
        <f>IF(DATOS!$G5666&lt;&gt;"EX",0,--(COUNTIFS(nNIA,DATOS!$A5666,nCURSO,DATOS!$D5666,nESPEC,DATOS!$E5666,nASIG,DATOS!$I5666,nEVAL,"OR")=0))</f>
      </c>
      <c r="I5666">
        <f>IF(DATOS!$I5666="","",IFERROR(VLOOKUP(DATOS!$I5666,CONFIG_ASIGNATURAS!$B$2:$J$91,9,FALSE()),""))</f>
      </c>
    </row>
    <row r="5667">
      <c r="F5667">
        <f>IF(DATOS!$A5667="","",DATOS!$A5667&amp;"|"&amp;DATOS!$D5667&amp;"|"&amp;DATOS!$E5667&amp;"|"&amp;DATOS!$I5667)</f>
      </c>
      <c r="G5667">
        <f>IF(DATOS!$A5667="",0,IF(CONFIG_METADATA!$B$4&lt;&gt;"OR+EX",--(DATOS!$G5667=CONFIG_METADATA!$B$4),IF(DATOS!$G5667="EX",1,IF(DATOS!$G5667="OR",--(COUNTIFS(nNIA,DATOS!$A5667,nCURSO,DATOS!$D5667,nESPEC,DATOS!$E5667,nASIG,DATOS!$I5667,nEVAL,"EX")=0),0))))</f>
      </c>
      <c r="H5667">
        <f>IF(DATOS!$G5667&lt;&gt;"EX",0,--(COUNTIFS(nNIA,DATOS!$A5667,nCURSO,DATOS!$D5667,nESPEC,DATOS!$E5667,nASIG,DATOS!$I5667,nEVAL,"OR")=0))</f>
      </c>
      <c r="I5667">
        <f>IF(DATOS!$I5667="","",IFERROR(VLOOKUP(DATOS!$I5667,CONFIG_ASIGNATURAS!$B$2:$J$91,9,FALSE()),""))</f>
      </c>
    </row>
    <row r="5668">
      <c r="F5668">
        <f>IF(DATOS!$A5668="","",DATOS!$A5668&amp;"|"&amp;DATOS!$D5668&amp;"|"&amp;DATOS!$E5668&amp;"|"&amp;DATOS!$I5668)</f>
      </c>
      <c r="G5668">
        <f>IF(DATOS!$A5668="",0,IF(CONFIG_METADATA!$B$4&lt;&gt;"OR+EX",--(DATOS!$G5668=CONFIG_METADATA!$B$4),IF(DATOS!$G5668="EX",1,IF(DATOS!$G5668="OR",--(COUNTIFS(nNIA,DATOS!$A5668,nCURSO,DATOS!$D5668,nESPEC,DATOS!$E5668,nASIG,DATOS!$I5668,nEVAL,"EX")=0),0))))</f>
      </c>
      <c r="H5668">
        <f>IF(DATOS!$G5668&lt;&gt;"EX",0,--(COUNTIFS(nNIA,DATOS!$A5668,nCURSO,DATOS!$D5668,nESPEC,DATOS!$E5668,nASIG,DATOS!$I5668,nEVAL,"OR")=0))</f>
      </c>
      <c r="I5668">
        <f>IF(DATOS!$I5668="","",IFERROR(VLOOKUP(DATOS!$I5668,CONFIG_ASIGNATURAS!$B$2:$J$91,9,FALSE()),""))</f>
      </c>
    </row>
    <row r="5669">
      <c r="F5669">
        <f>IF(DATOS!$A5669="","",DATOS!$A5669&amp;"|"&amp;DATOS!$D5669&amp;"|"&amp;DATOS!$E5669&amp;"|"&amp;DATOS!$I5669)</f>
      </c>
      <c r="G5669">
        <f>IF(DATOS!$A5669="",0,IF(CONFIG_METADATA!$B$4&lt;&gt;"OR+EX",--(DATOS!$G5669=CONFIG_METADATA!$B$4),IF(DATOS!$G5669="EX",1,IF(DATOS!$G5669="OR",--(COUNTIFS(nNIA,DATOS!$A5669,nCURSO,DATOS!$D5669,nESPEC,DATOS!$E5669,nASIG,DATOS!$I5669,nEVAL,"EX")=0),0))))</f>
      </c>
      <c r="H5669">
        <f>IF(DATOS!$G5669&lt;&gt;"EX",0,--(COUNTIFS(nNIA,DATOS!$A5669,nCURSO,DATOS!$D5669,nESPEC,DATOS!$E5669,nASIG,DATOS!$I5669,nEVAL,"OR")=0))</f>
      </c>
      <c r="I5669">
        <f>IF(DATOS!$I5669="","",IFERROR(VLOOKUP(DATOS!$I5669,CONFIG_ASIGNATURAS!$B$2:$J$91,9,FALSE()),""))</f>
      </c>
    </row>
    <row r="5670">
      <c r="F5670">
        <f>IF(DATOS!$A5670="","",DATOS!$A5670&amp;"|"&amp;DATOS!$D5670&amp;"|"&amp;DATOS!$E5670&amp;"|"&amp;DATOS!$I5670)</f>
      </c>
      <c r="G5670">
        <f>IF(DATOS!$A5670="",0,IF(CONFIG_METADATA!$B$4&lt;&gt;"OR+EX",--(DATOS!$G5670=CONFIG_METADATA!$B$4),IF(DATOS!$G5670="EX",1,IF(DATOS!$G5670="OR",--(COUNTIFS(nNIA,DATOS!$A5670,nCURSO,DATOS!$D5670,nESPEC,DATOS!$E5670,nASIG,DATOS!$I5670,nEVAL,"EX")=0),0))))</f>
      </c>
      <c r="H5670">
        <f>IF(DATOS!$G5670&lt;&gt;"EX",0,--(COUNTIFS(nNIA,DATOS!$A5670,nCURSO,DATOS!$D5670,nESPEC,DATOS!$E5670,nASIG,DATOS!$I5670,nEVAL,"OR")=0))</f>
      </c>
      <c r="I5670">
        <f>IF(DATOS!$I5670="","",IFERROR(VLOOKUP(DATOS!$I5670,CONFIG_ASIGNATURAS!$B$2:$J$91,9,FALSE()),""))</f>
      </c>
    </row>
    <row r="5671">
      <c r="F5671">
        <f>IF(DATOS!$A5671="","",DATOS!$A5671&amp;"|"&amp;DATOS!$D5671&amp;"|"&amp;DATOS!$E5671&amp;"|"&amp;DATOS!$I5671)</f>
      </c>
      <c r="G5671">
        <f>IF(DATOS!$A5671="",0,IF(CONFIG_METADATA!$B$4&lt;&gt;"OR+EX",--(DATOS!$G5671=CONFIG_METADATA!$B$4),IF(DATOS!$G5671="EX",1,IF(DATOS!$G5671="OR",--(COUNTIFS(nNIA,DATOS!$A5671,nCURSO,DATOS!$D5671,nESPEC,DATOS!$E5671,nASIG,DATOS!$I5671,nEVAL,"EX")=0),0))))</f>
      </c>
      <c r="H5671">
        <f>IF(DATOS!$G5671&lt;&gt;"EX",0,--(COUNTIFS(nNIA,DATOS!$A5671,nCURSO,DATOS!$D5671,nESPEC,DATOS!$E5671,nASIG,DATOS!$I5671,nEVAL,"OR")=0))</f>
      </c>
      <c r="I5671">
        <f>IF(DATOS!$I5671="","",IFERROR(VLOOKUP(DATOS!$I5671,CONFIG_ASIGNATURAS!$B$2:$J$91,9,FALSE()),""))</f>
      </c>
    </row>
    <row r="5672">
      <c r="F5672">
        <f>IF(DATOS!$A5672="","",DATOS!$A5672&amp;"|"&amp;DATOS!$D5672&amp;"|"&amp;DATOS!$E5672&amp;"|"&amp;DATOS!$I5672)</f>
      </c>
      <c r="G5672">
        <f>IF(DATOS!$A5672="",0,IF(CONFIG_METADATA!$B$4&lt;&gt;"OR+EX",--(DATOS!$G5672=CONFIG_METADATA!$B$4),IF(DATOS!$G5672="EX",1,IF(DATOS!$G5672="OR",--(COUNTIFS(nNIA,DATOS!$A5672,nCURSO,DATOS!$D5672,nESPEC,DATOS!$E5672,nASIG,DATOS!$I5672,nEVAL,"EX")=0),0))))</f>
      </c>
      <c r="H5672">
        <f>IF(DATOS!$G5672&lt;&gt;"EX",0,--(COUNTIFS(nNIA,DATOS!$A5672,nCURSO,DATOS!$D5672,nESPEC,DATOS!$E5672,nASIG,DATOS!$I5672,nEVAL,"OR")=0))</f>
      </c>
      <c r="I5672">
        <f>IF(DATOS!$I5672="","",IFERROR(VLOOKUP(DATOS!$I5672,CONFIG_ASIGNATURAS!$B$2:$J$91,9,FALSE()),""))</f>
      </c>
    </row>
    <row r="5673">
      <c r="F5673">
        <f>IF(DATOS!$A5673="","",DATOS!$A5673&amp;"|"&amp;DATOS!$D5673&amp;"|"&amp;DATOS!$E5673&amp;"|"&amp;DATOS!$I5673)</f>
      </c>
      <c r="G5673">
        <f>IF(DATOS!$A5673="",0,IF(CONFIG_METADATA!$B$4&lt;&gt;"OR+EX",--(DATOS!$G5673=CONFIG_METADATA!$B$4),IF(DATOS!$G5673="EX",1,IF(DATOS!$G5673="OR",--(COUNTIFS(nNIA,DATOS!$A5673,nCURSO,DATOS!$D5673,nESPEC,DATOS!$E5673,nASIG,DATOS!$I5673,nEVAL,"EX")=0),0))))</f>
      </c>
      <c r="H5673">
        <f>IF(DATOS!$G5673&lt;&gt;"EX",0,--(COUNTIFS(nNIA,DATOS!$A5673,nCURSO,DATOS!$D5673,nESPEC,DATOS!$E5673,nASIG,DATOS!$I5673,nEVAL,"OR")=0))</f>
      </c>
      <c r="I5673">
        <f>IF(DATOS!$I5673="","",IFERROR(VLOOKUP(DATOS!$I5673,CONFIG_ASIGNATURAS!$B$2:$J$91,9,FALSE()),""))</f>
      </c>
    </row>
    <row r="5674">
      <c r="F5674">
        <f>IF(DATOS!$A5674="","",DATOS!$A5674&amp;"|"&amp;DATOS!$D5674&amp;"|"&amp;DATOS!$E5674&amp;"|"&amp;DATOS!$I5674)</f>
      </c>
      <c r="G5674">
        <f>IF(DATOS!$A5674="",0,IF(CONFIG_METADATA!$B$4&lt;&gt;"OR+EX",--(DATOS!$G5674=CONFIG_METADATA!$B$4),IF(DATOS!$G5674="EX",1,IF(DATOS!$G5674="OR",--(COUNTIFS(nNIA,DATOS!$A5674,nCURSO,DATOS!$D5674,nESPEC,DATOS!$E5674,nASIG,DATOS!$I5674,nEVAL,"EX")=0),0))))</f>
      </c>
      <c r="H5674">
        <f>IF(DATOS!$G5674&lt;&gt;"EX",0,--(COUNTIFS(nNIA,DATOS!$A5674,nCURSO,DATOS!$D5674,nESPEC,DATOS!$E5674,nASIG,DATOS!$I5674,nEVAL,"OR")=0))</f>
      </c>
      <c r="I5674">
        <f>IF(DATOS!$I5674="","",IFERROR(VLOOKUP(DATOS!$I5674,CONFIG_ASIGNATURAS!$B$2:$J$91,9,FALSE()),""))</f>
      </c>
    </row>
    <row r="5675">
      <c r="F5675">
        <f>IF(DATOS!$A5675="","",DATOS!$A5675&amp;"|"&amp;DATOS!$D5675&amp;"|"&amp;DATOS!$E5675&amp;"|"&amp;DATOS!$I5675)</f>
      </c>
      <c r="G5675">
        <f>IF(DATOS!$A5675="",0,IF(CONFIG_METADATA!$B$4&lt;&gt;"OR+EX",--(DATOS!$G5675=CONFIG_METADATA!$B$4),IF(DATOS!$G5675="EX",1,IF(DATOS!$G5675="OR",--(COUNTIFS(nNIA,DATOS!$A5675,nCURSO,DATOS!$D5675,nESPEC,DATOS!$E5675,nASIG,DATOS!$I5675,nEVAL,"EX")=0),0))))</f>
      </c>
      <c r="H5675">
        <f>IF(DATOS!$G5675&lt;&gt;"EX",0,--(COUNTIFS(nNIA,DATOS!$A5675,nCURSO,DATOS!$D5675,nESPEC,DATOS!$E5675,nASIG,DATOS!$I5675,nEVAL,"OR")=0))</f>
      </c>
      <c r="I5675">
        <f>IF(DATOS!$I5675="","",IFERROR(VLOOKUP(DATOS!$I5675,CONFIG_ASIGNATURAS!$B$2:$J$91,9,FALSE()),""))</f>
      </c>
    </row>
    <row r="5676">
      <c r="F5676">
        <f>IF(DATOS!$A5676="","",DATOS!$A5676&amp;"|"&amp;DATOS!$D5676&amp;"|"&amp;DATOS!$E5676&amp;"|"&amp;DATOS!$I5676)</f>
      </c>
      <c r="G5676">
        <f>IF(DATOS!$A5676="",0,IF(CONFIG_METADATA!$B$4&lt;&gt;"OR+EX",--(DATOS!$G5676=CONFIG_METADATA!$B$4),IF(DATOS!$G5676="EX",1,IF(DATOS!$G5676="OR",--(COUNTIFS(nNIA,DATOS!$A5676,nCURSO,DATOS!$D5676,nESPEC,DATOS!$E5676,nASIG,DATOS!$I5676,nEVAL,"EX")=0),0))))</f>
      </c>
      <c r="H5676">
        <f>IF(DATOS!$G5676&lt;&gt;"EX",0,--(COUNTIFS(nNIA,DATOS!$A5676,nCURSO,DATOS!$D5676,nESPEC,DATOS!$E5676,nASIG,DATOS!$I5676,nEVAL,"OR")=0))</f>
      </c>
      <c r="I5676">
        <f>IF(DATOS!$I5676="","",IFERROR(VLOOKUP(DATOS!$I5676,CONFIG_ASIGNATURAS!$B$2:$J$91,9,FALSE()),""))</f>
      </c>
    </row>
    <row r="5677">
      <c r="F5677">
        <f>IF(DATOS!$A5677="","",DATOS!$A5677&amp;"|"&amp;DATOS!$D5677&amp;"|"&amp;DATOS!$E5677&amp;"|"&amp;DATOS!$I5677)</f>
      </c>
      <c r="G5677">
        <f>IF(DATOS!$A5677="",0,IF(CONFIG_METADATA!$B$4&lt;&gt;"OR+EX",--(DATOS!$G5677=CONFIG_METADATA!$B$4),IF(DATOS!$G5677="EX",1,IF(DATOS!$G5677="OR",--(COUNTIFS(nNIA,DATOS!$A5677,nCURSO,DATOS!$D5677,nESPEC,DATOS!$E5677,nASIG,DATOS!$I5677,nEVAL,"EX")=0),0))))</f>
      </c>
      <c r="H5677">
        <f>IF(DATOS!$G5677&lt;&gt;"EX",0,--(COUNTIFS(nNIA,DATOS!$A5677,nCURSO,DATOS!$D5677,nESPEC,DATOS!$E5677,nASIG,DATOS!$I5677,nEVAL,"OR")=0))</f>
      </c>
      <c r="I5677">
        <f>IF(DATOS!$I5677="","",IFERROR(VLOOKUP(DATOS!$I5677,CONFIG_ASIGNATURAS!$B$2:$J$91,9,FALSE()),""))</f>
      </c>
    </row>
    <row r="5678">
      <c r="F5678">
        <f>IF(DATOS!$A5678="","",DATOS!$A5678&amp;"|"&amp;DATOS!$D5678&amp;"|"&amp;DATOS!$E5678&amp;"|"&amp;DATOS!$I5678)</f>
      </c>
      <c r="G5678">
        <f>IF(DATOS!$A5678="",0,IF(CONFIG_METADATA!$B$4&lt;&gt;"OR+EX",--(DATOS!$G5678=CONFIG_METADATA!$B$4),IF(DATOS!$G5678="EX",1,IF(DATOS!$G5678="OR",--(COUNTIFS(nNIA,DATOS!$A5678,nCURSO,DATOS!$D5678,nESPEC,DATOS!$E5678,nASIG,DATOS!$I5678,nEVAL,"EX")=0),0))))</f>
      </c>
      <c r="H5678">
        <f>IF(DATOS!$G5678&lt;&gt;"EX",0,--(COUNTIFS(nNIA,DATOS!$A5678,nCURSO,DATOS!$D5678,nESPEC,DATOS!$E5678,nASIG,DATOS!$I5678,nEVAL,"OR")=0))</f>
      </c>
      <c r="I5678">
        <f>IF(DATOS!$I5678="","",IFERROR(VLOOKUP(DATOS!$I5678,CONFIG_ASIGNATURAS!$B$2:$J$91,9,FALSE()),""))</f>
      </c>
    </row>
    <row r="5679">
      <c r="F5679">
        <f>IF(DATOS!$A5679="","",DATOS!$A5679&amp;"|"&amp;DATOS!$D5679&amp;"|"&amp;DATOS!$E5679&amp;"|"&amp;DATOS!$I5679)</f>
      </c>
      <c r="G5679">
        <f>IF(DATOS!$A5679="",0,IF(CONFIG_METADATA!$B$4&lt;&gt;"OR+EX",--(DATOS!$G5679=CONFIG_METADATA!$B$4),IF(DATOS!$G5679="EX",1,IF(DATOS!$G5679="OR",--(COUNTIFS(nNIA,DATOS!$A5679,nCURSO,DATOS!$D5679,nESPEC,DATOS!$E5679,nASIG,DATOS!$I5679,nEVAL,"EX")=0),0))))</f>
      </c>
      <c r="H5679">
        <f>IF(DATOS!$G5679&lt;&gt;"EX",0,--(COUNTIFS(nNIA,DATOS!$A5679,nCURSO,DATOS!$D5679,nESPEC,DATOS!$E5679,nASIG,DATOS!$I5679,nEVAL,"OR")=0))</f>
      </c>
      <c r="I5679">
        <f>IF(DATOS!$I5679="","",IFERROR(VLOOKUP(DATOS!$I5679,CONFIG_ASIGNATURAS!$B$2:$J$91,9,FALSE()),""))</f>
      </c>
    </row>
    <row r="5680">
      <c r="F5680">
        <f>IF(DATOS!$A5680="","",DATOS!$A5680&amp;"|"&amp;DATOS!$D5680&amp;"|"&amp;DATOS!$E5680&amp;"|"&amp;DATOS!$I5680)</f>
      </c>
      <c r="G5680">
        <f>IF(DATOS!$A5680="",0,IF(CONFIG_METADATA!$B$4&lt;&gt;"OR+EX",--(DATOS!$G5680=CONFIG_METADATA!$B$4),IF(DATOS!$G5680="EX",1,IF(DATOS!$G5680="OR",--(COUNTIFS(nNIA,DATOS!$A5680,nCURSO,DATOS!$D5680,nESPEC,DATOS!$E5680,nASIG,DATOS!$I5680,nEVAL,"EX")=0),0))))</f>
      </c>
      <c r="H5680">
        <f>IF(DATOS!$G5680&lt;&gt;"EX",0,--(COUNTIFS(nNIA,DATOS!$A5680,nCURSO,DATOS!$D5680,nESPEC,DATOS!$E5680,nASIG,DATOS!$I5680,nEVAL,"OR")=0))</f>
      </c>
      <c r="I5680">
        <f>IF(DATOS!$I5680="","",IFERROR(VLOOKUP(DATOS!$I5680,CONFIG_ASIGNATURAS!$B$2:$J$91,9,FALSE()),""))</f>
      </c>
    </row>
    <row r="5681">
      <c r="F5681">
        <f>IF(DATOS!$A5681="","",DATOS!$A5681&amp;"|"&amp;DATOS!$D5681&amp;"|"&amp;DATOS!$E5681&amp;"|"&amp;DATOS!$I5681)</f>
      </c>
      <c r="G5681">
        <f>IF(DATOS!$A5681="",0,IF(CONFIG_METADATA!$B$4&lt;&gt;"OR+EX",--(DATOS!$G5681=CONFIG_METADATA!$B$4),IF(DATOS!$G5681="EX",1,IF(DATOS!$G5681="OR",--(COUNTIFS(nNIA,DATOS!$A5681,nCURSO,DATOS!$D5681,nESPEC,DATOS!$E5681,nASIG,DATOS!$I5681,nEVAL,"EX")=0),0))))</f>
      </c>
      <c r="H5681">
        <f>IF(DATOS!$G5681&lt;&gt;"EX",0,--(COUNTIFS(nNIA,DATOS!$A5681,nCURSO,DATOS!$D5681,nESPEC,DATOS!$E5681,nASIG,DATOS!$I5681,nEVAL,"OR")=0))</f>
      </c>
      <c r="I5681">
        <f>IF(DATOS!$I5681="","",IFERROR(VLOOKUP(DATOS!$I5681,CONFIG_ASIGNATURAS!$B$2:$J$91,9,FALSE()),""))</f>
      </c>
    </row>
    <row r="5682">
      <c r="F5682">
        <f>IF(DATOS!$A5682="","",DATOS!$A5682&amp;"|"&amp;DATOS!$D5682&amp;"|"&amp;DATOS!$E5682&amp;"|"&amp;DATOS!$I5682)</f>
      </c>
      <c r="G5682">
        <f>IF(DATOS!$A5682="",0,IF(CONFIG_METADATA!$B$4&lt;&gt;"OR+EX",--(DATOS!$G5682=CONFIG_METADATA!$B$4),IF(DATOS!$G5682="EX",1,IF(DATOS!$G5682="OR",--(COUNTIFS(nNIA,DATOS!$A5682,nCURSO,DATOS!$D5682,nESPEC,DATOS!$E5682,nASIG,DATOS!$I5682,nEVAL,"EX")=0),0))))</f>
      </c>
      <c r="H5682">
        <f>IF(DATOS!$G5682&lt;&gt;"EX",0,--(COUNTIFS(nNIA,DATOS!$A5682,nCURSO,DATOS!$D5682,nESPEC,DATOS!$E5682,nASIG,DATOS!$I5682,nEVAL,"OR")=0))</f>
      </c>
      <c r="I5682">
        <f>IF(DATOS!$I5682="","",IFERROR(VLOOKUP(DATOS!$I5682,CONFIG_ASIGNATURAS!$B$2:$J$91,9,FALSE()),""))</f>
      </c>
    </row>
    <row r="5683">
      <c r="F5683">
        <f>IF(DATOS!$A5683="","",DATOS!$A5683&amp;"|"&amp;DATOS!$D5683&amp;"|"&amp;DATOS!$E5683&amp;"|"&amp;DATOS!$I5683)</f>
      </c>
      <c r="G5683">
        <f>IF(DATOS!$A5683="",0,IF(CONFIG_METADATA!$B$4&lt;&gt;"OR+EX",--(DATOS!$G5683=CONFIG_METADATA!$B$4),IF(DATOS!$G5683="EX",1,IF(DATOS!$G5683="OR",--(COUNTIFS(nNIA,DATOS!$A5683,nCURSO,DATOS!$D5683,nESPEC,DATOS!$E5683,nASIG,DATOS!$I5683,nEVAL,"EX")=0),0))))</f>
      </c>
      <c r="H5683">
        <f>IF(DATOS!$G5683&lt;&gt;"EX",0,--(COUNTIFS(nNIA,DATOS!$A5683,nCURSO,DATOS!$D5683,nESPEC,DATOS!$E5683,nASIG,DATOS!$I5683,nEVAL,"OR")=0))</f>
      </c>
      <c r="I5683">
        <f>IF(DATOS!$I5683="","",IFERROR(VLOOKUP(DATOS!$I5683,CONFIG_ASIGNATURAS!$B$2:$J$91,9,FALSE()),""))</f>
      </c>
    </row>
    <row r="5684">
      <c r="F5684">
        <f>IF(DATOS!$A5684="","",DATOS!$A5684&amp;"|"&amp;DATOS!$D5684&amp;"|"&amp;DATOS!$E5684&amp;"|"&amp;DATOS!$I5684)</f>
      </c>
      <c r="G5684">
        <f>IF(DATOS!$A5684="",0,IF(CONFIG_METADATA!$B$4&lt;&gt;"OR+EX",--(DATOS!$G5684=CONFIG_METADATA!$B$4),IF(DATOS!$G5684="EX",1,IF(DATOS!$G5684="OR",--(COUNTIFS(nNIA,DATOS!$A5684,nCURSO,DATOS!$D5684,nESPEC,DATOS!$E5684,nASIG,DATOS!$I5684,nEVAL,"EX")=0),0))))</f>
      </c>
      <c r="H5684">
        <f>IF(DATOS!$G5684&lt;&gt;"EX",0,--(COUNTIFS(nNIA,DATOS!$A5684,nCURSO,DATOS!$D5684,nESPEC,DATOS!$E5684,nASIG,DATOS!$I5684,nEVAL,"OR")=0))</f>
      </c>
      <c r="I5684">
        <f>IF(DATOS!$I5684="","",IFERROR(VLOOKUP(DATOS!$I5684,CONFIG_ASIGNATURAS!$B$2:$J$91,9,FALSE()),""))</f>
      </c>
    </row>
    <row r="5685">
      <c r="F5685">
        <f>IF(DATOS!$A5685="","",DATOS!$A5685&amp;"|"&amp;DATOS!$D5685&amp;"|"&amp;DATOS!$E5685&amp;"|"&amp;DATOS!$I5685)</f>
      </c>
      <c r="G5685">
        <f>IF(DATOS!$A5685="",0,IF(CONFIG_METADATA!$B$4&lt;&gt;"OR+EX",--(DATOS!$G5685=CONFIG_METADATA!$B$4),IF(DATOS!$G5685="EX",1,IF(DATOS!$G5685="OR",--(COUNTIFS(nNIA,DATOS!$A5685,nCURSO,DATOS!$D5685,nESPEC,DATOS!$E5685,nASIG,DATOS!$I5685,nEVAL,"EX")=0),0))))</f>
      </c>
      <c r="H5685">
        <f>IF(DATOS!$G5685&lt;&gt;"EX",0,--(COUNTIFS(nNIA,DATOS!$A5685,nCURSO,DATOS!$D5685,nESPEC,DATOS!$E5685,nASIG,DATOS!$I5685,nEVAL,"OR")=0))</f>
      </c>
      <c r="I5685">
        <f>IF(DATOS!$I5685="","",IFERROR(VLOOKUP(DATOS!$I5685,CONFIG_ASIGNATURAS!$B$2:$J$91,9,FALSE()),""))</f>
      </c>
    </row>
    <row r="5686">
      <c r="F5686">
        <f>IF(DATOS!$A5686="","",DATOS!$A5686&amp;"|"&amp;DATOS!$D5686&amp;"|"&amp;DATOS!$E5686&amp;"|"&amp;DATOS!$I5686)</f>
      </c>
      <c r="G5686">
        <f>IF(DATOS!$A5686="",0,IF(CONFIG_METADATA!$B$4&lt;&gt;"OR+EX",--(DATOS!$G5686=CONFIG_METADATA!$B$4),IF(DATOS!$G5686="EX",1,IF(DATOS!$G5686="OR",--(COUNTIFS(nNIA,DATOS!$A5686,nCURSO,DATOS!$D5686,nESPEC,DATOS!$E5686,nASIG,DATOS!$I5686,nEVAL,"EX")=0),0))))</f>
      </c>
      <c r="H5686">
        <f>IF(DATOS!$G5686&lt;&gt;"EX",0,--(COUNTIFS(nNIA,DATOS!$A5686,nCURSO,DATOS!$D5686,nESPEC,DATOS!$E5686,nASIG,DATOS!$I5686,nEVAL,"OR")=0))</f>
      </c>
      <c r="I5686">
        <f>IF(DATOS!$I5686="","",IFERROR(VLOOKUP(DATOS!$I5686,CONFIG_ASIGNATURAS!$B$2:$J$91,9,FALSE()),""))</f>
      </c>
    </row>
    <row r="5687">
      <c r="F5687">
        <f>IF(DATOS!$A5687="","",DATOS!$A5687&amp;"|"&amp;DATOS!$D5687&amp;"|"&amp;DATOS!$E5687&amp;"|"&amp;DATOS!$I5687)</f>
      </c>
      <c r="G5687">
        <f>IF(DATOS!$A5687="",0,IF(CONFIG_METADATA!$B$4&lt;&gt;"OR+EX",--(DATOS!$G5687=CONFIG_METADATA!$B$4),IF(DATOS!$G5687="EX",1,IF(DATOS!$G5687="OR",--(COUNTIFS(nNIA,DATOS!$A5687,nCURSO,DATOS!$D5687,nESPEC,DATOS!$E5687,nASIG,DATOS!$I5687,nEVAL,"EX")=0),0))))</f>
      </c>
      <c r="H5687">
        <f>IF(DATOS!$G5687&lt;&gt;"EX",0,--(COUNTIFS(nNIA,DATOS!$A5687,nCURSO,DATOS!$D5687,nESPEC,DATOS!$E5687,nASIG,DATOS!$I5687,nEVAL,"OR")=0))</f>
      </c>
      <c r="I5687">
        <f>IF(DATOS!$I5687="","",IFERROR(VLOOKUP(DATOS!$I5687,CONFIG_ASIGNATURAS!$B$2:$J$91,9,FALSE()),""))</f>
      </c>
    </row>
    <row r="5688">
      <c r="F5688">
        <f>IF(DATOS!$A5688="","",DATOS!$A5688&amp;"|"&amp;DATOS!$D5688&amp;"|"&amp;DATOS!$E5688&amp;"|"&amp;DATOS!$I5688)</f>
      </c>
      <c r="G5688">
        <f>IF(DATOS!$A5688="",0,IF(CONFIG_METADATA!$B$4&lt;&gt;"OR+EX",--(DATOS!$G5688=CONFIG_METADATA!$B$4),IF(DATOS!$G5688="EX",1,IF(DATOS!$G5688="OR",--(COUNTIFS(nNIA,DATOS!$A5688,nCURSO,DATOS!$D5688,nESPEC,DATOS!$E5688,nASIG,DATOS!$I5688,nEVAL,"EX")=0),0))))</f>
      </c>
      <c r="H5688">
        <f>IF(DATOS!$G5688&lt;&gt;"EX",0,--(COUNTIFS(nNIA,DATOS!$A5688,nCURSO,DATOS!$D5688,nESPEC,DATOS!$E5688,nASIG,DATOS!$I5688,nEVAL,"OR")=0))</f>
      </c>
      <c r="I5688">
        <f>IF(DATOS!$I5688="","",IFERROR(VLOOKUP(DATOS!$I5688,CONFIG_ASIGNATURAS!$B$2:$J$91,9,FALSE()),""))</f>
      </c>
    </row>
    <row r="5689">
      <c r="F5689">
        <f>IF(DATOS!$A5689="","",DATOS!$A5689&amp;"|"&amp;DATOS!$D5689&amp;"|"&amp;DATOS!$E5689&amp;"|"&amp;DATOS!$I5689)</f>
      </c>
      <c r="G5689">
        <f>IF(DATOS!$A5689="",0,IF(CONFIG_METADATA!$B$4&lt;&gt;"OR+EX",--(DATOS!$G5689=CONFIG_METADATA!$B$4),IF(DATOS!$G5689="EX",1,IF(DATOS!$G5689="OR",--(COUNTIFS(nNIA,DATOS!$A5689,nCURSO,DATOS!$D5689,nESPEC,DATOS!$E5689,nASIG,DATOS!$I5689,nEVAL,"EX")=0),0))))</f>
      </c>
      <c r="H5689">
        <f>IF(DATOS!$G5689&lt;&gt;"EX",0,--(COUNTIFS(nNIA,DATOS!$A5689,nCURSO,DATOS!$D5689,nESPEC,DATOS!$E5689,nASIG,DATOS!$I5689,nEVAL,"OR")=0))</f>
      </c>
      <c r="I5689">
        <f>IF(DATOS!$I5689="","",IFERROR(VLOOKUP(DATOS!$I5689,CONFIG_ASIGNATURAS!$B$2:$J$91,9,FALSE()),""))</f>
      </c>
    </row>
    <row r="5690">
      <c r="F5690">
        <f>IF(DATOS!$A5690="","",DATOS!$A5690&amp;"|"&amp;DATOS!$D5690&amp;"|"&amp;DATOS!$E5690&amp;"|"&amp;DATOS!$I5690)</f>
      </c>
      <c r="G5690">
        <f>IF(DATOS!$A5690="",0,IF(CONFIG_METADATA!$B$4&lt;&gt;"OR+EX",--(DATOS!$G5690=CONFIG_METADATA!$B$4),IF(DATOS!$G5690="EX",1,IF(DATOS!$G5690="OR",--(COUNTIFS(nNIA,DATOS!$A5690,nCURSO,DATOS!$D5690,nESPEC,DATOS!$E5690,nASIG,DATOS!$I5690,nEVAL,"EX")=0),0))))</f>
      </c>
      <c r="H5690">
        <f>IF(DATOS!$G5690&lt;&gt;"EX",0,--(COUNTIFS(nNIA,DATOS!$A5690,nCURSO,DATOS!$D5690,nESPEC,DATOS!$E5690,nASIG,DATOS!$I5690,nEVAL,"OR")=0))</f>
      </c>
      <c r="I5690">
        <f>IF(DATOS!$I5690="","",IFERROR(VLOOKUP(DATOS!$I5690,CONFIG_ASIGNATURAS!$B$2:$J$91,9,FALSE()),""))</f>
      </c>
    </row>
    <row r="5691">
      <c r="F5691">
        <f>IF(DATOS!$A5691="","",DATOS!$A5691&amp;"|"&amp;DATOS!$D5691&amp;"|"&amp;DATOS!$E5691&amp;"|"&amp;DATOS!$I5691)</f>
      </c>
      <c r="G5691">
        <f>IF(DATOS!$A5691="",0,IF(CONFIG_METADATA!$B$4&lt;&gt;"OR+EX",--(DATOS!$G5691=CONFIG_METADATA!$B$4),IF(DATOS!$G5691="EX",1,IF(DATOS!$G5691="OR",--(COUNTIFS(nNIA,DATOS!$A5691,nCURSO,DATOS!$D5691,nESPEC,DATOS!$E5691,nASIG,DATOS!$I5691,nEVAL,"EX")=0),0))))</f>
      </c>
      <c r="H5691">
        <f>IF(DATOS!$G5691&lt;&gt;"EX",0,--(COUNTIFS(nNIA,DATOS!$A5691,nCURSO,DATOS!$D5691,nESPEC,DATOS!$E5691,nASIG,DATOS!$I5691,nEVAL,"OR")=0))</f>
      </c>
      <c r="I5691">
        <f>IF(DATOS!$I5691="","",IFERROR(VLOOKUP(DATOS!$I5691,CONFIG_ASIGNATURAS!$B$2:$J$91,9,FALSE()),""))</f>
      </c>
    </row>
    <row r="5692">
      <c r="F5692">
        <f>IF(DATOS!$A5692="","",DATOS!$A5692&amp;"|"&amp;DATOS!$D5692&amp;"|"&amp;DATOS!$E5692&amp;"|"&amp;DATOS!$I5692)</f>
      </c>
      <c r="G5692">
        <f>IF(DATOS!$A5692="",0,IF(CONFIG_METADATA!$B$4&lt;&gt;"OR+EX",--(DATOS!$G5692=CONFIG_METADATA!$B$4),IF(DATOS!$G5692="EX",1,IF(DATOS!$G5692="OR",--(COUNTIFS(nNIA,DATOS!$A5692,nCURSO,DATOS!$D5692,nESPEC,DATOS!$E5692,nASIG,DATOS!$I5692,nEVAL,"EX")=0),0))))</f>
      </c>
      <c r="H5692">
        <f>IF(DATOS!$G5692&lt;&gt;"EX",0,--(COUNTIFS(nNIA,DATOS!$A5692,nCURSO,DATOS!$D5692,nESPEC,DATOS!$E5692,nASIG,DATOS!$I5692,nEVAL,"OR")=0))</f>
      </c>
      <c r="I5692">
        <f>IF(DATOS!$I5692="","",IFERROR(VLOOKUP(DATOS!$I5692,CONFIG_ASIGNATURAS!$B$2:$J$91,9,FALSE()),""))</f>
      </c>
    </row>
    <row r="5693">
      <c r="F5693">
        <f>IF(DATOS!$A5693="","",DATOS!$A5693&amp;"|"&amp;DATOS!$D5693&amp;"|"&amp;DATOS!$E5693&amp;"|"&amp;DATOS!$I5693)</f>
      </c>
      <c r="G5693">
        <f>IF(DATOS!$A5693="",0,IF(CONFIG_METADATA!$B$4&lt;&gt;"OR+EX",--(DATOS!$G5693=CONFIG_METADATA!$B$4),IF(DATOS!$G5693="EX",1,IF(DATOS!$G5693="OR",--(COUNTIFS(nNIA,DATOS!$A5693,nCURSO,DATOS!$D5693,nESPEC,DATOS!$E5693,nASIG,DATOS!$I5693,nEVAL,"EX")=0),0))))</f>
      </c>
      <c r="H5693">
        <f>IF(DATOS!$G5693&lt;&gt;"EX",0,--(COUNTIFS(nNIA,DATOS!$A5693,nCURSO,DATOS!$D5693,nESPEC,DATOS!$E5693,nASIG,DATOS!$I5693,nEVAL,"OR")=0))</f>
      </c>
      <c r="I5693">
        <f>IF(DATOS!$I5693="","",IFERROR(VLOOKUP(DATOS!$I5693,CONFIG_ASIGNATURAS!$B$2:$J$91,9,FALSE()),""))</f>
      </c>
    </row>
    <row r="5694">
      <c r="F5694">
        <f>IF(DATOS!$A5694="","",DATOS!$A5694&amp;"|"&amp;DATOS!$D5694&amp;"|"&amp;DATOS!$E5694&amp;"|"&amp;DATOS!$I5694)</f>
      </c>
      <c r="G5694">
        <f>IF(DATOS!$A5694="",0,IF(CONFIG_METADATA!$B$4&lt;&gt;"OR+EX",--(DATOS!$G5694=CONFIG_METADATA!$B$4),IF(DATOS!$G5694="EX",1,IF(DATOS!$G5694="OR",--(COUNTIFS(nNIA,DATOS!$A5694,nCURSO,DATOS!$D5694,nESPEC,DATOS!$E5694,nASIG,DATOS!$I5694,nEVAL,"EX")=0),0))))</f>
      </c>
      <c r="H5694">
        <f>IF(DATOS!$G5694&lt;&gt;"EX",0,--(COUNTIFS(nNIA,DATOS!$A5694,nCURSO,DATOS!$D5694,nESPEC,DATOS!$E5694,nASIG,DATOS!$I5694,nEVAL,"OR")=0))</f>
      </c>
      <c r="I5694">
        <f>IF(DATOS!$I5694="","",IFERROR(VLOOKUP(DATOS!$I5694,CONFIG_ASIGNATURAS!$B$2:$J$91,9,FALSE()),""))</f>
      </c>
    </row>
    <row r="5695">
      <c r="F5695">
        <f>IF(DATOS!$A5695="","",DATOS!$A5695&amp;"|"&amp;DATOS!$D5695&amp;"|"&amp;DATOS!$E5695&amp;"|"&amp;DATOS!$I5695)</f>
      </c>
      <c r="G5695">
        <f>IF(DATOS!$A5695="",0,IF(CONFIG_METADATA!$B$4&lt;&gt;"OR+EX",--(DATOS!$G5695=CONFIG_METADATA!$B$4),IF(DATOS!$G5695="EX",1,IF(DATOS!$G5695="OR",--(COUNTIFS(nNIA,DATOS!$A5695,nCURSO,DATOS!$D5695,nESPEC,DATOS!$E5695,nASIG,DATOS!$I5695,nEVAL,"EX")=0),0))))</f>
      </c>
      <c r="H5695">
        <f>IF(DATOS!$G5695&lt;&gt;"EX",0,--(COUNTIFS(nNIA,DATOS!$A5695,nCURSO,DATOS!$D5695,nESPEC,DATOS!$E5695,nASIG,DATOS!$I5695,nEVAL,"OR")=0))</f>
      </c>
      <c r="I5695">
        <f>IF(DATOS!$I5695="","",IFERROR(VLOOKUP(DATOS!$I5695,CONFIG_ASIGNATURAS!$B$2:$J$91,9,FALSE()),""))</f>
      </c>
    </row>
    <row r="5696">
      <c r="F5696">
        <f>IF(DATOS!$A5696="","",DATOS!$A5696&amp;"|"&amp;DATOS!$D5696&amp;"|"&amp;DATOS!$E5696&amp;"|"&amp;DATOS!$I5696)</f>
      </c>
      <c r="G5696">
        <f>IF(DATOS!$A5696="",0,IF(CONFIG_METADATA!$B$4&lt;&gt;"OR+EX",--(DATOS!$G5696=CONFIG_METADATA!$B$4),IF(DATOS!$G5696="EX",1,IF(DATOS!$G5696="OR",--(COUNTIFS(nNIA,DATOS!$A5696,nCURSO,DATOS!$D5696,nESPEC,DATOS!$E5696,nASIG,DATOS!$I5696,nEVAL,"EX")=0),0))))</f>
      </c>
      <c r="H5696">
        <f>IF(DATOS!$G5696&lt;&gt;"EX",0,--(COUNTIFS(nNIA,DATOS!$A5696,nCURSO,DATOS!$D5696,nESPEC,DATOS!$E5696,nASIG,DATOS!$I5696,nEVAL,"OR")=0))</f>
      </c>
      <c r="I5696">
        <f>IF(DATOS!$I5696="","",IFERROR(VLOOKUP(DATOS!$I5696,CONFIG_ASIGNATURAS!$B$2:$J$91,9,FALSE()),""))</f>
      </c>
    </row>
    <row r="5697">
      <c r="F5697">
        <f>IF(DATOS!$A5697="","",DATOS!$A5697&amp;"|"&amp;DATOS!$D5697&amp;"|"&amp;DATOS!$E5697&amp;"|"&amp;DATOS!$I5697)</f>
      </c>
      <c r="G5697">
        <f>IF(DATOS!$A5697="",0,IF(CONFIG_METADATA!$B$4&lt;&gt;"OR+EX",--(DATOS!$G5697=CONFIG_METADATA!$B$4),IF(DATOS!$G5697="EX",1,IF(DATOS!$G5697="OR",--(COUNTIFS(nNIA,DATOS!$A5697,nCURSO,DATOS!$D5697,nESPEC,DATOS!$E5697,nASIG,DATOS!$I5697,nEVAL,"EX")=0),0))))</f>
      </c>
      <c r="H5697">
        <f>IF(DATOS!$G5697&lt;&gt;"EX",0,--(COUNTIFS(nNIA,DATOS!$A5697,nCURSO,DATOS!$D5697,nESPEC,DATOS!$E5697,nASIG,DATOS!$I5697,nEVAL,"OR")=0))</f>
      </c>
      <c r="I5697">
        <f>IF(DATOS!$I5697="","",IFERROR(VLOOKUP(DATOS!$I5697,CONFIG_ASIGNATURAS!$B$2:$J$91,9,FALSE()),""))</f>
      </c>
    </row>
    <row r="5698">
      <c r="F5698">
        <f>IF(DATOS!$A5698="","",DATOS!$A5698&amp;"|"&amp;DATOS!$D5698&amp;"|"&amp;DATOS!$E5698&amp;"|"&amp;DATOS!$I5698)</f>
      </c>
      <c r="G5698">
        <f>IF(DATOS!$A5698="",0,IF(CONFIG_METADATA!$B$4&lt;&gt;"OR+EX",--(DATOS!$G5698=CONFIG_METADATA!$B$4),IF(DATOS!$G5698="EX",1,IF(DATOS!$G5698="OR",--(COUNTIFS(nNIA,DATOS!$A5698,nCURSO,DATOS!$D5698,nESPEC,DATOS!$E5698,nASIG,DATOS!$I5698,nEVAL,"EX")=0),0))))</f>
      </c>
      <c r="H5698">
        <f>IF(DATOS!$G5698&lt;&gt;"EX",0,--(COUNTIFS(nNIA,DATOS!$A5698,nCURSO,DATOS!$D5698,nESPEC,DATOS!$E5698,nASIG,DATOS!$I5698,nEVAL,"OR")=0))</f>
      </c>
      <c r="I5698">
        <f>IF(DATOS!$I5698="","",IFERROR(VLOOKUP(DATOS!$I5698,CONFIG_ASIGNATURAS!$B$2:$J$91,9,FALSE()),""))</f>
      </c>
    </row>
    <row r="5699">
      <c r="F5699">
        <f>IF(DATOS!$A5699="","",DATOS!$A5699&amp;"|"&amp;DATOS!$D5699&amp;"|"&amp;DATOS!$E5699&amp;"|"&amp;DATOS!$I5699)</f>
      </c>
      <c r="G5699">
        <f>IF(DATOS!$A5699="",0,IF(CONFIG_METADATA!$B$4&lt;&gt;"OR+EX",--(DATOS!$G5699=CONFIG_METADATA!$B$4),IF(DATOS!$G5699="EX",1,IF(DATOS!$G5699="OR",--(COUNTIFS(nNIA,DATOS!$A5699,nCURSO,DATOS!$D5699,nESPEC,DATOS!$E5699,nASIG,DATOS!$I5699,nEVAL,"EX")=0),0))))</f>
      </c>
      <c r="H5699">
        <f>IF(DATOS!$G5699&lt;&gt;"EX",0,--(COUNTIFS(nNIA,DATOS!$A5699,nCURSO,DATOS!$D5699,nESPEC,DATOS!$E5699,nASIG,DATOS!$I5699,nEVAL,"OR")=0))</f>
      </c>
      <c r="I5699">
        <f>IF(DATOS!$I5699="","",IFERROR(VLOOKUP(DATOS!$I5699,CONFIG_ASIGNATURAS!$B$2:$J$91,9,FALSE()),""))</f>
      </c>
    </row>
    <row r="5700">
      <c r="F5700">
        <f>IF(DATOS!$A5700="","",DATOS!$A5700&amp;"|"&amp;DATOS!$D5700&amp;"|"&amp;DATOS!$E5700&amp;"|"&amp;DATOS!$I5700)</f>
      </c>
      <c r="G5700">
        <f>IF(DATOS!$A5700="",0,IF(CONFIG_METADATA!$B$4&lt;&gt;"OR+EX",--(DATOS!$G5700=CONFIG_METADATA!$B$4),IF(DATOS!$G5700="EX",1,IF(DATOS!$G5700="OR",--(COUNTIFS(nNIA,DATOS!$A5700,nCURSO,DATOS!$D5700,nESPEC,DATOS!$E5700,nASIG,DATOS!$I5700,nEVAL,"EX")=0),0))))</f>
      </c>
      <c r="H5700">
        <f>IF(DATOS!$G5700&lt;&gt;"EX",0,--(COUNTIFS(nNIA,DATOS!$A5700,nCURSO,DATOS!$D5700,nESPEC,DATOS!$E5700,nASIG,DATOS!$I5700,nEVAL,"OR")=0))</f>
      </c>
      <c r="I5700">
        <f>IF(DATOS!$I5700="","",IFERROR(VLOOKUP(DATOS!$I5700,CONFIG_ASIGNATURAS!$B$2:$J$91,9,FALSE()),""))</f>
      </c>
    </row>
    <row r="5701">
      <c r="F5701">
        <f>IF(DATOS!$A5701="","",DATOS!$A5701&amp;"|"&amp;DATOS!$D5701&amp;"|"&amp;DATOS!$E5701&amp;"|"&amp;DATOS!$I5701)</f>
      </c>
      <c r="G5701">
        <f>IF(DATOS!$A5701="",0,IF(CONFIG_METADATA!$B$4&lt;&gt;"OR+EX",--(DATOS!$G5701=CONFIG_METADATA!$B$4),IF(DATOS!$G5701="EX",1,IF(DATOS!$G5701="OR",--(COUNTIFS(nNIA,DATOS!$A5701,nCURSO,DATOS!$D5701,nESPEC,DATOS!$E5701,nASIG,DATOS!$I5701,nEVAL,"EX")=0),0))))</f>
      </c>
      <c r="H5701">
        <f>IF(DATOS!$G5701&lt;&gt;"EX",0,--(COUNTIFS(nNIA,DATOS!$A5701,nCURSO,DATOS!$D5701,nESPEC,DATOS!$E5701,nASIG,DATOS!$I5701,nEVAL,"OR")=0))</f>
      </c>
      <c r="I5701">
        <f>IF(DATOS!$I5701="","",IFERROR(VLOOKUP(DATOS!$I5701,CONFIG_ASIGNATURAS!$B$2:$J$91,9,FALSE()),""))</f>
      </c>
    </row>
    <row r="5702">
      <c r="F5702">
        <f>IF(DATOS!$A5702="","",DATOS!$A5702&amp;"|"&amp;DATOS!$D5702&amp;"|"&amp;DATOS!$E5702&amp;"|"&amp;DATOS!$I5702)</f>
      </c>
      <c r="G5702">
        <f>IF(DATOS!$A5702="",0,IF(CONFIG_METADATA!$B$4&lt;&gt;"OR+EX",--(DATOS!$G5702=CONFIG_METADATA!$B$4),IF(DATOS!$G5702="EX",1,IF(DATOS!$G5702="OR",--(COUNTIFS(nNIA,DATOS!$A5702,nCURSO,DATOS!$D5702,nESPEC,DATOS!$E5702,nASIG,DATOS!$I5702,nEVAL,"EX")=0),0))))</f>
      </c>
      <c r="H5702">
        <f>IF(DATOS!$G5702&lt;&gt;"EX",0,--(COUNTIFS(nNIA,DATOS!$A5702,nCURSO,DATOS!$D5702,nESPEC,DATOS!$E5702,nASIG,DATOS!$I5702,nEVAL,"OR")=0))</f>
      </c>
      <c r="I5702">
        <f>IF(DATOS!$I5702="","",IFERROR(VLOOKUP(DATOS!$I5702,CONFIG_ASIGNATURAS!$B$2:$J$91,9,FALSE()),""))</f>
      </c>
    </row>
    <row r="5703">
      <c r="F5703">
        <f>IF(DATOS!$A5703="","",DATOS!$A5703&amp;"|"&amp;DATOS!$D5703&amp;"|"&amp;DATOS!$E5703&amp;"|"&amp;DATOS!$I5703)</f>
      </c>
      <c r="G5703">
        <f>IF(DATOS!$A5703="",0,IF(CONFIG_METADATA!$B$4&lt;&gt;"OR+EX",--(DATOS!$G5703=CONFIG_METADATA!$B$4),IF(DATOS!$G5703="EX",1,IF(DATOS!$G5703="OR",--(COUNTIFS(nNIA,DATOS!$A5703,nCURSO,DATOS!$D5703,nESPEC,DATOS!$E5703,nASIG,DATOS!$I5703,nEVAL,"EX")=0),0))))</f>
      </c>
      <c r="H5703">
        <f>IF(DATOS!$G5703&lt;&gt;"EX",0,--(COUNTIFS(nNIA,DATOS!$A5703,nCURSO,DATOS!$D5703,nESPEC,DATOS!$E5703,nASIG,DATOS!$I5703,nEVAL,"OR")=0))</f>
      </c>
      <c r="I5703">
        <f>IF(DATOS!$I5703="","",IFERROR(VLOOKUP(DATOS!$I5703,CONFIG_ASIGNATURAS!$B$2:$J$91,9,FALSE()),""))</f>
      </c>
    </row>
    <row r="5704">
      <c r="F5704">
        <f>IF(DATOS!$A5704="","",DATOS!$A5704&amp;"|"&amp;DATOS!$D5704&amp;"|"&amp;DATOS!$E5704&amp;"|"&amp;DATOS!$I5704)</f>
      </c>
      <c r="G5704">
        <f>IF(DATOS!$A5704="",0,IF(CONFIG_METADATA!$B$4&lt;&gt;"OR+EX",--(DATOS!$G5704=CONFIG_METADATA!$B$4),IF(DATOS!$G5704="EX",1,IF(DATOS!$G5704="OR",--(COUNTIFS(nNIA,DATOS!$A5704,nCURSO,DATOS!$D5704,nESPEC,DATOS!$E5704,nASIG,DATOS!$I5704,nEVAL,"EX")=0),0))))</f>
      </c>
      <c r="H5704">
        <f>IF(DATOS!$G5704&lt;&gt;"EX",0,--(COUNTIFS(nNIA,DATOS!$A5704,nCURSO,DATOS!$D5704,nESPEC,DATOS!$E5704,nASIG,DATOS!$I5704,nEVAL,"OR")=0))</f>
      </c>
      <c r="I5704">
        <f>IF(DATOS!$I5704="","",IFERROR(VLOOKUP(DATOS!$I5704,CONFIG_ASIGNATURAS!$B$2:$J$91,9,FALSE()),""))</f>
      </c>
    </row>
    <row r="5705">
      <c r="F5705">
        <f>IF(DATOS!$A5705="","",DATOS!$A5705&amp;"|"&amp;DATOS!$D5705&amp;"|"&amp;DATOS!$E5705&amp;"|"&amp;DATOS!$I5705)</f>
      </c>
      <c r="G5705">
        <f>IF(DATOS!$A5705="",0,IF(CONFIG_METADATA!$B$4&lt;&gt;"OR+EX",--(DATOS!$G5705=CONFIG_METADATA!$B$4),IF(DATOS!$G5705="EX",1,IF(DATOS!$G5705="OR",--(COUNTIFS(nNIA,DATOS!$A5705,nCURSO,DATOS!$D5705,nESPEC,DATOS!$E5705,nASIG,DATOS!$I5705,nEVAL,"EX")=0),0))))</f>
      </c>
      <c r="H5705">
        <f>IF(DATOS!$G5705&lt;&gt;"EX",0,--(COUNTIFS(nNIA,DATOS!$A5705,nCURSO,DATOS!$D5705,nESPEC,DATOS!$E5705,nASIG,DATOS!$I5705,nEVAL,"OR")=0))</f>
      </c>
      <c r="I5705">
        <f>IF(DATOS!$I5705="","",IFERROR(VLOOKUP(DATOS!$I5705,CONFIG_ASIGNATURAS!$B$2:$J$91,9,FALSE()),""))</f>
      </c>
    </row>
    <row r="5706">
      <c r="F5706">
        <f>IF(DATOS!$A5706="","",DATOS!$A5706&amp;"|"&amp;DATOS!$D5706&amp;"|"&amp;DATOS!$E5706&amp;"|"&amp;DATOS!$I5706)</f>
      </c>
      <c r="G5706">
        <f>IF(DATOS!$A5706="",0,IF(CONFIG_METADATA!$B$4&lt;&gt;"OR+EX",--(DATOS!$G5706=CONFIG_METADATA!$B$4),IF(DATOS!$G5706="EX",1,IF(DATOS!$G5706="OR",--(COUNTIFS(nNIA,DATOS!$A5706,nCURSO,DATOS!$D5706,nESPEC,DATOS!$E5706,nASIG,DATOS!$I5706,nEVAL,"EX")=0),0))))</f>
      </c>
      <c r="H5706">
        <f>IF(DATOS!$G5706&lt;&gt;"EX",0,--(COUNTIFS(nNIA,DATOS!$A5706,nCURSO,DATOS!$D5706,nESPEC,DATOS!$E5706,nASIG,DATOS!$I5706,nEVAL,"OR")=0))</f>
      </c>
      <c r="I5706">
        <f>IF(DATOS!$I5706="","",IFERROR(VLOOKUP(DATOS!$I5706,CONFIG_ASIGNATURAS!$B$2:$J$91,9,FALSE()),""))</f>
      </c>
    </row>
    <row r="5707">
      <c r="F5707">
        <f>IF(DATOS!$A5707="","",DATOS!$A5707&amp;"|"&amp;DATOS!$D5707&amp;"|"&amp;DATOS!$E5707&amp;"|"&amp;DATOS!$I5707)</f>
      </c>
      <c r="G5707">
        <f>IF(DATOS!$A5707="",0,IF(CONFIG_METADATA!$B$4&lt;&gt;"OR+EX",--(DATOS!$G5707=CONFIG_METADATA!$B$4),IF(DATOS!$G5707="EX",1,IF(DATOS!$G5707="OR",--(COUNTIFS(nNIA,DATOS!$A5707,nCURSO,DATOS!$D5707,nESPEC,DATOS!$E5707,nASIG,DATOS!$I5707,nEVAL,"EX")=0),0))))</f>
      </c>
      <c r="H5707">
        <f>IF(DATOS!$G5707&lt;&gt;"EX",0,--(COUNTIFS(nNIA,DATOS!$A5707,nCURSO,DATOS!$D5707,nESPEC,DATOS!$E5707,nASIG,DATOS!$I5707,nEVAL,"OR")=0))</f>
      </c>
      <c r="I5707">
        <f>IF(DATOS!$I5707="","",IFERROR(VLOOKUP(DATOS!$I5707,CONFIG_ASIGNATURAS!$B$2:$J$91,9,FALSE()),""))</f>
      </c>
    </row>
    <row r="5708">
      <c r="F5708">
        <f>IF(DATOS!$A5708="","",DATOS!$A5708&amp;"|"&amp;DATOS!$D5708&amp;"|"&amp;DATOS!$E5708&amp;"|"&amp;DATOS!$I5708)</f>
      </c>
      <c r="G5708">
        <f>IF(DATOS!$A5708="",0,IF(CONFIG_METADATA!$B$4&lt;&gt;"OR+EX",--(DATOS!$G5708=CONFIG_METADATA!$B$4),IF(DATOS!$G5708="EX",1,IF(DATOS!$G5708="OR",--(COUNTIFS(nNIA,DATOS!$A5708,nCURSO,DATOS!$D5708,nESPEC,DATOS!$E5708,nASIG,DATOS!$I5708,nEVAL,"EX")=0),0))))</f>
      </c>
      <c r="H5708">
        <f>IF(DATOS!$G5708&lt;&gt;"EX",0,--(COUNTIFS(nNIA,DATOS!$A5708,nCURSO,DATOS!$D5708,nESPEC,DATOS!$E5708,nASIG,DATOS!$I5708,nEVAL,"OR")=0))</f>
      </c>
      <c r="I5708">
        <f>IF(DATOS!$I5708="","",IFERROR(VLOOKUP(DATOS!$I5708,CONFIG_ASIGNATURAS!$B$2:$J$91,9,FALSE()),""))</f>
      </c>
    </row>
    <row r="5709">
      <c r="F5709">
        <f>IF(DATOS!$A5709="","",DATOS!$A5709&amp;"|"&amp;DATOS!$D5709&amp;"|"&amp;DATOS!$E5709&amp;"|"&amp;DATOS!$I5709)</f>
      </c>
      <c r="G5709">
        <f>IF(DATOS!$A5709="",0,IF(CONFIG_METADATA!$B$4&lt;&gt;"OR+EX",--(DATOS!$G5709=CONFIG_METADATA!$B$4),IF(DATOS!$G5709="EX",1,IF(DATOS!$G5709="OR",--(COUNTIFS(nNIA,DATOS!$A5709,nCURSO,DATOS!$D5709,nESPEC,DATOS!$E5709,nASIG,DATOS!$I5709,nEVAL,"EX")=0),0))))</f>
      </c>
      <c r="H5709">
        <f>IF(DATOS!$G5709&lt;&gt;"EX",0,--(COUNTIFS(nNIA,DATOS!$A5709,nCURSO,DATOS!$D5709,nESPEC,DATOS!$E5709,nASIG,DATOS!$I5709,nEVAL,"OR")=0))</f>
      </c>
      <c r="I5709">
        <f>IF(DATOS!$I5709="","",IFERROR(VLOOKUP(DATOS!$I5709,CONFIG_ASIGNATURAS!$B$2:$J$91,9,FALSE()),""))</f>
      </c>
    </row>
    <row r="5710">
      <c r="F5710">
        <f>IF(DATOS!$A5710="","",DATOS!$A5710&amp;"|"&amp;DATOS!$D5710&amp;"|"&amp;DATOS!$E5710&amp;"|"&amp;DATOS!$I5710)</f>
      </c>
      <c r="G5710">
        <f>IF(DATOS!$A5710="",0,IF(CONFIG_METADATA!$B$4&lt;&gt;"OR+EX",--(DATOS!$G5710=CONFIG_METADATA!$B$4),IF(DATOS!$G5710="EX",1,IF(DATOS!$G5710="OR",--(COUNTIFS(nNIA,DATOS!$A5710,nCURSO,DATOS!$D5710,nESPEC,DATOS!$E5710,nASIG,DATOS!$I5710,nEVAL,"EX")=0),0))))</f>
      </c>
      <c r="H5710">
        <f>IF(DATOS!$G5710&lt;&gt;"EX",0,--(COUNTIFS(nNIA,DATOS!$A5710,nCURSO,DATOS!$D5710,nESPEC,DATOS!$E5710,nASIG,DATOS!$I5710,nEVAL,"OR")=0))</f>
      </c>
      <c r="I5710">
        <f>IF(DATOS!$I5710="","",IFERROR(VLOOKUP(DATOS!$I5710,CONFIG_ASIGNATURAS!$B$2:$J$91,9,FALSE()),""))</f>
      </c>
    </row>
    <row r="5711">
      <c r="F5711">
        <f>IF(DATOS!$A5711="","",DATOS!$A5711&amp;"|"&amp;DATOS!$D5711&amp;"|"&amp;DATOS!$E5711&amp;"|"&amp;DATOS!$I5711)</f>
      </c>
      <c r="G5711">
        <f>IF(DATOS!$A5711="",0,IF(CONFIG_METADATA!$B$4&lt;&gt;"OR+EX",--(DATOS!$G5711=CONFIG_METADATA!$B$4),IF(DATOS!$G5711="EX",1,IF(DATOS!$G5711="OR",--(COUNTIFS(nNIA,DATOS!$A5711,nCURSO,DATOS!$D5711,nESPEC,DATOS!$E5711,nASIG,DATOS!$I5711,nEVAL,"EX")=0),0))))</f>
      </c>
      <c r="H5711">
        <f>IF(DATOS!$G5711&lt;&gt;"EX",0,--(COUNTIFS(nNIA,DATOS!$A5711,nCURSO,DATOS!$D5711,nESPEC,DATOS!$E5711,nASIG,DATOS!$I5711,nEVAL,"OR")=0))</f>
      </c>
      <c r="I5711">
        <f>IF(DATOS!$I5711="","",IFERROR(VLOOKUP(DATOS!$I5711,CONFIG_ASIGNATURAS!$B$2:$J$91,9,FALSE()),""))</f>
      </c>
    </row>
    <row r="5712">
      <c r="F5712">
        <f>IF(DATOS!$A5712="","",DATOS!$A5712&amp;"|"&amp;DATOS!$D5712&amp;"|"&amp;DATOS!$E5712&amp;"|"&amp;DATOS!$I5712)</f>
      </c>
      <c r="G5712">
        <f>IF(DATOS!$A5712="",0,IF(CONFIG_METADATA!$B$4&lt;&gt;"OR+EX",--(DATOS!$G5712=CONFIG_METADATA!$B$4),IF(DATOS!$G5712="EX",1,IF(DATOS!$G5712="OR",--(COUNTIFS(nNIA,DATOS!$A5712,nCURSO,DATOS!$D5712,nESPEC,DATOS!$E5712,nASIG,DATOS!$I5712,nEVAL,"EX")=0),0))))</f>
      </c>
      <c r="H5712">
        <f>IF(DATOS!$G5712&lt;&gt;"EX",0,--(COUNTIFS(nNIA,DATOS!$A5712,nCURSO,DATOS!$D5712,nESPEC,DATOS!$E5712,nASIG,DATOS!$I5712,nEVAL,"OR")=0))</f>
      </c>
      <c r="I5712">
        <f>IF(DATOS!$I5712="","",IFERROR(VLOOKUP(DATOS!$I5712,CONFIG_ASIGNATURAS!$B$2:$J$91,9,FALSE()),""))</f>
      </c>
    </row>
    <row r="5713">
      <c r="F5713">
        <f>IF(DATOS!$A5713="","",DATOS!$A5713&amp;"|"&amp;DATOS!$D5713&amp;"|"&amp;DATOS!$E5713&amp;"|"&amp;DATOS!$I5713)</f>
      </c>
      <c r="G5713">
        <f>IF(DATOS!$A5713="",0,IF(CONFIG_METADATA!$B$4&lt;&gt;"OR+EX",--(DATOS!$G5713=CONFIG_METADATA!$B$4),IF(DATOS!$G5713="EX",1,IF(DATOS!$G5713="OR",--(COUNTIFS(nNIA,DATOS!$A5713,nCURSO,DATOS!$D5713,nESPEC,DATOS!$E5713,nASIG,DATOS!$I5713,nEVAL,"EX")=0),0))))</f>
      </c>
      <c r="H5713">
        <f>IF(DATOS!$G5713&lt;&gt;"EX",0,--(COUNTIFS(nNIA,DATOS!$A5713,nCURSO,DATOS!$D5713,nESPEC,DATOS!$E5713,nASIG,DATOS!$I5713,nEVAL,"OR")=0))</f>
      </c>
      <c r="I5713">
        <f>IF(DATOS!$I5713="","",IFERROR(VLOOKUP(DATOS!$I5713,CONFIG_ASIGNATURAS!$B$2:$J$91,9,FALSE()),""))</f>
      </c>
    </row>
    <row r="5714">
      <c r="F5714">
        <f>IF(DATOS!$A5714="","",DATOS!$A5714&amp;"|"&amp;DATOS!$D5714&amp;"|"&amp;DATOS!$E5714&amp;"|"&amp;DATOS!$I5714)</f>
      </c>
      <c r="G5714">
        <f>IF(DATOS!$A5714="",0,IF(CONFIG_METADATA!$B$4&lt;&gt;"OR+EX",--(DATOS!$G5714=CONFIG_METADATA!$B$4),IF(DATOS!$G5714="EX",1,IF(DATOS!$G5714="OR",--(COUNTIFS(nNIA,DATOS!$A5714,nCURSO,DATOS!$D5714,nESPEC,DATOS!$E5714,nASIG,DATOS!$I5714,nEVAL,"EX")=0),0))))</f>
      </c>
      <c r="H5714">
        <f>IF(DATOS!$G5714&lt;&gt;"EX",0,--(COUNTIFS(nNIA,DATOS!$A5714,nCURSO,DATOS!$D5714,nESPEC,DATOS!$E5714,nASIG,DATOS!$I5714,nEVAL,"OR")=0))</f>
      </c>
      <c r="I5714">
        <f>IF(DATOS!$I5714="","",IFERROR(VLOOKUP(DATOS!$I5714,CONFIG_ASIGNATURAS!$B$2:$J$91,9,FALSE()),""))</f>
      </c>
    </row>
    <row r="5715">
      <c r="F5715">
        <f>IF(DATOS!$A5715="","",DATOS!$A5715&amp;"|"&amp;DATOS!$D5715&amp;"|"&amp;DATOS!$E5715&amp;"|"&amp;DATOS!$I5715)</f>
      </c>
      <c r="G5715">
        <f>IF(DATOS!$A5715="",0,IF(CONFIG_METADATA!$B$4&lt;&gt;"OR+EX",--(DATOS!$G5715=CONFIG_METADATA!$B$4),IF(DATOS!$G5715="EX",1,IF(DATOS!$G5715="OR",--(COUNTIFS(nNIA,DATOS!$A5715,nCURSO,DATOS!$D5715,nESPEC,DATOS!$E5715,nASIG,DATOS!$I5715,nEVAL,"EX")=0),0))))</f>
      </c>
      <c r="H5715">
        <f>IF(DATOS!$G5715&lt;&gt;"EX",0,--(COUNTIFS(nNIA,DATOS!$A5715,nCURSO,DATOS!$D5715,nESPEC,DATOS!$E5715,nASIG,DATOS!$I5715,nEVAL,"OR")=0))</f>
      </c>
      <c r="I5715">
        <f>IF(DATOS!$I5715="","",IFERROR(VLOOKUP(DATOS!$I5715,CONFIG_ASIGNATURAS!$B$2:$J$91,9,FALSE()),""))</f>
      </c>
    </row>
    <row r="5716">
      <c r="F5716">
        <f>IF(DATOS!$A5716="","",DATOS!$A5716&amp;"|"&amp;DATOS!$D5716&amp;"|"&amp;DATOS!$E5716&amp;"|"&amp;DATOS!$I5716)</f>
      </c>
      <c r="G5716">
        <f>IF(DATOS!$A5716="",0,IF(CONFIG_METADATA!$B$4&lt;&gt;"OR+EX",--(DATOS!$G5716=CONFIG_METADATA!$B$4),IF(DATOS!$G5716="EX",1,IF(DATOS!$G5716="OR",--(COUNTIFS(nNIA,DATOS!$A5716,nCURSO,DATOS!$D5716,nESPEC,DATOS!$E5716,nASIG,DATOS!$I5716,nEVAL,"EX")=0),0))))</f>
      </c>
      <c r="H5716">
        <f>IF(DATOS!$G5716&lt;&gt;"EX",0,--(COUNTIFS(nNIA,DATOS!$A5716,nCURSO,DATOS!$D5716,nESPEC,DATOS!$E5716,nASIG,DATOS!$I5716,nEVAL,"OR")=0))</f>
      </c>
      <c r="I5716">
        <f>IF(DATOS!$I5716="","",IFERROR(VLOOKUP(DATOS!$I5716,CONFIG_ASIGNATURAS!$B$2:$J$91,9,FALSE()),""))</f>
      </c>
    </row>
    <row r="5717">
      <c r="F5717">
        <f>IF(DATOS!$A5717="","",DATOS!$A5717&amp;"|"&amp;DATOS!$D5717&amp;"|"&amp;DATOS!$E5717&amp;"|"&amp;DATOS!$I5717)</f>
      </c>
      <c r="G5717">
        <f>IF(DATOS!$A5717="",0,IF(CONFIG_METADATA!$B$4&lt;&gt;"OR+EX",--(DATOS!$G5717=CONFIG_METADATA!$B$4),IF(DATOS!$G5717="EX",1,IF(DATOS!$G5717="OR",--(COUNTIFS(nNIA,DATOS!$A5717,nCURSO,DATOS!$D5717,nESPEC,DATOS!$E5717,nASIG,DATOS!$I5717,nEVAL,"EX")=0),0))))</f>
      </c>
      <c r="H5717">
        <f>IF(DATOS!$G5717&lt;&gt;"EX",0,--(COUNTIFS(nNIA,DATOS!$A5717,nCURSO,DATOS!$D5717,nESPEC,DATOS!$E5717,nASIG,DATOS!$I5717,nEVAL,"OR")=0))</f>
      </c>
      <c r="I5717">
        <f>IF(DATOS!$I5717="","",IFERROR(VLOOKUP(DATOS!$I5717,CONFIG_ASIGNATURAS!$B$2:$J$91,9,FALSE()),""))</f>
      </c>
    </row>
    <row r="5718">
      <c r="F5718">
        <f>IF(DATOS!$A5718="","",DATOS!$A5718&amp;"|"&amp;DATOS!$D5718&amp;"|"&amp;DATOS!$E5718&amp;"|"&amp;DATOS!$I5718)</f>
      </c>
      <c r="G5718">
        <f>IF(DATOS!$A5718="",0,IF(CONFIG_METADATA!$B$4&lt;&gt;"OR+EX",--(DATOS!$G5718=CONFIG_METADATA!$B$4),IF(DATOS!$G5718="EX",1,IF(DATOS!$G5718="OR",--(COUNTIFS(nNIA,DATOS!$A5718,nCURSO,DATOS!$D5718,nESPEC,DATOS!$E5718,nASIG,DATOS!$I5718,nEVAL,"EX")=0),0))))</f>
      </c>
      <c r="H5718">
        <f>IF(DATOS!$G5718&lt;&gt;"EX",0,--(COUNTIFS(nNIA,DATOS!$A5718,nCURSO,DATOS!$D5718,nESPEC,DATOS!$E5718,nASIG,DATOS!$I5718,nEVAL,"OR")=0))</f>
      </c>
      <c r="I5718">
        <f>IF(DATOS!$I5718="","",IFERROR(VLOOKUP(DATOS!$I5718,CONFIG_ASIGNATURAS!$B$2:$J$91,9,FALSE()),""))</f>
      </c>
    </row>
    <row r="5719">
      <c r="F5719">
        <f>IF(DATOS!$A5719="","",DATOS!$A5719&amp;"|"&amp;DATOS!$D5719&amp;"|"&amp;DATOS!$E5719&amp;"|"&amp;DATOS!$I5719)</f>
      </c>
      <c r="G5719">
        <f>IF(DATOS!$A5719="",0,IF(CONFIG_METADATA!$B$4&lt;&gt;"OR+EX",--(DATOS!$G5719=CONFIG_METADATA!$B$4),IF(DATOS!$G5719="EX",1,IF(DATOS!$G5719="OR",--(COUNTIFS(nNIA,DATOS!$A5719,nCURSO,DATOS!$D5719,nESPEC,DATOS!$E5719,nASIG,DATOS!$I5719,nEVAL,"EX")=0),0))))</f>
      </c>
      <c r="H5719">
        <f>IF(DATOS!$G5719&lt;&gt;"EX",0,--(COUNTIFS(nNIA,DATOS!$A5719,nCURSO,DATOS!$D5719,nESPEC,DATOS!$E5719,nASIG,DATOS!$I5719,nEVAL,"OR")=0))</f>
      </c>
      <c r="I5719">
        <f>IF(DATOS!$I5719="","",IFERROR(VLOOKUP(DATOS!$I5719,CONFIG_ASIGNATURAS!$B$2:$J$91,9,FALSE()),""))</f>
      </c>
    </row>
    <row r="5720">
      <c r="F5720">
        <f>IF(DATOS!$A5720="","",DATOS!$A5720&amp;"|"&amp;DATOS!$D5720&amp;"|"&amp;DATOS!$E5720&amp;"|"&amp;DATOS!$I5720)</f>
      </c>
      <c r="G5720">
        <f>IF(DATOS!$A5720="",0,IF(CONFIG_METADATA!$B$4&lt;&gt;"OR+EX",--(DATOS!$G5720=CONFIG_METADATA!$B$4),IF(DATOS!$G5720="EX",1,IF(DATOS!$G5720="OR",--(COUNTIFS(nNIA,DATOS!$A5720,nCURSO,DATOS!$D5720,nESPEC,DATOS!$E5720,nASIG,DATOS!$I5720,nEVAL,"EX")=0),0))))</f>
      </c>
      <c r="H5720">
        <f>IF(DATOS!$G5720&lt;&gt;"EX",0,--(COUNTIFS(nNIA,DATOS!$A5720,nCURSO,DATOS!$D5720,nESPEC,DATOS!$E5720,nASIG,DATOS!$I5720,nEVAL,"OR")=0))</f>
      </c>
      <c r="I5720">
        <f>IF(DATOS!$I5720="","",IFERROR(VLOOKUP(DATOS!$I5720,CONFIG_ASIGNATURAS!$B$2:$J$91,9,FALSE()),""))</f>
      </c>
    </row>
    <row r="5721">
      <c r="F5721">
        <f>IF(DATOS!$A5721="","",DATOS!$A5721&amp;"|"&amp;DATOS!$D5721&amp;"|"&amp;DATOS!$E5721&amp;"|"&amp;DATOS!$I5721)</f>
      </c>
      <c r="G5721">
        <f>IF(DATOS!$A5721="",0,IF(CONFIG_METADATA!$B$4&lt;&gt;"OR+EX",--(DATOS!$G5721=CONFIG_METADATA!$B$4),IF(DATOS!$G5721="EX",1,IF(DATOS!$G5721="OR",--(COUNTIFS(nNIA,DATOS!$A5721,nCURSO,DATOS!$D5721,nESPEC,DATOS!$E5721,nASIG,DATOS!$I5721,nEVAL,"EX")=0),0))))</f>
      </c>
      <c r="H5721">
        <f>IF(DATOS!$G5721&lt;&gt;"EX",0,--(COUNTIFS(nNIA,DATOS!$A5721,nCURSO,DATOS!$D5721,nESPEC,DATOS!$E5721,nASIG,DATOS!$I5721,nEVAL,"OR")=0))</f>
      </c>
      <c r="I5721">
        <f>IF(DATOS!$I5721="","",IFERROR(VLOOKUP(DATOS!$I5721,CONFIG_ASIGNATURAS!$B$2:$J$91,9,FALSE()),""))</f>
      </c>
    </row>
    <row r="5722">
      <c r="F5722">
        <f>IF(DATOS!$A5722="","",DATOS!$A5722&amp;"|"&amp;DATOS!$D5722&amp;"|"&amp;DATOS!$E5722&amp;"|"&amp;DATOS!$I5722)</f>
      </c>
      <c r="G5722">
        <f>IF(DATOS!$A5722="",0,IF(CONFIG_METADATA!$B$4&lt;&gt;"OR+EX",--(DATOS!$G5722=CONFIG_METADATA!$B$4),IF(DATOS!$G5722="EX",1,IF(DATOS!$G5722="OR",--(COUNTIFS(nNIA,DATOS!$A5722,nCURSO,DATOS!$D5722,nESPEC,DATOS!$E5722,nASIG,DATOS!$I5722,nEVAL,"EX")=0),0))))</f>
      </c>
      <c r="H5722">
        <f>IF(DATOS!$G5722&lt;&gt;"EX",0,--(COUNTIFS(nNIA,DATOS!$A5722,nCURSO,DATOS!$D5722,nESPEC,DATOS!$E5722,nASIG,DATOS!$I5722,nEVAL,"OR")=0))</f>
      </c>
      <c r="I5722">
        <f>IF(DATOS!$I5722="","",IFERROR(VLOOKUP(DATOS!$I5722,CONFIG_ASIGNATURAS!$B$2:$J$91,9,FALSE()),""))</f>
      </c>
    </row>
    <row r="5723">
      <c r="F5723">
        <f>IF(DATOS!$A5723="","",DATOS!$A5723&amp;"|"&amp;DATOS!$D5723&amp;"|"&amp;DATOS!$E5723&amp;"|"&amp;DATOS!$I5723)</f>
      </c>
      <c r="G5723">
        <f>IF(DATOS!$A5723="",0,IF(CONFIG_METADATA!$B$4&lt;&gt;"OR+EX",--(DATOS!$G5723=CONFIG_METADATA!$B$4),IF(DATOS!$G5723="EX",1,IF(DATOS!$G5723="OR",--(COUNTIFS(nNIA,DATOS!$A5723,nCURSO,DATOS!$D5723,nESPEC,DATOS!$E5723,nASIG,DATOS!$I5723,nEVAL,"EX")=0),0))))</f>
      </c>
      <c r="H5723">
        <f>IF(DATOS!$G5723&lt;&gt;"EX",0,--(COUNTIFS(nNIA,DATOS!$A5723,nCURSO,DATOS!$D5723,nESPEC,DATOS!$E5723,nASIG,DATOS!$I5723,nEVAL,"OR")=0))</f>
      </c>
      <c r="I5723">
        <f>IF(DATOS!$I5723="","",IFERROR(VLOOKUP(DATOS!$I5723,CONFIG_ASIGNATURAS!$B$2:$J$91,9,FALSE()),""))</f>
      </c>
    </row>
    <row r="5724">
      <c r="F5724">
        <f>IF(DATOS!$A5724="","",DATOS!$A5724&amp;"|"&amp;DATOS!$D5724&amp;"|"&amp;DATOS!$E5724&amp;"|"&amp;DATOS!$I5724)</f>
      </c>
      <c r="G5724">
        <f>IF(DATOS!$A5724="",0,IF(CONFIG_METADATA!$B$4&lt;&gt;"OR+EX",--(DATOS!$G5724=CONFIG_METADATA!$B$4),IF(DATOS!$G5724="EX",1,IF(DATOS!$G5724="OR",--(COUNTIFS(nNIA,DATOS!$A5724,nCURSO,DATOS!$D5724,nESPEC,DATOS!$E5724,nASIG,DATOS!$I5724,nEVAL,"EX")=0),0))))</f>
      </c>
      <c r="H5724">
        <f>IF(DATOS!$G5724&lt;&gt;"EX",0,--(COUNTIFS(nNIA,DATOS!$A5724,nCURSO,DATOS!$D5724,nESPEC,DATOS!$E5724,nASIG,DATOS!$I5724,nEVAL,"OR")=0))</f>
      </c>
      <c r="I5724">
        <f>IF(DATOS!$I5724="","",IFERROR(VLOOKUP(DATOS!$I5724,CONFIG_ASIGNATURAS!$B$2:$J$91,9,FALSE()),""))</f>
      </c>
    </row>
    <row r="5725">
      <c r="F5725">
        <f>IF(DATOS!$A5725="","",DATOS!$A5725&amp;"|"&amp;DATOS!$D5725&amp;"|"&amp;DATOS!$E5725&amp;"|"&amp;DATOS!$I5725)</f>
      </c>
      <c r="G5725">
        <f>IF(DATOS!$A5725="",0,IF(CONFIG_METADATA!$B$4&lt;&gt;"OR+EX",--(DATOS!$G5725=CONFIG_METADATA!$B$4),IF(DATOS!$G5725="EX",1,IF(DATOS!$G5725="OR",--(COUNTIFS(nNIA,DATOS!$A5725,nCURSO,DATOS!$D5725,nESPEC,DATOS!$E5725,nASIG,DATOS!$I5725,nEVAL,"EX")=0),0))))</f>
      </c>
      <c r="H5725">
        <f>IF(DATOS!$G5725&lt;&gt;"EX",0,--(COUNTIFS(nNIA,DATOS!$A5725,nCURSO,DATOS!$D5725,nESPEC,DATOS!$E5725,nASIG,DATOS!$I5725,nEVAL,"OR")=0))</f>
      </c>
      <c r="I5725">
        <f>IF(DATOS!$I5725="","",IFERROR(VLOOKUP(DATOS!$I5725,CONFIG_ASIGNATURAS!$B$2:$J$91,9,FALSE()),""))</f>
      </c>
    </row>
    <row r="5726">
      <c r="F5726">
        <f>IF(DATOS!$A5726="","",DATOS!$A5726&amp;"|"&amp;DATOS!$D5726&amp;"|"&amp;DATOS!$E5726&amp;"|"&amp;DATOS!$I5726)</f>
      </c>
      <c r="G5726">
        <f>IF(DATOS!$A5726="",0,IF(CONFIG_METADATA!$B$4&lt;&gt;"OR+EX",--(DATOS!$G5726=CONFIG_METADATA!$B$4),IF(DATOS!$G5726="EX",1,IF(DATOS!$G5726="OR",--(COUNTIFS(nNIA,DATOS!$A5726,nCURSO,DATOS!$D5726,nESPEC,DATOS!$E5726,nASIG,DATOS!$I5726,nEVAL,"EX")=0),0))))</f>
      </c>
      <c r="H5726">
        <f>IF(DATOS!$G5726&lt;&gt;"EX",0,--(COUNTIFS(nNIA,DATOS!$A5726,nCURSO,DATOS!$D5726,nESPEC,DATOS!$E5726,nASIG,DATOS!$I5726,nEVAL,"OR")=0))</f>
      </c>
      <c r="I5726">
        <f>IF(DATOS!$I5726="","",IFERROR(VLOOKUP(DATOS!$I5726,CONFIG_ASIGNATURAS!$B$2:$J$91,9,FALSE()),""))</f>
      </c>
    </row>
    <row r="5727">
      <c r="F5727">
        <f>IF(DATOS!$A5727="","",DATOS!$A5727&amp;"|"&amp;DATOS!$D5727&amp;"|"&amp;DATOS!$E5727&amp;"|"&amp;DATOS!$I5727)</f>
      </c>
      <c r="G5727">
        <f>IF(DATOS!$A5727="",0,IF(CONFIG_METADATA!$B$4&lt;&gt;"OR+EX",--(DATOS!$G5727=CONFIG_METADATA!$B$4),IF(DATOS!$G5727="EX",1,IF(DATOS!$G5727="OR",--(COUNTIFS(nNIA,DATOS!$A5727,nCURSO,DATOS!$D5727,nESPEC,DATOS!$E5727,nASIG,DATOS!$I5727,nEVAL,"EX")=0),0))))</f>
      </c>
      <c r="H5727">
        <f>IF(DATOS!$G5727&lt;&gt;"EX",0,--(COUNTIFS(nNIA,DATOS!$A5727,nCURSO,DATOS!$D5727,nESPEC,DATOS!$E5727,nASIG,DATOS!$I5727,nEVAL,"OR")=0))</f>
      </c>
      <c r="I5727">
        <f>IF(DATOS!$I5727="","",IFERROR(VLOOKUP(DATOS!$I5727,CONFIG_ASIGNATURAS!$B$2:$J$91,9,FALSE()),""))</f>
      </c>
    </row>
    <row r="5728">
      <c r="F5728">
        <f>IF(DATOS!$A5728="","",DATOS!$A5728&amp;"|"&amp;DATOS!$D5728&amp;"|"&amp;DATOS!$E5728&amp;"|"&amp;DATOS!$I5728)</f>
      </c>
      <c r="G5728">
        <f>IF(DATOS!$A5728="",0,IF(CONFIG_METADATA!$B$4&lt;&gt;"OR+EX",--(DATOS!$G5728=CONFIG_METADATA!$B$4),IF(DATOS!$G5728="EX",1,IF(DATOS!$G5728="OR",--(COUNTIFS(nNIA,DATOS!$A5728,nCURSO,DATOS!$D5728,nESPEC,DATOS!$E5728,nASIG,DATOS!$I5728,nEVAL,"EX")=0),0))))</f>
      </c>
      <c r="H5728">
        <f>IF(DATOS!$G5728&lt;&gt;"EX",0,--(COUNTIFS(nNIA,DATOS!$A5728,nCURSO,DATOS!$D5728,nESPEC,DATOS!$E5728,nASIG,DATOS!$I5728,nEVAL,"OR")=0))</f>
      </c>
      <c r="I5728">
        <f>IF(DATOS!$I5728="","",IFERROR(VLOOKUP(DATOS!$I5728,CONFIG_ASIGNATURAS!$B$2:$J$91,9,FALSE()),""))</f>
      </c>
    </row>
    <row r="5729">
      <c r="F5729">
        <f>IF(DATOS!$A5729="","",DATOS!$A5729&amp;"|"&amp;DATOS!$D5729&amp;"|"&amp;DATOS!$E5729&amp;"|"&amp;DATOS!$I5729)</f>
      </c>
      <c r="G5729">
        <f>IF(DATOS!$A5729="",0,IF(CONFIG_METADATA!$B$4&lt;&gt;"OR+EX",--(DATOS!$G5729=CONFIG_METADATA!$B$4),IF(DATOS!$G5729="EX",1,IF(DATOS!$G5729="OR",--(COUNTIFS(nNIA,DATOS!$A5729,nCURSO,DATOS!$D5729,nESPEC,DATOS!$E5729,nASIG,DATOS!$I5729,nEVAL,"EX")=0),0))))</f>
      </c>
      <c r="H5729">
        <f>IF(DATOS!$G5729&lt;&gt;"EX",0,--(COUNTIFS(nNIA,DATOS!$A5729,nCURSO,DATOS!$D5729,nESPEC,DATOS!$E5729,nASIG,DATOS!$I5729,nEVAL,"OR")=0))</f>
      </c>
      <c r="I5729">
        <f>IF(DATOS!$I5729="","",IFERROR(VLOOKUP(DATOS!$I5729,CONFIG_ASIGNATURAS!$B$2:$J$91,9,FALSE()),""))</f>
      </c>
    </row>
    <row r="5730">
      <c r="F5730">
        <f>IF(DATOS!$A5730="","",DATOS!$A5730&amp;"|"&amp;DATOS!$D5730&amp;"|"&amp;DATOS!$E5730&amp;"|"&amp;DATOS!$I5730)</f>
      </c>
      <c r="G5730">
        <f>IF(DATOS!$A5730="",0,IF(CONFIG_METADATA!$B$4&lt;&gt;"OR+EX",--(DATOS!$G5730=CONFIG_METADATA!$B$4),IF(DATOS!$G5730="EX",1,IF(DATOS!$G5730="OR",--(COUNTIFS(nNIA,DATOS!$A5730,nCURSO,DATOS!$D5730,nESPEC,DATOS!$E5730,nASIG,DATOS!$I5730,nEVAL,"EX")=0),0))))</f>
      </c>
      <c r="H5730">
        <f>IF(DATOS!$G5730&lt;&gt;"EX",0,--(COUNTIFS(nNIA,DATOS!$A5730,nCURSO,DATOS!$D5730,nESPEC,DATOS!$E5730,nASIG,DATOS!$I5730,nEVAL,"OR")=0))</f>
      </c>
      <c r="I5730">
        <f>IF(DATOS!$I5730="","",IFERROR(VLOOKUP(DATOS!$I5730,CONFIG_ASIGNATURAS!$B$2:$J$91,9,FALSE()),""))</f>
      </c>
    </row>
    <row r="5731">
      <c r="F5731">
        <f>IF(DATOS!$A5731="","",DATOS!$A5731&amp;"|"&amp;DATOS!$D5731&amp;"|"&amp;DATOS!$E5731&amp;"|"&amp;DATOS!$I5731)</f>
      </c>
      <c r="G5731">
        <f>IF(DATOS!$A5731="",0,IF(CONFIG_METADATA!$B$4&lt;&gt;"OR+EX",--(DATOS!$G5731=CONFIG_METADATA!$B$4),IF(DATOS!$G5731="EX",1,IF(DATOS!$G5731="OR",--(COUNTIFS(nNIA,DATOS!$A5731,nCURSO,DATOS!$D5731,nESPEC,DATOS!$E5731,nASIG,DATOS!$I5731,nEVAL,"EX")=0),0))))</f>
      </c>
      <c r="H5731">
        <f>IF(DATOS!$G5731&lt;&gt;"EX",0,--(COUNTIFS(nNIA,DATOS!$A5731,nCURSO,DATOS!$D5731,nESPEC,DATOS!$E5731,nASIG,DATOS!$I5731,nEVAL,"OR")=0))</f>
      </c>
      <c r="I5731">
        <f>IF(DATOS!$I5731="","",IFERROR(VLOOKUP(DATOS!$I5731,CONFIG_ASIGNATURAS!$B$2:$J$91,9,FALSE()),""))</f>
      </c>
    </row>
    <row r="5732">
      <c r="F5732">
        <f>IF(DATOS!$A5732="","",DATOS!$A5732&amp;"|"&amp;DATOS!$D5732&amp;"|"&amp;DATOS!$E5732&amp;"|"&amp;DATOS!$I5732)</f>
      </c>
      <c r="G5732">
        <f>IF(DATOS!$A5732="",0,IF(CONFIG_METADATA!$B$4&lt;&gt;"OR+EX",--(DATOS!$G5732=CONFIG_METADATA!$B$4),IF(DATOS!$G5732="EX",1,IF(DATOS!$G5732="OR",--(COUNTIFS(nNIA,DATOS!$A5732,nCURSO,DATOS!$D5732,nESPEC,DATOS!$E5732,nASIG,DATOS!$I5732,nEVAL,"EX")=0),0))))</f>
      </c>
      <c r="H5732">
        <f>IF(DATOS!$G5732&lt;&gt;"EX",0,--(COUNTIFS(nNIA,DATOS!$A5732,nCURSO,DATOS!$D5732,nESPEC,DATOS!$E5732,nASIG,DATOS!$I5732,nEVAL,"OR")=0))</f>
      </c>
      <c r="I5732">
        <f>IF(DATOS!$I5732="","",IFERROR(VLOOKUP(DATOS!$I5732,CONFIG_ASIGNATURAS!$B$2:$J$91,9,FALSE()),""))</f>
      </c>
    </row>
    <row r="5733">
      <c r="F5733">
        <f>IF(DATOS!$A5733="","",DATOS!$A5733&amp;"|"&amp;DATOS!$D5733&amp;"|"&amp;DATOS!$E5733&amp;"|"&amp;DATOS!$I5733)</f>
      </c>
      <c r="G5733">
        <f>IF(DATOS!$A5733="",0,IF(CONFIG_METADATA!$B$4&lt;&gt;"OR+EX",--(DATOS!$G5733=CONFIG_METADATA!$B$4),IF(DATOS!$G5733="EX",1,IF(DATOS!$G5733="OR",--(COUNTIFS(nNIA,DATOS!$A5733,nCURSO,DATOS!$D5733,nESPEC,DATOS!$E5733,nASIG,DATOS!$I5733,nEVAL,"EX")=0),0))))</f>
      </c>
      <c r="H5733">
        <f>IF(DATOS!$G5733&lt;&gt;"EX",0,--(COUNTIFS(nNIA,DATOS!$A5733,nCURSO,DATOS!$D5733,nESPEC,DATOS!$E5733,nASIG,DATOS!$I5733,nEVAL,"OR")=0))</f>
      </c>
      <c r="I5733">
        <f>IF(DATOS!$I5733="","",IFERROR(VLOOKUP(DATOS!$I5733,CONFIG_ASIGNATURAS!$B$2:$J$91,9,FALSE()),""))</f>
      </c>
    </row>
    <row r="5734">
      <c r="F5734">
        <f>IF(DATOS!$A5734="","",DATOS!$A5734&amp;"|"&amp;DATOS!$D5734&amp;"|"&amp;DATOS!$E5734&amp;"|"&amp;DATOS!$I5734)</f>
      </c>
      <c r="G5734">
        <f>IF(DATOS!$A5734="",0,IF(CONFIG_METADATA!$B$4&lt;&gt;"OR+EX",--(DATOS!$G5734=CONFIG_METADATA!$B$4),IF(DATOS!$G5734="EX",1,IF(DATOS!$G5734="OR",--(COUNTIFS(nNIA,DATOS!$A5734,nCURSO,DATOS!$D5734,nESPEC,DATOS!$E5734,nASIG,DATOS!$I5734,nEVAL,"EX")=0),0))))</f>
      </c>
      <c r="H5734">
        <f>IF(DATOS!$G5734&lt;&gt;"EX",0,--(COUNTIFS(nNIA,DATOS!$A5734,nCURSO,DATOS!$D5734,nESPEC,DATOS!$E5734,nASIG,DATOS!$I5734,nEVAL,"OR")=0))</f>
      </c>
      <c r="I5734">
        <f>IF(DATOS!$I5734="","",IFERROR(VLOOKUP(DATOS!$I5734,CONFIG_ASIGNATURAS!$B$2:$J$91,9,FALSE()),""))</f>
      </c>
    </row>
    <row r="5735">
      <c r="F5735">
        <f>IF(DATOS!$A5735="","",DATOS!$A5735&amp;"|"&amp;DATOS!$D5735&amp;"|"&amp;DATOS!$E5735&amp;"|"&amp;DATOS!$I5735)</f>
      </c>
      <c r="G5735">
        <f>IF(DATOS!$A5735="",0,IF(CONFIG_METADATA!$B$4&lt;&gt;"OR+EX",--(DATOS!$G5735=CONFIG_METADATA!$B$4),IF(DATOS!$G5735="EX",1,IF(DATOS!$G5735="OR",--(COUNTIFS(nNIA,DATOS!$A5735,nCURSO,DATOS!$D5735,nESPEC,DATOS!$E5735,nASIG,DATOS!$I5735,nEVAL,"EX")=0),0))))</f>
      </c>
      <c r="H5735">
        <f>IF(DATOS!$G5735&lt;&gt;"EX",0,--(COUNTIFS(nNIA,DATOS!$A5735,nCURSO,DATOS!$D5735,nESPEC,DATOS!$E5735,nASIG,DATOS!$I5735,nEVAL,"OR")=0))</f>
      </c>
      <c r="I5735">
        <f>IF(DATOS!$I5735="","",IFERROR(VLOOKUP(DATOS!$I5735,CONFIG_ASIGNATURAS!$B$2:$J$91,9,FALSE()),""))</f>
      </c>
    </row>
    <row r="5736">
      <c r="F5736">
        <f>IF(DATOS!$A5736="","",DATOS!$A5736&amp;"|"&amp;DATOS!$D5736&amp;"|"&amp;DATOS!$E5736&amp;"|"&amp;DATOS!$I5736)</f>
      </c>
      <c r="G5736">
        <f>IF(DATOS!$A5736="",0,IF(CONFIG_METADATA!$B$4&lt;&gt;"OR+EX",--(DATOS!$G5736=CONFIG_METADATA!$B$4),IF(DATOS!$G5736="EX",1,IF(DATOS!$G5736="OR",--(COUNTIFS(nNIA,DATOS!$A5736,nCURSO,DATOS!$D5736,nESPEC,DATOS!$E5736,nASIG,DATOS!$I5736,nEVAL,"EX")=0),0))))</f>
      </c>
      <c r="H5736">
        <f>IF(DATOS!$G5736&lt;&gt;"EX",0,--(COUNTIFS(nNIA,DATOS!$A5736,nCURSO,DATOS!$D5736,nESPEC,DATOS!$E5736,nASIG,DATOS!$I5736,nEVAL,"OR")=0))</f>
      </c>
      <c r="I5736">
        <f>IF(DATOS!$I5736="","",IFERROR(VLOOKUP(DATOS!$I5736,CONFIG_ASIGNATURAS!$B$2:$J$91,9,FALSE()),""))</f>
      </c>
    </row>
    <row r="5737">
      <c r="F5737">
        <f>IF(DATOS!$A5737="","",DATOS!$A5737&amp;"|"&amp;DATOS!$D5737&amp;"|"&amp;DATOS!$E5737&amp;"|"&amp;DATOS!$I5737)</f>
      </c>
      <c r="G5737">
        <f>IF(DATOS!$A5737="",0,IF(CONFIG_METADATA!$B$4&lt;&gt;"OR+EX",--(DATOS!$G5737=CONFIG_METADATA!$B$4),IF(DATOS!$G5737="EX",1,IF(DATOS!$G5737="OR",--(COUNTIFS(nNIA,DATOS!$A5737,nCURSO,DATOS!$D5737,nESPEC,DATOS!$E5737,nASIG,DATOS!$I5737,nEVAL,"EX")=0),0))))</f>
      </c>
      <c r="H5737">
        <f>IF(DATOS!$G5737&lt;&gt;"EX",0,--(COUNTIFS(nNIA,DATOS!$A5737,nCURSO,DATOS!$D5737,nESPEC,DATOS!$E5737,nASIG,DATOS!$I5737,nEVAL,"OR")=0))</f>
      </c>
      <c r="I5737">
        <f>IF(DATOS!$I5737="","",IFERROR(VLOOKUP(DATOS!$I5737,CONFIG_ASIGNATURAS!$B$2:$J$91,9,FALSE()),""))</f>
      </c>
    </row>
    <row r="5738">
      <c r="F5738">
        <f>IF(DATOS!$A5738="","",DATOS!$A5738&amp;"|"&amp;DATOS!$D5738&amp;"|"&amp;DATOS!$E5738&amp;"|"&amp;DATOS!$I5738)</f>
      </c>
      <c r="G5738">
        <f>IF(DATOS!$A5738="",0,IF(CONFIG_METADATA!$B$4&lt;&gt;"OR+EX",--(DATOS!$G5738=CONFIG_METADATA!$B$4),IF(DATOS!$G5738="EX",1,IF(DATOS!$G5738="OR",--(COUNTIFS(nNIA,DATOS!$A5738,nCURSO,DATOS!$D5738,nESPEC,DATOS!$E5738,nASIG,DATOS!$I5738,nEVAL,"EX")=0),0))))</f>
      </c>
      <c r="H5738">
        <f>IF(DATOS!$G5738&lt;&gt;"EX",0,--(COUNTIFS(nNIA,DATOS!$A5738,nCURSO,DATOS!$D5738,nESPEC,DATOS!$E5738,nASIG,DATOS!$I5738,nEVAL,"OR")=0))</f>
      </c>
      <c r="I5738">
        <f>IF(DATOS!$I5738="","",IFERROR(VLOOKUP(DATOS!$I5738,CONFIG_ASIGNATURAS!$B$2:$J$91,9,FALSE()),""))</f>
      </c>
    </row>
    <row r="5739">
      <c r="F5739">
        <f>IF(DATOS!$A5739="","",DATOS!$A5739&amp;"|"&amp;DATOS!$D5739&amp;"|"&amp;DATOS!$E5739&amp;"|"&amp;DATOS!$I5739)</f>
      </c>
      <c r="G5739">
        <f>IF(DATOS!$A5739="",0,IF(CONFIG_METADATA!$B$4&lt;&gt;"OR+EX",--(DATOS!$G5739=CONFIG_METADATA!$B$4),IF(DATOS!$G5739="EX",1,IF(DATOS!$G5739="OR",--(COUNTIFS(nNIA,DATOS!$A5739,nCURSO,DATOS!$D5739,nESPEC,DATOS!$E5739,nASIG,DATOS!$I5739,nEVAL,"EX")=0),0))))</f>
      </c>
      <c r="H5739">
        <f>IF(DATOS!$G5739&lt;&gt;"EX",0,--(COUNTIFS(nNIA,DATOS!$A5739,nCURSO,DATOS!$D5739,nESPEC,DATOS!$E5739,nASIG,DATOS!$I5739,nEVAL,"OR")=0))</f>
      </c>
      <c r="I5739">
        <f>IF(DATOS!$I5739="","",IFERROR(VLOOKUP(DATOS!$I5739,CONFIG_ASIGNATURAS!$B$2:$J$91,9,FALSE()),""))</f>
      </c>
    </row>
    <row r="5740">
      <c r="F5740">
        <f>IF(DATOS!$A5740="","",DATOS!$A5740&amp;"|"&amp;DATOS!$D5740&amp;"|"&amp;DATOS!$E5740&amp;"|"&amp;DATOS!$I5740)</f>
      </c>
      <c r="G5740">
        <f>IF(DATOS!$A5740="",0,IF(CONFIG_METADATA!$B$4&lt;&gt;"OR+EX",--(DATOS!$G5740=CONFIG_METADATA!$B$4),IF(DATOS!$G5740="EX",1,IF(DATOS!$G5740="OR",--(COUNTIFS(nNIA,DATOS!$A5740,nCURSO,DATOS!$D5740,nESPEC,DATOS!$E5740,nASIG,DATOS!$I5740,nEVAL,"EX")=0),0))))</f>
      </c>
      <c r="H5740">
        <f>IF(DATOS!$G5740&lt;&gt;"EX",0,--(COUNTIFS(nNIA,DATOS!$A5740,nCURSO,DATOS!$D5740,nESPEC,DATOS!$E5740,nASIG,DATOS!$I5740,nEVAL,"OR")=0))</f>
      </c>
      <c r="I5740">
        <f>IF(DATOS!$I5740="","",IFERROR(VLOOKUP(DATOS!$I5740,CONFIG_ASIGNATURAS!$B$2:$J$91,9,FALSE()),""))</f>
      </c>
    </row>
    <row r="5741">
      <c r="F5741">
        <f>IF(DATOS!$A5741="","",DATOS!$A5741&amp;"|"&amp;DATOS!$D5741&amp;"|"&amp;DATOS!$E5741&amp;"|"&amp;DATOS!$I5741)</f>
      </c>
      <c r="G5741">
        <f>IF(DATOS!$A5741="",0,IF(CONFIG_METADATA!$B$4&lt;&gt;"OR+EX",--(DATOS!$G5741=CONFIG_METADATA!$B$4),IF(DATOS!$G5741="EX",1,IF(DATOS!$G5741="OR",--(COUNTIFS(nNIA,DATOS!$A5741,nCURSO,DATOS!$D5741,nESPEC,DATOS!$E5741,nASIG,DATOS!$I5741,nEVAL,"EX")=0),0))))</f>
      </c>
      <c r="H5741">
        <f>IF(DATOS!$G5741&lt;&gt;"EX",0,--(COUNTIFS(nNIA,DATOS!$A5741,nCURSO,DATOS!$D5741,nESPEC,DATOS!$E5741,nASIG,DATOS!$I5741,nEVAL,"OR")=0))</f>
      </c>
      <c r="I5741">
        <f>IF(DATOS!$I5741="","",IFERROR(VLOOKUP(DATOS!$I5741,CONFIG_ASIGNATURAS!$B$2:$J$91,9,FALSE()),""))</f>
      </c>
    </row>
    <row r="5742">
      <c r="F5742">
        <f>IF(DATOS!$A5742="","",DATOS!$A5742&amp;"|"&amp;DATOS!$D5742&amp;"|"&amp;DATOS!$E5742&amp;"|"&amp;DATOS!$I5742)</f>
      </c>
      <c r="G5742">
        <f>IF(DATOS!$A5742="",0,IF(CONFIG_METADATA!$B$4&lt;&gt;"OR+EX",--(DATOS!$G5742=CONFIG_METADATA!$B$4),IF(DATOS!$G5742="EX",1,IF(DATOS!$G5742="OR",--(COUNTIFS(nNIA,DATOS!$A5742,nCURSO,DATOS!$D5742,nESPEC,DATOS!$E5742,nASIG,DATOS!$I5742,nEVAL,"EX")=0),0))))</f>
      </c>
      <c r="H5742">
        <f>IF(DATOS!$G5742&lt;&gt;"EX",0,--(COUNTIFS(nNIA,DATOS!$A5742,nCURSO,DATOS!$D5742,nESPEC,DATOS!$E5742,nASIG,DATOS!$I5742,nEVAL,"OR")=0))</f>
      </c>
      <c r="I5742">
        <f>IF(DATOS!$I5742="","",IFERROR(VLOOKUP(DATOS!$I5742,CONFIG_ASIGNATURAS!$B$2:$J$91,9,FALSE()),""))</f>
      </c>
    </row>
    <row r="5743">
      <c r="F5743">
        <f>IF(DATOS!$A5743="","",DATOS!$A5743&amp;"|"&amp;DATOS!$D5743&amp;"|"&amp;DATOS!$E5743&amp;"|"&amp;DATOS!$I5743)</f>
      </c>
      <c r="G5743">
        <f>IF(DATOS!$A5743="",0,IF(CONFIG_METADATA!$B$4&lt;&gt;"OR+EX",--(DATOS!$G5743=CONFIG_METADATA!$B$4),IF(DATOS!$G5743="EX",1,IF(DATOS!$G5743="OR",--(COUNTIFS(nNIA,DATOS!$A5743,nCURSO,DATOS!$D5743,nESPEC,DATOS!$E5743,nASIG,DATOS!$I5743,nEVAL,"EX")=0),0))))</f>
      </c>
      <c r="H5743">
        <f>IF(DATOS!$G5743&lt;&gt;"EX",0,--(COUNTIFS(nNIA,DATOS!$A5743,nCURSO,DATOS!$D5743,nESPEC,DATOS!$E5743,nASIG,DATOS!$I5743,nEVAL,"OR")=0))</f>
      </c>
      <c r="I5743">
        <f>IF(DATOS!$I5743="","",IFERROR(VLOOKUP(DATOS!$I5743,CONFIG_ASIGNATURAS!$B$2:$J$91,9,FALSE()),""))</f>
      </c>
    </row>
    <row r="5744">
      <c r="F5744">
        <f>IF(DATOS!$A5744="","",DATOS!$A5744&amp;"|"&amp;DATOS!$D5744&amp;"|"&amp;DATOS!$E5744&amp;"|"&amp;DATOS!$I5744)</f>
      </c>
      <c r="G5744">
        <f>IF(DATOS!$A5744="",0,IF(CONFIG_METADATA!$B$4&lt;&gt;"OR+EX",--(DATOS!$G5744=CONFIG_METADATA!$B$4),IF(DATOS!$G5744="EX",1,IF(DATOS!$G5744="OR",--(COUNTIFS(nNIA,DATOS!$A5744,nCURSO,DATOS!$D5744,nESPEC,DATOS!$E5744,nASIG,DATOS!$I5744,nEVAL,"EX")=0),0))))</f>
      </c>
      <c r="H5744">
        <f>IF(DATOS!$G5744&lt;&gt;"EX",0,--(COUNTIFS(nNIA,DATOS!$A5744,nCURSO,DATOS!$D5744,nESPEC,DATOS!$E5744,nASIG,DATOS!$I5744,nEVAL,"OR")=0))</f>
      </c>
      <c r="I5744">
        <f>IF(DATOS!$I5744="","",IFERROR(VLOOKUP(DATOS!$I5744,CONFIG_ASIGNATURAS!$B$2:$J$91,9,FALSE()),""))</f>
      </c>
    </row>
    <row r="5745">
      <c r="F5745">
        <f>IF(DATOS!$A5745="","",DATOS!$A5745&amp;"|"&amp;DATOS!$D5745&amp;"|"&amp;DATOS!$E5745&amp;"|"&amp;DATOS!$I5745)</f>
      </c>
      <c r="G5745">
        <f>IF(DATOS!$A5745="",0,IF(CONFIG_METADATA!$B$4&lt;&gt;"OR+EX",--(DATOS!$G5745=CONFIG_METADATA!$B$4),IF(DATOS!$G5745="EX",1,IF(DATOS!$G5745="OR",--(COUNTIFS(nNIA,DATOS!$A5745,nCURSO,DATOS!$D5745,nESPEC,DATOS!$E5745,nASIG,DATOS!$I5745,nEVAL,"EX")=0),0))))</f>
      </c>
      <c r="H5745">
        <f>IF(DATOS!$G5745&lt;&gt;"EX",0,--(COUNTIFS(nNIA,DATOS!$A5745,nCURSO,DATOS!$D5745,nESPEC,DATOS!$E5745,nASIG,DATOS!$I5745,nEVAL,"OR")=0))</f>
      </c>
      <c r="I5745">
        <f>IF(DATOS!$I5745="","",IFERROR(VLOOKUP(DATOS!$I5745,CONFIG_ASIGNATURAS!$B$2:$J$91,9,FALSE()),""))</f>
      </c>
    </row>
    <row r="5746">
      <c r="F5746">
        <f>IF(DATOS!$A5746="","",DATOS!$A5746&amp;"|"&amp;DATOS!$D5746&amp;"|"&amp;DATOS!$E5746&amp;"|"&amp;DATOS!$I5746)</f>
      </c>
      <c r="G5746">
        <f>IF(DATOS!$A5746="",0,IF(CONFIG_METADATA!$B$4&lt;&gt;"OR+EX",--(DATOS!$G5746=CONFIG_METADATA!$B$4),IF(DATOS!$G5746="EX",1,IF(DATOS!$G5746="OR",--(COUNTIFS(nNIA,DATOS!$A5746,nCURSO,DATOS!$D5746,nESPEC,DATOS!$E5746,nASIG,DATOS!$I5746,nEVAL,"EX")=0),0))))</f>
      </c>
      <c r="H5746">
        <f>IF(DATOS!$G5746&lt;&gt;"EX",0,--(COUNTIFS(nNIA,DATOS!$A5746,nCURSO,DATOS!$D5746,nESPEC,DATOS!$E5746,nASIG,DATOS!$I5746,nEVAL,"OR")=0))</f>
      </c>
      <c r="I5746">
        <f>IF(DATOS!$I5746="","",IFERROR(VLOOKUP(DATOS!$I5746,CONFIG_ASIGNATURAS!$B$2:$J$91,9,FALSE()),""))</f>
      </c>
    </row>
    <row r="5747">
      <c r="F5747">
        <f>IF(DATOS!$A5747="","",DATOS!$A5747&amp;"|"&amp;DATOS!$D5747&amp;"|"&amp;DATOS!$E5747&amp;"|"&amp;DATOS!$I5747)</f>
      </c>
      <c r="G5747">
        <f>IF(DATOS!$A5747="",0,IF(CONFIG_METADATA!$B$4&lt;&gt;"OR+EX",--(DATOS!$G5747=CONFIG_METADATA!$B$4),IF(DATOS!$G5747="EX",1,IF(DATOS!$G5747="OR",--(COUNTIFS(nNIA,DATOS!$A5747,nCURSO,DATOS!$D5747,nESPEC,DATOS!$E5747,nASIG,DATOS!$I5747,nEVAL,"EX")=0),0))))</f>
      </c>
      <c r="H5747">
        <f>IF(DATOS!$G5747&lt;&gt;"EX",0,--(COUNTIFS(nNIA,DATOS!$A5747,nCURSO,DATOS!$D5747,nESPEC,DATOS!$E5747,nASIG,DATOS!$I5747,nEVAL,"OR")=0))</f>
      </c>
      <c r="I5747">
        <f>IF(DATOS!$I5747="","",IFERROR(VLOOKUP(DATOS!$I5747,CONFIG_ASIGNATURAS!$B$2:$J$91,9,FALSE()),""))</f>
      </c>
    </row>
    <row r="5748">
      <c r="F5748">
        <f>IF(DATOS!$A5748="","",DATOS!$A5748&amp;"|"&amp;DATOS!$D5748&amp;"|"&amp;DATOS!$E5748&amp;"|"&amp;DATOS!$I5748)</f>
      </c>
      <c r="G5748">
        <f>IF(DATOS!$A5748="",0,IF(CONFIG_METADATA!$B$4&lt;&gt;"OR+EX",--(DATOS!$G5748=CONFIG_METADATA!$B$4),IF(DATOS!$G5748="EX",1,IF(DATOS!$G5748="OR",--(COUNTIFS(nNIA,DATOS!$A5748,nCURSO,DATOS!$D5748,nESPEC,DATOS!$E5748,nASIG,DATOS!$I5748,nEVAL,"EX")=0),0))))</f>
      </c>
      <c r="H5748">
        <f>IF(DATOS!$G5748&lt;&gt;"EX",0,--(COUNTIFS(nNIA,DATOS!$A5748,nCURSO,DATOS!$D5748,nESPEC,DATOS!$E5748,nASIG,DATOS!$I5748,nEVAL,"OR")=0))</f>
      </c>
      <c r="I5748">
        <f>IF(DATOS!$I5748="","",IFERROR(VLOOKUP(DATOS!$I5748,CONFIG_ASIGNATURAS!$B$2:$J$91,9,FALSE()),""))</f>
      </c>
    </row>
    <row r="5749">
      <c r="F5749">
        <f>IF(DATOS!$A5749="","",DATOS!$A5749&amp;"|"&amp;DATOS!$D5749&amp;"|"&amp;DATOS!$E5749&amp;"|"&amp;DATOS!$I5749)</f>
      </c>
      <c r="G5749">
        <f>IF(DATOS!$A5749="",0,IF(CONFIG_METADATA!$B$4&lt;&gt;"OR+EX",--(DATOS!$G5749=CONFIG_METADATA!$B$4),IF(DATOS!$G5749="EX",1,IF(DATOS!$G5749="OR",--(COUNTIFS(nNIA,DATOS!$A5749,nCURSO,DATOS!$D5749,nESPEC,DATOS!$E5749,nASIG,DATOS!$I5749,nEVAL,"EX")=0),0))))</f>
      </c>
      <c r="H5749">
        <f>IF(DATOS!$G5749&lt;&gt;"EX",0,--(COUNTIFS(nNIA,DATOS!$A5749,nCURSO,DATOS!$D5749,nESPEC,DATOS!$E5749,nASIG,DATOS!$I5749,nEVAL,"OR")=0))</f>
      </c>
      <c r="I5749">
        <f>IF(DATOS!$I5749="","",IFERROR(VLOOKUP(DATOS!$I5749,CONFIG_ASIGNATURAS!$B$2:$J$91,9,FALSE()),""))</f>
      </c>
    </row>
    <row r="5750">
      <c r="F5750">
        <f>IF(DATOS!$A5750="","",DATOS!$A5750&amp;"|"&amp;DATOS!$D5750&amp;"|"&amp;DATOS!$E5750&amp;"|"&amp;DATOS!$I5750)</f>
      </c>
      <c r="G5750">
        <f>IF(DATOS!$A5750="",0,IF(CONFIG_METADATA!$B$4&lt;&gt;"OR+EX",--(DATOS!$G5750=CONFIG_METADATA!$B$4),IF(DATOS!$G5750="EX",1,IF(DATOS!$G5750="OR",--(COUNTIFS(nNIA,DATOS!$A5750,nCURSO,DATOS!$D5750,nESPEC,DATOS!$E5750,nASIG,DATOS!$I5750,nEVAL,"EX")=0),0))))</f>
      </c>
      <c r="H5750">
        <f>IF(DATOS!$G5750&lt;&gt;"EX",0,--(COUNTIFS(nNIA,DATOS!$A5750,nCURSO,DATOS!$D5750,nESPEC,DATOS!$E5750,nASIG,DATOS!$I5750,nEVAL,"OR")=0))</f>
      </c>
      <c r="I5750">
        <f>IF(DATOS!$I5750="","",IFERROR(VLOOKUP(DATOS!$I5750,CONFIG_ASIGNATURAS!$B$2:$J$91,9,FALSE()),""))</f>
      </c>
    </row>
    <row r="5751">
      <c r="F5751">
        <f>IF(DATOS!$A5751="","",DATOS!$A5751&amp;"|"&amp;DATOS!$D5751&amp;"|"&amp;DATOS!$E5751&amp;"|"&amp;DATOS!$I5751)</f>
      </c>
      <c r="G5751">
        <f>IF(DATOS!$A5751="",0,IF(CONFIG_METADATA!$B$4&lt;&gt;"OR+EX",--(DATOS!$G5751=CONFIG_METADATA!$B$4),IF(DATOS!$G5751="EX",1,IF(DATOS!$G5751="OR",--(COUNTIFS(nNIA,DATOS!$A5751,nCURSO,DATOS!$D5751,nESPEC,DATOS!$E5751,nASIG,DATOS!$I5751,nEVAL,"EX")=0),0))))</f>
      </c>
      <c r="H5751">
        <f>IF(DATOS!$G5751&lt;&gt;"EX",0,--(COUNTIFS(nNIA,DATOS!$A5751,nCURSO,DATOS!$D5751,nESPEC,DATOS!$E5751,nASIG,DATOS!$I5751,nEVAL,"OR")=0))</f>
      </c>
      <c r="I5751">
        <f>IF(DATOS!$I5751="","",IFERROR(VLOOKUP(DATOS!$I5751,CONFIG_ASIGNATURAS!$B$2:$J$91,9,FALSE()),""))</f>
      </c>
    </row>
    <row r="5752">
      <c r="F5752">
        <f>IF(DATOS!$A5752="","",DATOS!$A5752&amp;"|"&amp;DATOS!$D5752&amp;"|"&amp;DATOS!$E5752&amp;"|"&amp;DATOS!$I5752)</f>
      </c>
      <c r="G5752">
        <f>IF(DATOS!$A5752="",0,IF(CONFIG_METADATA!$B$4&lt;&gt;"OR+EX",--(DATOS!$G5752=CONFIG_METADATA!$B$4),IF(DATOS!$G5752="EX",1,IF(DATOS!$G5752="OR",--(COUNTIFS(nNIA,DATOS!$A5752,nCURSO,DATOS!$D5752,nESPEC,DATOS!$E5752,nASIG,DATOS!$I5752,nEVAL,"EX")=0),0))))</f>
      </c>
      <c r="H5752">
        <f>IF(DATOS!$G5752&lt;&gt;"EX",0,--(COUNTIFS(nNIA,DATOS!$A5752,nCURSO,DATOS!$D5752,nESPEC,DATOS!$E5752,nASIG,DATOS!$I5752,nEVAL,"OR")=0))</f>
      </c>
      <c r="I5752">
        <f>IF(DATOS!$I5752="","",IFERROR(VLOOKUP(DATOS!$I5752,CONFIG_ASIGNATURAS!$B$2:$J$91,9,FALSE()),""))</f>
      </c>
    </row>
    <row r="5753">
      <c r="F5753">
        <f>IF(DATOS!$A5753="","",DATOS!$A5753&amp;"|"&amp;DATOS!$D5753&amp;"|"&amp;DATOS!$E5753&amp;"|"&amp;DATOS!$I5753)</f>
      </c>
      <c r="G5753">
        <f>IF(DATOS!$A5753="",0,IF(CONFIG_METADATA!$B$4&lt;&gt;"OR+EX",--(DATOS!$G5753=CONFIG_METADATA!$B$4),IF(DATOS!$G5753="EX",1,IF(DATOS!$G5753="OR",--(COUNTIFS(nNIA,DATOS!$A5753,nCURSO,DATOS!$D5753,nESPEC,DATOS!$E5753,nASIG,DATOS!$I5753,nEVAL,"EX")=0),0))))</f>
      </c>
      <c r="H5753">
        <f>IF(DATOS!$G5753&lt;&gt;"EX",0,--(COUNTIFS(nNIA,DATOS!$A5753,nCURSO,DATOS!$D5753,nESPEC,DATOS!$E5753,nASIG,DATOS!$I5753,nEVAL,"OR")=0))</f>
      </c>
      <c r="I5753">
        <f>IF(DATOS!$I5753="","",IFERROR(VLOOKUP(DATOS!$I5753,CONFIG_ASIGNATURAS!$B$2:$J$91,9,FALSE()),""))</f>
      </c>
    </row>
    <row r="5754">
      <c r="F5754">
        <f>IF(DATOS!$A5754="","",DATOS!$A5754&amp;"|"&amp;DATOS!$D5754&amp;"|"&amp;DATOS!$E5754&amp;"|"&amp;DATOS!$I5754)</f>
      </c>
      <c r="G5754">
        <f>IF(DATOS!$A5754="",0,IF(CONFIG_METADATA!$B$4&lt;&gt;"OR+EX",--(DATOS!$G5754=CONFIG_METADATA!$B$4),IF(DATOS!$G5754="EX",1,IF(DATOS!$G5754="OR",--(COUNTIFS(nNIA,DATOS!$A5754,nCURSO,DATOS!$D5754,nESPEC,DATOS!$E5754,nASIG,DATOS!$I5754,nEVAL,"EX")=0),0))))</f>
      </c>
      <c r="H5754">
        <f>IF(DATOS!$G5754&lt;&gt;"EX",0,--(COUNTIFS(nNIA,DATOS!$A5754,nCURSO,DATOS!$D5754,nESPEC,DATOS!$E5754,nASIG,DATOS!$I5754,nEVAL,"OR")=0))</f>
      </c>
      <c r="I5754">
        <f>IF(DATOS!$I5754="","",IFERROR(VLOOKUP(DATOS!$I5754,CONFIG_ASIGNATURAS!$B$2:$J$91,9,FALSE()),""))</f>
      </c>
    </row>
    <row r="5755">
      <c r="F5755">
        <f>IF(DATOS!$A5755="","",DATOS!$A5755&amp;"|"&amp;DATOS!$D5755&amp;"|"&amp;DATOS!$E5755&amp;"|"&amp;DATOS!$I5755)</f>
      </c>
      <c r="G5755">
        <f>IF(DATOS!$A5755="",0,IF(CONFIG_METADATA!$B$4&lt;&gt;"OR+EX",--(DATOS!$G5755=CONFIG_METADATA!$B$4),IF(DATOS!$G5755="EX",1,IF(DATOS!$G5755="OR",--(COUNTIFS(nNIA,DATOS!$A5755,nCURSO,DATOS!$D5755,nESPEC,DATOS!$E5755,nASIG,DATOS!$I5755,nEVAL,"EX")=0),0))))</f>
      </c>
      <c r="H5755">
        <f>IF(DATOS!$G5755&lt;&gt;"EX",0,--(COUNTIFS(nNIA,DATOS!$A5755,nCURSO,DATOS!$D5755,nESPEC,DATOS!$E5755,nASIG,DATOS!$I5755,nEVAL,"OR")=0))</f>
      </c>
      <c r="I5755">
        <f>IF(DATOS!$I5755="","",IFERROR(VLOOKUP(DATOS!$I5755,CONFIG_ASIGNATURAS!$B$2:$J$91,9,FALSE()),""))</f>
      </c>
    </row>
    <row r="5756">
      <c r="F5756">
        <f>IF(DATOS!$A5756="","",DATOS!$A5756&amp;"|"&amp;DATOS!$D5756&amp;"|"&amp;DATOS!$E5756&amp;"|"&amp;DATOS!$I5756)</f>
      </c>
      <c r="G5756">
        <f>IF(DATOS!$A5756="",0,IF(CONFIG_METADATA!$B$4&lt;&gt;"OR+EX",--(DATOS!$G5756=CONFIG_METADATA!$B$4),IF(DATOS!$G5756="EX",1,IF(DATOS!$G5756="OR",--(COUNTIFS(nNIA,DATOS!$A5756,nCURSO,DATOS!$D5756,nESPEC,DATOS!$E5756,nASIG,DATOS!$I5756,nEVAL,"EX")=0),0))))</f>
      </c>
      <c r="H5756">
        <f>IF(DATOS!$G5756&lt;&gt;"EX",0,--(COUNTIFS(nNIA,DATOS!$A5756,nCURSO,DATOS!$D5756,nESPEC,DATOS!$E5756,nASIG,DATOS!$I5756,nEVAL,"OR")=0))</f>
      </c>
      <c r="I5756">
        <f>IF(DATOS!$I5756="","",IFERROR(VLOOKUP(DATOS!$I5756,CONFIG_ASIGNATURAS!$B$2:$J$91,9,FALSE()),""))</f>
      </c>
    </row>
    <row r="5757">
      <c r="F5757">
        <f>IF(DATOS!$A5757="","",DATOS!$A5757&amp;"|"&amp;DATOS!$D5757&amp;"|"&amp;DATOS!$E5757&amp;"|"&amp;DATOS!$I5757)</f>
      </c>
      <c r="G5757">
        <f>IF(DATOS!$A5757="",0,IF(CONFIG_METADATA!$B$4&lt;&gt;"OR+EX",--(DATOS!$G5757=CONFIG_METADATA!$B$4),IF(DATOS!$G5757="EX",1,IF(DATOS!$G5757="OR",--(COUNTIFS(nNIA,DATOS!$A5757,nCURSO,DATOS!$D5757,nESPEC,DATOS!$E5757,nASIG,DATOS!$I5757,nEVAL,"EX")=0),0))))</f>
      </c>
      <c r="H5757">
        <f>IF(DATOS!$G5757&lt;&gt;"EX",0,--(COUNTIFS(nNIA,DATOS!$A5757,nCURSO,DATOS!$D5757,nESPEC,DATOS!$E5757,nASIG,DATOS!$I5757,nEVAL,"OR")=0))</f>
      </c>
      <c r="I5757">
        <f>IF(DATOS!$I5757="","",IFERROR(VLOOKUP(DATOS!$I5757,CONFIG_ASIGNATURAS!$B$2:$J$91,9,FALSE()),""))</f>
      </c>
    </row>
    <row r="5758">
      <c r="F5758">
        <f>IF(DATOS!$A5758="","",DATOS!$A5758&amp;"|"&amp;DATOS!$D5758&amp;"|"&amp;DATOS!$E5758&amp;"|"&amp;DATOS!$I5758)</f>
      </c>
      <c r="G5758">
        <f>IF(DATOS!$A5758="",0,IF(CONFIG_METADATA!$B$4&lt;&gt;"OR+EX",--(DATOS!$G5758=CONFIG_METADATA!$B$4),IF(DATOS!$G5758="EX",1,IF(DATOS!$G5758="OR",--(COUNTIFS(nNIA,DATOS!$A5758,nCURSO,DATOS!$D5758,nESPEC,DATOS!$E5758,nASIG,DATOS!$I5758,nEVAL,"EX")=0),0))))</f>
      </c>
      <c r="H5758">
        <f>IF(DATOS!$G5758&lt;&gt;"EX",0,--(COUNTIFS(nNIA,DATOS!$A5758,nCURSO,DATOS!$D5758,nESPEC,DATOS!$E5758,nASIG,DATOS!$I5758,nEVAL,"OR")=0))</f>
      </c>
      <c r="I5758">
        <f>IF(DATOS!$I5758="","",IFERROR(VLOOKUP(DATOS!$I5758,CONFIG_ASIGNATURAS!$B$2:$J$91,9,FALSE()),""))</f>
      </c>
    </row>
    <row r="5759">
      <c r="F5759">
        <f>IF(DATOS!$A5759="","",DATOS!$A5759&amp;"|"&amp;DATOS!$D5759&amp;"|"&amp;DATOS!$E5759&amp;"|"&amp;DATOS!$I5759)</f>
      </c>
      <c r="G5759">
        <f>IF(DATOS!$A5759="",0,IF(CONFIG_METADATA!$B$4&lt;&gt;"OR+EX",--(DATOS!$G5759=CONFIG_METADATA!$B$4),IF(DATOS!$G5759="EX",1,IF(DATOS!$G5759="OR",--(COUNTIFS(nNIA,DATOS!$A5759,nCURSO,DATOS!$D5759,nESPEC,DATOS!$E5759,nASIG,DATOS!$I5759,nEVAL,"EX")=0),0))))</f>
      </c>
      <c r="H5759">
        <f>IF(DATOS!$G5759&lt;&gt;"EX",0,--(COUNTIFS(nNIA,DATOS!$A5759,nCURSO,DATOS!$D5759,nESPEC,DATOS!$E5759,nASIG,DATOS!$I5759,nEVAL,"OR")=0))</f>
      </c>
      <c r="I5759">
        <f>IF(DATOS!$I5759="","",IFERROR(VLOOKUP(DATOS!$I5759,CONFIG_ASIGNATURAS!$B$2:$J$91,9,FALSE()),""))</f>
      </c>
    </row>
    <row r="5760">
      <c r="F5760">
        <f>IF(DATOS!$A5760="","",DATOS!$A5760&amp;"|"&amp;DATOS!$D5760&amp;"|"&amp;DATOS!$E5760&amp;"|"&amp;DATOS!$I5760)</f>
      </c>
      <c r="G5760">
        <f>IF(DATOS!$A5760="",0,IF(CONFIG_METADATA!$B$4&lt;&gt;"OR+EX",--(DATOS!$G5760=CONFIG_METADATA!$B$4),IF(DATOS!$G5760="EX",1,IF(DATOS!$G5760="OR",--(COUNTIFS(nNIA,DATOS!$A5760,nCURSO,DATOS!$D5760,nESPEC,DATOS!$E5760,nASIG,DATOS!$I5760,nEVAL,"EX")=0),0))))</f>
      </c>
      <c r="H5760">
        <f>IF(DATOS!$G5760&lt;&gt;"EX",0,--(COUNTIFS(nNIA,DATOS!$A5760,nCURSO,DATOS!$D5760,nESPEC,DATOS!$E5760,nASIG,DATOS!$I5760,nEVAL,"OR")=0))</f>
      </c>
      <c r="I5760">
        <f>IF(DATOS!$I5760="","",IFERROR(VLOOKUP(DATOS!$I5760,CONFIG_ASIGNATURAS!$B$2:$J$91,9,FALSE()),""))</f>
      </c>
    </row>
    <row r="5761">
      <c r="F5761">
        <f>IF(DATOS!$A5761="","",DATOS!$A5761&amp;"|"&amp;DATOS!$D5761&amp;"|"&amp;DATOS!$E5761&amp;"|"&amp;DATOS!$I5761)</f>
      </c>
      <c r="G5761">
        <f>IF(DATOS!$A5761="",0,IF(CONFIG_METADATA!$B$4&lt;&gt;"OR+EX",--(DATOS!$G5761=CONFIG_METADATA!$B$4),IF(DATOS!$G5761="EX",1,IF(DATOS!$G5761="OR",--(COUNTIFS(nNIA,DATOS!$A5761,nCURSO,DATOS!$D5761,nESPEC,DATOS!$E5761,nASIG,DATOS!$I5761,nEVAL,"EX")=0),0))))</f>
      </c>
      <c r="H5761">
        <f>IF(DATOS!$G5761&lt;&gt;"EX",0,--(COUNTIFS(nNIA,DATOS!$A5761,nCURSO,DATOS!$D5761,nESPEC,DATOS!$E5761,nASIG,DATOS!$I5761,nEVAL,"OR")=0))</f>
      </c>
      <c r="I5761">
        <f>IF(DATOS!$I5761="","",IFERROR(VLOOKUP(DATOS!$I5761,CONFIG_ASIGNATURAS!$B$2:$J$91,9,FALSE()),""))</f>
      </c>
    </row>
    <row r="5762">
      <c r="F5762">
        <f>IF(DATOS!$A5762="","",DATOS!$A5762&amp;"|"&amp;DATOS!$D5762&amp;"|"&amp;DATOS!$E5762&amp;"|"&amp;DATOS!$I5762)</f>
      </c>
      <c r="G5762">
        <f>IF(DATOS!$A5762="",0,IF(CONFIG_METADATA!$B$4&lt;&gt;"OR+EX",--(DATOS!$G5762=CONFIG_METADATA!$B$4),IF(DATOS!$G5762="EX",1,IF(DATOS!$G5762="OR",--(COUNTIFS(nNIA,DATOS!$A5762,nCURSO,DATOS!$D5762,nESPEC,DATOS!$E5762,nASIG,DATOS!$I5762,nEVAL,"EX")=0),0))))</f>
      </c>
      <c r="H5762">
        <f>IF(DATOS!$G5762&lt;&gt;"EX",0,--(COUNTIFS(nNIA,DATOS!$A5762,nCURSO,DATOS!$D5762,nESPEC,DATOS!$E5762,nASIG,DATOS!$I5762,nEVAL,"OR")=0))</f>
      </c>
      <c r="I5762">
        <f>IF(DATOS!$I5762="","",IFERROR(VLOOKUP(DATOS!$I5762,CONFIG_ASIGNATURAS!$B$2:$J$91,9,FALSE()),""))</f>
      </c>
    </row>
    <row r="5763">
      <c r="F5763">
        <f>IF(DATOS!$A5763="","",DATOS!$A5763&amp;"|"&amp;DATOS!$D5763&amp;"|"&amp;DATOS!$E5763&amp;"|"&amp;DATOS!$I5763)</f>
      </c>
      <c r="G5763">
        <f>IF(DATOS!$A5763="",0,IF(CONFIG_METADATA!$B$4&lt;&gt;"OR+EX",--(DATOS!$G5763=CONFIG_METADATA!$B$4),IF(DATOS!$G5763="EX",1,IF(DATOS!$G5763="OR",--(COUNTIFS(nNIA,DATOS!$A5763,nCURSO,DATOS!$D5763,nESPEC,DATOS!$E5763,nASIG,DATOS!$I5763,nEVAL,"EX")=0),0))))</f>
      </c>
      <c r="H5763">
        <f>IF(DATOS!$G5763&lt;&gt;"EX",0,--(COUNTIFS(nNIA,DATOS!$A5763,nCURSO,DATOS!$D5763,nESPEC,DATOS!$E5763,nASIG,DATOS!$I5763,nEVAL,"OR")=0))</f>
      </c>
      <c r="I5763">
        <f>IF(DATOS!$I5763="","",IFERROR(VLOOKUP(DATOS!$I5763,CONFIG_ASIGNATURAS!$B$2:$J$91,9,FALSE()),""))</f>
      </c>
    </row>
    <row r="5764">
      <c r="F5764">
        <f>IF(DATOS!$A5764="","",DATOS!$A5764&amp;"|"&amp;DATOS!$D5764&amp;"|"&amp;DATOS!$E5764&amp;"|"&amp;DATOS!$I5764)</f>
      </c>
      <c r="G5764">
        <f>IF(DATOS!$A5764="",0,IF(CONFIG_METADATA!$B$4&lt;&gt;"OR+EX",--(DATOS!$G5764=CONFIG_METADATA!$B$4),IF(DATOS!$G5764="EX",1,IF(DATOS!$G5764="OR",--(COUNTIFS(nNIA,DATOS!$A5764,nCURSO,DATOS!$D5764,nESPEC,DATOS!$E5764,nASIG,DATOS!$I5764,nEVAL,"EX")=0),0))))</f>
      </c>
      <c r="H5764">
        <f>IF(DATOS!$G5764&lt;&gt;"EX",0,--(COUNTIFS(nNIA,DATOS!$A5764,nCURSO,DATOS!$D5764,nESPEC,DATOS!$E5764,nASIG,DATOS!$I5764,nEVAL,"OR")=0))</f>
      </c>
      <c r="I5764">
        <f>IF(DATOS!$I5764="","",IFERROR(VLOOKUP(DATOS!$I5764,CONFIG_ASIGNATURAS!$B$2:$J$91,9,FALSE()),""))</f>
      </c>
    </row>
    <row r="5765">
      <c r="F5765">
        <f>IF(DATOS!$A5765="","",DATOS!$A5765&amp;"|"&amp;DATOS!$D5765&amp;"|"&amp;DATOS!$E5765&amp;"|"&amp;DATOS!$I5765)</f>
      </c>
      <c r="G5765">
        <f>IF(DATOS!$A5765="",0,IF(CONFIG_METADATA!$B$4&lt;&gt;"OR+EX",--(DATOS!$G5765=CONFIG_METADATA!$B$4),IF(DATOS!$G5765="EX",1,IF(DATOS!$G5765="OR",--(COUNTIFS(nNIA,DATOS!$A5765,nCURSO,DATOS!$D5765,nESPEC,DATOS!$E5765,nASIG,DATOS!$I5765,nEVAL,"EX")=0),0))))</f>
      </c>
      <c r="H5765">
        <f>IF(DATOS!$G5765&lt;&gt;"EX",0,--(COUNTIFS(nNIA,DATOS!$A5765,nCURSO,DATOS!$D5765,nESPEC,DATOS!$E5765,nASIG,DATOS!$I5765,nEVAL,"OR")=0))</f>
      </c>
      <c r="I5765">
        <f>IF(DATOS!$I5765="","",IFERROR(VLOOKUP(DATOS!$I5765,CONFIG_ASIGNATURAS!$B$2:$J$91,9,FALSE()),""))</f>
      </c>
    </row>
    <row r="5766">
      <c r="F5766">
        <f>IF(DATOS!$A5766="","",DATOS!$A5766&amp;"|"&amp;DATOS!$D5766&amp;"|"&amp;DATOS!$E5766&amp;"|"&amp;DATOS!$I5766)</f>
      </c>
      <c r="G5766">
        <f>IF(DATOS!$A5766="",0,IF(CONFIG_METADATA!$B$4&lt;&gt;"OR+EX",--(DATOS!$G5766=CONFIG_METADATA!$B$4),IF(DATOS!$G5766="EX",1,IF(DATOS!$G5766="OR",--(COUNTIFS(nNIA,DATOS!$A5766,nCURSO,DATOS!$D5766,nESPEC,DATOS!$E5766,nASIG,DATOS!$I5766,nEVAL,"EX")=0),0))))</f>
      </c>
      <c r="H5766">
        <f>IF(DATOS!$G5766&lt;&gt;"EX",0,--(COUNTIFS(nNIA,DATOS!$A5766,nCURSO,DATOS!$D5766,nESPEC,DATOS!$E5766,nASIG,DATOS!$I5766,nEVAL,"OR")=0))</f>
      </c>
      <c r="I5766">
        <f>IF(DATOS!$I5766="","",IFERROR(VLOOKUP(DATOS!$I5766,CONFIG_ASIGNATURAS!$B$2:$J$91,9,FALSE()),""))</f>
      </c>
    </row>
    <row r="5767">
      <c r="F5767">
        <f>IF(DATOS!$A5767="","",DATOS!$A5767&amp;"|"&amp;DATOS!$D5767&amp;"|"&amp;DATOS!$E5767&amp;"|"&amp;DATOS!$I5767)</f>
      </c>
      <c r="G5767">
        <f>IF(DATOS!$A5767="",0,IF(CONFIG_METADATA!$B$4&lt;&gt;"OR+EX",--(DATOS!$G5767=CONFIG_METADATA!$B$4),IF(DATOS!$G5767="EX",1,IF(DATOS!$G5767="OR",--(COUNTIFS(nNIA,DATOS!$A5767,nCURSO,DATOS!$D5767,nESPEC,DATOS!$E5767,nASIG,DATOS!$I5767,nEVAL,"EX")=0),0))))</f>
      </c>
      <c r="H5767">
        <f>IF(DATOS!$G5767&lt;&gt;"EX",0,--(COUNTIFS(nNIA,DATOS!$A5767,nCURSO,DATOS!$D5767,nESPEC,DATOS!$E5767,nASIG,DATOS!$I5767,nEVAL,"OR")=0))</f>
      </c>
      <c r="I5767">
        <f>IF(DATOS!$I5767="","",IFERROR(VLOOKUP(DATOS!$I5767,CONFIG_ASIGNATURAS!$B$2:$J$91,9,FALSE()),""))</f>
      </c>
    </row>
    <row r="5768">
      <c r="F5768">
        <f>IF(DATOS!$A5768="","",DATOS!$A5768&amp;"|"&amp;DATOS!$D5768&amp;"|"&amp;DATOS!$E5768&amp;"|"&amp;DATOS!$I5768)</f>
      </c>
      <c r="G5768">
        <f>IF(DATOS!$A5768="",0,IF(CONFIG_METADATA!$B$4&lt;&gt;"OR+EX",--(DATOS!$G5768=CONFIG_METADATA!$B$4),IF(DATOS!$G5768="EX",1,IF(DATOS!$G5768="OR",--(COUNTIFS(nNIA,DATOS!$A5768,nCURSO,DATOS!$D5768,nESPEC,DATOS!$E5768,nASIG,DATOS!$I5768,nEVAL,"EX")=0),0))))</f>
      </c>
      <c r="H5768">
        <f>IF(DATOS!$G5768&lt;&gt;"EX",0,--(COUNTIFS(nNIA,DATOS!$A5768,nCURSO,DATOS!$D5768,nESPEC,DATOS!$E5768,nASIG,DATOS!$I5768,nEVAL,"OR")=0))</f>
      </c>
      <c r="I5768">
        <f>IF(DATOS!$I5768="","",IFERROR(VLOOKUP(DATOS!$I5768,CONFIG_ASIGNATURAS!$B$2:$J$91,9,FALSE()),""))</f>
      </c>
    </row>
    <row r="5769">
      <c r="F5769">
        <f>IF(DATOS!$A5769="","",DATOS!$A5769&amp;"|"&amp;DATOS!$D5769&amp;"|"&amp;DATOS!$E5769&amp;"|"&amp;DATOS!$I5769)</f>
      </c>
      <c r="G5769">
        <f>IF(DATOS!$A5769="",0,IF(CONFIG_METADATA!$B$4&lt;&gt;"OR+EX",--(DATOS!$G5769=CONFIG_METADATA!$B$4),IF(DATOS!$G5769="EX",1,IF(DATOS!$G5769="OR",--(COUNTIFS(nNIA,DATOS!$A5769,nCURSO,DATOS!$D5769,nESPEC,DATOS!$E5769,nASIG,DATOS!$I5769,nEVAL,"EX")=0),0))))</f>
      </c>
      <c r="H5769">
        <f>IF(DATOS!$G5769&lt;&gt;"EX",0,--(COUNTIFS(nNIA,DATOS!$A5769,nCURSO,DATOS!$D5769,nESPEC,DATOS!$E5769,nASIG,DATOS!$I5769,nEVAL,"OR")=0))</f>
      </c>
      <c r="I5769">
        <f>IF(DATOS!$I5769="","",IFERROR(VLOOKUP(DATOS!$I5769,CONFIG_ASIGNATURAS!$B$2:$J$91,9,FALSE()),""))</f>
      </c>
    </row>
    <row r="5770">
      <c r="F5770">
        <f>IF(DATOS!$A5770="","",DATOS!$A5770&amp;"|"&amp;DATOS!$D5770&amp;"|"&amp;DATOS!$E5770&amp;"|"&amp;DATOS!$I5770)</f>
      </c>
      <c r="G5770">
        <f>IF(DATOS!$A5770="",0,IF(CONFIG_METADATA!$B$4&lt;&gt;"OR+EX",--(DATOS!$G5770=CONFIG_METADATA!$B$4),IF(DATOS!$G5770="EX",1,IF(DATOS!$G5770="OR",--(COUNTIFS(nNIA,DATOS!$A5770,nCURSO,DATOS!$D5770,nESPEC,DATOS!$E5770,nASIG,DATOS!$I5770,nEVAL,"EX")=0),0))))</f>
      </c>
      <c r="H5770">
        <f>IF(DATOS!$G5770&lt;&gt;"EX",0,--(COUNTIFS(nNIA,DATOS!$A5770,nCURSO,DATOS!$D5770,nESPEC,DATOS!$E5770,nASIG,DATOS!$I5770,nEVAL,"OR")=0))</f>
      </c>
      <c r="I5770">
        <f>IF(DATOS!$I5770="","",IFERROR(VLOOKUP(DATOS!$I5770,CONFIG_ASIGNATURAS!$B$2:$J$91,9,FALSE()),""))</f>
      </c>
    </row>
    <row r="5771">
      <c r="F5771">
        <f>IF(DATOS!$A5771="","",DATOS!$A5771&amp;"|"&amp;DATOS!$D5771&amp;"|"&amp;DATOS!$E5771&amp;"|"&amp;DATOS!$I5771)</f>
      </c>
      <c r="G5771">
        <f>IF(DATOS!$A5771="",0,IF(CONFIG_METADATA!$B$4&lt;&gt;"OR+EX",--(DATOS!$G5771=CONFIG_METADATA!$B$4),IF(DATOS!$G5771="EX",1,IF(DATOS!$G5771="OR",--(COUNTIFS(nNIA,DATOS!$A5771,nCURSO,DATOS!$D5771,nESPEC,DATOS!$E5771,nASIG,DATOS!$I5771,nEVAL,"EX")=0),0))))</f>
      </c>
      <c r="H5771">
        <f>IF(DATOS!$G5771&lt;&gt;"EX",0,--(COUNTIFS(nNIA,DATOS!$A5771,nCURSO,DATOS!$D5771,nESPEC,DATOS!$E5771,nASIG,DATOS!$I5771,nEVAL,"OR")=0))</f>
      </c>
      <c r="I5771">
        <f>IF(DATOS!$I5771="","",IFERROR(VLOOKUP(DATOS!$I5771,CONFIG_ASIGNATURAS!$B$2:$J$91,9,FALSE()),""))</f>
      </c>
    </row>
    <row r="5772">
      <c r="F5772">
        <f>IF(DATOS!$A5772="","",DATOS!$A5772&amp;"|"&amp;DATOS!$D5772&amp;"|"&amp;DATOS!$E5772&amp;"|"&amp;DATOS!$I5772)</f>
      </c>
      <c r="G5772">
        <f>IF(DATOS!$A5772="",0,IF(CONFIG_METADATA!$B$4&lt;&gt;"OR+EX",--(DATOS!$G5772=CONFIG_METADATA!$B$4),IF(DATOS!$G5772="EX",1,IF(DATOS!$G5772="OR",--(COUNTIFS(nNIA,DATOS!$A5772,nCURSO,DATOS!$D5772,nESPEC,DATOS!$E5772,nASIG,DATOS!$I5772,nEVAL,"EX")=0),0))))</f>
      </c>
      <c r="H5772">
        <f>IF(DATOS!$G5772&lt;&gt;"EX",0,--(COUNTIFS(nNIA,DATOS!$A5772,nCURSO,DATOS!$D5772,nESPEC,DATOS!$E5772,nASIG,DATOS!$I5772,nEVAL,"OR")=0))</f>
      </c>
      <c r="I5772">
        <f>IF(DATOS!$I5772="","",IFERROR(VLOOKUP(DATOS!$I5772,CONFIG_ASIGNATURAS!$B$2:$J$91,9,FALSE()),""))</f>
      </c>
    </row>
    <row r="5773">
      <c r="F5773">
        <f>IF(DATOS!$A5773="","",DATOS!$A5773&amp;"|"&amp;DATOS!$D5773&amp;"|"&amp;DATOS!$E5773&amp;"|"&amp;DATOS!$I5773)</f>
      </c>
      <c r="G5773">
        <f>IF(DATOS!$A5773="",0,IF(CONFIG_METADATA!$B$4&lt;&gt;"OR+EX",--(DATOS!$G5773=CONFIG_METADATA!$B$4),IF(DATOS!$G5773="EX",1,IF(DATOS!$G5773="OR",--(COUNTIFS(nNIA,DATOS!$A5773,nCURSO,DATOS!$D5773,nESPEC,DATOS!$E5773,nASIG,DATOS!$I5773,nEVAL,"EX")=0),0))))</f>
      </c>
      <c r="H5773">
        <f>IF(DATOS!$G5773&lt;&gt;"EX",0,--(COUNTIFS(nNIA,DATOS!$A5773,nCURSO,DATOS!$D5773,nESPEC,DATOS!$E5773,nASIG,DATOS!$I5773,nEVAL,"OR")=0))</f>
      </c>
      <c r="I5773">
        <f>IF(DATOS!$I5773="","",IFERROR(VLOOKUP(DATOS!$I5773,CONFIG_ASIGNATURAS!$B$2:$J$91,9,FALSE()),""))</f>
      </c>
    </row>
    <row r="5774">
      <c r="F5774">
        <f>IF(DATOS!$A5774="","",DATOS!$A5774&amp;"|"&amp;DATOS!$D5774&amp;"|"&amp;DATOS!$E5774&amp;"|"&amp;DATOS!$I5774)</f>
      </c>
      <c r="G5774">
        <f>IF(DATOS!$A5774="",0,IF(CONFIG_METADATA!$B$4&lt;&gt;"OR+EX",--(DATOS!$G5774=CONFIG_METADATA!$B$4),IF(DATOS!$G5774="EX",1,IF(DATOS!$G5774="OR",--(COUNTIFS(nNIA,DATOS!$A5774,nCURSO,DATOS!$D5774,nESPEC,DATOS!$E5774,nASIG,DATOS!$I5774,nEVAL,"EX")=0),0))))</f>
      </c>
      <c r="H5774">
        <f>IF(DATOS!$G5774&lt;&gt;"EX",0,--(COUNTIFS(nNIA,DATOS!$A5774,nCURSO,DATOS!$D5774,nESPEC,DATOS!$E5774,nASIG,DATOS!$I5774,nEVAL,"OR")=0))</f>
      </c>
      <c r="I5774">
        <f>IF(DATOS!$I5774="","",IFERROR(VLOOKUP(DATOS!$I5774,CONFIG_ASIGNATURAS!$B$2:$J$91,9,FALSE()),""))</f>
      </c>
    </row>
    <row r="5775">
      <c r="F5775">
        <f>IF(DATOS!$A5775="","",DATOS!$A5775&amp;"|"&amp;DATOS!$D5775&amp;"|"&amp;DATOS!$E5775&amp;"|"&amp;DATOS!$I5775)</f>
      </c>
      <c r="G5775">
        <f>IF(DATOS!$A5775="",0,IF(CONFIG_METADATA!$B$4&lt;&gt;"OR+EX",--(DATOS!$G5775=CONFIG_METADATA!$B$4),IF(DATOS!$G5775="EX",1,IF(DATOS!$G5775="OR",--(COUNTIFS(nNIA,DATOS!$A5775,nCURSO,DATOS!$D5775,nESPEC,DATOS!$E5775,nASIG,DATOS!$I5775,nEVAL,"EX")=0),0))))</f>
      </c>
      <c r="H5775">
        <f>IF(DATOS!$G5775&lt;&gt;"EX",0,--(COUNTIFS(nNIA,DATOS!$A5775,nCURSO,DATOS!$D5775,nESPEC,DATOS!$E5775,nASIG,DATOS!$I5775,nEVAL,"OR")=0))</f>
      </c>
      <c r="I5775">
        <f>IF(DATOS!$I5775="","",IFERROR(VLOOKUP(DATOS!$I5775,CONFIG_ASIGNATURAS!$B$2:$J$91,9,FALSE()),""))</f>
      </c>
    </row>
    <row r="5776">
      <c r="F5776">
        <f>IF(DATOS!$A5776="","",DATOS!$A5776&amp;"|"&amp;DATOS!$D5776&amp;"|"&amp;DATOS!$E5776&amp;"|"&amp;DATOS!$I5776)</f>
      </c>
      <c r="G5776">
        <f>IF(DATOS!$A5776="",0,IF(CONFIG_METADATA!$B$4&lt;&gt;"OR+EX",--(DATOS!$G5776=CONFIG_METADATA!$B$4),IF(DATOS!$G5776="EX",1,IF(DATOS!$G5776="OR",--(COUNTIFS(nNIA,DATOS!$A5776,nCURSO,DATOS!$D5776,nESPEC,DATOS!$E5776,nASIG,DATOS!$I5776,nEVAL,"EX")=0),0))))</f>
      </c>
      <c r="H5776">
        <f>IF(DATOS!$G5776&lt;&gt;"EX",0,--(COUNTIFS(nNIA,DATOS!$A5776,nCURSO,DATOS!$D5776,nESPEC,DATOS!$E5776,nASIG,DATOS!$I5776,nEVAL,"OR")=0))</f>
      </c>
      <c r="I5776">
        <f>IF(DATOS!$I5776="","",IFERROR(VLOOKUP(DATOS!$I5776,CONFIG_ASIGNATURAS!$B$2:$J$91,9,FALSE()),""))</f>
      </c>
    </row>
    <row r="5777">
      <c r="F5777">
        <f>IF(DATOS!$A5777="","",DATOS!$A5777&amp;"|"&amp;DATOS!$D5777&amp;"|"&amp;DATOS!$E5777&amp;"|"&amp;DATOS!$I5777)</f>
      </c>
      <c r="G5777">
        <f>IF(DATOS!$A5777="",0,IF(CONFIG_METADATA!$B$4&lt;&gt;"OR+EX",--(DATOS!$G5777=CONFIG_METADATA!$B$4),IF(DATOS!$G5777="EX",1,IF(DATOS!$G5777="OR",--(COUNTIFS(nNIA,DATOS!$A5777,nCURSO,DATOS!$D5777,nESPEC,DATOS!$E5777,nASIG,DATOS!$I5777,nEVAL,"EX")=0),0))))</f>
      </c>
      <c r="H5777">
        <f>IF(DATOS!$G5777&lt;&gt;"EX",0,--(COUNTIFS(nNIA,DATOS!$A5777,nCURSO,DATOS!$D5777,nESPEC,DATOS!$E5777,nASIG,DATOS!$I5777,nEVAL,"OR")=0))</f>
      </c>
      <c r="I5777">
        <f>IF(DATOS!$I5777="","",IFERROR(VLOOKUP(DATOS!$I5777,CONFIG_ASIGNATURAS!$B$2:$J$91,9,FALSE()),""))</f>
      </c>
    </row>
    <row r="5778">
      <c r="F5778">
        <f>IF(DATOS!$A5778="","",DATOS!$A5778&amp;"|"&amp;DATOS!$D5778&amp;"|"&amp;DATOS!$E5778&amp;"|"&amp;DATOS!$I5778)</f>
      </c>
      <c r="G5778">
        <f>IF(DATOS!$A5778="",0,IF(CONFIG_METADATA!$B$4&lt;&gt;"OR+EX",--(DATOS!$G5778=CONFIG_METADATA!$B$4),IF(DATOS!$G5778="EX",1,IF(DATOS!$G5778="OR",--(COUNTIFS(nNIA,DATOS!$A5778,nCURSO,DATOS!$D5778,nESPEC,DATOS!$E5778,nASIG,DATOS!$I5778,nEVAL,"EX")=0),0))))</f>
      </c>
      <c r="H5778">
        <f>IF(DATOS!$G5778&lt;&gt;"EX",0,--(COUNTIFS(nNIA,DATOS!$A5778,nCURSO,DATOS!$D5778,nESPEC,DATOS!$E5778,nASIG,DATOS!$I5778,nEVAL,"OR")=0))</f>
      </c>
      <c r="I5778">
        <f>IF(DATOS!$I5778="","",IFERROR(VLOOKUP(DATOS!$I5778,CONFIG_ASIGNATURAS!$B$2:$J$91,9,FALSE()),""))</f>
      </c>
    </row>
    <row r="5779">
      <c r="F5779">
        <f>IF(DATOS!$A5779="","",DATOS!$A5779&amp;"|"&amp;DATOS!$D5779&amp;"|"&amp;DATOS!$E5779&amp;"|"&amp;DATOS!$I5779)</f>
      </c>
      <c r="G5779">
        <f>IF(DATOS!$A5779="",0,IF(CONFIG_METADATA!$B$4&lt;&gt;"OR+EX",--(DATOS!$G5779=CONFIG_METADATA!$B$4),IF(DATOS!$G5779="EX",1,IF(DATOS!$G5779="OR",--(COUNTIFS(nNIA,DATOS!$A5779,nCURSO,DATOS!$D5779,nESPEC,DATOS!$E5779,nASIG,DATOS!$I5779,nEVAL,"EX")=0),0))))</f>
      </c>
      <c r="H5779">
        <f>IF(DATOS!$G5779&lt;&gt;"EX",0,--(COUNTIFS(nNIA,DATOS!$A5779,nCURSO,DATOS!$D5779,nESPEC,DATOS!$E5779,nASIG,DATOS!$I5779,nEVAL,"OR")=0))</f>
      </c>
      <c r="I5779">
        <f>IF(DATOS!$I5779="","",IFERROR(VLOOKUP(DATOS!$I5779,CONFIG_ASIGNATURAS!$B$2:$J$91,9,FALSE()),""))</f>
      </c>
    </row>
    <row r="5780">
      <c r="F5780">
        <f>IF(DATOS!$A5780="","",DATOS!$A5780&amp;"|"&amp;DATOS!$D5780&amp;"|"&amp;DATOS!$E5780&amp;"|"&amp;DATOS!$I5780)</f>
      </c>
      <c r="G5780">
        <f>IF(DATOS!$A5780="",0,IF(CONFIG_METADATA!$B$4&lt;&gt;"OR+EX",--(DATOS!$G5780=CONFIG_METADATA!$B$4),IF(DATOS!$G5780="EX",1,IF(DATOS!$G5780="OR",--(COUNTIFS(nNIA,DATOS!$A5780,nCURSO,DATOS!$D5780,nESPEC,DATOS!$E5780,nASIG,DATOS!$I5780,nEVAL,"EX")=0),0))))</f>
      </c>
      <c r="H5780">
        <f>IF(DATOS!$G5780&lt;&gt;"EX",0,--(COUNTIFS(nNIA,DATOS!$A5780,nCURSO,DATOS!$D5780,nESPEC,DATOS!$E5780,nASIG,DATOS!$I5780,nEVAL,"OR")=0))</f>
      </c>
      <c r="I5780">
        <f>IF(DATOS!$I5780="","",IFERROR(VLOOKUP(DATOS!$I5780,CONFIG_ASIGNATURAS!$B$2:$J$91,9,FALSE()),""))</f>
      </c>
    </row>
    <row r="5781">
      <c r="F5781">
        <f>IF(DATOS!$A5781="","",DATOS!$A5781&amp;"|"&amp;DATOS!$D5781&amp;"|"&amp;DATOS!$E5781&amp;"|"&amp;DATOS!$I5781)</f>
      </c>
      <c r="G5781">
        <f>IF(DATOS!$A5781="",0,IF(CONFIG_METADATA!$B$4&lt;&gt;"OR+EX",--(DATOS!$G5781=CONFIG_METADATA!$B$4),IF(DATOS!$G5781="EX",1,IF(DATOS!$G5781="OR",--(COUNTIFS(nNIA,DATOS!$A5781,nCURSO,DATOS!$D5781,nESPEC,DATOS!$E5781,nASIG,DATOS!$I5781,nEVAL,"EX")=0),0))))</f>
      </c>
      <c r="H5781">
        <f>IF(DATOS!$G5781&lt;&gt;"EX",0,--(COUNTIFS(nNIA,DATOS!$A5781,nCURSO,DATOS!$D5781,nESPEC,DATOS!$E5781,nASIG,DATOS!$I5781,nEVAL,"OR")=0))</f>
      </c>
      <c r="I5781">
        <f>IF(DATOS!$I5781="","",IFERROR(VLOOKUP(DATOS!$I5781,CONFIG_ASIGNATURAS!$B$2:$J$91,9,FALSE()),""))</f>
      </c>
    </row>
    <row r="5782">
      <c r="F5782">
        <f>IF(DATOS!$A5782="","",DATOS!$A5782&amp;"|"&amp;DATOS!$D5782&amp;"|"&amp;DATOS!$E5782&amp;"|"&amp;DATOS!$I5782)</f>
      </c>
      <c r="G5782">
        <f>IF(DATOS!$A5782="",0,IF(CONFIG_METADATA!$B$4&lt;&gt;"OR+EX",--(DATOS!$G5782=CONFIG_METADATA!$B$4),IF(DATOS!$G5782="EX",1,IF(DATOS!$G5782="OR",--(COUNTIFS(nNIA,DATOS!$A5782,nCURSO,DATOS!$D5782,nESPEC,DATOS!$E5782,nASIG,DATOS!$I5782,nEVAL,"EX")=0),0))))</f>
      </c>
      <c r="H5782">
        <f>IF(DATOS!$G5782&lt;&gt;"EX",0,--(COUNTIFS(nNIA,DATOS!$A5782,nCURSO,DATOS!$D5782,nESPEC,DATOS!$E5782,nASIG,DATOS!$I5782,nEVAL,"OR")=0))</f>
      </c>
      <c r="I5782">
        <f>IF(DATOS!$I5782="","",IFERROR(VLOOKUP(DATOS!$I5782,CONFIG_ASIGNATURAS!$B$2:$J$91,9,FALSE()),""))</f>
      </c>
    </row>
    <row r="5783">
      <c r="F5783">
        <f>IF(DATOS!$A5783="","",DATOS!$A5783&amp;"|"&amp;DATOS!$D5783&amp;"|"&amp;DATOS!$E5783&amp;"|"&amp;DATOS!$I5783)</f>
      </c>
      <c r="G5783">
        <f>IF(DATOS!$A5783="",0,IF(CONFIG_METADATA!$B$4&lt;&gt;"OR+EX",--(DATOS!$G5783=CONFIG_METADATA!$B$4),IF(DATOS!$G5783="EX",1,IF(DATOS!$G5783="OR",--(COUNTIFS(nNIA,DATOS!$A5783,nCURSO,DATOS!$D5783,nESPEC,DATOS!$E5783,nASIG,DATOS!$I5783,nEVAL,"EX")=0),0))))</f>
      </c>
      <c r="H5783">
        <f>IF(DATOS!$G5783&lt;&gt;"EX",0,--(COUNTIFS(nNIA,DATOS!$A5783,nCURSO,DATOS!$D5783,nESPEC,DATOS!$E5783,nASIG,DATOS!$I5783,nEVAL,"OR")=0))</f>
      </c>
      <c r="I5783">
        <f>IF(DATOS!$I5783="","",IFERROR(VLOOKUP(DATOS!$I5783,CONFIG_ASIGNATURAS!$B$2:$J$91,9,FALSE()),""))</f>
      </c>
    </row>
    <row r="5784">
      <c r="F5784">
        <f>IF(DATOS!$A5784="","",DATOS!$A5784&amp;"|"&amp;DATOS!$D5784&amp;"|"&amp;DATOS!$E5784&amp;"|"&amp;DATOS!$I5784)</f>
      </c>
      <c r="G5784">
        <f>IF(DATOS!$A5784="",0,IF(CONFIG_METADATA!$B$4&lt;&gt;"OR+EX",--(DATOS!$G5784=CONFIG_METADATA!$B$4),IF(DATOS!$G5784="EX",1,IF(DATOS!$G5784="OR",--(COUNTIFS(nNIA,DATOS!$A5784,nCURSO,DATOS!$D5784,nESPEC,DATOS!$E5784,nASIG,DATOS!$I5784,nEVAL,"EX")=0),0))))</f>
      </c>
      <c r="H5784">
        <f>IF(DATOS!$G5784&lt;&gt;"EX",0,--(COUNTIFS(nNIA,DATOS!$A5784,nCURSO,DATOS!$D5784,nESPEC,DATOS!$E5784,nASIG,DATOS!$I5784,nEVAL,"OR")=0))</f>
      </c>
      <c r="I5784">
        <f>IF(DATOS!$I5784="","",IFERROR(VLOOKUP(DATOS!$I5784,CONFIG_ASIGNATURAS!$B$2:$J$91,9,FALSE()),""))</f>
      </c>
    </row>
    <row r="5785">
      <c r="F5785">
        <f>IF(DATOS!$A5785="","",DATOS!$A5785&amp;"|"&amp;DATOS!$D5785&amp;"|"&amp;DATOS!$E5785&amp;"|"&amp;DATOS!$I5785)</f>
      </c>
      <c r="G5785">
        <f>IF(DATOS!$A5785="",0,IF(CONFIG_METADATA!$B$4&lt;&gt;"OR+EX",--(DATOS!$G5785=CONFIG_METADATA!$B$4),IF(DATOS!$G5785="EX",1,IF(DATOS!$G5785="OR",--(COUNTIFS(nNIA,DATOS!$A5785,nCURSO,DATOS!$D5785,nESPEC,DATOS!$E5785,nASIG,DATOS!$I5785,nEVAL,"EX")=0),0))))</f>
      </c>
      <c r="H5785">
        <f>IF(DATOS!$G5785&lt;&gt;"EX",0,--(COUNTIFS(nNIA,DATOS!$A5785,nCURSO,DATOS!$D5785,nESPEC,DATOS!$E5785,nASIG,DATOS!$I5785,nEVAL,"OR")=0))</f>
      </c>
      <c r="I5785">
        <f>IF(DATOS!$I5785="","",IFERROR(VLOOKUP(DATOS!$I5785,CONFIG_ASIGNATURAS!$B$2:$J$91,9,FALSE()),""))</f>
      </c>
    </row>
    <row r="5786">
      <c r="F5786">
        <f>IF(DATOS!$A5786="","",DATOS!$A5786&amp;"|"&amp;DATOS!$D5786&amp;"|"&amp;DATOS!$E5786&amp;"|"&amp;DATOS!$I5786)</f>
      </c>
      <c r="G5786">
        <f>IF(DATOS!$A5786="",0,IF(CONFIG_METADATA!$B$4&lt;&gt;"OR+EX",--(DATOS!$G5786=CONFIG_METADATA!$B$4),IF(DATOS!$G5786="EX",1,IF(DATOS!$G5786="OR",--(COUNTIFS(nNIA,DATOS!$A5786,nCURSO,DATOS!$D5786,nESPEC,DATOS!$E5786,nASIG,DATOS!$I5786,nEVAL,"EX")=0),0))))</f>
      </c>
      <c r="H5786">
        <f>IF(DATOS!$G5786&lt;&gt;"EX",0,--(COUNTIFS(nNIA,DATOS!$A5786,nCURSO,DATOS!$D5786,nESPEC,DATOS!$E5786,nASIG,DATOS!$I5786,nEVAL,"OR")=0))</f>
      </c>
      <c r="I5786">
        <f>IF(DATOS!$I5786="","",IFERROR(VLOOKUP(DATOS!$I5786,CONFIG_ASIGNATURAS!$B$2:$J$91,9,FALSE()),""))</f>
      </c>
    </row>
    <row r="5787">
      <c r="F5787">
        <f>IF(DATOS!$A5787="","",DATOS!$A5787&amp;"|"&amp;DATOS!$D5787&amp;"|"&amp;DATOS!$E5787&amp;"|"&amp;DATOS!$I5787)</f>
      </c>
      <c r="G5787">
        <f>IF(DATOS!$A5787="",0,IF(CONFIG_METADATA!$B$4&lt;&gt;"OR+EX",--(DATOS!$G5787=CONFIG_METADATA!$B$4),IF(DATOS!$G5787="EX",1,IF(DATOS!$G5787="OR",--(COUNTIFS(nNIA,DATOS!$A5787,nCURSO,DATOS!$D5787,nESPEC,DATOS!$E5787,nASIG,DATOS!$I5787,nEVAL,"EX")=0),0))))</f>
      </c>
      <c r="H5787">
        <f>IF(DATOS!$G5787&lt;&gt;"EX",0,--(COUNTIFS(nNIA,DATOS!$A5787,nCURSO,DATOS!$D5787,nESPEC,DATOS!$E5787,nASIG,DATOS!$I5787,nEVAL,"OR")=0))</f>
      </c>
      <c r="I5787">
        <f>IF(DATOS!$I5787="","",IFERROR(VLOOKUP(DATOS!$I5787,CONFIG_ASIGNATURAS!$B$2:$J$91,9,FALSE()),""))</f>
      </c>
    </row>
    <row r="5788">
      <c r="F5788">
        <f>IF(DATOS!$A5788="","",DATOS!$A5788&amp;"|"&amp;DATOS!$D5788&amp;"|"&amp;DATOS!$E5788&amp;"|"&amp;DATOS!$I5788)</f>
      </c>
      <c r="G5788">
        <f>IF(DATOS!$A5788="",0,IF(CONFIG_METADATA!$B$4&lt;&gt;"OR+EX",--(DATOS!$G5788=CONFIG_METADATA!$B$4),IF(DATOS!$G5788="EX",1,IF(DATOS!$G5788="OR",--(COUNTIFS(nNIA,DATOS!$A5788,nCURSO,DATOS!$D5788,nESPEC,DATOS!$E5788,nASIG,DATOS!$I5788,nEVAL,"EX")=0),0))))</f>
      </c>
      <c r="H5788">
        <f>IF(DATOS!$G5788&lt;&gt;"EX",0,--(COUNTIFS(nNIA,DATOS!$A5788,nCURSO,DATOS!$D5788,nESPEC,DATOS!$E5788,nASIG,DATOS!$I5788,nEVAL,"OR")=0))</f>
      </c>
      <c r="I5788">
        <f>IF(DATOS!$I5788="","",IFERROR(VLOOKUP(DATOS!$I5788,CONFIG_ASIGNATURAS!$B$2:$J$91,9,FALSE()),""))</f>
      </c>
    </row>
    <row r="5789">
      <c r="F5789">
        <f>IF(DATOS!$A5789="","",DATOS!$A5789&amp;"|"&amp;DATOS!$D5789&amp;"|"&amp;DATOS!$E5789&amp;"|"&amp;DATOS!$I5789)</f>
      </c>
      <c r="G5789">
        <f>IF(DATOS!$A5789="",0,IF(CONFIG_METADATA!$B$4&lt;&gt;"OR+EX",--(DATOS!$G5789=CONFIG_METADATA!$B$4),IF(DATOS!$G5789="EX",1,IF(DATOS!$G5789="OR",--(COUNTIFS(nNIA,DATOS!$A5789,nCURSO,DATOS!$D5789,nESPEC,DATOS!$E5789,nASIG,DATOS!$I5789,nEVAL,"EX")=0),0))))</f>
      </c>
      <c r="H5789">
        <f>IF(DATOS!$G5789&lt;&gt;"EX",0,--(COUNTIFS(nNIA,DATOS!$A5789,nCURSO,DATOS!$D5789,nESPEC,DATOS!$E5789,nASIG,DATOS!$I5789,nEVAL,"OR")=0))</f>
      </c>
      <c r="I5789">
        <f>IF(DATOS!$I5789="","",IFERROR(VLOOKUP(DATOS!$I5789,CONFIG_ASIGNATURAS!$B$2:$J$91,9,FALSE()),""))</f>
      </c>
    </row>
    <row r="5790">
      <c r="F5790">
        <f>IF(DATOS!$A5790="","",DATOS!$A5790&amp;"|"&amp;DATOS!$D5790&amp;"|"&amp;DATOS!$E5790&amp;"|"&amp;DATOS!$I5790)</f>
      </c>
      <c r="G5790">
        <f>IF(DATOS!$A5790="",0,IF(CONFIG_METADATA!$B$4&lt;&gt;"OR+EX",--(DATOS!$G5790=CONFIG_METADATA!$B$4),IF(DATOS!$G5790="EX",1,IF(DATOS!$G5790="OR",--(COUNTIFS(nNIA,DATOS!$A5790,nCURSO,DATOS!$D5790,nESPEC,DATOS!$E5790,nASIG,DATOS!$I5790,nEVAL,"EX")=0),0))))</f>
      </c>
      <c r="H5790">
        <f>IF(DATOS!$G5790&lt;&gt;"EX",0,--(COUNTIFS(nNIA,DATOS!$A5790,nCURSO,DATOS!$D5790,nESPEC,DATOS!$E5790,nASIG,DATOS!$I5790,nEVAL,"OR")=0))</f>
      </c>
      <c r="I5790">
        <f>IF(DATOS!$I5790="","",IFERROR(VLOOKUP(DATOS!$I5790,CONFIG_ASIGNATURAS!$B$2:$J$91,9,FALSE()),""))</f>
      </c>
    </row>
    <row r="5791">
      <c r="F5791">
        <f>IF(DATOS!$A5791="","",DATOS!$A5791&amp;"|"&amp;DATOS!$D5791&amp;"|"&amp;DATOS!$E5791&amp;"|"&amp;DATOS!$I5791)</f>
      </c>
      <c r="G5791">
        <f>IF(DATOS!$A5791="",0,IF(CONFIG_METADATA!$B$4&lt;&gt;"OR+EX",--(DATOS!$G5791=CONFIG_METADATA!$B$4),IF(DATOS!$G5791="EX",1,IF(DATOS!$G5791="OR",--(COUNTIFS(nNIA,DATOS!$A5791,nCURSO,DATOS!$D5791,nESPEC,DATOS!$E5791,nASIG,DATOS!$I5791,nEVAL,"EX")=0),0))))</f>
      </c>
      <c r="H5791">
        <f>IF(DATOS!$G5791&lt;&gt;"EX",0,--(COUNTIFS(nNIA,DATOS!$A5791,nCURSO,DATOS!$D5791,nESPEC,DATOS!$E5791,nASIG,DATOS!$I5791,nEVAL,"OR")=0))</f>
      </c>
      <c r="I5791">
        <f>IF(DATOS!$I5791="","",IFERROR(VLOOKUP(DATOS!$I5791,CONFIG_ASIGNATURAS!$B$2:$J$91,9,FALSE()),""))</f>
      </c>
    </row>
    <row r="5792">
      <c r="F5792">
        <f>IF(DATOS!$A5792="","",DATOS!$A5792&amp;"|"&amp;DATOS!$D5792&amp;"|"&amp;DATOS!$E5792&amp;"|"&amp;DATOS!$I5792)</f>
      </c>
      <c r="G5792">
        <f>IF(DATOS!$A5792="",0,IF(CONFIG_METADATA!$B$4&lt;&gt;"OR+EX",--(DATOS!$G5792=CONFIG_METADATA!$B$4),IF(DATOS!$G5792="EX",1,IF(DATOS!$G5792="OR",--(COUNTIFS(nNIA,DATOS!$A5792,nCURSO,DATOS!$D5792,nESPEC,DATOS!$E5792,nASIG,DATOS!$I5792,nEVAL,"EX")=0),0))))</f>
      </c>
      <c r="H5792">
        <f>IF(DATOS!$G5792&lt;&gt;"EX",0,--(COUNTIFS(nNIA,DATOS!$A5792,nCURSO,DATOS!$D5792,nESPEC,DATOS!$E5792,nASIG,DATOS!$I5792,nEVAL,"OR")=0))</f>
      </c>
      <c r="I5792">
        <f>IF(DATOS!$I5792="","",IFERROR(VLOOKUP(DATOS!$I5792,CONFIG_ASIGNATURAS!$B$2:$J$91,9,FALSE()),""))</f>
      </c>
    </row>
    <row r="5793">
      <c r="F5793">
        <f>IF(DATOS!$A5793="","",DATOS!$A5793&amp;"|"&amp;DATOS!$D5793&amp;"|"&amp;DATOS!$E5793&amp;"|"&amp;DATOS!$I5793)</f>
      </c>
      <c r="G5793">
        <f>IF(DATOS!$A5793="",0,IF(CONFIG_METADATA!$B$4&lt;&gt;"OR+EX",--(DATOS!$G5793=CONFIG_METADATA!$B$4),IF(DATOS!$G5793="EX",1,IF(DATOS!$G5793="OR",--(COUNTIFS(nNIA,DATOS!$A5793,nCURSO,DATOS!$D5793,nESPEC,DATOS!$E5793,nASIG,DATOS!$I5793,nEVAL,"EX")=0),0))))</f>
      </c>
      <c r="H5793">
        <f>IF(DATOS!$G5793&lt;&gt;"EX",0,--(COUNTIFS(nNIA,DATOS!$A5793,nCURSO,DATOS!$D5793,nESPEC,DATOS!$E5793,nASIG,DATOS!$I5793,nEVAL,"OR")=0))</f>
      </c>
      <c r="I5793">
        <f>IF(DATOS!$I5793="","",IFERROR(VLOOKUP(DATOS!$I5793,CONFIG_ASIGNATURAS!$B$2:$J$91,9,FALSE()),""))</f>
      </c>
    </row>
    <row r="5794">
      <c r="F5794">
        <f>IF(DATOS!$A5794="","",DATOS!$A5794&amp;"|"&amp;DATOS!$D5794&amp;"|"&amp;DATOS!$E5794&amp;"|"&amp;DATOS!$I5794)</f>
      </c>
      <c r="G5794">
        <f>IF(DATOS!$A5794="",0,IF(CONFIG_METADATA!$B$4&lt;&gt;"OR+EX",--(DATOS!$G5794=CONFIG_METADATA!$B$4),IF(DATOS!$G5794="EX",1,IF(DATOS!$G5794="OR",--(COUNTIFS(nNIA,DATOS!$A5794,nCURSO,DATOS!$D5794,nESPEC,DATOS!$E5794,nASIG,DATOS!$I5794,nEVAL,"EX")=0),0))))</f>
      </c>
      <c r="H5794">
        <f>IF(DATOS!$G5794&lt;&gt;"EX",0,--(COUNTIFS(nNIA,DATOS!$A5794,nCURSO,DATOS!$D5794,nESPEC,DATOS!$E5794,nASIG,DATOS!$I5794,nEVAL,"OR")=0))</f>
      </c>
      <c r="I5794">
        <f>IF(DATOS!$I5794="","",IFERROR(VLOOKUP(DATOS!$I5794,CONFIG_ASIGNATURAS!$B$2:$J$91,9,FALSE()),""))</f>
      </c>
    </row>
    <row r="5795">
      <c r="F5795">
        <f>IF(DATOS!$A5795="","",DATOS!$A5795&amp;"|"&amp;DATOS!$D5795&amp;"|"&amp;DATOS!$E5795&amp;"|"&amp;DATOS!$I5795)</f>
      </c>
      <c r="G5795">
        <f>IF(DATOS!$A5795="",0,IF(CONFIG_METADATA!$B$4&lt;&gt;"OR+EX",--(DATOS!$G5795=CONFIG_METADATA!$B$4),IF(DATOS!$G5795="EX",1,IF(DATOS!$G5795="OR",--(COUNTIFS(nNIA,DATOS!$A5795,nCURSO,DATOS!$D5795,nESPEC,DATOS!$E5795,nASIG,DATOS!$I5795,nEVAL,"EX")=0),0))))</f>
      </c>
      <c r="H5795">
        <f>IF(DATOS!$G5795&lt;&gt;"EX",0,--(COUNTIFS(nNIA,DATOS!$A5795,nCURSO,DATOS!$D5795,nESPEC,DATOS!$E5795,nASIG,DATOS!$I5795,nEVAL,"OR")=0))</f>
      </c>
      <c r="I5795">
        <f>IF(DATOS!$I5795="","",IFERROR(VLOOKUP(DATOS!$I5795,CONFIG_ASIGNATURAS!$B$2:$J$91,9,FALSE()),""))</f>
      </c>
    </row>
    <row r="5796">
      <c r="F5796">
        <f>IF(DATOS!$A5796="","",DATOS!$A5796&amp;"|"&amp;DATOS!$D5796&amp;"|"&amp;DATOS!$E5796&amp;"|"&amp;DATOS!$I5796)</f>
      </c>
      <c r="G5796">
        <f>IF(DATOS!$A5796="",0,IF(CONFIG_METADATA!$B$4&lt;&gt;"OR+EX",--(DATOS!$G5796=CONFIG_METADATA!$B$4),IF(DATOS!$G5796="EX",1,IF(DATOS!$G5796="OR",--(COUNTIFS(nNIA,DATOS!$A5796,nCURSO,DATOS!$D5796,nESPEC,DATOS!$E5796,nASIG,DATOS!$I5796,nEVAL,"EX")=0),0))))</f>
      </c>
      <c r="H5796">
        <f>IF(DATOS!$G5796&lt;&gt;"EX",0,--(COUNTIFS(nNIA,DATOS!$A5796,nCURSO,DATOS!$D5796,nESPEC,DATOS!$E5796,nASIG,DATOS!$I5796,nEVAL,"OR")=0))</f>
      </c>
      <c r="I5796">
        <f>IF(DATOS!$I5796="","",IFERROR(VLOOKUP(DATOS!$I5796,CONFIG_ASIGNATURAS!$B$2:$J$91,9,FALSE()),""))</f>
      </c>
    </row>
    <row r="5797">
      <c r="F5797">
        <f>IF(DATOS!$A5797="","",DATOS!$A5797&amp;"|"&amp;DATOS!$D5797&amp;"|"&amp;DATOS!$E5797&amp;"|"&amp;DATOS!$I5797)</f>
      </c>
      <c r="G5797">
        <f>IF(DATOS!$A5797="",0,IF(CONFIG_METADATA!$B$4&lt;&gt;"OR+EX",--(DATOS!$G5797=CONFIG_METADATA!$B$4),IF(DATOS!$G5797="EX",1,IF(DATOS!$G5797="OR",--(COUNTIFS(nNIA,DATOS!$A5797,nCURSO,DATOS!$D5797,nESPEC,DATOS!$E5797,nASIG,DATOS!$I5797,nEVAL,"EX")=0),0))))</f>
      </c>
      <c r="H5797">
        <f>IF(DATOS!$G5797&lt;&gt;"EX",0,--(COUNTIFS(nNIA,DATOS!$A5797,nCURSO,DATOS!$D5797,nESPEC,DATOS!$E5797,nASIG,DATOS!$I5797,nEVAL,"OR")=0))</f>
      </c>
      <c r="I5797">
        <f>IF(DATOS!$I5797="","",IFERROR(VLOOKUP(DATOS!$I5797,CONFIG_ASIGNATURAS!$B$2:$J$91,9,FALSE()),""))</f>
      </c>
    </row>
    <row r="5798">
      <c r="F5798">
        <f>IF(DATOS!$A5798="","",DATOS!$A5798&amp;"|"&amp;DATOS!$D5798&amp;"|"&amp;DATOS!$E5798&amp;"|"&amp;DATOS!$I5798)</f>
      </c>
      <c r="G5798">
        <f>IF(DATOS!$A5798="",0,IF(CONFIG_METADATA!$B$4&lt;&gt;"OR+EX",--(DATOS!$G5798=CONFIG_METADATA!$B$4),IF(DATOS!$G5798="EX",1,IF(DATOS!$G5798="OR",--(COUNTIFS(nNIA,DATOS!$A5798,nCURSO,DATOS!$D5798,nESPEC,DATOS!$E5798,nASIG,DATOS!$I5798,nEVAL,"EX")=0),0))))</f>
      </c>
      <c r="H5798">
        <f>IF(DATOS!$G5798&lt;&gt;"EX",0,--(COUNTIFS(nNIA,DATOS!$A5798,nCURSO,DATOS!$D5798,nESPEC,DATOS!$E5798,nASIG,DATOS!$I5798,nEVAL,"OR")=0))</f>
      </c>
      <c r="I5798">
        <f>IF(DATOS!$I5798="","",IFERROR(VLOOKUP(DATOS!$I5798,CONFIG_ASIGNATURAS!$B$2:$J$91,9,FALSE()),""))</f>
      </c>
    </row>
    <row r="5799">
      <c r="F5799">
        <f>IF(DATOS!$A5799="","",DATOS!$A5799&amp;"|"&amp;DATOS!$D5799&amp;"|"&amp;DATOS!$E5799&amp;"|"&amp;DATOS!$I5799)</f>
      </c>
      <c r="G5799">
        <f>IF(DATOS!$A5799="",0,IF(CONFIG_METADATA!$B$4&lt;&gt;"OR+EX",--(DATOS!$G5799=CONFIG_METADATA!$B$4),IF(DATOS!$G5799="EX",1,IF(DATOS!$G5799="OR",--(COUNTIFS(nNIA,DATOS!$A5799,nCURSO,DATOS!$D5799,nESPEC,DATOS!$E5799,nASIG,DATOS!$I5799,nEVAL,"EX")=0),0))))</f>
      </c>
      <c r="H5799">
        <f>IF(DATOS!$G5799&lt;&gt;"EX",0,--(COUNTIFS(nNIA,DATOS!$A5799,nCURSO,DATOS!$D5799,nESPEC,DATOS!$E5799,nASIG,DATOS!$I5799,nEVAL,"OR")=0))</f>
      </c>
      <c r="I5799">
        <f>IF(DATOS!$I5799="","",IFERROR(VLOOKUP(DATOS!$I5799,CONFIG_ASIGNATURAS!$B$2:$J$91,9,FALSE()),""))</f>
      </c>
    </row>
    <row r="5800">
      <c r="F5800">
        <f>IF(DATOS!$A5800="","",DATOS!$A5800&amp;"|"&amp;DATOS!$D5800&amp;"|"&amp;DATOS!$E5800&amp;"|"&amp;DATOS!$I5800)</f>
      </c>
      <c r="G5800">
        <f>IF(DATOS!$A5800="",0,IF(CONFIG_METADATA!$B$4&lt;&gt;"OR+EX",--(DATOS!$G5800=CONFIG_METADATA!$B$4),IF(DATOS!$G5800="EX",1,IF(DATOS!$G5800="OR",--(COUNTIFS(nNIA,DATOS!$A5800,nCURSO,DATOS!$D5800,nESPEC,DATOS!$E5800,nASIG,DATOS!$I5800,nEVAL,"EX")=0),0))))</f>
      </c>
      <c r="H5800">
        <f>IF(DATOS!$G5800&lt;&gt;"EX",0,--(COUNTIFS(nNIA,DATOS!$A5800,nCURSO,DATOS!$D5800,nESPEC,DATOS!$E5800,nASIG,DATOS!$I5800,nEVAL,"OR")=0))</f>
      </c>
      <c r="I5800">
        <f>IF(DATOS!$I5800="","",IFERROR(VLOOKUP(DATOS!$I5800,CONFIG_ASIGNATURAS!$B$2:$J$91,9,FALSE()),""))</f>
      </c>
    </row>
    <row r="5801">
      <c r="F5801">
        <f>IF(DATOS!$A5801="","",DATOS!$A5801&amp;"|"&amp;DATOS!$D5801&amp;"|"&amp;DATOS!$E5801&amp;"|"&amp;DATOS!$I5801)</f>
      </c>
      <c r="G5801">
        <f>IF(DATOS!$A5801="",0,IF(CONFIG_METADATA!$B$4&lt;&gt;"OR+EX",--(DATOS!$G5801=CONFIG_METADATA!$B$4),IF(DATOS!$G5801="EX",1,IF(DATOS!$G5801="OR",--(COUNTIFS(nNIA,DATOS!$A5801,nCURSO,DATOS!$D5801,nESPEC,DATOS!$E5801,nASIG,DATOS!$I5801,nEVAL,"EX")=0),0))))</f>
      </c>
      <c r="H5801">
        <f>IF(DATOS!$G5801&lt;&gt;"EX",0,--(COUNTIFS(nNIA,DATOS!$A5801,nCURSO,DATOS!$D5801,nESPEC,DATOS!$E5801,nASIG,DATOS!$I5801,nEVAL,"OR")=0))</f>
      </c>
      <c r="I5801">
        <f>IF(DATOS!$I5801="","",IFERROR(VLOOKUP(DATOS!$I5801,CONFIG_ASIGNATURAS!$B$2:$J$91,9,FALSE()),""))</f>
      </c>
    </row>
    <row r="5802">
      <c r="F5802">
        <f>IF(DATOS!$A5802="","",DATOS!$A5802&amp;"|"&amp;DATOS!$D5802&amp;"|"&amp;DATOS!$E5802&amp;"|"&amp;DATOS!$I5802)</f>
      </c>
      <c r="G5802">
        <f>IF(DATOS!$A5802="",0,IF(CONFIG_METADATA!$B$4&lt;&gt;"OR+EX",--(DATOS!$G5802=CONFIG_METADATA!$B$4),IF(DATOS!$G5802="EX",1,IF(DATOS!$G5802="OR",--(COUNTIFS(nNIA,DATOS!$A5802,nCURSO,DATOS!$D5802,nESPEC,DATOS!$E5802,nASIG,DATOS!$I5802,nEVAL,"EX")=0),0))))</f>
      </c>
      <c r="H5802">
        <f>IF(DATOS!$G5802&lt;&gt;"EX",0,--(COUNTIFS(nNIA,DATOS!$A5802,nCURSO,DATOS!$D5802,nESPEC,DATOS!$E5802,nASIG,DATOS!$I5802,nEVAL,"OR")=0))</f>
      </c>
      <c r="I5802">
        <f>IF(DATOS!$I5802="","",IFERROR(VLOOKUP(DATOS!$I5802,CONFIG_ASIGNATURAS!$B$2:$J$91,9,FALSE()),""))</f>
      </c>
    </row>
    <row r="5803">
      <c r="F5803">
        <f>IF(DATOS!$A5803="","",DATOS!$A5803&amp;"|"&amp;DATOS!$D5803&amp;"|"&amp;DATOS!$E5803&amp;"|"&amp;DATOS!$I5803)</f>
      </c>
      <c r="G5803">
        <f>IF(DATOS!$A5803="",0,IF(CONFIG_METADATA!$B$4&lt;&gt;"OR+EX",--(DATOS!$G5803=CONFIG_METADATA!$B$4),IF(DATOS!$G5803="EX",1,IF(DATOS!$G5803="OR",--(COUNTIFS(nNIA,DATOS!$A5803,nCURSO,DATOS!$D5803,nESPEC,DATOS!$E5803,nASIG,DATOS!$I5803,nEVAL,"EX")=0),0))))</f>
      </c>
      <c r="H5803">
        <f>IF(DATOS!$G5803&lt;&gt;"EX",0,--(COUNTIFS(nNIA,DATOS!$A5803,nCURSO,DATOS!$D5803,nESPEC,DATOS!$E5803,nASIG,DATOS!$I5803,nEVAL,"OR")=0))</f>
      </c>
      <c r="I5803">
        <f>IF(DATOS!$I5803="","",IFERROR(VLOOKUP(DATOS!$I5803,CONFIG_ASIGNATURAS!$B$2:$J$91,9,FALSE()),""))</f>
      </c>
    </row>
    <row r="5804">
      <c r="F5804">
        <f>IF(DATOS!$A5804="","",DATOS!$A5804&amp;"|"&amp;DATOS!$D5804&amp;"|"&amp;DATOS!$E5804&amp;"|"&amp;DATOS!$I5804)</f>
      </c>
      <c r="G5804">
        <f>IF(DATOS!$A5804="",0,IF(CONFIG_METADATA!$B$4&lt;&gt;"OR+EX",--(DATOS!$G5804=CONFIG_METADATA!$B$4),IF(DATOS!$G5804="EX",1,IF(DATOS!$G5804="OR",--(COUNTIFS(nNIA,DATOS!$A5804,nCURSO,DATOS!$D5804,nESPEC,DATOS!$E5804,nASIG,DATOS!$I5804,nEVAL,"EX")=0),0))))</f>
      </c>
      <c r="H5804">
        <f>IF(DATOS!$G5804&lt;&gt;"EX",0,--(COUNTIFS(nNIA,DATOS!$A5804,nCURSO,DATOS!$D5804,nESPEC,DATOS!$E5804,nASIG,DATOS!$I5804,nEVAL,"OR")=0))</f>
      </c>
      <c r="I5804">
        <f>IF(DATOS!$I5804="","",IFERROR(VLOOKUP(DATOS!$I5804,CONFIG_ASIGNATURAS!$B$2:$J$91,9,FALSE()),""))</f>
      </c>
    </row>
    <row r="5805">
      <c r="F5805">
        <f>IF(DATOS!$A5805="","",DATOS!$A5805&amp;"|"&amp;DATOS!$D5805&amp;"|"&amp;DATOS!$E5805&amp;"|"&amp;DATOS!$I5805)</f>
      </c>
      <c r="G5805">
        <f>IF(DATOS!$A5805="",0,IF(CONFIG_METADATA!$B$4&lt;&gt;"OR+EX",--(DATOS!$G5805=CONFIG_METADATA!$B$4),IF(DATOS!$G5805="EX",1,IF(DATOS!$G5805="OR",--(COUNTIFS(nNIA,DATOS!$A5805,nCURSO,DATOS!$D5805,nESPEC,DATOS!$E5805,nASIG,DATOS!$I5805,nEVAL,"EX")=0),0))))</f>
      </c>
      <c r="H5805">
        <f>IF(DATOS!$G5805&lt;&gt;"EX",0,--(COUNTIFS(nNIA,DATOS!$A5805,nCURSO,DATOS!$D5805,nESPEC,DATOS!$E5805,nASIG,DATOS!$I5805,nEVAL,"OR")=0))</f>
      </c>
      <c r="I5805">
        <f>IF(DATOS!$I5805="","",IFERROR(VLOOKUP(DATOS!$I5805,CONFIG_ASIGNATURAS!$B$2:$J$91,9,FALSE()),""))</f>
      </c>
    </row>
    <row r="5806">
      <c r="F5806">
        <f>IF(DATOS!$A5806="","",DATOS!$A5806&amp;"|"&amp;DATOS!$D5806&amp;"|"&amp;DATOS!$E5806&amp;"|"&amp;DATOS!$I5806)</f>
      </c>
      <c r="G5806">
        <f>IF(DATOS!$A5806="",0,IF(CONFIG_METADATA!$B$4&lt;&gt;"OR+EX",--(DATOS!$G5806=CONFIG_METADATA!$B$4),IF(DATOS!$G5806="EX",1,IF(DATOS!$G5806="OR",--(COUNTIFS(nNIA,DATOS!$A5806,nCURSO,DATOS!$D5806,nESPEC,DATOS!$E5806,nASIG,DATOS!$I5806,nEVAL,"EX")=0),0))))</f>
      </c>
      <c r="H5806">
        <f>IF(DATOS!$G5806&lt;&gt;"EX",0,--(COUNTIFS(nNIA,DATOS!$A5806,nCURSO,DATOS!$D5806,nESPEC,DATOS!$E5806,nASIG,DATOS!$I5806,nEVAL,"OR")=0))</f>
      </c>
      <c r="I5806">
        <f>IF(DATOS!$I5806="","",IFERROR(VLOOKUP(DATOS!$I5806,CONFIG_ASIGNATURAS!$B$2:$J$91,9,FALSE()),""))</f>
      </c>
    </row>
    <row r="5807">
      <c r="F5807">
        <f>IF(DATOS!$A5807="","",DATOS!$A5807&amp;"|"&amp;DATOS!$D5807&amp;"|"&amp;DATOS!$E5807&amp;"|"&amp;DATOS!$I5807)</f>
      </c>
      <c r="G5807">
        <f>IF(DATOS!$A5807="",0,IF(CONFIG_METADATA!$B$4&lt;&gt;"OR+EX",--(DATOS!$G5807=CONFIG_METADATA!$B$4),IF(DATOS!$G5807="EX",1,IF(DATOS!$G5807="OR",--(COUNTIFS(nNIA,DATOS!$A5807,nCURSO,DATOS!$D5807,nESPEC,DATOS!$E5807,nASIG,DATOS!$I5807,nEVAL,"EX")=0),0))))</f>
      </c>
      <c r="H5807">
        <f>IF(DATOS!$G5807&lt;&gt;"EX",0,--(COUNTIFS(nNIA,DATOS!$A5807,nCURSO,DATOS!$D5807,nESPEC,DATOS!$E5807,nASIG,DATOS!$I5807,nEVAL,"OR")=0))</f>
      </c>
      <c r="I5807">
        <f>IF(DATOS!$I5807="","",IFERROR(VLOOKUP(DATOS!$I5807,CONFIG_ASIGNATURAS!$B$2:$J$91,9,FALSE()),""))</f>
      </c>
    </row>
    <row r="5808">
      <c r="F5808">
        <f>IF(DATOS!$A5808="","",DATOS!$A5808&amp;"|"&amp;DATOS!$D5808&amp;"|"&amp;DATOS!$E5808&amp;"|"&amp;DATOS!$I5808)</f>
      </c>
      <c r="G5808">
        <f>IF(DATOS!$A5808="",0,IF(CONFIG_METADATA!$B$4&lt;&gt;"OR+EX",--(DATOS!$G5808=CONFIG_METADATA!$B$4),IF(DATOS!$G5808="EX",1,IF(DATOS!$G5808="OR",--(COUNTIFS(nNIA,DATOS!$A5808,nCURSO,DATOS!$D5808,nESPEC,DATOS!$E5808,nASIG,DATOS!$I5808,nEVAL,"EX")=0),0))))</f>
      </c>
      <c r="H5808">
        <f>IF(DATOS!$G5808&lt;&gt;"EX",0,--(COUNTIFS(nNIA,DATOS!$A5808,nCURSO,DATOS!$D5808,nESPEC,DATOS!$E5808,nASIG,DATOS!$I5808,nEVAL,"OR")=0))</f>
      </c>
      <c r="I5808">
        <f>IF(DATOS!$I5808="","",IFERROR(VLOOKUP(DATOS!$I5808,CONFIG_ASIGNATURAS!$B$2:$J$91,9,FALSE()),""))</f>
      </c>
    </row>
    <row r="5809">
      <c r="F5809">
        <f>IF(DATOS!$A5809="","",DATOS!$A5809&amp;"|"&amp;DATOS!$D5809&amp;"|"&amp;DATOS!$E5809&amp;"|"&amp;DATOS!$I5809)</f>
      </c>
      <c r="G5809">
        <f>IF(DATOS!$A5809="",0,IF(CONFIG_METADATA!$B$4&lt;&gt;"OR+EX",--(DATOS!$G5809=CONFIG_METADATA!$B$4),IF(DATOS!$G5809="EX",1,IF(DATOS!$G5809="OR",--(COUNTIFS(nNIA,DATOS!$A5809,nCURSO,DATOS!$D5809,nESPEC,DATOS!$E5809,nASIG,DATOS!$I5809,nEVAL,"EX")=0),0))))</f>
      </c>
      <c r="H5809">
        <f>IF(DATOS!$G5809&lt;&gt;"EX",0,--(COUNTIFS(nNIA,DATOS!$A5809,nCURSO,DATOS!$D5809,nESPEC,DATOS!$E5809,nASIG,DATOS!$I5809,nEVAL,"OR")=0))</f>
      </c>
      <c r="I5809">
        <f>IF(DATOS!$I5809="","",IFERROR(VLOOKUP(DATOS!$I5809,CONFIG_ASIGNATURAS!$B$2:$J$91,9,FALSE()),""))</f>
      </c>
    </row>
    <row r="5810">
      <c r="F5810">
        <f>IF(DATOS!$A5810="","",DATOS!$A5810&amp;"|"&amp;DATOS!$D5810&amp;"|"&amp;DATOS!$E5810&amp;"|"&amp;DATOS!$I5810)</f>
      </c>
      <c r="G5810">
        <f>IF(DATOS!$A5810="",0,IF(CONFIG_METADATA!$B$4&lt;&gt;"OR+EX",--(DATOS!$G5810=CONFIG_METADATA!$B$4),IF(DATOS!$G5810="EX",1,IF(DATOS!$G5810="OR",--(COUNTIFS(nNIA,DATOS!$A5810,nCURSO,DATOS!$D5810,nESPEC,DATOS!$E5810,nASIG,DATOS!$I5810,nEVAL,"EX")=0),0))))</f>
      </c>
      <c r="H5810">
        <f>IF(DATOS!$G5810&lt;&gt;"EX",0,--(COUNTIFS(nNIA,DATOS!$A5810,nCURSO,DATOS!$D5810,nESPEC,DATOS!$E5810,nASIG,DATOS!$I5810,nEVAL,"OR")=0))</f>
      </c>
      <c r="I5810">
        <f>IF(DATOS!$I5810="","",IFERROR(VLOOKUP(DATOS!$I5810,CONFIG_ASIGNATURAS!$B$2:$J$91,9,FALSE()),""))</f>
      </c>
    </row>
    <row r="5811">
      <c r="F5811">
        <f>IF(DATOS!$A5811="","",DATOS!$A5811&amp;"|"&amp;DATOS!$D5811&amp;"|"&amp;DATOS!$E5811&amp;"|"&amp;DATOS!$I5811)</f>
      </c>
      <c r="G5811">
        <f>IF(DATOS!$A5811="",0,IF(CONFIG_METADATA!$B$4&lt;&gt;"OR+EX",--(DATOS!$G5811=CONFIG_METADATA!$B$4),IF(DATOS!$G5811="EX",1,IF(DATOS!$G5811="OR",--(COUNTIFS(nNIA,DATOS!$A5811,nCURSO,DATOS!$D5811,nESPEC,DATOS!$E5811,nASIG,DATOS!$I5811,nEVAL,"EX")=0),0))))</f>
      </c>
      <c r="H5811">
        <f>IF(DATOS!$G5811&lt;&gt;"EX",0,--(COUNTIFS(nNIA,DATOS!$A5811,nCURSO,DATOS!$D5811,nESPEC,DATOS!$E5811,nASIG,DATOS!$I5811,nEVAL,"OR")=0))</f>
      </c>
      <c r="I5811">
        <f>IF(DATOS!$I5811="","",IFERROR(VLOOKUP(DATOS!$I5811,CONFIG_ASIGNATURAS!$B$2:$J$91,9,FALSE()),""))</f>
      </c>
    </row>
    <row r="5812">
      <c r="F5812">
        <f>IF(DATOS!$A5812="","",DATOS!$A5812&amp;"|"&amp;DATOS!$D5812&amp;"|"&amp;DATOS!$E5812&amp;"|"&amp;DATOS!$I5812)</f>
      </c>
      <c r="G5812">
        <f>IF(DATOS!$A5812="",0,IF(CONFIG_METADATA!$B$4&lt;&gt;"OR+EX",--(DATOS!$G5812=CONFIG_METADATA!$B$4),IF(DATOS!$G5812="EX",1,IF(DATOS!$G5812="OR",--(COUNTIFS(nNIA,DATOS!$A5812,nCURSO,DATOS!$D5812,nESPEC,DATOS!$E5812,nASIG,DATOS!$I5812,nEVAL,"EX")=0),0))))</f>
      </c>
      <c r="H5812">
        <f>IF(DATOS!$G5812&lt;&gt;"EX",0,--(COUNTIFS(nNIA,DATOS!$A5812,nCURSO,DATOS!$D5812,nESPEC,DATOS!$E5812,nASIG,DATOS!$I5812,nEVAL,"OR")=0))</f>
      </c>
      <c r="I5812">
        <f>IF(DATOS!$I5812="","",IFERROR(VLOOKUP(DATOS!$I5812,CONFIG_ASIGNATURAS!$B$2:$J$91,9,FALSE()),""))</f>
      </c>
    </row>
    <row r="5813">
      <c r="F5813">
        <f>IF(DATOS!$A5813="","",DATOS!$A5813&amp;"|"&amp;DATOS!$D5813&amp;"|"&amp;DATOS!$E5813&amp;"|"&amp;DATOS!$I5813)</f>
      </c>
      <c r="G5813">
        <f>IF(DATOS!$A5813="",0,IF(CONFIG_METADATA!$B$4&lt;&gt;"OR+EX",--(DATOS!$G5813=CONFIG_METADATA!$B$4),IF(DATOS!$G5813="EX",1,IF(DATOS!$G5813="OR",--(COUNTIFS(nNIA,DATOS!$A5813,nCURSO,DATOS!$D5813,nESPEC,DATOS!$E5813,nASIG,DATOS!$I5813,nEVAL,"EX")=0),0))))</f>
      </c>
      <c r="H5813">
        <f>IF(DATOS!$G5813&lt;&gt;"EX",0,--(COUNTIFS(nNIA,DATOS!$A5813,nCURSO,DATOS!$D5813,nESPEC,DATOS!$E5813,nASIG,DATOS!$I5813,nEVAL,"OR")=0))</f>
      </c>
      <c r="I5813">
        <f>IF(DATOS!$I5813="","",IFERROR(VLOOKUP(DATOS!$I5813,CONFIG_ASIGNATURAS!$B$2:$J$91,9,FALSE()),""))</f>
      </c>
    </row>
    <row r="5814">
      <c r="F5814">
        <f>IF(DATOS!$A5814="","",DATOS!$A5814&amp;"|"&amp;DATOS!$D5814&amp;"|"&amp;DATOS!$E5814&amp;"|"&amp;DATOS!$I5814)</f>
      </c>
      <c r="G5814">
        <f>IF(DATOS!$A5814="",0,IF(CONFIG_METADATA!$B$4&lt;&gt;"OR+EX",--(DATOS!$G5814=CONFIG_METADATA!$B$4),IF(DATOS!$G5814="EX",1,IF(DATOS!$G5814="OR",--(COUNTIFS(nNIA,DATOS!$A5814,nCURSO,DATOS!$D5814,nESPEC,DATOS!$E5814,nASIG,DATOS!$I5814,nEVAL,"EX")=0),0))))</f>
      </c>
      <c r="H5814">
        <f>IF(DATOS!$G5814&lt;&gt;"EX",0,--(COUNTIFS(nNIA,DATOS!$A5814,nCURSO,DATOS!$D5814,nESPEC,DATOS!$E5814,nASIG,DATOS!$I5814,nEVAL,"OR")=0))</f>
      </c>
      <c r="I5814">
        <f>IF(DATOS!$I5814="","",IFERROR(VLOOKUP(DATOS!$I5814,CONFIG_ASIGNATURAS!$B$2:$J$91,9,FALSE()),""))</f>
      </c>
    </row>
    <row r="5815">
      <c r="F5815">
        <f>IF(DATOS!$A5815="","",DATOS!$A5815&amp;"|"&amp;DATOS!$D5815&amp;"|"&amp;DATOS!$E5815&amp;"|"&amp;DATOS!$I5815)</f>
      </c>
      <c r="G5815">
        <f>IF(DATOS!$A5815="",0,IF(CONFIG_METADATA!$B$4&lt;&gt;"OR+EX",--(DATOS!$G5815=CONFIG_METADATA!$B$4),IF(DATOS!$G5815="EX",1,IF(DATOS!$G5815="OR",--(COUNTIFS(nNIA,DATOS!$A5815,nCURSO,DATOS!$D5815,nESPEC,DATOS!$E5815,nASIG,DATOS!$I5815,nEVAL,"EX")=0),0))))</f>
      </c>
      <c r="H5815">
        <f>IF(DATOS!$G5815&lt;&gt;"EX",0,--(COUNTIFS(nNIA,DATOS!$A5815,nCURSO,DATOS!$D5815,nESPEC,DATOS!$E5815,nASIG,DATOS!$I5815,nEVAL,"OR")=0))</f>
      </c>
      <c r="I5815">
        <f>IF(DATOS!$I5815="","",IFERROR(VLOOKUP(DATOS!$I5815,CONFIG_ASIGNATURAS!$B$2:$J$91,9,FALSE()),""))</f>
      </c>
    </row>
    <row r="5816">
      <c r="F5816">
        <f>IF(DATOS!$A5816="","",DATOS!$A5816&amp;"|"&amp;DATOS!$D5816&amp;"|"&amp;DATOS!$E5816&amp;"|"&amp;DATOS!$I5816)</f>
      </c>
      <c r="G5816">
        <f>IF(DATOS!$A5816="",0,IF(CONFIG_METADATA!$B$4&lt;&gt;"OR+EX",--(DATOS!$G5816=CONFIG_METADATA!$B$4),IF(DATOS!$G5816="EX",1,IF(DATOS!$G5816="OR",--(COUNTIFS(nNIA,DATOS!$A5816,nCURSO,DATOS!$D5816,nESPEC,DATOS!$E5816,nASIG,DATOS!$I5816,nEVAL,"EX")=0),0))))</f>
      </c>
      <c r="H5816">
        <f>IF(DATOS!$G5816&lt;&gt;"EX",0,--(COUNTIFS(nNIA,DATOS!$A5816,nCURSO,DATOS!$D5816,nESPEC,DATOS!$E5816,nASIG,DATOS!$I5816,nEVAL,"OR")=0))</f>
      </c>
      <c r="I5816">
        <f>IF(DATOS!$I5816="","",IFERROR(VLOOKUP(DATOS!$I5816,CONFIG_ASIGNATURAS!$B$2:$J$91,9,FALSE()),""))</f>
      </c>
    </row>
    <row r="5817">
      <c r="F5817">
        <f>IF(DATOS!$A5817="","",DATOS!$A5817&amp;"|"&amp;DATOS!$D5817&amp;"|"&amp;DATOS!$E5817&amp;"|"&amp;DATOS!$I5817)</f>
      </c>
      <c r="G5817">
        <f>IF(DATOS!$A5817="",0,IF(CONFIG_METADATA!$B$4&lt;&gt;"OR+EX",--(DATOS!$G5817=CONFIG_METADATA!$B$4),IF(DATOS!$G5817="EX",1,IF(DATOS!$G5817="OR",--(COUNTIFS(nNIA,DATOS!$A5817,nCURSO,DATOS!$D5817,nESPEC,DATOS!$E5817,nASIG,DATOS!$I5817,nEVAL,"EX")=0),0))))</f>
      </c>
      <c r="H5817">
        <f>IF(DATOS!$G5817&lt;&gt;"EX",0,--(COUNTIFS(nNIA,DATOS!$A5817,nCURSO,DATOS!$D5817,nESPEC,DATOS!$E5817,nASIG,DATOS!$I5817,nEVAL,"OR")=0))</f>
      </c>
      <c r="I5817">
        <f>IF(DATOS!$I5817="","",IFERROR(VLOOKUP(DATOS!$I5817,CONFIG_ASIGNATURAS!$B$2:$J$91,9,FALSE()),""))</f>
      </c>
    </row>
    <row r="5818">
      <c r="F5818">
        <f>IF(DATOS!$A5818="","",DATOS!$A5818&amp;"|"&amp;DATOS!$D5818&amp;"|"&amp;DATOS!$E5818&amp;"|"&amp;DATOS!$I5818)</f>
      </c>
      <c r="G5818">
        <f>IF(DATOS!$A5818="",0,IF(CONFIG_METADATA!$B$4&lt;&gt;"OR+EX",--(DATOS!$G5818=CONFIG_METADATA!$B$4),IF(DATOS!$G5818="EX",1,IF(DATOS!$G5818="OR",--(COUNTIFS(nNIA,DATOS!$A5818,nCURSO,DATOS!$D5818,nESPEC,DATOS!$E5818,nASIG,DATOS!$I5818,nEVAL,"EX")=0),0))))</f>
      </c>
      <c r="H5818">
        <f>IF(DATOS!$G5818&lt;&gt;"EX",0,--(COUNTIFS(nNIA,DATOS!$A5818,nCURSO,DATOS!$D5818,nESPEC,DATOS!$E5818,nASIG,DATOS!$I5818,nEVAL,"OR")=0))</f>
      </c>
      <c r="I5818">
        <f>IF(DATOS!$I5818="","",IFERROR(VLOOKUP(DATOS!$I5818,CONFIG_ASIGNATURAS!$B$2:$J$91,9,FALSE()),""))</f>
      </c>
    </row>
    <row r="5819">
      <c r="F5819">
        <f>IF(DATOS!$A5819="","",DATOS!$A5819&amp;"|"&amp;DATOS!$D5819&amp;"|"&amp;DATOS!$E5819&amp;"|"&amp;DATOS!$I5819)</f>
      </c>
      <c r="G5819">
        <f>IF(DATOS!$A5819="",0,IF(CONFIG_METADATA!$B$4&lt;&gt;"OR+EX",--(DATOS!$G5819=CONFIG_METADATA!$B$4),IF(DATOS!$G5819="EX",1,IF(DATOS!$G5819="OR",--(COUNTIFS(nNIA,DATOS!$A5819,nCURSO,DATOS!$D5819,nESPEC,DATOS!$E5819,nASIG,DATOS!$I5819,nEVAL,"EX")=0),0))))</f>
      </c>
      <c r="H5819">
        <f>IF(DATOS!$G5819&lt;&gt;"EX",0,--(COUNTIFS(nNIA,DATOS!$A5819,nCURSO,DATOS!$D5819,nESPEC,DATOS!$E5819,nASIG,DATOS!$I5819,nEVAL,"OR")=0))</f>
      </c>
      <c r="I5819">
        <f>IF(DATOS!$I5819="","",IFERROR(VLOOKUP(DATOS!$I5819,CONFIG_ASIGNATURAS!$B$2:$J$91,9,FALSE()),""))</f>
      </c>
    </row>
    <row r="5820">
      <c r="F5820">
        <f>IF(DATOS!$A5820="","",DATOS!$A5820&amp;"|"&amp;DATOS!$D5820&amp;"|"&amp;DATOS!$E5820&amp;"|"&amp;DATOS!$I5820)</f>
      </c>
      <c r="G5820">
        <f>IF(DATOS!$A5820="",0,IF(CONFIG_METADATA!$B$4&lt;&gt;"OR+EX",--(DATOS!$G5820=CONFIG_METADATA!$B$4),IF(DATOS!$G5820="EX",1,IF(DATOS!$G5820="OR",--(COUNTIFS(nNIA,DATOS!$A5820,nCURSO,DATOS!$D5820,nESPEC,DATOS!$E5820,nASIG,DATOS!$I5820,nEVAL,"EX")=0),0))))</f>
      </c>
      <c r="H5820">
        <f>IF(DATOS!$G5820&lt;&gt;"EX",0,--(COUNTIFS(nNIA,DATOS!$A5820,nCURSO,DATOS!$D5820,nESPEC,DATOS!$E5820,nASIG,DATOS!$I5820,nEVAL,"OR")=0))</f>
      </c>
      <c r="I5820">
        <f>IF(DATOS!$I5820="","",IFERROR(VLOOKUP(DATOS!$I5820,CONFIG_ASIGNATURAS!$B$2:$J$91,9,FALSE()),""))</f>
      </c>
    </row>
    <row r="5821">
      <c r="F5821">
        <f>IF(DATOS!$A5821="","",DATOS!$A5821&amp;"|"&amp;DATOS!$D5821&amp;"|"&amp;DATOS!$E5821&amp;"|"&amp;DATOS!$I5821)</f>
      </c>
      <c r="G5821">
        <f>IF(DATOS!$A5821="",0,IF(CONFIG_METADATA!$B$4&lt;&gt;"OR+EX",--(DATOS!$G5821=CONFIG_METADATA!$B$4),IF(DATOS!$G5821="EX",1,IF(DATOS!$G5821="OR",--(COUNTIFS(nNIA,DATOS!$A5821,nCURSO,DATOS!$D5821,nESPEC,DATOS!$E5821,nASIG,DATOS!$I5821,nEVAL,"EX")=0),0))))</f>
      </c>
      <c r="H5821">
        <f>IF(DATOS!$G5821&lt;&gt;"EX",0,--(COUNTIFS(nNIA,DATOS!$A5821,nCURSO,DATOS!$D5821,nESPEC,DATOS!$E5821,nASIG,DATOS!$I5821,nEVAL,"OR")=0))</f>
      </c>
      <c r="I5821">
        <f>IF(DATOS!$I5821="","",IFERROR(VLOOKUP(DATOS!$I5821,CONFIG_ASIGNATURAS!$B$2:$J$91,9,FALSE()),""))</f>
      </c>
    </row>
    <row r="5822">
      <c r="F5822">
        <f>IF(DATOS!$A5822="","",DATOS!$A5822&amp;"|"&amp;DATOS!$D5822&amp;"|"&amp;DATOS!$E5822&amp;"|"&amp;DATOS!$I5822)</f>
      </c>
      <c r="G5822">
        <f>IF(DATOS!$A5822="",0,IF(CONFIG_METADATA!$B$4&lt;&gt;"OR+EX",--(DATOS!$G5822=CONFIG_METADATA!$B$4),IF(DATOS!$G5822="EX",1,IF(DATOS!$G5822="OR",--(COUNTIFS(nNIA,DATOS!$A5822,nCURSO,DATOS!$D5822,nESPEC,DATOS!$E5822,nASIG,DATOS!$I5822,nEVAL,"EX")=0),0))))</f>
      </c>
      <c r="H5822">
        <f>IF(DATOS!$G5822&lt;&gt;"EX",0,--(COUNTIFS(nNIA,DATOS!$A5822,nCURSO,DATOS!$D5822,nESPEC,DATOS!$E5822,nASIG,DATOS!$I5822,nEVAL,"OR")=0))</f>
      </c>
      <c r="I5822">
        <f>IF(DATOS!$I5822="","",IFERROR(VLOOKUP(DATOS!$I5822,CONFIG_ASIGNATURAS!$B$2:$J$91,9,FALSE()),""))</f>
      </c>
    </row>
    <row r="5823">
      <c r="F5823">
        <f>IF(DATOS!$A5823="","",DATOS!$A5823&amp;"|"&amp;DATOS!$D5823&amp;"|"&amp;DATOS!$E5823&amp;"|"&amp;DATOS!$I5823)</f>
      </c>
      <c r="G5823">
        <f>IF(DATOS!$A5823="",0,IF(CONFIG_METADATA!$B$4&lt;&gt;"OR+EX",--(DATOS!$G5823=CONFIG_METADATA!$B$4),IF(DATOS!$G5823="EX",1,IF(DATOS!$G5823="OR",--(COUNTIFS(nNIA,DATOS!$A5823,nCURSO,DATOS!$D5823,nESPEC,DATOS!$E5823,nASIG,DATOS!$I5823,nEVAL,"EX")=0),0))))</f>
      </c>
      <c r="H5823">
        <f>IF(DATOS!$G5823&lt;&gt;"EX",0,--(COUNTIFS(nNIA,DATOS!$A5823,nCURSO,DATOS!$D5823,nESPEC,DATOS!$E5823,nASIG,DATOS!$I5823,nEVAL,"OR")=0))</f>
      </c>
      <c r="I5823">
        <f>IF(DATOS!$I5823="","",IFERROR(VLOOKUP(DATOS!$I5823,CONFIG_ASIGNATURAS!$B$2:$J$91,9,FALSE()),""))</f>
      </c>
    </row>
    <row r="5824">
      <c r="F5824">
        <f>IF(DATOS!$A5824="","",DATOS!$A5824&amp;"|"&amp;DATOS!$D5824&amp;"|"&amp;DATOS!$E5824&amp;"|"&amp;DATOS!$I5824)</f>
      </c>
      <c r="G5824">
        <f>IF(DATOS!$A5824="",0,IF(CONFIG_METADATA!$B$4&lt;&gt;"OR+EX",--(DATOS!$G5824=CONFIG_METADATA!$B$4),IF(DATOS!$G5824="EX",1,IF(DATOS!$G5824="OR",--(COUNTIFS(nNIA,DATOS!$A5824,nCURSO,DATOS!$D5824,nESPEC,DATOS!$E5824,nASIG,DATOS!$I5824,nEVAL,"EX")=0),0))))</f>
      </c>
      <c r="H5824">
        <f>IF(DATOS!$G5824&lt;&gt;"EX",0,--(COUNTIFS(nNIA,DATOS!$A5824,nCURSO,DATOS!$D5824,nESPEC,DATOS!$E5824,nASIG,DATOS!$I5824,nEVAL,"OR")=0))</f>
      </c>
      <c r="I5824">
        <f>IF(DATOS!$I5824="","",IFERROR(VLOOKUP(DATOS!$I5824,CONFIG_ASIGNATURAS!$B$2:$J$91,9,FALSE()),""))</f>
      </c>
    </row>
    <row r="5825">
      <c r="F5825">
        <f>IF(DATOS!$A5825="","",DATOS!$A5825&amp;"|"&amp;DATOS!$D5825&amp;"|"&amp;DATOS!$E5825&amp;"|"&amp;DATOS!$I5825)</f>
      </c>
      <c r="G5825">
        <f>IF(DATOS!$A5825="",0,IF(CONFIG_METADATA!$B$4&lt;&gt;"OR+EX",--(DATOS!$G5825=CONFIG_METADATA!$B$4),IF(DATOS!$G5825="EX",1,IF(DATOS!$G5825="OR",--(COUNTIFS(nNIA,DATOS!$A5825,nCURSO,DATOS!$D5825,nESPEC,DATOS!$E5825,nASIG,DATOS!$I5825,nEVAL,"EX")=0),0))))</f>
      </c>
      <c r="H5825">
        <f>IF(DATOS!$G5825&lt;&gt;"EX",0,--(COUNTIFS(nNIA,DATOS!$A5825,nCURSO,DATOS!$D5825,nESPEC,DATOS!$E5825,nASIG,DATOS!$I5825,nEVAL,"OR")=0))</f>
      </c>
      <c r="I5825">
        <f>IF(DATOS!$I5825="","",IFERROR(VLOOKUP(DATOS!$I5825,CONFIG_ASIGNATURAS!$B$2:$J$91,9,FALSE()),""))</f>
      </c>
    </row>
    <row r="5826">
      <c r="F5826">
        <f>IF(DATOS!$A5826="","",DATOS!$A5826&amp;"|"&amp;DATOS!$D5826&amp;"|"&amp;DATOS!$E5826&amp;"|"&amp;DATOS!$I5826)</f>
      </c>
      <c r="G5826">
        <f>IF(DATOS!$A5826="",0,IF(CONFIG_METADATA!$B$4&lt;&gt;"OR+EX",--(DATOS!$G5826=CONFIG_METADATA!$B$4),IF(DATOS!$G5826="EX",1,IF(DATOS!$G5826="OR",--(COUNTIFS(nNIA,DATOS!$A5826,nCURSO,DATOS!$D5826,nESPEC,DATOS!$E5826,nASIG,DATOS!$I5826,nEVAL,"EX")=0),0))))</f>
      </c>
      <c r="H5826">
        <f>IF(DATOS!$G5826&lt;&gt;"EX",0,--(COUNTIFS(nNIA,DATOS!$A5826,nCURSO,DATOS!$D5826,nESPEC,DATOS!$E5826,nASIG,DATOS!$I5826,nEVAL,"OR")=0))</f>
      </c>
      <c r="I5826">
        <f>IF(DATOS!$I5826="","",IFERROR(VLOOKUP(DATOS!$I5826,CONFIG_ASIGNATURAS!$B$2:$J$91,9,FALSE()),""))</f>
      </c>
    </row>
    <row r="5827">
      <c r="F5827">
        <f>IF(DATOS!$A5827="","",DATOS!$A5827&amp;"|"&amp;DATOS!$D5827&amp;"|"&amp;DATOS!$E5827&amp;"|"&amp;DATOS!$I5827)</f>
      </c>
      <c r="G5827">
        <f>IF(DATOS!$A5827="",0,IF(CONFIG_METADATA!$B$4&lt;&gt;"OR+EX",--(DATOS!$G5827=CONFIG_METADATA!$B$4),IF(DATOS!$G5827="EX",1,IF(DATOS!$G5827="OR",--(COUNTIFS(nNIA,DATOS!$A5827,nCURSO,DATOS!$D5827,nESPEC,DATOS!$E5827,nASIG,DATOS!$I5827,nEVAL,"EX")=0),0))))</f>
      </c>
      <c r="H5827">
        <f>IF(DATOS!$G5827&lt;&gt;"EX",0,--(COUNTIFS(nNIA,DATOS!$A5827,nCURSO,DATOS!$D5827,nESPEC,DATOS!$E5827,nASIG,DATOS!$I5827,nEVAL,"OR")=0))</f>
      </c>
      <c r="I5827">
        <f>IF(DATOS!$I5827="","",IFERROR(VLOOKUP(DATOS!$I5827,CONFIG_ASIGNATURAS!$B$2:$J$91,9,FALSE()),""))</f>
      </c>
    </row>
    <row r="5828">
      <c r="F5828">
        <f>IF(DATOS!$A5828="","",DATOS!$A5828&amp;"|"&amp;DATOS!$D5828&amp;"|"&amp;DATOS!$E5828&amp;"|"&amp;DATOS!$I5828)</f>
      </c>
      <c r="G5828">
        <f>IF(DATOS!$A5828="",0,IF(CONFIG_METADATA!$B$4&lt;&gt;"OR+EX",--(DATOS!$G5828=CONFIG_METADATA!$B$4),IF(DATOS!$G5828="EX",1,IF(DATOS!$G5828="OR",--(COUNTIFS(nNIA,DATOS!$A5828,nCURSO,DATOS!$D5828,nESPEC,DATOS!$E5828,nASIG,DATOS!$I5828,nEVAL,"EX")=0),0))))</f>
      </c>
      <c r="H5828">
        <f>IF(DATOS!$G5828&lt;&gt;"EX",0,--(COUNTIFS(nNIA,DATOS!$A5828,nCURSO,DATOS!$D5828,nESPEC,DATOS!$E5828,nASIG,DATOS!$I5828,nEVAL,"OR")=0))</f>
      </c>
      <c r="I5828">
        <f>IF(DATOS!$I5828="","",IFERROR(VLOOKUP(DATOS!$I5828,CONFIG_ASIGNATURAS!$B$2:$J$91,9,FALSE()),""))</f>
      </c>
    </row>
    <row r="5829">
      <c r="F5829">
        <f>IF(DATOS!$A5829="","",DATOS!$A5829&amp;"|"&amp;DATOS!$D5829&amp;"|"&amp;DATOS!$E5829&amp;"|"&amp;DATOS!$I5829)</f>
      </c>
      <c r="G5829">
        <f>IF(DATOS!$A5829="",0,IF(CONFIG_METADATA!$B$4&lt;&gt;"OR+EX",--(DATOS!$G5829=CONFIG_METADATA!$B$4),IF(DATOS!$G5829="EX",1,IF(DATOS!$G5829="OR",--(COUNTIFS(nNIA,DATOS!$A5829,nCURSO,DATOS!$D5829,nESPEC,DATOS!$E5829,nASIG,DATOS!$I5829,nEVAL,"EX")=0),0))))</f>
      </c>
      <c r="H5829">
        <f>IF(DATOS!$G5829&lt;&gt;"EX",0,--(COUNTIFS(nNIA,DATOS!$A5829,nCURSO,DATOS!$D5829,nESPEC,DATOS!$E5829,nASIG,DATOS!$I5829,nEVAL,"OR")=0))</f>
      </c>
      <c r="I5829">
        <f>IF(DATOS!$I5829="","",IFERROR(VLOOKUP(DATOS!$I5829,CONFIG_ASIGNATURAS!$B$2:$J$91,9,FALSE()),""))</f>
      </c>
    </row>
    <row r="5830">
      <c r="F5830">
        <f>IF(DATOS!$A5830="","",DATOS!$A5830&amp;"|"&amp;DATOS!$D5830&amp;"|"&amp;DATOS!$E5830&amp;"|"&amp;DATOS!$I5830)</f>
      </c>
      <c r="G5830">
        <f>IF(DATOS!$A5830="",0,IF(CONFIG_METADATA!$B$4&lt;&gt;"OR+EX",--(DATOS!$G5830=CONFIG_METADATA!$B$4),IF(DATOS!$G5830="EX",1,IF(DATOS!$G5830="OR",--(COUNTIFS(nNIA,DATOS!$A5830,nCURSO,DATOS!$D5830,nESPEC,DATOS!$E5830,nASIG,DATOS!$I5830,nEVAL,"EX")=0),0))))</f>
      </c>
      <c r="H5830">
        <f>IF(DATOS!$G5830&lt;&gt;"EX",0,--(COUNTIFS(nNIA,DATOS!$A5830,nCURSO,DATOS!$D5830,nESPEC,DATOS!$E5830,nASIG,DATOS!$I5830,nEVAL,"OR")=0))</f>
      </c>
      <c r="I5830">
        <f>IF(DATOS!$I5830="","",IFERROR(VLOOKUP(DATOS!$I5830,CONFIG_ASIGNATURAS!$B$2:$J$91,9,FALSE()),""))</f>
      </c>
    </row>
    <row r="5831">
      <c r="F5831">
        <f>IF(DATOS!$A5831="","",DATOS!$A5831&amp;"|"&amp;DATOS!$D5831&amp;"|"&amp;DATOS!$E5831&amp;"|"&amp;DATOS!$I5831)</f>
      </c>
      <c r="G5831">
        <f>IF(DATOS!$A5831="",0,IF(CONFIG_METADATA!$B$4&lt;&gt;"OR+EX",--(DATOS!$G5831=CONFIG_METADATA!$B$4),IF(DATOS!$G5831="EX",1,IF(DATOS!$G5831="OR",--(COUNTIFS(nNIA,DATOS!$A5831,nCURSO,DATOS!$D5831,nESPEC,DATOS!$E5831,nASIG,DATOS!$I5831,nEVAL,"EX")=0),0))))</f>
      </c>
      <c r="H5831">
        <f>IF(DATOS!$G5831&lt;&gt;"EX",0,--(COUNTIFS(nNIA,DATOS!$A5831,nCURSO,DATOS!$D5831,nESPEC,DATOS!$E5831,nASIG,DATOS!$I5831,nEVAL,"OR")=0))</f>
      </c>
      <c r="I5831">
        <f>IF(DATOS!$I5831="","",IFERROR(VLOOKUP(DATOS!$I5831,CONFIG_ASIGNATURAS!$B$2:$J$91,9,FALSE()),""))</f>
      </c>
    </row>
    <row r="5832">
      <c r="F5832">
        <f>IF(DATOS!$A5832="","",DATOS!$A5832&amp;"|"&amp;DATOS!$D5832&amp;"|"&amp;DATOS!$E5832&amp;"|"&amp;DATOS!$I5832)</f>
      </c>
      <c r="G5832">
        <f>IF(DATOS!$A5832="",0,IF(CONFIG_METADATA!$B$4&lt;&gt;"OR+EX",--(DATOS!$G5832=CONFIG_METADATA!$B$4),IF(DATOS!$G5832="EX",1,IF(DATOS!$G5832="OR",--(COUNTIFS(nNIA,DATOS!$A5832,nCURSO,DATOS!$D5832,nESPEC,DATOS!$E5832,nASIG,DATOS!$I5832,nEVAL,"EX")=0),0))))</f>
      </c>
      <c r="H5832">
        <f>IF(DATOS!$G5832&lt;&gt;"EX",0,--(COUNTIFS(nNIA,DATOS!$A5832,nCURSO,DATOS!$D5832,nESPEC,DATOS!$E5832,nASIG,DATOS!$I5832,nEVAL,"OR")=0))</f>
      </c>
      <c r="I5832">
        <f>IF(DATOS!$I5832="","",IFERROR(VLOOKUP(DATOS!$I5832,CONFIG_ASIGNATURAS!$B$2:$J$91,9,FALSE()),""))</f>
      </c>
    </row>
    <row r="5833">
      <c r="F5833">
        <f>IF(DATOS!$A5833="","",DATOS!$A5833&amp;"|"&amp;DATOS!$D5833&amp;"|"&amp;DATOS!$E5833&amp;"|"&amp;DATOS!$I5833)</f>
      </c>
      <c r="G5833">
        <f>IF(DATOS!$A5833="",0,IF(CONFIG_METADATA!$B$4&lt;&gt;"OR+EX",--(DATOS!$G5833=CONFIG_METADATA!$B$4),IF(DATOS!$G5833="EX",1,IF(DATOS!$G5833="OR",--(COUNTIFS(nNIA,DATOS!$A5833,nCURSO,DATOS!$D5833,nESPEC,DATOS!$E5833,nASIG,DATOS!$I5833,nEVAL,"EX")=0),0))))</f>
      </c>
      <c r="H5833">
        <f>IF(DATOS!$G5833&lt;&gt;"EX",0,--(COUNTIFS(nNIA,DATOS!$A5833,nCURSO,DATOS!$D5833,nESPEC,DATOS!$E5833,nASIG,DATOS!$I5833,nEVAL,"OR")=0))</f>
      </c>
      <c r="I5833">
        <f>IF(DATOS!$I5833="","",IFERROR(VLOOKUP(DATOS!$I5833,CONFIG_ASIGNATURAS!$B$2:$J$91,9,FALSE()),""))</f>
      </c>
    </row>
    <row r="5834">
      <c r="F5834">
        <f>IF(DATOS!$A5834="","",DATOS!$A5834&amp;"|"&amp;DATOS!$D5834&amp;"|"&amp;DATOS!$E5834&amp;"|"&amp;DATOS!$I5834)</f>
      </c>
      <c r="G5834">
        <f>IF(DATOS!$A5834="",0,IF(CONFIG_METADATA!$B$4&lt;&gt;"OR+EX",--(DATOS!$G5834=CONFIG_METADATA!$B$4),IF(DATOS!$G5834="EX",1,IF(DATOS!$G5834="OR",--(COUNTIFS(nNIA,DATOS!$A5834,nCURSO,DATOS!$D5834,nESPEC,DATOS!$E5834,nASIG,DATOS!$I5834,nEVAL,"EX")=0),0))))</f>
      </c>
      <c r="H5834">
        <f>IF(DATOS!$G5834&lt;&gt;"EX",0,--(COUNTIFS(nNIA,DATOS!$A5834,nCURSO,DATOS!$D5834,nESPEC,DATOS!$E5834,nASIG,DATOS!$I5834,nEVAL,"OR")=0))</f>
      </c>
      <c r="I5834">
        <f>IF(DATOS!$I5834="","",IFERROR(VLOOKUP(DATOS!$I5834,CONFIG_ASIGNATURAS!$B$2:$J$91,9,FALSE()),""))</f>
      </c>
    </row>
    <row r="5835">
      <c r="F5835">
        <f>IF(DATOS!$A5835="","",DATOS!$A5835&amp;"|"&amp;DATOS!$D5835&amp;"|"&amp;DATOS!$E5835&amp;"|"&amp;DATOS!$I5835)</f>
      </c>
      <c r="G5835">
        <f>IF(DATOS!$A5835="",0,IF(CONFIG_METADATA!$B$4&lt;&gt;"OR+EX",--(DATOS!$G5835=CONFIG_METADATA!$B$4),IF(DATOS!$G5835="EX",1,IF(DATOS!$G5835="OR",--(COUNTIFS(nNIA,DATOS!$A5835,nCURSO,DATOS!$D5835,nESPEC,DATOS!$E5835,nASIG,DATOS!$I5835,nEVAL,"EX")=0),0))))</f>
      </c>
      <c r="H5835">
        <f>IF(DATOS!$G5835&lt;&gt;"EX",0,--(COUNTIFS(nNIA,DATOS!$A5835,nCURSO,DATOS!$D5835,nESPEC,DATOS!$E5835,nASIG,DATOS!$I5835,nEVAL,"OR")=0))</f>
      </c>
      <c r="I5835">
        <f>IF(DATOS!$I5835="","",IFERROR(VLOOKUP(DATOS!$I5835,CONFIG_ASIGNATURAS!$B$2:$J$91,9,FALSE()),""))</f>
      </c>
    </row>
    <row r="5836">
      <c r="F5836">
        <f>IF(DATOS!$A5836="","",DATOS!$A5836&amp;"|"&amp;DATOS!$D5836&amp;"|"&amp;DATOS!$E5836&amp;"|"&amp;DATOS!$I5836)</f>
      </c>
      <c r="G5836">
        <f>IF(DATOS!$A5836="",0,IF(CONFIG_METADATA!$B$4&lt;&gt;"OR+EX",--(DATOS!$G5836=CONFIG_METADATA!$B$4),IF(DATOS!$G5836="EX",1,IF(DATOS!$G5836="OR",--(COUNTIFS(nNIA,DATOS!$A5836,nCURSO,DATOS!$D5836,nESPEC,DATOS!$E5836,nASIG,DATOS!$I5836,nEVAL,"EX")=0),0))))</f>
      </c>
      <c r="H5836">
        <f>IF(DATOS!$G5836&lt;&gt;"EX",0,--(COUNTIFS(nNIA,DATOS!$A5836,nCURSO,DATOS!$D5836,nESPEC,DATOS!$E5836,nASIG,DATOS!$I5836,nEVAL,"OR")=0))</f>
      </c>
      <c r="I5836">
        <f>IF(DATOS!$I5836="","",IFERROR(VLOOKUP(DATOS!$I5836,CONFIG_ASIGNATURAS!$B$2:$J$91,9,FALSE()),""))</f>
      </c>
    </row>
    <row r="5837">
      <c r="F5837">
        <f>IF(DATOS!$A5837="","",DATOS!$A5837&amp;"|"&amp;DATOS!$D5837&amp;"|"&amp;DATOS!$E5837&amp;"|"&amp;DATOS!$I5837)</f>
      </c>
      <c r="G5837">
        <f>IF(DATOS!$A5837="",0,IF(CONFIG_METADATA!$B$4&lt;&gt;"OR+EX",--(DATOS!$G5837=CONFIG_METADATA!$B$4),IF(DATOS!$G5837="EX",1,IF(DATOS!$G5837="OR",--(COUNTIFS(nNIA,DATOS!$A5837,nCURSO,DATOS!$D5837,nESPEC,DATOS!$E5837,nASIG,DATOS!$I5837,nEVAL,"EX")=0),0))))</f>
      </c>
      <c r="H5837">
        <f>IF(DATOS!$G5837&lt;&gt;"EX",0,--(COUNTIFS(nNIA,DATOS!$A5837,nCURSO,DATOS!$D5837,nESPEC,DATOS!$E5837,nASIG,DATOS!$I5837,nEVAL,"OR")=0))</f>
      </c>
      <c r="I5837">
        <f>IF(DATOS!$I5837="","",IFERROR(VLOOKUP(DATOS!$I5837,CONFIG_ASIGNATURAS!$B$2:$J$91,9,FALSE()),""))</f>
      </c>
    </row>
    <row r="5838">
      <c r="F5838">
        <f>IF(DATOS!$A5838="","",DATOS!$A5838&amp;"|"&amp;DATOS!$D5838&amp;"|"&amp;DATOS!$E5838&amp;"|"&amp;DATOS!$I5838)</f>
      </c>
      <c r="G5838">
        <f>IF(DATOS!$A5838="",0,IF(CONFIG_METADATA!$B$4&lt;&gt;"OR+EX",--(DATOS!$G5838=CONFIG_METADATA!$B$4),IF(DATOS!$G5838="EX",1,IF(DATOS!$G5838="OR",--(COUNTIFS(nNIA,DATOS!$A5838,nCURSO,DATOS!$D5838,nESPEC,DATOS!$E5838,nASIG,DATOS!$I5838,nEVAL,"EX")=0),0))))</f>
      </c>
      <c r="H5838">
        <f>IF(DATOS!$G5838&lt;&gt;"EX",0,--(COUNTIFS(nNIA,DATOS!$A5838,nCURSO,DATOS!$D5838,nESPEC,DATOS!$E5838,nASIG,DATOS!$I5838,nEVAL,"OR")=0))</f>
      </c>
      <c r="I5838">
        <f>IF(DATOS!$I5838="","",IFERROR(VLOOKUP(DATOS!$I5838,CONFIG_ASIGNATURAS!$B$2:$J$91,9,FALSE()),""))</f>
      </c>
    </row>
    <row r="5839">
      <c r="F5839">
        <f>IF(DATOS!$A5839="","",DATOS!$A5839&amp;"|"&amp;DATOS!$D5839&amp;"|"&amp;DATOS!$E5839&amp;"|"&amp;DATOS!$I5839)</f>
      </c>
      <c r="G5839">
        <f>IF(DATOS!$A5839="",0,IF(CONFIG_METADATA!$B$4&lt;&gt;"OR+EX",--(DATOS!$G5839=CONFIG_METADATA!$B$4),IF(DATOS!$G5839="EX",1,IF(DATOS!$G5839="OR",--(COUNTIFS(nNIA,DATOS!$A5839,nCURSO,DATOS!$D5839,nESPEC,DATOS!$E5839,nASIG,DATOS!$I5839,nEVAL,"EX")=0),0))))</f>
      </c>
      <c r="H5839">
        <f>IF(DATOS!$G5839&lt;&gt;"EX",0,--(COUNTIFS(nNIA,DATOS!$A5839,nCURSO,DATOS!$D5839,nESPEC,DATOS!$E5839,nASIG,DATOS!$I5839,nEVAL,"OR")=0))</f>
      </c>
      <c r="I5839">
        <f>IF(DATOS!$I5839="","",IFERROR(VLOOKUP(DATOS!$I5839,CONFIG_ASIGNATURAS!$B$2:$J$91,9,FALSE()),""))</f>
      </c>
    </row>
    <row r="5840">
      <c r="F5840">
        <f>IF(DATOS!$A5840="","",DATOS!$A5840&amp;"|"&amp;DATOS!$D5840&amp;"|"&amp;DATOS!$E5840&amp;"|"&amp;DATOS!$I5840)</f>
      </c>
      <c r="G5840">
        <f>IF(DATOS!$A5840="",0,IF(CONFIG_METADATA!$B$4&lt;&gt;"OR+EX",--(DATOS!$G5840=CONFIG_METADATA!$B$4),IF(DATOS!$G5840="EX",1,IF(DATOS!$G5840="OR",--(COUNTIFS(nNIA,DATOS!$A5840,nCURSO,DATOS!$D5840,nESPEC,DATOS!$E5840,nASIG,DATOS!$I5840,nEVAL,"EX")=0),0))))</f>
      </c>
      <c r="H5840">
        <f>IF(DATOS!$G5840&lt;&gt;"EX",0,--(COUNTIFS(nNIA,DATOS!$A5840,nCURSO,DATOS!$D5840,nESPEC,DATOS!$E5840,nASIG,DATOS!$I5840,nEVAL,"OR")=0))</f>
      </c>
      <c r="I5840">
        <f>IF(DATOS!$I5840="","",IFERROR(VLOOKUP(DATOS!$I5840,CONFIG_ASIGNATURAS!$B$2:$J$91,9,FALSE()),""))</f>
      </c>
    </row>
    <row r="5841">
      <c r="F5841">
        <f>IF(DATOS!$A5841="","",DATOS!$A5841&amp;"|"&amp;DATOS!$D5841&amp;"|"&amp;DATOS!$E5841&amp;"|"&amp;DATOS!$I5841)</f>
      </c>
      <c r="G5841">
        <f>IF(DATOS!$A5841="",0,IF(CONFIG_METADATA!$B$4&lt;&gt;"OR+EX",--(DATOS!$G5841=CONFIG_METADATA!$B$4),IF(DATOS!$G5841="EX",1,IF(DATOS!$G5841="OR",--(COUNTIFS(nNIA,DATOS!$A5841,nCURSO,DATOS!$D5841,nESPEC,DATOS!$E5841,nASIG,DATOS!$I5841,nEVAL,"EX")=0),0))))</f>
      </c>
      <c r="H5841">
        <f>IF(DATOS!$G5841&lt;&gt;"EX",0,--(COUNTIFS(nNIA,DATOS!$A5841,nCURSO,DATOS!$D5841,nESPEC,DATOS!$E5841,nASIG,DATOS!$I5841,nEVAL,"OR")=0))</f>
      </c>
      <c r="I5841">
        <f>IF(DATOS!$I5841="","",IFERROR(VLOOKUP(DATOS!$I5841,CONFIG_ASIGNATURAS!$B$2:$J$91,9,FALSE()),""))</f>
      </c>
    </row>
    <row r="5842">
      <c r="F5842">
        <f>IF(DATOS!$A5842="","",DATOS!$A5842&amp;"|"&amp;DATOS!$D5842&amp;"|"&amp;DATOS!$E5842&amp;"|"&amp;DATOS!$I5842)</f>
      </c>
      <c r="G5842">
        <f>IF(DATOS!$A5842="",0,IF(CONFIG_METADATA!$B$4&lt;&gt;"OR+EX",--(DATOS!$G5842=CONFIG_METADATA!$B$4),IF(DATOS!$G5842="EX",1,IF(DATOS!$G5842="OR",--(COUNTIFS(nNIA,DATOS!$A5842,nCURSO,DATOS!$D5842,nESPEC,DATOS!$E5842,nASIG,DATOS!$I5842,nEVAL,"EX")=0),0))))</f>
      </c>
      <c r="H5842">
        <f>IF(DATOS!$G5842&lt;&gt;"EX",0,--(COUNTIFS(nNIA,DATOS!$A5842,nCURSO,DATOS!$D5842,nESPEC,DATOS!$E5842,nASIG,DATOS!$I5842,nEVAL,"OR")=0))</f>
      </c>
      <c r="I5842">
        <f>IF(DATOS!$I5842="","",IFERROR(VLOOKUP(DATOS!$I5842,CONFIG_ASIGNATURAS!$B$2:$J$91,9,FALSE()),""))</f>
      </c>
    </row>
    <row r="5843">
      <c r="F5843">
        <f>IF(DATOS!$A5843="","",DATOS!$A5843&amp;"|"&amp;DATOS!$D5843&amp;"|"&amp;DATOS!$E5843&amp;"|"&amp;DATOS!$I5843)</f>
      </c>
      <c r="G5843">
        <f>IF(DATOS!$A5843="",0,IF(CONFIG_METADATA!$B$4&lt;&gt;"OR+EX",--(DATOS!$G5843=CONFIG_METADATA!$B$4),IF(DATOS!$G5843="EX",1,IF(DATOS!$G5843="OR",--(COUNTIFS(nNIA,DATOS!$A5843,nCURSO,DATOS!$D5843,nESPEC,DATOS!$E5843,nASIG,DATOS!$I5843,nEVAL,"EX")=0),0))))</f>
      </c>
      <c r="H5843">
        <f>IF(DATOS!$G5843&lt;&gt;"EX",0,--(COUNTIFS(nNIA,DATOS!$A5843,nCURSO,DATOS!$D5843,nESPEC,DATOS!$E5843,nASIG,DATOS!$I5843,nEVAL,"OR")=0))</f>
      </c>
      <c r="I5843">
        <f>IF(DATOS!$I5843="","",IFERROR(VLOOKUP(DATOS!$I5843,CONFIG_ASIGNATURAS!$B$2:$J$91,9,FALSE()),""))</f>
      </c>
    </row>
    <row r="5844">
      <c r="F5844">
        <f>IF(DATOS!$A5844="","",DATOS!$A5844&amp;"|"&amp;DATOS!$D5844&amp;"|"&amp;DATOS!$E5844&amp;"|"&amp;DATOS!$I5844)</f>
      </c>
      <c r="G5844">
        <f>IF(DATOS!$A5844="",0,IF(CONFIG_METADATA!$B$4&lt;&gt;"OR+EX",--(DATOS!$G5844=CONFIG_METADATA!$B$4),IF(DATOS!$G5844="EX",1,IF(DATOS!$G5844="OR",--(COUNTIFS(nNIA,DATOS!$A5844,nCURSO,DATOS!$D5844,nESPEC,DATOS!$E5844,nASIG,DATOS!$I5844,nEVAL,"EX")=0),0))))</f>
      </c>
      <c r="H5844">
        <f>IF(DATOS!$G5844&lt;&gt;"EX",0,--(COUNTIFS(nNIA,DATOS!$A5844,nCURSO,DATOS!$D5844,nESPEC,DATOS!$E5844,nASIG,DATOS!$I5844,nEVAL,"OR")=0))</f>
      </c>
      <c r="I5844">
        <f>IF(DATOS!$I5844="","",IFERROR(VLOOKUP(DATOS!$I5844,CONFIG_ASIGNATURAS!$B$2:$J$91,9,FALSE()),""))</f>
      </c>
    </row>
    <row r="5845">
      <c r="F5845">
        <f>IF(DATOS!$A5845="","",DATOS!$A5845&amp;"|"&amp;DATOS!$D5845&amp;"|"&amp;DATOS!$E5845&amp;"|"&amp;DATOS!$I5845)</f>
      </c>
      <c r="G5845">
        <f>IF(DATOS!$A5845="",0,IF(CONFIG_METADATA!$B$4&lt;&gt;"OR+EX",--(DATOS!$G5845=CONFIG_METADATA!$B$4),IF(DATOS!$G5845="EX",1,IF(DATOS!$G5845="OR",--(COUNTIFS(nNIA,DATOS!$A5845,nCURSO,DATOS!$D5845,nESPEC,DATOS!$E5845,nASIG,DATOS!$I5845,nEVAL,"EX")=0),0))))</f>
      </c>
      <c r="H5845">
        <f>IF(DATOS!$G5845&lt;&gt;"EX",0,--(COUNTIFS(nNIA,DATOS!$A5845,nCURSO,DATOS!$D5845,nESPEC,DATOS!$E5845,nASIG,DATOS!$I5845,nEVAL,"OR")=0))</f>
      </c>
      <c r="I5845">
        <f>IF(DATOS!$I5845="","",IFERROR(VLOOKUP(DATOS!$I5845,CONFIG_ASIGNATURAS!$B$2:$J$91,9,FALSE()),""))</f>
      </c>
    </row>
    <row r="5846">
      <c r="F5846">
        <f>IF(DATOS!$A5846="","",DATOS!$A5846&amp;"|"&amp;DATOS!$D5846&amp;"|"&amp;DATOS!$E5846&amp;"|"&amp;DATOS!$I5846)</f>
      </c>
      <c r="G5846">
        <f>IF(DATOS!$A5846="",0,IF(CONFIG_METADATA!$B$4&lt;&gt;"OR+EX",--(DATOS!$G5846=CONFIG_METADATA!$B$4),IF(DATOS!$G5846="EX",1,IF(DATOS!$G5846="OR",--(COUNTIFS(nNIA,DATOS!$A5846,nCURSO,DATOS!$D5846,nESPEC,DATOS!$E5846,nASIG,DATOS!$I5846,nEVAL,"EX")=0),0))))</f>
      </c>
      <c r="H5846">
        <f>IF(DATOS!$G5846&lt;&gt;"EX",0,--(COUNTIFS(nNIA,DATOS!$A5846,nCURSO,DATOS!$D5846,nESPEC,DATOS!$E5846,nASIG,DATOS!$I5846,nEVAL,"OR")=0))</f>
      </c>
      <c r="I5846">
        <f>IF(DATOS!$I5846="","",IFERROR(VLOOKUP(DATOS!$I5846,CONFIG_ASIGNATURAS!$B$2:$J$91,9,FALSE()),""))</f>
      </c>
    </row>
    <row r="5847">
      <c r="F5847">
        <f>IF(DATOS!$A5847="","",DATOS!$A5847&amp;"|"&amp;DATOS!$D5847&amp;"|"&amp;DATOS!$E5847&amp;"|"&amp;DATOS!$I5847)</f>
      </c>
      <c r="G5847">
        <f>IF(DATOS!$A5847="",0,IF(CONFIG_METADATA!$B$4&lt;&gt;"OR+EX",--(DATOS!$G5847=CONFIG_METADATA!$B$4),IF(DATOS!$G5847="EX",1,IF(DATOS!$G5847="OR",--(COUNTIFS(nNIA,DATOS!$A5847,nCURSO,DATOS!$D5847,nESPEC,DATOS!$E5847,nASIG,DATOS!$I5847,nEVAL,"EX")=0),0))))</f>
      </c>
      <c r="H5847">
        <f>IF(DATOS!$G5847&lt;&gt;"EX",0,--(COUNTIFS(nNIA,DATOS!$A5847,nCURSO,DATOS!$D5847,nESPEC,DATOS!$E5847,nASIG,DATOS!$I5847,nEVAL,"OR")=0))</f>
      </c>
      <c r="I5847">
        <f>IF(DATOS!$I5847="","",IFERROR(VLOOKUP(DATOS!$I5847,CONFIG_ASIGNATURAS!$B$2:$J$91,9,FALSE()),""))</f>
      </c>
    </row>
    <row r="5848">
      <c r="F5848">
        <f>IF(DATOS!$A5848="","",DATOS!$A5848&amp;"|"&amp;DATOS!$D5848&amp;"|"&amp;DATOS!$E5848&amp;"|"&amp;DATOS!$I5848)</f>
      </c>
      <c r="G5848">
        <f>IF(DATOS!$A5848="",0,IF(CONFIG_METADATA!$B$4&lt;&gt;"OR+EX",--(DATOS!$G5848=CONFIG_METADATA!$B$4),IF(DATOS!$G5848="EX",1,IF(DATOS!$G5848="OR",--(COUNTIFS(nNIA,DATOS!$A5848,nCURSO,DATOS!$D5848,nESPEC,DATOS!$E5848,nASIG,DATOS!$I5848,nEVAL,"EX")=0),0))))</f>
      </c>
      <c r="H5848">
        <f>IF(DATOS!$G5848&lt;&gt;"EX",0,--(COUNTIFS(nNIA,DATOS!$A5848,nCURSO,DATOS!$D5848,nESPEC,DATOS!$E5848,nASIG,DATOS!$I5848,nEVAL,"OR")=0))</f>
      </c>
      <c r="I5848">
        <f>IF(DATOS!$I5848="","",IFERROR(VLOOKUP(DATOS!$I5848,CONFIG_ASIGNATURAS!$B$2:$J$91,9,FALSE()),""))</f>
      </c>
    </row>
    <row r="5849">
      <c r="F5849">
        <f>IF(DATOS!$A5849="","",DATOS!$A5849&amp;"|"&amp;DATOS!$D5849&amp;"|"&amp;DATOS!$E5849&amp;"|"&amp;DATOS!$I5849)</f>
      </c>
      <c r="G5849">
        <f>IF(DATOS!$A5849="",0,IF(CONFIG_METADATA!$B$4&lt;&gt;"OR+EX",--(DATOS!$G5849=CONFIG_METADATA!$B$4),IF(DATOS!$G5849="EX",1,IF(DATOS!$G5849="OR",--(COUNTIFS(nNIA,DATOS!$A5849,nCURSO,DATOS!$D5849,nESPEC,DATOS!$E5849,nASIG,DATOS!$I5849,nEVAL,"EX")=0),0))))</f>
      </c>
      <c r="H5849">
        <f>IF(DATOS!$G5849&lt;&gt;"EX",0,--(COUNTIFS(nNIA,DATOS!$A5849,nCURSO,DATOS!$D5849,nESPEC,DATOS!$E5849,nASIG,DATOS!$I5849,nEVAL,"OR")=0))</f>
      </c>
      <c r="I5849">
        <f>IF(DATOS!$I5849="","",IFERROR(VLOOKUP(DATOS!$I5849,CONFIG_ASIGNATURAS!$B$2:$J$91,9,FALSE()),""))</f>
      </c>
    </row>
    <row r="5850">
      <c r="F5850">
        <f>IF(DATOS!$A5850="","",DATOS!$A5850&amp;"|"&amp;DATOS!$D5850&amp;"|"&amp;DATOS!$E5850&amp;"|"&amp;DATOS!$I5850)</f>
      </c>
      <c r="G5850">
        <f>IF(DATOS!$A5850="",0,IF(CONFIG_METADATA!$B$4&lt;&gt;"OR+EX",--(DATOS!$G5850=CONFIG_METADATA!$B$4),IF(DATOS!$G5850="EX",1,IF(DATOS!$G5850="OR",--(COUNTIFS(nNIA,DATOS!$A5850,nCURSO,DATOS!$D5850,nESPEC,DATOS!$E5850,nASIG,DATOS!$I5850,nEVAL,"EX")=0),0))))</f>
      </c>
      <c r="H5850">
        <f>IF(DATOS!$G5850&lt;&gt;"EX",0,--(COUNTIFS(nNIA,DATOS!$A5850,nCURSO,DATOS!$D5850,nESPEC,DATOS!$E5850,nASIG,DATOS!$I5850,nEVAL,"OR")=0))</f>
      </c>
      <c r="I5850">
        <f>IF(DATOS!$I5850="","",IFERROR(VLOOKUP(DATOS!$I5850,CONFIG_ASIGNATURAS!$B$2:$J$91,9,FALSE()),""))</f>
      </c>
    </row>
    <row r="5851">
      <c r="F5851">
        <f>IF(DATOS!$A5851="","",DATOS!$A5851&amp;"|"&amp;DATOS!$D5851&amp;"|"&amp;DATOS!$E5851&amp;"|"&amp;DATOS!$I5851)</f>
      </c>
      <c r="G5851">
        <f>IF(DATOS!$A5851="",0,IF(CONFIG_METADATA!$B$4&lt;&gt;"OR+EX",--(DATOS!$G5851=CONFIG_METADATA!$B$4),IF(DATOS!$G5851="EX",1,IF(DATOS!$G5851="OR",--(COUNTIFS(nNIA,DATOS!$A5851,nCURSO,DATOS!$D5851,nESPEC,DATOS!$E5851,nASIG,DATOS!$I5851,nEVAL,"EX")=0),0))))</f>
      </c>
      <c r="H5851">
        <f>IF(DATOS!$G5851&lt;&gt;"EX",0,--(COUNTIFS(nNIA,DATOS!$A5851,nCURSO,DATOS!$D5851,nESPEC,DATOS!$E5851,nASIG,DATOS!$I5851,nEVAL,"OR")=0))</f>
      </c>
      <c r="I5851">
        <f>IF(DATOS!$I5851="","",IFERROR(VLOOKUP(DATOS!$I5851,CONFIG_ASIGNATURAS!$B$2:$J$91,9,FALSE()),""))</f>
      </c>
    </row>
    <row r="5852">
      <c r="F5852">
        <f>IF(DATOS!$A5852="","",DATOS!$A5852&amp;"|"&amp;DATOS!$D5852&amp;"|"&amp;DATOS!$E5852&amp;"|"&amp;DATOS!$I5852)</f>
      </c>
      <c r="G5852">
        <f>IF(DATOS!$A5852="",0,IF(CONFIG_METADATA!$B$4&lt;&gt;"OR+EX",--(DATOS!$G5852=CONFIG_METADATA!$B$4),IF(DATOS!$G5852="EX",1,IF(DATOS!$G5852="OR",--(COUNTIFS(nNIA,DATOS!$A5852,nCURSO,DATOS!$D5852,nESPEC,DATOS!$E5852,nASIG,DATOS!$I5852,nEVAL,"EX")=0),0))))</f>
      </c>
      <c r="H5852">
        <f>IF(DATOS!$G5852&lt;&gt;"EX",0,--(COUNTIFS(nNIA,DATOS!$A5852,nCURSO,DATOS!$D5852,nESPEC,DATOS!$E5852,nASIG,DATOS!$I5852,nEVAL,"OR")=0))</f>
      </c>
      <c r="I5852">
        <f>IF(DATOS!$I5852="","",IFERROR(VLOOKUP(DATOS!$I5852,CONFIG_ASIGNATURAS!$B$2:$J$91,9,FALSE()),""))</f>
      </c>
    </row>
    <row r="5853">
      <c r="F5853">
        <f>IF(DATOS!$A5853="","",DATOS!$A5853&amp;"|"&amp;DATOS!$D5853&amp;"|"&amp;DATOS!$E5853&amp;"|"&amp;DATOS!$I5853)</f>
      </c>
      <c r="G5853">
        <f>IF(DATOS!$A5853="",0,IF(CONFIG_METADATA!$B$4&lt;&gt;"OR+EX",--(DATOS!$G5853=CONFIG_METADATA!$B$4),IF(DATOS!$G5853="EX",1,IF(DATOS!$G5853="OR",--(COUNTIFS(nNIA,DATOS!$A5853,nCURSO,DATOS!$D5853,nESPEC,DATOS!$E5853,nASIG,DATOS!$I5853,nEVAL,"EX")=0),0))))</f>
      </c>
      <c r="H5853">
        <f>IF(DATOS!$G5853&lt;&gt;"EX",0,--(COUNTIFS(nNIA,DATOS!$A5853,nCURSO,DATOS!$D5853,nESPEC,DATOS!$E5853,nASIG,DATOS!$I5853,nEVAL,"OR")=0))</f>
      </c>
      <c r="I5853">
        <f>IF(DATOS!$I5853="","",IFERROR(VLOOKUP(DATOS!$I5853,CONFIG_ASIGNATURAS!$B$2:$J$91,9,FALSE()),""))</f>
      </c>
    </row>
    <row r="5854">
      <c r="F5854">
        <f>IF(DATOS!$A5854="","",DATOS!$A5854&amp;"|"&amp;DATOS!$D5854&amp;"|"&amp;DATOS!$E5854&amp;"|"&amp;DATOS!$I5854)</f>
      </c>
      <c r="G5854">
        <f>IF(DATOS!$A5854="",0,IF(CONFIG_METADATA!$B$4&lt;&gt;"OR+EX",--(DATOS!$G5854=CONFIG_METADATA!$B$4),IF(DATOS!$G5854="EX",1,IF(DATOS!$G5854="OR",--(COUNTIFS(nNIA,DATOS!$A5854,nCURSO,DATOS!$D5854,nESPEC,DATOS!$E5854,nASIG,DATOS!$I5854,nEVAL,"EX")=0),0))))</f>
      </c>
      <c r="H5854">
        <f>IF(DATOS!$G5854&lt;&gt;"EX",0,--(COUNTIFS(nNIA,DATOS!$A5854,nCURSO,DATOS!$D5854,nESPEC,DATOS!$E5854,nASIG,DATOS!$I5854,nEVAL,"OR")=0))</f>
      </c>
      <c r="I5854">
        <f>IF(DATOS!$I5854="","",IFERROR(VLOOKUP(DATOS!$I5854,CONFIG_ASIGNATURAS!$B$2:$J$91,9,FALSE()),""))</f>
      </c>
    </row>
    <row r="5855">
      <c r="F5855">
        <f>IF(DATOS!$A5855="","",DATOS!$A5855&amp;"|"&amp;DATOS!$D5855&amp;"|"&amp;DATOS!$E5855&amp;"|"&amp;DATOS!$I5855)</f>
      </c>
      <c r="G5855">
        <f>IF(DATOS!$A5855="",0,IF(CONFIG_METADATA!$B$4&lt;&gt;"OR+EX",--(DATOS!$G5855=CONFIG_METADATA!$B$4),IF(DATOS!$G5855="EX",1,IF(DATOS!$G5855="OR",--(COUNTIFS(nNIA,DATOS!$A5855,nCURSO,DATOS!$D5855,nESPEC,DATOS!$E5855,nASIG,DATOS!$I5855,nEVAL,"EX")=0),0))))</f>
      </c>
      <c r="H5855">
        <f>IF(DATOS!$G5855&lt;&gt;"EX",0,--(COUNTIFS(nNIA,DATOS!$A5855,nCURSO,DATOS!$D5855,nESPEC,DATOS!$E5855,nASIG,DATOS!$I5855,nEVAL,"OR")=0))</f>
      </c>
      <c r="I5855">
        <f>IF(DATOS!$I5855="","",IFERROR(VLOOKUP(DATOS!$I5855,CONFIG_ASIGNATURAS!$B$2:$J$91,9,FALSE()),""))</f>
      </c>
    </row>
    <row r="5856">
      <c r="F5856">
        <f>IF(DATOS!$A5856="","",DATOS!$A5856&amp;"|"&amp;DATOS!$D5856&amp;"|"&amp;DATOS!$E5856&amp;"|"&amp;DATOS!$I5856)</f>
      </c>
      <c r="G5856">
        <f>IF(DATOS!$A5856="",0,IF(CONFIG_METADATA!$B$4&lt;&gt;"OR+EX",--(DATOS!$G5856=CONFIG_METADATA!$B$4),IF(DATOS!$G5856="EX",1,IF(DATOS!$G5856="OR",--(COUNTIFS(nNIA,DATOS!$A5856,nCURSO,DATOS!$D5856,nESPEC,DATOS!$E5856,nASIG,DATOS!$I5856,nEVAL,"EX")=0),0))))</f>
      </c>
      <c r="H5856">
        <f>IF(DATOS!$G5856&lt;&gt;"EX",0,--(COUNTIFS(nNIA,DATOS!$A5856,nCURSO,DATOS!$D5856,nESPEC,DATOS!$E5856,nASIG,DATOS!$I5856,nEVAL,"OR")=0))</f>
      </c>
      <c r="I5856">
        <f>IF(DATOS!$I5856="","",IFERROR(VLOOKUP(DATOS!$I5856,CONFIG_ASIGNATURAS!$B$2:$J$91,9,FALSE()),""))</f>
      </c>
    </row>
    <row r="5857">
      <c r="F5857">
        <f>IF(DATOS!$A5857="","",DATOS!$A5857&amp;"|"&amp;DATOS!$D5857&amp;"|"&amp;DATOS!$E5857&amp;"|"&amp;DATOS!$I5857)</f>
      </c>
      <c r="G5857">
        <f>IF(DATOS!$A5857="",0,IF(CONFIG_METADATA!$B$4&lt;&gt;"OR+EX",--(DATOS!$G5857=CONFIG_METADATA!$B$4),IF(DATOS!$G5857="EX",1,IF(DATOS!$G5857="OR",--(COUNTIFS(nNIA,DATOS!$A5857,nCURSO,DATOS!$D5857,nESPEC,DATOS!$E5857,nASIG,DATOS!$I5857,nEVAL,"EX")=0),0))))</f>
      </c>
      <c r="H5857">
        <f>IF(DATOS!$G5857&lt;&gt;"EX",0,--(COUNTIFS(nNIA,DATOS!$A5857,nCURSO,DATOS!$D5857,nESPEC,DATOS!$E5857,nASIG,DATOS!$I5857,nEVAL,"OR")=0))</f>
      </c>
      <c r="I5857">
        <f>IF(DATOS!$I5857="","",IFERROR(VLOOKUP(DATOS!$I5857,CONFIG_ASIGNATURAS!$B$2:$J$91,9,FALSE()),""))</f>
      </c>
    </row>
    <row r="5858">
      <c r="F5858">
        <f>IF(DATOS!$A5858="","",DATOS!$A5858&amp;"|"&amp;DATOS!$D5858&amp;"|"&amp;DATOS!$E5858&amp;"|"&amp;DATOS!$I5858)</f>
      </c>
      <c r="G5858">
        <f>IF(DATOS!$A5858="",0,IF(CONFIG_METADATA!$B$4&lt;&gt;"OR+EX",--(DATOS!$G5858=CONFIG_METADATA!$B$4),IF(DATOS!$G5858="EX",1,IF(DATOS!$G5858="OR",--(COUNTIFS(nNIA,DATOS!$A5858,nCURSO,DATOS!$D5858,nESPEC,DATOS!$E5858,nASIG,DATOS!$I5858,nEVAL,"EX")=0),0))))</f>
      </c>
      <c r="H5858">
        <f>IF(DATOS!$G5858&lt;&gt;"EX",0,--(COUNTIFS(nNIA,DATOS!$A5858,nCURSO,DATOS!$D5858,nESPEC,DATOS!$E5858,nASIG,DATOS!$I5858,nEVAL,"OR")=0))</f>
      </c>
      <c r="I5858">
        <f>IF(DATOS!$I5858="","",IFERROR(VLOOKUP(DATOS!$I5858,CONFIG_ASIGNATURAS!$B$2:$J$91,9,FALSE()),""))</f>
      </c>
    </row>
    <row r="5859">
      <c r="F5859">
        <f>IF(DATOS!$A5859="","",DATOS!$A5859&amp;"|"&amp;DATOS!$D5859&amp;"|"&amp;DATOS!$E5859&amp;"|"&amp;DATOS!$I5859)</f>
      </c>
      <c r="G5859">
        <f>IF(DATOS!$A5859="",0,IF(CONFIG_METADATA!$B$4&lt;&gt;"OR+EX",--(DATOS!$G5859=CONFIG_METADATA!$B$4),IF(DATOS!$G5859="EX",1,IF(DATOS!$G5859="OR",--(COUNTIFS(nNIA,DATOS!$A5859,nCURSO,DATOS!$D5859,nESPEC,DATOS!$E5859,nASIG,DATOS!$I5859,nEVAL,"EX")=0),0))))</f>
      </c>
      <c r="H5859">
        <f>IF(DATOS!$G5859&lt;&gt;"EX",0,--(COUNTIFS(nNIA,DATOS!$A5859,nCURSO,DATOS!$D5859,nESPEC,DATOS!$E5859,nASIG,DATOS!$I5859,nEVAL,"OR")=0))</f>
      </c>
      <c r="I5859">
        <f>IF(DATOS!$I5859="","",IFERROR(VLOOKUP(DATOS!$I5859,CONFIG_ASIGNATURAS!$B$2:$J$91,9,FALSE()),""))</f>
      </c>
    </row>
    <row r="5860">
      <c r="F5860">
        <f>IF(DATOS!$A5860="","",DATOS!$A5860&amp;"|"&amp;DATOS!$D5860&amp;"|"&amp;DATOS!$E5860&amp;"|"&amp;DATOS!$I5860)</f>
      </c>
      <c r="G5860">
        <f>IF(DATOS!$A5860="",0,IF(CONFIG_METADATA!$B$4&lt;&gt;"OR+EX",--(DATOS!$G5860=CONFIG_METADATA!$B$4),IF(DATOS!$G5860="EX",1,IF(DATOS!$G5860="OR",--(COUNTIFS(nNIA,DATOS!$A5860,nCURSO,DATOS!$D5860,nESPEC,DATOS!$E5860,nASIG,DATOS!$I5860,nEVAL,"EX")=0),0))))</f>
      </c>
      <c r="H5860">
        <f>IF(DATOS!$G5860&lt;&gt;"EX",0,--(COUNTIFS(nNIA,DATOS!$A5860,nCURSO,DATOS!$D5860,nESPEC,DATOS!$E5860,nASIG,DATOS!$I5860,nEVAL,"OR")=0))</f>
      </c>
      <c r="I5860">
        <f>IF(DATOS!$I5860="","",IFERROR(VLOOKUP(DATOS!$I5860,CONFIG_ASIGNATURAS!$B$2:$J$91,9,FALSE()),""))</f>
      </c>
    </row>
    <row r="5861">
      <c r="F5861">
        <f>IF(DATOS!$A5861="","",DATOS!$A5861&amp;"|"&amp;DATOS!$D5861&amp;"|"&amp;DATOS!$E5861&amp;"|"&amp;DATOS!$I5861)</f>
      </c>
      <c r="G5861">
        <f>IF(DATOS!$A5861="",0,IF(CONFIG_METADATA!$B$4&lt;&gt;"OR+EX",--(DATOS!$G5861=CONFIG_METADATA!$B$4),IF(DATOS!$G5861="EX",1,IF(DATOS!$G5861="OR",--(COUNTIFS(nNIA,DATOS!$A5861,nCURSO,DATOS!$D5861,nESPEC,DATOS!$E5861,nASIG,DATOS!$I5861,nEVAL,"EX")=0),0))))</f>
      </c>
      <c r="H5861">
        <f>IF(DATOS!$G5861&lt;&gt;"EX",0,--(COUNTIFS(nNIA,DATOS!$A5861,nCURSO,DATOS!$D5861,nESPEC,DATOS!$E5861,nASIG,DATOS!$I5861,nEVAL,"OR")=0))</f>
      </c>
      <c r="I5861">
        <f>IF(DATOS!$I5861="","",IFERROR(VLOOKUP(DATOS!$I5861,CONFIG_ASIGNATURAS!$B$2:$J$91,9,FALSE()),""))</f>
      </c>
    </row>
    <row r="5862">
      <c r="F5862">
        <f>IF(DATOS!$A5862="","",DATOS!$A5862&amp;"|"&amp;DATOS!$D5862&amp;"|"&amp;DATOS!$E5862&amp;"|"&amp;DATOS!$I5862)</f>
      </c>
      <c r="G5862">
        <f>IF(DATOS!$A5862="",0,IF(CONFIG_METADATA!$B$4&lt;&gt;"OR+EX",--(DATOS!$G5862=CONFIG_METADATA!$B$4),IF(DATOS!$G5862="EX",1,IF(DATOS!$G5862="OR",--(COUNTIFS(nNIA,DATOS!$A5862,nCURSO,DATOS!$D5862,nESPEC,DATOS!$E5862,nASIG,DATOS!$I5862,nEVAL,"EX")=0),0))))</f>
      </c>
      <c r="H5862">
        <f>IF(DATOS!$G5862&lt;&gt;"EX",0,--(COUNTIFS(nNIA,DATOS!$A5862,nCURSO,DATOS!$D5862,nESPEC,DATOS!$E5862,nASIG,DATOS!$I5862,nEVAL,"OR")=0))</f>
      </c>
      <c r="I5862">
        <f>IF(DATOS!$I5862="","",IFERROR(VLOOKUP(DATOS!$I5862,CONFIG_ASIGNATURAS!$B$2:$J$91,9,FALSE()),""))</f>
      </c>
    </row>
    <row r="5863">
      <c r="F5863">
        <f>IF(DATOS!$A5863="","",DATOS!$A5863&amp;"|"&amp;DATOS!$D5863&amp;"|"&amp;DATOS!$E5863&amp;"|"&amp;DATOS!$I5863)</f>
      </c>
      <c r="G5863">
        <f>IF(DATOS!$A5863="",0,IF(CONFIG_METADATA!$B$4&lt;&gt;"OR+EX",--(DATOS!$G5863=CONFIG_METADATA!$B$4),IF(DATOS!$G5863="EX",1,IF(DATOS!$G5863="OR",--(COUNTIFS(nNIA,DATOS!$A5863,nCURSO,DATOS!$D5863,nESPEC,DATOS!$E5863,nASIG,DATOS!$I5863,nEVAL,"EX")=0),0))))</f>
      </c>
      <c r="H5863">
        <f>IF(DATOS!$G5863&lt;&gt;"EX",0,--(COUNTIFS(nNIA,DATOS!$A5863,nCURSO,DATOS!$D5863,nESPEC,DATOS!$E5863,nASIG,DATOS!$I5863,nEVAL,"OR")=0))</f>
      </c>
      <c r="I5863">
        <f>IF(DATOS!$I5863="","",IFERROR(VLOOKUP(DATOS!$I5863,CONFIG_ASIGNATURAS!$B$2:$J$91,9,FALSE()),""))</f>
      </c>
    </row>
    <row r="5864">
      <c r="F5864">
        <f>IF(DATOS!$A5864="","",DATOS!$A5864&amp;"|"&amp;DATOS!$D5864&amp;"|"&amp;DATOS!$E5864&amp;"|"&amp;DATOS!$I5864)</f>
      </c>
      <c r="G5864">
        <f>IF(DATOS!$A5864="",0,IF(CONFIG_METADATA!$B$4&lt;&gt;"OR+EX",--(DATOS!$G5864=CONFIG_METADATA!$B$4),IF(DATOS!$G5864="EX",1,IF(DATOS!$G5864="OR",--(COUNTIFS(nNIA,DATOS!$A5864,nCURSO,DATOS!$D5864,nESPEC,DATOS!$E5864,nASIG,DATOS!$I5864,nEVAL,"EX")=0),0))))</f>
      </c>
      <c r="H5864">
        <f>IF(DATOS!$G5864&lt;&gt;"EX",0,--(COUNTIFS(nNIA,DATOS!$A5864,nCURSO,DATOS!$D5864,nESPEC,DATOS!$E5864,nASIG,DATOS!$I5864,nEVAL,"OR")=0))</f>
      </c>
      <c r="I5864">
        <f>IF(DATOS!$I5864="","",IFERROR(VLOOKUP(DATOS!$I5864,CONFIG_ASIGNATURAS!$B$2:$J$91,9,FALSE()),""))</f>
      </c>
    </row>
    <row r="5865">
      <c r="F5865">
        <f>IF(DATOS!$A5865="","",DATOS!$A5865&amp;"|"&amp;DATOS!$D5865&amp;"|"&amp;DATOS!$E5865&amp;"|"&amp;DATOS!$I5865)</f>
      </c>
      <c r="G5865">
        <f>IF(DATOS!$A5865="",0,IF(CONFIG_METADATA!$B$4&lt;&gt;"OR+EX",--(DATOS!$G5865=CONFIG_METADATA!$B$4),IF(DATOS!$G5865="EX",1,IF(DATOS!$G5865="OR",--(COUNTIFS(nNIA,DATOS!$A5865,nCURSO,DATOS!$D5865,nESPEC,DATOS!$E5865,nASIG,DATOS!$I5865,nEVAL,"EX")=0),0))))</f>
      </c>
      <c r="H5865">
        <f>IF(DATOS!$G5865&lt;&gt;"EX",0,--(COUNTIFS(nNIA,DATOS!$A5865,nCURSO,DATOS!$D5865,nESPEC,DATOS!$E5865,nASIG,DATOS!$I5865,nEVAL,"OR")=0))</f>
      </c>
      <c r="I5865">
        <f>IF(DATOS!$I5865="","",IFERROR(VLOOKUP(DATOS!$I5865,CONFIG_ASIGNATURAS!$B$2:$J$91,9,FALSE()),""))</f>
      </c>
    </row>
    <row r="5866">
      <c r="F5866">
        <f>IF(DATOS!$A5866="","",DATOS!$A5866&amp;"|"&amp;DATOS!$D5866&amp;"|"&amp;DATOS!$E5866&amp;"|"&amp;DATOS!$I5866)</f>
      </c>
      <c r="G5866">
        <f>IF(DATOS!$A5866="",0,IF(CONFIG_METADATA!$B$4&lt;&gt;"OR+EX",--(DATOS!$G5866=CONFIG_METADATA!$B$4),IF(DATOS!$G5866="EX",1,IF(DATOS!$G5866="OR",--(COUNTIFS(nNIA,DATOS!$A5866,nCURSO,DATOS!$D5866,nESPEC,DATOS!$E5866,nASIG,DATOS!$I5866,nEVAL,"EX")=0),0))))</f>
      </c>
      <c r="H5866">
        <f>IF(DATOS!$G5866&lt;&gt;"EX",0,--(COUNTIFS(nNIA,DATOS!$A5866,nCURSO,DATOS!$D5866,nESPEC,DATOS!$E5866,nASIG,DATOS!$I5866,nEVAL,"OR")=0))</f>
      </c>
      <c r="I5866">
        <f>IF(DATOS!$I5866="","",IFERROR(VLOOKUP(DATOS!$I5866,CONFIG_ASIGNATURAS!$B$2:$J$91,9,FALSE()),""))</f>
      </c>
    </row>
    <row r="5867">
      <c r="F5867">
        <f>IF(DATOS!$A5867="","",DATOS!$A5867&amp;"|"&amp;DATOS!$D5867&amp;"|"&amp;DATOS!$E5867&amp;"|"&amp;DATOS!$I5867)</f>
      </c>
      <c r="G5867">
        <f>IF(DATOS!$A5867="",0,IF(CONFIG_METADATA!$B$4&lt;&gt;"OR+EX",--(DATOS!$G5867=CONFIG_METADATA!$B$4),IF(DATOS!$G5867="EX",1,IF(DATOS!$G5867="OR",--(COUNTIFS(nNIA,DATOS!$A5867,nCURSO,DATOS!$D5867,nESPEC,DATOS!$E5867,nASIG,DATOS!$I5867,nEVAL,"EX")=0),0))))</f>
      </c>
      <c r="H5867">
        <f>IF(DATOS!$G5867&lt;&gt;"EX",0,--(COUNTIFS(nNIA,DATOS!$A5867,nCURSO,DATOS!$D5867,nESPEC,DATOS!$E5867,nASIG,DATOS!$I5867,nEVAL,"OR")=0))</f>
      </c>
      <c r="I5867">
        <f>IF(DATOS!$I5867="","",IFERROR(VLOOKUP(DATOS!$I5867,CONFIG_ASIGNATURAS!$B$2:$J$91,9,FALSE()),""))</f>
      </c>
    </row>
    <row r="5868">
      <c r="F5868">
        <f>IF(DATOS!$A5868="","",DATOS!$A5868&amp;"|"&amp;DATOS!$D5868&amp;"|"&amp;DATOS!$E5868&amp;"|"&amp;DATOS!$I5868)</f>
      </c>
      <c r="G5868">
        <f>IF(DATOS!$A5868="",0,IF(CONFIG_METADATA!$B$4&lt;&gt;"OR+EX",--(DATOS!$G5868=CONFIG_METADATA!$B$4),IF(DATOS!$G5868="EX",1,IF(DATOS!$G5868="OR",--(COUNTIFS(nNIA,DATOS!$A5868,nCURSO,DATOS!$D5868,nESPEC,DATOS!$E5868,nASIG,DATOS!$I5868,nEVAL,"EX")=0),0))))</f>
      </c>
      <c r="H5868">
        <f>IF(DATOS!$G5868&lt;&gt;"EX",0,--(COUNTIFS(nNIA,DATOS!$A5868,nCURSO,DATOS!$D5868,nESPEC,DATOS!$E5868,nASIG,DATOS!$I5868,nEVAL,"OR")=0))</f>
      </c>
      <c r="I5868">
        <f>IF(DATOS!$I5868="","",IFERROR(VLOOKUP(DATOS!$I5868,CONFIG_ASIGNATURAS!$B$2:$J$91,9,FALSE()),""))</f>
      </c>
    </row>
    <row r="5869">
      <c r="F5869">
        <f>IF(DATOS!$A5869="","",DATOS!$A5869&amp;"|"&amp;DATOS!$D5869&amp;"|"&amp;DATOS!$E5869&amp;"|"&amp;DATOS!$I5869)</f>
      </c>
      <c r="G5869">
        <f>IF(DATOS!$A5869="",0,IF(CONFIG_METADATA!$B$4&lt;&gt;"OR+EX",--(DATOS!$G5869=CONFIG_METADATA!$B$4),IF(DATOS!$G5869="EX",1,IF(DATOS!$G5869="OR",--(COUNTIFS(nNIA,DATOS!$A5869,nCURSO,DATOS!$D5869,nESPEC,DATOS!$E5869,nASIG,DATOS!$I5869,nEVAL,"EX")=0),0))))</f>
      </c>
      <c r="H5869">
        <f>IF(DATOS!$G5869&lt;&gt;"EX",0,--(COUNTIFS(nNIA,DATOS!$A5869,nCURSO,DATOS!$D5869,nESPEC,DATOS!$E5869,nASIG,DATOS!$I5869,nEVAL,"OR")=0))</f>
      </c>
      <c r="I5869">
        <f>IF(DATOS!$I5869="","",IFERROR(VLOOKUP(DATOS!$I5869,CONFIG_ASIGNATURAS!$B$2:$J$91,9,FALSE()),""))</f>
      </c>
    </row>
    <row r="5870">
      <c r="F5870">
        <f>IF(DATOS!$A5870="","",DATOS!$A5870&amp;"|"&amp;DATOS!$D5870&amp;"|"&amp;DATOS!$E5870&amp;"|"&amp;DATOS!$I5870)</f>
      </c>
      <c r="G5870">
        <f>IF(DATOS!$A5870="",0,IF(CONFIG_METADATA!$B$4&lt;&gt;"OR+EX",--(DATOS!$G5870=CONFIG_METADATA!$B$4),IF(DATOS!$G5870="EX",1,IF(DATOS!$G5870="OR",--(COUNTIFS(nNIA,DATOS!$A5870,nCURSO,DATOS!$D5870,nESPEC,DATOS!$E5870,nASIG,DATOS!$I5870,nEVAL,"EX")=0),0))))</f>
      </c>
      <c r="H5870">
        <f>IF(DATOS!$G5870&lt;&gt;"EX",0,--(COUNTIFS(nNIA,DATOS!$A5870,nCURSO,DATOS!$D5870,nESPEC,DATOS!$E5870,nASIG,DATOS!$I5870,nEVAL,"OR")=0))</f>
      </c>
      <c r="I5870">
        <f>IF(DATOS!$I5870="","",IFERROR(VLOOKUP(DATOS!$I5870,CONFIG_ASIGNATURAS!$B$2:$J$91,9,FALSE()),""))</f>
      </c>
    </row>
    <row r="5871">
      <c r="F5871">
        <f>IF(DATOS!$A5871="","",DATOS!$A5871&amp;"|"&amp;DATOS!$D5871&amp;"|"&amp;DATOS!$E5871&amp;"|"&amp;DATOS!$I5871)</f>
      </c>
      <c r="G5871">
        <f>IF(DATOS!$A5871="",0,IF(CONFIG_METADATA!$B$4&lt;&gt;"OR+EX",--(DATOS!$G5871=CONFIG_METADATA!$B$4),IF(DATOS!$G5871="EX",1,IF(DATOS!$G5871="OR",--(COUNTIFS(nNIA,DATOS!$A5871,nCURSO,DATOS!$D5871,nESPEC,DATOS!$E5871,nASIG,DATOS!$I5871,nEVAL,"EX")=0),0))))</f>
      </c>
      <c r="H5871">
        <f>IF(DATOS!$G5871&lt;&gt;"EX",0,--(COUNTIFS(nNIA,DATOS!$A5871,nCURSO,DATOS!$D5871,nESPEC,DATOS!$E5871,nASIG,DATOS!$I5871,nEVAL,"OR")=0))</f>
      </c>
      <c r="I5871">
        <f>IF(DATOS!$I5871="","",IFERROR(VLOOKUP(DATOS!$I5871,CONFIG_ASIGNATURAS!$B$2:$J$91,9,FALSE()),""))</f>
      </c>
    </row>
    <row r="5872">
      <c r="F5872">
        <f>IF(DATOS!$A5872="","",DATOS!$A5872&amp;"|"&amp;DATOS!$D5872&amp;"|"&amp;DATOS!$E5872&amp;"|"&amp;DATOS!$I5872)</f>
      </c>
      <c r="G5872">
        <f>IF(DATOS!$A5872="",0,IF(CONFIG_METADATA!$B$4&lt;&gt;"OR+EX",--(DATOS!$G5872=CONFIG_METADATA!$B$4),IF(DATOS!$G5872="EX",1,IF(DATOS!$G5872="OR",--(COUNTIFS(nNIA,DATOS!$A5872,nCURSO,DATOS!$D5872,nESPEC,DATOS!$E5872,nASIG,DATOS!$I5872,nEVAL,"EX")=0),0))))</f>
      </c>
      <c r="H5872">
        <f>IF(DATOS!$G5872&lt;&gt;"EX",0,--(COUNTIFS(nNIA,DATOS!$A5872,nCURSO,DATOS!$D5872,nESPEC,DATOS!$E5872,nASIG,DATOS!$I5872,nEVAL,"OR")=0))</f>
      </c>
      <c r="I5872">
        <f>IF(DATOS!$I5872="","",IFERROR(VLOOKUP(DATOS!$I5872,CONFIG_ASIGNATURAS!$B$2:$J$91,9,FALSE()),""))</f>
      </c>
    </row>
    <row r="5873">
      <c r="F5873">
        <f>IF(DATOS!$A5873="","",DATOS!$A5873&amp;"|"&amp;DATOS!$D5873&amp;"|"&amp;DATOS!$E5873&amp;"|"&amp;DATOS!$I5873)</f>
      </c>
      <c r="G5873">
        <f>IF(DATOS!$A5873="",0,IF(CONFIG_METADATA!$B$4&lt;&gt;"OR+EX",--(DATOS!$G5873=CONFIG_METADATA!$B$4),IF(DATOS!$G5873="EX",1,IF(DATOS!$G5873="OR",--(COUNTIFS(nNIA,DATOS!$A5873,nCURSO,DATOS!$D5873,nESPEC,DATOS!$E5873,nASIG,DATOS!$I5873,nEVAL,"EX")=0),0))))</f>
      </c>
      <c r="H5873">
        <f>IF(DATOS!$G5873&lt;&gt;"EX",0,--(COUNTIFS(nNIA,DATOS!$A5873,nCURSO,DATOS!$D5873,nESPEC,DATOS!$E5873,nASIG,DATOS!$I5873,nEVAL,"OR")=0))</f>
      </c>
      <c r="I5873">
        <f>IF(DATOS!$I5873="","",IFERROR(VLOOKUP(DATOS!$I5873,CONFIG_ASIGNATURAS!$B$2:$J$91,9,FALSE()),""))</f>
      </c>
    </row>
    <row r="5874">
      <c r="F5874">
        <f>IF(DATOS!$A5874="","",DATOS!$A5874&amp;"|"&amp;DATOS!$D5874&amp;"|"&amp;DATOS!$E5874&amp;"|"&amp;DATOS!$I5874)</f>
      </c>
      <c r="G5874">
        <f>IF(DATOS!$A5874="",0,IF(CONFIG_METADATA!$B$4&lt;&gt;"OR+EX",--(DATOS!$G5874=CONFIG_METADATA!$B$4),IF(DATOS!$G5874="EX",1,IF(DATOS!$G5874="OR",--(COUNTIFS(nNIA,DATOS!$A5874,nCURSO,DATOS!$D5874,nESPEC,DATOS!$E5874,nASIG,DATOS!$I5874,nEVAL,"EX")=0),0))))</f>
      </c>
      <c r="H5874">
        <f>IF(DATOS!$G5874&lt;&gt;"EX",0,--(COUNTIFS(nNIA,DATOS!$A5874,nCURSO,DATOS!$D5874,nESPEC,DATOS!$E5874,nASIG,DATOS!$I5874,nEVAL,"OR")=0))</f>
      </c>
      <c r="I5874">
        <f>IF(DATOS!$I5874="","",IFERROR(VLOOKUP(DATOS!$I5874,CONFIG_ASIGNATURAS!$B$2:$J$91,9,FALSE()),""))</f>
      </c>
    </row>
    <row r="5875">
      <c r="F5875">
        <f>IF(DATOS!$A5875="","",DATOS!$A5875&amp;"|"&amp;DATOS!$D5875&amp;"|"&amp;DATOS!$E5875&amp;"|"&amp;DATOS!$I5875)</f>
      </c>
      <c r="G5875">
        <f>IF(DATOS!$A5875="",0,IF(CONFIG_METADATA!$B$4&lt;&gt;"OR+EX",--(DATOS!$G5875=CONFIG_METADATA!$B$4),IF(DATOS!$G5875="EX",1,IF(DATOS!$G5875="OR",--(COUNTIFS(nNIA,DATOS!$A5875,nCURSO,DATOS!$D5875,nESPEC,DATOS!$E5875,nASIG,DATOS!$I5875,nEVAL,"EX")=0),0))))</f>
      </c>
      <c r="H5875">
        <f>IF(DATOS!$G5875&lt;&gt;"EX",0,--(COUNTIFS(nNIA,DATOS!$A5875,nCURSO,DATOS!$D5875,nESPEC,DATOS!$E5875,nASIG,DATOS!$I5875,nEVAL,"OR")=0))</f>
      </c>
      <c r="I5875">
        <f>IF(DATOS!$I5875="","",IFERROR(VLOOKUP(DATOS!$I5875,CONFIG_ASIGNATURAS!$B$2:$J$91,9,FALSE()),""))</f>
      </c>
    </row>
    <row r="5876">
      <c r="F5876">
        <f>IF(DATOS!$A5876="","",DATOS!$A5876&amp;"|"&amp;DATOS!$D5876&amp;"|"&amp;DATOS!$E5876&amp;"|"&amp;DATOS!$I5876)</f>
      </c>
      <c r="G5876">
        <f>IF(DATOS!$A5876="",0,IF(CONFIG_METADATA!$B$4&lt;&gt;"OR+EX",--(DATOS!$G5876=CONFIG_METADATA!$B$4),IF(DATOS!$G5876="EX",1,IF(DATOS!$G5876="OR",--(COUNTIFS(nNIA,DATOS!$A5876,nCURSO,DATOS!$D5876,nESPEC,DATOS!$E5876,nASIG,DATOS!$I5876,nEVAL,"EX")=0),0))))</f>
      </c>
      <c r="H5876">
        <f>IF(DATOS!$G5876&lt;&gt;"EX",0,--(COUNTIFS(nNIA,DATOS!$A5876,nCURSO,DATOS!$D5876,nESPEC,DATOS!$E5876,nASIG,DATOS!$I5876,nEVAL,"OR")=0))</f>
      </c>
      <c r="I5876">
        <f>IF(DATOS!$I5876="","",IFERROR(VLOOKUP(DATOS!$I5876,CONFIG_ASIGNATURAS!$B$2:$J$91,9,FALSE()),""))</f>
      </c>
    </row>
    <row r="5877">
      <c r="F5877">
        <f>IF(DATOS!$A5877="","",DATOS!$A5877&amp;"|"&amp;DATOS!$D5877&amp;"|"&amp;DATOS!$E5877&amp;"|"&amp;DATOS!$I5877)</f>
      </c>
      <c r="G5877">
        <f>IF(DATOS!$A5877="",0,IF(CONFIG_METADATA!$B$4&lt;&gt;"OR+EX",--(DATOS!$G5877=CONFIG_METADATA!$B$4),IF(DATOS!$G5877="EX",1,IF(DATOS!$G5877="OR",--(COUNTIFS(nNIA,DATOS!$A5877,nCURSO,DATOS!$D5877,nESPEC,DATOS!$E5877,nASIG,DATOS!$I5877,nEVAL,"EX")=0),0))))</f>
      </c>
      <c r="H5877">
        <f>IF(DATOS!$G5877&lt;&gt;"EX",0,--(COUNTIFS(nNIA,DATOS!$A5877,nCURSO,DATOS!$D5877,nESPEC,DATOS!$E5877,nASIG,DATOS!$I5877,nEVAL,"OR")=0))</f>
      </c>
      <c r="I5877">
        <f>IF(DATOS!$I5877="","",IFERROR(VLOOKUP(DATOS!$I5877,CONFIG_ASIGNATURAS!$B$2:$J$91,9,FALSE()),""))</f>
      </c>
    </row>
    <row r="5878">
      <c r="F5878">
        <f>IF(DATOS!$A5878="","",DATOS!$A5878&amp;"|"&amp;DATOS!$D5878&amp;"|"&amp;DATOS!$E5878&amp;"|"&amp;DATOS!$I5878)</f>
      </c>
      <c r="G5878">
        <f>IF(DATOS!$A5878="",0,IF(CONFIG_METADATA!$B$4&lt;&gt;"OR+EX",--(DATOS!$G5878=CONFIG_METADATA!$B$4),IF(DATOS!$G5878="EX",1,IF(DATOS!$G5878="OR",--(COUNTIFS(nNIA,DATOS!$A5878,nCURSO,DATOS!$D5878,nESPEC,DATOS!$E5878,nASIG,DATOS!$I5878,nEVAL,"EX")=0),0))))</f>
      </c>
      <c r="H5878">
        <f>IF(DATOS!$G5878&lt;&gt;"EX",0,--(COUNTIFS(nNIA,DATOS!$A5878,nCURSO,DATOS!$D5878,nESPEC,DATOS!$E5878,nASIG,DATOS!$I5878,nEVAL,"OR")=0))</f>
      </c>
      <c r="I5878">
        <f>IF(DATOS!$I5878="","",IFERROR(VLOOKUP(DATOS!$I5878,CONFIG_ASIGNATURAS!$B$2:$J$91,9,FALSE()),""))</f>
      </c>
    </row>
    <row r="5879">
      <c r="F5879">
        <f>IF(DATOS!$A5879="","",DATOS!$A5879&amp;"|"&amp;DATOS!$D5879&amp;"|"&amp;DATOS!$E5879&amp;"|"&amp;DATOS!$I5879)</f>
      </c>
      <c r="G5879">
        <f>IF(DATOS!$A5879="",0,IF(CONFIG_METADATA!$B$4&lt;&gt;"OR+EX",--(DATOS!$G5879=CONFIG_METADATA!$B$4),IF(DATOS!$G5879="EX",1,IF(DATOS!$G5879="OR",--(COUNTIFS(nNIA,DATOS!$A5879,nCURSO,DATOS!$D5879,nESPEC,DATOS!$E5879,nASIG,DATOS!$I5879,nEVAL,"EX")=0),0))))</f>
      </c>
      <c r="H5879">
        <f>IF(DATOS!$G5879&lt;&gt;"EX",0,--(COUNTIFS(nNIA,DATOS!$A5879,nCURSO,DATOS!$D5879,nESPEC,DATOS!$E5879,nASIG,DATOS!$I5879,nEVAL,"OR")=0))</f>
      </c>
      <c r="I5879">
        <f>IF(DATOS!$I5879="","",IFERROR(VLOOKUP(DATOS!$I5879,CONFIG_ASIGNATURAS!$B$2:$J$91,9,FALSE()),""))</f>
      </c>
    </row>
    <row r="5880">
      <c r="F5880">
        <f>IF(DATOS!$A5880="","",DATOS!$A5880&amp;"|"&amp;DATOS!$D5880&amp;"|"&amp;DATOS!$E5880&amp;"|"&amp;DATOS!$I5880)</f>
      </c>
      <c r="G5880">
        <f>IF(DATOS!$A5880="",0,IF(CONFIG_METADATA!$B$4&lt;&gt;"OR+EX",--(DATOS!$G5880=CONFIG_METADATA!$B$4),IF(DATOS!$G5880="EX",1,IF(DATOS!$G5880="OR",--(COUNTIFS(nNIA,DATOS!$A5880,nCURSO,DATOS!$D5880,nESPEC,DATOS!$E5880,nASIG,DATOS!$I5880,nEVAL,"EX")=0),0))))</f>
      </c>
      <c r="H5880">
        <f>IF(DATOS!$G5880&lt;&gt;"EX",0,--(COUNTIFS(nNIA,DATOS!$A5880,nCURSO,DATOS!$D5880,nESPEC,DATOS!$E5880,nASIG,DATOS!$I5880,nEVAL,"OR")=0))</f>
      </c>
      <c r="I5880">
        <f>IF(DATOS!$I5880="","",IFERROR(VLOOKUP(DATOS!$I5880,CONFIG_ASIGNATURAS!$B$2:$J$91,9,FALSE()),""))</f>
      </c>
    </row>
    <row r="5881">
      <c r="F5881">
        <f>IF(DATOS!$A5881="","",DATOS!$A5881&amp;"|"&amp;DATOS!$D5881&amp;"|"&amp;DATOS!$E5881&amp;"|"&amp;DATOS!$I5881)</f>
      </c>
      <c r="G5881">
        <f>IF(DATOS!$A5881="",0,IF(CONFIG_METADATA!$B$4&lt;&gt;"OR+EX",--(DATOS!$G5881=CONFIG_METADATA!$B$4),IF(DATOS!$G5881="EX",1,IF(DATOS!$G5881="OR",--(COUNTIFS(nNIA,DATOS!$A5881,nCURSO,DATOS!$D5881,nESPEC,DATOS!$E5881,nASIG,DATOS!$I5881,nEVAL,"EX")=0),0))))</f>
      </c>
      <c r="H5881">
        <f>IF(DATOS!$G5881&lt;&gt;"EX",0,--(COUNTIFS(nNIA,DATOS!$A5881,nCURSO,DATOS!$D5881,nESPEC,DATOS!$E5881,nASIG,DATOS!$I5881,nEVAL,"OR")=0))</f>
      </c>
      <c r="I5881">
        <f>IF(DATOS!$I5881="","",IFERROR(VLOOKUP(DATOS!$I5881,CONFIG_ASIGNATURAS!$B$2:$J$91,9,FALSE()),""))</f>
      </c>
    </row>
    <row r="5882">
      <c r="F5882">
        <f>IF(DATOS!$A5882="","",DATOS!$A5882&amp;"|"&amp;DATOS!$D5882&amp;"|"&amp;DATOS!$E5882&amp;"|"&amp;DATOS!$I5882)</f>
      </c>
      <c r="G5882">
        <f>IF(DATOS!$A5882="",0,IF(CONFIG_METADATA!$B$4&lt;&gt;"OR+EX",--(DATOS!$G5882=CONFIG_METADATA!$B$4),IF(DATOS!$G5882="EX",1,IF(DATOS!$G5882="OR",--(COUNTIFS(nNIA,DATOS!$A5882,nCURSO,DATOS!$D5882,nESPEC,DATOS!$E5882,nASIG,DATOS!$I5882,nEVAL,"EX")=0),0))))</f>
      </c>
      <c r="H5882">
        <f>IF(DATOS!$G5882&lt;&gt;"EX",0,--(COUNTIFS(nNIA,DATOS!$A5882,nCURSO,DATOS!$D5882,nESPEC,DATOS!$E5882,nASIG,DATOS!$I5882,nEVAL,"OR")=0))</f>
      </c>
      <c r="I5882">
        <f>IF(DATOS!$I5882="","",IFERROR(VLOOKUP(DATOS!$I5882,CONFIG_ASIGNATURAS!$B$2:$J$91,9,FALSE()),""))</f>
      </c>
    </row>
    <row r="5883">
      <c r="F5883">
        <f>IF(DATOS!$A5883="","",DATOS!$A5883&amp;"|"&amp;DATOS!$D5883&amp;"|"&amp;DATOS!$E5883&amp;"|"&amp;DATOS!$I5883)</f>
      </c>
      <c r="G5883">
        <f>IF(DATOS!$A5883="",0,IF(CONFIG_METADATA!$B$4&lt;&gt;"OR+EX",--(DATOS!$G5883=CONFIG_METADATA!$B$4),IF(DATOS!$G5883="EX",1,IF(DATOS!$G5883="OR",--(COUNTIFS(nNIA,DATOS!$A5883,nCURSO,DATOS!$D5883,nESPEC,DATOS!$E5883,nASIG,DATOS!$I5883,nEVAL,"EX")=0),0))))</f>
      </c>
      <c r="H5883">
        <f>IF(DATOS!$G5883&lt;&gt;"EX",0,--(COUNTIFS(nNIA,DATOS!$A5883,nCURSO,DATOS!$D5883,nESPEC,DATOS!$E5883,nASIG,DATOS!$I5883,nEVAL,"OR")=0))</f>
      </c>
      <c r="I5883">
        <f>IF(DATOS!$I5883="","",IFERROR(VLOOKUP(DATOS!$I5883,CONFIG_ASIGNATURAS!$B$2:$J$91,9,FALSE()),""))</f>
      </c>
    </row>
    <row r="5884">
      <c r="F5884">
        <f>IF(DATOS!$A5884="","",DATOS!$A5884&amp;"|"&amp;DATOS!$D5884&amp;"|"&amp;DATOS!$E5884&amp;"|"&amp;DATOS!$I5884)</f>
      </c>
      <c r="G5884">
        <f>IF(DATOS!$A5884="",0,IF(CONFIG_METADATA!$B$4&lt;&gt;"OR+EX",--(DATOS!$G5884=CONFIG_METADATA!$B$4),IF(DATOS!$G5884="EX",1,IF(DATOS!$G5884="OR",--(COUNTIFS(nNIA,DATOS!$A5884,nCURSO,DATOS!$D5884,nESPEC,DATOS!$E5884,nASIG,DATOS!$I5884,nEVAL,"EX")=0),0))))</f>
      </c>
      <c r="H5884">
        <f>IF(DATOS!$G5884&lt;&gt;"EX",0,--(COUNTIFS(nNIA,DATOS!$A5884,nCURSO,DATOS!$D5884,nESPEC,DATOS!$E5884,nASIG,DATOS!$I5884,nEVAL,"OR")=0))</f>
      </c>
      <c r="I5884">
        <f>IF(DATOS!$I5884="","",IFERROR(VLOOKUP(DATOS!$I5884,CONFIG_ASIGNATURAS!$B$2:$J$91,9,FALSE()),""))</f>
      </c>
    </row>
    <row r="5885">
      <c r="F5885">
        <f>IF(DATOS!$A5885="","",DATOS!$A5885&amp;"|"&amp;DATOS!$D5885&amp;"|"&amp;DATOS!$E5885&amp;"|"&amp;DATOS!$I5885)</f>
      </c>
      <c r="G5885">
        <f>IF(DATOS!$A5885="",0,IF(CONFIG_METADATA!$B$4&lt;&gt;"OR+EX",--(DATOS!$G5885=CONFIG_METADATA!$B$4),IF(DATOS!$G5885="EX",1,IF(DATOS!$G5885="OR",--(COUNTIFS(nNIA,DATOS!$A5885,nCURSO,DATOS!$D5885,nESPEC,DATOS!$E5885,nASIG,DATOS!$I5885,nEVAL,"EX")=0),0))))</f>
      </c>
      <c r="H5885">
        <f>IF(DATOS!$G5885&lt;&gt;"EX",0,--(COUNTIFS(nNIA,DATOS!$A5885,nCURSO,DATOS!$D5885,nESPEC,DATOS!$E5885,nASIG,DATOS!$I5885,nEVAL,"OR")=0))</f>
      </c>
      <c r="I5885">
        <f>IF(DATOS!$I5885="","",IFERROR(VLOOKUP(DATOS!$I5885,CONFIG_ASIGNATURAS!$B$2:$J$91,9,FALSE()),""))</f>
      </c>
    </row>
    <row r="5886">
      <c r="F5886">
        <f>IF(DATOS!$A5886="","",DATOS!$A5886&amp;"|"&amp;DATOS!$D5886&amp;"|"&amp;DATOS!$E5886&amp;"|"&amp;DATOS!$I5886)</f>
      </c>
      <c r="G5886">
        <f>IF(DATOS!$A5886="",0,IF(CONFIG_METADATA!$B$4&lt;&gt;"OR+EX",--(DATOS!$G5886=CONFIG_METADATA!$B$4),IF(DATOS!$G5886="EX",1,IF(DATOS!$G5886="OR",--(COUNTIFS(nNIA,DATOS!$A5886,nCURSO,DATOS!$D5886,nESPEC,DATOS!$E5886,nASIG,DATOS!$I5886,nEVAL,"EX")=0),0))))</f>
      </c>
      <c r="H5886">
        <f>IF(DATOS!$G5886&lt;&gt;"EX",0,--(COUNTIFS(nNIA,DATOS!$A5886,nCURSO,DATOS!$D5886,nESPEC,DATOS!$E5886,nASIG,DATOS!$I5886,nEVAL,"OR")=0))</f>
      </c>
      <c r="I5886">
        <f>IF(DATOS!$I5886="","",IFERROR(VLOOKUP(DATOS!$I5886,CONFIG_ASIGNATURAS!$B$2:$J$91,9,FALSE()),""))</f>
      </c>
    </row>
    <row r="5887">
      <c r="F5887">
        <f>IF(DATOS!$A5887="","",DATOS!$A5887&amp;"|"&amp;DATOS!$D5887&amp;"|"&amp;DATOS!$E5887&amp;"|"&amp;DATOS!$I5887)</f>
      </c>
      <c r="G5887">
        <f>IF(DATOS!$A5887="",0,IF(CONFIG_METADATA!$B$4&lt;&gt;"OR+EX",--(DATOS!$G5887=CONFIG_METADATA!$B$4),IF(DATOS!$G5887="EX",1,IF(DATOS!$G5887="OR",--(COUNTIFS(nNIA,DATOS!$A5887,nCURSO,DATOS!$D5887,nESPEC,DATOS!$E5887,nASIG,DATOS!$I5887,nEVAL,"EX")=0),0))))</f>
      </c>
      <c r="H5887">
        <f>IF(DATOS!$G5887&lt;&gt;"EX",0,--(COUNTIFS(nNIA,DATOS!$A5887,nCURSO,DATOS!$D5887,nESPEC,DATOS!$E5887,nASIG,DATOS!$I5887,nEVAL,"OR")=0))</f>
      </c>
      <c r="I5887">
        <f>IF(DATOS!$I5887="","",IFERROR(VLOOKUP(DATOS!$I5887,CONFIG_ASIGNATURAS!$B$2:$J$91,9,FALSE()),""))</f>
      </c>
    </row>
    <row r="5888">
      <c r="F5888">
        <f>IF(DATOS!$A5888="","",DATOS!$A5888&amp;"|"&amp;DATOS!$D5888&amp;"|"&amp;DATOS!$E5888&amp;"|"&amp;DATOS!$I5888)</f>
      </c>
      <c r="G5888">
        <f>IF(DATOS!$A5888="",0,IF(CONFIG_METADATA!$B$4&lt;&gt;"OR+EX",--(DATOS!$G5888=CONFIG_METADATA!$B$4),IF(DATOS!$G5888="EX",1,IF(DATOS!$G5888="OR",--(COUNTIFS(nNIA,DATOS!$A5888,nCURSO,DATOS!$D5888,nESPEC,DATOS!$E5888,nASIG,DATOS!$I5888,nEVAL,"EX")=0),0))))</f>
      </c>
      <c r="H5888">
        <f>IF(DATOS!$G5888&lt;&gt;"EX",0,--(COUNTIFS(nNIA,DATOS!$A5888,nCURSO,DATOS!$D5888,nESPEC,DATOS!$E5888,nASIG,DATOS!$I5888,nEVAL,"OR")=0))</f>
      </c>
      <c r="I5888">
        <f>IF(DATOS!$I5888="","",IFERROR(VLOOKUP(DATOS!$I5888,CONFIG_ASIGNATURAS!$B$2:$J$91,9,FALSE()),""))</f>
      </c>
    </row>
    <row r="5889">
      <c r="F5889">
        <f>IF(DATOS!$A5889="","",DATOS!$A5889&amp;"|"&amp;DATOS!$D5889&amp;"|"&amp;DATOS!$E5889&amp;"|"&amp;DATOS!$I5889)</f>
      </c>
      <c r="G5889">
        <f>IF(DATOS!$A5889="",0,IF(CONFIG_METADATA!$B$4&lt;&gt;"OR+EX",--(DATOS!$G5889=CONFIG_METADATA!$B$4),IF(DATOS!$G5889="EX",1,IF(DATOS!$G5889="OR",--(COUNTIFS(nNIA,DATOS!$A5889,nCURSO,DATOS!$D5889,nESPEC,DATOS!$E5889,nASIG,DATOS!$I5889,nEVAL,"EX")=0),0))))</f>
      </c>
      <c r="H5889">
        <f>IF(DATOS!$G5889&lt;&gt;"EX",0,--(COUNTIFS(nNIA,DATOS!$A5889,nCURSO,DATOS!$D5889,nESPEC,DATOS!$E5889,nASIG,DATOS!$I5889,nEVAL,"OR")=0))</f>
      </c>
      <c r="I5889">
        <f>IF(DATOS!$I5889="","",IFERROR(VLOOKUP(DATOS!$I5889,CONFIG_ASIGNATURAS!$B$2:$J$91,9,FALSE()),""))</f>
      </c>
    </row>
    <row r="5890">
      <c r="F5890">
        <f>IF(DATOS!$A5890="","",DATOS!$A5890&amp;"|"&amp;DATOS!$D5890&amp;"|"&amp;DATOS!$E5890&amp;"|"&amp;DATOS!$I5890)</f>
      </c>
      <c r="G5890">
        <f>IF(DATOS!$A5890="",0,IF(CONFIG_METADATA!$B$4&lt;&gt;"OR+EX",--(DATOS!$G5890=CONFIG_METADATA!$B$4),IF(DATOS!$G5890="EX",1,IF(DATOS!$G5890="OR",--(COUNTIFS(nNIA,DATOS!$A5890,nCURSO,DATOS!$D5890,nESPEC,DATOS!$E5890,nASIG,DATOS!$I5890,nEVAL,"EX")=0),0))))</f>
      </c>
      <c r="H5890">
        <f>IF(DATOS!$G5890&lt;&gt;"EX",0,--(COUNTIFS(nNIA,DATOS!$A5890,nCURSO,DATOS!$D5890,nESPEC,DATOS!$E5890,nASIG,DATOS!$I5890,nEVAL,"OR")=0))</f>
      </c>
      <c r="I5890">
        <f>IF(DATOS!$I5890="","",IFERROR(VLOOKUP(DATOS!$I5890,CONFIG_ASIGNATURAS!$B$2:$J$91,9,FALSE()),""))</f>
      </c>
    </row>
    <row r="5891">
      <c r="F5891">
        <f>IF(DATOS!$A5891="","",DATOS!$A5891&amp;"|"&amp;DATOS!$D5891&amp;"|"&amp;DATOS!$E5891&amp;"|"&amp;DATOS!$I5891)</f>
      </c>
      <c r="G5891">
        <f>IF(DATOS!$A5891="",0,IF(CONFIG_METADATA!$B$4&lt;&gt;"OR+EX",--(DATOS!$G5891=CONFIG_METADATA!$B$4),IF(DATOS!$G5891="EX",1,IF(DATOS!$G5891="OR",--(COUNTIFS(nNIA,DATOS!$A5891,nCURSO,DATOS!$D5891,nESPEC,DATOS!$E5891,nASIG,DATOS!$I5891,nEVAL,"EX")=0),0))))</f>
      </c>
      <c r="H5891">
        <f>IF(DATOS!$G5891&lt;&gt;"EX",0,--(COUNTIFS(nNIA,DATOS!$A5891,nCURSO,DATOS!$D5891,nESPEC,DATOS!$E5891,nASIG,DATOS!$I5891,nEVAL,"OR")=0))</f>
      </c>
      <c r="I5891">
        <f>IF(DATOS!$I5891="","",IFERROR(VLOOKUP(DATOS!$I5891,CONFIG_ASIGNATURAS!$B$2:$J$91,9,FALSE()),""))</f>
      </c>
    </row>
    <row r="5892">
      <c r="F5892">
        <f>IF(DATOS!$A5892="","",DATOS!$A5892&amp;"|"&amp;DATOS!$D5892&amp;"|"&amp;DATOS!$E5892&amp;"|"&amp;DATOS!$I5892)</f>
      </c>
      <c r="G5892">
        <f>IF(DATOS!$A5892="",0,IF(CONFIG_METADATA!$B$4&lt;&gt;"OR+EX",--(DATOS!$G5892=CONFIG_METADATA!$B$4),IF(DATOS!$G5892="EX",1,IF(DATOS!$G5892="OR",--(COUNTIFS(nNIA,DATOS!$A5892,nCURSO,DATOS!$D5892,nESPEC,DATOS!$E5892,nASIG,DATOS!$I5892,nEVAL,"EX")=0),0))))</f>
      </c>
      <c r="H5892">
        <f>IF(DATOS!$G5892&lt;&gt;"EX",0,--(COUNTIFS(nNIA,DATOS!$A5892,nCURSO,DATOS!$D5892,nESPEC,DATOS!$E5892,nASIG,DATOS!$I5892,nEVAL,"OR")=0))</f>
      </c>
      <c r="I5892">
        <f>IF(DATOS!$I5892="","",IFERROR(VLOOKUP(DATOS!$I5892,CONFIG_ASIGNATURAS!$B$2:$J$91,9,FALSE()),""))</f>
      </c>
    </row>
    <row r="5893">
      <c r="F5893">
        <f>IF(DATOS!$A5893="","",DATOS!$A5893&amp;"|"&amp;DATOS!$D5893&amp;"|"&amp;DATOS!$E5893&amp;"|"&amp;DATOS!$I5893)</f>
      </c>
      <c r="G5893">
        <f>IF(DATOS!$A5893="",0,IF(CONFIG_METADATA!$B$4&lt;&gt;"OR+EX",--(DATOS!$G5893=CONFIG_METADATA!$B$4),IF(DATOS!$G5893="EX",1,IF(DATOS!$G5893="OR",--(COUNTIFS(nNIA,DATOS!$A5893,nCURSO,DATOS!$D5893,nESPEC,DATOS!$E5893,nASIG,DATOS!$I5893,nEVAL,"EX")=0),0))))</f>
      </c>
      <c r="H5893">
        <f>IF(DATOS!$G5893&lt;&gt;"EX",0,--(COUNTIFS(nNIA,DATOS!$A5893,nCURSO,DATOS!$D5893,nESPEC,DATOS!$E5893,nASIG,DATOS!$I5893,nEVAL,"OR")=0))</f>
      </c>
      <c r="I5893">
        <f>IF(DATOS!$I5893="","",IFERROR(VLOOKUP(DATOS!$I5893,CONFIG_ASIGNATURAS!$B$2:$J$91,9,FALSE()),""))</f>
      </c>
    </row>
    <row r="5894">
      <c r="F5894">
        <f>IF(DATOS!$A5894="","",DATOS!$A5894&amp;"|"&amp;DATOS!$D5894&amp;"|"&amp;DATOS!$E5894&amp;"|"&amp;DATOS!$I5894)</f>
      </c>
      <c r="G5894">
        <f>IF(DATOS!$A5894="",0,IF(CONFIG_METADATA!$B$4&lt;&gt;"OR+EX",--(DATOS!$G5894=CONFIG_METADATA!$B$4),IF(DATOS!$G5894="EX",1,IF(DATOS!$G5894="OR",--(COUNTIFS(nNIA,DATOS!$A5894,nCURSO,DATOS!$D5894,nESPEC,DATOS!$E5894,nASIG,DATOS!$I5894,nEVAL,"EX")=0),0))))</f>
      </c>
      <c r="H5894">
        <f>IF(DATOS!$G5894&lt;&gt;"EX",0,--(COUNTIFS(nNIA,DATOS!$A5894,nCURSO,DATOS!$D5894,nESPEC,DATOS!$E5894,nASIG,DATOS!$I5894,nEVAL,"OR")=0))</f>
      </c>
      <c r="I5894">
        <f>IF(DATOS!$I5894="","",IFERROR(VLOOKUP(DATOS!$I5894,CONFIG_ASIGNATURAS!$B$2:$J$91,9,FALSE()),""))</f>
      </c>
    </row>
    <row r="5895">
      <c r="F5895">
        <f>IF(DATOS!$A5895="","",DATOS!$A5895&amp;"|"&amp;DATOS!$D5895&amp;"|"&amp;DATOS!$E5895&amp;"|"&amp;DATOS!$I5895)</f>
      </c>
      <c r="G5895">
        <f>IF(DATOS!$A5895="",0,IF(CONFIG_METADATA!$B$4&lt;&gt;"OR+EX",--(DATOS!$G5895=CONFIG_METADATA!$B$4),IF(DATOS!$G5895="EX",1,IF(DATOS!$G5895="OR",--(COUNTIFS(nNIA,DATOS!$A5895,nCURSO,DATOS!$D5895,nESPEC,DATOS!$E5895,nASIG,DATOS!$I5895,nEVAL,"EX")=0),0))))</f>
      </c>
      <c r="H5895">
        <f>IF(DATOS!$G5895&lt;&gt;"EX",0,--(COUNTIFS(nNIA,DATOS!$A5895,nCURSO,DATOS!$D5895,nESPEC,DATOS!$E5895,nASIG,DATOS!$I5895,nEVAL,"OR")=0))</f>
      </c>
      <c r="I5895">
        <f>IF(DATOS!$I5895="","",IFERROR(VLOOKUP(DATOS!$I5895,CONFIG_ASIGNATURAS!$B$2:$J$91,9,FALSE()),""))</f>
      </c>
    </row>
    <row r="5896">
      <c r="F5896">
        <f>IF(DATOS!$A5896="","",DATOS!$A5896&amp;"|"&amp;DATOS!$D5896&amp;"|"&amp;DATOS!$E5896&amp;"|"&amp;DATOS!$I5896)</f>
      </c>
      <c r="G5896">
        <f>IF(DATOS!$A5896="",0,IF(CONFIG_METADATA!$B$4&lt;&gt;"OR+EX",--(DATOS!$G5896=CONFIG_METADATA!$B$4),IF(DATOS!$G5896="EX",1,IF(DATOS!$G5896="OR",--(COUNTIFS(nNIA,DATOS!$A5896,nCURSO,DATOS!$D5896,nESPEC,DATOS!$E5896,nASIG,DATOS!$I5896,nEVAL,"EX")=0),0))))</f>
      </c>
      <c r="H5896">
        <f>IF(DATOS!$G5896&lt;&gt;"EX",0,--(COUNTIFS(nNIA,DATOS!$A5896,nCURSO,DATOS!$D5896,nESPEC,DATOS!$E5896,nASIG,DATOS!$I5896,nEVAL,"OR")=0))</f>
      </c>
      <c r="I5896">
        <f>IF(DATOS!$I5896="","",IFERROR(VLOOKUP(DATOS!$I5896,CONFIG_ASIGNATURAS!$B$2:$J$91,9,FALSE()),""))</f>
      </c>
    </row>
    <row r="5897">
      <c r="F5897">
        <f>IF(DATOS!$A5897="","",DATOS!$A5897&amp;"|"&amp;DATOS!$D5897&amp;"|"&amp;DATOS!$E5897&amp;"|"&amp;DATOS!$I5897)</f>
      </c>
      <c r="G5897">
        <f>IF(DATOS!$A5897="",0,IF(CONFIG_METADATA!$B$4&lt;&gt;"OR+EX",--(DATOS!$G5897=CONFIG_METADATA!$B$4),IF(DATOS!$G5897="EX",1,IF(DATOS!$G5897="OR",--(COUNTIFS(nNIA,DATOS!$A5897,nCURSO,DATOS!$D5897,nESPEC,DATOS!$E5897,nASIG,DATOS!$I5897,nEVAL,"EX")=0),0))))</f>
      </c>
      <c r="H5897">
        <f>IF(DATOS!$G5897&lt;&gt;"EX",0,--(COUNTIFS(nNIA,DATOS!$A5897,nCURSO,DATOS!$D5897,nESPEC,DATOS!$E5897,nASIG,DATOS!$I5897,nEVAL,"OR")=0))</f>
      </c>
      <c r="I5897">
        <f>IF(DATOS!$I5897="","",IFERROR(VLOOKUP(DATOS!$I5897,CONFIG_ASIGNATURAS!$B$2:$J$91,9,FALSE()),""))</f>
      </c>
    </row>
    <row r="5898">
      <c r="F5898">
        <f>IF(DATOS!$A5898="","",DATOS!$A5898&amp;"|"&amp;DATOS!$D5898&amp;"|"&amp;DATOS!$E5898&amp;"|"&amp;DATOS!$I5898)</f>
      </c>
      <c r="G5898">
        <f>IF(DATOS!$A5898="",0,IF(CONFIG_METADATA!$B$4&lt;&gt;"OR+EX",--(DATOS!$G5898=CONFIG_METADATA!$B$4),IF(DATOS!$G5898="EX",1,IF(DATOS!$G5898="OR",--(COUNTIFS(nNIA,DATOS!$A5898,nCURSO,DATOS!$D5898,nESPEC,DATOS!$E5898,nASIG,DATOS!$I5898,nEVAL,"EX")=0),0))))</f>
      </c>
      <c r="H5898">
        <f>IF(DATOS!$G5898&lt;&gt;"EX",0,--(COUNTIFS(nNIA,DATOS!$A5898,nCURSO,DATOS!$D5898,nESPEC,DATOS!$E5898,nASIG,DATOS!$I5898,nEVAL,"OR")=0))</f>
      </c>
      <c r="I5898">
        <f>IF(DATOS!$I5898="","",IFERROR(VLOOKUP(DATOS!$I5898,CONFIG_ASIGNATURAS!$B$2:$J$91,9,FALSE()),""))</f>
      </c>
    </row>
    <row r="5899">
      <c r="F5899">
        <f>IF(DATOS!$A5899="","",DATOS!$A5899&amp;"|"&amp;DATOS!$D5899&amp;"|"&amp;DATOS!$E5899&amp;"|"&amp;DATOS!$I5899)</f>
      </c>
      <c r="G5899">
        <f>IF(DATOS!$A5899="",0,IF(CONFIG_METADATA!$B$4&lt;&gt;"OR+EX",--(DATOS!$G5899=CONFIG_METADATA!$B$4),IF(DATOS!$G5899="EX",1,IF(DATOS!$G5899="OR",--(COUNTIFS(nNIA,DATOS!$A5899,nCURSO,DATOS!$D5899,nESPEC,DATOS!$E5899,nASIG,DATOS!$I5899,nEVAL,"EX")=0),0))))</f>
      </c>
      <c r="H5899">
        <f>IF(DATOS!$G5899&lt;&gt;"EX",0,--(COUNTIFS(nNIA,DATOS!$A5899,nCURSO,DATOS!$D5899,nESPEC,DATOS!$E5899,nASIG,DATOS!$I5899,nEVAL,"OR")=0))</f>
      </c>
      <c r="I5899">
        <f>IF(DATOS!$I5899="","",IFERROR(VLOOKUP(DATOS!$I5899,CONFIG_ASIGNATURAS!$B$2:$J$91,9,FALSE()),""))</f>
      </c>
    </row>
    <row r="5900">
      <c r="F5900">
        <f>IF(DATOS!$A5900="","",DATOS!$A5900&amp;"|"&amp;DATOS!$D5900&amp;"|"&amp;DATOS!$E5900&amp;"|"&amp;DATOS!$I5900)</f>
      </c>
      <c r="G5900">
        <f>IF(DATOS!$A5900="",0,IF(CONFIG_METADATA!$B$4&lt;&gt;"OR+EX",--(DATOS!$G5900=CONFIG_METADATA!$B$4),IF(DATOS!$G5900="EX",1,IF(DATOS!$G5900="OR",--(COUNTIFS(nNIA,DATOS!$A5900,nCURSO,DATOS!$D5900,nESPEC,DATOS!$E5900,nASIG,DATOS!$I5900,nEVAL,"EX")=0),0))))</f>
      </c>
      <c r="H5900">
        <f>IF(DATOS!$G5900&lt;&gt;"EX",0,--(COUNTIFS(nNIA,DATOS!$A5900,nCURSO,DATOS!$D5900,nESPEC,DATOS!$E5900,nASIG,DATOS!$I5900,nEVAL,"OR")=0))</f>
      </c>
      <c r="I5900">
        <f>IF(DATOS!$I5900="","",IFERROR(VLOOKUP(DATOS!$I5900,CONFIG_ASIGNATURAS!$B$2:$J$91,9,FALSE()),""))</f>
      </c>
    </row>
    <row r="5901">
      <c r="F5901">
        <f>IF(DATOS!$A5901="","",DATOS!$A5901&amp;"|"&amp;DATOS!$D5901&amp;"|"&amp;DATOS!$E5901&amp;"|"&amp;DATOS!$I5901)</f>
      </c>
      <c r="G5901">
        <f>IF(DATOS!$A5901="",0,IF(CONFIG_METADATA!$B$4&lt;&gt;"OR+EX",--(DATOS!$G5901=CONFIG_METADATA!$B$4),IF(DATOS!$G5901="EX",1,IF(DATOS!$G5901="OR",--(COUNTIFS(nNIA,DATOS!$A5901,nCURSO,DATOS!$D5901,nESPEC,DATOS!$E5901,nASIG,DATOS!$I5901,nEVAL,"EX")=0),0))))</f>
      </c>
      <c r="H5901">
        <f>IF(DATOS!$G5901&lt;&gt;"EX",0,--(COUNTIFS(nNIA,DATOS!$A5901,nCURSO,DATOS!$D5901,nESPEC,DATOS!$E5901,nASIG,DATOS!$I5901,nEVAL,"OR")=0))</f>
      </c>
      <c r="I5901">
        <f>IF(DATOS!$I5901="","",IFERROR(VLOOKUP(DATOS!$I5901,CONFIG_ASIGNATURAS!$B$2:$J$91,9,FALSE()),""))</f>
      </c>
    </row>
    <row r="5902">
      <c r="F5902">
        <f>IF(DATOS!$A5902="","",DATOS!$A5902&amp;"|"&amp;DATOS!$D5902&amp;"|"&amp;DATOS!$E5902&amp;"|"&amp;DATOS!$I5902)</f>
      </c>
      <c r="G5902">
        <f>IF(DATOS!$A5902="",0,IF(CONFIG_METADATA!$B$4&lt;&gt;"OR+EX",--(DATOS!$G5902=CONFIG_METADATA!$B$4),IF(DATOS!$G5902="EX",1,IF(DATOS!$G5902="OR",--(COUNTIFS(nNIA,DATOS!$A5902,nCURSO,DATOS!$D5902,nESPEC,DATOS!$E5902,nASIG,DATOS!$I5902,nEVAL,"EX")=0),0))))</f>
      </c>
      <c r="H5902">
        <f>IF(DATOS!$G5902&lt;&gt;"EX",0,--(COUNTIFS(nNIA,DATOS!$A5902,nCURSO,DATOS!$D5902,nESPEC,DATOS!$E5902,nASIG,DATOS!$I5902,nEVAL,"OR")=0))</f>
      </c>
      <c r="I5902">
        <f>IF(DATOS!$I5902="","",IFERROR(VLOOKUP(DATOS!$I5902,CONFIG_ASIGNATURAS!$B$2:$J$91,9,FALSE()),""))</f>
      </c>
    </row>
    <row r="5903">
      <c r="F5903">
        <f>IF(DATOS!$A5903="","",DATOS!$A5903&amp;"|"&amp;DATOS!$D5903&amp;"|"&amp;DATOS!$E5903&amp;"|"&amp;DATOS!$I5903)</f>
      </c>
      <c r="G5903">
        <f>IF(DATOS!$A5903="",0,IF(CONFIG_METADATA!$B$4&lt;&gt;"OR+EX",--(DATOS!$G5903=CONFIG_METADATA!$B$4),IF(DATOS!$G5903="EX",1,IF(DATOS!$G5903="OR",--(COUNTIFS(nNIA,DATOS!$A5903,nCURSO,DATOS!$D5903,nESPEC,DATOS!$E5903,nASIG,DATOS!$I5903,nEVAL,"EX")=0),0))))</f>
      </c>
      <c r="H5903">
        <f>IF(DATOS!$G5903&lt;&gt;"EX",0,--(COUNTIFS(nNIA,DATOS!$A5903,nCURSO,DATOS!$D5903,nESPEC,DATOS!$E5903,nASIG,DATOS!$I5903,nEVAL,"OR")=0))</f>
      </c>
      <c r="I5903">
        <f>IF(DATOS!$I5903="","",IFERROR(VLOOKUP(DATOS!$I5903,CONFIG_ASIGNATURAS!$B$2:$J$91,9,FALSE()),""))</f>
      </c>
    </row>
    <row r="5904">
      <c r="F5904">
        <f>IF(DATOS!$A5904="","",DATOS!$A5904&amp;"|"&amp;DATOS!$D5904&amp;"|"&amp;DATOS!$E5904&amp;"|"&amp;DATOS!$I5904)</f>
      </c>
      <c r="G5904">
        <f>IF(DATOS!$A5904="",0,IF(CONFIG_METADATA!$B$4&lt;&gt;"OR+EX",--(DATOS!$G5904=CONFIG_METADATA!$B$4),IF(DATOS!$G5904="EX",1,IF(DATOS!$G5904="OR",--(COUNTIFS(nNIA,DATOS!$A5904,nCURSO,DATOS!$D5904,nESPEC,DATOS!$E5904,nASIG,DATOS!$I5904,nEVAL,"EX")=0),0))))</f>
      </c>
      <c r="H5904">
        <f>IF(DATOS!$G5904&lt;&gt;"EX",0,--(COUNTIFS(nNIA,DATOS!$A5904,nCURSO,DATOS!$D5904,nESPEC,DATOS!$E5904,nASIG,DATOS!$I5904,nEVAL,"OR")=0))</f>
      </c>
      <c r="I5904">
        <f>IF(DATOS!$I5904="","",IFERROR(VLOOKUP(DATOS!$I5904,CONFIG_ASIGNATURAS!$B$2:$J$91,9,FALSE()),""))</f>
      </c>
    </row>
    <row r="5905">
      <c r="F5905">
        <f>IF(DATOS!$A5905="","",DATOS!$A5905&amp;"|"&amp;DATOS!$D5905&amp;"|"&amp;DATOS!$E5905&amp;"|"&amp;DATOS!$I5905)</f>
      </c>
      <c r="G5905">
        <f>IF(DATOS!$A5905="",0,IF(CONFIG_METADATA!$B$4&lt;&gt;"OR+EX",--(DATOS!$G5905=CONFIG_METADATA!$B$4),IF(DATOS!$G5905="EX",1,IF(DATOS!$G5905="OR",--(COUNTIFS(nNIA,DATOS!$A5905,nCURSO,DATOS!$D5905,nESPEC,DATOS!$E5905,nASIG,DATOS!$I5905,nEVAL,"EX")=0),0))))</f>
      </c>
      <c r="H5905">
        <f>IF(DATOS!$G5905&lt;&gt;"EX",0,--(COUNTIFS(nNIA,DATOS!$A5905,nCURSO,DATOS!$D5905,nESPEC,DATOS!$E5905,nASIG,DATOS!$I5905,nEVAL,"OR")=0))</f>
      </c>
      <c r="I5905">
        <f>IF(DATOS!$I5905="","",IFERROR(VLOOKUP(DATOS!$I5905,CONFIG_ASIGNATURAS!$B$2:$J$91,9,FALSE()),""))</f>
      </c>
    </row>
    <row r="5906">
      <c r="F5906">
        <f>IF(DATOS!$A5906="","",DATOS!$A5906&amp;"|"&amp;DATOS!$D5906&amp;"|"&amp;DATOS!$E5906&amp;"|"&amp;DATOS!$I5906)</f>
      </c>
      <c r="G5906">
        <f>IF(DATOS!$A5906="",0,IF(CONFIG_METADATA!$B$4&lt;&gt;"OR+EX",--(DATOS!$G5906=CONFIG_METADATA!$B$4),IF(DATOS!$G5906="EX",1,IF(DATOS!$G5906="OR",--(COUNTIFS(nNIA,DATOS!$A5906,nCURSO,DATOS!$D5906,nESPEC,DATOS!$E5906,nASIG,DATOS!$I5906,nEVAL,"EX")=0),0))))</f>
      </c>
      <c r="H5906">
        <f>IF(DATOS!$G5906&lt;&gt;"EX",0,--(COUNTIFS(nNIA,DATOS!$A5906,nCURSO,DATOS!$D5906,nESPEC,DATOS!$E5906,nASIG,DATOS!$I5906,nEVAL,"OR")=0))</f>
      </c>
      <c r="I5906">
        <f>IF(DATOS!$I5906="","",IFERROR(VLOOKUP(DATOS!$I5906,CONFIG_ASIGNATURAS!$B$2:$J$91,9,FALSE()),""))</f>
      </c>
    </row>
    <row r="5907">
      <c r="F5907">
        <f>IF(DATOS!$A5907="","",DATOS!$A5907&amp;"|"&amp;DATOS!$D5907&amp;"|"&amp;DATOS!$E5907&amp;"|"&amp;DATOS!$I5907)</f>
      </c>
      <c r="G5907">
        <f>IF(DATOS!$A5907="",0,IF(CONFIG_METADATA!$B$4&lt;&gt;"OR+EX",--(DATOS!$G5907=CONFIG_METADATA!$B$4),IF(DATOS!$G5907="EX",1,IF(DATOS!$G5907="OR",--(COUNTIFS(nNIA,DATOS!$A5907,nCURSO,DATOS!$D5907,nESPEC,DATOS!$E5907,nASIG,DATOS!$I5907,nEVAL,"EX")=0),0))))</f>
      </c>
      <c r="H5907">
        <f>IF(DATOS!$G5907&lt;&gt;"EX",0,--(COUNTIFS(nNIA,DATOS!$A5907,nCURSO,DATOS!$D5907,nESPEC,DATOS!$E5907,nASIG,DATOS!$I5907,nEVAL,"OR")=0))</f>
      </c>
      <c r="I5907">
        <f>IF(DATOS!$I5907="","",IFERROR(VLOOKUP(DATOS!$I5907,CONFIG_ASIGNATURAS!$B$2:$J$91,9,FALSE()),""))</f>
      </c>
    </row>
    <row r="5908">
      <c r="F5908">
        <f>IF(DATOS!$A5908="","",DATOS!$A5908&amp;"|"&amp;DATOS!$D5908&amp;"|"&amp;DATOS!$E5908&amp;"|"&amp;DATOS!$I5908)</f>
      </c>
      <c r="G5908">
        <f>IF(DATOS!$A5908="",0,IF(CONFIG_METADATA!$B$4&lt;&gt;"OR+EX",--(DATOS!$G5908=CONFIG_METADATA!$B$4),IF(DATOS!$G5908="EX",1,IF(DATOS!$G5908="OR",--(COUNTIFS(nNIA,DATOS!$A5908,nCURSO,DATOS!$D5908,nESPEC,DATOS!$E5908,nASIG,DATOS!$I5908,nEVAL,"EX")=0),0))))</f>
      </c>
      <c r="H5908">
        <f>IF(DATOS!$G5908&lt;&gt;"EX",0,--(COUNTIFS(nNIA,DATOS!$A5908,nCURSO,DATOS!$D5908,nESPEC,DATOS!$E5908,nASIG,DATOS!$I5908,nEVAL,"OR")=0))</f>
      </c>
      <c r="I5908">
        <f>IF(DATOS!$I5908="","",IFERROR(VLOOKUP(DATOS!$I5908,CONFIG_ASIGNATURAS!$B$2:$J$91,9,FALSE()),""))</f>
      </c>
    </row>
    <row r="5909">
      <c r="F5909">
        <f>IF(DATOS!$A5909="","",DATOS!$A5909&amp;"|"&amp;DATOS!$D5909&amp;"|"&amp;DATOS!$E5909&amp;"|"&amp;DATOS!$I5909)</f>
      </c>
      <c r="G5909">
        <f>IF(DATOS!$A5909="",0,IF(CONFIG_METADATA!$B$4&lt;&gt;"OR+EX",--(DATOS!$G5909=CONFIG_METADATA!$B$4),IF(DATOS!$G5909="EX",1,IF(DATOS!$G5909="OR",--(COUNTIFS(nNIA,DATOS!$A5909,nCURSO,DATOS!$D5909,nESPEC,DATOS!$E5909,nASIG,DATOS!$I5909,nEVAL,"EX")=0),0))))</f>
      </c>
      <c r="H5909">
        <f>IF(DATOS!$G5909&lt;&gt;"EX",0,--(COUNTIFS(nNIA,DATOS!$A5909,nCURSO,DATOS!$D5909,nESPEC,DATOS!$E5909,nASIG,DATOS!$I5909,nEVAL,"OR")=0))</f>
      </c>
      <c r="I5909">
        <f>IF(DATOS!$I5909="","",IFERROR(VLOOKUP(DATOS!$I5909,CONFIG_ASIGNATURAS!$B$2:$J$91,9,FALSE()),""))</f>
      </c>
    </row>
    <row r="5910">
      <c r="F5910">
        <f>IF(DATOS!$A5910="","",DATOS!$A5910&amp;"|"&amp;DATOS!$D5910&amp;"|"&amp;DATOS!$E5910&amp;"|"&amp;DATOS!$I5910)</f>
      </c>
      <c r="G5910">
        <f>IF(DATOS!$A5910="",0,IF(CONFIG_METADATA!$B$4&lt;&gt;"OR+EX",--(DATOS!$G5910=CONFIG_METADATA!$B$4),IF(DATOS!$G5910="EX",1,IF(DATOS!$G5910="OR",--(COUNTIFS(nNIA,DATOS!$A5910,nCURSO,DATOS!$D5910,nESPEC,DATOS!$E5910,nASIG,DATOS!$I5910,nEVAL,"EX")=0),0))))</f>
      </c>
      <c r="H5910">
        <f>IF(DATOS!$G5910&lt;&gt;"EX",0,--(COUNTIFS(nNIA,DATOS!$A5910,nCURSO,DATOS!$D5910,nESPEC,DATOS!$E5910,nASIG,DATOS!$I5910,nEVAL,"OR")=0))</f>
      </c>
      <c r="I5910">
        <f>IF(DATOS!$I5910="","",IFERROR(VLOOKUP(DATOS!$I5910,CONFIG_ASIGNATURAS!$B$2:$J$91,9,FALSE()),""))</f>
      </c>
    </row>
    <row r="5911">
      <c r="F5911">
        <f>IF(DATOS!$A5911="","",DATOS!$A5911&amp;"|"&amp;DATOS!$D5911&amp;"|"&amp;DATOS!$E5911&amp;"|"&amp;DATOS!$I5911)</f>
      </c>
      <c r="G5911">
        <f>IF(DATOS!$A5911="",0,IF(CONFIG_METADATA!$B$4&lt;&gt;"OR+EX",--(DATOS!$G5911=CONFIG_METADATA!$B$4),IF(DATOS!$G5911="EX",1,IF(DATOS!$G5911="OR",--(COUNTIFS(nNIA,DATOS!$A5911,nCURSO,DATOS!$D5911,nESPEC,DATOS!$E5911,nASIG,DATOS!$I5911,nEVAL,"EX")=0),0))))</f>
      </c>
      <c r="H5911">
        <f>IF(DATOS!$G5911&lt;&gt;"EX",0,--(COUNTIFS(nNIA,DATOS!$A5911,nCURSO,DATOS!$D5911,nESPEC,DATOS!$E5911,nASIG,DATOS!$I5911,nEVAL,"OR")=0))</f>
      </c>
      <c r="I5911">
        <f>IF(DATOS!$I5911="","",IFERROR(VLOOKUP(DATOS!$I5911,CONFIG_ASIGNATURAS!$B$2:$J$91,9,FALSE()),""))</f>
      </c>
    </row>
    <row r="5912">
      <c r="F5912">
        <f>IF(DATOS!$A5912="","",DATOS!$A5912&amp;"|"&amp;DATOS!$D5912&amp;"|"&amp;DATOS!$E5912&amp;"|"&amp;DATOS!$I5912)</f>
      </c>
      <c r="G5912">
        <f>IF(DATOS!$A5912="",0,IF(CONFIG_METADATA!$B$4&lt;&gt;"OR+EX",--(DATOS!$G5912=CONFIG_METADATA!$B$4),IF(DATOS!$G5912="EX",1,IF(DATOS!$G5912="OR",--(COUNTIFS(nNIA,DATOS!$A5912,nCURSO,DATOS!$D5912,nESPEC,DATOS!$E5912,nASIG,DATOS!$I5912,nEVAL,"EX")=0),0))))</f>
      </c>
      <c r="H5912">
        <f>IF(DATOS!$G5912&lt;&gt;"EX",0,--(COUNTIFS(nNIA,DATOS!$A5912,nCURSO,DATOS!$D5912,nESPEC,DATOS!$E5912,nASIG,DATOS!$I5912,nEVAL,"OR")=0))</f>
      </c>
      <c r="I5912">
        <f>IF(DATOS!$I5912="","",IFERROR(VLOOKUP(DATOS!$I5912,CONFIG_ASIGNATURAS!$B$2:$J$91,9,FALSE()),""))</f>
      </c>
    </row>
    <row r="5913">
      <c r="F5913">
        <f>IF(DATOS!$A5913="","",DATOS!$A5913&amp;"|"&amp;DATOS!$D5913&amp;"|"&amp;DATOS!$E5913&amp;"|"&amp;DATOS!$I5913)</f>
      </c>
      <c r="G5913">
        <f>IF(DATOS!$A5913="",0,IF(CONFIG_METADATA!$B$4&lt;&gt;"OR+EX",--(DATOS!$G5913=CONFIG_METADATA!$B$4),IF(DATOS!$G5913="EX",1,IF(DATOS!$G5913="OR",--(COUNTIFS(nNIA,DATOS!$A5913,nCURSO,DATOS!$D5913,nESPEC,DATOS!$E5913,nASIG,DATOS!$I5913,nEVAL,"EX")=0),0))))</f>
      </c>
      <c r="H5913">
        <f>IF(DATOS!$G5913&lt;&gt;"EX",0,--(COUNTIFS(nNIA,DATOS!$A5913,nCURSO,DATOS!$D5913,nESPEC,DATOS!$E5913,nASIG,DATOS!$I5913,nEVAL,"OR")=0))</f>
      </c>
      <c r="I5913">
        <f>IF(DATOS!$I5913="","",IFERROR(VLOOKUP(DATOS!$I5913,CONFIG_ASIGNATURAS!$B$2:$J$91,9,FALSE()),""))</f>
      </c>
    </row>
    <row r="5914">
      <c r="F5914">
        <f>IF(DATOS!$A5914="","",DATOS!$A5914&amp;"|"&amp;DATOS!$D5914&amp;"|"&amp;DATOS!$E5914&amp;"|"&amp;DATOS!$I5914)</f>
      </c>
      <c r="G5914">
        <f>IF(DATOS!$A5914="",0,IF(CONFIG_METADATA!$B$4&lt;&gt;"OR+EX",--(DATOS!$G5914=CONFIG_METADATA!$B$4),IF(DATOS!$G5914="EX",1,IF(DATOS!$G5914="OR",--(COUNTIFS(nNIA,DATOS!$A5914,nCURSO,DATOS!$D5914,nESPEC,DATOS!$E5914,nASIG,DATOS!$I5914,nEVAL,"EX")=0),0))))</f>
      </c>
      <c r="H5914">
        <f>IF(DATOS!$G5914&lt;&gt;"EX",0,--(COUNTIFS(nNIA,DATOS!$A5914,nCURSO,DATOS!$D5914,nESPEC,DATOS!$E5914,nASIG,DATOS!$I5914,nEVAL,"OR")=0))</f>
      </c>
      <c r="I5914">
        <f>IF(DATOS!$I5914="","",IFERROR(VLOOKUP(DATOS!$I5914,CONFIG_ASIGNATURAS!$B$2:$J$91,9,FALSE()),""))</f>
      </c>
    </row>
    <row r="5915">
      <c r="F5915">
        <f>IF(DATOS!$A5915="","",DATOS!$A5915&amp;"|"&amp;DATOS!$D5915&amp;"|"&amp;DATOS!$E5915&amp;"|"&amp;DATOS!$I5915)</f>
      </c>
      <c r="G5915">
        <f>IF(DATOS!$A5915="",0,IF(CONFIG_METADATA!$B$4&lt;&gt;"OR+EX",--(DATOS!$G5915=CONFIG_METADATA!$B$4),IF(DATOS!$G5915="EX",1,IF(DATOS!$G5915="OR",--(COUNTIFS(nNIA,DATOS!$A5915,nCURSO,DATOS!$D5915,nESPEC,DATOS!$E5915,nASIG,DATOS!$I5915,nEVAL,"EX")=0),0))))</f>
      </c>
      <c r="H5915">
        <f>IF(DATOS!$G5915&lt;&gt;"EX",0,--(COUNTIFS(nNIA,DATOS!$A5915,nCURSO,DATOS!$D5915,nESPEC,DATOS!$E5915,nASIG,DATOS!$I5915,nEVAL,"OR")=0))</f>
      </c>
      <c r="I5915">
        <f>IF(DATOS!$I5915="","",IFERROR(VLOOKUP(DATOS!$I5915,CONFIG_ASIGNATURAS!$B$2:$J$91,9,FALSE()),""))</f>
      </c>
    </row>
    <row r="5916">
      <c r="F5916">
        <f>IF(DATOS!$A5916="","",DATOS!$A5916&amp;"|"&amp;DATOS!$D5916&amp;"|"&amp;DATOS!$E5916&amp;"|"&amp;DATOS!$I5916)</f>
      </c>
      <c r="G5916">
        <f>IF(DATOS!$A5916="",0,IF(CONFIG_METADATA!$B$4&lt;&gt;"OR+EX",--(DATOS!$G5916=CONFIG_METADATA!$B$4),IF(DATOS!$G5916="EX",1,IF(DATOS!$G5916="OR",--(COUNTIFS(nNIA,DATOS!$A5916,nCURSO,DATOS!$D5916,nESPEC,DATOS!$E5916,nASIG,DATOS!$I5916,nEVAL,"EX")=0),0))))</f>
      </c>
      <c r="H5916">
        <f>IF(DATOS!$G5916&lt;&gt;"EX",0,--(COUNTIFS(nNIA,DATOS!$A5916,nCURSO,DATOS!$D5916,nESPEC,DATOS!$E5916,nASIG,DATOS!$I5916,nEVAL,"OR")=0))</f>
      </c>
      <c r="I5916">
        <f>IF(DATOS!$I5916="","",IFERROR(VLOOKUP(DATOS!$I5916,CONFIG_ASIGNATURAS!$B$2:$J$91,9,FALSE()),""))</f>
      </c>
    </row>
    <row r="5917">
      <c r="F5917">
        <f>IF(DATOS!$A5917="","",DATOS!$A5917&amp;"|"&amp;DATOS!$D5917&amp;"|"&amp;DATOS!$E5917&amp;"|"&amp;DATOS!$I5917)</f>
      </c>
      <c r="G5917">
        <f>IF(DATOS!$A5917="",0,IF(CONFIG_METADATA!$B$4&lt;&gt;"OR+EX",--(DATOS!$G5917=CONFIG_METADATA!$B$4),IF(DATOS!$G5917="EX",1,IF(DATOS!$G5917="OR",--(COUNTIFS(nNIA,DATOS!$A5917,nCURSO,DATOS!$D5917,nESPEC,DATOS!$E5917,nASIG,DATOS!$I5917,nEVAL,"EX")=0),0))))</f>
      </c>
      <c r="H5917">
        <f>IF(DATOS!$G5917&lt;&gt;"EX",0,--(COUNTIFS(nNIA,DATOS!$A5917,nCURSO,DATOS!$D5917,nESPEC,DATOS!$E5917,nASIG,DATOS!$I5917,nEVAL,"OR")=0))</f>
      </c>
      <c r="I5917">
        <f>IF(DATOS!$I5917="","",IFERROR(VLOOKUP(DATOS!$I5917,CONFIG_ASIGNATURAS!$B$2:$J$91,9,FALSE()),""))</f>
      </c>
    </row>
    <row r="5918">
      <c r="F5918">
        <f>IF(DATOS!$A5918="","",DATOS!$A5918&amp;"|"&amp;DATOS!$D5918&amp;"|"&amp;DATOS!$E5918&amp;"|"&amp;DATOS!$I5918)</f>
      </c>
      <c r="G5918">
        <f>IF(DATOS!$A5918="",0,IF(CONFIG_METADATA!$B$4&lt;&gt;"OR+EX",--(DATOS!$G5918=CONFIG_METADATA!$B$4),IF(DATOS!$G5918="EX",1,IF(DATOS!$G5918="OR",--(COUNTIFS(nNIA,DATOS!$A5918,nCURSO,DATOS!$D5918,nESPEC,DATOS!$E5918,nASIG,DATOS!$I5918,nEVAL,"EX")=0),0))))</f>
      </c>
      <c r="H5918">
        <f>IF(DATOS!$G5918&lt;&gt;"EX",0,--(COUNTIFS(nNIA,DATOS!$A5918,nCURSO,DATOS!$D5918,nESPEC,DATOS!$E5918,nASIG,DATOS!$I5918,nEVAL,"OR")=0))</f>
      </c>
      <c r="I5918">
        <f>IF(DATOS!$I5918="","",IFERROR(VLOOKUP(DATOS!$I5918,CONFIG_ASIGNATURAS!$B$2:$J$91,9,FALSE()),""))</f>
      </c>
    </row>
    <row r="5919">
      <c r="F5919">
        <f>IF(DATOS!$A5919="","",DATOS!$A5919&amp;"|"&amp;DATOS!$D5919&amp;"|"&amp;DATOS!$E5919&amp;"|"&amp;DATOS!$I5919)</f>
      </c>
      <c r="G5919">
        <f>IF(DATOS!$A5919="",0,IF(CONFIG_METADATA!$B$4&lt;&gt;"OR+EX",--(DATOS!$G5919=CONFIG_METADATA!$B$4),IF(DATOS!$G5919="EX",1,IF(DATOS!$G5919="OR",--(COUNTIFS(nNIA,DATOS!$A5919,nCURSO,DATOS!$D5919,nESPEC,DATOS!$E5919,nASIG,DATOS!$I5919,nEVAL,"EX")=0),0))))</f>
      </c>
      <c r="H5919">
        <f>IF(DATOS!$G5919&lt;&gt;"EX",0,--(COUNTIFS(nNIA,DATOS!$A5919,nCURSO,DATOS!$D5919,nESPEC,DATOS!$E5919,nASIG,DATOS!$I5919,nEVAL,"OR")=0))</f>
      </c>
      <c r="I5919">
        <f>IF(DATOS!$I5919="","",IFERROR(VLOOKUP(DATOS!$I5919,CONFIG_ASIGNATURAS!$B$2:$J$91,9,FALSE()),""))</f>
      </c>
    </row>
    <row r="5920">
      <c r="F5920">
        <f>IF(DATOS!$A5920="","",DATOS!$A5920&amp;"|"&amp;DATOS!$D5920&amp;"|"&amp;DATOS!$E5920&amp;"|"&amp;DATOS!$I5920)</f>
      </c>
      <c r="G5920">
        <f>IF(DATOS!$A5920="",0,IF(CONFIG_METADATA!$B$4&lt;&gt;"OR+EX",--(DATOS!$G5920=CONFIG_METADATA!$B$4),IF(DATOS!$G5920="EX",1,IF(DATOS!$G5920="OR",--(COUNTIFS(nNIA,DATOS!$A5920,nCURSO,DATOS!$D5920,nESPEC,DATOS!$E5920,nASIG,DATOS!$I5920,nEVAL,"EX")=0),0))))</f>
      </c>
      <c r="H5920">
        <f>IF(DATOS!$G5920&lt;&gt;"EX",0,--(COUNTIFS(nNIA,DATOS!$A5920,nCURSO,DATOS!$D5920,nESPEC,DATOS!$E5920,nASIG,DATOS!$I5920,nEVAL,"OR")=0))</f>
      </c>
      <c r="I5920">
        <f>IF(DATOS!$I5920="","",IFERROR(VLOOKUP(DATOS!$I5920,CONFIG_ASIGNATURAS!$B$2:$J$91,9,FALSE()),""))</f>
      </c>
    </row>
    <row r="5921">
      <c r="F5921">
        <f>IF(DATOS!$A5921="","",DATOS!$A5921&amp;"|"&amp;DATOS!$D5921&amp;"|"&amp;DATOS!$E5921&amp;"|"&amp;DATOS!$I5921)</f>
      </c>
      <c r="G5921">
        <f>IF(DATOS!$A5921="",0,IF(CONFIG_METADATA!$B$4&lt;&gt;"OR+EX",--(DATOS!$G5921=CONFIG_METADATA!$B$4),IF(DATOS!$G5921="EX",1,IF(DATOS!$G5921="OR",--(COUNTIFS(nNIA,DATOS!$A5921,nCURSO,DATOS!$D5921,nESPEC,DATOS!$E5921,nASIG,DATOS!$I5921,nEVAL,"EX")=0),0))))</f>
      </c>
      <c r="H5921">
        <f>IF(DATOS!$G5921&lt;&gt;"EX",0,--(COUNTIFS(nNIA,DATOS!$A5921,nCURSO,DATOS!$D5921,nESPEC,DATOS!$E5921,nASIG,DATOS!$I5921,nEVAL,"OR")=0))</f>
      </c>
      <c r="I5921">
        <f>IF(DATOS!$I5921="","",IFERROR(VLOOKUP(DATOS!$I5921,CONFIG_ASIGNATURAS!$B$2:$J$91,9,FALSE()),""))</f>
      </c>
    </row>
    <row r="5922">
      <c r="F5922">
        <f>IF(DATOS!$A5922="","",DATOS!$A5922&amp;"|"&amp;DATOS!$D5922&amp;"|"&amp;DATOS!$E5922&amp;"|"&amp;DATOS!$I5922)</f>
      </c>
      <c r="G5922">
        <f>IF(DATOS!$A5922="",0,IF(CONFIG_METADATA!$B$4&lt;&gt;"OR+EX",--(DATOS!$G5922=CONFIG_METADATA!$B$4),IF(DATOS!$G5922="EX",1,IF(DATOS!$G5922="OR",--(COUNTIFS(nNIA,DATOS!$A5922,nCURSO,DATOS!$D5922,nESPEC,DATOS!$E5922,nASIG,DATOS!$I5922,nEVAL,"EX")=0),0))))</f>
      </c>
      <c r="H5922">
        <f>IF(DATOS!$G5922&lt;&gt;"EX",0,--(COUNTIFS(nNIA,DATOS!$A5922,nCURSO,DATOS!$D5922,nESPEC,DATOS!$E5922,nASIG,DATOS!$I5922,nEVAL,"OR")=0))</f>
      </c>
      <c r="I5922">
        <f>IF(DATOS!$I5922="","",IFERROR(VLOOKUP(DATOS!$I5922,CONFIG_ASIGNATURAS!$B$2:$J$91,9,FALSE()),""))</f>
      </c>
    </row>
    <row r="5923">
      <c r="F5923">
        <f>IF(DATOS!$A5923="","",DATOS!$A5923&amp;"|"&amp;DATOS!$D5923&amp;"|"&amp;DATOS!$E5923&amp;"|"&amp;DATOS!$I5923)</f>
      </c>
      <c r="G5923">
        <f>IF(DATOS!$A5923="",0,IF(CONFIG_METADATA!$B$4&lt;&gt;"OR+EX",--(DATOS!$G5923=CONFIG_METADATA!$B$4),IF(DATOS!$G5923="EX",1,IF(DATOS!$G5923="OR",--(COUNTIFS(nNIA,DATOS!$A5923,nCURSO,DATOS!$D5923,nESPEC,DATOS!$E5923,nASIG,DATOS!$I5923,nEVAL,"EX")=0),0))))</f>
      </c>
      <c r="H5923">
        <f>IF(DATOS!$G5923&lt;&gt;"EX",0,--(COUNTIFS(nNIA,DATOS!$A5923,nCURSO,DATOS!$D5923,nESPEC,DATOS!$E5923,nASIG,DATOS!$I5923,nEVAL,"OR")=0))</f>
      </c>
      <c r="I5923">
        <f>IF(DATOS!$I5923="","",IFERROR(VLOOKUP(DATOS!$I5923,CONFIG_ASIGNATURAS!$B$2:$J$91,9,FALSE()),""))</f>
      </c>
    </row>
    <row r="5924">
      <c r="F5924">
        <f>IF(DATOS!$A5924="","",DATOS!$A5924&amp;"|"&amp;DATOS!$D5924&amp;"|"&amp;DATOS!$E5924&amp;"|"&amp;DATOS!$I5924)</f>
      </c>
      <c r="G5924">
        <f>IF(DATOS!$A5924="",0,IF(CONFIG_METADATA!$B$4&lt;&gt;"OR+EX",--(DATOS!$G5924=CONFIG_METADATA!$B$4),IF(DATOS!$G5924="EX",1,IF(DATOS!$G5924="OR",--(COUNTIFS(nNIA,DATOS!$A5924,nCURSO,DATOS!$D5924,nESPEC,DATOS!$E5924,nASIG,DATOS!$I5924,nEVAL,"EX")=0),0))))</f>
      </c>
      <c r="H5924">
        <f>IF(DATOS!$G5924&lt;&gt;"EX",0,--(COUNTIFS(nNIA,DATOS!$A5924,nCURSO,DATOS!$D5924,nESPEC,DATOS!$E5924,nASIG,DATOS!$I5924,nEVAL,"OR")=0))</f>
      </c>
      <c r="I5924">
        <f>IF(DATOS!$I5924="","",IFERROR(VLOOKUP(DATOS!$I5924,CONFIG_ASIGNATURAS!$B$2:$J$91,9,FALSE()),""))</f>
      </c>
    </row>
    <row r="5925">
      <c r="F5925">
        <f>IF(DATOS!$A5925="","",DATOS!$A5925&amp;"|"&amp;DATOS!$D5925&amp;"|"&amp;DATOS!$E5925&amp;"|"&amp;DATOS!$I5925)</f>
      </c>
      <c r="G5925">
        <f>IF(DATOS!$A5925="",0,IF(CONFIG_METADATA!$B$4&lt;&gt;"OR+EX",--(DATOS!$G5925=CONFIG_METADATA!$B$4),IF(DATOS!$G5925="EX",1,IF(DATOS!$G5925="OR",--(COUNTIFS(nNIA,DATOS!$A5925,nCURSO,DATOS!$D5925,nESPEC,DATOS!$E5925,nASIG,DATOS!$I5925,nEVAL,"EX")=0),0))))</f>
      </c>
      <c r="H5925">
        <f>IF(DATOS!$G5925&lt;&gt;"EX",0,--(COUNTIFS(nNIA,DATOS!$A5925,nCURSO,DATOS!$D5925,nESPEC,DATOS!$E5925,nASIG,DATOS!$I5925,nEVAL,"OR")=0))</f>
      </c>
      <c r="I5925">
        <f>IF(DATOS!$I5925="","",IFERROR(VLOOKUP(DATOS!$I5925,CONFIG_ASIGNATURAS!$B$2:$J$91,9,FALSE()),""))</f>
      </c>
    </row>
    <row r="5926">
      <c r="F5926">
        <f>IF(DATOS!$A5926="","",DATOS!$A5926&amp;"|"&amp;DATOS!$D5926&amp;"|"&amp;DATOS!$E5926&amp;"|"&amp;DATOS!$I5926)</f>
      </c>
      <c r="G5926">
        <f>IF(DATOS!$A5926="",0,IF(CONFIG_METADATA!$B$4&lt;&gt;"OR+EX",--(DATOS!$G5926=CONFIG_METADATA!$B$4),IF(DATOS!$G5926="EX",1,IF(DATOS!$G5926="OR",--(COUNTIFS(nNIA,DATOS!$A5926,nCURSO,DATOS!$D5926,nESPEC,DATOS!$E5926,nASIG,DATOS!$I5926,nEVAL,"EX")=0),0))))</f>
      </c>
      <c r="H5926">
        <f>IF(DATOS!$G5926&lt;&gt;"EX",0,--(COUNTIFS(nNIA,DATOS!$A5926,nCURSO,DATOS!$D5926,nESPEC,DATOS!$E5926,nASIG,DATOS!$I5926,nEVAL,"OR")=0))</f>
      </c>
      <c r="I5926">
        <f>IF(DATOS!$I5926="","",IFERROR(VLOOKUP(DATOS!$I5926,CONFIG_ASIGNATURAS!$B$2:$J$91,9,FALSE()),""))</f>
      </c>
    </row>
    <row r="5927">
      <c r="F5927">
        <f>IF(DATOS!$A5927="","",DATOS!$A5927&amp;"|"&amp;DATOS!$D5927&amp;"|"&amp;DATOS!$E5927&amp;"|"&amp;DATOS!$I5927)</f>
      </c>
      <c r="G5927">
        <f>IF(DATOS!$A5927="",0,IF(CONFIG_METADATA!$B$4&lt;&gt;"OR+EX",--(DATOS!$G5927=CONFIG_METADATA!$B$4),IF(DATOS!$G5927="EX",1,IF(DATOS!$G5927="OR",--(COUNTIFS(nNIA,DATOS!$A5927,nCURSO,DATOS!$D5927,nESPEC,DATOS!$E5927,nASIG,DATOS!$I5927,nEVAL,"EX")=0),0))))</f>
      </c>
      <c r="H5927">
        <f>IF(DATOS!$G5927&lt;&gt;"EX",0,--(COUNTIFS(nNIA,DATOS!$A5927,nCURSO,DATOS!$D5927,nESPEC,DATOS!$E5927,nASIG,DATOS!$I5927,nEVAL,"OR")=0))</f>
      </c>
      <c r="I5927">
        <f>IF(DATOS!$I5927="","",IFERROR(VLOOKUP(DATOS!$I5927,CONFIG_ASIGNATURAS!$B$2:$J$91,9,FALSE()),""))</f>
      </c>
    </row>
    <row r="5928">
      <c r="F5928">
        <f>IF(DATOS!$A5928="","",DATOS!$A5928&amp;"|"&amp;DATOS!$D5928&amp;"|"&amp;DATOS!$E5928&amp;"|"&amp;DATOS!$I5928)</f>
      </c>
      <c r="G5928">
        <f>IF(DATOS!$A5928="",0,IF(CONFIG_METADATA!$B$4&lt;&gt;"OR+EX",--(DATOS!$G5928=CONFIG_METADATA!$B$4),IF(DATOS!$G5928="EX",1,IF(DATOS!$G5928="OR",--(COUNTIFS(nNIA,DATOS!$A5928,nCURSO,DATOS!$D5928,nESPEC,DATOS!$E5928,nASIG,DATOS!$I5928,nEVAL,"EX")=0),0))))</f>
      </c>
      <c r="H5928">
        <f>IF(DATOS!$G5928&lt;&gt;"EX",0,--(COUNTIFS(nNIA,DATOS!$A5928,nCURSO,DATOS!$D5928,nESPEC,DATOS!$E5928,nASIG,DATOS!$I5928,nEVAL,"OR")=0))</f>
      </c>
      <c r="I5928">
        <f>IF(DATOS!$I5928="","",IFERROR(VLOOKUP(DATOS!$I5928,CONFIG_ASIGNATURAS!$B$2:$J$91,9,FALSE()),""))</f>
      </c>
    </row>
    <row r="5929">
      <c r="F5929">
        <f>IF(DATOS!$A5929="","",DATOS!$A5929&amp;"|"&amp;DATOS!$D5929&amp;"|"&amp;DATOS!$E5929&amp;"|"&amp;DATOS!$I5929)</f>
      </c>
      <c r="G5929">
        <f>IF(DATOS!$A5929="",0,IF(CONFIG_METADATA!$B$4&lt;&gt;"OR+EX",--(DATOS!$G5929=CONFIG_METADATA!$B$4),IF(DATOS!$G5929="EX",1,IF(DATOS!$G5929="OR",--(COUNTIFS(nNIA,DATOS!$A5929,nCURSO,DATOS!$D5929,nESPEC,DATOS!$E5929,nASIG,DATOS!$I5929,nEVAL,"EX")=0),0))))</f>
      </c>
      <c r="H5929">
        <f>IF(DATOS!$G5929&lt;&gt;"EX",0,--(COUNTIFS(nNIA,DATOS!$A5929,nCURSO,DATOS!$D5929,nESPEC,DATOS!$E5929,nASIG,DATOS!$I5929,nEVAL,"OR")=0))</f>
      </c>
      <c r="I5929">
        <f>IF(DATOS!$I5929="","",IFERROR(VLOOKUP(DATOS!$I5929,CONFIG_ASIGNATURAS!$B$2:$J$91,9,FALSE()),""))</f>
      </c>
    </row>
    <row r="5930">
      <c r="F5930">
        <f>IF(DATOS!$A5930="","",DATOS!$A5930&amp;"|"&amp;DATOS!$D5930&amp;"|"&amp;DATOS!$E5930&amp;"|"&amp;DATOS!$I5930)</f>
      </c>
      <c r="G5930">
        <f>IF(DATOS!$A5930="",0,IF(CONFIG_METADATA!$B$4&lt;&gt;"OR+EX",--(DATOS!$G5930=CONFIG_METADATA!$B$4),IF(DATOS!$G5930="EX",1,IF(DATOS!$G5930="OR",--(COUNTIFS(nNIA,DATOS!$A5930,nCURSO,DATOS!$D5930,nESPEC,DATOS!$E5930,nASIG,DATOS!$I5930,nEVAL,"EX")=0),0))))</f>
      </c>
      <c r="H5930">
        <f>IF(DATOS!$G5930&lt;&gt;"EX",0,--(COUNTIFS(nNIA,DATOS!$A5930,nCURSO,DATOS!$D5930,nESPEC,DATOS!$E5930,nASIG,DATOS!$I5930,nEVAL,"OR")=0))</f>
      </c>
      <c r="I5930">
        <f>IF(DATOS!$I5930="","",IFERROR(VLOOKUP(DATOS!$I5930,CONFIG_ASIGNATURAS!$B$2:$J$91,9,FALSE()),""))</f>
      </c>
    </row>
    <row r="5931">
      <c r="F5931">
        <f>IF(DATOS!$A5931="","",DATOS!$A5931&amp;"|"&amp;DATOS!$D5931&amp;"|"&amp;DATOS!$E5931&amp;"|"&amp;DATOS!$I5931)</f>
      </c>
      <c r="G5931">
        <f>IF(DATOS!$A5931="",0,IF(CONFIG_METADATA!$B$4&lt;&gt;"OR+EX",--(DATOS!$G5931=CONFIG_METADATA!$B$4),IF(DATOS!$G5931="EX",1,IF(DATOS!$G5931="OR",--(COUNTIFS(nNIA,DATOS!$A5931,nCURSO,DATOS!$D5931,nESPEC,DATOS!$E5931,nASIG,DATOS!$I5931,nEVAL,"EX")=0),0))))</f>
      </c>
      <c r="H5931">
        <f>IF(DATOS!$G5931&lt;&gt;"EX",0,--(COUNTIFS(nNIA,DATOS!$A5931,nCURSO,DATOS!$D5931,nESPEC,DATOS!$E5931,nASIG,DATOS!$I5931,nEVAL,"OR")=0))</f>
      </c>
      <c r="I5931">
        <f>IF(DATOS!$I5931="","",IFERROR(VLOOKUP(DATOS!$I5931,CONFIG_ASIGNATURAS!$B$2:$J$91,9,FALSE()),""))</f>
      </c>
    </row>
    <row r="5932">
      <c r="F5932">
        <f>IF(DATOS!$A5932="","",DATOS!$A5932&amp;"|"&amp;DATOS!$D5932&amp;"|"&amp;DATOS!$E5932&amp;"|"&amp;DATOS!$I5932)</f>
      </c>
      <c r="G5932">
        <f>IF(DATOS!$A5932="",0,IF(CONFIG_METADATA!$B$4&lt;&gt;"OR+EX",--(DATOS!$G5932=CONFIG_METADATA!$B$4),IF(DATOS!$G5932="EX",1,IF(DATOS!$G5932="OR",--(COUNTIFS(nNIA,DATOS!$A5932,nCURSO,DATOS!$D5932,nESPEC,DATOS!$E5932,nASIG,DATOS!$I5932,nEVAL,"EX")=0),0))))</f>
      </c>
      <c r="H5932">
        <f>IF(DATOS!$G5932&lt;&gt;"EX",0,--(COUNTIFS(nNIA,DATOS!$A5932,nCURSO,DATOS!$D5932,nESPEC,DATOS!$E5932,nASIG,DATOS!$I5932,nEVAL,"OR")=0))</f>
      </c>
      <c r="I5932">
        <f>IF(DATOS!$I5932="","",IFERROR(VLOOKUP(DATOS!$I5932,CONFIG_ASIGNATURAS!$B$2:$J$91,9,FALSE()),""))</f>
      </c>
    </row>
    <row r="5933">
      <c r="F5933">
        <f>IF(DATOS!$A5933="","",DATOS!$A5933&amp;"|"&amp;DATOS!$D5933&amp;"|"&amp;DATOS!$E5933&amp;"|"&amp;DATOS!$I5933)</f>
      </c>
      <c r="G5933">
        <f>IF(DATOS!$A5933="",0,IF(CONFIG_METADATA!$B$4&lt;&gt;"OR+EX",--(DATOS!$G5933=CONFIG_METADATA!$B$4),IF(DATOS!$G5933="EX",1,IF(DATOS!$G5933="OR",--(COUNTIFS(nNIA,DATOS!$A5933,nCURSO,DATOS!$D5933,nESPEC,DATOS!$E5933,nASIG,DATOS!$I5933,nEVAL,"EX")=0),0))))</f>
      </c>
      <c r="H5933">
        <f>IF(DATOS!$G5933&lt;&gt;"EX",0,--(COUNTIFS(nNIA,DATOS!$A5933,nCURSO,DATOS!$D5933,nESPEC,DATOS!$E5933,nASIG,DATOS!$I5933,nEVAL,"OR")=0))</f>
      </c>
      <c r="I5933">
        <f>IF(DATOS!$I5933="","",IFERROR(VLOOKUP(DATOS!$I5933,CONFIG_ASIGNATURAS!$B$2:$J$91,9,FALSE()),""))</f>
      </c>
    </row>
    <row r="5934">
      <c r="F5934">
        <f>IF(DATOS!$A5934="","",DATOS!$A5934&amp;"|"&amp;DATOS!$D5934&amp;"|"&amp;DATOS!$E5934&amp;"|"&amp;DATOS!$I5934)</f>
      </c>
      <c r="G5934">
        <f>IF(DATOS!$A5934="",0,IF(CONFIG_METADATA!$B$4&lt;&gt;"OR+EX",--(DATOS!$G5934=CONFIG_METADATA!$B$4),IF(DATOS!$G5934="EX",1,IF(DATOS!$G5934="OR",--(COUNTIFS(nNIA,DATOS!$A5934,nCURSO,DATOS!$D5934,nESPEC,DATOS!$E5934,nASIG,DATOS!$I5934,nEVAL,"EX")=0),0))))</f>
      </c>
      <c r="H5934">
        <f>IF(DATOS!$G5934&lt;&gt;"EX",0,--(COUNTIFS(nNIA,DATOS!$A5934,nCURSO,DATOS!$D5934,nESPEC,DATOS!$E5934,nASIG,DATOS!$I5934,nEVAL,"OR")=0))</f>
      </c>
      <c r="I5934">
        <f>IF(DATOS!$I5934="","",IFERROR(VLOOKUP(DATOS!$I5934,CONFIG_ASIGNATURAS!$B$2:$J$91,9,FALSE()),""))</f>
      </c>
    </row>
    <row r="5935">
      <c r="F5935">
        <f>IF(DATOS!$A5935="","",DATOS!$A5935&amp;"|"&amp;DATOS!$D5935&amp;"|"&amp;DATOS!$E5935&amp;"|"&amp;DATOS!$I5935)</f>
      </c>
      <c r="G5935">
        <f>IF(DATOS!$A5935="",0,IF(CONFIG_METADATA!$B$4&lt;&gt;"OR+EX",--(DATOS!$G5935=CONFIG_METADATA!$B$4),IF(DATOS!$G5935="EX",1,IF(DATOS!$G5935="OR",--(COUNTIFS(nNIA,DATOS!$A5935,nCURSO,DATOS!$D5935,nESPEC,DATOS!$E5935,nASIG,DATOS!$I5935,nEVAL,"EX")=0),0))))</f>
      </c>
      <c r="H5935">
        <f>IF(DATOS!$G5935&lt;&gt;"EX",0,--(COUNTIFS(nNIA,DATOS!$A5935,nCURSO,DATOS!$D5935,nESPEC,DATOS!$E5935,nASIG,DATOS!$I5935,nEVAL,"OR")=0))</f>
      </c>
      <c r="I5935">
        <f>IF(DATOS!$I5935="","",IFERROR(VLOOKUP(DATOS!$I5935,CONFIG_ASIGNATURAS!$B$2:$J$91,9,FALSE()),""))</f>
      </c>
    </row>
    <row r="5936">
      <c r="F5936">
        <f>IF(DATOS!$A5936="","",DATOS!$A5936&amp;"|"&amp;DATOS!$D5936&amp;"|"&amp;DATOS!$E5936&amp;"|"&amp;DATOS!$I5936)</f>
      </c>
      <c r="G5936">
        <f>IF(DATOS!$A5936="",0,IF(CONFIG_METADATA!$B$4&lt;&gt;"OR+EX",--(DATOS!$G5936=CONFIG_METADATA!$B$4),IF(DATOS!$G5936="EX",1,IF(DATOS!$G5936="OR",--(COUNTIFS(nNIA,DATOS!$A5936,nCURSO,DATOS!$D5936,nESPEC,DATOS!$E5936,nASIG,DATOS!$I5936,nEVAL,"EX")=0),0))))</f>
      </c>
      <c r="H5936">
        <f>IF(DATOS!$G5936&lt;&gt;"EX",0,--(COUNTIFS(nNIA,DATOS!$A5936,nCURSO,DATOS!$D5936,nESPEC,DATOS!$E5936,nASIG,DATOS!$I5936,nEVAL,"OR")=0))</f>
      </c>
      <c r="I5936">
        <f>IF(DATOS!$I5936="","",IFERROR(VLOOKUP(DATOS!$I5936,CONFIG_ASIGNATURAS!$B$2:$J$91,9,FALSE()),""))</f>
      </c>
    </row>
    <row r="5937">
      <c r="F5937">
        <f>IF(DATOS!$A5937="","",DATOS!$A5937&amp;"|"&amp;DATOS!$D5937&amp;"|"&amp;DATOS!$E5937&amp;"|"&amp;DATOS!$I5937)</f>
      </c>
      <c r="G5937">
        <f>IF(DATOS!$A5937="",0,IF(CONFIG_METADATA!$B$4&lt;&gt;"OR+EX",--(DATOS!$G5937=CONFIG_METADATA!$B$4),IF(DATOS!$G5937="EX",1,IF(DATOS!$G5937="OR",--(COUNTIFS(nNIA,DATOS!$A5937,nCURSO,DATOS!$D5937,nESPEC,DATOS!$E5937,nASIG,DATOS!$I5937,nEVAL,"EX")=0),0))))</f>
      </c>
      <c r="H5937">
        <f>IF(DATOS!$G5937&lt;&gt;"EX",0,--(COUNTIFS(nNIA,DATOS!$A5937,nCURSO,DATOS!$D5937,nESPEC,DATOS!$E5937,nASIG,DATOS!$I5937,nEVAL,"OR")=0))</f>
      </c>
      <c r="I5937">
        <f>IF(DATOS!$I5937="","",IFERROR(VLOOKUP(DATOS!$I5937,CONFIG_ASIGNATURAS!$B$2:$J$91,9,FALSE()),""))</f>
      </c>
    </row>
    <row r="5938">
      <c r="F5938">
        <f>IF(DATOS!$A5938="","",DATOS!$A5938&amp;"|"&amp;DATOS!$D5938&amp;"|"&amp;DATOS!$E5938&amp;"|"&amp;DATOS!$I5938)</f>
      </c>
      <c r="G5938">
        <f>IF(DATOS!$A5938="",0,IF(CONFIG_METADATA!$B$4&lt;&gt;"OR+EX",--(DATOS!$G5938=CONFIG_METADATA!$B$4),IF(DATOS!$G5938="EX",1,IF(DATOS!$G5938="OR",--(COUNTIFS(nNIA,DATOS!$A5938,nCURSO,DATOS!$D5938,nESPEC,DATOS!$E5938,nASIG,DATOS!$I5938,nEVAL,"EX")=0),0))))</f>
      </c>
      <c r="H5938">
        <f>IF(DATOS!$G5938&lt;&gt;"EX",0,--(COUNTIFS(nNIA,DATOS!$A5938,nCURSO,DATOS!$D5938,nESPEC,DATOS!$E5938,nASIG,DATOS!$I5938,nEVAL,"OR")=0))</f>
      </c>
      <c r="I5938">
        <f>IF(DATOS!$I5938="","",IFERROR(VLOOKUP(DATOS!$I5938,CONFIG_ASIGNATURAS!$B$2:$J$91,9,FALSE()),""))</f>
      </c>
    </row>
    <row r="5939">
      <c r="F5939">
        <f>IF(DATOS!$A5939="","",DATOS!$A5939&amp;"|"&amp;DATOS!$D5939&amp;"|"&amp;DATOS!$E5939&amp;"|"&amp;DATOS!$I5939)</f>
      </c>
      <c r="G5939">
        <f>IF(DATOS!$A5939="",0,IF(CONFIG_METADATA!$B$4&lt;&gt;"OR+EX",--(DATOS!$G5939=CONFIG_METADATA!$B$4),IF(DATOS!$G5939="EX",1,IF(DATOS!$G5939="OR",--(COUNTIFS(nNIA,DATOS!$A5939,nCURSO,DATOS!$D5939,nESPEC,DATOS!$E5939,nASIG,DATOS!$I5939,nEVAL,"EX")=0),0))))</f>
      </c>
      <c r="H5939">
        <f>IF(DATOS!$G5939&lt;&gt;"EX",0,--(COUNTIFS(nNIA,DATOS!$A5939,nCURSO,DATOS!$D5939,nESPEC,DATOS!$E5939,nASIG,DATOS!$I5939,nEVAL,"OR")=0))</f>
      </c>
      <c r="I5939">
        <f>IF(DATOS!$I5939="","",IFERROR(VLOOKUP(DATOS!$I5939,CONFIG_ASIGNATURAS!$B$2:$J$91,9,FALSE()),""))</f>
      </c>
    </row>
    <row r="5940">
      <c r="F5940">
        <f>IF(DATOS!$A5940="","",DATOS!$A5940&amp;"|"&amp;DATOS!$D5940&amp;"|"&amp;DATOS!$E5940&amp;"|"&amp;DATOS!$I5940)</f>
      </c>
      <c r="G5940">
        <f>IF(DATOS!$A5940="",0,IF(CONFIG_METADATA!$B$4&lt;&gt;"OR+EX",--(DATOS!$G5940=CONFIG_METADATA!$B$4),IF(DATOS!$G5940="EX",1,IF(DATOS!$G5940="OR",--(COUNTIFS(nNIA,DATOS!$A5940,nCURSO,DATOS!$D5940,nESPEC,DATOS!$E5940,nASIG,DATOS!$I5940,nEVAL,"EX")=0),0))))</f>
      </c>
      <c r="H5940">
        <f>IF(DATOS!$G5940&lt;&gt;"EX",0,--(COUNTIFS(nNIA,DATOS!$A5940,nCURSO,DATOS!$D5940,nESPEC,DATOS!$E5940,nASIG,DATOS!$I5940,nEVAL,"OR")=0))</f>
      </c>
      <c r="I5940">
        <f>IF(DATOS!$I5940="","",IFERROR(VLOOKUP(DATOS!$I5940,CONFIG_ASIGNATURAS!$B$2:$J$91,9,FALSE()),""))</f>
      </c>
    </row>
    <row r="5941">
      <c r="F5941">
        <f>IF(DATOS!$A5941="","",DATOS!$A5941&amp;"|"&amp;DATOS!$D5941&amp;"|"&amp;DATOS!$E5941&amp;"|"&amp;DATOS!$I5941)</f>
      </c>
      <c r="G5941">
        <f>IF(DATOS!$A5941="",0,IF(CONFIG_METADATA!$B$4&lt;&gt;"OR+EX",--(DATOS!$G5941=CONFIG_METADATA!$B$4),IF(DATOS!$G5941="EX",1,IF(DATOS!$G5941="OR",--(COUNTIFS(nNIA,DATOS!$A5941,nCURSO,DATOS!$D5941,nESPEC,DATOS!$E5941,nASIG,DATOS!$I5941,nEVAL,"EX")=0),0))))</f>
      </c>
      <c r="H5941">
        <f>IF(DATOS!$G5941&lt;&gt;"EX",0,--(COUNTIFS(nNIA,DATOS!$A5941,nCURSO,DATOS!$D5941,nESPEC,DATOS!$E5941,nASIG,DATOS!$I5941,nEVAL,"OR")=0))</f>
      </c>
      <c r="I5941">
        <f>IF(DATOS!$I5941="","",IFERROR(VLOOKUP(DATOS!$I5941,CONFIG_ASIGNATURAS!$B$2:$J$91,9,FALSE()),""))</f>
      </c>
    </row>
    <row r="5942">
      <c r="F5942">
        <f>IF(DATOS!$A5942="","",DATOS!$A5942&amp;"|"&amp;DATOS!$D5942&amp;"|"&amp;DATOS!$E5942&amp;"|"&amp;DATOS!$I5942)</f>
      </c>
      <c r="G5942">
        <f>IF(DATOS!$A5942="",0,IF(CONFIG_METADATA!$B$4&lt;&gt;"OR+EX",--(DATOS!$G5942=CONFIG_METADATA!$B$4),IF(DATOS!$G5942="EX",1,IF(DATOS!$G5942="OR",--(COUNTIFS(nNIA,DATOS!$A5942,nCURSO,DATOS!$D5942,nESPEC,DATOS!$E5942,nASIG,DATOS!$I5942,nEVAL,"EX")=0),0))))</f>
      </c>
      <c r="H5942">
        <f>IF(DATOS!$G5942&lt;&gt;"EX",0,--(COUNTIFS(nNIA,DATOS!$A5942,nCURSO,DATOS!$D5942,nESPEC,DATOS!$E5942,nASIG,DATOS!$I5942,nEVAL,"OR")=0))</f>
      </c>
      <c r="I5942">
        <f>IF(DATOS!$I5942="","",IFERROR(VLOOKUP(DATOS!$I5942,CONFIG_ASIGNATURAS!$B$2:$J$91,9,FALSE()),""))</f>
      </c>
    </row>
    <row r="5943">
      <c r="F5943">
        <f>IF(DATOS!$A5943="","",DATOS!$A5943&amp;"|"&amp;DATOS!$D5943&amp;"|"&amp;DATOS!$E5943&amp;"|"&amp;DATOS!$I5943)</f>
      </c>
      <c r="G5943">
        <f>IF(DATOS!$A5943="",0,IF(CONFIG_METADATA!$B$4&lt;&gt;"OR+EX",--(DATOS!$G5943=CONFIG_METADATA!$B$4),IF(DATOS!$G5943="EX",1,IF(DATOS!$G5943="OR",--(COUNTIFS(nNIA,DATOS!$A5943,nCURSO,DATOS!$D5943,nESPEC,DATOS!$E5943,nASIG,DATOS!$I5943,nEVAL,"EX")=0),0))))</f>
      </c>
      <c r="H5943">
        <f>IF(DATOS!$G5943&lt;&gt;"EX",0,--(COUNTIFS(nNIA,DATOS!$A5943,nCURSO,DATOS!$D5943,nESPEC,DATOS!$E5943,nASIG,DATOS!$I5943,nEVAL,"OR")=0))</f>
      </c>
      <c r="I5943">
        <f>IF(DATOS!$I5943="","",IFERROR(VLOOKUP(DATOS!$I5943,CONFIG_ASIGNATURAS!$B$2:$J$91,9,FALSE()),""))</f>
      </c>
    </row>
    <row r="5944">
      <c r="F5944">
        <f>IF(DATOS!$A5944="","",DATOS!$A5944&amp;"|"&amp;DATOS!$D5944&amp;"|"&amp;DATOS!$E5944&amp;"|"&amp;DATOS!$I5944)</f>
      </c>
      <c r="G5944">
        <f>IF(DATOS!$A5944="",0,IF(CONFIG_METADATA!$B$4&lt;&gt;"OR+EX",--(DATOS!$G5944=CONFIG_METADATA!$B$4),IF(DATOS!$G5944="EX",1,IF(DATOS!$G5944="OR",--(COUNTIFS(nNIA,DATOS!$A5944,nCURSO,DATOS!$D5944,nESPEC,DATOS!$E5944,nASIG,DATOS!$I5944,nEVAL,"EX")=0),0))))</f>
      </c>
      <c r="H5944">
        <f>IF(DATOS!$G5944&lt;&gt;"EX",0,--(COUNTIFS(nNIA,DATOS!$A5944,nCURSO,DATOS!$D5944,nESPEC,DATOS!$E5944,nASIG,DATOS!$I5944,nEVAL,"OR")=0))</f>
      </c>
      <c r="I5944">
        <f>IF(DATOS!$I5944="","",IFERROR(VLOOKUP(DATOS!$I5944,CONFIG_ASIGNATURAS!$B$2:$J$91,9,FALSE()),""))</f>
      </c>
    </row>
    <row r="5945">
      <c r="F5945">
        <f>IF(DATOS!$A5945="","",DATOS!$A5945&amp;"|"&amp;DATOS!$D5945&amp;"|"&amp;DATOS!$E5945&amp;"|"&amp;DATOS!$I5945)</f>
      </c>
      <c r="G5945">
        <f>IF(DATOS!$A5945="",0,IF(CONFIG_METADATA!$B$4&lt;&gt;"OR+EX",--(DATOS!$G5945=CONFIG_METADATA!$B$4),IF(DATOS!$G5945="EX",1,IF(DATOS!$G5945="OR",--(COUNTIFS(nNIA,DATOS!$A5945,nCURSO,DATOS!$D5945,nESPEC,DATOS!$E5945,nASIG,DATOS!$I5945,nEVAL,"EX")=0),0))))</f>
      </c>
      <c r="H5945">
        <f>IF(DATOS!$G5945&lt;&gt;"EX",0,--(COUNTIFS(nNIA,DATOS!$A5945,nCURSO,DATOS!$D5945,nESPEC,DATOS!$E5945,nASIG,DATOS!$I5945,nEVAL,"OR")=0))</f>
      </c>
      <c r="I5945">
        <f>IF(DATOS!$I5945="","",IFERROR(VLOOKUP(DATOS!$I5945,CONFIG_ASIGNATURAS!$B$2:$J$91,9,FALSE()),""))</f>
      </c>
    </row>
    <row r="5946">
      <c r="F5946">
        <f>IF(DATOS!$A5946="","",DATOS!$A5946&amp;"|"&amp;DATOS!$D5946&amp;"|"&amp;DATOS!$E5946&amp;"|"&amp;DATOS!$I5946)</f>
      </c>
      <c r="G5946">
        <f>IF(DATOS!$A5946="",0,IF(CONFIG_METADATA!$B$4&lt;&gt;"OR+EX",--(DATOS!$G5946=CONFIG_METADATA!$B$4),IF(DATOS!$G5946="EX",1,IF(DATOS!$G5946="OR",--(COUNTIFS(nNIA,DATOS!$A5946,nCURSO,DATOS!$D5946,nESPEC,DATOS!$E5946,nASIG,DATOS!$I5946,nEVAL,"EX")=0),0))))</f>
      </c>
      <c r="H5946">
        <f>IF(DATOS!$G5946&lt;&gt;"EX",0,--(COUNTIFS(nNIA,DATOS!$A5946,nCURSO,DATOS!$D5946,nESPEC,DATOS!$E5946,nASIG,DATOS!$I5946,nEVAL,"OR")=0))</f>
      </c>
      <c r="I5946">
        <f>IF(DATOS!$I5946="","",IFERROR(VLOOKUP(DATOS!$I5946,CONFIG_ASIGNATURAS!$B$2:$J$91,9,FALSE()),""))</f>
      </c>
    </row>
    <row r="5947">
      <c r="F5947">
        <f>IF(DATOS!$A5947="","",DATOS!$A5947&amp;"|"&amp;DATOS!$D5947&amp;"|"&amp;DATOS!$E5947&amp;"|"&amp;DATOS!$I5947)</f>
      </c>
      <c r="G5947">
        <f>IF(DATOS!$A5947="",0,IF(CONFIG_METADATA!$B$4&lt;&gt;"OR+EX",--(DATOS!$G5947=CONFIG_METADATA!$B$4),IF(DATOS!$G5947="EX",1,IF(DATOS!$G5947="OR",--(COUNTIFS(nNIA,DATOS!$A5947,nCURSO,DATOS!$D5947,nESPEC,DATOS!$E5947,nASIG,DATOS!$I5947,nEVAL,"EX")=0),0))))</f>
      </c>
      <c r="H5947">
        <f>IF(DATOS!$G5947&lt;&gt;"EX",0,--(COUNTIFS(nNIA,DATOS!$A5947,nCURSO,DATOS!$D5947,nESPEC,DATOS!$E5947,nASIG,DATOS!$I5947,nEVAL,"OR")=0))</f>
      </c>
      <c r="I5947">
        <f>IF(DATOS!$I5947="","",IFERROR(VLOOKUP(DATOS!$I5947,CONFIG_ASIGNATURAS!$B$2:$J$91,9,FALSE()),""))</f>
      </c>
    </row>
    <row r="5948">
      <c r="F5948">
        <f>IF(DATOS!$A5948="","",DATOS!$A5948&amp;"|"&amp;DATOS!$D5948&amp;"|"&amp;DATOS!$E5948&amp;"|"&amp;DATOS!$I5948)</f>
      </c>
      <c r="G5948">
        <f>IF(DATOS!$A5948="",0,IF(CONFIG_METADATA!$B$4&lt;&gt;"OR+EX",--(DATOS!$G5948=CONFIG_METADATA!$B$4),IF(DATOS!$G5948="EX",1,IF(DATOS!$G5948="OR",--(COUNTIFS(nNIA,DATOS!$A5948,nCURSO,DATOS!$D5948,nESPEC,DATOS!$E5948,nASIG,DATOS!$I5948,nEVAL,"EX")=0),0))))</f>
      </c>
      <c r="H5948">
        <f>IF(DATOS!$G5948&lt;&gt;"EX",0,--(COUNTIFS(nNIA,DATOS!$A5948,nCURSO,DATOS!$D5948,nESPEC,DATOS!$E5948,nASIG,DATOS!$I5948,nEVAL,"OR")=0))</f>
      </c>
      <c r="I5948">
        <f>IF(DATOS!$I5948="","",IFERROR(VLOOKUP(DATOS!$I5948,CONFIG_ASIGNATURAS!$B$2:$J$91,9,FALSE()),""))</f>
      </c>
    </row>
    <row r="5949">
      <c r="F5949">
        <f>IF(DATOS!$A5949="","",DATOS!$A5949&amp;"|"&amp;DATOS!$D5949&amp;"|"&amp;DATOS!$E5949&amp;"|"&amp;DATOS!$I5949)</f>
      </c>
      <c r="G5949">
        <f>IF(DATOS!$A5949="",0,IF(CONFIG_METADATA!$B$4&lt;&gt;"OR+EX",--(DATOS!$G5949=CONFIG_METADATA!$B$4),IF(DATOS!$G5949="EX",1,IF(DATOS!$G5949="OR",--(COUNTIFS(nNIA,DATOS!$A5949,nCURSO,DATOS!$D5949,nESPEC,DATOS!$E5949,nASIG,DATOS!$I5949,nEVAL,"EX")=0),0))))</f>
      </c>
      <c r="H5949">
        <f>IF(DATOS!$G5949&lt;&gt;"EX",0,--(COUNTIFS(nNIA,DATOS!$A5949,nCURSO,DATOS!$D5949,nESPEC,DATOS!$E5949,nASIG,DATOS!$I5949,nEVAL,"OR")=0))</f>
      </c>
      <c r="I5949">
        <f>IF(DATOS!$I5949="","",IFERROR(VLOOKUP(DATOS!$I5949,CONFIG_ASIGNATURAS!$B$2:$J$91,9,FALSE()),""))</f>
      </c>
    </row>
    <row r="5950">
      <c r="F5950">
        <f>IF(DATOS!$A5950="","",DATOS!$A5950&amp;"|"&amp;DATOS!$D5950&amp;"|"&amp;DATOS!$E5950&amp;"|"&amp;DATOS!$I5950)</f>
      </c>
      <c r="G5950">
        <f>IF(DATOS!$A5950="",0,IF(CONFIG_METADATA!$B$4&lt;&gt;"OR+EX",--(DATOS!$G5950=CONFIG_METADATA!$B$4),IF(DATOS!$G5950="EX",1,IF(DATOS!$G5950="OR",--(COUNTIFS(nNIA,DATOS!$A5950,nCURSO,DATOS!$D5950,nESPEC,DATOS!$E5950,nASIG,DATOS!$I5950,nEVAL,"EX")=0),0))))</f>
      </c>
      <c r="H5950">
        <f>IF(DATOS!$G5950&lt;&gt;"EX",0,--(COUNTIFS(nNIA,DATOS!$A5950,nCURSO,DATOS!$D5950,nESPEC,DATOS!$E5950,nASIG,DATOS!$I5950,nEVAL,"OR")=0))</f>
      </c>
      <c r="I5950">
        <f>IF(DATOS!$I5950="","",IFERROR(VLOOKUP(DATOS!$I5950,CONFIG_ASIGNATURAS!$B$2:$J$91,9,FALSE()),""))</f>
      </c>
    </row>
    <row r="5951">
      <c r="F5951">
        <f>IF(DATOS!$A5951="","",DATOS!$A5951&amp;"|"&amp;DATOS!$D5951&amp;"|"&amp;DATOS!$E5951&amp;"|"&amp;DATOS!$I5951)</f>
      </c>
      <c r="G5951">
        <f>IF(DATOS!$A5951="",0,IF(CONFIG_METADATA!$B$4&lt;&gt;"OR+EX",--(DATOS!$G5951=CONFIG_METADATA!$B$4),IF(DATOS!$G5951="EX",1,IF(DATOS!$G5951="OR",--(COUNTIFS(nNIA,DATOS!$A5951,nCURSO,DATOS!$D5951,nESPEC,DATOS!$E5951,nASIG,DATOS!$I5951,nEVAL,"EX")=0),0))))</f>
      </c>
      <c r="H5951">
        <f>IF(DATOS!$G5951&lt;&gt;"EX",0,--(COUNTIFS(nNIA,DATOS!$A5951,nCURSO,DATOS!$D5951,nESPEC,DATOS!$E5951,nASIG,DATOS!$I5951,nEVAL,"OR")=0))</f>
      </c>
      <c r="I5951">
        <f>IF(DATOS!$I5951="","",IFERROR(VLOOKUP(DATOS!$I5951,CONFIG_ASIGNATURAS!$B$2:$J$91,9,FALSE()),""))</f>
      </c>
    </row>
    <row r="5952">
      <c r="F5952">
        <f>IF(DATOS!$A5952="","",DATOS!$A5952&amp;"|"&amp;DATOS!$D5952&amp;"|"&amp;DATOS!$E5952&amp;"|"&amp;DATOS!$I5952)</f>
      </c>
      <c r="G5952">
        <f>IF(DATOS!$A5952="",0,IF(CONFIG_METADATA!$B$4&lt;&gt;"OR+EX",--(DATOS!$G5952=CONFIG_METADATA!$B$4),IF(DATOS!$G5952="EX",1,IF(DATOS!$G5952="OR",--(COUNTIFS(nNIA,DATOS!$A5952,nCURSO,DATOS!$D5952,nESPEC,DATOS!$E5952,nASIG,DATOS!$I5952,nEVAL,"EX")=0),0))))</f>
      </c>
      <c r="H5952">
        <f>IF(DATOS!$G5952&lt;&gt;"EX",0,--(COUNTIFS(nNIA,DATOS!$A5952,nCURSO,DATOS!$D5952,nESPEC,DATOS!$E5952,nASIG,DATOS!$I5952,nEVAL,"OR")=0))</f>
      </c>
      <c r="I5952">
        <f>IF(DATOS!$I5952="","",IFERROR(VLOOKUP(DATOS!$I5952,CONFIG_ASIGNATURAS!$B$2:$J$91,9,FALSE()),""))</f>
      </c>
    </row>
    <row r="5953">
      <c r="F5953">
        <f>IF(DATOS!$A5953="","",DATOS!$A5953&amp;"|"&amp;DATOS!$D5953&amp;"|"&amp;DATOS!$E5953&amp;"|"&amp;DATOS!$I5953)</f>
      </c>
      <c r="G5953">
        <f>IF(DATOS!$A5953="",0,IF(CONFIG_METADATA!$B$4&lt;&gt;"OR+EX",--(DATOS!$G5953=CONFIG_METADATA!$B$4),IF(DATOS!$G5953="EX",1,IF(DATOS!$G5953="OR",--(COUNTIFS(nNIA,DATOS!$A5953,nCURSO,DATOS!$D5953,nESPEC,DATOS!$E5953,nASIG,DATOS!$I5953,nEVAL,"EX")=0),0))))</f>
      </c>
      <c r="H5953">
        <f>IF(DATOS!$G5953&lt;&gt;"EX",0,--(COUNTIFS(nNIA,DATOS!$A5953,nCURSO,DATOS!$D5953,nESPEC,DATOS!$E5953,nASIG,DATOS!$I5953,nEVAL,"OR")=0))</f>
      </c>
      <c r="I5953">
        <f>IF(DATOS!$I5953="","",IFERROR(VLOOKUP(DATOS!$I5953,CONFIG_ASIGNATURAS!$B$2:$J$91,9,FALSE()),""))</f>
      </c>
    </row>
    <row r="5954">
      <c r="F5954">
        <f>IF(DATOS!$A5954="","",DATOS!$A5954&amp;"|"&amp;DATOS!$D5954&amp;"|"&amp;DATOS!$E5954&amp;"|"&amp;DATOS!$I5954)</f>
      </c>
      <c r="G5954">
        <f>IF(DATOS!$A5954="",0,IF(CONFIG_METADATA!$B$4&lt;&gt;"OR+EX",--(DATOS!$G5954=CONFIG_METADATA!$B$4),IF(DATOS!$G5954="EX",1,IF(DATOS!$G5954="OR",--(COUNTIFS(nNIA,DATOS!$A5954,nCURSO,DATOS!$D5954,nESPEC,DATOS!$E5954,nASIG,DATOS!$I5954,nEVAL,"EX")=0),0))))</f>
      </c>
      <c r="H5954">
        <f>IF(DATOS!$G5954&lt;&gt;"EX",0,--(COUNTIFS(nNIA,DATOS!$A5954,nCURSO,DATOS!$D5954,nESPEC,DATOS!$E5954,nASIG,DATOS!$I5954,nEVAL,"OR")=0))</f>
      </c>
      <c r="I5954">
        <f>IF(DATOS!$I5954="","",IFERROR(VLOOKUP(DATOS!$I5954,CONFIG_ASIGNATURAS!$B$2:$J$91,9,FALSE()),""))</f>
      </c>
    </row>
    <row r="5955">
      <c r="F5955">
        <f>IF(DATOS!$A5955="","",DATOS!$A5955&amp;"|"&amp;DATOS!$D5955&amp;"|"&amp;DATOS!$E5955&amp;"|"&amp;DATOS!$I5955)</f>
      </c>
      <c r="G5955">
        <f>IF(DATOS!$A5955="",0,IF(CONFIG_METADATA!$B$4&lt;&gt;"OR+EX",--(DATOS!$G5955=CONFIG_METADATA!$B$4),IF(DATOS!$G5955="EX",1,IF(DATOS!$G5955="OR",--(COUNTIFS(nNIA,DATOS!$A5955,nCURSO,DATOS!$D5955,nESPEC,DATOS!$E5955,nASIG,DATOS!$I5955,nEVAL,"EX")=0),0))))</f>
      </c>
      <c r="H5955">
        <f>IF(DATOS!$G5955&lt;&gt;"EX",0,--(COUNTIFS(nNIA,DATOS!$A5955,nCURSO,DATOS!$D5955,nESPEC,DATOS!$E5955,nASIG,DATOS!$I5955,nEVAL,"OR")=0))</f>
      </c>
      <c r="I5955">
        <f>IF(DATOS!$I5955="","",IFERROR(VLOOKUP(DATOS!$I5955,CONFIG_ASIGNATURAS!$B$2:$J$91,9,FALSE()),""))</f>
      </c>
    </row>
    <row r="5956">
      <c r="F5956">
        <f>IF(DATOS!$A5956="","",DATOS!$A5956&amp;"|"&amp;DATOS!$D5956&amp;"|"&amp;DATOS!$E5956&amp;"|"&amp;DATOS!$I5956)</f>
      </c>
      <c r="G5956">
        <f>IF(DATOS!$A5956="",0,IF(CONFIG_METADATA!$B$4&lt;&gt;"OR+EX",--(DATOS!$G5956=CONFIG_METADATA!$B$4),IF(DATOS!$G5956="EX",1,IF(DATOS!$G5956="OR",--(COUNTIFS(nNIA,DATOS!$A5956,nCURSO,DATOS!$D5956,nESPEC,DATOS!$E5956,nASIG,DATOS!$I5956,nEVAL,"EX")=0),0))))</f>
      </c>
      <c r="H5956">
        <f>IF(DATOS!$G5956&lt;&gt;"EX",0,--(COUNTIFS(nNIA,DATOS!$A5956,nCURSO,DATOS!$D5956,nESPEC,DATOS!$E5956,nASIG,DATOS!$I5956,nEVAL,"OR")=0))</f>
      </c>
      <c r="I5956">
        <f>IF(DATOS!$I5956="","",IFERROR(VLOOKUP(DATOS!$I5956,CONFIG_ASIGNATURAS!$B$2:$J$91,9,FALSE()),""))</f>
      </c>
    </row>
    <row r="5957">
      <c r="F5957">
        <f>IF(DATOS!$A5957="","",DATOS!$A5957&amp;"|"&amp;DATOS!$D5957&amp;"|"&amp;DATOS!$E5957&amp;"|"&amp;DATOS!$I5957)</f>
      </c>
      <c r="G5957">
        <f>IF(DATOS!$A5957="",0,IF(CONFIG_METADATA!$B$4&lt;&gt;"OR+EX",--(DATOS!$G5957=CONFIG_METADATA!$B$4),IF(DATOS!$G5957="EX",1,IF(DATOS!$G5957="OR",--(COUNTIFS(nNIA,DATOS!$A5957,nCURSO,DATOS!$D5957,nESPEC,DATOS!$E5957,nASIG,DATOS!$I5957,nEVAL,"EX")=0),0))))</f>
      </c>
      <c r="H5957">
        <f>IF(DATOS!$G5957&lt;&gt;"EX",0,--(COUNTIFS(nNIA,DATOS!$A5957,nCURSO,DATOS!$D5957,nESPEC,DATOS!$E5957,nASIG,DATOS!$I5957,nEVAL,"OR")=0))</f>
      </c>
      <c r="I5957">
        <f>IF(DATOS!$I5957="","",IFERROR(VLOOKUP(DATOS!$I5957,CONFIG_ASIGNATURAS!$B$2:$J$91,9,FALSE()),""))</f>
      </c>
    </row>
    <row r="5958">
      <c r="F5958">
        <f>IF(DATOS!$A5958="","",DATOS!$A5958&amp;"|"&amp;DATOS!$D5958&amp;"|"&amp;DATOS!$E5958&amp;"|"&amp;DATOS!$I5958)</f>
      </c>
      <c r="G5958">
        <f>IF(DATOS!$A5958="",0,IF(CONFIG_METADATA!$B$4&lt;&gt;"OR+EX",--(DATOS!$G5958=CONFIG_METADATA!$B$4),IF(DATOS!$G5958="EX",1,IF(DATOS!$G5958="OR",--(COUNTIFS(nNIA,DATOS!$A5958,nCURSO,DATOS!$D5958,nESPEC,DATOS!$E5958,nASIG,DATOS!$I5958,nEVAL,"EX")=0),0))))</f>
      </c>
      <c r="H5958">
        <f>IF(DATOS!$G5958&lt;&gt;"EX",0,--(COUNTIFS(nNIA,DATOS!$A5958,nCURSO,DATOS!$D5958,nESPEC,DATOS!$E5958,nASIG,DATOS!$I5958,nEVAL,"OR")=0))</f>
      </c>
      <c r="I5958">
        <f>IF(DATOS!$I5958="","",IFERROR(VLOOKUP(DATOS!$I5958,CONFIG_ASIGNATURAS!$B$2:$J$91,9,FALSE()),""))</f>
      </c>
    </row>
    <row r="5959">
      <c r="F5959">
        <f>IF(DATOS!$A5959="","",DATOS!$A5959&amp;"|"&amp;DATOS!$D5959&amp;"|"&amp;DATOS!$E5959&amp;"|"&amp;DATOS!$I5959)</f>
      </c>
      <c r="G5959">
        <f>IF(DATOS!$A5959="",0,IF(CONFIG_METADATA!$B$4&lt;&gt;"OR+EX",--(DATOS!$G5959=CONFIG_METADATA!$B$4),IF(DATOS!$G5959="EX",1,IF(DATOS!$G5959="OR",--(COUNTIFS(nNIA,DATOS!$A5959,nCURSO,DATOS!$D5959,nESPEC,DATOS!$E5959,nASIG,DATOS!$I5959,nEVAL,"EX")=0),0))))</f>
      </c>
      <c r="H5959">
        <f>IF(DATOS!$G5959&lt;&gt;"EX",0,--(COUNTIFS(nNIA,DATOS!$A5959,nCURSO,DATOS!$D5959,nESPEC,DATOS!$E5959,nASIG,DATOS!$I5959,nEVAL,"OR")=0))</f>
      </c>
      <c r="I5959">
        <f>IF(DATOS!$I5959="","",IFERROR(VLOOKUP(DATOS!$I5959,CONFIG_ASIGNATURAS!$B$2:$J$91,9,FALSE()),""))</f>
      </c>
    </row>
    <row r="5960">
      <c r="F5960">
        <f>IF(DATOS!$A5960="","",DATOS!$A5960&amp;"|"&amp;DATOS!$D5960&amp;"|"&amp;DATOS!$E5960&amp;"|"&amp;DATOS!$I5960)</f>
      </c>
      <c r="G5960">
        <f>IF(DATOS!$A5960="",0,IF(CONFIG_METADATA!$B$4&lt;&gt;"OR+EX",--(DATOS!$G5960=CONFIG_METADATA!$B$4),IF(DATOS!$G5960="EX",1,IF(DATOS!$G5960="OR",--(COUNTIFS(nNIA,DATOS!$A5960,nCURSO,DATOS!$D5960,nESPEC,DATOS!$E5960,nASIG,DATOS!$I5960,nEVAL,"EX")=0),0))))</f>
      </c>
      <c r="H5960">
        <f>IF(DATOS!$G5960&lt;&gt;"EX",0,--(COUNTIFS(nNIA,DATOS!$A5960,nCURSO,DATOS!$D5960,nESPEC,DATOS!$E5960,nASIG,DATOS!$I5960,nEVAL,"OR")=0))</f>
      </c>
      <c r="I5960">
        <f>IF(DATOS!$I5960="","",IFERROR(VLOOKUP(DATOS!$I5960,CONFIG_ASIGNATURAS!$B$2:$J$91,9,FALSE()),""))</f>
      </c>
    </row>
    <row r="5961">
      <c r="F5961">
        <f>IF(DATOS!$A5961="","",DATOS!$A5961&amp;"|"&amp;DATOS!$D5961&amp;"|"&amp;DATOS!$E5961&amp;"|"&amp;DATOS!$I5961)</f>
      </c>
      <c r="G5961">
        <f>IF(DATOS!$A5961="",0,IF(CONFIG_METADATA!$B$4&lt;&gt;"OR+EX",--(DATOS!$G5961=CONFIG_METADATA!$B$4),IF(DATOS!$G5961="EX",1,IF(DATOS!$G5961="OR",--(COUNTIFS(nNIA,DATOS!$A5961,nCURSO,DATOS!$D5961,nESPEC,DATOS!$E5961,nASIG,DATOS!$I5961,nEVAL,"EX")=0),0))))</f>
      </c>
      <c r="H5961">
        <f>IF(DATOS!$G5961&lt;&gt;"EX",0,--(COUNTIFS(nNIA,DATOS!$A5961,nCURSO,DATOS!$D5961,nESPEC,DATOS!$E5961,nASIG,DATOS!$I5961,nEVAL,"OR")=0))</f>
      </c>
      <c r="I5961">
        <f>IF(DATOS!$I5961="","",IFERROR(VLOOKUP(DATOS!$I5961,CONFIG_ASIGNATURAS!$B$2:$J$91,9,FALSE()),""))</f>
      </c>
    </row>
    <row r="5962">
      <c r="F5962">
        <f>IF(DATOS!$A5962="","",DATOS!$A5962&amp;"|"&amp;DATOS!$D5962&amp;"|"&amp;DATOS!$E5962&amp;"|"&amp;DATOS!$I5962)</f>
      </c>
      <c r="G5962">
        <f>IF(DATOS!$A5962="",0,IF(CONFIG_METADATA!$B$4&lt;&gt;"OR+EX",--(DATOS!$G5962=CONFIG_METADATA!$B$4),IF(DATOS!$G5962="EX",1,IF(DATOS!$G5962="OR",--(COUNTIFS(nNIA,DATOS!$A5962,nCURSO,DATOS!$D5962,nESPEC,DATOS!$E5962,nASIG,DATOS!$I5962,nEVAL,"EX")=0),0))))</f>
      </c>
      <c r="H5962">
        <f>IF(DATOS!$G5962&lt;&gt;"EX",0,--(COUNTIFS(nNIA,DATOS!$A5962,nCURSO,DATOS!$D5962,nESPEC,DATOS!$E5962,nASIG,DATOS!$I5962,nEVAL,"OR")=0))</f>
      </c>
      <c r="I5962">
        <f>IF(DATOS!$I5962="","",IFERROR(VLOOKUP(DATOS!$I5962,CONFIG_ASIGNATURAS!$B$2:$J$91,9,FALSE()),""))</f>
      </c>
    </row>
    <row r="5963">
      <c r="F5963">
        <f>IF(DATOS!$A5963="","",DATOS!$A5963&amp;"|"&amp;DATOS!$D5963&amp;"|"&amp;DATOS!$E5963&amp;"|"&amp;DATOS!$I5963)</f>
      </c>
      <c r="G5963">
        <f>IF(DATOS!$A5963="",0,IF(CONFIG_METADATA!$B$4&lt;&gt;"OR+EX",--(DATOS!$G5963=CONFIG_METADATA!$B$4),IF(DATOS!$G5963="EX",1,IF(DATOS!$G5963="OR",--(COUNTIFS(nNIA,DATOS!$A5963,nCURSO,DATOS!$D5963,nESPEC,DATOS!$E5963,nASIG,DATOS!$I5963,nEVAL,"EX")=0),0))))</f>
      </c>
      <c r="H5963">
        <f>IF(DATOS!$G5963&lt;&gt;"EX",0,--(COUNTIFS(nNIA,DATOS!$A5963,nCURSO,DATOS!$D5963,nESPEC,DATOS!$E5963,nASIG,DATOS!$I5963,nEVAL,"OR")=0))</f>
      </c>
      <c r="I5963">
        <f>IF(DATOS!$I5963="","",IFERROR(VLOOKUP(DATOS!$I5963,CONFIG_ASIGNATURAS!$B$2:$J$91,9,FALSE()),""))</f>
      </c>
    </row>
    <row r="5964">
      <c r="F5964">
        <f>IF(DATOS!$A5964="","",DATOS!$A5964&amp;"|"&amp;DATOS!$D5964&amp;"|"&amp;DATOS!$E5964&amp;"|"&amp;DATOS!$I5964)</f>
      </c>
      <c r="G5964">
        <f>IF(DATOS!$A5964="",0,IF(CONFIG_METADATA!$B$4&lt;&gt;"OR+EX",--(DATOS!$G5964=CONFIG_METADATA!$B$4),IF(DATOS!$G5964="EX",1,IF(DATOS!$G5964="OR",--(COUNTIFS(nNIA,DATOS!$A5964,nCURSO,DATOS!$D5964,nESPEC,DATOS!$E5964,nASIG,DATOS!$I5964,nEVAL,"EX")=0),0))))</f>
      </c>
      <c r="H5964">
        <f>IF(DATOS!$G5964&lt;&gt;"EX",0,--(COUNTIFS(nNIA,DATOS!$A5964,nCURSO,DATOS!$D5964,nESPEC,DATOS!$E5964,nASIG,DATOS!$I5964,nEVAL,"OR")=0))</f>
      </c>
      <c r="I5964">
        <f>IF(DATOS!$I5964="","",IFERROR(VLOOKUP(DATOS!$I5964,CONFIG_ASIGNATURAS!$B$2:$J$91,9,FALSE()),""))</f>
      </c>
    </row>
    <row r="5965">
      <c r="F5965">
        <f>IF(DATOS!$A5965="","",DATOS!$A5965&amp;"|"&amp;DATOS!$D5965&amp;"|"&amp;DATOS!$E5965&amp;"|"&amp;DATOS!$I5965)</f>
      </c>
      <c r="G5965">
        <f>IF(DATOS!$A5965="",0,IF(CONFIG_METADATA!$B$4&lt;&gt;"OR+EX",--(DATOS!$G5965=CONFIG_METADATA!$B$4),IF(DATOS!$G5965="EX",1,IF(DATOS!$G5965="OR",--(COUNTIFS(nNIA,DATOS!$A5965,nCURSO,DATOS!$D5965,nESPEC,DATOS!$E5965,nASIG,DATOS!$I5965,nEVAL,"EX")=0),0))))</f>
      </c>
      <c r="H5965">
        <f>IF(DATOS!$G5965&lt;&gt;"EX",0,--(COUNTIFS(nNIA,DATOS!$A5965,nCURSO,DATOS!$D5965,nESPEC,DATOS!$E5965,nASIG,DATOS!$I5965,nEVAL,"OR")=0))</f>
      </c>
      <c r="I5965">
        <f>IF(DATOS!$I5965="","",IFERROR(VLOOKUP(DATOS!$I5965,CONFIG_ASIGNATURAS!$B$2:$J$91,9,FALSE()),""))</f>
      </c>
    </row>
    <row r="5966">
      <c r="F5966">
        <f>IF(DATOS!$A5966="","",DATOS!$A5966&amp;"|"&amp;DATOS!$D5966&amp;"|"&amp;DATOS!$E5966&amp;"|"&amp;DATOS!$I5966)</f>
      </c>
      <c r="G5966">
        <f>IF(DATOS!$A5966="",0,IF(CONFIG_METADATA!$B$4&lt;&gt;"OR+EX",--(DATOS!$G5966=CONFIG_METADATA!$B$4),IF(DATOS!$G5966="EX",1,IF(DATOS!$G5966="OR",--(COUNTIFS(nNIA,DATOS!$A5966,nCURSO,DATOS!$D5966,nESPEC,DATOS!$E5966,nASIG,DATOS!$I5966,nEVAL,"EX")=0),0))))</f>
      </c>
      <c r="H5966">
        <f>IF(DATOS!$G5966&lt;&gt;"EX",0,--(COUNTIFS(nNIA,DATOS!$A5966,nCURSO,DATOS!$D5966,nESPEC,DATOS!$E5966,nASIG,DATOS!$I5966,nEVAL,"OR")=0))</f>
      </c>
      <c r="I5966">
        <f>IF(DATOS!$I5966="","",IFERROR(VLOOKUP(DATOS!$I5966,CONFIG_ASIGNATURAS!$B$2:$J$91,9,FALSE()),""))</f>
      </c>
    </row>
    <row r="5967">
      <c r="F5967">
        <f>IF(DATOS!$A5967="","",DATOS!$A5967&amp;"|"&amp;DATOS!$D5967&amp;"|"&amp;DATOS!$E5967&amp;"|"&amp;DATOS!$I5967)</f>
      </c>
      <c r="G5967">
        <f>IF(DATOS!$A5967="",0,IF(CONFIG_METADATA!$B$4&lt;&gt;"OR+EX",--(DATOS!$G5967=CONFIG_METADATA!$B$4),IF(DATOS!$G5967="EX",1,IF(DATOS!$G5967="OR",--(COUNTIFS(nNIA,DATOS!$A5967,nCURSO,DATOS!$D5967,nESPEC,DATOS!$E5967,nASIG,DATOS!$I5967,nEVAL,"EX")=0),0))))</f>
      </c>
      <c r="H5967">
        <f>IF(DATOS!$G5967&lt;&gt;"EX",0,--(COUNTIFS(nNIA,DATOS!$A5967,nCURSO,DATOS!$D5967,nESPEC,DATOS!$E5967,nASIG,DATOS!$I5967,nEVAL,"OR")=0))</f>
      </c>
      <c r="I5967">
        <f>IF(DATOS!$I5967="","",IFERROR(VLOOKUP(DATOS!$I5967,CONFIG_ASIGNATURAS!$B$2:$J$91,9,FALSE()),""))</f>
      </c>
    </row>
    <row r="5968">
      <c r="F5968">
        <f>IF(DATOS!$A5968="","",DATOS!$A5968&amp;"|"&amp;DATOS!$D5968&amp;"|"&amp;DATOS!$E5968&amp;"|"&amp;DATOS!$I5968)</f>
      </c>
      <c r="G5968">
        <f>IF(DATOS!$A5968="",0,IF(CONFIG_METADATA!$B$4&lt;&gt;"OR+EX",--(DATOS!$G5968=CONFIG_METADATA!$B$4),IF(DATOS!$G5968="EX",1,IF(DATOS!$G5968="OR",--(COUNTIFS(nNIA,DATOS!$A5968,nCURSO,DATOS!$D5968,nESPEC,DATOS!$E5968,nASIG,DATOS!$I5968,nEVAL,"EX")=0),0))))</f>
      </c>
      <c r="H5968">
        <f>IF(DATOS!$G5968&lt;&gt;"EX",0,--(COUNTIFS(nNIA,DATOS!$A5968,nCURSO,DATOS!$D5968,nESPEC,DATOS!$E5968,nASIG,DATOS!$I5968,nEVAL,"OR")=0))</f>
      </c>
      <c r="I5968">
        <f>IF(DATOS!$I5968="","",IFERROR(VLOOKUP(DATOS!$I5968,CONFIG_ASIGNATURAS!$B$2:$J$91,9,FALSE()),""))</f>
      </c>
    </row>
    <row r="5969">
      <c r="F5969">
        <f>IF(DATOS!$A5969="","",DATOS!$A5969&amp;"|"&amp;DATOS!$D5969&amp;"|"&amp;DATOS!$E5969&amp;"|"&amp;DATOS!$I5969)</f>
      </c>
      <c r="G5969">
        <f>IF(DATOS!$A5969="",0,IF(CONFIG_METADATA!$B$4&lt;&gt;"OR+EX",--(DATOS!$G5969=CONFIG_METADATA!$B$4),IF(DATOS!$G5969="EX",1,IF(DATOS!$G5969="OR",--(COUNTIFS(nNIA,DATOS!$A5969,nCURSO,DATOS!$D5969,nESPEC,DATOS!$E5969,nASIG,DATOS!$I5969,nEVAL,"EX")=0),0))))</f>
      </c>
      <c r="H5969">
        <f>IF(DATOS!$G5969&lt;&gt;"EX",0,--(COUNTIFS(nNIA,DATOS!$A5969,nCURSO,DATOS!$D5969,nESPEC,DATOS!$E5969,nASIG,DATOS!$I5969,nEVAL,"OR")=0))</f>
      </c>
      <c r="I5969">
        <f>IF(DATOS!$I5969="","",IFERROR(VLOOKUP(DATOS!$I5969,CONFIG_ASIGNATURAS!$B$2:$J$91,9,FALSE()),""))</f>
      </c>
    </row>
    <row r="5970">
      <c r="F5970">
        <f>IF(DATOS!$A5970="","",DATOS!$A5970&amp;"|"&amp;DATOS!$D5970&amp;"|"&amp;DATOS!$E5970&amp;"|"&amp;DATOS!$I5970)</f>
      </c>
      <c r="G5970">
        <f>IF(DATOS!$A5970="",0,IF(CONFIG_METADATA!$B$4&lt;&gt;"OR+EX",--(DATOS!$G5970=CONFIG_METADATA!$B$4),IF(DATOS!$G5970="EX",1,IF(DATOS!$G5970="OR",--(COUNTIFS(nNIA,DATOS!$A5970,nCURSO,DATOS!$D5970,nESPEC,DATOS!$E5970,nASIG,DATOS!$I5970,nEVAL,"EX")=0),0))))</f>
      </c>
      <c r="H5970">
        <f>IF(DATOS!$G5970&lt;&gt;"EX",0,--(COUNTIFS(nNIA,DATOS!$A5970,nCURSO,DATOS!$D5970,nESPEC,DATOS!$E5970,nASIG,DATOS!$I5970,nEVAL,"OR")=0))</f>
      </c>
      <c r="I5970">
        <f>IF(DATOS!$I5970="","",IFERROR(VLOOKUP(DATOS!$I5970,CONFIG_ASIGNATURAS!$B$2:$J$91,9,FALSE()),""))</f>
      </c>
    </row>
    <row r="5971">
      <c r="F5971">
        <f>IF(DATOS!$A5971="","",DATOS!$A5971&amp;"|"&amp;DATOS!$D5971&amp;"|"&amp;DATOS!$E5971&amp;"|"&amp;DATOS!$I5971)</f>
      </c>
      <c r="G5971">
        <f>IF(DATOS!$A5971="",0,IF(CONFIG_METADATA!$B$4&lt;&gt;"OR+EX",--(DATOS!$G5971=CONFIG_METADATA!$B$4),IF(DATOS!$G5971="EX",1,IF(DATOS!$G5971="OR",--(COUNTIFS(nNIA,DATOS!$A5971,nCURSO,DATOS!$D5971,nESPEC,DATOS!$E5971,nASIG,DATOS!$I5971,nEVAL,"EX")=0),0))))</f>
      </c>
      <c r="H5971">
        <f>IF(DATOS!$G5971&lt;&gt;"EX",0,--(COUNTIFS(nNIA,DATOS!$A5971,nCURSO,DATOS!$D5971,nESPEC,DATOS!$E5971,nASIG,DATOS!$I5971,nEVAL,"OR")=0))</f>
      </c>
      <c r="I5971">
        <f>IF(DATOS!$I5971="","",IFERROR(VLOOKUP(DATOS!$I5971,CONFIG_ASIGNATURAS!$B$2:$J$91,9,FALSE()),""))</f>
      </c>
    </row>
    <row r="5972">
      <c r="F5972">
        <f>IF(DATOS!$A5972="","",DATOS!$A5972&amp;"|"&amp;DATOS!$D5972&amp;"|"&amp;DATOS!$E5972&amp;"|"&amp;DATOS!$I5972)</f>
      </c>
      <c r="G5972">
        <f>IF(DATOS!$A5972="",0,IF(CONFIG_METADATA!$B$4&lt;&gt;"OR+EX",--(DATOS!$G5972=CONFIG_METADATA!$B$4),IF(DATOS!$G5972="EX",1,IF(DATOS!$G5972="OR",--(COUNTIFS(nNIA,DATOS!$A5972,nCURSO,DATOS!$D5972,nESPEC,DATOS!$E5972,nASIG,DATOS!$I5972,nEVAL,"EX")=0),0))))</f>
      </c>
      <c r="H5972">
        <f>IF(DATOS!$G5972&lt;&gt;"EX",0,--(COUNTIFS(nNIA,DATOS!$A5972,nCURSO,DATOS!$D5972,nESPEC,DATOS!$E5972,nASIG,DATOS!$I5972,nEVAL,"OR")=0))</f>
      </c>
      <c r="I5972">
        <f>IF(DATOS!$I5972="","",IFERROR(VLOOKUP(DATOS!$I5972,CONFIG_ASIGNATURAS!$B$2:$J$91,9,FALSE()),""))</f>
      </c>
    </row>
    <row r="5973">
      <c r="F5973">
        <f>IF(DATOS!$A5973="","",DATOS!$A5973&amp;"|"&amp;DATOS!$D5973&amp;"|"&amp;DATOS!$E5973&amp;"|"&amp;DATOS!$I5973)</f>
      </c>
      <c r="G5973">
        <f>IF(DATOS!$A5973="",0,IF(CONFIG_METADATA!$B$4&lt;&gt;"OR+EX",--(DATOS!$G5973=CONFIG_METADATA!$B$4),IF(DATOS!$G5973="EX",1,IF(DATOS!$G5973="OR",--(COUNTIFS(nNIA,DATOS!$A5973,nCURSO,DATOS!$D5973,nESPEC,DATOS!$E5973,nASIG,DATOS!$I5973,nEVAL,"EX")=0),0))))</f>
      </c>
      <c r="H5973">
        <f>IF(DATOS!$G5973&lt;&gt;"EX",0,--(COUNTIFS(nNIA,DATOS!$A5973,nCURSO,DATOS!$D5973,nESPEC,DATOS!$E5973,nASIG,DATOS!$I5973,nEVAL,"OR")=0))</f>
      </c>
      <c r="I5973">
        <f>IF(DATOS!$I5973="","",IFERROR(VLOOKUP(DATOS!$I5973,CONFIG_ASIGNATURAS!$B$2:$J$91,9,FALSE()),""))</f>
      </c>
    </row>
    <row r="5974">
      <c r="F5974">
        <f>IF(DATOS!$A5974="","",DATOS!$A5974&amp;"|"&amp;DATOS!$D5974&amp;"|"&amp;DATOS!$E5974&amp;"|"&amp;DATOS!$I5974)</f>
      </c>
      <c r="G5974">
        <f>IF(DATOS!$A5974="",0,IF(CONFIG_METADATA!$B$4&lt;&gt;"OR+EX",--(DATOS!$G5974=CONFIG_METADATA!$B$4),IF(DATOS!$G5974="EX",1,IF(DATOS!$G5974="OR",--(COUNTIFS(nNIA,DATOS!$A5974,nCURSO,DATOS!$D5974,nESPEC,DATOS!$E5974,nASIG,DATOS!$I5974,nEVAL,"EX")=0),0))))</f>
      </c>
      <c r="H5974">
        <f>IF(DATOS!$G5974&lt;&gt;"EX",0,--(COUNTIFS(nNIA,DATOS!$A5974,nCURSO,DATOS!$D5974,nESPEC,DATOS!$E5974,nASIG,DATOS!$I5974,nEVAL,"OR")=0))</f>
      </c>
      <c r="I5974">
        <f>IF(DATOS!$I5974="","",IFERROR(VLOOKUP(DATOS!$I5974,CONFIG_ASIGNATURAS!$B$2:$J$91,9,FALSE()),""))</f>
      </c>
    </row>
    <row r="5975">
      <c r="F5975">
        <f>IF(DATOS!$A5975="","",DATOS!$A5975&amp;"|"&amp;DATOS!$D5975&amp;"|"&amp;DATOS!$E5975&amp;"|"&amp;DATOS!$I5975)</f>
      </c>
      <c r="G5975">
        <f>IF(DATOS!$A5975="",0,IF(CONFIG_METADATA!$B$4&lt;&gt;"OR+EX",--(DATOS!$G5975=CONFIG_METADATA!$B$4),IF(DATOS!$G5975="EX",1,IF(DATOS!$G5975="OR",--(COUNTIFS(nNIA,DATOS!$A5975,nCURSO,DATOS!$D5975,nESPEC,DATOS!$E5975,nASIG,DATOS!$I5975,nEVAL,"EX")=0),0))))</f>
      </c>
      <c r="H5975">
        <f>IF(DATOS!$G5975&lt;&gt;"EX",0,--(COUNTIFS(nNIA,DATOS!$A5975,nCURSO,DATOS!$D5975,nESPEC,DATOS!$E5975,nASIG,DATOS!$I5975,nEVAL,"OR")=0))</f>
      </c>
      <c r="I5975">
        <f>IF(DATOS!$I5975="","",IFERROR(VLOOKUP(DATOS!$I5975,CONFIG_ASIGNATURAS!$B$2:$J$91,9,FALSE()),""))</f>
      </c>
    </row>
    <row r="5976">
      <c r="F5976">
        <f>IF(DATOS!$A5976="","",DATOS!$A5976&amp;"|"&amp;DATOS!$D5976&amp;"|"&amp;DATOS!$E5976&amp;"|"&amp;DATOS!$I5976)</f>
      </c>
      <c r="G5976">
        <f>IF(DATOS!$A5976="",0,IF(CONFIG_METADATA!$B$4&lt;&gt;"OR+EX",--(DATOS!$G5976=CONFIG_METADATA!$B$4),IF(DATOS!$G5976="EX",1,IF(DATOS!$G5976="OR",--(COUNTIFS(nNIA,DATOS!$A5976,nCURSO,DATOS!$D5976,nESPEC,DATOS!$E5976,nASIG,DATOS!$I5976,nEVAL,"EX")=0),0))))</f>
      </c>
      <c r="H5976">
        <f>IF(DATOS!$G5976&lt;&gt;"EX",0,--(COUNTIFS(nNIA,DATOS!$A5976,nCURSO,DATOS!$D5976,nESPEC,DATOS!$E5976,nASIG,DATOS!$I5976,nEVAL,"OR")=0))</f>
      </c>
      <c r="I5976">
        <f>IF(DATOS!$I5976="","",IFERROR(VLOOKUP(DATOS!$I5976,CONFIG_ASIGNATURAS!$B$2:$J$91,9,FALSE()),""))</f>
      </c>
    </row>
    <row r="5977">
      <c r="F5977">
        <f>IF(DATOS!$A5977="","",DATOS!$A5977&amp;"|"&amp;DATOS!$D5977&amp;"|"&amp;DATOS!$E5977&amp;"|"&amp;DATOS!$I5977)</f>
      </c>
      <c r="G5977">
        <f>IF(DATOS!$A5977="",0,IF(CONFIG_METADATA!$B$4&lt;&gt;"OR+EX",--(DATOS!$G5977=CONFIG_METADATA!$B$4),IF(DATOS!$G5977="EX",1,IF(DATOS!$G5977="OR",--(COUNTIFS(nNIA,DATOS!$A5977,nCURSO,DATOS!$D5977,nESPEC,DATOS!$E5977,nASIG,DATOS!$I5977,nEVAL,"EX")=0),0))))</f>
      </c>
      <c r="H5977">
        <f>IF(DATOS!$G5977&lt;&gt;"EX",0,--(COUNTIFS(nNIA,DATOS!$A5977,nCURSO,DATOS!$D5977,nESPEC,DATOS!$E5977,nASIG,DATOS!$I5977,nEVAL,"OR")=0))</f>
      </c>
      <c r="I5977">
        <f>IF(DATOS!$I5977="","",IFERROR(VLOOKUP(DATOS!$I5977,CONFIG_ASIGNATURAS!$B$2:$J$91,9,FALSE()),""))</f>
      </c>
    </row>
    <row r="5978">
      <c r="F5978">
        <f>IF(DATOS!$A5978="","",DATOS!$A5978&amp;"|"&amp;DATOS!$D5978&amp;"|"&amp;DATOS!$E5978&amp;"|"&amp;DATOS!$I5978)</f>
      </c>
      <c r="G5978">
        <f>IF(DATOS!$A5978="",0,IF(CONFIG_METADATA!$B$4&lt;&gt;"OR+EX",--(DATOS!$G5978=CONFIG_METADATA!$B$4),IF(DATOS!$G5978="EX",1,IF(DATOS!$G5978="OR",--(COUNTIFS(nNIA,DATOS!$A5978,nCURSO,DATOS!$D5978,nESPEC,DATOS!$E5978,nASIG,DATOS!$I5978,nEVAL,"EX")=0),0))))</f>
      </c>
      <c r="H5978">
        <f>IF(DATOS!$G5978&lt;&gt;"EX",0,--(COUNTIFS(nNIA,DATOS!$A5978,nCURSO,DATOS!$D5978,nESPEC,DATOS!$E5978,nASIG,DATOS!$I5978,nEVAL,"OR")=0))</f>
      </c>
      <c r="I5978">
        <f>IF(DATOS!$I5978="","",IFERROR(VLOOKUP(DATOS!$I5978,CONFIG_ASIGNATURAS!$B$2:$J$91,9,FALSE()),""))</f>
      </c>
    </row>
    <row r="5979">
      <c r="F5979">
        <f>IF(DATOS!$A5979="","",DATOS!$A5979&amp;"|"&amp;DATOS!$D5979&amp;"|"&amp;DATOS!$E5979&amp;"|"&amp;DATOS!$I5979)</f>
      </c>
      <c r="G5979">
        <f>IF(DATOS!$A5979="",0,IF(CONFIG_METADATA!$B$4&lt;&gt;"OR+EX",--(DATOS!$G5979=CONFIG_METADATA!$B$4),IF(DATOS!$G5979="EX",1,IF(DATOS!$G5979="OR",--(COUNTIFS(nNIA,DATOS!$A5979,nCURSO,DATOS!$D5979,nESPEC,DATOS!$E5979,nASIG,DATOS!$I5979,nEVAL,"EX")=0),0))))</f>
      </c>
      <c r="H5979">
        <f>IF(DATOS!$G5979&lt;&gt;"EX",0,--(COUNTIFS(nNIA,DATOS!$A5979,nCURSO,DATOS!$D5979,nESPEC,DATOS!$E5979,nASIG,DATOS!$I5979,nEVAL,"OR")=0))</f>
      </c>
      <c r="I5979">
        <f>IF(DATOS!$I5979="","",IFERROR(VLOOKUP(DATOS!$I5979,CONFIG_ASIGNATURAS!$B$2:$J$91,9,FALSE()),""))</f>
      </c>
    </row>
    <row r="5980">
      <c r="F5980">
        <f>IF(DATOS!$A5980="","",DATOS!$A5980&amp;"|"&amp;DATOS!$D5980&amp;"|"&amp;DATOS!$E5980&amp;"|"&amp;DATOS!$I5980)</f>
      </c>
      <c r="G5980">
        <f>IF(DATOS!$A5980="",0,IF(CONFIG_METADATA!$B$4&lt;&gt;"OR+EX",--(DATOS!$G5980=CONFIG_METADATA!$B$4),IF(DATOS!$G5980="EX",1,IF(DATOS!$G5980="OR",--(COUNTIFS(nNIA,DATOS!$A5980,nCURSO,DATOS!$D5980,nESPEC,DATOS!$E5980,nASIG,DATOS!$I5980,nEVAL,"EX")=0),0))))</f>
      </c>
      <c r="H5980">
        <f>IF(DATOS!$G5980&lt;&gt;"EX",0,--(COUNTIFS(nNIA,DATOS!$A5980,nCURSO,DATOS!$D5980,nESPEC,DATOS!$E5980,nASIG,DATOS!$I5980,nEVAL,"OR")=0))</f>
      </c>
      <c r="I5980">
        <f>IF(DATOS!$I5980="","",IFERROR(VLOOKUP(DATOS!$I5980,CONFIG_ASIGNATURAS!$B$2:$J$91,9,FALSE()),""))</f>
      </c>
    </row>
    <row r="5981">
      <c r="F5981">
        <f>IF(DATOS!$A5981="","",DATOS!$A5981&amp;"|"&amp;DATOS!$D5981&amp;"|"&amp;DATOS!$E5981&amp;"|"&amp;DATOS!$I5981)</f>
      </c>
      <c r="G5981">
        <f>IF(DATOS!$A5981="",0,IF(CONFIG_METADATA!$B$4&lt;&gt;"OR+EX",--(DATOS!$G5981=CONFIG_METADATA!$B$4),IF(DATOS!$G5981="EX",1,IF(DATOS!$G5981="OR",--(COUNTIFS(nNIA,DATOS!$A5981,nCURSO,DATOS!$D5981,nESPEC,DATOS!$E5981,nASIG,DATOS!$I5981,nEVAL,"EX")=0),0))))</f>
      </c>
      <c r="H5981">
        <f>IF(DATOS!$G5981&lt;&gt;"EX",0,--(COUNTIFS(nNIA,DATOS!$A5981,nCURSO,DATOS!$D5981,nESPEC,DATOS!$E5981,nASIG,DATOS!$I5981,nEVAL,"OR")=0))</f>
      </c>
      <c r="I5981">
        <f>IF(DATOS!$I5981="","",IFERROR(VLOOKUP(DATOS!$I5981,CONFIG_ASIGNATURAS!$B$2:$J$91,9,FALSE()),""))</f>
      </c>
    </row>
    <row r="5982">
      <c r="F5982">
        <f>IF(DATOS!$A5982="","",DATOS!$A5982&amp;"|"&amp;DATOS!$D5982&amp;"|"&amp;DATOS!$E5982&amp;"|"&amp;DATOS!$I5982)</f>
      </c>
      <c r="G5982">
        <f>IF(DATOS!$A5982="",0,IF(CONFIG_METADATA!$B$4&lt;&gt;"OR+EX",--(DATOS!$G5982=CONFIG_METADATA!$B$4),IF(DATOS!$G5982="EX",1,IF(DATOS!$G5982="OR",--(COUNTIFS(nNIA,DATOS!$A5982,nCURSO,DATOS!$D5982,nESPEC,DATOS!$E5982,nASIG,DATOS!$I5982,nEVAL,"EX")=0),0))))</f>
      </c>
      <c r="H5982">
        <f>IF(DATOS!$G5982&lt;&gt;"EX",0,--(COUNTIFS(nNIA,DATOS!$A5982,nCURSO,DATOS!$D5982,nESPEC,DATOS!$E5982,nASIG,DATOS!$I5982,nEVAL,"OR")=0))</f>
      </c>
      <c r="I5982">
        <f>IF(DATOS!$I5982="","",IFERROR(VLOOKUP(DATOS!$I5982,CONFIG_ASIGNATURAS!$B$2:$J$91,9,FALSE()),""))</f>
      </c>
    </row>
    <row r="5983">
      <c r="F5983">
        <f>IF(DATOS!$A5983="","",DATOS!$A5983&amp;"|"&amp;DATOS!$D5983&amp;"|"&amp;DATOS!$E5983&amp;"|"&amp;DATOS!$I5983)</f>
      </c>
      <c r="G5983">
        <f>IF(DATOS!$A5983="",0,IF(CONFIG_METADATA!$B$4&lt;&gt;"OR+EX",--(DATOS!$G5983=CONFIG_METADATA!$B$4),IF(DATOS!$G5983="EX",1,IF(DATOS!$G5983="OR",--(COUNTIFS(nNIA,DATOS!$A5983,nCURSO,DATOS!$D5983,nESPEC,DATOS!$E5983,nASIG,DATOS!$I5983,nEVAL,"EX")=0),0))))</f>
      </c>
      <c r="H5983">
        <f>IF(DATOS!$G5983&lt;&gt;"EX",0,--(COUNTIFS(nNIA,DATOS!$A5983,nCURSO,DATOS!$D5983,nESPEC,DATOS!$E5983,nASIG,DATOS!$I5983,nEVAL,"OR")=0))</f>
      </c>
      <c r="I5983">
        <f>IF(DATOS!$I5983="","",IFERROR(VLOOKUP(DATOS!$I5983,CONFIG_ASIGNATURAS!$B$2:$J$91,9,FALSE()),""))</f>
      </c>
    </row>
    <row r="5984">
      <c r="F5984">
        <f>IF(DATOS!$A5984="","",DATOS!$A5984&amp;"|"&amp;DATOS!$D5984&amp;"|"&amp;DATOS!$E5984&amp;"|"&amp;DATOS!$I5984)</f>
      </c>
      <c r="G5984">
        <f>IF(DATOS!$A5984="",0,IF(CONFIG_METADATA!$B$4&lt;&gt;"OR+EX",--(DATOS!$G5984=CONFIG_METADATA!$B$4),IF(DATOS!$G5984="EX",1,IF(DATOS!$G5984="OR",--(COUNTIFS(nNIA,DATOS!$A5984,nCURSO,DATOS!$D5984,nESPEC,DATOS!$E5984,nASIG,DATOS!$I5984,nEVAL,"EX")=0),0))))</f>
      </c>
      <c r="H5984">
        <f>IF(DATOS!$G5984&lt;&gt;"EX",0,--(COUNTIFS(nNIA,DATOS!$A5984,nCURSO,DATOS!$D5984,nESPEC,DATOS!$E5984,nASIG,DATOS!$I5984,nEVAL,"OR")=0))</f>
      </c>
      <c r="I5984">
        <f>IF(DATOS!$I5984="","",IFERROR(VLOOKUP(DATOS!$I5984,CONFIG_ASIGNATURAS!$B$2:$J$91,9,FALSE()),""))</f>
      </c>
    </row>
    <row r="5985">
      <c r="F5985">
        <f>IF(DATOS!$A5985="","",DATOS!$A5985&amp;"|"&amp;DATOS!$D5985&amp;"|"&amp;DATOS!$E5985&amp;"|"&amp;DATOS!$I5985)</f>
      </c>
      <c r="G5985">
        <f>IF(DATOS!$A5985="",0,IF(CONFIG_METADATA!$B$4&lt;&gt;"OR+EX",--(DATOS!$G5985=CONFIG_METADATA!$B$4),IF(DATOS!$G5985="EX",1,IF(DATOS!$G5985="OR",--(COUNTIFS(nNIA,DATOS!$A5985,nCURSO,DATOS!$D5985,nESPEC,DATOS!$E5985,nASIG,DATOS!$I5985,nEVAL,"EX")=0),0))))</f>
      </c>
      <c r="H5985">
        <f>IF(DATOS!$G5985&lt;&gt;"EX",0,--(COUNTIFS(nNIA,DATOS!$A5985,nCURSO,DATOS!$D5985,nESPEC,DATOS!$E5985,nASIG,DATOS!$I5985,nEVAL,"OR")=0))</f>
      </c>
      <c r="I5985">
        <f>IF(DATOS!$I5985="","",IFERROR(VLOOKUP(DATOS!$I5985,CONFIG_ASIGNATURAS!$B$2:$J$91,9,FALSE()),""))</f>
      </c>
    </row>
    <row r="5986">
      <c r="F5986">
        <f>IF(DATOS!$A5986="","",DATOS!$A5986&amp;"|"&amp;DATOS!$D5986&amp;"|"&amp;DATOS!$E5986&amp;"|"&amp;DATOS!$I5986)</f>
      </c>
      <c r="G5986">
        <f>IF(DATOS!$A5986="",0,IF(CONFIG_METADATA!$B$4&lt;&gt;"OR+EX",--(DATOS!$G5986=CONFIG_METADATA!$B$4),IF(DATOS!$G5986="EX",1,IF(DATOS!$G5986="OR",--(COUNTIFS(nNIA,DATOS!$A5986,nCURSO,DATOS!$D5986,nESPEC,DATOS!$E5986,nASIG,DATOS!$I5986,nEVAL,"EX")=0),0))))</f>
      </c>
      <c r="H5986">
        <f>IF(DATOS!$G5986&lt;&gt;"EX",0,--(COUNTIFS(nNIA,DATOS!$A5986,nCURSO,DATOS!$D5986,nESPEC,DATOS!$E5986,nASIG,DATOS!$I5986,nEVAL,"OR")=0))</f>
      </c>
      <c r="I5986">
        <f>IF(DATOS!$I5986="","",IFERROR(VLOOKUP(DATOS!$I5986,CONFIG_ASIGNATURAS!$B$2:$J$91,9,FALSE()),""))</f>
      </c>
    </row>
    <row r="5987">
      <c r="F5987">
        <f>IF(DATOS!$A5987="","",DATOS!$A5987&amp;"|"&amp;DATOS!$D5987&amp;"|"&amp;DATOS!$E5987&amp;"|"&amp;DATOS!$I5987)</f>
      </c>
      <c r="G5987">
        <f>IF(DATOS!$A5987="",0,IF(CONFIG_METADATA!$B$4&lt;&gt;"OR+EX",--(DATOS!$G5987=CONFIG_METADATA!$B$4),IF(DATOS!$G5987="EX",1,IF(DATOS!$G5987="OR",--(COUNTIFS(nNIA,DATOS!$A5987,nCURSO,DATOS!$D5987,nESPEC,DATOS!$E5987,nASIG,DATOS!$I5987,nEVAL,"EX")=0),0))))</f>
      </c>
      <c r="H5987">
        <f>IF(DATOS!$G5987&lt;&gt;"EX",0,--(COUNTIFS(nNIA,DATOS!$A5987,nCURSO,DATOS!$D5987,nESPEC,DATOS!$E5987,nASIG,DATOS!$I5987,nEVAL,"OR")=0))</f>
      </c>
      <c r="I5987">
        <f>IF(DATOS!$I5987="","",IFERROR(VLOOKUP(DATOS!$I5987,CONFIG_ASIGNATURAS!$B$2:$J$91,9,FALSE()),""))</f>
      </c>
    </row>
    <row r="5988">
      <c r="F5988">
        <f>IF(DATOS!$A5988="","",DATOS!$A5988&amp;"|"&amp;DATOS!$D5988&amp;"|"&amp;DATOS!$E5988&amp;"|"&amp;DATOS!$I5988)</f>
      </c>
      <c r="G5988">
        <f>IF(DATOS!$A5988="",0,IF(CONFIG_METADATA!$B$4&lt;&gt;"OR+EX",--(DATOS!$G5988=CONFIG_METADATA!$B$4),IF(DATOS!$G5988="EX",1,IF(DATOS!$G5988="OR",--(COUNTIFS(nNIA,DATOS!$A5988,nCURSO,DATOS!$D5988,nESPEC,DATOS!$E5988,nASIG,DATOS!$I5988,nEVAL,"EX")=0),0))))</f>
      </c>
      <c r="H5988">
        <f>IF(DATOS!$G5988&lt;&gt;"EX",0,--(COUNTIFS(nNIA,DATOS!$A5988,nCURSO,DATOS!$D5988,nESPEC,DATOS!$E5988,nASIG,DATOS!$I5988,nEVAL,"OR")=0))</f>
      </c>
      <c r="I5988">
        <f>IF(DATOS!$I5988="","",IFERROR(VLOOKUP(DATOS!$I5988,CONFIG_ASIGNATURAS!$B$2:$J$91,9,FALSE()),""))</f>
      </c>
    </row>
    <row r="5989">
      <c r="F5989">
        <f>IF(DATOS!$A5989="","",DATOS!$A5989&amp;"|"&amp;DATOS!$D5989&amp;"|"&amp;DATOS!$E5989&amp;"|"&amp;DATOS!$I5989)</f>
      </c>
      <c r="G5989">
        <f>IF(DATOS!$A5989="",0,IF(CONFIG_METADATA!$B$4&lt;&gt;"OR+EX",--(DATOS!$G5989=CONFIG_METADATA!$B$4),IF(DATOS!$G5989="EX",1,IF(DATOS!$G5989="OR",--(COUNTIFS(nNIA,DATOS!$A5989,nCURSO,DATOS!$D5989,nESPEC,DATOS!$E5989,nASIG,DATOS!$I5989,nEVAL,"EX")=0),0))))</f>
      </c>
      <c r="H5989">
        <f>IF(DATOS!$G5989&lt;&gt;"EX",0,--(COUNTIFS(nNIA,DATOS!$A5989,nCURSO,DATOS!$D5989,nESPEC,DATOS!$E5989,nASIG,DATOS!$I5989,nEVAL,"OR")=0))</f>
      </c>
      <c r="I5989">
        <f>IF(DATOS!$I5989="","",IFERROR(VLOOKUP(DATOS!$I5989,CONFIG_ASIGNATURAS!$B$2:$J$91,9,FALSE()),""))</f>
      </c>
    </row>
    <row r="5990">
      <c r="F5990">
        <f>IF(DATOS!$A5990="","",DATOS!$A5990&amp;"|"&amp;DATOS!$D5990&amp;"|"&amp;DATOS!$E5990&amp;"|"&amp;DATOS!$I5990)</f>
      </c>
      <c r="G5990">
        <f>IF(DATOS!$A5990="",0,IF(CONFIG_METADATA!$B$4&lt;&gt;"OR+EX",--(DATOS!$G5990=CONFIG_METADATA!$B$4),IF(DATOS!$G5990="EX",1,IF(DATOS!$G5990="OR",--(COUNTIFS(nNIA,DATOS!$A5990,nCURSO,DATOS!$D5990,nESPEC,DATOS!$E5990,nASIG,DATOS!$I5990,nEVAL,"EX")=0),0))))</f>
      </c>
      <c r="H5990">
        <f>IF(DATOS!$G5990&lt;&gt;"EX",0,--(COUNTIFS(nNIA,DATOS!$A5990,nCURSO,DATOS!$D5990,nESPEC,DATOS!$E5990,nASIG,DATOS!$I5990,nEVAL,"OR")=0))</f>
      </c>
      <c r="I5990">
        <f>IF(DATOS!$I5990="","",IFERROR(VLOOKUP(DATOS!$I5990,CONFIG_ASIGNATURAS!$B$2:$J$91,9,FALSE()),""))</f>
      </c>
    </row>
    <row r="5991">
      <c r="F5991">
        <f>IF(DATOS!$A5991="","",DATOS!$A5991&amp;"|"&amp;DATOS!$D5991&amp;"|"&amp;DATOS!$E5991&amp;"|"&amp;DATOS!$I5991)</f>
      </c>
      <c r="G5991">
        <f>IF(DATOS!$A5991="",0,IF(CONFIG_METADATA!$B$4&lt;&gt;"OR+EX",--(DATOS!$G5991=CONFIG_METADATA!$B$4),IF(DATOS!$G5991="EX",1,IF(DATOS!$G5991="OR",--(COUNTIFS(nNIA,DATOS!$A5991,nCURSO,DATOS!$D5991,nESPEC,DATOS!$E5991,nASIG,DATOS!$I5991,nEVAL,"EX")=0),0))))</f>
      </c>
      <c r="H5991">
        <f>IF(DATOS!$G5991&lt;&gt;"EX",0,--(COUNTIFS(nNIA,DATOS!$A5991,nCURSO,DATOS!$D5991,nESPEC,DATOS!$E5991,nASIG,DATOS!$I5991,nEVAL,"OR")=0))</f>
      </c>
      <c r="I5991">
        <f>IF(DATOS!$I5991="","",IFERROR(VLOOKUP(DATOS!$I5991,CONFIG_ASIGNATURAS!$B$2:$J$91,9,FALSE()),""))</f>
      </c>
    </row>
    <row r="5992">
      <c r="F5992">
        <f>IF(DATOS!$A5992="","",DATOS!$A5992&amp;"|"&amp;DATOS!$D5992&amp;"|"&amp;DATOS!$E5992&amp;"|"&amp;DATOS!$I5992)</f>
      </c>
      <c r="G5992">
        <f>IF(DATOS!$A5992="",0,IF(CONFIG_METADATA!$B$4&lt;&gt;"OR+EX",--(DATOS!$G5992=CONFIG_METADATA!$B$4),IF(DATOS!$G5992="EX",1,IF(DATOS!$G5992="OR",--(COUNTIFS(nNIA,DATOS!$A5992,nCURSO,DATOS!$D5992,nESPEC,DATOS!$E5992,nASIG,DATOS!$I5992,nEVAL,"EX")=0),0))))</f>
      </c>
      <c r="H5992">
        <f>IF(DATOS!$G5992&lt;&gt;"EX",0,--(COUNTIFS(nNIA,DATOS!$A5992,nCURSO,DATOS!$D5992,nESPEC,DATOS!$E5992,nASIG,DATOS!$I5992,nEVAL,"OR")=0))</f>
      </c>
      <c r="I5992">
        <f>IF(DATOS!$I5992="","",IFERROR(VLOOKUP(DATOS!$I5992,CONFIG_ASIGNATURAS!$B$2:$J$91,9,FALSE()),""))</f>
      </c>
    </row>
    <row r="5993">
      <c r="F5993">
        <f>IF(DATOS!$A5993="","",DATOS!$A5993&amp;"|"&amp;DATOS!$D5993&amp;"|"&amp;DATOS!$E5993&amp;"|"&amp;DATOS!$I5993)</f>
      </c>
      <c r="G5993">
        <f>IF(DATOS!$A5993="",0,IF(CONFIG_METADATA!$B$4&lt;&gt;"OR+EX",--(DATOS!$G5993=CONFIG_METADATA!$B$4),IF(DATOS!$G5993="EX",1,IF(DATOS!$G5993="OR",--(COUNTIFS(nNIA,DATOS!$A5993,nCURSO,DATOS!$D5993,nESPEC,DATOS!$E5993,nASIG,DATOS!$I5993,nEVAL,"EX")=0),0))))</f>
      </c>
      <c r="H5993">
        <f>IF(DATOS!$G5993&lt;&gt;"EX",0,--(COUNTIFS(nNIA,DATOS!$A5993,nCURSO,DATOS!$D5993,nESPEC,DATOS!$E5993,nASIG,DATOS!$I5993,nEVAL,"OR")=0))</f>
      </c>
      <c r="I5993">
        <f>IF(DATOS!$I5993="","",IFERROR(VLOOKUP(DATOS!$I5993,CONFIG_ASIGNATURAS!$B$2:$J$91,9,FALSE()),""))</f>
      </c>
    </row>
    <row r="5994">
      <c r="F5994">
        <f>IF(DATOS!$A5994="","",DATOS!$A5994&amp;"|"&amp;DATOS!$D5994&amp;"|"&amp;DATOS!$E5994&amp;"|"&amp;DATOS!$I5994)</f>
      </c>
      <c r="G5994">
        <f>IF(DATOS!$A5994="",0,IF(CONFIG_METADATA!$B$4&lt;&gt;"OR+EX",--(DATOS!$G5994=CONFIG_METADATA!$B$4),IF(DATOS!$G5994="EX",1,IF(DATOS!$G5994="OR",--(COUNTIFS(nNIA,DATOS!$A5994,nCURSO,DATOS!$D5994,nESPEC,DATOS!$E5994,nASIG,DATOS!$I5994,nEVAL,"EX")=0),0))))</f>
      </c>
      <c r="H5994">
        <f>IF(DATOS!$G5994&lt;&gt;"EX",0,--(COUNTIFS(nNIA,DATOS!$A5994,nCURSO,DATOS!$D5994,nESPEC,DATOS!$E5994,nASIG,DATOS!$I5994,nEVAL,"OR")=0))</f>
      </c>
      <c r="I5994">
        <f>IF(DATOS!$I5994="","",IFERROR(VLOOKUP(DATOS!$I5994,CONFIG_ASIGNATURAS!$B$2:$J$91,9,FALSE()),""))</f>
      </c>
    </row>
    <row r="5995">
      <c r="F5995">
        <f>IF(DATOS!$A5995="","",DATOS!$A5995&amp;"|"&amp;DATOS!$D5995&amp;"|"&amp;DATOS!$E5995&amp;"|"&amp;DATOS!$I5995)</f>
      </c>
      <c r="G5995">
        <f>IF(DATOS!$A5995="",0,IF(CONFIG_METADATA!$B$4&lt;&gt;"OR+EX",--(DATOS!$G5995=CONFIG_METADATA!$B$4),IF(DATOS!$G5995="EX",1,IF(DATOS!$G5995="OR",--(COUNTIFS(nNIA,DATOS!$A5995,nCURSO,DATOS!$D5995,nESPEC,DATOS!$E5995,nASIG,DATOS!$I5995,nEVAL,"EX")=0),0))))</f>
      </c>
      <c r="H5995">
        <f>IF(DATOS!$G5995&lt;&gt;"EX",0,--(COUNTIFS(nNIA,DATOS!$A5995,nCURSO,DATOS!$D5995,nESPEC,DATOS!$E5995,nASIG,DATOS!$I5995,nEVAL,"OR")=0))</f>
      </c>
      <c r="I5995">
        <f>IF(DATOS!$I5995="","",IFERROR(VLOOKUP(DATOS!$I5995,CONFIG_ASIGNATURAS!$B$2:$J$91,9,FALSE()),""))</f>
      </c>
    </row>
    <row r="5996">
      <c r="F5996">
        <f>IF(DATOS!$A5996="","",DATOS!$A5996&amp;"|"&amp;DATOS!$D5996&amp;"|"&amp;DATOS!$E5996&amp;"|"&amp;DATOS!$I5996)</f>
      </c>
      <c r="G5996">
        <f>IF(DATOS!$A5996="",0,IF(CONFIG_METADATA!$B$4&lt;&gt;"OR+EX",--(DATOS!$G5996=CONFIG_METADATA!$B$4),IF(DATOS!$G5996="EX",1,IF(DATOS!$G5996="OR",--(COUNTIFS(nNIA,DATOS!$A5996,nCURSO,DATOS!$D5996,nESPEC,DATOS!$E5996,nASIG,DATOS!$I5996,nEVAL,"EX")=0),0))))</f>
      </c>
      <c r="H5996">
        <f>IF(DATOS!$G5996&lt;&gt;"EX",0,--(COUNTIFS(nNIA,DATOS!$A5996,nCURSO,DATOS!$D5996,nESPEC,DATOS!$E5996,nASIG,DATOS!$I5996,nEVAL,"OR")=0))</f>
      </c>
      <c r="I5996">
        <f>IF(DATOS!$I5996="","",IFERROR(VLOOKUP(DATOS!$I5996,CONFIG_ASIGNATURAS!$B$2:$J$91,9,FALSE()),""))</f>
      </c>
    </row>
    <row r="5997">
      <c r="F5997">
        <f>IF(DATOS!$A5997="","",DATOS!$A5997&amp;"|"&amp;DATOS!$D5997&amp;"|"&amp;DATOS!$E5997&amp;"|"&amp;DATOS!$I5997)</f>
      </c>
      <c r="G5997">
        <f>IF(DATOS!$A5997="",0,IF(CONFIG_METADATA!$B$4&lt;&gt;"OR+EX",--(DATOS!$G5997=CONFIG_METADATA!$B$4),IF(DATOS!$G5997="EX",1,IF(DATOS!$G5997="OR",--(COUNTIFS(nNIA,DATOS!$A5997,nCURSO,DATOS!$D5997,nESPEC,DATOS!$E5997,nASIG,DATOS!$I5997,nEVAL,"EX")=0),0))))</f>
      </c>
      <c r="H5997">
        <f>IF(DATOS!$G5997&lt;&gt;"EX",0,--(COUNTIFS(nNIA,DATOS!$A5997,nCURSO,DATOS!$D5997,nESPEC,DATOS!$E5997,nASIG,DATOS!$I5997,nEVAL,"OR")=0))</f>
      </c>
      <c r="I5997">
        <f>IF(DATOS!$I5997="","",IFERROR(VLOOKUP(DATOS!$I5997,CONFIG_ASIGNATURAS!$B$2:$J$91,9,FALSE()),""))</f>
      </c>
    </row>
    <row r="5998">
      <c r="F5998">
        <f>IF(DATOS!$A5998="","",DATOS!$A5998&amp;"|"&amp;DATOS!$D5998&amp;"|"&amp;DATOS!$E5998&amp;"|"&amp;DATOS!$I5998)</f>
      </c>
      <c r="G5998">
        <f>IF(DATOS!$A5998="",0,IF(CONFIG_METADATA!$B$4&lt;&gt;"OR+EX",--(DATOS!$G5998=CONFIG_METADATA!$B$4),IF(DATOS!$G5998="EX",1,IF(DATOS!$G5998="OR",--(COUNTIFS(nNIA,DATOS!$A5998,nCURSO,DATOS!$D5998,nESPEC,DATOS!$E5998,nASIG,DATOS!$I5998,nEVAL,"EX")=0),0))))</f>
      </c>
      <c r="H5998">
        <f>IF(DATOS!$G5998&lt;&gt;"EX",0,--(COUNTIFS(nNIA,DATOS!$A5998,nCURSO,DATOS!$D5998,nESPEC,DATOS!$E5998,nASIG,DATOS!$I5998,nEVAL,"OR")=0))</f>
      </c>
      <c r="I5998">
        <f>IF(DATOS!$I5998="","",IFERROR(VLOOKUP(DATOS!$I5998,CONFIG_ASIGNATURAS!$B$2:$J$91,9,FALSE()),""))</f>
      </c>
    </row>
    <row r="5999">
      <c r="F5999">
        <f>IF(DATOS!$A5999="","",DATOS!$A5999&amp;"|"&amp;DATOS!$D5999&amp;"|"&amp;DATOS!$E5999&amp;"|"&amp;DATOS!$I5999)</f>
      </c>
      <c r="G5999">
        <f>IF(DATOS!$A5999="",0,IF(CONFIG_METADATA!$B$4&lt;&gt;"OR+EX",--(DATOS!$G5999=CONFIG_METADATA!$B$4),IF(DATOS!$G5999="EX",1,IF(DATOS!$G5999="OR",--(COUNTIFS(nNIA,DATOS!$A5999,nCURSO,DATOS!$D5999,nESPEC,DATOS!$E5999,nASIG,DATOS!$I5999,nEVAL,"EX")=0),0))))</f>
      </c>
      <c r="H5999">
        <f>IF(DATOS!$G5999&lt;&gt;"EX",0,--(COUNTIFS(nNIA,DATOS!$A5999,nCURSO,DATOS!$D5999,nESPEC,DATOS!$E5999,nASIG,DATOS!$I5999,nEVAL,"OR")=0))</f>
      </c>
      <c r="I5999">
        <f>IF(DATOS!$I5999="","",IFERROR(VLOOKUP(DATOS!$I5999,CONFIG_ASIGNATURAS!$B$2:$J$91,9,FALSE()),""))</f>
      </c>
    </row>
    <row r="6000">
      <c r="F6000">
        <f>IF(DATOS!$A6000="","",DATOS!$A6000&amp;"|"&amp;DATOS!$D6000&amp;"|"&amp;DATOS!$E6000&amp;"|"&amp;DATOS!$I6000)</f>
      </c>
      <c r="G6000">
        <f>IF(DATOS!$A6000="",0,IF(CONFIG_METADATA!$B$4&lt;&gt;"OR+EX",--(DATOS!$G6000=CONFIG_METADATA!$B$4),IF(DATOS!$G6000="EX",1,IF(DATOS!$G6000="OR",--(COUNTIFS(nNIA,DATOS!$A6000,nCURSO,DATOS!$D6000,nESPEC,DATOS!$E6000,nASIG,DATOS!$I6000,nEVAL,"EX")=0),0))))</f>
      </c>
      <c r="H6000">
        <f>IF(DATOS!$G6000&lt;&gt;"EX",0,--(COUNTIFS(nNIA,DATOS!$A6000,nCURSO,DATOS!$D6000,nESPEC,DATOS!$E6000,nASIG,DATOS!$I6000,nEVAL,"OR")=0))</f>
      </c>
      <c r="I6000">
        <f>IF(DATOS!$I6000="","",IFERROR(VLOOKUP(DATOS!$I6000,CONFIG_ASIGNATURAS!$B$2:$J$91,9,FALSE()),""))</f>
      </c>
    </row>
    <row r="6001">
      <c r="F6001">
        <f>IF(DATOS!$A6001="","",DATOS!$A6001&amp;"|"&amp;DATOS!$D6001&amp;"|"&amp;DATOS!$E6001&amp;"|"&amp;DATOS!$I6001)</f>
      </c>
      <c r="G6001">
        <f>IF(DATOS!$A6001="",0,IF(CONFIG_METADATA!$B$4&lt;&gt;"OR+EX",--(DATOS!$G6001=CONFIG_METADATA!$B$4),IF(DATOS!$G6001="EX",1,IF(DATOS!$G6001="OR",--(COUNTIFS(nNIA,DATOS!$A6001,nCURSO,DATOS!$D6001,nESPEC,DATOS!$E6001,nASIG,DATOS!$I6001,nEVAL,"EX")=0),0))))</f>
      </c>
      <c r="H6001">
        <f>IF(DATOS!$G6001&lt;&gt;"EX",0,--(COUNTIFS(nNIA,DATOS!$A6001,nCURSO,DATOS!$D6001,nESPEC,DATOS!$E6001,nASIG,DATOS!$I6001,nEVAL,"OR")=0))</f>
      </c>
      <c r="I6001">
        <f>IF(DATOS!$I6001="","",IFERROR(VLOOKUP(DATOS!$I6001,CONFIG_ASIGNATURAS!$B$2:$J$91,9,FALSE()),""))</f>
      </c>
    </row>
    <row r="6002">
      <c r="F6002">
        <f>IF(DATOS!$A6002="","",DATOS!$A6002&amp;"|"&amp;DATOS!$D6002&amp;"|"&amp;DATOS!$E6002&amp;"|"&amp;DATOS!$I6002)</f>
      </c>
      <c r="G6002">
        <f>IF(DATOS!$A6002="",0,IF(CONFIG_METADATA!$B$4&lt;&gt;"OR+EX",--(DATOS!$G6002=CONFIG_METADATA!$B$4),IF(DATOS!$G6002="EX",1,IF(DATOS!$G6002="OR",--(COUNTIFS(nNIA,DATOS!$A6002,nCURSO,DATOS!$D6002,nESPEC,DATOS!$E6002,nASIG,DATOS!$I6002,nEVAL,"EX")=0),0))))</f>
      </c>
      <c r="H6002">
        <f>IF(DATOS!$G6002&lt;&gt;"EX",0,--(COUNTIFS(nNIA,DATOS!$A6002,nCURSO,DATOS!$D6002,nESPEC,DATOS!$E6002,nASIG,DATOS!$I6002,nEVAL,"OR")=0))</f>
      </c>
      <c r="I6002">
        <f>IF(DATOS!$I6002="","",IFERROR(VLOOKUP(DATOS!$I6002,CONFIG_ASIGNATURAS!$B$2:$J$91,9,FALSE()),""))</f>
      </c>
    </row>
    <row r="6003">
      <c r="F6003">
        <f>IF(DATOS!$A6003="","",DATOS!$A6003&amp;"|"&amp;DATOS!$D6003&amp;"|"&amp;DATOS!$E6003&amp;"|"&amp;DATOS!$I6003)</f>
      </c>
      <c r="G6003">
        <f>IF(DATOS!$A6003="",0,IF(CONFIG_METADATA!$B$4&lt;&gt;"OR+EX",--(DATOS!$G6003=CONFIG_METADATA!$B$4),IF(DATOS!$G6003="EX",1,IF(DATOS!$G6003="OR",--(COUNTIFS(nNIA,DATOS!$A6003,nCURSO,DATOS!$D6003,nESPEC,DATOS!$E6003,nASIG,DATOS!$I6003,nEVAL,"EX")=0),0))))</f>
      </c>
      <c r="H6003">
        <f>IF(DATOS!$G6003&lt;&gt;"EX",0,--(COUNTIFS(nNIA,DATOS!$A6003,nCURSO,DATOS!$D6003,nESPEC,DATOS!$E6003,nASIG,DATOS!$I6003,nEVAL,"OR")=0))</f>
      </c>
      <c r="I6003">
        <f>IF(DATOS!$I6003="","",IFERROR(VLOOKUP(DATOS!$I6003,CONFIG_ASIGNATURAS!$B$2:$J$91,9,FALSE()),""))</f>
      </c>
    </row>
    <row r="6004">
      <c r="F6004">
        <f>IF(DATOS!$A6004="","",DATOS!$A6004&amp;"|"&amp;DATOS!$D6004&amp;"|"&amp;DATOS!$E6004&amp;"|"&amp;DATOS!$I6004)</f>
      </c>
      <c r="G6004">
        <f>IF(DATOS!$A6004="",0,IF(CONFIG_METADATA!$B$4&lt;&gt;"OR+EX",--(DATOS!$G6004=CONFIG_METADATA!$B$4),IF(DATOS!$G6004="EX",1,IF(DATOS!$G6004="OR",--(COUNTIFS(nNIA,DATOS!$A6004,nCURSO,DATOS!$D6004,nESPEC,DATOS!$E6004,nASIG,DATOS!$I6004,nEVAL,"EX")=0),0))))</f>
      </c>
      <c r="H6004">
        <f>IF(DATOS!$G6004&lt;&gt;"EX",0,--(COUNTIFS(nNIA,DATOS!$A6004,nCURSO,DATOS!$D6004,nESPEC,DATOS!$E6004,nASIG,DATOS!$I6004,nEVAL,"OR")=0))</f>
      </c>
      <c r="I6004">
        <f>IF(DATOS!$I6004="","",IFERROR(VLOOKUP(DATOS!$I6004,CONFIG_ASIGNATURAS!$B$2:$J$91,9,FALSE()),""))</f>
      </c>
    </row>
    <row r="6005">
      <c r="F6005">
        <f>IF(DATOS!$A6005="","",DATOS!$A6005&amp;"|"&amp;DATOS!$D6005&amp;"|"&amp;DATOS!$E6005&amp;"|"&amp;DATOS!$I6005)</f>
      </c>
      <c r="G6005">
        <f>IF(DATOS!$A6005="",0,IF(CONFIG_METADATA!$B$4&lt;&gt;"OR+EX",--(DATOS!$G6005=CONFIG_METADATA!$B$4),IF(DATOS!$G6005="EX",1,IF(DATOS!$G6005="OR",--(COUNTIFS(nNIA,DATOS!$A6005,nCURSO,DATOS!$D6005,nESPEC,DATOS!$E6005,nASIG,DATOS!$I6005,nEVAL,"EX")=0),0))))</f>
      </c>
      <c r="H6005">
        <f>IF(DATOS!$G6005&lt;&gt;"EX",0,--(COUNTIFS(nNIA,DATOS!$A6005,nCURSO,DATOS!$D6005,nESPEC,DATOS!$E6005,nASIG,DATOS!$I6005,nEVAL,"OR")=0))</f>
      </c>
      <c r="I6005">
        <f>IF(DATOS!$I6005="","",IFERROR(VLOOKUP(DATOS!$I6005,CONFIG_ASIGNATURAS!$B$2:$J$91,9,FALSE()),""))</f>
      </c>
    </row>
    <row r="6006">
      <c r="F6006">
        <f>IF(DATOS!$A6006="","",DATOS!$A6006&amp;"|"&amp;DATOS!$D6006&amp;"|"&amp;DATOS!$E6006&amp;"|"&amp;DATOS!$I6006)</f>
      </c>
      <c r="G6006">
        <f>IF(DATOS!$A6006="",0,IF(CONFIG_METADATA!$B$4&lt;&gt;"OR+EX",--(DATOS!$G6006=CONFIG_METADATA!$B$4),IF(DATOS!$G6006="EX",1,IF(DATOS!$G6006="OR",--(COUNTIFS(nNIA,DATOS!$A6006,nCURSO,DATOS!$D6006,nESPEC,DATOS!$E6006,nASIG,DATOS!$I6006,nEVAL,"EX")=0),0))))</f>
      </c>
      <c r="H6006">
        <f>IF(DATOS!$G6006&lt;&gt;"EX",0,--(COUNTIFS(nNIA,DATOS!$A6006,nCURSO,DATOS!$D6006,nESPEC,DATOS!$E6006,nASIG,DATOS!$I6006,nEVAL,"OR")=0))</f>
      </c>
      <c r="I6006">
        <f>IF(DATOS!$I6006="","",IFERROR(VLOOKUP(DATOS!$I6006,CONFIG_ASIGNATURAS!$B$2:$J$91,9,FALSE()),""))</f>
      </c>
    </row>
    <row r="6007">
      <c r="F6007">
        <f>IF(DATOS!$A6007="","",DATOS!$A6007&amp;"|"&amp;DATOS!$D6007&amp;"|"&amp;DATOS!$E6007&amp;"|"&amp;DATOS!$I6007)</f>
      </c>
      <c r="G6007">
        <f>IF(DATOS!$A6007="",0,IF(CONFIG_METADATA!$B$4&lt;&gt;"OR+EX",--(DATOS!$G6007=CONFIG_METADATA!$B$4),IF(DATOS!$G6007="EX",1,IF(DATOS!$G6007="OR",--(COUNTIFS(nNIA,DATOS!$A6007,nCURSO,DATOS!$D6007,nESPEC,DATOS!$E6007,nASIG,DATOS!$I6007,nEVAL,"EX")=0),0))))</f>
      </c>
      <c r="H6007">
        <f>IF(DATOS!$G6007&lt;&gt;"EX",0,--(COUNTIFS(nNIA,DATOS!$A6007,nCURSO,DATOS!$D6007,nESPEC,DATOS!$E6007,nASIG,DATOS!$I6007,nEVAL,"OR")=0))</f>
      </c>
      <c r="I6007">
        <f>IF(DATOS!$I6007="","",IFERROR(VLOOKUP(DATOS!$I6007,CONFIG_ASIGNATURAS!$B$2:$J$91,9,FALSE()),""))</f>
      </c>
    </row>
    <row r="6008">
      <c r="F6008">
        <f>IF(DATOS!$A6008="","",DATOS!$A6008&amp;"|"&amp;DATOS!$D6008&amp;"|"&amp;DATOS!$E6008&amp;"|"&amp;DATOS!$I6008)</f>
      </c>
      <c r="G6008">
        <f>IF(DATOS!$A6008="",0,IF(CONFIG_METADATA!$B$4&lt;&gt;"OR+EX",--(DATOS!$G6008=CONFIG_METADATA!$B$4),IF(DATOS!$G6008="EX",1,IF(DATOS!$G6008="OR",--(COUNTIFS(nNIA,DATOS!$A6008,nCURSO,DATOS!$D6008,nESPEC,DATOS!$E6008,nASIG,DATOS!$I6008,nEVAL,"EX")=0),0))))</f>
      </c>
      <c r="H6008">
        <f>IF(DATOS!$G6008&lt;&gt;"EX",0,--(COUNTIFS(nNIA,DATOS!$A6008,nCURSO,DATOS!$D6008,nESPEC,DATOS!$E6008,nASIG,DATOS!$I6008,nEVAL,"OR")=0))</f>
      </c>
      <c r="I6008">
        <f>IF(DATOS!$I6008="","",IFERROR(VLOOKUP(DATOS!$I6008,CONFIG_ASIGNATURAS!$B$2:$J$91,9,FALSE()),""))</f>
      </c>
    </row>
    <row r="6009">
      <c r="F6009">
        <f>IF(DATOS!$A6009="","",DATOS!$A6009&amp;"|"&amp;DATOS!$D6009&amp;"|"&amp;DATOS!$E6009&amp;"|"&amp;DATOS!$I6009)</f>
      </c>
      <c r="G6009">
        <f>IF(DATOS!$A6009="",0,IF(CONFIG_METADATA!$B$4&lt;&gt;"OR+EX",--(DATOS!$G6009=CONFIG_METADATA!$B$4),IF(DATOS!$G6009="EX",1,IF(DATOS!$G6009="OR",--(COUNTIFS(nNIA,DATOS!$A6009,nCURSO,DATOS!$D6009,nESPEC,DATOS!$E6009,nASIG,DATOS!$I6009,nEVAL,"EX")=0),0))))</f>
      </c>
      <c r="H6009">
        <f>IF(DATOS!$G6009&lt;&gt;"EX",0,--(COUNTIFS(nNIA,DATOS!$A6009,nCURSO,DATOS!$D6009,nESPEC,DATOS!$E6009,nASIG,DATOS!$I6009,nEVAL,"OR")=0))</f>
      </c>
      <c r="I6009">
        <f>IF(DATOS!$I6009="","",IFERROR(VLOOKUP(DATOS!$I6009,CONFIG_ASIGNATURAS!$B$2:$J$91,9,FALSE()),""))</f>
      </c>
    </row>
    <row r="6010">
      <c r="F6010">
        <f>IF(DATOS!$A6010="","",DATOS!$A6010&amp;"|"&amp;DATOS!$D6010&amp;"|"&amp;DATOS!$E6010&amp;"|"&amp;DATOS!$I6010)</f>
      </c>
      <c r="G6010">
        <f>IF(DATOS!$A6010="",0,IF(CONFIG_METADATA!$B$4&lt;&gt;"OR+EX",--(DATOS!$G6010=CONFIG_METADATA!$B$4),IF(DATOS!$G6010="EX",1,IF(DATOS!$G6010="OR",--(COUNTIFS(nNIA,DATOS!$A6010,nCURSO,DATOS!$D6010,nESPEC,DATOS!$E6010,nASIG,DATOS!$I6010,nEVAL,"EX")=0),0))))</f>
      </c>
      <c r="H6010">
        <f>IF(DATOS!$G6010&lt;&gt;"EX",0,--(COUNTIFS(nNIA,DATOS!$A6010,nCURSO,DATOS!$D6010,nESPEC,DATOS!$E6010,nASIG,DATOS!$I6010,nEVAL,"OR")=0))</f>
      </c>
      <c r="I6010">
        <f>IF(DATOS!$I6010="","",IFERROR(VLOOKUP(DATOS!$I6010,CONFIG_ASIGNATURAS!$B$2:$J$91,9,FALSE()),""))</f>
      </c>
    </row>
    <row r="6011">
      <c r="F6011">
        <f>IF(DATOS!$A6011="","",DATOS!$A6011&amp;"|"&amp;DATOS!$D6011&amp;"|"&amp;DATOS!$E6011&amp;"|"&amp;DATOS!$I6011)</f>
      </c>
      <c r="G6011">
        <f>IF(DATOS!$A6011="",0,IF(CONFIG_METADATA!$B$4&lt;&gt;"OR+EX",--(DATOS!$G6011=CONFIG_METADATA!$B$4),IF(DATOS!$G6011="EX",1,IF(DATOS!$G6011="OR",--(COUNTIFS(nNIA,DATOS!$A6011,nCURSO,DATOS!$D6011,nESPEC,DATOS!$E6011,nASIG,DATOS!$I6011,nEVAL,"EX")=0),0))))</f>
      </c>
      <c r="H6011">
        <f>IF(DATOS!$G6011&lt;&gt;"EX",0,--(COUNTIFS(nNIA,DATOS!$A6011,nCURSO,DATOS!$D6011,nESPEC,DATOS!$E6011,nASIG,DATOS!$I6011,nEVAL,"OR")=0))</f>
      </c>
      <c r="I6011">
        <f>IF(DATOS!$I6011="","",IFERROR(VLOOKUP(DATOS!$I6011,CONFIG_ASIGNATURAS!$B$2:$J$91,9,FALSE()),""))</f>
      </c>
    </row>
    <row r="6012">
      <c r="F6012">
        <f>IF(DATOS!$A6012="","",DATOS!$A6012&amp;"|"&amp;DATOS!$D6012&amp;"|"&amp;DATOS!$E6012&amp;"|"&amp;DATOS!$I6012)</f>
      </c>
      <c r="G6012">
        <f>IF(DATOS!$A6012="",0,IF(CONFIG_METADATA!$B$4&lt;&gt;"OR+EX",--(DATOS!$G6012=CONFIG_METADATA!$B$4),IF(DATOS!$G6012="EX",1,IF(DATOS!$G6012="OR",--(COUNTIFS(nNIA,DATOS!$A6012,nCURSO,DATOS!$D6012,nESPEC,DATOS!$E6012,nASIG,DATOS!$I6012,nEVAL,"EX")=0),0))))</f>
      </c>
      <c r="H6012">
        <f>IF(DATOS!$G6012&lt;&gt;"EX",0,--(COUNTIFS(nNIA,DATOS!$A6012,nCURSO,DATOS!$D6012,nESPEC,DATOS!$E6012,nASIG,DATOS!$I6012,nEVAL,"OR")=0))</f>
      </c>
      <c r="I6012">
        <f>IF(DATOS!$I6012="","",IFERROR(VLOOKUP(DATOS!$I6012,CONFIG_ASIGNATURAS!$B$2:$J$91,9,FALSE()),""))</f>
      </c>
    </row>
    <row r="6013">
      <c r="F6013">
        <f>IF(DATOS!$A6013="","",DATOS!$A6013&amp;"|"&amp;DATOS!$D6013&amp;"|"&amp;DATOS!$E6013&amp;"|"&amp;DATOS!$I6013)</f>
      </c>
      <c r="G6013">
        <f>IF(DATOS!$A6013="",0,IF(CONFIG_METADATA!$B$4&lt;&gt;"OR+EX",--(DATOS!$G6013=CONFIG_METADATA!$B$4),IF(DATOS!$G6013="EX",1,IF(DATOS!$G6013="OR",--(COUNTIFS(nNIA,DATOS!$A6013,nCURSO,DATOS!$D6013,nESPEC,DATOS!$E6013,nASIG,DATOS!$I6013,nEVAL,"EX")=0),0))))</f>
      </c>
      <c r="H6013">
        <f>IF(DATOS!$G6013&lt;&gt;"EX",0,--(COUNTIFS(nNIA,DATOS!$A6013,nCURSO,DATOS!$D6013,nESPEC,DATOS!$E6013,nASIG,DATOS!$I6013,nEVAL,"OR")=0))</f>
      </c>
      <c r="I6013">
        <f>IF(DATOS!$I6013="","",IFERROR(VLOOKUP(DATOS!$I6013,CONFIG_ASIGNATURAS!$B$2:$J$91,9,FALSE()),""))</f>
      </c>
    </row>
    <row r="6014">
      <c r="F6014">
        <f>IF(DATOS!$A6014="","",DATOS!$A6014&amp;"|"&amp;DATOS!$D6014&amp;"|"&amp;DATOS!$E6014&amp;"|"&amp;DATOS!$I6014)</f>
      </c>
      <c r="G6014">
        <f>IF(DATOS!$A6014="",0,IF(CONFIG_METADATA!$B$4&lt;&gt;"OR+EX",--(DATOS!$G6014=CONFIG_METADATA!$B$4),IF(DATOS!$G6014="EX",1,IF(DATOS!$G6014="OR",--(COUNTIFS(nNIA,DATOS!$A6014,nCURSO,DATOS!$D6014,nESPEC,DATOS!$E6014,nASIG,DATOS!$I6014,nEVAL,"EX")=0),0))))</f>
      </c>
      <c r="H6014">
        <f>IF(DATOS!$G6014&lt;&gt;"EX",0,--(COUNTIFS(nNIA,DATOS!$A6014,nCURSO,DATOS!$D6014,nESPEC,DATOS!$E6014,nASIG,DATOS!$I6014,nEVAL,"OR")=0))</f>
      </c>
      <c r="I6014">
        <f>IF(DATOS!$I6014="","",IFERROR(VLOOKUP(DATOS!$I6014,CONFIG_ASIGNATURAS!$B$2:$J$91,9,FALSE()),""))</f>
      </c>
    </row>
    <row r="6015">
      <c r="F6015">
        <f>IF(DATOS!$A6015="","",DATOS!$A6015&amp;"|"&amp;DATOS!$D6015&amp;"|"&amp;DATOS!$E6015&amp;"|"&amp;DATOS!$I6015)</f>
      </c>
      <c r="G6015">
        <f>IF(DATOS!$A6015="",0,IF(CONFIG_METADATA!$B$4&lt;&gt;"OR+EX",--(DATOS!$G6015=CONFIG_METADATA!$B$4),IF(DATOS!$G6015="EX",1,IF(DATOS!$G6015="OR",--(COUNTIFS(nNIA,DATOS!$A6015,nCURSO,DATOS!$D6015,nESPEC,DATOS!$E6015,nASIG,DATOS!$I6015,nEVAL,"EX")=0),0))))</f>
      </c>
      <c r="H6015">
        <f>IF(DATOS!$G6015&lt;&gt;"EX",0,--(COUNTIFS(nNIA,DATOS!$A6015,nCURSO,DATOS!$D6015,nESPEC,DATOS!$E6015,nASIG,DATOS!$I6015,nEVAL,"OR")=0))</f>
      </c>
      <c r="I6015">
        <f>IF(DATOS!$I6015="","",IFERROR(VLOOKUP(DATOS!$I6015,CONFIG_ASIGNATURAS!$B$2:$J$91,9,FALSE()),""))</f>
      </c>
    </row>
    <row r="6016">
      <c r="F6016">
        <f>IF(DATOS!$A6016="","",DATOS!$A6016&amp;"|"&amp;DATOS!$D6016&amp;"|"&amp;DATOS!$E6016&amp;"|"&amp;DATOS!$I6016)</f>
      </c>
      <c r="G6016">
        <f>IF(DATOS!$A6016="",0,IF(CONFIG_METADATA!$B$4&lt;&gt;"OR+EX",--(DATOS!$G6016=CONFIG_METADATA!$B$4),IF(DATOS!$G6016="EX",1,IF(DATOS!$G6016="OR",--(COUNTIFS(nNIA,DATOS!$A6016,nCURSO,DATOS!$D6016,nESPEC,DATOS!$E6016,nASIG,DATOS!$I6016,nEVAL,"EX")=0),0))))</f>
      </c>
      <c r="H6016">
        <f>IF(DATOS!$G6016&lt;&gt;"EX",0,--(COUNTIFS(nNIA,DATOS!$A6016,nCURSO,DATOS!$D6016,nESPEC,DATOS!$E6016,nASIG,DATOS!$I6016,nEVAL,"OR")=0))</f>
      </c>
      <c r="I6016">
        <f>IF(DATOS!$I6016="","",IFERROR(VLOOKUP(DATOS!$I6016,CONFIG_ASIGNATURAS!$B$2:$J$91,9,FALSE()),""))</f>
      </c>
    </row>
    <row r="6017">
      <c r="F6017">
        <f>IF(DATOS!$A6017="","",DATOS!$A6017&amp;"|"&amp;DATOS!$D6017&amp;"|"&amp;DATOS!$E6017&amp;"|"&amp;DATOS!$I6017)</f>
      </c>
      <c r="G6017">
        <f>IF(DATOS!$A6017="",0,IF(CONFIG_METADATA!$B$4&lt;&gt;"OR+EX",--(DATOS!$G6017=CONFIG_METADATA!$B$4),IF(DATOS!$G6017="EX",1,IF(DATOS!$G6017="OR",--(COUNTIFS(nNIA,DATOS!$A6017,nCURSO,DATOS!$D6017,nESPEC,DATOS!$E6017,nASIG,DATOS!$I6017,nEVAL,"EX")=0),0))))</f>
      </c>
      <c r="H6017">
        <f>IF(DATOS!$G6017&lt;&gt;"EX",0,--(COUNTIFS(nNIA,DATOS!$A6017,nCURSO,DATOS!$D6017,nESPEC,DATOS!$E6017,nASIG,DATOS!$I6017,nEVAL,"OR")=0))</f>
      </c>
      <c r="I6017">
        <f>IF(DATOS!$I6017="","",IFERROR(VLOOKUP(DATOS!$I6017,CONFIG_ASIGNATURAS!$B$2:$J$91,9,FALSE()),""))</f>
      </c>
    </row>
    <row r="6018">
      <c r="F6018">
        <f>IF(DATOS!$A6018="","",DATOS!$A6018&amp;"|"&amp;DATOS!$D6018&amp;"|"&amp;DATOS!$E6018&amp;"|"&amp;DATOS!$I6018)</f>
      </c>
      <c r="G6018">
        <f>IF(DATOS!$A6018="",0,IF(CONFIG_METADATA!$B$4&lt;&gt;"OR+EX",--(DATOS!$G6018=CONFIG_METADATA!$B$4),IF(DATOS!$G6018="EX",1,IF(DATOS!$G6018="OR",--(COUNTIFS(nNIA,DATOS!$A6018,nCURSO,DATOS!$D6018,nESPEC,DATOS!$E6018,nASIG,DATOS!$I6018,nEVAL,"EX")=0),0))))</f>
      </c>
      <c r="H6018">
        <f>IF(DATOS!$G6018&lt;&gt;"EX",0,--(COUNTIFS(nNIA,DATOS!$A6018,nCURSO,DATOS!$D6018,nESPEC,DATOS!$E6018,nASIG,DATOS!$I6018,nEVAL,"OR")=0))</f>
      </c>
      <c r="I6018">
        <f>IF(DATOS!$I6018="","",IFERROR(VLOOKUP(DATOS!$I6018,CONFIG_ASIGNATURAS!$B$2:$J$91,9,FALSE()),""))</f>
      </c>
    </row>
    <row r="6019">
      <c r="F6019">
        <f>IF(DATOS!$A6019="","",DATOS!$A6019&amp;"|"&amp;DATOS!$D6019&amp;"|"&amp;DATOS!$E6019&amp;"|"&amp;DATOS!$I6019)</f>
      </c>
      <c r="G6019">
        <f>IF(DATOS!$A6019="",0,IF(CONFIG_METADATA!$B$4&lt;&gt;"OR+EX",--(DATOS!$G6019=CONFIG_METADATA!$B$4),IF(DATOS!$G6019="EX",1,IF(DATOS!$G6019="OR",--(COUNTIFS(nNIA,DATOS!$A6019,nCURSO,DATOS!$D6019,nESPEC,DATOS!$E6019,nASIG,DATOS!$I6019,nEVAL,"EX")=0),0))))</f>
      </c>
      <c r="H6019">
        <f>IF(DATOS!$G6019&lt;&gt;"EX",0,--(COUNTIFS(nNIA,DATOS!$A6019,nCURSO,DATOS!$D6019,nESPEC,DATOS!$E6019,nASIG,DATOS!$I6019,nEVAL,"OR")=0))</f>
      </c>
      <c r="I6019">
        <f>IF(DATOS!$I6019="","",IFERROR(VLOOKUP(DATOS!$I6019,CONFIG_ASIGNATURAS!$B$2:$J$91,9,FALSE()),""))</f>
      </c>
    </row>
    <row r="6020">
      <c r="F6020">
        <f>IF(DATOS!$A6020="","",DATOS!$A6020&amp;"|"&amp;DATOS!$D6020&amp;"|"&amp;DATOS!$E6020&amp;"|"&amp;DATOS!$I6020)</f>
      </c>
      <c r="G6020">
        <f>IF(DATOS!$A6020="",0,IF(CONFIG_METADATA!$B$4&lt;&gt;"OR+EX",--(DATOS!$G6020=CONFIG_METADATA!$B$4),IF(DATOS!$G6020="EX",1,IF(DATOS!$G6020="OR",--(COUNTIFS(nNIA,DATOS!$A6020,nCURSO,DATOS!$D6020,nESPEC,DATOS!$E6020,nASIG,DATOS!$I6020,nEVAL,"EX")=0),0))))</f>
      </c>
      <c r="H6020">
        <f>IF(DATOS!$G6020&lt;&gt;"EX",0,--(COUNTIFS(nNIA,DATOS!$A6020,nCURSO,DATOS!$D6020,nESPEC,DATOS!$E6020,nASIG,DATOS!$I6020,nEVAL,"OR")=0))</f>
      </c>
      <c r="I6020">
        <f>IF(DATOS!$I6020="","",IFERROR(VLOOKUP(DATOS!$I6020,CONFIG_ASIGNATURAS!$B$2:$J$91,9,FALSE()),""))</f>
      </c>
    </row>
    <row r="6021">
      <c r="F6021">
        <f>IF(DATOS!$A6021="","",DATOS!$A6021&amp;"|"&amp;DATOS!$D6021&amp;"|"&amp;DATOS!$E6021&amp;"|"&amp;DATOS!$I6021)</f>
      </c>
      <c r="G6021">
        <f>IF(DATOS!$A6021="",0,IF(CONFIG_METADATA!$B$4&lt;&gt;"OR+EX",--(DATOS!$G6021=CONFIG_METADATA!$B$4),IF(DATOS!$G6021="EX",1,IF(DATOS!$G6021="OR",--(COUNTIFS(nNIA,DATOS!$A6021,nCURSO,DATOS!$D6021,nESPEC,DATOS!$E6021,nASIG,DATOS!$I6021,nEVAL,"EX")=0),0))))</f>
      </c>
      <c r="H6021">
        <f>IF(DATOS!$G6021&lt;&gt;"EX",0,--(COUNTIFS(nNIA,DATOS!$A6021,nCURSO,DATOS!$D6021,nESPEC,DATOS!$E6021,nASIG,DATOS!$I6021,nEVAL,"OR")=0))</f>
      </c>
      <c r="I6021">
        <f>IF(DATOS!$I6021="","",IFERROR(VLOOKUP(DATOS!$I6021,CONFIG_ASIGNATURAS!$B$2:$J$91,9,FALSE()),""))</f>
      </c>
    </row>
    <row r="6022">
      <c r="F6022">
        <f>IF(DATOS!$A6022="","",DATOS!$A6022&amp;"|"&amp;DATOS!$D6022&amp;"|"&amp;DATOS!$E6022&amp;"|"&amp;DATOS!$I6022)</f>
      </c>
      <c r="G6022">
        <f>IF(DATOS!$A6022="",0,IF(CONFIG_METADATA!$B$4&lt;&gt;"OR+EX",--(DATOS!$G6022=CONFIG_METADATA!$B$4),IF(DATOS!$G6022="EX",1,IF(DATOS!$G6022="OR",--(COUNTIFS(nNIA,DATOS!$A6022,nCURSO,DATOS!$D6022,nESPEC,DATOS!$E6022,nASIG,DATOS!$I6022,nEVAL,"EX")=0),0))))</f>
      </c>
      <c r="H6022">
        <f>IF(DATOS!$G6022&lt;&gt;"EX",0,--(COUNTIFS(nNIA,DATOS!$A6022,nCURSO,DATOS!$D6022,nESPEC,DATOS!$E6022,nASIG,DATOS!$I6022,nEVAL,"OR")=0))</f>
      </c>
      <c r="I6022">
        <f>IF(DATOS!$I6022="","",IFERROR(VLOOKUP(DATOS!$I6022,CONFIG_ASIGNATURAS!$B$2:$J$91,9,FALSE()),""))</f>
      </c>
    </row>
    <row r="6023">
      <c r="F6023">
        <f>IF(DATOS!$A6023="","",DATOS!$A6023&amp;"|"&amp;DATOS!$D6023&amp;"|"&amp;DATOS!$E6023&amp;"|"&amp;DATOS!$I6023)</f>
      </c>
      <c r="G6023">
        <f>IF(DATOS!$A6023="",0,IF(CONFIG_METADATA!$B$4&lt;&gt;"OR+EX",--(DATOS!$G6023=CONFIG_METADATA!$B$4),IF(DATOS!$G6023="EX",1,IF(DATOS!$G6023="OR",--(COUNTIFS(nNIA,DATOS!$A6023,nCURSO,DATOS!$D6023,nESPEC,DATOS!$E6023,nASIG,DATOS!$I6023,nEVAL,"EX")=0),0))))</f>
      </c>
      <c r="H6023">
        <f>IF(DATOS!$G6023&lt;&gt;"EX",0,--(COUNTIFS(nNIA,DATOS!$A6023,nCURSO,DATOS!$D6023,nESPEC,DATOS!$E6023,nASIG,DATOS!$I6023,nEVAL,"OR")=0))</f>
      </c>
      <c r="I6023">
        <f>IF(DATOS!$I6023="","",IFERROR(VLOOKUP(DATOS!$I6023,CONFIG_ASIGNATURAS!$B$2:$J$91,9,FALSE()),""))</f>
      </c>
    </row>
    <row r="6024">
      <c r="F6024">
        <f>IF(DATOS!$A6024="","",DATOS!$A6024&amp;"|"&amp;DATOS!$D6024&amp;"|"&amp;DATOS!$E6024&amp;"|"&amp;DATOS!$I6024)</f>
      </c>
      <c r="G6024">
        <f>IF(DATOS!$A6024="",0,IF(CONFIG_METADATA!$B$4&lt;&gt;"OR+EX",--(DATOS!$G6024=CONFIG_METADATA!$B$4),IF(DATOS!$G6024="EX",1,IF(DATOS!$G6024="OR",--(COUNTIFS(nNIA,DATOS!$A6024,nCURSO,DATOS!$D6024,nESPEC,DATOS!$E6024,nASIG,DATOS!$I6024,nEVAL,"EX")=0),0))))</f>
      </c>
      <c r="H6024">
        <f>IF(DATOS!$G6024&lt;&gt;"EX",0,--(COUNTIFS(nNIA,DATOS!$A6024,nCURSO,DATOS!$D6024,nESPEC,DATOS!$E6024,nASIG,DATOS!$I6024,nEVAL,"OR")=0))</f>
      </c>
      <c r="I6024">
        <f>IF(DATOS!$I6024="","",IFERROR(VLOOKUP(DATOS!$I6024,CONFIG_ASIGNATURAS!$B$2:$J$91,9,FALSE()),""))</f>
      </c>
    </row>
    <row r="6025">
      <c r="F6025">
        <f>IF(DATOS!$A6025="","",DATOS!$A6025&amp;"|"&amp;DATOS!$D6025&amp;"|"&amp;DATOS!$E6025&amp;"|"&amp;DATOS!$I6025)</f>
      </c>
      <c r="G6025">
        <f>IF(DATOS!$A6025="",0,IF(CONFIG_METADATA!$B$4&lt;&gt;"OR+EX",--(DATOS!$G6025=CONFIG_METADATA!$B$4),IF(DATOS!$G6025="EX",1,IF(DATOS!$G6025="OR",--(COUNTIFS(nNIA,DATOS!$A6025,nCURSO,DATOS!$D6025,nESPEC,DATOS!$E6025,nASIG,DATOS!$I6025,nEVAL,"EX")=0),0))))</f>
      </c>
      <c r="H6025">
        <f>IF(DATOS!$G6025&lt;&gt;"EX",0,--(COUNTIFS(nNIA,DATOS!$A6025,nCURSO,DATOS!$D6025,nESPEC,DATOS!$E6025,nASIG,DATOS!$I6025,nEVAL,"OR")=0))</f>
      </c>
      <c r="I6025">
        <f>IF(DATOS!$I6025="","",IFERROR(VLOOKUP(DATOS!$I6025,CONFIG_ASIGNATURAS!$B$2:$J$91,9,FALSE()),""))</f>
      </c>
    </row>
    <row r="6026">
      <c r="F6026">
        <f>IF(DATOS!$A6026="","",DATOS!$A6026&amp;"|"&amp;DATOS!$D6026&amp;"|"&amp;DATOS!$E6026&amp;"|"&amp;DATOS!$I6026)</f>
      </c>
      <c r="G6026">
        <f>IF(DATOS!$A6026="",0,IF(CONFIG_METADATA!$B$4&lt;&gt;"OR+EX",--(DATOS!$G6026=CONFIG_METADATA!$B$4),IF(DATOS!$G6026="EX",1,IF(DATOS!$G6026="OR",--(COUNTIFS(nNIA,DATOS!$A6026,nCURSO,DATOS!$D6026,nESPEC,DATOS!$E6026,nASIG,DATOS!$I6026,nEVAL,"EX")=0),0))))</f>
      </c>
      <c r="H6026">
        <f>IF(DATOS!$G6026&lt;&gt;"EX",0,--(COUNTIFS(nNIA,DATOS!$A6026,nCURSO,DATOS!$D6026,nESPEC,DATOS!$E6026,nASIG,DATOS!$I6026,nEVAL,"OR")=0))</f>
      </c>
      <c r="I6026">
        <f>IF(DATOS!$I6026="","",IFERROR(VLOOKUP(DATOS!$I6026,CONFIG_ASIGNATURAS!$B$2:$J$91,9,FALSE()),""))</f>
      </c>
    </row>
    <row r="6027">
      <c r="F6027">
        <f>IF(DATOS!$A6027="","",DATOS!$A6027&amp;"|"&amp;DATOS!$D6027&amp;"|"&amp;DATOS!$E6027&amp;"|"&amp;DATOS!$I6027)</f>
      </c>
      <c r="G6027">
        <f>IF(DATOS!$A6027="",0,IF(CONFIG_METADATA!$B$4&lt;&gt;"OR+EX",--(DATOS!$G6027=CONFIG_METADATA!$B$4),IF(DATOS!$G6027="EX",1,IF(DATOS!$G6027="OR",--(COUNTIFS(nNIA,DATOS!$A6027,nCURSO,DATOS!$D6027,nESPEC,DATOS!$E6027,nASIG,DATOS!$I6027,nEVAL,"EX")=0),0))))</f>
      </c>
      <c r="H6027">
        <f>IF(DATOS!$G6027&lt;&gt;"EX",0,--(COUNTIFS(nNIA,DATOS!$A6027,nCURSO,DATOS!$D6027,nESPEC,DATOS!$E6027,nASIG,DATOS!$I6027,nEVAL,"OR")=0))</f>
      </c>
      <c r="I6027">
        <f>IF(DATOS!$I6027="","",IFERROR(VLOOKUP(DATOS!$I6027,CONFIG_ASIGNATURAS!$B$2:$J$91,9,FALSE()),""))</f>
      </c>
    </row>
    <row r="6028">
      <c r="F6028">
        <f>IF(DATOS!$A6028="","",DATOS!$A6028&amp;"|"&amp;DATOS!$D6028&amp;"|"&amp;DATOS!$E6028&amp;"|"&amp;DATOS!$I6028)</f>
      </c>
      <c r="G6028">
        <f>IF(DATOS!$A6028="",0,IF(CONFIG_METADATA!$B$4&lt;&gt;"OR+EX",--(DATOS!$G6028=CONFIG_METADATA!$B$4),IF(DATOS!$G6028="EX",1,IF(DATOS!$G6028="OR",--(COUNTIFS(nNIA,DATOS!$A6028,nCURSO,DATOS!$D6028,nESPEC,DATOS!$E6028,nASIG,DATOS!$I6028,nEVAL,"EX")=0),0))))</f>
      </c>
      <c r="H6028">
        <f>IF(DATOS!$G6028&lt;&gt;"EX",0,--(COUNTIFS(nNIA,DATOS!$A6028,nCURSO,DATOS!$D6028,nESPEC,DATOS!$E6028,nASIG,DATOS!$I6028,nEVAL,"OR")=0))</f>
      </c>
      <c r="I6028">
        <f>IF(DATOS!$I6028="","",IFERROR(VLOOKUP(DATOS!$I6028,CONFIG_ASIGNATURAS!$B$2:$J$91,9,FALSE()),""))</f>
      </c>
    </row>
    <row r="6029">
      <c r="F6029">
        <f>IF(DATOS!$A6029="","",DATOS!$A6029&amp;"|"&amp;DATOS!$D6029&amp;"|"&amp;DATOS!$E6029&amp;"|"&amp;DATOS!$I6029)</f>
      </c>
      <c r="G6029">
        <f>IF(DATOS!$A6029="",0,IF(CONFIG_METADATA!$B$4&lt;&gt;"OR+EX",--(DATOS!$G6029=CONFIG_METADATA!$B$4),IF(DATOS!$G6029="EX",1,IF(DATOS!$G6029="OR",--(COUNTIFS(nNIA,DATOS!$A6029,nCURSO,DATOS!$D6029,nESPEC,DATOS!$E6029,nASIG,DATOS!$I6029,nEVAL,"EX")=0),0))))</f>
      </c>
      <c r="H6029">
        <f>IF(DATOS!$G6029&lt;&gt;"EX",0,--(COUNTIFS(nNIA,DATOS!$A6029,nCURSO,DATOS!$D6029,nESPEC,DATOS!$E6029,nASIG,DATOS!$I6029,nEVAL,"OR")=0))</f>
      </c>
      <c r="I6029">
        <f>IF(DATOS!$I6029="","",IFERROR(VLOOKUP(DATOS!$I6029,CONFIG_ASIGNATURAS!$B$2:$J$91,9,FALSE()),""))</f>
      </c>
    </row>
    <row r="6030">
      <c r="F6030">
        <f>IF(DATOS!$A6030="","",DATOS!$A6030&amp;"|"&amp;DATOS!$D6030&amp;"|"&amp;DATOS!$E6030&amp;"|"&amp;DATOS!$I6030)</f>
      </c>
      <c r="G6030">
        <f>IF(DATOS!$A6030="",0,IF(CONFIG_METADATA!$B$4&lt;&gt;"OR+EX",--(DATOS!$G6030=CONFIG_METADATA!$B$4),IF(DATOS!$G6030="EX",1,IF(DATOS!$G6030="OR",--(COUNTIFS(nNIA,DATOS!$A6030,nCURSO,DATOS!$D6030,nESPEC,DATOS!$E6030,nASIG,DATOS!$I6030,nEVAL,"EX")=0),0))))</f>
      </c>
      <c r="H6030">
        <f>IF(DATOS!$G6030&lt;&gt;"EX",0,--(COUNTIFS(nNIA,DATOS!$A6030,nCURSO,DATOS!$D6030,nESPEC,DATOS!$E6030,nASIG,DATOS!$I6030,nEVAL,"OR")=0))</f>
      </c>
      <c r="I6030">
        <f>IF(DATOS!$I6030="","",IFERROR(VLOOKUP(DATOS!$I6030,CONFIG_ASIGNATURAS!$B$2:$J$91,9,FALSE()),""))</f>
      </c>
    </row>
    <row r="6031">
      <c r="F6031">
        <f>IF(DATOS!$A6031="","",DATOS!$A6031&amp;"|"&amp;DATOS!$D6031&amp;"|"&amp;DATOS!$E6031&amp;"|"&amp;DATOS!$I6031)</f>
      </c>
      <c r="G6031">
        <f>IF(DATOS!$A6031="",0,IF(CONFIG_METADATA!$B$4&lt;&gt;"OR+EX",--(DATOS!$G6031=CONFIG_METADATA!$B$4),IF(DATOS!$G6031="EX",1,IF(DATOS!$G6031="OR",--(COUNTIFS(nNIA,DATOS!$A6031,nCURSO,DATOS!$D6031,nESPEC,DATOS!$E6031,nASIG,DATOS!$I6031,nEVAL,"EX")=0),0))))</f>
      </c>
      <c r="H6031">
        <f>IF(DATOS!$G6031&lt;&gt;"EX",0,--(COUNTIFS(nNIA,DATOS!$A6031,nCURSO,DATOS!$D6031,nESPEC,DATOS!$E6031,nASIG,DATOS!$I6031,nEVAL,"OR")=0))</f>
      </c>
      <c r="I6031">
        <f>IF(DATOS!$I6031="","",IFERROR(VLOOKUP(DATOS!$I6031,CONFIG_ASIGNATURAS!$B$2:$J$91,9,FALSE()),""))</f>
      </c>
    </row>
    <row r="6032">
      <c r="F6032">
        <f>IF(DATOS!$A6032="","",DATOS!$A6032&amp;"|"&amp;DATOS!$D6032&amp;"|"&amp;DATOS!$E6032&amp;"|"&amp;DATOS!$I6032)</f>
      </c>
      <c r="G6032">
        <f>IF(DATOS!$A6032="",0,IF(CONFIG_METADATA!$B$4&lt;&gt;"OR+EX",--(DATOS!$G6032=CONFIG_METADATA!$B$4),IF(DATOS!$G6032="EX",1,IF(DATOS!$G6032="OR",--(COUNTIFS(nNIA,DATOS!$A6032,nCURSO,DATOS!$D6032,nESPEC,DATOS!$E6032,nASIG,DATOS!$I6032,nEVAL,"EX")=0),0))))</f>
      </c>
      <c r="H6032">
        <f>IF(DATOS!$G6032&lt;&gt;"EX",0,--(COUNTIFS(nNIA,DATOS!$A6032,nCURSO,DATOS!$D6032,nESPEC,DATOS!$E6032,nASIG,DATOS!$I6032,nEVAL,"OR")=0))</f>
      </c>
      <c r="I6032">
        <f>IF(DATOS!$I6032="","",IFERROR(VLOOKUP(DATOS!$I6032,CONFIG_ASIGNATURAS!$B$2:$J$91,9,FALSE()),""))</f>
      </c>
    </row>
    <row r="6033">
      <c r="F6033">
        <f>IF(DATOS!$A6033="","",DATOS!$A6033&amp;"|"&amp;DATOS!$D6033&amp;"|"&amp;DATOS!$E6033&amp;"|"&amp;DATOS!$I6033)</f>
      </c>
      <c r="G6033">
        <f>IF(DATOS!$A6033="",0,IF(CONFIG_METADATA!$B$4&lt;&gt;"OR+EX",--(DATOS!$G6033=CONFIG_METADATA!$B$4),IF(DATOS!$G6033="EX",1,IF(DATOS!$G6033="OR",--(COUNTIFS(nNIA,DATOS!$A6033,nCURSO,DATOS!$D6033,nESPEC,DATOS!$E6033,nASIG,DATOS!$I6033,nEVAL,"EX")=0),0))))</f>
      </c>
      <c r="H6033">
        <f>IF(DATOS!$G6033&lt;&gt;"EX",0,--(COUNTIFS(nNIA,DATOS!$A6033,nCURSO,DATOS!$D6033,nESPEC,DATOS!$E6033,nASIG,DATOS!$I6033,nEVAL,"OR")=0))</f>
      </c>
      <c r="I6033">
        <f>IF(DATOS!$I6033="","",IFERROR(VLOOKUP(DATOS!$I6033,CONFIG_ASIGNATURAS!$B$2:$J$91,9,FALSE()),""))</f>
      </c>
    </row>
    <row r="6034">
      <c r="F6034">
        <f>IF(DATOS!$A6034="","",DATOS!$A6034&amp;"|"&amp;DATOS!$D6034&amp;"|"&amp;DATOS!$E6034&amp;"|"&amp;DATOS!$I6034)</f>
      </c>
      <c r="G6034">
        <f>IF(DATOS!$A6034="",0,IF(CONFIG_METADATA!$B$4&lt;&gt;"OR+EX",--(DATOS!$G6034=CONFIG_METADATA!$B$4),IF(DATOS!$G6034="EX",1,IF(DATOS!$G6034="OR",--(COUNTIFS(nNIA,DATOS!$A6034,nCURSO,DATOS!$D6034,nESPEC,DATOS!$E6034,nASIG,DATOS!$I6034,nEVAL,"EX")=0),0))))</f>
      </c>
      <c r="H6034">
        <f>IF(DATOS!$G6034&lt;&gt;"EX",0,--(COUNTIFS(nNIA,DATOS!$A6034,nCURSO,DATOS!$D6034,nESPEC,DATOS!$E6034,nASIG,DATOS!$I6034,nEVAL,"OR")=0))</f>
      </c>
      <c r="I6034">
        <f>IF(DATOS!$I6034="","",IFERROR(VLOOKUP(DATOS!$I6034,CONFIG_ASIGNATURAS!$B$2:$J$91,9,FALSE()),""))</f>
      </c>
    </row>
    <row r="6035">
      <c r="F6035">
        <f>IF(DATOS!$A6035="","",DATOS!$A6035&amp;"|"&amp;DATOS!$D6035&amp;"|"&amp;DATOS!$E6035&amp;"|"&amp;DATOS!$I6035)</f>
      </c>
      <c r="G6035">
        <f>IF(DATOS!$A6035="",0,IF(CONFIG_METADATA!$B$4&lt;&gt;"OR+EX",--(DATOS!$G6035=CONFIG_METADATA!$B$4),IF(DATOS!$G6035="EX",1,IF(DATOS!$G6035="OR",--(COUNTIFS(nNIA,DATOS!$A6035,nCURSO,DATOS!$D6035,nESPEC,DATOS!$E6035,nASIG,DATOS!$I6035,nEVAL,"EX")=0),0))))</f>
      </c>
      <c r="H6035">
        <f>IF(DATOS!$G6035&lt;&gt;"EX",0,--(COUNTIFS(nNIA,DATOS!$A6035,nCURSO,DATOS!$D6035,nESPEC,DATOS!$E6035,nASIG,DATOS!$I6035,nEVAL,"OR")=0))</f>
      </c>
      <c r="I6035">
        <f>IF(DATOS!$I6035="","",IFERROR(VLOOKUP(DATOS!$I6035,CONFIG_ASIGNATURAS!$B$2:$J$91,9,FALSE()),""))</f>
      </c>
    </row>
    <row r="6036">
      <c r="F6036">
        <f>IF(DATOS!$A6036="","",DATOS!$A6036&amp;"|"&amp;DATOS!$D6036&amp;"|"&amp;DATOS!$E6036&amp;"|"&amp;DATOS!$I6036)</f>
      </c>
      <c r="G6036">
        <f>IF(DATOS!$A6036="",0,IF(CONFIG_METADATA!$B$4&lt;&gt;"OR+EX",--(DATOS!$G6036=CONFIG_METADATA!$B$4),IF(DATOS!$G6036="EX",1,IF(DATOS!$G6036="OR",--(COUNTIFS(nNIA,DATOS!$A6036,nCURSO,DATOS!$D6036,nESPEC,DATOS!$E6036,nASIG,DATOS!$I6036,nEVAL,"EX")=0),0))))</f>
      </c>
      <c r="H6036">
        <f>IF(DATOS!$G6036&lt;&gt;"EX",0,--(COUNTIFS(nNIA,DATOS!$A6036,nCURSO,DATOS!$D6036,nESPEC,DATOS!$E6036,nASIG,DATOS!$I6036,nEVAL,"OR")=0))</f>
      </c>
      <c r="I6036">
        <f>IF(DATOS!$I6036="","",IFERROR(VLOOKUP(DATOS!$I6036,CONFIG_ASIGNATURAS!$B$2:$J$91,9,FALSE()),""))</f>
      </c>
    </row>
    <row r="6037">
      <c r="F6037">
        <f>IF(DATOS!$A6037="","",DATOS!$A6037&amp;"|"&amp;DATOS!$D6037&amp;"|"&amp;DATOS!$E6037&amp;"|"&amp;DATOS!$I6037)</f>
      </c>
      <c r="G6037">
        <f>IF(DATOS!$A6037="",0,IF(CONFIG_METADATA!$B$4&lt;&gt;"OR+EX",--(DATOS!$G6037=CONFIG_METADATA!$B$4),IF(DATOS!$G6037="EX",1,IF(DATOS!$G6037="OR",--(COUNTIFS(nNIA,DATOS!$A6037,nCURSO,DATOS!$D6037,nESPEC,DATOS!$E6037,nASIG,DATOS!$I6037,nEVAL,"EX")=0),0))))</f>
      </c>
      <c r="H6037">
        <f>IF(DATOS!$G6037&lt;&gt;"EX",0,--(COUNTIFS(nNIA,DATOS!$A6037,nCURSO,DATOS!$D6037,nESPEC,DATOS!$E6037,nASIG,DATOS!$I6037,nEVAL,"OR")=0))</f>
      </c>
      <c r="I6037">
        <f>IF(DATOS!$I6037="","",IFERROR(VLOOKUP(DATOS!$I6037,CONFIG_ASIGNATURAS!$B$2:$J$91,9,FALSE()),""))</f>
      </c>
    </row>
    <row r="6038">
      <c r="F6038">
        <f>IF(DATOS!$A6038="","",DATOS!$A6038&amp;"|"&amp;DATOS!$D6038&amp;"|"&amp;DATOS!$E6038&amp;"|"&amp;DATOS!$I6038)</f>
      </c>
      <c r="G6038">
        <f>IF(DATOS!$A6038="",0,IF(CONFIG_METADATA!$B$4&lt;&gt;"OR+EX",--(DATOS!$G6038=CONFIG_METADATA!$B$4),IF(DATOS!$G6038="EX",1,IF(DATOS!$G6038="OR",--(COUNTIFS(nNIA,DATOS!$A6038,nCURSO,DATOS!$D6038,nESPEC,DATOS!$E6038,nASIG,DATOS!$I6038,nEVAL,"EX")=0),0))))</f>
      </c>
      <c r="H6038">
        <f>IF(DATOS!$G6038&lt;&gt;"EX",0,--(COUNTIFS(nNIA,DATOS!$A6038,nCURSO,DATOS!$D6038,nESPEC,DATOS!$E6038,nASIG,DATOS!$I6038,nEVAL,"OR")=0))</f>
      </c>
      <c r="I6038">
        <f>IF(DATOS!$I6038="","",IFERROR(VLOOKUP(DATOS!$I6038,CONFIG_ASIGNATURAS!$B$2:$J$91,9,FALSE()),""))</f>
      </c>
    </row>
    <row r="6039">
      <c r="F6039">
        <f>IF(DATOS!$A6039="","",DATOS!$A6039&amp;"|"&amp;DATOS!$D6039&amp;"|"&amp;DATOS!$E6039&amp;"|"&amp;DATOS!$I6039)</f>
      </c>
      <c r="G6039">
        <f>IF(DATOS!$A6039="",0,IF(CONFIG_METADATA!$B$4&lt;&gt;"OR+EX",--(DATOS!$G6039=CONFIG_METADATA!$B$4),IF(DATOS!$G6039="EX",1,IF(DATOS!$G6039="OR",--(COUNTIFS(nNIA,DATOS!$A6039,nCURSO,DATOS!$D6039,nESPEC,DATOS!$E6039,nASIG,DATOS!$I6039,nEVAL,"EX")=0),0))))</f>
      </c>
      <c r="H6039">
        <f>IF(DATOS!$G6039&lt;&gt;"EX",0,--(COUNTIFS(nNIA,DATOS!$A6039,nCURSO,DATOS!$D6039,nESPEC,DATOS!$E6039,nASIG,DATOS!$I6039,nEVAL,"OR")=0))</f>
      </c>
      <c r="I6039">
        <f>IF(DATOS!$I6039="","",IFERROR(VLOOKUP(DATOS!$I6039,CONFIG_ASIGNATURAS!$B$2:$J$91,9,FALSE()),""))</f>
      </c>
    </row>
    <row r="6040">
      <c r="F6040">
        <f>IF(DATOS!$A6040="","",DATOS!$A6040&amp;"|"&amp;DATOS!$D6040&amp;"|"&amp;DATOS!$E6040&amp;"|"&amp;DATOS!$I6040)</f>
      </c>
      <c r="G6040">
        <f>IF(DATOS!$A6040="",0,IF(CONFIG_METADATA!$B$4&lt;&gt;"OR+EX",--(DATOS!$G6040=CONFIG_METADATA!$B$4),IF(DATOS!$G6040="EX",1,IF(DATOS!$G6040="OR",--(COUNTIFS(nNIA,DATOS!$A6040,nCURSO,DATOS!$D6040,nESPEC,DATOS!$E6040,nASIG,DATOS!$I6040,nEVAL,"EX")=0),0))))</f>
      </c>
      <c r="H6040">
        <f>IF(DATOS!$G6040&lt;&gt;"EX",0,--(COUNTIFS(nNIA,DATOS!$A6040,nCURSO,DATOS!$D6040,nESPEC,DATOS!$E6040,nASIG,DATOS!$I6040,nEVAL,"OR")=0))</f>
      </c>
      <c r="I6040">
        <f>IF(DATOS!$I6040="","",IFERROR(VLOOKUP(DATOS!$I6040,CONFIG_ASIGNATURAS!$B$2:$J$91,9,FALSE()),""))</f>
      </c>
    </row>
    <row r="6041">
      <c r="F6041">
        <f>IF(DATOS!$A6041="","",DATOS!$A6041&amp;"|"&amp;DATOS!$D6041&amp;"|"&amp;DATOS!$E6041&amp;"|"&amp;DATOS!$I6041)</f>
      </c>
      <c r="G6041">
        <f>IF(DATOS!$A6041="",0,IF(CONFIG_METADATA!$B$4&lt;&gt;"OR+EX",--(DATOS!$G6041=CONFIG_METADATA!$B$4),IF(DATOS!$G6041="EX",1,IF(DATOS!$G6041="OR",--(COUNTIFS(nNIA,DATOS!$A6041,nCURSO,DATOS!$D6041,nESPEC,DATOS!$E6041,nASIG,DATOS!$I6041,nEVAL,"EX")=0),0))))</f>
      </c>
      <c r="H6041">
        <f>IF(DATOS!$G6041&lt;&gt;"EX",0,--(COUNTIFS(nNIA,DATOS!$A6041,nCURSO,DATOS!$D6041,nESPEC,DATOS!$E6041,nASIG,DATOS!$I6041,nEVAL,"OR")=0))</f>
      </c>
      <c r="I6041">
        <f>IF(DATOS!$I6041="","",IFERROR(VLOOKUP(DATOS!$I6041,CONFIG_ASIGNATURAS!$B$2:$J$91,9,FALSE()),""))</f>
      </c>
    </row>
    <row r="6042">
      <c r="F6042">
        <f>IF(DATOS!$A6042="","",DATOS!$A6042&amp;"|"&amp;DATOS!$D6042&amp;"|"&amp;DATOS!$E6042&amp;"|"&amp;DATOS!$I6042)</f>
      </c>
      <c r="G6042">
        <f>IF(DATOS!$A6042="",0,IF(CONFIG_METADATA!$B$4&lt;&gt;"OR+EX",--(DATOS!$G6042=CONFIG_METADATA!$B$4),IF(DATOS!$G6042="EX",1,IF(DATOS!$G6042="OR",--(COUNTIFS(nNIA,DATOS!$A6042,nCURSO,DATOS!$D6042,nESPEC,DATOS!$E6042,nASIG,DATOS!$I6042,nEVAL,"EX")=0),0))))</f>
      </c>
      <c r="H6042">
        <f>IF(DATOS!$G6042&lt;&gt;"EX",0,--(COUNTIFS(nNIA,DATOS!$A6042,nCURSO,DATOS!$D6042,nESPEC,DATOS!$E6042,nASIG,DATOS!$I6042,nEVAL,"OR")=0))</f>
      </c>
      <c r="I6042">
        <f>IF(DATOS!$I6042="","",IFERROR(VLOOKUP(DATOS!$I6042,CONFIG_ASIGNATURAS!$B$2:$J$91,9,FALSE()),""))</f>
      </c>
    </row>
    <row r="6043">
      <c r="F6043">
        <f>IF(DATOS!$A6043="","",DATOS!$A6043&amp;"|"&amp;DATOS!$D6043&amp;"|"&amp;DATOS!$E6043&amp;"|"&amp;DATOS!$I6043)</f>
      </c>
      <c r="G6043">
        <f>IF(DATOS!$A6043="",0,IF(CONFIG_METADATA!$B$4&lt;&gt;"OR+EX",--(DATOS!$G6043=CONFIG_METADATA!$B$4),IF(DATOS!$G6043="EX",1,IF(DATOS!$G6043="OR",--(COUNTIFS(nNIA,DATOS!$A6043,nCURSO,DATOS!$D6043,nESPEC,DATOS!$E6043,nASIG,DATOS!$I6043,nEVAL,"EX")=0),0))))</f>
      </c>
      <c r="H6043">
        <f>IF(DATOS!$G6043&lt;&gt;"EX",0,--(COUNTIFS(nNIA,DATOS!$A6043,nCURSO,DATOS!$D6043,nESPEC,DATOS!$E6043,nASIG,DATOS!$I6043,nEVAL,"OR")=0))</f>
      </c>
      <c r="I6043">
        <f>IF(DATOS!$I6043="","",IFERROR(VLOOKUP(DATOS!$I6043,CONFIG_ASIGNATURAS!$B$2:$J$91,9,FALSE()),""))</f>
      </c>
    </row>
    <row r="6044">
      <c r="F6044">
        <f>IF(DATOS!$A6044="","",DATOS!$A6044&amp;"|"&amp;DATOS!$D6044&amp;"|"&amp;DATOS!$E6044&amp;"|"&amp;DATOS!$I6044)</f>
      </c>
      <c r="G6044">
        <f>IF(DATOS!$A6044="",0,IF(CONFIG_METADATA!$B$4&lt;&gt;"OR+EX",--(DATOS!$G6044=CONFIG_METADATA!$B$4),IF(DATOS!$G6044="EX",1,IF(DATOS!$G6044="OR",--(COUNTIFS(nNIA,DATOS!$A6044,nCURSO,DATOS!$D6044,nESPEC,DATOS!$E6044,nASIG,DATOS!$I6044,nEVAL,"EX")=0),0))))</f>
      </c>
      <c r="H6044">
        <f>IF(DATOS!$G6044&lt;&gt;"EX",0,--(COUNTIFS(nNIA,DATOS!$A6044,nCURSO,DATOS!$D6044,nESPEC,DATOS!$E6044,nASIG,DATOS!$I6044,nEVAL,"OR")=0))</f>
      </c>
      <c r="I6044">
        <f>IF(DATOS!$I6044="","",IFERROR(VLOOKUP(DATOS!$I6044,CONFIG_ASIGNATURAS!$B$2:$J$91,9,FALSE()),""))</f>
      </c>
    </row>
    <row r="6045">
      <c r="F6045">
        <f>IF(DATOS!$A6045="","",DATOS!$A6045&amp;"|"&amp;DATOS!$D6045&amp;"|"&amp;DATOS!$E6045&amp;"|"&amp;DATOS!$I6045)</f>
      </c>
      <c r="G6045">
        <f>IF(DATOS!$A6045="",0,IF(CONFIG_METADATA!$B$4&lt;&gt;"OR+EX",--(DATOS!$G6045=CONFIG_METADATA!$B$4),IF(DATOS!$G6045="EX",1,IF(DATOS!$G6045="OR",--(COUNTIFS(nNIA,DATOS!$A6045,nCURSO,DATOS!$D6045,nESPEC,DATOS!$E6045,nASIG,DATOS!$I6045,nEVAL,"EX")=0),0))))</f>
      </c>
      <c r="H6045">
        <f>IF(DATOS!$G6045&lt;&gt;"EX",0,--(COUNTIFS(nNIA,DATOS!$A6045,nCURSO,DATOS!$D6045,nESPEC,DATOS!$E6045,nASIG,DATOS!$I6045,nEVAL,"OR")=0))</f>
      </c>
      <c r="I6045">
        <f>IF(DATOS!$I6045="","",IFERROR(VLOOKUP(DATOS!$I6045,CONFIG_ASIGNATURAS!$B$2:$J$91,9,FALSE()),""))</f>
      </c>
    </row>
    <row r="6046">
      <c r="F6046">
        <f>IF(DATOS!$A6046="","",DATOS!$A6046&amp;"|"&amp;DATOS!$D6046&amp;"|"&amp;DATOS!$E6046&amp;"|"&amp;DATOS!$I6046)</f>
      </c>
      <c r="G6046">
        <f>IF(DATOS!$A6046="",0,IF(CONFIG_METADATA!$B$4&lt;&gt;"OR+EX",--(DATOS!$G6046=CONFIG_METADATA!$B$4),IF(DATOS!$G6046="EX",1,IF(DATOS!$G6046="OR",--(COUNTIFS(nNIA,DATOS!$A6046,nCURSO,DATOS!$D6046,nESPEC,DATOS!$E6046,nASIG,DATOS!$I6046,nEVAL,"EX")=0),0))))</f>
      </c>
      <c r="H6046">
        <f>IF(DATOS!$G6046&lt;&gt;"EX",0,--(COUNTIFS(nNIA,DATOS!$A6046,nCURSO,DATOS!$D6046,nESPEC,DATOS!$E6046,nASIG,DATOS!$I6046,nEVAL,"OR")=0))</f>
      </c>
      <c r="I6046">
        <f>IF(DATOS!$I6046="","",IFERROR(VLOOKUP(DATOS!$I6046,CONFIG_ASIGNATURAS!$B$2:$J$91,9,FALSE()),""))</f>
      </c>
    </row>
    <row r="6047">
      <c r="F6047">
        <f>IF(DATOS!$A6047="","",DATOS!$A6047&amp;"|"&amp;DATOS!$D6047&amp;"|"&amp;DATOS!$E6047&amp;"|"&amp;DATOS!$I6047)</f>
      </c>
      <c r="G6047">
        <f>IF(DATOS!$A6047="",0,IF(CONFIG_METADATA!$B$4&lt;&gt;"OR+EX",--(DATOS!$G6047=CONFIG_METADATA!$B$4),IF(DATOS!$G6047="EX",1,IF(DATOS!$G6047="OR",--(COUNTIFS(nNIA,DATOS!$A6047,nCURSO,DATOS!$D6047,nESPEC,DATOS!$E6047,nASIG,DATOS!$I6047,nEVAL,"EX")=0),0))))</f>
      </c>
      <c r="H6047">
        <f>IF(DATOS!$G6047&lt;&gt;"EX",0,--(COUNTIFS(nNIA,DATOS!$A6047,nCURSO,DATOS!$D6047,nESPEC,DATOS!$E6047,nASIG,DATOS!$I6047,nEVAL,"OR")=0))</f>
      </c>
      <c r="I6047">
        <f>IF(DATOS!$I6047="","",IFERROR(VLOOKUP(DATOS!$I6047,CONFIG_ASIGNATURAS!$B$2:$J$91,9,FALSE()),""))</f>
      </c>
    </row>
    <row r="6048">
      <c r="F6048">
        <f>IF(DATOS!$A6048="","",DATOS!$A6048&amp;"|"&amp;DATOS!$D6048&amp;"|"&amp;DATOS!$E6048&amp;"|"&amp;DATOS!$I6048)</f>
      </c>
      <c r="G6048">
        <f>IF(DATOS!$A6048="",0,IF(CONFIG_METADATA!$B$4&lt;&gt;"OR+EX",--(DATOS!$G6048=CONFIG_METADATA!$B$4),IF(DATOS!$G6048="EX",1,IF(DATOS!$G6048="OR",--(COUNTIFS(nNIA,DATOS!$A6048,nCURSO,DATOS!$D6048,nESPEC,DATOS!$E6048,nASIG,DATOS!$I6048,nEVAL,"EX")=0),0))))</f>
      </c>
      <c r="H6048">
        <f>IF(DATOS!$G6048&lt;&gt;"EX",0,--(COUNTIFS(nNIA,DATOS!$A6048,nCURSO,DATOS!$D6048,nESPEC,DATOS!$E6048,nASIG,DATOS!$I6048,nEVAL,"OR")=0))</f>
      </c>
      <c r="I6048">
        <f>IF(DATOS!$I6048="","",IFERROR(VLOOKUP(DATOS!$I6048,CONFIG_ASIGNATURAS!$B$2:$J$91,9,FALSE()),""))</f>
      </c>
    </row>
    <row r="6049">
      <c r="F6049">
        <f>IF(DATOS!$A6049="","",DATOS!$A6049&amp;"|"&amp;DATOS!$D6049&amp;"|"&amp;DATOS!$E6049&amp;"|"&amp;DATOS!$I6049)</f>
      </c>
      <c r="G6049">
        <f>IF(DATOS!$A6049="",0,IF(CONFIG_METADATA!$B$4&lt;&gt;"OR+EX",--(DATOS!$G6049=CONFIG_METADATA!$B$4),IF(DATOS!$G6049="EX",1,IF(DATOS!$G6049="OR",--(COUNTIFS(nNIA,DATOS!$A6049,nCURSO,DATOS!$D6049,nESPEC,DATOS!$E6049,nASIG,DATOS!$I6049,nEVAL,"EX")=0),0))))</f>
      </c>
      <c r="H6049">
        <f>IF(DATOS!$G6049&lt;&gt;"EX",0,--(COUNTIFS(nNIA,DATOS!$A6049,nCURSO,DATOS!$D6049,nESPEC,DATOS!$E6049,nASIG,DATOS!$I6049,nEVAL,"OR")=0))</f>
      </c>
      <c r="I6049">
        <f>IF(DATOS!$I6049="","",IFERROR(VLOOKUP(DATOS!$I6049,CONFIG_ASIGNATURAS!$B$2:$J$91,9,FALSE()),""))</f>
      </c>
    </row>
    <row r="6050">
      <c r="F6050">
        <f>IF(DATOS!$A6050="","",DATOS!$A6050&amp;"|"&amp;DATOS!$D6050&amp;"|"&amp;DATOS!$E6050&amp;"|"&amp;DATOS!$I6050)</f>
      </c>
      <c r="G6050">
        <f>IF(DATOS!$A6050="",0,IF(CONFIG_METADATA!$B$4&lt;&gt;"OR+EX",--(DATOS!$G6050=CONFIG_METADATA!$B$4),IF(DATOS!$G6050="EX",1,IF(DATOS!$G6050="OR",--(COUNTIFS(nNIA,DATOS!$A6050,nCURSO,DATOS!$D6050,nESPEC,DATOS!$E6050,nASIG,DATOS!$I6050,nEVAL,"EX")=0),0))))</f>
      </c>
      <c r="H6050">
        <f>IF(DATOS!$G6050&lt;&gt;"EX",0,--(COUNTIFS(nNIA,DATOS!$A6050,nCURSO,DATOS!$D6050,nESPEC,DATOS!$E6050,nASIG,DATOS!$I6050,nEVAL,"OR")=0))</f>
      </c>
      <c r="I6050">
        <f>IF(DATOS!$I6050="","",IFERROR(VLOOKUP(DATOS!$I6050,CONFIG_ASIGNATURAS!$B$2:$J$91,9,FALSE()),""))</f>
      </c>
    </row>
    <row r="6051">
      <c r="F6051">
        <f>IF(DATOS!$A6051="","",DATOS!$A6051&amp;"|"&amp;DATOS!$D6051&amp;"|"&amp;DATOS!$E6051&amp;"|"&amp;DATOS!$I6051)</f>
      </c>
      <c r="G6051">
        <f>IF(DATOS!$A6051="",0,IF(CONFIG_METADATA!$B$4&lt;&gt;"OR+EX",--(DATOS!$G6051=CONFIG_METADATA!$B$4),IF(DATOS!$G6051="EX",1,IF(DATOS!$G6051="OR",--(COUNTIFS(nNIA,DATOS!$A6051,nCURSO,DATOS!$D6051,nESPEC,DATOS!$E6051,nASIG,DATOS!$I6051,nEVAL,"EX")=0),0))))</f>
      </c>
      <c r="H6051">
        <f>IF(DATOS!$G6051&lt;&gt;"EX",0,--(COUNTIFS(nNIA,DATOS!$A6051,nCURSO,DATOS!$D6051,nESPEC,DATOS!$E6051,nASIG,DATOS!$I6051,nEVAL,"OR")=0))</f>
      </c>
      <c r="I6051">
        <f>IF(DATOS!$I6051="","",IFERROR(VLOOKUP(DATOS!$I6051,CONFIG_ASIGNATURAS!$B$2:$J$91,9,FALSE()),""))</f>
      </c>
    </row>
    <row r="6052">
      <c r="F6052">
        <f>IF(DATOS!$A6052="","",DATOS!$A6052&amp;"|"&amp;DATOS!$D6052&amp;"|"&amp;DATOS!$E6052&amp;"|"&amp;DATOS!$I6052)</f>
      </c>
      <c r="G6052">
        <f>IF(DATOS!$A6052="",0,IF(CONFIG_METADATA!$B$4&lt;&gt;"OR+EX",--(DATOS!$G6052=CONFIG_METADATA!$B$4),IF(DATOS!$G6052="EX",1,IF(DATOS!$G6052="OR",--(COUNTIFS(nNIA,DATOS!$A6052,nCURSO,DATOS!$D6052,nESPEC,DATOS!$E6052,nASIG,DATOS!$I6052,nEVAL,"EX")=0),0))))</f>
      </c>
      <c r="H6052">
        <f>IF(DATOS!$G6052&lt;&gt;"EX",0,--(COUNTIFS(nNIA,DATOS!$A6052,nCURSO,DATOS!$D6052,nESPEC,DATOS!$E6052,nASIG,DATOS!$I6052,nEVAL,"OR")=0))</f>
      </c>
      <c r="I6052">
        <f>IF(DATOS!$I6052="","",IFERROR(VLOOKUP(DATOS!$I6052,CONFIG_ASIGNATURAS!$B$2:$J$91,9,FALSE()),""))</f>
      </c>
    </row>
    <row r="6053">
      <c r="F6053">
        <f>IF(DATOS!$A6053="","",DATOS!$A6053&amp;"|"&amp;DATOS!$D6053&amp;"|"&amp;DATOS!$E6053&amp;"|"&amp;DATOS!$I6053)</f>
      </c>
      <c r="G6053">
        <f>IF(DATOS!$A6053="",0,IF(CONFIG_METADATA!$B$4&lt;&gt;"OR+EX",--(DATOS!$G6053=CONFIG_METADATA!$B$4),IF(DATOS!$G6053="EX",1,IF(DATOS!$G6053="OR",--(COUNTIFS(nNIA,DATOS!$A6053,nCURSO,DATOS!$D6053,nESPEC,DATOS!$E6053,nASIG,DATOS!$I6053,nEVAL,"EX")=0),0))))</f>
      </c>
      <c r="H6053">
        <f>IF(DATOS!$G6053&lt;&gt;"EX",0,--(COUNTIFS(nNIA,DATOS!$A6053,nCURSO,DATOS!$D6053,nESPEC,DATOS!$E6053,nASIG,DATOS!$I6053,nEVAL,"OR")=0))</f>
      </c>
      <c r="I6053">
        <f>IF(DATOS!$I6053="","",IFERROR(VLOOKUP(DATOS!$I6053,CONFIG_ASIGNATURAS!$B$2:$J$91,9,FALSE()),""))</f>
      </c>
    </row>
    <row r="6054">
      <c r="F6054">
        <f>IF(DATOS!$A6054="","",DATOS!$A6054&amp;"|"&amp;DATOS!$D6054&amp;"|"&amp;DATOS!$E6054&amp;"|"&amp;DATOS!$I6054)</f>
      </c>
      <c r="G6054">
        <f>IF(DATOS!$A6054="",0,IF(CONFIG_METADATA!$B$4&lt;&gt;"OR+EX",--(DATOS!$G6054=CONFIG_METADATA!$B$4),IF(DATOS!$G6054="EX",1,IF(DATOS!$G6054="OR",--(COUNTIFS(nNIA,DATOS!$A6054,nCURSO,DATOS!$D6054,nESPEC,DATOS!$E6054,nASIG,DATOS!$I6054,nEVAL,"EX")=0),0))))</f>
      </c>
      <c r="H6054">
        <f>IF(DATOS!$G6054&lt;&gt;"EX",0,--(COUNTIFS(nNIA,DATOS!$A6054,nCURSO,DATOS!$D6054,nESPEC,DATOS!$E6054,nASIG,DATOS!$I6054,nEVAL,"OR")=0))</f>
      </c>
      <c r="I6054">
        <f>IF(DATOS!$I6054="","",IFERROR(VLOOKUP(DATOS!$I6054,CONFIG_ASIGNATURAS!$B$2:$J$91,9,FALSE()),""))</f>
      </c>
    </row>
    <row r="6055">
      <c r="F6055">
        <f>IF(DATOS!$A6055="","",DATOS!$A6055&amp;"|"&amp;DATOS!$D6055&amp;"|"&amp;DATOS!$E6055&amp;"|"&amp;DATOS!$I6055)</f>
      </c>
      <c r="G6055">
        <f>IF(DATOS!$A6055="",0,IF(CONFIG_METADATA!$B$4&lt;&gt;"OR+EX",--(DATOS!$G6055=CONFIG_METADATA!$B$4),IF(DATOS!$G6055="EX",1,IF(DATOS!$G6055="OR",--(COUNTIFS(nNIA,DATOS!$A6055,nCURSO,DATOS!$D6055,nESPEC,DATOS!$E6055,nASIG,DATOS!$I6055,nEVAL,"EX")=0),0))))</f>
      </c>
      <c r="H6055">
        <f>IF(DATOS!$G6055&lt;&gt;"EX",0,--(COUNTIFS(nNIA,DATOS!$A6055,nCURSO,DATOS!$D6055,nESPEC,DATOS!$E6055,nASIG,DATOS!$I6055,nEVAL,"OR")=0))</f>
      </c>
      <c r="I6055">
        <f>IF(DATOS!$I6055="","",IFERROR(VLOOKUP(DATOS!$I6055,CONFIG_ASIGNATURAS!$B$2:$J$91,9,FALSE()),""))</f>
      </c>
    </row>
    <row r="6056">
      <c r="F6056">
        <f>IF(DATOS!$A6056="","",DATOS!$A6056&amp;"|"&amp;DATOS!$D6056&amp;"|"&amp;DATOS!$E6056&amp;"|"&amp;DATOS!$I6056)</f>
      </c>
      <c r="G6056">
        <f>IF(DATOS!$A6056="",0,IF(CONFIG_METADATA!$B$4&lt;&gt;"OR+EX",--(DATOS!$G6056=CONFIG_METADATA!$B$4),IF(DATOS!$G6056="EX",1,IF(DATOS!$G6056="OR",--(COUNTIFS(nNIA,DATOS!$A6056,nCURSO,DATOS!$D6056,nESPEC,DATOS!$E6056,nASIG,DATOS!$I6056,nEVAL,"EX")=0),0))))</f>
      </c>
      <c r="H6056">
        <f>IF(DATOS!$G6056&lt;&gt;"EX",0,--(COUNTIFS(nNIA,DATOS!$A6056,nCURSO,DATOS!$D6056,nESPEC,DATOS!$E6056,nASIG,DATOS!$I6056,nEVAL,"OR")=0))</f>
      </c>
      <c r="I6056">
        <f>IF(DATOS!$I6056="","",IFERROR(VLOOKUP(DATOS!$I6056,CONFIG_ASIGNATURAS!$B$2:$J$91,9,FALSE()),""))</f>
      </c>
    </row>
    <row r="6057">
      <c r="F6057">
        <f>IF(DATOS!$A6057="","",DATOS!$A6057&amp;"|"&amp;DATOS!$D6057&amp;"|"&amp;DATOS!$E6057&amp;"|"&amp;DATOS!$I6057)</f>
      </c>
      <c r="G6057">
        <f>IF(DATOS!$A6057="",0,IF(CONFIG_METADATA!$B$4&lt;&gt;"OR+EX",--(DATOS!$G6057=CONFIG_METADATA!$B$4),IF(DATOS!$G6057="EX",1,IF(DATOS!$G6057="OR",--(COUNTIFS(nNIA,DATOS!$A6057,nCURSO,DATOS!$D6057,nESPEC,DATOS!$E6057,nASIG,DATOS!$I6057,nEVAL,"EX")=0),0))))</f>
      </c>
      <c r="H6057">
        <f>IF(DATOS!$G6057&lt;&gt;"EX",0,--(COUNTIFS(nNIA,DATOS!$A6057,nCURSO,DATOS!$D6057,nESPEC,DATOS!$E6057,nASIG,DATOS!$I6057,nEVAL,"OR")=0))</f>
      </c>
      <c r="I6057">
        <f>IF(DATOS!$I6057="","",IFERROR(VLOOKUP(DATOS!$I6057,CONFIG_ASIGNATURAS!$B$2:$J$91,9,FALSE()),""))</f>
      </c>
    </row>
    <row r="6058">
      <c r="F6058">
        <f>IF(DATOS!$A6058="","",DATOS!$A6058&amp;"|"&amp;DATOS!$D6058&amp;"|"&amp;DATOS!$E6058&amp;"|"&amp;DATOS!$I6058)</f>
      </c>
      <c r="G6058">
        <f>IF(DATOS!$A6058="",0,IF(CONFIG_METADATA!$B$4&lt;&gt;"OR+EX",--(DATOS!$G6058=CONFIG_METADATA!$B$4),IF(DATOS!$G6058="EX",1,IF(DATOS!$G6058="OR",--(COUNTIFS(nNIA,DATOS!$A6058,nCURSO,DATOS!$D6058,nESPEC,DATOS!$E6058,nASIG,DATOS!$I6058,nEVAL,"EX")=0),0))))</f>
      </c>
      <c r="H6058">
        <f>IF(DATOS!$G6058&lt;&gt;"EX",0,--(COUNTIFS(nNIA,DATOS!$A6058,nCURSO,DATOS!$D6058,nESPEC,DATOS!$E6058,nASIG,DATOS!$I6058,nEVAL,"OR")=0))</f>
      </c>
      <c r="I6058">
        <f>IF(DATOS!$I6058="","",IFERROR(VLOOKUP(DATOS!$I6058,CONFIG_ASIGNATURAS!$B$2:$J$91,9,FALSE()),""))</f>
      </c>
    </row>
    <row r="6059">
      <c r="F6059">
        <f>IF(DATOS!$A6059="","",DATOS!$A6059&amp;"|"&amp;DATOS!$D6059&amp;"|"&amp;DATOS!$E6059&amp;"|"&amp;DATOS!$I6059)</f>
      </c>
      <c r="G6059">
        <f>IF(DATOS!$A6059="",0,IF(CONFIG_METADATA!$B$4&lt;&gt;"OR+EX",--(DATOS!$G6059=CONFIG_METADATA!$B$4),IF(DATOS!$G6059="EX",1,IF(DATOS!$G6059="OR",--(COUNTIFS(nNIA,DATOS!$A6059,nCURSO,DATOS!$D6059,nESPEC,DATOS!$E6059,nASIG,DATOS!$I6059,nEVAL,"EX")=0),0))))</f>
      </c>
      <c r="H6059">
        <f>IF(DATOS!$G6059&lt;&gt;"EX",0,--(COUNTIFS(nNIA,DATOS!$A6059,nCURSO,DATOS!$D6059,nESPEC,DATOS!$E6059,nASIG,DATOS!$I6059,nEVAL,"OR")=0))</f>
      </c>
      <c r="I6059">
        <f>IF(DATOS!$I6059="","",IFERROR(VLOOKUP(DATOS!$I6059,CONFIG_ASIGNATURAS!$B$2:$J$91,9,FALSE()),""))</f>
      </c>
    </row>
    <row r="6060">
      <c r="F6060">
        <f>IF(DATOS!$A6060="","",DATOS!$A6060&amp;"|"&amp;DATOS!$D6060&amp;"|"&amp;DATOS!$E6060&amp;"|"&amp;DATOS!$I6060)</f>
      </c>
      <c r="G6060">
        <f>IF(DATOS!$A6060="",0,IF(CONFIG_METADATA!$B$4&lt;&gt;"OR+EX",--(DATOS!$G6060=CONFIG_METADATA!$B$4),IF(DATOS!$G6060="EX",1,IF(DATOS!$G6060="OR",--(COUNTIFS(nNIA,DATOS!$A6060,nCURSO,DATOS!$D6060,nESPEC,DATOS!$E6060,nASIG,DATOS!$I6060,nEVAL,"EX")=0),0))))</f>
      </c>
      <c r="H6060">
        <f>IF(DATOS!$G6060&lt;&gt;"EX",0,--(COUNTIFS(nNIA,DATOS!$A6060,nCURSO,DATOS!$D6060,nESPEC,DATOS!$E6060,nASIG,DATOS!$I6060,nEVAL,"OR")=0))</f>
      </c>
      <c r="I6060">
        <f>IF(DATOS!$I6060="","",IFERROR(VLOOKUP(DATOS!$I6060,CONFIG_ASIGNATURAS!$B$2:$J$91,9,FALSE()),""))</f>
      </c>
    </row>
    <row r="6061">
      <c r="F6061">
        <f>IF(DATOS!$A6061="","",DATOS!$A6061&amp;"|"&amp;DATOS!$D6061&amp;"|"&amp;DATOS!$E6061&amp;"|"&amp;DATOS!$I6061)</f>
      </c>
      <c r="G6061">
        <f>IF(DATOS!$A6061="",0,IF(CONFIG_METADATA!$B$4&lt;&gt;"OR+EX",--(DATOS!$G6061=CONFIG_METADATA!$B$4),IF(DATOS!$G6061="EX",1,IF(DATOS!$G6061="OR",--(COUNTIFS(nNIA,DATOS!$A6061,nCURSO,DATOS!$D6061,nESPEC,DATOS!$E6061,nASIG,DATOS!$I6061,nEVAL,"EX")=0),0))))</f>
      </c>
      <c r="H6061">
        <f>IF(DATOS!$G6061&lt;&gt;"EX",0,--(COUNTIFS(nNIA,DATOS!$A6061,nCURSO,DATOS!$D6061,nESPEC,DATOS!$E6061,nASIG,DATOS!$I6061,nEVAL,"OR")=0))</f>
      </c>
      <c r="I6061">
        <f>IF(DATOS!$I6061="","",IFERROR(VLOOKUP(DATOS!$I6061,CONFIG_ASIGNATURAS!$B$2:$J$91,9,FALSE()),""))</f>
      </c>
    </row>
    <row r="6062">
      <c r="F6062">
        <f>IF(DATOS!$A6062="","",DATOS!$A6062&amp;"|"&amp;DATOS!$D6062&amp;"|"&amp;DATOS!$E6062&amp;"|"&amp;DATOS!$I6062)</f>
      </c>
      <c r="G6062">
        <f>IF(DATOS!$A6062="",0,IF(CONFIG_METADATA!$B$4&lt;&gt;"OR+EX",--(DATOS!$G6062=CONFIG_METADATA!$B$4),IF(DATOS!$G6062="EX",1,IF(DATOS!$G6062="OR",--(COUNTIFS(nNIA,DATOS!$A6062,nCURSO,DATOS!$D6062,nESPEC,DATOS!$E6062,nASIG,DATOS!$I6062,nEVAL,"EX")=0),0))))</f>
      </c>
      <c r="H6062">
        <f>IF(DATOS!$G6062&lt;&gt;"EX",0,--(COUNTIFS(nNIA,DATOS!$A6062,nCURSO,DATOS!$D6062,nESPEC,DATOS!$E6062,nASIG,DATOS!$I6062,nEVAL,"OR")=0))</f>
      </c>
      <c r="I6062">
        <f>IF(DATOS!$I6062="","",IFERROR(VLOOKUP(DATOS!$I6062,CONFIG_ASIGNATURAS!$B$2:$J$91,9,FALSE()),""))</f>
      </c>
    </row>
    <row r="6063">
      <c r="F6063">
        <f>IF(DATOS!$A6063="","",DATOS!$A6063&amp;"|"&amp;DATOS!$D6063&amp;"|"&amp;DATOS!$E6063&amp;"|"&amp;DATOS!$I6063)</f>
      </c>
      <c r="G6063">
        <f>IF(DATOS!$A6063="",0,IF(CONFIG_METADATA!$B$4&lt;&gt;"OR+EX",--(DATOS!$G6063=CONFIG_METADATA!$B$4),IF(DATOS!$G6063="EX",1,IF(DATOS!$G6063="OR",--(COUNTIFS(nNIA,DATOS!$A6063,nCURSO,DATOS!$D6063,nESPEC,DATOS!$E6063,nASIG,DATOS!$I6063,nEVAL,"EX")=0),0))))</f>
      </c>
      <c r="H6063">
        <f>IF(DATOS!$G6063&lt;&gt;"EX",0,--(COUNTIFS(nNIA,DATOS!$A6063,nCURSO,DATOS!$D6063,nESPEC,DATOS!$E6063,nASIG,DATOS!$I6063,nEVAL,"OR")=0))</f>
      </c>
      <c r="I6063">
        <f>IF(DATOS!$I6063="","",IFERROR(VLOOKUP(DATOS!$I6063,CONFIG_ASIGNATURAS!$B$2:$J$91,9,FALSE()),""))</f>
      </c>
    </row>
    <row r="6064">
      <c r="F6064">
        <f>IF(DATOS!$A6064="","",DATOS!$A6064&amp;"|"&amp;DATOS!$D6064&amp;"|"&amp;DATOS!$E6064&amp;"|"&amp;DATOS!$I6064)</f>
      </c>
      <c r="G6064">
        <f>IF(DATOS!$A6064="",0,IF(CONFIG_METADATA!$B$4&lt;&gt;"OR+EX",--(DATOS!$G6064=CONFIG_METADATA!$B$4),IF(DATOS!$G6064="EX",1,IF(DATOS!$G6064="OR",--(COUNTIFS(nNIA,DATOS!$A6064,nCURSO,DATOS!$D6064,nESPEC,DATOS!$E6064,nASIG,DATOS!$I6064,nEVAL,"EX")=0),0))))</f>
      </c>
      <c r="H6064">
        <f>IF(DATOS!$G6064&lt;&gt;"EX",0,--(COUNTIFS(nNIA,DATOS!$A6064,nCURSO,DATOS!$D6064,nESPEC,DATOS!$E6064,nASIG,DATOS!$I6064,nEVAL,"OR")=0))</f>
      </c>
      <c r="I6064">
        <f>IF(DATOS!$I6064="","",IFERROR(VLOOKUP(DATOS!$I6064,CONFIG_ASIGNATURAS!$B$2:$J$91,9,FALSE()),""))</f>
      </c>
    </row>
    <row r="6065">
      <c r="F6065">
        <f>IF(DATOS!$A6065="","",DATOS!$A6065&amp;"|"&amp;DATOS!$D6065&amp;"|"&amp;DATOS!$E6065&amp;"|"&amp;DATOS!$I6065)</f>
      </c>
      <c r="G6065">
        <f>IF(DATOS!$A6065="",0,IF(CONFIG_METADATA!$B$4&lt;&gt;"OR+EX",--(DATOS!$G6065=CONFIG_METADATA!$B$4),IF(DATOS!$G6065="EX",1,IF(DATOS!$G6065="OR",--(COUNTIFS(nNIA,DATOS!$A6065,nCURSO,DATOS!$D6065,nESPEC,DATOS!$E6065,nASIG,DATOS!$I6065,nEVAL,"EX")=0),0))))</f>
      </c>
      <c r="H6065">
        <f>IF(DATOS!$G6065&lt;&gt;"EX",0,--(COUNTIFS(nNIA,DATOS!$A6065,nCURSO,DATOS!$D6065,nESPEC,DATOS!$E6065,nASIG,DATOS!$I6065,nEVAL,"OR")=0))</f>
      </c>
      <c r="I6065">
        <f>IF(DATOS!$I6065="","",IFERROR(VLOOKUP(DATOS!$I6065,CONFIG_ASIGNATURAS!$B$2:$J$91,9,FALSE()),""))</f>
      </c>
    </row>
    <row r="6066">
      <c r="F6066">
        <f>IF(DATOS!$A6066="","",DATOS!$A6066&amp;"|"&amp;DATOS!$D6066&amp;"|"&amp;DATOS!$E6066&amp;"|"&amp;DATOS!$I6066)</f>
      </c>
      <c r="G6066">
        <f>IF(DATOS!$A6066="",0,IF(CONFIG_METADATA!$B$4&lt;&gt;"OR+EX",--(DATOS!$G6066=CONFIG_METADATA!$B$4),IF(DATOS!$G6066="EX",1,IF(DATOS!$G6066="OR",--(COUNTIFS(nNIA,DATOS!$A6066,nCURSO,DATOS!$D6066,nESPEC,DATOS!$E6066,nASIG,DATOS!$I6066,nEVAL,"EX")=0),0))))</f>
      </c>
      <c r="H6066">
        <f>IF(DATOS!$G6066&lt;&gt;"EX",0,--(COUNTIFS(nNIA,DATOS!$A6066,nCURSO,DATOS!$D6066,nESPEC,DATOS!$E6066,nASIG,DATOS!$I6066,nEVAL,"OR")=0))</f>
      </c>
      <c r="I6066">
        <f>IF(DATOS!$I6066="","",IFERROR(VLOOKUP(DATOS!$I6066,CONFIG_ASIGNATURAS!$B$2:$J$91,9,FALSE()),""))</f>
      </c>
    </row>
    <row r="6067">
      <c r="F6067">
        <f>IF(DATOS!$A6067="","",DATOS!$A6067&amp;"|"&amp;DATOS!$D6067&amp;"|"&amp;DATOS!$E6067&amp;"|"&amp;DATOS!$I6067)</f>
      </c>
      <c r="G6067">
        <f>IF(DATOS!$A6067="",0,IF(CONFIG_METADATA!$B$4&lt;&gt;"OR+EX",--(DATOS!$G6067=CONFIG_METADATA!$B$4),IF(DATOS!$G6067="EX",1,IF(DATOS!$G6067="OR",--(COUNTIFS(nNIA,DATOS!$A6067,nCURSO,DATOS!$D6067,nESPEC,DATOS!$E6067,nASIG,DATOS!$I6067,nEVAL,"EX")=0),0))))</f>
      </c>
      <c r="H6067">
        <f>IF(DATOS!$G6067&lt;&gt;"EX",0,--(COUNTIFS(nNIA,DATOS!$A6067,nCURSO,DATOS!$D6067,nESPEC,DATOS!$E6067,nASIG,DATOS!$I6067,nEVAL,"OR")=0))</f>
      </c>
      <c r="I6067">
        <f>IF(DATOS!$I6067="","",IFERROR(VLOOKUP(DATOS!$I6067,CONFIG_ASIGNATURAS!$B$2:$J$91,9,FALSE()),""))</f>
      </c>
    </row>
    <row r="6068">
      <c r="F6068">
        <f>IF(DATOS!$A6068="","",DATOS!$A6068&amp;"|"&amp;DATOS!$D6068&amp;"|"&amp;DATOS!$E6068&amp;"|"&amp;DATOS!$I6068)</f>
      </c>
      <c r="G6068">
        <f>IF(DATOS!$A6068="",0,IF(CONFIG_METADATA!$B$4&lt;&gt;"OR+EX",--(DATOS!$G6068=CONFIG_METADATA!$B$4),IF(DATOS!$G6068="EX",1,IF(DATOS!$G6068="OR",--(COUNTIFS(nNIA,DATOS!$A6068,nCURSO,DATOS!$D6068,nESPEC,DATOS!$E6068,nASIG,DATOS!$I6068,nEVAL,"EX")=0),0))))</f>
      </c>
      <c r="H6068">
        <f>IF(DATOS!$G6068&lt;&gt;"EX",0,--(COUNTIFS(nNIA,DATOS!$A6068,nCURSO,DATOS!$D6068,nESPEC,DATOS!$E6068,nASIG,DATOS!$I6068,nEVAL,"OR")=0))</f>
      </c>
      <c r="I6068">
        <f>IF(DATOS!$I6068="","",IFERROR(VLOOKUP(DATOS!$I6068,CONFIG_ASIGNATURAS!$B$2:$J$91,9,FALSE()),""))</f>
      </c>
    </row>
    <row r="6069">
      <c r="F6069">
        <f>IF(DATOS!$A6069="","",DATOS!$A6069&amp;"|"&amp;DATOS!$D6069&amp;"|"&amp;DATOS!$E6069&amp;"|"&amp;DATOS!$I6069)</f>
      </c>
      <c r="G6069">
        <f>IF(DATOS!$A6069="",0,IF(CONFIG_METADATA!$B$4&lt;&gt;"OR+EX",--(DATOS!$G6069=CONFIG_METADATA!$B$4),IF(DATOS!$G6069="EX",1,IF(DATOS!$G6069="OR",--(COUNTIFS(nNIA,DATOS!$A6069,nCURSO,DATOS!$D6069,nESPEC,DATOS!$E6069,nASIG,DATOS!$I6069,nEVAL,"EX")=0),0))))</f>
      </c>
      <c r="H6069">
        <f>IF(DATOS!$G6069&lt;&gt;"EX",0,--(COUNTIFS(nNIA,DATOS!$A6069,nCURSO,DATOS!$D6069,nESPEC,DATOS!$E6069,nASIG,DATOS!$I6069,nEVAL,"OR")=0))</f>
      </c>
      <c r="I6069">
        <f>IF(DATOS!$I6069="","",IFERROR(VLOOKUP(DATOS!$I6069,CONFIG_ASIGNATURAS!$B$2:$J$91,9,FALSE()),""))</f>
      </c>
    </row>
    <row r="6070">
      <c r="F6070">
        <f>IF(DATOS!$A6070="","",DATOS!$A6070&amp;"|"&amp;DATOS!$D6070&amp;"|"&amp;DATOS!$E6070&amp;"|"&amp;DATOS!$I6070)</f>
      </c>
      <c r="G6070">
        <f>IF(DATOS!$A6070="",0,IF(CONFIG_METADATA!$B$4&lt;&gt;"OR+EX",--(DATOS!$G6070=CONFIG_METADATA!$B$4),IF(DATOS!$G6070="EX",1,IF(DATOS!$G6070="OR",--(COUNTIFS(nNIA,DATOS!$A6070,nCURSO,DATOS!$D6070,nESPEC,DATOS!$E6070,nASIG,DATOS!$I6070,nEVAL,"EX")=0),0))))</f>
      </c>
      <c r="H6070">
        <f>IF(DATOS!$G6070&lt;&gt;"EX",0,--(COUNTIFS(nNIA,DATOS!$A6070,nCURSO,DATOS!$D6070,nESPEC,DATOS!$E6070,nASIG,DATOS!$I6070,nEVAL,"OR")=0))</f>
      </c>
      <c r="I6070">
        <f>IF(DATOS!$I6070="","",IFERROR(VLOOKUP(DATOS!$I6070,CONFIG_ASIGNATURAS!$B$2:$J$91,9,FALSE()),""))</f>
      </c>
    </row>
    <row r="6071">
      <c r="F6071">
        <f>IF(DATOS!$A6071="","",DATOS!$A6071&amp;"|"&amp;DATOS!$D6071&amp;"|"&amp;DATOS!$E6071&amp;"|"&amp;DATOS!$I6071)</f>
      </c>
      <c r="G6071">
        <f>IF(DATOS!$A6071="",0,IF(CONFIG_METADATA!$B$4&lt;&gt;"OR+EX",--(DATOS!$G6071=CONFIG_METADATA!$B$4),IF(DATOS!$G6071="EX",1,IF(DATOS!$G6071="OR",--(COUNTIFS(nNIA,DATOS!$A6071,nCURSO,DATOS!$D6071,nESPEC,DATOS!$E6071,nASIG,DATOS!$I6071,nEVAL,"EX")=0),0))))</f>
      </c>
      <c r="H6071">
        <f>IF(DATOS!$G6071&lt;&gt;"EX",0,--(COUNTIFS(nNIA,DATOS!$A6071,nCURSO,DATOS!$D6071,nESPEC,DATOS!$E6071,nASIG,DATOS!$I6071,nEVAL,"OR")=0))</f>
      </c>
      <c r="I6071">
        <f>IF(DATOS!$I6071="","",IFERROR(VLOOKUP(DATOS!$I6071,CONFIG_ASIGNATURAS!$B$2:$J$91,9,FALSE()),""))</f>
      </c>
    </row>
    <row r="6072">
      <c r="F6072">
        <f>IF(DATOS!$A6072="","",DATOS!$A6072&amp;"|"&amp;DATOS!$D6072&amp;"|"&amp;DATOS!$E6072&amp;"|"&amp;DATOS!$I6072)</f>
      </c>
      <c r="G6072">
        <f>IF(DATOS!$A6072="",0,IF(CONFIG_METADATA!$B$4&lt;&gt;"OR+EX",--(DATOS!$G6072=CONFIG_METADATA!$B$4),IF(DATOS!$G6072="EX",1,IF(DATOS!$G6072="OR",--(COUNTIFS(nNIA,DATOS!$A6072,nCURSO,DATOS!$D6072,nESPEC,DATOS!$E6072,nASIG,DATOS!$I6072,nEVAL,"EX")=0),0))))</f>
      </c>
      <c r="H6072">
        <f>IF(DATOS!$G6072&lt;&gt;"EX",0,--(COUNTIFS(nNIA,DATOS!$A6072,nCURSO,DATOS!$D6072,nESPEC,DATOS!$E6072,nASIG,DATOS!$I6072,nEVAL,"OR")=0))</f>
      </c>
      <c r="I6072">
        <f>IF(DATOS!$I6072="","",IFERROR(VLOOKUP(DATOS!$I6072,CONFIG_ASIGNATURAS!$B$2:$J$91,9,FALSE()),""))</f>
      </c>
    </row>
    <row r="6073">
      <c r="F6073">
        <f>IF(DATOS!$A6073="","",DATOS!$A6073&amp;"|"&amp;DATOS!$D6073&amp;"|"&amp;DATOS!$E6073&amp;"|"&amp;DATOS!$I6073)</f>
      </c>
      <c r="G6073">
        <f>IF(DATOS!$A6073="",0,IF(CONFIG_METADATA!$B$4&lt;&gt;"OR+EX",--(DATOS!$G6073=CONFIG_METADATA!$B$4),IF(DATOS!$G6073="EX",1,IF(DATOS!$G6073="OR",--(COUNTIFS(nNIA,DATOS!$A6073,nCURSO,DATOS!$D6073,nESPEC,DATOS!$E6073,nASIG,DATOS!$I6073,nEVAL,"EX")=0),0))))</f>
      </c>
      <c r="H6073">
        <f>IF(DATOS!$G6073&lt;&gt;"EX",0,--(COUNTIFS(nNIA,DATOS!$A6073,nCURSO,DATOS!$D6073,nESPEC,DATOS!$E6073,nASIG,DATOS!$I6073,nEVAL,"OR")=0))</f>
      </c>
      <c r="I6073">
        <f>IF(DATOS!$I6073="","",IFERROR(VLOOKUP(DATOS!$I6073,CONFIG_ASIGNATURAS!$B$2:$J$91,9,FALSE()),""))</f>
      </c>
    </row>
    <row r="6074">
      <c r="F6074">
        <f>IF(DATOS!$A6074="","",DATOS!$A6074&amp;"|"&amp;DATOS!$D6074&amp;"|"&amp;DATOS!$E6074&amp;"|"&amp;DATOS!$I6074)</f>
      </c>
      <c r="G6074">
        <f>IF(DATOS!$A6074="",0,IF(CONFIG_METADATA!$B$4&lt;&gt;"OR+EX",--(DATOS!$G6074=CONFIG_METADATA!$B$4),IF(DATOS!$G6074="EX",1,IF(DATOS!$G6074="OR",--(COUNTIFS(nNIA,DATOS!$A6074,nCURSO,DATOS!$D6074,nESPEC,DATOS!$E6074,nASIG,DATOS!$I6074,nEVAL,"EX")=0),0))))</f>
      </c>
      <c r="H6074">
        <f>IF(DATOS!$G6074&lt;&gt;"EX",0,--(COUNTIFS(nNIA,DATOS!$A6074,nCURSO,DATOS!$D6074,nESPEC,DATOS!$E6074,nASIG,DATOS!$I6074,nEVAL,"OR")=0))</f>
      </c>
      <c r="I6074">
        <f>IF(DATOS!$I6074="","",IFERROR(VLOOKUP(DATOS!$I6074,CONFIG_ASIGNATURAS!$B$2:$J$91,9,FALSE()),""))</f>
      </c>
    </row>
    <row r="6075">
      <c r="F6075">
        <f>IF(DATOS!$A6075="","",DATOS!$A6075&amp;"|"&amp;DATOS!$D6075&amp;"|"&amp;DATOS!$E6075&amp;"|"&amp;DATOS!$I6075)</f>
      </c>
      <c r="G6075">
        <f>IF(DATOS!$A6075="",0,IF(CONFIG_METADATA!$B$4&lt;&gt;"OR+EX",--(DATOS!$G6075=CONFIG_METADATA!$B$4),IF(DATOS!$G6075="EX",1,IF(DATOS!$G6075="OR",--(COUNTIFS(nNIA,DATOS!$A6075,nCURSO,DATOS!$D6075,nESPEC,DATOS!$E6075,nASIG,DATOS!$I6075,nEVAL,"EX")=0),0))))</f>
      </c>
      <c r="H6075">
        <f>IF(DATOS!$G6075&lt;&gt;"EX",0,--(COUNTIFS(nNIA,DATOS!$A6075,nCURSO,DATOS!$D6075,nESPEC,DATOS!$E6075,nASIG,DATOS!$I6075,nEVAL,"OR")=0))</f>
      </c>
      <c r="I6075">
        <f>IF(DATOS!$I6075="","",IFERROR(VLOOKUP(DATOS!$I6075,CONFIG_ASIGNATURAS!$B$2:$J$91,9,FALSE()),""))</f>
      </c>
    </row>
    <row r="6076">
      <c r="F6076">
        <f>IF(DATOS!$A6076="","",DATOS!$A6076&amp;"|"&amp;DATOS!$D6076&amp;"|"&amp;DATOS!$E6076&amp;"|"&amp;DATOS!$I6076)</f>
      </c>
      <c r="G6076">
        <f>IF(DATOS!$A6076="",0,IF(CONFIG_METADATA!$B$4&lt;&gt;"OR+EX",--(DATOS!$G6076=CONFIG_METADATA!$B$4),IF(DATOS!$G6076="EX",1,IF(DATOS!$G6076="OR",--(COUNTIFS(nNIA,DATOS!$A6076,nCURSO,DATOS!$D6076,nESPEC,DATOS!$E6076,nASIG,DATOS!$I6076,nEVAL,"EX")=0),0))))</f>
      </c>
      <c r="H6076">
        <f>IF(DATOS!$G6076&lt;&gt;"EX",0,--(COUNTIFS(nNIA,DATOS!$A6076,nCURSO,DATOS!$D6076,nESPEC,DATOS!$E6076,nASIG,DATOS!$I6076,nEVAL,"OR")=0))</f>
      </c>
      <c r="I6076">
        <f>IF(DATOS!$I6076="","",IFERROR(VLOOKUP(DATOS!$I6076,CONFIG_ASIGNATURAS!$B$2:$J$91,9,FALSE()),""))</f>
      </c>
    </row>
    <row r="6077">
      <c r="F6077">
        <f>IF(DATOS!$A6077="","",DATOS!$A6077&amp;"|"&amp;DATOS!$D6077&amp;"|"&amp;DATOS!$E6077&amp;"|"&amp;DATOS!$I6077)</f>
      </c>
      <c r="G6077">
        <f>IF(DATOS!$A6077="",0,IF(CONFIG_METADATA!$B$4&lt;&gt;"OR+EX",--(DATOS!$G6077=CONFIG_METADATA!$B$4),IF(DATOS!$G6077="EX",1,IF(DATOS!$G6077="OR",--(COUNTIFS(nNIA,DATOS!$A6077,nCURSO,DATOS!$D6077,nESPEC,DATOS!$E6077,nASIG,DATOS!$I6077,nEVAL,"EX")=0),0))))</f>
      </c>
      <c r="H6077">
        <f>IF(DATOS!$G6077&lt;&gt;"EX",0,--(COUNTIFS(nNIA,DATOS!$A6077,nCURSO,DATOS!$D6077,nESPEC,DATOS!$E6077,nASIG,DATOS!$I6077,nEVAL,"OR")=0))</f>
      </c>
      <c r="I6077">
        <f>IF(DATOS!$I6077="","",IFERROR(VLOOKUP(DATOS!$I6077,CONFIG_ASIGNATURAS!$B$2:$J$91,9,FALSE()),""))</f>
      </c>
    </row>
    <row r="6078">
      <c r="F6078">
        <f>IF(DATOS!$A6078="","",DATOS!$A6078&amp;"|"&amp;DATOS!$D6078&amp;"|"&amp;DATOS!$E6078&amp;"|"&amp;DATOS!$I6078)</f>
      </c>
      <c r="G6078">
        <f>IF(DATOS!$A6078="",0,IF(CONFIG_METADATA!$B$4&lt;&gt;"OR+EX",--(DATOS!$G6078=CONFIG_METADATA!$B$4),IF(DATOS!$G6078="EX",1,IF(DATOS!$G6078="OR",--(COUNTIFS(nNIA,DATOS!$A6078,nCURSO,DATOS!$D6078,nESPEC,DATOS!$E6078,nASIG,DATOS!$I6078,nEVAL,"EX")=0),0))))</f>
      </c>
      <c r="H6078">
        <f>IF(DATOS!$G6078&lt;&gt;"EX",0,--(COUNTIFS(nNIA,DATOS!$A6078,nCURSO,DATOS!$D6078,nESPEC,DATOS!$E6078,nASIG,DATOS!$I6078,nEVAL,"OR")=0))</f>
      </c>
      <c r="I6078">
        <f>IF(DATOS!$I6078="","",IFERROR(VLOOKUP(DATOS!$I6078,CONFIG_ASIGNATURAS!$B$2:$J$91,9,FALSE()),""))</f>
      </c>
    </row>
    <row r="6079">
      <c r="F6079">
        <f>IF(DATOS!$A6079="","",DATOS!$A6079&amp;"|"&amp;DATOS!$D6079&amp;"|"&amp;DATOS!$E6079&amp;"|"&amp;DATOS!$I6079)</f>
      </c>
      <c r="G6079">
        <f>IF(DATOS!$A6079="",0,IF(CONFIG_METADATA!$B$4&lt;&gt;"OR+EX",--(DATOS!$G6079=CONFIG_METADATA!$B$4),IF(DATOS!$G6079="EX",1,IF(DATOS!$G6079="OR",--(COUNTIFS(nNIA,DATOS!$A6079,nCURSO,DATOS!$D6079,nESPEC,DATOS!$E6079,nASIG,DATOS!$I6079,nEVAL,"EX")=0),0))))</f>
      </c>
      <c r="H6079">
        <f>IF(DATOS!$G6079&lt;&gt;"EX",0,--(COUNTIFS(nNIA,DATOS!$A6079,nCURSO,DATOS!$D6079,nESPEC,DATOS!$E6079,nASIG,DATOS!$I6079,nEVAL,"OR")=0))</f>
      </c>
      <c r="I6079">
        <f>IF(DATOS!$I6079="","",IFERROR(VLOOKUP(DATOS!$I6079,CONFIG_ASIGNATURAS!$B$2:$J$91,9,FALSE()),""))</f>
      </c>
    </row>
    <row r="6080">
      <c r="F6080">
        <f>IF(DATOS!$A6080="","",DATOS!$A6080&amp;"|"&amp;DATOS!$D6080&amp;"|"&amp;DATOS!$E6080&amp;"|"&amp;DATOS!$I6080)</f>
      </c>
      <c r="G6080">
        <f>IF(DATOS!$A6080="",0,IF(CONFIG_METADATA!$B$4&lt;&gt;"OR+EX",--(DATOS!$G6080=CONFIG_METADATA!$B$4),IF(DATOS!$G6080="EX",1,IF(DATOS!$G6080="OR",--(COUNTIFS(nNIA,DATOS!$A6080,nCURSO,DATOS!$D6080,nESPEC,DATOS!$E6080,nASIG,DATOS!$I6080,nEVAL,"EX")=0),0))))</f>
      </c>
      <c r="H6080">
        <f>IF(DATOS!$G6080&lt;&gt;"EX",0,--(COUNTIFS(nNIA,DATOS!$A6080,nCURSO,DATOS!$D6080,nESPEC,DATOS!$E6080,nASIG,DATOS!$I6080,nEVAL,"OR")=0))</f>
      </c>
      <c r="I6080">
        <f>IF(DATOS!$I6080="","",IFERROR(VLOOKUP(DATOS!$I6080,CONFIG_ASIGNATURAS!$B$2:$J$91,9,FALSE()),""))</f>
      </c>
    </row>
    <row r="6081">
      <c r="F6081">
        <f>IF(DATOS!$A6081="","",DATOS!$A6081&amp;"|"&amp;DATOS!$D6081&amp;"|"&amp;DATOS!$E6081&amp;"|"&amp;DATOS!$I6081)</f>
      </c>
      <c r="G6081">
        <f>IF(DATOS!$A6081="",0,IF(CONFIG_METADATA!$B$4&lt;&gt;"OR+EX",--(DATOS!$G6081=CONFIG_METADATA!$B$4),IF(DATOS!$G6081="EX",1,IF(DATOS!$G6081="OR",--(COUNTIFS(nNIA,DATOS!$A6081,nCURSO,DATOS!$D6081,nESPEC,DATOS!$E6081,nASIG,DATOS!$I6081,nEVAL,"EX")=0),0))))</f>
      </c>
      <c r="H6081">
        <f>IF(DATOS!$G6081&lt;&gt;"EX",0,--(COUNTIFS(nNIA,DATOS!$A6081,nCURSO,DATOS!$D6081,nESPEC,DATOS!$E6081,nASIG,DATOS!$I6081,nEVAL,"OR")=0))</f>
      </c>
      <c r="I6081">
        <f>IF(DATOS!$I6081="","",IFERROR(VLOOKUP(DATOS!$I6081,CONFIG_ASIGNATURAS!$B$2:$J$91,9,FALSE()),""))</f>
      </c>
    </row>
    <row r="6082">
      <c r="F6082">
        <f>IF(DATOS!$A6082="","",DATOS!$A6082&amp;"|"&amp;DATOS!$D6082&amp;"|"&amp;DATOS!$E6082&amp;"|"&amp;DATOS!$I6082)</f>
      </c>
      <c r="G6082">
        <f>IF(DATOS!$A6082="",0,IF(CONFIG_METADATA!$B$4&lt;&gt;"OR+EX",--(DATOS!$G6082=CONFIG_METADATA!$B$4),IF(DATOS!$G6082="EX",1,IF(DATOS!$G6082="OR",--(COUNTIFS(nNIA,DATOS!$A6082,nCURSO,DATOS!$D6082,nESPEC,DATOS!$E6082,nASIG,DATOS!$I6082,nEVAL,"EX")=0),0))))</f>
      </c>
      <c r="H6082">
        <f>IF(DATOS!$G6082&lt;&gt;"EX",0,--(COUNTIFS(nNIA,DATOS!$A6082,nCURSO,DATOS!$D6082,nESPEC,DATOS!$E6082,nASIG,DATOS!$I6082,nEVAL,"OR")=0))</f>
      </c>
      <c r="I6082">
        <f>IF(DATOS!$I6082="","",IFERROR(VLOOKUP(DATOS!$I6082,CONFIG_ASIGNATURAS!$B$2:$J$91,9,FALSE()),""))</f>
      </c>
    </row>
    <row r="6083">
      <c r="F6083">
        <f>IF(DATOS!$A6083="","",DATOS!$A6083&amp;"|"&amp;DATOS!$D6083&amp;"|"&amp;DATOS!$E6083&amp;"|"&amp;DATOS!$I6083)</f>
      </c>
      <c r="G6083">
        <f>IF(DATOS!$A6083="",0,IF(CONFIG_METADATA!$B$4&lt;&gt;"OR+EX",--(DATOS!$G6083=CONFIG_METADATA!$B$4),IF(DATOS!$G6083="EX",1,IF(DATOS!$G6083="OR",--(COUNTIFS(nNIA,DATOS!$A6083,nCURSO,DATOS!$D6083,nESPEC,DATOS!$E6083,nASIG,DATOS!$I6083,nEVAL,"EX")=0),0))))</f>
      </c>
      <c r="H6083">
        <f>IF(DATOS!$G6083&lt;&gt;"EX",0,--(COUNTIFS(nNIA,DATOS!$A6083,nCURSO,DATOS!$D6083,nESPEC,DATOS!$E6083,nASIG,DATOS!$I6083,nEVAL,"OR")=0))</f>
      </c>
      <c r="I6083">
        <f>IF(DATOS!$I6083="","",IFERROR(VLOOKUP(DATOS!$I6083,CONFIG_ASIGNATURAS!$B$2:$J$91,9,FALSE()),""))</f>
      </c>
    </row>
    <row r="6084">
      <c r="F6084">
        <f>IF(DATOS!$A6084="","",DATOS!$A6084&amp;"|"&amp;DATOS!$D6084&amp;"|"&amp;DATOS!$E6084&amp;"|"&amp;DATOS!$I6084)</f>
      </c>
      <c r="G6084">
        <f>IF(DATOS!$A6084="",0,IF(CONFIG_METADATA!$B$4&lt;&gt;"OR+EX",--(DATOS!$G6084=CONFIG_METADATA!$B$4),IF(DATOS!$G6084="EX",1,IF(DATOS!$G6084="OR",--(COUNTIFS(nNIA,DATOS!$A6084,nCURSO,DATOS!$D6084,nESPEC,DATOS!$E6084,nASIG,DATOS!$I6084,nEVAL,"EX")=0),0))))</f>
      </c>
      <c r="H6084">
        <f>IF(DATOS!$G6084&lt;&gt;"EX",0,--(COUNTIFS(nNIA,DATOS!$A6084,nCURSO,DATOS!$D6084,nESPEC,DATOS!$E6084,nASIG,DATOS!$I6084,nEVAL,"OR")=0))</f>
      </c>
      <c r="I6084">
        <f>IF(DATOS!$I6084="","",IFERROR(VLOOKUP(DATOS!$I6084,CONFIG_ASIGNATURAS!$B$2:$J$91,9,FALSE()),""))</f>
      </c>
    </row>
    <row r="6085">
      <c r="F6085">
        <f>IF(DATOS!$A6085="","",DATOS!$A6085&amp;"|"&amp;DATOS!$D6085&amp;"|"&amp;DATOS!$E6085&amp;"|"&amp;DATOS!$I6085)</f>
      </c>
      <c r="G6085">
        <f>IF(DATOS!$A6085="",0,IF(CONFIG_METADATA!$B$4&lt;&gt;"OR+EX",--(DATOS!$G6085=CONFIG_METADATA!$B$4),IF(DATOS!$G6085="EX",1,IF(DATOS!$G6085="OR",--(COUNTIFS(nNIA,DATOS!$A6085,nCURSO,DATOS!$D6085,nESPEC,DATOS!$E6085,nASIG,DATOS!$I6085,nEVAL,"EX")=0),0))))</f>
      </c>
      <c r="H6085">
        <f>IF(DATOS!$G6085&lt;&gt;"EX",0,--(COUNTIFS(nNIA,DATOS!$A6085,nCURSO,DATOS!$D6085,nESPEC,DATOS!$E6085,nASIG,DATOS!$I6085,nEVAL,"OR")=0))</f>
      </c>
      <c r="I6085">
        <f>IF(DATOS!$I6085="","",IFERROR(VLOOKUP(DATOS!$I6085,CONFIG_ASIGNATURAS!$B$2:$J$91,9,FALSE()),""))</f>
      </c>
    </row>
    <row r="6086">
      <c r="F6086">
        <f>IF(DATOS!$A6086="","",DATOS!$A6086&amp;"|"&amp;DATOS!$D6086&amp;"|"&amp;DATOS!$E6086&amp;"|"&amp;DATOS!$I6086)</f>
      </c>
      <c r="G6086">
        <f>IF(DATOS!$A6086="",0,IF(CONFIG_METADATA!$B$4&lt;&gt;"OR+EX",--(DATOS!$G6086=CONFIG_METADATA!$B$4),IF(DATOS!$G6086="EX",1,IF(DATOS!$G6086="OR",--(COUNTIFS(nNIA,DATOS!$A6086,nCURSO,DATOS!$D6086,nESPEC,DATOS!$E6086,nASIG,DATOS!$I6086,nEVAL,"EX")=0),0))))</f>
      </c>
      <c r="H6086">
        <f>IF(DATOS!$G6086&lt;&gt;"EX",0,--(COUNTIFS(nNIA,DATOS!$A6086,nCURSO,DATOS!$D6086,nESPEC,DATOS!$E6086,nASIG,DATOS!$I6086,nEVAL,"OR")=0))</f>
      </c>
      <c r="I6086">
        <f>IF(DATOS!$I6086="","",IFERROR(VLOOKUP(DATOS!$I6086,CONFIG_ASIGNATURAS!$B$2:$J$91,9,FALSE()),""))</f>
      </c>
    </row>
    <row r="6087">
      <c r="F6087">
        <f>IF(DATOS!$A6087="","",DATOS!$A6087&amp;"|"&amp;DATOS!$D6087&amp;"|"&amp;DATOS!$E6087&amp;"|"&amp;DATOS!$I6087)</f>
      </c>
      <c r="G6087">
        <f>IF(DATOS!$A6087="",0,IF(CONFIG_METADATA!$B$4&lt;&gt;"OR+EX",--(DATOS!$G6087=CONFIG_METADATA!$B$4),IF(DATOS!$G6087="EX",1,IF(DATOS!$G6087="OR",--(COUNTIFS(nNIA,DATOS!$A6087,nCURSO,DATOS!$D6087,nESPEC,DATOS!$E6087,nASIG,DATOS!$I6087,nEVAL,"EX")=0),0))))</f>
      </c>
      <c r="H6087">
        <f>IF(DATOS!$G6087&lt;&gt;"EX",0,--(COUNTIFS(nNIA,DATOS!$A6087,nCURSO,DATOS!$D6087,nESPEC,DATOS!$E6087,nASIG,DATOS!$I6087,nEVAL,"OR")=0))</f>
      </c>
      <c r="I6087">
        <f>IF(DATOS!$I6087="","",IFERROR(VLOOKUP(DATOS!$I6087,CONFIG_ASIGNATURAS!$B$2:$J$91,9,FALSE()),""))</f>
      </c>
    </row>
    <row r="6088">
      <c r="F6088">
        <f>IF(DATOS!$A6088="","",DATOS!$A6088&amp;"|"&amp;DATOS!$D6088&amp;"|"&amp;DATOS!$E6088&amp;"|"&amp;DATOS!$I6088)</f>
      </c>
      <c r="G6088">
        <f>IF(DATOS!$A6088="",0,IF(CONFIG_METADATA!$B$4&lt;&gt;"OR+EX",--(DATOS!$G6088=CONFIG_METADATA!$B$4),IF(DATOS!$G6088="EX",1,IF(DATOS!$G6088="OR",--(COUNTIFS(nNIA,DATOS!$A6088,nCURSO,DATOS!$D6088,nESPEC,DATOS!$E6088,nASIG,DATOS!$I6088,nEVAL,"EX")=0),0))))</f>
      </c>
      <c r="H6088">
        <f>IF(DATOS!$G6088&lt;&gt;"EX",0,--(COUNTIFS(nNIA,DATOS!$A6088,nCURSO,DATOS!$D6088,nESPEC,DATOS!$E6088,nASIG,DATOS!$I6088,nEVAL,"OR")=0))</f>
      </c>
      <c r="I6088">
        <f>IF(DATOS!$I6088="","",IFERROR(VLOOKUP(DATOS!$I6088,CONFIG_ASIGNATURAS!$B$2:$J$91,9,FALSE()),""))</f>
      </c>
    </row>
    <row r="6089">
      <c r="F6089">
        <f>IF(DATOS!$A6089="","",DATOS!$A6089&amp;"|"&amp;DATOS!$D6089&amp;"|"&amp;DATOS!$E6089&amp;"|"&amp;DATOS!$I6089)</f>
      </c>
      <c r="G6089">
        <f>IF(DATOS!$A6089="",0,IF(CONFIG_METADATA!$B$4&lt;&gt;"OR+EX",--(DATOS!$G6089=CONFIG_METADATA!$B$4),IF(DATOS!$G6089="EX",1,IF(DATOS!$G6089="OR",--(COUNTIFS(nNIA,DATOS!$A6089,nCURSO,DATOS!$D6089,nESPEC,DATOS!$E6089,nASIG,DATOS!$I6089,nEVAL,"EX")=0),0))))</f>
      </c>
      <c r="H6089">
        <f>IF(DATOS!$G6089&lt;&gt;"EX",0,--(COUNTIFS(nNIA,DATOS!$A6089,nCURSO,DATOS!$D6089,nESPEC,DATOS!$E6089,nASIG,DATOS!$I6089,nEVAL,"OR")=0))</f>
      </c>
      <c r="I6089">
        <f>IF(DATOS!$I6089="","",IFERROR(VLOOKUP(DATOS!$I6089,CONFIG_ASIGNATURAS!$B$2:$J$91,9,FALSE()),""))</f>
      </c>
    </row>
    <row r="6090">
      <c r="F6090">
        <f>IF(DATOS!$A6090="","",DATOS!$A6090&amp;"|"&amp;DATOS!$D6090&amp;"|"&amp;DATOS!$E6090&amp;"|"&amp;DATOS!$I6090)</f>
      </c>
      <c r="G6090">
        <f>IF(DATOS!$A6090="",0,IF(CONFIG_METADATA!$B$4&lt;&gt;"OR+EX",--(DATOS!$G6090=CONFIG_METADATA!$B$4),IF(DATOS!$G6090="EX",1,IF(DATOS!$G6090="OR",--(COUNTIFS(nNIA,DATOS!$A6090,nCURSO,DATOS!$D6090,nESPEC,DATOS!$E6090,nASIG,DATOS!$I6090,nEVAL,"EX")=0),0))))</f>
      </c>
      <c r="H6090">
        <f>IF(DATOS!$G6090&lt;&gt;"EX",0,--(COUNTIFS(nNIA,DATOS!$A6090,nCURSO,DATOS!$D6090,nESPEC,DATOS!$E6090,nASIG,DATOS!$I6090,nEVAL,"OR")=0))</f>
      </c>
      <c r="I6090">
        <f>IF(DATOS!$I6090="","",IFERROR(VLOOKUP(DATOS!$I6090,CONFIG_ASIGNATURAS!$B$2:$J$91,9,FALSE()),""))</f>
      </c>
    </row>
    <row r="6091">
      <c r="F6091">
        <f>IF(DATOS!$A6091="","",DATOS!$A6091&amp;"|"&amp;DATOS!$D6091&amp;"|"&amp;DATOS!$E6091&amp;"|"&amp;DATOS!$I6091)</f>
      </c>
      <c r="G6091">
        <f>IF(DATOS!$A6091="",0,IF(CONFIG_METADATA!$B$4&lt;&gt;"OR+EX",--(DATOS!$G6091=CONFIG_METADATA!$B$4),IF(DATOS!$G6091="EX",1,IF(DATOS!$G6091="OR",--(COUNTIFS(nNIA,DATOS!$A6091,nCURSO,DATOS!$D6091,nESPEC,DATOS!$E6091,nASIG,DATOS!$I6091,nEVAL,"EX")=0),0))))</f>
      </c>
      <c r="H6091">
        <f>IF(DATOS!$G6091&lt;&gt;"EX",0,--(COUNTIFS(nNIA,DATOS!$A6091,nCURSO,DATOS!$D6091,nESPEC,DATOS!$E6091,nASIG,DATOS!$I6091,nEVAL,"OR")=0))</f>
      </c>
      <c r="I6091">
        <f>IF(DATOS!$I6091="","",IFERROR(VLOOKUP(DATOS!$I6091,CONFIG_ASIGNATURAS!$B$2:$J$91,9,FALSE()),""))</f>
      </c>
    </row>
    <row r="6092">
      <c r="F6092">
        <f>IF(DATOS!$A6092="","",DATOS!$A6092&amp;"|"&amp;DATOS!$D6092&amp;"|"&amp;DATOS!$E6092&amp;"|"&amp;DATOS!$I6092)</f>
      </c>
      <c r="G6092">
        <f>IF(DATOS!$A6092="",0,IF(CONFIG_METADATA!$B$4&lt;&gt;"OR+EX",--(DATOS!$G6092=CONFIG_METADATA!$B$4),IF(DATOS!$G6092="EX",1,IF(DATOS!$G6092="OR",--(COUNTIFS(nNIA,DATOS!$A6092,nCURSO,DATOS!$D6092,nESPEC,DATOS!$E6092,nASIG,DATOS!$I6092,nEVAL,"EX")=0),0))))</f>
      </c>
      <c r="H6092">
        <f>IF(DATOS!$G6092&lt;&gt;"EX",0,--(COUNTIFS(nNIA,DATOS!$A6092,nCURSO,DATOS!$D6092,nESPEC,DATOS!$E6092,nASIG,DATOS!$I6092,nEVAL,"OR")=0))</f>
      </c>
      <c r="I6092">
        <f>IF(DATOS!$I6092="","",IFERROR(VLOOKUP(DATOS!$I6092,CONFIG_ASIGNATURAS!$B$2:$J$91,9,FALSE()),""))</f>
      </c>
    </row>
    <row r="6093">
      <c r="F6093">
        <f>IF(DATOS!$A6093="","",DATOS!$A6093&amp;"|"&amp;DATOS!$D6093&amp;"|"&amp;DATOS!$E6093&amp;"|"&amp;DATOS!$I6093)</f>
      </c>
      <c r="G6093">
        <f>IF(DATOS!$A6093="",0,IF(CONFIG_METADATA!$B$4&lt;&gt;"OR+EX",--(DATOS!$G6093=CONFIG_METADATA!$B$4),IF(DATOS!$G6093="EX",1,IF(DATOS!$G6093="OR",--(COUNTIFS(nNIA,DATOS!$A6093,nCURSO,DATOS!$D6093,nESPEC,DATOS!$E6093,nASIG,DATOS!$I6093,nEVAL,"EX")=0),0))))</f>
      </c>
      <c r="H6093">
        <f>IF(DATOS!$G6093&lt;&gt;"EX",0,--(COUNTIFS(nNIA,DATOS!$A6093,nCURSO,DATOS!$D6093,nESPEC,DATOS!$E6093,nASIG,DATOS!$I6093,nEVAL,"OR")=0))</f>
      </c>
      <c r="I6093">
        <f>IF(DATOS!$I6093="","",IFERROR(VLOOKUP(DATOS!$I6093,CONFIG_ASIGNATURAS!$B$2:$J$91,9,FALSE()),""))</f>
      </c>
    </row>
    <row r="6094">
      <c r="F6094">
        <f>IF(DATOS!$A6094="","",DATOS!$A6094&amp;"|"&amp;DATOS!$D6094&amp;"|"&amp;DATOS!$E6094&amp;"|"&amp;DATOS!$I6094)</f>
      </c>
      <c r="G6094">
        <f>IF(DATOS!$A6094="",0,IF(CONFIG_METADATA!$B$4&lt;&gt;"OR+EX",--(DATOS!$G6094=CONFIG_METADATA!$B$4),IF(DATOS!$G6094="EX",1,IF(DATOS!$G6094="OR",--(COUNTIFS(nNIA,DATOS!$A6094,nCURSO,DATOS!$D6094,nESPEC,DATOS!$E6094,nASIG,DATOS!$I6094,nEVAL,"EX")=0),0))))</f>
      </c>
      <c r="H6094">
        <f>IF(DATOS!$G6094&lt;&gt;"EX",0,--(COUNTIFS(nNIA,DATOS!$A6094,nCURSO,DATOS!$D6094,nESPEC,DATOS!$E6094,nASIG,DATOS!$I6094,nEVAL,"OR")=0))</f>
      </c>
      <c r="I6094">
        <f>IF(DATOS!$I6094="","",IFERROR(VLOOKUP(DATOS!$I6094,CONFIG_ASIGNATURAS!$B$2:$J$91,9,FALSE()),""))</f>
      </c>
    </row>
    <row r="6095">
      <c r="F6095">
        <f>IF(DATOS!$A6095="","",DATOS!$A6095&amp;"|"&amp;DATOS!$D6095&amp;"|"&amp;DATOS!$E6095&amp;"|"&amp;DATOS!$I6095)</f>
      </c>
      <c r="G6095">
        <f>IF(DATOS!$A6095="",0,IF(CONFIG_METADATA!$B$4&lt;&gt;"OR+EX",--(DATOS!$G6095=CONFIG_METADATA!$B$4),IF(DATOS!$G6095="EX",1,IF(DATOS!$G6095="OR",--(COUNTIFS(nNIA,DATOS!$A6095,nCURSO,DATOS!$D6095,nESPEC,DATOS!$E6095,nASIG,DATOS!$I6095,nEVAL,"EX")=0),0))))</f>
      </c>
      <c r="H6095">
        <f>IF(DATOS!$G6095&lt;&gt;"EX",0,--(COUNTIFS(nNIA,DATOS!$A6095,nCURSO,DATOS!$D6095,nESPEC,DATOS!$E6095,nASIG,DATOS!$I6095,nEVAL,"OR")=0))</f>
      </c>
      <c r="I6095">
        <f>IF(DATOS!$I6095="","",IFERROR(VLOOKUP(DATOS!$I6095,CONFIG_ASIGNATURAS!$B$2:$J$91,9,FALSE()),""))</f>
      </c>
    </row>
    <row r="6096">
      <c r="F6096">
        <f>IF(DATOS!$A6096="","",DATOS!$A6096&amp;"|"&amp;DATOS!$D6096&amp;"|"&amp;DATOS!$E6096&amp;"|"&amp;DATOS!$I6096)</f>
      </c>
      <c r="G6096">
        <f>IF(DATOS!$A6096="",0,IF(CONFIG_METADATA!$B$4&lt;&gt;"OR+EX",--(DATOS!$G6096=CONFIG_METADATA!$B$4),IF(DATOS!$G6096="EX",1,IF(DATOS!$G6096="OR",--(COUNTIFS(nNIA,DATOS!$A6096,nCURSO,DATOS!$D6096,nESPEC,DATOS!$E6096,nASIG,DATOS!$I6096,nEVAL,"EX")=0),0))))</f>
      </c>
      <c r="H6096">
        <f>IF(DATOS!$G6096&lt;&gt;"EX",0,--(COUNTIFS(nNIA,DATOS!$A6096,nCURSO,DATOS!$D6096,nESPEC,DATOS!$E6096,nASIG,DATOS!$I6096,nEVAL,"OR")=0))</f>
      </c>
      <c r="I6096">
        <f>IF(DATOS!$I6096="","",IFERROR(VLOOKUP(DATOS!$I6096,CONFIG_ASIGNATURAS!$B$2:$J$91,9,FALSE()),""))</f>
      </c>
    </row>
    <row r="6097">
      <c r="F6097">
        <f>IF(DATOS!$A6097="","",DATOS!$A6097&amp;"|"&amp;DATOS!$D6097&amp;"|"&amp;DATOS!$E6097&amp;"|"&amp;DATOS!$I6097)</f>
      </c>
      <c r="G6097">
        <f>IF(DATOS!$A6097="",0,IF(CONFIG_METADATA!$B$4&lt;&gt;"OR+EX",--(DATOS!$G6097=CONFIG_METADATA!$B$4),IF(DATOS!$G6097="EX",1,IF(DATOS!$G6097="OR",--(COUNTIFS(nNIA,DATOS!$A6097,nCURSO,DATOS!$D6097,nESPEC,DATOS!$E6097,nASIG,DATOS!$I6097,nEVAL,"EX")=0),0))))</f>
      </c>
      <c r="H6097">
        <f>IF(DATOS!$G6097&lt;&gt;"EX",0,--(COUNTIFS(nNIA,DATOS!$A6097,nCURSO,DATOS!$D6097,nESPEC,DATOS!$E6097,nASIG,DATOS!$I6097,nEVAL,"OR")=0))</f>
      </c>
      <c r="I6097">
        <f>IF(DATOS!$I6097="","",IFERROR(VLOOKUP(DATOS!$I6097,CONFIG_ASIGNATURAS!$B$2:$J$91,9,FALSE()),""))</f>
      </c>
    </row>
    <row r="6098">
      <c r="F6098">
        <f>IF(DATOS!$A6098="","",DATOS!$A6098&amp;"|"&amp;DATOS!$D6098&amp;"|"&amp;DATOS!$E6098&amp;"|"&amp;DATOS!$I6098)</f>
      </c>
      <c r="G6098">
        <f>IF(DATOS!$A6098="",0,IF(CONFIG_METADATA!$B$4&lt;&gt;"OR+EX",--(DATOS!$G6098=CONFIG_METADATA!$B$4),IF(DATOS!$G6098="EX",1,IF(DATOS!$G6098="OR",--(COUNTIFS(nNIA,DATOS!$A6098,nCURSO,DATOS!$D6098,nESPEC,DATOS!$E6098,nASIG,DATOS!$I6098,nEVAL,"EX")=0),0))))</f>
      </c>
      <c r="H6098">
        <f>IF(DATOS!$G6098&lt;&gt;"EX",0,--(COUNTIFS(nNIA,DATOS!$A6098,nCURSO,DATOS!$D6098,nESPEC,DATOS!$E6098,nASIG,DATOS!$I6098,nEVAL,"OR")=0))</f>
      </c>
      <c r="I6098">
        <f>IF(DATOS!$I6098="","",IFERROR(VLOOKUP(DATOS!$I6098,CONFIG_ASIGNATURAS!$B$2:$J$91,9,FALSE()),""))</f>
      </c>
    </row>
    <row r="6099">
      <c r="F6099">
        <f>IF(DATOS!$A6099="","",DATOS!$A6099&amp;"|"&amp;DATOS!$D6099&amp;"|"&amp;DATOS!$E6099&amp;"|"&amp;DATOS!$I6099)</f>
      </c>
      <c r="G6099">
        <f>IF(DATOS!$A6099="",0,IF(CONFIG_METADATA!$B$4&lt;&gt;"OR+EX",--(DATOS!$G6099=CONFIG_METADATA!$B$4),IF(DATOS!$G6099="EX",1,IF(DATOS!$G6099="OR",--(COUNTIFS(nNIA,DATOS!$A6099,nCURSO,DATOS!$D6099,nESPEC,DATOS!$E6099,nASIG,DATOS!$I6099,nEVAL,"EX")=0),0))))</f>
      </c>
      <c r="H6099">
        <f>IF(DATOS!$G6099&lt;&gt;"EX",0,--(COUNTIFS(nNIA,DATOS!$A6099,nCURSO,DATOS!$D6099,nESPEC,DATOS!$E6099,nASIG,DATOS!$I6099,nEVAL,"OR")=0))</f>
      </c>
      <c r="I6099">
        <f>IF(DATOS!$I6099="","",IFERROR(VLOOKUP(DATOS!$I6099,CONFIG_ASIGNATURAS!$B$2:$J$91,9,FALSE()),""))</f>
      </c>
    </row>
    <row r="6100">
      <c r="F6100">
        <f>IF(DATOS!$A6100="","",DATOS!$A6100&amp;"|"&amp;DATOS!$D6100&amp;"|"&amp;DATOS!$E6100&amp;"|"&amp;DATOS!$I6100)</f>
      </c>
      <c r="G6100">
        <f>IF(DATOS!$A6100="",0,IF(CONFIG_METADATA!$B$4&lt;&gt;"OR+EX",--(DATOS!$G6100=CONFIG_METADATA!$B$4),IF(DATOS!$G6100="EX",1,IF(DATOS!$G6100="OR",--(COUNTIFS(nNIA,DATOS!$A6100,nCURSO,DATOS!$D6100,nESPEC,DATOS!$E6100,nASIG,DATOS!$I6100,nEVAL,"EX")=0),0))))</f>
      </c>
      <c r="H6100">
        <f>IF(DATOS!$G6100&lt;&gt;"EX",0,--(COUNTIFS(nNIA,DATOS!$A6100,nCURSO,DATOS!$D6100,nESPEC,DATOS!$E6100,nASIG,DATOS!$I6100,nEVAL,"OR")=0))</f>
      </c>
      <c r="I6100">
        <f>IF(DATOS!$I6100="","",IFERROR(VLOOKUP(DATOS!$I6100,CONFIG_ASIGNATURAS!$B$2:$J$91,9,FALSE()),""))</f>
      </c>
    </row>
    <row r="6101">
      <c r="F6101">
        <f>IF(DATOS!$A6101="","",DATOS!$A6101&amp;"|"&amp;DATOS!$D6101&amp;"|"&amp;DATOS!$E6101&amp;"|"&amp;DATOS!$I6101)</f>
      </c>
      <c r="G6101">
        <f>IF(DATOS!$A6101="",0,IF(CONFIG_METADATA!$B$4&lt;&gt;"OR+EX",--(DATOS!$G6101=CONFIG_METADATA!$B$4),IF(DATOS!$G6101="EX",1,IF(DATOS!$G6101="OR",--(COUNTIFS(nNIA,DATOS!$A6101,nCURSO,DATOS!$D6101,nESPEC,DATOS!$E6101,nASIG,DATOS!$I6101,nEVAL,"EX")=0),0))))</f>
      </c>
      <c r="H6101">
        <f>IF(DATOS!$G6101&lt;&gt;"EX",0,--(COUNTIFS(nNIA,DATOS!$A6101,nCURSO,DATOS!$D6101,nESPEC,DATOS!$E6101,nASIG,DATOS!$I6101,nEVAL,"OR")=0))</f>
      </c>
      <c r="I6101">
        <f>IF(DATOS!$I6101="","",IFERROR(VLOOKUP(DATOS!$I6101,CONFIG_ASIGNATURAS!$B$2:$J$91,9,FALSE()),""))</f>
      </c>
    </row>
    <row r="6102">
      <c r="F6102">
        <f>IF(DATOS!$A6102="","",DATOS!$A6102&amp;"|"&amp;DATOS!$D6102&amp;"|"&amp;DATOS!$E6102&amp;"|"&amp;DATOS!$I6102)</f>
      </c>
      <c r="G6102">
        <f>IF(DATOS!$A6102="",0,IF(CONFIG_METADATA!$B$4&lt;&gt;"OR+EX",--(DATOS!$G6102=CONFIG_METADATA!$B$4),IF(DATOS!$G6102="EX",1,IF(DATOS!$G6102="OR",--(COUNTIFS(nNIA,DATOS!$A6102,nCURSO,DATOS!$D6102,nESPEC,DATOS!$E6102,nASIG,DATOS!$I6102,nEVAL,"EX")=0),0))))</f>
      </c>
      <c r="H6102">
        <f>IF(DATOS!$G6102&lt;&gt;"EX",0,--(COUNTIFS(nNIA,DATOS!$A6102,nCURSO,DATOS!$D6102,nESPEC,DATOS!$E6102,nASIG,DATOS!$I6102,nEVAL,"OR")=0))</f>
      </c>
      <c r="I6102">
        <f>IF(DATOS!$I6102="","",IFERROR(VLOOKUP(DATOS!$I6102,CONFIG_ASIGNATURAS!$B$2:$J$91,9,FALSE()),""))</f>
      </c>
    </row>
    <row r="6103">
      <c r="F6103">
        <f>IF(DATOS!$A6103="","",DATOS!$A6103&amp;"|"&amp;DATOS!$D6103&amp;"|"&amp;DATOS!$E6103&amp;"|"&amp;DATOS!$I6103)</f>
      </c>
      <c r="G6103">
        <f>IF(DATOS!$A6103="",0,IF(CONFIG_METADATA!$B$4&lt;&gt;"OR+EX",--(DATOS!$G6103=CONFIG_METADATA!$B$4),IF(DATOS!$G6103="EX",1,IF(DATOS!$G6103="OR",--(COUNTIFS(nNIA,DATOS!$A6103,nCURSO,DATOS!$D6103,nESPEC,DATOS!$E6103,nASIG,DATOS!$I6103,nEVAL,"EX")=0),0))))</f>
      </c>
      <c r="H6103">
        <f>IF(DATOS!$G6103&lt;&gt;"EX",0,--(COUNTIFS(nNIA,DATOS!$A6103,nCURSO,DATOS!$D6103,nESPEC,DATOS!$E6103,nASIG,DATOS!$I6103,nEVAL,"OR")=0))</f>
      </c>
      <c r="I6103">
        <f>IF(DATOS!$I6103="","",IFERROR(VLOOKUP(DATOS!$I6103,CONFIG_ASIGNATURAS!$B$2:$J$91,9,FALSE()),""))</f>
      </c>
    </row>
    <row r="6104">
      <c r="F6104">
        <f>IF(DATOS!$A6104="","",DATOS!$A6104&amp;"|"&amp;DATOS!$D6104&amp;"|"&amp;DATOS!$E6104&amp;"|"&amp;DATOS!$I6104)</f>
      </c>
      <c r="G6104">
        <f>IF(DATOS!$A6104="",0,IF(CONFIG_METADATA!$B$4&lt;&gt;"OR+EX",--(DATOS!$G6104=CONFIG_METADATA!$B$4),IF(DATOS!$G6104="EX",1,IF(DATOS!$G6104="OR",--(COUNTIFS(nNIA,DATOS!$A6104,nCURSO,DATOS!$D6104,nESPEC,DATOS!$E6104,nASIG,DATOS!$I6104,nEVAL,"EX")=0),0))))</f>
      </c>
      <c r="H6104">
        <f>IF(DATOS!$G6104&lt;&gt;"EX",0,--(COUNTIFS(nNIA,DATOS!$A6104,nCURSO,DATOS!$D6104,nESPEC,DATOS!$E6104,nASIG,DATOS!$I6104,nEVAL,"OR")=0))</f>
      </c>
      <c r="I6104">
        <f>IF(DATOS!$I6104="","",IFERROR(VLOOKUP(DATOS!$I6104,CONFIG_ASIGNATURAS!$B$2:$J$91,9,FALSE()),""))</f>
      </c>
    </row>
    <row r="6105">
      <c r="F6105">
        <f>IF(DATOS!$A6105="","",DATOS!$A6105&amp;"|"&amp;DATOS!$D6105&amp;"|"&amp;DATOS!$E6105&amp;"|"&amp;DATOS!$I6105)</f>
      </c>
      <c r="G6105">
        <f>IF(DATOS!$A6105="",0,IF(CONFIG_METADATA!$B$4&lt;&gt;"OR+EX",--(DATOS!$G6105=CONFIG_METADATA!$B$4),IF(DATOS!$G6105="EX",1,IF(DATOS!$G6105="OR",--(COUNTIFS(nNIA,DATOS!$A6105,nCURSO,DATOS!$D6105,nESPEC,DATOS!$E6105,nASIG,DATOS!$I6105,nEVAL,"EX")=0),0))))</f>
      </c>
      <c r="H6105">
        <f>IF(DATOS!$G6105&lt;&gt;"EX",0,--(COUNTIFS(nNIA,DATOS!$A6105,nCURSO,DATOS!$D6105,nESPEC,DATOS!$E6105,nASIG,DATOS!$I6105,nEVAL,"OR")=0))</f>
      </c>
      <c r="I6105">
        <f>IF(DATOS!$I6105="","",IFERROR(VLOOKUP(DATOS!$I6105,CONFIG_ASIGNATURAS!$B$2:$J$91,9,FALSE()),""))</f>
      </c>
    </row>
    <row r="6106">
      <c r="F6106">
        <f>IF(DATOS!$A6106="","",DATOS!$A6106&amp;"|"&amp;DATOS!$D6106&amp;"|"&amp;DATOS!$E6106&amp;"|"&amp;DATOS!$I6106)</f>
      </c>
      <c r="G6106">
        <f>IF(DATOS!$A6106="",0,IF(CONFIG_METADATA!$B$4&lt;&gt;"OR+EX",--(DATOS!$G6106=CONFIG_METADATA!$B$4),IF(DATOS!$G6106="EX",1,IF(DATOS!$G6106="OR",--(COUNTIFS(nNIA,DATOS!$A6106,nCURSO,DATOS!$D6106,nESPEC,DATOS!$E6106,nASIG,DATOS!$I6106,nEVAL,"EX")=0),0))))</f>
      </c>
      <c r="H6106">
        <f>IF(DATOS!$G6106&lt;&gt;"EX",0,--(COUNTIFS(nNIA,DATOS!$A6106,nCURSO,DATOS!$D6106,nESPEC,DATOS!$E6106,nASIG,DATOS!$I6106,nEVAL,"OR")=0))</f>
      </c>
      <c r="I6106">
        <f>IF(DATOS!$I6106="","",IFERROR(VLOOKUP(DATOS!$I6106,CONFIG_ASIGNATURAS!$B$2:$J$91,9,FALSE()),""))</f>
      </c>
    </row>
    <row r="6107">
      <c r="F6107">
        <f>IF(DATOS!$A6107="","",DATOS!$A6107&amp;"|"&amp;DATOS!$D6107&amp;"|"&amp;DATOS!$E6107&amp;"|"&amp;DATOS!$I6107)</f>
      </c>
      <c r="G6107">
        <f>IF(DATOS!$A6107="",0,IF(CONFIG_METADATA!$B$4&lt;&gt;"OR+EX",--(DATOS!$G6107=CONFIG_METADATA!$B$4),IF(DATOS!$G6107="EX",1,IF(DATOS!$G6107="OR",--(COUNTIFS(nNIA,DATOS!$A6107,nCURSO,DATOS!$D6107,nESPEC,DATOS!$E6107,nASIG,DATOS!$I6107,nEVAL,"EX")=0),0))))</f>
      </c>
      <c r="H6107">
        <f>IF(DATOS!$G6107&lt;&gt;"EX",0,--(COUNTIFS(nNIA,DATOS!$A6107,nCURSO,DATOS!$D6107,nESPEC,DATOS!$E6107,nASIG,DATOS!$I6107,nEVAL,"OR")=0))</f>
      </c>
      <c r="I6107">
        <f>IF(DATOS!$I6107="","",IFERROR(VLOOKUP(DATOS!$I6107,CONFIG_ASIGNATURAS!$B$2:$J$91,9,FALSE()),""))</f>
      </c>
    </row>
    <row r="6108">
      <c r="F6108">
        <f>IF(DATOS!$A6108="","",DATOS!$A6108&amp;"|"&amp;DATOS!$D6108&amp;"|"&amp;DATOS!$E6108&amp;"|"&amp;DATOS!$I6108)</f>
      </c>
      <c r="G6108">
        <f>IF(DATOS!$A6108="",0,IF(CONFIG_METADATA!$B$4&lt;&gt;"OR+EX",--(DATOS!$G6108=CONFIG_METADATA!$B$4),IF(DATOS!$G6108="EX",1,IF(DATOS!$G6108="OR",--(COUNTIFS(nNIA,DATOS!$A6108,nCURSO,DATOS!$D6108,nESPEC,DATOS!$E6108,nASIG,DATOS!$I6108,nEVAL,"EX")=0),0))))</f>
      </c>
      <c r="H6108">
        <f>IF(DATOS!$G6108&lt;&gt;"EX",0,--(COUNTIFS(nNIA,DATOS!$A6108,nCURSO,DATOS!$D6108,nESPEC,DATOS!$E6108,nASIG,DATOS!$I6108,nEVAL,"OR")=0))</f>
      </c>
      <c r="I6108">
        <f>IF(DATOS!$I6108="","",IFERROR(VLOOKUP(DATOS!$I6108,CONFIG_ASIGNATURAS!$B$2:$J$91,9,FALSE()),""))</f>
      </c>
    </row>
    <row r="6109">
      <c r="F6109">
        <f>IF(DATOS!$A6109="","",DATOS!$A6109&amp;"|"&amp;DATOS!$D6109&amp;"|"&amp;DATOS!$E6109&amp;"|"&amp;DATOS!$I6109)</f>
      </c>
      <c r="G6109">
        <f>IF(DATOS!$A6109="",0,IF(CONFIG_METADATA!$B$4&lt;&gt;"OR+EX",--(DATOS!$G6109=CONFIG_METADATA!$B$4),IF(DATOS!$G6109="EX",1,IF(DATOS!$G6109="OR",--(COUNTIFS(nNIA,DATOS!$A6109,nCURSO,DATOS!$D6109,nESPEC,DATOS!$E6109,nASIG,DATOS!$I6109,nEVAL,"EX")=0),0))))</f>
      </c>
      <c r="H6109">
        <f>IF(DATOS!$G6109&lt;&gt;"EX",0,--(COUNTIFS(nNIA,DATOS!$A6109,nCURSO,DATOS!$D6109,nESPEC,DATOS!$E6109,nASIG,DATOS!$I6109,nEVAL,"OR")=0))</f>
      </c>
      <c r="I6109">
        <f>IF(DATOS!$I6109="","",IFERROR(VLOOKUP(DATOS!$I6109,CONFIG_ASIGNATURAS!$B$2:$J$91,9,FALSE()),""))</f>
      </c>
    </row>
    <row r="6110">
      <c r="F6110">
        <f>IF(DATOS!$A6110="","",DATOS!$A6110&amp;"|"&amp;DATOS!$D6110&amp;"|"&amp;DATOS!$E6110&amp;"|"&amp;DATOS!$I6110)</f>
      </c>
      <c r="G6110">
        <f>IF(DATOS!$A6110="",0,IF(CONFIG_METADATA!$B$4&lt;&gt;"OR+EX",--(DATOS!$G6110=CONFIG_METADATA!$B$4),IF(DATOS!$G6110="EX",1,IF(DATOS!$G6110="OR",--(COUNTIFS(nNIA,DATOS!$A6110,nCURSO,DATOS!$D6110,nESPEC,DATOS!$E6110,nASIG,DATOS!$I6110,nEVAL,"EX")=0),0))))</f>
      </c>
      <c r="H6110">
        <f>IF(DATOS!$G6110&lt;&gt;"EX",0,--(COUNTIFS(nNIA,DATOS!$A6110,nCURSO,DATOS!$D6110,nESPEC,DATOS!$E6110,nASIG,DATOS!$I6110,nEVAL,"OR")=0))</f>
      </c>
      <c r="I6110">
        <f>IF(DATOS!$I6110="","",IFERROR(VLOOKUP(DATOS!$I6110,CONFIG_ASIGNATURAS!$B$2:$J$91,9,FALSE()),""))</f>
      </c>
    </row>
    <row r="6111">
      <c r="F6111">
        <f>IF(DATOS!$A6111="","",DATOS!$A6111&amp;"|"&amp;DATOS!$D6111&amp;"|"&amp;DATOS!$E6111&amp;"|"&amp;DATOS!$I6111)</f>
      </c>
      <c r="G6111">
        <f>IF(DATOS!$A6111="",0,IF(CONFIG_METADATA!$B$4&lt;&gt;"OR+EX",--(DATOS!$G6111=CONFIG_METADATA!$B$4),IF(DATOS!$G6111="EX",1,IF(DATOS!$G6111="OR",--(COUNTIFS(nNIA,DATOS!$A6111,nCURSO,DATOS!$D6111,nESPEC,DATOS!$E6111,nASIG,DATOS!$I6111,nEVAL,"EX")=0),0))))</f>
      </c>
      <c r="H6111">
        <f>IF(DATOS!$G6111&lt;&gt;"EX",0,--(COUNTIFS(nNIA,DATOS!$A6111,nCURSO,DATOS!$D6111,nESPEC,DATOS!$E6111,nASIG,DATOS!$I6111,nEVAL,"OR")=0))</f>
      </c>
      <c r="I6111">
        <f>IF(DATOS!$I6111="","",IFERROR(VLOOKUP(DATOS!$I6111,CONFIG_ASIGNATURAS!$B$2:$J$91,9,FALSE()),""))</f>
      </c>
    </row>
    <row r="6112">
      <c r="F6112">
        <f>IF(DATOS!$A6112="","",DATOS!$A6112&amp;"|"&amp;DATOS!$D6112&amp;"|"&amp;DATOS!$E6112&amp;"|"&amp;DATOS!$I6112)</f>
      </c>
      <c r="G6112">
        <f>IF(DATOS!$A6112="",0,IF(CONFIG_METADATA!$B$4&lt;&gt;"OR+EX",--(DATOS!$G6112=CONFIG_METADATA!$B$4),IF(DATOS!$G6112="EX",1,IF(DATOS!$G6112="OR",--(COUNTIFS(nNIA,DATOS!$A6112,nCURSO,DATOS!$D6112,nESPEC,DATOS!$E6112,nASIG,DATOS!$I6112,nEVAL,"EX")=0),0))))</f>
      </c>
      <c r="H6112">
        <f>IF(DATOS!$G6112&lt;&gt;"EX",0,--(COUNTIFS(nNIA,DATOS!$A6112,nCURSO,DATOS!$D6112,nESPEC,DATOS!$E6112,nASIG,DATOS!$I6112,nEVAL,"OR")=0))</f>
      </c>
      <c r="I6112">
        <f>IF(DATOS!$I6112="","",IFERROR(VLOOKUP(DATOS!$I6112,CONFIG_ASIGNATURAS!$B$2:$J$91,9,FALSE()),""))</f>
      </c>
    </row>
    <row r="6113">
      <c r="F6113">
        <f>IF(DATOS!$A6113="","",DATOS!$A6113&amp;"|"&amp;DATOS!$D6113&amp;"|"&amp;DATOS!$E6113&amp;"|"&amp;DATOS!$I6113)</f>
      </c>
      <c r="G6113">
        <f>IF(DATOS!$A6113="",0,IF(CONFIG_METADATA!$B$4&lt;&gt;"OR+EX",--(DATOS!$G6113=CONFIG_METADATA!$B$4),IF(DATOS!$G6113="EX",1,IF(DATOS!$G6113="OR",--(COUNTIFS(nNIA,DATOS!$A6113,nCURSO,DATOS!$D6113,nESPEC,DATOS!$E6113,nASIG,DATOS!$I6113,nEVAL,"EX")=0),0))))</f>
      </c>
      <c r="H6113">
        <f>IF(DATOS!$G6113&lt;&gt;"EX",0,--(COUNTIFS(nNIA,DATOS!$A6113,nCURSO,DATOS!$D6113,nESPEC,DATOS!$E6113,nASIG,DATOS!$I6113,nEVAL,"OR")=0))</f>
      </c>
      <c r="I6113">
        <f>IF(DATOS!$I6113="","",IFERROR(VLOOKUP(DATOS!$I6113,CONFIG_ASIGNATURAS!$B$2:$J$91,9,FALSE()),""))</f>
      </c>
    </row>
    <row r="6114">
      <c r="F6114">
        <f>IF(DATOS!$A6114="","",DATOS!$A6114&amp;"|"&amp;DATOS!$D6114&amp;"|"&amp;DATOS!$E6114&amp;"|"&amp;DATOS!$I6114)</f>
      </c>
      <c r="G6114">
        <f>IF(DATOS!$A6114="",0,IF(CONFIG_METADATA!$B$4&lt;&gt;"OR+EX",--(DATOS!$G6114=CONFIG_METADATA!$B$4),IF(DATOS!$G6114="EX",1,IF(DATOS!$G6114="OR",--(COUNTIFS(nNIA,DATOS!$A6114,nCURSO,DATOS!$D6114,nESPEC,DATOS!$E6114,nASIG,DATOS!$I6114,nEVAL,"EX")=0),0))))</f>
      </c>
      <c r="H6114">
        <f>IF(DATOS!$G6114&lt;&gt;"EX",0,--(COUNTIFS(nNIA,DATOS!$A6114,nCURSO,DATOS!$D6114,nESPEC,DATOS!$E6114,nASIG,DATOS!$I6114,nEVAL,"OR")=0))</f>
      </c>
      <c r="I6114">
        <f>IF(DATOS!$I6114="","",IFERROR(VLOOKUP(DATOS!$I6114,CONFIG_ASIGNATURAS!$B$2:$J$91,9,FALSE()),""))</f>
      </c>
    </row>
    <row r="6115">
      <c r="F6115">
        <f>IF(DATOS!$A6115="","",DATOS!$A6115&amp;"|"&amp;DATOS!$D6115&amp;"|"&amp;DATOS!$E6115&amp;"|"&amp;DATOS!$I6115)</f>
      </c>
      <c r="G6115">
        <f>IF(DATOS!$A6115="",0,IF(CONFIG_METADATA!$B$4&lt;&gt;"OR+EX",--(DATOS!$G6115=CONFIG_METADATA!$B$4),IF(DATOS!$G6115="EX",1,IF(DATOS!$G6115="OR",--(COUNTIFS(nNIA,DATOS!$A6115,nCURSO,DATOS!$D6115,nESPEC,DATOS!$E6115,nASIG,DATOS!$I6115,nEVAL,"EX")=0),0))))</f>
      </c>
      <c r="H6115">
        <f>IF(DATOS!$G6115&lt;&gt;"EX",0,--(COUNTIFS(nNIA,DATOS!$A6115,nCURSO,DATOS!$D6115,nESPEC,DATOS!$E6115,nASIG,DATOS!$I6115,nEVAL,"OR")=0))</f>
      </c>
      <c r="I6115">
        <f>IF(DATOS!$I6115="","",IFERROR(VLOOKUP(DATOS!$I6115,CONFIG_ASIGNATURAS!$B$2:$J$91,9,FALSE()),""))</f>
      </c>
    </row>
    <row r="6116">
      <c r="F6116">
        <f>IF(DATOS!$A6116="","",DATOS!$A6116&amp;"|"&amp;DATOS!$D6116&amp;"|"&amp;DATOS!$E6116&amp;"|"&amp;DATOS!$I6116)</f>
      </c>
      <c r="G6116">
        <f>IF(DATOS!$A6116="",0,IF(CONFIG_METADATA!$B$4&lt;&gt;"OR+EX",--(DATOS!$G6116=CONFIG_METADATA!$B$4),IF(DATOS!$G6116="EX",1,IF(DATOS!$G6116="OR",--(COUNTIFS(nNIA,DATOS!$A6116,nCURSO,DATOS!$D6116,nESPEC,DATOS!$E6116,nASIG,DATOS!$I6116,nEVAL,"EX")=0),0))))</f>
      </c>
      <c r="H6116">
        <f>IF(DATOS!$G6116&lt;&gt;"EX",0,--(COUNTIFS(nNIA,DATOS!$A6116,nCURSO,DATOS!$D6116,nESPEC,DATOS!$E6116,nASIG,DATOS!$I6116,nEVAL,"OR")=0))</f>
      </c>
      <c r="I6116">
        <f>IF(DATOS!$I6116="","",IFERROR(VLOOKUP(DATOS!$I6116,CONFIG_ASIGNATURAS!$B$2:$J$91,9,FALSE()),""))</f>
      </c>
    </row>
    <row r="6117">
      <c r="F6117">
        <f>IF(DATOS!$A6117="","",DATOS!$A6117&amp;"|"&amp;DATOS!$D6117&amp;"|"&amp;DATOS!$E6117&amp;"|"&amp;DATOS!$I6117)</f>
      </c>
      <c r="G6117">
        <f>IF(DATOS!$A6117="",0,IF(CONFIG_METADATA!$B$4&lt;&gt;"OR+EX",--(DATOS!$G6117=CONFIG_METADATA!$B$4),IF(DATOS!$G6117="EX",1,IF(DATOS!$G6117="OR",--(COUNTIFS(nNIA,DATOS!$A6117,nCURSO,DATOS!$D6117,nESPEC,DATOS!$E6117,nASIG,DATOS!$I6117,nEVAL,"EX")=0),0))))</f>
      </c>
      <c r="H6117">
        <f>IF(DATOS!$G6117&lt;&gt;"EX",0,--(COUNTIFS(nNIA,DATOS!$A6117,nCURSO,DATOS!$D6117,nESPEC,DATOS!$E6117,nASIG,DATOS!$I6117,nEVAL,"OR")=0))</f>
      </c>
      <c r="I6117">
        <f>IF(DATOS!$I6117="","",IFERROR(VLOOKUP(DATOS!$I6117,CONFIG_ASIGNATURAS!$B$2:$J$91,9,FALSE()),""))</f>
      </c>
    </row>
    <row r="6118">
      <c r="F6118">
        <f>IF(DATOS!$A6118="","",DATOS!$A6118&amp;"|"&amp;DATOS!$D6118&amp;"|"&amp;DATOS!$E6118&amp;"|"&amp;DATOS!$I6118)</f>
      </c>
      <c r="G6118">
        <f>IF(DATOS!$A6118="",0,IF(CONFIG_METADATA!$B$4&lt;&gt;"OR+EX",--(DATOS!$G6118=CONFIG_METADATA!$B$4),IF(DATOS!$G6118="EX",1,IF(DATOS!$G6118="OR",--(COUNTIFS(nNIA,DATOS!$A6118,nCURSO,DATOS!$D6118,nESPEC,DATOS!$E6118,nASIG,DATOS!$I6118,nEVAL,"EX")=0),0))))</f>
      </c>
      <c r="H6118">
        <f>IF(DATOS!$G6118&lt;&gt;"EX",0,--(COUNTIFS(nNIA,DATOS!$A6118,nCURSO,DATOS!$D6118,nESPEC,DATOS!$E6118,nASIG,DATOS!$I6118,nEVAL,"OR")=0))</f>
      </c>
      <c r="I6118">
        <f>IF(DATOS!$I6118="","",IFERROR(VLOOKUP(DATOS!$I6118,CONFIG_ASIGNATURAS!$B$2:$J$91,9,FALSE()),""))</f>
      </c>
    </row>
    <row r="6119">
      <c r="F6119">
        <f>IF(DATOS!$A6119="","",DATOS!$A6119&amp;"|"&amp;DATOS!$D6119&amp;"|"&amp;DATOS!$E6119&amp;"|"&amp;DATOS!$I6119)</f>
      </c>
      <c r="G6119">
        <f>IF(DATOS!$A6119="",0,IF(CONFIG_METADATA!$B$4&lt;&gt;"OR+EX",--(DATOS!$G6119=CONFIG_METADATA!$B$4),IF(DATOS!$G6119="EX",1,IF(DATOS!$G6119="OR",--(COUNTIFS(nNIA,DATOS!$A6119,nCURSO,DATOS!$D6119,nESPEC,DATOS!$E6119,nASIG,DATOS!$I6119,nEVAL,"EX")=0),0))))</f>
      </c>
      <c r="H6119">
        <f>IF(DATOS!$G6119&lt;&gt;"EX",0,--(COUNTIFS(nNIA,DATOS!$A6119,nCURSO,DATOS!$D6119,nESPEC,DATOS!$E6119,nASIG,DATOS!$I6119,nEVAL,"OR")=0))</f>
      </c>
      <c r="I6119">
        <f>IF(DATOS!$I6119="","",IFERROR(VLOOKUP(DATOS!$I6119,CONFIG_ASIGNATURAS!$B$2:$J$91,9,FALSE()),""))</f>
      </c>
    </row>
    <row r="6120">
      <c r="F6120">
        <f>IF(DATOS!$A6120="","",DATOS!$A6120&amp;"|"&amp;DATOS!$D6120&amp;"|"&amp;DATOS!$E6120&amp;"|"&amp;DATOS!$I6120)</f>
      </c>
      <c r="G6120">
        <f>IF(DATOS!$A6120="",0,IF(CONFIG_METADATA!$B$4&lt;&gt;"OR+EX",--(DATOS!$G6120=CONFIG_METADATA!$B$4),IF(DATOS!$G6120="EX",1,IF(DATOS!$G6120="OR",--(COUNTIFS(nNIA,DATOS!$A6120,nCURSO,DATOS!$D6120,nESPEC,DATOS!$E6120,nASIG,DATOS!$I6120,nEVAL,"EX")=0),0))))</f>
      </c>
      <c r="H6120">
        <f>IF(DATOS!$G6120&lt;&gt;"EX",0,--(COUNTIFS(nNIA,DATOS!$A6120,nCURSO,DATOS!$D6120,nESPEC,DATOS!$E6120,nASIG,DATOS!$I6120,nEVAL,"OR")=0))</f>
      </c>
      <c r="I6120">
        <f>IF(DATOS!$I6120="","",IFERROR(VLOOKUP(DATOS!$I6120,CONFIG_ASIGNATURAS!$B$2:$J$91,9,FALSE()),""))</f>
      </c>
    </row>
    <row r="6121">
      <c r="F6121">
        <f>IF(DATOS!$A6121="","",DATOS!$A6121&amp;"|"&amp;DATOS!$D6121&amp;"|"&amp;DATOS!$E6121&amp;"|"&amp;DATOS!$I6121)</f>
      </c>
      <c r="G6121">
        <f>IF(DATOS!$A6121="",0,IF(CONFIG_METADATA!$B$4&lt;&gt;"OR+EX",--(DATOS!$G6121=CONFIG_METADATA!$B$4),IF(DATOS!$G6121="EX",1,IF(DATOS!$G6121="OR",--(COUNTIFS(nNIA,DATOS!$A6121,nCURSO,DATOS!$D6121,nESPEC,DATOS!$E6121,nASIG,DATOS!$I6121,nEVAL,"EX")=0),0))))</f>
      </c>
      <c r="H6121">
        <f>IF(DATOS!$G6121&lt;&gt;"EX",0,--(COUNTIFS(nNIA,DATOS!$A6121,nCURSO,DATOS!$D6121,nESPEC,DATOS!$E6121,nASIG,DATOS!$I6121,nEVAL,"OR")=0))</f>
      </c>
      <c r="I6121">
        <f>IF(DATOS!$I6121="","",IFERROR(VLOOKUP(DATOS!$I6121,CONFIG_ASIGNATURAS!$B$2:$J$91,9,FALSE()),""))</f>
      </c>
    </row>
    <row r="6122">
      <c r="F6122">
        <f>IF(DATOS!$A6122="","",DATOS!$A6122&amp;"|"&amp;DATOS!$D6122&amp;"|"&amp;DATOS!$E6122&amp;"|"&amp;DATOS!$I6122)</f>
      </c>
      <c r="G6122">
        <f>IF(DATOS!$A6122="",0,IF(CONFIG_METADATA!$B$4&lt;&gt;"OR+EX",--(DATOS!$G6122=CONFIG_METADATA!$B$4),IF(DATOS!$G6122="EX",1,IF(DATOS!$G6122="OR",--(COUNTIFS(nNIA,DATOS!$A6122,nCURSO,DATOS!$D6122,nESPEC,DATOS!$E6122,nASIG,DATOS!$I6122,nEVAL,"EX")=0),0))))</f>
      </c>
      <c r="H6122">
        <f>IF(DATOS!$G6122&lt;&gt;"EX",0,--(COUNTIFS(nNIA,DATOS!$A6122,nCURSO,DATOS!$D6122,nESPEC,DATOS!$E6122,nASIG,DATOS!$I6122,nEVAL,"OR")=0))</f>
      </c>
      <c r="I6122">
        <f>IF(DATOS!$I6122="","",IFERROR(VLOOKUP(DATOS!$I6122,CONFIG_ASIGNATURAS!$B$2:$J$91,9,FALSE()),""))</f>
      </c>
    </row>
    <row r="6123">
      <c r="F6123">
        <f>IF(DATOS!$A6123="","",DATOS!$A6123&amp;"|"&amp;DATOS!$D6123&amp;"|"&amp;DATOS!$E6123&amp;"|"&amp;DATOS!$I6123)</f>
      </c>
      <c r="G6123">
        <f>IF(DATOS!$A6123="",0,IF(CONFIG_METADATA!$B$4&lt;&gt;"OR+EX",--(DATOS!$G6123=CONFIG_METADATA!$B$4),IF(DATOS!$G6123="EX",1,IF(DATOS!$G6123="OR",--(COUNTIFS(nNIA,DATOS!$A6123,nCURSO,DATOS!$D6123,nESPEC,DATOS!$E6123,nASIG,DATOS!$I6123,nEVAL,"EX")=0),0))))</f>
      </c>
      <c r="H6123">
        <f>IF(DATOS!$G6123&lt;&gt;"EX",0,--(COUNTIFS(nNIA,DATOS!$A6123,nCURSO,DATOS!$D6123,nESPEC,DATOS!$E6123,nASIG,DATOS!$I6123,nEVAL,"OR")=0))</f>
      </c>
      <c r="I6123">
        <f>IF(DATOS!$I6123="","",IFERROR(VLOOKUP(DATOS!$I6123,CONFIG_ASIGNATURAS!$B$2:$J$91,9,FALSE()),""))</f>
      </c>
    </row>
    <row r="6124">
      <c r="F6124">
        <f>IF(DATOS!$A6124="","",DATOS!$A6124&amp;"|"&amp;DATOS!$D6124&amp;"|"&amp;DATOS!$E6124&amp;"|"&amp;DATOS!$I6124)</f>
      </c>
      <c r="G6124">
        <f>IF(DATOS!$A6124="",0,IF(CONFIG_METADATA!$B$4&lt;&gt;"OR+EX",--(DATOS!$G6124=CONFIG_METADATA!$B$4),IF(DATOS!$G6124="EX",1,IF(DATOS!$G6124="OR",--(COUNTIFS(nNIA,DATOS!$A6124,nCURSO,DATOS!$D6124,nESPEC,DATOS!$E6124,nASIG,DATOS!$I6124,nEVAL,"EX")=0),0))))</f>
      </c>
      <c r="H6124">
        <f>IF(DATOS!$G6124&lt;&gt;"EX",0,--(COUNTIFS(nNIA,DATOS!$A6124,nCURSO,DATOS!$D6124,nESPEC,DATOS!$E6124,nASIG,DATOS!$I6124,nEVAL,"OR")=0))</f>
      </c>
      <c r="I6124">
        <f>IF(DATOS!$I6124="","",IFERROR(VLOOKUP(DATOS!$I6124,CONFIG_ASIGNATURAS!$B$2:$J$91,9,FALSE()),""))</f>
      </c>
    </row>
    <row r="6125">
      <c r="F6125">
        <f>IF(DATOS!$A6125="","",DATOS!$A6125&amp;"|"&amp;DATOS!$D6125&amp;"|"&amp;DATOS!$E6125&amp;"|"&amp;DATOS!$I6125)</f>
      </c>
      <c r="G6125">
        <f>IF(DATOS!$A6125="",0,IF(CONFIG_METADATA!$B$4&lt;&gt;"OR+EX",--(DATOS!$G6125=CONFIG_METADATA!$B$4),IF(DATOS!$G6125="EX",1,IF(DATOS!$G6125="OR",--(COUNTIFS(nNIA,DATOS!$A6125,nCURSO,DATOS!$D6125,nESPEC,DATOS!$E6125,nASIG,DATOS!$I6125,nEVAL,"EX")=0),0))))</f>
      </c>
      <c r="H6125">
        <f>IF(DATOS!$G6125&lt;&gt;"EX",0,--(COUNTIFS(nNIA,DATOS!$A6125,nCURSO,DATOS!$D6125,nESPEC,DATOS!$E6125,nASIG,DATOS!$I6125,nEVAL,"OR")=0))</f>
      </c>
      <c r="I6125">
        <f>IF(DATOS!$I6125="","",IFERROR(VLOOKUP(DATOS!$I6125,CONFIG_ASIGNATURAS!$B$2:$J$91,9,FALSE()),""))</f>
      </c>
    </row>
    <row r="6126">
      <c r="F6126">
        <f>IF(DATOS!$A6126="","",DATOS!$A6126&amp;"|"&amp;DATOS!$D6126&amp;"|"&amp;DATOS!$E6126&amp;"|"&amp;DATOS!$I6126)</f>
      </c>
      <c r="G6126">
        <f>IF(DATOS!$A6126="",0,IF(CONFIG_METADATA!$B$4&lt;&gt;"OR+EX",--(DATOS!$G6126=CONFIG_METADATA!$B$4),IF(DATOS!$G6126="EX",1,IF(DATOS!$G6126="OR",--(COUNTIFS(nNIA,DATOS!$A6126,nCURSO,DATOS!$D6126,nESPEC,DATOS!$E6126,nASIG,DATOS!$I6126,nEVAL,"EX")=0),0))))</f>
      </c>
      <c r="H6126">
        <f>IF(DATOS!$G6126&lt;&gt;"EX",0,--(COUNTIFS(nNIA,DATOS!$A6126,nCURSO,DATOS!$D6126,nESPEC,DATOS!$E6126,nASIG,DATOS!$I6126,nEVAL,"OR")=0))</f>
      </c>
      <c r="I6126">
        <f>IF(DATOS!$I6126="","",IFERROR(VLOOKUP(DATOS!$I6126,CONFIG_ASIGNATURAS!$B$2:$J$91,9,FALSE()),""))</f>
      </c>
    </row>
    <row r="6127">
      <c r="F6127">
        <f>IF(DATOS!$A6127="","",DATOS!$A6127&amp;"|"&amp;DATOS!$D6127&amp;"|"&amp;DATOS!$E6127&amp;"|"&amp;DATOS!$I6127)</f>
      </c>
      <c r="G6127">
        <f>IF(DATOS!$A6127="",0,IF(CONFIG_METADATA!$B$4&lt;&gt;"OR+EX",--(DATOS!$G6127=CONFIG_METADATA!$B$4),IF(DATOS!$G6127="EX",1,IF(DATOS!$G6127="OR",--(COUNTIFS(nNIA,DATOS!$A6127,nCURSO,DATOS!$D6127,nESPEC,DATOS!$E6127,nASIG,DATOS!$I6127,nEVAL,"EX")=0),0))))</f>
      </c>
      <c r="H6127">
        <f>IF(DATOS!$G6127&lt;&gt;"EX",0,--(COUNTIFS(nNIA,DATOS!$A6127,nCURSO,DATOS!$D6127,nESPEC,DATOS!$E6127,nASIG,DATOS!$I6127,nEVAL,"OR")=0))</f>
      </c>
      <c r="I6127">
        <f>IF(DATOS!$I6127="","",IFERROR(VLOOKUP(DATOS!$I6127,CONFIG_ASIGNATURAS!$B$2:$J$91,9,FALSE()),""))</f>
      </c>
    </row>
    <row r="6128">
      <c r="F6128">
        <f>IF(DATOS!$A6128="","",DATOS!$A6128&amp;"|"&amp;DATOS!$D6128&amp;"|"&amp;DATOS!$E6128&amp;"|"&amp;DATOS!$I6128)</f>
      </c>
      <c r="G6128">
        <f>IF(DATOS!$A6128="",0,IF(CONFIG_METADATA!$B$4&lt;&gt;"OR+EX",--(DATOS!$G6128=CONFIG_METADATA!$B$4),IF(DATOS!$G6128="EX",1,IF(DATOS!$G6128="OR",--(COUNTIFS(nNIA,DATOS!$A6128,nCURSO,DATOS!$D6128,nESPEC,DATOS!$E6128,nASIG,DATOS!$I6128,nEVAL,"EX")=0),0))))</f>
      </c>
      <c r="H6128">
        <f>IF(DATOS!$G6128&lt;&gt;"EX",0,--(COUNTIFS(nNIA,DATOS!$A6128,nCURSO,DATOS!$D6128,nESPEC,DATOS!$E6128,nASIG,DATOS!$I6128,nEVAL,"OR")=0))</f>
      </c>
      <c r="I6128">
        <f>IF(DATOS!$I6128="","",IFERROR(VLOOKUP(DATOS!$I6128,CONFIG_ASIGNATURAS!$B$2:$J$91,9,FALSE()),""))</f>
      </c>
    </row>
    <row r="6129">
      <c r="F6129">
        <f>IF(DATOS!$A6129="","",DATOS!$A6129&amp;"|"&amp;DATOS!$D6129&amp;"|"&amp;DATOS!$E6129&amp;"|"&amp;DATOS!$I6129)</f>
      </c>
      <c r="G6129">
        <f>IF(DATOS!$A6129="",0,IF(CONFIG_METADATA!$B$4&lt;&gt;"OR+EX",--(DATOS!$G6129=CONFIG_METADATA!$B$4),IF(DATOS!$G6129="EX",1,IF(DATOS!$G6129="OR",--(COUNTIFS(nNIA,DATOS!$A6129,nCURSO,DATOS!$D6129,nESPEC,DATOS!$E6129,nASIG,DATOS!$I6129,nEVAL,"EX")=0),0))))</f>
      </c>
      <c r="H6129">
        <f>IF(DATOS!$G6129&lt;&gt;"EX",0,--(COUNTIFS(nNIA,DATOS!$A6129,nCURSO,DATOS!$D6129,nESPEC,DATOS!$E6129,nASIG,DATOS!$I6129,nEVAL,"OR")=0))</f>
      </c>
      <c r="I6129">
        <f>IF(DATOS!$I6129="","",IFERROR(VLOOKUP(DATOS!$I6129,CONFIG_ASIGNATURAS!$B$2:$J$91,9,FALSE()),""))</f>
      </c>
    </row>
    <row r="6130">
      <c r="F6130">
        <f>IF(DATOS!$A6130="","",DATOS!$A6130&amp;"|"&amp;DATOS!$D6130&amp;"|"&amp;DATOS!$E6130&amp;"|"&amp;DATOS!$I6130)</f>
      </c>
      <c r="G6130">
        <f>IF(DATOS!$A6130="",0,IF(CONFIG_METADATA!$B$4&lt;&gt;"OR+EX",--(DATOS!$G6130=CONFIG_METADATA!$B$4),IF(DATOS!$G6130="EX",1,IF(DATOS!$G6130="OR",--(COUNTIFS(nNIA,DATOS!$A6130,nCURSO,DATOS!$D6130,nESPEC,DATOS!$E6130,nASIG,DATOS!$I6130,nEVAL,"EX")=0),0))))</f>
      </c>
      <c r="H6130">
        <f>IF(DATOS!$G6130&lt;&gt;"EX",0,--(COUNTIFS(nNIA,DATOS!$A6130,nCURSO,DATOS!$D6130,nESPEC,DATOS!$E6130,nASIG,DATOS!$I6130,nEVAL,"OR")=0))</f>
      </c>
      <c r="I6130">
        <f>IF(DATOS!$I6130="","",IFERROR(VLOOKUP(DATOS!$I6130,CONFIG_ASIGNATURAS!$B$2:$J$91,9,FALSE()),""))</f>
      </c>
    </row>
    <row r="6131">
      <c r="F6131">
        <f>IF(DATOS!$A6131="","",DATOS!$A6131&amp;"|"&amp;DATOS!$D6131&amp;"|"&amp;DATOS!$E6131&amp;"|"&amp;DATOS!$I6131)</f>
      </c>
      <c r="G6131">
        <f>IF(DATOS!$A6131="",0,IF(CONFIG_METADATA!$B$4&lt;&gt;"OR+EX",--(DATOS!$G6131=CONFIG_METADATA!$B$4),IF(DATOS!$G6131="EX",1,IF(DATOS!$G6131="OR",--(COUNTIFS(nNIA,DATOS!$A6131,nCURSO,DATOS!$D6131,nESPEC,DATOS!$E6131,nASIG,DATOS!$I6131,nEVAL,"EX")=0),0))))</f>
      </c>
      <c r="H6131">
        <f>IF(DATOS!$G6131&lt;&gt;"EX",0,--(COUNTIFS(nNIA,DATOS!$A6131,nCURSO,DATOS!$D6131,nESPEC,DATOS!$E6131,nASIG,DATOS!$I6131,nEVAL,"OR")=0))</f>
      </c>
      <c r="I6131">
        <f>IF(DATOS!$I6131="","",IFERROR(VLOOKUP(DATOS!$I6131,CONFIG_ASIGNATURAS!$B$2:$J$91,9,FALSE()),""))</f>
      </c>
    </row>
    <row r="6132">
      <c r="F6132">
        <f>IF(DATOS!$A6132="","",DATOS!$A6132&amp;"|"&amp;DATOS!$D6132&amp;"|"&amp;DATOS!$E6132&amp;"|"&amp;DATOS!$I6132)</f>
      </c>
      <c r="G6132">
        <f>IF(DATOS!$A6132="",0,IF(CONFIG_METADATA!$B$4&lt;&gt;"OR+EX",--(DATOS!$G6132=CONFIG_METADATA!$B$4),IF(DATOS!$G6132="EX",1,IF(DATOS!$G6132="OR",--(COUNTIFS(nNIA,DATOS!$A6132,nCURSO,DATOS!$D6132,nESPEC,DATOS!$E6132,nASIG,DATOS!$I6132,nEVAL,"EX")=0),0))))</f>
      </c>
      <c r="H6132">
        <f>IF(DATOS!$G6132&lt;&gt;"EX",0,--(COUNTIFS(nNIA,DATOS!$A6132,nCURSO,DATOS!$D6132,nESPEC,DATOS!$E6132,nASIG,DATOS!$I6132,nEVAL,"OR")=0))</f>
      </c>
      <c r="I6132">
        <f>IF(DATOS!$I6132="","",IFERROR(VLOOKUP(DATOS!$I6132,CONFIG_ASIGNATURAS!$B$2:$J$91,9,FALSE()),""))</f>
      </c>
    </row>
    <row r="6133">
      <c r="F6133">
        <f>IF(DATOS!$A6133="","",DATOS!$A6133&amp;"|"&amp;DATOS!$D6133&amp;"|"&amp;DATOS!$E6133&amp;"|"&amp;DATOS!$I6133)</f>
      </c>
      <c r="G6133">
        <f>IF(DATOS!$A6133="",0,IF(CONFIG_METADATA!$B$4&lt;&gt;"OR+EX",--(DATOS!$G6133=CONFIG_METADATA!$B$4),IF(DATOS!$G6133="EX",1,IF(DATOS!$G6133="OR",--(COUNTIFS(nNIA,DATOS!$A6133,nCURSO,DATOS!$D6133,nESPEC,DATOS!$E6133,nASIG,DATOS!$I6133,nEVAL,"EX")=0),0))))</f>
      </c>
      <c r="H6133">
        <f>IF(DATOS!$G6133&lt;&gt;"EX",0,--(COUNTIFS(nNIA,DATOS!$A6133,nCURSO,DATOS!$D6133,nESPEC,DATOS!$E6133,nASIG,DATOS!$I6133,nEVAL,"OR")=0))</f>
      </c>
      <c r="I6133">
        <f>IF(DATOS!$I6133="","",IFERROR(VLOOKUP(DATOS!$I6133,CONFIG_ASIGNATURAS!$B$2:$J$91,9,FALSE()),""))</f>
      </c>
    </row>
    <row r="6134">
      <c r="F6134">
        <f>IF(DATOS!$A6134="","",DATOS!$A6134&amp;"|"&amp;DATOS!$D6134&amp;"|"&amp;DATOS!$E6134&amp;"|"&amp;DATOS!$I6134)</f>
      </c>
      <c r="G6134">
        <f>IF(DATOS!$A6134="",0,IF(CONFIG_METADATA!$B$4&lt;&gt;"OR+EX",--(DATOS!$G6134=CONFIG_METADATA!$B$4),IF(DATOS!$G6134="EX",1,IF(DATOS!$G6134="OR",--(COUNTIFS(nNIA,DATOS!$A6134,nCURSO,DATOS!$D6134,nESPEC,DATOS!$E6134,nASIG,DATOS!$I6134,nEVAL,"EX")=0),0))))</f>
      </c>
      <c r="H6134">
        <f>IF(DATOS!$G6134&lt;&gt;"EX",0,--(COUNTIFS(nNIA,DATOS!$A6134,nCURSO,DATOS!$D6134,nESPEC,DATOS!$E6134,nASIG,DATOS!$I6134,nEVAL,"OR")=0))</f>
      </c>
      <c r="I6134">
        <f>IF(DATOS!$I6134="","",IFERROR(VLOOKUP(DATOS!$I6134,CONFIG_ASIGNATURAS!$B$2:$J$91,9,FALSE()),""))</f>
      </c>
    </row>
    <row r="6135">
      <c r="F6135">
        <f>IF(DATOS!$A6135="","",DATOS!$A6135&amp;"|"&amp;DATOS!$D6135&amp;"|"&amp;DATOS!$E6135&amp;"|"&amp;DATOS!$I6135)</f>
      </c>
      <c r="G6135">
        <f>IF(DATOS!$A6135="",0,IF(CONFIG_METADATA!$B$4&lt;&gt;"OR+EX",--(DATOS!$G6135=CONFIG_METADATA!$B$4),IF(DATOS!$G6135="EX",1,IF(DATOS!$G6135="OR",--(COUNTIFS(nNIA,DATOS!$A6135,nCURSO,DATOS!$D6135,nESPEC,DATOS!$E6135,nASIG,DATOS!$I6135,nEVAL,"EX")=0),0))))</f>
      </c>
      <c r="H6135">
        <f>IF(DATOS!$G6135&lt;&gt;"EX",0,--(COUNTIFS(nNIA,DATOS!$A6135,nCURSO,DATOS!$D6135,nESPEC,DATOS!$E6135,nASIG,DATOS!$I6135,nEVAL,"OR")=0))</f>
      </c>
      <c r="I6135">
        <f>IF(DATOS!$I6135="","",IFERROR(VLOOKUP(DATOS!$I6135,CONFIG_ASIGNATURAS!$B$2:$J$91,9,FALSE()),""))</f>
      </c>
    </row>
    <row r="6136">
      <c r="F6136">
        <f>IF(DATOS!$A6136="","",DATOS!$A6136&amp;"|"&amp;DATOS!$D6136&amp;"|"&amp;DATOS!$E6136&amp;"|"&amp;DATOS!$I6136)</f>
      </c>
      <c r="G6136">
        <f>IF(DATOS!$A6136="",0,IF(CONFIG_METADATA!$B$4&lt;&gt;"OR+EX",--(DATOS!$G6136=CONFIG_METADATA!$B$4),IF(DATOS!$G6136="EX",1,IF(DATOS!$G6136="OR",--(COUNTIFS(nNIA,DATOS!$A6136,nCURSO,DATOS!$D6136,nESPEC,DATOS!$E6136,nASIG,DATOS!$I6136,nEVAL,"EX")=0),0))))</f>
      </c>
      <c r="H6136">
        <f>IF(DATOS!$G6136&lt;&gt;"EX",0,--(COUNTIFS(nNIA,DATOS!$A6136,nCURSO,DATOS!$D6136,nESPEC,DATOS!$E6136,nASIG,DATOS!$I6136,nEVAL,"OR")=0))</f>
      </c>
      <c r="I6136">
        <f>IF(DATOS!$I6136="","",IFERROR(VLOOKUP(DATOS!$I6136,CONFIG_ASIGNATURAS!$B$2:$J$91,9,FALSE()),""))</f>
      </c>
    </row>
    <row r="6137">
      <c r="F6137">
        <f>IF(DATOS!$A6137="","",DATOS!$A6137&amp;"|"&amp;DATOS!$D6137&amp;"|"&amp;DATOS!$E6137&amp;"|"&amp;DATOS!$I6137)</f>
      </c>
      <c r="G6137">
        <f>IF(DATOS!$A6137="",0,IF(CONFIG_METADATA!$B$4&lt;&gt;"OR+EX",--(DATOS!$G6137=CONFIG_METADATA!$B$4),IF(DATOS!$G6137="EX",1,IF(DATOS!$G6137="OR",--(COUNTIFS(nNIA,DATOS!$A6137,nCURSO,DATOS!$D6137,nESPEC,DATOS!$E6137,nASIG,DATOS!$I6137,nEVAL,"EX")=0),0))))</f>
      </c>
      <c r="H6137">
        <f>IF(DATOS!$G6137&lt;&gt;"EX",0,--(COUNTIFS(nNIA,DATOS!$A6137,nCURSO,DATOS!$D6137,nESPEC,DATOS!$E6137,nASIG,DATOS!$I6137,nEVAL,"OR")=0))</f>
      </c>
      <c r="I6137">
        <f>IF(DATOS!$I6137="","",IFERROR(VLOOKUP(DATOS!$I6137,CONFIG_ASIGNATURAS!$B$2:$J$91,9,FALSE()),""))</f>
      </c>
    </row>
    <row r="6138">
      <c r="F6138">
        <f>IF(DATOS!$A6138="","",DATOS!$A6138&amp;"|"&amp;DATOS!$D6138&amp;"|"&amp;DATOS!$E6138&amp;"|"&amp;DATOS!$I6138)</f>
      </c>
      <c r="G6138">
        <f>IF(DATOS!$A6138="",0,IF(CONFIG_METADATA!$B$4&lt;&gt;"OR+EX",--(DATOS!$G6138=CONFIG_METADATA!$B$4),IF(DATOS!$G6138="EX",1,IF(DATOS!$G6138="OR",--(COUNTIFS(nNIA,DATOS!$A6138,nCURSO,DATOS!$D6138,nESPEC,DATOS!$E6138,nASIG,DATOS!$I6138,nEVAL,"EX")=0),0))))</f>
      </c>
      <c r="H6138">
        <f>IF(DATOS!$G6138&lt;&gt;"EX",0,--(COUNTIFS(nNIA,DATOS!$A6138,nCURSO,DATOS!$D6138,nESPEC,DATOS!$E6138,nASIG,DATOS!$I6138,nEVAL,"OR")=0))</f>
      </c>
      <c r="I6138">
        <f>IF(DATOS!$I6138="","",IFERROR(VLOOKUP(DATOS!$I6138,CONFIG_ASIGNATURAS!$B$2:$J$91,9,FALSE()),""))</f>
      </c>
    </row>
    <row r="6139">
      <c r="F6139">
        <f>IF(DATOS!$A6139="","",DATOS!$A6139&amp;"|"&amp;DATOS!$D6139&amp;"|"&amp;DATOS!$E6139&amp;"|"&amp;DATOS!$I6139)</f>
      </c>
      <c r="G6139">
        <f>IF(DATOS!$A6139="",0,IF(CONFIG_METADATA!$B$4&lt;&gt;"OR+EX",--(DATOS!$G6139=CONFIG_METADATA!$B$4),IF(DATOS!$G6139="EX",1,IF(DATOS!$G6139="OR",--(COUNTIFS(nNIA,DATOS!$A6139,nCURSO,DATOS!$D6139,nESPEC,DATOS!$E6139,nASIG,DATOS!$I6139,nEVAL,"EX")=0),0))))</f>
      </c>
      <c r="H6139">
        <f>IF(DATOS!$G6139&lt;&gt;"EX",0,--(COUNTIFS(nNIA,DATOS!$A6139,nCURSO,DATOS!$D6139,nESPEC,DATOS!$E6139,nASIG,DATOS!$I6139,nEVAL,"OR")=0))</f>
      </c>
      <c r="I6139">
        <f>IF(DATOS!$I6139="","",IFERROR(VLOOKUP(DATOS!$I6139,CONFIG_ASIGNATURAS!$B$2:$J$91,9,FALSE()),""))</f>
      </c>
    </row>
    <row r="6140">
      <c r="F6140">
        <f>IF(DATOS!$A6140="","",DATOS!$A6140&amp;"|"&amp;DATOS!$D6140&amp;"|"&amp;DATOS!$E6140&amp;"|"&amp;DATOS!$I6140)</f>
      </c>
      <c r="G6140">
        <f>IF(DATOS!$A6140="",0,IF(CONFIG_METADATA!$B$4&lt;&gt;"OR+EX",--(DATOS!$G6140=CONFIG_METADATA!$B$4),IF(DATOS!$G6140="EX",1,IF(DATOS!$G6140="OR",--(COUNTIFS(nNIA,DATOS!$A6140,nCURSO,DATOS!$D6140,nESPEC,DATOS!$E6140,nASIG,DATOS!$I6140,nEVAL,"EX")=0),0))))</f>
      </c>
      <c r="H6140">
        <f>IF(DATOS!$G6140&lt;&gt;"EX",0,--(COUNTIFS(nNIA,DATOS!$A6140,nCURSO,DATOS!$D6140,nESPEC,DATOS!$E6140,nASIG,DATOS!$I6140,nEVAL,"OR")=0))</f>
      </c>
      <c r="I6140">
        <f>IF(DATOS!$I6140="","",IFERROR(VLOOKUP(DATOS!$I6140,CONFIG_ASIGNATURAS!$B$2:$J$91,9,FALSE()),""))</f>
      </c>
    </row>
    <row r="6141">
      <c r="F6141">
        <f>IF(DATOS!$A6141="","",DATOS!$A6141&amp;"|"&amp;DATOS!$D6141&amp;"|"&amp;DATOS!$E6141&amp;"|"&amp;DATOS!$I6141)</f>
      </c>
      <c r="G6141">
        <f>IF(DATOS!$A6141="",0,IF(CONFIG_METADATA!$B$4&lt;&gt;"OR+EX",--(DATOS!$G6141=CONFIG_METADATA!$B$4),IF(DATOS!$G6141="EX",1,IF(DATOS!$G6141="OR",--(COUNTIFS(nNIA,DATOS!$A6141,nCURSO,DATOS!$D6141,nESPEC,DATOS!$E6141,nASIG,DATOS!$I6141,nEVAL,"EX")=0),0))))</f>
      </c>
      <c r="H6141">
        <f>IF(DATOS!$G6141&lt;&gt;"EX",0,--(COUNTIFS(nNIA,DATOS!$A6141,nCURSO,DATOS!$D6141,nESPEC,DATOS!$E6141,nASIG,DATOS!$I6141,nEVAL,"OR")=0))</f>
      </c>
      <c r="I6141">
        <f>IF(DATOS!$I6141="","",IFERROR(VLOOKUP(DATOS!$I6141,CONFIG_ASIGNATURAS!$B$2:$J$91,9,FALSE()),""))</f>
      </c>
    </row>
    <row r="6142">
      <c r="F6142">
        <f>IF(DATOS!$A6142="","",DATOS!$A6142&amp;"|"&amp;DATOS!$D6142&amp;"|"&amp;DATOS!$E6142&amp;"|"&amp;DATOS!$I6142)</f>
      </c>
      <c r="G6142">
        <f>IF(DATOS!$A6142="",0,IF(CONFIG_METADATA!$B$4&lt;&gt;"OR+EX",--(DATOS!$G6142=CONFIG_METADATA!$B$4),IF(DATOS!$G6142="EX",1,IF(DATOS!$G6142="OR",--(COUNTIFS(nNIA,DATOS!$A6142,nCURSO,DATOS!$D6142,nESPEC,DATOS!$E6142,nASIG,DATOS!$I6142,nEVAL,"EX")=0),0))))</f>
      </c>
      <c r="H6142">
        <f>IF(DATOS!$G6142&lt;&gt;"EX",0,--(COUNTIFS(nNIA,DATOS!$A6142,nCURSO,DATOS!$D6142,nESPEC,DATOS!$E6142,nASIG,DATOS!$I6142,nEVAL,"OR")=0))</f>
      </c>
      <c r="I6142">
        <f>IF(DATOS!$I6142="","",IFERROR(VLOOKUP(DATOS!$I6142,CONFIG_ASIGNATURAS!$B$2:$J$91,9,FALSE()),""))</f>
      </c>
    </row>
    <row r="6143">
      <c r="F6143">
        <f>IF(DATOS!$A6143="","",DATOS!$A6143&amp;"|"&amp;DATOS!$D6143&amp;"|"&amp;DATOS!$E6143&amp;"|"&amp;DATOS!$I6143)</f>
      </c>
      <c r="G6143">
        <f>IF(DATOS!$A6143="",0,IF(CONFIG_METADATA!$B$4&lt;&gt;"OR+EX",--(DATOS!$G6143=CONFIG_METADATA!$B$4),IF(DATOS!$G6143="EX",1,IF(DATOS!$G6143="OR",--(COUNTIFS(nNIA,DATOS!$A6143,nCURSO,DATOS!$D6143,nESPEC,DATOS!$E6143,nASIG,DATOS!$I6143,nEVAL,"EX")=0),0))))</f>
      </c>
      <c r="H6143">
        <f>IF(DATOS!$G6143&lt;&gt;"EX",0,--(COUNTIFS(nNIA,DATOS!$A6143,nCURSO,DATOS!$D6143,nESPEC,DATOS!$E6143,nASIG,DATOS!$I6143,nEVAL,"OR")=0))</f>
      </c>
      <c r="I6143">
        <f>IF(DATOS!$I6143="","",IFERROR(VLOOKUP(DATOS!$I6143,CONFIG_ASIGNATURAS!$B$2:$J$91,9,FALSE()),""))</f>
      </c>
    </row>
    <row r="6144">
      <c r="F6144">
        <f>IF(DATOS!$A6144="","",DATOS!$A6144&amp;"|"&amp;DATOS!$D6144&amp;"|"&amp;DATOS!$E6144&amp;"|"&amp;DATOS!$I6144)</f>
      </c>
      <c r="G6144">
        <f>IF(DATOS!$A6144="",0,IF(CONFIG_METADATA!$B$4&lt;&gt;"OR+EX",--(DATOS!$G6144=CONFIG_METADATA!$B$4),IF(DATOS!$G6144="EX",1,IF(DATOS!$G6144="OR",--(COUNTIFS(nNIA,DATOS!$A6144,nCURSO,DATOS!$D6144,nESPEC,DATOS!$E6144,nASIG,DATOS!$I6144,nEVAL,"EX")=0),0))))</f>
      </c>
      <c r="H6144">
        <f>IF(DATOS!$G6144&lt;&gt;"EX",0,--(COUNTIFS(nNIA,DATOS!$A6144,nCURSO,DATOS!$D6144,nESPEC,DATOS!$E6144,nASIG,DATOS!$I6144,nEVAL,"OR")=0))</f>
      </c>
      <c r="I6144">
        <f>IF(DATOS!$I6144="","",IFERROR(VLOOKUP(DATOS!$I6144,CONFIG_ASIGNATURAS!$B$2:$J$91,9,FALSE()),""))</f>
      </c>
    </row>
    <row r="6145">
      <c r="F6145">
        <f>IF(DATOS!$A6145="","",DATOS!$A6145&amp;"|"&amp;DATOS!$D6145&amp;"|"&amp;DATOS!$E6145&amp;"|"&amp;DATOS!$I6145)</f>
      </c>
      <c r="G6145">
        <f>IF(DATOS!$A6145="",0,IF(CONFIG_METADATA!$B$4&lt;&gt;"OR+EX",--(DATOS!$G6145=CONFIG_METADATA!$B$4),IF(DATOS!$G6145="EX",1,IF(DATOS!$G6145="OR",--(COUNTIFS(nNIA,DATOS!$A6145,nCURSO,DATOS!$D6145,nESPEC,DATOS!$E6145,nASIG,DATOS!$I6145,nEVAL,"EX")=0),0))))</f>
      </c>
      <c r="H6145">
        <f>IF(DATOS!$G6145&lt;&gt;"EX",0,--(COUNTIFS(nNIA,DATOS!$A6145,nCURSO,DATOS!$D6145,nESPEC,DATOS!$E6145,nASIG,DATOS!$I6145,nEVAL,"OR")=0))</f>
      </c>
      <c r="I6145">
        <f>IF(DATOS!$I6145="","",IFERROR(VLOOKUP(DATOS!$I6145,CONFIG_ASIGNATURAS!$B$2:$J$91,9,FALSE()),""))</f>
      </c>
    </row>
    <row r="6146">
      <c r="F6146">
        <f>IF(DATOS!$A6146="","",DATOS!$A6146&amp;"|"&amp;DATOS!$D6146&amp;"|"&amp;DATOS!$E6146&amp;"|"&amp;DATOS!$I6146)</f>
      </c>
      <c r="G6146">
        <f>IF(DATOS!$A6146="",0,IF(CONFIG_METADATA!$B$4&lt;&gt;"OR+EX",--(DATOS!$G6146=CONFIG_METADATA!$B$4),IF(DATOS!$G6146="EX",1,IF(DATOS!$G6146="OR",--(COUNTIFS(nNIA,DATOS!$A6146,nCURSO,DATOS!$D6146,nESPEC,DATOS!$E6146,nASIG,DATOS!$I6146,nEVAL,"EX")=0),0))))</f>
      </c>
      <c r="H6146">
        <f>IF(DATOS!$G6146&lt;&gt;"EX",0,--(COUNTIFS(nNIA,DATOS!$A6146,nCURSO,DATOS!$D6146,nESPEC,DATOS!$E6146,nASIG,DATOS!$I6146,nEVAL,"OR")=0))</f>
      </c>
      <c r="I6146">
        <f>IF(DATOS!$I6146="","",IFERROR(VLOOKUP(DATOS!$I6146,CONFIG_ASIGNATURAS!$B$2:$J$91,9,FALSE()),""))</f>
      </c>
    </row>
    <row r="6147">
      <c r="F6147">
        <f>IF(DATOS!$A6147="","",DATOS!$A6147&amp;"|"&amp;DATOS!$D6147&amp;"|"&amp;DATOS!$E6147&amp;"|"&amp;DATOS!$I6147)</f>
      </c>
      <c r="G6147">
        <f>IF(DATOS!$A6147="",0,IF(CONFIG_METADATA!$B$4&lt;&gt;"OR+EX",--(DATOS!$G6147=CONFIG_METADATA!$B$4),IF(DATOS!$G6147="EX",1,IF(DATOS!$G6147="OR",--(COUNTIFS(nNIA,DATOS!$A6147,nCURSO,DATOS!$D6147,nESPEC,DATOS!$E6147,nASIG,DATOS!$I6147,nEVAL,"EX")=0),0))))</f>
      </c>
      <c r="H6147">
        <f>IF(DATOS!$G6147&lt;&gt;"EX",0,--(COUNTIFS(nNIA,DATOS!$A6147,nCURSO,DATOS!$D6147,nESPEC,DATOS!$E6147,nASIG,DATOS!$I6147,nEVAL,"OR")=0))</f>
      </c>
      <c r="I6147">
        <f>IF(DATOS!$I6147="","",IFERROR(VLOOKUP(DATOS!$I6147,CONFIG_ASIGNATURAS!$B$2:$J$91,9,FALSE()),""))</f>
      </c>
    </row>
    <row r="6148">
      <c r="F6148">
        <f>IF(DATOS!$A6148="","",DATOS!$A6148&amp;"|"&amp;DATOS!$D6148&amp;"|"&amp;DATOS!$E6148&amp;"|"&amp;DATOS!$I6148)</f>
      </c>
      <c r="G6148">
        <f>IF(DATOS!$A6148="",0,IF(CONFIG_METADATA!$B$4&lt;&gt;"OR+EX",--(DATOS!$G6148=CONFIG_METADATA!$B$4),IF(DATOS!$G6148="EX",1,IF(DATOS!$G6148="OR",--(COUNTIFS(nNIA,DATOS!$A6148,nCURSO,DATOS!$D6148,nESPEC,DATOS!$E6148,nASIG,DATOS!$I6148,nEVAL,"EX")=0),0))))</f>
      </c>
      <c r="H6148">
        <f>IF(DATOS!$G6148&lt;&gt;"EX",0,--(COUNTIFS(nNIA,DATOS!$A6148,nCURSO,DATOS!$D6148,nESPEC,DATOS!$E6148,nASIG,DATOS!$I6148,nEVAL,"OR")=0))</f>
      </c>
      <c r="I6148">
        <f>IF(DATOS!$I6148="","",IFERROR(VLOOKUP(DATOS!$I6148,CONFIG_ASIGNATURAS!$B$2:$J$91,9,FALSE()),""))</f>
      </c>
    </row>
    <row r="6149">
      <c r="F6149">
        <f>IF(DATOS!$A6149="","",DATOS!$A6149&amp;"|"&amp;DATOS!$D6149&amp;"|"&amp;DATOS!$E6149&amp;"|"&amp;DATOS!$I6149)</f>
      </c>
      <c r="G6149">
        <f>IF(DATOS!$A6149="",0,IF(CONFIG_METADATA!$B$4&lt;&gt;"OR+EX",--(DATOS!$G6149=CONFIG_METADATA!$B$4),IF(DATOS!$G6149="EX",1,IF(DATOS!$G6149="OR",--(COUNTIFS(nNIA,DATOS!$A6149,nCURSO,DATOS!$D6149,nESPEC,DATOS!$E6149,nASIG,DATOS!$I6149,nEVAL,"EX")=0),0))))</f>
      </c>
      <c r="H6149">
        <f>IF(DATOS!$G6149&lt;&gt;"EX",0,--(COUNTIFS(nNIA,DATOS!$A6149,nCURSO,DATOS!$D6149,nESPEC,DATOS!$E6149,nASIG,DATOS!$I6149,nEVAL,"OR")=0))</f>
      </c>
      <c r="I6149">
        <f>IF(DATOS!$I6149="","",IFERROR(VLOOKUP(DATOS!$I6149,CONFIG_ASIGNATURAS!$B$2:$J$91,9,FALSE()),""))</f>
      </c>
    </row>
    <row r="6150">
      <c r="F6150">
        <f>IF(DATOS!$A6150="","",DATOS!$A6150&amp;"|"&amp;DATOS!$D6150&amp;"|"&amp;DATOS!$E6150&amp;"|"&amp;DATOS!$I6150)</f>
      </c>
      <c r="G6150">
        <f>IF(DATOS!$A6150="",0,IF(CONFIG_METADATA!$B$4&lt;&gt;"OR+EX",--(DATOS!$G6150=CONFIG_METADATA!$B$4),IF(DATOS!$G6150="EX",1,IF(DATOS!$G6150="OR",--(COUNTIFS(nNIA,DATOS!$A6150,nCURSO,DATOS!$D6150,nESPEC,DATOS!$E6150,nASIG,DATOS!$I6150,nEVAL,"EX")=0),0))))</f>
      </c>
      <c r="H6150">
        <f>IF(DATOS!$G6150&lt;&gt;"EX",0,--(COUNTIFS(nNIA,DATOS!$A6150,nCURSO,DATOS!$D6150,nESPEC,DATOS!$E6150,nASIG,DATOS!$I6150,nEVAL,"OR")=0))</f>
      </c>
      <c r="I6150">
        <f>IF(DATOS!$I6150="","",IFERROR(VLOOKUP(DATOS!$I6150,CONFIG_ASIGNATURAS!$B$2:$J$91,9,FALSE()),""))</f>
      </c>
    </row>
    <row r="6151">
      <c r="F6151">
        <f>IF(DATOS!$A6151="","",DATOS!$A6151&amp;"|"&amp;DATOS!$D6151&amp;"|"&amp;DATOS!$E6151&amp;"|"&amp;DATOS!$I6151)</f>
      </c>
      <c r="G6151">
        <f>IF(DATOS!$A6151="",0,IF(CONFIG_METADATA!$B$4&lt;&gt;"OR+EX",--(DATOS!$G6151=CONFIG_METADATA!$B$4),IF(DATOS!$G6151="EX",1,IF(DATOS!$G6151="OR",--(COUNTIFS(nNIA,DATOS!$A6151,nCURSO,DATOS!$D6151,nESPEC,DATOS!$E6151,nASIG,DATOS!$I6151,nEVAL,"EX")=0),0))))</f>
      </c>
      <c r="H6151">
        <f>IF(DATOS!$G6151&lt;&gt;"EX",0,--(COUNTIFS(nNIA,DATOS!$A6151,nCURSO,DATOS!$D6151,nESPEC,DATOS!$E6151,nASIG,DATOS!$I6151,nEVAL,"OR")=0))</f>
      </c>
      <c r="I6151">
        <f>IF(DATOS!$I6151="","",IFERROR(VLOOKUP(DATOS!$I6151,CONFIG_ASIGNATURAS!$B$2:$J$91,9,FALSE()),""))</f>
      </c>
    </row>
    <row r="6152">
      <c r="F6152">
        <f>IF(DATOS!$A6152="","",DATOS!$A6152&amp;"|"&amp;DATOS!$D6152&amp;"|"&amp;DATOS!$E6152&amp;"|"&amp;DATOS!$I6152)</f>
      </c>
      <c r="G6152">
        <f>IF(DATOS!$A6152="",0,IF(CONFIG_METADATA!$B$4&lt;&gt;"OR+EX",--(DATOS!$G6152=CONFIG_METADATA!$B$4),IF(DATOS!$G6152="EX",1,IF(DATOS!$G6152="OR",--(COUNTIFS(nNIA,DATOS!$A6152,nCURSO,DATOS!$D6152,nESPEC,DATOS!$E6152,nASIG,DATOS!$I6152,nEVAL,"EX")=0),0))))</f>
      </c>
      <c r="H6152">
        <f>IF(DATOS!$G6152&lt;&gt;"EX",0,--(COUNTIFS(nNIA,DATOS!$A6152,nCURSO,DATOS!$D6152,nESPEC,DATOS!$E6152,nASIG,DATOS!$I6152,nEVAL,"OR")=0))</f>
      </c>
      <c r="I6152">
        <f>IF(DATOS!$I6152="","",IFERROR(VLOOKUP(DATOS!$I6152,CONFIG_ASIGNATURAS!$B$2:$J$91,9,FALSE()),""))</f>
      </c>
    </row>
    <row r="6153">
      <c r="F6153">
        <f>IF(DATOS!$A6153="","",DATOS!$A6153&amp;"|"&amp;DATOS!$D6153&amp;"|"&amp;DATOS!$E6153&amp;"|"&amp;DATOS!$I6153)</f>
      </c>
      <c r="G6153">
        <f>IF(DATOS!$A6153="",0,IF(CONFIG_METADATA!$B$4&lt;&gt;"OR+EX",--(DATOS!$G6153=CONFIG_METADATA!$B$4),IF(DATOS!$G6153="EX",1,IF(DATOS!$G6153="OR",--(COUNTIFS(nNIA,DATOS!$A6153,nCURSO,DATOS!$D6153,nESPEC,DATOS!$E6153,nASIG,DATOS!$I6153,nEVAL,"EX")=0),0))))</f>
      </c>
      <c r="H6153">
        <f>IF(DATOS!$G6153&lt;&gt;"EX",0,--(COUNTIFS(nNIA,DATOS!$A6153,nCURSO,DATOS!$D6153,nESPEC,DATOS!$E6153,nASIG,DATOS!$I6153,nEVAL,"OR")=0))</f>
      </c>
      <c r="I6153">
        <f>IF(DATOS!$I6153="","",IFERROR(VLOOKUP(DATOS!$I6153,CONFIG_ASIGNATURAS!$B$2:$J$91,9,FALSE()),""))</f>
      </c>
    </row>
    <row r="6154">
      <c r="F6154">
        <f>IF(DATOS!$A6154="","",DATOS!$A6154&amp;"|"&amp;DATOS!$D6154&amp;"|"&amp;DATOS!$E6154&amp;"|"&amp;DATOS!$I6154)</f>
      </c>
      <c r="G6154">
        <f>IF(DATOS!$A6154="",0,IF(CONFIG_METADATA!$B$4&lt;&gt;"OR+EX",--(DATOS!$G6154=CONFIG_METADATA!$B$4),IF(DATOS!$G6154="EX",1,IF(DATOS!$G6154="OR",--(COUNTIFS(nNIA,DATOS!$A6154,nCURSO,DATOS!$D6154,nESPEC,DATOS!$E6154,nASIG,DATOS!$I6154,nEVAL,"EX")=0),0))))</f>
      </c>
      <c r="H6154">
        <f>IF(DATOS!$G6154&lt;&gt;"EX",0,--(COUNTIFS(nNIA,DATOS!$A6154,nCURSO,DATOS!$D6154,nESPEC,DATOS!$E6154,nASIG,DATOS!$I6154,nEVAL,"OR")=0))</f>
      </c>
      <c r="I6154">
        <f>IF(DATOS!$I6154="","",IFERROR(VLOOKUP(DATOS!$I6154,CONFIG_ASIGNATURAS!$B$2:$J$91,9,FALSE()),""))</f>
      </c>
    </row>
    <row r="6155">
      <c r="F6155">
        <f>IF(DATOS!$A6155="","",DATOS!$A6155&amp;"|"&amp;DATOS!$D6155&amp;"|"&amp;DATOS!$E6155&amp;"|"&amp;DATOS!$I6155)</f>
      </c>
      <c r="G6155">
        <f>IF(DATOS!$A6155="",0,IF(CONFIG_METADATA!$B$4&lt;&gt;"OR+EX",--(DATOS!$G6155=CONFIG_METADATA!$B$4),IF(DATOS!$G6155="EX",1,IF(DATOS!$G6155="OR",--(COUNTIFS(nNIA,DATOS!$A6155,nCURSO,DATOS!$D6155,nESPEC,DATOS!$E6155,nASIG,DATOS!$I6155,nEVAL,"EX")=0),0))))</f>
      </c>
      <c r="H6155">
        <f>IF(DATOS!$G6155&lt;&gt;"EX",0,--(COUNTIFS(nNIA,DATOS!$A6155,nCURSO,DATOS!$D6155,nESPEC,DATOS!$E6155,nASIG,DATOS!$I6155,nEVAL,"OR")=0))</f>
      </c>
      <c r="I6155">
        <f>IF(DATOS!$I6155="","",IFERROR(VLOOKUP(DATOS!$I6155,CONFIG_ASIGNATURAS!$B$2:$J$91,9,FALSE()),""))</f>
      </c>
    </row>
    <row r="6156">
      <c r="F6156">
        <f>IF(DATOS!$A6156="","",DATOS!$A6156&amp;"|"&amp;DATOS!$D6156&amp;"|"&amp;DATOS!$E6156&amp;"|"&amp;DATOS!$I6156)</f>
      </c>
      <c r="G6156">
        <f>IF(DATOS!$A6156="",0,IF(CONFIG_METADATA!$B$4&lt;&gt;"OR+EX",--(DATOS!$G6156=CONFIG_METADATA!$B$4),IF(DATOS!$G6156="EX",1,IF(DATOS!$G6156="OR",--(COUNTIFS(nNIA,DATOS!$A6156,nCURSO,DATOS!$D6156,nESPEC,DATOS!$E6156,nASIG,DATOS!$I6156,nEVAL,"EX")=0),0))))</f>
      </c>
      <c r="H6156">
        <f>IF(DATOS!$G6156&lt;&gt;"EX",0,--(COUNTIFS(nNIA,DATOS!$A6156,nCURSO,DATOS!$D6156,nESPEC,DATOS!$E6156,nASIG,DATOS!$I6156,nEVAL,"OR")=0))</f>
      </c>
      <c r="I6156">
        <f>IF(DATOS!$I6156="","",IFERROR(VLOOKUP(DATOS!$I6156,CONFIG_ASIGNATURAS!$B$2:$J$91,9,FALSE()),""))</f>
      </c>
    </row>
    <row r="6157">
      <c r="F6157">
        <f>IF(DATOS!$A6157="","",DATOS!$A6157&amp;"|"&amp;DATOS!$D6157&amp;"|"&amp;DATOS!$E6157&amp;"|"&amp;DATOS!$I6157)</f>
      </c>
      <c r="G6157">
        <f>IF(DATOS!$A6157="",0,IF(CONFIG_METADATA!$B$4&lt;&gt;"OR+EX",--(DATOS!$G6157=CONFIG_METADATA!$B$4),IF(DATOS!$G6157="EX",1,IF(DATOS!$G6157="OR",--(COUNTIFS(nNIA,DATOS!$A6157,nCURSO,DATOS!$D6157,nESPEC,DATOS!$E6157,nASIG,DATOS!$I6157,nEVAL,"EX")=0),0))))</f>
      </c>
      <c r="H6157">
        <f>IF(DATOS!$G6157&lt;&gt;"EX",0,--(COUNTIFS(nNIA,DATOS!$A6157,nCURSO,DATOS!$D6157,nESPEC,DATOS!$E6157,nASIG,DATOS!$I6157,nEVAL,"OR")=0))</f>
      </c>
      <c r="I6157">
        <f>IF(DATOS!$I6157="","",IFERROR(VLOOKUP(DATOS!$I6157,CONFIG_ASIGNATURAS!$B$2:$J$91,9,FALSE()),""))</f>
      </c>
    </row>
    <row r="6158">
      <c r="F6158">
        <f>IF(DATOS!$A6158="","",DATOS!$A6158&amp;"|"&amp;DATOS!$D6158&amp;"|"&amp;DATOS!$E6158&amp;"|"&amp;DATOS!$I6158)</f>
      </c>
      <c r="G6158">
        <f>IF(DATOS!$A6158="",0,IF(CONFIG_METADATA!$B$4&lt;&gt;"OR+EX",--(DATOS!$G6158=CONFIG_METADATA!$B$4),IF(DATOS!$G6158="EX",1,IF(DATOS!$G6158="OR",--(COUNTIFS(nNIA,DATOS!$A6158,nCURSO,DATOS!$D6158,nESPEC,DATOS!$E6158,nASIG,DATOS!$I6158,nEVAL,"EX")=0),0))))</f>
      </c>
      <c r="H6158">
        <f>IF(DATOS!$G6158&lt;&gt;"EX",0,--(COUNTIFS(nNIA,DATOS!$A6158,nCURSO,DATOS!$D6158,nESPEC,DATOS!$E6158,nASIG,DATOS!$I6158,nEVAL,"OR")=0))</f>
      </c>
      <c r="I6158">
        <f>IF(DATOS!$I6158="","",IFERROR(VLOOKUP(DATOS!$I6158,CONFIG_ASIGNATURAS!$B$2:$J$91,9,FALSE()),""))</f>
      </c>
    </row>
    <row r="6159">
      <c r="F6159">
        <f>IF(DATOS!$A6159="","",DATOS!$A6159&amp;"|"&amp;DATOS!$D6159&amp;"|"&amp;DATOS!$E6159&amp;"|"&amp;DATOS!$I6159)</f>
      </c>
      <c r="G6159">
        <f>IF(DATOS!$A6159="",0,IF(CONFIG_METADATA!$B$4&lt;&gt;"OR+EX",--(DATOS!$G6159=CONFIG_METADATA!$B$4),IF(DATOS!$G6159="EX",1,IF(DATOS!$G6159="OR",--(COUNTIFS(nNIA,DATOS!$A6159,nCURSO,DATOS!$D6159,nESPEC,DATOS!$E6159,nASIG,DATOS!$I6159,nEVAL,"EX")=0),0))))</f>
      </c>
      <c r="H6159">
        <f>IF(DATOS!$G6159&lt;&gt;"EX",0,--(COUNTIFS(nNIA,DATOS!$A6159,nCURSO,DATOS!$D6159,nESPEC,DATOS!$E6159,nASIG,DATOS!$I6159,nEVAL,"OR")=0))</f>
      </c>
      <c r="I6159">
        <f>IF(DATOS!$I6159="","",IFERROR(VLOOKUP(DATOS!$I6159,CONFIG_ASIGNATURAS!$B$2:$J$91,9,FALSE()),""))</f>
      </c>
    </row>
    <row r="6160">
      <c r="F6160">
        <f>IF(DATOS!$A6160="","",DATOS!$A6160&amp;"|"&amp;DATOS!$D6160&amp;"|"&amp;DATOS!$E6160&amp;"|"&amp;DATOS!$I6160)</f>
      </c>
      <c r="G6160">
        <f>IF(DATOS!$A6160="",0,IF(CONFIG_METADATA!$B$4&lt;&gt;"OR+EX",--(DATOS!$G6160=CONFIG_METADATA!$B$4),IF(DATOS!$G6160="EX",1,IF(DATOS!$G6160="OR",--(COUNTIFS(nNIA,DATOS!$A6160,nCURSO,DATOS!$D6160,nESPEC,DATOS!$E6160,nASIG,DATOS!$I6160,nEVAL,"EX")=0),0))))</f>
      </c>
      <c r="H6160">
        <f>IF(DATOS!$G6160&lt;&gt;"EX",0,--(COUNTIFS(nNIA,DATOS!$A6160,nCURSO,DATOS!$D6160,nESPEC,DATOS!$E6160,nASIG,DATOS!$I6160,nEVAL,"OR")=0))</f>
      </c>
      <c r="I6160">
        <f>IF(DATOS!$I6160="","",IFERROR(VLOOKUP(DATOS!$I6160,CONFIG_ASIGNATURAS!$B$2:$J$91,9,FALSE()),""))</f>
      </c>
    </row>
    <row r="6161">
      <c r="F6161">
        <f>IF(DATOS!$A6161="","",DATOS!$A6161&amp;"|"&amp;DATOS!$D6161&amp;"|"&amp;DATOS!$E6161&amp;"|"&amp;DATOS!$I6161)</f>
      </c>
      <c r="G6161">
        <f>IF(DATOS!$A6161="",0,IF(CONFIG_METADATA!$B$4&lt;&gt;"OR+EX",--(DATOS!$G6161=CONFIG_METADATA!$B$4),IF(DATOS!$G6161="EX",1,IF(DATOS!$G6161="OR",--(COUNTIFS(nNIA,DATOS!$A6161,nCURSO,DATOS!$D6161,nESPEC,DATOS!$E6161,nASIG,DATOS!$I6161,nEVAL,"EX")=0),0))))</f>
      </c>
      <c r="H6161">
        <f>IF(DATOS!$G6161&lt;&gt;"EX",0,--(COUNTIFS(nNIA,DATOS!$A6161,nCURSO,DATOS!$D6161,nESPEC,DATOS!$E6161,nASIG,DATOS!$I6161,nEVAL,"OR")=0))</f>
      </c>
      <c r="I6161">
        <f>IF(DATOS!$I6161="","",IFERROR(VLOOKUP(DATOS!$I6161,CONFIG_ASIGNATURAS!$B$2:$J$91,9,FALSE()),""))</f>
      </c>
    </row>
    <row r="6162">
      <c r="F6162">
        <f>IF(DATOS!$A6162="","",DATOS!$A6162&amp;"|"&amp;DATOS!$D6162&amp;"|"&amp;DATOS!$E6162&amp;"|"&amp;DATOS!$I6162)</f>
      </c>
      <c r="G6162">
        <f>IF(DATOS!$A6162="",0,IF(CONFIG_METADATA!$B$4&lt;&gt;"OR+EX",--(DATOS!$G6162=CONFIG_METADATA!$B$4),IF(DATOS!$G6162="EX",1,IF(DATOS!$G6162="OR",--(COUNTIFS(nNIA,DATOS!$A6162,nCURSO,DATOS!$D6162,nESPEC,DATOS!$E6162,nASIG,DATOS!$I6162,nEVAL,"EX")=0),0))))</f>
      </c>
      <c r="H6162">
        <f>IF(DATOS!$G6162&lt;&gt;"EX",0,--(COUNTIFS(nNIA,DATOS!$A6162,nCURSO,DATOS!$D6162,nESPEC,DATOS!$E6162,nASIG,DATOS!$I6162,nEVAL,"OR")=0))</f>
      </c>
      <c r="I6162">
        <f>IF(DATOS!$I6162="","",IFERROR(VLOOKUP(DATOS!$I6162,CONFIG_ASIGNATURAS!$B$2:$J$91,9,FALSE()),""))</f>
      </c>
    </row>
    <row r="6163">
      <c r="F6163">
        <f>IF(DATOS!$A6163="","",DATOS!$A6163&amp;"|"&amp;DATOS!$D6163&amp;"|"&amp;DATOS!$E6163&amp;"|"&amp;DATOS!$I6163)</f>
      </c>
      <c r="G6163">
        <f>IF(DATOS!$A6163="",0,IF(CONFIG_METADATA!$B$4&lt;&gt;"OR+EX",--(DATOS!$G6163=CONFIG_METADATA!$B$4),IF(DATOS!$G6163="EX",1,IF(DATOS!$G6163="OR",--(COUNTIFS(nNIA,DATOS!$A6163,nCURSO,DATOS!$D6163,nESPEC,DATOS!$E6163,nASIG,DATOS!$I6163,nEVAL,"EX")=0),0))))</f>
      </c>
      <c r="H6163">
        <f>IF(DATOS!$G6163&lt;&gt;"EX",0,--(COUNTIFS(nNIA,DATOS!$A6163,nCURSO,DATOS!$D6163,nESPEC,DATOS!$E6163,nASIG,DATOS!$I6163,nEVAL,"OR")=0))</f>
      </c>
      <c r="I6163">
        <f>IF(DATOS!$I6163="","",IFERROR(VLOOKUP(DATOS!$I6163,CONFIG_ASIGNATURAS!$B$2:$J$91,9,FALSE()),""))</f>
      </c>
    </row>
    <row r="6164">
      <c r="F6164">
        <f>IF(DATOS!$A6164="","",DATOS!$A6164&amp;"|"&amp;DATOS!$D6164&amp;"|"&amp;DATOS!$E6164&amp;"|"&amp;DATOS!$I6164)</f>
      </c>
      <c r="G6164">
        <f>IF(DATOS!$A6164="",0,IF(CONFIG_METADATA!$B$4&lt;&gt;"OR+EX",--(DATOS!$G6164=CONFIG_METADATA!$B$4),IF(DATOS!$G6164="EX",1,IF(DATOS!$G6164="OR",--(COUNTIFS(nNIA,DATOS!$A6164,nCURSO,DATOS!$D6164,nESPEC,DATOS!$E6164,nASIG,DATOS!$I6164,nEVAL,"EX")=0),0))))</f>
      </c>
      <c r="H6164">
        <f>IF(DATOS!$G6164&lt;&gt;"EX",0,--(COUNTIFS(nNIA,DATOS!$A6164,nCURSO,DATOS!$D6164,nESPEC,DATOS!$E6164,nASIG,DATOS!$I6164,nEVAL,"OR")=0))</f>
      </c>
      <c r="I6164">
        <f>IF(DATOS!$I6164="","",IFERROR(VLOOKUP(DATOS!$I6164,CONFIG_ASIGNATURAS!$B$2:$J$91,9,FALSE()),""))</f>
      </c>
    </row>
    <row r="6165">
      <c r="F6165">
        <f>IF(DATOS!$A6165="","",DATOS!$A6165&amp;"|"&amp;DATOS!$D6165&amp;"|"&amp;DATOS!$E6165&amp;"|"&amp;DATOS!$I6165)</f>
      </c>
      <c r="G6165">
        <f>IF(DATOS!$A6165="",0,IF(CONFIG_METADATA!$B$4&lt;&gt;"OR+EX",--(DATOS!$G6165=CONFIG_METADATA!$B$4),IF(DATOS!$G6165="EX",1,IF(DATOS!$G6165="OR",--(COUNTIFS(nNIA,DATOS!$A6165,nCURSO,DATOS!$D6165,nESPEC,DATOS!$E6165,nASIG,DATOS!$I6165,nEVAL,"EX")=0),0))))</f>
      </c>
      <c r="H6165">
        <f>IF(DATOS!$G6165&lt;&gt;"EX",0,--(COUNTIFS(nNIA,DATOS!$A6165,nCURSO,DATOS!$D6165,nESPEC,DATOS!$E6165,nASIG,DATOS!$I6165,nEVAL,"OR")=0))</f>
      </c>
      <c r="I6165">
        <f>IF(DATOS!$I6165="","",IFERROR(VLOOKUP(DATOS!$I6165,CONFIG_ASIGNATURAS!$B$2:$J$91,9,FALSE()),""))</f>
      </c>
    </row>
    <row r="6166">
      <c r="F6166">
        <f>IF(DATOS!$A6166="","",DATOS!$A6166&amp;"|"&amp;DATOS!$D6166&amp;"|"&amp;DATOS!$E6166&amp;"|"&amp;DATOS!$I6166)</f>
      </c>
      <c r="G6166">
        <f>IF(DATOS!$A6166="",0,IF(CONFIG_METADATA!$B$4&lt;&gt;"OR+EX",--(DATOS!$G6166=CONFIG_METADATA!$B$4),IF(DATOS!$G6166="EX",1,IF(DATOS!$G6166="OR",--(COUNTIFS(nNIA,DATOS!$A6166,nCURSO,DATOS!$D6166,nESPEC,DATOS!$E6166,nASIG,DATOS!$I6166,nEVAL,"EX")=0),0))))</f>
      </c>
      <c r="H6166">
        <f>IF(DATOS!$G6166&lt;&gt;"EX",0,--(COUNTIFS(nNIA,DATOS!$A6166,nCURSO,DATOS!$D6166,nESPEC,DATOS!$E6166,nASIG,DATOS!$I6166,nEVAL,"OR")=0))</f>
      </c>
      <c r="I6166">
        <f>IF(DATOS!$I6166="","",IFERROR(VLOOKUP(DATOS!$I6166,CONFIG_ASIGNATURAS!$B$2:$J$91,9,FALSE()),""))</f>
      </c>
    </row>
    <row r="6167">
      <c r="F6167">
        <f>IF(DATOS!$A6167="","",DATOS!$A6167&amp;"|"&amp;DATOS!$D6167&amp;"|"&amp;DATOS!$E6167&amp;"|"&amp;DATOS!$I6167)</f>
      </c>
      <c r="G6167">
        <f>IF(DATOS!$A6167="",0,IF(CONFIG_METADATA!$B$4&lt;&gt;"OR+EX",--(DATOS!$G6167=CONFIG_METADATA!$B$4),IF(DATOS!$G6167="EX",1,IF(DATOS!$G6167="OR",--(COUNTIFS(nNIA,DATOS!$A6167,nCURSO,DATOS!$D6167,nESPEC,DATOS!$E6167,nASIG,DATOS!$I6167,nEVAL,"EX")=0),0))))</f>
      </c>
      <c r="H6167">
        <f>IF(DATOS!$G6167&lt;&gt;"EX",0,--(COUNTIFS(nNIA,DATOS!$A6167,nCURSO,DATOS!$D6167,nESPEC,DATOS!$E6167,nASIG,DATOS!$I6167,nEVAL,"OR")=0))</f>
      </c>
      <c r="I6167">
        <f>IF(DATOS!$I6167="","",IFERROR(VLOOKUP(DATOS!$I6167,CONFIG_ASIGNATURAS!$B$2:$J$91,9,FALSE()),""))</f>
      </c>
    </row>
    <row r="6168">
      <c r="F6168">
        <f>IF(DATOS!$A6168="","",DATOS!$A6168&amp;"|"&amp;DATOS!$D6168&amp;"|"&amp;DATOS!$E6168&amp;"|"&amp;DATOS!$I6168)</f>
      </c>
      <c r="G6168">
        <f>IF(DATOS!$A6168="",0,IF(CONFIG_METADATA!$B$4&lt;&gt;"OR+EX",--(DATOS!$G6168=CONFIG_METADATA!$B$4),IF(DATOS!$G6168="EX",1,IF(DATOS!$G6168="OR",--(COUNTIFS(nNIA,DATOS!$A6168,nCURSO,DATOS!$D6168,nESPEC,DATOS!$E6168,nASIG,DATOS!$I6168,nEVAL,"EX")=0),0))))</f>
      </c>
      <c r="H6168">
        <f>IF(DATOS!$G6168&lt;&gt;"EX",0,--(COUNTIFS(nNIA,DATOS!$A6168,nCURSO,DATOS!$D6168,nESPEC,DATOS!$E6168,nASIG,DATOS!$I6168,nEVAL,"OR")=0))</f>
      </c>
      <c r="I6168">
        <f>IF(DATOS!$I6168="","",IFERROR(VLOOKUP(DATOS!$I6168,CONFIG_ASIGNATURAS!$B$2:$J$91,9,FALSE()),""))</f>
      </c>
    </row>
    <row r="6169">
      <c r="F6169">
        <f>IF(DATOS!$A6169="","",DATOS!$A6169&amp;"|"&amp;DATOS!$D6169&amp;"|"&amp;DATOS!$E6169&amp;"|"&amp;DATOS!$I6169)</f>
      </c>
      <c r="G6169">
        <f>IF(DATOS!$A6169="",0,IF(CONFIG_METADATA!$B$4&lt;&gt;"OR+EX",--(DATOS!$G6169=CONFIG_METADATA!$B$4),IF(DATOS!$G6169="EX",1,IF(DATOS!$G6169="OR",--(COUNTIFS(nNIA,DATOS!$A6169,nCURSO,DATOS!$D6169,nESPEC,DATOS!$E6169,nASIG,DATOS!$I6169,nEVAL,"EX")=0),0))))</f>
      </c>
      <c r="H6169">
        <f>IF(DATOS!$G6169&lt;&gt;"EX",0,--(COUNTIFS(nNIA,DATOS!$A6169,nCURSO,DATOS!$D6169,nESPEC,DATOS!$E6169,nASIG,DATOS!$I6169,nEVAL,"OR")=0))</f>
      </c>
      <c r="I6169">
        <f>IF(DATOS!$I6169="","",IFERROR(VLOOKUP(DATOS!$I6169,CONFIG_ASIGNATURAS!$B$2:$J$91,9,FALSE()),""))</f>
      </c>
    </row>
    <row r="6170">
      <c r="F6170">
        <f>IF(DATOS!$A6170="","",DATOS!$A6170&amp;"|"&amp;DATOS!$D6170&amp;"|"&amp;DATOS!$E6170&amp;"|"&amp;DATOS!$I6170)</f>
      </c>
      <c r="G6170">
        <f>IF(DATOS!$A6170="",0,IF(CONFIG_METADATA!$B$4&lt;&gt;"OR+EX",--(DATOS!$G6170=CONFIG_METADATA!$B$4),IF(DATOS!$G6170="EX",1,IF(DATOS!$G6170="OR",--(COUNTIFS(nNIA,DATOS!$A6170,nCURSO,DATOS!$D6170,nESPEC,DATOS!$E6170,nASIG,DATOS!$I6170,nEVAL,"EX")=0),0))))</f>
      </c>
      <c r="H6170">
        <f>IF(DATOS!$G6170&lt;&gt;"EX",0,--(COUNTIFS(nNIA,DATOS!$A6170,nCURSO,DATOS!$D6170,nESPEC,DATOS!$E6170,nASIG,DATOS!$I6170,nEVAL,"OR")=0))</f>
      </c>
      <c r="I6170">
        <f>IF(DATOS!$I6170="","",IFERROR(VLOOKUP(DATOS!$I6170,CONFIG_ASIGNATURAS!$B$2:$J$91,9,FALSE()),""))</f>
      </c>
    </row>
    <row r="6171">
      <c r="F6171">
        <f>IF(DATOS!$A6171="","",DATOS!$A6171&amp;"|"&amp;DATOS!$D6171&amp;"|"&amp;DATOS!$E6171&amp;"|"&amp;DATOS!$I6171)</f>
      </c>
      <c r="G6171">
        <f>IF(DATOS!$A6171="",0,IF(CONFIG_METADATA!$B$4&lt;&gt;"OR+EX",--(DATOS!$G6171=CONFIG_METADATA!$B$4),IF(DATOS!$G6171="EX",1,IF(DATOS!$G6171="OR",--(COUNTIFS(nNIA,DATOS!$A6171,nCURSO,DATOS!$D6171,nESPEC,DATOS!$E6171,nASIG,DATOS!$I6171,nEVAL,"EX")=0),0))))</f>
      </c>
      <c r="H6171">
        <f>IF(DATOS!$G6171&lt;&gt;"EX",0,--(COUNTIFS(nNIA,DATOS!$A6171,nCURSO,DATOS!$D6171,nESPEC,DATOS!$E6171,nASIG,DATOS!$I6171,nEVAL,"OR")=0))</f>
      </c>
      <c r="I6171">
        <f>IF(DATOS!$I6171="","",IFERROR(VLOOKUP(DATOS!$I6171,CONFIG_ASIGNATURAS!$B$2:$J$91,9,FALSE()),""))</f>
      </c>
    </row>
    <row r="6172">
      <c r="F6172">
        <f>IF(DATOS!$A6172="","",DATOS!$A6172&amp;"|"&amp;DATOS!$D6172&amp;"|"&amp;DATOS!$E6172&amp;"|"&amp;DATOS!$I6172)</f>
      </c>
      <c r="G6172">
        <f>IF(DATOS!$A6172="",0,IF(CONFIG_METADATA!$B$4&lt;&gt;"OR+EX",--(DATOS!$G6172=CONFIG_METADATA!$B$4),IF(DATOS!$G6172="EX",1,IF(DATOS!$G6172="OR",--(COUNTIFS(nNIA,DATOS!$A6172,nCURSO,DATOS!$D6172,nESPEC,DATOS!$E6172,nASIG,DATOS!$I6172,nEVAL,"EX")=0),0))))</f>
      </c>
      <c r="H6172">
        <f>IF(DATOS!$G6172&lt;&gt;"EX",0,--(COUNTIFS(nNIA,DATOS!$A6172,nCURSO,DATOS!$D6172,nESPEC,DATOS!$E6172,nASIG,DATOS!$I6172,nEVAL,"OR")=0))</f>
      </c>
      <c r="I6172">
        <f>IF(DATOS!$I6172="","",IFERROR(VLOOKUP(DATOS!$I6172,CONFIG_ASIGNATURAS!$B$2:$J$91,9,FALSE()),""))</f>
      </c>
    </row>
    <row r="6173">
      <c r="F6173">
        <f>IF(DATOS!$A6173="","",DATOS!$A6173&amp;"|"&amp;DATOS!$D6173&amp;"|"&amp;DATOS!$E6173&amp;"|"&amp;DATOS!$I6173)</f>
      </c>
      <c r="G6173">
        <f>IF(DATOS!$A6173="",0,IF(CONFIG_METADATA!$B$4&lt;&gt;"OR+EX",--(DATOS!$G6173=CONFIG_METADATA!$B$4),IF(DATOS!$G6173="EX",1,IF(DATOS!$G6173="OR",--(COUNTIFS(nNIA,DATOS!$A6173,nCURSO,DATOS!$D6173,nESPEC,DATOS!$E6173,nASIG,DATOS!$I6173,nEVAL,"EX")=0),0))))</f>
      </c>
      <c r="H6173">
        <f>IF(DATOS!$G6173&lt;&gt;"EX",0,--(COUNTIFS(nNIA,DATOS!$A6173,nCURSO,DATOS!$D6173,nESPEC,DATOS!$E6173,nASIG,DATOS!$I6173,nEVAL,"OR")=0))</f>
      </c>
      <c r="I6173">
        <f>IF(DATOS!$I6173="","",IFERROR(VLOOKUP(DATOS!$I6173,CONFIG_ASIGNATURAS!$B$2:$J$91,9,FALSE()),""))</f>
      </c>
    </row>
    <row r="6174">
      <c r="F6174">
        <f>IF(DATOS!$A6174="","",DATOS!$A6174&amp;"|"&amp;DATOS!$D6174&amp;"|"&amp;DATOS!$E6174&amp;"|"&amp;DATOS!$I6174)</f>
      </c>
      <c r="G6174">
        <f>IF(DATOS!$A6174="",0,IF(CONFIG_METADATA!$B$4&lt;&gt;"OR+EX",--(DATOS!$G6174=CONFIG_METADATA!$B$4),IF(DATOS!$G6174="EX",1,IF(DATOS!$G6174="OR",--(COUNTIFS(nNIA,DATOS!$A6174,nCURSO,DATOS!$D6174,nESPEC,DATOS!$E6174,nASIG,DATOS!$I6174,nEVAL,"EX")=0),0))))</f>
      </c>
      <c r="H6174">
        <f>IF(DATOS!$G6174&lt;&gt;"EX",0,--(COUNTIFS(nNIA,DATOS!$A6174,nCURSO,DATOS!$D6174,nESPEC,DATOS!$E6174,nASIG,DATOS!$I6174,nEVAL,"OR")=0))</f>
      </c>
      <c r="I6174">
        <f>IF(DATOS!$I6174="","",IFERROR(VLOOKUP(DATOS!$I6174,CONFIG_ASIGNATURAS!$B$2:$J$91,9,FALSE()),""))</f>
      </c>
    </row>
    <row r="6175">
      <c r="F6175">
        <f>IF(DATOS!$A6175="","",DATOS!$A6175&amp;"|"&amp;DATOS!$D6175&amp;"|"&amp;DATOS!$E6175&amp;"|"&amp;DATOS!$I6175)</f>
      </c>
      <c r="G6175">
        <f>IF(DATOS!$A6175="",0,IF(CONFIG_METADATA!$B$4&lt;&gt;"OR+EX",--(DATOS!$G6175=CONFIG_METADATA!$B$4),IF(DATOS!$G6175="EX",1,IF(DATOS!$G6175="OR",--(COUNTIFS(nNIA,DATOS!$A6175,nCURSO,DATOS!$D6175,nESPEC,DATOS!$E6175,nASIG,DATOS!$I6175,nEVAL,"EX")=0),0))))</f>
      </c>
      <c r="H6175">
        <f>IF(DATOS!$G6175&lt;&gt;"EX",0,--(COUNTIFS(nNIA,DATOS!$A6175,nCURSO,DATOS!$D6175,nESPEC,DATOS!$E6175,nASIG,DATOS!$I6175,nEVAL,"OR")=0))</f>
      </c>
      <c r="I6175">
        <f>IF(DATOS!$I6175="","",IFERROR(VLOOKUP(DATOS!$I6175,CONFIG_ASIGNATURAS!$B$2:$J$91,9,FALSE()),""))</f>
      </c>
    </row>
    <row r="6176">
      <c r="F6176">
        <f>IF(DATOS!$A6176="","",DATOS!$A6176&amp;"|"&amp;DATOS!$D6176&amp;"|"&amp;DATOS!$E6176&amp;"|"&amp;DATOS!$I6176)</f>
      </c>
      <c r="G6176">
        <f>IF(DATOS!$A6176="",0,IF(CONFIG_METADATA!$B$4&lt;&gt;"OR+EX",--(DATOS!$G6176=CONFIG_METADATA!$B$4),IF(DATOS!$G6176="EX",1,IF(DATOS!$G6176="OR",--(COUNTIFS(nNIA,DATOS!$A6176,nCURSO,DATOS!$D6176,nESPEC,DATOS!$E6176,nASIG,DATOS!$I6176,nEVAL,"EX")=0),0))))</f>
      </c>
      <c r="H6176">
        <f>IF(DATOS!$G6176&lt;&gt;"EX",0,--(COUNTIFS(nNIA,DATOS!$A6176,nCURSO,DATOS!$D6176,nESPEC,DATOS!$E6176,nASIG,DATOS!$I6176,nEVAL,"OR")=0))</f>
      </c>
      <c r="I6176">
        <f>IF(DATOS!$I6176="","",IFERROR(VLOOKUP(DATOS!$I6176,CONFIG_ASIGNATURAS!$B$2:$J$91,9,FALSE()),""))</f>
      </c>
    </row>
    <row r="6177">
      <c r="F6177">
        <f>IF(DATOS!$A6177="","",DATOS!$A6177&amp;"|"&amp;DATOS!$D6177&amp;"|"&amp;DATOS!$E6177&amp;"|"&amp;DATOS!$I6177)</f>
      </c>
      <c r="G6177">
        <f>IF(DATOS!$A6177="",0,IF(CONFIG_METADATA!$B$4&lt;&gt;"OR+EX",--(DATOS!$G6177=CONFIG_METADATA!$B$4),IF(DATOS!$G6177="EX",1,IF(DATOS!$G6177="OR",--(COUNTIFS(nNIA,DATOS!$A6177,nCURSO,DATOS!$D6177,nESPEC,DATOS!$E6177,nASIG,DATOS!$I6177,nEVAL,"EX")=0),0))))</f>
      </c>
      <c r="H6177">
        <f>IF(DATOS!$G6177&lt;&gt;"EX",0,--(COUNTIFS(nNIA,DATOS!$A6177,nCURSO,DATOS!$D6177,nESPEC,DATOS!$E6177,nASIG,DATOS!$I6177,nEVAL,"OR")=0))</f>
      </c>
      <c r="I6177">
        <f>IF(DATOS!$I6177="","",IFERROR(VLOOKUP(DATOS!$I6177,CONFIG_ASIGNATURAS!$B$2:$J$91,9,FALSE()),""))</f>
      </c>
    </row>
    <row r="6178">
      <c r="F6178">
        <f>IF(DATOS!$A6178="","",DATOS!$A6178&amp;"|"&amp;DATOS!$D6178&amp;"|"&amp;DATOS!$E6178&amp;"|"&amp;DATOS!$I6178)</f>
      </c>
      <c r="G6178">
        <f>IF(DATOS!$A6178="",0,IF(CONFIG_METADATA!$B$4&lt;&gt;"OR+EX",--(DATOS!$G6178=CONFIG_METADATA!$B$4),IF(DATOS!$G6178="EX",1,IF(DATOS!$G6178="OR",--(COUNTIFS(nNIA,DATOS!$A6178,nCURSO,DATOS!$D6178,nESPEC,DATOS!$E6178,nASIG,DATOS!$I6178,nEVAL,"EX")=0),0))))</f>
      </c>
      <c r="H6178">
        <f>IF(DATOS!$G6178&lt;&gt;"EX",0,--(COUNTIFS(nNIA,DATOS!$A6178,nCURSO,DATOS!$D6178,nESPEC,DATOS!$E6178,nASIG,DATOS!$I6178,nEVAL,"OR")=0))</f>
      </c>
      <c r="I6178">
        <f>IF(DATOS!$I6178="","",IFERROR(VLOOKUP(DATOS!$I6178,CONFIG_ASIGNATURAS!$B$2:$J$91,9,FALSE()),""))</f>
      </c>
    </row>
    <row r="6179">
      <c r="F6179">
        <f>IF(DATOS!$A6179="","",DATOS!$A6179&amp;"|"&amp;DATOS!$D6179&amp;"|"&amp;DATOS!$E6179&amp;"|"&amp;DATOS!$I6179)</f>
      </c>
      <c r="G6179">
        <f>IF(DATOS!$A6179="",0,IF(CONFIG_METADATA!$B$4&lt;&gt;"OR+EX",--(DATOS!$G6179=CONFIG_METADATA!$B$4),IF(DATOS!$G6179="EX",1,IF(DATOS!$G6179="OR",--(COUNTIFS(nNIA,DATOS!$A6179,nCURSO,DATOS!$D6179,nESPEC,DATOS!$E6179,nASIG,DATOS!$I6179,nEVAL,"EX")=0),0))))</f>
      </c>
      <c r="H6179">
        <f>IF(DATOS!$G6179&lt;&gt;"EX",0,--(COUNTIFS(nNIA,DATOS!$A6179,nCURSO,DATOS!$D6179,nESPEC,DATOS!$E6179,nASIG,DATOS!$I6179,nEVAL,"OR")=0))</f>
      </c>
      <c r="I6179">
        <f>IF(DATOS!$I6179="","",IFERROR(VLOOKUP(DATOS!$I6179,CONFIG_ASIGNATURAS!$B$2:$J$91,9,FALSE()),""))</f>
      </c>
    </row>
    <row r="6180">
      <c r="F6180">
        <f>IF(DATOS!$A6180="","",DATOS!$A6180&amp;"|"&amp;DATOS!$D6180&amp;"|"&amp;DATOS!$E6180&amp;"|"&amp;DATOS!$I6180)</f>
      </c>
      <c r="G6180">
        <f>IF(DATOS!$A6180="",0,IF(CONFIG_METADATA!$B$4&lt;&gt;"OR+EX",--(DATOS!$G6180=CONFIG_METADATA!$B$4),IF(DATOS!$G6180="EX",1,IF(DATOS!$G6180="OR",--(COUNTIFS(nNIA,DATOS!$A6180,nCURSO,DATOS!$D6180,nESPEC,DATOS!$E6180,nASIG,DATOS!$I6180,nEVAL,"EX")=0),0))))</f>
      </c>
      <c r="H6180">
        <f>IF(DATOS!$G6180&lt;&gt;"EX",0,--(COUNTIFS(nNIA,DATOS!$A6180,nCURSO,DATOS!$D6180,nESPEC,DATOS!$E6180,nASIG,DATOS!$I6180,nEVAL,"OR")=0))</f>
      </c>
      <c r="I6180">
        <f>IF(DATOS!$I6180="","",IFERROR(VLOOKUP(DATOS!$I6180,CONFIG_ASIGNATURAS!$B$2:$J$91,9,FALSE()),""))</f>
      </c>
    </row>
    <row r="6181">
      <c r="F6181">
        <f>IF(DATOS!$A6181="","",DATOS!$A6181&amp;"|"&amp;DATOS!$D6181&amp;"|"&amp;DATOS!$E6181&amp;"|"&amp;DATOS!$I6181)</f>
      </c>
      <c r="G6181">
        <f>IF(DATOS!$A6181="",0,IF(CONFIG_METADATA!$B$4&lt;&gt;"OR+EX",--(DATOS!$G6181=CONFIG_METADATA!$B$4),IF(DATOS!$G6181="EX",1,IF(DATOS!$G6181="OR",--(COUNTIFS(nNIA,DATOS!$A6181,nCURSO,DATOS!$D6181,nESPEC,DATOS!$E6181,nASIG,DATOS!$I6181,nEVAL,"EX")=0),0))))</f>
      </c>
      <c r="H6181">
        <f>IF(DATOS!$G6181&lt;&gt;"EX",0,--(COUNTIFS(nNIA,DATOS!$A6181,nCURSO,DATOS!$D6181,nESPEC,DATOS!$E6181,nASIG,DATOS!$I6181,nEVAL,"OR")=0))</f>
      </c>
      <c r="I6181">
        <f>IF(DATOS!$I6181="","",IFERROR(VLOOKUP(DATOS!$I6181,CONFIG_ASIGNATURAS!$B$2:$J$91,9,FALSE()),""))</f>
      </c>
    </row>
    <row r="6182">
      <c r="F6182">
        <f>IF(DATOS!$A6182="","",DATOS!$A6182&amp;"|"&amp;DATOS!$D6182&amp;"|"&amp;DATOS!$E6182&amp;"|"&amp;DATOS!$I6182)</f>
      </c>
      <c r="G6182">
        <f>IF(DATOS!$A6182="",0,IF(CONFIG_METADATA!$B$4&lt;&gt;"OR+EX",--(DATOS!$G6182=CONFIG_METADATA!$B$4),IF(DATOS!$G6182="EX",1,IF(DATOS!$G6182="OR",--(COUNTIFS(nNIA,DATOS!$A6182,nCURSO,DATOS!$D6182,nESPEC,DATOS!$E6182,nASIG,DATOS!$I6182,nEVAL,"EX")=0),0))))</f>
      </c>
      <c r="H6182">
        <f>IF(DATOS!$G6182&lt;&gt;"EX",0,--(COUNTIFS(nNIA,DATOS!$A6182,nCURSO,DATOS!$D6182,nESPEC,DATOS!$E6182,nASIG,DATOS!$I6182,nEVAL,"OR")=0))</f>
      </c>
      <c r="I6182">
        <f>IF(DATOS!$I6182="","",IFERROR(VLOOKUP(DATOS!$I6182,CONFIG_ASIGNATURAS!$B$2:$J$91,9,FALSE()),""))</f>
      </c>
    </row>
    <row r="6183">
      <c r="F6183">
        <f>IF(DATOS!$A6183="","",DATOS!$A6183&amp;"|"&amp;DATOS!$D6183&amp;"|"&amp;DATOS!$E6183&amp;"|"&amp;DATOS!$I6183)</f>
      </c>
      <c r="G6183">
        <f>IF(DATOS!$A6183="",0,IF(CONFIG_METADATA!$B$4&lt;&gt;"OR+EX",--(DATOS!$G6183=CONFIG_METADATA!$B$4),IF(DATOS!$G6183="EX",1,IF(DATOS!$G6183="OR",--(COUNTIFS(nNIA,DATOS!$A6183,nCURSO,DATOS!$D6183,nESPEC,DATOS!$E6183,nASIG,DATOS!$I6183,nEVAL,"EX")=0),0))))</f>
      </c>
      <c r="H6183">
        <f>IF(DATOS!$G6183&lt;&gt;"EX",0,--(COUNTIFS(nNIA,DATOS!$A6183,nCURSO,DATOS!$D6183,nESPEC,DATOS!$E6183,nASIG,DATOS!$I6183,nEVAL,"OR")=0))</f>
      </c>
      <c r="I6183">
        <f>IF(DATOS!$I6183="","",IFERROR(VLOOKUP(DATOS!$I6183,CONFIG_ASIGNATURAS!$B$2:$J$91,9,FALSE()),""))</f>
      </c>
    </row>
    <row r="6184">
      <c r="F6184">
        <f>IF(DATOS!$A6184="","",DATOS!$A6184&amp;"|"&amp;DATOS!$D6184&amp;"|"&amp;DATOS!$E6184&amp;"|"&amp;DATOS!$I6184)</f>
      </c>
      <c r="G6184">
        <f>IF(DATOS!$A6184="",0,IF(CONFIG_METADATA!$B$4&lt;&gt;"OR+EX",--(DATOS!$G6184=CONFIG_METADATA!$B$4),IF(DATOS!$G6184="EX",1,IF(DATOS!$G6184="OR",--(COUNTIFS(nNIA,DATOS!$A6184,nCURSO,DATOS!$D6184,nESPEC,DATOS!$E6184,nASIG,DATOS!$I6184,nEVAL,"EX")=0),0))))</f>
      </c>
      <c r="H6184">
        <f>IF(DATOS!$G6184&lt;&gt;"EX",0,--(COUNTIFS(nNIA,DATOS!$A6184,nCURSO,DATOS!$D6184,nESPEC,DATOS!$E6184,nASIG,DATOS!$I6184,nEVAL,"OR")=0))</f>
      </c>
      <c r="I6184">
        <f>IF(DATOS!$I6184="","",IFERROR(VLOOKUP(DATOS!$I6184,CONFIG_ASIGNATURAS!$B$2:$J$91,9,FALSE()),""))</f>
      </c>
    </row>
    <row r="6185">
      <c r="F6185">
        <f>IF(DATOS!$A6185="","",DATOS!$A6185&amp;"|"&amp;DATOS!$D6185&amp;"|"&amp;DATOS!$E6185&amp;"|"&amp;DATOS!$I6185)</f>
      </c>
      <c r="G6185">
        <f>IF(DATOS!$A6185="",0,IF(CONFIG_METADATA!$B$4&lt;&gt;"OR+EX",--(DATOS!$G6185=CONFIG_METADATA!$B$4),IF(DATOS!$G6185="EX",1,IF(DATOS!$G6185="OR",--(COUNTIFS(nNIA,DATOS!$A6185,nCURSO,DATOS!$D6185,nESPEC,DATOS!$E6185,nASIG,DATOS!$I6185,nEVAL,"EX")=0),0))))</f>
      </c>
      <c r="H6185">
        <f>IF(DATOS!$G6185&lt;&gt;"EX",0,--(COUNTIFS(nNIA,DATOS!$A6185,nCURSO,DATOS!$D6185,nESPEC,DATOS!$E6185,nASIG,DATOS!$I6185,nEVAL,"OR")=0))</f>
      </c>
      <c r="I6185">
        <f>IF(DATOS!$I6185="","",IFERROR(VLOOKUP(DATOS!$I6185,CONFIG_ASIGNATURAS!$B$2:$J$91,9,FALSE()),""))</f>
      </c>
    </row>
    <row r="6186">
      <c r="F6186">
        <f>IF(DATOS!$A6186="","",DATOS!$A6186&amp;"|"&amp;DATOS!$D6186&amp;"|"&amp;DATOS!$E6186&amp;"|"&amp;DATOS!$I6186)</f>
      </c>
      <c r="G6186">
        <f>IF(DATOS!$A6186="",0,IF(CONFIG_METADATA!$B$4&lt;&gt;"OR+EX",--(DATOS!$G6186=CONFIG_METADATA!$B$4),IF(DATOS!$G6186="EX",1,IF(DATOS!$G6186="OR",--(COUNTIFS(nNIA,DATOS!$A6186,nCURSO,DATOS!$D6186,nESPEC,DATOS!$E6186,nASIG,DATOS!$I6186,nEVAL,"EX")=0),0))))</f>
      </c>
      <c r="H6186">
        <f>IF(DATOS!$G6186&lt;&gt;"EX",0,--(COUNTIFS(nNIA,DATOS!$A6186,nCURSO,DATOS!$D6186,nESPEC,DATOS!$E6186,nASIG,DATOS!$I6186,nEVAL,"OR")=0))</f>
      </c>
      <c r="I6186">
        <f>IF(DATOS!$I6186="","",IFERROR(VLOOKUP(DATOS!$I6186,CONFIG_ASIGNATURAS!$B$2:$J$91,9,FALSE()),""))</f>
      </c>
    </row>
    <row r="6187">
      <c r="F6187">
        <f>IF(DATOS!$A6187="","",DATOS!$A6187&amp;"|"&amp;DATOS!$D6187&amp;"|"&amp;DATOS!$E6187&amp;"|"&amp;DATOS!$I6187)</f>
      </c>
      <c r="G6187">
        <f>IF(DATOS!$A6187="",0,IF(CONFIG_METADATA!$B$4&lt;&gt;"OR+EX",--(DATOS!$G6187=CONFIG_METADATA!$B$4),IF(DATOS!$G6187="EX",1,IF(DATOS!$G6187="OR",--(COUNTIFS(nNIA,DATOS!$A6187,nCURSO,DATOS!$D6187,nESPEC,DATOS!$E6187,nASIG,DATOS!$I6187,nEVAL,"EX")=0),0))))</f>
      </c>
      <c r="H6187">
        <f>IF(DATOS!$G6187&lt;&gt;"EX",0,--(COUNTIFS(nNIA,DATOS!$A6187,nCURSO,DATOS!$D6187,nESPEC,DATOS!$E6187,nASIG,DATOS!$I6187,nEVAL,"OR")=0))</f>
      </c>
      <c r="I6187">
        <f>IF(DATOS!$I6187="","",IFERROR(VLOOKUP(DATOS!$I6187,CONFIG_ASIGNATURAS!$B$2:$J$91,9,FALSE()),""))</f>
      </c>
    </row>
    <row r="6188">
      <c r="F6188">
        <f>IF(DATOS!$A6188="","",DATOS!$A6188&amp;"|"&amp;DATOS!$D6188&amp;"|"&amp;DATOS!$E6188&amp;"|"&amp;DATOS!$I6188)</f>
      </c>
      <c r="G6188">
        <f>IF(DATOS!$A6188="",0,IF(CONFIG_METADATA!$B$4&lt;&gt;"OR+EX",--(DATOS!$G6188=CONFIG_METADATA!$B$4),IF(DATOS!$G6188="EX",1,IF(DATOS!$G6188="OR",--(COUNTIFS(nNIA,DATOS!$A6188,nCURSO,DATOS!$D6188,nESPEC,DATOS!$E6188,nASIG,DATOS!$I6188,nEVAL,"EX")=0),0))))</f>
      </c>
      <c r="H6188">
        <f>IF(DATOS!$G6188&lt;&gt;"EX",0,--(COUNTIFS(nNIA,DATOS!$A6188,nCURSO,DATOS!$D6188,nESPEC,DATOS!$E6188,nASIG,DATOS!$I6188,nEVAL,"OR")=0))</f>
      </c>
      <c r="I6188">
        <f>IF(DATOS!$I6188="","",IFERROR(VLOOKUP(DATOS!$I6188,CONFIG_ASIGNATURAS!$B$2:$J$91,9,FALSE()),""))</f>
      </c>
    </row>
    <row r="6189">
      <c r="F6189">
        <f>IF(DATOS!$A6189="","",DATOS!$A6189&amp;"|"&amp;DATOS!$D6189&amp;"|"&amp;DATOS!$E6189&amp;"|"&amp;DATOS!$I6189)</f>
      </c>
      <c r="G6189">
        <f>IF(DATOS!$A6189="",0,IF(CONFIG_METADATA!$B$4&lt;&gt;"OR+EX",--(DATOS!$G6189=CONFIG_METADATA!$B$4),IF(DATOS!$G6189="EX",1,IF(DATOS!$G6189="OR",--(COUNTIFS(nNIA,DATOS!$A6189,nCURSO,DATOS!$D6189,nESPEC,DATOS!$E6189,nASIG,DATOS!$I6189,nEVAL,"EX")=0),0))))</f>
      </c>
      <c r="H6189">
        <f>IF(DATOS!$G6189&lt;&gt;"EX",0,--(COUNTIFS(nNIA,DATOS!$A6189,nCURSO,DATOS!$D6189,nESPEC,DATOS!$E6189,nASIG,DATOS!$I6189,nEVAL,"OR")=0))</f>
      </c>
      <c r="I6189">
        <f>IF(DATOS!$I6189="","",IFERROR(VLOOKUP(DATOS!$I6189,CONFIG_ASIGNATURAS!$B$2:$J$91,9,FALSE()),""))</f>
      </c>
    </row>
    <row r="6190">
      <c r="F6190">
        <f>IF(DATOS!$A6190="","",DATOS!$A6190&amp;"|"&amp;DATOS!$D6190&amp;"|"&amp;DATOS!$E6190&amp;"|"&amp;DATOS!$I6190)</f>
      </c>
      <c r="G6190">
        <f>IF(DATOS!$A6190="",0,IF(CONFIG_METADATA!$B$4&lt;&gt;"OR+EX",--(DATOS!$G6190=CONFIG_METADATA!$B$4),IF(DATOS!$G6190="EX",1,IF(DATOS!$G6190="OR",--(COUNTIFS(nNIA,DATOS!$A6190,nCURSO,DATOS!$D6190,nESPEC,DATOS!$E6190,nASIG,DATOS!$I6190,nEVAL,"EX")=0),0))))</f>
      </c>
      <c r="H6190">
        <f>IF(DATOS!$G6190&lt;&gt;"EX",0,--(COUNTIFS(nNIA,DATOS!$A6190,nCURSO,DATOS!$D6190,nESPEC,DATOS!$E6190,nASIG,DATOS!$I6190,nEVAL,"OR")=0))</f>
      </c>
      <c r="I6190">
        <f>IF(DATOS!$I6190="","",IFERROR(VLOOKUP(DATOS!$I6190,CONFIG_ASIGNATURAS!$B$2:$J$91,9,FALSE()),""))</f>
      </c>
    </row>
    <row r="6191">
      <c r="F6191">
        <f>IF(DATOS!$A6191="","",DATOS!$A6191&amp;"|"&amp;DATOS!$D6191&amp;"|"&amp;DATOS!$E6191&amp;"|"&amp;DATOS!$I6191)</f>
      </c>
      <c r="G6191">
        <f>IF(DATOS!$A6191="",0,IF(CONFIG_METADATA!$B$4&lt;&gt;"OR+EX",--(DATOS!$G6191=CONFIG_METADATA!$B$4),IF(DATOS!$G6191="EX",1,IF(DATOS!$G6191="OR",--(COUNTIFS(nNIA,DATOS!$A6191,nCURSO,DATOS!$D6191,nESPEC,DATOS!$E6191,nASIG,DATOS!$I6191,nEVAL,"EX")=0),0))))</f>
      </c>
      <c r="H6191">
        <f>IF(DATOS!$G6191&lt;&gt;"EX",0,--(COUNTIFS(nNIA,DATOS!$A6191,nCURSO,DATOS!$D6191,nESPEC,DATOS!$E6191,nASIG,DATOS!$I6191,nEVAL,"OR")=0))</f>
      </c>
      <c r="I6191">
        <f>IF(DATOS!$I6191="","",IFERROR(VLOOKUP(DATOS!$I6191,CONFIG_ASIGNATURAS!$B$2:$J$91,9,FALSE()),""))</f>
      </c>
    </row>
    <row r="6192">
      <c r="F6192">
        <f>IF(DATOS!$A6192="","",DATOS!$A6192&amp;"|"&amp;DATOS!$D6192&amp;"|"&amp;DATOS!$E6192&amp;"|"&amp;DATOS!$I6192)</f>
      </c>
      <c r="G6192">
        <f>IF(DATOS!$A6192="",0,IF(CONFIG_METADATA!$B$4&lt;&gt;"OR+EX",--(DATOS!$G6192=CONFIG_METADATA!$B$4),IF(DATOS!$G6192="EX",1,IF(DATOS!$G6192="OR",--(COUNTIFS(nNIA,DATOS!$A6192,nCURSO,DATOS!$D6192,nESPEC,DATOS!$E6192,nASIG,DATOS!$I6192,nEVAL,"EX")=0),0))))</f>
      </c>
      <c r="H6192">
        <f>IF(DATOS!$G6192&lt;&gt;"EX",0,--(COUNTIFS(nNIA,DATOS!$A6192,nCURSO,DATOS!$D6192,nESPEC,DATOS!$E6192,nASIG,DATOS!$I6192,nEVAL,"OR")=0))</f>
      </c>
      <c r="I6192">
        <f>IF(DATOS!$I6192="","",IFERROR(VLOOKUP(DATOS!$I6192,CONFIG_ASIGNATURAS!$B$2:$J$91,9,FALSE()),""))</f>
      </c>
    </row>
    <row r="6193">
      <c r="F6193">
        <f>IF(DATOS!$A6193="","",DATOS!$A6193&amp;"|"&amp;DATOS!$D6193&amp;"|"&amp;DATOS!$E6193&amp;"|"&amp;DATOS!$I6193)</f>
      </c>
      <c r="G6193">
        <f>IF(DATOS!$A6193="",0,IF(CONFIG_METADATA!$B$4&lt;&gt;"OR+EX",--(DATOS!$G6193=CONFIG_METADATA!$B$4),IF(DATOS!$G6193="EX",1,IF(DATOS!$G6193="OR",--(COUNTIFS(nNIA,DATOS!$A6193,nCURSO,DATOS!$D6193,nESPEC,DATOS!$E6193,nASIG,DATOS!$I6193,nEVAL,"EX")=0),0))))</f>
      </c>
      <c r="H6193">
        <f>IF(DATOS!$G6193&lt;&gt;"EX",0,--(COUNTIFS(nNIA,DATOS!$A6193,nCURSO,DATOS!$D6193,nESPEC,DATOS!$E6193,nASIG,DATOS!$I6193,nEVAL,"OR")=0))</f>
      </c>
      <c r="I6193">
        <f>IF(DATOS!$I6193="","",IFERROR(VLOOKUP(DATOS!$I6193,CONFIG_ASIGNATURAS!$B$2:$J$91,9,FALSE()),""))</f>
      </c>
    </row>
    <row r="6194">
      <c r="F6194">
        <f>IF(DATOS!$A6194="","",DATOS!$A6194&amp;"|"&amp;DATOS!$D6194&amp;"|"&amp;DATOS!$E6194&amp;"|"&amp;DATOS!$I6194)</f>
      </c>
      <c r="G6194">
        <f>IF(DATOS!$A6194="",0,IF(CONFIG_METADATA!$B$4&lt;&gt;"OR+EX",--(DATOS!$G6194=CONFIG_METADATA!$B$4),IF(DATOS!$G6194="EX",1,IF(DATOS!$G6194="OR",--(COUNTIFS(nNIA,DATOS!$A6194,nCURSO,DATOS!$D6194,nESPEC,DATOS!$E6194,nASIG,DATOS!$I6194,nEVAL,"EX")=0),0))))</f>
      </c>
      <c r="H6194">
        <f>IF(DATOS!$G6194&lt;&gt;"EX",0,--(COUNTIFS(nNIA,DATOS!$A6194,nCURSO,DATOS!$D6194,nESPEC,DATOS!$E6194,nASIG,DATOS!$I6194,nEVAL,"OR")=0))</f>
      </c>
      <c r="I6194">
        <f>IF(DATOS!$I6194="","",IFERROR(VLOOKUP(DATOS!$I6194,CONFIG_ASIGNATURAS!$B$2:$J$91,9,FALSE()),""))</f>
      </c>
    </row>
    <row r="6195">
      <c r="F6195">
        <f>IF(DATOS!$A6195="","",DATOS!$A6195&amp;"|"&amp;DATOS!$D6195&amp;"|"&amp;DATOS!$E6195&amp;"|"&amp;DATOS!$I6195)</f>
      </c>
      <c r="G6195">
        <f>IF(DATOS!$A6195="",0,IF(CONFIG_METADATA!$B$4&lt;&gt;"OR+EX",--(DATOS!$G6195=CONFIG_METADATA!$B$4),IF(DATOS!$G6195="EX",1,IF(DATOS!$G6195="OR",--(COUNTIFS(nNIA,DATOS!$A6195,nCURSO,DATOS!$D6195,nESPEC,DATOS!$E6195,nASIG,DATOS!$I6195,nEVAL,"EX")=0),0))))</f>
      </c>
      <c r="H6195">
        <f>IF(DATOS!$G6195&lt;&gt;"EX",0,--(COUNTIFS(nNIA,DATOS!$A6195,nCURSO,DATOS!$D6195,nESPEC,DATOS!$E6195,nASIG,DATOS!$I6195,nEVAL,"OR")=0))</f>
      </c>
      <c r="I6195">
        <f>IF(DATOS!$I6195="","",IFERROR(VLOOKUP(DATOS!$I6195,CONFIG_ASIGNATURAS!$B$2:$J$91,9,FALSE()),""))</f>
      </c>
    </row>
    <row r="6196">
      <c r="F6196">
        <f>IF(DATOS!$A6196="","",DATOS!$A6196&amp;"|"&amp;DATOS!$D6196&amp;"|"&amp;DATOS!$E6196&amp;"|"&amp;DATOS!$I6196)</f>
      </c>
      <c r="G6196">
        <f>IF(DATOS!$A6196="",0,IF(CONFIG_METADATA!$B$4&lt;&gt;"OR+EX",--(DATOS!$G6196=CONFIG_METADATA!$B$4),IF(DATOS!$G6196="EX",1,IF(DATOS!$G6196="OR",--(COUNTIFS(nNIA,DATOS!$A6196,nCURSO,DATOS!$D6196,nESPEC,DATOS!$E6196,nASIG,DATOS!$I6196,nEVAL,"EX")=0),0))))</f>
      </c>
      <c r="H6196">
        <f>IF(DATOS!$G6196&lt;&gt;"EX",0,--(COUNTIFS(nNIA,DATOS!$A6196,nCURSO,DATOS!$D6196,nESPEC,DATOS!$E6196,nASIG,DATOS!$I6196,nEVAL,"OR")=0))</f>
      </c>
      <c r="I6196">
        <f>IF(DATOS!$I6196="","",IFERROR(VLOOKUP(DATOS!$I6196,CONFIG_ASIGNATURAS!$B$2:$J$91,9,FALSE()),""))</f>
      </c>
    </row>
    <row r="6197">
      <c r="F6197">
        <f>IF(DATOS!$A6197="","",DATOS!$A6197&amp;"|"&amp;DATOS!$D6197&amp;"|"&amp;DATOS!$E6197&amp;"|"&amp;DATOS!$I6197)</f>
      </c>
      <c r="G6197">
        <f>IF(DATOS!$A6197="",0,IF(CONFIG_METADATA!$B$4&lt;&gt;"OR+EX",--(DATOS!$G6197=CONFIG_METADATA!$B$4),IF(DATOS!$G6197="EX",1,IF(DATOS!$G6197="OR",--(COUNTIFS(nNIA,DATOS!$A6197,nCURSO,DATOS!$D6197,nESPEC,DATOS!$E6197,nASIG,DATOS!$I6197,nEVAL,"EX")=0),0))))</f>
      </c>
      <c r="H6197">
        <f>IF(DATOS!$G6197&lt;&gt;"EX",0,--(COUNTIFS(nNIA,DATOS!$A6197,nCURSO,DATOS!$D6197,nESPEC,DATOS!$E6197,nASIG,DATOS!$I6197,nEVAL,"OR")=0))</f>
      </c>
      <c r="I6197">
        <f>IF(DATOS!$I6197="","",IFERROR(VLOOKUP(DATOS!$I6197,CONFIG_ASIGNATURAS!$B$2:$J$91,9,FALSE()),""))</f>
      </c>
    </row>
    <row r="6198">
      <c r="F6198">
        <f>IF(DATOS!$A6198="","",DATOS!$A6198&amp;"|"&amp;DATOS!$D6198&amp;"|"&amp;DATOS!$E6198&amp;"|"&amp;DATOS!$I6198)</f>
      </c>
      <c r="G6198">
        <f>IF(DATOS!$A6198="",0,IF(CONFIG_METADATA!$B$4&lt;&gt;"OR+EX",--(DATOS!$G6198=CONFIG_METADATA!$B$4),IF(DATOS!$G6198="EX",1,IF(DATOS!$G6198="OR",--(COUNTIFS(nNIA,DATOS!$A6198,nCURSO,DATOS!$D6198,nESPEC,DATOS!$E6198,nASIG,DATOS!$I6198,nEVAL,"EX")=0),0))))</f>
      </c>
      <c r="H6198">
        <f>IF(DATOS!$G6198&lt;&gt;"EX",0,--(COUNTIFS(nNIA,DATOS!$A6198,nCURSO,DATOS!$D6198,nESPEC,DATOS!$E6198,nASIG,DATOS!$I6198,nEVAL,"OR")=0))</f>
      </c>
      <c r="I6198">
        <f>IF(DATOS!$I6198="","",IFERROR(VLOOKUP(DATOS!$I6198,CONFIG_ASIGNATURAS!$B$2:$J$91,9,FALSE()),""))</f>
      </c>
    </row>
    <row r="6199">
      <c r="F6199">
        <f>IF(DATOS!$A6199="","",DATOS!$A6199&amp;"|"&amp;DATOS!$D6199&amp;"|"&amp;DATOS!$E6199&amp;"|"&amp;DATOS!$I6199)</f>
      </c>
      <c r="G6199">
        <f>IF(DATOS!$A6199="",0,IF(CONFIG_METADATA!$B$4&lt;&gt;"OR+EX",--(DATOS!$G6199=CONFIG_METADATA!$B$4),IF(DATOS!$G6199="EX",1,IF(DATOS!$G6199="OR",--(COUNTIFS(nNIA,DATOS!$A6199,nCURSO,DATOS!$D6199,nESPEC,DATOS!$E6199,nASIG,DATOS!$I6199,nEVAL,"EX")=0),0))))</f>
      </c>
      <c r="H6199">
        <f>IF(DATOS!$G6199&lt;&gt;"EX",0,--(COUNTIFS(nNIA,DATOS!$A6199,nCURSO,DATOS!$D6199,nESPEC,DATOS!$E6199,nASIG,DATOS!$I6199,nEVAL,"OR")=0))</f>
      </c>
      <c r="I6199">
        <f>IF(DATOS!$I6199="","",IFERROR(VLOOKUP(DATOS!$I6199,CONFIG_ASIGNATURAS!$B$2:$J$91,9,FALSE()),""))</f>
      </c>
    </row>
    <row r="6200">
      <c r="F6200">
        <f>IF(DATOS!$A6200="","",DATOS!$A6200&amp;"|"&amp;DATOS!$D6200&amp;"|"&amp;DATOS!$E6200&amp;"|"&amp;DATOS!$I6200)</f>
      </c>
      <c r="G6200">
        <f>IF(DATOS!$A6200="",0,IF(CONFIG_METADATA!$B$4&lt;&gt;"OR+EX",--(DATOS!$G6200=CONFIG_METADATA!$B$4),IF(DATOS!$G6200="EX",1,IF(DATOS!$G6200="OR",--(COUNTIFS(nNIA,DATOS!$A6200,nCURSO,DATOS!$D6200,nESPEC,DATOS!$E6200,nASIG,DATOS!$I6200,nEVAL,"EX")=0),0))))</f>
      </c>
      <c r="H6200">
        <f>IF(DATOS!$G6200&lt;&gt;"EX",0,--(COUNTIFS(nNIA,DATOS!$A6200,nCURSO,DATOS!$D6200,nESPEC,DATOS!$E6200,nASIG,DATOS!$I6200,nEVAL,"OR")=0))</f>
      </c>
      <c r="I6200">
        <f>IF(DATOS!$I6200="","",IFERROR(VLOOKUP(DATOS!$I6200,CONFIG_ASIGNATURAS!$B$2:$J$91,9,FALSE()),""))</f>
      </c>
    </row>
    <row r="6201">
      <c r="F6201">
        <f>IF(DATOS!$A6201="","",DATOS!$A6201&amp;"|"&amp;DATOS!$D6201&amp;"|"&amp;DATOS!$E6201&amp;"|"&amp;DATOS!$I6201)</f>
      </c>
      <c r="G6201">
        <f>IF(DATOS!$A6201="",0,IF(CONFIG_METADATA!$B$4&lt;&gt;"OR+EX",--(DATOS!$G6201=CONFIG_METADATA!$B$4),IF(DATOS!$G6201="EX",1,IF(DATOS!$G6201="OR",--(COUNTIFS(nNIA,DATOS!$A6201,nCURSO,DATOS!$D6201,nESPEC,DATOS!$E6201,nASIG,DATOS!$I6201,nEVAL,"EX")=0),0))))</f>
      </c>
      <c r="H6201">
        <f>IF(DATOS!$G6201&lt;&gt;"EX",0,--(COUNTIFS(nNIA,DATOS!$A6201,nCURSO,DATOS!$D6201,nESPEC,DATOS!$E6201,nASIG,DATOS!$I6201,nEVAL,"OR")=0))</f>
      </c>
      <c r="I6201">
        <f>IF(DATOS!$I6201="","",IFERROR(VLOOKUP(DATOS!$I6201,CONFIG_ASIGNATURAS!$B$2:$J$91,9,FALSE()),""))</f>
      </c>
    </row>
    <row r="6202">
      <c r="F6202">
        <f>IF(DATOS!$A6202="","",DATOS!$A6202&amp;"|"&amp;DATOS!$D6202&amp;"|"&amp;DATOS!$E6202&amp;"|"&amp;DATOS!$I6202)</f>
      </c>
      <c r="G6202">
        <f>IF(DATOS!$A6202="",0,IF(CONFIG_METADATA!$B$4&lt;&gt;"OR+EX",--(DATOS!$G6202=CONFIG_METADATA!$B$4),IF(DATOS!$G6202="EX",1,IF(DATOS!$G6202="OR",--(COUNTIFS(nNIA,DATOS!$A6202,nCURSO,DATOS!$D6202,nESPEC,DATOS!$E6202,nASIG,DATOS!$I6202,nEVAL,"EX")=0),0))))</f>
      </c>
      <c r="H6202">
        <f>IF(DATOS!$G6202&lt;&gt;"EX",0,--(COUNTIFS(nNIA,DATOS!$A6202,nCURSO,DATOS!$D6202,nESPEC,DATOS!$E6202,nASIG,DATOS!$I6202,nEVAL,"OR")=0))</f>
      </c>
      <c r="I6202">
        <f>IF(DATOS!$I6202="","",IFERROR(VLOOKUP(DATOS!$I6202,CONFIG_ASIGNATURAS!$B$2:$J$91,9,FALSE()),""))</f>
      </c>
    </row>
    <row r="6203">
      <c r="F6203">
        <f>IF(DATOS!$A6203="","",DATOS!$A6203&amp;"|"&amp;DATOS!$D6203&amp;"|"&amp;DATOS!$E6203&amp;"|"&amp;DATOS!$I6203)</f>
      </c>
      <c r="G6203">
        <f>IF(DATOS!$A6203="",0,IF(CONFIG_METADATA!$B$4&lt;&gt;"OR+EX",--(DATOS!$G6203=CONFIG_METADATA!$B$4),IF(DATOS!$G6203="EX",1,IF(DATOS!$G6203="OR",--(COUNTIFS(nNIA,DATOS!$A6203,nCURSO,DATOS!$D6203,nESPEC,DATOS!$E6203,nASIG,DATOS!$I6203,nEVAL,"EX")=0),0))))</f>
      </c>
      <c r="H6203">
        <f>IF(DATOS!$G6203&lt;&gt;"EX",0,--(COUNTIFS(nNIA,DATOS!$A6203,nCURSO,DATOS!$D6203,nESPEC,DATOS!$E6203,nASIG,DATOS!$I6203,nEVAL,"OR")=0))</f>
      </c>
      <c r="I6203">
        <f>IF(DATOS!$I6203="","",IFERROR(VLOOKUP(DATOS!$I6203,CONFIG_ASIGNATURAS!$B$2:$J$91,9,FALSE()),""))</f>
      </c>
    </row>
    <row r="6204">
      <c r="F6204">
        <f>IF(DATOS!$A6204="","",DATOS!$A6204&amp;"|"&amp;DATOS!$D6204&amp;"|"&amp;DATOS!$E6204&amp;"|"&amp;DATOS!$I6204)</f>
      </c>
      <c r="G6204">
        <f>IF(DATOS!$A6204="",0,IF(CONFIG_METADATA!$B$4&lt;&gt;"OR+EX",--(DATOS!$G6204=CONFIG_METADATA!$B$4),IF(DATOS!$G6204="EX",1,IF(DATOS!$G6204="OR",--(COUNTIFS(nNIA,DATOS!$A6204,nCURSO,DATOS!$D6204,nESPEC,DATOS!$E6204,nASIG,DATOS!$I6204,nEVAL,"EX")=0),0))))</f>
      </c>
      <c r="H6204">
        <f>IF(DATOS!$G6204&lt;&gt;"EX",0,--(COUNTIFS(nNIA,DATOS!$A6204,nCURSO,DATOS!$D6204,nESPEC,DATOS!$E6204,nASIG,DATOS!$I6204,nEVAL,"OR")=0))</f>
      </c>
      <c r="I6204">
        <f>IF(DATOS!$I6204="","",IFERROR(VLOOKUP(DATOS!$I6204,CONFIG_ASIGNATURAS!$B$2:$J$91,9,FALSE()),""))</f>
      </c>
    </row>
    <row r="6205">
      <c r="F6205">
        <f>IF(DATOS!$A6205="","",DATOS!$A6205&amp;"|"&amp;DATOS!$D6205&amp;"|"&amp;DATOS!$E6205&amp;"|"&amp;DATOS!$I6205)</f>
      </c>
      <c r="G6205">
        <f>IF(DATOS!$A6205="",0,IF(CONFIG_METADATA!$B$4&lt;&gt;"OR+EX",--(DATOS!$G6205=CONFIG_METADATA!$B$4),IF(DATOS!$G6205="EX",1,IF(DATOS!$G6205="OR",--(COUNTIFS(nNIA,DATOS!$A6205,nCURSO,DATOS!$D6205,nESPEC,DATOS!$E6205,nASIG,DATOS!$I6205,nEVAL,"EX")=0),0))))</f>
      </c>
      <c r="H6205">
        <f>IF(DATOS!$G6205&lt;&gt;"EX",0,--(COUNTIFS(nNIA,DATOS!$A6205,nCURSO,DATOS!$D6205,nESPEC,DATOS!$E6205,nASIG,DATOS!$I6205,nEVAL,"OR")=0))</f>
      </c>
      <c r="I6205">
        <f>IF(DATOS!$I6205="","",IFERROR(VLOOKUP(DATOS!$I6205,CONFIG_ASIGNATURAS!$B$2:$J$91,9,FALSE()),""))</f>
      </c>
    </row>
    <row r="6206">
      <c r="F6206">
        <f>IF(DATOS!$A6206="","",DATOS!$A6206&amp;"|"&amp;DATOS!$D6206&amp;"|"&amp;DATOS!$E6206&amp;"|"&amp;DATOS!$I6206)</f>
      </c>
      <c r="G6206">
        <f>IF(DATOS!$A6206="",0,IF(CONFIG_METADATA!$B$4&lt;&gt;"OR+EX",--(DATOS!$G6206=CONFIG_METADATA!$B$4),IF(DATOS!$G6206="EX",1,IF(DATOS!$G6206="OR",--(COUNTIFS(nNIA,DATOS!$A6206,nCURSO,DATOS!$D6206,nESPEC,DATOS!$E6206,nASIG,DATOS!$I6206,nEVAL,"EX")=0),0))))</f>
      </c>
      <c r="H6206">
        <f>IF(DATOS!$G6206&lt;&gt;"EX",0,--(COUNTIFS(nNIA,DATOS!$A6206,nCURSO,DATOS!$D6206,nESPEC,DATOS!$E6206,nASIG,DATOS!$I6206,nEVAL,"OR")=0))</f>
      </c>
      <c r="I6206">
        <f>IF(DATOS!$I6206="","",IFERROR(VLOOKUP(DATOS!$I6206,CONFIG_ASIGNATURAS!$B$2:$J$91,9,FALSE()),""))</f>
      </c>
    </row>
    <row r="6207">
      <c r="F6207">
        <f>IF(DATOS!$A6207="","",DATOS!$A6207&amp;"|"&amp;DATOS!$D6207&amp;"|"&amp;DATOS!$E6207&amp;"|"&amp;DATOS!$I6207)</f>
      </c>
      <c r="G6207">
        <f>IF(DATOS!$A6207="",0,IF(CONFIG_METADATA!$B$4&lt;&gt;"OR+EX",--(DATOS!$G6207=CONFIG_METADATA!$B$4),IF(DATOS!$G6207="EX",1,IF(DATOS!$G6207="OR",--(COUNTIFS(nNIA,DATOS!$A6207,nCURSO,DATOS!$D6207,nESPEC,DATOS!$E6207,nASIG,DATOS!$I6207,nEVAL,"EX")=0),0))))</f>
      </c>
      <c r="H6207">
        <f>IF(DATOS!$G6207&lt;&gt;"EX",0,--(COUNTIFS(nNIA,DATOS!$A6207,nCURSO,DATOS!$D6207,nESPEC,DATOS!$E6207,nASIG,DATOS!$I6207,nEVAL,"OR")=0))</f>
      </c>
      <c r="I6207">
        <f>IF(DATOS!$I6207="","",IFERROR(VLOOKUP(DATOS!$I6207,CONFIG_ASIGNATURAS!$B$2:$J$91,9,FALSE()),""))</f>
      </c>
    </row>
    <row r="6208">
      <c r="F6208">
        <f>IF(DATOS!$A6208="","",DATOS!$A6208&amp;"|"&amp;DATOS!$D6208&amp;"|"&amp;DATOS!$E6208&amp;"|"&amp;DATOS!$I6208)</f>
      </c>
      <c r="G6208">
        <f>IF(DATOS!$A6208="",0,IF(CONFIG_METADATA!$B$4&lt;&gt;"OR+EX",--(DATOS!$G6208=CONFIG_METADATA!$B$4),IF(DATOS!$G6208="EX",1,IF(DATOS!$G6208="OR",--(COUNTIFS(nNIA,DATOS!$A6208,nCURSO,DATOS!$D6208,nESPEC,DATOS!$E6208,nASIG,DATOS!$I6208,nEVAL,"EX")=0),0))))</f>
      </c>
      <c r="H6208">
        <f>IF(DATOS!$G6208&lt;&gt;"EX",0,--(COUNTIFS(nNIA,DATOS!$A6208,nCURSO,DATOS!$D6208,nESPEC,DATOS!$E6208,nASIG,DATOS!$I6208,nEVAL,"OR")=0))</f>
      </c>
      <c r="I6208">
        <f>IF(DATOS!$I6208="","",IFERROR(VLOOKUP(DATOS!$I6208,CONFIG_ASIGNATURAS!$B$2:$J$91,9,FALSE()),""))</f>
      </c>
    </row>
    <row r="6209">
      <c r="F6209">
        <f>IF(DATOS!$A6209="","",DATOS!$A6209&amp;"|"&amp;DATOS!$D6209&amp;"|"&amp;DATOS!$E6209&amp;"|"&amp;DATOS!$I6209)</f>
      </c>
      <c r="G6209">
        <f>IF(DATOS!$A6209="",0,IF(CONFIG_METADATA!$B$4&lt;&gt;"OR+EX",--(DATOS!$G6209=CONFIG_METADATA!$B$4),IF(DATOS!$G6209="EX",1,IF(DATOS!$G6209="OR",--(COUNTIFS(nNIA,DATOS!$A6209,nCURSO,DATOS!$D6209,nESPEC,DATOS!$E6209,nASIG,DATOS!$I6209,nEVAL,"EX")=0),0))))</f>
      </c>
      <c r="H6209">
        <f>IF(DATOS!$G6209&lt;&gt;"EX",0,--(COUNTIFS(nNIA,DATOS!$A6209,nCURSO,DATOS!$D6209,nESPEC,DATOS!$E6209,nASIG,DATOS!$I6209,nEVAL,"OR")=0))</f>
      </c>
      <c r="I6209">
        <f>IF(DATOS!$I6209="","",IFERROR(VLOOKUP(DATOS!$I6209,CONFIG_ASIGNATURAS!$B$2:$J$91,9,FALSE()),""))</f>
      </c>
    </row>
    <row r="6210">
      <c r="F6210">
        <f>IF(DATOS!$A6210="","",DATOS!$A6210&amp;"|"&amp;DATOS!$D6210&amp;"|"&amp;DATOS!$E6210&amp;"|"&amp;DATOS!$I6210)</f>
      </c>
      <c r="G6210">
        <f>IF(DATOS!$A6210="",0,IF(CONFIG_METADATA!$B$4&lt;&gt;"OR+EX",--(DATOS!$G6210=CONFIG_METADATA!$B$4),IF(DATOS!$G6210="EX",1,IF(DATOS!$G6210="OR",--(COUNTIFS(nNIA,DATOS!$A6210,nCURSO,DATOS!$D6210,nESPEC,DATOS!$E6210,nASIG,DATOS!$I6210,nEVAL,"EX")=0),0))))</f>
      </c>
      <c r="H6210">
        <f>IF(DATOS!$G6210&lt;&gt;"EX",0,--(COUNTIFS(nNIA,DATOS!$A6210,nCURSO,DATOS!$D6210,nESPEC,DATOS!$E6210,nASIG,DATOS!$I6210,nEVAL,"OR")=0))</f>
      </c>
      <c r="I6210">
        <f>IF(DATOS!$I6210="","",IFERROR(VLOOKUP(DATOS!$I6210,CONFIG_ASIGNATURAS!$B$2:$J$91,9,FALSE()),""))</f>
      </c>
    </row>
    <row r="6211">
      <c r="F6211">
        <f>IF(DATOS!$A6211="","",DATOS!$A6211&amp;"|"&amp;DATOS!$D6211&amp;"|"&amp;DATOS!$E6211&amp;"|"&amp;DATOS!$I6211)</f>
      </c>
      <c r="G6211">
        <f>IF(DATOS!$A6211="",0,IF(CONFIG_METADATA!$B$4&lt;&gt;"OR+EX",--(DATOS!$G6211=CONFIG_METADATA!$B$4),IF(DATOS!$G6211="EX",1,IF(DATOS!$G6211="OR",--(COUNTIFS(nNIA,DATOS!$A6211,nCURSO,DATOS!$D6211,nESPEC,DATOS!$E6211,nASIG,DATOS!$I6211,nEVAL,"EX")=0),0))))</f>
      </c>
      <c r="H6211">
        <f>IF(DATOS!$G6211&lt;&gt;"EX",0,--(COUNTIFS(nNIA,DATOS!$A6211,nCURSO,DATOS!$D6211,nESPEC,DATOS!$E6211,nASIG,DATOS!$I6211,nEVAL,"OR")=0))</f>
      </c>
      <c r="I6211">
        <f>IF(DATOS!$I6211="","",IFERROR(VLOOKUP(DATOS!$I6211,CONFIG_ASIGNATURAS!$B$2:$J$91,9,FALSE()),""))</f>
      </c>
    </row>
    <row r="6212">
      <c r="F6212">
        <f>IF(DATOS!$A6212="","",DATOS!$A6212&amp;"|"&amp;DATOS!$D6212&amp;"|"&amp;DATOS!$E6212&amp;"|"&amp;DATOS!$I6212)</f>
      </c>
      <c r="G6212">
        <f>IF(DATOS!$A6212="",0,IF(CONFIG_METADATA!$B$4&lt;&gt;"OR+EX",--(DATOS!$G6212=CONFIG_METADATA!$B$4),IF(DATOS!$G6212="EX",1,IF(DATOS!$G6212="OR",--(COUNTIFS(nNIA,DATOS!$A6212,nCURSO,DATOS!$D6212,nESPEC,DATOS!$E6212,nASIG,DATOS!$I6212,nEVAL,"EX")=0),0))))</f>
      </c>
      <c r="H6212">
        <f>IF(DATOS!$G6212&lt;&gt;"EX",0,--(COUNTIFS(nNIA,DATOS!$A6212,nCURSO,DATOS!$D6212,nESPEC,DATOS!$E6212,nASIG,DATOS!$I6212,nEVAL,"OR")=0))</f>
      </c>
      <c r="I6212">
        <f>IF(DATOS!$I6212="","",IFERROR(VLOOKUP(DATOS!$I6212,CONFIG_ASIGNATURAS!$B$2:$J$91,9,FALSE()),""))</f>
      </c>
    </row>
    <row r="6213">
      <c r="F6213">
        <f>IF(DATOS!$A6213="","",DATOS!$A6213&amp;"|"&amp;DATOS!$D6213&amp;"|"&amp;DATOS!$E6213&amp;"|"&amp;DATOS!$I6213)</f>
      </c>
      <c r="G6213">
        <f>IF(DATOS!$A6213="",0,IF(CONFIG_METADATA!$B$4&lt;&gt;"OR+EX",--(DATOS!$G6213=CONFIG_METADATA!$B$4),IF(DATOS!$G6213="EX",1,IF(DATOS!$G6213="OR",--(COUNTIFS(nNIA,DATOS!$A6213,nCURSO,DATOS!$D6213,nESPEC,DATOS!$E6213,nASIG,DATOS!$I6213,nEVAL,"EX")=0),0))))</f>
      </c>
      <c r="H6213">
        <f>IF(DATOS!$G6213&lt;&gt;"EX",0,--(COUNTIFS(nNIA,DATOS!$A6213,nCURSO,DATOS!$D6213,nESPEC,DATOS!$E6213,nASIG,DATOS!$I6213,nEVAL,"OR")=0))</f>
      </c>
      <c r="I6213">
        <f>IF(DATOS!$I6213="","",IFERROR(VLOOKUP(DATOS!$I6213,CONFIG_ASIGNATURAS!$B$2:$J$91,9,FALSE()),""))</f>
      </c>
    </row>
    <row r="6214">
      <c r="F6214">
        <f>IF(DATOS!$A6214="","",DATOS!$A6214&amp;"|"&amp;DATOS!$D6214&amp;"|"&amp;DATOS!$E6214&amp;"|"&amp;DATOS!$I6214)</f>
      </c>
      <c r="G6214">
        <f>IF(DATOS!$A6214="",0,IF(CONFIG_METADATA!$B$4&lt;&gt;"OR+EX",--(DATOS!$G6214=CONFIG_METADATA!$B$4),IF(DATOS!$G6214="EX",1,IF(DATOS!$G6214="OR",--(COUNTIFS(nNIA,DATOS!$A6214,nCURSO,DATOS!$D6214,nESPEC,DATOS!$E6214,nASIG,DATOS!$I6214,nEVAL,"EX")=0),0))))</f>
      </c>
      <c r="H6214">
        <f>IF(DATOS!$G6214&lt;&gt;"EX",0,--(COUNTIFS(nNIA,DATOS!$A6214,nCURSO,DATOS!$D6214,nESPEC,DATOS!$E6214,nASIG,DATOS!$I6214,nEVAL,"OR")=0))</f>
      </c>
      <c r="I6214">
        <f>IF(DATOS!$I6214="","",IFERROR(VLOOKUP(DATOS!$I6214,CONFIG_ASIGNATURAS!$B$2:$J$91,9,FALSE()),""))</f>
      </c>
    </row>
    <row r="6215">
      <c r="F6215">
        <f>IF(DATOS!$A6215="","",DATOS!$A6215&amp;"|"&amp;DATOS!$D6215&amp;"|"&amp;DATOS!$E6215&amp;"|"&amp;DATOS!$I6215)</f>
      </c>
      <c r="G6215">
        <f>IF(DATOS!$A6215="",0,IF(CONFIG_METADATA!$B$4&lt;&gt;"OR+EX",--(DATOS!$G6215=CONFIG_METADATA!$B$4),IF(DATOS!$G6215="EX",1,IF(DATOS!$G6215="OR",--(COUNTIFS(nNIA,DATOS!$A6215,nCURSO,DATOS!$D6215,nESPEC,DATOS!$E6215,nASIG,DATOS!$I6215,nEVAL,"EX")=0),0))))</f>
      </c>
      <c r="H6215">
        <f>IF(DATOS!$G6215&lt;&gt;"EX",0,--(COUNTIFS(nNIA,DATOS!$A6215,nCURSO,DATOS!$D6215,nESPEC,DATOS!$E6215,nASIG,DATOS!$I6215,nEVAL,"OR")=0))</f>
      </c>
      <c r="I6215">
        <f>IF(DATOS!$I6215="","",IFERROR(VLOOKUP(DATOS!$I6215,CONFIG_ASIGNATURAS!$B$2:$J$91,9,FALSE()),""))</f>
      </c>
    </row>
    <row r="6216">
      <c r="F6216">
        <f>IF(DATOS!$A6216="","",DATOS!$A6216&amp;"|"&amp;DATOS!$D6216&amp;"|"&amp;DATOS!$E6216&amp;"|"&amp;DATOS!$I6216)</f>
      </c>
      <c r="G6216">
        <f>IF(DATOS!$A6216="",0,IF(CONFIG_METADATA!$B$4&lt;&gt;"OR+EX",--(DATOS!$G6216=CONFIG_METADATA!$B$4),IF(DATOS!$G6216="EX",1,IF(DATOS!$G6216="OR",--(COUNTIFS(nNIA,DATOS!$A6216,nCURSO,DATOS!$D6216,nESPEC,DATOS!$E6216,nASIG,DATOS!$I6216,nEVAL,"EX")=0),0))))</f>
      </c>
      <c r="H6216">
        <f>IF(DATOS!$G6216&lt;&gt;"EX",0,--(COUNTIFS(nNIA,DATOS!$A6216,nCURSO,DATOS!$D6216,nESPEC,DATOS!$E6216,nASIG,DATOS!$I6216,nEVAL,"OR")=0))</f>
      </c>
      <c r="I6216">
        <f>IF(DATOS!$I6216="","",IFERROR(VLOOKUP(DATOS!$I6216,CONFIG_ASIGNATURAS!$B$2:$J$91,9,FALSE()),""))</f>
      </c>
    </row>
    <row r="6217">
      <c r="F6217">
        <f>IF(DATOS!$A6217="","",DATOS!$A6217&amp;"|"&amp;DATOS!$D6217&amp;"|"&amp;DATOS!$E6217&amp;"|"&amp;DATOS!$I6217)</f>
      </c>
      <c r="G6217">
        <f>IF(DATOS!$A6217="",0,IF(CONFIG_METADATA!$B$4&lt;&gt;"OR+EX",--(DATOS!$G6217=CONFIG_METADATA!$B$4),IF(DATOS!$G6217="EX",1,IF(DATOS!$G6217="OR",--(COUNTIFS(nNIA,DATOS!$A6217,nCURSO,DATOS!$D6217,nESPEC,DATOS!$E6217,nASIG,DATOS!$I6217,nEVAL,"EX")=0),0))))</f>
      </c>
      <c r="H6217">
        <f>IF(DATOS!$G6217&lt;&gt;"EX",0,--(COUNTIFS(nNIA,DATOS!$A6217,nCURSO,DATOS!$D6217,nESPEC,DATOS!$E6217,nASIG,DATOS!$I6217,nEVAL,"OR")=0))</f>
      </c>
      <c r="I6217">
        <f>IF(DATOS!$I6217="","",IFERROR(VLOOKUP(DATOS!$I6217,CONFIG_ASIGNATURAS!$B$2:$J$91,9,FALSE()),""))</f>
      </c>
    </row>
    <row r="6218">
      <c r="F6218">
        <f>IF(DATOS!$A6218="","",DATOS!$A6218&amp;"|"&amp;DATOS!$D6218&amp;"|"&amp;DATOS!$E6218&amp;"|"&amp;DATOS!$I6218)</f>
      </c>
      <c r="G6218">
        <f>IF(DATOS!$A6218="",0,IF(CONFIG_METADATA!$B$4&lt;&gt;"OR+EX",--(DATOS!$G6218=CONFIG_METADATA!$B$4),IF(DATOS!$G6218="EX",1,IF(DATOS!$G6218="OR",--(COUNTIFS(nNIA,DATOS!$A6218,nCURSO,DATOS!$D6218,nESPEC,DATOS!$E6218,nASIG,DATOS!$I6218,nEVAL,"EX")=0),0))))</f>
      </c>
      <c r="H6218">
        <f>IF(DATOS!$G6218&lt;&gt;"EX",0,--(COUNTIFS(nNIA,DATOS!$A6218,nCURSO,DATOS!$D6218,nESPEC,DATOS!$E6218,nASIG,DATOS!$I6218,nEVAL,"OR")=0))</f>
      </c>
      <c r="I6218">
        <f>IF(DATOS!$I6218="","",IFERROR(VLOOKUP(DATOS!$I6218,CONFIG_ASIGNATURAS!$B$2:$J$91,9,FALSE()),""))</f>
      </c>
    </row>
    <row r="6219">
      <c r="F6219">
        <f>IF(DATOS!$A6219="","",DATOS!$A6219&amp;"|"&amp;DATOS!$D6219&amp;"|"&amp;DATOS!$E6219&amp;"|"&amp;DATOS!$I6219)</f>
      </c>
      <c r="G6219">
        <f>IF(DATOS!$A6219="",0,IF(CONFIG_METADATA!$B$4&lt;&gt;"OR+EX",--(DATOS!$G6219=CONFIG_METADATA!$B$4),IF(DATOS!$G6219="EX",1,IF(DATOS!$G6219="OR",--(COUNTIFS(nNIA,DATOS!$A6219,nCURSO,DATOS!$D6219,nESPEC,DATOS!$E6219,nASIG,DATOS!$I6219,nEVAL,"EX")=0),0))))</f>
      </c>
      <c r="H6219">
        <f>IF(DATOS!$G6219&lt;&gt;"EX",0,--(COUNTIFS(nNIA,DATOS!$A6219,nCURSO,DATOS!$D6219,nESPEC,DATOS!$E6219,nASIG,DATOS!$I6219,nEVAL,"OR")=0))</f>
      </c>
      <c r="I6219">
        <f>IF(DATOS!$I6219="","",IFERROR(VLOOKUP(DATOS!$I6219,CONFIG_ASIGNATURAS!$B$2:$J$91,9,FALSE()),""))</f>
      </c>
    </row>
    <row r="6220">
      <c r="F6220">
        <f>IF(DATOS!$A6220="","",DATOS!$A6220&amp;"|"&amp;DATOS!$D6220&amp;"|"&amp;DATOS!$E6220&amp;"|"&amp;DATOS!$I6220)</f>
      </c>
      <c r="G6220">
        <f>IF(DATOS!$A6220="",0,IF(CONFIG_METADATA!$B$4&lt;&gt;"OR+EX",--(DATOS!$G6220=CONFIG_METADATA!$B$4),IF(DATOS!$G6220="EX",1,IF(DATOS!$G6220="OR",--(COUNTIFS(nNIA,DATOS!$A6220,nCURSO,DATOS!$D6220,nESPEC,DATOS!$E6220,nASIG,DATOS!$I6220,nEVAL,"EX")=0),0))))</f>
      </c>
      <c r="H6220">
        <f>IF(DATOS!$G6220&lt;&gt;"EX",0,--(COUNTIFS(nNIA,DATOS!$A6220,nCURSO,DATOS!$D6220,nESPEC,DATOS!$E6220,nASIG,DATOS!$I6220,nEVAL,"OR")=0))</f>
      </c>
      <c r="I6220">
        <f>IF(DATOS!$I6220="","",IFERROR(VLOOKUP(DATOS!$I6220,CONFIG_ASIGNATURAS!$B$2:$J$91,9,FALSE()),""))</f>
      </c>
    </row>
    <row r="6221">
      <c r="F6221">
        <f>IF(DATOS!$A6221="","",DATOS!$A6221&amp;"|"&amp;DATOS!$D6221&amp;"|"&amp;DATOS!$E6221&amp;"|"&amp;DATOS!$I6221)</f>
      </c>
      <c r="G6221">
        <f>IF(DATOS!$A6221="",0,IF(CONFIG_METADATA!$B$4&lt;&gt;"OR+EX",--(DATOS!$G6221=CONFIG_METADATA!$B$4),IF(DATOS!$G6221="EX",1,IF(DATOS!$G6221="OR",--(COUNTIFS(nNIA,DATOS!$A6221,nCURSO,DATOS!$D6221,nESPEC,DATOS!$E6221,nASIG,DATOS!$I6221,nEVAL,"EX")=0),0))))</f>
      </c>
      <c r="H6221">
        <f>IF(DATOS!$G6221&lt;&gt;"EX",0,--(COUNTIFS(nNIA,DATOS!$A6221,nCURSO,DATOS!$D6221,nESPEC,DATOS!$E6221,nASIG,DATOS!$I6221,nEVAL,"OR")=0))</f>
      </c>
      <c r="I6221">
        <f>IF(DATOS!$I6221="","",IFERROR(VLOOKUP(DATOS!$I6221,CONFIG_ASIGNATURAS!$B$2:$J$91,9,FALSE()),""))</f>
      </c>
    </row>
    <row r="6222">
      <c r="F6222">
        <f>IF(DATOS!$A6222="","",DATOS!$A6222&amp;"|"&amp;DATOS!$D6222&amp;"|"&amp;DATOS!$E6222&amp;"|"&amp;DATOS!$I6222)</f>
      </c>
      <c r="G6222">
        <f>IF(DATOS!$A6222="",0,IF(CONFIG_METADATA!$B$4&lt;&gt;"OR+EX",--(DATOS!$G6222=CONFIG_METADATA!$B$4),IF(DATOS!$G6222="EX",1,IF(DATOS!$G6222="OR",--(COUNTIFS(nNIA,DATOS!$A6222,nCURSO,DATOS!$D6222,nESPEC,DATOS!$E6222,nASIG,DATOS!$I6222,nEVAL,"EX")=0),0))))</f>
      </c>
      <c r="H6222">
        <f>IF(DATOS!$G6222&lt;&gt;"EX",0,--(COUNTIFS(nNIA,DATOS!$A6222,nCURSO,DATOS!$D6222,nESPEC,DATOS!$E6222,nASIG,DATOS!$I6222,nEVAL,"OR")=0))</f>
      </c>
      <c r="I6222">
        <f>IF(DATOS!$I6222="","",IFERROR(VLOOKUP(DATOS!$I6222,CONFIG_ASIGNATURAS!$B$2:$J$91,9,FALSE()),""))</f>
      </c>
    </row>
    <row r="6223">
      <c r="F6223">
        <f>IF(DATOS!$A6223="","",DATOS!$A6223&amp;"|"&amp;DATOS!$D6223&amp;"|"&amp;DATOS!$E6223&amp;"|"&amp;DATOS!$I6223)</f>
      </c>
      <c r="G6223">
        <f>IF(DATOS!$A6223="",0,IF(CONFIG_METADATA!$B$4&lt;&gt;"OR+EX",--(DATOS!$G6223=CONFIG_METADATA!$B$4),IF(DATOS!$G6223="EX",1,IF(DATOS!$G6223="OR",--(COUNTIFS(nNIA,DATOS!$A6223,nCURSO,DATOS!$D6223,nESPEC,DATOS!$E6223,nASIG,DATOS!$I6223,nEVAL,"EX")=0),0))))</f>
      </c>
      <c r="H6223">
        <f>IF(DATOS!$G6223&lt;&gt;"EX",0,--(COUNTIFS(nNIA,DATOS!$A6223,nCURSO,DATOS!$D6223,nESPEC,DATOS!$E6223,nASIG,DATOS!$I6223,nEVAL,"OR")=0))</f>
      </c>
      <c r="I6223">
        <f>IF(DATOS!$I6223="","",IFERROR(VLOOKUP(DATOS!$I6223,CONFIG_ASIGNATURAS!$B$2:$J$91,9,FALSE()),""))</f>
      </c>
    </row>
    <row r="6224">
      <c r="F6224">
        <f>IF(DATOS!$A6224="","",DATOS!$A6224&amp;"|"&amp;DATOS!$D6224&amp;"|"&amp;DATOS!$E6224&amp;"|"&amp;DATOS!$I6224)</f>
      </c>
      <c r="G6224">
        <f>IF(DATOS!$A6224="",0,IF(CONFIG_METADATA!$B$4&lt;&gt;"OR+EX",--(DATOS!$G6224=CONFIG_METADATA!$B$4),IF(DATOS!$G6224="EX",1,IF(DATOS!$G6224="OR",--(COUNTIFS(nNIA,DATOS!$A6224,nCURSO,DATOS!$D6224,nESPEC,DATOS!$E6224,nASIG,DATOS!$I6224,nEVAL,"EX")=0),0))))</f>
      </c>
      <c r="H6224">
        <f>IF(DATOS!$G6224&lt;&gt;"EX",0,--(COUNTIFS(nNIA,DATOS!$A6224,nCURSO,DATOS!$D6224,nESPEC,DATOS!$E6224,nASIG,DATOS!$I6224,nEVAL,"OR")=0))</f>
      </c>
      <c r="I6224">
        <f>IF(DATOS!$I6224="","",IFERROR(VLOOKUP(DATOS!$I6224,CONFIG_ASIGNATURAS!$B$2:$J$91,9,FALSE()),""))</f>
      </c>
    </row>
    <row r="6225">
      <c r="F6225">
        <f>IF(DATOS!$A6225="","",DATOS!$A6225&amp;"|"&amp;DATOS!$D6225&amp;"|"&amp;DATOS!$E6225&amp;"|"&amp;DATOS!$I6225)</f>
      </c>
      <c r="G6225">
        <f>IF(DATOS!$A6225="",0,IF(CONFIG_METADATA!$B$4&lt;&gt;"OR+EX",--(DATOS!$G6225=CONFIG_METADATA!$B$4),IF(DATOS!$G6225="EX",1,IF(DATOS!$G6225="OR",--(COUNTIFS(nNIA,DATOS!$A6225,nCURSO,DATOS!$D6225,nESPEC,DATOS!$E6225,nASIG,DATOS!$I6225,nEVAL,"EX")=0),0))))</f>
      </c>
      <c r="H6225">
        <f>IF(DATOS!$G6225&lt;&gt;"EX",0,--(COUNTIFS(nNIA,DATOS!$A6225,nCURSO,DATOS!$D6225,nESPEC,DATOS!$E6225,nASIG,DATOS!$I6225,nEVAL,"OR")=0))</f>
      </c>
      <c r="I6225">
        <f>IF(DATOS!$I6225="","",IFERROR(VLOOKUP(DATOS!$I6225,CONFIG_ASIGNATURAS!$B$2:$J$91,9,FALSE()),""))</f>
      </c>
    </row>
    <row r="6226">
      <c r="F6226">
        <f>IF(DATOS!$A6226="","",DATOS!$A6226&amp;"|"&amp;DATOS!$D6226&amp;"|"&amp;DATOS!$E6226&amp;"|"&amp;DATOS!$I6226)</f>
      </c>
      <c r="G6226">
        <f>IF(DATOS!$A6226="",0,IF(CONFIG_METADATA!$B$4&lt;&gt;"OR+EX",--(DATOS!$G6226=CONFIG_METADATA!$B$4),IF(DATOS!$G6226="EX",1,IF(DATOS!$G6226="OR",--(COUNTIFS(nNIA,DATOS!$A6226,nCURSO,DATOS!$D6226,nESPEC,DATOS!$E6226,nASIG,DATOS!$I6226,nEVAL,"EX")=0),0))))</f>
      </c>
      <c r="H6226">
        <f>IF(DATOS!$G6226&lt;&gt;"EX",0,--(COUNTIFS(nNIA,DATOS!$A6226,nCURSO,DATOS!$D6226,nESPEC,DATOS!$E6226,nASIG,DATOS!$I6226,nEVAL,"OR")=0))</f>
      </c>
      <c r="I6226">
        <f>IF(DATOS!$I6226="","",IFERROR(VLOOKUP(DATOS!$I6226,CONFIG_ASIGNATURAS!$B$2:$J$91,9,FALSE()),""))</f>
      </c>
    </row>
    <row r="6227">
      <c r="F6227">
        <f>IF(DATOS!$A6227="","",DATOS!$A6227&amp;"|"&amp;DATOS!$D6227&amp;"|"&amp;DATOS!$E6227&amp;"|"&amp;DATOS!$I6227)</f>
      </c>
      <c r="G6227">
        <f>IF(DATOS!$A6227="",0,IF(CONFIG_METADATA!$B$4&lt;&gt;"OR+EX",--(DATOS!$G6227=CONFIG_METADATA!$B$4),IF(DATOS!$G6227="EX",1,IF(DATOS!$G6227="OR",--(COUNTIFS(nNIA,DATOS!$A6227,nCURSO,DATOS!$D6227,nESPEC,DATOS!$E6227,nASIG,DATOS!$I6227,nEVAL,"EX")=0),0))))</f>
      </c>
      <c r="H6227">
        <f>IF(DATOS!$G6227&lt;&gt;"EX",0,--(COUNTIFS(nNIA,DATOS!$A6227,nCURSO,DATOS!$D6227,nESPEC,DATOS!$E6227,nASIG,DATOS!$I6227,nEVAL,"OR")=0))</f>
      </c>
      <c r="I6227">
        <f>IF(DATOS!$I6227="","",IFERROR(VLOOKUP(DATOS!$I6227,CONFIG_ASIGNATURAS!$B$2:$J$91,9,FALSE()),""))</f>
      </c>
    </row>
    <row r="6228">
      <c r="F6228">
        <f>IF(DATOS!$A6228="","",DATOS!$A6228&amp;"|"&amp;DATOS!$D6228&amp;"|"&amp;DATOS!$E6228&amp;"|"&amp;DATOS!$I6228)</f>
      </c>
      <c r="G6228">
        <f>IF(DATOS!$A6228="",0,IF(CONFIG_METADATA!$B$4&lt;&gt;"OR+EX",--(DATOS!$G6228=CONFIG_METADATA!$B$4),IF(DATOS!$G6228="EX",1,IF(DATOS!$G6228="OR",--(COUNTIFS(nNIA,DATOS!$A6228,nCURSO,DATOS!$D6228,nESPEC,DATOS!$E6228,nASIG,DATOS!$I6228,nEVAL,"EX")=0),0))))</f>
      </c>
      <c r="H6228">
        <f>IF(DATOS!$G6228&lt;&gt;"EX",0,--(COUNTIFS(nNIA,DATOS!$A6228,nCURSO,DATOS!$D6228,nESPEC,DATOS!$E6228,nASIG,DATOS!$I6228,nEVAL,"OR")=0))</f>
      </c>
      <c r="I6228">
        <f>IF(DATOS!$I6228="","",IFERROR(VLOOKUP(DATOS!$I6228,CONFIG_ASIGNATURAS!$B$2:$J$91,9,FALSE()),""))</f>
      </c>
    </row>
    <row r="6229">
      <c r="F6229">
        <f>IF(DATOS!$A6229="","",DATOS!$A6229&amp;"|"&amp;DATOS!$D6229&amp;"|"&amp;DATOS!$E6229&amp;"|"&amp;DATOS!$I6229)</f>
      </c>
      <c r="G6229">
        <f>IF(DATOS!$A6229="",0,IF(CONFIG_METADATA!$B$4&lt;&gt;"OR+EX",--(DATOS!$G6229=CONFIG_METADATA!$B$4),IF(DATOS!$G6229="EX",1,IF(DATOS!$G6229="OR",--(COUNTIFS(nNIA,DATOS!$A6229,nCURSO,DATOS!$D6229,nESPEC,DATOS!$E6229,nASIG,DATOS!$I6229,nEVAL,"EX")=0),0))))</f>
      </c>
      <c r="H6229">
        <f>IF(DATOS!$G6229&lt;&gt;"EX",0,--(COUNTIFS(nNIA,DATOS!$A6229,nCURSO,DATOS!$D6229,nESPEC,DATOS!$E6229,nASIG,DATOS!$I6229,nEVAL,"OR")=0))</f>
      </c>
      <c r="I6229">
        <f>IF(DATOS!$I6229="","",IFERROR(VLOOKUP(DATOS!$I6229,CONFIG_ASIGNATURAS!$B$2:$J$91,9,FALSE()),""))</f>
      </c>
    </row>
    <row r="6230">
      <c r="F6230">
        <f>IF(DATOS!$A6230="","",DATOS!$A6230&amp;"|"&amp;DATOS!$D6230&amp;"|"&amp;DATOS!$E6230&amp;"|"&amp;DATOS!$I6230)</f>
      </c>
      <c r="G6230">
        <f>IF(DATOS!$A6230="",0,IF(CONFIG_METADATA!$B$4&lt;&gt;"OR+EX",--(DATOS!$G6230=CONFIG_METADATA!$B$4),IF(DATOS!$G6230="EX",1,IF(DATOS!$G6230="OR",--(COUNTIFS(nNIA,DATOS!$A6230,nCURSO,DATOS!$D6230,nESPEC,DATOS!$E6230,nASIG,DATOS!$I6230,nEVAL,"EX")=0),0))))</f>
      </c>
      <c r="H6230">
        <f>IF(DATOS!$G6230&lt;&gt;"EX",0,--(COUNTIFS(nNIA,DATOS!$A6230,nCURSO,DATOS!$D6230,nESPEC,DATOS!$E6230,nASIG,DATOS!$I6230,nEVAL,"OR")=0))</f>
      </c>
      <c r="I6230">
        <f>IF(DATOS!$I6230="","",IFERROR(VLOOKUP(DATOS!$I6230,CONFIG_ASIGNATURAS!$B$2:$J$91,9,FALSE()),""))</f>
      </c>
    </row>
    <row r="6231">
      <c r="F6231">
        <f>IF(DATOS!$A6231="","",DATOS!$A6231&amp;"|"&amp;DATOS!$D6231&amp;"|"&amp;DATOS!$E6231&amp;"|"&amp;DATOS!$I6231)</f>
      </c>
      <c r="G6231">
        <f>IF(DATOS!$A6231="",0,IF(CONFIG_METADATA!$B$4&lt;&gt;"OR+EX",--(DATOS!$G6231=CONFIG_METADATA!$B$4),IF(DATOS!$G6231="EX",1,IF(DATOS!$G6231="OR",--(COUNTIFS(nNIA,DATOS!$A6231,nCURSO,DATOS!$D6231,nESPEC,DATOS!$E6231,nASIG,DATOS!$I6231,nEVAL,"EX")=0),0))))</f>
      </c>
      <c r="H6231">
        <f>IF(DATOS!$G6231&lt;&gt;"EX",0,--(COUNTIFS(nNIA,DATOS!$A6231,nCURSO,DATOS!$D6231,nESPEC,DATOS!$E6231,nASIG,DATOS!$I6231,nEVAL,"OR")=0))</f>
      </c>
      <c r="I6231">
        <f>IF(DATOS!$I6231="","",IFERROR(VLOOKUP(DATOS!$I6231,CONFIG_ASIGNATURAS!$B$2:$J$91,9,FALSE()),""))</f>
      </c>
    </row>
    <row r="6232">
      <c r="F6232">
        <f>IF(DATOS!$A6232="","",DATOS!$A6232&amp;"|"&amp;DATOS!$D6232&amp;"|"&amp;DATOS!$E6232&amp;"|"&amp;DATOS!$I6232)</f>
      </c>
      <c r="G6232">
        <f>IF(DATOS!$A6232="",0,IF(CONFIG_METADATA!$B$4&lt;&gt;"OR+EX",--(DATOS!$G6232=CONFIG_METADATA!$B$4),IF(DATOS!$G6232="EX",1,IF(DATOS!$G6232="OR",--(COUNTIFS(nNIA,DATOS!$A6232,nCURSO,DATOS!$D6232,nESPEC,DATOS!$E6232,nASIG,DATOS!$I6232,nEVAL,"EX")=0),0))))</f>
      </c>
      <c r="H6232">
        <f>IF(DATOS!$G6232&lt;&gt;"EX",0,--(COUNTIFS(nNIA,DATOS!$A6232,nCURSO,DATOS!$D6232,nESPEC,DATOS!$E6232,nASIG,DATOS!$I6232,nEVAL,"OR")=0))</f>
      </c>
      <c r="I6232">
        <f>IF(DATOS!$I6232="","",IFERROR(VLOOKUP(DATOS!$I6232,CONFIG_ASIGNATURAS!$B$2:$J$91,9,FALSE()),""))</f>
      </c>
    </row>
    <row r="6233">
      <c r="F6233">
        <f>IF(DATOS!$A6233="","",DATOS!$A6233&amp;"|"&amp;DATOS!$D6233&amp;"|"&amp;DATOS!$E6233&amp;"|"&amp;DATOS!$I6233)</f>
      </c>
      <c r="G6233">
        <f>IF(DATOS!$A6233="",0,IF(CONFIG_METADATA!$B$4&lt;&gt;"OR+EX",--(DATOS!$G6233=CONFIG_METADATA!$B$4),IF(DATOS!$G6233="EX",1,IF(DATOS!$G6233="OR",--(COUNTIFS(nNIA,DATOS!$A6233,nCURSO,DATOS!$D6233,nESPEC,DATOS!$E6233,nASIG,DATOS!$I6233,nEVAL,"EX")=0),0))))</f>
      </c>
      <c r="H6233">
        <f>IF(DATOS!$G6233&lt;&gt;"EX",0,--(COUNTIFS(nNIA,DATOS!$A6233,nCURSO,DATOS!$D6233,nESPEC,DATOS!$E6233,nASIG,DATOS!$I6233,nEVAL,"OR")=0))</f>
      </c>
      <c r="I6233">
        <f>IF(DATOS!$I6233="","",IFERROR(VLOOKUP(DATOS!$I6233,CONFIG_ASIGNATURAS!$B$2:$J$91,9,FALSE()),""))</f>
      </c>
    </row>
    <row r="6234">
      <c r="F6234">
        <f>IF(DATOS!$A6234="","",DATOS!$A6234&amp;"|"&amp;DATOS!$D6234&amp;"|"&amp;DATOS!$E6234&amp;"|"&amp;DATOS!$I6234)</f>
      </c>
      <c r="G6234">
        <f>IF(DATOS!$A6234="",0,IF(CONFIG_METADATA!$B$4&lt;&gt;"OR+EX",--(DATOS!$G6234=CONFIG_METADATA!$B$4),IF(DATOS!$G6234="EX",1,IF(DATOS!$G6234="OR",--(COUNTIFS(nNIA,DATOS!$A6234,nCURSO,DATOS!$D6234,nESPEC,DATOS!$E6234,nASIG,DATOS!$I6234,nEVAL,"EX")=0),0))))</f>
      </c>
      <c r="H6234">
        <f>IF(DATOS!$G6234&lt;&gt;"EX",0,--(COUNTIFS(nNIA,DATOS!$A6234,nCURSO,DATOS!$D6234,nESPEC,DATOS!$E6234,nASIG,DATOS!$I6234,nEVAL,"OR")=0))</f>
      </c>
      <c r="I6234">
        <f>IF(DATOS!$I6234="","",IFERROR(VLOOKUP(DATOS!$I6234,CONFIG_ASIGNATURAS!$B$2:$J$91,9,FALSE()),""))</f>
      </c>
    </row>
    <row r="6235">
      <c r="F6235">
        <f>IF(DATOS!$A6235="","",DATOS!$A6235&amp;"|"&amp;DATOS!$D6235&amp;"|"&amp;DATOS!$E6235&amp;"|"&amp;DATOS!$I6235)</f>
      </c>
      <c r="G6235">
        <f>IF(DATOS!$A6235="",0,IF(CONFIG_METADATA!$B$4&lt;&gt;"OR+EX",--(DATOS!$G6235=CONFIG_METADATA!$B$4),IF(DATOS!$G6235="EX",1,IF(DATOS!$G6235="OR",--(COUNTIFS(nNIA,DATOS!$A6235,nCURSO,DATOS!$D6235,nESPEC,DATOS!$E6235,nASIG,DATOS!$I6235,nEVAL,"EX")=0),0))))</f>
      </c>
      <c r="H6235">
        <f>IF(DATOS!$G6235&lt;&gt;"EX",0,--(COUNTIFS(nNIA,DATOS!$A6235,nCURSO,DATOS!$D6235,nESPEC,DATOS!$E6235,nASIG,DATOS!$I6235,nEVAL,"OR")=0))</f>
      </c>
      <c r="I6235">
        <f>IF(DATOS!$I6235="","",IFERROR(VLOOKUP(DATOS!$I6235,CONFIG_ASIGNATURAS!$B$2:$J$91,9,FALSE()),""))</f>
      </c>
    </row>
    <row r="6236">
      <c r="F6236">
        <f>IF(DATOS!$A6236="","",DATOS!$A6236&amp;"|"&amp;DATOS!$D6236&amp;"|"&amp;DATOS!$E6236&amp;"|"&amp;DATOS!$I6236)</f>
      </c>
      <c r="G6236">
        <f>IF(DATOS!$A6236="",0,IF(CONFIG_METADATA!$B$4&lt;&gt;"OR+EX",--(DATOS!$G6236=CONFIG_METADATA!$B$4),IF(DATOS!$G6236="EX",1,IF(DATOS!$G6236="OR",--(COUNTIFS(nNIA,DATOS!$A6236,nCURSO,DATOS!$D6236,nESPEC,DATOS!$E6236,nASIG,DATOS!$I6236,nEVAL,"EX")=0),0))))</f>
      </c>
      <c r="H6236">
        <f>IF(DATOS!$G6236&lt;&gt;"EX",0,--(COUNTIFS(nNIA,DATOS!$A6236,nCURSO,DATOS!$D6236,nESPEC,DATOS!$E6236,nASIG,DATOS!$I6236,nEVAL,"OR")=0))</f>
      </c>
      <c r="I6236">
        <f>IF(DATOS!$I6236="","",IFERROR(VLOOKUP(DATOS!$I6236,CONFIG_ASIGNATURAS!$B$2:$J$91,9,FALSE()),""))</f>
      </c>
    </row>
    <row r="6237">
      <c r="F6237">
        <f>IF(DATOS!$A6237="","",DATOS!$A6237&amp;"|"&amp;DATOS!$D6237&amp;"|"&amp;DATOS!$E6237&amp;"|"&amp;DATOS!$I6237)</f>
      </c>
      <c r="G6237">
        <f>IF(DATOS!$A6237="",0,IF(CONFIG_METADATA!$B$4&lt;&gt;"OR+EX",--(DATOS!$G6237=CONFIG_METADATA!$B$4),IF(DATOS!$G6237="EX",1,IF(DATOS!$G6237="OR",--(COUNTIFS(nNIA,DATOS!$A6237,nCURSO,DATOS!$D6237,nESPEC,DATOS!$E6237,nASIG,DATOS!$I6237,nEVAL,"EX")=0),0))))</f>
      </c>
      <c r="H6237">
        <f>IF(DATOS!$G6237&lt;&gt;"EX",0,--(COUNTIFS(nNIA,DATOS!$A6237,nCURSO,DATOS!$D6237,nESPEC,DATOS!$E6237,nASIG,DATOS!$I6237,nEVAL,"OR")=0))</f>
      </c>
      <c r="I6237">
        <f>IF(DATOS!$I6237="","",IFERROR(VLOOKUP(DATOS!$I6237,CONFIG_ASIGNATURAS!$B$2:$J$91,9,FALSE()),""))</f>
      </c>
    </row>
    <row r="6238">
      <c r="F6238">
        <f>IF(DATOS!$A6238="","",DATOS!$A6238&amp;"|"&amp;DATOS!$D6238&amp;"|"&amp;DATOS!$E6238&amp;"|"&amp;DATOS!$I6238)</f>
      </c>
      <c r="G6238">
        <f>IF(DATOS!$A6238="",0,IF(CONFIG_METADATA!$B$4&lt;&gt;"OR+EX",--(DATOS!$G6238=CONFIG_METADATA!$B$4),IF(DATOS!$G6238="EX",1,IF(DATOS!$G6238="OR",--(COUNTIFS(nNIA,DATOS!$A6238,nCURSO,DATOS!$D6238,nESPEC,DATOS!$E6238,nASIG,DATOS!$I6238,nEVAL,"EX")=0),0))))</f>
      </c>
      <c r="H6238">
        <f>IF(DATOS!$G6238&lt;&gt;"EX",0,--(COUNTIFS(nNIA,DATOS!$A6238,nCURSO,DATOS!$D6238,nESPEC,DATOS!$E6238,nASIG,DATOS!$I6238,nEVAL,"OR")=0))</f>
      </c>
      <c r="I6238">
        <f>IF(DATOS!$I6238="","",IFERROR(VLOOKUP(DATOS!$I6238,CONFIG_ASIGNATURAS!$B$2:$J$91,9,FALSE()),""))</f>
      </c>
    </row>
    <row r="6239">
      <c r="F6239">
        <f>IF(DATOS!$A6239="","",DATOS!$A6239&amp;"|"&amp;DATOS!$D6239&amp;"|"&amp;DATOS!$E6239&amp;"|"&amp;DATOS!$I6239)</f>
      </c>
      <c r="G6239">
        <f>IF(DATOS!$A6239="",0,IF(CONFIG_METADATA!$B$4&lt;&gt;"OR+EX",--(DATOS!$G6239=CONFIG_METADATA!$B$4),IF(DATOS!$G6239="EX",1,IF(DATOS!$G6239="OR",--(COUNTIFS(nNIA,DATOS!$A6239,nCURSO,DATOS!$D6239,nESPEC,DATOS!$E6239,nASIG,DATOS!$I6239,nEVAL,"EX")=0),0))))</f>
      </c>
      <c r="H6239">
        <f>IF(DATOS!$G6239&lt;&gt;"EX",0,--(COUNTIFS(nNIA,DATOS!$A6239,nCURSO,DATOS!$D6239,nESPEC,DATOS!$E6239,nASIG,DATOS!$I6239,nEVAL,"OR")=0))</f>
      </c>
      <c r="I6239">
        <f>IF(DATOS!$I6239="","",IFERROR(VLOOKUP(DATOS!$I6239,CONFIG_ASIGNATURAS!$B$2:$J$91,9,FALSE()),""))</f>
      </c>
    </row>
    <row r="6240">
      <c r="F6240">
        <f>IF(DATOS!$A6240="","",DATOS!$A6240&amp;"|"&amp;DATOS!$D6240&amp;"|"&amp;DATOS!$E6240&amp;"|"&amp;DATOS!$I6240)</f>
      </c>
      <c r="G6240">
        <f>IF(DATOS!$A6240="",0,IF(CONFIG_METADATA!$B$4&lt;&gt;"OR+EX",--(DATOS!$G6240=CONFIG_METADATA!$B$4),IF(DATOS!$G6240="EX",1,IF(DATOS!$G6240="OR",--(COUNTIFS(nNIA,DATOS!$A6240,nCURSO,DATOS!$D6240,nESPEC,DATOS!$E6240,nASIG,DATOS!$I6240,nEVAL,"EX")=0),0))))</f>
      </c>
      <c r="H6240">
        <f>IF(DATOS!$G6240&lt;&gt;"EX",0,--(COUNTIFS(nNIA,DATOS!$A6240,nCURSO,DATOS!$D6240,nESPEC,DATOS!$E6240,nASIG,DATOS!$I6240,nEVAL,"OR")=0))</f>
      </c>
      <c r="I6240">
        <f>IF(DATOS!$I6240="","",IFERROR(VLOOKUP(DATOS!$I6240,CONFIG_ASIGNATURAS!$B$2:$J$91,9,FALSE()),""))</f>
      </c>
    </row>
    <row r="6241">
      <c r="F6241">
        <f>IF(DATOS!$A6241="","",DATOS!$A6241&amp;"|"&amp;DATOS!$D6241&amp;"|"&amp;DATOS!$E6241&amp;"|"&amp;DATOS!$I6241)</f>
      </c>
      <c r="G6241">
        <f>IF(DATOS!$A6241="",0,IF(CONFIG_METADATA!$B$4&lt;&gt;"OR+EX",--(DATOS!$G6241=CONFIG_METADATA!$B$4),IF(DATOS!$G6241="EX",1,IF(DATOS!$G6241="OR",--(COUNTIFS(nNIA,DATOS!$A6241,nCURSO,DATOS!$D6241,nESPEC,DATOS!$E6241,nASIG,DATOS!$I6241,nEVAL,"EX")=0),0))))</f>
      </c>
      <c r="H6241">
        <f>IF(DATOS!$G6241&lt;&gt;"EX",0,--(COUNTIFS(nNIA,DATOS!$A6241,nCURSO,DATOS!$D6241,nESPEC,DATOS!$E6241,nASIG,DATOS!$I6241,nEVAL,"OR")=0))</f>
      </c>
      <c r="I6241">
        <f>IF(DATOS!$I6241="","",IFERROR(VLOOKUP(DATOS!$I6241,CONFIG_ASIGNATURAS!$B$2:$J$91,9,FALSE()),""))</f>
      </c>
    </row>
    <row r="6242">
      <c r="F6242">
        <f>IF(DATOS!$A6242="","",DATOS!$A6242&amp;"|"&amp;DATOS!$D6242&amp;"|"&amp;DATOS!$E6242&amp;"|"&amp;DATOS!$I6242)</f>
      </c>
      <c r="G6242">
        <f>IF(DATOS!$A6242="",0,IF(CONFIG_METADATA!$B$4&lt;&gt;"OR+EX",--(DATOS!$G6242=CONFIG_METADATA!$B$4),IF(DATOS!$G6242="EX",1,IF(DATOS!$G6242="OR",--(COUNTIFS(nNIA,DATOS!$A6242,nCURSO,DATOS!$D6242,nESPEC,DATOS!$E6242,nASIG,DATOS!$I6242,nEVAL,"EX")=0),0))))</f>
      </c>
      <c r="H6242">
        <f>IF(DATOS!$G6242&lt;&gt;"EX",0,--(COUNTIFS(nNIA,DATOS!$A6242,nCURSO,DATOS!$D6242,nESPEC,DATOS!$E6242,nASIG,DATOS!$I6242,nEVAL,"OR")=0))</f>
      </c>
      <c r="I6242">
        <f>IF(DATOS!$I6242="","",IFERROR(VLOOKUP(DATOS!$I6242,CONFIG_ASIGNATURAS!$B$2:$J$91,9,FALSE()),""))</f>
      </c>
    </row>
    <row r="6243">
      <c r="F6243">
        <f>IF(DATOS!$A6243="","",DATOS!$A6243&amp;"|"&amp;DATOS!$D6243&amp;"|"&amp;DATOS!$E6243&amp;"|"&amp;DATOS!$I6243)</f>
      </c>
      <c r="G6243">
        <f>IF(DATOS!$A6243="",0,IF(CONFIG_METADATA!$B$4&lt;&gt;"OR+EX",--(DATOS!$G6243=CONFIG_METADATA!$B$4),IF(DATOS!$G6243="EX",1,IF(DATOS!$G6243="OR",--(COUNTIFS(nNIA,DATOS!$A6243,nCURSO,DATOS!$D6243,nESPEC,DATOS!$E6243,nASIG,DATOS!$I6243,nEVAL,"EX")=0),0))))</f>
      </c>
      <c r="H6243">
        <f>IF(DATOS!$G6243&lt;&gt;"EX",0,--(COUNTIFS(nNIA,DATOS!$A6243,nCURSO,DATOS!$D6243,nESPEC,DATOS!$E6243,nASIG,DATOS!$I6243,nEVAL,"OR")=0))</f>
      </c>
      <c r="I6243">
        <f>IF(DATOS!$I6243="","",IFERROR(VLOOKUP(DATOS!$I6243,CONFIG_ASIGNATURAS!$B$2:$J$91,9,FALSE()),""))</f>
      </c>
    </row>
    <row r="6244">
      <c r="F6244">
        <f>IF(DATOS!$A6244="","",DATOS!$A6244&amp;"|"&amp;DATOS!$D6244&amp;"|"&amp;DATOS!$E6244&amp;"|"&amp;DATOS!$I6244)</f>
      </c>
      <c r="G6244">
        <f>IF(DATOS!$A6244="",0,IF(CONFIG_METADATA!$B$4&lt;&gt;"OR+EX",--(DATOS!$G6244=CONFIG_METADATA!$B$4),IF(DATOS!$G6244="EX",1,IF(DATOS!$G6244="OR",--(COUNTIFS(nNIA,DATOS!$A6244,nCURSO,DATOS!$D6244,nESPEC,DATOS!$E6244,nASIG,DATOS!$I6244,nEVAL,"EX")=0),0))))</f>
      </c>
      <c r="H6244">
        <f>IF(DATOS!$G6244&lt;&gt;"EX",0,--(COUNTIFS(nNIA,DATOS!$A6244,nCURSO,DATOS!$D6244,nESPEC,DATOS!$E6244,nASIG,DATOS!$I6244,nEVAL,"OR")=0))</f>
      </c>
      <c r="I6244">
        <f>IF(DATOS!$I6244="","",IFERROR(VLOOKUP(DATOS!$I6244,CONFIG_ASIGNATURAS!$B$2:$J$91,9,FALSE()),""))</f>
      </c>
    </row>
    <row r="6245">
      <c r="F6245">
        <f>IF(DATOS!$A6245="","",DATOS!$A6245&amp;"|"&amp;DATOS!$D6245&amp;"|"&amp;DATOS!$E6245&amp;"|"&amp;DATOS!$I6245)</f>
      </c>
      <c r="G6245">
        <f>IF(DATOS!$A6245="",0,IF(CONFIG_METADATA!$B$4&lt;&gt;"OR+EX",--(DATOS!$G6245=CONFIG_METADATA!$B$4),IF(DATOS!$G6245="EX",1,IF(DATOS!$G6245="OR",--(COUNTIFS(nNIA,DATOS!$A6245,nCURSO,DATOS!$D6245,nESPEC,DATOS!$E6245,nASIG,DATOS!$I6245,nEVAL,"EX")=0),0))))</f>
      </c>
      <c r="H6245">
        <f>IF(DATOS!$G6245&lt;&gt;"EX",0,--(COUNTIFS(nNIA,DATOS!$A6245,nCURSO,DATOS!$D6245,nESPEC,DATOS!$E6245,nASIG,DATOS!$I6245,nEVAL,"OR")=0))</f>
      </c>
      <c r="I6245">
        <f>IF(DATOS!$I6245="","",IFERROR(VLOOKUP(DATOS!$I6245,CONFIG_ASIGNATURAS!$B$2:$J$91,9,FALSE()),""))</f>
      </c>
    </row>
    <row r="6246">
      <c r="F6246">
        <f>IF(DATOS!$A6246="","",DATOS!$A6246&amp;"|"&amp;DATOS!$D6246&amp;"|"&amp;DATOS!$E6246&amp;"|"&amp;DATOS!$I6246)</f>
      </c>
      <c r="G6246">
        <f>IF(DATOS!$A6246="",0,IF(CONFIG_METADATA!$B$4&lt;&gt;"OR+EX",--(DATOS!$G6246=CONFIG_METADATA!$B$4),IF(DATOS!$G6246="EX",1,IF(DATOS!$G6246="OR",--(COUNTIFS(nNIA,DATOS!$A6246,nCURSO,DATOS!$D6246,nESPEC,DATOS!$E6246,nASIG,DATOS!$I6246,nEVAL,"EX")=0),0))))</f>
      </c>
      <c r="H6246">
        <f>IF(DATOS!$G6246&lt;&gt;"EX",0,--(COUNTIFS(nNIA,DATOS!$A6246,nCURSO,DATOS!$D6246,nESPEC,DATOS!$E6246,nASIG,DATOS!$I6246,nEVAL,"OR")=0))</f>
      </c>
      <c r="I6246">
        <f>IF(DATOS!$I6246="","",IFERROR(VLOOKUP(DATOS!$I6246,CONFIG_ASIGNATURAS!$B$2:$J$91,9,FALSE()),""))</f>
      </c>
    </row>
    <row r="6247">
      <c r="F6247">
        <f>IF(DATOS!$A6247="","",DATOS!$A6247&amp;"|"&amp;DATOS!$D6247&amp;"|"&amp;DATOS!$E6247&amp;"|"&amp;DATOS!$I6247)</f>
      </c>
      <c r="G6247">
        <f>IF(DATOS!$A6247="",0,IF(CONFIG_METADATA!$B$4&lt;&gt;"OR+EX",--(DATOS!$G6247=CONFIG_METADATA!$B$4),IF(DATOS!$G6247="EX",1,IF(DATOS!$G6247="OR",--(COUNTIFS(nNIA,DATOS!$A6247,nCURSO,DATOS!$D6247,nESPEC,DATOS!$E6247,nASIG,DATOS!$I6247,nEVAL,"EX")=0),0))))</f>
      </c>
      <c r="H6247">
        <f>IF(DATOS!$G6247&lt;&gt;"EX",0,--(COUNTIFS(nNIA,DATOS!$A6247,nCURSO,DATOS!$D6247,nESPEC,DATOS!$E6247,nASIG,DATOS!$I6247,nEVAL,"OR")=0))</f>
      </c>
      <c r="I6247">
        <f>IF(DATOS!$I6247="","",IFERROR(VLOOKUP(DATOS!$I6247,CONFIG_ASIGNATURAS!$B$2:$J$91,9,FALSE()),""))</f>
      </c>
    </row>
    <row r="6248">
      <c r="F6248">
        <f>IF(DATOS!$A6248="","",DATOS!$A6248&amp;"|"&amp;DATOS!$D6248&amp;"|"&amp;DATOS!$E6248&amp;"|"&amp;DATOS!$I6248)</f>
      </c>
      <c r="G6248">
        <f>IF(DATOS!$A6248="",0,IF(CONFIG_METADATA!$B$4&lt;&gt;"OR+EX",--(DATOS!$G6248=CONFIG_METADATA!$B$4),IF(DATOS!$G6248="EX",1,IF(DATOS!$G6248="OR",--(COUNTIFS(nNIA,DATOS!$A6248,nCURSO,DATOS!$D6248,nESPEC,DATOS!$E6248,nASIG,DATOS!$I6248,nEVAL,"EX")=0),0))))</f>
      </c>
      <c r="H6248">
        <f>IF(DATOS!$G6248&lt;&gt;"EX",0,--(COUNTIFS(nNIA,DATOS!$A6248,nCURSO,DATOS!$D6248,nESPEC,DATOS!$E6248,nASIG,DATOS!$I6248,nEVAL,"OR")=0))</f>
      </c>
      <c r="I6248">
        <f>IF(DATOS!$I6248="","",IFERROR(VLOOKUP(DATOS!$I6248,CONFIG_ASIGNATURAS!$B$2:$J$91,9,FALSE()),""))</f>
      </c>
    </row>
    <row r="6249">
      <c r="F6249">
        <f>IF(DATOS!$A6249="","",DATOS!$A6249&amp;"|"&amp;DATOS!$D6249&amp;"|"&amp;DATOS!$E6249&amp;"|"&amp;DATOS!$I6249)</f>
      </c>
      <c r="G6249">
        <f>IF(DATOS!$A6249="",0,IF(CONFIG_METADATA!$B$4&lt;&gt;"OR+EX",--(DATOS!$G6249=CONFIG_METADATA!$B$4),IF(DATOS!$G6249="EX",1,IF(DATOS!$G6249="OR",--(COUNTIFS(nNIA,DATOS!$A6249,nCURSO,DATOS!$D6249,nESPEC,DATOS!$E6249,nASIG,DATOS!$I6249,nEVAL,"EX")=0),0))))</f>
      </c>
      <c r="H6249">
        <f>IF(DATOS!$G6249&lt;&gt;"EX",0,--(COUNTIFS(nNIA,DATOS!$A6249,nCURSO,DATOS!$D6249,nESPEC,DATOS!$E6249,nASIG,DATOS!$I6249,nEVAL,"OR")=0))</f>
      </c>
      <c r="I6249">
        <f>IF(DATOS!$I6249="","",IFERROR(VLOOKUP(DATOS!$I6249,CONFIG_ASIGNATURAS!$B$2:$J$91,9,FALSE()),""))</f>
      </c>
    </row>
    <row r="6250">
      <c r="F6250">
        <f>IF(DATOS!$A6250="","",DATOS!$A6250&amp;"|"&amp;DATOS!$D6250&amp;"|"&amp;DATOS!$E6250&amp;"|"&amp;DATOS!$I6250)</f>
      </c>
      <c r="G6250">
        <f>IF(DATOS!$A6250="",0,IF(CONFIG_METADATA!$B$4&lt;&gt;"OR+EX",--(DATOS!$G6250=CONFIG_METADATA!$B$4),IF(DATOS!$G6250="EX",1,IF(DATOS!$G6250="OR",--(COUNTIFS(nNIA,DATOS!$A6250,nCURSO,DATOS!$D6250,nESPEC,DATOS!$E6250,nASIG,DATOS!$I6250,nEVAL,"EX")=0),0))))</f>
      </c>
      <c r="H6250">
        <f>IF(DATOS!$G6250&lt;&gt;"EX",0,--(COUNTIFS(nNIA,DATOS!$A6250,nCURSO,DATOS!$D6250,nESPEC,DATOS!$E6250,nASIG,DATOS!$I6250,nEVAL,"OR")=0))</f>
      </c>
      <c r="I6250">
        <f>IF(DATOS!$I6250="","",IFERROR(VLOOKUP(DATOS!$I6250,CONFIG_ASIGNATURAS!$B$2:$J$91,9,FALSE()),""))</f>
      </c>
    </row>
    <row r="6251">
      <c r="F6251">
        <f>IF(DATOS!$A6251="","",DATOS!$A6251&amp;"|"&amp;DATOS!$D6251&amp;"|"&amp;DATOS!$E6251&amp;"|"&amp;DATOS!$I6251)</f>
      </c>
      <c r="G6251">
        <f>IF(DATOS!$A6251="",0,IF(CONFIG_METADATA!$B$4&lt;&gt;"OR+EX",--(DATOS!$G6251=CONFIG_METADATA!$B$4),IF(DATOS!$G6251="EX",1,IF(DATOS!$G6251="OR",--(COUNTIFS(nNIA,DATOS!$A6251,nCURSO,DATOS!$D6251,nESPEC,DATOS!$E6251,nASIG,DATOS!$I6251,nEVAL,"EX")=0),0))))</f>
      </c>
      <c r="H6251">
        <f>IF(DATOS!$G6251&lt;&gt;"EX",0,--(COUNTIFS(nNIA,DATOS!$A6251,nCURSO,DATOS!$D6251,nESPEC,DATOS!$E6251,nASIG,DATOS!$I6251,nEVAL,"OR")=0))</f>
      </c>
      <c r="I6251">
        <f>IF(DATOS!$I6251="","",IFERROR(VLOOKUP(DATOS!$I6251,CONFIG_ASIGNATURAS!$B$2:$J$91,9,FALSE()),""))</f>
      </c>
    </row>
    <row r="6252">
      <c r="F6252">
        <f>IF(DATOS!$A6252="","",DATOS!$A6252&amp;"|"&amp;DATOS!$D6252&amp;"|"&amp;DATOS!$E6252&amp;"|"&amp;DATOS!$I6252)</f>
      </c>
      <c r="G6252">
        <f>IF(DATOS!$A6252="",0,IF(CONFIG_METADATA!$B$4&lt;&gt;"OR+EX",--(DATOS!$G6252=CONFIG_METADATA!$B$4),IF(DATOS!$G6252="EX",1,IF(DATOS!$G6252="OR",--(COUNTIFS(nNIA,DATOS!$A6252,nCURSO,DATOS!$D6252,nESPEC,DATOS!$E6252,nASIG,DATOS!$I6252,nEVAL,"EX")=0),0))))</f>
      </c>
      <c r="H6252">
        <f>IF(DATOS!$G6252&lt;&gt;"EX",0,--(COUNTIFS(nNIA,DATOS!$A6252,nCURSO,DATOS!$D6252,nESPEC,DATOS!$E6252,nASIG,DATOS!$I6252,nEVAL,"OR")=0))</f>
      </c>
      <c r="I6252">
        <f>IF(DATOS!$I6252="","",IFERROR(VLOOKUP(DATOS!$I6252,CONFIG_ASIGNATURAS!$B$2:$J$91,9,FALSE()),""))</f>
      </c>
    </row>
    <row r="6253">
      <c r="F6253">
        <f>IF(DATOS!$A6253="","",DATOS!$A6253&amp;"|"&amp;DATOS!$D6253&amp;"|"&amp;DATOS!$E6253&amp;"|"&amp;DATOS!$I6253)</f>
      </c>
      <c r="G6253">
        <f>IF(DATOS!$A6253="",0,IF(CONFIG_METADATA!$B$4&lt;&gt;"OR+EX",--(DATOS!$G6253=CONFIG_METADATA!$B$4),IF(DATOS!$G6253="EX",1,IF(DATOS!$G6253="OR",--(COUNTIFS(nNIA,DATOS!$A6253,nCURSO,DATOS!$D6253,nESPEC,DATOS!$E6253,nASIG,DATOS!$I6253,nEVAL,"EX")=0),0))))</f>
      </c>
      <c r="H6253">
        <f>IF(DATOS!$G6253&lt;&gt;"EX",0,--(COUNTIFS(nNIA,DATOS!$A6253,nCURSO,DATOS!$D6253,nESPEC,DATOS!$E6253,nASIG,DATOS!$I6253,nEVAL,"OR")=0))</f>
      </c>
      <c r="I6253">
        <f>IF(DATOS!$I6253="","",IFERROR(VLOOKUP(DATOS!$I6253,CONFIG_ASIGNATURAS!$B$2:$J$91,9,FALSE()),""))</f>
      </c>
    </row>
    <row r="6254">
      <c r="F6254">
        <f>IF(DATOS!$A6254="","",DATOS!$A6254&amp;"|"&amp;DATOS!$D6254&amp;"|"&amp;DATOS!$E6254&amp;"|"&amp;DATOS!$I6254)</f>
      </c>
      <c r="G6254">
        <f>IF(DATOS!$A6254="",0,IF(CONFIG_METADATA!$B$4&lt;&gt;"OR+EX",--(DATOS!$G6254=CONFIG_METADATA!$B$4),IF(DATOS!$G6254="EX",1,IF(DATOS!$G6254="OR",--(COUNTIFS(nNIA,DATOS!$A6254,nCURSO,DATOS!$D6254,nESPEC,DATOS!$E6254,nASIG,DATOS!$I6254,nEVAL,"EX")=0),0))))</f>
      </c>
      <c r="H6254">
        <f>IF(DATOS!$G6254&lt;&gt;"EX",0,--(COUNTIFS(nNIA,DATOS!$A6254,nCURSO,DATOS!$D6254,nESPEC,DATOS!$E6254,nASIG,DATOS!$I6254,nEVAL,"OR")=0))</f>
      </c>
      <c r="I6254">
        <f>IF(DATOS!$I6254="","",IFERROR(VLOOKUP(DATOS!$I6254,CONFIG_ASIGNATURAS!$B$2:$J$91,9,FALSE()),""))</f>
      </c>
    </row>
    <row r="6255">
      <c r="F6255">
        <f>IF(DATOS!$A6255="","",DATOS!$A6255&amp;"|"&amp;DATOS!$D6255&amp;"|"&amp;DATOS!$E6255&amp;"|"&amp;DATOS!$I6255)</f>
      </c>
      <c r="G6255">
        <f>IF(DATOS!$A6255="",0,IF(CONFIG_METADATA!$B$4&lt;&gt;"OR+EX",--(DATOS!$G6255=CONFIG_METADATA!$B$4),IF(DATOS!$G6255="EX",1,IF(DATOS!$G6255="OR",--(COUNTIFS(nNIA,DATOS!$A6255,nCURSO,DATOS!$D6255,nESPEC,DATOS!$E6255,nASIG,DATOS!$I6255,nEVAL,"EX")=0),0))))</f>
      </c>
      <c r="H6255">
        <f>IF(DATOS!$G6255&lt;&gt;"EX",0,--(COUNTIFS(nNIA,DATOS!$A6255,nCURSO,DATOS!$D6255,nESPEC,DATOS!$E6255,nASIG,DATOS!$I6255,nEVAL,"OR")=0))</f>
      </c>
      <c r="I6255">
        <f>IF(DATOS!$I6255="","",IFERROR(VLOOKUP(DATOS!$I6255,CONFIG_ASIGNATURAS!$B$2:$J$91,9,FALSE()),""))</f>
      </c>
    </row>
    <row r="6256">
      <c r="F6256">
        <f>IF(DATOS!$A6256="","",DATOS!$A6256&amp;"|"&amp;DATOS!$D6256&amp;"|"&amp;DATOS!$E6256&amp;"|"&amp;DATOS!$I6256)</f>
      </c>
      <c r="G6256">
        <f>IF(DATOS!$A6256="",0,IF(CONFIG_METADATA!$B$4&lt;&gt;"OR+EX",--(DATOS!$G6256=CONFIG_METADATA!$B$4),IF(DATOS!$G6256="EX",1,IF(DATOS!$G6256="OR",--(COUNTIFS(nNIA,DATOS!$A6256,nCURSO,DATOS!$D6256,nESPEC,DATOS!$E6256,nASIG,DATOS!$I6256,nEVAL,"EX")=0),0))))</f>
      </c>
      <c r="H6256">
        <f>IF(DATOS!$G6256&lt;&gt;"EX",0,--(COUNTIFS(nNIA,DATOS!$A6256,nCURSO,DATOS!$D6256,nESPEC,DATOS!$E6256,nASIG,DATOS!$I6256,nEVAL,"OR")=0))</f>
      </c>
      <c r="I6256">
        <f>IF(DATOS!$I6256="","",IFERROR(VLOOKUP(DATOS!$I6256,CONFIG_ASIGNATURAS!$B$2:$J$91,9,FALSE()),""))</f>
      </c>
    </row>
    <row r="6257">
      <c r="F6257">
        <f>IF(DATOS!$A6257="","",DATOS!$A6257&amp;"|"&amp;DATOS!$D6257&amp;"|"&amp;DATOS!$E6257&amp;"|"&amp;DATOS!$I6257)</f>
      </c>
      <c r="G6257">
        <f>IF(DATOS!$A6257="",0,IF(CONFIG_METADATA!$B$4&lt;&gt;"OR+EX",--(DATOS!$G6257=CONFIG_METADATA!$B$4),IF(DATOS!$G6257="EX",1,IF(DATOS!$G6257="OR",--(COUNTIFS(nNIA,DATOS!$A6257,nCURSO,DATOS!$D6257,nESPEC,DATOS!$E6257,nASIG,DATOS!$I6257,nEVAL,"EX")=0),0))))</f>
      </c>
      <c r="H6257">
        <f>IF(DATOS!$G6257&lt;&gt;"EX",0,--(COUNTIFS(nNIA,DATOS!$A6257,nCURSO,DATOS!$D6257,nESPEC,DATOS!$E6257,nASIG,DATOS!$I6257,nEVAL,"OR")=0))</f>
      </c>
      <c r="I6257">
        <f>IF(DATOS!$I6257="","",IFERROR(VLOOKUP(DATOS!$I6257,CONFIG_ASIGNATURAS!$B$2:$J$91,9,FALSE()),""))</f>
      </c>
    </row>
    <row r="6258">
      <c r="F6258">
        <f>IF(DATOS!$A6258="","",DATOS!$A6258&amp;"|"&amp;DATOS!$D6258&amp;"|"&amp;DATOS!$E6258&amp;"|"&amp;DATOS!$I6258)</f>
      </c>
      <c r="G6258">
        <f>IF(DATOS!$A6258="",0,IF(CONFIG_METADATA!$B$4&lt;&gt;"OR+EX",--(DATOS!$G6258=CONFIG_METADATA!$B$4),IF(DATOS!$G6258="EX",1,IF(DATOS!$G6258="OR",--(COUNTIFS(nNIA,DATOS!$A6258,nCURSO,DATOS!$D6258,nESPEC,DATOS!$E6258,nASIG,DATOS!$I6258,nEVAL,"EX")=0),0))))</f>
      </c>
      <c r="H6258">
        <f>IF(DATOS!$G6258&lt;&gt;"EX",0,--(COUNTIFS(nNIA,DATOS!$A6258,nCURSO,DATOS!$D6258,nESPEC,DATOS!$E6258,nASIG,DATOS!$I6258,nEVAL,"OR")=0))</f>
      </c>
      <c r="I6258">
        <f>IF(DATOS!$I6258="","",IFERROR(VLOOKUP(DATOS!$I6258,CONFIG_ASIGNATURAS!$B$2:$J$91,9,FALSE()),""))</f>
      </c>
    </row>
    <row r="6259">
      <c r="F6259">
        <f>IF(DATOS!$A6259="","",DATOS!$A6259&amp;"|"&amp;DATOS!$D6259&amp;"|"&amp;DATOS!$E6259&amp;"|"&amp;DATOS!$I6259)</f>
      </c>
      <c r="G6259">
        <f>IF(DATOS!$A6259="",0,IF(CONFIG_METADATA!$B$4&lt;&gt;"OR+EX",--(DATOS!$G6259=CONFIG_METADATA!$B$4),IF(DATOS!$G6259="EX",1,IF(DATOS!$G6259="OR",--(COUNTIFS(nNIA,DATOS!$A6259,nCURSO,DATOS!$D6259,nESPEC,DATOS!$E6259,nASIG,DATOS!$I6259,nEVAL,"EX")=0),0))))</f>
      </c>
      <c r="H6259">
        <f>IF(DATOS!$G6259&lt;&gt;"EX",0,--(COUNTIFS(nNIA,DATOS!$A6259,nCURSO,DATOS!$D6259,nESPEC,DATOS!$E6259,nASIG,DATOS!$I6259,nEVAL,"OR")=0))</f>
      </c>
      <c r="I6259">
        <f>IF(DATOS!$I6259="","",IFERROR(VLOOKUP(DATOS!$I6259,CONFIG_ASIGNATURAS!$B$2:$J$91,9,FALSE()),""))</f>
      </c>
    </row>
    <row r="6260">
      <c r="F6260">
        <f>IF(DATOS!$A6260="","",DATOS!$A6260&amp;"|"&amp;DATOS!$D6260&amp;"|"&amp;DATOS!$E6260&amp;"|"&amp;DATOS!$I6260)</f>
      </c>
      <c r="G6260">
        <f>IF(DATOS!$A6260="",0,IF(CONFIG_METADATA!$B$4&lt;&gt;"OR+EX",--(DATOS!$G6260=CONFIG_METADATA!$B$4),IF(DATOS!$G6260="EX",1,IF(DATOS!$G6260="OR",--(COUNTIFS(nNIA,DATOS!$A6260,nCURSO,DATOS!$D6260,nESPEC,DATOS!$E6260,nASIG,DATOS!$I6260,nEVAL,"EX")=0),0))))</f>
      </c>
      <c r="H6260">
        <f>IF(DATOS!$G6260&lt;&gt;"EX",0,--(COUNTIFS(nNIA,DATOS!$A6260,nCURSO,DATOS!$D6260,nESPEC,DATOS!$E6260,nASIG,DATOS!$I6260,nEVAL,"OR")=0))</f>
      </c>
      <c r="I6260">
        <f>IF(DATOS!$I6260="","",IFERROR(VLOOKUP(DATOS!$I6260,CONFIG_ASIGNATURAS!$B$2:$J$91,9,FALSE()),""))</f>
      </c>
    </row>
    <row r="6261">
      <c r="F6261">
        <f>IF(DATOS!$A6261="","",DATOS!$A6261&amp;"|"&amp;DATOS!$D6261&amp;"|"&amp;DATOS!$E6261&amp;"|"&amp;DATOS!$I6261)</f>
      </c>
      <c r="G6261">
        <f>IF(DATOS!$A6261="",0,IF(CONFIG_METADATA!$B$4&lt;&gt;"OR+EX",--(DATOS!$G6261=CONFIG_METADATA!$B$4),IF(DATOS!$G6261="EX",1,IF(DATOS!$G6261="OR",--(COUNTIFS(nNIA,DATOS!$A6261,nCURSO,DATOS!$D6261,nESPEC,DATOS!$E6261,nASIG,DATOS!$I6261,nEVAL,"EX")=0),0))))</f>
      </c>
      <c r="H6261">
        <f>IF(DATOS!$G6261&lt;&gt;"EX",0,--(COUNTIFS(nNIA,DATOS!$A6261,nCURSO,DATOS!$D6261,nESPEC,DATOS!$E6261,nASIG,DATOS!$I6261,nEVAL,"OR")=0))</f>
      </c>
      <c r="I6261">
        <f>IF(DATOS!$I6261="","",IFERROR(VLOOKUP(DATOS!$I6261,CONFIG_ASIGNATURAS!$B$2:$J$91,9,FALSE()),""))</f>
      </c>
    </row>
    <row r="6262">
      <c r="F6262">
        <f>IF(DATOS!$A6262="","",DATOS!$A6262&amp;"|"&amp;DATOS!$D6262&amp;"|"&amp;DATOS!$E6262&amp;"|"&amp;DATOS!$I6262)</f>
      </c>
      <c r="G6262">
        <f>IF(DATOS!$A6262="",0,IF(CONFIG_METADATA!$B$4&lt;&gt;"OR+EX",--(DATOS!$G6262=CONFIG_METADATA!$B$4),IF(DATOS!$G6262="EX",1,IF(DATOS!$G6262="OR",--(COUNTIFS(nNIA,DATOS!$A6262,nCURSO,DATOS!$D6262,nESPEC,DATOS!$E6262,nASIG,DATOS!$I6262,nEVAL,"EX")=0),0))))</f>
      </c>
      <c r="H6262">
        <f>IF(DATOS!$G6262&lt;&gt;"EX",0,--(COUNTIFS(nNIA,DATOS!$A6262,nCURSO,DATOS!$D6262,nESPEC,DATOS!$E6262,nASIG,DATOS!$I6262,nEVAL,"OR")=0))</f>
      </c>
      <c r="I6262">
        <f>IF(DATOS!$I6262="","",IFERROR(VLOOKUP(DATOS!$I6262,CONFIG_ASIGNATURAS!$B$2:$J$91,9,FALSE()),""))</f>
      </c>
    </row>
    <row r="6263">
      <c r="F6263">
        <f>IF(DATOS!$A6263="","",DATOS!$A6263&amp;"|"&amp;DATOS!$D6263&amp;"|"&amp;DATOS!$E6263&amp;"|"&amp;DATOS!$I6263)</f>
      </c>
      <c r="G6263">
        <f>IF(DATOS!$A6263="",0,IF(CONFIG_METADATA!$B$4&lt;&gt;"OR+EX",--(DATOS!$G6263=CONFIG_METADATA!$B$4),IF(DATOS!$G6263="EX",1,IF(DATOS!$G6263="OR",--(COUNTIFS(nNIA,DATOS!$A6263,nCURSO,DATOS!$D6263,nESPEC,DATOS!$E6263,nASIG,DATOS!$I6263,nEVAL,"EX")=0),0))))</f>
      </c>
      <c r="H6263">
        <f>IF(DATOS!$G6263&lt;&gt;"EX",0,--(COUNTIFS(nNIA,DATOS!$A6263,nCURSO,DATOS!$D6263,nESPEC,DATOS!$E6263,nASIG,DATOS!$I6263,nEVAL,"OR")=0))</f>
      </c>
      <c r="I6263">
        <f>IF(DATOS!$I6263="","",IFERROR(VLOOKUP(DATOS!$I6263,CONFIG_ASIGNATURAS!$B$2:$J$91,9,FALSE()),""))</f>
      </c>
    </row>
    <row r="6264">
      <c r="F6264">
        <f>IF(DATOS!$A6264="","",DATOS!$A6264&amp;"|"&amp;DATOS!$D6264&amp;"|"&amp;DATOS!$E6264&amp;"|"&amp;DATOS!$I6264)</f>
      </c>
      <c r="G6264">
        <f>IF(DATOS!$A6264="",0,IF(CONFIG_METADATA!$B$4&lt;&gt;"OR+EX",--(DATOS!$G6264=CONFIG_METADATA!$B$4),IF(DATOS!$G6264="EX",1,IF(DATOS!$G6264="OR",--(COUNTIFS(nNIA,DATOS!$A6264,nCURSO,DATOS!$D6264,nESPEC,DATOS!$E6264,nASIG,DATOS!$I6264,nEVAL,"EX")=0),0))))</f>
      </c>
      <c r="H6264">
        <f>IF(DATOS!$G6264&lt;&gt;"EX",0,--(COUNTIFS(nNIA,DATOS!$A6264,nCURSO,DATOS!$D6264,nESPEC,DATOS!$E6264,nASIG,DATOS!$I6264,nEVAL,"OR")=0))</f>
      </c>
      <c r="I6264">
        <f>IF(DATOS!$I6264="","",IFERROR(VLOOKUP(DATOS!$I6264,CONFIG_ASIGNATURAS!$B$2:$J$91,9,FALSE()),""))</f>
      </c>
    </row>
    <row r="6265">
      <c r="F6265">
        <f>IF(DATOS!$A6265="","",DATOS!$A6265&amp;"|"&amp;DATOS!$D6265&amp;"|"&amp;DATOS!$E6265&amp;"|"&amp;DATOS!$I6265)</f>
      </c>
      <c r="G6265">
        <f>IF(DATOS!$A6265="",0,IF(CONFIG_METADATA!$B$4&lt;&gt;"OR+EX",--(DATOS!$G6265=CONFIG_METADATA!$B$4),IF(DATOS!$G6265="EX",1,IF(DATOS!$G6265="OR",--(COUNTIFS(nNIA,DATOS!$A6265,nCURSO,DATOS!$D6265,nESPEC,DATOS!$E6265,nASIG,DATOS!$I6265,nEVAL,"EX")=0),0))))</f>
      </c>
      <c r="H6265">
        <f>IF(DATOS!$G6265&lt;&gt;"EX",0,--(COUNTIFS(nNIA,DATOS!$A6265,nCURSO,DATOS!$D6265,nESPEC,DATOS!$E6265,nASIG,DATOS!$I6265,nEVAL,"OR")=0))</f>
      </c>
      <c r="I6265">
        <f>IF(DATOS!$I6265="","",IFERROR(VLOOKUP(DATOS!$I6265,CONFIG_ASIGNATURAS!$B$2:$J$91,9,FALSE()),""))</f>
      </c>
    </row>
    <row r="6266">
      <c r="F6266">
        <f>IF(DATOS!$A6266="","",DATOS!$A6266&amp;"|"&amp;DATOS!$D6266&amp;"|"&amp;DATOS!$E6266&amp;"|"&amp;DATOS!$I6266)</f>
      </c>
      <c r="G6266">
        <f>IF(DATOS!$A6266="",0,IF(CONFIG_METADATA!$B$4&lt;&gt;"OR+EX",--(DATOS!$G6266=CONFIG_METADATA!$B$4),IF(DATOS!$G6266="EX",1,IF(DATOS!$G6266="OR",--(COUNTIFS(nNIA,DATOS!$A6266,nCURSO,DATOS!$D6266,nESPEC,DATOS!$E6266,nASIG,DATOS!$I6266,nEVAL,"EX")=0),0))))</f>
      </c>
      <c r="H6266">
        <f>IF(DATOS!$G6266&lt;&gt;"EX",0,--(COUNTIFS(nNIA,DATOS!$A6266,nCURSO,DATOS!$D6266,nESPEC,DATOS!$E6266,nASIG,DATOS!$I6266,nEVAL,"OR")=0))</f>
      </c>
      <c r="I6266">
        <f>IF(DATOS!$I6266="","",IFERROR(VLOOKUP(DATOS!$I6266,CONFIG_ASIGNATURAS!$B$2:$J$91,9,FALSE()),""))</f>
      </c>
    </row>
    <row r="6267">
      <c r="F6267">
        <f>IF(DATOS!$A6267="","",DATOS!$A6267&amp;"|"&amp;DATOS!$D6267&amp;"|"&amp;DATOS!$E6267&amp;"|"&amp;DATOS!$I6267)</f>
      </c>
      <c r="G6267">
        <f>IF(DATOS!$A6267="",0,IF(CONFIG_METADATA!$B$4&lt;&gt;"OR+EX",--(DATOS!$G6267=CONFIG_METADATA!$B$4),IF(DATOS!$G6267="EX",1,IF(DATOS!$G6267="OR",--(COUNTIFS(nNIA,DATOS!$A6267,nCURSO,DATOS!$D6267,nESPEC,DATOS!$E6267,nASIG,DATOS!$I6267,nEVAL,"EX")=0),0))))</f>
      </c>
      <c r="H6267">
        <f>IF(DATOS!$G6267&lt;&gt;"EX",0,--(COUNTIFS(nNIA,DATOS!$A6267,nCURSO,DATOS!$D6267,nESPEC,DATOS!$E6267,nASIG,DATOS!$I6267,nEVAL,"OR")=0))</f>
      </c>
      <c r="I6267">
        <f>IF(DATOS!$I6267="","",IFERROR(VLOOKUP(DATOS!$I6267,CONFIG_ASIGNATURAS!$B$2:$J$91,9,FALSE()),""))</f>
      </c>
    </row>
    <row r="6268">
      <c r="F6268">
        <f>IF(DATOS!$A6268="","",DATOS!$A6268&amp;"|"&amp;DATOS!$D6268&amp;"|"&amp;DATOS!$E6268&amp;"|"&amp;DATOS!$I6268)</f>
      </c>
      <c r="G6268">
        <f>IF(DATOS!$A6268="",0,IF(CONFIG_METADATA!$B$4&lt;&gt;"OR+EX",--(DATOS!$G6268=CONFIG_METADATA!$B$4),IF(DATOS!$G6268="EX",1,IF(DATOS!$G6268="OR",--(COUNTIFS(nNIA,DATOS!$A6268,nCURSO,DATOS!$D6268,nESPEC,DATOS!$E6268,nASIG,DATOS!$I6268,nEVAL,"EX")=0),0))))</f>
      </c>
      <c r="H6268">
        <f>IF(DATOS!$G6268&lt;&gt;"EX",0,--(COUNTIFS(nNIA,DATOS!$A6268,nCURSO,DATOS!$D6268,nESPEC,DATOS!$E6268,nASIG,DATOS!$I6268,nEVAL,"OR")=0))</f>
      </c>
      <c r="I6268">
        <f>IF(DATOS!$I6268="","",IFERROR(VLOOKUP(DATOS!$I6268,CONFIG_ASIGNATURAS!$B$2:$J$91,9,FALSE()),""))</f>
      </c>
    </row>
    <row r="6269">
      <c r="F6269">
        <f>IF(DATOS!$A6269="","",DATOS!$A6269&amp;"|"&amp;DATOS!$D6269&amp;"|"&amp;DATOS!$E6269&amp;"|"&amp;DATOS!$I6269)</f>
      </c>
      <c r="G6269">
        <f>IF(DATOS!$A6269="",0,IF(CONFIG_METADATA!$B$4&lt;&gt;"OR+EX",--(DATOS!$G6269=CONFIG_METADATA!$B$4),IF(DATOS!$G6269="EX",1,IF(DATOS!$G6269="OR",--(COUNTIFS(nNIA,DATOS!$A6269,nCURSO,DATOS!$D6269,nESPEC,DATOS!$E6269,nASIG,DATOS!$I6269,nEVAL,"EX")=0),0))))</f>
      </c>
      <c r="H6269">
        <f>IF(DATOS!$G6269&lt;&gt;"EX",0,--(COUNTIFS(nNIA,DATOS!$A6269,nCURSO,DATOS!$D6269,nESPEC,DATOS!$E6269,nASIG,DATOS!$I6269,nEVAL,"OR")=0))</f>
      </c>
      <c r="I6269">
        <f>IF(DATOS!$I6269="","",IFERROR(VLOOKUP(DATOS!$I6269,CONFIG_ASIGNATURAS!$B$2:$J$91,9,FALSE()),""))</f>
      </c>
    </row>
    <row r="6270">
      <c r="F6270">
        <f>IF(DATOS!$A6270="","",DATOS!$A6270&amp;"|"&amp;DATOS!$D6270&amp;"|"&amp;DATOS!$E6270&amp;"|"&amp;DATOS!$I6270)</f>
      </c>
      <c r="G6270">
        <f>IF(DATOS!$A6270="",0,IF(CONFIG_METADATA!$B$4&lt;&gt;"OR+EX",--(DATOS!$G6270=CONFIG_METADATA!$B$4),IF(DATOS!$G6270="EX",1,IF(DATOS!$G6270="OR",--(COUNTIFS(nNIA,DATOS!$A6270,nCURSO,DATOS!$D6270,nESPEC,DATOS!$E6270,nASIG,DATOS!$I6270,nEVAL,"EX")=0),0))))</f>
      </c>
      <c r="H6270">
        <f>IF(DATOS!$G6270&lt;&gt;"EX",0,--(COUNTIFS(nNIA,DATOS!$A6270,nCURSO,DATOS!$D6270,nESPEC,DATOS!$E6270,nASIG,DATOS!$I6270,nEVAL,"OR")=0))</f>
      </c>
      <c r="I6270">
        <f>IF(DATOS!$I6270="","",IFERROR(VLOOKUP(DATOS!$I6270,CONFIG_ASIGNATURAS!$B$2:$J$91,9,FALSE()),""))</f>
      </c>
    </row>
    <row r="6271">
      <c r="F6271">
        <f>IF(DATOS!$A6271="","",DATOS!$A6271&amp;"|"&amp;DATOS!$D6271&amp;"|"&amp;DATOS!$E6271&amp;"|"&amp;DATOS!$I6271)</f>
      </c>
      <c r="G6271">
        <f>IF(DATOS!$A6271="",0,IF(CONFIG_METADATA!$B$4&lt;&gt;"OR+EX",--(DATOS!$G6271=CONFIG_METADATA!$B$4),IF(DATOS!$G6271="EX",1,IF(DATOS!$G6271="OR",--(COUNTIFS(nNIA,DATOS!$A6271,nCURSO,DATOS!$D6271,nESPEC,DATOS!$E6271,nASIG,DATOS!$I6271,nEVAL,"EX")=0),0))))</f>
      </c>
      <c r="H6271">
        <f>IF(DATOS!$G6271&lt;&gt;"EX",0,--(COUNTIFS(nNIA,DATOS!$A6271,nCURSO,DATOS!$D6271,nESPEC,DATOS!$E6271,nASIG,DATOS!$I6271,nEVAL,"OR")=0))</f>
      </c>
      <c r="I6271">
        <f>IF(DATOS!$I6271="","",IFERROR(VLOOKUP(DATOS!$I6271,CONFIG_ASIGNATURAS!$B$2:$J$91,9,FALSE()),""))</f>
      </c>
    </row>
    <row r="6272">
      <c r="F6272">
        <f>IF(DATOS!$A6272="","",DATOS!$A6272&amp;"|"&amp;DATOS!$D6272&amp;"|"&amp;DATOS!$E6272&amp;"|"&amp;DATOS!$I6272)</f>
      </c>
      <c r="G6272">
        <f>IF(DATOS!$A6272="",0,IF(CONFIG_METADATA!$B$4&lt;&gt;"OR+EX",--(DATOS!$G6272=CONFIG_METADATA!$B$4),IF(DATOS!$G6272="EX",1,IF(DATOS!$G6272="OR",--(COUNTIFS(nNIA,DATOS!$A6272,nCURSO,DATOS!$D6272,nESPEC,DATOS!$E6272,nASIG,DATOS!$I6272,nEVAL,"EX")=0),0))))</f>
      </c>
      <c r="H6272">
        <f>IF(DATOS!$G6272&lt;&gt;"EX",0,--(COUNTIFS(nNIA,DATOS!$A6272,nCURSO,DATOS!$D6272,nESPEC,DATOS!$E6272,nASIG,DATOS!$I6272,nEVAL,"OR")=0))</f>
      </c>
      <c r="I6272">
        <f>IF(DATOS!$I6272="","",IFERROR(VLOOKUP(DATOS!$I6272,CONFIG_ASIGNATURAS!$B$2:$J$91,9,FALSE()),""))</f>
      </c>
    </row>
    <row r="6273">
      <c r="F6273">
        <f>IF(DATOS!$A6273="","",DATOS!$A6273&amp;"|"&amp;DATOS!$D6273&amp;"|"&amp;DATOS!$E6273&amp;"|"&amp;DATOS!$I6273)</f>
      </c>
      <c r="G6273">
        <f>IF(DATOS!$A6273="",0,IF(CONFIG_METADATA!$B$4&lt;&gt;"OR+EX",--(DATOS!$G6273=CONFIG_METADATA!$B$4),IF(DATOS!$G6273="EX",1,IF(DATOS!$G6273="OR",--(COUNTIFS(nNIA,DATOS!$A6273,nCURSO,DATOS!$D6273,nESPEC,DATOS!$E6273,nASIG,DATOS!$I6273,nEVAL,"EX")=0),0))))</f>
      </c>
      <c r="H6273">
        <f>IF(DATOS!$G6273&lt;&gt;"EX",0,--(COUNTIFS(nNIA,DATOS!$A6273,nCURSO,DATOS!$D6273,nESPEC,DATOS!$E6273,nASIG,DATOS!$I6273,nEVAL,"OR")=0))</f>
      </c>
      <c r="I6273">
        <f>IF(DATOS!$I6273="","",IFERROR(VLOOKUP(DATOS!$I6273,CONFIG_ASIGNATURAS!$B$2:$J$91,9,FALSE()),""))</f>
      </c>
    </row>
    <row r="6274">
      <c r="F6274">
        <f>IF(DATOS!$A6274="","",DATOS!$A6274&amp;"|"&amp;DATOS!$D6274&amp;"|"&amp;DATOS!$E6274&amp;"|"&amp;DATOS!$I6274)</f>
      </c>
      <c r="G6274">
        <f>IF(DATOS!$A6274="",0,IF(CONFIG_METADATA!$B$4&lt;&gt;"OR+EX",--(DATOS!$G6274=CONFIG_METADATA!$B$4),IF(DATOS!$G6274="EX",1,IF(DATOS!$G6274="OR",--(COUNTIFS(nNIA,DATOS!$A6274,nCURSO,DATOS!$D6274,nESPEC,DATOS!$E6274,nASIG,DATOS!$I6274,nEVAL,"EX")=0),0))))</f>
      </c>
      <c r="H6274">
        <f>IF(DATOS!$G6274&lt;&gt;"EX",0,--(COUNTIFS(nNIA,DATOS!$A6274,nCURSO,DATOS!$D6274,nESPEC,DATOS!$E6274,nASIG,DATOS!$I6274,nEVAL,"OR")=0))</f>
      </c>
      <c r="I6274">
        <f>IF(DATOS!$I6274="","",IFERROR(VLOOKUP(DATOS!$I6274,CONFIG_ASIGNATURAS!$B$2:$J$91,9,FALSE()),""))</f>
      </c>
    </row>
    <row r="6275">
      <c r="F6275">
        <f>IF(DATOS!$A6275="","",DATOS!$A6275&amp;"|"&amp;DATOS!$D6275&amp;"|"&amp;DATOS!$E6275&amp;"|"&amp;DATOS!$I6275)</f>
      </c>
      <c r="G6275">
        <f>IF(DATOS!$A6275="",0,IF(CONFIG_METADATA!$B$4&lt;&gt;"OR+EX",--(DATOS!$G6275=CONFIG_METADATA!$B$4),IF(DATOS!$G6275="EX",1,IF(DATOS!$G6275="OR",--(COUNTIFS(nNIA,DATOS!$A6275,nCURSO,DATOS!$D6275,nESPEC,DATOS!$E6275,nASIG,DATOS!$I6275,nEVAL,"EX")=0),0))))</f>
      </c>
      <c r="H6275">
        <f>IF(DATOS!$G6275&lt;&gt;"EX",0,--(COUNTIFS(nNIA,DATOS!$A6275,nCURSO,DATOS!$D6275,nESPEC,DATOS!$E6275,nASIG,DATOS!$I6275,nEVAL,"OR")=0))</f>
      </c>
      <c r="I6275">
        <f>IF(DATOS!$I6275="","",IFERROR(VLOOKUP(DATOS!$I6275,CONFIG_ASIGNATURAS!$B$2:$J$91,9,FALSE()),""))</f>
      </c>
    </row>
    <row r="6276">
      <c r="F6276">
        <f>IF(DATOS!$A6276="","",DATOS!$A6276&amp;"|"&amp;DATOS!$D6276&amp;"|"&amp;DATOS!$E6276&amp;"|"&amp;DATOS!$I6276)</f>
      </c>
      <c r="G6276">
        <f>IF(DATOS!$A6276="",0,IF(CONFIG_METADATA!$B$4&lt;&gt;"OR+EX",--(DATOS!$G6276=CONFIG_METADATA!$B$4),IF(DATOS!$G6276="EX",1,IF(DATOS!$G6276="OR",--(COUNTIFS(nNIA,DATOS!$A6276,nCURSO,DATOS!$D6276,nESPEC,DATOS!$E6276,nASIG,DATOS!$I6276,nEVAL,"EX")=0),0))))</f>
      </c>
      <c r="H6276">
        <f>IF(DATOS!$G6276&lt;&gt;"EX",0,--(COUNTIFS(nNIA,DATOS!$A6276,nCURSO,DATOS!$D6276,nESPEC,DATOS!$E6276,nASIG,DATOS!$I6276,nEVAL,"OR")=0))</f>
      </c>
      <c r="I6276">
        <f>IF(DATOS!$I6276="","",IFERROR(VLOOKUP(DATOS!$I6276,CONFIG_ASIGNATURAS!$B$2:$J$91,9,FALSE()),""))</f>
      </c>
    </row>
    <row r="6277">
      <c r="F6277">
        <f>IF(DATOS!$A6277="","",DATOS!$A6277&amp;"|"&amp;DATOS!$D6277&amp;"|"&amp;DATOS!$E6277&amp;"|"&amp;DATOS!$I6277)</f>
      </c>
      <c r="G6277">
        <f>IF(DATOS!$A6277="",0,IF(CONFIG_METADATA!$B$4&lt;&gt;"OR+EX",--(DATOS!$G6277=CONFIG_METADATA!$B$4),IF(DATOS!$G6277="EX",1,IF(DATOS!$G6277="OR",--(COUNTIFS(nNIA,DATOS!$A6277,nCURSO,DATOS!$D6277,nESPEC,DATOS!$E6277,nASIG,DATOS!$I6277,nEVAL,"EX")=0),0))))</f>
      </c>
      <c r="H6277">
        <f>IF(DATOS!$G6277&lt;&gt;"EX",0,--(COUNTIFS(nNIA,DATOS!$A6277,nCURSO,DATOS!$D6277,nESPEC,DATOS!$E6277,nASIG,DATOS!$I6277,nEVAL,"OR")=0))</f>
      </c>
      <c r="I6277">
        <f>IF(DATOS!$I6277="","",IFERROR(VLOOKUP(DATOS!$I6277,CONFIG_ASIGNATURAS!$B$2:$J$91,9,FALSE()),""))</f>
      </c>
    </row>
    <row r="6278">
      <c r="F6278">
        <f>IF(DATOS!$A6278="","",DATOS!$A6278&amp;"|"&amp;DATOS!$D6278&amp;"|"&amp;DATOS!$E6278&amp;"|"&amp;DATOS!$I6278)</f>
      </c>
      <c r="G6278">
        <f>IF(DATOS!$A6278="",0,IF(CONFIG_METADATA!$B$4&lt;&gt;"OR+EX",--(DATOS!$G6278=CONFIG_METADATA!$B$4),IF(DATOS!$G6278="EX",1,IF(DATOS!$G6278="OR",--(COUNTIFS(nNIA,DATOS!$A6278,nCURSO,DATOS!$D6278,nESPEC,DATOS!$E6278,nASIG,DATOS!$I6278,nEVAL,"EX")=0),0))))</f>
      </c>
      <c r="H6278">
        <f>IF(DATOS!$G6278&lt;&gt;"EX",0,--(COUNTIFS(nNIA,DATOS!$A6278,nCURSO,DATOS!$D6278,nESPEC,DATOS!$E6278,nASIG,DATOS!$I6278,nEVAL,"OR")=0))</f>
      </c>
      <c r="I6278">
        <f>IF(DATOS!$I6278="","",IFERROR(VLOOKUP(DATOS!$I6278,CONFIG_ASIGNATURAS!$B$2:$J$91,9,FALSE()),""))</f>
      </c>
    </row>
    <row r="6279">
      <c r="F6279">
        <f>IF(DATOS!$A6279="","",DATOS!$A6279&amp;"|"&amp;DATOS!$D6279&amp;"|"&amp;DATOS!$E6279&amp;"|"&amp;DATOS!$I6279)</f>
      </c>
      <c r="G6279">
        <f>IF(DATOS!$A6279="",0,IF(CONFIG_METADATA!$B$4&lt;&gt;"OR+EX",--(DATOS!$G6279=CONFIG_METADATA!$B$4),IF(DATOS!$G6279="EX",1,IF(DATOS!$G6279="OR",--(COUNTIFS(nNIA,DATOS!$A6279,nCURSO,DATOS!$D6279,nESPEC,DATOS!$E6279,nASIG,DATOS!$I6279,nEVAL,"EX")=0),0))))</f>
      </c>
      <c r="H6279">
        <f>IF(DATOS!$G6279&lt;&gt;"EX",0,--(COUNTIFS(nNIA,DATOS!$A6279,nCURSO,DATOS!$D6279,nESPEC,DATOS!$E6279,nASIG,DATOS!$I6279,nEVAL,"OR")=0))</f>
      </c>
      <c r="I6279">
        <f>IF(DATOS!$I6279="","",IFERROR(VLOOKUP(DATOS!$I6279,CONFIG_ASIGNATURAS!$B$2:$J$91,9,FALSE()),""))</f>
      </c>
    </row>
    <row r="6280">
      <c r="F6280">
        <f>IF(DATOS!$A6280="","",DATOS!$A6280&amp;"|"&amp;DATOS!$D6280&amp;"|"&amp;DATOS!$E6280&amp;"|"&amp;DATOS!$I6280)</f>
      </c>
      <c r="G6280">
        <f>IF(DATOS!$A6280="",0,IF(CONFIG_METADATA!$B$4&lt;&gt;"OR+EX",--(DATOS!$G6280=CONFIG_METADATA!$B$4),IF(DATOS!$G6280="EX",1,IF(DATOS!$G6280="OR",--(COUNTIFS(nNIA,DATOS!$A6280,nCURSO,DATOS!$D6280,nESPEC,DATOS!$E6280,nASIG,DATOS!$I6280,nEVAL,"EX")=0),0))))</f>
      </c>
      <c r="H6280">
        <f>IF(DATOS!$G6280&lt;&gt;"EX",0,--(COUNTIFS(nNIA,DATOS!$A6280,nCURSO,DATOS!$D6280,nESPEC,DATOS!$E6280,nASIG,DATOS!$I6280,nEVAL,"OR")=0))</f>
      </c>
      <c r="I6280">
        <f>IF(DATOS!$I6280="","",IFERROR(VLOOKUP(DATOS!$I6280,CONFIG_ASIGNATURAS!$B$2:$J$91,9,FALSE()),""))</f>
      </c>
    </row>
    <row r="6281">
      <c r="F6281">
        <f>IF(DATOS!$A6281="","",DATOS!$A6281&amp;"|"&amp;DATOS!$D6281&amp;"|"&amp;DATOS!$E6281&amp;"|"&amp;DATOS!$I6281)</f>
      </c>
      <c r="G6281">
        <f>IF(DATOS!$A6281="",0,IF(CONFIG_METADATA!$B$4&lt;&gt;"OR+EX",--(DATOS!$G6281=CONFIG_METADATA!$B$4),IF(DATOS!$G6281="EX",1,IF(DATOS!$G6281="OR",--(COUNTIFS(nNIA,DATOS!$A6281,nCURSO,DATOS!$D6281,nESPEC,DATOS!$E6281,nASIG,DATOS!$I6281,nEVAL,"EX")=0),0))))</f>
      </c>
      <c r="H6281">
        <f>IF(DATOS!$G6281&lt;&gt;"EX",0,--(COUNTIFS(nNIA,DATOS!$A6281,nCURSO,DATOS!$D6281,nESPEC,DATOS!$E6281,nASIG,DATOS!$I6281,nEVAL,"OR")=0))</f>
      </c>
      <c r="I6281">
        <f>IF(DATOS!$I6281="","",IFERROR(VLOOKUP(DATOS!$I6281,CONFIG_ASIGNATURAS!$B$2:$J$91,9,FALSE()),""))</f>
      </c>
    </row>
    <row r="6282">
      <c r="F6282">
        <f>IF(DATOS!$A6282="","",DATOS!$A6282&amp;"|"&amp;DATOS!$D6282&amp;"|"&amp;DATOS!$E6282&amp;"|"&amp;DATOS!$I6282)</f>
      </c>
      <c r="G6282">
        <f>IF(DATOS!$A6282="",0,IF(CONFIG_METADATA!$B$4&lt;&gt;"OR+EX",--(DATOS!$G6282=CONFIG_METADATA!$B$4),IF(DATOS!$G6282="EX",1,IF(DATOS!$G6282="OR",--(COUNTIFS(nNIA,DATOS!$A6282,nCURSO,DATOS!$D6282,nESPEC,DATOS!$E6282,nASIG,DATOS!$I6282,nEVAL,"EX")=0),0))))</f>
      </c>
      <c r="H6282">
        <f>IF(DATOS!$G6282&lt;&gt;"EX",0,--(COUNTIFS(nNIA,DATOS!$A6282,nCURSO,DATOS!$D6282,nESPEC,DATOS!$E6282,nASIG,DATOS!$I6282,nEVAL,"OR")=0))</f>
      </c>
      <c r="I6282">
        <f>IF(DATOS!$I6282="","",IFERROR(VLOOKUP(DATOS!$I6282,CONFIG_ASIGNATURAS!$B$2:$J$91,9,FALSE()),""))</f>
      </c>
    </row>
    <row r="6283">
      <c r="F6283">
        <f>IF(DATOS!$A6283="","",DATOS!$A6283&amp;"|"&amp;DATOS!$D6283&amp;"|"&amp;DATOS!$E6283&amp;"|"&amp;DATOS!$I6283)</f>
      </c>
      <c r="G6283">
        <f>IF(DATOS!$A6283="",0,IF(CONFIG_METADATA!$B$4&lt;&gt;"OR+EX",--(DATOS!$G6283=CONFIG_METADATA!$B$4),IF(DATOS!$G6283="EX",1,IF(DATOS!$G6283="OR",--(COUNTIFS(nNIA,DATOS!$A6283,nCURSO,DATOS!$D6283,nESPEC,DATOS!$E6283,nASIG,DATOS!$I6283,nEVAL,"EX")=0),0))))</f>
      </c>
      <c r="H6283">
        <f>IF(DATOS!$G6283&lt;&gt;"EX",0,--(COUNTIFS(nNIA,DATOS!$A6283,nCURSO,DATOS!$D6283,nESPEC,DATOS!$E6283,nASIG,DATOS!$I6283,nEVAL,"OR")=0))</f>
      </c>
      <c r="I6283">
        <f>IF(DATOS!$I6283="","",IFERROR(VLOOKUP(DATOS!$I6283,CONFIG_ASIGNATURAS!$B$2:$J$91,9,FALSE()),""))</f>
      </c>
    </row>
    <row r="6284">
      <c r="F6284">
        <f>IF(DATOS!$A6284="","",DATOS!$A6284&amp;"|"&amp;DATOS!$D6284&amp;"|"&amp;DATOS!$E6284&amp;"|"&amp;DATOS!$I6284)</f>
      </c>
      <c r="G6284">
        <f>IF(DATOS!$A6284="",0,IF(CONFIG_METADATA!$B$4&lt;&gt;"OR+EX",--(DATOS!$G6284=CONFIG_METADATA!$B$4),IF(DATOS!$G6284="EX",1,IF(DATOS!$G6284="OR",--(COUNTIFS(nNIA,DATOS!$A6284,nCURSO,DATOS!$D6284,nESPEC,DATOS!$E6284,nASIG,DATOS!$I6284,nEVAL,"EX")=0),0))))</f>
      </c>
      <c r="H6284">
        <f>IF(DATOS!$G6284&lt;&gt;"EX",0,--(COUNTIFS(nNIA,DATOS!$A6284,nCURSO,DATOS!$D6284,nESPEC,DATOS!$E6284,nASIG,DATOS!$I6284,nEVAL,"OR")=0))</f>
      </c>
      <c r="I6284">
        <f>IF(DATOS!$I6284="","",IFERROR(VLOOKUP(DATOS!$I6284,CONFIG_ASIGNATURAS!$B$2:$J$91,9,FALSE()),""))</f>
      </c>
    </row>
    <row r="6285">
      <c r="F6285">
        <f>IF(DATOS!$A6285="","",DATOS!$A6285&amp;"|"&amp;DATOS!$D6285&amp;"|"&amp;DATOS!$E6285&amp;"|"&amp;DATOS!$I6285)</f>
      </c>
      <c r="G6285">
        <f>IF(DATOS!$A6285="",0,IF(CONFIG_METADATA!$B$4&lt;&gt;"OR+EX",--(DATOS!$G6285=CONFIG_METADATA!$B$4),IF(DATOS!$G6285="EX",1,IF(DATOS!$G6285="OR",--(COUNTIFS(nNIA,DATOS!$A6285,nCURSO,DATOS!$D6285,nESPEC,DATOS!$E6285,nASIG,DATOS!$I6285,nEVAL,"EX")=0),0))))</f>
      </c>
      <c r="H6285">
        <f>IF(DATOS!$G6285&lt;&gt;"EX",0,--(COUNTIFS(nNIA,DATOS!$A6285,nCURSO,DATOS!$D6285,nESPEC,DATOS!$E6285,nASIG,DATOS!$I6285,nEVAL,"OR")=0))</f>
      </c>
      <c r="I6285">
        <f>IF(DATOS!$I6285="","",IFERROR(VLOOKUP(DATOS!$I6285,CONFIG_ASIGNATURAS!$B$2:$J$91,9,FALSE()),""))</f>
      </c>
    </row>
    <row r="6286">
      <c r="F6286">
        <f>IF(DATOS!$A6286="","",DATOS!$A6286&amp;"|"&amp;DATOS!$D6286&amp;"|"&amp;DATOS!$E6286&amp;"|"&amp;DATOS!$I6286)</f>
      </c>
      <c r="G6286">
        <f>IF(DATOS!$A6286="",0,IF(CONFIG_METADATA!$B$4&lt;&gt;"OR+EX",--(DATOS!$G6286=CONFIG_METADATA!$B$4),IF(DATOS!$G6286="EX",1,IF(DATOS!$G6286="OR",--(COUNTIFS(nNIA,DATOS!$A6286,nCURSO,DATOS!$D6286,nESPEC,DATOS!$E6286,nASIG,DATOS!$I6286,nEVAL,"EX")=0),0))))</f>
      </c>
      <c r="H6286">
        <f>IF(DATOS!$G6286&lt;&gt;"EX",0,--(COUNTIFS(nNIA,DATOS!$A6286,nCURSO,DATOS!$D6286,nESPEC,DATOS!$E6286,nASIG,DATOS!$I6286,nEVAL,"OR")=0))</f>
      </c>
      <c r="I6286">
        <f>IF(DATOS!$I6286="","",IFERROR(VLOOKUP(DATOS!$I6286,CONFIG_ASIGNATURAS!$B$2:$J$91,9,FALSE()),""))</f>
      </c>
    </row>
    <row r="6287">
      <c r="F6287">
        <f>IF(DATOS!$A6287="","",DATOS!$A6287&amp;"|"&amp;DATOS!$D6287&amp;"|"&amp;DATOS!$E6287&amp;"|"&amp;DATOS!$I6287)</f>
      </c>
      <c r="G6287">
        <f>IF(DATOS!$A6287="",0,IF(CONFIG_METADATA!$B$4&lt;&gt;"OR+EX",--(DATOS!$G6287=CONFIG_METADATA!$B$4),IF(DATOS!$G6287="EX",1,IF(DATOS!$G6287="OR",--(COUNTIFS(nNIA,DATOS!$A6287,nCURSO,DATOS!$D6287,nESPEC,DATOS!$E6287,nASIG,DATOS!$I6287,nEVAL,"EX")=0),0))))</f>
      </c>
      <c r="H6287">
        <f>IF(DATOS!$G6287&lt;&gt;"EX",0,--(COUNTIFS(nNIA,DATOS!$A6287,nCURSO,DATOS!$D6287,nESPEC,DATOS!$E6287,nASIG,DATOS!$I6287,nEVAL,"OR")=0))</f>
      </c>
      <c r="I6287">
        <f>IF(DATOS!$I6287="","",IFERROR(VLOOKUP(DATOS!$I6287,CONFIG_ASIGNATURAS!$B$2:$J$91,9,FALSE()),""))</f>
      </c>
    </row>
    <row r="6288">
      <c r="F6288">
        <f>IF(DATOS!$A6288="","",DATOS!$A6288&amp;"|"&amp;DATOS!$D6288&amp;"|"&amp;DATOS!$E6288&amp;"|"&amp;DATOS!$I6288)</f>
      </c>
      <c r="G6288">
        <f>IF(DATOS!$A6288="",0,IF(CONFIG_METADATA!$B$4&lt;&gt;"OR+EX",--(DATOS!$G6288=CONFIG_METADATA!$B$4),IF(DATOS!$G6288="EX",1,IF(DATOS!$G6288="OR",--(COUNTIFS(nNIA,DATOS!$A6288,nCURSO,DATOS!$D6288,nESPEC,DATOS!$E6288,nASIG,DATOS!$I6288,nEVAL,"EX")=0),0))))</f>
      </c>
      <c r="H6288">
        <f>IF(DATOS!$G6288&lt;&gt;"EX",0,--(COUNTIFS(nNIA,DATOS!$A6288,nCURSO,DATOS!$D6288,nESPEC,DATOS!$E6288,nASIG,DATOS!$I6288,nEVAL,"OR")=0))</f>
      </c>
      <c r="I6288">
        <f>IF(DATOS!$I6288="","",IFERROR(VLOOKUP(DATOS!$I6288,CONFIG_ASIGNATURAS!$B$2:$J$91,9,FALSE()),""))</f>
      </c>
    </row>
    <row r="6289">
      <c r="F6289">
        <f>IF(DATOS!$A6289="","",DATOS!$A6289&amp;"|"&amp;DATOS!$D6289&amp;"|"&amp;DATOS!$E6289&amp;"|"&amp;DATOS!$I6289)</f>
      </c>
      <c r="G6289">
        <f>IF(DATOS!$A6289="",0,IF(CONFIG_METADATA!$B$4&lt;&gt;"OR+EX",--(DATOS!$G6289=CONFIG_METADATA!$B$4),IF(DATOS!$G6289="EX",1,IF(DATOS!$G6289="OR",--(COUNTIFS(nNIA,DATOS!$A6289,nCURSO,DATOS!$D6289,nESPEC,DATOS!$E6289,nASIG,DATOS!$I6289,nEVAL,"EX")=0),0))))</f>
      </c>
      <c r="H6289">
        <f>IF(DATOS!$G6289&lt;&gt;"EX",0,--(COUNTIFS(nNIA,DATOS!$A6289,nCURSO,DATOS!$D6289,nESPEC,DATOS!$E6289,nASIG,DATOS!$I6289,nEVAL,"OR")=0))</f>
      </c>
      <c r="I6289">
        <f>IF(DATOS!$I6289="","",IFERROR(VLOOKUP(DATOS!$I6289,CONFIG_ASIGNATURAS!$B$2:$J$91,9,FALSE()),""))</f>
      </c>
    </row>
    <row r="6290">
      <c r="F6290">
        <f>IF(DATOS!$A6290="","",DATOS!$A6290&amp;"|"&amp;DATOS!$D6290&amp;"|"&amp;DATOS!$E6290&amp;"|"&amp;DATOS!$I6290)</f>
      </c>
      <c r="G6290">
        <f>IF(DATOS!$A6290="",0,IF(CONFIG_METADATA!$B$4&lt;&gt;"OR+EX",--(DATOS!$G6290=CONFIG_METADATA!$B$4),IF(DATOS!$G6290="EX",1,IF(DATOS!$G6290="OR",--(COUNTIFS(nNIA,DATOS!$A6290,nCURSO,DATOS!$D6290,nESPEC,DATOS!$E6290,nASIG,DATOS!$I6290,nEVAL,"EX")=0),0))))</f>
      </c>
      <c r="H6290">
        <f>IF(DATOS!$G6290&lt;&gt;"EX",0,--(COUNTIFS(nNIA,DATOS!$A6290,nCURSO,DATOS!$D6290,nESPEC,DATOS!$E6290,nASIG,DATOS!$I6290,nEVAL,"OR")=0))</f>
      </c>
      <c r="I6290">
        <f>IF(DATOS!$I6290="","",IFERROR(VLOOKUP(DATOS!$I6290,CONFIG_ASIGNATURAS!$B$2:$J$91,9,FALSE()),""))</f>
      </c>
    </row>
    <row r="6291">
      <c r="F6291">
        <f>IF(DATOS!$A6291="","",DATOS!$A6291&amp;"|"&amp;DATOS!$D6291&amp;"|"&amp;DATOS!$E6291&amp;"|"&amp;DATOS!$I6291)</f>
      </c>
      <c r="G6291">
        <f>IF(DATOS!$A6291="",0,IF(CONFIG_METADATA!$B$4&lt;&gt;"OR+EX",--(DATOS!$G6291=CONFIG_METADATA!$B$4),IF(DATOS!$G6291="EX",1,IF(DATOS!$G6291="OR",--(COUNTIFS(nNIA,DATOS!$A6291,nCURSO,DATOS!$D6291,nESPEC,DATOS!$E6291,nASIG,DATOS!$I6291,nEVAL,"EX")=0),0))))</f>
      </c>
      <c r="H6291">
        <f>IF(DATOS!$G6291&lt;&gt;"EX",0,--(COUNTIFS(nNIA,DATOS!$A6291,nCURSO,DATOS!$D6291,nESPEC,DATOS!$E6291,nASIG,DATOS!$I6291,nEVAL,"OR")=0))</f>
      </c>
      <c r="I6291">
        <f>IF(DATOS!$I6291="","",IFERROR(VLOOKUP(DATOS!$I6291,CONFIG_ASIGNATURAS!$B$2:$J$91,9,FALSE()),""))</f>
      </c>
    </row>
    <row r="6292">
      <c r="F6292">
        <f>IF(DATOS!$A6292="","",DATOS!$A6292&amp;"|"&amp;DATOS!$D6292&amp;"|"&amp;DATOS!$E6292&amp;"|"&amp;DATOS!$I6292)</f>
      </c>
      <c r="G6292">
        <f>IF(DATOS!$A6292="",0,IF(CONFIG_METADATA!$B$4&lt;&gt;"OR+EX",--(DATOS!$G6292=CONFIG_METADATA!$B$4),IF(DATOS!$G6292="EX",1,IF(DATOS!$G6292="OR",--(COUNTIFS(nNIA,DATOS!$A6292,nCURSO,DATOS!$D6292,nESPEC,DATOS!$E6292,nASIG,DATOS!$I6292,nEVAL,"EX")=0),0))))</f>
      </c>
      <c r="H6292">
        <f>IF(DATOS!$G6292&lt;&gt;"EX",0,--(COUNTIFS(nNIA,DATOS!$A6292,nCURSO,DATOS!$D6292,nESPEC,DATOS!$E6292,nASIG,DATOS!$I6292,nEVAL,"OR")=0))</f>
      </c>
      <c r="I6292">
        <f>IF(DATOS!$I6292="","",IFERROR(VLOOKUP(DATOS!$I6292,CONFIG_ASIGNATURAS!$B$2:$J$91,9,FALSE()),""))</f>
      </c>
    </row>
    <row r="6293">
      <c r="F6293">
        <f>IF(DATOS!$A6293="","",DATOS!$A6293&amp;"|"&amp;DATOS!$D6293&amp;"|"&amp;DATOS!$E6293&amp;"|"&amp;DATOS!$I6293)</f>
      </c>
      <c r="G6293">
        <f>IF(DATOS!$A6293="",0,IF(CONFIG_METADATA!$B$4&lt;&gt;"OR+EX",--(DATOS!$G6293=CONFIG_METADATA!$B$4),IF(DATOS!$G6293="EX",1,IF(DATOS!$G6293="OR",--(COUNTIFS(nNIA,DATOS!$A6293,nCURSO,DATOS!$D6293,nESPEC,DATOS!$E6293,nASIG,DATOS!$I6293,nEVAL,"EX")=0),0))))</f>
      </c>
      <c r="H6293">
        <f>IF(DATOS!$G6293&lt;&gt;"EX",0,--(COUNTIFS(nNIA,DATOS!$A6293,nCURSO,DATOS!$D6293,nESPEC,DATOS!$E6293,nASIG,DATOS!$I6293,nEVAL,"OR")=0))</f>
      </c>
      <c r="I6293">
        <f>IF(DATOS!$I6293="","",IFERROR(VLOOKUP(DATOS!$I6293,CONFIG_ASIGNATURAS!$B$2:$J$91,9,FALSE()),""))</f>
      </c>
    </row>
    <row r="6294">
      <c r="F6294">
        <f>IF(DATOS!$A6294="","",DATOS!$A6294&amp;"|"&amp;DATOS!$D6294&amp;"|"&amp;DATOS!$E6294&amp;"|"&amp;DATOS!$I6294)</f>
      </c>
      <c r="G6294">
        <f>IF(DATOS!$A6294="",0,IF(CONFIG_METADATA!$B$4&lt;&gt;"OR+EX",--(DATOS!$G6294=CONFIG_METADATA!$B$4),IF(DATOS!$G6294="EX",1,IF(DATOS!$G6294="OR",--(COUNTIFS(nNIA,DATOS!$A6294,nCURSO,DATOS!$D6294,nESPEC,DATOS!$E6294,nASIG,DATOS!$I6294,nEVAL,"EX")=0),0))))</f>
      </c>
      <c r="H6294">
        <f>IF(DATOS!$G6294&lt;&gt;"EX",0,--(COUNTIFS(nNIA,DATOS!$A6294,nCURSO,DATOS!$D6294,nESPEC,DATOS!$E6294,nASIG,DATOS!$I6294,nEVAL,"OR")=0))</f>
      </c>
      <c r="I6294">
        <f>IF(DATOS!$I6294="","",IFERROR(VLOOKUP(DATOS!$I6294,CONFIG_ASIGNATURAS!$B$2:$J$91,9,FALSE()),""))</f>
      </c>
    </row>
    <row r="6295">
      <c r="F6295">
        <f>IF(DATOS!$A6295="","",DATOS!$A6295&amp;"|"&amp;DATOS!$D6295&amp;"|"&amp;DATOS!$E6295&amp;"|"&amp;DATOS!$I6295)</f>
      </c>
      <c r="G6295">
        <f>IF(DATOS!$A6295="",0,IF(CONFIG_METADATA!$B$4&lt;&gt;"OR+EX",--(DATOS!$G6295=CONFIG_METADATA!$B$4),IF(DATOS!$G6295="EX",1,IF(DATOS!$G6295="OR",--(COUNTIFS(nNIA,DATOS!$A6295,nCURSO,DATOS!$D6295,nESPEC,DATOS!$E6295,nASIG,DATOS!$I6295,nEVAL,"EX")=0),0))))</f>
      </c>
      <c r="H6295">
        <f>IF(DATOS!$G6295&lt;&gt;"EX",0,--(COUNTIFS(nNIA,DATOS!$A6295,nCURSO,DATOS!$D6295,nESPEC,DATOS!$E6295,nASIG,DATOS!$I6295,nEVAL,"OR")=0))</f>
      </c>
      <c r="I6295">
        <f>IF(DATOS!$I6295="","",IFERROR(VLOOKUP(DATOS!$I6295,CONFIG_ASIGNATURAS!$B$2:$J$91,9,FALSE()),""))</f>
      </c>
    </row>
    <row r="6296">
      <c r="F6296">
        <f>IF(DATOS!$A6296="","",DATOS!$A6296&amp;"|"&amp;DATOS!$D6296&amp;"|"&amp;DATOS!$E6296&amp;"|"&amp;DATOS!$I6296)</f>
      </c>
      <c r="G6296">
        <f>IF(DATOS!$A6296="",0,IF(CONFIG_METADATA!$B$4&lt;&gt;"OR+EX",--(DATOS!$G6296=CONFIG_METADATA!$B$4),IF(DATOS!$G6296="EX",1,IF(DATOS!$G6296="OR",--(COUNTIFS(nNIA,DATOS!$A6296,nCURSO,DATOS!$D6296,nESPEC,DATOS!$E6296,nASIG,DATOS!$I6296,nEVAL,"EX")=0),0))))</f>
      </c>
      <c r="H6296">
        <f>IF(DATOS!$G6296&lt;&gt;"EX",0,--(COUNTIFS(nNIA,DATOS!$A6296,nCURSO,DATOS!$D6296,nESPEC,DATOS!$E6296,nASIG,DATOS!$I6296,nEVAL,"OR")=0))</f>
      </c>
      <c r="I6296">
        <f>IF(DATOS!$I6296="","",IFERROR(VLOOKUP(DATOS!$I6296,CONFIG_ASIGNATURAS!$B$2:$J$91,9,FALSE()),""))</f>
      </c>
    </row>
    <row r="6297">
      <c r="F6297">
        <f>IF(DATOS!$A6297="","",DATOS!$A6297&amp;"|"&amp;DATOS!$D6297&amp;"|"&amp;DATOS!$E6297&amp;"|"&amp;DATOS!$I6297)</f>
      </c>
      <c r="G6297">
        <f>IF(DATOS!$A6297="",0,IF(CONFIG_METADATA!$B$4&lt;&gt;"OR+EX",--(DATOS!$G6297=CONFIG_METADATA!$B$4),IF(DATOS!$G6297="EX",1,IF(DATOS!$G6297="OR",--(COUNTIFS(nNIA,DATOS!$A6297,nCURSO,DATOS!$D6297,nESPEC,DATOS!$E6297,nASIG,DATOS!$I6297,nEVAL,"EX")=0),0))))</f>
      </c>
      <c r="H6297">
        <f>IF(DATOS!$G6297&lt;&gt;"EX",0,--(COUNTIFS(nNIA,DATOS!$A6297,nCURSO,DATOS!$D6297,nESPEC,DATOS!$E6297,nASIG,DATOS!$I6297,nEVAL,"OR")=0))</f>
      </c>
      <c r="I6297">
        <f>IF(DATOS!$I6297="","",IFERROR(VLOOKUP(DATOS!$I6297,CONFIG_ASIGNATURAS!$B$2:$J$91,9,FALSE()),""))</f>
      </c>
    </row>
    <row r="6298">
      <c r="F6298">
        <f>IF(DATOS!$A6298="","",DATOS!$A6298&amp;"|"&amp;DATOS!$D6298&amp;"|"&amp;DATOS!$E6298&amp;"|"&amp;DATOS!$I6298)</f>
      </c>
      <c r="G6298">
        <f>IF(DATOS!$A6298="",0,IF(CONFIG_METADATA!$B$4&lt;&gt;"OR+EX",--(DATOS!$G6298=CONFIG_METADATA!$B$4),IF(DATOS!$G6298="EX",1,IF(DATOS!$G6298="OR",--(COUNTIFS(nNIA,DATOS!$A6298,nCURSO,DATOS!$D6298,nESPEC,DATOS!$E6298,nASIG,DATOS!$I6298,nEVAL,"EX")=0),0))))</f>
      </c>
      <c r="H6298">
        <f>IF(DATOS!$G6298&lt;&gt;"EX",0,--(COUNTIFS(nNIA,DATOS!$A6298,nCURSO,DATOS!$D6298,nESPEC,DATOS!$E6298,nASIG,DATOS!$I6298,nEVAL,"OR")=0))</f>
      </c>
      <c r="I6298">
        <f>IF(DATOS!$I6298="","",IFERROR(VLOOKUP(DATOS!$I6298,CONFIG_ASIGNATURAS!$B$2:$J$91,9,FALSE()),""))</f>
      </c>
    </row>
    <row r="6299">
      <c r="F6299">
        <f>IF(DATOS!$A6299="","",DATOS!$A6299&amp;"|"&amp;DATOS!$D6299&amp;"|"&amp;DATOS!$E6299&amp;"|"&amp;DATOS!$I6299)</f>
      </c>
      <c r="G6299">
        <f>IF(DATOS!$A6299="",0,IF(CONFIG_METADATA!$B$4&lt;&gt;"OR+EX",--(DATOS!$G6299=CONFIG_METADATA!$B$4),IF(DATOS!$G6299="EX",1,IF(DATOS!$G6299="OR",--(COUNTIFS(nNIA,DATOS!$A6299,nCURSO,DATOS!$D6299,nESPEC,DATOS!$E6299,nASIG,DATOS!$I6299,nEVAL,"EX")=0),0))))</f>
      </c>
      <c r="H6299">
        <f>IF(DATOS!$G6299&lt;&gt;"EX",0,--(COUNTIFS(nNIA,DATOS!$A6299,nCURSO,DATOS!$D6299,nESPEC,DATOS!$E6299,nASIG,DATOS!$I6299,nEVAL,"OR")=0))</f>
      </c>
      <c r="I6299">
        <f>IF(DATOS!$I6299="","",IFERROR(VLOOKUP(DATOS!$I6299,CONFIG_ASIGNATURAS!$B$2:$J$91,9,FALSE()),""))</f>
      </c>
    </row>
    <row r="6300">
      <c r="F6300">
        <f>IF(DATOS!$A6300="","",DATOS!$A6300&amp;"|"&amp;DATOS!$D6300&amp;"|"&amp;DATOS!$E6300&amp;"|"&amp;DATOS!$I6300)</f>
      </c>
      <c r="G6300">
        <f>IF(DATOS!$A6300="",0,IF(CONFIG_METADATA!$B$4&lt;&gt;"OR+EX",--(DATOS!$G6300=CONFIG_METADATA!$B$4),IF(DATOS!$G6300="EX",1,IF(DATOS!$G6300="OR",--(COUNTIFS(nNIA,DATOS!$A6300,nCURSO,DATOS!$D6300,nESPEC,DATOS!$E6300,nASIG,DATOS!$I6300,nEVAL,"EX")=0),0))))</f>
      </c>
      <c r="H6300">
        <f>IF(DATOS!$G6300&lt;&gt;"EX",0,--(COUNTIFS(nNIA,DATOS!$A6300,nCURSO,DATOS!$D6300,nESPEC,DATOS!$E6300,nASIG,DATOS!$I6300,nEVAL,"OR")=0))</f>
      </c>
      <c r="I6300">
        <f>IF(DATOS!$I6300="","",IFERROR(VLOOKUP(DATOS!$I6300,CONFIG_ASIGNATURAS!$B$2:$J$91,9,FALSE()),""))</f>
      </c>
    </row>
    <row r="6301">
      <c r="F6301">
        <f>IF(DATOS!$A6301="","",DATOS!$A6301&amp;"|"&amp;DATOS!$D6301&amp;"|"&amp;DATOS!$E6301&amp;"|"&amp;DATOS!$I6301)</f>
      </c>
      <c r="G6301">
        <f>IF(DATOS!$A6301="",0,IF(CONFIG_METADATA!$B$4&lt;&gt;"OR+EX",--(DATOS!$G6301=CONFIG_METADATA!$B$4),IF(DATOS!$G6301="EX",1,IF(DATOS!$G6301="OR",--(COUNTIFS(nNIA,DATOS!$A6301,nCURSO,DATOS!$D6301,nESPEC,DATOS!$E6301,nASIG,DATOS!$I6301,nEVAL,"EX")=0),0))))</f>
      </c>
      <c r="H6301">
        <f>IF(DATOS!$G6301&lt;&gt;"EX",0,--(COUNTIFS(nNIA,DATOS!$A6301,nCURSO,DATOS!$D6301,nESPEC,DATOS!$E6301,nASIG,DATOS!$I6301,nEVAL,"OR")=0))</f>
      </c>
      <c r="I6301">
        <f>IF(DATOS!$I6301="","",IFERROR(VLOOKUP(DATOS!$I6301,CONFIG_ASIGNATURAS!$B$2:$J$91,9,FALSE()),""))</f>
      </c>
    </row>
    <row r="6302">
      <c r="F6302">
        <f>IF(DATOS!$A6302="","",DATOS!$A6302&amp;"|"&amp;DATOS!$D6302&amp;"|"&amp;DATOS!$E6302&amp;"|"&amp;DATOS!$I6302)</f>
      </c>
      <c r="G6302">
        <f>IF(DATOS!$A6302="",0,IF(CONFIG_METADATA!$B$4&lt;&gt;"OR+EX",--(DATOS!$G6302=CONFIG_METADATA!$B$4),IF(DATOS!$G6302="EX",1,IF(DATOS!$G6302="OR",--(COUNTIFS(nNIA,DATOS!$A6302,nCURSO,DATOS!$D6302,nESPEC,DATOS!$E6302,nASIG,DATOS!$I6302,nEVAL,"EX")=0),0))))</f>
      </c>
      <c r="H6302">
        <f>IF(DATOS!$G6302&lt;&gt;"EX",0,--(COUNTIFS(nNIA,DATOS!$A6302,nCURSO,DATOS!$D6302,nESPEC,DATOS!$E6302,nASIG,DATOS!$I6302,nEVAL,"OR")=0))</f>
      </c>
      <c r="I6302">
        <f>IF(DATOS!$I6302="","",IFERROR(VLOOKUP(DATOS!$I6302,CONFIG_ASIGNATURAS!$B$2:$J$91,9,FALSE()),""))</f>
      </c>
    </row>
    <row r="6303">
      <c r="F6303">
        <f>IF(DATOS!$A6303="","",DATOS!$A6303&amp;"|"&amp;DATOS!$D6303&amp;"|"&amp;DATOS!$E6303&amp;"|"&amp;DATOS!$I6303)</f>
      </c>
      <c r="G6303">
        <f>IF(DATOS!$A6303="",0,IF(CONFIG_METADATA!$B$4&lt;&gt;"OR+EX",--(DATOS!$G6303=CONFIG_METADATA!$B$4),IF(DATOS!$G6303="EX",1,IF(DATOS!$G6303="OR",--(COUNTIFS(nNIA,DATOS!$A6303,nCURSO,DATOS!$D6303,nESPEC,DATOS!$E6303,nASIG,DATOS!$I6303,nEVAL,"EX")=0),0))))</f>
      </c>
      <c r="H6303">
        <f>IF(DATOS!$G6303&lt;&gt;"EX",0,--(COUNTIFS(nNIA,DATOS!$A6303,nCURSO,DATOS!$D6303,nESPEC,DATOS!$E6303,nASIG,DATOS!$I6303,nEVAL,"OR")=0))</f>
      </c>
      <c r="I6303">
        <f>IF(DATOS!$I6303="","",IFERROR(VLOOKUP(DATOS!$I6303,CONFIG_ASIGNATURAS!$B$2:$J$91,9,FALSE()),""))</f>
      </c>
    </row>
    <row r="6304">
      <c r="F6304">
        <f>IF(DATOS!$A6304="","",DATOS!$A6304&amp;"|"&amp;DATOS!$D6304&amp;"|"&amp;DATOS!$E6304&amp;"|"&amp;DATOS!$I6304)</f>
      </c>
      <c r="G6304">
        <f>IF(DATOS!$A6304="",0,IF(CONFIG_METADATA!$B$4&lt;&gt;"OR+EX",--(DATOS!$G6304=CONFIG_METADATA!$B$4),IF(DATOS!$G6304="EX",1,IF(DATOS!$G6304="OR",--(COUNTIFS(nNIA,DATOS!$A6304,nCURSO,DATOS!$D6304,nESPEC,DATOS!$E6304,nASIG,DATOS!$I6304,nEVAL,"EX")=0),0))))</f>
      </c>
      <c r="H6304">
        <f>IF(DATOS!$G6304&lt;&gt;"EX",0,--(COUNTIFS(nNIA,DATOS!$A6304,nCURSO,DATOS!$D6304,nESPEC,DATOS!$E6304,nASIG,DATOS!$I6304,nEVAL,"OR")=0))</f>
      </c>
      <c r="I6304">
        <f>IF(DATOS!$I6304="","",IFERROR(VLOOKUP(DATOS!$I6304,CONFIG_ASIGNATURAS!$B$2:$J$91,9,FALSE()),""))</f>
      </c>
    </row>
    <row r="6305">
      <c r="F6305">
        <f>IF(DATOS!$A6305="","",DATOS!$A6305&amp;"|"&amp;DATOS!$D6305&amp;"|"&amp;DATOS!$E6305&amp;"|"&amp;DATOS!$I6305)</f>
      </c>
      <c r="G6305">
        <f>IF(DATOS!$A6305="",0,IF(CONFIG_METADATA!$B$4&lt;&gt;"OR+EX",--(DATOS!$G6305=CONFIG_METADATA!$B$4),IF(DATOS!$G6305="EX",1,IF(DATOS!$G6305="OR",--(COUNTIFS(nNIA,DATOS!$A6305,nCURSO,DATOS!$D6305,nESPEC,DATOS!$E6305,nASIG,DATOS!$I6305,nEVAL,"EX")=0),0))))</f>
      </c>
      <c r="H6305">
        <f>IF(DATOS!$G6305&lt;&gt;"EX",0,--(COUNTIFS(nNIA,DATOS!$A6305,nCURSO,DATOS!$D6305,nESPEC,DATOS!$E6305,nASIG,DATOS!$I6305,nEVAL,"OR")=0))</f>
      </c>
      <c r="I6305">
        <f>IF(DATOS!$I6305="","",IFERROR(VLOOKUP(DATOS!$I6305,CONFIG_ASIGNATURAS!$B$2:$J$91,9,FALSE()),""))</f>
      </c>
    </row>
    <row r="6306">
      <c r="F6306">
        <f>IF(DATOS!$A6306="","",DATOS!$A6306&amp;"|"&amp;DATOS!$D6306&amp;"|"&amp;DATOS!$E6306&amp;"|"&amp;DATOS!$I6306)</f>
      </c>
      <c r="G6306">
        <f>IF(DATOS!$A6306="",0,IF(CONFIG_METADATA!$B$4&lt;&gt;"OR+EX",--(DATOS!$G6306=CONFIG_METADATA!$B$4),IF(DATOS!$G6306="EX",1,IF(DATOS!$G6306="OR",--(COUNTIFS(nNIA,DATOS!$A6306,nCURSO,DATOS!$D6306,nESPEC,DATOS!$E6306,nASIG,DATOS!$I6306,nEVAL,"EX")=0),0))))</f>
      </c>
      <c r="H6306">
        <f>IF(DATOS!$G6306&lt;&gt;"EX",0,--(COUNTIFS(nNIA,DATOS!$A6306,nCURSO,DATOS!$D6306,nESPEC,DATOS!$E6306,nASIG,DATOS!$I6306,nEVAL,"OR")=0))</f>
      </c>
      <c r="I6306">
        <f>IF(DATOS!$I6306="","",IFERROR(VLOOKUP(DATOS!$I6306,CONFIG_ASIGNATURAS!$B$2:$J$91,9,FALSE()),""))</f>
      </c>
    </row>
    <row r="6307">
      <c r="F6307">
        <f>IF(DATOS!$A6307="","",DATOS!$A6307&amp;"|"&amp;DATOS!$D6307&amp;"|"&amp;DATOS!$E6307&amp;"|"&amp;DATOS!$I6307)</f>
      </c>
      <c r="G6307">
        <f>IF(DATOS!$A6307="",0,IF(CONFIG_METADATA!$B$4&lt;&gt;"OR+EX",--(DATOS!$G6307=CONFIG_METADATA!$B$4),IF(DATOS!$G6307="EX",1,IF(DATOS!$G6307="OR",--(COUNTIFS(nNIA,DATOS!$A6307,nCURSO,DATOS!$D6307,nESPEC,DATOS!$E6307,nASIG,DATOS!$I6307,nEVAL,"EX")=0),0))))</f>
      </c>
      <c r="H6307">
        <f>IF(DATOS!$G6307&lt;&gt;"EX",0,--(COUNTIFS(nNIA,DATOS!$A6307,nCURSO,DATOS!$D6307,nESPEC,DATOS!$E6307,nASIG,DATOS!$I6307,nEVAL,"OR")=0))</f>
      </c>
      <c r="I6307">
        <f>IF(DATOS!$I6307="","",IFERROR(VLOOKUP(DATOS!$I6307,CONFIG_ASIGNATURAS!$B$2:$J$91,9,FALSE()),""))</f>
      </c>
    </row>
    <row r="6308">
      <c r="F6308">
        <f>IF(DATOS!$A6308="","",DATOS!$A6308&amp;"|"&amp;DATOS!$D6308&amp;"|"&amp;DATOS!$E6308&amp;"|"&amp;DATOS!$I6308)</f>
      </c>
      <c r="G6308">
        <f>IF(DATOS!$A6308="",0,IF(CONFIG_METADATA!$B$4&lt;&gt;"OR+EX",--(DATOS!$G6308=CONFIG_METADATA!$B$4),IF(DATOS!$G6308="EX",1,IF(DATOS!$G6308="OR",--(COUNTIFS(nNIA,DATOS!$A6308,nCURSO,DATOS!$D6308,nESPEC,DATOS!$E6308,nASIG,DATOS!$I6308,nEVAL,"EX")=0),0))))</f>
      </c>
      <c r="H6308">
        <f>IF(DATOS!$G6308&lt;&gt;"EX",0,--(COUNTIFS(nNIA,DATOS!$A6308,nCURSO,DATOS!$D6308,nESPEC,DATOS!$E6308,nASIG,DATOS!$I6308,nEVAL,"OR")=0))</f>
      </c>
      <c r="I6308">
        <f>IF(DATOS!$I6308="","",IFERROR(VLOOKUP(DATOS!$I6308,CONFIG_ASIGNATURAS!$B$2:$J$91,9,FALSE()),""))</f>
      </c>
    </row>
    <row r="6309">
      <c r="F6309">
        <f>IF(DATOS!$A6309="","",DATOS!$A6309&amp;"|"&amp;DATOS!$D6309&amp;"|"&amp;DATOS!$E6309&amp;"|"&amp;DATOS!$I6309)</f>
      </c>
      <c r="G6309">
        <f>IF(DATOS!$A6309="",0,IF(CONFIG_METADATA!$B$4&lt;&gt;"OR+EX",--(DATOS!$G6309=CONFIG_METADATA!$B$4),IF(DATOS!$G6309="EX",1,IF(DATOS!$G6309="OR",--(COUNTIFS(nNIA,DATOS!$A6309,nCURSO,DATOS!$D6309,nESPEC,DATOS!$E6309,nASIG,DATOS!$I6309,nEVAL,"EX")=0),0))))</f>
      </c>
      <c r="H6309">
        <f>IF(DATOS!$G6309&lt;&gt;"EX",0,--(COUNTIFS(nNIA,DATOS!$A6309,nCURSO,DATOS!$D6309,nESPEC,DATOS!$E6309,nASIG,DATOS!$I6309,nEVAL,"OR")=0))</f>
      </c>
      <c r="I6309">
        <f>IF(DATOS!$I6309="","",IFERROR(VLOOKUP(DATOS!$I6309,CONFIG_ASIGNATURAS!$B$2:$J$91,9,FALSE()),""))</f>
      </c>
    </row>
    <row r="6310">
      <c r="F6310">
        <f>IF(DATOS!$A6310="","",DATOS!$A6310&amp;"|"&amp;DATOS!$D6310&amp;"|"&amp;DATOS!$E6310&amp;"|"&amp;DATOS!$I6310)</f>
      </c>
      <c r="G6310">
        <f>IF(DATOS!$A6310="",0,IF(CONFIG_METADATA!$B$4&lt;&gt;"OR+EX",--(DATOS!$G6310=CONFIG_METADATA!$B$4),IF(DATOS!$G6310="EX",1,IF(DATOS!$G6310="OR",--(COUNTIFS(nNIA,DATOS!$A6310,nCURSO,DATOS!$D6310,nESPEC,DATOS!$E6310,nASIG,DATOS!$I6310,nEVAL,"EX")=0),0))))</f>
      </c>
      <c r="H6310">
        <f>IF(DATOS!$G6310&lt;&gt;"EX",0,--(COUNTIFS(nNIA,DATOS!$A6310,nCURSO,DATOS!$D6310,nESPEC,DATOS!$E6310,nASIG,DATOS!$I6310,nEVAL,"OR")=0))</f>
      </c>
      <c r="I6310">
        <f>IF(DATOS!$I6310="","",IFERROR(VLOOKUP(DATOS!$I6310,CONFIG_ASIGNATURAS!$B$2:$J$91,9,FALSE()),""))</f>
      </c>
    </row>
    <row r="6311">
      <c r="F6311">
        <f>IF(DATOS!$A6311="","",DATOS!$A6311&amp;"|"&amp;DATOS!$D6311&amp;"|"&amp;DATOS!$E6311&amp;"|"&amp;DATOS!$I6311)</f>
      </c>
      <c r="G6311">
        <f>IF(DATOS!$A6311="",0,IF(CONFIG_METADATA!$B$4&lt;&gt;"OR+EX",--(DATOS!$G6311=CONFIG_METADATA!$B$4),IF(DATOS!$G6311="EX",1,IF(DATOS!$G6311="OR",--(COUNTIFS(nNIA,DATOS!$A6311,nCURSO,DATOS!$D6311,nESPEC,DATOS!$E6311,nASIG,DATOS!$I6311,nEVAL,"EX")=0),0))))</f>
      </c>
      <c r="H6311">
        <f>IF(DATOS!$G6311&lt;&gt;"EX",0,--(COUNTIFS(nNIA,DATOS!$A6311,nCURSO,DATOS!$D6311,nESPEC,DATOS!$E6311,nASIG,DATOS!$I6311,nEVAL,"OR")=0))</f>
      </c>
      <c r="I6311">
        <f>IF(DATOS!$I6311="","",IFERROR(VLOOKUP(DATOS!$I6311,CONFIG_ASIGNATURAS!$B$2:$J$91,9,FALSE()),""))</f>
      </c>
    </row>
    <row r="6312">
      <c r="F6312">
        <f>IF(DATOS!$A6312="","",DATOS!$A6312&amp;"|"&amp;DATOS!$D6312&amp;"|"&amp;DATOS!$E6312&amp;"|"&amp;DATOS!$I6312)</f>
      </c>
      <c r="G6312">
        <f>IF(DATOS!$A6312="",0,IF(CONFIG_METADATA!$B$4&lt;&gt;"OR+EX",--(DATOS!$G6312=CONFIG_METADATA!$B$4),IF(DATOS!$G6312="EX",1,IF(DATOS!$G6312="OR",--(COUNTIFS(nNIA,DATOS!$A6312,nCURSO,DATOS!$D6312,nESPEC,DATOS!$E6312,nASIG,DATOS!$I6312,nEVAL,"EX")=0),0))))</f>
      </c>
      <c r="H6312">
        <f>IF(DATOS!$G6312&lt;&gt;"EX",0,--(COUNTIFS(nNIA,DATOS!$A6312,nCURSO,DATOS!$D6312,nESPEC,DATOS!$E6312,nASIG,DATOS!$I6312,nEVAL,"OR")=0))</f>
      </c>
      <c r="I6312">
        <f>IF(DATOS!$I6312="","",IFERROR(VLOOKUP(DATOS!$I6312,CONFIG_ASIGNATURAS!$B$2:$J$91,9,FALSE()),""))</f>
      </c>
    </row>
    <row r="6313">
      <c r="F6313">
        <f>IF(DATOS!$A6313="","",DATOS!$A6313&amp;"|"&amp;DATOS!$D6313&amp;"|"&amp;DATOS!$E6313&amp;"|"&amp;DATOS!$I6313)</f>
      </c>
      <c r="G6313">
        <f>IF(DATOS!$A6313="",0,IF(CONFIG_METADATA!$B$4&lt;&gt;"OR+EX",--(DATOS!$G6313=CONFIG_METADATA!$B$4),IF(DATOS!$G6313="EX",1,IF(DATOS!$G6313="OR",--(COUNTIFS(nNIA,DATOS!$A6313,nCURSO,DATOS!$D6313,nESPEC,DATOS!$E6313,nASIG,DATOS!$I6313,nEVAL,"EX")=0),0))))</f>
      </c>
      <c r="H6313">
        <f>IF(DATOS!$G6313&lt;&gt;"EX",0,--(COUNTIFS(nNIA,DATOS!$A6313,nCURSO,DATOS!$D6313,nESPEC,DATOS!$E6313,nASIG,DATOS!$I6313,nEVAL,"OR")=0))</f>
      </c>
      <c r="I6313">
        <f>IF(DATOS!$I6313="","",IFERROR(VLOOKUP(DATOS!$I6313,CONFIG_ASIGNATURAS!$B$2:$J$91,9,FALSE()),""))</f>
      </c>
    </row>
    <row r="6314">
      <c r="F6314">
        <f>IF(DATOS!$A6314="","",DATOS!$A6314&amp;"|"&amp;DATOS!$D6314&amp;"|"&amp;DATOS!$E6314&amp;"|"&amp;DATOS!$I6314)</f>
      </c>
      <c r="G6314">
        <f>IF(DATOS!$A6314="",0,IF(CONFIG_METADATA!$B$4&lt;&gt;"OR+EX",--(DATOS!$G6314=CONFIG_METADATA!$B$4),IF(DATOS!$G6314="EX",1,IF(DATOS!$G6314="OR",--(COUNTIFS(nNIA,DATOS!$A6314,nCURSO,DATOS!$D6314,nESPEC,DATOS!$E6314,nASIG,DATOS!$I6314,nEVAL,"EX")=0),0))))</f>
      </c>
      <c r="H6314">
        <f>IF(DATOS!$G6314&lt;&gt;"EX",0,--(COUNTIFS(nNIA,DATOS!$A6314,nCURSO,DATOS!$D6314,nESPEC,DATOS!$E6314,nASIG,DATOS!$I6314,nEVAL,"OR")=0))</f>
      </c>
      <c r="I6314">
        <f>IF(DATOS!$I6314="","",IFERROR(VLOOKUP(DATOS!$I6314,CONFIG_ASIGNATURAS!$B$2:$J$91,9,FALSE()),""))</f>
      </c>
    </row>
    <row r="6315">
      <c r="F6315">
        <f>IF(DATOS!$A6315="","",DATOS!$A6315&amp;"|"&amp;DATOS!$D6315&amp;"|"&amp;DATOS!$E6315&amp;"|"&amp;DATOS!$I6315)</f>
      </c>
      <c r="G6315">
        <f>IF(DATOS!$A6315="",0,IF(CONFIG_METADATA!$B$4&lt;&gt;"OR+EX",--(DATOS!$G6315=CONFIG_METADATA!$B$4),IF(DATOS!$G6315="EX",1,IF(DATOS!$G6315="OR",--(COUNTIFS(nNIA,DATOS!$A6315,nCURSO,DATOS!$D6315,nESPEC,DATOS!$E6315,nASIG,DATOS!$I6315,nEVAL,"EX")=0),0))))</f>
      </c>
      <c r="H6315">
        <f>IF(DATOS!$G6315&lt;&gt;"EX",0,--(COUNTIFS(nNIA,DATOS!$A6315,nCURSO,DATOS!$D6315,nESPEC,DATOS!$E6315,nASIG,DATOS!$I6315,nEVAL,"OR")=0))</f>
      </c>
      <c r="I6315">
        <f>IF(DATOS!$I6315="","",IFERROR(VLOOKUP(DATOS!$I6315,CONFIG_ASIGNATURAS!$B$2:$J$91,9,FALSE()),""))</f>
      </c>
    </row>
    <row r="6316">
      <c r="F6316">
        <f>IF(DATOS!$A6316="","",DATOS!$A6316&amp;"|"&amp;DATOS!$D6316&amp;"|"&amp;DATOS!$E6316&amp;"|"&amp;DATOS!$I6316)</f>
      </c>
      <c r="G6316">
        <f>IF(DATOS!$A6316="",0,IF(CONFIG_METADATA!$B$4&lt;&gt;"OR+EX",--(DATOS!$G6316=CONFIG_METADATA!$B$4),IF(DATOS!$G6316="EX",1,IF(DATOS!$G6316="OR",--(COUNTIFS(nNIA,DATOS!$A6316,nCURSO,DATOS!$D6316,nESPEC,DATOS!$E6316,nASIG,DATOS!$I6316,nEVAL,"EX")=0),0))))</f>
      </c>
      <c r="H6316">
        <f>IF(DATOS!$G6316&lt;&gt;"EX",0,--(COUNTIFS(nNIA,DATOS!$A6316,nCURSO,DATOS!$D6316,nESPEC,DATOS!$E6316,nASIG,DATOS!$I6316,nEVAL,"OR")=0))</f>
      </c>
      <c r="I6316">
        <f>IF(DATOS!$I6316="","",IFERROR(VLOOKUP(DATOS!$I6316,CONFIG_ASIGNATURAS!$B$2:$J$91,9,FALSE()),""))</f>
      </c>
    </row>
    <row r="6317">
      <c r="F6317">
        <f>IF(DATOS!$A6317="","",DATOS!$A6317&amp;"|"&amp;DATOS!$D6317&amp;"|"&amp;DATOS!$E6317&amp;"|"&amp;DATOS!$I6317)</f>
      </c>
      <c r="G6317">
        <f>IF(DATOS!$A6317="",0,IF(CONFIG_METADATA!$B$4&lt;&gt;"OR+EX",--(DATOS!$G6317=CONFIG_METADATA!$B$4),IF(DATOS!$G6317="EX",1,IF(DATOS!$G6317="OR",--(COUNTIFS(nNIA,DATOS!$A6317,nCURSO,DATOS!$D6317,nESPEC,DATOS!$E6317,nASIG,DATOS!$I6317,nEVAL,"EX")=0),0))))</f>
      </c>
      <c r="H6317">
        <f>IF(DATOS!$G6317&lt;&gt;"EX",0,--(COUNTIFS(nNIA,DATOS!$A6317,nCURSO,DATOS!$D6317,nESPEC,DATOS!$E6317,nASIG,DATOS!$I6317,nEVAL,"OR")=0))</f>
      </c>
      <c r="I6317">
        <f>IF(DATOS!$I6317="","",IFERROR(VLOOKUP(DATOS!$I6317,CONFIG_ASIGNATURAS!$B$2:$J$91,9,FALSE()),""))</f>
      </c>
    </row>
    <row r="6318">
      <c r="F6318">
        <f>IF(DATOS!$A6318="","",DATOS!$A6318&amp;"|"&amp;DATOS!$D6318&amp;"|"&amp;DATOS!$E6318&amp;"|"&amp;DATOS!$I6318)</f>
      </c>
      <c r="G6318">
        <f>IF(DATOS!$A6318="",0,IF(CONFIG_METADATA!$B$4&lt;&gt;"OR+EX",--(DATOS!$G6318=CONFIG_METADATA!$B$4),IF(DATOS!$G6318="EX",1,IF(DATOS!$G6318="OR",--(COUNTIFS(nNIA,DATOS!$A6318,nCURSO,DATOS!$D6318,nESPEC,DATOS!$E6318,nASIG,DATOS!$I6318,nEVAL,"EX")=0),0))))</f>
      </c>
      <c r="H6318">
        <f>IF(DATOS!$G6318&lt;&gt;"EX",0,--(COUNTIFS(nNIA,DATOS!$A6318,nCURSO,DATOS!$D6318,nESPEC,DATOS!$E6318,nASIG,DATOS!$I6318,nEVAL,"OR")=0))</f>
      </c>
      <c r="I6318">
        <f>IF(DATOS!$I6318="","",IFERROR(VLOOKUP(DATOS!$I6318,CONFIG_ASIGNATURAS!$B$2:$J$91,9,FALSE()),""))</f>
      </c>
    </row>
    <row r="6319">
      <c r="F6319">
        <f>IF(DATOS!$A6319="","",DATOS!$A6319&amp;"|"&amp;DATOS!$D6319&amp;"|"&amp;DATOS!$E6319&amp;"|"&amp;DATOS!$I6319)</f>
      </c>
      <c r="G6319">
        <f>IF(DATOS!$A6319="",0,IF(CONFIG_METADATA!$B$4&lt;&gt;"OR+EX",--(DATOS!$G6319=CONFIG_METADATA!$B$4),IF(DATOS!$G6319="EX",1,IF(DATOS!$G6319="OR",--(COUNTIFS(nNIA,DATOS!$A6319,nCURSO,DATOS!$D6319,nESPEC,DATOS!$E6319,nASIG,DATOS!$I6319,nEVAL,"EX")=0),0))))</f>
      </c>
      <c r="H6319">
        <f>IF(DATOS!$G6319&lt;&gt;"EX",0,--(COUNTIFS(nNIA,DATOS!$A6319,nCURSO,DATOS!$D6319,nESPEC,DATOS!$E6319,nASIG,DATOS!$I6319,nEVAL,"OR")=0))</f>
      </c>
      <c r="I6319">
        <f>IF(DATOS!$I6319="","",IFERROR(VLOOKUP(DATOS!$I6319,CONFIG_ASIGNATURAS!$B$2:$J$91,9,FALSE()),""))</f>
      </c>
    </row>
    <row r="6320">
      <c r="F6320">
        <f>IF(DATOS!$A6320="","",DATOS!$A6320&amp;"|"&amp;DATOS!$D6320&amp;"|"&amp;DATOS!$E6320&amp;"|"&amp;DATOS!$I6320)</f>
      </c>
      <c r="G6320">
        <f>IF(DATOS!$A6320="",0,IF(CONFIG_METADATA!$B$4&lt;&gt;"OR+EX",--(DATOS!$G6320=CONFIG_METADATA!$B$4),IF(DATOS!$G6320="EX",1,IF(DATOS!$G6320="OR",--(COUNTIFS(nNIA,DATOS!$A6320,nCURSO,DATOS!$D6320,nESPEC,DATOS!$E6320,nASIG,DATOS!$I6320,nEVAL,"EX")=0),0))))</f>
      </c>
      <c r="H6320">
        <f>IF(DATOS!$G6320&lt;&gt;"EX",0,--(COUNTIFS(nNIA,DATOS!$A6320,nCURSO,DATOS!$D6320,nESPEC,DATOS!$E6320,nASIG,DATOS!$I6320,nEVAL,"OR")=0))</f>
      </c>
      <c r="I6320">
        <f>IF(DATOS!$I6320="","",IFERROR(VLOOKUP(DATOS!$I6320,CONFIG_ASIGNATURAS!$B$2:$J$91,9,FALSE()),""))</f>
      </c>
    </row>
    <row r="6321">
      <c r="F6321">
        <f>IF(DATOS!$A6321="","",DATOS!$A6321&amp;"|"&amp;DATOS!$D6321&amp;"|"&amp;DATOS!$E6321&amp;"|"&amp;DATOS!$I6321)</f>
      </c>
      <c r="G6321">
        <f>IF(DATOS!$A6321="",0,IF(CONFIG_METADATA!$B$4&lt;&gt;"OR+EX",--(DATOS!$G6321=CONFIG_METADATA!$B$4),IF(DATOS!$G6321="EX",1,IF(DATOS!$G6321="OR",--(COUNTIFS(nNIA,DATOS!$A6321,nCURSO,DATOS!$D6321,nESPEC,DATOS!$E6321,nASIG,DATOS!$I6321,nEVAL,"EX")=0),0))))</f>
      </c>
      <c r="H6321">
        <f>IF(DATOS!$G6321&lt;&gt;"EX",0,--(COUNTIFS(nNIA,DATOS!$A6321,nCURSO,DATOS!$D6321,nESPEC,DATOS!$E6321,nASIG,DATOS!$I6321,nEVAL,"OR")=0))</f>
      </c>
      <c r="I6321">
        <f>IF(DATOS!$I6321="","",IFERROR(VLOOKUP(DATOS!$I6321,CONFIG_ASIGNATURAS!$B$2:$J$91,9,FALSE()),""))</f>
      </c>
    </row>
    <row r="6322">
      <c r="F6322">
        <f>IF(DATOS!$A6322="","",DATOS!$A6322&amp;"|"&amp;DATOS!$D6322&amp;"|"&amp;DATOS!$E6322&amp;"|"&amp;DATOS!$I6322)</f>
      </c>
      <c r="G6322">
        <f>IF(DATOS!$A6322="",0,IF(CONFIG_METADATA!$B$4&lt;&gt;"OR+EX",--(DATOS!$G6322=CONFIG_METADATA!$B$4),IF(DATOS!$G6322="EX",1,IF(DATOS!$G6322="OR",--(COUNTIFS(nNIA,DATOS!$A6322,nCURSO,DATOS!$D6322,nESPEC,DATOS!$E6322,nASIG,DATOS!$I6322,nEVAL,"EX")=0),0))))</f>
      </c>
      <c r="H6322">
        <f>IF(DATOS!$G6322&lt;&gt;"EX",0,--(COUNTIFS(nNIA,DATOS!$A6322,nCURSO,DATOS!$D6322,nESPEC,DATOS!$E6322,nASIG,DATOS!$I6322,nEVAL,"OR")=0))</f>
      </c>
      <c r="I6322">
        <f>IF(DATOS!$I6322="","",IFERROR(VLOOKUP(DATOS!$I6322,CONFIG_ASIGNATURAS!$B$2:$J$91,9,FALSE()),""))</f>
      </c>
    </row>
    <row r="6323">
      <c r="F6323">
        <f>IF(DATOS!$A6323="","",DATOS!$A6323&amp;"|"&amp;DATOS!$D6323&amp;"|"&amp;DATOS!$E6323&amp;"|"&amp;DATOS!$I6323)</f>
      </c>
      <c r="G6323">
        <f>IF(DATOS!$A6323="",0,IF(CONFIG_METADATA!$B$4&lt;&gt;"OR+EX",--(DATOS!$G6323=CONFIG_METADATA!$B$4),IF(DATOS!$G6323="EX",1,IF(DATOS!$G6323="OR",--(COUNTIFS(nNIA,DATOS!$A6323,nCURSO,DATOS!$D6323,nESPEC,DATOS!$E6323,nASIG,DATOS!$I6323,nEVAL,"EX")=0),0))))</f>
      </c>
      <c r="H6323">
        <f>IF(DATOS!$G6323&lt;&gt;"EX",0,--(COUNTIFS(nNIA,DATOS!$A6323,nCURSO,DATOS!$D6323,nESPEC,DATOS!$E6323,nASIG,DATOS!$I6323,nEVAL,"OR")=0))</f>
      </c>
      <c r="I6323">
        <f>IF(DATOS!$I6323="","",IFERROR(VLOOKUP(DATOS!$I6323,CONFIG_ASIGNATURAS!$B$2:$J$91,9,FALSE()),""))</f>
      </c>
    </row>
    <row r="6324">
      <c r="F6324">
        <f>IF(DATOS!$A6324="","",DATOS!$A6324&amp;"|"&amp;DATOS!$D6324&amp;"|"&amp;DATOS!$E6324&amp;"|"&amp;DATOS!$I6324)</f>
      </c>
      <c r="G6324">
        <f>IF(DATOS!$A6324="",0,IF(CONFIG_METADATA!$B$4&lt;&gt;"OR+EX",--(DATOS!$G6324=CONFIG_METADATA!$B$4),IF(DATOS!$G6324="EX",1,IF(DATOS!$G6324="OR",--(COUNTIFS(nNIA,DATOS!$A6324,nCURSO,DATOS!$D6324,nESPEC,DATOS!$E6324,nASIG,DATOS!$I6324,nEVAL,"EX")=0),0))))</f>
      </c>
      <c r="H6324">
        <f>IF(DATOS!$G6324&lt;&gt;"EX",0,--(COUNTIFS(nNIA,DATOS!$A6324,nCURSO,DATOS!$D6324,nESPEC,DATOS!$E6324,nASIG,DATOS!$I6324,nEVAL,"OR")=0))</f>
      </c>
      <c r="I6324">
        <f>IF(DATOS!$I6324="","",IFERROR(VLOOKUP(DATOS!$I6324,CONFIG_ASIGNATURAS!$B$2:$J$91,9,FALSE()),""))</f>
      </c>
    </row>
    <row r="6325">
      <c r="F6325">
        <f>IF(DATOS!$A6325="","",DATOS!$A6325&amp;"|"&amp;DATOS!$D6325&amp;"|"&amp;DATOS!$E6325&amp;"|"&amp;DATOS!$I6325)</f>
      </c>
      <c r="G6325">
        <f>IF(DATOS!$A6325="",0,IF(CONFIG_METADATA!$B$4&lt;&gt;"OR+EX",--(DATOS!$G6325=CONFIG_METADATA!$B$4),IF(DATOS!$G6325="EX",1,IF(DATOS!$G6325="OR",--(COUNTIFS(nNIA,DATOS!$A6325,nCURSO,DATOS!$D6325,nESPEC,DATOS!$E6325,nASIG,DATOS!$I6325,nEVAL,"EX")=0),0))))</f>
      </c>
      <c r="H6325">
        <f>IF(DATOS!$G6325&lt;&gt;"EX",0,--(COUNTIFS(nNIA,DATOS!$A6325,nCURSO,DATOS!$D6325,nESPEC,DATOS!$E6325,nASIG,DATOS!$I6325,nEVAL,"OR")=0))</f>
      </c>
      <c r="I6325">
        <f>IF(DATOS!$I6325="","",IFERROR(VLOOKUP(DATOS!$I6325,CONFIG_ASIGNATURAS!$B$2:$J$91,9,FALSE()),""))</f>
      </c>
    </row>
    <row r="6326">
      <c r="F6326">
        <f>IF(DATOS!$A6326="","",DATOS!$A6326&amp;"|"&amp;DATOS!$D6326&amp;"|"&amp;DATOS!$E6326&amp;"|"&amp;DATOS!$I6326)</f>
      </c>
      <c r="G6326">
        <f>IF(DATOS!$A6326="",0,IF(CONFIG_METADATA!$B$4&lt;&gt;"OR+EX",--(DATOS!$G6326=CONFIG_METADATA!$B$4),IF(DATOS!$G6326="EX",1,IF(DATOS!$G6326="OR",--(COUNTIFS(nNIA,DATOS!$A6326,nCURSO,DATOS!$D6326,nESPEC,DATOS!$E6326,nASIG,DATOS!$I6326,nEVAL,"EX")=0),0))))</f>
      </c>
      <c r="H6326">
        <f>IF(DATOS!$G6326&lt;&gt;"EX",0,--(COUNTIFS(nNIA,DATOS!$A6326,nCURSO,DATOS!$D6326,nESPEC,DATOS!$E6326,nASIG,DATOS!$I6326,nEVAL,"OR")=0))</f>
      </c>
      <c r="I6326">
        <f>IF(DATOS!$I6326="","",IFERROR(VLOOKUP(DATOS!$I6326,CONFIG_ASIGNATURAS!$B$2:$J$91,9,FALSE()),""))</f>
      </c>
    </row>
    <row r="6327">
      <c r="F6327">
        <f>IF(DATOS!$A6327="","",DATOS!$A6327&amp;"|"&amp;DATOS!$D6327&amp;"|"&amp;DATOS!$E6327&amp;"|"&amp;DATOS!$I6327)</f>
      </c>
      <c r="G6327">
        <f>IF(DATOS!$A6327="",0,IF(CONFIG_METADATA!$B$4&lt;&gt;"OR+EX",--(DATOS!$G6327=CONFIG_METADATA!$B$4),IF(DATOS!$G6327="EX",1,IF(DATOS!$G6327="OR",--(COUNTIFS(nNIA,DATOS!$A6327,nCURSO,DATOS!$D6327,nESPEC,DATOS!$E6327,nASIG,DATOS!$I6327,nEVAL,"EX")=0),0))))</f>
      </c>
      <c r="H6327">
        <f>IF(DATOS!$G6327&lt;&gt;"EX",0,--(COUNTIFS(nNIA,DATOS!$A6327,nCURSO,DATOS!$D6327,nESPEC,DATOS!$E6327,nASIG,DATOS!$I6327,nEVAL,"OR")=0))</f>
      </c>
      <c r="I6327">
        <f>IF(DATOS!$I6327="","",IFERROR(VLOOKUP(DATOS!$I6327,CONFIG_ASIGNATURAS!$B$2:$J$91,9,FALSE()),""))</f>
      </c>
    </row>
    <row r="6328">
      <c r="F6328">
        <f>IF(DATOS!$A6328="","",DATOS!$A6328&amp;"|"&amp;DATOS!$D6328&amp;"|"&amp;DATOS!$E6328&amp;"|"&amp;DATOS!$I6328)</f>
      </c>
      <c r="G6328">
        <f>IF(DATOS!$A6328="",0,IF(CONFIG_METADATA!$B$4&lt;&gt;"OR+EX",--(DATOS!$G6328=CONFIG_METADATA!$B$4),IF(DATOS!$G6328="EX",1,IF(DATOS!$G6328="OR",--(COUNTIFS(nNIA,DATOS!$A6328,nCURSO,DATOS!$D6328,nESPEC,DATOS!$E6328,nASIG,DATOS!$I6328,nEVAL,"EX")=0),0))))</f>
      </c>
      <c r="H6328">
        <f>IF(DATOS!$G6328&lt;&gt;"EX",0,--(COUNTIFS(nNIA,DATOS!$A6328,nCURSO,DATOS!$D6328,nESPEC,DATOS!$E6328,nASIG,DATOS!$I6328,nEVAL,"OR")=0))</f>
      </c>
      <c r="I6328">
        <f>IF(DATOS!$I6328="","",IFERROR(VLOOKUP(DATOS!$I6328,CONFIG_ASIGNATURAS!$B$2:$J$91,9,FALSE()),""))</f>
      </c>
    </row>
    <row r="6329">
      <c r="F6329">
        <f>IF(DATOS!$A6329="","",DATOS!$A6329&amp;"|"&amp;DATOS!$D6329&amp;"|"&amp;DATOS!$E6329&amp;"|"&amp;DATOS!$I6329)</f>
      </c>
      <c r="G6329">
        <f>IF(DATOS!$A6329="",0,IF(CONFIG_METADATA!$B$4&lt;&gt;"OR+EX",--(DATOS!$G6329=CONFIG_METADATA!$B$4),IF(DATOS!$G6329="EX",1,IF(DATOS!$G6329="OR",--(COUNTIFS(nNIA,DATOS!$A6329,nCURSO,DATOS!$D6329,nESPEC,DATOS!$E6329,nASIG,DATOS!$I6329,nEVAL,"EX")=0),0))))</f>
      </c>
      <c r="H6329">
        <f>IF(DATOS!$G6329&lt;&gt;"EX",0,--(COUNTIFS(nNIA,DATOS!$A6329,nCURSO,DATOS!$D6329,nESPEC,DATOS!$E6329,nASIG,DATOS!$I6329,nEVAL,"OR")=0))</f>
      </c>
      <c r="I6329">
        <f>IF(DATOS!$I6329="","",IFERROR(VLOOKUP(DATOS!$I6329,CONFIG_ASIGNATURAS!$B$2:$J$91,9,FALSE()),""))</f>
      </c>
    </row>
    <row r="6330">
      <c r="F6330">
        <f>IF(DATOS!$A6330="","",DATOS!$A6330&amp;"|"&amp;DATOS!$D6330&amp;"|"&amp;DATOS!$E6330&amp;"|"&amp;DATOS!$I6330)</f>
      </c>
      <c r="G6330">
        <f>IF(DATOS!$A6330="",0,IF(CONFIG_METADATA!$B$4&lt;&gt;"OR+EX",--(DATOS!$G6330=CONFIG_METADATA!$B$4),IF(DATOS!$G6330="EX",1,IF(DATOS!$G6330="OR",--(COUNTIFS(nNIA,DATOS!$A6330,nCURSO,DATOS!$D6330,nESPEC,DATOS!$E6330,nASIG,DATOS!$I6330,nEVAL,"EX")=0),0))))</f>
      </c>
      <c r="H6330">
        <f>IF(DATOS!$G6330&lt;&gt;"EX",0,--(COUNTIFS(nNIA,DATOS!$A6330,nCURSO,DATOS!$D6330,nESPEC,DATOS!$E6330,nASIG,DATOS!$I6330,nEVAL,"OR")=0))</f>
      </c>
      <c r="I6330">
        <f>IF(DATOS!$I6330="","",IFERROR(VLOOKUP(DATOS!$I6330,CONFIG_ASIGNATURAS!$B$2:$J$91,9,FALSE()),""))</f>
      </c>
    </row>
    <row r="6331">
      <c r="F6331">
        <f>IF(DATOS!$A6331="","",DATOS!$A6331&amp;"|"&amp;DATOS!$D6331&amp;"|"&amp;DATOS!$E6331&amp;"|"&amp;DATOS!$I6331)</f>
      </c>
      <c r="G6331">
        <f>IF(DATOS!$A6331="",0,IF(CONFIG_METADATA!$B$4&lt;&gt;"OR+EX",--(DATOS!$G6331=CONFIG_METADATA!$B$4),IF(DATOS!$G6331="EX",1,IF(DATOS!$G6331="OR",--(COUNTIFS(nNIA,DATOS!$A6331,nCURSO,DATOS!$D6331,nESPEC,DATOS!$E6331,nASIG,DATOS!$I6331,nEVAL,"EX")=0),0))))</f>
      </c>
      <c r="H6331">
        <f>IF(DATOS!$G6331&lt;&gt;"EX",0,--(COUNTIFS(nNIA,DATOS!$A6331,nCURSO,DATOS!$D6331,nESPEC,DATOS!$E6331,nASIG,DATOS!$I6331,nEVAL,"OR")=0))</f>
      </c>
      <c r="I6331">
        <f>IF(DATOS!$I6331="","",IFERROR(VLOOKUP(DATOS!$I6331,CONFIG_ASIGNATURAS!$B$2:$J$91,9,FALSE()),""))</f>
      </c>
    </row>
    <row r="6332">
      <c r="F6332">
        <f>IF(DATOS!$A6332="","",DATOS!$A6332&amp;"|"&amp;DATOS!$D6332&amp;"|"&amp;DATOS!$E6332&amp;"|"&amp;DATOS!$I6332)</f>
      </c>
      <c r="G6332">
        <f>IF(DATOS!$A6332="",0,IF(CONFIG_METADATA!$B$4&lt;&gt;"OR+EX",--(DATOS!$G6332=CONFIG_METADATA!$B$4),IF(DATOS!$G6332="EX",1,IF(DATOS!$G6332="OR",--(COUNTIFS(nNIA,DATOS!$A6332,nCURSO,DATOS!$D6332,nESPEC,DATOS!$E6332,nASIG,DATOS!$I6332,nEVAL,"EX")=0),0))))</f>
      </c>
      <c r="H6332">
        <f>IF(DATOS!$G6332&lt;&gt;"EX",0,--(COUNTIFS(nNIA,DATOS!$A6332,nCURSO,DATOS!$D6332,nESPEC,DATOS!$E6332,nASIG,DATOS!$I6332,nEVAL,"OR")=0))</f>
      </c>
      <c r="I6332">
        <f>IF(DATOS!$I6332="","",IFERROR(VLOOKUP(DATOS!$I6332,CONFIG_ASIGNATURAS!$B$2:$J$91,9,FALSE()),""))</f>
      </c>
    </row>
    <row r="6333">
      <c r="F6333">
        <f>IF(DATOS!$A6333="","",DATOS!$A6333&amp;"|"&amp;DATOS!$D6333&amp;"|"&amp;DATOS!$E6333&amp;"|"&amp;DATOS!$I6333)</f>
      </c>
      <c r="G6333">
        <f>IF(DATOS!$A6333="",0,IF(CONFIG_METADATA!$B$4&lt;&gt;"OR+EX",--(DATOS!$G6333=CONFIG_METADATA!$B$4),IF(DATOS!$G6333="EX",1,IF(DATOS!$G6333="OR",--(COUNTIFS(nNIA,DATOS!$A6333,nCURSO,DATOS!$D6333,nESPEC,DATOS!$E6333,nASIG,DATOS!$I6333,nEVAL,"EX")=0),0))))</f>
      </c>
      <c r="H6333">
        <f>IF(DATOS!$G6333&lt;&gt;"EX",0,--(COUNTIFS(nNIA,DATOS!$A6333,nCURSO,DATOS!$D6333,nESPEC,DATOS!$E6333,nASIG,DATOS!$I6333,nEVAL,"OR")=0))</f>
      </c>
      <c r="I6333">
        <f>IF(DATOS!$I6333="","",IFERROR(VLOOKUP(DATOS!$I6333,CONFIG_ASIGNATURAS!$B$2:$J$91,9,FALSE()),""))</f>
      </c>
    </row>
    <row r="6334">
      <c r="F6334">
        <f>IF(DATOS!$A6334="","",DATOS!$A6334&amp;"|"&amp;DATOS!$D6334&amp;"|"&amp;DATOS!$E6334&amp;"|"&amp;DATOS!$I6334)</f>
      </c>
      <c r="G6334">
        <f>IF(DATOS!$A6334="",0,IF(CONFIG_METADATA!$B$4&lt;&gt;"OR+EX",--(DATOS!$G6334=CONFIG_METADATA!$B$4),IF(DATOS!$G6334="EX",1,IF(DATOS!$G6334="OR",--(COUNTIFS(nNIA,DATOS!$A6334,nCURSO,DATOS!$D6334,nESPEC,DATOS!$E6334,nASIG,DATOS!$I6334,nEVAL,"EX")=0),0))))</f>
      </c>
      <c r="H6334">
        <f>IF(DATOS!$G6334&lt;&gt;"EX",0,--(COUNTIFS(nNIA,DATOS!$A6334,nCURSO,DATOS!$D6334,nESPEC,DATOS!$E6334,nASIG,DATOS!$I6334,nEVAL,"OR")=0))</f>
      </c>
      <c r="I6334">
        <f>IF(DATOS!$I6334="","",IFERROR(VLOOKUP(DATOS!$I6334,CONFIG_ASIGNATURAS!$B$2:$J$91,9,FALSE()),""))</f>
      </c>
    </row>
    <row r="6335">
      <c r="F6335">
        <f>IF(DATOS!$A6335="","",DATOS!$A6335&amp;"|"&amp;DATOS!$D6335&amp;"|"&amp;DATOS!$E6335&amp;"|"&amp;DATOS!$I6335)</f>
      </c>
      <c r="G6335">
        <f>IF(DATOS!$A6335="",0,IF(CONFIG_METADATA!$B$4&lt;&gt;"OR+EX",--(DATOS!$G6335=CONFIG_METADATA!$B$4),IF(DATOS!$G6335="EX",1,IF(DATOS!$G6335="OR",--(COUNTIFS(nNIA,DATOS!$A6335,nCURSO,DATOS!$D6335,nESPEC,DATOS!$E6335,nASIG,DATOS!$I6335,nEVAL,"EX")=0),0))))</f>
      </c>
      <c r="H6335">
        <f>IF(DATOS!$G6335&lt;&gt;"EX",0,--(COUNTIFS(nNIA,DATOS!$A6335,nCURSO,DATOS!$D6335,nESPEC,DATOS!$E6335,nASIG,DATOS!$I6335,nEVAL,"OR")=0))</f>
      </c>
      <c r="I6335">
        <f>IF(DATOS!$I6335="","",IFERROR(VLOOKUP(DATOS!$I6335,CONFIG_ASIGNATURAS!$B$2:$J$91,9,FALSE()),""))</f>
      </c>
    </row>
    <row r="6336">
      <c r="F6336">
        <f>IF(DATOS!$A6336="","",DATOS!$A6336&amp;"|"&amp;DATOS!$D6336&amp;"|"&amp;DATOS!$E6336&amp;"|"&amp;DATOS!$I6336)</f>
      </c>
      <c r="G6336">
        <f>IF(DATOS!$A6336="",0,IF(CONFIG_METADATA!$B$4&lt;&gt;"OR+EX",--(DATOS!$G6336=CONFIG_METADATA!$B$4),IF(DATOS!$G6336="EX",1,IF(DATOS!$G6336="OR",--(COUNTIFS(nNIA,DATOS!$A6336,nCURSO,DATOS!$D6336,nESPEC,DATOS!$E6336,nASIG,DATOS!$I6336,nEVAL,"EX")=0),0))))</f>
      </c>
      <c r="H6336">
        <f>IF(DATOS!$G6336&lt;&gt;"EX",0,--(COUNTIFS(nNIA,DATOS!$A6336,nCURSO,DATOS!$D6336,nESPEC,DATOS!$E6336,nASIG,DATOS!$I6336,nEVAL,"OR")=0))</f>
      </c>
      <c r="I6336">
        <f>IF(DATOS!$I6336="","",IFERROR(VLOOKUP(DATOS!$I6336,CONFIG_ASIGNATURAS!$B$2:$J$91,9,FALSE()),""))</f>
      </c>
    </row>
    <row r="6337">
      <c r="F6337">
        <f>IF(DATOS!$A6337="","",DATOS!$A6337&amp;"|"&amp;DATOS!$D6337&amp;"|"&amp;DATOS!$E6337&amp;"|"&amp;DATOS!$I6337)</f>
      </c>
      <c r="G6337">
        <f>IF(DATOS!$A6337="",0,IF(CONFIG_METADATA!$B$4&lt;&gt;"OR+EX",--(DATOS!$G6337=CONFIG_METADATA!$B$4),IF(DATOS!$G6337="EX",1,IF(DATOS!$G6337="OR",--(COUNTIFS(nNIA,DATOS!$A6337,nCURSO,DATOS!$D6337,nESPEC,DATOS!$E6337,nASIG,DATOS!$I6337,nEVAL,"EX")=0),0))))</f>
      </c>
      <c r="H6337">
        <f>IF(DATOS!$G6337&lt;&gt;"EX",0,--(COUNTIFS(nNIA,DATOS!$A6337,nCURSO,DATOS!$D6337,nESPEC,DATOS!$E6337,nASIG,DATOS!$I6337,nEVAL,"OR")=0))</f>
      </c>
      <c r="I6337">
        <f>IF(DATOS!$I6337="","",IFERROR(VLOOKUP(DATOS!$I6337,CONFIG_ASIGNATURAS!$B$2:$J$91,9,FALSE()),""))</f>
      </c>
    </row>
    <row r="6338">
      <c r="F6338">
        <f>IF(DATOS!$A6338="","",DATOS!$A6338&amp;"|"&amp;DATOS!$D6338&amp;"|"&amp;DATOS!$E6338&amp;"|"&amp;DATOS!$I6338)</f>
      </c>
      <c r="G6338">
        <f>IF(DATOS!$A6338="",0,IF(CONFIG_METADATA!$B$4&lt;&gt;"OR+EX",--(DATOS!$G6338=CONFIG_METADATA!$B$4),IF(DATOS!$G6338="EX",1,IF(DATOS!$G6338="OR",--(COUNTIFS(nNIA,DATOS!$A6338,nCURSO,DATOS!$D6338,nESPEC,DATOS!$E6338,nASIG,DATOS!$I6338,nEVAL,"EX")=0),0))))</f>
      </c>
      <c r="H6338">
        <f>IF(DATOS!$G6338&lt;&gt;"EX",0,--(COUNTIFS(nNIA,DATOS!$A6338,nCURSO,DATOS!$D6338,nESPEC,DATOS!$E6338,nASIG,DATOS!$I6338,nEVAL,"OR")=0))</f>
      </c>
      <c r="I6338">
        <f>IF(DATOS!$I6338="","",IFERROR(VLOOKUP(DATOS!$I6338,CONFIG_ASIGNATURAS!$B$2:$J$91,9,FALSE()),""))</f>
      </c>
    </row>
    <row r="6339">
      <c r="F6339">
        <f>IF(DATOS!$A6339="","",DATOS!$A6339&amp;"|"&amp;DATOS!$D6339&amp;"|"&amp;DATOS!$E6339&amp;"|"&amp;DATOS!$I6339)</f>
      </c>
      <c r="G6339">
        <f>IF(DATOS!$A6339="",0,IF(CONFIG_METADATA!$B$4&lt;&gt;"OR+EX",--(DATOS!$G6339=CONFIG_METADATA!$B$4),IF(DATOS!$G6339="EX",1,IF(DATOS!$G6339="OR",--(COUNTIFS(nNIA,DATOS!$A6339,nCURSO,DATOS!$D6339,nESPEC,DATOS!$E6339,nASIG,DATOS!$I6339,nEVAL,"EX")=0),0))))</f>
      </c>
      <c r="H6339">
        <f>IF(DATOS!$G6339&lt;&gt;"EX",0,--(COUNTIFS(nNIA,DATOS!$A6339,nCURSO,DATOS!$D6339,nESPEC,DATOS!$E6339,nASIG,DATOS!$I6339,nEVAL,"OR")=0))</f>
      </c>
      <c r="I6339">
        <f>IF(DATOS!$I6339="","",IFERROR(VLOOKUP(DATOS!$I6339,CONFIG_ASIGNATURAS!$B$2:$J$91,9,FALSE()),""))</f>
      </c>
    </row>
    <row r="6340">
      <c r="F6340">
        <f>IF(DATOS!$A6340="","",DATOS!$A6340&amp;"|"&amp;DATOS!$D6340&amp;"|"&amp;DATOS!$E6340&amp;"|"&amp;DATOS!$I6340)</f>
      </c>
      <c r="G6340">
        <f>IF(DATOS!$A6340="",0,IF(CONFIG_METADATA!$B$4&lt;&gt;"OR+EX",--(DATOS!$G6340=CONFIG_METADATA!$B$4),IF(DATOS!$G6340="EX",1,IF(DATOS!$G6340="OR",--(COUNTIFS(nNIA,DATOS!$A6340,nCURSO,DATOS!$D6340,nESPEC,DATOS!$E6340,nASIG,DATOS!$I6340,nEVAL,"EX")=0),0))))</f>
      </c>
      <c r="H6340">
        <f>IF(DATOS!$G6340&lt;&gt;"EX",0,--(COUNTIFS(nNIA,DATOS!$A6340,nCURSO,DATOS!$D6340,nESPEC,DATOS!$E6340,nASIG,DATOS!$I6340,nEVAL,"OR")=0))</f>
      </c>
      <c r="I6340">
        <f>IF(DATOS!$I6340="","",IFERROR(VLOOKUP(DATOS!$I6340,CONFIG_ASIGNATURAS!$B$2:$J$91,9,FALSE()),""))</f>
      </c>
    </row>
    <row r="6341">
      <c r="F6341">
        <f>IF(DATOS!$A6341="","",DATOS!$A6341&amp;"|"&amp;DATOS!$D6341&amp;"|"&amp;DATOS!$E6341&amp;"|"&amp;DATOS!$I6341)</f>
      </c>
      <c r="G6341">
        <f>IF(DATOS!$A6341="",0,IF(CONFIG_METADATA!$B$4&lt;&gt;"OR+EX",--(DATOS!$G6341=CONFIG_METADATA!$B$4),IF(DATOS!$G6341="EX",1,IF(DATOS!$G6341="OR",--(COUNTIFS(nNIA,DATOS!$A6341,nCURSO,DATOS!$D6341,nESPEC,DATOS!$E6341,nASIG,DATOS!$I6341,nEVAL,"EX")=0),0))))</f>
      </c>
      <c r="H6341">
        <f>IF(DATOS!$G6341&lt;&gt;"EX",0,--(COUNTIFS(nNIA,DATOS!$A6341,nCURSO,DATOS!$D6341,nESPEC,DATOS!$E6341,nASIG,DATOS!$I6341,nEVAL,"OR")=0))</f>
      </c>
      <c r="I6341">
        <f>IF(DATOS!$I6341="","",IFERROR(VLOOKUP(DATOS!$I6341,CONFIG_ASIGNATURAS!$B$2:$J$91,9,FALSE()),""))</f>
      </c>
    </row>
    <row r="6342">
      <c r="F6342">
        <f>IF(DATOS!$A6342="","",DATOS!$A6342&amp;"|"&amp;DATOS!$D6342&amp;"|"&amp;DATOS!$E6342&amp;"|"&amp;DATOS!$I6342)</f>
      </c>
      <c r="G6342">
        <f>IF(DATOS!$A6342="",0,IF(CONFIG_METADATA!$B$4&lt;&gt;"OR+EX",--(DATOS!$G6342=CONFIG_METADATA!$B$4),IF(DATOS!$G6342="EX",1,IF(DATOS!$G6342="OR",--(COUNTIFS(nNIA,DATOS!$A6342,nCURSO,DATOS!$D6342,nESPEC,DATOS!$E6342,nASIG,DATOS!$I6342,nEVAL,"EX")=0),0))))</f>
      </c>
      <c r="H6342">
        <f>IF(DATOS!$G6342&lt;&gt;"EX",0,--(COUNTIFS(nNIA,DATOS!$A6342,nCURSO,DATOS!$D6342,nESPEC,DATOS!$E6342,nASIG,DATOS!$I6342,nEVAL,"OR")=0))</f>
      </c>
      <c r="I6342">
        <f>IF(DATOS!$I6342="","",IFERROR(VLOOKUP(DATOS!$I6342,CONFIG_ASIGNATURAS!$B$2:$J$91,9,FALSE()),""))</f>
      </c>
    </row>
    <row r="6343">
      <c r="F6343">
        <f>IF(DATOS!$A6343="","",DATOS!$A6343&amp;"|"&amp;DATOS!$D6343&amp;"|"&amp;DATOS!$E6343&amp;"|"&amp;DATOS!$I6343)</f>
      </c>
      <c r="G6343">
        <f>IF(DATOS!$A6343="",0,IF(CONFIG_METADATA!$B$4&lt;&gt;"OR+EX",--(DATOS!$G6343=CONFIG_METADATA!$B$4),IF(DATOS!$G6343="EX",1,IF(DATOS!$G6343="OR",--(COUNTIFS(nNIA,DATOS!$A6343,nCURSO,DATOS!$D6343,nESPEC,DATOS!$E6343,nASIG,DATOS!$I6343,nEVAL,"EX")=0),0))))</f>
      </c>
      <c r="H6343">
        <f>IF(DATOS!$G6343&lt;&gt;"EX",0,--(COUNTIFS(nNIA,DATOS!$A6343,nCURSO,DATOS!$D6343,nESPEC,DATOS!$E6343,nASIG,DATOS!$I6343,nEVAL,"OR")=0))</f>
      </c>
      <c r="I6343">
        <f>IF(DATOS!$I6343="","",IFERROR(VLOOKUP(DATOS!$I6343,CONFIG_ASIGNATURAS!$B$2:$J$91,9,FALSE()),""))</f>
      </c>
    </row>
    <row r="6344">
      <c r="F6344">
        <f>IF(DATOS!$A6344="","",DATOS!$A6344&amp;"|"&amp;DATOS!$D6344&amp;"|"&amp;DATOS!$E6344&amp;"|"&amp;DATOS!$I6344)</f>
      </c>
      <c r="G6344">
        <f>IF(DATOS!$A6344="",0,IF(CONFIG_METADATA!$B$4&lt;&gt;"OR+EX",--(DATOS!$G6344=CONFIG_METADATA!$B$4),IF(DATOS!$G6344="EX",1,IF(DATOS!$G6344="OR",--(COUNTIFS(nNIA,DATOS!$A6344,nCURSO,DATOS!$D6344,nESPEC,DATOS!$E6344,nASIG,DATOS!$I6344,nEVAL,"EX")=0),0))))</f>
      </c>
      <c r="H6344">
        <f>IF(DATOS!$G6344&lt;&gt;"EX",0,--(COUNTIFS(nNIA,DATOS!$A6344,nCURSO,DATOS!$D6344,nESPEC,DATOS!$E6344,nASIG,DATOS!$I6344,nEVAL,"OR")=0))</f>
      </c>
      <c r="I6344">
        <f>IF(DATOS!$I6344="","",IFERROR(VLOOKUP(DATOS!$I6344,CONFIG_ASIGNATURAS!$B$2:$J$91,9,FALSE()),""))</f>
      </c>
    </row>
    <row r="6345">
      <c r="F6345">
        <f>IF(DATOS!$A6345="","",DATOS!$A6345&amp;"|"&amp;DATOS!$D6345&amp;"|"&amp;DATOS!$E6345&amp;"|"&amp;DATOS!$I6345)</f>
      </c>
      <c r="G6345">
        <f>IF(DATOS!$A6345="",0,IF(CONFIG_METADATA!$B$4&lt;&gt;"OR+EX",--(DATOS!$G6345=CONFIG_METADATA!$B$4),IF(DATOS!$G6345="EX",1,IF(DATOS!$G6345="OR",--(COUNTIFS(nNIA,DATOS!$A6345,nCURSO,DATOS!$D6345,nESPEC,DATOS!$E6345,nASIG,DATOS!$I6345,nEVAL,"EX")=0),0))))</f>
      </c>
      <c r="H6345">
        <f>IF(DATOS!$G6345&lt;&gt;"EX",0,--(COUNTIFS(nNIA,DATOS!$A6345,nCURSO,DATOS!$D6345,nESPEC,DATOS!$E6345,nASIG,DATOS!$I6345,nEVAL,"OR")=0))</f>
      </c>
      <c r="I6345">
        <f>IF(DATOS!$I6345="","",IFERROR(VLOOKUP(DATOS!$I6345,CONFIG_ASIGNATURAS!$B$2:$J$91,9,FALSE()),""))</f>
      </c>
    </row>
    <row r="6346">
      <c r="F6346">
        <f>IF(DATOS!$A6346="","",DATOS!$A6346&amp;"|"&amp;DATOS!$D6346&amp;"|"&amp;DATOS!$E6346&amp;"|"&amp;DATOS!$I6346)</f>
      </c>
      <c r="G6346">
        <f>IF(DATOS!$A6346="",0,IF(CONFIG_METADATA!$B$4&lt;&gt;"OR+EX",--(DATOS!$G6346=CONFIG_METADATA!$B$4),IF(DATOS!$G6346="EX",1,IF(DATOS!$G6346="OR",--(COUNTIFS(nNIA,DATOS!$A6346,nCURSO,DATOS!$D6346,nESPEC,DATOS!$E6346,nASIG,DATOS!$I6346,nEVAL,"EX")=0),0))))</f>
      </c>
      <c r="H6346">
        <f>IF(DATOS!$G6346&lt;&gt;"EX",0,--(COUNTIFS(nNIA,DATOS!$A6346,nCURSO,DATOS!$D6346,nESPEC,DATOS!$E6346,nASIG,DATOS!$I6346,nEVAL,"OR")=0))</f>
      </c>
      <c r="I6346">
        <f>IF(DATOS!$I6346="","",IFERROR(VLOOKUP(DATOS!$I6346,CONFIG_ASIGNATURAS!$B$2:$J$91,9,FALSE()),""))</f>
      </c>
    </row>
    <row r="6347">
      <c r="F6347">
        <f>IF(DATOS!$A6347="","",DATOS!$A6347&amp;"|"&amp;DATOS!$D6347&amp;"|"&amp;DATOS!$E6347&amp;"|"&amp;DATOS!$I6347)</f>
      </c>
      <c r="G6347">
        <f>IF(DATOS!$A6347="",0,IF(CONFIG_METADATA!$B$4&lt;&gt;"OR+EX",--(DATOS!$G6347=CONFIG_METADATA!$B$4),IF(DATOS!$G6347="EX",1,IF(DATOS!$G6347="OR",--(COUNTIFS(nNIA,DATOS!$A6347,nCURSO,DATOS!$D6347,nESPEC,DATOS!$E6347,nASIG,DATOS!$I6347,nEVAL,"EX")=0),0))))</f>
      </c>
      <c r="H6347">
        <f>IF(DATOS!$G6347&lt;&gt;"EX",0,--(COUNTIFS(nNIA,DATOS!$A6347,nCURSO,DATOS!$D6347,nESPEC,DATOS!$E6347,nASIG,DATOS!$I6347,nEVAL,"OR")=0))</f>
      </c>
      <c r="I6347">
        <f>IF(DATOS!$I6347="","",IFERROR(VLOOKUP(DATOS!$I6347,CONFIG_ASIGNATURAS!$B$2:$J$91,9,FALSE()),""))</f>
      </c>
    </row>
    <row r="6348">
      <c r="F6348">
        <f>IF(DATOS!$A6348="","",DATOS!$A6348&amp;"|"&amp;DATOS!$D6348&amp;"|"&amp;DATOS!$E6348&amp;"|"&amp;DATOS!$I6348)</f>
      </c>
      <c r="G6348">
        <f>IF(DATOS!$A6348="",0,IF(CONFIG_METADATA!$B$4&lt;&gt;"OR+EX",--(DATOS!$G6348=CONFIG_METADATA!$B$4),IF(DATOS!$G6348="EX",1,IF(DATOS!$G6348="OR",--(COUNTIFS(nNIA,DATOS!$A6348,nCURSO,DATOS!$D6348,nESPEC,DATOS!$E6348,nASIG,DATOS!$I6348,nEVAL,"EX")=0),0))))</f>
      </c>
      <c r="H6348">
        <f>IF(DATOS!$G6348&lt;&gt;"EX",0,--(COUNTIFS(nNIA,DATOS!$A6348,nCURSO,DATOS!$D6348,nESPEC,DATOS!$E6348,nASIG,DATOS!$I6348,nEVAL,"OR")=0))</f>
      </c>
      <c r="I6348">
        <f>IF(DATOS!$I6348="","",IFERROR(VLOOKUP(DATOS!$I6348,CONFIG_ASIGNATURAS!$B$2:$J$91,9,FALSE()),""))</f>
      </c>
    </row>
    <row r="6349">
      <c r="F6349">
        <f>IF(DATOS!$A6349="","",DATOS!$A6349&amp;"|"&amp;DATOS!$D6349&amp;"|"&amp;DATOS!$E6349&amp;"|"&amp;DATOS!$I6349)</f>
      </c>
      <c r="G6349">
        <f>IF(DATOS!$A6349="",0,IF(CONFIG_METADATA!$B$4&lt;&gt;"OR+EX",--(DATOS!$G6349=CONFIG_METADATA!$B$4),IF(DATOS!$G6349="EX",1,IF(DATOS!$G6349="OR",--(COUNTIFS(nNIA,DATOS!$A6349,nCURSO,DATOS!$D6349,nESPEC,DATOS!$E6349,nASIG,DATOS!$I6349,nEVAL,"EX")=0),0))))</f>
      </c>
      <c r="H6349">
        <f>IF(DATOS!$G6349&lt;&gt;"EX",0,--(COUNTIFS(nNIA,DATOS!$A6349,nCURSO,DATOS!$D6349,nESPEC,DATOS!$E6349,nASIG,DATOS!$I6349,nEVAL,"OR")=0))</f>
      </c>
      <c r="I6349">
        <f>IF(DATOS!$I6349="","",IFERROR(VLOOKUP(DATOS!$I6349,CONFIG_ASIGNATURAS!$B$2:$J$91,9,FALSE()),""))</f>
      </c>
    </row>
    <row r="6350">
      <c r="F6350">
        <f>IF(DATOS!$A6350="","",DATOS!$A6350&amp;"|"&amp;DATOS!$D6350&amp;"|"&amp;DATOS!$E6350&amp;"|"&amp;DATOS!$I6350)</f>
      </c>
      <c r="G6350">
        <f>IF(DATOS!$A6350="",0,IF(CONFIG_METADATA!$B$4&lt;&gt;"OR+EX",--(DATOS!$G6350=CONFIG_METADATA!$B$4),IF(DATOS!$G6350="EX",1,IF(DATOS!$G6350="OR",--(COUNTIFS(nNIA,DATOS!$A6350,nCURSO,DATOS!$D6350,nESPEC,DATOS!$E6350,nASIG,DATOS!$I6350,nEVAL,"EX")=0),0))))</f>
      </c>
      <c r="H6350">
        <f>IF(DATOS!$G6350&lt;&gt;"EX",0,--(COUNTIFS(nNIA,DATOS!$A6350,nCURSO,DATOS!$D6350,nESPEC,DATOS!$E6350,nASIG,DATOS!$I6350,nEVAL,"OR")=0))</f>
      </c>
      <c r="I6350">
        <f>IF(DATOS!$I6350="","",IFERROR(VLOOKUP(DATOS!$I6350,CONFIG_ASIGNATURAS!$B$2:$J$91,9,FALSE()),""))</f>
      </c>
    </row>
    <row r="6351">
      <c r="F6351">
        <f>IF(DATOS!$A6351="","",DATOS!$A6351&amp;"|"&amp;DATOS!$D6351&amp;"|"&amp;DATOS!$E6351&amp;"|"&amp;DATOS!$I6351)</f>
      </c>
      <c r="G6351">
        <f>IF(DATOS!$A6351="",0,IF(CONFIG_METADATA!$B$4&lt;&gt;"OR+EX",--(DATOS!$G6351=CONFIG_METADATA!$B$4),IF(DATOS!$G6351="EX",1,IF(DATOS!$G6351="OR",--(COUNTIFS(nNIA,DATOS!$A6351,nCURSO,DATOS!$D6351,nESPEC,DATOS!$E6351,nASIG,DATOS!$I6351,nEVAL,"EX")=0),0))))</f>
      </c>
      <c r="H6351">
        <f>IF(DATOS!$G6351&lt;&gt;"EX",0,--(COUNTIFS(nNIA,DATOS!$A6351,nCURSO,DATOS!$D6351,nESPEC,DATOS!$E6351,nASIG,DATOS!$I6351,nEVAL,"OR")=0))</f>
      </c>
      <c r="I6351">
        <f>IF(DATOS!$I6351="","",IFERROR(VLOOKUP(DATOS!$I6351,CONFIG_ASIGNATURAS!$B$2:$J$91,9,FALSE()),""))</f>
      </c>
    </row>
    <row r="6352">
      <c r="F6352">
        <f>IF(DATOS!$A6352="","",DATOS!$A6352&amp;"|"&amp;DATOS!$D6352&amp;"|"&amp;DATOS!$E6352&amp;"|"&amp;DATOS!$I6352)</f>
      </c>
      <c r="G6352">
        <f>IF(DATOS!$A6352="",0,IF(CONFIG_METADATA!$B$4&lt;&gt;"OR+EX",--(DATOS!$G6352=CONFIG_METADATA!$B$4),IF(DATOS!$G6352="EX",1,IF(DATOS!$G6352="OR",--(COUNTIFS(nNIA,DATOS!$A6352,nCURSO,DATOS!$D6352,nESPEC,DATOS!$E6352,nASIG,DATOS!$I6352,nEVAL,"EX")=0),0))))</f>
      </c>
      <c r="H6352">
        <f>IF(DATOS!$G6352&lt;&gt;"EX",0,--(COUNTIFS(nNIA,DATOS!$A6352,nCURSO,DATOS!$D6352,nESPEC,DATOS!$E6352,nASIG,DATOS!$I6352,nEVAL,"OR")=0))</f>
      </c>
      <c r="I6352">
        <f>IF(DATOS!$I6352="","",IFERROR(VLOOKUP(DATOS!$I6352,CONFIG_ASIGNATURAS!$B$2:$J$91,9,FALSE()),""))</f>
      </c>
    </row>
    <row r="6353">
      <c r="F6353">
        <f>IF(DATOS!$A6353="","",DATOS!$A6353&amp;"|"&amp;DATOS!$D6353&amp;"|"&amp;DATOS!$E6353&amp;"|"&amp;DATOS!$I6353)</f>
      </c>
      <c r="G6353">
        <f>IF(DATOS!$A6353="",0,IF(CONFIG_METADATA!$B$4&lt;&gt;"OR+EX",--(DATOS!$G6353=CONFIG_METADATA!$B$4),IF(DATOS!$G6353="EX",1,IF(DATOS!$G6353="OR",--(COUNTIFS(nNIA,DATOS!$A6353,nCURSO,DATOS!$D6353,nESPEC,DATOS!$E6353,nASIG,DATOS!$I6353,nEVAL,"EX")=0),0))))</f>
      </c>
      <c r="H6353">
        <f>IF(DATOS!$G6353&lt;&gt;"EX",0,--(COUNTIFS(nNIA,DATOS!$A6353,nCURSO,DATOS!$D6353,nESPEC,DATOS!$E6353,nASIG,DATOS!$I6353,nEVAL,"OR")=0))</f>
      </c>
      <c r="I6353">
        <f>IF(DATOS!$I6353="","",IFERROR(VLOOKUP(DATOS!$I6353,CONFIG_ASIGNATURAS!$B$2:$J$91,9,FALSE()),""))</f>
      </c>
    </row>
    <row r="6354">
      <c r="F6354">
        <f>IF(DATOS!$A6354="","",DATOS!$A6354&amp;"|"&amp;DATOS!$D6354&amp;"|"&amp;DATOS!$E6354&amp;"|"&amp;DATOS!$I6354)</f>
      </c>
      <c r="G6354">
        <f>IF(DATOS!$A6354="",0,IF(CONFIG_METADATA!$B$4&lt;&gt;"OR+EX",--(DATOS!$G6354=CONFIG_METADATA!$B$4),IF(DATOS!$G6354="EX",1,IF(DATOS!$G6354="OR",--(COUNTIFS(nNIA,DATOS!$A6354,nCURSO,DATOS!$D6354,nESPEC,DATOS!$E6354,nASIG,DATOS!$I6354,nEVAL,"EX")=0),0))))</f>
      </c>
      <c r="H6354">
        <f>IF(DATOS!$G6354&lt;&gt;"EX",0,--(COUNTIFS(nNIA,DATOS!$A6354,nCURSO,DATOS!$D6354,nESPEC,DATOS!$E6354,nASIG,DATOS!$I6354,nEVAL,"OR")=0))</f>
      </c>
      <c r="I6354">
        <f>IF(DATOS!$I6354="","",IFERROR(VLOOKUP(DATOS!$I6354,CONFIG_ASIGNATURAS!$B$2:$J$91,9,FALSE()),""))</f>
      </c>
    </row>
    <row r="6355">
      <c r="F6355">
        <f>IF(DATOS!$A6355="","",DATOS!$A6355&amp;"|"&amp;DATOS!$D6355&amp;"|"&amp;DATOS!$E6355&amp;"|"&amp;DATOS!$I6355)</f>
      </c>
      <c r="G6355">
        <f>IF(DATOS!$A6355="",0,IF(CONFIG_METADATA!$B$4&lt;&gt;"OR+EX",--(DATOS!$G6355=CONFIG_METADATA!$B$4),IF(DATOS!$G6355="EX",1,IF(DATOS!$G6355="OR",--(COUNTIFS(nNIA,DATOS!$A6355,nCURSO,DATOS!$D6355,nESPEC,DATOS!$E6355,nASIG,DATOS!$I6355,nEVAL,"EX")=0),0))))</f>
      </c>
      <c r="H6355">
        <f>IF(DATOS!$G6355&lt;&gt;"EX",0,--(COUNTIFS(nNIA,DATOS!$A6355,nCURSO,DATOS!$D6355,nESPEC,DATOS!$E6355,nASIG,DATOS!$I6355,nEVAL,"OR")=0))</f>
      </c>
      <c r="I6355">
        <f>IF(DATOS!$I6355="","",IFERROR(VLOOKUP(DATOS!$I6355,CONFIG_ASIGNATURAS!$B$2:$J$91,9,FALSE()),""))</f>
      </c>
    </row>
    <row r="6356">
      <c r="F6356">
        <f>IF(DATOS!$A6356="","",DATOS!$A6356&amp;"|"&amp;DATOS!$D6356&amp;"|"&amp;DATOS!$E6356&amp;"|"&amp;DATOS!$I6356)</f>
      </c>
      <c r="G6356">
        <f>IF(DATOS!$A6356="",0,IF(CONFIG_METADATA!$B$4&lt;&gt;"OR+EX",--(DATOS!$G6356=CONFIG_METADATA!$B$4),IF(DATOS!$G6356="EX",1,IF(DATOS!$G6356="OR",--(COUNTIFS(nNIA,DATOS!$A6356,nCURSO,DATOS!$D6356,nESPEC,DATOS!$E6356,nASIG,DATOS!$I6356,nEVAL,"EX")=0),0))))</f>
      </c>
      <c r="H6356">
        <f>IF(DATOS!$G6356&lt;&gt;"EX",0,--(COUNTIFS(nNIA,DATOS!$A6356,nCURSO,DATOS!$D6356,nESPEC,DATOS!$E6356,nASIG,DATOS!$I6356,nEVAL,"OR")=0))</f>
      </c>
      <c r="I6356">
        <f>IF(DATOS!$I6356="","",IFERROR(VLOOKUP(DATOS!$I6356,CONFIG_ASIGNATURAS!$B$2:$J$91,9,FALSE()),""))</f>
      </c>
    </row>
    <row r="6357">
      <c r="F6357">
        <f>IF(DATOS!$A6357="","",DATOS!$A6357&amp;"|"&amp;DATOS!$D6357&amp;"|"&amp;DATOS!$E6357&amp;"|"&amp;DATOS!$I6357)</f>
      </c>
      <c r="G6357">
        <f>IF(DATOS!$A6357="",0,IF(CONFIG_METADATA!$B$4&lt;&gt;"OR+EX",--(DATOS!$G6357=CONFIG_METADATA!$B$4),IF(DATOS!$G6357="EX",1,IF(DATOS!$G6357="OR",--(COUNTIFS(nNIA,DATOS!$A6357,nCURSO,DATOS!$D6357,nESPEC,DATOS!$E6357,nASIG,DATOS!$I6357,nEVAL,"EX")=0),0))))</f>
      </c>
      <c r="H6357">
        <f>IF(DATOS!$G6357&lt;&gt;"EX",0,--(COUNTIFS(nNIA,DATOS!$A6357,nCURSO,DATOS!$D6357,nESPEC,DATOS!$E6357,nASIG,DATOS!$I6357,nEVAL,"OR")=0))</f>
      </c>
      <c r="I6357">
        <f>IF(DATOS!$I6357="","",IFERROR(VLOOKUP(DATOS!$I6357,CONFIG_ASIGNATURAS!$B$2:$J$91,9,FALSE()),""))</f>
      </c>
    </row>
    <row r="6358">
      <c r="F6358">
        <f>IF(DATOS!$A6358="","",DATOS!$A6358&amp;"|"&amp;DATOS!$D6358&amp;"|"&amp;DATOS!$E6358&amp;"|"&amp;DATOS!$I6358)</f>
      </c>
      <c r="G6358">
        <f>IF(DATOS!$A6358="",0,IF(CONFIG_METADATA!$B$4&lt;&gt;"OR+EX",--(DATOS!$G6358=CONFIG_METADATA!$B$4),IF(DATOS!$G6358="EX",1,IF(DATOS!$G6358="OR",--(COUNTIFS(nNIA,DATOS!$A6358,nCURSO,DATOS!$D6358,nESPEC,DATOS!$E6358,nASIG,DATOS!$I6358,nEVAL,"EX")=0),0))))</f>
      </c>
      <c r="H6358">
        <f>IF(DATOS!$G6358&lt;&gt;"EX",0,--(COUNTIFS(nNIA,DATOS!$A6358,nCURSO,DATOS!$D6358,nESPEC,DATOS!$E6358,nASIG,DATOS!$I6358,nEVAL,"OR")=0))</f>
      </c>
      <c r="I6358">
        <f>IF(DATOS!$I6358="","",IFERROR(VLOOKUP(DATOS!$I6358,CONFIG_ASIGNATURAS!$B$2:$J$91,9,FALSE()),""))</f>
      </c>
    </row>
    <row r="6359">
      <c r="F6359">
        <f>IF(DATOS!$A6359="","",DATOS!$A6359&amp;"|"&amp;DATOS!$D6359&amp;"|"&amp;DATOS!$E6359&amp;"|"&amp;DATOS!$I6359)</f>
      </c>
      <c r="G6359">
        <f>IF(DATOS!$A6359="",0,IF(CONFIG_METADATA!$B$4&lt;&gt;"OR+EX",--(DATOS!$G6359=CONFIG_METADATA!$B$4),IF(DATOS!$G6359="EX",1,IF(DATOS!$G6359="OR",--(COUNTIFS(nNIA,DATOS!$A6359,nCURSO,DATOS!$D6359,nESPEC,DATOS!$E6359,nASIG,DATOS!$I6359,nEVAL,"EX")=0),0))))</f>
      </c>
      <c r="H6359">
        <f>IF(DATOS!$G6359&lt;&gt;"EX",0,--(COUNTIFS(nNIA,DATOS!$A6359,nCURSO,DATOS!$D6359,nESPEC,DATOS!$E6359,nASIG,DATOS!$I6359,nEVAL,"OR")=0))</f>
      </c>
      <c r="I6359">
        <f>IF(DATOS!$I6359="","",IFERROR(VLOOKUP(DATOS!$I6359,CONFIG_ASIGNATURAS!$B$2:$J$91,9,FALSE()),""))</f>
      </c>
    </row>
    <row r="6360">
      <c r="F6360">
        <f>IF(DATOS!$A6360="","",DATOS!$A6360&amp;"|"&amp;DATOS!$D6360&amp;"|"&amp;DATOS!$E6360&amp;"|"&amp;DATOS!$I6360)</f>
      </c>
      <c r="G6360">
        <f>IF(DATOS!$A6360="",0,IF(CONFIG_METADATA!$B$4&lt;&gt;"OR+EX",--(DATOS!$G6360=CONFIG_METADATA!$B$4),IF(DATOS!$G6360="EX",1,IF(DATOS!$G6360="OR",--(COUNTIFS(nNIA,DATOS!$A6360,nCURSO,DATOS!$D6360,nESPEC,DATOS!$E6360,nASIG,DATOS!$I6360,nEVAL,"EX")=0),0))))</f>
      </c>
      <c r="H6360">
        <f>IF(DATOS!$G6360&lt;&gt;"EX",0,--(COUNTIFS(nNIA,DATOS!$A6360,nCURSO,DATOS!$D6360,nESPEC,DATOS!$E6360,nASIG,DATOS!$I6360,nEVAL,"OR")=0))</f>
      </c>
      <c r="I6360">
        <f>IF(DATOS!$I6360="","",IFERROR(VLOOKUP(DATOS!$I6360,CONFIG_ASIGNATURAS!$B$2:$J$91,9,FALSE()),""))</f>
      </c>
    </row>
    <row r="6361">
      <c r="F6361">
        <f>IF(DATOS!$A6361="","",DATOS!$A6361&amp;"|"&amp;DATOS!$D6361&amp;"|"&amp;DATOS!$E6361&amp;"|"&amp;DATOS!$I6361)</f>
      </c>
      <c r="G6361">
        <f>IF(DATOS!$A6361="",0,IF(CONFIG_METADATA!$B$4&lt;&gt;"OR+EX",--(DATOS!$G6361=CONFIG_METADATA!$B$4),IF(DATOS!$G6361="EX",1,IF(DATOS!$G6361="OR",--(COUNTIFS(nNIA,DATOS!$A6361,nCURSO,DATOS!$D6361,nESPEC,DATOS!$E6361,nASIG,DATOS!$I6361,nEVAL,"EX")=0),0))))</f>
      </c>
      <c r="H6361">
        <f>IF(DATOS!$G6361&lt;&gt;"EX",0,--(COUNTIFS(nNIA,DATOS!$A6361,nCURSO,DATOS!$D6361,nESPEC,DATOS!$E6361,nASIG,DATOS!$I6361,nEVAL,"OR")=0))</f>
      </c>
      <c r="I6361">
        <f>IF(DATOS!$I6361="","",IFERROR(VLOOKUP(DATOS!$I6361,CONFIG_ASIGNATURAS!$B$2:$J$91,9,FALSE()),""))</f>
      </c>
    </row>
    <row r="6362">
      <c r="F6362">
        <f>IF(DATOS!$A6362="","",DATOS!$A6362&amp;"|"&amp;DATOS!$D6362&amp;"|"&amp;DATOS!$E6362&amp;"|"&amp;DATOS!$I6362)</f>
      </c>
      <c r="G6362">
        <f>IF(DATOS!$A6362="",0,IF(CONFIG_METADATA!$B$4&lt;&gt;"OR+EX",--(DATOS!$G6362=CONFIG_METADATA!$B$4),IF(DATOS!$G6362="EX",1,IF(DATOS!$G6362="OR",--(COUNTIFS(nNIA,DATOS!$A6362,nCURSO,DATOS!$D6362,nESPEC,DATOS!$E6362,nASIG,DATOS!$I6362,nEVAL,"EX")=0),0))))</f>
      </c>
      <c r="H6362">
        <f>IF(DATOS!$G6362&lt;&gt;"EX",0,--(COUNTIFS(nNIA,DATOS!$A6362,nCURSO,DATOS!$D6362,nESPEC,DATOS!$E6362,nASIG,DATOS!$I6362,nEVAL,"OR")=0))</f>
      </c>
      <c r="I6362">
        <f>IF(DATOS!$I6362="","",IFERROR(VLOOKUP(DATOS!$I6362,CONFIG_ASIGNATURAS!$B$2:$J$91,9,FALSE()),""))</f>
      </c>
    </row>
    <row r="6363">
      <c r="F6363">
        <f>IF(DATOS!$A6363="","",DATOS!$A6363&amp;"|"&amp;DATOS!$D6363&amp;"|"&amp;DATOS!$E6363&amp;"|"&amp;DATOS!$I6363)</f>
      </c>
      <c r="G6363">
        <f>IF(DATOS!$A6363="",0,IF(CONFIG_METADATA!$B$4&lt;&gt;"OR+EX",--(DATOS!$G6363=CONFIG_METADATA!$B$4),IF(DATOS!$G6363="EX",1,IF(DATOS!$G6363="OR",--(COUNTIFS(nNIA,DATOS!$A6363,nCURSO,DATOS!$D6363,nESPEC,DATOS!$E6363,nASIG,DATOS!$I6363,nEVAL,"EX")=0),0))))</f>
      </c>
      <c r="H6363">
        <f>IF(DATOS!$G6363&lt;&gt;"EX",0,--(COUNTIFS(nNIA,DATOS!$A6363,nCURSO,DATOS!$D6363,nESPEC,DATOS!$E6363,nASIG,DATOS!$I6363,nEVAL,"OR")=0))</f>
      </c>
      <c r="I6363">
        <f>IF(DATOS!$I6363="","",IFERROR(VLOOKUP(DATOS!$I6363,CONFIG_ASIGNATURAS!$B$2:$J$91,9,FALSE()),""))</f>
      </c>
    </row>
    <row r="6364">
      <c r="F6364">
        <f>IF(DATOS!$A6364="","",DATOS!$A6364&amp;"|"&amp;DATOS!$D6364&amp;"|"&amp;DATOS!$E6364&amp;"|"&amp;DATOS!$I6364)</f>
      </c>
      <c r="G6364">
        <f>IF(DATOS!$A6364="",0,IF(CONFIG_METADATA!$B$4&lt;&gt;"OR+EX",--(DATOS!$G6364=CONFIG_METADATA!$B$4),IF(DATOS!$G6364="EX",1,IF(DATOS!$G6364="OR",--(COUNTIFS(nNIA,DATOS!$A6364,nCURSO,DATOS!$D6364,nESPEC,DATOS!$E6364,nASIG,DATOS!$I6364,nEVAL,"EX")=0),0))))</f>
      </c>
      <c r="H6364">
        <f>IF(DATOS!$G6364&lt;&gt;"EX",0,--(COUNTIFS(nNIA,DATOS!$A6364,nCURSO,DATOS!$D6364,nESPEC,DATOS!$E6364,nASIG,DATOS!$I6364,nEVAL,"OR")=0))</f>
      </c>
      <c r="I6364">
        <f>IF(DATOS!$I6364="","",IFERROR(VLOOKUP(DATOS!$I6364,CONFIG_ASIGNATURAS!$B$2:$J$91,9,FALSE()),""))</f>
      </c>
    </row>
    <row r="6365">
      <c r="F6365">
        <f>IF(DATOS!$A6365="","",DATOS!$A6365&amp;"|"&amp;DATOS!$D6365&amp;"|"&amp;DATOS!$E6365&amp;"|"&amp;DATOS!$I6365)</f>
      </c>
      <c r="G6365">
        <f>IF(DATOS!$A6365="",0,IF(CONFIG_METADATA!$B$4&lt;&gt;"OR+EX",--(DATOS!$G6365=CONFIG_METADATA!$B$4),IF(DATOS!$G6365="EX",1,IF(DATOS!$G6365="OR",--(COUNTIFS(nNIA,DATOS!$A6365,nCURSO,DATOS!$D6365,nESPEC,DATOS!$E6365,nASIG,DATOS!$I6365,nEVAL,"EX")=0),0))))</f>
      </c>
      <c r="H6365">
        <f>IF(DATOS!$G6365&lt;&gt;"EX",0,--(COUNTIFS(nNIA,DATOS!$A6365,nCURSO,DATOS!$D6365,nESPEC,DATOS!$E6365,nASIG,DATOS!$I6365,nEVAL,"OR")=0))</f>
      </c>
      <c r="I6365">
        <f>IF(DATOS!$I6365="","",IFERROR(VLOOKUP(DATOS!$I6365,CONFIG_ASIGNATURAS!$B$2:$J$91,9,FALSE()),""))</f>
      </c>
    </row>
    <row r="6366">
      <c r="F6366">
        <f>IF(DATOS!$A6366="","",DATOS!$A6366&amp;"|"&amp;DATOS!$D6366&amp;"|"&amp;DATOS!$E6366&amp;"|"&amp;DATOS!$I6366)</f>
      </c>
      <c r="G6366">
        <f>IF(DATOS!$A6366="",0,IF(CONFIG_METADATA!$B$4&lt;&gt;"OR+EX",--(DATOS!$G6366=CONFIG_METADATA!$B$4),IF(DATOS!$G6366="EX",1,IF(DATOS!$G6366="OR",--(COUNTIFS(nNIA,DATOS!$A6366,nCURSO,DATOS!$D6366,nESPEC,DATOS!$E6366,nASIG,DATOS!$I6366,nEVAL,"EX")=0),0))))</f>
      </c>
      <c r="H6366">
        <f>IF(DATOS!$G6366&lt;&gt;"EX",0,--(COUNTIFS(nNIA,DATOS!$A6366,nCURSO,DATOS!$D6366,nESPEC,DATOS!$E6366,nASIG,DATOS!$I6366,nEVAL,"OR")=0))</f>
      </c>
      <c r="I6366">
        <f>IF(DATOS!$I6366="","",IFERROR(VLOOKUP(DATOS!$I6366,CONFIG_ASIGNATURAS!$B$2:$J$91,9,FALSE()),""))</f>
      </c>
    </row>
    <row r="6367">
      <c r="F6367">
        <f>IF(DATOS!$A6367="","",DATOS!$A6367&amp;"|"&amp;DATOS!$D6367&amp;"|"&amp;DATOS!$E6367&amp;"|"&amp;DATOS!$I6367)</f>
      </c>
      <c r="G6367">
        <f>IF(DATOS!$A6367="",0,IF(CONFIG_METADATA!$B$4&lt;&gt;"OR+EX",--(DATOS!$G6367=CONFIG_METADATA!$B$4),IF(DATOS!$G6367="EX",1,IF(DATOS!$G6367="OR",--(COUNTIFS(nNIA,DATOS!$A6367,nCURSO,DATOS!$D6367,nESPEC,DATOS!$E6367,nASIG,DATOS!$I6367,nEVAL,"EX")=0),0))))</f>
      </c>
      <c r="H6367">
        <f>IF(DATOS!$G6367&lt;&gt;"EX",0,--(COUNTIFS(nNIA,DATOS!$A6367,nCURSO,DATOS!$D6367,nESPEC,DATOS!$E6367,nASIG,DATOS!$I6367,nEVAL,"OR")=0))</f>
      </c>
      <c r="I6367">
        <f>IF(DATOS!$I6367="","",IFERROR(VLOOKUP(DATOS!$I6367,CONFIG_ASIGNATURAS!$B$2:$J$91,9,FALSE()),""))</f>
      </c>
    </row>
    <row r="6368">
      <c r="F6368">
        <f>IF(DATOS!$A6368="","",DATOS!$A6368&amp;"|"&amp;DATOS!$D6368&amp;"|"&amp;DATOS!$E6368&amp;"|"&amp;DATOS!$I6368)</f>
      </c>
      <c r="G6368">
        <f>IF(DATOS!$A6368="",0,IF(CONFIG_METADATA!$B$4&lt;&gt;"OR+EX",--(DATOS!$G6368=CONFIG_METADATA!$B$4),IF(DATOS!$G6368="EX",1,IF(DATOS!$G6368="OR",--(COUNTIFS(nNIA,DATOS!$A6368,nCURSO,DATOS!$D6368,nESPEC,DATOS!$E6368,nASIG,DATOS!$I6368,nEVAL,"EX")=0),0))))</f>
      </c>
      <c r="H6368">
        <f>IF(DATOS!$G6368&lt;&gt;"EX",0,--(COUNTIFS(nNIA,DATOS!$A6368,nCURSO,DATOS!$D6368,nESPEC,DATOS!$E6368,nASIG,DATOS!$I6368,nEVAL,"OR")=0))</f>
      </c>
      <c r="I6368">
        <f>IF(DATOS!$I6368="","",IFERROR(VLOOKUP(DATOS!$I6368,CONFIG_ASIGNATURAS!$B$2:$J$91,9,FALSE()),""))</f>
      </c>
    </row>
    <row r="6369">
      <c r="F6369">
        <f>IF(DATOS!$A6369="","",DATOS!$A6369&amp;"|"&amp;DATOS!$D6369&amp;"|"&amp;DATOS!$E6369&amp;"|"&amp;DATOS!$I6369)</f>
      </c>
      <c r="G6369">
        <f>IF(DATOS!$A6369="",0,IF(CONFIG_METADATA!$B$4&lt;&gt;"OR+EX",--(DATOS!$G6369=CONFIG_METADATA!$B$4),IF(DATOS!$G6369="EX",1,IF(DATOS!$G6369="OR",--(COUNTIFS(nNIA,DATOS!$A6369,nCURSO,DATOS!$D6369,nESPEC,DATOS!$E6369,nASIG,DATOS!$I6369,nEVAL,"EX")=0),0))))</f>
      </c>
      <c r="H6369">
        <f>IF(DATOS!$G6369&lt;&gt;"EX",0,--(COUNTIFS(nNIA,DATOS!$A6369,nCURSO,DATOS!$D6369,nESPEC,DATOS!$E6369,nASIG,DATOS!$I6369,nEVAL,"OR")=0))</f>
      </c>
      <c r="I6369">
        <f>IF(DATOS!$I6369="","",IFERROR(VLOOKUP(DATOS!$I6369,CONFIG_ASIGNATURAS!$B$2:$J$91,9,FALSE()),""))</f>
      </c>
    </row>
    <row r="6370">
      <c r="F6370">
        <f>IF(DATOS!$A6370="","",DATOS!$A6370&amp;"|"&amp;DATOS!$D6370&amp;"|"&amp;DATOS!$E6370&amp;"|"&amp;DATOS!$I6370)</f>
      </c>
      <c r="G6370">
        <f>IF(DATOS!$A6370="",0,IF(CONFIG_METADATA!$B$4&lt;&gt;"OR+EX",--(DATOS!$G6370=CONFIG_METADATA!$B$4),IF(DATOS!$G6370="EX",1,IF(DATOS!$G6370="OR",--(COUNTIFS(nNIA,DATOS!$A6370,nCURSO,DATOS!$D6370,nESPEC,DATOS!$E6370,nASIG,DATOS!$I6370,nEVAL,"EX")=0),0))))</f>
      </c>
      <c r="H6370">
        <f>IF(DATOS!$G6370&lt;&gt;"EX",0,--(COUNTIFS(nNIA,DATOS!$A6370,nCURSO,DATOS!$D6370,nESPEC,DATOS!$E6370,nASIG,DATOS!$I6370,nEVAL,"OR")=0))</f>
      </c>
      <c r="I6370">
        <f>IF(DATOS!$I6370="","",IFERROR(VLOOKUP(DATOS!$I6370,CONFIG_ASIGNATURAS!$B$2:$J$91,9,FALSE()),""))</f>
      </c>
    </row>
    <row r="6371">
      <c r="F6371">
        <f>IF(DATOS!$A6371="","",DATOS!$A6371&amp;"|"&amp;DATOS!$D6371&amp;"|"&amp;DATOS!$E6371&amp;"|"&amp;DATOS!$I6371)</f>
      </c>
      <c r="G6371">
        <f>IF(DATOS!$A6371="",0,IF(CONFIG_METADATA!$B$4&lt;&gt;"OR+EX",--(DATOS!$G6371=CONFIG_METADATA!$B$4),IF(DATOS!$G6371="EX",1,IF(DATOS!$G6371="OR",--(COUNTIFS(nNIA,DATOS!$A6371,nCURSO,DATOS!$D6371,nESPEC,DATOS!$E6371,nASIG,DATOS!$I6371,nEVAL,"EX")=0),0))))</f>
      </c>
      <c r="H6371">
        <f>IF(DATOS!$G6371&lt;&gt;"EX",0,--(COUNTIFS(nNIA,DATOS!$A6371,nCURSO,DATOS!$D6371,nESPEC,DATOS!$E6371,nASIG,DATOS!$I6371,nEVAL,"OR")=0))</f>
      </c>
      <c r="I6371">
        <f>IF(DATOS!$I6371="","",IFERROR(VLOOKUP(DATOS!$I6371,CONFIG_ASIGNATURAS!$B$2:$J$91,9,FALSE()),""))</f>
      </c>
    </row>
    <row r="6372">
      <c r="F6372">
        <f>IF(DATOS!$A6372="","",DATOS!$A6372&amp;"|"&amp;DATOS!$D6372&amp;"|"&amp;DATOS!$E6372&amp;"|"&amp;DATOS!$I6372)</f>
      </c>
      <c r="G6372">
        <f>IF(DATOS!$A6372="",0,IF(CONFIG_METADATA!$B$4&lt;&gt;"OR+EX",--(DATOS!$G6372=CONFIG_METADATA!$B$4),IF(DATOS!$G6372="EX",1,IF(DATOS!$G6372="OR",--(COUNTIFS(nNIA,DATOS!$A6372,nCURSO,DATOS!$D6372,nESPEC,DATOS!$E6372,nASIG,DATOS!$I6372,nEVAL,"EX")=0),0))))</f>
      </c>
      <c r="H6372">
        <f>IF(DATOS!$G6372&lt;&gt;"EX",0,--(COUNTIFS(nNIA,DATOS!$A6372,nCURSO,DATOS!$D6372,nESPEC,DATOS!$E6372,nASIG,DATOS!$I6372,nEVAL,"OR")=0))</f>
      </c>
      <c r="I6372">
        <f>IF(DATOS!$I6372="","",IFERROR(VLOOKUP(DATOS!$I6372,CONFIG_ASIGNATURAS!$B$2:$J$91,9,FALSE()),""))</f>
      </c>
    </row>
    <row r="6373">
      <c r="F6373">
        <f>IF(DATOS!$A6373="","",DATOS!$A6373&amp;"|"&amp;DATOS!$D6373&amp;"|"&amp;DATOS!$E6373&amp;"|"&amp;DATOS!$I6373)</f>
      </c>
      <c r="G6373">
        <f>IF(DATOS!$A6373="",0,IF(CONFIG_METADATA!$B$4&lt;&gt;"OR+EX",--(DATOS!$G6373=CONFIG_METADATA!$B$4),IF(DATOS!$G6373="EX",1,IF(DATOS!$G6373="OR",--(COUNTIFS(nNIA,DATOS!$A6373,nCURSO,DATOS!$D6373,nESPEC,DATOS!$E6373,nASIG,DATOS!$I6373,nEVAL,"EX")=0),0))))</f>
      </c>
      <c r="H6373">
        <f>IF(DATOS!$G6373&lt;&gt;"EX",0,--(COUNTIFS(nNIA,DATOS!$A6373,nCURSO,DATOS!$D6373,nESPEC,DATOS!$E6373,nASIG,DATOS!$I6373,nEVAL,"OR")=0))</f>
      </c>
      <c r="I6373">
        <f>IF(DATOS!$I6373="","",IFERROR(VLOOKUP(DATOS!$I6373,CONFIG_ASIGNATURAS!$B$2:$J$91,9,FALSE()),""))</f>
      </c>
    </row>
    <row r="6374">
      <c r="F6374">
        <f>IF(DATOS!$A6374="","",DATOS!$A6374&amp;"|"&amp;DATOS!$D6374&amp;"|"&amp;DATOS!$E6374&amp;"|"&amp;DATOS!$I6374)</f>
      </c>
      <c r="G6374">
        <f>IF(DATOS!$A6374="",0,IF(CONFIG_METADATA!$B$4&lt;&gt;"OR+EX",--(DATOS!$G6374=CONFIG_METADATA!$B$4),IF(DATOS!$G6374="EX",1,IF(DATOS!$G6374="OR",--(COUNTIFS(nNIA,DATOS!$A6374,nCURSO,DATOS!$D6374,nESPEC,DATOS!$E6374,nASIG,DATOS!$I6374,nEVAL,"EX")=0),0))))</f>
      </c>
      <c r="H6374">
        <f>IF(DATOS!$G6374&lt;&gt;"EX",0,--(COUNTIFS(nNIA,DATOS!$A6374,nCURSO,DATOS!$D6374,nESPEC,DATOS!$E6374,nASIG,DATOS!$I6374,nEVAL,"OR")=0))</f>
      </c>
      <c r="I6374">
        <f>IF(DATOS!$I6374="","",IFERROR(VLOOKUP(DATOS!$I6374,CONFIG_ASIGNATURAS!$B$2:$J$91,9,FALSE()),""))</f>
      </c>
    </row>
    <row r="6375">
      <c r="F6375">
        <f>IF(DATOS!$A6375="","",DATOS!$A6375&amp;"|"&amp;DATOS!$D6375&amp;"|"&amp;DATOS!$E6375&amp;"|"&amp;DATOS!$I6375)</f>
      </c>
      <c r="G6375">
        <f>IF(DATOS!$A6375="",0,IF(CONFIG_METADATA!$B$4&lt;&gt;"OR+EX",--(DATOS!$G6375=CONFIG_METADATA!$B$4),IF(DATOS!$G6375="EX",1,IF(DATOS!$G6375="OR",--(COUNTIFS(nNIA,DATOS!$A6375,nCURSO,DATOS!$D6375,nESPEC,DATOS!$E6375,nASIG,DATOS!$I6375,nEVAL,"EX")=0),0))))</f>
      </c>
      <c r="H6375">
        <f>IF(DATOS!$G6375&lt;&gt;"EX",0,--(COUNTIFS(nNIA,DATOS!$A6375,nCURSO,DATOS!$D6375,nESPEC,DATOS!$E6375,nASIG,DATOS!$I6375,nEVAL,"OR")=0))</f>
      </c>
      <c r="I6375">
        <f>IF(DATOS!$I6375="","",IFERROR(VLOOKUP(DATOS!$I6375,CONFIG_ASIGNATURAS!$B$2:$J$91,9,FALSE()),""))</f>
      </c>
    </row>
    <row r="6376">
      <c r="F6376">
        <f>IF(DATOS!$A6376="","",DATOS!$A6376&amp;"|"&amp;DATOS!$D6376&amp;"|"&amp;DATOS!$E6376&amp;"|"&amp;DATOS!$I6376)</f>
      </c>
      <c r="G6376">
        <f>IF(DATOS!$A6376="",0,IF(CONFIG_METADATA!$B$4&lt;&gt;"OR+EX",--(DATOS!$G6376=CONFIG_METADATA!$B$4),IF(DATOS!$G6376="EX",1,IF(DATOS!$G6376="OR",--(COUNTIFS(nNIA,DATOS!$A6376,nCURSO,DATOS!$D6376,nESPEC,DATOS!$E6376,nASIG,DATOS!$I6376,nEVAL,"EX")=0),0))))</f>
      </c>
      <c r="H6376">
        <f>IF(DATOS!$G6376&lt;&gt;"EX",0,--(COUNTIFS(nNIA,DATOS!$A6376,nCURSO,DATOS!$D6376,nESPEC,DATOS!$E6376,nASIG,DATOS!$I6376,nEVAL,"OR")=0))</f>
      </c>
      <c r="I6376">
        <f>IF(DATOS!$I6376="","",IFERROR(VLOOKUP(DATOS!$I6376,CONFIG_ASIGNATURAS!$B$2:$J$91,9,FALSE()),""))</f>
      </c>
    </row>
    <row r="6377">
      <c r="F6377">
        <f>IF(DATOS!$A6377="","",DATOS!$A6377&amp;"|"&amp;DATOS!$D6377&amp;"|"&amp;DATOS!$E6377&amp;"|"&amp;DATOS!$I6377)</f>
      </c>
      <c r="G6377">
        <f>IF(DATOS!$A6377="",0,IF(CONFIG_METADATA!$B$4&lt;&gt;"OR+EX",--(DATOS!$G6377=CONFIG_METADATA!$B$4),IF(DATOS!$G6377="EX",1,IF(DATOS!$G6377="OR",--(COUNTIFS(nNIA,DATOS!$A6377,nCURSO,DATOS!$D6377,nESPEC,DATOS!$E6377,nASIG,DATOS!$I6377,nEVAL,"EX")=0),0))))</f>
      </c>
      <c r="H6377">
        <f>IF(DATOS!$G6377&lt;&gt;"EX",0,--(COUNTIFS(nNIA,DATOS!$A6377,nCURSO,DATOS!$D6377,nESPEC,DATOS!$E6377,nASIG,DATOS!$I6377,nEVAL,"OR")=0))</f>
      </c>
      <c r="I6377">
        <f>IF(DATOS!$I6377="","",IFERROR(VLOOKUP(DATOS!$I6377,CONFIG_ASIGNATURAS!$B$2:$J$91,9,FALSE()),""))</f>
      </c>
    </row>
    <row r="6378">
      <c r="F6378">
        <f>IF(DATOS!$A6378="","",DATOS!$A6378&amp;"|"&amp;DATOS!$D6378&amp;"|"&amp;DATOS!$E6378&amp;"|"&amp;DATOS!$I6378)</f>
      </c>
      <c r="G6378">
        <f>IF(DATOS!$A6378="",0,IF(CONFIG_METADATA!$B$4&lt;&gt;"OR+EX",--(DATOS!$G6378=CONFIG_METADATA!$B$4),IF(DATOS!$G6378="EX",1,IF(DATOS!$G6378="OR",--(COUNTIFS(nNIA,DATOS!$A6378,nCURSO,DATOS!$D6378,nESPEC,DATOS!$E6378,nASIG,DATOS!$I6378,nEVAL,"EX")=0),0))))</f>
      </c>
      <c r="H6378">
        <f>IF(DATOS!$G6378&lt;&gt;"EX",0,--(COUNTIFS(nNIA,DATOS!$A6378,nCURSO,DATOS!$D6378,nESPEC,DATOS!$E6378,nASIG,DATOS!$I6378,nEVAL,"OR")=0))</f>
      </c>
      <c r="I6378">
        <f>IF(DATOS!$I6378="","",IFERROR(VLOOKUP(DATOS!$I6378,CONFIG_ASIGNATURAS!$B$2:$J$91,9,FALSE()),""))</f>
      </c>
    </row>
    <row r="6379">
      <c r="F6379">
        <f>IF(DATOS!$A6379="","",DATOS!$A6379&amp;"|"&amp;DATOS!$D6379&amp;"|"&amp;DATOS!$E6379&amp;"|"&amp;DATOS!$I6379)</f>
      </c>
      <c r="G6379">
        <f>IF(DATOS!$A6379="",0,IF(CONFIG_METADATA!$B$4&lt;&gt;"OR+EX",--(DATOS!$G6379=CONFIG_METADATA!$B$4),IF(DATOS!$G6379="EX",1,IF(DATOS!$G6379="OR",--(COUNTIFS(nNIA,DATOS!$A6379,nCURSO,DATOS!$D6379,nESPEC,DATOS!$E6379,nASIG,DATOS!$I6379,nEVAL,"EX")=0),0))))</f>
      </c>
      <c r="H6379">
        <f>IF(DATOS!$G6379&lt;&gt;"EX",0,--(COUNTIFS(nNIA,DATOS!$A6379,nCURSO,DATOS!$D6379,nESPEC,DATOS!$E6379,nASIG,DATOS!$I6379,nEVAL,"OR")=0))</f>
      </c>
      <c r="I6379">
        <f>IF(DATOS!$I6379="","",IFERROR(VLOOKUP(DATOS!$I6379,CONFIG_ASIGNATURAS!$B$2:$J$91,9,FALSE()),""))</f>
      </c>
    </row>
    <row r="6380">
      <c r="F6380">
        <f>IF(DATOS!$A6380="","",DATOS!$A6380&amp;"|"&amp;DATOS!$D6380&amp;"|"&amp;DATOS!$E6380&amp;"|"&amp;DATOS!$I6380)</f>
      </c>
      <c r="G6380">
        <f>IF(DATOS!$A6380="",0,IF(CONFIG_METADATA!$B$4&lt;&gt;"OR+EX",--(DATOS!$G6380=CONFIG_METADATA!$B$4),IF(DATOS!$G6380="EX",1,IF(DATOS!$G6380="OR",--(COUNTIFS(nNIA,DATOS!$A6380,nCURSO,DATOS!$D6380,nESPEC,DATOS!$E6380,nASIG,DATOS!$I6380,nEVAL,"EX")=0),0))))</f>
      </c>
      <c r="H6380">
        <f>IF(DATOS!$G6380&lt;&gt;"EX",0,--(COUNTIFS(nNIA,DATOS!$A6380,nCURSO,DATOS!$D6380,nESPEC,DATOS!$E6380,nASIG,DATOS!$I6380,nEVAL,"OR")=0))</f>
      </c>
      <c r="I6380">
        <f>IF(DATOS!$I6380="","",IFERROR(VLOOKUP(DATOS!$I6380,CONFIG_ASIGNATURAS!$B$2:$J$91,9,FALSE()),""))</f>
      </c>
    </row>
    <row r="6381">
      <c r="F6381">
        <f>IF(DATOS!$A6381="","",DATOS!$A6381&amp;"|"&amp;DATOS!$D6381&amp;"|"&amp;DATOS!$E6381&amp;"|"&amp;DATOS!$I6381)</f>
      </c>
      <c r="G6381">
        <f>IF(DATOS!$A6381="",0,IF(CONFIG_METADATA!$B$4&lt;&gt;"OR+EX",--(DATOS!$G6381=CONFIG_METADATA!$B$4),IF(DATOS!$G6381="EX",1,IF(DATOS!$G6381="OR",--(COUNTIFS(nNIA,DATOS!$A6381,nCURSO,DATOS!$D6381,nESPEC,DATOS!$E6381,nASIG,DATOS!$I6381,nEVAL,"EX")=0),0))))</f>
      </c>
      <c r="H6381">
        <f>IF(DATOS!$G6381&lt;&gt;"EX",0,--(COUNTIFS(nNIA,DATOS!$A6381,nCURSO,DATOS!$D6381,nESPEC,DATOS!$E6381,nASIG,DATOS!$I6381,nEVAL,"OR")=0))</f>
      </c>
      <c r="I6381">
        <f>IF(DATOS!$I6381="","",IFERROR(VLOOKUP(DATOS!$I6381,CONFIG_ASIGNATURAS!$B$2:$J$91,9,FALSE()),""))</f>
      </c>
    </row>
    <row r="6382">
      <c r="F6382">
        <f>IF(DATOS!$A6382="","",DATOS!$A6382&amp;"|"&amp;DATOS!$D6382&amp;"|"&amp;DATOS!$E6382&amp;"|"&amp;DATOS!$I6382)</f>
      </c>
      <c r="G6382">
        <f>IF(DATOS!$A6382="",0,IF(CONFIG_METADATA!$B$4&lt;&gt;"OR+EX",--(DATOS!$G6382=CONFIG_METADATA!$B$4),IF(DATOS!$G6382="EX",1,IF(DATOS!$G6382="OR",--(COUNTIFS(nNIA,DATOS!$A6382,nCURSO,DATOS!$D6382,nESPEC,DATOS!$E6382,nASIG,DATOS!$I6382,nEVAL,"EX")=0),0))))</f>
      </c>
      <c r="H6382">
        <f>IF(DATOS!$G6382&lt;&gt;"EX",0,--(COUNTIFS(nNIA,DATOS!$A6382,nCURSO,DATOS!$D6382,nESPEC,DATOS!$E6382,nASIG,DATOS!$I6382,nEVAL,"OR")=0))</f>
      </c>
      <c r="I6382">
        <f>IF(DATOS!$I6382="","",IFERROR(VLOOKUP(DATOS!$I6382,CONFIG_ASIGNATURAS!$B$2:$J$91,9,FALSE()),""))</f>
      </c>
    </row>
    <row r="6383">
      <c r="F6383">
        <f>IF(DATOS!$A6383="","",DATOS!$A6383&amp;"|"&amp;DATOS!$D6383&amp;"|"&amp;DATOS!$E6383&amp;"|"&amp;DATOS!$I6383)</f>
      </c>
      <c r="G6383">
        <f>IF(DATOS!$A6383="",0,IF(CONFIG_METADATA!$B$4&lt;&gt;"OR+EX",--(DATOS!$G6383=CONFIG_METADATA!$B$4),IF(DATOS!$G6383="EX",1,IF(DATOS!$G6383="OR",--(COUNTIFS(nNIA,DATOS!$A6383,nCURSO,DATOS!$D6383,nESPEC,DATOS!$E6383,nASIG,DATOS!$I6383,nEVAL,"EX")=0),0))))</f>
      </c>
      <c r="H6383">
        <f>IF(DATOS!$G6383&lt;&gt;"EX",0,--(COUNTIFS(nNIA,DATOS!$A6383,nCURSO,DATOS!$D6383,nESPEC,DATOS!$E6383,nASIG,DATOS!$I6383,nEVAL,"OR")=0))</f>
      </c>
      <c r="I6383">
        <f>IF(DATOS!$I6383="","",IFERROR(VLOOKUP(DATOS!$I6383,CONFIG_ASIGNATURAS!$B$2:$J$91,9,FALSE()),""))</f>
      </c>
    </row>
    <row r="6384">
      <c r="F6384">
        <f>IF(DATOS!$A6384="","",DATOS!$A6384&amp;"|"&amp;DATOS!$D6384&amp;"|"&amp;DATOS!$E6384&amp;"|"&amp;DATOS!$I6384)</f>
      </c>
      <c r="G6384">
        <f>IF(DATOS!$A6384="",0,IF(CONFIG_METADATA!$B$4&lt;&gt;"OR+EX",--(DATOS!$G6384=CONFIG_METADATA!$B$4),IF(DATOS!$G6384="EX",1,IF(DATOS!$G6384="OR",--(COUNTIFS(nNIA,DATOS!$A6384,nCURSO,DATOS!$D6384,nESPEC,DATOS!$E6384,nASIG,DATOS!$I6384,nEVAL,"EX")=0),0))))</f>
      </c>
      <c r="H6384">
        <f>IF(DATOS!$G6384&lt;&gt;"EX",0,--(COUNTIFS(nNIA,DATOS!$A6384,nCURSO,DATOS!$D6384,nESPEC,DATOS!$E6384,nASIG,DATOS!$I6384,nEVAL,"OR")=0))</f>
      </c>
      <c r="I6384">
        <f>IF(DATOS!$I6384="","",IFERROR(VLOOKUP(DATOS!$I6384,CONFIG_ASIGNATURAS!$B$2:$J$91,9,FALSE()),""))</f>
      </c>
    </row>
    <row r="6385">
      <c r="F6385">
        <f>IF(DATOS!$A6385="","",DATOS!$A6385&amp;"|"&amp;DATOS!$D6385&amp;"|"&amp;DATOS!$E6385&amp;"|"&amp;DATOS!$I6385)</f>
      </c>
      <c r="G6385">
        <f>IF(DATOS!$A6385="",0,IF(CONFIG_METADATA!$B$4&lt;&gt;"OR+EX",--(DATOS!$G6385=CONFIG_METADATA!$B$4),IF(DATOS!$G6385="EX",1,IF(DATOS!$G6385="OR",--(COUNTIFS(nNIA,DATOS!$A6385,nCURSO,DATOS!$D6385,nESPEC,DATOS!$E6385,nASIG,DATOS!$I6385,nEVAL,"EX")=0),0))))</f>
      </c>
      <c r="H6385">
        <f>IF(DATOS!$G6385&lt;&gt;"EX",0,--(COUNTIFS(nNIA,DATOS!$A6385,nCURSO,DATOS!$D6385,nESPEC,DATOS!$E6385,nASIG,DATOS!$I6385,nEVAL,"OR")=0))</f>
      </c>
      <c r="I6385">
        <f>IF(DATOS!$I6385="","",IFERROR(VLOOKUP(DATOS!$I6385,CONFIG_ASIGNATURAS!$B$2:$J$91,9,FALSE()),""))</f>
      </c>
    </row>
    <row r="6386">
      <c r="F6386">
        <f>IF(DATOS!$A6386="","",DATOS!$A6386&amp;"|"&amp;DATOS!$D6386&amp;"|"&amp;DATOS!$E6386&amp;"|"&amp;DATOS!$I6386)</f>
      </c>
      <c r="G6386">
        <f>IF(DATOS!$A6386="",0,IF(CONFIG_METADATA!$B$4&lt;&gt;"OR+EX",--(DATOS!$G6386=CONFIG_METADATA!$B$4),IF(DATOS!$G6386="EX",1,IF(DATOS!$G6386="OR",--(COUNTIFS(nNIA,DATOS!$A6386,nCURSO,DATOS!$D6386,nESPEC,DATOS!$E6386,nASIG,DATOS!$I6386,nEVAL,"EX")=0),0))))</f>
      </c>
      <c r="H6386">
        <f>IF(DATOS!$G6386&lt;&gt;"EX",0,--(COUNTIFS(nNIA,DATOS!$A6386,nCURSO,DATOS!$D6386,nESPEC,DATOS!$E6386,nASIG,DATOS!$I6386,nEVAL,"OR")=0))</f>
      </c>
      <c r="I6386">
        <f>IF(DATOS!$I6386="","",IFERROR(VLOOKUP(DATOS!$I6386,CONFIG_ASIGNATURAS!$B$2:$J$91,9,FALSE()),""))</f>
      </c>
    </row>
    <row r="6387">
      <c r="F6387">
        <f>IF(DATOS!$A6387="","",DATOS!$A6387&amp;"|"&amp;DATOS!$D6387&amp;"|"&amp;DATOS!$E6387&amp;"|"&amp;DATOS!$I6387)</f>
      </c>
      <c r="G6387">
        <f>IF(DATOS!$A6387="",0,IF(CONFIG_METADATA!$B$4&lt;&gt;"OR+EX",--(DATOS!$G6387=CONFIG_METADATA!$B$4),IF(DATOS!$G6387="EX",1,IF(DATOS!$G6387="OR",--(COUNTIFS(nNIA,DATOS!$A6387,nCURSO,DATOS!$D6387,nESPEC,DATOS!$E6387,nASIG,DATOS!$I6387,nEVAL,"EX")=0),0))))</f>
      </c>
      <c r="H6387">
        <f>IF(DATOS!$G6387&lt;&gt;"EX",0,--(COUNTIFS(nNIA,DATOS!$A6387,nCURSO,DATOS!$D6387,nESPEC,DATOS!$E6387,nASIG,DATOS!$I6387,nEVAL,"OR")=0))</f>
      </c>
      <c r="I6387">
        <f>IF(DATOS!$I6387="","",IFERROR(VLOOKUP(DATOS!$I6387,CONFIG_ASIGNATURAS!$B$2:$J$91,9,FALSE()),""))</f>
      </c>
    </row>
    <row r="6388">
      <c r="F6388">
        <f>IF(DATOS!$A6388="","",DATOS!$A6388&amp;"|"&amp;DATOS!$D6388&amp;"|"&amp;DATOS!$E6388&amp;"|"&amp;DATOS!$I6388)</f>
      </c>
      <c r="G6388">
        <f>IF(DATOS!$A6388="",0,IF(CONFIG_METADATA!$B$4&lt;&gt;"OR+EX",--(DATOS!$G6388=CONFIG_METADATA!$B$4),IF(DATOS!$G6388="EX",1,IF(DATOS!$G6388="OR",--(COUNTIFS(nNIA,DATOS!$A6388,nCURSO,DATOS!$D6388,nESPEC,DATOS!$E6388,nASIG,DATOS!$I6388,nEVAL,"EX")=0),0))))</f>
      </c>
      <c r="H6388">
        <f>IF(DATOS!$G6388&lt;&gt;"EX",0,--(COUNTIFS(nNIA,DATOS!$A6388,nCURSO,DATOS!$D6388,nESPEC,DATOS!$E6388,nASIG,DATOS!$I6388,nEVAL,"OR")=0))</f>
      </c>
      <c r="I6388">
        <f>IF(DATOS!$I6388="","",IFERROR(VLOOKUP(DATOS!$I6388,CONFIG_ASIGNATURAS!$B$2:$J$91,9,FALSE()),""))</f>
      </c>
    </row>
    <row r="6389">
      <c r="F6389">
        <f>IF(DATOS!$A6389="","",DATOS!$A6389&amp;"|"&amp;DATOS!$D6389&amp;"|"&amp;DATOS!$E6389&amp;"|"&amp;DATOS!$I6389)</f>
      </c>
      <c r="G6389">
        <f>IF(DATOS!$A6389="",0,IF(CONFIG_METADATA!$B$4&lt;&gt;"OR+EX",--(DATOS!$G6389=CONFIG_METADATA!$B$4),IF(DATOS!$G6389="EX",1,IF(DATOS!$G6389="OR",--(COUNTIFS(nNIA,DATOS!$A6389,nCURSO,DATOS!$D6389,nESPEC,DATOS!$E6389,nASIG,DATOS!$I6389,nEVAL,"EX")=0),0))))</f>
      </c>
      <c r="H6389">
        <f>IF(DATOS!$G6389&lt;&gt;"EX",0,--(COUNTIFS(nNIA,DATOS!$A6389,nCURSO,DATOS!$D6389,nESPEC,DATOS!$E6389,nASIG,DATOS!$I6389,nEVAL,"OR")=0))</f>
      </c>
      <c r="I6389">
        <f>IF(DATOS!$I6389="","",IFERROR(VLOOKUP(DATOS!$I6389,CONFIG_ASIGNATURAS!$B$2:$J$91,9,FALSE()),""))</f>
      </c>
    </row>
    <row r="6390">
      <c r="F6390">
        <f>IF(DATOS!$A6390="","",DATOS!$A6390&amp;"|"&amp;DATOS!$D6390&amp;"|"&amp;DATOS!$E6390&amp;"|"&amp;DATOS!$I6390)</f>
      </c>
      <c r="G6390">
        <f>IF(DATOS!$A6390="",0,IF(CONFIG_METADATA!$B$4&lt;&gt;"OR+EX",--(DATOS!$G6390=CONFIG_METADATA!$B$4),IF(DATOS!$G6390="EX",1,IF(DATOS!$G6390="OR",--(COUNTIFS(nNIA,DATOS!$A6390,nCURSO,DATOS!$D6390,nESPEC,DATOS!$E6390,nASIG,DATOS!$I6390,nEVAL,"EX")=0),0))))</f>
      </c>
      <c r="H6390">
        <f>IF(DATOS!$G6390&lt;&gt;"EX",0,--(COUNTIFS(nNIA,DATOS!$A6390,nCURSO,DATOS!$D6390,nESPEC,DATOS!$E6390,nASIG,DATOS!$I6390,nEVAL,"OR")=0))</f>
      </c>
      <c r="I6390">
        <f>IF(DATOS!$I6390="","",IFERROR(VLOOKUP(DATOS!$I6390,CONFIG_ASIGNATURAS!$B$2:$J$91,9,FALSE()),""))</f>
      </c>
    </row>
    <row r="6391">
      <c r="F6391">
        <f>IF(DATOS!$A6391="","",DATOS!$A6391&amp;"|"&amp;DATOS!$D6391&amp;"|"&amp;DATOS!$E6391&amp;"|"&amp;DATOS!$I6391)</f>
      </c>
      <c r="G6391">
        <f>IF(DATOS!$A6391="",0,IF(CONFIG_METADATA!$B$4&lt;&gt;"OR+EX",--(DATOS!$G6391=CONFIG_METADATA!$B$4),IF(DATOS!$G6391="EX",1,IF(DATOS!$G6391="OR",--(COUNTIFS(nNIA,DATOS!$A6391,nCURSO,DATOS!$D6391,nESPEC,DATOS!$E6391,nASIG,DATOS!$I6391,nEVAL,"EX")=0),0))))</f>
      </c>
      <c r="H6391">
        <f>IF(DATOS!$G6391&lt;&gt;"EX",0,--(COUNTIFS(nNIA,DATOS!$A6391,nCURSO,DATOS!$D6391,nESPEC,DATOS!$E6391,nASIG,DATOS!$I6391,nEVAL,"OR")=0))</f>
      </c>
      <c r="I6391">
        <f>IF(DATOS!$I6391="","",IFERROR(VLOOKUP(DATOS!$I6391,CONFIG_ASIGNATURAS!$B$2:$J$91,9,FALSE()),""))</f>
      </c>
    </row>
    <row r="6392">
      <c r="F6392">
        <f>IF(DATOS!$A6392="","",DATOS!$A6392&amp;"|"&amp;DATOS!$D6392&amp;"|"&amp;DATOS!$E6392&amp;"|"&amp;DATOS!$I6392)</f>
      </c>
      <c r="G6392">
        <f>IF(DATOS!$A6392="",0,IF(CONFIG_METADATA!$B$4&lt;&gt;"OR+EX",--(DATOS!$G6392=CONFIG_METADATA!$B$4),IF(DATOS!$G6392="EX",1,IF(DATOS!$G6392="OR",--(COUNTIFS(nNIA,DATOS!$A6392,nCURSO,DATOS!$D6392,nESPEC,DATOS!$E6392,nASIG,DATOS!$I6392,nEVAL,"EX")=0),0))))</f>
      </c>
      <c r="H6392">
        <f>IF(DATOS!$G6392&lt;&gt;"EX",0,--(COUNTIFS(nNIA,DATOS!$A6392,nCURSO,DATOS!$D6392,nESPEC,DATOS!$E6392,nASIG,DATOS!$I6392,nEVAL,"OR")=0))</f>
      </c>
      <c r="I6392">
        <f>IF(DATOS!$I6392="","",IFERROR(VLOOKUP(DATOS!$I6392,CONFIG_ASIGNATURAS!$B$2:$J$91,9,FALSE()),""))</f>
      </c>
    </row>
    <row r="6393">
      <c r="F6393">
        <f>IF(DATOS!$A6393="","",DATOS!$A6393&amp;"|"&amp;DATOS!$D6393&amp;"|"&amp;DATOS!$E6393&amp;"|"&amp;DATOS!$I6393)</f>
      </c>
      <c r="G6393">
        <f>IF(DATOS!$A6393="",0,IF(CONFIG_METADATA!$B$4&lt;&gt;"OR+EX",--(DATOS!$G6393=CONFIG_METADATA!$B$4),IF(DATOS!$G6393="EX",1,IF(DATOS!$G6393="OR",--(COUNTIFS(nNIA,DATOS!$A6393,nCURSO,DATOS!$D6393,nESPEC,DATOS!$E6393,nASIG,DATOS!$I6393,nEVAL,"EX")=0),0))))</f>
      </c>
      <c r="H6393">
        <f>IF(DATOS!$G6393&lt;&gt;"EX",0,--(COUNTIFS(nNIA,DATOS!$A6393,nCURSO,DATOS!$D6393,nESPEC,DATOS!$E6393,nASIG,DATOS!$I6393,nEVAL,"OR")=0))</f>
      </c>
      <c r="I6393">
        <f>IF(DATOS!$I6393="","",IFERROR(VLOOKUP(DATOS!$I6393,CONFIG_ASIGNATURAS!$B$2:$J$91,9,FALSE()),""))</f>
      </c>
    </row>
    <row r="6394">
      <c r="F6394">
        <f>IF(DATOS!$A6394="","",DATOS!$A6394&amp;"|"&amp;DATOS!$D6394&amp;"|"&amp;DATOS!$E6394&amp;"|"&amp;DATOS!$I6394)</f>
      </c>
      <c r="G6394">
        <f>IF(DATOS!$A6394="",0,IF(CONFIG_METADATA!$B$4&lt;&gt;"OR+EX",--(DATOS!$G6394=CONFIG_METADATA!$B$4),IF(DATOS!$G6394="EX",1,IF(DATOS!$G6394="OR",--(COUNTIFS(nNIA,DATOS!$A6394,nCURSO,DATOS!$D6394,nESPEC,DATOS!$E6394,nASIG,DATOS!$I6394,nEVAL,"EX")=0),0))))</f>
      </c>
      <c r="H6394">
        <f>IF(DATOS!$G6394&lt;&gt;"EX",0,--(COUNTIFS(nNIA,DATOS!$A6394,nCURSO,DATOS!$D6394,nESPEC,DATOS!$E6394,nASIG,DATOS!$I6394,nEVAL,"OR")=0))</f>
      </c>
      <c r="I6394">
        <f>IF(DATOS!$I6394="","",IFERROR(VLOOKUP(DATOS!$I6394,CONFIG_ASIGNATURAS!$B$2:$J$91,9,FALSE()),""))</f>
      </c>
    </row>
    <row r="6395">
      <c r="F6395">
        <f>IF(DATOS!$A6395="","",DATOS!$A6395&amp;"|"&amp;DATOS!$D6395&amp;"|"&amp;DATOS!$E6395&amp;"|"&amp;DATOS!$I6395)</f>
      </c>
      <c r="G6395">
        <f>IF(DATOS!$A6395="",0,IF(CONFIG_METADATA!$B$4&lt;&gt;"OR+EX",--(DATOS!$G6395=CONFIG_METADATA!$B$4),IF(DATOS!$G6395="EX",1,IF(DATOS!$G6395="OR",--(COUNTIFS(nNIA,DATOS!$A6395,nCURSO,DATOS!$D6395,nESPEC,DATOS!$E6395,nASIG,DATOS!$I6395,nEVAL,"EX")=0),0))))</f>
      </c>
      <c r="H6395">
        <f>IF(DATOS!$G6395&lt;&gt;"EX",0,--(COUNTIFS(nNIA,DATOS!$A6395,nCURSO,DATOS!$D6395,nESPEC,DATOS!$E6395,nASIG,DATOS!$I6395,nEVAL,"OR")=0))</f>
      </c>
      <c r="I6395">
        <f>IF(DATOS!$I6395="","",IFERROR(VLOOKUP(DATOS!$I6395,CONFIG_ASIGNATURAS!$B$2:$J$91,9,FALSE()),""))</f>
      </c>
    </row>
    <row r="6396">
      <c r="F6396">
        <f>IF(DATOS!$A6396="","",DATOS!$A6396&amp;"|"&amp;DATOS!$D6396&amp;"|"&amp;DATOS!$E6396&amp;"|"&amp;DATOS!$I6396)</f>
      </c>
      <c r="G6396">
        <f>IF(DATOS!$A6396="",0,IF(CONFIG_METADATA!$B$4&lt;&gt;"OR+EX",--(DATOS!$G6396=CONFIG_METADATA!$B$4),IF(DATOS!$G6396="EX",1,IF(DATOS!$G6396="OR",--(COUNTIFS(nNIA,DATOS!$A6396,nCURSO,DATOS!$D6396,nESPEC,DATOS!$E6396,nASIG,DATOS!$I6396,nEVAL,"EX")=0),0))))</f>
      </c>
      <c r="H6396">
        <f>IF(DATOS!$G6396&lt;&gt;"EX",0,--(COUNTIFS(nNIA,DATOS!$A6396,nCURSO,DATOS!$D6396,nESPEC,DATOS!$E6396,nASIG,DATOS!$I6396,nEVAL,"OR")=0))</f>
      </c>
      <c r="I6396">
        <f>IF(DATOS!$I6396="","",IFERROR(VLOOKUP(DATOS!$I6396,CONFIG_ASIGNATURAS!$B$2:$J$91,9,FALSE()),""))</f>
      </c>
    </row>
    <row r="6397">
      <c r="F6397">
        <f>IF(DATOS!$A6397="","",DATOS!$A6397&amp;"|"&amp;DATOS!$D6397&amp;"|"&amp;DATOS!$E6397&amp;"|"&amp;DATOS!$I6397)</f>
      </c>
      <c r="G6397">
        <f>IF(DATOS!$A6397="",0,IF(CONFIG_METADATA!$B$4&lt;&gt;"OR+EX",--(DATOS!$G6397=CONFIG_METADATA!$B$4),IF(DATOS!$G6397="EX",1,IF(DATOS!$G6397="OR",--(COUNTIFS(nNIA,DATOS!$A6397,nCURSO,DATOS!$D6397,nESPEC,DATOS!$E6397,nASIG,DATOS!$I6397,nEVAL,"EX")=0),0))))</f>
      </c>
      <c r="H6397">
        <f>IF(DATOS!$G6397&lt;&gt;"EX",0,--(COUNTIFS(nNIA,DATOS!$A6397,nCURSO,DATOS!$D6397,nESPEC,DATOS!$E6397,nASIG,DATOS!$I6397,nEVAL,"OR")=0))</f>
      </c>
      <c r="I6397">
        <f>IF(DATOS!$I6397="","",IFERROR(VLOOKUP(DATOS!$I6397,CONFIG_ASIGNATURAS!$B$2:$J$91,9,FALSE()),""))</f>
      </c>
    </row>
    <row r="6398">
      <c r="F6398">
        <f>IF(DATOS!$A6398="","",DATOS!$A6398&amp;"|"&amp;DATOS!$D6398&amp;"|"&amp;DATOS!$E6398&amp;"|"&amp;DATOS!$I6398)</f>
      </c>
      <c r="G6398">
        <f>IF(DATOS!$A6398="",0,IF(CONFIG_METADATA!$B$4&lt;&gt;"OR+EX",--(DATOS!$G6398=CONFIG_METADATA!$B$4),IF(DATOS!$G6398="EX",1,IF(DATOS!$G6398="OR",--(COUNTIFS(nNIA,DATOS!$A6398,nCURSO,DATOS!$D6398,nESPEC,DATOS!$E6398,nASIG,DATOS!$I6398,nEVAL,"EX")=0),0))))</f>
      </c>
      <c r="H6398">
        <f>IF(DATOS!$G6398&lt;&gt;"EX",0,--(COUNTIFS(nNIA,DATOS!$A6398,nCURSO,DATOS!$D6398,nESPEC,DATOS!$E6398,nASIG,DATOS!$I6398,nEVAL,"OR")=0))</f>
      </c>
      <c r="I6398">
        <f>IF(DATOS!$I6398="","",IFERROR(VLOOKUP(DATOS!$I6398,CONFIG_ASIGNATURAS!$B$2:$J$91,9,FALSE()),""))</f>
      </c>
    </row>
    <row r="6399">
      <c r="F6399">
        <f>IF(DATOS!$A6399="","",DATOS!$A6399&amp;"|"&amp;DATOS!$D6399&amp;"|"&amp;DATOS!$E6399&amp;"|"&amp;DATOS!$I6399)</f>
      </c>
      <c r="G6399">
        <f>IF(DATOS!$A6399="",0,IF(CONFIG_METADATA!$B$4&lt;&gt;"OR+EX",--(DATOS!$G6399=CONFIG_METADATA!$B$4),IF(DATOS!$G6399="EX",1,IF(DATOS!$G6399="OR",--(COUNTIFS(nNIA,DATOS!$A6399,nCURSO,DATOS!$D6399,nESPEC,DATOS!$E6399,nASIG,DATOS!$I6399,nEVAL,"EX")=0),0))))</f>
      </c>
      <c r="H6399">
        <f>IF(DATOS!$G6399&lt;&gt;"EX",0,--(COUNTIFS(nNIA,DATOS!$A6399,nCURSO,DATOS!$D6399,nESPEC,DATOS!$E6399,nASIG,DATOS!$I6399,nEVAL,"OR")=0))</f>
      </c>
      <c r="I6399">
        <f>IF(DATOS!$I6399="","",IFERROR(VLOOKUP(DATOS!$I6399,CONFIG_ASIGNATURAS!$B$2:$J$91,9,FALSE()),""))</f>
      </c>
    </row>
    <row r="6400">
      <c r="F6400">
        <f>IF(DATOS!$A6400="","",DATOS!$A6400&amp;"|"&amp;DATOS!$D6400&amp;"|"&amp;DATOS!$E6400&amp;"|"&amp;DATOS!$I6400)</f>
      </c>
      <c r="G6400">
        <f>IF(DATOS!$A6400="",0,IF(CONFIG_METADATA!$B$4&lt;&gt;"OR+EX",--(DATOS!$G6400=CONFIG_METADATA!$B$4),IF(DATOS!$G6400="EX",1,IF(DATOS!$G6400="OR",--(COUNTIFS(nNIA,DATOS!$A6400,nCURSO,DATOS!$D6400,nESPEC,DATOS!$E6400,nASIG,DATOS!$I6400,nEVAL,"EX")=0),0))))</f>
      </c>
      <c r="H6400">
        <f>IF(DATOS!$G6400&lt;&gt;"EX",0,--(COUNTIFS(nNIA,DATOS!$A6400,nCURSO,DATOS!$D6400,nESPEC,DATOS!$E6400,nASIG,DATOS!$I6400,nEVAL,"OR")=0))</f>
      </c>
      <c r="I6400">
        <f>IF(DATOS!$I6400="","",IFERROR(VLOOKUP(DATOS!$I6400,CONFIG_ASIGNATURAS!$B$2:$J$91,9,FALSE()),""))</f>
      </c>
    </row>
    <row r="6401">
      <c r="F6401">
        <f>IF(DATOS!$A6401="","",DATOS!$A6401&amp;"|"&amp;DATOS!$D6401&amp;"|"&amp;DATOS!$E6401&amp;"|"&amp;DATOS!$I6401)</f>
      </c>
      <c r="G6401">
        <f>IF(DATOS!$A6401="",0,IF(CONFIG_METADATA!$B$4&lt;&gt;"OR+EX",--(DATOS!$G6401=CONFIG_METADATA!$B$4),IF(DATOS!$G6401="EX",1,IF(DATOS!$G6401="OR",--(COUNTIFS(nNIA,DATOS!$A6401,nCURSO,DATOS!$D6401,nESPEC,DATOS!$E6401,nASIG,DATOS!$I6401,nEVAL,"EX")=0),0))))</f>
      </c>
      <c r="H6401">
        <f>IF(DATOS!$G6401&lt;&gt;"EX",0,--(COUNTIFS(nNIA,DATOS!$A6401,nCURSO,DATOS!$D6401,nESPEC,DATOS!$E6401,nASIG,DATOS!$I6401,nEVAL,"OR")=0))</f>
      </c>
      <c r="I6401">
        <f>IF(DATOS!$I6401="","",IFERROR(VLOOKUP(DATOS!$I6401,CONFIG_ASIGNATURAS!$B$2:$J$91,9,FALSE()),""))</f>
      </c>
    </row>
    <row r="6402">
      <c r="F6402">
        <f>IF(DATOS!$A6402="","",DATOS!$A6402&amp;"|"&amp;DATOS!$D6402&amp;"|"&amp;DATOS!$E6402&amp;"|"&amp;DATOS!$I6402)</f>
      </c>
      <c r="G6402">
        <f>IF(DATOS!$A6402="",0,IF(CONFIG_METADATA!$B$4&lt;&gt;"OR+EX",--(DATOS!$G6402=CONFIG_METADATA!$B$4),IF(DATOS!$G6402="EX",1,IF(DATOS!$G6402="OR",--(COUNTIFS(nNIA,DATOS!$A6402,nCURSO,DATOS!$D6402,nESPEC,DATOS!$E6402,nASIG,DATOS!$I6402,nEVAL,"EX")=0),0))))</f>
      </c>
      <c r="H6402">
        <f>IF(DATOS!$G6402&lt;&gt;"EX",0,--(COUNTIFS(nNIA,DATOS!$A6402,nCURSO,DATOS!$D6402,nESPEC,DATOS!$E6402,nASIG,DATOS!$I6402,nEVAL,"OR")=0))</f>
      </c>
      <c r="I6402">
        <f>IF(DATOS!$I6402="","",IFERROR(VLOOKUP(DATOS!$I6402,CONFIG_ASIGNATURAS!$B$2:$J$91,9,FALSE()),""))</f>
      </c>
    </row>
    <row r="6403">
      <c r="F6403">
        <f>IF(DATOS!$A6403="","",DATOS!$A6403&amp;"|"&amp;DATOS!$D6403&amp;"|"&amp;DATOS!$E6403&amp;"|"&amp;DATOS!$I6403)</f>
      </c>
      <c r="G6403">
        <f>IF(DATOS!$A6403="",0,IF(CONFIG_METADATA!$B$4&lt;&gt;"OR+EX",--(DATOS!$G6403=CONFIG_METADATA!$B$4),IF(DATOS!$G6403="EX",1,IF(DATOS!$G6403="OR",--(COUNTIFS(nNIA,DATOS!$A6403,nCURSO,DATOS!$D6403,nESPEC,DATOS!$E6403,nASIG,DATOS!$I6403,nEVAL,"EX")=0),0))))</f>
      </c>
      <c r="H6403">
        <f>IF(DATOS!$G6403&lt;&gt;"EX",0,--(COUNTIFS(nNIA,DATOS!$A6403,nCURSO,DATOS!$D6403,nESPEC,DATOS!$E6403,nASIG,DATOS!$I6403,nEVAL,"OR")=0))</f>
      </c>
      <c r="I6403">
        <f>IF(DATOS!$I6403="","",IFERROR(VLOOKUP(DATOS!$I6403,CONFIG_ASIGNATURAS!$B$2:$J$91,9,FALSE()),""))</f>
      </c>
    </row>
    <row r="6404">
      <c r="F6404">
        <f>IF(DATOS!$A6404="","",DATOS!$A6404&amp;"|"&amp;DATOS!$D6404&amp;"|"&amp;DATOS!$E6404&amp;"|"&amp;DATOS!$I6404)</f>
      </c>
      <c r="G6404">
        <f>IF(DATOS!$A6404="",0,IF(CONFIG_METADATA!$B$4&lt;&gt;"OR+EX",--(DATOS!$G6404=CONFIG_METADATA!$B$4),IF(DATOS!$G6404="EX",1,IF(DATOS!$G6404="OR",--(COUNTIFS(nNIA,DATOS!$A6404,nCURSO,DATOS!$D6404,nESPEC,DATOS!$E6404,nASIG,DATOS!$I6404,nEVAL,"EX")=0),0))))</f>
      </c>
      <c r="H6404">
        <f>IF(DATOS!$G6404&lt;&gt;"EX",0,--(COUNTIFS(nNIA,DATOS!$A6404,nCURSO,DATOS!$D6404,nESPEC,DATOS!$E6404,nASIG,DATOS!$I6404,nEVAL,"OR")=0))</f>
      </c>
      <c r="I6404">
        <f>IF(DATOS!$I6404="","",IFERROR(VLOOKUP(DATOS!$I6404,CONFIG_ASIGNATURAS!$B$2:$J$91,9,FALSE()),""))</f>
      </c>
    </row>
    <row r="6405">
      <c r="F6405">
        <f>IF(DATOS!$A6405="","",DATOS!$A6405&amp;"|"&amp;DATOS!$D6405&amp;"|"&amp;DATOS!$E6405&amp;"|"&amp;DATOS!$I6405)</f>
      </c>
      <c r="G6405">
        <f>IF(DATOS!$A6405="",0,IF(CONFIG_METADATA!$B$4&lt;&gt;"OR+EX",--(DATOS!$G6405=CONFIG_METADATA!$B$4),IF(DATOS!$G6405="EX",1,IF(DATOS!$G6405="OR",--(COUNTIFS(nNIA,DATOS!$A6405,nCURSO,DATOS!$D6405,nESPEC,DATOS!$E6405,nASIG,DATOS!$I6405,nEVAL,"EX")=0),0))))</f>
      </c>
      <c r="H6405">
        <f>IF(DATOS!$G6405&lt;&gt;"EX",0,--(COUNTIFS(nNIA,DATOS!$A6405,nCURSO,DATOS!$D6405,nESPEC,DATOS!$E6405,nASIG,DATOS!$I6405,nEVAL,"OR")=0))</f>
      </c>
      <c r="I6405">
        <f>IF(DATOS!$I6405="","",IFERROR(VLOOKUP(DATOS!$I6405,CONFIG_ASIGNATURAS!$B$2:$J$91,9,FALSE()),""))</f>
      </c>
    </row>
    <row r="6406">
      <c r="F6406">
        <f>IF(DATOS!$A6406="","",DATOS!$A6406&amp;"|"&amp;DATOS!$D6406&amp;"|"&amp;DATOS!$E6406&amp;"|"&amp;DATOS!$I6406)</f>
      </c>
      <c r="G6406">
        <f>IF(DATOS!$A6406="",0,IF(CONFIG_METADATA!$B$4&lt;&gt;"OR+EX",--(DATOS!$G6406=CONFIG_METADATA!$B$4),IF(DATOS!$G6406="EX",1,IF(DATOS!$G6406="OR",--(COUNTIFS(nNIA,DATOS!$A6406,nCURSO,DATOS!$D6406,nESPEC,DATOS!$E6406,nASIG,DATOS!$I6406,nEVAL,"EX")=0),0))))</f>
      </c>
      <c r="H6406">
        <f>IF(DATOS!$G6406&lt;&gt;"EX",0,--(COUNTIFS(nNIA,DATOS!$A6406,nCURSO,DATOS!$D6406,nESPEC,DATOS!$E6406,nASIG,DATOS!$I6406,nEVAL,"OR")=0))</f>
      </c>
      <c r="I6406">
        <f>IF(DATOS!$I6406="","",IFERROR(VLOOKUP(DATOS!$I6406,CONFIG_ASIGNATURAS!$B$2:$J$91,9,FALSE()),""))</f>
      </c>
    </row>
    <row r="6407">
      <c r="F6407">
        <f>IF(DATOS!$A6407="","",DATOS!$A6407&amp;"|"&amp;DATOS!$D6407&amp;"|"&amp;DATOS!$E6407&amp;"|"&amp;DATOS!$I6407)</f>
      </c>
      <c r="G6407">
        <f>IF(DATOS!$A6407="",0,IF(CONFIG_METADATA!$B$4&lt;&gt;"OR+EX",--(DATOS!$G6407=CONFIG_METADATA!$B$4),IF(DATOS!$G6407="EX",1,IF(DATOS!$G6407="OR",--(COUNTIFS(nNIA,DATOS!$A6407,nCURSO,DATOS!$D6407,nESPEC,DATOS!$E6407,nASIG,DATOS!$I6407,nEVAL,"EX")=0),0))))</f>
      </c>
      <c r="H6407">
        <f>IF(DATOS!$G6407&lt;&gt;"EX",0,--(COUNTIFS(nNIA,DATOS!$A6407,nCURSO,DATOS!$D6407,nESPEC,DATOS!$E6407,nASIG,DATOS!$I6407,nEVAL,"OR")=0))</f>
      </c>
      <c r="I6407">
        <f>IF(DATOS!$I6407="","",IFERROR(VLOOKUP(DATOS!$I6407,CONFIG_ASIGNATURAS!$B$2:$J$91,9,FALSE()),""))</f>
      </c>
    </row>
    <row r="6408">
      <c r="F6408">
        <f>IF(DATOS!$A6408="","",DATOS!$A6408&amp;"|"&amp;DATOS!$D6408&amp;"|"&amp;DATOS!$E6408&amp;"|"&amp;DATOS!$I6408)</f>
      </c>
      <c r="G6408">
        <f>IF(DATOS!$A6408="",0,IF(CONFIG_METADATA!$B$4&lt;&gt;"OR+EX",--(DATOS!$G6408=CONFIG_METADATA!$B$4),IF(DATOS!$G6408="EX",1,IF(DATOS!$G6408="OR",--(COUNTIFS(nNIA,DATOS!$A6408,nCURSO,DATOS!$D6408,nESPEC,DATOS!$E6408,nASIG,DATOS!$I6408,nEVAL,"EX")=0),0))))</f>
      </c>
      <c r="H6408">
        <f>IF(DATOS!$G6408&lt;&gt;"EX",0,--(COUNTIFS(nNIA,DATOS!$A6408,nCURSO,DATOS!$D6408,nESPEC,DATOS!$E6408,nASIG,DATOS!$I6408,nEVAL,"OR")=0))</f>
      </c>
      <c r="I6408">
        <f>IF(DATOS!$I6408="","",IFERROR(VLOOKUP(DATOS!$I6408,CONFIG_ASIGNATURAS!$B$2:$J$91,9,FALSE()),""))</f>
      </c>
    </row>
    <row r="6409">
      <c r="F6409">
        <f>IF(DATOS!$A6409="","",DATOS!$A6409&amp;"|"&amp;DATOS!$D6409&amp;"|"&amp;DATOS!$E6409&amp;"|"&amp;DATOS!$I6409)</f>
      </c>
      <c r="G6409">
        <f>IF(DATOS!$A6409="",0,IF(CONFIG_METADATA!$B$4&lt;&gt;"OR+EX",--(DATOS!$G6409=CONFIG_METADATA!$B$4),IF(DATOS!$G6409="EX",1,IF(DATOS!$G6409="OR",--(COUNTIFS(nNIA,DATOS!$A6409,nCURSO,DATOS!$D6409,nESPEC,DATOS!$E6409,nASIG,DATOS!$I6409,nEVAL,"EX")=0),0))))</f>
      </c>
      <c r="H6409">
        <f>IF(DATOS!$G6409&lt;&gt;"EX",0,--(COUNTIFS(nNIA,DATOS!$A6409,nCURSO,DATOS!$D6409,nESPEC,DATOS!$E6409,nASIG,DATOS!$I6409,nEVAL,"OR")=0))</f>
      </c>
      <c r="I6409">
        <f>IF(DATOS!$I6409="","",IFERROR(VLOOKUP(DATOS!$I6409,CONFIG_ASIGNATURAS!$B$2:$J$91,9,FALSE()),""))</f>
      </c>
    </row>
    <row r="6410">
      <c r="F6410">
        <f>IF(DATOS!$A6410="","",DATOS!$A6410&amp;"|"&amp;DATOS!$D6410&amp;"|"&amp;DATOS!$E6410&amp;"|"&amp;DATOS!$I6410)</f>
      </c>
      <c r="G6410">
        <f>IF(DATOS!$A6410="",0,IF(CONFIG_METADATA!$B$4&lt;&gt;"OR+EX",--(DATOS!$G6410=CONFIG_METADATA!$B$4),IF(DATOS!$G6410="EX",1,IF(DATOS!$G6410="OR",--(COUNTIFS(nNIA,DATOS!$A6410,nCURSO,DATOS!$D6410,nESPEC,DATOS!$E6410,nASIG,DATOS!$I6410,nEVAL,"EX")=0),0))))</f>
      </c>
      <c r="H6410">
        <f>IF(DATOS!$G6410&lt;&gt;"EX",0,--(COUNTIFS(nNIA,DATOS!$A6410,nCURSO,DATOS!$D6410,nESPEC,DATOS!$E6410,nASIG,DATOS!$I6410,nEVAL,"OR")=0))</f>
      </c>
      <c r="I6410">
        <f>IF(DATOS!$I6410="","",IFERROR(VLOOKUP(DATOS!$I6410,CONFIG_ASIGNATURAS!$B$2:$J$91,9,FALSE()),""))</f>
      </c>
    </row>
    <row r="6411">
      <c r="F6411">
        <f>IF(DATOS!$A6411="","",DATOS!$A6411&amp;"|"&amp;DATOS!$D6411&amp;"|"&amp;DATOS!$E6411&amp;"|"&amp;DATOS!$I6411)</f>
      </c>
      <c r="G6411">
        <f>IF(DATOS!$A6411="",0,IF(CONFIG_METADATA!$B$4&lt;&gt;"OR+EX",--(DATOS!$G6411=CONFIG_METADATA!$B$4),IF(DATOS!$G6411="EX",1,IF(DATOS!$G6411="OR",--(COUNTIFS(nNIA,DATOS!$A6411,nCURSO,DATOS!$D6411,nESPEC,DATOS!$E6411,nASIG,DATOS!$I6411,nEVAL,"EX")=0),0))))</f>
      </c>
      <c r="H6411">
        <f>IF(DATOS!$G6411&lt;&gt;"EX",0,--(COUNTIFS(nNIA,DATOS!$A6411,nCURSO,DATOS!$D6411,nESPEC,DATOS!$E6411,nASIG,DATOS!$I6411,nEVAL,"OR")=0))</f>
      </c>
      <c r="I6411">
        <f>IF(DATOS!$I6411="","",IFERROR(VLOOKUP(DATOS!$I6411,CONFIG_ASIGNATURAS!$B$2:$J$91,9,FALSE()),""))</f>
      </c>
    </row>
    <row r="6412">
      <c r="F6412">
        <f>IF(DATOS!$A6412="","",DATOS!$A6412&amp;"|"&amp;DATOS!$D6412&amp;"|"&amp;DATOS!$E6412&amp;"|"&amp;DATOS!$I6412)</f>
      </c>
      <c r="G6412">
        <f>IF(DATOS!$A6412="",0,IF(CONFIG_METADATA!$B$4&lt;&gt;"OR+EX",--(DATOS!$G6412=CONFIG_METADATA!$B$4),IF(DATOS!$G6412="EX",1,IF(DATOS!$G6412="OR",--(COUNTIFS(nNIA,DATOS!$A6412,nCURSO,DATOS!$D6412,nESPEC,DATOS!$E6412,nASIG,DATOS!$I6412,nEVAL,"EX")=0),0))))</f>
      </c>
      <c r="H6412">
        <f>IF(DATOS!$G6412&lt;&gt;"EX",0,--(COUNTIFS(nNIA,DATOS!$A6412,nCURSO,DATOS!$D6412,nESPEC,DATOS!$E6412,nASIG,DATOS!$I6412,nEVAL,"OR")=0))</f>
      </c>
      <c r="I6412">
        <f>IF(DATOS!$I6412="","",IFERROR(VLOOKUP(DATOS!$I6412,CONFIG_ASIGNATURAS!$B$2:$J$91,9,FALSE()),""))</f>
      </c>
    </row>
    <row r="6413">
      <c r="F6413">
        <f>IF(DATOS!$A6413="","",DATOS!$A6413&amp;"|"&amp;DATOS!$D6413&amp;"|"&amp;DATOS!$E6413&amp;"|"&amp;DATOS!$I6413)</f>
      </c>
      <c r="G6413">
        <f>IF(DATOS!$A6413="",0,IF(CONFIG_METADATA!$B$4&lt;&gt;"OR+EX",--(DATOS!$G6413=CONFIG_METADATA!$B$4),IF(DATOS!$G6413="EX",1,IF(DATOS!$G6413="OR",--(COUNTIFS(nNIA,DATOS!$A6413,nCURSO,DATOS!$D6413,nESPEC,DATOS!$E6413,nASIG,DATOS!$I6413,nEVAL,"EX")=0),0))))</f>
      </c>
      <c r="H6413">
        <f>IF(DATOS!$G6413&lt;&gt;"EX",0,--(COUNTIFS(nNIA,DATOS!$A6413,nCURSO,DATOS!$D6413,nESPEC,DATOS!$E6413,nASIG,DATOS!$I6413,nEVAL,"OR")=0))</f>
      </c>
      <c r="I6413">
        <f>IF(DATOS!$I6413="","",IFERROR(VLOOKUP(DATOS!$I6413,CONFIG_ASIGNATURAS!$B$2:$J$91,9,FALSE()),""))</f>
      </c>
    </row>
    <row r="6414">
      <c r="F6414">
        <f>IF(DATOS!$A6414="","",DATOS!$A6414&amp;"|"&amp;DATOS!$D6414&amp;"|"&amp;DATOS!$E6414&amp;"|"&amp;DATOS!$I6414)</f>
      </c>
      <c r="G6414">
        <f>IF(DATOS!$A6414="",0,IF(CONFIG_METADATA!$B$4&lt;&gt;"OR+EX",--(DATOS!$G6414=CONFIG_METADATA!$B$4),IF(DATOS!$G6414="EX",1,IF(DATOS!$G6414="OR",--(COUNTIFS(nNIA,DATOS!$A6414,nCURSO,DATOS!$D6414,nESPEC,DATOS!$E6414,nASIG,DATOS!$I6414,nEVAL,"EX")=0),0))))</f>
      </c>
      <c r="H6414">
        <f>IF(DATOS!$G6414&lt;&gt;"EX",0,--(COUNTIFS(nNIA,DATOS!$A6414,nCURSO,DATOS!$D6414,nESPEC,DATOS!$E6414,nASIG,DATOS!$I6414,nEVAL,"OR")=0))</f>
      </c>
      <c r="I6414">
        <f>IF(DATOS!$I6414="","",IFERROR(VLOOKUP(DATOS!$I6414,CONFIG_ASIGNATURAS!$B$2:$J$91,9,FALSE()),""))</f>
      </c>
    </row>
    <row r="6415">
      <c r="F6415">
        <f>IF(DATOS!$A6415="","",DATOS!$A6415&amp;"|"&amp;DATOS!$D6415&amp;"|"&amp;DATOS!$E6415&amp;"|"&amp;DATOS!$I6415)</f>
      </c>
      <c r="G6415">
        <f>IF(DATOS!$A6415="",0,IF(CONFIG_METADATA!$B$4&lt;&gt;"OR+EX",--(DATOS!$G6415=CONFIG_METADATA!$B$4),IF(DATOS!$G6415="EX",1,IF(DATOS!$G6415="OR",--(COUNTIFS(nNIA,DATOS!$A6415,nCURSO,DATOS!$D6415,nESPEC,DATOS!$E6415,nASIG,DATOS!$I6415,nEVAL,"EX")=0),0))))</f>
      </c>
      <c r="H6415">
        <f>IF(DATOS!$G6415&lt;&gt;"EX",0,--(COUNTIFS(nNIA,DATOS!$A6415,nCURSO,DATOS!$D6415,nESPEC,DATOS!$E6415,nASIG,DATOS!$I6415,nEVAL,"OR")=0))</f>
      </c>
      <c r="I6415">
        <f>IF(DATOS!$I6415="","",IFERROR(VLOOKUP(DATOS!$I6415,CONFIG_ASIGNATURAS!$B$2:$J$91,9,FALSE()),""))</f>
      </c>
    </row>
    <row r="6416">
      <c r="F6416">
        <f>IF(DATOS!$A6416="","",DATOS!$A6416&amp;"|"&amp;DATOS!$D6416&amp;"|"&amp;DATOS!$E6416&amp;"|"&amp;DATOS!$I6416)</f>
      </c>
      <c r="G6416">
        <f>IF(DATOS!$A6416="",0,IF(CONFIG_METADATA!$B$4&lt;&gt;"OR+EX",--(DATOS!$G6416=CONFIG_METADATA!$B$4),IF(DATOS!$G6416="EX",1,IF(DATOS!$G6416="OR",--(COUNTIFS(nNIA,DATOS!$A6416,nCURSO,DATOS!$D6416,nESPEC,DATOS!$E6416,nASIG,DATOS!$I6416,nEVAL,"EX")=0),0))))</f>
      </c>
      <c r="H6416">
        <f>IF(DATOS!$G6416&lt;&gt;"EX",0,--(COUNTIFS(nNIA,DATOS!$A6416,nCURSO,DATOS!$D6416,nESPEC,DATOS!$E6416,nASIG,DATOS!$I6416,nEVAL,"OR")=0))</f>
      </c>
      <c r="I6416">
        <f>IF(DATOS!$I6416="","",IFERROR(VLOOKUP(DATOS!$I6416,CONFIG_ASIGNATURAS!$B$2:$J$91,9,FALSE()),""))</f>
      </c>
    </row>
    <row r="6417">
      <c r="F6417">
        <f>IF(DATOS!$A6417="","",DATOS!$A6417&amp;"|"&amp;DATOS!$D6417&amp;"|"&amp;DATOS!$E6417&amp;"|"&amp;DATOS!$I6417)</f>
      </c>
      <c r="G6417">
        <f>IF(DATOS!$A6417="",0,IF(CONFIG_METADATA!$B$4&lt;&gt;"OR+EX",--(DATOS!$G6417=CONFIG_METADATA!$B$4),IF(DATOS!$G6417="EX",1,IF(DATOS!$G6417="OR",--(COUNTIFS(nNIA,DATOS!$A6417,nCURSO,DATOS!$D6417,nESPEC,DATOS!$E6417,nASIG,DATOS!$I6417,nEVAL,"EX")=0),0))))</f>
      </c>
      <c r="H6417">
        <f>IF(DATOS!$G6417&lt;&gt;"EX",0,--(COUNTIFS(nNIA,DATOS!$A6417,nCURSO,DATOS!$D6417,nESPEC,DATOS!$E6417,nASIG,DATOS!$I6417,nEVAL,"OR")=0))</f>
      </c>
      <c r="I6417">
        <f>IF(DATOS!$I6417="","",IFERROR(VLOOKUP(DATOS!$I6417,CONFIG_ASIGNATURAS!$B$2:$J$91,9,FALSE()),""))</f>
      </c>
    </row>
    <row r="6418">
      <c r="F6418">
        <f>IF(DATOS!$A6418="","",DATOS!$A6418&amp;"|"&amp;DATOS!$D6418&amp;"|"&amp;DATOS!$E6418&amp;"|"&amp;DATOS!$I6418)</f>
      </c>
      <c r="G6418">
        <f>IF(DATOS!$A6418="",0,IF(CONFIG_METADATA!$B$4&lt;&gt;"OR+EX",--(DATOS!$G6418=CONFIG_METADATA!$B$4),IF(DATOS!$G6418="EX",1,IF(DATOS!$G6418="OR",--(COUNTIFS(nNIA,DATOS!$A6418,nCURSO,DATOS!$D6418,nESPEC,DATOS!$E6418,nASIG,DATOS!$I6418,nEVAL,"EX")=0),0))))</f>
      </c>
      <c r="H6418">
        <f>IF(DATOS!$G6418&lt;&gt;"EX",0,--(COUNTIFS(nNIA,DATOS!$A6418,nCURSO,DATOS!$D6418,nESPEC,DATOS!$E6418,nASIG,DATOS!$I6418,nEVAL,"OR")=0))</f>
      </c>
      <c r="I6418">
        <f>IF(DATOS!$I6418="","",IFERROR(VLOOKUP(DATOS!$I6418,CONFIG_ASIGNATURAS!$B$2:$J$91,9,FALSE()),""))</f>
      </c>
    </row>
    <row r="6419">
      <c r="F6419">
        <f>IF(DATOS!$A6419="","",DATOS!$A6419&amp;"|"&amp;DATOS!$D6419&amp;"|"&amp;DATOS!$E6419&amp;"|"&amp;DATOS!$I6419)</f>
      </c>
      <c r="G6419">
        <f>IF(DATOS!$A6419="",0,IF(CONFIG_METADATA!$B$4&lt;&gt;"OR+EX",--(DATOS!$G6419=CONFIG_METADATA!$B$4),IF(DATOS!$G6419="EX",1,IF(DATOS!$G6419="OR",--(COUNTIFS(nNIA,DATOS!$A6419,nCURSO,DATOS!$D6419,nESPEC,DATOS!$E6419,nASIG,DATOS!$I6419,nEVAL,"EX")=0),0))))</f>
      </c>
      <c r="H6419">
        <f>IF(DATOS!$G6419&lt;&gt;"EX",0,--(COUNTIFS(nNIA,DATOS!$A6419,nCURSO,DATOS!$D6419,nESPEC,DATOS!$E6419,nASIG,DATOS!$I6419,nEVAL,"OR")=0))</f>
      </c>
      <c r="I6419">
        <f>IF(DATOS!$I6419="","",IFERROR(VLOOKUP(DATOS!$I6419,CONFIG_ASIGNATURAS!$B$2:$J$91,9,FALSE()),""))</f>
      </c>
    </row>
    <row r="6420">
      <c r="F6420">
        <f>IF(DATOS!$A6420="","",DATOS!$A6420&amp;"|"&amp;DATOS!$D6420&amp;"|"&amp;DATOS!$E6420&amp;"|"&amp;DATOS!$I6420)</f>
      </c>
      <c r="G6420">
        <f>IF(DATOS!$A6420="",0,IF(CONFIG_METADATA!$B$4&lt;&gt;"OR+EX",--(DATOS!$G6420=CONFIG_METADATA!$B$4),IF(DATOS!$G6420="EX",1,IF(DATOS!$G6420="OR",--(COUNTIFS(nNIA,DATOS!$A6420,nCURSO,DATOS!$D6420,nESPEC,DATOS!$E6420,nASIG,DATOS!$I6420,nEVAL,"EX")=0),0))))</f>
      </c>
      <c r="H6420">
        <f>IF(DATOS!$G6420&lt;&gt;"EX",0,--(COUNTIFS(nNIA,DATOS!$A6420,nCURSO,DATOS!$D6420,nESPEC,DATOS!$E6420,nASIG,DATOS!$I6420,nEVAL,"OR")=0))</f>
      </c>
      <c r="I6420">
        <f>IF(DATOS!$I6420="","",IFERROR(VLOOKUP(DATOS!$I6420,CONFIG_ASIGNATURAS!$B$2:$J$91,9,FALSE()),""))</f>
      </c>
    </row>
    <row r="6421">
      <c r="F6421">
        <f>IF(DATOS!$A6421="","",DATOS!$A6421&amp;"|"&amp;DATOS!$D6421&amp;"|"&amp;DATOS!$E6421&amp;"|"&amp;DATOS!$I6421)</f>
      </c>
      <c r="G6421">
        <f>IF(DATOS!$A6421="",0,IF(CONFIG_METADATA!$B$4&lt;&gt;"OR+EX",--(DATOS!$G6421=CONFIG_METADATA!$B$4),IF(DATOS!$G6421="EX",1,IF(DATOS!$G6421="OR",--(COUNTIFS(nNIA,DATOS!$A6421,nCURSO,DATOS!$D6421,nESPEC,DATOS!$E6421,nASIG,DATOS!$I6421,nEVAL,"EX")=0),0))))</f>
      </c>
      <c r="H6421">
        <f>IF(DATOS!$G6421&lt;&gt;"EX",0,--(COUNTIFS(nNIA,DATOS!$A6421,nCURSO,DATOS!$D6421,nESPEC,DATOS!$E6421,nASIG,DATOS!$I6421,nEVAL,"OR")=0))</f>
      </c>
      <c r="I6421">
        <f>IF(DATOS!$I6421="","",IFERROR(VLOOKUP(DATOS!$I6421,CONFIG_ASIGNATURAS!$B$2:$J$91,9,FALSE()),""))</f>
      </c>
    </row>
    <row r="6422">
      <c r="F6422">
        <f>IF(DATOS!$A6422="","",DATOS!$A6422&amp;"|"&amp;DATOS!$D6422&amp;"|"&amp;DATOS!$E6422&amp;"|"&amp;DATOS!$I6422)</f>
      </c>
      <c r="G6422">
        <f>IF(DATOS!$A6422="",0,IF(CONFIG_METADATA!$B$4&lt;&gt;"OR+EX",--(DATOS!$G6422=CONFIG_METADATA!$B$4),IF(DATOS!$G6422="EX",1,IF(DATOS!$G6422="OR",--(COUNTIFS(nNIA,DATOS!$A6422,nCURSO,DATOS!$D6422,nESPEC,DATOS!$E6422,nASIG,DATOS!$I6422,nEVAL,"EX")=0),0))))</f>
      </c>
      <c r="H6422">
        <f>IF(DATOS!$G6422&lt;&gt;"EX",0,--(COUNTIFS(nNIA,DATOS!$A6422,nCURSO,DATOS!$D6422,nESPEC,DATOS!$E6422,nASIG,DATOS!$I6422,nEVAL,"OR")=0))</f>
      </c>
      <c r="I6422">
        <f>IF(DATOS!$I6422="","",IFERROR(VLOOKUP(DATOS!$I6422,CONFIG_ASIGNATURAS!$B$2:$J$91,9,FALSE()),""))</f>
      </c>
    </row>
    <row r="6423">
      <c r="F6423">
        <f>IF(DATOS!$A6423="","",DATOS!$A6423&amp;"|"&amp;DATOS!$D6423&amp;"|"&amp;DATOS!$E6423&amp;"|"&amp;DATOS!$I6423)</f>
      </c>
      <c r="G6423">
        <f>IF(DATOS!$A6423="",0,IF(CONFIG_METADATA!$B$4&lt;&gt;"OR+EX",--(DATOS!$G6423=CONFIG_METADATA!$B$4),IF(DATOS!$G6423="EX",1,IF(DATOS!$G6423="OR",--(COUNTIFS(nNIA,DATOS!$A6423,nCURSO,DATOS!$D6423,nESPEC,DATOS!$E6423,nASIG,DATOS!$I6423,nEVAL,"EX")=0),0))))</f>
      </c>
      <c r="H6423">
        <f>IF(DATOS!$G6423&lt;&gt;"EX",0,--(COUNTIFS(nNIA,DATOS!$A6423,nCURSO,DATOS!$D6423,nESPEC,DATOS!$E6423,nASIG,DATOS!$I6423,nEVAL,"OR")=0))</f>
      </c>
      <c r="I6423">
        <f>IF(DATOS!$I6423="","",IFERROR(VLOOKUP(DATOS!$I6423,CONFIG_ASIGNATURAS!$B$2:$J$91,9,FALSE()),""))</f>
      </c>
    </row>
    <row r="6424">
      <c r="F6424">
        <f>IF(DATOS!$A6424="","",DATOS!$A6424&amp;"|"&amp;DATOS!$D6424&amp;"|"&amp;DATOS!$E6424&amp;"|"&amp;DATOS!$I6424)</f>
      </c>
      <c r="G6424">
        <f>IF(DATOS!$A6424="",0,IF(CONFIG_METADATA!$B$4&lt;&gt;"OR+EX",--(DATOS!$G6424=CONFIG_METADATA!$B$4),IF(DATOS!$G6424="EX",1,IF(DATOS!$G6424="OR",--(COUNTIFS(nNIA,DATOS!$A6424,nCURSO,DATOS!$D6424,nESPEC,DATOS!$E6424,nASIG,DATOS!$I6424,nEVAL,"EX")=0),0))))</f>
      </c>
      <c r="H6424">
        <f>IF(DATOS!$G6424&lt;&gt;"EX",0,--(COUNTIFS(nNIA,DATOS!$A6424,nCURSO,DATOS!$D6424,nESPEC,DATOS!$E6424,nASIG,DATOS!$I6424,nEVAL,"OR")=0))</f>
      </c>
      <c r="I6424">
        <f>IF(DATOS!$I6424="","",IFERROR(VLOOKUP(DATOS!$I6424,CONFIG_ASIGNATURAS!$B$2:$J$91,9,FALSE()),""))</f>
      </c>
    </row>
    <row r="6425">
      <c r="F6425">
        <f>IF(DATOS!$A6425="","",DATOS!$A6425&amp;"|"&amp;DATOS!$D6425&amp;"|"&amp;DATOS!$E6425&amp;"|"&amp;DATOS!$I6425)</f>
      </c>
      <c r="G6425">
        <f>IF(DATOS!$A6425="",0,IF(CONFIG_METADATA!$B$4&lt;&gt;"OR+EX",--(DATOS!$G6425=CONFIG_METADATA!$B$4),IF(DATOS!$G6425="EX",1,IF(DATOS!$G6425="OR",--(COUNTIFS(nNIA,DATOS!$A6425,nCURSO,DATOS!$D6425,nESPEC,DATOS!$E6425,nASIG,DATOS!$I6425,nEVAL,"EX")=0),0))))</f>
      </c>
      <c r="H6425">
        <f>IF(DATOS!$G6425&lt;&gt;"EX",0,--(COUNTIFS(nNIA,DATOS!$A6425,nCURSO,DATOS!$D6425,nESPEC,DATOS!$E6425,nASIG,DATOS!$I6425,nEVAL,"OR")=0))</f>
      </c>
      <c r="I6425">
        <f>IF(DATOS!$I6425="","",IFERROR(VLOOKUP(DATOS!$I6425,CONFIG_ASIGNATURAS!$B$2:$J$91,9,FALSE()),""))</f>
      </c>
    </row>
    <row r="6426">
      <c r="F6426">
        <f>IF(DATOS!$A6426="","",DATOS!$A6426&amp;"|"&amp;DATOS!$D6426&amp;"|"&amp;DATOS!$E6426&amp;"|"&amp;DATOS!$I6426)</f>
      </c>
      <c r="G6426">
        <f>IF(DATOS!$A6426="",0,IF(CONFIG_METADATA!$B$4&lt;&gt;"OR+EX",--(DATOS!$G6426=CONFIG_METADATA!$B$4),IF(DATOS!$G6426="EX",1,IF(DATOS!$G6426="OR",--(COUNTIFS(nNIA,DATOS!$A6426,nCURSO,DATOS!$D6426,nESPEC,DATOS!$E6426,nASIG,DATOS!$I6426,nEVAL,"EX")=0),0))))</f>
      </c>
      <c r="H6426">
        <f>IF(DATOS!$G6426&lt;&gt;"EX",0,--(COUNTIFS(nNIA,DATOS!$A6426,nCURSO,DATOS!$D6426,nESPEC,DATOS!$E6426,nASIG,DATOS!$I6426,nEVAL,"OR")=0))</f>
      </c>
      <c r="I6426">
        <f>IF(DATOS!$I6426="","",IFERROR(VLOOKUP(DATOS!$I6426,CONFIG_ASIGNATURAS!$B$2:$J$91,9,FALSE()),""))</f>
      </c>
    </row>
    <row r="6427">
      <c r="F6427">
        <f>IF(DATOS!$A6427="","",DATOS!$A6427&amp;"|"&amp;DATOS!$D6427&amp;"|"&amp;DATOS!$E6427&amp;"|"&amp;DATOS!$I6427)</f>
      </c>
      <c r="G6427">
        <f>IF(DATOS!$A6427="",0,IF(CONFIG_METADATA!$B$4&lt;&gt;"OR+EX",--(DATOS!$G6427=CONFIG_METADATA!$B$4),IF(DATOS!$G6427="EX",1,IF(DATOS!$G6427="OR",--(COUNTIFS(nNIA,DATOS!$A6427,nCURSO,DATOS!$D6427,nESPEC,DATOS!$E6427,nASIG,DATOS!$I6427,nEVAL,"EX")=0),0))))</f>
      </c>
      <c r="H6427">
        <f>IF(DATOS!$G6427&lt;&gt;"EX",0,--(COUNTIFS(nNIA,DATOS!$A6427,nCURSO,DATOS!$D6427,nESPEC,DATOS!$E6427,nASIG,DATOS!$I6427,nEVAL,"OR")=0))</f>
      </c>
      <c r="I6427">
        <f>IF(DATOS!$I6427="","",IFERROR(VLOOKUP(DATOS!$I6427,CONFIG_ASIGNATURAS!$B$2:$J$91,9,FALSE()),""))</f>
      </c>
    </row>
    <row r="6428">
      <c r="F6428">
        <f>IF(DATOS!$A6428="","",DATOS!$A6428&amp;"|"&amp;DATOS!$D6428&amp;"|"&amp;DATOS!$E6428&amp;"|"&amp;DATOS!$I6428)</f>
      </c>
      <c r="G6428">
        <f>IF(DATOS!$A6428="",0,IF(CONFIG_METADATA!$B$4&lt;&gt;"OR+EX",--(DATOS!$G6428=CONFIG_METADATA!$B$4),IF(DATOS!$G6428="EX",1,IF(DATOS!$G6428="OR",--(COUNTIFS(nNIA,DATOS!$A6428,nCURSO,DATOS!$D6428,nESPEC,DATOS!$E6428,nASIG,DATOS!$I6428,nEVAL,"EX")=0),0))))</f>
      </c>
      <c r="H6428">
        <f>IF(DATOS!$G6428&lt;&gt;"EX",0,--(COUNTIFS(nNIA,DATOS!$A6428,nCURSO,DATOS!$D6428,nESPEC,DATOS!$E6428,nASIG,DATOS!$I6428,nEVAL,"OR")=0))</f>
      </c>
      <c r="I6428">
        <f>IF(DATOS!$I6428="","",IFERROR(VLOOKUP(DATOS!$I6428,CONFIG_ASIGNATURAS!$B$2:$J$91,9,FALSE()),""))</f>
      </c>
    </row>
    <row r="6429">
      <c r="F6429">
        <f>IF(DATOS!$A6429="","",DATOS!$A6429&amp;"|"&amp;DATOS!$D6429&amp;"|"&amp;DATOS!$E6429&amp;"|"&amp;DATOS!$I6429)</f>
      </c>
      <c r="G6429">
        <f>IF(DATOS!$A6429="",0,IF(CONFIG_METADATA!$B$4&lt;&gt;"OR+EX",--(DATOS!$G6429=CONFIG_METADATA!$B$4),IF(DATOS!$G6429="EX",1,IF(DATOS!$G6429="OR",--(COUNTIFS(nNIA,DATOS!$A6429,nCURSO,DATOS!$D6429,nESPEC,DATOS!$E6429,nASIG,DATOS!$I6429,nEVAL,"EX")=0),0))))</f>
      </c>
      <c r="H6429">
        <f>IF(DATOS!$G6429&lt;&gt;"EX",0,--(COUNTIFS(nNIA,DATOS!$A6429,nCURSO,DATOS!$D6429,nESPEC,DATOS!$E6429,nASIG,DATOS!$I6429,nEVAL,"OR")=0))</f>
      </c>
      <c r="I6429">
        <f>IF(DATOS!$I6429="","",IFERROR(VLOOKUP(DATOS!$I6429,CONFIG_ASIGNATURAS!$B$2:$J$91,9,FALSE()),""))</f>
      </c>
    </row>
    <row r="6430">
      <c r="F6430">
        <f>IF(DATOS!$A6430="","",DATOS!$A6430&amp;"|"&amp;DATOS!$D6430&amp;"|"&amp;DATOS!$E6430&amp;"|"&amp;DATOS!$I6430)</f>
      </c>
      <c r="G6430">
        <f>IF(DATOS!$A6430="",0,IF(CONFIG_METADATA!$B$4&lt;&gt;"OR+EX",--(DATOS!$G6430=CONFIG_METADATA!$B$4),IF(DATOS!$G6430="EX",1,IF(DATOS!$G6430="OR",--(COUNTIFS(nNIA,DATOS!$A6430,nCURSO,DATOS!$D6430,nESPEC,DATOS!$E6430,nASIG,DATOS!$I6430,nEVAL,"EX")=0),0))))</f>
      </c>
      <c r="H6430">
        <f>IF(DATOS!$G6430&lt;&gt;"EX",0,--(COUNTIFS(nNIA,DATOS!$A6430,nCURSO,DATOS!$D6430,nESPEC,DATOS!$E6430,nASIG,DATOS!$I6430,nEVAL,"OR")=0))</f>
      </c>
      <c r="I6430">
        <f>IF(DATOS!$I6430="","",IFERROR(VLOOKUP(DATOS!$I6430,CONFIG_ASIGNATURAS!$B$2:$J$91,9,FALSE()),""))</f>
      </c>
    </row>
    <row r="6431">
      <c r="F6431">
        <f>IF(DATOS!$A6431="","",DATOS!$A6431&amp;"|"&amp;DATOS!$D6431&amp;"|"&amp;DATOS!$E6431&amp;"|"&amp;DATOS!$I6431)</f>
      </c>
      <c r="G6431">
        <f>IF(DATOS!$A6431="",0,IF(CONFIG_METADATA!$B$4&lt;&gt;"OR+EX",--(DATOS!$G6431=CONFIG_METADATA!$B$4),IF(DATOS!$G6431="EX",1,IF(DATOS!$G6431="OR",--(COUNTIFS(nNIA,DATOS!$A6431,nCURSO,DATOS!$D6431,nESPEC,DATOS!$E6431,nASIG,DATOS!$I6431,nEVAL,"EX")=0),0))))</f>
      </c>
      <c r="H6431">
        <f>IF(DATOS!$G6431&lt;&gt;"EX",0,--(COUNTIFS(nNIA,DATOS!$A6431,nCURSO,DATOS!$D6431,nESPEC,DATOS!$E6431,nASIG,DATOS!$I6431,nEVAL,"OR")=0))</f>
      </c>
      <c r="I6431">
        <f>IF(DATOS!$I6431="","",IFERROR(VLOOKUP(DATOS!$I6431,CONFIG_ASIGNATURAS!$B$2:$J$91,9,FALSE()),""))</f>
      </c>
    </row>
    <row r="6432">
      <c r="F6432">
        <f>IF(DATOS!$A6432="","",DATOS!$A6432&amp;"|"&amp;DATOS!$D6432&amp;"|"&amp;DATOS!$E6432&amp;"|"&amp;DATOS!$I6432)</f>
      </c>
      <c r="G6432">
        <f>IF(DATOS!$A6432="",0,IF(CONFIG_METADATA!$B$4&lt;&gt;"OR+EX",--(DATOS!$G6432=CONFIG_METADATA!$B$4),IF(DATOS!$G6432="EX",1,IF(DATOS!$G6432="OR",--(COUNTIFS(nNIA,DATOS!$A6432,nCURSO,DATOS!$D6432,nESPEC,DATOS!$E6432,nASIG,DATOS!$I6432,nEVAL,"EX")=0),0))))</f>
      </c>
      <c r="H6432">
        <f>IF(DATOS!$G6432&lt;&gt;"EX",0,--(COUNTIFS(nNIA,DATOS!$A6432,nCURSO,DATOS!$D6432,nESPEC,DATOS!$E6432,nASIG,DATOS!$I6432,nEVAL,"OR")=0))</f>
      </c>
      <c r="I6432">
        <f>IF(DATOS!$I6432="","",IFERROR(VLOOKUP(DATOS!$I6432,CONFIG_ASIGNATURAS!$B$2:$J$91,9,FALSE()),""))</f>
      </c>
    </row>
    <row r="6433">
      <c r="F6433">
        <f>IF(DATOS!$A6433="","",DATOS!$A6433&amp;"|"&amp;DATOS!$D6433&amp;"|"&amp;DATOS!$E6433&amp;"|"&amp;DATOS!$I6433)</f>
      </c>
      <c r="G6433">
        <f>IF(DATOS!$A6433="",0,IF(CONFIG_METADATA!$B$4&lt;&gt;"OR+EX",--(DATOS!$G6433=CONFIG_METADATA!$B$4),IF(DATOS!$G6433="EX",1,IF(DATOS!$G6433="OR",--(COUNTIFS(nNIA,DATOS!$A6433,nCURSO,DATOS!$D6433,nESPEC,DATOS!$E6433,nASIG,DATOS!$I6433,nEVAL,"EX")=0),0))))</f>
      </c>
      <c r="H6433">
        <f>IF(DATOS!$G6433&lt;&gt;"EX",0,--(COUNTIFS(nNIA,DATOS!$A6433,nCURSO,DATOS!$D6433,nESPEC,DATOS!$E6433,nASIG,DATOS!$I6433,nEVAL,"OR")=0))</f>
      </c>
      <c r="I6433">
        <f>IF(DATOS!$I6433="","",IFERROR(VLOOKUP(DATOS!$I6433,CONFIG_ASIGNATURAS!$B$2:$J$91,9,FALSE()),""))</f>
      </c>
    </row>
    <row r="6434">
      <c r="F6434">
        <f>IF(DATOS!$A6434="","",DATOS!$A6434&amp;"|"&amp;DATOS!$D6434&amp;"|"&amp;DATOS!$E6434&amp;"|"&amp;DATOS!$I6434)</f>
      </c>
      <c r="G6434">
        <f>IF(DATOS!$A6434="",0,IF(CONFIG_METADATA!$B$4&lt;&gt;"OR+EX",--(DATOS!$G6434=CONFIG_METADATA!$B$4),IF(DATOS!$G6434="EX",1,IF(DATOS!$G6434="OR",--(COUNTIFS(nNIA,DATOS!$A6434,nCURSO,DATOS!$D6434,nESPEC,DATOS!$E6434,nASIG,DATOS!$I6434,nEVAL,"EX")=0),0))))</f>
      </c>
      <c r="H6434">
        <f>IF(DATOS!$G6434&lt;&gt;"EX",0,--(COUNTIFS(nNIA,DATOS!$A6434,nCURSO,DATOS!$D6434,nESPEC,DATOS!$E6434,nASIG,DATOS!$I6434,nEVAL,"OR")=0))</f>
      </c>
      <c r="I6434">
        <f>IF(DATOS!$I6434="","",IFERROR(VLOOKUP(DATOS!$I6434,CONFIG_ASIGNATURAS!$B$2:$J$91,9,FALSE()),""))</f>
      </c>
    </row>
    <row r="6435">
      <c r="F6435">
        <f>IF(DATOS!$A6435="","",DATOS!$A6435&amp;"|"&amp;DATOS!$D6435&amp;"|"&amp;DATOS!$E6435&amp;"|"&amp;DATOS!$I6435)</f>
      </c>
      <c r="G6435">
        <f>IF(DATOS!$A6435="",0,IF(CONFIG_METADATA!$B$4&lt;&gt;"OR+EX",--(DATOS!$G6435=CONFIG_METADATA!$B$4),IF(DATOS!$G6435="EX",1,IF(DATOS!$G6435="OR",--(COUNTIFS(nNIA,DATOS!$A6435,nCURSO,DATOS!$D6435,nESPEC,DATOS!$E6435,nASIG,DATOS!$I6435,nEVAL,"EX")=0),0))))</f>
      </c>
      <c r="H6435">
        <f>IF(DATOS!$G6435&lt;&gt;"EX",0,--(COUNTIFS(nNIA,DATOS!$A6435,nCURSO,DATOS!$D6435,nESPEC,DATOS!$E6435,nASIG,DATOS!$I6435,nEVAL,"OR")=0))</f>
      </c>
      <c r="I6435">
        <f>IF(DATOS!$I6435="","",IFERROR(VLOOKUP(DATOS!$I6435,CONFIG_ASIGNATURAS!$B$2:$J$91,9,FALSE()),""))</f>
      </c>
    </row>
    <row r="6436">
      <c r="F6436">
        <f>IF(DATOS!$A6436="","",DATOS!$A6436&amp;"|"&amp;DATOS!$D6436&amp;"|"&amp;DATOS!$E6436&amp;"|"&amp;DATOS!$I6436)</f>
      </c>
      <c r="G6436">
        <f>IF(DATOS!$A6436="",0,IF(CONFIG_METADATA!$B$4&lt;&gt;"OR+EX",--(DATOS!$G6436=CONFIG_METADATA!$B$4),IF(DATOS!$G6436="EX",1,IF(DATOS!$G6436="OR",--(COUNTIFS(nNIA,DATOS!$A6436,nCURSO,DATOS!$D6436,nESPEC,DATOS!$E6436,nASIG,DATOS!$I6436,nEVAL,"EX")=0),0))))</f>
      </c>
      <c r="H6436">
        <f>IF(DATOS!$G6436&lt;&gt;"EX",0,--(COUNTIFS(nNIA,DATOS!$A6436,nCURSO,DATOS!$D6436,nESPEC,DATOS!$E6436,nASIG,DATOS!$I6436,nEVAL,"OR")=0))</f>
      </c>
      <c r="I6436">
        <f>IF(DATOS!$I6436="","",IFERROR(VLOOKUP(DATOS!$I6436,CONFIG_ASIGNATURAS!$B$2:$J$91,9,FALSE()),""))</f>
      </c>
    </row>
    <row r="6437">
      <c r="F6437">
        <f>IF(DATOS!$A6437="","",DATOS!$A6437&amp;"|"&amp;DATOS!$D6437&amp;"|"&amp;DATOS!$E6437&amp;"|"&amp;DATOS!$I6437)</f>
      </c>
      <c r="G6437">
        <f>IF(DATOS!$A6437="",0,IF(CONFIG_METADATA!$B$4&lt;&gt;"OR+EX",--(DATOS!$G6437=CONFIG_METADATA!$B$4),IF(DATOS!$G6437="EX",1,IF(DATOS!$G6437="OR",--(COUNTIFS(nNIA,DATOS!$A6437,nCURSO,DATOS!$D6437,nESPEC,DATOS!$E6437,nASIG,DATOS!$I6437,nEVAL,"EX")=0),0))))</f>
      </c>
      <c r="H6437">
        <f>IF(DATOS!$G6437&lt;&gt;"EX",0,--(COUNTIFS(nNIA,DATOS!$A6437,nCURSO,DATOS!$D6437,nESPEC,DATOS!$E6437,nASIG,DATOS!$I6437,nEVAL,"OR")=0))</f>
      </c>
      <c r="I6437">
        <f>IF(DATOS!$I6437="","",IFERROR(VLOOKUP(DATOS!$I6437,CONFIG_ASIGNATURAS!$B$2:$J$91,9,FALSE()),""))</f>
      </c>
    </row>
    <row r="6438">
      <c r="F6438">
        <f>IF(DATOS!$A6438="","",DATOS!$A6438&amp;"|"&amp;DATOS!$D6438&amp;"|"&amp;DATOS!$E6438&amp;"|"&amp;DATOS!$I6438)</f>
      </c>
      <c r="G6438">
        <f>IF(DATOS!$A6438="",0,IF(CONFIG_METADATA!$B$4&lt;&gt;"OR+EX",--(DATOS!$G6438=CONFIG_METADATA!$B$4),IF(DATOS!$G6438="EX",1,IF(DATOS!$G6438="OR",--(COUNTIFS(nNIA,DATOS!$A6438,nCURSO,DATOS!$D6438,nESPEC,DATOS!$E6438,nASIG,DATOS!$I6438,nEVAL,"EX")=0),0))))</f>
      </c>
      <c r="H6438">
        <f>IF(DATOS!$G6438&lt;&gt;"EX",0,--(COUNTIFS(nNIA,DATOS!$A6438,nCURSO,DATOS!$D6438,nESPEC,DATOS!$E6438,nASIG,DATOS!$I6438,nEVAL,"OR")=0))</f>
      </c>
      <c r="I6438">
        <f>IF(DATOS!$I6438="","",IFERROR(VLOOKUP(DATOS!$I6438,CONFIG_ASIGNATURAS!$B$2:$J$91,9,FALSE()),""))</f>
      </c>
    </row>
    <row r="6439">
      <c r="F6439">
        <f>IF(DATOS!$A6439="","",DATOS!$A6439&amp;"|"&amp;DATOS!$D6439&amp;"|"&amp;DATOS!$E6439&amp;"|"&amp;DATOS!$I6439)</f>
      </c>
      <c r="G6439">
        <f>IF(DATOS!$A6439="",0,IF(CONFIG_METADATA!$B$4&lt;&gt;"OR+EX",--(DATOS!$G6439=CONFIG_METADATA!$B$4),IF(DATOS!$G6439="EX",1,IF(DATOS!$G6439="OR",--(COUNTIFS(nNIA,DATOS!$A6439,nCURSO,DATOS!$D6439,nESPEC,DATOS!$E6439,nASIG,DATOS!$I6439,nEVAL,"EX")=0),0))))</f>
      </c>
      <c r="H6439">
        <f>IF(DATOS!$G6439&lt;&gt;"EX",0,--(COUNTIFS(nNIA,DATOS!$A6439,nCURSO,DATOS!$D6439,nESPEC,DATOS!$E6439,nASIG,DATOS!$I6439,nEVAL,"OR")=0))</f>
      </c>
      <c r="I6439">
        <f>IF(DATOS!$I6439="","",IFERROR(VLOOKUP(DATOS!$I6439,CONFIG_ASIGNATURAS!$B$2:$J$91,9,FALSE()),""))</f>
      </c>
    </row>
    <row r="6440">
      <c r="F6440">
        <f>IF(DATOS!$A6440="","",DATOS!$A6440&amp;"|"&amp;DATOS!$D6440&amp;"|"&amp;DATOS!$E6440&amp;"|"&amp;DATOS!$I6440)</f>
      </c>
      <c r="G6440">
        <f>IF(DATOS!$A6440="",0,IF(CONFIG_METADATA!$B$4&lt;&gt;"OR+EX",--(DATOS!$G6440=CONFIG_METADATA!$B$4),IF(DATOS!$G6440="EX",1,IF(DATOS!$G6440="OR",--(COUNTIFS(nNIA,DATOS!$A6440,nCURSO,DATOS!$D6440,nESPEC,DATOS!$E6440,nASIG,DATOS!$I6440,nEVAL,"EX")=0),0))))</f>
      </c>
      <c r="H6440">
        <f>IF(DATOS!$G6440&lt;&gt;"EX",0,--(COUNTIFS(nNIA,DATOS!$A6440,nCURSO,DATOS!$D6440,nESPEC,DATOS!$E6440,nASIG,DATOS!$I6440,nEVAL,"OR")=0))</f>
      </c>
      <c r="I6440">
        <f>IF(DATOS!$I6440="","",IFERROR(VLOOKUP(DATOS!$I6440,CONFIG_ASIGNATURAS!$B$2:$J$91,9,FALSE()),""))</f>
      </c>
    </row>
    <row r="6441">
      <c r="F6441">
        <f>IF(DATOS!$A6441="","",DATOS!$A6441&amp;"|"&amp;DATOS!$D6441&amp;"|"&amp;DATOS!$E6441&amp;"|"&amp;DATOS!$I6441)</f>
      </c>
      <c r="G6441">
        <f>IF(DATOS!$A6441="",0,IF(CONFIG_METADATA!$B$4&lt;&gt;"OR+EX",--(DATOS!$G6441=CONFIG_METADATA!$B$4),IF(DATOS!$G6441="EX",1,IF(DATOS!$G6441="OR",--(COUNTIFS(nNIA,DATOS!$A6441,nCURSO,DATOS!$D6441,nESPEC,DATOS!$E6441,nASIG,DATOS!$I6441,nEVAL,"EX")=0),0))))</f>
      </c>
      <c r="H6441">
        <f>IF(DATOS!$G6441&lt;&gt;"EX",0,--(COUNTIFS(nNIA,DATOS!$A6441,nCURSO,DATOS!$D6441,nESPEC,DATOS!$E6441,nASIG,DATOS!$I6441,nEVAL,"OR")=0))</f>
      </c>
      <c r="I6441">
        <f>IF(DATOS!$I6441="","",IFERROR(VLOOKUP(DATOS!$I6441,CONFIG_ASIGNATURAS!$B$2:$J$91,9,FALSE()),""))</f>
      </c>
    </row>
    <row r="6442">
      <c r="F6442">
        <f>IF(DATOS!$A6442="","",DATOS!$A6442&amp;"|"&amp;DATOS!$D6442&amp;"|"&amp;DATOS!$E6442&amp;"|"&amp;DATOS!$I6442)</f>
      </c>
      <c r="G6442">
        <f>IF(DATOS!$A6442="",0,IF(CONFIG_METADATA!$B$4&lt;&gt;"OR+EX",--(DATOS!$G6442=CONFIG_METADATA!$B$4),IF(DATOS!$G6442="EX",1,IF(DATOS!$G6442="OR",--(COUNTIFS(nNIA,DATOS!$A6442,nCURSO,DATOS!$D6442,nESPEC,DATOS!$E6442,nASIG,DATOS!$I6442,nEVAL,"EX")=0),0))))</f>
      </c>
      <c r="H6442">
        <f>IF(DATOS!$G6442&lt;&gt;"EX",0,--(COUNTIFS(nNIA,DATOS!$A6442,nCURSO,DATOS!$D6442,nESPEC,DATOS!$E6442,nASIG,DATOS!$I6442,nEVAL,"OR")=0))</f>
      </c>
      <c r="I6442">
        <f>IF(DATOS!$I6442="","",IFERROR(VLOOKUP(DATOS!$I6442,CONFIG_ASIGNATURAS!$B$2:$J$91,9,FALSE()),""))</f>
      </c>
    </row>
    <row r="6443">
      <c r="F6443">
        <f>IF(DATOS!$A6443="","",DATOS!$A6443&amp;"|"&amp;DATOS!$D6443&amp;"|"&amp;DATOS!$E6443&amp;"|"&amp;DATOS!$I6443)</f>
      </c>
      <c r="G6443">
        <f>IF(DATOS!$A6443="",0,IF(CONFIG_METADATA!$B$4&lt;&gt;"OR+EX",--(DATOS!$G6443=CONFIG_METADATA!$B$4),IF(DATOS!$G6443="EX",1,IF(DATOS!$G6443="OR",--(COUNTIFS(nNIA,DATOS!$A6443,nCURSO,DATOS!$D6443,nESPEC,DATOS!$E6443,nASIG,DATOS!$I6443,nEVAL,"EX")=0),0))))</f>
      </c>
      <c r="H6443">
        <f>IF(DATOS!$G6443&lt;&gt;"EX",0,--(COUNTIFS(nNIA,DATOS!$A6443,nCURSO,DATOS!$D6443,nESPEC,DATOS!$E6443,nASIG,DATOS!$I6443,nEVAL,"OR")=0))</f>
      </c>
      <c r="I6443">
        <f>IF(DATOS!$I6443="","",IFERROR(VLOOKUP(DATOS!$I6443,CONFIG_ASIGNATURAS!$B$2:$J$91,9,FALSE()),""))</f>
      </c>
    </row>
    <row r="6444">
      <c r="F6444">
        <f>IF(DATOS!$A6444="","",DATOS!$A6444&amp;"|"&amp;DATOS!$D6444&amp;"|"&amp;DATOS!$E6444&amp;"|"&amp;DATOS!$I6444)</f>
      </c>
      <c r="G6444">
        <f>IF(DATOS!$A6444="",0,IF(CONFIG_METADATA!$B$4&lt;&gt;"OR+EX",--(DATOS!$G6444=CONFIG_METADATA!$B$4),IF(DATOS!$G6444="EX",1,IF(DATOS!$G6444="OR",--(COUNTIFS(nNIA,DATOS!$A6444,nCURSO,DATOS!$D6444,nESPEC,DATOS!$E6444,nASIG,DATOS!$I6444,nEVAL,"EX")=0),0))))</f>
      </c>
      <c r="H6444">
        <f>IF(DATOS!$G6444&lt;&gt;"EX",0,--(COUNTIFS(nNIA,DATOS!$A6444,nCURSO,DATOS!$D6444,nESPEC,DATOS!$E6444,nASIG,DATOS!$I6444,nEVAL,"OR")=0))</f>
      </c>
      <c r="I6444">
        <f>IF(DATOS!$I6444="","",IFERROR(VLOOKUP(DATOS!$I6444,CONFIG_ASIGNATURAS!$B$2:$J$91,9,FALSE()),""))</f>
      </c>
    </row>
    <row r="6445">
      <c r="F6445">
        <f>IF(DATOS!$A6445="","",DATOS!$A6445&amp;"|"&amp;DATOS!$D6445&amp;"|"&amp;DATOS!$E6445&amp;"|"&amp;DATOS!$I6445)</f>
      </c>
      <c r="G6445">
        <f>IF(DATOS!$A6445="",0,IF(CONFIG_METADATA!$B$4&lt;&gt;"OR+EX",--(DATOS!$G6445=CONFIG_METADATA!$B$4),IF(DATOS!$G6445="EX",1,IF(DATOS!$G6445="OR",--(COUNTIFS(nNIA,DATOS!$A6445,nCURSO,DATOS!$D6445,nESPEC,DATOS!$E6445,nASIG,DATOS!$I6445,nEVAL,"EX")=0),0))))</f>
      </c>
      <c r="H6445">
        <f>IF(DATOS!$G6445&lt;&gt;"EX",0,--(COUNTIFS(nNIA,DATOS!$A6445,nCURSO,DATOS!$D6445,nESPEC,DATOS!$E6445,nASIG,DATOS!$I6445,nEVAL,"OR")=0))</f>
      </c>
      <c r="I6445">
        <f>IF(DATOS!$I6445="","",IFERROR(VLOOKUP(DATOS!$I6445,CONFIG_ASIGNATURAS!$B$2:$J$91,9,FALSE()),""))</f>
      </c>
    </row>
    <row r="6446">
      <c r="F6446">
        <f>IF(DATOS!$A6446="","",DATOS!$A6446&amp;"|"&amp;DATOS!$D6446&amp;"|"&amp;DATOS!$E6446&amp;"|"&amp;DATOS!$I6446)</f>
      </c>
      <c r="G6446">
        <f>IF(DATOS!$A6446="",0,IF(CONFIG_METADATA!$B$4&lt;&gt;"OR+EX",--(DATOS!$G6446=CONFIG_METADATA!$B$4),IF(DATOS!$G6446="EX",1,IF(DATOS!$G6446="OR",--(COUNTIFS(nNIA,DATOS!$A6446,nCURSO,DATOS!$D6446,nESPEC,DATOS!$E6446,nASIG,DATOS!$I6446,nEVAL,"EX")=0),0))))</f>
      </c>
      <c r="H6446">
        <f>IF(DATOS!$G6446&lt;&gt;"EX",0,--(COUNTIFS(nNIA,DATOS!$A6446,nCURSO,DATOS!$D6446,nESPEC,DATOS!$E6446,nASIG,DATOS!$I6446,nEVAL,"OR")=0))</f>
      </c>
      <c r="I6446">
        <f>IF(DATOS!$I6446="","",IFERROR(VLOOKUP(DATOS!$I6446,CONFIG_ASIGNATURAS!$B$2:$J$91,9,FALSE()),""))</f>
      </c>
    </row>
    <row r="6447">
      <c r="F6447">
        <f>IF(DATOS!$A6447="","",DATOS!$A6447&amp;"|"&amp;DATOS!$D6447&amp;"|"&amp;DATOS!$E6447&amp;"|"&amp;DATOS!$I6447)</f>
      </c>
      <c r="G6447">
        <f>IF(DATOS!$A6447="",0,IF(CONFIG_METADATA!$B$4&lt;&gt;"OR+EX",--(DATOS!$G6447=CONFIG_METADATA!$B$4),IF(DATOS!$G6447="EX",1,IF(DATOS!$G6447="OR",--(COUNTIFS(nNIA,DATOS!$A6447,nCURSO,DATOS!$D6447,nESPEC,DATOS!$E6447,nASIG,DATOS!$I6447,nEVAL,"EX")=0),0))))</f>
      </c>
      <c r="H6447">
        <f>IF(DATOS!$G6447&lt;&gt;"EX",0,--(COUNTIFS(nNIA,DATOS!$A6447,nCURSO,DATOS!$D6447,nESPEC,DATOS!$E6447,nASIG,DATOS!$I6447,nEVAL,"OR")=0))</f>
      </c>
      <c r="I6447">
        <f>IF(DATOS!$I6447="","",IFERROR(VLOOKUP(DATOS!$I6447,CONFIG_ASIGNATURAS!$B$2:$J$91,9,FALSE()),""))</f>
      </c>
    </row>
    <row r="6448">
      <c r="F6448">
        <f>IF(DATOS!$A6448="","",DATOS!$A6448&amp;"|"&amp;DATOS!$D6448&amp;"|"&amp;DATOS!$E6448&amp;"|"&amp;DATOS!$I6448)</f>
      </c>
      <c r="G6448">
        <f>IF(DATOS!$A6448="",0,IF(CONFIG_METADATA!$B$4&lt;&gt;"OR+EX",--(DATOS!$G6448=CONFIG_METADATA!$B$4),IF(DATOS!$G6448="EX",1,IF(DATOS!$G6448="OR",--(COUNTIFS(nNIA,DATOS!$A6448,nCURSO,DATOS!$D6448,nESPEC,DATOS!$E6448,nASIG,DATOS!$I6448,nEVAL,"EX")=0),0))))</f>
      </c>
      <c r="H6448">
        <f>IF(DATOS!$G6448&lt;&gt;"EX",0,--(COUNTIFS(nNIA,DATOS!$A6448,nCURSO,DATOS!$D6448,nESPEC,DATOS!$E6448,nASIG,DATOS!$I6448,nEVAL,"OR")=0))</f>
      </c>
      <c r="I6448">
        <f>IF(DATOS!$I6448="","",IFERROR(VLOOKUP(DATOS!$I6448,CONFIG_ASIGNATURAS!$B$2:$J$91,9,FALSE()),""))</f>
      </c>
    </row>
    <row r="6449">
      <c r="F6449">
        <f>IF(DATOS!$A6449="","",DATOS!$A6449&amp;"|"&amp;DATOS!$D6449&amp;"|"&amp;DATOS!$E6449&amp;"|"&amp;DATOS!$I6449)</f>
      </c>
      <c r="G6449">
        <f>IF(DATOS!$A6449="",0,IF(CONFIG_METADATA!$B$4&lt;&gt;"OR+EX",--(DATOS!$G6449=CONFIG_METADATA!$B$4),IF(DATOS!$G6449="EX",1,IF(DATOS!$G6449="OR",--(COUNTIFS(nNIA,DATOS!$A6449,nCURSO,DATOS!$D6449,nESPEC,DATOS!$E6449,nASIG,DATOS!$I6449,nEVAL,"EX")=0),0))))</f>
      </c>
      <c r="H6449">
        <f>IF(DATOS!$G6449&lt;&gt;"EX",0,--(COUNTIFS(nNIA,DATOS!$A6449,nCURSO,DATOS!$D6449,nESPEC,DATOS!$E6449,nASIG,DATOS!$I6449,nEVAL,"OR")=0))</f>
      </c>
      <c r="I6449">
        <f>IF(DATOS!$I6449="","",IFERROR(VLOOKUP(DATOS!$I6449,CONFIG_ASIGNATURAS!$B$2:$J$91,9,FALSE()),""))</f>
      </c>
    </row>
    <row r="6450">
      <c r="F6450">
        <f>IF(DATOS!$A6450="","",DATOS!$A6450&amp;"|"&amp;DATOS!$D6450&amp;"|"&amp;DATOS!$E6450&amp;"|"&amp;DATOS!$I6450)</f>
      </c>
      <c r="G6450">
        <f>IF(DATOS!$A6450="",0,IF(CONFIG_METADATA!$B$4&lt;&gt;"OR+EX",--(DATOS!$G6450=CONFIG_METADATA!$B$4),IF(DATOS!$G6450="EX",1,IF(DATOS!$G6450="OR",--(COUNTIFS(nNIA,DATOS!$A6450,nCURSO,DATOS!$D6450,nESPEC,DATOS!$E6450,nASIG,DATOS!$I6450,nEVAL,"EX")=0),0))))</f>
      </c>
      <c r="H6450">
        <f>IF(DATOS!$G6450&lt;&gt;"EX",0,--(COUNTIFS(nNIA,DATOS!$A6450,nCURSO,DATOS!$D6450,nESPEC,DATOS!$E6450,nASIG,DATOS!$I6450,nEVAL,"OR")=0))</f>
      </c>
      <c r="I6450">
        <f>IF(DATOS!$I6450="","",IFERROR(VLOOKUP(DATOS!$I6450,CONFIG_ASIGNATURAS!$B$2:$J$91,9,FALSE()),""))</f>
      </c>
    </row>
    <row r="6451">
      <c r="F6451">
        <f>IF(DATOS!$A6451="","",DATOS!$A6451&amp;"|"&amp;DATOS!$D6451&amp;"|"&amp;DATOS!$E6451&amp;"|"&amp;DATOS!$I6451)</f>
      </c>
      <c r="G6451">
        <f>IF(DATOS!$A6451="",0,IF(CONFIG_METADATA!$B$4&lt;&gt;"OR+EX",--(DATOS!$G6451=CONFIG_METADATA!$B$4),IF(DATOS!$G6451="EX",1,IF(DATOS!$G6451="OR",--(COUNTIFS(nNIA,DATOS!$A6451,nCURSO,DATOS!$D6451,nESPEC,DATOS!$E6451,nASIG,DATOS!$I6451,nEVAL,"EX")=0),0))))</f>
      </c>
      <c r="H6451">
        <f>IF(DATOS!$G6451&lt;&gt;"EX",0,--(COUNTIFS(nNIA,DATOS!$A6451,nCURSO,DATOS!$D6451,nESPEC,DATOS!$E6451,nASIG,DATOS!$I6451,nEVAL,"OR")=0))</f>
      </c>
      <c r="I6451">
        <f>IF(DATOS!$I6451="","",IFERROR(VLOOKUP(DATOS!$I6451,CONFIG_ASIGNATURAS!$B$2:$J$91,9,FALSE()),""))</f>
      </c>
    </row>
    <row r="6452">
      <c r="F6452">
        <f>IF(DATOS!$A6452="","",DATOS!$A6452&amp;"|"&amp;DATOS!$D6452&amp;"|"&amp;DATOS!$E6452&amp;"|"&amp;DATOS!$I6452)</f>
      </c>
      <c r="G6452">
        <f>IF(DATOS!$A6452="",0,IF(CONFIG_METADATA!$B$4&lt;&gt;"OR+EX",--(DATOS!$G6452=CONFIG_METADATA!$B$4),IF(DATOS!$G6452="EX",1,IF(DATOS!$G6452="OR",--(COUNTIFS(nNIA,DATOS!$A6452,nCURSO,DATOS!$D6452,nESPEC,DATOS!$E6452,nASIG,DATOS!$I6452,nEVAL,"EX")=0),0))))</f>
      </c>
      <c r="H6452">
        <f>IF(DATOS!$G6452&lt;&gt;"EX",0,--(COUNTIFS(nNIA,DATOS!$A6452,nCURSO,DATOS!$D6452,nESPEC,DATOS!$E6452,nASIG,DATOS!$I6452,nEVAL,"OR")=0))</f>
      </c>
      <c r="I6452">
        <f>IF(DATOS!$I6452="","",IFERROR(VLOOKUP(DATOS!$I6452,CONFIG_ASIGNATURAS!$B$2:$J$91,9,FALSE()),""))</f>
      </c>
    </row>
    <row r="6453">
      <c r="F6453">
        <f>IF(DATOS!$A6453="","",DATOS!$A6453&amp;"|"&amp;DATOS!$D6453&amp;"|"&amp;DATOS!$E6453&amp;"|"&amp;DATOS!$I6453)</f>
      </c>
      <c r="G6453">
        <f>IF(DATOS!$A6453="",0,IF(CONFIG_METADATA!$B$4&lt;&gt;"OR+EX",--(DATOS!$G6453=CONFIG_METADATA!$B$4),IF(DATOS!$G6453="EX",1,IF(DATOS!$G6453="OR",--(COUNTIFS(nNIA,DATOS!$A6453,nCURSO,DATOS!$D6453,nESPEC,DATOS!$E6453,nASIG,DATOS!$I6453,nEVAL,"EX")=0),0))))</f>
      </c>
      <c r="H6453">
        <f>IF(DATOS!$G6453&lt;&gt;"EX",0,--(COUNTIFS(nNIA,DATOS!$A6453,nCURSO,DATOS!$D6453,nESPEC,DATOS!$E6453,nASIG,DATOS!$I6453,nEVAL,"OR")=0))</f>
      </c>
      <c r="I6453">
        <f>IF(DATOS!$I6453="","",IFERROR(VLOOKUP(DATOS!$I6453,CONFIG_ASIGNATURAS!$B$2:$J$91,9,FALSE()),""))</f>
      </c>
    </row>
    <row r="6454">
      <c r="F6454">
        <f>IF(DATOS!$A6454="","",DATOS!$A6454&amp;"|"&amp;DATOS!$D6454&amp;"|"&amp;DATOS!$E6454&amp;"|"&amp;DATOS!$I6454)</f>
      </c>
      <c r="G6454">
        <f>IF(DATOS!$A6454="",0,IF(CONFIG_METADATA!$B$4&lt;&gt;"OR+EX",--(DATOS!$G6454=CONFIG_METADATA!$B$4),IF(DATOS!$G6454="EX",1,IF(DATOS!$G6454="OR",--(COUNTIFS(nNIA,DATOS!$A6454,nCURSO,DATOS!$D6454,nESPEC,DATOS!$E6454,nASIG,DATOS!$I6454,nEVAL,"EX")=0),0))))</f>
      </c>
      <c r="H6454">
        <f>IF(DATOS!$G6454&lt;&gt;"EX",0,--(COUNTIFS(nNIA,DATOS!$A6454,nCURSO,DATOS!$D6454,nESPEC,DATOS!$E6454,nASIG,DATOS!$I6454,nEVAL,"OR")=0))</f>
      </c>
      <c r="I6454">
        <f>IF(DATOS!$I6454="","",IFERROR(VLOOKUP(DATOS!$I6454,CONFIG_ASIGNATURAS!$B$2:$J$91,9,FALSE()),""))</f>
      </c>
    </row>
    <row r="6455">
      <c r="F6455">
        <f>IF(DATOS!$A6455="","",DATOS!$A6455&amp;"|"&amp;DATOS!$D6455&amp;"|"&amp;DATOS!$E6455&amp;"|"&amp;DATOS!$I6455)</f>
      </c>
      <c r="G6455">
        <f>IF(DATOS!$A6455="",0,IF(CONFIG_METADATA!$B$4&lt;&gt;"OR+EX",--(DATOS!$G6455=CONFIG_METADATA!$B$4),IF(DATOS!$G6455="EX",1,IF(DATOS!$G6455="OR",--(COUNTIFS(nNIA,DATOS!$A6455,nCURSO,DATOS!$D6455,nESPEC,DATOS!$E6455,nASIG,DATOS!$I6455,nEVAL,"EX")=0),0))))</f>
      </c>
      <c r="H6455">
        <f>IF(DATOS!$G6455&lt;&gt;"EX",0,--(COUNTIFS(nNIA,DATOS!$A6455,nCURSO,DATOS!$D6455,nESPEC,DATOS!$E6455,nASIG,DATOS!$I6455,nEVAL,"OR")=0))</f>
      </c>
      <c r="I6455">
        <f>IF(DATOS!$I6455="","",IFERROR(VLOOKUP(DATOS!$I6455,CONFIG_ASIGNATURAS!$B$2:$J$91,9,FALSE()),""))</f>
      </c>
    </row>
    <row r="6456">
      <c r="F6456">
        <f>IF(DATOS!$A6456="","",DATOS!$A6456&amp;"|"&amp;DATOS!$D6456&amp;"|"&amp;DATOS!$E6456&amp;"|"&amp;DATOS!$I6456)</f>
      </c>
      <c r="G6456">
        <f>IF(DATOS!$A6456="",0,IF(CONFIG_METADATA!$B$4&lt;&gt;"OR+EX",--(DATOS!$G6456=CONFIG_METADATA!$B$4),IF(DATOS!$G6456="EX",1,IF(DATOS!$G6456="OR",--(COUNTIFS(nNIA,DATOS!$A6456,nCURSO,DATOS!$D6456,nESPEC,DATOS!$E6456,nASIG,DATOS!$I6456,nEVAL,"EX")=0),0))))</f>
      </c>
      <c r="H6456">
        <f>IF(DATOS!$G6456&lt;&gt;"EX",0,--(COUNTIFS(nNIA,DATOS!$A6456,nCURSO,DATOS!$D6456,nESPEC,DATOS!$E6456,nASIG,DATOS!$I6456,nEVAL,"OR")=0))</f>
      </c>
      <c r="I6456">
        <f>IF(DATOS!$I6456="","",IFERROR(VLOOKUP(DATOS!$I6456,CONFIG_ASIGNATURAS!$B$2:$J$91,9,FALSE()),""))</f>
      </c>
    </row>
    <row r="6457">
      <c r="F6457">
        <f>IF(DATOS!$A6457="","",DATOS!$A6457&amp;"|"&amp;DATOS!$D6457&amp;"|"&amp;DATOS!$E6457&amp;"|"&amp;DATOS!$I6457)</f>
      </c>
      <c r="G6457">
        <f>IF(DATOS!$A6457="",0,IF(CONFIG_METADATA!$B$4&lt;&gt;"OR+EX",--(DATOS!$G6457=CONFIG_METADATA!$B$4),IF(DATOS!$G6457="EX",1,IF(DATOS!$G6457="OR",--(COUNTIFS(nNIA,DATOS!$A6457,nCURSO,DATOS!$D6457,nESPEC,DATOS!$E6457,nASIG,DATOS!$I6457,nEVAL,"EX")=0),0))))</f>
      </c>
      <c r="H6457">
        <f>IF(DATOS!$G6457&lt;&gt;"EX",0,--(COUNTIFS(nNIA,DATOS!$A6457,nCURSO,DATOS!$D6457,nESPEC,DATOS!$E6457,nASIG,DATOS!$I6457,nEVAL,"OR")=0))</f>
      </c>
      <c r="I6457">
        <f>IF(DATOS!$I6457="","",IFERROR(VLOOKUP(DATOS!$I6457,CONFIG_ASIGNATURAS!$B$2:$J$91,9,FALSE()),""))</f>
      </c>
    </row>
    <row r="6458">
      <c r="F6458">
        <f>IF(DATOS!$A6458="","",DATOS!$A6458&amp;"|"&amp;DATOS!$D6458&amp;"|"&amp;DATOS!$E6458&amp;"|"&amp;DATOS!$I6458)</f>
      </c>
      <c r="G6458">
        <f>IF(DATOS!$A6458="",0,IF(CONFIG_METADATA!$B$4&lt;&gt;"OR+EX",--(DATOS!$G6458=CONFIG_METADATA!$B$4),IF(DATOS!$G6458="EX",1,IF(DATOS!$G6458="OR",--(COUNTIFS(nNIA,DATOS!$A6458,nCURSO,DATOS!$D6458,nESPEC,DATOS!$E6458,nASIG,DATOS!$I6458,nEVAL,"EX")=0),0))))</f>
      </c>
      <c r="H6458">
        <f>IF(DATOS!$G6458&lt;&gt;"EX",0,--(COUNTIFS(nNIA,DATOS!$A6458,nCURSO,DATOS!$D6458,nESPEC,DATOS!$E6458,nASIG,DATOS!$I6458,nEVAL,"OR")=0))</f>
      </c>
      <c r="I6458">
        <f>IF(DATOS!$I6458="","",IFERROR(VLOOKUP(DATOS!$I6458,CONFIG_ASIGNATURAS!$B$2:$J$91,9,FALSE()),""))</f>
      </c>
    </row>
    <row r="6459">
      <c r="F6459">
        <f>IF(DATOS!$A6459="","",DATOS!$A6459&amp;"|"&amp;DATOS!$D6459&amp;"|"&amp;DATOS!$E6459&amp;"|"&amp;DATOS!$I6459)</f>
      </c>
      <c r="G6459">
        <f>IF(DATOS!$A6459="",0,IF(CONFIG_METADATA!$B$4&lt;&gt;"OR+EX",--(DATOS!$G6459=CONFIG_METADATA!$B$4),IF(DATOS!$G6459="EX",1,IF(DATOS!$G6459="OR",--(COUNTIFS(nNIA,DATOS!$A6459,nCURSO,DATOS!$D6459,nESPEC,DATOS!$E6459,nASIG,DATOS!$I6459,nEVAL,"EX")=0),0))))</f>
      </c>
      <c r="H6459">
        <f>IF(DATOS!$G6459&lt;&gt;"EX",0,--(COUNTIFS(nNIA,DATOS!$A6459,nCURSO,DATOS!$D6459,nESPEC,DATOS!$E6459,nASIG,DATOS!$I6459,nEVAL,"OR")=0))</f>
      </c>
      <c r="I6459">
        <f>IF(DATOS!$I6459="","",IFERROR(VLOOKUP(DATOS!$I6459,CONFIG_ASIGNATURAS!$B$2:$J$91,9,FALSE()),""))</f>
      </c>
    </row>
    <row r="6460">
      <c r="F6460">
        <f>IF(DATOS!$A6460="","",DATOS!$A6460&amp;"|"&amp;DATOS!$D6460&amp;"|"&amp;DATOS!$E6460&amp;"|"&amp;DATOS!$I6460)</f>
      </c>
      <c r="G6460">
        <f>IF(DATOS!$A6460="",0,IF(CONFIG_METADATA!$B$4&lt;&gt;"OR+EX",--(DATOS!$G6460=CONFIG_METADATA!$B$4),IF(DATOS!$G6460="EX",1,IF(DATOS!$G6460="OR",--(COUNTIFS(nNIA,DATOS!$A6460,nCURSO,DATOS!$D6460,nESPEC,DATOS!$E6460,nASIG,DATOS!$I6460,nEVAL,"EX")=0),0))))</f>
      </c>
      <c r="H6460">
        <f>IF(DATOS!$G6460&lt;&gt;"EX",0,--(COUNTIFS(nNIA,DATOS!$A6460,nCURSO,DATOS!$D6460,nESPEC,DATOS!$E6460,nASIG,DATOS!$I6460,nEVAL,"OR")=0))</f>
      </c>
      <c r="I6460">
        <f>IF(DATOS!$I6460="","",IFERROR(VLOOKUP(DATOS!$I6460,CONFIG_ASIGNATURAS!$B$2:$J$91,9,FALSE()),""))</f>
      </c>
    </row>
    <row r="6461">
      <c r="F6461">
        <f>IF(DATOS!$A6461="","",DATOS!$A6461&amp;"|"&amp;DATOS!$D6461&amp;"|"&amp;DATOS!$E6461&amp;"|"&amp;DATOS!$I6461)</f>
      </c>
      <c r="G6461">
        <f>IF(DATOS!$A6461="",0,IF(CONFIG_METADATA!$B$4&lt;&gt;"OR+EX",--(DATOS!$G6461=CONFIG_METADATA!$B$4),IF(DATOS!$G6461="EX",1,IF(DATOS!$G6461="OR",--(COUNTIFS(nNIA,DATOS!$A6461,nCURSO,DATOS!$D6461,nESPEC,DATOS!$E6461,nASIG,DATOS!$I6461,nEVAL,"EX")=0),0))))</f>
      </c>
      <c r="H6461">
        <f>IF(DATOS!$G6461&lt;&gt;"EX",0,--(COUNTIFS(nNIA,DATOS!$A6461,nCURSO,DATOS!$D6461,nESPEC,DATOS!$E6461,nASIG,DATOS!$I6461,nEVAL,"OR")=0))</f>
      </c>
      <c r="I6461">
        <f>IF(DATOS!$I6461="","",IFERROR(VLOOKUP(DATOS!$I6461,CONFIG_ASIGNATURAS!$B$2:$J$91,9,FALSE()),""))</f>
      </c>
    </row>
    <row r="6462">
      <c r="F6462">
        <f>IF(DATOS!$A6462="","",DATOS!$A6462&amp;"|"&amp;DATOS!$D6462&amp;"|"&amp;DATOS!$E6462&amp;"|"&amp;DATOS!$I6462)</f>
      </c>
      <c r="G6462">
        <f>IF(DATOS!$A6462="",0,IF(CONFIG_METADATA!$B$4&lt;&gt;"OR+EX",--(DATOS!$G6462=CONFIG_METADATA!$B$4),IF(DATOS!$G6462="EX",1,IF(DATOS!$G6462="OR",--(COUNTIFS(nNIA,DATOS!$A6462,nCURSO,DATOS!$D6462,nESPEC,DATOS!$E6462,nASIG,DATOS!$I6462,nEVAL,"EX")=0),0))))</f>
      </c>
      <c r="H6462">
        <f>IF(DATOS!$G6462&lt;&gt;"EX",0,--(COUNTIFS(nNIA,DATOS!$A6462,nCURSO,DATOS!$D6462,nESPEC,DATOS!$E6462,nASIG,DATOS!$I6462,nEVAL,"OR")=0))</f>
      </c>
      <c r="I6462">
        <f>IF(DATOS!$I6462="","",IFERROR(VLOOKUP(DATOS!$I6462,CONFIG_ASIGNATURAS!$B$2:$J$91,9,FALSE()),""))</f>
      </c>
    </row>
    <row r="6463">
      <c r="F6463">
        <f>IF(DATOS!$A6463="","",DATOS!$A6463&amp;"|"&amp;DATOS!$D6463&amp;"|"&amp;DATOS!$E6463&amp;"|"&amp;DATOS!$I6463)</f>
      </c>
      <c r="G6463">
        <f>IF(DATOS!$A6463="",0,IF(CONFIG_METADATA!$B$4&lt;&gt;"OR+EX",--(DATOS!$G6463=CONFIG_METADATA!$B$4),IF(DATOS!$G6463="EX",1,IF(DATOS!$G6463="OR",--(COUNTIFS(nNIA,DATOS!$A6463,nCURSO,DATOS!$D6463,nESPEC,DATOS!$E6463,nASIG,DATOS!$I6463,nEVAL,"EX")=0),0))))</f>
      </c>
      <c r="H6463">
        <f>IF(DATOS!$G6463&lt;&gt;"EX",0,--(COUNTIFS(nNIA,DATOS!$A6463,nCURSO,DATOS!$D6463,nESPEC,DATOS!$E6463,nASIG,DATOS!$I6463,nEVAL,"OR")=0))</f>
      </c>
      <c r="I6463">
        <f>IF(DATOS!$I6463="","",IFERROR(VLOOKUP(DATOS!$I6463,CONFIG_ASIGNATURAS!$B$2:$J$91,9,FALSE()),""))</f>
      </c>
    </row>
    <row r="6464">
      <c r="F6464">
        <f>IF(DATOS!$A6464="","",DATOS!$A6464&amp;"|"&amp;DATOS!$D6464&amp;"|"&amp;DATOS!$E6464&amp;"|"&amp;DATOS!$I6464)</f>
      </c>
      <c r="G6464">
        <f>IF(DATOS!$A6464="",0,IF(CONFIG_METADATA!$B$4&lt;&gt;"OR+EX",--(DATOS!$G6464=CONFIG_METADATA!$B$4),IF(DATOS!$G6464="EX",1,IF(DATOS!$G6464="OR",--(COUNTIFS(nNIA,DATOS!$A6464,nCURSO,DATOS!$D6464,nESPEC,DATOS!$E6464,nASIG,DATOS!$I6464,nEVAL,"EX")=0),0))))</f>
      </c>
      <c r="H6464">
        <f>IF(DATOS!$G6464&lt;&gt;"EX",0,--(COUNTIFS(nNIA,DATOS!$A6464,nCURSO,DATOS!$D6464,nESPEC,DATOS!$E6464,nASIG,DATOS!$I6464,nEVAL,"OR")=0))</f>
      </c>
      <c r="I6464">
        <f>IF(DATOS!$I6464="","",IFERROR(VLOOKUP(DATOS!$I6464,CONFIG_ASIGNATURAS!$B$2:$J$91,9,FALSE()),""))</f>
      </c>
    </row>
    <row r="6465">
      <c r="F6465">
        <f>IF(DATOS!$A6465="","",DATOS!$A6465&amp;"|"&amp;DATOS!$D6465&amp;"|"&amp;DATOS!$E6465&amp;"|"&amp;DATOS!$I6465)</f>
      </c>
      <c r="G6465">
        <f>IF(DATOS!$A6465="",0,IF(CONFIG_METADATA!$B$4&lt;&gt;"OR+EX",--(DATOS!$G6465=CONFIG_METADATA!$B$4),IF(DATOS!$G6465="EX",1,IF(DATOS!$G6465="OR",--(COUNTIFS(nNIA,DATOS!$A6465,nCURSO,DATOS!$D6465,nESPEC,DATOS!$E6465,nASIG,DATOS!$I6465,nEVAL,"EX")=0),0))))</f>
      </c>
      <c r="H6465">
        <f>IF(DATOS!$G6465&lt;&gt;"EX",0,--(COUNTIFS(nNIA,DATOS!$A6465,nCURSO,DATOS!$D6465,nESPEC,DATOS!$E6465,nASIG,DATOS!$I6465,nEVAL,"OR")=0))</f>
      </c>
      <c r="I6465">
        <f>IF(DATOS!$I6465="","",IFERROR(VLOOKUP(DATOS!$I6465,CONFIG_ASIGNATURAS!$B$2:$J$91,9,FALSE()),""))</f>
      </c>
    </row>
    <row r="6466">
      <c r="F6466">
        <f>IF(DATOS!$A6466="","",DATOS!$A6466&amp;"|"&amp;DATOS!$D6466&amp;"|"&amp;DATOS!$E6466&amp;"|"&amp;DATOS!$I6466)</f>
      </c>
      <c r="G6466">
        <f>IF(DATOS!$A6466="",0,IF(CONFIG_METADATA!$B$4&lt;&gt;"OR+EX",--(DATOS!$G6466=CONFIG_METADATA!$B$4),IF(DATOS!$G6466="EX",1,IF(DATOS!$G6466="OR",--(COUNTIFS(nNIA,DATOS!$A6466,nCURSO,DATOS!$D6466,nESPEC,DATOS!$E6466,nASIG,DATOS!$I6466,nEVAL,"EX")=0),0))))</f>
      </c>
      <c r="H6466">
        <f>IF(DATOS!$G6466&lt;&gt;"EX",0,--(COUNTIFS(nNIA,DATOS!$A6466,nCURSO,DATOS!$D6466,nESPEC,DATOS!$E6466,nASIG,DATOS!$I6466,nEVAL,"OR")=0))</f>
      </c>
      <c r="I6466">
        <f>IF(DATOS!$I6466="","",IFERROR(VLOOKUP(DATOS!$I6466,CONFIG_ASIGNATURAS!$B$2:$J$91,9,FALSE()),""))</f>
      </c>
    </row>
    <row r="6467">
      <c r="F6467">
        <f>IF(DATOS!$A6467="","",DATOS!$A6467&amp;"|"&amp;DATOS!$D6467&amp;"|"&amp;DATOS!$E6467&amp;"|"&amp;DATOS!$I6467)</f>
      </c>
      <c r="G6467">
        <f>IF(DATOS!$A6467="",0,IF(CONFIG_METADATA!$B$4&lt;&gt;"OR+EX",--(DATOS!$G6467=CONFIG_METADATA!$B$4),IF(DATOS!$G6467="EX",1,IF(DATOS!$G6467="OR",--(COUNTIFS(nNIA,DATOS!$A6467,nCURSO,DATOS!$D6467,nESPEC,DATOS!$E6467,nASIG,DATOS!$I6467,nEVAL,"EX")=0),0))))</f>
      </c>
      <c r="H6467">
        <f>IF(DATOS!$G6467&lt;&gt;"EX",0,--(COUNTIFS(nNIA,DATOS!$A6467,nCURSO,DATOS!$D6467,nESPEC,DATOS!$E6467,nASIG,DATOS!$I6467,nEVAL,"OR")=0))</f>
      </c>
      <c r="I6467">
        <f>IF(DATOS!$I6467="","",IFERROR(VLOOKUP(DATOS!$I6467,CONFIG_ASIGNATURAS!$B$2:$J$91,9,FALSE()),""))</f>
      </c>
    </row>
    <row r="6468">
      <c r="F6468">
        <f>IF(DATOS!$A6468="","",DATOS!$A6468&amp;"|"&amp;DATOS!$D6468&amp;"|"&amp;DATOS!$E6468&amp;"|"&amp;DATOS!$I6468)</f>
      </c>
      <c r="G6468">
        <f>IF(DATOS!$A6468="",0,IF(CONFIG_METADATA!$B$4&lt;&gt;"OR+EX",--(DATOS!$G6468=CONFIG_METADATA!$B$4),IF(DATOS!$G6468="EX",1,IF(DATOS!$G6468="OR",--(COUNTIFS(nNIA,DATOS!$A6468,nCURSO,DATOS!$D6468,nESPEC,DATOS!$E6468,nASIG,DATOS!$I6468,nEVAL,"EX")=0),0))))</f>
      </c>
      <c r="H6468">
        <f>IF(DATOS!$G6468&lt;&gt;"EX",0,--(COUNTIFS(nNIA,DATOS!$A6468,nCURSO,DATOS!$D6468,nESPEC,DATOS!$E6468,nASIG,DATOS!$I6468,nEVAL,"OR")=0))</f>
      </c>
      <c r="I6468">
        <f>IF(DATOS!$I6468="","",IFERROR(VLOOKUP(DATOS!$I6468,CONFIG_ASIGNATURAS!$B$2:$J$91,9,FALSE()),""))</f>
      </c>
    </row>
    <row r="6469">
      <c r="F6469">
        <f>IF(DATOS!$A6469="","",DATOS!$A6469&amp;"|"&amp;DATOS!$D6469&amp;"|"&amp;DATOS!$E6469&amp;"|"&amp;DATOS!$I6469)</f>
      </c>
      <c r="G6469">
        <f>IF(DATOS!$A6469="",0,IF(CONFIG_METADATA!$B$4&lt;&gt;"OR+EX",--(DATOS!$G6469=CONFIG_METADATA!$B$4),IF(DATOS!$G6469="EX",1,IF(DATOS!$G6469="OR",--(COUNTIFS(nNIA,DATOS!$A6469,nCURSO,DATOS!$D6469,nESPEC,DATOS!$E6469,nASIG,DATOS!$I6469,nEVAL,"EX")=0),0))))</f>
      </c>
      <c r="H6469">
        <f>IF(DATOS!$G6469&lt;&gt;"EX",0,--(COUNTIFS(nNIA,DATOS!$A6469,nCURSO,DATOS!$D6469,nESPEC,DATOS!$E6469,nASIG,DATOS!$I6469,nEVAL,"OR")=0))</f>
      </c>
      <c r="I6469">
        <f>IF(DATOS!$I6469="","",IFERROR(VLOOKUP(DATOS!$I6469,CONFIG_ASIGNATURAS!$B$2:$J$91,9,FALSE()),""))</f>
      </c>
    </row>
    <row r="6470">
      <c r="F6470">
        <f>IF(DATOS!$A6470="","",DATOS!$A6470&amp;"|"&amp;DATOS!$D6470&amp;"|"&amp;DATOS!$E6470&amp;"|"&amp;DATOS!$I6470)</f>
      </c>
      <c r="G6470">
        <f>IF(DATOS!$A6470="",0,IF(CONFIG_METADATA!$B$4&lt;&gt;"OR+EX",--(DATOS!$G6470=CONFIG_METADATA!$B$4),IF(DATOS!$G6470="EX",1,IF(DATOS!$G6470="OR",--(COUNTIFS(nNIA,DATOS!$A6470,nCURSO,DATOS!$D6470,nESPEC,DATOS!$E6470,nASIG,DATOS!$I6470,nEVAL,"EX")=0),0))))</f>
      </c>
      <c r="H6470">
        <f>IF(DATOS!$G6470&lt;&gt;"EX",0,--(COUNTIFS(nNIA,DATOS!$A6470,nCURSO,DATOS!$D6470,nESPEC,DATOS!$E6470,nASIG,DATOS!$I6470,nEVAL,"OR")=0))</f>
      </c>
      <c r="I6470">
        <f>IF(DATOS!$I6470="","",IFERROR(VLOOKUP(DATOS!$I6470,CONFIG_ASIGNATURAS!$B$2:$J$91,9,FALSE()),""))</f>
      </c>
    </row>
    <row r="6471">
      <c r="F6471">
        <f>IF(DATOS!$A6471="","",DATOS!$A6471&amp;"|"&amp;DATOS!$D6471&amp;"|"&amp;DATOS!$E6471&amp;"|"&amp;DATOS!$I6471)</f>
      </c>
      <c r="G6471">
        <f>IF(DATOS!$A6471="",0,IF(CONFIG_METADATA!$B$4&lt;&gt;"OR+EX",--(DATOS!$G6471=CONFIG_METADATA!$B$4),IF(DATOS!$G6471="EX",1,IF(DATOS!$G6471="OR",--(COUNTIFS(nNIA,DATOS!$A6471,nCURSO,DATOS!$D6471,nESPEC,DATOS!$E6471,nASIG,DATOS!$I6471,nEVAL,"EX")=0),0))))</f>
      </c>
      <c r="H6471">
        <f>IF(DATOS!$G6471&lt;&gt;"EX",0,--(COUNTIFS(nNIA,DATOS!$A6471,nCURSO,DATOS!$D6471,nESPEC,DATOS!$E6471,nASIG,DATOS!$I6471,nEVAL,"OR")=0))</f>
      </c>
      <c r="I6471">
        <f>IF(DATOS!$I6471="","",IFERROR(VLOOKUP(DATOS!$I6471,CONFIG_ASIGNATURAS!$B$2:$J$91,9,FALSE()),""))</f>
      </c>
    </row>
    <row r="6472">
      <c r="F6472">
        <f>IF(DATOS!$A6472="","",DATOS!$A6472&amp;"|"&amp;DATOS!$D6472&amp;"|"&amp;DATOS!$E6472&amp;"|"&amp;DATOS!$I6472)</f>
      </c>
      <c r="G6472">
        <f>IF(DATOS!$A6472="",0,IF(CONFIG_METADATA!$B$4&lt;&gt;"OR+EX",--(DATOS!$G6472=CONFIG_METADATA!$B$4),IF(DATOS!$G6472="EX",1,IF(DATOS!$G6472="OR",--(COUNTIFS(nNIA,DATOS!$A6472,nCURSO,DATOS!$D6472,nESPEC,DATOS!$E6472,nASIG,DATOS!$I6472,nEVAL,"EX")=0),0))))</f>
      </c>
      <c r="H6472">
        <f>IF(DATOS!$G6472&lt;&gt;"EX",0,--(COUNTIFS(nNIA,DATOS!$A6472,nCURSO,DATOS!$D6472,nESPEC,DATOS!$E6472,nASIG,DATOS!$I6472,nEVAL,"OR")=0))</f>
      </c>
      <c r="I6472">
        <f>IF(DATOS!$I6472="","",IFERROR(VLOOKUP(DATOS!$I6472,CONFIG_ASIGNATURAS!$B$2:$J$91,9,FALSE()),""))</f>
      </c>
    </row>
    <row r="6473">
      <c r="F6473">
        <f>IF(DATOS!$A6473="","",DATOS!$A6473&amp;"|"&amp;DATOS!$D6473&amp;"|"&amp;DATOS!$E6473&amp;"|"&amp;DATOS!$I6473)</f>
      </c>
      <c r="G6473">
        <f>IF(DATOS!$A6473="",0,IF(CONFIG_METADATA!$B$4&lt;&gt;"OR+EX",--(DATOS!$G6473=CONFIG_METADATA!$B$4),IF(DATOS!$G6473="EX",1,IF(DATOS!$G6473="OR",--(COUNTIFS(nNIA,DATOS!$A6473,nCURSO,DATOS!$D6473,nESPEC,DATOS!$E6473,nASIG,DATOS!$I6473,nEVAL,"EX")=0),0))))</f>
      </c>
      <c r="H6473">
        <f>IF(DATOS!$G6473&lt;&gt;"EX",0,--(COUNTIFS(nNIA,DATOS!$A6473,nCURSO,DATOS!$D6473,nESPEC,DATOS!$E6473,nASIG,DATOS!$I6473,nEVAL,"OR")=0))</f>
      </c>
      <c r="I6473">
        <f>IF(DATOS!$I6473="","",IFERROR(VLOOKUP(DATOS!$I6473,CONFIG_ASIGNATURAS!$B$2:$J$91,9,FALSE()),""))</f>
      </c>
    </row>
    <row r="6474">
      <c r="F6474">
        <f>IF(DATOS!$A6474="","",DATOS!$A6474&amp;"|"&amp;DATOS!$D6474&amp;"|"&amp;DATOS!$E6474&amp;"|"&amp;DATOS!$I6474)</f>
      </c>
      <c r="G6474">
        <f>IF(DATOS!$A6474="",0,IF(CONFIG_METADATA!$B$4&lt;&gt;"OR+EX",--(DATOS!$G6474=CONFIG_METADATA!$B$4),IF(DATOS!$G6474="EX",1,IF(DATOS!$G6474="OR",--(COUNTIFS(nNIA,DATOS!$A6474,nCURSO,DATOS!$D6474,nESPEC,DATOS!$E6474,nASIG,DATOS!$I6474,nEVAL,"EX")=0),0))))</f>
      </c>
      <c r="H6474">
        <f>IF(DATOS!$G6474&lt;&gt;"EX",0,--(COUNTIFS(nNIA,DATOS!$A6474,nCURSO,DATOS!$D6474,nESPEC,DATOS!$E6474,nASIG,DATOS!$I6474,nEVAL,"OR")=0))</f>
      </c>
      <c r="I6474">
        <f>IF(DATOS!$I6474="","",IFERROR(VLOOKUP(DATOS!$I6474,CONFIG_ASIGNATURAS!$B$2:$J$91,9,FALSE()),""))</f>
      </c>
    </row>
    <row r="6475">
      <c r="F6475">
        <f>IF(DATOS!$A6475="","",DATOS!$A6475&amp;"|"&amp;DATOS!$D6475&amp;"|"&amp;DATOS!$E6475&amp;"|"&amp;DATOS!$I6475)</f>
      </c>
      <c r="G6475">
        <f>IF(DATOS!$A6475="",0,IF(CONFIG_METADATA!$B$4&lt;&gt;"OR+EX",--(DATOS!$G6475=CONFIG_METADATA!$B$4),IF(DATOS!$G6475="EX",1,IF(DATOS!$G6475="OR",--(COUNTIFS(nNIA,DATOS!$A6475,nCURSO,DATOS!$D6475,nESPEC,DATOS!$E6475,nASIG,DATOS!$I6475,nEVAL,"EX")=0),0))))</f>
      </c>
      <c r="H6475">
        <f>IF(DATOS!$G6475&lt;&gt;"EX",0,--(COUNTIFS(nNIA,DATOS!$A6475,nCURSO,DATOS!$D6475,nESPEC,DATOS!$E6475,nASIG,DATOS!$I6475,nEVAL,"OR")=0))</f>
      </c>
      <c r="I6475">
        <f>IF(DATOS!$I6475="","",IFERROR(VLOOKUP(DATOS!$I6475,CONFIG_ASIGNATURAS!$B$2:$J$91,9,FALSE()),""))</f>
      </c>
    </row>
    <row r="6476">
      <c r="F6476">
        <f>IF(DATOS!$A6476="","",DATOS!$A6476&amp;"|"&amp;DATOS!$D6476&amp;"|"&amp;DATOS!$E6476&amp;"|"&amp;DATOS!$I6476)</f>
      </c>
      <c r="G6476">
        <f>IF(DATOS!$A6476="",0,IF(CONFIG_METADATA!$B$4&lt;&gt;"OR+EX",--(DATOS!$G6476=CONFIG_METADATA!$B$4),IF(DATOS!$G6476="EX",1,IF(DATOS!$G6476="OR",--(COUNTIFS(nNIA,DATOS!$A6476,nCURSO,DATOS!$D6476,nESPEC,DATOS!$E6476,nASIG,DATOS!$I6476,nEVAL,"EX")=0),0))))</f>
      </c>
      <c r="H6476">
        <f>IF(DATOS!$G6476&lt;&gt;"EX",0,--(COUNTIFS(nNIA,DATOS!$A6476,nCURSO,DATOS!$D6476,nESPEC,DATOS!$E6476,nASIG,DATOS!$I6476,nEVAL,"OR")=0))</f>
      </c>
      <c r="I6476">
        <f>IF(DATOS!$I6476="","",IFERROR(VLOOKUP(DATOS!$I6476,CONFIG_ASIGNATURAS!$B$2:$J$91,9,FALSE()),""))</f>
      </c>
    </row>
    <row r="6477">
      <c r="F6477">
        <f>IF(DATOS!$A6477="","",DATOS!$A6477&amp;"|"&amp;DATOS!$D6477&amp;"|"&amp;DATOS!$E6477&amp;"|"&amp;DATOS!$I6477)</f>
      </c>
      <c r="G6477">
        <f>IF(DATOS!$A6477="",0,IF(CONFIG_METADATA!$B$4&lt;&gt;"OR+EX",--(DATOS!$G6477=CONFIG_METADATA!$B$4),IF(DATOS!$G6477="EX",1,IF(DATOS!$G6477="OR",--(COUNTIFS(nNIA,DATOS!$A6477,nCURSO,DATOS!$D6477,nESPEC,DATOS!$E6477,nASIG,DATOS!$I6477,nEVAL,"EX")=0),0))))</f>
      </c>
      <c r="H6477">
        <f>IF(DATOS!$G6477&lt;&gt;"EX",0,--(COUNTIFS(nNIA,DATOS!$A6477,nCURSO,DATOS!$D6477,nESPEC,DATOS!$E6477,nASIG,DATOS!$I6477,nEVAL,"OR")=0))</f>
      </c>
      <c r="I6477">
        <f>IF(DATOS!$I6477="","",IFERROR(VLOOKUP(DATOS!$I6477,CONFIG_ASIGNATURAS!$B$2:$J$91,9,FALSE()),""))</f>
      </c>
    </row>
    <row r="6478">
      <c r="F6478">
        <f>IF(DATOS!$A6478="","",DATOS!$A6478&amp;"|"&amp;DATOS!$D6478&amp;"|"&amp;DATOS!$E6478&amp;"|"&amp;DATOS!$I6478)</f>
      </c>
      <c r="G6478">
        <f>IF(DATOS!$A6478="",0,IF(CONFIG_METADATA!$B$4&lt;&gt;"OR+EX",--(DATOS!$G6478=CONFIG_METADATA!$B$4),IF(DATOS!$G6478="EX",1,IF(DATOS!$G6478="OR",--(COUNTIFS(nNIA,DATOS!$A6478,nCURSO,DATOS!$D6478,nESPEC,DATOS!$E6478,nASIG,DATOS!$I6478,nEVAL,"EX")=0),0))))</f>
      </c>
      <c r="H6478">
        <f>IF(DATOS!$G6478&lt;&gt;"EX",0,--(COUNTIFS(nNIA,DATOS!$A6478,nCURSO,DATOS!$D6478,nESPEC,DATOS!$E6478,nASIG,DATOS!$I6478,nEVAL,"OR")=0))</f>
      </c>
      <c r="I6478">
        <f>IF(DATOS!$I6478="","",IFERROR(VLOOKUP(DATOS!$I6478,CONFIG_ASIGNATURAS!$B$2:$J$91,9,FALSE()),""))</f>
      </c>
    </row>
    <row r="6479">
      <c r="F6479">
        <f>IF(DATOS!$A6479="","",DATOS!$A6479&amp;"|"&amp;DATOS!$D6479&amp;"|"&amp;DATOS!$E6479&amp;"|"&amp;DATOS!$I6479)</f>
      </c>
      <c r="G6479">
        <f>IF(DATOS!$A6479="",0,IF(CONFIG_METADATA!$B$4&lt;&gt;"OR+EX",--(DATOS!$G6479=CONFIG_METADATA!$B$4),IF(DATOS!$G6479="EX",1,IF(DATOS!$G6479="OR",--(COUNTIFS(nNIA,DATOS!$A6479,nCURSO,DATOS!$D6479,nESPEC,DATOS!$E6479,nASIG,DATOS!$I6479,nEVAL,"EX")=0),0))))</f>
      </c>
      <c r="H6479">
        <f>IF(DATOS!$G6479&lt;&gt;"EX",0,--(COUNTIFS(nNIA,DATOS!$A6479,nCURSO,DATOS!$D6479,nESPEC,DATOS!$E6479,nASIG,DATOS!$I6479,nEVAL,"OR")=0))</f>
      </c>
      <c r="I6479">
        <f>IF(DATOS!$I6479="","",IFERROR(VLOOKUP(DATOS!$I6479,CONFIG_ASIGNATURAS!$B$2:$J$91,9,FALSE()),""))</f>
      </c>
    </row>
    <row r="6480">
      <c r="F6480">
        <f>IF(DATOS!$A6480="","",DATOS!$A6480&amp;"|"&amp;DATOS!$D6480&amp;"|"&amp;DATOS!$E6480&amp;"|"&amp;DATOS!$I6480)</f>
      </c>
      <c r="G6480">
        <f>IF(DATOS!$A6480="",0,IF(CONFIG_METADATA!$B$4&lt;&gt;"OR+EX",--(DATOS!$G6480=CONFIG_METADATA!$B$4),IF(DATOS!$G6480="EX",1,IF(DATOS!$G6480="OR",--(COUNTIFS(nNIA,DATOS!$A6480,nCURSO,DATOS!$D6480,nESPEC,DATOS!$E6480,nASIG,DATOS!$I6480,nEVAL,"EX")=0),0))))</f>
      </c>
      <c r="H6480">
        <f>IF(DATOS!$G6480&lt;&gt;"EX",0,--(COUNTIFS(nNIA,DATOS!$A6480,nCURSO,DATOS!$D6480,nESPEC,DATOS!$E6480,nASIG,DATOS!$I6480,nEVAL,"OR")=0))</f>
      </c>
      <c r="I6480">
        <f>IF(DATOS!$I6480="","",IFERROR(VLOOKUP(DATOS!$I6480,CONFIG_ASIGNATURAS!$B$2:$J$91,9,FALSE()),""))</f>
      </c>
    </row>
    <row r="6481">
      <c r="F6481">
        <f>IF(DATOS!$A6481="","",DATOS!$A6481&amp;"|"&amp;DATOS!$D6481&amp;"|"&amp;DATOS!$E6481&amp;"|"&amp;DATOS!$I6481)</f>
      </c>
      <c r="G6481">
        <f>IF(DATOS!$A6481="",0,IF(CONFIG_METADATA!$B$4&lt;&gt;"OR+EX",--(DATOS!$G6481=CONFIG_METADATA!$B$4),IF(DATOS!$G6481="EX",1,IF(DATOS!$G6481="OR",--(COUNTIFS(nNIA,DATOS!$A6481,nCURSO,DATOS!$D6481,nESPEC,DATOS!$E6481,nASIG,DATOS!$I6481,nEVAL,"EX")=0),0))))</f>
      </c>
      <c r="H6481">
        <f>IF(DATOS!$G6481&lt;&gt;"EX",0,--(COUNTIFS(nNIA,DATOS!$A6481,nCURSO,DATOS!$D6481,nESPEC,DATOS!$E6481,nASIG,DATOS!$I6481,nEVAL,"OR")=0))</f>
      </c>
      <c r="I6481">
        <f>IF(DATOS!$I6481="","",IFERROR(VLOOKUP(DATOS!$I6481,CONFIG_ASIGNATURAS!$B$2:$J$91,9,FALSE()),""))</f>
      </c>
    </row>
    <row r="6482">
      <c r="F6482">
        <f>IF(DATOS!$A6482="","",DATOS!$A6482&amp;"|"&amp;DATOS!$D6482&amp;"|"&amp;DATOS!$E6482&amp;"|"&amp;DATOS!$I6482)</f>
      </c>
      <c r="G6482">
        <f>IF(DATOS!$A6482="",0,IF(CONFIG_METADATA!$B$4&lt;&gt;"OR+EX",--(DATOS!$G6482=CONFIG_METADATA!$B$4),IF(DATOS!$G6482="EX",1,IF(DATOS!$G6482="OR",--(COUNTIFS(nNIA,DATOS!$A6482,nCURSO,DATOS!$D6482,nESPEC,DATOS!$E6482,nASIG,DATOS!$I6482,nEVAL,"EX")=0),0))))</f>
      </c>
      <c r="H6482">
        <f>IF(DATOS!$G6482&lt;&gt;"EX",0,--(COUNTIFS(nNIA,DATOS!$A6482,nCURSO,DATOS!$D6482,nESPEC,DATOS!$E6482,nASIG,DATOS!$I6482,nEVAL,"OR")=0))</f>
      </c>
      <c r="I6482">
        <f>IF(DATOS!$I6482="","",IFERROR(VLOOKUP(DATOS!$I6482,CONFIG_ASIGNATURAS!$B$2:$J$91,9,FALSE()),""))</f>
      </c>
    </row>
    <row r="6483">
      <c r="F6483">
        <f>IF(DATOS!$A6483="","",DATOS!$A6483&amp;"|"&amp;DATOS!$D6483&amp;"|"&amp;DATOS!$E6483&amp;"|"&amp;DATOS!$I6483)</f>
      </c>
      <c r="G6483">
        <f>IF(DATOS!$A6483="",0,IF(CONFIG_METADATA!$B$4&lt;&gt;"OR+EX",--(DATOS!$G6483=CONFIG_METADATA!$B$4),IF(DATOS!$G6483="EX",1,IF(DATOS!$G6483="OR",--(COUNTIFS(nNIA,DATOS!$A6483,nCURSO,DATOS!$D6483,nESPEC,DATOS!$E6483,nASIG,DATOS!$I6483,nEVAL,"EX")=0),0))))</f>
      </c>
      <c r="H6483">
        <f>IF(DATOS!$G6483&lt;&gt;"EX",0,--(COUNTIFS(nNIA,DATOS!$A6483,nCURSO,DATOS!$D6483,nESPEC,DATOS!$E6483,nASIG,DATOS!$I6483,nEVAL,"OR")=0))</f>
      </c>
      <c r="I6483">
        <f>IF(DATOS!$I6483="","",IFERROR(VLOOKUP(DATOS!$I6483,CONFIG_ASIGNATURAS!$B$2:$J$91,9,FALSE()),""))</f>
      </c>
    </row>
    <row r="6484">
      <c r="F6484">
        <f>IF(DATOS!$A6484="","",DATOS!$A6484&amp;"|"&amp;DATOS!$D6484&amp;"|"&amp;DATOS!$E6484&amp;"|"&amp;DATOS!$I6484)</f>
      </c>
      <c r="G6484">
        <f>IF(DATOS!$A6484="",0,IF(CONFIG_METADATA!$B$4&lt;&gt;"OR+EX",--(DATOS!$G6484=CONFIG_METADATA!$B$4),IF(DATOS!$G6484="EX",1,IF(DATOS!$G6484="OR",--(COUNTIFS(nNIA,DATOS!$A6484,nCURSO,DATOS!$D6484,nESPEC,DATOS!$E6484,nASIG,DATOS!$I6484,nEVAL,"EX")=0),0))))</f>
      </c>
      <c r="H6484">
        <f>IF(DATOS!$G6484&lt;&gt;"EX",0,--(COUNTIFS(nNIA,DATOS!$A6484,nCURSO,DATOS!$D6484,nESPEC,DATOS!$E6484,nASIG,DATOS!$I6484,nEVAL,"OR")=0))</f>
      </c>
      <c r="I6484">
        <f>IF(DATOS!$I6484="","",IFERROR(VLOOKUP(DATOS!$I6484,CONFIG_ASIGNATURAS!$B$2:$J$91,9,FALSE()),""))</f>
      </c>
    </row>
    <row r="6485">
      <c r="F6485">
        <f>IF(DATOS!$A6485="","",DATOS!$A6485&amp;"|"&amp;DATOS!$D6485&amp;"|"&amp;DATOS!$E6485&amp;"|"&amp;DATOS!$I6485)</f>
      </c>
      <c r="G6485">
        <f>IF(DATOS!$A6485="",0,IF(CONFIG_METADATA!$B$4&lt;&gt;"OR+EX",--(DATOS!$G6485=CONFIG_METADATA!$B$4),IF(DATOS!$G6485="EX",1,IF(DATOS!$G6485="OR",--(COUNTIFS(nNIA,DATOS!$A6485,nCURSO,DATOS!$D6485,nESPEC,DATOS!$E6485,nASIG,DATOS!$I6485,nEVAL,"EX")=0),0))))</f>
      </c>
      <c r="H6485">
        <f>IF(DATOS!$G6485&lt;&gt;"EX",0,--(COUNTIFS(nNIA,DATOS!$A6485,nCURSO,DATOS!$D6485,nESPEC,DATOS!$E6485,nASIG,DATOS!$I6485,nEVAL,"OR")=0))</f>
      </c>
      <c r="I6485">
        <f>IF(DATOS!$I6485="","",IFERROR(VLOOKUP(DATOS!$I6485,CONFIG_ASIGNATURAS!$B$2:$J$91,9,FALSE()),""))</f>
      </c>
    </row>
    <row r="6486">
      <c r="F6486">
        <f>IF(DATOS!$A6486="","",DATOS!$A6486&amp;"|"&amp;DATOS!$D6486&amp;"|"&amp;DATOS!$E6486&amp;"|"&amp;DATOS!$I6486)</f>
      </c>
      <c r="G6486">
        <f>IF(DATOS!$A6486="",0,IF(CONFIG_METADATA!$B$4&lt;&gt;"OR+EX",--(DATOS!$G6486=CONFIG_METADATA!$B$4),IF(DATOS!$G6486="EX",1,IF(DATOS!$G6486="OR",--(COUNTIFS(nNIA,DATOS!$A6486,nCURSO,DATOS!$D6486,nESPEC,DATOS!$E6486,nASIG,DATOS!$I6486,nEVAL,"EX")=0),0))))</f>
      </c>
      <c r="H6486">
        <f>IF(DATOS!$G6486&lt;&gt;"EX",0,--(COUNTIFS(nNIA,DATOS!$A6486,nCURSO,DATOS!$D6486,nESPEC,DATOS!$E6486,nASIG,DATOS!$I6486,nEVAL,"OR")=0))</f>
      </c>
      <c r="I6486">
        <f>IF(DATOS!$I6486="","",IFERROR(VLOOKUP(DATOS!$I6486,CONFIG_ASIGNATURAS!$B$2:$J$91,9,FALSE()),""))</f>
      </c>
    </row>
    <row r="6487">
      <c r="F6487">
        <f>IF(DATOS!$A6487="","",DATOS!$A6487&amp;"|"&amp;DATOS!$D6487&amp;"|"&amp;DATOS!$E6487&amp;"|"&amp;DATOS!$I6487)</f>
      </c>
      <c r="G6487">
        <f>IF(DATOS!$A6487="",0,IF(CONFIG_METADATA!$B$4&lt;&gt;"OR+EX",--(DATOS!$G6487=CONFIG_METADATA!$B$4),IF(DATOS!$G6487="EX",1,IF(DATOS!$G6487="OR",--(COUNTIFS(nNIA,DATOS!$A6487,nCURSO,DATOS!$D6487,nESPEC,DATOS!$E6487,nASIG,DATOS!$I6487,nEVAL,"EX")=0),0))))</f>
      </c>
      <c r="H6487">
        <f>IF(DATOS!$G6487&lt;&gt;"EX",0,--(COUNTIFS(nNIA,DATOS!$A6487,nCURSO,DATOS!$D6487,nESPEC,DATOS!$E6487,nASIG,DATOS!$I6487,nEVAL,"OR")=0))</f>
      </c>
      <c r="I6487">
        <f>IF(DATOS!$I6487="","",IFERROR(VLOOKUP(DATOS!$I6487,CONFIG_ASIGNATURAS!$B$2:$J$91,9,FALSE()),""))</f>
      </c>
    </row>
    <row r="6488">
      <c r="F6488">
        <f>IF(DATOS!$A6488="","",DATOS!$A6488&amp;"|"&amp;DATOS!$D6488&amp;"|"&amp;DATOS!$E6488&amp;"|"&amp;DATOS!$I6488)</f>
      </c>
      <c r="G6488">
        <f>IF(DATOS!$A6488="",0,IF(CONFIG_METADATA!$B$4&lt;&gt;"OR+EX",--(DATOS!$G6488=CONFIG_METADATA!$B$4),IF(DATOS!$G6488="EX",1,IF(DATOS!$G6488="OR",--(COUNTIFS(nNIA,DATOS!$A6488,nCURSO,DATOS!$D6488,nESPEC,DATOS!$E6488,nASIG,DATOS!$I6488,nEVAL,"EX")=0),0))))</f>
      </c>
      <c r="H6488">
        <f>IF(DATOS!$G6488&lt;&gt;"EX",0,--(COUNTIFS(nNIA,DATOS!$A6488,nCURSO,DATOS!$D6488,nESPEC,DATOS!$E6488,nASIG,DATOS!$I6488,nEVAL,"OR")=0))</f>
      </c>
      <c r="I6488">
        <f>IF(DATOS!$I6488="","",IFERROR(VLOOKUP(DATOS!$I6488,CONFIG_ASIGNATURAS!$B$2:$J$91,9,FALSE()),""))</f>
      </c>
    </row>
    <row r="6489">
      <c r="F6489">
        <f>IF(DATOS!$A6489="","",DATOS!$A6489&amp;"|"&amp;DATOS!$D6489&amp;"|"&amp;DATOS!$E6489&amp;"|"&amp;DATOS!$I6489)</f>
      </c>
      <c r="G6489">
        <f>IF(DATOS!$A6489="",0,IF(CONFIG_METADATA!$B$4&lt;&gt;"OR+EX",--(DATOS!$G6489=CONFIG_METADATA!$B$4),IF(DATOS!$G6489="EX",1,IF(DATOS!$G6489="OR",--(COUNTIFS(nNIA,DATOS!$A6489,nCURSO,DATOS!$D6489,nESPEC,DATOS!$E6489,nASIG,DATOS!$I6489,nEVAL,"EX")=0),0))))</f>
      </c>
      <c r="H6489">
        <f>IF(DATOS!$G6489&lt;&gt;"EX",0,--(COUNTIFS(nNIA,DATOS!$A6489,nCURSO,DATOS!$D6489,nESPEC,DATOS!$E6489,nASIG,DATOS!$I6489,nEVAL,"OR")=0))</f>
      </c>
      <c r="I6489">
        <f>IF(DATOS!$I6489="","",IFERROR(VLOOKUP(DATOS!$I6489,CONFIG_ASIGNATURAS!$B$2:$J$91,9,FALSE()),""))</f>
      </c>
    </row>
    <row r="6490">
      <c r="F6490">
        <f>IF(DATOS!$A6490="","",DATOS!$A6490&amp;"|"&amp;DATOS!$D6490&amp;"|"&amp;DATOS!$E6490&amp;"|"&amp;DATOS!$I6490)</f>
      </c>
      <c r="G6490">
        <f>IF(DATOS!$A6490="",0,IF(CONFIG_METADATA!$B$4&lt;&gt;"OR+EX",--(DATOS!$G6490=CONFIG_METADATA!$B$4),IF(DATOS!$G6490="EX",1,IF(DATOS!$G6490="OR",--(COUNTIFS(nNIA,DATOS!$A6490,nCURSO,DATOS!$D6490,nESPEC,DATOS!$E6490,nASIG,DATOS!$I6490,nEVAL,"EX")=0),0))))</f>
      </c>
      <c r="H6490">
        <f>IF(DATOS!$G6490&lt;&gt;"EX",0,--(COUNTIFS(nNIA,DATOS!$A6490,nCURSO,DATOS!$D6490,nESPEC,DATOS!$E6490,nASIG,DATOS!$I6490,nEVAL,"OR")=0))</f>
      </c>
      <c r="I6490">
        <f>IF(DATOS!$I6490="","",IFERROR(VLOOKUP(DATOS!$I6490,CONFIG_ASIGNATURAS!$B$2:$J$91,9,FALSE()),""))</f>
      </c>
    </row>
    <row r="6491">
      <c r="F6491">
        <f>IF(DATOS!$A6491="","",DATOS!$A6491&amp;"|"&amp;DATOS!$D6491&amp;"|"&amp;DATOS!$E6491&amp;"|"&amp;DATOS!$I6491)</f>
      </c>
      <c r="G6491">
        <f>IF(DATOS!$A6491="",0,IF(CONFIG_METADATA!$B$4&lt;&gt;"OR+EX",--(DATOS!$G6491=CONFIG_METADATA!$B$4),IF(DATOS!$G6491="EX",1,IF(DATOS!$G6491="OR",--(COUNTIFS(nNIA,DATOS!$A6491,nCURSO,DATOS!$D6491,nESPEC,DATOS!$E6491,nASIG,DATOS!$I6491,nEVAL,"EX")=0),0))))</f>
      </c>
      <c r="H6491">
        <f>IF(DATOS!$G6491&lt;&gt;"EX",0,--(COUNTIFS(nNIA,DATOS!$A6491,nCURSO,DATOS!$D6491,nESPEC,DATOS!$E6491,nASIG,DATOS!$I6491,nEVAL,"OR")=0))</f>
      </c>
      <c r="I6491">
        <f>IF(DATOS!$I6491="","",IFERROR(VLOOKUP(DATOS!$I6491,CONFIG_ASIGNATURAS!$B$2:$J$91,9,FALSE()),""))</f>
      </c>
    </row>
    <row r="6492">
      <c r="F6492">
        <f>IF(DATOS!$A6492="","",DATOS!$A6492&amp;"|"&amp;DATOS!$D6492&amp;"|"&amp;DATOS!$E6492&amp;"|"&amp;DATOS!$I6492)</f>
      </c>
      <c r="G6492">
        <f>IF(DATOS!$A6492="",0,IF(CONFIG_METADATA!$B$4&lt;&gt;"OR+EX",--(DATOS!$G6492=CONFIG_METADATA!$B$4),IF(DATOS!$G6492="EX",1,IF(DATOS!$G6492="OR",--(COUNTIFS(nNIA,DATOS!$A6492,nCURSO,DATOS!$D6492,nESPEC,DATOS!$E6492,nASIG,DATOS!$I6492,nEVAL,"EX")=0),0))))</f>
      </c>
      <c r="H6492">
        <f>IF(DATOS!$G6492&lt;&gt;"EX",0,--(COUNTIFS(nNIA,DATOS!$A6492,nCURSO,DATOS!$D6492,nESPEC,DATOS!$E6492,nASIG,DATOS!$I6492,nEVAL,"OR")=0))</f>
      </c>
      <c r="I6492">
        <f>IF(DATOS!$I6492="","",IFERROR(VLOOKUP(DATOS!$I6492,CONFIG_ASIGNATURAS!$B$2:$J$91,9,FALSE()),""))</f>
      </c>
    </row>
    <row r="6493">
      <c r="F6493">
        <f>IF(DATOS!$A6493="","",DATOS!$A6493&amp;"|"&amp;DATOS!$D6493&amp;"|"&amp;DATOS!$E6493&amp;"|"&amp;DATOS!$I6493)</f>
      </c>
      <c r="G6493">
        <f>IF(DATOS!$A6493="",0,IF(CONFIG_METADATA!$B$4&lt;&gt;"OR+EX",--(DATOS!$G6493=CONFIG_METADATA!$B$4),IF(DATOS!$G6493="EX",1,IF(DATOS!$G6493="OR",--(COUNTIFS(nNIA,DATOS!$A6493,nCURSO,DATOS!$D6493,nESPEC,DATOS!$E6493,nASIG,DATOS!$I6493,nEVAL,"EX")=0),0))))</f>
      </c>
      <c r="H6493">
        <f>IF(DATOS!$G6493&lt;&gt;"EX",0,--(COUNTIFS(nNIA,DATOS!$A6493,nCURSO,DATOS!$D6493,nESPEC,DATOS!$E6493,nASIG,DATOS!$I6493,nEVAL,"OR")=0))</f>
      </c>
      <c r="I6493">
        <f>IF(DATOS!$I6493="","",IFERROR(VLOOKUP(DATOS!$I6493,CONFIG_ASIGNATURAS!$B$2:$J$91,9,FALSE()),""))</f>
      </c>
    </row>
    <row r="6494">
      <c r="F6494">
        <f>IF(DATOS!$A6494="","",DATOS!$A6494&amp;"|"&amp;DATOS!$D6494&amp;"|"&amp;DATOS!$E6494&amp;"|"&amp;DATOS!$I6494)</f>
      </c>
      <c r="G6494">
        <f>IF(DATOS!$A6494="",0,IF(CONFIG_METADATA!$B$4&lt;&gt;"OR+EX",--(DATOS!$G6494=CONFIG_METADATA!$B$4),IF(DATOS!$G6494="EX",1,IF(DATOS!$G6494="OR",--(COUNTIFS(nNIA,DATOS!$A6494,nCURSO,DATOS!$D6494,nESPEC,DATOS!$E6494,nASIG,DATOS!$I6494,nEVAL,"EX")=0),0))))</f>
      </c>
      <c r="H6494">
        <f>IF(DATOS!$G6494&lt;&gt;"EX",0,--(COUNTIFS(nNIA,DATOS!$A6494,nCURSO,DATOS!$D6494,nESPEC,DATOS!$E6494,nASIG,DATOS!$I6494,nEVAL,"OR")=0))</f>
      </c>
      <c r="I6494">
        <f>IF(DATOS!$I6494="","",IFERROR(VLOOKUP(DATOS!$I6494,CONFIG_ASIGNATURAS!$B$2:$J$91,9,FALSE()),""))</f>
      </c>
    </row>
    <row r="6495">
      <c r="F6495">
        <f>IF(DATOS!$A6495="","",DATOS!$A6495&amp;"|"&amp;DATOS!$D6495&amp;"|"&amp;DATOS!$E6495&amp;"|"&amp;DATOS!$I6495)</f>
      </c>
      <c r="G6495">
        <f>IF(DATOS!$A6495="",0,IF(CONFIG_METADATA!$B$4&lt;&gt;"OR+EX",--(DATOS!$G6495=CONFIG_METADATA!$B$4),IF(DATOS!$G6495="EX",1,IF(DATOS!$G6495="OR",--(COUNTIFS(nNIA,DATOS!$A6495,nCURSO,DATOS!$D6495,nESPEC,DATOS!$E6495,nASIG,DATOS!$I6495,nEVAL,"EX")=0),0))))</f>
      </c>
      <c r="H6495">
        <f>IF(DATOS!$G6495&lt;&gt;"EX",0,--(COUNTIFS(nNIA,DATOS!$A6495,nCURSO,DATOS!$D6495,nESPEC,DATOS!$E6495,nASIG,DATOS!$I6495,nEVAL,"OR")=0))</f>
      </c>
      <c r="I6495">
        <f>IF(DATOS!$I6495="","",IFERROR(VLOOKUP(DATOS!$I6495,CONFIG_ASIGNATURAS!$B$2:$J$91,9,FALSE()),""))</f>
      </c>
    </row>
    <row r="6496">
      <c r="F6496">
        <f>IF(DATOS!$A6496="","",DATOS!$A6496&amp;"|"&amp;DATOS!$D6496&amp;"|"&amp;DATOS!$E6496&amp;"|"&amp;DATOS!$I6496)</f>
      </c>
      <c r="G6496">
        <f>IF(DATOS!$A6496="",0,IF(CONFIG_METADATA!$B$4&lt;&gt;"OR+EX",--(DATOS!$G6496=CONFIG_METADATA!$B$4),IF(DATOS!$G6496="EX",1,IF(DATOS!$G6496="OR",--(COUNTIFS(nNIA,DATOS!$A6496,nCURSO,DATOS!$D6496,nESPEC,DATOS!$E6496,nASIG,DATOS!$I6496,nEVAL,"EX")=0),0))))</f>
      </c>
      <c r="H6496">
        <f>IF(DATOS!$G6496&lt;&gt;"EX",0,--(COUNTIFS(nNIA,DATOS!$A6496,nCURSO,DATOS!$D6496,nESPEC,DATOS!$E6496,nASIG,DATOS!$I6496,nEVAL,"OR")=0))</f>
      </c>
      <c r="I6496">
        <f>IF(DATOS!$I6496="","",IFERROR(VLOOKUP(DATOS!$I6496,CONFIG_ASIGNATURAS!$B$2:$J$91,9,FALSE()),""))</f>
      </c>
    </row>
    <row r="6497">
      <c r="F6497">
        <f>IF(DATOS!$A6497="","",DATOS!$A6497&amp;"|"&amp;DATOS!$D6497&amp;"|"&amp;DATOS!$E6497&amp;"|"&amp;DATOS!$I6497)</f>
      </c>
      <c r="G6497">
        <f>IF(DATOS!$A6497="",0,IF(CONFIG_METADATA!$B$4&lt;&gt;"OR+EX",--(DATOS!$G6497=CONFIG_METADATA!$B$4),IF(DATOS!$G6497="EX",1,IF(DATOS!$G6497="OR",--(COUNTIFS(nNIA,DATOS!$A6497,nCURSO,DATOS!$D6497,nESPEC,DATOS!$E6497,nASIG,DATOS!$I6497,nEVAL,"EX")=0),0))))</f>
      </c>
      <c r="H6497">
        <f>IF(DATOS!$G6497&lt;&gt;"EX",0,--(COUNTIFS(nNIA,DATOS!$A6497,nCURSO,DATOS!$D6497,nESPEC,DATOS!$E6497,nASIG,DATOS!$I6497,nEVAL,"OR")=0))</f>
      </c>
      <c r="I6497">
        <f>IF(DATOS!$I6497="","",IFERROR(VLOOKUP(DATOS!$I6497,CONFIG_ASIGNATURAS!$B$2:$J$91,9,FALSE()),""))</f>
      </c>
    </row>
    <row r="6498">
      <c r="F6498">
        <f>IF(DATOS!$A6498="","",DATOS!$A6498&amp;"|"&amp;DATOS!$D6498&amp;"|"&amp;DATOS!$E6498&amp;"|"&amp;DATOS!$I6498)</f>
      </c>
      <c r="G6498">
        <f>IF(DATOS!$A6498="",0,IF(CONFIG_METADATA!$B$4&lt;&gt;"OR+EX",--(DATOS!$G6498=CONFIG_METADATA!$B$4),IF(DATOS!$G6498="EX",1,IF(DATOS!$G6498="OR",--(COUNTIFS(nNIA,DATOS!$A6498,nCURSO,DATOS!$D6498,nESPEC,DATOS!$E6498,nASIG,DATOS!$I6498,nEVAL,"EX")=0),0))))</f>
      </c>
      <c r="H6498">
        <f>IF(DATOS!$G6498&lt;&gt;"EX",0,--(COUNTIFS(nNIA,DATOS!$A6498,nCURSO,DATOS!$D6498,nESPEC,DATOS!$E6498,nASIG,DATOS!$I6498,nEVAL,"OR")=0))</f>
      </c>
      <c r="I6498">
        <f>IF(DATOS!$I6498="","",IFERROR(VLOOKUP(DATOS!$I6498,CONFIG_ASIGNATURAS!$B$2:$J$91,9,FALSE()),""))</f>
      </c>
    </row>
    <row r="6499">
      <c r="F6499">
        <f>IF(DATOS!$A6499="","",DATOS!$A6499&amp;"|"&amp;DATOS!$D6499&amp;"|"&amp;DATOS!$E6499&amp;"|"&amp;DATOS!$I6499)</f>
      </c>
      <c r="G6499">
        <f>IF(DATOS!$A6499="",0,IF(CONFIG_METADATA!$B$4&lt;&gt;"OR+EX",--(DATOS!$G6499=CONFIG_METADATA!$B$4),IF(DATOS!$G6499="EX",1,IF(DATOS!$G6499="OR",--(COUNTIFS(nNIA,DATOS!$A6499,nCURSO,DATOS!$D6499,nESPEC,DATOS!$E6499,nASIG,DATOS!$I6499,nEVAL,"EX")=0),0))))</f>
      </c>
      <c r="H6499">
        <f>IF(DATOS!$G6499&lt;&gt;"EX",0,--(COUNTIFS(nNIA,DATOS!$A6499,nCURSO,DATOS!$D6499,nESPEC,DATOS!$E6499,nASIG,DATOS!$I6499,nEVAL,"OR")=0))</f>
      </c>
      <c r="I6499">
        <f>IF(DATOS!$I6499="","",IFERROR(VLOOKUP(DATOS!$I6499,CONFIG_ASIGNATURAS!$B$2:$J$91,9,FALSE()),""))</f>
      </c>
    </row>
    <row r="6500">
      <c r="F6500">
        <f>IF(DATOS!$A6500="","",DATOS!$A6500&amp;"|"&amp;DATOS!$D6500&amp;"|"&amp;DATOS!$E6500&amp;"|"&amp;DATOS!$I6500)</f>
      </c>
      <c r="G6500">
        <f>IF(DATOS!$A6500="",0,IF(CONFIG_METADATA!$B$4&lt;&gt;"OR+EX",--(DATOS!$G6500=CONFIG_METADATA!$B$4),IF(DATOS!$G6500="EX",1,IF(DATOS!$G6500="OR",--(COUNTIFS(nNIA,DATOS!$A6500,nCURSO,DATOS!$D6500,nESPEC,DATOS!$E6500,nASIG,DATOS!$I6500,nEVAL,"EX")=0),0))))</f>
      </c>
      <c r="H6500">
        <f>IF(DATOS!$G6500&lt;&gt;"EX",0,--(COUNTIFS(nNIA,DATOS!$A6500,nCURSO,DATOS!$D6500,nESPEC,DATOS!$E6500,nASIG,DATOS!$I6500,nEVAL,"OR")=0))</f>
      </c>
      <c r="I6500">
        <f>IF(DATOS!$I6500="","",IFERROR(VLOOKUP(DATOS!$I6500,CONFIG_ASIGNATURAS!$B$2:$J$91,9,FALSE()),""))</f>
      </c>
    </row>
    <row r="6501">
      <c r="F6501">
        <f>IF(DATOS!$A6501="","",DATOS!$A6501&amp;"|"&amp;DATOS!$D6501&amp;"|"&amp;DATOS!$E6501&amp;"|"&amp;DATOS!$I6501)</f>
      </c>
      <c r="G6501">
        <f>IF(DATOS!$A6501="",0,IF(CONFIG_METADATA!$B$4&lt;&gt;"OR+EX",--(DATOS!$G6501=CONFIG_METADATA!$B$4),IF(DATOS!$G6501="EX",1,IF(DATOS!$G6501="OR",--(COUNTIFS(nNIA,DATOS!$A6501,nCURSO,DATOS!$D6501,nESPEC,DATOS!$E6501,nASIG,DATOS!$I6501,nEVAL,"EX")=0),0))))</f>
      </c>
      <c r="H6501">
        <f>IF(DATOS!$G6501&lt;&gt;"EX",0,--(COUNTIFS(nNIA,DATOS!$A6501,nCURSO,DATOS!$D6501,nESPEC,DATOS!$E6501,nASIG,DATOS!$I6501,nEVAL,"OR")=0))</f>
      </c>
      <c r="I6501">
        <f>IF(DATOS!$I6501="","",IFERROR(VLOOKUP(DATOS!$I6501,CONFIG_ASIGNATURAS!$B$2:$J$91,9,FALSE()),""))</f>
      </c>
    </row>
    <row r="6502">
      <c r="F6502">
        <f>IF(DATOS!$A6502="","",DATOS!$A6502&amp;"|"&amp;DATOS!$D6502&amp;"|"&amp;DATOS!$E6502&amp;"|"&amp;DATOS!$I6502)</f>
      </c>
      <c r="G6502">
        <f>IF(DATOS!$A6502="",0,IF(CONFIG_METADATA!$B$4&lt;&gt;"OR+EX",--(DATOS!$G6502=CONFIG_METADATA!$B$4),IF(DATOS!$G6502="EX",1,IF(DATOS!$G6502="OR",--(COUNTIFS(nNIA,DATOS!$A6502,nCURSO,DATOS!$D6502,nESPEC,DATOS!$E6502,nASIG,DATOS!$I6502,nEVAL,"EX")=0),0))))</f>
      </c>
      <c r="H6502">
        <f>IF(DATOS!$G6502&lt;&gt;"EX",0,--(COUNTIFS(nNIA,DATOS!$A6502,nCURSO,DATOS!$D6502,nESPEC,DATOS!$E6502,nASIG,DATOS!$I6502,nEVAL,"OR")=0))</f>
      </c>
      <c r="I6502">
        <f>IF(DATOS!$I6502="","",IFERROR(VLOOKUP(DATOS!$I6502,CONFIG_ASIGNATURAS!$B$2:$J$91,9,FALSE()),""))</f>
      </c>
    </row>
    <row r="6503">
      <c r="F6503">
        <f>IF(DATOS!$A6503="","",DATOS!$A6503&amp;"|"&amp;DATOS!$D6503&amp;"|"&amp;DATOS!$E6503&amp;"|"&amp;DATOS!$I6503)</f>
      </c>
      <c r="G6503">
        <f>IF(DATOS!$A6503="",0,IF(CONFIG_METADATA!$B$4&lt;&gt;"OR+EX",--(DATOS!$G6503=CONFIG_METADATA!$B$4),IF(DATOS!$G6503="EX",1,IF(DATOS!$G6503="OR",--(COUNTIFS(nNIA,DATOS!$A6503,nCURSO,DATOS!$D6503,nESPEC,DATOS!$E6503,nASIG,DATOS!$I6503,nEVAL,"EX")=0),0))))</f>
      </c>
      <c r="H6503">
        <f>IF(DATOS!$G6503&lt;&gt;"EX",0,--(COUNTIFS(nNIA,DATOS!$A6503,nCURSO,DATOS!$D6503,nESPEC,DATOS!$E6503,nASIG,DATOS!$I6503,nEVAL,"OR")=0))</f>
      </c>
      <c r="I6503">
        <f>IF(DATOS!$I6503="","",IFERROR(VLOOKUP(DATOS!$I6503,CONFIG_ASIGNATURAS!$B$2:$J$91,9,FALSE()),""))</f>
      </c>
    </row>
    <row r="6504">
      <c r="F6504">
        <f>IF(DATOS!$A6504="","",DATOS!$A6504&amp;"|"&amp;DATOS!$D6504&amp;"|"&amp;DATOS!$E6504&amp;"|"&amp;DATOS!$I6504)</f>
      </c>
      <c r="G6504">
        <f>IF(DATOS!$A6504="",0,IF(CONFIG_METADATA!$B$4&lt;&gt;"OR+EX",--(DATOS!$G6504=CONFIG_METADATA!$B$4),IF(DATOS!$G6504="EX",1,IF(DATOS!$G6504="OR",--(COUNTIFS(nNIA,DATOS!$A6504,nCURSO,DATOS!$D6504,nESPEC,DATOS!$E6504,nASIG,DATOS!$I6504,nEVAL,"EX")=0),0))))</f>
      </c>
      <c r="H6504">
        <f>IF(DATOS!$G6504&lt;&gt;"EX",0,--(COUNTIFS(nNIA,DATOS!$A6504,nCURSO,DATOS!$D6504,nESPEC,DATOS!$E6504,nASIG,DATOS!$I6504,nEVAL,"OR")=0))</f>
      </c>
      <c r="I6504">
        <f>IF(DATOS!$I6504="","",IFERROR(VLOOKUP(DATOS!$I6504,CONFIG_ASIGNATURAS!$B$2:$J$91,9,FALSE()),""))</f>
      </c>
    </row>
    <row r="6505">
      <c r="F6505">
        <f>IF(DATOS!$A6505="","",DATOS!$A6505&amp;"|"&amp;DATOS!$D6505&amp;"|"&amp;DATOS!$E6505&amp;"|"&amp;DATOS!$I6505)</f>
      </c>
      <c r="G6505">
        <f>IF(DATOS!$A6505="",0,IF(CONFIG_METADATA!$B$4&lt;&gt;"OR+EX",--(DATOS!$G6505=CONFIG_METADATA!$B$4),IF(DATOS!$G6505="EX",1,IF(DATOS!$G6505="OR",--(COUNTIFS(nNIA,DATOS!$A6505,nCURSO,DATOS!$D6505,nESPEC,DATOS!$E6505,nASIG,DATOS!$I6505,nEVAL,"EX")=0),0))))</f>
      </c>
      <c r="H6505">
        <f>IF(DATOS!$G6505&lt;&gt;"EX",0,--(COUNTIFS(nNIA,DATOS!$A6505,nCURSO,DATOS!$D6505,nESPEC,DATOS!$E6505,nASIG,DATOS!$I6505,nEVAL,"OR")=0))</f>
      </c>
      <c r="I6505">
        <f>IF(DATOS!$I6505="","",IFERROR(VLOOKUP(DATOS!$I6505,CONFIG_ASIGNATURAS!$B$2:$J$91,9,FALSE()),""))</f>
      </c>
    </row>
    <row r="6506">
      <c r="F6506">
        <f>IF(DATOS!$A6506="","",DATOS!$A6506&amp;"|"&amp;DATOS!$D6506&amp;"|"&amp;DATOS!$E6506&amp;"|"&amp;DATOS!$I6506)</f>
      </c>
      <c r="G6506">
        <f>IF(DATOS!$A6506="",0,IF(CONFIG_METADATA!$B$4&lt;&gt;"OR+EX",--(DATOS!$G6506=CONFIG_METADATA!$B$4),IF(DATOS!$G6506="EX",1,IF(DATOS!$G6506="OR",--(COUNTIFS(nNIA,DATOS!$A6506,nCURSO,DATOS!$D6506,nESPEC,DATOS!$E6506,nASIG,DATOS!$I6506,nEVAL,"EX")=0),0))))</f>
      </c>
      <c r="H6506">
        <f>IF(DATOS!$G6506&lt;&gt;"EX",0,--(COUNTIFS(nNIA,DATOS!$A6506,nCURSO,DATOS!$D6506,nESPEC,DATOS!$E6506,nASIG,DATOS!$I6506,nEVAL,"OR")=0))</f>
      </c>
      <c r="I6506">
        <f>IF(DATOS!$I6506="","",IFERROR(VLOOKUP(DATOS!$I6506,CONFIG_ASIGNATURAS!$B$2:$J$91,9,FALSE()),""))</f>
      </c>
    </row>
    <row r="6507">
      <c r="F6507">
        <f>IF(DATOS!$A6507="","",DATOS!$A6507&amp;"|"&amp;DATOS!$D6507&amp;"|"&amp;DATOS!$E6507&amp;"|"&amp;DATOS!$I6507)</f>
      </c>
      <c r="G6507">
        <f>IF(DATOS!$A6507="",0,IF(CONFIG_METADATA!$B$4&lt;&gt;"OR+EX",--(DATOS!$G6507=CONFIG_METADATA!$B$4),IF(DATOS!$G6507="EX",1,IF(DATOS!$G6507="OR",--(COUNTIFS(nNIA,DATOS!$A6507,nCURSO,DATOS!$D6507,nESPEC,DATOS!$E6507,nASIG,DATOS!$I6507,nEVAL,"EX")=0),0))))</f>
      </c>
      <c r="H6507">
        <f>IF(DATOS!$G6507&lt;&gt;"EX",0,--(COUNTIFS(nNIA,DATOS!$A6507,nCURSO,DATOS!$D6507,nESPEC,DATOS!$E6507,nASIG,DATOS!$I6507,nEVAL,"OR")=0))</f>
      </c>
      <c r="I6507">
        <f>IF(DATOS!$I6507="","",IFERROR(VLOOKUP(DATOS!$I6507,CONFIG_ASIGNATURAS!$B$2:$J$91,9,FALSE()),""))</f>
      </c>
    </row>
    <row r="6508">
      <c r="F6508">
        <f>IF(DATOS!$A6508="","",DATOS!$A6508&amp;"|"&amp;DATOS!$D6508&amp;"|"&amp;DATOS!$E6508&amp;"|"&amp;DATOS!$I6508)</f>
      </c>
      <c r="G6508">
        <f>IF(DATOS!$A6508="",0,IF(CONFIG_METADATA!$B$4&lt;&gt;"OR+EX",--(DATOS!$G6508=CONFIG_METADATA!$B$4),IF(DATOS!$G6508="EX",1,IF(DATOS!$G6508="OR",--(COUNTIFS(nNIA,DATOS!$A6508,nCURSO,DATOS!$D6508,nESPEC,DATOS!$E6508,nASIG,DATOS!$I6508,nEVAL,"EX")=0),0))))</f>
      </c>
      <c r="H6508">
        <f>IF(DATOS!$G6508&lt;&gt;"EX",0,--(COUNTIFS(nNIA,DATOS!$A6508,nCURSO,DATOS!$D6508,nESPEC,DATOS!$E6508,nASIG,DATOS!$I6508,nEVAL,"OR")=0))</f>
      </c>
      <c r="I6508">
        <f>IF(DATOS!$I6508="","",IFERROR(VLOOKUP(DATOS!$I6508,CONFIG_ASIGNATURAS!$B$2:$J$91,9,FALSE()),""))</f>
      </c>
    </row>
    <row r="6509">
      <c r="F6509">
        <f>IF(DATOS!$A6509="","",DATOS!$A6509&amp;"|"&amp;DATOS!$D6509&amp;"|"&amp;DATOS!$E6509&amp;"|"&amp;DATOS!$I6509)</f>
      </c>
      <c r="G6509">
        <f>IF(DATOS!$A6509="",0,IF(CONFIG_METADATA!$B$4&lt;&gt;"OR+EX",--(DATOS!$G6509=CONFIG_METADATA!$B$4),IF(DATOS!$G6509="EX",1,IF(DATOS!$G6509="OR",--(COUNTIFS(nNIA,DATOS!$A6509,nCURSO,DATOS!$D6509,nESPEC,DATOS!$E6509,nASIG,DATOS!$I6509,nEVAL,"EX")=0),0))))</f>
      </c>
      <c r="H6509">
        <f>IF(DATOS!$G6509&lt;&gt;"EX",0,--(COUNTIFS(nNIA,DATOS!$A6509,nCURSO,DATOS!$D6509,nESPEC,DATOS!$E6509,nASIG,DATOS!$I6509,nEVAL,"OR")=0))</f>
      </c>
      <c r="I6509">
        <f>IF(DATOS!$I6509="","",IFERROR(VLOOKUP(DATOS!$I6509,CONFIG_ASIGNATURAS!$B$2:$J$91,9,FALSE()),""))</f>
      </c>
    </row>
    <row r="6510">
      <c r="F6510">
        <f>IF(DATOS!$A6510="","",DATOS!$A6510&amp;"|"&amp;DATOS!$D6510&amp;"|"&amp;DATOS!$E6510&amp;"|"&amp;DATOS!$I6510)</f>
      </c>
      <c r="G6510">
        <f>IF(DATOS!$A6510="",0,IF(CONFIG_METADATA!$B$4&lt;&gt;"OR+EX",--(DATOS!$G6510=CONFIG_METADATA!$B$4),IF(DATOS!$G6510="EX",1,IF(DATOS!$G6510="OR",--(COUNTIFS(nNIA,DATOS!$A6510,nCURSO,DATOS!$D6510,nESPEC,DATOS!$E6510,nASIG,DATOS!$I6510,nEVAL,"EX")=0),0))))</f>
      </c>
      <c r="H6510">
        <f>IF(DATOS!$G6510&lt;&gt;"EX",0,--(COUNTIFS(nNIA,DATOS!$A6510,nCURSO,DATOS!$D6510,nESPEC,DATOS!$E6510,nASIG,DATOS!$I6510,nEVAL,"OR")=0))</f>
      </c>
      <c r="I6510">
        <f>IF(DATOS!$I6510="","",IFERROR(VLOOKUP(DATOS!$I6510,CONFIG_ASIGNATURAS!$B$2:$J$91,9,FALSE()),""))</f>
      </c>
    </row>
    <row r="6511">
      <c r="F6511">
        <f>IF(DATOS!$A6511="","",DATOS!$A6511&amp;"|"&amp;DATOS!$D6511&amp;"|"&amp;DATOS!$E6511&amp;"|"&amp;DATOS!$I6511)</f>
      </c>
      <c r="G6511">
        <f>IF(DATOS!$A6511="",0,IF(CONFIG_METADATA!$B$4&lt;&gt;"OR+EX",--(DATOS!$G6511=CONFIG_METADATA!$B$4),IF(DATOS!$G6511="EX",1,IF(DATOS!$G6511="OR",--(COUNTIFS(nNIA,DATOS!$A6511,nCURSO,DATOS!$D6511,nESPEC,DATOS!$E6511,nASIG,DATOS!$I6511,nEVAL,"EX")=0),0))))</f>
      </c>
      <c r="H6511">
        <f>IF(DATOS!$G6511&lt;&gt;"EX",0,--(COUNTIFS(nNIA,DATOS!$A6511,nCURSO,DATOS!$D6511,nESPEC,DATOS!$E6511,nASIG,DATOS!$I6511,nEVAL,"OR")=0))</f>
      </c>
      <c r="I6511">
        <f>IF(DATOS!$I6511="","",IFERROR(VLOOKUP(DATOS!$I6511,CONFIG_ASIGNATURAS!$B$2:$J$91,9,FALSE()),""))</f>
      </c>
    </row>
    <row r="6512">
      <c r="F6512">
        <f>IF(DATOS!$A6512="","",DATOS!$A6512&amp;"|"&amp;DATOS!$D6512&amp;"|"&amp;DATOS!$E6512&amp;"|"&amp;DATOS!$I6512)</f>
      </c>
      <c r="G6512">
        <f>IF(DATOS!$A6512="",0,IF(CONFIG_METADATA!$B$4&lt;&gt;"OR+EX",--(DATOS!$G6512=CONFIG_METADATA!$B$4),IF(DATOS!$G6512="EX",1,IF(DATOS!$G6512="OR",--(COUNTIFS(nNIA,DATOS!$A6512,nCURSO,DATOS!$D6512,nESPEC,DATOS!$E6512,nASIG,DATOS!$I6512,nEVAL,"EX")=0),0))))</f>
      </c>
      <c r="H6512">
        <f>IF(DATOS!$G6512&lt;&gt;"EX",0,--(COUNTIFS(nNIA,DATOS!$A6512,nCURSO,DATOS!$D6512,nESPEC,DATOS!$E6512,nASIG,DATOS!$I6512,nEVAL,"OR")=0))</f>
      </c>
      <c r="I6512">
        <f>IF(DATOS!$I6512="","",IFERROR(VLOOKUP(DATOS!$I6512,CONFIG_ASIGNATURAS!$B$2:$J$91,9,FALSE()),""))</f>
      </c>
    </row>
    <row r="6513">
      <c r="F6513">
        <f>IF(DATOS!$A6513="","",DATOS!$A6513&amp;"|"&amp;DATOS!$D6513&amp;"|"&amp;DATOS!$E6513&amp;"|"&amp;DATOS!$I6513)</f>
      </c>
      <c r="G6513">
        <f>IF(DATOS!$A6513="",0,IF(CONFIG_METADATA!$B$4&lt;&gt;"OR+EX",--(DATOS!$G6513=CONFIG_METADATA!$B$4),IF(DATOS!$G6513="EX",1,IF(DATOS!$G6513="OR",--(COUNTIFS(nNIA,DATOS!$A6513,nCURSO,DATOS!$D6513,nESPEC,DATOS!$E6513,nASIG,DATOS!$I6513,nEVAL,"EX")=0),0))))</f>
      </c>
      <c r="H6513">
        <f>IF(DATOS!$G6513&lt;&gt;"EX",0,--(COUNTIFS(nNIA,DATOS!$A6513,nCURSO,DATOS!$D6513,nESPEC,DATOS!$E6513,nASIG,DATOS!$I6513,nEVAL,"OR")=0))</f>
      </c>
      <c r="I6513">
        <f>IF(DATOS!$I6513="","",IFERROR(VLOOKUP(DATOS!$I6513,CONFIG_ASIGNATURAS!$B$2:$J$91,9,FALSE()),""))</f>
      </c>
    </row>
    <row r="6514">
      <c r="F6514">
        <f>IF(DATOS!$A6514="","",DATOS!$A6514&amp;"|"&amp;DATOS!$D6514&amp;"|"&amp;DATOS!$E6514&amp;"|"&amp;DATOS!$I6514)</f>
      </c>
      <c r="G6514">
        <f>IF(DATOS!$A6514="",0,IF(CONFIG_METADATA!$B$4&lt;&gt;"OR+EX",--(DATOS!$G6514=CONFIG_METADATA!$B$4),IF(DATOS!$G6514="EX",1,IF(DATOS!$G6514="OR",--(COUNTIFS(nNIA,DATOS!$A6514,nCURSO,DATOS!$D6514,nESPEC,DATOS!$E6514,nASIG,DATOS!$I6514,nEVAL,"EX")=0),0))))</f>
      </c>
      <c r="H6514">
        <f>IF(DATOS!$G6514&lt;&gt;"EX",0,--(COUNTIFS(nNIA,DATOS!$A6514,nCURSO,DATOS!$D6514,nESPEC,DATOS!$E6514,nASIG,DATOS!$I6514,nEVAL,"OR")=0))</f>
      </c>
      <c r="I6514">
        <f>IF(DATOS!$I6514="","",IFERROR(VLOOKUP(DATOS!$I6514,CONFIG_ASIGNATURAS!$B$2:$J$91,9,FALSE()),""))</f>
      </c>
    </row>
    <row r="6515">
      <c r="F6515">
        <f>IF(DATOS!$A6515="","",DATOS!$A6515&amp;"|"&amp;DATOS!$D6515&amp;"|"&amp;DATOS!$E6515&amp;"|"&amp;DATOS!$I6515)</f>
      </c>
      <c r="G6515">
        <f>IF(DATOS!$A6515="",0,IF(CONFIG_METADATA!$B$4&lt;&gt;"OR+EX",--(DATOS!$G6515=CONFIG_METADATA!$B$4),IF(DATOS!$G6515="EX",1,IF(DATOS!$G6515="OR",--(COUNTIFS(nNIA,DATOS!$A6515,nCURSO,DATOS!$D6515,nESPEC,DATOS!$E6515,nASIG,DATOS!$I6515,nEVAL,"EX")=0),0))))</f>
      </c>
      <c r="H6515">
        <f>IF(DATOS!$G6515&lt;&gt;"EX",0,--(COUNTIFS(nNIA,DATOS!$A6515,nCURSO,DATOS!$D6515,nESPEC,DATOS!$E6515,nASIG,DATOS!$I6515,nEVAL,"OR")=0))</f>
      </c>
      <c r="I6515">
        <f>IF(DATOS!$I6515="","",IFERROR(VLOOKUP(DATOS!$I6515,CONFIG_ASIGNATURAS!$B$2:$J$91,9,FALSE()),""))</f>
      </c>
    </row>
    <row r="6516">
      <c r="F6516">
        <f>IF(DATOS!$A6516="","",DATOS!$A6516&amp;"|"&amp;DATOS!$D6516&amp;"|"&amp;DATOS!$E6516&amp;"|"&amp;DATOS!$I6516)</f>
      </c>
      <c r="G6516">
        <f>IF(DATOS!$A6516="",0,IF(CONFIG_METADATA!$B$4&lt;&gt;"OR+EX",--(DATOS!$G6516=CONFIG_METADATA!$B$4),IF(DATOS!$G6516="EX",1,IF(DATOS!$G6516="OR",--(COUNTIFS(nNIA,DATOS!$A6516,nCURSO,DATOS!$D6516,nESPEC,DATOS!$E6516,nASIG,DATOS!$I6516,nEVAL,"EX")=0),0))))</f>
      </c>
      <c r="H6516">
        <f>IF(DATOS!$G6516&lt;&gt;"EX",0,--(COUNTIFS(nNIA,DATOS!$A6516,nCURSO,DATOS!$D6516,nESPEC,DATOS!$E6516,nASIG,DATOS!$I6516,nEVAL,"OR")=0))</f>
      </c>
      <c r="I6516">
        <f>IF(DATOS!$I6516="","",IFERROR(VLOOKUP(DATOS!$I6516,CONFIG_ASIGNATURAS!$B$2:$J$91,9,FALSE()),""))</f>
      </c>
    </row>
    <row r="6517">
      <c r="F6517">
        <f>IF(DATOS!$A6517="","",DATOS!$A6517&amp;"|"&amp;DATOS!$D6517&amp;"|"&amp;DATOS!$E6517&amp;"|"&amp;DATOS!$I6517)</f>
      </c>
      <c r="G6517">
        <f>IF(DATOS!$A6517="",0,IF(CONFIG_METADATA!$B$4&lt;&gt;"OR+EX",--(DATOS!$G6517=CONFIG_METADATA!$B$4),IF(DATOS!$G6517="EX",1,IF(DATOS!$G6517="OR",--(COUNTIFS(nNIA,DATOS!$A6517,nCURSO,DATOS!$D6517,nESPEC,DATOS!$E6517,nASIG,DATOS!$I6517,nEVAL,"EX")=0),0))))</f>
      </c>
      <c r="H6517">
        <f>IF(DATOS!$G6517&lt;&gt;"EX",0,--(COUNTIFS(nNIA,DATOS!$A6517,nCURSO,DATOS!$D6517,nESPEC,DATOS!$E6517,nASIG,DATOS!$I6517,nEVAL,"OR")=0))</f>
      </c>
      <c r="I6517">
        <f>IF(DATOS!$I6517="","",IFERROR(VLOOKUP(DATOS!$I6517,CONFIG_ASIGNATURAS!$B$2:$J$91,9,FALSE()),""))</f>
      </c>
    </row>
    <row r="6518">
      <c r="F6518">
        <f>IF(DATOS!$A6518="","",DATOS!$A6518&amp;"|"&amp;DATOS!$D6518&amp;"|"&amp;DATOS!$E6518&amp;"|"&amp;DATOS!$I6518)</f>
      </c>
      <c r="G6518">
        <f>IF(DATOS!$A6518="",0,IF(CONFIG_METADATA!$B$4&lt;&gt;"OR+EX",--(DATOS!$G6518=CONFIG_METADATA!$B$4),IF(DATOS!$G6518="EX",1,IF(DATOS!$G6518="OR",--(COUNTIFS(nNIA,DATOS!$A6518,nCURSO,DATOS!$D6518,nESPEC,DATOS!$E6518,nASIG,DATOS!$I6518,nEVAL,"EX")=0),0))))</f>
      </c>
      <c r="H6518">
        <f>IF(DATOS!$G6518&lt;&gt;"EX",0,--(COUNTIFS(nNIA,DATOS!$A6518,nCURSO,DATOS!$D6518,nESPEC,DATOS!$E6518,nASIG,DATOS!$I6518,nEVAL,"OR")=0))</f>
      </c>
      <c r="I6518">
        <f>IF(DATOS!$I6518="","",IFERROR(VLOOKUP(DATOS!$I6518,CONFIG_ASIGNATURAS!$B$2:$J$91,9,FALSE()),""))</f>
      </c>
    </row>
    <row r="6519">
      <c r="F6519">
        <f>IF(DATOS!$A6519="","",DATOS!$A6519&amp;"|"&amp;DATOS!$D6519&amp;"|"&amp;DATOS!$E6519&amp;"|"&amp;DATOS!$I6519)</f>
      </c>
      <c r="G6519">
        <f>IF(DATOS!$A6519="",0,IF(CONFIG_METADATA!$B$4&lt;&gt;"OR+EX",--(DATOS!$G6519=CONFIG_METADATA!$B$4),IF(DATOS!$G6519="EX",1,IF(DATOS!$G6519="OR",--(COUNTIFS(nNIA,DATOS!$A6519,nCURSO,DATOS!$D6519,nESPEC,DATOS!$E6519,nASIG,DATOS!$I6519,nEVAL,"EX")=0),0))))</f>
      </c>
      <c r="H6519">
        <f>IF(DATOS!$G6519&lt;&gt;"EX",0,--(COUNTIFS(nNIA,DATOS!$A6519,nCURSO,DATOS!$D6519,nESPEC,DATOS!$E6519,nASIG,DATOS!$I6519,nEVAL,"OR")=0))</f>
      </c>
      <c r="I6519">
        <f>IF(DATOS!$I6519="","",IFERROR(VLOOKUP(DATOS!$I6519,CONFIG_ASIGNATURAS!$B$2:$J$91,9,FALSE()),""))</f>
      </c>
    </row>
    <row r="6520">
      <c r="F6520">
        <f>IF(DATOS!$A6520="","",DATOS!$A6520&amp;"|"&amp;DATOS!$D6520&amp;"|"&amp;DATOS!$E6520&amp;"|"&amp;DATOS!$I6520)</f>
      </c>
      <c r="G6520">
        <f>IF(DATOS!$A6520="",0,IF(CONFIG_METADATA!$B$4&lt;&gt;"OR+EX",--(DATOS!$G6520=CONFIG_METADATA!$B$4),IF(DATOS!$G6520="EX",1,IF(DATOS!$G6520="OR",--(COUNTIFS(nNIA,DATOS!$A6520,nCURSO,DATOS!$D6520,nESPEC,DATOS!$E6520,nASIG,DATOS!$I6520,nEVAL,"EX")=0),0))))</f>
      </c>
      <c r="H6520">
        <f>IF(DATOS!$G6520&lt;&gt;"EX",0,--(COUNTIFS(nNIA,DATOS!$A6520,nCURSO,DATOS!$D6520,nESPEC,DATOS!$E6520,nASIG,DATOS!$I6520,nEVAL,"OR")=0))</f>
      </c>
      <c r="I6520">
        <f>IF(DATOS!$I6520="","",IFERROR(VLOOKUP(DATOS!$I6520,CONFIG_ASIGNATURAS!$B$2:$J$91,9,FALSE()),""))</f>
      </c>
    </row>
    <row r="6521">
      <c r="F6521">
        <f>IF(DATOS!$A6521="","",DATOS!$A6521&amp;"|"&amp;DATOS!$D6521&amp;"|"&amp;DATOS!$E6521&amp;"|"&amp;DATOS!$I6521)</f>
      </c>
      <c r="G6521">
        <f>IF(DATOS!$A6521="",0,IF(CONFIG_METADATA!$B$4&lt;&gt;"OR+EX",--(DATOS!$G6521=CONFIG_METADATA!$B$4),IF(DATOS!$G6521="EX",1,IF(DATOS!$G6521="OR",--(COUNTIFS(nNIA,DATOS!$A6521,nCURSO,DATOS!$D6521,nESPEC,DATOS!$E6521,nASIG,DATOS!$I6521,nEVAL,"EX")=0),0))))</f>
      </c>
      <c r="H6521">
        <f>IF(DATOS!$G6521&lt;&gt;"EX",0,--(COUNTIFS(nNIA,DATOS!$A6521,nCURSO,DATOS!$D6521,nESPEC,DATOS!$E6521,nASIG,DATOS!$I6521,nEVAL,"OR")=0))</f>
      </c>
      <c r="I6521">
        <f>IF(DATOS!$I6521="","",IFERROR(VLOOKUP(DATOS!$I6521,CONFIG_ASIGNATURAS!$B$2:$J$91,9,FALSE()),""))</f>
      </c>
    </row>
    <row r="6522">
      <c r="F6522">
        <f>IF(DATOS!$A6522="","",DATOS!$A6522&amp;"|"&amp;DATOS!$D6522&amp;"|"&amp;DATOS!$E6522&amp;"|"&amp;DATOS!$I6522)</f>
      </c>
      <c r="G6522">
        <f>IF(DATOS!$A6522="",0,IF(CONFIG_METADATA!$B$4&lt;&gt;"OR+EX",--(DATOS!$G6522=CONFIG_METADATA!$B$4),IF(DATOS!$G6522="EX",1,IF(DATOS!$G6522="OR",--(COUNTIFS(nNIA,DATOS!$A6522,nCURSO,DATOS!$D6522,nESPEC,DATOS!$E6522,nASIG,DATOS!$I6522,nEVAL,"EX")=0),0))))</f>
      </c>
      <c r="H6522">
        <f>IF(DATOS!$G6522&lt;&gt;"EX",0,--(COUNTIFS(nNIA,DATOS!$A6522,nCURSO,DATOS!$D6522,nESPEC,DATOS!$E6522,nASIG,DATOS!$I6522,nEVAL,"OR")=0))</f>
      </c>
      <c r="I6522">
        <f>IF(DATOS!$I6522="","",IFERROR(VLOOKUP(DATOS!$I6522,CONFIG_ASIGNATURAS!$B$2:$J$91,9,FALSE()),""))</f>
      </c>
    </row>
    <row r="6523">
      <c r="F6523">
        <f>IF(DATOS!$A6523="","",DATOS!$A6523&amp;"|"&amp;DATOS!$D6523&amp;"|"&amp;DATOS!$E6523&amp;"|"&amp;DATOS!$I6523)</f>
      </c>
      <c r="G6523">
        <f>IF(DATOS!$A6523="",0,IF(CONFIG_METADATA!$B$4&lt;&gt;"OR+EX",--(DATOS!$G6523=CONFIG_METADATA!$B$4),IF(DATOS!$G6523="EX",1,IF(DATOS!$G6523="OR",--(COUNTIFS(nNIA,DATOS!$A6523,nCURSO,DATOS!$D6523,nESPEC,DATOS!$E6523,nASIG,DATOS!$I6523,nEVAL,"EX")=0),0))))</f>
      </c>
      <c r="H6523">
        <f>IF(DATOS!$G6523&lt;&gt;"EX",0,--(COUNTIFS(nNIA,DATOS!$A6523,nCURSO,DATOS!$D6523,nESPEC,DATOS!$E6523,nASIG,DATOS!$I6523,nEVAL,"OR")=0))</f>
      </c>
      <c r="I6523">
        <f>IF(DATOS!$I6523="","",IFERROR(VLOOKUP(DATOS!$I6523,CONFIG_ASIGNATURAS!$B$2:$J$91,9,FALSE()),""))</f>
      </c>
    </row>
    <row r="6524">
      <c r="F6524">
        <f>IF(DATOS!$A6524="","",DATOS!$A6524&amp;"|"&amp;DATOS!$D6524&amp;"|"&amp;DATOS!$E6524&amp;"|"&amp;DATOS!$I6524)</f>
      </c>
      <c r="G6524">
        <f>IF(DATOS!$A6524="",0,IF(CONFIG_METADATA!$B$4&lt;&gt;"OR+EX",--(DATOS!$G6524=CONFIG_METADATA!$B$4),IF(DATOS!$G6524="EX",1,IF(DATOS!$G6524="OR",--(COUNTIFS(nNIA,DATOS!$A6524,nCURSO,DATOS!$D6524,nESPEC,DATOS!$E6524,nASIG,DATOS!$I6524,nEVAL,"EX")=0),0))))</f>
      </c>
      <c r="H6524">
        <f>IF(DATOS!$G6524&lt;&gt;"EX",0,--(COUNTIFS(nNIA,DATOS!$A6524,nCURSO,DATOS!$D6524,nESPEC,DATOS!$E6524,nASIG,DATOS!$I6524,nEVAL,"OR")=0))</f>
      </c>
      <c r="I6524">
        <f>IF(DATOS!$I6524="","",IFERROR(VLOOKUP(DATOS!$I6524,CONFIG_ASIGNATURAS!$B$2:$J$91,9,FALSE()),""))</f>
      </c>
    </row>
    <row r="6525">
      <c r="F6525">
        <f>IF(DATOS!$A6525="","",DATOS!$A6525&amp;"|"&amp;DATOS!$D6525&amp;"|"&amp;DATOS!$E6525&amp;"|"&amp;DATOS!$I6525)</f>
      </c>
      <c r="G6525">
        <f>IF(DATOS!$A6525="",0,IF(CONFIG_METADATA!$B$4&lt;&gt;"OR+EX",--(DATOS!$G6525=CONFIG_METADATA!$B$4),IF(DATOS!$G6525="EX",1,IF(DATOS!$G6525="OR",--(COUNTIFS(nNIA,DATOS!$A6525,nCURSO,DATOS!$D6525,nESPEC,DATOS!$E6525,nASIG,DATOS!$I6525,nEVAL,"EX")=0),0))))</f>
      </c>
      <c r="H6525">
        <f>IF(DATOS!$G6525&lt;&gt;"EX",0,--(COUNTIFS(nNIA,DATOS!$A6525,nCURSO,DATOS!$D6525,nESPEC,DATOS!$E6525,nASIG,DATOS!$I6525,nEVAL,"OR")=0))</f>
      </c>
      <c r="I6525">
        <f>IF(DATOS!$I6525="","",IFERROR(VLOOKUP(DATOS!$I6525,CONFIG_ASIGNATURAS!$B$2:$J$91,9,FALSE()),""))</f>
      </c>
    </row>
    <row r="6526">
      <c r="F6526">
        <f>IF(DATOS!$A6526="","",DATOS!$A6526&amp;"|"&amp;DATOS!$D6526&amp;"|"&amp;DATOS!$E6526&amp;"|"&amp;DATOS!$I6526)</f>
      </c>
      <c r="G6526">
        <f>IF(DATOS!$A6526="",0,IF(CONFIG_METADATA!$B$4&lt;&gt;"OR+EX",--(DATOS!$G6526=CONFIG_METADATA!$B$4),IF(DATOS!$G6526="EX",1,IF(DATOS!$G6526="OR",--(COUNTIFS(nNIA,DATOS!$A6526,nCURSO,DATOS!$D6526,nESPEC,DATOS!$E6526,nASIG,DATOS!$I6526,nEVAL,"EX")=0),0))))</f>
      </c>
      <c r="H6526">
        <f>IF(DATOS!$G6526&lt;&gt;"EX",0,--(COUNTIFS(nNIA,DATOS!$A6526,nCURSO,DATOS!$D6526,nESPEC,DATOS!$E6526,nASIG,DATOS!$I6526,nEVAL,"OR")=0))</f>
      </c>
      <c r="I6526">
        <f>IF(DATOS!$I6526="","",IFERROR(VLOOKUP(DATOS!$I6526,CONFIG_ASIGNATURAS!$B$2:$J$91,9,FALSE()),""))</f>
      </c>
    </row>
    <row r="6527">
      <c r="F6527">
        <f>IF(DATOS!$A6527="","",DATOS!$A6527&amp;"|"&amp;DATOS!$D6527&amp;"|"&amp;DATOS!$E6527&amp;"|"&amp;DATOS!$I6527)</f>
      </c>
      <c r="G6527">
        <f>IF(DATOS!$A6527="",0,IF(CONFIG_METADATA!$B$4&lt;&gt;"OR+EX",--(DATOS!$G6527=CONFIG_METADATA!$B$4),IF(DATOS!$G6527="EX",1,IF(DATOS!$G6527="OR",--(COUNTIFS(nNIA,DATOS!$A6527,nCURSO,DATOS!$D6527,nESPEC,DATOS!$E6527,nASIG,DATOS!$I6527,nEVAL,"EX")=0),0))))</f>
      </c>
      <c r="H6527">
        <f>IF(DATOS!$G6527&lt;&gt;"EX",0,--(COUNTIFS(nNIA,DATOS!$A6527,nCURSO,DATOS!$D6527,nESPEC,DATOS!$E6527,nASIG,DATOS!$I6527,nEVAL,"OR")=0))</f>
      </c>
      <c r="I6527">
        <f>IF(DATOS!$I6527="","",IFERROR(VLOOKUP(DATOS!$I6527,CONFIG_ASIGNATURAS!$B$2:$J$91,9,FALSE()),""))</f>
      </c>
    </row>
    <row r="6528">
      <c r="F6528">
        <f>IF(DATOS!$A6528="","",DATOS!$A6528&amp;"|"&amp;DATOS!$D6528&amp;"|"&amp;DATOS!$E6528&amp;"|"&amp;DATOS!$I6528)</f>
      </c>
      <c r="G6528">
        <f>IF(DATOS!$A6528="",0,IF(CONFIG_METADATA!$B$4&lt;&gt;"OR+EX",--(DATOS!$G6528=CONFIG_METADATA!$B$4),IF(DATOS!$G6528="EX",1,IF(DATOS!$G6528="OR",--(COUNTIFS(nNIA,DATOS!$A6528,nCURSO,DATOS!$D6528,nESPEC,DATOS!$E6528,nASIG,DATOS!$I6528,nEVAL,"EX")=0),0))))</f>
      </c>
      <c r="H6528">
        <f>IF(DATOS!$G6528&lt;&gt;"EX",0,--(COUNTIFS(nNIA,DATOS!$A6528,nCURSO,DATOS!$D6528,nESPEC,DATOS!$E6528,nASIG,DATOS!$I6528,nEVAL,"OR")=0))</f>
      </c>
      <c r="I6528">
        <f>IF(DATOS!$I6528="","",IFERROR(VLOOKUP(DATOS!$I6528,CONFIG_ASIGNATURAS!$B$2:$J$91,9,FALSE()),""))</f>
      </c>
    </row>
    <row r="6529">
      <c r="F6529">
        <f>IF(DATOS!$A6529="","",DATOS!$A6529&amp;"|"&amp;DATOS!$D6529&amp;"|"&amp;DATOS!$E6529&amp;"|"&amp;DATOS!$I6529)</f>
      </c>
      <c r="G6529">
        <f>IF(DATOS!$A6529="",0,IF(CONFIG_METADATA!$B$4&lt;&gt;"OR+EX",--(DATOS!$G6529=CONFIG_METADATA!$B$4),IF(DATOS!$G6529="EX",1,IF(DATOS!$G6529="OR",--(COUNTIFS(nNIA,DATOS!$A6529,nCURSO,DATOS!$D6529,nESPEC,DATOS!$E6529,nASIG,DATOS!$I6529,nEVAL,"EX")=0),0))))</f>
      </c>
      <c r="H6529">
        <f>IF(DATOS!$G6529&lt;&gt;"EX",0,--(COUNTIFS(nNIA,DATOS!$A6529,nCURSO,DATOS!$D6529,nESPEC,DATOS!$E6529,nASIG,DATOS!$I6529,nEVAL,"OR")=0))</f>
      </c>
      <c r="I6529">
        <f>IF(DATOS!$I6529="","",IFERROR(VLOOKUP(DATOS!$I6529,CONFIG_ASIGNATURAS!$B$2:$J$91,9,FALSE()),""))</f>
      </c>
    </row>
    <row r="6530">
      <c r="F6530">
        <f>IF(DATOS!$A6530="","",DATOS!$A6530&amp;"|"&amp;DATOS!$D6530&amp;"|"&amp;DATOS!$E6530&amp;"|"&amp;DATOS!$I6530)</f>
      </c>
      <c r="G6530">
        <f>IF(DATOS!$A6530="",0,IF(CONFIG_METADATA!$B$4&lt;&gt;"OR+EX",--(DATOS!$G6530=CONFIG_METADATA!$B$4),IF(DATOS!$G6530="EX",1,IF(DATOS!$G6530="OR",--(COUNTIFS(nNIA,DATOS!$A6530,nCURSO,DATOS!$D6530,nESPEC,DATOS!$E6530,nASIG,DATOS!$I6530,nEVAL,"EX")=0),0))))</f>
      </c>
      <c r="H6530">
        <f>IF(DATOS!$G6530&lt;&gt;"EX",0,--(COUNTIFS(nNIA,DATOS!$A6530,nCURSO,DATOS!$D6530,nESPEC,DATOS!$E6530,nASIG,DATOS!$I6530,nEVAL,"OR")=0))</f>
      </c>
      <c r="I6530">
        <f>IF(DATOS!$I6530="","",IFERROR(VLOOKUP(DATOS!$I6530,CONFIG_ASIGNATURAS!$B$2:$J$91,9,FALSE()),""))</f>
      </c>
    </row>
    <row r="6531">
      <c r="F6531">
        <f>IF(DATOS!$A6531="","",DATOS!$A6531&amp;"|"&amp;DATOS!$D6531&amp;"|"&amp;DATOS!$E6531&amp;"|"&amp;DATOS!$I6531)</f>
      </c>
      <c r="G6531">
        <f>IF(DATOS!$A6531="",0,IF(CONFIG_METADATA!$B$4&lt;&gt;"OR+EX",--(DATOS!$G6531=CONFIG_METADATA!$B$4),IF(DATOS!$G6531="EX",1,IF(DATOS!$G6531="OR",--(COUNTIFS(nNIA,DATOS!$A6531,nCURSO,DATOS!$D6531,nESPEC,DATOS!$E6531,nASIG,DATOS!$I6531,nEVAL,"EX")=0),0))))</f>
      </c>
      <c r="H6531">
        <f>IF(DATOS!$G6531&lt;&gt;"EX",0,--(COUNTIFS(nNIA,DATOS!$A6531,nCURSO,DATOS!$D6531,nESPEC,DATOS!$E6531,nASIG,DATOS!$I6531,nEVAL,"OR")=0))</f>
      </c>
      <c r="I6531">
        <f>IF(DATOS!$I6531="","",IFERROR(VLOOKUP(DATOS!$I6531,CONFIG_ASIGNATURAS!$B$2:$J$91,9,FALSE()),""))</f>
      </c>
    </row>
    <row r="6532">
      <c r="F6532">
        <f>IF(DATOS!$A6532="","",DATOS!$A6532&amp;"|"&amp;DATOS!$D6532&amp;"|"&amp;DATOS!$E6532&amp;"|"&amp;DATOS!$I6532)</f>
      </c>
      <c r="G6532">
        <f>IF(DATOS!$A6532="",0,IF(CONFIG_METADATA!$B$4&lt;&gt;"OR+EX",--(DATOS!$G6532=CONFIG_METADATA!$B$4),IF(DATOS!$G6532="EX",1,IF(DATOS!$G6532="OR",--(COUNTIFS(nNIA,DATOS!$A6532,nCURSO,DATOS!$D6532,nESPEC,DATOS!$E6532,nASIG,DATOS!$I6532,nEVAL,"EX")=0),0))))</f>
      </c>
      <c r="H6532">
        <f>IF(DATOS!$G6532&lt;&gt;"EX",0,--(COUNTIFS(nNIA,DATOS!$A6532,nCURSO,DATOS!$D6532,nESPEC,DATOS!$E6532,nASIG,DATOS!$I6532,nEVAL,"OR")=0))</f>
      </c>
      <c r="I6532">
        <f>IF(DATOS!$I6532="","",IFERROR(VLOOKUP(DATOS!$I6532,CONFIG_ASIGNATURAS!$B$2:$J$91,9,FALSE()),""))</f>
      </c>
    </row>
    <row r="6533">
      <c r="F6533">
        <f>IF(DATOS!$A6533="","",DATOS!$A6533&amp;"|"&amp;DATOS!$D6533&amp;"|"&amp;DATOS!$E6533&amp;"|"&amp;DATOS!$I6533)</f>
      </c>
      <c r="G6533">
        <f>IF(DATOS!$A6533="",0,IF(CONFIG_METADATA!$B$4&lt;&gt;"OR+EX",--(DATOS!$G6533=CONFIG_METADATA!$B$4),IF(DATOS!$G6533="EX",1,IF(DATOS!$G6533="OR",--(COUNTIFS(nNIA,DATOS!$A6533,nCURSO,DATOS!$D6533,nESPEC,DATOS!$E6533,nASIG,DATOS!$I6533,nEVAL,"EX")=0),0))))</f>
      </c>
      <c r="H6533">
        <f>IF(DATOS!$G6533&lt;&gt;"EX",0,--(COUNTIFS(nNIA,DATOS!$A6533,nCURSO,DATOS!$D6533,nESPEC,DATOS!$E6533,nASIG,DATOS!$I6533,nEVAL,"OR")=0))</f>
      </c>
      <c r="I6533">
        <f>IF(DATOS!$I6533="","",IFERROR(VLOOKUP(DATOS!$I6533,CONFIG_ASIGNATURAS!$B$2:$J$91,9,FALSE()),""))</f>
      </c>
    </row>
    <row r="6534">
      <c r="F6534">
        <f>IF(DATOS!$A6534="","",DATOS!$A6534&amp;"|"&amp;DATOS!$D6534&amp;"|"&amp;DATOS!$E6534&amp;"|"&amp;DATOS!$I6534)</f>
      </c>
      <c r="G6534">
        <f>IF(DATOS!$A6534="",0,IF(CONFIG_METADATA!$B$4&lt;&gt;"OR+EX",--(DATOS!$G6534=CONFIG_METADATA!$B$4),IF(DATOS!$G6534="EX",1,IF(DATOS!$G6534="OR",--(COUNTIFS(nNIA,DATOS!$A6534,nCURSO,DATOS!$D6534,nESPEC,DATOS!$E6534,nASIG,DATOS!$I6534,nEVAL,"EX")=0),0))))</f>
      </c>
      <c r="H6534">
        <f>IF(DATOS!$G6534&lt;&gt;"EX",0,--(COUNTIFS(nNIA,DATOS!$A6534,nCURSO,DATOS!$D6534,nESPEC,DATOS!$E6534,nASIG,DATOS!$I6534,nEVAL,"OR")=0))</f>
      </c>
      <c r="I6534">
        <f>IF(DATOS!$I6534="","",IFERROR(VLOOKUP(DATOS!$I6534,CONFIG_ASIGNATURAS!$B$2:$J$91,9,FALSE()),""))</f>
      </c>
    </row>
    <row r="6535">
      <c r="F6535">
        <f>IF(DATOS!$A6535="","",DATOS!$A6535&amp;"|"&amp;DATOS!$D6535&amp;"|"&amp;DATOS!$E6535&amp;"|"&amp;DATOS!$I6535)</f>
      </c>
      <c r="G6535">
        <f>IF(DATOS!$A6535="",0,IF(CONFIG_METADATA!$B$4&lt;&gt;"OR+EX",--(DATOS!$G6535=CONFIG_METADATA!$B$4),IF(DATOS!$G6535="EX",1,IF(DATOS!$G6535="OR",--(COUNTIFS(nNIA,DATOS!$A6535,nCURSO,DATOS!$D6535,nESPEC,DATOS!$E6535,nASIG,DATOS!$I6535,nEVAL,"EX")=0),0))))</f>
      </c>
      <c r="H6535">
        <f>IF(DATOS!$G6535&lt;&gt;"EX",0,--(COUNTIFS(nNIA,DATOS!$A6535,nCURSO,DATOS!$D6535,nESPEC,DATOS!$E6535,nASIG,DATOS!$I6535,nEVAL,"OR")=0))</f>
      </c>
      <c r="I6535">
        <f>IF(DATOS!$I6535="","",IFERROR(VLOOKUP(DATOS!$I6535,CONFIG_ASIGNATURAS!$B$2:$J$91,9,FALSE()),""))</f>
      </c>
    </row>
    <row r="6536">
      <c r="F6536">
        <f>IF(DATOS!$A6536="","",DATOS!$A6536&amp;"|"&amp;DATOS!$D6536&amp;"|"&amp;DATOS!$E6536&amp;"|"&amp;DATOS!$I6536)</f>
      </c>
      <c r="G6536">
        <f>IF(DATOS!$A6536="",0,IF(CONFIG_METADATA!$B$4&lt;&gt;"OR+EX",--(DATOS!$G6536=CONFIG_METADATA!$B$4),IF(DATOS!$G6536="EX",1,IF(DATOS!$G6536="OR",--(COUNTIFS(nNIA,DATOS!$A6536,nCURSO,DATOS!$D6536,nESPEC,DATOS!$E6536,nASIG,DATOS!$I6536,nEVAL,"EX")=0),0))))</f>
      </c>
      <c r="H6536">
        <f>IF(DATOS!$G6536&lt;&gt;"EX",0,--(COUNTIFS(nNIA,DATOS!$A6536,nCURSO,DATOS!$D6536,nESPEC,DATOS!$E6536,nASIG,DATOS!$I6536,nEVAL,"OR")=0))</f>
      </c>
      <c r="I6536">
        <f>IF(DATOS!$I6536="","",IFERROR(VLOOKUP(DATOS!$I6536,CONFIG_ASIGNATURAS!$B$2:$J$91,9,FALSE()),""))</f>
      </c>
    </row>
    <row r="6537">
      <c r="F6537">
        <f>IF(DATOS!$A6537="","",DATOS!$A6537&amp;"|"&amp;DATOS!$D6537&amp;"|"&amp;DATOS!$E6537&amp;"|"&amp;DATOS!$I6537)</f>
      </c>
      <c r="G6537">
        <f>IF(DATOS!$A6537="",0,IF(CONFIG_METADATA!$B$4&lt;&gt;"OR+EX",--(DATOS!$G6537=CONFIG_METADATA!$B$4),IF(DATOS!$G6537="EX",1,IF(DATOS!$G6537="OR",--(COUNTIFS(nNIA,DATOS!$A6537,nCURSO,DATOS!$D6537,nESPEC,DATOS!$E6537,nASIG,DATOS!$I6537,nEVAL,"EX")=0),0))))</f>
      </c>
      <c r="H6537">
        <f>IF(DATOS!$G6537&lt;&gt;"EX",0,--(COUNTIFS(nNIA,DATOS!$A6537,nCURSO,DATOS!$D6537,nESPEC,DATOS!$E6537,nASIG,DATOS!$I6537,nEVAL,"OR")=0))</f>
      </c>
      <c r="I6537">
        <f>IF(DATOS!$I6537="","",IFERROR(VLOOKUP(DATOS!$I6537,CONFIG_ASIGNATURAS!$B$2:$J$91,9,FALSE()),""))</f>
      </c>
    </row>
    <row r="6538">
      <c r="F6538">
        <f>IF(DATOS!$A6538="","",DATOS!$A6538&amp;"|"&amp;DATOS!$D6538&amp;"|"&amp;DATOS!$E6538&amp;"|"&amp;DATOS!$I6538)</f>
      </c>
      <c r="G6538">
        <f>IF(DATOS!$A6538="",0,IF(CONFIG_METADATA!$B$4&lt;&gt;"OR+EX",--(DATOS!$G6538=CONFIG_METADATA!$B$4),IF(DATOS!$G6538="EX",1,IF(DATOS!$G6538="OR",--(COUNTIFS(nNIA,DATOS!$A6538,nCURSO,DATOS!$D6538,nESPEC,DATOS!$E6538,nASIG,DATOS!$I6538,nEVAL,"EX")=0),0))))</f>
      </c>
      <c r="H6538">
        <f>IF(DATOS!$G6538&lt;&gt;"EX",0,--(COUNTIFS(nNIA,DATOS!$A6538,nCURSO,DATOS!$D6538,nESPEC,DATOS!$E6538,nASIG,DATOS!$I6538,nEVAL,"OR")=0))</f>
      </c>
      <c r="I6538">
        <f>IF(DATOS!$I6538="","",IFERROR(VLOOKUP(DATOS!$I6538,CONFIG_ASIGNATURAS!$B$2:$J$91,9,FALSE()),""))</f>
      </c>
    </row>
    <row r="6539">
      <c r="F6539">
        <f>IF(DATOS!$A6539="","",DATOS!$A6539&amp;"|"&amp;DATOS!$D6539&amp;"|"&amp;DATOS!$E6539&amp;"|"&amp;DATOS!$I6539)</f>
      </c>
      <c r="G6539">
        <f>IF(DATOS!$A6539="",0,IF(CONFIG_METADATA!$B$4&lt;&gt;"OR+EX",--(DATOS!$G6539=CONFIG_METADATA!$B$4),IF(DATOS!$G6539="EX",1,IF(DATOS!$G6539="OR",--(COUNTIFS(nNIA,DATOS!$A6539,nCURSO,DATOS!$D6539,nESPEC,DATOS!$E6539,nASIG,DATOS!$I6539,nEVAL,"EX")=0),0))))</f>
      </c>
      <c r="H6539">
        <f>IF(DATOS!$G6539&lt;&gt;"EX",0,--(COUNTIFS(nNIA,DATOS!$A6539,nCURSO,DATOS!$D6539,nESPEC,DATOS!$E6539,nASIG,DATOS!$I6539,nEVAL,"OR")=0))</f>
      </c>
      <c r="I6539">
        <f>IF(DATOS!$I6539="","",IFERROR(VLOOKUP(DATOS!$I6539,CONFIG_ASIGNATURAS!$B$2:$J$91,9,FALSE()),""))</f>
      </c>
    </row>
    <row r="6540">
      <c r="F6540">
        <f>IF(DATOS!$A6540="","",DATOS!$A6540&amp;"|"&amp;DATOS!$D6540&amp;"|"&amp;DATOS!$E6540&amp;"|"&amp;DATOS!$I6540)</f>
      </c>
      <c r="G6540">
        <f>IF(DATOS!$A6540="",0,IF(CONFIG_METADATA!$B$4&lt;&gt;"OR+EX",--(DATOS!$G6540=CONFIG_METADATA!$B$4),IF(DATOS!$G6540="EX",1,IF(DATOS!$G6540="OR",--(COUNTIFS(nNIA,DATOS!$A6540,nCURSO,DATOS!$D6540,nESPEC,DATOS!$E6540,nASIG,DATOS!$I6540,nEVAL,"EX")=0),0))))</f>
      </c>
      <c r="H6540">
        <f>IF(DATOS!$G6540&lt;&gt;"EX",0,--(COUNTIFS(nNIA,DATOS!$A6540,nCURSO,DATOS!$D6540,nESPEC,DATOS!$E6540,nASIG,DATOS!$I6540,nEVAL,"OR")=0))</f>
      </c>
      <c r="I6540">
        <f>IF(DATOS!$I6540="","",IFERROR(VLOOKUP(DATOS!$I6540,CONFIG_ASIGNATURAS!$B$2:$J$91,9,FALSE()),""))</f>
      </c>
    </row>
    <row r="6541">
      <c r="F6541">
        <f>IF(DATOS!$A6541="","",DATOS!$A6541&amp;"|"&amp;DATOS!$D6541&amp;"|"&amp;DATOS!$E6541&amp;"|"&amp;DATOS!$I6541)</f>
      </c>
      <c r="G6541">
        <f>IF(DATOS!$A6541="",0,IF(CONFIG_METADATA!$B$4&lt;&gt;"OR+EX",--(DATOS!$G6541=CONFIG_METADATA!$B$4),IF(DATOS!$G6541="EX",1,IF(DATOS!$G6541="OR",--(COUNTIFS(nNIA,DATOS!$A6541,nCURSO,DATOS!$D6541,nESPEC,DATOS!$E6541,nASIG,DATOS!$I6541,nEVAL,"EX")=0),0))))</f>
      </c>
      <c r="H6541">
        <f>IF(DATOS!$G6541&lt;&gt;"EX",0,--(COUNTIFS(nNIA,DATOS!$A6541,nCURSO,DATOS!$D6541,nESPEC,DATOS!$E6541,nASIG,DATOS!$I6541,nEVAL,"OR")=0))</f>
      </c>
      <c r="I6541">
        <f>IF(DATOS!$I6541="","",IFERROR(VLOOKUP(DATOS!$I6541,CONFIG_ASIGNATURAS!$B$2:$J$91,9,FALSE()),""))</f>
      </c>
    </row>
    <row r="6542">
      <c r="F6542">
        <f>IF(DATOS!$A6542="","",DATOS!$A6542&amp;"|"&amp;DATOS!$D6542&amp;"|"&amp;DATOS!$E6542&amp;"|"&amp;DATOS!$I6542)</f>
      </c>
      <c r="G6542">
        <f>IF(DATOS!$A6542="",0,IF(CONFIG_METADATA!$B$4&lt;&gt;"OR+EX",--(DATOS!$G6542=CONFIG_METADATA!$B$4),IF(DATOS!$G6542="EX",1,IF(DATOS!$G6542="OR",--(COUNTIFS(nNIA,DATOS!$A6542,nCURSO,DATOS!$D6542,nESPEC,DATOS!$E6542,nASIG,DATOS!$I6542,nEVAL,"EX")=0),0))))</f>
      </c>
      <c r="H6542">
        <f>IF(DATOS!$G6542&lt;&gt;"EX",0,--(COUNTIFS(nNIA,DATOS!$A6542,nCURSO,DATOS!$D6542,nESPEC,DATOS!$E6542,nASIG,DATOS!$I6542,nEVAL,"OR")=0))</f>
      </c>
      <c r="I6542">
        <f>IF(DATOS!$I6542="","",IFERROR(VLOOKUP(DATOS!$I6542,CONFIG_ASIGNATURAS!$B$2:$J$91,9,FALSE()),""))</f>
      </c>
    </row>
    <row r="6543">
      <c r="F6543">
        <f>IF(DATOS!$A6543="","",DATOS!$A6543&amp;"|"&amp;DATOS!$D6543&amp;"|"&amp;DATOS!$E6543&amp;"|"&amp;DATOS!$I6543)</f>
      </c>
      <c r="G6543">
        <f>IF(DATOS!$A6543="",0,IF(CONFIG_METADATA!$B$4&lt;&gt;"OR+EX",--(DATOS!$G6543=CONFIG_METADATA!$B$4),IF(DATOS!$G6543="EX",1,IF(DATOS!$G6543="OR",--(COUNTIFS(nNIA,DATOS!$A6543,nCURSO,DATOS!$D6543,nESPEC,DATOS!$E6543,nASIG,DATOS!$I6543,nEVAL,"EX")=0),0))))</f>
      </c>
      <c r="H6543">
        <f>IF(DATOS!$G6543&lt;&gt;"EX",0,--(COUNTIFS(nNIA,DATOS!$A6543,nCURSO,DATOS!$D6543,nESPEC,DATOS!$E6543,nASIG,DATOS!$I6543,nEVAL,"OR")=0))</f>
      </c>
      <c r="I6543">
        <f>IF(DATOS!$I6543="","",IFERROR(VLOOKUP(DATOS!$I6543,CONFIG_ASIGNATURAS!$B$2:$J$91,9,FALSE()),""))</f>
      </c>
    </row>
    <row r="6544">
      <c r="F6544">
        <f>IF(DATOS!$A6544="","",DATOS!$A6544&amp;"|"&amp;DATOS!$D6544&amp;"|"&amp;DATOS!$E6544&amp;"|"&amp;DATOS!$I6544)</f>
      </c>
      <c r="G6544">
        <f>IF(DATOS!$A6544="",0,IF(CONFIG_METADATA!$B$4&lt;&gt;"OR+EX",--(DATOS!$G6544=CONFIG_METADATA!$B$4),IF(DATOS!$G6544="EX",1,IF(DATOS!$G6544="OR",--(COUNTIFS(nNIA,DATOS!$A6544,nCURSO,DATOS!$D6544,nESPEC,DATOS!$E6544,nASIG,DATOS!$I6544,nEVAL,"EX")=0),0))))</f>
      </c>
      <c r="H6544">
        <f>IF(DATOS!$G6544&lt;&gt;"EX",0,--(COUNTIFS(nNIA,DATOS!$A6544,nCURSO,DATOS!$D6544,nESPEC,DATOS!$E6544,nASIG,DATOS!$I6544,nEVAL,"OR")=0))</f>
      </c>
      <c r="I6544">
        <f>IF(DATOS!$I6544="","",IFERROR(VLOOKUP(DATOS!$I6544,CONFIG_ASIGNATURAS!$B$2:$J$91,9,FALSE()),""))</f>
      </c>
    </row>
    <row r="6545">
      <c r="F6545">
        <f>IF(DATOS!$A6545="","",DATOS!$A6545&amp;"|"&amp;DATOS!$D6545&amp;"|"&amp;DATOS!$E6545&amp;"|"&amp;DATOS!$I6545)</f>
      </c>
      <c r="G6545">
        <f>IF(DATOS!$A6545="",0,IF(CONFIG_METADATA!$B$4&lt;&gt;"OR+EX",--(DATOS!$G6545=CONFIG_METADATA!$B$4),IF(DATOS!$G6545="EX",1,IF(DATOS!$G6545="OR",--(COUNTIFS(nNIA,DATOS!$A6545,nCURSO,DATOS!$D6545,nESPEC,DATOS!$E6545,nASIG,DATOS!$I6545,nEVAL,"EX")=0),0))))</f>
      </c>
      <c r="H6545">
        <f>IF(DATOS!$G6545&lt;&gt;"EX",0,--(COUNTIFS(nNIA,DATOS!$A6545,nCURSO,DATOS!$D6545,nESPEC,DATOS!$E6545,nASIG,DATOS!$I6545,nEVAL,"OR")=0))</f>
      </c>
      <c r="I6545">
        <f>IF(DATOS!$I6545="","",IFERROR(VLOOKUP(DATOS!$I6545,CONFIG_ASIGNATURAS!$B$2:$J$91,9,FALSE()),""))</f>
      </c>
    </row>
    <row r="6546">
      <c r="F6546">
        <f>IF(DATOS!$A6546="","",DATOS!$A6546&amp;"|"&amp;DATOS!$D6546&amp;"|"&amp;DATOS!$E6546&amp;"|"&amp;DATOS!$I6546)</f>
      </c>
      <c r="G6546">
        <f>IF(DATOS!$A6546="",0,IF(CONFIG_METADATA!$B$4&lt;&gt;"OR+EX",--(DATOS!$G6546=CONFIG_METADATA!$B$4),IF(DATOS!$G6546="EX",1,IF(DATOS!$G6546="OR",--(COUNTIFS(nNIA,DATOS!$A6546,nCURSO,DATOS!$D6546,nESPEC,DATOS!$E6546,nASIG,DATOS!$I6546,nEVAL,"EX")=0),0))))</f>
      </c>
      <c r="H6546">
        <f>IF(DATOS!$G6546&lt;&gt;"EX",0,--(COUNTIFS(nNIA,DATOS!$A6546,nCURSO,DATOS!$D6546,nESPEC,DATOS!$E6546,nASIG,DATOS!$I6546,nEVAL,"OR")=0))</f>
      </c>
      <c r="I6546">
        <f>IF(DATOS!$I6546="","",IFERROR(VLOOKUP(DATOS!$I6546,CONFIG_ASIGNATURAS!$B$2:$J$91,9,FALSE()),""))</f>
      </c>
    </row>
    <row r="6547">
      <c r="F6547">
        <f>IF(DATOS!$A6547="","",DATOS!$A6547&amp;"|"&amp;DATOS!$D6547&amp;"|"&amp;DATOS!$E6547&amp;"|"&amp;DATOS!$I6547)</f>
      </c>
      <c r="G6547">
        <f>IF(DATOS!$A6547="",0,IF(CONFIG_METADATA!$B$4&lt;&gt;"OR+EX",--(DATOS!$G6547=CONFIG_METADATA!$B$4),IF(DATOS!$G6547="EX",1,IF(DATOS!$G6547="OR",--(COUNTIFS(nNIA,DATOS!$A6547,nCURSO,DATOS!$D6547,nESPEC,DATOS!$E6547,nASIG,DATOS!$I6547,nEVAL,"EX")=0),0))))</f>
      </c>
      <c r="H6547">
        <f>IF(DATOS!$G6547&lt;&gt;"EX",0,--(COUNTIFS(nNIA,DATOS!$A6547,nCURSO,DATOS!$D6547,nESPEC,DATOS!$E6547,nASIG,DATOS!$I6547,nEVAL,"OR")=0))</f>
      </c>
      <c r="I6547">
        <f>IF(DATOS!$I6547="","",IFERROR(VLOOKUP(DATOS!$I6547,CONFIG_ASIGNATURAS!$B$2:$J$91,9,FALSE()),""))</f>
      </c>
    </row>
    <row r="6548">
      <c r="F6548">
        <f>IF(DATOS!$A6548="","",DATOS!$A6548&amp;"|"&amp;DATOS!$D6548&amp;"|"&amp;DATOS!$E6548&amp;"|"&amp;DATOS!$I6548)</f>
      </c>
      <c r="G6548">
        <f>IF(DATOS!$A6548="",0,IF(CONFIG_METADATA!$B$4&lt;&gt;"OR+EX",--(DATOS!$G6548=CONFIG_METADATA!$B$4),IF(DATOS!$G6548="EX",1,IF(DATOS!$G6548="OR",--(COUNTIFS(nNIA,DATOS!$A6548,nCURSO,DATOS!$D6548,nESPEC,DATOS!$E6548,nASIG,DATOS!$I6548,nEVAL,"EX")=0),0))))</f>
      </c>
      <c r="H6548">
        <f>IF(DATOS!$G6548&lt;&gt;"EX",0,--(COUNTIFS(nNIA,DATOS!$A6548,nCURSO,DATOS!$D6548,nESPEC,DATOS!$E6548,nASIG,DATOS!$I6548,nEVAL,"OR")=0))</f>
      </c>
      <c r="I6548">
        <f>IF(DATOS!$I6548="","",IFERROR(VLOOKUP(DATOS!$I6548,CONFIG_ASIGNATURAS!$B$2:$J$91,9,FALSE()),""))</f>
      </c>
    </row>
    <row r="6549">
      <c r="F6549">
        <f>IF(DATOS!$A6549="","",DATOS!$A6549&amp;"|"&amp;DATOS!$D6549&amp;"|"&amp;DATOS!$E6549&amp;"|"&amp;DATOS!$I6549)</f>
      </c>
      <c r="G6549">
        <f>IF(DATOS!$A6549="",0,IF(CONFIG_METADATA!$B$4&lt;&gt;"OR+EX",--(DATOS!$G6549=CONFIG_METADATA!$B$4),IF(DATOS!$G6549="EX",1,IF(DATOS!$G6549="OR",--(COUNTIFS(nNIA,DATOS!$A6549,nCURSO,DATOS!$D6549,nESPEC,DATOS!$E6549,nASIG,DATOS!$I6549,nEVAL,"EX")=0),0))))</f>
      </c>
      <c r="H6549">
        <f>IF(DATOS!$G6549&lt;&gt;"EX",0,--(COUNTIFS(nNIA,DATOS!$A6549,nCURSO,DATOS!$D6549,nESPEC,DATOS!$E6549,nASIG,DATOS!$I6549,nEVAL,"OR")=0))</f>
      </c>
      <c r="I6549">
        <f>IF(DATOS!$I6549="","",IFERROR(VLOOKUP(DATOS!$I6549,CONFIG_ASIGNATURAS!$B$2:$J$91,9,FALSE()),""))</f>
      </c>
    </row>
    <row r="6550">
      <c r="F6550">
        <f>IF(DATOS!$A6550="","",DATOS!$A6550&amp;"|"&amp;DATOS!$D6550&amp;"|"&amp;DATOS!$E6550&amp;"|"&amp;DATOS!$I6550)</f>
      </c>
      <c r="G6550">
        <f>IF(DATOS!$A6550="",0,IF(CONFIG_METADATA!$B$4&lt;&gt;"OR+EX",--(DATOS!$G6550=CONFIG_METADATA!$B$4),IF(DATOS!$G6550="EX",1,IF(DATOS!$G6550="OR",--(COUNTIFS(nNIA,DATOS!$A6550,nCURSO,DATOS!$D6550,nESPEC,DATOS!$E6550,nASIG,DATOS!$I6550,nEVAL,"EX")=0),0))))</f>
      </c>
      <c r="H6550">
        <f>IF(DATOS!$G6550&lt;&gt;"EX",0,--(COUNTIFS(nNIA,DATOS!$A6550,nCURSO,DATOS!$D6550,nESPEC,DATOS!$E6550,nASIG,DATOS!$I6550,nEVAL,"OR")=0))</f>
      </c>
      <c r="I6550">
        <f>IF(DATOS!$I6550="","",IFERROR(VLOOKUP(DATOS!$I6550,CONFIG_ASIGNATURAS!$B$2:$J$91,9,FALSE()),""))</f>
      </c>
    </row>
    <row r="6551">
      <c r="F6551">
        <f>IF(DATOS!$A6551="","",DATOS!$A6551&amp;"|"&amp;DATOS!$D6551&amp;"|"&amp;DATOS!$E6551&amp;"|"&amp;DATOS!$I6551)</f>
      </c>
      <c r="G6551">
        <f>IF(DATOS!$A6551="",0,IF(CONFIG_METADATA!$B$4&lt;&gt;"OR+EX",--(DATOS!$G6551=CONFIG_METADATA!$B$4),IF(DATOS!$G6551="EX",1,IF(DATOS!$G6551="OR",--(COUNTIFS(nNIA,DATOS!$A6551,nCURSO,DATOS!$D6551,nESPEC,DATOS!$E6551,nASIG,DATOS!$I6551,nEVAL,"EX")=0),0))))</f>
      </c>
      <c r="H6551">
        <f>IF(DATOS!$G6551&lt;&gt;"EX",0,--(COUNTIFS(nNIA,DATOS!$A6551,nCURSO,DATOS!$D6551,nESPEC,DATOS!$E6551,nASIG,DATOS!$I6551,nEVAL,"OR")=0))</f>
      </c>
      <c r="I6551">
        <f>IF(DATOS!$I6551="","",IFERROR(VLOOKUP(DATOS!$I6551,CONFIG_ASIGNATURAS!$B$2:$J$91,9,FALSE()),""))</f>
      </c>
    </row>
    <row r="6552">
      <c r="F6552">
        <f>IF(DATOS!$A6552="","",DATOS!$A6552&amp;"|"&amp;DATOS!$D6552&amp;"|"&amp;DATOS!$E6552&amp;"|"&amp;DATOS!$I6552)</f>
      </c>
      <c r="G6552">
        <f>IF(DATOS!$A6552="",0,IF(CONFIG_METADATA!$B$4&lt;&gt;"OR+EX",--(DATOS!$G6552=CONFIG_METADATA!$B$4),IF(DATOS!$G6552="EX",1,IF(DATOS!$G6552="OR",--(COUNTIFS(nNIA,DATOS!$A6552,nCURSO,DATOS!$D6552,nESPEC,DATOS!$E6552,nASIG,DATOS!$I6552,nEVAL,"EX")=0),0))))</f>
      </c>
      <c r="H6552">
        <f>IF(DATOS!$G6552&lt;&gt;"EX",0,--(COUNTIFS(nNIA,DATOS!$A6552,nCURSO,DATOS!$D6552,nESPEC,DATOS!$E6552,nASIG,DATOS!$I6552,nEVAL,"OR")=0))</f>
      </c>
      <c r="I6552">
        <f>IF(DATOS!$I6552="","",IFERROR(VLOOKUP(DATOS!$I6552,CONFIG_ASIGNATURAS!$B$2:$J$91,9,FALSE()),""))</f>
      </c>
    </row>
    <row r="6553">
      <c r="F6553">
        <f>IF(DATOS!$A6553="","",DATOS!$A6553&amp;"|"&amp;DATOS!$D6553&amp;"|"&amp;DATOS!$E6553&amp;"|"&amp;DATOS!$I6553)</f>
      </c>
      <c r="G6553">
        <f>IF(DATOS!$A6553="",0,IF(CONFIG_METADATA!$B$4&lt;&gt;"OR+EX",--(DATOS!$G6553=CONFIG_METADATA!$B$4),IF(DATOS!$G6553="EX",1,IF(DATOS!$G6553="OR",--(COUNTIFS(nNIA,DATOS!$A6553,nCURSO,DATOS!$D6553,nESPEC,DATOS!$E6553,nASIG,DATOS!$I6553,nEVAL,"EX")=0),0))))</f>
      </c>
      <c r="H6553">
        <f>IF(DATOS!$G6553&lt;&gt;"EX",0,--(COUNTIFS(nNIA,DATOS!$A6553,nCURSO,DATOS!$D6553,nESPEC,DATOS!$E6553,nASIG,DATOS!$I6553,nEVAL,"OR")=0))</f>
      </c>
      <c r="I6553">
        <f>IF(DATOS!$I6553="","",IFERROR(VLOOKUP(DATOS!$I6553,CONFIG_ASIGNATURAS!$B$2:$J$91,9,FALSE()),""))</f>
      </c>
    </row>
    <row r="6554">
      <c r="F6554">
        <f>IF(DATOS!$A6554="","",DATOS!$A6554&amp;"|"&amp;DATOS!$D6554&amp;"|"&amp;DATOS!$E6554&amp;"|"&amp;DATOS!$I6554)</f>
      </c>
      <c r="G6554">
        <f>IF(DATOS!$A6554="",0,IF(CONFIG_METADATA!$B$4&lt;&gt;"OR+EX",--(DATOS!$G6554=CONFIG_METADATA!$B$4),IF(DATOS!$G6554="EX",1,IF(DATOS!$G6554="OR",--(COUNTIFS(nNIA,DATOS!$A6554,nCURSO,DATOS!$D6554,nESPEC,DATOS!$E6554,nASIG,DATOS!$I6554,nEVAL,"EX")=0),0))))</f>
      </c>
      <c r="H6554">
        <f>IF(DATOS!$G6554&lt;&gt;"EX",0,--(COUNTIFS(nNIA,DATOS!$A6554,nCURSO,DATOS!$D6554,nESPEC,DATOS!$E6554,nASIG,DATOS!$I6554,nEVAL,"OR")=0))</f>
      </c>
      <c r="I6554">
        <f>IF(DATOS!$I6554="","",IFERROR(VLOOKUP(DATOS!$I6554,CONFIG_ASIGNATURAS!$B$2:$J$91,9,FALSE()),""))</f>
      </c>
    </row>
    <row r="6555">
      <c r="F6555">
        <f>IF(DATOS!$A6555="","",DATOS!$A6555&amp;"|"&amp;DATOS!$D6555&amp;"|"&amp;DATOS!$E6555&amp;"|"&amp;DATOS!$I6555)</f>
      </c>
      <c r="G6555">
        <f>IF(DATOS!$A6555="",0,IF(CONFIG_METADATA!$B$4&lt;&gt;"OR+EX",--(DATOS!$G6555=CONFIG_METADATA!$B$4),IF(DATOS!$G6555="EX",1,IF(DATOS!$G6555="OR",--(COUNTIFS(nNIA,DATOS!$A6555,nCURSO,DATOS!$D6555,nESPEC,DATOS!$E6555,nASIG,DATOS!$I6555,nEVAL,"EX")=0),0))))</f>
      </c>
      <c r="H6555">
        <f>IF(DATOS!$G6555&lt;&gt;"EX",0,--(COUNTIFS(nNIA,DATOS!$A6555,nCURSO,DATOS!$D6555,nESPEC,DATOS!$E6555,nASIG,DATOS!$I6555,nEVAL,"OR")=0))</f>
      </c>
      <c r="I6555">
        <f>IF(DATOS!$I6555="","",IFERROR(VLOOKUP(DATOS!$I6555,CONFIG_ASIGNATURAS!$B$2:$J$91,9,FALSE()),""))</f>
      </c>
    </row>
    <row r="6556">
      <c r="F6556">
        <f>IF(DATOS!$A6556="","",DATOS!$A6556&amp;"|"&amp;DATOS!$D6556&amp;"|"&amp;DATOS!$E6556&amp;"|"&amp;DATOS!$I6556)</f>
      </c>
      <c r="G6556">
        <f>IF(DATOS!$A6556="",0,IF(CONFIG_METADATA!$B$4&lt;&gt;"OR+EX",--(DATOS!$G6556=CONFIG_METADATA!$B$4),IF(DATOS!$G6556="EX",1,IF(DATOS!$G6556="OR",--(COUNTIFS(nNIA,DATOS!$A6556,nCURSO,DATOS!$D6556,nESPEC,DATOS!$E6556,nASIG,DATOS!$I6556,nEVAL,"EX")=0),0))))</f>
      </c>
      <c r="H6556">
        <f>IF(DATOS!$G6556&lt;&gt;"EX",0,--(COUNTIFS(nNIA,DATOS!$A6556,nCURSO,DATOS!$D6556,nESPEC,DATOS!$E6556,nASIG,DATOS!$I6556,nEVAL,"OR")=0))</f>
      </c>
      <c r="I6556">
        <f>IF(DATOS!$I6556="","",IFERROR(VLOOKUP(DATOS!$I6556,CONFIG_ASIGNATURAS!$B$2:$J$91,9,FALSE()),""))</f>
      </c>
    </row>
    <row r="6557">
      <c r="F6557">
        <f>IF(DATOS!$A6557="","",DATOS!$A6557&amp;"|"&amp;DATOS!$D6557&amp;"|"&amp;DATOS!$E6557&amp;"|"&amp;DATOS!$I6557)</f>
      </c>
      <c r="G6557">
        <f>IF(DATOS!$A6557="",0,IF(CONFIG_METADATA!$B$4&lt;&gt;"OR+EX",--(DATOS!$G6557=CONFIG_METADATA!$B$4),IF(DATOS!$G6557="EX",1,IF(DATOS!$G6557="OR",--(COUNTIFS(nNIA,DATOS!$A6557,nCURSO,DATOS!$D6557,nESPEC,DATOS!$E6557,nASIG,DATOS!$I6557,nEVAL,"EX")=0),0))))</f>
      </c>
      <c r="H6557">
        <f>IF(DATOS!$G6557&lt;&gt;"EX",0,--(COUNTIFS(nNIA,DATOS!$A6557,nCURSO,DATOS!$D6557,nESPEC,DATOS!$E6557,nASIG,DATOS!$I6557,nEVAL,"OR")=0))</f>
      </c>
      <c r="I6557">
        <f>IF(DATOS!$I6557="","",IFERROR(VLOOKUP(DATOS!$I6557,CONFIG_ASIGNATURAS!$B$2:$J$91,9,FALSE()),""))</f>
      </c>
    </row>
    <row r="6558">
      <c r="F6558">
        <f>IF(DATOS!$A6558="","",DATOS!$A6558&amp;"|"&amp;DATOS!$D6558&amp;"|"&amp;DATOS!$E6558&amp;"|"&amp;DATOS!$I6558)</f>
      </c>
      <c r="G6558">
        <f>IF(DATOS!$A6558="",0,IF(CONFIG_METADATA!$B$4&lt;&gt;"OR+EX",--(DATOS!$G6558=CONFIG_METADATA!$B$4),IF(DATOS!$G6558="EX",1,IF(DATOS!$G6558="OR",--(COUNTIFS(nNIA,DATOS!$A6558,nCURSO,DATOS!$D6558,nESPEC,DATOS!$E6558,nASIG,DATOS!$I6558,nEVAL,"EX")=0),0))))</f>
      </c>
      <c r="H6558">
        <f>IF(DATOS!$G6558&lt;&gt;"EX",0,--(COUNTIFS(nNIA,DATOS!$A6558,nCURSO,DATOS!$D6558,nESPEC,DATOS!$E6558,nASIG,DATOS!$I6558,nEVAL,"OR")=0))</f>
      </c>
      <c r="I6558">
        <f>IF(DATOS!$I6558="","",IFERROR(VLOOKUP(DATOS!$I6558,CONFIG_ASIGNATURAS!$B$2:$J$91,9,FALSE()),""))</f>
      </c>
    </row>
    <row r="6559">
      <c r="F6559">
        <f>IF(DATOS!$A6559="","",DATOS!$A6559&amp;"|"&amp;DATOS!$D6559&amp;"|"&amp;DATOS!$E6559&amp;"|"&amp;DATOS!$I6559)</f>
      </c>
      <c r="G6559">
        <f>IF(DATOS!$A6559="",0,IF(CONFIG_METADATA!$B$4&lt;&gt;"OR+EX",--(DATOS!$G6559=CONFIG_METADATA!$B$4),IF(DATOS!$G6559="EX",1,IF(DATOS!$G6559="OR",--(COUNTIFS(nNIA,DATOS!$A6559,nCURSO,DATOS!$D6559,nESPEC,DATOS!$E6559,nASIG,DATOS!$I6559,nEVAL,"EX")=0),0))))</f>
      </c>
      <c r="H6559">
        <f>IF(DATOS!$G6559&lt;&gt;"EX",0,--(COUNTIFS(nNIA,DATOS!$A6559,nCURSO,DATOS!$D6559,nESPEC,DATOS!$E6559,nASIG,DATOS!$I6559,nEVAL,"OR")=0))</f>
      </c>
      <c r="I6559">
        <f>IF(DATOS!$I6559="","",IFERROR(VLOOKUP(DATOS!$I6559,CONFIG_ASIGNATURAS!$B$2:$J$91,9,FALSE()),""))</f>
      </c>
    </row>
    <row r="6560">
      <c r="F6560">
        <f>IF(DATOS!$A6560="","",DATOS!$A6560&amp;"|"&amp;DATOS!$D6560&amp;"|"&amp;DATOS!$E6560&amp;"|"&amp;DATOS!$I6560)</f>
      </c>
      <c r="G6560">
        <f>IF(DATOS!$A6560="",0,IF(CONFIG_METADATA!$B$4&lt;&gt;"OR+EX",--(DATOS!$G6560=CONFIG_METADATA!$B$4),IF(DATOS!$G6560="EX",1,IF(DATOS!$G6560="OR",--(COUNTIFS(nNIA,DATOS!$A6560,nCURSO,DATOS!$D6560,nESPEC,DATOS!$E6560,nASIG,DATOS!$I6560,nEVAL,"EX")=0),0))))</f>
      </c>
      <c r="H6560">
        <f>IF(DATOS!$G6560&lt;&gt;"EX",0,--(COUNTIFS(nNIA,DATOS!$A6560,nCURSO,DATOS!$D6560,nESPEC,DATOS!$E6560,nASIG,DATOS!$I6560,nEVAL,"OR")=0))</f>
      </c>
      <c r="I6560">
        <f>IF(DATOS!$I6560="","",IFERROR(VLOOKUP(DATOS!$I6560,CONFIG_ASIGNATURAS!$B$2:$J$91,9,FALSE()),""))</f>
      </c>
    </row>
    <row r="6561">
      <c r="F6561">
        <f>IF(DATOS!$A6561="","",DATOS!$A6561&amp;"|"&amp;DATOS!$D6561&amp;"|"&amp;DATOS!$E6561&amp;"|"&amp;DATOS!$I6561)</f>
      </c>
      <c r="G6561">
        <f>IF(DATOS!$A6561="",0,IF(CONFIG_METADATA!$B$4&lt;&gt;"OR+EX",--(DATOS!$G6561=CONFIG_METADATA!$B$4),IF(DATOS!$G6561="EX",1,IF(DATOS!$G6561="OR",--(COUNTIFS(nNIA,DATOS!$A6561,nCURSO,DATOS!$D6561,nESPEC,DATOS!$E6561,nASIG,DATOS!$I6561,nEVAL,"EX")=0),0))))</f>
      </c>
      <c r="H6561">
        <f>IF(DATOS!$G6561&lt;&gt;"EX",0,--(COUNTIFS(nNIA,DATOS!$A6561,nCURSO,DATOS!$D6561,nESPEC,DATOS!$E6561,nASIG,DATOS!$I6561,nEVAL,"OR")=0))</f>
      </c>
      <c r="I6561">
        <f>IF(DATOS!$I6561="","",IFERROR(VLOOKUP(DATOS!$I6561,CONFIG_ASIGNATURAS!$B$2:$J$91,9,FALSE()),""))</f>
      </c>
    </row>
    <row r="6562">
      <c r="F6562">
        <f>IF(DATOS!$A6562="","",DATOS!$A6562&amp;"|"&amp;DATOS!$D6562&amp;"|"&amp;DATOS!$E6562&amp;"|"&amp;DATOS!$I6562)</f>
      </c>
      <c r="G6562">
        <f>IF(DATOS!$A6562="",0,IF(CONFIG_METADATA!$B$4&lt;&gt;"OR+EX",--(DATOS!$G6562=CONFIG_METADATA!$B$4),IF(DATOS!$G6562="EX",1,IF(DATOS!$G6562="OR",--(COUNTIFS(nNIA,DATOS!$A6562,nCURSO,DATOS!$D6562,nESPEC,DATOS!$E6562,nASIG,DATOS!$I6562,nEVAL,"EX")=0),0))))</f>
      </c>
      <c r="H6562">
        <f>IF(DATOS!$G6562&lt;&gt;"EX",0,--(COUNTIFS(nNIA,DATOS!$A6562,nCURSO,DATOS!$D6562,nESPEC,DATOS!$E6562,nASIG,DATOS!$I6562,nEVAL,"OR")=0))</f>
      </c>
      <c r="I6562">
        <f>IF(DATOS!$I6562="","",IFERROR(VLOOKUP(DATOS!$I6562,CONFIG_ASIGNATURAS!$B$2:$J$91,9,FALSE()),""))</f>
      </c>
    </row>
    <row r="6563">
      <c r="F6563">
        <f>IF(DATOS!$A6563="","",DATOS!$A6563&amp;"|"&amp;DATOS!$D6563&amp;"|"&amp;DATOS!$E6563&amp;"|"&amp;DATOS!$I6563)</f>
      </c>
      <c r="G6563">
        <f>IF(DATOS!$A6563="",0,IF(CONFIG_METADATA!$B$4&lt;&gt;"OR+EX",--(DATOS!$G6563=CONFIG_METADATA!$B$4),IF(DATOS!$G6563="EX",1,IF(DATOS!$G6563="OR",--(COUNTIFS(nNIA,DATOS!$A6563,nCURSO,DATOS!$D6563,nESPEC,DATOS!$E6563,nASIG,DATOS!$I6563,nEVAL,"EX")=0),0))))</f>
      </c>
      <c r="H6563">
        <f>IF(DATOS!$G6563&lt;&gt;"EX",0,--(COUNTIFS(nNIA,DATOS!$A6563,nCURSO,DATOS!$D6563,nESPEC,DATOS!$E6563,nASIG,DATOS!$I6563,nEVAL,"OR")=0))</f>
      </c>
      <c r="I6563">
        <f>IF(DATOS!$I6563="","",IFERROR(VLOOKUP(DATOS!$I6563,CONFIG_ASIGNATURAS!$B$2:$J$91,9,FALSE()),""))</f>
      </c>
    </row>
    <row r="6564">
      <c r="F6564">
        <f>IF(DATOS!$A6564="","",DATOS!$A6564&amp;"|"&amp;DATOS!$D6564&amp;"|"&amp;DATOS!$E6564&amp;"|"&amp;DATOS!$I6564)</f>
      </c>
      <c r="G6564">
        <f>IF(DATOS!$A6564="",0,IF(CONFIG_METADATA!$B$4&lt;&gt;"OR+EX",--(DATOS!$G6564=CONFIG_METADATA!$B$4),IF(DATOS!$G6564="EX",1,IF(DATOS!$G6564="OR",--(COUNTIFS(nNIA,DATOS!$A6564,nCURSO,DATOS!$D6564,nESPEC,DATOS!$E6564,nASIG,DATOS!$I6564,nEVAL,"EX")=0),0))))</f>
      </c>
      <c r="H6564">
        <f>IF(DATOS!$G6564&lt;&gt;"EX",0,--(COUNTIFS(nNIA,DATOS!$A6564,nCURSO,DATOS!$D6564,nESPEC,DATOS!$E6564,nASIG,DATOS!$I6564,nEVAL,"OR")=0))</f>
      </c>
      <c r="I6564">
        <f>IF(DATOS!$I6564="","",IFERROR(VLOOKUP(DATOS!$I6564,CONFIG_ASIGNATURAS!$B$2:$J$91,9,FALSE()),""))</f>
      </c>
    </row>
    <row r="6565">
      <c r="F6565">
        <f>IF(DATOS!$A6565="","",DATOS!$A6565&amp;"|"&amp;DATOS!$D6565&amp;"|"&amp;DATOS!$E6565&amp;"|"&amp;DATOS!$I6565)</f>
      </c>
      <c r="G6565">
        <f>IF(DATOS!$A6565="",0,IF(CONFIG_METADATA!$B$4&lt;&gt;"OR+EX",--(DATOS!$G6565=CONFIG_METADATA!$B$4),IF(DATOS!$G6565="EX",1,IF(DATOS!$G6565="OR",--(COUNTIFS(nNIA,DATOS!$A6565,nCURSO,DATOS!$D6565,nESPEC,DATOS!$E6565,nASIG,DATOS!$I6565,nEVAL,"EX")=0),0))))</f>
      </c>
      <c r="H6565">
        <f>IF(DATOS!$G6565&lt;&gt;"EX",0,--(COUNTIFS(nNIA,DATOS!$A6565,nCURSO,DATOS!$D6565,nESPEC,DATOS!$E6565,nASIG,DATOS!$I6565,nEVAL,"OR")=0))</f>
      </c>
      <c r="I6565">
        <f>IF(DATOS!$I6565="","",IFERROR(VLOOKUP(DATOS!$I6565,CONFIG_ASIGNATURAS!$B$2:$J$91,9,FALSE()),""))</f>
      </c>
    </row>
    <row r="6566">
      <c r="F6566">
        <f>IF(DATOS!$A6566="","",DATOS!$A6566&amp;"|"&amp;DATOS!$D6566&amp;"|"&amp;DATOS!$E6566&amp;"|"&amp;DATOS!$I6566)</f>
      </c>
      <c r="G6566">
        <f>IF(DATOS!$A6566="",0,IF(CONFIG_METADATA!$B$4&lt;&gt;"OR+EX",--(DATOS!$G6566=CONFIG_METADATA!$B$4),IF(DATOS!$G6566="EX",1,IF(DATOS!$G6566="OR",--(COUNTIFS(nNIA,DATOS!$A6566,nCURSO,DATOS!$D6566,nESPEC,DATOS!$E6566,nASIG,DATOS!$I6566,nEVAL,"EX")=0),0))))</f>
      </c>
      <c r="H6566">
        <f>IF(DATOS!$G6566&lt;&gt;"EX",0,--(COUNTIFS(nNIA,DATOS!$A6566,nCURSO,DATOS!$D6566,nESPEC,DATOS!$E6566,nASIG,DATOS!$I6566,nEVAL,"OR")=0))</f>
      </c>
      <c r="I6566">
        <f>IF(DATOS!$I6566="","",IFERROR(VLOOKUP(DATOS!$I6566,CONFIG_ASIGNATURAS!$B$2:$J$91,9,FALSE()),""))</f>
      </c>
    </row>
    <row r="6567">
      <c r="F6567">
        <f>IF(DATOS!$A6567="","",DATOS!$A6567&amp;"|"&amp;DATOS!$D6567&amp;"|"&amp;DATOS!$E6567&amp;"|"&amp;DATOS!$I6567)</f>
      </c>
      <c r="G6567">
        <f>IF(DATOS!$A6567="",0,IF(CONFIG_METADATA!$B$4&lt;&gt;"OR+EX",--(DATOS!$G6567=CONFIG_METADATA!$B$4),IF(DATOS!$G6567="EX",1,IF(DATOS!$G6567="OR",--(COUNTIFS(nNIA,DATOS!$A6567,nCURSO,DATOS!$D6567,nESPEC,DATOS!$E6567,nASIG,DATOS!$I6567,nEVAL,"EX")=0),0))))</f>
      </c>
      <c r="H6567">
        <f>IF(DATOS!$G6567&lt;&gt;"EX",0,--(COUNTIFS(nNIA,DATOS!$A6567,nCURSO,DATOS!$D6567,nESPEC,DATOS!$E6567,nASIG,DATOS!$I6567,nEVAL,"OR")=0))</f>
      </c>
      <c r="I6567">
        <f>IF(DATOS!$I6567="","",IFERROR(VLOOKUP(DATOS!$I6567,CONFIG_ASIGNATURAS!$B$2:$J$91,9,FALSE()),""))</f>
      </c>
    </row>
    <row r="6568">
      <c r="F6568">
        <f>IF(DATOS!$A6568="","",DATOS!$A6568&amp;"|"&amp;DATOS!$D6568&amp;"|"&amp;DATOS!$E6568&amp;"|"&amp;DATOS!$I6568)</f>
      </c>
      <c r="G6568">
        <f>IF(DATOS!$A6568="",0,IF(CONFIG_METADATA!$B$4&lt;&gt;"OR+EX",--(DATOS!$G6568=CONFIG_METADATA!$B$4),IF(DATOS!$G6568="EX",1,IF(DATOS!$G6568="OR",--(COUNTIFS(nNIA,DATOS!$A6568,nCURSO,DATOS!$D6568,nESPEC,DATOS!$E6568,nASIG,DATOS!$I6568,nEVAL,"EX")=0),0))))</f>
      </c>
      <c r="H6568">
        <f>IF(DATOS!$G6568&lt;&gt;"EX",0,--(COUNTIFS(nNIA,DATOS!$A6568,nCURSO,DATOS!$D6568,nESPEC,DATOS!$E6568,nASIG,DATOS!$I6568,nEVAL,"OR")=0))</f>
      </c>
      <c r="I6568">
        <f>IF(DATOS!$I6568="","",IFERROR(VLOOKUP(DATOS!$I6568,CONFIG_ASIGNATURAS!$B$2:$J$91,9,FALSE()),""))</f>
      </c>
    </row>
    <row r="6569">
      <c r="F6569">
        <f>IF(DATOS!$A6569="","",DATOS!$A6569&amp;"|"&amp;DATOS!$D6569&amp;"|"&amp;DATOS!$E6569&amp;"|"&amp;DATOS!$I6569)</f>
      </c>
      <c r="G6569">
        <f>IF(DATOS!$A6569="",0,IF(CONFIG_METADATA!$B$4&lt;&gt;"OR+EX",--(DATOS!$G6569=CONFIG_METADATA!$B$4),IF(DATOS!$G6569="EX",1,IF(DATOS!$G6569="OR",--(COUNTIFS(nNIA,DATOS!$A6569,nCURSO,DATOS!$D6569,nESPEC,DATOS!$E6569,nASIG,DATOS!$I6569,nEVAL,"EX")=0),0))))</f>
      </c>
      <c r="H6569">
        <f>IF(DATOS!$G6569&lt;&gt;"EX",0,--(COUNTIFS(nNIA,DATOS!$A6569,nCURSO,DATOS!$D6569,nESPEC,DATOS!$E6569,nASIG,DATOS!$I6569,nEVAL,"OR")=0))</f>
      </c>
      <c r="I6569">
        <f>IF(DATOS!$I6569="","",IFERROR(VLOOKUP(DATOS!$I6569,CONFIG_ASIGNATURAS!$B$2:$J$91,9,FALSE()),""))</f>
      </c>
    </row>
    <row r="6570">
      <c r="F6570">
        <f>IF(DATOS!$A6570="","",DATOS!$A6570&amp;"|"&amp;DATOS!$D6570&amp;"|"&amp;DATOS!$E6570&amp;"|"&amp;DATOS!$I6570)</f>
      </c>
      <c r="G6570">
        <f>IF(DATOS!$A6570="",0,IF(CONFIG_METADATA!$B$4&lt;&gt;"OR+EX",--(DATOS!$G6570=CONFIG_METADATA!$B$4),IF(DATOS!$G6570="EX",1,IF(DATOS!$G6570="OR",--(COUNTIFS(nNIA,DATOS!$A6570,nCURSO,DATOS!$D6570,nESPEC,DATOS!$E6570,nASIG,DATOS!$I6570,nEVAL,"EX")=0),0))))</f>
      </c>
      <c r="H6570">
        <f>IF(DATOS!$G6570&lt;&gt;"EX",0,--(COUNTIFS(nNIA,DATOS!$A6570,nCURSO,DATOS!$D6570,nESPEC,DATOS!$E6570,nASIG,DATOS!$I6570,nEVAL,"OR")=0))</f>
      </c>
      <c r="I6570">
        <f>IF(DATOS!$I6570="","",IFERROR(VLOOKUP(DATOS!$I6570,CONFIG_ASIGNATURAS!$B$2:$J$91,9,FALSE()),""))</f>
      </c>
    </row>
    <row r="6571">
      <c r="F6571">
        <f>IF(DATOS!$A6571="","",DATOS!$A6571&amp;"|"&amp;DATOS!$D6571&amp;"|"&amp;DATOS!$E6571&amp;"|"&amp;DATOS!$I6571)</f>
      </c>
      <c r="G6571">
        <f>IF(DATOS!$A6571="",0,IF(CONFIG_METADATA!$B$4&lt;&gt;"OR+EX",--(DATOS!$G6571=CONFIG_METADATA!$B$4),IF(DATOS!$G6571="EX",1,IF(DATOS!$G6571="OR",--(COUNTIFS(nNIA,DATOS!$A6571,nCURSO,DATOS!$D6571,nESPEC,DATOS!$E6571,nASIG,DATOS!$I6571,nEVAL,"EX")=0),0))))</f>
      </c>
      <c r="H6571">
        <f>IF(DATOS!$G6571&lt;&gt;"EX",0,--(COUNTIFS(nNIA,DATOS!$A6571,nCURSO,DATOS!$D6571,nESPEC,DATOS!$E6571,nASIG,DATOS!$I6571,nEVAL,"OR")=0))</f>
      </c>
      <c r="I6571">
        <f>IF(DATOS!$I6571="","",IFERROR(VLOOKUP(DATOS!$I6571,CONFIG_ASIGNATURAS!$B$2:$J$91,9,FALSE()),""))</f>
      </c>
    </row>
    <row r="6572">
      <c r="F6572">
        <f>IF(DATOS!$A6572="","",DATOS!$A6572&amp;"|"&amp;DATOS!$D6572&amp;"|"&amp;DATOS!$E6572&amp;"|"&amp;DATOS!$I6572)</f>
      </c>
      <c r="G6572">
        <f>IF(DATOS!$A6572="",0,IF(CONFIG_METADATA!$B$4&lt;&gt;"OR+EX",--(DATOS!$G6572=CONFIG_METADATA!$B$4),IF(DATOS!$G6572="EX",1,IF(DATOS!$G6572="OR",--(COUNTIFS(nNIA,DATOS!$A6572,nCURSO,DATOS!$D6572,nESPEC,DATOS!$E6572,nASIG,DATOS!$I6572,nEVAL,"EX")=0),0))))</f>
      </c>
      <c r="H6572">
        <f>IF(DATOS!$G6572&lt;&gt;"EX",0,--(COUNTIFS(nNIA,DATOS!$A6572,nCURSO,DATOS!$D6572,nESPEC,DATOS!$E6572,nASIG,DATOS!$I6572,nEVAL,"OR")=0))</f>
      </c>
      <c r="I6572">
        <f>IF(DATOS!$I6572="","",IFERROR(VLOOKUP(DATOS!$I6572,CONFIG_ASIGNATURAS!$B$2:$J$91,9,FALSE()),""))</f>
      </c>
    </row>
    <row r="6573">
      <c r="F6573">
        <f>IF(DATOS!$A6573="","",DATOS!$A6573&amp;"|"&amp;DATOS!$D6573&amp;"|"&amp;DATOS!$E6573&amp;"|"&amp;DATOS!$I6573)</f>
      </c>
      <c r="G6573">
        <f>IF(DATOS!$A6573="",0,IF(CONFIG_METADATA!$B$4&lt;&gt;"OR+EX",--(DATOS!$G6573=CONFIG_METADATA!$B$4),IF(DATOS!$G6573="EX",1,IF(DATOS!$G6573="OR",--(COUNTIFS(nNIA,DATOS!$A6573,nCURSO,DATOS!$D6573,nESPEC,DATOS!$E6573,nASIG,DATOS!$I6573,nEVAL,"EX")=0),0))))</f>
      </c>
      <c r="H6573">
        <f>IF(DATOS!$G6573&lt;&gt;"EX",0,--(COUNTIFS(nNIA,DATOS!$A6573,nCURSO,DATOS!$D6573,nESPEC,DATOS!$E6573,nASIG,DATOS!$I6573,nEVAL,"OR")=0))</f>
      </c>
      <c r="I6573">
        <f>IF(DATOS!$I6573="","",IFERROR(VLOOKUP(DATOS!$I6573,CONFIG_ASIGNATURAS!$B$2:$J$91,9,FALSE()),""))</f>
      </c>
    </row>
    <row r="6574">
      <c r="F6574">
        <f>IF(DATOS!$A6574="","",DATOS!$A6574&amp;"|"&amp;DATOS!$D6574&amp;"|"&amp;DATOS!$E6574&amp;"|"&amp;DATOS!$I6574)</f>
      </c>
      <c r="G6574">
        <f>IF(DATOS!$A6574="",0,IF(CONFIG_METADATA!$B$4&lt;&gt;"OR+EX",--(DATOS!$G6574=CONFIG_METADATA!$B$4),IF(DATOS!$G6574="EX",1,IF(DATOS!$G6574="OR",--(COUNTIFS(nNIA,DATOS!$A6574,nCURSO,DATOS!$D6574,nESPEC,DATOS!$E6574,nASIG,DATOS!$I6574,nEVAL,"EX")=0),0))))</f>
      </c>
      <c r="H6574">
        <f>IF(DATOS!$G6574&lt;&gt;"EX",0,--(COUNTIFS(nNIA,DATOS!$A6574,nCURSO,DATOS!$D6574,nESPEC,DATOS!$E6574,nASIG,DATOS!$I6574,nEVAL,"OR")=0))</f>
      </c>
      <c r="I6574">
        <f>IF(DATOS!$I6574="","",IFERROR(VLOOKUP(DATOS!$I6574,CONFIG_ASIGNATURAS!$B$2:$J$91,9,FALSE()),""))</f>
      </c>
    </row>
    <row r="6575">
      <c r="F6575">
        <f>IF(DATOS!$A6575="","",DATOS!$A6575&amp;"|"&amp;DATOS!$D6575&amp;"|"&amp;DATOS!$E6575&amp;"|"&amp;DATOS!$I6575)</f>
      </c>
      <c r="G6575">
        <f>IF(DATOS!$A6575="",0,IF(CONFIG_METADATA!$B$4&lt;&gt;"OR+EX",--(DATOS!$G6575=CONFIG_METADATA!$B$4),IF(DATOS!$G6575="EX",1,IF(DATOS!$G6575="OR",--(COUNTIFS(nNIA,DATOS!$A6575,nCURSO,DATOS!$D6575,nESPEC,DATOS!$E6575,nASIG,DATOS!$I6575,nEVAL,"EX")=0),0))))</f>
      </c>
      <c r="H6575">
        <f>IF(DATOS!$G6575&lt;&gt;"EX",0,--(COUNTIFS(nNIA,DATOS!$A6575,nCURSO,DATOS!$D6575,nESPEC,DATOS!$E6575,nASIG,DATOS!$I6575,nEVAL,"OR")=0))</f>
      </c>
      <c r="I6575">
        <f>IF(DATOS!$I6575="","",IFERROR(VLOOKUP(DATOS!$I6575,CONFIG_ASIGNATURAS!$B$2:$J$91,9,FALSE()),""))</f>
      </c>
    </row>
    <row r="6576">
      <c r="F6576">
        <f>IF(DATOS!$A6576="","",DATOS!$A6576&amp;"|"&amp;DATOS!$D6576&amp;"|"&amp;DATOS!$E6576&amp;"|"&amp;DATOS!$I6576)</f>
      </c>
      <c r="G6576">
        <f>IF(DATOS!$A6576="",0,IF(CONFIG_METADATA!$B$4&lt;&gt;"OR+EX",--(DATOS!$G6576=CONFIG_METADATA!$B$4),IF(DATOS!$G6576="EX",1,IF(DATOS!$G6576="OR",--(COUNTIFS(nNIA,DATOS!$A6576,nCURSO,DATOS!$D6576,nESPEC,DATOS!$E6576,nASIG,DATOS!$I6576,nEVAL,"EX")=0),0))))</f>
      </c>
      <c r="H6576">
        <f>IF(DATOS!$G6576&lt;&gt;"EX",0,--(COUNTIFS(nNIA,DATOS!$A6576,nCURSO,DATOS!$D6576,nESPEC,DATOS!$E6576,nASIG,DATOS!$I6576,nEVAL,"OR")=0))</f>
      </c>
      <c r="I6576">
        <f>IF(DATOS!$I6576="","",IFERROR(VLOOKUP(DATOS!$I6576,CONFIG_ASIGNATURAS!$B$2:$J$91,9,FALSE()),""))</f>
      </c>
    </row>
    <row r="6577">
      <c r="F6577">
        <f>IF(DATOS!$A6577="","",DATOS!$A6577&amp;"|"&amp;DATOS!$D6577&amp;"|"&amp;DATOS!$E6577&amp;"|"&amp;DATOS!$I6577)</f>
      </c>
      <c r="G6577">
        <f>IF(DATOS!$A6577="",0,IF(CONFIG_METADATA!$B$4&lt;&gt;"OR+EX",--(DATOS!$G6577=CONFIG_METADATA!$B$4),IF(DATOS!$G6577="EX",1,IF(DATOS!$G6577="OR",--(COUNTIFS(nNIA,DATOS!$A6577,nCURSO,DATOS!$D6577,nESPEC,DATOS!$E6577,nASIG,DATOS!$I6577,nEVAL,"EX")=0),0))))</f>
      </c>
      <c r="H6577">
        <f>IF(DATOS!$G6577&lt;&gt;"EX",0,--(COUNTIFS(nNIA,DATOS!$A6577,nCURSO,DATOS!$D6577,nESPEC,DATOS!$E6577,nASIG,DATOS!$I6577,nEVAL,"OR")=0))</f>
      </c>
      <c r="I6577">
        <f>IF(DATOS!$I6577="","",IFERROR(VLOOKUP(DATOS!$I6577,CONFIG_ASIGNATURAS!$B$2:$J$91,9,FALSE()),""))</f>
      </c>
    </row>
    <row r="6578">
      <c r="F6578">
        <f>IF(DATOS!$A6578="","",DATOS!$A6578&amp;"|"&amp;DATOS!$D6578&amp;"|"&amp;DATOS!$E6578&amp;"|"&amp;DATOS!$I6578)</f>
      </c>
      <c r="G6578">
        <f>IF(DATOS!$A6578="",0,IF(CONFIG_METADATA!$B$4&lt;&gt;"OR+EX",--(DATOS!$G6578=CONFIG_METADATA!$B$4),IF(DATOS!$G6578="EX",1,IF(DATOS!$G6578="OR",--(COUNTIFS(nNIA,DATOS!$A6578,nCURSO,DATOS!$D6578,nESPEC,DATOS!$E6578,nASIG,DATOS!$I6578,nEVAL,"EX")=0),0))))</f>
      </c>
      <c r="H6578">
        <f>IF(DATOS!$G6578&lt;&gt;"EX",0,--(COUNTIFS(nNIA,DATOS!$A6578,nCURSO,DATOS!$D6578,nESPEC,DATOS!$E6578,nASIG,DATOS!$I6578,nEVAL,"OR")=0))</f>
      </c>
      <c r="I6578">
        <f>IF(DATOS!$I6578="","",IFERROR(VLOOKUP(DATOS!$I6578,CONFIG_ASIGNATURAS!$B$2:$J$91,9,FALSE()),""))</f>
      </c>
    </row>
    <row r="6579">
      <c r="F6579">
        <f>IF(DATOS!$A6579="","",DATOS!$A6579&amp;"|"&amp;DATOS!$D6579&amp;"|"&amp;DATOS!$E6579&amp;"|"&amp;DATOS!$I6579)</f>
      </c>
      <c r="G6579">
        <f>IF(DATOS!$A6579="",0,IF(CONFIG_METADATA!$B$4&lt;&gt;"OR+EX",--(DATOS!$G6579=CONFIG_METADATA!$B$4),IF(DATOS!$G6579="EX",1,IF(DATOS!$G6579="OR",--(COUNTIFS(nNIA,DATOS!$A6579,nCURSO,DATOS!$D6579,nESPEC,DATOS!$E6579,nASIG,DATOS!$I6579,nEVAL,"EX")=0),0))))</f>
      </c>
      <c r="H6579">
        <f>IF(DATOS!$G6579&lt;&gt;"EX",0,--(COUNTIFS(nNIA,DATOS!$A6579,nCURSO,DATOS!$D6579,nESPEC,DATOS!$E6579,nASIG,DATOS!$I6579,nEVAL,"OR")=0))</f>
      </c>
      <c r="I6579">
        <f>IF(DATOS!$I6579="","",IFERROR(VLOOKUP(DATOS!$I6579,CONFIG_ASIGNATURAS!$B$2:$J$91,9,FALSE()),""))</f>
      </c>
    </row>
    <row r="6580">
      <c r="F6580">
        <f>IF(DATOS!$A6580="","",DATOS!$A6580&amp;"|"&amp;DATOS!$D6580&amp;"|"&amp;DATOS!$E6580&amp;"|"&amp;DATOS!$I6580)</f>
      </c>
      <c r="G6580">
        <f>IF(DATOS!$A6580="",0,IF(CONFIG_METADATA!$B$4&lt;&gt;"OR+EX",--(DATOS!$G6580=CONFIG_METADATA!$B$4),IF(DATOS!$G6580="EX",1,IF(DATOS!$G6580="OR",--(COUNTIFS(nNIA,DATOS!$A6580,nCURSO,DATOS!$D6580,nESPEC,DATOS!$E6580,nASIG,DATOS!$I6580,nEVAL,"EX")=0),0))))</f>
      </c>
      <c r="H6580">
        <f>IF(DATOS!$G6580&lt;&gt;"EX",0,--(COUNTIFS(nNIA,DATOS!$A6580,nCURSO,DATOS!$D6580,nESPEC,DATOS!$E6580,nASIG,DATOS!$I6580,nEVAL,"OR")=0))</f>
      </c>
      <c r="I6580">
        <f>IF(DATOS!$I6580="","",IFERROR(VLOOKUP(DATOS!$I6580,CONFIG_ASIGNATURAS!$B$2:$J$91,9,FALSE()),""))</f>
      </c>
    </row>
    <row r="6581">
      <c r="F6581">
        <f>IF(DATOS!$A6581="","",DATOS!$A6581&amp;"|"&amp;DATOS!$D6581&amp;"|"&amp;DATOS!$E6581&amp;"|"&amp;DATOS!$I6581)</f>
      </c>
      <c r="G6581">
        <f>IF(DATOS!$A6581="",0,IF(CONFIG_METADATA!$B$4&lt;&gt;"OR+EX",--(DATOS!$G6581=CONFIG_METADATA!$B$4),IF(DATOS!$G6581="EX",1,IF(DATOS!$G6581="OR",--(COUNTIFS(nNIA,DATOS!$A6581,nCURSO,DATOS!$D6581,nESPEC,DATOS!$E6581,nASIG,DATOS!$I6581,nEVAL,"EX")=0),0))))</f>
      </c>
      <c r="H6581">
        <f>IF(DATOS!$G6581&lt;&gt;"EX",0,--(COUNTIFS(nNIA,DATOS!$A6581,nCURSO,DATOS!$D6581,nESPEC,DATOS!$E6581,nASIG,DATOS!$I6581,nEVAL,"OR")=0))</f>
      </c>
      <c r="I6581">
        <f>IF(DATOS!$I6581="","",IFERROR(VLOOKUP(DATOS!$I6581,CONFIG_ASIGNATURAS!$B$2:$J$91,9,FALSE()),""))</f>
      </c>
    </row>
    <row r="6582">
      <c r="F6582">
        <f>IF(DATOS!$A6582="","",DATOS!$A6582&amp;"|"&amp;DATOS!$D6582&amp;"|"&amp;DATOS!$E6582&amp;"|"&amp;DATOS!$I6582)</f>
      </c>
      <c r="G6582">
        <f>IF(DATOS!$A6582="",0,IF(CONFIG_METADATA!$B$4&lt;&gt;"OR+EX",--(DATOS!$G6582=CONFIG_METADATA!$B$4),IF(DATOS!$G6582="EX",1,IF(DATOS!$G6582="OR",--(COUNTIFS(nNIA,DATOS!$A6582,nCURSO,DATOS!$D6582,nESPEC,DATOS!$E6582,nASIG,DATOS!$I6582,nEVAL,"EX")=0),0))))</f>
      </c>
      <c r="H6582">
        <f>IF(DATOS!$G6582&lt;&gt;"EX",0,--(COUNTIFS(nNIA,DATOS!$A6582,nCURSO,DATOS!$D6582,nESPEC,DATOS!$E6582,nASIG,DATOS!$I6582,nEVAL,"OR")=0))</f>
      </c>
      <c r="I6582">
        <f>IF(DATOS!$I6582="","",IFERROR(VLOOKUP(DATOS!$I6582,CONFIG_ASIGNATURAS!$B$2:$J$91,9,FALSE()),""))</f>
      </c>
    </row>
    <row r="6583">
      <c r="F6583">
        <f>IF(DATOS!$A6583="","",DATOS!$A6583&amp;"|"&amp;DATOS!$D6583&amp;"|"&amp;DATOS!$E6583&amp;"|"&amp;DATOS!$I6583)</f>
      </c>
      <c r="G6583">
        <f>IF(DATOS!$A6583="",0,IF(CONFIG_METADATA!$B$4&lt;&gt;"OR+EX",--(DATOS!$G6583=CONFIG_METADATA!$B$4),IF(DATOS!$G6583="EX",1,IF(DATOS!$G6583="OR",--(COUNTIFS(nNIA,DATOS!$A6583,nCURSO,DATOS!$D6583,nESPEC,DATOS!$E6583,nASIG,DATOS!$I6583,nEVAL,"EX")=0),0))))</f>
      </c>
      <c r="H6583">
        <f>IF(DATOS!$G6583&lt;&gt;"EX",0,--(COUNTIFS(nNIA,DATOS!$A6583,nCURSO,DATOS!$D6583,nESPEC,DATOS!$E6583,nASIG,DATOS!$I6583,nEVAL,"OR")=0))</f>
      </c>
      <c r="I6583">
        <f>IF(DATOS!$I6583="","",IFERROR(VLOOKUP(DATOS!$I6583,CONFIG_ASIGNATURAS!$B$2:$J$91,9,FALSE()),""))</f>
      </c>
    </row>
    <row r="6584">
      <c r="F6584">
        <f>IF(DATOS!$A6584="","",DATOS!$A6584&amp;"|"&amp;DATOS!$D6584&amp;"|"&amp;DATOS!$E6584&amp;"|"&amp;DATOS!$I6584)</f>
      </c>
      <c r="G6584">
        <f>IF(DATOS!$A6584="",0,IF(CONFIG_METADATA!$B$4&lt;&gt;"OR+EX",--(DATOS!$G6584=CONFIG_METADATA!$B$4),IF(DATOS!$G6584="EX",1,IF(DATOS!$G6584="OR",--(COUNTIFS(nNIA,DATOS!$A6584,nCURSO,DATOS!$D6584,nESPEC,DATOS!$E6584,nASIG,DATOS!$I6584,nEVAL,"EX")=0),0))))</f>
      </c>
      <c r="H6584">
        <f>IF(DATOS!$G6584&lt;&gt;"EX",0,--(COUNTIFS(nNIA,DATOS!$A6584,nCURSO,DATOS!$D6584,nESPEC,DATOS!$E6584,nASIG,DATOS!$I6584,nEVAL,"OR")=0))</f>
      </c>
      <c r="I6584">
        <f>IF(DATOS!$I6584="","",IFERROR(VLOOKUP(DATOS!$I6584,CONFIG_ASIGNATURAS!$B$2:$J$91,9,FALSE()),""))</f>
      </c>
    </row>
    <row r="6585">
      <c r="F6585">
        <f>IF(DATOS!$A6585="","",DATOS!$A6585&amp;"|"&amp;DATOS!$D6585&amp;"|"&amp;DATOS!$E6585&amp;"|"&amp;DATOS!$I6585)</f>
      </c>
      <c r="G6585">
        <f>IF(DATOS!$A6585="",0,IF(CONFIG_METADATA!$B$4&lt;&gt;"OR+EX",--(DATOS!$G6585=CONFIG_METADATA!$B$4),IF(DATOS!$G6585="EX",1,IF(DATOS!$G6585="OR",--(COUNTIFS(nNIA,DATOS!$A6585,nCURSO,DATOS!$D6585,nESPEC,DATOS!$E6585,nASIG,DATOS!$I6585,nEVAL,"EX")=0),0))))</f>
      </c>
      <c r="H6585">
        <f>IF(DATOS!$G6585&lt;&gt;"EX",0,--(COUNTIFS(nNIA,DATOS!$A6585,nCURSO,DATOS!$D6585,nESPEC,DATOS!$E6585,nASIG,DATOS!$I6585,nEVAL,"OR")=0))</f>
      </c>
      <c r="I6585">
        <f>IF(DATOS!$I6585="","",IFERROR(VLOOKUP(DATOS!$I6585,CONFIG_ASIGNATURAS!$B$2:$J$91,9,FALSE()),""))</f>
      </c>
    </row>
    <row r="6586">
      <c r="F6586">
        <f>IF(DATOS!$A6586="","",DATOS!$A6586&amp;"|"&amp;DATOS!$D6586&amp;"|"&amp;DATOS!$E6586&amp;"|"&amp;DATOS!$I6586)</f>
      </c>
      <c r="G6586">
        <f>IF(DATOS!$A6586="",0,IF(CONFIG_METADATA!$B$4&lt;&gt;"OR+EX",--(DATOS!$G6586=CONFIG_METADATA!$B$4),IF(DATOS!$G6586="EX",1,IF(DATOS!$G6586="OR",--(COUNTIFS(nNIA,DATOS!$A6586,nCURSO,DATOS!$D6586,nESPEC,DATOS!$E6586,nASIG,DATOS!$I6586,nEVAL,"EX")=0),0))))</f>
      </c>
      <c r="H6586">
        <f>IF(DATOS!$G6586&lt;&gt;"EX",0,--(COUNTIFS(nNIA,DATOS!$A6586,nCURSO,DATOS!$D6586,nESPEC,DATOS!$E6586,nASIG,DATOS!$I6586,nEVAL,"OR")=0))</f>
      </c>
      <c r="I6586">
        <f>IF(DATOS!$I6586="","",IFERROR(VLOOKUP(DATOS!$I6586,CONFIG_ASIGNATURAS!$B$2:$J$91,9,FALSE()),""))</f>
      </c>
    </row>
    <row r="6587">
      <c r="F6587">
        <f>IF(DATOS!$A6587="","",DATOS!$A6587&amp;"|"&amp;DATOS!$D6587&amp;"|"&amp;DATOS!$E6587&amp;"|"&amp;DATOS!$I6587)</f>
      </c>
      <c r="G6587">
        <f>IF(DATOS!$A6587="",0,IF(CONFIG_METADATA!$B$4&lt;&gt;"OR+EX",--(DATOS!$G6587=CONFIG_METADATA!$B$4),IF(DATOS!$G6587="EX",1,IF(DATOS!$G6587="OR",--(COUNTIFS(nNIA,DATOS!$A6587,nCURSO,DATOS!$D6587,nESPEC,DATOS!$E6587,nASIG,DATOS!$I6587,nEVAL,"EX")=0),0))))</f>
      </c>
      <c r="H6587">
        <f>IF(DATOS!$G6587&lt;&gt;"EX",0,--(COUNTIFS(nNIA,DATOS!$A6587,nCURSO,DATOS!$D6587,nESPEC,DATOS!$E6587,nASIG,DATOS!$I6587,nEVAL,"OR")=0))</f>
      </c>
      <c r="I6587">
        <f>IF(DATOS!$I6587="","",IFERROR(VLOOKUP(DATOS!$I6587,CONFIG_ASIGNATURAS!$B$2:$J$91,9,FALSE()),""))</f>
      </c>
    </row>
    <row r="6588">
      <c r="F6588">
        <f>IF(DATOS!$A6588="","",DATOS!$A6588&amp;"|"&amp;DATOS!$D6588&amp;"|"&amp;DATOS!$E6588&amp;"|"&amp;DATOS!$I6588)</f>
      </c>
      <c r="G6588">
        <f>IF(DATOS!$A6588="",0,IF(CONFIG_METADATA!$B$4&lt;&gt;"OR+EX",--(DATOS!$G6588=CONFIG_METADATA!$B$4),IF(DATOS!$G6588="EX",1,IF(DATOS!$G6588="OR",--(COUNTIFS(nNIA,DATOS!$A6588,nCURSO,DATOS!$D6588,nESPEC,DATOS!$E6588,nASIG,DATOS!$I6588,nEVAL,"EX")=0),0))))</f>
      </c>
      <c r="H6588">
        <f>IF(DATOS!$G6588&lt;&gt;"EX",0,--(COUNTIFS(nNIA,DATOS!$A6588,nCURSO,DATOS!$D6588,nESPEC,DATOS!$E6588,nASIG,DATOS!$I6588,nEVAL,"OR")=0))</f>
      </c>
      <c r="I6588">
        <f>IF(DATOS!$I6588="","",IFERROR(VLOOKUP(DATOS!$I6588,CONFIG_ASIGNATURAS!$B$2:$J$91,9,FALSE()),""))</f>
      </c>
    </row>
    <row r="6589">
      <c r="F6589">
        <f>IF(DATOS!$A6589="","",DATOS!$A6589&amp;"|"&amp;DATOS!$D6589&amp;"|"&amp;DATOS!$E6589&amp;"|"&amp;DATOS!$I6589)</f>
      </c>
      <c r="G6589">
        <f>IF(DATOS!$A6589="",0,IF(CONFIG_METADATA!$B$4&lt;&gt;"OR+EX",--(DATOS!$G6589=CONFIG_METADATA!$B$4),IF(DATOS!$G6589="EX",1,IF(DATOS!$G6589="OR",--(COUNTIFS(nNIA,DATOS!$A6589,nCURSO,DATOS!$D6589,nESPEC,DATOS!$E6589,nASIG,DATOS!$I6589,nEVAL,"EX")=0),0))))</f>
      </c>
      <c r="H6589">
        <f>IF(DATOS!$G6589&lt;&gt;"EX",0,--(COUNTIFS(nNIA,DATOS!$A6589,nCURSO,DATOS!$D6589,nESPEC,DATOS!$E6589,nASIG,DATOS!$I6589,nEVAL,"OR")=0))</f>
      </c>
      <c r="I6589">
        <f>IF(DATOS!$I6589="","",IFERROR(VLOOKUP(DATOS!$I6589,CONFIG_ASIGNATURAS!$B$2:$J$91,9,FALSE()),""))</f>
      </c>
    </row>
    <row r="6590">
      <c r="F6590">
        <f>IF(DATOS!$A6590="","",DATOS!$A6590&amp;"|"&amp;DATOS!$D6590&amp;"|"&amp;DATOS!$E6590&amp;"|"&amp;DATOS!$I6590)</f>
      </c>
      <c r="G6590">
        <f>IF(DATOS!$A6590="",0,IF(CONFIG_METADATA!$B$4&lt;&gt;"OR+EX",--(DATOS!$G6590=CONFIG_METADATA!$B$4),IF(DATOS!$G6590="EX",1,IF(DATOS!$G6590="OR",--(COUNTIFS(nNIA,DATOS!$A6590,nCURSO,DATOS!$D6590,nESPEC,DATOS!$E6590,nASIG,DATOS!$I6590,nEVAL,"EX")=0),0))))</f>
      </c>
      <c r="H6590">
        <f>IF(DATOS!$G6590&lt;&gt;"EX",0,--(COUNTIFS(nNIA,DATOS!$A6590,nCURSO,DATOS!$D6590,nESPEC,DATOS!$E6590,nASIG,DATOS!$I6590,nEVAL,"OR")=0))</f>
      </c>
      <c r="I6590">
        <f>IF(DATOS!$I6590="","",IFERROR(VLOOKUP(DATOS!$I6590,CONFIG_ASIGNATURAS!$B$2:$J$91,9,FALSE()),""))</f>
      </c>
    </row>
    <row r="6591">
      <c r="F6591">
        <f>IF(DATOS!$A6591="","",DATOS!$A6591&amp;"|"&amp;DATOS!$D6591&amp;"|"&amp;DATOS!$E6591&amp;"|"&amp;DATOS!$I6591)</f>
      </c>
      <c r="G6591">
        <f>IF(DATOS!$A6591="",0,IF(CONFIG_METADATA!$B$4&lt;&gt;"OR+EX",--(DATOS!$G6591=CONFIG_METADATA!$B$4),IF(DATOS!$G6591="EX",1,IF(DATOS!$G6591="OR",--(COUNTIFS(nNIA,DATOS!$A6591,nCURSO,DATOS!$D6591,nESPEC,DATOS!$E6591,nASIG,DATOS!$I6591,nEVAL,"EX")=0),0))))</f>
      </c>
      <c r="H6591">
        <f>IF(DATOS!$G6591&lt;&gt;"EX",0,--(COUNTIFS(nNIA,DATOS!$A6591,nCURSO,DATOS!$D6591,nESPEC,DATOS!$E6591,nASIG,DATOS!$I6591,nEVAL,"OR")=0))</f>
      </c>
      <c r="I6591">
        <f>IF(DATOS!$I6591="","",IFERROR(VLOOKUP(DATOS!$I6591,CONFIG_ASIGNATURAS!$B$2:$J$91,9,FALSE()),""))</f>
      </c>
    </row>
    <row r="6592">
      <c r="F6592">
        <f>IF(DATOS!$A6592="","",DATOS!$A6592&amp;"|"&amp;DATOS!$D6592&amp;"|"&amp;DATOS!$E6592&amp;"|"&amp;DATOS!$I6592)</f>
      </c>
      <c r="G6592">
        <f>IF(DATOS!$A6592="",0,IF(CONFIG_METADATA!$B$4&lt;&gt;"OR+EX",--(DATOS!$G6592=CONFIG_METADATA!$B$4),IF(DATOS!$G6592="EX",1,IF(DATOS!$G6592="OR",--(COUNTIFS(nNIA,DATOS!$A6592,nCURSO,DATOS!$D6592,nESPEC,DATOS!$E6592,nASIG,DATOS!$I6592,nEVAL,"EX")=0),0))))</f>
      </c>
      <c r="H6592">
        <f>IF(DATOS!$G6592&lt;&gt;"EX",0,--(COUNTIFS(nNIA,DATOS!$A6592,nCURSO,DATOS!$D6592,nESPEC,DATOS!$E6592,nASIG,DATOS!$I6592,nEVAL,"OR")=0))</f>
      </c>
      <c r="I6592">
        <f>IF(DATOS!$I6592="","",IFERROR(VLOOKUP(DATOS!$I6592,CONFIG_ASIGNATURAS!$B$2:$J$91,9,FALSE()),""))</f>
      </c>
    </row>
    <row r="6593">
      <c r="F6593">
        <f>IF(DATOS!$A6593="","",DATOS!$A6593&amp;"|"&amp;DATOS!$D6593&amp;"|"&amp;DATOS!$E6593&amp;"|"&amp;DATOS!$I6593)</f>
      </c>
      <c r="G6593">
        <f>IF(DATOS!$A6593="",0,IF(CONFIG_METADATA!$B$4&lt;&gt;"OR+EX",--(DATOS!$G6593=CONFIG_METADATA!$B$4),IF(DATOS!$G6593="EX",1,IF(DATOS!$G6593="OR",--(COUNTIFS(nNIA,DATOS!$A6593,nCURSO,DATOS!$D6593,nESPEC,DATOS!$E6593,nASIG,DATOS!$I6593,nEVAL,"EX")=0),0))))</f>
      </c>
      <c r="H6593">
        <f>IF(DATOS!$G6593&lt;&gt;"EX",0,--(COUNTIFS(nNIA,DATOS!$A6593,nCURSO,DATOS!$D6593,nESPEC,DATOS!$E6593,nASIG,DATOS!$I6593,nEVAL,"OR")=0))</f>
      </c>
      <c r="I6593">
        <f>IF(DATOS!$I6593="","",IFERROR(VLOOKUP(DATOS!$I6593,CONFIG_ASIGNATURAS!$B$2:$J$91,9,FALSE()),""))</f>
      </c>
    </row>
    <row r="6594">
      <c r="F6594">
        <f>IF(DATOS!$A6594="","",DATOS!$A6594&amp;"|"&amp;DATOS!$D6594&amp;"|"&amp;DATOS!$E6594&amp;"|"&amp;DATOS!$I6594)</f>
      </c>
      <c r="G6594">
        <f>IF(DATOS!$A6594="",0,IF(CONFIG_METADATA!$B$4&lt;&gt;"OR+EX",--(DATOS!$G6594=CONFIG_METADATA!$B$4),IF(DATOS!$G6594="EX",1,IF(DATOS!$G6594="OR",--(COUNTIFS(nNIA,DATOS!$A6594,nCURSO,DATOS!$D6594,nESPEC,DATOS!$E6594,nASIG,DATOS!$I6594,nEVAL,"EX")=0),0))))</f>
      </c>
      <c r="H6594">
        <f>IF(DATOS!$G6594&lt;&gt;"EX",0,--(COUNTIFS(nNIA,DATOS!$A6594,nCURSO,DATOS!$D6594,nESPEC,DATOS!$E6594,nASIG,DATOS!$I6594,nEVAL,"OR")=0))</f>
      </c>
      <c r="I6594">
        <f>IF(DATOS!$I6594="","",IFERROR(VLOOKUP(DATOS!$I6594,CONFIG_ASIGNATURAS!$B$2:$J$91,9,FALSE()),""))</f>
      </c>
    </row>
    <row r="6595">
      <c r="F6595">
        <f>IF(DATOS!$A6595="","",DATOS!$A6595&amp;"|"&amp;DATOS!$D6595&amp;"|"&amp;DATOS!$E6595&amp;"|"&amp;DATOS!$I6595)</f>
      </c>
      <c r="G6595">
        <f>IF(DATOS!$A6595="",0,IF(CONFIG_METADATA!$B$4&lt;&gt;"OR+EX",--(DATOS!$G6595=CONFIG_METADATA!$B$4),IF(DATOS!$G6595="EX",1,IF(DATOS!$G6595="OR",--(COUNTIFS(nNIA,DATOS!$A6595,nCURSO,DATOS!$D6595,nESPEC,DATOS!$E6595,nASIG,DATOS!$I6595,nEVAL,"EX")=0),0))))</f>
      </c>
      <c r="H6595">
        <f>IF(DATOS!$G6595&lt;&gt;"EX",0,--(COUNTIFS(nNIA,DATOS!$A6595,nCURSO,DATOS!$D6595,nESPEC,DATOS!$E6595,nASIG,DATOS!$I6595,nEVAL,"OR")=0))</f>
      </c>
      <c r="I6595">
        <f>IF(DATOS!$I6595="","",IFERROR(VLOOKUP(DATOS!$I6595,CONFIG_ASIGNATURAS!$B$2:$J$91,9,FALSE()),""))</f>
      </c>
    </row>
    <row r="6596">
      <c r="F6596">
        <f>IF(DATOS!$A6596="","",DATOS!$A6596&amp;"|"&amp;DATOS!$D6596&amp;"|"&amp;DATOS!$E6596&amp;"|"&amp;DATOS!$I6596)</f>
      </c>
      <c r="G6596">
        <f>IF(DATOS!$A6596="",0,IF(CONFIG_METADATA!$B$4&lt;&gt;"OR+EX",--(DATOS!$G6596=CONFIG_METADATA!$B$4),IF(DATOS!$G6596="EX",1,IF(DATOS!$G6596="OR",--(COUNTIFS(nNIA,DATOS!$A6596,nCURSO,DATOS!$D6596,nESPEC,DATOS!$E6596,nASIG,DATOS!$I6596,nEVAL,"EX")=0),0))))</f>
      </c>
      <c r="H6596">
        <f>IF(DATOS!$G6596&lt;&gt;"EX",0,--(COUNTIFS(nNIA,DATOS!$A6596,nCURSO,DATOS!$D6596,nESPEC,DATOS!$E6596,nASIG,DATOS!$I6596,nEVAL,"OR")=0))</f>
      </c>
      <c r="I6596">
        <f>IF(DATOS!$I6596="","",IFERROR(VLOOKUP(DATOS!$I6596,CONFIG_ASIGNATURAS!$B$2:$J$91,9,FALSE()),""))</f>
      </c>
    </row>
    <row r="6597">
      <c r="F6597">
        <f>IF(DATOS!$A6597="","",DATOS!$A6597&amp;"|"&amp;DATOS!$D6597&amp;"|"&amp;DATOS!$E6597&amp;"|"&amp;DATOS!$I6597)</f>
      </c>
      <c r="G6597">
        <f>IF(DATOS!$A6597="",0,IF(CONFIG_METADATA!$B$4&lt;&gt;"OR+EX",--(DATOS!$G6597=CONFIG_METADATA!$B$4),IF(DATOS!$G6597="EX",1,IF(DATOS!$G6597="OR",--(COUNTIFS(nNIA,DATOS!$A6597,nCURSO,DATOS!$D6597,nESPEC,DATOS!$E6597,nASIG,DATOS!$I6597,nEVAL,"EX")=0),0))))</f>
      </c>
      <c r="H6597">
        <f>IF(DATOS!$G6597&lt;&gt;"EX",0,--(COUNTIFS(nNIA,DATOS!$A6597,nCURSO,DATOS!$D6597,nESPEC,DATOS!$E6597,nASIG,DATOS!$I6597,nEVAL,"OR")=0))</f>
      </c>
      <c r="I6597">
        <f>IF(DATOS!$I6597="","",IFERROR(VLOOKUP(DATOS!$I6597,CONFIG_ASIGNATURAS!$B$2:$J$91,9,FALSE()),""))</f>
      </c>
    </row>
    <row r="6598">
      <c r="F6598">
        <f>IF(DATOS!$A6598="","",DATOS!$A6598&amp;"|"&amp;DATOS!$D6598&amp;"|"&amp;DATOS!$E6598&amp;"|"&amp;DATOS!$I6598)</f>
      </c>
      <c r="G6598">
        <f>IF(DATOS!$A6598="",0,IF(CONFIG_METADATA!$B$4&lt;&gt;"OR+EX",--(DATOS!$G6598=CONFIG_METADATA!$B$4),IF(DATOS!$G6598="EX",1,IF(DATOS!$G6598="OR",--(COUNTIFS(nNIA,DATOS!$A6598,nCURSO,DATOS!$D6598,nESPEC,DATOS!$E6598,nASIG,DATOS!$I6598,nEVAL,"EX")=0),0))))</f>
      </c>
      <c r="H6598">
        <f>IF(DATOS!$G6598&lt;&gt;"EX",0,--(COUNTIFS(nNIA,DATOS!$A6598,nCURSO,DATOS!$D6598,nESPEC,DATOS!$E6598,nASIG,DATOS!$I6598,nEVAL,"OR")=0))</f>
      </c>
      <c r="I6598">
        <f>IF(DATOS!$I6598="","",IFERROR(VLOOKUP(DATOS!$I6598,CONFIG_ASIGNATURAS!$B$2:$J$91,9,FALSE()),""))</f>
      </c>
    </row>
    <row r="6599">
      <c r="F6599">
        <f>IF(DATOS!$A6599="","",DATOS!$A6599&amp;"|"&amp;DATOS!$D6599&amp;"|"&amp;DATOS!$E6599&amp;"|"&amp;DATOS!$I6599)</f>
      </c>
      <c r="G6599">
        <f>IF(DATOS!$A6599="",0,IF(CONFIG_METADATA!$B$4&lt;&gt;"OR+EX",--(DATOS!$G6599=CONFIG_METADATA!$B$4),IF(DATOS!$G6599="EX",1,IF(DATOS!$G6599="OR",--(COUNTIFS(nNIA,DATOS!$A6599,nCURSO,DATOS!$D6599,nESPEC,DATOS!$E6599,nASIG,DATOS!$I6599,nEVAL,"EX")=0),0))))</f>
      </c>
      <c r="H6599">
        <f>IF(DATOS!$G6599&lt;&gt;"EX",0,--(COUNTIFS(nNIA,DATOS!$A6599,nCURSO,DATOS!$D6599,nESPEC,DATOS!$E6599,nASIG,DATOS!$I6599,nEVAL,"OR")=0))</f>
      </c>
      <c r="I6599">
        <f>IF(DATOS!$I6599="","",IFERROR(VLOOKUP(DATOS!$I6599,CONFIG_ASIGNATURAS!$B$2:$J$91,9,FALSE()),""))</f>
      </c>
    </row>
    <row r="6600">
      <c r="F6600">
        <f>IF(DATOS!$A6600="","",DATOS!$A6600&amp;"|"&amp;DATOS!$D6600&amp;"|"&amp;DATOS!$E6600&amp;"|"&amp;DATOS!$I6600)</f>
      </c>
      <c r="G6600">
        <f>IF(DATOS!$A6600="",0,IF(CONFIG_METADATA!$B$4&lt;&gt;"OR+EX",--(DATOS!$G6600=CONFIG_METADATA!$B$4),IF(DATOS!$G6600="EX",1,IF(DATOS!$G6600="OR",--(COUNTIFS(nNIA,DATOS!$A6600,nCURSO,DATOS!$D6600,nESPEC,DATOS!$E6600,nASIG,DATOS!$I6600,nEVAL,"EX")=0),0))))</f>
      </c>
      <c r="H6600">
        <f>IF(DATOS!$G6600&lt;&gt;"EX",0,--(COUNTIFS(nNIA,DATOS!$A6600,nCURSO,DATOS!$D6600,nESPEC,DATOS!$E6600,nASIG,DATOS!$I6600,nEVAL,"OR")=0))</f>
      </c>
      <c r="I6600">
        <f>IF(DATOS!$I6600="","",IFERROR(VLOOKUP(DATOS!$I6600,CONFIG_ASIGNATURAS!$B$2:$J$91,9,FALSE()),""))</f>
      </c>
    </row>
    <row r="6601">
      <c r="F6601">
        <f>IF(DATOS!$A6601="","",DATOS!$A6601&amp;"|"&amp;DATOS!$D6601&amp;"|"&amp;DATOS!$E6601&amp;"|"&amp;DATOS!$I6601)</f>
      </c>
      <c r="G6601">
        <f>IF(DATOS!$A6601="",0,IF(CONFIG_METADATA!$B$4&lt;&gt;"OR+EX",--(DATOS!$G6601=CONFIG_METADATA!$B$4),IF(DATOS!$G6601="EX",1,IF(DATOS!$G6601="OR",--(COUNTIFS(nNIA,DATOS!$A6601,nCURSO,DATOS!$D6601,nESPEC,DATOS!$E6601,nASIG,DATOS!$I6601,nEVAL,"EX")=0),0))))</f>
      </c>
      <c r="H6601">
        <f>IF(DATOS!$G6601&lt;&gt;"EX",0,--(COUNTIFS(nNIA,DATOS!$A6601,nCURSO,DATOS!$D6601,nESPEC,DATOS!$E6601,nASIG,DATOS!$I6601,nEVAL,"OR")=0))</f>
      </c>
      <c r="I6601">
        <f>IF(DATOS!$I6601="","",IFERROR(VLOOKUP(DATOS!$I6601,CONFIG_ASIGNATURAS!$B$2:$J$91,9,FALSE()),""))</f>
      </c>
    </row>
    <row r="6602">
      <c r="F6602">
        <f>IF(DATOS!$A6602="","",DATOS!$A6602&amp;"|"&amp;DATOS!$D6602&amp;"|"&amp;DATOS!$E6602&amp;"|"&amp;DATOS!$I6602)</f>
      </c>
      <c r="G6602">
        <f>IF(DATOS!$A6602="",0,IF(CONFIG_METADATA!$B$4&lt;&gt;"OR+EX",--(DATOS!$G6602=CONFIG_METADATA!$B$4),IF(DATOS!$G6602="EX",1,IF(DATOS!$G6602="OR",--(COUNTIFS(nNIA,DATOS!$A6602,nCURSO,DATOS!$D6602,nESPEC,DATOS!$E6602,nASIG,DATOS!$I6602,nEVAL,"EX")=0),0))))</f>
      </c>
      <c r="H6602">
        <f>IF(DATOS!$G6602&lt;&gt;"EX",0,--(COUNTIFS(nNIA,DATOS!$A6602,nCURSO,DATOS!$D6602,nESPEC,DATOS!$E6602,nASIG,DATOS!$I6602,nEVAL,"OR")=0))</f>
      </c>
      <c r="I6602">
        <f>IF(DATOS!$I6602="","",IFERROR(VLOOKUP(DATOS!$I6602,CONFIG_ASIGNATURAS!$B$2:$J$91,9,FALSE()),""))</f>
      </c>
    </row>
    <row r="6603">
      <c r="F6603">
        <f>IF(DATOS!$A6603="","",DATOS!$A6603&amp;"|"&amp;DATOS!$D6603&amp;"|"&amp;DATOS!$E6603&amp;"|"&amp;DATOS!$I6603)</f>
      </c>
      <c r="G6603">
        <f>IF(DATOS!$A6603="",0,IF(CONFIG_METADATA!$B$4&lt;&gt;"OR+EX",--(DATOS!$G6603=CONFIG_METADATA!$B$4),IF(DATOS!$G6603="EX",1,IF(DATOS!$G6603="OR",--(COUNTIFS(nNIA,DATOS!$A6603,nCURSO,DATOS!$D6603,nESPEC,DATOS!$E6603,nASIG,DATOS!$I6603,nEVAL,"EX")=0),0))))</f>
      </c>
      <c r="H6603">
        <f>IF(DATOS!$G6603&lt;&gt;"EX",0,--(COUNTIFS(nNIA,DATOS!$A6603,nCURSO,DATOS!$D6603,nESPEC,DATOS!$E6603,nASIG,DATOS!$I6603,nEVAL,"OR")=0))</f>
      </c>
      <c r="I6603">
        <f>IF(DATOS!$I6603="","",IFERROR(VLOOKUP(DATOS!$I6603,CONFIG_ASIGNATURAS!$B$2:$J$91,9,FALSE()),""))</f>
      </c>
    </row>
    <row r="6604">
      <c r="F6604">
        <f>IF(DATOS!$A6604="","",DATOS!$A6604&amp;"|"&amp;DATOS!$D6604&amp;"|"&amp;DATOS!$E6604&amp;"|"&amp;DATOS!$I6604)</f>
      </c>
      <c r="G6604">
        <f>IF(DATOS!$A6604="",0,IF(CONFIG_METADATA!$B$4&lt;&gt;"OR+EX",--(DATOS!$G6604=CONFIG_METADATA!$B$4),IF(DATOS!$G6604="EX",1,IF(DATOS!$G6604="OR",--(COUNTIFS(nNIA,DATOS!$A6604,nCURSO,DATOS!$D6604,nESPEC,DATOS!$E6604,nASIG,DATOS!$I6604,nEVAL,"EX")=0),0))))</f>
      </c>
      <c r="H6604">
        <f>IF(DATOS!$G6604&lt;&gt;"EX",0,--(COUNTIFS(nNIA,DATOS!$A6604,nCURSO,DATOS!$D6604,nESPEC,DATOS!$E6604,nASIG,DATOS!$I6604,nEVAL,"OR")=0))</f>
      </c>
      <c r="I6604">
        <f>IF(DATOS!$I6604="","",IFERROR(VLOOKUP(DATOS!$I6604,CONFIG_ASIGNATURAS!$B$2:$J$91,9,FALSE()),""))</f>
      </c>
    </row>
    <row r="6605">
      <c r="F6605">
        <f>IF(DATOS!$A6605="","",DATOS!$A6605&amp;"|"&amp;DATOS!$D6605&amp;"|"&amp;DATOS!$E6605&amp;"|"&amp;DATOS!$I6605)</f>
      </c>
      <c r="G6605">
        <f>IF(DATOS!$A6605="",0,IF(CONFIG_METADATA!$B$4&lt;&gt;"OR+EX",--(DATOS!$G6605=CONFIG_METADATA!$B$4),IF(DATOS!$G6605="EX",1,IF(DATOS!$G6605="OR",--(COUNTIFS(nNIA,DATOS!$A6605,nCURSO,DATOS!$D6605,nESPEC,DATOS!$E6605,nASIG,DATOS!$I6605,nEVAL,"EX")=0),0))))</f>
      </c>
      <c r="H6605">
        <f>IF(DATOS!$G6605&lt;&gt;"EX",0,--(COUNTIFS(nNIA,DATOS!$A6605,nCURSO,DATOS!$D6605,nESPEC,DATOS!$E6605,nASIG,DATOS!$I6605,nEVAL,"OR")=0))</f>
      </c>
      <c r="I6605">
        <f>IF(DATOS!$I6605="","",IFERROR(VLOOKUP(DATOS!$I6605,CONFIG_ASIGNATURAS!$B$2:$J$91,9,FALSE()),""))</f>
      </c>
    </row>
    <row r="6606">
      <c r="F6606">
        <f>IF(DATOS!$A6606="","",DATOS!$A6606&amp;"|"&amp;DATOS!$D6606&amp;"|"&amp;DATOS!$E6606&amp;"|"&amp;DATOS!$I6606)</f>
      </c>
      <c r="G6606">
        <f>IF(DATOS!$A6606="",0,IF(CONFIG_METADATA!$B$4&lt;&gt;"OR+EX",--(DATOS!$G6606=CONFIG_METADATA!$B$4),IF(DATOS!$G6606="EX",1,IF(DATOS!$G6606="OR",--(COUNTIFS(nNIA,DATOS!$A6606,nCURSO,DATOS!$D6606,nESPEC,DATOS!$E6606,nASIG,DATOS!$I6606,nEVAL,"EX")=0),0))))</f>
      </c>
      <c r="H6606">
        <f>IF(DATOS!$G6606&lt;&gt;"EX",0,--(COUNTIFS(nNIA,DATOS!$A6606,nCURSO,DATOS!$D6606,nESPEC,DATOS!$E6606,nASIG,DATOS!$I6606,nEVAL,"OR")=0))</f>
      </c>
      <c r="I6606">
        <f>IF(DATOS!$I6606="","",IFERROR(VLOOKUP(DATOS!$I6606,CONFIG_ASIGNATURAS!$B$2:$J$91,9,FALSE()),""))</f>
      </c>
    </row>
    <row r="6607">
      <c r="F6607">
        <f>IF(DATOS!$A6607="","",DATOS!$A6607&amp;"|"&amp;DATOS!$D6607&amp;"|"&amp;DATOS!$E6607&amp;"|"&amp;DATOS!$I6607)</f>
      </c>
      <c r="G6607">
        <f>IF(DATOS!$A6607="",0,IF(CONFIG_METADATA!$B$4&lt;&gt;"OR+EX",--(DATOS!$G6607=CONFIG_METADATA!$B$4),IF(DATOS!$G6607="EX",1,IF(DATOS!$G6607="OR",--(COUNTIFS(nNIA,DATOS!$A6607,nCURSO,DATOS!$D6607,nESPEC,DATOS!$E6607,nASIG,DATOS!$I6607,nEVAL,"EX")=0),0))))</f>
      </c>
      <c r="H6607">
        <f>IF(DATOS!$G6607&lt;&gt;"EX",0,--(COUNTIFS(nNIA,DATOS!$A6607,nCURSO,DATOS!$D6607,nESPEC,DATOS!$E6607,nASIG,DATOS!$I6607,nEVAL,"OR")=0))</f>
      </c>
      <c r="I6607">
        <f>IF(DATOS!$I6607="","",IFERROR(VLOOKUP(DATOS!$I6607,CONFIG_ASIGNATURAS!$B$2:$J$91,9,FALSE()),""))</f>
      </c>
    </row>
    <row r="6608">
      <c r="F6608">
        <f>IF(DATOS!$A6608="","",DATOS!$A6608&amp;"|"&amp;DATOS!$D6608&amp;"|"&amp;DATOS!$E6608&amp;"|"&amp;DATOS!$I6608)</f>
      </c>
      <c r="G6608">
        <f>IF(DATOS!$A6608="",0,IF(CONFIG_METADATA!$B$4&lt;&gt;"OR+EX",--(DATOS!$G6608=CONFIG_METADATA!$B$4),IF(DATOS!$G6608="EX",1,IF(DATOS!$G6608="OR",--(COUNTIFS(nNIA,DATOS!$A6608,nCURSO,DATOS!$D6608,nESPEC,DATOS!$E6608,nASIG,DATOS!$I6608,nEVAL,"EX")=0),0))))</f>
      </c>
      <c r="H6608">
        <f>IF(DATOS!$G6608&lt;&gt;"EX",0,--(COUNTIFS(nNIA,DATOS!$A6608,nCURSO,DATOS!$D6608,nESPEC,DATOS!$E6608,nASIG,DATOS!$I6608,nEVAL,"OR")=0))</f>
      </c>
      <c r="I6608">
        <f>IF(DATOS!$I6608="","",IFERROR(VLOOKUP(DATOS!$I6608,CONFIG_ASIGNATURAS!$B$2:$J$91,9,FALSE()),""))</f>
      </c>
    </row>
    <row r="6609">
      <c r="F6609">
        <f>IF(DATOS!$A6609="","",DATOS!$A6609&amp;"|"&amp;DATOS!$D6609&amp;"|"&amp;DATOS!$E6609&amp;"|"&amp;DATOS!$I6609)</f>
      </c>
      <c r="G6609">
        <f>IF(DATOS!$A6609="",0,IF(CONFIG_METADATA!$B$4&lt;&gt;"OR+EX",--(DATOS!$G6609=CONFIG_METADATA!$B$4),IF(DATOS!$G6609="EX",1,IF(DATOS!$G6609="OR",--(COUNTIFS(nNIA,DATOS!$A6609,nCURSO,DATOS!$D6609,nESPEC,DATOS!$E6609,nASIG,DATOS!$I6609,nEVAL,"EX")=0),0))))</f>
      </c>
      <c r="H6609">
        <f>IF(DATOS!$G6609&lt;&gt;"EX",0,--(COUNTIFS(nNIA,DATOS!$A6609,nCURSO,DATOS!$D6609,nESPEC,DATOS!$E6609,nASIG,DATOS!$I6609,nEVAL,"OR")=0))</f>
      </c>
      <c r="I6609">
        <f>IF(DATOS!$I6609="","",IFERROR(VLOOKUP(DATOS!$I6609,CONFIG_ASIGNATURAS!$B$2:$J$91,9,FALSE()),""))</f>
      </c>
    </row>
    <row r="6610">
      <c r="F6610">
        <f>IF(DATOS!$A6610="","",DATOS!$A6610&amp;"|"&amp;DATOS!$D6610&amp;"|"&amp;DATOS!$E6610&amp;"|"&amp;DATOS!$I6610)</f>
      </c>
      <c r="G6610">
        <f>IF(DATOS!$A6610="",0,IF(CONFIG_METADATA!$B$4&lt;&gt;"OR+EX",--(DATOS!$G6610=CONFIG_METADATA!$B$4),IF(DATOS!$G6610="EX",1,IF(DATOS!$G6610="OR",--(COUNTIFS(nNIA,DATOS!$A6610,nCURSO,DATOS!$D6610,nESPEC,DATOS!$E6610,nASIG,DATOS!$I6610,nEVAL,"EX")=0),0))))</f>
      </c>
      <c r="H6610">
        <f>IF(DATOS!$G6610&lt;&gt;"EX",0,--(COUNTIFS(nNIA,DATOS!$A6610,nCURSO,DATOS!$D6610,nESPEC,DATOS!$E6610,nASIG,DATOS!$I6610,nEVAL,"OR")=0))</f>
      </c>
      <c r="I6610">
        <f>IF(DATOS!$I6610="","",IFERROR(VLOOKUP(DATOS!$I6610,CONFIG_ASIGNATURAS!$B$2:$J$91,9,FALSE()),""))</f>
      </c>
    </row>
    <row r="6611">
      <c r="F6611">
        <f>IF(DATOS!$A6611="","",DATOS!$A6611&amp;"|"&amp;DATOS!$D6611&amp;"|"&amp;DATOS!$E6611&amp;"|"&amp;DATOS!$I6611)</f>
      </c>
      <c r="G6611">
        <f>IF(DATOS!$A6611="",0,IF(CONFIG_METADATA!$B$4&lt;&gt;"OR+EX",--(DATOS!$G6611=CONFIG_METADATA!$B$4),IF(DATOS!$G6611="EX",1,IF(DATOS!$G6611="OR",--(COUNTIFS(nNIA,DATOS!$A6611,nCURSO,DATOS!$D6611,nESPEC,DATOS!$E6611,nASIG,DATOS!$I6611,nEVAL,"EX")=0),0))))</f>
      </c>
      <c r="H6611">
        <f>IF(DATOS!$G6611&lt;&gt;"EX",0,--(COUNTIFS(nNIA,DATOS!$A6611,nCURSO,DATOS!$D6611,nESPEC,DATOS!$E6611,nASIG,DATOS!$I6611,nEVAL,"OR")=0))</f>
      </c>
      <c r="I6611">
        <f>IF(DATOS!$I6611="","",IFERROR(VLOOKUP(DATOS!$I6611,CONFIG_ASIGNATURAS!$B$2:$J$91,9,FALSE()),""))</f>
      </c>
    </row>
    <row r="6612">
      <c r="F6612">
        <f>IF(DATOS!$A6612="","",DATOS!$A6612&amp;"|"&amp;DATOS!$D6612&amp;"|"&amp;DATOS!$E6612&amp;"|"&amp;DATOS!$I6612)</f>
      </c>
      <c r="G6612">
        <f>IF(DATOS!$A6612="",0,IF(CONFIG_METADATA!$B$4&lt;&gt;"OR+EX",--(DATOS!$G6612=CONFIG_METADATA!$B$4),IF(DATOS!$G6612="EX",1,IF(DATOS!$G6612="OR",--(COUNTIFS(nNIA,DATOS!$A6612,nCURSO,DATOS!$D6612,nESPEC,DATOS!$E6612,nASIG,DATOS!$I6612,nEVAL,"EX")=0),0))))</f>
      </c>
      <c r="H6612">
        <f>IF(DATOS!$G6612&lt;&gt;"EX",0,--(COUNTIFS(nNIA,DATOS!$A6612,nCURSO,DATOS!$D6612,nESPEC,DATOS!$E6612,nASIG,DATOS!$I6612,nEVAL,"OR")=0))</f>
      </c>
      <c r="I6612">
        <f>IF(DATOS!$I6612="","",IFERROR(VLOOKUP(DATOS!$I6612,CONFIG_ASIGNATURAS!$B$2:$J$91,9,FALSE()),""))</f>
      </c>
    </row>
    <row r="6613">
      <c r="F6613">
        <f>IF(DATOS!$A6613="","",DATOS!$A6613&amp;"|"&amp;DATOS!$D6613&amp;"|"&amp;DATOS!$E6613&amp;"|"&amp;DATOS!$I6613)</f>
      </c>
      <c r="G6613">
        <f>IF(DATOS!$A6613="",0,IF(CONFIG_METADATA!$B$4&lt;&gt;"OR+EX",--(DATOS!$G6613=CONFIG_METADATA!$B$4),IF(DATOS!$G6613="EX",1,IF(DATOS!$G6613="OR",--(COUNTIFS(nNIA,DATOS!$A6613,nCURSO,DATOS!$D6613,nESPEC,DATOS!$E6613,nASIG,DATOS!$I6613,nEVAL,"EX")=0),0))))</f>
      </c>
      <c r="H6613">
        <f>IF(DATOS!$G6613&lt;&gt;"EX",0,--(COUNTIFS(nNIA,DATOS!$A6613,nCURSO,DATOS!$D6613,nESPEC,DATOS!$E6613,nASIG,DATOS!$I6613,nEVAL,"OR")=0))</f>
      </c>
      <c r="I6613">
        <f>IF(DATOS!$I6613="","",IFERROR(VLOOKUP(DATOS!$I6613,CONFIG_ASIGNATURAS!$B$2:$J$91,9,FALSE()),""))</f>
      </c>
    </row>
    <row r="6614">
      <c r="F6614">
        <f>IF(DATOS!$A6614="","",DATOS!$A6614&amp;"|"&amp;DATOS!$D6614&amp;"|"&amp;DATOS!$E6614&amp;"|"&amp;DATOS!$I6614)</f>
      </c>
      <c r="G6614">
        <f>IF(DATOS!$A6614="",0,IF(CONFIG_METADATA!$B$4&lt;&gt;"OR+EX",--(DATOS!$G6614=CONFIG_METADATA!$B$4),IF(DATOS!$G6614="EX",1,IF(DATOS!$G6614="OR",--(COUNTIFS(nNIA,DATOS!$A6614,nCURSO,DATOS!$D6614,nESPEC,DATOS!$E6614,nASIG,DATOS!$I6614,nEVAL,"EX")=0),0))))</f>
      </c>
      <c r="H6614">
        <f>IF(DATOS!$G6614&lt;&gt;"EX",0,--(COUNTIFS(nNIA,DATOS!$A6614,nCURSO,DATOS!$D6614,nESPEC,DATOS!$E6614,nASIG,DATOS!$I6614,nEVAL,"OR")=0))</f>
      </c>
      <c r="I6614">
        <f>IF(DATOS!$I6614="","",IFERROR(VLOOKUP(DATOS!$I6614,CONFIG_ASIGNATURAS!$B$2:$J$91,9,FALSE()),""))</f>
      </c>
    </row>
    <row r="6615">
      <c r="F6615">
        <f>IF(DATOS!$A6615="","",DATOS!$A6615&amp;"|"&amp;DATOS!$D6615&amp;"|"&amp;DATOS!$E6615&amp;"|"&amp;DATOS!$I6615)</f>
      </c>
      <c r="G6615">
        <f>IF(DATOS!$A6615="",0,IF(CONFIG_METADATA!$B$4&lt;&gt;"OR+EX",--(DATOS!$G6615=CONFIG_METADATA!$B$4),IF(DATOS!$G6615="EX",1,IF(DATOS!$G6615="OR",--(COUNTIFS(nNIA,DATOS!$A6615,nCURSO,DATOS!$D6615,nESPEC,DATOS!$E6615,nASIG,DATOS!$I6615,nEVAL,"EX")=0),0))))</f>
      </c>
      <c r="H6615">
        <f>IF(DATOS!$G6615&lt;&gt;"EX",0,--(COUNTIFS(nNIA,DATOS!$A6615,nCURSO,DATOS!$D6615,nESPEC,DATOS!$E6615,nASIG,DATOS!$I6615,nEVAL,"OR")=0))</f>
      </c>
      <c r="I6615">
        <f>IF(DATOS!$I6615="","",IFERROR(VLOOKUP(DATOS!$I6615,CONFIG_ASIGNATURAS!$B$2:$J$91,9,FALSE()),""))</f>
      </c>
    </row>
    <row r="6616">
      <c r="F6616">
        <f>IF(DATOS!$A6616="","",DATOS!$A6616&amp;"|"&amp;DATOS!$D6616&amp;"|"&amp;DATOS!$E6616&amp;"|"&amp;DATOS!$I6616)</f>
      </c>
      <c r="G6616">
        <f>IF(DATOS!$A6616="",0,IF(CONFIG_METADATA!$B$4&lt;&gt;"OR+EX",--(DATOS!$G6616=CONFIG_METADATA!$B$4),IF(DATOS!$G6616="EX",1,IF(DATOS!$G6616="OR",--(COUNTIFS(nNIA,DATOS!$A6616,nCURSO,DATOS!$D6616,nESPEC,DATOS!$E6616,nASIG,DATOS!$I6616,nEVAL,"EX")=0),0))))</f>
      </c>
      <c r="H6616">
        <f>IF(DATOS!$G6616&lt;&gt;"EX",0,--(COUNTIFS(nNIA,DATOS!$A6616,nCURSO,DATOS!$D6616,nESPEC,DATOS!$E6616,nASIG,DATOS!$I6616,nEVAL,"OR")=0))</f>
      </c>
      <c r="I6616">
        <f>IF(DATOS!$I6616="","",IFERROR(VLOOKUP(DATOS!$I6616,CONFIG_ASIGNATURAS!$B$2:$J$91,9,FALSE()),""))</f>
      </c>
    </row>
    <row r="6617">
      <c r="F6617">
        <f>IF(DATOS!$A6617="","",DATOS!$A6617&amp;"|"&amp;DATOS!$D6617&amp;"|"&amp;DATOS!$E6617&amp;"|"&amp;DATOS!$I6617)</f>
      </c>
      <c r="G6617">
        <f>IF(DATOS!$A6617="",0,IF(CONFIG_METADATA!$B$4&lt;&gt;"OR+EX",--(DATOS!$G6617=CONFIG_METADATA!$B$4),IF(DATOS!$G6617="EX",1,IF(DATOS!$G6617="OR",--(COUNTIFS(nNIA,DATOS!$A6617,nCURSO,DATOS!$D6617,nESPEC,DATOS!$E6617,nASIG,DATOS!$I6617,nEVAL,"EX")=0),0))))</f>
      </c>
      <c r="H6617">
        <f>IF(DATOS!$G6617&lt;&gt;"EX",0,--(COUNTIFS(nNIA,DATOS!$A6617,nCURSO,DATOS!$D6617,nESPEC,DATOS!$E6617,nASIG,DATOS!$I6617,nEVAL,"OR")=0))</f>
      </c>
      <c r="I6617">
        <f>IF(DATOS!$I6617="","",IFERROR(VLOOKUP(DATOS!$I6617,CONFIG_ASIGNATURAS!$B$2:$J$91,9,FALSE()),""))</f>
      </c>
    </row>
    <row r="6618">
      <c r="F6618">
        <f>IF(DATOS!$A6618="","",DATOS!$A6618&amp;"|"&amp;DATOS!$D6618&amp;"|"&amp;DATOS!$E6618&amp;"|"&amp;DATOS!$I6618)</f>
      </c>
      <c r="G6618">
        <f>IF(DATOS!$A6618="",0,IF(CONFIG_METADATA!$B$4&lt;&gt;"OR+EX",--(DATOS!$G6618=CONFIG_METADATA!$B$4),IF(DATOS!$G6618="EX",1,IF(DATOS!$G6618="OR",--(COUNTIFS(nNIA,DATOS!$A6618,nCURSO,DATOS!$D6618,nESPEC,DATOS!$E6618,nASIG,DATOS!$I6618,nEVAL,"EX")=0),0))))</f>
      </c>
      <c r="H6618">
        <f>IF(DATOS!$G6618&lt;&gt;"EX",0,--(COUNTIFS(nNIA,DATOS!$A6618,nCURSO,DATOS!$D6618,nESPEC,DATOS!$E6618,nASIG,DATOS!$I6618,nEVAL,"OR")=0))</f>
      </c>
      <c r="I6618">
        <f>IF(DATOS!$I6618="","",IFERROR(VLOOKUP(DATOS!$I6618,CONFIG_ASIGNATURAS!$B$2:$J$91,9,FALSE()),""))</f>
      </c>
    </row>
    <row r="6619">
      <c r="F6619">
        <f>IF(DATOS!$A6619="","",DATOS!$A6619&amp;"|"&amp;DATOS!$D6619&amp;"|"&amp;DATOS!$E6619&amp;"|"&amp;DATOS!$I6619)</f>
      </c>
      <c r="G6619">
        <f>IF(DATOS!$A6619="",0,IF(CONFIG_METADATA!$B$4&lt;&gt;"OR+EX",--(DATOS!$G6619=CONFIG_METADATA!$B$4),IF(DATOS!$G6619="EX",1,IF(DATOS!$G6619="OR",--(COUNTIFS(nNIA,DATOS!$A6619,nCURSO,DATOS!$D6619,nESPEC,DATOS!$E6619,nASIG,DATOS!$I6619,nEVAL,"EX")=0),0))))</f>
      </c>
      <c r="H6619">
        <f>IF(DATOS!$G6619&lt;&gt;"EX",0,--(COUNTIFS(nNIA,DATOS!$A6619,nCURSO,DATOS!$D6619,nESPEC,DATOS!$E6619,nASIG,DATOS!$I6619,nEVAL,"OR")=0))</f>
      </c>
      <c r="I6619">
        <f>IF(DATOS!$I6619="","",IFERROR(VLOOKUP(DATOS!$I6619,CONFIG_ASIGNATURAS!$B$2:$J$91,9,FALSE()),""))</f>
      </c>
    </row>
    <row r="6620">
      <c r="F6620">
        <f>IF(DATOS!$A6620="","",DATOS!$A6620&amp;"|"&amp;DATOS!$D6620&amp;"|"&amp;DATOS!$E6620&amp;"|"&amp;DATOS!$I6620)</f>
      </c>
      <c r="G6620">
        <f>IF(DATOS!$A6620="",0,IF(CONFIG_METADATA!$B$4&lt;&gt;"OR+EX",--(DATOS!$G6620=CONFIG_METADATA!$B$4),IF(DATOS!$G6620="EX",1,IF(DATOS!$G6620="OR",--(COUNTIFS(nNIA,DATOS!$A6620,nCURSO,DATOS!$D6620,nESPEC,DATOS!$E6620,nASIG,DATOS!$I6620,nEVAL,"EX")=0),0))))</f>
      </c>
      <c r="H6620">
        <f>IF(DATOS!$G6620&lt;&gt;"EX",0,--(COUNTIFS(nNIA,DATOS!$A6620,nCURSO,DATOS!$D6620,nESPEC,DATOS!$E6620,nASIG,DATOS!$I6620,nEVAL,"OR")=0))</f>
      </c>
      <c r="I6620">
        <f>IF(DATOS!$I6620="","",IFERROR(VLOOKUP(DATOS!$I6620,CONFIG_ASIGNATURAS!$B$2:$J$91,9,FALSE()),""))</f>
      </c>
    </row>
    <row r="6621">
      <c r="F6621">
        <f>IF(DATOS!$A6621="","",DATOS!$A6621&amp;"|"&amp;DATOS!$D6621&amp;"|"&amp;DATOS!$E6621&amp;"|"&amp;DATOS!$I6621)</f>
      </c>
      <c r="G6621">
        <f>IF(DATOS!$A6621="",0,IF(CONFIG_METADATA!$B$4&lt;&gt;"OR+EX",--(DATOS!$G6621=CONFIG_METADATA!$B$4),IF(DATOS!$G6621="EX",1,IF(DATOS!$G6621="OR",--(COUNTIFS(nNIA,DATOS!$A6621,nCURSO,DATOS!$D6621,nESPEC,DATOS!$E6621,nASIG,DATOS!$I6621,nEVAL,"EX")=0),0))))</f>
      </c>
      <c r="H6621">
        <f>IF(DATOS!$G6621&lt;&gt;"EX",0,--(COUNTIFS(nNIA,DATOS!$A6621,nCURSO,DATOS!$D6621,nESPEC,DATOS!$E6621,nASIG,DATOS!$I6621,nEVAL,"OR")=0))</f>
      </c>
      <c r="I6621">
        <f>IF(DATOS!$I6621="","",IFERROR(VLOOKUP(DATOS!$I6621,CONFIG_ASIGNATURAS!$B$2:$J$91,9,FALSE()),""))</f>
      </c>
    </row>
    <row r="6622">
      <c r="F6622">
        <f>IF(DATOS!$A6622="","",DATOS!$A6622&amp;"|"&amp;DATOS!$D6622&amp;"|"&amp;DATOS!$E6622&amp;"|"&amp;DATOS!$I6622)</f>
      </c>
      <c r="G6622">
        <f>IF(DATOS!$A6622="",0,IF(CONFIG_METADATA!$B$4&lt;&gt;"OR+EX",--(DATOS!$G6622=CONFIG_METADATA!$B$4),IF(DATOS!$G6622="EX",1,IF(DATOS!$G6622="OR",--(COUNTIFS(nNIA,DATOS!$A6622,nCURSO,DATOS!$D6622,nESPEC,DATOS!$E6622,nASIG,DATOS!$I6622,nEVAL,"EX")=0),0))))</f>
      </c>
      <c r="H6622">
        <f>IF(DATOS!$G6622&lt;&gt;"EX",0,--(COUNTIFS(nNIA,DATOS!$A6622,nCURSO,DATOS!$D6622,nESPEC,DATOS!$E6622,nASIG,DATOS!$I6622,nEVAL,"OR")=0))</f>
      </c>
      <c r="I6622">
        <f>IF(DATOS!$I6622="","",IFERROR(VLOOKUP(DATOS!$I6622,CONFIG_ASIGNATURAS!$B$2:$J$91,9,FALSE()),""))</f>
      </c>
    </row>
    <row r="6623">
      <c r="F6623">
        <f>IF(DATOS!$A6623="","",DATOS!$A6623&amp;"|"&amp;DATOS!$D6623&amp;"|"&amp;DATOS!$E6623&amp;"|"&amp;DATOS!$I6623)</f>
      </c>
      <c r="G6623">
        <f>IF(DATOS!$A6623="",0,IF(CONFIG_METADATA!$B$4&lt;&gt;"OR+EX",--(DATOS!$G6623=CONFIG_METADATA!$B$4),IF(DATOS!$G6623="EX",1,IF(DATOS!$G6623="OR",--(COUNTIFS(nNIA,DATOS!$A6623,nCURSO,DATOS!$D6623,nESPEC,DATOS!$E6623,nASIG,DATOS!$I6623,nEVAL,"EX")=0),0))))</f>
      </c>
      <c r="H6623">
        <f>IF(DATOS!$G6623&lt;&gt;"EX",0,--(COUNTIFS(nNIA,DATOS!$A6623,nCURSO,DATOS!$D6623,nESPEC,DATOS!$E6623,nASIG,DATOS!$I6623,nEVAL,"OR")=0))</f>
      </c>
      <c r="I6623">
        <f>IF(DATOS!$I6623="","",IFERROR(VLOOKUP(DATOS!$I6623,CONFIG_ASIGNATURAS!$B$2:$J$91,9,FALSE()),""))</f>
      </c>
    </row>
    <row r="6624">
      <c r="F6624">
        <f>IF(DATOS!$A6624="","",DATOS!$A6624&amp;"|"&amp;DATOS!$D6624&amp;"|"&amp;DATOS!$E6624&amp;"|"&amp;DATOS!$I6624)</f>
      </c>
      <c r="G6624">
        <f>IF(DATOS!$A6624="",0,IF(CONFIG_METADATA!$B$4&lt;&gt;"OR+EX",--(DATOS!$G6624=CONFIG_METADATA!$B$4),IF(DATOS!$G6624="EX",1,IF(DATOS!$G6624="OR",--(COUNTIFS(nNIA,DATOS!$A6624,nCURSO,DATOS!$D6624,nESPEC,DATOS!$E6624,nASIG,DATOS!$I6624,nEVAL,"EX")=0),0))))</f>
      </c>
      <c r="H6624">
        <f>IF(DATOS!$G6624&lt;&gt;"EX",0,--(COUNTIFS(nNIA,DATOS!$A6624,nCURSO,DATOS!$D6624,nESPEC,DATOS!$E6624,nASIG,DATOS!$I6624,nEVAL,"OR")=0))</f>
      </c>
      <c r="I6624">
        <f>IF(DATOS!$I6624="","",IFERROR(VLOOKUP(DATOS!$I6624,CONFIG_ASIGNATURAS!$B$2:$J$91,9,FALSE()),""))</f>
      </c>
    </row>
    <row r="6625">
      <c r="F6625">
        <f>IF(DATOS!$A6625="","",DATOS!$A6625&amp;"|"&amp;DATOS!$D6625&amp;"|"&amp;DATOS!$E6625&amp;"|"&amp;DATOS!$I6625)</f>
      </c>
      <c r="G6625">
        <f>IF(DATOS!$A6625="",0,IF(CONFIG_METADATA!$B$4&lt;&gt;"OR+EX",--(DATOS!$G6625=CONFIG_METADATA!$B$4),IF(DATOS!$G6625="EX",1,IF(DATOS!$G6625="OR",--(COUNTIFS(nNIA,DATOS!$A6625,nCURSO,DATOS!$D6625,nESPEC,DATOS!$E6625,nASIG,DATOS!$I6625,nEVAL,"EX")=0),0))))</f>
      </c>
      <c r="H6625">
        <f>IF(DATOS!$G6625&lt;&gt;"EX",0,--(COUNTIFS(nNIA,DATOS!$A6625,nCURSO,DATOS!$D6625,nESPEC,DATOS!$E6625,nASIG,DATOS!$I6625,nEVAL,"OR")=0))</f>
      </c>
      <c r="I6625">
        <f>IF(DATOS!$I6625="","",IFERROR(VLOOKUP(DATOS!$I6625,CONFIG_ASIGNATURAS!$B$2:$J$91,9,FALSE()),""))</f>
      </c>
    </row>
    <row r="6626">
      <c r="F6626">
        <f>IF(DATOS!$A6626="","",DATOS!$A6626&amp;"|"&amp;DATOS!$D6626&amp;"|"&amp;DATOS!$E6626&amp;"|"&amp;DATOS!$I6626)</f>
      </c>
      <c r="G6626">
        <f>IF(DATOS!$A6626="",0,IF(CONFIG_METADATA!$B$4&lt;&gt;"OR+EX",--(DATOS!$G6626=CONFIG_METADATA!$B$4),IF(DATOS!$G6626="EX",1,IF(DATOS!$G6626="OR",--(COUNTIFS(nNIA,DATOS!$A6626,nCURSO,DATOS!$D6626,nESPEC,DATOS!$E6626,nASIG,DATOS!$I6626,nEVAL,"EX")=0),0))))</f>
      </c>
      <c r="H6626">
        <f>IF(DATOS!$G6626&lt;&gt;"EX",0,--(COUNTIFS(nNIA,DATOS!$A6626,nCURSO,DATOS!$D6626,nESPEC,DATOS!$E6626,nASIG,DATOS!$I6626,nEVAL,"OR")=0))</f>
      </c>
      <c r="I6626">
        <f>IF(DATOS!$I6626="","",IFERROR(VLOOKUP(DATOS!$I6626,CONFIG_ASIGNATURAS!$B$2:$J$91,9,FALSE()),""))</f>
      </c>
    </row>
    <row r="6627">
      <c r="F6627">
        <f>IF(DATOS!$A6627="","",DATOS!$A6627&amp;"|"&amp;DATOS!$D6627&amp;"|"&amp;DATOS!$E6627&amp;"|"&amp;DATOS!$I6627)</f>
      </c>
      <c r="G6627">
        <f>IF(DATOS!$A6627="",0,IF(CONFIG_METADATA!$B$4&lt;&gt;"OR+EX",--(DATOS!$G6627=CONFIG_METADATA!$B$4),IF(DATOS!$G6627="EX",1,IF(DATOS!$G6627="OR",--(COUNTIFS(nNIA,DATOS!$A6627,nCURSO,DATOS!$D6627,nESPEC,DATOS!$E6627,nASIG,DATOS!$I6627,nEVAL,"EX")=0),0))))</f>
      </c>
      <c r="H6627">
        <f>IF(DATOS!$G6627&lt;&gt;"EX",0,--(COUNTIFS(nNIA,DATOS!$A6627,nCURSO,DATOS!$D6627,nESPEC,DATOS!$E6627,nASIG,DATOS!$I6627,nEVAL,"OR")=0))</f>
      </c>
      <c r="I6627">
        <f>IF(DATOS!$I6627="","",IFERROR(VLOOKUP(DATOS!$I6627,CONFIG_ASIGNATURAS!$B$2:$J$91,9,FALSE()),""))</f>
      </c>
    </row>
    <row r="6628">
      <c r="F6628">
        <f>IF(DATOS!$A6628="","",DATOS!$A6628&amp;"|"&amp;DATOS!$D6628&amp;"|"&amp;DATOS!$E6628&amp;"|"&amp;DATOS!$I6628)</f>
      </c>
      <c r="G6628">
        <f>IF(DATOS!$A6628="",0,IF(CONFIG_METADATA!$B$4&lt;&gt;"OR+EX",--(DATOS!$G6628=CONFIG_METADATA!$B$4),IF(DATOS!$G6628="EX",1,IF(DATOS!$G6628="OR",--(COUNTIFS(nNIA,DATOS!$A6628,nCURSO,DATOS!$D6628,nESPEC,DATOS!$E6628,nASIG,DATOS!$I6628,nEVAL,"EX")=0),0))))</f>
      </c>
      <c r="H6628">
        <f>IF(DATOS!$G6628&lt;&gt;"EX",0,--(COUNTIFS(nNIA,DATOS!$A6628,nCURSO,DATOS!$D6628,nESPEC,DATOS!$E6628,nASIG,DATOS!$I6628,nEVAL,"OR")=0))</f>
      </c>
      <c r="I6628">
        <f>IF(DATOS!$I6628="","",IFERROR(VLOOKUP(DATOS!$I6628,CONFIG_ASIGNATURAS!$B$2:$J$91,9,FALSE()),""))</f>
      </c>
    </row>
    <row r="6629">
      <c r="F6629">
        <f>IF(DATOS!$A6629="","",DATOS!$A6629&amp;"|"&amp;DATOS!$D6629&amp;"|"&amp;DATOS!$E6629&amp;"|"&amp;DATOS!$I6629)</f>
      </c>
      <c r="G6629">
        <f>IF(DATOS!$A6629="",0,IF(CONFIG_METADATA!$B$4&lt;&gt;"OR+EX",--(DATOS!$G6629=CONFIG_METADATA!$B$4),IF(DATOS!$G6629="EX",1,IF(DATOS!$G6629="OR",--(COUNTIFS(nNIA,DATOS!$A6629,nCURSO,DATOS!$D6629,nESPEC,DATOS!$E6629,nASIG,DATOS!$I6629,nEVAL,"EX")=0),0))))</f>
      </c>
      <c r="H6629">
        <f>IF(DATOS!$G6629&lt;&gt;"EX",0,--(COUNTIFS(nNIA,DATOS!$A6629,nCURSO,DATOS!$D6629,nESPEC,DATOS!$E6629,nASIG,DATOS!$I6629,nEVAL,"OR")=0))</f>
      </c>
      <c r="I6629">
        <f>IF(DATOS!$I6629="","",IFERROR(VLOOKUP(DATOS!$I6629,CONFIG_ASIGNATURAS!$B$2:$J$91,9,FALSE()),""))</f>
      </c>
    </row>
    <row r="6630">
      <c r="F6630">
        <f>IF(DATOS!$A6630="","",DATOS!$A6630&amp;"|"&amp;DATOS!$D6630&amp;"|"&amp;DATOS!$E6630&amp;"|"&amp;DATOS!$I6630)</f>
      </c>
      <c r="G6630">
        <f>IF(DATOS!$A6630="",0,IF(CONFIG_METADATA!$B$4&lt;&gt;"OR+EX",--(DATOS!$G6630=CONFIG_METADATA!$B$4),IF(DATOS!$G6630="EX",1,IF(DATOS!$G6630="OR",--(COUNTIFS(nNIA,DATOS!$A6630,nCURSO,DATOS!$D6630,nESPEC,DATOS!$E6630,nASIG,DATOS!$I6630,nEVAL,"EX")=0),0))))</f>
      </c>
      <c r="H6630">
        <f>IF(DATOS!$G6630&lt;&gt;"EX",0,--(COUNTIFS(nNIA,DATOS!$A6630,nCURSO,DATOS!$D6630,nESPEC,DATOS!$E6630,nASIG,DATOS!$I6630,nEVAL,"OR")=0))</f>
      </c>
      <c r="I6630">
        <f>IF(DATOS!$I6630="","",IFERROR(VLOOKUP(DATOS!$I6630,CONFIG_ASIGNATURAS!$B$2:$J$91,9,FALSE()),""))</f>
      </c>
    </row>
    <row r="6631">
      <c r="F6631">
        <f>IF(DATOS!$A6631="","",DATOS!$A6631&amp;"|"&amp;DATOS!$D6631&amp;"|"&amp;DATOS!$E6631&amp;"|"&amp;DATOS!$I6631)</f>
      </c>
      <c r="G6631">
        <f>IF(DATOS!$A6631="",0,IF(CONFIG_METADATA!$B$4&lt;&gt;"OR+EX",--(DATOS!$G6631=CONFIG_METADATA!$B$4),IF(DATOS!$G6631="EX",1,IF(DATOS!$G6631="OR",--(COUNTIFS(nNIA,DATOS!$A6631,nCURSO,DATOS!$D6631,nESPEC,DATOS!$E6631,nASIG,DATOS!$I6631,nEVAL,"EX")=0),0))))</f>
      </c>
      <c r="H6631">
        <f>IF(DATOS!$G6631&lt;&gt;"EX",0,--(COUNTIFS(nNIA,DATOS!$A6631,nCURSO,DATOS!$D6631,nESPEC,DATOS!$E6631,nASIG,DATOS!$I6631,nEVAL,"OR")=0))</f>
      </c>
      <c r="I6631">
        <f>IF(DATOS!$I6631="","",IFERROR(VLOOKUP(DATOS!$I6631,CONFIG_ASIGNATURAS!$B$2:$J$91,9,FALSE()),""))</f>
      </c>
    </row>
    <row r="6632">
      <c r="F6632">
        <f>IF(DATOS!$A6632="","",DATOS!$A6632&amp;"|"&amp;DATOS!$D6632&amp;"|"&amp;DATOS!$E6632&amp;"|"&amp;DATOS!$I6632)</f>
      </c>
      <c r="G6632">
        <f>IF(DATOS!$A6632="",0,IF(CONFIG_METADATA!$B$4&lt;&gt;"OR+EX",--(DATOS!$G6632=CONFIG_METADATA!$B$4),IF(DATOS!$G6632="EX",1,IF(DATOS!$G6632="OR",--(COUNTIFS(nNIA,DATOS!$A6632,nCURSO,DATOS!$D6632,nESPEC,DATOS!$E6632,nASIG,DATOS!$I6632,nEVAL,"EX")=0),0))))</f>
      </c>
      <c r="H6632">
        <f>IF(DATOS!$G6632&lt;&gt;"EX",0,--(COUNTIFS(nNIA,DATOS!$A6632,nCURSO,DATOS!$D6632,nESPEC,DATOS!$E6632,nASIG,DATOS!$I6632,nEVAL,"OR")=0))</f>
      </c>
      <c r="I6632">
        <f>IF(DATOS!$I6632="","",IFERROR(VLOOKUP(DATOS!$I6632,CONFIG_ASIGNATURAS!$B$2:$J$91,9,FALSE()),""))</f>
      </c>
    </row>
    <row r="6633">
      <c r="F6633">
        <f>IF(DATOS!$A6633="","",DATOS!$A6633&amp;"|"&amp;DATOS!$D6633&amp;"|"&amp;DATOS!$E6633&amp;"|"&amp;DATOS!$I6633)</f>
      </c>
      <c r="G6633">
        <f>IF(DATOS!$A6633="",0,IF(CONFIG_METADATA!$B$4&lt;&gt;"OR+EX",--(DATOS!$G6633=CONFIG_METADATA!$B$4),IF(DATOS!$G6633="EX",1,IF(DATOS!$G6633="OR",--(COUNTIFS(nNIA,DATOS!$A6633,nCURSO,DATOS!$D6633,nESPEC,DATOS!$E6633,nASIG,DATOS!$I6633,nEVAL,"EX")=0),0))))</f>
      </c>
      <c r="H6633">
        <f>IF(DATOS!$G6633&lt;&gt;"EX",0,--(COUNTIFS(nNIA,DATOS!$A6633,nCURSO,DATOS!$D6633,nESPEC,DATOS!$E6633,nASIG,DATOS!$I6633,nEVAL,"OR")=0))</f>
      </c>
      <c r="I6633">
        <f>IF(DATOS!$I6633="","",IFERROR(VLOOKUP(DATOS!$I6633,CONFIG_ASIGNATURAS!$B$2:$J$91,9,FALSE()),""))</f>
      </c>
    </row>
    <row r="6634">
      <c r="F6634">
        <f>IF(DATOS!$A6634="","",DATOS!$A6634&amp;"|"&amp;DATOS!$D6634&amp;"|"&amp;DATOS!$E6634&amp;"|"&amp;DATOS!$I6634)</f>
      </c>
      <c r="G6634">
        <f>IF(DATOS!$A6634="",0,IF(CONFIG_METADATA!$B$4&lt;&gt;"OR+EX",--(DATOS!$G6634=CONFIG_METADATA!$B$4),IF(DATOS!$G6634="EX",1,IF(DATOS!$G6634="OR",--(COUNTIFS(nNIA,DATOS!$A6634,nCURSO,DATOS!$D6634,nESPEC,DATOS!$E6634,nASIG,DATOS!$I6634,nEVAL,"EX")=0),0))))</f>
      </c>
      <c r="H6634">
        <f>IF(DATOS!$G6634&lt;&gt;"EX",0,--(COUNTIFS(nNIA,DATOS!$A6634,nCURSO,DATOS!$D6634,nESPEC,DATOS!$E6634,nASIG,DATOS!$I6634,nEVAL,"OR")=0))</f>
      </c>
      <c r="I6634">
        <f>IF(DATOS!$I6634="","",IFERROR(VLOOKUP(DATOS!$I6634,CONFIG_ASIGNATURAS!$B$2:$J$91,9,FALSE()),""))</f>
      </c>
    </row>
    <row r="6635">
      <c r="F6635">
        <f>IF(DATOS!$A6635="","",DATOS!$A6635&amp;"|"&amp;DATOS!$D6635&amp;"|"&amp;DATOS!$E6635&amp;"|"&amp;DATOS!$I6635)</f>
      </c>
      <c r="G6635">
        <f>IF(DATOS!$A6635="",0,IF(CONFIG_METADATA!$B$4&lt;&gt;"OR+EX",--(DATOS!$G6635=CONFIG_METADATA!$B$4),IF(DATOS!$G6635="EX",1,IF(DATOS!$G6635="OR",--(COUNTIFS(nNIA,DATOS!$A6635,nCURSO,DATOS!$D6635,nESPEC,DATOS!$E6635,nASIG,DATOS!$I6635,nEVAL,"EX")=0),0))))</f>
      </c>
      <c r="H6635">
        <f>IF(DATOS!$G6635&lt;&gt;"EX",0,--(COUNTIFS(nNIA,DATOS!$A6635,nCURSO,DATOS!$D6635,nESPEC,DATOS!$E6635,nASIG,DATOS!$I6635,nEVAL,"OR")=0))</f>
      </c>
      <c r="I6635">
        <f>IF(DATOS!$I6635="","",IFERROR(VLOOKUP(DATOS!$I6635,CONFIG_ASIGNATURAS!$B$2:$J$91,9,FALSE()),""))</f>
      </c>
    </row>
    <row r="6636">
      <c r="F6636">
        <f>IF(DATOS!$A6636="","",DATOS!$A6636&amp;"|"&amp;DATOS!$D6636&amp;"|"&amp;DATOS!$E6636&amp;"|"&amp;DATOS!$I6636)</f>
      </c>
      <c r="G6636">
        <f>IF(DATOS!$A6636="",0,IF(CONFIG_METADATA!$B$4&lt;&gt;"OR+EX",--(DATOS!$G6636=CONFIG_METADATA!$B$4),IF(DATOS!$G6636="EX",1,IF(DATOS!$G6636="OR",--(COUNTIFS(nNIA,DATOS!$A6636,nCURSO,DATOS!$D6636,nESPEC,DATOS!$E6636,nASIG,DATOS!$I6636,nEVAL,"EX")=0),0))))</f>
      </c>
      <c r="H6636">
        <f>IF(DATOS!$G6636&lt;&gt;"EX",0,--(COUNTIFS(nNIA,DATOS!$A6636,nCURSO,DATOS!$D6636,nESPEC,DATOS!$E6636,nASIG,DATOS!$I6636,nEVAL,"OR")=0))</f>
      </c>
      <c r="I6636">
        <f>IF(DATOS!$I6636="","",IFERROR(VLOOKUP(DATOS!$I6636,CONFIG_ASIGNATURAS!$B$2:$J$91,9,FALSE()),""))</f>
      </c>
    </row>
    <row r="6637">
      <c r="F6637">
        <f>IF(DATOS!$A6637="","",DATOS!$A6637&amp;"|"&amp;DATOS!$D6637&amp;"|"&amp;DATOS!$E6637&amp;"|"&amp;DATOS!$I6637)</f>
      </c>
      <c r="G6637">
        <f>IF(DATOS!$A6637="",0,IF(CONFIG_METADATA!$B$4&lt;&gt;"OR+EX",--(DATOS!$G6637=CONFIG_METADATA!$B$4),IF(DATOS!$G6637="EX",1,IF(DATOS!$G6637="OR",--(COUNTIFS(nNIA,DATOS!$A6637,nCURSO,DATOS!$D6637,nESPEC,DATOS!$E6637,nASIG,DATOS!$I6637,nEVAL,"EX")=0),0))))</f>
      </c>
      <c r="H6637">
        <f>IF(DATOS!$G6637&lt;&gt;"EX",0,--(COUNTIFS(nNIA,DATOS!$A6637,nCURSO,DATOS!$D6637,nESPEC,DATOS!$E6637,nASIG,DATOS!$I6637,nEVAL,"OR")=0))</f>
      </c>
      <c r="I6637">
        <f>IF(DATOS!$I6637="","",IFERROR(VLOOKUP(DATOS!$I6637,CONFIG_ASIGNATURAS!$B$2:$J$91,9,FALSE()),""))</f>
      </c>
    </row>
    <row r="6638">
      <c r="F6638">
        <f>IF(DATOS!$A6638="","",DATOS!$A6638&amp;"|"&amp;DATOS!$D6638&amp;"|"&amp;DATOS!$E6638&amp;"|"&amp;DATOS!$I6638)</f>
      </c>
      <c r="G6638">
        <f>IF(DATOS!$A6638="",0,IF(CONFIG_METADATA!$B$4&lt;&gt;"OR+EX",--(DATOS!$G6638=CONFIG_METADATA!$B$4),IF(DATOS!$G6638="EX",1,IF(DATOS!$G6638="OR",--(COUNTIFS(nNIA,DATOS!$A6638,nCURSO,DATOS!$D6638,nESPEC,DATOS!$E6638,nASIG,DATOS!$I6638,nEVAL,"EX")=0),0))))</f>
      </c>
      <c r="H6638">
        <f>IF(DATOS!$G6638&lt;&gt;"EX",0,--(COUNTIFS(nNIA,DATOS!$A6638,nCURSO,DATOS!$D6638,nESPEC,DATOS!$E6638,nASIG,DATOS!$I6638,nEVAL,"OR")=0))</f>
      </c>
      <c r="I6638">
        <f>IF(DATOS!$I6638="","",IFERROR(VLOOKUP(DATOS!$I6638,CONFIG_ASIGNATURAS!$B$2:$J$91,9,FALSE()),""))</f>
      </c>
    </row>
    <row r="6639">
      <c r="F6639">
        <f>IF(DATOS!$A6639="","",DATOS!$A6639&amp;"|"&amp;DATOS!$D6639&amp;"|"&amp;DATOS!$E6639&amp;"|"&amp;DATOS!$I6639)</f>
      </c>
      <c r="G6639">
        <f>IF(DATOS!$A6639="",0,IF(CONFIG_METADATA!$B$4&lt;&gt;"OR+EX",--(DATOS!$G6639=CONFIG_METADATA!$B$4),IF(DATOS!$G6639="EX",1,IF(DATOS!$G6639="OR",--(COUNTIFS(nNIA,DATOS!$A6639,nCURSO,DATOS!$D6639,nESPEC,DATOS!$E6639,nASIG,DATOS!$I6639,nEVAL,"EX")=0),0))))</f>
      </c>
      <c r="H6639">
        <f>IF(DATOS!$G6639&lt;&gt;"EX",0,--(COUNTIFS(nNIA,DATOS!$A6639,nCURSO,DATOS!$D6639,nESPEC,DATOS!$E6639,nASIG,DATOS!$I6639,nEVAL,"OR")=0))</f>
      </c>
      <c r="I6639">
        <f>IF(DATOS!$I6639="","",IFERROR(VLOOKUP(DATOS!$I6639,CONFIG_ASIGNATURAS!$B$2:$J$91,9,FALSE()),""))</f>
      </c>
    </row>
    <row r="6640">
      <c r="F6640">
        <f>IF(DATOS!$A6640="","",DATOS!$A6640&amp;"|"&amp;DATOS!$D6640&amp;"|"&amp;DATOS!$E6640&amp;"|"&amp;DATOS!$I6640)</f>
      </c>
      <c r="G6640">
        <f>IF(DATOS!$A6640="",0,IF(CONFIG_METADATA!$B$4&lt;&gt;"OR+EX",--(DATOS!$G6640=CONFIG_METADATA!$B$4),IF(DATOS!$G6640="EX",1,IF(DATOS!$G6640="OR",--(COUNTIFS(nNIA,DATOS!$A6640,nCURSO,DATOS!$D6640,nESPEC,DATOS!$E6640,nASIG,DATOS!$I6640,nEVAL,"EX")=0),0))))</f>
      </c>
      <c r="H6640">
        <f>IF(DATOS!$G6640&lt;&gt;"EX",0,--(COUNTIFS(nNIA,DATOS!$A6640,nCURSO,DATOS!$D6640,nESPEC,DATOS!$E6640,nASIG,DATOS!$I6640,nEVAL,"OR")=0))</f>
      </c>
      <c r="I6640">
        <f>IF(DATOS!$I6640="","",IFERROR(VLOOKUP(DATOS!$I6640,CONFIG_ASIGNATURAS!$B$2:$J$91,9,FALSE()),""))</f>
      </c>
    </row>
    <row r="6641">
      <c r="F6641">
        <f>IF(DATOS!$A6641="","",DATOS!$A6641&amp;"|"&amp;DATOS!$D6641&amp;"|"&amp;DATOS!$E6641&amp;"|"&amp;DATOS!$I6641)</f>
      </c>
      <c r="G6641">
        <f>IF(DATOS!$A6641="",0,IF(CONFIG_METADATA!$B$4&lt;&gt;"OR+EX",--(DATOS!$G6641=CONFIG_METADATA!$B$4),IF(DATOS!$G6641="EX",1,IF(DATOS!$G6641="OR",--(COUNTIFS(nNIA,DATOS!$A6641,nCURSO,DATOS!$D6641,nESPEC,DATOS!$E6641,nASIG,DATOS!$I6641,nEVAL,"EX")=0),0))))</f>
      </c>
      <c r="H6641">
        <f>IF(DATOS!$G6641&lt;&gt;"EX",0,--(COUNTIFS(nNIA,DATOS!$A6641,nCURSO,DATOS!$D6641,nESPEC,DATOS!$E6641,nASIG,DATOS!$I6641,nEVAL,"OR")=0))</f>
      </c>
      <c r="I6641">
        <f>IF(DATOS!$I6641="","",IFERROR(VLOOKUP(DATOS!$I6641,CONFIG_ASIGNATURAS!$B$2:$J$91,9,FALSE()),""))</f>
      </c>
    </row>
    <row r="6642">
      <c r="F6642">
        <f>IF(DATOS!$A6642="","",DATOS!$A6642&amp;"|"&amp;DATOS!$D6642&amp;"|"&amp;DATOS!$E6642&amp;"|"&amp;DATOS!$I6642)</f>
      </c>
      <c r="G6642">
        <f>IF(DATOS!$A6642="",0,IF(CONFIG_METADATA!$B$4&lt;&gt;"OR+EX",--(DATOS!$G6642=CONFIG_METADATA!$B$4),IF(DATOS!$G6642="EX",1,IF(DATOS!$G6642="OR",--(COUNTIFS(nNIA,DATOS!$A6642,nCURSO,DATOS!$D6642,nESPEC,DATOS!$E6642,nASIG,DATOS!$I6642,nEVAL,"EX")=0),0))))</f>
      </c>
      <c r="H6642">
        <f>IF(DATOS!$G6642&lt;&gt;"EX",0,--(COUNTIFS(nNIA,DATOS!$A6642,nCURSO,DATOS!$D6642,nESPEC,DATOS!$E6642,nASIG,DATOS!$I6642,nEVAL,"OR")=0))</f>
      </c>
      <c r="I6642">
        <f>IF(DATOS!$I6642="","",IFERROR(VLOOKUP(DATOS!$I6642,CONFIG_ASIGNATURAS!$B$2:$J$91,9,FALSE()),""))</f>
      </c>
    </row>
    <row r="6643">
      <c r="F6643">
        <f>IF(DATOS!$A6643="","",DATOS!$A6643&amp;"|"&amp;DATOS!$D6643&amp;"|"&amp;DATOS!$E6643&amp;"|"&amp;DATOS!$I6643)</f>
      </c>
      <c r="G6643">
        <f>IF(DATOS!$A6643="",0,IF(CONFIG_METADATA!$B$4&lt;&gt;"OR+EX",--(DATOS!$G6643=CONFIG_METADATA!$B$4),IF(DATOS!$G6643="EX",1,IF(DATOS!$G6643="OR",--(COUNTIFS(nNIA,DATOS!$A6643,nCURSO,DATOS!$D6643,nESPEC,DATOS!$E6643,nASIG,DATOS!$I6643,nEVAL,"EX")=0),0))))</f>
      </c>
      <c r="H6643">
        <f>IF(DATOS!$G6643&lt;&gt;"EX",0,--(COUNTIFS(nNIA,DATOS!$A6643,nCURSO,DATOS!$D6643,nESPEC,DATOS!$E6643,nASIG,DATOS!$I6643,nEVAL,"OR")=0))</f>
      </c>
      <c r="I6643">
        <f>IF(DATOS!$I6643="","",IFERROR(VLOOKUP(DATOS!$I6643,CONFIG_ASIGNATURAS!$B$2:$J$91,9,FALSE()),""))</f>
      </c>
    </row>
    <row r="6644">
      <c r="F6644">
        <f>IF(DATOS!$A6644="","",DATOS!$A6644&amp;"|"&amp;DATOS!$D6644&amp;"|"&amp;DATOS!$E6644&amp;"|"&amp;DATOS!$I6644)</f>
      </c>
      <c r="G6644">
        <f>IF(DATOS!$A6644="",0,IF(CONFIG_METADATA!$B$4&lt;&gt;"OR+EX",--(DATOS!$G6644=CONFIG_METADATA!$B$4),IF(DATOS!$G6644="EX",1,IF(DATOS!$G6644="OR",--(COUNTIFS(nNIA,DATOS!$A6644,nCURSO,DATOS!$D6644,nESPEC,DATOS!$E6644,nASIG,DATOS!$I6644,nEVAL,"EX")=0),0))))</f>
      </c>
      <c r="H6644">
        <f>IF(DATOS!$G6644&lt;&gt;"EX",0,--(COUNTIFS(nNIA,DATOS!$A6644,nCURSO,DATOS!$D6644,nESPEC,DATOS!$E6644,nASIG,DATOS!$I6644,nEVAL,"OR")=0))</f>
      </c>
      <c r="I6644">
        <f>IF(DATOS!$I6644="","",IFERROR(VLOOKUP(DATOS!$I6644,CONFIG_ASIGNATURAS!$B$2:$J$91,9,FALSE()),""))</f>
      </c>
    </row>
    <row r="6645">
      <c r="F6645">
        <f>IF(DATOS!$A6645="","",DATOS!$A6645&amp;"|"&amp;DATOS!$D6645&amp;"|"&amp;DATOS!$E6645&amp;"|"&amp;DATOS!$I6645)</f>
      </c>
      <c r="G6645">
        <f>IF(DATOS!$A6645="",0,IF(CONFIG_METADATA!$B$4&lt;&gt;"OR+EX",--(DATOS!$G6645=CONFIG_METADATA!$B$4),IF(DATOS!$G6645="EX",1,IF(DATOS!$G6645="OR",--(COUNTIFS(nNIA,DATOS!$A6645,nCURSO,DATOS!$D6645,nESPEC,DATOS!$E6645,nASIG,DATOS!$I6645,nEVAL,"EX")=0),0))))</f>
      </c>
      <c r="H6645">
        <f>IF(DATOS!$G6645&lt;&gt;"EX",0,--(COUNTIFS(nNIA,DATOS!$A6645,nCURSO,DATOS!$D6645,nESPEC,DATOS!$E6645,nASIG,DATOS!$I6645,nEVAL,"OR")=0))</f>
      </c>
      <c r="I6645">
        <f>IF(DATOS!$I6645="","",IFERROR(VLOOKUP(DATOS!$I6645,CONFIG_ASIGNATURAS!$B$2:$J$91,9,FALSE()),""))</f>
      </c>
    </row>
    <row r="6646">
      <c r="F6646">
        <f>IF(DATOS!$A6646="","",DATOS!$A6646&amp;"|"&amp;DATOS!$D6646&amp;"|"&amp;DATOS!$E6646&amp;"|"&amp;DATOS!$I6646)</f>
      </c>
      <c r="G6646">
        <f>IF(DATOS!$A6646="",0,IF(CONFIG_METADATA!$B$4&lt;&gt;"OR+EX",--(DATOS!$G6646=CONFIG_METADATA!$B$4),IF(DATOS!$G6646="EX",1,IF(DATOS!$G6646="OR",--(COUNTIFS(nNIA,DATOS!$A6646,nCURSO,DATOS!$D6646,nESPEC,DATOS!$E6646,nASIG,DATOS!$I6646,nEVAL,"EX")=0),0))))</f>
      </c>
      <c r="H6646">
        <f>IF(DATOS!$G6646&lt;&gt;"EX",0,--(COUNTIFS(nNIA,DATOS!$A6646,nCURSO,DATOS!$D6646,nESPEC,DATOS!$E6646,nASIG,DATOS!$I6646,nEVAL,"OR")=0))</f>
      </c>
      <c r="I6646">
        <f>IF(DATOS!$I6646="","",IFERROR(VLOOKUP(DATOS!$I6646,CONFIG_ASIGNATURAS!$B$2:$J$91,9,FALSE()),""))</f>
      </c>
    </row>
    <row r="6647">
      <c r="F6647">
        <f>IF(DATOS!$A6647="","",DATOS!$A6647&amp;"|"&amp;DATOS!$D6647&amp;"|"&amp;DATOS!$E6647&amp;"|"&amp;DATOS!$I6647)</f>
      </c>
      <c r="G6647">
        <f>IF(DATOS!$A6647="",0,IF(CONFIG_METADATA!$B$4&lt;&gt;"OR+EX",--(DATOS!$G6647=CONFIG_METADATA!$B$4),IF(DATOS!$G6647="EX",1,IF(DATOS!$G6647="OR",--(COUNTIFS(nNIA,DATOS!$A6647,nCURSO,DATOS!$D6647,nESPEC,DATOS!$E6647,nASIG,DATOS!$I6647,nEVAL,"EX")=0),0))))</f>
      </c>
      <c r="H6647">
        <f>IF(DATOS!$G6647&lt;&gt;"EX",0,--(COUNTIFS(nNIA,DATOS!$A6647,nCURSO,DATOS!$D6647,nESPEC,DATOS!$E6647,nASIG,DATOS!$I6647,nEVAL,"OR")=0))</f>
      </c>
      <c r="I6647">
        <f>IF(DATOS!$I6647="","",IFERROR(VLOOKUP(DATOS!$I6647,CONFIG_ASIGNATURAS!$B$2:$J$91,9,FALSE()),""))</f>
      </c>
    </row>
    <row r="6648">
      <c r="F6648">
        <f>IF(DATOS!$A6648="","",DATOS!$A6648&amp;"|"&amp;DATOS!$D6648&amp;"|"&amp;DATOS!$E6648&amp;"|"&amp;DATOS!$I6648)</f>
      </c>
      <c r="G6648">
        <f>IF(DATOS!$A6648="",0,IF(CONFIG_METADATA!$B$4&lt;&gt;"OR+EX",--(DATOS!$G6648=CONFIG_METADATA!$B$4),IF(DATOS!$G6648="EX",1,IF(DATOS!$G6648="OR",--(COUNTIFS(nNIA,DATOS!$A6648,nCURSO,DATOS!$D6648,nESPEC,DATOS!$E6648,nASIG,DATOS!$I6648,nEVAL,"EX")=0),0))))</f>
      </c>
      <c r="H6648">
        <f>IF(DATOS!$G6648&lt;&gt;"EX",0,--(COUNTIFS(nNIA,DATOS!$A6648,nCURSO,DATOS!$D6648,nESPEC,DATOS!$E6648,nASIG,DATOS!$I6648,nEVAL,"OR")=0))</f>
      </c>
      <c r="I6648">
        <f>IF(DATOS!$I6648="","",IFERROR(VLOOKUP(DATOS!$I6648,CONFIG_ASIGNATURAS!$B$2:$J$91,9,FALSE()),""))</f>
      </c>
    </row>
    <row r="6649">
      <c r="F6649">
        <f>IF(DATOS!$A6649="","",DATOS!$A6649&amp;"|"&amp;DATOS!$D6649&amp;"|"&amp;DATOS!$E6649&amp;"|"&amp;DATOS!$I6649)</f>
      </c>
      <c r="G6649">
        <f>IF(DATOS!$A6649="",0,IF(CONFIG_METADATA!$B$4&lt;&gt;"OR+EX",--(DATOS!$G6649=CONFIG_METADATA!$B$4),IF(DATOS!$G6649="EX",1,IF(DATOS!$G6649="OR",--(COUNTIFS(nNIA,DATOS!$A6649,nCURSO,DATOS!$D6649,nESPEC,DATOS!$E6649,nASIG,DATOS!$I6649,nEVAL,"EX")=0),0))))</f>
      </c>
      <c r="H6649">
        <f>IF(DATOS!$G6649&lt;&gt;"EX",0,--(COUNTIFS(nNIA,DATOS!$A6649,nCURSO,DATOS!$D6649,nESPEC,DATOS!$E6649,nASIG,DATOS!$I6649,nEVAL,"OR")=0))</f>
      </c>
      <c r="I6649">
        <f>IF(DATOS!$I6649="","",IFERROR(VLOOKUP(DATOS!$I6649,CONFIG_ASIGNATURAS!$B$2:$J$91,9,FALSE()),""))</f>
      </c>
    </row>
    <row r="6650">
      <c r="F6650">
        <f>IF(DATOS!$A6650="","",DATOS!$A6650&amp;"|"&amp;DATOS!$D6650&amp;"|"&amp;DATOS!$E6650&amp;"|"&amp;DATOS!$I6650)</f>
      </c>
      <c r="G6650">
        <f>IF(DATOS!$A6650="",0,IF(CONFIG_METADATA!$B$4&lt;&gt;"OR+EX",--(DATOS!$G6650=CONFIG_METADATA!$B$4),IF(DATOS!$G6650="EX",1,IF(DATOS!$G6650="OR",--(COUNTIFS(nNIA,DATOS!$A6650,nCURSO,DATOS!$D6650,nESPEC,DATOS!$E6650,nASIG,DATOS!$I6650,nEVAL,"EX")=0),0))))</f>
      </c>
      <c r="H6650">
        <f>IF(DATOS!$G6650&lt;&gt;"EX",0,--(COUNTIFS(nNIA,DATOS!$A6650,nCURSO,DATOS!$D6650,nESPEC,DATOS!$E6650,nASIG,DATOS!$I6650,nEVAL,"OR")=0))</f>
      </c>
      <c r="I6650">
        <f>IF(DATOS!$I6650="","",IFERROR(VLOOKUP(DATOS!$I6650,CONFIG_ASIGNATURAS!$B$2:$J$91,9,FALSE()),""))</f>
      </c>
    </row>
    <row r="6651">
      <c r="F6651">
        <f>IF(DATOS!$A6651="","",DATOS!$A6651&amp;"|"&amp;DATOS!$D6651&amp;"|"&amp;DATOS!$E6651&amp;"|"&amp;DATOS!$I6651)</f>
      </c>
      <c r="G6651">
        <f>IF(DATOS!$A6651="",0,IF(CONFIG_METADATA!$B$4&lt;&gt;"OR+EX",--(DATOS!$G6651=CONFIG_METADATA!$B$4),IF(DATOS!$G6651="EX",1,IF(DATOS!$G6651="OR",--(COUNTIFS(nNIA,DATOS!$A6651,nCURSO,DATOS!$D6651,nESPEC,DATOS!$E6651,nASIG,DATOS!$I6651,nEVAL,"EX")=0),0))))</f>
      </c>
      <c r="H6651">
        <f>IF(DATOS!$G6651&lt;&gt;"EX",0,--(COUNTIFS(nNIA,DATOS!$A6651,nCURSO,DATOS!$D6651,nESPEC,DATOS!$E6651,nASIG,DATOS!$I6651,nEVAL,"OR")=0))</f>
      </c>
      <c r="I6651">
        <f>IF(DATOS!$I6651="","",IFERROR(VLOOKUP(DATOS!$I6651,CONFIG_ASIGNATURAS!$B$2:$J$91,9,FALSE()),""))</f>
      </c>
    </row>
    <row r="6652">
      <c r="F6652">
        <f>IF(DATOS!$A6652="","",DATOS!$A6652&amp;"|"&amp;DATOS!$D6652&amp;"|"&amp;DATOS!$E6652&amp;"|"&amp;DATOS!$I6652)</f>
      </c>
      <c r="G6652">
        <f>IF(DATOS!$A6652="",0,IF(CONFIG_METADATA!$B$4&lt;&gt;"OR+EX",--(DATOS!$G6652=CONFIG_METADATA!$B$4),IF(DATOS!$G6652="EX",1,IF(DATOS!$G6652="OR",--(COUNTIFS(nNIA,DATOS!$A6652,nCURSO,DATOS!$D6652,nESPEC,DATOS!$E6652,nASIG,DATOS!$I6652,nEVAL,"EX")=0),0))))</f>
      </c>
      <c r="H6652">
        <f>IF(DATOS!$G6652&lt;&gt;"EX",0,--(COUNTIFS(nNIA,DATOS!$A6652,nCURSO,DATOS!$D6652,nESPEC,DATOS!$E6652,nASIG,DATOS!$I6652,nEVAL,"OR")=0))</f>
      </c>
      <c r="I6652">
        <f>IF(DATOS!$I6652="","",IFERROR(VLOOKUP(DATOS!$I6652,CONFIG_ASIGNATURAS!$B$2:$J$91,9,FALSE()),""))</f>
      </c>
    </row>
    <row r="6653">
      <c r="F6653">
        <f>IF(DATOS!$A6653="","",DATOS!$A6653&amp;"|"&amp;DATOS!$D6653&amp;"|"&amp;DATOS!$E6653&amp;"|"&amp;DATOS!$I6653)</f>
      </c>
      <c r="G6653">
        <f>IF(DATOS!$A6653="",0,IF(CONFIG_METADATA!$B$4&lt;&gt;"OR+EX",--(DATOS!$G6653=CONFIG_METADATA!$B$4),IF(DATOS!$G6653="EX",1,IF(DATOS!$G6653="OR",--(COUNTIFS(nNIA,DATOS!$A6653,nCURSO,DATOS!$D6653,nESPEC,DATOS!$E6653,nASIG,DATOS!$I6653,nEVAL,"EX")=0),0))))</f>
      </c>
      <c r="H6653">
        <f>IF(DATOS!$G6653&lt;&gt;"EX",0,--(COUNTIFS(nNIA,DATOS!$A6653,nCURSO,DATOS!$D6653,nESPEC,DATOS!$E6653,nASIG,DATOS!$I6653,nEVAL,"OR")=0))</f>
      </c>
      <c r="I6653">
        <f>IF(DATOS!$I6653="","",IFERROR(VLOOKUP(DATOS!$I6653,CONFIG_ASIGNATURAS!$B$2:$J$91,9,FALSE()),""))</f>
      </c>
    </row>
    <row r="6654">
      <c r="F6654">
        <f>IF(DATOS!$A6654="","",DATOS!$A6654&amp;"|"&amp;DATOS!$D6654&amp;"|"&amp;DATOS!$E6654&amp;"|"&amp;DATOS!$I6654)</f>
      </c>
      <c r="G6654">
        <f>IF(DATOS!$A6654="",0,IF(CONFIG_METADATA!$B$4&lt;&gt;"OR+EX",--(DATOS!$G6654=CONFIG_METADATA!$B$4),IF(DATOS!$G6654="EX",1,IF(DATOS!$G6654="OR",--(COUNTIFS(nNIA,DATOS!$A6654,nCURSO,DATOS!$D6654,nESPEC,DATOS!$E6654,nASIG,DATOS!$I6654,nEVAL,"EX")=0),0))))</f>
      </c>
      <c r="H6654">
        <f>IF(DATOS!$G6654&lt;&gt;"EX",0,--(COUNTIFS(nNIA,DATOS!$A6654,nCURSO,DATOS!$D6654,nESPEC,DATOS!$E6654,nASIG,DATOS!$I6654,nEVAL,"OR")=0))</f>
      </c>
      <c r="I6654">
        <f>IF(DATOS!$I6654="","",IFERROR(VLOOKUP(DATOS!$I6654,CONFIG_ASIGNATURAS!$B$2:$J$91,9,FALSE()),""))</f>
      </c>
    </row>
    <row r="6655">
      <c r="F6655">
        <f>IF(DATOS!$A6655="","",DATOS!$A6655&amp;"|"&amp;DATOS!$D6655&amp;"|"&amp;DATOS!$E6655&amp;"|"&amp;DATOS!$I6655)</f>
      </c>
      <c r="G6655">
        <f>IF(DATOS!$A6655="",0,IF(CONFIG_METADATA!$B$4&lt;&gt;"OR+EX",--(DATOS!$G6655=CONFIG_METADATA!$B$4),IF(DATOS!$G6655="EX",1,IF(DATOS!$G6655="OR",--(COUNTIFS(nNIA,DATOS!$A6655,nCURSO,DATOS!$D6655,nESPEC,DATOS!$E6655,nASIG,DATOS!$I6655,nEVAL,"EX")=0),0))))</f>
      </c>
      <c r="H6655">
        <f>IF(DATOS!$G6655&lt;&gt;"EX",0,--(COUNTIFS(nNIA,DATOS!$A6655,nCURSO,DATOS!$D6655,nESPEC,DATOS!$E6655,nASIG,DATOS!$I6655,nEVAL,"OR")=0))</f>
      </c>
      <c r="I6655">
        <f>IF(DATOS!$I6655="","",IFERROR(VLOOKUP(DATOS!$I6655,CONFIG_ASIGNATURAS!$B$2:$J$91,9,FALSE()),""))</f>
      </c>
    </row>
    <row r="6656">
      <c r="F6656">
        <f>IF(DATOS!$A6656="","",DATOS!$A6656&amp;"|"&amp;DATOS!$D6656&amp;"|"&amp;DATOS!$E6656&amp;"|"&amp;DATOS!$I6656)</f>
      </c>
      <c r="G6656">
        <f>IF(DATOS!$A6656="",0,IF(CONFIG_METADATA!$B$4&lt;&gt;"OR+EX",--(DATOS!$G6656=CONFIG_METADATA!$B$4),IF(DATOS!$G6656="EX",1,IF(DATOS!$G6656="OR",--(COUNTIFS(nNIA,DATOS!$A6656,nCURSO,DATOS!$D6656,nESPEC,DATOS!$E6656,nASIG,DATOS!$I6656,nEVAL,"EX")=0),0))))</f>
      </c>
      <c r="H6656">
        <f>IF(DATOS!$G6656&lt;&gt;"EX",0,--(COUNTIFS(nNIA,DATOS!$A6656,nCURSO,DATOS!$D6656,nESPEC,DATOS!$E6656,nASIG,DATOS!$I6656,nEVAL,"OR")=0))</f>
      </c>
      <c r="I6656">
        <f>IF(DATOS!$I6656="","",IFERROR(VLOOKUP(DATOS!$I6656,CONFIG_ASIGNATURAS!$B$2:$J$91,9,FALSE()),""))</f>
      </c>
    </row>
    <row r="6657">
      <c r="F6657">
        <f>IF(DATOS!$A6657="","",DATOS!$A6657&amp;"|"&amp;DATOS!$D6657&amp;"|"&amp;DATOS!$E6657&amp;"|"&amp;DATOS!$I6657)</f>
      </c>
      <c r="G6657">
        <f>IF(DATOS!$A6657="",0,IF(CONFIG_METADATA!$B$4&lt;&gt;"OR+EX",--(DATOS!$G6657=CONFIG_METADATA!$B$4),IF(DATOS!$G6657="EX",1,IF(DATOS!$G6657="OR",--(COUNTIFS(nNIA,DATOS!$A6657,nCURSO,DATOS!$D6657,nESPEC,DATOS!$E6657,nASIG,DATOS!$I6657,nEVAL,"EX")=0),0))))</f>
      </c>
      <c r="H6657">
        <f>IF(DATOS!$G6657&lt;&gt;"EX",0,--(COUNTIFS(nNIA,DATOS!$A6657,nCURSO,DATOS!$D6657,nESPEC,DATOS!$E6657,nASIG,DATOS!$I6657,nEVAL,"OR")=0))</f>
      </c>
      <c r="I6657">
        <f>IF(DATOS!$I6657="","",IFERROR(VLOOKUP(DATOS!$I6657,CONFIG_ASIGNATURAS!$B$2:$J$91,9,FALSE()),""))</f>
      </c>
    </row>
    <row r="6658">
      <c r="F6658">
        <f>IF(DATOS!$A6658="","",DATOS!$A6658&amp;"|"&amp;DATOS!$D6658&amp;"|"&amp;DATOS!$E6658&amp;"|"&amp;DATOS!$I6658)</f>
      </c>
      <c r="G6658">
        <f>IF(DATOS!$A6658="",0,IF(CONFIG_METADATA!$B$4&lt;&gt;"OR+EX",--(DATOS!$G6658=CONFIG_METADATA!$B$4),IF(DATOS!$G6658="EX",1,IF(DATOS!$G6658="OR",--(COUNTIFS(nNIA,DATOS!$A6658,nCURSO,DATOS!$D6658,nESPEC,DATOS!$E6658,nASIG,DATOS!$I6658,nEVAL,"EX")=0),0))))</f>
      </c>
      <c r="H6658">
        <f>IF(DATOS!$G6658&lt;&gt;"EX",0,--(COUNTIFS(nNIA,DATOS!$A6658,nCURSO,DATOS!$D6658,nESPEC,DATOS!$E6658,nASIG,DATOS!$I6658,nEVAL,"OR")=0))</f>
      </c>
      <c r="I6658">
        <f>IF(DATOS!$I6658="","",IFERROR(VLOOKUP(DATOS!$I6658,CONFIG_ASIGNATURAS!$B$2:$J$91,9,FALSE()),""))</f>
      </c>
    </row>
    <row r="6659">
      <c r="F6659">
        <f>IF(DATOS!$A6659="","",DATOS!$A6659&amp;"|"&amp;DATOS!$D6659&amp;"|"&amp;DATOS!$E6659&amp;"|"&amp;DATOS!$I6659)</f>
      </c>
      <c r="G6659">
        <f>IF(DATOS!$A6659="",0,IF(CONFIG_METADATA!$B$4&lt;&gt;"OR+EX",--(DATOS!$G6659=CONFIG_METADATA!$B$4),IF(DATOS!$G6659="EX",1,IF(DATOS!$G6659="OR",--(COUNTIFS(nNIA,DATOS!$A6659,nCURSO,DATOS!$D6659,nESPEC,DATOS!$E6659,nASIG,DATOS!$I6659,nEVAL,"EX")=0),0))))</f>
      </c>
      <c r="H6659">
        <f>IF(DATOS!$G6659&lt;&gt;"EX",0,--(COUNTIFS(nNIA,DATOS!$A6659,nCURSO,DATOS!$D6659,nESPEC,DATOS!$E6659,nASIG,DATOS!$I6659,nEVAL,"OR")=0))</f>
      </c>
      <c r="I6659">
        <f>IF(DATOS!$I6659="","",IFERROR(VLOOKUP(DATOS!$I6659,CONFIG_ASIGNATURAS!$B$2:$J$91,9,FALSE()),""))</f>
      </c>
    </row>
    <row r="6660">
      <c r="F6660">
        <f>IF(DATOS!$A6660="","",DATOS!$A6660&amp;"|"&amp;DATOS!$D6660&amp;"|"&amp;DATOS!$E6660&amp;"|"&amp;DATOS!$I6660)</f>
      </c>
      <c r="G6660">
        <f>IF(DATOS!$A6660="",0,IF(CONFIG_METADATA!$B$4&lt;&gt;"OR+EX",--(DATOS!$G6660=CONFIG_METADATA!$B$4),IF(DATOS!$G6660="EX",1,IF(DATOS!$G6660="OR",--(COUNTIFS(nNIA,DATOS!$A6660,nCURSO,DATOS!$D6660,nESPEC,DATOS!$E6660,nASIG,DATOS!$I6660,nEVAL,"EX")=0),0))))</f>
      </c>
      <c r="H6660">
        <f>IF(DATOS!$G6660&lt;&gt;"EX",0,--(COUNTIFS(nNIA,DATOS!$A6660,nCURSO,DATOS!$D6660,nESPEC,DATOS!$E6660,nASIG,DATOS!$I6660,nEVAL,"OR")=0))</f>
      </c>
      <c r="I6660">
        <f>IF(DATOS!$I6660="","",IFERROR(VLOOKUP(DATOS!$I6660,CONFIG_ASIGNATURAS!$B$2:$J$91,9,FALSE()),""))</f>
      </c>
    </row>
    <row r="6661">
      <c r="F6661">
        <f>IF(DATOS!$A6661="","",DATOS!$A6661&amp;"|"&amp;DATOS!$D6661&amp;"|"&amp;DATOS!$E6661&amp;"|"&amp;DATOS!$I6661)</f>
      </c>
      <c r="G6661">
        <f>IF(DATOS!$A6661="",0,IF(CONFIG_METADATA!$B$4&lt;&gt;"OR+EX",--(DATOS!$G6661=CONFIG_METADATA!$B$4),IF(DATOS!$G6661="EX",1,IF(DATOS!$G6661="OR",--(COUNTIFS(nNIA,DATOS!$A6661,nCURSO,DATOS!$D6661,nESPEC,DATOS!$E6661,nASIG,DATOS!$I6661,nEVAL,"EX")=0),0))))</f>
      </c>
      <c r="H6661">
        <f>IF(DATOS!$G6661&lt;&gt;"EX",0,--(COUNTIFS(nNIA,DATOS!$A6661,nCURSO,DATOS!$D6661,nESPEC,DATOS!$E6661,nASIG,DATOS!$I6661,nEVAL,"OR")=0))</f>
      </c>
      <c r="I6661">
        <f>IF(DATOS!$I6661="","",IFERROR(VLOOKUP(DATOS!$I6661,CONFIG_ASIGNATURAS!$B$2:$J$91,9,FALSE()),""))</f>
      </c>
    </row>
    <row r="6662">
      <c r="F6662">
        <f>IF(DATOS!$A6662="","",DATOS!$A6662&amp;"|"&amp;DATOS!$D6662&amp;"|"&amp;DATOS!$E6662&amp;"|"&amp;DATOS!$I6662)</f>
      </c>
      <c r="G6662">
        <f>IF(DATOS!$A6662="",0,IF(CONFIG_METADATA!$B$4&lt;&gt;"OR+EX",--(DATOS!$G6662=CONFIG_METADATA!$B$4),IF(DATOS!$G6662="EX",1,IF(DATOS!$G6662="OR",--(COUNTIFS(nNIA,DATOS!$A6662,nCURSO,DATOS!$D6662,nESPEC,DATOS!$E6662,nASIG,DATOS!$I6662,nEVAL,"EX")=0),0))))</f>
      </c>
      <c r="H6662">
        <f>IF(DATOS!$G6662&lt;&gt;"EX",0,--(COUNTIFS(nNIA,DATOS!$A6662,nCURSO,DATOS!$D6662,nESPEC,DATOS!$E6662,nASIG,DATOS!$I6662,nEVAL,"OR")=0))</f>
      </c>
      <c r="I6662">
        <f>IF(DATOS!$I6662="","",IFERROR(VLOOKUP(DATOS!$I6662,CONFIG_ASIGNATURAS!$B$2:$J$91,9,FALSE()),""))</f>
      </c>
    </row>
    <row r="6663">
      <c r="F6663">
        <f>IF(DATOS!$A6663="","",DATOS!$A6663&amp;"|"&amp;DATOS!$D6663&amp;"|"&amp;DATOS!$E6663&amp;"|"&amp;DATOS!$I6663)</f>
      </c>
      <c r="G6663">
        <f>IF(DATOS!$A6663="",0,IF(CONFIG_METADATA!$B$4&lt;&gt;"OR+EX",--(DATOS!$G6663=CONFIG_METADATA!$B$4),IF(DATOS!$G6663="EX",1,IF(DATOS!$G6663="OR",--(COUNTIFS(nNIA,DATOS!$A6663,nCURSO,DATOS!$D6663,nESPEC,DATOS!$E6663,nASIG,DATOS!$I6663,nEVAL,"EX")=0),0))))</f>
      </c>
      <c r="H6663">
        <f>IF(DATOS!$G6663&lt;&gt;"EX",0,--(COUNTIFS(nNIA,DATOS!$A6663,nCURSO,DATOS!$D6663,nESPEC,DATOS!$E6663,nASIG,DATOS!$I6663,nEVAL,"OR")=0))</f>
      </c>
      <c r="I6663">
        <f>IF(DATOS!$I6663="","",IFERROR(VLOOKUP(DATOS!$I6663,CONFIG_ASIGNATURAS!$B$2:$J$91,9,FALSE()),""))</f>
      </c>
    </row>
    <row r="6664">
      <c r="F6664">
        <f>IF(DATOS!$A6664="","",DATOS!$A6664&amp;"|"&amp;DATOS!$D6664&amp;"|"&amp;DATOS!$E6664&amp;"|"&amp;DATOS!$I6664)</f>
      </c>
      <c r="G6664">
        <f>IF(DATOS!$A6664="",0,IF(CONFIG_METADATA!$B$4&lt;&gt;"OR+EX",--(DATOS!$G6664=CONFIG_METADATA!$B$4),IF(DATOS!$G6664="EX",1,IF(DATOS!$G6664="OR",--(COUNTIFS(nNIA,DATOS!$A6664,nCURSO,DATOS!$D6664,nESPEC,DATOS!$E6664,nASIG,DATOS!$I6664,nEVAL,"EX")=0),0))))</f>
      </c>
      <c r="H6664">
        <f>IF(DATOS!$G6664&lt;&gt;"EX",0,--(COUNTIFS(nNIA,DATOS!$A6664,nCURSO,DATOS!$D6664,nESPEC,DATOS!$E6664,nASIG,DATOS!$I6664,nEVAL,"OR")=0))</f>
      </c>
      <c r="I6664">
        <f>IF(DATOS!$I6664="","",IFERROR(VLOOKUP(DATOS!$I6664,CONFIG_ASIGNATURAS!$B$2:$J$91,9,FALSE()),""))</f>
      </c>
    </row>
    <row r="6665">
      <c r="F6665">
        <f>IF(DATOS!$A6665="","",DATOS!$A6665&amp;"|"&amp;DATOS!$D6665&amp;"|"&amp;DATOS!$E6665&amp;"|"&amp;DATOS!$I6665)</f>
      </c>
      <c r="G6665">
        <f>IF(DATOS!$A6665="",0,IF(CONFIG_METADATA!$B$4&lt;&gt;"OR+EX",--(DATOS!$G6665=CONFIG_METADATA!$B$4),IF(DATOS!$G6665="EX",1,IF(DATOS!$G6665="OR",--(COUNTIFS(nNIA,DATOS!$A6665,nCURSO,DATOS!$D6665,nESPEC,DATOS!$E6665,nASIG,DATOS!$I6665,nEVAL,"EX")=0),0))))</f>
      </c>
      <c r="H6665">
        <f>IF(DATOS!$G6665&lt;&gt;"EX",0,--(COUNTIFS(nNIA,DATOS!$A6665,nCURSO,DATOS!$D6665,nESPEC,DATOS!$E6665,nASIG,DATOS!$I6665,nEVAL,"OR")=0))</f>
      </c>
      <c r="I6665">
        <f>IF(DATOS!$I6665="","",IFERROR(VLOOKUP(DATOS!$I6665,CONFIG_ASIGNATURAS!$B$2:$J$91,9,FALSE()),""))</f>
      </c>
    </row>
    <row r="6666">
      <c r="F6666">
        <f>IF(DATOS!$A6666="","",DATOS!$A6666&amp;"|"&amp;DATOS!$D6666&amp;"|"&amp;DATOS!$E6666&amp;"|"&amp;DATOS!$I6666)</f>
      </c>
      <c r="G6666">
        <f>IF(DATOS!$A6666="",0,IF(CONFIG_METADATA!$B$4&lt;&gt;"OR+EX",--(DATOS!$G6666=CONFIG_METADATA!$B$4),IF(DATOS!$G6666="EX",1,IF(DATOS!$G6666="OR",--(COUNTIFS(nNIA,DATOS!$A6666,nCURSO,DATOS!$D6666,nESPEC,DATOS!$E6666,nASIG,DATOS!$I6666,nEVAL,"EX")=0),0))))</f>
      </c>
      <c r="H6666">
        <f>IF(DATOS!$G6666&lt;&gt;"EX",0,--(COUNTIFS(nNIA,DATOS!$A6666,nCURSO,DATOS!$D6666,nESPEC,DATOS!$E6666,nASIG,DATOS!$I6666,nEVAL,"OR")=0))</f>
      </c>
      <c r="I6666">
        <f>IF(DATOS!$I6666="","",IFERROR(VLOOKUP(DATOS!$I6666,CONFIG_ASIGNATURAS!$B$2:$J$91,9,FALSE()),""))</f>
      </c>
    </row>
    <row r="6667">
      <c r="F6667">
        <f>IF(DATOS!$A6667="","",DATOS!$A6667&amp;"|"&amp;DATOS!$D6667&amp;"|"&amp;DATOS!$E6667&amp;"|"&amp;DATOS!$I6667)</f>
      </c>
      <c r="G6667">
        <f>IF(DATOS!$A6667="",0,IF(CONFIG_METADATA!$B$4&lt;&gt;"OR+EX",--(DATOS!$G6667=CONFIG_METADATA!$B$4),IF(DATOS!$G6667="EX",1,IF(DATOS!$G6667="OR",--(COUNTIFS(nNIA,DATOS!$A6667,nCURSO,DATOS!$D6667,nESPEC,DATOS!$E6667,nASIG,DATOS!$I6667,nEVAL,"EX")=0),0))))</f>
      </c>
      <c r="H6667">
        <f>IF(DATOS!$G6667&lt;&gt;"EX",0,--(COUNTIFS(nNIA,DATOS!$A6667,nCURSO,DATOS!$D6667,nESPEC,DATOS!$E6667,nASIG,DATOS!$I6667,nEVAL,"OR")=0))</f>
      </c>
      <c r="I6667">
        <f>IF(DATOS!$I6667="","",IFERROR(VLOOKUP(DATOS!$I6667,CONFIG_ASIGNATURAS!$B$2:$J$91,9,FALSE()),""))</f>
      </c>
    </row>
    <row r="6668">
      <c r="F6668">
        <f>IF(DATOS!$A6668="","",DATOS!$A6668&amp;"|"&amp;DATOS!$D6668&amp;"|"&amp;DATOS!$E6668&amp;"|"&amp;DATOS!$I6668)</f>
      </c>
      <c r="G6668">
        <f>IF(DATOS!$A6668="",0,IF(CONFIG_METADATA!$B$4&lt;&gt;"OR+EX",--(DATOS!$G6668=CONFIG_METADATA!$B$4),IF(DATOS!$G6668="EX",1,IF(DATOS!$G6668="OR",--(COUNTIFS(nNIA,DATOS!$A6668,nCURSO,DATOS!$D6668,nESPEC,DATOS!$E6668,nASIG,DATOS!$I6668,nEVAL,"EX")=0),0))))</f>
      </c>
      <c r="H6668">
        <f>IF(DATOS!$G6668&lt;&gt;"EX",0,--(COUNTIFS(nNIA,DATOS!$A6668,nCURSO,DATOS!$D6668,nESPEC,DATOS!$E6668,nASIG,DATOS!$I6668,nEVAL,"OR")=0))</f>
      </c>
      <c r="I6668">
        <f>IF(DATOS!$I6668="","",IFERROR(VLOOKUP(DATOS!$I6668,CONFIG_ASIGNATURAS!$B$2:$J$91,9,FALSE()),""))</f>
      </c>
    </row>
    <row r="6669">
      <c r="F6669">
        <f>IF(DATOS!$A6669="","",DATOS!$A6669&amp;"|"&amp;DATOS!$D6669&amp;"|"&amp;DATOS!$E6669&amp;"|"&amp;DATOS!$I6669)</f>
      </c>
      <c r="G6669">
        <f>IF(DATOS!$A6669="",0,IF(CONFIG_METADATA!$B$4&lt;&gt;"OR+EX",--(DATOS!$G6669=CONFIG_METADATA!$B$4),IF(DATOS!$G6669="EX",1,IF(DATOS!$G6669="OR",--(COUNTIFS(nNIA,DATOS!$A6669,nCURSO,DATOS!$D6669,nESPEC,DATOS!$E6669,nASIG,DATOS!$I6669,nEVAL,"EX")=0),0))))</f>
      </c>
      <c r="H6669">
        <f>IF(DATOS!$G6669&lt;&gt;"EX",0,--(COUNTIFS(nNIA,DATOS!$A6669,nCURSO,DATOS!$D6669,nESPEC,DATOS!$E6669,nASIG,DATOS!$I6669,nEVAL,"OR")=0))</f>
      </c>
      <c r="I6669">
        <f>IF(DATOS!$I6669="","",IFERROR(VLOOKUP(DATOS!$I6669,CONFIG_ASIGNATURAS!$B$2:$J$91,9,FALSE()),""))</f>
      </c>
    </row>
    <row r="6670">
      <c r="F6670">
        <f>IF(DATOS!$A6670="","",DATOS!$A6670&amp;"|"&amp;DATOS!$D6670&amp;"|"&amp;DATOS!$E6670&amp;"|"&amp;DATOS!$I6670)</f>
      </c>
      <c r="G6670">
        <f>IF(DATOS!$A6670="",0,IF(CONFIG_METADATA!$B$4&lt;&gt;"OR+EX",--(DATOS!$G6670=CONFIG_METADATA!$B$4),IF(DATOS!$G6670="EX",1,IF(DATOS!$G6670="OR",--(COUNTIFS(nNIA,DATOS!$A6670,nCURSO,DATOS!$D6670,nESPEC,DATOS!$E6670,nASIG,DATOS!$I6670,nEVAL,"EX")=0),0))))</f>
      </c>
      <c r="H6670">
        <f>IF(DATOS!$G6670&lt;&gt;"EX",0,--(COUNTIFS(nNIA,DATOS!$A6670,nCURSO,DATOS!$D6670,nESPEC,DATOS!$E6670,nASIG,DATOS!$I6670,nEVAL,"OR")=0))</f>
      </c>
      <c r="I6670">
        <f>IF(DATOS!$I6670="","",IFERROR(VLOOKUP(DATOS!$I6670,CONFIG_ASIGNATURAS!$B$2:$J$91,9,FALSE()),""))</f>
      </c>
    </row>
    <row r="6671">
      <c r="F6671">
        <f>IF(DATOS!$A6671="","",DATOS!$A6671&amp;"|"&amp;DATOS!$D6671&amp;"|"&amp;DATOS!$E6671&amp;"|"&amp;DATOS!$I6671)</f>
      </c>
      <c r="G6671">
        <f>IF(DATOS!$A6671="",0,IF(CONFIG_METADATA!$B$4&lt;&gt;"OR+EX",--(DATOS!$G6671=CONFIG_METADATA!$B$4),IF(DATOS!$G6671="EX",1,IF(DATOS!$G6671="OR",--(COUNTIFS(nNIA,DATOS!$A6671,nCURSO,DATOS!$D6671,nESPEC,DATOS!$E6671,nASIG,DATOS!$I6671,nEVAL,"EX")=0),0))))</f>
      </c>
      <c r="H6671">
        <f>IF(DATOS!$G6671&lt;&gt;"EX",0,--(COUNTIFS(nNIA,DATOS!$A6671,nCURSO,DATOS!$D6671,nESPEC,DATOS!$E6671,nASIG,DATOS!$I6671,nEVAL,"OR")=0))</f>
      </c>
      <c r="I6671">
        <f>IF(DATOS!$I6671="","",IFERROR(VLOOKUP(DATOS!$I6671,CONFIG_ASIGNATURAS!$B$2:$J$91,9,FALSE()),""))</f>
      </c>
    </row>
    <row r="6672">
      <c r="F6672">
        <f>IF(DATOS!$A6672="","",DATOS!$A6672&amp;"|"&amp;DATOS!$D6672&amp;"|"&amp;DATOS!$E6672&amp;"|"&amp;DATOS!$I6672)</f>
      </c>
      <c r="G6672">
        <f>IF(DATOS!$A6672="",0,IF(CONFIG_METADATA!$B$4&lt;&gt;"OR+EX",--(DATOS!$G6672=CONFIG_METADATA!$B$4),IF(DATOS!$G6672="EX",1,IF(DATOS!$G6672="OR",--(COUNTIFS(nNIA,DATOS!$A6672,nCURSO,DATOS!$D6672,nESPEC,DATOS!$E6672,nASIG,DATOS!$I6672,nEVAL,"EX")=0),0))))</f>
      </c>
      <c r="H6672">
        <f>IF(DATOS!$G6672&lt;&gt;"EX",0,--(COUNTIFS(nNIA,DATOS!$A6672,nCURSO,DATOS!$D6672,nESPEC,DATOS!$E6672,nASIG,DATOS!$I6672,nEVAL,"OR")=0))</f>
      </c>
      <c r="I6672">
        <f>IF(DATOS!$I6672="","",IFERROR(VLOOKUP(DATOS!$I6672,CONFIG_ASIGNATURAS!$B$2:$J$91,9,FALSE()),""))</f>
      </c>
    </row>
    <row r="6673">
      <c r="F6673">
        <f>IF(DATOS!$A6673="","",DATOS!$A6673&amp;"|"&amp;DATOS!$D6673&amp;"|"&amp;DATOS!$E6673&amp;"|"&amp;DATOS!$I6673)</f>
      </c>
      <c r="G6673">
        <f>IF(DATOS!$A6673="",0,IF(CONFIG_METADATA!$B$4&lt;&gt;"OR+EX",--(DATOS!$G6673=CONFIG_METADATA!$B$4),IF(DATOS!$G6673="EX",1,IF(DATOS!$G6673="OR",--(COUNTIFS(nNIA,DATOS!$A6673,nCURSO,DATOS!$D6673,nESPEC,DATOS!$E6673,nASIG,DATOS!$I6673,nEVAL,"EX")=0),0))))</f>
      </c>
      <c r="H6673">
        <f>IF(DATOS!$G6673&lt;&gt;"EX",0,--(COUNTIFS(nNIA,DATOS!$A6673,nCURSO,DATOS!$D6673,nESPEC,DATOS!$E6673,nASIG,DATOS!$I6673,nEVAL,"OR")=0))</f>
      </c>
      <c r="I6673">
        <f>IF(DATOS!$I6673="","",IFERROR(VLOOKUP(DATOS!$I6673,CONFIG_ASIGNATURAS!$B$2:$J$91,9,FALSE()),""))</f>
      </c>
    </row>
    <row r="6674">
      <c r="F6674">
        <f>IF(DATOS!$A6674="","",DATOS!$A6674&amp;"|"&amp;DATOS!$D6674&amp;"|"&amp;DATOS!$E6674&amp;"|"&amp;DATOS!$I6674)</f>
      </c>
      <c r="G6674">
        <f>IF(DATOS!$A6674="",0,IF(CONFIG_METADATA!$B$4&lt;&gt;"OR+EX",--(DATOS!$G6674=CONFIG_METADATA!$B$4),IF(DATOS!$G6674="EX",1,IF(DATOS!$G6674="OR",--(COUNTIFS(nNIA,DATOS!$A6674,nCURSO,DATOS!$D6674,nESPEC,DATOS!$E6674,nASIG,DATOS!$I6674,nEVAL,"EX")=0),0))))</f>
      </c>
      <c r="H6674">
        <f>IF(DATOS!$G6674&lt;&gt;"EX",0,--(COUNTIFS(nNIA,DATOS!$A6674,nCURSO,DATOS!$D6674,nESPEC,DATOS!$E6674,nASIG,DATOS!$I6674,nEVAL,"OR")=0))</f>
      </c>
      <c r="I6674">
        <f>IF(DATOS!$I6674="","",IFERROR(VLOOKUP(DATOS!$I6674,CONFIG_ASIGNATURAS!$B$2:$J$91,9,FALSE()),""))</f>
      </c>
    </row>
    <row r="6675">
      <c r="F6675">
        <f>IF(DATOS!$A6675="","",DATOS!$A6675&amp;"|"&amp;DATOS!$D6675&amp;"|"&amp;DATOS!$E6675&amp;"|"&amp;DATOS!$I6675)</f>
      </c>
      <c r="G6675">
        <f>IF(DATOS!$A6675="",0,IF(CONFIG_METADATA!$B$4&lt;&gt;"OR+EX",--(DATOS!$G6675=CONFIG_METADATA!$B$4),IF(DATOS!$G6675="EX",1,IF(DATOS!$G6675="OR",--(COUNTIFS(nNIA,DATOS!$A6675,nCURSO,DATOS!$D6675,nESPEC,DATOS!$E6675,nASIG,DATOS!$I6675,nEVAL,"EX")=0),0))))</f>
      </c>
      <c r="H6675">
        <f>IF(DATOS!$G6675&lt;&gt;"EX",0,--(COUNTIFS(nNIA,DATOS!$A6675,nCURSO,DATOS!$D6675,nESPEC,DATOS!$E6675,nASIG,DATOS!$I6675,nEVAL,"OR")=0))</f>
      </c>
      <c r="I6675">
        <f>IF(DATOS!$I6675="","",IFERROR(VLOOKUP(DATOS!$I6675,CONFIG_ASIGNATURAS!$B$2:$J$91,9,FALSE()),""))</f>
      </c>
    </row>
    <row r="6676">
      <c r="F6676">
        <f>IF(DATOS!$A6676="","",DATOS!$A6676&amp;"|"&amp;DATOS!$D6676&amp;"|"&amp;DATOS!$E6676&amp;"|"&amp;DATOS!$I6676)</f>
      </c>
      <c r="G6676">
        <f>IF(DATOS!$A6676="",0,IF(CONFIG_METADATA!$B$4&lt;&gt;"OR+EX",--(DATOS!$G6676=CONFIG_METADATA!$B$4),IF(DATOS!$G6676="EX",1,IF(DATOS!$G6676="OR",--(COUNTIFS(nNIA,DATOS!$A6676,nCURSO,DATOS!$D6676,nESPEC,DATOS!$E6676,nASIG,DATOS!$I6676,nEVAL,"EX")=0),0))))</f>
      </c>
      <c r="H6676">
        <f>IF(DATOS!$G6676&lt;&gt;"EX",0,--(COUNTIFS(nNIA,DATOS!$A6676,nCURSO,DATOS!$D6676,nESPEC,DATOS!$E6676,nASIG,DATOS!$I6676,nEVAL,"OR")=0))</f>
      </c>
      <c r="I6676">
        <f>IF(DATOS!$I6676="","",IFERROR(VLOOKUP(DATOS!$I6676,CONFIG_ASIGNATURAS!$B$2:$J$91,9,FALSE()),""))</f>
      </c>
    </row>
    <row r="6677">
      <c r="F6677">
        <f>IF(DATOS!$A6677="","",DATOS!$A6677&amp;"|"&amp;DATOS!$D6677&amp;"|"&amp;DATOS!$E6677&amp;"|"&amp;DATOS!$I6677)</f>
      </c>
      <c r="G6677">
        <f>IF(DATOS!$A6677="",0,IF(CONFIG_METADATA!$B$4&lt;&gt;"OR+EX",--(DATOS!$G6677=CONFIG_METADATA!$B$4),IF(DATOS!$G6677="EX",1,IF(DATOS!$G6677="OR",--(COUNTIFS(nNIA,DATOS!$A6677,nCURSO,DATOS!$D6677,nESPEC,DATOS!$E6677,nASIG,DATOS!$I6677,nEVAL,"EX")=0),0))))</f>
      </c>
      <c r="H6677">
        <f>IF(DATOS!$G6677&lt;&gt;"EX",0,--(COUNTIFS(nNIA,DATOS!$A6677,nCURSO,DATOS!$D6677,nESPEC,DATOS!$E6677,nASIG,DATOS!$I6677,nEVAL,"OR")=0))</f>
      </c>
      <c r="I6677">
        <f>IF(DATOS!$I6677="","",IFERROR(VLOOKUP(DATOS!$I6677,CONFIG_ASIGNATURAS!$B$2:$J$91,9,FALSE()),""))</f>
      </c>
    </row>
    <row r="6678">
      <c r="F6678">
        <f>IF(DATOS!$A6678="","",DATOS!$A6678&amp;"|"&amp;DATOS!$D6678&amp;"|"&amp;DATOS!$E6678&amp;"|"&amp;DATOS!$I6678)</f>
      </c>
      <c r="G6678">
        <f>IF(DATOS!$A6678="",0,IF(CONFIG_METADATA!$B$4&lt;&gt;"OR+EX",--(DATOS!$G6678=CONFIG_METADATA!$B$4),IF(DATOS!$G6678="EX",1,IF(DATOS!$G6678="OR",--(COUNTIFS(nNIA,DATOS!$A6678,nCURSO,DATOS!$D6678,nESPEC,DATOS!$E6678,nASIG,DATOS!$I6678,nEVAL,"EX")=0),0))))</f>
      </c>
      <c r="H6678">
        <f>IF(DATOS!$G6678&lt;&gt;"EX",0,--(COUNTIFS(nNIA,DATOS!$A6678,nCURSO,DATOS!$D6678,nESPEC,DATOS!$E6678,nASIG,DATOS!$I6678,nEVAL,"OR")=0))</f>
      </c>
      <c r="I6678">
        <f>IF(DATOS!$I6678="","",IFERROR(VLOOKUP(DATOS!$I6678,CONFIG_ASIGNATURAS!$B$2:$J$91,9,FALSE()),""))</f>
      </c>
    </row>
    <row r="6679">
      <c r="F6679">
        <f>IF(DATOS!$A6679="","",DATOS!$A6679&amp;"|"&amp;DATOS!$D6679&amp;"|"&amp;DATOS!$E6679&amp;"|"&amp;DATOS!$I6679)</f>
      </c>
      <c r="G6679">
        <f>IF(DATOS!$A6679="",0,IF(CONFIG_METADATA!$B$4&lt;&gt;"OR+EX",--(DATOS!$G6679=CONFIG_METADATA!$B$4),IF(DATOS!$G6679="EX",1,IF(DATOS!$G6679="OR",--(COUNTIFS(nNIA,DATOS!$A6679,nCURSO,DATOS!$D6679,nESPEC,DATOS!$E6679,nASIG,DATOS!$I6679,nEVAL,"EX")=0),0))))</f>
      </c>
      <c r="H6679">
        <f>IF(DATOS!$G6679&lt;&gt;"EX",0,--(COUNTIFS(nNIA,DATOS!$A6679,nCURSO,DATOS!$D6679,nESPEC,DATOS!$E6679,nASIG,DATOS!$I6679,nEVAL,"OR")=0))</f>
      </c>
      <c r="I6679">
        <f>IF(DATOS!$I6679="","",IFERROR(VLOOKUP(DATOS!$I6679,CONFIG_ASIGNATURAS!$B$2:$J$91,9,FALSE()),""))</f>
      </c>
    </row>
    <row r="6680">
      <c r="F6680">
        <f>IF(DATOS!$A6680="","",DATOS!$A6680&amp;"|"&amp;DATOS!$D6680&amp;"|"&amp;DATOS!$E6680&amp;"|"&amp;DATOS!$I6680)</f>
      </c>
      <c r="G6680">
        <f>IF(DATOS!$A6680="",0,IF(CONFIG_METADATA!$B$4&lt;&gt;"OR+EX",--(DATOS!$G6680=CONFIG_METADATA!$B$4),IF(DATOS!$G6680="EX",1,IF(DATOS!$G6680="OR",--(COUNTIFS(nNIA,DATOS!$A6680,nCURSO,DATOS!$D6680,nESPEC,DATOS!$E6680,nASIG,DATOS!$I6680,nEVAL,"EX")=0),0))))</f>
      </c>
      <c r="H6680">
        <f>IF(DATOS!$G6680&lt;&gt;"EX",0,--(COUNTIFS(nNIA,DATOS!$A6680,nCURSO,DATOS!$D6680,nESPEC,DATOS!$E6680,nASIG,DATOS!$I6680,nEVAL,"OR")=0))</f>
      </c>
      <c r="I6680">
        <f>IF(DATOS!$I6680="","",IFERROR(VLOOKUP(DATOS!$I6680,CONFIG_ASIGNATURAS!$B$2:$J$91,9,FALSE()),""))</f>
      </c>
    </row>
    <row r="6681">
      <c r="F6681">
        <f>IF(DATOS!$A6681="","",DATOS!$A6681&amp;"|"&amp;DATOS!$D6681&amp;"|"&amp;DATOS!$E6681&amp;"|"&amp;DATOS!$I6681)</f>
      </c>
      <c r="G6681">
        <f>IF(DATOS!$A6681="",0,IF(CONFIG_METADATA!$B$4&lt;&gt;"OR+EX",--(DATOS!$G6681=CONFIG_METADATA!$B$4),IF(DATOS!$G6681="EX",1,IF(DATOS!$G6681="OR",--(COUNTIFS(nNIA,DATOS!$A6681,nCURSO,DATOS!$D6681,nESPEC,DATOS!$E6681,nASIG,DATOS!$I6681,nEVAL,"EX")=0),0))))</f>
      </c>
      <c r="H6681">
        <f>IF(DATOS!$G6681&lt;&gt;"EX",0,--(COUNTIFS(nNIA,DATOS!$A6681,nCURSO,DATOS!$D6681,nESPEC,DATOS!$E6681,nASIG,DATOS!$I6681,nEVAL,"OR")=0))</f>
      </c>
      <c r="I6681">
        <f>IF(DATOS!$I6681="","",IFERROR(VLOOKUP(DATOS!$I6681,CONFIG_ASIGNATURAS!$B$2:$J$91,9,FALSE()),""))</f>
      </c>
    </row>
    <row r="6682">
      <c r="F6682">
        <f>IF(DATOS!$A6682="","",DATOS!$A6682&amp;"|"&amp;DATOS!$D6682&amp;"|"&amp;DATOS!$E6682&amp;"|"&amp;DATOS!$I6682)</f>
      </c>
      <c r="G6682">
        <f>IF(DATOS!$A6682="",0,IF(CONFIG_METADATA!$B$4&lt;&gt;"OR+EX",--(DATOS!$G6682=CONFIG_METADATA!$B$4),IF(DATOS!$G6682="EX",1,IF(DATOS!$G6682="OR",--(COUNTIFS(nNIA,DATOS!$A6682,nCURSO,DATOS!$D6682,nESPEC,DATOS!$E6682,nASIG,DATOS!$I6682,nEVAL,"EX")=0),0))))</f>
      </c>
      <c r="H6682">
        <f>IF(DATOS!$G6682&lt;&gt;"EX",0,--(COUNTIFS(nNIA,DATOS!$A6682,nCURSO,DATOS!$D6682,nESPEC,DATOS!$E6682,nASIG,DATOS!$I6682,nEVAL,"OR")=0))</f>
      </c>
      <c r="I6682">
        <f>IF(DATOS!$I6682="","",IFERROR(VLOOKUP(DATOS!$I6682,CONFIG_ASIGNATURAS!$B$2:$J$91,9,FALSE()),""))</f>
      </c>
    </row>
    <row r="6683">
      <c r="F6683">
        <f>IF(DATOS!$A6683="","",DATOS!$A6683&amp;"|"&amp;DATOS!$D6683&amp;"|"&amp;DATOS!$E6683&amp;"|"&amp;DATOS!$I6683)</f>
      </c>
      <c r="G6683">
        <f>IF(DATOS!$A6683="",0,IF(CONFIG_METADATA!$B$4&lt;&gt;"OR+EX",--(DATOS!$G6683=CONFIG_METADATA!$B$4),IF(DATOS!$G6683="EX",1,IF(DATOS!$G6683="OR",--(COUNTIFS(nNIA,DATOS!$A6683,nCURSO,DATOS!$D6683,nESPEC,DATOS!$E6683,nASIG,DATOS!$I6683,nEVAL,"EX")=0),0))))</f>
      </c>
      <c r="H6683">
        <f>IF(DATOS!$G6683&lt;&gt;"EX",0,--(COUNTIFS(nNIA,DATOS!$A6683,nCURSO,DATOS!$D6683,nESPEC,DATOS!$E6683,nASIG,DATOS!$I6683,nEVAL,"OR")=0))</f>
      </c>
      <c r="I6683">
        <f>IF(DATOS!$I6683="","",IFERROR(VLOOKUP(DATOS!$I6683,CONFIG_ASIGNATURAS!$B$2:$J$91,9,FALSE()),""))</f>
      </c>
    </row>
    <row r="6684">
      <c r="F6684">
        <f>IF(DATOS!$A6684="","",DATOS!$A6684&amp;"|"&amp;DATOS!$D6684&amp;"|"&amp;DATOS!$E6684&amp;"|"&amp;DATOS!$I6684)</f>
      </c>
      <c r="G6684">
        <f>IF(DATOS!$A6684="",0,IF(CONFIG_METADATA!$B$4&lt;&gt;"OR+EX",--(DATOS!$G6684=CONFIG_METADATA!$B$4),IF(DATOS!$G6684="EX",1,IF(DATOS!$G6684="OR",--(COUNTIFS(nNIA,DATOS!$A6684,nCURSO,DATOS!$D6684,nESPEC,DATOS!$E6684,nASIG,DATOS!$I6684,nEVAL,"EX")=0),0))))</f>
      </c>
      <c r="H6684">
        <f>IF(DATOS!$G6684&lt;&gt;"EX",0,--(COUNTIFS(nNIA,DATOS!$A6684,nCURSO,DATOS!$D6684,nESPEC,DATOS!$E6684,nASIG,DATOS!$I6684,nEVAL,"OR")=0))</f>
      </c>
      <c r="I6684">
        <f>IF(DATOS!$I6684="","",IFERROR(VLOOKUP(DATOS!$I6684,CONFIG_ASIGNATURAS!$B$2:$J$91,9,FALSE()),""))</f>
      </c>
    </row>
    <row r="6685">
      <c r="F6685">
        <f>IF(DATOS!$A6685="","",DATOS!$A6685&amp;"|"&amp;DATOS!$D6685&amp;"|"&amp;DATOS!$E6685&amp;"|"&amp;DATOS!$I6685)</f>
      </c>
      <c r="G6685">
        <f>IF(DATOS!$A6685="",0,IF(CONFIG_METADATA!$B$4&lt;&gt;"OR+EX",--(DATOS!$G6685=CONFIG_METADATA!$B$4),IF(DATOS!$G6685="EX",1,IF(DATOS!$G6685="OR",--(COUNTIFS(nNIA,DATOS!$A6685,nCURSO,DATOS!$D6685,nESPEC,DATOS!$E6685,nASIG,DATOS!$I6685,nEVAL,"EX")=0),0))))</f>
      </c>
      <c r="H6685">
        <f>IF(DATOS!$G6685&lt;&gt;"EX",0,--(COUNTIFS(nNIA,DATOS!$A6685,nCURSO,DATOS!$D6685,nESPEC,DATOS!$E6685,nASIG,DATOS!$I6685,nEVAL,"OR")=0))</f>
      </c>
      <c r="I6685">
        <f>IF(DATOS!$I6685="","",IFERROR(VLOOKUP(DATOS!$I6685,CONFIG_ASIGNATURAS!$B$2:$J$91,9,FALSE()),""))</f>
      </c>
    </row>
    <row r="6686">
      <c r="F6686">
        <f>IF(DATOS!$A6686="","",DATOS!$A6686&amp;"|"&amp;DATOS!$D6686&amp;"|"&amp;DATOS!$E6686&amp;"|"&amp;DATOS!$I6686)</f>
      </c>
      <c r="G6686">
        <f>IF(DATOS!$A6686="",0,IF(CONFIG_METADATA!$B$4&lt;&gt;"OR+EX",--(DATOS!$G6686=CONFIG_METADATA!$B$4),IF(DATOS!$G6686="EX",1,IF(DATOS!$G6686="OR",--(COUNTIFS(nNIA,DATOS!$A6686,nCURSO,DATOS!$D6686,nESPEC,DATOS!$E6686,nASIG,DATOS!$I6686,nEVAL,"EX")=0),0))))</f>
      </c>
      <c r="H6686">
        <f>IF(DATOS!$G6686&lt;&gt;"EX",0,--(COUNTIFS(nNIA,DATOS!$A6686,nCURSO,DATOS!$D6686,nESPEC,DATOS!$E6686,nASIG,DATOS!$I6686,nEVAL,"OR")=0))</f>
      </c>
      <c r="I6686">
        <f>IF(DATOS!$I6686="","",IFERROR(VLOOKUP(DATOS!$I6686,CONFIG_ASIGNATURAS!$B$2:$J$91,9,FALSE()),""))</f>
      </c>
    </row>
    <row r="6687">
      <c r="F6687">
        <f>IF(DATOS!$A6687="","",DATOS!$A6687&amp;"|"&amp;DATOS!$D6687&amp;"|"&amp;DATOS!$E6687&amp;"|"&amp;DATOS!$I6687)</f>
      </c>
      <c r="G6687">
        <f>IF(DATOS!$A6687="",0,IF(CONFIG_METADATA!$B$4&lt;&gt;"OR+EX",--(DATOS!$G6687=CONFIG_METADATA!$B$4),IF(DATOS!$G6687="EX",1,IF(DATOS!$G6687="OR",--(COUNTIFS(nNIA,DATOS!$A6687,nCURSO,DATOS!$D6687,nESPEC,DATOS!$E6687,nASIG,DATOS!$I6687,nEVAL,"EX")=0),0))))</f>
      </c>
      <c r="H6687">
        <f>IF(DATOS!$G6687&lt;&gt;"EX",0,--(COUNTIFS(nNIA,DATOS!$A6687,nCURSO,DATOS!$D6687,nESPEC,DATOS!$E6687,nASIG,DATOS!$I6687,nEVAL,"OR")=0))</f>
      </c>
      <c r="I6687">
        <f>IF(DATOS!$I6687="","",IFERROR(VLOOKUP(DATOS!$I6687,CONFIG_ASIGNATURAS!$B$2:$J$91,9,FALSE()),""))</f>
      </c>
    </row>
    <row r="6688">
      <c r="F6688">
        <f>IF(DATOS!$A6688="","",DATOS!$A6688&amp;"|"&amp;DATOS!$D6688&amp;"|"&amp;DATOS!$E6688&amp;"|"&amp;DATOS!$I6688)</f>
      </c>
      <c r="G6688">
        <f>IF(DATOS!$A6688="",0,IF(CONFIG_METADATA!$B$4&lt;&gt;"OR+EX",--(DATOS!$G6688=CONFIG_METADATA!$B$4),IF(DATOS!$G6688="EX",1,IF(DATOS!$G6688="OR",--(COUNTIFS(nNIA,DATOS!$A6688,nCURSO,DATOS!$D6688,nESPEC,DATOS!$E6688,nASIG,DATOS!$I6688,nEVAL,"EX")=0),0))))</f>
      </c>
      <c r="H6688">
        <f>IF(DATOS!$G6688&lt;&gt;"EX",0,--(COUNTIFS(nNIA,DATOS!$A6688,nCURSO,DATOS!$D6688,nESPEC,DATOS!$E6688,nASIG,DATOS!$I6688,nEVAL,"OR")=0))</f>
      </c>
      <c r="I6688">
        <f>IF(DATOS!$I6688="","",IFERROR(VLOOKUP(DATOS!$I6688,CONFIG_ASIGNATURAS!$B$2:$J$91,9,FALSE()),""))</f>
      </c>
    </row>
    <row r="6689">
      <c r="F6689">
        <f>IF(DATOS!$A6689="","",DATOS!$A6689&amp;"|"&amp;DATOS!$D6689&amp;"|"&amp;DATOS!$E6689&amp;"|"&amp;DATOS!$I6689)</f>
      </c>
      <c r="G6689">
        <f>IF(DATOS!$A6689="",0,IF(CONFIG_METADATA!$B$4&lt;&gt;"OR+EX",--(DATOS!$G6689=CONFIG_METADATA!$B$4),IF(DATOS!$G6689="EX",1,IF(DATOS!$G6689="OR",--(COUNTIFS(nNIA,DATOS!$A6689,nCURSO,DATOS!$D6689,nESPEC,DATOS!$E6689,nASIG,DATOS!$I6689,nEVAL,"EX")=0),0))))</f>
      </c>
      <c r="H6689">
        <f>IF(DATOS!$G6689&lt;&gt;"EX",0,--(COUNTIFS(nNIA,DATOS!$A6689,nCURSO,DATOS!$D6689,nESPEC,DATOS!$E6689,nASIG,DATOS!$I6689,nEVAL,"OR")=0))</f>
      </c>
      <c r="I6689">
        <f>IF(DATOS!$I6689="","",IFERROR(VLOOKUP(DATOS!$I6689,CONFIG_ASIGNATURAS!$B$2:$J$91,9,FALSE()),""))</f>
      </c>
    </row>
    <row r="6690">
      <c r="F6690">
        <f>IF(DATOS!$A6690="","",DATOS!$A6690&amp;"|"&amp;DATOS!$D6690&amp;"|"&amp;DATOS!$E6690&amp;"|"&amp;DATOS!$I6690)</f>
      </c>
      <c r="G6690">
        <f>IF(DATOS!$A6690="",0,IF(CONFIG_METADATA!$B$4&lt;&gt;"OR+EX",--(DATOS!$G6690=CONFIG_METADATA!$B$4),IF(DATOS!$G6690="EX",1,IF(DATOS!$G6690="OR",--(COUNTIFS(nNIA,DATOS!$A6690,nCURSO,DATOS!$D6690,nESPEC,DATOS!$E6690,nASIG,DATOS!$I6690,nEVAL,"EX")=0),0))))</f>
      </c>
      <c r="H6690">
        <f>IF(DATOS!$G6690&lt;&gt;"EX",0,--(COUNTIFS(nNIA,DATOS!$A6690,nCURSO,DATOS!$D6690,nESPEC,DATOS!$E6690,nASIG,DATOS!$I6690,nEVAL,"OR")=0))</f>
      </c>
      <c r="I6690">
        <f>IF(DATOS!$I6690="","",IFERROR(VLOOKUP(DATOS!$I6690,CONFIG_ASIGNATURAS!$B$2:$J$91,9,FALSE()),""))</f>
      </c>
    </row>
    <row r="6691">
      <c r="F6691">
        <f>IF(DATOS!$A6691="","",DATOS!$A6691&amp;"|"&amp;DATOS!$D6691&amp;"|"&amp;DATOS!$E6691&amp;"|"&amp;DATOS!$I6691)</f>
      </c>
      <c r="G6691">
        <f>IF(DATOS!$A6691="",0,IF(CONFIG_METADATA!$B$4&lt;&gt;"OR+EX",--(DATOS!$G6691=CONFIG_METADATA!$B$4),IF(DATOS!$G6691="EX",1,IF(DATOS!$G6691="OR",--(COUNTIFS(nNIA,DATOS!$A6691,nCURSO,DATOS!$D6691,nESPEC,DATOS!$E6691,nASIG,DATOS!$I6691,nEVAL,"EX")=0),0))))</f>
      </c>
      <c r="H6691">
        <f>IF(DATOS!$G6691&lt;&gt;"EX",0,--(COUNTIFS(nNIA,DATOS!$A6691,nCURSO,DATOS!$D6691,nESPEC,DATOS!$E6691,nASIG,DATOS!$I6691,nEVAL,"OR")=0))</f>
      </c>
      <c r="I6691">
        <f>IF(DATOS!$I6691="","",IFERROR(VLOOKUP(DATOS!$I6691,CONFIG_ASIGNATURAS!$B$2:$J$91,9,FALSE()),""))</f>
      </c>
    </row>
    <row r="6692">
      <c r="F6692">
        <f>IF(DATOS!$A6692="","",DATOS!$A6692&amp;"|"&amp;DATOS!$D6692&amp;"|"&amp;DATOS!$E6692&amp;"|"&amp;DATOS!$I6692)</f>
      </c>
      <c r="G6692">
        <f>IF(DATOS!$A6692="",0,IF(CONFIG_METADATA!$B$4&lt;&gt;"OR+EX",--(DATOS!$G6692=CONFIG_METADATA!$B$4),IF(DATOS!$G6692="EX",1,IF(DATOS!$G6692="OR",--(COUNTIFS(nNIA,DATOS!$A6692,nCURSO,DATOS!$D6692,nESPEC,DATOS!$E6692,nASIG,DATOS!$I6692,nEVAL,"EX")=0),0))))</f>
      </c>
      <c r="H6692">
        <f>IF(DATOS!$G6692&lt;&gt;"EX",0,--(COUNTIFS(nNIA,DATOS!$A6692,nCURSO,DATOS!$D6692,nESPEC,DATOS!$E6692,nASIG,DATOS!$I6692,nEVAL,"OR")=0))</f>
      </c>
      <c r="I6692">
        <f>IF(DATOS!$I6692="","",IFERROR(VLOOKUP(DATOS!$I6692,CONFIG_ASIGNATURAS!$B$2:$J$91,9,FALSE()),""))</f>
      </c>
    </row>
    <row r="6693">
      <c r="F6693">
        <f>IF(DATOS!$A6693="","",DATOS!$A6693&amp;"|"&amp;DATOS!$D6693&amp;"|"&amp;DATOS!$E6693&amp;"|"&amp;DATOS!$I6693)</f>
      </c>
      <c r="G6693">
        <f>IF(DATOS!$A6693="",0,IF(CONFIG_METADATA!$B$4&lt;&gt;"OR+EX",--(DATOS!$G6693=CONFIG_METADATA!$B$4),IF(DATOS!$G6693="EX",1,IF(DATOS!$G6693="OR",--(COUNTIFS(nNIA,DATOS!$A6693,nCURSO,DATOS!$D6693,nESPEC,DATOS!$E6693,nASIG,DATOS!$I6693,nEVAL,"EX")=0),0))))</f>
      </c>
      <c r="H6693">
        <f>IF(DATOS!$G6693&lt;&gt;"EX",0,--(COUNTIFS(nNIA,DATOS!$A6693,nCURSO,DATOS!$D6693,nESPEC,DATOS!$E6693,nASIG,DATOS!$I6693,nEVAL,"OR")=0))</f>
      </c>
      <c r="I6693">
        <f>IF(DATOS!$I6693="","",IFERROR(VLOOKUP(DATOS!$I6693,CONFIG_ASIGNATURAS!$B$2:$J$91,9,FALSE()),""))</f>
      </c>
    </row>
    <row r="6694">
      <c r="F6694">
        <f>IF(DATOS!$A6694="","",DATOS!$A6694&amp;"|"&amp;DATOS!$D6694&amp;"|"&amp;DATOS!$E6694&amp;"|"&amp;DATOS!$I6694)</f>
      </c>
      <c r="G6694">
        <f>IF(DATOS!$A6694="",0,IF(CONFIG_METADATA!$B$4&lt;&gt;"OR+EX",--(DATOS!$G6694=CONFIG_METADATA!$B$4),IF(DATOS!$G6694="EX",1,IF(DATOS!$G6694="OR",--(COUNTIFS(nNIA,DATOS!$A6694,nCURSO,DATOS!$D6694,nESPEC,DATOS!$E6694,nASIG,DATOS!$I6694,nEVAL,"EX")=0),0))))</f>
      </c>
      <c r="H6694">
        <f>IF(DATOS!$G6694&lt;&gt;"EX",0,--(COUNTIFS(nNIA,DATOS!$A6694,nCURSO,DATOS!$D6694,nESPEC,DATOS!$E6694,nASIG,DATOS!$I6694,nEVAL,"OR")=0))</f>
      </c>
      <c r="I6694">
        <f>IF(DATOS!$I6694="","",IFERROR(VLOOKUP(DATOS!$I6694,CONFIG_ASIGNATURAS!$B$2:$J$91,9,FALSE()),""))</f>
      </c>
    </row>
    <row r="6695">
      <c r="F6695">
        <f>IF(DATOS!$A6695="","",DATOS!$A6695&amp;"|"&amp;DATOS!$D6695&amp;"|"&amp;DATOS!$E6695&amp;"|"&amp;DATOS!$I6695)</f>
      </c>
      <c r="G6695">
        <f>IF(DATOS!$A6695="",0,IF(CONFIG_METADATA!$B$4&lt;&gt;"OR+EX",--(DATOS!$G6695=CONFIG_METADATA!$B$4),IF(DATOS!$G6695="EX",1,IF(DATOS!$G6695="OR",--(COUNTIFS(nNIA,DATOS!$A6695,nCURSO,DATOS!$D6695,nESPEC,DATOS!$E6695,nASIG,DATOS!$I6695,nEVAL,"EX")=0),0))))</f>
      </c>
      <c r="H6695">
        <f>IF(DATOS!$G6695&lt;&gt;"EX",0,--(COUNTIFS(nNIA,DATOS!$A6695,nCURSO,DATOS!$D6695,nESPEC,DATOS!$E6695,nASIG,DATOS!$I6695,nEVAL,"OR")=0))</f>
      </c>
      <c r="I6695">
        <f>IF(DATOS!$I6695="","",IFERROR(VLOOKUP(DATOS!$I6695,CONFIG_ASIGNATURAS!$B$2:$J$91,9,FALSE()),""))</f>
      </c>
    </row>
    <row r="6696">
      <c r="F6696">
        <f>IF(DATOS!$A6696="","",DATOS!$A6696&amp;"|"&amp;DATOS!$D6696&amp;"|"&amp;DATOS!$E6696&amp;"|"&amp;DATOS!$I6696)</f>
      </c>
      <c r="G6696">
        <f>IF(DATOS!$A6696="",0,IF(CONFIG_METADATA!$B$4&lt;&gt;"OR+EX",--(DATOS!$G6696=CONFIG_METADATA!$B$4),IF(DATOS!$G6696="EX",1,IF(DATOS!$G6696="OR",--(COUNTIFS(nNIA,DATOS!$A6696,nCURSO,DATOS!$D6696,nESPEC,DATOS!$E6696,nASIG,DATOS!$I6696,nEVAL,"EX")=0),0))))</f>
      </c>
      <c r="H6696">
        <f>IF(DATOS!$G6696&lt;&gt;"EX",0,--(COUNTIFS(nNIA,DATOS!$A6696,nCURSO,DATOS!$D6696,nESPEC,DATOS!$E6696,nASIG,DATOS!$I6696,nEVAL,"OR")=0))</f>
      </c>
      <c r="I6696">
        <f>IF(DATOS!$I6696="","",IFERROR(VLOOKUP(DATOS!$I6696,CONFIG_ASIGNATURAS!$B$2:$J$91,9,FALSE()),""))</f>
      </c>
    </row>
    <row r="6697">
      <c r="F6697">
        <f>IF(DATOS!$A6697="","",DATOS!$A6697&amp;"|"&amp;DATOS!$D6697&amp;"|"&amp;DATOS!$E6697&amp;"|"&amp;DATOS!$I6697)</f>
      </c>
      <c r="G6697">
        <f>IF(DATOS!$A6697="",0,IF(CONFIG_METADATA!$B$4&lt;&gt;"OR+EX",--(DATOS!$G6697=CONFIG_METADATA!$B$4),IF(DATOS!$G6697="EX",1,IF(DATOS!$G6697="OR",--(COUNTIFS(nNIA,DATOS!$A6697,nCURSO,DATOS!$D6697,nESPEC,DATOS!$E6697,nASIG,DATOS!$I6697,nEVAL,"EX")=0),0))))</f>
      </c>
      <c r="H6697">
        <f>IF(DATOS!$G6697&lt;&gt;"EX",0,--(COUNTIFS(nNIA,DATOS!$A6697,nCURSO,DATOS!$D6697,nESPEC,DATOS!$E6697,nASIG,DATOS!$I6697,nEVAL,"OR")=0))</f>
      </c>
      <c r="I6697">
        <f>IF(DATOS!$I6697="","",IFERROR(VLOOKUP(DATOS!$I6697,CONFIG_ASIGNATURAS!$B$2:$J$91,9,FALSE()),""))</f>
      </c>
    </row>
    <row r="6698">
      <c r="F6698">
        <f>IF(DATOS!$A6698="","",DATOS!$A6698&amp;"|"&amp;DATOS!$D6698&amp;"|"&amp;DATOS!$E6698&amp;"|"&amp;DATOS!$I6698)</f>
      </c>
      <c r="G6698">
        <f>IF(DATOS!$A6698="",0,IF(CONFIG_METADATA!$B$4&lt;&gt;"OR+EX",--(DATOS!$G6698=CONFIG_METADATA!$B$4),IF(DATOS!$G6698="EX",1,IF(DATOS!$G6698="OR",--(COUNTIFS(nNIA,DATOS!$A6698,nCURSO,DATOS!$D6698,nESPEC,DATOS!$E6698,nASIG,DATOS!$I6698,nEVAL,"EX")=0),0))))</f>
      </c>
      <c r="H6698">
        <f>IF(DATOS!$G6698&lt;&gt;"EX",0,--(COUNTIFS(nNIA,DATOS!$A6698,nCURSO,DATOS!$D6698,nESPEC,DATOS!$E6698,nASIG,DATOS!$I6698,nEVAL,"OR")=0))</f>
      </c>
      <c r="I6698">
        <f>IF(DATOS!$I6698="","",IFERROR(VLOOKUP(DATOS!$I6698,CONFIG_ASIGNATURAS!$B$2:$J$91,9,FALSE()),""))</f>
      </c>
    </row>
    <row r="6699">
      <c r="F6699">
        <f>IF(DATOS!$A6699="","",DATOS!$A6699&amp;"|"&amp;DATOS!$D6699&amp;"|"&amp;DATOS!$E6699&amp;"|"&amp;DATOS!$I6699)</f>
      </c>
      <c r="G6699">
        <f>IF(DATOS!$A6699="",0,IF(CONFIG_METADATA!$B$4&lt;&gt;"OR+EX",--(DATOS!$G6699=CONFIG_METADATA!$B$4),IF(DATOS!$G6699="EX",1,IF(DATOS!$G6699="OR",--(COUNTIFS(nNIA,DATOS!$A6699,nCURSO,DATOS!$D6699,nESPEC,DATOS!$E6699,nASIG,DATOS!$I6699,nEVAL,"EX")=0),0))))</f>
      </c>
      <c r="H6699">
        <f>IF(DATOS!$G6699&lt;&gt;"EX",0,--(COUNTIFS(nNIA,DATOS!$A6699,nCURSO,DATOS!$D6699,nESPEC,DATOS!$E6699,nASIG,DATOS!$I6699,nEVAL,"OR")=0))</f>
      </c>
      <c r="I6699">
        <f>IF(DATOS!$I6699="","",IFERROR(VLOOKUP(DATOS!$I6699,CONFIG_ASIGNATURAS!$B$2:$J$91,9,FALSE()),""))</f>
      </c>
    </row>
    <row r="6700">
      <c r="F6700">
        <f>IF(DATOS!$A6700="","",DATOS!$A6700&amp;"|"&amp;DATOS!$D6700&amp;"|"&amp;DATOS!$E6700&amp;"|"&amp;DATOS!$I6700)</f>
      </c>
      <c r="G6700">
        <f>IF(DATOS!$A6700="",0,IF(CONFIG_METADATA!$B$4&lt;&gt;"OR+EX",--(DATOS!$G6700=CONFIG_METADATA!$B$4),IF(DATOS!$G6700="EX",1,IF(DATOS!$G6700="OR",--(COUNTIFS(nNIA,DATOS!$A6700,nCURSO,DATOS!$D6700,nESPEC,DATOS!$E6700,nASIG,DATOS!$I6700,nEVAL,"EX")=0),0))))</f>
      </c>
      <c r="H6700">
        <f>IF(DATOS!$G6700&lt;&gt;"EX",0,--(COUNTIFS(nNIA,DATOS!$A6700,nCURSO,DATOS!$D6700,nESPEC,DATOS!$E6700,nASIG,DATOS!$I6700,nEVAL,"OR")=0))</f>
      </c>
      <c r="I6700">
        <f>IF(DATOS!$I6700="","",IFERROR(VLOOKUP(DATOS!$I6700,CONFIG_ASIGNATURAS!$B$2:$J$91,9,FALSE()),""))</f>
      </c>
    </row>
    <row r="6701">
      <c r="F6701">
        <f>IF(DATOS!$A6701="","",DATOS!$A6701&amp;"|"&amp;DATOS!$D6701&amp;"|"&amp;DATOS!$E6701&amp;"|"&amp;DATOS!$I6701)</f>
      </c>
      <c r="G6701">
        <f>IF(DATOS!$A6701="",0,IF(CONFIG_METADATA!$B$4&lt;&gt;"OR+EX",--(DATOS!$G6701=CONFIG_METADATA!$B$4),IF(DATOS!$G6701="EX",1,IF(DATOS!$G6701="OR",--(COUNTIFS(nNIA,DATOS!$A6701,nCURSO,DATOS!$D6701,nESPEC,DATOS!$E6701,nASIG,DATOS!$I6701,nEVAL,"EX")=0),0))))</f>
      </c>
      <c r="H6701">
        <f>IF(DATOS!$G6701&lt;&gt;"EX",0,--(COUNTIFS(nNIA,DATOS!$A6701,nCURSO,DATOS!$D6701,nESPEC,DATOS!$E6701,nASIG,DATOS!$I6701,nEVAL,"OR")=0))</f>
      </c>
      <c r="I6701">
        <f>IF(DATOS!$I6701="","",IFERROR(VLOOKUP(DATOS!$I6701,CONFIG_ASIGNATURAS!$B$2:$J$91,9,FALSE()),""))</f>
      </c>
    </row>
    <row r="6702">
      <c r="F6702">
        <f>IF(DATOS!$A6702="","",DATOS!$A6702&amp;"|"&amp;DATOS!$D6702&amp;"|"&amp;DATOS!$E6702&amp;"|"&amp;DATOS!$I6702)</f>
      </c>
      <c r="G6702">
        <f>IF(DATOS!$A6702="",0,IF(CONFIG_METADATA!$B$4&lt;&gt;"OR+EX",--(DATOS!$G6702=CONFIG_METADATA!$B$4),IF(DATOS!$G6702="EX",1,IF(DATOS!$G6702="OR",--(COUNTIFS(nNIA,DATOS!$A6702,nCURSO,DATOS!$D6702,nESPEC,DATOS!$E6702,nASIG,DATOS!$I6702,nEVAL,"EX")=0),0))))</f>
      </c>
      <c r="H6702">
        <f>IF(DATOS!$G6702&lt;&gt;"EX",0,--(COUNTIFS(nNIA,DATOS!$A6702,nCURSO,DATOS!$D6702,nESPEC,DATOS!$E6702,nASIG,DATOS!$I6702,nEVAL,"OR")=0))</f>
      </c>
      <c r="I6702">
        <f>IF(DATOS!$I6702="","",IFERROR(VLOOKUP(DATOS!$I6702,CONFIG_ASIGNATURAS!$B$2:$J$91,9,FALSE()),""))</f>
      </c>
    </row>
    <row r="6703">
      <c r="F6703">
        <f>IF(DATOS!$A6703="","",DATOS!$A6703&amp;"|"&amp;DATOS!$D6703&amp;"|"&amp;DATOS!$E6703&amp;"|"&amp;DATOS!$I6703)</f>
      </c>
      <c r="G6703">
        <f>IF(DATOS!$A6703="",0,IF(CONFIG_METADATA!$B$4&lt;&gt;"OR+EX",--(DATOS!$G6703=CONFIG_METADATA!$B$4),IF(DATOS!$G6703="EX",1,IF(DATOS!$G6703="OR",--(COUNTIFS(nNIA,DATOS!$A6703,nCURSO,DATOS!$D6703,nESPEC,DATOS!$E6703,nASIG,DATOS!$I6703,nEVAL,"EX")=0),0))))</f>
      </c>
      <c r="H6703">
        <f>IF(DATOS!$G6703&lt;&gt;"EX",0,--(COUNTIFS(nNIA,DATOS!$A6703,nCURSO,DATOS!$D6703,nESPEC,DATOS!$E6703,nASIG,DATOS!$I6703,nEVAL,"OR")=0))</f>
      </c>
      <c r="I6703">
        <f>IF(DATOS!$I6703="","",IFERROR(VLOOKUP(DATOS!$I6703,CONFIG_ASIGNATURAS!$B$2:$J$91,9,FALSE()),""))</f>
      </c>
    </row>
    <row r="6704">
      <c r="F6704">
        <f>IF(DATOS!$A6704="","",DATOS!$A6704&amp;"|"&amp;DATOS!$D6704&amp;"|"&amp;DATOS!$E6704&amp;"|"&amp;DATOS!$I6704)</f>
      </c>
      <c r="G6704">
        <f>IF(DATOS!$A6704="",0,IF(CONFIG_METADATA!$B$4&lt;&gt;"OR+EX",--(DATOS!$G6704=CONFIG_METADATA!$B$4),IF(DATOS!$G6704="EX",1,IF(DATOS!$G6704="OR",--(COUNTIFS(nNIA,DATOS!$A6704,nCURSO,DATOS!$D6704,nESPEC,DATOS!$E6704,nASIG,DATOS!$I6704,nEVAL,"EX")=0),0))))</f>
      </c>
      <c r="H6704">
        <f>IF(DATOS!$G6704&lt;&gt;"EX",0,--(COUNTIFS(nNIA,DATOS!$A6704,nCURSO,DATOS!$D6704,nESPEC,DATOS!$E6704,nASIG,DATOS!$I6704,nEVAL,"OR")=0))</f>
      </c>
      <c r="I6704">
        <f>IF(DATOS!$I6704="","",IFERROR(VLOOKUP(DATOS!$I6704,CONFIG_ASIGNATURAS!$B$2:$J$91,9,FALSE()),""))</f>
      </c>
    </row>
    <row r="6705">
      <c r="F6705">
        <f>IF(DATOS!$A6705="","",DATOS!$A6705&amp;"|"&amp;DATOS!$D6705&amp;"|"&amp;DATOS!$E6705&amp;"|"&amp;DATOS!$I6705)</f>
      </c>
      <c r="G6705">
        <f>IF(DATOS!$A6705="",0,IF(CONFIG_METADATA!$B$4&lt;&gt;"OR+EX",--(DATOS!$G6705=CONFIG_METADATA!$B$4),IF(DATOS!$G6705="EX",1,IF(DATOS!$G6705="OR",--(COUNTIFS(nNIA,DATOS!$A6705,nCURSO,DATOS!$D6705,nESPEC,DATOS!$E6705,nASIG,DATOS!$I6705,nEVAL,"EX")=0),0))))</f>
      </c>
      <c r="H6705">
        <f>IF(DATOS!$G6705&lt;&gt;"EX",0,--(COUNTIFS(nNIA,DATOS!$A6705,nCURSO,DATOS!$D6705,nESPEC,DATOS!$E6705,nASIG,DATOS!$I6705,nEVAL,"OR")=0))</f>
      </c>
      <c r="I6705">
        <f>IF(DATOS!$I6705="","",IFERROR(VLOOKUP(DATOS!$I6705,CONFIG_ASIGNATURAS!$B$2:$J$91,9,FALSE()),""))</f>
      </c>
    </row>
    <row r="6706">
      <c r="F6706">
        <f>IF(DATOS!$A6706="","",DATOS!$A6706&amp;"|"&amp;DATOS!$D6706&amp;"|"&amp;DATOS!$E6706&amp;"|"&amp;DATOS!$I6706)</f>
      </c>
      <c r="G6706">
        <f>IF(DATOS!$A6706="",0,IF(CONFIG_METADATA!$B$4&lt;&gt;"OR+EX",--(DATOS!$G6706=CONFIG_METADATA!$B$4),IF(DATOS!$G6706="EX",1,IF(DATOS!$G6706="OR",--(COUNTIFS(nNIA,DATOS!$A6706,nCURSO,DATOS!$D6706,nESPEC,DATOS!$E6706,nASIG,DATOS!$I6706,nEVAL,"EX")=0),0))))</f>
      </c>
      <c r="H6706">
        <f>IF(DATOS!$G6706&lt;&gt;"EX",0,--(COUNTIFS(nNIA,DATOS!$A6706,nCURSO,DATOS!$D6706,nESPEC,DATOS!$E6706,nASIG,DATOS!$I6706,nEVAL,"OR")=0))</f>
      </c>
      <c r="I6706">
        <f>IF(DATOS!$I6706="","",IFERROR(VLOOKUP(DATOS!$I6706,CONFIG_ASIGNATURAS!$B$2:$J$91,9,FALSE()),""))</f>
      </c>
    </row>
    <row r="6707">
      <c r="F6707">
        <f>IF(DATOS!$A6707="","",DATOS!$A6707&amp;"|"&amp;DATOS!$D6707&amp;"|"&amp;DATOS!$E6707&amp;"|"&amp;DATOS!$I6707)</f>
      </c>
      <c r="G6707">
        <f>IF(DATOS!$A6707="",0,IF(CONFIG_METADATA!$B$4&lt;&gt;"OR+EX",--(DATOS!$G6707=CONFIG_METADATA!$B$4),IF(DATOS!$G6707="EX",1,IF(DATOS!$G6707="OR",--(COUNTIFS(nNIA,DATOS!$A6707,nCURSO,DATOS!$D6707,nESPEC,DATOS!$E6707,nASIG,DATOS!$I6707,nEVAL,"EX")=0),0))))</f>
      </c>
      <c r="H6707">
        <f>IF(DATOS!$G6707&lt;&gt;"EX",0,--(COUNTIFS(nNIA,DATOS!$A6707,nCURSO,DATOS!$D6707,nESPEC,DATOS!$E6707,nASIG,DATOS!$I6707,nEVAL,"OR")=0))</f>
      </c>
      <c r="I6707">
        <f>IF(DATOS!$I6707="","",IFERROR(VLOOKUP(DATOS!$I6707,CONFIG_ASIGNATURAS!$B$2:$J$91,9,FALSE()),""))</f>
      </c>
    </row>
    <row r="6708">
      <c r="F6708">
        <f>IF(DATOS!$A6708="","",DATOS!$A6708&amp;"|"&amp;DATOS!$D6708&amp;"|"&amp;DATOS!$E6708&amp;"|"&amp;DATOS!$I6708)</f>
      </c>
      <c r="G6708">
        <f>IF(DATOS!$A6708="",0,IF(CONFIG_METADATA!$B$4&lt;&gt;"OR+EX",--(DATOS!$G6708=CONFIG_METADATA!$B$4),IF(DATOS!$G6708="EX",1,IF(DATOS!$G6708="OR",--(COUNTIFS(nNIA,DATOS!$A6708,nCURSO,DATOS!$D6708,nESPEC,DATOS!$E6708,nASIG,DATOS!$I6708,nEVAL,"EX")=0),0))))</f>
      </c>
      <c r="H6708">
        <f>IF(DATOS!$G6708&lt;&gt;"EX",0,--(COUNTIFS(nNIA,DATOS!$A6708,nCURSO,DATOS!$D6708,nESPEC,DATOS!$E6708,nASIG,DATOS!$I6708,nEVAL,"OR")=0))</f>
      </c>
      <c r="I6708">
        <f>IF(DATOS!$I6708="","",IFERROR(VLOOKUP(DATOS!$I6708,CONFIG_ASIGNATURAS!$B$2:$J$91,9,FALSE()),""))</f>
      </c>
    </row>
    <row r="6709">
      <c r="F6709">
        <f>IF(DATOS!$A6709="","",DATOS!$A6709&amp;"|"&amp;DATOS!$D6709&amp;"|"&amp;DATOS!$E6709&amp;"|"&amp;DATOS!$I6709)</f>
      </c>
      <c r="G6709">
        <f>IF(DATOS!$A6709="",0,IF(CONFIG_METADATA!$B$4&lt;&gt;"OR+EX",--(DATOS!$G6709=CONFIG_METADATA!$B$4),IF(DATOS!$G6709="EX",1,IF(DATOS!$G6709="OR",--(COUNTIFS(nNIA,DATOS!$A6709,nCURSO,DATOS!$D6709,nESPEC,DATOS!$E6709,nASIG,DATOS!$I6709,nEVAL,"EX")=0),0))))</f>
      </c>
      <c r="H6709">
        <f>IF(DATOS!$G6709&lt;&gt;"EX",0,--(COUNTIFS(nNIA,DATOS!$A6709,nCURSO,DATOS!$D6709,nESPEC,DATOS!$E6709,nASIG,DATOS!$I6709,nEVAL,"OR")=0))</f>
      </c>
      <c r="I6709">
        <f>IF(DATOS!$I6709="","",IFERROR(VLOOKUP(DATOS!$I6709,CONFIG_ASIGNATURAS!$B$2:$J$91,9,FALSE()),""))</f>
      </c>
    </row>
    <row r="6710">
      <c r="F6710">
        <f>IF(DATOS!$A6710="","",DATOS!$A6710&amp;"|"&amp;DATOS!$D6710&amp;"|"&amp;DATOS!$E6710&amp;"|"&amp;DATOS!$I6710)</f>
      </c>
      <c r="G6710">
        <f>IF(DATOS!$A6710="",0,IF(CONFIG_METADATA!$B$4&lt;&gt;"OR+EX",--(DATOS!$G6710=CONFIG_METADATA!$B$4),IF(DATOS!$G6710="EX",1,IF(DATOS!$G6710="OR",--(COUNTIFS(nNIA,DATOS!$A6710,nCURSO,DATOS!$D6710,nESPEC,DATOS!$E6710,nASIG,DATOS!$I6710,nEVAL,"EX")=0),0))))</f>
      </c>
      <c r="H6710">
        <f>IF(DATOS!$G6710&lt;&gt;"EX",0,--(COUNTIFS(nNIA,DATOS!$A6710,nCURSO,DATOS!$D6710,nESPEC,DATOS!$E6710,nASIG,DATOS!$I6710,nEVAL,"OR")=0))</f>
      </c>
      <c r="I6710">
        <f>IF(DATOS!$I6710="","",IFERROR(VLOOKUP(DATOS!$I6710,CONFIG_ASIGNATURAS!$B$2:$J$91,9,FALSE()),""))</f>
      </c>
    </row>
    <row r="6711">
      <c r="F6711">
        <f>IF(DATOS!$A6711="","",DATOS!$A6711&amp;"|"&amp;DATOS!$D6711&amp;"|"&amp;DATOS!$E6711&amp;"|"&amp;DATOS!$I6711)</f>
      </c>
      <c r="G6711">
        <f>IF(DATOS!$A6711="",0,IF(CONFIG_METADATA!$B$4&lt;&gt;"OR+EX",--(DATOS!$G6711=CONFIG_METADATA!$B$4),IF(DATOS!$G6711="EX",1,IF(DATOS!$G6711="OR",--(COUNTIFS(nNIA,DATOS!$A6711,nCURSO,DATOS!$D6711,nESPEC,DATOS!$E6711,nASIG,DATOS!$I6711,nEVAL,"EX")=0),0))))</f>
      </c>
      <c r="H6711">
        <f>IF(DATOS!$G6711&lt;&gt;"EX",0,--(COUNTIFS(nNIA,DATOS!$A6711,nCURSO,DATOS!$D6711,nESPEC,DATOS!$E6711,nASIG,DATOS!$I6711,nEVAL,"OR")=0))</f>
      </c>
      <c r="I6711">
        <f>IF(DATOS!$I6711="","",IFERROR(VLOOKUP(DATOS!$I6711,CONFIG_ASIGNATURAS!$B$2:$J$91,9,FALSE()),""))</f>
      </c>
    </row>
    <row r="6712">
      <c r="F6712">
        <f>IF(DATOS!$A6712="","",DATOS!$A6712&amp;"|"&amp;DATOS!$D6712&amp;"|"&amp;DATOS!$E6712&amp;"|"&amp;DATOS!$I6712)</f>
      </c>
      <c r="G6712">
        <f>IF(DATOS!$A6712="",0,IF(CONFIG_METADATA!$B$4&lt;&gt;"OR+EX",--(DATOS!$G6712=CONFIG_METADATA!$B$4),IF(DATOS!$G6712="EX",1,IF(DATOS!$G6712="OR",--(COUNTIFS(nNIA,DATOS!$A6712,nCURSO,DATOS!$D6712,nESPEC,DATOS!$E6712,nASIG,DATOS!$I6712,nEVAL,"EX")=0),0))))</f>
      </c>
      <c r="H6712">
        <f>IF(DATOS!$G6712&lt;&gt;"EX",0,--(COUNTIFS(nNIA,DATOS!$A6712,nCURSO,DATOS!$D6712,nESPEC,DATOS!$E6712,nASIG,DATOS!$I6712,nEVAL,"OR")=0))</f>
      </c>
      <c r="I6712">
        <f>IF(DATOS!$I6712="","",IFERROR(VLOOKUP(DATOS!$I6712,CONFIG_ASIGNATURAS!$B$2:$J$91,9,FALSE()),""))</f>
      </c>
    </row>
    <row r="6713">
      <c r="F6713">
        <f>IF(DATOS!$A6713="","",DATOS!$A6713&amp;"|"&amp;DATOS!$D6713&amp;"|"&amp;DATOS!$E6713&amp;"|"&amp;DATOS!$I6713)</f>
      </c>
      <c r="G6713">
        <f>IF(DATOS!$A6713="",0,IF(CONFIG_METADATA!$B$4&lt;&gt;"OR+EX",--(DATOS!$G6713=CONFIG_METADATA!$B$4),IF(DATOS!$G6713="EX",1,IF(DATOS!$G6713="OR",--(COUNTIFS(nNIA,DATOS!$A6713,nCURSO,DATOS!$D6713,nESPEC,DATOS!$E6713,nASIG,DATOS!$I6713,nEVAL,"EX")=0),0))))</f>
      </c>
      <c r="H6713">
        <f>IF(DATOS!$G6713&lt;&gt;"EX",0,--(COUNTIFS(nNIA,DATOS!$A6713,nCURSO,DATOS!$D6713,nESPEC,DATOS!$E6713,nASIG,DATOS!$I6713,nEVAL,"OR")=0))</f>
      </c>
      <c r="I6713">
        <f>IF(DATOS!$I6713="","",IFERROR(VLOOKUP(DATOS!$I6713,CONFIG_ASIGNATURAS!$B$2:$J$91,9,FALSE()),""))</f>
      </c>
    </row>
    <row r="6714">
      <c r="F6714">
        <f>IF(DATOS!$A6714="","",DATOS!$A6714&amp;"|"&amp;DATOS!$D6714&amp;"|"&amp;DATOS!$E6714&amp;"|"&amp;DATOS!$I6714)</f>
      </c>
      <c r="G6714">
        <f>IF(DATOS!$A6714="",0,IF(CONFIG_METADATA!$B$4&lt;&gt;"OR+EX",--(DATOS!$G6714=CONFIG_METADATA!$B$4),IF(DATOS!$G6714="EX",1,IF(DATOS!$G6714="OR",--(COUNTIFS(nNIA,DATOS!$A6714,nCURSO,DATOS!$D6714,nESPEC,DATOS!$E6714,nASIG,DATOS!$I6714,nEVAL,"EX")=0),0))))</f>
      </c>
      <c r="H6714">
        <f>IF(DATOS!$G6714&lt;&gt;"EX",0,--(COUNTIFS(nNIA,DATOS!$A6714,nCURSO,DATOS!$D6714,nESPEC,DATOS!$E6714,nASIG,DATOS!$I6714,nEVAL,"OR")=0))</f>
      </c>
      <c r="I6714">
        <f>IF(DATOS!$I6714="","",IFERROR(VLOOKUP(DATOS!$I6714,CONFIG_ASIGNATURAS!$B$2:$J$91,9,FALSE()),""))</f>
      </c>
    </row>
    <row r="6715">
      <c r="F6715">
        <f>IF(DATOS!$A6715="","",DATOS!$A6715&amp;"|"&amp;DATOS!$D6715&amp;"|"&amp;DATOS!$E6715&amp;"|"&amp;DATOS!$I6715)</f>
      </c>
      <c r="G6715">
        <f>IF(DATOS!$A6715="",0,IF(CONFIG_METADATA!$B$4&lt;&gt;"OR+EX",--(DATOS!$G6715=CONFIG_METADATA!$B$4),IF(DATOS!$G6715="EX",1,IF(DATOS!$G6715="OR",--(COUNTIFS(nNIA,DATOS!$A6715,nCURSO,DATOS!$D6715,nESPEC,DATOS!$E6715,nASIG,DATOS!$I6715,nEVAL,"EX")=0),0))))</f>
      </c>
      <c r="H6715">
        <f>IF(DATOS!$G6715&lt;&gt;"EX",0,--(COUNTIFS(nNIA,DATOS!$A6715,nCURSO,DATOS!$D6715,nESPEC,DATOS!$E6715,nASIG,DATOS!$I6715,nEVAL,"OR")=0))</f>
      </c>
      <c r="I6715">
        <f>IF(DATOS!$I6715="","",IFERROR(VLOOKUP(DATOS!$I6715,CONFIG_ASIGNATURAS!$B$2:$J$91,9,FALSE()),""))</f>
      </c>
    </row>
    <row r="6716">
      <c r="F6716">
        <f>IF(DATOS!$A6716="","",DATOS!$A6716&amp;"|"&amp;DATOS!$D6716&amp;"|"&amp;DATOS!$E6716&amp;"|"&amp;DATOS!$I6716)</f>
      </c>
      <c r="G6716">
        <f>IF(DATOS!$A6716="",0,IF(CONFIG_METADATA!$B$4&lt;&gt;"OR+EX",--(DATOS!$G6716=CONFIG_METADATA!$B$4),IF(DATOS!$G6716="EX",1,IF(DATOS!$G6716="OR",--(COUNTIFS(nNIA,DATOS!$A6716,nCURSO,DATOS!$D6716,nESPEC,DATOS!$E6716,nASIG,DATOS!$I6716,nEVAL,"EX")=0),0))))</f>
      </c>
      <c r="H6716">
        <f>IF(DATOS!$G6716&lt;&gt;"EX",0,--(COUNTIFS(nNIA,DATOS!$A6716,nCURSO,DATOS!$D6716,nESPEC,DATOS!$E6716,nASIG,DATOS!$I6716,nEVAL,"OR")=0))</f>
      </c>
      <c r="I6716">
        <f>IF(DATOS!$I6716="","",IFERROR(VLOOKUP(DATOS!$I6716,CONFIG_ASIGNATURAS!$B$2:$J$91,9,FALSE()),""))</f>
      </c>
    </row>
    <row r="6717">
      <c r="F6717">
        <f>IF(DATOS!$A6717="","",DATOS!$A6717&amp;"|"&amp;DATOS!$D6717&amp;"|"&amp;DATOS!$E6717&amp;"|"&amp;DATOS!$I6717)</f>
      </c>
      <c r="G6717">
        <f>IF(DATOS!$A6717="",0,IF(CONFIG_METADATA!$B$4&lt;&gt;"OR+EX",--(DATOS!$G6717=CONFIG_METADATA!$B$4),IF(DATOS!$G6717="EX",1,IF(DATOS!$G6717="OR",--(COUNTIFS(nNIA,DATOS!$A6717,nCURSO,DATOS!$D6717,nESPEC,DATOS!$E6717,nASIG,DATOS!$I6717,nEVAL,"EX")=0),0))))</f>
      </c>
      <c r="H6717">
        <f>IF(DATOS!$G6717&lt;&gt;"EX",0,--(COUNTIFS(nNIA,DATOS!$A6717,nCURSO,DATOS!$D6717,nESPEC,DATOS!$E6717,nASIG,DATOS!$I6717,nEVAL,"OR")=0))</f>
      </c>
      <c r="I6717">
        <f>IF(DATOS!$I6717="","",IFERROR(VLOOKUP(DATOS!$I6717,CONFIG_ASIGNATURAS!$B$2:$J$91,9,FALSE()),""))</f>
      </c>
    </row>
    <row r="6718">
      <c r="F6718">
        <f>IF(DATOS!$A6718="","",DATOS!$A6718&amp;"|"&amp;DATOS!$D6718&amp;"|"&amp;DATOS!$E6718&amp;"|"&amp;DATOS!$I6718)</f>
      </c>
      <c r="G6718">
        <f>IF(DATOS!$A6718="",0,IF(CONFIG_METADATA!$B$4&lt;&gt;"OR+EX",--(DATOS!$G6718=CONFIG_METADATA!$B$4),IF(DATOS!$G6718="EX",1,IF(DATOS!$G6718="OR",--(COUNTIFS(nNIA,DATOS!$A6718,nCURSO,DATOS!$D6718,nESPEC,DATOS!$E6718,nASIG,DATOS!$I6718,nEVAL,"EX")=0),0))))</f>
      </c>
      <c r="H6718">
        <f>IF(DATOS!$G6718&lt;&gt;"EX",0,--(COUNTIFS(nNIA,DATOS!$A6718,nCURSO,DATOS!$D6718,nESPEC,DATOS!$E6718,nASIG,DATOS!$I6718,nEVAL,"OR")=0))</f>
      </c>
      <c r="I6718">
        <f>IF(DATOS!$I6718="","",IFERROR(VLOOKUP(DATOS!$I6718,CONFIG_ASIGNATURAS!$B$2:$J$91,9,FALSE()),""))</f>
      </c>
    </row>
    <row r="6719">
      <c r="F6719">
        <f>IF(DATOS!$A6719="","",DATOS!$A6719&amp;"|"&amp;DATOS!$D6719&amp;"|"&amp;DATOS!$E6719&amp;"|"&amp;DATOS!$I6719)</f>
      </c>
      <c r="G6719">
        <f>IF(DATOS!$A6719="",0,IF(CONFIG_METADATA!$B$4&lt;&gt;"OR+EX",--(DATOS!$G6719=CONFIG_METADATA!$B$4),IF(DATOS!$G6719="EX",1,IF(DATOS!$G6719="OR",--(COUNTIFS(nNIA,DATOS!$A6719,nCURSO,DATOS!$D6719,nESPEC,DATOS!$E6719,nASIG,DATOS!$I6719,nEVAL,"EX")=0),0))))</f>
      </c>
      <c r="H6719">
        <f>IF(DATOS!$G6719&lt;&gt;"EX",0,--(COUNTIFS(nNIA,DATOS!$A6719,nCURSO,DATOS!$D6719,nESPEC,DATOS!$E6719,nASIG,DATOS!$I6719,nEVAL,"OR")=0))</f>
      </c>
      <c r="I6719">
        <f>IF(DATOS!$I6719="","",IFERROR(VLOOKUP(DATOS!$I6719,CONFIG_ASIGNATURAS!$B$2:$J$91,9,FALSE()),""))</f>
      </c>
    </row>
    <row r="6720">
      <c r="F6720">
        <f>IF(DATOS!$A6720="","",DATOS!$A6720&amp;"|"&amp;DATOS!$D6720&amp;"|"&amp;DATOS!$E6720&amp;"|"&amp;DATOS!$I6720)</f>
      </c>
      <c r="G6720">
        <f>IF(DATOS!$A6720="",0,IF(CONFIG_METADATA!$B$4&lt;&gt;"OR+EX",--(DATOS!$G6720=CONFIG_METADATA!$B$4),IF(DATOS!$G6720="EX",1,IF(DATOS!$G6720="OR",--(COUNTIFS(nNIA,DATOS!$A6720,nCURSO,DATOS!$D6720,nESPEC,DATOS!$E6720,nASIG,DATOS!$I6720,nEVAL,"EX")=0),0))))</f>
      </c>
      <c r="H6720">
        <f>IF(DATOS!$G6720&lt;&gt;"EX",0,--(COUNTIFS(nNIA,DATOS!$A6720,nCURSO,DATOS!$D6720,nESPEC,DATOS!$E6720,nASIG,DATOS!$I6720,nEVAL,"OR")=0))</f>
      </c>
      <c r="I6720">
        <f>IF(DATOS!$I6720="","",IFERROR(VLOOKUP(DATOS!$I6720,CONFIG_ASIGNATURAS!$B$2:$J$91,9,FALSE()),""))</f>
      </c>
    </row>
    <row r="6721">
      <c r="F6721">
        <f>IF(DATOS!$A6721="","",DATOS!$A6721&amp;"|"&amp;DATOS!$D6721&amp;"|"&amp;DATOS!$E6721&amp;"|"&amp;DATOS!$I6721)</f>
      </c>
      <c r="G6721">
        <f>IF(DATOS!$A6721="",0,IF(CONFIG_METADATA!$B$4&lt;&gt;"OR+EX",--(DATOS!$G6721=CONFIG_METADATA!$B$4),IF(DATOS!$G6721="EX",1,IF(DATOS!$G6721="OR",--(COUNTIFS(nNIA,DATOS!$A6721,nCURSO,DATOS!$D6721,nESPEC,DATOS!$E6721,nASIG,DATOS!$I6721,nEVAL,"EX")=0),0))))</f>
      </c>
      <c r="H6721">
        <f>IF(DATOS!$G6721&lt;&gt;"EX",0,--(COUNTIFS(nNIA,DATOS!$A6721,nCURSO,DATOS!$D6721,nESPEC,DATOS!$E6721,nASIG,DATOS!$I6721,nEVAL,"OR")=0))</f>
      </c>
      <c r="I6721">
        <f>IF(DATOS!$I6721="","",IFERROR(VLOOKUP(DATOS!$I6721,CONFIG_ASIGNATURAS!$B$2:$J$91,9,FALSE()),""))</f>
      </c>
    </row>
    <row r="6722">
      <c r="F6722">
        <f>IF(DATOS!$A6722="","",DATOS!$A6722&amp;"|"&amp;DATOS!$D6722&amp;"|"&amp;DATOS!$E6722&amp;"|"&amp;DATOS!$I6722)</f>
      </c>
      <c r="G6722">
        <f>IF(DATOS!$A6722="",0,IF(CONFIG_METADATA!$B$4&lt;&gt;"OR+EX",--(DATOS!$G6722=CONFIG_METADATA!$B$4),IF(DATOS!$G6722="EX",1,IF(DATOS!$G6722="OR",--(COUNTIFS(nNIA,DATOS!$A6722,nCURSO,DATOS!$D6722,nESPEC,DATOS!$E6722,nASIG,DATOS!$I6722,nEVAL,"EX")=0),0))))</f>
      </c>
      <c r="H6722">
        <f>IF(DATOS!$G6722&lt;&gt;"EX",0,--(COUNTIFS(nNIA,DATOS!$A6722,nCURSO,DATOS!$D6722,nESPEC,DATOS!$E6722,nASIG,DATOS!$I6722,nEVAL,"OR")=0))</f>
      </c>
      <c r="I6722">
        <f>IF(DATOS!$I6722="","",IFERROR(VLOOKUP(DATOS!$I6722,CONFIG_ASIGNATURAS!$B$2:$J$91,9,FALSE()),""))</f>
      </c>
    </row>
    <row r="6723">
      <c r="F6723">
        <f>IF(DATOS!$A6723="","",DATOS!$A6723&amp;"|"&amp;DATOS!$D6723&amp;"|"&amp;DATOS!$E6723&amp;"|"&amp;DATOS!$I6723)</f>
      </c>
      <c r="G6723">
        <f>IF(DATOS!$A6723="",0,IF(CONFIG_METADATA!$B$4&lt;&gt;"OR+EX",--(DATOS!$G6723=CONFIG_METADATA!$B$4),IF(DATOS!$G6723="EX",1,IF(DATOS!$G6723="OR",--(COUNTIFS(nNIA,DATOS!$A6723,nCURSO,DATOS!$D6723,nESPEC,DATOS!$E6723,nASIG,DATOS!$I6723,nEVAL,"EX")=0),0))))</f>
      </c>
      <c r="H6723">
        <f>IF(DATOS!$G6723&lt;&gt;"EX",0,--(COUNTIFS(nNIA,DATOS!$A6723,nCURSO,DATOS!$D6723,nESPEC,DATOS!$E6723,nASIG,DATOS!$I6723,nEVAL,"OR")=0))</f>
      </c>
      <c r="I6723">
        <f>IF(DATOS!$I6723="","",IFERROR(VLOOKUP(DATOS!$I6723,CONFIG_ASIGNATURAS!$B$2:$J$91,9,FALSE()),""))</f>
      </c>
    </row>
    <row r="6724">
      <c r="F6724">
        <f>IF(DATOS!$A6724="","",DATOS!$A6724&amp;"|"&amp;DATOS!$D6724&amp;"|"&amp;DATOS!$E6724&amp;"|"&amp;DATOS!$I6724)</f>
      </c>
      <c r="G6724">
        <f>IF(DATOS!$A6724="",0,IF(CONFIG_METADATA!$B$4&lt;&gt;"OR+EX",--(DATOS!$G6724=CONFIG_METADATA!$B$4),IF(DATOS!$G6724="EX",1,IF(DATOS!$G6724="OR",--(COUNTIFS(nNIA,DATOS!$A6724,nCURSO,DATOS!$D6724,nESPEC,DATOS!$E6724,nASIG,DATOS!$I6724,nEVAL,"EX")=0),0))))</f>
      </c>
      <c r="H6724">
        <f>IF(DATOS!$G6724&lt;&gt;"EX",0,--(COUNTIFS(nNIA,DATOS!$A6724,nCURSO,DATOS!$D6724,nESPEC,DATOS!$E6724,nASIG,DATOS!$I6724,nEVAL,"OR")=0))</f>
      </c>
      <c r="I6724">
        <f>IF(DATOS!$I6724="","",IFERROR(VLOOKUP(DATOS!$I6724,CONFIG_ASIGNATURAS!$B$2:$J$91,9,FALSE()),""))</f>
      </c>
    </row>
    <row r="6725">
      <c r="F6725">
        <f>IF(DATOS!$A6725="","",DATOS!$A6725&amp;"|"&amp;DATOS!$D6725&amp;"|"&amp;DATOS!$E6725&amp;"|"&amp;DATOS!$I6725)</f>
      </c>
      <c r="G6725">
        <f>IF(DATOS!$A6725="",0,IF(CONFIG_METADATA!$B$4&lt;&gt;"OR+EX",--(DATOS!$G6725=CONFIG_METADATA!$B$4),IF(DATOS!$G6725="EX",1,IF(DATOS!$G6725="OR",--(COUNTIFS(nNIA,DATOS!$A6725,nCURSO,DATOS!$D6725,nESPEC,DATOS!$E6725,nASIG,DATOS!$I6725,nEVAL,"EX")=0),0))))</f>
      </c>
      <c r="H6725">
        <f>IF(DATOS!$G6725&lt;&gt;"EX",0,--(COUNTIFS(nNIA,DATOS!$A6725,nCURSO,DATOS!$D6725,nESPEC,DATOS!$E6725,nASIG,DATOS!$I6725,nEVAL,"OR")=0))</f>
      </c>
      <c r="I6725">
        <f>IF(DATOS!$I6725="","",IFERROR(VLOOKUP(DATOS!$I6725,CONFIG_ASIGNATURAS!$B$2:$J$91,9,FALSE()),""))</f>
      </c>
    </row>
    <row r="6726">
      <c r="F6726">
        <f>IF(DATOS!$A6726="","",DATOS!$A6726&amp;"|"&amp;DATOS!$D6726&amp;"|"&amp;DATOS!$E6726&amp;"|"&amp;DATOS!$I6726)</f>
      </c>
      <c r="G6726">
        <f>IF(DATOS!$A6726="",0,IF(CONFIG_METADATA!$B$4&lt;&gt;"OR+EX",--(DATOS!$G6726=CONFIG_METADATA!$B$4),IF(DATOS!$G6726="EX",1,IF(DATOS!$G6726="OR",--(COUNTIFS(nNIA,DATOS!$A6726,nCURSO,DATOS!$D6726,nESPEC,DATOS!$E6726,nASIG,DATOS!$I6726,nEVAL,"EX")=0),0))))</f>
      </c>
      <c r="H6726">
        <f>IF(DATOS!$G6726&lt;&gt;"EX",0,--(COUNTIFS(nNIA,DATOS!$A6726,nCURSO,DATOS!$D6726,nESPEC,DATOS!$E6726,nASIG,DATOS!$I6726,nEVAL,"OR")=0))</f>
      </c>
      <c r="I6726">
        <f>IF(DATOS!$I6726="","",IFERROR(VLOOKUP(DATOS!$I6726,CONFIG_ASIGNATURAS!$B$2:$J$91,9,FALSE()),""))</f>
      </c>
    </row>
    <row r="6727">
      <c r="F6727">
        <f>IF(DATOS!$A6727="","",DATOS!$A6727&amp;"|"&amp;DATOS!$D6727&amp;"|"&amp;DATOS!$E6727&amp;"|"&amp;DATOS!$I6727)</f>
      </c>
      <c r="G6727">
        <f>IF(DATOS!$A6727="",0,IF(CONFIG_METADATA!$B$4&lt;&gt;"OR+EX",--(DATOS!$G6727=CONFIG_METADATA!$B$4),IF(DATOS!$G6727="EX",1,IF(DATOS!$G6727="OR",--(COUNTIFS(nNIA,DATOS!$A6727,nCURSO,DATOS!$D6727,nESPEC,DATOS!$E6727,nASIG,DATOS!$I6727,nEVAL,"EX")=0),0))))</f>
      </c>
      <c r="H6727">
        <f>IF(DATOS!$G6727&lt;&gt;"EX",0,--(COUNTIFS(nNIA,DATOS!$A6727,nCURSO,DATOS!$D6727,nESPEC,DATOS!$E6727,nASIG,DATOS!$I6727,nEVAL,"OR")=0))</f>
      </c>
      <c r="I6727">
        <f>IF(DATOS!$I6727="","",IFERROR(VLOOKUP(DATOS!$I6727,CONFIG_ASIGNATURAS!$B$2:$J$91,9,FALSE()),""))</f>
      </c>
    </row>
    <row r="6728">
      <c r="F6728">
        <f>IF(DATOS!$A6728="","",DATOS!$A6728&amp;"|"&amp;DATOS!$D6728&amp;"|"&amp;DATOS!$E6728&amp;"|"&amp;DATOS!$I6728)</f>
      </c>
      <c r="G6728">
        <f>IF(DATOS!$A6728="",0,IF(CONFIG_METADATA!$B$4&lt;&gt;"OR+EX",--(DATOS!$G6728=CONFIG_METADATA!$B$4),IF(DATOS!$G6728="EX",1,IF(DATOS!$G6728="OR",--(COUNTIFS(nNIA,DATOS!$A6728,nCURSO,DATOS!$D6728,nESPEC,DATOS!$E6728,nASIG,DATOS!$I6728,nEVAL,"EX")=0),0))))</f>
      </c>
      <c r="H6728">
        <f>IF(DATOS!$G6728&lt;&gt;"EX",0,--(COUNTIFS(nNIA,DATOS!$A6728,nCURSO,DATOS!$D6728,nESPEC,DATOS!$E6728,nASIG,DATOS!$I6728,nEVAL,"OR")=0))</f>
      </c>
      <c r="I6728">
        <f>IF(DATOS!$I6728="","",IFERROR(VLOOKUP(DATOS!$I6728,CONFIG_ASIGNATURAS!$B$2:$J$91,9,FALSE()),""))</f>
      </c>
    </row>
    <row r="6729">
      <c r="F6729">
        <f>IF(DATOS!$A6729="","",DATOS!$A6729&amp;"|"&amp;DATOS!$D6729&amp;"|"&amp;DATOS!$E6729&amp;"|"&amp;DATOS!$I6729)</f>
      </c>
      <c r="G6729">
        <f>IF(DATOS!$A6729="",0,IF(CONFIG_METADATA!$B$4&lt;&gt;"OR+EX",--(DATOS!$G6729=CONFIG_METADATA!$B$4),IF(DATOS!$G6729="EX",1,IF(DATOS!$G6729="OR",--(COUNTIFS(nNIA,DATOS!$A6729,nCURSO,DATOS!$D6729,nESPEC,DATOS!$E6729,nASIG,DATOS!$I6729,nEVAL,"EX")=0),0))))</f>
      </c>
      <c r="H6729">
        <f>IF(DATOS!$G6729&lt;&gt;"EX",0,--(COUNTIFS(nNIA,DATOS!$A6729,nCURSO,DATOS!$D6729,nESPEC,DATOS!$E6729,nASIG,DATOS!$I6729,nEVAL,"OR")=0))</f>
      </c>
      <c r="I6729">
        <f>IF(DATOS!$I6729="","",IFERROR(VLOOKUP(DATOS!$I6729,CONFIG_ASIGNATURAS!$B$2:$J$91,9,FALSE()),""))</f>
      </c>
    </row>
    <row r="6730">
      <c r="F6730">
        <f>IF(DATOS!$A6730="","",DATOS!$A6730&amp;"|"&amp;DATOS!$D6730&amp;"|"&amp;DATOS!$E6730&amp;"|"&amp;DATOS!$I6730)</f>
      </c>
      <c r="G6730">
        <f>IF(DATOS!$A6730="",0,IF(CONFIG_METADATA!$B$4&lt;&gt;"OR+EX",--(DATOS!$G6730=CONFIG_METADATA!$B$4),IF(DATOS!$G6730="EX",1,IF(DATOS!$G6730="OR",--(COUNTIFS(nNIA,DATOS!$A6730,nCURSO,DATOS!$D6730,nESPEC,DATOS!$E6730,nASIG,DATOS!$I6730,nEVAL,"EX")=0),0))))</f>
      </c>
      <c r="H6730">
        <f>IF(DATOS!$G6730&lt;&gt;"EX",0,--(COUNTIFS(nNIA,DATOS!$A6730,nCURSO,DATOS!$D6730,nESPEC,DATOS!$E6730,nASIG,DATOS!$I6730,nEVAL,"OR")=0))</f>
      </c>
      <c r="I6730">
        <f>IF(DATOS!$I6730="","",IFERROR(VLOOKUP(DATOS!$I6730,CONFIG_ASIGNATURAS!$B$2:$J$91,9,FALSE()),""))</f>
      </c>
    </row>
    <row r="6731">
      <c r="F6731">
        <f>IF(DATOS!$A6731="","",DATOS!$A6731&amp;"|"&amp;DATOS!$D6731&amp;"|"&amp;DATOS!$E6731&amp;"|"&amp;DATOS!$I6731)</f>
      </c>
      <c r="G6731">
        <f>IF(DATOS!$A6731="",0,IF(CONFIG_METADATA!$B$4&lt;&gt;"OR+EX",--(DATOS!$G6731=CONFIG_METADATA!$B$4),IF(DATOS!$G6731="EX",1,IF(DATOS!$G6731="OR",--(COUNTIFS(nNIA,DATOS!$A6731,nCURSO,DATOS!$D6731,nESPEC,DATOS!$E6731,nASIG,DATOS!$I6731,nEVAL,"EX")=0),0))))</f>
      </c>
      <c r="H6731">
        <f>IF(DATOS!$G6731&lt;&gt;"EX",0,--(COUNTIFS(nNIA,DATOS!$A6731,nCURSO,DATOS!$D6731,nESPEC,DATOS!$E6731,nASIG,DATOS!$I6731,nEVAL,"OR")=0))</f>
      </c>
      <c r="I6731">
        <f>IF(DATOS!$I6731="","",IFERROR(VLOOKUP(DATOS!$I6731,CONFIG_ASIGNATURAS!$B$2:$J$91,9,FALSE()),""))</f>
      </c>
    </row>
    <row r="6732">
      <c r="F6732">
        <f>IF(DATOS!$A6732="","",DATOS!$A6732&amp;"|"&amp;DATOS!$D6732&amp;"|"&amp;DATOS!$E6732&amp;"|"&amp;DATOS!$I6732)</f>
      </c>
      <c r="G6732">
        <f>IF(DATOS!$A6732="",0,IF(CONFIG_METADATA!$B$4&lt;&gt;"OR+EX",--(DATOS!$G6732=CONFIG_METADATA!$B$4),IF(DATOS!$G6732="EX",1,IF(DATOS!$G6732="OR",--(COUNTIFS(nNIA,DATOS!$A6732,nCURSO,DATOS!$D6732,nESPEC,DATOS!$E6732,nASIG,DATOS!$I6732,nEVAL,"EX")=0),0))))</f>
      </c>
      <c r="H6732">
        <f>IF(DATOS!$G6732&lt;&gt;"EX",0,--(COUNTIFS(nNIA,DATOS!$A6732,nCURSO,DATOS!$D6732,nESPEC,DATOS!$E6732,nASIG,DATOS!$I6732,nEVAL,"OR")=0))</f>
      </c>
      <c r="I6732">
        <f>IF(DATOS!$I6732="","",IFERROR(VLOOKUP(DATOS!$I6732,CONFIG_ASIGNATURAS!$B$2:$J$91,9,FALSE()),""))</f>
      </c>
    </row>
    <row r="6733">
      <c r="F6733">
        <f>IF(DATOS!$A6733="","",DATOS!$A6733&amp;"|"&amp;DATOS!$D6733&amp;"|"&amp;DATOS!$E6733&amp;"|"&amp;DATOS!$I6733)</f>
      </c>
      <c r="G6733">
        <f>IF(DATOS!$A6733="",0,IF(CONFIG_METADATA!$B$4&lt;&gt;"OR+EX",--(DATOS!$G6733=CONFIG_METADATA!$B$4),IF(DATOS!$G6733="EX",1,IF(DATOS!$G6733="OR",--(COUNTIFS(nNIA,DATOS!$A6733,nCURSO,DATOS!$D6733,nESPEC,DATOS!$E6733,nASIG,DATOS!$I6733,nEVAL,"EX")=0),0))))</f>
      </c>
      <c r="H6733">
        <f>IF(DATOS!$G6733&lt;&gt;"EX",0,--(COUNTIFS(nNIA,DATOS!$A6733,nCURSO,DATOS!$D6733,nESPEC,DATOS!$E6733,nASIG,DATOS!$I6733,nEVAL,"OR")=0))</f>
      </c>
      <c r="I6733">
        <f>IF(DATOS!$I6733="","",IFERROR(VLOOKUP(DATOS!$I6733,CONFIG_ASIGNATURAS!$B$2:$J$91,9,FALSE()),""))</f>
      </c>
    </row>
    <row r="6734">
      <c r="F6734">
        <f>IF(DATOS!$A6734="","",DATOS!$A6734&amp;"|"&amp;DATOS!$D6734&amp;"|"&amp;DATOS!$E6734&amp;"|"&amp;DATOS!$I6734)</f>
      </c>
      <c r="G6734">
        <f>IF(DATOS!$A6734="",0,IF(CONFIG_METADATA!$B$4&lt;&gt;"OR+EX",--(DATOS!$G6734=CONFIG_METADATA!$B$4),IF(DATOS!$G6734="EX",1,IF(DATOS!$G6734="OR",--(COUNTIFS(nNIA,DATOS!$A6734,nCURSO,DATOS!$D6734,nESPEC,DATOS!$E6734,nASIG,DATOS!$I6734,nEVAL,"EX")=0),0))))</f>
      </c>
      <c r="H6734">
        <f>IF(DATOS!$G6734&lt;&gt;"EX",0,--(COUNTIFS(nNIA,DATOS!$A6734,nCURSO,DATOS!$D6734,nESPEC,DATOS!$E6734,nASIG,DATOS!$I6734,nEVAL,"OR")=0))</f>
      </c>
      <c r="I6734">
        <f>IF(DATOS!$I6734="","",IFERROR(VLOOKUP(DATOS!$I6734,CONFIG_ASIGNATURAS!$B$2:$J$91,9,FALSE()),""))</f>
      </c>
    </row>
    <row r="6735">
      <c r="F6735">
        <f>IF(DATOS!$A6735="","",DATOS!$A6735&amp;"|"&amp;DATOS!$D6735&amp;"|"&amp;DATOS!$E6735&amp;"|"&amp;DATOS!$I6735)</f>
      </c>
      <c r="G6735">
        <f>IF(DATOS!$A6735="",0,IF(CONFIG_METADATA!$B$4&lt;&gt;"OR+EX",--(DATOS!$G6735=CONFIG_METADATA!$B$4),IF(DATOS!$G6735="EX",1,IF(DATOS!$G6735="OR",--(COUNTIFS(nNIA,DATOS!$A6735,nCURSO,DATOS!$D6735,nESPEC,DATOS!$E6735,nASIG,DATOS!$I6735,nEVAL,"EX")=0),0))))</f>
      </c>
      <c r="H6735">
        <f>IF(DATOS!$G6735&lt;&gt;"EX",0,--(COUNTIFS(nNIA,DATOS!$A6735,nCURSO,DATOS!$D6735,nESPEC,DATOS!$E6735,nASIG,DATOS!$I6735,nEVAL,"OR")=0))</f>
      </c>
      <c r="I6735">
        <f>IF(DATOS!$I6735="","",IFERROR(VLOOKUP(DATOS!$I6735,CONFIG_ASIGNATURAS!$B$2:$J$91,9,FALSE()),""))</f>
      </c>
    </row>
    <row r="6736">
      <c r="F6736">
        <f>IF(DATOS!$A6736="","",DATOS!$A6736&amp;"|"&amp;DATOS!$D6736&amp;"|"&amp;DATOS!$E6736&amp;"|"&amp;DATOS!$I6736)</f>
      </c>
      <c r="G6736">
        <f>IF(DATOS!$A6736="",0,IF(CONFIG_METADATA!$B$4&lt;&gt;"OR+EX",--(DATOS!$G6736=CONFIG_METADATA!$B$4),IF(DATOS!$G6736="EX",1,IF(DATOS!$G6736="OR",--(COUNTIFS(nNIA,DATOS!$A6736,nCURSO,DATOS!$D6736,nESPEC,DATOS!$E6736,nASIG,DATOS!$I6736,nEVAL,"EX")=0),0))))</f>
      </c>
      <c r="H6736">
        <f>IF(DATOS!$G6736&lt;&gt;"EX",0,--(COUNTIFS(nNIA,DATOS!$A6736,nCURSO,DATOS!$D6736,nESPEC,DATOS!$E6736,nASIG,DATOS!$I6736,nEVAL,"OR")=0))</f>
      </c>
      <c r="I6736">
        <f>IF(DATOS!$I6736="","",IFERROR(VLOOKUP(DATOS!$I6736,CONFIG_ASIGNATURAS!$B$2:$J$91,9,FALSE()),""))</f>
      </c>
    </row>
    <row r="6737">
      <c r="F6737">
        <f>IF(DATOS!$A6737="","",DATOS!$A6737&amp;"|"&amp;DATOS!$D6737&amp;"|"&amp;DATOS!$E6737&amp;"|"&amp;DATOS!$I6737)</f>
      </c>
      <c r="G6737">
        <f>IF(DATOS!$A6737="",0,IF(CONFIG_METADATA!$B$4&lt;&gt;"OR+EX",--(DATOS!$G6737=CONFIG_METADATA!$B$4),IF(DATOS!$G6737="EX",1,IF(DATOS!$G6737="OR",--(COUNTIFS(nNIA,DATOS!$A6737,nCURSO,DATOS!$D6737,nESPEC,DATOS!$E6737,nASIG,DATOS!$I6737,nEVAL,"EX")=0),0))))</f>
      </c>
      <c r="H6737">
        <f>IF(DATOS!$G6737&lt;&gt;"EX",0,--(COUNTIFS(nNIA,DATOS!$A6737,nCURSO,DATOS!$D6737,nESPEC,DATOS!$E6737,nASIG,DATOS!$I6737,nEVAL,"OR")=0))</f>
      </c>
      <c r="I6737">
        <f>IF(DATOS!$I6737="","",IFERROR(VLOOKUP(DATOS!$I6737,CONFIG_ASIGNATURAS!$B$2:$J$91,9,FALSE()),""))</f>
      </c>
    </row>
    <row r="6738">
      <c r="F6738">
        <f>IF(DATOS!$A6738="","",DATOS!$A6738&amp;"|"&amp;DATOS!$D6738&amp;"|"&amp;DATOS!$E6738&amp;"|"&amp;DATOS!$I6738)</f>
      </c>
      <c r="G6738">
        <f>IF(DATOS!$A6738="",0,IF(CONFIG_METADATA!$B$4&lt;&gt;"OR+EX",--(DATOS!$G6738=CONFIG_METADATA!$B$4),IF(DATOS!$G6738="EX",1,IF(DATOS!$G6738="OR",--(COUNTIFS(nNIA,DATOS!$A6738,nCURSO,DATOS!$D6738,nESPEC,DATOS!$E6738,nASIG,DATOS!$I6738,nEVAL,"EX")=0),0))))</f>
      </c>
      <c r="H6738">
        <f>IF(DATOS!$G6738&lt;&gt;"EX",0,--(COUNTIFS(nNIA,DATOS!$A6738,nCURSO,DATOS!$D6738,nESPEC,DATOS!$E6738,nASIG,DATOS!$I6738,nEVAL,"OR")=0))</f>
      </c>
      <c r="I6738">
        <f>IF(DATOS!$I6738="","",IFERROR(VLOOKUP(DATOS!$I6738,CONFIG_ASIGNATURAS!$B$2:$J$91,9,FALSE()),""))</f>
      </c>
    </row>
    <row r="6739">
      <c r="F6739">
        <f>IF(DATOS!$A6739="","",DATOS!$A6739&amp;"|"&amp;DATOS!$D6739&amp;"|"&amp;DATOS!$E6739&amp;"|"&amp;DATOS!$I6739)</f>
      </c>
      <c r="G6739">
        <f>IF(DATOS!$A6739="",0,IF(CONFIG_METADATA!$B$4&lt;&gt;"OR+EX",--(DATOS!$G6739=CONFIG_METADATA!$B$4),IF(DATOS!$G6739="EX",1,IF(DATOS!$G6739="OR",--(COUNTIFS(nNIA,DATOS!$A6739,nCURSO,DATOS!$D6739,nESPEC,DATOS!$E6739,nASIG,DATOS!$I6739,nEVAL,"EX")=0),0))))</f>
      </c>
      <c r="H6739">
        <f>IF(DATOS!$G6739&lt;&gt;"EX",0,--(COUNTIFS(nNIA,DATOS!$A6739,nCURSO,DATOS!$D6739,nESPEC,DATOS!$E6739,nASIG,DATOS!$I6739,nEVAL,"OR")=0))</f>
      </c>
      <c r="I6739">
        <f>IF(DATOS!$I6739="","",IFERROR(VLOOKUP(DATOS!$I6739,CONFIG_ASIGNATURAS!$B$2:$J$91,9,FALSE()),""))</f>
      </c>
    </row>
    <row r="6740">
      <c r="F6740">
        <f>IF(DATOS!$A6740="","",DATOS!$A6740&amp;"|"&amp;DATOS!$D6740&amp;"|"&amp;DATOS!$E6740&amp;"|"&amp;DATOS!$I6740)</f>
      </c>
      <c r="G6740">
        <f>IF(DATOS!$A6740="",0,IF(CONFIG_METADATA!$B$4&lt;&gt;"OR+EX",--(DATOS!$G6740=CONFIG_METADATA!$B$4),IF(DATOS!$G6740="EX",1,IF(DATOS!$G6740="OR",--(COUNTIFS(nNIA,DATOS!$A6740,nCURSO,DATOS!$D6740,nESPEC,DATOS!$E6740,nASIG,DATOS!$I6740,nEVAL,"EX")=0),0))))</f>
      </c>
      <c r="H6740">
        <f>IF(DATOS!$G6740&lt;&gt;"EX",0,--(COUNTIFS(nNIA,DATOS!$A6740,nCURSO,DATOS!$D6740,nESPEC,DATOS!$E6740,nASIG,DATOS!$I6740,nEVAL,"OR")=0))</f>
      </c>
      <c r="I6740">
        <f>IF(DATOS!$I6740="","",IFERROR(VLOOKUP(DATOS!$I6740,CONFIG_ASIGNATURAS!$B$2:$J$91,9,FALSE()),""))</f>
      </c>
    </row>
    <row r="6741">
      <c r="F6741">
        <f>IF(DATOS!$A6741="","",DATOS!$A6741&amp;"|"&amp;DATOS!$D6741&amp;"|"&amp;DATOS!$E6741&amp;"|"&amp;DATOS!$I6741)</f>
      </c>
      <c r="G6741">
        <f>IF(DATOS!$A6741="",0,IF(CONFIG_METADATA!$B$4&lt;&gt;"OR+EX",--(DATOS!$G6741=CONFIG_METADATA!$B$4),IF(DATOS!$G6741="EX",1,IF(DATOS!$G6741="OR",--(COUNTIFS(nNIA,DATOS!$A6741,nCURSO,DATOS!$D6741,nESPEC,DATOS!$E6741,nASIG,DATOS!$I6741,nEVAL,"EX")=0),0))))</f>
      </c>
      <c r="H6741">
        <f>IF(DATOS!$G6741&lt;&gt;"EX",0,--(COUNTIFS(nNIA,DATOS!$A6741,nCURSO,DATOS!$D6741,nESPEC,DATOS!$E6741,nASIG,DATOS!$I6741,nEVAL,"OR")=0))</f>
      </c>
      <c r="I6741">
        <f>IF(DATOS!$I6741="","",IFERROR(VLOOKUP(DATOS!$I6741,CONFIG_ASIGNATURAS!$B$2:$J$91,9,FALSE()),""))</f>
      </c>
    </row>
    <row r="6742">
      <c r="F6742">
        <f>IF(DATOS!$A6742="","",DATOS!$A6742&amp;"|"&amp;DATOS!$D6742&amp;"|"&amp;DATOS!$E6742&amp;"|"&amp;DATOS!$I6742)</f>
      </c>
      <c r="G6742">
        <f>IF(DATOS!$A6742="",0,IF(CONFIG_METADATA!$B$4&lt;&gt;"OR+EX",--(DATOS!$G6742=CONFIG_METADATA!$B$4),IF(DATOS!$G6742="EX",1,IF(DATOS!$G6742="OR",--(COUNTIFS(nNIA,DATOS!$A6742,nCURSO,DATOS!$D6742,nESPEC,DATOS!$E6742,nASIG,DATOS!$I6742,nEVAL,"EX")=0),0))))</f>
      </c>
      <c r="H6742">
        <f>IF(DATOS!$G6742&lt;&gt;"EX",0,--(COUNTIFS(nNIA,DATOS!$A6742,nCURSO,DATOS!$D6742,nESPEC,DATOS!$E6742,nASIG,DATOS!$I6742,nEVAL,"OR")=0))</f>
      </c>
      <c r="I6742">
        <f>IF(DATOS!$I6742="","",IFERROR(VLOOKUP(DATOS!$I6742,CONFIG_ASIGNATURAS!$B$2:$J$91,9,FALSE()),""))</f>
      </c>
    </row>
    <row r="6743">
      <c r="F6743">
        <f>IF(DATOS!$A6743="","",DATOS!$A6743&amp;"|"&amp;DATOS!$D6743&amp;"|"&amp;DATOS!$E6743&amp;"|"&amp;DATOS!$I6743)</f>
      </c>
      <c r="G6743">
        <f>IF(DATOS!$A6743="",0,IF(CONFIG_METADATA!$B$4&lt;&gt;"OR+EX",--(DATOS!$G6743=CONFIG_METADATA!$B$4),IF(DATOS!$G6743="EX",1,IF(DATOS!$G6743="OR",--(COUNTIFS(nNIA,DATOS!$A6743,nCURSO,DATOS!$D6743,nESPEC,DATOS!$E6743,nASIG,DATOS!$I6743,nEVAL,"EX")=0),0))))</f>
      </c>
      <c r="H6743">
        <f>IF(DATOS!$G6743&lt;&gt;"EX",0,--(COUNTIFS(nNIA,DATOS!$A6743,nCURSO,DATOS!$D6743,nESPEC,DATOS!$E6743,nASIG,DATOS!$I6743,nEVAL,"OR")=0))</f>
      </c>
      <c r="I6743">
        <f>IF(DATOS!$I6743="","",IFERROR(VLOOKUP(DATOS!$I6743,CONFIG_ASIGNATURAS!$B$2:$J$91,9,FALSE()),""))</f>
      </c>
    </row>
    <row r="6744">
      <c r="F6744">
        <f>IF(DATOS!$A6744="","",DATOS!$A6744&amp;"|"&amp;DATOS!$D6744&amp;"|"&amp;DATOS!$E6744&amp;"|"&amp;DATOS!$I6744)</f>
      </c>
      <c r="G6744">
        <f>IF(DATOS!$A6744="",0,IF(CONFIG_METADATA!$B$4&lt;&gt;"OR+EX",--(DATOS!$G6744=CONFIG_METADATA!$B$4),IF(DATOS!$G6744="EX",1,IF(DATOS!$G6744="OR",--(COUNTIFS(nNIA,DATOS!$A6744,nCURSO,DATOS!$D6744,nESPEC,DATOS!$E6744,nASIG,DATOS!$I6744,nEVAL,"EX")=0),0))))</f>
      </c>
      <c r="H6744">
        <f>IF(DATOS!$G6744&lt;&gt;"EX",0,--(COUNTIFS(nNIA,DATOS!$A6744,nCURSO,DATOS!$D6744,nESPEC,DATOS!$E6744,nASIG,DATOS!$I6744,nEVAL,"OR")=0))</f>
      </c>
      <c r="I6744">
        <f>IF(DATOS!$I6744="","",IFERROR(VLOOKUP(DATOS!$I6744,CONFIG_ASIGNATURAS!$B$2:$J$91,9,FALSE()),""))</f>
      </c>
    </row>
    <row r="6745">
      <c r="F6745">
        <f>IF(DATOS!$A6745="","",DATOS!$A6745&amp;"|"&amp;DATOS!$D6745&amp;"|"&amp;DATOS!$E6745&amp;"|"&amp;DATOS!$I6745)</f>
      </c>
      <c r="G6745">
        <f>IF(DATOS!$A6745="",0,IF(CONFIG_METADATA!$B$4&lt;&gt;"OR+EX",--(DATOS!$G6745=CONFIG_METADATA!$B$4),IF(DATOS!$G6745="EX",1,IF(DATOS!$G6745="OR",--(COUNTIFS(nNIA,DATOS!$A6745,nCURSO,DATOS!$D6745,nESPEC,DATOS!$E6745,nASIG,DATOS!$I6745,nEVAL,"EX")=0),0))))</f>
      </c>
      <c r="H6745">
        <f>IF(DATOS!$G6745&lt;&gt;"EX",0,--(COUNTIFS(nNIA,DATOS!$A6745,nCURSO,DATOS!$D6745,nESPEC,DATOS!$E6745,nASIG,DATOS!$I6745,nEVAL,"OR")=0))</f>
      </c>
      <c r="I6745">
        <f>IF(DATOS!$I6745="","",IFERROR(VLOOKUP(DATOS!$I6745,CONFIG_ASIGNATURAS!$B$2:$J$91,9,FALSE()),""))</f>
      </c>
    </row>
    <row r="6746">
      <c r="F6746">
        <f>IF(DATOS!$A6746="","",DATOS!$A6746&amp;"|"&amp;DATOS!$D6746&amp;"|"&amp;DATOS!$E6746&amp;"|"&amp;DATOS!$I6746)</f>
      </c>
      <c r="G6746">
        <f>IF(DATOS!$A6746="",0,IF(CONFIG_METADATA!$B$4&lt;&gt;"OR+EX",--(DATOS!$G6746=CONFIG_METADATA!$B$4),IF(DATOS!$G6746="EX",1,IF(DATOS!$G6746="OR",--(COUNTIFS(nNIA,DATOS!$A6746,nCURSO,DATOS!$D6746,nESPEC,DATOS!$E6746,nASIG,DATOS!$I6746,nEVAL,"EX")=0),0))))</f>
      </c>
      <c r="H6746">
        <f>IF(DATOS!$G6746&lt;&gt;"EX",0,--(COUNTIFS(nNIA,DATOS!$A6746,nCURSO,DATOS!$D6746,nESPEC,DATOS!$E6746,nASIG,DATOS!$I6746,nEVAL,"OR")=0))</f>
      </c>
      <c r="I6746">
        <f>IF(DATOS!$I6746="","",IFERROR(VLOOKUP(DATOS!$I6746,CONFIG_ASIGNATURAS!$B$2:$J$91,9,FALSE()),""))</f>
      </c>
    </row>
    <row r="6747">
      <c r="F6747">
        <f>IF(DATOS!$A6747="","",DATOS!$A6747&amp;"|"&amp;DATOS!$D6747&amp;"|"&amp;DATOS!$E6747&amp;"|"&amp;DATOS!$I6747)</f>
      </c>
      <c r="G6747">
        <f>IF(DATOS!$A6747="",0,IF(CONFIG_METADATA!$B$4&lt;&gt;"OR+EX",--(DATOS!$G6747=CONFIG_METADATA!$B$4),IF(DATOS!$G6747="EX",1,IF(DATOS!$G6747="OR",--(COUNTIFS(nNIA,DATOS!$A6747,nCURSO,DATOS!$D6747,nESPEC,DATOS!$E6747,nASIG,DATOS!$I6747,nEVAL,"EX")=0),0))))</f>
      </c>
      <c r="H6747">
        <f>IF(DATOS!$G6747&lt;&gt;"EX",0,--(COUNTIFS(nNIA,DATOS!$A6747,nCURSO,DATOS!$D6747,nESPEC,DATOS!$E6747,nASIG,DATOS!$I6747,nEVAL,"OR")=0))</f>
      </c>
      <c r="I6747">
        <f>IF(DATOS!$I6747="","",IFERROR(VLOOKUP(DATOS!$I6747,CONFIG_ASIGNATURAS!$B$2:$J$91,9,FALSE()),""))</f>
      </c>
    </row>
    <row r="6748">
      <c r="F6748">
        <f>IF(DATOS!$A6748="","",DATOS!$A6748&amp;"|"&amp;DATOS!$D6748&amp;"|"&amp;DATOS!$E6748&amp;"|"&amp;DATOS!$I6748)</f>
      </c>
      <c r="G6748">
        <f>IF(DATOS!$A6748="",0,IF(CONFIG_METADATA!$B$4&lt;&gt;"OR+EX",--(DATOS!$G6748=CONFIG_METADATA!$B$4),IF(DATOS!$G6748="EX",1,IF(DATOS!$G6748="OR",--(COUNTIFS(nNIA,DATOS!$A6748,nCURSO,DATOS!$D6748,nESPEC,DATOS!$E6748,nASIG,DATOS!$I6748,nEVAL,"EX")=0),0))))</f>
      </c>
      <c r="H6748">
        <f>IF(DATOS!$G6748&lt;&gt;"EX",0,--(COUNTIFS(nNIA,DATOS!$A6748,nCURSO,DATOS!$D6748,nESPEC,DATOS!$E6748,nASIG,DATOS!$I6748,nEVAL,"OR")=0))</f>
      </c>
      <c r="I6748">
        <f>IF(DATOS!$I6748="","",IFERROR(VLOOKUP(DATOS!$I6748,CONFIG_ASIGNATURAS!$B$2:$J$91,9,FALSE()),""))</f>
      </c>
    </row>
    <row r="6749">
      <c r="F6749">
        <f>IF(DATOS!$A6749="","",DATOS!$A6749&amp;"|"&amp;DATOS!$D6749&amp;"|"&amp;DATOS!$E6749&amp;"|"&amp;DATOS!$I6749)</f>
      </c>
      <c r="G6749">
        <f>IF(DATOS!$A6749="",0,IF(CONFIG_METADATA!$B$4&lt;&gt;"OR+EX",--(DATOS!$G6749=CONFIG_METADATA!$B$4),IF(DATOS!$G6749="EX",1,IF(DATOS!$G6749="OR",--(COUNTIFS(nNIA,DATOS!$A6749,nCURSO,DATOS!$D6749,nESPEC,DATOS!$E6749,nASIG,DATOS!$I6749,nEVAL,"EX")=0),0))))</f>
      </c>
      <c r="H6749">
        <f>IF(DATOS!$G6749&lt;&gt;"EX",0,--(COUNTIFS(nNIA,DATOS!$A6749,nCURSO,DATOS!$D6749,nESPEC,DATOS!$E6749,nASIG,DATOS!$I6749,nEVAL,"OR")=0))</f>
      </c>
      <c r="I6749">
        <f>IF(DATOS!$I6749="","",IFERROR(VLOOKUP(DATOS!$I6749,CONFIG_ASIGNATURAS!$B$2:$J$91,9,FALSE()),""))</f>
      </c>
    </row>
    <row r="6750">
      <c r="F6750">
        <f>IF(DATOS!$A6750="","",DATOS!$A6750&amp;"|"&amp;DATOS!$D6750&amp;"|"&amp;DATOS!$E6750&amp;"|"&amp;DATOS!$I6750)</f>
      </c>
      <c r="G6750">
        <f>IF(DATOS!$A6750="",0,IF(CONFIG_METADATA!$B$4&lt;&gt;"OR+EX",--(DATOS!$G6750=CONFIG_METADATA!$B$4),IF(DATOS!$G6750="EX",1,IF(DATOS!$G6750="OR",--(COUNTIFS(nNIA,DATOS!$A6750,nCURSO,DATOS!$D6750,nESPEC,DATOS!$E6750,nASIG,DATOS!$I6750,nEVAL,"EX")=0),0))))</f>
      </c>
      <c r="H6750">
        <f>IF(DATOS!$G6750&lt;&gt;"EX",0,--(COUNTIFS(nNIA,DATOS!$A6750,nCURSO,DATOS!$D6750,nESPEC,DATOS!$E6750,nASIG,DATOS!$I6750,nEVAL,"OR")=0))</f>
      </c>
      <c r="I6750">
        <f>IF(DATOS!$I6750="","",IFERROR(VLOOKUP(DATOS!$I6750,CONFIG_ASIGNATURAS!$B$2:$J$91,9,FALSE()),""))</f>
      </c>
    </row>
    <row r="6751">
      <c r="F6751">
        <f>IF(DATOS!$A6751="","",DATOS!$A6751&amp;"|"&amp;DATOS!$D6751&amp;"|"&amp;DATOS!$E6751&amp;"|"&amp;DATOS!$I6751)</f>
      </c>
      <c r="G6751">
        <f>IF(DATOS!$A6751="",0,IF(CONFIG_METADATA!$B$4&lt;&gt;"OR+EX",--(DATOS!$G6751=CONFIG_METADATA!$B$4),IF(DATOS!$G6751="EX",1,IF(DATOS!$G6751="OR",--(COUNTIFS(nNIA,DATOS!$A6751,nCURSO,DATOS!$D6751,nESPEC,DATOS!$E6751,nASIG,DATOS!$I6751,nEVAL,"EX")=0),0))))</f>
      </c>
      <c r="H6751">
        <f>IF(DATOS!$G6751&lt;&gt;"EX",0,--(COUNTIFS(nNIA,DATOS!$A6751,nCURSO,DATOS!$D6751,nESPEC,DATOS!$E6751,nASIG,DATOS!$I6751,nEVAL,"OR")=0))</f>
      </c>
      <c r="I6751">
        <f>IF(DATOS!$I6751="","",IFERROR(VLOOKUP(DATOS!$I6751,CONFIG_ASIGNATURAS!$B$2:$J$91,9,FALSE()),""))</f>
      </c>
    </row>
    <row r="6752">
      <c r="F6752">
        <f>IF(DATOS!$A6752="","",DATOS!$A6752&amp;"|"&amp;DATOS!$D6752&amp;"|"&amp;DATOS!$E6752&amp;"|"&amp;DATOS!$I6752)</f>
      </c>
      <c r="G6752">
        <f>IF(DATOS!$A6752="",0,IF(CONFIG_METADATA!$B$4&lt;&gt;"OR+EX",--(DATOS!$G6752=CONFIG_METADATA!$B$4),IF(DATOS!$G6752="EX",1,IF(DATOS!$G6752="OR",--(COUNTIFS(nNIA,DATOS!$A6752,nCURSO,DATOS!$D6752,nESPEC,DATOS!$E6752,nASIG,DATOS!$I6752,nEVAL,"EX")=0),0))))</f>
      </c>
      <c r="H6752">
        <f>IF(DATOS!$G6752&lt;&gt;"EX",0,--(COUNTIFS(nNIA,DATOS!$A6752,nCURSO,DATOS!$D6752,nESPEC,DATOS!$E6752,nASIG,DATOS!$I6752,nEVAL,"OR")=0))</f>
      </c>
      <c r="I6752">
        <f>IF(DATOS!$I6752="","",IFERROR(VLOOKUP(DATOS!$I6752,CONFIG_ASIGNATURAS!$B$2:$J$91,9,FALSE()),""))</f>
      </c>
    </row>
    <row r="6753">
      <c r="F6753">
        <f>IF(DATOS!$A6753="","",DATOS!$A6753&amp;"|"&amp;DATOS!$D6753&amp;"|"&amp;DATOS!$E6753&amp;"|"&amp;DATOS!$I6753)</f>
      </c>
      <c r="G6753">
        <f>IF(DATOS!$A6753="",0,IF(CONFIG_METADATA!$B$4&lt;&gt;"OR+EX",--(DATOS!$G6753=CONFIG_METADATA!$B$4),IF(DATOS!$G6753="EX",1,IF(DATOS!$G6753="OR",--(COUNTIFS(nNIA,DATOS!$A6753,nCURSO,DATOS!$D6753,nESPEC,DATOS!$E6753,nASIG,DATOS!$I6753,nEVAL,"EX")=0),0))))</f>
      </c>
      <c r="H6753">
        <f>IF(DATOS!$G6753&lt;&gt;"EX",0,--(COUNTIFS(nNIA,DATOS!$A6753,nCURSO,DATOS!$D6753,nESPEC,DATOS!$E6753,nASIG,DATOS!$I6753,nEVAL,"OR")=0))</f>
      </c>
      <c r="I6753">
        <f>IF(DATOS!$I6753="","",IFERROR(VLOOKUP(DATOS!$I6753,CONFIG_ASIGNATURAS!$B$2:$J$91,9,FALSE()),""))</f>
      </c>
    </row>
    <row r="6754">
      <c r="F6754">
        <f>IF(DATOS!$A6754="","",DATOS!$A6754&amp;"|"&amp;DATOS!$D6754&amp;"|"&amp;DATOS!$E6754&amp;"|"&amp;DATOS!$I6754)</f>
      </c>
      <c r="G6754">
        <f>IF(DATOS!$A6754="",0,IF(CONFIG_METADATA!$B$4&lt;&gt;"OR+EX",--(DATOS!$G6754=CONFIG_METADATA!$B$4),IF(DATOS!$G6754="EX",1,IF(DATOS!$G6754="OR",--(COUNTIFS(nNIA,DATOS!$A6754,nCURSO,DATOS!$D6754,nESPEC,DATOS!$E6754,nASIG,DATOS!$I6754,nEVAL,"EX")=0),0))))</f>
      </c>
      <c r="H6754">
        <f>IF(DATOS!$G6754&lt;&gt;"EX",0,--(COUNTIFS(nNIA,DATOS!$A6754,nCURSO,DATOS!$D6754,nESPEC,DATOS!$E6754,nASIG,DATOS!$I6754,nEVAL,"OR")=0))</f>
      </c>
      <c r="I6754">
        <f>IF(DATOS!$I6754="","",IFERROR(VLOOKUP(DATOS!$I6754,CONFIG_ASIGNATURAS!$B$2:$J$91,9,FALSE()),""))</f>
      </c>
    </row>
    <row r="6755">
      <c r="F6755">
        <f>IF(DATOS!$A6755="","",DATOS!$A6755&amp;"|"&amp;DATOS!$D6755&amp;"|"&amp;DATOS!$E6755&amp;"|"&amp;DATOS!$I6755)</f>
      </c>
      <c r="G6755">
        <f>IF(DATOS!$A6755="",0,IF(CONFIG_METADATA!$B$4&lt;&gt;"OR+EX",--(DATOS!$G6755=CONFIG_METADATA!$B$4),IF(DATOS!$G6755="EX",1,IF(DATOS!$G6755="OR",--(COUNTIFS(nNIA,DATOS!$A6755,nCURSO,DATOS!$D6755,nESPEC,DATOS!$E6755,nASIG,DATOS!$I6755,nEVAL,"EX")=0),0))))</f>
      </c>
      <c r="H6755">
        <f>IF(DATOS!$G6755&lt;&gt;"EX",0,--(COUNTIFS(nNIA,DATOS!$A6755,nCURSO,DATOS!$D6755,nESPEC,DATOS!$E6755,nASIG,DATOS!$I6755,nEVAL,"OR")=0))</f>
      </c>
      <c r="I6755">
        <f>IF(DATOS!$I6755="","",IFERROR(VLOOKUP(DATOS!$I6755,CONFIG_ASIGNATURAS!$B$2:$J$91,9,FALSE()),""))</f>
      </c>
    </row>
    <row r="6756">
      <c r="F6756">
        <f>IF(DATOS!$A6756="","",DATOS!$A6756&amp;"|"&amp;DATOS!$D6756&amp;"|"&amp;DATOS!$E6756&amp;"|"&amp;DATOS!$I6756)</f>
      </c>
      <c r="G6756">
        <f>IF(DATOS!$A6756="",0,IF(CONFIG_METADATA!$B$4&lt;&gt;"OR+EX",--(DATOS!$G6756=CONFIG_METADATA!$B$4),IF(DATOS!$G6756="EX",1,IF(DATOS!$G6756="OR",--(COUNTIFS(nNIA,DATOS!$A6756,nCURSO,DATOS!$D6756,nESPEC,DATOS!$E6756,nASIG,DATOS!$I6756,nEVAL,"EX")=0),0))))</f>
      </c>
      <c r="H6756">
        <f>IF(DATOS!$G6756&lt;&gt;"EX",0,--(COUNTIFS(nNIA,DATOS!$A6756,nCURSO,DATOS!$D6756,nESPEC,DATOS!$E6756,nASIG,DATOS!$I6756,nEVAL,"OR")=0))</f>
      </c>
      <c r="I6756">
        <f>IF(DATOS!$I6756="","",IFERROR(VLOOKUP(DATOS!$I6756,CONFIG_ASIGNATURAS!$B$2:$J$91,9,FALSE()),""))</f>
      </c>
    </row>
    <row r="6757">
      <c r="F6757">
        <f>IF(DATOS!$A6757="","",DATOS!$A6757&amp;"|"&amp;DATOS!$D6757&amp;"|"&amp;DATOS!$E6757&amp;"|"&amp;DATOS!$I6757)</f>
      </c>
      <c r="G6757">
        <f>IF(DATOS!$A6757="",0,IF(CONFIG_METADATA!$B$4&lt;&gt;"OR+EX",--(DATOS!$G6757=CONFIG_METADATA!$B$4),IF(DATOS!$G6757="EX",1,IF(DATOS!$G6757="OR",--(COUNTIFS(nNIA,DATOS!$A6757,nCURSO,DATOS!$D6757,nESPEC,DATOS!$E6757,nASIG,DATOS!$I6757,nEVAL,"EX")=0),0))))</f>
      </c>
      <c r="H6757">
        <f>IF(DATOS!$G6757&lt;&gt;"EX",0,--(COUNTIFS(nNIA,DATOS!$A6757,nCURSO,DATOS!$D6757,nESPEC,DATOS!$E6757,nASIG,DATOS!$I6757,nEVAL,"OR")=0))</f>
      </c>
      <c r="I6757">
        <f>IF(DATOS!$I6757="","",IFERROR(VLOOKUP(DATOS!$I6757,CONFIG_ASIGNATURAS!$B$2:$J$91,9,FALSE()),""))</f>
      </c>
    </row>
    <row r="6758">
      <c r="F6758">
        <f>IF(DATOS!$A6758="","",DATOS!$A6758&amp;"|"&amp;DATOS!$D6758&amp;"|"&amp;DATOS!$E6758&amp;"|"&amp;DATOS!$I6758)</f>
      </c>
      <c r="G6758">
        <f>IF(DATOS!$A6758="",0,IF(CONFIG_METADATA!$B$4&lt;&gt;"OR+EX",--(DATOS!$G6758=CONFIG_METADATA!$B$4),IF(DATOS!$G6758="EX",1,IF(DATOS!$G6758="OR",--(COUNTIFS(nNIA,DATOS!$A6758,nCURSO,DATOS!$D6758,nESPEC,DATOS!$E6758,nASIG,DATOS!$I6758,nEVAL,"EX")=0),0))))</f>
      </c>
      <c r="H6758">
        <f>IF(DATOS!$G6758&lt;&gt;"EX",0,--(COUNTIFS(nNIA,DATOS!$A6758,nCURSO,DATOS!$D6758,nESPEC,DATOS!$E6758,nASIG,DATOS!$I6758,nEVAL,"OR")=0))</f>
      </c>
      <c r="I6758">
        <f>IF(DATOS!$I6758="","",IFERROR(VLOOKUP(DATOS!$I6758,CONFIG_ASIGNATURAS!$B$2:$J$91,9,FALSE()),""))</f>
      </c>
    </row>
    <row r="6759">
      <c r="F6759">
        <f>IF(DATOS!$A6759="","",DATOS!$A6759&amp;"|"&amp;DATOS!$D6759&amp;"|"&amp;DATOS!$E6759&amp;"|"&amp;DATOS!$I6759)</f>
      </c>
      <c r="G6759">
        <f>IF(DATOS!$A6759="",0,IF(CONFIG_METADATA!$B$4&lt;&gt;"OR+EX",--(DATOS!$G6759=CONFIG_METADATA!$B$4),IF(DATOS!$G6759="EX",1,IF(DATOS!$G6759="OR",--(COUNTIFS(nNIA,DATOS!$A6759,nCURSO,DATOS!$D6759,nESPEC,DATOS!$E6759,nASIG,DATOS!$I6759,nEVAL,"EX")=0),0))))</f>
      </c>
      <c r="H6759">
        <f>IF(DATOS!$G6759&lt;&gt;"EX",0,--(COUNTIFS(nNIA,DATOS!$A6759,nCURSO,DATOS!$D6759,nESPEC,DATOS!$E6759,nASIG,DATOS!$I6759,nEVAL,"OR")=0))</f>
      </c>
      <c r="I6759">
        <f>IF(DATOS!$I6759="","",IFERROR(VLOOKUP(DATOS!$I6759,CONFIG_ASIGNATURAS!$B$2:$J$91,9,FALSE()),""))</f>
      </c>
    </row>
    <row r="6760">
      <c r="F6760">
        <f>IF(DATOS!$A6760="","",DATOS!$A6760&amp;"|"&amp;DATOS!$D6760&amp;"|"&amp;DATOS!$E6760&amp;"|"&amp;DATOS!$I6760)</f>
      </c>
      <c r="G6760">
        <f>IF(DATOS!$A6760="",0,IF(CONFIG_METADATA!$B$4&lt;&gt;"OR+EX",--(DATOS!$G6760=CONFIG_METADATA!$B$4),IF(DATOS!$G6760="EX",1,IF(DATOS!$G6760="OR",--(COUNTIFS(nNIA,DATOS!$A6760,nCURSO,DATOS!$D6760,nESPEC,DATOS!$E6760,nASIG,DATOS!$I6760,nEVAL,"EX")=0),0))))</f>
      </c>
      <c r="H6760">
        <f>IF(DATOS!$G6760&lt;&gt;"EX",0,--(COUNTIFS(nNIA,DATOS!$A6760,nCURSO,DATOS!$D6760,nESPEC,DATOS!$E6760,nASIG,DATOS!$I6760,nEVAL,"OR")=0))</f>
      </c>
      <c r="I6760">
        <f>IF(DATOS!$I6760="","",IFERROR(VLOOKUP(DATOS!$I6760,CONFIG_ASIGNATURAS!$B$2:$J$91,9,FALSE()),""))</f>
      </c>
    </row>
    <row r="6761">
      <c r="F6761">
        <f>IF(DATOS!$A6761="","",DATOS!$A6761&amp;"|"&amp;DATOS!$D6761&amp;"|"&amp;DATOS!$E6761&amp;"|"&amp;DATOS!$I6761)</f>
      </c>
      <c r="G6761">
        <f>IF(DATOS!$A6761="",0,IF(CONFIG_METADATA!$B$4&lt;&gt;"OR+EX",--(DATOS!$G6761=CONFIG_METADATA!$B$4),IF(DATOS!$G6761="EX",1,IF(DATOS!$G6761="OR",--(COUNTIFS(nNIA,DATOS!$A6761,nCURSO,DATOS!$D6761,nESPEC,DATOS!$E6761,nASIG,DATOS!$I6761,nEVAL,"EX")=0),0))))</f>
      </c>
      <c r="H6761">
        <f>IF(DATOS!$G6761&lt;&gt;"EX",0,--(COUNTIFS(nNIA,DATOS!$A6761,nCURSO,DATOS!$D6761,nESPEC,DATOS!$E6761,nASIG,DATOS!$I6761,nEVAL,"OR")=0))</f>
      </c>
      <c r="I6761">
        <f>IF(DATOS!$I6761="","",IFERROR(VLOOKUP(DATOS!$I6761,CONFIG_ASIGNATURAS!$B$2:$J$91,9,FALSE()),""))</f>
      </c>
    </row>
    <row r="6762">
      <c r="F6762">
        <f>IF(DATOS!$A6762="","",DATOS!$A6762&amp;"|"&amp;DATOS!$D6762&amp;"|"&amp;DATOS!$E6762&amp;"|"&amp;DATOS!$I6762)</f>
      </c>
      <c r="G6762">
        <f>IF(DATOS!$A6762="",0,IF(CONFIG_METADATA!$B$4&lt;&gt;"OR+EX",--(DATOS!$G6762=CONFIG_METADATA!$B$4),IF(DATOS!$G6762="EX",1,IF(DATOS!$G6762="OR",--(COUNTIFS(nNIA,DATOS!$A6762,nCURSO,DATOS!$D6762,nESPEC,DATOS!$E6762,nASIG,DATOS!$I6762,nEVAL,"EX")=0),0))))</f>
      </c>
      <c r="H6762">
        <f>IF(DATOS!$G6762&lt;&gt;"EX",0,--(COUNTIFS(nNIA,DATOS!$A6762,nCURSO,DATOS!$D6762,nESPEC,DATOS!$E6762,nASIG,DATOS!$I6762,nEVAL,"OR")=0))</f>
      </c>
      <c r="I6762">
        <f>IF(DATOS!$I6762="","",IFERROR(VLOOKUP(DATOS!$I6762,CONFIG_ASIGNATURAS!$B$2:$J$91,9,FALSE()),""))</f>
      </c>
    </row>
    <row r="6763">
      <c r="F6763">
        <f>IF(DATOS!$A6763="","",DATOS!$A6763&amp;"|"&amp;DATOS!$D6763&amp;"|"&amp;DATOS!$E6763&amp;"|"&amp;DATOS!$I6763)</f>
      </c>
      <c r="G6763">
        <f>IF(DATOS!$A6763="",0,IF(CONFIG_METADATA!$B$4&lt;&gt;"OR+EX",--(DATOS!$G6763=CONFIG_METADATA!$B$4),IF(DATOS!$G6763="EX",1,IF(DATOS!$G6763="OR",--(COUNTIFS(nNIA,DATOS!$A6763,nCURSO,DATOS!$D6763,nESPEC,DATOS!$E6763,nASIG,DATOS!$I6763,nEVAL,"EX")=0),0))))</f>
      </c>
      <c r="H6763">
        <f>IF(DATOS!$G6763&lt;&gt;"EX",0,--(COUNTIFS(nNIA,DATOS!$A6763,nCURSO,DATOS!$D6763,nESPEC,DATOS!$E6763,nASIG,DATOS!$I6763,nEVAL,"OR")=0))</f>
      </c>
      <c r="I6763">
        <f>IF(DATOS!$I6763="","",IFERROR(VLOOKUP(DATOS!$I6763,CONFIG_ASIGNATURAS!$B$2:$J$91,9,FALSE()),""))</f>
      </c>
    </row>
    <row r="6764">
      <c r="F6764">
        <f>IF(DATOS!$A6764="","",DATOS!$A6764&amp;"|"&amp;DATOS!$D6764&amp;"|"&amp;DATOS!$E6764&amp;"|"&amp;DATOS!$I6764)</f>
      </c>
      <c r="G6764">
        <f>IF(DATOS!$A6764="",0,IF(CONFIG_METADATA!$B$4&lt;&gt;"OR+EX",--(DATOS!$G6764=CONFIG_METADATA!$B$4),IF(DATOS!$G6764="EX",1,IF(DATOS!$G6764="OR",--(COUNTIFS(nNIA,DATOS!$A6764,nCURSO,DATOS!$D6764,nESPEC,DATOS!$E6764,nASIG,DATOS!$I6764,nEVAL,"EX")=0),0))))</f>
      </c>
      <c r="H6764">
        <f>IF(DATOS!$G6764&lt;&gt;"EX",0,--(COUNTIFS(nNIA,DATOS!$A6764,nCURSO,DATOS!$D6764,nESPEC,DATOS!$E6764,nASIG,DATOS!$I6764,nEVAL,"OR")=0))</f>
      </c>
      <c r="I6764">
        <f>IF(DATOS!$I6764="","",IFERROR(VLOOKUP(DATOS!$I6764,CONFIG_ASIGNATURAS!$B$2:$J$91,9,FALSE()),""))</f>
      </c>
    </row>
    <row r="6765">
      <c r="F6765">
        <f>IF(DATOS!$A6765="","",DATOS!$A6765&amp;"|"&amp;DATOS!$D6765&amp;"|"&amp;DATOS!$E6765&amp;"|"&amp;DATOS!$I6765)</f>
      </c>
      <c r="G6765">
        <f>IF(DATOS!$A6765="",0,IF(CONFIG_METADATA!$B$4&lt;&gt;"OR+EX",--(DATOS!$G6765=CONFIG_METADATA!$B$4),IF(DATOS!$G6765="EX",1,IF(DATOS!$G6765="OR",--(COUNTIFS(nNIA,DATOS!$A6765,nCURSO,DATOS!$D6765,nESPEC,DATOS!$E6765,nASIG,DATOS!$I6765,nEVAL,"EX")=0),0))))</f>
      </c>
      <c r="H6765">
        <f>IF(DATOS!$G6765&lt;&gt;"EX",0,--(COUNTIFS(nNIA,DATOS!$A6765,nCURSO,DATOS!$D6765,nESPEC,DATOS!$E6765,nASIG,DATOS!$I6765,nEVAL,"OR")=0))</f>
      </c>
      <c r="I6765">
        <f>IF(DATOS!$I6765="","",IFERROR(VLOOKUP(DATOS!$I6765,CONFIG_ASIGNATURAS!$B$2:$J$91,9,FALSE()),""))</f>
      </c>
    </row>
    <row r="6766">
      <c r="F6766">
        <f>IF(DATOS!$A6766="","",DATOS!$A6766&amp;"|"&amp;DATOS!$D6766&amp;"|"&amp;DATOS!$E6766&amp;"|"&amp;DATOS!$I6766)</f>
      </c>
      <c r="G6766">
        <f>IF(DATOS!$A6766="",0,IF(CONFIG_METADATA!$B$4&lt;&gt;"OR+EX",--(DATOS!$G6766=CONFIG_METADATA!$B$4),IF(DATOS!$G6766="EX",1,IF(DATOS!$G6766="OR",--(COUNTIFS(nNIA,DATOS!$A6766,nCURSO,DATOS!$D6766,nESPEC,DATOS!$E6766,nASIG,DATOS!$I6766,nEVAL,"EX")=0),0))))</f>
      </c>
      <c r="H6766">
        <f>IF(DATOS!$G6766&lt;&gt;"EX",0,--(COUNTIFS(nNIA,DATOS!$A6766,nCURSO,DATOS!$D6766,nESPEC,DATOS!$E6766,nASIG,DATOS!$I6766,nEVAL,"OR")=0))</f>
      </c>
      <c r="I6766">
        <f>IF(DATOS!$I6766="","",IFERROR(VLOOKUP(DATOS!$I6766,CONFIG_ASIGNATURAS!$B$2:$J$91,9,FALSE()),""))</f>
      </c>
    </row>
    <row r="6767">
      <c r="F6767">
        <f>IF(DATOS!$A6767="","",DATOS!$A6767&amp;"|"&amp;DATOS!$D6767&amp;"|"&amp;DATOS!$E6767&amp;"|"&amp;DATOS!$I6767)</f>
      </c>
      <c r="G6767">
        <f>IF(DATOS!$A6767="",0,IF(CONFIG_METADATA!$B$4&lt;&gt;"OR+EX",--(DATOS!$G6767=CONFIG_METADATA!$B$4),IF(DATOS!$G6767="EX",1,IF(DATOS!$G6767="OR",--(COUNTIFS(nNIA,DATOS!$A6767,nCURSO,DATOS!$D6767,nESPEC,DATOS!$E6767,nASIG,DATOS!$I6767,nEVAL,"EX")=0),0))))</f>
      </c>
      <c r="H6767">
        <f>IF(DATOS!$G6767&lt;&gt;"EX",0,--(COUNTIFS(nNIA,DATOS!$A6767,nCURSO,DATOS!$D6767,nESPEC,DATOS!$E6767,nASIG,DATOS!$I6767,nEVAL,"OR")=0))</f>
      </c>
      <c r="I6767">
        <f>IF(DATOS!$I6767="","",IFERROR(VLOOKUP(DATOS!$I6767,CONFIG_ASIGNATURAS!$B$2:$J$91,9,FALSE()),""))</f>
      </c>
    </row>
    <row r="6768">
      <c r="F6768">
        <f>IF(DATOS!$A6768="","",DATOS!$A6768&amp;"|"&amp;DATOS!$D6768&amp;"|"&amp;DATOS!$E6768&amp;"|"&amp;DATOS!$I6768)</f>
      </c>
      <c r="G6768">
        <f>IF(DATOS!$A6768="",0,IF(CONFIG_METADATA!$B$4&lt;&gt;"OR+EX",--(DATOS!$G6768=CONFIG_METADATA!$B$4),IF(DATOS!$G6768="EX",1,IF(DATOS!$G6768="OR",--(COUNTIFS(nNIA,DATOS!$A6768,nCURSO,DATOS!$D6768,nESPEC,DATOS!$E6768,nASIG,DATOS!$I6768,nEVAL,"EX")=0),0))))</f>
      </c>
      <c r="H6768">
        <f>IF(DATOS!$G6768&lt;&gt;"EX",0,--(COUNTIFS(nNIA,DATOS!$A6768,nCURSO,DATOS!$D6768,nESPEC,DATOS!$E6768,nASIG,DATOS!$I6768,nEVAL,"OR")=0))</f>
      </c>
      <c r="I6768">
        <f>IF(DATOS!$I6768="","",IFERROR(VLOOKUP(DATOS!$I6768,CONFIG_ASIGNATURAS!$B$2:$J$91,9,FALSE()),""))</f>
      </c>
    </row>
    <row r="6769">
      <c r="F6769">
        <f>IF(DATOS!$A6769="","",DATOS!$A6769&amp;"|"&amp;DATOS!$D6769&amp;"|"&amp;DATOS!$E6769&amp;"|"&amp;DATOS!$I6769)</f>
      </c>
      <c r="G6769">
        <f>IF(DATOS!$A6769="",0,IF(CONFIG_METADATA!$B$4&lt;&gt;"OR+EX",--(DATOS!$G6769=CONFIG_METADATA!$B$4),IF(DATOS!$G6769="EX",1,IF(DATOS!$G6769="OR",--(COUNTIFS(nNIA,DATOS!$A6769,nCURSO,DATOS!$D6769,nESPEC,DATOS!$E6769,nASIG,DATOS!$I6769,nEVAL,"EX")=0),0))))</f>
      </c>
      <c r="H6769">
        <f>IF(DATOS!$G6769&lt;&gt;"EX",0,--(COUNTIFS(nNIA,DATOS!$A6769,nCURSO,DATOS!$D6769,nESPEC,DATOS!$E6769,nASIG,DATOS!$I6769,nEVAL,"OR")=0))</f>
      </c>
      <c r="I6769">
        <f>IF(DATOS!$I6769="","",IFERROR(VLOOKUP(DATOS!$I6769,CONFIG_ASIGNATURAS!$B$2:$J$91,9,FALSE()),""))</f>
      </c>
    </row>
    <row r="6770">
      <c r="F6770">
        <f>IF(DATOS!$A6770="","",DATOS!$A6770&amp;"|"&amp;DATOS!$D6770&amp;"|"&amp;DATOS!$E6770&amp;"|"&amp;DATOS!$I6770)</f>
      </c>
      <c r="G6770">
        <f>IF(DATOS!$A6770="",0,IF(CONFIG_METADATA!$B$4&lt;&gt;"OR+EX",--(DATOS!$G6770=CONFIG_METADATA!$B$4),IF(DATOS!$G6770="EX",1,IF(DATOS!$G6770="OR",--(COUNTIFS(nNIA,DATOS!$A6770,nCURSO,DATOS!$D6770,nESPEC,DATOS!$E6770,nASIG,DATOS!$I6770,nEVAL,"EX")=0),0))))</f>
      </c>
      <c r="H6770">
        <f>IF(DATOS!$G6770&lt;&gt;"EX",0,--(COUNTIFS(nNIA,DATOS!$A6770,nCURSO,DATOS!$D6770,nESPEC,DATOS!$E6770,nASIG,DATOS!$I6770,nEVAL,"OR")=0))</f>
      </c>
      <c r="I6770">
        <f>IF(DATOS!$I6770="","",IFERROR(VLOOKUP(DATOS!$I6770,CONFIG_ASIGNATURAS!$B$2:$J$91,9,FALSE()),""))</f>
      </c>
    </row>
    <row r="6771">
      <c r="F6771">
        <f>IF(DATOS!$A6771="","",DATOS!$A6771&amp;"|"&amp;DATOS!$D6771&amp;"|"&amp;DATOS!$E6771&amp;"|"&amp;DATOS!$I6771)</f>
      </c>
      <c r="G6771">
        <f>IF(DATOS!$A6771="",0,IF(CONFIG_METADATA!$B$4&lt;&gt;"OR+EX",--(DATOS!$G6771=CONFIG_METADATA!$B$4),IF(DATOS!$G6771="EX",1,IF(DATOS!$G6771="OR",--(COUNTIFS(nNIA,DATOS!$A6771,nCURSO,DATOS!$D6771,nESPEC,DATOS!$E6771,nASIG,DATOS!$I6771,nEVAL,"EX")=0),0))))</f>
      </c>
      <c r="H6771">
        <f>IF(DATOS!$G6771&lt;&gt;"EX",0,--(COUNTIFS(nNIA,DATOS!$A6771,nCURSO,DATOS!$D6771,nESPEC,DATOS!$E6771,nASIG,DATOS!$I6771,nEVAL,"OR")=0))</f>
      </c>
      <c r="I6771">
        <f>IF(DATOS!$I6771="","",IFERROR(VLOOKUP(DATOS!$I6771,CONFIG_ASIGNATURAS!$B$2:$J$91,9,FALSE()),""))</f>
      </c>
    </row>
    <row r="6772">
      <c r="F6772">
        <f>IF(DATOS!$A6772="","",DATOS!$A6772&amp;"|"&amp;DATOS!$D6772&amp;"|"&amp;DATOS!$E6772&amp;"|"&amp;DATOS!$I6772)</f>
      </c>
      <c r="G6772">
        <f>IF(DATOS!$A6772="",0,IF(CONFIG_METADATA!$B$4&lt;&gt;"OR+EX",--(DATOS!$G6772=CONFIG_METADATA!$B$4),IF(DATOS!$G6772="EX",1,IF(DATOS!$G6772="OR",--(COUNTIFS(nNIA,DATOS!$A6772,nCURSO,DATOS!$D6772,nESPEC,DATOS!$E6772,nASIG,DATOS!$I6772,nEVAL,"EX")=0),0))))</f>
      </c>
      <c r="H6772">
        <f>IF(DATOS!$G6772&lt;&gt;"EX",0,--(COUNTIFS(nNIA,DATOS!$A6772,nCURSO,DATOS!$D6772,nESPEC,DATOS!$E6772,nASIG,DATOS!$I6772,nEVAL,"OR")=0))</f>
      </c>
      <c r="I6772">
        <f>IF(DATOS!$I6772="","",IFERROR(VLOOKUP(DATOS!$I6772,CONFIG_ASIGNATURAS!$B$2:$J$91,9,FALSE()),""))</f>
      </c>
    </row>
    <row r="6773">
      <c r="F6773">
        <f>IF(DATOS!$A6773="","",DATOS!$A6773&amp;"|"&amp;DATOS!$D6773&amp;"|"&amp;DATOS!$E6773&amp;"|"&amp;DATOS!$I6773)</f>
      </c>
      <c r="G6773">
        <f>IF(DATOS!$A6773="",0,IF(CONFIG_METADATA!$B$4&lt;&gt;"OR+EX",--(DATOS!$G6773=CONFIG_METADATA!$B$4),IF(DATOS!$G6773="EX",1,IF(DATOS!$G6773="OR",--(COUNTIFS(nNIA,DATOS!$A6773,nCURSO,DATOS!$D6773,nESPEC,DATOS!$E6773,nASIG,DATOS!$I6773,nEVAL,"EX")=0),0))))</f>
      </c>
      <c r="H6773">
        <f>IF(DATOS!$G6773&lt;&gt;"EX",0,--(COUNTIFS(nNIA,DATOS!$A6773,nCURSO,DATOS!$D6773,nESPEC,DATOS!$E6773,nASIG,DATOS!$I6773,nEVAL,"OR")=0))</f>
      </c>
      <c r="I6773">
        <f>IF(DATOS!$I6773="","",IFERROR(VLOOKUP(DATOS!$I6773,CONFIG_ASIGNATURAS!$B$2:$J$91,9,FALSE()),""))</f>
      </c>
    </row>
    <row r="6774">
      <c r="F6774">
        <f>IF(DATOS!$A6774="","",DATOS!$A6774&amp;"|"&amp;DATOS!$D6774&amp;"|"&amp;DATOS!$E6774&amp;"|"&amp;DATOS!$I6774)</f>
      </c>
      <c r="G6774">
        <f>IF(DATOS!$A6774="",0,IF(CONFIG_METADATA!$B$4&lt;&gt;"OR+EX",--(DATOS!$G6774=CONFIG_METADATA!$B$4),IF(DATOS!$G6774="EX",1,IF(DATOS!$G6774="OR",--(COUNTIFS(nNIA,DATOS!$A6774,nCURSO,DATOS!$D6774,nESPEC,DATOS!$E6774,nASIG,DATOS!$I6774,nEVAL,"EX")=0),0))))</f>
      </c>
      <c r="H6774">
        <f>IF(DATOS!$G6774&lt;&gt;"EX",0,--(COUNTIFS(nNIA,DATOS!$A6774,nCURSO,DATOS!$D6774,nESPEC,DATOS!$E6774,nASIG,DATOS!$I6774,nEVAL,"OR")=0))</f>
      </c>
      <c r="I6774">
        <f>IF(DATOS!$I6774="","",IFERROR(VLOOKUP(DATOS!$I6774,CONFIG_ASIGNATURAS!$B$2:$J$91,9,FALSE()),""))</f>
      </c>
    </row>
    <row r="6775">
      <c r="F6775">
        <f>IF(DATOS!$A6775="","",DATOS!$A6775&amp;"|"&amp;DATOS!$D6775&amp;"|"&amp;DATOS!$E6775&amp;"|"&amp;DATOS!$I6775)</f>
      </c>
      <c r="G6775">
        <f>IF(DATOS!$A6775="",0,IF(CONFIG_METADATA!$B$4&lt;&gt;"OR+EX",--(DATOS!$G6775=CONFIG_METADATA!$B$4),IF(DATOS!$G6775="EX",1,IF(DATOS!$G6775="OR",--(COUNTIFS(nNIA,DATOS!$A6775,nCURSO,DATOS!$D6775,nESPEC,DATOS!$E6775,nASIG,DATOS!$I6775,nEVAL,"EX")=0),0))))</f>
      </c>
      <c r="H6775">
        <f>IF(DATOS!$G6775&lt;&gt;"EX",0,--(COUNTIFS(nNIA,DATOS!$A6775,nCURSO,DATOS!$D6775,nESPEC,DATOS!$E6775,nASIG,DATOS!$I6775,nEVAL,"OR")=0))</f>
      </c>
      <c r="I6775">
        <f>IF(DATOS!$I6775="","",IFERROR(VLOOKUP(DATOS!$I6775,CONFIG_ASIGNATURAS!$B$2:$J$91,9,FALSE()),""))</f>
      </c>
    </row>
    <row r="6776">
      <c r="F6776">
        <f>IF(DATOS!$A6776="","",DATOS!$A6776&amp;"|"&amp;DATOS!$D6776&amp;"|"&amp;DATOS!$E6776&amp;"|"&amp;DATOS!$I6776)</f>
      </c>
      <c r="G6776">
        <f>IF(DATOS!$A6776="",0,IF(CONFIG_METADATA!$B$4&lt;&gt;"OR+EX",--(DATOS!$G6776=CONFIG_METADATA!$B$4),IF(DATOS!$G6776="EX",1,IF(DATOS!$G6776="OR",--(COUNTIFS(nNIA,DATOS!$A6776,nCURSO,DATOS!$D6776,nESPEC,DATOS!$E6776,nASIG,DATOS!$I6776,nEVAL,"EX")=0),0))))</f>
      </c>
      <c r="H6776">
        <f>IF(DATOS!$G6776&lt;&gt;"EX",0,--(COUNTIFS(nNIA,DATOS!$A6776,nCURSO,DATOS!$D6776,nESPEC,DATOS!$E6776,nASIG,DATOS!$I6776,nEVAL,"OR")=0))</f>
      </c>
      <c r="I6776">
        <f>IF(DATOS!$I6776="","",IFERROR(VLOOKUP(DATOS!$I6776,CONFIG_ASIGNATURAS!$B$2:$J$91,9,FALSE()),""))</f>
      </c>
    </row>
    <row r="6777">
      <c r="F6777">
        <f>IF(DATOS!$A6777="","",DATOS!$A6777&amp;"|"&amp;DATOS!$D6777&amp;"|"&amp;DATOS!$E6777&amp;"|"&amp;DATOS!$I6777)</f>
      </c>
      <c r="G6777">
        <f>IF(DATOS!$A6777="",0,IF(CONFIG_METADATA!$B$4&lt;&gt;"OR+EX",--(DATOS!$G6777=CONFIG_METADATA!$B$4),IF(DATOS!$G6777="EX",1,IF(DATOS!$G6777="OR",--(COUNTIFS(nNIA,DATOS!$A6777,nCURSO,DATOS!$D6777,nESPEC,DATOS!$E6777,nASIG,DATOS!$I6777,nEVAL,"EX")=0),0))))</f>
      </c>
      <c r="H6777">
        <f>IF(DATOS!$G6777&lt;&gt;"EX",0,--(COUNTIFS(nNIA,DATOS!$A6777,nCURSO,DATOS!$D6777,nESPEC,DATOS!$E6777,nASIG,DATOS!$I6777,nEVAL,"OR")=0))</f>
      </c>
      <c r="I6777">
        <f>IF(DATOS!$I6777="","",IFERROR(VLOOKUP(DATOS!$I6777,CONFIG_ASIGNATURAS!$B$2:$J$91,9,FALSE()),""))</f>
      </c>
    </row>
    <row r="6778">
      <c r="F6778">
        <f>IF(DATOS!$A6778="","",DATOS!$A6778&amp;"|"&amp;DATOS!$D6778&amp;"|"&amp;DATOS!$E6778&amp;"|"&amp;DATOS!$I6778)</f>
      </c>
      <c r="G6778">
        <f>IF(DATOS!$A6778="",0,IF(CONFIG_METADATA!$B$4&lt;&gt;"OR+EX",--(DATOS!$G6778=CONFIG_METADATA!$B$4),IF(DATOS!$G6778="EX",1,IF(DATOS!$G6778="OR",--(COUNTIFS(nNIA,DATOS!$A6778,nCURSO,DATOS!$D6778,nESPEC,DATOS!$E6778,nASIG,DATOS!$I6778,nEVAL,"EX")=0),0))))</f>
      </c>
      <c r="H6778">
        <f>IF(DATOS!$G6778&lt;&gt;"EX",0,--(COUNTIFS(nNIA,DATOS!$A6778,nCURSO,DATOS!$D6778,nESPEC,DATOS!$E6778,nASIG,DATOS!$I6778,nEVAL,"OR")=0))</f>
      </c>
      <c r="I6778">
        <f>IF(DATOS!$I6778="","",IFERROR(VLOOKUP(DATOS!$I6778,CONFIG_ASIGNATURAS!$B$2:$J$91,9,FALSE()),""))</f>
      </c>
    </row>
    <row r="6779">
      <c r="F6779">
        <f>IF(DATOS!$A6779="","",DATOS!$A6779&amp;"|"&amp;DATOS!$D6779&amp;"|"&amp;DATOS!$E6779&amp;"|"&amp;DATOS!$I6779)</f>
      </c>
      <c r="G6779">
        <f>IF(DATOS!$A6779="",0,IF(CONFIG_METADATA!$B$4&lt;&gt;"OR+EX",--(DATOS!$G6779=CONFIG_METADATA!$B$4),IF(DATOS!$G6779="EX",1,IF(DATOS!$G6779="OR",--(COUNTIFS(nNIA,DATOS!$A6779,nCURSO,DATOS!$D6779,nESPEC,DATOS!$E6779,nASIG,DATOS!$I6779,nEVAL,"EX")=0),0))))</f>
      </c>
      <c r="H6779">
        <f>IF(DATOS!$G6779&lt;&gt;"EX",0,--(COUNTIFS(nNIA,DATOS!$A6779,nCURSO,DATOS!$D6779,nESPEC,DATOS!$E6779,nASIG,DATOS!$I6779,nEVAL,"OR")=0))</f>
      </c>
      <c r="I6779">
        <f>IF(DATOS!$I6779="","",IFERROR(VLOOKUP(DATOS!$I6779,CONFIG_ASIGNATURAS!$B$2:$J$91,9,FALSE()),""))</f>
      </c>
    </row>
    <row r="6780">
      <c r="F6780">
        <f>IF(DATOS!$A6780="","",DATOS!$A6780&amp;"|"&amp;DATOS!$D6780&amp;"|"&amp;DATOS!$E6780&amp;"|"&amp;DATOS!$I6780)</f>
      </c>
      <c r="G6780">
        <f>IF(DATOS!$A6780="",0,IF(CONFIG_METADATA!$B$4&lt;&gt;"OR+EX",--(DATOS!$G6780=CONFIG_METADATA!$B$4),IF(DATOS!$G6780="EX",1,IF(DATOS!$G6780="OR",--(COUNTIFS(nNIA,DATOS!$A6780,nCURSO,DATOS!$D6780,nESPEC,DATOS!$E6780,nASIG,DATOS!$I6780,nEVAL,"EX")=0),0))))</f>
      </c>
      <c r="H6780">
        <f>IF(DATOS!$G6780&lt;&gt;"EX",0,--(COUNTIFS(nNIA,DATOS!$A6780,nCURSO,DATOS!$D6780,nESPEC,DATOS!$E6780,nASIG,DATOS!$I6780,nEVAL,"OR")=0))</f>
      </c>
      <c r="I6780">
        <f>IF(DATOS!$I6780="","",IFERROR(VLOOKUP(DATOS!$I6780,CONFIG_ASIGNATURAS!$B$2:$J$91,9,FALSE()),""))</f>
      </c>
    </row>
    <row r="6781">
      <c r="F6781">
        <f>IF(DATOS!$A6781="","",DATOS!$A6781&amp;"|"&amp;DATOS!$D6781&amp;"|"&amp;DATOS!$E6781&amp;"|"&amp;DATOS!$I6781)</f>
      </c>
      <c r="G6781">
        <f>IF(DATOS!$A6781="",0,IF(CONFIG_METADATA!$B$4&lt;&gt;"OR+EX",--(DATOS!$G6781=CONFIG_METADATA!$B$4),IF(DATOS!$G6781="EX",1,IF(DATOS!$G6781="OR",--(COUNTIFS(nNIA,DATOS!$A6781,nCURSO,DATOS!$D6781,nESPEC,DATOS!$E6781,nASIG,DATOS!$I6781,nEVAL,"EX")=0),0))))</f>
      </c>
      <c r="H6781">
        <f>IF(DATOS!$G6781&lt;&gt;"EX",0,--(COUNTIFS(nNIA,DATOS!$A6781,nCURSO,DATOS!$D6781,nESPEC,DATOS!$E6781,nASIG,DATOS!$I6781,nEVAL,"OR")=0))</f>
      </c>
      <c r="I6781">
        <f>IF(DATOS!$I6781="","",IFERROR(VLOOKUP(DATOS!$I6781,CONFIG_ASIGNATURAS!$B$2:$J$91,9,FALSE()),""))</f>
      </c>
    </row>
    <row r="6782">
      <c r="F6782">
        <f>IF(DATOS!$A6782="","",DATOS!$A6782&amp;"|"&amp;DATOS!$D6782&amp;"|"&amp;DATOS!$E6782&amp;"|"&amp;DATOS!$I6782)</f>
      </c>
      <c r="G6782">
        <f>IF(DATOS!$A6782="",0,IF(CONFIG_METADATA!$B$4&lt;&gt;"OR+EX",--(DATOS!$G6782=CONFIG_METADATA!$B$4),IF(DATOS!$G6782="EX",1,IF(DATOS!$G6782="OR",--(COUNTIFS(nNIA,DATOS!$A6782,nCURSO,DATOS!$D6782,nESPEC,DATOS!$E6782,nASIG,DATOS!$I6782,nEVAL,"EX")=0),0))))</f>
      </c>
      <c r="H6782">
        <f>IF(DATOS!$G6782&lt;&gt;"EX",0,--(COUNTIFS(nNIA,DATOS!$A6782,nCURSO,DATOS!$D6782,nESPEC,DATOS!$E6782,nASIG,DATOS!$I6782,nEVAL,"OR")=0))</f>
      </c>
      <c r="I6782">
        <f>IF(DATOS!$I6782="","",IFERROR(VLOOKUP(DATOS!$I6782,CONFIG_ASIGNATURAS!$B$2:$J$91,9,FALSE()),""))</f>
      </c>
    </row>
    <row r="6783">
      <c r="F6783">
        <f>IF(DATOS!$A6783="","",DATOS!$A6783&amp;"|"&amp;DATOS!$D6783&amp;"|"&amp;DATOS!$E6783&amp;"|"&amp;DATOS!$I6783)</f>
      </c>
      <c r="G6783">
        <f>IF(DATOS!$A6783="",0,IF(CONFIG_METADATA!$B$4&lt;&gt;"OR+EX",--(DATOS!$G6783=CONFIG_METADATA!$B$4),IF(DATOS!$G6783="EX",1,IF(DATOS!$G6783="OR",--(COUNTIFS(nNIA,DATOS!$A6783,nCURSO,DATOS!$D6783,nESPEC,DATOS!$E6783,nASIG,DATOS!$I6783,nEVAL,"EX")=0),0))))</f>
      </c>
      <c r="H6783">
        <f>IF(DATOS!$G6783&lt;&gt;"EX",0,--(COUNTIFS(nNIA,DATOS!$A6783,nCURSO,DATOS!$D6783,nESPEC,DATOS!$E6783,nASIG,DATOS!$I6783,nEVAL,"OR")=0))</f>
      </c>
      <c r="I6783">
        <f>IF(DATOS!$I6783="","",IFERROR(VLOOKUP(DATOS!$I6783,CONFIG_ASIGNATURAS!$B$2:$J$91,9,FALSE()),""))</f>
      </c>
    </row>
    <row r="6784">
      <c r="F6784">
        <f>IF(DATOS!$A6784="","",DATOS!$A6784&amp;"|"&amp;DATOS!$D6784&amp;"|"&amp;DATOS!$E6784&amp;"|"&amp;DATOS!$I6784)</f>
      </c>
      <c r="G6784">
        <f>IF(DATOS!$A6784="",0,IF(CONFIG_METADATA!$B$4&lt;&gt;"OR+EX",--(DATOS!$G6784=CONFIG_METADATA!$B$4),IF(DATOS!$G6784="EX",1,IF(DATOS!$G6784="OR",--(COUNTIFS(nNIA,DATOS!$A6784,nCURSO,DATOS!$D6784,nESPEC,DATOS!$E6784,nASIG,DATOS!$I6784,nEVAL,"EX")=0),0))))</f>
      </c>
      <c r="H6784">
        <f>IF(DATOS!$G6784&lt;&gt;"EX",0,--(COUNTIFS(nNIA,DATOS!$A6784,nCURSO,DATOS!$D6784,nESPEC,DATOS!$E6784,nASIG,DATOS!$I6784,nEVAL,"OR")=0))</f>
      </c>
      <c r="I6784">
        <f>IF(DATOS!$I6784="","",IFERROR(VLOOKUP(DATOS!$I6784,CONFIG_ASIGNATURAS!$B$2:$J$91,9,FALSE()),""))</f>
      </c>
    </row>
    <row r="6785">
      <c r="F6785">
        <f>IF(DATOS!$A6785="","",DATOS!$A6785&amp;"|"&amp;DATOS!$D6785&amp;"|"&amp;DATOS!$E6785&amp;"|"&amp;DATOS!$I6785)</f>
      </c>
      <c r="G6785">
        <f>IF(DATOS!$A6785="",0,IF(CONFIG_METADATA!$B$4&lt;&gt;"OR+EX",--(DATOS!$G6785=CONFIG_METADATA!$B$4),IF(DATOS!$G6785="EX",1,IF(DATOS!$G6785="OR",--(COUNTIFS(nNIA,DATOS!$A6785,nCURSO,DATOS!$D6785,nESPEC,DATOS!$E6785,nASIG,DATOS!$I6785,nEVAL,"EX")=0),0))))</f>
      </c>
      <c r="H6785">
        <f>IF(DATOS!$G6785&lt;&gt;"EX",0,--(COUNTIFS(nNIA,DATOS!$A6785,nCURSO,DATOS!$D6785,nESPEC,DATOS!$E6785,nASIG,DATOS!$I6785,nEVAL,"OR")=0))</f>
      </c>
      <c r="I6785">
        <f>IF(DATOS!$I6785="","",IFERROR(VLOOKUP(DATOS!$I6785,CONFIG_ASIGNATURAS!$B$2:$J$91,9,FALSE()),""))</f>
      </c>
    </row>
    <row r="6786">
      <c r="F6786">
        <f>IF(DATOS!$A6786="","",DATOS!$A6786&amp;"|"&amp;DATOS!$D6786&amp;"|"&amp;DATOS!$E6786&amp;"|"&amp;DATOS!$I6786)</f>
      </c>
      <c r="G6786">
        <f>IF(DATOS!$A6786="",0,IF(CONFIG_METADATA!$B$4&lt;&gt;"OR+EX",--(DATOS!$G6786=CONFIG_METADATA!$B$4),IF(DATOS!$G6786="EX",1,IF(DATOS!$G6786="OR",--(COUNTIFS(nNIA,DATOS!$A6786,nCURSO,DATOS!$D6786,nESPEC,DATOS!$E6786,nASIG,DATOS!$I6786,nEVAL,"EX")=0),0))))</f>
      </c>
      <c r="H6786">
        <f>IF(DATOS!$G6786&lt;&gt;"EX",0,--(COUNTIFS(nNIA,DATOS!$A6786,nCURSO,DATOS!$D6786,nESPEC,DATOS!$E6786,nASIG,DATOS!$I6786,nEVAL,"OR")=0))</f>
      </c>
      <c r="I6786">
        <f>IF(DATOS!$I6786="","",IFERROR(VLOOKUP(DATOS!$I6786,CONFIG_ASIGNATURAS!$B$2:$J$91,9,FALSE()),""))</f>
      </c>
    </row>
    <row r="6787">
      <c r="F6787">
        <f>IF(DATOS!$A6787="","",DATOS!$A6787&amp;"|"&amp;DATOS!$D6787&amp;"|"&amp;DATOS!$E6787&amp;"|"&amp;DATOS!$I6787)</f>
      </c>
      <c r="G6787">
        <f>IF(DATOS!$A6787="",0,IF(CONFIG_METADATA!$B$4&lt;&gt;"OR+EX",--(DATOS!$G6787=CONFIG_METADATA!$B$4),IF(DATOS!$G6787="EX",1,IF(DATOS!$G6787="OR",--(COUNTIFS(nNIA,DATOS!$A6787,nCURSO,DATOS!$D6787,nESPEC,DATOS!$E6787,nASIG,DATOS!$I6787,nEVAL,"EX")=0),0))))</f>
      </c>
      <c r="H6787">
        <f>IF(DATOS!$G6787&lt;&gt;"EX",0,--(COUNTIFS(nNIA,DATOS!$A6787,nCURSO,DATOS!$D6787,nESPEC,DATOS!$E6787,nASIG,DATOS!$I6787,nEVAL,"OR")=0))</f>
      </c>
      <c r="I6787">
        <f>IF(DATOS!$I6787="","",IFERROR(VLOOKUP(DATOS!$I6787,CONFIG_ASIGNATURAS!$B$2:$J$91,9,FALSE()),""))</f>
      </c>
    </row>
    <row r="6788">
      <c r="F6788">
        <f>IF(DATOS!$A6788="","",DATOS!$A6788&amp;"|"&amp;DATOS!$D6788&amp;"|"&amp;DATOS!$E6788&amp;"|"&amp;DATOS!$I6788)</f>
      </c>
      <c r="G6788">
        <f>IF(DATOS!$A6788="",0,IF(CONFIG_METADATA!$B$4&lt;&gt;"OR+EX",--(DATOS!$G6788=CONFIG_METADATA!$B$4),IF(DATOS!$G6788="EX",1,IF(DATOS!$G6788="OR",--(COUNTIFS(nNIA,DATOS!$A6788,nCURSO,DATOS!$D6788,nESPEC,DATOS!$E6788,nASIG,DATOS!$I6788,nEVAL,"EX")=0),0))))</f>
      </c>
      <c r="H6788">
        <f>IF(DATOS!$G6788&lt;&gt;"EX",0,--(COUNTIFS(nNIA,DATOS!$A6788,nCURSO,DATOS!$D6788,nESPEC,DATOS!$E6788,nASIG,DATOS!$I6788,nEVAL,"OR")=0))</f>
      </c>
      <c r="I6788">
        <f>IF(DATOS!$I6788="","",IFERROR(VLOOKUP(DATOS!$I6788,CONFIG_ASIGNATURAS!$B$2:$J$91,9,FALSE()),""))</f>
      </c>
    </row>
    <row r="6789">
      <c r="F6789">
        <f>IF(DATOS!$A6789="","",DATOS!$A6789&amp;"|"&amp;DATOS!$D6789&amp;"|"&amp;DATOS!$E6789&amp;"|"&amp;DATOS!$I6789)</f>
      </c>
      <c r="G6789">
        <f>IF(DATOS!$A6789="",0,IF(CONFIG_METADATA!$B$4&lt;&gt;"OR+EX",--(DATOS!$G6789=CONFIG_METADATA!$B$4),IF(DATOS!$G6789="EX",1,IF(DATOS!$G6789="OR",--(COUNTIFS(nNIA,DATOS!$A6789,nCURSO,DATOS!$D6789,nESPEC,DATOS!$E6789,nASIG,DATOS!$I6789,nEVAL,"EX")=0),0))))</f>
      </c>
      <c r="H6789">
        <f>IF(DATOS!$G6789&lt;&gt;"EX",0,--(COUNTIFS(nNIA,DATOS!$A6789,nCURSO,DATOS!$D6789,nESPEC,DATOS!$E6789,nASIG,DATOS!$I6789,nEVAL,"OR")=0))</f>
      </c>
      <c r="I6789">
        <f>IF(DATOS!$I6789="","",IFERROR(VLOOKUP(DATOS!$I6789,CONFIG_ASIGNATURAS!$B$2:$J$91,9,FALSE()),""))</f>
      </c>
    </row>
    <row r="6790">
      <c r="F6790">
        <f>IF(DATOS!$A6790="","",DATOS!$A6790&amp;"|"&amp;DATOS!$D6790&amp;"|"&amp;DATOS!$E6790&amp;"|"&amp;DATOS!$I6790)</f>
      </c>
      <c r="G6790">
        <f>IF(DATOS!$A6790="",0,IF(CONFIG_METADATA!$B$4&lt;&gt;"OR+EX",--(DATOS!$G6790=CONFIG_METADATA!$B$4),IF(DATOS!$G6790="EX",1,IF(DATOS!$G6790="OR",--(COUNTIFS(nNIA,DATOS!$A6790,nCURSO,DATOS!$D6790,nESPEC,DATOS!$E6790,nASIG,DATOS!$I6790,nEVAL,"EX")=0),0))))</f>
      </c>
      <c r="H6790">
        <f>IF(DATOS!$G6790&lt;&gt;"EX",0,--(COUNTIFS(nNIA,DATOS!$A6790,nCURSO,DATOS!$D6790,nESPEC,DATOS!$E6790,nASIG,DATOS!$I6790,nEVAL,"OR")=0))</f>
      </c>
      <c r="I6790">
        <f>IF(DATOS!$I6790="","",IFERROR(VLOOKUP(DATOS!$I6790,CONFIG_ASIGNATURAS!$B$2:$J$91,9,FALSE()),""))</f>
      </c>
    </row>
    <row r="6791">
      <c r="F6791">
        <f>IF(DATOS!$A6791="","",DATOS!$A6791&amp;"|"&amp;DATOS!$D6791&amp;"|"&amp;DATOS!$E6791&amp;"|"&amp;DATOS!$I6791)</f>
      </c>
      <c r="G6791">
        <f>IF(DATOS!$A6791="",0,IF(CONFIG_METADATA!$B$4&lt;&gt;"OR+EX",--(DATOS!$G6791=CONFIG_METADATA!$B$4),IF(DATOS!$G6791="EX",1,IF(DATOS!$G6791="OR",--(COUNTIFS(nNIA,DATOS!$A6791,nCURSO,DATOS!$D6791,nESPEC,DATOS!$E6791,nASIG,DATOS!$I6791,nEVAL,"EX")=0),0))))</f>
      </c>
      <c r="H6791">
        <f>IF(DATOS!$G6791&lt;&gt;"EX",0,--(COUNTIFS(nNIA,DATOS!$A6791,nCURSO,DATOS!$D6791,nESPEC,DATOS!$E6791,nASIG,DATOS!$I6791,nEVAL,"OR")=0))</f>
      </c>
      <c r="I6791">
        <f>IF(DATOS!$I6791="","",IFERROR(VLOOKUP(DATOS!$I6791,CONFIG_ASIGNATURAS!$B$2:$J$91,9,FALSE()),""))</f>
      </c>
    </row>
    <row r="6792">
      <c r="F6792">
        <f>IF(DATOS!$A6792="","",DATOS!$A6792&amp;"|"&amp;DATOS!$D6792&amp;"|"&amp;DATOS!$E6792&amp;"|"&amp;DATOS!$I6792)</f>
      </c>
      <c r="G6792">
        <f>IF(DATOS!$A6792="",0,IF(CONFIG_METADATA!$B$4&lt;&gt;"OR+EX",--(DATOS!$G6792=CONFIG_METADATA!$B$4),IF(DATOS!$G6792="EX",1,IF(DATOS!$G6792="OR",--(COUNTIFS(nNIA,DATOS!$A6792,nCURSO,DATOS!$D6792,nESPEC,DATOS!$E6792,nASIG,DATOS!$I6792,nEVAL,"EX")=0),0))))</f>
      </c>
      <c r="H6792">
        <f>IF(DATOS!$G6792&lt;&gt;"EX",0,--(COUNTIFS(nNIA,DATOS!$A6792,nCURSO,DATOS!$D6792,nESPEC,DATOS!$E6792,nASIG,DATOS!$I6792,nEVAL,"OR")=0))</f>
      </c>
      <c r="I6792">
        <f>IF(DATOS!$I6792="","",IFERROR(VLOOKUP(DATOS!$I6792,CONFIG_ASIGNATURAS!$B$2:$J$91,9,FALSE()),""))</f>
      </c>
    </row>
    <row r="6793">
      <c r="F6793">
        <f>IF(DATOS!$A6793="","",DATOS!$A6793&amp;"|"&amp;DATOS!$D6793&amp;"|"&amp;DATOS!$E6793&amp;"|"&amp;DATOS!$I6793)</f>
      </c>
      <c r="G6793">
        <f>IF(DATOS!$A6793="",0,IF(CONFIG_METADATA!$B$4&lt;&gt;"OR+EX",--(DATOS!$G6793=CONFIG_METADATA!$B$4),IF(DATOS!$G6793="EX",1,IF(DATOS!$G6793="OR",--(COUNTIFS(nNIA,DATOS!$A6793,nCURSO,DATOS!$D6793,nESPEC,DATOS!$E6793,nASIG,DATOS!$I6793,nEVAL,"EX")=0),0))))</f>
      </c>
      <c r="H6793">
        <f>IF(DATOS!$G6793&lt;&gt;"EX",0,--(COUNTIFS(nNIA,DATOS!$A6793,nCURSO,DATOS!$D6793,nESPEC,DATOS!$E6793,nASIG,DATOS!$I6793,nEVAL,"OR")=0))</f>
      </c>
      <c r="I6793">
        <f>IF(DATOS!$I6793="","",IFERROR(VLOOKUP(DATOS!$I6793,CONFIG_ASIGNATURAS!$B$2:$J$91,9,FALSE()),""))</f>
      </c>
    </row>
    <row r="6794">
      <c r="F6794">
        <f>IF(DATOS!$A6794="","",DATOS!$A6794&amp;"|"&amp;DATOS!$D6794&amp;"|"&amp;DATOS!$E6794&amp;"|"&amp;DATOS!$I6794)</f>
      </c>
      <c r="G6794">
        <f>IF(DATOS!$A6794="",0,IF(CONFIG_METADATA!$B$4&lt;&gt;"OR+EX",--(DATOS!$G6794=CONFIG_METADATA!$B$4),IF(DATOS!$G6794="EX",1,IF(DATOS!$G6794="OR",--(COUNTIFS(nNIA,DATOS!$A6794,nCURSO,DATOS!$D6794,nESPEC,DATOS!$E6794,nASIG,DATOS!$I6794,nEVAL,"EX")=0),0))))</f>
      </c>
      <c r="H6794">
        <f>IF(DATOS!$G6794&lt;&gt;"EX",0,--(COUNTIFS(nNIA,DATOS!$A6794,nCURSO,DATOS!$D6794,nESPEC,DATOS!$E6794,nASIG,DATOS!$I6794,nEVAL,"OR")=0))</f>
      </c>
      <c r="I6794">
        <f>IF(DATOS!$I6794="","",IFERROR(VLOOKUP(DATOS!$I6794,CONFIG_ASIGNATURAS!$B$2:$J$91,9,FALSE()),""))</f>
      </c>
    </row>
    <row r="6795">
      <c r="F6795">
        <f>IF(DATOS!$A6795="","",DATOS!$A6795&amp;"|"&amp;DATOS!$D6795&amp;"|"&amp;DATOS!$E6795&amp;"|"&amp;DATOS!$I6795)</f>
      </c>
      <c r="G6795">
        <f>IF(DATOS!$A6795="",0,IF(CONFIG_METADATA!$B$4&lt;&gt;"OR+EX",--(DATOS!$G6795=CONFIG_METADATA!$B$4),IF(DATOS!$G6795="EX",1,IF(DATOS!$G6795="OR",--(COUNTIFS(nNIA,DATOS!$A6795,nCURSO,DATOS!$D6795,nESPEC,DATOS!$E6795,nASIG,DATOS!$I6795,nEVAL,"EX")=0),0))))</f>
      </c>
      <c r="H6795">
        <f>IF(DATOS!$G6795&lt;&gt;"EX",0,--(COUNTIFS(nNIA,DATOS!$A6795,nCURSO,DATOS!$D6795,nESPEC,DATOS!$E6795,nASIG,DATOS!$I6795,nEVAL,"OR")=0))</f>
      </c>
      <c r="I6795">
        <f>IF(DATOS!$I6795="","",IFERROR(VLOOKUP(DATOS!$I6795,CONFIG_ASIGNATURAS!$B$2:$J$91,9,FALSE()),""))</f>
      </c>
    </row>
    <row r="6796">
      <c r="F6796">
        <f>IF(DATOS!$A6796="","",DATOS!$A6796&amp;"|"&amp;DATOS!$D6796&amp;"|"&amp;DATOS!$E6796&amp;"|"&amp;DATOS!$I6796)</f>
      </c>
      <c r="G6796">
        <f>IF(DATOS!$A6796="",0,IF(CONFIG_METADATA!$B$4&lt;&gt;"OR+EX",--(DATOS!$G6796=CONFIG_METADATA!$B$4),IF(DATOS!$G6796="EX",1,IF(DATOS!$G6796="OR",--(COUNTIFS(nNIA,DATOS!$A6796,nCURSO,DATOS!$D6796,nESPEC,DATOS!$E6796,nASIG,DATOS!$I6796,nEVAL,"EX")=0),0))))</f>
      </c>
      <c r="H6796">
        <f>IF(DATOS!$G6796&lt;&gt;"EX",0,--(COUNTIFS(nNIA,DATOS!$A6796,nCURSO,DATOS!$D6796,nESPEC,DATOS!$E6796,nASIG,DATOS!$I6796,nEVAL,"OR")=0))</f>
      </c>
      <c r="I6796">
        <f>IF(DATOS!$I6796="","",IFERROR(VLOOKUP(DATOS!$I6796,CONFIG_ASIGNATURAS!$B$2:$J$91,9,FALSE()),""))</f>
      </c>
    </row>
    <row r="6797">
      <c r="F6797">
        <f>IF(DATOS!$A6797="","",DATOS!$A6797&amp;"|"&amp;DATOS!$D6797&amp;"|"&amp;DATOS!$E6797&amp;"|"&amp;DATOS!$I6797)</f>
      </c>
      <c r="G6797">
        <f>IF(DATOS!$A6797="",0,IF(CONFIG_METADATA!$B$4&lt;&gt;"OR+EX",--(DATOS!$G6797=CONFIG_METADATA!$B$4),IF(DATOS!$G6797="EX",1,IF(DATOS!$G6797="OR",--(COUNTIFS(nNIA,DATOS!$A6797,nCURSO,DATOS!$D6797,nESPEC,DATOS!$E6797,nASIG,DATOS!$I6797,nEVAL,"EX")=0),0))))</f>
      </c>
      <c r="H6797">
        <f>IF(DATOS!$G6797&lt;&gt;"EX",0,--(COUNTIFS(nNIA,DATOS!$A6797,nCURSO,DATOS!$D6797,nESPEC,DATOS!$E6797,nASIG,DATOS!$I6797,nEVAL,"OR")=0))</f>
      </c>
      <c r="I6797">
        <f>IF(DATOS!$I6797="","",IFERROR(VLOOKUP(DATOS!$I6797,CONFIG_ASIGNATURAS!$B$2:$J$91,9,FALSE()),""))</f>
      </c>
    </row>
    <row r="6798">
      <c r="F6798">
        <f>IF(DATOS!$A6798="","",DATOS!$A6798&amp;"|"&amp;DATOS!$D6798&amp;"|"&amp;DATOS!$E6798&amp;"|"&amp;DATOS!$I6798)</f>
      </c>
      <c r="G6798">
        <f>IF(DATOS!$A6798="",0,IF(CONFIG_METADATA!$B$4&lt;&gt;"OR+EX",--(DATOS!$G6798=CONFIG_METADATA!$B$4),IF(DATOS!$G6798="EX",1,IF(DATOS!$G6798="OR",--(COUNTIFS(nNIA,DATOS!$A6798,nCURSO,DATOS!$D6798,nESPEC,DATOS!$E6798,nASIG,DATOS!$I6798,nEVAL,"EX")=0),0))))</f>
      </c>
      <c r="H6798">
        <f>IF(DATOS!$G6798&lt;&gt;"EX",0,--(COUNTIFS(nNIA,DATOS!$A6798,nCURSO,DATOS!$D6798,nESPEC,DATOS!$E6798,nASIG,DATOS!$I6798,nEVAL,"OR")=0))</f>
      </c>
      <c r="I6798">
        <f>IF(DATOS!$I6798="","",IFERROR(VLOOKUP(DATOS!$I6798,CONFIG_ASIGNATURAS!$B$2:$J$91,9,FALSE()),""))</f>
      </c>
    </row>
    <row r="6799">
      <c r="F6799">
        <f>IF(DATOS!$A6799="","",DATOS!$A6799&amp;"|"&amp;DATOS!$D6799&amp;"|"&amp;DATOS!$E6799&amp;"|"&amp;DATOS!$I6799)</f>
      </c>
      <c r="G6799">
        <f>IF(DATOS!$A6799="",0,IF(CONFIG_METADATA!$B$4&lt;&gt;"OR+EX",--(DATOS!$G6799=CONFIG_METADATA!$B$4),IF(DATOS!$G6799="EX",1,IF(DATOS!$G6799="OR",--(COUNTIFS(nNIA,DATOS!$A6799,nCURSO,DATOS!$D6799,nESPEC,DATOS!$E6799,nASIG,DATOS!$I6799,nEVAL,"EX")=0),0))))</f>
      </c>
      <c r="H6799">
        <f>IF(DATOS!$G6799&lt;&gt;"EX",0,--(COUNTIFS(nNIA,DATOS!$A6799,nCURSO,DATOS!$D6799,nESPEC,DATOS!$E6799,nASIG,DATOS!$I6799,nEVAL,"OR")=0))</f>
      </c>
      <c r="I6799">
        <f>IF(DATOS!$I6799="","",IFERROR(VLOOKUP(DATOS!$I6799,CONFIG_ASIGNATURAS!$B$2:$J$91,9,FALSE()),""))</f>
      </c>
    </row>
    <row r="6800">
      <c r="F6800">
        <f>IF(DATOS!$A6800="","",DATOS!$A6800&amp;"|"&amp;DATOS!$D6800&amp;"|"&amp;DATOS!$E6800&amp;"|"&amp;DATOS!$I6800)</f>
      </c>
      <c r="G6800">
        <f>IF(DATOS!$A6800="",0,IF(CONFIG_METADATA!$B$4&lt;&gt;"OR+EX",--(DATOS!$G6800=CONFIG_METADATA!$B$4),IF(DATOS!$G6800="EX",1,IF(DATOS!$G6800="OR",--(COUNTIFS(nNIA,DATOS!$A6800,nCURSO,DATOS!$D6800,nESPEC,DATOS!$E6800,nASIG,DATOS!$I6800,nEVAL,"EX")=0),0))))</f>
      </c>
      <c r="H6800">
        <f>IF(DATOS!$G6800&lt;&gt;"EX",0,--(COUNTIFS(nNIA,DATOS!$A6800,nCURSO,DATOS!$D6800,nESPEC,DATOS!$E6800,nASIG,DATOS!$I6800,nEVAL,"OR")=0))</f>
      </c>
      <c r="I6800">
        <f>IF(DATOS!$I6800="","",IFERROR(VLOOKUP(DATOS!$I6800,CONFIG_ASIGNATURAS!$B$2:$J$91,9,FALSE()),""))</f>
      </c>
    </row>
    <row r="6801">
      <c r="F6801">
        <f>IF(DATOS!$A6801="","",DATOS!$A6801&amp;"|"&amp;DATOS!$D6801&amp;"|"&amp;DATOS!$E6801&amp;"|"&amp;DATOS!$I6801)</f>
      </c>
      <c r="G6801">
        <f>IF(DATOS!$A6801="",0,IF(CONFIG_METADATA!$B$4&lt;&gt;"OR+EX",--(DATOS!$G6801=CONFIG_METADATA!$B$4),IF(DATOS!$G6801="EX",1,IF(DATOS!$G6801="OR",--(COUNTIFS(nNIA,DATOS!$A6801,nCURSO,DATOS!$D6801,nESPEC,DATOS!$E6801,nASIG,DATOS!$I6801,nEVAL,"EX")=0),0))))</f>
      </c>
      <c r="H6801">
        <f>IF(DATOS!$G6801&lt;&gt;"EX",0,--(COUNTIFS(nNIA,DATOS!$A6801,nCURSO,DATOS!$D6801,nESPEC,DATOS!$E6801,nASIG,DATOS!$I6801,nEVAL,"OR")=0))</f>
      </c>
      <c r="I6801">
        <f>IF(DATOS!$I6801="","",IFERROR(VLOOKUP(DATOS!$I6801,CONFIG_ASIGNATURAS!$B$2:$J$91,9,FALSE()),""))</f>
      </c>
    </row>
    <row r="6802">
      <c r="F6802">
        <f>IF(DATOS!$A6802="","",DATOS!$A6802&amp;"|"&amp;DATOS!$D6802&amp;"|"&amp;DATOS!$E6802&amp;"|"&amp;DATOS!$I6802)</f>
      </c>
      <c r="G6802">
        <f>IF(DATOS!$A6802="",0,IF(CONFIG_METADATA!$B$4&lt;&gt;"OR+EX",--(DATOS!$G6802=CONFIG_METADATA!$B$4),IF(DATOS!$G6802="EX",1,IF(DATOS!$G6802="OR",--(COUNTIFS(nNIA,DATOS!$A6802,nCURSO,DATOS!$D6802,nESPEC,DATOS!$E6802,nASIG,DATOS!$I6802,nEVAL,"EX")=0),0))))</f>
      </c>
      <c r="H6802">
        <f>IF(DATOS!$G6802&lt;&gt;"EX",0,--(COUNTIFS(nNIA,DATOS!$A6802,nCURSO,DATOS!$D6802,nESPEC,DATOS!$E6802,nASIG,DATOS!$I6802,nEVAL,"OR")=0))</f>
      </c>
      <c r="I6802">
        <f>IF(DATOS!$I6802="","",IFERROR(VLOOKUP(DATOS!$I6802,CONFIG_ASIGNATURAS!$B$2:$J$91,9,FALSE()),""))</f>
      </c>
    </row>
    <row r="6803">
      <c r="F6803">
        <f>IF(DATOS!$A6803="","",DATOS!$A6803&amp;"|"&amp;DATOS!$D6803&amp;"|"&amp;DATOS!$E6803&amp;"|"&amp;DATOS!$I6803)</f>
      </c>
      <c r="G6803">
        <f>IF(DATOS!$A6803="",0,IF(CONFIG_METADATA!$B$4&lt;&gt;"OR+EX",--(DATOS!$G6803=CONFIG_METADATA!$B$4),IF(DATOS!$G6803="EX",1,IF(DATOS!$G6803="OR",--(COUNTIFS(nNIA,DATOS!$A6803,nCURSO,DATOS!$D6803,nESPEC,DATOS!$E6803,nASIG,DATOS!$I6803,nEVAL,"EX")=0),0))))</f>
      </c>
      <c r="H6803">
        <f>IF(DATOS!$G6803&lt;&gt;"EX",0,--(COUNTIFS(nNIA,DATOS!$A6803,nCURSO,DATOS!$D6803,nESPEC,DATOS!$E6803,nASIG,DATOS!$I6803,nEVAL,"OR")=0))</f>
      </c>
      <c r="I6803">
        <f>IF(DATOS!$I6803="","",IFERROR(VLOOKUP(DATOS!$I6803,CONFIG_ASIGNATURAS!$B$2:$J$91,9,FALSE()),""))</f>
      </c>
    </row>
    <row r="6804">
      <c r="F6804">
        <f>IF(DATOS!$A6804="","",DATOS!$A6804&amp;"|"&amp;DATOS!$D6804&amp;"|"&amp;DATOS!$E6804&amp;"|"&amp;DATOS!$I6804)</f>
      </c>
      <c r="G6804">
        <f>IF(DATOS!$A6804="",0,IF(CONFIG_METADATA!$B$4&lt;&gt;"OR+EX",--(DATOS!$G6804=CONFIG_METADATA!$B$4),IF(DATOS!$G6804="EX",1,IF(DATOS!$G6804="OR",--(COUNTIFS(nNIA,DATOS!$A6804,nCURSO,DATOS!$D6804,nESPEC,DATOS!$E6804,nASIG,DATOS!$I6804,nEVAL,"EX")=0),0))))</f>
      </c>
      <c r="H6804">
        <f>IF(DATOS!$G6804&lt;&gt;"EX",0,--(COUNTIFS(nNIA,DATOS!$A6804,nCURSO,DATOS!$D6804,nESPEC,DATOS!$E6804,nASIG,DATOS!$I6804,nEVAL,"OR")=0))</f>
      </c>
      <c r="I6804">
        <f>IF(DATOS!$I6804="","",IFERROR(VLOOKUP(DATOS!$I6804,CONFIG_ASIGNATURAS!$B$2:$J$91,9,FALSE()),""))</f>
      </c>
    </row>
    <row r="6805">
      <c r="F6805">
        <f>IF(DATOS!$A6805="","",DATOS!$A6805&amp;"|"&amp;DATOS!$D6805&amp;"|"&amp;DATOS!$E6805&amp;"|"&amp;DATOS!$I6805)</f>
      </c>
      <c r="G6805">
        <f>IF(DATOS!$A6805="",0,IF(CONFIG_METADATA!$B$4&lt;&gt;"OR+EX",--(DATOS!$G6805=CONFIG_METADATA!$B$4),IF(DATOS!$G6805="EX",1,IF(DATOS!$G6805="OR",--(COUNTIFS(nNIA,DATOS!$A6805,nCURSO,DATOS!$D6805,nESPEC,DATOS!$E6805,nASIG,DATOS!$I6805,nEVAL,"EX")=0),0))))</f>
      </c>
      <c r="H6805">
        <f>IF(DATOS!$G6805&lt;&gt;"EX",0,--(COUNTIFS(nNIA,DATOS!$A6805,nCURSO,DATOS!$D6805,nESPEC,DATOS!$E6805,nASIG,DATOS!$I6805,nEVAL,"OR")=0))</f>
      </c>
      <c r="I6805">
        <f>IF(DATOS!$I6805="","",IFERROR(VLOOKUP(DATOS!$I6805,CONFIG_ASIGNATURAS!$B$2:$J$91,9,FALSE()),""))</f>
      </c>
    </row>
    <row r="6806">
      <c r="F6806">
        <f>IF(DATOS!$A6806="","",DATOS!$A6806&amp;"|"&amp;DATOS!$D6806&amp;"|"&amp;DATOS!$E6806&amp;"|"&amp;DATOS!$I6806)</f>
      </c>
      <c r="G6806">
        <f>IF(DATOS!$A6806="",0,IF(CONFIG_METADATA!$B$4&lt;&gt;"OR+EX",--(DATOS!$G6806=CONFIG_METADATA!$B$4),IF(DATOS!$G6806="EX",1,IF(DATOS!$G6806="OR",--(COUNTIFS(nNIA,DATOS!$A6806,nCURSO,DATOS!$D6806,nESPEC,DATOS!$E6806,nASIG,DATOS!$I6806,nEVAL,"EX")=0),0))))</f>
      </c>
      <c r="H6806">
        <f>IF(DATOS!$G6806&lt;&gt;"EX",0,--(COUNTIFS(nNIA,DATOS!$A6806,nCURSO,DATOS!$D6806,nESPEC,DATOS!$E6806,nASIG,DATOS!$I6806,nEVAL,"OR")=0))</f>
      </c>
      <c r="I6806">
        <f>IF(DATOS!$I6806="","",IFERROR(VLOOKUP(DATOS!$I6806,CONFIG_ASIGNATURAS!$B$2:$J$91,9,FALSE()),""))</f>
      </c>
    </row>
    <row r="6807">
      <c r="F6807">
        <f>IF(DATOS!$A6807="","",DATOS!$A6807&amp;"|"&amp;DATOS!$D6807&amp;"|"&amp;DATOS!$E6807&amp;"|"&amp;DATOS!$I6807)</f>
      </c>
      <c r="G6807">
        <f>IF(DATOS!$A6807="",0,IF(CONFIG_METADATA!$B$4&lt;&gt;"OR+EX",--(DATOS!$G6807=CONFIG_METADATA!$B$4),IF(DATOS!$G6807="EX",1,IF(DATOS!$G6807="OR",--(COUNTIFS(nNIA,DATOS!$A6807,nCURSO,DATOS!$D6807,nESPEC,DATOS!$E6807,nASIG,DATOS!$I6807,nEVAL,"EX")=0),0))))</f>
      </c>
      <c r="H6807">
        <f>IF(DATOS!$G6807&lt;&gt;"EX",0,--(COUNTIFS(nNIA,DATOS!$A6807,nCURSO,DATOS!$D6807,nESPEC,DATOS!$E6807,nASIG,DATOS!$I6807,nEVAL,"OR")=0))</f>
      </c>
      <c r="I6807">
        <f>IF(DATOS!$I6807="","",IFERROR(VLOOKUP(DATOS!$I6807,CONFIG_ASIGNATURAS!$B$2:$J$91,9,FALSE()),""))</f>
      </c>
    </row>
    <row r="6808">
      <c r="F6808">
        <f>IF(DATOS!$A6808="","",DATOS!$A6808&amp;"|"&amp;DATOS!$D6808&amp;"|"&amp;DATOS!$E6808&amp;"|"&amp;DATOS!$I6808)</f>
      </c>
      <c r="G6808">
        <f>IF(DATOS!$A6808="",0,IF(CONFIG_METADATA!$B$4&lt;&gt;"OR+EX",--(DATOS!$G6808=CONFIG_METADATA!$B$4),IF(DATOS!$G6808="EX",1,IF(DATOS!$G6808="OR",--(COUNTIFS(nNIA,DATOS!$A6808,nCURSO,DATOS!$D6808,nESPEC,DATOS!$E6808,nASIG,DATOS!$I6808,nEVAL,"EX")=0),0))))</f>
      </c>
      <c r="H6808">
        <f>IF(DATOS!$G6808&lt;&gt;"EX",0,--(COUNTIFS(nNIA,DATOS!$A6808,nCURSO,DATOS!$D6808,nESPEC,DATOS!$E6808,nASIG,DATOS!$I6808,nEVAL,"OR")=0))</f>
      </c>
      <c r="I6808">
        <f>IF(DATOS!$I6808="","",IFERROR(VLOOKUP(DATOS!$I6808,CONFIG_ASIGNATURAS!$B$2:$J$91,9,FALSE()),""))</f>
      </c>
    </row>
    <row r="6809">
      <c r="F6809">
        <f>IF(DATOS!$A6809="","",DATOS!$A6809&amp;"|"&amp;DATOS!$D6809&amp;"|"&amp;DATOS!$E6809&amp;"|"&amp;DATOS!$I6809)</f>
      </c>
      <c r="G6809">
        <f>IF(DATOS!$A6809="",0,IF(CONFIG_METADATA!$B$4&lt;&gt;"OR+EX",--(DATOS!$G6809=CONFIG_METADATA!$B$4),IF(DATOS!$G6809="EX",1,IF(DATOS!$G6809="OR",--(COUNTIFS(nNIA,DATOS!$A6809,nCURSO,DATOS!$D6809,nESPEC,DATOS!$E6809,nASIG,DATOS!$I6809,nEVAL,"EX")=0),0))))</f>
      </c>
      <c r="H6809">
        <f>IF(DATOS!$G6809&lt;&gt;"EX",0,--(COUNTIFS(nNIA,DATOS!$A6809,nCURSO,DATOS!$D6809,nESPEC,DATOS!$E6809,nASIG,DATOS!$I6809,nEVAL,"OR")=0))</f>
      </c>
      <c r="I6809">
        <f>IF(DATOS!$I6809="","",IFERROR(VLOOKUP(DATOS!$I6809,CONFIG_ASIGNATURAS!$B$2:$J$91,9,FALSE()),""))</f>
      </c>
    </row>
    <row r="6810">
      <c r="F6810">
        <f>IF(DATOS!$A6810="","",DATOS!$A6810&amp;"|"&amp;DATOS!$D6810&amp;"|"&amp;DATOS!$E6810&amp;"|"&amp;DATOS!$I6810)</f>
      </c>
      <c r="G6810">
        <f>IF(DATOS!$A6810="",0,IF(CONFIG_METADATA!$B$4&lt;&gt;"OR+EX",--(DATOS!$G6810=CONFIG_METADATA!$B$4),IF(DATOS!$G6810="EX",1,IF(DATOS!$G6810="OR",--(COUNTIFS(nNIA,DATOS!$A6810,nCURSO,DATOS!$D6810,nESPEC,DATOS!$E6810,nASIG,DATOS!$I6810,nEVAL,"EX")=0),0))))</f>
      </c>
      <c r="H6810">
        <f>IF(DATOS!$G6810&lt;&gt;"EX",0,--(COUNTIFS(nNIA,DATOS!$A6810,nCURSO,DATOS!$D6810,nESPEC,DATOS!$E6810,nASIG,DATOS!$I6810,nEVAL,"OR")=0))</f>
      </c>
      <c r="I6810">
        <f>IF(DATOS!$I6810="","",IFERROR(VLOOKUP(DATOS!$I6810,CONFIG_ASIGNATURAS!$B$2:$J$91,9,FALSE()),""))</f>
      </c>
    </row>
    <row r="6811">
      <c r="F6811">
        <f>IF(DATOS!$A6811="","",DATOS!$A6811&amp;"|"&amp;DATOS!$D6811&amp;"|"&amp;DATOS!$E6811&amp;"|"&amp;DATOS!$I6811)</f>
      </c>
      <c r="G6811">
        <f>IF(DATOS!$A6811="",0,IF(CONFIG_METADATA!$B$4&lt;&gt;"OR+EX",--(DATOS!$G6811=CONFIG_METADATA!$B$4),IF(DATOS!$G6811="EX",1,IF(DATOS!$G6811="OR",--(COUNTIFS(nNIA,DATOS!$A6811,nCURSO,DATOS!$D6811,nESPEC,DATOS!$E6811,nASIG,DATOS!$I6811,nEVAL,"EX")=0),0))))</f>
      </c>
      <c r="H6811">
        <f>IF(DATOS!$G6811&lt;&gt;"EX",0,--(COUNTIFS(nNIA,DATOS!$A6811,nCURSO,DATOS!$D6811,nESPEC,DATOS!$E6811,nASIG,DATOS!$I6811,nEVAL,"OR")=0))</f>
      </c>
      <c r="I6811">
        <f>IF(DATOS!$I6811="","",IFERROR(VLOOKUP(DATOS!$I6811,CONFIG_ASIGNATURAS!$B$2:$J$91,9,FALSE()),""))</f>
      </c>
    </row>
    <row r="6812">
      <c r="F6812">
        <f>IF(DATOS!$A6812="","",DATOS!$A6812&amp;"|"&amp;DATOS!$D6812&amp;"|"&amp;DATOS!$E6812&amp;"|"&amp;DATOS!$I6812)</f>
      </c>
      <c r="G6812">
        <f>IF(DATOS!$A6812="",0,IF(CONFIG_METADATA!$B$4&lt;&gt;"OR+EX",--(DATOS!$G6812=CONFIG_METADATA!$B$4),IF(DATOS!$G6812="EX",1,IF(DATOS!$G6812="OR",--(COUNTIFS(nNIA,DATOS!$A6812,nCURSO,DATOS!$D6812,nESPEC,DATOS!$E6812,nASIG,DATOS!$I6812,nEVAL,"EX")=0),0))))</f>
      </c>
      <c r="H6812">
        <f>IF(DATOS!$G6812&lt;&gt;"EX",0,--(COUNTIFS(nNIA,DATOS!$A6812,nCURSO,DATOS!$D6812,nESPEC,DATOS!$E6812,nASIG,DATOS!$I6812,nEVAL,"OR")=0))</f>
      </c>
      <c r="I6812">
        <f>IF(DATOS!$I6812="","",IFERROR(VLOOKUP(DATOS!$I6812,CONFIG_ASIGNATURAS!$B$2:$J$91,9,FALSE()),""))</f>
      </c>
    </row>
    <row r="6813">
      <c r="F6813">
        <f>IF(DATOS!$A6813="","",DATOS!$A6813&amp;"|"&amp;DATOS!$D6813&amp;"|"&amp;DATOS!$E6813&amp;"|"&amp;DATOS!$I6813)</f>
      </c>
      <c r="G6813">
        <f>IF(DATOS!$A6813="",0,IF(CONFIG_METADATA!$B$4&lt;&gt;"OR+EX",--(DATOS!$G6813=CONFIG_METADATA!$B$4),IF(DATOS!$G6813="EX",1,IF(DATOS!$G6813="OR",--(COUNTIFS(nNIA,DATOS!$A6813,nCURSO,DATOS!$D6813,nESPEC,DATOS!$E6813,nASIG,DATOS!$I6813,nEVAL,"EX")=0),0))))</f>
      </c>
      <c r="H6813">
        <f>IF(DATOS!$G6813&lt;&gt;"EX",0,--(COUNTIFS(nNIA,DATOS!$A6813,nCURSO,DATOS!$D6813,nESPEC,DATOS!$E6813,nASIG,DATOS!$I6813,nEVAL,"OR")=0))</f>
      </c>
      <c r="I6813">
        <f>IF(DATOS!$I6813="","",IFERROR(VLOOKUP(DATOS!$I6813,CONFIG_ASIGNATURAS!$B$2:$J$91,9,FALSE()),""))</f>
      </c>
    </row>
    <row r="6814">
      <c r="F6814">
        <f>IF(DATOS!$A6814="","",DATOS!$A6814&amp;"|"&amp;DATOS!$D6814&amp;"|"&amp;DATOS!$E6814&amp;"|"&amp;DATOS!$I6814)</f>
      </c>
      <c r="G6814">
        <f>IF(DATOS!$A6814="",0,IF(CONFIG_METADATA!$B$4&lt;&gt;"OR+EX",--(DATOS!$G6814=CONFIG_METADATA!$B$4),IF(DATOS!$G6814="EX",1,IF(DATOS!$G6814="OR",--(COUNTIFS(nNIA,DATOS!$A6814,nCURSO,DATOS!$D6814,nESPEC,DATOS!$E6814,nASIG,DATOS!$I6814,nEVAL,"EX")=0),0))))</f>
      </c>
      <c r="H6814">
        <f>IF(DATOS!$G6814&lt;&gt;"EX",0,--(COUNTIFS(nNIA,DATOS!$A6814,nCURSO,DATOS!$D6814,nESPEC,DATOS!$E6814,nASIG,DATOS!$I6814,nEVAL,"OR")=0))</f>
      </c>
      <c r="I6814">
        <f>IF(DATOS!$I6814="","",IFERROR(VLOOKUP(DATOS!$I6814,CONFIG_ASIGNATURAS!$B$2:$J$91,9,FALSE()),""))</f>
      </c>
    </row>
    <row r="6815">
      <c r="F6815">
        <f>IF(DATOS!$A6815="","",DATOS!$A6815&amp;"|"&amp;DATOS!$D6815&amp;"|"&amp;DATOS!$E6815&amp;"|"&amp;DATOS!$I6815)</f>
      </c>
      <c r="G6815">
        <f>IF(DATOS!$A6815="",0,IF(CONFIG_METADATA!$B$4&lt;&gt;"OR+EX",--(DATOS!$G6815=CONFIG_METADATA!$B$4),IF(DATOS!$G6815="EX",1,IF(DATOS!$G6815="OR",--(COUNTIFS(nNIA,DATOS!$A6815,nCURSO,DATOS!$D6815,nESPEC,DATOS!$E6815,nASIG,DATOS!$I6815,nEVAL,"EX")=0),0))))</f>
      </c>
      <c r="H6815">
        <f>IF(DATOS!$G6815&lt;&gt;"EX",0,--(COUNTIFS(nNIA,DATOS!$A6815,nCURSO,DATOS!$D6815,nESPEC,DATOS!$E6815,nASIG,DATOS!$I6815,nEVAL,"OR")=0))</f>
      </c>
      <c r="I6815">
        <f>IF(DATOS!$I6815="","",IFERROR(VLOOKUP(DATOS!$I6815,CONFIG_ASIGNATURAS!$B$2:$J$91,9,FALSE()),""))</f>
      </c>
    </row>
    <row r="6816">
      <c r="F6816">
        <f>IF(DATOS!$A6816="","",DATOS!$A6816&amp;"|"&amp;DATOS!$D6816&amp;"|"&amp;DATOS!$E6816&amp;"|"&amp;DATOS!$I6816)</f>
      </c>
      <c r="G6816">
        <f>IF(DATOS!$A6816="",0,IF(CONFIG_METADATA!$B$4&lt;&gt;"OR+EX",--(DATOS!$G6816=CONFIG_METADATA!$B$4),IF(DATOS!$G6816="EX",1,IF(DATOS!$G6816="OR",--(COUNTIFS(nNIA,DATOS!$A6816,nCURSO,DATOS!$D6816,nESPEC,DATOS!$E6816,nASIG,DATOS!$I6816,nEVAL,"EX")=0),0))))</f>
      </c>
      <c r="H6816">
        <f>IF(DATOS!$G6816&lt;&gt;"EX",0,--(COUNTIFS(nNIA,DATOS!$A6816,nCURSO,DATOS!$D6816,nESPEC,DATOS!$E6816,nASIG,DATOS!$I6816,nEVAL,"OR")=0))</f>
      </c>
      <c r="I6816">
        <f>IF(DATOS!$I6816="","",IFERROR(VLOOKUP(DATOS!$I6816,CONFIG_ASIGNATURAS!$B$2:$J$91,9,FALSE()),""))</f>
      </c>
    </row>
    <row r="6817">
      <c r="F6817">
        <f>IF(DATOS!$A6817="","",DATOS!$A6817&amp;"|"&amp;DATOS!$D6817&amp;"|"&amp;DATOS!$E6817&amp;"|"&amp;DATOS!$I6817)</f>
      </c>
      <c r="G6817">
        <f>IF(DATOS!$A6817="",0,IF(CONFIG_METADATA!$B$4&lt;&gt;"OR+EX",--(DATOS!$G6817=CONFIG_METADATA!$B$4),IF(DATOS!$G6817="EX",1,IF(DATOS!$G6817="OR",--(COUNTIFS(nNIA,DATOS!$A6817,nCURSO,DATOS!$D6817,nESPEC,DATOS!$E6817,nASIG,DATOS!$I6817,nEVAL,"EX")=0),0))))</f>
      </c>
      <c r="H6817">
        <f>IF(DATOS!$G6817&lt;&gt;"EX",0,--(COUNTIFS(nNIA,DATOS!$A6817,nCURSO,DATOS!$D6817,nESPEC,DATOS!$E6817,nASIG,DATOS!$I6817,nEVAL,"OR")=0))</f>
      </c>
      <c r="I6817">
        <f>IF(DATOS!$I6817="","",IFERROR(VLOOKUP(DATOS!$I6817,CONFIG_ASIGNATURAS!$B$2:$J$91,9,FALSE()),""))</f>
      </c>
    </row>
    <row r="6818">
      <c r="F6818">
        <f>IF(DATOS!$A6818="","",DATOS!$A6818&amp;"|"&amp;DATOS!$D6818&amp;"|"&amp;DATOS!$E6818&amp;"|"&amp;DATOS!$I6818)</f>
      </c>
      <c r="G6818">
        <f>IF(DATOS!$A6818="",0,IF(CONFIG_METADATA!$B$4&lt;&gt;"OR+EX",--(DATOS!$G6818=CONFIG_METADATA!$B$4),IF(DATOS!$G6818="EX",1,IF(DATOS!$G6818="OR",--(COUNTIFS(nNIA,DATOS!$A6818,nCURSO,DATOS!$D6818,nESPEC,DATOS!$E6818,nASIG,DATOS!$I6818,nEVAL,"EX")=0),0))))</f>
      </c>
      <c r="H6818">
        <f>IF(DATOS!$G6818&lt;&gt;"EX",0,--(COUNTIFS(nNIA,DATOS!$A6818,nCURSO,DATOS!$D6818,nESPEC,DATOS!$E6818,nASIG,DATOS!$I6818,nEVAL,"OR")=0))</f>
      </c>
      <c r="I6818">
        <f>IF(DATOS!$I6818="","",IFERROR(VLOOKUP(DATOS!$I6818,CONFIG_ASIGNATURAS!$B$2:$J$91,9,FALSE()),""))</f>
      </c>
    </row>
    <row r="6819">
      <c r="F6819">
        <f>IF(DATOS!$A6819="","",DATOS!$A6819&amp;"|"&amp;DATOS!$D6819&amp;"|"&amp;DATOS!$E6819&amp;"|"&amp;DATOS!$I6819)</f>
      </c>
      <c r="G6819">
        <f>IF(DATOS!$A6819="",0,IF(CONFIG_METADATA!$B$4&lt;&gt;"OR+EX",--(DATOS!$G6819=CONFIG_METADATA!$B$4),IF(DATOS!$G6819="EX",1,IF(DATOS!$G6819="OR",--(COUNTIFS(nNIA,DATOS!$A6819,nCURSO,DATOS!$D6819,nESPEC,DATOS!$E6819,nASIG,DATOS!$I6819,nEVAL,"EX")=0),0))))</f>
      </c>
      <c r="H6819">
        <f>IF(DATOS!$G6819&lt;&gt;"EX",0,--(COUNTIFS(nNIA,DATOS!$A6819,nCURSO,DATOS!$D6819,nESPEC,DATOS!$E6819,nASIG,DATOS!$I6819,nEVAL,"OR")=0))</f>
      </c>
      <c r="I6819">
        <f>IF(DATOS!$I6819="","",IFERROR(VLOOKUP(DATOS!$I6819,CONFIG_ASIGNATURAS!$B$2:$J$91,9,FALSE()),""))</f>
      </c>
    </row>
    <row r="6820">
      <c r="F6820">
        <f>IF(DATOS!$A6820="","",DATOS!$A6820&amp;"|"&amp;DATOS!$D6820&amp;"|"&amp;DATOS!$E6820&amp;"|"&amp;DATOS!$I6820)</f>
      </c>
      <c r="G6820">
        <f>IF(DATOS!$A6820="",0,IF(CONFIG_METADATA!$B$4&lt;&gt;"OR+EX",--(DATOS!$G6820=CONFIG_METADATA!$B$4),IF(DATOS!$G6820="EX",1,IF(DATOS!$G6820="OR",--(COUNTIFS(nNIA,DATOS!$A6820,nCURSO,DATOS!$D6820,nESPEC,DATOS!$E6820,nASIG,DATOS!$I6820,nEVAL,"EX")=0),0))))</f>
      </c>
      <c r="H6820">
        <f>IF(DATOS!$G6820&lt;&gt;"EX",0,--(COUNTIFS(nNIA,DATOS!$A6820,nCURSO,DATOS!$D6820,nESPEC,DATOS!$E6820,nASIG,DATOS!$I6820,nEVAL,"OR")=0))</f>
      </c>
      <c r="I6820">
        <f>IF(DATOS!$I6820="","",IFERROR(VLOOKUP(DATOS!$I6820,CONFIG_ASIGNATURAS!$B$2:$J$91,9,FALSE()),""))</f>
      </c>
    </row>
    <row r="6821">
      <c r="F6821">
        <f>IF(DATOS!$A6821="","",DATOS!$A6821&amp;"|"&amp;DATOS!$D6821&amp;"|"&amp;DATOS!$E6821&amp;"|"&amp;DATOS!$I6821)</f>
      </c>
      <c r="G6821">
        <f>IF(DATOS!$A6821="",0,IF(CONFIG_METADATA!$B$4&lt;&gt;"OR+EX",--(DATOS!$G6821=CONFIG_METADATA!$B$4),IF(DATOS!$G6821="EX",1,IF(DATOS!$G6821="OR",--(COUNTIFS(nNIA,DATOS!$A6821,nCURSO,DATOS!$D6821,nESPEC,DATOS!$E6821,nASIG,DATOS!$I6821,nEVAL,"EX")=0),0))))</f>
      </c>
      <c r="H6821">
        <f>IF(DATOS!$G6821&lt;&gt;"EX",0,--(COUNTIFS(nNIA,DATOS!$A6821,nCURSO,DATOS!$D6821,nESPEC,DATOS!$E6821,nASIG,DATOS!$I6821,nEVAL,"OR")=0))</f>
      </c>
      <c r="I6821">
        <f>IF(DATOS!$I6821="","",IFERROR(VLOOKUP(DATOS!$I6821,CONFIG_ASIGNATURAS!$B$2:$J$91,9,FALSE()),""))</f>
      </c>
    </row>
    <row r="6822">
      <c r="F6822">
        <f>IF(DATOS!$A6822="","",DATOS!$A6822&amp;"|"&amp;DATOS!$D6822&amp;"|"&amp;DATOS!$E6822&amp;"|"&amp;DATOS!$I6822)</f>
      </c>
      <c r="G6822">
        <f>IF(DATOS!$A6822="",0,IF(CONFIG_METADATA!$B$4&lt;&gt;"OR+EX",--(DATOS!$G6822=CONFIG_METADATA!$B$4),IF(DATOS!$G6822="EX",1,IF(DATOS!$G6822="OR",--(COUNTIFS(nNIA,DATOS!$A6822,nCURSO,DATOS!$D6822,nESPEC,DATOS!$E6822,nASIG,DATOS!$I6822,nEVAL,"EX")=0),0))))</f>
      </c>
      <c r="H6822">
        <f>IF(DATOS!$G6822&lt;&gt;"EX",0,--(COUNTIFS(nNIA,DATOS!$A6822,nCURSO,DATOS!$D6822,nESPEC,DATOS!$E6822,nASIG,DATOS!$I6822,nEVAL,"OR")=0))</f>
      </c>
      <c r="I6822">
        <f>IF(DATOS!$I6822="","",IFERROR(VLOOKUP(DATOS!$I6822,CONFIG_ASIGNATURAS!$B$2:$J$91,9,FALSE()),""))</f>
      </c>
    </row>
    <row r="6823">
      <c r="F6823">
        <f>IF(DATOS!$A6823="","",DATOS!$A6823&amp;"|"&amp;DATOS!$D6823&amp;"|"&amp;DATOS!$E6823&amp;"|"&amp;DATOS!$I6823)</f>
      </c>
      <c r="G6823">
        <f>IF(DATOS!$A6823="",0,IF(CONFIG_METADATA!$B$4&lt;&gt;"OR+EX",--(DATOS!$G6823=CONFIG_METADATA!$B$4),IF(DATOS!$G6823="EX",1,IF(DATOS!$G6823="OR",--(COUNTIFS(nNIA,DATOS!$A6823,nCURSO,DATOS!$D6823,nESPEC,DATOS!$E6823,nASIG,DATOS!$I6823,nEVAL,"EX")=0),0))))</f>
      </c>
      <c r="H6823">
        <f>IF(DATOS!$G6823&lt;&gt;"EX",0,--(COUNTIFS(nNIA,DATOS!$A6823,nCURSO,DATOS!$D6823,nESPEC,DATOS!$E6823,nASIG,DATOS!$I6823,nEVAL,"OR")=0))</f>
      </c>
      <c r="I6823">
        <f>IF(DATOS!$I6823="","",IFERROR(VLOOKUP(DATOS!$I6823,CONFIG_ASIGNATURAS!$B$2:$J$91,9,FALSE()),""))</f>
      </c>
    </row>
    <row r="6824">
      <c r="F6824">
        <f>IF(DATOS!$A6824="","",DATOS!$A6824&amp;"|"&amp;DATOS!$D6824&amp;"|"&amp;DATOS!$E6824&amp;"|"&amp;DATOS!$I6824)</f>
      </c>
      <c r="G6824">
        <f>IF(DATOS!$A6824="",0,IF(CONFIG_METADATA!$B$4&lt;&gt;"OR+EX",--(DATOS!$G6824=CONFIG_METADATA!$B$4),IF(DATOS!$G6824="EX",1,IF(DATOS!$G6824="OR",--(COUNTIFS(nNIA,DATOS!$A6824,nCURSO,DATOS!$D6824,nESPEC,DATOS!$E6824,nASIG,DATOS!$I6824,nEVAL,"EX")=0),0))))</f>
      </c>
      <c r="H6824">
        <f>IF(DATOS!$G6824&lt;&gt;"EX",0,--(COUNTIFS(nNIA,DATOS!$A6824,nCURSO,DATOS!$D6824,nESPEC,DATOS!$E6824,nASIG,DATOS!$I6824,nEVAL,"OR")=0))</f>
      </c>
      <c r="I6824">
        <f>IF(DATOS!$I6824="","",IFERROR(VLOOKUP(DATOS!$I6824,CONFIG_ASIGNATURAS!$B$2:$J$91,9,FALSE()),""))</f>
      </c>
    </row>
    <row r="6825">
      <c r="F6825">
        <f>IF(DATOS!$A6825="","",DATOS!$A6825&amp;"|"&amp;DATOS!$D6825&amp;"|"&amp;DATOS!$E6825&amp;"|"&amp;DATOS!$I6825)</f>
      </c>
      <c r="G6825">
        <f>IF(DATOS!$A6825="",0,IF(CONFIG_METADATA!$B$4&lt;&gt;"OR+EX",--(DATOS!$G6825=CONFIG_METADATA!$B$4),IF(DATOS!$G6825="EX",1,IF(DATOS!$G6825="OR",--(COUNTIFS(nNIA,DATOS!$A6825,nCURSO,DATOS!$D6825,nESPEC,DATOS!$E6825,nASIG,DATOS!$I6825,nEVAL,"EX")=0),0))))</f>
      </c>
      <c r="H6825">
        <f>IF(DATOS!$G6825&lt;&gt;"EX",0,--(COUNTIFS(nNIA,DATOS!$A6825,nCURSO,DATOS!$D6825,nESPEC,DATOS!$E6825,nASIG,DATOS!$I6825,nEVAL,"OR")=0))</f>
      </c>
      <c r="I6825">
        <f>IF(DATOS!$I6825="","",IFERROR(VLOOKUP(DATOS!$I6825,CONFIG_ASIGNATURAS!$B$2:$J$91,9,FALSE()),""))</f>
      </c>
    </row>
    <row r="6826">
      <c r="F6826">
        <f>IF(DATOS!$A6826="","",DATOS!$A6826&amp;"|"&amp;DATOS!$D6826&amp;"|"&amp;DATOS!$E6826&amp;"|"&amp;DATOS!$I6826)</f>
      </c>
      <c r="G6826">
        <f>IF(DATOS!$A6826="",0,IF(CONFIG_METADATA!$B$4&lt;&gt;"OR+EX",--(DATOS!$G6826=CONFIG_METADATA!$B$4),IF(DATOS!$G6826="EX",1,IF(DATOS!$G6826="OR",--(COUNTIFS(nNIA,DATOS!$A6826,nCURSO,DATOS!$D6826,nESPEC,DATOS!$E6826,nASIG,DATOS!$I6826,nEVAL,"EX")=0),0))))</f>
      </c>
      <c r="H6826">
        <f>IF(DATOS!$G6826&lt;&gt;"EX",0,--(COUNTIFS(nNIA,DATOS!$A6826,nCURSO,DATOS!$D6826,nESPEC,DATOS!$E6826,nASIG,DATOS!$I6826,nEVAL,"OR")=0))</f>
      </c>
      <c r="I6826">
        <f>IF(DATOS!$I6826="","",IFERROR(VLOOKUP(DATOS!$I6826,CONFIG_ASIGNATURAS!$B$2:$J$91,9,FALSE()),""))</f>
      </c>
    </row>
    <row r="6827">
      <c r="F6827">
        <f>IF(DATOS!$A6827="","",DATOS!$A6827&amp;"|"&amp;DATOS!$D6827&amp;"|"&amp;DATOS!$E6827&amp;"|"&amp;DATOS!$I6827)</f>
      </c>
      <c r="G6827">
        <f>IF(DATOS!$A6827="",0,IF(CONFIG_METADATA!$B$4&lt;&gt;"OR+EX",--(DATOS!$G6827=CONFIG_METADATA!$B$4),IF(DATOS!$G6827="EX",1,IF(DATOS!$G6827="OR",--(COUNTIFS(nNIA,DATOS!$A6827,nCURSO,DATOS!$D6827,nESPEC,DATOS!$E6827,nASIG,DATOS!$I6827,nEVAL,"EX")=0),0))))</f>
      </c>
      <c r="H6827">
        <f>IF(DATOS!$G6827&lt;&gt;"EX",0,--(COUNTIFS(nNIA,DATOS!$A6827,nCURSO,DATOS!$D6827,nESPEC,DATOS!$E6827,nASIG,DATOS!$I6827,nEVAL,"OR")=0))</f>
      </c>
      <c r="I6827">
        <f>IF(DATOS!$I6827="","",IFERROR(VLOOKUP(DATOS!$I6827,CONFIG_ASIGNATURAS!$B$2:$J$91,9,FALSE()),""))</f>
      </c>
    </row>
    <row r="6828">
      <c r="F6828">
        <f>IF(DATOS!$A6828="","",DATOS!$A6828&amp;"|"&amp;DATOS!$D6828&amp;"|"&amp;DATOS!$E6828&amp;"|"&amp;DATOS!$I6828)</f>
      </c>
      <c r="G6828">
        <f>IF(DATOS!$A6828="",0,IF(CONFIG_METADATA!$B$4&lt;&gt;"OR+EX",--(DATOS!$G6828=CONFIG_METADATA!$B$4),IF(DATOS!$G6828="EX",1,IF(DATOS!$G6828="OR",--(COUNTIFS(nNIA,DATOS!$A6828,nCURSO,DATOS!$D6828,nESPEC,DATOS!$E6828,nASIG,DATOS!$I6828,nEVAL,"EX")=0),0))))</f>
      </c>
      <c r="H6828">
        <f>IF(DATOS!$G6828&lt;&gt;"EX",0,--(COUNTIFS(nNIA,DATOS!$A6828,nCURSO,DATOS!$D6828,nESPEC,DATOS!$E6828,nASIG,DATOS!$I6828,nEVAL,"OR")=0))</f>
      </c>
      <c r="I6828">
        <f>IF(DATOS!$I6828="","",IFERROR(VLOOKUP(DATOS!$I6828,CONFIG_ASIGNATURAS!$B$2:$J$91,9,FALSE()),""))</f>
      </c>
    </row>
    <row r="6829">
      <c r="F6829">
        <f>IF(DATOS!$A6829="","",DATOS!$A6829&amp;"|"&amp;DATOS!$D6829&amp;"|"&amp;DATOS!$E6829&amp;"|"&amp;DATOS!$I6829)</f>
      </c>
      <c r="G6829">
        <f>IF(DATOS!$A6829="",0,IF(CONFIG_METADATA!$B$4&lt;&gt;"OR+EX",--(DATOS!$G6829=CONFIG_METADATA!$B$4),IF(DATOS!$G6829="EX",1,IF(DATOS!$G6829="OR",--(COUNTIFS(nNIA,DATOS!$A6829,nCURSO,DATOS!$D6829,nESPEC,DATOS!$E6829,nASIG,DATOS!$I6829,nEVAL,"EX")=0),0))))</f>
      </c>
      <c r="H6829">
        <f>IF(DATOS!$G6829&lt;&gt;"EX",0,--(COUNTIFS(nNIA,DATOS!$A6829,nCURSO,DATOS!$D6829,nESPEC,DATOS!$E6829,nASIG,DATOS!$I6829,nEVAL,"OR")=0))</f>
      </c>
      <c r="I6829">
        <f>IF(DATOS!$I6829="","",IFERROR(VLOOKUP(DATOS!$I6829,CONFIG_ASIGNATURAS!$B$2:$J$91,9,FALSE()),""))</f>
      </c>
    </row>
    <row r="6830">
      <c r="F6830">
        <f>IF(DATOS!$A6830="","",DATOS!$A6830&amp;"|"&amp;DATOS!$D6830&amp;"|"&amp;DATOS!$E6830&amp;"|"&amp;DATOS!$I6830)</f>
      </c>
      <c r="G6830">
        <f>IF(DATOS!$A6830="",0,IF(CONFIG_METADATA!$B$4&lt;&gt;"OR+EX",--(DATOS!$G6830=CONFIG_METADATA!$B$4),IF(DATOS!$G6830="EX",1,IF(DATOS!$G6830="OR",--(COUNTIFS(nNIA,DATOS!$A6830,nCURSO,DATOS!$D6830,nESPEC,DATOS!$E6830,nASIG,DATOS!$I6830,nEVAL,"EX")=0),0))))</f>
      </c>
      <c r="H6830">
        <f>IF(DATOS!$G6830&lt;&gt;"EX",0,--(COUNTIFS(nNIA,DATOS!$A6830,nCURSO,DATOS!$D6830,nESPEC,DATOS!$E6830,nASIG,DATOS!$I6830,nEVAL,"OR")=0))</f>
      </c>
      <c r="I6830">
        <f>IF(DATOS!$I6830="","",IFERROR(VLOOKUP(DATOS!$I6830,CONFIG_ASIGNATURAS!$B$2:$J$91,9,FALSE()),""))</f>
      </c>
    </row>
    <row r="6831">
      <c r="F6831">
        <f>IF(DATOS!$A6831="","",DATOS!$A6831&amp;"|"&amp;DATOS!$D6831&amp;"|"&amp;DATOS!$E6831&amp;"|"&amp;DATOS!$I6831)</f>
      </c>
      <c r="G6831">
        <f>IF(DATOS!$A6831="",0,IF(CONFIG_METADATA!$B$4&lt;&gt;"OR+EX",--(DATOS!$G6831=CONFIG_METADATA!$B$4),IF(DATOS!$G6831="EX",1,IF(DATOS!$G6831="OR",--(COUNTIFS(nNIA,DATOS!$A6831,nCURSO,DATOS!$D6831,nESPEC,DATOS!$E6831,nASIG,DATOS!$I6831,nEVAL,"EX")=0),0))))</f>
      </c>
      <c r="H6831">
        <f>IF(DATOS!$G6831&lt;&gt;"EX",0,--(COUNTIFS(nNIA,DATOS!$A6831,nCURSO,DATOS!$D6831,nESPEC,DATOS!$E6831,nASIG,DATOS!$I6831,nEVAL,"OR")=0))</f>
      </c>
      <c r="I6831">
        <f>IF(DATOS!$I6831="","",IFERROR(VLOOKUP(DATOS!$I6831,CONFIG_ASIGNATURAS!$B$2:$J$91,9,FALSE()),""))</f>
      </c>
    </row>
    <row r="6832">
      <c r="F6832">
        <f>IF(DATOS!$A6832="","",DATOS!$A6832&amp;"|"&amp;DATOS!$D6832&amp;"|"&amp;DATOS!$E6832&amp;"|"&amp;DATOS!$I6832)</f>
      </c>
      <c r="G6832">
        <f>IF(DATOS!$A6832="",0,IF(CONFIG_METADATA!$B$4&lt;&gt;"OR+EX",--(DATOS!$G6832=CONFIG_METADATA!$B$4),IF(DATOS!$G6832="EX",1,IF(DATOS!$G6832="OR",--(COUNTIFS(nNIA,DATOS!$A6832,nCURSO,DATOS!$D6832,nESPEC,DATOS!$E6832,nASIG,DATOS!$I6832,nEVAL,"EX")=0),0))))</f>
      </c>
      <c r="H6832">
        <f>IF(DATOS!$G6832&lt;&gt;"EX",0,--(COUNTIFS(nNIA,DATOS!$A6832,nCURSO,DATOS!$D6832,nESPEC,DATOS!$E6832,nASIG,DATOS!$I6832,nEVAL,"OR")=0))</f>
      </c>
      <c r="I6832">
        <f>IF(DATOS!$I6832="","",IFERROR(VLOOKUP(DATOS!$I6832,CONFIG_ASIGNATURAS!$B$2:$J$91,9,FALSE()),""))</f>
      </c>
    </row>
    <row r="6833">
      <c r="F6833">
        <f>IF(DATOS!$A6833="","",DATOS!$A6833&amp;"|"&amp;DATOS!$D6833&amp;"|"&amp;DATOS!$E6833&amp;"|"&amp;DATOS!$I6833)</f>
      </c>
      <c r="G6833">
        <f>IF(DATOS!$A6833="",0,IF(CONFIG_METADATA!$B$4&lt;&gt;"OR+EX",--(DATOS!$G6833=CONFIG_METADATA!$B$4),IF(DATOS!$G6833="EX",1,IF(DATOS!$G6833="OR",--(COUNTIFS(nNIA,DATOS!$A6833,nCURSO,DATOS!$D6833,nESPEC,DATOS!$E6833,nASIG,DATOS!$I6833,nEVAL,"EX")=0),0))))</f>
      </c>
      <c r="H6833">
        <f>IF(DATOS!$G6833&lt;&gt;"EX",0,--(COUNTIFS(nNIA,DATOS!$A6833,nCURSO,DATOS!$D6833,nESPEC,DATOS!$E6833,nASIG,DATOS!$I6833,nEVAL,"OR")=0))</f>
      </c>
      <c r="I6833">
        <f>IF(DATOS!$I6833="","",IFERROR(VLOOKUP(DATOS!$I6833,CONFIG_ASIGNATURAS!$B$2:$J$91,9,FALSE()),""))</f>
      </c>
    </row>
    <row r="6834">
      <c r="F6834">
        <f>IF(DATOS!$A6834="","",DATOS!$A6834&amp;"|"&amp;DATOS!$D6834&amp;"|"&amp;DATOS!$E6834&amp;"|"&amp;DATOS!$I6834)</f>
      </c>
      <c r="G6834">
        <f>IF(DATOS!$A6834="",0,IF(CONFIG_METADATA!$B$4&lt;&gt;"OR+EX",--(DATOS!$G6834=CONFIG_METADATA!$B$4),IF(DATOS!$G6834="EX",1,IF(DATOS!$G6834="OR",--(COUNTIFS(nNIA,DATOS!$A6834,nCURSO,DATOS!$D6834,nESPEC,DATOS!$E6834,nASIG,DATOS!$I6834,nEVAL,"EX")=0),0))))</f>
      </c>
      <c r="H6834">
        <f>IF(DATOS!$G6834&lt;&gt;"EX",0,--(COUNTIFS(nNIA,DATOS!$A6834,nCURSO,DATOS!$D6834,nESPEC,DATOS!$E6834,nASIG,DATOS!$I6834,nEVAL,"OR")=0))</f>
      </c>
      <c r="I6834">
        <f>IF(DATOS!$I6834="","",IFERROR(VLOOKUP(DATOS!$I6834,CONFIG_ASIGNATURAS!$B$2:$J$91,9,FALSE()),""))</f>
      </c>
    </row>
    <row r="6835">
      <c r="F6835">
        <f>IF(DATOS!$A6835="","",DATOS!$A6835&amp;"|"&amp;DATOS!$D6835&amp;"|"&amp;DATOS!$E6835&amp;"|"&amp;DATOS!$I6835)</f>
      </c>
      <c r="G6835">
        <f>IF(DATOS!$A6835="",0,IF(CONFIG_METADATA!$B$4&lt;&gt;"OR+EX",--(DATOS!$G6835=CONFIG_METADATA!$B$4),IF(DATOS!$G6835="EX",1,IF(DATOS!$G6835="OR",--(COUNTIFS(nNIA,DATOS!$A6835,nCURSO,DATOS!$D6835,nESPEC,DATOS!$E6835,nASIG,DATOS!$I6835,nEVAL,"EX")=0),0))))</f>
      </c>
      <c r="H6835">
        <f>IF(DATOS!$G6835&lt;&gt;"EX",0,--(COUNTIFS(nNIA,DATOS!$A6835,nCURSO,DATOS!$D6835,nESPEC,DATOS!$E6835,nASIG,DATOS!$I6835,nEVAL,"OR")=0))</f>
      </c>
      <c r="I6835">
        <f>IF(DATOS!$I6835="","",IFERROR(VLOOKUP(DATOS!$I6835,CONFIG_ASIGNATURAS!$B$2:$J$91,9,FALSE()),""))</f>
      </c>
    </row>
    <row r="6836">
      <c r="F6836">
        <f>IF(DATOS!$A6836="","",DATOS!$A6836&amp;"|"&amp;DATOS!$D6836&amp;"|"&amp;DATOS!$E6836&amp;"|"&amp;DATOS!$I6836)</f>
      </c>
      <c r="G6836">
        <f>IF(DATOS!$A6836="",0,IF(CONFIG_METADATA!$B$4&lt;&gt;"OR+EX",--(DATOS!$G6836=CONFIG_METADATA!$B$4),IF(DATOS!$G6836="EX",1,IF(DATOS!$G6836="OR",--(COUNTIFS(nNIA,DATOS!$A6836,nCURSO,DATOS!$D6836,nESPEC,DATOS!$E6836,nASIG,DATOS!$I6836,nEVAL,"EX")=0),0))))</f>
      </c>
      <c r="H6836">
        <f>IF(DATOS!$G6836&lt;&gt;"EX",0,--(COUNTIFS(nNIA,DATOS!$A6836,nCURSO,DATOS!$D6836,nESPEC,DATOS!$E6836,nASIG,DATOS!$I6836,nEVAL,"OR")=0))</f>
      </c>
      <c r="I6836">
        <f>IF(DATOS!$I6836="","",IFERROR(VLOOKUP(DATOS!$I6836,CONFIG_ASIGNATURAS!$B$2:$J$91,9,FALSE()),""))</f>
      </c>
    </row>
    <row r="6837">
      <c r="F6837">
        <f>IF(DATOS!$A6837="","",DATOS!$A6837&amp;"|"&amp;DATOS!$D6837&amp;"|"&amp;DATOS!$E6837&amp;"|"&amp;DATOS!$I6837)</f>
      </c>
      <c r="G6837">
        <f>IF(DATOS!$A6837="",0,IF(CONFIG_METADATA!$B$4&lt;&gt;"OR+EX",--(DATOS!$G6837=CONFIG_METADATA!$B$4),IF(DATOS!$G6837="EX",1,IF(DATOS!$G6837="OR",--(COUNTIFS(nNIA,DATOS!$A6837,nCURSO,DATOS!$D6837,nESPEC,DATOS!$E6837,nASIG,DATOS!$I6837,nEVAL,"EX")=0),0))))</f>
      </c>
      <c r="H6837">
        <f>IF(DATOS!$G6837&lt;&gt;"EX",0,--(COUNTIFS(nNIA,DATOS!$A6837,nCURSO,DATOS!$D6837,nESPEC,DATOS!$E6837,nASIG,DATOS!$I6837,nEVAL,"OR")=0))</f>
      </c>
      <c r="I6837">
        <f>IF(DATOS!$I6837="","",IFERROR(VLOOKUP(DATOS!$I6837,CONFIG_ASIGNATURAS!$B$2:$J$91,9,FALSE()),""))</f>
      </c>
    </row>
    <row r="6838">
      <c r="F6838">
        <f>IF(DATOS!$A6838="","",DATOS!$A6838&amp;"|"&amp;DATOS!$D6838&amp;"|"&amp;DATOS!$E6838&amp;"|"&amp;DATOS!$I6838)</f>
      </c>
      <c r="G6838">
        <f>IF(DATOS!$A6838="",0,IF(CONFIG_METADATA!$B$4&lt;&gt;"OR+EX",--(DATOS!$G6838=CONFIG_METADATA!$B$4),IF(DATOS!$G6838="EX",1,IF(DATOS!$G6838="OR",--(COUNTIFS(nNIA,DATOS!$A6838,nCURSO,DATOS!$D6838,nESPEC,DATOS!$E6838,nASIG,DATOS!$I6838,nEVAL,"EX")=0),0))))</f>
      </c>
      <c r="H6838">
        <f>IF(DATOS!$G6838&lt;&gt;"EX",0,--(COUNTIFS(nNIA,DATOS!$A6838,nCURSO,DATOS!$D6838,nESPEC,DATOS!$E6838,nASIG,DATOS!$I6838,nEVAL,"OR")=0))</f>
      </c>
      <c r="I6838">
        <f>IF(DATOS!$I6838="","",IFERROR(VLOOKUP(DATOS!$I6838,CONFIG_ASIGNATURAS!$B$2:$J$91,9,FALSE()),""))</f>
      </c>
    </row>
    <row r="6839">
      <c r="F6839">
        <f>IF(DATOS!$A6839="","",DATOS!$A6839&amp;"|"&amp;DATOS!$D6839&amp;"|"&amp;DATOS!$E6839&amp;"|"&amp;DATOS!$I6839)</f>
      </c>
      <c r="G6839">
        <f>IF(DATOS!$A6839="",0,IF(CONFIG_METADATA!$B$4&lt;&gt;"OR+EX",--(DATOS!$G6839=CONFIG_METADATA!$B$4),IF(DATOS!$G6839="EX",1,IF(DATOS!$G6839="OR",--(COUNTIFS(nNIA,DATOS!$A6839,nCURSO,DATOS!$D6839,nESPEC,DATOS!$E6839,nASIG,DATOS!$I6839,nEVAL,"EX")=0),0))))</f>
      </c>
      <c r="H6839">
        <f>IF(DATOS!$G6839&lt;&gt;"EX",0,--(COUNTIFS(nNIA,DATOS!$A6839,nCURSO,DATOS!$D6839,nESPEC,DATOS!$E6839,nASIG,DATOS!$I6839,nEVAL,"OR")=0))</f>
      </c>
      <c r="I6839">
        <f>IF(DATOS!$I6839="","",IFERROR(VLOOKUP(DATOS!$I6839,CONFIG_ASIGNATURAS!$B$2:$J$91,9,FALSE()),""))</f>
      </c>
    </row>
    <row r="6840">
      <c r="F6840">
        <f>IF(DATOS!$A6840="","",DATOS!$A6840&amp;"|"&amp;DATOS!$D6840&amp;"|"&amp;DATOS!$E6840&amp;"|"&amp;DATOS!$I6840)</f>
      </c>
      <c r="G6840">
        <f>IF(DATOS!$A6840="",0,IF(CONFIG_METADATA!$B$4&lt;&gt;"OR+EX",--(DATOS!$G6840=CONFIG_METADATA!$B$4),IF(DATOS!$G6840="EX",1,IF(DATOS!$G6840="OR",--(COUNTIFS(nNIA,DATOS!$A6840,nCURSO,DATOS!$D6840,nESPEC,DATOS!$E6840,nASIG,DATOS!$I6840,nEVAL,"EX")=0),0))))</f>
      </c>
      <c r="H6840">
        <f>IF(DATOS!$G6840&lt;&gt;"EX",0,--(COUNTIFS(nNIA,DATOS!$A6840,nCURSO,DATOS!$D6840,nESPEC,DATOS!$E6840,nASIG,DATOS!$I6840,nEVAL,"OR")=0))</f>
      </c>
      <c r="I6840">
        <f>IF(DATOS!$I6840="","",IFERROR(VLOOKUP(DATOS!$I6840,CONFIG_ASIGNATURAS!$B$2:$J$91,9,FALSE()),""))</f>
      </c>
    </row>
    <row r="6841">
      <c r="F6841">
        <f>IF(DATOS!$A6841="","",DATOS!$A6841&amp;"|"&amp;DATOS!$D6841&amp;"|"&amp;DATOS!$E6841&amp;"|"&amp;DATOS!$I6841)</f>
      </c>
      <c r="G6841">
        <f>IF(DATOS!$A6841="",0,IF(CONFIG_METADATA!$B$4&lt;&gt;"OR+EX",--(DATOS!$G6841=CONFIG_METADATA!$B$4),IF(DATOS!$G6841="EX",1,IF(DATOS!$G6841="OR",--(COUNTIFS(nNIA,DATOS!$A6841,nCURSO,DATOS!$D6841,nESPEC,DATOS!$E6841,nASIG,DATOS!$I6841,nEVAL,"EX")=0),0))))</f>
      </c>
      <c r="H6841">
        <f>IF(DATOS!$G6841&lt;&gt;"EX",0,--(COUNTIFS(nNIA,DATOS!$A6841,nCURSO,DATOS!$D6841,nESPEC,DATOS!$E6841,nASIG,DATOS!$I6841,nEVAL,"OR")=0))</f>
      </c>
      <c r="I6841">
        <f>IF(DATOS!$I6841="","",IFERROR(VLOOKUP(DATOS!$I6841,CONFIG_ASIGNATURAS!$B$2:$J$91,9,FALSE()),""))</f>
      </c>
    </row>
    <row r="6842">
      <c r="F6842">
        <f>IF(DATOS!$A6842="","",DATOS!$A6842&amp;"|"&amp;DATOS!$D6842&amp;"|"&amp;DATOS!$E6842&amp;"|"&amp;DATOS!$I6842)</f>
      </c>
      <c r="G6842">
        <f>IF(DATOS!$A6842="",0,IF(CONFIG_METADATA!$B$4&lt;&gt;"OR+EX",--(DATOS!$G6842=CONFIG_METADATA!$B$4),IF(DATOS!$G6842="EX",1,IF(DATOS!$G6842="OR",--(COUNTIFS(nNIA,DATOS!$A6842,nCURSO,DATOS!$D6842,nESPEC,DATOS!$E6842,nASIG,DATOS!$I6842,nEVAL,"EX")=0),0))))</f>
      </c>
      <c r="H6842">
        <f>IF(DATOS!$G6842&lt;&gt;"EX",0,--(COUNTIFS(nNIA,DATOS!$A6842,nCURSO,DATOS!$D6842,nESPEC,DATOS!$E6842,nASIG,DATOS!$I6842,nEVAL,"OR")=0))</f>
      </c>
      <c r="I6842">
        <f>IF(DATOS!$I6842="","",IFERROR(VLOOKUP(DATOS!$I6842,CONFIG_ASIGNATURAS!$B$2:$J$91,9,FALSE()),""))</f>
      </c>
    </row>
    <row r="6843">
      <c r="F6843">
        <f>IF(DATOS!$A6843="","",DATOS!$A6843&amp;"|"&amp;DATOS!$D6843&amp;"|"&amp;DATOS!$E6843&amp;"|"&amp;DATOS!$I6843)</f>
      </c>
      <c r="G6843">
        <f>IF(DATOS!$A6843="",0,IF(CONFIG_METADATA!$B$4&lt;&gt;"OR+EX",--(DATOS!$G6843=CONFIG_METADATA!$B$4),IF(DATOS!$G6843="EX",1,IF(DATOS!$G6843="OR",--(COUNTIFS(nNIA,DATOS!$A6843,nCURSO,DATOS!$D6843,nESPEC,DATOS!$E6843,nASIG,DATOS!$I6843,nEVAL,"EX")=0),0))))</f>
      </c>
      <c r="H6843">
        <f>IF(DATOS!$G6843&lt;&gt;"EX",0,--(COUNTIFS(nNIA,DATOS!$A6843,nCURSO,DATOS!$D6843,nESPEC,DATOS!$E6843,nASIG,DATOS!$I6843,nEVAL,"OR")=0))</f>
      </c>
      <c r="I6843">
        <f>IF(DATOS!$I6843="","",IFERROR(VLOOKUP(DATOS!$I6843,CONFIG_ASIGNATURAS!$B$2:$J$91,9,FALSE()),""))</f>
      </c>
    </row>
    <row r="6844">
      <c r="F6844">
        <f>IF(DATOS!$A6844="","",DATOS!$A6844&amp;"|"&amp;DATOS!$D6844&amp;"|"&amp;DATOS!$E6844&amp;"|"&amp;DATOS!$I6844)</f>
      </c>
      <c r="G6844">
        <f>IF(DATOS!$A6844="",0,IF(CONFIG_METADATA!$B$4&lt;&gt;"OR+EX",--(DATOS!$G6844=CONFIG_METADATA!$B$4),IF(DATOS!$G6844="EX",1,IF(DATOS!$G6844="OR",--(COUNTIFS(nNIA,DATOS!$A6844,nCURSO,DATOS!$D6844,nESPEC,DATOS!$E6844,nASIG,DATOS!$I6844,nEVAL,"EX")=0),0))))</f>
      </c>
      <c r="H6844">
        <f>IF(DATOS!$G6844&lt;&gt;"EX",0,--(COUNTIFS(nNIA,DATOS!$A6844,nCURSO,DATOS!$D6844,nESPEC,DATOS!$E6844,nASIG,DATOS!$I6844,nEVAL,"OR")=0))</f>
      </c>
      <c r="I6844">
        <f>IF(DATOS!$I6844="","",IFERROR(VLOOKUP(DATOS!$I6844,CONFIG_ASIGNATURAS!$B$2:$J$91,9,FALSE()),""))</f>
      </c>
    </row>
    <row r="6845">
      <c r="F6845">
        <f>IF(DATOS!$A6845="","",DATOS!$A6845&amp;"|"&amp;DATOS!$D6845&amp;"|"&amp;DATOS!$E6845&amp;"|"&amp;DATOS!$I6845)</f>
      </c>
      <c r="G6845">
        <f>IF(DATOS!$A6845="",0,IF(CONFIG_METADATA!$B$4&lt;&gt;"OR+EX",--(DATOS!$G6845=CONFIG_METADATA!$B$4),IF(DATOS!$G6845="EX",1,IF(DATOS!$G6845="OR",--(COUNTIFS(nNIA,DATOS!$A6845,nCURSO,DATOS!$D6845,nESPEC,DATOS!$E6845,nASIG,DATOS!$I6845,nEVAL,"EX")=0),0))))</f>
      </c>
      <c r="H6845">
        <f>IF(DATOS!$G6845&lt;&gt;"EX",0,--(COUNTIFS(nNIA,DATOS!$A6845,nCURSO,DATOS!$D6845,nESPEC,DATOS!$E6845,nASIG,DATOS!$I6845,nEVAL,"OR")=0))</f>
      </c>
      <c r="I6845">
        <f>IF(DATOS!$I6845="","",IFERROR(VLOOKUP(DATOS!$I6845,CONFIG_ASIGNATURAS!$B$2:$J$91,9,FALSE()),""))</f>
      </c>
    </row>
    <row r="6846">
      <c r="F6846">
        <f>IF(DATOS!$A6846="","",DATOS!$A6846&amp;"|"&amp;DATOS!$D6846&amp;"|"&amp;DATOS!$E6846&amp;"|"&amp;DATOS!$I6846)</f>
      </c>
      <c r="G6846">
        <f>IF(DATOS!$A6846="",0,IF(CONFIG_METADATA!$B$4&lt;&gt;"OR+EX",--(DATOS!$G6846=CONFIG_METADATA!$B$4),IF(DATOS!$G6846="EX",1,IF(DATOS!$G6846="OR",--(COUNTIFS(nNIA,DATOS!$A6846,nCURSO,DATOS!$D6846,nESPEC,DATOS!$E6846,nASIG,DATOS!$I6846,nEVAL,"EX")=0),0))))</f>
      </c>
      <c r="H6846">
        <f>IF(DATOS!$G6846&lt;&gt;"EX",0,--(COUNTIFS(nNIA,DATOS!$A6846,nCURSO,DATOS!$D6846,nESPEC,DATOS!$E6846,nASIG,DATOS!$I6846,nEVAL,"OR")=0))</f>
      </c>
      <c r="I6846">
        <f>IF(DATOS!$I6846="","",IFERROR(VLOOKUP(DATOS!$I6846,CONFIG_ASIGNATURAS!$B$2:$J$91,9,FALSE()),""))</f>
      </c>
    </row>
    <row r="6847">
      <c r="F6847">
        <f>IF(DATOS!$A6847="","",DATOS!$A6847&amp;"|"&amp;DATOS!$D6847&amp;"|"&amp;DATOS!$E6847&amp;"|"&amp;DATOS!$I6847)</f>
      </c>
      <c r="G6847">
        <f>IF(DATOS!$A6847="",0,IF(CONFIG_METADATA!$B$4&lt;&gt;"OR+EX",--(DATOS!$G6847=CONFIG_METADATA!$B$4),IF(DATOS!$G6847="EX",1,IF(DATOS!$G6847="OR",--(COUNTIFS(nNIA,DATOS!$A6847,nCURSO,DATOS!$D6847,nESPEC,DATOS!$E6847,nASIG,DATOS!$I6847,nEVAL,"EX")=0),0))))</f>
      </c>
      <c r="H6847">
        <f>IF(DATOS!$G6847&lt;&gt;"EX",0,--(COUNTIFS(nNIA,DATOS!$A6847,nCURSO,DATOS!$D6847,nESPEC,DATOS!$E6847,nASIG,DATOS!$I6847,nEVAL,"OR")=0))</f>
      </c>
      <c r="I6847">
        <f>IF(DATOS!$I6847="","",IFERROR(VLOOKUP(DATOS!$I6847,CONFIG_ASIGNATURAS!$B$2:$J$91,9,FALSE()),""))</f>
      </c>
    </row>
    <row r="6848">
      <c r="F6848">
        <f>IF(DATOS!$A6848="","",DATOS!$A6848&amp;"|"&amp;DATOS!$D6848&amp;"|"&amp;DATOS!$E6848&amp;"|"&amp;DATOS!$I6848)</f>
      </c>
      <c r="G6848">
        <f>IF(DATOS!$A6848="",0,IF(CONFIG_METADATA!$B$4&lt;&gt;"OR+EX",--(DATOS!$G6848=CONFIG_METADATA!$B$4),IF(DATOS!$G6848="EX",1,IF(DATOS!$G6848="OR",--(COUNTIFS(nNIA,DATOS!$A6848,nCURSO,DATOS!$D6848,nESPEC,DATOS!$E6848,nASIG,DATOS!$I6848,nEVAL,"EX")=0),0))))</f>
      </c>
      <c r="H6848">
        <f>IF(DATOS!$G6848&lt;&gt;"EX",0,--(COUNTIFS(nNIA,DATOS!$A6848,nCURSO,DATOS!$D6848,nESPEC,DATOS!$E6848,nASIG,DATOS!$I6848,nEVAL,"OR")=0))</f>
      </c>
      <c r="I6848">
        <f>IF(DATOS!$I6848="","",IFERROR(VLOOKUP(DATOS!$I6848,CONFIG_ASIGNATURAS!$B$2:$J$91,9,FALSE()),""))</f>
      </c>
    </row>
    <row r="6849">
      <c r="F6849">
        <f>IF(DATOS!$A6849="","",DATOS!$A6849&amp;"|"&amp;DATOS!$D6849&amp;"|"&amp;DATOS!$E6849&amp;"|"&amp;DATOS!$I6849)</f>
      </c>
      <c r="G6849">
        <f>IF(DATOS!$A6849="",0,IF(CONFIG_METADATA!$B$4&lt;&gt;"OR+EX",--(DATOS!$G6849=CONFIG_METADATA!$B$4),IF(DATOS!$G6849="EX",1,IF(DATOS!$G6849="OR",--(COUNTIFS(nNIA,DATOS!$A6849,nCURSO,DATOS!$D6849,nESPEC,DATOS!$E6849,nASIG,DATOS!$I6849,nEVAL,"EX")=0),0))))</f>
      </c>
      <c r="H6849">
        <f>IF(DATOS!$G6849&lt;&gt;"EX",0,--(COUNTIFS(nNIA,DATOS!$A6849,nCURSO,DATOS!$D6849,nESPEC,DATOS!$E6849,nASIG,DATOS!$I6849,nEVAL,"OR")=0))</f>
      </c>
      <c r="I6849">
        <f>IF(DATOS!$I6849="","",IFERROR(VLOOKUP(DATOS!$I6849,CONFIG_ASIGNATURAS!$B$2:$J$91,9,FALSE()),""))</f>
      </c>
    </row>
    <row r="6850">
      <c r="F6850">
        <f>IF(DATOS!$A6850="","",DATOS!$A6850&amp;"|"&amp;DATOS!$D6850&amp;"|"&amp;DATOS!$E6850&amp;"|"&amp;DATOS!$I6850)</f>
      </c>
      <c r="G6850">
        <f>IF(DATOS!$A6850="",0,IF(CONFIG_METADATA!$B$4&lt;&gt;"OR+EX",--(DATOS!$G6850=CONFIG_METADATA!$B$4),IF(DATOS!$G6850="EX",1,IF(DATOS!$G6850="OR",--(COUNTIFS(nNIA,DATOS!$A6850,nCURSO,DATOS!$D6850,nESPEC,DATOS!$E6850,nASIG,DATOS!$I6850,nEVAL,"EX")=0),0))))</f>
      </c>
      <c r="H6850">
        <f>IF(DATOS!$G6850&lt;&gt;"EX",0,--(COUNTIFS(nNIA,DATOS!$A6850,nCURSO,DATOS!$D6850,nESPEC,DATOS!$E6850,nASIG,DATOS!$I6850,nEVAL,"OR")=0))</f>
      </c>
      <c r="I6850">
        <f>IF(DATOS!$I6850="","",IFERROR(VLOOKUP(DATOS!$I6850,CONFIG_ASIGNATURAS!$B$2:$J$91,9,FALSE()),""))</f>
      </c>
    </row>
    <row r="6851">
      <c r="F6851">
        <f>IF(DATOS!$A6851="","",DATOS!$A6851&amp;"|"&amp;DATOS!$D6851&amp;"|"&amp;DATOS!$E6851&amp;"|"&amp;DATOS!$I6851)</f>
      </c>
      <c r="G6851">
        <f>IF(DATOS!$A6851="",0,IF(CONFIG_METADATA!$B$4&lt;&gt;"OR+EX",--(DATOS!$G6851=CONFIG_METADATA!$B$4),IF(DATOS!$G6851="EX",1,IF(DATOS!$G6851="OR",--(COUNTIFS(nNIA,DATOS!$A6851,nCURSO,DATOS!$D6851,nESPEC,DATOS!$E6851,nASIG,DATOS!$I6851,nEVAL,"EX")=0),0))))</f>
      </c>
      <c r="H6851">
        <f>IF(DATOS!$G6851&lt;&gt;"EX",0,--(COUNTIFS(nNIA,DATOS!$A6851,nCURSO,DATOS!$D6851,nESPEC,DATOS!$E6851,nASIG,DATOS!$I6851,nEVAL,"OR")=0))</f>
      </c>
      <c r="I6851">
        <f>IF(DATOS!$I6851="","",IFERROR(VLOOKUP(DATOS!$I6851,CONFIG_ASIGNATURAS!$B$2:$J$91,9,FALSE()),""))</f>
      </c>
    </row>
    <row r="6852">
      <c r="F6852">
        <f>IF(DATOS!$A6852="","",DATOS!$A6852&amp;"|"&amp;DATOS!$D6852&amp;"|"&amp;DATOS!$E6852&amp;"|"&amp;DATOS!$I6852)</f>
      </c>
      <c r="G6852">
        <f>IF(DATOS!$A6852="",0,IF(CONFIG_METADATA!$B$4&lt;&gt;"OR+EX",--(DATOS!$G6852=CONFIG_METADATA!$B$4),IF(DATOS!$G6852="EX",1,IF(DATOS!$G6852="OR",--(COUNTIFS(nNIA,DATOS!$A6852,nCURSO,DATOS!$D6852,nESPEC,DATOS!$E6852,nASIG,DATOS!$I6852,nEVAL,"EX")=0),0))))</f>
      </c>
      <c r="H6852">
        <f>IF(DATOS!$G6852&lt;&gt;"EX",0,--(COUNTIFS(nNIA,DATOS!$A6852,nCURSO,DATOS!$D6852,nESPEC,DATOS!$E6852,nASIG,DATOS!$I6852,nEVAL,"OR")=0))</f>
      </c>
      <c r="I6852">
        <f>IF(DATOS!$I6852="","",IFERROR(VLOOKUP(DATOS!$I6852,CONFIG_ASIGNATURAS!$B$2:$J$91,9,FALSE()),""))</f>
      </c>
    </row>
    <row r="6853">
      <c r="F6853">
        <f>IF(DATOS!$A6853="","",DATOS!$A6853&amp;"|"&amp;DATOS!$D6853&amp;"|"&amp;DATOS!$E6853&amp;"|"&amp;DATOS!$I6853)</f>
      </c>
      <c r="G6853">
        <f>IF(DATOS!$A6853="",0,IF(CONFIG_METADATA!$B$4&lt;&gt;"OR+EX",--(DATOS!$G6853=CONFIG_METADATA!$B$4),IF(DATOS!$G6853="EX",1,IF(DATOS!$G6853="OR",--(COUNTIFS(nNIA,DATOS!$A6853,nCURSO,DATOS!$D6853,nESPEC,DATOS!$E6853,nASIG,DATOS!$I6853,nEVAL,"EX")=0),0))))</f>
      </c>
      <c r="H6853">
        <f>IF(DATOS!$G6853&lt;&gt;"EX",0,--(COUNTIFS(nNIA,DATOS!$A6853,nCURSO,DATOS!$D6853,nESPEC,DATOS!$E6853,nASIG,DATOS!$I6853,nEVAL,"OR")=0))</f>
      </c>
      <c r="I6853">
        <f>IF(DATOS!$I6853="","",IFERROR(VLOOKUP(DATOS!$I6853,CONFIG_ASIGNATURAS!$B$2:$J$91,9,FALSE()),""))</f>
      </c>
    </row>
    <row r="6854">
      <c r="F6854">
        <f>IF(DATOS!$A6854="","",DATOS!$A6854&amp;"|"&amp;DATOS!$D6854&amp;"|"&amp;DATOS!$E6854&amp;"|"&amp;DATOS!$I6854)</f>
      </c>
      <c r="G6854">
        <f>IF(DATOS!$A6854="",0,IF(CONFIG_METADATA!$B$4&lt;&gt;"OR+EX",--(DATOS!$G6854=CONFIG_METADATA!$B$4),IF(DATOS!$G6854="EX",1,IF(DATOS!$G6854="OR",--(COUNTIFS(nNIA,DATOS!$A6854,nCURSO,DATOS!$D6854,nESPEC,DATOS!$E6854,nASIG,DATOS!$I6854,nEVAL,"EX")=0),0))))</f>
      </c>
      <c r="H6854">
        <f>IF(DATOS!$G6854&lt;&gt;"EX",0,--(COUNTIFS(nNIA,DATOS!$A6854,nCURSO,DATOS!$D6854,nESPEC,DATOS!$E6854,nASIG,DATOS!$I6854,nEVAL,"OR")=0))</f>
      </c>
      <c r="I6854">
        <f>IF(DATOS!$I6854="","",IFERROR(VLOOKUP(DATOS!$I6854,CONFIG_ASIGNATURAS!$B$2:$J$91,9,FALSE()),""))</f>
      </c>
    </row>
    <row r="6855">
      <c r="F6855">
        <f>IF(DATOS!$A6855="","",DATOS!$A6855&amp;"|"&amp;DATOS!$D6855&amp;"|"&amp;DATOS!$E6855&amp;"|"&amp;DATOS!$I6855)</f>
      </c>
      <c r="G6855">
        <f>IF(DATOS!$A6855="",0,IF(CONFIG_METADATA!$B$4&lt;&gt;"OR+EX",--(DATOS!$G6855=CONFIG_METADATA!$B$4),IF(DATOS!$G6855="EX",1,IF(DATOS!$G6855="OR",--(COUNTIFS(nNIA,DATOS!$A6855,nCURSO,DATOS!$D6855,nESPEC,DATOS!$E6855,nASIG,DATOS!$I6855,nEVAL,"EX")=0),0))))</f>
      </c>
      <c r="H6855">
        <f>IF(DATOS!$G6855&lt;&gt;"EX",0,--(COUNTIFS(nNIA,DATOS!$A6855,nCURSO,DATOS!$D6855,nESPEC,DATOS!$E6855,nASIG,DATOS!$I6855,nEVAL,"OR")=0))</f>
      </c>
      <c r="I6855">
        <f>IF(DATOS!$I6855="","",IFERROR(VLOOKUP(DATOS!$I6855,CONFIG_ASIGNATURAS!$B$2:$J$91,9,FALSE()),""))</f>
      </c>
    </row>
    <row r="6856">
      <c r="F6856">
        <f>IF(DATOS!$A6856="","",DATOS!$A6856&amp;"|"&amp;DATOS!$D6856&amp;"|"&amp;DATOS!$E6856&amp;"|"&amp;DATOS!$I6856)</f>
      </c>
      <c r="G6856">
        <f>IF(DATOS!$A6856="",0,IF(CONFIG_METADATA!$B$4&lt;&gt;"OR+EX",--(DATOS!$G6856=CONFIG_METADATA!$B$4),IF(DATOS!$G6856="EX",1,IF(DATOS!$G6856="OR",--(COUNTIFS(nNIA,DATOS!$A6856,nCURSO,DATOS!$D6856,nESPEC,DATOS!$E6856,nASIG,DATOS!$I6856,nEVAL,"EX")=0),0))))</f>
      </c>
      <c r="H6856">
        <f>IF(DATOS!$G6856&lt;&gt;"EX",0,--(COUNTIFS(nNIA,DATOS!$A6856,nCURSO,DATOS!$D6856,nESPEC,DATOS!$E6856,nASIG,DATOS!$I6856,nEVAL,"OR")=0))</f>
      </c>
      <c r="I6856">
        <f>IF(DATOS!$I6856="","",IFERROR(VLOOKUP(DATOS!$I6856,CONFIG_ASIGNATURAS!$B$2:$J$91,9,FALSE()),""))</f>
      </c>
    </row>
    <row r="6857">
      <c r="F6857">
        <f>IF(DATOS!$A6857="","",DATOS!$A6857&amp;"|"&amp;DATOS!$D6857&amp;"|"&amp;DATOS!$E6857&amp;"|"&amp;DATOS!$I6857)</f>
      </c>
      <c r="G6857">
        <f>IF(DATOS!$A6857="",0,IF(CONFIG_METADATA!$B$4&lt;&gt;"OR+EX",--(DATOS!$G6857=CONFIG_METADATA!$B$4),IF(DATOS!$G6857="EX",1,IF(DATOS!$G6857="OR",--(COUNTIFS(nNIA,DATOS!$A6857,nCURSO,DATOS!$D6857,nESPEC,DATOS!$E6857,nASIG,DATOS!$I6857,nEVAL,"EX")=0),0))))</f>
      </c>
      <c r="H6857">
        <f>IF(DATOS!$G6857&lt;&gt;"EX",0,--(COUNTIFS(nNIA,DATOS!$A6857,nCURSO,DATOS!$D6857,nESPEC,DATOS!$E6857,nASIG,DATOS!$I6857,nEVAL,"OR")=0))</f>
      </c>
      <c r="I6857">
        <f>IF(DATOS!$I6857="","",IFERROR(VLOOKUP(DATOS!$I6857,CONFIG_ASIGNATURAS!$B$2:$J$91,9,FALSE()),""))</f>
      </c>
    </row>
    <row r="6858">
      <c r="F6858">
        <f>IF(DATOS!$A6858="","",DATOS!$A6858&amp;"|"&amp;DATOS!$D6858&amp;"|"&amp;DATOS!$E6858&amp;"|"&amp;DATOS!$I6858)</f>
      </c>
      <c r="G6858">
        <f>IF(DATOS!$A6858="",0,IF(CONFIG_METADATA!$B$4&lt;&gt;"OR+EX",--(DATOS!$G6858=CONFIG_METADATA!$B$4),IF(DATOS!$G6858="EX",1,IF(DATOS!$G6858="OR",--(COUNTIFS(nNIA,DATOS!$A6858,nCURSO,DATOS!$D6858,nESPEC,DATOS!$E6858,nASIG,DATOS!$I6858,nEVAL,"EX")=0),0))))</f>
      </c>
      <c r="H6858">
        <f>IF(DATOS!$G6858&lt;&gt;"EX",0,--(COUNTIFS(nNIA,DATOS!$A6858,nCURSO,DATOS!$D6858,nESPEC,DATOS!$E6858,nASIG,DATOS!$I6858,nEVAL,"OR")=0))</f>
      </c>
      <c r="I6858">
        <f>IF(DATOS!$I6858="","",IFERROR(VLOOKUP(DATOS!$I6858,CONFIG_ASIGNATURAS!$B$2:$J$91,9,FALSE()),""))</f>
      </c>
    </row>
    <row r="6859">
      <c r="F6859">
        <f>IF(DATOS!$A6859="","",DATOS!$A6859&amp;"|"&amp;DATOS!$D6859&amp;"|"&amp;DATOS!$E6859&amp;"|"&amp;DATOS!$I6859)</f>
      </c>
      <c r="G6859">
        <f>IF(DATOS!$A6859="",0,IF(CONFIG_METADATA!$B$4&lt;&gt;"OR+EX",--(DATOS!$G6859=CONFIG_METADATA!$B$4),IF(DATOS!$G6859="EX",1,IF(DATOS!$G6859="OR",--(COUNTIFS(nNIA,DATOS!$A6859,nCURSO,DATOS!$D6859,nESPEC,DATOS!$E6859,nASIG,DATOS!$I6859,nEVAL,"EX")=0),0))))</f>
      </c>
      <c r="H6859">
        <f>IF(DATOS!$G6859&lt;&gt;"EX",0,--(COUNTIFS(nNIA,DATOS!$A6859,nCURSO,DATOS!$D6859,nESPEC,DATOS!$E6859,nASIG,DATOS!$I6859,nEVAL,"OR")=0))</f>
      </c>
      <c r="I6859">
        <f>IF(DATOS!$I6859="","",IFERROR(VLOOKUP(DATOS!$I6859,CONFIG_ASIGNATURAS!$B$2:$J$91,9,FALSE()),""))</f>
      </c>
    </row>
    <row r="6860">
      <c r="F6860">
        <f>IF(DATOS!$A6860="","",DATOS!$A6860&amp;"|"&amp;DATOS!$D6860&amp;"|"&amp;DATOS!$E6860&amp;"|"&amp;DATOS!$I6860)</f>
      </c>
      <c r="G6860">
        <f>IF(DATOS!$A6860="",0,IF(CONFIG_METADATA!$B$4&lt;&gt;"OR+EX",--(DATOS!$G6860=CONFIG_METADATA!$B$4),IF(DATOS!$G6860="EX",1,IF(DATOS!$G6860="OR",--(COUNTIFS(nNIA,DATOS!$A6860,nCURSO,DATOS!$D6860,nESPEC,DATOS!$E6860,nASIG,DATOS!$I6860,nEVAL,"EX")=0),0))))</f>
      </c>
      <c r="H6860">
        <f>IF(DATOS!$G6860&lt;&gt;"EX",0,--(COUNTIFS(nNIA,DATOS!$A6860,nCURSO,DATOS!$D6860,nESPEC,DATOS!$E6860,nASIG,DATOS!$I6860,nEVAL,"OR")=0))</f>
      </c>
      <c r="I6860">
        <f>IF(DATOS!$I6860="","",IFERROR(VLOOKUP(DATOS!$I6860,CONFIG_ASIGNATURAS!$B$2:$J$91,9,FALSE()),""))</f>
      </c>
    </row>
    <row r="6861">
      <c r="F6861">
        <f>IF(DATOS!$A6861="","",DATOS!$A6861&amp;"|"&amp;DATOS!$D6861&amp;"|"&amp;DATOS!$E6861&amp;"|"&amp;DATOS!$I6861)</f>
      </c>
      <c r="G6861">
        <f>IF(DATOS!$A6861="",0,IF(CONFIG_METADATA!$B$4&lt;&gt;"OR+EX",--(DATOS!$G6861=CONFIG_METADATA!$B$4),IF(DATOS!$G6861="EX",1,IF(DATOS!$G6861="OR",--(COUNTIFS(nNIA,DATOS!$A6861,nCURSO,DATOS!$D6861,nESPEC,DATOS!$E6861,nASIG,DATOS!$I6861,nEVAL,"EX")=0),0))))</f>
      </c>
      <c r="H6861">
        <f>IF(DATOS!$G6861&lt;&gt;"EX",0,--(COUNTIFS(nNIA,DATOS!$A6861,nCURSO,DATOS!$D6861,nESPEC,DATOS!$E6861,nASIG,DATOS!$I6861,nEVAL,"OR")=0))</f>
      </c>
      <c r="I6861">
        <f>IF(DATOS!$I6861="","",IFERROR(VLOOKUP(DATOS!$I6861,CONFIG_ASIGNATURAS!$B$2:$J$91,9,FALSE()),""))</f>
      </c>
    </row>
    <row r="6862">
      <c r="F6862">
        <f>IF(DATOS!$A6862="","",DATOS!$A6862&amp;"|"&amp;DATOS!$D6862&amp;"|"&amp;DATOS!$E6862&amp;"|"&amp;DATOS!$I6862)</f>
      </c>
      <c r="G6862">
        <f>IF(DATOS!$A6862="",0,IF(CONFIG_METADATA!$B$4&lt;&gt;"OR+EX",--(DATOS!$G6862=CONFIG_METADATA!$B$4),IF(DATOS!$G6862="EX",1,IF(DATOS!$G6862="OR",--(COUNTIFS(nNIA,DATOS!$A6862,nCURSO,DATOS!$D6862,nESPEC,DATOS!$E6862,nASIG,DATOS!$I6862,nEVAL,"EX")=0),0))))</f>
      </c>
      <c r="H6862">
        <f>IF(DATOS!$G6862&lt;&gt;"EX",0,--(COUNTIFS(nNIA,DATOS!$A6862,nCURSO,DATOS!$D6862,nESPEC,DATOS!$E6862,nASIG,DATOS!$I6862,nEVAL,"OR")=0))</f>
      </c>
      <c r="I6862">
        <f>IF(DATOS!$I6862="","",IFERROR(VLOOKUP(DATOS!$I6862,CONFIG_ASIGNATURAS!$B$2:$J$91,9,FALSE()),""))</f>
      </c>
    </row>
    <row r="6863">
      <c r="F6863">
        <f>IF(DATOS!$A6863="","",DATOS!$A6863&amp;"|"&amp;DATOS!$D6863&amp;"|"&amp;DATOS!$E6863&amp;"|"&amp;DATOS!$I6863)</f>
      </c>
      <c r="G6863">
        <f>IF(DATOS!$A6863="",0,IF(CONFIG_METADATA!$B$4&lt;&gt;"OR+EX",--(DATOS!$G6863=CONFIG_METADATA!$B$4),IF(DATOS!$G6863="EX",1,IF(DATOS!$G6863="OR",--(COUNTIFS(nNIA,DATOS!$A6863,nCURSO,DATOS!$D6863,nESPEC,DATOS!$E6863,nASIG,DATOS!$I6863,nEVAL,"EX")=0),0))))</f>
      </c>
      <c r="H6863">
        <f>IF(DATOS!$G6863&lt;&gt;"EX",0,--(COUNTIFS(nNIA,DATOS!$A6863,nCURSO,DATOS!$D6863,nESPEC,DATOS!$E6863,nASIG,DATOS!$I6863,nEVAL,"OR")=0))</f>
      </c>
      <c r="I6863">
        <f>IF(DATOS!$I6863="","",IFERROR(VLOOKUP(DATOS!$I6863,CONFIG_ASIGNATURAS!$B$2:$J$91,9,FALSE()),""))</f>
      </c>
    </row>
    <row r="6864">
      <c r="F6864">
        <f>IF(DATOS!$A6864="","",DATOS!$A6864&amp;"|"&amp;DATOS!$D6864&amp;"|"&amp;DATOS!$E6864&amp;"|"&amp;DATOS!$I6864)</f>
      </c>
      <c r="G6864">
        <f>IF(DATOS!$A6864="",0,IF(CONFIG_METADATA!$B$4&lt;&gt;"OR+EX",--(DATOS!$G6864=CONFIG_METADATA!$B$4),IF(DATOS!$G6864="EX",1,IF(DATOS!$G6864="OR",--(COUNTIFS(nNIA,DATOS!$A6864,nCURSO,DATOS!$D6864,nESPEC,DATOS!$E6864,nASIG,DATOS!$I6864,nEVAL,"EX")=0),0))))</f>
      </c>
      <c r="H6864">
        <f>IF(DATOS!$G6864&lt;&gt;"EX",0,--(COUNTIFS(nNIA,DATOS!$A6864,nCURSO,DATOS!$D6864,nESPEC,DATOS!$E6864,nASIG,DATOS!$I6864,nEVAL,"OR")=0))</f>
      </c>
      <c r="I6864">
        <f>IF(DATOS!$I6864="","",IFERROR(VLOOKUP(DATOS!$I6864,CONFIG_ASIGNATURAS!$B$2:$J$91,9,FALSE()),""))</f>
      </c>
    </row>
    <row r="6865">
      <c r="F6865">
        <f>IF(DATOS!$A6865="","",DATOS!$A6865&amp;"|"&amp;DATOS!$D6865&amp;"|"&amp;DATOS!$E6865&amp;"|"&amp;DATOS!$I6865)</f>
      </c>
      <c r="G6865">
        <f>IF(DATOS!$A6865="",0,IF(CONFIG_METADATA!$B$4&lt;&gt;"OR+EX",--(DATOS!$G6865=CONFIG_METADATA!$B$4),IF(DATOS!$G6865="EX",1,IF(DATOS!$G6865="OR",--(COUNTIFS(nNIA,DATOS!$A6865,nCURSO,DATOS!$D6865,nESPEC,DATOS!$E6865,nASIG,DATOS!$I6865,nEVAL,"EX")=0),0))))</f>
      </c>
      <c r="H6865">
        <f>IF(DATOS!$G6865&lt;&gt;"EX",0,--(COUNTIFS(nNIA,DATOS!$A6865,nCURSO,DATOS!$D6865,nESPEC,DATOS!$E6865,nASIG,DATOS!$I6865,nEVAL,"OR")=0))</f>
      </c>
      <c r="I6865">
        <f>IF(DATOS!$I6865="","",IFERROR(VLOOKUP(DATOS!$I6865,CONFIG_ASIGNATURAS!$B$2:$J$91,9,FALSE()),""))</f>
      </c>
    </row>
    <row r="6866">
      <c r="F6866">
        <f>IF(DATOS!$A6866="","",DATOS!$A6866&amp;"|"&amp;DATOS!$D6866&amp;"|"&amp;DATOS!$E6866&amp;"|"&amp;DATOS!$I6866)</f>
      </c>
      <c r="G6866">
        <f>IF(DATOS!$A6866="",0,IF(CONFIG_METADATA!$B$4&lt;&gt;"OR+EX",--(DATOS!$G6866=CONFIG_METADATA!$B$4),IF(DATOS!$G6866="EX",1,IF(DATOS!$G6866="OR",--(COUNTIFS(nNIA,DATOS!$A6866,nCURSO,DATOS!$D6866,nESPEC,DATOS!$E6866,nASIG,DATOS!$I6866,nEVAL,"EX")=0),0))))</f>
      </c>
      <c r="H6866">
        <f>IF(DATOS!$G6866&lt;&gt;"EX",0,--(COUNTIFS(nNIA,DATOS!$A6866,nCURSO,DATOS!$D6866,nESPEC,DATOS!$E6866,nASIG,DATOS!$I6866,nEVAL,"OR")=0))</f>
      </c>
      <c r="I6866">
        <f>IF(DATOS!$I6866="","",IFERROR(VLOOKUP(DATOS!$I6866,CONFIG_ASIGNATURAS!$B$2:$J$91,9,FALSE()),""))</f>
      </c>
    </row>
    <row r="6867">
      <c r="F6867">
        <f>IF(DATOS!$A6867="","",DATOS!$A6867&amp;"|"&amp;DATOS!$D6867&amp;"|"&amp;DATOS!$E6867&amp;"|"&amp;DATOS!$I6867)</f>
      </c>
      <c r="G6867">
        <f>IF(DATOS!$A6867="",0,IF(CONFIG_METADATA!$B$4&lt;&gt;"OR+EX",--(DATOS!$G6867=CONFIG_METADATA!$B$4),IF(DATOS!$G6867="EX",1,IF(DATOS!$G6867="OR",--(COUNTIFS(nNIA,DATOS!$A6867,nCURSO,DATOS!$D6867,nESPEC,DATOS!$E6867,nASIG,DATOS!$I6867,nEVAL,"EX")=0),0))))</f>
      </c>
      <c r="H6867">
        <f>IF(DATOS!$G6867&lt;&gt;"EX",0,--(COUNTIFS(nNIA,DATOS!$A6867,nCURSO,DATOS!$D6867,nESPEC,DATOS!$E6867,nASIG,DATOS!$I6867,nEVAL,"OR")=0))</f>
      </c>
      <c r="I6867">
        <f>IF(DATOS!$I6867="","",IFERROR(VLOOKUP(DATOS!$I6867,CONFIG_ASIGNATURAS!$B$2:$J$91,9,FALSE()),""))</f>
      </c>
    </row>
    <row r="6868">
      <c r="F6868">
        <f>IF(DATOS!$A6868="","",DATOS!$A6868&amp;"|"&amp;DATOS!$D6868&amp;"|"&amp;DATOS!$E6868&amp;"|"&amp;DATOS!$I6868)</f>
      </c>
      <c r="G6868">
        <f>IF(DATOS!$A6868="",0,IF(CONFIG_METADATA!$B$4&lt;&gt;"OR+EX",--(DATOS!$G6868=CONFIG_METADATA!$B$4),IF(DATOS!$G6868="EX",1,IF(DATOS!$G6868="OR",--(COUNTIFS(nNIA,DATOS!$A6868,nCURSO,DATOS!$D6868,nESPEC,DATOS!$E6868,nASIG,DATOS!$I6868,nEVAL,"EX")=0),0))))</f>
      </c>
      <c r="H6868">
        <f>IF(DATOS!$G6868&lt;&gt;"EX",0,--(COUNTIFS(nNIA,DATOS!$A6868,nCURSO,DATOS!$D6868,nESPEC,DATOS!$E6868,nASIG,DATOS!$I6868,nEVAL,"OR")=0))</f>
      </c>
      <c r="I6868">
        <f>IF(DATOS!$I6868="","",IFERROR(VLOOKUP(DATOS!$I6868,CONFIG_ASIGNATURAS!$B$2:$J$91,9,FALSE()),""))</f>
      </c>
    </row>
    <row r="6869">
      <c r="F6869">
        <f>IF(DATOS!$A6869="","",DATOS!$A6869&amp;"|"&amp;DATOS!$D6869&amp;"|"&amp;DATOS!$E6869&amp;"|"&amp;DATOS!$I6869)</f>
      </c>
      <c r="G6869">
        <f>IF(DATOS!$A6869="",0,IF(CONFIG_METADATA!$B$4&lt;&gt;"OR+EX",--(DATOS!$G6869=CONFIG_METADATA!$B$4),IF(DATOS!$G6869="EX",1,IF(DATOS!$G6869="OR",--(COUNTIFS(nNIA,DATOS!$A6869,nCURSO,DATOS!$D6869,nESPEC,DATOS!$E6869,nASIG,DATOS!$I6869,nEVAL,"EX")=0),0))))</f>
      </c>
      <c r="H6869">
        <f>IF(DATOS!$G6869&lt;&gt;"EX",0,--(COUNTIFS(nNIA,DATOS!$A6869,nCURSO,DATOS!$D6869,nESPEC,DATOS!$E6869,nASIG,DATOS!$I6869,nEVAL,"OR")=0))</f>
      </c>
      <c r="I6869">
        <f>IF(DATOS!$I6869="","",IFERROR(VLOOKUP(DATOS!$I6869,CONFIG_ASIGNATURAS!$B$2:$J$91,9,FALSE()),""))</f>
      </c>
    </row>
    <row r="6870">
      <c r="F6870">
        <f>IF(DATOS!$A6870="","",DATOS!$A6870&amp;"|"&amp;DATOS!$D6870&amp;"|"&amp;DATOS!$E6870&amp;"|"&amp;DATOS!$I6870)</f>
      </c>
      <c r="G6870">
        <f>IF(DATOS!$A6870="",0,IF(CONFIG_METADATA!$B$4&lt;&gt;"OR+EX",--(DATOS!$G6870=CONFIG_METADATA!$B$4),IF(DATOS!$G6870="EX",1,IF(DATOS!$G6870="OR",--(COUNTIFS(nNIA,DATOS!$A6870,nCURSO,DATOS!$D6870,nESPEC,DATOS!$E6870,nASIG,DATOS!$I6870,nEVAL,"EX")=0),0))))</f>
      </c>
      <c r="H6870">
        <f>IF(DATOS!$G6870&lt;&gt;"EX",0,--(COUNTIFS(nNIA,DATOS!$A6870,nCURSO,DATOS!$D6870,nESPEC,DATOS!$E6870,nASIG,DATOS!$I6870,nEVAL,"OR")=0))</f>
      </c>
      <c r="I6870">
        <f>IF(DATOS!$I6870="","",IFERROR(VLOOKUP(DATOS!$I6870,CONFIG_ASIGNATURAS!$B$2:$J$91,9,FALSE()),""))</f>
      </c>
    </row>
    <row r="6871">
      <c r="F6871">
        <f>IF(DATOS!$A6871="","",DATOS!$A6871&amp;"|"&amp;DATOS!$D6871&amp;"|"&amp;DATOS!$E6871&amp;"|"&amp;DATOS!$I6871)</f>
      </c>
      <c r="G6871">
        <f>IF(DATOS!$A6871="",0,IF(CONFIG_METADATA!$B$4&lt;&gt;"OR+EX",--(DATOS!$G6871=CONFIG_METADATA!$B$4),IF(DATOS!$G6871="EX",1,IF(DATOS!$G6871="OR",--(COUNTIFS(nNIA,DATOS!$A6871,nCURSO,DATOS!$D6871,nESPEC,DATOS!$E6871,nASIG,DATOS!$I6871,nEVAL,"EX")=0),0))))</f>
      </c>
      <c r="H6871">
        <f>IF(DATOS!$G6871&lt;&gt;"EX",0,--(COUNTIFS(nNIA,DATOS!$A6871,nCURSO,DATOS!$D6871,nESPEC,DATOS!$E6871,nASIG,DATOS!$I6871,nEVAL,"OR")=0))</f>
      </c>
      <c r="I6871">
        <f>IF(DATOS!$I6871="","",IFERROR(VLOOKUP(DATOS!$I6871,CONFIG_ASIGNATURAS!$B$2:$J$91,9,FALSE()),""))</f>
      </c>
    </row>
    <row r="6872">
      <c r="F6872">
        <f>IF(DATOS!$A6872="","",DATOS!$A6872&amp;"|"&amp;DATOS!$D6872&amp;"|"&amp;DATOS!$E6872&amp;"|"&amp;DATOS!$I6872)</f>
      </c>
      <c r="G6872">
        <f>IF(DATOS!$A6872="",0,IF(CONFIG_METADATA!$B$4&lt;&gt;"OR+EX",--(DATOS!$G6872=CONFIG_METADATA!$B$4),IF(DATOS!$G6872="EX",1,IF(DATOS!$G6872="OR",--(COUNTIFS(nNIA,DATOS!$A6872,nCURSO,DATOS!$D6872,nESPEC,DATOS!$E6872,nASIG,DATOS!$I6872,nEVAL,"EX")=0),0))))</f>
      </c>
      <c r="H6872">
        <f>IF(DATOS!$G6872&lt;&gt;"EX",0,--(COUNTIFS(nNIA,DATOS!$A6872,nCURSO,DATOS!$D6872,nESPEC,DATOS!$E6872,nASIG,DATOS!$I6872,nEVAL,"OR")=0))</f>
      </c>
      <c r="I6872">
        <f>IF(DATOS!$I6872="","",IFERROR(VLOOKUP(DATOS!$I6872,CONFIG_ASIGNATURAS!$B$2:$J$91,9,FALSE()),""))</f>
      </c>
    </row>
    <row r="6873">
      <c r="F6873">
        <f>IF(DATOS!$A6873="","",DATOS!$A6873&amp;"|"&amp;DATOS!$D6873&amp;"|"&amp;DATOS!$E6873&amp;"|"&amp;DATOS!$I6873)</f>
      </c>
      <c r="G6873">
        <f>IF(DATOS!$A6873="",0,IF(CONFIG_METADATA!$B$4&lt;&gt;"OR+EX",--(DATOS!$G6873=CONFIG_METADATA!$B$4),IF(DATOS!$G6873="EX",1,IF(DATOS!$G6873="OR",--(COUNTIFS(nNIA,DATOS!$A6873,nCURSO,DATOS!$D6873,nESPEC,DATOS!$E6873,nASIG,DATOS!$I6873,nEVAL,"EX")=0),0))))</f>
      </c>
      <c r="H6873">
        <f>IF(DATOS!$G6873&lt;&gt;"EX",0,--(COUNTIFS(nNIA,DATOS!$A6873,nCURSO,DATOS!$D6873,nESPEC,DATOS!$E6873,nASIG,DATOS!$I6873,nEVAL,"OR")=0))</f>
      </c>
      <c r="I6873">
        <f>IF(DATOS!$I6873="","",IFERROR(VLOOKUP(DATOS!$I6873,CONFIG_ASIGNATURAS!$B$2:$J$91,9,FALSE()),""))</f>
      </c>
    </row>
    <row r="6874">
      <c r="F6874">
        <f>IF(DATOS!$A6874="","",DATOS!$A6874&amp;"|"&amp;DATOS!$D6874&amp;"|"&amp;DATOS!$E6874&amp;"|"&amp;DATOS!$I6874)</f>
      </c>
      <c r="G6874">
        <f>IF(DATOS!$A6874="",0,IF(CONFIG_METADATA!$B$4&lt;&gt;"OR+EX",--(DATOS!$G6874=CONFIG_METADATA!$B$4),IF(DATOS!$G6874="EX",1,IF(DATOS!$G6874="OR",--(COUNTIFS(nNIA,DATOS!$A6874,nCURSO,DATOS!$D6874,nESPEC,DATOS!$E6874,nASIG,DATOS!$I6874,nEVAL,"EX")=0),0))))</f>
      </c>
      <c r="H6874">
        <f>IF(DATOS!$G6874&lt;&gt;"EX",0,--(COUNTIFS(nNIA,DATOS!$A6874,nCURSO,DATOS!$D6874,nESPEC,DATOS!$E6874,nASIG,DATOS!$I6874,nEVAL,"OR")=0))</f>
      </c>
      <c r="I6874">
        <f>IF(DATOS!$I6874="","",IFERROR(VLOOKUP(DATOS!$I6874,CONFIG_ASIGNATURAS!$B$2:$J$91,9,FALSE()),""))</f>
      </c>
    </row>
    <row r="6875">
      <c r="F6875">
        <f>IF(DATOS!$A6875="","",DATOS!$A6875&amp;"|"&amp;DATOS!$D6875&amp;"|"&amp;DATOS!$E6875&amp;"|"&amp;DATOS!$I6875)</f>
      </c>
      <c r="G6875">
        <f>IF(DATOS!$A6875="",0,IF(CONFIG_METADATA!$B$4&lt;&gt;"OR+EX",--(DATOS!$G6875=CONFIG_METADATA!$B$4),IF(DATOS!$G6875="EX",1,IF(DATOS!$G6875="OR",--(COUNTIFS(nNIA,DATOS!$A6875,nCURSO,DATOS!$D6875,nESPEC,DATOS!$E6875,nASIG,DATOS!$I6875,nEVAL,"EX")=0),0))))</f>
      </c>
      <c r="H6875">
        <f>IF(DATOS!$G6875&lt;&gt;"EX",0,--(COUNTIFS(nNIA,DATOS!$A6875,nCURSO,DATOS!$D6875,nESPEC,DATOS!$E6875,nASIG,DATOS!$I6875,nEVAL,"OR")=0))</f>
      </c>
      <c r="I6875">
        <f>IF(DATOS!$I6875="","",IFERROR(VLOOKUP(DATOS!$I6875,CONFIG_ASIGNATURAS!$B$2:$J$91,9,FALSE()),""))</f>
      </c>
    </row>
    <row r="6876">
      <c r="F6876">
        <f>IF(DATOS!$A6876="","",DATOS!$A6876&amp;"|"&amp;DATOS!$D6876&amp;"|"&amp;DATOS!$E6876&amp;"|"&amp;DATOS!$I6876)</f>
      </c>
      <c r="G6876">
        <f>IF(DATOS!$A6876="",0,IF(CONFIG_METADATA!$B$4&lt;&gt;"OR+EX",--(DATOS!$G6876=CONFIG_METADATA!$B$4),IF(DATOS!$G6876="EX",1,IF(DATOS!$G6876="OR",--(COUNTIFS(nNIA,DATOS!$A6876,nCURSO,DATOS!$D6876,nESPEC,DATOS!$E6876,nASIG,DATOS!$I6876,nEVAL,"EX")=0),0))))</f>
      </c>
      <c r="H6876">
        <f>IF(DATOS!$G6876&lt;&gt;"EX",0,--(COUNTIFS(nNIA,DATOS!$A6876,nCURSO,DATOS!$D6876,nESPEC,DATOS!$E6876,nASIG,DATOS!$I6876,nEVAL,"OR")=0))</f>
      </c>
      <c r="I6876">
        <f>IF(DATOS!$I6876="","",IFERROR(VLOOKUP(DATOS!$I6876,CONFIG_ASIGNATURAS!$B$2:$J$91,9,FALSE()),""))</f>
      </c>
    </row>
    <row r="6877">
      <c r="F6877">
        <f>IF(DATOS!$A6877="","",DATOS!$A6877&amp;"|"&amp;DATOS!$D6877&amp;"|"&amp;DATOS!$E6877&amp;"|"&amp;DATOS!$I6877)</f>
      </c>
      <c r="G6877">
        <f>IF(DATOS!$A6877="",0,IF(CONFIG_METADATA!$B$4&lt;&gt;"OR+EX",--(DATOS!$G6877=CONFIG_METADATA!$B$4),IF(DATOS!$G6877="EX",1,IF(DATOS!$G6877="OR",--(COUNTIFS(nNIA,DATOS!$A6877,nCURSO,DATOS!$D6877,nESPEC,DATOS!$E6877,nASIG,DATOS!$I6877,nEVAL,"EX")=0),0))))</f>
      </c>
      <c r="H6877">
        <f>IF(DATOS!$G6877&lt;&gt;"EX",0,--(COUNTIFS(nNIA,DATOS!$A6877,nCURSO,DATOS!$D6877,nESPEC,DATOS!$E6877,nASIG,DATOS!$I6877,nEVAL,"OR")=0))</f>
      </c>
      <c r="I6877">
        <f>IF(DATOS!$I6877="","",IFERROR(VLOOKUP(DATOS!$I6877,CONFIG_ASIGNATURAS!$B$2:$J$91,9,FALSE()),""))</f>
      </c>
    </row>
    <row r="6878">
      <c r="F6878">
        <f>IF(DATOS!$A6878="","",DATOS!$A6878&amp;"|"&amp;DATOS!$D6878&amp;"|"&amp;DATOS!$E6878&amp;"|"&amp;DATOS!$I6878)</f>
      </c>
      <c r="G6878">
        <f>IF(DATOS!$A6878="",0,IF(CONFIG_METADATA!$B$4&lt;&gt;"OR+EX",--(DATOS!$G6878=CONFIG_METADATA!$B$4),IF(DATOS!$G6878="EX",1,IF(DATOS!$G6878="OR",--(COUNTIFS(nNIA,DATOS!$A6878,nCURSO,DATOS!$D6878,nESPEC,DATOS!$E6878,nASIG,DATOS!$I6878,nEVAL,"EX")=0),0))))</f>
      </c>
      <c r="H6878">
        <f>IF(DATOS!$G6878&lt;&gt;"EX",0,--(COUNTIFS(nNIA,DATOS!$A6878,nCURSO,DATOS!$D6878,nESPEC,DATOS!$E6878,nASIG,DATOS!$I6878,nEVAL,"OR")=0))</f>
      </c>
      <c r="I6878">
        <f>IF(DATOS!$I6878="","",IFERROR(VLOOKUP(DATOS!$I6878,CONFIG_ASIGNATURAS!$B$2:$J$91,9,FALSE()),""))</f>
      </c>
    </row>
    <row r="6879">
      <c r="F6879">
        <f>IF(DATOS!$A6879="","",DATOS!$A6879&amp;"|"&amp;DATOS!$D6879&amp;"|"&amp;DATOS!$E6879&amp;"|"&amp;DATOS!$I6879)</f>
      </c>
      <c r="G6879">
        <f>IF(DATOS!$A6879="",0,IF(CONFIG_METADATA!$B$4&lt;&gt;"OR+EX",--(DATOS!$G6879=CONFIG_METADATA!$B$4),IF(DATOS!$G6879="EX",1,IF(DATOS!$G6879="OR",--(COUNTIFS(nNIA,DATOS!$A6879,nCURSO,DATOS!$D6879,nESPEC,DATOS!$E6879,nASIG,DATOS!$I6879,nEVAL,"EX")=0),0))))</f>
      </c>
      <c r="H6879">
        <f>IF(DATOS!$G6879&lt;&gt;"EX",0,--(COUNTIFS(nNIA,DATOS!$A6879,nCURSO,DATOS!$D6879,nESPEC,DATOS!$E6879,nASIG,DATOS!$I6879,nEVAL,"OR")=0))</f>
      </c>
      <c r="I6879">
        <f>IF(DATOS!$I6879="","",IFERROR(VLOOKUP(DATOS!$I6879,CONFIG_ASIGNATURAS!$B$2:$J$91,9,FALSE()),""))</f>
      </c>
    </row>
    <row r="6880">
      <c r="F6880">
        <f>IF(DATOS!$A6880="","",DATOS!$A6880&amp;"|"&amp;DATOS!$D6880&amp;"|"&amp;DATOS!$E6880&amp;"|"&amp;DATOS!$I6880)</f>
      </c>
      <c r="G6880">
        <f>IF(DATOS!$A6880="",0,IF(CONFIG_METADATA!$B$4&lt;&gt;"OR+EX",--(DATOS!$G6880=CONFIG_METADATA!$B$4),IF(DATOS!$G6880="EX",1,IF(DATOS!$G6880="OR",--(COUNTIFS(nNIA,DATOS!$A6880,nCURSO,DATOS!$D6880,nESPEC,DATOS!$E6880,nASIG,DATOS!$I6880,nEVAL,"EX")=0),0))))</f>
      </c>
      <c r="H6880">
        <f>IF(DATOS!$G6880&lt;&gt;"EX",0,--(COUNTIFS(nNIA,DATOS!$A6880,nCURSO,DATOS!$D6880,nESPEC,DATOS!$E6880,nASIG,DATOS!$I6880,nEVAL,"OR")=0))</f>
      </c>
      <c r="I6880">
        <f>IF(DATOS!$I6880="","",IFERROR(VLOOKUP(DATOS!$I6880,CONFIG_ASIGNATURAS!$B$2:$J$91,9,FALSE()),""))</f>
      </c>
    </row>
    <row r="6881">
      <c r="F6881">
        <f>IF(DATOS!$A6881="","",DATOS!$A6881&amp;"|"&amp;DATOS!$D6881&amp;"|"&amp;DATOS!$E6881&amp;"|"&amp;DATOS!$I6881)</f>
      </c>
      <c r="G6881">
        <f>IF(DATOS!$A6881="",0,IF(CONFIG_METADATA!$B$4&lt;&gt;"OR+EX",--(DATOS!$G6881=CONFIG_METADATA!$B$4),IF(DATOS!$G6881="EX",1,IF(DATOS!$G6881="OR",--(COUNTIFS(nNIA,DATOS!$A6881,nCURSO,DATOS!$D6881,nESPEC,DATOS!$E6881,nASIG,DATOS!$I6881,nEVAL,"EX")=0),0))))</f>
      </c>
      <c r="H6881">
        <f>IF(DATOS!$G6881&lt;&gt;"EX",0,--(COUNTIFS(nNIA,DATOS!$A6881,nCURSO,DATOS!$D6881,nESPEC,DATOS!$E6881,nASIG,DATOS!$I6881,nEVAL,"OR")=0))</f>
      </c>
      <c r="I6881">
        <f>IF(DATOS!$I6881="","",IFERROR(VLOOKUP(DATOS!$I6881,CONFIG_ASIGNATURAS!$B$2:$J$91,9,FALSE()),""))</f>
      </c>
    </row>
    <row r="6882">
      <c r="F6882">
        <f>IF(DATOS!$A6882="","",DATOS!$A6882&amp;"|"&amp;DATOS!$D6882&amp;"|"&amp;DATOS!$E6882&amp;"|"&amp;DATOS!$I6882)</f>
      </c>
      <c r="G6882">
        <f>IF(DATOS!$A6882="",0,IF(CONFIG_METADATA!$B$4&lt;&gt;"OR+EX",--(DATOS!$G6882=CONFIG_METADATA!$B$4),IF(DATOS!$G6882="EX",1,IF(DATOS!$G6882="OR",--(COUNTIFS(nNIA,DATOS!$A6882,nCURSO,DATOS!$D6882,nESPEC,DATOS!$E6882,nASIG,DATOS!$I6882,nEVAL,"EX")=0),0))))</f>
      </c>
      <c r="H6882">
        <f>IF(DATOS!$G6882&lt;&gt;"EX",0,--(COUNTIFS(nNIA,DATOS!$A6882,nCURSO,DATOS!$D6882,nESPEC,DATOS!$E6882,nASIG,DATOS!$I6882,nEVAL,"OR")=0))</f>
      </c>
      <c r="I6882">
        <f>IF(DATOS!$I6882="","",IFERROR(VLOOKUP(DATOS!$I6882,CONFIG_ASIGNATURAS!$B$2:$J$91,9,FALSE()),""))</f>
      </c>
    </row>
    <row r="6883">
      <c r="F6883">
        <f>IF(DATOS!$A6883="","",DATOS!$A6883&amp;"|"&amp;DATOS!$D6883&amp;"|"&amp;DATOS!$E6883&amp;"|"&amp;DATOS!$I6883)</f>
      </c>
      <c r="G6883">
        <f>IF(DATOS!$A6883="",0,IF(CONFIG_METADATA!$B$4&lt;&gt;"OR+EX",--(DATOS!$G6883=CONFIG_METADATA!$B$4),IF(DATOS!$G6883="EX",1,IF(DATOS!$G6883="OR",--(COUNTIFS(nNIA,DATOS!$A6883,nCURSO,DATOS!$D6883,nESPEC,DATOS!$E6883,nASIG,DATOS!$I6883,nEVAL,"EX")=0),0))))</f>
      </c>
      <c r="H6883">
        <f>IF(DATOS!$G6883&lt;&gt;"EX",0,--(COUNTIFS(nNIA,DATOS!$A6883,nCURSO,DATOS!$D6883,nESPEC,DATOS!$E6883,nASIG,DATOS!$I6883,nEVAL,"OR")=0))</f>
      </c>
      <c r="I6883">
        <f>IF(DATOS!$I6883="","",IFERROR(VLOOKUP(DATOS!$I6883,CONFIG_ASIGNATURAS!$B$2:$J$91,9,FALSE()),""))</f>
      </c>
    </row>
    <row r="6884">
      <c r="F6884">
        <f>IF(DATOS!$A6884="","",DATOS!$A6884&amp;"|"&amp;DATOS!$D6884&amp;"|"&amp;DATOS!$E6884&amp;"|"&amp;DATOS!$I6884)</f>
      </c>
      <c r="G6884">
        <f>IF(DATOS!$A6884="",0,IF(CONFIG_METADATA!$B$4&lt;&gt;"OR+EX",--(DATOS!$G6884=CONFIG_METADATA!$B$4),IF(DATOS!$G6884="EX",1,IF(DATOS!$G6884="OR",--(COUNTIFS(nNIA,DATOS!$A6884,nCURSO,DATOS!$D6884,nESPEC,DATOS!$E6884,nASIG,DATOS!$I6884,nEVAL,"EX")=0),0))))</f>
      </c>
      <c r="H6884">
        <f>IF(DATOS!$G6884&lt;&gt;"EX",0,--(COUNTIFS(nNIA,DATOS!$A6884,nCURSO,DATOS!$D6884,nESPEC,DATOS!$E6884,nASIG,DATOS!$I6884,nEVAL,"OR")=0))</f>
      </c>
      <c r="I6884">
        <f>IF(DATOS!$I6884="","",IFERROR(VLOOKUP(DATOS!$I6884,CONFIG_ASIGNATURAS!$B$2:$J$91,9,FALSE()),""))</f>
      </c>
    </row>
    <row r="6885">
      <c r="F6885">
        <f>IF(DATOS!$A6885="","",DATOS!$A6885&amp;"|"&amp;DATOS!$D6885&amp;"|"&amp;DATOS!$E6885&amp;"|"&amp;DATOS!$I6885)</f>
      </c>
      <c r="G6885">
        <f>IF(DATOS!$A6885="",0,IF(CONFIG_METADATA!$B$4&lt;&gt;"OR+EX",--(DATOS!$G6885=CONFIG_METADATA!$B$4),IF(DATOS!$G6885="EX",1,IF(DATOS!$G6885="OR",--(COUNTIFS(nNIA,DATOS!$A6885,nCURSO,DATOS!$D6885,nESPEC,DATOS!$E6885,nASIG,DATOS!$I6885,nEVAL,"EX")=0),0))))</f>
      </c>
      <c r="H6885">
        <f>IF(DATOS!$G6885&lt;&gt;"EX",0,--(COUNTIFS(nNIA,DATOS!$A6885,nCURSO,DATOS!$D6885,nESPEC,DATOS!$E6885,nASIG,DATOS!$I6885,nEVAL,"OR")=0))</f>
      </c>
      <c r="I6885">
        <f>IF(DATOS!$I6885="","",IFERROR(VLOOKUP(DATOS!$I6885,CONFIG_ASIGNATURAS!$B$2:$J$91,9,FALSE()),""))</f>
      </c>
    </row>
    <row r="6886">
      <c r="F6886">
        <f>IF(DATOS!$A6886="","",DATOS!$A6886&amp;"|"&amp;DATOS!$D6886&amp;"|"&amp;DATOS!$E6886&amp;"|"&amp;DATOS!$I6886)</f>
      </c>
      <c r="G6886">
        <f>IF(DATOS!$A6886="",0,IF(CONFIG_METADATA!$B$4&lt;&gt;"OR+EX",--(DATOS!$G6886=CONFIG_METADATA!$B$4),IF(DATOS!$G6886="EX",1,IF(DATOS!$G6886="OR",--(COUNTIFS(nNIA,DATOS!$A6886,nCURSO,DATOS!$D6886,nESPEC,DATOS!$E6886,nASIG,DATOS!$I6886,nEVAL,"EX")=0),0))))</f>
      </c>
      <c r="H6886">
        <f>IF(DATOS!$G6886&lt;&gt;"EX",0,--(COUNTIFS(nNIA,DATOS!$A6886,nCURSO,DATOS!$D6886,nESPEC,DATOS!$E6886,nASIG,DATOS!$I6886,nEVAL,"OR")=0))</f>
      </c>
      <c r="I6886">
        <f>IF(DATOS!$I6886="","",IFERROR(VLOOKUP(DATOS!$I6886,CONFIG_ASIGNATURAS!$B$2:$J$91,9,FALSE()),""))</f>
      </c>
    </row>
    <row r="6887">
      <c r="F6887">
        <f>IF(DATOS!$A6887="","",DATOS!$A6887&amp;"|"&amp;DATOS!$D6887&amp;"|"&amp;DATOS!$E6887&amp;"|"&amp;DATOS!$I6887)</f>
      </c>
      <c r="G6887">
        <f>IF(DATOS!$A6887="",0,IF(CONFIG_METADATA!$B$4&lt;&gt;"OR+EX",--(DATOS!$G6887=CONFIG_METADATA!$B$4),IF(DATOS!$G6887="EX",1,IF(DATOS!$G6887="OR",--(COUNTIFS(nNIA,DATOS!$A6887,nCURSO,DATOS!$D6887,nESPEC,DATOS!$E6887,nASIG,DATOS!$I6887,nEVAL,"EX")=0),0))))</f>
      </c>
      <c r="H6887">
        <f>IF(DATOS!$G6887&lt;&gt;"EX",0,--(COUNTIFS(nNIA,DATOS!$A6887,nCURSO,DATOS!$D6887,nESPEC,DATOS!$E6887,nASIG,DATOS!$I6887,nEVAL,"OR")=0))</f>
      </c>
      <c r="I6887">
        <f>IF(DATOS!$I6887="","",IFERROR(VLOOKUP(DATOS!$I6887,CONFIG_ASIGNATURAS!$B$2:$J$91,9,FALSE()),""))</f>
      </c>
    </row>
    <row r="6888">
      <c r="F6888">
        <f>IF(DATOS!$A6888="","",DATOS!$A6888&amp;"|"&amp;DATOS!$D6888&amp;"|"&amp;DATOS!$E6888&amp;"|"&amp;DATOS!$I6888)</f>
      </c>
      <c r="G6888">
        <f>IF(DATOS!$A6888="",0,IF(CONFIG_METADATA!$B$4&lt;&gt;"OR+EX",--(DATOS!$G6888=CONFIG_METADATA!$B$4),IF(DATOS!$G6888="EX",1,IF(DATOS!$G6888="OR",--(COUNTIFS(nNIA,DATOS!$A6888,nCURSO,DATOS!$D6888,nESPEC,DATOS!$E6888,nASIG,DATOS!$I6888,nEVAL,"EX")=0),0))))</f>
      </c>
      <c r="H6888">
        <f>IF(DATOS!$G6888&lt;&gt;"EX",0,--(COUNTIFS(nNIA,DATOS!$A6888,nCURSO,DATOS!$D6888,nESPEC,DATOS!$E6888,nASIG,DATOS!$I6888,nEVAL,"OR")=0))</f>
      </c>
      <c r="I6888">
        <f>IF(DATOS!$I6888="","",IFERROR(VLOOKUP(DATOS!$I6888,CONFIG_ASIGNATURAS!$B$2:$J$91,9,FALSE()),""))</f>
      </c>
    </row>
    <row r="6889">
      <c r="F6889">
        <f>IF(DATOS!$A6889="","",DATOS!$A6889&amp;"|"&amp;DATOS!$D6889&amp;"|"&amp;DATOS!$E6889&amp;"|"&amp;DATOS!$I6889)</f>
      </c>
      <c r="G6889">
        <f>IF(DATOS!$A6889="",0,IF(CONFIG_METADATA!$B$4&lt;&gt;"OR+EX",--(DATOS!$G6889=CONFIG_METADATA!$B$4),IF(DATOS!$G6889="EX",1,IF(DATOS!$G6889="OR",--(COUNTIFS(nNIA,DATOS!$A6889,nCURSO,DATOS!$D6889,nESPEC,DATOS!$E6889,nASIG,DATOS!$I6889,nEVAL,"EX")=0),0))))</f>
      </c>
      <c r="H6889">
        <f>IF(DATOS!$G6889&lt;&gt;"EX",0,--(COUNTIFS(nNIA,DATOS!$A6889,nCURSO,DATOS!$D6889,nESPEC,DATOS!$E6889,nASIG,DATOS!$I6889,nEVAL,"OR")=0))</f>
      </c>
      <c r="I6889">
        <f>IF(DATOS!$I6889="","",IFERROR(VLOOKUP(DATOS!$I6889,CONFIG_ASIGNATURAS!$B$2:$J$91,9,FALSE()),""))</f>
      </c>
    </row>
    <row r="6890">
      <c r="F6890">
        <f>IF(DATOS!$A6890="","",DATOS!$A6890&amp;"|"&amp;DATOS!$D6890&amp;"|"&amp;DATOS!$E6890&amp;"|"&amp;DATOS!$I6890)</f>
      </c>
      <c r="G6890">
        <f>IF(DATOS!$A6890="",0,IF(CONFIG_METADATA!$B$4&lt;&gt;"OR+EX",--(DATOS!$G6890=CONFIG_METADATA!$B$4),IF(DATOS!$G6890="EX",1,IF(DATOS!$G6890="OR",--(COUNTIFS(nNIA,DATOS!$A6890,nCURSO,DATOS!$D6890,nESPEC,DATOS!$E6890,nASIG,DATOS!$I6890,nEVAL,"EX")=0),0))))</f>
      </c>
      <c r="H6890">
        <f>IF(DATOS!$G6890&lt;&gt;"EX",0,--(COUNTIFS(nNIA,DATOS!$A6890,nCURSO,DATOS!$D6890,nESPEC,DATOS!$E6890,nASIG,DATOS!$I6890,nEVAL,"OR")=0))</f>
      </c>
      <c r="I6890">
        <f>IF(DATOS!$I6890="","",IFERROR(VLOOKUP(DATOS!$I6890,CONFIG_ASIGNATURAS!$B$2:$J$91,9,FALSE()),""))</f>
      </c>
    </row>
    <row r="6891">
      <c r="F6891">
        <f>IF(DATOS!$A6891="","",DATOS!$A6891&amp;"|"&amp;DATOS!$D6891&amp;"|"&amp;DATOS!$E6891&amp;"|"&amp;DATOS!$I6891)</f>
      </c>
      <c r="G6891">
        <f>IF(DATOS!$A6891="",0,IF(CONFIG_METADATA!$B$4&lt;&gt;"OR+EX",--(DATOS!$G6891=CONFIG_METADATA!$B$4),IF(DATOS!$G6891="EX",1,IF(DATOS!$G6891="OR",--(COUNTIFS(nNIA,DATOS!$A6891,nCURSO,DATOS!$D6891,nESPEC,DATOS!$E6891,nASIG,DATOS!$I6891,nEVAL,"EX")=0),0))))</f>
      </c>
      <c r="H6891">
        <f>IF(DATOS!$G6891&lt;&gt;"EX",0,--(COUNTIFS(nNIA,DATOS!$A6891,nCURSO,DATOS!$D6891,nESPEC,DATOS!$E6891,nASIG,DATOS!$I6891,nEVAL,"OR")=0))</f>
      </c>
      <c r="I6891">
        <f>IF(DATOS!$I6891="","",IFERROR(VLOOKUP(DATOS!$I6891,CONFIG_ASIGNATURAS!$B$2:$J$91,9,FALSE()),""))</f>
      </c>
    </row>
    <row r="6892">
      <c r="F6892">
        <f>IF(DATOS!$A6892="","",DATOS!$A6892&amp;"|"&amp;DATOS!$D6892&amp;"|"&amp;DATOS!$E6892&amp;"|"&amp;DATOS!$I6892)</f>
      </c>
      <c r="G6892">
        <f>IF(DATOS!$A6892="",0,IF(CONFIG_METADATA!$B$4&lt;&gt;"OR+EX",--(DATOS!$G6892=CONFIG_METADATA!$B$4),IF(DATOS!$G6892="EX",1,IF(DATOS!$G6892="OR",--(COUNTIFS(nNIA,DATOS!$A6892,nCURSO,DATOS!$D6892,nESPEC,DATOS!$E6892,nASIG,DATOS!$I6892,nEVAL,"EX")=0),0))))</f>
      </c>
      <c r="H6892">
        <f>IF(DATOS!$G6892&lt;&gt;"EX",0,--(COUNTIFS(nNIA,DATOS!$A6892,nCURSO,DATOS!$D6892,nESPEC,DATOS!$E6892,nASIG,DATOS!$I6892,nEVAL,"OR")=0))</f>
      </c>
      <c r="I6892">
        <f>IF(DATOS!$I6892="","",IFERROR(VLOOKUP(DATOS!$I6892,CONFIG_ASIGNATURAS!$B$2:$J$91,9,FALSE()),""))</f>
      </c>
    </row>
    <row r="6893">
      <c r="F6893">
        <f>IF(DATOS!$A6893="","",DATOS!$A6893&amp;"|"&amp;DATOS!$D6893&amp;"|"&amp;DATOS!$E6893&amp;"|"&amp;DATOS!$I6893)</f>
      </c>
      <c r="G6893">
        <f>IF(DATOS!$A6893="",0,IF(CONFIG_METADATA!$B$4&lt;&gt;"OR+EX",--(DATOS!$G6893=CONFIG_METADATA!$B$4),IF(DATOS!$G6893="EX",1,IF(DATOS!$G6893="OR",--(COUNTIFS(nNIA,DATOS!$A6893,nCURSO,DATOS!$D6893,nESPEC,DATOS!$E6893,nASIG,DATOS!$I6893,nEVAL,"EX")=0),0))))</f>
      </c>
      <c r="H6893">
        <f>IF(DATOS!$G6893&lt;&gt;"EX",0,--(COUNTIFS(nNIA,DATOS!$A6893,nCURSO,DATOS!$D6893,nESPEC,DATOS!$E6893,nASIG,DATOS!$I6893,nEVAL,"OR")=0))</f>
      </c>
      <c r="I6893">
        <f>IF(DATOS!$I6893="","",IFERROR(VLOOKUP(DATOS!$I6893,CONFIG_ASIGNATURAS!$B$2:$J$91,9,FALSE()),""))</f>
      </c>
    </row>
    <row r="6894">
      <c r="F6894">
        <f>IF(DATOS!$A6894="","",DATOS!$A6894&amp;"|"&amp;DATOS!$D6894&amp;"|"&amp;DATOS!$E6894&amp;"|"&amp;DATOS!$I6894)</f>
      </c>
      <c r="G6894">
        <f>IF(DATOS!$A6894="",0,IF(CONFIG_METADATA!$B$4&lt;&gt;"OR+EX",--(DATOS!$G6894=CONFIG_METADATA!$B$4),IF(DATOS!$G6894="EX",1,IF(DATOS!$G6894="OR",--(COUNTIFS(nNIA,DATOS!$A6894,nCURSO,DATOS!$D6894,nESPEC,DATOS!$E6894,nASIG,DATOS!$I6894,nEVAL,"EX")=0),0))))</f>
      </c>
      <c r="H6894">
        <f>IF(DATOS!$G6894&lt;&gt;"EX",0,--(COUNTIFS(nNIA,DATOS!$A6894,nCURSO,DATOS!$D6894,nESPEC,DATOS!$E6894,nASIG,DATOS!$I6894,nEVAL,"OR")=0))</f>
      </c>
      <c r="I6894">
        <f>IF(DATOS!$I6894="","",IFERROR(VLOOKUP(DATOS!$I6894,CONFIG_ASIGNATURAS!$B$2:$J$91,9,FALSE()),""))</f>
      </c>
    </row>
    <row r="6895">
      <c r="F6895">
        <f>IF(DATOS!$A6895="","",DATOS!$A6895&amp;"|"&amp;DATOS!$D6895&amp;"|"&amp;DATOS!$E6895&amp;"|"&amp;DATOS!$I6895)</f>
      </c>
      <c r="G6895">
        <f>IF(DATOS!$A6895="",0,IF(CONFIG_METADATA!$B$4&lt;&gt;"OR+EX",--(DATOS!$G6895=CONFIG_METADATA!$B$4),IF(DATOS!$G6895="EX",1,IF(DATOS!$G6895="OR",--(COUNTIFS(nNIA,DATOS!$A6895,nCURSO,DATOS!$D6895,nESPEC,DATOS!$E6895,nASIG,DATOS!$I6895,nEVAL,"EX")=0),0))))</f>
      </c>
      <c r="H6895">
        <f>IF(DATOS!$G6895&lt;&gt;"EX",0,--(COUNTIFS(nNIA,DATOS!$A6895,nCURSO,DATOS!$D6895,nESPEC,DATOS!$E6895,nASIG,DATOS!$I6895,nEVAL,"OR")=0))</f>
      </c>
      <c r="I6895">
        <f>IF(DATOS!$I6895="","",IFERROR(VLOOKUP(DATOS!$I6895,CONFIG_ASIGNATURAS!$B$2:$J$91,9,FALSE()),""))</f>
      </c>
    </row>
    <row r="6896">
      <c r="F6896">
        <f>IF(DATOS!$A6896="","",DATOS!$A6896&amp;"|"&amp;DATOS!$D6896&amp;"|"&amp;DATOS!$E6896&amp;"|"&amp;DATOS!$I6896)</f>
      </c>
      <c r="G6896">
        <f>IF(DATOS!$A6896="",0,IF(CONFIG_METADATA!$B$4&lt;&gt;"OR+EX",--(DATOS!$G6896=CONFIG_METADATA!$B$4),IF(DATOS!$G6896="EX",1,IF(DATOS!$G6896="OR",--(COUNTIFS(nNIA,DATOS!$A6896,nCURSO,DATOS!$D6896,nESPEC,DATOS!$E6896,nASIG,DATOS!$I6896,nEVAL,"EX")=0),0))))</f>
      </c>
      <c r="H6896">
        <f>IF(DATOS!$G6896&lt;&gt;"EX",0,--(COUNTIFS(nNIA,DATOS!$A6896,nCURSO,DATOS!$D6896,nESPEC,DATOS!$E6896,nASIG,DATOS!$I6896,nEVAL,"OR")=0))</f>
      </c>
      <c r="I6896">
        <f>IF(DATOS!$I6896="","",IFERROR(VLOOKUP(DATOS!$I6896,CONFIG_ASIGNATURAS!$B$2:$J$91,9,FALSE()),""))</f>
      </c>
    </row>
    <row r="6897">
      <c r="F6897">
        <f>IF(DATOS!$A6897="","",DATOS!$A6897&amp;"|"&amp;DATOS!$D6897&amp;"|"&amp;DATOS!$E6897&amp;"|"&amp;DATOS!$I6897)</f>
      </c>
      <c r="G6897">
        <f>IF(DATOS!$A6897="",0,IF(CONFIG_METADATA!$B$4&lt;&gt;"OR+EX",--(DATOS!$G6897=CONFIG_METADATA!$B$4),IF(DATOS!$G6897="EX",1,IF(DATOS!$G6897="OR",--(COUNTIFS(nNIA,DATOS!$A6897,nCURSO,DATOS!$D6897,nESPEC,DATOS!$E6897,nASIG,DATOS!$I6897,nEVAL,"EX")=0),0))))</f>
      </c>
      <c r="H6897">
        <f>IF(DATOS!$G6897&lt;&gt;"EX",0,--(COUNTIFS(nNIA,DATOS!$A6897,nCURSO,DATOS!$D6897,nESPEC,DATOS!$E6897,nASIG,DATOS!$I6897,nEVAL,"OR")=0))</f>
      </c>
      <c r="I6897">
        <f>IF(DATOS!$I6897="","",IFERROR(VLOOKUP(DATOS!$I6897,CONFIG_ASIGNATURAS!$B$2:$J$91,9,FALSE()),""))</f>
      </c>
    </row>
    <row r="6898">
      <c r="F6898">
        <f>IF(DATOS!$A6898="","",DATOS!$A6898&amp;"|"&amp;DATOS!$D6898&amp;"|"&amp;DATOS!$E6898&amp;"|"&amp;DATOS!$I6898)</f>
      </c>
      <c r="G6898">
        <f>IF(DATOS!$A6898="",0,IF(CONFIG_METADATA!$B$4&lt;&gt;"OR+EX",--(DATOS!$G6898=CONFIG_METADATA!$B$4),IF(DATOS!$G6898="EX",1,IF(DATOS!$G6898="OR",--(COUNTIFS(nNIA,DATOS!$A6898,nCURSO,DATOS!$D6898,nESPEC,DATOS!$E6898,nASIG,DATOS!$I6898,nEVAL,"EX")=0),0))))</f>
      </c>
      <c r="H6898">
        <f>IF(DATOS!$G6898&lt;&gt;"EX",0,--(COUNTIFS(nNIA,DATOS!$A6898,nCURSO,DATOS!$D6898,nESPEC,DATOS!$E6898,nASIG,DATOS!$I6898,nEVAL,"OR")=0))</f>
      </c>
      <c r="I6898">
        <f>IF(DATOS!$I6898="","",IFERROR(VLOOKUP(DATOS!$I6898,CONFIG_ASIGNATURAS!$B$2:$J$91,9,FALSE()),""))</f>
      </c>
    </row>
    <row r="6899">
      <c r="F6899">
        <f>IF(DATOS!$A6899="","",DATOS!$A6899&amp;"|"&amp;DATOS!$D6899&amp;"|"&amp;DATOS!$E6899&amp;"|"&amp;DATOS!$I6899)</f>
      </c>
      <c r="G6899">
        <f>IF(DATOS!$A6899="",0,IF(CONFIG_METADATA!$B$4&lt;&gt;"OR+EX",--(DATOS!$G6899=CONFIG_METADATA!$B$4),IF(DATOS!$G6899="EX",1,IF(DATOS!$G6899="OR",--(COUNTIFS(nNIA,DATOS!$A6899,nCURSO,DATOS!$D6899,nESPEC,DATOS!$E6899,nASIG,DATOS!$I6899,nEVAL,"EX")=0),0))))</f>
      </c>
      <c r="H6899">
        <f>IF(DATOS!$G6899&lt;&gt;"EX",0,--(COUNTIFS(nNIA,DATOS!$A6899,nCURSO,DATOS!$D6899,nESPEC,DATOS!$E6899,nASIG,DATOS!$I6899,nEVAL,"OR")=0))</f>
      </c>
      <c r="I6899">
        <f>IF(DATOS!$I6899="","",IFERROR(VLOOKUP(DATOS!$I6899,CONFIG_ASIGNATURAS!$B$2:$J$91,9,FALSE()),""))</f>
      </c>
    </row>
    <row r="6900">
      <c r="F6900">
        <f>IF(DATOS!$A6900="","",DATOS!$A6900&amp;"|"&amp;DATOS!$D6900&amp;"|"&amp;DATOS!$E6900&amp;"|"&amp;DATOS!$I6900)</f>
      </c>
      <c r="G6900">
        <f>IF(DATOS!$A6900="",0,IF(CONFIG_METADATA!$B$4&lt;&gt;"OR+EX",--(DATOS!$G6900=CONFIG_METADATA!$B$4),IF(DATOS!$G6900="EX",1,IF(DATOS!$G6900="OR",--(COUNTIFS(nNIA,DATOS!$A6900,nCURSO,DATOS!$D6900,nESPEC,DATOS!$E6900,nASIG,DATOS!$I6900,nEVAL,"EX")=0),0))))</f>
      </c>
      <c r="H6900">
        <f>IF(DATOS!$G6900&lt;&gt;"EX",0,--(COUNTIFS(nNIA,DATOS!$A6900,nCURSO,DATOS!$D6900,nESPEC,DATOS!$E6900,nASIG,DATOS!$I6900,nEVAL,"OR")=0))</f>
      </c>
      <c r="I6900">
        <f>IF(DATOS!$I6900="","",IFERROR(VLOOKUP(DATOS!$I6900,CONFIG_ASIGNATURAS!$B$2:$J$91,9,FALSE()),""))</f>
      </c>
    </row>
    <row r="6901">
      <c r="F6901">
        <f>IF(DATOS!$A6901="","",DATOS!$A6901&amp;"|"&amp;DATOS!$D6901&amp;"|"&amp;DATOS!$E6901&amp;"|"&amp;DATOS!$I6901)</f>
      </c>
      <c r="G6901">
        <f>IF(DATOS!$A6901="",0,IF(CONFIG_METADATA!$B$4&lt;&gt;"OR+EX",--(DATOS!$G6901=CONFIG_METADATA!$B$4),IF(DATOS!$G6901="EX",1,IF(DATOS!$G6901="OR",--(COUNTIFS(nNIA,DATOS!$A6901,nCURSO,DATOS!$D6901,nESPEC,DATOS!$E6901,nASIG,DATOS!$I6901,nEVAL,"EX")=0),0))))</f>
      </c>
      <c r="H6901">
        <f>IF(DATOS!$G6901&lt;&gt;"EX",0,--(COUNTIFS(nNIA,DATOS!$A6901,nCURSO,DATOS!$D6901,nESPEC,DATOS!$E6901,nASIG,DATOS!$I6901,nEVAL,"OR")=0))</f>
      </c>
      <c r="I6901">
        <f>IF(DATOS!$I6901="","",IFERROR(VLOOKUP(DATOS!$I6901,CONFIG_ASIGNATURAS!$B$2:$J$91,9,FALSE()),""))</f>
      </c>
    </row>
    <row r="6902">
      <c r="F6902">
        <f>IF(DATOS!$A6902="","",DATOS!$A6902&amp;"|"&amp;DATOS!$D6902&amp;"|"&amp;DATOS!$E6902&amp;"|"&amp;DATOS!$I6902)</f>
      </c>
      <c r="G6902">
        <f>IF(DATOS!$A6902="",0,IF(CONFIG_METADATA!$B$4&lt;&gt;"OR+EX",--(DATOS!$G6902=CONFIG_METADATA!$B$4),IF(DATOS!$G6902="EX",1,IF(DATOS!$G6902="OR",--(COUNTIFS(nNIA,DATOS!$A6902,nCURSO,DATOS!$D6902,nESPEC,DATOS!$E6902,nASIG,DATOS!$I6902,nEVAL,"EX")=0),0))))</f>
      </c>
      <c r="H6902">
        <f>IF(DATOS!$G6902&lt;&gt;"EX",0,--(COUNTIFS(nNIA,DATOS!$A6902,nCURSO,DATOS!$D6902,nESPEC,DATOS!$E6902,nASIG,DATOS!$I6902,nEVAL,"OR")=0))</f>
      </c>
      <c r="I6902">
        <f>IF(DATOS!$I6902="","",IFERROR(VLOOKUP(DATOS!$I6902,CONFIG_ASIGNATURAS!$B$2:$J$91,9,FALSE()),""))</f>
      </c>
    </row>
    <row r="6903">
      <c r="F6903">
        <f>IF(DATOS!$A6903="","",DATOS!$A6903&amp;"|"&amp;DATOS!$D6903&amp;"|"&amp;DATOS!$E6903&amp;"|"&amp;DATOS!$I6903)</f>
      </c>
      <c r="G6903">
        <f>IF(DATOS!$A6903="",0,IF(CONFIG_METADATA!$B$4&lt;&gt;"OR+EX",--(DATOS!$G6903=CONFIG_METADATA!$B$4),IF(DATOS!$G6903="EX",1,IF(DATOS!$G6903="OR",--(COUNTIFS(nNIA,DATOS!$A6903,nCURSO,DATOS!$D6903,nESPEC,DATOS!$E6903,nASIG,DATOS!$I6903,nEVAL,"EX")=0),0))))</f>
      </c>
      <c r="H6903">
        <f>IF(DATOS!$G6903&lt;&gt;"EX",0,--(COUNTIFS(nNIA,DATOS!$A6903,nCURSO,DATOS!$D6903,nESPEC,DATOS!$E6903,nASIG,DATOS!$I6903,nEVAL,"OR")=0))</f>
      </c>
      <c r="I6903">
        <f>IF(DATOS!$I6903="","",IFERROR(VLOOKUP(DATOS!$I6903,CONFIG_ASIGNATURAS!$B$2:$J$91,9,FALSE()),""))</f>
      </c>
    </row>
    <row r="6904">
      <c r="F6904">
        <f>IF(DATOS!$A6904="","",DATOS!$A6904&amp;"|"&amp;DATOS!$D6904&amp;"|"&amp;DATOS!$E6904&amp;"|"&amp;DATOS!$I6904)</f>
      </c>
      <c r="G6904">
        <f>IF(DATOS!$A6904="",0,IF(CONFIG_METADATA!$B$4&lt;&gt;"OR+EX",--(DATOS!$G6904=CONFIG_METADATA!$B$4),IF(DATOS!$G6904="EX",1,IF(DATOS!$G6904="OR",--(COUNTIFS(nNIA,DATOS!$A6904,nCURSO,DATOS!$D6904,nESPEC,DATOS!$E6904,nASIG,DATOS!$I6904,nEVAL,"EX")=0),0))))</f>
      </c>
      <c r="H6904">
        <f>IF(DATOS!$G6904&lt;&gt;"EX",0,--(COUNTIFS(nNIA,DATOS!$A6904,nCURSO,DATOS!$D6904,nESPEC,DATOS!$E6904,nASIG,DATOS!$I6904,nEVAL,"OR")=0))</f>
      </c>
      <c r="I6904">
        <f>IF(DATOS!$I6904="","",IFERROR(VLOOKUP(DATOS!$I6904,CONFIG_ASIGNATURAS!$B$2:$J$91,9,FALSE()),""))</f>
      </c>
    </row>
    <row r="6905">
      <c r="F6905">
        <f>IF(DATOS!$A6905="","",DATOS!$A6905&amp;"|"&amp;DATOS!$D6905&amp;"|"&amp;DATOS!$E6905&amp;"|"&amp;DATOS!$I6905)</f>
      </c>
      <c r="G6905">
        <f>IF(DATOS!$A6905="",0,IF(CONFIG_METADATA!$B$4&lt;&gt;"OR+EX",--(DATOS!$G6905=CONFIG_METADATA!$B$4),IF(DATOS!$G6905="EX",1,IF(DATOS!$G6905="OR",--(COUNTIFS(nNIA,DATOS!$A6905,nCURSO,DATOS!$D6905,nESPEC,DATOS!$E6905,nASIG,DATOS!$I6905,nEVAL,"EX")=0),0))))</f>
      </c>
      <c r="H6905">
        <f>IF(DATOS!$G6905&lt;&gt;"EX",0,--(COUNTIFS(nNIA,DATOS!$A6905,nCURSO,DATOS!$D6905,nESPEC,DATOS!$E6905,nASIG,DATOS!$I6905,nEVAL,"OR")=0))</f>
      </c>
      <c r="I6905">
        <f>IF(DATOS!$I6905="","",IFERROR(VLOOKUP(DATOS!$I6905,CONFIG_ASIGNATURAS!$B$2:$J$91,9,FALSE()),""))</f>
      </c>
    </row>
    <row r="6906">
      <c r="F6906">
        <f>IF(DATOS!$A6906="","",DATOS!$A6906&amp;"|"&amp;DATOS!$D6906&amp;"|"&amp;DATOS!$E6906&amp;"|"&amp;DATOS!$I6906)</f>
      </c>
      <c r="G6906">
        <f>IF(DATOS!$A6906="",0,IF(CONFIG_METADATA!$B$4&lt;&gt;"OR+EX",--(DATOS!$G6906=CONFIG_METADATA!$B$4),IF(DATOS!$G6906="EX",1,IF(DATOS!$G6906="OR",--(COUNTIFS(nNIA,DATOS!$A6906,nCURSO,DATOS!$D6906,nESPEC,DATOS!$E6906,nASIG,DATOS!$I6906,nEVAL,"EX")=0),0))))</f>
      </c>
      <c r="H6906">
        <f>IF(DATOS!$G6906&lt;&gt;"EX",0,--(COUNTIFS(nNIA,DATOS!$A6906,nCURSO,DATOS!$D6906,nESPEC,DATOS!$E6906,nASIG,DATOS!$I6906,nEVAL,"OR")=0))</f>
      </c>
      <c r="I6906">
        <f>IF(DATOS!$I6906="","",IFERROR(VLOOKUP(DATOS!$I6906,CONFIG_ASIGNATURAS!$B$2:$J$91,9,FALSE()),""))</f>
      </c>
    </row>
    <row r="6907">
      <c r="F6907">
        <f>IF(DATOS!$A6907="","",DATOS!$A6907&amp;"|"&amp;DATOS!$D6907&amp;"|"&amp;DATOS!$E6907&amp;"|"&amp;DATOS!$I6907)</f>
      </c>
      <c r="G6907">
        <f>IF(DATOS!$A6907="",0,IF(CONFIG_METADATA!$B$4&lt;&gt;"OR+EX",--(DATOS!$G6907=CONFIG_METADATA!$B$4),IF(DATOS!$G6907="EX",1,IF(DATOS!$G6907="OR",--(COUNTIFS(nNIA,DATOS!$A6907,nCURSO,DATOS!$D6907,nESPEC,DATOS!$E6907,nASIG,DATOS!$I6907,nEVAL,"EX")=0),0))))</f>
      </c>
      <c r="H6907">
        <f>IF(DATOS!$G6907&lt;&gt;"EX",0,--(COUNTIFS(nNIA,DATOS!$A6907,nCURSO,DATOS!$D6907,nESPEC,DATOS!$E6907,nASIG,DATOS!$I6907,nEVAL,"OR")=0))</f>
      </c>
      <c r="I6907">
        <f>IF(DATOS!$I6907="","",IFERROR(VLOOKUP(DATOS!$I6907,CONFIG_ASIGNATURAS!$B$2:$J$91,9,FALSE()),""))</f>
      </c>
    </row>
    <row r="6908">
      <c r="F6908">
        <f>IF(DATOS!$A6908="","",DATOS!$A6908&amp;"|"&amp;DATOS!$D6908&amp;"|"&amp;DATOS!$E6908&amp;"|"&amp;DATOS!$I6908)</f>
      </c>
      <c r="G6908">
        <f>IF(DATOS!$A6908="",0,IF(CONFIG_METADATA!$B$4&lt;&gt;"OR+EX",--(DATOS!$G6908=CONFIG_METADATA!$B$4),IF(DATOS!$G6908="EX",1,IF(DATOS!$G6908="OR",--(COUNTIFS(nNIA,DATOS!$A6908,nCURSO,DATOS!$D6908,nESPEC,DATOS!$E6908,nASIG,DATOS!$I6908,nEVAL,"EX")=0),0))))</f>
      </c>
      <c r="H6908">
        <f>IF(DATOS!$G6908&lt;&gt;"EX",0,--(COUNTIFS(nNIA,DATOS!$A6908,nCURSO,DATOS!$D6908,nESPEC,DATOS!$E6908,nASIG,DATOS!$I6908,nEVAL,"OR")=0))</f>
      </c>
      <c r="I6908">
        <f>IF(DATOS!$I6908="","",IFERROR(VLOOKUP(DATOS!$I6908,CONFIG_ASIGNATURAS!$B$2:$J$91,9,FALSE()),""))</f>
      </c>
    </row>
    <row r="6909">
      <c r="F6909">
        <f>IF(DATOS!$A6909="","",DATOS!$A6909&amp;"|"&amp;DATOS!$D6909&amp;"|"&amp;DATOS!$E6909&amp;"|"&amp;DATOS!$I6909)</f>
      </c>
      <c r="G6909">
        <f>IF(DATOS!$A6909="",0,IF(CONFIG_METADATA!$B$4&lt;&gt;"OR+EX",--(DATOS!$G6909=CONFIG_METADATA!$B$4),IF(DATOS!$G6909="EX",1,IF(DATOS!$G6909="OR",--(COUNTIFS(nNIA,DATOS!$A6909,nCURSO,DATOS!$D6909,nESPEC,DATOS!$E6909,nASIG,DATOS!$I6909,nEVAL,"EX")=0),0))))</f>
      </c>
      <c r="H6909">
        <f>IF(DATOS!$G6909&lt;&gt;"EX",0,--(COUNTIFS(nNIA,DATOS!$A6909,nCURSO,DATOS!$D6909,nESPEC,DATOS!$E6909,nASIG,DATOS!$I6909,nEVAL,"OR")=0))</f>
      </c>
      <c r="I6909">
        <f>IF(DATOS!$I6909="","",IFERROR(VLOOKUP(DATOS!$I6909,CONFIG_ASIGNATURAS!$B$2:$J$91,9,FALSE()),""))</f>
      </c>
    </row>
    <row r="6910">
      <c r="F6910">
        <f>IF(DATOS!$A6910="","",DATOS!$A6910&amp;"|"&amp;DATOS!$D6910&amp;"|"&amp;DATOS!$E6910&amp;"|"&amp;DATOS!$I6910)</f>
      </c>
      <c r="G6910">
        <f>IF(DATOS!$A6910="",0,IF(CONFIG_METADATA!$B$4&lt;&gt;"OR+EX",--(DATOS!$G6910=CONFIG_METADATA!$B$4),IF(DATOS!$G6910="EX",1,IF(DATOS!$G6910="OR",--(COUNTIFS(nNIA,DATOS!$A6910,nCURSO,DATOS!$D6910,nESPEC,DATOS!$E6910,nASIG,DATOS!$I6910,nEVAL,"EX")=0),0))))</f>
      </c>
      <c r="H6910">
        <f>IF(DATOS!$G6910&lt;&gt;"EX",0,--(COUNTIFS(nNIA,DATOS!$A6910,nCURSO,DATOS!$D6910,nESPEC,DATOS!$E6910,nASIG,DATOS!$I6910,nEVAL,"OR")=0))</f>
      </c>
      <c r="I6910">
        <f>IF(DATOS!$I6910="","",IFERROR(VLOOKUP(DATOS!$I6910,CONFIG_ASIGNATURAS!$B$2:$J$91,9,FALSE()),""))</f>
      </c>
    </row>
    <row r="6911">
      <c r="F6911">
        <f>IF(DATOS!$A6911="","",DATOS!$A6911&amp;"|"&amp;DATOS!$D6911&amp;"|"&amp;DATOS!$E6911&amp;"|"&amp;DATOS!$I6911)</f>
      </c>
      <c r="G6911">
        <f>IF(DATOS!$A6911="",0,IF(CONFIG_METADATA!$B$4&lt;&gt;"OR+EX",--(DATOS!$G6911=CONFIG_METADATA!$B$4),IF(DATOS!$G6911="EX",1,IF(DATOS!$G6911="OR",--(COUNTIFS(nNIA,DATOS!$A6911,nCURSO,DATOS!$D6911,nESPEC,DATOS!$E6911,nASIG,DATOS!$I6911,nEVAL,"EX")=0),0))))</f>
      </c>
      <c r="H6911">
        <f>IF(DATOS!$G6911&lt;&gt;"EX",0,--(COUNTIFS(nNIA,DATOS!$A6911,nCURSO,DATOS!$D6911,nESPEC,DATOS!$E6911,nASIG,DATOS!$I6911,nEVAL,"OR")=0))</f>
      </c>
      <c r="I6911">
        <f>IF(DATOS!$I6911="","",IFERROR(VLOOKUP(DATOS!$I6911,CONFIG_ASIGNATURAS!$B$2:$J$91,9,FALSE()),""))</f>
      </c>
    </row>
    <row r="6912">
      <c r="F6912">
        <f>IF(DATOS!$A6912="","",DATOS!$A6912&amp;"|"&amp;DATOS!$D6912&amp;"|"&amp;DATOS!$E6912&amp;"|"&amp;DATOS!$I6912)</f>
      </c>
      <c r="G6912">
        <f>IF(DATOS!$A6912="",0,IF(CONFIG_METADATA!$B$4&lt;&gt;"OR+EX",--(DATOS!$G6912=CONFIG_METADATA!$B$4),IF(DATOS!$G6912="EX",1,IF(DATOS!$G6912="OR",--(COUNTIFS(nNIA,DATOS!$A6912,nCURSO,DATOS!$D6912,nESPEC,DATOS!$E6912,nASIG,DATOS!$I6912,nEVAL,"EX")=0),0))))</f>
      </c>
      <c r="H6912">
        <f>IF(DATOS!$G6912&lt;&gt;"EX",0,--(COUNTIFS(nNIA,DATOS!$A6912,nCURSO,DATOS!$D6912,nESPEC,DATOS!$E6912,nASIG,DATOS!$I6912,nEVAL,"OR")=0))</f>
      </c>
      <c r="I6912">
        <f>IF(DATOS!$I6912="","",IFERROR(VLOOKUP(DATOS!$I6912,CONFIG_ASIGNATURAS!$B$2:$J$91,9,FALSE()),""))</f>
      </c>
    </row>
    <row r="6913">
      <c r="F6913">
        <f>IF(DATOS!$A6913="","",DATOS!$A6913&amp;"|"&amp;DATOS!$D6913&amp;"|"&amp;DATOS!$E6913&amp;"|"&amp;DATOS!$I6913)</f>
      </c>
      <c r="G6913">
        <f>IF(DATOS!$A6913="",0,IF(CONFIG_METADATA!$B$4&lt;&gt;"OR+EX",--(DATOS!$G6913=CONFIG_METADATA!$B$4),IF(DATOS!$G6913="EX",1,IF(DATOS!$G6913="OR",--(COUNTIFS(nNIA,DATOS!$A6913,nCURSO,DATOS!$D6913,nESPEC,DATOS!$E6913,nASIG,DATOS!$I6913,nEVAL,"EX")=0),0))))</f>
      </c>
      <c r="H6913">
        <f>IF(DATOS!$G6913&lt;&gt;"EX",0,--(COUNTIFS(nNIA,DATOS!$A6913,nCURSO,DATOS!$D6913,nESPEC,DATOS!$E6913,nASIG,DATOS!$I6913,nEVAL,"OR")=0))</f>
      </c>
      <c r="I6913">
        <f>IF(DATOS!$I6913="","",IFERROR(VLOOKUP(DATOS!$I6913,CONFIG_ASIGNATURAS!$B$2:$J$91,9,FALSE()),""))</f>
      </c>
    </row>
    <row r="6914">
      <c r="F6914">
        <f>IF(DATOS!$A6914="","",DATOS!$A6914&amp;"|"&amp;DATOS!$D6914&amp;"|"&amp;DATOS!$E6914&amp;"|"&amp;DATOS!$I6914)</f>
      </c>
      <c r="G6914">
        <f>IF(DATOS!$A6914="",0,IF(CONFIG_METADATA!$B$4&lt;&gt;"OR+EX",--(DATOS!$G6914=CONFIG_METADATA!$B$4),IF(DATOS!$G6914="EX",1,IF(DATOS!$G6914="OR",--(COUNTIFS(nNIA,DATOS!$A6914,nCURSO,DATOS!$D6914,nESPEC,DATOS!$E6914,nASIG,DATOS!$I6914,nEVAL,"EX")=0),0))))</f>
      </c>
      <c r="H6914">
        <f>IF(DATOS!$G6914&lt;&gt;"EX",0,--(COUNTIFS(nNIA,DATOS!$A6914,nCURSO,DATOS!$D6914,nESPEC,DATOS!$E6914,nASIG,DATOS!$I6914,nEVAL,"OR")=0))</f>
      </c>
      <c r="I6914">
        <f>IF(DATOS!$I6914="","",IFERROR(VLOOKUP(DATOS!$I6914,CONFIG_ASIGNATURAS!$B$2:$J$91,9,FALSE()),""))</f>
      </c>
    </row>
    <row r="6915">
      <c r="F6915">
        <f>IF(DATOS!$A6915="","",DATOS!$A6915&amp;"|"&amp;DATOS!$D6915&amp;"|"&amp;DATOS!$E6915&amp;"|"&amp;DATOS!$I6915)</f>
      </c>
      <c r="G6915">
        <f>IF(DATOS!$A6915="",0,IF(CONFIG_METADATA!$B$4&lt;&gt;"OR+EX",--(DATOS!$G6915=CONFIG_METADATA!$B$4),IF(DATOS!$G6915="EX",1,IF(DATOS!$G6915="OR",--(COUNTIFS(nNIA,DATOS!$A6915,nCURSO,DATOS!$D6915,nESPEC,DATOS!$E6915,nASIG,DATOS!$I6915,nEVAL,"EX")=0),0))))</f>
      </c>
      <c r="H6915">
        <f>IF(DATOS!$G6915&lt;&gt;"EX",0,--(COUNTIFS(nNIA,DATOS!$A6915,nCURSO,DATOS!$D6915,nESPEC,DATOS!$E6915,nASIG,DATOS!$I6915,nEVAL,"OR")=0))</f>
      </c>
      <c r="I6915">
        <f>IF(DATOS!$I6915="","",IFERROR(VLOOKUP(DATOS!$I6915,CONFIG_ASIGNATURAS!$B$2:$J$91,9,FALSE()),""))</f>
      </c>
    </row>
    <row r="6916">
      <c r="F6916">
        <f>IF(DATOS!$A6916="","",DATOS!$A6916&amp;"|"&amp;DATOS!$D6916&amp;"|"&amp;DATOS!$E6916&amp;"|"&amp;DATOS!$I6916)</f>
      </c>
      <c r="G6916">
        <f>IF(DATOS!$A6916="",0,IF(CONFIG_METADATA!$B$4&lt;&gt;"OR+EX",--(DATOS!$G6916=CONFIG_METADATA!$B$4),IF(DATOS!$G6916="EX",1,IF(DATOS!$G6916="OR",--(COUNTIFS(nNIA,DATOS!$A6916,nCURSO,DATOS!$D6916,nESPEC,DATOS!$E6916,nASIG,DATOS!$I6916,nEVAL,"EX")=0),0))))</f>
      </c>
      <c r="H6916">
        <f>IF(DATOS!$G6916&lt;&gt;"EX",0,--(COUNTIFS(nNIA,DATOS!$A6916,nCURSO,DATOS!$D6916,nESPEC,DATOS!$E6916,nASIG,DATOS!$I6916,nEVAL,"OR")=0))</f>
      </c>
      <c r="I6916">
        <f>IF(DATOS!$I6916="","",IFERROR(VLOOKUP(DATOS!$I6916,CONFIG_ASIGNATURAS!$B$2:$J$91,9,FALSE()),""))</f>
      </c>
    </row>
    <row r="6917">
      <c r="F6917">
        <f>IF(DATOS!$A6917="","",DATOS!$A6917&amp;"|"&amp;DATOS!$D6917&amp;"|"&amp;DATOS!$E6917&amp;"|"&amp;DATOS!$I6917)</f>
      </c>
      <c r="G6917">
        <f>IF(DATOS!$A6917="",0,IF(CONFIG_METADATA!$B$4&lt;&gt;"OR+EX",--(DATOS!$G6917=CONFIG_METADATA!$B$4),IF(DATOS!$G6917="EX",1,IF(DATOS!$G6917="OR",--(COUNTIFS(nNIA,DATOS!$A6917,nCURSO,DATOS!$D6917,nESPEC,DATOS!$E6917,nASIG,DATOS!$I6917,nEVAL,"EX")=0),0))))</f>
      </c>
      <c r="H6917">
        <f>IF(DATOS!$G6917&lt;&gt;"EX",0,--(COUNTIFS(nNIA,DATOS!$A6917,nCURSO,DATOS!$D6917,nESPEC,DATOS!$E6917,nASIG,DATOS!$I6917,nEVAL,"OR")=0))</f>
      </c>
      <c r="I6917">
        <f>IF(DATOS!$I6917="","",IFERROR(VLOOKUP(DATOS!$I6917,CONFIG_ASIGNATURAS!$B$2:$J$91,9,FALSE()),""))</f>
      </c>
    </row>
    <row r="6918">
      <c r="F6918">
        <f>IF(DATOS!$A6918="","",DATOS!$A6918&amp;"|"&amp;DATOS!$D6918&amp;"|"&amp;DATOS!$E6918&amp;"|"&amp;DATOS!$I6918)</f>
      </c>
      <c r="G6918">
        <f>IF(DATOS!$A6918="",0,IF(CONFIG_METADATA!$B$4&lt;&gt;"OR+EX",--(DATOS!$G6918=CONFIG_METADATA!$B$4),IF(DATOS!$G6918="EX",1,IF(DATOS!$G6918="OR",--(COUNTIFS(nNIA,DATOS!$A6918,nCURSO,DATOS!$D6918,nESPEC,DATOS!$E6918,nASIG,DATOS!$I6918,nEVAL,"EX")=0),0))))</f>
      </c>
      <c r="H6918">
        <f>IF(DATOS!$G6918&lt;&gt;"EX",0,--(COUNTIFS(nNIA,DATOS!$A6918,nCURSO,DATOS!$D6918,nESPEC,DATOS!$E6918,nASIG,DATOS!$I6918,nEVAL,"OR")=0))</f>
      </c>
      <c r="I6918">
        <f>IF(DATOS!$I6918="","",IFERROR(VLOOKUP(DATOS!$I6918,CONFIG_ASIGNATURAS!$B$2:$J$91,9,FALSE()),""))</f>
      </c>
    </row>
    <row r="6919">
      <c r="F6919">
        <f>IF(DATOS!$A6919="","",DATOS!$A6919&amp;"|"&amp;DATOS!$D6919&amp;"|"&amp;DATOS!$E6919&amp;"|"&amp;DATOS!$I6919)</f>
      </c>
      <c r="G6919">
        <f>IF(DATOS!$A6919="",0,IF(CONFIG_METADATA!$B$4&lt;&gt;"OR+EX",--(DATOS!$G6919=CONFIG_METADATA!$B$4),IF(DATOS!$G6919="EX",1,IF(DATOS!$G6919="OR",--(COUNTIFS(nNIA,DATOS!$A6919,nCURSO,DATOS!$D6919,nESPEC,DATOS!$E6919,nASIG,DATOS!$I6919,nEVAL,"EX")=0),0))))</f>
      </c>
      <c r="H6919">
        <f>IF(DATOS!$G6919&lt;&gt;"EX",0,--(COUNTIFS(nNIA,DATOS!$A6919,nCURSO,DATOS!$D6919,nESPEC,DATOS!$E6919,nASIG,DATOS!$I6919,nEVAL,"OR")=0))</f>
      </c>
      <c r="I6919">
        <f>IF(DATOS!$I6919="","",IFERROR(VLOOKUP(DATOS!$I6919,CONFIG_ASIGNATURAS!$B$2:$J$91,9,FALSE()),""))</f>
      </c>
    </row>
    <row r="6920">
      <c r="F6920">
        <f>IF(DATOS!$A6920="","",DATOS!$A6920&amp;"|"&amp;DATOS!$D6920&amp;"|"&amp;DATOS!$E6920&amp;"|"&amp;DATOS!$I6920)</f>
      </c>
      <c r="G6920">
        <f>IF(DATOS!$A6920="",0,IF(CONFIG_METADATA!$B$4&lt;&gt;"OR+EX",--(DATOS!$G6920=CONFIG_METADATA!$B$4),IF(DATOS!$G6920="EX",1,IF(DATOS!$G6920="OR",--(COUNTIFS(nNIA,DATOS!$A6920,nCURSO,DATOS!$D6920,nESPEC,DATOS!$E6920,nASIG,DATOS!$I6920,nEVAL,"EX")=0),0))))</f>
      </c>
      <c r="H6920">
        <f>IF(DATOS!$G6920&lt;&gt;"EX",0,--(COUNTIFS(nNIA,DATOS!$A6920,nCURSO,DATOS!$D6920,nESPEC,DATOS!$E6920,nASIG,DATOS!$I6920,nEVAL,"OR")=0))</f>
      </c>
      <c r="I6920">
        <f>IF(DATOS!$I6920="","",IFERROR(VLOOKUP(DATOS!$I6920,CONFIG_ASIGNATURAS!$B$2:$J$91,9,FALSE()),""))</f>
      </c>
    </row>
    <row r="6921">
      <c r="F6921">
        <f>IF(DATOS!$A6921="","",DATOS!$A6921&amp;"|"&amp;DATOS!$D6921&amp;"|"&amp;DATOS!$E6921&amp;"|"&amp;DATOS!$I6921)</f>
      </c>
      <c r="G6921">
        <f>IF(DATOS!$A6921="",0,IF(CONFIG_METADATA!$B$4&lt;&gt;"OR+EX",--(DATOS!$G6921=CONFIG_METADATA!$B$4),IF(DATOS!$G6921="EX",1,IF(DATOS!$G6921="OR",--(COUNTIFS(nNIA,DATOS!$A6921,nCURSO,DATOS!$D6921,nESPEC,DATOS!$E6921,nASIG,DATOS!$I6921,nEVAL,"EX")=0),0))))</f>
      </c>
      <c r="H6921">
        <f>IF(DATOS!$G6921&lt;&gt;"EX",0,--(COUNTIFS(nNIA,DATOS!$A6921,nCURSO,DATOS!$D6921,nESPEC,DATOS!$E6921,nASIG,DATOS!$I6921,nEVAL,"OR")=0))</f>
      </c>
      <c r="I6921">
        <f>IF(DATOS!$I6921="","",IFERROR(VLOOKUP(DATOS!$I6921,CONFIG_ASIGNATURAS!$B$2:$J$91,9,FALSE()),""))</f>
      </c>
    </row>
    <row r="6922">
      <c r="F6922">
        <f>IF(DATOS!$A6922="","",DATOS!$A6922&amp;"|"&amp;DATOS!$D6922&amp;"|"&amp;DATOS!$E6922&amp;"|"&amp;DATOS!$I6922)</f>
      </c>
      <c r="G6922">
        <f>IF(DATOS!$A6922="",0,IF(CONFIG_METADATA!$B$4&lt;&gt;"OR+EX",--(DATOS!$G6922=CONFIG_METADATA!$B$4),IF(DATOS!$G6922="EX",1,IF(DATOS!$G6922="OR",--(COUNTIFS(nNIA,DATOS!$A6922,nCURSO,DATOS!$D6922,nESPEC,DATOS!$E6922,nASIG,DATOS!$I6922,nEVAL,"EX")=0),0))))</f>
      </c>
      <c r="H6922">
        <f>IF(DATOS!$G6922&lt;&gt;"EX",0,--(COUNTIFS(nNIA,DATOS!$A6922,nCURSO,DATOS!$D6922,nESPEC,DATOS!$E6922,nASIG,DATOS!$I6922,nEVAL,"OR")=0))</f>
      </c>
      <c r="I6922">
        <f>IF(DATOS!$I6922="","",IFERROR(VLOOKUP(DATOS!$I6922,CONFIG_ASIGNATURAS!$B$2:$J$91,9,FALSE()),""))</f>
      </c>
    </row>
    <row r="6923">
      <c r="F6923">
        <f>IF(DATOS!$A6923="","",DATOS!$A6923&amp;"|"&amp;DATOS!$D6923&amp;"|"&amp;DATOS!$E6923&amp;"|"&amp;DATOS!$I6923)</f>
      </c>
      <c r="G6923">
        <f>IF(DATOS!$A6923="",0,IF(CONFIG_METADATA!$B$4&lt;&gt;"OR+EX",--(DATOS!$G6923=CONFIG_METADATA!$B$4),IF(DATOS!$G6923="EX",1,IF(DATOS!$G6923="OR",--(COUNTIFS(nNIA,DATOS!$A6923,nCURSO,DATOS!$D6923,nESPEC,DATOS!$E6923,nASIG,DATOS!$I6923,nEVAL,"EX")=0),0))))</f>
      </c>
      <c r="H6923">
        <f>IF(DATOS!$G6923&lt;&gt;"EX",0,--(COUNTIFS(nNIA,DATOS!$A6923,nCURSO,DATOS!$D6923,nESPEC,DATOS!$E6923,nASIG,DATOS!$I6923,nEVAL,"OR")=0))</f>
      </c>
      <c r="I6923">
        <f>IF(DATOS!$I6923="","",IFERROR(VLOOKUP(DATOS!$I6923,CONFIG_ASIGNATURAS!$B$2:$J$91,9,FALSE()),""))</f>
      </c>
    </row>
    <row r="6924">
      <c r="F6924">
        <f>IF(DATOS!$A6924="","",DATOS!$A6924&amp;"|"&amp;DATOS!$D6924&amp;"|"&amp;DATOS!$E6924&amp;"|"&amp;DATOS!$I6924)</f>
      </c>
      <c r="G6924">
        <f>IF(DATOS!$A6924="",0,IF(CONFIG_METADATA!$B$4&lt;&gt;"OR+EX",--(DATOS!$G6924=CONFIG_METADATA!$B$4),IF(DATOS!$G6924="EX",1,IF(DATOS!$G6924="OR",--(COUNTIFS(nNIA,DATOS!$A6924,nCURSO,DATOS!$D6924,nESPEC,DATOS!$E6924,nASIG,DATOS!$I6924,nEVAL,"EX")=0),0))))</f>
      </c>
      <c r="H6924">
        <f>IF(DATOS!$G6924&lt;&gt;"EX",0,--(COUNTIFS(nNIA,DATOS!$A6924,nCURSO,DATOS!$D6924,nESPEC,DATOS!$E6924,nASIG,DATOS!$I6924,nEVAL,"OR")=0))</f>
      </c>
      <c r="I6924">
        <f>IF(DATOS!$I6924="","",IFERROR(VLOOKUP(DATOS!$I6924,CONFIG_ASIGNATURAS!$B$2:$J$91,9,FALSE()),""))</f>
      </c>
    </row>
    <row r="6925">
      <c r="F6925">
        <f>IF(DATOS!$A6925="","",DATOS!$A6925&amp;"|"&amp;DATOS!$D6925&amp;"|"&amp;DATOS!$E6925&amp;"|"&amp;DATOS!$I6925)</f>
      </c>
      <c r="G6925">
        <f>IF(DATOS!$A6925="",0,IF(CONFIG_METADATA!$B$4&lt;&gt;"OR+EX",--(DATOS!$G6925=CONFIG_METADATA!$B$4),IF(DATOS!$G6925="EX",1,IF(DATOS!$G6925="OR",--(COUNTIFS(nNIA,DATOS!$A6925,nCURSO,DATOS!$D6925,nESPEC,DATOS!$E6925,nASIG,DATOS!$I6925,nEVAL,"EX")=0),0))))</f>
      </c>
      <c r="H6925">
        <f>IF(DATOS!$G6925&lt;&gt;"EX",0,--(COUNTIFS(nNIA,DATOS!$A6925,nCURSO,DATOS!$D6925,nESPEC,DATOS!$E6925,nASIG,DATOS!$I6925,nEVAL,"OR")=0))</f>
      </c>
      <c r="I6925">
        <f>IF(DATOS!$I6925="","",IFERROR(VLOOKUP(DATOS!$I6925,CONFIG_ASIGNATURAS!$B$2:$J$91,9,FALSE()),""))</f>
      </c>
    </row>
    <row r="6926">
      <c r="F6926">
        <f>IF(DATOS!$A6926="","",DATOS!$A6926&amp;"|"&amp;DATOS!$D6926&amp;"|"&amp;DATOS!$E6926&amp;"|"&amp;DATOS!$I6926)</f>
      </c>
      <c r="G6926">
        <f>IF(DATOS!$A6926="",0,IF(CONFIG_METADATA!$B$4&lt;&gt;"OR+EX",--(DATOS!$G6926=CONFIG_METADATA!$B$4),IF(DATOS!$G6926="EX",1,IF(DATOS!$G6926="OR",--(COUNTIFS(nNIA,DATOS!$A6926,nCURSO,DATOS!$D6926,nESPEC,DATOS!$E6926,nASIG,DATOS!$I6926,nEVAL,"EX")=0),0))))</f>
      </c>
      <c r="H6926">
        <f>IF(DATOS!$G6926&lt;&gt;"EX",0,--(COUNTIFS(nNIA,DATOS!$A6926,nCURSO,DATOS!$D6926,nESPEC,DATOS!$E6926,nASIG,DATOS!$I6926,nEVAL,"OR")=0))</f>
      </c>
      <c r="I6926">
        <f>IF(DATOS!$I6926="","",IFERROR(VLOOKUP(DATOS!$I6926,CONFIG_ASIGNATURAS!$B$2:$J$91,9,FALSE()),""))</f>
      </c>
    </row>
    <row r="6927">
      <c r="F6927">
        <f>IF(DATOS!$A6927="","",DATOS!$A6927&amp;"|"&amp;DATOS!$D6927&amp;"|"&amp;DATOS!$E6927&amp;"|"&amp;DATOS!$I6927)</f>
      </c>
      <c r="G6927">
        <f>IF(DATOS!$A6927="",0,IF(CONFIG_METADATA!$B$4&lt;&gt;"OR+EX",--(DATOS!$G6927=CONFIG_METADATA!$B$4),IF(DATOS!$G6927="EX",1,IF(DATOS!$G6927="OR",--(COUNTIFS(nNIA,DATOS!$A6927,nCURSO,DATOS!$D6927,nESPEC,DATOS!$E6927,nASIG,DATOS!$I6927,nEVAL,"EX")=0),0))))</f>
      </c>
      <c r="H6927">
        <f>IF(DATOS!$G6927&lt;&gt;"EX",0,--(COUNTIFS(nNIA,DATOS!$A6927,nCURSO,DATOS!$D6927,nESPEC,DATOS!$E6927,nASIG,DATOS!$I6927,nEVAL,"OR")=0))</f>
      </c>
      <c r="I6927">
        <f>IF(DATOS!$I6927="","",IFERROR(VLOOKUP(DATOS!$I6927,CONFIG_ASIGNATURAS!$B$2:$J$91,9,FALSE()),""))</f>
      </c>
    </row>
    <row r="6928">
      <c r="F6928">
        <f>IF(DATOS!$A6928="","",DATOS!$A6928&amp;"|"&amp;DATOS!$D6928&amp;"|"&amp;DATOS!$E6928&amp;"|"&amp;DATOS!$I6928)</f>
      </c>
      <c r="G6928">
        <f>IF(DATOS!$A6928="",0,IF(CONFIG_METADATA!$B$4&lt;&gt;"OR+EX",--(DATOS!$G6928=CONFIG_METADATA!$B$4),IF(DATOS!$G6928="EX",1,IF(DATOS!$G6928="OR",--(COUNTIFS(nNIA,DATOS!$A6928,nCURSO,DATOS!$D6928,nESPEC,DATOS!$E6928,nASIG,DATOS!$I6928,nEVAL,"EX")=0),0))))</f>
      </c>
      <c r="H6928">
        <f>IF(DATOS!$G6928&lt;&gt;"EX",0,--(COUNTIFS(nNIA,DATOS!$A6928,nCURSO,DATOS!$D6928,nESPEC,DATOS!$E6928,nASIG,DATOS!$I6928,nEVAL,"OR")=0))</f>
      </c>
      <c r="I6928">
        <f>IF(DATOS!$I6928="","",IFERROR(VLOOKUP(DATOS!$I6928,CONFIG_ASIGNATURAS!$B$2:$J$91,9,FALSE()),""))</f>
      </c>
    </row>
    <row r="6929">
      <c r="F6929">
        <f>IF(DATOS!$A6929="","",DATOS!$A6929&amp;"|"&amp;DATOS!$D6929&amp;"|"&amp;DATOS!$E6929&amp;"|"&amp;DATOS!$I6929)</f>
      </c>
      <c r="G6929">
        <f>IF(DATOS!$A6929="",0,IF(CONFIG_METADATA!$B$4&lt;&gt;"OR+EX",--(DATOS!$G6929=CONFIG_METADATA!$B$4),IF(DATOS!$G6929="EX",1,IF(DATOS!$G6929="OR",--(COUNTIFS(nNIA,DATOS!$A6929,nCURSO,DATOS!$D6929,nESPEC,DATOS!$E6929,nASIG,DATOS!$I6929,nEVAL,"EX")=0),0))))</f>
      </c>
      <c r="H6929">
        <f>IF(DATOS!$G6929&lt;&gt;"EX",0,--(COUNTIFS(nNIA,DATOS!$A6929,nCURSO,DATOS!$D6929,nESPEC,DATOS!$E6929,nASIG,DATOS!$I6929,nEVAL,"OR")=0))</f>
      </c>
      <c r="I6929">
        <f>IF(DATOS!$I6929="","",IFERROR(VLOOKUP(DATOS!$I6929,CONFIG_ASIGNATURAS!$B$2:$J$91,9,FALSE()),""))</f>
      </c>
    </row>
    <row r="6930">
      <c r="F6930">
        <f>IF(DATOS!$A6930="","",DATOS!$A6930&amp;"|"&amp;DATOS!$D6930&amp;"|"&amp;DATOS!$E6930&amp;"|"&amp;DATOS!$I6930)</f>
      </c>
      <c r="G6930">
        <f>IF(DATOS!$A6930="",0,IF(CONFIG_METADATA!$B$4&lt;&gt;"OR+EX",--(DATOS!$G6930=CONFIG_METADATA!$B$4),IF(DATOS!$G6930="EX",1,IF(DATOS!$G6930="OR",--(COUNTIFS(nNIA,DATOS!$A6930,nCURSO,DATOS!$D6930,nESPEC,DATOS!$E6930,nASIG,DATOS!$I6930,nEVAL,"EX")=0),0))))</f>
      </c>
      <c r="H6930">
        <f>IF(DATOS!$G6930&lt;&gt;"EX",0,--(COUNTIFS(nNIA,DATOS!$A6930,nCURSO,DATOS!$D6930,nESPEC,DATOS!$E6930,nASIG,DATOS!$I6930,nEVAL,"OR")=0))</f>
      </c>
      <c r="I6930">
        <f>IF(DATOS!$I6930="","",IFERROR(VLOOKUP(DATOS!$I6930,CONFIG_ASIGNATURAS!$B$2:$J$91,9,FALSE()),""))</f>
      </c>
    </row>
    <row r="6931">
      <c r="F6931">
        <f>IF(DATOS!$A6931="","",DATOS!$A6931&amp;"|"&amp;DATOS!$D6931&amp;"|"&amp;DATOS!$E6931&amp;"|"&amp;DATOS!$I6931)</f>
      </c>
      <c r="G6931">
        <f>IF(DATOS!$A6931="",0,IF(CONFIG_METADATA!$B$4&lt;&gt;"OR+EX",--(DATOS!$G6931=CONFIG_METADATA!$B$4),IF(DATOS!$G6931="EX",1,IF(DATOS!$G6931="OR",--(COUNTIFS(nNIA,DATOS!$A6931,nCURSO,DATOS!$D6931,nESPEC,DATOS!$E6931,nASIG,DATOS!$I6931,nEVAL,"EX")=0),0))))</f>
      </c>
      <c r="H6931">
        <f>IF(DATOS!$G6931&lt;&gt;"EX",0,--(COUNTIFS(nNIA,DATOS!$A6931,nCURSO,DATOS!$D6931,nESPEC,DATOS!$E6931,nASIG,DATOS!$I6931,nEVAL,"OR")=0))</f>
      </c>
      <c r="I6931">
        <f>IF(DATOS!$I6931="","",IFERROR(VLOOKUP(DATOS!$I6931,CONFIG_ASIGNATURAS!$B$2:$J$91,9,FALSE()),""))</f>
      </c>
    </row>
    <row r="6932">
      <c r="F6932">
        <f>IF(DATOS!$A6932="","",DATOS!$A6932&amp;"|"&amp;DATOS!$D6932&amp;"|"&amp;DATOS!$E6932&amp;"|"&amp;DATOS!$I6932)</f>
      </c>
      <c r="G6932">
        <f>IF(DATOS!$A6932="",0,IF(CONFIG_METADATA!$B$4&lt;&gt;"OR+EX",--(DATOS!$G6932=CONFIG_METADATA!$B$4),IF(DATOS!$G6932="EX",1,IF(DATOS!$G6932="OR",--(COUNTIFS(nNIA,DATOS!$A6932,nCURSO,DATOS!$D6932,nESPEC,DATOS!$E6932,nASIG,DATOS!$I6932,nEVAL,"EX")=0),0))))</f>
      </c>
      <c r="H6932">
        <f>IF(DATOS!$G6932&lt;&gt;"EX",0,--(COUNTIFS(nNIA,DATOS!$A6932,nCURSO,DATOS!$D6932,nESPEC,DATOS!$E6932,nASIG,DATOS!$I6932,nEVAL,"OR")=0))</f>
      </c>
      <c r="I6932">
        <f>IF(DATOS!$I6932="","",IFERROR(VLOOKUP(DATOS!$I6932,CONFIG_ASIGNATURAS!$B$2:$J$91,9,FALSE()),""))</f>
      </c>
    </row>
    <row r="6933">
      <c r="F6933">
        <f>IF(DATOS!$A6933="","",DATOS!$A6933&amp;"|"&amp;DATOS!$D6933&amp;"|"&amp;DATOS!$E6933&amp;"|"&amp;DATOS!$I6933)</f>
      </c>
      <c r="G6933">
        <f>IF(DATOS!$A6933="",0,IF(CONFIG_METADATA!$B$4&lt;&gt;"OR+EX",--(DATOS!$G6933=CONFIG_METADATA!$B$4),IF(DATOS!$G6933="EX",1,IF(DATOS!$G6933="OR",--(COUNTIFS(nNIA,DATOS!$A6933,nCURSO,DATOS!$D6933,nESPEC,DATOS!$E6933,nASIG,DATOS!$I6933,nEVAL,"EX")=0),0))))</f>
      </c>
      <c r="H6933">
        <f>IF(DATOS!$G6933&lt;&gt;"EX",0,--(COUNTIFS(nNIA,DATOS!$A6933,nCURSO,DATOS!$D6933,nESPEC,DATOS!$E6933,nASIG,DATOS!$I6933,nEVAL,"OR")=0))</f>
      </c>
      <c r="I6933">
        <f>IF(DATOS!$I6933="","",IFERROR(VLOOKUP(DATOS!$I6933,CONFIG_ASIGNATURAS!$B$2:$J$91,9,FALSE()),""))</f>
      </c>
    </row>
    <row r="6934">
      <c r="F6934">
        <f>IF(DATOS!$A6934="","",DATOS!$A6934&amp;"|"&amp;DATOS!$D6934&amp;"|"&amp;DATOS!$E6934&amp;"|"&amp;DATOS!$I6934)</f>
      </c>
      <c r="G6934">
        <f>IF(DATOS!$A6934="",0,IF(CONFIG_METADATA!$B$4&lt;&gt;"OR+EX",--(DATOS!$G6934=CONFIG_METADATA!$B$4),IF(DATOS!$G6934="EX",1,IF(DATOS!$G6934="OR",--(COUNTIFS(nNIA,DATOS!$A6934,nCURSO,DATOS!$D6934,nESPEC,DATOS!$E6934,nASIG,DATOS!$I6934,nEVAL,"EX")=0),0))))</f>
      </c>
      <c r="H6934">
        <f>IF(DATOS!$G6934&lt;&gt;"EX",0,--(COUNTIFS(nNIA,DATOS!$A6934,nCURSO,DATOS!$D6934,nESPEC,DATOS!$E6934,nASIG,DATOS!$I6934,nEVAL,"OR")=0))</f>
      </c>
      <c r="I6934">
        <f>IF(DATOS!$I6934="","",IFERROR(VLOOKUP(DATOS!$I6934,CONFIG_ASIGNATURAS!$B$2:$J$91,9,FALSE()),""))</f>
      </c>
    </row>
    <row r="6935">
      <c r="F6935">
        <f>IF(DATOS!$A6935="","",DATOS!$A6935&amp;"|"&amp;DATOS!$D6935&amp;"|"&amp;DATOS!$E6935&amp;"|"&amp;DATOS!$I6935)</f>
      </c>
      <c r="G6935">
        <f>IF(DATOS!$A6935="",0,IF(CONFIG_METADATA!$B$4&lt;&gt;"OR+EX",--(DATOS!$G6935=CONFIG_METADATA!$B$4),IF(DATOS!$G6935="EX",1,IF(DATOS!$G6935="OR",--(COUNTIFS(nNIA,DATOS!$A6935,nCURSO,DATOS!$D6935,nESPEC,DATOS!$E6935,nASIG,DATOS!$I6935,nEVAL,"EX")=0),0))))</f>
      </c>
      <c r="H6935">
        <f>IF(DATOS!$G6935&lt;&gt;"EX",0,--(COUNTIFS(nNIA,DATOS!$A6935,nCURSO,DATOS!$D6935,nESPEC,DATOS!$E6935,nASIG,DATOS!$I6935,nEVAL,"OR")=0))</f>
      </c>
      <c r="I6935">
        <f>IF(DATOS!$I6935="","",IFERROR(VLOOKUP(DATOS!$I6935,CONFIG_ASIGNATURAS!$B$2:$J$91,9,FALSE()),""))</f>
      </c>
    </row>
    <row r="6936">
      <c r="F6936">
        <f>IF(DATOS!$A6936="","",DATOS!$A6936&amp;"|"&amp;DATOS!$D6936&amp;"|"&amp;DATOS!$E6936&amp;"|"&amp;DATOS!$I6936)</f>
      </c>
      <c r="G6936">
        <f>IF(DATOS!$A6936="",0,IF(CONFIG_METADATA!$B$4&lt;&gt;"OR+EX",--(DATOS!$G6936=CONFIG_METADATA!$B$4),IF(DATOS!$G6936="EX",1,IF(DATOS!$G6936="OR",--(COUNTIFS(nNIA,DATOS!$A6936,nCURSO,DATOS!$D6936,nESPEC,DATOS!$E6936,nASIG,DATOS!$I6936,nEVAL,"EX")=0),0))))</f>
      </c>
      <c r="H6936">
        <f>IF(DATOS!$G6936&lt;&gt;"EX",0,--(COUNTIFS(nNIA,DATOS!$A6936,nCURSO,DATOS!$D6936,nESPEC,DATOS!$E6936,nASIG,DATOS!$I6936,nEVAL,"OR")=0))</f>
      </c>
      <c r="I6936">
        <f>IF(DATOS!$I6936="","",IFERROR(VLOOKUP(DATOS!$I6936,CONFIG_ASIGNATURAS!$B$2:$J$91,9,FALSE()),""))</f>
      </c>
    </row>
    <row r="6937">
      <c r="F6937">
        <f>IF(DATOS!$A6937="","",DATOS!$A6937&amp;"|"&amp;DATOS!$D6937&amp;"|"&amp;DATOS!$E6937&amp;"|"&amp;DATOS!$I6937)</f>
      </c>
      <c r="G6937">
        <f>IF(DATOS!$A6937="",0,IF(CONFIG_METADATA!$B$4&lt;&gt;"OR+EX",--(DATOS!$G6937=CONFIG_METADATA!$B$4),IF(DATOS!$G6937="EX",1,IF(DATOS!$G6937="OR",--(COUNTIFS(nNIA,DATOS!$A6937,nCURSO,DATOS!$D6937,nESPEC,DATOS!$E6937,nASIG,DATOS!$I6937,nEVAL,"EX")=0),0))))</f>
      </c>
      <c r="H6937">
        <f>IF(DATOS!$G6937&lt;&gt;"EX",0,--(COUNTIFS(nNIA,DATOS!$A6937,nCURSO,DATOS!$D6937,nESPEC,DATOS!$E6937,nASIG,DATOS!$I6937,nEVAL,"OR")=0))</f>
      </c>
      <c r="I6937">
        <f>IF(DATOS!$I6937="","",IFERROR(VLOOKUP(DATOS!$I6937,CONFIG_ASIGNATURAS!$B$2:$J$91,9,FALSE()),""))</f>
      </c>
    </row>
    <row r="6938">
      <c r="F6938">
        <f>IF(DATOS!$A6938="","",DATOS!$A6938&amp;"|"&amp;DATOS!$D6938&amp;"|"&amp;DATOS!$E6938&amp;"|"&amp;DATOS!$I6938)</f>
      </c>
      <c r="G6938">
        <f>IF(DATOS!$A6938="",0,IF(CONFIG_METADATA!$B$4&lt;&gt;"OR+EX",--(DATOS!$G6938=CONFIG_METADATA!$B$4),IF(DATOS!$G6938="EX",1,IF(DATOS!$G6938="OR",--(COUNTIFS(nNIA,DATOS!$A6938,nCURSO,DATOS!$D6938,nESPEC,DATOS!$E6938,nASIG,DATOS!$I6938,nEVAL,"EX")=0),0))))</f>
      </c>
      <c r="H6938">
        <f>IF(DATOS!$G6938&lt;&gt;"EX",0,--(COUNTIFS(nNIA,DATOS!$A6938,nCURSO,DATOS!$D6938,nESPEC,DATOS!$E6938,nASIG,DATOS!$I6938,nEVAL,"OR")=0))</f>
      </c>
      <c r="I6938">
        <f>IF(DATOS!$I6938="","",IFERROR(VLOOKUP(DATOS!$I6938,CONFIG_ASIGNATURAS!$B$2:$J$91,9,FALSE()),""))</f>
      </c>
    </row>
    <row r="6939">
      <c r="F6939">
        <f>IF(DATOS!$A6939="","",DATOS!$A6939&amp;"|"&amp;DATOS!$D6939&amp;"|"&amp;DATOS!$E6939&amp;"|"&amp;DATOS!$I6939)</f>
      </c>
      <c r="G6939">
        <f>IF(DATOS!$A6939="",0,IF(CONFIG_METADATA!$B$4&lt;&gt;"OR+EX",--(DATOS!$G6939=CONFIG_METADATA!$B$4),IF(DATOS!$G6939="EX",1,IF(DATOS!$G6939="OR",--(COUNTIFS(nNIA,DATOS!$A6939,nCURSO,DATOS!$D6939,nESPEC,DATOS!$E6939,nASIG,DATOS!$I6939,nEVAL,"EX")=0),0))))</f>
      </c>
      <c r="H6939">
        <f>IF(DATOS!$G6939&lt;&gt;"EX",0,--(COUNTIFS(nNIA,DATOS!$A6939,nCURSO,DATOS!$D6939,nESPEC,DATOS!$E6939,nASIG,DATOS!$I6939,nEVAL,"OR")=0))</f>
      </c>
      <c r="I6939">
        <f>IF(DATOS!$I6939="","",IFERROR(VLOOKUP(DATOS!$I6939,CONFIG_ASIGNATURAS!$B$2:$J$91,9,FALSE()),""))</f>
      </c>
    </row>
    <row r="6940">
      <c r="F6940">
        <f>IF(DATOS!$A6940="","",DATOS!$A6940&amp;"|"&amp;DATOS!$D6940&amp;"|"&amp;DATOS!$E6940&amp;"|"&amp;DATOS!$I6940)</f>
      </c>
      <c r="G6940">
        <f>IF(DATOS!$A6940="",0,IF(CONFIG_METADATA!$B$4&lt;&gt;"OR+EX",--(DATOS!$G6940=CONFIG_METADATA!$B$4),IF(DATOS!$G6940="EX",1,IF(DATOS!$G6940="OR",--(COUNTIFS(nNIA,DATOS!$A6940,nCURSO,DATOS!$D6940,nESPEC,DATOS!$E6940,nASIG,DATOS!$I6940,nEVAL,"EX")=0),0))))</f>
      </c>
      <c r="H6940">
        <f>IF(DATOS!$G6940&lt;&gt;"EX",0,--(COUNTIFS(nNIA,DATOS!$A6940,nCURSO,DATOS!$D6940,nESPEC,DATOS!$E6940,nASIG,DATOS!$I6940,nEVAL,"OR")=0))</f>
      </c>
      <c r="I6940">
        <f>IF(DATOS!$I6940="","",IFERROR(VLOOKUP(DATOS!$I6940,CONFIG_ASIGNATURAS!$B$2:$J$91,9,FALSE()),""))</f>
      </c>
    </row>
    <row r="6941">
      <c r="F6941">
        <f>IF(DATOS!$A6941="","",DATOS!$A6941&amp;"|"&amp;DATOS!$D6941&amp;"|"&amp;DATOS!$E6941&amp;"|"&amp;DATOS!$I6941)</f>
      </c>
      <c r="G6941">
        <f>IF(DATOS!$A6941="",0,IF(CONFIG_METADATA!$B$4&lt;&gt;"OR+EX",--(DATOS!$G6941=CONFIG_METADATA!$B$4),IF(DATOS!$G6941="EX",1,IF(DATOS!$G6941="OR",--(COUNTIFS(nNIA,DATOS!$A6941,nCURSO,DATOS!$D6941,nESPEC,DATOS!$E6941,nASIG,DATOS!$I6941,nEVAL,"EX")=0),0))))</f>
      </c>
      <c r="H6941">
        <f>IF(DATOS!$G6941&lt;&gt;"EX",0,--(COUNTIFS(nNIA,DATOS!$A6941,nCURSO,DATOS!$D6941,nESPEC,DATOS!$E6941,nASIG,DATOS!$I6941,nEVAL,"OR")=0))</f>
      </c>
      <c r="I6941">
        <f>IF(DATOS!$I6941="","",IFERROR(VLOOKUP(DATOS!$I6941,CONFIG_ASIGNATURAS!$B$2:$J$91,9,FALSE()),""))</f>
      </c>
    </row>
    <row r="6942">
      <c r="F6942">
        <f>IF(DATOS!$A6942="","",DATOS!$A6942&amp;"|"&amp;DATOS!$D6942&amp;"|"&amp;DATOS!$E6942&amp;"|"&amp;DATOS!$I6942)</f>
      </c>
      <c r="G6942">
        <f>IF(DATOS!$A6942="",0,IF(CONFIG_METADATA!$B$4&lt;&gt;"OR+EX",--(DATOS!$G6942=CONFIG_METADATA!$B$4),IF(DATOS!$G6942="EX",1,IF(DATOS!$G6942="OR",--(COUNTIFS(nNIA,DATOS!$A6942,nCURSO,DATOS!$D6942,nESPEC,DATOS!$E6942,nASIG,DATOS!$I6942,nEVAL,"EX")=0),0))))</f>
      </c>
      <c r="H6942">
        <f>IF(DATOS!$G6942&lt;&gt;"EX",0,--(COUNTIFS(nNIA,DATOS!$A6942,nCURSO,DATOS!$D6942,nESPEC,DATOS!$E6942,nASIG,DATOS!$I6942,nEVAL,"OR")=0))</f>
      </c>
      <c r="I6942">
        <f>IF(DATOS!$I6942="","",IFERROR(VLOOKUP(DATOS!$I6942,CONFIG_ASIGNATURAS!$B$2:$J$91,9,FALSE()),""))</f>
      </c>
    </row>
    <row r="6943">
      <c r="F6943">
        <f>IF(DATOS!$A6943="","",DATOS!$A6943&amp;"|"&amp;DATOS!$D6943&amp;"|"&amp;DATOS!$E6943&amp;"|"&amp;DATOS!$I6943)</f>
      </c>
      <c r="G6943">
        <f>IF(DATOS!$A6943="",0,IF(CONFIG_METADATA!$B$4&lt;&gt;"OR+EX",--(DATOS!$G6943=CONFIG_METADATA!$B$4),IF(DATOS!$G6943="EX",1,IF(DATOS!$G6943="OR",--(COUNTIFS(nNIA,DATOS!$A6943,nCURSO,DATOS!$D6943,nESPEC,DATOS!$E6943,nASIG,DATOS!$I6943,nEVAL,"EX")=0),0))))</f>
      </c>
      <c r="H6943">
        <f>IF(DATOS!$G6943&lt;&gt;"EX",0,--(COUNTIFS(nNIA,DATOS!$A6943,nCURSO,DATOS!$D6943,nESPEC,DATOS!$E6943,nASIG,DATOS!$I6943,nEVAL,"OR")=0))</f>
      </c>
      <c r="I6943">
        <f>IF(DATOS!$I6943="","",IFERROR(VLOOKUP(DATOS!$I6943,CONFIG_ASIGNATURAS!$B$2:$J$91,9,FALSE()),""))</f>
      </c>
    </row>
    <row r="6944">
      <c r="F6944">
        <f>IF(DATOS!$A6944="","",DATOS!$A6944&amp;"|"&amp;DATOS!$D6944&amp;"|"&amp;DATOS!$E6944&amp;"|"&amp;DATOS!$I6944)</f>
      </c>
      <c r="G6944">
        <f>IF(DATOS!$A6944="",0,IF(CONFIG_METADATA!$B$4&lt;&gt;"OR+EX",--(DATOS!$G6944=CONFIG_METADATA!$B$4),IF(DATOS!$G6944="EX",1,IF(DATOS!$G6944="OR",--(COUNTIFS(nNIA,DATOS!$A6944,nCURSO,DATOS!$D6944,nESPEC,DATOS!$E6944,nASIG,DATOS!$I6944,nEVAL,"EX")=0),0))))</f>
      </c>
      <c r="H6944">
        <f>IF(DATOS!$G6944&lt;&gt;"EX",0,--(COUNTIFS(nNIA,DATOS!$A6944,nCURSO,DATOS!$D6944,nESPEC,DATOS!$E6944,nASIG,DATOS!$I6944,nEVAL,"OR")=0))</f>
      </c>
      <c r="I6944">
        <f>IF(DATOS!$I6944="","",IFERROR(VLOOKUP(DATOS!$I6944,CONFIG_ASIGNATURAS!$B$2:$J$91,9,FALSE()),""))</f>
      </c>
    </row>
    <row r="6945">
      <c r="F6945">
        <f>IF(DATOS!$A6945="","",DATOS!$A6945&amp;"|"&amp;DATOS!$D6945&amp;"|"&amp;DATOS!$E6945&amp;"|"&amp;DATOS!$I6945)</f>
      </c>
      <c r="G6945">
        <f>IF(DATOS!$A6945="",0,IF(CONFIG_METADATA!$B$4&lt;&gt;"OR+EX",--(DATOS!$G6945=CONFIG_METADATA!$B$4),IF(DATOS!$G6945="EX",1,IF(DATOS!$G6945="OR",--(COUNTIFS(nNIA,DATOS!$A6945,nCURSO,DATOS!$D6945,nESPEC,DATOS!$E6945,nASIG,DATOS!$I6945,nEVAL,"EX")=0),0))))</f>
      </c>
      <c r="H6945">
        <f>IF(DATOS!$G6945&lt;&gt;"EX",0,--(COUNTIFS(nNIA,DATOS!$A6945,nCURSO,DATOS!$D6945,nESPEC,DATOS!$E6945,nASIG,DATOS!$I6945,nEVAL,"OR")=0))</f>
      </c>
      <c r="I6945">
        <f>IF(DATOS!$I6945="","",IFERROR(VLOOKUP(DATOS!$I6945,CONFIG_ASIGNATURAS!$B$2:$J$91,9,FALSE()),""))</f>
      </c>
    </row>
    <row r="6946">
      <c r="F6946">
        <f>IF(DATOS!$A6946="","",DATOS!$A6946&amp;"|"&amp;DATOS!$D6946&amp;"|"&amp;DATOS!$E6946&amp;"|"&amp;DATOS!$I6946)</f>
      </c>
      <c r="G6946">
        <f>IF(DATOS!$A6946="",0,IF(CONFIG_METADATA!$B$4&lt;&gt;"OR+EX",--(DATOS!$G6946=CONFIG_METADATA!$B$4),IF(DATOS!$G6946="EX",1,IF(DATOS!$G6946="OR",--(COUNTIFS(nNIA,DATOS!$A6946,nCURSO,DATOS!$D6946,nESPEC,DATOS!$E6946,nASIG,DATOS!$I6946,nEVAL,"EX")=0),0))))</f>
      </c>
      <c r="H6946">
        <f>IF(DATOS!$G6946&lt;&gt;"EX",0,--(COUNTIFS(nNIA,DATOS!$A6946,nCURSO,DATOS!$D6946,nESPEC,DATOS!$E6946,nASIG,DATOS!$I6946,nEVAL,"OR")=0))</f>
      </c>
      <c r="I6946">
        <f>IF(DATOS!$I6946="","",IFERROR(VLOOKUP(DATOS!$I6946,CONFIG_ASIGNATURAS!$B$2:$J$91,9,FALSE()),""))</f>
      </c>
    </row>
    <row r="6947">
      <c r="F6947">
        <f>IF(DATOS!$A6947="","",DATOS!$A6947&amp;"|"&amp;DATOS!$D6947&amp;"|"&amp;DATOS!$E6947&amp;"|"&amp;DATOS!$I6947)</f>
      </c>
      <c r="G6947">
        <f>IF(DATOS!$A6947="",0,IF(CONFIG_METADATA!$B$4&lt;&gt;"OR+EX",--(DATOS!$G6947=CONFIG_METADATA!$B$4),IF(DATOS!$G6947="EX",1,IF(DATOS!$G6947="OR",--(COUNTIFS(nNIA,DATOS!$A6947,nCURSO,DATOS!$D6947,nESPEC,DATOS!$E6947,nASIG,DATOS!$I6947,nEVAL,"EX")=0),0))))</f>
      </c>
      <c r="H6947">
        <f>IF(DATOS!$G6947&lt;&gt;"EX",0,--(COUNTIFS(nNIA,DATOS!$A6947,nCURSO,DATOS!$D6947,nESPEC,DATOS!$E6947,nASIG,DATOS!$I6947,nEVAL,"OR")=0))</f>
      </c>
      <c r="I6947">
        <f>IF(DATOS!$I6947="","",IFERROR(VLOOKUP(DATOS!$I6947,CONFIG_ASIGNATURAS!$B$2:$J$91,9,FALSE()),""))</f>
      </c>
    </row>
    <row r="6948">
      <c r="F6948">
        <f>IF(DATOS!$A6948="","",DATOS!$A6948&amp;"|"&amp;DATOS!$D6948&amp;"|"&amp;DATOS!$E6948&amp;"|"&amp;DATOS!$I6948)</f>
      </c>
      <c r="G6948">
        <f>IF(DATOS!$A6948="",0,IF(CONFIG_METADATA!$B$4&lt;&gt;"OR+EX",--(DATOS!$G6948=CONFIG_METADATA!$B$4),IF(DATOS!$G6948="EX",1,IF(DATOS!$G6948="OR",--(COUNTIFS(nNIA,DATOS!$A6948,nCURSO,DATOS!$D6948,nESPEC,DATOS!$E6948,nASIG,DATOS!$I6948,nEVAL,"EX")=0),0))))</f>
      </c>
      <c r="H6948">
        <f>IF(DATOS!$G6948&lt;&gt;"EX",0,--(COUNTIFS(nNIA,DATOS!$A6948,nCURSO,DATOS!$D6948,nESPEC,DATOS!$E6948,nASIG,DATOS!$I6948,nEVAL,"OR")=0))</f>
      </c>
      <c r="I6948">
        <f>IF(DATOS!$I6948="","",IFERROR(VLOOKUP(DATOS!$I6948,CONFIG_ASIGNATURAS!$B$2:$J$91,9,FALSE()),""))</f>
      </c>
    </row>
    <row r="6949">
      <c r="F6949">
        <f>IF(DATOS!$A6949="","",DATOS!$A6949&amp;"|"&amp;DATOS!$D6949&amp;"|"&amp;DATOS!$E6949&amp;"|"&amp;DATOS!$I6949)</f>
      </c>
      <c r="G6949">
        <f>IF(DATOS!$A6949="",0,IF(CONFIG_METADATA!$B$4&lt;&gt;"OR+EX",--(DATOS!$G6949=CONFIG_METADATA!$B$4),IF(DATOS!$G6949="EX",1,IF(DATOS!$G6949="OR",--(COUNTIFS(nNIA,DATOS!$A6949,nCURSO,DATOS!$D6949,nESPEC,DATOS!$E6949,nASIG,DATOS!$I6949,nEVAL,"EX")=0),0))))</f>
      </c>
      <c r="H6949">
        <f>IF(DATOS!$G6949&lt;&gt;"EX",0,--(COUNTIFS(nNIA,DATOS!$A6949,nCURSO,DATOS!$D6949,nESPEC,DATOS!$E6949,nASIG,DATOS!$I6949,nEVAL,"OR")=0))</f>
      </c>
      <c r="I6949">
        <f>IF(DATOS!$I6949="","",IFERROR(VLOOKUP(DATOS!$I6949,CONFIG_ASIGNATURAS!$B$2:$J$91,9,FALSE()),""))</f>
      </c>
    </row>
    <row r="6950">
      <c r="F6950">
        <f>IF(DATOS!$A6950="","",DATOS!$A6950&amp;"|"&amp;DATOS!$D6950&amp;"|"&amp;DATOS!$E6950&amp;"|"&amp;DATOS!$I6950)</f>
      </c>
      <c r="G6950">
        <f>IF(DATOS!$A6950="",0,IF(CONFIG_METADATA!$B$4&lt;&gt;"OR+EX",--(DATOS!$G6950=CONFIG_METADATA!$B$4),IF(DATOS!$G6950="EX",1,IF(DATOS!$G6950="OR",--(COUNTIFS(nNIA,DATOS!$A6950,nCURSO,DATOS!$D6950,nESPEC,DATOS!$E6950,nASIG,DATOS!$I6950,nEVAL,"EX")=0),0))))</f>
      </c>
      <c r="H6950">
        <f>IF(DATOS!$G6950&lt;&gt;"EX",0,--(COUNTIFS(nNIA,DATOS!$A6950,nCURSO,DATOS!$D6950,nESPEC,DATOS!$E6950,nASIG,DATOS!$I6950,nEVAL,"OR")=0))</f>
      </c>
      <c r="I6950">
        <f>IF(DATOS!$I6950="","",IFERROR(VLOOKUP(DATOS!$I6950,CONFIG_ASIGNATURAS!$B$2:$J$91,9,FALSE()),""))</f>
      </c>
    </row>
    <row r="6951">
      <c r="F6951">
        <f>IF(DATOS!$A6951="","",DATOS!$A6951&amp;"|"&amp;DATOS!$D6951&amp;"|"&amp;DATOS!$E6951&amp;"|"&amp;DATOS!$I6951)</f>
      </c>
      <c r="G6951">
        <f>IF(DATOS!$A6951="",0,IF(CONFIG_METADATA!$B$4&lt;&gt;"OR+EX",--(DATOS!$G6951=CONFIG_METADATA!$B$4),IF(DATOS!$G6951="EX",1,IF(DATOS!$G6951="OR",--(COUNTIFS(nNIA,DATOS!$A6951,nCURSO,DATOS!$D6951,nESPEC,DATOS!$E6951,nASIG,DATOS!$I6951,nEVAL,"EX")=0),0))))</f>
      </c>
      <c r="H6951">
        <f>IF(DATOS!$G6951&lt;&gt;"EX",0,--(COUNTIFS(nNIA,DATOS!$A6951,nCURSO,DATOS!$D6951,nESPEC,DATOS!$E6951,nASIG,DATOS!$I6951,nEVAL,"OR")=0))</f>
      </c>
      <c r="I6951">
        <f>IF(DATOS!$I6951="","",IFERROR(VLOOKUP(DATOS!$I6951,CONFIG_ASIGNATURAS!$B$2:$J$91,9,FALSE()),""))</f>
      </c>
    </row>
    <row r="6952">
      <c r="F6952">
        <f>IF(DATOS!$A6952="","",DATOS!$A6952&amp;"|"&amp;DATOS!$D6952&amp;"|"&amp;DATOS!$E6952&amp;"|"&amp;DATOS!$I6952)</f>
      </c>
      <c r="G6952">
        <f>IF(DATOS!$A6952="",0,IF(CONFIG_METADATA!$B$4&lt;&gt;"OR+EX",--(DATOS!$G6952=CONFIG_METADATA!$B$4),IF(DATOS!$G6952="EX",1,IF(DATOS!$G6952="OR",--(COUNTIFS(nNIA,DATOS!$A6952,nCURSO,DATOS!$D6952,nESPEC,DATOS!$E6952,nASIG,DATOS!$I6952,nEVAL,"EX")=0),0))))</f>
      </c>
      <c r="H6952">
        <f>IF(DATOS!$G6952&lt;&gt;"EX",0,--(COUNTIFS(nNIA,DATOS!$A6952,nCURSO,DATOS!$D6952,nESPEC,DATOS!$E6952,nASIG,DATOS!$I6952,nEVAL,"OR")=0))</f>
      </c>
      <c r="I6952">
        <f>IF(DATOS!$I6952="","",IFERROR(VLOOKUP(DATOS!$I6952,CONFIG_ASIGNATURAS!$B$2:$J$91,9,FALSE()),""))</f>
      </c>
    </row>
    <row r="6953">
      <c r="F6953">
        <f>IF(DATOS!$A6953="","",DATOS!$A6953&amp;"|"&amp;DATOS!$D6953&amp;"|"&amp;DATOS!$E6953&amp;"|"&amp;DATOS!$I6953)</f>
      </c>
      <c r="G6953">
        <f>IF(DATOS!$A6953="",0,IF(CONFIG_METADATA!$B$4&lt;&gt;"OR+EX",--(DATOS!$G6953=CONFIG_METADATA!$B$4),IF(DATOS!$G6953="EX",1,IF(DATOS!$G6953="OR",--(COUNTIFS(nNIA,DATOS!$A6953,nCURSO,DATOS!$D6953,nESPEC,DATOS!$E6953,nASIG,DATOS!$I6953,nEVAL,"EX")=0),0))))</f>
      </c>
      <c r="H6953">
        <f>IF(DATOS!$G6953&lt;&gt;"EX",0,--(COUNTIFS(nNIA,DATOS!$A6953,nCURSO,DATOS!$D6953,nESPEC,DATOS!$E6953,nASIG,DATOS!$I6953,nEVAL,"OR")=0))</f>
      </c>
      <c r="I6953">
        <f>IF(DATOS!$I6953="","",IFERROR(VLOOKUP(DATOS!$I6953,CONFIG_ASIGNATURAS!$B$2:$J$91,9,FALSE()),""))</f>
      </c>
    </row>
    <row r="6954">
      <c r="F6954">
        <f>IF(DATOS!$A6954="","",DATOS!$A6954&amp;"|"&amp;DATOS!$D6954&amp;"|"&amp;DATOS!$E6954&amp;"|"&amp;DATOS!$I6954)</f>
      </c>
      <c r="G6954">
        <f>IF(DATOS!$A6954="",0,IF(CONFIG_METADATA!$B$4&lt;&gt;"OR+EX",--(DATOS!$G6954=CONFIG_METADATA!$B$4),IF(DATOS!$G6954="EX",1,IF(DATOS!$G6954="OR",--(COUNTIFS(nNIA,DATOS!$A6954,nCURSO,DATOS!$D6954,nESPEC,DATOS!$E6954,nASIG,DATOS!$I6954,nEVAL,"EX")=0),0))))</f>
      </c>
      <c r="H6954">
        <f>IF(DATOS!$G6954&lt;&gt;"EX",0,--(COUNTIFS(nNIA,DATOS!$A6954,nCURSO,DATOS!$D6954,nESPEC,DATOS!$E6954,nASIG,DATOS!$I6954,nEVAL,"OR")=0))</f>
      </c>
      <c r="I6954">
        <f>IF(DATOS!$I6954="","",IFERROR(VLOOKUP(DATOS!$I6954,CONFIG_ASIGNATURAS!$B$2:$J$91,9,FALSE()),""))</f>
      </c>
    </row>
    <row r="6955">
      <c r="F6955">
        <f>IF(DATOS!$A6955="","",DATOS!$A6955&amp;"|"&amp;DATOS!$D6955&amp;"|"&amp;DATOS!$E6955&amp;"|"&amp;DATOS!$I6955)</f>
      </c>
      <c r="G6955">
        <f>IF(DATOS!$A6955="",0,IF(CONFIG_METADATA!$B$4&lt;&gt;"OR+EX",--(DATOS!$G6955=CONFIG_METADATA!$B$4),IF(DATOS!$G6955="EX",1,IF(DATOS!$G6955="OR",--(COUNTIFS(nNIA,DATOS!$A6955,nCURSO,DATOS!$D6955,nESPEC,DATOS!$E6955,nASIG,DATOS!$I6955,nEVAL,"EX")=0),0))))</f>
      </c>
      <c r="H6955">
        <f>IF(DATOS!$G6955&lt;&gt;"EX",0,--(COUNTIFS(nNIA,DATOS!$A6955,nCURSO,DATOS!$D6955,nESPEC,DATOS!$E6955,nASIG,DATOS!$I6955,nEVAL,"OR")=0))</f>
      </c>
      <c r="I6955">
        <f>IF(DATOS!$I6955="","",IFERROR(VLOOKUP(DATOS!$I6955,CONFIG_ASIGNATURAS!$B$2:$J$91,9,FALSE()),""))</f>
      </c>
    </row>
    <row r="6956">
      <c r="F6956">
        <f>IF(DATOS!$A6956="","",DATOS!$A6956&amp;"|"&amp;DATOS!$D6956&amp;"|"&amp;DATOS!$E6956&amp;"|"&amp;DATOS!$I6956)</f>
      </c>
      <c r="G6956">
        <f>IF(DATOS!$A6956="",0,IF(CONFIG_METADATA!$B$4&lt;&gt;"OR+EX",--(DATOS!$G6956=CONFIG_METADATA!$B$4),IF(DATOS!$G6956="EX",1,IF(DATOS!$G6956="OR",--(COUNTIFS(nNIA,DATOS!$A6956,nCURSO,DATOS!$D6956,nESPEC,DATOS!$E6956,nASIG,DATOS!$I6956,nEVAL,"EX")=0),0))))</f>
      </c>
      <c r="H6956">
        <f>IF(DATOS!$G6956&lt;&gt;"EX",0,--(COUNTIFS(nNIA,DATOS!$A6956,nCURSO,DATOS!$D6956,nESPEC,DATOS!$E6956,nASIG,DATOS!$I6956,nEVAL,"OR")=0))</f>
      </c>
      <c r="I6956">
        <f>IF(DATOS!$I6956="","",IFERROR(VLOOKUP(DATOS!$I6956,CONFIG_ASIGNATURAS!$B$2:$J$91,9,FALSE()),""))</f>
      </c>
    </row>
    <row r="6957">
      <c r="F6957">
        <f>IF(DATOS!$A6957="","",DATOS!$A6957&amp;"|"&amp;DATOS!$D6957&amp;"|"&amp;DATOS!$E6957&amp;"|"&amp;DATOS!$I6957)</f>
      </c>
      <c r="G6957">
        <f>IF(DATOS!$A6957="",0,IF(CONFIG_METADATA!$B$4&lt;&gt;"OR+EX",--(DATOS!$G6957=CONFIG_METADATA!$B$4),IF(DATOS!$G6957="EX",1,IF(DATOS!$G6957="OR",--(COUNTIFS(nNIA,DATOS!$A6957,nCURSO,DATOS!$D6957,nESPEC,DATOS!$E6957,nASIG,DATOS!$I6957,nEVAL,"EX")=0),0))))</f>
      </c>
      <c r="H6957">
        <f>IF(DATOS!$G6957&lt;&gt;"EX",0,--(COUNTIFS(nNIA,DATOS!$A6957,nCURSO,DATOS!$D6957,nESPEC,DATOS!$E6957,nASIG,DATOS!$I6957,nEVAL,"OR")=0))</f>
      </c>
      <c r="I6957">
        <f>IF(DATOS!$I6957="","",IFERROR(VLOOKUP(DATOS!$I6957,CONFIG_ASIGNATURAS!$B$2:$J$91,9,FALSE()),""))</f>
      </c>
    </row>
    <row r="6958">
      <c r="F6958">
        <f>IF(DATOS!$A6958="","",DATOS!$A6958&amp;"|"&amp;DATOS!$D6958&amp;"|"&amp;DATOS!$E6958&amp;"|"&amp;DATOS!$I6958)</f>
      </c>
      <c r="G6958">
        <f>IF(DATOS!$A6958="",0,IF(CONFIG_METADATA!$B$4&lt;&gt;"OR+EX",--(DATOS!$G6958=CONFIG_METADATA!$B$4),IF(DATOS!$G6958="EX",1,IF(DATOS!$G6958="OR",--(COUNTIFS(nNIA,DATOS!$A6958,nCURSO,DATOS!$D6958,nESPEC,DATOS!$E6958,nASIG,DATOS!$I6958,nEVAL,"EX")=0),0))))</f>
      </c>
      <c r="H6958">
        <f>IF(DATOS!$G6958&lt;&gt;"EX",0,--(COUNTIFS(nNIA,DATOS!$A6958,nCURSO,DATOS!$D6958,nESPEC,DATOS!$E6958,nASIG,DATOS!$I6958,nEVAL,"OR")=0))</f>
      </c>
      <c r="I6958">
        <f>IF(DATOS!$I6958="","",IFERROR(VLOOKUP(DATOS!$I6958,CONFIG_ASIGNATURAS!$B$2:$J$91,9,FALSE()),""))</f>
      </c>
    </row>
    <row r="6959">
      <c r="F6959">
        <f>IF(DATOS!$A6959="","",DATOS!$A6959&amp;"|"&amp;DATOS!$D6959&amp;"|"&amp;DATOS!$E6959&amp;"|"&amp;DATOS!$I6959)</f>
      </c>
      <c r="G6959">
        <f>IF(DATOS!$A6959="",0,IF(CONFIG_METADATA!$B$4&lt;&gt;"OR+EX",--(DATOS!$G6959=CONFIG_METADATA!$B$4),IF(DATOS!$G6959="EX",1,IF(DATOS!$G6959="OR",--(COUNTIFS(nNIA,DATOS!$A6959,nCURSO,DATOS!$D6959,nESPEC,DATOS!$E6959,nASIG,DATOS!$I6959,nEVAL,"EX")=0),0))))</f>
      </c>
      <c r="H6959">
        <f>IF(DATOS!$G6959&lt;&gt;"EX",0,--(COUNTIFS(nNIA,DATOS!$A6959,nCURSO,DATOS!$D6959,nESPEC,DATOS!$E6959,nASIG,DATOS!$I6959,nEVAL,"OR")=0))</f>
      </c>
      <c r="I6959">
        <f>IF(DATOS!$I6959="","",IFERROR(VLOOKUP(DATOS!$I6959,CONFIG_ASIGNATURAS!$B$2:$J$91,9,FALSE()),""))</f>
      </c>
    </row>
    <row r="6960">
      <c r="F6960">
        <f>IF(DATOS!$A6960="","",DATOS!$A6960&amp;"|"&amp;DATOS!$D6960&amp;"|"&amp;DATOS!$E6960&amp;"|"&amp;DATOS!$I6960)</f>
      </c>
      <c r="G6960">
        <f>IF(DATOS!$A6960="",0,IF(CONFIG_METADATA!$B$4&lt;&gt;"OR+EX",--(DATOS!$G6960=CONFIG_METADATA!$B$4),IF(DATOS!$G6960="EX",1,IF(DATOS!$G6960="OR",--(COUNTIFS(nNIA,DATOS!$A6960,nCURSO,DATOS!$D6960,nESPEC,DATOS!$E6960,nASIG,DATOS!$I6960,nEVAL,"EX")=0),0))))</f>
      </c>
      <c r="H6960">
        <f>IF(DATOS!$G6960&lt;&gt;"EX",0,--(COUNTIFS(nNIA,DATOS!$A6960,nCURSO,DATOS!$D6960,nESPEC,DATOS!$E6960,nASIG,DATOS!$I6960,nEVAL,"OR")=0))</f>
      </c>
      <c r="I6960">
        <f>IF(DATOS!$I6960="","",IFERROR(VLOOKUP(DATOS!$I6960,CONFIG_ASIGNATURAS!$B$2:$J$91,9,FALSE()),""))</f>
      </c>
    </row>
    <row r="6961">
      <c r="F6961">
        <f>IF(DATOS!$A6961="","",DATOS!$A6961&amp;"|"&amp;DATOS!$D6961&amp;"|"&amp;DATOS!$E6961&amp;"|"&amp;DATOS!$I6961)</f>
      </c>
      <c r="G6961">
        <f>IF(DATOS!$A6961="",0,IF(CONFIG_METADATA!$B$4&lt;&gt;"OR+EX",--(DATOS!$G6961=CONFIG_METADATA!$B$4),IF(DATOS!$G6961="EX",1,IF(DATOS!$G6961="OR",--(COUNTIFS(nNIA,DATOS!$A6961,nCURSO,DATOS!$D6961,nESPEC,DATOS!$E6961,nASIG,DATOS!$I6961,nEVAL,"EX")=0),0))))</f>
      </c>
      <c r="H6961">
        <f>IF(DATOS!$G6961&lt;&gt;"EX",0,--(COUNTIFS(nNIA,DATOS!$A6961,nCURSO,DATOS!$D6961,nESPEC,DATOS!$E6961,nASIG,DATOS!$I6961,nEVAL,"OR")=0))</f>
      </c>
      <c r="I6961">
        <f>IF(DATOS!$I6961="","",IFERROR(VLOOKUP(DATOS!$I6961,CONFIG_ASIGNATURAS!$B$2:$J$91,9,FALSE()),""))</f>
      </c>
    </row>
    <row r="6962">
      <c r="F6962">
        <f>IF(DATOS!$A6962="","",DATOS!$A6962&amp;"|"&amp;DATOS!$D6962&amp;"|"&amp;DATOS!$E6962&amp;"|"&amp;DATOS!$I6962)</f>
      </c>
      <c r="G6962">
        <f>IF(DATOS!$A6962="",0,IF(CONFIG_METADATA!$B$4&lt;&gt;"OR+EX",--(DATOS!$G6962=CONFIG_METADATA!$B$4),IF(DATOS!$G6962="EX",1,IF(DATOS!$G6962="OR",--(COUNTIFS(nNIA,DATOS!$A6962,nCURSO,DATOS!$D6962,nESPEC,DATOS!$E6962,nASIG,DATOS!$I6962,nEVAL,"EX")=0),0))))</f>
      </c>
      <c r="H6962">
        <f>IF(DATOS!$G6962&lt;&gt;"EX",0,--(COUNTIFS(nNIA,DATOS!$A6962,nCURSO,DATOS!$D6962,nESPEC,DATOS!$E6962,nASIG,DATOS!$I6962,nEVAL,"OR")=0))</f>
      </c>
      <c r="I6962">
        <f>IF(DATOS!$I6962="","",IFERROR(VLOOKUP(DATOS!$I6962,CONFIG_ASIGNATURAS!$B$2:$J$91,9,FALSE()),""))</f>
      </c>
    </row>
    <row r="6963">
      <c r="F6963">
        <f>IF(DATOS!$A6963="","",DATOS!$A6963&amp;"|"&amp;DATOS!$D6963&amp;"|"&amp;DATOS!$E6963&amp;"|"&amp;DATOS!$I6963)</f>
      </c>
      <c r="G6963">
        <f>IF(DATOS!$A6963="",0,IF(CONFIG_METADATA!$B$4&lt;&gt;"OR+EX",--(DATOS!$G6963=CONFIG_METADATA!$B$4),IF(DATOS!$G6963="EX",1,IF(DATOS!$G6963="OR",--(COUNTIFS(nNIA,DATOS!$A6963,nCURSO,DATOS!$D6963,nESPEC,DATOS!$E6963,nASIG,DATOS!$I6963,nEVAL,"EX")=0),0))))</f>
      </c>
      <c r="H6963">
        <f>IF(DATOS!$G6963&lt;&gt;"EX",0,--(COUNTIFS(nNIA,DATOS!$A6963,nCURSO,DATOS!$D6963,nESPEC,DATOS!$E6963,nASIG,DATOS!$I6963,nEVAL,"OR")=0))</f>
      </c>
      <c r="I6963">
        <f>IF(DATOS!$I6963="","",IFERROR(VLOOKUP(DATOS!$I6963,CONFIG_ASIGNATURAS!$B$2:$J$91,9,FALSE()),""))</f>
      </c>
    </row>
    <row r="6964">
      <c r="F6964">
        <f>IF(DATOS!$A6964="","",DATOS!$A6964&amp;"|"&amp;DATOS!$D6964&amp;"|"&amp;DATOS!$E6964&amp;"|"&amp;DATOS!$I6964)</f>
      </c>
      <c r="G6964">
        <f>IF(DATOS!$A6964="",0,IF(CONFIG_METADATA!$B$4&lt;&gt;"OR+EX",--(DATOS!$G6964=CONFIG_METADATA!$B$4),IF(DATOS!$G6964="EX",1,IF(DATOS!$G6964="OR",--(COUNTIFS(nNIA,DATOS!$A6964,nCURSO,DATOS!$D6964,nESPEC,DATOS!$E6964,nASIG,DATOS!$I6964,nEVAL,"EX")=0),0))))</f>
      </c>
      <c r="H6964">
        <f>IF(DATOS!$G6964&lt;&gt;"EX",0,--(COUNTIFS(nNIA,DATOS!$A6964,nCURSO,DATOS!$D6964,nESPEC,DATOS!$E6964,nASIG,DATOS!$I6964,nEVAL,"OR")=0))</f>
      </c>
      <c r="I6964">
        <f>IF(DATOS!$I6964="","",IFERROR(VLOOKUP(DATOS!$I6964,CONFIG_ASIGNATURAS!$B$2:$J$91,9,FALSE()),""))</f>
      </c>
    </row>
    <row r="6965">
      <c r="F6965">
        <f>IF(DATOS!$A6965="","",DATOS!$A6965&amp;"|"&amp;DATOS!$D6965&amp;"|"&amp;DATOS!$E6965&amp;"|"&amp;DATOS!$I6965)</f>
      </c>
      <c r="G6965">
        <f>IF(DATOS!$A6965="",0,IF(CONFIG_METADATA!$B$4&lt;&gt;"OR+EX",--(DATOS!$G6965=CONFIG_METADATA!$B$4),IF(DATOS!$G6965="EX",1,IF(DATOS!$G6965="OR",--(COUNTIFS(nNIA,DATOS!$A6965,nCURSO,DATOS!$D6965,nESPEC,DATOS!$E6965,nASIG,DATOS!$I6965,nEVAL,"EX")=0),0))))</f>
      </c>
      <c r="H6965">
        <f>IF(DATOS!$G6965&lt;&gt;"EX",0,--(COUNTIFS(nNIA,DATOS!$A6965,nCURSO,DATOS!$D6965,nESPEC,DATOS!$E6965,nASIG,DATOS!$I6965,nEVAL,"OR")=0))</f>
      </c>
      <c r="I6965">
        <f>IF(DATOS!$I6965="","",IFERROR(VLOOKUP(DATOS!$I6965,CONFIG_ASIGNATURAS!$B$2:$J$91,9,FALSE()),""))</f>
      </c>
    </row>
    <row r="6966">
      <c r="F6966">
        <f>IF(DATOS!$A6966="","",DATOS!$A6966&amp;"|"&amp;DATOS!$D6966&amp;"|"&amp;DATOS!$E6966&amp;"|"&amp;DATOS!$I6966)</f>
      </c>
      <c r="G6966">
        <f>IF(DATOS!$A6966="",0,IF(CONFIG_METADATA!$B$4&lt;&gt;"OR+EX",--(DATOS!$G6966=CONFIG_METADATA!$B$4),IF(DATOS!$G6966="EX",1,IF(DATOS!$G6966="OR",--(COUNTIFS(nNIA,DATOS!$A6966,nCURSO,DATOS!$D6966,nESPEC,DATOS!$E6966,nASIG,DATOS!$I6966,nEVAL,"EX")=0),0))))</f>
      </c>
      <c r="H6966">
        <f>IF(DATOS!$G6966&lt;&gt;"EX",0,--(COUNTIFS(nNIA,DATOS!$A6966,nCURSO,DATOS!$D6966,nESPEC,DATOS!$E6966,nASIG,DATOS!$I6966,nEVAL,"OR")=0))</f>
      </c>
      <c r="I6966">
        <f>IF(DATOS!$I6966="","",IFERROR(VLOOKUP(DATOS!$I6966,CONFIG_ASIGNATURAS!$B$2:$J$91,9,FALSE()),""))</f>
      </c>
    </row>
    <row r="6967">
      <c r="F6967">
        <f>IF(DATOS!$A6967="","",DATOS!$A6967&amp;"|"&amp;DATOS!$D6967&amp;"|"&amp;DATOS!$E6967&amp;"|"&amp;DATOS!$I6967)</f>
      </c>
      <c r="G6967">
        <f>IF(DATOS!$A6967="",0,IF(CONFIG_METADATA!$B$4&lt;&gt;"OR+EX",--(DATOS!$G6967=CONFIG_METADATA!$B$4),IF(DATOS!$G6967="EX",1,IF(DATOS!$G6967="OR",--(COUNTIFS(nNIA,DATOS!$A6967,nCURSO,DATOS!$D6967,nESPEC,DATOS!$E6967,nASIG,DATOS!$I6967,nEVAL,"EX")=0),0))))</f>
      </c>
      <c r="H6967">
        <f>IF(DATOS!$G6967&lt;&gt;"EX",0,--(COUNTIFS(nNIA,DATOS!$A6967,nCURSO,DATOS!$D6967,nESPEC,DATOS!$E6967,nASIG,DATOS!$I6967,nEVAL,"OR")=0))</f>
      </c>
      <c r="I6967">
        <f>IF(DATOS!$I6967="","",IFERROR(VLOOKUP(DATOS!$I6967,CONFIG_ASIGNATURAS!$B$2:$J$91,9,FALSE()),""))</f>
      </c>
    </row>
    <row r="6968">
      <c r="F6968">
        <f>IF(DATOS!$A6968="","",DATOS!$A6968&amp;"|"&amp;DATOS!$D6968&amp;"|"&amp;DATOS!$E6968&amp;"|"&amp;DATOS!$I6968)</f>
      </c>
      <c r="G6968">
        <f>IF(DATOS!$A6968="",0,IF(CONFIG_METADATA!$B$4&lt;&gt;"OR+EX",--(DATOS!$G6968=CONFIG_METADATA!$B$4),IF(DATOS!$G6968="EX",1,IF(DATOS!$G6968="OR",--(COUNTIFS(nNIA,DATOS!$A6968,nCURSO,DATOS!$D6968,nESPEC,DATOS!$E6968,nASIG,DATOS!$I6968,nEVAL,"EX")=0),0))))</f>
      </c>
      <c r="H6968">
        <f>IF(DATOS!$G6968&lt;&gt;"EX",0,--(COUNTIFS(nNIA,DATOS!$A6968,nCURSO,DATOS!$D6968,nESPEC,DATOS!$E6968,nASIG,DATOS!$I6968,nEVAL,"OR")=0))</f>
      </c>
      <c r="I6968">
        <f>IF(DATOS!$I6968="","",IFERROR(VLOOKUP(DATOS!$I6968,CONFIG_ASIGNATURAS!$B$2:$J$91,9,FALSE()),""))</f>
      </c>
    </row>
    <row r="6969">
      <c r="F6969">
        <f>IF(DATOS!$A6969="","",DATOS!$A6969&amp;"|"&amp;DATOS!$D6969&amp;"|"&amp;DATOS!$E6969&amp;"|"&amp;DATOS!$I6969)</f>
      </c>
      <c r="G6969">
        <f>IF(DATOS!$A6969="",0,IF(CONFIG_METADATA!$B$4&lt;&gt;"OR+EX",--(DATOS!$G6969=CONFIG_METADATA!$B$4),IF(DATOS!$G6969="EX",1,IF(DATOS!$G6969="OR",--(COUNTIFS(nNIA,DATOS!$A6969,nCURSO,DATOS!$D6969,nESPEC,DATOS!$E6969,nASIG,DATOS!$I6969,nEVAL,"EX")=0),0))))</f>
      </c>
      <c r="H6969">
        <f>IF(DATOS!$G6969&lt;&gt;"EX",0,--(COUNTIFS(nNIA,DATOS!$A6969,nCURSO,DATOS!$D6969,nESPEC,DATOS!$E6969,nASIG,DATOS!$I6969,nEVAL,"OR")=0))</f>
      </c>
      <c r="I6969">
        <f>IF(DATOS!$I6969="","",IFERROR(VLOOKUP(DATOS!$I6969,CONFIG_ASIGNATURAS!$B$2:$J$91,9,FALSE()),""))</f>
      </c>
    </row>
    <row r="6970">
      <c r="F6970">
        <f>IF(DATOS!$A6970="","",DATOS!$A6970&amp;"|"&amp;DATOS!$D6970&amp;"|"&amp;DATOS!$E6970&amp;"|"&amp;DATOS!$I6970)</f>
      </c>
      <c r="G6970">
        <f>IF(DATOS!$A6970="",0,IF(CONFIG_METADATA!$B$4&lt;&gt;"OR+EX",--(DATOS!$G6970=CONFIG_METADATA!$B$4),IF(DATOS!$G6970="EX",1,IF(DATOS!$G6970="OR",--(COUNTIFS(nNIA,DATOS!$A6970,nCURSO,DATOS!$D6970,nESPEC,DATOS!$E6970,nASIG,DATOS!$I6970,nEVAL,"EX")=0),0))))</f>
      </c>
      <c r="H6970">
        <f>IF(DATOS!$G6970&lt;&gt;"EX",0,--(COUNTIFS(nNIA,DATOS!$A6970,nCURSO,DATOS!$D6970,nESPEC,DATOS!$E6970,nASIG,DATOS!$I6970,nEVAL,"OR")=0))</f>
      </c>
      <c r="I6970">
        <f>IF(DATOS!$I6970="","",IFERROR(VLOOKUP(DATOS!$I6970,CONFIG_ASIGNATURAS!$B$2:$J$91,9,FALSE()),""))</f>
      </c>
    </row>
    <row r="6971">
      <c r="F6971">
        <f>IF(DATOS!$A6971="","",DATOS!$A6971&amp;"|"&amp;DATOS!$D6971&amp;"|"&amp;DATOS!$E6971&amp;"|"&amp;DATOS!$I6971)</f>
      </c>
      <c r="G6971">
        <f>IF(DATOS!$A6971="",0,IF(CONFIG_METADATA!$B$4&lt;&gt;"OR+EX",--(DATOS!$G6971=CONFIG_METADATA!$B$4),IF(DATOS!$G6971="EX",1,IF(DATOS!$G6971="OR",--(COUNTIFS(nNIA,DATOS!$A6971,nCURSO,DATOS!$D6971,nESPEC,DATOS!$E6971,nASIG,DATOS!$I6971,nEVAL,"EX")=0),0))))</f>
      </c>
      <c r="H6971">
        <f>IF(DATOS!$G6971&lt;&gt;"EX",0,--(COUNTIFS(nNIA,DATOS!$A6971,nCURSO,DATOS!$D6971,nESPEC,DATOS!$E6971,nASIG,DATOS!$I6971,nEVAL,"OR")=0))</f>
      </c>
      <c r="I6971">
        <f>IF(DATOS!$I6971="","",IFERROR(VLOOKUP(DATOS!$I6971,CONFIG_ASIGNATURAS!$B$2:$J$91,9,FALSE()),""))</f>
      </c>
    </row>
    <row r="6972">
      <c r="F6972">
        <f>IF(DATOS!$A6972="","",DATOS!$A6972&amp;"|"&amp;DATOS!$D6972&amp;"|"&amp;DATOS!$E6972&amp;"|"&amp;DATOS!$I6972)</f>
      </c>
      <c r="G6972">
        <f>IF(DATOS!$A6972="",0,IF(CONFIG_METADATA!$B$4&lt;&gt;"OR+EX",--(DATOS!$G6972=CONFIG_METADATA!$B$4),IF(DATOS!$G6972="EX",1,IF(DATOS!$G6972="OR",--(COUNTIFS(nNIA,DATOS!$A6972,nCURSO,DATOS!$D6972,nESPEC,DATOS!$E6972,nASIG,DATOS!$I6972,nEVAL,"EX")=0),0))))</f>
      </c>
      <c r="H6972">
        <f>IF(DATOS!$G6972&lt;&gt;"EX",0,--(COUNTIFS(nNIA,DATOS!$A6972,nCURSO,DATOS!$D6972,nESPEC,DATOS!$E6972,nASIG,DATOS!$I6972,nEVAL,"OR")=0))</f>
      </c>
      <c r="I6972">
        <f>IF(DATOS!$I6972="","",IFERROR(VLOOKUP(DATOS!$I6972,CONFIG_ASIGNATURAS!$B$2:$J$91,9,FALSE()),""))</f>
      </c>
    </row>
    <row r="6973">
      <c r="F6973">
        <f>IF(DATOS!$A6973="","",DATOS!$A6973&amp;"|"&amp;DATOS!$D6973&amp;"|"&amp;DATOS!$E6973&amp;"|"&amp;DATOS!$I6973)</f>
      </c>
      <c r="G6973">
        <f>IF(DATOS!$A6973="",0,IF(CONFIG_METADATA!$B$4&lt;&gt;"OR+EX",--(DATOS!$G6973=CONFIG_METADATA!$B$4),IF(DATOS!$G6973="EX",1,IF(DATOS!$G6973="OR",--(COUNTIFS(nNIA,DATOS!$A6973,nCURSO,DATOS!$D6973,nESPEC,DATOS!$E6973,nASIG,DATOS!$I6973,nEVAL,"EX")=0),0))))</f>
      </c>
      <c r="H6973">
        <f>IF(DATOS!$G6973&lt;&gt;"EX",0,--(COUNTIFS(nNIA,DATOS!$A6973,nCURSO,DATOS!$D6973,nESPEC,DATOS!$E6973,nASIG,DATOS!$I6973,nEVAL,"OR")=0))</f>
      </c>
      <c r="I6973">
        <f>IF(DATOS!$I6973="","",IFERROR(VLOOKUP(DATOS!$I6973,CONFIG_ASIGNATURAS!$B$2:$J$91,9,FALSE()),""))</f>
      </c>
    </row>
    <row r="6974">
      <c r="F6974">
        <f>IF(DATOS!$A6974="","",DATOS!$A6974&amp;"|"&amp;DATOS!$D6974&amp;"|"&amp;DATOS!$E6974&amp;"|"&amp;DATOS!$I6974)</f>
      </c>
      <c r="G6974">
        <f>IF(DATOS!$A6974="",0,IF(CONFIG_METADATA!$B$4&lt;&gt;"OR+EX",--(DATOS!$G6974=CONFIG_METADATA!$B$4),IF(DATOS!$G6974="EX",1,IF(DATOS!$G6974="OR",--(COUNTIFS(nNIA,DATOS!$A6974,nCURSO,DATOS!$D6974,nESPEC,DATOS!$E6974,nASIG,DATOS!$I6974,nEVAL,"EX")=0),0))))</f>
      </c>
      <c r="H6974">
        <f>IF(DATOS!$G6974&lt;&gt;"EX",0,--(COUNTIFS(nNIA,DATOS!$A6974,nCURSO,DATOS!$D6974,nESPEC,DATOS!$E6974,nASIG,DATOS!$I6974,nEVAL,"OR")=0))</f>
      </c>
      <c r="I6974">
        <f>IF(DATOS!$I6974="","",IFERROR(VLOOKUP(DATOS!$I6974,CONFIG_ASIGNATURAS!$B$2:$J$91,9,FALSE()),""))</f>
      </c>
    </row>
    <row r="6975">
      <c r="F6975">
        <f>IF(DATOS!$A6975="","",DATOS!$A6975&amp;"|"&amp;DATOS!$D6975&amp;"|"&amp;DATOS!$E6975&amp;"|"&amp;DATOS!$I6975)</f>
      </c>
      <c r="G6975">
        <f>IF(DATOS!$A6975="",0,IF(CONFIG_METADATA!$B$4&lt;&gt;"OR+EX",--(DATOS!$G6975=CONFIG_METADATA!$B$4),IF(DATOS!$G6975="EX",1,IF(DATOS!$G6975="OR",--(COUNTIFS(nNIA,DATOS!$A6975,nCURSO,DATOS!$D6975,nESPEC,DATOS!$E6975,nASIG,DATOS!$I6975,nEVAL,"EX")=0),0))))</f>
      </c>
      <c r="H6975">
        <f>IF(DATOS!$G6975&lt;&gt;"EX",0,--(COUNTIFS(nNIA,DATOS!$A6975,nCURSO,DATOS!$D6975,nESPEC,DATOS!$E6975,nASIG,DATOS!$I6975,nEVAL,"OR")=0))</f>
      </c>
      <c r="I6975">
        <f>IF(DATOS!$I6975="","",IFERROR(VLOOKUP(DATOS!$I6975,CONFIG_ASIGNATURAS!$B$2:$J$91,9,FALSE()),""))</f>
      </c>
    </row>
    <row r="6976">
      <c r="F6976">
        <f>IF(DATOS!$A6976="","",DATOS!$A6976&amp;"|"&amp;DATOS!$D6976&amp;"|"&amp;DATOS!$E6976&amp;"|"&amp;DATOS!$I6976)</f>
      </c>
      <c r="G6976">
        <f>IF(DATOS!$A6976="",0,IF(CONFIG_METADATA!$B$4&lt;&gt;"OR+EX",--(DATOS!$G6976=CONFIG_METADATA!$B$4),IF(DATOS!$G6976="EX",1,IF(DATOS!$G6976="OR",--(COUNTIFS(nNIA,DATOS!$A6976,nCURSO,DATOS!$D6976,nESPEC,DATOS!$E6976,nASIG,DATOS!$I6976,nEVAL,"EX")=0),0))))</f>
      </c>
      <c r="H6976">
        <f>IF(DATOS!$G6976&lt;&gt;"EX",0,--(COUNTIFS(nNIA,DATOS!$A6976,nCURSO,DATOS!$D6976,nESPEC,DATOS!$E6976,nASIG,DATOS!$I6976,nEVAL,"OR")=0))</f>
      </c>
      <c r="I6976">
        <f>IF(DATOS!$I6976="","",IFERROR(VLOOKUP(DATOS!$I6976,CONFIG_ASIGNATURAS!$B$2:$J$91,9,FALSE()),""))</f>
      </c>
    </row>
    <row r="6977">
      <c r="F6977">
        <f>IF(DATOS!$A6977="","",DATOS!$A6977&amp;"|"&amp;DATOS!$D6977&amp;"|"&amp;DATOS!$E6977&amp;"|"&amp;DATOS!$I6977)</f>
      </c>
      <c r="G6977">
        <f>IF(DATOS!$A6977="",0,IF(CONFIG_METADATA!$B$4&lt;&gt;"OR+EX",--(DATOS!$G6977=CONFIG_METADATA!$B$4),IF(DATOS!$G6977="EX",1,IF(DATOS!$G6977="OR",--(COUNTIFS(nNIA,DATOS!$A6977,nCURSO,DATOS!$D6977,nESPEC,DATOS!$E6977,nASIG,DATOS!$I6977,nEVAL,"EX")=0),0))))</f>
      </c>
      <c r="H6977">
        <f>IF(DATOS!$G6977&lt;&gt;"EX",0,--(COUNTIFS(nNIA,DATOS!$A6977,nCURSO,DATOS!$D6977,nESPEC,DATOS!$E6977,nASIG,DATOS!$I6977,nEVAL,"OR")=0))</f>
      </c>
      <c r="I6977">
        <f>IF(DATOS!$I6977="","",IFERROR(VLOOKUP(DATOS!$I6977,CONFIG_ASIGNATURAS!$B$2:$J$91,9,FALSE()),""))</f>
      </c>
    </row>
    <row r="6978">
      <c r="F6978">
        <f>IF(DATOS!$A6978="","",DATOS!$A6978&amp;"|"&amp;DATOS!$D6978&amp;"|"&amp;DATOS!$E6978&amp;"|"&amp;DATOS!$I6978)</f>
      </c>
      <c r="G6978">
        <f>IF(DATOS!$A6978="",0,IF(CONFIG_METADATA!$B$4&lt;&gt;"OR+EX",--(DATOS!$G6978=CONFIG_METADATA!$B$4),IF(DATOS!$G6978="EX",1,IF(DATOS!$G6978="OR",--(COUNTIFS(nNIA,DATOS!$A6978,nCURSO,DATOS!$D6978,nESPEC,DATOS!$E6978,nASIG,DATOS!$I6978,nEVAL,"EX")=0),0))))</f>
      </c>
      <c r="H6978">
        <f>IF(DATOS!$G6978&lt;&gt;"EX",0,--(COUNTIFS(nNIA,DATOS!$A6978,nCURSO,DATOS!$D6978,nESPEC,DATOS!$E6978,nASIG,DATOS!$I6978,nEVAL,"OR")=0))</f>
      </c>
      <c r="I6978">
        <f>IF(DATOS!$I6978="","",IFERROR(VLOOKUP(DATOS!$I6978,CONFIG_ASIGNATURAS!$B$2:$J$91,9,FALSE()),""))</f>
      </c>
    </row>
    <row r="6979">
      <c r="F6979">
        <f>IF(DATOS!$A6979="","",DATOS!$A6979&amp;"|"&amp;DATOS!$D6979&amp;"|"&amp;DATOS!$E6979&amp;"|"&amp;DATOS!$I6979)</f>
      </c>
      <c r="G6979">
        <f>IF(DATOS!$A6979="",0,IF(CONFIG_METADATA!$B$4&lt;&gt;"OR+EX",--(DATOS!$G6979=CONFIG_METADATA!$B$4),IF(DATOS!$G6979="EX",1,IF(DATOS!$G6979="OR",--(COUNTIFS(nNIA,DATOS!$A6979,nCURSO,DATOS!$D6979,nESPEC,DATOS!$E6979,nASIG,DATOS!$I6979,nEVAL,"EX")=0),0))))</f>
      </c>
      <c r="H6979">
        <f>IF(DATOS!$G6979&lt;&gt;"EX",0,--(COUNTIFS(nNIA,DATOS!$A6979,nCURSO,DATOS!$D6979,nESPEC,DATOS!$E6979,nASIG,DATOS!$I6979,nEVAL,"OR")=0))</f>
      </c>
      <c r="I6979">
        <f>IF(DATOS!$I6979="","",IFERROR(VLOOKUP(DATOS!$I6979,CONFIG_ASIGNATURAS!$B$2:$J$91,9,FALSE()),""))</f>
      </c>
    </row>
    <row r="6980">
      <c r="F6980">
        <f>IF(DATOS!$A6980="","",DATOS!$A6980&amp;"|"&amp;DATOS!$D6980&amp;"|"&amp;DATOS!$E6980&amp;"|"&amp;DATOS!$I6980)</f>
      </c>
      <c r="G6980">
        <f>IF(DATOS!$A6980="",0,IF(CONFIG_METADATA!$B$4&lt;&gt;"OR+EX",--(DATOS!$G6980=CONFIG_METADATA!$B$4),IF(DATOS!$G6980="EX",1,IF(DATOS!$G6980="OR",--(COUNTIFS(nNIA,DATOS!$A6980,nCURSO,DATOS!$D6980,nESPEC,DATOS!$E6980,nASIG,DATOS!$I6980,nEVAL,"EX")=0),0))))</f>
      </c>
      <c r="H6980">
        <f>IF(DATOS!$G6980&lt;&gt;"EX",0,--(COUNTIFS(nNIA,DATOS!$A6980,nCURSO,DATOS!$D6980,nESPEC,DATOS!$E6980,nASIG,DATOS!$I6980,nEVAL,"OR")=0))</f>
      </c>
      <c r="I6980">
        <f>IF(DATOS!$I6980="","",IFERROR(VLOOKUP(DATOS!$I6980,CONFIG_ASIGNATURAS!$B$2:$J$91,9,FALSE()),""))</f>
      </c>
    </row>
    <row r="6981">
      <c r="F6981">
        <f>IF(DATOS!$A6981="","",DATOS!$A6981&amp;"|"&amp;DATOS!$D6981&amp;"|"&amp;DATOS!$E6981&amp;"|"&amp;DATOS!$I6981)</f>
      </c>
      <c r="G6981">
        <f>IF(DATOS!$A6981="",0,IF(CONFIG_METADATA!$B$4&lt;&gt;"OR+EX",--(DATOS!$G6981=CONFIG_METADATA!$B$4),IF(DATOS!$G6981="EX",1,IF(DATOS!$G6981="OR",--(COUNTIFS(nNIA,DATOS!$A6981,nCURSO,DATOS!$D6981,nESPEC,DATOS!$E6981,nASIG,DATOS!$I6981,nEVAL,"EX")=0),0))))</f>
      </c>
      <c r="H6981">
        <f>IF(DATOS!$G6981&lt;&gt;"EX",0,--(COUNTIFS(nNIA,DATOS!$A6981,nCURSO,DATOS!$D6981,nESPEC,DATOS!$E6981,nASIG,DATOS!$I6981,nEVAL,"OR")=0))</f>
      </c>
      <c r="I6981">
        <f>IF(DATOS!$I6981="","",IFERROR(VLOOKUP(DATOS!$I6981,CONFIG_ASIGNATURAS!$B$2:$J$91,9,FALSE()),""))</f>
      </c>
    </row>
    <row r="6982">
      <c r="F6982">
        <f>IF(DATOS!$A6982="","",DATOS!$A6982&amp;"|"&amp;DATOS!$D6982&amp;"|"&amp;DATOS!$E6982&amp;"|"&amp;DATOS!$I6982)</f>
      </c>
      <c r="G6982">
        <f>IF(DATOS!$A6982="",0,IF(CONFIG_METADATA!$B$4&lt;&gt;"OR+EX",--(DATOS!$G6982=CONFIG_METADATA!$B$4),IF(DATOS!$G6982="EX",1,IF(DATOS!$G6982="OR",--(COUNTIFS(nNIA,DATOS!$A6982,nCURSO,DATOS!$D6982,nESPEC,DATOS!$E6982,nASIG,DATOS!$I6982,nEVAL,"EX")=0),0))))</f>
      </c>
      <c r="H6982">
        <f>IF(DATOS!$G6982&lt;&gt;"EX",0,--(COUNTIFS(nNIA,DATOS!$A6982,nCURSO,DATOS!$D6982,nESPEC,DATOS!$E6982,nASIG,DATOS!$I6982,nEVAL,"OR")=0))</f>
      </c>
      <c r="I6982">
        <f>IF(DATOS!$I6982="","",IFERROR(VLOOKUP(DATOS!$I6982,CONFIG_ASIGNATURAS!$B$2:$J$91,9,FALSE()),""))</f>
      </c>
    </row>
    <row r="6983">
      <c r="F6983">
        <f>IF(DATOS!$A6983="","",DATOS!$A6983&amp;"|"&amp;DATOS!$D6983&amp;"|"&amp;DATOS!$E6983&amp;"|"&amp;DATOS!$I6983)</f>
      </c>
      <c r="G6983">
        <f>IF(DATOS!$A6983="",0,IF(CONFIG_METADATA!$B$4&lt;&gt;"OR+EX",--(DATOS!$G6983=CONFIG_METADATA!$B$4),IF(DATOS!$G6983="EX",1,IF(DATOS!$G6983="OR",--(COUNTIFS(nNIA,DATOS!$A6983,nCURSO,DATOS!$D6983,nESPEC,DATOS!$E6983,nASIG,DATOS!$I6983,nEVAL,"EX")=0),0))))</f>
      </c>
      <c r="H6983">
        <f>IF(DATOS!$G6983&lt;&gt;"EX",0,--(COUNTIFS(nNIA,DATOS!$A6983,nCURSO,DATOS!$D6983,nESPEC,DATOS!$E6983,nASIG,DATOS!$I6983,nEVAL,"OR")=0))</f>
      </c>
      <c r="I6983">
        <f>IF(DATOS!$I6983="","",IFERROR(VLOOKUP(DATOS!$I6983,CONFIG_ASIGNATURAS!$B$2:$J$91,9,FALSE()),""))</f>
      </c>
    </row>
    <row r="6984">
      <c r="F6984">
        <f>IF(DATOS!$A6984="","",DATOS!$A6984&amp;"|"&amp;DATOS!$D6984&amp;"|"&amp;DATOS!$E6984&amp;"|"&amp;DATOS!$I6984)</f>
      </c>
      <c r="G6984">
        <f>IF(DATOS!$A6984="",0,IF(CONFIG_METADATA!$B$4&lt;&gt;"OR+EX",--(DATOS!$G6984=CONFIG_METADATA!$B$4),IF(DATOS!$G6984="EX",1,IF(DATOS!$G6984="OR",--(COUNTIFS(nNIA,DATOS!$A6984,nCURSO,DATOS!$D6984,nESPEC,DATOS!$E6984,nASIG,DATOS!$I6984,nEVAL,"EX")=0),0))))</f>
      </c>
      <c r="H6984">
        <f>IF(DATOS!$G6984&lt;&gt;"EX",0,--(COUNTIFS(nNIA,DATOS!$A6984,nCURSO,DATOS!$D6984,nESPEC,DATOS!$E6984,nASIG,DATOS!$I6984,nEVAL,"OR")=0))</f>
      </c>
      <c r="I6984">
        <f>IF(DATOS!$I6984="","",IFERROR(VLOOKUP(DATOS!$I6984,CONFIG_ASIGNATURAS!$B$2:$J$91,9,FALSE()),""))</f>
      </c>
    </row>
    <row r="6985">
      <c r="F6985">
        <f>IF(DATOS!$A6985="","",DATOS!$A6985&amp;"|"&amp;DATOS!$D6985&amp;"|"&amp;DATOS!$E6985&amp;"|"&amp;DATOS!$I6985)</f>
      </c>
      <c r="G6985">
        <f>IF(DATOS!$A6985="",0,IF(CONFIG_METADATA!$B$4&lt;&gt;"OR+EX",--(DATOS!$G6985=CONFIG_METADATA!$B$4),IF(DATOS!$G6985="EX",1,IF(DATOS!$G6985="OR",--(COUNTIFS(nNIA,DATOS!$A6985,nCURSO,DATOS!$D6985,nESPEC,DATOS!$E6985,nASIG,DATOS!$I6985,nEVAL,"EX")=0),0))))</f>
      </c>
      <c r="H6985">
        <f>IF(DATOS!$G6985&lt;&gt;"EX",0,--(COUNTIFS(nNIA,DATOS!$A6985,nCURSO,DATOS!$D6985,nESPEC,DATOS!$E6985,nASIG,DATOS!$I6985,nEVAL,"OR")=0))</f>
      </c>
      <c r="I6985">
        <f>IF(DATOS!$I6985="","",IFERROR(VLOOKUP(DATOS!$I6985,CONFIG_ASIGNATURAS!$B$2:$J$91,9,FALSE()),""))</f>
      </c>
    </row>
    <row r="6986">
      <c r="F6986">
        <f>IF(DATOS!$A6986="","",DATOS!$A6986&amp;"|"&amp;DATOS!$D6986&amp;"|"&amp;DATOS!$E6986&amp;"|"&amp;DATOS!$I6986)</f>
      </c>
      <c r="G6986">
        <f>IF(DATOS!$A6986="",0,IF(CONFIG_METADATA!$B$4&lt;&gt;"OR+EX",--(DATOS!$G6986=CONFIG_METADATA!$B$4),IF(DATOS!$G6986="EX",1,IF(DATOS!$G6986="OR",--(COUNTIFS(nNIA,DATOS!$A6986,nCURSO,DATOS!$D6986,nESPEC,DATOS!$E6986,nASIG,DATOS!$I6986,nEVAL,"EX")=0),0))))</f>
      </c>
      <c r="H6986">
        <f>IF(DATOS!$G6986&lt;&gt;"EX",0,--(COUNTIFS(nNIA,DATOS!$A6986,nCURSO,DATOS!$D6986,nESPEC,DATOS!$E6986,nASIG,DATOS!$I6986,nEVAL,"OR")=0))</f>
      </c>
      <c r="I6986">
        <f>IF(DATOS!$I6986="","",IFERROR(VLOOKUP(DATOS!$I6986,CONFIG_ASIGNATURAS!$B$2:$J$91,9,FALSE()),""))</f>
      </c>
    </row>
    <row r="6987">
      <c r="F6987">
        <f>IF(DATOS!$A6987="","",DATOS!$A6987&amp;"|"&amp;DATOS!$D6987&amp;"|"&amp;DATOS!$E6987&amp;"|"&amp;DATOS!$I6987)</f>
      </c>
      <c r="G6987">
        <f>IF(DATOS!$A6987="",0,IF(CONFIG_METADATA!$B$4&lt;&gt;"OR+EX",--(DATOS!$G6987=CONFIG_METADATA!$B$4),IF(DATOS!$G6987="EX",1,IF(DATOS!$G6987="OR",--(COUNTIFS(nNIA,DATOS!$A6987,nCURSO,DATOS!$D6987,nESPEC,DATOS!$E6987,nASIG,DATOS!$I6987,nEVAL,"EX")=0),0))))</f>
      </c>
      <c r="H6987">
        <f>IF(DATOS!$G6987&lt;&gt;"EX",0,--(COUNTIFS(nNIA,DATOS!$A6987,nCURSO,DATOS!$D6987,nESPEC,DATOS!$E6987,nASIG,DATOS!$I6987,nEVAL,"OR")=0))</f>
      </c>
      <c r="I6987">
        <f>IF(DATOS!$I6987="","",IFERROR(VLOOKUP(DATOS!$I6987,CONFIG_ASIGNATURAS!$B$2:$J$91,9,FALSE()),""))</f>
      </c>
    </row>
    <row r="6988">
      <c r="F6988">
        <f>IF(DATOS!$A6988="","",DATOS!$A6988&amp;"|"&amp;DATOS!$D6988&amp;"|"&amp;DATOS!$E6988&amp;"|"&amp;DATOS!$I6988)</f>
      </c>
      <c r="G6988">
        <f>IF(DATOS!$A6988="",0,IF(CONFIG_METADATA!$B$4&lt;&gt;"OR+EX",--(DATOS!$G6988=CONFIG_METADATA!$B$4),IF(DATOS!$G6988="EX",1,IF(DATOS!$G6988="OR",--(COUNTIFS(nNIA,DATOS!$A6988,nCURSO,DATOS!$D6988,nESPEC,DATOS!$E6988,nASIG,DATOS!$I6988,nEVAL,"EX")=0),0))))</f>
      </c>
      <c r="H6988">
        <f>IF(DATOS!$G6988&lt;&gt;"EX",0,--(COUNTIFS(nNIA,DATOS!$A6988,nCURSO,DATOS!$D6988,nESPEC,DATOS!$E6988,nASIG,DATOS!$I6988,nEVAL,"OR")=0))</f>
      </c>
      <c r="I6988">
        <f>IF(DATOS!$I6988="","",IFERROR(VLOOKUP(DATOS!$I6988,CONFIG_ASIGNATURAS!$B$2:$J$91,9,FALSE()),""))</f>
      </c>
    </row>
    <row r="6989">
      <c r="F6989">
        <f>IF(DATOS!$A6989="","",DATOS!$A6989&amp;"|"&amp;DATOS!$D6989&amp;"|"&amp;DATOS!$E6989&amp;"|"&amp;DATOS!$I6989)</f>
      </c>
      <c r="G6989">
        <f>IF(DATOS!$A6989="",0,IF(CONFIG_METADATA!$B$4&lt;&gt;"OR+EX",--(DATOS!$G6989=CONFIG_METADATA!$B$4),IF(DATOS!$G6989="EX",1,IF(DATOS!$G6989="OR",--(COUNTIFS(nNIA,DATOS!$A6989,nCURSO,DATOS!$D6989,nESPEC,DATOS!$E6989,nASIG,DATOS!$I6989,nEVAL,"EX")=0),0))))</f>
      </c>
      <c r="H6989">
        <f>IF(DATOS!$G6989&lt;&gt;"EX",0,--(COUNTIFS(nNIA,DATOS!$A6989,nCURSO,DATOS!$D6989,nESPEC,DATOS!$E6989,nASIG,DATOS!$I6989,nEVAL,"OR")=0))</f>
      </c>
      <c r="I6989">
        <f>IF(DATOS!$I6989="","",IFERROR(VLOOKUP(DATOS!$I6989,CONFIG_ASIGNATURAS!$B$2:$J$91,9,FALSE()),""))</f>
      </c>
    </row>
    <row r="6990">
      <c r="F6990">
        <f>IF(DATOS!$A6990="","",DATOS!$A6990&amp;"|"&amp;DATOS!$D6990&amp;"|"&amp;DATOS!$E6990&amp;"|"&amp;DATOS!$I6990)</f>
      </c>
      <c r="G6990">
        <f>IF(DATOS!$A6990="",0,IF(CONFIG_METADATA!$B$4&lt;&gt;"OR+EX",--(DATOS!$G6990=CONFIG_METADATA!$B$4),IF(DATOS!$G6990="EX",1,IF(DATOS!$G6990="OR",--(COUNTIFS(nNIA,DATOS!$A6990,nCURSO,DATOS!$D6990,nESPEC,DATOS!$E6990,nASIG,DATOS!$I6990,nEVAL,"EX")=0),0))))</f>
      </c>
      <c r="H6990">
        <f>IF(DATOS!$G6990&lt;&gt;"EX",0,--(COUNTIFS(nNIA,DATOS!$A6990,nCURSO,DATOS!$D6990,nESPEC,DATOS!$E6990,nASIG,DATOS!$I6990,nEVAL,"OR")=0))</f>
      </c>
      <c r="I6990">
        <f>IF(DATOS!$I6990="","",IFERROR(VLOOKUP(DATOS!$I6990,CONFIG_ASIGNATURAS!$B$2:$J$91,9,FALSE()),""))</f>
      </c>
    </row>
    <row r="6991">
      <c r="F6991">
        <f>IF(DATOS!$A6991="","",DATOS!$A6991&amp;"|"&amp;DATOS!$D6991&amp;"|"&amp;DATOS!$E6991&amp;"|"&amp;DATOS!$I6991)</f>
      </c>
      <c r="G6991">
        <f>IF(DATOS!$A6991="",0,IF(CONFIG_METADATA!$B$4&lt;&gt;"OR+EX",--(DATOS!$G6991=CONFIG_METADATA!$B$4),IF(DATOS!$G6991="EX",1,IF(DATOS!$G6991="OR",--(COUNTIFS(nNIA,DATOS!$A6991,nCURSO,DATOS!$D6991,nESPEC,DATOS!$E6991,nASIG,DATOS!$I6991,nEVAL,"EX")=0),0))))</f>
      </c>
      <c r="H6991">
        <f>IF(DATOS!$G6991&lt;&gt;"EX",0,--(COUNTIFS(nNIA,DATOS!$A6991,nCURSO,DATOS!$D6991,nESPEC,DATOS!$E6991,nASIG,DATOS!$I6991,nEVAL,"OR")=0))</f>
      </c>
      <c r="I6991">
        <f>IF(DATOS!$I6991="","",IFERROR(VLOOKUP(DATOS!$I6991,CONFIG_ASIGNATURAS!$B$2:$J$91,9,FALSE()),""))</f>
      </c>
    </row>
    <row r="6992">
      <c r="F6992">
        <f>IF(DATOS!$A6992="","",DATOS!$A6992&amp;"|"&amp;DATOS!$D6992&amp;"|"&amp;DATOS!$E6992&amp;"|"&amp;DATOS!$I6992)</f>
      </c>
      <c r="G6992">
        <f>IF(DATOS!$A6992="",0,IF(CONFIG_METADATA!$B$4&lt;&gt;"OR+EX",--(DATOS!$G6992=CONFIG_METADATA!$B$4),IF(DATOS!$G6992="EX",1,IF(DATOS!$G6992="OR",--(COUNTIFS(nNIA,DATOS!$A6992,nCURSO,DATOS!$D6992,nESPEC,DATOS!$E6992,nASIG,DATOS!$I6992,nEVAL,"EX")=0),0))))</f>
      </c>
      <c r="H6992">
        <f>IF(DATOS!$G6992&lt;&gt;"EX",0,--(COUNTIFS(nNIA,DATOS!$A6992,nCURSO,DATOS!$D6992,nESPEC,DATOS!$E6992,nASIG,DATOS!$I6992,nEVAL,"OR")=0))</f>
      </c>
      <c r="I6992">
        <f>IF(DATOS!$I6992="","",IFERROR(VLOOKUP(DATOS!$I6992,CONFIG_ASIGNATURAS!$B$2:$J$91,9,FALSE()),""))</f>
      </c>
    </row>
    <row r="6993">
      <c r="F6993">
        <f>IF(DATOS!$A6993="","",DATOS!$A6993&amp;"|"&amp;DATOS!$D6993&amp;"|"&amp;DATOS!$E6993&amp;"|"&amp;DATOS!$I6993)</f>
      </c>
      <c r="G6993">
        <f>IF(DATOS!$A6993="",0,IF(CONFIG_METADATA!$B$4&lt;&gt;"OR+EX",--(DATOS!$G6993=CONFIG_METADATA!$B$4),IF(DATOS!$G6993="EX",1,IF(DATOS!$G6993="OR",--(COUNTIFS(nNIA,DATOS!$A6993,nCURSO,DATOS!$D6993,nESPEC,DATOS!$E6993,nASIG,DATOS!$I6993,nEVAL,"EX")=0),0))))</f>
      </c>
      <c r="H6993">
        <f>IF(DATOS!$G6993&lt;&gt;"EX",0,--(COUNTIFS(nNIA,DATOS!$A6993,nCURSO,DATOS!$D6993,nESPEC,DATOS!$E6993,nASIG,DATOS!$I6993,nEVAL,"OR")=0))</f>
      </c>
      <c r="I6993">
        <f>IF(DATOS!$I6993="","",IFERROR(VLOOKUP(DATOS!$I6993,CONFIG_ASIGNATURAS!$B$2:$J$91,9,FALSE()),""))</f>
      </c>
    </row>
    <row r="6994">
      <c r="F6994">
        <f>IF(DATOS!$A6994="","",DATOS!$A6994&amp;"|"&amp;DATOS!$D6994&amp;"|"&amp;DATOS!$E6994&amp;"|"&amp;DATOS!$I6994)</f>
      </c>
      <c r="G6994">
        <f>IF(DATOS!$A6994="",0,IF(CONFIG_METADATA!$B$4&lt;&gt;"OR+EX",--(DATOS!$G6994=CONFIG_METADATA!$B$4),IF(DATOS!$G6994="EX",1,IF(DATOS!$G6994="OR",--(COUNTIFS(nNIA,DATOS!$A6994,nCURSO,DATOS!$D6994,nESPEC,DATOS!$E6994,nASIG,DATOS!$I6994,nEVAL,"EX")=0),0))))</f>
      </c>
      <c r="H6994">
        <f>IF(DATOS!$G6994&lt;&gt;"EX",0,--(COUNTIFS(nNIA,DATOS!$A6994,nCURSO,DATOS!$D6994,nESPEC,DATOS!$E6994,nASIG,DATOS!$I6994,nEVAL,"OR")=0))</f>
      </c>
      <c r="I6994">
        <f>IF(DATOS!$I6994="","",IFERROR(VLOOKUP(DATOS!$I6994,CONFIG_ASIGNATURAS!$B$2:$J$91,9,FALSE()),""))</f>
      </c>
    </row>
    <row r="6995">
      <c r="F6995">
        <f>IF(DATOS!$A6995="","",DATOS!$A6995&amp;"|"&amp;DATOS!$D6995&amp;"|"&amp;DATOS!$E6995&amp;"|"&amp;DATOS!$I6995)</f>
      </c>
      <c r="G6995">
        <f>IF(DATOS!$A6995="",0,IF(CONFIG_METADATA!$B$4&lt;&gt;"OR+EX",--(DATOS!$G6995=CONFIG_METADATA!$B$4),IF(DATOS!$G6995="EX",1,IF(DATOS!$G6995="OR",--(COUNTIFS(nNIA,DATOS!$A6995,nCURSO,DATOS!$D6995,nESPEC,DATOS!$E6995,nASIG,DATOS!$I6995,nEVAL,"EX")=0),0))))</f>
      </c>
      <c r="H6995">
        <f>IF(DATOS!$G6995&lt;&gt;"EX",0,--(COUNTIFS(nNIA,DATOS!$A6995,nCURSO,DATOS!$D6995,nESPEC,DATOS!$E6995,nASIG,DATOS!$I6995,nEVAL,"OR")=0))</f>
      </c>
      <c r="I6995">
        <f>IF(DATOS!$I6995="","",IFERROR(VLOOKUP(DATOS!$I6995,CONFIG_ASIGNATURAS!$B$2:$J$91,9,FALSE()),""))</f>
      </c>
    </row>
    <row r="6996">
      <c r="F6996">
        <f>IF(DATOS!$A6996="","",DATOS!$A6996&amp;"|"&amp;DATOS!$D6996&amp;"|"&amp;DATOS!$E6996&amp;"|"&amp;DATOS!$I6996)</f>
      </c>
      <c r="G6996">
        <f>IF(DATOS!$A6996="",0,IF(CONFIG_METADATA!$B$4&lt;&gt;"OR+EX",--(DATOS!$G6996=CONFIG_METADATA!$B$4),IF(DATOS!$G6996="EX",1,IF(DATOS!$G6996="OR",--(COUNTIFS(nNIA,DATOS!$A6996,nCURSO,DATOS!$D6996,nESPEC,DATOS!$E6996,nASIG,DATOS!$I6996,nEVAL,"EX")=0),0))))</f>
      </c>
      <c r="H6996">
        <f>IF(DATOS!$G6996&lt;&gt;"EX",0,--(COUNTIFS(nNIA,DATOS!$A6996,nCURSO,DATOS!$D6996,nESPEC,DATOS!$E6996,nASIG,DATOS!$I6996,nEVAL,"OR")=0))</f>
      </c>
      <c r="I6996">
        <f>IF(DATOS!$I6996="","",IFERROR(VLOOKUP(DATOS!$I6996,CONFIG_ASIGNATURAS!$B$2:$J$91,9,FALSE()),""))</f>
      </c>
    </row>
    <row r="6997">
      <c r="F6997">
        <f>IF(DATOS!$A6997="","",DATOS!$A6997&amp;"|"&amp;DATOS!$D6997&amp;"|"&amp;DATOS!$E6997&amp;"|"&amp;DATOS!$I6997)</f>
      </c>
      <c r="G6997">
        <f>IF(DATOS!$A6997="",0,IF(CONFIG_METADATA!$B$4&lt;&gt;"OR+EX",--(DATOS!$G6997=CONFIG_METADATA!$B$4),IF(DATOS!$G6997="EX",1,IF(DATOS!$G6997="OR",--(COUNTIFS(nNIA,DATOS!$A6997,nCURSO,DATOS!$D6997,nESPEC,DATOS!$E6997,nASIG,DATOS!$I6997,nEVAL,"EX")=0),0))))</f>
      </c>
      <c r="H6997">
        <f>IF(DATOS!$G6997&lt;&gt;"EX",0,--(COUNTIFS(nNIA,DATOS!$A6997,nCURSO,DATOS!$D6997,nESPEC,DATOS!$E6997,nASIG,DATOS!$I6997,nEVAL,"OR")=0))</f>
      </c>
      <c r="I6997">
        <f>IF(DATOS!$I6997="","",IFERROR(VLOOKUP(DATOS!$I6997,CONFIG_ASIGNATURAS!$B$2:$J$91,9,FALSE()),""))</f>
      </c>
    </row>
    <row r="6998">
      <c r="F6998">
        <f>IF(DATOS!$A6998="","",DATOS!$A6998&amp;"|"&amp;DATOS!$D6998&amp;"|"&amp;DATOS!$E6998&amp;"|"&amp;DATOS!$I6998)</f>
      </c>
      <c r="G6998">
        <f>IF(DATOS!$A6998="",0,IF(CONFIG_METADATA!$B$4&lt;&gt;"OR+EX",--(DATOS!$G6998=CONFIG_METADATA!$B$4),IF(DATOS!$G6998="EX",1,IF(DATOS!$G6998="OR",--(COUNTIFS(nNIA,DATOS!$A6998,nCURSO,DATOS!$D6998,nESPEC,DATOS!$E6998,nASIG,DATOS!$I6998,nEVAL,"EX")=0),0))))</f>
      </c>
      <c r="H6998">
        <f>IF(DATOS!$G6998&lt;&gt;"EX",0,--(COUNTIFS(nNIA,DATOS!$A6998,nCURSO,DATOS!$D6998,nESPEC,DATOS!$E6998,nASIG,DATOS!$I6998,nEVAL,"OR")=0))</f>
      </c>
      <c r="I6998">
        <f>IF(DATOS!$I6998="","",IFERROR(VLOOKUP(DATOS!$I6998,CONFIG_ASIGNATURAS!$B$2:$J$91,9,FALSE()),""))</f>
      </c>
    </row>
    <row r="6999">
      <c r="F6999">
        <f>IF(DATOS!$A6999="","",DATOS!$A6999&amp;"|"&amp;DATOS!$D6999&amp;"|"&amp;DATOS!$E6999&amp;"|"&amp;DATOS!$I6999)</f>
      </c>
      <c r="G6999">
        <f>IF(DATOS!$A6999="",0,IF(CONFIG_METADATA!$B$4&lt;&gt;"OR+EX",--(DATOS!$G6999=CONFIG_METADATA!$B$4),IF(DATOS!$G6999="EX",1,IF(DATOS!$G6999="OR",--(COUNTIFS(nNIA,DATOS!$A6999,nCURSO,DATOS!$D6999,nESPEC,DATOS!$E6999,nASIG,DATOS!$I6999,nEVAL,"EX")=0),0))))</f>
      </c>
      <c r="H6999">
        <f>IF(DATOS!$G6999&lt;&gt;"EX",0,--(COUNTIFS(nNIA,DATOS!$A6999,nCURSO,DATOS!$D6999,nESPEC,DATOS!$E6999,nASIG,DATOS!$I6999,nEVAL,"OR")=0))</f>
      </c>
      <c r="I6999">
        <f>IF(DATOS!$I6999="","",IFERROR(VLOOKUP(DATOS!$I6999,CONFIG_ASIGNATURAS!$B$2:$J$91,9,FALSE()),""))</f>
      </c>
    </row>
    <row r="7000">
      <c r="F7000">
        <f>IF(DATOS!$A7000="","",DATOS!$A7000&amp;"|"&amp;DATOS!$D7000&amp;"|"&amp;DATOS!$E7000&amp;"|"&amp;DATOS!$I7000)</f>
      </c>
      <c r="G7000">
        <f>IF(DATOS!$A7000="",0,IF(CONFIG_METADATA!$B$4&lt;&gt;"OR+EX",--(DATOS!$G7000=CONFIG_METADATA!$B$4),IF(DATOS!$G7000="EX",1,IF(DATOS!$G7000="OR",--(COUNTIFS(nNIA,DATOS!$A7000,nCURSO,DATOS!$D7000,nESPEC,DATOS!$E7000,nASIG,DATOS!$I7000,nEVAL,"EX")=0),0))))</f>
      </c>
      <c r="H7000">
        <f>IF(DATOS!$G7000&lt;&gt;"EX",0,--(COUNTIFS(nNIA,DATOS!$A7000,nCURSO,DATOS!$D7000,nESPEC,DATOS!$E7000,nASIG,DATOS!$I7000,nEVAL,"OR")=0))</f>
      </c>
      <c r="I7000">
        <f>IF(DATOS!$I7000="","",IFERROR(VLOOKUP(DATOS!$I7000,CONFIG_ASIGNATURAS!$B$2:$J$91,9,FALSE()),""))</f>
      </c>
    </row>
    <row r="7001">
      <c r="F7001">
        <f>IF(DATOS!$A7001="","",DATOS!$A7001&amp;"|"&amp;DATOS!$D7001&amp;"|"&amp;DATOS!$E7001&amp;"|"&amp;DATOS!$I7001)</f>
      </c>
      <c r="G7001">
        <f>IF(DATOS!$A7001="",0,IF(CONFIG_METADATA!$B$4&lt;&gt;"OR+EX",--(DATOS!$G7001=CONFIG_METADATA!$B$4),IF(DATOS!$G7001="EX",1,IF(DATOS!$G7001="OR",--(COUNTIFS(nNIA,DATOS!$A7001,nCURSO,DATOS!$D7001,nESPEC,DATOS!$E7001,nASIG,DATOS!$I7001,nEVAL,"EX")=0),0))))</f>
      </c>
      <c r="H7001">
        <f>IF(DATOS!$G7001&lt;&gt;"EX",0,--(COUNTIFS(nNIA,DATOS!$A7001,nCURSO,DATOS!$D7001,nESPEC,DATOS!$E7001,nASIG,DATOS!$I7001,nEVAL,"OR")=0))</f>
      </c>
      <c r="I7001">
        <f>IF(DATOS!$I7001="","",IFERROR(VLOOKUP(DATOS!$I7001,CONFIG_ASIGNATURAS!$B$2:$J$91,9,FALSE()),""))</f>
      </c>
    </row>
    <row r="7002">
      <c r="F7002">
        <f>IF(DATOS!$A7002="","",DATOS!$A7002&amp;"|"&amp;DATOS!$D7002&amp;"|"&amp;DATOS!$E7002&amp;"|"&amp;DATOS!$I7002)</f>
      </c>
      <c r="G7002">
        <f>IF(DATOS!$A7002="",0,IF(CONFIG_METADATA!$B$4&lt;&gt;"OR+EX",--(DATOS!$G7002=CONFIG_METADATA!$B$4),IF(DATOS!$G7002="EX",1,IF(DATOS!$G7002="OR",--(COUNTIFS(nNIA,DATOS!$A7002,nCURSO,DATOS!$D7002,nESPEC,DATOS!$E7002,nASIG,DATOS!$I7002,nEVAL,"EX")=0),0))))</f>
      </c>
      <c r="H7002">
        <f>IF(DATOS!$G7002&lt;&gt;"EX",0,--(COUNTIFS(nNIA,DATOS!$A7002,nCURSO,DATOS!$D7002,nESPEC,DATOS!$E7002,nASIG,DATOS!$I7002,nEVAL,"OR")=0))</f>
      </c>
      <c r="I7002">
        <f>IF(DATOS!$I7002="","",IFERROR(VLOOKUP(DATOS!$I7002,CONFIG_ASIGNATURAS!$B$2:$J$91,9,FALSE()),""))</f>
      </c>
    </row>
    <row r="7003">
      <c r="F7003">
        <f>IF(DATOS!$A7003="","",DATOS!$A7003&amp;"|"&amp;DATOS!$D7003&amp;"|"&amp;DATOS!$E7003&amp;"|"&amp;DATOS!$I7003)</f>
      </c>
      <c r="G7003">
        <f>IF(DATOS!$A7003="",0,IF(CONFIG_METADATA!$B$4&lt;&gt;"OR+EX",--(DATOS!$G7003=CONFIG_METADATA!$B$4),IF(DATOS!$G7003="EX",1,IF(DATOS!$G7003="OR",--(COUNTIFS(nNIA,DATOS!$A7003,nCURSO,DATOS!$D7003,nESPEC,DATOS!$E7003,nASIG,DATOS!$I7003,nEVAL,"EX")=0),0))))</f>
      </c>
      <c r="H7003">
        <f>IF(DATOS!$G7003&lt;&gt;"EX",0,--(COUNTIFS(nNIA,DATOS!$A7003,nCURSO,DATOS!$D7003,nESPEC,DATOS!$E7003,nASIG,DATOS!$I7003,nEVAL,"OR")=0))</f>
      </c>
      <c r="I7003">
        <f>IF(DATOS!$I7003="","",IFERROR(VLOOKUP(DATOS!$I7003,CONFIG_ASIGNATURAS!$B$2:$J$91,9,FALSE()),""))</f>
      </c>
    </row>
    <row r="7004">
      <c r="F7004">
        <f>IF(DATOS!$A7004="","",DATOS!$A7004&amp;"|"&amp;DATOS!$D7004&amp;"|"&amp;DATOS!$E7004&amp;"|"&amp;DATOS!$I7004)</f>
      </c>
      <c r="G7004">
        <f>IF(DATOS!$A7004="",0,IF(CONFIG_METADATA!$B$4&lt;&gt;"OR+EX",--(DATOS!$G7004=CONFIG_METADATA!$B$4),IF(DATOS!$G7004="EX",1,IF(DATOS!$G7004="OR",--(COUNTIFS(nNIA,DATOS!$A7004,nCURSO,DATOS!$D7004,nESPEC,DATOS!$E7004,nASIG,DATOS!$I7004,nEVAL,"EX")=0),0))))</f>
      </c>
      <c r="H7004">
        <f>IF(DATOS!$G7004&lt;&gt;"EX",0,--(COUNTIFS(nNIA,DATOS!$A7004,nCURSO,DATOS!$D7004,nESPEC,DATOS!$E7004,nASIG,DATOS!$I7004,nEVAL,"OR")=0))</f>
      </c>
      <c r="I7004">
        <f>IF(DATOS!$I7004="","",IFERROR(VLOOKUP(DATOS!$I7004,CONFIG_ASIGNATURAS!$B$2:$J$91,9,FALSE()),""))</f>
      </c>
    </row>
    <row r="7005">
      <c r="F7005">
        <f>IF(DATOS!$A7005="","",DATOS!$A7005&amp;"|"&amp;DATOS!$D7005&amp;"|"&amp;DATOS!$E7005&amp;"|"&amp;DATOS!$I7005)</f>
      </c>
      <c r="G7005">
        <f>IF(DATOS!$A7005="",0,IF(CONFIG_METADATA!$B$4&lt;&gt;"OR+EX",--(DATOS!$G7005=CONFIG_METADATA!$B$4),IF(DATOS!$G7005="EX",1,IF(DATOS!$G7005="OR",--(COUNTIFS(nNIA,DATOS!$A7005,nCURSO,DATOS!$D7005,nESPEC,DATOS!$E7005,nASIG,DATOS!$I7005,nEVAL,"EX")=0),0))))</f>
      </c>
      <c r="H7005">
        <f>IF(DATOS!$G7005&lt;&gt;"EX",0,--(COUNTIFS(nNIA,DATOS!$A7005,nCURSO,DATOS!$D7005,nESPEC,DATOS!$E7005,nASIG,DATOS!$I7005,nEVAL,"OR")=0))</f>
      </c>
      <c r="I7005">
        <f>IF(DATOS!$I7005="","",IFERROR(VLOOKUP(DATOS!$I7005,CONFIG_ASIGNATURAS!$B$2:$J$91,9,FALSE()),""))</f>
      </c>
    </row>
    <row r="7006">
      <c r="F7006">
        <f>IF(DATOS!$A7006="","",DATOS!$A7006&amp;"|"&amp;DATOS!$D7006&amp;"|"&amp;DATOS!$E7006&amp;"|"&amp;DATOS!$I7006)</f>
      </c>
      <c r="G7006">
        <f>IF(DATOS!$A7006="",0,IF(CONFIG_METADATA!$B$4&lt;&gt;"OR+EX",--(DATOS!$G7006=CONFIG_METADATA!$B$4),IF(DATOS!$G7006="EX",1,IF(DATOS!$G7006="OR",--(COUNTIFS(nNIA,DATOS!$A7006,nCURSO,DATOS!$D7006,nESPEC,DATOS!$E7006,nASIG,DATOS!$I7006,nEVAL,"EX")=0),0))))</f>
      </c>
      <c r="H7006">
        <f>IF(DATOS!$G7006&lt;&gt;"EX",0,--(COUNTIFS(nNIA,DATOS!$A7006,nCURSO,DATOS!$D7006,nESPEC,DATOS!$E7006,nASIG,DATOS!$I7006,nEVAL,"OR")=0))</f>
      </c>
      <c r="I7006">
        <f>IF(DATOS!$I7006="","",IFERROR(VLOOKUP(DATOS!$I7006,CONFIG_ASIGNATURAS!$B$2:$J$91,9,FALSE()),""))</f>
      </c>
    </row>
    <row r="7007">
      <c r="F7007">
        <f>IF(DATOS!$A7007="","",DATOS!$A7007&amp;"|"&amp;DATOS!$D7007&amp;"|"&amp;DATOS!$E7007&amp;"|"&amp;DATOS!$I7007)</f>
      </c>
      <c r="G7007">
        <f>IF(DATOS!$A7007="",0,IF(CONFIG_METADATA!$B$4&lt;&gt;"OR+EX",--(DATOS!$G7007=CONFIG_METADATA!$B$4),IF(DATOS!$G7007="EX",1,IF(DATOS!$G7007="OR",--(COUNTIFS(nNIA,DATOS!$A7007,nCURSO,DATOS!$D7007,nESPEC,DATOS!$E7007,nASIG,DATOS!$I7007,nEVAL,"EX")=0),0))))</f>
      </c>
      <c r="H7007">
        <f>IF(DATOS!$G7007&lt;&gt;"EX",0,--(COUNTIFS(nNIA,DATOS!$A7007,nCURSO,DATOS!$D7007,nESPEC,DATOS!$E7007,nASIG,DATOS!$I7007,nEVAL,"OR")=0))</f>
      </c>
      <c r="I7007">
        <f>IF(DATOS!$I7007="","",IFERROR(VLOOKUP(DATOS!$I7007,CONFIG_ASIGNATURAS!$B$2:$J$91,9,FALSE()),""))</f>
      </c>
    </row>
    <row r="7008">
      <c r="F7008">
        <f>IF(DATOS!$A7008="","",DATOS!$A7008&amp;"|"&amp;DATOS!$D7008&amp;"|"&amp;DATOS!$E7008&amp;"|"&amp;DATOS!$I7008)</f>
      </c>
      <c r="G7008">
        <f>IF(DATOS!$A7008="",0,IF(CONFIG_METADATA!$B$4&lt;&gt;"OR+EX",--(DATOS!$G7008=CONFIG_METADATA!$B$4),IF(DATOS!$G7008="EX",1,IF(DATOS!$G7008="OR",--(COUNTIFS(nNIA,DATOS!$A7008,nCURSO,DATOS!$D7008,nESPEC,DATOS!$E7008,nASIG,DATOS!$I7008,nEVAL,"EX")=0),0))))</f>
      </c>
      <c r="H7008">
        <f>IF(DATOS!$G7008&lt;&gt;"EX",0,--(COUNTIFS(nNIA,DATOS!$A7008,nCURSO,DATOS!$D7008,nESPEC,DATOS!$E7008,nASIG,DATOS!$I7008,nEVAL,"OR")=0))</f>
      </c>
      <c r="I7008">
        <f>IF(DATOS!$I7008="","",IFERROR(VLOOKUP(DATOS!$I7008,CONFIG_ASIGNATURAS!$B$2:$J$91,9,FALSE()),""))</f>
      </c>
    </row>
    <row r="7009">
      <c r="F7009">
        <f>IF(DATOS!$A7009="","",DATOS!$A7009&amp;"|"&amp;DATOS!$D7009&amp;"|"&amp;DATOS!$E7009&amp;"|"&amp;DATOS!$I7009)</f>
      </c>
      <c r="G7009">
        <f>IF(DATOS!$A7009="",0,IF(CONFIG_METADATA!$B$4&lt;&gt;"OR+EX",--(DATOS!$G7009=CONFIG_METADATA!$B$4),IF(DATOS!$G7009="EX",1,IF(DATOS!$G7009="OR",--(COUNTIFS(nNIA,DATOS!$A7009,nCURSO,DATOS!$D7009,nESPEC,DATOS!$E7009,nASIG,DATOS!$I7009,nEVAL,"EX")=0),0))))</f>
      </c>
      <c r="H7009">
        <f>IF(DATOS!$G7009&lt;&gt;"EX",0,--(COUNTIFS(nNIA,DATOS!$A7009,nCURSO,DATOS!$D7009,nESPEC,DATOS!$E7009,nASIG,DATOS!$I7009,nEVAL,"OR")=0))</f>
      </c>
      <c r="I7009">
        <f>IF(DATOS!$I7009="","",IFERROR(VLOOKUP(DATOS!$I7009,CONFIG_ASIGNATURAS!$B$2:$J$91,9,FALSE()),""))</f>
      </c>
    </row>
    <row r="7010">
      <c r="F7010">
        <f>IF(DATOS!$A7010="","",DATOS!$A7010&amp;"|"&amp;DATOS!$D7010&amp;"|"&amp;DATOS!$E7010&amp;"|"&amp;DATOS!$I7010)</f>
      </c>
      <c r="G7010">
        <f>IF(DATOS!$A7010="",0,IF(CONFIG_METADATA!$B$4&lt;&gt;"OR+EX",--(DATOS!$G7010=CONFIG_METADATA!$B$4),IF(DATOS!$G7010="EX",1,IF(DATOS!$G7010="OR",--(COUNTIFS(nNIA,DATOS!$A7010,nCURSO,DATOS!$D7010,nESPEC,DATOS!$E7010,nASIG,DATOS!$I7010,nEVAL,"EX")=0),0))))</f>
      </c>
      <c r="H7010">
        <f>IF(DATOS!$G7010&lt;&gt;"EX",0,--(COUNTIFS(nNIA,DATOS!$A7010,nCURSO,DATOS!$D7010,nESPEC,DATOS!$E7010,nASIG,DATOS!$I7010,nEVAL,"OR")=0))</f>
      </c>
      <c r="I7010">
        <f>IF(DATOS!$I7010="","",IFERROR(VLOOKUP(DATOS!$I7010,CONFIG_ASIGNATURAS!$B$2:$J$91,9,FALSE()),""))</f>
      </c>
    </row>
    <row r="7011">
      <c r="F7011">
        <f>IF(DATOS!$A7011="","",DATOS!$A7011&amp;"|"&amp;DATOS!$D7011&amp;"|"&amp;DATOS!$E7011&amp;"|"&amp;DATOS!$I7011)</f>
      </c>
      <c r="G7011">
        <f>IF(DATOS!$A7011="",0,IF(CONFIG_METADATA!$B$4&lt;&gt;"OR+EX",--(DATOS!$G7011=CONFIG_METADATA!$B$4),IF(DATOS!$G7011="EX",1,IF(DATOS!$G7011="OR",--(COUNTIFS(nNIA,DATOS!$A7011,nCURSO,DATOS!$D7011,nESPEC,DATOS!$E7011,nASIG,DATOS!$I7011,nEVAL,"EX")=0),0))))</f>
      </c>
      <c r="H7011">
        <f>IF(DATOS!$G7011&lt;&gt;"EX",0,--(COUNTIFS(nNIA,DATOS!$A7011,nCURSO,DATOS!$D7011,nESPEC,DATOS!$E7011,nASIG,DATOS!$I7011,nEVAL,"OR")=0))</f>
      </c>
      <c r="I7011">
        <f>IF(DATOS!$I7011="","",IFERROR(VLOOKUP(DATOS!$I7011,CONFIG_ASIGNATURAS!$B$2:$J$91,9,FALSE()),""))</f>
      </c>
    </row>
    <row r="7012">
      <c r="F7012">
        <f>IF(DATOS!$A7012="","",DATOS!$A7012&amp;"|"&amp;DATOS!$D7012&amp;"|"&amp;DATOS!$E7012&amp;"|"&amp;DATOS!$I7012)</f>
      </c>
      <c r="G7012">
        <f>IF(DATOS!$A7012="",0,IF(CONFIG_METADATA!$B$4&lt;&gt;"OR+EX",--(DATOS!$G7012=CONFIG_METADATA!$B$4),IF(DATOS!$G7012="EX",1,IF(DATOS!$G7012="OR",--(COUNTIFS(nNIA,DATOS!$A7012,nCURSO,DATOS!$D7012,nESPEC,DATOS!$E7012,nASIG,DATOS!$I7012,nEVAL,"EX")=0),0))))</f>
      </c>
      <c r="H7012">
        <f>IF(DATOS!$G7012&lt;&gt;"EX",0,--(COUNTIFS(nNIA,DATOS!$A7012,nCURSO,DATOS!$D7012,nESPEC,DATOS!$E7012,nASIG,DATOS!$I7012,nEVAL,"OR")=0))</f>
      </c>
      <c r="I7012">
        <f>IF(DATOS!$I7012="","",IFERROR(VLOOKUP(DATOS!$I7012,CONFIG_ASIGNATURAS!$B$2:$J$91,9,FALSE()),""))</f>
      </c>
    </row>
    <row r="7013">
      <c r="F7013">
        <f>IF(DATOS!$A7013="","",DATOS!$A7013&amp;"|"&amp;DATOS!$D7013&amp;"|"&amp;DATOS!$E7013&amp;"|"&amp;DATOS!$I7013)</f>
      </c>
      <c r="G7013">
        <f>IF(DATOS!$A7013="",0,IF(CONFIG_METADATA!$B$4&lt;&gt;"OR+EX",--(DATOS!$G7013=CONFIG_METADATA!$B$4),IF(DATOS!$G7013="EX",1,IF(DATOS!$G7013="OR",--(COUNTIFS(nNIA,DATOS!$A7013,nCURSO,DATOS!$D7013,nESPEC,DATOS!$E7013,nASIG,DATOS!$I7013,nEVAL,"EX")=0),0))))</f>
      </c>
      <c r="H7013">
        <f>IF(DATOS!$G7013&lt;&gt;"EX",0,--(COUNTIFS(nNIA,DATOS!$A7013,nCURSO,DATOS!$D7013,nESPEC,DATOS!$E7013,nASIG,DATOS!$I7013,nEVAL,"OR")=0))</f>
      </c>
      <c r="I7013">
        <f>IF(DATOS!$I7013="","",IFERROR(VLOOKUP(DATOS!$I7013,CONFIG_ASIGNATURAS!$B$2:$J$91,9,FALSE()),""))</f>
      </c>
    </row>
    <row r="7014">
      <c r="F7014">
        <f>IF(DATOS!$A7014="","",DATOS!$A7014&amp;"|"&amp;DATOS!$D7014&amp;"|"&amp;DATOS!$E7014&amp;"|"&amp;DATOS!$I7014)</f>
      </c>
      <c r="G7014">
        <f>IF(DATOS!$A7014="",0,IF(CONFIG_METADATA!$B$4&lt;&gt;"OR+EX",--(DATOS!$G7014=CONFIG_METADATA!$B$4),IF(DATOS!$G7014="EX",1,IF(DATOS!$G7014="OR",--(COUNTIFS(nNIA,DATOS!$A7014,nCURSO,DATOS!$D7014,nESPEC,DATOS!$E7014,nASIG,DATOS!$I7014,nEVAL,"EX")=0),0))))</f>
      </c>
      <c r="H7014">
        <f>IF(DATOS!$G7014&lt;&gt;"EX",0,--(COUNTIFS(nNIA,DATOS!$A7014,nCURSO,DATOS!$D7014,nESPEC,DATOS!$E7014,nASIG,DATOS!$I7014,nEVAL,"OR")=0))</f>
      </c>
      <c r="I7014">
        <f>IF(DATOS!$I7014="","",IFERROR(VLOOKUP(DATOS!$I7014,CONFIG_ASIGNATURAS!$B$2:$J$91,9,FALSE()),""))</f>
      </c>
    </row>
    <row r="7015">
      <c r="F7015">
        <f>IF(DATOS!$A7015="","",DATOS!$A7015&amp;"|"&amp;DATOS!$D7015&amp;"|"&amp;DATOS!$E7015&amp;"|"&amp;DATOS!$I7015)</f>
      </c>
      <c r="G7015">
        <f>IF(DATOS!$A7015="",0,IF(CONFIG_METADATA!$B$4&lt;&gt;"OR+EX",--(DATOS!$G7015=CONFIG_METADATA!$B$4),IF(DATOS!$G7015="EX",1,IF(DATOS!$G7015="OR",--(COUNTIFS(nNIA,DATOS!$A7015,nCURSO,DATOS!$D7015,nESPEC,DATOS!$E7015,nASIG,DATOS!$I7015,nEVAL,"EX")=0),0))))</f>
      </c>
      <c r="H7015">
        <f>IF(DATOS!$G7015&lt;&gt;"EX",0,--(COUNTIFS(nNIA,DATOS!$A7015,nCURSO,DATOS!$D7015,nESPEC,DATOS!$E7015,nASIG,DATOS!$I7015,nEVAL,"OR")=0))</f>
      </c>
      <c r="I7015">
        <f>IF(DATOS!$I7015="","",IFERROR(VLOOKUP(DATOS!$I7015,CONFIG_ASIGNATURAS!$B$2:$J$91,9,FALSE()),""))</f>
      </c>
    </row>
    <row r="7016">
      <c r="F7016">
        <f>IF(DATOS!$A7016="","",DATOS!$A7016&amp;"|"&amp;DATOS!$D7016&amp;"|"&amp;DATOS!$E7016&amp;"|"&amp;DATOS!$I7016)</f>
      </c>
      <c r="G7016">
        <f>IF(DATOS!$A7016="",0,IF(CONFIG_METADATA!$B$4&lt;&gt;"OR+EX",--(DATOS!$G7016=CONFIG_METADATA!$B$4),IF(DATOS!$G7016="EX",1,IF(DATOS!$G7016="OR",--(COUNTIFS(nNIA,DATOS!$A7016,nCURSO,DATOS!$D7016,nESPEC,DATOS!$E7016,nASIG,DATOS!$I7016,nEVAL,"EX")=0),0))))</f>
      </c>
      <c r="H7016">
        <f>IF(DATOS!$G7016&lt;&gt;"EX",0,--(COUNTIFS(nNIA,DATOS!$A7016,nCURSO,DATOS!$D7016,nESPEC,DATOS!$E7016,nASIG,DATOS!$I7016,nEVAL,"OR")=0))</f>
      </c>
      <c r="I7016">
        <f>IF(DATOS!$I7016="","",IFERROR(VLOOKUP(DATOS!$I7016,CONFIG_ASIGNATURAS!$B$2:$J$91,9,FALSE()),""))</f>
      </c>
    </row>
    <row r="7017">
      <c r="F7017">
        <f>IF(DATOS!$A7017="","",DATOS!$A7017&amp;"|"&amp;DATOS!$D7017&amp;"|"&amp;DATOS!$E7017&amp;"|"&amp;DATOS!$I7017)</f>
      </c>
      <c r="G7017">
        <f>IF(DATOS!$A7017="",0,IF(CONFIG_METADATA!$B$4&lt;&gt;"OR+EX",--(DATOS!$G7017=CONFIG_METADATA!$B$4),IF(DATOS!$G7017="EX",1,IF(DATOS!$G7017="OR",--(COUNTIFS(nNIA,DATOS!$A7017,nCURSO,DATOS!$D7017,nESPEC,DATOS!$E7017,nASIG,DATOS!$I7017,nEVAL,"EX")=0),0))))</f>
      </c>
      <c r="H7017">
        <f>IF(DATOS!$G7017&lt;&gt;"EX",0,--(COUNTIFS(nNIA,DATOS!$A7017,nCURSO,DATOS!$D7017,nESPEC,DATOS!$E7017,nASIG,DATOS!$I7017,nEVAL,"OR")=0))</f>
      </c>
      <c r="I7017">
        <f>IF(DATOS!$I7017="","",IFERROR(VLOOKUP(DATOS!$I7017,CONFIG_ASIGNATURAS!$B$2:$J$91,9,FALSE()),""))</f>
      </c>
    </row>
    <row r="7018">
      <c r="F7018">
        <f>IF(DATOS!$A7018="","",DATOS!$A7018&amp;"|"&amp;DATOS!$D7018&amp;"|"&amp;DATOS!$E7018&amp;"|"&amp;DATOS!$I7018)</f>
      </c>
      <c r="G7018">
        <f>IF(DATOS!$A7018="",0,IF(CONFIG_METADATA!$B$4&lt;&gt;"OR+EX",--(DATOS!$G7018=CONFIG_METADATA!$B$4),IF(DATOS!$G7018="EX",1,IF(DATOS!$G7018="OR",--(COUNTIFS(nNIA,DATOS!$A7018,nCURSO,DATOS!$D7018,nESPEC,DATOS!$E7018,nASIG,DATOS!$I7018,nEVAL,"EX")=0),0))))</f>
      </c>
      <c r="H7018">
        <f>IF(DATOS!$G7018&lt;&gt;"EX",0,--(COUNTIFS(nNIA,DATOS!$A7018,nCURSO,DATOS!$D7018,nESPEC,DATOS!$E7018,nASIG,DATOS!$I7018,nEVAL,"OR")=0))</f>
      </c>
      <c r="I7018">
        <f>IF(DATOS!$I7018="","",IFERROR(VLOOKUP(DATOS!$I7018,CONFIG_ASIGNATURAS!$B$2:$J$91,9,FALSE()),""))</f>
      </c>
    </row>
    <row r="7019">
      <c r="F7019">
        <f>IF(DATOS!$A7019="","",DATOS!$A7019&amp;"|"&amp;DATOS!$D7019&amp;"|"&amp;DATOS!$E7019&amp;"|"&amp;DATOS!$I7019)</f>
      </c>
      <c r="G7019">
        <f>IF(DATOS!$A7019="",0,IF(CONFIG_METADATA!$B$4&lt;&gt;"OR+EX",--(DATOS!$G7019=CONFIG_METADATA!$B$4),IF(DATOS!$G7019="EX",1,IF(DATOS!$G7019="OR",--(COUNTIFS(nNIA,DATOS!$A7019,nCURSO,DATOS!$D7019,nESPEC,DATOS!$E7019,nASIG,DATOS!$I7019,nEVAL,"EX")=0),0))))</f>
      </c>
      <c r="H7019">
        <f>IF(DATOS!$G7019&lt;&gt;"EX",0,--(COUNTIFS(nNIA,DATOS!$A7019,nCURSO,DATOS!$D7019,nESPEC,DATOS!$E7019,nASIG,DATOS!$I7019,nEVAL,"OR")=0))</f>
      </c>
      <c r="I7019">
        <f>IF(DATOS!$I7019="","",IFERROR(VLOOKUP(DATOS!$I7019,CONFIG_ASIGNATURAS!$B$2:$J$91,9,FALSE()),""))</f>
      </c>
    </row>
    <row r="7020">
      <c r="F7020">
        <f>IF(DATOS!$A7020="","",DATOS!$A7020&amp;"|"&amp;DATOS!$D7020&amp;"|"&amp;DATOS!$E7020&amp;"|"&amp;DATOS!$I7020)</f>
      </c>
      <c r="G7020">
        <f>IF(DATOS!$A7020="",0,IF(CONFIG_METADATA!$B$4&lt;&gt;"OR+EX",--(DATOS!$G7020=CONFIG_METADATA!$B$4),IF(DATOS!$G7020="EX",1,IF(DATOS!$G7020="OR",--(COUNTIFS(nNIA,DATOS!$A7020,nCURSO,DATOS!$D7020,nESPEC,DATOS!$E7020,nASIG,DATOS!$I7020,nEVAL,"EX")=0),0))))</f>
      </c>
      <c r="H7020">
        <f>IF(DATOS!$G7020&lt;&gt;"EX",0,--(COUNTIFS(nNIA,DATOS!$A7020,nCURSO,DATOS!$D7020,nESPEC,DATOS!$E7020,nASIG,DATOS!$I7020,nEVAL,"OR")=0))</f>
      </c>
      <c r="I7020">
        <f>IF(DATOS!$I7020="","",IFERROR(VLOOKUP(DATOS!$I7020,CONFIG_ASIGNATURAS!$B$2:$J$91,9,FALSE()),""))</f>
      </c>
    </row>
    <row r="7021">
      <c r="F7021">
        <f>IF(DATOS!$A7021="","",DATOS!$A7021&amp;"|"&amp;DATOS!$D7021&amp;"|"&amp;DATOS!$E7021&amp;"|"&amp;DATOS!$I7021)</f>
      </c>
      <c r="G7021">
        <f>IF(DATOS!$A7021="",0,IF(CONFIG_METADATA!$B$4&lt;&gt;"OR+EX",--(DATOS!$G7021=CONFIG_METADATA!$B$4),IF(DATOS!$G7021="EX",1,IF(DATOS!$G7021="OR",--(COUNTIFS(nNIA,DATOS!$A7021,nCURSO,DATOS!$D7021,nESPEC,DATOS!$E7021,nASIG,DATOS!$I7021,nEVAL,"EX")=0),0))))</f>
      </c>
      <c r="H7021">
        <f>IF(DATOS!$G7021&lt;&gt;"EX",0,--(COUNTIFS(nNIA,DATOS!$A7021,nCURSO,DATOS!$D7021,nESPEC,DATOS!$E7021,nASIG,DATOS!$I7021,nEVAL,"OR")=0))</f>
      </c>
      <c r="I7021">
        <f>IF(DATOS!$I7021="","",IFERROR(VLOOKUP(DATOS!$I7021,CONFIG_ASIGNATURAS!$B$2:$J$91,9,FALSE()),""))</f>
      </c>
    </row>
    <row r="7022">
      <c r="F7022">
        <f>IF(DATOS!$A7022="","",DATOS!$A7022&amp;"|"&amp;DATOS!$D7022&amp;"|"&amp;DATOS!$E7022&amp;"|"&amp;DATOS!$I7022)</f>
      </c>
      <c r="G7022">
        <f>IF(DATOS!$A7022="",0,IF(CONFIG_METADATA!$B$4&lt;&gt;"OR+EX",--(DATOS!$G7022=CONFIG_METADATA!$B$4),IF(DATOS!$G7022="EX",1,IF(DATOS!$G7022="OR",--(COUNTIFS(nNIA,DATOS!$A7022,nCURSO,DATOS!$D7022,nESPEC,DATOS!$E7022,nASIG,DATOS!$I7022,nEVAL,"EX")=0),0))))</f>
      </c>
      <c r="H7022">
        <f>IF(DATOS!$G7022&lt;&gt;"EX",0,--(COUNTIFS(nNIA,DATOS!$A7022,nCURSO,DATOS!$D7022,nESPEC,DATOS!$E7022,nASIG,DATOS!$I7022,nEVAL,"OR")=0))</f>
      </c>
      <c r="I7022">
        <f>IF(DATOS!$I7022="","",IFERROR(VLOOKUP(DATOS!$I7022,CONFIG_ASIGNATURAS!$B$2:$J$91,9,FALSE()),""))</f>
      </c>
    </row>
    <row r="7023">
      <c r="F7023">
        <f>IF(DATOS!$A7023="","",DATOS!$A7023&amp;"|"&amp;DATOS!$D7023&amp;"|"&amp;DATOS!$E7023&amp;"|"&amp;DATOS!$I7023)</f>
      </c>
      <c r="G7023">
        <f>IF(DATOS!$A7023="",0,IF(CONFIG_METADATA!$B$4&lt;&gt;"OR+EX",--(DATOS!$G7023=CONFIG_METADATA!$B$4),IF(DATOS!$G7023="EX",1,IF(DATOS!$G7023="OR",--(COUNTIFS(nNIA,DATOS!$A7023,nCURSO,DATOS!$D7023,nESPEC,DATOS!$E7023,nASIG,DATOS!$I7023,nEVAL,"EX")=0),0))))</f>
      </c>
      <c r="H7023">
        <f>IF(DATOS!$G7023&lt;&gt;"EX",0,--(COUNTIFS(nNIA,DATOS!$A7023,nCURSO,DATOS!$D7023,nESPEC,DATOS!$E7023,nASIG,DATOS!$I7023,nEVAL,"OR")=0))</f>
      </c>
      <c r="I7023">
        <f>IF(DATOS!$I7023="","",IFERROR(VLOOKUP(DATOS!$I7023,CONFIG_ASIGNATURAS!$B$2:$J$91,9,FALSE()),""))</f>
      </c>
    </row>
    <row r="7024">
      <c r="F7024">
        <f>IF(DATOS!$A7024="","",DATOS!$A7024&amp;"|"&amp;DATOS!$D7024&amp;"|"&amp;DATOS!$E7024&amp;"|"&amp;DATOS!$I7024)</f>
      </c>
      <c r="G7024">
        <f>IF(DATOS!$A7024="",0,IF(CONFIG_METADATA!$B$4&lt;&gt;"OR+EX",--(DATOS!$G7024=CONFIG_METADATA!$B$4),IF(DATOS!$G7024="EX",1,IF(DATOS!$G7024="OR",--(COUNTIFS(nNIA,DATOS!$A7024,nCURSO,DATOS!$D7024,nESPEC,DATOS!$E7024,nASIG,DATOS!$I7024,nEVAL,"EX")=0),0))))</f>
      </c>
      <c r="H7024">
        <f>IF(DATOS!$G7024&lt;&gt;"EX",0,--(COUNTIFS(nNIA,DATOS!$A7024,nCURSO,DATOS!$D7024,nESPEC,DATOS!$E7024,nASIG,DATOS!$I7024,nEVAL,"OR")=0))</f>
      </c>
      <c r="I7024">
        <f>IF(DATOS!$I7024="","",IFERROR(VLOOKUP(DATOS!$I7024,CONFIG_ASIGNATURAS!$B$2:$J$91,9,FALSE()),""))</f>
      </c>
    </row>
    <row r="7025">
      <c r="F7025">
        <f>IF(DATOS!$A7025="","",DATOS!$A7025&amp;"|"&amp;DATOS!$D7025&amp;"|"&amp;DATOS!$E7025&amp;"|"&amp;DATOS!$I7025)</f>
      </c>
      <c r="G7025">
        <f>IF(DATOS!$A7025="",0,IF(CONFIG_METADATA!$B$4&lt;&gt;"OR+EX",--(DATOS!$G7025=CONFIG_METADATA!$B$4),IF(DATOS!$G7025="EX",1,IF(DATOS!$G7025="OR",--(COUNTIFS(nNIA,DATOS!$A7025,nCURSO,DATOS!$D7025,nESPEC,DATOS!$E7025,nASIG,DATOS!$I7025,nEVAL,"EX")=0),0))))</f>
      </c>
      <c r="H7025">
        <f>IF(DATOS!$G7025&lt;&gt;"EX",0,--(COUNTIFS(nNIA,DATOS!$A7025,nCURSO,DATOS!$D7025,nESPEC,DATOS!$E7025,nASIG,DATOS!$I7025,nEVAL,"OR")=0))</f>
      </c>
      <c r="I7025">
        <f>IF(DATOS!$I7025="","",IFERROR(VLOOKUP(DATOS!$I7025,CONFIG_ASIGNATURAS!$B$2:$J$91,9,FALSE()),""))</f>
      </c>
    </row>
    <row r="7026">
      <c r="F7026">
        <f>IF(DATOS!$A7026="","",DATOS!$A7026&amp;"|"&amp;DATOS!$D7026&amp;"|"&amp;DATOS!$E7026&amp;"|"&amp;DATOS!$I7026)</f>
      </c>
      <c r="G7026">
        <f>IF(DATOS!$A7026="",0,IF(CONFIG_METADATA!$B$4&lt;&gt;"OR+EX",--(DATOS!$G7026=CONFIG_METADATA!$B$4),IF(DATOS!$G7026="EX",1,IF(DATOS!$G7026="OR",--(COUNTIFS(nNIA,DATOS!$A7026,nCURSO,DATOS!$D7026,nESPEC,DATOS!$E7026,nASIG,DATOS!$I7026,nEVAL,"EX")=0),0))))</f>
      </c>
      <c r="H7026">
        <f>IF(DATOS!$G7026&lt;&gt;"EX",0,--(COUNTIFS(nNIA,DATOS!$A7026,nCURSO,DATOS!$D7026,nESPEC,DATOS!$E7026,nASIG,DATOS!$I7026,nEVAL,"OR")=0))</f>
      </c>
      <c r="I7026">
        <f>IF(DATOS!$I7026="","",IFERROR(VLOOKUP(DATOS!$I7026,CONFIG_ASIGNATURAS!$B$2:$J$91,9,FALSE()),""))</f>
      </c>
    </row>
    <row r="7027">
      <c r="F7027">
        <f>IF(DATOS!$A7027="","",DATOS!$A7027&amp;"|"&amp;DATOS!$D7027&amp;"|"&amp;DATOS!$E7027&amp;"|"&amp;DATOS!$I7027)</f>
      </c>
      <c r="G7027">
        <f>IF(DATOS!$A7027="",0,IF(CONFIG_METADATA!$B$4&lt;&gt;"OR+EX",--(DATOS!$G7027=CONFIG_METADATA!$B$4),IF(DATOS!$G7027="EX",1,IF(DATOS!$G7027="OR",--(COUNTIFS(nNIA,DATOS!$A7027,nCURSO,DATOS!$D7027,nESPEC,DATOS!$E7027,nASIG,DATOS!$I7027,nEVAL,"EX")=0),0))))</f>
      </c>
      <c r="H7027">
        <f>IF(DATOS!$G7027&lt;&gt;"EX",0,--(COUNTIFS(nNIA,DATOS!$A7027,nCURSO,DATOS!$D7027,nESPEC,DATOS!$E7027,nASIG,DATOS!$I7027,nEVAL,"OR")=0))</f>
      </c>
      <c r="I7027">
        <f>IF(DATOS!$I7027="","",IFERROR(VLOOKUP(DATOS!$I7027,CONFIG_ASIGNATURAS!$B$2:$J$91,9,FALSE()),""))</f>
      </c>
    </row>
    <row r="7028">
      <c r="F7028">
        <f>IF(DATOS!$A7028="","",DATOS!$A7028&amp;"|"&amp;DATOS!$D7028&amp;"|"&amp;DATOS!$E7028&amp;"|"&amp;DATOS!$I7028)</f>
      </c>
      <c r="G7028">
        <f>IF(DATOS!$A7028="",0,IF(CONFIG_METADATA!$B$4&lt;&gt;"OR+EX",--(DATOS!$G7028=CONFIG_METADATA!$B$4),IF(DATOS!$G7028="EX",1,IF(DATOS!$G7028="OR",--(COUNTIFS(nNIA,DATOS!$A7028,nCURSO,DATOS!$D7028,nESPEC,DATOS!$E7028,nASIG,DATOS!$I7028,nEVAL,"EX")=0),0))))</f>
      </c>
      <c r="H7028">
        <f>IF(DATOS!$G7028&lt;&gt;"EX",0,--(COUNTIFS(nNIA,DATOS!$A7028,nCURSO,DATOS!$D7028,nESPEC,DATOS!$E7028,nASIG,DATOS!$I7028,nEVAL,"OR")=0))</f>
      </c>
      <c r="I7028">
        <f>IF(DATOS!$I7028="","",IFERROR(VLOOKUP(DATOS!$I7028,CONFIG_ASIGNATURAS!$B$2:$J$91,9,FALSE()),""))</f>
      </c>
    </row>
    <row r="7029">
      <c r="F7029">
        <f>IF(DATOS!$A7029="","",DATOS!$A7029&amp;"|"&amp;DATOS!$D7029&amp;"|"&amp;DATOS!$E7029&amp;"|"&amp;DATOS!$I7029)</f>
      </c>
      <c r="G7029">
        <f>IF(DATOS!$A7029="",0,IF(CONFIG_METADATA!$B$4&lt;&gt;"OR+EX",--(DATOS!$G7029=CONFIG_METADATA!$B$4),IF(DATOS!$G7029="EX",1,IF(DATOS!$G7029="OR",--(COUNTIFS(nNIA,DATOS!$A7029,nCURSO,DATOS!$D7029,nESPEC,DATOS!$E7029,nASIG,DATOS!$I7029,nEVAL,"EX")=0),0))))</f>
      </c>
      <c r="H7029">
        <f>IF(DATOS!$G7029&lt;&gt;"EX",0,--(COUNTIFS(nNIA,DATOS!$A7029,nCURSO,DATOS!$D7029,nESPEC,DATOS!$E7029,nASIG,DATOS!$I7029,nEVAL,"OR")=0))</f>
      </c>
      <c r="I7029">
        <f>IF(DATOS!$I7029="","",IFERROR(VLOOKUP(DATOS!$I7029,CONFIG_ASIGNATURAS!$B$2:$J$91,9,FALSE()),""))</f>
      </c>
    </row>
    <row r="7030">
      <c r="F7030">
        <f>IF(DATOS!$A7030="","",DATOS!$A7030&amp;"|"&amp;DATOS!$D7030&amp;"|"&amp;DATOS!$E7030&amp;"|"&amp;DATOS!$I7030)</f>
      </c>
      <c r="G7030">
        <f>IF(DATOS!$A7030="",0,IF(CONFIG_METADATA!$B$4&lt;&gt;"OR+EX",--(DATOS!$G7030=CONFIG_METADATA!$B$4),IF(DATOS!$G7030="EX",1,IF(DATOS!$G7030="OR",--(COUNTIFS(nNIA,DATOS!$A7030,nCURSO,DATOS!$D7030,nESPEC,DATOS!$E7030,nASIG,DATOS!$I7030,nEVAL,"EX")=0),0))))</f>
      </c>
      <c r="H7030">
        <f>IF(DATOS!$G7030&lt;&gt;"EX",0,--(COUNTIFS(nNIA,DATOS!$A7030,nCURSO,DATOS!$D7030,nESPEC,DATOS!$E7030,nASIG,DATOS!$I7030,nEVAL,"OR")=0))</f>
      </c>
      <c r="I7030">
        <f>IF(DATOS!$I7030="","",IFERROR(VLOOKUP(DATOS!$I7030,CONFIG_ASIGNATURAS!$B$2:$J$91,9,FALSE()),""))</f>
      </c>
    </row>
    <row r="7031">
      <c r="F7031">
        <f>IF(DATOS!$A7031="","",DATOS!$A7031&amp;"|"&amp;DATOS!$D7031&amp;"|"&amp;DATOS!$E7031&amp;"|"&amp;DATOS!$I7031)</f>
      </c>
      <c r="G7031">
        <f>IF(DATOS!$A7031="",0,IF(CONFIG_METADATA!$B$4&lt;&gt;"OR+EX",--(DATOS!$G7031=CONFIG_METADATA!$B$4),IF(DATOS!$G7031="EX",1,IF(DATOS!$G7031="OR",--(COUNTIFS(nNIA,DATOS!$A7031,nCURSO,DATOS!$D7031,nESPEC,DATOS!$E7031,nASIG,DATOS!$I7031,nEVAL,"EX")=0),0))))</f>
      </c>
      <c r="H7031">
        <f>IF(DATOS!$G7031&lt;&gt;"EX",0,--(COUNTIFS(nNIA,DATOS!$A7031,nCURSO,DATOS!$D7031,nESPEC,DATOS!$E7031,nASIG,DATOS!$I7031,nEVAL,"OR")=0))</f>
      </c>
      <c r="I7031">
        <f>IF(DATOS!$I7031="","",IFERROR(VLOOKUP(DATOS!$I7031,CONFIG_ASIGNATURAS!$B$2:$J$91,9,FALSE()),""))</f>
      </c>
    </row>
    <row r="7032">
      <c r="F7032">
        <f>IF(DATOS!$A7032="","",DATOS!$A7032&amp;"|"&amp;DATOS!$D7032&amp;"|"&amp;DATOS!$E7032&amp;"|"&amp;DATOS!$I7032)</f>
      </c>
      <c r="G7032">
        <f>IF(DATOS!$A7032="",0,IF(CONFIG_METADATA!$B$4&lt;&gt;"OR+EX",--(DATOS!$G7032=CONFIG_METADATA!$B$4),IF(DATOS!$G7032="EX",1,IF(DATOS!$G7032="OR",--(COUNTIFS(nNIA,DATOS!$A7032,nCURSO,DATOS!$D7032,nESPEC,DATOS!$E7032,nASIG,DATOS!$I7032,nEVAL,"EX")=0),0))))</f>
      </c>
      <c r="H7032">
        <f>IF(DATOS!$G7032&lt;&gt;"EX",0,--(COUNTIFS(nNIA,DATOS!$A7032,nCURSO,DATOS!$D7032,nESPEC,DATOS!$E7032,nASIG,DATOS!$I7032,nEVAL,"OR")=0))</f>
      </c>
      <c r="I7032">
        <f>IF(DATOS!$I7032="","",IFERROR(VLOOKUP(DATOS!$I7032,CONFIG_ASIGNATURAS!$B$2:$J$91,9,FALSE()),""))</f>
      </c>
    </row>
    <row r="7033">
      <c r="F7033">
        <f>IF(DATOS!$A7033="","",DATOS!$A7033&amp;"|"&amp;DATOS!$D7033&amp;"|"&amp;DATOS!$E7033&amp;"|"&amp;DATOS!$I7033)</f>
      </c>
      <c r="G7033">
        <f>IF(DATOS!$A7033="",0,IF(CONFIG_METADATA!$B$4&lt;&gt;"OR+EX",--(DATOS!$G7033=CONFIG_METADATA!$B$4),IF(DATOS!$G7033="EX",1,IF(DATOS!$G7033="OR",--(COUNTIFS(nNIA,DATOS!$A7033,nCURSO,DATOS!$D7033,nESPEC,DATOS!$E7033,nASIG,DATOS!$I7033,nEVAL,"EX")=0),0))))</f>
      </c>
      <c r="H7033">
        <f>IF(DATOS!$G7033&lt;&gt;"EX",0,--(COUNTIFS(nNIA,DATOS!$A7033,nCURSO,DATOS!$D7033,nESPEC,DATOS!$E7033,nASIG,DATOS!$I7033,nEVAL,"OR")=0))</f>
      </c>
      <c r="I7033">
        <f>IF(DATOS!$I7033="","",IFERROR(VLOOKUP(DATOS!$I7033,CONFIG_ASIGNATURAS!$B$2:$J$91,9,FALSE()),""))</f>
      </c>
    </row>
    <row r="7034">
      <c r="F7034">
        <f>IF(DATOS!$A7034="","",DATOS!$A7034&amp;"|"&amp;DATOS!$D7034&amp;"|"&amp;DATOS!$E7034&amp;"|"&amp;DATOS!$I7034)</f>
      </c>
      <c r="G7034">
        <f>IF(DATOS!$A7034="",0,IF(CONFIG_METADATA!$B$4&lt;&gt;"OR+EX",--(DATOS!$G7034=CONFIG_METADATA!$B$4),IF(DATOS!$G7034="EX",1,IF(DATOS!$G7034="OR",--(COUNTIFS(nNIA,DATOS!$A7034,nCURSO,DATOS!$D7034,nESPEC,DATOS!$E7034,nASIG,DATOS!$I7034,nEVAL,"EX")=0),0))))</f>
      </c>
      <c r="H7034">
        <f>IF(DATOS!$G7034&lt;&gt;"EX",0,--(COUNTIFS(nNIA,DATOS!$A7034,nCURSO,DATOS!$D7034,nESPEC,DATOS!$E7034,nASIG,DATOS!$I7034,nEVAL,"OR")=0))</f>
      </c>
      <c r="I7034">
        <f>IF(DATOS!$I7034="","",IFERROR(VLOOKUP(DATOS!$I7034,CONFIG_ASIGNATURAS!$B$2:$J$91,9,FALSE()),""))</f>
      </c>
    </row>
    <row r="7035">
      <c r="F7035">
        <f>IF(DATOS!$A7035="","",DATOS!$A7035&amp;"|"&amp;DATOS!$D7035&amp;"|"&amp;DATOS!$E7035&amp;"|"&amp;DATOS!$I7035)</f>
      </c>
      <c r="G7035">
        <f>IF(DATOS!$A7035="",0,IF(CONFIG_METADATA!$B$4&lt;&gt;"OR+EX",--(DATOS!$G7035=CONFIG_METADATA!$B$4),IF(DATOS!$G7035="EX",1,IF(DATOS!$G7035="OR",--(COUNTIFS(nNIA,DATOS!$A7035,nCURSO,DATOS!$D7035,nESPEC,DATOS!$E7035,nASIG,DATOS!$I7035,nEVAL,"EX")=0),0))))</f>
      </c>
      <c r="H7035">
        <f>IF(DATOS!$G7035&lt;&gt;"EX",0,--(COUNTIFS(nNIA,DATOS!$A7035,nCURSO,DATOS!$D7035,nESPEC,DATOS!$E7035,nASIG,DATOS!$I7035,nEVAL,"OR")=0))</f>
      </c>
      <c r="I7035">
        <f>IF(DATOS!$I7035="","",IFERROR(VLOOKUP(DATOS!$I7035,CONFIG_ASIGNATURAS!$B$2:$J$91,9,FALSE()),""))</f>
      </c>
    </row>
    <row r="7036">
      <c r="F7036">
        <f>IF(DATOS!$A7036="","",DATOS!$A7036&amp;"|"&amp;DATOS!$D7036&amp;"|"&amp;DATOS!$E7036&amp;"|"&amp;DATOS!$I7036)</f>
      </c>
      <c r="G7036">
        <f>IF(DATOS!$A7036="",0,IF(CONFIG_METADATA!$B$4&lt;&gt;"OR+EX",--(DATOS!$G7036=CONFIG_METADATA!$B$4),IF(DATOS!$G7036="EX",1,IF(DATOS!$G7036="OR",--(COUNTIFS(nNIA,DATOS!$A7036,nCURSO,DATOS!$D7036,nESPEC,DATOS!$E7036,nASIG,DATOS!$I7036,nEVAL,"EX")=0),0))))</f>
      </c>
      <c r="H7036">
        <f>IF(DATOS!$G7036&lt;&gt;"EX",0,--(COUNTIFS(nNIA,DATOS!$A7036,nCURSO,DATOS!$D7036,nESPEC,DATOS!$E7036,nASIG,DATOS!$I7036,nEVAL,"OR")=0))</f>
      </c>
      <c r="I7036">
        <f>IF(DATOS!$I7036="","",IFERROR(VLOOKUP(DATOS!$I7036,CONFIG_ASIGNATURAS!$B$2:$J$91,9,FALSE()),""))</f>
      </c>
    </row>
    <row r="7037">
      <c r="F7037">
        <f>IF(DATOS!$A7037="","",DATOS!$A7037&amp;"|"&amp;DATOS!$D7037&amp;"|"&amp;DATOS!$E7037&amp;"|"&amp;DATOS!$I7037)</f>
      </c>
      <c r="G7037">
        <f>IF(DATOS!$A7037="",0,IF(CONFIG_METADATA!$B$4&lt;&gt;"OR+EX",--(DATOS!$G7037=CONFIG_METADATA!$B$4),IF(DATOS!$G7037="EX",1,IF(DATOS!$G7037="OR",--(COUNTIFS(nNIA,DATOS!$A7037,nCURSO,DATOS!$D7037,nESPEC,DATOS!$E7037,nASIG,DATOS!$I7037,nEVAL,"EX")=0),0))))</f>
      </c>
      <c r="H7037">
        <f>IF(DATOS!$G7037&lt;&gt;"EX",0,--(COUNTIFS(nNIA,DATOS!$A7037,nCURSO,DATOS!$D7037,nESPEC,DATOS!$E7037,nASIG,DATOS!$I7037,nEVAL,"OR")=0))</f>
      </c>
      <c r="I7037">
        <f>IF(DATOS!$I7037="","",IFERROR(VLOOKUP(DATOS!$I7037,CONFIG_ASIGNATURAS!$B$2:$J$91,9,FALSE()),""))</f>
      </c>
    </row>
    <row r="7038">
      <c r="F7038">
        <f>IF(DATOS!$A7038="","",DATOS!$A7038&amp;"|"&amp;DATOS!$D7038&amp;"|"&amp;DATOS!$E7038&amp;"|"&amp;DATOS!$I7038)</f>
      </c>
      <c r="G7038">
        <f>IF(DATOS!$A7038="",0,IF(CONFIG_METADATA!$B$4&lt;&gt;"OR+EX",--(DATOS!$G7038=CONFIG_METADATA!$B$4),IF(DATOS!$G7038="EX",1,IF(DATOS!$G7038="OR",--(COUNTIFS(nNIA,DATOS!$A7038,nCURSO,DATOS!$D7038,nESPEC,DATOS!$E7038,nASIG,DATOS!$I7038,nEVAL,"EX")=0),0))))</f>
      </c>
      <c r="H7038">
        <f>IF(DATOS!$G7038&lt;&gt;"EX",0,--(COUNTIFS(nNIA,DATOS!$A7038,nCURSO,DATOS!$D7038,nESPEC,DATOS!$E7038,nASIG,DATOS!$I7038,nEVAL,"OR")=0))</f>
      </c>
      <c r="I7038">
        <f>IF(DATOS!$I7038="","",IFERROR(VLOOKUP(DATOS!$I7038,CONFIG_ASIGNATURAS!$B$2:$J$91,9,FALSE()),""))</f>
      </c>
    </row>
    <row r="7039">
      <c r="F7039">
        <f>IF(DATOS!$A7039="","",DATOS!$A7039&amp;"|"&amp;DATOS!$D7039&amp;"|"&amp;DATOS!$E7039&amp;"|"&amp;DATOS!$I7039)</f>
      </c>
      <c r="G7039">
        <f>IF(DATOS!$A7039="",0,IF(CONFIG_METADATA!$B$4&lt;&gt;"OR+EX",--(DATOS!$G7039=CONFIG_METADATA!$B$4),IF(DATOS!$G7039="EX",1,IF(DATOS!$G7039="OR",--(COUNTIFS(nNIA,DATOS!$A7039,nCURSO,DATOS!$D7039,nESPEC,DATOS!$E7039,nASIG,DATOS!$I7039,nEVAL,"EX")=0),0))))</f>
      </c>
      <c r="H7039">
        <f>IF(DATOS!$G7039&lt;&gt;"EX",0,--(COUNTIFS(nNIA,DATOS!$A7039,nCURSO,DATOS!$D7039,nESPEC,DATOS!$E7039,nASIG,DATOS!$I7039,nEVAL,"OR")=0))</f>
      </c>
      <c r="I7039">
        <f>IF(DATOS!$I7039="","",IFERROR(VLOOKUP(DATOS!$I7039,CONFIG_ASIGNATURAS!$B$2:$J$91,9,FALSE()),""))</f>
      </c>
    </row>
    <row r="7040">
      <c r="F7040">
        <f>IF(DATOS!$A7040="","",DATOS!$A7040&amp;"|"&amp;DATOS!$D7040&amp;"|"&amp;DATOS!$E7040&amp;"|"&amp;DATOS!$I7040)</f>
      </c>
      <c r="G7040">
        <f>IF(DATOS!$A7040="",0,IF(CONFIG_METADATA!$B$4&lt;&gt;"OR+EX",--(DATOS!$G7040=CONFIG_METADATA!$B$4),IF(DATOS!$G7040="EX",1,IF(DATOS!$G7040="OR",--(COUNTIFS(nNIA,DATOS!$A7040,nCURSO,DATOS!$D7040,nESPEC,DATOS!$E7040,nASIG,DATOS!$I7040,nEVAL,"EX")=0),0))))</f>
      </c>
      <c r="H7040">
        <f>IF(DATOS!$G7040&lt;&gt;"EX",0,--(COUNTIFS(nNIA,DATOS!$A7040,nCURSO,DATOS!$D7040,nESPEC,DATOS!$E7040,nASIG,DATOS!$I7040,nEVAL,"OR")=0))</f>
      </c>
      <c r="I7040">
        <f>IF(DATOS!$I7040="","",IFERROR(VLOOKUP(DATOS!$I7040,CONFIG_ASIGNATURAS!$B$2:$J$91,9,FALSE()),""))</f>
      </c>
    </row>
    <row r="7041">
      <c r="F7041">
        <f>IF(DATOS!$A7041="","",DATOS!$A7041&amp;"|"&amp;DATOS!$D7041&amp;"|"&amp;DATOS!$E7041&amp;"|"&amp;DATOS!$I7041)</f>
      </c>
      <c r="G7041">
        <f>IF(DATOS!$A7041="",0,IF(CONFIG_METADATA!$B$4&lt;&gt;"OR+EX",--(DATOS!$G7041=CONFIG_METADATA!$B$4),IF(DATOS!$G7041="EX",1,IF(DATOS!$G7041="OR",--(COUNTIFS(nNIA,DATOS!$A7041,nCURSO,DATOS!$D7041,nESPEC,DATOS!$E7041,nASIG,DATOS!$I7041,nEVAL,"EX")=0),0))))</f>
      </c>
      <c r="H7041">
        <f>IF(DATOS!$G7041&lt;&gt;"EX",0,--(COUNTIFS(nNIA,DATOS!$A7041,nCURSO,DATOS!$D7041,nESPEC,DATOS!$E7041,nASIG,DATOS!$I7041,nEVAL,"OR")=0))</f>
      </c>
      <c r="I7041">
        <f>IF(DATOS!$I7041="","",IFERROR(VLOOKUP(DATOS!$I7041,CONFIG_ASIGNATURAS!$B$2:$J$91,9,FALSE()),""))</f>
      </c>
    </row>
    <row r="7042">
      <c r="F7042">
        <f>IF(DATOS!$A7042="","",DATOS!$A7042&amp;"|"&amp;DATOS!$D7042&amp;"|"&amp;DATOS!$E7042&amp;"|"&amp;DATOS!$I7042)</f>
      </c>
      <c r="G7042">
        <f>IF(DATOS!$A7042="",0,IF(CONFIG_METADATA!$B$4&lt;&gt;"OR+EX",--(DATOS!$G7042=CONFIG_METADATA!$B$4),IF(DATOS!$G7042="EX",1,IF(DATOS!$G7042="OR",--(COUNTIFS(nNIA,DATOS!$A7042,nCURSO,DATOS!$D7042,nESPEC,DATOS!$E7042,nASIG,DATOS!$I7042,nEVAL,"EX")=0),0))))</f>
      </c>
      <c r="H7042">
        <f>IF(DATOS!$G7042&lt;&gt;"EX",0,--(COUNTIFS(nNIA,DATOS!$A7042,nCURSO,DATOS!$D7042,nESPEC,DATOS!$E7042,nASIG,DATOS!$I7042,nEVAL,"OR")=0))</f>
      </c>
      <c r="I7042">
        <f>IF(DATOS!$I7042="","",IFERROR(VLOOKUP(DATOS!$I7042,CONFIG_ASIGNATURAS!$B$2:$J$91,9,FALSE()),""))</f>
      </c>
    </row>
    <row r="7043">
      <c r="F7043">
        <f>IF(DATOS!$A7043="","",DATOS!$A7043&amp;"|"&amp;DATOS!$D7043&amp;"|"&amp;DATOS!$E7043&amp;"|"&amp;DATOS!$I7043)</f>
      </c>
      <c r="G7043">
        <f>IF(DATOS!$A7043="",0,IF(CONFIG_METADATA!$B$4&lt;&gt;"OR+EX",--(DATOS!$G7043=CONFIG_METADATA!$B$4),IF(DATOS!$G7043="EX",1,IF(DATOS!$G7043="OR",--(COUNTIFS(nNIA,DATOS!$A7043,nCURSO,DATOS!$D7043,nESPEC,DATOS!$E7043,nASIG,DATOS!$I7043,nEVAL,"EX")=0),0))))</f>
      </c>
      <c r="H7043">
        <f>IF(DATOS!$G7043&lt;&gt;"EX",0,--(COUNTIFS(nNIA,DATOS!$A7043,nCURSO,DATOS!$D7043,nESPEC,DATOS!$E7043,nASIG,DATOS!$I7043,nEVAL,"OR")=0))</f>
      </c>
      <c r="I7043">
        <f>IF(DATOS!$I7043="","",IFERROR(VLOOKUP(DATOS!$I7043,CONFIG_ASIGNATURAS!$B$2:$J$91,9,FALSE()),""))</f>
      </c>
    </row>
    <row r="7044">
      <c r="F7044">
        <f>IF(DATOS!$A7044="","",DATOS!$A7044&amp;"|"&amp;DATOS!$D7044&amp;"|"&amp;DATOS!$E7044&amp;"|"&amp;DATOS!$I7044)</f>
      </c>
      <c r="G7044">
        <f>IF(DATOS!$A7044="",0,IF(CONFIG_METADATA!$B$4&lt;&gt;"OR+EX",--(DATOS!$G7044=CONFIG_METADATA!$B$4),IF(DATOS!$G7044="EX",1,IF(DATOS!$G7044="OR",--(COUNTIFS(nNIA,DATOS!$A7044,nCURSO,DATOS!$D7044,nESPEC,DATOS!$E7044,nASIG,DATOS!$I7044,nEVAL,"EX")=0),0))))</f>
      </c>
      <c r="H7044">
        <f>IF(DATOS!$G7044&lt;&gt;"EX",0,--(COUNTIFS(nNIA,DATOS!$A7044,nCURSO,DATOS!$D7044,nESPEC,DATOS!$E7044,nASIG,DATOS!$I7044,nEVAL,"OR")=0))</f>
      </c>
      <c r="I7044">
        <f>IF(DATOS!$I7044="","",IFERROR(VLOOKUP(DATOS!$I7044,CONFIG_ASIGNATURAS!$B$2:$J$91,9,FALSE()),""))</f>
      </c>
    </row>
    <row r="7045">
      <c r="F7045">
        <f>IF(DATOS!$A7045="","",DATOS!$A7045&amp;"|"&amp;DATOS!$D7045&amp;"|"&amp;DATOS!$E7045&amp;"|"&amp;DATOS!$I7045)</f>
      </c>
      <c r="G7045">
        <f>IF(DATOS!$A7045="",0,IF(CONFIG_METADATA!$B$4&lt;&gt;"OR+EX",--(DATOS!$G7045=CONFIG_METADATA!$B$4),IF(DATOS!$G7045="EX",1,IF(DATOS!$G7045="OR",--(COUNTIFS(nNIA,DATOS!$A7045,nCURSO,DATOS!$D7045,nESPEC,DATOS!$E7045,nASIG,DATOS!$I7045,nEVAL,"EX")=0),0))))</f>
      </c>
      <c r="H7045">
        <f>IF(DATOS!$G7045&lt;&gt;"EX",0,--(COUNTIFS(nNIA,DATOS!$A7045,nCURSO,DATOS!$D7045,nESPEC,DATOS!$E7045,nASIG,DATOS!$I7045,nEVAL,"OR")=0))</f>
      </c>
      <c r="I7045">
        <f>IF(DATOS!$I7045="","",IFERROR(VLOOKUP(DATOS!$I7045,CONFIG_ASIGNATURAS!$B$2:$J$91,9,FALSE()),""))</f>
      </c>
    </row>
    <row r="7046">
      <c r="F7046">
        <f>IF(DATOS!$A7046="","",DATOS!$A7046&amp;"|"&amp;DATOS!$D7046&amp;"|"&amp;DATOS!$E7046&amp;"|"&amp;DATOS!$I7046)</f>
      </c>
      <c r="G7046">
        <f>IF(DATOS!$A7046="",0,IF(CONFIG_METADATA!$B$4&lt;&gt;"OR+EX",--(DATOS!$G7046=CONFIG_METADATA!$B$4),IF(DATOS!$G7046="EX",1,IF(DATOS!$G7046="OR",--(COUNTIFS(nNIA,DATOS!$A7046,nCURSO,DATOS!$D7046,nESPEC,DATOS!$E7046,nASIG,DATOS!$I7046,nEVAL,"EX")=0),0))))</f>
      </c>
      <c r="H7046">
        <f>IF(DATOS!$G7046&lt;&gt;"EX",0,--(COUNTIFS(nNIA,DATOS!$A7046,nCURSO,DATOS!$D7046,nESPEC,DATOS!$E7046,nASIG,DATOS!$I7046,nEVAL,"OR")=0))</f>
      </c>
      <c r="I7046">
        <f>IF(DATOS!$I7046="","",IFERROR(VLOOKUP(DATOS!$I7046,CONFIG_ASIGNATURAS!$B$2:$J$91,9,FALSE()),""))</f>
      </c>
    </row>
    <row r="7047">
      <c r="F7047">
        <f>IF(DATOS!$A7047="","",DATOS!$A7047&amp;"|"&amp;DATOS!$D7047&amp;"|"&amp;DATOS!$E7047&amp;"|"&amp;DATOS!$I7047)</f>
      </c>
      <c r="G7047">
        <f>IF(DATOS!$A7047="",0,IF(CONFIG_METADATA!$B$4&lt;&gt;"OR+EX",--(DATOS!$G7047=CONFIG_METADATA!$B$4),IF(DATOS!$G7047="EX",1,IF(DATOS!$G7047="OR",--(COUNTIFS(nNIA,DATOS!$A7047,nCURSO,DATOS!$D7047,nESPEC,DATOS!$E7047,nASIG,DATOS!$I7047,nEVAL,"EX")=0),0))))</f>
      </c>
      <c r="H7047">
        <f>IF(DATOS!$G7047&lt;&gt;"EX",0,--(COUNTIFS(nNIA,DATOS!$A7047,nCURSO,DATOS!$D7047,nESPEC,DATOS!$E7047,nASIG,DATOS!$I7047,nEVAL,"OR")=0))</f>
      </c>
      <c r="I7047">
        <f>IF(DATOS!$I7047="","",IFERROR(VLOOKUP(DATOS!$I7047,CONFIG_ASIGNATURAS!$B$2:$J$91,9,FALSE()),""))</f>
      </c>
    </row>
    <row r="7048">
      <c r="F7048">
        <f>IF(DATOS!$A7048="","",DATOS!$A7048&amp;"|"&amp;DATOS!$D7048&amp;"|"&amp;DATOS!$E7048&amp;"|"&amp;DATOS!$I7048)</f>
      </c>
      <c r="G7048">
        <f>IF(DATOS!$A7048="",0,IF(CONFIG_METADATA!$B$4&lt;&gt;"OR+EX",--(DATOS!$G7048=CONFIG_METADATA!$B$4),IF(DATOS!$G7048="EX",1,IF(DATOS!$G7048="OR",--(COUNTIFS(nNIA,DATOS!$A7048,nCURSO,DATOS!$D7048,nESPEC,DATOS!$E7048,nASIG,DATOS!$I7048,nEVAL,"EX")=0),0))))</f>
      </c>
      <c r="H7048">
        <f>IF(DATOS!$G7048&lt;&gt;"EX",0,--(COUNTIFS(nNIA,DATOS!$A7048,nCURSO,DATOS!$D7048,nESPEC,DATOS!$E7048,nASIG,DATOS!$I7048,nEVAL,"OR")=0))</f>
      </c>
      <c r="I7048">
        <f>IF(DATOS!$I7048="","",IFERROR(VLOOKUP(DATOS!$I7048,CONFIG_ASIGNATURAS!$B$2:$J$91,9,FALSE()),""))</f>
      </c>
    </row>
    <row r="7049">
      <c r="F7049">
        <f>IF(DATOS!$A7049="","",DATOS!$A7049&amp;"|"&amp;DATOS!$D7049&amp;"|"&amp;DATOS!$E7049&amp;"|"&amp;DATOS!$I7049)</f>
      </c>
      <c r="G7049">
        <f>IF(DATOS!$A7049="",0,IF(CONFIG_METADATA!$B$4&lt;&gt;"OR+EX",--(DATOS!$G7049=CONFIG_METADATA!$B$4),IF(DATOS!$G7049="EX",1,IF(DATOS!$G7049="OR",--(COUNTIFS(nNIA,DATOS!$A7049,nCURSO,DATOS!$D7049,nESPEC,DATOS!$E7049,nASIG,DATOS!$I7049,nEVAL,"EX")=0),0))))</f>
      </c>
      <c r="H7049">
        <f>IF(DATOS!$G7049&lt;&gt;"EX",0,--(COUNTIFS(nNIA,DATOS!$A7049,nCURSO,DATOS!$D7049,nESPEC,DATOS!$E7049,nASIG,DATOS!$I7049,nEVAL,"OR")=0))</f>
      </c>
      <c r="I7049">
        <f>IF(DATOS!$I7049="","",IFERROR(VLOOKUP(DATOS!$I7049,CONFIG_ASIGNATURAS!$B$2:$J$91,9,FALSE()),""))</f>
      </c>
    </row>
    <row r="7050">
      <c r="F7050">
        <f>IF(DATOS!$A7050="","",DATOS!$A7050&amp;"|"&amp;DATOS!$D7050&amp;"|"&amp;DATOS!$E7050&amp;"|"&amp;DATOS!$I7050)</f>
      </c>
      <c r="G7050">
        <f>IF(DATOS!$A7050="",0,IF(CONFIG_METADATA!$B$4&lt;&gt;"OR+EX",--(DATOS!$G7050=CONFIG_METADATA!$B$4),IF(DATOS!$G7050="EX",1,IF(DATOS!$G7050="OR",--(COUNTIFS(nNIA,DATOS!$A7050,nCURSO,DATOS!$D7050,nESPEC,DATOS!$E7050,nASIG,DATOS!$I7050,nEVAL,"EX")=0),0))))</f>
      </c>
      <c r="H7050">
        <f>IF(DATOS!$G7050&lt;&gt;"EX",0,--(COUNTIFS(nNIA,DATOS!$A7050,nCURSO,DATOS!$D7050,nESPEC,DATOS!$E7050,nASIG,DATOS!$I7050,nEVAL,"OR")=0))</f>
      </c>
      <c r="I7050">
        <f>IF(DATOS!$I7050="","",IFERROR(VLOOKUP(DATOS!$I7050,CONFIG_ASIGNATURAS!$B$2:$J$91,9,FALSE()),""))</f>
      </c>
    </row>
    <row r="7051">
      <c r="F7051">
        <f>IF(DATOS!$A7051="","",DATOS!$A7051&amp;"|"&amp;DATOS!$D7051&amp;"|"&amp;DATOS!$E7051&amp;"|"&amp;DATOS!$I7051)</f>
      </c>
      <c r="G7051">
        <f>IF(DATOS!$A7051="",0,IF(CONFIG_METADATA!$B$4&lt;&gt;"OR+EX",--(DATOS!$G7051=CONFIG_METADATA!$B$4),IF(DATOS!$G7051="EX",1,IF(DATOS!$G7051="OR",--(COUNTIFS(nNIA,DATOS!$A7051,nCURSO,DATOS!$D7051,nESPEC,DATOS!$E7051,nASIG,DATOS!$I7051,nEVAL,"EX")=0),0))))</f>
      </c>
      <c r="H7051">
        <f>IF(DATOS!$G7051&lt;&gt;"EX",0,--(COUNTIFS(nNIA,DATOS!$A7051,nCURSO,DATOS!$D7051,nESPEC,DATOS!$E7051,nASIG,DATOS!$I7051,nEVAL,"OR")=0))</f>
      </c>
      <c r="I7051">
        <f>IF(DATOS!$I7051="","",IFERROR(VLOOKUP(DATOS!$I7051,CONFIG_ASIGNATURAS!$B$2:$J$91,9,FALSE()),""))</f>
      </c>
    </row>
    <row r="7052">
      <c r="F7052">
        <f>IF(DATOS!$A7052="","",DATOS!$A7052&amp;"|"&amp;DATOS!$D7052&amp;"|"&amp;DATOS!$E7052&amp;"|"&amp;DATOS!$I7052)</f>
      </c>
      <c r="G7052">
        <f>IF(DATOS!$A7052="",0,IF(CONFIG_METADATA!$B$4&lt;&gt;"OR+EX",--(DATOS!$G7052=CONFIG_METADATA!$B$4),IF(DATOS!$G7052="EX",1,IF(DATOS!$G7052="OR",--(COUNTIFS(nNIA,DATOS!$A7052,nCURSO,DATOS!$D7052,nESPEC,DATOS!$E7052,nASIG,DATOS!$I7052,nEVAL,"EX")=0),0))))</f>
      </c>
      <c r="H7052">
        <f>IF(DATOS!$G7052&lt;&gt;"EX",0,--(COUNTIFS(nNIA,DATOS!$A7052,nCURSO,DATOS!$D7052,nESPEC,DATOS!$E7052,nASIG,DATOS!$I7052,nEVAL,"OR")=0))</f>
      </c>
      <c r="I7052">
        <f>IF(DATOS!$I7052="","",IFERROR(VLOOKUP(DATOS!$I7052,CONFIG_ASIGNATURAS!$B$2:$J$91,9,FALSE()),""))</f>
      </c>
    </row>
    <row r="7053">
      <c r="F7053">
        <f>IF(DATOS!$A7053="","",DATOS!$A7053&amp;"|"&amp;DATOS!$D7053&amp;"|"&amp;DATOS!$E7053&amp;"|"&amp;DATOS!$I7053)</f>
      </c>
      <c r="G7053">
        <f>IF(DATOS!$A7053="",0,IF(CONFIG_METADATA!$B$4&lt;&gt;"OR+EX",--(DATOS!$G7053=CONFIG_METADATA!$B$4),IF(DATOS!$G7053="EX",1,IF(DATOS!$G7053="OR",--(COUNTIFS(nNIA,DATOS!$A7053,nCURSO,DATOS!$D7053,nESPEC,DATOS!$E7053,nASIG,DATOS!$I7053,nEVAL,"EX")=0),0))))</f>
      </c>
      <c r="H7053">
        <f>IF(DATOS!$G7053&lt;&gt;"EX",0,--(COUNTIFS(nNIA,DATOS!$A7053,nCURSO,DATOS!$D7053,nESPEC,DATOS!$E7053,nASIG,DATOS!$I7053,nEVAL,"OR")=0))</f>
      </c>
      <c r="I7053">
        <f>IF(DATOS!$I7053="","",IFERROR(VLOOKUP(DATOS!$I7053,CONFIG_ASIGNATURAS!$B$2:$J$91,9,FALSE()),""))</f>
      </c>
    </row>
    <row r="7054">
      <c r="F7054">
        <f>IF(DATOS!$A7054="","",DATOS!$A7054&amp;"|"&amp;DATOS!$D7054&amp;"|"&amp;DATOS!$E7054&amp;"|"&amp;DATOS!$I7054)</f>
      </c>
      <c r="G7054">
        <f>IF(DATOS!$A7054="",0,IF(CONFIG_METADATA!$B$4&lt;&gt;"OR+EX",--(DATOS!$G7054=CONFIG_METADATA!$B$4),IF(DATOS!$G7054="EX",1,IF(DATOS!$G7054="OR",--(COUNTIFS(nNIA,DATOS!$A7054,nCURSO,DATOS!$D7054,nESPEC,DATOS!$E7054,nASIG,DATOS!$I7054,nEVAL,"EX")=0),0))))</f>
      </c>
      <c r="H7054">
        <f>IF(DATOS!$G7054&lt;&gt;"EX",0,--(COUNTIFS(nNIA,DATOS!$A7054,nCURSO,DATOS!$D7054,nESPEC,DATOS!$E7054,nASIG,DATOS!$I7054,nEVAL,"OR")=0))</f>
      </c>
      <c r="I7054">
        <f>IF(DATOS!$I7054="","",IFERROR(VLOOKUP(DATOS!$I7054,CONFIG_ASIGNATURAS!$B$2:$J$91,9,FALSE()),""))</f>
      </c>
    </row>
    <row r="7055">
      <c r="F7055">
        <f>IF(DATOS!$A7055="","",DATOS!$A7055&amp;"|"&amp;DATOS!$D7055&amp;"|"&amp;DATOS!$E7055&amp;"|"&amp;DATOS!$I7055)</f>
      </c>
      <c r="G7055">
        <f>IF(DATOS!$A7055="",0,IF(CONFIG_METADATA!$B$4&lt;&gt;"OR+EX",--(DATOS!$G7055=CONFIG_METADATA!$B$4),IF(DATOS!$G7055="EX",1,IF(DATOS!$G7055="OR",--(COUNTIFS(nNIA,DATOS!$A7055,nCURSO,DATOS!$D7055,nESPEC,DATOS!$E7055,nASIG,DATOS!$I7055,nEVAL,"EX")=0),0))))</f>
      </c>
      <c r="H7055">
        <f>IF(DATOS!$G7055&lt;&gt;"EX",0,--(COUNTIFS(nNIA,DATOS!$A7055,nCURSO,DATOS!$D7055,nESPEC,DATOS!$E7055,nASIG,DATOS!$I7055,nEVAL,"OR")=0))</f>
      </c>
      <c r="I7055">
        <f>IF(DATOS!$I7055="","",IFERROR(VLOOKUP(DATOS!$I7055,CONFIG_ASIGNATURAS!$B$2:$J$91,9,FALSE()),""))</f>
      </c>
    </row>
    <row r="7056">
      <c r="F7056">
        <f>IF(DATOS!$A7056="","",DATOS!$A7056&amp;"|"&amp;DATOS!$D7056&amp;"|"&amp;DATOS!$E7056&amp;"|"&amp;DATOS!$I7056)</f>
      </c>
      <c r="G7056">
        <f>IF(DATOS!$A7056="",0,IF(CONFIG_METADATA!$B$4&lt;&gt;"OR+EX",--(DATOS!$G7056=CONFIG_METADATA!$B$4),IF(DATOS!$G7056="EX",1,IF(DATOS!$G7056="OR",--(COUNTIFS(nNIA,DATOS!$A7056,nCURSO,DATOS!$D7056,nESPEC,DATOS!$E7056,nASIG,DATOS!$I7056,nEVAL,"EX")=0),0))))</f>
      </c>
      <c r="H7056">
        <f>IF(DATOS!$G7056&lt;&gt;"EX",0,--(COUNTIFS(nNIA,DATOS!$A7056,nCURSO,DATOS!$D7056,nESPEC,DATOS!$E7056,nASIG,DATOS!$I7056,nEVAL,"OR")=0))</f>
      </c>
      <c r="I7056">
        <f>IF(DATOS!$I7056="","",IFERROR(VLOOKUP(DATOS!$I7056,CONFIG_ASIGNATURAS!$B$2:$J$91,9,FALSE()),""))</f>
      </c>
    </row>
    <row r="7057">
      <c r="F7057">
        <f>IF(DATOS!$A7057="","",DATOS!$A7057&amp;"|"&amp;DATOS!$D7057&amp;"|"&amp;DATOS!$E7057&amp;"|"&amp;DATOS!$I7057)</f>
      </c>
      <c r="G7057">
        <f>IF(DATOS!$A7057="",0,IF(CONFIG_METADATA!$B$4&lt;&gt;"OR+EX",--(DATOS!$G7057=CONFIG_METADATA!$B$4),IF(DATOS!$G7057="EX",1,IF(DATOS!$G7057="OR",--(COUNTIFS(nNIA,DATOS!$A7057,nCURSO,DATOS!$D7057,nESPEC,DATOS!$E7057,nASIG,DATOS!$I7057,nEVAL,"EX")=0),0))))</f>
      </c>
      <c r="H7057">
        <f>IF(DATOS!$G7057&lt;&gt;"EX",0,--(COUNTIFS(nNIA,DATOS!$A7057,nCURSO,DATOS!$D7057,nESPEC,DATOS!$E7057,nASIG,DATOS!$I7057,nEVAL,"OR")=0))</f>
      </c>
      <c r="I7057">
        <f>IF(DATOS!$I7057="","",IFERROR(VLOOKUP(DATOS!$I7057,CONFIG_ASIGNATURAS!$B$2:$J$91,9,FALSE()),""))</f>
      </c>
    </row>
    <row r="7058">
      <c r="F7058">
        <f>IF(DATOS!$A7058="","",DATOS!$A7058&amp;"|"&amp;DATOS!$D7058&amp;"|"&amp;DATOS!$E7058&amp;"|"&amp;DATOS!$I7058)</f>
      </c>
      <c r="G7058">
        <f>IF(DATOS!$A7058="",0,IF(CONFIG_METADATA!$B$4&lt;&gt;"OR+EX",--(DATOS!$G7058=CONFIG_METADATA!$B$4),IF(DATOS!$G7058="EX",1,IF(DATOS!$G7058="OR",--(COUNTIFS(nNIA,DATOS!$A7058,nCURSO,DATOS!$D7058,nESPEC,DATOS!$E7058,nASIG,DATOS!$I7058,nEVAL,"EX")=0),0))))</f>
      </c>
      <c r="H7058">
        <f>IF(DATOS!$G7058&lt;&gt;"EX",0,--(COUNTIFS(nNIA,DATOS!$A7058,nCURSO,DATOS!$D7058,nESPEC,DATOS!$E7058,nASIG,DATOS!$I7058,nEVAL,"OR")=0))</f>
      </c>
      <c r="I7058">
        <f>IF(DATOS!$I7058="","",IFERROR(VLOOKUP(DATOS!$I7058,CONFIG_ASIGNATURAS!$B$2:$J$91,9,FALSE()),""))</f>
      </c>
    </row>
    <row r="7059">
      <c r="F7059">
        <f>IF(DATOS!$A7059="","",DATOS!$A7059&amp;"|"&amp;DATOS!$D7059&amp;"|"&amp;DATOS!$E7059&amp;"|"&amp;DATOS!$I7059)</f>
      </c>
      <c r="G7059">
        <f>IF(DATOS!$A7059="",0,IF(CONFIG_METADATA!$B$4&lt;&gt;"OR+EX",--(DATOS!$G7059=CONFIG_METADATA!$B$4),IF(DATOS!$G7059="EX",1,IF(DATOS!$G7059="OR",--(COUNTIFS(nNIA,DATOS!$A7059,nCURSO,DATOS!$D7059,nESPEC,DATOS!$E7059,nASIG,DATOS!$I7059,nEVAL,"EX")=0),0))))</f>
      </c>
      <c r="H7059">
        <f>IF(DATOS!$G7059&lt;&gt;"EX",0,--(COUNTIFS(nNIA,DATOS!$A7059,nCURSO,DATOS!$D7059,nESPEC,DATOS!$E7059,nASIG,DATOS!$I7059,nEVAL,"OR")=0))</f>
      </c>
      <c r="I7059">
        <f>IF(DATOS!$I7059="","",IFERROR(VLOOKUP(DATOS!$I7059,CONFIG_ASIGNATURAS!$B$2:$J$91,9,FALSE()),""))</f>
      </c>
    </row>
    <row r="7060">
      <c r="F7060">
        <f>IF(DATOS!$A7060="","",DATOS!$A7060&amp;"|"&amp;DATOS!$D7060&amp;"|"&amp;DATOS!$E7060&amp;"|"&amp;DATOS!$I7060)</f>
      </c>
      <c r="G7060">
        <f>IF(DATOS!$A7060="",0,IF(CONFIG_METADATA!$B$4&lt;&gt;"OR+EX",--(DATOS!$G7060=CONFIG_METADATA!$B$4),IF(DATOS!$G7060="EX",1,IF(DATOS!$G7060="OR",--(COUNTIFS(nNIA,DATOS!$A7060,nCURSO,DATOS!$D7060,nESPEC,DATOS!$E7060,nASIG,DATOS!$I7060,nEVAL,"EX")=0),0))))</f>
      </c>
      <c r="H7060">
        <f>IF(DATOS!$G7060&lt;&gt;"EX",0,--(COUNTIFS(nNIA,DATOS!$A7060,nCURSO,DATOS!$D7060,nESPEC,DATOS!$E7060,nASIG,DATOS!$I7060,nEVAL,"OR")=0))</f>
      </c>
      <c r="I7060">
        <f>IF(DATOS!$I7060="","",IFERROR(VLOOKUP(DATOS!$I7060,CONFIG_ASIGNATURAS!$B$2:$J$91,9,FALSE()),""))</f>
      </c>
    </row>
    <row r="7061">
      <c r="F7061">
        <f>IF(DATOS!$A7061="","",DATOS!$A7061&amp;"|"&amp;DATOS!$D7061&amp;"|"&amp;DATOS!$E7061&amp;"|"&amp;DATOS!$I7061)</f>
      </c>
      <c r="G7061">
        <f>IF(DATOS!$A7061="",0,IF(CONFIG_METADATA!$B$4&lt;&gt;"OR+EX",--(DATOS!$G7061=CONFIG_METADATA!$B$4),IF(DATOS!$G7061="EX",1,IF(DATOS!$G7061="OR",--(COUNTIFS(nNIA,DATOS!$A7061,nCURSO,DATOS!$D7061,nESPEC,DATOS!$E7061,nASIG,DATOS!$I7061,nEVAL,"EX")=0),0))))</f>
      </c>
      <c r="H7061">
        <f>IF(DATOS!$G7061&lt;&gt;"EX",0,--(COUNTIFS(nNIA,DATOS!$A7061,nCURSO,DATOS!$D7061,nESPEC,DATOS!$E7061,nASIG,DATOS!$I7061,nEVAL,"OR")=0))</f>
      </c>
      <c r="I7061">
        <f>IF(DATOS!$I7061="","",IFERROR(VLOOKUP(DATOS!$I7061,CONFIG_ASIGNATURAS!$B$2:$J$91,9,FALSE()),""))</f>
      </c>
    </row>
    <row r="7062">
      <c r="F7062">
        <f>IF(DATOS!$A7062="","",DATOS!$A7062&amp;"|"&amp;DATOS!$D7062&amp;"|"&amp;DATOS!$E7062&amp;"|"&amp;DATOS!$I7062)</f>
      </c>
      <c r="G7062">
        <f>IF(DATOS!$A7062="",0,IF(CONFIG_METADATA!$B$4&lt;&gt;"OR+EX",--(DATOS!$G7062=CONFIG_METADATA!$B$4),IF(DATOS!$G7062="EX",1,IF(DATOS!$G7062="OR",--(COUNTIFS(nNIA,DATOS!$A7062,nCURSO,DATOS!$D7062,nESPEC,DATOS!$E7062,nASIG,DATOS!$I7062,nEVAL,"EX")=0),0))))</f>
      </c>
      <c r="H7062">
        <f>IF(DATOS!$G7062&lt;&gt;"EX",0,--(COUNTIFS(nNIA,DATOS!$A7062,nCURSO,DATOS!$D7062,nESPEC,DATOS!$E7062,nASIG,DATOS!$I7062,nEVAL,"OR")=0))</f>
      </c>
      <c r="I7062">
        <f>IF(DATOS!$I7062="","",IFERROR(VLOOKUP(DATOS!$I7062,CONFIG_ASIGNATURAS!$B$2:$J$91,9,FALSE()),""))</f>
      </c>
    </row>
    <row r="7063">
      <c r="F7063">
        <f>IF(DATOS!$A7063="","",DATOS!$A7063&amp;"|"&amp;DATOS!$D7063&amp;"|"&amp;DATOS!$E7063&amp;"|"&amp;DATOS!$I7063)</f>
      </c>
      <c r="G7063">
        <f>IF(DATOS!$A7063="",0,IF(CONFIG_METADATA!$B$4&lt;&gt;"OR+EX",--(DATOS!$G7063=CONFIG_METADATA!$B$4),IF(DATOS!$G7063="EX",1,IF(DATOS!$G7063="OR",--(COUNTIFS(nNIA,DATOS!$A7063,nCURSO,DATOS!$D7063,nESPEC,DATOS!$E7063,nASIG,DATOS!$I7063,nEVAL,"EX")=0),0))))</f>
      </c>
      <c r="H7063">
        <f>IF(DATOS!$G7063&lt;&gt;"EX",0,--(COUNTIFS(nNIA,DATOS!$A7063,nCURSO,DATOS!$D7063,nESPEC,DATOS!$E7063,nASIG,DATOS!$I7063,nEVAL,"OR")=0))</f>
      </c>
      <c r="I7063">
        <f>IF(DATOS!$I7063="","",IFERROR(VLOOKUP(DATOS!$I7063,CONFIG_ASIGNATURAS!$B$2:$J$91,9,FALSE()),""))</f>
      </c>
    </row>
    <row r="7064">
      <c r="F7064">
        <f>IF(DATOS!$A7064="","",DATOS!$A7064&amp;"|"&amp;DATOS!$D7064&amp;"|"&amp;DATOS!$E7064&amp;"|"&amp;DATOS!$I7064)</f>
      </c>
      <c r="G7064">
        <f>IF(DATOS!$A7064="",0,IF(CONFIG_METADATA!$B$4&lt;&gt;"OR+EX",--(DATOS!$G7064=CONFIG_METADATA!$B$4),IF(DATOS!$G7064="EX",1,IF(DATOS!$G7064="OR",--(COUNTIFS(nNIA,DATOS!$A7064,nCURSO,DATOS!$D7064,nESPEC,DATOS!$E7064,nASIG,DATOS!$I7064,nEVAL,"EX")=0),0))))</f>
      </c>
      <c r="H7064">
        <f>IF(DATOS!$G7064&lt;&gt;"EX",0,--(COUNTIFS(nNIA,DATOS!$A7064,nCURSO,DATOS!$D7064,nESPEC,DATOS!$E7064,nASIG,DATOS!$I7064,nEVAL,"OR")=0))</f>
      </c>
      <c r="I7064">
        <f>IF(DATOS!$I7064="","",IFERROR(VLOOKUP(DATOS!$I7064,CONFIG_ASIGNATURAS!$B$2:$J$91,9,FALSE()),""))</f>
      </c>
    </row>
    <row r="7065">
      <c r="F7065">
        <f>IF(DATOS!$A7065="","",DATOS!$A7065&amp;"|"&amp;DATOS!$D7065&amp;"|"&amp;DATOS!$E7065&amp;"|"&amp;DATOS!$I7065)</f>
      </c>
      <c r="G7065">
        <f>IF(DATOS!$A7065="",0,IF(CONFIG_METADATA!$B$4&lt;&gt;"OR+EX",--(DATOS!$G7065=CONFIG_METADATA!$B$4),IF(DATOS!$G7065="EX",1,IF(DATOS!$G7065="OR",--(COUNTIFS(nNIA,DATOS!$A7065,nCURSO,DATOS!$D7065,nESPEC,DATOS!$E7065,nASIG,DATOS!$I7065,nEVAL,"EX")=0),0))))</f>
      </c>
      <c r="H7065">
        <f>IF(DATOS!$G7065&lt;&gt;"EX",0,--(COUNTIFS(nNIA,DATOS!$A7065,nCURSO,DATOS!$D7065,nESPEC,DATOS!$E7065,nASIG,DATOS!$I7065,nEVAL,"OR")=0))</f>
      </c>
      <c r="I7065">
        <f>IF(DATOS!$I7065="","",IFERROR(VLOOKUP(DATOS!$I7065,CONFIG_ASIGNATURAS!$B$2:$J$91,9,FALSE()),""))</f>
      </c>
    </row>
    <row r="7066">
      <c r="F7066">
        <f>IF(DATOS!$A7066="","",DATOS!$A7066&amp;"|"&amp;DATOS!$D7066&amp;"|"&amp;DATOS!$E7066&amp;"|"&amp;DATOS!$I7066)</f>
      </c>
      <c r="G7066">
        <f>IF(DATOS!$A7066="",0,IF(CONFIG_METADATA!$B$4&lt;&gt;"OR+EX",--(DATOS!$G7066=CONFIG_METADATA!$B$4),IF(DATOS!$G7066="EX",1,IF(DATOS!$G7066="OR",--(COUNTIFS(nNIA,DATOS!$A7066,nCURSO,DATOS!$D7066,nESPEC,DATOS!$E7066,nASIG,DATOS!$I7066,nEVAL,"EX")=0),0))))</f>
      </c>
      <c r="H7066">
        <f>IF(DATOS!$G7066&lt;&gt;"EX",0,--(COUNTIFS(nNIA,DATOS!$A7066,nCURSO,DATOS!$D7066,nESPEC,DATOS!$E7066,nASIG,DATOS!$I7066,nEVAL,"OR")=0))</f>
      </c>
      <c r="I7066">
        <f>IF(DATOS!$I7066="","",IFERROR(VLOOKUP(DATOS!$I7066,CONFIG_ASIGNATURAS!$B$2:$J$91,9,FALSE()),""))</f>
      </c>
    </row>
    <row r="7067">
      <c r="F7067">
        <f>IF(DATOS!$A7067="","",DATOS!$A7067&amp;"|"&amp;DATOS!$D7067&amp;"|"&amp;DATOS!$E7067&amp;"|"&amp;DATOS!$I7067)</f>
      </c>
      <c r="G7067">
        <f>IF(DATOS!$A7067="",0,IF(CONFIG_METADATA!$B$4&lt;&gt;"OR+EX",--(DATOS!$G7067=CONFIG_METADATA!$B$4),IF(DATOS!$G7067="EX",1,IF(DATOS!$G7067="OR",--(COUNTIFS(nNIA,DATOS!$A7067,nCURSO,DATOS!$D7067,nESPEC,DATOS!$E7067,nASIG,DATOS!$I7067,nEVAL,"EX")=0),0))))</f>
      </c>
      <c r="H7067">
        <f>IF(DATOS!$G7067&lt;&gt;"EX",0,--(COUNTIFS(nNIA,DATOS!$A7067,nCURSO,DATOS!$D7067,nESPEC,DATOS!$E7067,nASIG,DATOS!$I7067,nEVAL,"OR")=0))</f>
      </c>
      <c r="I7067">
        <f>IF(DATOS!$I7067="","",IFERROR(VLOOKUP(DATOS!$I7067,CONFIG_ASIGNATURAS!$B$2:$J$91,9,FALSE()),""))</f>
      </c>
    </row>
    <row r="7068">
      <c r="F7068">
        <f>IF(DATOS!$A7068="","",DATOS!$A7068&amp;"|"&amp;DATOS!$D7068&amp;"|"&amp;DATOS!$E7068&amp;"|"&amp;DATOS!$I7068)</f>
      </c>
      <c r="G7068">
        <f>IF(DATOS!$A7068="",0,IF(CONFIG_METADATA!$B$4&lt;&gt;"OR+EX",--(DATOS!$G7068=CONFIG_METADATA!$B$4),IF(DATOS!$G7068="EX",1,IF(DATOS!$G7068="OR",--(COUNTIFS(nNIA,DATOS!$A7068,nCURSO,DATOS!$D7068,nESPEC,DATOS!$E7068,nASIG,DATOS!$I7068,nEVAL,"EX")=0),0))))</f>
      </c>
      <c r="H7068">
        <f>IF(DATOS!$G7068&lt;&gt;"EX",0,--(COUNTIFS(nNIA,DATOS!$A7068,nCURSO,DATOS!$D7068,nESPEC,DATOS!$E7068,nASIG,DATOS!$I7068,nEVAL,"OR")=0))</f>
      </c>
      <c r="I7068">
        <f>IF(DATOS!$I7068="","",IFERROR(VLOOKUP(DATOS!$I7068,CONFIG_ASIGNATURAS!$B$2:$J$91,9,FALSE()),""))</f>
      </c>
    </row>
    <row r="7069">
      <c r="F7069">
        <f>IF(DATOS!$A7069="","",DATOS!$A7069&amp;"|"&amp;DATOS!$D7069&amp;"|"&amp;DATOS!$E7069&amp;"|"&amp;DATOS!$I7069)</f>
      </c>
      <c r="G7069">
        <f>IF(DATOS!$A7069="",0,IF(CONFIG_METADATA!$B$4&lt;&gt;"OR+EX",--(DATOS!$G7069=CONFIG_METADATA!$B$4),IF(DATOS!$G7069="EX",1,IF(DATOS!$G7069="OR",--(COUNTIFS(nNIA,DATOS!$A7069,nCURSO,DATOS!$D7069,nESPEC,DATOS!$E7069,nASIG,DATOS!$I7069,nEVAL,"EX")=0),0))))</f>
      </c>
      <c r="H7069">
        <f>IF(DATOS!$G7069&lt;&gt;"EX",0,--(COUNTIFS(nNIA,DATOS!$A7069,nCURSO,DATOS!$D7069,nESPEC,DATOS!$E7069,nASIG,DATOS!$I7069,nEVAL,"OR")=0))</f>
      </c>
      <c r="I7069">
        <f>IF(DATOS!$I7069="","",IFERROR(VLOOKUP(DATOS!$I7069,CONFIG_ASIGNATURAS!$B$2:$J$91,9,FALSE()),""))</f>
      </c>
    </row>
    <row r="7070">
      <c r="F7070">
        <f>IF(DATOS!$A7070="","",DATOS!$A7070&amp;"|"&amp;DATOS!$D7070&amp;"|"&amp;DATOS!$E7070&amp;"|"&amp;DATOS!$I7070)</f>
      </c>
      <c r="G7070">
        <f>IF(DATOS!$A7070="",0,IF(CONFIG_METADATA!$B$4&lt;&gt;"OR+EX",--(DATOS!$G7070=CONFIG_METADATA!$B$4),IF(DATOS!$G7070="EX",1,IF(DATOS!$G7070="OR",--(COUNTIFS(nNIA,DATOS!$A7070,nCURSO,DATOS!$D7070,nESPEC,DATOS!$E7070,nASIG,DATOS!$I7070,nEVAL,"EX")=0),0))))</f>
      </c>
      <c r="H7070">
        <f>IF(DATOS!$G7070&lt;&gt;"EX",0,--(COUNTIFS(nNIA,DATOS!$A7070,nCURSO,DATOS!$D7070,nESPEC,DATOS!$E7070,nASIG,DATOS!$I7070,nEVAL,"OR")=0))</f>
      </c>
      <c r="I7070">
        <f>IF(DATOS!$I7070="","",IFERROR(VLOOKUP(DATOS!$I7070,CONFIG_ASIGNATURAS!$B$2:$J$91,9,FALSE()),""))</f>
      </c>
    </row>
    <row r="7071">
      <c r="F7071">
        <f>IF(DATOS!$A7071="","",DATOS!$A7071&amp;"|"&amp;DATOS!$D7071&amp;"|"&amp;DATOS!$E7071&amp;"|"&amp;DATOS!$I7071)</f>
      </c>
      <c r="G7071">
        <f>IF(DATOS!$A7071="",0,IF(CONFIG_METADATA!$B$4&lt;&gt;"OR+EX",--(DATOS!$G7071=CONFIG_METADATA!$B$4),IF(DATOS!$G7071="EX",1,IF(DATOS!$G7071="OR",--(COUNTIFS(nNIA,DATOS!$A7071,nCURSO,DATOS!$D7071,nESPEC,DATOS!$E7071,nASIG,DATOS!$I7071,nEVAL,"EX")=0),0))))</f>
      </c>
      <c r="H7071">
        <f>IF(DATOS!$G7071&lt;&gt;"EX",0,--(COUNTIFS(nNIA,DATOS!$A7071,nCURSO,DATOS!$D7071,nESPEC,DATOS!$E7071,nASIG,DATOS!$I7071,nEVAL,"OR")=0))</f>
      </c>
      <c r="I7071">
        <f>IF(DATOS!$I7071="","",IFERROR(VLOOKUP(DATOS!$I7071,CONFIG_ASIGNATURAS!$B$2:$J$91,9,FALSE()),""))</f>
      </c>
    </row>
    <row r="7072">
      <c r="F7072">
        <f>IF(DATOS!$A7072="","",DATOS!$A7072&amp;"|"&amp;DATOS!$D7072&amp;"|"&amp;DATOS!$E7072&amp;"|"&amp;DATOS!$I7072)</f>
      </c>
      <c r="G7072">
        <f>IF(DATOS!$A7072="",0,IF(CONFIG_METADATA!$B$4&lt;&gt;"OR+EX",--(DATOS!$G7072=CONFIG_METADATA!$B$4),IF(DATOS!$G7072="EX",1,IF(DATOS!$G7072="OR",--(COUNTIFS(nNIA,DATOS!$A7072,nCURSO,DATOS!$D7072,nESPEC,DATOS!$E7072,nASIG,DATOS!$I7072,nEVAL,"EX")=0),0))))</f>
      </c>
      <c r="H7072">
        <f>IF(DATOS!$G7072&lt;&gt;"EX",0,--(COUNTIFS(nNIA,DATOS!$A7072,nCURSO,DATOS!$D7072,nESPEC,DATOS!$E7072,nASIG,DATOS!$I7072,nEVAL,"OR")=0))</f>
      </c>
      <c r="I7072">
        <f>IF(DATOS!$I7072="","",IFERROR(VLOOKUP(DATOS!$I7072,CONFIG_ASIGNATURAS!$B$2:$J$91,9,FALSE()),""))</f>
      </c>
    </row>
    <row r="7073">
      <c r="F7073">
        <f>IF(DATOS!$A7073="","",DATOS!$A7073&amp;"|"&amp;DATOS!$D7073&amp;"|"&amp;DATOS!$E7073&amp;"|"&amp;DATOS!$I7073)</f>
      </c>
      <c r="G7073">
        <f>IF(DATOS!$A7073="",0,IF(CONFIG_METADATA!$B$4&lt;&gt;"OR+EX",--(DATOS!$G7073=CONFIG_METADATA!$B$4),IF(DATOS!$G7073="EX",1,IF(DATOS!$G7073="OR",--(COUNTIFS(nNIA,DATOS!$A7073,nCURSO,DATOS!$D7073,nESPEC,DATOS!$E7073,nASIG,DATOS!$I7073,nEVAL,"EX")=0),0))))</f>
      </c>
      <c r="H7073">
        <f>IF(DATOS!$G7073&lt;&gt;"EX",0,--(COUNTIFS(nNIA,DATOS!$A7073,nCURSO,DATOS!$D7073,nESPEC,DATOS!$E7073,nASIG,DATOS!$I7073,nEVAL,"OR")=0))</f>
      </c>
      <c r="I7073">
        <f>IF(DATOS!$I7073="","",IFERROR(VLOOKUP(DATOS!$I7073,CONFIG_ASIGNATURAS!$B$2:$J$91,9,FALSE()),""))</f>
      </c>
    </row>
    <row r="7074">
      <c r="F7074">
        <f>IF(DATOS!$A7074="","",DATOS!$A7074&amp;"|"&amp;DATOS!$D7074&amp;"|"&amp;DATOS!$E7074&amp;"|"&amp;DATOS!$I7074)</f>
      </c>
      <c r="G7074">
        <f>IF(DATOS!$A7074="",0,IF(CONFIG_METADATA!$B$4&lt;&gt;"OR+EX",--(DATOS!$G7074=CONFIG_METADATA!$B$4),IF(DATOS!$G7074="EX",1,IF(DATOS!$G7074="OR",--(COUNTIFS(nNIA,DATOS!$A7074,nCURSO,DATOS!$D7074,nESPEC,DATOS!$E7074,nASIG,DATOS!$I7074,nEVAL,"EX")=0),0))))</f>
      </c>
      <c r="H7074">
        <f>IF(DATOS!$G7074&lt;&gt;"EX",0,--(COUNTIFS(nNIA,DATOS!$A7074,nCURSO,DATOS!$D7074,nESPEC,DATOS!$E7074,nASIG,DATOS!$I7074,nEVAL,"OR")=0))</f>
      </c>
      <c r="I7074">
        <f>IF(DATOS!$I7074="","",IFERROR(VLOOKUP(DATOS!$I7074,CONFIG_ASIGNATURAS!$B$2:$J$91,9,FALSE()),""))</f>
      </c>
    </row>
    <row r="7075">
      <c r="F7075">
        <f>IF(DATOS!$A7075="","",DATOS!$A7075&amp;"|"&amp;DATOS!$D7075&amp;"|"&amp;DATOS!$E7075&amp;"|"&amp;DATOS!$I7075)</f>
      </c>
      <c r="G7075">
        <f>IF(DATOS!$A7075="",0,IF(CONFIG_METADATA!$B$4&lt;&gt;"OR+EX",--(DATOS!$G7075=CONFIG_METADATA!$B$4),IF(DATOS!$G7075="EX",1,IF(DATOS!$G7075="OR",--(COUNTIFS(nNIA,DATOS!$A7075,nCURSO,DATOS!$D7075,nESPEC,DATOS!$E7075,nASIG,DATOS!$I7075,nEVAL,"EX")=0),0))))</f>
      </c>
      <c r="H7075">
        <f>IF(DATOS!$G7075&lt;&gt;"EX",0,--(COUNTIFS(nNIA,DATOS!$A7075,nCURSO,DATOS!$D7075,nESPEC,DATOS!$E7075,nASIG,DATOS!$I7075,nEVAL,"OR")=0))</f>
      </c>
      <c r="I7075">
        <f>IF(DATOS!$I7075="","",IFERROR(VLOOKUP(DATOS!$I7075,CONFIG_ASIGNATURAS!$B$2:$J$91,9,FALSE()),""))</f>
      </c>
    </row>
    <row r="7076">
      <c r="F7076">
        <f>IF(DATOS!$A7076="","",DATOS!$A7076&amp;"|"&amp;DATOS!$D7076&amp;"|"&amp;DATOS!$E7076&amp;"|"&amp;DATOS!$I7076)</f>
      </c>
      <c r="G7076">
        <f>IF(DATOS!$A7076="",0,IF(CONFIG_METADATA!$B$4&lt;&gt;"OR+EX",--(DATOS!$G7076=CONFIG_METADATA!$B$4),IF(DATOS!$G7076="EX",1,IF(DATOS!$G7076="OR",--(COUNTIFS(nNIA,DATOS!$A7076,nCURSO,DATOS!$D7076,nESPEC,DATOS!$E7076,nASIG,DATOS!$I7076,nEVAL,"EX")=0),0))))</f>
      </c>
      <c r="H7076">
        <f>IF(DATOS!$G7076&lt;&gt;"EX",0,--(COUNTIFS(nNIA,DATOS!$A7076,nCURSO,DATOS!$D7076,nESPEC,DATOS!$E7076,nASIG,DATOS!$I7076,nEVAL,"OR")=0))</f>
      </c>
      <c r="I7076">
        <f>IF(DATOS!$I7076="","",IFERROR(VLOOKUP(DATOS!$I7076,CONFIG_ASIGNATURAS!$B$2:$J$91,9,FALSE()),""))</f>
      </c>
    </row>
    <row r="7077">
      <c r="F7077">
        <f>IF(DATOS!$A7077="","",DATOS!$A7077&amp;"|"&amp;DATOS!$D7077&amp;"|"&amp;DATOS!$E7077&amp;"|"&amp;DATOS!$I7077)</f>
      </c>
      <c r="G7077">
        <f>IF(DATOS!$A7077="",0,IF(CONFIG_METADATA!$B$4&lt;&gt;"OR+EX",--(DATOS!$G7077=CONFIG_METADATA!$B$4),IF(DATOS!$G7077="EX",1,IF(DATOS!$G7077="OR",--(COUNTIFS(nNIA,DATOS!$A7077,nCURSO,DATOS!$D7077,nESPEC,DATOS!$E7077,nASIG,DATOS!$I7077,nEVAL,"EX")=0),0))))</f>
      </c>
      <c r="H7077">
        <f>IF(DATOS!$G7077&lt;&gt;"EX",0,--(COUNTIFS(nNIA,DATOS!$A7077,nCURSO,DATOS!$D7077,nESPEC,DATOS!$E7077,nASIG,DATOS!$I7077,nEVAL,"OR")=0))</f>
      </c>
      <c r="I7077">
        <f>IF(DATOS!$I7077="","",IFERROR(VLOOKUP(DATOS!$I7077,CONFIG_ASIGNATURAS!$B$2:$J$91,9,FALSE()),""))</f>
      </c>
    </row>
    <row r="7078">
      <c r="F7078">
        <f>IF(DATOS!$A7078="","",DATOS!$A7078&amp;"|"&amp;DATOS!$D7078&amp;"|"&amp;DATOS!$E7078&amp;"|"&amp;DATOS!$I7078)</f>
      </c>
      <c r="G7078">
        <f>IF(DATOS!$A7078="",0,IF(CONFIG_METADATA!$B$4&lt;&gt;"OR+EX",--(DATOS!$G7078=CONFIG_METADATA!$B$4),IF(DATOS!$G7078="EX",1,IF(DATOS!$G7078="OR",--(COUNTIFS(nNIA,DATOS!$A7078,nCURSO,DATOS!$D7078,nESPEC,DATOS!$E7078,nASIG,DATOS!$I7078,nEVAL,"EX")=0),0))))</f>
      </c>
      <c r="H7078">
        <f>IF(DATOS!$G7078&lt;&gt;"EX",0,--(COUNTIFS(nNIA,DATOS!$A7078,nCURSO,DATOS!$D7078,nESPEC,DATOS!$E7078,nASIG,DATOS!$I7078,nEVAL,"OR")=0))</f>
      </c>
      <c r="I7078">
        <f>IF(DATOS!$I7078="","",IFERROR(VLOOKUP(DATOS!$I7078,CONFIG_ASIGNATURAS!$B$2:$J$91,9,FALSE()),""))</f>
      </c>
    </row>
    <row r="7079">
      <c r="F7079">
        <f>IF(DATOS!$A7079="","",DATOS!$A7079&amp;"|"&amp;DATOS!$D7079&amp;"|"&amp;DATOS!$E7079&amp;"|"&amp;DATOS!$I7079)</f>
      </c>
      <c r="G7079">
        <f>IF(DATOS!$A7079="",0,IF(CONFIG_METADATA!$B$4&lt;&gt;"OR+EX",--(DATOS!$G7079=CONFIG_METADATA!$B$4),IF(DATOS!$G7079="EX",1,IF(DATOS!$G7079="OR",--(COUNTIFS(nNIA,DATOS!$A7079,nCURSO,DATOS!$D7079,nESPEC,DATOS!$E7079,nASIG,DATOS!$I7079,nEVAL,"EX")=0),0))))</f>
      </c>
      <c r="H7079">
        <f>IF(DATOS!$G7079&lt;&gt;"EX",0,--(COUNTIFS(nNIA,DATOS!$A7079,nCURSO,DATOS!$D7079,nESPEC,DATOS!$E7079,nASIG,DATOS!$I7079,nEVAL,"OR")=0))</f>
      </c>
      <c r="I7079">
        <f>IF(DATOS!$I7079="","",IFERROR(VLOOKUP(DATOS!$I7079,CONFIG_ASIGNATURAS!$B$2:$J$91,9,FALSE()),""))</f>
      </c>
    </row>
    <row r="7080">
      <c r="F7080">
        <f>IF(DATOS!$A7080="","",DATOS!$A7080&amp;"|"&amp;DATOS!$D7080&amp;"|"&amp;DATOS!$E7080&amp;"|"&amp;DATOS!$I7080)</f>
      </c>
      <c r="G7080">
        <f>IF(DATOS!$A7080="",0,IF(CONFIG_METADATA!$B$4&lt;&gt;"OR+EX",--(DATOS!$G7080=CONFIG_METADATA!$B$4),IF(DATOS!$G7080="EX",1,IF(DATOS!$G7080="OR",--(COUNTIFS(nNIA,DATOS!$A7080,nCURSO,DATOS!$D7080,nESPEC,DATOS!$E7080,nASIG,DATOS!$I7080,nEVAL,"EX")=0),0))))</f>
      </c>
      <c r="H7080">
        <f>IF(DATOS!$G7080&lt;&gt;"EX",0,--(COUNTIFS(nNIA,DATOS!$A7080,nCURSO,DATOS!$D7080,nESPEC,DATOS!$E7080,nASIG,DATOS!$I7080,nEVAL,"OR")=0))</f>
      </c>
      <c r="I7080">
        <f>IF(DATOS!$I7080="","",IFERROR(VLOOKUP(DATOS!$I7080,CONFIG_ASIGNATURAS!$B$2:$J$91,9,FALSE()),""))</f>
      </c>
    </row>
    <row r="7081">
      <c r="F7081">
        <f>IF(DATOS!$A7081="","",DATOS!$A7081&amp;"|"&amp;DATOS!$D7081&amp;"|"&amp;DATOS!$E7081&amp;"|"&amp;DATOS!$I7081)</f>
      </c>
      <c r="G7081">
        <f>IF(DATOS!$A7081="",0,IF(CONFIG_METADATA!$B$4&lt;&gt;"OR+EX",--(DATOS!$G7081=CONFIG_METADATA!$B$4),IF(DATOS!$G7081="EX",1,IF(DATOS!$G7081="OR",--(COUNTIFS(nNIA,DATOS!$A7081,nCURSO,DATOS!$D7081,nESPEC,DATOS!$E7081,nASIG,DATOS!$I7081,nEVAL,"EX")=0),0))))</f>
      </c>
      <c r="H7081">
        <f>IF(DATOS!$G7081&lt;&gt;"EX",0,--(COUNTIFS(nNIA,DATOS!$A7081,nCURSO,DATOS!$D7081,nESPEC,DATOS!$E7081,nASIG,DATOS!$I7081,nEVAL,"OR")=0))</f>
      </c>
      <c r="I7081">
        <f>IF(DATOS!$I7081="","",IFERROR(VLOOKUP(DATOS!$I7081,CONFIG_ASIGNATURAS!$B$2:$J$91,9,FALSE()),""))</f>
      </c>
    </row>
    <row r="7082">
      <c r="F7082">
        <f>IF(DATOS!$A7082="","",DATOS!$A7082&amp;"|"&amp;DATOS!$D7082&amp;"|"&amp;DATOS!$E7082&amp;"|"&amp;DATOS!$I7082)</f>
      </c>
      <c r="G7082">
        <f>IF(DATOS!$A7082="",0,IF(CONFIG_METADATA!$B$4&lt;&gt;"OR+EX",--(DATOS!$G7082=CONFIG_METADATA!$B$4),IF(DATOS!$G7082="EX",1,IF(DATOS!$G7082="OR",--(COUNTIFS(nNIA,DATOS!$A7082,nCURSO,DATOS!$D7082,nESPEC,DATOS!$E7082,nASIG,DATOS!$I7082,nEVAL,"EX")=0),0))))</f>
      </c>
      <c r="H7082">
        <f>IF(DATOS!$G7082&lt;&gt;"EX",0,--(COUNTIFS(nNIA,DATOS!$A7082,nCURSO,DATOS!$D7082,nESPEC,DATOS!$E7082,nASIG,DATOS!$I7082,nEVAL,"OR")=0))</f>
      </c>
      <c r="I7082">
        <f>IF(DATOS!$I7082="","",IFERROR(VLOOKUP(DATOS!$I7082,CONFIG_ASIGNATURAS!$B$2:$J$91,9,FALSE()),""))</f>
      </c>
    </row>
    <row r="7083">
      <c r="F7083">
        <f>IF(DATOS!$A7083="","",DATOS!$A7083&amp;"|"&amp;DATOS!$D7083&amp;"|"&amp;DATOS!$E7083&amp;"|"&amp;DATOS!$I7083)</f>
      </c>
      <c r="G7083">
        <f>IF(DATOS!$A7083="",0,IF(CONFIG_METADATA!$B$4&lt;&gt;"OR+EX",--(DATOS!$G7083=CONFIG_METADATA!$B$4),IF(DATOS!$G7083="EX",1,IF(DATOS!$G7083="OR",--(COUNTIFS(nNIA,DATOS!$A7083,nCURSO,DATOS!$D7083,nESPEC,DATOS!$E7083,nASIG,DATOS!$I7083,nEVAL,"EX")=0),0))))</f>
      </c>
      <c r="H7083">
        <f>IF(DATOS!$G7083&lt;&gt;"EX",0,--(COUNTIFS(nNIA,DATOS!$A7083,nCURSO,DATOS!$D7083,nESPEC,DATOS!$E7083,nASIG,DATOS!$I7083,nEVAL,"OR")=0))</f>
      </c>
      <c r="I7083">
        <f>IF(DATOS!$I7083="","",IFERROR(VLOOKUP(DATOS!$I7083,CONFIG_ASIGNATURAS!$B$2:$J$91,9,FALSE()),""))</f>
      </c>
    </row>
    <row r="7084">
      <c r="F7084">
        <f>IF(DATOS!$A7084="","",DATOS!$A7084&amp;"|"&amp;DATOS!$D7084&amp;"|"&amp;DATOS!$E7084&amp;"|"&amp;DATOS!$I7084)</f>
      </c>
      <c r="G7084">
        <f>IF(DATOS!$A7084="",0,IF(CONFIG_METADATA!$B$4&lt;&gt;"OR+EX",--(DATOS!$G7084=CONFIG_METADATA!$B$4),IF(DATOS!$G7084="EX",1,IF(DATOS!$G7084="OR",--(COUNTIFS(nNIA,DATOS!$A7084,nCURSO,DATOS!$D7084,nESPEC,DATOS!$E7084,nASIG,DATOS!$I7084,nEVAL,"EX")=0),0))))</f>
      </c>
      <c r="H7084">
        <f>IF(DATOS!$G7084&lt;&gt;"EX",0,--(COUNTIFS(nNIA,DATOS!$A7084,nCURSO,DATOS!$D7084,nESPEC,DATOS!$E7084,nASIG,DATOS!$I7084,nEVAL,"OR")=0))</f>
      </c>
      <c r="I7084">
        <f>IF(DATOS!$I7084="","",IFERROR(VLOOKUP(DATOS!$I7084,CONFIG_ASIGNATURAS!$B$2:$J$91,9,FALSE()),""))</f>
      </c>
    </row>
    <row r="7085">
      <c r="F7085">
        <f>IF(DATOS!$A7085="","",DATOS!$A7085&amp;"|"&amp;DATOS!$D7085&amp;"|"&amp;DATOS!$E7085&amp;"|"&amp;DATOS!$I7085)</f>
      </c>
      <c r="G7085">
        <f>IF(DATOS!$A7085="",0,IF(CONFIG_METADATA!$B$4&lt;&gt;"OR+EX",--(DATOS!$G7085=CONFIG_METADATA!$B$4),IF(DATOS!$G7085="EX",1,IF(DATOS!$G7085="OR",--(COUNTIFS(nNIA,DATOS!$A7085,nCURSO,DATOS!$D7085,nESPEC,DATOS!$E7085,nASIG,DATOS!$I7085,nEVAL,"EX")=0),0))))</f>
      </c>
      <c r="H7085">
        <f>IF(DATOS!$G7085&lt;&gt;"EX",0,--(COUNTIFS(nNIA,DATOS!$A7085,nCURSO,DATOS!$D7085,nESPEC,DATOS!$E7085,nASIG,DATOS!$I7085,nEVAL,"OR")=0))</f>
      </c>
      <c r="I7085">
        <f>IF(DATOS!$I7085="","",IFERROR(VLOOKUP(DATOS!$I7085,CONFIG_ASIGNATURAS!$B$2:$J$91,9,FALSE()),""))</f>
      </c>
    </row>
    <row r="7086">
      <c r="F7086">
        <f>IF(DATOS!$A7086="","",DATOS!$A7086&amp;"|"&amp;DATOS!$D7086&amp;"|"&amp;DATOS!$E7086&amp;"|"&amp;DATOS!$I7086)</f>
      </c>
      <c r="G7086">
        <f>IF(DATOS!$A7086="",0,IF(CONFIG_METADATA!$B$4&lt;&gt;"OR+EX",--(DATOS!$G7086=CONFIG_METADATA!$B$4),IF(DATOS!$G7086="EX",1,IF(DATOS!$G7086="OR",--(COUNTIFS(nNIA,DATOS!$A7086,nCURSO,DATOS!$D7086,nESPEC,DATOS!$E7086,nASIG,DATOS!$I7086,nEVAL,"EX")=0),0))))</f>
      </c>
      <c r="H7086">
        <f>IF(DATOS!$G7086&lt;&gt;"EX",0,--(COUNTIFS(nNIA,DATOS!$A7086,nCURSO,DATOS!$D7086,nESPEC,DATOS!$E7086,nASIG,DATOS!$I7086,nEVAL,"OR")=0))</f>
      </c>
      <c r="I7086">
        <f>IF(DATOS!$I7086="","",IFERROR(VLOOKUP(DATOS!$I7086,CONFIG_ASIGNATURAS!$B$2:$J$91,9,FALSE()),""))</f>
      </c>
    </row>
    <row r="7087">
      <c r="F7087">
        <f>IF(DATOS!$A7087="","",DATOS!$A7087&amp;"|"&amp;DATOS!$D7087&amp;"|"&amp;DATOS!$E7087&amp;"|"&amp;DATOS!$I7087)</f>
      </c>
      <c r="G7087">
        <f>IF(DATOS!$A7087="",0,IF(CONFIG_METADATA!$B$4&lt;&gt;"OR+EX",--(DATOS!$G7087=CONFIG_METADATA!$B$4),IF(DATOS!$G7087="EX",1,IF(DATOS!$G7087="OR",--(COUNTIFS(nNIA,DATOS!$A7087,nCURSO,DATOS!$D7087,nESPEC,DATOS!$E7087,nASIG,DATOS!$I7087,nEVAL,"EX")=0),0))))</f>
      </c>
      <c r="H7087">
        <f>IF(DATOS!$G7087&lt;&gt;"EX",0,--(COUNTIFS(nNIA,DATOS!$A7087,nCURSO,DATOS!$D7087,nESPEC,DATOS!$E7087,nASIG,DATOS!$I7087,nEVAL,"OR")=0))</f>
      </c>
      <c r="I7087">
        <f>IF(DATOS!$I7087="","",IFERROR(VLOOKUP(DATOS!$I7087,CONFIG_ASIGNATURAS!$B$2:$J$91,9,FALSE()),""))</f>
      </c>
    </row>
    <row r="7088">
      <c r="F7088">
        <f>IF(DATOS!$A7088="","",DATOS!$A7088&amp;"|"&amp;DATOS!$D7088&amp;"|"&amp;DATOS!$E7088&amp;"|"&amp;DATOS!$I7088)</f>
      </c>
      <c r="G7088">
        <f>IF(DATOS!$A7088="",0,IF(CONFIG_METADATA!$B$4&lt;&gt;"OR+EX",--(DATOS!$G7088=CONFIG_METADATA!$B$4),IF(DATOS!$G7088="EX",1,IF(DATOS!$G7088="OR",--(COUNTIFS(nNIA,DATOS!$A7088,nCURSO,DATOS!$D7088,nESPEC,DATOS!$E7088,nASIG,DATOS!$I7088,nEVAL,"EX")=0),0))))</f>
      </c>
      <c r="H7088">
        <f>IF(DATOS!$G7088&lt;&gt;"EX",0,--(COUNTIFS(nNIA,DATOS!$A7088,nCURSO,DATOS!$D7088,nESPEC,DATOS!$E7088,nASIG,DATOS!$I7088,nEVAL,"OR")=0))</f>
      </c>
      <c r="I7088">
        <f>IF(DATOS!$I7088="","",IFERROR(VLOOKUP(DATOS!$I7088,CONFIG_ASIGNATURAS!$B$2:$J$91,9,FALSE()),""))</f>
      </c>
    </row>
    <row r="7089">
      <c r="F7089">
        <f>IF(DATOS!$A7089="","",DATOS!$A7089&amp;"|"&amp;DATOS!$D7089&amp;"|"&amp;DATOS!$E7089&amp;"|"&amp;DATOS!$I7089)</f>
      </c>
      <c r="G7089">
        <f>IF(DATOS!$A7089="",0,IF(CONFIG_METADATA!$B$4&lt;&gt;"OR+EX",--(DATOS!$G7089=CONFIG_METADATA!$B$4),IF(DATOS!$G7089="EX",1,IF(DATOS!$G7089="OR",--(COUNTIFS(nNIA,DATOS!$A7089,nCURSO,DATOS!$D7089,nESPEC,DATOS!$E7089,nASIG,DATOS!$I7089,nEVAL,"EX")=0),0))))</f>
      </c>
      <c r="H7089">
        <f>IF(DATOS!$G7089&lt;&gt;"EX",0,--(COUNTIFS(nNIA,DATOS!$A7089,nCURSO,DATOS!$D7089,nESPEC,DATOS!$E7089,nASIG,DATOS!$I7089,nEVAL,"OR")=0))</f>
      </c>
      <c r="I7089">
        <f>IF(DATOS!$I7089="","",IFERROR(VLOOKUP(DATOS!$I7089,CONFIG_ASIGNATURAS!$B$2:$J$91,9,FALSE()),""))</f>
      </c>
    </row>
    <row r="7090">
      <c r="F7090">
        <f>IF(DATOS!$A7090="","",DATOS!$A7090&amp;"|"&amp;DATOS!$D7090&amp;"|"&amp;DATOS!$E7090&amp;"|"&amp;DATOS!$I7090)</f>
      </c>
      <c r="G7090">
        <f>IF(DATOS!$A7090="",0,IF(CONFIG_METADATA!$B$4&lt;&gt;"OR+EX",--(DATOS!$G7090=CONFIG_METADATA!$B$4),IF(DATOS!$G7090="EX",1,IF(DATOS!$G7090="OR",--(COUNTIFS(nNIA,DATOS!$A7090,nCURSO,DATOS!$D7090,nESPEC,DATOS!$E7090,nASIG,DATOS!$I7090,nEVAL,"EX")=0),0))))</f>
      </c>
      <c r="H7090">
        <f>IF(DATOS!$G7090&lt;&gt;"EX",0,--(COUNTIFS(nNIA,DATOS!$A7090,nCURSO,DATOS!$D7090,nESPEC,DATOS!$E7090,nASIG,DATOS!$I7090,nEVAL,"OR")=0))</f>
      </c>
      <c r="I7090">
        <f>IF(DATOS!$I7090="","",IFERROR(VLOOKUP(DATOS!$I7090,CONFIG_ASIGNATURAS!$B$2:$J$91,9,FALSE()),""))</f>
      </c>
    </row>
    <row r="7091">
      <c r="F7091">
        <f>IF(DATOS!$A7091="","",DATOS!$A7091&amp;"|"&amp;DATOS!$D7091&amp;"|"&amp;DATOS!$E7091&amp;"|"&amp;DATOS!$I7091)</f>
      </c>
      <c r="G7091">
        <f>IF(DATOS!$A7091="",0,IF(CONFIG_METADATA!$B$4&lt;&gt;"OR+EX",--(DATOS!$G7091=CONFIG_METADATA!$B$4),IF(DATOS!$G7091="EX",1,IF(DATOS!$G7091="OR",--(COUNTIFS(nNIA,DATOS!$A7091,nCURSO,DATOS!$D7091,nESPEC,DATOS!$E7091,nASIG,DATOS!$I7091,nEVAL,"EX")=0),0))))</f>
      </c>
      <c r="H7091">
        <f>IF(DATOS!$G7091&lt;&gt;"EX",0,--(COUNTIFS(nNIA,DATOS!$A7091,nCURSO,DATOS!$D7091,nESPEC,DATOS!$E7091,nASIG,DATOS!$I7091,nEVAL,"OR")=0))</f>
      </c>
      <c r="I7091">
        <f>IF(DATOS!$I7091="","",IFERROR(VLOOKUP(DATOS!$I7091,CONFIG_ASIGNATURAS!$B$2:$J$91,9,FALSE()),""))</f>
      </c>
    </row>
    <row r="7092">
      <c r="F7092">
        <f>IF(DATOS!$A7092="","",DATOS!$A7092&amp;"|"&amp;DATOS!$D7092&amp;"|"&amp;DATOS!$E7092&amp;"|"&amp;DATOS!$I7092)</f>
      </c>
      <c r="G7092">
        <f>IF(DATOS!$A7092="",0,IF(CONFIG_METADATA!$B$4&lt;&gt;"OR+EX",--(DATOS!$G7092=CONFIG_METADATA!$B$4),IF(DATOS!$G7092="EX",1,IF(DATOS!$G7092="OR",--(COUNTIFS(nNIA,DATOS!$A7092,nCURSO,DATOS!$D7092,nESPEC,DATOS!$E7092,nASIG,DATOS!$I7092,nEVAL,"EX")=0),0))))</f>
      </c>
      <c r="H7092">
        <f>IF(DATOS!$G7092&lt;&gt;"EX",0,--(COUNTIFS(nNIA,DATOS!$A7092,nCURSO,DATOS!$D7092,nESPEC,DATOS!$E7092,nASIG,DATOS!$I7092,nEVAL,"OR")=0))</f>
      </c>
      <c r="I7092">
        <f>IF(DATOS!$I7092="","",IFERROR(VLOOKUP(DATOS!$I7092,CONFIG_ASIGNATURAS!$B$2:$J$91,9,FALSE()),""))</f>
      </c>
    </row>
    <row r="7093">
      <c r="F7093">
        <f>IF(DATOS!$A7093="","",DATOS!$A7093&amp;"|"&amp;DATOS!$D7093&amp;"|"&amp;DATOS!$E7093&amp;"|"&amp;DATOS!$I7093)</f>
      </c>
      <c r="G7093">
        <f>IF(DATOS!$A7093="",0,IF(CONFIG_METADATA!$B$4&lt;&gt;"OR+EX",--(DATOS!$G7093=CONFIG_METADATA!$B$4),IF(DATOS!$G7093="EX",1,IF(DATOS!$G7093="OR",--(COUNTIFS(nNIA,DATOS!$A7093,nCURSO,DATOS!$D7093,nESPEC,DATOS!$E7093,nASIG,DATOS!$I7093,nEVAL,"EX")=0),0))))</f>
      </c>
      <c r="H7093">
        <f>IF(DATOS!$G7093&lt;&gt;"EX",0,--(COUNTIFS(nNIA,DATOS!$A7093,nCURSO,DATOS!$D7093,nESPEC,DATOS!$E7093,nASIG,DATOS!$I7093,nEVAL,"OR")=0))</f>
      </c>
      <c r="I7093">
        <f>IF(DATOS!$I7093="","",IFERROR(VLOOKUP(DATOS!$I7093,CONFIG_ASIGNATURAS!$B$2:$J$91,9,FALSE()),""))</f>
      </c>
    </row>
    <row r="7094">
      <c r="F7094">
        <f>IF(DATOS!$A7094="","",DATOS!$A7094&amp;"|"&amp;DATOS!$D7094&amp;"|"&amp;DATOS!$E7094&amp;"|"&amp;DATOS!$I7094)</f>
      </c>
      <c r="G7094">
        <f>IF(DATOS!$A7094="",0,IF(CONFIG_METADATA!$B$4&lt;&gt;"OR+EX",--(DATOS!$G7094=CONFIG_METADATA!$B$4),IF(DATOS!$G7094="EX",1,IF(DATOS!$G7094="OR",--(COUNTIFS(nNIA,DATOS!$A7094,nCURSO,DATOS!$D7094,nESPEC,DATOS!$E7094,nASIG,DATOS!$I7094,nEVAL,"EX")=0),0))))</f>
      </c>
      <c r="H7094">
        <f>IF(DATOS!$G7094&lt;&gt;"EX",0,--(COUNTIFS(nNIA,DATOS!$A7094,nCURSO,DATOS!$D7094,nESPEC,DATOS!$E7094,nASIG,DATOS!$I7094,nEVAL,"OR")=0))</f>
      </c>
      <c r="I7094">
        <f>IF(DATOS!$I7094="","",IFERROR(VLOOKUP(DATOS!$I7094,CONFIG_ASIGNATURAS!$B$2:$J$91,9,FALSE()),""))</f>
      </c>
    </row>
    <row r="7095">
      <c r="F7095">
        <f>IF(DATOS!$A7095="","",DATOS!$A7095&amp;"|"&amp;DATOS!$D7095&amp;"|"&amp;DATOS!$E7095&amp;"|"&amp;DATOS!$I7095)</f>
      </c>
      <c r="G7095">
        <f>IF(DATOS!$A7095="",0,IF(CONFIG_METADATA!$B$4&lt;&gt;"OR+EX",--(DATOS!$G7095=CONFIG_METADATA!$B$4),IF(DATOS!$G7095="EX",1,IF(DATOS!$G7095="OR",--(COUNTIFS(nNIA,DATOS!$A7095,nCURSO,DATOS!$D7095,nESPEC,DATOS!$E7095,nASIG,DATOS!$I7095,nEVAL,"EX")=0),0))))</f>
      </c>
      <c r="H7095">
        <f>IF(DATOS!$G7095&lt;&gt;"EX",0,--(COUNTIFS(nNIA,DATOS!$A7095,nCURSO,DATOS!$D7095,nESPEC,DATOS!$E7095,nASIG,DATOS!$I7095,nEVAL,"OR")=0))</f>
      </c>
      <c r="I7095">
        <f>IF(DATOS!$I7095="","",IFERROR(VLOOKUP(DATOS!$I7095,CONFIG_ASIGNATURAS!$B$2:$J$91,9,FALSE()),""))</f>
      </c>
    </row>
    <row r="7096">
      <c r="F7096">
        <f>IF(DATOS!$A7096="","",DATOS!$A7096&amp;"|"&amp;DATOS!$D7096&amp;"|"&amp;DATOS!$E7096&amp;"|"&amp;DATOS!$I7096)</f>
      </c>
      <c r="G7096">
        <f>IF(DATOS!$A7096="",0,IF(CONFIG_METADATA!$B$4&lt;&gt;"OR+EX",--(DATOS!$G7096=CONFIG_METADATA!$B$4),IF(DATOS!$G7096="EX",1,IF(DATOS!$G7096="OR",--(COUNTIFS(nNIA,DATOS!$A7096,nCURSO,DATOS!$D7096,nESPEC,DATOS!$E7096,nASIG,DATOS!$I7096,nEVAL,"EX")=0),0))))</f>
      </c>
      <c r="H7096">
        <f>IF(DATOS!$G7096&lt;&gt;"EX",0,--(COUNTIFS(nNIA,DATOS!$A7096,nCURSO,DATOS!$D7096,nESPEC,DATOS!$E7096,nASIG,DATOS!$I7096,nEVAL,"OR")=0))</f>
      </c>
      <c r="I7096">
        <f>IF(DATOS!$I7096="","",IFERROR(VLOOKUP(DATOS!$I7096,CONFIG_ASIGNATURAS!$B$2:$J$91,9,FALSE()),""))</f>
      </c>
    </row>
    <row r="7097">
      <c r="F7097">
        <f>IF(DATOS!$A7097="","",DATOS!$A7097&amp;"|"&amp;DATOS!$D7097&amp;"|"&amp;DATOS!$E7097&amp;"|"&amp;DATOS!$I7097)</f>
      </c>
      <c r="G7097">
        <f>IF(DATOS!$A7097="",0,IF(CONFIG_METADATA!$B$4&lt;&gt;"OR+EX",--(DATOS!$G7097=CONFIG_METADATA!$B$4),IF(DATOS!$G7097="EX",1,IF(DATOS!$G7097="OR",--(COUNTIFS(nNIA,DATOS!$A7097,nCURSO,DATOS!$D7097,nESPEC,DATOS!$E7097,nASIG,DATOS!$I7097,nEVAL,"EX")=0),0))))</f>
      </c>
      <c r="H7097">
        <f>IF(DATOS!$G7097&lt;&gt;"EX",0,--(COUNTIFS(nNIA,DATOS!$A7097,nCURSO,DATOS!$D7097,nESPEC,DATOS!$E7097,nASIG,DATOS!$I7097,nEVAL,"OR")=0))</f>
      </c>
      <c r="I7097">
        <f>IF(DATOS!$I7097="","",IFERROR(VLOOKUP(DATOS!$I7097,CONFIG_ASIGNATURAS!$B$2:$J$91,9,FALSE()),""))</f>
      </c>
    </row>
    <row r="7098">
      <c r="F7098">
        <f>IF(DATOS!$A7098="","",DATOS!$A7098&amp;"|"&amp;DATOS!$D7098&amp;"|"&amp;DATOS!$E7098&amp;"|"&amp;DATOS!$I7098)</f>
      </c>
      <c r="G7098">
        <f>IF(DATOS!$A7098="",0,IF(CONFIG_METADATA!$B$4&lt;&gt;"OR+EX",--(DATOS!$G7098=CONFIG_METADATA!$B$4),IF(DATOS!$G7098="EX",1,IF(DATOS!$G7098="OR",--(COUNTIFS(nNIA,DATOS!$A7098,nCURSO,DATOS!$D7098,nESPEC,DATOS!$E7098,nASIG,DATOS!$I7098,nEVAL,"EX")=0),0))))</f>
      </c>
      <c r="H7098">
        <f>IF(DATOS!$G7098&lt;&gt;"EX",0,--(COUNTIFS(nNIA,DATOS!$A7098,nCURSO,DATOS!$D7098,nESPEC,DATOS!$E7098,nASIG,DATOS!$I7098,nEVAL,"OR")=0))</f>
      </c>
      <c r="I7098">
        <f>IF(DATOS!$I7098="","",IFERROR(VLOOKUP(DATOS!$I7098,CONFIG_ASIGNATURAS!$B$2:$J$91,9,FALSE()),""))</f>
      </c>
    </row>
    <row r="7099">
      <c r="F7099">
        <f>IF(DATOS!$A7099="","",DATOS!$A7099&amp;"|"&amp;DATOS!$D7099&amp;"|"&amp;DATOS!$E7099&amp;"|"&amp;DATOS!$I7099)</f>
      </c>
      <c r="G7099">
        <f>IF(DATOS!$A7099="",0,IF(CONFIG_METADATA!$B$4&lt;&gt;"OR+EX",--(DATOS!$G7099=CONFIG_METADATA!$B$4),IF(DATOS!$G7099="EX",1,IF(DATOS!$G7099="OR",--(COUNTIFS(nNIA,DATOS!$A7099,nCURSO,DATOS!$D7099,nESPEC,DATOS!$E7099,nASIG,DATOS!$I7099,nEVAL,"EX")=0),0))))</f>
      </c>
      <c r="H7099">
        <f>IF(DATOS!$G7099&lt;&gt;"EX",0,--(COUNTIFS(nNIA,DATOS!$A7099,nCURSO,DATOS!$D7099,nESPEC,DATOS!$E7099,nASIG,DATOS!$I7099,nEVAL,"OR")=0))</f>
      </c>
      <c r="I7099">
        <f>IF(DATOS!$I7099="","",IFERROR(VLOOKUP(DATOS!$I7099,CONFIG_ASIGNATURAS!$B$2:$J$91,9,FALSE()),""))</f>
      </c>
    </row>
    <row r="7100">
      <c r="F7100">
        <f>IF(DATOS!$A7100="","",DATOS!$A7100&amp;"|"&amp;DATOS!$D7100&amp;"|"&amp;DATOS!$E7100&amp;"|"&amp;DATOS!$I7100)</f>
      </c>
      <c r="G7100">
        <f>IF(DATOS!$A7100="",0,IF(CONFIG_METADATA!$B$4&lt;&gt;"OR+EX",--(DATOS!$G7100=CONFIG_METADATA!$B$4),IF(DATOS!$G7100="EX",1,IF(DATOS!$G7100="OR",--(COUNTIFS(nNIA,DATOS!$A7100,nCURSO,DATOS!$D7100,nESPEC,DATOS!$E7100,nASIG,DATOS!$I7100,nEVAL,"EX")=0),0))))</f>
      </c>
      <c r="H7100">
        <f>IF(DATOS!$G7100&lt;&gt;"EX",0,--(COUNTIFS(nNIA,DATOS!$A7100,nCURSO,DATOS!$D7100,nESPEC,DATOS!$E7100,nASIG,DATOS!$I7100,nEVAL,"OR")=0))</f>
      </c>
      <c r="I7100">
        <f>IF(DATOS!$I7100="","",IFERROR(VLOOKUP(DATOS!$I7100,CONFIG_ASIGNATURAS!$B$2:$J$91,9,FALSE()),""))</f>
      </c>
    </row>
    <row r="7101">
      <c r="F7101">
        <f>IF(DATOS!$A7101="","",DATOS!$A7101&amp;"|"&amp;DATOS!$D7101&amp;"|"&amp;DATOS!$E7101&amp;"|"&amp;DATOS!$I7101)</f>
      </c>
      <c r="G7101">
        <f>IF(DATOS!$A7101="",0,IF(CONFIG_METADATA!$B$4&lt;&gt;"OR+EX",--(DATOS!$G7101=CONFIG_METADATA!$B$4),IF(DATOS!$G7101="EX",1,IF(DATOS!$G7101="OR",--(COUNTIFS(nNIA,DATOS!$A7101,nCURSO,DATOS!$D7101,nESPEC,DATOS!$E7101,nASIG,DATOS!$I7101,nEVAL,"EX")=0),0))))</f>
      </c>
      <c r="H7101">
        <f>IF(DATOS!$G7101&lt;&gt;"EX",0,--(COUNTIFS(nNIA,DATOS!$A7101,nCURSO,DATOS!$D7101,nESPEC,DATOS!$E7101,nASIG,DATOS!$I7101,nEVAL,"OR")=0))</f>
      </c>
      <c r="I7101">
        <f>IF(DATOS!$I7101="","",IFERROR(VLOOKUP(DATOS!$I7101,CONFIG_ASIGNATURAS!$B$2:$J$91,9,FALSE()),""))</f>
      </c>
    </row>
    <row r="7102">
      <c r="F7102">
        <f>IF(DATOS!$A7102="","",DATOS!$A7102&amp;"|"&amp;DATOS!$D7102&amp;"|"&amp;DATOS!$E7102&amp;"|"&amp;DATOS!$I7102)</f>
      </c>
      <c r="G7102">
        <f>IF(DATOS!$A7102="",0,IF(CONFIG_METADATA!$B$4&lt;&gt;"OR+EX",--(DATOS!$G7102=CONFIG_METADATA!$B$4),IF(DATOS!$G7102="EX",1,IF(DATOS!$G7102="OR",--(COUNTIFS(nNIA,DATOS!$A7102,nCURSO,DATOS!$D7102,nESPEC,DATOS!$E7102,nASIG,DATOS!$I7102,nEVAL,"EX")=0),0))))</f>
      </c>
      <c r="H7102">
        <f>IF(DATOS!$G7102&lt;&gt;"EX",0,--(COUNTIFS(nNIA,DATOS!$A7102,nCURSO,DATOS!$D7102,nESPEC,DATOS!$E7102,nASIG,DATOS!$I7102,nEVAL,"OR")=0))</f>
      </c>
      <c r="I7102">
        <f>IF(DATOS!$I7102="","",IFERROR(VLOOKUP(DATOS!$I7102,CONFIG_ASIGNATURAS!$B$2:$J$91,9,FALSE()),""))</f>
      </c>
    </row>
    <row r="7103">
      <c r="F7103">
        <f>IF(DATOS!$A7103="","",DATOS!$A7103&amp;"|"&amp;DATOS!$D7103&amp;"|"&amp;DATOS!$E7103&amp;"|"&amp;DATOS!$I7103)</f>
      </c>
      <c r="G7103">
        <f>IF(DATOS!$A7103="",0,IF(CONFIG_METADATA!$B$4&lt;&gt;"OR+EX",--(DATOS!$G7103=CONFIG_METADATA!$B$4),IF(DATOS!$G7103="EX",1,IF(DATOS!$G7103="OR",--(COUNTIFS(nNIA,DATOS!$A7103,nCURSO,DATOS!$D7103,nESPEC,DATOS!$E7103,nASIG,DATOS!$I7103,nEVAL,"EX")=0),0))))</f>
      </c>
      <c r="H7103">
        <f>IF(DATOS!$G7103&lt;&gt;"EX",0,--(COUNTIFS(nNIA,DATOS!$A7103,nCURSO,DATOS!$D7103,nESPEC,DATOS!$E7103,nASIG,DATOS!$I7103,nEVAL,"OR")=0))</f>
      </c>
      <c r="I7103">
        <f>IF(DATOS!$I7103="","",IFERROR(VLOOKUP(DATOS!$I7103,CONFIG_ASIGNATURAS!$B$2:$J$91,9,FALSE()),""))</f>
      </c>
    </row>
    <row r="7104">
      <c r="F7104">
        <f>IF(DATOS!$A7104="","",DATOS!$A7104&amp;"|"&amp;DATOS!$D7104&amp;"|"&amp;DATOS!$E7104&amp;"|"&amp;DATOS!$I7104)</f>
      </c>
      <c r="G7104">
        <f>IF(DATOS!$A7104="",0,IF(CONFIG_METADATA!$B$4&lt;&gt;"OR+EX",--(DATOS!$G7104=CONFIG_METADATA!$B$4),IF(DATOS!$G7104="EX",1,IF(DATOS!$G7104="OR",--(COUNTIFS(nNIA,DATOS!$A7104,nCURSO,DATOS!$D7104,nESPEC,DATOS!$E7104,nASIG,DATOS!$I7104,nEVAL,"EX")=0),0))))</f>
      </c>
      <c r="H7104">
        <f>IF(DATOS!$G7104&lt;&gt;"EX",0,--(COUNTIFS(nNIA,DATOS!$A7104,nCURSO,DATOS!$D7104,nESPEC,DATOS!$E7104,nASIG,DATOS!$I7104,nEVAL,"OR")=0))</f>
      </c>
      <c r="I7104">
        <f>IF(DATOS!$I7104="","",IFERROR(VLOOKUP(DATOS!$I7104,CONFIG_ASIGNATURAS!$B$2:$J$91,9,FALSE()),""))</f>
      </c>
    </row>
    <row r="7105">
      <c r="F7105">
        <f>IF(DATOS!$A7105="","",DATOS!$A7105&amp;"|"&amp;DATOS!$D7105&amp;"|"&amp;DATOS!$E7105&amp;"|"&amp;DATOS!$I7105)</f>
      </c>
      <c r="G7105">
        <f>IF(DATOS!$A7105="",0,IF(CONFIG_METADATA!$B$4&lt;&gt;"OR+EX",--(DATOS!$G7105=CONFIG_METADATA!$B$4),IF(DATOS!$G7105="EX",1,IF(DATOS!$G7105="OR",--(COUNTIFS(nNIA,DATOS!$A7105,nCURSO,DATOS!$D7105,nESPEC,DATOS!$E7105,nASIG,DATOS!$I7105,nEVAL,"EX")=0),0))))</f>
      </c>
      <c r="H7105">
        <f>IF(DATOS!$G7105&lt;&gt;"EX",0,--(COUNTIFS(nNIA,DATOS!$A7105,nCURSO,DATOS!$D7105,nESPEC,DATOS!$E7105,nASIG,DATOS!$I7105,nEVAL,"OR")=0))</f>
      </c>
      <c r="I7105">
        <f>IF(DATOS!$I7105="","",IFERROR(VLOOKUP(DATOS!$I7105,CONFIG_ASIGNATURAS!$B$2:$J$91,9,FALSE()),""))</f>
      </c>
    </row>
    <row r="7106">
      <c r="F7106">
        <f>IF(DATOS!$A7106="","",DATOS!$A7106&amp;"|"&amp;DATOS!$D7106&amp;"|"&amp;DATOS!$E7106&amp;"|"&amp;DATOS!$I7106)</f>
      </c>
      <c r="G7106">
        <f>IF(DATOS!$A7106="",0,IF(CONFIG_METADATA!$B$4&lt;&gt;"OR+EX",--(DATOS!$G7106=CONFIG_METADATA!$B$4),IF(DATOS!$G7106="EX",1,IF(DATOS!$G7106="OR",--(COUNTIFS(nNIA,DATOS!$A7106,nCURSO,DATOS!$D7106,nESPEC,DATOS!$E7106,nASIG,DATOS!$I7106,nEVAL,"EX")=0),0))))</f>
      </c>
      <c r="H7106">
        <f>IF(DATOS!$G7106&lt;&gt;"EX",0,--(COUNTIFS(nNIA,DATOS!$A7106,nCURSO,DATOS!$D7106,nESPEC,DATOS!$E7106,nASIG,DATOS!$I7106,nEVAL,"OR")=0))</f>
      </c>
      <c r="I7106">
        <f>IF(DATOS!$I7106="","",IFERROR(VLOOKUP(DATOS!$I7106,CONFIG_ASIGNATURAS!$B$2:$J$91,9,FALSE()),""))</f>
      </c>
    </row>
    <row r="7107">
      <c r="F7107">
        <f>IF(DATOS!$A7107="","",DATOS!$A7107&amp;"|"&amp;DATOS!$D7107&amp;"|"&amp;DATOS!$E7107&amp;"|"&amp;DATOS!$I7107)</f>
      </c>
      <c r="G7107">
        <f>IF(DATOS!$A7107="",0,IF(CONFIG_METADATA!$B$4&lt;&gt;"OR+EX",--(DATOS!$G7107=CONFIG_METADATA!$B$4),IF(DATOS!$G7107="EX",1,IF(DATOS!$G7107="OR",--(COUNTIFS(nNIA,DATOS!$A7107,nCURSO,DATOS!$D7107,nESPEC,DATOS!$E7107,nASIG,DATOS!$I7107,nEVAL,"EX")=0),0))))</f>
      </c>
      <c r="H7107">
        <f>IF(DATOS!$G7107&lt;&gt;"EX",0,--(COUNTIFS(nNIA,DATOS!$A7107,nCURSO,DATOS!$D7107,nESPEC,DATOS!$E7107,nASIG,DATOS!$I7107,nEVAL,"OR")=0))</f>
      </c>
      <c r="I7107">
        <f>IF(DATOS!$I7107="","",IFERROR(VLOOKUP(DATOS!$I7107,CONFIG_ASIGNATURAS!$B$2:$J$91,9,FALSE()),""))</f>
      </c>
    </row>
    <row r="7108">
      <c r="F7108">
        <f>IF(DATOS!$A7108="","",DATOS!$A7108&amp;"|"&amp;DATOS!$D7108&amp;"|"&amp;DATOS!$E7108&amp;"|"&amp;DATOS!$I7108)</f>
      </c>
      <c r="G7108">
        <f>IF(DATOS!$A7108="",0,IF(CONFIG_METADATA!$B$4&lt;&gt;"OR+EX",--(DATOS!$G7108=CONFIG_METADATA!$B$4),IF(DATOS!$G7108="EX",1,IF(DATOS!$G7108="OR",--(COUNTIFS(nNIA,DATOS!$A7108,nCURSO,DATOS!$D7108,nESPEC,DATOS!$E7108,nASIG,DATOS!$I7108,nEVAL,"EX")=0),0))))</f>
      </c>
      <c r="H7108">
        <f>IF(DATOS!$G7108&lt;&gt;"EX",0,--(COUNTIFS(nNIA,DATOS!$A7108,nCURSO,DATOS!$D7108,nESPEC,DATOS!$E7108,nASIG,DATOS!$I7108,nEVAL,"OR")=0))</f>
      </c>
      <c r="I7108">
        <f>IF(DATOS!$I7108="","",IFERROR(VLOOKUP(DATOS!$I7108,CONFIG_ASIGNATURAS!$B$2:$J$91,9,FALSE()),""))</f>
      </c>
    </row>
    <row r="7109">
      <c r="F7109">
        <f>IF(DATOS!$A7109="","",DATOS!$A7109&amp;"|"&amp;DATOS!$D7109&amp;"|"&amp;DATOS!$E7109&amp;"|"&amp;DATOS!$I7109)</f>
      </c>
      <c r="G7109">
        <f>IF(DATOS!$A7109="",0,IF(CONFIG_METADATA!$B$4&lt;&gt;"OR+EX",--(DATOS!$G7109=CONFIG_METADATA!$B$4),IF(DATOS!$G7109="EX",1,IF(DATOS!$G7109="OR",--(COUNTIFS(nNIA,DATOS!$A7109,nCURSO,DATOS!$D7109,nESPEC,DATOS!$E7109,nASIG,DATOS!$I7109,nEVAL,"EX")=0),0))))</f>
      </c>
      <c r="H7109">
        <f>IF(DATOS!$G7109&lt;&gt;"EX",0,--(COUNTIFS(nNIA,DATOS!$A7109,nCURSO,DATOS!$D7109,nESPEC,DATOS!$E7109,nASIG,DATOS!$I7109,nEVAL,"OR")=0))</f>
      </c>
      <c r="I7109">
        <f>IF(DATOS!$I7109="","",IFERROR(VLOOKUP(DATOS!$I7109,CONFIG_ASIGNATURAS!$B$2:$J$91,9,FALSE()),""))</f>
      </c>
    </row>
    <row r="7110">
      <c r="F7110">
        <f>IF(DATOS!$A7110="","",DATOS!$A7110&amp;"|"&amp;DATOS!$D7110&amp;"|"&amp;DATOS!$E7110&amp;"|"&amp;DATOS!$I7110)</f>
      </c>
      <c r="G7110">
        <f>IF(DATOS!$A7110="",0,IF(CONFIG_METADATA!$B$4&lt;&gt;"OR+EX",--(DATOS!$G7110=CONFIG_METADATA!$B$4),IF(DATOS!$G7110="EX",1,IF(DATOS!$G7110="OR",--(COUNTIFS(nNIA,DATOS!$A7110,nCURSO,DATOS!$D7110,nESPEC,DATOS!$E7110,nASIG,DATOS!$I7110,nEVAL,"EX")=0),0))))</f>
      </c>
      <c r="H7110">
        <f>IF(DATOS!$G7110&lt;&gt;"EX",0,--(COUNTIFS(nNIA,DATOS!$A7110,nCURSO,DATOS!$D7110,nESPEC,DATOS!$E7110,nASIG,DATOS!$I7110,nEVAL,"OR")=0))</f>
      </c>
      <c r="I7110">
        <f>IF(DATOS!$I7110="","",IFERROR(VLOOKUP(DATOS!$I7110,CONFIG_ASIGNATURAS!$B$2:$J$91,9,FALSE()),""))</f>
      </c>
    </row>
    <row r="7111">
      <c r="F7111">
        <f>IF(DATOS!$A7111="","",DATOS!$A7111&amp;"|"&amp;DATOS!$D7111&amp;"|"&amp;DATOS!$E7111&amp;"|"&amp;DATOS!$I7111)</f>
      </c>
      <c r="G7111">
        <f>IF(DATOS!$A7111="",0,IF(CONFIG_METADATA!$B$4&lt;&gt;"OR+EX",--(DATOS!$G7111=CONFIG_METADATA!$B$4),IF(DATOS!$G7111="EX",1,IF(DATOS!$G7111="OR",--(COUNTIFS(nNIA,DATOS!$A7111,nCURSO,DATOS!$D7111,nESPEC,DATOS!$E7111,nASIG,DATOS!$I7111,nEVAL,"EX")=0),0))))</f>
      </c>
      <c r="H7111">
        <f>IF(DATOS!$G7111&lt;&gt;"EX",0,--(COUNTIFS(nNIA,DATOS!$A7111,nCURSO,DATOS!$D7111,nESPEC,DATOS!$E7111,nASIG,DATOS!$I7111,nEVAL,"OR")=0))</f>
      </c>
      <c r="I7111">
        <f>IF(DATOS!$I7111="","",IFERROR(VLOOKUP(DATOS!$I7111,CONFIG_ASIGNATURAS!$B$2:$J$91,9,FALSE()),""))</f>
      </c>
    </row>
    <row r="7112">
      <c r="F7112">
        <f>IF(DATOS!$A7112="","",DATOS!$A7112&amp;"|"&amp;DATOS!$D7112&amp;"|"&amp;DATOS!$E7112&amp;"|"&amp;DATOS!$I7112)</f>
      </c>
      <c r="G7112">
        <f>IF(DATOS!$A7112="",0,IF(CONFIG_METADATA!$B$4&lt;&gt;"OR+EX",--(DATOS!$G7112=CONFIG_METADATA!$B$4),IF(DATOS!$G7112="EX",1,IF(DATOS!$G7112="OR",--(COUNTIFS(nNIA,DATOS!$A7112,nCURSO,DATOS!$D7112,nESPEC,DATOS!$E7112,nASIG,DATOS!$I7112,nEVAL,"EX")=0),0))))</f>
      </c>
      <c r="H7112">
        <f>IF(DATOS!$G7112&lt;&gt;"EX",0,--(COUNTIFS(nNIA,DATOS!$A7112,nCURSO,DATOS!$D7112,nESPEC,DATOS!$E7112,nASIG,DATOS!$I7112,nEVAL,"OR")=0))</f>
      </c>
      <c r="I7112">
        <f>IF(DATOS!$I7112="","",IFERROR(VLOOKUP(DATOS!$I7112,CONFIG_ASIGNATURAS!$B$2:$J$91,9,FALSE()),""))</f>
      </c>
    </row>
    <row r="7113">
      <c r="F7113">
        <f>IF(DATOS!$A7113="","",DATOS!$A7113&amp;"|"&amp;DATOS!$D7113&amp;"|"&amp;DATOS!$E7113&amp;"|"&amp;DATOS!$I7113)</f>
      </c>
      <c r="G7113">
        <f>IF(DATOS!$A7113="",0,IF(CONFIG_METADATA!$B$4&lt;&gt;"OR+EX",--(DATOS!$G7113=CONFIG_METADATA!$B$4),IF(DATOS!$G7113="EX",1,IF(DATOS!$G7113="OR",--(COUNTIFS(nNIA,DATOS!$A7113,nCURSO,DATOS!$D7113,nESPEC,DATOS!$E7113,nASIG,DATOS!$I7113,nEVAL,"EX")=0),0))))</f>
      </c>
      <c r="H7113">
        <f>IF(DATOS!$G7113&lt;&gt;"EX",0,--(COUNTIFS(nNIA,DATOS!$A7113,nCURSO,DATOS!$D7113,nESPEC,DATOS!$E7113,nASIG,DATOS!$I7113,nEVAL,"OR")=0))</f>
      </c>
      <c r="I7113">
        <f>IF(DATOS!$I7113="","",IFERROR(VLOOKUP(DATOS!$I7113,CONFIG_ASIGNATURAS!$B$2:$J$91,9,FALSE()),""))</f>
      </c>
    </row>
    <row r="7114">
      <c r="F7114">
        <f>IF(DATOS!$A7114="","",DATOS!$A7114&amp;"|"&amp;DATOS!$D7114&amp;"|"&amp;DATOS!$E7114&amp;"|"&amp;DATOS!$I7114)</f>
      </c>
      <c r="G7114">
        <f>IF(DATOS!$A7114="",0,IF(CONFIG_METADATA!$B$4&lt;&gt;"OR+EX",--(DATOS!$G7114=CONFIG_METADATA!$B$4),IF(DATOS!$G7114="EX",1,IF(DATOS!$G7114="OR",--(COUNTIFS(nNIA,DATOS!$A7114,nCURSO,DATOS!$D7114,nESPEC,DATOS!$E7114,nASIG,DATOS!$I7114,nEVAL,"EX")=0),0))))</f>
      </c>
      <c r="H7114">
        <f>IF(DATOS!$G7114&lt;&gt;"EX",0,--(COUNTIFS(nNIA,DATOS!$A7114,nCURSO,DATOS!$D7114,nESPEC,DATOS!$E7114,nASIG,DATOS!$I7114,nEVAL,"OR")=0))</f>
      </c>
      <c r="I7114">
        <f>IF(DATOS!$I7114="","",IFERROR(VLOOKUP(DATOS!$I7114,CONFIG_ASIGNATURAS!$B$2:$J$91,9,FALSE()),""))</f>
      </c>
    </row>
    <row r="7115">
      <c r="F7115">
        <f>IF(DATOS!$A7115="","",DATOS!$A7115&amp;"|"&amp;DATOS!$D7115&amp;"|"&amp;DATOS!$E7115&amp;"|"&amp;DATOS!$I7115)</f>
      </c>
      <c r="G7115">
        <f>IF(DATOS!$A7115="",0,IF(CONFIG_METADATA!$B$4&lt;&gt;"OR+EX",--(DATOS!$G7115=CONFIG_METADATA!$B$4),IF(DATOS!$G7115="EX",1,IF(DATOS!$G7115="OR",--(COUNTIFS(nNIA,DATOS!$A7115,nCURSO,DATOS!$D7115,nESPEC,DATOS!$E7115,nASIG,DATOS!$I7115,nEVAL,"EX")=0),0))))</f>
      </c>
      <c r="H7115">
        <f>IF(DATOS!$G7115&lt;&gt;"EX",0,--(COUNTIFS(nNIA,DATOS!$A7115,nCURSO,DATOS!$D7115,nESPEC,DATOS!$E7115,nASIG,DATOS!$I7115,nEVAL,"OR")=0))</f>
      </c>
      <c r="I7115">
        <f>IF(DATOS!$I7115="","",IFERROR(VLOOKUP(DATOS!$I7115,CONFIG_ASIGNATURAS!$B$2:$J$91,9,FALSE()),""))</f>
      </c>
    </row>
    <row r="7116">
      <c r="F7116">
        <f>IF(DATOS!$A7116="","",DATOS!$A7116&amp;"|"&amp;DATOS!$D7116&amp;"|"&amp;DATOS!$E7116&amp;"|"&amp;DATOS!$I7116)</f>
      </c>
      <c r="G7116">
        <f>IF(DATOS!$A7116="",0,IF(CONFIG_METADATA!$B$4&lt;&gt;"OR+EX",--(DATOS!$G7116=CONFIG_METADATA!$B$4),IF(DATOS!$G7116="EX",1,IF(DATOS!$G7116="OR",--(COUNTIFS(nNIA,DATOS!$A7116,nCURSO,DATOS!$D7116,nESPEC,DATOS!$E7116,nASIG,DATOS!$I7116,nEVAL,"EX")=0),0))))</f>
      </c>
      <c r="H7116">
        <f>IF(DATOS!$G7116&lt;&gt;"EX",0,--(COUNTIFS(nNIA,DATOS!$A7116,nCURSO,DATOS!$D7116,nESPEC,DATOS!$E7116,nASIG,DATOS!$I7116,nEVAL,"OR")=0))</f>
      </c>
      <c r="I7116">
        <f>IF(DATOS!$I7116="","",IFERROR(VLOOKUP(DATOS!$I7116,CONFIG_ASIGNATURAS!$B$2:$J$91,9,FALSE()),""))</f>
      </c>
    </row>
    <row r="7117">
      <c r="F7117">
        <f>IF(DATOS!$A7117="","",DATOS!$A7117&amp;"|"&amp;DATOS!$D7117&amp;"|"&amp;DATOS!$E7117&amp;"|"&amp;DATOS!$I7117)</f>
      </c>
      <c r="G7117">
        <f>IF(DATOS!$A7117="",0,IF(CONFIG_METADATA!$B$4&lt;&gt;"OR+EX",--(DATOS!$G7117=CONFIG_METADATA!$B$4),IF(DATOS!$G7117="EX",1,IF(DATOS!$G7117="OR",--(COUNTIFS(nNIA,DATOS!$A7117,nCURSO,DATOS!$D7117,nESPEC,DATOS!$E7117,nASIG,DATOS!$I7117,nEVAL,"EX")=0),0))))</f>
      </c>
      <c r="H7117">
        <f>IF(DATOS!$G7117&lt;&gt;"EX",0,--(COUNTIFS(nNIA,DATOS!$A7117,nCURSO,DATOS!$D7117,nESPEC,DATOS!$E7117,nASIG,DATOS!$I7117,nEVAL,"OR")=0))</f>
      </c>
      <c r="I7117">
        <f>IF(DATOS!$I7117="","",IFERROR(VLOOKUP(DATOS!$I7117,CONFIG_ASIGNATURAS!$B$2:$J$91,9,FALSE()),""))</f>
      </c>
    </row>
    <row r="7118">
      <c r="F7118">
        <f>IF(DATOS!$A7118="","",DATOS!$A7118&amp;"|"&amp;DATOS!$D7118&amp;"|"&amp;DATOS!$E7118&amp;"|"&amp;DATOS!$I7118)</f>
      </c>
      <c r="G7118">
        <f>IF(DATOS!$A7118="",0,IF(CONFIG_METADATA!$B$4&lt;&gt;"OR+EX",--(DATOS!$G7118=CONFIG_METADATA!$B$4),IF(DATOS!$G7118="EX",1,IF(DATOS!$G7118="OR",--(COUNTIFS(nNIA,DATOS!$A7118,nCURSO,DATOS!$D7118,nESPEC,DATOS!$E7118,nASIG,DATOS!$I7118,nEVAL,"EX")=0),0))))</f>
      </c>
      <c r="H7118">
        <f>IF(DATOS!$G7118&lt;&gt;"EX",0,--(COUNTIFS(nNIA,DATOS!$A7118,nCURSO,DATOS!$D7118,nESPEC,DATOS!$E7118,nASIG,DATOS!$I7118,nEVAL,"OR")=0))</f>
      </c>
      <c r="I7118">
        <f>IF(DATOS!$I7118="","",IFERROR(VLOOKUP(DATOS!$I7118,CONFIG_ASIGNATURAS!$B$2:$J$91,9,FALSE()),""))</f>
      </c>
    </row>
    <row r="7119">
      <c r="F7119">
        <f>IF(DATOS!$A7119="","",DATOS!$A7119&amp;"|"&amp;DATOS!$D7119&amp;"|"&amp;DATOS!$E7119&amp;"|"&amp;DATOS!$I7119)</f>
      </c>
      <c r="G7119">
        <f>IF(DATOS!$A7119="",0,IF(CONFIG_METADATA!$B$4&lt;&gt;"OR+EX",--(DATOS!$G7119=CONFIG_METADATA!$B$4),IF(DATOS!$G7119="EX",1,IF(DATOS!$G7119="OR",--(COUNTIFS(nNIA,DATOS!$A7119,nCURSO,DATOS!$D7119,nESPEC,DATOS!$E7119,nASIG,DATOS!$I7119,nEVAL,"EX")=0),0))))</f>
      </c>
      <c r="H7119">
        <f>IF(DATOS!$G7119&lt;&gt;"EX",0,--(COUNTIFS(nNIA,DATOS!$A7119,nCURSO,DATOS!$D7119,nESPEC,DATOS!$E7119,nASIG,DATOS!$I7119,nEVAL,"OR")=0))</f>
      </c>
      <c r="I7119">
        <f>IF(DATOS!$I7119="","",IFERROR(VLOOKUP(DATOS!$I7119,CONFIG_ASIGNATURAS!$B$2:$J$91,9,FALSE()),""))</f>
      </c>
    </row>
    <row r="7120">
      <c r="F7120">
        <f>IF(DATOS!$A7120="","",DATOS!$A7120&amp;"|"&amp;DATOS!$D7120&amp;"|"&amp;DATOS!$E7120&amp;"|"&amp;DATOS!$I7120)</f>
      </c>
      <c r="G7120">
        <f>IF(DATOS!$A7120="",0,IF(CONFIG_METADATA!$B$4&lt;&gt;"OR+EX",--(DATOS!$G7120=CONFIG_METADATA!$B$4),IF(DATOS!$G7120="EX",1,IF(DATOS!$G7120="OR",--(COUNTIFS(nNIA,DATOS!$A7120,nCURSO,DATOS!$D7120,nESPEC,DATOS!$E7120,nASIG,DATOS!$I7120,nEVAL,"EX")=0),0))))</f>
      </c>
      <c r="H7120">
        <f>IF(DATOS!$G7120&lt;&gt;"EX",0,--(COUNTIFS(nNIA,DATOS!$A7120,nCURSO,DATOS!$D7120,nESPEC,DATOS!$E7120,nASIG,DATOS!$I7120,nEVAL,"OR")=0))</f>
      </c>
      <c r="I7120">
        <f>IF(DATOS!$I7120="","",IFERROR(VLOOKUP(DATOS!$I7120,CONFIG_ASIGNATURAS!$B$2:$J$91,9,FALSE()),""))</f>
      </c>
    </row>
    <row r="7121">
      <c r="F7121">
        <f>IF(DATOS!$A7121="","",DATOS!$A7121&amp;"|"&amp;DATOS!$D7121&amp;"|"&amp;DATOS!$E7121&amp;"|"&amp;DATOS!$I7121)</f>
      </c>
      <c r="G7121">
        <f>IF(DATOS!$A7121="",0,IF(CONFIG_METADATA!$B$4&lt;&gt;"OR+EX",--(DATOS!$G7121=CONFIG_METADATA!$B$4),IF(DATOS!$G7121="EX",1,IF(DATOS!$G7121="OR",--(COUNTIFS(nNIA,DATOS!$A7121,nCURSO,DATOS!$D7121,nESPEC,DATOS!$E7121,nASIG,DATOS!$I7121,nEVAL,"EX")=0),0))))</f>
      </c>
      <c r="H7121">
        <f>IF(DATOS!$G7121&lt;&gt;"EX",0,--(COUNTIFS(nNIA,DATOS!$A7121,nCURSO,DATOS!$D7121,nESPEC,DATOS!$E7121,nASIG,DATOS!$I7121,nEVAL,"OR")=0))</f>
      </c>
      <c r="I7121">
        <f>IF(DATOS!$I7121="","",IFERROR(VLOOKUP(DATOS!$I7121,CONFIG_ASIGNATURAS!$B$2:$J$91,9,FALSE()),""))</f>
      </c>
    </row>
    <row r="7122">
      <c r="F7122">
        <f>IF(DATOS!$A7122="","",DATOS!$A7122&amp;"|"&amp;DATOS!$D7122&amp;"|"&amp;DATOS!$E7122&amp;"|"&amp;DATOS!$I7122)</f>
      </c>
      <c r="G7122">
        <f>IF(DATOS!$A7122="",0,IF(CONFIG_METADATA!$B$4&lt;&gt;"OR+EX",--(DATOS!$G7122=CONFIG_METADATA!$B$4),IF(DATOS!$G7122="EX",1,IF(DATOS!$G7122="OR",--(COUNTIFS(nNIA,DATOS!$A7122,nCURSO,DATOS!$D7122,nESPEC,DATOS!$E7122,nASIG,DATOS!$I7122,nEVAL,"EX")=0),0))))</f>
      </c>
      <c r="H7122">
        <f>IF(DATOS!$G7122&lt;&gt;"EX",0,--(COUNTIFS(nNIA,DATOS!$A7122,nCURSO,DATOS!$D7122,nESPEC,DATOS!$E7122,nASIG,DATOS!$I7122,nEVAL,"OR")=0))</f>
      </c>
      <c r="I7122">
        <f>IF(DATOS!$I7122="","",IFERROR(VLOOKUP(DATOS!$I7122,CONFIG_ASIGNATURAS!$B$2:$J$91,9,FALSE()),""))</f>
      </c>
    </row>
    <row r="7123">
      <c r="F7123">
        <f>IF(DATOS!$A7123="","",DATOS!$A7123&amp;"|"&amp;DATOS!$D7123&amp;"|"&amp;DATOS!$E7123&amp;"|"&amp;DATOS!$I7123)</f>
      </c>
      <c r="G7123">
        <f>IF(DATOS!$A7123="",0,IF(CONFIG_METADATA!$B$4&lt;&gt;"OR+EX",--(DATOS!$G7123=CONFIG_METADATA!$B$4),IF(DATOS!$G7123="EX",1,IF(DATOS!$G7123="OR",--(COUNTIFS(nNIA,DATOS!$A7123,nCURSO,DATOS!$D7123,nESPEC,DATOS!$E7123,nASIG,DATOS!$I7123,nEVAL,"EX")=0),0))))</f>
      </c>
      <c r="H7123">
        <f>IF(DATOS!$G7123&lt;&gt;"EX",0,--(COUNTIFS(nNIA,DATOS!$A7123,nCURSO,DATOS!$D7123,nESPEC,DATOS!$E7123,nASIG,DATOS!$I7123,nEVAL,"OR")=0))</f>
      </c>
      <c r="I7123">
        <f>IF(DATOS!$I7123="","",IFERROR(VLOOKUP(DATOS!$I7123,CONFIG_ASIGNATURAS!$B$2:$J$91,9,FALSE()),""))</f>
      </c>
    </row>
    <row r="7124">
      <c r="F7124">
        <f>IF(DATOS!$A7124="","",DATOS!$A7124&amp;"|"&amp;DATOS!$D7124&amp;"|"&amp;DATOS!$E7124&amp;"|"&amp;DATOS!$I7124)</f>
      </c>
      <c r="G7124">
        <f>IF(DATOS!$A7124="",0,IF(CONFIG_METADATA!$B$4&lt;&gt;"OR+EX",--(DATOS!$G7124=CONFIG_METADATA!$B$4),IF(DATOS!$G7124="EX",1,IF(DATOS!$G7124="OR",--(COUNTIFS(nNIA,DATOS!$A7124,nCURSO,DATOS!$D7124,nESPEC,DATOS!$E7124,nASIG,DATOS!$I7124,nEVAL,"EX")=0),0))))</f>
      </c>
      <c r="H7124">
        <f>IF(DATOS!$G7124&lt;&gt;"EX",0,--(COUNTIFS(nNIA,DATOS!$A7124,nCURSO,DATOS!$D7124,nESPEC,DATOS!$E7124,nASIG,DATOS!$I7124,nEVAL,"OR")=0))</f>
      </c>
      <c r="I7124">
        <f>IF(DATOS!$I7124="","",IFERROR(VLOOKUP(DATOS!$I7124,CONFIG_ASIGNATURAS!$B$2:$J$91,9,FALSE()),""))</f>
      </c>
    </row>
    <row r="7125">
      <c r="F7125">
        <f>IF(DATOS!$A7125="","",DATOS!$A7125&amp;"|"&amp;DATOS!$D7125&amp;"|"&amp;DATOS!$E7125&amp;"|"&amp;DATOS!$I7125)</f>
      </c>
      <c r="G7125">
        <f>IF(DATOS!$A7125="",0,IF(CONFIG_METADATA!$B$4&lt;&gt;"OR+EX",--(DATOS!$G7125=CONFIG_METADATA!$B$4),IF(DATOS!$G7125="EX",1,IF(DATOS!$G7125="OR",--(COUNTIFS(nNIA,DATOS!$A7125,nCURSO,DATOS!$D7125,nESPEC,DATOS!$E7125,nASIG,DATOS!$I7125,nEVAL,"EX")=0),0))))</f>
      </c>
      <c r="H7125">
        <f>IF(DATOS!$G7125&lt;&gt;"EX",0,--(COUNTIFS(nNIA,DATOS!$A7125,nCURSO,DATOS!$D7125,nESPEC,DATOS!$E7125,nASIG,DATOS!$I7125,nEVAL,"OR")=0))</f>
      </c>
      <c r="I7125">
        <f>IF(DATOS!$I7125="","",IFERROR(VLOOKUP(DATOS!$I7125,CONFIG_ASIGNATURAS!$B$2:$J$91,9,FALSE()),""))</f>
      </c>
    </row>
    <row r="7126">
      <c r="F7126">
        <f>IF(DATOS!$A7126="","",DATOS!$A7126&amp;"|"&amp;DATOS!$D7126&amp;"|"&amp;DATOS!$E7126&amp;"|"&amp;DATOS!$I7126)</f>
      </c>
      <c r="G7126">
        <f>IF(DATOS!$A7126="",0,IF(CONFIG_METADATA!$B$4&lt;&gt;"OR+EX",--(DATOS!$G7126=CONFIG_METADATA!$B$4),IF(DATOS!$G7126="EX",1,IF(DATOS!$G7126="OR",--(COUNTIFS(nNIA,DATOS!$A7126,nCURSO,DATOS!$D7126,nESPEC,DATOS!$E7126,nASIG,DATOS!$I7126,nEVAL,"EX")=0),0))))</f>
      </c>
      <c r="H7126">
        <f>IF(DATOS!$G7126&lt;&gt;"EX",0,--(COUNTIFS(nNIA,DATOS!$A7126,nCURSO,DATOS!$D7126,nESPEC,DATOS!$E7126,nASIG,DATOS!$I7126,nEVAL,"OR")=0))</f>
      </c>
      <c r="I7126">
        <f>IF(DATOS!$I7126="","",IFERROR(VLOOKUP(DATOS!$I7126,CONFIG_ASIGNATURAS!$B$2:$J$91,9,FALSE()),""))</f>
      </c>
    </row>
    <row r="7127">
      <c r="F7127">
        <f>IF(DATOS!$A7127="","",DATOS!$A7127&amp;"|"&amp;DATOS!$D7127&amp;"|"&amp;DATOS!$E7127&amp;"|"&amp;DATOS!$I7127)</f>
      </c>
      <c r="G7127">
        <f>IF(DATOS!$A7127="",0,IF(CONFIG_METADATA!$B$4&lt;&gt;"OR+EX",--(DATOS!$G7127=CONFIG_METADATA!$B$4),IF(DATOS!$G7127="EX",1,IF(DATOS!$G7127="OR",--(COUNTIFS(nNIA,DATOS!$A7127,nCURSO,DATOS!$D7127,nESPEC,DATOS!$E7127,nASIG,DATOS!$I7127,nEVAL,"EX")=0),0))))</f>
      </c>
      <c r="H7127">
        <f>IF(DATOS!$G7127&lt;&gt;"EX",0,--(COUNTIFS(nNIA,DATOS!$A7127,nCURSO,DATOS!$D7127,nESPEC,DATOS!$E7127,nASIG,DATOS!$I7127,nEVAL,"OR")=0))</f>
      </c>
      <c r="I7127">
        <f>IF(DATOS!$I7127="","",IFERROR(VLOOKUP(DATOS!$I7127,CONFIG_ASIGNATURAS!$B$2:$J$91,9,FALSE()),""))</f>
      </c>
    </row>
    <row r="7128">
      <c r="F7128">
        <f>IF(DATOS!$A7128="","",DATOS!$A7128&amp;"|"&amp;DATOS!$D7128&amp;"|"&amp;DATOS!$E7128&amp;"|"&amp;DATOS!$I7128)</f>
      </c>
      <c r="G7128">
        <f>IF(DATOS!$A7128="",0,IF(CONFIG_METADATA!$B$4&lt;&gt;"OR+EX",--(DATOS!$G7128=CONFIG_METADATA!$B$4),IF(DATOS!$G7128="EX",1,IF(DATOS!$G7128="OR",--(COUNTIFS(nNIA,DATOS!$A7128,nCURSO,DATOS!$D7128,nESPEC,DATOS!$E7128,nASIG,DATOS!$I7128,nEVAL,"EX")=0),0))))</f>
      </c>
      <c r="H7128">
        <f>IF(DATOS!$G7128&lt;&gt;"EX",0,--(COUNTIFS(nNIA,DATOS!$A7128,nCURSO,DATOS!$D7128,nESPEC,DATOS!$E7128,nASIG,DATOS!$I7128,nEVAL,"OR")=0))</f>
      </c>
      <c r="I7128">
        <f>IF(DATOS!$I7128="","",IFERROR(VLOOKUP(DATOS!$I7128,CONFIG_ASIGNATURAS!$B$2:$J$91,9,FALSE()),""))</f>
      </c>
    </row>
    <row r="7129">
      <c r="F7129">
        <f>IF(DATOS!$A7129="","",DATOS!$A7129&amp;"|"&amp;DATOS!$D7129&amp;"|"&amp;DATOS!$E7129&amp;"|"&amp;DATOS!$I7129)</f>
      </c>
      <c r="G7129">
        <f>IF(DATOS!$A7129="",0,IF(CONFIG_METADATA!$B$4&lt;&gt;"OR+EX",--(DATOS!$G7129=CONFIG_METADATA!$B$4),IF(DATOS!$G7129="EX",1,IF(DATOS!$G7129="OR",--(COUNTIFS(nNIA,DATOS!$A7129,nCURSO,DATOS!$D7129,nESPEC,DATOS!$E7129,nASIG,DATOS!$I7129,nEVAL,"EX")=0),0))))</f>
      </c>
      <c r="H7129">
        <f>IF(DATOS!$G7129&lt;&gt;"EX",0,--(COUNTIFS(nNIA,DATOS!$A7129,nCURSO,DATOS!$D7129,nESPEC,DATOS!$E7129,nASIG,DATOS!$I7129,nEVAL,"OR")=0))</f>
      </c>
      <c r="I7129">
        <f>IF(DATOS!$I7129="","",IFERROR(VLOOKUP(DATOS!$I7129,CONFIG_ASIGNATURAS!$B$2:$J$91,9,FALSE()),""))</f>
      </c>
    </row>
    <row r="7130">
      <c r="F7130">
        <f>IF(DATOS!$A7130="","",DATOS!$A7130&amp;"|"&amp;DATOS!$D7130&amp;"|"&amp;DATOS!$E7130&amp;"|"&amp;DATOS!$I7130)</f>
      </c>
      <c r="G7130">
        <f>IF(DATOS!$A7130="",0,IF(CONFIG_METADATA!$B$4&lt;&gt;"OR+EX",--(DATOS!$G7130=CONFIG_METADATA!$B$4),IF(DATOS!$G7130="EX",1,IF(DATOS!$G7130="OR",--(COUNTIFS(nNIA,DATOS!$A7130,nCURSO,DATOS!$D7130,nESPEC,DATOS!$E7130,nASIG,DATOS!$I7130,nEVAL,"EX")=0),0))))</f>
      </c>
      <c r="H7130">
        <f>IF(DATOS!$G7130&lt;&gt;"EX",0,--(COUNTIFS(nNIA,DATOS!$A7130,nCURSO,DATOS!$D7130,nESPEC,DATOS!$E7130,nASIG,DATOS!$I7130,nEVAL,"OR")=0))</f>
      </c>
      <c r="I7130">
        <f>IF(DATOS!$I7130="","",IFERROR(VLOOKUP(DATOS!$I7130,CONFIG_ASIGNATURAS!$B$2:$J$91,9,FALSE()),""))</f>
      </c>
    </row>
    <row r="7131">
      <c r="F7131">
        <f>IF(DATOS!$A7131="","",DATOS!$A7131&amp;"|"&amp;DATOS!$D7131&amp;"|"&amp;DATOS!$E7131&amp;"|"&amp;DATOS!$I7131)</f>
      </c>
      <c r="G7131">
        <f>IF(DATOS!$A7131="",0,IF(CONFIG_METADATA!$B$4&lt;&gt;"OR+EX",--(DATOS!$G7131=CONFIG_METADATA!$B$4),IF(DATOS!$G7131="EX",1,IF(DATOS!$G7131="OR",--(COUNTIFS(nNIA,DATOS!$A7131,nCURSO,DATOS!$D7131,nESPEC,DATOS!$E7131,nASIG,DATOS!$I7131,nEVAL,"EX")=0),0))))</f>
      </c>
      <c r="H7131">
        <f>IF(DATOS!$G7131&lt;&gt;"EX",0,--(COUNTIFS(nNIA,DATOS!$A7131,nCURSO,DATOS!$D7131,nESPEC,DATOS!$E7131,nASIG,DATOS!$I7131,nEVAL,"OR")=0))</f>
      </c>
      <c r="I7131">
        <f>IF(DATOS!$I7131="","",IFERROR(VLOOKUP(DATOS!$I7131,CONFIG_ASIGNATURAS!$B$2:$J$91,9,FALSE()),""))</f>
      </c>
    </row>
    <row r="7132">
      <c r="F7132">
        <f>IF(DATOS!$A7132="","",DATOS!$A7132&amp;"|"&amp;DATOS!$D7132&amp;"|"&amp;DATOS!$E7132&amp;"|"&amp;DATOS!$I7132)</f>
      </c>
      <c r="G7132">
        <f>IF(DATOS!$A7132="",0,IF(CONFIG_METADATA!$B$4&lt;&gt;"OR+EX",--(DATOS!$G7132=CONFIG_METADATA!$B$4),IF(DATOS!$G7132="EX",1,IF(DATOS!$G7132="OR",--(COUNTIFS(nNIA,DATOS!$A7132,nCURSO,DATOS!$D7132,nESPEC,DATOS!$E7132,nASIG,DATOS!$I7132,nEVAL,"EX")=0),0))))</f>
      </c>
      <c r="H7132">
        <f>IF(DATOS!$G7132&lt;&gt;"EX",0,--(COUNTIFS(nNIA,DATOS!$A7132,nCURSO,DATOS!$D7132,nESPEC,DATOS!$E7132,nASIG,DATOS!$I7132,nEVAL,"OR")=0))</f>
      </c>
      <c r="I7132">
        <f>IF(DATOS!$I7132="","",IFERROR(VLOOKUP(DATOS!$I7132,CONFIG_ASIGNATURAS!$B$2:$J$91,9,FALSE()),""))</f>
      </c>
    </row>
    <row r="7133">
      <c r="F7133">
        <f>IF(DATOS!$A7133="","",DATOS!$A7133&amp;"|"&amp;DATOS!$D7133&amp;"|"&amp;DATOS!$E7133&amp;"|"&amp;DATOS!$I7133)</f>
      </c>
      <c r="G7133">
        <f>IF(DATOS!$A7133="",0,IF(CONFIG_METADATA!$B$4&lt;&gt;"OR+EX",--(DATOS!$G7133=CONFIG_METADATA!$B$4),IF(DATOS!$G7133="EX",1,IF(DATOS!$G7133="OR",--(COUNTIFS(nNIA,DATOS!$A7133,nCURSO,DATOS!$D7133,nESPEC,DATOS!$E7133,nASIG,DATOS!$I7133,nEVAL,"EX")=0),0))))</f>
      </c>
      <c r="H7133">
        <f>IF(DATOS!$G7133&lt;&gt;"EX",0,--(COUNTIFS(nNIA,DATOS!$A7133,nCURSO,DATOS!$D7133,nESPEC,DATOS!$E7133,nASIG,DATOS!$I7133,nEVAL,"OR")=0))</f>
      </c>
      <c r="I7133">
        <f>IF(DATOS!$I7133="","",IFERROR(VLOOKUP(DATOS!$I7133,CONFIG_ASIGNATURAS!$B$2:$J$91,9,FALSE()),""))</f>
      </c>
    </row>
    <row r="7134">
      <c r="F7134">
        <f>IF(DATOS!$A7134="","",DATOS!$A7134&amp;"|"&amp;DATOS!$D7134&amp;"|"&amp;DATOS!$E7134&amp;"|"&amp;DATOS!$I7134)</f>
      </c>
      <c r="G7134">
        <f>IF(DATOS!$A7134="",0,IF(CONFIG_METADATA!$B$4&lt;&gt;"OR+EX",--(DATOS!$G7134=CONFIG_METADATA!$B$4),IF(DATOS!$G7134="EX",1,IF(DATOS!$G7134="OR",--(COUNTIFS(nNIA,DATOS!$A7134,nCURSO,DATOS!$D7134,nESPEC,DATOS!$E7134,nASIG,DATOS!$I7134,nEVAL,"EX")=0),0))))</f>
      </c>
      <c r="H7134">
        <f>IF(DATOS!$G7134&lt;&gt;"EX",0,--(COUNTIFS(nNIA,DATOS!$A7134,nCURSO,DATOS!$D7134,nESPEC,DATOS!$E7134,nASIG,DATOS!$I7134,nEVAL,"OR")=0))</f>
      </c>
      <c r="I7134">
        <f>IF(DATOS!$I7134="","",IFERROR(VLOOKUP(DATOS!$I7134,CONFIG_ASIGNATURAS!$B$2:$J$91,9,FALSE()),""))</f>
      </c>
    </row>
    <row r="7135">
      <c r="F7135">
        <f>IF(DATOS!$A7135="","",DATOS!$A7135&amp;"|"&amp;DATOS!$D7135&amp;"|"&amp;DATOS!$E7135&amp;"|"&amp;DATOS!$I7135)</f>
      </c>
      <c r="G7135">
        <f>IF(DATOS!$A7135="",0,IF(CONFIG_METADATA!$B$4&lt;&gt;"OR+EX",--(DATOS!$G7135=CONFIG_METADATA!$B$4),IF(DATOS!$G7135="EX",1,IF(DATOS!$G7135="OR",--(COUNTIFS(nNIA,DATOS!$A7135,nCURSO,DATOS!$D7135,nESPEC,DATOS!$E7135,nASIG,DATOS!$I7135,nEVAL,"EX")=0),0))))</f>
      </c>
      <c r="H7135">
        <f>IF(DATOS!$G7135&lt;&gt;"EX",0,--(COUNTIFS(nNIA,DATOS!$A7135,nCURSO,DATOS!$D7135,nESPEC,DATOS!$E7135,nASIG,DATOS!$I7135,nEVAL,"OR")=0))</f>
      </c>
      <c r="I7135">
        <f>IF(DATOS!$I7135="","",IFERROR(VLOOKUP(DATOS!$I7135,CONFIG_ASIGNATURAS!$B$2:$J$91,9,FALSE()),""))</f>
      </c>
    </row>
    <row r="7136">
      <c r="F7136">
        <f>IF(DATOS!$A7136="","",DATOS!$A7136&amp;"|"&amp;DATOS!$D7136&amp;"|"&amp;DATOS!$E7136&amp;"|"&amp;DATOS!$I7136)</f>
      </c>
      <c r="G7136">
        <f>IF(DATOS!$A7136="",0,IF(CONFIG_METADATA!$B$4&lt;&gt;"OR+EX",--(DATOS!$G7136=CONFIG_METADATA!$B$4),IF(DATOS!$G7136="EX",1,IF(DATOS!$G7136="OR",--(COUNTIFS(nNIA,DATOS!$A7136,nCURSO,DATOS!$D7136,nESPEC,DATOS!$E7136,nASIG,DATOS!$I7136,nEVAL,"EX")=0),0))))</f>
      </c>
      <c r="H7136">
        <f>IF(DATOS!$G7136&lt;&gt;"EX",0,--(COUNTIFS(nNIA,DATOS!$A7136,nCURSO,DATOS!$D7136,nESPEC,DATOS!$E7136,nASIG,DATOS!$I7136,nEVAL,"OR")=0))</f>
      </c>
      <c r="I7136">
        <f>IF(DATOS!$I7136="","",IFERROR(VLOOKUP(DATOS!$I7136,CONFIG_ASIGNATURAS!$B$2:$J$91,9,FALSE()),""))</f>
      </c>
    </row>
    <row r="7137">
      <c r="F7137">
        <f>IF(DATOS!$A7137="","",DATOS!$A7137&amp;"|"&amp;DATOS!$D7137&amp;"|"&amp;DATOS!$E7137&amp;"|"&amp;DATOS!$I7137)</f>
      </c>
      <c r="G7137">
        <f>IF(DATOS!$A7137="",0,IF(CONFIG_METADATA!$B$4&lt;&gt;"OR+EX",--(DATOS!$G7137=CONFIG_METADATA!$B$4),IF(DATOS!$G7137="EX",1,IF(DATOS!$G7137="OR",--(COUNTIFS(nNIA,DATOS!$A7137,nCURSO,DATOS!$D7137,nESPEC,DATOS!$E7137,nASIG,DATOS!$I7137,nEVAL,"EX")=0),0))))</f>
      </c>
      <c r="H7137">
        <f>IF(DATOS!$G7137&lt;&gt;"EX",0,--(COUNTIFS(nNIA,DATOS!$A7137,nCURSO,DATOS!$D7137,nESPEC,DATOS!$E7137,nASIG,DATOS!$I7137,nEVAL,"OR")=0))</f>
      </c>
      <c r="I7137">
        <f>IF(DATOS!$I7137="","",IFERROR(VLOOKUP(DATOS!$I7137,CONFIG_ASIGNATURAS!$B$2:$J$91,9,FALSE()),""))</f>
      </c>
    </row>
    <row r="7138">
      <c r="F7138">
        <f>IF(DATOS!$A7138="","",DATOS!$A7138&amp;"|"&amp;DATOS!$D7138&amp;"|"&amp;DATOS!$E7138&amp;"|"&amp;DATOS!$I7138)</f>
      </c>
      <c r="G7138">
        <f>IF(DATOS!$A7138="",0,IF(CONFIG_METADATA!$B$4&lt;&gt;"OR+EX",--(DATOS!$G7138=CONFIG_METADATA!$B$4),IF(DATOS!$G7138="EX",1,IF(DATOS!$G7138="OR",--(COUNTIFS(nNIA,DATOS!$A7138,nCURSO,DATOS!$D7138,nESPEC,DATOS!$E7138,nASIG,DATOS!$I7138,nEVAL,"EX")=0),0))))</f>
      </c>
      <c r="H7138">
        <f>IF(DATOS!$G7138&lt;&gt;"EX",0,--(COUNTIFS(nNIA,DATOS!$A7138,nCURSO,DATOS!$D7138,nESPEC,DATOS!$E7138,nASIG,DATOS!$I7138,nEVAL,"OR")=0))</f>
      </c>
      <c r="I7138">
        <f>IF(DATOS!$I7138="","",IFERROR(VLOOKUP(DATOS!$I7138,CONFIG_ASIGNATURAS!$B$2:$J$91,9,FALSE()),""))</f>
      </c>
    </row>
    <row r="7139">
      <c r="F7139">
        <f>IF(DATOS!$A7139="","",DATOS!$A7139&amp;"|"&amp;DATOS!$D7139&amp;"|"&amp;DATOS!$E7139&amp;"|"&amp;DATOS!$I7139)</f>
      </c>
      <c r="G7139">
        <f>IF(DATOS!$A7139="",0,IF(CONFIG_METADATA!$B$4&lt;&gt;"OR+EX",--(DATOS!$G7139=CONFIG_METADATA!$B$4),IF(DATOS!$G7139="EX",1,IF(DATOS!$G7139="OR",--(COUNTIFS(nNIA,DATOS!$A7139,nCURSO,DATOS!$D7139,nESPEC,DATOS!$E7139,nASIG,DATOS!$I7139,nEVAL,"EX")=0),0))))</f>
      </c>
      <c r="H7139">
        <f>IF(DATOS!$G7139&lt;&gt;"EX",0,--(COUNTIFS(nNIA,DATOS!$A7139,nCURSO,DATOS!$D7139,nESPEC,DATOS!$E7139,nASIG,DATOS!$I7139,nEVAL,"OR")=0))</f>
      </c>
      <c r="I7139">
        <f>IF(DATOS!$I7139="","",IFERROR(VLOOKUP(DATOS!$I7139,CONFIG_ASIGNATURAS!$B$2:$J$91,9,FALSE()),""))</f>
      </c>
    </row>
    <row r="7140">
      <c r="F7140">
        <f>IF(DATOS!$A7140="","",DATOS!$A7140&amp;"|"&amp;DATOS!$D7140&amp;"|"&amp;DATOS!$E7140&amp;"|"&amp;DATOS!$I7140)</f>
      </c>
      <c r="G7140">
        <f>IF(DATOS!$A7140="",0,IF(CONFIG_METADATA!$B$4&lt;&gt;"OR+EX",--(DATOS!$G7140=CONFIG_METADATA!$B$4),IF(DATOS!$G7140="EX",1,IF(DATOS!$G7140="OR",--(COUNTIFS(nNIA,DATOS!$A7140,nCURSO,DATOS!$D7140,nESPEC,DATOS!$E7140,nASIG,DATOS!$I7140,nEVAL,"EX")=0),0))))</f>
      </c>
      <c r="H7140">
        <f>IF(DATOS!$G7140&lt;&gt;"EX",0,--(COUNTIFS(nNIA,DATOS!$A7140,nCURSO,DATOS!$D7140,nESPEC,DATOS!$E7140,nASIG,DATOS!$I7140,nEVAL,"OR")=0))</f>
      </c>
      <c r="I7140">
        <f>IF(DATOS!$I7140="","",IFERROR(VLOOKUP(DATOS!$I7140,CONFIG_ASIGNATURAS!$B$2:$J$91,9,FALSE()),""))</f>
      </c>
    </row>
    <row r="7141">
      <c r="F7141">
        <f>IF(DATOS!$A7141="","",DATOS!$A7141&amp;"|"&amp;DATOS!$D7141&amp;"|"&amp;DATOS!$E7141&amp;"|"&amp;DATOS!$I7141)</f>
      </c>
      <c r="G7141">
        <f>IF(DATOS!$A7141="",0,IF(CONFIG_METADATA!$B$4&lt;&gt;"OR+EX",--(DATOS!$G7141=CONFIG_METADATA!$B$4),IF(DATOS!$G7141="EX",1,IF(DATOS!$G7141="OR",--(COUNTIFS(nNIA,DATOS!$A7141,nCURSO,DATOS!$D7141,nESPEC,DATOS!$E7141,nASIG,DATOS!$I7141,nEVAL,"EX")=0),0))))</f>
      </c>
      <c r="H7141">
        <f>IF(DATOS!$G7141&lt;&gt;"EX",0,--(COUNTIFS(nNIA,DATOS!$A7141,nCURSO,DATOS!$D7141,nESPEC,DATOS!$E7141,nASIG,DATOS!$I7141,nEVAL,"OR")=0))</f>
      </c>
      <c r="I7141">
        <f>IF(DATOS!$I7141="","",IFERROR(VLOOKUP(DATOS!$I7141,CONFIG_ASIGNATURAS!$B$2:$J$91,9,FALSE()),""))</f>
      </c>
    </row>
    <row r="7142">
      <c r="F7142">
        <f>IF(DATOS!$A7142="","",DATOS!$A7142&amp;"|"&amp;DATOS!$D7142&amp;"|"&amp;DATOS!$E7142&amp;"|"&amp;DATOS!$I7142)</f>
      </c>
      <c r="G7142">
        <f>IF(DATOS!$A7142="",0,IF(CONFIG_METADATA!$B$4&lt;&gt;"OR+EX",--(DATOS!$G7142=CONFIG_METADATA!$B$4),IF(DATOS!$G7142="EX",1,IF(DATOS!$G7142="OR",--(COUNTIFS(nNIA,DATOS!$A7142,nCURSO,DATOS!$D7142,nESPEC,DATOS!$E7142,nASIG,DATOS!$I7142,nEVAL,"EX")=0),0))))</f>
      </c>
      <c r="H7142">
        <f>IF(DATOS!$G7142&lt;&gt;"EX",0,--(COUNTIFS(nNIA,DATOS!$A7142,nCURSO,DATOS!$D7142,nESPEC,DATOS!$E7142,nASIG,DATOS!$I7142,nEVAL,"OR")=0))</f>
      </c>
      <c r="I7142">
        <f>IF(DATOS!$I7142="","",IFERROR(VLOOKUP(DATOS!$I7142,CONFIG_ASIGNATURAS!$B$2:$J$91,9,FALSE()),""))</f>
      </c>
    </row>
    <row r="7143">
      <c r="F7143">
        <f>IF(DATOS!$A7143="","",DATOS!$A7143&amp;"|"&amp;DATOS!$D7143&amp;"|"&amp;DATOS!$E7143&amp;"|"&amp;DATOS!$I7143)</f>
      </c>
      <c r="G7143">
        <f>IF(DATOS!$A7143="",0,IF(CONFIG_METADATA!$B$4&lt;&gt;"OR+EX",--(DATOS!$G7143=CONFIG_METADATA!$B$4),IF(DATOS!$G7143="EX",1,IF(DATOS!$G7143="OR",--(COUNTIFS(nNIA,DATOS!$A7143,nCURSO,DATOS!$D7143,nESPEC,DATOS!$E7143,nASIG,DATOS!$I7143,nEVAL,"EX")=0),0))))</f>
      </c>
      <c r="H7143">
        <f>IF(DATOS!$G7143&lt;&gt;"EX",0,--(COUNTIFS(nNIA,DATOS!$A7143,nCURSO,DATOS!$D7143,nESPEC,DATOS!$E7143,nASIG,DATOS!$I7143,nEVAL,"OR")=0))</f>
      </c>
      <c r="I7143">
        <f>IF(DATOS!$I7143="","",IFERROR(VLOOKUP(DATOS!$I7143,CONFIG_ASIGNATURAS!$B$2:$J$91,9,FALSE()),""))</f>
      </c>
    </row>
    <row r="7144">
      <c r="F7144">
        <f>IF(DATOS!$A7144="","",DATOS!$A7144&amp;"|"&amp;DATOS!$D7144&amp;"|"&amp;DATOS!$E7144&amp;"|"&amp;DATOS!$I7144)</f>
      </c>
      <c r="G7144">
        <f>IF(DATOS!$A7144="",0,IF(CONFIG_METADATA!$B$4&lt;&gt;"OR+EX",--(DATOS!$G7144=CONFIG_METADATA!$B$4),IF(DATOS!$G7144="EX",1,IF(DATOS!$G7144="OR",--(COUNTIFS(nNIA,DATOS!$A7144,nCURSO,DATOS!$D7144,nESPEC,DATOS!$E7144,nASIG,DATOS!$I7144,nEVAL,"EX")=0),0))))</f>
      </c>
      <c r="H7144">
        <f>IF(DATOS!$G7144&lt;&gt;"EX",0,--(COUNTIFS(nNIA,DATOS!$A7144,nCURSO,DATOS!$D7144,nESPEC,DATOS!$E7144,nASIG,DATOS!$I7144,nEVAL,"OR")=0))</f>
      </c>
      <c r="I7144">
        <f>IF(DATOS!$I7144="","",IFERROR(VLOOKUP(DATOS!$I7144,CONFIG_ASIGNATURAS!$B$2:$J$91,9,FALSE()),""))</f>
      </c>
    </row>
    <row r="7145">
      <c r="F7145">
        <f>IF(DATOS!$A7145="","",DATOS!$A7145&amp;"|"&amp;DATOS!$D7145&amp;"|"&amp;DATOS!$E7145&amp;"|"&amp;DATOS!$I7145)</f>
      </c>
      <c r="G7145">
        <f>IF(DATOS!$A7145="",0,IF(CONFIG_METADATA!$B$4&lt;&gt;"OR+EX",--(DATOS!$G7145=CONFIG_METADATA!$B$4),IF(DATOS!$G7145="EX",1,IF(DATOS!$G7145="OR",--(COUNTIFS(nNIA,DATOS!$A7145,nCURSO,DATOS!$D7145,nESPEC,DATOS!$E7145,nASIG,DATOS!$I7145,nEVAL,"EX")=0),0))))</f>
      </c>
      <c r="H7145">
        <f>IF(DATOS!$G7145&lt;&gt;"EX",0,--(COUNTIFS(nNIA,DATOS!$A7145,nCURSO,DATOS!$D7145,nESPEC,DATOS!$E7145,nASIG,DATOS!$I7145,nEVAL,"OR")=0))</f>
      </c>
      <c r="I7145">
        <f>IF(DATOS!$I7145="","",IFERROR(VLOOKUP(DATOS!$I7145,CONFIG_ASIGNATURAS!$B$2:$J$91,9,FALSE()),""))</f>
      </c>
    </row>
    <row r="7146">
      <c r="F7146">
        <f>IF(DATOS!$A7146="","",DATOS!$A7146&amp;"|"&amp;DATOS!$D7146&amp;"|"&amp;DATOS!$E7146&amp;"|"&amp;DATOS!$I7146)</f>
      </c>
      <c r="G7146">
        <f>IF(DATOS!$A7146="",0,IF(CONFIG_METADATA!$B$4&lt;&gt;"OR+EX",--(DATOS!$G7146=CONFIG_METADATA!$B$4),IF(DATOS!$G7146="EX",1,IF(DATOS!$G7146="OR",--(COUNTIFS(nNIA,DATOS!$A7146,nCURSO,DATOS!$D7146,nESPEC,DATOS!$E7146,nASIG,DATOS!$I7146,nEVAL,"EX")=0),0))))</f>
      </c>
      <c r="H7146">
        <f>IF(DATOS!$G7146&lt;&gt;"EX",0,--(COUNTIFS(nNIA,DATOS!$A7146,nCURSO,DATOS!$D7146,nESPEC,DATOS!$E7146,nASIG,DATOS!$I7146,nEVAL,"OR")=0))</f>
      </c>
      <c r="I7146">
        <f>IF(DATOS!$I7146="","",IFERROR(VLOOKUP(DATOS!$I7146,CONFIG_ASIGNATURAS!$B$2:$J$91,9,FALSE()),""))</f>
      </c>
    </row>
    <row r="7147">
      <c r="F7147">
        <f>IF(DATOS!$A7147="","",DATOS!$A7147&amp;"|"&amp;DATOS!$D7147&amp;"|"&amp;DATOS!$E7147&amp;"|"&amp;DATOS!$I7147)</f>
      </c>
      <c r="G7147">
        <f>IF(DATOS!$A7147="",0,IF(CONFIG_METADATA!$B$4&lt;&gt;"OR+EX",--(DATOS!$G7147=CONFIG_METADATA!$B$4),IF(DATOS!$G7147="EX",1,IF(DATOS!$G7147="OR",--(COUNTIFS(nNIA,DATOS!$A7147,nCURSO,DATOS!$D7147,nESPEC,DATOS!$E7147,nASIG,DATOS!$I7147,nEVAL,"EX")=0),0))))</f>
      </c>
      <c r="H7147">
        <f>IF(DATOS!$G7147&lt;&gt;"EX",0,--(COUNTIFS(nNIA,DATOS!$A7147,nCURSO,DATOS!$D7147,nESPEC,DATOS!$E7147,nASIG,DATOS!$I7147,nEVAL,"OR")=0))</f>
      </c>
      <c r="I7147">
        <f>IF(DATOS!$I7147="","",IFERROR(VLOOKUP(DATOS!$I7147,CONFIG_ASIGNATURAS!$B$2:$J$91,9,FALSE()),""))</f>
      </c>
    </row>
    <row r="7148">
      <c r="F7148">
        <f>IF(DATOS!$A7148="","",DATOS!$A7148&amp;"|"&amp;DATOS!$D7148&amp;"|"&amp;DATOS!$E7148&amp;"|"&amp;DATOS!$I7148)</f>
      </c>
      <c r="G7148">
        <f>IF(DATOS!$A7148="",0,IF(CONFIG_METADATA!$B$4&lt;&gt;"OR+EX",--(DATOS!$G7148=CONFIG_METADATA!$B$4),IF(DATOS!$G7148="EX",1,IF(DATOS!$G7148="OR",--(COUNTIFS(nNIA,DATOS!$A7148,nCURSO,DATOS!$D7148,nESPEC,DATOS!$E7148,nASIG,DATOS!$I7148,nEVAL,"EX")=0),0))))</f>
      </c>
      <c r="H7148">
        <f>IF(DATOS!$G7148&lt;&gt;"EX",0,--(COUNTIFS(nNIA,DATOS!$A7148,nCURSO,DATOS!$D7148,nESPEC,DATOS!$E7148,nASIG,DATOS!$I7148,nEVAL,"OR")=0))</f>
      </c>
      <c r="I7148">
        <f>IF(DATOS!$I7148="","",IFERROR(VLOOKUP(DATOS!$I7148,CONFIG_ASIGNATURAS!$B$2:$J$91,9,FALSE()),""))</f>
      </c>
    </row>
    <row r="7149">
      <c r="F7149">
        <f>IF(DATOS!$A7149="","",DATOS!$A7149&amp;"|"&amp;DATOS!$D7149&amp;"|"&amp;DATOS!$E7149&amp;"|"&amp;DATOS!$I7149)</f>
      </c>
      <c r="G7149">
        <f>IF(DATOS!$A7149="",0,IF(CONFIG_METADATA!$B$4&lt;&gt;"OR+EX",--(DATOS!$G7149=CONFIG_METADATA!$B$4),IF(DATOS!$G7149="EX",1,IF(DATOS!$G7149="OR",--(COUNTIFS(nNIA,DATOS!$A7149,nCURSO,DATOS!$D7149,nESPEC,DATOS!$E7149,nASIG,DATOS!$I7149,nEVAL,"EX")=0),0))))</f>
      </c>
      <c r="H7149">
        <f>IF(DATOS!$G7149&lt;&gt;"EX",0,--(COUNTIFS(nNIA,DATOS!$A7149,nCURSO,DATOS!$D7149,nESPEC,DATOS!$E7149,nASIG,DATOS!$I7149,nEVAL,"OR")=0))</f>
      </c>
      <c r="I7149">
        <f>IF(DATOS!$I7149="","",IFERROR(VLOOKUP(DATOS!$I7149,CONFIG_ASIGNATURAS!$B$2:$J$91,9,FALSE()),""))</f>
      </c>
    </row>
    <row r="7150">
      <c r="F7150">
        <f>IF(DATOS!$A7150="","",DATOS!$A7150&amp;"|"&amp;DATOS!$D7150&amp;"|"&amp;DATOS!$E7150&amp;"|"&amp;DATOS!$I7150)</f>
      </c>
      <c r="G7150">
        <f>IF(DATOS!$A7150="",0,IF(CONFIG_METADATA!$B$4&lt;&gt;"OR+EX",--(DATOS!$G7150=CONFIG_METADATA!$B$4),IF(DATOS!$G7150="EX",1,IF(DATOS!$G7150="OR",--(COUNTIFS(nNIA,DATOS!$A7150,nCURSO,DATOS!$D7150,nESPEC,DATOS!$E7150,nASIG,DATOS!$I7150,nEVAL,"EX")=0),0))))</f>
      </c>
      <c r="H7150">
        <f>IF(DATOS!$G7150&lt;&gt;"EX",0,--(COUNTIFS(nNIA,DATOS!$A7150,nCURSO,DATOS!$D7150,nESPEC,DATOS!$E7150,nASIG,DATOS!$I7150,nEVAL,"OR")=0))</f>
      </c>
      <c r="I7150">
        <f>IF(DATOS!$I7150="","",IFERROR(VLOOKUP(DATOS!$I7150,CONFIG_ASIGNATURAS!$B$2:$J$91,9,FALSE()),""))</f>
      </c>
    </row>
    <row r="7151">
      <c r="F7151">
        <f>IF(DATOS!$A7151="","",DATOS!$A7151&amp;"|"&amp;DATOS!$D7151&amp;"|"&amp;DATOS!$E7151&amp;"|"&amp;DATOS!$I7151)</f>
      </c>
      <c r="G7151">
        <f>IF(DATOS!$A7151="",0,IF(CONFIG_METADATA!$B$4&lt;&gt;"OR+EX",--(DATOS!$G7151=CONFIG_METADATA!$B$4),IF(DATOS!$G7151="EX",1,IF(DATOS!$G7151="OR",--(COUNTIFS(nNIA,DATOS!$A7151,nCURSO,DATOS!$D7151,nESPEC,DATOS!$E7151,nASIG,DATOS!$I7151,nEVAL,"EX")=0),0))))</f>
      </c>
      <c r="H7151">
        <f>IF(DATOS!$G7151&lt;&gt;"EX",0,--(COUNTIFS(nNIA,DATOS!$A7151,nCURSO,DATOS!$D7151,nESPEC,DATOS!$E7151,nASIG,DATOS!$I7151,nEVAL,"OR")=0))</f>
      </c>
      <c r="I7151">
        <f>IF(DATOS!$I7151="","",IFERROR(VLOOKUP(DATOS!$I7151,CONFIG_ASIGNATURAS!$B$2:$J$91,9,FALSE()),""))</f>
      </c>
    </row>
    <row r="7152">
      <c r="F7152">
        <f>IF(DATOS!$A7152="","",DATOS!$A7152&amp;"|"&amp;DATOS!$D7152&amp;"|"&amp;DATOS!$E7152&amp;"|"&amp;DATOS!$I7152)</f>
      </c>
      <c r="G7152">
        <f>IF(DATOS!$A7152="",0,IF(CONFIG_METADATA!$B$4&lt;&gt;"OR+EX",--(DATOS!$G7152=CONFIG_METADATA!$B$4),IF(DATOS!$G7152="EX",1,IF(DATOS!$G7152="OR",--(COUNTIFS(nNIA,DATOS!$A7152,nCURSO,DATOS!$D7152,nESPEC,DATOS!$E7152,nASIG,DATOS!$I7152,nEVAL,"EX")=0),0))))</f>
      </c>
      <c r="H7152">
        <f>IF(DATOS!$G7152&lt;&gt;"EX",0,--(COUNTIFS(nNIA,DATOS!$A7152,nCURSO,DATOS!$D7152,nESPEC,DATOS!$E7152,nASIG,DATOS!$I7152,nEVAL,"OR")=0))</f>
      </c>
      <c r="I7152">
        <f>IF(DATOS!$I7152="","",IFERROR(VLOOKUP(DATOS!$I7152,CONFIG_ASIGNATURAS!$B$2:$J$91,9,FALSE()),""))</f>
      </c>
    </row>
    <row r="7153">
      <c r="F7153">
        <f>IF(DATOS!$A7153="","",DATOS!$A7153&amp;"|"&amp;DATOS!$D7153&amp;"|"&amp;DATOS!$E7153&amp;"|"&amp;DATOS!$I7153)</f>
      </c>
      <c r="G7153">
        <f>IF(DATOS!$A7153="",0,IF(CONFIG_METADATA!$B$4&lt;&gt;"OR+EX",--(DATOS!$G7153=CONFIG_METADATA!$B$4),IF(DATOS!$G7153="EX",1,IF(DATOS!$G7153="OR",--(COUNTIFS(nNIA,DATOS!$A7153,nCURSO,DATOS!$D7153,nESPEC,DATOS!$E7153,nASIG,DATOS!$I7153,nEVAL,"EX")=0),0))))</f>
      </c>
      <c r="H7153">
        <f>IF(DATOS!$G7153&lt;&gt;"EX",0,--(COUNTIFS(nNIA,DATOS!$A7153,nCURSO,DATOS!$D7153,nESPEC,DATOS!$E7153,nASIG,DATOS!$I7153,nEVAL,"OR")=0))</f>
      </c>
      <c r="I7153">
        <f>IF(DATOS!$I7153="","",IFERROR(VLOOKUP(DATOS!$I7153,CONFIG_ASIGNATURAS!$B$2:$J$91,9,FALSE()),""))</f>
      </c>
    </row>
    <row r="7154">
      <c r="F7154">
        <f>IF(DATOS!$A7154="","",DATOS!$A7154&amp;"|"&amp;DATOS!$D7154&amp;"|"&amp;DATOS!$E7154&amp;"|"&amp;DATOS!$I7154)</f>
      </c>
      <c r="G7154">
        <f>IF(DATOS!$A7154="",0,IF(CONFIG_METADATA!$B$4&lt;&gt;"OR+EX",--(DATOS!$G7154=CONFIG_METADATA!$B$4),IF(DATOS!$G7154="EX",1,IF(DATOS!$G7154="OR",--(COUNTIFS(nNIA,DATOS!$A7154,nCURSO,DATOS!$D7154,nESPEC,DATOS!$E7154,nASIG,DATOS!$I7154,nEVAL,"EX")=0),0))))</f>
      </c>
      <c r="H7154">
        <f>IF(DATOS!$G7154&lt;&gt;"EX",0,--(COUNTIFS(nNIA,DATOS!$A7154,nCURSO,DATOS!$D7154,nESPEC,DATOS!$E7154,nASIG,DATOS!$I7154,nEVAL,"OR")=0))</f>
      </c>
      <c r="I7154">
        <f>IF(DATOS!$I7154="","",IFERROR(VLOOKUP(DATOS!$I7154,CONFIG_ASIGNATURAS!$B$2:$J$91,9,FALSE()),""))</f>
      </c>
    </row>
    <row r="7155">
      <c r="F7155">
        <f>IF(DATOS!$A7155="","",DATOS!$A7155&amp;"|"&amp;DATOS!$D7155&amp;"|"&amp;DATOS!$E7155&amp;"|"&amp;DATOS!$I7155)</f>
      </c>
      <c r="G7155">
        <f>IF(DATOS!$A7155="",0,IF(CONFIG_METADATA!$B$4&lt;&gt;"OR+EX",--(DATOS!$G7155=CONFIG_METADATA!$B$4),IF(DATOS!$G7155="EX",1,IF(DATOS!$G7155="OR",--(COUNTIFS(nNIA,DATOS!$A7155,nCURSO,DATOS!$D7155,nESPEC,DATOS!$E7155,nASIG,DATOS!$I7155,nEVAL,"EX")=0),0))))</f>
      </c>
      <c r="H7155">
        <f>IF(DATOS!$G7155&lt;&gt;"EX",0,--(COUNTIFS(nNIA,DATOS!$A7155,nCURSO,DATOS!$D7155,nESPEC,DATOS!$E7155,nASIG,DATOS!$I7155,nEVAL,"OR")=0))</f>
      </c>
      <c r="I7155">
        <f>IF(DATOS!$I7155="","",IFERROR(VLOOKUP(DATOS!$I7155,CONFIG_ASIGNATURAS!$B$2:$J$91,9,FALSE()),""))</f>
      </c>
    </row>
    <row r="7156">
      <c r="F7156">
        <f>IF(DATOS!$A7156="","",DATOS!$A7156&amp;"|"&amp;DATOS!$D7156&amp;"|"&amp;DATOS!$E7156&amp;"|"&amp;DATOS!$I7156)</f>
      </c>
      <c r="G7156">
        <f>IF(DATOS!$A7156="",0,IF(CONFIG_METADATA!$B$4&lt;&gt;"OR+EX",--(DATOS!$G7156=CONFIG_METADATA!$B$4),IF(DATOS!$G7156="EX",1,IF(DATOS!$G7156="OR",--(COUNTIFS(nNIA,DATOS!$A7156,nCURSO,DATOS!$D7156,nESPEC,DATOS!$E7156,nASIG,DATOS!$I7156,nEVAL,"EX")=0),0))))</f>
      </c>
      <c r="H7156">
        <f>IF(DATOS!$G7156&lt;&gt;"EX",0,--(COUNTIFS(nNIA,DATOS!$A7156,nCURSO,DATOS!$D7156,nESPEC,DATOS!$E7156,nASIG,DATOS!$I7156,nEVAL,"OR")=0))</f>
      </c>
      <c r="I7156">
        <f>IF(DATOS!$I7156="","",IFERROR(VLOOKUP(DATOS!$I7156,CONFIG_ASIGNATURAS!$B$2:$J$91,9,FALSE()),""))</f>
      </c>
    </row>
    <row r="7157">
      <c r="F7157">
        <f>IF(DATOS!$A7157="","",DATOS!$A7157&amp;"|"&amp;DATOS!$D7157&amp;"|"&amp;DATOS!$E7157&amp;"|"&amp;DATOS!$I7157)</f>
      </c>
      <c r="G7157">
        <f>IF(DATOS!$A7157="",0,IF(CONFIG_METADATA!$B$4&lt;&gt;"OR+EX",--(DATOS!$G7157=CONFIG_METADATA!$B$4),IF(DATOS!$G7157="EX",1,IF(DATOS!$G7157="OR",--(COUNTIFS(nNIA,DATOS!$A7157,nCURSO,DATOS!$D7157,nESPEC,DATOS!$E7157,nASIG,DATOS!$I7157,nEVAL,"EX")=0),0))))</f>
      </c>
      <c r="H7157">
        <f>IF(DATOS!$G7157&lt;&gt;"EX",0,--(COUNTIFS(nNIA,DATOS!$A7157,nCURSO,DATOS!$D7157,nESPEC,DATOS!$E7157,nASIG,DATOS!$I7157,nEVAL,"OR")=0))</f>
      </c>
      <c r="I7157">
        <f>IF(DATOS!$I7157="","",IFERROR(VLOOKUP(DATOS!$I7157,CONFIG_ASIGNATURAS!$B$2:$J$91,9,FALSE()),""))</f>
      </c>
    </row>
    <row r="7158">
      <c r="F7158">
        <f>IF(DATOS!$A7158="","",DATOS!$A7158&amp;"|"&amp;DATOS!$D7158&amp;"|"&amp;DATOS!$E7158&amp;"|"&amp;DATOS!$I7158)</f>
      </c>
      <c r="G7158">
        <f>IF(DATOS!$A7158="",0,IF(CONFIG_METADATA!$B$4&lt;&gt;"OR+EX",--(DATOS!$G7158=CONFIG_METADATA!$B$4),IF(DATOS!$G7158="EX",1,IF(DATOS!$G7158="OR",--(COUNTIFS(nNIA,DATOS!$A7158,nCURSO,DATOS!$D7158,nESPEC,DATOS!$E7158,nASIG,DATOS!$I7158,nEVAL,"EX")=0),0))))</f>
      </c>
      <c r="H7158">
        <f>IF(DATOS!$G7158&lt;&gt;"EX",0,--(COUNTIFS(nNIA,DATOS!$A7158,nCURSO,DATOS!$D7158,nESPEC,DATOS!$E7158,nASIG,DATOS!$I7158,nEVAL,"OR")=0))</f>
      </c>
      <c r="I7158">
        <f>IF(DATOS!$I7158="","",IFERROR(VLOOKUP(DATOS!$I7158,CONFIG_ASIGNATURAS!$B$2:$J$91,9,FALSE()),""))</f>
      </c>
    </row>
    <row r="7159">
      <c r="F7159">
        <f>IF(DATOS!$A7159="","",DATOS!$A7159&amp;"|"&amp;DATOS!$D7159&amp;"|"&amp;DATOS!$E7159&amp;"|"&amp;DATOS!$I7159)</f>
      </c>
      <c r="G7159">
        <f>IF(DATOS!$A7159="",0,IF(CONFIG_METADATA!$B$4&lt;&gt;"OR+EX",--(DATOS!$G7159=CONFIG_METADATA!$B$4),IF(DATOS!$G7159="EX",1,IF(DATOS!$G7159="OR",--(COUNTIFS(nNIA,DATOS!$A7159,nCURSO,DATOS!$D7159,nESPEC,DATOS!$E7159,nASIG,DATOS!$I7159,nEVAL,"EX")=0),0))))</f>
      </c>
      <c r="H7159">
        <f>IF(DATOS!$G7159&lt;&gt;"EX",0,--(COUNTIFS(nNIA,DATOS!$A7159,nCURSO,DATOS!$D7159,nESPEC,DATOS!$E7159,nASIG,DATOS!$I7159,nEVAL,"OR")=0))</f>
      </c>
      <c r="I7159">
        <f>IF(DATOS!$I7159="","",IFERROR(VLOOKUP(DATOS!$I7159,CONFIG_ASIGNATURAS!$B$2:$J$91,9,FALSE()),""))</f>
      </c>
    </row>
    <row r="7160">
      <c r="F7160">
        <f>IF(DATOS!$A7160="","",DATOS!$A7160&amp;"|"&amp;DATOS!$D7160&amp;"|"&amp;DATOS!$E7160&amp;"|"&amp;DATOS!$I7160)</f>
      </c>
      <c r="G7160">
        <f>IF(DATOS!$A7160="",0,IF(CONFIG_METADATA!$B$4&lt;&gt;"OR+EX",--(DATOS!$G7160=CONFIG_METADATA!$B$4),IF(DATOS!$G7160="EX",1,IF(DATOS!$G7160="OR",--(COUNTIFS(nNIA,DATOS!$A7160,nCURSO,DATOS!$D7160,nESPEC,DATOS!$E7160,nASIG,DATOS!$I7160,nEVAL,"EX")=0),0))))</f>
      </c>
      <c r="H7160">
        <f>IF(DATOS!$G7160&lt;&gt;"EX",0,--(COUNTIFS(nNIA,DATOS!$A7160,nCURSO,DATOS!$D7160,nESPEC,DATOS!$E7160,nASIG,DATOS!$I7160,nEVAL,"OR")=0))</f>
      </c>
      <c r="I7160">
        <f>IF(DATOS!$I7160="","",IFERROR(VLOOKUP(DATOS!$I7160,CONFIG_ASIGNATURAS!$B$2:$J$91,9,FALSE()),""))</f>
      </c>
    </row>
    <row r="7161">
      <c r="F7161">
        <f>IF(DATOS!$A7161="","",DATOS!$A7161&amp;"|"&amp;DATOS!$D7161&amp;"|"&amp;DATOS!$E7161&amp;"|"&amp;DATOS!$I7161)</f>
      </c>
      <c r="G7161">
        <f>IF(DATOS!$A7161="",0,IF(CONFIG_METADATA!$B$4&lt;&gt;"OR+EX",--(DATOS!$G7161=CONFIG_METADATA!$B$4),IF(DATOS!$G7161="EX",1,IF(DATOS!$G7161="OR",--(COUNTIFS(nNIA,DATOS!$A7161,nCURSO,DATOS!$D7161,nESPEC,DATOS!$E7161,nASIG,DATOS!$I7161,nEVAL,"EX")=0),0))))</f>
      </c>
      <c r="H7161">
        <f>IF(DATOS!$G7161&lt;&gt;"EX",0,--(COUNTIFS(nNIA,DATOS!$A7161,nCURSO,DATOS!$D7161,nESPEC,DATOS!$E7161,nASIG,DATOS!$I7161,nEVAL,"OR")=0))</f>
      </c>
      <c r="I7161">
        <f>IF(DATOS!$I7161="","",IFERROR(VLOOKUP(DATOS!$I7161,CONFIG_ASIGNATURAS!$B$2:$J$91,9,FALSE()),""))</f>
      </c>
    </row>
    <row r="7162">
      <c r="F7162">
        <f>IF(DATOS!$A7162="","",DATOS!$A7162&amp;"|"&amp;DATOS!$D7162&amp;"|"&amp;DATOS!$E7162&amp;"|"&amp;DATOS!$I7162)</f>
      </c>
      <c r="G7162">
        <f>IF(DATOS!$A7162="",0,IF(CONFIG_METADATA!$B$4&lt;&gt;"OR+EX",--(DATOS!$G7162=CONFIG_METADATA!$B$4),IF(DATOS!$G7162="EX",1,IF(DATOS!$G7162="OR",--(COUNTIFS(nNIA,DATOS!$A7162,nCURSO,DATOS!$D7162,nESPEC,DATOS!$E7162,nASIG,DATOS!$I7162,nEVAL,"EX")=0),0))))</f>
      </c>
      <c r="H7162">
        <f>IF(DATOS!$G7162&lt;&gt;"EX",0,--(COUNTIFS(nNIA,DATOS!$A7162,nCURSO,DATOS!$D7162,nESPEC,DATOS!$E7162,nASIG,DATOS!$I7162,nEVAL,"OR")=0))</f>
      </c>
      <c r="I7162">
        <f>IF(DATOS!$I7162="","",IFERROR(VLOOKUP(DATOS!$I7162,CONFIG_ASIGNATURAS!$B$2:$J$91,9,FALSE()),""))</f>
      </c>
    </row>
    <row r="7163">
      <c r="F7163">
        <f>IF(DATOS!$A7163="","",DATOS!$A7163&amp;"|"&amp;DATOS!$D7163&amp;"|"&amp;DATOS!$E7163&amp;"|"&amp;DATOS!$I7163)</f>
      </c>
      <c r="G7163">
        <f>IF(DATOS!$A7163="",0,IF(CONFIG_METADATA!$B$4&lt;&gt;"OR+EX",--(DATOS!$G7163=CONFIG_METADATA!$B$4),IF(DATOS!$G7163="EX",1,IF(DATOS!$G7163="OR",--(COUNTIFS(nNIA,DATOS!$A7163,nCURSO,DATOS!$D7163,nESPEC,DATOS!$E7163,nASIG,DATOS!$I7163,nEVAL,"EX")=0),0))))</f>
      </c>
      <c r="H7163">
        <f>IF(DATOS!$G7163&lt;&gt;"EX",0,--(COUNTIFS(nNIA,DATOS!$A7163,nCURSO,DATOS!$D7163,nESPEC,DATOS!$E7163,nASIG,DATOS!$I7163,nEVAL,"OR")=0))</f>
      </c>
      <c r="I7163">
        <f>IF(DATOS!$I7163="","",IFERROR(VLOOKUP(DATOS!$I7163,CONFIG_ASIGNATURAS!$B$2:$J$91,9,FALSE()),""))</f>
      </c>
    </row>
    <row r="7164">
      <c r="F7164">
        <f>IF(DATOS!$A7164="","",DATOS!$A7164&amp;"|"&amp;DATOS!$D7164&amp;"|"&amp;DATOS!$E7164&amp;"|"&amp;DATOS!$I7164)</f>
      </c>
      <c r="G7164">
        <f>IF(DATOS!$A7164="",0,IF(CONFIG_METADATA!$B$4&lt;&gt;"OR+EX",--(DATOS!$G7164=CONFIG_METADATA!$B$4),IF(DATOS!$G7164="EX",1,IF(DATOS!$G7164="OR",--(COUNTIFS(nNIA,DATOS!$A7164,nCURSO,DATOS!$D7164,nESPEC,DATOS!$E7164,nASIG,DATOS!$I7164,nEVAL,"EX")=0),0))))</f>
      </c>
      <c r="H7164">
        <f>IF(DATOS!$G7164&lt;&gt;"EX",0,--(COUNTIFS(nNIA,DATOS!$A7164,nCURSO,DATOS!$D7164,nESPEC,DATOS!$E7164,nASIG,DATOS!$I7164,nEVAL,"OR")=0))</f>
      </c>
      <c r="I7164">
        <f>IF(DATOS!$I7164="","",IFERROR(VLOOKUP(DATOS!$I7164,CONFIG_ASIGNATURAS!$B$2:$J$91,9,FALSE()),""))</f>
      </c>
    </row>
    <row r="7165">
      <c r="F7165">
        <f>IF(DATOS!$A7165="","",DATOS!$A7165&amp;"|"&amp;DATOS!$D7165&amp;"|"&amp;DATOS!$E7165&amp;"|"&amp;DATOS!$I7165)</f>
      </c>
      <c r="G7165">
        <f>IF(DATOS!$A7165="",0,IF(CONFIG_METADATA!$B$4&lt;&gt;"OR+EX",--(DATOS!$G7165=CONFIG_METADATA!$B$4),IF(DATOS!$G7165="EX",1,IF(DATOS!$G7165="OR",--(COUNTIFS(nNIA,DATOS!$A7165,nCURSO,DATOS!$D7165,nESPEC,DATOS!$E7165,nASIG,DATOS!$I7165,nEVAL,"EX")=0),0))))</f>
      </c>
      <c r="H7165">
        <f>IF(DATOS!$G7165&lt;&gt;"EX",0,--(COUNTIFS(nNIA,DATOS!$A7165,nCURSO,DATOS!$D7165,nESPEC,DATOS!$E7165,nASIG,DATOS!$I7165,nEVAL,"OR")=0))</f>
      </c>
      <c r="I7165">
        <f>IF(DATOS!$I7165="","",IFERROR(VLOOKUP(DATOS!$I7165,CONFIG_ASIGNATURAS!$B$2:$J$91,9,FALSE()),""))</f>
      </c>
    </row>
    <row r="7166">
      <c r="F7166">
        <f>IF(DATOS!$A7166="","",DATOS!$A7166&amp;"|"&amp;DATOS!$D7166&amp;"|"&amp;DATOS!$E7166&amp;"|"&amp;DATOS!$I7166)</f>
      </c>
      <c r="G7166">
        <f>IF(DATOS!$A7166="",0,IF(CONFIG_METADATA!$B$4&lt;&gt;"OR+EX",--(DATOS!$G7166=CONFIG_METADATA!$B$4),IF(DATOS!$G7166="EX",1,IF(DATOS!$G7166="OR",--(COUNTIFS(nNIA,DATOS!$A7166,nCURSO,DATOS!$D7166,nESPEC,DATOS!$E7166,nASIG,DATOS!$I7166,nEVAL,"EX")=0),0))))</f>
      </c>
      <c r="H7166">
        <f>IF(DATOS!$G7166&lt;&gt;"EX",0,--(COUNTIFS(nNIA,DATOS!$A7166,nCURSO,DATOS!$D7166,nESPEC,DATOS!$E7166,nASIG,DATOS!$I7166,nEVAL,"OR")=0))</f>
      </c>
      <c r="I7166">
        <f>IF(DATOS!$I7166="","",IFERROR(VLOOKUP(DATOS!$I7166,CONFIG_ASIGNATURAS!$B$2:$J$91,9,FALSE()),""))</f>
      </c>
    </row>
    <row r="7167">
      <c r="F7167">
        <f>IF(DATOS!$A7167="","",DATOS!$A7167&amp;"|"&amp;DATOS!$D7167&amp;"|"&amp;DATOS!$E7167&amp;"|"&amp;DATOS!$I7167)</f>
      </c>
      <c r="G7167">
        <f>IF(DATOS!$A7167="",0,IF(CONFIG_METADATA!$B$4&lt;&gt;"OR+EX",--(DATOS!$G7167=CONFIG_METADATA!$B$4),IF(DATOS!$G7167="EX",1,IF(DATOS!$G7167="OR",--(COUNTIFS(nNIA,DATOS!$A7167,nCURSO,DATOS!$D7167,nESPEC,DATOS!$E7167,nASIG,DATOS!$I7167,nEVAL,"EX")=0),0))))</f>
      </c>
      <c r="H7167">
        <f>IF(DATOS!$G7167&lt;&gt;"EX",0,--(COUNTIFS(nNIA,DATOS!$A7167,nCURSO,DATOS!$D7167,nESPEC,DATOS!$E7167,nASIG,DATOS!$I7167,nEVAL,"OR")=0))</f>
      </c>
      <c r="I7167">
        <f>IF(DATOS!$I7167="","",IFERROR(VLOOKUP(DATOS!$I7167,CONFIG_ASIGNATURAS!$B$2:$J$91,9,FALSE()),""))</f>
      </c>
    </row>
    <row r="7168">
      <c r="F7168">
        <f>IF(DATOS!$A7168="","",DATOS!$A7168&amp;"|"&amp;DATOS!$D7168&amp;"|"&amp;DATOS!$E7168&amp;"|"&amp;DATOS!$I7168)</f>
      </c>
      <c r="G7168">
        <f>IF(DATOS!$A7168="",0,IF(CONFIG_METADATA!$B$4&lt;&gt;"OR+EX",--(DATOS!$G7168=CONFIG_METADATA!$B$4),IF(DATOS!$G7168="EX",1,IF(DATOS!$G7168="OR",--(COUNTIFS(nNIA,DATOS!$A7168,nCURSO,DATOS!$D7168,nESPEC,DATOS!$E7168,nASIG,DATOS!$I7168,nEVAL,"EX")=0),0))))</f>
      </c>
      <c r="H7168">
        <f>IF(DATOS!$G7168&lt;&gt;"EX",0,--(COUNTIFS(nNIA,DATOS!$A7168,nCURSO,DATOS!$D7168,nESPEC,DATOS!$E7168,nASIG,DATOS!$I7168,nEVAL,"OR")=0))</f>
      </c>
      <c r="I7168">
        <f>IF(DATOS!$I7168="","",IFERROR(VLOOKUP(DATOS!$I7168,CONFIG_ASIGNATURAS!$B$2:$J$91,9,FALSE()),""))</f>
      </c>
    </row>
    <row r="7169">
      <c r="F7169">
        <f>IF(DATOS!$A7169="","",DATOS!$A7169&amp;"|"&amp;DATOS!$D7169&amp;"|"&amp;DATOS!$E7169&amp;"|"&amp;DATOS!$I7169)</f>
      </c>
      <c r="G7169">
        <f>IF(DATOS!$A7169="",0,IF(CONFIG_METADATA!$B$4&lt;&gt;"OR+EX",--(DATOS!$G7169=CONFIG_METADATA!$B$4),IF(DATOS!$G7169="EX",1,IF(DATOS!$G7169="OR",--(COUNTIFS(nNIA,DATOS!$A7169,nCURSO,DATOS!$D7169,nESPEC,DATOS!$E7169,nASIG,DATOS!$I7169,nEVAL,"EX")=0),0))))</f>
      </c>
      <c r="H7169">
        <f>IF(DATOS!$G7169&lt;&gt;"EX",0,--(COUNTIFS(nNIA,DATOS!$A7169,nCURSO,DATOS!$D7169,nESPEC,DATOS!$E7169,nASIG,DATOS!$I7169,nEVAL,"OR")=0))</f>
      </c>
      <c r="I7169">
        <f>IF(DATOS!$I7169="","",IFERROR(VLOOKUP(DATOS!$I7169,CONFIG_ASIGNATURAS!$B$2:$J$91,9,FALSE()),""))</f>
      </c>
    </row>
    <row r="7170">
      <c r="F7170">
        <f>IF(DATOS!$A7170="","",DATOS!$A7170&amp;"|"&amp;DATOS!$D7170&amp;"|"&amp;DATOS!$E7170&amp;"|"&amp;DATOS!$I7170)</f>
      </c>
      <c r="G7170">
        <f>IF(DATOS!$A7170="",0,IF(CONFIG_METADATA!$B$4&lt;&gt;"OR+EX",--(DATOS!$G7170=CONFIG_METADATA!$B$4),IF(DATOS!$G7170="EX",1,IF(DATOS!$G7170="OR",--(COUNTIFS(nNIA,DATOS!$A7170,nCURSO,DATOS!$D7170,nESPEC,DATOS!$E7170,nASIG,DATOS!$I7170,nEVAL,"EX")=0),0))))</f>
      </c>
      <c r="H7170">
        <f>IF(DATOS!$G7170&lt;&gt;"EX",0,--(COUNTIFS(nNIA,DATOS!$A7170,nCURSO,DATOS!$D7170,nESPEC,DATOS!$E7170,nASIG,DATOS!$I7170,nEVAL,"OR")=0))</f>
      </c>
      <c r="I7170">
        <f>IF(DATOS!$I7170="","",IFERROR(VLOOKUP(DATOS!$I7170,CONFIG_ASIGNATURAS!$B$2:$J$91,9,FALSE()),""))</f>
      </c>
    </row>
    <row r="7171">
      <c r="F7171">
        <f>IF(DATOS!$A7171="","",DATOS!$A7171&amp;"|"&amp;DATOS!$D7171&amp;"|"&amp;DATOS!$E7171&amp;"|"&amp;DATOS!$I7171)</f>
      </c>
      <c r="G7171">
        <f>IF(DATOS!$A7171="",0,IF(CONFIG_METADATA!$B$4&lt;&gt;"OR+EX",--(DATOS!$G7171=CONFIG_METADATA!$B$4),IF(DATOS!$G7171="EX",1,IF(DATOS!$G7171="OR",--(COUNTIFS(nNIA,DATOS!$A7171,nCURSO,DATOS!$D7171,nESPEC,DATOS!$E7171,nASIG,DATOS!$I7171,nEVAL,"EX")=0),0))))</f>
      </c>
      <c r="H7171">
        <f>IF(DATOS!$G7171&lt;&gt;"EX",0,--(COUNTIFS(nNIA,DATOS!$A7171,nCURSO,DATOS!$D7171,nESPEC,DATOS!$E7171,nASIG,DATOS!$I7171,nEVAL,"OR")=0))</f>
      </c>
      <c r="I7171">
        <f>IF(DATOS!$I7171="","",IFERROR(VLOOKUP(DATOS!$I7171,CONFIG_ASIGNATURAS!$B$2:$J$91,9,FALSE()),""))</f>
      </c>
    </row>
    <row r="7172">
      <c r="F7172">
        <f>IF(DATOS!$A7172="","",DATOS!$A7172&amp;"|"&amp;DATOS!$D7172&amp;"|"&amp;DATOS!$E7172&amp;"|"&amp;DATOS!$I7172)</f>
      </c>
      <c r="G7172">
        <f>IF(DATOS!$A7172="",0,IF(CONFIG_METADATA!$B$4&lt;&gt;"OR+EX",--(DATOS!$G7172=CONFIG_METADATA!$B$4),IF(DATOS!$G7172="EX",1,IF(DATOS!$G7172="OR",--(COUNTIFS(nNIA,DATOS!$A7172,nCURSO,DATOS!$D7172,nESPEC,DATOS!$E7172,nASIG,DATOS!$I7172,nEVAL,"EX")=0),0))))</f>
      </c>
      <c r="H7172">
        <f>IF(DATOS!$G7172&lt;&gt;"EX",0,--(COUNTIFS(nNIA,DATOS!$A7172,nCURSO,DATOS!$D7172,nESPEC,DATOS!$E7172,nASIG,DATOS!$I7172,nEVAL,"OR")=0))</f>
      </c>
      <c r="I7172">
        <f>IF(DATOS!$I7172="","",IFERROR(VLOOKUP(DATOS!$I7172,CONFIG_ASIGNATURAS!$B$2:$J$91,9,FALSE()),""))</f>
      </c>
    </row>
    <row r="7173">
      <c r="F7173">
        <f>IF(DATOS!$A7173="","",DATOS!$A7173&amp;"|"&amp;DATOS!$D7173&amp;"|"&amp;DATOS!$E7173&amp;"|"&amp;DATOS!$I7173)</f>
      </c>
      <c r="G7173">
        <f>IF(DATOS!$A7173="",0,IF(CONFIG_METADATA!$B$4&lt;&gt;"OR+EX",--(DATOS!$G7173=CONFIG_METADATA!$B$4),IF(DATOS!$G7173="EX",1,IF(DATOS!$G7173="OR",--(COUNTIFS(nNIA,DATOS!$A7173,nCURSO,DATOS!$D7173,nESPEC,DATOS!$E7173,nASIG,DATOS!$I7173,nEVAL,"EX")=0),0))))</f>
      </c>
      <c r="H7173">
        <f>IF(DATOS!$G7173&lt;&gt;"EX",0,--(COUNTIFS(nNIA,DATOS!$A7173,nCURSO,DATOS!$D7173,nESPEC,DATOS!$E7173,nASIG,DATOS!$I7173,nEVAL,"OR")=0))</f>
      </c>
      <c r="I7173">
        <f>IF(DATOS!$I7173="","",IFERROR(VLOOKUP(DATOS!$I7173,CONFIG_ASIGNATURAS!$B$2:$J$91,9,FALSE()),""))</f>
      </c>
    </row>
    <row r="7174">
      <c r="F7174">
        <f>IF(DATOS!$A7174="","",DATOS!$A7174&amp;"|"&amp;DATOS!$D7174&amp;"|"&amp;DATOS!$E7174&amp;"|"&amp;DATOS!$I7174)</f>
      </c>
      <c r="G7174">
        <f>IF(DATOS!$A7174="",0,IF(CONFIG_METADATA!$B$4&lt;&gt;"OR+EX",--(DATOS!$G7174=CONFIG_METADATA!$B$4),IF(DATOS!$G7174="EX",1,IF(DATOS!$G7174="OR",--(COUNTIFS(nNIA,DATOS!$A7174,nCURSO,DATOS!$D7174,nESPEC,DATOS!$E7174,nASIG,DATOS!$I7174,nEVAL,"EX")=0),0))))</f>
      </c>
      <c r="H7174">
        <f>IF(DATOS!$G7174&lt;&gt;"EX",0,--(COUNTIFS(nNIA,DATOS!$A7174,nCURSO,DATOS!$D7174,nESPEC,DATOS!$E7174,nASIG,DATOS!$I7174,nEVAL,"OR")=0))</f>
      </c>
      <c r="I7174">
        <f>IF(DATOS!$I7174="","",IFERROR(VLOOKUP(DATOS!$I7174,CONFIG_ASIGNATURAS!$B$2:$J$91,9,FALSE()),""))</f>
      </c>
    </row>
    <row r="7175">
      <c r="F7175">
        <f>IF(DATOS!$A7175="","",DATOS!$A7175&amp;"|"&amp;DATOS!$D7175&amp;"|"&amp;DATOS!$E7175&amp;"|"&amp;DATOS!$I7175)</f>
      </c>
      <c r="G7175">
        <f>IF(DATOS!$A7175="",0,IF(CONFIG_METADATA!$B$4&lt;&gt;"OR+EX",--(DATOS!$G7175=CONFIG_METADATA!$B$4),IF(DATOS!$G7175="EX",1,IF(DATOS!$G7175="OR",--(COUNTIFS(nNIA,DATOS!$A7175,nCURSO,DATOS!$D7175,nESPEC,DATOS!$E7175,nASIG,DATOS!$I7175,nEVAL,"EX")=0),0))))</f>
      </c>
      <c r="H7175">
        <f>IF(DATOS!$G7175&lt;&gt;"EX",0,--(COUNTIFS(nNIA,DATOS!$A7175,nCURSO,DATOS!$D7175,nESPEC,DATOS!$E7175,nASIG,DATOS!$I7175,nEVAL,"OR")=0))</f>
      </c>
      <c r="I7175">
        <f>IF(DATOS!$I7175="","",IFERROR(VLOOKUP(DATOS!$I7175,CONFIG_ASIGNATURAS!$B$2:$J$91,9,FALSE()),""))</f>
      </c>
    </row>
    <row r="7176">
      <c r="F7176">
        <f>IF(DATOS!$A7176="","",DATOS!$A7176&amp;"|"&amp;DATOS!$D7176&amp;"|"&amp;DATOS!$E7176&amp;"|"&amp;DATOS!$I7176)</f>
      </c>
      <c r="G7176">
        <f>IF(DATOS!$A7176="",0,IF(CONFIG_METADATA!$B$4&lt;&gt;"OR+EX",--(DATOS!$G7176=CONFIG_METADATA!$B$4),IF(DATOS!$G7176="EX",1,IF(DATOS!$G7176="OR",--(COUNTIFS(nNIA,DATOS!$A7176,nCURSO,DATOS!$D7176,nESPEC,DATOS!$E7176,nASIG,DATOS!$I7176,nEVAL,"EX")=0),0))))</f>
      </c>
      <c r="H7176">
        <f>IF(DATOS!$G7176&lt;&gt;"EX",0,--(COUNTIFS(nNIA,DATOS!$A7176,nCURSO,DATOS!$D7176,nESPEC,DATOS!$E7176,nASIG,DATOS!$I7176,nEVAL,"OR")=0))</f>
      </c>
      <c r="I7176">
        <f>IF(DATOS!$I7176="","",IFERROR(VLOOKUP(DATOS!$I7176,CONFIG_ASIGNATURAS!$B$2:$J$91,9,FALSE()),""))</f>
      </c>
    </row>
    <row r="7177">
      <c r="F7177">
        <f>IF(DATOS!$A7177="","",DATOS!$A7177&amp;"|"&amp;DATOS!$D7177&amp;"|"&amp;DATOS!$E7177&amp;"|"&amp;DATOS!$I7177)</f>
      </c>
      <c r="G7177">
        <f>IF(DATOS!$A7177="",0,IF(CONFIG_METADATA!$B$4&lt;&gt;"OR+EX",--(DATOS!$G7177=CONFIG_METADATA!$B$4),IF(DATOS!$G7177="EX",1,IF(DATOS!$G7177="OR",--(COUNTIFS(nNIA,DATOS!$A7177,nCURSO,DATOS!$D7177,nESPEC,DATOS!$E7177,nASIG,DATOS!$I7177,nEVAL,"EX")=0),0))))</f>
      </c>
      <c r="H7177">
        <f>IF(DATOS!$G7177&lt;&gt;"EX",0,--(COUNTIFS(nNIA,DATOS!$A7177,nCURSO,DATOS!$D7177,nESPEC,DATOS!$E7177,nASIG,DATOS!$I7177,nEVAL,"OR")=0))</f>
      </c>
      <c r="I7177">
        <f>IF(DATOS!$I7177="","",IFERROR(VLOOKUP(DATOS!$I7177,CONFIG_ASIGNATURAS!$B$2:$J$91,9,FALSE()),""))</f>
      </c>
    </row>
    <row r="7178">
      <c r="F7178">
        <f>IF(DATOS!$A7178="","",DATOS!$A7178&amp;"|"&amp;DATOS!$D7178&amp;"|"&amp;DATOS!$E7178&amp;"|"&amp;DATOS!$I7178)</f>
      </c>
      <c r="G7178">
        <f>IF(DATOS!$A7178="",0,IF(CONFIG_METADATA!$B$4&lt;&gt;"OR+EX",--(DATOS!$G7178=CONFIG_METADATA!$B$4),IF(DATOS!$G7178="EX",1,IF(DATOS!$G7178="OR",--(COUNTIFS(nNIA,DATOS!$A7178,nCURSO,DATOS!$D7178,nESPEC,DATOS!$E7178,nASIG,DATOS!$I7178,nEVAL,"EX")=0),0))))</f>
      </c>
      <c r="H7178">
        <f>IF(DATOS!$G7178&lt;&gt;"EX",0,--(COUNTIFS(nNIA,DATOS!$A7178,nCURSO,DATOS!$D7178,nESPEC,DATOS!$E7178,nASIG,DATOS!$I7178,nEVAL,"OR")=0))</f>
      </c>
      <c r="I7178">
        <f>IF(DATOS!$I7178="","",IFERROR(VLOOKUP(DATOS!$I7178,CONFIG_ASIGNATURAS!$B$2:$J$91,9,FALSE()),""))</f>
      </c>
    </row>
    <row r="7179">
      <c r="F7179">
        <f>IF(DATOS!$A7179="","",DATOS!$A7179&amp;"|"&amp;DATOS!$D7179&amp;"|"&amp;DATOS!$E7179&amp;"|"&amp;DATOS!$I7179)</f>
      </c>
      <c r="G7179">
        <f>IF(DATOS!$A7179="",0,IF(CONFIG_METADATA!$B$4&lt;&gt;"OR+EX",--(DATOS!$G7179=CONFIG_METADATA!$B$4),IF(DATOS!$G7179="EX",1,IF(DATOS!$G7179="OR",--(COUNTIFS(nNIA,DATOS!$A7179,nCURSO,DATOS!$D7179,nESPEC,DATOS!$E7179,nASIG,DATOS!$I7179,nEVAL,"EX")=0),0))))</f>
      </c>
      <c r="H7179">
        <f>IF(DATOS!$G7179&lt;&gt;"EX",0,--(COUNTIFS(nNIA,DATOS!$A7179,nCURSO,DATOS!$D7179,nESPEC,DATOS!$E7179,nASIG,DATOS!$I7179,nEVAL,"OR")=0))</f>
      </c>
      <c r="I7179">
        <f>IF(DATOS!$I7179="","",IFERROR(VLOOKUP(DATOS!$I7179,CONFIG_ASIGNATURAS!$B$2:$J$91,9,FALSE()),""))</f>
      </c>
    </row>
    <row r="7180">
      <c r="F7180">
        <f>IF(DATOS!$A7180="","",DATOS!$A7180&amp;"|"&amp;DATOS!$D7180&amp;"|"&amp;DATOS!$E7180&amp;"|"&amp;DATOS!$I7180)</f>
      </c>
      <c r="G7180">
        <f>IF(DATOS!$A7180="",0,IF(CONFIG_METADATA!$B$4&lt;&gt;"OR+EX",--(DATOS!$G7180=CONFIG_METADATA!$B$4),IF(DATOS!$G7180="EX",1,IF(DATOS!$G7180="OR",--(COUNTIFS(nNIA,DATOS!$A7180,nCURSO,DATOS!$D7180,nESPEC,DATOS!$E7180,nASIG,DATOS!$I7180,nEVAL,"EX")=0),0))))</f>
      </c>
      <c r="H7180">
        <f>IF(DATOS!$G7180&lt;&gt;"EX",0,--(COUNTIFS(nNIA,DATOS!$A7180,nCURSO,DATOS!$D7180,nESPEC,DATOS!$E7180,nASIG,DATOS!$I7180,nEVAL,"OR")=0))</f>
      </c>
      <c r="I7180">
        <f>IF(DATOS!$I7180="","",IFERROR(VLOOKUP(DATOS!$I7180,CONFIG_ASIGNATURAS!$B$2:$J$91,9,FALSE()),""))</f>
      </c>
    </row>
    <row r="7181">
      <c r="F7181">
        <f>IF(DATOS!$A7181="","",DATOS!$A7181&amp;"|"&amp;DATOS!$D7181&amp;"|"&amp;DATOS!$E7181&amp;"|"&amp;DATOS!$I7181)</f>
      </c>
      <c r="G7181">
        <f>IF(DATOS!$A7181="",0,IF(CONFIG_METADATA!$B$4&lt;&gt;"OR+EX",--(DATOS!$G7181=CONFIG_METADATA!$B$4),IF(DATOS!$G7181="EX",1,IF(DATOS!$G7181="OR",--(COUNTIFS(nNIA,DATOS!$A7181,nCURSO,DATOS!$D7181,nESPEC,DATOS!$E7181,nASIG,DATOS!$I7181,nEVAL,"EX")=0),0))))</f>
      </c>
      <c r="H7181">
        <f>IF(DATOS!$G7181&lt;&gt;"EX",0,--(COUNTIFS(nNIA,DATOS!$A7181,nCURSO,DATOS!$D7181,nESPEC,DATOS!$E7181,nASIG,DATOS!$I7181,nEVAL,"OR")=0))</f>
      </c>
      <c r="I7181">
        <f>IF(DATOS!$I7181="","",IFERROR(VLOOKUP(DATOS!$I7181,CONFIG_ASIGNATURAS!$B$2:$J$91,9,FALSE()),""))</f>
      </c>
    </row>
    <row r="7182">
      <c r="F7182">
        <f>IF(DATOS!$A7182="","",DATOS!$A7182&amp;"|"&amp;DATOS!$D7182&amp;"|"&amp;DATOS!$E7182&amp;"|"&amp;DATOS!$I7182)</f>
      </c>
      <c r="G7182">
        <f>IF(DATOS!$A7182="",0,IF(CONFIG_METADATA!$B$4&lt;&gt;"OR+EX",--(DATOS!$G7182=CONFIG_METADATA!$B$4),IF(DATOS!$G7182="EX",1,IF(DATOS!$G7182="OR",--(COUNTIFS(nNIA,DATOS!$A7182,nCURSO,DATOS!$D7182,nESPEC,DATOS!$E7182,nASIG,DATOS!$I7182,nEVAL,"EX")=0),0))))</f>
      </c>
      <c r="H7182">
        <f>IF(DATOS!$G7182&lt;&gt;"EX",0,--(COUNTIFS(nNIA,DATOS!$A7182,nCURSO,DATOS!$D7182,nESPEC,DATOS!$E7182,nASIG,DATOS!$I7182,nEVAL,"OR")=0))</f>
      </c>
      <c r="I7182">
        <f>IF(DATOS!$I7182="","",IFERROR(VLOOKUP(DATOS!$I7182,CONFIG_ASIGNATURAS!$B$2:$J$91,9,FALSE()),""))</f>
      </c>
    </row>
    <row r="7183">
      <c r="F7183">
        <f>IF(DATOS!$A7183="","",DATOS!$A7183&amp;"|"&amp;DATOS!$D7183&amp;"|"&amp;DATOS!$E7183&amp;"|"&amp;DATOS!$I7183)</f>
      </c>
      <c r="G7183">
        <f>IF(DATOS!$A7183="",0,IF(CONFIG_METADATA!$B$4&lt;&gt;"OR+EX",--(DATOS!$G7183=CONFIG_METADATA!$B$4),IF(DATOS!$G7183="EX",1,IF(DATOS!$G7183="OR",--(COUNTIFS(nNIA,DATOS!$A7183,nCURSO,DATOS!$D7183,nESPEC,DATOS!$E7183,nASIG,DATOS!$I7183,nEVAL,"EX")=0),0))))</f>
      </c>
      <c r="H7183">
        <f>IF(DATOS!$G7183&lt;&gt;"EX",0,--(COUNTIFS(nNIA,DATOS!$A7183,nCURSO,DATOS!$D7183,nESPEC,DATOS!$E7183,nASIG,DATOS!$I7183,nEVAL,"OR")=0))</f>
      </c>
      <c r="I7183">
        <f>IF(DATOS!$I7183="","",IFERROR(VLOOKUP(DATOS!$I7183,CONFIG_ASIGNATURAS!$B$2:$J$91,9,FALSE()),""))</f>
      </c>
    </row>
    <row r="7184">
      <c r="F7184">
        <f>IF(DATOS!$A7184="","",DATOS!$A7184&amp;"|"&amp;DATOS!$D7184&amp;"|"&amp;DATOS!$E7184&amp;"|"&amp;DATOS!$I7184)</f>
      </c>
      <c r="G7184">
        <f>IF(DATOS!$A7184="",0,IF(CONFIG_METADATA!$B$4&lt;&gt;"OR+EX",--(DATOS!$G7184=CONFIG_METADATA!$B$4),IF(DATOS!$G7184="EX",1,IF(DATOS!$G7184="OR",--(COUNTIFS(nNIA,DATOS!$A7184,nCURSO,DATOS!$D7184,nESPEC,DATOS!$E7184,nASIG,DATOS!$I7184,nEVAL,"EX")=0),0))))</f>
      </c>
      <c r="H7184">
        <f>IF(DATOS!$G7184&lt;&gt;"EX",0,--(COUNTIFS(nNIA,DATOS!$A7184,nCURSO,DATOS!$D7184,nESPEC,DATOS!$E7184,nASIG,DATOS!$I7184,nEVAL,"OR")=0))</f>
      </c>
      <c r="I7184">
        <f>IF(DATOS!$I7184="","",IFERROR(VLOOKUP(DATOS!$I7184,CONFIG_ASIGNATURAS!$B$2:$J$91,9,FALSE()),""))</f>
      </c>
    </row>
    <row r="7185">
      <c r="F7185">
        <f>IF(DATOS!$A7185="","",DATOS!$A7185&amp;"|"&amp;DATOS!$D7185&amp;"|"&amp;DATOS!$E7185&amp;"|"&amp;DATOS!$I7185)</f>
      </c>
      <c r="G7185">
        <f>IF(DATOS!$A7185="",0,IF(CONFIG_METADATA!$B$4&lt;&gt;"OR+EX",--(DATOS!$G7185=CONFIG_METADATA!$B$4),IF(DATOS!$G7185="EX",1,IF(DATOS!$G7185="OR",--(COUNTIFS(nNIA,DATOS!$A7185,nCURSO,DATOS!$D7185,nESPEC,DATOS!$E7185,nASIG,DATOS!$I7185,nEVAL,"EX")=0),0))))</f>
      </c>
      <c r="H7185">
        <f>IF(DATOS!$G7185&lt;&gt;"EX",0,--(COUNTIFS(nNIA,DATOS!$A7185,nCURSO,DATOS!$D7185,nESPEC,DATOS!$E7185,nASIG,DATOS!$I7185,nEVAL,"OR")=0))</f>
      </c>
      <c r="I7185">
        <f>IF(DATOS!$I7185="","",IFERROR(VLOOKUP(DATOS!$I7185,CONFIG_ASIGNATURAS!$B$2:$J$91,9,FALSE()),""))</f>
      </c>
    </row>
    <row r="7186">
      <c r="F7186">
        <f>IF(DATOS!$A7186="","",DATOS!$A7186&amp;"|"&amp;DATOS!$D7186&amp;"|"&amp;DATOS!$E7186&amp;"|"&amp;DATOS!$I7186)</f>
      </c>
      <c r="G7186">
        <f>IF(DATOS!$A7186="",0,IF(CONFIG_METADATA!$B$4&lt;&gt;"OR+EX",--(DATOS!$G7186=CONFIG_METADATA!$B$4),IF(DATOS!$G7186="EX",1,IF(DATOS!$G7186="OR",--(COUNTIFS(nNIA,DATOS!$A7186,nCURSO,DATOS!$D7186,nESPEC,DATOS!$E7186,nASIG,DATOS!$I7186,nEVAL,"EX")=0),0))))</f>
      </c>
      <c r="H7186">
        <f>IF(DATOS!$G7186&lt;&gt;"EX",0,--(COUNTIFS(nNIA,DATOS!$A7186,nCURSO,DATOS!$D7186,nESPEC,DATOS!$E7186,nASIG,DATOS!$I7186,nEVAL,"OR")=0))</f>
      </c>
      <c r="I7186">
        <f>IF(DATOS!$I7186="","",IFERROR(VLOOKUP(DATOS!$I7186,CONFIG_ASIGNATURAS!$B$2:$J$91,9,FALSE()),""))</f>
      </c>
    </row>
    <row r="7187">
      <c r="F7187">
        <f>IF(DATOS!$A7187="","",DATOS!$A7187&amp;"|"&amp;DATOS!$D7187&amp;"|"&amp;DATOS!$E7187&amp;"|"&amp;DATOS!$I7187)</f>
      </c>
      <c r="G7187">
        <f>IF(DATOS!$A7187="",0,IF(CONFIG_METADATA!$B$4&lt;&gt;"OR+EX",--(DATOS!$G7187=CONFIG_METADATA!$B$4),IF(DATOS!$G7187="EX",1,IF(DATOS!$G7187="OR",--(COUNTIFS(nNIA,DATOS!$A7187,nCURSO,DATOS!$D7187,nESPEC,DATOS!$E7187,nASIG,DATOS!$I7187,nEVAL,"EX")=0),0))))</f>
      </c>
      <c r="H7187">
        <f>IF(DATOS!$G7187&lt;&gt;"EX",0,--(COUNTIFS(nNIA,DATOS!$A7187,nCURSO,DATOS!$D7187,nESPEC,DATOS!$E7187,nASIG,DATOS!$I7187,nEVAL,"OR")=0))</f>
      </c>
      <c r="I7187">
        <f>IF(DATOS!$I7187="","",IFERROR(VLOOKUP(DATOS!$I7187,CONFIG_ASIGNATURAS!$B$2:$J$91,9,FALSE()),""))</f>
      </c>
    </row>
    <row r="7188">
      <c r="F7188">
        <f>IF(DATOS!$A7188="","",DATOS!$A7188&amp;"|"&amp;DATOS!$D7188&amp;"|"&amp;DATOS!$E7188&amp;"|"&amp;DATOS!$I7188)</f>
      </c>
      <c r="G7188">
        <f>IF(DATOS!$A7188="",0,IF(CONFIG_METADATA!$B$4&lt;&gt;"OR+EX",--(DATOS!$G7188=CONFIG_METADATA!$B$4),IF(DATOS!$G7188="EX",1,IF(DATOS!$G7188="OR",--(COUNTIFS(nNIA,DATOS!$A7188,nCURSO,DATOS!$D7188,nESPEC,DATOS!$E7188,nASIG,DATOS!$I7188,nEVAL,"EX")=0),0))))</f>
      </c>
      <c r="H7188">
        <f>IF(DATOS!$G7188&lt;&gt;"EX",0,--(COUNTIFS(nNIA,DATOS!$A7188,nCURSO,DATOS!$D7188,nESPEC,DATOS!$E7188,nASIG,DATOS!$I7188,nEVAL,"OR")=0))</f>
      </c>
      <c r="I7188">
        <f>IF(DATOS!$I7188="","",IFERROR(VLOOKUP(DATOS!$I7188,CONFIG_ASIGNATURAS!$B$2:$J$91,9,FALSE()),""))</f>
      </c>
    </row>
    <row r="7189">
      <c r="F7189">
        <f>IF(DATOS!$A7189="","",DATOS!$A7189&amp;"|"&amp;DATOS!$D7189&amp;"|"&amp;DATOS!$E7189&amp;"|"&amp;DATOS!$I7189)</f>
      </c>
      <c r="G7189">
        <f>IF(DATOS!$A7189="",0,IF(CONFIG_METADATA!$B$4&lt;&gt;"OR+EX",--(DATOS!$G7189=CONFIG_METADATA!$B$4),IF(DATOS!$G7189="EX",1,IF(DATOS!$G7189="OR",--(COUNTIFS(nNIA,DATOS!$A7189,nCURSO,DATOS!$D7189,nESPEC,DATOS!$E7189,nASIG,DATOS!$I7189,nEVAL,"EX")=0),0))))</f>
      </c>
      <c r="H7189">
        <f>IF(DATOS!$G7189&lt;&gt;"EX",0,--(COUNTIFS(nNIA,DATOS!$A7189,nCURSO,DATOS!$D7189,nESPEC,DATOS!$E7189,nASIG,DATOS!$I7189,nEVAL,"OR")=0))</f>
      </c>
      <c r="I7189">
        <f>IF(DATOS!$I7189="","",IFERROR(VLOOKUP(DATOS!$I7189,CONFIG_ASIGNATURAS!$B$2:$J$91,9,FALSE()),""))</f>
      </c>
    </row>
    <row r="7190">
      <c r="F7190">
        <f>IF(DATOS!$A7190="","",DATOS!$A7190&amp;"|"&amp;DATOS!$D7190&amp;"|"&amp;DATOS!$E7190&amp;"|"&amp;DATOS!$I7190)</f>
      </c>
      <c r="G7190">
        <f>IF(DATOS!$A7190="",0,IF(CONFIG_METADATA!$B$4&lt;&gt;"OR+EX",--(DATOS!$G7190=CONFIG_METADATA!$B$4),IF(DATOS!$G7190="EX",1,IF(DATOS!$G7190="OR",--(COUNTIFS(nNIA,DATOS!$A7190,nCURSO,DATOS!$D7190,nESPEC,DATOS!$E7190,nASIG,DATOS!$I7190,nEVAL,"EX")=0),0))))</f>
      </c>
      <c r="H7190">
        <f>IF(DATOS!$G7190&lt;&gt;"EX",0,--(COUNTIFS(nNIA,DATOS!$A7190,nCURSO,DATOS!$D7190,nESPEC,DATOS!$E7190,nASIG,DATOS!$I7190,nEVAL,"OR")=0))</f>
      </c>
      <c r="I7190">
        <f>IF(DATOS!$I7190="","",IFERROR(VLOOKUP(DATOS!$I7190,CONFIG_ASIGNATURAS!$B$2:$J$91,9,FALSE()),""))</f>
      </c>
    </row>
    <row r="7191">
      <c r="F7191">
        <f>IF(DATOS!$A7191="","",DATOS!$A7191&amp;"|"&amp;DATOS!$D7191&amp;"|"&amp;DATOS!$E7191&amp;"|"&amp;DATOS!$I7191)</f>
      </c>
      <c r="G7191">
        <f>IF(DATOS!$A7191="",0,IF(CONFIG_METADATA!$B$4&lt;&gt;"OR+EX",--(DATOS!$G7191=CONFIG_METADATA!$B$4),IF(DATOS!$G7191="EX",1,IF(DATOS!$G7191="OR",--(COUNTIFS(nNIA,DATOS!$A7191,nCURSO,DATOS!$D7191,nESPEC,DATOS!$E7191,nASIG,DATOS!$I7191,nEVAL,"EX")=0),0))))</f>
      </c>
      <c r="H7191">
        <f>IF(DATOS!$G7191&lt;&gt;"EX",0,--(COUNTIFS(nNIA,DATOS!$A7191,nCURSO,DATOS!$D7191,nESPEC,DATOS!$E7191,nASIG,DATOS!$I7191,nEVAL,"OR")=0))</f>
      </c>
      <c r="I7191">
        <f>IF(DATOS!$I7191="","",IFERROR(VLOOKUP(DATOS!$I7191,CONFIG_ASIGNATURAS!$B$2:$J$91,9,FALSE()),""))</f>
      </c>
    </row>
    <row r="7192">
      <c r="F7192">
        <f>IF(DATOS!$A7192="","",DATOS!$A7192&amp;"|"&amp;DATOS!$D7192&amp;"|"&amp;DATOS!$E7192&amp;"|"&amp;DATOS!$I7192)</f>
      </c>
      <c r="G7192">
        <f>IF(DATOS!$A7192="",0,IF(CONFIG_METADATA!$B$4&lt;&gt;"OR+EX",--(DATOS!$G7192=CONFIG_METADATA!$B$4),IF(DATOS!$G7192="EX",1,IF(DATOS!$G7192="OR",--(COUNTIFS(nNIA,DATOS!$A7192,nCURSO,DATOS!$D7192,nESPEC,DATOS!$E7192,nASIG,DATOS!$I7192,nEVAL,"EX")=0),0))))</f>
      </c>
      <c r="H7192">
        <f>IF(DATOS!$G7192&lt;&gt;"EX",0,--(COUNTIFS(nNIA,DATOS!$A7192,nCURSO,DATOS!$D7192,nESPEC,DATOS!$E7192,nASIG,DATOS!$I7192,nEVAL,"OR")=0))</f>
      </c>
      <c r="I7192">
        <f>IF(DATOS!$I7192="","",IFERROR(VLOOKUP(DATOS!$I7192,CONFIG_ASIGNATURAS!$B$2:$J$91,9,FALSE()),""))</f>
      </c>
    </row>
    <row r="7193">
      <c r="F7193">
        <f>IF(DATOS!$A7193="","",DATOS!$A7193&amp;"|"&amp;DATOS!$D7193&amp;"|"&amp;DATOS!$E7193&amp;"|"&amp;DATOS!$I7193)</f>
      </c>
      <c r="G7193">
        <f>IF(DATOS!$A7193="",0,IF(CONFIG_METADATA!$B$4&lt;&gt;"OR+EX",--(DATOS!$G7193=CONFIG_METADATA!$B$4),IF(DATOS!$G7193="EX",1,IF(DATOS!$G7193="OR",--(COUNTIFS(nNIA,DATOS!$A7193,nCURSO,DATOS!$D7193,nESPEC,DATOS!$E7193,nASIG,DATOS!$I7193,nEVAL,"EX")=0),0))))</f>
      </c>
      <c r="H7193">
        <f>IF(DATOS!$G7193&lt;&gt;"EX",0,--(COUNTIFS(nNIA,DATOS!$A7193,nCURSO,DATOS!$D7193,nESPEC,DATOS!$E7193,nASIG,DATOS!$I7193,nEVAL,"OR")=0))</f>
      </c>
      <c r="I7193">
        <f>IF(DATOS!$I7193="","",IFERROR(VLOOKUP(DATOS!$I7193,CONFIG_ASIGNATURAS!$B$2:$J$91,9,FALSE()),""))</f>
      </c>
    </row>
    <row r="7194">
      <c r="F7194">
        <f>IF(DATOS!$A7194="","",DATOS!$A7194&amp;"|"&amp;DATOS!$D7194&amp;"|"&amp;DATOS!$E7194&amp;"|"&amp;DATOS!$I7194)</f>
      </c>
      <c r="G7194">
        <f>IF(DATOS!$A7194="",0,IF(CONFIG_METADATA!$B$4&lt;&gt;"OR+EX",--(DATOS!$G7194=CONFIG_METADATA!$B$4),IF(DATOS!$G7194="EX",1,IF(DATOS!$G7194="OR",--(COUNTIFS(nNIA,DATOS!$A7194,nCURSO,DATOS!$D7194,nESPEC,DATOS!$E7194,nASIG,DATOS!$I7194,nEVAL,"EX")=0),0))))</f>
      </c>
      <c r="H7194">
        <f>IF(DATOS!$G7194&lt;&gt;"EX",0,--(COUNTIFS(nNIA,DATOS!$A7194,nCURSO,DATOS!$D7194,nESPEC,DATOS!$E7194,nASIG,DATOS!$I7194,nEVAL,"OR")=0))</f>
      </c>
      <c r="I7194">
        <f>IF(DATOS!$I7194="","",IFERROR(VLOOKUP(DATOS!$I7194,CONFIG_ASIGNATURAS!$B$2:$J$91,9,FALSE()),""))</f>
      </c>
    </row>
    <row r="7195">
      <c r="F7195">
        <f>IF(DATOS!$A7195="","",DATOS!$A7195&amp;"|"&amp;DATOS!$D7195&amp;"|"&amp;DATOS!$E7195&amp;"|"&amp;DATOS!$I7195)</f>
      </c>
      <c r="G7195">
        <f>IF(DATOS!$A7195="",0,IF(CONFIG_METADATA!$B$4&lt;&gt;"OR+EX",--(DATOS!$G7195=CONFIG_METADATA!$B$4),IF(DATOS!$G7195="EX",1,IF(DATOS!$G7195="OR",--(COUNTIFS(nNIA,DATOS!$A7195,nCURSO,DATOS!$D7195,nESPEC,DATOS!$E7195,nASIG,DATOS!$I7195,nEVAL,"EX")=0),0))))</f>
      </c>
      <c r="H7195">
        <f>IF(DATOS!$G7195&lt;&gt;"EX",0,--(COUNTIFS(nNIA,DATOS!$A7195,nCURSO,DATOS!$D7195,nESPEC,DATOS!$E7195,nASIG,DATOS!$I7195,nEVAL,"OR")=0))</f>
      </c>
      <c r="I7195">
        <f>IF(DATOS!$I7195="","",IFERROR(VLOOKUP(DATOS!$I7195,CONFIG_ASIGNATURAS!$B$2:$J$91,9,FALSE()),""))</f>
      </c>
    </row>
    <row r="7196">
      <c r="F7196">
        <f>IF(DATOS!$A7196="","",DATOS!$A7196&amp;"|"&amp;DATOS!$D7196&amp;"|"&amp;DATOS!$E7196&amp;"|"&amp;DATOS!$I7196)</f>
      </c>
      <c r="G7196">
        <f>IF(DATOS!$A7196="",0,IF(CONFIG_METADATA!$B$4&lt;&gt;"OR+EX",--(DATOS!$G7196=CONFIG_METADATA!$B$4),IF(DATOS!$G7196="EX",1,IF(DATOS!$G7196="OR",--(COUNTIFS(nNIA,DATOS!$A7196,nCURSO,DATOS!$D7196,nESPEC,DATOS!$E7196,nASIG,DATOS!$I7196,nEVAL,"EX")=0),0))))</f>
      </c>
      <c r="H7196">
        <f>IF(DATOS!$G7196&lt;&gt;"EX",0,--(COUNTIFS(nNIA,DATOS!$A7196,nCURSO,DATOS!$D7196,nESPEC,DATOS!$E7196,nASIG,DATOS!$I7196,nEVAL,"OR")=0))</f>
      </c>
      <c r="I7196">
        <f>IF(DATOS!$I7196="","",IFERROR(VLOOKUP(DATOS!$I7196,CONFIG_ASIGNATURAS!$B$2:$J$91,9,FALSE()),""))</f>
      </c>
    </row>
    <row r="7197">
      <c r="F7197">
        <f>IF(DATOS!$A7197="","",DATOS!$A7197&amp;"|"&amp;DATOS!$D7197&amp;"|"&amp;DATOS!$E7197&amp;"|"&amp;DATOS!$I7197)</f>
      </c>
      <c r="G7197">
        <f>IF(DATOS!$A7197="",0,IF(CONFIG_METADATA!$B$4&lt;&gt;"OR+EX",--(DATOS!$G7197=CONFIG_METADATA!$B$4),IF(DATOS!$G7197="EX",1,IF(DATOS!$G7197="OR",--(COUNTIFS(nNIA,DATOS!$A7197,nCURSO,DATOS!$D7197,nESPEC,DATOS!$E7197,nASIG,DATOS!$I7197,nEVAL,"EX")=0),0))))</f>
      </c>
      <c r="H7197">
        <f>IF(DATOS!$G7197&lt;&gt;"EX",0,--(COUNTIFS(nNIA,DATOS!$A7197,nCURSO,DATOS!$D7197,nESPEC,DATOS!$E7197,nASIG,DATOS!$I7197,nEVAL,"OR")=0))</f>
      </c>
      <c r="I7197">
        <f>IF(DATOS!$I7197="","",IFERROR(VLOOKUP(DATOS!$I7197,CONFIG_ASIGNATURAS!$B$2:$J$91,9,FALSE()),""))</f>
      </c>
    </row>
    <row r="7198">
      <c r="F7198">
        <f>IF(DATOS!$A7198="","",DATOS!$A7198&amp;"|"&amp;DATOS!$D7198&amp;"|"&amp;DATOS!$E7198&amp;"|"&amp;DATOS!$I7198)</f>
      </c>
      <c r="G7198">
        <f>IF(DATOS!$A7198="",0,IF(CONFIG_METADATA!$B$4&lt;&gt;"OR+EX",--(DATOS!$G7198=CONFIG_METADATA!$B$4),IF(DATOS!$G7198="EX",1,IF(DATOS!$G7198="OR",--(COUNTIFS(nNIA,DATOS!$A7198,nCURSO,DATOS!$D7198,nESPEC,DATOS!$E7198,nASIG,DATOS!$I7198,nEVAL,"EX")=0),0))))</f>
      </c>
      <c r="H7198">
        <f>IF(DATOS!$G7198&lt;&gt;"EX",0,--(COUNTIFS(nNIA,DATOS!$A7198,nCURSO,DATOS!$D7198,nESPEC,DATOS!$E7198,nASIG,DATOS!$I7198,nEVAL,"OR")=0))</f>
      </c>
      <c r="I7198">
        <f>IF(DATOS!$I7198="","",IFERROR(VLOOKUP(DATOS!$I7198,CONFIG_ASIGNATURAS!$B$2:$J$91,9,FALSE()),""))</f>
      </c>
    </row>
    <row r="7199">
      <c r="F7199">
        <f>IF(DATOS!$A7199="","",DATOS!$A7199&amp;"|"&amp;DATOS!$D7199&amp;"|"&amp;DATOS!$E7199&amp;"|"&amp;DATOS!$I7199)</f>
      </c>
      <c r="G7199">
        <f>IF(DATOS!$A7199="",0,IF(CONFIG_METADATA!$B$4&lt;&gt;"OR+EX",--(DATOS!$G7199=CONFIG_METADATA!$B$4),IF(DATOS!$G7199="EX",1,IF(DATOS!$G7199="OR",--(COUNTIFS(nNIA,DATOS!$A7199,nCURSO,DATOS!$D7199,nESPEC,DATOS!$E7199,nASIG,DATOS!$I7199,nEVAL,"EX")=0),0))))</f>
      </c>
      <c r="H7199">
        <f>IF(DATOS!$G7199&lt;&gt;"EX",0,--(COUNTIFS(nNIA,DATOS!$A7199,nCURSO,DATOS!$D7199,nESPEC,DATOS!$E7199,nASIG,DATOS!$I7199,nEVAL,"OR")=0))</f>
      </c>
      <c r="I7199">
        <f>IF(DATOS!$I7199="","",IFERROR(VLOOKUP(DATOS!$I7199,CONFIG_ASIGNATURAS!$B$2:$J$91,9,FALSE()),""))</f>
      </c>
    </row>
    <row r="7200">
      <c r="F7200">
        <f>IF(DATOS!$A7200="","",DATOS!$A7200&amp;"|"&amp;DATOS!$D7200&amp;"|"&amp;DATOS!$E7200&amp;"|"&amp;DATOS!$I7200)</f>
      </c>
      <c r="G7200">
        <f>IF(DATOS!$A7200="",0,IF(CONFIG_METADATA!$B$4&lt;&gt;"OR+EX",--(DATOS!$G7200=CONFIG_METADATA!$B$4),IF(DATOS!$G7200="EX",1,IF(DATOS!$G7200="OR",--(COUNTIFS(nNIA,DATOS!$A7200,nCURSO,DATOS!$D7200,nESPEC,DATOS!$E7200,nASIG,DATOS!$I7200,nEVAL,"EX")=0),0))))</f>
      </c>
      <c r="H7200">
        <f>IF(DATOS!$G7200&lt;&gt;"EX",0,--(COUNTIFS(nNIA,DATOS!$A7200,nCURSO,DATOS!$D7200,nESPEC,DATOS!$E7200,nASIG,DATOS!$I7200,nEVAL,"OR")=0))</f>
      </c>
      <c r="I7200">
        <f>IF(DATOS!$I7200="","",IFERROR(VLOOKUP(DATOS!$I7200,CONFIG_ASIGNATURAS!$B$2:$J$91,9,FALSE()),""))</f>
      </c>
    </row>
    <row r="7201">
      <c r="F7201">
        <f>IF(DATOS!$A7201="","",DATOS!$A7201&amp;"|"&amp;DATOS!$D7201&amp;"|"&amp;DATOS!$E7201&amp;"|"&amp;DATOS!$I7201)</f>
      </c>
      <c r="G7201">
        <f>IF(DATOS!$A7201="",0,IF(CONFIG_METADATA!$B$4&lt;&gt;"OR+EX",--(DATOS!$G7201=CONFIG_METADATA!$B$4),IF(DATOS!$G7201="EX",1,IF(DATOS!$G7201="OR",--(COUNTIFS(nNIA,DATOS!$A7201,nCURSO,DATOS!$D7201,nESPEC,DATOS!$E7201,nASIG,DATOS!$I7201,nEVAL,"EX")=0),0))))</f>
      </c>
      <c r="H7201">
        <f>IF(DATOS!$G7201&lt;&gt;"EX",0,--(COUNTIFS(nNIA,DATOS!$A7201,nCURSO,DATOS!$D7201,nESPEC,DATOS!$E7201,nASIG,DATOS!$I7201,nEVAL,"OR")=0))</f>
      </c>
      <c r="I7201">
        <f>IF(DATOS!$I7201="","",IFERROR(VLOOKUP(DATOS!$I7201,CONFIG_ASIGNATURAS!$B$2:$J$91,9,FALSE()),""))</f>
      </c>
    </row>
    <row r="7202">
      <c r="F7202">
        <f>IF(DATOS!$A7202="","",DATOS!$A7202&amp;"|"&amp;DATOS!$D7202&amp;"|"&amp;DATOS!$E7202&amp;"|"&amp;DATOS!$I7202)</f>
      </c>
      <c r="G7202">
        <f>IF(DATOS!$A7202="",0,IF(CONFIG_METADATA!$B$4&lt;&gt;"OR+EX",--(DATOS!$G7202=CONFIG_METADATA!$B$4),IF(DATOS!$G7202="EX",1,IF(DATOS!$G7202="OR",--(COUNTIFS(nNIA,DATOS!$A7202,nCURSO,DATOS!$D7202,nESPEC,DATOS!$E7202,nASIG,DATOS!$I7202,nEVAL,"EX")=0),0))))</f>
      </c>
      <c r="H7202">
        <f>IF(DATOS!$G7202&lt;&gt;"EX",0,--(COUNTIFS(nNIA,DATOS!$A7202,nCURSO,DATOS!$D7202,nESPEC,DATOS!$E7202,nASIG,DATOS!$I7202,nEVAL,"OR")=0))</f>
      </c>
      <c r="I7202">
        <f>IF(DATOS!$I7202="","",IFERROR(VLOOKUP(DATOS!$I7202,CONFIG_ASIGNATURAS!$B$2:$J$91,9,FALSE()),""))</f>
      </c>
    </row>
    <row r="7203">
      <c r="F7203">
        <f>IF(DATOS!$A7203="","",DATOS!$A7203&amp;"|"&amp;DATOS!$D7203&amp;"|"&amp;DATOS!$E7203&amp;"|"&amp;DATOS!$I7203)</f>
      </c>
      <c r="G7203">
        <f>IF(DATOS!$A7203="",0,IF(CONFIG_METADATA!$B$4&lt;&gt;"OR+EX",--(DATOS!$G7203=CONFIG_METADATA!$B$4),IF(DATOS!$G7203="EX",1,IF(DATOS!$G7203="OR",--(COUNTIFS(nNIA,DATOS!$A7203,nCURSO,DATOS!$D7203,nESPEC,DATOS!$E7203,nASIG,DATOS!$I7203,nEVAL,"EX")=0),0))))</f>
      </c>
      <c r="H7203">
        <f>IF(DATOS!$G7203&lt;&gt;"EX",0,--(COUNTIFS(nNIA,DATOS!$A7203,nCURSO,DATOS!$D7203,nESPEC,DATOS!$E7203,nASIG,DATOS!$I7203,nEVAL,"OR")=0))</f>
      </c>
      <c r="I7203">
        <f>IF(DATOS!$I7203="","",IFERROR(VLOOKUP(DATOS!$I7203,CONFIG_ASIGNATURAS!$B$2:$J$91,9,FALSE()),""))</f>
      </c>
    </row>
    <row r="7204">
      <c r="F7204">
        <f>IF(DATOS!$A7204="","",DATOS!$A7204&amp;"|"&amp;DATOS!$D7204&amp;"|"&amp;DATOS!$E7204&amp;"|"&amp;DATOS!$I7204)</f>
      </c>
      <c r="G7204">
        <f>IF(DATOS!$A7204="",0,IF(CONFIG_METADATA!$B$4&lt;&gt;"OR+EX",--(DATOS!$G7204=CONFIG_METADATA!$B$4),IF(DATOS!$G7204="EX",1,IF(DATOS!$G7204="OR",--(COUNTIFS(nNIA,DATOS!$A7204,nCURSO,DATOS!$D7204,nESPEC,DATOS!$E7204,nASIG,DATOS!$I7204,nEVAL,"EX")=0),0))))</f>
      </c>
      <c r="H7204">
        <f>IF(DATOS!$G7204&lt;&gt;"EX",0,--(COUNTIFS(nNIA,DATOS!$A7204,nCURSO,DATOS!$D7204,nESPEC,DATOS!$E7204,nASIG,DATOS!$I7204,nEVAL,"OR")=0))</f>
      </c>
      <c r="I7204">
        <f>IF(DATOS!$I7204="","",IFERROR(VLOOKUP(DATOS!$I7204,CONFIG_ASIGNATURAS!$B$2:$J$91,9,FALSE()),""))</f>
      </c>
    </row>
    <row r="7205">
      <c r="F7205">
        <f>IF(DATOS!$A7205="","",DATOS!$A7205&amp;"|"&amp;DATOS!$D7205&amp;"|"&amp;DATOS!$E7205&amp;"|"&amp;DATOS!$I7205)</f>
      </c>
      <c r="G7205">
        <f>IF(DATOS!$A7205="",0,IF(CONFIG_METADATA!$B$4&lt;&gt;"OR+EX",--(DATOS!$G7205=CONFIG_METADATA!$B$4),IF(DATOS!$G7205="EX",1,IF(DATOS!$G7205="OR",--(COUNTIFS(nNIA,DATOS!$A7205,nCURSO,DATOS!$D7205,nESPEC,DATOS!$E7205,nASIG,DATOS!$I7205,nEVAL,"EX")=0),0))))</f>
      </c>
      <c r="H7205">
        <f>IF(DATOS!$G7205&lt;&gt;"EX",0,--(COUNTIFS(nNIA,DATOS!$A7205,nCURSO,DATOS!$D7205,nESPEC,DATOS!$E7205,nASIG,DATOS!$I7205,nEVAL,"OR")=0))</f>
      </c>
      <c r="I7205">
        <f>IF(DATOS!$I7205="","",IFERROR(VLOOKUP(DATOS!$I7205,CONFIG_ASIGNATURAS!$B$2:$J$91,9,FALSE()),""))</f>
      </c>
    </row>
    <row r="7206">
      <c r="F7206">
        <f>IF(DATOS!$A7206="","",DATOS!$A7206&amp;"|"&amp;DATOS!$D7206&amp;"|"&amp;DATOS!$E7206&amp;"|"&amp;DATOS!$I7206)</f>
      </c>
      <c r="G7206">
        <f>IF(DATOS!$A7206="",0,IF(CONFIG_METADATA!$B$4&lt;&gt;"OR+EX",--(DATOS!$G7206=CONFIG_METADATA!$B$4),IF(DATOS!$G7206="EX",1,IF(DATOS!$G7206="OR",--(COUNTIFS(nNIA,DATOS!$A7206,nCURSO,DATOS!$D7206,nESPEC,DATOS!$E7206,nASIG,DATOS!$I7206,nEVAL,"EX")=0),0))))</f>
      </c>
      <c r="H7206">
        <f>IF(DATOS!$G7206&lt;&gt;"EX",0,--(COUNTIFS(nNIA,DATOS!$A7206,nCURSO,DATOS!$D7206,nESPEC,DATOS!$E7206,nASIG,DATOS!$I7206,nEVAL,"OR")=0))</f>
      </c>
      <c r="I7206">
        <f>IF(DATOS!$I7206="","",IFERROR(VLOOKUP(DATOS!$I7206,CONFIG_ASIGNATURAS!$B$2:$J$91,9,FALSE()),""))</f>
      </c>
    </row>
    <row r="7207">
      <c r="F7207">
        <f>IF(DATOS!$A7207="","",DATOS!$A7207&amp;"|"&amp;DATOS!$D7207&amp;"|"&amp;DATOS!$E7207&amp;"|"&amp;DATOS!$I7207)</f>
      </c>
      <c r="G7207">
        <f>IF(DATOS!$A7207="",0,IF(CONFIG_METADATA!$B$4&lt;&gt;"OR+EX",--(DATOS!$G7207=CONFIG_METADATA!$B$4),IF(DATOS!$G7207="EX",1,IF(DATOS!$G7207="OR",--(COUNTIFS(nNIA,DATOS!$A7207,nCURSO,DATOS!$D7207,nESPEC,DATOS!$E7207,nASIG,DATOS!$I7207,nEVAL,"EX")=0),0))))</f>
      </c>
      <c r="H7207">
        <f>IF(DATOS!$G7207&lt;&gt;"EX",0,--(COUNTIFS(nNIA,DATOS!$A7207,nCURSO,DATOS!$D7207,nESPEC,DATOS!$E7207,nASIG,DATOS!$I7207,nEVAL,"OR")=0))</f>
      </c>
      <c r="I7207">
        <f>IF(DATOS!$I7207="","",IFERROR(VLOOKUP(DATOS!$I7207,CONFIG_ASIGNATURAS!$B$2:$J$91,9,FALSE()),""))</f>
      </c>
    </row>
    <row r="7208">
      <c r="F7208">
        <f>IF(DATOS!$A7208="","",DATOS!$A7208&amp;"|"&amp;DATOS!$D7208&amp;"|"&amp;DATOS!$E7208&amp;"|"&amp;DATOS!$I7208)</f>
      </c>
      <c r="G7208">
        <f>IF(DATOS!$A7208="",0,IF(CONFIG_METADATA!$B$4&lt;&gt;"OR+EX",--(DATOS!$G7208=CONFIG_METADATA!$B$4),IF(DATOS!$G7208="EX",1,IF(DATOS!$G7208="OR",--(COUNTIFS(nNIA,DATOS!$A7208,nCURSO,DATOS!$D7208,nESPEC,DATOS!$E7208,nASIG,DATOS!$I7208,nEVAL,"EX")=0),0))))</f>
      </c>
      <c r="H7208">
        <f>IF(DATOS!$G7208&lt;&gt;"EX",0,--(COUNTIFS(nNIA,DATOS!$A7208,nCURSO,DATOS!$D7208,nESPEC,DATOS!$E7208,nASIG,DATOS!$I7208,nEVAL,"OR")=0))</f>
      </c>
      <c r="I7208">
        <f>IF(DATOS!$I7208="","",IFERROR(VLOOKUP(DATOS!$I7208,CONFIG_ASIGNATURAS!$B$2:$J$91,9,FALSE()),""))</f>
      </c>
    </row>
    <row r="7209">
      <c r="F7209">
        <f>IF(DATOS!$A7209="","",DATOS!$A7209&amp;"|"&amp;DATOS!$D7209&amp;"|"&amp;DATOS!$E7209&amp;"|"&amp;DATOS!$I7209)</f>
      </c>
      <c r="G7209">
        <f>IF(DATOS!$A7209="",0,IF(CONFIG_METADATA!$B$4&lt;&gt;"OR+EX",--(DATOS!$G7209=CONFIG_METADATA!$B$4),IF(DATOS!$G7209="EX",1,IF(DATOS!$G7209="OR",--(COUNTIFS(nNIA,DATOS!$A7209,nCURSO,DATOS!$D7209,nESPEC,DATOS!$E7209,nASIG,DATOS!$I7209,nEVAL,"EX")=0),0))))</f>
      </c>
      <c r="H7209">
        <f>IF(DATOS!$G7209&lt;&gt;"EX",0,--(COUNTIFS(nNIA,DATOS!$A7209,nCURSO,DATOS!$D7209,nESPEC,DATOS!$E7209,nASIG,DATOS!$I7209,nEVAL,"OR")=0))</f>
      </c>
      <c r="I7209">
        <f>IF(DATOS!$I7209="","",IFERROR(VLOOKUP(DATOS!$I7209,CONFIG_ASIGNATURAS!$B$2:$J$91,9,FALSE()),""))</f>
      </c>
    </row>
    <row r="7210">
      <c r="F7210">
        <f>IF(DATOS!$A7210="","",DATOS!$A7210&amp;"|"&amp;DATOS!$D7210&amp;"|"&amp;DATOS!$E7210&amp;"|"&amp;DATOS!$I7210)</f>
      </c>
      <c r="G7210">
        <f>IF(DATOS!$A7210="",0,IF(CONFIG_METADATA!$B$4&lt;&gt;"OR+EX",--(DATOS!$G7210=CONFIG_METADATA!$B$4),IF(DATOS!$G7210="EX",1,IF(DATOS!$G7210="OR",--(COUNTIFS(nNIA,DATOS!$A7210,nCURSO,DATOS!$D7210,nESPEC,DATOS!$E7210,nASIG,DATOS!$I7210,nEVAL,"EX")=0),0))))</f>
      </c>
      <c r="H7210">
        <f>IF(DATOS!$G7210&lt;&gt;"EX",0,--(COUNTIFS(nNIA,DATOS!$A7210,nCURSO,DATOS!$D7210,nESPEC,DATOS!$E7210,nASIG,DATOS!$I7210,nEVAL,"OR")=0))</f>
      </c>
      <c r="I7210">
        <f>IF(DATOS!$I7210="","",IFERROR(VLOOKUP(DATOS!$I7210,CONFIG_ASIGNATURAS!$B$2:$J$91,9,FALSE()),""))</f>
      </c>
    </row>
    <row r="7211">
      <c r="F7211">
        <f>IF(DATOS!$A7211="","",DATOS!$A7211&amp;"|"&amp;DATOS!$D7211&amp;"|"&amp;DATOS!$E7211&amp;"|"&amp;DATOS!$I7211)</f>
      </c>
      <c r="G7211">
        <f>IF(DATOS!$A7211="",0,IF(CONFIG_METADATA!$B$4&lt;&gt;"OR+EX",--(DATOS!$G7211=CONFIG_METADATA!$B$4),IF(DATOS!$G7211="EX",1,IF(DATOS!$G7211="OR",--(COUNTIFS(nNIA,DATOS!$A7211,nCURSO,DATOS!$D7211,nESPEC,DATOS!$E7211,nASIG,DATOS!$I7211,nEVAL,"EX")=0),0))))</f>
      </c>
      <c r="H7211">
        <f>IF(DATOS!$G7211&lt;&gt;"EX",0,--(COUNTIFS(nNIA,DATOS!$A7211,nCURSO,DATOS!$D7211,nESPEC,DATOS!$E7211,nASIG,DATOS!$I7211,nEVAL,"OR")=0))</f>
      </c>
      <c r="I7211">
        <f>IF(DATOS!$I7211="","",IFERROR(VLOOKUP(DATOS!$I7211,CONFIG_ASIGNATURAS!$B$2:$J$91,9,FALSE()),""))</f>
      </c>
    </row>
    <row r="7212">
      <c r="F7212">
        <f>IF(DATOS!$A7212="","",DATOS!$A7212&amp;"|"&amp;DATOS!$D7212&amp;"|"&amp;DATOS!$E7212&amp;"|"&amp;DATOS!$I7212)</f>
      </c>
      <c r="G7212">
        <f>IF(DATOS!$A7212="",0,IF(CONFIG_METADATA!$B$4&lt;&gt;"OR+EX",--(DATOS!$G7212=CONFIG_METADATA!$B$4),IF(DATOS!$G7212="EX",1,IF(DATOS!$G7212="OR",--(COUNTIFS(nNIA,DATOS!$A7212,nCURSO,DATOS!$D7212,nESPEC,DATOS!$E7212,nASIG,DATOS!$I7212,nEVAL,"EX")=0),0))))</f>
      </c>
      <c r="H7212">
        <f>IF(DATOS!$G7212&lt;&gt;"EX",0,--(COUNTIFS(nNIA,DATOS!$A7212,nCURSO,DATOS!$D7212,nESPEC,DATOS!$E7212,nASIG,DATOS!$I7212,nEVAL,"OR")=0))</f>
      </c>
      <c r="I7212">
        <f>IF(DATOS!$I7212="","",IFERROR(VLOOKUP(DATOS!$I7212,CONFIG_ASIGNATURAS!$B$2:$J$91,9,FALSE()),""))</f>
      </c>
    </row>
    <row r="7213">
      <c r="F7213">
        <f>IF(DATOS!$A7213="","",DATOS!$A7213&amp;"|"&amp;DATOS!$D7213&amp;"|"&amp;DATOS!$E7213&amp;"|"&amp;DATOS!$I7213)</f>
      </c>
      <c r="G7213">
        <f>IF(DATOS!$A7213="",0,IF(CONFIG_METADATA!$B$4&lt;&gt;"OR+EX",--(DATOS!$G7213=CONFIG_METADATA!$B$4),IF(DATOS!$G7213="EX",1,IF(DATOS!$G7213="OR",--(COUNTIFS(nNIA,DATOS!$A7213,nCURSO,DATOS!$D7213,nESPEC,DATOS!$E7213,nASIG,DATOS!$I7213,nEVAL,"EX")=0),0))))</f>
      </c>
      <c r="H7213">
        <f>IF(DATOS!$G7213&lt;&gt;"EX",0,--(COUNTIFS(nNIA,DATOS!$A7213,nCURSO,DATOS!$D7213,nESPEC,DATOS!$E7213,nASIG,DATOS!$I7213,nEVAL,"OR")=0))</f>
      </c>
      <c r="I7213">
        <f>IF(DATOS!$I7213="","",IFERROR(VLOOKUP(DATOS!$I7213,CONFIG_ASIGNATURAS!$B$2:$J$91,9,FALSE()),""))</f>
      </c>
    </row>
    <row r="7214">
      <c r="F7214">
        <f>IF(DATOS!$A7214="","",DATOS!$A7214&amp;"|"&amp;DATOS!$D7214&amp;"|"&amp;DATOS!$E7214&amp;"|"&amp;DATOS!$I7214)</f>
      </c>
      <c r="G7214">
        <f>IF(DATOS!$A7214="",0,IF(CONFIG_METADATA!$B$4&lt;&gt;"OR+EX",--(DATOS!$G7214=CONFIG_METADATA!$B$4),IF(DATOS!$G7214="EX",1,IF(DATOS!$G7214="OR",--(COUNTIFS(nNIA,DATOS!$A7214,nCURSO,DATOS!$D7214,nESPEC,DATOS!$E7214,nASIG,DATOS!$I7214,nEVAL,"EX")=0),0))))</f>
      </c>
      <c r="H7214">
        <f>IF(DATOS!$G7214&lt;&gt;"EX",0,--(COUNTIFS(nNIA,DATOS!$A7214,nCURSO,DATOS!$D7214,nESPEC,DATOS!$E7214,nASIG,DATOS!$I7214,nEVAL,"OR")=0))</f>
      </c>
      <c r="I7214">
        <f>IF(DATOS!$I7214="","",IFERROR(VLOOKUP(DATOS!$I7214,CONFIG_ASIGNATURAS!$B$2:$J$91,9,FALSE()),""))</f>
      </c>
    </row>
    <row r="7215">
      <c r="F7215">
        <f>IF(DATOS!$A7215="","",DATOS!$A7215&amp;"|"&amp;DATOS!$D7215&amp;"|"&amp;DATOS!$E7215&amp;"|"&amp;DATOS!$I7215)</f>
      </c>
      <c r="G7215">
        <f>IF(DATOS!$A7215="",0,IF(CONFIG_METADATA!$B$4&lt;&gt;"OR+EX",--(DATOS!$G7215=CONFIG_METADATA!$B$4),IF(DATOS!$G7215="EX",1,IF(DATOS!$G7215="OR",--(COUNTIFS(nNIA,DATOS!$A7215,nCURSO,DATOS!$D7215,nESPEC,DATOS!$E7215,nASIG,DATOS!$I7215,nEVAL,"EX")=0),0))))</f>
      </c>
      <c r="H7215">
        <f>IF(DATOS!$G7215&lt;&gt;"EX",0,--(COUNTIFS(nNIA,DATOS!$A7215,nCURSO,DATOS!$D7215,nESPEC,DATOS!$E7215,nASIG,DATOS!$I7215,nEVAL,"OR")=0))</f>
      </c>
      <c r="I7215">
        <f>IF(DATOS!$I7215="","",IFERROR(VLOOKUP(DATOS!$I7215,CONFIG_ASIGNATURAS!$B$2:$J$91,9,FALSE()),""))</f>
      </c>
    </row>
    <row r="7216">
      <c r="F7216">
        <f>IF(DATOS!$A7216="","",DATOS!$A7216&amp;"|"&amp;DATOS!$D7216&amp;"|"&amp;DATOS!$E7216&amp;"|"&amp;DATOS!$I7216)</f>
      </c>
      <c r="G7216">
        <f>IF(DATOS!$A7216="",0,IF(CONFIG_METADATA!$B$4&lt;&gt;"OR+EX",--(DATOS!$G7216=CONFIG_METADATA!$B$4),IF(DATOS!$G7216="EX",1,IF(DATOS!$G7216="OR",--(COUNTIFS(nNIA,DATOS!$A7216,nCURSO,DATOS!$D7216,nESPEC,DATOS!$E7216,nASIG,DATOS!$I7216,nEVAL,"EX")=0),0))))</f>
      </c>
      <c r="H7216">
        <f>IF(DATOS!$G7216&lt;&gt;"EX",0,--(COUNTIFS(nNIA,DATOS!$A7216,nCURSO,DATOS!$D7216,nESPEC,DATOS!$E7216,nASIG,DATOS!$I7216,nEVAL,"OR")=0))</f>
      </c>
      <c r="I7216">
        <f>IF(DATOS!$I7216="","",IFERROR(VLOOKUP(DATOS!$I7216,CONFIG_ASIGNATURAS!$B$2:$J$91,9,FALSE()),""))</f>
      </c>
    </row>
    <row r="7217">
      <c r="F7217">
        <f>IF(DATOS!$A7217="","",DATOS!$A7217&amp;"|"&amp;DATOS!$D7217&amp;"|"&amp;DATOS!$E7217&amp;"|"&amp;DATOS!$I7217)</f>
      </c>
      <c r="G7217">
        <f>IF(DATOS!$A7217="",0,IF(CONFIG_METADATA!$B$4&lt;&gt;"OR+EX",--(DATOS!$G7217=CONFIG_METADATA!$B$4),IF(DATOS!$G7217="EX",1,IF(DATOS!$G7217="OR",--(COUNTIFS(nNIA,DATOS!$A7217,nCURSO,DATOS!$D7217,nESPEC,DATOS!$E7217,nASIG,DATOS!$I7217,nEVAL,"EX")=0),0))))</f>
      </c>
      <c r="H7217">
        <f>IF(DATOS!$G7217&lt;&gt;"EX",0,--(COUNTIFS(nNIA,DATOS!$A7217,nCURSO,DATOS!$D7217,nESPEC,DATOS!$E7217,nASIG,DATOS!$I7217,nEVAL,"OR")=0))</f>
      </c>
      <c r="I7217">
        <f>IF(DATOS!$I7217="","",IFERROR(VLOOKUP(DATOS!$I7217,CONFIG_ASIGNATURAS!$B$2:$J$91,9,FALSE()),""))</f>
      </c>
    </row>
    <row r="7218">
      <c r="F7218">
        <f>IF(DATOS!$A7218="","",DATOS!$A7218&amp;"|"&amp;DATOS!$D7218&amp;"|"&amp;DATOS!$E7218&amp;"|"&amp;DATOS!$I7218)</f>
      </c>
      <c r="G7218">
        <f>IF(DATOS!$A7218="",0,IF(CONFIG_METADATA!$B$4&lt;&gt;"OR+EX",--(DATOS!$G7218=CONFIG_METADATA!$B$4),IF(DATOS!$G7218="EX",1,IF(DATOS!$G7218="OR",--(COUNTIFS(nNIA,DATOS!$A7218,nCURSO,DATOS!$D7218,nESPEC,DATOS!$E7218,nASIG,DATOS!$I7218,nEVAL,"EX")=0),0))))</f>
      </c>
      <c r="H7218">
        <f>IF(DATOS!$G7218&lt;&gt;"EX",0,--(COUNTIFS(nNIA,DATOS!$A7218,nCURSO,DATOS!$D7218,nESPEC,DATOS!$E7218,nASIG,DATOS!$I7218,nEVAL,"OR")=0))</f>
      </c>
      <c r="I7218">
        <f>IF(DATOS!$I7218="","",IFERROR(VLOOKUP(DATOS!$I7218,CONFIG_ASIGNATURAS!$B$2:$J$91,9,FALSE()),""))</f>
      </c>
    </row>
    <row r="7219">
      <c r="F7219">
        <f>IF(DATOS!$A7219="","",DATOS!$A7219&amp;"|"&amp;DATOS!$D7219&amp;"|"&amp;DATOS!$E7219&amp;"|"&amp;DATOS!$I7219)</f>
      </c>
      <c r="G7219">
        <f>IF(DATOS!$A7219="",0,IF(CONFIG_METADATA!$B$4&lt;&gt;"OR+EX",--(DATOS!$G7219=CONFIG_METADATA!$B$4),IF(DATOS!$G7219="EX",1,IF(DATOS!$G7219="OR",--(COUNTIFS(nNIA,DATOS!$A7219,nCURSO,DATOS!$D7219,nESPEC,DATOS!$E7219,nASIG,DATOS!$I7219,nEVAL,"EX")=0),0))))</f>
      </c>
      <c r="H7219">
        <f>IF(DATOS!$G7219&lt;&gt;"EX",0,--(COUNTIFS(nNIA,DATOS!$A7219,nCURSO,DATOS!$D7219,nESPEC,DATOS!$E7219,nASIG,DATOS!$I7219,nEVAL,"OR")=0))</f>
      </c>
      <c r="I7219">
        <f>IF(DATOS!$I7219="","",IFERROR(VLOOKUP(DATOS!$I7219,CONFIG_ASIGNATURAS!$B$2:$J$91,9,FALSE()),""))</f>
      </c>
    </row>
    <row r="7220">
      <c r="F7220">
        <f>IF(DATOS!$A7220="","",DATOS!$A7220&amp;"|"&amp;DATOS!$D7220&amp;"|"&amp;DATOS!$E7220&amp;"|"&amp;DATOS!$I7220)</f>
      </c>
      <c r="G7220">
        <f>IF(DATOS!$A7220="",0,IF(CONFIG_METADATA!$B$4&lt;&gt;"OR+EX",--(DATOS!$G7220=CONFIG_METADATA!$B$4),IF(DATOS!$G7220="EX",1,IF(DATOS!$G7220="OR",--(COUNTIFS(nNIA,DATOS!$A7220,nCURSO,DATOS!$D7220,nESPEC,DATOS!$E7220,nASIG,DATOS!$I7220,nEVAL,"EX")=0),0))))</f>
      </c>
      <c r="H7220">
        <f>IF(DATOS!$G7220&lt;&gt;"EX",0,--(COUNTIFS(nNIA,DATOS!$A7220,nCURSO,DATOS!$D7220,nESPEC,DATOS!$E7220,nASIG,DATOS!$I7220,nEVAL,"OR")=0))</f>
      </c>
      <c r="I7220">
        <f>IF(DATOS!$I7220="","",IFERROR(VLOOKUP(DATOS!$I7220,CONFIG_ASIGNATURAS!$B$2:$J$91,9,FALSE()),""))</f>
      </c>
    </row>
    <row r="7221">
      <c r="F7221">
        <f>IF(DATOS!$A7221="","",DATOS!$A7221&amp;"|"&amp;DATOS!$D7221&amp;"|"&amp;DATOS!$E7221&amp;"|"&amp;DATOS!$I7221)</f>
      </c>
      <c r="G7221">
        <f>IF(DATOS!$A7221="",0,IF(CONFIG_METADATA!$B$4&lt;&gt;"OR+EX",--(DATOS!$G7221=CONFIG_METADATA!$B$4),IF(DATOS!$G7221="EX",1,IF(DATOS!$G7221="OR",--(COUNTIFS(nNIA,DATOS!$A7221,nCURSO,DATOS!$D7221,nESPEC,DATOS!$E7221,nASIG,DATOS!$I7221,nEVAL,"EX")=0),0))))</f>
      </c>
      <c r="H7221">
        <f>IF(DATOS!$G7221&lt;&gt;"EX",0,--(COUNTIFS(nNIA,DATOS!$A7221,nCURSO,DATOS!$D7221,nESPEC,DATOS!$E7221,nASIG,DATOS!$I7221,nEVAL,"OR")=0))</f>
      </c>
      <c r="I7221">
        <f>IF(DATOS!$I7221="","",IFERROR(VLOOKUP(DATOS!$I7221,CONFIG_ASIGNATURAS!$B$2:$J$91,9,FALSE()),""))</f>
      </c>
    </row>
    <row r="7222">
      <c r="F7222">
        <f>IF(DATOS!$A7222="","",DATOS!$A7222&amp;"|"&amp;DATOS!$D7222&amp;"|"&amp;DATOS!$E7222&amp;"|"&amp;DATOS!$I7222)</f>
      </c>
      <c r="G7222">
        <f>IF(DATOS!$A7222="",0,IF(CONFIG_METADATA!$B$4&lt;&gt;"OR+EX",--(DATOS!$G7222=CONFIG_METADATA!$B$4),IF(DATOS!$G7222="EX",1,IF(DATOS!$G7222="OR",--(COUNTIFS(nNIA,DATOS!$A7222,nCURSO,DATOS!$D7222,nESPEC,DATOS!$E7222,nASIG,DATOS!$I7222,nEVAL,"EX")=0),0))))</f>
      </c>
      <c r="H7222">
        <f>IF(DATOS!$G7222&lt;&gt;"EX",0,--(COUNTIFS(nNIA,DATOS!$A7222,nCURSO,DATOS!$D7222,nESPEC,DATOS!$E7222,nASIG,DATOS!$I7222,nEVAL,"OR")=0))</f>
      </c>
      <c r="I7222">
        <f>IF(DATOS!$I7222="","",IFERROR(VLOOKUP(DATOS!$I7222,CONFIG_ASIGNATURAS!$B$2:$J$91,9,FALSE()),""))</f>
      </c>
    </row>
    <row r="7223">
      <c r="F7223">
        <f>IF(DATOS!$A7223="","",DATOS!$A7223&amp;"|"&amp;DATOS!$D7223&amp;"|"&amp;DATOS!$E7223&amp;"|"&amp;DATOS!$I7223)</f>
      </c>
      <c r="G7223">
        <f>IF(DATOS!$A7223="",0,IF(CONFIG_METADATA!$B$4&lt;&gt;"OR+EX",--(DATOS!$G7223=CONFIG_METADATA!$B$4),IF(DATOS!$G7223="EX",1,IF(DATOS!$G7223="OR",--(COUNTIFS(nNIA,DATOS!$A7223,nCURSO,DATOS!$D7223,nESPEC,DATOS!$E7223,nASIG,DATOS!$I7223,nEVAL,"EX")=0),0))))</f>
      </c>
      <c r="H7223">
        <f>IF(DATOS!$G7223&lt;&gt;"EX",0,--(COUNTIFS(nNIA,DATOS!$A7223,nCURSO,DATOS!$D7223,nESPEC,DATOS!$E7223,nASIG,DATOS!$I7223,nEVAL,"OR")=0))</f>
      </c>
      <c r="I7223">
        <f>IF(DATOS!$I7223="","",IFERROR(VLOOKUP(DATOS!$I7223,CONFIG_ASIGNATURAS!$B$2:$J$91,9,FALSE()),""))</f>
      </c>
    </row>
    <row r="7224">
      <c r="F7224">
        <f>IF(DATOS!$A7224="","",DATOS!$A7224&amp;"|"&amp;DATOS!$D7224&amp;"|"&amp;DATOS!$E7224&amp;"|"&amp;DATOS!$I7224)</f>
      </c>
      <c r="G7224">
        <f>IF(DATOS!$A7224="",0,IF(CONFIG_METADATA!$B$4&lt;&gt;"OR+EX",--(DATOS!$G7224=CONFIG_METADATA!$B$4),IF(DATOS!$G7224="EX",1,IF(DATOS!$G7224="OR",--(COUNTIFS(nNIA,DATOS!$A7224,nCURSO,DATOS!$D7224,nESPEC,DATOS!$E7224,nASIG,DATOS!$I7224,nEVAL,"EX")=0),0))))</f>
      </c>
      <c r="H7224">
        <f>IF(DATOS!$G7224&lt;&gt;"EX",0,--(COUNTIFS(nNIA,DATOS!$A7224,nCURSO,DATOS!$D7224,nESPEC,DATOS!$E7224,nASIG,DATOS!$I7224,nEVAL,"OR")=0))</f>
      </c>
      <c r="I7224">
        <f>IF(DATOS!$I7224="","",IFERROR(VLOOKUP(DATOS!$I7224,CONFIG_ASIGNATURAS!$B$2:$J$91,9,FALSE()),""))</f>
      </c>
    </row>
    <row r="7225">
      <c r="F7225">
        <f>IF(DATOS!$A7225="","",DATOS!$A7225&amp;"|"&amp;DATOS!$D7225&amp;"|"&amp;DATOS!$E7225&amp;"|"&amp;DATOS!$I7225)</f>
      </c>
      <c r="G7225">
        <f>IF(DATOS!$A7225="",0,IF(CONFIG_METADATA!$B$4&lt;&gt;"OR+EX",--(DATOS!$G7225=CONFIG_METADATA!$B$4),IF(DATOS!$G7225="EX",1,IF(DATOS!$G7225="OR",--(COUNTIFS(nNIA,DATOS!$A7225,nCURSO,DATOS!$D7225,nESPEC,DATOS!$E7225,nASIG,DATOS!$I7225,nEVAL,"EX")=0),0))))</f>
      </c>
      <c r="H7225">
        <f>IF(DATOS!$G7225&lt;&gt;"EX",0,--(COUNTIFS(nNIA,DATOS!$A7225,nCURSO,DATOS!$D7225,nESPEC,DATOS!$E7225,nASIG,DATOS!$I7225,nEVAL,"OR")=0))</f>
      </c>
      <c r="I7225">
        <f>IF(DATOS!$I7225="","",IFERROR(VLOOKUP(DATOS!$I7225,CONFIG_ASIGNATURAS!$B$2:$J$91,9,FALSE()),""))</f>
      </c>
    </row>
    <row r="7226">
      <c r="F7226">
        <f>IF(DATOS!$A7226="","",DATOS!$A7226&amp;"|"&amp;DATOS!$D7226&amp;"|"&amp;DATOS!$E7226&amp;"|"&amp;DATOS!$I7226)</f>
      </c>
      <c r="G7226">
        <f>IF(DATOS!$A7226="",0,IF(CONFIG_METADATA!$B$4&lt;&gt;"OR+EX",--(DATOS!$G7226=CONFIG_METADATA!$B$4),IF(DATOS!$G7226="EX",1,IF(DATOS!$G7226="OR",--(COUNTIFS(nNIA,DATOS!$A7226,nCURSO,DATOS!$D7226,nESPEC,DATOS!$E7226,nASIG,DATOS!$I7226,nEVAL,"EX")=0),0))))</f>
      </c>
      <c r="H7226">
        <f>IF(DATOS!$G7226&lt;&gt;"EX",0,--(COUNTIFS(nNIA,DATOS!$A7226,nCURSO,DATOS!$D7226,nESPEC,DATOS!$E7226,nASIG,DATOS!$I7226,nEVAL,"OR")=0))</f>
      </c>
      <c r="I7226">
        <f>IF(DATOS!$I7226="","",IFERROR(VLOOKUP(DATOS!$I7226,CONFIG_ASIGNATURAS!$B$2:$J$91,9,FALSE()),""))</f>
      </c>
    </row>
    <row r="7227">
      <c r="F7227">
        <f>IF(DATOS!$A7227="","",DATOS!$A7227&amp;"|"&amp;DATOS!$D7227&amp;"|"&amp;DATOS!$E7227&amp;"|"&amp;DATOS!$I7227)</f>
      </c>
      <c r="G7227">
        <f>IF(DATOS!$A7227="",0,IF(CONFIG_METADATA!$B$4&lt;&gt;"OR+EX",--(DATOS!$G7227=CONFIG_METADATA!$B$4),IF(DATOS!$G7227="EX",1,IF(DATOS!$G7227="OR",--(COUNTIFS(nNIA,DATOS!$A7227,nCURSO,DATOS!$D7227,nESPEC,DATOS!$E7227,nASIG,DATOS!$I7227,nEVAL,"EX")=0),0))))</f>
      </c>
      <c r="H7227">
        <f>IF(DATOS!$G7227&lt;&gt;"EX",0,--(COUNTIFS(nNIA,DATOS!$A7227,nCURSO,DATOS!$D7227,nESPEC,DATOS!$E7227,nASIG,DATOS!$I7227,nEVAL,"OR")=0))</f>
      </c>
      <c r="I7227">
        <f>IF(DATOS!$I7227="","",IFERROR(VLOOKUP(DATOS!$I7227,CONFIG_ASIGNATURAS!$B$2:$J$91,9,FALSE()),""))</f>
      </c>
    </row>
    <row r="7228">
      <c r="F7228">
        <f>IF(DATOS!$A7228="","",DATOS!$A7228&amp;"|"&amp;DATOS!$D7228&amp;"|"&amp;DATOS!$E7228&amp;"|"&amp;DATOS!$I7228)</f>
      </c>
      <c r="G7228">
        <f>IF(DATOS!$A7228="",0,IF(CONFIG_METADATA!$B$4&lt;&gt;"OR+EX",--(DATOS!$G7228=CONFIG_METADATA!$B$4),IF(DATOS!$G7228="EX",1,IF(DATOS!$G7228="OR",--(COUNTIFS(nNIA,DATOS!$A7228,nCURSO,DATOS!$D7228,nESPEC,DATOS!$E7228,nASIG,DATOS!$I7228,nEVAL,"EX")=0),0))))</f>
      </c>
      <c r="H7228">
        <f>IF(DATOS!$G7228&lt;&gt;"EX",0,--(COUNTIFS(nNIA,DATOS!$A7228,nCURSO,DATOS!$D7228,nESPEC,DATOS!$E7228,nASIG,DATOS!$I7228,nEVAL,"OR")=0))</f>
      </c>
      <c r="I7228">
        <f>IF(DATOS!$I7228="","",IFERROR(VLOOKUP(DATOS!$I7228,CONFIG_ASIGNATURAS!$B$2:$J$91,9,FALSE()),""))</f>
      </c>
    </row>
    <row r="7229">
      <c r="F7229">
        <f>IF(DATOS!$A7229="","",DATOS!$A7229&amp;"|"&amp;DATOS!$D7229&amp;"|"&amp;DATOS!$E7229&amp;"|"&amp;DATOS!$I7229)</f>
      </c>
      <c r="G7229">
        <f>IF(DATOS!$A7229="",0,IF(CONFIG_METADATA!$B$4&lt;&gt;"OR+EX",--(DATOS!$G7229=CONFIG_METADATA!$B$4),IF(DATOS!$G7229="EX",1,IF(DATOS!$G7229="OR",--(COUNTIFS(nNIA,DATOS!$A7229,nCURSO,DATOS!$D7229,nESPEC,DATOS!$E7229,nASIG,DATOS!$I7229,nEVAL,"EX")=0),0))))</f>
      </c>
      <c r="H7229">
        <f>IF(DATOS!$G7229&lt;&gt;"EX",0,--(COUNTIFS(nNIA,DATOS!$A7229,nCURSO,DATOS!$D7229,nESPEC,DATOS!$E7229,nASIG,DATOS!$I7229,nEVAL,"OR")=0))</f>
      </c>
      <c r="I7229">
        <f>IF(DATOS!$I7229="","",IFERROR(VLOOKUP(DATOS!$I7229,CONFIG_ASIGNATURAS!$B$2:$J$91,9,FALSE()),""))</f>
      </c>
    </row>
    <row r="7230">
      <c r="F7230">
        <f>IF(DATOS!$A7230="","",DATOS!$A7230&amp;"|"&amp;DATOS!$D7230&amp;"|"&amp;DATOS!$E7230&amp;"|"&amp;DATOS!$I7230)</f>
      </c>
      <c r="G7230">
        <f>IF(DATOS!$A7230="",0,IF(CONFIG_METADATA!$B$4&lt;&gt;"OR+EX",--(DATOS!$G7230=CONFIG_METADATA!$B$4),IF(DATOS!$G7230="EX",1,IF(DATOS!$G7230="OR",--(COUNTIFS(nNIA,DATOS!$A7230,nCURSO,DATOS!$D7230,nESPEC,DATOS!$E7230,nASIG,DATOS!$I7230,nEVAL,"EX")=0),0))))</f>
      </c>
      <c r="H7230">
        <f>IF(DATOS!$G7230&lt;&gt;"EX",0,--(COUNTIFS(nNIA,DATOS!$A7230,nCURSO,DATOS!$D7230,nESPEC,DATOS!$E7230,nASIG,DATOS!$I7230,nEVAL,"OR")=0))</f>
      </c>
      <c r="I7230">
        <f>IF(DATOS!$I7230="","",IFERROR(VLOOKUP(DATOS!$I7230,CONFIG_ASIGNATURAS!$B$2:$J$91,9,FALSE()),""))</f>
      </c>
    </row>
    <row r="7231">
      <c r="F7231">
        <f>IF(DATOS!$A7231="","",DATOS!$A7231&amp;"|"&amp;DATOS!$D7231&amp;"|"&amp;DATOS!$E7231&amp;"|"&amp;DATOS!$I7231)</f>
      </c>
      <c r="G7231">
        <f>IF(DATOS!$A7231="",0,IF(CONFIG_METADATA!$B$4&lt;&gt;"OR+EX",--(DATOS!$G7231=CONFIG_METADATA!$B$4),IF(DATOS!$G7231="EX",1,IF(DATOS!$G7231="OR",--(COUNTIFS(nNIA,DATOS!$A7231,nCURSO,DATOS!$D7231,nESPEC,DATOS!$E7231,nASIG,DATOS!$I7231,nEVAL,"EX")=0),0))))</f>
      </c>
      <c r="H7231">
        <f>IF(DATOS!$G7231&lt;&gt;"EX",0,--(COUNTIFS(nNIA,DATOS!$A7231,nCURSO,DATOS!$D7231,nESPEC,DATOS!$E7231,nASIG,DATOS!$I7231,nEVAL,"OR")=0))</f>
      </c>
      <c r="I7231">
        <f>IF(DATOS!$I7231="","",IFERROR(VLOOKUP(DATOS!$I7231,CONFIG_ASIGNATURAS!$B$2:$J$91,9,FALSE()),""))</f>
      </c>
    </row>
    <row r="7232">
      <c r="F7232">
        <f>IF(DATOS!$A7232="","",DATOS!$A7232&amp;"|"&amp;DATOS!$D7232&amp;"|"&amp;DATOS!$E7232&amp;"|"&amp;DATOS!$I7232)</f>
      </c>
      <c r="G7232">
        <f>IF(DATOS!$A7232="",0,IF(CONFIG_METADATA!$B$4&lt;&gt;"OR+EX",--(DATOS!$G7232=CONFIG_METADATA!$B$4),IF(DATOS!$G7232="EX",1,IF(DATOS!$G7232="OR",--(COUNTIFS(nNIA,DATOS!$A7232,nCURSO,DATOS!$D7232,nESPEC,DATOS!$E7232,nASIG,DATOS!$I7232,nEVAL,"EX")=0),0))))</f>
      </c>
      <c r="H7232">
        <f>IF(DATOS!$G7232&lt;&gt;"EX",0,--(COUNTIFS(nNIA,DATOS!$A7232,nCURSO,DATOS!$D7232,nESPEC,DATOS!$E7232,nASIG,DATOS!$I7232,nEVAL,"OR")=0))</f>
      </c>
      <c r="I7232">
        <f>IF(DATOS!$I7232="","",IFERROR(VLOOKUP(DATOS!$I7232,CONFIG_ASIGNATURAS!$B$2:$J$91,9,FALSE()),""))</f>
      </c>
    </row>
    <row r="7233">
      <c r="F7233">
        <f>IF(DATOS!$A7233="","",DATOS!$A7233&amp;"|"&amp;DATOS!$D7233&amp;"|"&amp;DATOS!$E7233&amp;"|"&amp;DATOS!$I7233)</f>
      </c>
      <c r="G7233">
        <f>IF(DATOS!$A7233="",0,IF(CONFIG_METADATA!$B$4&lt;&gt;"OR+EX",--(DATOS!$G7233=CONFIG_METADATA!$B$4),IF(DATOS!$G7233="EX",1,IF(DATOS!$G7233="OR",--(COUNTIFS(nNIA,DATOS!$A7233,nCURSO,DATOS!$D7233,nESPEC,DATOS!$E7233,nASIG,DATOS!$I7233,nEVAL,"EX")=0),0))))</f>
      </c>
      <c r="H7233">
        <f>IF(DATOS!$G7233&lt;&gt;"EX",0,--(COUNTIFS(nNIA,DATOS!$A7233,nCURSO,DATOS!$D7233,nESPEC,DATOS!$E7233,nASIG,DATOS!$I7233,nEVAL,"OR")=0))</f>
      </c>
      <c r="I7233">
        <f>IF(DATOS!$I7233="","",IFERROR(VLOOKUP(DATOS!$I7233,CONFIG_ASIGNATURAS!$B$2:$J$91,9,FALSE()),""))</f>
      </c>
    </row>
    <row r="7234">
      <c r="F7234">
        <f>IF(DATOS!$A7234="","",DATOS!$A7234&amp;"|"&amp;DATOS!$D7234&amp;"|"&amp;DATOS!$E7234&amp;"|"&amp;DATOS!$I7234)</f>
      </c>
      <c r="G7234">
        <f>IF(DATOS!$A7234="",0,IF(CONFIG_METADATA!$B$4&lt;&gt;"OR+EX",--(DATOS!$G7234=CONFIG_METADATA!$B$4),IF(DATOS!$G7234="EX",1,IF(DATOS!$G7234="OR",--(COUNTIFS(nNIA,DATOS!$A7234,nCURSO,DATOS!$D7234,nESPEC,DATOS!$E7234,nASIG,DATOS!$I7234,nEVAL,"EX")=0),0))))</f>
      </c>
      <c r="H7234">
        <f>IF(DATOS!$G7234&lt;&gt;"EX",0,--(COUNTIFS(nNIA,DATOS!$A7234,nCURSO,DATOS!$D7234,nESPEC,DATOS!$E7234,nASIG,DATOS!$I7234,nEVAL,"OR")=0))</f>
      </c>
      <c r="I7234">
        <f>IF(DATOS!$I7234="","",IFERROR(VLOOKUP(DATOS!$I7234,CONFIG_ASIGNATURAS!$B$2:$J$91,9,FALSE()),""))</f>
      </c>
    </row>
    <row r="7235">
      <c r="F7235">
        <f>IF(DATOS!$A7235="","",DATOS!$A7235&amp;"|"&amp;DATOS!$D7235&amp;"|"&amp;DATOS!$E7235&amp;"|"&amp;DATOS!$I7235)</f>
      </c>
      <c r="G7235">
        <f>IF(DATOS!$A7235="",0,IF(CONFIG_METADATA!$B$4&lt;&gt;"OR+EX",--(DATOS!$G7235=CONFIG_METADATA!$B$4),IF(DATOS!$G7235="EX",1,IF(DATOS!$G7235="OR",--(COUNTIFS(nNIA,DATOS!$A7235,nCURSO,DATOS!$D7235,nESPEC,DATOS!$E7235,nASIG,DATOS!$I7235,nEVAL,"EX")=0),0))))</f>
      </c>
      <c r="H7235">
        <f>IF(DATOS!$G7235&lt;&gt;"EX",0,--(COUNTIFS(nNIA,DATOS!$A7235,nCURSO,DATOS!$D7235,nESPEC,DATOS!$E7235,nASIG,DATOS!$I7235,nEVAL,"OR")=0))</f>
      </c>
      <c r="I7235">
        <f>IF(DATOS!$I7235="","",IFERROR(VLOOKUP(DATOS!$I7235,CONFIG_ASIGNATURAS!$B$2:$J$91,9,FALSE()),""))</f>
      </c>
    </row>
    <row r="7236">
      <c r="F7236">
        <f>IF(DATOS!$A7236="","",DATOS!$A7236&amp;"|"&amp;DATOS!$D7236&amp;"|"&amp;DATOS!$E7236&amp;"|"&amp;DATOS!$I7236)</f>
      </c>
      <c r="G7236">
        <f>IF(DATOS!$A7236="",0,IF(CONFIG_METADATA!$B$4&lt;&gt;"OR+EX",--(DATOS!$G7236=CONFIG_METADATA!$B$4),IF(DATOS!$G7236="EX",1,IF(DATOS!$G7236="OR",--(COUNTIFS(nNIA,DATOS!$A7236,nCURSO,DATOS!$D7236,nESPEC,DATOS!$E7236,nASIG,DATOS!$I7236,nEVAL,"EX")=0),0))))</f>
      </c>
      <c r="H7236">
        <f>IF(DATOS!$G7236&lt;&gt;"EX",0,--(COUNTIFS(nNIA,DATOS!$A7236,nCURSO,DATOS!$D7236,nESPEC,DATOS!$E7236,nASIG,DATOS!$I7236,nEVAL,"OR")=0))</f>
      </c>
      <c r="I7236">
        <f>IF(DATOS!$I7236="","",IFERROR(VLOOKUP(DATOS!$I7236,CONFIG_ASIGNATURAS!$B$2:$J$91,9,FALSE()),""))</f>
      </c>
    </row>
    <row r="7237">
      <c r="F7237">
        <f>IF(DATOS!$A7237="","",DATOS!$A7237&amp;"|"&amp;DATOS!$D7237&amp;"|"&amp;DATOS!$E7237&amp;"|"&amp;DATOS!$I7237)</f>
      </c>
      <c r="G7237">
        <f>IF(DATOS!$A7237="",0,IF(CONFIG_METADATA!$B$4&lt;&gt;"OR+EX",--(DATOS!$G7237=CONFIG_METADATA!$B$4),IF(DATOS!$G7237="EX",1,IF(DATOS!$G7237="OR",--(COUNTIFS(nNIA,DATOS!$A7237,nCURSO,DATOS!$D7237,nESPEC,DATOS!$E7237,nASIG,DATOS!$I7237,nEVAL,"EX")=0),0))))</f>
      </c>
      <c r="H7237">
        <f>IF(DATOS!$G7237&lt;&gt;"EX",0,--(COUNTIFS(nNIA,DATOS!$A7237,nCURSO,DATOS!$D7237,nESPEC,DATOS!$E7237,nASIG,DATOS!$I7237,nEVAL,"OR")=0))</f>
      </c>
      <c r="I7237">
        <f>IF(DATOS!$I7237="","",IFERROR(VLOOKUP(DATOS!$I7237,CONFIG_ASIGNATURAS!$B$2:$J$91,9,FALSE()),""))</f>
      </c>
    </row>
    <row r="7238">
      <c r="F7238">
        <f>IF(DATOS!$A7238="","",DATOS!$A7238&amp;"|"&amp;DATOS!$D7238&amp;"|"&amp;DATOS!$E7238&amp;"|"&amp;DATOS!$I7238)</f>
      </c>
      <c r="G7238">
        <f>IF(DATOS!$A7238="",0,IF(CONFIG_METADATA!$B$4&lt;&gt;"OR+EX",--(DATOS!$G7238=CONFIG_METADATA!$B$4),IF(DATOS!$G7238="EX",1,IF(DATOS!$G7238="OR",--(COUNTIFS(nNIA,DATOS!$A7238,nCURSO,DATOS!$D7238,nESPEC,DATOS!$E7238,nASIG,DATOS!$I7238,nEVAL,"EX")=0),0))))</f>
      </c>
      <c r="H7238">
        <f>IF(DATOS!$G7238&lt;&gt;"EX",0,--(COUNTIFS(nNIA,DATOS!$A7238,nCURSO,DATOS!$D7238,nESPEC,DATOS!$E7238,nASIG,DATOS!$I7238,nEVAL,"OR")=0))</f>
      </c>
      <c r="I7238">
        <f>IF(DATOS!$I7238="","",IFERROR(VLOOKUP(DATOS!$I7238,CONFIG_ASIGNATURAS!$B$2:$J$91,9,FALSE()),""))</f>
      </c>
    </row>
    <row r="7239">
      <c r="F7239">
        <f>IF(DATOS!$A7239="","",DATOS!$A7239&amp;"|"&amp;DATOS!$D7239&amp;"|"&amp;DATOS!$E7239&amp;"|"&amp;DATOS!$I7239)</f>
      </c>
      <c r="G7239">
        <f>IF(DATOS!$A7239="",0,IF(CONFIG_METADATA!$B$4&lt;&gt;"OR+EX",--(DATOS!$G7239=CONFIG_METADATA!$B$4),IF(DATOS!$G7239="EX",1,IF(DATOS!$G7239="OR",--(COUNTIFS(nNIA,DATOS!$A7239,nCURSO,DATOS!$D7239,nESPEC,DATOS!$E7239,nASIG,DATOS!$I7239,nEVAL,"EX")=0),0))))</f>
      </c>
      <c r="H7239">
        <f>IF(DATOS!$G7239&lt;&gt;"EX",0,--(COUNTIFS(nNIA,DATOS!$A7239,nCURSO,DATOS!$D7239,nESPEC,DATOS!$E7239,nASIG,DATOS!$I7239,nEVAL,"OR")=0))</f>
      </c>
      <c r="I7239">
        <f>IF(DATOS!$I7239="","",IFERROR(VLOOKUP(DATOS!$I7239,CONFIG_ASIGNATURAS!$B$2:$J$91,9,FALSE()),""))</f>
      </c>
    </row>
    <row r="7240">
      <c r="F7240">
        <f>IF(DATOS!$A7240="","",DATOS!$A7240&amp;"|"&amp;DATOS!$D7240&amp;"|"&amp;DATOS!$E7240&amp;"|"&amp;DATOS!$I7240)</f>
      </c>
      <c r="G7240">
        <f>IF(DATOS!$A7240="",0,IF(CONFIG_METADATA!$B$4&lt;&gt;"OR+EX",--(DATOS!$G7240=CONFIG_METADATA!$B$4),IF(DATOS!$G7240="EX",1,IF(DATOS!$G7240="OR",--(COUNTIFS(nNIA,DATOS!$A7240,nCURSO,DATOS!$D7240,nESPEC,DATOS!$E7240,nASIG,DATOS!$I7240,nEVAL,"EX")=0),0))))</f>
      </c>
      <c r="H7240">
        <f>IF(DATOS!$G7240&lt;&gt;"EX",0,--(COUNTIFS(nNIA,DATOS!$A7240,nCURSO,DATOS!$D7240,nESPEC,DATOS!$E7240,nASIG,DATOS!$I7240,nEVAL,"OR")=0))</f>
      </c>
      <c r="I7240">
        <f>IF(DATOS!$I7240="","",IFERROR(VLOOKUP(DATOS!$I7240,CONFIG_ASIGNATURAS!$B$2:$J$91,9,FALSE()),""))</f>
      </c>
    </row>
    <row r="7241">
      <c r="F7241">
        <f>IF(DATOS!$A7241="","",DATOS!$A7241&amp;"|"&amp;DATOS!$D7241&amp;"|"&amp;DATOS!$E7241&amp;"|"&amp;DATOS!$I7241)</f>
      </c>
      <c r="G7241">
        <f>IF(DATOS!$A7241="",0,IF(CONFIG_METADATA!$B$4&lt;&gt;"OR+EX",--(DATOS!$G7241=CONFIG_METADATA!$B$4),IF(DATOS!$G7241="EX",1,IF(DATOS!$G7241="OR",--(COUNTIFS(nNIA,DATOS!$A7241,nCURSO,DATOS!$D7241,nESPEC,DATOS!$E7241,nASIG,DATOS!$I7241,nEVAL,"EX")=0),0))))</f>
      </c>
      <c r="H7241">
        <f>IF(DATOS!$G7241&lt;&gt;"EX",0,--(COUNTIFS(nNIA,DATOS!$A7241,nCURSO,DATOS!$D7241,nESPEC,DATOS!$E7241,nASIG,DATOS!$I7241,nEVAL,"OR")=0))</f>
      </c>
      <c r="I7241">
        <f>IF(DATOS!$I7241="","",IFERROR(VLOOKUP(DATOS!$I7241,CONFIG_ASIGNATURAS!$B$2:$J$91,9,FALSE()),""))</f>
      </c>
    </row>
    <row r="7242">
      <c r="F7242">
        <f>IF(DATOS!$A7242="","",DATOS!$A7242&amp;"|"&amp;DATOS!$D7242&amp;"|"&amp;DATOS!$E7242&amp;"|"&amp;DATOS!$I7242)</f>
      </c>
      <c r="G7242">
        <f>IF(DATOS!$A7242="",0,IF(CONFIG_METADATA!$B$4&lt;&gt;"OR+EX",--(DATOS!$G7242=CONFIG_METADATA!$B$4),IF(DATOS!$G7242="EX",1,IF(DATOS!$G7242="OR",--(COUNTIFS(nNIA,DATOS!$A7242,nCURSO,DATOS!$D7242,nESPEC,DATOS!$E7242,nASIG,DATOS!$I7242,nEVAL,"EX")=0),0))))</f>
      </c>
      <c r="H7242">
        <f>IF(DATOS!$G7242&lt;&gt;"EX",0,--(COUNTIFS(nNIA,DATOS!$A7242,nCURSO,DATOS!$D7242,nESPEC,DATOS!$E7242,nASIG,DATOS!$I7242,nEVAL,"OR")=0))</f>
      </c>
      <c r="I7242">
        <f>IF(DATOS!$I7242="","",IFERROR(VLOOKUP(DATOS!$I7242,CONFIG_ASIGNATURAS!$B$2:$J$91,9,FALSE()),""))</f>
      </c>
    </row>
    <row r="7243">
      <c r="F7243">
        <f>IF(DATOS!$A7243="","",DATOS!$A7243&amp;"|"&amp;DATOS!$D7243&amp;"|"&amp;DATOS!$E7243&amp;"|"&amp;DATOS!$I7243)</f>
      </c>
      <c r="G7243">
        <f>IF(DATOS!$A7243="",0,IF(CONFIG_METADATA!$B$4&lt;&gt;"OR+EX",--(DATOS!$G7243=CONFIG_METADATA!$B$4),IF(DATOS!$G7243="EX",1,IF(DATOS!$G7243="OR",--(COUNTIFS(nNIA,DATOS!$A7243,nCURSO,DATOS!$D7243,nESPEC,DATOS!$E7243,nASIG,DATOS!$I7243,nEVAL,"EX")=0),0))))</f>
      </c>
      <c r="H7243">
        <f>IF(DATOS!$G7243&lt;&gt;"EX",0,--(COUNTIFS(nNIA,DATOS!$A7243,nCURSO,DATOS!$D7243,nESPEC,DATOS!$E7243,nASIG,DATOS!$I7243,nEVAL,"OR")=0))</f>
      </c>
      <c r="I7243">
        <f>IF(DATOS!$I7243="","",IFERROR(VLOOKUP(DATOS!$I7243,CONFIG_ASIGNATURAS!$B$2:$J$91,9,FALSE()),""))</f>
      </c>
    </row>
    <row r="7244">
      <c r="F7244">
        <f>IF(DATOS!$A7244="","",DATOS!$A7244&amp;"|"&amp;DATOS!$D7244&amp;"|"&amp;DATOS!$E7244&amp;"|"&amp;DATOS!$I7244)</f>
      </c>
      <c r="G7244">
        <f>IF(DATOS!$A7244="",0,IF(CONFIG_METADATA!$B$4&lt;&gt;"OR+EX",--(DATOS!$G7244=CONFIG_METADATA!$B$4),IF(DATOS!$G7244="EX",1,IF(DATOS!$G7244="OR",--(COUNTIFS(nNIA,DATOS!$A7244,nCURSO,DATOS!$D7244,nESPEC,DATOS!$E7244,nASIG,DATOS!$I7244,nEVAL,"EX")=0),0))))</f>
      </c>
      <c r="H7244">
        <f>IF(DATOS!$G7244&lt;&gt;"EX",0,--(COUNTIFS(nNIA,DATOS!$A7244,nCURSO,DATOS!$D7244,nESPEC,DATOS!$E7244,nASIG,DATOS!$I7244,nEVAL,"OR")=0))</f>
      </c>
      <c r="I7244">
        <f>IF(DATOS!$I7244="","",IFERROR(VLOOKUP(DATOS!$I7244,CONFIG_ASIGNATURAS!$B$2:$J$91,9,FALSE()),""))</f>
      </c>
    </row>
    <row r="7245">
      <c r="F7245">
        <f>IF(DATOS!$A7245="","",DATOS!$A7245&amp;"|"&amp;DATOS!$D7245&amp;"|"&amp;DATOS!$E7245&amp;"|"&amp;DATOS!$I7245)</f>
      </c>
      <c r="G7245">
        <f>IF(DATOS!$A7245="",0,IF(CONFIG_METADATA!$B$4&lt;&gt;"OR+EX",--(DATOS!$G7245=CONFIG_METADATA!$B$4),IF(DATOS!$G7245="EX",1,IF(DATOS!$G7245="OR",--(COUNTIFS(nNIA,DATOS!$A7245,nCURSO,DATOS!$D7245,nESPEC,DATOS!$E7245,nASIG,DATOS!$I7245,nEVAL,"EX")=0),0))))</f>
      </c>
      <c r="H7245">
        <f>IF(DATOS!$G7245&lt;&gt;"EX",0,--(COUNTIFS(nNIA,DATOS!$A7245,nCURSO,DATOS!$D7245,nESPEC,DATOS!$E7245,nASIG,DATOS!$I7245,nEVAL,"OR")=0))</f>
      </c>
      <c r="I7245">
        <f>IF(DATOS!$I7245="","",IFERROR(VLOOKUP(DATOS!$I7245,CONFIG_ASIGNATURAS!$B$2:$J$91,9,FALSE()),""))</f>
      </c>
    </row>
    <row r="7246">
      <c r="F7246">
        <f>IF(DATOS!$A7246="","",DATOS!$A7246&amp;"|"&amp;DATOS!$D7246&amp;"|"&amp;DATOS!$E7246&amp;"|"&amp;DATOS!$I7246)</f>
      </c>
      <c r="G7246">
        <f>IF(DATOS!$A7246="",0,IF(CONFIG_METADATA!$B$4&lt;&gt;"OR+EX",--(DATOS!$G7246=CONFIG_METADATA!$B$4),IF(DATOS!$G7246="EX",1,IF(DATOS!$G7246="OR",--(COUNTIFS(nNIA,DATOS!$A7246,nCURSO,DATOS!$D7246,nESPEC,DATOS!$E7246,nASIG,DATOS!$I7246,nEVAL,"EX")=0),0))))</f>
      </c>
      <c r="H7246">
        <f>IF(DATOS!$G7246&lt;&gt;"EX",0,--(COUNTIFS(nNIA,DATOS!$A7246,nCURSO,DATOS!$D7246,nESPEC,DATOS!$E7246,nASIG,DATOS!$I7246,nEVAL,"OR")=0))</f>
      </c>
      <c r="I7246">
        <f>IF(DATOS!$I7246="","",IFERROR(VLOOKUP(DATOS!$I7246,CONFIG_ASIGNATURAS!$B$2:$J$91,9,FALSE()),""))</f>
      </c>
    </row>
    <row r="7247">
      <c r="F7247">
        <f>IF(DATOS!$A7247="","",DATOS!$A7247&amp;"|"&amp;DATOS!$D7247&amp;"|"&amp;DATOS!$E7247&amp;"|"&amp;DATOS!$I7247)</f>
      </c>
      <c r="G7247">
        <f>IF(DATOS!$A7247="",0,IF(CONFIG_METADATA!$B$4&lt;&gt;"OR+EX",--(DATOS!$G7247=CONFIG_METADATA!$B$4),IF(DATOS!$G7247="EX",1,IF(DATOS!$G7247="OR",--(COUNTIFS(nNIA,DATOS!$A7247,nCURSO,DATOS!$D7247,nESPEC,DATOS!$E7247,nASIG,DATOS!$I7247,nEVAL,"EX")=0),0))))</f>
      </c>
      <c r="H7247">
        <f>IF(DATOS!$G7247&lt;&gt;"EX",0,--(COUNTIFS(nNIA,DATOS!$A7247,nCURSO,DATOS!$D7247,nESPEC,DATOS!$E7247,nASIG,DATOS!$I7247,nEVAL,"OR")=0))</f>
      </c>
      <c r="I7247">
        <f>IF(DATOS!$I7247="","",IFERROR(VLOOKUP(DATOS!$I7247,CONFIG_ASIGNATURAS!$B$2:$J$91,9,FALSE()),""))</f>
      </c>
    </row>
    <row r="7248">
      <c r="F7248">
        <f>IF(DATOS!$A7248="","",DATOS!$A7248&amp;"|"&amp;DATOS!$D7248&amp;"|"&amp;DATOS!$E7248&amp;"|"&amp;DATOS!$I7248)</f>
      </c>
      <c r="G7248">
        <f>IF(DATOS!$A7248="",0,IF(CONFIG_METADATA!$B$4&lt;&gt;"OR+EX",--(DATOS!$G7248=CONFIG_METADATA!$B$4),IF(DATOS!$G7248="EX",1,IF(DATOS!$G7248="OR",--(COUNTIFS(nNIA,DATOS!$A7248,nCURSO,DATOS!$D7248,nESPEC,DATOS!$E7248,nASIG,DATOS!$I7248,nEVAL,"EX")=0),0))))</f>
      </c>
      <c r="H7248">
        <f>IF(DATOS!$G7248&lt;&gt;"EX",0,--(COUNTIFS(nNIA,DATOS!$A7248,nCURSO,DATOS!$D7248,nESPEC,DATOS!$E7248,nASIG,DATOS!$I7248,nEVAL,"OR")=0))</f>
      </c>
      <c r="I7248">
        <f>IF(DATOS!$I7248="","",IFERROR(VLOOKUP(DATOS!$I7248,CONFIG_ASIGNATURAS!$B$2:$J$91,9,FALSE()),""))</f>
      </c>
    </row>
    <row r="7249">
      <c r="F7249">
        <f>IF(DATOS!$A7249="","",DATOS!$A7249&amp;"|"&amp;DATOS!$D7249&amp;"|"&amp;DATOS!$E7249&amp;"|"&amp;DATOS!$I7249)</f>
      </c>
      <c r="G7249">
        <f>IF(DATOS!$A7249="",0,IF(CONFIG_METADATA!$B$4&lt;&gt;"OR+EX",--(DATOS!$G7249=CONFIG_METADATA!$B$4),IF(DATOS!$G7249="EX",1,IF(DATOS!$G7249="OR",--(COUNTIFS(nNIA,DATOS!$A7249,nCURSO,DATOS!$D7249,nESPEC,DATOS!$E7249,nASIG,DATOS!$I7249,nEVAL,"EX")=0),0))))</f>
      </c>
      <c r="H7249">
        <f>IF(DATOS!$G7249&lt;&gt;"EX",0,--(COUNTIFS(nNIA,DATOS!$A7249,nCURSO,DATOS!$D7249,nESPEC,DATOS!$E7249,nASIG,DATOS!$I7249,nEVAL,"OR")=0))</f>
      </c>
      <c r="I7249">
        <f>IF(DATOS!$I7249="","",IFERROR(VLOOKUP(DATOS!$I7249,CONFIG_ASIGNATURAS!$B$2:$J$91,9,FALSE()),""))</f>
      </c>
    </row>
    <row r="7250">
      <c r="F7250">
        <f>IF(DATOS!$A7250="","",DATOS!$A7250&amp;"|"&amp;DATOS!$D7250&amp;"|"&amp;DATOS!$E7250&amp;"|"&amp;DATOS!$I7250)</f>
      </c>
      <c r="G7250">
        <f>IF(DATOS!$A7250="",0,IF(CONFIG_METADATA!$B$4&lt;&gt;"OR+EX",--(DATOS!$G7250=CONFIG_METADATA!$B$4),IF(DATOS!$G7250="EX",1,IF(DATOS!$G7250="OR",--(COUNTIFS(nNIA,DATOS!$A7250,nCURSO,DATOS!$D7250,nESPEC,DATOS!$E7250,nASIG,DATOS!$I7250,nEVAL,"EX")=0),0))))</f>
      </c>
      <c r="H7250">
        <f>IF(DATOS!$G7250&lt;&gt;"EX",0,--(COUNTIFS(nNIA,DATOS!$A7250,nCURSO,DATOS!$D7250,nESPEC,DATOS!$E7250,nASIG,DATOS!$I7250,nEVAL,"OR")=0))</f>
      </c>
      <c r="I7250">
        <f>IF(DATOS!$I7250="","",IFERROR(VLOOKUP(DATOS!$I7250,CONFIG_ASIGNATURAS!$B$2:$J$91,9,FALSE()),""))</f>
      </c>
    </row>
    <row r="7251">
      <c r="F7251">
        <f>IF(DATOS!$A7251="","",DATOS!$A7251&amp;"|"&amp;DATOS!$D7251&amp;"|"&amp;DATOS!$E7251&amp;"|"&amp;DATOS!$I7251)</f>
      </c>
      <c r="G7251">
        <f>IF(DATOS!$A7251="",0,IF(CONFIG_METADATA!$B$4&lt;&gt;"OR+EX",--(DATOS!$G7251=CONFIG_METADATA!$B$4),IF(DATOS!$G7251="EX",1,IF(DATOS!$G7251="OR",--(COUNTIFS(nNIA,DATOS!$A7251,nCURSO,DATOS!$D7251,nESPEC,DATOS!$E7251,nASIG,DATOS!$I7251,nEVAL,"EX")=0),0))))</f>
      </c>
      <c r="H7251">
        <f>IF(DATOS!$G7251&lt;&gt;"EX",0,--(COUNTIFS(nNIA,DATOS!$A7251,nCURSO,DATOS!$D7251,nESPEC,DATOS!$E7251,nASIG,DATOS!$I7251,nEVAL,"OR")=0))</f>
      </c>
      <c r="I7251">
        <f>IF(DATOS!$I7251="","",IFERROR(VLOOKUP(DATOS!$I7251,CONFIG_ASIGNATURAS!$B$2:$J$91,9,FALSE()),""))</f>
      </c>
    </row>
    <row r="7252">
      <c r="F7252">
        <f>IF(DATOS!$A7252="","",DATOS!$A7252&amp;"|"&amp;DATOS!$D7252&amp;"|"&amp;DATOS!$E7252&amp;"|"&amp;DATOS!$I7252)</f>
      </c>
      <c r="G7252">
        <f>IF(DATOS!$A7252="",0,IF(CONFIG_METADATA!$B$4&lt;&gt;"OR+EX",--(DATOS!$G7252=CONFIG_METADATA!$B$4),IF(DATOS!$G7252="EX",1,IF(DATOS!$G7252="OR",--(COUNTIFS(nNIA,DATOS!$A7252,nCURSO,DATOS!$D7252,nESPEC,DATOS!$E7252,nASIG,DATOS!$I7252,nEVAL,"EX")=0),0))))</f>
      </c>
      <c r="H7252">
        <f>IF(DATOS!$G7252&lt;&gt;"EX",0,--(COUNTIFS(nNIA,DATOS!$A7252,nCURSO,DATOS!$D7252,nESPEC,DATOS!$E7252,nASIG,DATOS!$I7252,nEVAL,"OR")=0))</f>
      </c>
      <c r="I7252">
        <f>IF(DATOS!$I7252="","",IFERROR(VLOOKUP(DATOS!$I7252,CONFIG_ASIGNATURAS!$B$2:$J$91,9,FALSE()),""))</f>
      </c>
    </row>
    <row r="7253">
      <c r="F7253">
        <f>IF(DATOS!$A7253="","",DATOS!$A7253&amp;"|"&amp;DATOS!$D7253&amp;"|"&amp;DATOS!$E7253&amp;"|"&amp;DATOS!$I7253)</f>
      </c>
      <c r="G7253">
        <f>IF(DATOS!$A7253="",0,IF(CONFIG_METADATA!$B$4&lt;&gt;"OR+EX",--(DATOS!$G7253=CONFIG_METADATA!$B$4),IF(DATOS!$G7253="EX",1,IF(DATOS!$G7253="OR",--(COUNTIFS(nNIA,DATOS!$A7253,nCURSO,DATOS!$D7253,nESPEC,DATOS!$E7253,nASIG,DATOS!$I7253,nEVAL,"EX")=0),0))))</f>
      </c>
      <c r="H7253">
        <f>IF(DATOS!$G7253&lt;&gt;"EX",0,--(COUNTIFS(nNIA,DATOS!$A7253,nCURSO,DATOS!$D7253,nESPEC,DATOS!$E7253,nASIG,DATOS!$I7253,nEVAL,"OR")=0))</f>
      </c>
      <c r="I7253">
        <f>IF(DATOS!$I7253="","",IFERROR(VLOOKUP(DATOS!$I7253,CONFIG_ASIGNATURAS!$B$2:$J$91,9,FALSE()),""))</f>
      </c>
    </row>
    <row r="7254">
      <c r="F7254">
        <f>IF(DATOS!$A7254="","",DATOS!$A7254&amp;"|"&amp;DATOS!$D7254&amp;"|"&amp;DATOS!$E7254&amp;"|"&amp;DATOS!$I7254)</f>
      </c>
      <c r="G7254">
        <f>IF(DATOS!$A7254="",0,IF(CONFIG_METADATA!$B$4&lt;&gt;"OR+EX",--(DATOS!$G7254=CONFIG_METADATA!$B$4),IF(DATOS!$G7254="EX",1,IF(DATOS!$G7254="OR",--(COUNTIFS(nNIA,DATOS!$A7254,nCURSO,DATOS!$D7254,nESPEC,DATOS!$E7254,nASIG,DATOS!$I7254,nEVAL,"EX")=0),0))))</f>
      </c>
      <c r="H7254">
        <f>IF(DATOS!$G7254&lt;&gt;"EX",0,--(COUNTIFS(nNIA,DATOS!$A7254,nCURSO,DATOS!$D7254,nESPEC,DATOS!$E7254,nASIG,DATOS!$I7254,nEVAL,"OR")=0))</f>
      </c>
      <c r="I7254">
        <f>IF(DATOS!$I7254="","",IFERROR(VLOOKUP(DATOS!$I7254,CONFIG_ASIGNATURAS!$B$2:$J$91,9,FALSE()),""))</f>
      </c>
    </row>
    <row r="7255">
      <c r="F7255">
        <f>IF(DATOS!$A7255="","",DATOS!$A7255&amp;"|"&amp;DATOS!$D7255&amp;"|"&amp;DATOS!$E7255&amp;"|"&amp;DATOS!$I7255)</f>
      </c>
      <c r="G7255">
        <f>IF(DATOS!$A7255="",0,IF(CONFIG_METADATA!$B$4&lt;&gt;"OR+EX",--(DATOS!$G7255=CONFIG_METADATA!$B$4),IF(DATOS!$G7255="EX",1,IF(DATOS!$G7255="OR",--(COUNTIFS(nNIA,DATOS!$A7255,nCURSO,DATOS!$D7255,nESPEC,DATOS!$E7255,nASIG,DATOS!$I7255,nEVAL,"EX")=0),0))))</f>
      </c>
      <c r="H7255">
        <f>IF(DATOS!$G7255&lt;&gt;"EX",0,--(COUNTIFS(nNIA,DATOS!$A7255,nCURSO,DATOS!$D7255,nESPEC,DATOS!$E7255,nASIG,DATOS!$I7255,nEVAL,"OR")=0))</f>
      </c>
      <c r="I7255">
        <f>IF(DATOS!$I7255="","",IFERROR(VLOOKUP(DATOS!$I7255,CONFIG_ASIGNATURAS!$B$2:$J$91,9,FALSE()),""))</f>
      </c>
    </row>
    <row r="7256">
      <c r="F7256">
        <f>IF(DATOS!$A7256="","",DATOS!$A7256&amp;"|"&amp;DATOS!$D7256&amp;"|"&amp;DATOS!$E7256&amp;"|"&amp;DATOS!$I7256)</f>
      </c>
      <c r="G7256">
        <f>IF(DATOS!$A7256="",0,IF(CONFIG_METADATA!$B$4&lt;&gt;"OR+EX",--(DATOS!$G7256=CONFIG_METADATA!$B$4),IF(DATOS!$G7256="EX",1,IF(DATOS!$G7256="OR",--(COUNTIFS(nNIA,DATOS!$A7256,nCURSO,DATOS!$D7256,nESPEC,DATOS!$E7256,nASIG,DATOS!$I7256,nEVAL,"EX")=0),0))))</f>
      </c>
      <c r="H7256">
        <f>IF(DATOS!$G7256&lt;&gt;"EX",0,--(COUNTIFS(nNIA,DATOS!$A7256,nCURSO,DATOS!$D7256,nESPEC,DATOS!$E7256,nASIG,DATOS!$I7256,nEVAL,"OR")=0))</f>
      </c>
      <c r="I7256">
        <f>IF(DATOS!$I7256="","",IFERROR(VLOOKUP(DATOS!$I7256,CONFIG_ASIGNATURAS!$B$2:$J$91,9,FALSE()),""))</f>
      </c>
    </row>
    <row r="7257">
      <c r="F7257">
        <f>IF(DATOS!$A7257="","",DATOS!$A7257&amp;"|"&amp;DATOS!$D7257&amp;"|"&amp;DATOS!$E7257&amp;"|"&amp;DATOS!$I7257)</f>
      </c>
      <c r="G7257">
        <f>IF(DATOS!$A7257="",0,IF(CONFIG_METADATA!$B$4&lt;&gt;"OR+EX",--(DATOS!$G7257=CONFIG_METADATA!$B$4),IF(DATOS!$G7257="EX",1,IF(DATOS!$G7257="OR",--(COUNTIFS(nNIA,DATOS!$A7257,nCURSO,DATOS!$D7257,nESPEC,DATOS!$E7257,nASIG,DATOS!$I7257,nEVAL,"EX")=0),0))))</f>
      </c>
      <c r="H7257">
        <f>IF(DATOS!$G7257&lt;&gt;"EX",0,--(COUNTIFS(nNIA,DATOS!$A7257,nCURSO,DATOS!$D7257,nESPEC,DATOS!$E7257,nASIG,DATOS!$I7257,nEVAL,"OR")=0))</f>
      </c>
      <c r="I7257">
        <f>IF(DATOS!$I7257="","",IFERROR(VLOOKUP(DATOS!$I7257,CONFIG_ASIGNATURAS!$B$2:$J$91,9,FALSE()),""))</f>
      </c>
    </row>
    <row r="7258">
      <c r="F7258">
        <f>IF(DATOS!$A7258="","",DATOS!$A7258&amp;"|"&amp;DATOS!$D7258&amp;"|"&amp;DATOS!$E7258&amp;"|"&amp;DATOS!$I7258)</f>
      </c>
      <c r="G7258">
        <f>IF(DATOS!$A7258="",0,IF(CONFIG_METADATA!$B$4&lt;&gt;"OR+EX",--(DATOS!$G7258=CONFIG_METADATA!$B$4),IF(DATOS!$G7258="EX",1,IF(DATOS!$G7258="OR",--(COUNTIFS(nNIA,DATOS!$A7258,nCURSO,DATOS!$D7258,nESPEC,DATOS!$E7258,nASIG,DATOS!$I7258,nEVAL,"EX")=0),0))))</f>
      </c>
      <c r="H7258">
        <f>IF(DATOS!$G7258&lt;&gt;"EX",0,--(COUNTIFS(nNIA,DATOS!$A7258,nCURSO,DATOS!$D7258,nESPEC,DATOS!$E7258,nASIG,DATOS!$I7258,nEVAL,"OR")=0))</f>
      </c>
      <c r="I7258">
        <f>IF(DATOS!$I7258="","",IFERROR(VLOOKUP(DATOS!$I7258,CONFIG_ASIGNATURAS!$B$2:$J$91,9,FALSE()),""))</f>
      </c>
    </row>
    <row r="7259">
      <c r="F7259">
        <f>IF(DATOS!$A7259="","",DATOS!$A7259&amp;"|"&amp;DATOS!$D7259&amp;"|"&amp;DATOS!$E7259&amp;"|"&amp;DATOS!$I7259)</f>
      </c>
      <c r="G7259">
        <f>IF(DATOS!$A7259="",0,IF(CONFIG_METADATA!$B$4&lt;&gt;"OR+EX",--(DATOS!$G7259=CONFIG_METADATA!$B$4),IF(DATOS!$G7259="EX",1,IF(DATOS!$G7259="OR",--(COUNTIFS(nNIA,DATOS!$A7259,nCURSO,DATOS!$D7259,nESPEC,DATOS!$E7259,nASIG,DATOS!$I7259,nEVAL,"EX")=0),0))))</f>
      </c>
      <c r="H7259">
        <f>IF(DATOS!$G7259&lt;&gt;"EX",0,--(COUNTIFS(nNIA,DATOS!$A7259,nCURSO,DATOS!$D7259,nESPEC,DATOS!$E7259,nASIG,DATOS!$I7259,nEVAL,"OR")=0))</f>
      </c>
      <c r="I7259">
        <f>IF(DATOS!$I7259="","",IFERROR(VLOOKUP(DATOS!$I7259,CONFIG_ASIGNATURAS!$B$2:$J$91,9,FALSE()),""))</f>
      </c>
    </row>
    <row r="7260">
      <c r="F7260">
        <f>IF(DATOS!$A7260="","",DATOS!$A7260&amp;"|"&amp;DATOS!$D7260&amp;"|"&amp;DATOS!$E7260&amp;"|"&amp;DATOS!$I7260)</f>
      </c>
      <c r="G7260">
        <f>IF(DATOS!$A7260="",0,IF(CONFIG_METADATA!$B$4&lt;&gt;"OR+EX",--(DATOS!$G7260=CONFIG_METADATA!$B$4),IF(DATOS!$G7260="EX",1,IF(DATOS!$G7260="OR",--(COUNTIFS(nNIA,DATOS!$A7260,nCURSO,DATOS!$D7260,nESPEC,DATOS!$E7260,nASIG,DATOS!$I7260,nEVAL,"EX")=0),0))))</f>
      </c>
      <c r="H7260">
        <f>IF(DATOS!$G7260&lt;&gt;"EX",0,--(COUNTIFS(nNIA,DATOS!$A7260,nCURSO,DATOS!$D7260,nESPEC,DATOS!$E7260,nASIG,DATOS!$I7260,nEVAL,"OR")=0))</f>
      </c>
      <c r="I7260">
        <f>IF(DATOS!$I7260="","",IFERROR(VLOOKUP(DATOS!$I7260,CONFIG_ASIGNATURAS!$B$2:$J$91,9,FALSE()),""))</f>
      </c>
    </row>
    <row r="7261">
      <c r="F7261">
        <f>IF(DATOS!$A7261="","",DATOS!$A7261&amp;"|"&amp;DATOS!$D7261&amp;"|"&amp;DATOS!$E7261&amp;"|"&amp;DATOS!$I7261)</f>
      </c>
      <c r="G7261">
        <f>IF(DATOS!$A7261="",0,IF(CONFIG_METADATA!$B$4&lt;&gt;"OR+EX",--(DATOS!$G7261=CONFIG_METADATA!$B$4),IF(DATOS!$G7261="EX",1,IF(DATOS!$G7261="OR",--(COUNTIFS(nNIA,DATOS!$A7261,nCURSO,DATOS!$D7261,nESPEC,DATOS!$E7261,nASIG,DATOS!$I7261,nEVAL,"EX")=0),0))))</f>
      </c>
      <c r="H7261">
        <f>IF(DATOS!$G7261&lt;&gt;"EX",0,--(COUNTIFS(nNIA,DATOS!$A7261,nCURSO,DATOS!$D7261,nESPEC,DATOS!$E7261,nASIG,DATOS!$I7261,nEVAL,"OR")=0))</f>
      </c>
      <c r="I7261">
        <f>IF(DATOS!$I7261="","",IFERROR(VLOOKUP(DATOS!$I7261,CONFIG_ASIGNATURAS!$B$2:$J$91,9,FALSE()),""))</f>
      </c>
    </row>
    <row r="7262">
      <c r="F7262">
        <f>IF(DATOS!$A7262="","",DATOS!$A7262&amp;"|"&amp;DATOS!$D7262&amp;"|"&amp;DATOS!$E7262&amp;"|"&amp;DATOS!$I7262)</f>
      </c>
      <c r="G7262">
        <f>IF(DATOS!$A7262="",0,IF(CONFIG_METADATA!$B$4&lt;&gt;"OR+EX",--(DATOS!$G7262=CONFIG_METADATA!$B$4),IF(DATOS!$G7262="EX",1,IF(DATOS!$G7262="OR",--(COUNTIFS(nNIA,DATOS!$A7262,nCURSO,DATOS!$D7262,nESPEC,DATOS!$E7262,nASIG,DATOS!$I7262,nEVAL,"EX")=0),0))))</f>
      </c>
      <c r="H7262">
        <f>IF(DATOS!$G7262&lt;&gt;"EX",0,--(COUNTIFS(nNIA,DATOS!$A7262,nCURSO,DATOS!$D7262,nESPEC,DATOS!$E7262,nASIG,DATOS!$I7262,nEVAL,"OR")=0))</f>
      </c>
      <c r="I7262">
        <f>IF(DATOS!$I7262="","",IFERROR(VLOOKUP(DATOS!$I7262,CONFIG_ASIGNATURAS!$B$2:$J$91,9,FALSE()),""))</f>
      </c>
    </row>
    <row r="7263">
      <c r="F7263">
        <f>IF(DATOS!$A7263="","",DATOS!$A7263&amp;"|"&amp;DATOS!$D7263&amp;"|"&amp;DATOS!$E7263&amp;"|"&amp;DATOS!$I7263)</f>
      </c>
      <c r="G7263">
        <f>IF(DATOS!$A7263="",0,IF(CONFIG_METADATA!$B$4&lt;&gt;"OR+EX",--(DATOS!$G7263=CONFIG_METADATA!$B$4),IF(DATOS!$G7263="EX",1,IF(DATOS!$G7263="OR",--(COUNTIFS(nNIA,DATOS!$A7263,nCURSO,DATOS!$D7263,nESPEC,DATOS!$E7263,nASIG,DATOS!$I7263,nEVAL,"EX")=0),0))))</f>
      </c>
      <c r="H7263">
        <f>IF(DATOS!$G7263&lt;&gt;"EX",0,--(COUNTIFS(nNIA,DATOS!$A7263,nCURSO,DATOS!$D7263,nESPEC,DATOS!$E7263,nASIG,DATOS!$I7263,nEVAL,"OR")=0))</f>
      </c>
      <c r="I7263">
        <f>IF(DATOS!$I7263="","",IFERROR(VLOOKUP(DATOS!$I7263,CONFIG_ASIGNATURAS!$B$2:$J$91,9,FALSE()),""))</f>
      </c>
    </row>
    <row r="7264">
      <c r="F7264">
        <f>IF(DATOS!$A7264="","",DATOS!$A7264&amp;"|"&amp;DATOS!$D7264&amp;"|"&amp;DATOS!$E7264&amp;"|"&amp;DATOS!$I7264)</f>
      </c>
      <c r="G7264">
        <f>IF(DATOS!$A7264="",0,IF(CONFIG_METADATA!$B$4&lt;&gt;"OR+EX",--(DATOS!$G7264=CONFIG_METADATA!$B$4),IF(DATOS!$G7264="EX",1,IF(DATOS!$G7264="OR",--(COUNTIFS(nNIA,DATOS!$A7264,nCURSO,DATOS!$D7264,nESPEC,DATOS!$E7264,nASIG,DATOS!$I7264,nEVAL,"EX")=0),0))))</f>
      </c>
      <c r="H7264">
        <f>IF(DATOS!$G7264&lt;&gt;"EX",0,--(COUNTIFS(nNIA,DATOS!$A7264,nCURSO,DATOS!$D7264,nESPEC,DATOS!$E7264,nASIG,DATOS!$I7264,nEVAL,"OR")=0))</f>
      </c>
      <c r="I7264">
        <f>IF(DATOS!$I7264="","",IFERROR(VLOOKUP(DATOS!$I7264,CONFIG_ASIGNATURAS!$B$2:$J$91,9,FALSE()),""))</f>
      </c>
    </row>
    <row r="7265">
      <c r="F7265">
        <f>IF(DATOS!$A7265="","",DATOS!$A7265&amp;"|"&amp;DATOS!$D7265&amp;"|"&amp;DATOS!$E7265&amp;"|"&amp;DATOS!$I7265)</f>
      </c>
      <c r="G7265">
        <f>IF(DATOS!$A7265="",0,IF(CONFIG_METADATA!$B$4&lt;&gt;"OR+EX",--(DATOS!$G7265=CONFIG_METADATA!$B$4),IF(DATOS!$G7265="EX",1,IF(DATOS!$G7265="OR",--(COUNTIFS(nNIA,DATOS!$A7265,nCURSO,DATOS!$D7265,nESPEC,DATOS!$E7265,nASIG,DATOS!$I7265,nEVAL,"EX")=0),0))))</f>
      </c>
      <c r="H7265">
        <f>IF(DATOS!$G7265&lt;&gt;"EX",0,--(COUNTIFS(nNIA,DATOS!$A7265,nCURSO,DATOS!$D7265,nESPEC,DATOS!$E7265,nASIG,DATOS!$I7265,nEVAL,"OR")=0))</f>
      </c>
      <c r="I7265">
        <f>IF(DATOS!$I7265="","",IFERROR(VLOOKUP(DATOS!$I7265,CONFIG_ASIGNATURAS!$B$2:$J$91,9,FALSE()),""))</f>
      </c>
    </row>
    <row r="7266">
      <c r="F7266">
        <f>IF(DATOS!$A7266="","",DATOS!$A7266&amp;"|"&amp;DATOS!$D7266&amp;"|"&amp;DATOS!$E7266&amp;"|"&amp;DATOS!$I7266)</f>
      </c>
      <c r="G7266">
        <f>IF(DATOS!$A7266="",0,IF(CONFIG_METADATA!$B$4&lt;&gt;"OR+EX",--(DATOS!$G7266=CONFIG_METADATA!$B$4),IF(DATOS!$G7266="EX",1,IF(DATOS!$G7266="OR",--(COUNTIFS(nNIA,DATOS!$A7266,nCURSO,DATOS!$D7266,nESPEC,DATOS!$E7266,nASIG,DATOS!$I7266,nEVAL,"EX")=0),0))))</f>
      </c>
      <c r="H7266">
        <f>IF(DATOS!$G7266&lt;&gt;"EX",0,--(COUNTIFS(nNIA,DATOS!$A7266,nCURSO,DATOS!$D7266,nESPEC,DATOS!$E7266,nASIG,DATOS!$I7266,nEVAL,"OR")=0))</f>
      </c>
      <c r="I7266">
        <f>IF(DATOS!$I7266="","",IFERROR(VLOOKUP(DATOS!$I7266,CONFIG_ASIGNATURAS!$B$2:$J$91,9,FALSE()),""))</f>
      </c>
    </row>
    <row r="7267">
      <c r="F7267">
        <f>IF(DATOS!$A7267="","",DATOS!$A7267&amp;"|"&amp;DATOS!$D7267&amp;"|"&amp;DATOS!$E7267&amp;"|"&amp;DATOS!$I7267)</f>
      </c>
      <c r="G7267">
        <f>IF(DATOS!$A7267="",0,IF(CONFIG_METADATA!$B$4&lt;&gt;"OR+EX",--(DATOS!$G7267=CONFIG_METADATA!$B$4),IF(DATOS!$G7267="EX",1,IF(DATOS!$G7267="OR",--(COUNTIFS(nNIA,DATOS!$A7267,nCURSO,DATOS!$D7267,nESPEC,DATOS!$E7267,nASIG,DATOS!$I7267,nEVAL,"EX")=0),0))))</f>
      </c>
      <c r="H7267">
        <f>IF(DATOS!$G7267&lt;&gt;"EX",0,--(COUNTIFS(nNIA,DATOS!$A7267,nCURSO,DATOS!$D7267,nESPEC,DATOS!$E7267,nASIG,DATOS!$I7267,nEVAL,"OR")=0))</f>
      </c>
      <c r="I7267">
        <f>IF(DATOS!$I7267="","",IFERROR(VLOOKUP(DATOS!$I7267,CONFIG_ASIGNATURAS!$B$2:$J$91,9,FALSE()),""))</f>
      </c>
    </row>
    <row r="7268">
      <c r="F7268">
        <f>IF(DATOS!$A7268="","",DATOS!$A7268&amp;"|"&amp;DATOS!$D7268&amp;"|"&amp;DATOS!$E7268&amp;"|"&amp;DATOS!$I7268)</f>
      </c>
      <c r="G7268">
        <f>IF(DATOS!$A7268="",0,IF(CONFIG_METADATA!$B$4&lt;&gt;"OR+EX",--(DATOS!$G7268=CONFIG_METADATA!$B$4),IF(DATOS!$G7268="EX",1,IF(DATOS!$G7268="OR",--(COUNTIFS(nNIA,DATOS!$A7268,nCURSO,DATOS!$D7268,nESPEC,DATOS!$E7268,nASIG,DATOS!$I7268,nEVAL,"EX")=0),0))))</f>
      </c>
      <c r="H7268">
        <f>IF(DATOS!$G7268&lt;&gt;"EX",0,--(COUNTIFS(nNIA,DATOS!$A7268,nCURSO,DATOS!$D7268,nESPEC,DATOS!$E7268,nASIG,DATOS!$I7268,nEVAL,"OR")=0))</f>
      </c>
      <c r="I7268">
        <f>IF(DATOS!$I7268="","",IFERROR(VLOOKUP(DATOS!$I7268,CONFIG_ASIGNATURAS!$B$2:$J$91,9,FALSE()),""))</f>
      </c>
    </row>
    <row r="7269">
      <c r="F7269">
        <f>IF(DATOS!$A7269="","",DATOS!$A7269&amp;"|"&amp;DATOS!$D7269&amp;"|"&amp;DATOS!$E7269&amp;"|"&amp;DATOS!$I7269)</f>
      </c>
      <c r="G7269">
        <f>IF(DATOS!$A7269="",0,IF(CONFIG_METADATA!$B$4&lt;&gt;"OR+EX",--(DATOS!$G7269=CONFIG_METADATA!$B$4),IF(DATOS!$G7269="EX",1,IF(DATOS!$G7269="OR",--(COUNTIFS(nNIA,DATOS!$A7269,nCURSO,DATOS!$D7269,nESPEC,DATOS!$E7269,nASIG,DATOS!$I7269,nEVAL,"EX")=0),0))))</f>
      </c>
      <c r="H7269">
        <f>IF(DATOS!$G7269&lt;&gt;"EX",0,--(COUNTIFS(nNIA,DATOS!$A7269,nCURSO,DATOS!$D7269,nESPEC,DATOS!$E7269,nASIG,DATOS!$I7269,nEVAL,"OR")=0))</f>
      </c>
      <c r="I7269">
        <f>IF(DATOS!$I7269="","",IFERROR(VLOOKUP(DATOS!$I7269,CONFIG_ASIGNATURAS!$B$2:$J$91,9,FALSE()),""))</f>
      </c>
    </row>
    <row r="7270">
      <c r="F7270">
        <f>IF(DATOS!$A7270="","",DATOS!$A7270&amp;"|"&amp;DATOS!$D7270&amp;"|"&amp;DATOS!$E7270&amp;"|"&amp;DATOS!$I7270)</f>
      </c>
      <c r="G7270">
        <f>IF(DATOS!$A7270="",0,IF(CONFIG_METADATA!$B$4&lt;&gt;"OR+EX",--(DATOS!$G7270=CONFIG_METADATA!$B$4),IF(DATOS!$G7270="EX",1,IF(DATOS!$G7270="OR",--(COUNTIFS(nNIA,DATOS!$A7270,nCURSO,DATOS!$D7270,nESPEC,DATOS!$E7270,nASIG,DATOS!$I7270,nEVAL,"EX")=0),0))))</f>
      </c>
      <c r="H7270">
        <f>IF(DATOS!$G7270&lt;&gt;"EX",0,--(COUNTIFS(nNIA,DATOS!$A7270,nCURSO,DATOS!$D7270,nESPEC,DATOS!$E7270,nASIG,DATOS!$I7270,nEVAL,"OR")=0))</f>
      </c>
      <c r="I7270">
        <f>IF(DATOS!$I7270="","",IFERROR(VLOOKUP(DATOS!$I7270,CONFIG_ASIGNATURAS!$B$2:$J$91,9,FALSE()),""))</f>
      </c>
    </row>
    <row r="7271">
      <c r="F7271">
        <f>IF(DATOS!$A7271="","",DATOS!$A7271&amp;"|"&amp;DATOS!$D7271&amp;"|"&amp;DATOS!$E7271&amp;"|"&amp;DATOS!$I7271)</f>
      </c>
      <c r="G7271">
        <f>IF(DATOS!$A7271="",0,IF(CONFIG_METADATA!$B$4&lt;&gt;"OR+EX",--(DATOS!$G7271=CONFIG_METADATA!$B$4),IF(DATOS!$G7271="EX",1,IF(DATOS!$G7271="OR",--(COUNTIFS(nNIA,DATOS!$A7271,nCURSO,DATOS!$D7271,nESPEC,DATOS!$E7271,nASIG,DATOS!$I7271,nEVAL,"EX")=0),0))))</f>
      </c>
      <c r="H7271">
        <f>IF(DATOS!$G7271&lt;&gt;"EX",0,--(COUNTIFS(nNIA,DATOS!$A7271,nCURSO,DATOS!$D7271,nESPEC,DATOS!$E7271,nASIG,DATOS!$I7271,nEVAL,"OR")=0))</f>
      </c>
      <c r="I7271">
        <f>IF(DATOS!$I7271="","",IFERROR(VLOOKUP(DATOS!$I7271,CONFIG_ASIGNATURAS!$B$2:$J$91,9,FALSE()),""))</f>
      </c>
    </row>
    <row r="7272">
      <c r="F7272">
        <f>IF(DATOS!$A7272="","",DATOS!$A7272&amp;"|"&amp;DATOS!$D7272&amp;"|"&amp;DATOS!$E7272&amp;"|"&amp;DATOS!$I7272)</f>
      </c>
      <c r="G7272">
        <f>IF(DATOS!$A7272="",0,IF(CONFIG_METADATA!$B$4&lt;&gt;"OR+EX",--(DATOS!$G7272=CONFIG_METADATA!$B$4),IF(DATOS!$G7272="EX",1,IF(DATOS!$G7272="OR",--(COUNTIFS(nNIA,DATOS!$A7272,nCURSO,DATOS!$D7272,nESPEC,DATOS!$E7272,nASIG,DATOS!$I7272,nEVAL,"EX")=0),0))))</f>
      </c>
      <c r="H7272">
        <f>IF(DATOS!$G7272&lt;&gt;"EX",0,--(COUNTIFS(nNIA,DATOS!$A7272,nCURSO,DATOS!$D7272,nESPEC,DATOS!$E7272,nASIG,DATOS!$I7272,nEVAL,"OR")=0))</f>
      </c>
      <c r="I7272">
        <f>IF(DATOS!$I7272="","",IFERROR(VLOOKUP(DATOS!$I7272,CONFIG_ASIGNATURAS!$B$2:$J$91,9,FALSE()),""))</f>
      </c>
    </row>
    <row r="7273">
      <c r="F7273">
        <f>IF(DATOS!$A7273="","",DATOS!$A7273&amp;"|"&amp;DATOS!$D7273&amp;"|"&amp;DATOS!$E7273&amp;"|"&amp;DATOS!$I7273)</f>
      </c>
      <c r="G7273">
        <f>IF(DATOS!$A7273="",0,IF(CONFIG_METADATA!$B$4&lt;&gt;"OR+EX",--(DATOS!$G7273=CONFIG_METADATA!$B$4),IF(DATOS!$G7273="EX",1,IF(DATOS!$G7273="OR",--(COUNTIFS(nNIA,DATOS!$A7273,nCURSO,DATOS!$D7273,nESPEC,DATOS!$E7273,nASIG,DATOS!$I7273,nEVAL,"EX")=0),0))))</f>
      </c>
      <c r="H7273">
        <f>IF(DATOS!$G7273&lt;&gt;"EX",0,--(COUNTIFS(nNIA,DATOS!$A7273,nCURSO,DATOS!$D7273,nESPEC,DATOS!$E7273,nASIG,DATOS!$I7273,nEVAL,"OR")=0))</f>
      </c>
      <c r="I7273">
        <f>IF(DATOS!$I7273="","",IFERROR(VLOOKUP(DATOS!$I7273,CONFIG_ASIGNATURAS!$B$2:$J$91,9,FALSE()),""))</f>
      </c>
    </row>
    <row r="7274">
      <c r="F7274">
        <f>IF(DATOS!$A7274="","",DATOS!$A7274&amp;"|"&amp;DATOS!$D7274&amp;"|"&amp;DATOS!$E7274&amp;"|"&amp;DATOS!$I7274)</f>
      </c>
      <c r="G7274">
        <f>IF(DATOS!$A7274="",0,IF(CONFIG_METADATA!$B$4&lt;&gt;"OR+EX",--(DATOS!$G7274=CONFIG_METADATA!$B$4),IF(DATOS!$G7274="EX",1,IF(DATOS!$G7274="OR",--(COUNTIFS(nNIA,DATOS!$A7274,nCURSO,DATOS!$D7274,nESPEC,DATOS!$E7274,nASIG,DATOS!$I7274,nEVAL,"EX")=0),0))))</f>
      </c>
      <c r="H7274">
        <f>IF(DATOS!$G7274&lt;&gt;"EX",0,--(COUNTIFS(nNIA,DATOS!$A7274,nCURSO,DATOS!$D7274,nESPEC,DATOS!$E7274,nASIG,DATOS!$I7274,nEVAL,"OR")=0))</f>
      </c>
      <c r="I7274">
        <f>IF(DATOS!$I7274="","",IFERROR(VLOOKUP(DATOS!$I7274,CONFIG_ASIGNATURAS!$B$2:$J$91,9,FALSE()),""))</f>
      </c>
    </row>
    <row r="7275">
      <c r="F7275">
        <f>IF(DATOS!$A7275="","",DATOS!$A7275&amp;"|"&amp;DATOS!$D7275&amp;"|"&amp;DATOS!$E7275&amp;"|"&amp;DATOS!$I7275)</f>
      </c>
      <c r="G7275">
        <f>IF(DATOS!$A7275="",0,IF(CONFIG_METADATA!$B$4&lt;&gt;"OR+EX",--(DATOS!$G7275=CONFIG_METADATA!$B$4),IF(DATOS!$G7275="EX",1,IF(DATOS!$G7275="OR",--(COUNTIFS(nNIA,DATOS!$A7275,nCURSO,DATOS!$D7275,nESPEC,DATOS!$E7275,nASIG,DATOS!$I7275,nEVAL,"EX")=0),0))))</f>
      </c>
      <c r="H7275">
        <f>IF(DATOS!$G7275&lt;&gt;"EX",0,--(COUNTIFS(nNIA,DATOS!$A7275,nCURSO,DATOS!$D7275,nESPEC,DATOS!$E7275,nASIG,DATOS!$I7275,nEVAL,"OR")=0))</f>
      </c>
      <c r="I7275">
        <f>IF(DATOS!$I7275="","",IFERROR(VLOOKUP(DATOS!$I7275,CONFIG_ASIGNATURAS!$B$2:$J$91,9,FALSE()),""))</f>
      </c>
    </row>
    <row r="7276">
      <c r="F7276">
        <f>IF(DATOS!$A7276="","",DATOS!$A7276&amp;"|"&amp;DATOS!$D7276&amp;"|"&amp;DATOS!$E7276&amp;"|"&amp;DATOS!$I7276)</f>
      </c>
      <c r="G7276">
        <f>IF(DATOS!$A7276="",0,IF(CONFIG_METADATA!$B$4&lt;&gt;"OR+EX",--(DATOS!$G7276=CONFIG_METADATA!$B$4),IF(DATOS!$G7276="EX",1,IF(DATOS!$G7276="OR",--(COUNTIFS(nNIA,DATOS!$A7276,nCURSO,DATOS!$D7276,nESPEC,DATOS!$E7276,nASIG,DATOS!$I7276,nEVAL,"EX")=0),0))))</f>
      </c>
      <c r="H7276">
        <f>IF(DATOS!$G7276&lt;&gt;"EX",0,--(COUNTIFS(nNIA,DATOS!$A7276,nCURSO,DATOS!$D7276,nESPEC,DATOS!$E7276,nASIG,DATOS!$I7276,nEVAL,"OR")=0))</f>
      </c>
      <c r="I7276">
        <f>IF(DATOS!$I7276="","",IFERROR(VLOOKUP(DATOS!$I7276,CONFIG_ASIGNATURAS!$B$2:$J$91,9,FALSE()),""))</f>
      </c>
    </row>
    <row r="7277">
      <c r="F7277">
        <f>IF(DATOS!$A7277="","",DATOS!$A7277&amp;"|"&amp;DATOS!$D7277&amp;"|"&amp;DATOS!$E7277&amp;"|"&amp;DATOS!$I7277)</f>
      </c>
      <c r="G7277">
        <f>IF(DATOS!$A7277="",0,IF(CONFIG_METADATA!$B$4&lt;&gt;"OR+EX",--(DATOS!$G7277=CONFIG_METADATA!$B$4),IF(DATOS!$G7277="EX",1,IF(DATOS!$G7277="OR",--(COUNTIFS(nNIA,DATOS!$A7277,nCURSO,DATOS!$D7277,nESPEC,DATOS!$E7277,nASIG,DATOS!$I7277,nEVAL,"EX")=0),0))))</f>
      </c>
      <c r="H7277">
        <f>IF(DATOS!$G7277&lt;&gt;"EX",0,--(COUNTIFS(nNIA,DATOS!$A7277,nCURSO,DATOS!$D7277,nESPEC,DATOS!$E7277,nASIG,DATOS!$I7277,nEVAL,"OR")=0))</f>
      </c>
      <c r="I7277">
        <f>IF(DATOS!$I7277="","",IFERROR(VLOOKUP(DATOS!$I7277,CONFIG_ASIGNATURAS!$B$2:$J$91,9,FALSE()),""))</f>
      </c>
    </row>
    <row r="7278">
      <c r="F7278">
        <f>IF(DATOS!$A7278="","",DATOS!$A7278&amp;"|"&amp;DATOS!$D7278&amp;"|"&amp;DATOS!$E7278&amp;"|"&amp;DATOS!$I7278)</f>
      </c>
      <c r="G7278">
        <f>IF(DATOS!$A7278="",0,IF(CONFIG_METADATA!$B$4&lt;&gt;"OR+EX",--(DATOS!$G7278=CONFIG_METADATA!$B$4),IF(DATOS!$G7278="EX",1,IF(DATOS!$G7278="OR",--(COUNTIFS(nNIA,DATOS!$A7278,nCURSO,DATOS!$D7278,nESPEC,DATOS!$E7278,nASIG,DATOS!$I7278,nEVAL,"EX")=0),0))))</f>
      </c>
      <c r="H7278">
        <f>IF(DATOS!$G7278&lt;&gt;"EX",0,--(COUNTIFS(nNIA,DATOS!$A7278,nCURSO,DATOS!$D7278,nESPEC,DATOS!$E7278,nASIG,DATOS!$I7278,nEVAL,"OR")=0))</f>
      </c>
      <c r="I7278">
        <f>IF(DATOS!$I7278="","",IFERROR(VLOOKUP(DATOS!$I7278,CONFIG_ASIGNATURAS!$B$2:$J$91,9,FALSE()),""))</f>
      </c>
    </row>
    <row r="7279">
      <c r="F7279">
        <f>IF(DATOS!$A7279="","",DATOS!$A7279&amp;"|"&amp;DATOS!$D7279&amp;"|"&amp;DATOS!$E7279&amp;"|"&amp;DATOS!$I7279)</f>
      </c>
      <c r="G7279">
        <f>IF(DATOS!$A7279="",0,IF(CONFIG_METADATA!$B$4&lt;&gt;"OR+EX",--(DATOS!$G7279=CONFIG_METADATA!$B$4),IF(DATOS!$G7279="EX",1,IF(DATOS!$G7279="OR",--(COUNTIFS(nNIA,DATOS!$A7279,nCURSO,DATOS!$D7279,nESPEC,DATOS!$E7279,nASIG,DATOS!$I7279,nEVAL,"EX")=0),0))))</f>
      </c>
      <c r="H7279">
        <f>IF(DATOS!$G7279&lt;&gt;"EX",0,--(COUNTIFS(nNIA,DATOS!$A7279,nCURSO,DATOS!$D7279,nESPEC,DATOS!$E7279,nASIG,DATOS!$I7279,nEVAL,"OR")=0))</f>
      </c>
      <c r="I7279">
        <f>IF(DATOS!$I7279="","",IFERROR(VLOOKUP(DATOS!$I7279,CONFIG_ASIGNATURAS!$B$2:$J$91,9,FALSE()),""))</f>
      </c>
    </row>
    <row r="7280">
      <c r="F7280">
        <f>IF(DATOS!$A7280="","",DATOS!$A7280&amp;"|"&amp;DATOS!$D7280&amp;"|"&amp;DATOS!$E7280&amp;"|"&amp;DATOS!$I7280)</f>
      </c>
      <c r="G7280">
        <f>IF(DATOS!$A7280="",0,IF(CONFIG_METADATA!$B$4&lt;&gt;"OR+EX",--(DATOS!$G7280=CONFIG_METADATA!$B$4),IF(DATOS!$G7280="EX",1,IF(DATOS!$G7280="OR",--(COUNTIFS(nNIA,DATOS!$A7280,nCURSO,DATOS!$D7280,nESPEC,DATOS!$E7280,nASIG,DATOS!$I7280,nEVAL,"EX")=0),0))))</f>
      </c>
      <c r="H7280">
        <f>IF(DATOS!$G7280&lt;&gt;"EX",0,--(COUNTIFS(nNIA,DATOS!$A7280,nCURSO,DATOS!$D7280,nESPEC,DATOS!$E7280,nASIG,DATOS!$I7280,nEVAL,"OR")=0))</f>
      </c>
      <c r="I7280">
        <f>IF(DATOS!$I7280="","",IFERROR(VLOOKUP(DATOS!$I7280,CONFIG_ASIGNATURAS!$B$2:$J$91,9,FALSE()),""))</f>
      </c>
    </row>
    <row r="7281">
      <c r="F7281">
        <f>IF(DATOS!$A7281="","",DATOS!$A7281&amp;"|"&amp;DATOS!$D7281&amp;"|"&amp;DATOS!$E7281&amp;"|"&amp;DATOS!$I7281)</f>
      </c>
      <c r="G7281">
        <f>IF(DATOS!$A7281="",0,IF(CONFIG_METADATA!$B$4&lt;&gt;"OR+EX",--(DATOS!$G7281=CONFIG_METADATA!$B$4),IF(DATOS!$G7281="EX",1,IF(DATOS!$G7281="OR",--(COUNTIFS(nNIA,DATOS!$A7281,nCURSO,DATOS!$D7281,nESPEC,DATOS!$E7281,nASIG,DATOS!$I7281,nEVAL,"EX")=0),0))))</f>
      </c>
      <c r="H7281">
        <f>IF(DATOS!$G7281&lt;&gt;"EX",0,--(COUNTIFS(nNIA,DATOS!$A7281,nCURSO,DATOS!$D7281,nESPEC,DATOS!$E7281,nASIG,DATOS!$I7281,nEVAL,"OR")=0))</f>
      </c>
      <c r="I7281">
        <f>IF(DATOS!$I7281="","",IFERROR(VLOOKUP(DATOS!$I7281,CONFIG_ASIGNATURAS!$B$2:$J$91,9,FALSE()),""))</f>
      </c>
    </row>
    <row r="7282">
      <c r="F7282">
        <f>IF(DATOS!$A7282="","",DATOS!$A7282&amp;"|"&amp;DATOS!$D7282&amp;"|"&amp;DATOS!$E7282&amp;"|"&amp;DATOS!$I7282)</f>
      </c>
      <c r="G7282">
        <f>IF(DATOS!$A7282="",0,IF(CONFIG_METADATA!$B$4&lt;&gt;"OR+EX",--(DATOS!$G7282=CONFIG_METADATA!$B$4),IF(DATOS!$G7282="EX",1,IF(DATOS!$G7282="OR",--(COUNTIFS(nNIA,DATOS!$A7282,nCURSO,DATOS!$D7282,nESPEC,DATOS!$E7282,nASIG,DATOS!$I7282,nEVAL,"EX")=0),0))))</f>
      </c>
      <c r="H7282">
        <f>IF(DATOS!$G7282&lt;&gt;"EX",0,--(COUNTIFS(nNIA,DATOS!$A7282,nCURSO,DATOS!$D7282,nESPEC,DATOS!$E7282,nASIG,DATOS!$I7282,nEVAL,"OR")=0))</f>
      </c>
      <c r="I7282">
        <f>IF(DATOS!$I7282="","",IFERROR(VLOOKUP(DATOS!$I7282,CONFIG_ASIGNATURAS!$B$2:$J$91,9,FALSE()),""))</f>
      </c>
    </row>
    <row r="7283">
      <c r="F7283">
        <f>IF(DATOS!$A7283="","",DATOS!$A7283&amp;"|"&amp;DATOS!$D7283&amp;"|"&amp;DATOS!$E7283&amp;"|"&amp;DATOS!$I7283)</f>
      </c>
      <c r="G7283">
        <f>IF(DATOS!$A7283="",0,IF(CONFIG_METADATA!$B$4&lt;&gt;"OR+EX",--(DATOS!$G7283=CONFIG_METADATA!$B$4),IF(DATOS!$G7283="EX",1,IF(DATOS!$G7283="OR",--(COUNTIFS(nNIA,DATOS!$A7283,nCURSO,DATOS!$D7283,nESPEC,DATOS!$E7283,nASIG,DATOS!$I7283,nEVAL,"EX")=0),0))))</f>
      </c>
      <c r="H7283">
        <f>IF(DATOS!$G7283&lt;&gt;"EX",0,--(COUNTIFS(nNIA,DATOS!$A7283,nCURSO,DATOS!$D7283,nESPEC,DATOS!$E7283,nASIG,DATOS!$I7283,nEVAL,"OR")=0))</f>
      </c>
      <c r="I7283">
        <f>IF(DATOS!$I7283="","",IFERROR(VLOOKUP(DATOS!$I7283,CONFIG_ASIGNATURAS!$B$2:$J$91,9,FALSE()),""))</f>
      </c>
    </row>
    <row r="7284">
      <c r="F7284">
        <f>IF(DATOS!$A7284="","",DATOS!$A7284&amp;"|"&amp;DATOS!$D7284&amp;"|"&amp;DATOS!$E7284&amp;"|"&amp;DATOS!$I7284)</f>
      </c>
      <c r="G7284">
        <f>IF(DATOS!$A7284="",0,IF(CONFIG_METADATA!$B$4&lt;&gt;"OR+EX",--(DATOS!$G7284=CONFIG_METADATA!$B$4),IF(DATOS!$G7284="EX",1,IF(DATOS!$G7284="OR",--(COUNTIFS(nNIA,DATOS!$A7284,nCURSO,DATOS!$D7284,nESPEC,DATOS!$E7284,nASIG,DATOS!$I7284,nEVAL,"EX")=0),0))))</f>
      </c>
      <c r="H7284">
        <f>IF(DATOS!$G7284&lt;&gt;"EX",0,--(COUNTIFS(nNIA,DATOS!$A7284,nCURSO,DATOS!$D7284,nESPEC,DATOS!$E7284,nASIG,DATOS!$I7284,nEVAL,"OR")=0))</f>
      </c>
      <c r="I7284">
        <f>IF(DATOS!$I7284="","",IFERROR(VLOOKUP(DATOS!$I7284,CONFIG_ASIGNATURAS!$B$2:$J$91,9,FALSE()),""))</f>
      </c>
    </row>
    <row r="7285">
      <c r="F7285">
        <f>IF(DATOS!$A7285="","",DATOS!$A7285&amp;"|"&amp;DATOS!$D7285&amp;"|"&amp;DATOS!$E7285&amp;"|"&amp;DATOS!$I7285)</f>
      </c>
      <c r="G7285">
        <f>IF(DATOS!$A7285="",0,IF(CONFIG_METADATA!$B$4&lt;&gt;"OR+EX",--(DATOS!$G7285=CONFIG_METADATA!$B$4),IF(DATOS!$G7285="EX",1,IF(DATOS!$G7285="OR",--(COUNTIFS(nNIA,DATOS!$A7285,nCURSO,DATOS!$D7285,nESPEC,DATOS!$E7285,nASIG,DATOS!$I7285,nEVAL,"EX")=0),0))))</f>
      </c>
      <c r="H7285">
        <f>IF(DATOS!$G7285&lt;&gt;"EX",0,--(COUNTIFS(nNIA,DATOS!$A7285,nCURSO,DATOS!$D7285,nESPEC,DATOS!$E7285,nASIG,DATOS!$I7285,nEVAL,"OR")=0))</f>
      </c>
      <c r="I7285">
        <f>IF(DATOS!$I7285="","",IFERROR(VLOOKUP(DATOS!$I7285,CONFIG_ASIGNATURAS!$B$2:$J$91,9,FALSE()),""))</f>
      </c>
    </row>
    <row r="7286">
      <c r="F7286">
        <f>IF(DATOS!$A7286="","",DATOS!$A7286&amp;"|"&amp;DATOS!$D7286&amp;"|"&amp;DATOS!$E7286&amp;"|"&amp;DATOS!$I7286)</f>
      </c>
      <c r="G7286">
        <f>IF(DATOS!$A7286="",0,IF(CONFIG_METADATA!$B$4&lt;&gt;"OR+EX",--(DATOS!$G7286=CONFIG_METADATA!$B$4),IF(DATOS!$G7286="EX",1,IF(DATOS!$G7286="OR",--(COUNTIFS(nNIA,DATOS!$A7286,nCURSO,DATOS!$D7286,nESPEC,DATOS!$E7286,nASIG,DATOS!$I7286,nEVAL,"EX")=0),0))))</f>
      </c>
      <c r="H7286">
        <f>IF(DATOS!$G7286&lt;&gt;"EX",0,--(COUNTIFS(nNIA,DATOS!$A7286,nCURSO,DATOS!$D7286,nESPEC,DATOS!$E7286,nASIG,DATOS!$I7286,nEVAL,"OR")=0))</f>
      </c>
      <c r="I7286">
        <f>IF(DATOS!$I7286="","",IFERROR(VLOOKUP(DATOS!$I7286,CONFIG_ASIGNATURAS!$B$2:$J$91,9,FALSE()),""))</f>
      </c>
    </row>
    <row r="7287">
      <c r="F7287">
        <f>IF(DATOS!$A7287="","",DATOS!$A7287&amp;"|"&amp;DATOS!$D7287&amp;"|"&amp;DATOS!$E7287&amp;"|"&amp;DATOS!$I7287)</f>
      </c>
      <c r="G7287">
        <f>IF(DATOS!$A7287="",0,IF(CONFIG_METADATA!$B$4&lt;&gt;"OR+EX",--(DATOS!$G7287=CONFIG_METADATA!$B$4),IF(DATOS!$G7287="EX",1,IF(DATOS!$G7287="OR",--(COUNTIFS(nNIA,DATOS!$A7287,nCURSO,DATOS!$D7287,nESPEC,DATOS!$E7287,nASIG,DATOS!$I7287,nEVAL,"EX")=0),0))))</f>
      </c>
      <c r="H7287">
        <f>IF(DATOS!$G7287&lt;&gt;"EX",0,--(COUNTIFS(nNIA,DATOS!$A7287,nCURSO,DATOS!$D7287,nESPEC,DATOS!$E7287,nASIG,DATOS!$I7287,nEVAL,"OR")=0))</f>
      </c>
      <c r="I7287">
        <f>IF(DATOS!$I7287="","",IFERROR(VLOOKUP(DATOS!$I7287,CONFIG_ASIGNATURAS!$B$2:$J$91,9,FALSE()),""))</f>
      </c>
    </row>
    <row r="7288">
      <c r="F7288">
        <f>IF(DATOS!$A7288="","",DATOS!$A7288&amp;"|"&amp;DATOS!$D7288&amp;"|"&amp;DATOS!$E7288&amp;"|"&amp;DATOS!$I7288)</f>
      </c>
      <c r="G7288">
        <f>IF(DATOS!$A7288="",0,IF(CONFIG_METADATA!$B$4&lt;&gt;"OR+EX",--(DATOS!$G7288=CONFIG_METADATA!$B$4),IF(DATOS!$G7288="EX",1,IF(DATOS!$G7288="OR",--(COUNTIFS(nNIA,DATOS!$A7288,nCURSO,DATOS!$D7288,nESPEC,DATOS!$E7288,nASIG,DATOS!$I7288,nEVAL,"EX")=0),0))))</f>
      </c>
      <c r="H7288">
        <f>IF(DATOS!$G7288&lt;&gt;"EX",0,--(COUNTIFS(nNIA,DATOS!$A7288,nCURSO,DATOS!$D7288,nESPEC,DATOS!$E7288,nASIG,DATOS!$I7288,nEVAL,"OR")=0))</f>
      </c>
      <c r="I7288">
        <f>IF(DATOS!$I7288="","",IFERROR(VLOOKUP(DATOS!$I7288,CONFIG_ASIGNATURAS!$B$2:$J$91,9,FALSE()),""))</f>
      </c>
    </row>
    <row r="7289">
      <c r="F7289">
        <f>IF(DATOS!$A7289="","",DATOS!$A7289&amp;"|"&amp;DATOS!$D7289&amp;"|"&amp;DATOS!$E7289&amp;"|"&amp;DATOS!$I7289)</f>
      </c>
      <c r="G7289">
        <f>IF(DATOS!$A7289="",0,IF(CONFIG_METADATA!$B$4&lt;&gt;"OR+EX",--(DATOS!$G7289=CONFIG_METADATA!$B$4),IF(DATOS!$G7289="EX",1,IF(DATOS!$G7289="OR",--(COUNTIFS(nNIA,DATOS!$A7289,nCURSO,DATOS!$D7289,nESPEC,DATOS!$E7289,nASIG,DATOS!$I7289,nEVAL,"EX")=0),0))))</f>
      </c>
      <c r="H7289">
        <f>IF(DATOS!$G7289&lt;&gt;"EX",0,--(COUNTIFS(nNIA,DATOS!$A7289,nCURSO,DATOS!$D7289,nESPEC,DATOS!$E7289,nASIG,DATOS!$I7289,nEVAL,"OR")=0))</f>
      </c>
      <c r="I7289">
        <f>IF(DATOS!$I7289="","",IFERROR(VLOOKUP(DATOS!$I7289,CONFIG_ASIGNATURAS!$B$2:$J$91,9,FALSE()),""))</f>
      </c>
    </row>
    <row r="7290">
      <c r="F7290">
        <f>IF(DATOS!$A7290="","",DATOS!$A7290&amp;"|"&amp;DATOS!$D7290&amp;"|"&amp;DATOS!$E7290&amp;"|"&amp;DATOS!$I7290)</f>
      </c>
      <c r="G7290">
        <f>IF(DATOS!$A7290="",0,IF(CONFIG_METADATA!$B$4&lt;&gt;"OR+EX",--(DATOS!$G7290=CONFIG_METADATA!$B$4),IF(DATOS!$G7290="EX",1,IF(DATOS!$G7290="OR",--(COUNTIFS(nNIA,DATOS!$A7290,nCURSO,DATOS!$D7290,nESPEC,DATOS!$E7290,nASIG,DATOS!$I7290,nEVAL,"EX")=0),0))))</f>
      </c>
      <c r="H7290">
        <f>IF(DATOS!$G7290&lt;&gt;"EX",0,--(COUNTIFS(nNIA,DATOS!$A7290,nCURSO,DATOS!$D7290,nESPEC,DATOS!$E7290,nASIG,DATOS!$I7290,nEVAL,"OR")=0))</f>
      </c>
      <c r="I7290">
        <f>IF(DATOS!$I7290="","",IFERROR(VLOOKUP(DATOS!$I7290,CONFIG_ASIGNATURAS!$B$2:$J$91,9,FALSE()),""))</f>
      </c>
    </row>
    <row r="7291">
      <c r="F7291">
        <f>IF(DATOS!$A7291="","",DATOS!$A7291&amp;"|"&amp;DATOS!$D7291&amp;"|"&amp;DATOS!$E7291&amp;"|"&amp;DATOS!$I7291)</f>
      </c>
      <c r="G7291">
        <f>IF(DATOS!$A7291="",0,IF(CONFIG_METADATA!$B$4&lt;&gt;"OR+EX",--(DATOS!$G7291=CONFIG_METADATA!$B$4),IF(DATOS!$G7291="EX",1,IF(DATOS!$G7291="OR",--(COUNTIFS(nNIA,DATOS!$A7291,nCURSO,DATOS!$D7291,nESPEC,DATOS!$E7291,nASIG,DATOS!$I7291,nEVAL,"EX")=0),0))))</f>
      </c>
      <c r="H7291">
        <f>IF(DATOS!$G7291&lt;&gt;"EX",0,--(COUNTIFS(nNIA,DATOS!$A7291,nCURSO,DATOS!$D7291,nESPEC,DATOS!$E7291,nASIG,DATOS!$I7291,nEVAL,"OR")=0))</f>
      </c>
      <c r="I7291">
        <f>IF(DATOS!$I7291="","",IFERROR(VLOOKUP(DATOS!$I7291,CONFIG_ASIGNATURAS!$B$2:$J$91,9,FALSE()),""))</f>
      </c>
    </row>
    <row r="7292">
      <c r="F7292">
        <f>IF(DATOS!$A7292="","",DATOS!$A7292&amp;"|"&amp;DATOS!$D7292&amp;"|"&amp;DATOS!$E7292&amp;"|"&amp;DATOS!$I7292)</f>
      </c>
      <c r="G7292">
        <f>IF(DATOS!$A7292="",0,IF(CONFIG_METADATA!$B$4&lt;&gt;"OR+EX",--(DATOS!$G7292=CONFIG_METADATA!$B$4),IF(DATOS!$G7292="EX",1,IF(DATOS!$G7292="OR",--(COUNTIFS(nNIA,DATOS!$A7292,nCURSO,DATOS!$D7292,nESPEC,DATOS!$E7292,nASIG,DATOS!$I7292,nEVAL,"EX")=0),0))))</f>
      </c>
      <c r="H7292">
        <f>IF(DATOS!$G7292&lt;&gt;"EX",0,--(COUNTIFS(nNIA,DATOS!$A7292,nCURSO,DATOS!$D7292,nESPEC,DATOS!$E7292,nASIG,DATOS!$I7292,nEVAL,"OR")=0))</f>
      </c>
      <c r="I7292">
        <f>IF(DATOS!$I7292="","",IFERROR(VLOOKUP(DATOS!$I7292,CONFIG_ASIGNATURAS!$B$2:$J$91,9,FALSE()),""))</f>
      </c>
    </row>
    <row r="7293">
      <c r="F7293">
        <f>IF(DATOS!$A7293="","",DATOS!$A7293&amp;"|"&amp;DATOS!$D7293&amp;"|"&amp;DATOS!$E7293&amp;"|"&amp;DATOS!$I7293)</f>
      </c>
      <c r="G7293">
        <f>IF(DATOS!$A7293="",0,IF(CONFIG_METADATA!$B$4&lt;&gt;"OR+EX",--(DATOS!$G7293=CONFIG_METADATA!$B$4),IF(DATOS!$G7293="EX",1,IF(DATOS!$G7293="OR",--(COUNTIFS(nNIA,DATOS!$A7293,nCURSO,DATOS!$D7293,nESPEC,DATOS!$E7293,nASIG,DATOS!$I7293,nEVAL,"EX")=0),0))))</f>
      </c>
      <c r="H7293">
        <f>IF(DATOS!$G7293&lt;&gt;"EX",0,--(COUNTIFS(nNIA,DATOS!$A7293,nCURSO,DATOS!$D7293,nESPEC,DATOS!$E7293,nASIG,DATOS!$I7293,nEVAL,"OR")=0))</f>
      </c>
      <c r="I7293">
        <f>IF(DATOS!$I7293="","",IFERROR(VLOOKUP(DATOS!$I7293,CONFIG_ASIGNATURAS!$B$2:$J$91,9,FALSE()),""))</f>
      </c>
    </row>
    <row r="7294">
      <c r="F7294">
        <f>IF(DATOS!$A7294="","",DATOS!$A7294&amp;"|"&amp;DATOS!$D7294&amp;"|"&amp;DATOS!$E7294&amp;"|"&amp;DATOS!$I7294)</f>
      </c>
      <c r="G7294">
        <f>IF(DATOS!$A7294="",0,IF(CONFIG_METADATA!$B$4&lt;&gt;"OR+EX",--(DATOS!$G7294=CONFIG_METADATA!$B$4),IF(DATOS!$G7294="EX",1,IF(DATOS!$G7294="OR",--(COUNTIFS(nNIA,DATOS!$A7294,nCURSO,DATOS!$D7294,nESPEC,DATOS!$E7294,nASIG,DATOS!$I7294,nEVAL,"EX")=0),0))))</f>
      </c>
      <c r="H7294">
        <f>IF(DATOS!$G7294&lt;&gt;"EX",0,--(COUNTIFS(nNIA,DATOS!$A7294,nCURSO,DATOS!$D7294,nESPEC,DATOS!$E7294,nASIG,DATOS!$I7294,nEVAL,"OR")=0))</f>
      </c>
      <c r="I7294">
        <f>IF(DATOS!$I7294="","",IFERROR(VLOOKUP(DATOS!$I7294,CONFIG_ASIGNATURAS!$B$2:$J$91,9,FALSE()),""))</f>
      </c>
    </row>
    <row r="7295">
      <c r="F7295">
        <f>IF(DATOS!$A7295="","",DATOS!$A7295&amp;"|"&amp;DATOS!$D7295&amp;"|"&amp;DATOS!$E7295&amp;"|"&amp;DATOS!$I7295)</f>
      </c>
      <c r="G7295">
        <f>IF(DATOS!$A7295="",0,IF(CONFIG_METADATA!$B$4&lt;&gt;"OR+EX",--(DATOS!$G7295=CONFIG_METADATA!$B$4),IF(DATOS!$G7295="EX",1,IF(DATOS!$G7295="OR",--(COUNTIFS(nNIA,DATOS!$A7295,nCURSO,DATOS!$D7295,nESPEC,DATOS!$E7295,nASIG,DATOS!$I7295,nEVAL,"EX")=0),0))))</f>
      </c>
      <c r="H7295">
        <f>IF(DATOS!$G7295&lt;&gt;"EX",0,--(COUNTIFS(nNIA,DATOS!$A7295,nCURSO,DATOS!$D7295,nESPEC,DATOS!$E7295,nASIG,DATOS!$I7295,nEVAL,"OR")=0))</f>
      </c>
      <c r="I7295">
        <f>IF(DATOS!$I7295="","",IFERROR(VLOOKUP(DATOS!$I7295,CONFIG_ASIGNATURAS!$B$2:$J$91,9,FALSE()),""))</f>
      </c>
    </row>
    <row r="7296">
      <c r="F7296">
        <f>IF(DATOS!$A7296="","",DATOS!$A7296&amp;"|"&amp;DATOS!$D7296&amp;"|"&amp;DATOS!$E7296&amp;"|"&amp;DATOS!$I7296)</f>
      </c>
      <c r="G7296">
        <f>IF(DATOS!$A7296="",0,IF(CONFIG_METADATA!$B$4&lt;&gt;"OR+EX",--(DATOS!$G7296=CONFIG_METADATA!$B$4),IF(DATOS!$G7296="EX",1,IF(DATOS!$G7296="OR",--(COUNTIFS(nNIA,DATOS!$A7296,nCURSO,DATOS!$D7296,nESPEC,DATOS!$E7296,nASIG,DATOS!$I7296,nEVAL,"EX")=0),0))))</f>
      </c>
      <c r="H7296">
        <f>IF(DATOS!$G7296&lt;&gt;"EX",0,--(COUNTIFS(nNIA,DATOS!$A7296,nCURSO,DATOS!$D7296,nESPEC,DATOS!$E7296,nASIG,DATOS!$I7296,nEVAL,"OR")=0))</f>
      </c>
      <c r="I7296">
        <f>IF(DATOS!$I7296="","",IFERROR(VLOOKUP(DATOS!$I7296,CONFIG_ASIGNATURAS!$B$2:$J$91,9,FALSE()),""))</f>
      </c>
    </row>
    <row r="7297">
      <c r="F7297">
        <f>IF(DATOS!$A7297="","",DATOS!$A7297&amp;"|"&amp;DATOS!$D7297&amp;"|"&amp;DATOS!$E7297&amp;"|"&amp;DATOS!$I7297)</f>
      </c>
      <c r="G7297">
        <f>IF(DATOS!$A7297="",0,IF(CONFIG_METADATA!$B$4&lt;&gt;"OR+EX",--(DATOS!$G7297=CONFIG_METADATA!$B$4),IF(DATOS!$G7297="EX",1,IF(DATOS!$G7297="OR",--(COUNTIFS(nNIA,DATOS!$A7297,nCURSO,DATOS!$D7297,nESPEC,DATOS!$E7297,nASIG,DATOS!$I7297,nEVAL,"EX")=0),0))))</f>
      </c>
      <c r="H7297">
        <f>IF(DATOS!$G7297&lt;&gt;"EX",0,--(COUNTIFS(nNIA,DATOS!$A7297,nCURSO,DATOS!$D7297,nESPEC,DATOS!$E7297,nASIG,DATOS!$I7297,nEVAL,"OR")=0))</f>
      </c>
      <c r="I7297">
        <f>IF(DATOS!$I7297="","",IFERROR(VLOOKUP(DATOS!$I7297,CONFIG_ASIGNATURAS!$B$2:$J$91,9,FALSE()),""))</f>
      </c>
    </row>
    <row r="7298">
      <c r="F7298">
        <f>IF(DATOS!$A7298="","",DATOS!$A7298&amp;"|"&amp;DATOS!$D7298&amp;"|"&amp;DATOS!$E7298&amp;"|"&amp;DATOS!$I7298)</f>
      </c>
      <c r="G7298">
        <f>IF(DATOS!$A7298="",0,IF(CONFIG_METADATA!$B$4&lt;&gt;"OR+EX",--(DATOS!$G7298=CONFIG_METADATA!$B$4),IF(DATOS!$G7298="EX",1,IF(DATOS!$G7298="OR",--(COUNTIFS(nNIA,DATOS!$A7298,nCURSO,DATOS!$D7298,nESPEC,DATOS!$E7298,nASIG,DATOS!$I7298,nEVAL,"EX")=0),0))))</f>
      </c>
      <c r="H7298">
        <f>IF(DATOS!$G7298&lt;&gt;"EX",0,--(COUNTIFS(nNIA,DATOS!$A7298,nCURSO,DATOS!$D7298,nESPEC,DATOS!$E7298,nASIG,DATOS!$I7298,nEVAL,"OR")=0))</f>
      </c>
      <c r="I7298">
        <f>IF(DATOS!$I7298="","",IFERROR(VLOOKUP(DATOS!$I7298,CONFIG_ASIGNATURAS!$B$2:$J$91,9,FALSE()),""))</f>
      </c>
    </row>
    <row r="7299">
      <c r="F7299">
        <f>IF(DATOS!$A7299="","",DATOS!$A7299&amp;"|"&amp;DATOS!$D7299&amp;"|"&amp;DATOS!$E7299&amp;"|"&amp;DATOS!$I7299)</f>
      </c>
      <c r="G7299">
        <f>IF(DATOS!$A7299="",0,IF(CONFIG_METADATA!$B$4&lt;&gt;"OR+EX",--(DATOS!$G7299=CONFIG_METADATA!$B$4),IF(DATOS!$G7299="EX",1,IF(DATOS!$G7299="OR",--(COUNTIFS(nNIA,DATOS!$A7299,nCURSO,DATOS!$D7299,nESPEC,DATOS!$E7299,nASIG,DATOS!$I7299,nEVAL,"EX")=0),0))))</f>
      </c>
      <c r="H7299">
        <f>IF(DATOS!$G7299&lt;&gt;"EX",0,--(COUNTIFS(nNIA,DATOS!$A7299,nCURSO,DATOS!$D7299,nESPEC,DATOS!$E7299,nASIG,DATOS!$I7299,nEVAL,"OR")=0))</f>
      </c>
      <c r="I7299">
        <f>IF(DATOS!$I7299="","",IFERROR(VLOOKUP(DATOS!$I7299,CONFIG_ASIGNATURAS!$B$2:$J$91,9,FALSE()),""))</f>
      </c>
    </row>
    <row r="7300">
      <c r="F7300">
        <f>IF(DATOS!$A7300="","",DATOS!$A7300&amp;"|"&amp;DATOS!$D7300&amp;"|"&amp;DATOS!$E7300&amp;"|"&amp;DATOS!$I7300)</f>
      </c>
      <c r="G7300">
        <f>IF(DATOS!$A7300="",0,IF(CONFIG_METADATA!$B$4&lt;&gt;"OR+EX",--(DATOS!$G7300=CONFIG_METADATA!$B$4),IF(DATOS!$G7300="EX",1,IF(DATOS!$G7300="OR",--(COUNTIFS(nNIA,DATOS!$A7300,nCURSO,DATOS!$D7300,nESPEC,DATOS!$E7300,nASIG,DATOS!$I7300,nEVAL,"EX")=0),0))))</f>
      </c>
      <c r="H7300">
        <f>IF(DATOS!$G7300&lt;&gt;"EX",0,--(COUNTIFS(nNIA,DATOS!$A7300,nCURSO,DATOS!$D7300,nESPEC,DATOS!$E7300,nASIG,DATOS!$I7300,nEVAL,"OR")=0))</f>
      </c>
      <c r="I7300">
        <f>IF(DATOS!$I7300="","",IFERROR(VLOOKUP(DATOS!$I7300,CONFIG_ASIGNATURAS!$B$2:$J$91,9,FALSE()),""))</f>
      </c>
    </row>
    <row r="7301">
      <c r="F7301">
        <f>IF(DATOS!$A7301="","",DATOS!$A7301&amp;"|"&amp;DATOS!$D7301&amp;"|"&amp;DATOS!$E7301&amp;"|"&amp;DATOS!$I7301)</f>
      </c>
      <c r="G7301">
        <f>IF(DATOS!$A7301="",0,IF(CONFIG_METADATA!$B$4&lt;&gt;"OR+EX",--(DATOS!$G7301=CONFIG_METADATA!$B$4),IF(DATOS!$G7301="EX",1,IF(DATOS!$G7301="OR",--(COUNTIFS(nNIA,DATOS!$A7301,nCURSO,DATOS!$D7301,nESPEC,DATOS!$E7301,nASIG,DATOS!$I7301,nEVAL,"EX")=0),0))))</f>
      </c>
      <c r="H7301">
        <f>IF(DATOS!$G7301&lt;&gt;"EX",0,--(COUNTIFS(nNIA,DATOS!$A7301,nCURSO,DATOS!$D7301,nESPEC,DATOS!$E7301,nASIG,DATOS!$I7301,nEVAL,"OR")=0))</f>
      </c>
      <c r="I7301">
        <f>IF(DATOS!$I7301="","",IFERROR(VLOOKUP(DATOS!$I7301,CONFIG_ASIGNATURAS!$B$2:$J$91,9,FALSE()),""))</f>
      </c>
    </row>
    <row r="7302">
      <c r="F7302">
        <f>IF(DATOS!$A7302="","",DATOS!$A7302&amp;"|"&amp;DATOS!$D7302&amp;"|"&amp;DATOS!$E7302&amp;"|"&amp;DATOS!$I7302)</f>
      </c>
      <c r="G7302">
        <f>IF(DATOS!$A7302="",0,IF(CONFIG_METADATA!$B$4&lt;&gt;"OR+EX",--(DATOS!$G7302=CONFIG_METADATA!$B$4),IF(DATOS!$G7302="EX",1,IF(DATOS!$G7302="OR",--(COUNTIFS(nNIA,DATOS!$A7302,nCURSO,DATOS!$D7302,nESPEC,DATOS!$E7302,nASIG,DATOS!$I7302,nEVAL,"EX")=0),0))))</f>
      </c>
      <c r="H7302">
        <f>IF(DATOS!$G7302&lt;&gt;"EX",0,--(COUNTIFS(nNIA,DATOS!$A7302,nCURSO,DATOS!$D7302,nESPEC,DATOS!$E7302,nASIG,DATOS!$I7302,nEVAL,"OR")=0))</f>
      </c>
      <c r="I7302">
        <f>IF(DATOS!$I7302="","",IFERROR(VLOOKUP(DATOS!$I7302,CONFIG_ASIGNATURAS!$B$2:$J$91,9,FALSE()),""))</f>
      </c>
    </row>
    <row r="7303">
      <c r="F7303">
        <f>IF(DATOS!$A7303="","",DATOS!$A7303&amp;"|"&amp;DATOS!$D7303&amp;"|"&amp;DATOS!$E7303&amp;"|"&amp;DATOS!$I7303)</f>
      </c>
      <c r="G7303">
        <f>IF(DATOS!$A7303="",0,IF(CONFIG_METADATA!$B$4&lt;&gt;"OR+EX",--(DATOS!$G7303=CONFIG_METADATA!$B$4),IF(DATOS!$G7303="EX",1,IF(DATOS!$G7303="OR",--(COUNTIFS(nNIA,DATOS!$A7303,nCURSO,DATOS!$D7303,nESPEC,DATOS!$E7303,nASIG,DATOS!$I7303,nEVAL,"EX")=0),0))))</f>
      </c>
      <c r="H7303">
        <f>IF(DATOS!$G7303&lt;&gt;"EX",0,--(COUNTIFS(nNIA,DATOS!$A7303,nCURSO,DATOS!$D7303,nESPEC,DATOS!$E7303,nASIG,DATOS!$I7303,nEVAL,"OR")=0))</f>
      </c>
      <c r="I7303">
        <f>IF(DATOS!$I7303="","",IFERROR(VLOOKUP(DATOS!$I7303,CONFIG_ASIGNATURAS!$B$2:$J$91,9,FALSE()),""))</f>
      </c>
    </row>
    <row r="7304">
      <c r="F7304">
        <f>IF(DATOS!$A7304="","",DATOS!$A7304&amp;"|"&amp;DATOS!$D7304&amp;"|"&amp;DATOS!$E7304&amp;"|"&amp;DATOS!$I7304)</f>
      </c>
      <c r="G7304">
        <f>IF(DATOS!$A7304="",0,IF(CONFIG_METADATA!$B$4&lt;&gt;"OR+EX",--(DATOS!$G7304=CONFIG_METADATA!$B$4),IF(DATOS!$G7304="EX",1,IF(DATOS!$G7304="OR",--(COUNTIFS(nNIA,DATOS!$A7304,nCURSO,DATOS!$D7304,nESPEC,DATOS!$E7304,nASIG,DATOS!$I7304,nEVAL,"EX")=0),0))))</f>
      </c>
      <c r="H7304">
        <f>IF(DATOS!$G7304&lt;&gt;"EX",0,--(COUNTIFS(nNIA,DATOS!$A7304,nCURSO,DATOS!$D7304,nESPEC,DATOS!$E7304,nASIG,DATOS!$I7304,nEVAL,"OR")=0))</f>
      </c>
      <c r="I7304">
        <f>IF(DATOS!$I7304="","",IFERROR(VLOOKUP(DATOS!$I7304,CONFIG_ASIGNATURAS!$B$2:$J$91,9,FALSE()),""))</f>
      </c>
    </row>
    <row r="7305">
      <c r="F7305">
        <f>IF(DATOS!$A7305="","",DATOS!$A7305&amp;"|"&amp;DATOS!$D7305&amp;"|"&amp;DATOS!$E7305&amp;"|"&amp;DATOS!$I7305)</f>
      </c>
      <c r="G7305">
        <f>IF(DATOS!$A7305="",0,IF(CONFIG_METADATA!$B$4&lt;&gt;"OR+EX",--(DATOS!$G7305=CONFIG_METADATA!$B$4),IF(DATOS!$G7305="EX",1,IF(DATOS!$G7305="OR",--(COUNTIFS(nNIA,DATOS!$A7305,nCURSO,DATOS!$D7305,nESPEC,DATOS!$E7305,nASIG,DATOS!$I7305,nEVAL,"EX")=0),0))))</f>
      </c>
      <c r="H7305">
        <f>IF(DATOS!$G7305&lt;&gt;"EX",0,--(COUNTIFS(nNIA,DATOS!$A7305,nCURSO,DATOS!$D7305,nESPEC,DATOS!$E7305,nASIG,DATOS!$I7305,nEVAL,"OR")=0))</f>
      </c>
      <c r="I7305">
        <f>IF(DATOS!$I7305="","",IFERROR(VLOOKUP(DATOS!$I7305,CONFIG_ASIGNATURAS!$B$2:$J$91,9,FALSE()),""))</f>
      </c>
    </row>
    <row r="7306">
      <c r="F7306">
        <f>IF(DATOS!$A7306="","",DATOS!$A7306&amp;"|"&amp;DATOS!$D7306&amp;"|"&amp;DATOS!$E7306&amp;"|"&amp;DATOS!$I7306)</f>
      </c>
      <c r="G7306">
        <f>IF(DATOS!$A7306="",0,IF(CONFIG_METADATA!$B$4&lt;&gt;"OR+EX",--(DATOS!$G7306=CONFIG_METADATA!$B$4),IF(DATOS!$G7306="EX",1,IF(DATOS!$G7306="OR",--(COUNTIFS(nNIA,DATOS!$A7306,nCURSO,DATOS!$D7306,nESPEC,DATOS!$E7306,nASIG,DATOS!$I7306,nEVAL,"EX")=0),0))))</f>
      </c>
      <c r="H7306">
        <f>IF(DATOS!$G7306&lt;&gt;"EX",0,--(COUNTIFS(nNIA,DATOS!$A7306,nCURSO,DATOS!$D7306,nESPEC,DATOS!$E7306,nASIG,DATOS!$I7306,nEVAL,"OR")=0))</f>
      </c>
      <c r="I7306">
        <f>IF(DATOS!$I7306="","",IFERROR(VLOOKUP(DATOS!$I7306,CONFIG_ASIGNATURAS!$B$2:$J$91,9,FALSE()),""))</f>
      </c>
    </row>
    <row r="7307">
      <c r="F7307">
        <f>IF(DATOS!$A7307="","",DATOS!$A7307&amp;"|"&amp;DATOS!$D7307&amp;"|"&amp;DATOS!$E7307&amp;"|"&amp;DATOS!$I7307)</f>
      </c>
      <c r="G7307">
        <f>IF(DATOS!$A7307="",0,IF(CONFIG_METADATA!$B$4&lt;&gt;"OR+EX",--(DATOS!$G7307=CONFIG_METADATA!$B$4),IF(DATOS!$G7307="EX",1,IF(DATOS!$G7307="OR",--(COUNTIFS(nNIA,DATOS!$A7307,nCURSO,DATOS!$D7307,nESPEC,DATOS!$E7307,nASIG,DATOS!$I7307,nEVAL,"EX")=0),0))))</f>
      </c>
      <c r="H7307">
        <f>IF(DATOS!$G7307&lt;&gt;"EX",0,--(COUNTIFS(nNIA,DATOS!$A7307,nCURSO,DATOS!$D7307,nESPEC,DATOS!$E7307,nASIG,DATOS!$I7307,nEVAL,"OR")=0))</f>
      </c>
      <c r="I7307">
        <f>IF(DATOS!$I7307="","",IFERROR(VLOOKUP(DATOS!$I7307,CONFIG_ASIGNATURAS!$B$2:$J$91,9,FALSE()),""))</f>
      </c>
    </row>
    <row r="7308">
      <c r="F7308">
        <f>IF(DATOS!$A7308="","",DATOS!$A7308&amp;"|"&amp;DATOS!$D7308&amp;"|"&amp;DATOS!$E7308&amp;"|"&amp;DATOS!$I7308)</f>
      </c>
      <c r="G7308">
        <f>IF(DATOS!$A7308="",0,IF(CONFIG_METADATA!$B$4&lt;&gt;"OR+EX",--(DATOS!$G7308=CONFIG_METADATA!$B$4),IF(DATOS!$G7308="EX",1,IF(DATOS!$G7308="OR",--(COUNTIFS(nNIA,DATOS!$A7308,nCURSO,DATOS!$D7308,nESPEC,DATOS!$E7308,nASIG,DATOS!$I7308,nEVAL,"EX")=0),0))))</f>
      </c>
      <c r="H7308">
        <f>IF(DATOS!$G7308&lt;&gt;"EX",0,--(COUNTIFS(nNIA,DATOS!$A7308,nCURSO,DATOS!$D7308,nESPEC,DATOS!$E7308,nASIG,DATOS!$I7308,nEVAL,"OR")=0))</f>
      </c>
      <c r="I7308">
        <f>IF(DATOS!$I7308="","",IFERROR(VLOOKUP(DATOS!$I7308,CONFIG_ASIGNATURAS!$B$2:$J$91,9,FALSE()),""))</f>
      </c>
    </row>
    <row r="7309">
      <c r="F7309">
        <f>IF(DATOS!$A7309="","",DATOS!$A7309&amp;"|"&amp;DATOS!$D7309&amp;"|"&amp;DATOS!$E7309&amp;"|"&amp;DATOS!$I7309)</f>
      </c>
      <c r="G7309">
        <f>IF(DATOS!$A7309="",0,IF(CONFIG_METADATA!$B$4&lt;&gt;"OR+EX",--(DATOS!$G7309=CONFIG_METADATA!$B$4),IF(DATOS!$G7309="EX",1,IF(DATOS!$G7309="OR",--(COUNTIFS(nNIA,DATOS!$A7309,nCURSO,DATOS!$D7309,nESPEC,DATOS!$E7309,nASIG,DATOS!$I7309,nEVAL,"EX")=0),0))))</f>
      </c>
      <c r="H7309">
        <f>IF(DATOS!$G7309&lt;&gt;"EX",0,--(COUNTIFS(nNIA,DATOS!$A7309,nCURSO,DATOS!$D7309,nESPEC,DATOS!$E7309,nASIG,DATOS!$I7309,nEVAL,"OR")=0))</f>
      </c>
      <c r="I7309">
        <f>IF(DATOS!$I7309="","",IFERROR(VLOOKUP(DATOS!$I7309,CONFIG_ASIGNATURAS!$B$2:$J$91,9,FALSE()),""))</f>
      </c>
    </row>
    <row r="7310">
      <c r="F7310">
        <f>IF(DATOS!$A7310="","",DATOS!$A7310&amp;"|"&amp;DATOS!$D7310&amp;"|"&amp;DATOS!$E7310&amp;"|"&amp;DATOS!$I7310)</f>
      </c>
      <c r="G7310">
        <f>IF(DATOS!$A7310="",0,IF(CONFIG_METADATA!$B$4&lt;&gt;"OR+EX",--(DATOS!$G7310=CONFIG_METADATA!$B$4),IF(DATOS!$G7310="EX",1,IF(DATOS!$G7310="OR",--(COUNTIFS(nNIA,DATOS!$A7310,nCURSO,DATOS!$D7310,nESPEC,DATOS!$E7310,nASIG,DATOS!$I7310,nEVAL,"EX")=0),0))))</f>
      </c>
      <c r="H7310">
        <f>IF(DATOS!$G7310&lt;&gt;"EX",0,--(COUNTIFS(nNIA,DATOS!$A7310,nCURSO,DATOS!$D7310,nESPEC,DATOS!$E7310,nASIG,DATOS!$I7310,nEVAL,"OR")=0))</f>
      </c>
      <c r="I7310">
        <f>IF(DATOS!$I7310="","",IFERROR(VLOOKUP(DATOS!$I7310,CONFIG_ASIGNATURAS!$B$2:$J$91,9,FALSE()),""))</f>
      </c>
    </row>
    <row r="7311">
      <c r="F7311">
        <f>IF(DATOS!$A7311="","",DATOS!$A7311&amp;"|"&amp;DATOS!$D7311&amp;"|"&amp;DATOS!$E7311&amp;"|"&amp;DATOS!$I7311)</f>
      </c>
      <c r="G7311">
        <f>IF(DATOS!$A7311="",0,IF(CONFIG_METADATA!$B$4&lt;&gt;"OR+EX",--(DATOS!$G7311=CONFIG_METADATA!$B$4),IF(DATOS!$G7311="EX",1,IF(DATOS!$G7311="OR",--(COUNTIFS(nNIA,DATOS!$A7311,nCURSO,DATOS!$D7311,nESPEC,DATOS!$E7311,nASIG,DATOS!$I7311,nEVAL,"EX")=0),0))))</f>
      </c>
      <c r="H7311">
        <f>IF(DATOS!$G7311&lt;&gt;"EX",0,--(COUNTIFS(nNIA,DATOS!$A7311,nCURSO,DATOS!$D7311,nESPEC,DATOS!$E7311,nASIG,DATOS!$I7311,nEVAL,"OR")=0))</f>
      </c>
      <c r="I7311">
        <f>IF(DATOS!$I7311="","",IFERROR(VLOOKUP(DATOS!$I7311,CONFIG_ASIGNATURAS!$B$2:$J$91,9,FALSE()),""))</f>
      </c>
    </row>
    <row r="7312">
      <c r="F7312">
        <f>IF(DATOS!$A7312="","",DATOS!$A7312&amp;"|"&amp;DATOS!$D7312&amp;"|"&amp;DATOS!$E7312&amp;"|"&amp;DATOS!$I7312)</f>
      </c>
      <c r="G7312">
        <f>IF(DATOS!$A7312="",0,IF(CONFIG_METADATA!$B$4&lt;&gt;"OR+EX",--(DATOS!$G7312=CONFIG_METADATA!$B$4),IF(DATOS!$G7312="EX",1,IF(DATOS!$G7312="OR",--(COUNTIFS(nNIA,DATOS!$A7312,nCURSO,DATOS!$D7312,nESPEC,DATOS!$E7312,nASIG,DATOS!$I7312,nEVAL,"EX")=0),0))))</f>
      </c>
      <c r="H7312">
        <f>IF(DATOS!$G7312&lt;&gt;"EX",0,--(COUNTIFS(nNIA,DATOS!$A7312,nCURSO,DATOS!$D7312,nESPEC,DATOS!$E7312,nASIG,DATOS!$I7312,nEVAL,"OR")=0))</f>
      </c>
      <c r="I7312">
        <f>IF(DATOS!$I7312="","",IFERROR(VLOOKUP(DATOS!$I7312,CONFIG_ASIGNATURAS!$B$2:$J$91,9,FALSE()),""))</f>
      </c>
    </row>
    <row r="7313">
      <c r="F7313">
        <f>IF(DATOS!$A7313="","",DATOS!$A7313&amp;"|"&amp;DATOS!$D7313&amp;"|"&amp;DATOS!$E7313&amp;"|"&amp;DATOS!$I7313)</f>
      </c>
      <c r="G7313">
        <f>IF(DATOS!$A7313="",0,IF(CONFIG_METADATA!$B$4&lt;&gt;"OR+EX",--(DATOS!$G7313=CONFIG_METADATA!$B$4),IF(DATOS!$G7313="EX",1,IF(DATOS!$G7313="OR",--(COUNTIFS(nNIA,DATOS!$A7313,nCURSO,DATOS!$D7313,nESPEC,DATOS!$E7313,nASIG,DATOS!$I7313,nEVAL,"EX")=0),0))))</f>
      </c>
      <c r="H7313">
        <f>IF(DATOS!$G7313&lt;&gt;"EX",0,--(COUNTIFS(nNIA,DATOS!$A7313,nCURSO,DATOS!$D7313,nESPEC,DATOS!$E7313,nASIG,DATOS!$I7313,nEVAL,"OR")=0))</f>
      </c>
      <c r="I7313">
        <f>IF(DATOS!$I7313="","",IFERROR(VLOOKUP(DATOS!$I7313,CONFIG_ASIGNATURAS!$B$2:$J$91,9,FALSE()),""))</f>
      </c>
    </row>
    <row r="7314">
      <c r="F7314">
        <f>IF(DATOS!$A7314="","",DATOS!$A7314&amp;"|"&amp;DATOS!$D7314&amp;"|"&amp;DATOS!$E7314&amp;"|"&amp;DATOS!$I7314)</f>
      </c>
      <c r="G7314">
        <f>IF(DATOS!$A7314="",0,IF(CONFIG_METADATA!$B$4&lt;&gt;"OR+EX",--(DATOS!$G7314=CONFIG_METADATA!$B$4),IF(DATOS!$G7314="EX",1,IF(DATOS!$G7314="OR",--(COUNTIFS(nNIA,DATOS!$A7314,nCURSO,DATOS!$D7314,nESPEC,DATOS!$E7314,nASIG,DATOS!$I7314,nEVAL,"EX")=0),0))))</f>
      </c>
      <c r="H7314">
        <f>IF(DATOS!$G7314&lt;&gt;"EX",0,--(COUNTIFS(nNIA,DATOS!$A7314,nCURSO,DATOS!$D7314,nESPEC,DATOS!$E7314,nASIG,DATOS!$I7314,nEVAL,"OR")=0))</f>
      </c>
      <c r="I7314">
        <f>IF(DATOS!$I7314="","",IFERROR(VLOOKUP(DATOS!$I7314,CONFIG_ASIGNATURAS!$B$2:$J$91,9,FALSE()),""))</f>
      </c>
    </row>
    <row r="7315">
      <c r="F7315">
        <f>IF(DATOS!$A7315="","",DATOS!$A7315&amp;"|"&amp;DATOS!$D7315&amp;"|"&amp;DATOS!$E7315&amp;"|"&amp;DATOS!$I7315)</f>
      </c>
      <c r="G7315">
        <f>IF(DATOS!$A7315="",0,IF(CONFIG_METADATA!$B$4&lt;&gt;"OR+EX",--(DATOS!$G7315=CONFIG_METADATA!$B$4),IF(DATOS!$G7315="EX",1,IF(DATOS!$G7315="OR",--(COUNTIFS(nNIA,DATOS!$A7315,nCURSO,DATOS!$D7315,nESPEC,DATOS!$E7315,nASIG,DATOS!$I7315,nEVAL,"EX")=0),0))))</f>
      </c>
      <c r="H7315">
        <f>IF(DATOS!$G7315&lt;&gt;"EX",0,--(COUNTIFS(nNIA,DATOS!$A7315,nCURSO,DATOS!$D7315,nESPEC,DATOS!$E7315,nASIG,DATOS!$I7315,nEVAL,"OR")=0))</f>
      </c>
      <c r="I7315">
        <f>IF(DATOS!$I7315="","",IFERROR(VLOOKUP(DATOS!$I7315,CONFIG_ASIGNATURAS!$B$2:$J$91,9,FALSE()),""))</f>
      </c>
    </row>
    <row r="7316">
      <c r="F7316">
        <f>IF(DATOS!$A7316="","",DATOS!$A7316&amp;"|"&amp;DATOS!$D7316&amp;"|"&amp;DATOS!$E7316&amp;"|"&amp;DATOS!$I7316)</f>
      </c>
      <c r="G7316">
        <f>IF(DATOS!$A7316="",0,IF(CONFIG_METADATA!$B$4&lt;&gt;"OR+EX",--(DATOS!$G7316=CONFIG_METADATA!$B$4),IF(DATOS!$G7316="EX",1,IF(DATOS!$G7316="OR",--(COUNTIFS(nNIA,DATOS!$A7316,nCURSO,DATOS!$D7316,nESPEC,DATOS!$E7316,nASIG,DATOS!$I7316,nEVAL,"EX")=0),0))))</f>
      </c>
      <c r="H7316">
        <f>IF(DATOS!$G7316&lt;&gt;"EX",0,--(COUNTIFS(nNIA,DATOS!$A7316,nCURSO,DATOS!$D7316,nESPEC,DATOS!$E7316,nASIG,DATOS!$I7316,nEVAL,"OR")=0))</f>
      </c>
      <c r="I7316">
        <f>IF(DATOS!$I7316="","",IFERROR(VLOOKUP(DATOS!$I7316,CONFIG_ASIGNATURAS!$B$2:$J$91,9,FALSE()),""))</f>
      </c>
    </row>
    <row r="7317">
      <c r="F7317">
        <f>IF(DATOS!$A7317="","",DATOS!$A7317&amp;"|"&amp;DATOS!$D7317&amp;"|"&amp;DATOS!$E7317&amp;"|"&amp;DATOS!$I7317)</f>
      </c>
      <c r="G7317">
        <f>IF(DATOS!$A7317="",0,IF(CONFIG_METADATA!$B$4&lt;&gt;"OR+EX",--(DATOS!$G7317=CONFIG_METADATA!$B$4),IF(DATOS!$G7317="EX",1,IF(DATOS!$G7317="OR",--(COUNTIFS(nNIA,DATOS!$A7317,nCURSO,DATOS!$D7317,nESPEC,DATOS!$E7317,nASIG,DATOS!$I7317,nEVAL,"EX")=0),0))))</f>
      </c>
      <c r="H7317">
        <f>IF(DATOS!$G7317&lt;&gt;"EX",0,--(COUNTIFS(nNIA,DATOS!$A7317,nCURSO,DATOS!$D7317,nESPEC,DATOS!$E7317,nASIG,DATOS!$I7317,nEVAL,"OR")=0))</f>
      </c>
      <c r="I7317">
        <f>IF(DATOS!$I7317="","",IFERROR(VLOOKUP(DATOS!$I7317,CONFIG_ASIGNATURAS!$B$2:$J$91,9,FALSE()),""))</f>
      </c>
    </row>
    <row r="7318">
      <c r="F7318">
        <f>IF(DATOS!$A7318="","",DATOS!$A7318&amp;"|"&amp;DATOS!$D7318&amp;"|"&amp;DATOS!$E7318&amp;"|"&amp;DATOS!$I7318)</f>
      </c>
      <c r="G7318">
        <f>IF(DATOS!$A7318="",0,IF(CONFIG_METADATA!$B$4&lt;&gt;"OR+EX",--(DATOS!$G7318=CONFIG_METADATA!$B$4),IF(DATOS!$G7318="EX",1,IF(DATOS!$G7318="OR",--(COUNTIFS(nNIA,DATOS!$A7318,nCURSO,DATOS!$D7318,nESPEC,DATOS!$E7318,nASIG,DATOS!$I7318,nEVAL,"EX")=0),0))))</f>
      </c>
      <c r="H7318">
        <f>IF(DATOS!$G7318&lt;&gt;"EX",0,--(COUNTIFS(nNIA,DATOS!$A7318,nCURSO,DATOS!$D7318,nESPEC,DATOS!$E7318,nASIG,DATOS!$I7318,nEVAL,"OR")=0))</f>
      </c>
      <c r="I7318">
        <f>IF(DATOS!$I7318="","",IFERROR(VLOOKUP(DATOS!$I7318,CONFIG_ASIGNATURAS!$B$2:$J$91,9,FALSE()),""))</f>
      </c>
    </row>
    <row r="7319">
      <c r="F7319">
        <f>IF(DATOS!$A7319="","",DATOS!$A7319&amp;"|"&amp;DATOS!$D7319&amp;"|"&amp;DATOS!$E7319&amp;"|"&amp;DATOS!$I7319)</f>
      </c>
      <c r="G7319">
        <f>IF(DATOS!$A7319="",0,IF(CONFIG_METADATA!$B$4&lt;&gt;"OR+EX",--(DATOS!$G7319=CONFIG_METADATA!$B$4),IF(DATOS!$G7319="EX",1,IF(DATOS!$G7319="OR",--(COUNTIFS(nNIA,DATOS!$A7319,nCURSO,DATOS!$D7319,nESPEC,DATOS!$E7319,nASIG,DATOS!$I7319,nEVAL,"EX")=0),0))))</f>
      </c>
      <c r="H7319">
        <f>IF(DATOS!$G7319&lt;&gt;"EX",0,--(COUNTIFS(nNIA,DATOS!$A7319,nCURSO,DATOS!$D7319,nESPEC,DATOS!$E7319,nASIG,DATOS!$I7319,nEVAL,"OR")=0))</f>
      </c>
      <c r="I7319">
        <f>IF(DATOS!$I7319="","",IFERROR(VLOOKUP(DATOS!$I7319,CONFIG_ASIGNATURAS!$B$2:$J$91,9,FALSE()),""))</f>
      </c>
    </row>
    <row r="7320">
      <c r="F7320">
        <f>IF(DATOS!$A7320="","",DATOS!$A7320&amp;"|"&amp;DATOS!$D7320&amp;"|"&amp;DATOS!$E7320&amp;"|"&amp;DATOS!$I7320)</f>
      </c>
      <c r="G7320">
        <f>IF(DATOS!$A7320="",0,IF(CONFIG_METADATA!$B$4&lt;&gt;"OR+EX",--(DATOS!$G7320=CONFIG_METADATA!$B$4),IF(DATOS!$G7320="EX",1,IF(DATOS!$G7320="OR",--(COUNTIFS(nNIA,DATOS!$A7320,nCURSO,DATOS!$D7320,nESPEC,DATOS!$E7320,nASIG,DATOS!$I7320,nEVAL,"EX")=0),0))))</f>
      </c>
      <c r="H7320">
        <f>IF(DATOS!$G7320&lt;&gt;"EX",0,--(COUNTIFS(nNIA,DATOS!$A7320,nCURSO,DATOS!$D7320,nESPEC,DATOS!$E7320,nASIG,DATOS!$I7320,nEVAL,"OR")=0))</f>
      </c>
      <c r="I7320">
        <f>IF(DATOS!$I7320="","",IFERROR(VLOOKUP(DATOS!$I7320,CONFIG_ASIGNATURAS!$B$2:$J$91,9,FALSE()),""))</f>
      </c>
    </row>
    <row r="7321">
      <c r="F7321">
        <f>IF(DATOS!$A7321="","",DATOS!$A7321&amp;"|"&amp;DATOS!$D7321&amp;"|"&amp;DATOS!$E7321&amp;"|"&amp;DATOS!$I7321)</f>
      </c>
      <c r="G7321">
        <f>IF(DATOS!$A7321="",0,IF(CONFIG_METADATA!$B$4&lt;&gt;"OR+EX",--(DATOS!$G7321=CONFIG_METADATA!$B$4),IF(DATOS!$G7321="EX",1,IF(DATOS!$G7321="OR",--(COUNTIFS(nNIA,DATOS!$A7321,nCURSO,DATOS!$D7321,nESPEC,DATOS!$E7321,nASIG,DATOS!$I7321,nEVAL,"EX")=0),0))))</f>
      </c>
      <c r="H7321">
        <f>IF(DATOS!$G7321&lt;&gt;"EX",0,--(COUNTIFS(nNIA,DATOS!$A7321,nCURSO,DATOS!$D7321,nESPEC,DATOS!$E7321,nASIG,DATOS!$I7321,nEVAL,"OR")=0))</f>
      </c>
      <c r="I7321">
        <f>IF(DATOS!$I7321="","",IFERROR(VLOOKUP(DATOS!$I7321,CONFIG_ASIGNATURAS!$B$2:$J$91,9,FALSE()),""))</f>
      </c>
    </row>
    <row r="7322">
      <c r="F7322">
        <f>IF(DATOS!$A7322="","",DATOS!$A7322&amp;"|"&amp;DATOS!$D7322&amp;"|"&amp;DATOS!$E7322&amp;"|"&amp;DATOS!$I7322)</f>
      </c>
      <c r="G7322">
        <f>IF(DATOS!$A7322="",0,IF(CONFIG_METADATA!$B$4&lt;&gt;"OR+EX",--(DATOS!$G7322=CONFIG_METADATA!$B$4),IF(DATOS!$G7322="EX",1,IF(DATOS!$G7322="OR",--(COUNTIFS(nNIA,DATOS!$A7322,nCURSO,DATOS!$D7322,nESPEC,DATOS!$E7322,nASIG,DATOS!$I7322,nEVAL,"EX")=0),0))))</f>
      </c>
      <c r="H7322">
        <f>IF(DATOS!$G7322&lt;&gt;"EX",0,--(COUNTIFS(nNIA,DATOS!$A7322,nCURSO,DATOS!$D7322,nESPEC,DATOS!$E7322,nASIG,DATOS!$I7322,nEVAL,"OR")=0))</f>
      </c>
      <c r="I7322">
        <f>IF(DATOS!$I7322="","",IFERROR(VLOOKUP(DATOS!$I7322,CONFIG_ASIGNATURAS!$B$2:$J$91,9,FALSE()),""))</f>
      </c>
    </row>
    <row r="7323">
      <c r="F7323">
        <f>IF(DATOS!$A7323="","",DATOS!$A7323&amp;"|"&amp;DATOS!$D7323&amp;"|"&amp;DATOS!$E7323&amp;"|"&amp;DATOS!$I7323)</f>
      </c>
      <c r="G7323">
        <f>IF(DATOS!$A7323="",0,IF(CONFIG_METADATA!$B$4&lt;&gt;"OR+EX",--(DATOS!$G7323=CONFIG_METADATA!$B$4),IF(DATOS!$G7323="EX",1,IF(DATOS!$G7323="OR",--(COUNTIFS(nNIA,DATOS!$A7323,nCURSO,DATOS!$D7323,nESPEC,DATOS!$E7323,nASIG,DATOS!$I7323,nEVAL,"EX")=0),0))))</f>
      </c>
      <c r="H7323">
        <f>IF(DATOS!$G7323&lt;&gt;"EX",0,--(COUNTIFS(nNIA,DATOS!$A7323,nCURSO,DATOS!$D7323,nESPEC,DATOS!$E7323,nASIG,DATOS!$I7323,nEVAL,"OR")=0))</f>
      </c>
      <c r="I7323">
        <f>IF(DATOS!$I7323="","",IFERROR(VLOOKUP(DATOS!$I7323,CONFIG_ASIGNATURAS!$B$2:$J$91,9,FALSE()),""))</f>
      </c>
    </row>
    <row r="7324">
      <c r="F7324">
        <f>IF(DATOS!$A7324="","",DATOS!$A7324&amp;"|"&amp;DATOS!$D7324&amp;"|"&amp;DATOS!$E7324&amp;"|"&amp;DATOS!$I7324)</f>
      </c>
      <c r="G7324">
        <f>IF(DATOS!$A7324="",0,IF(CONFIG_METADATA!$B$4&lt;&gt;"OR+EX",--(DATOS!$G7324=CONFIG_METADATA!$B$4),IF(DATOS!$G7324="EX",1,IF(DATOS!$G7324="OR",--(COUNTIFS(nNIA,DATOS!$A7324,nCURSO,DATOS!$D7324,nESPEC,DATOS!$E7324,nASIG,DATOS!$I7324,nEVAL,"EX")=0),0))))</f>
      </c>
      <c r="H7324">
        <f>IF(DATOS!$G7324&lt;&gt;"EX",0,--(COUNTIFS(nNIA,DATOS!$A7324,nCURSO,DATOS!$D7324,nESPEC,DATOS!$E7324,nASIG,DATOS!$I7324,nEVAL,"OR")=0))</f>
      </c>
      <c r="I7324">
        <f>IF(DATOS!$I7324="","",IFERROR(VLOOKUP(DATOS!$I7324,CONFIG_ASIGNATURAS!$B$2:$J$91,9,FALSE()),""))</f>
      </c>
    </row>
    <row r="7325">
      <c r="F7325">
        <f>IF(DATOS!$A7325="","",DATOS!$A7325&amp;"|"&amp;DATOS!$D7325&amp;"|"&amp;DATOS!$E7325&amp;"|"&amp;DATOS!$I7325)</f>
      </c>
      <c r="G7325">
        <f>IF(DATOS!$A7325="",0,IF(CONFIG_METADATA!$B$4&lt;&gt;"OR+EX",--(DATOS!$G7325=CONFIG_METADATA!$B$4),IF(DATOS!$G7325="EX",1,IF(DATOS!$G7325="OR",--(COUNTIFS(nNIA,DATOS!$A7325,nCURSO,DATOS!$D7325,nESPEC,DATOS!$E7325,nASIG,DATOS!$I7325,nEVAL,"EX")=0),0))))</f>
      </c>
      <c r="H7325">
        <f>IF(DATOS!$G7325&lt;&gt;"EX",0,--(COUNTIFS(nNIA,DATOS!$A7325,nCURSO,DATOS!$D7325,nESPEC,DATOS!$E7325,nASIG,DATOS!$I7325,nEVAL,"OR")=0))</f>
      </c>
      <c r="I7325">
        <f>IF(DATOS!$I7325="","",IFERROR(VLOOKUP(DATOS!$I7325,CONFIG_ASIGNATURAS!$B$2:$J$91,9,FALSE()),""))</f>
      </c>
    </row>
    <row r="7326">
      <c r="F7326">
        <f>IF(DATOS!$A7326="","",DATOS!$A7326&amp;"|"&amp;DATOS!$D7326&amp;"|"&amp;DATOS!$E7326&amp;"|"&amp;DATOS!$I7326)</f>
      </c>
      <c r="G7326">
        <f>IF(DATOS!$A7326="",0,IF(CONFIG_METADATA!$B$4&lt;&gt;"OR+EX",--(DATOS!$G7326=CONFIG_METADATA!$B$4),IF(DATOS!$G7326="EX",1,IF(DATOS!$G7326="OR",--(COUNTIFS(nNIA,DATOS!$A7326,nCURSO,DATOS!$D7326,nESPEC,DATOS!$E7326,nASIG,DATOS!$I7326,nEVAL,"EX")=0),0))))</f>
      </c>
      <c r="H7326">
        <f>IF(DATOS!$G7326&lt;&gt;"EX",0,--(COUNTIFS(nNIA,DATOS!$A7326,nCURSO,DATOS!$D7326,nESPEC,DATOS!$E7326,nASIG,DATOS!$I7326,nEVAL,"OR")=0))</f>
      </c>
      <c r="I7326">
        <f>IF(DATOS!$I7326="","",IFERROR(VLOOKUP(DATOS!$I7326,CONFIG_ASIGNATURAS!$B$2:$J$91,9,FALSE()),""))</f>
      </c>
    </row>
    <row r="7327">
      <c r="F7327">
        <f>IF(DATOS!$A7327="","",DATOS!$A7327&amp;"|"&amp;DATOS!$D7327&amp;"|"&amp;DATOS!$E7327&amp;"|"&amp;DATOS!$I7327)</f>
      </c>
      <c r="G7327">
        <f>IF(DATOS!$A7327="",0,IF(CONFIG_METADATA!$B$4&lt;&gt;"OR+EX",--(DATOS!$G7327=CONFIG_METADATA!$B$4),IF(DATOS!$G7327="EX",1,IF(DATOS!$G7327="OR",--(COUNTIFS(nNIA,DATOS!$A7327,nCURSO,DATOS!$D7327,nESPEC,DATOS!$E7327,nASIG,DATOS!$I7327,nEVAL,"EX")=0),0))))</f>
      </c>
      <c r="H7327">
        <f>IF(DATOS!$G7327&lt;&gt;"EX",0,--(COUNTIFS(nNIA,DATOS!$A7327,nCURSO,DATOS!$D7327,nESPEC,DATOS!$E7327,nASIG,DATOS!$I7327,nEVAL,"OR")=0))</f>
      </c>
      <c r="I7327">
        <f>IF(DATOS!$I7327="","",IFERROR(VLOOKUP(DATOS!$I7327,CONFIG_ASIGNATURAS!$B$2:$J$91,9,FALSE()),""))</f>
      </c>
    </row>
    <row r="7328">
      <c r="F7328">
        <f>IF(DATOS!$A7328="","",DATOS!$A7328&amp;"|"&amp;DATOS!$D7328&amp;"|"&amp;DATOS!$E7328&amp;"|"&amp;DATOS!$I7328)</f>
      </c>
      <c r="G7328">
        <f>IF(DATOS!$A7328="",0,IF(CONFIG_METADATA!$B$4&lt;&gt;"OR+EX",--(DATOS!$G7328=CONFIG_METADATA!$B$4),IF(DATOS!$G7328="EX",1,IF(DATOS!$G7328="OR",--(COUNTIFS(nNIA,DATOS!$A7328,nCURSO,DATOS!$D7328,nESPEC,DATOS!$E7328,nASIG,DATOS!$I7328,nEVAL,"EX")=0),0))))</f>
      </c>
      <c r="H7328">
        <f>IF(DATOS!$G7328&lt;&gt;"EX",0,--(COUNTIFS(nNIA,DATOS!$A7328,nCURSO,DATOS!$D7328,nESPEC,DATOS!$E7328,nASIG,DATOS!$I7328,nEVAL,"OR")=0))</f>
      </c>
      <c r="I7328">
        <f>IF(DATOS!$I7328="","",IFERROR(VLOOKUP(DATOS!$I7328,CONFIG_ASIGNATURAS!$B$2:$J$91,9,FALSE()),""))</f>
      </c>
    </row>
    <row r="7329">
      <c r="F7329">
        <f>IF(DATOS!$A7329="","",DATOS!$A7329&amp;"|"&amp;DATOS!$D7329&amp;"|"&amp;DATOS!$E7329&amp;"|"&amp;DATOS!$I7329)</f>
      </c>
      <c r="G7329">
        <f>IF(DATOS!$A7329="",0,IF(CONFIG_METADATA!$B$4&lt;&gt;"OR+EX",--(DATOS!$G7329=CONFIG_METADATA!$B$4),IF(DATOS!$G7329="EX",1,IF(DATOS!$G7329="OR",--(COUNTIFS(nNIA,DATOS!$A7329,nCURSO,DATOS!$D7329,nESPEC,DATOS!$E7329,nASIG,DATOS!$I7329,nEVAL,"EX")=0),0))))</f>
      </c>
      <c r="H7329">
        <f>IF(DATOS!$G7329&lt;&gt;"EX",0,--(COUNTIFS(nNIA,DATOS!$A7329,nCURSO,DATOS!$D7329,nESPEC,DATOS!$E7329,nASIG,DATOS!$I7329,nEVAL,"OR")=0))</f>
      </c>
      <c r="I7329">
        <f>IF(DATOS!$I7329="","",IFERROR(VLOOKUP(DATOS!$I7329,CONFIG_ASIGNATURAS!$B$2:$J$91,9,FALSE()),""))</f>
      </c>
    </row>
    <row r="7330">
      <c r="F7330">
        <f>IF(DATOS!$A7330="","",DATOS!$A7330&amp;"|"&amp;DATOS!$D7330&amp;"|"&amp;DATOS!$E7330&amp;"|"&amp;DATOS!$I7330)</f>
      </c>
      <c r="G7330">
        <f>IF(DATOS!$A7330="",0,IF(CONFIG_METADATA!$B$4&lt;&gt;"OR+EX",--(DATOS!$G7330=CONFIG_METADATA!$B$4),IF(DATOS!$G7330="EX",1,IF(DATOS!$G7330="OR",--(COUNTIFS(nNIA,DATOS!$A7330,nCURSO,DATOS!$D7330,nESPEC,DATOS!$E7330,nASIG,DATOS!$I7330,nEVAL,"EX")=0),0))))</f>
      </c>
      <c r="H7330">
        <f>IF(DATOS!$G7330&lt;&gt;"EX",0,--(COUNTIFS(nNIA,DATOS!$A7330,nCURSO,DATOS!$D7330,nESPEC,DATOS!$E7330,nASIG,DATOS!$I7330,nEVAL,"OR")=0))</f>
      </c>
      <c r="I7330">
        <f>IF(DATOS!$I7330="","",IFERROR(VLOOKUP(DATOS!$I7330,CONFIG_ASIGNATURAS!$B$2:$J$91,9,FALSE()),""))</f>
      </c>
    </row>
    <row r="7331">
      <c r="F7331">
        <f>IF(DATOS!$A7331="","",DATOS!$A7331&amp;"|"&amp;DATOS!$D7331&amp;"|"&amp;DATOS!$E7331&amp;"|"&amp;DATOS!$I7331)</f>
      </c>
      <c r="G7331">
        <f>IF(DATOS!$A7331="",0,IF(CONFIG_METADATA!$B$4&lt;&gt;"OR+EX",--(DATOS!$G7331=CONFIG_METADATA!$B$4),IF(DATOS!$G7331="EX",1,IF(DATOS!$G7331="OR",--(COUNTIFS(nNIA,DATOS!$A7331,nCURSO,DATOS!$D7331,nESPEC,DATOS!$E7331,nASIG,DATOS!$I7331,nEVAL,"EX")=0),0))))</f>
      </c>
      <c r="H7331">
        <f>IF(DATOS!$G7331&lt;&gt;"EX",0,--(COUNTIFS(nNIA,DATOS!$A7331,nCURSO,DATOS!$D7331,nESPEC,DATOS!$E7331,nASIG,DATOS!$I7331,nEVAL,"OR")=0))</f>
      </c>
      <c r="I7331">
        <f>IF(DATOS!$I7331="","",IFERROR(VLOOKUP(DATOS!$I7331,CONFIG_ASIGNATURAS!$B$2:$J$91,9,FALSE()),""))</f>
      </c>
    </row>
    <row r="7332">
      <c r="F7332">
        <f>IF(DATOS!$A7332="","",DATOS!$A7332&amp;"|"&amp;DATOS!$D7332&amp;"|"&amp;DATOS!$E7332&amp;"|"&amp;DATOS!$I7332)</f>
      </c>
      <c r="G7332">
        <f>IF(DATOS!$A7332="",0,IF(CONFIG_METADATA!$B$4&lt;&gt;"OR+EX",--(DATOS!$G7332=CONFIG_METADATA!$B$4),IF(DATOS!$G7332="EX",1,IF(DATOS!$G7332="OR",--(COUNTIFS(nNIA,DATOS!$A7332,nCURSO,DATOS!$D7332,nESPEC,DATOS!$E7332,nASIG,DATOS!$I7332,nEVAL,"EX")=0),0))))</f>
      </c>
      <c r="H7332">
        <f>IF(DATOS!$G7332&lt;&gt;"EX",0,--(COUNTIFS(nNIA,DATOS!$A7332,nCURSO,DATOS!$D7332,nESPEC,DATOS!$E7332,nASIG,DATOS!$I7332,nEVAL,"OR")=0))</f>
      </c>
      <c r="I7332">
        <f>IF(DATOS!$I7332="","",IFERROR(VLOOKUP(DATOS!$I7332,CONFIG_ASIGNATURAS!$B$2:$J$91,9,FALSE()),""))</f>
      </c>
    </row>
    <row r="7333">
      <c r="F7333">
        <f>IF(DATOS!$A7333="","",DATOS!$A7333&amp;"|"&amp;DATOS!$D7333&amp;"|"&amp;DATOS!$E7333&amp;"|"&amp;DATOS!$I7333)</f>
      </c>
      <c r="G7333">
        <f>IF(DATOS!$A7333="",0,IF(CONFIG_METADATA!$B$4&lt;&gt;"OR+EX",--(DATOS!$G7333=CONFIG_METADATA!$B$4),IF(DATOS!$G7333="EX",1,IF(DATOS!$G7333="OR",--(COUNTIFS(nNIA,DATOS!$A7333,nCURSO,DATOS!$D7333,nESPEC,DATOS!$E7333,nASIG,DATOS!$I7333,nEVAL,"EX")=0),0))))</f>
      </c>
      <c r="H7333">
        <f>IF(DATOS!$G7333&lt;&gt;"EX",0,--(COUNTIFS(nNIA,DATOS!$A7333,nCURSO,DATOS!$D7333,nESPEC,DATOS!$E7333,nASIG,DATOS!$I7333,nEVAL,"OR")=0))</f>
      </c>
      <c r="I7333">
        <f>IF(DATOS!$I7333="","",IFERROR(VLOOKUP(DATOS!$I7333,CONFIG_ASIGNATURAS!$B$2:$J$91,9,FALSE()),""))</f>
      </c>
    </row>
    <row r="7334">
      <c r="F7334">
        <f>IF(DATOS!$A7334="","",DATOS!$A7334&amp;"|"&amp;DATOS!$D7334&amp;"|"&amp;DATOS!$E7334&amp;"|"&amp;DATOS!$I7334)</f>
      </c>
      <c r="G7334">
        <f>IF(DATOS!$A7334="",0,IF(CONFIG_METADATA!$B$4&lt;&gt;"OR+EX",--(DATOS!$G7334=CONFIG_METADATA!$B$4),IF(DATOS!$G7334="EX",1,IF(DATOS!$G7334="OR",--(COUNTIFS(nNIA,DATOS!$A7334,nCURSO,DATOS!$D7334,nESPEC,DATOS!$E7334,nASIG,DATOS!$I7334,nEVAL,"EX")=0),0))))</f>
      </c>
      <c r="H7334">
        <f>IF(DATOS!$G7334&lt;&gt;"EX",0,--(COUNTIFS(nNIA,DATOS!$A7334,nCURSO,DATOS!$D7334,nESPEC,DATOS!$E7334,nASIG,DATOS!$I7334,nEVAL,"OR")=0))</f>
      </c>
      <c r="I7334">
        <f>IF(DATOS!$I7334="","",IFERROR(VLOOKUP(DATOS!$I7334,CONFIG_ASIGNATURAS!$B$2:$J$91,9,FALSE()),""))</f>
      </c>
    </row>
    <row r="7335">
      <c r="F7335">
        <f>IF(DATOS!$A7335="","",DATOS!$A7335&amp;"|"&amp;DATOS!$D7335&amp;"|"&amp;DATOS!$E7335&amp;"|"&amp;DATOS!$I7335)</f>
      </c>
      <c r="G7335">
        <f>IF(DATOS!$A7335="",0,IF(CONFIG_METADATA!$B$4&lt;&gt;"OR+EX",--(DATOS!$G7335=CONFIG_METADATA!$B$4),IF(DATOS!$G7335="EX",1,IF(DATOS!$G7335="OR",--(COUNTIFS(nNIA,DATOS!$A7335,nCURSO,DATOS!$D7335,nESPEC,DATOS!$E7335,nASIG,DATOS!$I7335,nEVAL,"EX")=0),0))))</f>
      </c>
      <c r="H7335">
        <f>IF(DATOS!$G7335&lt;&gt;"EX",0,--(COUNTIFS(nNIA,DATOS!$A7335,nCURSO,DATOS!$D7335,nESPEC,DATOS!$E7335,nASIG,DATOS!$I7335,nEVAL,"OR")=0))</f>
      </c>
      <c r="I7335">
        <f>IF(DATOS!$I7335="","",IFERROR(VLOOKUP(DATOS!$I7335,CONFIG_ASIGNATURAS!$B$2:$J$91,9,FALSE()),""))</f>
      </c>
    </row>
    <row r="7336">
      <c r="F7336">
        <f>IF(DATOS!$A7336="","",DATOS!$A7336&amp;"|"&amp;DATOS!$D7336&amp;"|"&amp;DATOS!$E7336&amp;"|"&amp;DATOS!$I7336)</f>
      </c>
      <c r="G7336">
        <f>IF(DATOS!$A7336="",0,IF(CONFIG_METADATA!$B$4&lt;&gt;"OR+EX",--(DATOS!$G7336=CONFIG_METADATA!$B$4),IF(DATOS!$G7336="EX",1,IF(DATOS!$G7336="OR",--(COUNTIFS(nNIA,DATOS!$A7336,nCURSO,DATOS!$D7336,nESPEC,DATOS!$E7336,nASIG,DATOS!$I7336,nEVAL,"EX")=0),0))))</f>
      </c>
      <c r="H7336">
        <f>IF(DATOS!$G7336&lt;&gt;"EX",0,--(COUNTIFS(nNIA,DATOS!$A7336,nCURSO,DATOS!$D7336,nESPEC,DATOS!$E7336,nASIG,DATOS!$I7336,nEVAL,"OR")=0))</f>
      </c>
      <c r="I7336">
        <f>IF(DATOS!$I7336="","",IFERROR(VLOOKUP(DATOS!$I7336,CONFIG_ASIGNATURAS!$B$2:$J$91,9,FALSE()),""))</f>
      </c>
    </row>
    <row r="7337">
      <c r="F7337">
        <f>IF(DATOS!$A7337="","",DATOS!$A7337&amp;"|"&amp;DATOS!$D7337&amp;"|"&amp;DATOS!$E7337&amp;"|"&amp;DATOS!$I7337)</f>
      </c>
      <c r="G7337">
        <f>IF(DATOS!$A7337="",0,IF(CONFIG_METADATA!$B$4&lt;&gt;"OR+EX",--(DATOS!$G7337=CONFIG_METADATA!$B$4),IF(DATOS!$G7337="EX",1,IF(DATOS!$G7337="OR",--(COUNTIFS(nNIA,DATOS!$A7337,nCURSO,DATOS!$D7337,nESPEC,DATOS!$E7337,nASIG,DATOS!$I7337,nEVAL,"EX")=0),0))))</f>
      </c>
      <c r="H7337">
        <f>IF(DATOS!$G7337&lt;&gt;"EX",0,--(COUNTIFS(nNIA,DATOS!$A7337,nCURSO,DATOS!$D7337,nESPEC,DATOS!$E7337,nASIG,DATOS!$I7337,nEVAL,"OR")=0))</f>
      </c>
      <c r="I7337">
        <f>IF(DATOS!$I7337="","",IFERROR(VLOOKUP(DATOS!$I7337,CONFIG_ASIGNATURAS!$B$2:$J$91,9,FALSE()),""))</f>
      </c>
    </row>
    <row r="7338">
      <c r="F7338">
        <f>IF(DATOS!$A7338="","",DATOS!$A7338&amp;"|"&amp;DATOS!$D7338&amp;"|"&amp;DATOS!$E7338&amp;"|"&amp;DATOS!$I7338)</f>
      </c>
      <c r="G7338">
        <f>IF(DATOS!$A7338="",0,IF(CONFIG_METADATA!$B$4&lt;&gt;"OR+EX",--(DATOS!$G7338=CONFIG_METADATA!$B$4),IF(DATOS!$G7338="EX",1,IF(DATOS!$G7338="OR",--(COUNTIFS(nNIA,DATOS!$A7338,nCURSO,DATOS!$D7338,nESPEC,DATOS!$E7338,nASIG,DATOS!$I7338,nEVAL,"EX")=0),0))))</f>
      </c>
      <c r="H7338">
        <f>IF(DATOS!$G7338&lt;&gt;"EX",0,--(COUNTIFS(nNIA,DATOS!$A7338,nCURSO,DATOS!$D7338,nESPEC,DATOS!$E7338,nASIG,DATOS!$I7338,nEVAL,"OR")=0))</f>
      </c>
      <c r="I7338">
        <f>IF(DATOS!$I7338="","",IFERROR(VLOOKUP(DATOS!$I7338,CONFIG_ASIGNATURAS!$B$2:$J$91,9,FALSE()),""))</f>
      </c>
    </row>
    <row r="7339">
      <c r="F7339">
        <f>IF(DATOS!$A7339="","",DATOS!$A7339&amp;"|"&amp;DATOS!$D7339&amp;"|"&amp;DATOS!$E7339&amp;"|"&amp;DATOS!$I7339)</f>
      </c>
      <c r="G7339">
        <f>IF(DATOS!$A7339="",0,IF(CONFIG_METADATA!$B$4&lt;&gt;"OR+EX",--(DATOS!$G7339=CONFIG_METADATA!$B$4),IF(DATOS!$G7339="EX",1,IF(DATOS!$G7339="OR",--(COUNTIFS(nNIA,DATOS!$A7339,nCURSO,DATOS!$D7339,nESPEC,DATOS!$E7339,nASIG,DATOS!$I7339,nEVAL,"EX")=0),0))))</f>
      </c>
      <c r="H7339">
        <f>IF(DATOS!$G7339&lt;&gt;"EX",0,--(COUNTIFS(nNIA,DATOS!$A7339,nCURSO,DATOS!$D7339,nESPEC,DATOS!$E7339,nASIG,DATOS!$I7339,nEVAL,"OR")=0))</f>
      </c>
      <c r="I7339">
        <f>IF(DATOS!$I7339="","",IFERROR(VLOOKUP(DATOS!$I7339,CONFIG_ASIGNATURAS!$B$2:$J$91,9,FALSE()),""))</f>
      </c>
    </row>
    <row r="7340">
      <c r="F7340">
        <f>IF(DATOS!$A7340="","",DATOS!$A7340&amp;"|"&amp;DATOS!$D7340&amp;"|"&amp;DATOS!$E7340&amp;"|"&amp;DATOS!$I7340)</f>
      </c>
      <c r="G7340">
        <f>IF(DATOS!$A7340="",0,IF(CONFIG_METADATA!$B$4&lt;&gt;"OR+EX",--(DATOS!$G7340=CONFIG_METADATA!$B$4),IF(DATOS!$G7340="EX",1,IF(DATOS!$G7340="OR",--(COUNTIFS(nNIA,DATOS!$A7340,nCURSO,DATOS!$D7340,nESPEC,DATOS!$E7340,nASIG,DATOS!$I7340,nEVAL,"EX")=0),0))))</f>
      </c>
      <c r="H7340">
        <f>IF(DATOS!$G7340&lt;&gt;"EX",0,--(COUNTIFS(nNIA,DATOS!$A7340,nCURSO,DATOS!$D7340,nESPEC,DATOS!$E7340,nASIG,DATOS!$I7340,nEVAL,"OR")=0))</f>
      </c>
      <c r="I7340">
        <f>IF(DATOS!$I7340="","",IFERROR(VLOOKUP(DATOS!$I7340,CONFIG_ASIGNATURAS!$B$2:$J$91,9,FALSE()),""))</f>
      </c>
    </row>
    <row r="7341">
      <c r="F7341">
        <f>IF(DATOS!$A7341="","",DATOS!$A7341&amp;"|"&amp;DATOS!$D7341&amp;"|"&amp;DATOS!$E7341&amp;"|"&amp;DATOS!$I7341)</f>
      </c>
      <c r="G7341">
        <f>IF(DATOS!$A7341="",0,IF(CONFIG_METADATA!$B$4&lt;&gt;"OR+EX",--(DATOS!$G7341=CONFIG_METADATA!$B$4),IF(DATOS!$G7341="EX",1,IF(DATOS!$G7341="OR",--(COUNTIFS(nNIA,DATOS!$A7341,nCURSO,DATOS!$D7341,nESPEC,DATOS!$E7341,nASIG,DATOS!$I7341,nEVAL,"EX")=0),0))))</f>
      </c>
      <c r="H7341">
        <f>IF(DATOS!$G7341&lt;&gt;"EX",0,--(COUNTIFS(nNIA,DATOS!$A7341,nCURSO,DATOS!$D7341,nESPEC,DATOS!$E7341,nASIG,DATOS!$I7341,nEVAL,"OR")=0))</f>
      </c>
      <c r="I7341">
        <f>IF(DATOS!$I7341="","",IFERROR(VLOOKUP(DATOS!$I7341,CONFIG_ASIGNATURAS!$B$2:$J$91,9,FALSE()),""))</f>
      </c>
    </row>
    <row r="7342">
      <c r="F7342">
        <f>IF(DATOS!$A7342="","",DATOS!$A7342&amp;"|"&amp;DATOS!$D7342&amp;"|"&amp;DATOS!$E7342&amp;"|"&amp;DATOS!$I7342)</f>
      </c>
      <c r="G7342">
        <f>IF(DATOS!$A7342="",0,IF(CONFIG_METADATA!$B$4&lt;&gt;"OR+EX",--(DATOS!$G7342=CONFIG_METADATA!$B$4),IF(DATOS!$G7342="EX",1,IF(DATOS!$G7342="OR",--(COUNTIFS(nNIA,DATOS!$A7342,nCURSO,DATOS!$D7342,nESPEC,DATOS!$E7342,nASIG,DATOS!$I7342,nEVAL,"EX")=0),0))))</f>
      </c>
      <c r="H7342">
        <f>IF(DATOS!$G7342&lt;&gt;"EX",0,--(COUNTIFS(nNIA,DATOS!$A7342,nCURSO,DATOS!$D7342,nESPEC,DATOS!$E7342,nASIG,DATOS!$I7342,nEVAL,"OR")=0))</f>
      </c>
      <c r="I7342">
        <f>IF(DATOS!$I7342="","",IFERROR(VLOOKUP(DATOS!$I7342,CONFIG_ASIGNATURAS!$B$2:$J$91,9,FALSE()),""))</f>
      </c>
    </row>
    <row r="7343">
      <c r="F7343">
        <f>IF(DATOS!$A7343="","",DATOS!$A7343&amp;"|"&amp;DATOS!$D7343&amp;"|"&amp;DATOS!$E7343&amp;"|"&amp;DATOS!$I7343)</f>
      </c>
      <c r="G7343">
        <f>IF(DATOS!$A7343="",0,IF(CONFIG_METADATA!$B$4&lt;&gt;"OR+EX",--(DATOS!$G7343=CONFIG_METADATA!$B$4),IF(DATOS!$G7343="EX",1,IF(DATOS!$G7343="OR",--(COUNTIFS(nNIA,DATOS!$A7343,nCURSO,DATOS!$D7343,nESPEC,DATOS!$E7343,nASIG,DATOS!$I7343,nEVAL,"EX")=0),0))))</f>
      </c>
      <c r="H7343">
        <f>IF(DATOS!$G7343&lt;&gt;"EX",0,--(COUNTIFS(nNIA,DATOS!$A7343,nCURSO,DATOS!$D7343,nESPEC,DATOS!$E7343,nASIG,DATOS!$I7343,nEVAL,"OR")=0))</f>
      </c>
      <c r="I7343">
        <f>IF(DATOS!$I7343="","",IFERROR(VLOOKUP(DATOS!$I7343,CONFIG_ASIGNATURAS!$B$2:$J$91,9,FALSE()),""))</f>
      </c>
    </row>
    <row r="7344">
      <c r="F7344">
        <f>IF(DATOS!$A7344="","",DATOS!$A7344&amp;"|"&amp;DATOS!$D7344&amp;"|"&amp;DATOS!$E7344&amp;"|"&amp;DATOS!$I7344)</f>
      </c>
      <c r="G7344">
        <f>IF(DATOS!$A7344="",0,IF(CONFIG_METADATA!$B$4&lt;&gt;"OR+EX",--(DATOS!$G7344=CONFIG_METADATA!$B$4),IF(DATOS!$G7344="EX",1,IF(DATOS!$G7344="OR",--(COUNTIFS(nNIA,DATOS!$A7344,nCURSO,DATOS!$D7344,nESPEC,DATOS!$E7344,nASIG,DATOS!$I7344,nEVAL,"EX")=0),0))))</f>
      </c>
      <c r="H7344">
        <f>IF(DATOS!$G7344&lt;&gt;"EX",0,--(COUNTIFS(nNIA,DATOS!$A7344,nCURSO,DATOS!$D7344,nESPEC,DATOS!$E7344,nASIG,DATOS!$I7344,nEVAL,"OR")=0))</f>
      </c>
      <c r="I7344">
        <f>IF(DATOS!$I7344="","",IFERROR(VLOOKUP(DATOS!$I7344,CONFIG_ASIGNATURAS!$B$2:$J$91,9,FALSE()),""))</f>
      </c>
    </row>
    <row r="7345">
      <c r="F7345">
        <f>IF(DATOS!$A7345="","",DATOS!$A7345&amp;"|"&amp;DATOS!$D7345&amp;"|"&amp;DATOS!$E7345&amp;"|"&amp;DATOS!$I7345)</f>
      </c>
      <c r="G7345">
        <f>IF(DATOS!$A7345="",0,IF(CONFIG_METADATA!$B$4&lt;&gt;"OR+EX",--(DATOS!$G7345=CONFIG_METADATA!$B$4),IF(DATOS!$G7345="EX",1,IF(DATOS!$G7345="OR",--(COUNTIFS(nNIA,DATOS!$A7345,nCURSO,DATOS!$D7345,nESPEC,DATOS!$E7345,nASIG,DATOS!$I7345,nEVAL,"EX")=0),0))))</f>
      </c>
      <c r="H7345">
        <f>IF(DATOS!$G7345&lt;&gt;"EX",0,--(COUNTIFS(nNIA,DATOS!$A7345,nCURSO,DATOS!$D7345,nESPEC,DATOS!$E7345,nASIG,DATOS!$I7345,nEVAL,"OR")=0))</f>
      </c>
      <c r="I7345">
        <f>IF(DATOS!$I7345="","",IFERROR(VLOOKUP(DATOS!$I7345,CONFIG_ASIGNATURAS!$B$2:$J$91,9,FALSE()),""))</f>
      </c>
    </row>
    <row r="7346">
      <c r="F7346">
        <f>IF(DATOS!$A7346="","",DATOS!$A7346&amp;"|"&amp;DATOS!$D7346&amp;"|"&amp;DATOS!$E7346&amp;"|"&amp;DATOS!$I7346)</f>
      </c>
      <c r="G7346">
        <f>IF(DATOS!$A7346="",0,IF(CONFIG_METADATA!$B$4&lt;&gt;"OR+EX",--(DATOS!$G7346=CONFIG_METADATA!$B$4),IF(DATOS!$G7346="EX",1,IF(DATOS!$G7346="OR",--(COUNTIFS(nNIA,DATOS!$A7346,nCURSO,DATOS!$D7346,nESPEC,DATOS!$E7346,nASIG,DATOS!$I7346,nEVAL,"EX")=0),0))))</f>
      </c>
      <c r="H7346">
        <f>IF(DATOS!$G7346&lt;&gt;"EX",0,--(COUNTIFS(nNIA,DATOS!$A7346,nCURSO,DATOS!$D7346,nESPEC,DATOS!$E7346,nASIG,DATOS!$I7346,nEVAL,"OR")=0))</f>
      </c>
      <c r="I7346">
        <f>IF(DATOS!$I7346="","",IFERROR(VLOOKUP(DATOS!$I7346,CONFIG_ASIGNATURAS!$B$2:$J$91,9,FALSE()),""))</f>
      </c>
    </row>
    <row r="7347">
      <c r="F7347">
        <f>IF(DATOS!$A7347="","",DATOS!$A7347&amp;"|"&amp;DATOS!$D7347&amp;"|"&amp;DATOS!$E7347&amp;"|"&amp;DATOS!$I7347)</f>
      </c>
      <c r="G7347">
        <f>IF(DATOS!$A7347="",0,IF(CONFIG_METADATA!$B$4&lt;&gt;"OR+EX",--(DATOS!$G7347=CONFIG_METADATA!$B$4),IF(DATOS!$G7347="EX",1,IF(DATOS!$G7347="OR",--(COUNTIFS(nNIA,DATOS!$A7347,nCURSO,DATOS!$D7347,nESPEC,DATOS!$E7347,nASIG,DATOS!$I7347,nEVAL,"EX")=0),0))))</f>
      </c>
      <c r="H7347">
        <f>IF(DATOS!$G7347&lt;&gt;"EX",0,--(COUNTIFS(nNIA,DATOS!$A7347,nCURSO,DATOS!$D7347,nESPEC,DATOS!$E7347,nASIG,DATOS!$I7347,nEVAL,"OR")=0))</f>
      </c>
      <c r="I7347">
        <f>IF(DATOS!$I7347="","",IFERROR(VLOOKUP(DATOS!$I7347,CONFIG_ASIGNATURAS!$B$2:$J$91,9,FALSE()),""))</f>
      </c>
    </row>
    <row r="7348">
      <c r="F7348">
        <f>IF(DATOS!$A7348="","",DATOS!$A7348&amp;"|"&amp;DATOS!$D7348&amp;"|"&amp;DATOS!$E7348&amp;"|"&amp;DATOS!$I7348)</f>
      </c>
      <c r="G7348">
        <f>IF(DATOS!$A7348="",0,IF(CONFIG_METADATA!$B$4&lt;&gt;"OR+EX",--(DATOS!$G7348=CONFIG_METADATA!$B$4),IF(DATOS!$G7348="EX",1,IF(DATOS!$G7348="OR",--(COUNTIFS(nNIA,DATOS!$A7348,nCURSO,DATOS!$D7348,nESPEC,DATOS!$E7348,nASIG,DATOS!$I7348,nEVAL,"EX")=0),0))))</f>
      </c>
      <c r="H7348">
        <f>IF(DATOS!$G7348&lt;&gt;"EX",0,--(COUNTIFS(nNIA,DATOS!$A7348,nCURSO,DATOS!$D7348,nESPEC,DATOS!$E7348,nASIG,DATOS!$I7348,nEVAL,"OR")=0))</f>
      </c>
      <c r="I7348">
        <f>IF(DATOS!$I7348="","",IFERROR(VLOOKUP(DATOS!$I7348,CONFIG_ASIGNATURAS!$B$2:$J$91,9,FALSE()),""))</f>
      </c>
    </row>
    <row r="7349">
      <c r="F7349">
        <f>IF(DATOS!$A7349="","",DATOS!$A7349&amp;"|"&amp;DATOS!$D7349&amp;"|"&amp;DATOS!$E7349&amp;"|"&amp;DATOS!$I7349)</f>
      </c>
      <c r="G7349">
        <f>IF(DATOS!$A7349="",0,IF(CONFIG_METADATA!$B$4&lt;&gt;"OR+EX",--(DATOS!$G7349=CONFIG_METADATA!$B$4),IF(DATOS!$G7349="EX",1,IF(DATOS!$G7349="OR",--(COUNTIFS(nNIA,DATOS!$A7349,nCURSO,DATOS!$D7349,nESPEC,DATOS!$E7349,nASIG,DATOS!$I7349,nEVAL,"EX")=0),0))))</f>
      </c>
      <c r="H7349">
        <f>IF(DATOS!$G7349&lt;&gt;"EX",0,--(COUNTIFS(nNIA,DATOS!$A7349,nCURSO,DATOS!$D7349,nESPEC,DATOS!$E7349,nASIG,DATOS!$I7349,nEVAL,"OR")=0))</f>
      </c>
      <c r="I7349">
        <f>IF(DATOS!$I7349="","",IFERROR(VLOOKUP(DATOS!$I7349,CONFIG_ASIGNATURAS!$B$2:$J$91,9,FALSE()),""))</f>
      </c>
    </row>
    <row r="7350">
      <c r="F7350">
        <f>IF(DATOS!$A7350="","",DATOS!$A7350&amp;"|"&amp;DATOS!$D7350&amp;"|"&amp;DATOS!$E7350&amp;"|"&amp;DATOS!$I7350)</f>
      </c>
      <c r="G7350">
        <f>IF(DATOS!$A7350="",0,IF(CONFIG_METADATA!$B$4&lt;&gt;"OR+EX",--(DATOS!$G7350=CONFIG_METADATA!$B$4),IF(DATOS!$G7350="EX",1,IF(DATOS!$G7350="OR",--(COUNTIFS(nNIA,DATOS!$A7350,nCURSO,DATOS!$D7350,nESPEC,DATOS!$E7350,nASIG,DATOS!$I7350,nEVAL,"EX")=0),0))))</f>
      </c>
      <c r="H7350">
        <f>IF(DATOS!$G7350&lt;&gt;"EX",0,--(COUNTIFS(nNIA,DATOS!$A7350,nCURSO,DATOS!$D7350,nESPEC,DATOS!$E7350,nASIG,DATOS!$I7350,nEVAL,"OR")=0))</f>
      </c>
      <c r="I7350">
        <f>IF(DATOS!$I7350="","",IFERROR(VLOOKUP(DATOS!$I7350,CONFIG_ASIGNATURAS!$B$2:$J$91,9,FALSE()),""))</f>
      </c>
    </row>
    <row r="7351">
      <c r="F7351">
        <f>IF(DATOS!$A7351="","",DATOS!$A7351&amp;"|"&amp;DATOS!$D7351&amp;"|"&amp;DATOS!$E7351&amp;"|"&amp;DATOS!$I7351)</f>
      </c>
      <c r="G7351">
        <f>IF(DATOS!$A7351="",0,IF(CONFIG_METADATA!$B$4&lt;&gt;"OR+EX",--(DATOS!$G7351=CONFIG_METADATA!$B$4),IF(DATOS!$G7351="EX",1,IF(DATOS!$G7351="OR",--(COUNTIFS(nNIA,DATOS!$A7351,nCURSO,DATOS!$D7351,nESPEC,DATOS!$E7351,nASIG,DATOS!$I7351,nEVAL,"EX")=0),0))))</f>
      </c>
      <c r="H7351">
        <f>IF(DATOS!$G7351&lt;&gt;"EX",0,--(COUNTIFS(nNIA,DATOS!$A7351,nCURSO,DATOS!$D7351,nESPEC,DATOS!$E7351,nASIG,DATOS!$I7351,nEVAL,"OR")=0))</f>
      </c>
      <c r="I7351">
        <f>IF(DATOS!$I7351="","",IFERROR(VLOOKUP(DATOS!$I7351,CONFIG_ASIGNATURAS!$B$2:$J$91,9,FALSE()),""))</f>
      </c>
    </row>
    <row r="7352">
      <c r="F7352">
        <f>IF(DATOS!$A7352="","",DATOS!$A7352&amp;"|"&amp;DATOS!$D7352&amp;"|"&amp;DATOS!$E7352&amp;"|"&amp;DATOS!$I7352)</f>
      </c>
      <c r="G7352">
        <f>IF(DATOS!$A7352="",0,IF(CONFIG_METADATA!$B$4&lt;&gt;"OR+EX",--(DATOS!$G7352=CONFIG_METADATA!$B$4),IF(DATOS!$G7352="EX",1,IF(DATOS!$G7352="OR",--(COUNTIFS(nNIA,DATOS!$A7352,nCURSO,DATOS!$D7352,nESPEC,DATOS!$E7352,nASIG,DATOS!$I7352,nEVAL,"EX")=0),0))))</f>
      </c>
      <c r="H7352">
        <f>IF(DATOS!$G7352&lt;&gt;"EX",0,--(COUNTIFS(nNIA,DATOS!$A7352,nCURSO,DATOS!$D7352,nESPEC,DATOS!$E7352,nASIG,DATOS!$I7352,nEVAL,"OR")=0))</f>
      </c>
      <c r="I7352">
        <f>IF(DATOS!$I7352="","",IFERROR(VLOOKUP(DATOS!$I7352,CONFIG_ASIGNATURAS!$B$2:$J$91,9,FALSE()),""))</f>
      </c>
    </row>
    <row r="7353">
      <c r="F7353">
        <f>IF(DATOS!$A7353="","",DATOS!$A7353&amp;"|"&amp;DATOS!$D7353&amp;"|"&amp;DATOS!$E7353&amp;"|"&amp;DATOS!$I7353)</f>
      </c>
      <c r="G7353">
        <f>IF(DATOS!$A7353="",0,IF(CONFIG_METADATA!$B$4&lt;&gt;"OR+EX",--(DATOS!$G7353=CONFIG_METADATA!$B$4),IF(DATOS!$G7353="EX",1,IF(DATOS!$G7353="OR",--(COUNTIFS(nNIA,DATOS!$A7353,nCURSO,DATOS!$D7353,nESPEC,DATOS!$E7353,nASIG,DATOS!$I7353,nEVAL,"EX")=0),0))))</f>
      </c>
      <c r="H7353">
        <f>IF(DATOS!$G7353&lt;&gt;"EX",0,--(COUNTIFS(nNIA,DATOS!$A7353,nCURSO,DATOS!$D7353,nESPEC,DATOS!$E7353,nASIG,DATOS!$I7353,nEVAL,"OR")=0))</f>
      </c>
      <c r="I7353">
        <f>IF(DATOS!$I7353="","",IFERROR(VLOOKUP(DATOS!$I7353,CONFIG_ASIGNATURAS!$B$2:$J$91,9,FALSE()),""))</f>
      </c>
    </row>
    <row r="7354">
      <c r="F7354">
        <f>IF(DATOS!$A7354="","",DATOS!$A7354&amp;"|"&amp;DATOS!$D7354&amp;"|"&amp;DATOS!$E7354&amp;"|"&amp;DATOS!$I7354)</f>
      </c>
      <c r="G7354">
        <f>IF(DATOS!$A7354="",0,IF(CONFIG_METADATA!$B$4&lt;&gt;"OR+EX",--(DATOS!$G7354=CONFIG_METADATA!$B$4),IF(DATOS!$G7354="EX",1,IF(DATOS!$G7354="OR",--(COUNTIFS(nNIA,DATOS!$A7354,nCURSO,DATOS!$D7354,nESPEC,DATOS!$E7354,nASIG,DATOS!$I7354,nEVAL,"EX")=0),0))))</f>
      </c>
      <c r="H7354">
        <f>IF(DATOS!$G7354&lt;&gt;"EX",0,--(COUNTIFS(nNIA,DATOS!$A7354,nCURSO,DATOS!$D7354,nESPEC,DATOS!$E7354,nASIG,DATOS!$I7354,nEVAL,"OR")=0))</f>
      </c>
      <c r="I7354">
        <f>IF(DATOS!$I7354="","",IFERROR(VLOOKUP(DATOS!$I7354,CONFIG_ASIGNATURAS!$B$2:$J$91,9,FALSE()),""))</f>
      </c>
    </row>
    <row r="7355">
      <c r="F7355">
        <f>IF(DATOS!$A7355="","",DATOS!$A7355&amp;"|"&amp;DATOS!$D7355&amp;"|"&amp;DATOS!$E7355&amp;"|"&amp;DATOS!$I7355)</f>
      </c>
      <c r="G7355">
        <f>IF(DATOS!$A7355="",0,IF(CONFIG_METADATA!$B$4&lt;&gt;"OR+EX",--(DATOS!$G7355=CONFIG_METADATA!$B$4),IF(DATOS!$G7355="EX",1,IF(DATOS!$G7355="OR",--(COUNTIFS(nNIA,DATOS!$A7355,nCURSO,DATOS!$D7355,nESPEC,DATOS!$E7355,nASIG,DATOS!$I7355,nEVAL,"EX")=0),0))))</f>
      </c>
      <c r="H7355">
        <f>IF(DATOS!$G7355&lt;&gt;"EX",0,--(COUNTIFS(nNIA,DATOS!$A7355,nCURSO,DATOS!$D7355,nESPEC,DATOS!$E7355,nASIG,DATOS!$I7355,nEVAL,"OR")=0))</f>
      </c>
      <c r="I7355">
        <f>IF(DATOS!$I7355="","",IFERROR(VLOOKUP(DATOS!$I7355,CONFIG_ASIGNATURAS!$B$2:$J$91,9,FALSE()),""))</f>
      </c>
    </row>
    <row r="7356">
      <c r="F7356">
        <f>IF(DATOS!$A7356="","",DATOS!$A7356&amp;"|"&amp;DATOS!$D7356&amp;"|"&amp;DATOS!$E7356&amp;"|"&amp;DATOS!$I7356)</f>
      </c>
      <c r="G7356">
        <f>IF(DATOS!$A7356="",0,IF(CONFIG_METADATA!$B$4&lt;&gt;"OR+EX",--(DATOS!$G7356=CONFIG_METADATA!$B$4),IF(DATOS!$G7356="EX",1,IF(DATOS!$G7356="OR",--(COUNTIFS(nNIA,DATOS!$A7356,nCURSO,DATOS!$D7356,nESPEC,DATOS!$E7356,nASIG,DATOS!$I7356,nEVAL,"EX")=0),0))))</f>
      </c>
      <c r="H7356">
        <f>IF(DATOS!$G7356&lt;&gt;"EX",0,--(COUNTIFS(nNIA,DATOS!$A7356,nCURSO,DATOS!$D7356,nESPEC,DATOS!$E7356,nASIG,DATOS!$I7356,nEVAL,"OR")=0))</f>
      </c>
      <c r="I7356">
        <f>IF(DATOS!$I7356="","",IFERROR(VLOOKUP(DATOS!$I7356,CONFIG_ASIGNATURAS!$B$2:$J$91,9,FALSE()),""))</f>
      </c>
    </row>
    <row r="7357">
      <c r="F7357">
        <f>IF(DATOS!$A7357="","",DATOS!$A7357&amp;"|"&amp;DATOS!$D7357&amp;"|"&amp;DATOS!$E7357&amp;"|"&amp;DATOS!$I7357)</f>
      </c>
      <c r="G7357">
        <f>IF(DATOS!$A7357="",0,IF(CONFIG_METADATA!$B$4&lt;&gt;"OR+EX",--(DATOS!$G7357=CONFIG_METADATA!$B$4),IF(DATOS!$G7357="EX",1,IF(DATOS!$G7357="OR",--(COUNTIFS(nNIA,DATOS!$A7357,nCURSO,DATOS!$D7357,nESPEC,DATOS!$E7357,nASIG,DATOS!$I7357,nEVAL,"EX")=0),0))))</f>
      </c>
      <c r="H7357">
        <f>IF(DATOS!$G7357&lt;&gt;"EX",0,--(COUNTIFS(nNIA,DATOS!$A7357,nCURSO,DATOS!$D7357,nESPEC,DATOS!$E7357,nASIG,DATOS!$I7357,nEVAL,"OR")=0))</f>
      </c>
      <c r="I7357">
        <f>IF(DATOS!$I7357="","",IFERROR(VLOOKUP(DATOS!$I7357,CONFIG_ASIGNATURAS!$B$2:$J$91,9,FALSE()),""))</f>
      </c>
    </row>
    <row r="7358">
      <c r="F7358">
        <f>IF(DATOS!$A7358="","",DATOS!$A7358&amp;"|"&amp;DATOS!$D7358&amp;"|"&amp;DATOS!$E7358&amp;"|"&amp;DATOS!$I7358)</f>
      </c>
      <c r="G7358">
        <f>IF(DATOS!$A7358="",0,IF(CONFIG_METADATA!$B$4&lt;&gt;"OR+EX",--(DATOS!$G7358=CONFIG_METADATA!$B$4),IF(DATOS!$G7358="EX",1,IF(DATOS!$G7358="OR",--(COUNTIFS(nNIA,DATOS!$A7358,nCURSO,DATOS!$D7358,nESPEC,DATOS!$E7358,nASIG,DATOS!$I7358,nEVAL,"EX")=0),0))))</f>
      </c>
      <c r="H7358">
        <f>IF(DATOS!$G7358&lt;&gt;"EX",0,--(COUNTIFS(nNIA,DATOS!$A7358,nCURSO,DATOS!$D7358,nESPEC,DATOS!$E7358,nASIG,DATOS!$I7358,nEVAL,"OR")=0))</f>
      </c>
      <c r="I7358">
        <f>IF(DATOS!$I7358="","",IFERROR(VLOOKUP(DATOS!$I7358,CONFIG_ASIGNATURAS!$B$2:$J$91,9,FALSE()),""))</f>
      </c>
    </row>
    <row r="7359">
      <c r="F7359">
        <f>IF(DATOS!$A7359="","",DATOS!$A7359&amp;"|"&amp;DATOS!$D7359&amp;"|"&amp;DATOS!$E7359&amp;"|"&amp;DATOS!$I7359)</f>
      </c>
      <c r="G7359">
        <f>IF(DATOS!$A7359="",0,IF(CONFIG_METADATA!$B$4&lt;&gt;"OR+EX",--(DATOS!$G7359=CONFIG_METADATA!$B$4),IF(DATOS!$G7359="EX",1,IF(DATOS!$G7359="OR",--(COUNTIFS(nNIA,DATOS!$A7359,nCURSO,DATOS!$D7359,nESPEC,DATOS!$E7359,nASIG,DATOS!$I7359,nEVAL,"EX")=0),0))))</f>
      </c>
      <c r="H7359">
        <f>IF(DATOS!$G7359&lt;&gt;"EX",0,--(COUNTIFS(nNIA,DATOS!$A7359,nCURSO,DATOS!$D7359,nESPEC,DATOS!$E7359,nASIG,DATOS!$I7359,nEVAL,"OR")=0))</f>
      </c>
      <c r="I7359">
        <f>IF(DATOS!$I7359="","",IFERROR(VLOOKUP(DATOS!$I7359,CONFIG_ASIGNATURAS!$B$2:$J$91,9,FALSE()),""))</f>
      </c>
    </row>
    <row r="7360">
      <c r="F7360">
        <f>IF(DATOS!$A7360="","",DATOS!$A7360&amp;"|"&amp;DATOS!$D7360&amp;"|"&amp;DATOS!$E7360&amp;"|"&amp;DATOS!$I7360)</f>
      </c>
      <c r="G7360">
        <f>IF(DATOS!$A7360="",0,IF(CONFIG_METADATA!$B$4&lt;&gt;"OR+EX",--(DATOS!$G7360=CONFIG_METADATA!$B$4),IF(DATOS!$G7360="EX",1,IF(DATOS!$G7360="OR",--(COUNTIFS(nNIA,DATOS!$A7360,nCURSO,DATOS!$D7360,nESPEC,DATOS!$E7360,nASIG,DATOS!$I7360,nEVAL,"EX")=0),0))))</f>
      </c>
      <c r="H7360">
        <f>IF(DATOS!$G7360&lt;&gt;"EX",0,--(COUNTIFS(nNIA,DATOS!$A7360,nCURSO,DATOS!$D7360,nESPEC,DATOS!$E7360,nASIG,DATOS!$I7360,nEVAL,"OR")=0))</f>
      </c>
      <c r="I7360">
        <f>IF(DATOS!$I7360="","",IFERROR(VLOOKUP(DATOS!$I7360,CONFIG_ASIGNATURAS!$B$2:$J$91,9,FALSE()),""))</f>
      </c>
    </row>
    <row r="7361">
      <c r="F7361">
        <f>IF(DATOS!$A7361="","",DATOS!$A7361&amp;"|"&amp;DATOS!$D7361&amp;"|"&amp;DATOS!$E7361&amp;"|"&amp;DATOS!$I7361)</f>
      </c>
      <c r="G7361">
        <f>IF(DATOS!$A7361="",0,IF(CONFIG_METADATA!$B$4&lt;&gt;"OR+EX",--(DATOS!$G7361=CONFIG_METADATA!$B$4),IF(DATOS!$G7361="EX",1,IF(DATOS!$G7361="OR",--(COUNTIFS(nNIA,DATOS!$A7361,nCURSO,DATOS!$D7361,nESPEC,DATOS!$E7361,nASIG,DATOS!$I7361,nEVAL,"EX")=0),0))))</f>
      </c>
      <c r="H7361">
        <f>IF(DATOS!$G7361&lt;&gt;"EX",0,--(COUNTIFS(nNIA,DATOS!$A7361,nCURSO,DATOS!$D7361,nESPEC,DATOS!$E7361,nASIG,DATOS!$I7361,nEVAL,"OR")=0))</f>
      </c>
      <c r="I7361">
        <f>IF(DATOS!$I7361="","",IFERROR(VLOOKUP(DATOS!$I7361,CONFIG_ASIGNATURAS!$B$2:$J$91,9,FALSE()),""))</f>
      </c>
    </row>
    <row r="7362">
      <c r="F7362">
        <f>IF(DATOS!$A7362="","",DATOS!$A7362&amp;"|"&amp;DATOS!$D7362&amp;"|"&amp;DATOS!$E7362&amp;"|"&amp;DATOS!$I7362)</f>
      </c>
      <c r="G7362">
        <f>IF(DATOS!$A7362="",0,IF(CONFIG_METADATA!$B$4&lt;&gt;"OR+EX",--(DATOS!$G7362=CONFIG_METADATA!$B$4),IF(DATOS!$G7362="EX",1,IF(DATOS!$G7362="OR",--(COUNTIFS(nNIA,DATOS!$A7362,nCURSO,DATOS!$D7362,nESPEC,DATOS!$E7362,nASIG,DATOS!$I7362,nEVAL,"EX")=0),0))))</f>
      </c>
      <c r="H7362">
        <f>IF(DATOS!$G7362&lt;&gt;"EX",0,--(COUNTIFS(nNIA,DATOS!$A7362,nCURSO,DATOS!$D7362,nESPEC,DATOS!$E7362,nASIG,DATOS!$I7362,nEVAL,"OR")=0))</f>
      </c>
      <c r="I7362">
        <f>IF(DATOS!$I7362="","",IFERROR(VLOOKUP(DATOS!$I7362,CONFIG_ASIGNATURAS!$B$2:$J$91,9,FALSE()),""))</f>
      </c>
    </row>
    <row r="7363">
      <c r="F7363">
        <f>IF(DATOS!$A7363="","",DATOS!$A7363&amp;"|"&amp;DATOS!$D7363&amp;"|"&amp;DATOS!$E7363&amp;"|"&amp;DATOS!$I7363)</f>
      </c>
      <c r="G7363">
        <f>IF(DATOS!$A7363="",0,IF(CONFIG_METADATA!$B$4&lt;&gt;"OR+EX",--(DATOS!$G7363=CONFIG_METADATA!$B$4),IF(DATOS!$G7363="EX",1,IF(DATOS!$G7363="OR",--(COUNTIFS(nNIA,DATOS!$A7363,nCURSO,DATOS!$D7363,nESPEC,DATOS!$E7363,nASIG,DATOS!$I7363,nEVAL,"EX")=0),0))))</f>
      </c>
      <c r="H7363">
        <f>IF(DATOS!$G7363&lt;&gt;"EX",0,--(COUNTIFS(nNIA,DATOS!$A7363,nCURSO,DATOS!$D7363,nESPEC,DATOS!$E7363,nASIG,DATOS!$I7363,nEVAL,"OR")=0))</f>
      </c>
      <c r="I7363">
        <f>IF(DATOS!$I7363="","",IFERROR(VLOOKUP(DATOS!$I7363,CONFIG_ASIGNATURAS!$B$2:$J$91,9,FALSE()),""))</f>
      </c>
    </row>
    <row r="7364">
      <c r="F7364">
        <f>IF(DATOS!$A7364="","",DATOS!$A7364&amp;"|"&amp;DATOS!$D7364&amp;"|"&amp;DATOS!$E7364&amp;"|"&amp;DATOS!$I7364)</f>
      </c>
      <c r="G7364">
        <f>IF(DATOS!$A7364="",0,IF(CONFIG_METADATA!$B$4&lt;&gt;"OR+EX",--(DATOS!$G7364=CONFIG_METADATA!$B$4),IF(DATOS!$G7364="EX",1,IF(DATOS!$G7364="OR",--(COUNTIFS(nNIA,DATOS!$A7364,nCURSO,DATOS!$D7364,nESPEC,DATOS!$E7364,nASIG,DATOS!$I7364,nEVAL,"EX")=0),0))))</f>
      </c>
      <c r="H7364">
        <f>IF(DATOS!$G7364&lt;&gt;"EX",0,--(COUNTIFS(nNIA,DATOS!$A7364,nCURSO,DATOS!$D7364,nESPEC,DATOS!$E7364,nASIG,DATOS!$I7364,nEVAL,"OR")=0))</f>
      </c>
      <c r="I7364">
        <f>IF(DATOS!$I7364="","",IFERROR(VLOOKUP(DATOS!$I7364,CONFIG_ASIGNATURAS!$B$2:$J$91,9,FALSE()),""))</f>
      </c>
    </row>
    <row r="7365">
      <c r="F7365">
        <f>IF(DATOS!$A7365="","",DATOS!$A7365&amp;"|"&amp;DATOS!$D7365&amp;"|"&amp;DATOS!$E7365&amp;"|"&amp;DATOS!$I7365)</f>
      </c>
      <c r="G7365">
        <f>IF(DATOS!$A7365="",0,IF(CONFIG_METADATA!$B$4&lt;&gt;"OR+EX",--(DATOS!$G7365=CONFIG_METADATA!$B$4),IF(DATOS!$G7365="EX",1,IF(DATOS!$G7365="OR",--(COUNTIFS(nNIA,DATOS!$A7365,nCURSO,DATOS!$D7365,nESPEC,DATOS!$E7365,nASIG,DATOS!$I7365,nEVAL,"EX")=0),0))))</f>
      </c>
      <c r="H7365">
        <f>IF(DATOS!$G7365&lt;&gt;"EX",0,--(COUNTIFS(nNIA,DATOS!$A7365,nCURSO,DATOS!$D7365,nESPEC,DATOS!$E7365,nASIG,DATOS!$I7365,nEVAL,"OR")=0))</f>
      </c>
      <c r="I7365">
        <f>IF(DATOS!$I7365="","",IFERROR(VLOOKUP(DATOS!$I7365,CONFIG_ASIGNATURAS!$B$2:$J$91,9,FALSE()),""))</f>
      </c>
    </row>
    <row r="7366">
      <c r="F7366">
        <f>IF(DATOS!$A7366="","",DATOS!$A7366&amp;"|"&amp;DATOS!$D7366&amp;"|"&amp;DATOS!$E7366&amp;"|"&amp;DATOS!$I7366)</f>
      </c>
      <c r="G7366">
        <f>IF(DATOS!$A7366="",0,IF(CONFIG_METADATA!$B$4&lt;&gt;"OR+EX",--(DATOS!$G7366=CONFIG_METADATA!$B$4),IF(DATOS!$G7366="EX",1,IF(DATOS!$G7366="OR",--(COUNTIFS(nNIA,DATOS!$A7366,nCURSO,DATOS!$D7366,nESPEC,DATOS!$E7366,nASIG,DATOS!$I7366,nEVAL,"EX")=0),0))))</f>
      </c>
      <c r="H7366">
        <f>IF(DATOS!$G7366&lt;&gt;"EX",0,--(COUNTIFS(nNIA,DATOS!$A7366,nCURSO,DATOS!$D7366,nESPEC,DATOS!$E7366,nASIG,DATOS!$I7366,nEVAL,"OR")=0))</f>
      </c>
      <c r="I7366">
        <f>IF(DATOS!$I7366="","",IFERROR(VLOOKUP(DATOS!$I7366,CONFIG_ASIGNATURAS!$B$2:$J$91,9,FALSE()),""))</f>
      </c>
    </row>
    <row r="7367">
      <c r="F7367">
        <f>IF(DATOS!$A7367="","",DATOS!$A7367&amp;"|"&amp;DATOS!$D7367&amp;"|"&amp;DATOS!$E7367&amp;"|"&amp;DATOS!$I7367)</f>
      </c>
      <c r="G7367">
        <f>IF(DATOS!$A7367="",0,IF(CONFIG_METADATA!$B$4&lt;&gt;"OR+EX",--(DATOS!$G7367=CONFIG_METADATA!$B$4),IF(DATOS!$G7367="EX",1,IF(DATOS!$G7367="OR",--(COUNTIFS(nNIA,DATOS!$A7367,nCURSO,DATOS!$D7367,nESPEC,DATOS!$E7367,nASIG,DATOS!$I7367,nEVAL,"EX")=0),0))))</f>
      </c>
      <c r="H7367">
        <f>IF(DATOS!$G7367&lt;&gt;"EX",0,--(COUNTIFS(nNIA,DATOS!$A7367,nCURSO,DATOS!$D7367,nESPEC,DATOS!$E7367,nASIG,DATOS!$I7367,nEVAL,"OR")=0))</f>
      </c>
      <c r="I7367">
        <f>IF(DATOS!$I7367="","",IFERROR(VLOOKUP(DATOS!$I7367,CONFIG_ASIGNATURAS!$B$2:$J$91,9,FALSE()),""))</f>
      </c>
    </row>
    <row r="7368">
      <c r="F7368">
        <f>IF(DATOS!$A7368="","",DATOS!$A7368&amp;"|"&amp;DATOS!$D7368&amp;"|"&amp;DATOS!$E7368&amp;"|"&amp;DATOS!$I7368)</f>
      </c>
      <c r="G7368">
        <f>IF(DATOS!$A7368="",0,IF(CONFIG_METADATA!$B$4&lt;&gt;"OR+EX",--(DATOS!$G7368=CONFIG_METADATA!$B$4),IF(DATOS!$G7368="EX",1,IF(DATOS!$G7368="OR",--(COUNTIFS(nNIA,DATOS!$A7368,nCURSO,DATOS!$D7368,nESPEC,DATOS!$E7368,nASIG,DATOS!$I7368,nEVAL,"EX")=0),0))))</f>
      </c>
      <c r="H7368">
        <f>IF(DATOS!$G7368&lt;&gt;"EX",0,--(COUNTIFS(nNIA,DATOS!$A7368,nCURSO,DATOS!$D7368,nESPEC,DATOS!$E7368,nASIG,DATOS!$I7368,nEVAL,"OR")=0))</f>
      </c>
      <c r="I7368">
        <f>IF(DATOS!$I7368="","",IFERROR(VLOOKUP(DATOS!$I7368,CONFIG_ASIGNATURAS!$B$2:$J$91,9,FALSE()),""))</f>
      </c>
    </row>
    <row r="7369">
      <c r="F7369">
        <f>IF(DATOS!$A7369="","",DATOS!$A7369&amp;"|"&amp;DATOS!$D7369&amp;"|"&amp;DATOS!$E7369&amp;"|"&amp;DATOS!$I7369)</f>
      </c>
      <c r="G7369">
        <f>IF(DATOS!$A7369="",0,IF(CONFIG_METADATA!$B$4&lt;&gt;"OR+EX",--(DATOS!$G7369=CONFIG_METADATA!$B$4),IF(DATOS!$G7369="EX",1,IF(DATOS!$G7369="OR",--(COUNTIFS(nNIA,DATOS!$A7369,nCURSO,DATOS!$D7369,nESPEC,DATOS!$E7369,nASIG,DATOS!$I7369,nEVAL,"EX")=0),0))))</f>
      </c>
      <c r="H7369">
        <f>IF(DATOS!$G7369&lt;&gt;"EX",0,--(COUNTIFS(nNIA,DATOS!$A7369,nCURSO,DATOS!$D7369,nESPEC,DATOS!$E7369,nASIG,DATOS!$I7369,nEVAL,"OR")=0))</f>
      </c>
      <c r="I7369">
        <f>IF(DATOS!$I7369="","",IFERROR(VLOOKUP(DATOS!$I7369,CONFIG_ASIGNATURAS!$B$2:$J$91,9,FALSE()),""))</f>
      </c>
    </row>
    <row r="7370">
      <c r="F7370">
        <f>IF(DATOS!$A7370="","",DATOS!$A7370&amp;"|"&amp;DATOS!$D7370&amp;"|"&amp;DATOS!$E7370&amp;"|"&amp;DATOS!$I7370)</f>
      </c>
      <c r="G7370">
        <f>IF(DATOS!$A7370="",0,IF(CONFIG_METADATA!$B$4&lt;&gt;"OR+EX",--(DATOS!$G7370=CONFIG_METADATA!$B$4),IF(DATOS!$G7370="EX",1,IF(DATOS!$G7370="OR",--(COUNTIFS(nNIA,DATOS!$A7370,nCURSO,DATOS!$D7370,nESPEC,DATOS!$E7370,nASIG,DATOS!$I7370,nEVAL,"EX")=0),0))))</f>
      </c>
      <c r="H7370">
        <f>IF(DATOS!$G7370&lt;&gt;"EX",0,--(COUNTIFS(nNIA,DATOS!$A7370,nCURSO,DATOS!$D7370,nESPEC,DATOS!$E7370,nASIG,DATOS!$I7370,nEVAL,"OR")=0))</f>
      </c>
      <c r="I7370">
        <f>IF(DATOS!$I7370="","",IFERROR(VLOOKUP(DATOS!$I7370,CONFIG_ASIGNATURAS!$B$2:$J$91,9,FALSE()),""))</f>
      </c>
    </row>
    <row r="7371">
      <c r="F7371">
        <f>IF(DATOS!$A7371="","",DATOS!$A7371&amp;"|"&amp;DATOS!$D7371&amp;"|"&amp;DATOS!$E7371&amp;"|"&amp;DATOS!$I7371)</f>
      </c>
      <c r="G7371">
        <f>IF(DATOS!$A7371="",0,IF(CONFIG_METADATA!$B$4&lt;&gt;"OR+EX",--(DATOS!$G7371=CONFIG_METADATA!$B$4),IF(DATOS!$G7371="EX",1,IF(DATOS!$G7371="OR",--(COUNTIFS(nNIA,DATOS!$A7371,nCURSO,DATOS!$D7371,nESPEC,DATOS!$E7371,nASIG,DATOS!$I7371,nEVAL,"EX")=0),0))))</f>
      </c>
      <c r="H7371">
        <f>IF(DATOS!$G7371&lt;&gt;"EX",0,--(COUNTIFS(nNIA,DATOS!$A7371,nCURSO,DATOS!$D7371,nESPEC,DATOS!$E7371,nASIG,DATOS!$I7371,nEVAL,"OR")=0))</f>
      </c>
      <c r="I7371">
        <f>IF(DATOS!$I7371="","",IFERROR(VLOOKUP(DATOS!$I7371,CONFIG_ASIGNATURAS!$B$2:$J$91,9,FALSE()),""))</f>
      </c>
    </row>
    <row r="7372">
      <c r="F7372">
        <f>IF(DATOS!$A7372="","",DATOS!$A7372&amp;"|"&amp;DATOS!$D7372&amp;"|"&amp;DATOS!$E7372&amp;"|"&amp;DATOS!$I7372)</f>
      </c>
      <c r="G7372">
        <f>IF(DATOS!$A7372="",0,IF(CONFIG_METADATA!$B$4&lt;&gt;"OR+EX",--(DATOS!$G7372=CONFIG_METADATA!$B$4),IF(DATOS!$G7372="EX",1,IF(DATOS!$G7372="OR",--(COUNTIFS(nNIA,DATOS!$A7372,nCURSO,DATOS!$D7372,nESPEC,DATOS!$E7372,nASIG,DATOS!$I7372,nEVAL,"EX")=0),0))))</f>
      </c>
      <c r="H7372">
        <f>IF(DATOS!$G7372&lt;&gt;"EX",0,--(COUNTIFS(nNIA,DATOS!$A7372,nCURSO,DATOS!$D7372,nESPEC,DATOS!$E7372,nASIG,DATOS!$I7372,nEVAL,"OR")=0))</f>
      </c>
      <c r="I7372">
        <f>IF(DATOS!$I7372="","",IFERROR(VLOOKUP(DATOS!$I7372,CONFIG_ASIGNATURAS!$B$2:$J$91,9,FALSE()),""))</f>
      </c>
    </row>
    <row r="7373">
      <c r="F7373">
        <f>IF(DATOS!$A7373="","",DATOS!$A7373&amp;"|"&amp;DATOS!$D7373&amp;"|"&amp;DATOS!$E7373&amp;"|"&amp;DATOS!$I7373)</f>
      </c>
      <c r="G7373">
        <f>IF(DATOS!$A7373="",0,IF(CONFIG_METADATA!$B$4&lt;&gt;"OR+EX",--(DATOS!$G7373=CONFIG_METADATA!$B$4),IF(DATOS!$G7373="EX",1,IF(DATOS!$G7373="OR",--(COUNTIFS(nNIA,DATOS!$A7373,nCURSO,DATOS!$D7373,nESPEC,DATOS!$E7373,nASIG,DATOS!$I7373,nEVAL,"EX")=0),0))))</f>
      </c>
      <c r="H7373">
        <f>IF(DATOS!$G7373&lt;&gt;"EX",0,--(COUNTIFS(nNIA,DATOS!$A7373,nCURSO,DATOS!$D7373,nESPEC,DATOS!$E7373,nASIG,DATOS!$I7373,nEVAL,"OR")=0))</f>
      </c>
      <c r="I7373">
        <f>IF(DATOS!$I7373="","",IFERROR(VLOOKUP(DATOS!$I7373,CONFIG_ASIGNATURAS!$B$2:$J$91,9,FALSE()),""))</f>
      </c>
    </row>
    <row r="7374">
      <c r="F7374">
        <f>IF(DATOS!$A7374="","",DATOS!$A7374&amp;"|"&amp;DATOS!$D7374&amp;"|"&amp;DATOS!$E7374&amp;"|"&amp;DATOS!$I7374)</f>
      </c>
      <c r="G7374">
        <f>IF(DATOS!$A7374="",0,IF(CONFIG_METADATA!$B$4&lt;&gt;"OR+EX",--(DATOS!$G7374=CONFIG_METADATA!$B$4),IF(DATOS!$G7374="EX",1,IF(DATOS!$G7374="OR",--(COUNTIFS(nNIA,DATOS!$A7374,nCURSO,DATOS!$D7374,nESPEC,DATOS!$E7374,nASIG,DATOS!$I7374,nEVAL,"EX")=0),0))))</f>
      </c>
      <c r="H7374">
        <f>IF(DATOS!$G7374&lt;&gt;"EX",0,--(COUNTIFS(nNIA,DATOS!$A7374,nCURSO,DATOS!$D7374,nESPEC,DATOS!$E7374,nASIG,DATOS!$I7374,nEVAL,"OR")=0))</f>
      </c>
      <c r="I7374">
        <f>IF(DATOS!$I7374="","",IFERROR(VLOOKUP(DATOS!$I7374,CONFIG_ASIGNATURAS!$B$2:$J$91,9,FALSE()),""))</f>
      </c>
    </row>
    <row r="7375">
      <c r="F7375">
        <f>IF(DATOS!$A7375="","",DATOS!$A7375&amp;"|"&amp;DATOS!$D7375&amp;"|"&amp;DATOS!$E7375&amp;"|"&amp;DATOS!$I7375)</f>
      </c>
      <c r="G7375">
        <f>IF(DATOS!$A7375="",0,IF(CONFIG_METADATA!$B$4&lt;&gt;"OR+EX",--(DATOS!$G7375=CONFIG_METADATA!$B$4),IF(DATOS!$G7375="EX",1,IF(DATOS!$G7375="OR",--(COUNTIFS(nNIA,DATOS!$A7375,nCURSO,DATOS!$D7375,nESPEC,DATOS!$E7375,nASIG,DATOS!$I7375,nEVAL,"EX")=0),0))))</f>
      </c>
      <c r="H7375">
        <f>IF(DATOS!$G7375&lt;&gt;"EX",0,--(COUNTIFS(nNIA,DATOS!$A7375,nCURSO,DATOS!$D7375,nESPEC,DATOS!$E7375,nASIG,DATOS!$I7375,nEVAL,"OR")=0))</f>
      </c>
      <c r="I7375">
        <f>IF(DATOS!$I7375="","",IFERROR(VLOOKUP(DATOS!$I7375,CONFIG_ASIGNATURAS!$B$2:$J$91,9,FALSE()),""))</f>
      </c>
    </row>
    <row r="7376">
      <c r="F7376">
        <f>IF(DATOS!$A7376="","",DATOS!$A7376&amp;"|"&amp;DATOS!$D7376&amp;"|"&amp;DATOS!$E7376&amp;"|"&amp;DATOS!$I7376)</f>
      </c>
      <c r="G7376">
        <f>IF(DATOS!$A7376="",0,IF(CONFIG_METADATA!$B$4&lt;&gt;"OR+EX",--(DATOS!$G7376=CONFIG_METADATA!$B$4),IF(DATOS!$G7376="EX",1,IF(DATOS!$G7376="OR",--(COUNTIFS(nNIA,DATOS!$A7376,nCURSO,DATOS!$D7376,nESPEC,DATOS!$E7376,nASIG,DATOS!$I7376,nEVAL,"EX")=0),0))))</f>
      </c>
      <c r="H7376">
        <f>IF(DATOS!$G7376&lt;&gt;"EX",0,--(COUNTIFS(nNIA,DATOS!$A7376,nCURSO,DATOS!$D7376,nESPEC,DATOS!$E7376,nASIG,DATOS!$I7376,nEVAL,"OR")=0))</f>
      </c>
      <c r="I7376">
        <f>IF(DATOS!$I7376="","",IFERROR(VLOOKUP(DATOS!$I7376,CONFIG_ASIGNATURAS!$B$2:$J$91,9,FALSE()),""))</f>
      </c>
    </row>
    <row r="7377">
      <c r="F7377">
        <f>IF(DATOS!$A7377="","",DATOS!$A7377&amp;"|"&amp;DATOS!$D7377&amp;"|"&amp;DATOS!$E7377&amp;"|"&amp;DATOS!$I7377)</f>
      </c>
      <c r="G7377">
        <f>IF(DATOS!$A7377="",0,IF(CONFIG_METADATA!$B$4&lt;&gt;"OR+EX",--(DATOS!$G7377=CONFIG_METADATA!$B$4),IF(DATOS!$G7377="EX",1,IF(DATOS!$G7377="OR",--(COUNTIFS(nNIA,DATOS!$A7377,nCURSO,DATOS!$D7377,nESPEC,DATOS!$E7377,nASIG,DATOS!$I7377,nEVAL,"EX")=0),0))))</f>
      </c>
      <c r="H7377">
        <f>IF(DATOS!$G7377&lt;&gt;"EX",0,--(COUNTIFS(nNIA,DATOS!$A7377,nCURSO,DATOS!$D7377,nESPEC,DATOS!$E7377,nASIG,DATOS!$I7377,nEVAL,"OR")=0))</f>
      </c>
      <c r="I7377">
        <f>IF(DATOS!$I7377="","",IFERROR(VLOOKUP(DATOS!$I7377,CONFIG_ASIGNATURAS!$B$2:$J$91,9,FALSE()),""))</f>
      </c>
    </row>
    <row r="7378">
      <c r="F7378">
        <f>IF(DATOS!$A7378="","",DATOS!$A7378&amp;"|"&amp;DATOS!$D7378&amp;"|"&amp;DATOS!$E7378&amp;"|"&amp;DATOS!$I7378)</f>
      </c>
      <c r="G7378">
        <f>IF(DATOS!$A7378="",0,IF(CONFIG_METADATA!$B$4&lt;&gt;"OR+EX",--(DATOS!$G7378=CONFIG_METADATA!$B$4),IF(DATOS!$G7378="EX",1,IF(DATOS!$G7378="OR",--(COUNTIFS(nNIA,DATOS!$A7378,nCURSO,DATOS!$D7378,nESPEC,DATOS!$E7378,nASIG,DATOS!$I7378,nEVAL,"EX")=0),0))))</f>
      </c>
      <c r="H7378">
        <f>IF(DATOS!$G7378&lt;&gt;"EX",0,--(COUNTIFS(nNIA,DATOS!$A7378,nCURSO,DATOS!$D7378,nESPEC,DATOS!$E7378,nASIG,DATOS!$I7378,nEVAL,"OR")=0))</f>
      </c>
      <c r="I7378">
        <f>IF(DATOS!$I7378="","",IFERROR(VLOOKUP(DATOS!$I7378,CONFIG_ASIGNATURAS!$B$2:$J$91,9,FALSE()),""))</f>
      </c>
    </row>
    <row r="7379">
      <c r="F7379">
        <f>IF(DATOS!$A7379="","",DATOS!$A7379&amp;"|"&amp;DATOS!$D7379&amp;"|"&amp;DATOS!$E7379&amp;"|"&amp;DATOS!$I7379)</f>
      </c>
      <c r="G7379">
        <f>IF(DATOS!$A7379="",0,IF(CONFIG_METADATA!$B$4&lt;&gt;"OR+EX",--(DATOS!$G7379=CONFIG_METADATA!$B$4),IF(DATOS!$G7379="EX",1,IF(DATOS!$G7379="OR",--(COUNTIFS(nNIA,DATOS!$A7379,nCURSO,DATOS!$D7379,nESPEC,DATOS!$E7379,nASIG,DATOS!$I7379,nEVAL,"EX")=0),0))))</f>
      </c>
      <c r="H7379">
        <f>IF(DATOS!$G7379&lt;&gt;"EX",0,--(COUNTIFS(nNIA,DATOS!$A7379,nCURSO,DATOS!$D7379,nESPEC,DATOS!$E7379,nASIG,DATOS!$I7379,nEVAL,"OR")=0))</f>
      </c>
      <c r="I7379">
        <f>IF(DATOS!$I7379="","",IFERROR(VLOOKUP(DATOS!$I7379,CONFIG_ASIGNATURAS!$B$2:$J$91,9,FALSE()),""))</f>
      </c>
    </row>
    <row r="7380">
      <c r="F7380">
        <f>IF(DATOS!$A7380="","",DATOS!$A7380&amp;"|"&amp;DATOS!$D7380&amp;"|"&amp;DATOS!$E7380&amp;"|"&amp;DATOS!$I7380)</f>
      </c>
      <c r="G7380">
        <f>IF(DATOS!$A7380="",0,IF(CONFIG_METADATA!$B$4&lt;&gt;"OR+EX",--(DATOS!$G7380=CONFIG_METADATA!$B$4),IF(DATOS!$G7380="EX",1,IF(DATOS!$G7380="OR",--(COUNTIFS(nNIA,DATOS!$A7380,nCURSO,DATOS!$D7380,nESPEC,DATOS!$E7380,nASIG,DATOS!$I7380,nEVAL,"EX")=0),0))))</f>
      </c>
      <c r="H7380">
        <f>IF(DATOS!$G7380&lt;&gt;"EX",0,--(COUNTIFS(nNIA,DATOS!$A7380,nCURSO,DATOS!$D7380,nESPEC,DATOS!$E7380,nASIG,DATOS!$I7380,nEVAL,"OR")=0))</f>
      </c>
      <c r="I7380">
        <f>IF(DATOS!$I7380="","",IFERROR(VLOOKUP(DATOS!$I7380,CONFIG_ASIGNATURAS!$B$2:$J$91,9,FALSE()),""))</f>
      </c>
    </row>
    <row r="7381">
      <c r="F7381">
        <f>IF(DATOS!$A7381="","",DATOS!$A7381&amp;"|"&amp;DATOS!$D7381&amp;"|"&amp;DATOS!$E7381&amp;"|"&amp;DATOS!$I7381)</f>
      </c>
      <c r="G7381">
        <f>IF(DATOS!$A7381="",0,IF(CONFIG_METADATA!$B$4&lt;&gt;"OR+EX",--(DATOS!$G7381=CONFIG_METADATA!$B$4),IF(DATOS!$G7381="EX",1,IF(DATOS!$G7381="OR",--(COUNTIFS(nNIA,DATOS!$A7381,nCURSO,DATOS!$D7381,nESPEC,DATOS!$E7381,nASIG,DATOS!$I7381,nEVAL,"EX")=0),0))))</f>
      </c>
      <c r="H7381">
        <f>IF(DATOS!$G7381&lt;&gt;"EX",0,--(COUNTIFS(nNIA,DATOS!$A7381,nCURSO,DATOS!$D7381,nESPEC,DATOS!$E7381,nASIG,DATOS!$I7381,nEVAL,"OR")=0))</f>
      </c>
      <c r="I7381">
        <f>IF(DATOS!$I7381="","",IFERROR(VLOOKUP(DATOS!$I7381,CONFIG_ASIGNATURAS!$B$2:$J$91,9,FALSE()),""))</f>
      </c>
    </row>
    <row r="7382">
      <c r="F7382">
        <f>IF(DATOS!$A7382="","",DATOS!$A7382&amp;"|"&amp;DATOS!$D7382&amp;"|"&amp;DATOS!$E7382&amp;"|"&amp;DATOS!$I7382)</f>
      </c>
      <c r="G7382">
        <f>IF(DATOS!$A7382="",0,IF(CONFIG_METADATA!$B$4&lt;&gt;"OR+EX",--(DATOS!$G7382=CONFIG_METADATA!$B$4),IF(DATOS!$G7382="EX",1,IF(DATOS!$G7382="OR",--(COUNTIFS(nNIA,DATOS!$A7382,nCURSO,DATOS!$D7382,nESPEC,DATOS!$E7382,nASIG,DATOS!$I7382,nEVAL,"EX")=0),0))))</f>
      </c>
      <c r="H7382">
        <f>IF(DATOS!$G7382&lt;&gt;"EX",0,--(COUNTIFS(nNIA,DATOS!$A7382,nCURSO,DATOS!$D7382,nESPEC,DATOS!$E7382,nASIG,DATOS!$I7382,nEVAL,"OR")=0))</f>
      </c>
      <c r="I7382">
        <f>IF(DATOS!$I7382="","",IFERROR(VLOOKUP(DATOS!$I7382,CONFIG_ASIGNATURAS!$B$2:$J$91,9,FALSE()),""))</f>
      </c>
    </row>
    <row r="7383">
      <c r="F7383">
        <f>IF(DATOS!$A7383="","",DATOS!$A7383&amp;"|"&amp;DATOS!$D7383&amp;"|"&amp;DATOS!$E7383&amp;"|"&amp;DATOS!$I7383)</f>
      </c>
      <c r="G7383">
        <f>IF(DATOS!$A7383="",0,IF(CONFIG_METADATA!$B$4&lt;&gt;"OR+EX",--(DATOS!$G7383=CONFIG_METADATA!$B$4),IF(DATOS!$G7383="EX",1,IF(DATOS!$G7383="OR",--(COUNTIFS(nNIA,DATOS!$A7383,nCURSO,DATOS!$D7383,nESPEC,DATOS!$E7383,nASIG,DATOS!$I7383,nEVAL,"EX")=0),0))))</f>
      </c>
      <c r="H7383">
        <f>IF(DATOS!$G7383&lt;&gt;"EX",0,--(COUNTIFS(nNIA,DATOS!$A7383,nCURSO,DATOS!$D7383,nESPEC,DATOS!$E7383,nASIG,DATOS!$I7383,nEVAL,"OR")=0))</f>
      </c>
      <c r="I7383">
        <f>IF(DATOS!$I7383="","",IFERROR(VLOOKUP(DATOS!$I7383,CONFIG_ASIGNATURAS!$B$2:$J$91,9,FALSE()),""))</f>
      </c>
    </row>
    <row r="7384">
      <c r="F7384">
        <f>IF(DATOS!$A7384="","",DATOS!$A7384&amp;"|"&amp;DATOS!$D7384&amp;"|"&amp;DATOS!$E7384&amp;"|"&amp;DATOS!$I7384)</f>
      </c>
      <c r="G7384">
        <f>IF(DATOS!$A7384="",0,IF(CONFIG_METADATA!$B$4&lt;&gt;"OR+EX",--(DATOS!$G7384=CONFIG_METADATA!$B$4),IF(DATOS!$G7384="EX",1,IF(DATOS!$G7384="OR",--(COUNTIFS(nNIA,DATOS!$A7384,nCURSO,DATOS!$D7384,nESPEC,DATOS!$E7384,nASIG,DATOS!$I7384,nEVAL,"EX")=0),0))))</f>
      </c>
      <c r="H7384">
        <f>IF(DATOS!$G7384&lt;&gt;"EX",0,--(COUNTIFS(nNIA,DATOS!$A7384,nCURSO,DATOS!$D7384,nESPEC,DATOS!$E7384,nASIG,DATOS!$I7384,nEVAL,"OR")=0))</f>
      </c>
      <c r="I7384">
        <f>IF(DATOS!$I7384="","",IFERROR(VLOOKUP(DATOS!$I7384,CONFIG_ASIGNATURAS!$B$2:$J$91,9,FALSE()),""))</f>
      </c>
    </row>
    <row r="7385">
      <c r="F7385">
        <f>IF(DATOS!$A7385="","",DATOS!$A7385&amp;"|"&amp;DATOS!$D7385&amp;"|"&amp;DATOS!$E7385&amp;"|"&amp;DATOS!$I7385)</f>
      </c>
      <c r="G7385">
        <f>IF(DATOS!$A7385="",0,IF(CONFIG_METADATA!$B$4&lt;&gt;"OR+EX",--(DATOS!$G7385=CONFIG_METADATA!$B$4),IF(DATOS!$G7385="EX",1,IF(DATOS!$G7385="OR",--(COUNTIFS(nNIA,DATOS!$A7385,nCURSO,DATOS!$D7385,nESPEC,DATOS!$E7385,nASIG,DATOS!$I7385,nEVAL,"EX")=0),0))))</f>
      </c>
      <c r="H7385">
        <f>IF(DATOS!$G7385&lt;&gt;"EX",0,--(COUNTIFS(nNIA,DATOS!$A7385,nCURSO,DATOS!$D7385,nESPEC,DATOS!$E7385,nASIG,DATOS!$I7385,nEVAL,"OR")=0))</f>
      </c>
      <c r="I7385">
        <f>IF(DATOS!$I7385="","",IFERROR(VLOOKUP(DATOS!$I7385,CONFIG_ASIGNATURAS!$B$2:$J$91,9,FALSE()),""))</f>
      </c>
    </row>
    <row r="7386">
      <c r="F7386">
        <f>IF(DATOS!$A7386="","",DATOS!$A7386&amp;"|"&amp;DATOS!$D7386&amp;"|"&amp;DATOS!$E7386&amp;"|"&amp;DATOS!$I7386)</f>
      </c>
      <c r="G7386">
        <f>IF(DATOS!$A7386="",0,IF(CONFIG_METADATA!$B$4&lt;&gt;"OR+EX",--(DATOS!$G7386=CONFIG_METADATA!$B$4),IF(DATOS!$G7386="EX",1,IF(DATOS!$G7386="OR",--(COUNTIFS(nNIA,DATOS!$A7386,nCURSO,DATOS!$D7386,nESPEC,DATOS!$E7386,nASIG,DATOS!$I7386,nEVAL,"EX")=0),0))))</f>
      </c>
      <c r="H7386">
        <f>IF(DATOS!$G7386&lt;&gt;"EX",0,--(COUNTIFS(nNIA,DATOS!$A7386,nCURSO,DATOS!$D7386,nESPEC,DATOS!$E7386,nASIG,DATOS!$I7386,nEVAL,"OR")=0))</f>
      </c>
      <c r="I7386">
        <f>IF(DATOS!$I7386="","",IFERROR(VLOOKUP(DATOS!$I7386,CONFIG_ASIGNATURAS!$B$2:$J$91,9,FALSE()),""))</f>
      </c>
    </row>
    <row r="7387">
      <c r="F7387">
        <f>IF(DATOS!$A7387="","",DATOS!$A7387&amp;"|"&amp;DATOS!$D7387&amp;"|"&amp;DATOS!$E7387&amp;"|"&amp;DATOS!$I7387)</f>
      </c>
      <c r="G7387">
        <f>IF(DATOS!$A7387="",0,IF(CONFIG_METADATA!$B$4&lt;&gt;"OR+EX",--(DATOS!$G7387=CONFIG_METADATA!$B$4),IF(DATOS!$G7387="EX",1,IF(DATOS!$G7387="OR",--(COUNTIFS(nNIA,DATOS!$A7387,nCURSO,DATOS!$D7387,nESPEC,DATOS!$E7387,nASIG,DATOS!$I7387,nEVAL,"EX")=0),0))))</f>
      </c>
      <c r="H7387">
        <f>IF(DATOS!$G7387&lt;&gt;"EX",0,--(COUNTIFS(nNIA,DATOS!$A7387,nCURSO,DATOS!$D7387,nESPEC,DATOS!$E7387,nASIG,DATOS!$I7387,nEVAL,"OR")=0))</f>
      </c>
      <c r="I7387">
        <f>IF(DATOS!$I7387="","",IFERROR(VLOOKUP(DATOS!$I7387,CONFIG_ASIGNATURAS!$B$2:$J$91,9,FALSE()),""))</f>
      </c>
    </row>
    <row r="7388">
      <c r="F7388">
        <f>IF(DATOS!$A7388="","",DATOS!$A7388&amp;"|"&amp;DATOS!$D7388&amp;"|"&amp;DATOS!$E7388&amp;"|"&amp;DATOS!$I7388)</f>
      </c>
      <c r="G7388">
        <f>IF(DATOS!$A7388="",0,IF(CONFIG_METADATA!$B$4&lt;&gt;"OR+EX",--(DATOS!$G7388=CONFIG_METADATA!$B$4),IF(DATOS!$G7388="EX",1,IF(DATOS!$G7388="OR",--(COUNTIFS(nNIA,DATOS!$A7388,nCURSO,DATOS!$D7388,nESPEC,DATOS!$E7388,nASIG,DATOS!$I7388,nEVAL,"EX")=0),0))))</f>
      </c>
      <c r="H7388">
        <f>IF(DATOS!$G7388&lt;&gt;"EX",0,--(COUNTIFS(nNIA,DATOS!$A7388,nCURSO,DATOS!$D7388,nESPEC,DATOS!$E7388,nASIG,DATOS!$I7388,nEVAL,"OR")=0))</f>
      </c>
      <c r="I7388">
        <f>IF(DATOS!$I7388="","",IFERROR(VLOOKUP(DATOS!$I7388,CONFIG_ASIGNATURAS!$B$2:$J$91,9,FALSE()),""))</f>
      </c>
    </row>
    <row r="7389">
      <c r="F7389">
        <f>IF(DATOS!$A7389="","",DATOS!$A7389&amp;"|"&amp;DATOS!$D7389&amp;"|"&amp;DATOS!$E7389&amp;"|"&amp;DATOS!$I7389)</f>
      </c>
      <c r="G7389">
        <f>IF(DATOS!$A7389="",0,IF(CONFIG_METADATA!$B$4&lt;&gt;"OR+EX",--(DATOS!$G7389=CONFIG_METADATA!$B$4),IF(DATOS!$G7389="EX",1,IF(DATOS!$G7389="OR",--(COUNTIFS(nNIA,DATOS!$A7389,nCURSO,DATOS!$D7389,nESPEC,DATOS!$E7389,nASIG,DATOS!$I7389,nEVAL,"EX")=0),0))))</f>
      </c>
      <c r="H7389">
        <f>IF(DATOS!$G7389&lt;&gt;"EX",0,--(COUNTIFS(nNIA,DATOS!$A7389,nCURSO,DATOS!$D7389,nESPEC,DATOS!$E7389,nASIG,DATOS!$I7389,nEVAL,"OR")=0))</f>
      </c>
      <c r="I7389">
        <f>IF(DATOS!$I7389="","",IFERROR(VLOOKUP(DATOS!$I7389,CONFIG_ASIGNATURAS!$B$2:$J$91,9,FALSE()),""))</f>
      </c>
    </row>
    <row r="7390">
      <c r="F7390">
        <f>IF(DATOS!$A7390="","",DATOS!$A7390&amp;"|"&amp;DATOS!$D7390&amp;"|"&amp;DATOS!$E7390&amp;"|"&amp;DATOS!$I7390)</f>
      </c>
      <c r="G7390">
        <f>IF(DATOS!$A7390="",0,IF(CONFIG_METADATA!$B$4&lt;&gt;"OR+EX",--(DATOS!$G7390=CONFIG_METADATA!$B$4),IF(DATOS!$G7390="EX",1,IF(DATOS!$G7390="OR",--(COUNTIFS(nNIA,DATOS!$A7390,nCURSO,DATOS!$D7390,nESPEC,DATOS!$E7390,nASIG,DATOS!$I7390,nEVAL,"EX")=0),0))))</f>
      </c>
      <c r="H7390">
        <f>IF(DATOS!$G7390&lt;&gt;"EX",0,--(COUNTIFS(nNIA,DATOS!$A7390,nCURSO,DATOS!$D7390,nESPEC,DATOS!$E7390,nASIG,DATOS!$I7390,nEVAL,"OR")=0))</f>
      </c>
      <c r="I7390">
        <f>IF(DATOS!$I7390="","",IFERROR(VLOOKUP(DATOS!$I7390,CONFIG_ASIGNATURAS!$B$2:$J$91,9,FALSE()),""))</f>
      </c>
    </row>
    <row r="7391">
      <c r="F7391">
        <f>IF(DATOS!$A7391="","",DATOS!$A7391&amp;"|"&amp;DATOS!$D7391&amp;"|"&amp;DATOS!$E7391&amp;"|"&amp;DATOS!$I7391)</f>
      </c>
      <c r="G7391">
        <f>IF(DATOS!$A7391="",0,IF(CONFIG_METADATA!$B$4&lt;&gt;"OR+EX",--(DATOS!$G7391=CONFIG_METADATA!$B$4),IF(DATOS!$G7391="EX",1,IF(DATOS!$G7391="OR",--(COUNTIFS(nNIA,DATOS!$A7391,nCURSO,DATOS!$D7391,nESPEC,DATOS!$E7391,nASIG,DATOS!$I7391,nEVAL,"EX")=0),0))))</f>
      </c>
      <c r="H7391">
        <f>IF(DATOS!$G7391&lt;&gt;"EX",0,--(COUNTIFS(nNIA,DATOS!$A7391,nCURSO,DATOS!$D7391,nESPEC,DATOS!$E7391,nASIG,DATOS!$I7391,nEVAL,"OR")=0))</f>
      </c>
      <c r="I7391">
        <f>IF(DATOS!$I7391="","",IFERROR(VLOOKUP(DATOS!$I7391,CONFIG_ASIGNATURAS!$B$2:$J$91,9,FALSE()),""))</f>
      </c>
    </row>
    <row r="7392">
      <c r="F7392">
        <f>IF(DATOS!$A7392="","",DATOS!$A7392&amp;"|"&amp;DATOS!$D7392&amp;"|"&amp;DATOS!$E7392&amp;"|"&amp;DATOS!$I7392)</f>
      </c>
      <c r="G7392">
        <f>IF(DATOS!$A7392="",0,IF(CONFIG_METADATA!$B$4&lt;&gt;"OR+EX",--(DATOS!$G7392=CONFIG_METADATA!$B$4),IF(DATOS!$G7392="EX",1,IF(DATOS!$G7392="OR",--(COUNTIFS(nNIA,DATOS!$A7392,nCURSO,DATOS!$D7392,nESPEC,DATOS!$E7392,nASIG,DATOS!$I7392,nEVAL,"EX")=0),0))))</f>
      </c>
      <c r="H7392">
        <f>IF(DATOS!$G7392&lt;&gt;"EX",0,--(COUNTIFS(nNIA,DATOS!$A7392,nCURSO,DATOS!$D7392,nESPEC,DATOS!$E7392,nASIG,DATOS!$I7392,nEVAL,"OR")=0))</f>
      </c>
      <c r="I7392">
        <f>IF(DATOS!$I7392="","",IFERROR(VLOOKUP(DATOS!$I7392,CONFIG_ASIGNATURAS!$B$2:$J$91,9,FALSE()),""))</f>
      </c>
    </row>
    <row r="7393">
      <c r="F7393">
        <f>IF(DATOS!$A7393="","",DATOS!$A7393&amp;"|"&amp;DATOS!$D7393&amp;"|"&amp;DATOS!$E7393&amp;"|"&amp;DATOS!$I7393)</f>
      </c>
      <c r="G7393">
        <f>IF(DATOS!$A7393="",0,IF(CONFIG_METADATA!$B$4&lt;&gt;"OR+EX",--(DATOS!$G7393=CONFIG_METADATA!$B$4),IF(DATOS!$G7393="EX",1,IF(DATOS!$G7393="OR",--(COUNTIFS(nNIA,DATOS!$A7393,nCURSO,DATOS!$D7393,nESPEC,DATOS!$E7393,nASIG,DATOS!$I7393,nEVAL,"EX")=0),0))))</f>
      </c>
      <c r="H7393">
        <f>IF(DATOS!$G7393&lt;&gt;"EX",0,--(COUNTIFS(nNIA,DATOS!$A7393,nCURSO,DATOS!$D7393,nESPEC,DATOS!$E7393,nASIG,DATOS!$I7393,nEVAL,"OR")=0))</f>
      </c>
      <c r="I7393">
        <f>IF(DATOS!$I7393="","",IFERROR(VLOOKUP(DATOS!$I7393,CONFIG_ASIGNATURAS!$B$2:$J$91,9,FALSE()),""))</f>
      </c>
    </row>
    <row r="7394">
      <c r="F7394">
        <f>IF(DATOS!$A7394="","",DATOS!$A7394&amp;"|"&amp;DATOS!$D7394&amp;"|"&amp;DATOS!$E7394&amp;"|"&amp;DATOS!$I7394)</f>
      </c>
      <c r="G7394">
        <f>IF(DATOS!$A7394="",0,IF(CONFIG_METADATA!$B$4&lt;&gt;"OR+EX",--(DATOS!$G7394=CONFIG_METADATA!$B$4),IF(DATOS!$G7394="EX",1,IF(DATOS!$G7394="OR",--(COUNTIFS(nNIA,DATOS!$A7394,nCURSO,DATOS!$D7394,nESPEC,DATOS!$E7394,nASIG,DATOS!$I7394,nEVAL,"EX")=0),0))))</f>
      </c>
      <c r="H7394">
        <f>IF(DATOS!$G7394&lt;&gt;"EX",0,--(COUNTIFS(nNIA,DATOS!$A7394,nCURSO,DATOS!$D7394,nESPEC,DATOS!$E7394,nASIG,DATOS!$I7394,nEVAL,"OR")=0))</f>
      </c>
      <c r="I7394">
        <f>IF(DATOS!$I7394="","",IFERROR(VLOOKUP(DATOS!$I7394,CONFIG_ASIGNATURAS!$B$2:$J$91,9,FALSE()),""))</f>
      </c>
    </row>
    <row r="7395">
      <c r="F7395">
        <f>IF(DATOS!$A7395="","",DATOS!$A7395&amp;"|"&amp;DATOS!$D7395&amp;"|"&amp;DATOS!$E7395&amp;"|"&amp;DATOS!$I7395)</f>
      </c>
      <c r="G7395">
        <f>IF(DATOS!$A7395="",0,IF(CONFIG_METADATA!$B$4&lt;&gt;"OR+EX",--(DATOS!$G7395=CONFIG_METADATA!$B$4),IF(DATOS!$G7395="EX",1,IF(DATOS!$G7395="OR",--(COUNTIFS(nNIA,DATOS!$A7395,nCURSO,DATOS!$D7395,nESPEC,DATOS!$E7395,nASIG,DATOS!$I7395,nEVAL,"EX")=0),0))))</f>
      </c>
      <c r="H7395">
        <f>IF(DATOS!$G7395&lt;&gt;"EX",0,--(COUNTIFS(nNIA,DATOS!$A7395,nCURSO,DATOS!$D7395,nESPEC,DATOS!$E7395,nASIG,DATOS!$I7395,nEVAL,"OR")=0))</f>
      </c>
      <c r="I7395">
        <f>IF(DATOS!$I7395="","",IFERROR(VLOOKUP(DATOS!$I7395,CONFIG_ASIGNATURAS!$B$2:$J$91,9,FALSE()),""))</f>
      </c>
    </row>
    <row r="7396">
      <c r="F7396">
        <f>IF(DATOS!$A7396="","",DATOS!$A7396&amp;"|"&amp;DATOS!$D7396&amp;"|"&amp;DATOS!$E7396&amp;"|"&amp;DATOS!$I7396)</f>
      </c>
      <c r="G7396">
        <f>IF(DATOS!$A7396="",0,IF(CONFIG_METADATA!$B$4&lt;&gt;"OR+EX",--(DATOS!$G7396=CONFIG_METADATA!$B$4),IF(DATOS!$G7396="EX",1,IF(DATOS!$G7396="OR",--(COUNTIFS(nNIA,DATOS!$A7396,nCURSO,DATOS!$D7396,nESPEC,DATOS!$E7396,nASIG,DATOS!$I7396,nEVAL,"EX")=0),0))))</f>
      </c>
      <c r="H7396">
        <f>IF(DATOS!$G7396&lt;&gt;"EX",0,--(COUNTIFS(nNIA,DATOS!$A7396,nCURSO,DATOS!$D7396,nESPEC,DATOS!$E7396,nASIG,DATOS!$I7396,nEVAL,"OR")=0))</f>
      </c>
      <c r="I7396">
        <f>IF(DATOS!$I7396="","",IFERROR(VLOOKUP(DATOS!$I7396,CONFIG_ASIGNATURAS!$B$2:$J$91,9,FALSE()),""))</f>
      </c>
    </row>
    <row r="7397">
      <c r="F7397">
        <f>IF(DATOS!$A7397="","",DATOS!$A7397&amp;"|"&amp;DATOS!$D7397&amp;"|"&amp;DATOS!$E7397&amp;"|"&amp;DATOS!$I7397)</f>
      </c>
      <c r="G7397">
        <f>IF(DATOS!$A7397="",0,IF(CONFIG_METADATA!$B$4&lt;&gt;"OR+EX",--(DATOS!$G7397=CONFIG_METADATA!$B$4),IF(DATOS!$G7397="EX",1,IF(DATOS!$G7397="OR",--(COUNTIFS(nNIA,DATOS!$A7397,nCURSO,DATOS!$D7397,nESPEC,DATOS!$E7397,nASIG,DATOS!$I7397,nEVAL,"EX")=0),0))))</f>
      </c>
      <c r="H7397">
        <f>IF(DATOS!$G7397&lt;&gt;"EX",0,--(COUNTIFS(nNIA,DATOS!$A7397,nCURSO,DATOS!$D7397,nESPEC,DATOS!$E7397,nASIG,DATOS!$I7397,nEVAL,"OR")=0))</f>
      </c>
      <c r="I7397">
        <f>IF(DATOS!$I7397="","",IFERROR(VLOOKUP(DATOS!$I7397,CONFIG_ASIGNATURAS!$B$2:$J$91,9,FALSE()),""))</f>
      </c>
    </row>
    <row r="7398">
      <c r="F7398">
        <f>IF(DATOS!$A7398="","",DATOS!$A7398&amp;"|"&amp;DATOS!$D7398&amp;"|"&amp;DATOS!$E7398&amp;"|"&amp;DATOS!$I7398)</f>
      </c>
      <c r="G7398">
        <f>IF(DATOS!$A7398="",0,IF(CONFIG_METADATA!$B$4&lt;&gt;"OR+EX",--(DATOS!$G7398=CONFIG_METADATA!$B$4),IF(DATOS!$G7398="EX",1,IF(DATOS!$G7398="OR",--(COUNTIFS(nNIA,DATOS!$A7398,nCURSO,DATOS!$D7398,nESPEC,DATOS!$E7398,nASIG,DATOS!$I7398,nEVAL,"EX")=0),0))))</f>
      </c>
      <c r="H7398">
        <f>IF(DATOS!$G7398&lt;&gt;"EX",0,--(COUNTIFS(nNIA,DATOS!$A7398,nCURSO,DATOS!$D7398,nESPEC,DATOS!$E7398,nASIG,DATOS!$I7398,nEVAL,"OR")=0))</f>
      </c>
      <c r="I7398">
        <f>IF(DATOS!$I7398="","",IFERROR(VLOOKUP(DATOS!$I7398,CONFIG_ASIGNATURAS!$B$2:$J$91,9,FALSE()),""))</f>
      </c>
    </row>
    <row r="7399">
      <c r="F7399">
        <f>IF(DATOS!$A7399="","",DATOS!$A7399&amp;"|"&amp;DATOS!$D7399&amp;"|"&amp;DATOS!$E7399&amp;"|"&amp;DATOS!$I7399)</f>
      </c>
      <c r="G7399">
        <f>IF(DATOS!$A7399="",0,IF(CONFIG_METADATA!$B$4&lt;&gt;"OR+EX",--(DATOS!$G7399=CONFIG_METADATA!$B$4),IF(DATOS!$G7399="EX",1,IF(DATOS!$G7399="OR",--(COUNTIFS(nNIA,DATOS!$A7399,nCURSO,DATOS!$D7399,nESPEC,DATOS!$E7399,nASIG,DATOS!$I7399,nEVAL,"EX")=0),0))))</f>
      </c>
      <c r="H7399">
        <f>IF(DATOS!$G7399&lt;&gt;"EX",0,--(COUNTIFS(nNIA,DATOS!$A7399,nCURSO,DATOS!$D7399,nESPEC,DATOS!$E7399,nASIG,DATOS!$I7399,nEVAL,"OR")=0))</f>
      </c>
      <c r="I7399">
        <f>IF(DATOS!$I7399="","",IFERROR(VLOOKUP(DATOS!$I7399,CONFIG_ASIGNATURAS!$B$2:$J$91,9,FALSE()),""))</f>
      </c>
    </row>
    <row r="7400">
      <c r="F7400">
        <f>IF(DATOS!$A7400="","",DATOS!$A7400&amp;"|"&amp;DATOS!$D7400&amp;"|"&amp;DATOS!$E7400&amp;"|"&amp;DATOS!$I7400)</f>
      </c>
      <c r="G7400">
        <f>IF(DATOS!$A7400="",0,IF(CONFIG_METADATA!$B$4&lt;&gt;"OR+EX",--(DATOS!$G7400=CONFIG_METADATA!$B$4),IF(DATOS!$G7400="EX",1,IF(DATOS!$G7400="OR",--(COUNTIFS(nNIA,DATOS!$A7400,nCURSO,DATOS!$D7400,nESPEC,DATOS!$E7400,nASIG,DATOS!$I7400,nEVAL,"EX")=0),0))))</f>
      </c>
      <c r="H7400">
        <f>IF(DATOS!$G7400&lt;&gt;"EX",0,--(COUNTIFS(nNIA,DATOS!$A7400,nCURSO,DATOS!$D7400,nESPEC,DATOS!$E7400,nASIG,DATOS!$I7400,nEVAL,"OR")=0))</f>
      </c>
      <c r="I7400">
        <f>IF(DATOS!$I7400="","",IFERROR(VLOOKUP(DATOS!$I7400,CONFIG_ASIGNATURAS!$B$2:$J$91,9,FALSE()),""))</f>
      </c>
    </row>
    <row r="7401">
      <c r="F7401">
        <f>IF(DATOS!$A7401="","",DATOS!$A7401&amp;"|"&amp;DATOS!$D7401&amp;"|"&amp;DATOS!$E7401&amp;"|"&amp;DATOS!$I7401)</f>
      </c>
      <c r="G7401">
        <f>IF(DATOS!$A7401="",0,IF(CONFIG_METADATA!$B$4&lt;&gt;"OR+EX",--(DATOS!$G7401=CONFIG_METADATA!$B$4),IF(DATOS!$G7401="EX",1,IF(DATOS!$G7401="OR",--(COUNTIFS(nNIA,DATOS!$A7401,nCURSO,DATOS!$D7401,nESPEC,DATOS!$E7401,nASIG,DATOS!$I7401,nEVAL,"EX")=0),0))))</f>
      </c>
      <c r="H7401">
        <f>IF(DATOS!$G7401&lt;&gt;"EX",0,--(COUNTIFS(nNIA,DATOS!$A7401,nCURSO,DATOS!$D7401,nESPEC,DATOS!$E7401,nASIG,DATOS!$I7401,nEVAL,"OR")=0))</f>
      </c>
      <c r="I7401">
        <f>IF(DATOS!$I7401="","",IFERROR(VLOOKUP(DATOS!$I7401,CONFIG_ASIGNATURAS!$B$2:$J$91,9,FALSE()),""))</f>
      </c>
    </row>
    <row r="7402">
      <c r="F7402">
        <f>IF(DATOS!$A7402="","",DATOS!$A7402&amp;"|"&amp;DATOS!$D7402&amp;"|"&amp;DATOS!$E7402&amp;"|"&amp;DATOS!$I7402)</f>
      </c>
      <c r="G7402">
        <f>IF(DATOS!$A7402="",0,IF(CONFIG_METADATA!$B$4&lt;&gt;"OR+EX",--(DATOS!$G7402=CONFIG_METADATA!$B$4),IF(DATOS!$G7402="EX",1,IF(DATOS!$G7402="OR",--(COUNTIFS(nNIA,DATOS!$A7402,nCURSO,DATOS!$D7402,nESPEC,DATOS!$E7402,nASIG,DATOS!$I7402,nEVAL,"EX")=0),0))))</f>
      </c>
      <c r="H7402">
        <f>IF(DATOS!$G7402&lt;&gt;"EX",0,--(COUNTIFS(nNIA,DATOS!$A7402,nCURSO,DATOS!$D7402,nESPEC,DATOS!$E7402,nASIG,DATOS!$I7402,nEVAL,"OR")=0))</f>
      </c>
      <c r="I7402">
        <f>IF(DATOS!$I7402="","",IFERROR(VLOOKUP(DATOS!$I7402,CONFIG_ASIGNATURAS!$B$2:$J$91,9,FALSE()),""))</f>
      </c>
    </row>
    <row r="7403">
      <c r="F7403">
        <f>IF(DATOS!$A7403="","",DATOS!$A7403&amp;"|"&amp;DATOS!$D7403&amp;"|"&amp;DATOS!$E7403&amp;"|"&amp;DATOS!$I7403)</f>
      </c>
      <c r="G7403">
        <f>IF(DATOS!$A7403="",0,IF(CONFIG_METADATA!$B$4&lt;&gt;"OR+EX",--(DATOS!$G7403=CONFIG_METADATA!$B$4),IF(DATOS!$G7403="EX",1,IF(DATOS!$G7403="OR",--(COUNTIFS(nNIA,DATOS!$A7403,nCURSO,DATOS!$D7403,nESPEC,DATOS!$E7403,nASIG,DATOS!$I7403,nEVAL,"EX")=0),0))))</f>
      </c>
      <c r="H7403">
        <f>IF(DATOS!$G7403&lt;&gt;"EX",0,--(COUNTIFS(nNIA,DATOS!$A7403,nCURSO,DATOS!$D7403,nESPEC,DATOS!$E7403,nASIG,DATOS!$I7403,nEVAL,"OR")=0))</f>
      </c>
      <c r="I7403">
        <f>IF(DATOS!$I7403="","",IFERROR(VLOOKUP(DATOS!$I7403,CONFIG_ASIGNATURAS!$B$2:$J$91,9,FALSE()),""))</f>
      </c>
    </row>
    <row r="7404">
      <c r="F7404">
        <f>IF(DATOS!$A7404="","",DATOS!$A7404&amp;"|"&amp;DATOS!$D7404&amp;"|"&amp;DATOS!$E7404&amp;"|"&amp;DATOS!$I7404)</f>
      </c>
      <c r="G7404">
        <f>IF(DATOS!$A7404="",0,IF(CONFIG_METADATA!$B$4&lt;&gt;"OR+EX",--(DATOS!$G7404=CONFIG_METADATA!$B$4),IF(DATOS!$G7404="EX",1,IF(DATOS!$G7404="OR",--(COUNTIFS(nNIA,DATOS!$A7404,nCURSO,DATOS!$D7404,nESPEC,DATOS!$E7404,nASIG,DATOS!$I7404,nEVAL,"EX")=0),0))))</f>
      </c>
      <c r="H7404">
        <f>IF(DATOS!$G7404&lt;&gt;"EX",0,--(COUNTIFS(nNIA,DATOS!$A7404,nCURSO,DATOS!$D7404,nESPEC,DATOS!$E7404,nASIG,DATOS!$I7404,nEVAL,"OR")=0))</f>
      </c>
      <c r="I7404">
        <f>IF(DATOS!$I7404="","",IFERROR(VLOOKUP(DATOS!$I7404,CONFIG_ASIGNATURAS!$B$2:$J$91,9,FALSE()),""))</f>
      </c>
    </row>
    <row r="7405">
      <c r="F7405">
        <f>IF(DATOS!$A7405="","",DATOS!$A7405&amp;"|"&amp;DATOS!$D7405&amp;"|"&amp;DATOS!$E7405&amp;"|"&amp;DATOS!$I7405)</f>
      </c>
      <c r="G7405">
        <f>IF(DATOS!$A7405="",0,IF(CONFIG_METADATA!$B$4&lt;&gt;"OR+EX",--(DATOS!$G7405=CONFIG_METADATA!$B$4),IF(DATOS!$G7405="EX",1,IF(DATOS!$G7405="OR",--(COUNTIFS(nNIA,DATOS!$A7405,nCURSO,DATOS!$D7405,nESPEC,DATOS!$E7405,nASIG,DATOS!$I7405,nEVAL,"EX")=0),0))))</f>
      </c>
      <c r="H7405">
        <f>IF(DATOS!$G7405&lt;&gt;"EX",0,--(COUNTIFS(nNIA,DATOS!$A7405,nCURSO,DATOS!$D7405,nESPEC,DATOS!$E7405,nASIG,DATOS!$I7405,nEVAL,"OR")=0))</f>
      </c>
      <c r="I7405">
        <f>IF(DATOS!$I7405="","",IFERROR(VLOOKUP(DATOS!$I7405,CONFIG_ASIGNATURAS!$B$2:$J$91,9,FALSE()),""))</f>
      </c>
    </row>
    <row r="7406">
      <c r="F7406">
        <f>IF(DATOS!$A7406="","",DATOS!$A7406&amp;"|"&amp;DATOS!$D7406&amp;"|"&amp;DATOS!$E7406&amp;"|"&amp;DATOS!$I7406)</f>
      </c>
      <c r="G7406">
        <f>IF(DATOS!$A7406="",0,IF(CONFIG_METADATA!$B$4&lt;&gt;"OR+EX",--(DATOS!$G7406=CONFIG_METADATA!$B$4),IF(DATOS!$G7406="EX",1,IF(DATOS!$G7406="OR",--(COUNTIFS(nNIA,DATOS!$A7406,nCURSO,DATOS!$D7406,nESPEC,DATOS!$E7406,nASIG,DATOS!$I7406,nEVAL,"EX")=0),0))))</f>
      </c>
      <c r="H7406">
        <f>IF(DATOS!$G7406&lt;&gt;"EX",0,--(COUNTIFS(nNIA,DATOS!$A7406,nCURSO,DATOS!$D7406,nESPEC,DATOS!$E7406,nASIG,DATOS!$I7406,nEVAL,"OR")=0))</f>
      </c>
      <c r="I7406">
        <f>IF(DATOS!$I7406="","",IFERROR(VLOOKUP(DATOS!$I7406,CONFIG_ASIGNATURAS!$B$2:$J$91,9,FALSE()),""))</f>
      </c>
    </row>
    <row r="7407">
      <c r="F7407">
        <f>IF(DATOS!$A7407="","",DATOS!$A7407&amp;"|"&amp;DATOS!$D7407&amp;"|"&amp;DATOS!$E7407&amp;"|"&amp;DATOS!$I7407)</f>
      </c>
      <c r="G7407">
        <f>IF(DATOS!$A7407="",0,IF(CONFIG_METADATA!$B$4&lt;&gt;"OR+EX",--(DATOS!$G7407=CONFIG_METADATA!$B$4),IF(DATOS!$G7407="EX",1,IF(DATOS!$G7407="OR",--(COUNTIFS(nNIA,DATOS!$A7407,nCURSO,DATOS!$D7407,nESPEC,DATOS!$E7407,nASIG,DATOS!$I7407,nEVAL,"EX")=0),0))))</f>
      </c>
      <c r="H7407">
        <f>IF(DATOS!$G7407&lt;&gt;"EX",0,--(COUNTIFS(nNIA,DATOS!$A7407,nCURSO,DATOS!$D7407,nESPEC,DATOS!$E7407,nASIG,DATOS!$I7407,nEVAL,"OR")=0))</f>
      </c>
      <c r="I7407">
        <f>IF(DATOS!$I7407="","",IFERROR(VLOOKUP(DATOS!$I7407,CONFIG_ASIGNATURAS!$B$2:$J$91,9,FALSE()),""))</f>
      </c>
    </row>
    <row r="7408">
      <c r="F7408">
        <f>IF(DATOS!$A7408="","",DATOS!$A7408&amp;"|"&amp;DATOS!$D7408&amp;"|"&amp;DATOS!$E7408&amp;"|"&amp;DATOS!$I7408)</f>
      </c>
      <c r="G7408">
        <f>IF(DATOS!$A7408="",0,IF(CONFIG_METADATA!$B$4&lt;&gt;"OR+EX",--(DATOS!$G7408=CONFIG_METADATA!$B$4),IF(DATOS!$G7408="EX",1,IF(DATOS!$G7408="OR",--(COUNTIFS(nNIA,DATOS!$A7408,nCURSO,DATOS!$D7408,nESPEC,DATOS!$E7408,nASIG,DATOS!$I7408,nEVAL,"EX")=0),0))))</f>
      </c>
      <c r="H7408">
        <f>IF(DATOS!$G7408&lt;&gt;"EX",0,--(COUNTIFS(nNIA,DATOS!$A7408,nCURSO,DATOS!$D7408,nESPEC,DATOS!$E7408,nASIG,DATOS!$I7408,nEVAL,"OR")=0))</f>
      </c>
      <c r="I7408">
        <f>IF(DATOS!$I7408="","",IFERROR(VLOOKUP(DATOS!$I7408,CONFIG_ASIGNATURAS!$B$2:$J$91,9,FALSE()),""))</f>
      </c>
    </row>
    <row r="7409">
      <c r="F7409">
        <f>IF(DATOS!$A7409="","",DATOS!$A7409&amp;"|"&amp;DATOS!$D7409&amp;"|"&amp;DATOS!$E7409&amp;"|"&amp;DATOS!$I7409)</f>
      </c>
      <c r="G7409">
        <f>IF(DATOS!$A7409="",0,IF(CONFIG_METADATA!$B$4&lt;&gt;"OR+EX",--(DATOS!$G7409=CONFIG_METADATA!$B$4),IF(DATOS!$G7409="EX",1,IF(DATOS!$G7409="OR",--(COUNTIFS(nNIA,DATOS!$A7409,nCURSO,DATOS!$D7409,nESPEC,DATOS!$E7409,nASIG,DATOS!$I7409,nEVAL,"EX")=0),0))))</f>
      </c>
      <c r="H7409">
        <f>IF(DATOS!$G7409&lt;&gt;"EX",0,--(COUNTIFS(nNIA,DATOS!$A7409,nCURSO,DATOS!$D7409,nESPEC,DATOS!$E7409,nASIG,DATOS!$I7409,nEVAL,"OR")=0))</f>
      </c>
      <c r="I7409">
        <f>IF(DATOS!$I7409="","",IFERROR(VLOOKUP(DATOS!$I7409,CONFIG_ASIGNATURAS!$B$2:$J$91,9,FALSE()),""))</f>
      </c>
    </row>
    <row r="7410">
      <c r="F7410">
        <f>IF(DATOS!$A7410="","",DATOS!$A7410&amp;"|"&amp;DATOS!$D7410&amp;"|"&amp;DATOS!$E7410&amp;"|"&amp;DATOS!$I7410)</f>
      </c>
      <c r="G7410">
        <f>IF(DATOS!$A7410="",0,IF(CONFIG_METADATA!$B$4&lt;&gt;"OR+EX",--(DATOS!$G7410=CONFIG_METADATA!$B$4),IF(DATOS!$G7410="EX",1,IF(DATOS!$G7410="OR",--(COUNTIFS(nNIA,DATOS!$A7410,nCURSO,DATOS!$D7410,nESPEC,DATOS!$E7410,nASIG,DATOS!$I7410,nEVAL,"EX")=0),0))))</f>
      </c>
      <c r="H7410">
        <f>IF(DATOS!$G7410&lt;&gt;"EX",0,--(COUNTIFS(nNIA,DATOS!$A7410,nCURSO,DATOS!$D7410,nESPEC,DATOS!$E7410,nASIG,DATOS!$I7410,nEVAL,"OR")=0))</f>
      </c>
      <c r="I7410">
        <f>IF(DATOS!$I7410="","",IFERROR(VLOOKUP(DATOS!$I7410,CONFIG_ASIGNATURAS!$B$2:$J$91,9,FALSE()),""))</f>
      </c>
    </row>
    <row r="7411">
      <c r="F7411">
        <f>IF(DATOS!$A7411="","",DATOS!$A7411&amp;"|"&amp;DATOS!$D7411&amp;"|"&amp;DATOS!$E7411&amp;"|"&amp;DATOS!$I7411)</f>
      </c>
      <c r="G7411">
        <f>IF(DATOS!$A7411="",0,IF(CONFIG_METADATA!$B$4&lt;&gt;"OR+EX",--(DATOS!$G7411=CONFIG_METADATA!$B$4),IF(DATOS!$G7411="EX",1,IF(DATOS!$G7411="OR",--(COUNTIFS(nNIA,DATOS!$A7411,nCURSO,DATOS!$D7411,nESPEC,DATOS!$E7411,nASIG,DATOS!$I7411,nEVAL,"EX")=0),0))))</f>
      </c>
      <c r="H7411">
        <f>IF(DATOS!$G7411&lt;&gt;"EX",0,--(COUNTIFS(nNIA,DATOS!$A7411,nCURSO,DATOS!$D7411,nESPEC,DATOS!$E7411,nASIG,DATOS!$I7411,nEVAL,"OR")=0))</f>
      </c>
      <c r="I7411">
        <f>IF(DATOS!$I7411="","",IFERROR(VLOOKUP(DATOS!$I7411,CONFIG_ASIGNATURAS!$B$2:$J$91,9,FALSE()),""))</f>
      </c>
    </row>
    <row r="7412">
      <c r="F7412">
        <f>IF(DATOS!$A7412="","",DATOS!$A7412&amp;"|"&amp;DATOS!$D7412&amp;"|"&amp;DATOS!$E7412&amp;"|"&amp;DATOS!$I7412)</f>
      </c>
      <c r="G7412">
        <f>IF(DATOS!$A7412="",0,IF(CONFIG_METADATA!$B$4&lt;&gt;"OR+EX",--(DATOS!$G7412=CONFIG_METADATA!$B$4),IF(DATOS!$G7412="EX",1,IF(DATOS!$G7412="OR",--(COUNTIFS(nNIA,DATOS!$A7412,nCURSO,DATOS!$D7412,nESPEC,DATOS!$E7412,nASIG,DATOS!$I7412,nEVAL,"EX")=0),0))))</f>
      </c>
      <c r="H7412">
        <f>IF(DATOS!$G7412&lt;&gt;"EX",0,--(COUNTIFS(nNIA,DATOS!$A7412,nCURSO,DATOS!$D7412,nESPEC,DATOS!$E7412,nASIG,DATOS!$I7412,nEVAL,"OR")=0))</f>
      </c>
      <c r="I7412">
        <f>IF(DATOS!$I7412="","",IFERROR(VLOOKUP(DATOS!$I7412,CONFIG_ASIGNATURAS!$B$2:$J$91,9,FALSE()),""))</f>
      </c>
    </row>
    <row r="7413">
      <c r="F7413">
        <f>IF(DATOS!$A7413="","",DATOS!$A7413&amp;"|"&amp;DATOS!$D7413&amp;"|"&amp;DATOS!$E7413&amp;"|"&amp;DATOS!$I7413)</f>
      </c>
      <c r="G7413">
        <f>IF(DATOS!$A7413="",0,IF(CONFIG_METADATA!$B$4&lt;&gt;"OR+EX",--(DATOS!$G7413=CONFIG_METADATA!$B$4),IF(DATOS!$G7413="EX",1,IF(DATOS!$G7413="OR",--(COUNTIFS(nNIA,DATOS!$A7413,nCURSO,DATOS!$D7413,nESPEC,DATOS!$E7413,nASIG,DATOS!$I7413,nEVAL,"EX")=0),0))))</f>
      </c>
      <c r="H7413">
        <f>IF(DATOS!$G7413&lt;&gt;"EX",0,--(COUNTIFS(nNIA,DATOS!$A7413,nCURSO,DATOS!$D7413,nESPEC,DATOS!$E7413,nASIG,DATOS!$I7413,nEVAL,"OR")=0))</f>
      </c>
      <c r="I7413">
        <f>IF(DATOS!$I7413="","",IFERROR(VLOOKUP(DATOS!$I7413,CONFIG_ASIGNATURAS!$B$2:$J$91,9,FALSE()),""))</f>
      </c>
    </row>
    <row r="7414">
      <c r="F7414">
        <f>IF(DATOS!$A7414="","",DATOS!$A7414&amp;"|"&amp;DATOS!$D7414&amp;"|"&amp;DATOS!$E7414&amp;"|"&amp;DATOS!$I7414)</f>
      </c>
      <c r="G7414">
        <f>IF(DATOS!$A7414="",0,IF(CONFIG_METADATA!$B$4&lt;&gt;"OR+EX",--(DATOS!$G7414=CONFIG_METADATA!$B$4),IF(DATOS!$G7414="EX",1,IF(DATOS!$G7414="OR",--(COUNTIFS(nNIA,DATOS!$A7414,nCURSO,DATOS!$D7414,nESPEC,DATOS!$E7414,nASIG,DATOS!$I7414,nEVAL,"EX")=0),0))))</f>
      </c>
      <c r="H7414">
        <f>IF(DATOS!$G7414&lt;&gt;"EX",0,--(COUNTIFS(nNIA,DATOS!$A7414,nCURSO,DATOS!$D7414,nESPEC,DATOS!$E7414,nASIG,DATOS!$I7414,nEVAL,"OR")=0))</f>
      </c>
      <c r="I7414">
        <f>IF(DATOS!$I7414="","",IFERROR(VLOOKUP(DATOS!$I7414,CONFIG_ASIGNATURAS!$B$2:$J$91,9,FALSE()),""))</f>
      </c>
    </row>
    <row r="7415">
      <c r="F7415">
        <f>IF(DATOS!$A7415="","",DATOS!$A7415&amp;"|"&amp;DATOS!$D7415&amp;"|"&amp;DATOS!$E7415&amp;"|"&amp;DATOS!$I7415)</f>
      </c>
      <c r="G7415">
        <f>IF(DATOS!$A7415="",0,IF(CONFIG_METADATA!$B$4&lt;&gt;"OR+EX",--(DATOS!$G7415=CONFIG_METADATA!$B$4),IF(DATOS!$G7415="EX",1,IF(DATOS!$G7415="OR",--(COUNTIFS(nNIA,DATOS!$A7415,nCURSO,DATOS!$D7415,nESPEC,DATOS!$E7415,nASIG,DATOS!$I7415,nEVAL,"EX")=0),0))))</f>
      </c>
      <c r="H7415">
        <f>IF(DATOS!$G7415&lt;&gt;"EX",0,--(COUNTIFS(nNIA,DATOS!$A7415,nCURSO,DATOS!$D7415,nESPEC,DATOS!$E7415,nASIG,DATOS!$I7415,nEVAL,"OR")=0))</f>
      </c>
      <c r="I7415">
        <f>IF(DATOS!$I7415="","",IFERROR(VLOOKUP(DATOS!$I7415,CONFIG_ASIGNATURAS!$B$2:$J$91,9,FALSE()),""))</f>
      </c>
    </row>
    <row r="7416">
      <c r="F7416">
        <f>IF(DATOS!$A7416="","",DATOS!$A7416&amp;"|"&amp;DATOS!$D7416&amp;"|"&amp;DATOS!$E7416&amp;"|"&amp;DATOS!$I7416)</f>
      </c>
      <c r="G7416">
        <f>IF(DATOS!$A7416="",0,IF(CONFIG_METADATA!$B$4&lt;&gt;"OR+EX",--(DATOS!$G7416=CONFIG_METADATA!$B$4),IF(DATOS!$G7416="EX",1,IF(DATOS!$G7416="OR",--(COUNTIFS(nNIA,DATOS!$A7416,nCURSO,DATOS!$D7416,nESPEC,DATOS!$E7416,nASIG,DATOS!$I7416,nEVAL,"EX")=0),0))))</f>
      </c>
      <c r="H7416">
        <f>IF(DATOS!$G7416&lt;&gt;"EX",0,--(COUNTIFS(nNIA,DATOS!$A7416,nCURSO,DATOS!$D7416,nESPEC,DATOS!$E7416,nASIG,DATOS!$I7416,nEVAL,"OR")=0))</f>
      </c>
      <c r="I7416">
        <f>IF(DATOS!$I7416="","",IFERROR(VLOOKUP(DATOS!$I7416,CONFIG_ASIGNATURAS!$B$2:$J$91,9,FALSE()),""))</f>
      </c>
    </row>
    <row r="7417">
      <c r="F7417">
        <f>IF(DATOS!$A7417="","",DATOS!$A7417&amp;"|"&amp;DATOS!$D7417&amp;"|"&amp;DATOS!$E7417&amp;"|"&amp;DATOS!$I7417)</f>
      </c>
      <c r="G7417">
        <f>IF(DATOS!$A7417="",0,IF(CONFIG_METADATA!$B$4&lt;&gt;"OR+EX",--(DATOS!$G7417=CONFIG_METADATA!$B$4),IF(DATOS!$G7417="EX",1,IF(DATOS!$G7417="OR",--(COUNTIFS(nNIA,DATOS!$A7417,nCURSO,DATOS!$D7417,nESPEC,DATOS!$E7417,nASIG,DATOS!$I7417,nEVAL,"EX")=0),0))))</f>
      </c>
      <c r="H7417">
        <f>IF(DATOS!$G7417&lt;&gt;"EX",0,--(COUNTIFS(nNIA,DATOS!$A7417,nCURSO,DATOS!$D7417,nESPEC,DATOS!$E7417,nASIG,DATOS!$I7417,nEVAL,"OR")=0))</f>
      </c>
      <c r="I7417">
        <f>IF(DATOS!$I7417="","",IFERROR(VLOOKUP(DATOS!$I7417,CONFIG_ASIGNATURAS!$B$2:$J$91,9,FALSE()),""))</f>
      </c>
    </row>
    <row r="7418">
      <c r="F7418">
        <f>IF(DATOS!$A7418="","",DATOS!$A7418&amp;"|"&amp;DATOS!$D7418&amp;"|"&amp;DATOS!$E7418&amp;"|"&amp;DATOS!$I7418)</f>
      </c>
      <c r="G7418">
        <f>IF(DATOS!$A7418="",0,IF(CONFIG_METADATA!$B$4&lt;&gt;"OR+EX",--(DATOS!$G7418=CONFIG_METADATA!$B$4),IF(DATOS!$G7418="EX",1,IF(DATOS!$G7418="OR",--(COUNTIFS(nNIA,DATOS!$A7418,nCURSO,DATOS!$D7418,nESPEC,DATOS!$E7418,nASIG,DATOS!$I7418,nEVAL,"EX")=0),0))))</f>
      </c>
      <c r="H7418">
        <f>IF(DATOS!$G7418&lt;&gt;"EX",0,--(COUNTIFS(nNIA,DATOS!$A7418,nCURSO,DATOS!$D7418,nESPEC,DATOS!$E7418,nASIG,DATOS!$I7418,nEVAL,"OR")=0))</f>
      </c>
      <c r="I7418">
        <f>IF(DATOS!$I7418="","",IFERROR(VLOOKUP(DATOS!$I7418,CONFIG_ASIGNATURAS!$B$2:$J$91,9,FALSE()),""))</f>
      </c>
    </row>
    <row r="7419">
      <c r="F7419">
        <f>IF(DATOS!$A7419="","",DATOS!$A7419&amp;"|"&amp;DATOS!$D7419&amp;"|"&amp;DATOS!$E7419&amp;"|"&amp;DATOS!$I7419)</f>
      </c>
      <c r="G7419">
        <f>IF(DATOS!$A7419="",0,IF(CONFIG_METADATA!$B$4&lt;&gt;"OR+EX",--(DATOS!$G7419=CONFIG_METADATA!$B$4),IF(DATOS!$G7419="EX",1,IF(DATOS!$G7419="OR",--(COUNTIFS(nNIA,DATOS!$A7419,nCURSO,DATOS!$D7419,nESPEC,DATOS!$E7419,nASIG,DATOS!$I7419,nEVAL,"EX")=0),0))))</f>
      </c>
      <c r="H7419">
        <f>IF(DATOS!$G7419&lt;&gt;"EX",0,--(COUNTIFS(nNIA,DATOS!$A7419,nCURSO,DATOS!$D7419,nESPEC,DATOS!$E7419,nASIG,DATOS!$I7419,nEVAL,"OR")=0))</f>
      </c>
      <c r="I7419">
        <f>IF(DATOS!$I7419="","",IFERROR(VLOOKUP(DATOS!$I7419,CONFIG_ASIGNATURAS!$B$2:$J$91,9,FALSE()),""))</f>
      </c>
    </row>
    <row r="7420">
      <c r="F7420">
        <f>IF(DATOS!$A7420="","",DATOS!$A7420&amp;"|"&amp;DATOS!$D7420&amp;"|"&amp;DATOS!$E7420&amp;"|"&amp;DATOS!$I7420)</f>
      </c>
      <c r="G7420">
        <f>IF(DATOS!$A7420="",0,IF(CONFIG_METADATA!$B$4&lt;&gt;"OR+EX",--(DATOS!$G7420=CONFIG_METADATA!$B$4),IF(DATOS!$G7420="EX",1,IF(DATOS!$G7420="OR",--(COUNTIFS(nNIA,DATOS!$A7420,nCURSO,DATOS!$D7420,nESPEC,DATOS!$E7420,nASIG,DATOS!$I7420,nEVAL,"EX")=0),0))))</f>
      </c>
      <c r="H7420">
        <f>IF(DATOS!$G7420&lt;&gt;"EX",0,--(COUNTIFS(nNIA,DATOS!$A7420,nCURSO,DATOS!$D7420,nESPEC,DATOS!$E7420,nASIG,DATOS!$I7420,nEVAL,"OR")=0))</f>
      </c>
      <c r="I7420">
        <f>IF(DATOS!$I7420="","",IFERROR(VLOOKUP(DATOS!$I7420,CONFIG_ASIGNATURAS!$B$2:$J$91,9,FALSE()),""))</f>
      </c>
    </row>
    <row r="7421">
      <c r="F7421">
        <f>IF(DATOS!$A7421="","",DATOS!$A7421&amp;"|"&amp;DATOS!$D7421&amp;"|"&amp;DATOS!$E7421&amp;"|"&amp;DATOS!$I7421)</f>
      </c>
      <c r="G7421">
        <f>IF(DATOS!$A7421="",0,IF(CONFIG_METADATA!$B$4&lt;&gt;"OR+EX",--(DATOS!$G7421=CONFIG_METADATA!$B$4),IF(DATOS!$G7421="EX",1,IF(DATOS!$G7421="OR",--(COUNTIFS(nNIA,DATOS!$A7421,nCURSO,DATOS!$D7421,nESPEC,DATOS!$E7421,nASIG,DATOS!$I7421,nEVAL,"EX")=0),0))))</f>
      </c>
      <c r="H7421">
        <f>IF(DATOS!$G7421&lt;&gt;"EX",0,--(COUNTIFS(nNIA,DATOS!$A7421,nCURSO,DATOS!$D7421,nESPEC,DATOS!$E7421,nASIG,DATOS!$I7421,nEVAL,"OR")=0))</f>
      </c>
      <c r="I7421">
        <f>IF(DATOS!$I7421="","",IFERROR(VLOOKUP(DATOS!$I7421,CONFIG_ASIGNATURAS!$B$2:$J$91,9,FALSE()),""))</f>
      </c>
    </row>
    <row r="7422">
      <c r="F7422">
        <f>IF(DATOS!$A7422="","",DATOS!$A7422&amp;"|"&amp;DATOS!$D7422&amp;"|"&amp;DATOS!$E7422&amp;"|"&amp;DATOS!$I7422)</f>
      </c>
      <c r="G7422">
        <f>IF(DATOS!$A7422="",0,IF(CONFIG_METADATA!$B$4&lt;&gt;"OR+EX",--(DATOS!$G7422=CONFIG_METADATA!$B$4),IF(DATOS!$G7422="EX",1,IF(DATOS!$G7422="OR",--(COUNTIFS(nNIA,DATOS!$A7422,nCURSO,DATOS!$D7422,nESPEC,DATOS!$E7422,nASIG,DATOS!$I7422,nEVAL,"EX")=0),0))))</f>
      </c>
      <c r="H7422">
        <f>IF(DATOS!$G7422&lt;&gt;"EX",0,--(COUNTIFS(nNIA,DATOS!$A7422,nCURSO,DATOS!$D7422,nESPEC,DATOS!$E7422,nASIG,DATOS!$I7422,nEVAL,"OR")=0))</f>
      </c>
      <c r="I7422">
        <f>IF(DATOS!$I7422="","",IFERROR(VLOOKUP(DATOS!$I7422,CONFIG_ASIGNATURAS!$B$2:$J$91,9,FALSE()),""))</f>
      </c>
    </row>
    <row r="7423">
      <c r="F7423">
        <f>IF(DATOS!$A7423="","",DATOS!$A7423&amp;"|"&amp;DATOS!$D7423&amp;"|"&amp;DATOS!$E7423&amp;"|"&amp;DATOS!$I7423)</f>
      </c>
      <c r="G7423">
        <f>IF(DATOS!$A7423="",0,IF(CONFIG_METADATA!$B$4&lt;&gt;"OR+EX",--(DATOS!$G7423=CONFIG_METADATA!$B$4),IF(DATOS!$G7423="EX",1,IF(DATOS!$G7423="OR",--(COUNTIFS(nNIA,DATOS!$A7423,nCURSO,DATOS!$D7423,nESPEC,DATOS!$E7423,nASIG,DATOS!$I7423,nEVAL,"EX")=0),0))))</f>
      </c>
      <c r="H7423">
        <f>IF(DATOS!$G7423&lt;&gt;"EX",0,--(COUNTIFS(nNIA,DATOS!$A7423,nCURSO,DATOS!$D7423,nESPEC,DATOS!$E7423,nASIG,DATOS!$I7423,nEVAL,"OR")=0))</f>
      </c>
      <c r="I7423">
        <f>IF(DATOS!$I7423="","",IFERROR(VLOOKUP(DATOS!$I7423,CONFIG_ASIGNATURAS!$B$2:$J$91,9,FALSE()),""))</f>
      </c>
    </row>
    <row r="7424">
      <c r="F7424">
        <f>IF(DATOS!$A7424="","",DATOS!$A7424&amp;"|"&amp;DATOS!$D7424&amp;"|"&amp;DATOS!$E7424&amp;"|"&amp;DATOS!$I7424)</f>
      </c>
      <c r="G7424">
        <f>IF(DATOS!$A7424="",0,IF(CONFIG_METADATA!$B$4&lt;&gt;"OR+EX",--(DATOS!$G7424=CONFIG_METADATA!$B$4),IF(DATOS!$G7424="EX",1,IF(DATOS!$G7424="OR",--(COUNTIFS(nNIA,DATOS!$A7424,nCURSO,DATOS!$D7424,nESPEC,DATOS!$E7424,nASIG,DATOS!$I7424,nEVAL,"EX")=0),0))))</f>
      </c>
      <c r="H7424">
        <f>IF(DATOS!$G7424&lt;&gt;"EX",0,--(COUNTIFS(nNIA,DATOS!$A7424,nCURSO,DATOS!$D7424,nESPEC,DATOS!$E7424,nASIG,DATOS!$I7424,nEVAL,"OR")=0))</f>
      </c>
      <c r="I7424">
        <f>IF(DATOS!$I7424="","",IFERROR(VLOOKUP(DATOS!$I7424,CONFIG_ASIGNATURAS!$B$2:$J$91,9,FALSE()),""))</f>
      </c>
    </row>
    <row r="7425">
      <c r="F7425">
        <f>IF(DATOS!$A7425="","",DATOS!$A7425&amp;"|"&amp;DATOS!$D7425&amp;"|"&amp;DATOS!$E7425&amp;"|"&amp;DATOS!$I7425)</f>
      </c>
      <c r="G7425">
        <f>IF(DATOS!$A7425="",0,IF(CONFIG_METADATA!$B$4&lt;&gt;"OR+EX",--(DATOS!$G7425=CONFIG_METADATA!$B$4),IF(DATOS!$G7425="EX",1,IF(DATOS!$G7425="OR",--(COUNTIFS(nNIA,DATOS!$A7425,nCURSO,DATOS!$D7425,nESPEC,DATOS!$E7425,nASIG,DATOS!$I7425,nEVAL,"EX")=0),0))))</f>
      </c>
      <c r="H7425">
        <f>IF(DATOS!$G7425&lt;&gt;"EX",0,--(COUNTIFS(nNIA,DATOS!$A7425,nCURSO,DATOS!$D7425,nESPEC,DATOS!$E7425,nASIG,DATOS!$I7425,nEVAL,"OR")=0))</f>
      </c>
      <c r="I7425">
        <f>IF(DATOS!$I7425="","",IFERROR(VLOOKUP(DATOS!$I7425,CONFIG_ASIGNATURAS!$B$2:$J$91,9,FALSE()),""))</f>
      </c>
    </row>
    <row r="7426">
      <c r="F7426">
        <f>IF(DATOS!$A7426="","",DATOS!$A7426&amp;"|"&amp;DATOS!$D7426&amp;"|"&amp;DATOS!$E7426&amp;"|"&amp;DATOS!$I7426)</f>
      </c>
      <c r="G7426">
        <f>IF(DATOS!$A7426="",0,IF(CONFIG_METADATA!$B$4&lt;&gt;"OR+EX",--(DATOS!$G7426=CONFIG_METADATA!$B$4),IF(DATOS!$G7426="EX",1,IF(DATOS!$G7426="OR",--(COUNTIFS(nNIA,DATOS!$A7426,nCURSO,DATOS!$D7426,nESPEC,DATOS!$E7426,nASIG,DATOS!$I7426,nEVAL,"EX")=0),0))))</f>
      </c>
      <c r="H7426">
        <f>IF(DATOS!$G7426&lt;&gt;"EX",0,--(COUNTIFS(nNIA,DATOS!$A7426,nCURSO,DATOS!$D7426,nESPEC,DATOS!$E7426,nASIG,DATOS!$I7426,nEVAL,"OR")=0))</f>
      </c>
      <c r="I7426">
        <f>IF(DATOS!$I7426="","",IFERROR(VLOOKUP(DATOS!$I7426,CONFIG_ASIGNATURAS!$B$2:$J$91,9,FALSE()),""))</f>
      </c>
    </row>
    <row r="7427">
      <c r="F7427">
        <f>IF(DATOS!$A7427="","",DATOS!$A7427&amp;"|"&amp;DATOS!$D7427&amp;"|"&amp;DATOS!$E7427&amp;"|"&amp;DATOS!$I7427)</f>
      </c>
      <c r="G7427">
        <f>IF(DATOS!$A7427="",0,IF(CONFIG_METADATA!$B$4&lt;&gt;"OR+EX",--(DATOS!$G7427=CONFIG_METADATA!$B$4),IF(DATOS!$G7427="EX",1,IF(DATOS!$G7427="OR",--(COUNTIFS(nNIA,DATOS!$A7427,nCURSO,DATOS!$D7427,nESPEC,DATOS!$E7427,nASIG,DATOS!$I7427,nEVAL,"EX")=0),0))))</f>
      </c>
      <c r="H7427">
        <f>IF(DATOS!$G7427&lt;&gt;"EX",0,--(COUNTIFS(nNIA,DATOS!$A7427,nCURSO,DATOS!$D7427,nESPEC,DATOS!$E7427,nASIG,DATOS!$I7427,nEVAL,"OR")=0))</f>
      </c>
      <c r="I7427">
        <f>IF(DATOS!$I7427="","",IFERROR(VLOOKUP(DATOS!$I7427,CONFIG_ASIGNATURAS!$B$2:$J$91,9,FALSE()),""))</f>
      </c>
    </row>
    <row r="7428">
      <c r="F7428">
        <f>IF(DATOS!$A7428="","",DATOS!$A7428&amp;"|"&amp;DATOS!$D7428&amp;"|"&amp;DATOS!$E7428&amp;"|"&amp;DATOS!$I7428)</f>
      </c>
      <c r="G7428">
        <f>IF(DATOS!$A7428="",0,IF(CONFIG_METADATA!$B$4&lt;&gt;"OR+EX",--(DATOS!$G7428=CONFIG_METADATA!$B$4),IF(DATOS!$G7428="EX",1,IF(DATOS!$G7428="OR",--(COUNTIFS(nNIA,DATOS!$A7428,nCURSO,DATOS!$D7428,nESPEC,DATOS!$E7428,nASIG,DATOS!$I7428,nEVAL,"EX")=0),0))))</f>
      </c>
      <c r="H7428">
        <f>IF(DATOS!$G7428&lt;&gt;"EX",0,--(COUNTIFS(nNIA,DATOS!$A7428,nCURSO,DATOS!$D7428,nESPEC,DATOS!$E7428,nASIG,DATOS!$I7428,nEVAL,"OR")=0))</f>
      </c>
      <c r="I7428">
        <f>IF(DATOS!$I7428="","",IFERROR(VLOOKUP(DATOS!$I7428,CONFIG_ASIGNATURAS!$B$2:$J$91,9,FALSE()),""))</f>
      </c>
    </row>
    <row r="7429">
      <c r="F7429">
        <f>IF(DATOS!$A7429="","",DATOS!$A7429&amp;"|"&amp;DATOS!$D7429&amp;"|"&amp;DATOS!$E7429&amp;"|"&amp;DATOS!$I7429)</f>
      </c>
      <c r="G7429">
        <f>IF(DATOS!$A7429="",0,IF(CONFIG_METADATA!$B$4&lt;&gt;"OR+EX",--(DATOS!$G7429=CONFIG_METADATA!$B$4),IF(DATOS!$G7429="EX",1,IF(DATOS!$G7429="OR",--(COUNTIFS(nNIA,DATOS!$A7429,nCURSO,DATOS!$D7429,nESPEC,DATOS!$E7429,nASIG,DATOS!$I7429,nEVAL,"EX")=0),0))))</f>
      </c>
      <c r="H7429">
        <f>IF(DATOS!$G7429&lt;&gt;"EX",0,--(COUNTIFS(nNIA,DATOS!$A7429,nCURSO,DATOS!$D7429,nESPEC,DATOS!$E7429,nASIG,DATOS!$I7429,nEVAL,"OR")=0))</f>
      </c>
      <c r="I7429">
        <f>IF(DATOS!$I7429="","",IFERROR(VLOOKUP(DATOS!$I7429,CONFIG_ASIGNATURAS!$B$2:$J$91,9,FALSE()),""))</f>
      </c>
    </row>
    <row r="7430">
      <c r="F7430">
        <f>IF(DATOS!$A7430="","",DATOS!$A7430&amp;"|"&amp;DATOS!$D7430&amp;"|"&amp;DATOS!$E7430&amp;"|"&amp;DATOS!$I7430)</f>
      </c>
      <c r="G7430">
        <f>IF(DATOS!$A7430="",0,IF(CONFIG_METADATA!$B$4&lt;&gt;"OR+EX",--(DATOS!$G7430=CONFIG_METADATA!$B$4),IF(DATOS!$G7430="EX",1,IF(DATOS!$G7430="OR",--(COUNTIFS(nNIA,DATOS!$A7430,nCURSO,DATOS!$D7430,nESPEC,DATOS!$E7430,nASIG,DATOS!$I7430,nEVAL,"EX")=0),0))))</f>
      </c>
      <c r="H7430">
        <f>IF(DATOS!$G7430&lt;&gt;"EX",0,--(COUNTIFS(nNIA,DATOS!$A7430,nCURSO,DATOS!$D7430,nESPEC,DATOS!$E7430,nASIG,DATOS!$I7430,nEVAL,"OR")=0))</f>
      </c>
      <c r="I7430">
        <f>IF(DATOS!$I7430="","",IFERROR(VLOOKUP(DATOS!$I7430,CONFIG_ASIGNATURAS!$B$2:$J$91,9,FALSE()),""))</f>
      </c>
    </row>
    <row r="7431">
      <c r="F7431">
        <f>IF(DATOS!$A7431="","",DATOS!$A7431&amp;"|"&amp;DATOS!$D7431&amp;"|"&amp;DATOS!$E7431&amp;"|"&amp;DATOS!$I7431)</f>
      </c>
      <c r="G7431">
        <f>IF(DATOS!$A7431="",0,IF(CONFIG_METADATA!$B$4&lt;&gt;"OR+EX",--(DATOS!$G7431=CONFIG_METADATA!$B$4),IF(DATOS!$G7431="EX",1,IF(DATOS!$G7431="OR",--(COUNTIFS(nNIA,DATOS!$A7431,nCURSO,DATOS!$D7431,nESPEC,DATOS!$E7431,nASIG,DATOS!$I7431,nEVAL,"EX")=0),0))))</f>
      </c>
      <c r="H7431">
        <f>IF(DATOS!$G7431&lt;&gt;"EX",0,--(COUNTIFS(nNIA,DATOS!$A7431,nCURSO,DATOS!$D7431,nESPEC,DATOS!$E7431,nASIG,DATOS!$I7431,nEVAL,"OR")=0))</f>
      </c>
      <c r="I7431">
        <f>IF(DATOS!$I7431="","",IFERROR(VLOOKUP(DATOS!$I7431,CONFIG_ASIGNATURAS!$B$2:$J$91,9,FALSE()),""))</f>
      </c>
    </row>
    <row r="7432">
      <c r="F7432">
        <f>IF(DATOS!$A7432="","",DATOS!$A7432&amp;"|"&amp;DATOS!$D7432&amp;"|"&amp;DATOS!$E7432&amp;"|"&amp;DATOS!$I7432)</f>
      </c>
      <c r="G7432">
        <f>IF(DATOS!$A7432="",0,IF(CONFIG_METADATA!$B$4&lt;&gt;"OR+EX",--(DATOS!$G7432=CONFIG_METADATA!$B$4),IF(DATOS!$G7432="EX",1,IF(DATOS!$G7432="OR",--(COUNTIFS(nNIA,DATOS!$A7432,nCURSO,DATOS!$D7432,nESPEC,DATOS!$E7432,nASIG,DATOS!$I7432,nEVAL,"EX")=0),0))))</f>
      </c>
      <c r="H7432">
        <f>IF(DATOS!$G7432&lt;&gt;"EX",0,--(COUNTIFS(nNIA,DATOS!$A7432,nCURSO,DATOS!$D7432,nESPEC,DATOS!$E7432,nASIG,DATOS!$I7432,nEVAL,"OR")=0))</f>
      </c>
      <c r="I7432">
        <f>IF(DATOS!$I7432="","",IFERROR(VLOOKUP(DATOS!$I7432,CONFIG_ASIGNATURAS!$B$2:$J$91,9,FALSE()),""))</f>
      </c>
    </row>
    <row r="7433">
      <c r="F7433">
        <f>IF(DATOS!$A7433="","",DATOS!$A7433&amp;"|"&amp;DATOS!$D7433&amp;"|"&amp;DATOS!$E7433&amp;"|"&amp;DATOS!$I7433)</f>
      </c>
      <c r="G7433">
        <f>IF(DATOS!$A7433="",0,IF(CONFIG_METADATA!$B$4&lt;&gt;"OR+EX",--(DATOS!$G7433=CONFIG_METADATA!$B$4),IF(DATOS!$G7433="EX",1,IF(DATOS!$G7433="OR",--(COUNTIFS(nNIA,DATOS!$A7433,nCURSO,DATOS!$D7433,nESPEC,DATOS!$E7433,nASIG,DATOS!$I7433,nEVAL,"EX")=0),0))))</f>
      </c>
      <c r="H7433">
        <f>IF(DATOS!$G7433&lt;&gt;"EX",0,--(COUNTIFS(nNIA,DATOS!$A7433,nCURSO,DATOS!$D7433,nESPEC,DATOS!$E7433,nASIG,DATOS!$I7433,nEVAL,"OR")=0))</f>
      </c>
      <c r="I7433">
        <f>IF(DATOS!$I7433="","",IFERROR(VLOOKUP(DATOS!$I7433,CONFIG_ASIGNATURAS!$B$2:$J$91,9,FALSE()),""))</f>
      </c>
    </row>
    <row r="7434">
      <c r="F7434">
        <f>IF(DATOS!$A7434="","",DATOS!$A7434&amp;"|"&amp;DATOS!$D7434&amp;"|"&amp;DATOS!$E7434&amp;"|"&amp;DATOS!$I7434)</f>
      </c>
      <c r="G7434">
        <f>IF(DATOS!$A7434="",0,IF(CONFIG_METADATA!$B$4&lt;&gt;"OR+EX",--(DATOS!$G7434=CONFIG_METADATA!$B$4),IF(DATOS!$G7434="EX",1,IF(DATOS!$G7434="OR",--(COUNTIFS(nNIA,DATOS!$A7434,nCURSO,DATOS!$D7434,nESPEC,DATOS!$E7434,nASIG,DATOS!$I7434,nEVAL,"EX")=0),0))))</f>
      </c>
      <c r="H7434">
        <f>IF(DATOS!$G7434&lt;&gt;"EX",0,--(COUNTIFS(nNIA,DATOS!$A7434,nCURSO,DATOS!$D7434,nESPEC,DATOS!$E7434,nASIG,DATOS!$I7434,nEVAL,"OR")=0))</f>
      </c>
      <c r="I7434">
        <f>IF(DATOS!$I7434="","",IFERROR(VLOOKUP(DATOS!$I7434,CONFIG_ASIGNATURAS!$B$2:$J$91,9,FALSE()),""))</f>
      </c>
    </row>
    <row r="7435">
      <c r="F7435">
        <f>IF(DATOS!$A7435="","",DATOS!$A7435&amp;"|"&amp;DATOS!$D7435&amp;"|"&amp;DATOS!$E7435&amp;"|"&amp;DATOS!$I7435)</f>
      </c>
      <c r="G7435">
        <f>IF(DATOS!$A7435="",0,IF(CONFIG_METADATA!$B$4&lt;&gt;"OR+EX",--(DATOS!$G7435=CONFIG_METADATA!$B$4),IF(DATOS!$G7435="EX",1,IF(DATOS!$G7435="OR",--(COUNTIFS(nNIA,DATOS!$A7435,nCURSO,DATOS!$D7435,nESPEC,DATOS!$E7435,nASIG,DATOS!$I7435,nEVAL,"EX")=0),0))))</f>
      </c>
      <c r="H7435">
        <f>IF(DATOS!$G7435&lt;&gt;"EX",0,--(COUNTIFS(nNIA,DATOS!$A7435,nCURSO,DATOS!$D7435,nESPEC,DATOS!$E7435,nASIG,DATOS!$I7435,nEVAL,"OR")=0))</f>
      </c>
      <c r="I7435">
        <f>IF(DATOS!$I7435="","",IFERROR(VLOOKUP(DATOS!$I7435,CONFIG_ASIGNATURAS!$B$2:$J$91,9,FALSE()),""))</f>
      </c>
    </row>
    <row r="7436">
      <c r="F7436">
        <f>IF(DATOS!$A7436="","",DATOS!$A7436&amp;"|"&amp;DATOS!$D7436&amp;"|"&amp;DATOS!$E7436&amp;"|"&amp;DATOS!$I7436)</f>
      </c>
      <c r="G7436">
        <f>IF(DATOS!$A7436="",0,IF(CONFIG_METADATA!$B$4&lt;&gt;"OR+EX",--(DATOS!$G7436=CONFIG_METADATA!$B$4),IF(DATOS!$G7436="EX",1,IF(DATOS!$G7436="OR",--(COUNTIFS(nNIA,DATOS!$A7436,nCURSO,DATOS!$D7436,nESPEC,DATOS!$E7436,nASIG,DATOS!$I7436,nEVAL,"EX")=0),0))))</f>
      </c>
      <c r="H7436">
        <f>IF(DATOS!$G7436&lt;&gt;"EX",0,--(COUNTIFS(nNIA,DATOS!$A7436,nCURSO,DATOS!$D7436,nESPEC,DATOS!$E7436,nASIG,DATOS!$I7436,nEVAL,"OR")=0))</f>
      </c>
      <c r="I7436">
        <f>IF(DATOS!$I7436="","",IFERROR(VLOOKUP(DATOS!$I7436,CONFIG_ASIGNATURAS!$B$2:$J$91,9,FALSE()),""))</f>
      </c>
    </row>
    <row r="7437">
      <c r="F7437">
        <f>IF(DATOS!$A7437="","",DATOS!$A7437&amp;"|"&amp;DATOS!$D7437&amp;"|"&amp;DATOS!$E7437&amp;"|"&amp;DATOS!$I7437)</f>
      </c>
      <c r="G7437">
        <f>IF(DATOS!$A7437="",0,IF(CONFIG_METADATA!$B$4&lt;&gt;"OR+EX",--(DATOS!$G7437=CONFIG_METADATA!$B$4),IF(DATOS!$G7437="EX",1,IF(DATOS!$G7437="OR",--(COUNTIFS(nNIA,DATOS!$A7437,nCURSO,DATOS!$D7437,nESPEC,DATOS!$E7437,nASIG,DATOS!$I7437,nEVAL,"EX")=0),0))))</f>
      </c>
      <c r="H7437">
        <f>IF(DATOS!$G7437&lt;&gt;"EX",0,--(COUNTIFS(nNIA,DATOS!$A7437,nCURSO,DATOS!$D7437,nESPEC,DATOS!$E7437,nASIG,DATOS!$I7437,nEVAL,"OR")=0))</f>
      </c>
      <c r="I7437">
        <f>IF(DATOS!$I7437="","",IFERROR(VLOOKUP(DATOS!$I7437,CONFIG_ASIGNATURAS!$B$2:$J$91,9,FALSE()),""))</f>
      </c>
    </row>
    <row r="7438">
      <c r="F7438">
        <f>IF(DATOS!$A7438="","",DATOS!$A7438&amp;"|"&amp;DATOS!$D7438&amp;"|"&amp;DATOS!$E7438&amp;"|"&amp;DATOS!$I7438)</f>
      </c>
      <c r="G7438">
        <f>IF(DATOS!$A7438="",0,IF(CONFIG_METADATA!$B$4&lt;&gt;"OR+EX",--(DATOS!$G7438=CONFIG_METADATA!$B$4),IF(DATOS!$G7438="EX",1,IF(DATOS!$G7438="OR",--(COUNTIFS(nNIA,DATOS!$A7438,nCURSO,DATOS!$D7438,nESPEC,DATOS!$E7438,nASIG,DATOS!$I7438,nEVAL,"EX")=0),0))))</f>
      </c>
      <c r="H7438">
        <f>IF(DATOS!$G7438&lt;&gt;"EX",0,--(COUNTIFS(nNIA,DATOS!$A7438,nCURSO,DATOS!$D7438,nESPEC,DATOS!$E7438,nASIG,DATOS!$I7438,nEVAL,"OR")=0))</f>
      </c>
      <c r="I7438">
        <f>IF(DATOS!$I7438="","",IFERROR(VLOOKUP(DATOS!$I7438,CONFIG_ASIGNATURAS!$B$2:$J$91,9,FALSE()),""))</f>
      </c>
    </row>
    <row r="7439">
      <c r="F7439">
        <f>IF(DATOS!$A7439="","",DATOS!$A7439&amp;"|"&amp;DATOS!$D7439&amp;"|"&amp;DATOS!$E7439&amp;"|"&amp;DATOS!$I7439)</f>
      </c>
      <c r="G7439">
        <f>IF(DATOS!$A7439="",0,IF(CONFIG_METADATA!$B$4&lt;&gt;"OR+EX",--(DATOS!$G7439=CONFIG_METADATA!$B$4),IF(DATOS!$G7439="EX",1,IF(DATOS!$G7439="OR",--(COUNTIFS(nNIA,DATOS!$A7439,nCURSO,DATOS!$D7439,nESPEC,DATOS!$E7439,nASIG,DATOS!$I7439,nEVAL,"EX")=0),0))))</f>
      </c>
      <c r="H7439">
        <f>IF(DATOS!$G7439&lt;&gt;"EX",0,--(COUNTIFS(nNIA,DATOS!$A7439,nCURSO,DATOS!$D7439,nESPEC,DATOS!$E7439,nASIG,DATOS!$I7439,nEVAL,"OR")=0))</f>
      </c>
      <c r="I7439">
        <f>IF(DATOS!$I7439="","",IFERROR(VLOOKUP(DATOS!$I7439,CONFIG_ASIGNATURAS!$B$2:$J$91,9,FALSE()),""))</f>
      </c>
    </row>
    <row r="7440">
      <c r="F7440">
        <f>IF(DATOS!$A7440="","",DATOS!$A7440&amp;"|"&amp;DATOS!$D7440&amp;"|"&amp;DATOS!$E7440&amp;"|"&amp;DATOS!$I7440)</f>
      </c>
      <c r="G7440">
        <f>IF(DATOS!$A7440="",0,IF(CONFIG_METADATA!$B$4&lt;&gt;"OR+EX",--(DATOS!$G7440=CONFIG_METADATA!$B$4),IF(DATOS!$G7440="EX",1,IF(DATOS!$G7440="OR",--(COUNTIFS(nNIA,DATOS!$A7440,nCURSO,DATOS!$D7440,nESPEC,DATOS!$E7440,nASIG,DATOS!$I7440,nEVAL,"EX")=0),0))))</f>
      </c>
      <c r="H7440">
        <f>IF(DATOS!$G7440&lt;&gt;"EX",0,--(COUNTIFS(nNIA,DATOS!$A7440,nCURSO,DATOS!$D7440,nESPEC,DATOS!$E7440,nASIG,DATOS!$I7440,nEVAL,"OR")=0))</f>
      </c>
      <c r="I7440">
        <f>IF(DATOS!$I7440="","",IFERROR(VLOOKUP(DATOS!$I7440,CONFIG_ASIGNATURAS!$B$2:$J$91,9,FALSE()),""))</f>
      </c>
    </row>
    <row r="7441">
      <c r="F7441">
        <f>IF(DATOS!$A7441="","",DATOS!$A7441&amp;"|"&amp;DATOS!$D7441&amp;"|"&amp;DATOS!$E7441&amp;"|"&amp;DATOS!$I7441)</f>
      </c>
      <c r="G7441">
        <f>IF(DATOS!$A7441="",0,IF(CONFIG_METADATA!$B$4&lt;&gt;"OR+EX",--(DATOS!$G7441=CONFIG_METADATA!$B$4),IF(DATOS!$G7441="EX",1,IF(DATOS!$G7441="OR",--(COUNTIFS(nNIA,DATOS!$A7441,nCURSO,DATOS!$D7441,nESPEC,DATOS!$E7441,nASIG,DATOS!$I7441,nEVAL,"EX")=0),0))))</f>
      </c>
      <c r="H7441">
        <f>IF(DATOS!$G7441&lt;&gt;"EX",0,--(COUNTIFS(nNIA,DATOS!$A7441,nCURSO,DATOS!$D7441,nESPEC,DATOS!$E7441,nASIG,DATOS!$I7441,nEVAL,"OR")=0))</f>
      </c>
      <c r="I7441">
        <f>IF(DATOS!$I7441="","",IFERROR(VLOOKUP(DATOS!$I7441,CONFIG_ASIGNATURAS!$B$2:$J$91,9,FALSE()),""))</f>
      </c>
    </row>
    <row r="7442">
      <c r="F7442">
        <f>IF(DATOS!$A7442="","",DATOS!$A7442&amp;"|"&amp;DATOS!$D7442&amp;"|"&amp;DATOS!$E7442&amp;"|"&amp;DATOS!$I7442)</f>
      </c>
      <c r="G7442">
        <f>IF(DATOS!$A7442="",0,IF(CONFIG_METADATA!$B$4&lt;&gt;"OR+EX",--(DATOS!$G7442=CONFIG_METADATA!$B$4),IF(DATOS!$G7442="EX",1,IF(DATOS!$G7442="OR",--(COUNTIFS(nNIA,DATOS!$A7442,nCURSO,DATOS!$D7442,nESPEC,DATOS!$E7442,nASIG,DATOS!$I7442,nEVAL,"EX")=0),0))))</f>
      </c>
      <c r="H7442">
        <f>IF(DATOS!$G7442&lt;&gt;"EX",0,--(COUNTIFS(nNIA,DATOS!$A7442,nCURSO,DATOS!$D7442,nESPEC,DATOS!$E7442,nASIG,DATOS!$I7442,nEVAL,"OR")=0))</f>
      </c>
      <c r="I7442">
        <f>IF(DATOS!$I7442="","",IFERROR(VLOOKUP(DATOS!$I7442,CONFIG_ASIGNATURAS!$B$2:$J$91,9,FALSE()),""))</f>
      </c>
    </row>
    <row r="7443">
      <c r="F7443">
        <f>IF(DATOS!$A7443="","",DATOS!$A7443&amp;"|"&amp;DATOS!$D7443&amp;"|"&amp;DATOS!$E7443&amp;"|"&amp;DATOS!$I7443)</f>
      </c>
      <c r="G7443">
        <f>IF(DATOS!$A7443="",0,IF(CONFIG_METADATA!$B$4&lt;&gt;"OR+EX",--(DATOS!$G7443=CONFIG_METADATA!$B$4),IF(DATOS!$G7443="EX",1,IF(DATOS!$G7443="OR",--(COUNTIFS(nNIA,DATOS!$A7443,nCURSO,DATOS!$D7443,nESPEC,DATOS!$E7443,nASIG,DATOS!$I7443,nEVAL,"EX")=0),0))))</f>
      </c>
      <c r="H7443">
        <f>IF(DATOS!$G7443&lt;&gt;"EX",0,--(COUNTIFS(nNIA,DATOS!$A7443,nCURSO,DATOS!$D7443,nESPEC,DATOS!$E7443,nASIG,DATOS!$I7443,nEVAL,"OR")=0))</f>
      </c>
      <c r="I7443">
        <f>IF(DATOS!$I7443="","",IFERROR(VLOOKUP(DATOS!$I7443,CONFIG_ASIGNATURAS!$B$2:$J$91,9,FALSE()),""))</f>
      </c>
    </row>
    <row r="7444">
      <c r="F7444">
        <f>IF(DATOS!$A7444="","",DATOS!$A7444&amp;"|"&amp;DATOS!$D7444&amp;"|"&amp;DATOS!$E7444&amp;"|"&amp;DATOS!$I7444)</f>
      </c>
      <c r="G7444">
        <f>IF(DATOS!$A7444="",0,IF(CONFIG_METADATA!$B$4&lt;&gt;"OR+EX",--(DATOS!$G7444=CONFIG_METADATA!$B$4),IF(DATOS!$G7444="EX",1,IF(DATOS!$G7444="OR",--(COUNTIFS(nNIA,DATOS!$A7444,nCURSO,DATOS!$D7444,nESPEC,DATOS!$E7444,nASIG,DATOS!$I7444,nEVAL,"EX")=0),0))))</f>
      </c>
      <c r="H7444">
        <f>IF(DATOS!$G7444&lt;&gt;"EX",0,--(COUNTIFS(nNIA,DATOS!$A7444,nCURSO,DATOS!$D7444,nESPEC,DATOS!$E7444,nASIG,DATOS!$I7444,nEVAL,"OR")=0))</f>
      </c>
      <c r="I7444">
        <f>IF(DATOS!$I7444="","",IFERROR(VLOOKUP(DATOS!$I7444,CONFIG_ASIGNATURAS!$B$2:$J$91,9,FALSE()),""))</f>
      </c>
    </row>
    <row r="7445">
      <c r="F7445">
        <f>IF(DATOS!$A7445="","",DATOS!$A7445&amp;"|"&amp;DATOS!$D7445&amp;"|"&amp;DATOS!$E7445&amp;"|"&amp;DATOS!$I7445)</f>
      </c>
      <c r="G7445">
        <f>IF(DATOS!$A7445="",0,IF(CONFIG_METADATA!$B$4&lt;&gt;"OR+EX",--(DATOS!$G7445=CONFIG_METADATA!$B$4),IF(DATOS!$G7445="EX",1,IF(DATOS!$G7445="OR",--(COUNTIFS(nNIA,DATOS!$A7445,nCURSO,DATOS!$D7445,nESPEC,DATOS!$E7445,nASIG,DATOS!$I7445,nEVAL,"EX")=0),0))))</f>
      </c>
      <c r="H7445">
        <f>IF(DATOS!$G7445&lt;&gt;"EX",0,--(COUNTIFS(nNIA,DATOS!$A7445,nCURSO,DATOS!$D7445,nESPEC,DATOS!$E7445,nASIG,DATOS!$I7445,nEVAL,"OR")=0))</f>
      </c>
      <c r="I7445">
        <f>IF(DATOS!$I7445="","",IFERROR(VLOOKUP(DATOS!$I7445,CONFIG_ASIGNATURAS!$B$2:$J$91,9,FALSE()),""))</f>
      </c>
    </row>
    <row r="7446">
      <c r="F7446">
        <f>IF(DATOS!$A7446="","",DATOS!$A7446&amp;"|"&amp;DATOS!$D7446&amp;"|"&amp;DATOS!$E7446&amp;"|"&amp;DATOS!$I7446)</f>
      </c>
      <c r="G7446">
        <f>IF(DATOS!$A7446="",0,IF(CONFIG_METADATA!$B$4&lt;&gt;"OR+EX",--(DATOS!$G7446=CONFIG_METADATA!$B$4),IF(DATOS!$G7446="EX",1,IF(DATOS!$G7446="OR",--(COUNTIFS(nNIA,DATOS!$A7446,nCURSO,DATOS!$D7446,nESPEC,DATOS!$E7446,nASIG,DATOS!$I7446,nEVAL,"EX")=0),0))))</f>
      </c>
      <c r="H7446">
        <f>IF(DATOS!$G7446&lt;&gt;"EX",0,--(COUNTIFS(nNIA,DATOS!$A7446,nCURSO,DATOS!$D7446,nESPEC,DATOS!$E7446,nASIG,DATOS!$I7446,nEVAL,"OR")=0))</f>
      </c>
      <c r="I7446">
        <f>IF(DATOS!$I7446="","",IFERROR(VLOOKUP(DATOS!$I7446,CONFIG_ASIGNATURAS!$B$2:$J$91,9,FALSE()),""))</f>
      </c>
    </row>
    <row r="7447">
      <c r="F7447">
        <f>IF(DATOS!$A7447="","",DATOS!$A7447&amp;"|"&amp;DATOS!$D7447&amp;"|"&amp;DATOS!$E7447&amp;"|"&amp;DATOS!$I7447)</f>
      </c>
      <c r="G7447">
        <f>IF(DATOS!$A7447="",0,IF(CONFIG_METADATA!$B$4&lt;&gt;"OR+EX",--(DATOS!$G7447=CONFIG_METADATA!$B$4),IF(DATOS!$G7447="EX",1,IF(DATOS!$G7447="OR",--(COUNTIFS(nNIA,DATOS!$A7447,nCURSO,DATOS!$D7447,nESPEC,DATOS!$E7447,nASIG,DATOS!$I7447,nEVAL,"EX")=0),0))))</f>
      </c>
      <c r="H7447">
        <f>IF(DATOS!$G7447&lt;&gt;"EX",0,--(COUNTIFS(nNIA,DATOS!$A7447,nCURSO,DATOS!$D7447,nESPEC,DATOS!$E7447,nASIG,DATOS!$I7447,nEVAL,"OR")=0))</f>
      </c>
      <c r="I7447">
        <f>IF(DATOS!$I7447="","",IFERROR(VLOOKUP(DATOS!$I7447,CONFIG_ASIGNATURAS!$B$2:$J$91,9,FALSE()),""))</f>
      </c>
    </row>
    <row r="7448">
      <c r="F7448">
        <f>IF(DATOS!$A7448="","",DATOS!$A7448&amp;"|"&amp;DATOS!$D7448&amp;"|"&amp;DATOS!$E7448&amp;"|"&amp;DATOS!$I7448)</f>
      </c>
      <c r="G7448">
        <f>IF(DATOS!$A7448="",0,IF(CONFIG_METADATA!$B$4&lt;&gt;"OR+EX",--(DATOS!$G7448=CONFIG_METADATA!$B$4),IF(DATOS!$G7448="EX",1,IF(DATOS!$G7448="OR",--(COUNTIFS(nNIA,DATOS!$A7448,nCURSO,DATOS!$D7448,nESPEC,DATOS!$E7448,nASIG,DATOS!$I7448,nEVAL,"EX")=0),0))))</f>
      </c>
      <c r="H7448">
        <f>IF(DATOS!$G7448&lt;&gt;"EX",0,--(COUNTIFS(nNIA,DATOS!$A7448,nCURSO,DATOS!$D7448,nESPEC,DATOS!$E7448,nASIG,DATOS!$I7448,nEVAL,"OR")=0))</f>
      </c>
      <c r="I7448">
        <f>IF(DATOS!$I7448="","",IFERROR(VLOOKUP(DATOS!$I7448,CONFIG_ASIGNATURAS!$B$2:$J$91,9,FALSE()),""))</f>
      </c>
    </row>
    <row r="7449">
      <c r="F7449">
        <f>IF(DATOS!$A7449="","",DATOS!$A7449&amp;"|"&amp;DATOS!$D7449&amp;"|"&amp;DATOS!$E7449&amp;"|"&amp;DATOS!$I7449)</f>
      </c>
      <c r="G7449">
        <f>IF(DATOS!$A7449="",0,IF(CONFIG_METADATA!$B$4&lt;&gt;"OR+EX",--(DATOS!$G7449=CONFIG_METADATA!$B$4),IF(DATOS!$G7449="EX",1,IF(DATOS!$G7449="OR",--(COUNTIFS(nNIA,DATOS!$A7449,nCURSO,DATOS!$D7449,nESPEC,DATOS!$E7449,nASIG,DATOS!$I7449,nEVAL,"EX")=0),0))))</f>
      </c>
      <c r="H7449">
        <f>IF(DATOS!$G7449&lt;&gt;"EX",0,--(COUNTIFS(nNIA,DATOS!$A7449,nCURSO,DATOS!$D7449,nESPEC,DATOS!$E7449,nASIG,DATOS!$I7449,nEVAL,"OR")=0))</f>
      </c>
      <c r="I7449">
        <f>IF(DATOS!$I7449="","",IFERROR(VLOOKUP(DATOS!$I7449,CONFIG_ASIGNATURAS!$B$2:$J$91,9,FALSE()),""))</f>
      </c>
    </row>
    <row r="7450">
      <c r="F7450">
        <f>IF(DATOS!$A7450="","",DATOS!$A7450&amp;"|"&amp;DATOS!$D7450&amp;"|"&amp;DATOS!$E7450&amp;"|"&amp;DATOS!$I7450)</f>
      </c>
      <c r="G7450">
        <f>IF(DATOS!$A7450="",0,IF(CONFIG_METADATA!$B$4&lt;&gt;"OR+EX",--(DATOS!$G7450=CONFIG_METADATA!$B$4),IF(DATOS!$G7450="EX",1,IF(DATOS!$G7450="OR",--(COUNTIFS(nNIA,DATOS!$A7450,nCURSO,DATOS!$D7450,nESPEC,DATOS!$E7450,nASIG,DATOS!$I7450,nEVAL,"EX")=0),0))))</f>
      </c>
      <c r="H7450">
        <f>IF(DATOS!$G7450&lt;&gt;"EX",0,--(COUNTIFS(nNIA,DATOS!$A7450,nCURSO,DATOS!$D7450,nESPEC,DATOS!$E7450,nASIG,DATOS!$I7450,nEVAL,"OR")=0))</f>
      </c>
      <c r="I7450">
        <f>IF(DATOS!$I7450="","",IFERROR(VLOOKUP(DATOS!$I7450,CONFIG_ASIGNATURAS!$B$2:$J$91,9,FALSE()),""))</f>
      </c>
    </row>
    <row r="7451">
      <c r="F7451">
        <f>IF(DATOS!$A7451="","",DATOS!$A7451&amp;"|"&amp;DATOS!$D7451&amp;"|"&amp;DATOS!$E7451&amp;"|"&amp;DATOS!$I7451)</f>
      </c>
      <c r="G7451">
        <f>IF(DATOS!$A7451="",0,IF(CONFIG_METADATA!$B$4&lt;&gt;"OR+EX",--(DATOS!$G7451=CONFIG_METADATA!$B$4),IF(DATOS!$G7451="EX",1,IF(DATOS!$G7451="OR",--(COUNTIFS(nNIA,DATOS!$A7451,nCURSO,DATOS!$D7451,nESPEC,DATOS!$E7451,nASIG,DATOS!$I7451,nEVAL,"EX")=0),0))))</f>
      </c>
      <c r="H7451">
        <f>IF(DATOS!$G7451&lt;&gt;"EX",0,--(COUNTIFS(nNIA,DATOS!$A7451,nCURSO,DATOS!$D7451,nESPEC,DATOS!$E7451,nASIG,DATOS!$I7451,nEVAL,"OR")=0))</f>
      </c>
      <c r="I7451">
        <f>IF(DATOS!$I7451="","",IFERROR(VLOOKUP(DATOS!$I7451,CONFIG_ASIGNATURAS!$B$2:$J$91,9,FALSE()),""))</f>
      </c>
    </row>
    <row r="7452">
      <c r="F7452">
        <f>IF(DATOS!$A7452="","",DATOS!$A7452&amp;"|"&amp;DATOS!$D7452&amp;"|"&amp;DATOS!$E7452&amp;"|"&amp;DATOS!$I7452)</f>
      </c>
      <c r="G7452">
        <f>IF(DATOS!$A7452="",0,IF(CONFIG_METADATA!$B$4&lt;&gt;"OR+EX",--(DATOS!$G7452=CONFIG_METADATA!$B$4),IF(DATOS!$G7452="EX",1,IF(DATOS!$G7452="OR",--(COUNTIFS(nNIA,DATOS!$A7452,nCURSO,DATOS!$D7452,nESPEC,DATOS!$E7452,nASIG,DATOS!$I7452,nEVAL,"EX")=0),0))))</f>
      </c>
      <c r="H7452">
        <f>IF(DATOS!$G7452&lt;&gt;"EX",0,--(COUNTIFS(nNIA,DATOS!$A7452,nCURSO,DATOS!$D7452,nESPEC,DATOS!$E7452,nASIG,DATOS!$I7452,nEVAL,"OR")=0))</f>
      </c>
      <c r="I7452">
        <f>IF(DATOS!$I7452="","",IFERROR(VLOOKUP(DATOS!$I7452,CONFIG_ASIGNATURAS!$B$2:$J$91,9,FALSE()),""))</f>
      </c>
    </row>
    <row r="7453">
      <c r="F7453">
        <f>IF(DATOS!$A7453="","",DATOS!$A7453&amp;"|"&amp;DATOS!$D7453&amp;"|"&amp;DATOS!$E7453&amp;"|"&amp;DATOS!$I7453)</f>
      </c>
      <c r="G7453">
        <f>IF(DATOS!$A7453="",0,IF(CONFIG_METADATA!$B$4&lt;&gt;"OR+EX",--(DATOS!$G7453=CONFIG_METADATA!$B$4),IF(DATOS!$G7453="EX",1,IF(DATOS!$G7453="OR",--(COUNTIFS(nNIA,DATOS!$A7453,nCURSO,DATOS!$D7453,nESPEC,DATOS!$E7453,nASIG,DATOS!$I7453,nEVAL,"EX")=0),0))))</f>
      </c>
      <c r="H7453">
        <f>IF(DATOS!$G7453&lt;&gt;"EX",0,--(COUNTIFS(nNIA,DATOS!$A7453,nCURSO,DATOS!$D7453,nESPEC,DATOS!$E7453,nASIG,DATOS!$I7453,nEVAL,"OR")=0))</f>
      </c>
      <c r="I7453">
        <f>IF(DATOS!$I7453="","",IFERROR(VLOOKUP(DATOS!$I7453,CONFIG_ASIGNATURAS!$B$2:$J$91,9,FALSE()),""))</f>
      </c>
    </row>
    <row r="7454">
      <c r="F7454">
        <f>IF(DATOS!$A7454="","",DATOS!$A7454&amp;"|"&amp;DATOS!$D7454&amp;"|"&amp;DATOS!$E7454&amp;"|"&amp;DATOS!$I7454)</f>
      </c>
      <c r="G7454">
        <f>IF(DATOS!$A7454="",0,IF(CONFIG_METADATA!$B$4&lt;&gt;"OR+EX",--(DATOS!$G7454=CONFIG_METADATA!$B$4),IF(DATOS!$G7454="EX",1,IF(DATOS!$G7454="OR",--(COUNTIFS(nNIA,DATOS!$A7454,nCURSO,DATOS!$D7454,nESPEC,DATOS!$E7454,nASIG,DATOS!$I7454,nEVAL,"EX")=0),0))))</f>
      </c>
      <c r="H7454">
        <f>IF(DATOS!$G7454&lt;&gt;"EX",0,--(COUNTIFS(nNIA,DATOS!$A7454,nCURSO,DATOS!$D7454,nESPEC,DATOS!$E7454,nASIG,DATOS!$I7454,nEVAL,"OR")=0))</f>
      </c>
      <c r="I7454">
        <f>IF(DATOS!$I7454="","",IFERROR(VLOOKUP(DATOS!$I7454,CONFIG_ASIGNATURAS!$B$2:$J$91,9,FALSE()),""))</f>
      </c>
    </row>
    <row r="7455">
      <c r="F7455">
        <f>IF(DATOS!$A7455="","",DATOS!$A7455&amp;"|"&amp;DATOS!$D7455&amp;"|"&amp;DATOS!$E7455&amp;"|"&amp;DATOS!$I7455)</f>
      </c>
      <c r="G7455">
        <f>IF(DATOS!$A7455="",0,IF(CONFIG_METADATA!$B$4&lt;&gt;"OR+EX",--(DATOS!$G7455=CONFIG_METADATA!$B$4),IF(DATOS!$G7455="EX",1,IF(DATOS!$G7455="OR",--(COUNTIFS(nNIA,DATOS!$A7455,nCURSO,DATOS!$D7455,nESPEC,DATOS!$E7455,nASIG,DATOS!$I7455,nEVAL,"EX")=0),0))))</f>
      </c>
      <c r="H7455">
        <f>IF(DATOS!$G7455&lt;&gt;"EX",0,--(COUNTIFS(nNIA,DATOS!$A7455,nCURSO,DATOS!$D7455,nESPEC,DATOS!$E7455,nASIG,DATOS!$I7455,nEVAL,"OR")=0))</f>
      </c>
      <c r="I7455">
        <f>IF(DATOS!$I7455="","",IFERROR(VLOOKUP(DATOS!$I7455,CONFIG_ASIGNATURAS!$B$2:$J$91,9,FALSE()),""))</f>
      </c>
    </row>
    <row r="7456">
      <c r="F7456">
        <f>IF(DATOS!$A7456="","",DATOS!$A7456&amp;"|"&amp;DATOS!$D7456&amp;"|"&amp;DATOS!$E7456&amp;"|"&amp;DATOS!$I7456)</f>
      </c>
      <c r="G7456">
        <f>IF(DATOS!$A7456="",0,IF(CONFIG_METADATA!$B$4&lt;&gt;"OR+EX",--(DATOS!$G7456=CONFIG_METADATA!$B$4),IF(DATOS!$G7456="EX",1,IF(DATOS!$G7456="OR",--(COUNTIFS(nNIA,DATOS!$A7456,nCURSO,DATOS!$D7456,nESPEC,DATOS!$E7456,nASIG,DATOS!$I7456,nEVAL,"EX")=0),0))))</f>
      </c>
      <c r="H7456">
        <f>IF(DATOS!$G7456&lt;&gt;"EX",0,--(COUNTIFS(nNIA,DATOS!$A7456,nCURSO,DATOS!$D7456,nESPEC,DATOS!$E7456,nASIG,DATOS!$I7456,nEVAL,"OR")=0))</f>
      </c>
      <c r="I7456">
        <f>IF(DATOS!$I7456="","",IFERROR(VLOOKUP(DATOS!$I7456,CONFIG_ASIGNATURAS!$B$2:$J$91,9,FALSE()),""))</f>
      </c>
    </row>
    <row r="7457">
      <c r="F7457">
        <f>IF(DATOS!$A7457="","",DATOS!$A7457&amp;"|"&amp;DATOS!$D7457&amp;"|"&amp;DATOS!$E7457&amp;"|"&amp;DATOS!$I7457)</f>
      </c>
      <c r="G7457">
        <f>IF(DATOS!$A7457="",0,IF(CONFIG_METADATA!$B$4&lt;&gt;"OR+EX",--(DATOS!$G7457=CONFIG_METADATA!$B$4),IF(DATOS!$G7457="EX",1,IF(DATOS!$G7457="OR",--(COUNTIFS(nNIA,DATOS!$A7457,nCURSO,DATOS!$D7457,nESPEC,DATOS!$E7457,nASIG,DATOS!$I7457,nEVAL,"EX")=0),0))))</f>
      </c>
      <c r="H7457">
        <f>IF(DATOS!$G7457&lt;&gt;"EX",0,--(COUNTIFS(nNIA,DATOS!$A7457,nCURSO,DATOS!$D7457,nESPEC,DATOS!$E7457,nASIG,DATOS!$I7457,nEVAL,"OR")=0))</f>
      </c>
      <c r="I7457">
        <f>IF(DATOS!$I7457="","",IFERROR(VLOOKUP(DATOS!$I7457,CONFIG_ASIGNATURAS!$B$2:$J$91,9,FALSE()),""))</f>
      </c>
    </row>
    <row r="7458">
      <c r="F7458">
        <f>IF(DATOS!$A7458="","",DATOS!$A7458&amp;"|"&amp;DATOS!$D7458&amp;"|"&amp;DATOS!$E7458&amp;"|"&amp;DATOS!$I7458)</f>
      </c>
      <c r="G7458">
        <f>IF(DATOS!$A7458="",0,IF(CONFIG_METADATA!$B$4&lt;&gt;"OR+EX",--(DATOS!$G7458=CONFIG_METADATA!$B$4),IF(DATOS!$G7458="EX",1,IF(DATOS!$G7458="OR",--(COUNTIFS(nNIA,DATOS!$A7458,nCURSO,DATOS!$D7458,nESPEC,DATOS!$E7458,nASIG,DATOS!$I7458,nEVAL,"EX")=0),0))))</f>
      </c>
      <c r="H7458">
        <f>IF(DATOS!$G7458&lt;&gt;"EX",0,--(COUNTIFS(nNIA,DATOS!$A7458,nCURSO,DATOS!$D7458,nESPEC,DATOS!$E7458,nASIG,DATOS!$I7458,nEVAL,"OR")=0))</f>
      </c>
      <c r="I7458">
        <f>IF(DATOS!$I7458="","",IFERROR(VLOOKUP(DATOS!$I7458,CONFIG_ASIGNATURAS!$B$2:$J$91,9,FALSE()),""))</f>
      </c>
    </row>
    <row r="7459">
      <c r="F7459">
        <f>IF(DATOS!$A7459="","",DATOS!$A7459&amp;"|"&amp;DATOS!$D7459&amp;"|"&amp;DATOS!$E7459&amp;"|"&amp;DATOS!$I7459)</f>
      </c>
      <c r="G7459">
        <f>IF(DATOS!$A7459="",0,IF(CONFIG_METADATA!$B$4&lt;&gt;"OR+EX",--(DATOS!$G7459=CONFIG_METADATA!$B$4),IF(DATOS!$G7459="EX",1,IF(DATOS!$G7459="OR",--(COUNTIFS(nNIA,DATOS!$A7459,nCURSO,DATOS!$D7459,nESPEC,DATOS!$E7459,nASIG,DATOS!$I7459,nEVAL,"EX")=0),0))))</f>
      </c>
      <c r="H7459">
        <f>IF(DATOS!$G7459&lt;&gt;"EX",0,--(COUNTIFS(nNIA,DATOS!$A7459,nCURSO,DATOS!$D7459,nESPEC,DATOS!$E7459,nASIG,DATOS!$I7459,nEVAL,"OR")=0))</f>
      </c>
      <c r="I7459">
        <f>IF(DATOS!$I7459="","",IFERROR(VLOOKUP(DATOS!$I7459,CONFIG_ASIGNATURAS!$B$2:$J$91,9,FALSE()),""))</f>
      </c>
    </row>
    <row r="7460">
      <c r="F7460">
        <f>IF(DATOS!$A7460="","",DATOS!$A7460&amp;"|"&amp;DATOS!$D7460&amp;"|"&amp;DATOS!$E7460&amp;"|"&amp;DATOS!$I7460)</f>
      </c>
      <c r="G7460">
        <f>IF(DATOS!$A7460="",0,IF(CONFIG_METADATA!$B$4&lt;&gt;"OR+EX",--(DATOS!$G7460=CONFIG_METADATA!$B$4),IF(DATOS!$G7460="EX",1,IF(DATOS!$G7460="OR",--(COUNTIFS(nNIA,DATOS!$A7460,nCURSO,DATOS!$D7460,nESPEC,DATOS!$E7460,nASIG,DATOS!$I7460,nEVAL,"EX")=0),0))))</f>
      </c>
      <c r="H7460">
        <f>IF(DATOS!$G7460&lt;&gt;"EX",0,--(COUNTIFS(nNIA,DATOS!$A7460,nCURSO,DATOS!$D7460,nESPEC,DATOS!$E7460,nASIG,DATOS!$I7460,nEVAL,"OR")=0))</f>
      </c>
      <c r="I7460">
        <f>IF(DATOS!$I7460="","",IFERROR(VLOOKUP(DATOS!$I7460,CONFIG_ASIGNATURAS!$B$2:$J$91,9,FALSE()),""))</f>
      </c>
    </row>
    <row r="7461">
      <c r="F7461">
        <f>IF(DATOS!$A7461="","",DATOS!$A7461&amp;"|"&amp;DATOS!$D7461&amp;"|"&amp;DATOS!$E7461&amp;"|"&amp;DATOS!$I7461)</f>
      </c>
      <c r="G7461">
        <f>IF(DATOS!$A7461="",0,IF(CONFIG_METADATA!$B$4&lt;&gt;"OR+EX",--(DATOS!$G7461=CONFIG_METADATA!$B$4),IF(DATOS!$G7461="EX",1,IF(DATOS!$G7461="OR",--(COUNTIFS(nNIA,DATOS!$A7461,nCURSO,DATOS!$D7461,nESPEC,DATOS!$E7461,nASIG,DATOS!$I7461,nEVAL,"EX")=0),0))))</f>
      </c>
      <c r="H7461">
        <f>IF(DATOS!$G7461&lt;&gt;"EX",0,--(COUNTIFS(nNIA,DATOS!$A7461,nCURSO,DATOS!$D7461,nESPEC,DATOS!$E7461,nASIG,DATOS!$I7461,nEVAL,"OR")=0))</f>
      </c>
      <c r="I7461">
        <f>IF(DATOS!$I7461="","",IFERROR(VLOOKUP(DATOS!$I7461,CONFIG_ASIGNATURAS!$B$2:$J$91,9,FALSE()),""))</f>
      </c>
    </row>
    <row r="7462">
      <c r="F7462">
        <f>IF(DATOS!$A7462="","",DATOS!$A7462&amp;"|"&amp;DATOS!$D7462&amp;"|"&amp;DATOS!$E7462&amp;"|"&amp;DATOS!$I7462)</f>
      </c>
      <c r="G7462">
        <f>IF(DATOS!$A7462="",0,IF(CONFIG_METADATA!$B$4&lt;&gt;"OR+EX",--(DATOS!$G7462=CONFIG_METADATA!$B$4),IF(DATOS!$G7462="EX",1,IF(DATOS!$G7462="OR",--(COUNTIFS(nNIA,DATOS!$A7462,nCURSO,DATOS!$D7462,nESPEC,DATOS!$E7462,nASIG,DATOS!$I7462,nEVAL,"EX")=0),0))))</f>
      </c>
      <c r="H7462">
        <f>IF(DATOS!$G7462&lt;&gt;"EX",0,--(COUNTIFS(nNIA,DATOS!$A7462,nCURSO,DATOS!$D7462,nESPEC,DATOS!$E7462,nASIG,DATOS!$I7462,nEVAL,"OR")=0))</f>
      </c>
      <c r="I7462">
        <f>IF(DATOS!$I7462="","",IFERROR(VLOOKUP(DATOS!$I7462,CONFIG_ASIGNATURAS!$B$2:$J$91,9,FALSE()),""))</f>
      </c>
    </row>
    <row r="7463">
      <c r="F7463">
        <f>IF(DATOS!$A7463="","",DATOS!$A7463&amp;"|"&amp;DATOS!$D7463&amp;"|"&amp;DATOS!$E7463&amp;"|"&amp;DATOS!$I7463)</f>
      </c>
      <c r="G7463">
        <f>IF(DATOS!$A7463="",0,IF(CONFIG_METADATA!$B$4&lt;&gt;"OR+EX",--(DATOS!$G7463=CONFIG_METADATA!$B$4),IF(DATOS!$G7463="EX",1,IF(DATOS!$G7463="OR",--(COUNTIFS(nNIA,DATOS!$A7463,nCURSO,DATOS!$D7463,nESPEC,DATOS!$E7463,nASIG,DATOS!$I7463,nEVAL,"EX")=0),0))))</f>
      </c>
      <c r="H7463">
        <f>IF(DATOS!$G7463&lt;&gt;"EX",0,--(COUNTIFS(nNIA,DATOS!$A7463,nCURSO,DATOS!$D7463,nESPEC,DATOS!$E7463,nASIG,DATOS!$I7463,nEVAL,"OR")=0))</f>
      </c>
      <c r="I7463">
        <f>IF(DATOS!$I7463="","",IFERROR(VLOOKUP(DATOS!$I7463,CONFIG_ASIGNATURAS!$B$2:$J$91,9,FALSE()),""))</f>
      </c>
    </row>
    <row r="7464">
      <c r="F7464">
        <f>IF(DATOS!$A7464="","",DATOS!$A7464&amp;"|"&amp;DATOS!$D7464&amp;"|"&amp;DATOS!$E7464&amp;"|"&amp;DATOS!$I7464)</f>
      </c>
      <c r="G7464">
        <f>IF(DATOS!$A7464="",0,IF(CONFIG_METADATA!$B$4&lt;&gt;"OR+EX",--(DATOS!$G7464=CONFIG_METADATA!$B$4),IF(DATOS!$G7464="EX",1,IF(DATOS!$G7464="OR",--(COUNTIFS(nNIA,DATOS!$A7464,nCURSO,DATOS!$D7464,nESPEC,DATOS!$E7464,nASIG,DATOS!$I7464,nEVAL,"EX")=0),0))))</f>
      </c>
      <c r="H7464">
        <f>IF(DATOS!$G7464&lt;&gt;"EX",0,--(COUNTIFS(nNIA,DATOS!$A7464,nCURSO,DATOS!$D7464,nESPEC,DATOS!$E7464,nASIG,DATOS!$I7464,nEVAL,"OR")=0))</f>
      </c>
      <c r="I7464">
        <f>IF(DATOS!$I7464="","",IFERROR(VLOOKUP(DATOS!$I7464,CONFIG_ASIGNATURAS!$B$2:$J$91,9,FALSE()),""))</f>
      </c>
    </row>
    <row r="7465">
      <c r="F7465">
        <f>IF(DATOS!$A7465="","",DATOS!$A7465&amp;"|"&amp;DATOS!$D7465&amp;"|"&amp;DATOS!$E7465&amp;"|"&amp;DATOS!$I7465)</f>
      </c>
      <c r="G7465">
        <f>IF(DATOS!$A7465="",0,IF(CONFIG_METADATA!$B$4&lt;&gt;"OR+EX",--(DATOS!$G7465=CONFIG_METADATA!$B$4),IF(DATOS!$G7465="EX",1,IF(DATOS!$G7465="OR",--(COUNTIFS(nNIA,DATOS!$A7465,nCURSO,DATOS!$D7465,nESPEC,DATOS!$E7465,nASIG,DATOS!$I7465,nEVAL,"EX")=0),0))))</f>
      </c>
      <c r="H7465">
        <f>IF(DATOS!$G7465&lt;&gt;"EX",0,--(COUNTIFS(nNIA,DATOS!$A7465,nCURSO,DATOS!$D7465,nESPEC,DATOS!$E7465,nASIG,DATOS!$I7465,nEVAL,"OR")=0))</f>
      </c>
      <c r="I7465">
        <f>IF(DATOS!$I7465="","",IFERROR(VLOOKUP(DATOS!$I7465,CONFIG_ASIGNATURAS!$B$2:$J$91,9,FALSE()),""))</f>
      </c>
    </row>
    <row r="7466">
      <c r="F7466">
        <f>IF(DATOS!$A7466="","",DATOS!$A7466&amp;"|"&amp;DATOS!$D7466&amp;"|"&amp;DATOS!$E7466&amp;"|"&amp;DATOS!$I7466)</f>
      </c>
      <c r="G7466">
        <f>IF(DATOS!$A7466="",0,IF(CONFIG_METADATA!$B$4&lt;&gt;"OR+EX",--(DATOS!$G7466=CONFIG_METADATA!$B$4),IF(DATOS!$G7466="EX",1,IF(DATOS!$G7466="OR",--(COUNTIFS(nNIA,DATOS!$A7466,nCURSO,DATOS!$D7466,nESPEC,DATOS!$E7466,nASIG,DATOS!$I7466,nEVAL,"EX")=0),0))))</f>
      </c>
      <c r="H7466">
        <f>IF(DATOS!$G7466&lt;&gt;"EX",0,--(COUNTIFS(nNIA,DATOS!$A7466,nCURSO,DATOS!$D7466,nESPEC,DATOS!$E7466,nASIG,DATOS!$I7466,nEVAL,"OR")=0))</f>
      </c>
      <c r="I7466">
        <f>IF(DATOS!$I7466="","",IFERROR(VLOOKUP(DATOS!$I7466,CONFIG_ASIGNATURAS!$B$2:$J$91,9,FALSE()),""))</f>
      </c>
    </row>
    <row r="7467">
      <c r="F7467">
        <f>IF(DATOS!$A7467="","",DATOS!$A7467&amp;"|"&amp;DATOS!$D7467&amp;"|"&amp;DATOS!$E7467&amp;"|"&amp;DATOS!$I7467)</f>
      </c>
      <c r="G7467">
        <f>IF(DATOS!$A7467="",0,IF(CONFIG_METADATA!$B$4&lt;&gt;"OR+EX",--(DATOS!$G7467=CONFIG_METADATA!$B$4),IF(DATOS!$G7467="EX",1,IF(DATOS!$G7467="OR",--(COUNTIFS(nNIA,DATOS!$A7467,nCURSO,DATOS!$D7467,nESPEC,DATOS!$E7467,nASIG,DATOS!$I7467,nEVAL,"EX")=0),0))))</f>
      </c>
      <c r="H7467">
        <f>IF(DATOS!$G7467&lt;&gt;"EX",0,--(COUNTIFS(nNIA,DATOS!$A7467,nCURSO,DATOS!$D7467,nESPEC,DATOS!$E7467,nASIG,DATOS!$I7467,nEVAL,"OR")=0))</f>
      </c>
      <c r="I7467">
        <f>IF(DATOS!$I7467="","",IFERROR(VLOOKUP(DATOS!$I7467,CONFIG_ASIGNATURAS!$B$2:$J$91,9,FALSE()),""))</f>
      </c>
    </row>
    <row r="7468">
      <c r="F7468">
        <f>IF(DATOS!$A7468="","",DATOS!$A7468&amp;"|"&amp;DATOS!$D7468&amp;"|"&amp;DATOS!$E7468&amp;"|"&amp;DATOS!$I7468)</f>
      </c>
      <c r="G7468">
        <f>IF(DATOS!$A7468="",0,IF(CONFIG_METADATA!$B$4&lt;&gt;"OR+EX",--(DATOS!$G7468=CONFIG_METADATA!$B$4),IF(DATOS!$G7468="EX",1,IF(DATOS!$G7468="OR",--(COUNTIFS(nNIA,DATOS!$A7468,nCURSO,DATOS!$D7468,nESPEC,DATOS!$E7468,nASIG,DATOS!$I7468,nEVAL,"EX")=0),0))))</f>
      </c>
      <c r="H7468">
        <f>IF(DATOS!$G7468&lt;&gt;"EX",0,--(COUNTIFS(nNIA,DATOS!$A7468,nCURSO,DATOS!$D7468,nESPEC,DATOS!$E7468,nASIG,DATOS!$I7468,nEVAL,"OR")=0))</f>
      </c>
      <c r="I7468">
        <f>IF(DATOS!$I7468="","",IFERROR(VLOOKUP(DATOS!$I7468,CONFIG_ASIGNATURAS!$B$2:$J$91,9,FALSE()),""))</f>
      </c>
    </row>
    <row r="7469">
      <c r="F7469">
        <f>IF(DATOS!$A7469="","",DATOS!$A7469&amp;"|"&amp;DATOS!$D7469&amp;"|"&amp;DATOS!$E7469&amp;"|"&amp;DATOS!$I7469)</f>
      </c>
      <c r="G7469">
        <f>IF(DATOS!$A7469="",0,IF(CONFIG_METADATA!$B$4&lt;&gt;"OR+EX",--(DATOS!$G7469=CONFIG_METADATA!$B$4),IF(DATOS!$G7469="EX",1,IF(DATOS!$G7469="OR",--(COUNTIFS(nNIA,DATOS!$A7469,nCURSO,DATOS!$D7469,nESPEC,DATOS!$E7469,nASIG,DATOS!$I7469,nEVAL,"EX")=0),0))))</f>
      </c>
      <c r="H7469">
        <f>IF(DATOS!$G7469&lt;&gt;"EX",0,--(COUNTIFS(nNIA,DATOS!$A7469,nCURSO,DATOS!$D7469,nESPEC,DATOS!$E7469,nASIG,DATOS!$I7469,nEVAL,"OR")=0))</f>
      </c>
      <c r="I7469">
        <f>IF(DATOS!$I7469="","",IFERROR(VLOOKUP(DATOS!$I7469,CONFIG_ASIGNATURAS!$B$2:$J$91,9,FALSE()),""))</f>
      </c>
    </row>
    <row r="7470">
      <c r="F7470">
        <f>IF(DATOS!$A7470="","",DATOS!$A7470&amp;"|"&amp;DATOS!$D7470&amp;"|"&amp;DATOS!$E7470&amp;"|"&amp;DATOS!$I7470)</f>
      </c>
      <c r="G7470">
        <f>IF(DATOS!$A7470="",0,IF(CONFIG_METADATA!$B$4&lt;&gt;"OR+EX",--(DATOS!$G7470=CONFIG_METADATA!$B$4),IF(DATOS!$G7470="EX",1,IF(DATOS!$G7470="OR",--(COUNTIFS(nNIA,DATOS!$A7470,nCURSO,DATOS!$D7470,nESPEC,DATOS!$E7470,nASIG,DATOS!$I7470,nEVAL,"EX")=0),0))))</f>
      </c>
      <c r="H7470">
        <f>IF(DATOS!$G7470&lt;&gt;"EX",0,--(COUNTIFS(nNIA,DATOS!$A7470,nCURSO,DATOS!$D7470,nESPEC,DATOS!$E7470,nASIG,DATOS!$I7470,nEVAL,"OR")=0))</f>
      </c>
      <c r="I7470">
        <f>IF(DATOS!$I7470="","",IFERROR(VLOOKUP(DATOS!$I7470,CONFIG_ASIGNATURAS!$B$2:$J$91,9,FALSE()),""))</f>
      </c>
    </row>
    <row r="7471">
      <c r="F7471">
        <f>IF(DATOS!$A7471="","",DATOS!$A7471&amp;"|"&amp;DATOS!$D7471&amp;"|"&amp;DATOS!$E7471&amp;"|"&amp;DATOS!$I7471)</f>
      </c>
      <c r="G7471">
        <f>IF(DATOS!$A7471="",0,IF(CONFIG_METADATA!$B$4&lt;&gt;"OR+EX",--(DATOS!$G7471=CONFIG_METADATA!$B$4),IF(DATOS!$G7471="EX",1,IF(DATOS!$G7471="OR",--(COUNTIFS(nNIA,DATOS!$A7471,nCURSO,DATOS!$D7471,nESPEC,DATOS!$E7471,nASIG,DATOS!$I7471,nEVAL,"EX")=0),0))))</f>
      </c>
      <c r="H7471">
        <f>IF(DATOS!$G7471&lt;&gt;"EX",0,--(COUNTIFS(nNIA,DATOS!$A7471,nCURSO,DATOS!$D7471,nESPEC,DATOS!$E7471,nASIG,DATOS!$I7471,nEVAL,"OR")=0))</f>
      </c>
      <c r="I7471">
        <f>IF(DATOS!$I7471="","",IFERROR(VLOOKUP(DATOS!$I7471,CONFIG_ASIGNATURAS!$B$2:$J$91,9,FALSE()),""))</f>
      </c>
    </row>
    <row r="7472">
      <c r="F7472">
        <f>IF(DATOS!$A7472="","",DATOS!$A7472&amp;"|"&amp;DATOS!$D7472&amp;"|"&amp;DATOS!$E7472&amp;"|"&amp;DATOS!$I7472)</f>
      </c>
      <c r="G7472">
        <f>IF(DATOS!$A7472="",0,IF(CONFIG_METADATA!$B$4&lt;&gt;"OR+EX",--(DATOS!$G7472=CONFIG_METADATA!$B$4),IF(DATOS!$G7472="EX",1,IF(DATOS!$G7472="OR",--(COUNTIFS(nNIA,DATOS!$A7472,nCURSO,DATOS!$D7472,nESPEC,DATOS!$E7472,nASIG,DATOS!$I7472,nEVAL,"EX")=0),0))))</f>
      </c>
      <c r="H7472">
        <f>IF(DATOS!$G7472&lt;&gt;"EX",0,--(COUNTIFS(nNIA,DATOS!$A7472,nCURSO,DATOS!$D7472,nESPEC,DATOS!$E7472,nASIG,DATOS!$I7472,nEVAL,"OR")=0))</f>
      </c>
      <c r="I7472">
        <f>IF(DATOS!$I7472="","",IFERROR(VLOOKUP(DATOS!$I7472,CONFIG_ASIGNATURAS!$B$2:$J$91,9,FALSE()),""))</f>
      </c>
    </row>
    <row r="7473">
      <c r="F7473">
        <f>IF(DATOS!$A7473="","",DATOS!$A7473&amp;"|"&amp;DATOS!$D7473&amp;"|"&amp;DATOS!$E7473&amp;"|"&amp;DATOS!$I7473)</f>
      </c>
      <c r="G7473">
        <f>IF(DATOS!$A7473="",0,IF(CONFIG_METADATA!$B$4&lt;&gt;"OR+EX",--(DATOS!$G7473=CONFIG_METADATA!$B$4),IF(DATOS!$G7473="EX",1,IF(DATOS!$G7473="OR",--(COUNTIFS(nNIA,DATOS!$A7473,nCURSO,DATOS!$D7473,nESPEC,DATOS!$E7473,nASIG,DATOS!$I7473,nEVAL,"EX")=0),0))))</f>
      </c>
      <c r="H7473">
        <f>IF(DATOS!$G7473&lt;&gt;"EX",0,--(COUNTIFS(nNIA,DATOS!$A7473,nCURSO,DATOS!$D7473,nESPEC,DATOS!$E7473,nASIG,DATOS!$I7473,nEVAL,"OR")=0))</f>
      </c>
      <c r="I7473">
        <f>IF(DATOS!$I7473="","",IFERROR(VLOOKUP(DATOS!$I7473,CONFIG_ASIGNATURAS!$B$2:$J$91,9,FALSE()),""))</f>
      </c>
    </row>
    <row r="7474">
      <c r="F7474">
        <f>IF(DATOS!$A7474="","",DATOS!$A7474&amp;"|"&amp;DATOS!$D7474&amp;"|"&amp;DATOS!$E7474&amp;"|"&amp;DATOS!$I7474)</f>
      </c>
      <c r="G7474">
        <f>IF(DATOS!$A7474="",0,IF(CONFIG_METADATA!$B$4&lt;&gt;"OR+EX",--(DATOS!$G7474=CONFIG_METADATA!$B$4),IF(DATOS!$G7474="EX",1,IF(DATOS!$G7474="OR",--(COUNTIFS(nNIA,DATOS!$A7474,nCURSO,DATOS!$D7474,nESPEC,DATOS!$E7474,nASIG,DATOS!$I7474,nEVAL,"EX")=0),0))))</f>
      </c>
      <c r="H7474">
        <f>IF(DATOS!$G7474&lt;&gt;"EX",0,--(COUNTIFS(nNIA,DATOS!$A7474,nCURSO,DATOS!$D7474,nESPEC,DATOS!$E7474,nASIG,DATOS!$I7474,nEVAL,"OR")=0))</f>
      </c>
      <c r="I7474">
        <f>IF(DATOS!$I7474="","",IFERROR(VLOOKUP(DATOS!$I7474,CONFIG_ASIGNATURAS!$B$2:$J$91,9,FALSE()),""))</f>
      </c>
    </row>
    <row r="7475">
      <c r="F7475">
        <f>IF(DATOS!$A7475="","",DATOS!$A7475&amp;"|"&amp;DATOS!$D7475&amp;"|"&amp;DATOS!$E7475&amp;"|"&amp;DATOS!$I7475)</f>
      </c>
      <c r="G7475">
        <f>IF(DATOS!$A7475="",0,IF(CONFIG_METADATA!$B$4&lt;&gt;"OR+EX",--(DATOS!$G7475=CONFIG_METADATA!$B$4),IF(DATOS!$G7475="EX",1,IF(DATOS!$G7475="OR",--(COUNTIFS(nNIA,DATOS!$A7475,nCURSO,DATOS!$D7475,nESPEC,DATOS!$E7475,nASIG,DATOS!$I7475,nEVAL,"EX")=0),0))))</f>
      </c>
      <c r="H7475">
        <f>IF(DATOS!$G7475&lt;&gt;"EX",0,--(COUNTIFS(nNIA,DATOS!$A7475,nCURSO,DATOS!$D7475,nESPEC,DATOS!$E7475,nASIG,DATOS!$I7475,nEVAL,"OR")=0))</f>
      </c>
      <c r="I7475">
        <f>IF(DATOS!$I7475="","",IFERROR(VLOOKUP(DATOS!$I7475,CONFIG_ASIGNATURAS!$B$2:$J$91,9,FALSE()),""))</f>
      </c>
    </row>
    <row r="7476">
      <c r="F7476">
        <f>IF(DATOS!$A7476="","",DATOS!$A7476&amp;"|"&amp;DATOS!$D7476&amp;"|"&amp;DATOS!$E7476&amp;"|"&amp;DATOS!$I7476)</f>
      </c>
      <c r="G7476">
        <f>IF(DATOS!$A7476="",0,IF(CONFIG_METADATA!$B$4&lt;&gt;"OR+EX",--(DATOS!$G7476=CONFIG_METADATA!$B$4),IF(DATOS!$G7476="EX",1,IF(DATOS!$G7476="OR",--(COUNTIFS(nNIA,DATOS!$A7476,nCURSO,DATOS!$D7476,nESPEC,DATOS!$E7476,nASIG,DATOS!$I7476,nEVAL,"EX")=0),0))))</f>
      </c>
      <c r="H7476">
        <f>IF(DATOS!$G7476&lt;&gt;"EX",0,--(COUNTIFS(nNIA,DATOS!$A7476,nCURSO,DATOS!$D7476,nESPEC,DATOS!$E7476,nASIG,DATOS!$I7476,nEVAL,"OR")=0))</f>
      </c>
      <c r="I7476">
        <f>IF(DATOS!$I7476="","",IFERROR(VLOOKUP(DATOS!$I7476,CONFIG_ASIGNATURAS!$B$2:$J$91,9,FALSE()),""))</f>
      </c>
    </row>
    <row r="7477">
      <c r="F7477">
        <f>IF(DATOS!$A7477="","",DATOS!$A7477&amp;"|"&amp;DATOS!$D7477&amp;"|"&amp;DATOS!$E7477&amp;"|"&amp;DATOS!$I7477)</f>
      </c>
      <c r="G7477">
        <f>IF(DATOS!$A7477="",0,IF(CONFIG_METADATA!$B$4&lt;&gt;"OR+EX",--(DATOS!$G7477=CONFIG_METADATA!$B$4),IF(DATOS!$G7477="EX",1,IF(DATOS!$G7477="OR",--(COUNTIFS(nNIA,DATOS!$A7477,nCURSO,DATOS!$D7477,nESPEC,DATOS!$E7477,nASIG,DATOS!$I7477,nEVAL,"EX")=0),0))))</f>
      </c>
      <c r="H7477">
        <f>IF(DATOS!$G7477&lt;&gt;"EX",0,--(COUNTIFS(nNIA,DATOS!$A7477,nCURSO,DATOS!$D7477,nESPEC,DATOS!$E7477,nASIG,DATOS!$I7477,nEVAL,"OR")=0))</f>
      </c>
      <c r="I7477">
        <f>IF(DATOS!$I7477="","",IFERROR(VLOOKUP(DATOS!$I7477,CONFIG_ASIGNATURAS!$B$2:$J$91,9,FALSE()),""))</f>
      </c>
    </row>
    <row r="7478">
      <c r="F7478">
        <f>IF(DATOS!$A7478="","",DATOS!$A7478&amp;"|"&amp;DATOS!$D7478&amp;"|"&amp;DATOS!$E7478&amp;"|"&amp;DATOS!$I7478)</f>
      </c>
      <c r="G7478">
        <f>IF(DATOS!$A7478="",0,IF(CONFIG_METADATA!$B$4&lt;&gt;"OR+EX",--(DATOS!$G7478=CONFIG_METADATA!$B$4),IF(DATOS!$G7478="EX",1,IF(DATOS!$G7478="OR",--(COUNTIFS(nNIA,DATOS!$A7478,nCURSO,DATOS!$D7478,nESPEC,DATOS!$E7478,nASIG,DATOS!$I7478,nEVAL,"EX")=0),0))))</f>
      </c>
      <c r="H7478">
        <f>IF(DATOS!$G7478&lt;&gt;"EX",0,--(COUNTIFS(nNIA,DATOS!$A7478,nCURSO,DATOS!$D7478,nESPEC,DATOS!$E7478,nASIG,DATOS!$I7478,nEVAL,"OR")=0))</f>
      </c>
      <c r="I7478">
        <f>IF(DATOS!$I7478="","",IFERROR(VLOOKUP(DATOS!$I7478,CONFIG_ASIGNATURAS!$B$2:$J$91,9,FALSE()),""))</f>
      </c>
    </row>
    <row r="7479">
      <c r="F7479">
        <f>IF(DATOS!$A7479="","",DATOS!$A7479&amp;"|"&amp;DATOS!$D7479&amp;"|"&amp;DATOS!$E7479&amp;"|"&amp;DATOS!$I7479)</f>
      </c>
      <c r="G7479">
        <f>IF(DATOS!$A7479="",0,IF(CONFIG_METADATA!$B$4&lt;&gt;"OR+EX",--(DATOS!$G7479=CONFIG_METADATA!$B$4),IF(DATOS!$G7479="EX",1,IF(DATOS!$G7479="OR",--(COUNTIFS(nNIA,DATOS!$A7479,nCURSO,DATOS!$D7479,nESPEC,DATOS!$E7479,nASIG,DATOS!$I7479,nEVAL,"EX")=0),0))))</f>
      </c>
      <c r="H7479">
        <f>IF(DATOS!$G7479&lt;&gt;"EX",0,--(COUNTIFS(nNIA,DATOS!$A7479,nCURSO,DATOS!$D7479,nESPEC,DATOS!$E7479,nASIG,DATOS!$I7479,nEVAL,"OR")=0))</f>
      </c>
      <c r="I7479">
        <f>IF(DATOS!$I7479="","",IFERROR(VLOOKUP(DATOS!$I7479,CONFIG_ASIGNATURAS!$B$2:$J$91,9,FALSE()),""))</f>
      </c>
    </row>
    <row r="7480">
      <c r="F7480">
        <f>IF(DATOS!$A7480="","",DATOS!$A7480&amp;"|"&amp;DATOS!$D7480&amp;"|"&amp;DATOS!$E7480&amp;"|"&amp;DATOS!$I7480)</f>
      </c>
      <c r="G7480">
        <f>IF(DATOS!$A7480="",0,IF(CONFIG_METADATA!$B$4&lt;&gt;"OR+EX",--(DATOS!$G7480=CONFIG_METADATA!$B$4),IF(DATOS!$G7480="EX",1,IF(DATOS!$G7480="OR",--(COUNTIFS(nNIA,DATOS!$A7480,nCURSO,DATOS!$D7480,nESPEC,DATOS!$E7480,nASIG,DATOS!$I7480,nEVAL,"EX")=0),0))))</f>
      </c>
      <c r="H7480">
        <f>IF(DATOS!$G7480&lt;&gt;"EX",0,--(COUNTIFS(nNIA,DATOS!$A7480,nCURSO,DATOS!$D7480,nESPEC,DATOS!$E7480,nASIG,DATOS!$I7480,nEVAL,"OR")=0))</f>
      </c>
      <c r="I7480">
        <f>IF(DATOS!$I7480="","",IFERROR(VLOOKUP(DATOS!$I7480,CONFIG_ASIGNATURAS!$B$2:$J$91,9,FALSE()),""))</f>
      </c>
    </row>
    <row r="7481">
      <c r="F7481">
        <f>IF(DATOS!$A7481="","",DATOS!$A7481&amp;"|"&amp;DATOS!$D7481&amp;"|"&amp;DATOS!$E7481&amp;"|"&amp;DATOS!$I7481)</f>
      </c>
      <c r="G7481">
        <f>IF(DATOS!$A7481="",0,IF(CONFIG_METADATA!$B$4&lt;&gt;"OR+EX",--(DATOS!$G7481=CONFIG_METADATA!$B$4),IF(DATOS!$G7481="EX",1,IF(DATOS!$G7481="OR",--(COUNTIFS(nNIA,DATOS!$A7481,nCURSO,DATOS!$D7481,nESPEC,DATOS!$E7481,nASIG,DATOS!$I7481,nEVAL,"EX")=0),0))))</f>
      </c>
      <c r="H7481">
        <f>IF(DATOS!$G7481&lt;&gt;"EX",0,--(COUNTIFS(nNIA,DATOS!$A7481,nCURSO,DATOS!$D7481,nESPEC,DATOS!$E7481,nASIG,DATOS!$I7481,nEVAL,"OR")=0))</f>
      </c>
      <c r="I7481">
        <f>IF(DATOS!$I7481="","",IFERROR(VLOOKUP(DATOS!$I7481,CONFIG_ASIGNATURAS!$B$2:$J$91,9,FALSE()),""))</f>
      </c>
    </row>
    <row r="7482">
      <c r="F7482">
        <f>IF(DATOS!$A7482="","",DATOS!$A7482&amp;"|"&amp;DATOS!$D7482&amp;"|"&amp;DATOS!$E7482&amp;"|"&amp;DATOS!$I7482)</f>
      </c>
      <c r="G7482">
        <f>IF(DATOS!$A7482="",0,IF(CONFIG_METADATA!$B$4&lt;&gt;"OR+EX",--(DATOS!$G7482=CONFIG_METADATA!$B$4),IF(DATOS!$G7482="EX",1,IF(DATOS!$G7482="OR",--(COUNTIFS(nNIA,DATOS!$A7482,nCURSO,DATOS!$D7482,nESPEC,DATOS!$E7482,nASIG,DATOS!$I7482,nEVAL,"EX")=0),0))))</f>
      </c>
      <c r="H7482">
        <f>IF(DATOS!$G7482&lt;&gt;"EX",0,--(COUNTIFS(nNIA,DATOS!$A7482,nCURSO,DATOS!$D7482,nESPEC,DATOS!$E7482,nASIG,DATOS!$I7482,nEVAL,"OR")=0))</f>
      </c>
      <c r="I7482">
        <f>IF(DATOS!$I7482="","",IFERROR(VLOOKUP(DATOS!$I7482,CONFIG_ASIGNATURAS!$B$2:$J$91,9,FALSE()),""))</f>
      </c>
    </row>
    <row r="7483">
      <c r="F7483">
        <f>IF(DATOS!$A7483="","",DATOS!$A7483&amp;"|"&amp;DATOS!$D7483&amp;"|"&amp;DATOS!$E7483&amp;"|"&amp;DATOS!$I7483)</f>
      </c>
      <c r="G7483">
        <f>IF(DATOS!$A7483="",0,IF(CONFIG_METADATA!$B$4&lt;&gt;"OR+EX",--(DATOS!$G7483=CONFIG_METADATA!$B$4),IF(DATOS!$G7483="EX",1,IF(DATOS!$G7483="OR",--(COUNTIFS(nNIA,DATOS!$A7483,nCURSO,DATOS!$D7483,nESPEC,DATOS!$E7483,nASIG,DATOS!$I7483,nEVAL,"EX")=0),0))))</f>
      </c>
      <c r="H7483">
        <f>IF(DATOS!$G7483&lt;&gt;"EX",0,--(COUNTIFS(nNIA,DATOS!$A7483,nCURSO,DATOS!$D7483,nESPEC,DATOS!$E7483,nASIG,DATOS!$I7483,nEVAL,"OR")=0))</f>
      </c>
      <c r="I7483">
        <f>IF(DATOS!$I7483="","",IFERROR(VLOOKUP(DATOS!$I7483,CONFIG_ASIGNATURAS!$B$2:$J$91,9,FALSE()),""))</f>
      </c>
    </row>
    <row r="7484">
      <c r="F7484">
        <f>IF(DATOS!$A7484="","",DATOS!$A7484&amp;"|"&amp;DATOS!$D7484&amp;"|"&amp;DATOS!$E7484&amp;"|"&amp;DATOS!$I7484)</f>
      </c>
      <c r="G7484">
        <f>IF(DATOS!$A7484="",0,IF(CONFIG_METADATA!$B$4&lt;&gt;"OR+EX",--(DATOS!$G7484=CONFIG_METADATA!$B$4),IF(DATOS!$G7484="EX",1,IF(DATOS!$G7484="OR",--(COUNTIFS(nNIA,DATOS!$A7484,nCURSO,DATOS!$D7484,nESPEC,DATOS!$E7484,nASIG,DATOS!$I7484,nEVAL,"EX")=0),0))))</f>
      </c>
      <c r="H7484">
        <f>IF(DATOS!$G7484&lt;&gt;"EX",0,--(COUNTIFS(nNIA,DATOS!$A7484,nCURSO,DATOS!$D7484,nESPEC,DATOS!$E7484,nASIG,DATOS!$I7484,nEVAL,"OR")=0))</f>
      </c>
      <c r="I7484">
        <f>IF(DATOS!$I7484="","",IFERROR(VLOOKUP(DATOS!$I7484,CONFIG_ASIGNATURAS!$B$2:$J$91,9,FALSE()),""))</f>
      </c>
    </row>
    <row r="7485">
      <c r="F7485">
        <f>IF(DATOS!$A7485="","",DATOS!$A7485&amp;"|"&amp;DATOS!$D7485&amp;"|"&amp;DATOS!$E7485&amp;"|"&amp;DATOS!$I7485)</f>
      </c>
      <c r="G7485">
        <f>IF(DATOS!$A7485="",0,IF(CONFIG_METADATA!$B$4&lt;&gt;"OR+EX",--(DATOS!$G7485=CONFIG_METADATA!$B$4),IF(DATOS!$G7485="EX",1,IF(DATOS!$G7485="OR",--(COUNTIFS(nNIA,DATOS!$A7485,nCURSO,DATOS!$D7485,nESPEC,DATOS!$E7485,nASIG,DATOS!$I7485,nEVAL,"EX")=0),0))))</f>
      </c>
      <c r="H7485">
        <f>IF(DATOS!$G7485&lt;&gt;"EX",0,--(COUNTIFS(nNIA,DATOS!$A7485,nCURSO,DATOS!$D7485,nESPEC,DATOS!$E7485,nASIG,DATOS!$I7485,nEVAL,"OR")=0))</f>
      </c>
      <c r="I7485">
        <f>IF(DATOS!$I7485="","",IFERROR(VLOOKUP(DATOS!$I7485,CONFIG_ASIGNATURAS!$B$2:$J$91,9,FALSE()),""))</f>
      </c>
    </row>
    <row r="7486">
      <c r="F7486">
        <f>IF(DATOS!$A7486="","",DATOS!$A7486&amp;"|"&amp;DATOS!$D7486&amp;"|"&amp;DATOS!$E7486&amp;"|"&amp;DATOS!$I7486)</f>
      </c>
      <c r="G7486">
        <f>IF(DATOS!$A7486="",0,IF(CONFIG_METADATA!$B$4&lt;&gt;"OR+EX",--(DATOS!$G7486=CONFIG_METADATA!$B$4),IF(DATOS!$G7486="EX",1,IF(DATOS!$G7486="OR",--(COUNTIFS(nNIA,DATOS!$A7486,nCURSO,DATOS!$D7486,nESPEC,DATOS!$E7486,nASIG,DATOS!$I7486,nEVAL,"EX")=0),0))))</f>
      </c>
      <c r="H7486">
        <f>IF(DATOS!$G7486&lt;&gt;"EX",0,--(COUNTIFS(nNIA,DATOS!$A7486,nCURSO,DATOS!$D7486,nESPEC,DATOS!$E7486,nASIG,DATOS!$I7486,nEVAL,"OR")=0))</f>
      </c>
      <c r="I7486">
        <f>IF(DATOS!$I7486="","",IFERROR(VLOOKUP(DATOS!$I7486,CONFIG_ASIGNATURAS!$B$2:$J$91,9,FALSE()),""))</f>
      </c>
    </row>
    <row r="7487">
      <c r="F7487">
        <f>IF(DATOS!$A7487="","",DATOS!$A7487&amp;"|"&amp;DATOS!$D7487&amp;"|"&amp;DATOS!$E7487&amp;"|"&amp;DATOS!$I7487)</f>
      </c>
      <c r="G7487">
        <f>IF(DATOS!$A7487="",0,IF(CONFIG_METADATA!$B$4&lt;&gt;"OR+EX",--(DATOS!$G7487=CONFIG_METADATA!$B$4),IF(DATOS!$G7487="EX",1,IF(DATOS!$G7487="OR",--(COUNTIFS(nNIA,DATOS!$A7487,nCURSO,DATOS!$D7487,nESPEC,DATOS!$E7487,nASIG,DATOS!$I7487,nEVAL,"EX")=0),0))))</f>
      </c>
      <c r="H7487">
        <f>IF(DATOS!$G7487&lt;&gt;"EX",0,--(COUNTIFS(nNIA,DATOS!$A7487,nCURSO,DATOS!$D7487,nESPEC,DATOS!$E7487,nASIG,DATOS!$I7487,nEVAL,"OR")=0))</f>
      </c>
      <c r="I7487">
        <f>IF(DATOS!$I7487="","",IFERROR(VLOOKUP(DATOS!$I7487,CONFIG_ASIGNATURAS!$B$2:$J$91,9,FALSE()),""))</f>
      </c>
    </row>
    <row r="7488">
      <c r="F7488">
        <f>IF(DATOS!$A7488="","",DATOS!$A7488&amp;"|"&amp;DATOS!$D7488&amp;"|"&amp;DATOS!$E7488&amp;"|"&amp;DATOS!$I7488)</f>
      </c>
      <c r="G7488">
        <f>IF(DATOS!$A7488="",0,IF(CONFIG_METADATA!$B$4&lt;&gt;"OR+EX",--(DATOS!$G7488=CONFIG_METADATA!$B$4),IF(DATOS!$G7488="EX",1,IF(DATOS!$G7488="OR",--(COUNTIFS(nNIA,DATOS!$A7488,nCURSO,DATOS!$D7488,nESPEC,DATOS!$E7488,nASIG,DATOS!$I7488,nEVAL,"EX")=0),0))))</f>
      </c>
      <c r="H7488">
        <f>IF(DATOS!$G7488&lt;&gt;"EX",0,--(COUNTIFS(nNIA,DATOS!$A7488,nCURSO,DATOS!$D7488,nESPEC,DATOS!$E7488,nASIG,DATOS!$I7488,nEVAL,"OR")=0))</f>
      </c>
      <c r="I7488">
        <f>IF(DATOS!$I7488="","",IFERROR(VLOOKUP(DATOS!$I7488,CONFIG_ASIGNATURAS!$B$2:$J$91,9,FALSE()),""))</f>
      </c>
    </row>
    <row r="7489">
      <c r="F7489">
        <f>IF(DATOS!$A7489="","",DATOS!$A7489&amp;"|"&amp;DATOS!$D7489&amp;"|"&amp;DATOS!$E7489&amp;"|"&amp;DATOS!$I7489)</f>
      </c>
      <c r="G7489">
        <f>IF(DATOS!$A7489="",0,IF(CONFIG_METADATA!$B$4&lt;&gt;"OR+EX",--(DATOS!$G7489=CONFIG_METADATA!$B$4),IF(DATOS!$G7489="EX",1,IF(DATOS!$G7489="OR",--(COUNTIFS(nNIA,DATOS!$A7489,nCURSO,DATOS!$D7489,nESPEC,DATOS!$E7489,nASIG,DATOS!$I7489,nEVAL,"EX")=0),0))))</f>
      </c>
      <c r="H7489">
        <f>IF(DATOS!$G7489&lt;&gt;"EX",0,--(COUNTIFS(nNIA,DATOS!$A7489,nCURSO,DATOS!$D7489,nESPEC,DATOS!$E7489,nASIG,DATOS!$I7489,nEVAL,"OR")=0))</f>
      </c>
      <c r="I7489">
        <f>IF(DATOS!$I7489="","",IFERROR(VLOOKUP(DATOS!$I7489,CONFIG_ASIGNATURAS!$B$2:$J$91,9,FALSE()),""))</f>
      </c>
    </row>
    <row r="7490">
      <c r="F7490">
        <f>IF(DATOS!$A7490="","",DATOS!$A7490&amp;"|"&amp;DATOS!$D7490&amp;"|"&amp;DATOS!$E7490&amp;"|"&amp;DATOS!$I7490)</f>
      </c>
      <c r="G7490">
        <f>IF(DATOS!$A7490="",0,IF(CONFIG_METADATA!$B$4&lt;&gt;"OR+EX",--(DATOS!$G7490=CONFIG_METADATA!$B$4),IF(DATOS!$G7490="EX",1,IF(DATOS!$G7490="OR",--(COUNTIFS(nNIA,DATOS!$A7490,nCURSO,DATOS!$D7490,nESPEC,DATOS!$E7490,nASIG,DATOS!$I7490,nEVAL,"EX")=0),0))))</f>
      </c>
      <c r="H7490">
        <f>IF(DATOS!$G7490&lt;&gt;"EX",0,--(COUNTIFS(nNIA,DATOS!$A7490,nCURSO,DATOS!$D7490,nESPEC,DATOS!$E7490,nASIG,DATOS!$I7490,nEVAL,"OR")=0))</f>
      </c>
      <c r="I7490">
        <f>IF(DATOS!$I7490="","",IFERROR(VLOOKUP(DATOS!$I7490,CONFIG_ASIGNATURAS!$B$2:$J$91,9,FALSE()),""))</f>
      </c>
    </row>
    <row r="7491">
      <c r="F7491">
        <f>IF(DATOS!$A7491="","",DATOS!$A7491&amp;"|"&amp;DATOS!$D7491&amp;"|"&amp;DATOS!$E7491&amp;"|"&amp;DATOS!$I7491)</f>
      </c>
      <c r="G7491">
        <f>IF(DATOS!$A7491="",0,IF(CONFIG_METADATA!$B$4&lt;&gt;"OR+EX",--(DATOS!$G7491=CONFIG_METADATA!$B$4),IF(DATOS!$G7491="EX",1,IF(DATOS!$G7491="OR",--(COUNTIFS(nNIA,DATOS!$A7491,nCURSO,DATOS!$D7491,nESPEC,DATOS!$E7491,nASIG,DATOS!$I7491,nEVAL,"EX")=0),0))))</f>
      </c>
      <c r="H7491">
        <f>IF(DATOS!$G7491&lt;&gt;"EX",0,--(COUNTIFS(nNIA,DATOS!$A7491,nCURSO,DATOS!$D7491,nESPEC,DATOS!$E7491,nASIG,DATOS!$I7491,nEVAL,"OR")=0))</f>
      </c>
      <c r="I7491">
        <f>IF(DATOS!$I7491="","",IFERROR(VLOOKUP(DATOS!$I7491,CONFIG_ASIGNATURAS!$B$2:$J$91,9,FALSE()),""))</f>
      </c>
    </row>
    <row r="7492">
      <c r="F7492">
        <f>IF(DATOS!$A7492="","",DATOS!$A7492&amp;"|"&amp;DATOS!$D7492&amp;"|"&amp;DATOS!$E7492&amp;"|"&amp;DATOS!$I7492)</f>
      </c>
      <c r="G7492">
        <f>IF(DATOS!$A7492="",0,IF(CONFIG_METADATA!$B$4&lt;&gt;"OR+EX",--(DATOS!$G7492=CONFIG_METADATA!$B$4),IF(DATOS!$G7492="EX",1,IF(DATOS!$G7492="OR",--(COUNTIFS(nNIA,DATOS!$A7492,nCURSO,DATOS!$D7492,nESPEC,DATOS!$E7492,nASIG,DATOS!$I7492,nEVAL,"EX")=0),0))))</f>
      </c>
      <c r="H7492">
        <f>IF(DATOS!$G7492&lt;&gt;"EX",0,--(COUNTIFS(nNIA,DATOS!$A7492,nCURSO,DATOS!$D7492,nESPEC,DATOS!$E7492,nASIG,DATOS!$I7492,nEVAL,"OR")=0))</f>
      </c>
      <c r="I7492">
        <f>IF(DATOS!$I7492="","",IFERROR(VLOOKUP(DATOS!$I7492,CONFIG_ASIGNATURAS!$B$2:$J$91,9,FALSE()),""))</f>
      </c>
    </row>
    <row r="7493">
      <c r="F7493">
        <f>IF(DATOS!$A7493="","",DATOS!$A7493&amp;"|"&amp;DATOS!$D7493&amp;"|"&amp;DATOS!$E7493&amp;"|"&amp;DATOS!$I7493)</f>
      </c>
      <c r="G7493">
        <f>IF(DATOS!$A7493="",0,IF(CONFIG_METADATA!$B$4&lt;&gt;"OR+EX",--(DATOS!$G7493=CONFIG_METADATA!$B$4),IF(DATOS!$G7493="EX",1,IF(DATOS!$G7493="OR",--(COUNTIFS(nNIA,DATOS!$A7493,nCURSO,DATOS!$D7493,nESPEC,DATOS!$E7493,nASIG,DATOS!$I7493,nEVAL,"EX")=0),0))))</f>
      </c>
      <c r="H7493">
        <f>IF(DATOS!$G7493&lt;&gt;"EX",0,--(COUNTIFS(nNIA,DATOS!$A7493,nCURSO,DATOS!$D7493,nESPEC,DATOS!$E7493,nASIG,DATOS!$I7493,nEVAL,"OR")=0))</f>
      </c>
      <c r="I7493">
        <f>IF(DATOS!$I7493="","",IFERROR(VLOOKUP(DATOS!$I7493,CONFIG_ASIGNATURAS!$B$2:$J$91,9,FALSE()),""))</f>
      </c>
    </row>
    <row r="7494">
      <c r="F7494">
        <f>IF(DATOS!$A7494="","",DATOS!$A7494&amp;"|"&amp;DATOS!$D7494&amp;"|"&amp;DATOS!$E7494&amp;"|"&amp;DATOS!$I7494)</f>
      </c>
      <c r="G7494">
        <f>IF(DATOS!$A7494="",0,IF(CONFIG_METADATA!$B$4&lt;&gt;"OR+EX",--(DATOS!$G7494=CONFIG_METADATA!$B$4),IF(DATOS!$G7494="EX",1,IF(DATOS!$G7494="OR",--(COUNTIFS(nNIA,DATOS!$A7494,nCURSO,DATOS!$D7494,nESPEC,DATOS!$E7494,nASIG,DATOS!$I7494,nEVAL,"EX")=0),0))))</f>
      </c>
      <c r="H7494">
        <f>IF(DATOS!$G7494&lt;&gt;"EX",0,--(COUNTIFS(nNIA,DATOS!$A7494,nCURSO,DATOS!$D7494,nESPEC,DATOS!$E7494,nASIG,DATOS!$I7494,nEVAL,"OR")=0))</f>
      </c>
      <c r="I7494">
        <f>IF(DATOS!$I7494="","",IFERROR(VLOOKUP(DATOS!$I7494,CONFIG_ASIGNATURAS!$B$2:$J$91,9,FALSE()),""))</f>
      </c>
    </row>
    <row r="7495">
      <c r="F7495">
        <f>IF(DATOS!$A7495="","",DATOS!$A7495&amp;"|"&amp;DATOS!$D7495&amp;"|"&amp;DATOS!$E7495&amp;"|"&amp;DATOS!$I7495)</f>
      </c>
      <c r="G7495">
        <f>IF(DATOS!$A7495="",0,IF(CONFIG_METADATA!$B$4&lt;&gt;"OR+EX",--(DATOS!$G7495=CONFIG_METADATA!$B$4),IF(DATOS!$G7495="EX",1,IF(DATOS!$G7495="OR",--(COUNTIFS(nNIA,DATOS!$A7495,nCURSO,DATOS!$D7495,nESPEC,DATOS!$E7495,nASIG,DATOS!$I7495,nEVAL,"EX")=0),0))))</f>
      </c>
      <c r="H7495">
        <f>IF(DATOS!$G7495&lt;&gt;"EX",0,--(COUNTIFS(nNIA,DATOS!$A7495,nCURSO,DATOS!$D7495,nESPEC,DATOS!$E7495,nASIG,DATOS!$I7495,nEVAL,"OR")=0))</f>
      </c>
      <c r="I7495">
        <f>IF(DATOS!$I7495="","",IFERROR(VLOOKUP(DATOS!$I7495,CONFIG_ASIGNATURAS!$B$2:$J$91,9,FALSE()),""))</f>
      </c>
    </row>
    <row r="7496">
      <c r="F7496">
        <f>IF(DATOS!$A7496="","",DATOS!$A7496&amp;"|"&amp;DATOS!$D7496&amp;"|"&amp;DATOS!$E7496&amp;"|"&amp;DATOS!$I7496)</f>
      </c>
      <c r="G7496">
        <f>IF(DATOS!$A7496="",0,IF(CONFIG_METADATA!$B$4&lt;&gt;"OR+EX",--(DATOS!$G7496=CONFIG_METADATA!$B$4),IF(DATOS!$G7496="EX",1,IF(DATOS!$G7496="OR",--(COUNTIFS(nNIA,DATOS!$A7496,nCURSO,DATOS!$D7496,nESPEC,DATOS!$E7496,nASIG,DATOS!$I7496,nEVAL,"EX")=0),0))))</f>
      </c>
      <c r="H7496">
        <f>IF(DATOS!$G7496&lt;&gt;"EX",0,--(COUNTIFS(nNIA,DATOS!$A7496,nCURSO,DATOS!$D7496,nESPEC,DATOS!$E7496,nASIG,DATOS!$I7496,nEVAL,"OR")=0))</f>
      </c>
      <c r="I7496">
        <f>IF(DATOS!$I7496="","",IFERROR(VLOOKUP(DATOS!$I7496,CONFIG_ASIGNATURAS!$B$2:$J$91,9,FALSE()),""))</f>
      </c>
    </row>
    <row r="7497">
      <c r="F7497">
        <f>IF(DATOS!$A7497="","",DATOS!$A7497&amp;"|"&amp;DATOS!$D7497&amp;"|"&amp;DATOS!$E7497&amp;"|"&amp;DATOS!$I7497)</f>
      </c>
      <c r="G7497">
        <f>IF(DATOS!$A7497="",0,IF(CONFIG_METADATA!$B$4&lt;&gt;"OR+EX",--(DATOS!$G7497=CONFIG_METADATA!$B$4),IF(DATOS!$G7497="EX",1,IF(DATOS!$G7497="OR",--(COUNTIFS(nNIA,DATOS!$A7497,nCURSO,DATOS!$D7497,nESPEC,DATOS!$E7497,nASIG,DATOS!$I7497,nEVAL,"EX")=0),0))))</f>
      </c>
      <c r="H7497">
        <f>IF(DATOS!$G7497&lt;&gt;"EX",0,--(COUNTIFS(nNIA,DATOS!$A7497,nCURSO,DATOS!$D7497,nESPEC,DATOS!$E7497,nASIG,DATOS!$I7497,nEVAL,"OR")=0))</f>
      </c>
      <c r="I7497">
        <f>IF(DATOS!$I7497="","",IFERROR(VLOOKUP(DATOS!$I7497,CONFIG_ASIGNATURAS!$B$2:$J$91,9,FALSE()),""))</f>
      </c>
    </row>
    <row r="7498">
      <c r="F7498">
        <f>IF(DATOS!$A7498="","",DATOS!$A7498&amp;"|"&amp;DATOS!$D7498&amp;"|"&amp;DATOS!$E7498&amp;"|"&amp;DATOS!$I7498)</f>
      </c>
      <c r="G7498">
        <f>IF(DATOS!$A7498="",0,IF(CONFIG_METADATA!$B$4&lt;&gt;"OR+EX",--(DATOS!$G7498=CONFIG_METADATA!$B$4),IF(DATOS!$G7498="EX",1,IF(DATOS!$G7498="OR",--(COUNTIFS(nNIA,DATOS!$A7498,nCURSO,DATOS!$D7498,nESPEC,DATOS!$E7498,nASIG,DATOS!$I7498,nEVAL,"EX")=0),0))))</f>
      </c>
      <c r="H7498">
        <f>IF(DATOS!$G7498&lt;&gt;"EX",0,--(COUNTIFS(nNIA,DATOS!$A7498,nCURSO,DATOS!$D7498,nESPEC,DATOS!$E7498,nASIG,DATOS!$I7498,nEVAL,"OR")=0))</f>
      </c>
      <c r="I7498">
        <f>IF(DATOS!$I7498="","",IFERROR(VLOOKUP(DATOS!$I7498,CONFIG_ASIGNATURAS!$B$2:$J$91,9,FALSE()),""))</f>
      </c>
    </row>
    <row r="7499">
      <c r="F7499">
        <f>IF(DATOS!$A7499="","",DATOS!$A7499&amp;"|"&amp;DATOS!$D7499&amp;"|"&amp;DATOS!$E7499&amp;"|"&amp;DATOS!$I7499)</f>
      </c>
      <c r="G7499">
        <f>IF(DATOS!$A7499="",0,IF(CONFIG_METADATA!$B$4&lt;&gt;"OR+EX",--(DATOS!$G7499=CONFIG_METADATA!$B$4),IF(DATOS!$G7499="EX",1,IF(DATOS!$G7499="OR",--(COUNTIFS(nNIA,DATOS!$A7499,nCURSO,DATOS!$D7499,nESPEC,DATOS!$E7499,nASIG,DATOS!$I7499,nEVAL,"EX")=0),0))))</f>
      </c>
      <c r="H7499">
        <f>IF(DATOS!$G7499&lt;&gt;"EX",0,--(COUNTIFS(nNIA,DATOS!$A7499,nCURSO,DATOS!$D7499,nESPEC,DATOS!$E7499,nASIG,DATOS!$I7499,nEVAL,"OR")=0))</f>
      </c>
      <c r="I7499">
        <f>IF(DATOS!$I7499="","",IFERROR(VLOOKUP(DATOS!$I7499,CONFIG_ASIGNATURAS!$B$2:$J$91,9,FALSE()),""))</f>
      </c>
    </row>
    <row r="7500">
      <c r="F7500">
        <f>IF(DATOS!$A7500="","",DATOS!$A7500&amp;"|"&amp;DATOS!$D7500&amp;"|"&amp;DATOS!$E7500&amp;"|"&amp;DATOS!$I7500)</f>
      </c>
      <c r="G7500">
        <f>IF(DATOS!$A7500="",0,IF(CONFIG_METADATA!$B$4&lt;&gt;"OR+EX",--(DATOS!$G7500=CONFIG_METADATA!$B$4),IF(DATOS!$G7500="EX",1,IF(DATOS!$G7500="OR",--(COUNTIFS(nNIA,DATOS!$A7500,nCURSO,DATOS!$D7500,nESPEC,DATOS!$E7500,nASIG,DATOS!$I7500,nEVAL,"EX")=0),0))))</f>
      </c>
      <c r="H7500">
        <f>IF(DATOS!$G7500&lt;&gt;"EX",0,--(COUNTIFS(nNIA,DATOS!$A7500,nCURSO,DATOS!$D7500,nESPEC,DATOS!$E7500,nASIG,DATOS!$I7500,nEVAL,"OR")=0))</f>
      </c>
      <c r="I7500">
        <f>IF(DATOS!$I7500="","",IFERROR(VLOOKUP(DATOS!$I7500,CONFIG_ASIGNATURAS!$B$2:$J$91,9,FALSE()),""))</f>
      </c>
    </row>
    <row r="7501">
      <c r="F7501">
        <f>IF(DATOS!$A7501="","",DATOS!$A7501&amp;"|"&amp;DATOS!$D7501&amp;"|"&amp;DATOS!$E7501&amp;"|"&amp;DATOS!$I7501)</f>
      </c>
      <c r="G7501">
        <f>IF(DATOS!$A7501="",0,IF(CONFIG_METADATA!$B$4&lt;&gt;"OR+EX",--(DATOS!$G7501=CONFIG_METADATA!$B$4),IF(DATOS!$G7501="EX",1,IF(DATOS!$G7501="OR",--(COUNTIFS(nNIA,DATOS!$A7501,nCURSO,DATOS!$D7501,nESPEC,DATOS!$E7501,nASIG,DATOS!$I7501,nEVAL,"EX")=0),0))))</f>
      </c>
      <c r="H7501">
        <f>IF(DATOS!$G7501&lt;&gt;"EX",0,--(COUNTIFS(nNIA,DATOS!$A7501,nCURSO,DATOS!$D7501,nESPEC,DATOS!$E7501,nASIG,DATOS!$I7501,nEVAL,"OR")=0))</f>
      </c>
      <c r="I7501">
        <f>IF(DATOS!$I7501="","",IFERROR(VLOOKUP(DATOS!$I7501,CONFIG_ASIGNATURAS!$B$2:$J$91,9,FALSE()),""))</f>
      </c>
    </row>
    <row r="7502">
      <c r="F7502">
        <f>IF(DATOS!$A7502="","",DATOS!$A7502&amp;"|"&amp;DATOS!$D7502&amp;"|"&amp;DATOS!$E7502&amp;"|"&amp;DATOS!$I7502)</f>
      </c>
      <c r="G7502">
        <f>IF(DATOS!$A7502="",0,IF(CONFIG_METADATA!$B$4&lt;&gt;"OR+EX",--(DATOS!$G7502=CONFIG_METADATA!$B$4),IF(DATOS!$G7502="EX",1,IF(DATOS!$G7502="OR",--(COUNTIFS(nNIA,DATOS!$A7502,nCURSO,DATOS!$D7502,nESPEC,DATOS!$E7502,nASIG,DATOS!$I7502,nEVAL,"EX")=0),0))))</f>
      </c>
      <c r="H7502">
        <f>IF(DATOS!$G7502&lt;&gt;"EX",0,--(COUNTIFS(nNIA,DATOS!$A7502,nCURSO,DATOS!$D7502,nESPEC,DATOS!$E7502,nASIG,DATOS!$I7502,nEVAL,"OR")=0))</f>
      </c>
      <c r="I7502">
        <f>IF(DATOS!$I7502="","",IFERROR(VLOOKUP(DATOS!$I7502,CONFIG_ASIGNATURAS!$B$2:$J$91,9,FALSE()),""))</f>
      </c>
    </row>
    <row r="7503">
      <c r="F7503">
        <f>IF(DATOS!$A7503="","",DATOS!$A7503&amp;"|"&amp;DATOS!$D7503&amp;"|"&amp;DATOS!$E7503&amp;"|"&amp;DATOS!$I7503)</f>
      </c>
      <c r="G7503">
        <f>IF(DATOS!$A7503="",0,IF(CONFIG_METADATA!$B$4&lt;&gt;"OR+EX",--(DATOS!$G7503=CONFIG_METADATA!$B$4),IF(DATOS!$G7503="EX",1,IF(DATOS!$G7503="OR",--(COUNTIFS(nNIA,DATOS!$A7503,nCURSO,DATOS!$D7503,nESPEC,DATOS!$E7503,nASIG,DATOS!$I7503,nEVAL,"EX")=0),0))))</f>
      </c>
      <c r="H7503">
        <f>IF(DATOS!$G7503&lt;&gt;"EX",0,--(COUNTIFS(nNIA,DATOS!$A7503,nCURSO,DATOS!$D7503,nESPEC,DATOS!$E7503,nASIG,DATOS!$I7503,nEVAL,"OR")=0))</f>
      </c>
      <c r="I7503">
        <f>IF(DATOS!$I7503="","",IFERROR(VLOOKUP(DATOS!$I7503,CONFIG_ASIGNATURAS!$B$2:$J$91,9,FALSE()),""))</f>
      </c>
    </row>
    <row r="7504">
      <c r="F7504">
        <f>IF(DATOS!$A7504="","",DATOS!$A7504&amp;"|"&amp;DATOS!$D7504&amp;"|"&amp;DATOS!$E7504&amp;"|"&amp;DATOS!$I7504)</f>
      </c>
      <c r="G7504">
        <f>IF(DATOS!$A7504="",0,IF(CONFIG_METADATA!$B$4&lt;&gt;"OR+EX",--(DATOS!$G7504=CONFIG_METADATA!$B$4),IF(DATOS!$G7504="EX",1,IF(DATOS!$G7504="OR",--(COUNTIFS(nNIA,DATOS!$A7504,nCURSO,DATOS!$D7504,nESPEC,DATOS!$E7504,nASIG,DATOS!$I7504,nEVAL,"EX")=0),0))))</f>
      </c>
      <c r="H7504">
        <f>IF(DATOS!$G7504&lt;&gt;"EX",0,--(COUNTIFS(nNIA,DATOS!$A7504,nCURSO,DATOS!$D7504,nESPEC,DATOS!$E7504,nASIG,DATOS!$I7504,nEVAL,"OR")=0))</f>
      </c>
      <c r="I7504">
        <f>IF(DATOS!$I7504="","",IFERROR(VLOOKUP(DATOS!$I7504,CONFIG_ASIGNATURAS!$B$2:$J$91,9,FALSE()),""))</f>
      </c>
    </row>
    <row r="7505">
      <c r="F7505">
        <f>IF(DATOS!$A7505="","",DATOS!$A7505&amp;"|"&amp;DATOS!$D7505&amp;"|"&amp;DATOS!$E7505&amp;"|"&amp;DATOS!$I7505)</f>
      </c>
      <c r="G7505">
        <f>IF(DATOS!$A7505="",0,IF(CONFIG_METADATA!$B$4&lt;&gt;"OR+EX",--(DATOS!$G7505=CONFIG_METADATA!$B$4),IF(DATOS!$G7505="EX",1,IF(DATOS!$G7505="OR",--(COUNTIFS(nNIA,DATOS!$A7505,nCURSO,DATOS!$D7505,nESPEC,DATOS!$E7505,nASIG,DATOS!$I7505,nEVAL,"EX")=0),0))))</f>
      </c>
      <c r="H7505">
        <f>IF(DATOS!$G7505&lt;&gt;"EX",0,--(COUNTIFS(nNIA,DATOS!$A7505,nCURSO,DATOS!$D7505,nESPEC,DATOS!$E7505,nASIG,DATOS!$I7505,nEVAL,"OR")=0))</f>
      </c>
      <c r="I7505">
        <f>IF(DATOS!$I7505="","",IFERROR(VLOOKUP(DATOS!$I7505,CONFIG_ASIGNATURAS!$B$2:$J$91,9,FALSE()),""))</f>
      </c>
    </row>
    <row r="7506">
      <c r="F7506">
        <f>IF(DATOS!$A7506="","",DATOS!$A7506&amp;"|"&amp;DATOS!$D7506&amp;"|"&amp;DATOS!$E7506&amp;"|"&amp;DATOS!$I7506)</f>
      </c>
      <c r="G7506">
        <f>IF(DATOS!$A7506="",0,IF(CONFIG_METADATA!$B$4&lt;&gt;"OR+EX",--(DATOS!$G7506=CONFIG_METADATA!$B$4),IF(DATOS!$G7506="EX",1,IF(DATOS!$G7506="OR",--(COUNTIFS(nNIA,DATOS!$A7506,nCURSO,DATOS!$D7506,nESPEC,DATOS!$E7506,nASIG,DATOS!$I7506,nEVAL,"EX")=0),0))))</f>
      </c>
      <c r="H7506">
        <f>IF(DATOS!$G7506&lt;&gt;"EX",0,--(COUNTIFS(nNIA,DATOS!$A7506,nCURSO,DATOS!$D7506,nESPEC,DATOS!$E7506,nASIG,DATOS!$I7506,nEVAL,"OR")=0))</f>
      </c>
      <c r="I7506">
        <f>IF(DATOS!$I7506="","",IFERROR(VLOOKUP(DATOS!$I7506,CONFIG_ASIGNATURAS!$B$2:$J$91,9,FALSE()),""))</f>
      </c>
    </row>
    <row r="7507">
      <c r="F7507">
        <f>IF(DATOS!$A7507="","",DATOS!$A7507&amp;"|"&amp;DATOS!$D7507&amp;"|"&amp;DATOS!$E7507&amp;"|"&amp;DATOS!$I7507)</f>
      </c>
      <c r="G7507">
        <f>IF(DATOS!$A7507="",0,IF(CONFIG_METADATA!$B$4&lt;&gt;"OR+EX",--(DATOS!$G7507=CONFIG_METADATA!$B$4),IF(DATOS!$G7507="EX",1,IF(DATOS!$G7507="OR",--(COUNTIFS(nNIA,DATOS!$A7507,nCURSO,DATOS!$D7507,nESPEC,DATOS!$E7507,nASIG,DATOS!$I7507,nEVAL,"EX")=0),0))))</f>
      </c>
      <c r="H7507">
        <f>IF(DATOS!$G7507&lt;&gt;"EX",0,--(COUNTIFS(nNIA,DATOS!$A7507,nCURSO,DATOS!$D7507,nESPEC,DATOS!$E7507,nASIG,DATOS!$I7507,nEVAL,"OR")=0))</f>
      </c>
      <c r="I7507">
        <f>IF(DATOS!$I7507="","",IFERROR(VLOOKUP(DATOS!$I7507,CONFIG_ASIGNATURAS!$B$2:$J$91,9,FALSE()),""))</f>
      </c>
    </row>
    <row r="7508">
      <c r="F7508">
        <f>IF(DATOS!$A7508="","",DATOS!$A7508&amp;"|"&amp;DATOS!$D7508&amp;"|"&amp;DATOS!$E7508&amp;"|"&amp;DATOS!$I7508)</f>
      </c>
      <c r="G7508">
        <f>IF(DATOS!$A7508="",0,IF(CONFIG_METADATA!$B$4&lt;&gt;"OR+EX",--(DATOS!$G7508=CONFIG_METADATA!$B$4),IF(DATOS!$G7508="EX",1,IF(DATOS!$G7508="OR",--(COUNTIFS(nNIA,DATOS!$A7508,nCURSO,DATOS!$D7508,nESPEC,DATOS!$E7508,nASIG,DATOS!$I7508,nEVAL,"EX")=0),0))))</f>
      </c>
      <c r="H7508">
        <f>IF(DATOS!$G7508&lt;&gt;"EX",0,--(COUNTIFS(nNIA,DATOS!$A7508,nCURSO,DATOS!$D7508,nESPEC,DATOS!$E7508,nASIG,DATOS!$I7508,nEVAL,"OR")=0))</f>
      </c>
      <c r="I7508">
        <f>IF(DATOS!$I7508="","",IFERROR(VLOOKUP(DATOS!$I7508,CONFIG_ASIGNATURAS!$B$2:$J$91,9,FALSE()),""))</f>
      </c>
    </row>
    <row r="7509">
      <c r="F7509">
        <f>IF(DATOS!$A7509="","",DATOS!$A7509&amp;"|"&amp;DATOS!$D7509&amp;"|"&amp;DATOS!$E7509&amp;"|"&amp;DATOS!$I7509)</f>
      </c>
      <c r="G7509">
        <f>IF(DATOS!$A7509="",0,IF(CONFIG_METADATA!$B$4&lt;&gt;"OR+EX",--(DATOS!$G7509=CONFIG_METADATA!$B$4),IF(DATOS!$G7509="EX",1,IF(DATOS!$G7509="OR",--(COUNTIFS(nNIA,DATOS!$A7509,nCURSO,DATOS!$D7509,nESPEC,DATOS!$E7509,nASIG,DATOS!$I7509,nEVAL,"EX")=0),0))))</f>
      </c>
      <c r="H7509">
        <f>IF(DATOS!$G7509&lt;&gt;"EX",0,--(COUNTIFS(nNIA,DATOS!$A7509,nCURSO,DATOS!$D7509,nESPEC,DATOS!$E7509,nASIG,DATOS!$I7509,nEVAL,"OR")=0))</f>
      </c>
      <c r="I7509">
        <f>IF(DATOS!$I7509="","",IFERROR(VLOOKUP(DATOS!$I7509,CONFIG_ASIGNATURAS!$B$2:$J$91,9,FALSE()),""))</f>
      </c>
    </row>
    <row r="7510">
      <c r="F7510">
        <f>IF(DATOS!$A7510="","",DATOS!$A7510&amp;"|"&amp;DATOS!$D7510&amp;"|"&amp;DATOS!$E7510&amp;"|"&amp;DATOS!$I7510)</f>
      </c>
      <c r="G7510">
        <f>IF(DATOS!$A7510="",0,IF(CONFIG_METADATA!$B$4&lt;&gt;"OR+EX",--(DATOS!$G7510=CONFIG_METADATA!$B$4),IF(DATOS!$G7510="EX",1,IF(DATOS!$G7510="OR",--(COUNTIFS(nNIA,DATOS!$A7510,nCURSO,DATOS!$D7510,nESPEC,DATOS!$E7510,nASIG,DATOS!$I7510,nEVAL,"EX")=0),0))))</f>
      </c>
      <c r="H7510">
        <f>IF(DATOS!$G7510&lt;&gt;"EX",0,--(COUNTIFS(nNIA,DATOS!$A7510,nCURSO,DATOS!$D7510,nESPEC,DATOS!$E7510,nASIG,DATOS!$I7510,nEVAL,"OR")=0))</f>
      </c>
      <c r="I7510">
        <f>IF(DATOS!$I7510="","",IFERROR(VLOOKUP(DATOS!$I7510,CONFIG_ASIGNATURAS!$B$2:$J$91,9,FALSE()),""))</f>
      </c>
    </row>
    <row r="7511">
      <c r="F7511">
        <f>IF(DATOS!$A7511="","",DATOS!$A7511&amp;"|"&amp;DATOS!$D7511&amp;"|"&amp;DATOS!$E7511&amp;"|"&amp;DATOS!$I7511)</f>
      </c>
      <c r="G7511">
        <f>IF(DATOS!$A7511="",0,IF(CONFIG_METADATA!$B$4&lt;&gt;"OR+EX",--(DATOS!$G7511=CONFIG_METADATA!$B$4),IF(DATOS!$G7511="EX",1,IF(DATOS!$G7511="OR",--(COUNTIFS(nNIA,DATOS!$A7511,nCURSO,DATOS!$D7511,nESPEC,DATOS!$E7511,nASIG,DATOS!$I7511,nEVAL,"EX")=0),0))))</f>
      </c>
      <c r="H7511">
        <f>IF(DATOS!$G7511&lt;&gt;"EX",0,--(COUNTIFS(nNIA,DATOS!$A7511,nCURSO,DATOS!$D7511,nESPEC,DATOS!$E7511,nASIG,DATOS!$I7511,nEVAL,"OR")=0))</f>
      </c>
      <c r="I7511">
        <f>IF(DATOS!$I7511="","",IFERROR(VLOOKUP(DATOS!$I7511,CONFIG_ASIGNATURAS!$B$2:$J$91,9,FALSE()),""))</f>
      </c>
    </row>
    <row r="7512">
      <c r="F7512">
        <f>IF(DATOS!$A7512="","",DATOS!$A7512&amp;"|"&amp;DATOS!$D7512&amp;"|"&amp;DATOS!$E7512&amp;"|"&amp;DATOS!$I7512)</f>
      </c>
      <c r="G7512">
        <f>IF(DATOS!$A7512="",0,IF(CONFIG_METADATA!$B$4&lt;&gt;"OR+EX",--(DATOS!$G7512=CONFIG_METADATA!$B$4),IF(DATOS!$G7512="EX",1,IF(DATOS!$G7512="OR",--(COUNTIFS(nNIA,DATOS!$A7512,nCURSO,DATOS!$D7512,nESPEC,DATOS!$E7512,nASIG,DATOS!$I7512,nEVAL,"EX")=0),0))))</f>
      </c>
      <c r="H7512">
        <f>IF(DATOS!$G7512&lt;&gt;"EX",0,--(COUNTIFS(nNIA,DATOS!$A7512,nCURSO,DATOS!$D7512,nESPEC,DATOS!$E7512,nASIG,DATOS!$I7512,nEVAL,"OR")=0))</f>
      </c>
      <c r="I7512">
        <f>IF(DATOS!$I7512="","",IFERROR(VLOOKUP(DATOS!$I7512,CONFIG_ASIGNATURAS!$B$2:$J$91,9,FALSE()),""))</f>
      </c>
    </row>
    <row r="7513">
      <c r="F7513">
        <f>IF(DATOS!$A7513="","",DATOS!$A7513&amp;"|"&amp;DATOS!$D7513&amp;"|"&amp;DATOS!$E7513&amp;"|"&amp;DATOS!$I7513)</f>
      </c>
      <c r="G7513">
        <f>IF(DATOS!$A7513="",0,IF(CONFIG_METADATA!$B$4&lt;&gt;"OR+EX",--(DATOS!$G7513=CONFIG_METADATA!$B$4),IF(DATOS!$G7513="EX",1,IF(DATOS!$G7513="OR",--(COUNTIFS(nNIA,DATOS!$A7513,nCURSO,DATOS!$D7513,nESPEC,DATOS!$E7513,nASIG,DATOS!$I7513,nEVAL,"EX")=0),0))))</f>
      </c>
      <c r="H7513">
        <f>IF(DATOS!$G7513&lt;&gt;"EX",0,--(COUNTIFS(nNIA,DATOS!$A7513,nCURSO,DATOS!$D7513,nESPEC,DATOS!$E7513,nASIG,DATOS!$I7513,nEVAL,"OR")=0))</f>
      </c>
      <c r="I7513">
        <f>IF(DATOS!$I7513="","",IFERROR(VLOOKUP(DATOS!$I7513,CONFIG_ASIGNATURAS!$B$2:$J$91,9,FALSE()),""))</f>
      </c>
    </row>
    <row r="7514">
      <c r="F7514">
        <f>IF(DATOS!$A7514="","",DATOS!$A7514&amp;"|"&amp;DATOS!$D7514&amp;"|"&amp;DATOS!$E7514&amp;"|"&amp;DATOS!$I7514)</f>
      </c>
      <c r="G7514">
        <f>IF(DATOS!$A7514="",0,IF(CONFIG_METADATA!$B$4&lt;&gt;"OR+EX",--(DATOS!$G7514=CONFIG_METADATA!$B$4),IF(DATOS!$G7514="EX",1,IF(DATOS!$G7514="OR",--(COUNTIFS(nNIA,DATOS!$A7514,nCURSO,DATOS!$D7514,nESPEC,DATOS!$E7514,nASIG,DATOS!$I7514,nEVAL,"EX")=0),0))))</f>
      </c>
      <c r="H7514">
        <f>IF(DATOS!$G7514&lt;&gt;"EX",0,--(COUNTIFS(nNIA,DATOS!$A7514,nCURSO,DATOS!$D7514,nESPEC,DATOS!$E7514,nASIG,DATOS!$I7514,nEVAL,"OR")=0))</f>
      </c>
      <c r="I7514">
        <f>IF(DATOS!$I7514="","",IFERROR(VLOOKUP(DATOS!$I7514,CONFIG_ASIGNATURAS!$B$2:$J$91,9,FALSE()),""))</f>
      </c>
    </row>
    <row r="7515">
      <c r="F7515">
        <f>IF(DATOS!$A7515="","",DATOS!$A7515&amp;"|"&amp;DATOS!$D7515&amp;"|"&amp;DATOS!$E7515&amp;"|"&amp;DATOS!$I7515)</f>
      </c>
      <c r="G7515">
        <f>IF(DATOS!$A7515="",0,IF(CONFIG_METADATA!$B$4&lt;&gt;"OR+EX",--(DATOS!$G7515=CONFIG_METADATA!$B$4),IF(DATOS!$G7515="EX",1,IF(DATOS!$G7515="OR",--(COUNTIFS(nNIA,DATOS!$A7515,nCURSO,DATOS!$D7515,nESPEC,DATOS!$E7515,nASIG,DATOS!$I7515,nEVAL,"EX")=0),0))))</f>
      </c>
      <c r="H7515">
        <f>IF(DATOS!$G7515&lt;&gt;"EX",0,--(COUNTIFS(nNIA,DATOS!$A7515,nCURSO,DATOS!$D7515,nESPEC,DATOS!$E7515,nASIG,DATOS!$I7515,nEVAL,"OR")=0))</f>
      </c>
      <c r="I7515">
        <f>IF(DATOS!$I7515="","",IFERROR(VLOOKUP(DATOS!$I7515,CONFIG_ASIGNATURAS!$B$2:$J$91,9,FALSE()),""))</f>
      </c>
    </row>
    <row r="7516">
      <c r="F7516">
        <f>IF(DATOS!$A7516="","",DATOS!$A7516&amp;"|"&amp;DATOS!$D7516&amp;"|"&amp;DATOS!$E7516&amp;"|"&amp;DATOS!$I7516)</f>
      </c>
      <c r="G7516">
        <f>IF(DATOS!$A7516="",0,IF(CONFIG_METADATA!$B$4&lt;&gt;"OR+EX",--(DATOS!$G7516=CONFIG_METADATA!$B$4),IF(DATOS!$G7516="EX",1,IF(DATOS!$G7516="OR",--(COUNTIFS(nNIA,DATOS!$A7516,nCURSO,DATOS!$D7516,nESPEC,DATOS!$E7516,nASIG,DATOS!$I7516,nEVAL,"EX")=0),0))))</f>
      </c>
      <c r="H7516">
        <f>IF(DATOS!$G7516&lt;&gt;"EX",0,--(COUNTIFS(nNIA,DATOS!$A7516,nCURSO,DATOS!$D7516,nESPEC,DATOS!$E7516,nASIG,DATOS!$I7516,nEVAL,"OR")=0))</f>
      </c>
      <c r="I7516">
        <f>IF(DATOS!$I7516="","",IFERROR(VLOOKUP(DATOS!$I7516,CONFIG_ASIGNATURAS!$B$2:$J$91,9,FALSE()),""))</f>
      </c>
    </row>
    <row r="7517">
      <c r="F7517">
        <f>IF(DATOS!$A7517="","",DATOS!$A7517&amp;"|"&amp;DATOS!$D7517&amp;"|"&amp;DATOS!$E7517&amp;"|"&amp;DATOS!$I7517)</f>
      </c>
      <c r="G7517">
        <f>IF(DATOS!$A7517="",0,IF(CONFIG_METADATA!$B$4&lt;&gt;"OR+EX",--(DATOS!$G7517=CONFIG_METADATA!$B$4),IF(DATOS!$G7517="EX",1,IF(DATOS!$G7517="OR",--(COUNTIFS(nNIA,DATOS!$A7517,nCURSO,DATOS!$D7517,nESPEC,DATOS!$E7517,nASIG,DATOS!$I7517,nEVAL,"EX")=0),0))))</f>
      </c>
      <c r="H7517">
        <f>IF(DATOS!$G7517&lt;&gt;"EX",0,--(COUNTIFS(nNIA,DATOS!$A7517,nCURSO,DATOS!$D7517,nESPEC,DATOS!$E7517,nASIG,DATOS!$I7517,nEVAL,"OR")=0))</f>
      </c>
      <c r="I7517">
        <f>IF(DATOS!$I7517="","",IFERROR(VLOOKUP(DATOS!$I7517,CONFIG_ASIGNATURAS!$B$2:$J$91,9,FALSE()),""))</f>
      </c>
    </row>
    <row r="7518">
      <c r="F7518">
        <f>IF(DATOS!$A7518="","",DATOS!$A7518&amp;"|"&amp;DATOS!$D7518&amp;"|"&amp;DATOS!$E7518&amp;"|"&amp;DATOS!$I7518)</f>
      </c>
      <c r="G7518">
        <f>IF(DATOS!$A7518="",0,IF(CONFIG_METADATA!$B$4&lt;&gt;"OR+EX",--(DATOS!$G7518=CONFIG_METADATA!$B$4),IF(DATOS!$G7518="EX",1,IF(DATOS!$G7518="OR",--(COUNTIFS(nNIA,DATOS!$A7518,nCURSO,DATOS!$D7518,nESPEC,DATOS!$E7518,nASIG,DATOS!$I7518,nEVAL,"EX")=0),0))))</f>
      </c>
      <c r="H7518">
        <f>IF(DATOS!$G7518&lt;&gt;"EX",0,--(COUNTIFS(nNIA,DATOS!$A7518,nCURSO,DATOS!$D7518,nESPEC,DATOS!$E7518,nASIG,DATOS!$I7518,nEVAL,"OR")=0))</f>
      </c>
      <c r="I7518">
        <f>IF(DATOS!$I7518="","",IFERROR(VLOOKUP(DATOS!$I7518,CONFIG_ASIGNATURAS!$B$2:$J$91,9,FALSE()),""))</f>
      </c>
    </row>
    <row r="7519">
      <c r="F7519">
        <f>IF(DATOS!$A7519="","",DATOS!$A7519&amp;"|"&amp;DATOS!$D7519&amp;"|"&amp;DATOS!$E7519&amp;"|"&amp;DATOS!$I7519)</f>
      </c>
      <c r="G7519">
        <f>IF(DATOS!$A7519="",0,IF(CONFIG_METADATA!$B$4&lt;&gt;"OR+EX",--(DATOS!$G7519=CONFIG_METADATA!$B$4),IF(DATOS!$G7519="EX",1,IF(DATOS!$G7519="OR",--(COUNTIFS(nNIA,DATOS!$A7519,nCURSO,DATOS!$D7519,nESPEC,DATOS!$E7519,nASIG,DATOS!$I7519,nEVAL,"EX")=0),0))))</f>
      </c>
      <c r="H7519">
        <f>IF(DATOS!$G7519&lt;&gt;"EX",0,--(COUNTIFS(nNIA,DATOS!$A7519,nCURSO,DATOS!$D7519,nESPEC,DATOS!$E7519,nASIG,DATOS!$I7519,nEVAL,"OR")=0))</f>
      </c>
      <c r="I7519">
        <f>IF(DATOS!$I7519="","",IFERROR(VLOOKUP(DATOS!$I7519,CONFIG_ASIGNATURAS!$B$2:$J$91,9,FALSE()),""))</f>
      </c>
    </row>
    <row r="7520">
      <c r="F7520">
        <f>IF(DATOS!$A7520="","",DATOS!$A7520&amp;"|"&amp;DATOS!$D7520&amp;"|"&amp;DATOS!$E7520&amp;"|"&amp;DATOS!$I7520)</f>
      </c>
      <c r="G7520">
        <f>IF(DATOS!$A7520="",0,IF(CONFIG_METADATA!$B$4&lt;&gt;"OR+EX",--(DATOS!$G7520=CONFIG_METADATA!$B$4),IF(DATOS!$G7520="EX",1,IF(DATOS!$G7520="OR",--(COUNTIFS(nNIA,DATOS!$A7520,nCURSO,DATOS!$D7520,nESPEC,DATOS!$E7520,nASIG,DATOS!$I7520,nEVAL,"EX")=0),0))))</f>
      </c>
      <c r="H7520">
        <f>IF(DATOS!$G7520&lt;&gt;"EX",0,--(COUNTIFS(nNIA,DATOS!$A7520,nCURSO,DATOS!$D7520,nESPEC,DATOS!$E7520,nASIG,DATOS!$I7520,nEVAL,"OR")=0))</f>
      </c>
      <c r="I7520">
        <f>IF(DATOS!$I7520="","",IFERROR(VLOOKUP(DATOS!$I7520,CONFIG_ASIGNATURAS!$B$2:$J$91,9,FALSE()),""))</f>
      </c>
    </row>
    <row r="7521">
      <c r="F7521">
        <f>IF(DATOS!$A7521="","",DATOS!$A7521&amp;"|"&amp;DATOS!$D7521&amp;"|"&amp;DATOS!$E7521&amp;"|"&amp;DATOS!$I7521)</f>
      </c>
      <c r="G7521">
        <f>IF(DATOS!$A7521="",0,IF(CONFIG_METADATA!$B$4&lt;&gt;"OR+EX",--(DATOS!$G7521=CONFIG_METADATA!$B$4),IF(DATOS!$G7521="EX",1,IF(DATOS!$G7521="OR",--(COUNTIFS(nNIA,DATOS!$A7521,nCURSO,DATOS!$D7521,nESPEC,DATOS!$E7521,nASIG,DATOS!$I7521,nEVAL,"EX")=0),0))))</f>
      </c>
      <c r="H7521">
        <f>IF(DATOS!$G7521&lt;&gt;"EX",0,--(COUNTIFS(nNIA,DATOS!$A7521,nCURSO,DATOS!$D7521,nESPEC,DATOS!$E7521,nASIG,DATOS!$I7521,nEVAL,"OR")=0))</f>
      </c>
      <c r="I7521">
        <f>IF(DATOS!$I7521="","",IFERROR(VLOOKUP(DATOS!$I7521,CONFIG_ASIGNATURAS!$B$2:$J$91,9,FALSE()),""))</f>
      </c>
    </row>
    <row r="7522">
      <c r="F7522">
        <f>IF(DATOS!$A7522="","",DATOS!$A7522&amp;"|"&amp;DATOS!$D7522&amp;"|"&amp;DATOS!$E7522&amp;"|"&amp;DATOS!$I7522)</f>
      </c>
      <c r="G7522">
        <f>IF(DATOS!$A7522="",0,IF(CONFIG_METADATA!$B$4&lt;&gt;"OR+EX",--(DATOS!$G7522=CONFIG_METADATA!$B$4),IF(DATOS!$G7522="EX",1,IF(DATOS!$G7522="OR",--(COUNTIFS(nNIA,DATOS!$A7522,nCURSO,DATOS!$D7522,nESPEC,DATOS!$E7522,nASIG,DATOS!$I7522,nEVAL,"EX")=0),0))))</f>
      </c>
      <c r="H7522">
        <f>IF(DATOS!$G7522&lt;&gt;"EX",0,--(COUNTIFS(nNIA,DATOS!$A7522,nCURSO,DATOS!$D7522,nESPEC,DATOS!$E7522,nASIG,DATOS!$I7522,nEVAL,"OR")=0))</f>
      </c>
      <c r="I7522">
        <f>IF(DATOS!$I7522="","",IFERROR(VLOOKUP(DATOS!$I7522,CONFIG_ASIGNATURAS!$B$2:$J$91,9,FALSE()),""))</f>
      </c>
    </row>
    <row r="7523">
      <c r="F7523">
        <f>IF(DATOS!$A7523="","",DATOS!$A7523&amp;"|"&amp;DATOS!$D7523&amp;"|"&amp;DATOS!$E7523&amp;"|"&amp;DATOS!$I7523)</f>
      </c>
      <c r="G7523">
        <f>IF(DATOS!$A7523="",0,IF(CONFIG_METADATA!$B$4&lt;&gt;"OR+EX",--(DATOS!$G7523=CONFIG_METADATA!$B$4),IF(DATOS!$G7523="EX",1,IF(DATOS!$G7523="OR",--(COUNTIFS(nNIA,DATOS!$A7523,nCURSO,DATOS!$D7523,nESPEC,DATOS!$E7523,nASIG,DATOS!$I7523,nEVAL,"EX")=0),0))))</f>
      </c>
      <c r="H7523">
        <f>IF(DATOS!$G7523&lt;&gt;"EX",0,--(COUNTIFS(nNIA,DATOS!$A7523,nCURSO,DATOS!$D7523,nESPEC,DATOS!$E7523,nASIG,DATOS!$I7523,nEVAL,"OR")=0))</f>
      </c>
      <c r="I7523">
        <f>IF(DATOS!$I7523="","",IFERROR(VLOOKUP(DATOS!$I7523,CONFIG_ASIGNATURAS!$B$2:$J$91,9,FALSE()),""))</f>
      </c>
    </row>
    <row r="7524">
      <c r="F7524">
        <f>IF(DATOS!$A7524="","",DATOS!$A7524&amp;"|"&amp;DATOS!$D7524&amp;"|"&amp;DATOS!$E7524&amp;"|"&amp;DATOS!$I7524)</f>
      </c>
      <c r="G7524">
        <f>IF(DATOS!$A7524="",0,IF(CONFIG_METADATA!$B$4&lt;&gt;"OR+EX",--(DATOS!$G7524=CONFIG_METADATA!$B$4),IF(DATOS!$G7524="EX",1,IF(DATOS!$G7524="OR",--(COUNTIFS(nNIA,DATOS!$A7524,nCURSO,DATOS!$D7524,nESPEC,DATOS!$E7524,nASIG,DATOS!$I7524,nEVAL,"EX")=0),0))))</f>
      </c>
      <c r="H7524">
        <f>IF(DATOS!$G7524&lt;&gt;"EX",0,--(COUNTIFS(nNIA,DATOS!$A7524,nCURSO,DATOS!$D7524,nESPEC,DATOS!$E7524,nASIG,DATOS!$I7524,nEVAL,"OR")=0))</f>
      </c>
      <c r="I7524">
        <f>IF(DATOS!$I7524="","",IFERROR(VLOOKUP(DATOS!$I7524,CONFIG_ASIGNATURAS!$B$2:$J$91,9,FALSE()),""))</f>
      </c>
    </row>
    <row r="7525">
      <c r="F7525">
        <f>IF(DATOS!$A7525="","",DATOS!$A7525&amp;"|"&amp;DATOS!$D7525&amp;"|"&amp;DATOS!$E7525&amp;"|"&amp;DATOS!$I7525)</f>
      </c>
      <c r="G7525">
        <f>IF(DATOS!$A7525="",0,IF(CONFIG_METADATA!$B$4&lt;&gt;"OR+EX",--(DATOS!$G7525=CONFIG_METADATA!$B$4),IF(DATOS!$G7525="EX",1,IF(DATOS!$G7525="OR",--(COUNTIFS(nNIA,DATOS!$A7525,nCURSO,DATOS!$D7525,nESPEC,DATOS!$E7525,nASIG,DATOS!$I7525,nEVAL,"EX")=0),0))))</f>
      </c>
      <c r="H7525">
        <f>IF(DATOS!$G7525&lt;&gt;"EX",0,--(COUNTIFS(nNIA,DATOS!$A7525,nCURSO,DATOS!$D7525,nESPEC,DATOS!$E7525,nASIG,DATOS!$I7525,nEVAL,"OR")=0))</f>
      </c>
      <c r="I7525">
        <f>IF(DATOS!$I7525="","",IFERROR(VLOOKUP(DATOS!$I7525,CONFIG_ASIGNATURAS!$B$2:$J$91,9,FALSE()),""))</f>
      </c>
    </row>
    <row r="7526">
      <c r="F7526">
        <f>IF(DATOS!$A7526="","",DATOS!$A7526&amp;"|"&amp;DATOS!$D7526&amp;"|"&amp;DATOS!$E7526&amp;"|"&amp;DATOS!$I7526)</f>
      </c>
      <c r="G7526">
        <f>IF(DATOS!$A7526="",0,IF(CONFIG_METADATA!$B$4&lt;&gt;"OR+EX",--(DATOS!$G7526=CONFIG_METADATA!$B$4),IF(DATOS!$G7526="EX",1,IF(DATOS!$G7526="OR",--(COUNTIFS(nNIA,DATOS!$A7526,nCURSO,DATOS!$D7526,nESPEC,DATOS!$E7526,nASIG,DATOS!$I7526,nEVAL,"EX")=0),0))))</f>
      </c>
      <c r="H7526">
        <f>IF(DATOS!$G7526&lt;&gt;"EX",0,--(COUNTIFS(nNIA,DATOS!$A7526,nCURSO,DATOS!$D7526,nESPEC,DATOS!$E7526,nASIG,DATOS!$I7526,nEVAL,"OR")=0))</f>
      </c>
      <c r="I7526">
        <f>IF(DATOS!$I7526="","",IFERROR(VLOOKUP(DATOS!$I7526,CONFIG_ASIGNATURAS!$B$2:$J$91,9,FALSE()),""))</f>
      </c>
    </row>
    <row r="7527">
      <c r="F7527">
        <f>IF(DATOS!$A7527="","",DATOS!$A7527&amp;"|"&amp;DATOS!$D7527&amp;"|"&amp;DATOS!$E7527&amp;"|"&amp;DATOS!$I7527)</f>
      </c>
      <c r="G7527">
        <f>IF(DATOS!$A7527="",0,IF(CONFIG_METADATA!$B$4&lt;&gt;"OR+EX",--(DATOS!$G7527=CONFIG_METADATA!$B$4),IF(DATOS!$G7527="EX",1,IF(DATOS!$G7527="OR",--(COUNTIFS(nNIA,DATOS!$A7527,nCURSO,DATOS!$D7527,nESPEC,DATOS!$E7527,nASIG,DATOS!$I7527,nEVAL,"EX")=0),0))))</f>
      </c>
      <c r="H7527">
        <f>IF(DATOS!$G7527&lt;&gt;"EX",0,--(COUNTIFS(nNIA,DATOS!$A7527,nCURSO,DATOS!$D7527,nESPEC,DATOS!$E7527,nASIG,DATOS!$I7527,nEVAL,"OR")=0))</f>
      </c>
      <c r="I7527">
        <f>IF(DATOS!$I7527="","",IFERROR(VLOOKUP(DATOS!$I7527,CONFIG_ASIGNATURAS!$B$2:$J$91,9,FALSE()),""))</f>
      </c>
    </row>
    <row r="7528">
      <c r="F7528">
        <f>IF(DATOS!$A7528="","",DATOS!$A7528&amp;"|"&amp;DATOS!$D7528&amp;"|"&amp;DATOS!$E7528&amp;"|"&amp;DATOS!$I7528)</f>
      </c>
      <c r="G7528">
        <f>IF(DATOS!$A7528="",0,IF(CONFIG_METADATA!$B$4&lt;&gt;"OR+EX",--(DATOS!$G7528=CONFIG_METADATA!$B$4),IF(DATOS!$G7528="EX",1,IF(DATOS!$G7528="OR",--(COUNTIFS(nNIA,DATOS!$A7528,nCURSO,DATOS!$D7528,nESPEC,DATOS!$E7528,nASIG,DATOS!$I7528,nEVAL,"EX")=0),0))))</f>
      </c>
      <c r="H7528">
        <f>IF(DATOS!$G7528&lt;&gt;"EX",0,--(COUNTIFS(nNIA,DATOS!$A7528,nCURSO,DATOS!$D7528,nESPEC,DATOS!$E7528,nASIG,DATOS!$I7528,nEVAL,"OR")=0))</f>
      </c>
      <c r="I7528">
        <f>IF(DATOS!$I7528="","",IFERROR(VLOOKUP(DATOS!$I7528,CONFIG_ASIGNATURAS!$B$2:$J$91,9,FALSE()),""))</f>
      </c>
    </row>
    <row r="7529">
      <c r="F7529">
        <f>IF(DATOS!$A7529="","",DATOS!$A7529&amp;"|"&amp;DATOS!$D7529&amp;"|"&amp;DATOS!$E7529&amp;"|"&amp;DATOS!$I7529)</f>
      </c>
      <c r="G7529">
        <f>IF(DATOS!$A7529="",0,IF(CONFIG_METADATA!$B$4&lt;&gt;"OR+EX",--(DATOS!$G7529=CONFIG_METADATA!$B$4),IF(DATOS!$G7529="EX",1,IF(DATOS!$G7529="OR",--(COUNTIFS(nNIA,DATOS!$A7529,nCURSO,DATOS!$D7529,nESPEC,DATOS!$E7529,nASIG,DATOS!$I7529,nEVAL,"EX")=0),0))))</f>
      </c>
      <c r="H7529">
        <f>IF(DATOS!$G7529&lt;&gt;"EX",0,--(COUNTIFS(nNIA,DATOS!$A7529,nCURSO,DATOS!$D7529,nESPEC,DATOS!$E7529,nASIG,DATOS!$I7529,nEVAL,"OR")=0))</f>
      </c>
      <c r="I7529">
        <f>IF(DATOS!$I7529="","",IFERROR(VLOOKUP(DATOS!$I7529,CONFIG_ASIGNATURAS!$B$2:$J$91,9,FALSE()),""))</f>
      </c>
    </row>
    <row r="7530">
      <c r="F7530">
        <f>IF(DATOS!$A7530="","",DATOS!$A7530&amp;"|"&amp;DATOS!$D7530&amp;"|"&amp;DATOS!$E7530&amp;"|"&amp;DATOS!$I7530)</f>
      </c>
      <c r="G7530">
        <f>IF(DATOS!$A7530="",0,IF(CONFIG_METADATA!$B$4&lt;&gt;"OR+EX",--(DATOS!$G7530=CONFIG_METADATA!$B$4),IF(DATOS!$G7530="EX",1,IF(DATOS!$G7530="OR",--(COUNTIFS(nNIA,DATOS!$A7530,nCURSO,DATOS!$D7530,nESPEC,DATOS!$E7530,nASIG,DATOS!$I7530,nEVAL,"EX")=0),0))))</f>
      </c>
      <c r="H7530">
        <f>IF(DATOS!$G7530&lt;&gt;"EX",0,--(COUNTIFS(nNIA,DATOS!$A7530,nCURSO,DATOS!$D7530,nESPEC,DATOS!$E7530,nASIG,DATOS!$I7530,nEVAL,"OR")=0))</f>
      </c>
      <c r="I7530">
        <f>IF(DATOS!$I7530="","",IFERROR(VLOOKUP(DATOS!$I7530,CONFIG_ASIGNATURAS!$B$2:$J$91,9,FALSE()),""))</f>
      </c>
    </row>
    <row r="7531">
      <c r="F7531">
        <f>IF(DATOS!$A7531="","",DATOS!$A7531&amp;"|"&amp;DATOS!$D7531&amp;"|"&amp;DATOS!$E7531&amp;"|"&amp;DATOS!$I7531)</f>
      </c>
      <c r="G7531">
        <f>IF(DATOS!$A7531="",0,IF(CONFIG_METADATA!$B$4&lt;&gt;"OR+EX",--(DATOS!$G7531=CONFIG_METADATA!$B$4),IF(DATOS!$G7531="EX",1,IF(DATOS!$G7531="OR",--(COUNTIFS(nNIA,DATOS!$A7531,nCURSO,DATOS!$D7531,nESPEC,DATOS!$E7531,nASIG,DATOS!$I7531,nEVAL,"EX")=0),0))))</f>
      </c>
      <c r="H7531">
        <f>IF(DATOS!$G7531&lt;&gt;"EX",0,--(COUNTIFS(nNIA,DATOS!$A7531,nCURSO,DATOS!$D7531,nESPEC,DATOS!$E7531,nASIG,DATOS!$I7531,nEVAL,"OR")=0))</f>
      </c>
      <c r="I7531">
        <f>IF(DATOS!$I7531="","",IFERROR(VLOOKUP(DATOS!$I7531,CONFIG_ASIGNATURAS!$B$2:$J$91,9,FALSE()),""))</f>
      </c>
    </row>
    <row r="7532">
      <c r="F7532">
        <f>IF(DATOS!$A7532="","",DATOS!$A7532&amp;"|"&amp;DATOS!$D7532&amp;"|"&amp;DATOS!$E7532&amp;"|"&amp;DATOS!$I7532)</f>
      </c>
      <c r="G7532">
        <f>IF(DATOS!$A7532="",0,IF(CONFIG_METADATA!$B$4&lt;&gt;"OR+EX",--(DATOS!$G7532=CONFIG_METADATA!$B$4),IF(DATOS!$G7532="EX",1,IF(DATOS!$G7532="OR",--(COUNTIFS(nNIA,DATOS!$A7532,nCURSO,DATOS!$D7532,nESPEC,DATOS!$E7532,nASIG,DATOS!$I7532,nEVAL,"EX")=0),0))))</f>
      </c>
      <c r="H7532">
        <f>IF(DATOS!$G7532&lt;&gt;"EX",0,--(COUNTIFS(nNIA,DATOS!$A7532,nCURSO,DATOS!$D7532,nESPEC,DATOS!$E7532,nASIG,DATOS!$I7532,nEVAL,"OR")=0))</f>
      </c>
      <c r="I7532">
        <f>IF(DATOS!$I7532="","",IFERROR(VLOOKUP(DATOS!$I7532,CONFIG_ASIGNATURAS!$B$2:$J$91,9,FALSE()),""))</f>
      </c>
    </row>
    <row r="7533">
      <c r="F7533">
        <f>IF(DATOS!$A7533="","",DATOS!$A7533&amp;"|"&amp;DATOS!$D7533&amp;"|"&amp;DATOS!$E7533&amp;"|"&amp;DATOS!$I7533)</f>
      </c>
      <c r="G7533">
        <f>IF(DATOS!$A7533="",0,IF(CONFIG_METADATA!$B$4&lt;&gt;"OR+EX",--(DATOS!$G7533=CONFIG_METADATA!$B$4),IF(DATOS!$G7533="EX",1,IF(DATOS!$G7533="OR",--(COUNTIFS(nNIA,DATOS!$A7533,nCURSO,DATOS!$D7533,nESPEC,DATOS!$E7533,nASIG,DATOS!$I7533,nEVAL,"EX")=0),0))))</f>
      </c>
      <c r="H7533">
        <f>IF(DATOS!$G7533&lt;&gt;"EX",0,--(COUNTIFS(nNIA,DATOS!$A7533,nCURSO,DATOS!$D7533,nESPEC,DATOS!$E7533,nASIG,DATOS!$I7533,nEVAL,"OR")=0))</f>
      </c>
      <c r="I7533">
        <f>IF(DATOS!$I7533="","",IFERROR(VLOOKUP(DATOS!$I7533,CONFIG_ASIGNATURAS!$B$2:$J$91,9,FALSE()),""))</f>
      </c>
    </row>
    <row r="7534">
      <c r="F7534">
        <f>IF(DATOS!$A7534="","",DATOS!$A7534&amp;"|"&amp;DATOS!$D7534&amp;"|"&amp;DATOS!$E7534&amp;"|"&amp;DATOS!$I7534)</f>
      </c>
      <c r="G7534">
        <f>IF(DATOS!$A7534="",0,IF(CONFIG_METADATA!$B$4&lt;&gt;"OR+EX",--(DATOS!$G7534=CONFIG_METADATA!$B$4),IF(DATOS!$G7534="EX",1,IF(DATOS!$G7534="OR",--(COUNTIFS(nNIA,DATOS!$A7534,nCURSO,DATOS!$D7534,nESPEC,DATOS!$E7534,nASIG,DATOS!$I7534,nEVAL,"EX")=0),0))))</f>
      </c>
      <c r="H7534">
        <f>IF(DATOS!$G7534&lt;&gt;"EX",0,--(COUNTIFS(nNIA,DATOS!$A7534,nCURSO,DATOS!$D7534,nESPEC,DATOS!$E7534,nASIG,DATOS!$I7534,nEVAL,"OR")=0))</f>
      </c>
      <c r="I7534">
        <f>IF(DATOS!$I7534="","",IFERROR(VLOOKUP(DATOS!$I7534,CONFIG_ASIGNATURAS!$B$2:$J$91,9,FALSE()),""))</f>
      </c>
    </row>
    <row r="7535">
      <c r="F7535">
        <f>IF(DATOS!$A7535="","",DATOS!$A7535&amp;"|"&amp;DATOS!$D7535&amp;"|"&amp;DATOS!$E7535&amp;"|"&amp;DATOS!$I7535)</f>
      </c>
      <c r="G7535">
        <f>IF(DATOS!$A7535="",0,IF(CONFIG_METADATA!$B$4&lt;&gt;"OR+EX",--(DATOS!$G7535=CONFIG_METADATA!$B$4),IF(DATOS!$G7535="EX",1,IF(DATOS!$G7535="OR",--(COUNTIFS(nNIA,DATOS!$A7535,nCURSO,DATOS!$D7535,nESPEC,DATOS!$E7535,nASIG,DATOS!$I7535,nEVAL,"EX")=0),0))))</f>
      </c>
      <c r="H7535">
        <f>IF(DATOS!$G7535&lt;&gt;"EX",0,--(COUNTIFS(nNIA,DATOS!$A7535,nCURSO,DATOS!$D7535,nESPEC,DATOS!$E7535,nASIG,DATOS!$I7535,nEVAL,"OR")=0))</f>
      </c>
      <c r="I7535">
        <f>IF(DATOS!$I7535="","",IFERROR(VLOOKUP(DATOS!$I7535,CONFIG_ASIGNATURAS!$B$2:$J$91,9,FALSE()),""))</f>
      </c>
    </row>
    <row r="7536">
      <c r="F7536">
        <f>IF(DATOS!$A7536="","",DATOS!$A7536&amp;"|"&amp;DATOS!$D7536&amp;"|"&amp;DATOS!$E7536&amp;"|"&amp;DATOS!$I7536)</f>
      </c>
      <c r="G7536">
        <f>IF(DATOS!$A7536="",0,IF(CONFIG_METADATA!$B$4&lt;&gt;"OR+EX",--(DATOS!$G7536=CONFIG_METADATA!$B$4),IF(DATOS!$G7536="EX",1,IF(DATOS!$G7536="OR",--(COUNTIFS(nNIA,DATOS!$A7536,nCURSO,DATOS!$D7536,nESPEC,DATOS!$E7536,nASIG,DATOS!$I7536,nEVAL,"EX")=0),0))))</f>
      </c>
      <c r="H7536">
        <f>IF(DATOS!$G7536&lt;&gt;"EX",0,--(COUNTIFS(nNIA,DATOS!$A7536,nCURSO,DATOS!$D7536,nESPEC,DATOS!$E7536,nASIG,DATOS!$I7536,nEVAL,"OR")=0))</f>
      </c>
      <c r="I7536">
        <f>IF(DATOS!$I7536="","",IFERROR(VLOOKUP(DATOS!$I7536,CONFIG_ASIGNATURAS!$B$2:$J$91,9,FALSE()),""))</f>
      </c>
    </row>
    <row r="7537">
      <c r="F7537">
        <f>IF(DATOS!$A7537="","",DATOS!$A7537&amp;"|"&amp;DATOS!$D7537&amp;"|"&amp;DATOS!$E7537&amp;"|"&amp;DATOS!$I7537)</f>
      </c>
      <c r="G7537">
        <f>IF(DATOS!$A7537="",0,IF(CONFIG_METADATA!$B$4&lt;&gt;"OR+EX",--(DATOS!$G7537=CONFIG_METADATA!$B$4),IF(DATOS!$G7537="EX",1,IF(DATOS!$G7537="OR",--(COUNTIFS(nNIA,DATOS!$A7537,nCURSO,DATOS!$D7537,nESPEC,DATOS!$E7537,nASIG,DATOS!$I7537,nEVAL,"EX")=0),0))))</f>
      </c>
      <c r="H7537">
        <f>IF(DATOS!$G7537&lt;&gt;"EX",0,--(COUNTIFS(nNIA,DATOS!$A7537,nCURSO,DATOS!$D7537,nESPEC,DATOS!$E7537,nASIG,DATOS!$I7537,nEVAL,"OR")=0))</f>
      </c>
      <c r="I7537">
        <f>IF(DATOS!$I7537="","",IFERROR(VLOOKUP(DATOS!$I7537,CONFIG_ASIGNATURAS!$B$2:$J$91,9,FALSE()),""))</f>
      </c>
    </row>
    <row r="7538">
      <c r="F7538">
        <f>IF(DATOS!$A7538="","",DATOS!$A7538&amp;"|"&amp;DATOS!$D7538&amp;"|"&amp;DATOS!$E7538&amp;"|"&amp;DATOS!$I7538)</f>
      </c>
      <c r="G7538">
        <f>IF(DATOS!$A7538="",0,IF(CONFIG_METADATA!$B$4&lt;&gt;"OR+EX",--(DATOS!$G7538=CONFIG_METADATA!$B$4),IF(DATOS!$G7538="EX",1,IF(DATOS!$G7538="OR",--(COUNTIFS(nNIA,DATOS!$A7538,nCURSO,DATOS!$D7538,nESPEC,DATOS!$E7538,nASIG,DATOS!$I7538,nEVAL,"EX")=0),0))))</f>
      </c>
      <c r="H7538">
        <f>IF(DATOS!$G7538&lt;&gt;"EX",0,--(COUNTIFS(nNIA,DATOS!$A7538,nCURSO,DATOS!$D7538,nESPEC,DATOS!$E7538,nASIG,DATOS!$I7538,nEVAL,"OR")=0))</f>
      </c>
      <c r="I7538">
        <f>IF(DATOS!$I7538="","",IFERROR(VLOOKUP(DATOS!$I7538,CONFIG_ASIGNATURAS!$B$2:$J$91,9,FALSE()),""))</f>
      </c>
    </row>
    <row r="7539">
      <c r="F7539">
        <f>IF(DATOS!$A7539="","",DATOS!$A7539&amp;"|"&amp;DATOS!$D7539&amp;"|"&amp;DATOS!$E7539&amp;"|"&amp;DATOS!$I7539)</f>
      </c>
      <c r="G7539">
        <f>IF(DATOS!$A7539="",0,IF(CONFIG_METADATA!$B$4&lt;&gt;"OR+EX",--(DATOS!$G7539=CONFIG_METADATA!$B$4),IF(DATOS!$G7539="EX",1,IF(DATOS!$G7539="OR",--(COUNTIFS(nNIA,DATOS!$A7539,nCURSO,DATOS!$D7539,nESPEC,DATOS!$E7539,nASIG,DATOS!$I7539,nEVAL,"EX")=0),0))))</f>
      </c>
      <c r="H7539">
        <f>IF(DATOS!$G7539&lt;&gt;"EX",0,--(COUNTIFS(nNIA,DATOS!$A7539,nCURSO,DATOS!$D7539,nESPEC,DATOS!$E7539,nASIG,DATOS!$I7539,nEVAL,"OR")=0))</f>
      </c>
      <c r="I7539">
        <f>IF(DATOS!$I7539="","",IFERROR(VLOOKUP(DATOS!$I7539,CONFIG_ASIGNATURAS!$B$2:$J$91,9,FALSE()),""))</f>
      </c>
    </row>
    <row r="7540">
      <c r="F7540">
        <f>IF(DATOS!$A7540="","",DATOS!$A7540&amp;"|"&amp;DATOS!$D7540&amp;"|"&amp;DATOS!$E7540&amp;"|"&amp;DATOS!$I7540)</f>
      </c>
      <c r="G7540">
        <f>IF(DATOS!$A7540="",0,IF(CONFIG_METADATA!$B$4&lt;&gt;"OR+EX",--(DATOS!$G7540=CONFIG_METADATA!$B$4),IF(DATOS!$G7540="EX",1,IF(DATOS!$G7540="OR",--(COUNTIFS(nNIA,DATOS!$A7540,nCURSO,DATOS!$D7540,nESPEC,DATOS!$E7540,nASIG,DATOS!$I7540,nEVAL,"EX")=0),0))))</f>
      </c>
      <c r="H7540">
        <f>IF(DATOS!$G7540&lt;&gt;"EX",0,--(COUNTIFS(nNIA,DATOS!$A7540,nCURSO,DATOS!$D7540,nESPEC,DATOS!$E7540,nASIG,DATOS!$I7540,nEVAL,"OR")=0))</f>
      </c>
      <c r="I7540">
        <f>IF(DATOS!$I7540="","",IFERROR(VLOOKUP(DATOS!$I7540,CONFIG_ASIGNATURAS!$B$2:$J$91,9,FALSE()),""))</f>
      </c>
    </row>
    <row r="7541">
      <c r="F7541">
        <f>IF(DATOS!$A7541="","",DATOS!$A7541&amp;"|"&amp;DATOS!$D7541&amp;"|"&amp;DATOS!$E7541&amp;"|"&amp;DATOS!$I7541)</f>
      </c>
      <c r="G7541">
        <f>IF(DATOS!$A7541="",0,IF(CONFIG_METADATA!$B$4&lt;&gt;"OR+EX",--(DATOS!$G7541=CONFIG_METADATA!$B$4),IF(DATOS!$G7541="EX",1,IF(DATOS!$G7541="OR",--(COUNTIFS(nNIA,DATOS!$A7541,nCURSO,DATOS!$D7541,nESPEC,DATOS!$E7541,nASIG,DATOS!$I7541,nEVAL,"EX")=0),0))))</f>
      </c>
      <c r="H7541">
        <f>IF(DATOS!$G7541&lt;&gt;"EX",0,--(COUNTIFS(nNIA,DATOS!$A7541,nCURSO,DATOS!$D7541,nESPEC,DATOS!$E7541,nASIG,DATOS!$I7541,nEVAL,"OR")=0))</f>
      </c>
      <c r="I7541">
        <f>IF(DATOS!$I7541="","",IFERROR(VLOOKUP(DATOS!$I7541,CONFIG_ASIGNATURAS!$B$2:$J$91,9,FALSE()),""))</f>
      </c>
    </row>
    <row r="7542">
      <c r="F7542">
        <f>IF(DATOS!$A7542="","",DATOS!$A7542&amp;"|"&amp;DATOS!$D7542&amp;"|"&amp;DATOS!$E7542&amp;"|"&amp;DATOS!$I7542)</f>
      </c>
      <c r="G7542">
        <f>IF(DATOS!$A7542="",0,IF(CONFIG_METADATA!$B$4&lt;&gt;"OR+EX",--(DATOS!$G7542=CONFIG_METADATA!$B$4),IF(DATOS!$G7542="EX",1,IF(DATOS!$G7542="OR",--(COUNTIFS(nNIA,DATOS!$A7542,nCURSO,DATOS!$D7542,nESPEC,DATOS!$E7542,nASIG,DATOS!$I7542,nEVAL,"EX")=0),0))))</f>
      </c>
      <c r="H7542">
        <f>IF(DATOS!$G7542&lt;&gt;"EX",0,--(COUNTIFS(nNIA,DATOS!$A7542,nCURSO,DATOS!$D7542,nESPEC,DATOS!$E7542,nASIG,DATOS!$I7542,nEVAL,"OR")=0))</f>
      </c>
      <c r="I7542">
        <f>IF(DATOS!$I7542="","",IFERROR(VLOOKUP(DATOS!$I7542,CONFIG_ASIGNATURAS!$B$2:$J$91,9,FALSE()),""))</f>
      </c>
    </row>
    <row r="7543">
      <c r="F7543">
        <f>IF(DATOS!$A7543="","",DATOS!$A7543&amp;"|"&amp;DATOS!$D7543&amp;"|"&amp;DATOS!$E7543&amp;"|"&amp;DATOS!$I7543)</f>
      </c>
      <c r="G7543">
        <f>IF(DATOS!$A7543="",0,IF(CONFIG_METADATA!$B$4&lt;&gt;"OR+EX",--(DATOS!$G7543=CONFIG_METADATA!$B$4),IF(DATOS!$G7543="EX",1,IF(DATOS!$G7543="OR",--(COUNTIFS(nNIA,DATOS!$A7543,nCURSO,DATOS!$D7543,nESPEC,DATOS!$E7543,nASIG,DATOS!$I7543,nEVAL,"EX")=0),0))))</f>
      </c>
      <c r="H7543">
        <f>IF(DATOS!$G7543&lt;&gt;"EX",0,--(COUNTIFS(nNIA,DATOS!$A7543,nCURSO,DATOS!$D7543,nESPEC,DATOS!$E7543,nASIG,DATOS!$I7543,nEVAL,"OR")=0))</f>
      </c>
      <c r="I7543">
        <f>IF(DATOS!$I7543="","",IFERROR(VLOOKUP(DATOS!$I7543,CONFIG_ASIGNATURAS!$B$2:$J$91,9,FALSE()),""))</f>
      </c>
    </row>
    <row r="7544">
      <c r="F7544">
        <f>IF(DATOS!$A7544="","",DATOS!$A7544&amp;"|"&amp;DATOS!$D7544&amp;"|"&amp;DATOS!$E7544&amp;"|"&amp;DATOS!$I7544)</f>
      </c>
      <c r="G7544">
        <f>IF(DATOS!$A7544="",0,IF(CONFIG_METADATA!$B$4&lt;&gt;"OR+EX",--(DATOS!$G7544=CONFIG_METADATA!$B$4),IF(DATOS!$G7544="EX",1,IF(DATOS!$G7544="OR",--(COUNTIFS(nNIA,DATOS!$A7544,nCURSO,DATOS!$D7544,nESPEC,DATOS!$E7544,nASIG,DATOS!$I7544,nEVAL,"EX")=0),0))))</f>
      </c>
      <c r="H7544">
        <f>IF(DATOS!$G7544&lt;&gt;"EX",0,--(COUNTIFS(nNIA,DATOS!$A7544,nCURSO,DATOS!$D7544,nESPEC,DATOS!$E7544,nASIG,DATOS!$I7544,nEVAL,"OR")=0))</f>
      </c>
      <c r="I7544">
        <f>IF(DATOS!$I7544="","",IFERROR(VLOOKUP(DATOS!$I7544,CONFIG_ASIGNATURAS!$B$2:$J$91,9,FALSE()),""))</f>
      </c>
    </row>
    <row r="7545">
      <c r="F7545">
        <f>IF(DATOS!$A7545="","",DATOS!$A7545&amp;"|"&amp;DATOS!$D7545&amp;"|"&amp;DATOS!$E7545&amp;"|"&amp;DATOS!$I7545)</f>
      </c>
      <c r="G7545">
        <f>IF(DATOS!$A7545="",0,IF(CONFIG_METADATA!$B$4&lt;&gt;"OR+EX",--(DATOS!$G7545=CONFIG_METADATA!$B$4),IF(DATOS!$G7545="EX",1,IF(DATOS!$G7545="OR",--(COUNTIFS(nNIA,DATOS!$A7545,nCURSO,DATOS!$D7545,nESPEC,DATOS!$E7545,nASIG,DATOS!$I7545,nEVAL,"EX")=0),0))))</f>
      </c>
      <c r="H7545">
        <f>IF(DATOS!$G7545&lt;&gt;"EX",0,--(COUNTIFS(nNIA,DATOS!$A7545,nCURSO,DATOS!$D7545,nESPEC,DATOS!$E7545,nASIG,DATOS!$I7545,nEVAL,"OR")=0))</f>
      </c>
      <c r="I7545">
        <f>IF(DATOS!$I7545="","",IFERROR(VLOOKUP(DATOS!$I7545,CONFIG_ASIGNATURAS!$B$2:$J$91,9,FALSE()),""))</f>
      </c>
    </row>
    <row r="7546">
      <c r="F7546">
        <f>IF(DATOS!$A7546="","",DATOS!$A7546&amp;"|"&amp;DATOS!$D7546&amp;"|"&amp;DATOS!$E7546&amp;"|"&amp;DATOS!$I7546)</f>
      </c>
      <c r="G7546">
        <f>IF(DATOS!$A7546="",0,IF(CONFIG_METADATA!$B$4&lt;&gt;"OR+EX",--(DATOS!$G7546=CONFIG_METADATA!$B$4),IF(DATOS!$G7546="EX",1,IF(DATOS!$G7546="OR",--(COUNTIFS(nNIA,DATOS!$A7546,nCURSO,DATOS!$D7546,nESPEC,DATOS!$E7546,nASIG,DATOS!$I7546,nEVAL,"EX")=0),0))))</f>
      </c>
      <c r="H7546">
        <f>IF(DATOS!$G7546&lt;&gt;"EX",0,--(COUNTIFS(nNIA,DATOS!$A7546,nCURSO,DATOS!$D7546,nESPEC,DATOS!$E7546,nASIG,DATOS!$I7546,nEVAL,"OR")=0))</f>
      </c>
      <c r="I7546">
        <f>IF(DATOS!$I7546="","",IFERROR(VLOOKUP(DATOS!$I7546,CONFIG_ASIGNATURAS!$B$2:$J$91,9,FALSE()),""))</f>
      </c>
    </row>
    <row r="7547">
      <c r="F7547">
        <f>IF(DATOS!$A7547="","",DATOS!$A7547&amp;"|"&amp;DATOS!$D7547&amp;"|"&amp;DATOS!$E7547&amp;"|"&amp;DATOS!$I7547)</f>
      </c>
      <c r="G7547">
        <f>IF(DATOS!$A7547="",0,IF(CONFIG_METADATA!$B$4&lt;&gt;"OR+EX",--(DATOS!$G7547=CONFIG_METADATA!$B$4),IF(DATOS!$G7547="EX",1,IF(DATOS!$G7547="OR",--(COUNTIFS(nNIA,DATOS!$A7547,nCURSO,DATOS!$D7547,nESPEC,DATOS!$E7547,nASIG,DATOS!$I7547,nEVAL,"EX")=0),0))))</f>
      </c>
      <c r="H7547">
        <f>IF(DATOS!$G7547&lt;&gt;"EX",0,--(COUNTIFS(nNIA,DATOS!$A7547,nCURSO,DATOS!$D7547,nESPEC,DATOS!$E7547,nASIG,DATOS!$I7547,nEVAL,"OR")=0))</f>
      </c>
      <c r="I7547">
        <f>IF(DATOS!$I7547="","",IFERROR(VLOOKUP(DATOS!$I7547,CONFIG_ASIGNATURAS!$B$2:$J$91,9,FALSE()),""))</f>
      </c>
    </row>
    <row r="7548">
      <c r="F7548">
        <f>IF(DATOS!$A7548="","",DATOS!$A7548&amp;"|"&amp;DATOS!$D7548&amp;"|"&amp;DATOS!$E7548&amp;"|"&amp;DATOS!$I7548)</f>
      </c>
      <c r="G7548">
        <f>IF(DATOS!$A7548="",0,IF(CONFIG_METADATA!$B$4&lt;&gt;"OR+EX",--(DATOS!$G7548=CONFIG_METADATA!$B$4),IF(DATOS!$G7548="EX",1,IF(DATOS!$G7548="OR",--(COUNTIFS(nNIA,DATOS!$A7548,nCURSO,DATOS!$D7548,nESPEC,DATOS!$E7548,nASIG,DATOS!$I7548,nEVAL,"EX")=0),0))))</f>
      </c>
      <c r="H7548">
        <f>IF(DATOS!$G7548&lt;&gt;"EX",0,--(COUNTIFS(nNIA,DATOS!$A7548,nCURSO,DATOS!$D7548,nESPEC,DATOS!$E7548,nASIG,DATOS!$I7548,nEVAL,"OR")=0))</f>
      </c>
      <c r="I7548">
        <f>IF(DATOS!$I7548="","",IFERROR(VLOOKUP(DATOS!$I7548,CONFIG_ASIGNATURAS!$B$2:$J$91,9,FALSE()),""))</f>
      </c>
    </row>
    <row r="7549">
      <c r="F7549">
        <f>IF(DATOS!$A7549="","",DATOS!$A7549&amp;"|"&amp;DATOS!$D7549&amp;"|"&amp;DATOS!$E7549&amp;"|"&amp;DATOS!$I7549)</f>
      </c>
      <c r="G7549">
        <f>IF(DATOS!$A7549="",0,IF(CONFIG_METADATA!$B$4&lt;&gt;"OR+EX",--(DATOS!$G7549=CONFIG_METADATA!$B$4),IF(DATOS!$G7549="EX",1,IF(DATOS!$G7549="OR",--(COUNTIFS(nNIA,DATOS!$A7549,nCURSO,DATOS!$D7549,nESPEC,DATOS!$E7549,nASIG,DATOS!$I7549,nEVAL,"EX")=0),0))))</f>
      </c>
      <c r="H7549">
        <f>IF(DATOS!$G7549&lt;&gt;"EX",0,--(COUNTIFS(nNIA,DATOS!$A7549,nCURSO,DATOS!$D7549,nESPEC,DATOS!$E7549,nASIG,DATOS!$I7549,nEVAL,"OR")=0))</f>
      </c>
      <c r="I7549">
        <f>IF(DATOS!$I7549="","",IFERROR(VLOOKUP(DATOS!$I7549,CONFIG_ASIGNATURAS!$B$2:$J$91,9,FALSE()),""))</f>
      </c>
    </row>
    <row r="7550">
      <c r="F7550">
        <f>IF(DATOS!$A7550="","",DATOS!$A7550&amp;"|"&amp;DATOS!$D7550&amp;"|"&amp;DATOS!$E7550&amp;"|"&amp;DATOS!$I7550)</f>
      </c>
      <c r="G7550">
        <f>IF(DATOS!$A7550="",0,IF(CONFIG_METADATA!$B$4&lt;&gt;"OR+EX",--(DATOS!$G7550=CONFIG_METADATA!$B$4),IF(DATOS!$G7550="EX",1,IF(DATOS!$G7550="OR",--(COUNTIFS(nNIA,DATOS!$A7550,nCURSO,DATOS!$D7550,nESPEC,DATOS!$E7550,nASIG,DATOS!$I7550,nEVAL,"EX")=0),0))))</f>
      </c>
      <c r="H7550">
        <f>IF(DATOS!$G7550&lt;&gt;"EX",0,--(COUNTIFS(nNIA,DATOS!$A7550,nCURSO,DATOS!$D7550,nESPEC,DATOS!$E7550,nASIG,DATOS!$I7550,nEVAL,"OR")=0))</f>
      </c>
      <c r="I7550">
        <f>IF(DATOS!$I7550="","",IFERROR(VLOOKUP(DATOS!$I7550,CONFIG_ASIGNATURAS!$B$2:$J$91,9,FALSE()),""))</f>
      </c>
    </row>
    <row r="7551">
      <c r="F7551">
        <f>IF(DATOS!$A7551="","",DATOS!$A7551&amp;"|"&amp;DATOS!$D7551&amp;"|"&amp;DATOS!$E7551&amp;"|"&amp;DATOS!$I7551)</f>
      </c>
      <c r="G7551">
        <f>IF(DATOS!$A7551="",0,IF(CONFIG_METADATA!$B$4&lt;&gt;"OR+EX",--(DATOS!$G7551=CONFIG_METADATA!$B$4),IF(DATOS!$G7551="EX",1,IF(DATOS!$G7551="OR",--(COUNTIFS(nNIA,DATOS!$A7551,nCURSO,DATOS!$D7551,nESPEC,DATOS!$E7551,nASIG,DATOS!$I7551,nEVAL,"EX")=0),0))))</f>
      </c>
      <c r="H7551">
        <f>IF(DATOS!$G7551&lt;&gt;"EX",0,--(COUNTIFS(nNIA,DATOS!$A7551,nCURSO,DATOS!$D7551,nESPEC,DATOS!$E7551,nASIG,DATOS!$I7551,nEVAL,"OR")=0))</f>
      </c>
      <c r="I7551">
        <f>IF(DATOS!$I7551="","",IFERROR(VLOOKUP(DATOS!$I7551,CONFIG_ASIGNATURAS!$B$2:$J$91,9,FALSE()),""))</f>
      </c>
    </row>
    <row r="7552">
      <c r="F7552">
        <f>IF(DATOS!$A7552="","",DATOS!$A7552&amp;"|"&amp;DATOS!$D7552&amp;"|"&amp;DATOS!$E7552&amp;"|"&amp;DATOS!$I7552)</f>
      </c>
      <c r="G7552">
        <f>IF(DATOS!$A7552="",0,IF(CONFIG_METADATA!$B$4&lt;&gt;"OR+EX",--(DATOS!$G7552=CONFIG_METADATA!$B$4),IF(DATOS!$G7552="EX",1,IF(DATOS!$G7552="OR",--(COUNTIFS(nNIA,DATOS!$A7552,nCURSO,DATOS!$D7552,nESPEC,DATOS!$E7552,nASIG,DATOS!$I7552,nEVAL,"EX")=0),0))))</f>
      </c>
      <c r="H7552">
        <f>IF(DATOS!$G7552&lt;&gt;"EX",0,--(COUNTIFS(nNIA,DATOS!$A7552,nCURSO,DATOS!$D7552,nESPEC,DATOS!$E7552,nASIG,DATOS!$I7552,nEVAL,"OR")=0))</f>
      </c>
      <c r="I7552">
        <f>IF(DATOS!$I7552="","",IFERROR(VLOOKUP(DATOS!$I7552,CONFIG_ASIGNATURAS!$B$2:$J$91,9,FALSE()),""))</f>
      </c>
    </row>
    <row r="7553">
      <c r="F7553">
        <f>IF(DATOS!$A7553="","",DATOS!$A7553&amp;"|"&amp;DATOS!$D7553&amp;"|"&amp;DATOS!$E7553&amp;"|"&amp;DATOS!$I7553)</f>
      </c>
      <c r="G7553">
        <f>IF(DATOS!$A7553="",0,IF(CONFIG_METADATA!$B$4&lt;&gt;"OR+EX",--(DATOS!$G7553=CONFIG_METADATA!$B$4),IF(DATOS!$G7553="EX",1,IF(DATOS!$G7553="OR",--(COUNTIFS(nNIA,DATOS!$A7553,nCURSO,DATOS!$D7553,nESPEC,DATOS!$E7553,nASIG,DATOS!$I7553,nEVAL,"EX")=0),0))))</f>
      </c>
      <c r="H7553">
        <f>IF(DATOS!$G7553&lt;&gt;"EX",0,--(COUNTIFS(nNIA,DATOS!$A7553,nCURSO,DATOS!$D7553,nESPEC,DATOS!$E7553,nASIG,DATOS!$I7553,nEVAL,"OR")=0))</f>
      </c>
      <c r="I7553">
        <f>IF(DATOS!$I7553="","",IFERROR(VLOOKUP(DATOS!$I7553,CONFIG_ASIGNATURAS!$B$2:$J$91,9,FALSE()),""))</f>
      </c>
    </row>
    <row r="7554">
      <c r="F7554">
        <f>IF(DATOS!$A7554="","",DATOS!$A7554&amp;"|"&amp;DATOS!$D7554&amp;"|"&amp;DATOS!$E7554&amp;"|"&amp;DATOS!$I7554)</f>
      </c>
      <c r="G7554">
        <f>IF(DATOS!$A7554="",0,IF(CONFIG_METADATA!$B$4&lt;&gt;"OR+EX",--(DATOS!$G7554=CONFIG_METADATA!$B$4),IF(DATOS!$G7554="EX",1,IF(DATOS!$G7554="OR",--(COUNTIFS(nNIA,DATOS!$A7554,nCURSO,DATOS!$D7554,nESPEC,DATOS!$E7554,nASIG,DATOS!$I7554,nEVAL,"EX")=0),0))))</f>
      </c>
      <c r="H7554">
        <f>IF(DATOS!$G7554&lt;&gt;"EX",0,--(COUNTIFS(nNIA,DATOS!$A7554,nCURSO,DATOS!$D7554,nESPEC,DATOS!$E7554,nASIG,DATOS!$I7554,nEVAL,"OR")=0))</f>
      </c>
      <c r="I7554">
        <f>IF(DATOS!$I7554="","",IFERROR(VLOOKUP(DATOS!$I7554,CONFIG_ASIGNATURAS!$B$2:$J$91,9,FALSE()),""))</f>
      </c>
    </row>
    <row r="7555">
      <c r="F7555">
        <f>IF(DATOS!$A7555="","",DATOS!$A7555&amp;"|"&amp;DATOS!$D7555&amp;"|"&amp;DATOS!$E7555&amp;"|"&amp;DATOS!$I7555)</f>
      </c>
      <c r="G7555">
        <f>IF(DATOS!$A7555="",0,IF(CONFIG_METADATA!$B$4&lt;&gt;"OR+EX",--(DATOS!$G7555=CONFIG_METADATA!$B$4),IF(DATOS!$G7555="EX",1,IF(DATOS!$G7555="OR",--(COUNTIFS(nNIA,DATOS!$A7555,nCURSO,DATOS!$D7555,nESPEC,DATOS!$E7555,nASIG,DATOS!$I7555,nEVAL,"EX")=0),0))))</f>
      </c>
      <c r="H7555">
        <f>IF(DATOS!$G7555&lt;&gt;"EX",0,--(COUNTIFS(nNIA,DATOS!$A7555,nCURSO,DATOS!$D7555,nESPEC,DATOS!$E7555,nASIG,DATOS!$I7555,nEVAL,"OR")=0))</f>
      </c>
      <c r="I7555">
        <f>IF(DATOS!$I7555="","",IFERROR(VLOOKUP(DATOS!$I7555,CONFIG_ASIGNATURAS!$B$2:$J$91,9,FALSE()),""))</f>
      </c>
    </row>
    <row r="7556">
      <c r="F7556">
        <f>IF(DATOS!$A7556="","",DATOS!$A7556&amp;"|"&amp;DATOS!$D7556&amp;"|"&amp;DATOS!$E7556&amp;"|"&amp;DATOS!$I7556)</f>
      </c>
      <c r="G7556">
        <f>IF(DATOS!$A7556="",0,IF(CONFIG_METADATA!$B$4&lt;&gt;"OR+EX",--(DATOS!$G7556=CONFIG_METADATA!$B$4),IF(DATOS!$G7556="EX",1,IF(DATOS!$G7556="OR",--(COUNTIFS(nNIA,DATOS!$A7556,nCURSO,DATOS!$D7556,nESPEC,DATOS!$E7556,nASIG,DATOS!$I7556,nEVAL,"EX")=0),0))))</f>
      </c>
      <c r="H7556">
        <f>IF(DATOS!$G7556&lt;&gt;"EX",0,--(COUNTIFS(nNIA,DATOS!$A7556,nCURSO,DATOS!$D7556,nESPEC,DATOS!$E7556,nASIG,DATOS!$I7556,nEVAL,"OR")=0))</f>
      </c>
      <c r="I7556">
        <f>IF(DATOS!$I7556="","",IFERROR(VLOOKUP(DATOS!$I7556,CONFIG_ASIGNATURAS!$B$2:$J$91,9,FALSE()),""))</f>
      </c>
    </row>
    <row r="7557">
      <c r="F7557">
        <f>IF(DATOS!$A7557="","",DATOS!$A7557&amp;"|"&amp;DATOS!$D7557&amp;"|"&amp;DATOS!$E7557&amp;"|"&amp;DATOS!$I7557)</f>
      </c>
      <c r="G7557">
        <f>IF(DATOS!$A7557="",0,IF(CONFIG_METADATA!$B$4&lt;&gt;"OR+EX",--(DATOS!$G7557=CONFIG_METADATA!$B$4),IF(DATOS!$G7557="EX",1,IF(DATOS!$G7557="OR",--(COUNTIFS(nNIA,DATOS!$A7557,nCURSO,DATOS!$D7557,nESPEC,DATOS!$E7557,nASIG,DATOS!$I7557,nEVAL,"EX")=0),0))))</f>
      </c>
      <c r="H7557">
        <f>IF(DATOS!$G7557&lt;&gt;"EX",0,--(COUNTIFS(nNIA,DATOS!$A7557,nCURSO,DATOS!$D7557,nESPEC,DATOS!$E7557,nASIG,DATOS!$I7557,nEVAL,"OR")=0))</f>
      </c>
      <c r="I7557">
        <f>IF(DATOS!$I7557="","",IFERROR(VLOOKUP(DATOS!$I7557,CONFIG_ASIGNATURAS!$B$2:$J$91,9,FALSE()),""))</f>
      </c>
    </row>
    <row r="7558">
      <c r="F7558">
        <f>IF(DATOS!$A7558="","",DATOS!$A7558&amp;"|"&amp;DATOS!$D7558&amp;"|"&amp;DATOS!$E7558&amp;"|"&amp;DATOS!$I7558)</f>
      </c>
      <c r="G7558">
        <f>IF(DATOS!$A7558="",0,IF(CONFIG_METADATA!$B$4&lt;&gt;"OR+EX",--(DATOS!$G7558=CONFIG_METADATA!$B$4),IF(DATOS!$G7558="EX",1,IF(DATOS!$G7558="OR",--(COUNTIFS(nNIA,DATOS!$A7558,nCURSO,DATOS!$D7558,nESPEC,DATOS!$E7558,nASIG,DATOS!$I7558,nEVAL,"EX")=0),0))))</f>
      </c>
      <c r="H7558">
        <f>IF(DATOS!$G7558&lt;&gt;"EX",0,--(COUNTIFS(nNIA,DATOS!$A7558,nCURSO,DATOS!$D7558,nESPEC,DATOS!$E7558,nASIG,DATOS!$I7558,nEVAL,"OR")=0))</f>
      </c>
      <c r="I7558">
        <f>IF(DATOS!$I7558="","",IFERROR(VLOOKUP(DATOS!$I7558,CONFIG_ASIGNATURAS!$B$2:$J$91,9,FALSE()),""))</f>
      </c>
    </row>
    <row r="7559">
      <c r="F7559">
        <f>IF(DATOS!$A7559="","",DATOS!$A7559&amp;"|"&amp;DATOS!$D7559&amp;"|"&amp;DATOS!$E7559&amp;"|"&amp;DATOS!$I7559)</f>
      </c>
      <c r="G7559">
        <f>IF(DATOS!$A7559="",0,IF(CONFIG_METADATA!$B$4&lt;&gt;"OR+EX",--(DATOS!$G7559=CONFIG_METADATA!$B$4),IF(DATOS!$G7559="EX",1,IF(DATOS!$G7559="OR",--(COUNTIFS(nNIA,DATOS!$A7559,nCURSO,DATOS!$D7559,nESPEC,DATOS!$E7559,nASIG,DATOS!$I7559,nEVAL,"EX")=0),0))))</f>
      </c>
      <c r="H7559">
        <f>IF(DATOS!$G7559&lt;&gt;"EX",0,--(COUNTIFS(nNIA,DATOS!$A7559,nCURSO,DATOS!$D7559,nESPEC,DATOS!$E7559,nASIG,DATOS!$I7559,nEVAL,"OR")=0))</f>
      </c>
      <c r="I7559">
        <f>IF(DATOS!$I7559="","",IFERROR(VLOOKUP(DATOS!$I7559,CONFIG_ASIGNATURAS!$B$2:$J$91,9,FALSE()),""))</f>
      </c>
    </row>
    <row r="7560">
      <c r="F7560">
        <f>IF(DATOS!$A7560="","",DATOS!$A7560&amp;"|"&amp;DATOS!$D7560&amp;"|"&amp;DATOS!$E7560&amp;"|"&amp;DATOS!$I7560)</f>
      </c>
      <c r="G7560">
        <f>IF(DATOS!$A7560="",0,IF(CONFIG_METADATA!$B$4&lt;&gt;"OR+EX",--(DATOS!$G7560=CONFIG_METADATA!$B$4),IF(DATOS!$G7560="EX",1,IF(DATOS!$G7560="OR",--(COUNTIFS(nNIA,DATOS!$A7560,nCURSO,DATOS!$D7560,nESPEC,DATOS!$E7560,nASIG,DATOS!$I7560,nEVAL,"EX")=0),0))))</f>
      </c>
      <c r="H7560">
        <f>IF(DATOS!$G7560&lt;&gt;"EX",0,--(COUNTIFS(nNIA,DATOS!$A7560,nCURSO,DATOS!$D7560,nESPEC,DATOS!$E7560,nASIG,DATOS!$I7560,nEVAL,"OR")=0))</f>
      </c>
      <c r="I7560">
        <f>IF(DATOS!$I7560="","",IFERROR(VLOOKUP(DATOS!$I7560,CONFIG_ASIGNATURAS!$B$2:$J$91,9,FALSE()),""))</f>
      </c>
    </row>
    <row r="7561">
      <c r="F7561">
        <f>IF(DATOS!$A7561="","",DATOS!$A7561&amp;"|"&amp;DATOS!$D7561&amp;"|"&amp;DATOS!$E7561&amp;"|"&amp;DATOS!$I7561)</f>
      </c>
      <c r="G7561">
        <f>IF(DATOS!$A7561="",0,IF(CONFIG_METADATA!$B$4&lt;&gt;"OR+EX",--(DATOS!$G7561=CONFIG_METADATA!$B$4),IF(DATOS!$G7561="EX",1,IF(DATOS!$G7561="OR",--(COUNTIFS(nNIA,DATOS!$A7561,nCURSO,DATOS!$D7561,nESPEC,DATOS!$E7561,nASIG,DATOS!$I7561,nEVAL,"EX")=0),0))))</f>
      </c>
      <c r="H7561">
        <f>IF(DATOS!$G7561&lt;&gt;"EX",0,--(COUNTIFS(nNIA,DATOS!$A7561,nCURSO,DATOS!$D7561,nESPEC,DATOS!$E7561,nASIG,DATOS!$I7561,nEVAL,"OR")=0))</f>
      </c>
      <c r="I7561">
        <f>IF(DATOS!$I7561="","",IFERROR(VLOOKUP(DATOS!$I7561,CONFIG_ASIGNATURAS!$B$2:$J$91,9,FALSE()),""))</f>
      </c>
    </row>
    <row r="7562">
      <c r="F7562">
        <f>IF(DATOS!$A7562="","",DATOS!$A7562&amp;"|"&amp;DATOS!$D7562&amp;"|"&amp;DATOS!$E7562&amp;"|"&amp;DATOS!$I7562)</f>
      </c>
      <c r="G7562">
        <f>IF(DATOS!$A7562="",0,IF(CONFIG_METADATA!$B$4&lt;&gt;"OR+EX",--(DATOS!$G7562=CONFIG_METADATA!$B$4),IF(DATOS!$G7562="EX",1,IF(DATOS!$G7562="OR",--(COUNTIFS(nNIA,DATOS!$A7562,nCURSO,DATOS!$D7562,nESPEC,DATOS!$E7562,nASIG,DATOS!$I7562,nEVAL,"EX")=0),0))))</f>
      </c>
      <c r="H7562">
        <f>IF(DATOS!$G7562&lt;&gt;"EX",0,--(COUNTIFS(nNIA,DATOS!$A7562,nCURSO,DATOS!$D7562,nESPEC,DATOS!$E7562,nASIG,DATOS!$I7562,nEVAL,"OR")=0))</f>
      </c>
      <c r="I7562">
        <f>IF(DATOS!$I7562="","",IFERROR(VLOOKUP(DATOS!$I7562,CONFIG_ASIGNATURAS!$B$2:$J$91,9,FALSE()),""))</f>
      </c>
    </row>
    <row r="7563">
      <c r="F7563">
        <f>IF(DATOS!$A7563="","",DATOS!$A7563&amp;"|"&amp;DATOS!$D7563&amp;"|"&amp;DATOS!$E7563&amp;"|"&amp;DATOS!$I7563)</f>
      </c>
      <c r="G7563">
        <f>IF(DATOS!$A7563="",0,IF(CONFIG_METADATA!$B$4&lt;&gt;"OR+EX",--(DATOS!$G7563=CONFIG_METADATA!$B$4),IF(DATOS!$G7563="EX",1,IF(DATOS!$G7563="OR",--(COUNTIFS(nNIA,DATOS!$A7563,nCURSO,DATOS!$D7563,nESPEC,DATOS!$E7563,nASIG,DATOS!$I7563,nEVAL,"EX")=0),0))))</f>
      </c>
      <c r="H7563">
        <f>IF(DATOS!$G7563&lt;&gt;"EX",0,--(COUNTIFS(nNIA,DATOS!$A7563,nCURSO,DATOS!$D7563,nESPEC,DATOS!$E7563,nASIG,DATOS!$I7563,nEVAL,"OR")=0))</f>
      </c>
      <c r="I7563">
        <f>IF(DATOS!$I7563="","",IFERROR(VLOOKUP(DATOS!$I7563,CONFIG_ASIGNATURAS!$B$2:$J$91,9,FALSE()),""))</f>
      </c>
    </row>
    <row r="7564">
      <c r="F7564">
        <f>IF(DATOS!$A7564="","",DATOS!$A7564&amp;"|"&amp;DATOS!$D7564&amp;"|"&amp;DATOS!$E7564&amp;"|"&amp;DATOS!$I7564)</f>
      </c>
      <c r="G7564">
        <f>IF(DATOS!$A7564="",0,IF(CONFIG_METADATA!$B$4&lt;&gt;"OR+EX",--(DATOS!$G7564=CONFIG_METADATA!$B$4),IF(DATOS!$G7564="EX",1,IF(DATOS!$G7564="OR",--(COUNTIFS(nNIA,DATOS!$A7564,nCURSO,DATOS!$D7564,nESPEC,DATOS!$E7564,nASIG,DATOS!$I7564,nEVAL,"EX")=0),0))))</f>
      </c>
      <c r="H7564">
        <f>IF(DATOS!$G7564&lt;&gt;"EX",0,--(COUNTIFS(nNIA,DATOS!$A7564,nCURSO,DATOS!$D7564,nESPEC,DATOS!$E7564,nASIG,DATOS!$I7564,nEVAL,"OR")=0))</f>
      </c>
      <c r="I7564">
        <f>IF(DATOS!$I7564="","",IFERROR(VLOOKUP(DATOS!$I7564,CONFIG_ASIGNATURAS!$B$2:$J$91,9,FALSE()),""))</f>
      </c>
    </row>
    <row r="7565">
      <c r="F7565">
        <f>IF(DATOS!$A7565="","",DATOS!$A7565&amp;"|"&amp;DATOS!$D7565&amp;"|"&amp;DATOS!$E7565&amp;"|"&amp;DATOS!$I7565)</f>
      </c>
      <c r="G7565">
        <f>IF(DATOS!$A7565="",0,IF(CONFIG_METADATA!$B$4&lt;&gt;"OR+EX",--(DATOS!$G7565=CONFIG_METADATA!$B$4),IF(DATOS!$G7565="EX",1,IF(DATOS!$G7565="OR",--(COUNTIFS(nNIA,DATOS!$A7565,nCURSO,DATOS!$D7565,nESPEC,DATOS!$E7565,nASIG,DATOS!$I7565,nEVAL,"EX")=0),0))))</f>
      </c>
      <c r="H7565">
        <f>IF(DATOS!$G7565&lt;&gt;"EX",0,--(COUNTIFS(nNIA,DATOS!$A7565,nCURSO,DATOS!$D7565,nESPEC,DATOS!$E7565,nASIG,DATOS!$I7565,nEVAL,"OR")=0))</f>
      </c>
      <c r="I7565">
        <f>IF(DATOS!$I7565="","",IFERROR(VLOOKUP(DATOS!$I7565,CONFIG_ASIGNATURAS!$B$2:$J$91,9,FALSE()),""))</f>
      </c>
    </row>
    <row r="7566">
      <c r="F7566">
        <f>IF(DATOS!$A7566="","",DATOS!$A7566&amp;"|"&amp;DATOS!$D7566&amp;"|"&amp;DATOS!$E7566&amp;"|"&amp;DATOS!$I7566)</f>
      </c>
      <c r="G7566">
        <f>IF(DATOS!$A7566="",0,IF(CONFIG_METADATA!$B$4&lt;&gt;"OR+EX",--(DATOS!$G7566=CONFIG_METADATA!$B$4),IF(DATOS!$G7566="EX",1,IF(DATOS!$G7566="OR",--(COUNTIFS(nNIA,DATOS!$A7566,nCURSO,DATOS!$D7566,nESPEC,DATOS!$E7566,nASIG,DATOS!$I7566,nEVAL,"EX")=0),0))))</f>
      </c>
      <c r="H7566">
        <f>IF(DATOS!$G7566&lt;&gt;"EX",0,--(COUNTIFS(nNIA,DATOS!$A7566,nCURSO,DATOS!$D7566,nESPEC,DATOS!$E7566,nASIG,DATOS!$I7566,nEVAL,"OR")=0))</f>
      </c>
      <c r="I7566">
        <f>IF(DATOS!$I7566="","",IFERROR(VLOOKUP(DATOS!$I7566,CONFIG_ASIGNATURAS!$B$2:$J$91,9,FALSE()),""))</f>
      </c>
    </row>
    <row r="7567">
      <c r="F7567">
        <f>IF(DATOS!$A7567="","",DATOS!$A7567&amp;"|"&amp;DATOS!$D7567&amp;"|"&amp;DATOS!$E7567&amp;"|"&amp;DATOS!$I7567)</f>
      </c>
      <c r="G7567">
        <f>IF(DATOS!$A7567="",0,IF(CONFIG_METADATA!$B$4&lt;&gt;"OR+EX",--(DATOS!$G7567=CONFIG_METADATA!$B$4),IF(DATOS!$G7567="EX",1,IF(DATOS!$G7567="OR",--(COUNTIFS(nNIA,DATOS!$A7567,nCURSO,DATOS!$D7567,nESPEC,DATOS!$E7567,nASIG,DATOS!$I7567,nEVAL,"EX")=0),0))))</f>
      </c>
      <c r="H7567">
        <f>IF(DATOS!$G7567&lt;&gt;"EX",0,--(COUNTIFS(nNIA,DATOS!$A7567,nCURSO,DATOS!$D7567,nESPEC,DATOS!$E7567,nASIG,DATOS!$I7567,nEVAL,"OR")=0))</f>
      </c>
      <c r="I7567">
        <f>IF(DATOS!$I7567="","",IFERROR(VLOOKUP(DATOS!$I7567,CONFIG_ASIGNATURAS!$B$2:$J$91,9,FALSE()),""))</f>
      </c>
    </row>
    <row r="7568">
      <c r="F7568">
        <f>IF(DATOS!$A7568="","",DATOS!$A7568&amp;"|"&amp;DATOS!$D7568&amp;"|"&amp;DATOS!$E7568&amp;"|"&amp;DATOS!$I7568)</f>
      </c>
      <c r="G7568">
        <f>IF(DATOS!$A7568="",0,IF(CONFIG_METADATA!$B$4&lt;&gt;"OR+EX",--(DATOS!$G7568=CONFIG_METADATA!$B$4),IF(DATOS!$G7568="EX",1,IF(DATOS!$G7568="OR",--(COUNTIFS(nNIA,DATOS!$A7568,nCURSO,DATOS!$D7568,nESPEC,DATOS!$E7568,nASIG,DATOS!$I7568,nEVAL,"EX")=0),0))))</f>
      </c>
      <c r="H7568">
        <f>IF(DATOS!$G7568&lt;&gt;"EX",0,--(COUNTIFS(nNIA,DATOS!$A7568,nCURSO,DATOS!$D7568,nESPEC,DATOS!$E7568,nASIG,DATOS!$I7568,nEVAL,"OR")=0))</f>
      </c>
      <c r="I7568">
        <f>IF(DATOS!$I7568="","",IFERROR(VLOOKUP(DATOS!$I7568,CONFIG_ASIGNATURAS!$B$2:$J$91,9,FALSE()),""))</f>
      </c>
    </row>
    <row r="7569">
      <c r="F7569">
        <f>IF(DATOS!$A7569="","",DATOS!$A7569&amp;"|"&amp;DATOS!$D7569&amp;"|"&amp;DATOS!$E7569&amp;"|"&amp;DATOS!$I7569)</f>
      </c>
      <c r="G7569">
        <f>IF(DATOS!$A7569="",0,IF(CONFIG_METADATA!$B$4&lt;&gt;"OR+EX",--(DATOS!$G7569=CONFIG_METADATA!$B$4),IF(DATOS!$G7569="EX",1,IF(DATOS!$G7569="OR",--(COUNTIFS(nNIA,DATOS!$A7569,nCURSO,DATOS!$D7569,nESPEC,DATOS!$E7569,nASIG,DATOS!$I7569,nEVAL,"EX")=0),0))))</f>
      </c>
      <c r="H7569">
        <f>IF(DATOS!$G7569&lt;&gt;"EX",0,--(COUNTIFS(nNIA,DATOS!$A7569,nCURSO,DATOS!$D7569,nESPEC,DATOS!$E7569,nASIG,DATOS!$I7569,nEVAL,"OR")=0))</f>
      </c>
      <c r="I7569">
        <f>IF(DATOS!$I7569="","",IFERROR(VLOOKUP(DATOS!$I7569,CONFIG_ASIGNATURAS!$B$2:$J$91,9,FALSE()),""))</f>
      </c>
    </row>
    <row r="7570">
      <c r="F7570">
        <f>IF(DATOS!$A7570="","",DATOS!$A7570&amp;"|"&amp;DATOS!$D7570&amp;"|"&amp;DATOS!$E7570&amp;"|"&amp;DATOS!$I7570)</f>
      </c>
      <c r="G7570">
        <f>IF(DATOS!$A7570="",0,IF(CONFIG_METADATA!$B$4&lt;&gt;"OR+EX",--(DATOS!$G7570=CONFIG_METADATA!$B$4),IF(DATOS!$G7570="EX",1,IF(DATOS!$G7570="OR",--(COUNTIFS(nNIA,DATOS!$A7570,nCURSO,DATOS!$D7570,nESPEC,DATOS!$E7570,nASIG,DATOS!$I7570,nEVAL,"EX")=0),0))))</f>
      </c>
      <c r="H7570">
        <f>IF(DATOS!$G7570&lt;&gt;"EX",0,--(COUNTIFS(nNIA,DATOS!$A7570,nCURSO,DATOS!$D7570,nESPEC,DATOS!$E7570,nASIG,DATOS!$I7570,nEVAL,"OR")=0))</f>
      </c>
      <c r="I7570">
        <f>IF(DATOS!$I7570="","",IFERROR(VLOOKUP(DATOS!$I7570,CONFIG_ASIGNATURAS!$B$2:$J$91,9,FALSE()),""))</f>
      </c>
    </row>
    <row r="7571">
      <c r="F7571">
        <f>IF(DATOS!$A7571="","",DATOS!$A7571&amp;"|"&amp;DATOS!$D7571&amp;"|"&amp;DATOS!$E7571&amp;"|"&amp;DATOS!$I7571)</f>
      </c>
      <c r="G7571">
        <f>IF(DATOS!$A7571="",0,IF(CONFIG_METADATA!$B$4&lt;&gt;"OR+EX",--(DATOS!$G7571=CONFIG_METADATA!$B$4),IF(DATOS!$G7571="EX",1,IF(DATOS!$G7571="OR",--(COUNTIFS(nNIA,DATOS!$A7571,nCURSO,DATOS!$D7571,nESPEC,DATOS!$E7571,nASIG,DATOS!$I7571,nEVAL,"EX")=0),0))))</f>
      </c>
      <c r="H7571">
        <f>IF(DATOS!$G7571&lt;&gt;"EX",0,--(COUNTIFS(nNIA,DATOS!$A7571,nCURSO,DATOS!$D7571,nESPEC,DATOS!$E7571,nASIG,DATOS!$I7571,nEVAL,"OR")=0))</f>
      </c>
      <c r="I7571">
        <f>IF(DATOS!$I7571="","",IFERROR(VLOOKUP(DATOS!$I7571,CONFIG_ASIGNATURAS!$B$2:$J$91,9,FALSE()),""))</f>
      </c>
    </row>
    <row r="7572">
      <c r="F7572">
        <f>IF(DATOS!$A7572="","",DATOS!$A7572&amp;"|"&amp;DATOS!$D7572&amp;"|"&amp;DATOS!$E7572&amp;"|"&amp;DATOS!$I7572)</f>
      </c>
      <c r="G7572">
        <f>IF(DATOS!$A7572="",0,IF(CONFIG_METADATA!$B$4&lt;&gt;"OR+EX",--(DATOS!$G7572=CONFIG_METADATA!$B$4),IF(DATOS!$G7572="EX",1,IF(DATOS!$G7572="OR",--(COUNTIFS(nNIA,DATOS!$A7572,nCURSO,DATOS!$D7572,nESPEC,DATOS!$E7572,nASIG,DATOS!$I7572,nEVAL,"EX")=0),0))))</f>
      </c>
      <c r="H7572">
        <f>IF(DATOS!$G7572&lt;&gt;"EX",0,--(COUNTIFS(nNIA,DATOS!$A7572,nCURSO,DATOS!$D7572,nESPEC,DATOS!$E7572,nASIG,DATOS!$I7572,nEVAL,"OR")=0))</f>
      </c>
      <c r="I7572">
        <f>IF(DATOS!$I7572="","",IFERROR(VLOOKUP(DATOS!$I7572,CONFIG_ASIGNATURAS!$B$2:$J$91,9,FALSE()),""))</f>
      </c>
    </row>
    <row r="7573">
      <c r="F7573">
        <f>IF(DATOS!$A7573="","",DATOS!$A7573&amp;"|"&amp;DATOS!$D7573&amp;"|"&amp;DATOS!$E7573&amp;"|"&amp;DATOS!$I7573)</f>
      </c>
      <c r="G7573">
        <f>IF(DATOS!$A7573="",0,IF(CONFIG_METADATA!$B$4&lt;&gt;"OR+EX",--(DATOS!$G7573=CONFIG_METADATA!$B$4),IF(DATOS!$G7573="EX",1,IF(DATOS!$G7573="OR",--(COUNTIFS(nNIA,DATOS!$A7573,nCURSO,DATOS!$D7573,nESPEC,DATOS!$E7573,nASIG,DATOS!$I7573,nEVAL,"EX")=0),0))))</f>
      </c>
      <c r="H7573">
        <f>IF(DATOS!$G7573&lt;&gt;"EX",0,--(COUNTIFS(nNIA,DATOS!$A7573,nCURSO,DATOS!$D7573,nESPEC,DATOS!$E7573,nASIG,DATOS!$I7573,nEVAL,"OR")=0))</f>
      </c>
      <c r="I7573">
        <f>IF(DATOS!$I7573="","",IFERROR(VLOOKUP(DATOS!$I7573,CONFIG_ASIGNATURAS!$B$2:$J$91,9,FALSE()),""))</f>
      </c>
    </row>
    <row r="7574">
      <c r="F7574">
        <f>IF(DATOS!$A7574="","",DATOS!$A7574&amp;"|"&amp;DATOS!$D7574&amp;"|"&amp;DATOS!$E7574&amp;"|"&amp;DATOS!$I7574)</f>
      </c>
      <c r="G7574">
        <f>IF(DATOS!$A7574="",0,IF(CONFIG_METADATA!$B$4&lt;&gt;"OR+EX",--(DATOS!$G7574=CONFIG_METADATA!$B$4),IF(DATOS!$G7574="EX",1,IF(DATOS!$G7574="OR",--(COUNTIFS(nNIA,DATOS!$A7574,nCURSO,DATOS!$D7574,nESPEC,DATOS!$E7574,nASIG,DATOS!$I7574,nEVAL,"EX")=0),0))))</f>
      </c>
      <c r="H7574">
        <f>IF(DATOS!$G7574&lt;&gt;"EX",0,--(COUNTIFS(nNIA,DATOS!$A7574,nCURSO,DATOS!$D7574,nESPEC,DATOS!$E7574,nASIG,DATOS!$I7574,nEVAL,"OR")=0))</f>
      </c>
      <c r="I7574">
        <f>IF(DATOS!$I7574="","",IFERROR(VLOOKUP(DATOS!$I7574,CONFIG_ASIGNATURAS!$B$2:$J$91,9,FALSE()),""))</f>
      </c>
    </row>
    <row r="7575">
      <c r="F7575">
        <f>IF(DATOS!$A7575="","",DATOS!$A7575&amp;"|"&amp;DATOS!$D7575&amp;"|"&amp;DATOS!$E7575&amp;"|"&amp;DATOS!$I7575)</f>
      </c>
      <c r="G7575">
        <f>IF(DATOS!$A7575="",0,IF(CONFIG_METADATA!$B$4&lt;&gt;"OR+EX",--(DATOS!$G7575=CONFIG_METADATA!$B$4),IF(DATOS!$G7575="EX",1,IF(DATOS!$G7575="OR",--(COUNTIFS(nNIA,DATOS!$A7575,nCURSO,DATOS!$D7575,nESPEC,DATOS!$E7575,nASIG,DATOS!$I7575,nEVAL,"EX")=0),0))))</f>
      </c>
      <c r="H7575">
        <f>IF(DATOS!$G7575&lt;&gt;"EX",0,--(COUNTIFS(nNIA,DATOS!$A7575,nCURSO,DATOS!$D7575,nESPEC,DATOS!$E7575,nASIG,DATOS!$I7575,nEVAL,"OR")=0))</f>
      </c>
      <c r="I7575">
        <f>IF(DATOS!$I7575="","",IFERROR(VLOOKUP(DATOS!$I7575,CONFIG_ASIGNATURAS!$B$2:$J$91,9,FALSE()),""))</f>
      </c>
    </row>
    <row r="7576">
      <c r="F7576">
        <f>IF(DATOS!$A7576="","",DATOS!$A7576&amp;"|"&amp;DATOS!$D7576&amp;"|"&amp;DATOS!$E7576&amp;"|"&amp;DATOS!$I7576)</f>
      </c>
      <c r="G7576">
        <f>IF(DATOS!$A7576="",0,IF(CONFIG_METADATA!$B$4&lt;&gt;"OR+EX",--(DATOS!$G7576=CONFIG_METADATA!$B$4),IF(DATOS!$G7576="EX",1,IF(DATOS!$G7576="OR",--(COUNTIFS(nNIA,DATOS!$A7576,nCURSO,DATOS!$D7576,nESPEC,DATOS!$E7576,nASIG,DATOS!$I7576,nEVAL,"EX")=0),0))))</f>
      </c>
      <c r="H7576">
        <f>IF(DATOS!$G7576&lt;&gt;"EX",0,--(COUNTIFS(nNIA,DATOS!$A7576,nCURSO,DATOS!$D7576,nESPEC,DATOS!$E7576,nASIG,DATOS!$I7576,nEVAL,"OR")=0))</f>
      </c>
      <c r="I7576">
        <f>IF(DATOS!$I7576="","",IFERROR(VLOOKUP(DATOS!$I7576,CONFIG_ASIGNATURAS!$B$2:$J$91,9,FALSE()),""))</f>
      </c>
    </row>
    <row r="7577">
      <c r="F7577">
        <f>IF(DATOS!$A7577="","",DATOS!$A7577&amp;"|"&amp;DATOS!$D7577&amp;"|"&amp;DATOS!$E7577&amp;"|"&amp;DATOS!$I7577)</f>
      </c>
      <c r="G7577">
        <f>IF(DATOS!$A7577="",0,IF(CONFIG_METADATA!$B$4&lt;&gt;"OR+EX",--(DATOS!$G7577=CONFIG_METADATA!$B$4),IF(DATOS!$G7577="EX",1,IF(DATOS!$G7577="OR",--(COUNTIFS(nNIA,DATOS!$A7577,nCURSO,DATOS!$D7577,nESPEC,DATOS!$E7577,nASIG,DATOS!$I7577,nEVAL,"EX")=0),0))))</f>
      </c>
      <c r="H7577">
        <f>IF(DATOS!$G7577&lt;&gt;"EX",0,--(COUNTIFS(nNIA,DATOS!$A7577,nCURSO,DATOS!$D7577,nESPEC,DATOS!$E7577,nASIG,DATOS!$I7577,nEVAL,"OR")=0))</f>
      </c>
      <c r="I7577">
        <f>IF(DATOS!$I7577="","",IFERROR(VLOOKUP(DATOS!$I7577,CONFIG_ASIGNATURAS!$B$2:$J$91,9,FALSE()),""))</f>
      </c>
    </row>
    <row r="7578">
      <c r="F7578">
        <f>IF(DATOS!$A7578="","",DATOS!$A7578&amp;"|"&amp;DATOS!$D7578&amp;"|"&amp;DATOS!$E7578&amp;"|"&amp;DATOS!$I7578)</f>
      </c>
      <c r="G7578">
        <f>IF(DATOS!$A7578="",0,IF(CONFIG_METADATA!$B$4&lt;&gt;"OR+EX",--(DATOS!$G7578=CONFIG_METADATA!$B$4),IF(DATOS!$G7578="EX",1,IF(DATOS!$G7578="OR",--(COUNTIFS(nNIA,DATOS!$A7578,nCURSO,DATOS!$D7578,nESPEC,DATOS!$E7578,nASIG,DATOS!$I7578,nEVAL,"EX")=0),0))))</f>
      </c>
      <c r="H7578">
        <f>IF(DATOS!$G7578&lt;&gt;"EX",0,--(COUNTIFS(nNIA,DATOS!$A7578,nCURSO,DATOS!$D7578,nESPEC,DATOS!$E7578,nASIG,DATOS!$I7578,nEVAL,"OR")=0))</f>
      </c>
      <c r="I7578">
        <f>IF(DATOS!$I7578="","",IFERROR(VLOOKUP(DATOS!$I7578,CONFIG_ASIGNATURAS!$B$2:$J$91,9,FALSE()),""))</f>
      </c>
    </row>
    <row r="7579">
      <c r="F7579">
        <f>IF(DATOS!$A7579="","",DATOS!$A7579&amp;"|"&amp;DATOS!$D7579&amp;"|"&amp;DATOS!$E7579&amp;"|"&amp;DATOS!$I7579)</f>
      </c>
      <c r="G7579">
        <f>IF(DATOS!$A7579="",0,IF(CONFIG_METADATA!$B$4&lt;&gt;"OR+EX",--(DATOS!$G7579=CONFIG_METADATA!$B$4),IF(DATOS!$G7579="EX",1,IF(DATOS!$G7579="OR",--(COUNTIFS(nNIA,DATOS!$A7579,nCURSO,DATOS!$D7579,nESPEC,DATOS!$E7579,nASIG,DATOS!$I7579,nEVAL,"EX")=0),0))))</f>
      </c>
      <c r="H7579">
        <f>IF(DATOS!$G7579&lt;&gt;"EX",0,--(COUNTIFS(nNIA,DATOS!$A7579,nCURSO,DATOS!$D7579,nESPEC,DATOS!$E7579,nASIG,DATOS!$I7579,nEVAL,"OR")=0))</f>
      </c>
      <c r="I7579">
        <f>IF(DATOS!$I7579="","",IFERROR(VLOOKUP(DATOS!$I7579,CONFIG_ASIGNATURAS!$B$2:$J$91,9,FALSE()),""))</f>
      </c>
    </row>
    <row r="7580">
      <c r="F7580">
        <f>IF(DATOS!$A7580="","",DATOS!$A7580&amp;"|"&amp;DATOS!$D7580&amp;"|"&amp;DATOS!$E7580&amp;"|"&amp;DATOS!$I7580)</f>
      </c>
      <c r="G7580">
        <f>IF(DATOS!$A7580="",0,IF(CONFIG_METADATA!$B$4&lt;&gt;"OR+EX",--(DATOS!$G7580=CONFIG_METADATA!$B$4),IF(DATOS!$G7580="EX",1,IF(DATOS!$G7580="OR",--(COUNTIFS(nNIA,DATOS!$A7580,nCURSO,DATOS!$D7580,nESPEC,DATOS!$E7580,nASIG,DATOS!$I7580,nEVAL,"EX")=0),0))))</f>
      </c>
      <c r="H7580">
        <f>IF(DATOS!$G7580&lt;&gt;"EX",0,--(COUNTIFS(nNIA,DATOS!$A7580,nCURSO,DATOS!$D7580,nESPEC,DATOS!$E7580,nASIG,DATOS!$I7580,nEVAL,"OR")=0))</f>
      </c>
      <c r="I7580">
        <f>IF(DATOS!$I7580="","",IFERROR(VLOOKUP(DATOS!$I7580,CONFIG_ASIGNATURAS!$B$2:$J$91,9,FALSE()),""))</f>
      </c>
    </row>
    <row r="7581">
      <c r="F7581">
        <f>IF(DATOS!$A7581="","",DATOS!$A7581&amp;"|"&amp;DATOS!$D7581&amp;"|"&amp;DATOS!$E7581&amp;"|"&amp;DATOS!$I7581)</f>
      </c>
      <c r="G7581">
        <f>IF(DATOS!$A7581="",0,IF(CONFIG_METADATA!$B$4&lt;&gt;"OR+EX",--(DATOS!$G7581=CONFIG_METADATA!$B$4),IF(DATOS!$G7581="EX",1,IF(DATOS!$G7581="OR",--(COUNTIFS(nNIA,DATOS!$A7581,nCURSO,DATOS!$D7581,nESPEC,DATOS!$E7581,nASIG,DATOS!$I7581,nEVAL,"EX")=0),0))))</f>
      </c>
      <c r="H7581">
        <f>IF(DATOS!$G7581&lt;&gt;"EX",0,--(COUNTIFS(nNIA,DATOS!$A7581,nCURSO,DATOS!$D7581,nESPEC,DATOS!$E7581,nASIG,DATOS!$I7581,nEVAL,"OR")=0))</f>
      </c>
      <c r="I7581">
        <f>IF(DATOS!$I7581="","",IFERROR(VLOOKUP(DATOS!$I7581,CONFIG_ASIGNATURAS!$B$2:$J$91,9,FALSE()),""))</f>
      </c>
    </row>
    <row r="7582">
      <c r="F7582">
        <f>IF(DATOS!$A7582="","",DATOS!$A7582&amp;"|"&amp;DATOS!$D7582&amp;"|"&amp;DATOS!$E7582&amp;"|"&amp;DATOS!$I7582)</f>
      </c>
      <c r="G7582">
        <f>IF(DATOS!$A7582="",0,IF(CONFIG_METADATA!$B$4&lt;&gt;"OR+EX",--(DATOS!$G7582=CONFIG_METADATA!$B$4),IF(DATOS!$G7582="EX",1,IF(DATOS!$G7582="OR",--(COUNTIFS(nNIA,DATOS!$A7582,nCURSO,DATOS!$D7582,nESPEC,DATOS!$E7582,nASIG,DATOS!$I7582,nEVAL,"EX")=0),0))))</f>
      </c>
      <c r="H7582">
        <f>IF(DATOS!$G7582&lt;&gt;"EX",0,--(COUNTIFS(nNIA,DATOS!$A7582,nCURSO,DATOS!$D7582,nESPEC,DATOS!$E7582,nASIG,DATOS!$I7582,nEVAL,"OR")=0))</f>
      </c>
      <c r="I7582">
        <f>IF(DATOS!$I7582="","",IFERROR(VLOOKUP(DATOS!$I7582,CONFIG_ASIGNATURAS!$B$2:$J$91,9,FALSE()),""))</f>
      </c>
    </row>
    <row r="7583">
      <c r="F7583">
        <f>IF(DATOS!$A7583="","",DATOS!$A7583&amp;"|"&amp;DATOS!$D7583&amp;"|"&amp;DATOS!$E7583&amp;"|"&amp;DATOS!$I7583)</f>
      </c>
      <c r="G7583">
        <f>IF(DATOS!$A7583="",0,IF(CONFIG_METADATA!$B$4&lt;&gt;"OR+EX",--(DATOS!$G7583=CONFIG_METADATA!$B$4),IF(DATOS!$G7583="EX",1,IF(DATOS!$G7583="OR",--(COUNTIFS(nNIA,DATOS!$A7583,nCURSO,DATOS!$D7583,nESPEC,DATOS!$E7583,nASIG,DATOS!$I7583,nEVAL,"EX")=0),0))))</f>
      </c>
      <c r="H7583">
        <f>IF(DATOS!$G7583&lt;&gt;"EX",0,--(COUNTIFS(nNIA,DATOS!$A7583,nCURSO,DATOS!$D7583,nESPEC,DATOS!$E7583,nASIG,DATOS!$I7583,nEVAL,"OR")=0))</f>
      </c>
      <c r="I7583">
        <f>IF(DATOS!$I7583="","",IFERROR(VLOOKUP(DATOS!$I7583,CONFIG_ASIGNATURAS!$B$2:$J$91,9,FALSE()),""))</f>
      </c>
    </row>
    <row r="7584">
      <c r="F7584">
        <f>IF(DATOS!$A7584="","",DATOS!$A7584&amp;"|"&amp;DATOS!$D7584&amp;"|"&amp;DATOS!$E7584&amp;"|"&amp;DATOS!$I7584)</f>
      </c>
      <c r="G7584">
        <f>IF(DATOS!$A7584="",0,IF(CONFIG_METADATA!$B$4&lt;&gt;"OR+EX",--(DATOS!$G7584=CONFIG_METADATA!$B$4),IF(DATOS!$G7584="EX",1,IF(DATOS!$G7584="OR",--(COUNTIFS(nNIA,DATOS!$A7584,nCURSO,DATOS!$D7584,nESPEC,DATOS!$E7584,nASIG,DATOS!$I7584,nEVAL,"EX")=0),0))))</f>
      </c>
      <c r="H7584">
        <f>IF(DATOS!$G7584&lt;&gt;"EX",0,--(COUNTIFS(nNIA,DATOS!$A7584,nCURSO,DATOS!$D7584,nESPEC,DATOS!$E7584,nASIG,DATOS!$I7584,nEVAL,"OR")=0))</f>
      </c>
      <c r="I7584">
        <f>IF(DATOS!$I7584="","",IFERROR(VLOOKUP(DATOS!$I7584,CONFIG_ASIGNATURAS!$B$2:$J$91,9,FALSE()),""))</f>
      </c>
    </row>
    <row r="7585">
      <c r="F7585">
        <f>IF(DATOS!$A7585="","",DATOS!$A7585&amp;"|"&amp;DATOS!$D7585&amp;"|"&amp;DATOS!$E7585&amp;"|"&amp;DATOS!$I7585)</f>
      </c>
      <c r="G7585">
        <f>IF(DATOS!$A7585="",0,IF(CONFIG_METADATA!$B$4&lt;&gt;"OR+EX",--(DATOS!$G7585=CONFIG_METADATA!$B$4),IF(DATOS!$G7585="EX",1,IF(DATOS!$G7585="OR",--(COUNTIFS(nNIA,DATOS!$A7585,nCURSO,DATOS!$D7585,nESPEC,DATOS!$E7585,nASIG,DATOS!$I7585,nEVAL,"EX")=0),0))))</f>
      </c>
      <c r="H7585">
        <f>IF(DATOS!$G7585&lt;&gt;"EX",0,--(COUNTIFS(nNIA,DATOS!$A7585,nCURSO,DATOS!$D7585,nESPEC,DATOS!$E7585,nASIG,DATOS!$I7585,nEVAL,"OR")=0))</f>
      </c>
      <c r="I7585">
        <f>IF(DATOS!$I7585="","",IFERROR(VLOOKUP(DATOS!$I7585,CONFIG_ASIGNATURAS!$B$2:$J$91,9,FALSE()),""))</f>
      </c>
    </row>
    <row r="7586">
      <c r="F7586">
        <f>IF(DATOS!$A7586="","",DATOS!$A7586&amp;"|"&amp;DATOS!$D7586&amp;"|"&amp;DATOS!$E7586&amp;"|"&amp;DATOS!$I7586)</f>
      </c>
      <c r="G7586">
        <f>IF(DATOS!$A7586="",0,IF(CONFIG_METADATA!$B$4&lt;&gt;"OR+EX",--(DATOS!$G7586=CONFIG_METADATA!$B$4),IF(DATOS!$G7586="EX",1,IF(DATOS!$G7586="OR",--(COUNTIFS(nNIA,DATOS!$A7586,nCURSO,DATOS!$D7586,nESPEC,DATOS!$E7586,nASIG,DATOS!$I7586,nEVAL,"EX")=0),0))))</f>
      </c>
      <c r="H7586">
        <f>IF(DATOS!$G7586&lt;&gt;"EX",0,--(COUNTIFS(nNIA,DATOS!$A7586,nCURSO,DATOS!$D7586,nESPEC,DATOS!$E7586,nASIG,DATOS!$I7586,nEVAL,"OR")=0))</f>
      </c>
      <c r="I7586">
        <f>IF(DATOS!$I7586="","",IFERROR(VLOOKUP(DATOS!$I7586,CONFIG_ASIGNATURAS!$B$2:$J$91,9,FALSE()),""))</f>
      </c>
    </row>
    <row r="7587">
      <c r="F7587">
        <f>IF(DATOS!$A7587="","",DATOS!$A7587&amp;"|"&amp;DATOS!$D7587&amp;"|"&amp;DATOS!$E7587&amp;"|"&amp;DATOS!$I7587)</f>
      </c>
      <c r="G7587">
        <f>IF(DATOS!$A7587="",0,IF(CONFIG_METADATA!$B$4&lt;&gt;"OR+EX",--(DATOS!$G7587=CONFIG_METADATA!$B$4),IF(DATOS!$G7587="EX",1,IF(DATOS!$G7587="OR",--(COUNTIFS(nNIA,DATOS!$A7587,nCURSO,DATOS!$D7587,nESPEC,DATOS!$E7587,nASIG,DATOS!$I7587,nEVAL,"EX")=0),0))))</f>
      </c>
      <c r="H7587">
        <f>IF(DATOS!$G7587&lt;&gt;"EX",0,--(COUNTIFS(nNIA,DATOS!$A7587,nCURSO,DATOS!$D7587,nESPEC,DATOS!$E7587,nASIG,DATOS!$I7587,nEVAL,"OR")=0))</f>
      </c>
      <c r="I7587">
        <f>IF(DATOS!$I7587="","",IFERROR(VLOOKUP(DATOS!$I7587,CONFIG_ASIGNATURAS!$B$2:$J$91,9,FALSE()),""))</f>
      </c>
    </row>
    <row r="7588">
      <c r="F7588">
        <f>IF(DATOS!$A7588="","",DATOS!$A7588&amp;"|"&amp;DATOS!$D7588&amp;"|"&amp;DATOS!$E7588&amp;"|"&amp;DATOS!$I7588)</f>
      </c>
      <c r="G7588">
        <f>IF(DATOS!$A7588="",0,IF(CONFIG_METADATA!$B$4&lt;&gt;"OR+EX",--(DATOS!$G7588=CONFIG_METADATA!$B$4),IF(DATOS!$G7588="EX",1,IF(DATOS!$G7588="OR",--(COUNTIFS(nNIA,DATOS!$A7588,nCURSO,DATOS!$D7588,nESPEC,DATOS!$E7588,nASIG,DATOS!$I7588,nEVAL,"EX")=0),0))))</f>
      </c>
      <c r="H7588">
        <f>IF(DATOS!$G7588&lt;&gt;"EX",0,--(COUNTIFS(nNIA,DATOS!$A7588,nCURSO,DATOS!$D7588,nESPEC,DATOS!$E7588,nASIG,DATOS!$I7588,nEVAL,"OR")=0))</f>
      </c>
      <c r="I7588">
        <f>IF(DATOS!$I7588="","",IFERROR(VLOOKUP(DATOS!$I7588,CONFIG_ASIGNATURAS!$B$2:$J$91,9,FALSE()),""))</f>
      </c>
    </row>
    <row r="7589">
      <c r="F7589">
        <f>IF(DATOS!$A7589="","",DATOS!$A7589&amp;"|"&amp;DATOS!$D7589&amp;"|"&amp;DATOS!$E7589&amp;"|"&amp;DATOS!$I7589)</f>
      </c>
      <c r="G7589">
        <f>IF(DATOS!$A7589="",0,IF(CONFIG_METADATA!$B$4&lt;&gt;"OR+EX",--(DATOS!$G7589=CONFIG_METADATA!$B$4),IF(DATOS!$G7589="EX",1,IF(DATOS!$G7589="OR",--(COUNTIFS(nNIA,DATOS!$A7589,nCURSO,DATOS!$D7589,nESPEC,DATOS!$E7589,nASIG,DATOS!$I7589,nEVAL,"EX")=0),0))))</f>
      </c>
      <c r="H7589">
        <f>IF(DATOS!$G7589&lt;&gt;"EX",0,--(COUNTIFS(nNIA,DATOS!$A7589,nCURSO,DATOS!$D7589,nESPEC,DATOS!$E7589,nASIG,DATOS!$I7589,nEVAL,"OR")=0))</f>
      </c>
      <c r="I7589">
        <f>IF(DATOS!$I7589="","",IFERROR(VLOOKUP(DATOS!$I7589,CONFIG_ASIGNATURAS!$B$2:$J$91,9,FALSE()),""))</f>
      </c>
    </row>
    <row r="7590">
      <c r="F7590">
        <f>IF(DATOS!$A7590="","",DATOS!$A7590&amp;"|"&amp;DATOS!$D7590&amp;"|"&amp;DATOS!$E7590&amp;"|"&amp;DATOS!$I7590)</f>
      </c>
      <c r="G7590">
        <f>IF(DATOS!$A7590="",0,IF(CONFIG_METADATA!$B$4&lt;&gt;"OR+EX",--(DATOS!$G7590=CONFIG_METADATA!$B$4),IF(DATOS!$G7590="EX",1,IF(DATOS!$G7590="OR",--(COUNTIFS(nNIA,DATOS!$A7590,nCURSO,DATOS!$D7590,nESPEC,DATOS!$E7590,nASIG,DATOS!$I7590,nEVAL,"EX")=0),0))))</f>
      </c>
      <c r="H7590">
        <f>IF(DATOS!$G7590&lt;&gt;"EX",0,--(COUNTIFS(nNIA,DATOS!$A7590,nCURSO,DATOS!$D7590,nESPEC,DATOS!$E7590,nASIG,DATOS!$I7590,nEVAL,"OR")=0))</f>
      </c>
      <c r="I7590">
        <f>IF(DATOS!$I7590="","",IFERROR(VLOOKUP(DATOS!$I7590,CONFIG_ASIGNATURAS!$B$2:$J$91,9,FALSE()),""))</f>
      </c>
    </row>
    <row r="7591">
      <c r="F7591">
        <f>IF(DATOS!$A7591="","",DATOS!$A7591&amp;"|"&amp;DATOS!$D7591&amp;"|"&amp;DATOS!$E7591&amp;"|"&amp;DATOS!$I7591)</f>
      </c>
      <c r="G7591">
        <f>IF(DATOS!$A7591="",0,IF(CONFIG_METADATA!$B$4&lt;&gt;"OR+EX",--(DATOS!$G7591=CONFIG_METADATA!$B$4),IF(DATOS!$G7591="EX",1,IF(DATOS!$G7591="OR",--(COUNTIFS(nNIA,DATOS!$A7591,nCURSO,DATOS!$D7591,nESPEC,DATOS!$E7591,nASIG,DATOS!$I7591,nEVAL,"EX")=0),0))))</f>
      </c>
      <c r="H7591">
        <f>IF(DATOS!$G7591&lt;&gt;"EX",0,--(COUNTIFS(nNIA,DATOS!$A7591,nCURSO,DATOS!$D7591,nESPEC,DATOS!$E7591,nASIG,DATOS!$I7591,nEVAL,"OR")=0))</f>
      </c>
      <c r="I7591">
        <f>IF(DATOS!$I7591="","",IFERROR(VLOOKUP(DATOS!$I7591,CONFIG_ASIGNATURAS!$B$2:$J$91,9,FALSE()),""))</f>
      </c>
    </row>
    <row r="7592">
      <c r="F7592">
        <f>IF(DATOS!$A7592="","",DATOS!$A7592&amp;"|"&amp;DATOS!$D7592&amp;"|"&amp;DATOS!$E7592&amp;"|"&amp;DATOS!$I7592)</f>
      </c>
      <c r="G7592">
        <f>IF(DATOS!$A7592="",0,IF(CONFIG_METADATA!$B$4&lt;&gt;"OR+EX",--(DATOS!$G7592=CONFIG_METADATA!$B$4),IF(DATOS!$G7592="EX",1,IF(DATOS!$G7592="OR",--(COUNTIFS(nNIA,DATOS!$A7592,nCURSO,DATOS!$D7592,nESPEC,DATOS!$E7592,nASIG,DATOS!$I7592,nEVAL,"EX")=0),0))))</f>
      </c>
      <c r="H7592">
        <f>IF(DATOS!$G7592&lt;&gt;"EX",0,--(COUNTIFS(nNIA,DATOS!$A7592,nCURSO,DATOS!$D7592,nESPEC,DATOS!$E7592,nASIG,DATOS!$I7592,nEVAL,"OR")=0))</f>
      </c>
      <c r="I7592">
        <f>IF(DATOS!$I7592="","",IFERROR(VLOOKUP(DATOS!$I7592,CONFIG_ASIGNATURAS!$B$2:$J$91,9,FALSE()),""))</f>
      </c>
    </row>
    <row r="7593">
      <c r="F7593">
        <f>IF(DATOS!$A7593="","",DATOS!$A7593&amp;"|"&amp;DATOS!$D7593&amp;"|"&amp;DATOS!$E7593&amp;"|"&amp;DATOS!$I7593)</f>
      </c>
      <c r="G7593">
        <f>IF(DATOS!$A7593="",0,IF(CONFIG_METADATA!$B$4&lt;&gt;"OR+EX",--(DATOS!$G7593=CONFIG_METADATA!$B$4),IF(DATOS!$G7593="EX",1,IF(DATOS!$G7593="OR",--(COUNTIFS(nNIA,DATOS!$A7593,nCURSO,DATOS!$D7593,nESPEC,DATOS!$E7593,nASIG,DATOS!$I7593,nEVAL,"EX")=0),0))))</f>
      </c>
      <c r="H7593">
        <f>IF(DATOS!$G7593&lt;&gt;"EX",0,--(COUNTIFS(nNIA,DATOS!$A7593,nCURSO,DATOS!$D7593,nESPEC,DATOS!$E7593,nASIG,DATOS!$I7593,nEVAL,"OR")=0))</f>
      </c>
      <c r="I7593">
        <f>IF(DATOS!$I7593="","",IFERROR(VLOOKUP(DATOS!$I7593,CONFIG_ASIGNATURAS!$B$2:$J$91,9,FALSE()),""))</f>
      </c>
    </row>
    <row r="7594">
      <c r="F7594">
        <f>IF(DATOS!$A7594="","",DATOS!$A7594&amp;"|"&amp;DATOS!$D7594&amp;"|"&amp;DATOS!$E7594&amp;"|"&amp;DATOS!$I7594)</f>
      </c>
      <c r="G7594">
        <f>IF(DATOS!$A7594="",0,IF(CONFIG_METADATA!$B$4&lt;&gt;"OR+EX",--(DATOS!$G7594=CONFIG_METADATA!$B$4),IF(DATOS!$G7594="EX",1,IF(DATOS!$G7594="OR",--(COUNTIFS(nNIA,DATOS!$A7594,nCURSO,DATOS!$D7594,nESPEC,DATOS!$E7594,nASIG,DATOS!$I7594,nEVAL,"EX")=0),0))))</f>
      </c>
      <c r="H7594">
        <f>IF(DATOS!$G7594&lt;&gt;"EX",0,--(COUNTIFS(nNIA,DATOS!$A7594,nCURSO,DATOS!$D7594,nESPEC,DATOS!$E7594,nASIG,DATOS!$I7594,nEVAL,"OR")=0))</f>
      </c>
      <c r="I7594">
        <f>IF(DATOS!$I7594="","",IFERROR(VLOOKUP(DATOS!$I7594,CONFIG_ASIGNATURAS!$B$2:$J$91,9,FALSE()),""))</f>
      </c>
    </row>
    <row r="7595">
      <c r="F7595">
        <f>IF(DATOS!$A7595="","",DATOS!$A7595&amp;"|"&amp;DATOS!$D7595&amp;"|"&amp;DATOS!$E7595&amp;"|"&amp;DATOS!$I7595)</f>
      </c>
      <c r="G7595">
        <f>IF(DATOS!$A7595="",0,IF(CONFIG_METADATA!$B$4&lt;&gt;"OR+EX",--(DATOS!$G7595=CONFIG_METADATA!$B$4),IF(DATOS!$G7595="EX",1,IF(DATOS!$G7595="OR",--(COUNTIFS(nNIA,DATOS!$A7595,nCURSO,DATOS!$D7595,nESPEC,DATOS!$E7595,nASIG,DATOS!$I7595,nEVAL,"EX")=0),0))))</f>
      </c>
      <c r="H7595">
        <f>IF(DATOS!$G7595&lt;&gt;"EX",0,--(COUNTIFS(nNIA,DATOS!$A7595,nCURSO,DATOS!$D7595,nESPEC,DATOS!$E7595,nASIG,DATOS!$I7595,nEVAL,"OR")=0))</f>
      </c>
      <c r="I7595">
        <f>IF(DATOS!$I7595="","",IFERROR(VLOOKUP(DATOS!$I7595,CONFIG_ASIGNATURAS!$B$2:$J$91,9,FALSE()),""))</f>
      </c>
    </row>
    <row r="7596">
      <c r="F7596">
        <f>IF(DATOS!$A7596="","",DATOS!$A7596&amp;"|"&amp;DATOS!$D7596&amp;"|"&amp;DATOS!$E7596&amp;"|"&amp;DATOS!$I7596)</f>
      </c>
      <c r="G7596">
        <f>IF(DATOS!$A7596="",0,IF(CONFIG_METADATA!$B$4&lt;&gt;"OR+EX",--(DATOS!$G7596=CONFIG_METADATA!$B$4),IF(DATOS!$G7596="EX",1,IF(DATOS!$G7596="OR",--(COUNTIFS(nNIA,DATOS!$A7596,nCURSO,DATOS!$D7596,nESPEC,DATOS!$E7596,nASIG,DATOS!$I7596,nEVAL,"EX")=0),0))))</f>
      </c>
      <c r="H7596">
        <f>IF(DATOS!$G7596&lt;&gt;"EX",0,--(COUNTIFS(nNIA,DATOS!$A7596,nCURSO,DATOS!$D7596,nESPEC,DATOS!$E7596,nASIG,DATOS!$I7596,nEVAL,"OR")=0))</f>
      </c>
      <c r="I7596">
        <f>IF(DATOS!$I7596="","",IFERROR(VLOOKUP(DATOS!$I7596,CONFIG_ASIGNATURAS!$B$2:$J$91,9,FALSE()),""))</f>
      </c>
    </row>
    <row r="7597">
      <c r="F7597">
        <f>IF(DATOS!$A7597="","",DATOS!$A7597&amp;"|"&amp;DATOS!$D7597&amp;"|"&amp;DATOS!$E7597&amp;"|"&amp;DATOS!$I7597)</f>
      </c>
      <c r="G7597">
        <f>IF(DATOS!$A7597="",0,IF(CONFIG_METADATA!$B$4&lt;&gt;"OR+EX",--(DATOS!$G7597=CONFIG_METADATA!$B$4),IF(DATOS!$G7597="EX",1,IF(DATOS!$G7597="OR",--(COUNTIFS(nNIA,DATOS!$A7597,nCURSO,DATOS!$D7597,nESPEC,DATOS!$E7597,nASIG,DATOS!$I7597,nEVAL,"EX")=0),0))))</f>
      </c>
      <c r="H7597">
        <f>IF(DATOS!$G7597&lt;&gt;"EX",0,--(COUNTIFS(nNIA,DATOS!$A7597,nCURSO,DATOS!$D7597,nESPEC,DATOS!$E7597,nASIG,DATOS!$I7597,nEVAL,"OR")=0))</f>
      </c>
      <c r="I7597">
        <f>IF(DATOS!$I7597="","",IFERROR(VLOOKUP(DATOS!$I7597,CONFIG_ASIGNATURAS!$B$2:$J$91,9,FALSE()),""))</f>
      </c>
    </row>
    <row r="7598">
      <c r="F7598">
        <f>IF(DATOS!$A7598="","",DATOS!$A7598&amp;"|"&amp;DATOS!$D7598&amp;"|"&amp;DATOS!$E7598&amp;"|"&amp;DATOS!$I7598)</f>
      </c>
      <c r="G7598">
        <f>IF(DATOS!$A7598="",0,IF(CONFIG_METADATA!$B$4&lt;&gt;"OR+EX",--(DATOS!$G7598=CONFIG_METADATA!$B$4),IF(DATOS!$G7598="EX",1,IF(DATOS!$G7598="OR",--(COUNTIFS(nNIA,DATOS!$A7598,nCURSO,DATOS!$D7598,nESPEC,DATOS!$E7598,nASIG,DATOS!$I7598,nEVAL,"EX")=0),0))))</f>
      </c>
      <c r="H7598">
        <f>IF(DATOS!$G7598&lt;&gt;"EX",0,--(COUNTIFS(nNIA,DATOS!$A7598,nCURSO,DATOS!$D7598,nESPEC,DATOS!$E7598,nASIG,DATOS!$I7598,nEVAL,"OR")=0))</f>
      </c>
      <c r="I7598">
        <f>IF(DATOS!$I7598="","",IFERROR(VLOOKUP(DATOS!$I7598,CONFIG_ASIGNATURAS!$B$2:$J$91,9,FALSE()),""))</f>
      </c>
    </row>
    <row r="7599">
      <c r="F7599">
        <f>IF(DATOS!$A7599="","",DATOS!$A7599&amp;"|"&amp;DATOS!$D7599&amp;"|"&amp;DATOS!$E7599&amp;"|"&amp;DATOS!$I7599)</f>
      </c>
      <c r="G7599">
        <f>IF(DATOS!$A7599="",0,IF(CONFIG_METADATA!$B$4&lt;&gt;"OR+EX",--(DATOS!$G7599=CONFIG_METADATA!$B$4),IF(DATOS!$G7599="EX",1,IF(DATOS!$G7599="OR",--(COUNTIFS(nNIA,DATOS!$A7599,nCURSO,DATOS!$D7599,nESPEC,DATOS!$E7599,nASIG,DATOS!$I7599,nEVAL,"EX")=0),0))))</f>
      </c>
      <c r="H7599">
        <f>IF(DATOS!$G7599&lt;&gt;"EX",0,--(COUNTIFS(nNIA,DATOS!$A7599,nCURSO,DATOS!$D7599,nESPEC,DATOS!$E7599,nASIG,DATOS!$I7599,nEVAL,"OR")=0))</f>
      </c>
      <c r="I7599">
        <f>IF(DATOS!$I7599="","",IFERROR(VLOOKUP(DATOS!$I7599,CONFIG_ASIGNATURAS!$B$2:$J$91,9,FALSE()),""))</f>
      </c>
    </row>
    <row r="7600">
      <c r="F7600">
        <f>IF(DATOS!$A7600="","",DATOS!$A7600&amp;"|"&amp;DATOS!$D7600&amp;"|"&amp;DATOS!$E7600&amp;"|"&amp;DATOS!$I7600)</f>
      </c>
      <c r="G7600">
        <f>IF(DATOS!$A7600="",0,IF(CONFIG_METADATA!$B$4&lt;&gt;"OR+EX",--(DATOS!$G7600=CONFIG_METADATA!$B$4),IF(DATOS!$G7600="EX",1,IF(DATOS!$G7600="OR",--(COUNTIFS(nNIA,DATOS!$A7600,nCURSO,DATOS!$D7600,nESPEC,DATOS!$E7600,nASIG,DATOS!$I7600,nEVAL,"EX")=0),0))))</f>
      </c>
      <c r="H7600">
        <f>IF(DATOS!$G7600&lt;&gt;"EX",0,--(COUNTIFS(nNIA,DATOS!$A7600,nCURSO,DATOS!$D7600,nESPEC,DATOS!$E7600,nASIG,DATOS!$I7600,nEVAL,"OR")=0))</f>
      </c>
      <c r="I7600">
        <f>IF(DATOS!$I7600="","",IFERROR(VLOOKUP(DATOS!$I7600,CONFIG_ASIGNATURAS!$B$2:$J$91,9,FALSE()),""))</f>
      </c>
    </row>
    <row r="7601">
      <c r="F7601">
        <f>IF(DATOS!$A7601="","",DATOS!$A7601&amp;"|"&amp;DATOS!$D7601&amp;"|"&amp;DATOS!$E7601&amp;"|"&amp;DATOS!$I7601)</f>
      </c>
      <c r="G7601">
        <f>IF(DATOS!$A7601="",0,IF(CONFIG_METADATA!$B$4&lt;&gt;"OR+EX",--(DATOS!$G7601=CONFIG_METADATA!$B$4),IF(DATOS!$G7601="EX",1,IF(DATOS!$G7601="OR",--(COUNTIFS(nNIA,DATOS!$A7601,nCURSO,DATOS!$D7601,nESPEC,DATOS!$E7601,nASIG,DATOS!$I7601,nEVAL,"EX")=0),0))))</f>
      </c>
      <c r="H7601">
        <f>IF(DATOS!$G7601&lt;&gt;"EX",0,--(COUNTIFS(nNIA,DATOS!$A7601,nCURSO,DATOS!$D7601,nESPEC,DATOS!$E7601,nASIG,DATOS!$I7601,nEVAL,"OR")=0))</f>
      </c>
      <c r="I7601">
        <f>IF(DATOS!$I7601="","",IFERROR(VLOOKUP(DATOS!$I7601,CONFIG_ASIGNATURAS!$B$2:$J$91,9,FALSE()),""))</f>
      </c>
    </row>
    <row r="7602">
      <c r="F7602">
        <f>IF(DATOS!$A7602="","",DATOS!$A7602&amp;"|"&amp;DATOS!$D7602&amp;"|"&amp;DATOS!$E7602&amp;"|"&amp;DATOS!$I7602)</f>
      </c>
      <c r="G7602">
        <f>IF(DATOS!$A7602="",0,IF(CONFIG_METADATA!$B$4&lt;&gt;"OR+EX",--(DATOS!$G7602=CONFIG_METADATA!$B$4),IF(DATOS!$G7602="EX",1,IF(DATOS!$G7602="OR",--(COUNTIFS(nNIA,DATOS!$A7602,nCURSO,DATOS!$D7602,nESPEC,DATOS!$E7602,nASIG,DATOS!$I7602,nEVAL,"EX")=0),0))))</f>
      </c>
      <c r="H7602">
        <f>IF(DATOS!$G7602&lt;&gt;"EX",0,--(COUNTIFS(nNIA,DATOS!$A7602,nCURSO,DATOS!$D7602,nESPEC,DATOS!$E7602,nASIG,DATOS!$I7602,nEVAL,"OR")=0))</f>
      </c>
      <c r="I7602">
        <f>IF(DATOS!$I7602="","",IFERROR(VLOOKUP(DATOS!$I7602,CONFIG_ASIGNATURAS!$B$2:$J$91,9,FALSE()),""))</f>
      </c>
    </row>
    <row r="7603">
      <c r="F7603">
        <f>IF(DATOS!$A7603="","",DATOS!$A7603&amp;"|"&amp;DATOS!$D7603&amp;"|"&amp;DATOS!$E7603&amp;"|"&amp;DATOS!$I7603)</f>
      </c>
      <c r="G7603">
        <f>IF(DATOS!$A7603="",0,IF(CONFIG_METADATA!$B$4&lt;&gt;"OR+EX",--(DATOS!$G7603=CONFIG_METADATA!$B$4),IF(DATOS!$G7603="EX",1,IF(DATOS!$G7603="OR",--(COUNTIFS(nNIA,DATOS!$A7603,nCURSO,DATOS!$D7603,nESPEC,DATOS!$E7603,nASIG,DATOS!$I7603,nEVAL,"EX")=0),0))))</f>
      </c>
      <c r="H7603">
        <f>IF(DATOS!$G7603&lt;&gt;"EX",0,--(COUNTIFS(nNIA,DATOS!$A7603,nCURSO,DATOS!$D7603,nESPEC,DATOS!$E7603,nASIG,DATOS!$I7603,nEVAL,"OR")=0))</f>
      </c>
      <c r="I7603">
        <f>IF(DATOS!$I7603="","",IFERROR(VLOOKUP(DATOS!$I7603,CONFIG_ASIGNATURAS!$B$2:$J$91,9,FALSE()),""))</f>
      </c>
    </row>
    <row r="7604">
      <c r="F7604">
        <f>IF(DATOS!$A7604="","",DATOS!$A7604&amp;"|"&amp;DATOS!$D7604&amp;"|"&amp;DATOS!$E7604&amp;"|"&amp;DATOS!$I7604)</f>
      </c>
      <c r="G7604">
        <f>IF(DATOS!$A7604="",0,IF(CONFIG_METADATA!$B$4&lt;&gt;"OR+EX",--(DATOS!$G7604=CONFIG_METADATA!$B$4),IF(DATOS!$G7604="EX",1,IF(DATOS!$G7604="OR",--(COUNTIFS(nNIA,DATOS!$A7604,nCURSO,DATOS!$D7604,nESPEC,DATOS!$E7604,nASIG,DATOS!$I7604,nEVAL,"EX")=0),0))))</f>
      </c>
      <c r="H7604">
        <f>IF(DATOS!$G7604&lt;&gt;"EX",0,--(COUNTIFS(nNIA,DATOS!$A7604,nCURSO,DATOS!$D7604,nESPEC,DATOS!$E7604,nASIG,DATOS!$I7604,nEVAL,"OR")=0))</f>
      </c>
      <c r="I7604">
        <f>IF(DATOS!$I7604="","",IFERROR(VLOOKUP(DATOS!$I7604,CONFIG_ASIGNATURAS!$B$2:$J$91,9,FALSE()),""))</f>
      </c>
    </row>
    <row r="7605">
      <c r="F7605">
        <f>IF(DATOS!$A7605="","",DATOS!$A7605&amp;"|"&amp;DATOS!$D7605&amp;"|"&amp;DATOS!$E7605&amp;"|"&amp;DATOS!$I7605)</f>
      </c>
      <c r="G7605">
        <f>IF(DATOS!$A7605="",0,IF(CONFIG_METADATA!$B$4&lt;&gt;"OR+EX",--(DATOS!$G7605=CONFIG_METADATA!$B$4),IF(DATOS!$G7605="EX",1,IF(DATOS!$G7605="OR",--(COUNTIFS(nNIA,DATOS!$A7605,nCURSO,DATOS!$D7605,nESPEC,DATOS!$E7605,nASIG,DATOS!$I7605,nEVAL,"EX")=0),0))))</f>
      </c>
      <c r="H7605">
        <f>IF(DATOS!$G7605&lt;&gt;"EX",0,--(COUNTIFS(nNIA,DATOS!$A7605,nCURSO,DATOS!$D7605,nESPEC,DATOS!$E7605,nASIG,DATOS!$I7605,nEVAL,"OR")=0))</f>
      </c>
      <c r="I7605">
        <f>IF(DATOS!$I7605="","",IFERROR(VLOOKUP(DATOS!$I7605,CONFIG_ASIGNATURAS!$B$2:$J$91,9,FALSE()),""))</f>
      </c>
    </row>
    <row r="7606">
      <c r="F7606">
        <f>IF(DATOS!$A7606="","",DATOS!$A7606&amp;"|"&amp;DATOS!$D7606&amp;"|"&amp;DATOS!$E7606&amp;"|"&amp;DATOS!$I7606)</f>
      </c>
      <c r="G7606">
        <f>IF(DATOS!$A7606="",0,IF(CONFIG_METADATA!$B$4&lt;&gt;"OR+EX",--(DATOS!$G7606=CONFIG_METADATA!$B$4),IF(DATOS!$G7606="EX",1,IF(DATOS!$G7606="OR",--(COUNTIFS(nNIA,DATOS!$A7606,nCURSO,DATOS!$D7606,nESPEC,DATOS!$E7606,nASIG,DATOS!$I7606,nEVAL,"EX")=0),0))))</f>
      </c>
      <c r="H7606">
        <f>IF(DATOS!$G7606&lt;&gt;"EX",0,--(COUNTIFS(nNIA,DATOS!$A7606,nCURSO,DATOS!$D7606,nESPEC,DATOS!$E7606,nASIG,DATOS!$I7606,nEVAL,"OR")=0))</f>
      </c>
      <c r="I7606">
        <f>IF(DATOS!$I7606="","",IFERROR(VLOOKUP(DATOS!$I7606,CONFIG_ASIGNATURAS!$B$2:$J$91,9,FALSE()),""))</f>
      </c>
    </row>
    <row r="7607">
      <c r="F7607">
        <f>IF(DATOS!$A7607="","",DATOS!$A7607&amp;"|"&amp;DATOS!$D7607&amp;"|"&amp;DATOS!$E7607&amp;"|"&amp;DATOS!$I7607)</f>
      </c>
      <c r="G7607">
        <f>IF(DATOS!$A7607="",0,IF(CONFIG_METADATA!$B$4&lt;&gt;"OR+EX",--(DATOS!$G7607=CONFIG_METADATA!$B$4),IF(DATOS!$G7607="EX",1,IF(DATOS!$G7607="OR",--(COUNTIFS(nNIA,DATOS!$A7607,nCURSO,DATOS!$D7607,nESPEC,DATOS!$E7607,nASIG,DATOS!$I7607,nEVAL,"EX")=0),0))))</f>
      </c>
      <c r="H7607">
        <f>IF(DATOS!$G7607&lt;&gt;"EX",0,--(COUNTIFS(nNIA,DATOS!$A7607,nCURSO,DATOS!$D7607,nESPEC,DATOS!$E7607,nASIG,DATOS!$I7607,nEVAL,"OR")=0))</f>
      </c>
      <c r="I7607">
        <f>IF(DATOS!$I7607="","",IFERROR(VLOOKUP(DATOS!$I7607,CONFIG_ASIGNATURAS!$B$2:$J$91,9,FALSE()),""))</f>
      </c>
    </row>
    <row r="7608">
      <c r="F7608">
        <f>IF(DATOS!$A7608="","",DATOS!$A7608&amp;"|"&amp;DATOS!$D7608&amp;"|"&amp;DATOS!$E7608&amp;"|"&amp;DATOS!$I7608)</f>
      </c>
      <c r="G7608">
        <f>IF(DATOS!$A7608="",0,IF(CONFIG_METADATA!$B$4&lt;&gt;"OR+EX",--(DATOS!$G7608=CONFIG_METADATA!$B$4),IF(DATOS!$G7608="EX",1,IF(DATOS!$G7608="OR",--(COUNTIFS(nNIA,DATOS!$A7608,nCURSO,DATOS!$D7608,nESPEC,DATOS!$E7608,nASIG,DATOS!$I7608,nEVAL,"EX")=0),0))))</f>
      </c>
      <c r="H7608">
        <f>IF(DATOS!$G7608&lt;&gt;"EX",0,--(COUNTIFS(nNIA,DATOS!$A7608,nCURSO,DATOS!$D7608,nESPEC,DATOS!$E7608,nASIG,DATOS!$I7608,nEVAL,"OR")=0))</f>
      </c>
      <c r="I7608">
        <f>IF(DATOS!$I7608="","",IFERROR(VLOOKUP(DATOS!$I7608,CONFIG_ASIGNATURAS!$B$2:$J$91,9,FALSE()),""))</f>
      </c>
    </row>
    <row r="7609">
      <c r="F7609">
        <f>IF(DATOS!$A7609="","",DATOS!$A7609&amp;"|"&amp;DATOS!$D7609&amp;"|"&amp;DATOS!$E7609&amp;"|"&amp;DATOS!$I7609)</f>
      </c>
      <c r="G7609">
        <f>IF(DATOS!$A7609="",0,IF(CONFIG_METADATA!$B$4&lt;&gt;"OR+EX",--(DATOS!$G7609=CONFIG_METADATA!$B$4),IF(DATOS!$G7609="EX",1,IF(DATOS!$G7609="OR",--(COUNTIFS(nNIA,DATOS!$A7609,nCURSO,DATOS!$D7609,nESPEC,DATOS!$E7609,nASIG,DATOS!$I7609,nEVAL,"EX")=0),0))))</f>
      </c>
      <c r="H7609">
        <f>IF(DATOS!$G7609&lt;&gt;"EX",0,--(COUNTIFS(nNIA,DATOS!$A7609,nCURSO,DATOS!$D7609,nESPEC,DATOS!$E7609,nASIG,DATOS!$I7609,nEVAL,"OR")=0))</f>
      </c>
      <c r="I7609">
        <f>IF(DATOS!$I7609="","",IFERROR(VLOOKUP(DATOS!$I7609,CONFIG_ASIGNATURAS!$B$2:$J$91,9,FALSE()),""))</f>
      </c>
    </row>
    <row r="7610">
      <c r="F7610">
        <f>IF(DATOS!$A7610="","",DATOS!$A7610&amp;"|"&amp;DATOS!$D7610&amp;"|"&amp;DATOS!$E7610&amp;"|"&amp;DATOS!$I7610)</f>
      </c>
      <c r="G7610">
        <f>IF(DATOS!$A7610="",0,IF(CONFIG_METADATA!$B$4&lt;&gt;"OR+EX",--(DATOS!$G7610=CONFIG_METADATA!$B$4),IF(DATOS!$G7610="EX",1,IF(DATOS!$G7610="OR",--(COUNTIFS(nNIA,DATOS!$A7610,nCURSO,DATOS!$D7610,nESPEC,DATOS!$E7610,nASIG,DATOS!$I7610,nEVAL,"EX")=0),0))))</f>
      </c>
      <c r="H7610">
        <f>IF(DATOS!$G7610&lt;&gt;"EX",0,--(COUNTIFS(nNIA,DATOS!$A7610,nCURSO,DATOS!$D7610,nESPEC,DATOS!$E7610,nASIG,DATOS!$I7610,nEVAL,"OR")=0))</f>
      </c>
      <c r="I7610">
        <f>IF(DATOS!$I7610="","",IFERROR(VLOOKUP(DATOS!$I7610,CONFIG_ASIGNATURAS!$B$2:$J$91,9,FALSE()),""))</f>
      </c>
    </row>
    <row r="7611">
      <c r="F7611">
        <f>IF(DATOS!$A7611="","",DATOS!$A7611&amp;"|"&amp;DATOS!$D7611&amp;"|"&amp;DATOS!$E7611&amp;"|"&amp;DATOS!$I7611)</f>
      </c>
      <c r="G7611">
        <f>IF(DATOS!$A7611="",0,IF(CONFIG_METADATA!$B$4&lt;&gt;"OR+EX",--(DATOS!$G7611=CONFIG_METADATA!$B$4),IF(DATOS!$G7611="EX",1,IF(DATOS!$G7611="OR",--(COUNTIFS(nNIA,DATOS!$A7611,nCURSO,DATOS!$D7611,nESPEC,DATOS!$E7611,nASIG,DATOS!$I7611,nEVAL,"EX")=0),0))))</f>
      </c>
      <c r="H7611">
        <f>IF(DATOS!$G7611&lt;&gt;"EX",0,--(COUNTIFS(nNIA,DATOS!$A7611,nCURSO,DATOS!$D7611,nESPEC,DATOS!$E7611,nASIG,DATOS!$I7611,nEVAL,"OR")=0))</f>
      </c>
      <c r="I7611">
        <f>IF(DATOS!$I7611="","",IFERROR(VLOOKUP(DATOS!$I7611,CONFIG_ASIGNATURAS!$B$2:$J$91,9,FALSE()),""))</f>
      </c>
    </row>
    <row r="7612">
      <c r="F7612">
        <f>IF(DATOS!$A7612="","",DATOS!$A7612&amp;"|"&amp;DATOS!$D7612&amp;"|"&amp;DATOS!$E7612&amp;"|"&amp;DATOS!$I7612)</f>
      </c>
      <c r="G7612">
        <f>IF(DATOS!$A7612="",0,IF(CONFIG_METADATA!$B$4&lt;&gt;"OR+EX",--(DATOS!$G7612=CONFIG_METADATA!$B$4),IF(DATOS!$G7612="EX",1,IF(DATOS!$G7612="OR",--(COUNTIFS(nNIA,DATOS!$A7612,nCURSO,DATOS!$D7612,nESPEC,DATOS!$E7612,nASIG,DATOS!$I7612,nEVAL,"EX")=0),0))))</f>
      </c>
      <c r="H7612">
        <f>IF(DATOS!$G7612&lt;&gt;"EX",0,--(COUNTIFS(nNIA,DATOS!$A7612,nCURSO,DATOS!$D7612,nESPEC,DATOS!$E7612,nASIG,DATOS!$I7612,nEVAL,"OR")=0))</f>
      </c>
      <c r="I7612">
        <f>IF(DATOS!$I7612="","",IFERROR(VLOOKUP(DATOS!$I7612,CONFIG_ASIGNATURAS!$B$2:$J$91,9,FALSE()),""))</f>
      </c>
    </row>
    <row r="7613">
      <c r="F7613">
        <f>IF(DATOS!$A7613="","",DATOS!$A7613&amp;"|"&amp;DATOS!$D7613&amp;"|"&amp;DATOS!$E7613&amp;"|"&amp;DATOS!$I7613)</f>
      </c>
      <c r="G7613">
        <f>IF(DATOS!$A7613="",0,IF(CONFIG_METADATA!$B$4&lt;&gt;"OR+EX",--(DATOS!$G7613=CONFIG_METADATA!$B$4),IF(DATOS!$G7613="EX",1,IF(DATOS!$G7613="OR",--(COUNTIFS(nNIA,DATOS!$A7613,nCURSO,DATOS!$D7613,nESPEC,DATOS!$E7613,nASIG,DATOS!$I7613,nEVAL,"EX")=0),0))))</f>
      </c>
      <c r="H7613">
        <f>IF(DATOS!$G7613&lt;&gt;"EX",0,--(COUNTIFS(nNIA,DATOS!$A7613,nCURSO,DATOS!$D7613,nESPEC,DATOS!$E7613,nASIG,DATOS!$I7613,nEVAL,"OR")=0))</f>
      </c>
      <c r="I7613">
        <f>IF(DATOS!$I7613="","",IFERROR(VLOOKUP(DATOS!$I7613,CONFIG_ASIGNATURAS!$B$2:$J$91,9,FALSE()),""))</f>
      </c>
    </row>
    <row r="7614">
      <c r="F7614">
        <f>IF(DATOS!$A7614="","",DATOS!$A7614&amp;"|"&amp;DATOS!$D7614&amp;"|"&amp;DATOS!$E7614&amp;"|"&amp;DATOS!$I7614)</f>
      </c>
      <c r="G7614">
        <f>IF(DATOS!$A7614="",0,IF(CONFIG_METADATA!$B$4&lt;&gt;"OR+EX",--(DATOS!$G7614=CONFIG_METADATA!$B$4),IF(DATOS!$G7614="EX",1,IF(DATOS!$G7614="OR",--(COUNTIFS(nNIA,DATOS!$A7614,nCURSO,DATOS!$D7614,nESPEC,DATOS!$E7614,nASIG,DATOS!$I7614,nEVAL,"EX")=0),0))))</f>
      </c>
      <c r="H7614">
        <f>IF(DATOS!$G7614&lt;&gt;"EX",0,--(COUNTIFS(nNIA,DATOS!$A7614,nCURSO,DATOS!$D7614,nESPEC,DATOS!$E7614,nASIG,DATOS!$I7614,nEVAL,"OR")=0))</f>
      </c>
      <c r="I7614">
        <f>IF(DATOS!$I7614="","",IFERROR(VLOOKUP(DATOS!$I7614,CONFIG_ASIGNATURAS!$B$2:$J$91,9,FALSE()),""))</f>
      </c>
    </row>
    <row r="7615">
      <c r="F7615">
        <f>IF(DATOS!$A7615="","",DATOS!$A7615&amp;"|"&amp;DATOS!$D7615&amp;"|"&amp;DATOS!$E7615&amp;"|"&amp;DATOS!$I7615)</f>
      </c>
      <c r="G7615">
        <f>IF(DATOS!$A7615="",0,IF(CONFIG_METADATA!$B$4&lt;&gt;"OR+EX",--(DATOS!$G7615=CONFIG_METADATA!$B$4),IF(DATOS!$G7615="EX",1,IF(DATOS!$G7615="OR",--(COUNTIFS(nNIA,DATOS!$A7615,nCURSO,DATOS!$D7615,nESPEC,DATOS!$E7615,nASIG,DATOS!$I7615,nEVAL,"EX")=0),0))))</f>
      </c>
      <c r="H7615">
        <f>IF(DATOS!$G7615&lt;&gt;"EX",0,--(COUNTIFS(nNIA,DATOS!$A7615,nCURSO,DATOS!$D7615,nESPEC,DATOS!$E7615,nASIG,DATOS!$I7615,nEVAL,"OR")=0))</f>
      </c>
      <c r="I7615">
        <f>IF(DATOS!$I7615="","",IFERROR(VLOOKUP(DATOS!$I7615,CONFIG_ASIGNATURAS!$B$2:$J$91,9,FALSE()),""))</f>
      </c>
    </row>
    <row r="7616">
      <c r="F7616">
        <f>IF(DATOS!$A7616="","",DATOS!$A7616&amp;"|"&amp;DATOS!$D7616&amp;"|"&amp;DATOS!$E7616&amp;"|"&amp;DATOS!$I7616)</f>
      </c>
      <c r="G7616">
        <f>IF(DATOS!$A7616="",0,IF(CONFIG_METADATA!$B$4&lt;&gt;"OR+EX",--(DATOS!$G7616=CONFIG_METADATA!$B$4),IF(DATOS!$G7616="EX",1,IF(DATOS!$G7616="OR",--(COUNTIFS(nNIA,DATOS!$A7616,nCURSO,DATOS!$D7616,nESPEC,DATOS!$E7616,nASIG,DATOS!$I7616,nEVAL,"EX")=0),0))))</f>
      </c>
      <c r="H7616">
        <f>IF(DATOS!$G7616&lt;&gt;"EX",0,--(COUNTIFS(nNIA,DATOS!$A7616,nCURSO,DATOS!$D7616,nESPEC,DATOS!$E7616,nASIG,DATOS!$I7616,nEVAL,"OR")=0))</f>
      </c>
      <c r="I7616">
        <f>IF(DATOS!$I7616="","",IFERROR(VLOOKUP(DATOS!$I7616,CONFIG_ASIGNATURAS!$B$2:$J$91,9,FALSE()),""))</f>
      </c>
    </row>
    <row r="7617">
      <c r="F7617">
        <f>IF(DATOS!$A7617="","",DATOS!$A7617&amp;"|"&amp;DATOS!$D7617&amp;"|"&amp;DATOS!$E7617&amp;"|"&amp;DATOS!$I7617)</f>
      </c>
      <c r="G7617">
        <f>IF(DATOS!$A7617="",0,IF(CONFIG_METADATA!$B$4&lt;&gt;"OR+EX",--(DATOS!$G7617=CONFIG_METADATA!$B$4),IF(DATOS!$G7617="EX",1,IF(DATOS!$G7617="OR",--(COUNTIFS(nNIA,DATOS!$A7617,nCURSO,DATOS!$D7617,nESPEC,DATOS!$E7617,nASIG,DATOS!$I7617,nEVAL,"EX")=0),0))))</f>
      </c>
      <c r="H7617">
        <f>IF(DATOS!$G7617&lt;&gt;"EX",0,--(COUNTIFS(nNIA,DATOS!$A7617,nCURSO,DATOS!$D7617,nESPEC,DATOS!$E7617,nASIG,DATOS!$I7617,nEVAL,"OR")=0))</f>
      </c>
      <c r="I7617">
        <f>IF(DATOS!$I7617="","",IFERROR(VLOOKUP(DATOS!$I7617,CONFIG_ASIGNATURAS!$B$2:$J$91,9,FALSE()),""))</f>
      </c>
    </row>
    <row r="7618">
      <c r="F7618">
        <f>IF(DATOS!$A7618="","",DATOS!$A7618&amp;"|"&amp;DATOS!$D7618&amp;"|"&amp;DATOS!$E7618&amp;"|"&amp;DATOS!$I7618)</f>
      </c>
      <c r="G7618">
        <f>IF(DATOS!$A7618="",0,IF(CONFIG_METADATA!$B$4&lt;&gt;"OR+EX",--(DATOS!$G7618=CONFIG_METADATA!$B$4),IF(DATOS!$G7618="EX",1,IF(DATOS!$G7618="OR",--(COUNTIFS(nNIA,DATOS!$A7618,nCURSO,DATOS!$D7618,nESPEC,DATOS!$E7618,nASIG,DATOS!$I7618,nEVAL,"EX")=0),0))))</f>
      </c>
      <c r="H7618">
        <f>IF(DATOS!$G7618&lt;&gt;"EX",0,--(COUNTIFS(nNIA,DATOS!$A7618,nCURSO,DATOS!$D7618,nESPEC,DATOS!$E7618,nASIG,DATOS!$I7618,nEVAL,"OR")=0))</f>
      </c>
      <c r="I7618">
        <f>IF(DATOS!$I7618="","",IFERROR(VLOOKUP(DATOS!$I7618,CONFIG_ASIGNATURAS!$B$2:$J$91,9,FALSE()),""))</f>
      </c>
    </row>
    <row r="7619">
      <c r="F7619">
        <f>IF(DATOS!$A7619="","",DATOS!$A7619&amp;"|"&amp;DATOS!$D7619&amp;"|"&amp;DATOS!$E7619&amp;"|"&amp;DATOS!$I7619)</f>
      </c>
      <c r="G7619">
        <f>IF(DATOS!$A7619="",0,IF(CONFIG_METADATA!$B$4&lt;&gt;"OR+EX",--(DATOS!$G7619=CONFIG_METADATA!$B$4),IF(DATOS!$G7619="EX",1,IF(DATOS!$G7619="OR",--(COUNTIFS(nNIA,DATOS!$A7619,nCURSO,DATOS!$D7619,nESPEC,DATOS!$E7619,nASIG,DATOS!$I7619,nEVAL,"EX")=0),0))))</f>
      </c>
      <c r="H7619">
        <f>IF(DATOS!$G7619&lt;&gt;"EX",0,--(COUNTIFS(nNIA,DATOS!$A7619,nCURSO,DATOS!$D7619,nESPEC,DATOS!$E7619,nASIG,DATOS!$I7619,nEVAL,"OR")=0))</f>
      </c>
      <c r="I7619">
        <f>IF(DATOS!$I7619="","",IFERROR(VLOOKUP(DATOS!$I7619,CONFIG_ASIGNATURAS!$B$2:$J$91,9,FALSE()),""))</f>
      </c>
    </row>
    <row r="7620">
      <c r="F7620">
        <f>IF(DATOS!$A7620="","",DATOS!$A7620&amp;"|"&amp;DATOS!$D7620&amp;"|"&amp;DATOS!$E7620&amp;"|"&amp;DATOS!$I7620)</f>
      </c>
      <c r="G7620">
        <f>IF(DATOS!$A7620="",0,IF(CONFIG_METADATA!$B$4&lt;&gt;"OR+EX",--(DATOS!$G7620=CONFIG_METADATA!$B$4),IF(DATOS!$G7620="EX",1,IF(DATOS!$G7620="OR",--(COUNTIFS(nNIA,DATOS!$A7620,nCURSO,DATOS!$D7620,nESPEC,DATOS!$E7620,nASIG,DATOS!$I7620,nEVAL,"EX")=0),0))))</f>
      </c>
      <c r="H7620">
        <f>IF(DATOS!$G7620&lt;&gt;"EX",0,--(COUNTIFS(nNIA,DATOS!$A7620,nCURSO,DATOS!$D7620,nESPEC,DATOS!$E7620,nASIG,DATOS!$I7620,nEVAL,"OR")=0))</f>
      </c>
      <c r="I7620">
        <f>IF(DATOS!$I7620="","",IFERROR(VLOOKUP(DATOS!$I7620,CONFIG_ASIGNATURAS!$B$2:$J$91,9,FALSE()),""))</f>
      </c>
    </row>
    <row r="7621">
      <c r="F7621">
        <f>IF(DATOS!$A7621="","",DATOS!$A7621&amp;"|"&amp;DATOS!$D7621&amp;"|"&amp;DATOS!$E7621&amp;"|"&amp;DATOS!$I7621)</f>
      </c>
      <c r="G7621">
        <f>IF(DATOS!$A7621="",0,IF(CONFIG_METADATA!$B$4&lt;&gt;"OR+EX",--(DATOS!$G7621=CONFIG_METADATA!$B$4),IF(DATOS!$G7621="EX",1,IF(DATOS!$G7621="OR",--(COUNTIFS(nNIA,DATOS!$A7621,nCURSO,DATOS!$D7621,nESPEC,DATOS!$E7621,nASIG,DATOS!$I7621,nEVAL,"EX")=0),0))))</f>
      </c>
      <c r="H7621">
        <f>IF(DATOS!$G7621&lt;&gt;"EX",0,--(COUNTIFS(nNIA,DATOS!$A7621,nCURSO,DATOS!$D7621,nESPEC,DATOS!$E7621,nASIG,DATOS!$I7621,nEVAL,"OR")=0))</f>
      </c>
      <c r="I7621">
        <f>IF(DATOS!$I7621="","",IFERROR(VLOOKUP(DATOS!$I7621,CONFIG_ASIGNATURAS!$B$2:$J$91,9,FALSE()),""))</f>
      </c>
    </row>
    <row r="7622">
      <c r="F7622">
        <f>IF(DATOS!$A7622="","",DATOS!$A7622&amp;"|"&amp;DATOS!$D7622&amp;"|"&amp;DATOS!$E7622&amp;"|"&amp;DATOS!$I7622)</f>
      </c>
      <c r="G7622">
        <f>IF(DATOS!$A7622="",0,IF(CONFIG_METADATA!$B$4&lt;&gt;"OR+EX",--(DATOS!$G7622=CONFIG_METADATA!$B$4),IF(DATOS!$G7622="EX",1,IF(DATOS!$G7622="OR",--(COUNTIFS(nNIA,DATOS!$A7622,nCURSO,DATOS!$D7622,nESPEC,DATOS!$E7622,nASIG,DATOS!$I7622,nEVAL,"EX")=0),0))))</f>
      </c>
      <c r="H7622">
        <f>IF(DATOS!$G7622&lt;&gt;"EX",0,--(COUNTIFS(nNIA,DATOS!$A7622,nCURSO,DATOS!$D7622,nESPEC,DATOS!$E7622,nASIG,DATOS!$I7622,nEVAL,"OR")=0))</f>
      </c>
      <c r="I7622">
        <f>IF(DATOS!$I7622="","",IFERROR(VLOOKUP(DATOS!$I7622,CONFIG_ASIGNATURAS!$B$2:$J$91,9,FALSE()),""))</f>
      </c>
    </row>
    <row r="7623">
      <c r="F7623">
        <f>IF(DATOS!$A7623="","",DATOS!$A7623&amp;"|"&amp;DATOS!$D7623&amp;"|"&amp;DATOS!$E7623&amp;"|"&amp;DATOS!$I7623)</f>
      </c>
      <c r="G7623">
        <f>IF(DATOS!$A7623="",0,IF(CONFIG_METADATA!$B$4&lt;&gt;"OR+EX",--(DATOS!$G7623=CONFIG_METADATA!$B$4),IF(DATOS!$G7623="EX",1,IF(DATOS!$G7623="OR",--(COUNTIFS(nNIA,DATOS!$A7623,nCURSO,DATOS!$D7623,nESPEC,DATOS!$E7623,nASIG,DATOS!$I7623,nEVAL,"EX")=0),0))))</f>
      </c>
      <c r="H7623">
        <f>IF(DATOS!$G7623&lt;&gt;"EX",0,--(COUNTIFS(nNIA,DATOS!$A7623,nCURSO,DATOS!$D7623,nESPEC,DATOS!$E7623,nASIG,DATOS!$I7623,nEVAL,"OR")=0))</f>
      </c>
      <c r="I7623">
        <f>IF(DATOS!$I7623="","",IFERROR(VLOOKUP(DATOS!$I7623,CONFIG_ASIGNATURAS!$B$2:$J$91,9,FALSE()),""))</f>
      </c>
    </row>
    <row r="7624">
      <c r="F7624">
        <f>IF(DATOS!$A7624="","",DATOS!$A7624&amp;"|"&amp;DATOS!$D7624&amp;"|"&amp;DATOS!$E7624&amp;"|"&amp;DATOS!$I7624)</f>
      </c>
      <c r="G7624">
        <f>IF(DATOS!$A7624="",0,IF(CONFIG_METADATA!$B$4&lt;&gt;"OR+EX",--(DATOS!$G7624=CONFIG_METADATA!$B$4),IF(DATOS!$G7624="EX",1,IF(DATOS!$G7624="OR",--(COUNTIFS(nNIA,DATOS!$A7624,nCURSO,DATOS!$D7624,nESPEC,DATOS!$E7624,nASIG,DATOS!$I7624,nEVAL,"EX")=0),0))))</f>
      </c>
      <c r="H7624">
        <f>IF(DATOS!$G7624&lt;&gt;"EX",0,--(COUNTIFS(nNIA,DATOS!$A7624,nCURSO,DATOS!$D7624,nESPEC,DATOS!$E7624,nASIG,DATOS!$I7624,nEVAL,"OR")=0))</f>
      </c>
      <c r="I7624">
        <f>IF(DATOS!$I7624="","",IFERROR(VLOOKUP(DATOS!$I7624,CONFIG_ASIGNATURAS!$B$2:$J$91,9,FALSE()),""))</f>
      </c>
    </row>
    <row r="7625">
      <c r="F7625">
        <f>IF(DATOS!$A7625="","",DATOS!$A7625&amp;"|"&amp;DATOS!$D7625&amp;"|"&amp;DATOS!$E7625&amp;"|"&amp;DATOS!$I7625)</f>
      </c>
      <c r="G7625">
        <f>IF(DATOS!$A7625="",0,IF(CONFIG_METADATA!$B$4&lt;&gt;"OR+EX",--(DATOS!$G7625=CONFIG_METADATA!$B$4),IF(DATOS!$G7625="EX",1,IF(DATOS!$G7625="OR",--(COUNTIFS(nNIA,DATOS!$A7625,nCURSO,DATOS!$D7625,nESPEC,DATOS!$E7625,nASIG,DATOS!$I7625,nEVAL,"EX")=0),0))))</f>
      </c>
      <c r="H7625">
        <f>IF(DATOS!$G7625&lt;&gt;"EX",0,--(COUNTIFS(nNIA,DATOS!$A7625,nCURSO,DATOS!$D7625,nESPEC,DATOS!$E7625,nASIG,DATOS!$I7625,nEVAL,"OR")=0))</f>
      </c>
      <c r="I7625">
        <f>IF(DATOS!$I7625="","",IFERROR(VLOOKUP(DATOS!$I7625,CONFIG_ASIGNATURAS!$B$2:$J$91,9,FALSE()),""))</f>
      </c>
    </row>
    <row r="7626">
      <c r="F7626">
        <f>IF(DATOS!$A7626="","",DATOS!$A7626&amp;"|"&amp;DATOS!$D7626&amp;"|"&amp;DATOS!$E7626&amp;"|"&amp;DATOS!$I7626)</f>
      </c>
      <c r="G7626">
        <f>IF(DATOS!$A7626="",0,IF(CONFIG_METADATA!$B$4&lt;&gt;"OR+EX",--(DATOS!$G7626=CONFIG_METADATA!$B$4),IF(DATOS!$G7626="EX",1,IF(DATOS!$G7626="OR",--(COUNTIFS(nNIA,DATOS!$A7626,nCURSO,DATOS!$D7626,nESPEC,DATOS!$E7626,nASIG,DATOS!$I7626,nEVAL,"EX")=0),0))))</f>
      </c>
      <c r="H7626">
        <f>IF(DATOS!$G7626&lt;&gt;"EX",0,--(COUNTIFS(nNIA,DATOS!$A7626,nCURSO,DATOS!$D7626,nESPEC,DATOS!$E7626,nASIG,DATOS!$I7626,nEVAL,"OR")=0))</f>
      </c>
      <c r="I7626">
        <f>IF(DATOS!$I7626="","",IFERROR(VLOOKUP(DATOS!$I7626,CONFIG_ASIGNATURAS!$B$2:$J$91,9,FALSE()),""))</f>
      </c>
    </row>
    <row r="7627">
      <c r="F7627">
        <f>IF(DATOS!$A7627="","",DATOS!$A7627&amp;"|"&amp;DATOS!$D7627&amp;"|"&amp;DATOS!$E7627&amp;"|"&amp;DATOS!$I7627)</f>
      </c>
      <c r="G7627">
        <f>IF(DATOS!$A7627="",0,IF(CONFIG_METADATA!$B$4&lt;&gt;"OR+EX",--(DATOS!$G7627=CONFIG_METADATA!$B$4),IF(DATOS!$G7627="EX",1,IF(DATOS!$G7627="OR",--(COUNTIFS(nNIA,DATOS!$A7627,nCURSO,DATOS!$D7627,nESPEC,DATOS!$E7627,nASIG,DATOS!$I7627,nEVAL,"EX")=0),0))))</f>
      </c>
      <c r="H7627">
        <f>IF(DATOS!$G7627&lt;&gt;"EX",0,--(COUNTIFS(nNIA,DATOS!$A7627,nCURSO,DATOS!$D7627,nESPEC,DATOS!$E7627,nASIG,DATOS!$I7627,nEVAL,"OR")=0))</f>
      </c>
      <c r="I7627">
        <f>IF(DATOS!$I7627="","",IFERROR(VLOOKUP(DATOS!$I7627,CONFIG_ASIGNATURAS!$B$2:$J$91,9,FALSE()),""))</f>
      </c>
    </row>
    <row r="7628">
      <c r="F7628">
        <f>IF(DATOS!$A7628="","",DATOS!$A7628&amp;"|"&amp;DATOS!$D7628&amp;"|"&amp;DATOS!$E7628&amp;"|"&amp;DATOS!$I7628)</f>
      </c>
      <c r="G7628">
        <f>IF(DATOS!$A7628="",0,IF(CONFIG_METADATA!$B$4&lt;&gt;"OR+EX",--(DATOS!$G7628=CONFIG_METADATA!$B$4),IF(DATOS!$G7628="EX",1,IF(DATOS!$G7628="OR",--(COUNTIFS(nNIA,DATOS!$A7628,nCURSO,DATOS!$D7628,nESPEC,DATOS!$E7628,nASIG,DATOS!$I7628,nEVAL,"EX")=0),0))))</f>
      </c>
      <c r="H7628">
        <f>IF(DATOS!$G7628&lt;&gt;"EX",0,--(COUNTIFS(nNIA,DATOS!$A7628,nCURSO,DATOS!$D7628,nESPEC,DATOS!$E7628,nASIG,DATOS!$I7628,nEVAL,"OR")=0))</f>
      </c>
      <c r="I7628">
        <f>IF(DATOS!$I7628="","",IFERROR(VLOOKUP(DATOS!$I7628,CONFIG_ASIGNATURAS!$B$2:$J$91,9,FALSE()),""))</f>
      </c>
    </row>
    <row r="7629">
      <c r="F7629">
        <f>IF(DATOS!$A7629="","",DATOS!$A7629&amp;"|"&amp;DATOS!$D7629&amp;"|"&amp;DATOS!$E7629&amp;"|"&amp;DATOS!$I7629)</f>
      </c>
      <c r="G7629">
        <f>IF(DATOS!$A7629="",0,IF(CONFIG_METADATA!$B$4&lt;&gt;"OR+EX",--(DATOS!$G7629=CONFIG_METADATA!$B$4),IF(DATOS!$G7629="EX",1,IF(DATOS!$G7629="OR",--(COUNTIFS(nNIA,DATOS!$A7629,nCURSO,DATOS!$D7629,nESPEC,DATOS!$E7629,nASIG,DATOS!$I7629,nEVAL,"EX")=0),0))))</f>
      </c>
      <c r="H7629">
        <f>IF(DATOS!$G7629&lt;&gt;"EX",0,--(COUNTIFS(nNIA,DATOS!$A7629,nCURSO,DATOS!$D7629,nESPEC,DATOS!$E7629,nASIG,DATOS!$I7629,nEVAL,"OR")=0))</f>
      </c>
      <c r="I7629">
        <f>IF(DATOS!$I7629="","",IFERROR(VLOOKUP(DATOS!$I7629,CONFIG_ASIGNATURAS!$B$2:$J$91,9,FALSE()),""))</f>
      </c>
    </row>
    <row r="7630">
      <c r="F7630">
        <f>IF(DATOS!$A7630="","",DATOS!$A7630&amp;"|"&amp;DATOS!$D7630&amp;"|"&amp;DATOS!$E7630&amp;"|"&amp;DATOS!$I7630)</f>
      </c>
      <c r="G7630">
        <f>IF(DATOS!$A7630="",0,IF(CONFIG_METADATA!$B$4&lt;&gt;"OR+EX",--(DATOS!$G7630=CONFIG_METADATA!$B$4),IF(DATOS!$G7630="EX",1,IF(DATOS!$G7630="OR",--(COUNTIFS(nNIA,DATOS!$A7630,nCURSO,DATOS!$D7630,nESPEC,DATOS!$E7630,nASIG,DATOS!$I7630,nEVAL,"EX")=0),0))))</f>
      </c>
      <c r="H7630">
        <f>IF(DATOS!$G7630&lt;&gt;"EX",0,--(COUNTIFS(nNIA,DATOS!$A7630,nCURSO,DATOS!$D7630,nESPEC,DATOS!$E7630,nASIG,DATOS!$I7630,nEVAL,"OR")=0))</f>
      </c>
      <c r="I7630">
        <f>IF(DATOS!$I7630="","",IFERROR(VLOOKUP(DATOS!$I7630,CONFIG_ASIGNATURAS!$B$2:$J$91,9,FALSE()),""))</f>
      </c>
    </row>
    <row r="7631">
      <c r="F7631">
        <f>IF(DATOS!$A7631="","",DATOS!$A7631&amp;"|"&amp;DATOS!$D7631&amp;"|"&amp;DATOS!$E7631&amp;"|"&amp;DATOS!$I7631)</f>
      </c>
      <c r="G7631">
        <f>IF(DATOS!$A7631="",0,IF(CONFIG_METADATA!$B$4&lt;&gt;"OR+EX",--(DATOS!$G7631=CONFIG_METADATA!$B$4),IF(DATOS!$G7631="EX",1,IF(DATOS!$G7631="OR",--(COUNTIFS(nNIA,DATOS!$A7631,nCURSO,DATOS!$D7631,nESPEC,DATOS!$E7631,nASIG,DATOS!$I7631,nEVAL,"EX")=0),0))))</f>
      </c>
      <c r="H7631">
        <f>IF(DATOS!$G7631&lt;&gt;"EX",0,--(COUNTIFS(nNIA,DATOS!$A7631,nCURSO,DATOS!$D7631,nESPEC,DATOS!$E7631,nASIG,DATOS!$I7631,nEVAL,"OR")=0))</f>
      </c>
      <c r="I7631">
        <f>IF(DATOS!$I7631="","",IFERROR(VLOOKUP(DATOS!$I7631,CONFIG_ASIGNATURAS!$B$2:$J$91,9,FALSE()),""))</f>
      </c>
    </row>
    <row r="7632">
      <c r="F7632">
        <f>IF(DATOS!$A7632="","",DATOS!$A7632&amp;"|"&amp;DATOS!$D7632&amp;"|"&amp;DATOS!$E7632&amp;"|"&amp;DATOS!$I7632)</f>
      </c>
      <c r="G7632">
        <f>IF(DATOS!$A7632="",0,IF(CONFIG_METADATA!$B$4&lt;&gt;"OR+EX",--(DATOS!$G7632=CONFIG_METADATA!$B$4),IF(DATOS!$G7632="EX",1,IF(DATOS!$G7632="OR",--(COUNTIFS(nNIA,DATOS!$A7632,nCURSO,DATOS!$D7632,nESPEC,DATOS!$E7632,nASIG,DATOS!$I7632,nEVAL,"EX")=0),0))))</f>
      </c>
      <c r="H7632">
        <f>IF(DATOS!$G7632&lt;&gt;"EX",0,--(COUNTIFS(nNIA,DATOS!$A7632,nCURSO,DATOS!$D7632,nESPEC,DATOS!$E7632,nASIG,DATOS!$I7632,nEVAL,"OR")=0))</f>
      </c>
      <c r="I7632">
        <f>IF(DATOS!$I7632="","",IFERROR(VLOOKUP(DATOS!$I7632,CONFIG_ASIGNATURAS!$B$2:$J$91,9,FALSE()),""))</f>
      </c>
    </row>
    <row r="7633">
      <c r="F7633">
        <f>IF(DATOS!$A7633="","",DATOS!$A7633&amp;"|"&amp;DATOS!$D7633&amp;"|"&amp;DATOS!$E7633&amp;"|"&amp;DATOS!$I7633)</f>
      </c>
      <c r="G7633">
        <f>IF(DATOS!$A7633="",0,IF(CONFIG_METADATA!$B$4&lt;&gt;"OR+EX",--(DATOS!$G7633=CONFIG_METADATA!$B$4),IF(DATOS!$G7633="EX",1,IF(DATOS!$G7633="OR",--(COUNTIFS(nNIA,DATOS!$A7633,nCURSO,DATOS!$D7633,nESPEC,DATOS!$E7633,nASIG,DATOS!$I7633,nEVAL,"EX")=0),0))))</f>
      </c>
      <c r="H7633">
        <f>IF(DATOS!$G7633&lt;&gt;"EX",0,--(COUNTIFS(nNIA,DATOS!$A7633,nCURSO,DATOS!$D7633,nESPEC,DATOS!$E7633,nASIG,DATOS!$I7633,nEVAL,"OR")=0))</f>
      </c>
      <c r="I7633">
        <f>IF(DATOS!$I7633="","",IFERROR(VLOOKUP(DATOS!$I7633,CONFIG_ASIGNATURAS!$B$2:$J$91,9,FALSE()),""))</f>
      </c>
    </row>
    <row r="7634">
      <c r="F7634">
        <f>IF(DATOS!$A7634="","",DATOS!$A7634&amp;"|"&amp;DATOS!$D7634&amp;"|"&amp;DATOS!$E7634&amp;"|"&amp;DATOS!$I7634)</f>
      </c>
      <c r="G7634">
        <f>IF(DATOS!$A7634="",0,IF(CONFIG_METADATA!$B$4&lt;&gt;"OR+EX",--(DATOS!$G7634=CONFIG_METADATA!$B$4),IF(DATOS!$G7634="EX",1,IF(DATOS!$G7634="OR",--(COUNTIFS(nNIA,DATOS!$A7634,nCURSO,DATOS!$D7634,nESPEC,DATOS!$E7634,nASIG,DATOS!$I7634,nEVAL,"EX")=0),0))))</f>
      </c>
      <c r="H7634">
        <f>IF(DATOS!$G7634&lt;&gt;"EX",0,--(COUNTIFS(nNIA,DATOS!$A7634,nCURSO,DATOS!$D7634,nESPEC,DATOS!$E7634,nASIG,DATOS!$I7634,nEVAL,"OR")=0))</f>
      </c>
      <c r="I7634">
        <f>IF(DATOS!$I7634="","",IFERROR(VLOOKUP(DATOS!$I7634,CONFIG_ASIGNATURAS!$B$2:$J$91,9,FALSE()),""))</f>
      </c>
    </row>
    <row r="7635">
      <c r="F7635">
        <f>IF(DATOS!$A7635="","",DATOS!$A7635&amp;"|"&amp;DATOS!$D7635&amp;"|"&amp;DATOS!$E7635&amp;"|"&amp;DATOS!$I7635)</f>
      </c>
      <c r="G7635">
        <f>IF(DATOS!$A7635="",0,IF(CONFIG_METADATA!$B$4&lt;&gt;"OR+EX",--(DATOS!$G7635=CONFIG_METADATA!$B$4),IF(DATOS!$G7635="EX",1,IF(DATOS!$G7635="OR",--(COUNTIFS(nNIA,DATOS!$A7635,nCURSO,DATOS!$D7635,nESPEC,DATOS!$E7635,nASIG,DATOS!$I7635,nEVAL,"EX")=0),0))))</f>
      </c>
      <c r="H7635">
        <f>IF(DATOS!$G7635&lt;&gt;"EX",0,--(COUNTIFS(nNIA,DATOS!$A7635,nCURSO,DATOS!$D7635,nESPEC,DATOS!$E7635,nASIG,DATOS!$I7635,nEVAL,"OR")=0))</f>
      </c>
      <c r="I7635">
        <f>IF(DATOS!$I7635="","",IFERROR(VLOOKUP(DATOS!$I7635,CONFIG_ASIGNATURAS!$B$2:$J$91,9,FALSE()),""))</f>
      </c>
    </row>
    <row r="7636">
      <c r="F7636">
        <f>IF(DATOS!$A7636="","",DATOS!$A7636&amp;"|"&amp;DATOS!$D7636&amp;"|"&amp;DATOS!$E7636&amp;"|"&amp;DATOS!$I7636)</f>
      </c>
      <c r="G7636">
        <f>IF(DATOS!$A7636="",0,IF(CONFIG_METADATA!$B$4&lt;&gt;"OR+EX",--(DATOS!$G7636=CONFIG_METADATA!$B$4),IF(DATOS!$G7636="EX",1,IF(DATOS!$G7636="OR",--(COUNTIFS(nNIA,DATOS!$A7636,nCURSO,DATOS!$D7636,nESPEC,DATOS!$E7636,nASIG,DATOS!$I7636,nEVAL,"EX")=0),0))))</f>
      </c>
      <c r="H7636">
        <f>IF(DATOS!$G7636&lt;&gt;"EX",0,--(COUNTIFS(nNIA,DATOS!$A7636,nCURSO,DATOS!$D7636,nESPEC,DATOS!$E7636,nASIG,DATOS!$I7636,nEVAL,"OR")=0))</f>
      </c>
      <c r="I7636">
        <f>IF(DATOS!$I7636="","",IFERROR(VLOOKUP(DATOS!$I7636,CONFIG_ASIGNATURAS!$B$2:$J$91,9,FALSE()),""))</f>
      </c>
    </row>
    <row r="7637">
      <c r="F7637">
        <f>IF(DATOS!$A7637="","",DATOS!$A7637&amp;"|"&amp;DATOS!$D7637&amp;"|"&amp;DATOS!$E7637&amp;"|"&amp;DATOS!$I7637)</f>
      </c>
      <c r="G7637">
        <f>IF(DATOS!$A7637="",0,IF(CONFIG_METADATA!$B$4&lt;&gt;"OR+EX",--(DATOS!$G7637=CONFIG_METADATA!$B$4),IF(DATOS!$G7637="EX",1,IF(DATOS!$G7637="OR",--(COUNTIFS(nNIA,DATOS!$A7637,nCURSO,DATOS!$D7637,nESPEC,DATOS!$E7637,nASIG,DATOS!$I7637,nEVAL,"EX")=0),0))))</f>
      </c>
      <c r="H7637">
        <f>IF(DATOS!$G7637&lt;&gt;"EX",0,--(COUNTIFS(nNIA,DATOS!$A7637,nCURSO,DATOS!$D7637,nESPEC,DATOS!$E7637,nASIG,DATOS!$I7637,nEVAL,"OR")=0))</f>
      </c>
      <c r="I7637">
        <f>IF(DATOS!$I7637="","",IFERROR(VLOOKUP(DATOS!$I7637,CONFIG_ASIGNATURAS!$B$2:$J$91,9,FALSE()),""))</f>
      </c>
    </row>
    <row r="7638">
      <c r="F7638">
        <f>IF(DATOS!$A7638="","",DATOS!$A7638&amp;"|"&amp;DATOS!$D7638&amp;"|"&amp;DATOS!$E7638&amp;"|"&amp;DATOS!$I7638)</f>
      </c>
      <c r="G7638">
        <f>IF(DATOS!$A7638="",0,IF(CONFIG_METADATA!$B$4&lt;&gt;"OR+EX",--(DATOS!$G7638=CONFIG_METADATA!$B$4),IF(DATOS!$G7638="EX",1,IF(DATOS!$G7638="OR",--(COUNTIFS(nNIA,DATOS!$A7638,nCURSO,DATOS!$D7638,nESPEC,DATOS!$E7638,nASIG,DATOS!$I7638,nEVAL,"EX")=0),0))))</f>
      </c>
      <c r="H7638">
        <f>IF(DATOS!$G7638&lt;&gt;"EX",0,--(COUNTIFS(nNIA,DATOS!$A7638,nCURSO,DATOS!$D7638,nESPEC,DATOS!$E7638,nASIG,DATOS!$I7638,nEVAL,"OR")=0))</f>
      </c>
      <c r="I7638">
        <f>IF(DATOS!$I7638="","",IFERROR(VLOOKUP(DATOS!$I7638,CONFIG_ASIGNATURAS!$B$2:$J$91,9,FALSE()),""))</f>
      </c>
    </row>
    <row r="7639">
      <c r="F7639">
        <f>IF(DATOS!$A7639="","",DATOS!$A7639&amp;"|"&amp;DATOS!$D7639&amp;"|"&amp;DATOS!$E7639&amp;"|"&amp;DATOS!$I7639)</f>
      </c>
      <c r="G7639">
        <f>IF(DATOS!$A7639="",0,IF(CONFIG_METADATA!$B$4&lt;&gt;"OR+EX",--(DATOS!$G7639=CONFIG_METADATA!$B$4),IF(DATOS!$G7639="EX",1,IF(DATOS!$G7639="OR",--(COUNTIFS(nNIA,DATOS!$A7639,nCURSO,DATOS!$D7639,nESPEC,DATOS!$E7639,nASIG,DATOS!$I7639,nEVAL,"EX")=0),0))))</f>
      </c>
      <c r="H7639">
        <f>IF(DATOS!$G7639&lt;&gt;"EX",0,--(COUNTIFS(nNIA,DATOS!$A7639,nCURSO,DATOS!$D7639,nESPEC,DATOS!$E7639,nASIG,DATOS!$I7639,nEVAL,"OR")=0))</f>
      </c>
      <c r="I7639">
        <f>IF(DATOS!$I7639="","",IFERROR(VLOOKUP(DATOS!$I7639,CONFIG_ASIGNATURAS!$B$2:$J$91,9,FALSE()),""))</f>
      </c>
    </row>
    <row r="7640">
      <c r="F7640">
        <f>IF(DATOS!$A7640="","",DATOS!$A7640&amp;"|"&amp;DATOS!$D7640&amp;"|"&amp;DATOS!$E7640&amp;"|"&amp;DATOS!$I7640)</f>
      </c>
      <c r="G7640">
        <f>IF(DATOS!$A7640="",0,IF(CONFIG_METADATA!$B$4&lt;&gt;"OR+EX",--(DATOS!$G7640=CONFIG_METADATA!$B$4),IF(DATOS!$G7640="EX",1,IF(DATOS!$G7640="OR",--(COUNTIFS(nNIA,DATOS!$A7640,nCURSO,DATOS!$D7640,nESPEC,DATOS!$E7640,nASIG,DATOS!$I7640,nEVAL,"EX")=0),0))))</f>
      </c>
      <c r="H7640">
        <f>IF(DATOS!$G7640&lt;&gt;"EX",0,--(COUNTIFS(nNIA,DATOS!$A7640,nCURSO,DATOS!$D7640,nESPEC,DATOS!$E7640,nASIG,DATOS!$I7640,nEVAL,"OR")=0))</f>
      </c>
      <c r="I7640">
        <f>IF(DATOS!$I7640="","",IFERROR(VLOOKUP(DATOS!$I7640,CONFIG_ASIGNATURAS!$B$2:$J$91,9,FALSE()),""))</f>
      </c>
    </row>
    <row r="7641">
      <c r="F7641">
        <f>IF(DATOS!$A7641="","",DATOS!$A7641&amp;"|"&amp;DATOS!$D7641&amp;"|"&amp;DATOS!$E7641&amp;"|"&amp;DATOS!$I7641)</f>
      </c>
      <c r="G7641">
        <f>IF(DATOS!$A7641="",0,IF(CONFIG_METADATA!$B$4&lt;&gt;"OR+EX",--(DATOS!$G7641=CONFIG_METADATA!$B$4),IF(DATOS!$G7641="EX",1,IF(DATOS!$G7641="OR",--(COUNTIFS(nNIA,DATOS!$A7641,nCURSO,DATOS!$D7641,nESPEC,DATOS!$E7641,nASIG,DATOS!$I7641,nEVAL,"EX")=0),0))))</f>
      </c>
      <c r="H7641">
        <f>IF(DATOS!$G7641&lt;&gt;"EX",0,--(COUNTIFS(nNIA,DATOS!$A7641,nCURSO,DATOS!$D7641,nESPEC,DATOS!$E7641,nASIG,DATOS!$I7641,nEVAL,"OR")=0))</f>
      </c>
      <c r="I7641">
        <f>IF(DATOS!$I7641="","",IFERROR(VLOOKUP(DATOS!$I7641,CONFIG_ASIGNATURAS!$B$2:$J$91,9,FALSE()),""))</f>
      </c>
    </row>
    <row r="7642">
      <c r="F7642">
        <f>IF(DATOS!$A7642="","",DATOS!$A7642&amp;"|"&amp;DATOS!$D7642&amp;"|"&amp;DATOS!$E7642&amp;"|"&amp;DATOS!$I7642)</f>
      </c>
      <c r="G7642">
        <f>IF(DATOS!$A7642="",0,IF(CONFIG_METADATA!$B$4&lt;&gt;"OR+EX",--(DATOS!$G7642=CONFIG_METADATA!$B$4),IF(DATOS!$G7642="EX",1,IF(DATOS!$G7642="OR",--(COUNTIFS(nNIA,DATOS!$A7642,nCURSO,DATOS!$D7642,nESPEC,DATOS!$E7642,nASIG,DATOS!$I7642,nEVAL,"EX")=0),0))))</f>
      </c>
      <c r="H7642">
        <f>IF(DATOS!$G7642&lt;&gt;"EX",0,--(COUNTIFS(nNIA,DATOS!$A7642,nCURSO,DATOS!$D7642,nESPEC,DATOS!$E7642,nASIG,DATOS!$I7642,nEVAL,"OR")=0))</f>
      </c>
      <c r="I7642">
        <f>IF(DATOS!$I7642="","",IFERROR(VLOOKUP(DATOS!$I7642,CONFIG_ASIGNATURAS!$B$2:$J$91,9,FALSE()),""))</f>
      </c>
    </row>
    <row r="7643">
      <c r="F7643">
        <f>IF(DATOS!$A7643="","",DATOS!$A7643&amp;"|"&amp;DATOS!$D7643&amp;"|"&amp;DATOS!$E7643&amp;"|"&amp;DATOS!$I7643)</f>
      </c>
      <c r="G7643">
        <f>IF(DATOS!$A7643="",0,IF(CONFIG_METADATA!$B$4&lt;&gt;"OR+EX",--(DATOS!$G7643=CONFIG_METADATA!$B$4),IF(DATOS!$G7643="EX",1,IF(DATOS!$G7643="OR",--(COUNTIFS(nNIA,DATOS!$A7643,nCURSO,DATOS!$D7643,nESPEC,DATOS!$E7643,nASIG,DATOS!$I7643,nEVAL,"EX")=0),0))))</f>
      </c>
      <c r="H7643">
        <f>IF(DATOS!$G7643&lt;&gt;"EX",0,--(COUNTIFS(nNIA,DATOS!$A7643,nCURSO,DATOS!$D7643,nESPEC,DATOS!$E7643,nASIG,DATOS!$I7643,nEVAL,"OR")=0))</f>
      </c>
      <c r="I7643">
        <f>IF(DATOS!$I7643="","",IFERROR(VLOOKUP(DATOS!$I7643,CONFIG_ASIGNATURAS!$B$2:$J$91,9,FALSE()),""))</f>
      </c>
    </row>
    <row r="7644">
      <c r="F7644">
        <f>IF(DATOS!$A7644="","",DATOS!$A7644&amp;"|"&amp;DATOS!$D7644&amp;"|"&amp;DATOS!$E7644&amp;"|"&amp;DATOS!$I7644)</f>
      </c>
      <c r="G7644">
        <f>IF(DATOS!$A7644="",0,IF(CONFIG_METADATA!$B$4&lt;&gt;"OR+EX",--(DATOS!$G7644=CONFIG_METADATA!$B$4),IF(DATOS!$G7644="EX",1,IF(DATOS!$G7644="OR",--(COUNTIFS(nNIA,DATOS!$A7644,nCURSO,DATOS!$D7644,nESPEC,DATOS!$E7644,nASIG,DATOS!$I7644,nEVAL,"EX")=0),0))))</f>
      </c>
      <c r="H7644">
        <f>IF(DATOS!$G7644&lt;&gt;"EX",0,--(COUNTIFS(nNIA,DATOS!$A7644,nCURSO,DATOS!$D7644,nESPEC,DATOS!$E7644,nASIG,DATOS!$I7644,nEVAL,"OR")=0))</f>
      </c>
      <c r="I7644">
        <f>IF(DATOS!$I7644="","",IFERROR(VLOOKUP(DATOS!$I7644,CONFIG_ASIGNATURAS!$B$2:$J$91,9,FALSE()),""))</f>
      </c>
    </row>
    <row r="7645">
      <c r="F7645">
        <f>IF(DATOS!$A7645="","",DATOS!$A7645&amp;"|"&amp;DATOS!$D7645&amp;"|"&amp;DATOS!$E7645&amp;"|"&amp;DATOS!$I7645)</f>
      </c>
      <c r="G7645">
        <f>IF(DATOS!$A7645="",0,IF(CONFIG_METADATA!$B$4&lt;&gt;"OR+EX",--(DATOS!$G7645=CONFIG_METADATA!$B$4),IF(DATOS!$G7645="EX",1,IF(DATOS!$G7645="OR",--(COUNTIFS(nNIA,DATOS!$A7645,nCURSO,DATOS!$D7645,nESPEC,DATOS!$E7645,nASIG,DATOS!$I7645,nEVAL,"EX")=0),0))))</f>
      </c>
      <c r="H7645">
        <f>IF(DATOS!$G7645&lt;&gt;"EX",0,--(COUNTIFS(nNIA,DATOS!$A7645,nCURSO,DATOS!$D7645,nESPEC,DATOS!$E7645,nASIG,DATOS!$I7645,nEVAL,"OR")=0))</f>
      </c>
      <c r="I7645">
        <f>IF(DATOS!$I7645="","",IFERROR(VLOOKUP(DATOS!$I7645,CONFIG_ASIGNATURAS!$B$2:$J$91,9,FALSE()),""))</f>
      </c>
    </row>
    <row r="7646">
      <c r="F7646">
        <f>IF(DATOS!$A7646="","",DATOS!$A7646&amp;"|"&amp;DATOS!$D7646&amp;"|"&amp;DATOS!$E7646&amp;"|"&amp;DATOS!$I7646)</f>
      </c>
      <c r="G7646">
        <f>IF(DATOS!$A7646="",0,IF(CONFIG_METADATA!$B$4&lt;&gt;"OR+EX",--(DATOS!$G7646=CONFIG_METADATA!$B$4),IF(DATOS!$G7646="EX",1,IF(DATOS!$G7646="OR",--(COUNTIFS(nNIA,DATOS!$A7646,nCURSO,DATOS!$D7646,nESPEC,DATOS!$E7646,nASIG,DATOS!$I7646,nEVAL,"EX")=0),0))))</f>
      </c>
      <c r="H7646">
        <f>IF(DATOS!$G7646&lt;&gt;"EX",0,--(COUNTIFS(nNIA,DATOS!$A7646,nCURSO,DATOS!$D7646,nESPEC,DATOS!$E7646,nASIG,DATOS!$I7646,nEVAL,"OR")=0))</f>
      </c>
      <c r="I7646">
        <f>IF(DATOS!$I7646="","",IFERROR(VLOOKUP(DATOS!$I7646,CONFIG_ASIGNATURAS!$B$2:$J$91,9,FALSE()),""))</f>
      </c>
    </row>
    <row r="7647">
      <c r="F7647">
        <f>IF(DATOS!$A7647="","",DATOS!$A7647&amp;"|"&amp;DATOS!$D7647&amp;"|"&amp;DATOS!$E7647&amp;"|"&amp;DATOS!$I7647)</f>
      </c>
      <c r="G7647">
        <f>IF(DATOS!$A7647="",0,IF(CONFIG_METADATA!$B$4&lt;&gt;"OR+EX",--(DATOS!$G7647=CONFIG_METADATA!$B$4),IF(DATOS!$G7647="EX",1,IF(DATOS!$G7647="OR",--(COUNTIFS(nNIA,DATOS!$A7647,nCURSO,DATOS!$D7647,nESPEC,DATOS!$E7647,nASIG,DATOS!$I7647,nEVAL,"EX")=0),0))))</f>
      </c>
      <c r="H7647">
        <f>IF(DATOS!$G7647&lt;&gt;"EX",0,--(COUNTIFS(nNIA,DATOS!$A7647,nCURSO,DATOS!$D7647,nESPEC,DATOS!$E7647,nASIG,DATOS!$I7647,nEVAL,"OR")=0))</f>
      </c>
      <c r="I7647">
        <f>IF(DATOS!$I7647="","",IFERROR(VLOOKUP(DATOS!$I7647,CONFIG_ASIGNATURAS!$B$2:$J$91,9,FALSE()),""))</f>
      </c>
    </row>
    <row r="7648">
      <c r="F7648">
        <f>IF(DATOS!$A7648="","",DATOS!$A7648&amp;"|"&amp;DATOS!$D7648&amp;"|"&amp;DATOS!$E7648&amp;"|"&amp;DATOS!$I7648)</f>
      </c>
      <c r="G7648">
        <f>IF(DATOS!$A7648="",0,IF(CONFIG_METADATA!$B$4&lt;&gt;"OR+EX",--(DATOS!$G7648=CONFIG_METADATA!$B$4),IF(DATOS!$G7648="EX",1,IF(DATOS!$G7648="OR",--(COUNTIFS(nNIA,DATOS!$A7648,nCURSO,DATOS!$D7648,nESPEC,DATOS!$E7648,nASIG,DATOS!$I7648,nEVAL,"EX")=0),0))))</f>
      </c>
      <c r="H7648">
        <f>IF(DATOS!$G7648&lt;&gt;"EX",0,--(COUNTIFS(nNIA,DATOS!$A7648,nCURSO,DATOS!$D7648,nESPEC,DATOS!$E7648,nASIG,DATOS!$I7648,nEVAL,"OR")=0))</f>
      </c>
      <c r="I7648">
        <f>IF(DATOS!$I7648="","",IFERROR(VLOOKUP(DATOS!$I7648,CONFIG_ASIGNATURAS!$B$2:$J$91,9,FALSE()),""))</f>
      </c>
    </row>
    <row r="7649">
      <c r="F7649">
        <f>IF(DATOS!$A7649="","",DATOS!$A7649&amp;"|"&amp;DATOS!$D7649&amp;"|"&amp;DATOS!$E7649&amp;"|"&amp;DATOS!$I7649)</f>
      </c>
      <c r="G7649">
        <f>IF(DATOS!$A7649="",0,IF(CONFIG_METADATA!$B$4&lt;&gt;"OR+EX",--(DATOS!$G7649=CONFIG_METADATA!$B$4),IF(DATOS!$G7649="EX",1,IF(DATOS!$G7649="OR",--(COUNTIFS(nNIA,DATOS!$A7649,nCURSO,DATOS!$D7649,nESPEC,DATOS!$E7649,nASIG,DATOS!$I7649,nEVAL,"EX")=0),0))))</f>
      </c>
      <c r="H7649">
        <f>IF(DATOS!$G7649&lt;&gt;"EX",0,--(COUNTIFS(nNIA,DATOS!$A7649,nCURSO,DATOS!$D7649,nESPEC,DATOS!$E7649,nASIG,DATOS!$I7649,nEVAL,"OR")=0))</f>
      </c>
      <c r="I7649">
        <f>IF(DATOS!$I7649="","",IFERROR(VLOOKUP(DATOS!$I7649,CONFIG_ASIGNATURAS!$B$2:$J$91,9,FALSE()),""))</f>
      </c>
    </row>
    <row r="7650">
      <c r="F7650">
        <f>IF(DATOS!$A7650="","",DATOS!$A7650&amp;"|"&amp;DATOS!$D7650&amp;"|"&amp;DATOS!$E7650&amp;"|"&amp;DATOS!$I7650)</f>
      </c>
      <c r="G7650">
        <f>IF(DATOS!$A7650="",0,IF(CONFIG_METADATA!$B$4&lt;&gt;"OR+EX",--(DATOS!$G7650=CONFIG_METADATA!$B$4),IF(DATOS!$G7650="EX",1,IF(DATOS!$G7650="OR",--(COUNTIFS(nNIA,DATOS!$A7650,nCURSO,DATOS!$D7650,nESPEC,DATOS!$E7650,nASIG,DATOS!$I7650,nEVAL,"EX")=0),0))))</f>
      </c>
      <c r="H7650">
        <f>IF(DATOS!$G7650&lt;&gt;"EX",0,--(COUNTIFS(nNIA,DATOS!$A7650,nCURSO,DATOS!$D7650,nESPEC,DATOS!$E7650,nASIG,DATOS!$I7650,nEVAL,"OR")=0))</f>
      </c>
      <c r="I7650">
        <f>IF(DATOS!$I7650="","",IFERROR(VLOOKUP(DATOS!$I7650,CONFIG_ASIGNATURAS!$B$2:$J$91,9,FALSE()),""))</f>
      </c>
    </row>
    <row r="7651">
      <c r="F7651">
        <f>IF(DATOS!$A7651="","",DATOS!$A7651&amp;"|"&amp;DATOS!$D7651&amp;"|"&amp;DATOS!$E7651&amp;"|"&amp;DATOS!$I7651)</f>
      </c>
      <c r="G7651">
        <f>IF(DATOS!$A7651="",0,IF(CONFIG_METADATA!$B$4&lt;&gt;"OR+EX",--(DATOS!$G7651=CONFIG_METADATA!$B$4),IF(DATOS!$G7651="EX",1,IF(DATOS!$G7651="OR",--(COUNTIFS(nNIA,DATOS!$A7651,nCURSO,DATOS!$D7651,nESPEC,DATOS!$E7651,nASIG,DATOS!$I7651,nEVAL,"EX")=0),0))))</f>
      </c>
      <c r="H7651">
        <f>IF(DATOS!$G7651&lt;&gt;"EX",0,--(COUNTIFS(nNIA,DATOS!$A7651,nCURSO,DATOS!$D7651,nESPEC,DATOS!$E7651,nASIG,DATOS!$I7651,nEVAL,"OR")=0))</f>
      </c>
      <c r="I7651">
        <f>IF(DATOS!$I7651="","",IFERROR(VLOOKUP(DATOS!$I7651,CONFIG_ASIGNATURAS!$B$2:$J$91,9,FALSE()),""))</f>
      </c>
    </row>
    <row r="7652">
      <c r="F7652">
        <f>IF(DATOS!$A7652="","",DATOS!$A7652&amp;"|"&amp;DATOS!$D7652&amp;"|"&amp;DATOS!$E7652&amp;"|"&amp;DATOS!$I7652)</f>
      </c>
      <c r="G7652">
        <f>IF(DATOS!$A7652="",0,IF(CONFIG_METADATA!$B$4&lt;&gt;"OR+EX",--(DATOS!$G7652=CONFIG_METADATA!$B$4),IF(DATOS!$G7652="EX",1,IF(DATOS!$G7652="OR",--(COUNTIFS(nNIA,DATOS!$A7652,nCURSO,DATOS!$D7652,nESPEC,DATOS!$E7652,nASIG,DATOS!$I7652,nEVAL,"EX")=0),0))))</f>
      </c>
      <c r="H7652">
        <f>IF(DATOS!$G7652&lt;&gt;"EX",0,--(COUNTIFS(nNIA,DATOS!$A7652,nCURSO,DATOS!$D7652,nESPEC,DATOS!$E7652,nASIG,DATOS!$I7652,nEVAL,"OR")=0))</f>
      </c>
      <c r="I7652">
        <f>IF(DATOS!$I7652="","",IFERROR(VLOOKUP(DATOS!$I7652,CONFIG_ASIGNATURAS!$B$2:$J$91,9,FALSE()),""))</f>
      </c>
    </row>
    <row r="7653">
      <c r="F7653">
        <f>IF(DATOS!$A7653="","",DATOS!$A7653&amp;"|"&amp;DATOS!$D7653&amp;"|"&amp;DATOS!$E7653&amp;"|"&amp;DATOS!$I7653)</f>
      </c>
      <c r="G7653">
        <f>IF(DATOS!$A7653="",0,IF(CONFIG_METADATA!$B$4&lt;&gt;"OR+EX",--(DATOS!$G7653=CONFIG_METADATA!$B$4),IF(DATOS!$G7653="EX",1,IF(DATOS!$G7653="OR",--(COUNTIFS(nNIA,DATOS!$A7653,nCURSO,DATOS!$D7653,nESPEC,DATOS!$E7653,nASIG,DATOS!$I7653,nEVAL,"EX")=0),0))))</f>
      </c>
      <c r="H7653">
        <f>IF(DATOS!$G7653&lt;&gt;"EX",0,--(COUNTIFS(nNIA,DATOS!$A7653,nCURSO,DATOS!$D7653,nESPEC,DATOS!$E7653,nASIG,DATOS!$I7653,nEVAL,"OR")=0))</f>
      </c>
      <c r="I7653">
        <f>IF(DATOS!$I7653="","",IFERROR(VLOOKUP(DATOS!$I7653,CONFIG_ASIGNATURAS!$B$2:$J$91,9,FALSE()),""))</f>
      </c>
    </row>
    <row r="7654">
      <c r="F7654">
        <f>IF(DATOS!$A7654="","",DATOS!$A7654&amp;"|"&amp;DATOS!$D7654&amp;"|"&amp;DATOS!$E7654&amp;"|"&amp;DATOS!$I7654)</f>
      </c>
      <c r="G7654">
        <f>IF(DATOS!$A7654="",0,IF(CONFIG_METADATA!$B$4&lt;&gt;"OR+EX",--(DATOS!$G7654=CONFIG_METADATA!$B$4),IF(DATOS!$G7654="EX",1,IF(DATOS!$G7654="OR",--(COUNTIFS(nNIA,DATOS!$A7654,nCURSO,DATOS!$D7654,nESPEC,DATOS!$E7654,nASIG,DATOS!$I7654,nEVAL,"EX")=0),0))))</f>
      </c>
      <c r="H7654">
        <f>IF(DATOS!$G7654&lt;&gt;"EX",0,--(COUNTIFS(nNIA,DATOS!$A7654,nCURSO,DATOS!$D7654,nESPEC,DATOS!$E7654,nASIG,DATOS!$I7654,nEVAL,"OR")=0))</f>
      </c>
      <c r="I7654">
        <f>IF(DATOS!$I7654="","",IFERROR(VLOOKUP(DATOS!$I7654,CONFIG_ASIGNATURAS!$B$2:$J$91,9,FALSE()),""))</f>
      </c>
    </row>
    <row r="7655">
      <c r="F7655">
        <f>IF(DATOS!$A7655="","",DATOS!$A7655&amp;"|"&amp;DATOS!$D7655&amp;"|"&amp;DATOS!$E7655&amp;"|"&amp;DATOS!$I7655)</f>
      </c>
      <c r="G7655">
        <f>IF(DATOS!$A7655="",0,IF(CONFIG_METADATA!$B$4&lt;&gt;"OR+EX",--(DATOS!$G7655=CONFIG_METADATA!$B$4),IF(DATOS!$G7655="EX",1,IF(DATOS!$G7655="OR",--(COUNTIFS(nNIA,DATOS!$A7655,nCURSO,DATOS!$D7655,nESPEC,DATOS!$E7655,nASIG,DATOS!$I7655,nEVAL,"EX")=0),0))))</f>
      </c>
      <c r="H7655">
        <f>IF(DATOS!$G7655&lt;&gt;"EX",0,--(COUNTIFS(nNIA,DATOS!$A7655,nCURSO,DATOS!$D7655,nESPEC,DATOS!$E7655,nASIG,DATOS!$I7655,nEVAL,"OR")=0))</f>
      </c>
      <c r="I7655">
        <f>IF(DATOS!$I7655="","",IFERROR(VLOOKUP(DATOS!$I7655,CONFIG_ASIGNATURAS!$B$2:$J$91,9,FALSE()),""))</f>
      </c>
    </row>
    <row r="7656">
      <c r="F7656">
        <f>IF(DATOS!$A7656="","",DATOS!$A7656&amp;"|"&amp;DATOS!$D7656&amp;"|"&amp;DATOS!$E7656&amp;"|"&amp;DATOS!$I7656)</f>
      </c>
      <c r="G7656">
        <f>IF(DATOS!$A7656="",0,IF(CONFIG_METADATA!$B$4&lt;&gt;"OR+EX",--(DATOS!$G7656=CONFIG_METADATA!$B$4),IF(DATOS!$G7656="EX",1,IF(DATOS!$G7656="OR",--(COUNTIFS(nNIA,DATOS!$A7656,nCURSO,DATOS!$D7656,nESPEC,DATOS!$E7656,nASIG,DATOS!$I7656,nEVAL,"EX")=0),0))))</f>
      </c>
      <c r="H7656">
        <f>IF(DATOS!$G7656&lt;&gt;"EX",0,--(COUNTIFS(nNIA,DATOS!$A7656,nCURSO,DATOS!$D7656,nESPEC,DATOS!$E7656,nASIG,DATOS!$I7656,nEVAL,"OR")=0))</f>
      </c>
      <c r="I7656">
        <f>IF(DATOS!$I7656="","",IFERROR(VLOOKUP(DATOS!$I7656,CONFIG_ASIGNATURAS!$B$2:$J$91,9,FALSE()),""))</f>
      </c>
    </row>
    <row r="7657">
      <c r="F7657">
        <f>IF(DATOS!$A7657="","",DATOS!$A7657&amp;"|"&amp;DATOS!$D7657&amp;"|"&amp;DATOS!$E7657&amp;"|"&amp;DATOS!$I7657)</f>
      </c>
      <c r="G7657">
        <f>IF(DATOS!$A7657="",0,IF(CONFIG_METADATA!$B$4&lt;&gt;"OR+EX",--(DATOS!$G7657=CONFIG_METADATA!$B$4),IF(DATOS!$G7657="EX",1,IF(DATOS!$G7657="OR",--(COUNTIFS(nNIA,DATOS!$A7657,nCURSO,DATOS!$D7657,nESPEC,DATOS!$E7657,nASIG,DATOS!$I7657,nEVAL,"EX")=0),0))))</f>
      </c>
      <c r="H7657">
        <f>IF(DATOS!$G7657&lt;&gt;"EX",0,--(COUNTIFS(nNIA,DATOS!$A7657,nCURSO,DATOS!$D7657,nESPEC,DATOS!$E7657,nASIG,DATOS!$I7657,nEVAL,"OR")=0))</f>
      </c>
      <c r="I7657">
        <f>IF(DATOS!$I7657="","",IFERROR(VLOOKUP(DATOS!$I7657,CONFIG_ASIGNATURAS!$B$2:$J$91,9,FALSE()),""))</f>
      </c>
    </row>
    <row r="7658">
      <c r="F7658">
        <f>IF(DATOS!$A7658="","",DATOS!$A7658&amp;"|"&amp;DATOS!$D7658&amp;"|"&amp;DATOS!$E7658&amp;"|"&amp;DATOS!$I7658)</f>
      </c>
      <c r="G7658">
        <f>IF(DATOS!$A7658="",0,IF(CONFIG_METADATA!$B$4&lt;&gt;"OR+EX",--(DATOS!$G7658=CONFIG_METADATA!$B$4),IF(DATOS!$G7658="EX",1,IF(DATOS!$G7658="OR",--(COUNTIFS(nNIA,DATOS!$A7658,nCURSO,DATOS!$D7658,nESPEC,DATOS!$E7658,nASIG,DATOS!$I7658,nEVAL,"EX")=0),0))))</f>
      </c>
      <c r="H7658">
        <f>IF(DATOS!$G7658&lt;&gt;"EX",0,--(COUNTIFS(nNIA,DATOS!$A7658,nCURSO,DATOS!$D7658,nESPEC,DATOS!$E7658,nASIG,DATOS!$I7658,nEVAL,"OR")=0))</f>
      </c>
      <c r="I7658">
        <f>IF(DATOS!$I7658="","",IFERROR(VLOOKUP(DATOS!$I7658,CONFIG_ASIGNATURAS!$B$2:$J$91,9,FALSE()),""))</f>
      </c>
    </row>
    <row r="7659">
      <c r="F7659">
        <f>IF(DATOS!$A7659="","",DATOS!$A7659&amp;"|"&amp;DATOS!$D7659&amp;"|"&amp;DATOS!$E7659&amp;"|"&amp;DATOS!$I7659)</f>
      </c>
      <c r="G7659">
        <f>IF(DATOS!$A7659="",0,IF(CONFIG_METADATA!$B$4&lt;&gt;"OR+EX",--(DATOS!$G7659=CONFIG_METADATA!$B$4),IF(DATOS!$G7659="EX",1,IF(DATOS!$G7659="OR",--(COUNTIFS(nNIA,DATOS!$A7659,nCURSO,DATOS!$D7659,nESPEC,DATOS!$E7659,nASIG,DATOS!$I7659,nEVAL,"EX")=0),0))))</f>
      </c>
      <c r="H7659">
        <f>IF(DATOS!$G7659&lt;&gt;"EX",0,--(COUNTIFS(nNIA,DATOS!$A7659,nCURSO,DATOS!$D7659,nESPEC,DATOS!$E7659,nASIG,DATOS!$I7659,nEVAL,"OR")=0))</f>
      </c>
      <c r="I7659">
        <f>IF(DATOS!$I7659="","",IFERROR(VLOOKUP(DATOS!$I7659,CONFIG_ASIGNATURAS!$B$2:$J$91,9,FALSE()),""))</f>
      </c>
    </row>
    <row r="7660">
      <c r="F7660">
        <f>IF(DATOS!$A7660="","",DATOS!$A7660&amp;"|"&amp;DATOS!$D7660&amp;"|"&amp;DATOS!$E7660&amp;"|"&amp;DATOS!$I7660)</f>
      </c>
      <c r="G7660">
        <f>IF(DATOS!$A7660="",0,IF(CONFIG_METADATA!$B$4&lt;&gt;"OR+EX",--(DATOS!$G7660=CONFIG_METADATA!$B$4),IF(DATOS!$G7660="EX",1,IF(DATOS!$G7660="OR",--(COUNTIFS(nNIA,DATOS!$A7660,nCURSO,DATOS!$D7660,nESPEC,DATOS!$E7660,nASIG,DATOS!$I7660,nEVAL,"EX")=0),0))))</f>
      </c>
      <c r="H7660">
        <f>IF(DATOS!$G7660&lt;&gt;"EX",0,--(COUNTIFS(nNIA,DATOS!$A7660,nCURSO,DATOS!$D7660,nESPEC,DATOS!$E7660,nASIG,DATOS!$I7660,nEVAL,"OR")=0))</f>
      </c>
      <c r="I7660">
        <f>IF(DATOS!$I7660="","",IFERROR(VLOOKUP(DATOS!$I7660,CONFIG_ASIGNATURAS!$B$2:$J$91,9,FALSE()),""))</f>
      </c>
    </row>
    <row r="7661">
      <c r="F7661">
        <f>IF(DATOS!$A7661="","",DATOS!$A7661&amp;"|"&amp;DATOS!$D7661&amp;"|"&amp;DATOS!$E7661&amp;"|"&amp;DATOS!$I7661)</f>
      </c>
      <c r="G7661">
        <f>IF(DATOS!$A7661="",0,IF(CONFIG_METADATA!$B$4&lt;&gt;"OR+EX",--(DATOS!$G7661=CONFIG_METADATA!$B$4),IF(DATOS!$G7661="EX",1,IF(DATOS!$G7661="OR",--(COUNTIFS(nNIA,DATOS!$A7661,nCURSO,DATOS!$D7661,nESPEC,DATOS!$E7661,nASIG,DATOS!$I7661,nEVAL,"EX")=0),0))))</f>
      </c>
      <c r="H7661">
        <f>IF(DATOS!$G7661&lt;&gt;"EX",0,--(COUNTIFS(nNIA,DATOS!$A7661,nCURSO,DATOS!$D7661,nESPEC,DATOS!$E7661,nASIG,DATOS!$I7661,nEVAL,"OR")=0))</f>
      </c>
      <c r="I7661">
        <f>IF(DATOS!$I7661="","",IFERROR(VLOOKUP(DATOS!$I7661,CONFIG_ASIGNATURAS!$B$2:$J$91,9,FALSE()),""))</f>
      </c>
    </row>
    <row r="7662">
      <c r="F7662">
        <f>IF(DATOS!$A7662="","",DATOS!$A7662&amp;"|"&amp;DATOS!$D7662&amp;"|"&amp;DATOS!$E7662&amp;"|"&amp;DATOS!$I7662)</f>
      </c>
      <c r="G7662">
        <f>IF(DATOS!$A7662="",0,IF(CONFIG_METADATA!$B$4&lt;&gt;"OR+EX",--(DATOS!$G7662=CONFIG_METADATA!$B$4),IF(DATOS!$G7662="EX",1,IF(DATOS!$G7662="OR",--(COUNTIFS(nNIA,DATOS!$A7662,nCURSO,DATOS!$D7662,nESPEC,DATOS!$E7662,nASIG,DATOS!$I7662,nEVAL,"EX")=0),0))))</f>
      </c>
      <c r="H7662">
        <f>IF(DATOS!$G7662&lt;&gt;"EX",0,--(COUNTIFS(nNIA,DATOS!$A7662,nCURSO,DATOS!$D7662,nESPEC,DATOS!$E7662,nASIG,DATOS!$I7662,nEVAL,"OR")=0))</f>
      </c>
      <c r="I7662">
        <f>IF(DATOS!$I7662="","",IFERROR(VLOOKUP(DATOS!$I7662,CONFIG_ASIGNATURAS!$B$2:$J$91,9,FALSE()),""))</f>
      </c>
    </row>
    <row r="7663">
      <c r="F7663">
        <f>IF(DATOS!$A7663="","",DATOS!$A7663&amp;"|"&amp;DATOS!$D7663&amp;"|"&amp;DATOS!$E7663&amp;"|"&amp;DATOS!$I7663)</f>
      </c>
      <c r="G7663">
        <f>IF(DATOS!$A7663="",0,IF(CONFIG_METADATA!$B$4&lt;&gt;"OR+EX",--(DATOS!$G7663=CONFIG_METADATA!$B$4),IF(DATOS!$G7663="EX",1,IF(DATOS!$G7663="OR",--(COUNTIFS(nNIA,DATOS!$A7663,nCURSO,DATOS!$D7663,nESPEC,DATOS!$E7663,nASIG,DATOS!$I7663,nEVAL,"EX")=0),0))))</f>
      </c>
      <c r="H7663">
        <f>IF(DATOS!$G7663&lt;&gt;"EX",0,--(COUNTIFS(nNIA,DATOS!$A7663,nCURSO,DATOS!$D7663,nESPEC,DATOS!$E7663,nASIG,DATOS!$I7663,nEVAL,"OR")=0))</f>
      </c>
      <c r="I7663">
        <f>IF(DATOS!$I7663="","",IFERROR(VLOOKUP(DATOS!$I7663,CONFIG_ASIGNATURAS!$B$2:$J$91,9,FALSE()),""))</f>
      </c>
    </row>
    <row r="7664">
      <c r="F7664">
        <f>IF(DATOS!$A7664="","",DATOS!$A7664&amp;"|"&amp;DATOS!$D7664&amp;"|"&amp;DATOS!$E7664&amp;"|"&amp;DATOS!$I7664)</f>
      </c>
      <c r="G7664">
        <f>IF(DATOS!$A7664="",0,IF(CONFIG_METADATA!$B$4&lt;&gt;"OR+EX",--(DATOS!$G7664=CONFIG_METADATA!$B$4),IF(DATOS!$G7664="EX",1,IF(DATOS!$G7664="OR",--(COUNTIFS(nNIA,DATOS!$A7664,nCURSO,DATOS!$D7664,nESPEC,DATOS!$E7664,nASIG,DATOS!$I7664,nEVAL,"EX")=0),0))))</f>
      </c>
      <c r="H7664">
        <f>IF(DATOS!$G7664&lt;&gt;"EX",0,--(COUNTIFS(nNIA,DATOS!$A7664,nCURSO,DATOS!$D7664,nESPEC,DATOS!$E7664,nASIG,DATOS!$I7664,nEVAL,"OR")=0))</f>
      </c>
      <c r="I7664">
        <f>IF(DATOS!$I7664="","",IFERROR(VLOOKUP(DATOS!$I7664,CONFIG_ASIGNATURAS!$B$2:$J$91,9,FALSE()),""))</f>
      </c>
    </row>
    <row r="7665">
      <c r="F7665">
        <f>IF(DATOS!$A7665="","",DATOS!$A7665&amp;"|"&amp;DATOS!$D7665&amp;"|"&amp;DATOS!$E7665&amp;"|"&amp;DATOS!$I7665)</f>
      </c>
      <c r="G7665">
        <f>IF(DATOS!$A7665="",0,IF(CONFIG_METADATA!$B$4&lt;&gt;"OR+EX",--(DATOS!$G7665=CONFIG_METADATA!$B$4),IF(DATOS!$G7665="EX",1,IF(DATOS!$G7665="OR",--(COUNTIFS(nNIA,DATOS!$A7665,nCURSO,DATOS!$D7665,nESPEC,DATOS!$E7665,nASIG,DATOS!$I7665,nEVAL,"EX")=0),0))))</f>
      </c>
      <c r="H7665">
        <f>IF(DATOS!$G7665&lt;&gt;"EX",0,--(COUNTIFS(nNIA,DATOS!$A7665,nCURSO,DATOS!$D7665,nESPEC,DATOS!$E7665,nASIG,DATOS!$I7665,nEVAL,"OR")=0))</f>
      </c>
      <c r="I7665">
        <f>IF(DATOS!$I7665="","",IFERROR(VLOOKUP(DATOS!$I7665,CONFIG_ASIGNATURAS!$B$2:$J$91,9,FALSE()),""))</f>
      </c>
    </row>
    <row r="7666">
      <c r="F7666">
        <f>IF(DATOS!$A7666="","",DATOS!$A7666&amp;"|"&amp;DATOS!$D7666&amp;"|"&amp;DATOS!$E7666&amp;"|"&amp;DATOS!$I7666)</f>
      </c>
      <c r="G7666">
        <f>IF(DATOS!$A7666="",0,IF(CONFIG_METADATA!$B$4&lt;&gt;"OR+EX",--(DATOS!$G7666=CONFIG_METADATA!$B$4),IF(DATOS!$G7666="EX",1,IF(DATOS!$G7666="OR",--(COUNTIFS(nNIA,DATOS!$A7666,nCURSO,DATOS!$D7666,nESPEC,DATOS!$E7666,nASIG,DATOS!$I7666,nEVAL,"EX")=0),0))))</f>
      </c>
      <c r="H7666">
        <f>IF(DATOS!$G7666&lt;&gt;"EX",0,--(COUNTIFS(nNIA,DATOS!$A7666,nCURSO,DATOS!$D7666,nESPEC,DATOS!$E7666,nASIG,DATOS!$I7666,nEVAL,"OR")=0))</f>
      </c>
      <c r="I7666">
        <f>IF(DATOS!$I7666="","",IFERROR(VLOOKUP(DATOS!$I7666,CONFIG_ASIGNATURAS!$B$2:$J$91,9,FALSE()),""))</f>
      </c>
    </row>
    <row r="7667">
      <c r="F7667">
        <f>IF(DATOS!$A7667="","",DATOS!$A7667&amp;"|"&amp;DATOS!$D7667&amp;"|"&amp;DATOS!$E7667&amp;"|"&amp;DATOS!$I7667)</f>
      </c>
      <c r="G7667">
        <f>IF(DATOS!$A7667="",0,IF(CONFIG_METADATA!$B$4&lt;&gt;"OR+EX",--(DATOS!$G7667=CONFIG_METADATA!$B$4),IF(DATOS!$G7667="EX",1,IF(DATOS!$G7667="OR",--(COUNTIFS(nNIA,DATOS!$A7667,nCURSO,DATOS!$D7667,nESPEC,DATOS!$E7667,nASIG,DATOS!$I7667,nEVAL,"EX")=0),0))))</f>
      </c>
      <c r="H7667">
        <f>IF(DATOS!$G7667&lt;&gt;"EX",0,--(COUNTIFS(nNIA,DATOS!$A7667,nCURSO,DATOS!$D7667,nESPEC,DATOS!$E7667,nASIG,DATOS!$I7667,nEVAL,"OR")=0))</f>
      </c>
      <c r="I7667">
        <f>IF(DATOS!$I7667="","",IFERROR(VLOOKUP(DATOS!$I7667,CONFIG_ASIGNATURAS!$B$2:$J$91,9,FALSE()),""))</f>
      </c>
    </row>
    <row r="7668">
      <c r="F7668">
        <f>IF(DATOS!$A7668="","",DATOS!$A7668&amp;"|"&amp;DATOS!$D7668&amp;"|"&amp;DATOS!$E7668&amp;"|"&amp;DATOS!$I7668)</f>
      </c>
      <c r="G7668">
        <f>IF(DATOS!$A7668="",0,IF(CONFIG_METADATA!$B$4&lt;&gt;"OR+EX",--(DATOS!$G7668=CONFIG_METADATA!$B$4),IF(DATOS!$G7668="EX",1,IF(DATOS!$G7668="OR",--(COUNTIFS(nNIA,DATOS!$A7668,nCURSO,DATOS!$D7668,nESPEC,DATOS!$E7668,nASIG,DATOS!$I7668,nEVAL,"EX")=0),0))))</f>
      </c>
      <c r="H7668">
        <f>IF(DATOS!$G7668&lt;&gt;"EX",0,--(COUNTIFS(nNIA,DATOS!$A7668,nCURSO,DATOS!$D7668,nESPEC,DATOS!$E7668,nASIG,DATOS!$I7668,nEVAL,"OR")=0))</f>
      </c>
      <c r="I7668">
        <f>IF(DATOS!$I7668="","",IFERROR(VLOOKUP(DATOS!$I7668,CONFIG_ASIGNATURAS!$B$2:$J$91,9,FALSE()),""))</f>
      </c>
    </row>
    <row r="7669">
      <c r="F7669">
        <f>IF(DATOS!$A7669="","",DATOS!$A7669&amp;"|"&amp;DATOS!$D7669&amp;"|"&amp;DATOS!$E7669&amp;"|"&amp;DATOS!$I7669)</f>
      </c>
      <c r="G7669">
        <f>IF(DATOS!$A7669="",0,IF(CONFIG_METADATA!$B$4&lt;&gt;"OR+EX",--(DATOS!$G7669=CONFIG_METADATA!$B$4),IF(DATOS!$G7669="EX",1,IF(DATOS!$G7669="OR",--(COUNTIFS(nNIA,DATOS!$A7669,nCURSO,DATOS!$D7669,nESPEC,DATOS!$E7669,nASIG,DATOS!$I7669,nEVAL,"EX")=0),0))))</f>
      </c>
      <c r="H7669">
        <f>IF(DATOS!$G7669&lt;&gt;"EX",0,--(COUNTIFS(nNIA,DATOS!$A7669,nCURSO,DATOS!$D7669,nESPEC,DATOS!$E7669,nASIG,DATOS!$I7669,nEVAL,"OR")=0))</f>
      </c>
      <c r="I7669">
        <f>IF(DATOS!$I7669="","",IFERROR(VLOOKUP(DATOS!$I7669,CONFIG_ASIGNATURAS!$B$2:$J$91,9,FALSE()),""))</f>
      </c>
    </row>
    <row r="7670">
      <c r="F7670">
        <f>IF(DATOS!$A7670="","",DATOS!$A7670&amp;"|"&amp;DATOS!$D7670&amp;"|"&amp;DATOS!$E7670&amp;"|"&amp;DATOS!$I7670)</f>
      </c>
      <c r="G7670">
        <f>IF(DATOS!$A7670="",0,IF(CONFIG_METADATA!$B$4&lt;&gt;"OR+EX",--(DATOS!$G7670=CONFIG_METADATA!$B$4),IF(DATOS!$G7670="EX",1,IF(DATOS!$G7670="OR",--(COUNTIFS(nNIA,DATOS!$A7670,nCURSO,DATOS!$D7670,nESPEC,DATOS!$E7670,nASIG,DATOS!$I7670,nEVAL,"EX")=0),0))))</f>
      </c>
      <c r="H7670">
        <f>IF(DATOS!$G7670&lt;&gt;"EX",0,--(COUNTIFS(nNIA,DATOS!$A7670,nCURSO,DATOS!$D7670,nESPEC,DATOS!$E7670,nASIG,DATOS!$I7670,nEVAL,"OR")=0))</f>
      </c>
      <c r="I7670">
        <f>IF(DATOS!$I7670="","",IFERROR(VLOOKUP(DATOS!$I7670,CONFIG_ASIGNATURAS!$B$2:$J$91,9,FALSE()),""))</f>
      </c>
    </row>
    <row r="7671">
      <c r="F7671">
        <f>IF(DATOS!$A7671="","",DATOS!$A7671&amp;"|"&amp;DATOS!$D7671&amp;"|"&amp;DATOS!$E7671&amp;"|"&amp;DATOS!$I7671)</f>
      </c>
      <c r="G7671">
        <f>IF(DATOS!$A7671="",0,IF(CONFIG_METADATA!$B$4&lt;&gt;"OR+EX",--(DATOS!$G7671=CONFIG_METADATA!$B$4),IF(DATOS!$G7671="EX",1,IF(DATOS!$G7671="OR",--(COUNTIFS(nNIA,DATOS!$A7671,nCURSO,DATOS!$D7671,nESPEC,DATOS!$E7671,nASIG,DATOS!$I7671,nEVAL,"EX")=0),0))))</f>
      </c>
      <c r="H7671">
        <f>IF(DATOS!$G7671&lt;&gt;"EX",0,--(COUNTIFS(nNIA,DATOS!$A7671,nCURSO,DATOS!$D7671,nESPEC,DATOS!$E7671,nASIG,DATOS!$I7671,nEVAL,"OR")=0))</f>
      </c>
      <c r="I7671">
        <f>IF(DATOS!$I7671="","",IFERROR(VLOOKUP(DATOS!$I7671,CONFIG_ASIGNATURAS!$B$2:$J$91,9,FALSE()),""))</f>
      </c>
    </row>
    <row r="7672">
      <c r="F7672">
        <f>IF(DATOS!$A7672="","",DATOS!$A7672&amp;"|"&amp;DATOS!$D7672&amp;"|"&amp;DATOS!$E7672&amp;"|"&amp;DATOS!$I7672)</f>
      </c>
      <c r="G7672">
        <f>IF(DATOS!$A7672="",0,IF(CONFIG_METADATA!$B$4&lt;&gt;"OR+EX",--(DATOS!$G7672=CONFIG_METADATA!$B$4),IF(DATOS!$G7672="EX",1,IF(DATOS!$G7672="OR",--(COUNTIFS(nNIA,DATOS!$A7672,nCURSO,DATOS!$D7672,nESPEC,DATOS!$E7672,nASIG,DATOS!$I7672,nEVAL,"EX")=0),0))))</f>
      </c>
      <c r="H7672">
        <f>IF(DATOS!$G7672&lt;&gt;"EX",0,--(COUNTIFS(nNIA,DATOS!$A7672,nCURSO,DATOS!$D7672,nESPEC,DATOS!$E7672,nASIG,DATOS!$I7672,nEVAL,"OR")=0))</f>
      </c>
      <c r="I7672">
        <f>IF(DATOS!$I7672="","",IFERROR(VLOOKUP(DATOS!$I7672,CONFIG_ASIGNATURAS!$B$2:$J$91,9,FALSE()),""))</f>
      </c>
    </row>
    <row r="7673">
      <c r="F7673">
        <f>IF(DATOS!$A7673="","",DATOS!$A7673&amp;"|"&amp;DATOS!$D7673&amp;"|"&amp;DATOS!$E7673&amp;"|"&amp;DATOS!$I7673)</f>
      </c>
      <c r="G7673">
        <f>IF(DATOS!$A7673="",0,IF(CONFIG_METADATA!$B$4&lt;&gt;"OR+EX",--(DATOS!$G7673=CONFIG_METADATA!$B$4),IF(DATOS!$G7673="EX",1,IF(DATOS!$G7673="OR",--(COUNTIFS(nNIA,DATOS!$A7673,nCURSO,DATOS!$D7673,nESPEC,DATOS!$E7673,nASIG,DATOS!$I7673,nEVAL,"EX")=0),0))))</f>
      </c>
      <c r="H7673">
        <f>IF(DATOS!$G7673&lt;&gt;"EX",0,--(COUNTIFS(nNIA,DATOS!$A7673,nCURSO,DATOS!$D7673,nESPEC,DATOS!$E7673,nASIG,DATOS!$I7673,nEVAL,"OR")=0))</f>
      </c>
      <c r="I7673">
        <f>IF(DATOS!$I7673="","",IFERROR(VLOOKUP(DATOS!$I7673,CONFIG_ASIGNATURAS!$B$2:$J$91,9,FALSE()),""))</f>
      </c>
    </row>
    <row r="7674">
      <c r="F7674">
        <f>IF(DATOS!$A7674="","",DATOS!$A7674&amp;"|"&amp;DATOS!$D7674&amp;"|"&amp;DATOS!$E7674&amp;"|"&amp;DATOS!$I7674)</f>
      </c>
      <c r="G7674">
        <f>IF(DATOS!$A7674="",0,IF(CONFIG_METADATA!$B$4&lt;&gt;"OR+EX",--(DATOS!$G7674=CONFIG_METADATA!$B$4),IF(DATOS!$G7674="EX",1,IF(DATOS!$G7674="OR",--(COUNTIFS(nNIA,DATOS!$A7674,nCURSO,DATOS!$D7674,nESPEC,DATOS!$E7674,nASIG,DATOS!$I7674,nEVAL,"EX")=0),0))))</f>
      </c>
      <c r="H7674">
        <f>IF(DATOS!$G7674&lt;&gt;"EX",0,--(COUNTIFS(nNIA,DATOS!$A7674,nCURSO,DATOS!$D7674,nESPEC,DATOS!$E7674,nASIG,DATOS!$I7674,nEVAL,"OR")=0))</f>
      </c>
      <c r="I7674">
        <f>IF(DATOS!$I7674="","",IFERROR(VLOOKUP(DATOS!$I7674,CONFIG_ASIGNATURAS!$B$2:$J$91,9,FALSE()),""))</f>
      </c>
    </row>
    <row r="7675">
      <c r="F7675">
        <f>IF(DATOS!$A7675="","",DATOS!$A7675&amp;"|"&amp;DATOS!$D7675&amp;"|"&amp;DATOS!$E7675&amp;"|"&amp;DATOS!$I7675)</f>
      </c>
      <c r="G7675">
        <f>IF(DATOS!$A7675="",0,IF(CONFIG_METADATA!$B$4&lt;&gt;"OR+EX",--(DATOS!$G7675=CONFIG_METADATA!$B$4),IF(DATOS!$G7675="EX",1,IF(DATOS!$G7675="OR",--(COUNTIFS(nNIA,DATOS!$A7675,nCURSO,DATOS!$D7675,nESPEC,DATOS!$E7675,nASIG,DATOS!$I7675,nEVAL,"EX")=0),0))))</f>
      </c>
      <c r="H7675">
        <f>IF(DATOS!$G7675&lt;&gt;"EX",0,--(COUNTIFS(nNIA,DATOS!$A7675,nCURSO,DATOS!$D7675,nESPEC,DATOS!$E7675,nASIG,DATOS!$I7675,nEVAL,"OR")=0))</f>
      </c>
      <c r="I7675">
        <f>IF(DATOS!$I7675="","",IFERROR(VLOOKUP(DATOS!$I7675,CONFIG_ASIGNATURAS!$B$2:$J$91,9,FALSE()),""))</f>
      </c>
    </row>
    <row r="7676">
      <c r="F7676">
        <f>IF(DATOS!$A7676="","",DATOS!$A7676&amp;"|"&amp;DATOS!$D7676&amp;"|"&amp;DATOS!$E7676&amp;"|"&amp;DATOS!$I7676)</f>
      </c>
      <c r="G7676">
        <f>IF(DATOS!$A7676="",0,IF(CONFIG_METADATA!$B$4&lt;&gt;"OR+EX",--(DATOS!$G7676=CONFIG_METADATA!$B$4),IF(DATOS!$G7676="EX",1,IF(DATOS!$G7676="OR",--(COUNTIFS(nNIA,DATOS!$A7676,nCURSO,DATOS!$D7676,nESPEC,DATOS!$E7676,nASIG,DATOS!$I7676,nEVAL,"EX")=0),0))))</f>
      </c>
      <c r="H7676">
        <f>IF(DATOS!$G7676&lt;&gt;"EX",0,--(COUNTIFS(nNIA,DATOS!$A7676,nCURSO,DATOS!$D7676,nESPEC,DATOS!$E7676,nASIG,DATOS!$I7676,nEVAL,"OR")=0))</f>
      </c>
      <c r="I7676">
        <f>IF(DATOS!$I7676="","",IFERROR(VLOOKUP(DATOS!$I7676,CONFIG_ASIGNATURAS!$B$2:$J$91,9,FALSE()),""))</f>
      </c>
    </row>
    <row r="7677">
      <c r="F7677">
        <f>IF(DATOS!$A7677="","",DATOS!$A7677&amp;"|"&amp;DATOS!$D7677&amp;"|"&amp;DATOS!$E7677&amp;"|"&amp;DATOS!$I7677)</f>
      </c>
      <c r="G7677">
        <f>IF(DATOS!$A7677="",0,IF(CONFIG_METADATA!$B$4&lt;&gt;"OR+EX",--(DATOS!$G7677=CONFIG_METADATA!$B$4),IF(DATOS!$G7677="EX",1,IF(DATOS!$G7677="OR",--(COUNTIFS(nNIA,DATOS!$A7677,nCURSO,DATOS!$D7677,nESPEC,DATOS!$E7677,nASIG,DATOS!$I7677,nEVAL,"EX")=0),0))))</f>
      </c>
      <c r="H7677">
        <f>IF(DATOS!$G7677&lt;&gt;"EX",0,--(COUNTIFS(nNIA,DATOS!$A7677,nCURSO,DATOS!$D7677,nESPEC,DATOS!$E7677,nASIG,DATOS!$I7677,nEVAL,"OR")=0))</f>
      </c>
      <c r="I7677">
        <f>IF(DATOS!$I7677="","",IFERROR(VLOOKUP(DATOS!$I7677,CONFIG_ASIGNATURAS!$B$2:$J$91,9,FALSE()),""))</f>
      </c>
    </row>
    <row r="7678">
      <c r="F7678">
        <f>IF(DATOS!$A7678="","",DATOS!$A7678&amp;"|"&amp;DATOS!$D7678&amp;"|"&amp;DATOS!$E7678&amp;"|"&amp;DATOS!$I7678)</f>
      </c>
      <c r="G7678">
        <f>IF(DATOS!$A7678="",0,IF(CONFIG_METADATA!$B$4&lt;&gt;"OR+EX",--(DATOS!$G7678=CONFIG_METADATA!$B$4),IF(DATOS!$G7678="EX",1,IF(DATOS!$G7678="OR",--(COUNTIFS(nNIA,DATOS!$A7678,nCURSO,DATOS!$D7678,nESPEC,DATOS!$E7678,nASIG,DATOS!$I7678,nEVAL,"EX")=0),0))))</f>
      </c>
      <c r="H7678">
        <f>IF(DATOS!$G7678&lt;&gt;"EX",0,--(COUNTIFS(nNIA,DATOS!$A7678,nCURSO,DATOS!$D7678,nESPEC,DATOS!$E7678,nASIG,DATOS!$I7678,nEVAL,"OR")=0))</f>
      </c>
      <c r="I7678">
        <f>IF(DATOS!$I7678="","",IFERROR(VLOOKUP(DATOS!$I7678,CONFIG_ASIGNATURAS!$B$2:$J$91,9,FALSE()),""))</f>
      </c>
    </row>
    <row r="7679">
      <c r="F7679">
        <f>IF(DATOS!$A7679="","",DATOS!$A7679&amp;"|"&amp;DATOS!$D7679&amp;"|"&amp;DATOS!$E7679&amp;"|"&amp;DATOS!$I7679)</f>
      </c>
      <c r="G7679">
        <f>IF(DATOS!$A7679="",0,IF(CONFIG_METADATA!$B$4&lt;&gt;"OR+EX",--(DATOS!$G7679=CONFIG_METADATA!$B$4),IF(DATOS!$G7679="EX",1,IF(DATOS!$G7679="OR",--(COUNTIFS(nNIA,DATOS!$A7679,nCURSO,DATOS!$D7679,nESPEC,DATOS!$E7679,nASIG,DATOS!$I7679,nEVAL,"EX")=0),0))))</f>
      </c>
      <c r="H7679">
        <f>IF(DATOS!$G7679&lt;&gt;"EX",0,--(COUNTIFS(nNIA,DATOS!$A7679,nCURSO,DATOS!$D7679,nESPEC,DATOS!$E7679,nASIG,DATOS!$I7679,nEVAL,"OR")=0))</f>
      </c>
      <c r="I7679">
        <f>IF(DATOS!$I7679="","",IFERROR(VLOOKUP(DATOS!$I7679,CONFIG_ASIGNATURAS!$B$2:$J$91,9,FALSE()),""))</f>
      </c>
    </row>
    <row r="7680">
      <c r="F7680">
        <f>IF(DATOS!$A7680="","",DATOS!$A7680&amp;"|"&amp;DATOS!$D7680&amp;"|"&amp;DATOS!$E7680&amp;"|"&amp;DATOS!$I7680)</f>
      </c>
      <c r="G7680">
        <f>IF(DATOS!$A7680="",0,IF(CONFIG_METADATA!$B$4&lt;&gt;"OR+EX",--(DATOS!$G7680=CONFIG_METADATA!$B$4),IF(DATOS!$G7680="EX",1,IF(DATOS!$G7680="OR",--(COUNTIFS(nNIA,DATOS!$A7680,nCURSO,DATOS!$D7680,nESPEC,DATOS!$E7680,nASIG,DATOS!$I7680,nEVAL,"EX")=0),0))))</f>
      </c>
      <c r="H7680">
        <f>IF(DATOS!$G7680&lt;&gt;"EX",0,--(COUNTIFS(nNIA,DATOS!$A7680,nCURSO,DATOS!$D7680,nESPEC,DATOS!$E7680,nASIG,DATOS!$I7680,nEVAL,"OR")=0))</f>
      </c>
      <c r="I7680">
        <f>IF(DATOS!$I7680="","",IFERROR(VLOOKUP(DATOS!$I7680,CONFIG_ASIGNATURAS!$B$2:$J$91,9,FALSE()),""))</f>
      </c>
    </row>
    <row r="7681">
      <c r="F7681">
        <f>IF(DATOS!$A7681="","",DATOS!$A7681&amp;"|"&amp;DATOS!$D7681&amp;"|"&amp;DATOS!$E7681&amp;"|"&amp;DATOS!$I7681)</f>
      </c>
      <c r="G7681">
        <f>IF(DATOS!$A7681="",0,IF(CONFIG_METADATA!$B$4&lt;&gt;"OR+EX",--(DATOS!$G7681=CONFIG_METADATA!$B$4),IF(DATOS!$G7681="EX",1,IF(DATOS!$G7681="OR",--(COUNTIFS(nNIA,DATOS!$A7681,nCURSO,DATOS!$D7681,nESPEC,DATOS!$E7681,nASIG,DATOS!$I7681,nEVAL,"EX")=0),0))))</f>
      </c>
      <c r="H7681">
        <f>IF(DATOS!$G7681&lt;&gt;"EX",0,--(COUNTIFS(nNIA,DATOS!$A7681,nCURSO,DATOS!$D7681,nESPEC,DATOS!$E7681,nASIG,DATOS!$I7681,nEVAL,"OR")=0))</f>
      </c>
      <c r="I7681">
        <f>IF(DATOS!$I7681="","",IFERROR(VLOOKUP(DATOS!$I7681,CONFIG_ASIGNATURAS!$B$2:$J$91,9,FALSE()),""))</f>
      </c>
    </row>
    <row r="7682">
      <c r="F7682">
        <f>IF(DATOS!$A7682="","",DATOS!$A7682&amp;"|"&amp;DATOS!$D7682&amp;"|"&amp;DATOS!$E7682&amp;"|"&amp;DATOS!$I7682)</f>
      </c>
      <c r="G7682">
        <f>IF(DATOS!$A7682="",0,IF(CONFIG_METADATA!$B$4&lt;&gt;"OR+EX",--(DATOS!$G7682=CONFIG_METADATA!$B$4),IF(DATOS!$G7682="EX",1,IF(DATOS!$G7682="OR",--(COUNTIFS(nNIA,DATOS!$A7682,nCURSO,DATOS!$D7682,nESPEC,DATOS!$E7682,nASIG,DATOS!$I7682,nEVAL,"EX")=0),0))))</f>
      </c>
      <c r="H7682">
        <f>IF(DATOS!$G7682&lt;&gt;"EX",0,--(COUNTIFS(nNIA,DATOS!$A7682,nCURSO,DATOS!$D7682,nESPEC,DATOS!$E7682,nASIG,DATOS!$I7682,nEVAL,"OR")=0))</f>
      </c>
      <c r="I7682">
        <f>IF(DATOS!$I7682="","",IFERROR(VLOOKUP(DATOS!$I7682,CONFIG_ASIGNATURAS!$B$2:$J$91,9,FALSE()),""))</f>
      </c>
    </row>
    <row r="7683">
      <c r="F7683">
        <f>IF(DATOS!$A7683="","",DATOS!$A7683&amp;"|"&amp;DATOS!$D7683&amp;"|"&amp;DATOS!$E7683&amp;"|"&amp;DATOS!$I7683)</f>
      </c>
      <c r="G7683">
        <f>IF(DATOS!$A7683="",0,IF(CONFIG_METADATA!$B$4&lt;&gt;"OR+EX",--(DATOS!$G7683=CONFIG_METADATA!$B$4),IF(DATOS!$G7683="EX",1,IF(DATOS!$G7683="OR",--(COUNTIFS(nNIA,DATOS!$A7683,nCURSO,DATOS!$D7683,nESPEC,DATOS!$E7683,nASIG,DATOS!$I7683,nEVAL,"EX")=0),0))))</f>
      </c>
      <c r="H7683">
        <f>IF(DATOS!$G7683&lt;&gt;"EX",0,--(COUNTIFS(nNIA,DATOS!$A7683,nCURSO,DATOS!$D7683,nESPEC,DATOS!$E7683,nASIG,DATOS!$I7683,nEVAL,"OR")=0))</f>
      </c>
      <c r="I7683">
        <f>IF(DATOS!$I7683="","",IFERROR(VLOOKUP(DATOS!$I7683,CONFIG_ASIGNATURAS!$B$2:$J$91,9,FALSE()),""))</f>
      </c>
    </row>
    <row r="7684">
      <c r="F7684">
        <f>IF(DATOS!$A7684="","",DATOS!$A7684&amp;"|"&amp;DATOS!$D7684&amp;"|"&amp;DATOS!$E7684&amp;"|"&amp;DATOS!$I7684)</f>
      </c>
      <c r="G7684">
        <f>IF(DATOS!$A7684="",0,IF(CONFIG_METADATA!$B$4&lt;&gt;"OR+EX",--(DATOS!$G7684=CONFIG_METADATA!$B$4),IF(DATOS!$G7684="EX",1,IF(DATOS!$G7684="OR",--(COUNTIFS(nNIA,DATOS!$A7684,nCURSO,DATOS!$D7684,nESPEC,DATOS!$E7684,nASIG,DATOS!$I7684,nEVAL,"EX")=0),0))))</f>
      </c>
      <c r="H7684">
        <f>IF(DATOS!$G7684&lt;&gt;"EX",0,--(COUNTIFS(nNIA,DATOS!$A7684,nCURSO,DATOS!$D7684,nESPEC,DATOS!$E7684,nASIG,DATOS!$I7684,nEVAL,"OR")=0))</f>
      </c>
      <c r="I7684">
        <f>IF(DATOS!$I7684="","",IFERROR(VLOOKUP(DATOS!$I7684,CONFIG_ASIGNATURAS!$B$2:$J$91,9,FALSE()),""))</f>
      </c>
    </row>
    <row r="7685">
      <c r="F7685">
        <f>IF(DATOS!$A7685="","",DATOS!$A7685&amp;"|"&amp;DATOS!$D7685&amp;"|"&amp;DATOS!$E7685&amp;"|"&amp;DATOS!$I7685)</f>
      </c>
      <c r="G7685">
        <f>IF(DATOS!$A7685="",0,IF(CONFIG_METADATA!$B$4&lt;&gt;"OR+EX",--(DATOS!$G7685=CONFIG_METADATA!$B$4),IF(DATOS!$G7685="EX",1,IF(DATOS!$G7685="OR",--(COUNTIFS(nNIA,DATOS!$A7685,nCURSO,DATOS!$D7685,nESPEC,DATOS!$E7685,nASIG,DATOS!$I7685,nEVAL,"EX")=0),0))))</f>
      </c>
      <c r="H7685">
        <f>IF(DATOS!$G7685&lt;&gt;"EX",0,--(COUNTIFS(nNIA,DATOS!$A7685,nCURSO,DATOS!$D7685,nESPEC,DATOS!$E7685,nASIG,DATOS!$I7685,nEVAL,"OR")=0))</f>
      </c>
      <c r="I7685">
        <f>IF(DATOS!$I7685="","",IFERROR(VLOOKUP(DATOS!$I7685,CONFIG_ASIGNATURAS!$B$2:$J$91,9,FALSE()),""))</f>
      </c>
    </row>
    <row r="7686">
      <c r="F7686">
        <f>IF(DATOS!$A7686="","",DATOS!$A7686&amp;"|"&amp;DATOS!$D7686&amp;"|"&amp;DATOS!$E7686&amp;"|"&amp;DATOS!$I7686)</f>
      </c>
      <c r="G7686">
        <f>IF(DATOS!$A7686="",0,IF(CONFIG_METADATA!$B$4&lt;&gt;"OR+EX",--(DATOS!$G7686=CONFIG_METADATA!$B$4),IF(DATOS!$G7686="EX",1,IF(DATOS!$G7686="OR",--(COUNTIFS(nNIA,DATOS!$A7686,nCURSO,DATOS!$D7686,nESPEC,DATOS!$E7686,nASIG,DATOS!$I7686,nEVAL,"EX")=0),0))))</f>
      </c>
      <c r="H7686">
        <f>IF(DATOS!$G7686&lt;&gt;"EX",0,--(COUNTIFS(nNIA,DATOS!$A7686,nCURSO,DATOS!$D7686,nESPEC,DATOS!$E7686,nASIG,DATOS!$I7686,nEVAL,"OR")=0))</f>
      </c>
      <c r="I7686">
        <f>IF(DATOS!$I7686="","",IFERROR(VLOOKUP(DATOS!$I7686,CONFIG_ASIGNATURAS!$B$2:$J$91,9,FALSE()),""))</f>
      </c>
    </row>
    <row r="7687">
      <c r="F7687">
        <f>IF(DATOS!$A7687="","",DATOS!$A7687&amp;"|"&amp;DATOS!$D7687&amp;"|"&amp;DATOS!$E7687&amp;"|"&amp;DATOS!$I7687)</f>
      </c>
      <c r="G7687">
        <f>IF(DATOS!$A7687="",0,IF(CONFIG_METADATA!$B$4&lt;&gt;"OR+EX",--(DATOS!$G7687=CONFIG_METADATA!$B$4),IF(DATOS!$G7687="EX",1,IF(DATOS!$G7687="OR",--(COUNTIFS(nNIA,DATOS!$A7687,nCURSO,DATOS!$D7687,nESPEC,DATOS!$E7687,nASIG,DATOS!$I7687,nEVAL,"EX")=0),0))))</f>
      </c>
      <c r="H7687">
        <f>IF(DATOS!$G7687&lt;&gt;"EX",0,--(COUNTIFS(nNIA,DATOS!$A7687,nCURSO,DATOS!$D7687,nESPEC,DATOS!$E7687,nASIG,DATOS!$I7687,nEVAL,"OR")=0))</f>
      </c>
      <c r="I7687">
        <f>IF(DATOS!$I7687="","",IFERROR(VLOOKUP(DATOS!$I7687,CONFIG_ASIGNATURAS!$B$2:$J$91,9,FALSE()),""))</f>
      </c>
    </row>
    <row r="7688">
      <c r="F7688">
        <f>IF(DATOS!$A7688="","",DATOS!$A7688&amp;"|"&amp;DATOS!$D7688&amp;"|"&amp;DATOS!$E7688&amp;"|"&amp;DATOS!$I7688)</f>
      </c>
      <c r="G7688">
        <f>IF(DATOS!$A7688="",0,IF(CONFIG_METADATA!$B$4&lt;&gt;"OR+EX",--(DATOS!$G7688=CONFIG_METADATA!$B$4),IF(DATOS!$G7688="EX",1,IF(DATOS!$G7688="OR",--(COUNTIFS(nNIA,DATOS!$A7688,nCURSO,DATOS!$D7688,nESPEC,DATOS!$E7688,nASIG,DATOS!$I7688,nEVAL,"EX")=0),0))))</f>
      </c>
      <c r="H7688">
        <f>IF(DATOS!$G7688&lt;&gt;"EX",0,--(COUNTIFS(nNIA,DATOS!$A7688,nCURSO,DATOS!$D7688,nESPEC,DATOS!$E7688,nASIG,DATOS!$I7688,nEVAL,"OR")=0))</f>
      </c>
      <c r="I7688">
        <f>IF(DATOS!$I7688="","",IFERROR(VLOOKUP(DATOS!$I7688,CONFIG_ASIGNATURAS!$B$2:$J$91,9,FALSE()),""))</f>
      </c>
    </row>
    <row r="7689">
      <c r="F7689">
        <f>IF(DATOS!$A7689="","",DATOS!$A7689&amp;"|"&amp;DATOS!$D7689&amp;"|"&amp;DATOS!$E7689&amp;"|"&amp;DATOS!$I7689)</f>
      </c>
      <c r="G7689">
        <f>IF(DATOS!$A7689="",0,IF(CONFIG_METADATA!$B$4&lt;&gt;"OR+EX",--(DATOS!$G7689=CONFIG_METADATA!$B$4),IF(DATOS!$G7689="EX",1,IF(DATOS!$G7689="OR",--(COUNTIFS(nNIA,DATOS!$A7689,nCURSO,DATOS!$D7689,nESPEC,DATOS!$E7689,nASIG,DATOS!$I7689,nEVAL,"EX")=0),0))))</f>
      </c>
      <c r="H7689">
        <f>IF(DATOS!$G7689&lt;&gt;"EX",0,--(COUNTIFS(nNIA,DATOS!$A7689,nCURSO,DATOS!$D7689,nESPEC,DATOS!$E7689,nASIG,DATOS!$I7689,nEVAL,"OR")=0))</f>
      </c>
      <c r="I7689">
        <f>IF(DATOS!$I7689="","",IFERROR(VLOOKUP(DATOS!$I7689,CONFIG_ASIGNATURAS!$B$2:$J$91,9,FALSE()),""))</f>
      </c>
    </row>
    <row r="7690">
      <c r="F7690">
        <f>IF(DATOS!$A7690="","",DATOS!$A7690&amp;"|"&amp;DATOS!$D7690&amp;"|"&amp;DATOS!$E7690&amp;"|"&amp;DATOS!$I7690)</f>
      </c>
      <c r="G7690">
        <f>IF(DATOS!$A7690="",0,IF(CONFIG_METADATA!$B$4&lt;&gt;"OR+EX",--(DATOS!$G7690=CONFIG_METADATA!$B$4),IF(DATOS!$G7690="EX",1,IF(DATOS!$G7690="OR",--(COUNTIFS(nNIA,DATOS!$A7690,nCURSO,DATOS!$D7690,nESPEC,DATOS!$E7690,nASIG,DATOS!$I7690,nEVAL,"EX")=0),0))))</f>
      </c>
      <c r="H7690">
        <f>IF(DATOS!$G7690&lt;&gt;"EX",0,--(COUNTIFS(nNIA,DATOS!$A7690,nCURSO,DATOS!$D7690,nESPEC,DATOS!$E7690,nASIG,DATOS!$I7690,nEVAL,"OR")=0))</f>
      </c>
      <c r="I7690">
        <f>IF(DATOS!$I7690="","",IFERROR(VLOOKUP(DATOS!$I7690,CONFIG_ASIGNATURAS!$B$2:$J$91,9,FALSE()),""))</f>
      </c>
    </row>
    <row r="7691">
      <c r="F7691">
        <f>IF(DATOS!$A7691="","",DATOS!$A7691&amp;"|"&amp;DATOS!$D7691&amp;"|"&amp;DATOS!$E7691&amp;"|"&amp;DATOS!$I7691)</f>
      </c>
      <c r="G7691">
        <f>IF(DATOS!$A7691="",0,IF(CONFIG_METADATA!$B$4&lt;&gt;"OR+EX",--(DATOS!$G7691=CONFIG_METADATA!$B$4),IF(DATOS!$G7691="EX",1,IF(DATOS!$G7691="OR",--(COUNTIFS(nNIA,DATOS!$A7691,nCURSO,DATOS!$D7691,nESPEC,DATOS!$E7691,nASIG,DATOS!$I7691,nEVAL,"EX")=0),0))))</f>
      </c>
      <c r="H7691">
        <f>IF(DATOS!$G7691&lt;&gt;"EX",0,--(COUNTIFS(nNIA,DATOS!$A7691,nCURSO,DATOS!$D7691,nESPEC,DATOS!$E7691,nASIG,DATOS!$I7691,nEVAL,"OR")=0))</f>
      </c>
      <c r="I7691">
        <f>IF(DATOS!$I7691="","",IFERROR(VLOOKUP(DATOS!$I7691,CONFIG_ASIGNATURAS!$B$2:$J$91,9,FALSE()),""))</f>
      </c>
    </row>
    <row r="7692">
      <c r="F7692">
        <f>IF(DATOS!$A7692="","",DATOS!$A7692&amp;"|"&amp;DATOS!$D7692&amp;"|"&amp;DATOS!$E7692&amp;"|"&amp;DATOS!$I7692)</f>
      </c>
      <c r="G7692">
        <f>IF(DATOS!$A7692="",0,IF(CONFIG_METADATA!$B$4&lt;&gt;"OR+EX",--(DATOS!$G7692=CONFIG_METADATA!$B$4),IF(DATOS!$G7692="EX",1,IF(DATOS!$G7692="OR",--(COUNTIFS(nNIA,DATOS!$A7692,nCURSO,DATOS!$D7692,nESPEC,DATOS!$E7692,nASIG,DATOS!$I7692,nEVAL,"EX")=0),0))))</f>
      </c>
      <c r="H7692">
        <f>IF(DATOS!$G7692&lt;&gt;"EX",0,--(COUNTIFS(nNIA,DATOS!$A7692,nCURSO,DATOS!$D7692,nESPEC,DATOS!$E7692,nASIG,DATOS!$I7692,nEVAL,"OR")=0))</f>
      </c>
      <c r="I7692">
        <f>IF(DATOS!$I7692="","",IFERROR(VLOOKUP(DATOS!$I7692,CONFIG_ASIGNATURAS!$B$2:$J$91,9,FALSE()),""))</f>
      </c>
    </row>
    <row r="7693">
      <c r="F7693">
        <f>IF(DATOS!$A7693="","",DATOS!$A7693&amp;"|"&amp;DATOS!$D7693&amp;"|"&amp;DATOS!$E7693&amp;"|"&amp;DATOS!$I7693)</f>
      </c>
      <c r="G7693">
        <f>IF(DATOS!$A7693="",0,IF(CONFIG_METADATA!$B$4&lt;&gt;"OR+EX",--(DATOS!$G7693=CONFIG_METADATA!$B$4),IF(DATOS!$G7693="EX",1,IF(DATOS!$G7693="OR",--(COUNTIFS(nNIA,DATOS!$A7693,nCURSO,DATOS!$D7693,nESPEC,DATOS!$E7693,nASIG,DATOS!$I7693,nEVAL,"EX")=0),0))))</f>
      </c>
      <c r="H7693">
        <f>IF(DATOS!$G7693&lt;&gt;"EX",0,--(COUNTIFS(nNIA,DATOS!$A7693,nCURSO,DATOS!$D7693,nESPEC,DATOS!$E7693,nASIG,DATOS!$I7693,nEVAL,"OR")=0))</f>
      </c>
      <c r="I7693">
        <f>IF(DATOS!$I7693="","",IFERROR(VLOOKUP(DATOS!$I7693,CONFIG_ASIGNATURAS!$B$2:$J$91,9,FALSE()),""))</f>
      </c>
    </row>
    <row r="7694">
      <c r="F7694">
        <f>IF(DATOS!$A7694="","",DATOS!$A7694&amp;"|"&amp;DATOS!$D7694&amp;"|"&amp;DATOS!$E7694&amp;"|"&amp;DATOS!$I7694)</f>
      </c>
      <c r="G7694">
        <f>IF(DATOS!$A7694="",0,IF(CONFIG_METADATA!$B$4&lt;&gt;"OR+EX",--(DATOS!$G7694=CONFIG_METADATA!$B$4),IF(DATOS!$G7694="EX",1,IF(DATOS!$G7694="OR",--(COUNTIFS(nNIA,DATOS!$A7694,nCURSO,DATOS!$D7694,nESPEC,DATOS!$E7694,nASIG,DATOS!$I7694,nEVAL,"EX")=0),0))))</f>
      </c>
      <c r="H7694">
        <f>IF(DATOS!$G7694&lt;&gt;"EX",0,--(COUNTIFS(nNIA,DATOS!$A7694,nCURSO,DATOS!$D7694,nESPEC,DATOS!$E7694,nASIG,DATOS!$I7694,nEVAL,"OR")=0))</f>
      </c>
      <c r="I7694">
        <f>IF(DATOS!$I7694="","",IFERROR(VLOOKUP(DATOS!$I7694,CONFIG_ASIGNATURAS!$B$2:$J$91,9,FALSE()),""))</f>
      </c>
    </row>
    <row r="7695">
      <c r="F7695">
        <f>IF(DATOS!$A7695="","",DATOS!$A7695&amp;"|"&amp;DATOS!$D7695&amp;"|"&amp;DATOS!$E7695&amp;"|"&amp;DATOS!$I7695)</f>
      </c>
      <c r="G7695">
        <f>IF(DATOS!$A7695="",0,IF(CONFIG_METADATA!$B$4&lt;&gt;"OR+EX",--(DATOS!$G7695=CONFIG_METADATA!$B$4),IF(DATOS!$G7695="EX",1,IF(DATOS!$G7695="OR",--(COUNTIFS(nNIA,DATOS!$A7695,nCURSO,DATOS!$D7695,nESPEC,DATOS!$E7695,nASIG,DATOS!$I7695,nEVAL,"EX")=0),0))))</f>
      </c>
      <c r="H7695">
        <f>IF(DATOS!$G7695&lt;&gt;"EX",0,--(COUNTIFS(nNIA,DATOS!$A7695,nCURSO,DATOS!$D7695,nESPEC,DATOS!$E7695,nASIG,DATOS!$I7695,nEVAL,"OR")=0))</f>
      </c>
      <c r="I7695">
        <f>IF(DATOS!$I7695="","",IFERROR(VLOOKUP(DATOS!$I7695,CONFIG_ASIGNATURAS!$B$2:$J$91,9,FALSE()),""))</f>
      </c>
    </row>
    <row r="7696">
      <c r="F7696">
        <f>IF(DATOS!$A7696="","",DATOS!$A7696&amp;"|"&amp;DATOS!$D7696&amp;"|"&amp;DATOS!$E7696&amp;"|"&amp;DATOS!$I7696)</f>
      </c>
      <c r="G7696">
        <f>IF(DATOS!$A7696="",0,IF(CONFIG_METADATA!$B$4&lt;&gt;"OR+EX",--(DATOS!$G7696=CONFIG_METADATA!$B$4),IF(DATOS!$G7696="EX",1,IF(DATOS!$G7696="OR",--(COUNTIFS(nNIA,DATOS!$A7696,nCURSO,DATOS!$D7696,nESPEC,DATOS!$E7696,nASIG,DATOS!$I7696,nEVAL,"EX")=0),0))))</f>
      </c>
      <c r="H7696">
        <f>IF(DATOS!$G7696&lt;&gt;"EX",0,--(COUNTIFS(nNIA,DATOS!$A7696,nCURSO,DATOS!$D7696,nESPEC,DATOS!$E7696,nASIG,DATOS!$I7696,nEVAL,"OR")=0))</f>
      </c>
      <c r="I7696">
        <f>IF(DATOS!$I7696="","",IFERROR(VLOOKUP(DATOS!$I7696,CONFIG_ASIGNATURAS!$B$2:$J$91,9,FALSE()),""))</f>
      </c>
    </row>
    <row r="7697">
      <c r="F7697">
        <f>IF(DATOS!$A7697="","",DATOS!$A7697&amp;"|"&amp;DATOS!$D7697&amp;"|"&amp;DATOS!$E7697&amp;"|"&amp;DATOS!$I7697)</f>
      </c>
      <c r="G7697">
        <f>IF(DATOS!$A7697="",0,IF(CONFIG_METADATA!$B$4&lt;&gt;"OR+EX",--(DATOS!$G7697=CONFIG_METADATA!$B$4),IF(DATOS!$G7697="EX",1,IF(DATOS!$G7697="OR",--(COUNTIFS(nNIA,DATOS!$A7697,nCURSO,DATOS!$D7697,nESPEC,DATOS!$E7697,nASIG,DATOS!$I7697,nEVAL,"EX")=0),0))))</f>
      </c>
      <c r="H7697">
        <f>IF(DATOS!$G7697&lt;&gt;"EX",0,--(COUNTIFS(nNIA,DATOS!$A7697,nCURSO,DATOS!$D7697,nESPEC,DATOS!$E7697,nASIG,DATOS!$I7697,nEVAL,"OR")=0))</f>
      </c>
      <c r="I7697">
        <f>IF(DATOS!$I7697="","",IFERROR(VLOOKUP(DATOS!$I7697,CONFIG_ASIGNATURAS!$B$2:$J$91,9,FALSE()),""))</f>
      </c>
    </row>
    <row r="7698">
      <c r="F7698">
        <f>IF(DATOS!$A7698="","",DATOS!$A7698&amp;"|"&amp;DATOS!$D7698&amp;"|"&amp;DATOS!$E7698&amp;"|"&amp;DATOS!$I7698)</f>
      </c>
      <c r="G7698">
        <f>IF(DATOS!$A7698="",0,IF(CONFIG_METADATA!$B$4&lt;&gt;"OR+EX",--(DATOS!$G7698=CONFIG_METADATA!$B$4),IF(DATOS!$G7698="EX",1,IF(DATOS!$G7698="OR",--(COUNTIFS(nNIA,DATOS!$A7698,nCURSO,DATOS!$D7698,nESPEC,DATOS!$E7698,nASIG,DATOS!$I7698,nEVAL,"EX")=0),0))))</f>
      </c>
      <c r="H7698">
        <f>IF(DATOS!$G7698&lt;&gt;"EX",0,--(COUNTIFS(nNIA,DATOS!$A7698,nCURSO,DATOS!$D7698,nESPEC,DATOS!$E7698,nASIG,DATOS!$I7698,nEVAL,"OR")=0))</f>
      </c>
      <c r="I7698">
        <f>IF(DATOS!$I7698="","",IFERROR(VLOOKUP(DATOS!$I7698,CONFIG_ASIGNATURAS!$B$2:$J$91,9,FALSE()),""))</f>
      </c>
    </row>
    <row r="7699">
      <c r="F7699">
        <f>IF(DATOS!$A7699="","",DATOS!$A7699&amp;"|"&amp;DATOS!$D7699&amp;"|"&amp;DATOS!$E7699&amp;"|"&amp;DATOS!$I7699)</f>
      </c>
      <c r="G7699">
        <f>IF(DATOS!$A7699="",0,IF(CONFIG_METADATA!$B$4&lt;&gt;"OR+EX",--(DATOS!$G7699=CONFIG_METADATA!$B$4),IF(DATOS!$G7699="EX",1,IF(DATOS!$G7699="OR",--(COUNTIFS(nNIA,DATOS!$A7699,nCURSO,DATOS!$D7699,nESPEC,DATOS!$E7699,nASIG,DATOS!$I7699,nEVAL,"EX")=0),0))))</f>
      </c>
      <c r="H7699">
        <f>IF(DATOS!$G7699&lt;&gt;"EX",0,--(COUNTIFS(nNIA,DATOS!$A7699,nCURSO,DATOS!$D7699,nESPEC,DATOS!$E7699,nASIG,DATOS!$I7699,nEVAL,"OR")=0))</f>
      </c>
      <c r="I7699">
        <f>IF(DATOS!$I7699="","",IFERROR(VLOOKUP(DATOS!$I7699,CONFIG_ASIGNATURAS!$B$2:$J$91,9,FALSE()),""))</f>
      </c>
    </row>
    <row r="7700">
      <c r="F7700">
        <f>IF(DATOS!$A7700="","",DATOS!$A7700&amp;"|"&amp;DATOS!$D7700&amp;"|"&amp;DATOS!$E7700&amp;"|"&amp;DATOS!$I7700)</f>
      </c>
      <c r="G7700">
        <f>IF(DATOS!$A7700="",0,IF(CONFIG_METADATA!$B$4&lt;&gt;"OR+EX",--(DATOS!$G7700=CONFIG_METADATA!$B$4),IF(DATOS!$G7700="EX",1,IF(DATOS!$G7700="OR",--(COUNTIFS(nNIA,DATOS!$A7700,nCURSO,DATOS!$D7700,nESPEC,DATOS!$E7700,nASIG,DATOS!$I7700,nEVAL,"EX")=0),0))))</f>
      </c>
      <c r="H7700">
        <f>IF(DATOS!$G7700&lt;&gt;"EX",0,--(COUNTIFS(nNIA,DATOS!$A7700,nCURSO,DATOS!$D7700,nESPEC,DATOS!$E7700,nASIG,DATOS!$I7700,nEVAL,"OR")=0))</f>
      </c>
      <c r="I7700">
        <f>IF(DATOS!$I7700="","",IFERROR(VLOOKUP(DATOS!$I7700,CONFIG_ASIGNATURAS!$B$2:$J$91,9,FALSE()),""))</f>
      </c>
    </row>
    <row r="7701">
      <c r="F7701">
        <f>IF(DATOS!$A7701="","",DATOS!$A7701&amp;"|"&amp;DATOS!$D7701&amp;"|"&amp;DATOS!$E7701&amp;"|"&amp;DATOS!$I7701)</f>
      </c>
      <c r="G7701">
        <f>IF(DATOS!$A7701="",0,IF(CONFIG_METADATA!$B$4&lt;&gt;"OR+EX",--(DATOS!$G7701=CONFIG_METADATA!$B$4),IF(DATOS!$G7701="EX",1,IF(DATOS!$G7701="OR",--(COUNTIFS(nNIA,DATOS!$A7701,nCURSO,DATOS!$D7701,nESPEC,DATOS!$E7701,nASIG,DATOS!$I7701,nEVAL,"EX")=0),0))))</f>
      </c>
      <c r="H7701">
        <f>IF(DATOS!$G7701&lt;&gt;"EX",0,--(COUNTIFS(nNIA,DATOS!$A7701,nCURSO,DATOS!$D7701,nESPEC,DATOS!$E7701,nASIG,DATOS!$I7701,nEVAL,"OR")=0))</f>
      </c>
      <c r="I7701">
        <f>IF(DATOS!$I7701="","",IFERROR(VLOOKUP(DATOS!$I7701,CONFIG_ASIGNATURAS!$B$2:$J$91,9,FALSE()),""))</f>
      </c>
    </row>
    <row r="7702">
      <c r="F7702">
        <f>IF(DATOS!$A7702="","",DATOS!$A7702&amp;"|"&amp;DATOS!$D7702&amp;"|"&amp;DATOS!$E7702&amp;"|"&amp;DATOS!$I7702)</f>
      </c>
      <c r="G7702">
        <f>IF(DATOS!$A7702="",0,IF(CONFIG_METADATA!$B$4&lt;&gt;"OR+EX",--(DATOS!$G7702=CONFIG_METADATA!$B$4),IF(DATOS!$G7702="EX",1,IF(DATOS!$G7702="OR",--(COUNTIFS(nNIA,DATOS!$A7702,nCURSO,DATOS!$D7702,nESPEC,DATOS!$E7702,nASIG,DATOS!$I7702,nEVAL,"EX")=0),0))))</f>
      </c>
      <c r="H7702">
        <f>IF(DATOS!$G7702&lt;&gt;"EX",0,--(COUNTIFS(nNIA,DATOS!$A7702,nCURSO,DATOS!$D7702,nESPEC,DATOS!$E7702,nASIG,DATOS!$I7702,nEVAL,"OR")=0))</f>
      </c>
      <c r="I7702">
        <f>IF(DATOS!$I7702="","",IFERROR(VLOOKUP(DATOS!$I7702,CONFIG_ASIGNATURAS!$B$2:$J$91,9,FALSE()),""))</f>
      </c>
    </row>
    <row r="7703">
      <c r="F7703">
        <f>IF(DATOS!$A7703="","",DATOS!$A7703&amp;"|"&amp;DATOS!$D7703&amp;"|"&amp;DATOS!$E7703&amp;"|"&amp;DATOS!$I7703)</f>
      </c>
      <c r="G7703">
        <f>IF(DATOS!$A7703="",0,IF(CONFIG_METADATA!$B$4&lt;&gt;"OR+EX",--(DATOS!$G7703=CONFIG_METADATA!$B$4),IF(DATOS!$G7703="EX",1,IF(DATOS!$G7703="OR",--(COUNTIFS(nNIA,DATOS!$A7703,nCURSO,DATOS!$D7703,nESPEC,DATOS!$E7703,nASIG,DATOS!$I7703,nEVAL,"EX")=0),0))))</f>
      </c>
      <c r="H7703">
        <f>IF(DATOS!$G7703&lt;&gt;"EX",0,--(COUNTIFS(nNIA,DATOS!$A7703,nCURSO,DATOS!$D7703,nESPEC,DATOS!$E7703,nASIG,DATOS!$I7703,nEVAL,"OR")=0))</f>
      </c>
      <c r="I7703">
        <f>IF(DATOS!$I7703="","",IFERROR(VLOOKUP(DATOS!$I7703,CONFIG_ASIGNATURAS!$B$2:$J$91,9,FALSE()),""))</f>
      </c>
    </row>
    <row r="7704">
      <c r="F7704">
        <f>IF(DATOS!$A7704="","",DATOS!$A7704&amp;"|"&amp;DATOS!$D7704&amp;"|"&amp;DATOS!$E7704&amp;"|"&amp;DATOS!$I7704)</f>
      </c>
      <c r="G7704">
        <f>IF(DATOS!$A7704="",0,IF(CONFIG_METADATA!$B$4&lt;&gt;"OR+EX",--(DATOS!$G7704=CONFIG_METADATA!$B$4),IF(DATOS!$G7704="EX",1,IF(DATOS!$G7704="OR",--(COUNTIFS(nNIA,DATOS!$A7704,nCURSO,DATOS!$D7704,nESPEC,DATOS!$E7704,nASIG,DATOS!$I7704,nEVAL,"EX")=0),0))))</f>
      </c>
      <c r="H7704">
        <f>IF(DATOS!$G7704&lt;&gt;"EX",0,--(COUNTIFS(nNIA,DATOS!$A7704,nCURSO,DATOS!$D7704,nESPEC,DATOS!$E7704,nASIG,DATOS!$I7704,nEVAL,"OR")=0))</f>
      </c>
      <c r="I7704">
        <f>IF(DATOS!$I7704="","",IFERROR(VLOOKUP(DATOS!$I7704,CONFIG_ASIGNATURAS!$B$2:$J$91,9,FALSE()),""))</f>
      </c>
    </row>
    <row r="7705">
      <c r="F7705">
        <f>IF(DATOS!$A7705="","",DATOS!$A7705&amp;"|"&amp;DATOS!$D7705&amp;"|"&amp;DATOS!$E7705&amp;"|"&amp;DATOS!$I7705)</f>
      </c>
      <c r="G7705">
        <f>IF(DATOS!$A7705="",0,IF(CONFIG_METADATA!$B$4&lt;&gt;"OR+EX",--(DATOS!$G7705=CONFIG_METADATA!$B$4),IF(DATOS!$G7705="EX",1,IF(DATOS!$G7705="OR",--(COUNTIFS(nNIA,DATOS!$A7705,nCURSO,DATOS!$D7705,nESPEC,DATOS!$E7705,nASIG,DATOS!$I7705,nEVAL,"EX")=0),0))))</f>
      </c>
      <c r="H7705">
        <f>IF(DATOS!$G7705&lt;&gt;"EX",0,--(COUNTIFS(nNIA,DATOS!$A7705,nCURSO,DATOS!$D7705,nESPEC,DATOS!$E7705,nASIG,DATOS!$I7705,nEVAL,"OR")=0))</f>
      </c>
      <c r="I7705">
        <f>IF(DATOS!$I7705="","",IFERROR(VLOOKUP(DATOS!$I7705,CONFIG_ASIGNATURAS!$B$2:$J$91,9,FALSE()),""))</f>
      </c>
    </row>
    <row r="7706">
      <c r="F7706">
        <f>IF(DATOS!$A7706="","",DATOS!$A7706&amp;"|"&amp;DATOS!$D7706&amp;"|"&amp;DATOS!$E7706&amp;"|"&amp;DATOS!$I7706)</f>
      </c>
      <c r="G7706">
        <f>IF(DATOS!$A7706="",0,IF(CONFIG_METADATA!$B$4&lt;&gt;"OR+EX",--(DATOS!$G7706=CONFIG_METADATA!$B$4),IF(DATOS!$G7706="EX",1,IF(DATOS!$G7706="OR",--(COUNTIFS(nNIA,DATOS!$A7706,nCURSO,DATOS!$D7706,nESPEC,DATOS!$E7706,nASIG,DATOS!$I7706,nEVAL,"EX")=0),0))))</f>
      </c>
      <c r="H7706">
        <f>IF(DATOS!$G7706&lt;&gt;"EX",0,--(COUNTIFS(nNIA,DATOS!$A7706,nCURSO,DATOS!$D7706,nESPEC,DATOS!$E7706,nASIG,DATOS!$I7706,nEVAL,"OR")=0))</f>
      </c>
      <c r="I7706">
        <f>IF(DATOS!$I7706="","",IFERROR(VLOOKUP(DATOS!$I7706,CONFIG_ASIGNATURAS!$B$2:$J$91,9,FALSE()),""))</f>
      </c>
    </row>
    <row r="7707">
      <c r="F7707">
        <f>IF(DATOS!$A7707="","",DATOS!$A7707&amp;"|"&amp;DATOS!$D7707&amp;"|"&amp;DATOS!$E7707&amp;"|"&amp;DATOS!$I7707)</f>
      </c>
      <c r="G7707">
        <f>IF(DATOS!$A7707="",0,IF(CONFIG_METADATA!$B$4&lt;&gt;"OR+EX",--(DATOS!$G7707=CONFIG_METADATA!$B$4),IF(DATOS!$G7707="EX",1,IF(DATOS!$G7707="OR",--(COUNTIFS(nNIA,DATOS!$A7707,nCURSO,DATOS!$D7707,nESPEC,DATOS!$E7707,nASIG,DATOS!$I7707,nEVAL,"EX")=0),0))))</f>
      </c>
      <c r="H7707">
        <f>IF(DATOS!$G7707&lt;&gt;"EX",0,--(COUNTIFS(nNIA,DATOS!$A7707,nCURSO,DATOS!$D7707,nESPEC,DATOS!$E7707,nASIG,DATOS!$I7707,nEVAL,"OR")=0))</f>
      </c>
      <c r="I7707">
        <f>IF(DATOS!$I7707="","",IFERROR(VLOOKUP(DATOS!$I7707,CONFIG_ASIGNATURAS!$B$2:$J$91,9,FALSE()),""))</f>
      </c>
    </row>
    <row r="7708">
      <c r="F7708">
        <f>IF(DATOS!$A7708="","",DATOS!$A7708&amp;"|"&amp;DATOS!$D7708&amp;"|"&amp;DATOS!$E7708&amp;"|"&amp;DATOS!$I7708)</f>
      </c>
      <c r="G7708">
        <f>IF(DATOS!$A7708="",0,IF(CONFIG_METADATA!$B$4&lt;&gt;"OR+EX",--(DATOS!$G7708=CONFIG_METADATA!$B$4),IF(DATOS!$G7708="EX",1,IF(DATOS!$G7708="OR",--(COUNTIFS(nNIA,DATOS!$A7708,nCURSO,DATOS!$D7708,nESPEC,DATOS!$E7708,nASIG,DATOS!$I7708,nEVAL,"EX")=0),0))))</f>
      </c>
      <c r="H7708">
        <f>IF(DATOS!$G7708&lt;&gt;"EX",0,--(COUNTIFS(nNIA,DATOS!$A7708,nCURSO,DATOS!$D7708,nESPEC,DATOS!$E7708,nASIG,DATOS!$I7708,nEVAL,"OR")=0))</f>
      </c>
      <c r="I7708">
        <f>IF(DATOS!$I7708="","",IFERROR(VLOOKUP(DATOS!$I7708,CONFIG_ASIGNATURAS!$B$2:$J$91,9,FALSE()),""))</f>
      </c>
    </row>
    <row r="7709">
      <c r="F7709">
        <f>IF(DATOS!$A7709="","",DATOS!$A7709&amp;"|"&amp;DATOS!$D7709&amp;"|"&amp;DATOS!$E7709&amp;"|"&amp;DATOS!$I7709)</f>
      </c>
      <c r="G7709">
        <f>IF(DATOS!$A7709="",0,IF(CONFIG_METADATA!$B$4&lt;&gt;"OR+EX",--(DATOS!$G7709=CONFIG_METADATA!$B$4),IF(DATOS!$G7709="EX",1,IF(DATOS!$G7709="OR",--(COUNTIFS(nNIA,DATOS!$A7709,nCURSO,DATOS!$D7709,nESPEC,DATOS!$E7709,nASIG,DATOS!$I7709,nEVAL,"EX")=0),0))))</f>
      </c>
      <c r="H7709">
        <f>IF(DATOS!$G7709&lt;&gt;"EX",0,--(COUNTIFS(nNIA,DATOS!$A7709,nCURSO,DATOS!$D7709,nESPEC,DATOS!$E7709,nASIG,DATOS!$I7709,nEVAL,"OR")=0))</f>
      </c>
      <c r="I7709">
        <f>IF(DATOS!$I7709="","",IFERROR(VLOOKUP(DATOS!$I7709,CONFIG_ASIGNATURAS!$B$2:$J$91,9,FALSE()),""))</f>
      </c>
    </row>
    <row r="7710">
      <c r="F7710">
        <f>IF(DATOS!$A7710="","",DATOS!$A7710&amp;"|"&amp;DATOS!$D7710&amp;"|"&amp;DATOS!$E7710&amp;"|"&amp;DATOS!$I7710)</f>
      </c>
      <c r="G7710">
        <f>IF(DATOS!$A7710="",0,IF(CONFIG_METADATA!$B$4&lt;&gt;"OR+EX",--(DATOS!$G7710=CONFIG_METADATA!$B$4),IF(DATOS!$G7710="EX",1,IF(DATOS!$G7710="OR",--(COUNTIFS(nNIA,DATOS!$A7710,nCURSO,DATOS!$D7710,nESPEC,DATOS!$E7710,nASIG,DATOS!$I7710,nEVAL,"EX")=0),0))))</f>
      </c>
      <c r="H7710">
        <f>IF(DATOS!$G7710&lt;&gt;"EX",0,--(COUNTIFS(nNIA,DATOS!$A7710,nCURSO,DATOS!$D7710,nESPEC,DATOS!$E7710,nASIG,DATOS!$I7710,nEVAL,"OR")=0))</f>
      </c>
      <c r="I7710">
        <f>IF(DATOS!$I7710="","",IFERROR(VLOOKUP(DATOS!$I7710,CONFIG_ASIGNATURAS!$B$2:$J$91,9,FALSE()),""))</f>
      </c>
    </row>
    <row r="7711">
      <c r="F7711">
        <f>IF(DATOS!$A7711="","",DATOS!$A7711&amp;"|"&amp;DATOS!$D7711&amp;"|"&amp;DATOS!$E7711&amp;"|"&amp;DATOS!$I7711)</f>
      </c>
      <c r="G7711">
        <f>IF(DATOS!$A7711="",0,IF(CONFIG_METADATA!$B$4&lt;&gt;"OR+EX",--(DATOS!$G7711=CONFIG_METADATA!$B$4),IF(DATOS!$G7711="EX",1,IF(DATOS!$G7711="OR",--(COUNTIFS(nNIA,DATOS!$A7711,nCURSO,DATOS!$D7711,nESPEC,DATOS!$E7711,nASIG,DATOS!$I7711,nEVAL,"EX")=0),0))))</f>
      </c>
      <c r="H7711">
        <f>IF(DATOS!$G7711&lt;&gt;"EX",0,--(COUNTIFS(nNIA,DATOS!$A7711,nCURSO,DATOS!$D7711,nESPEC,DATOS!$E7711,nASIG,DATOS!$I7711,nEVAL,"OR")=0))</f>
      </c>
      <c r="I7711">
        <f>IF(DATOS!$I7711="","",IFERROR(VLOOKUP(DATOS!$I7711,CONFIG_ASIGNATURAS!$B$2:$J$91,9,FALSE()),""))</f>
      </c>
    </row>
    <row r="7712">
      <c r="F7712">
        <f>IF(DATOS!$A7712="","",DATOS!$A7712&amp;"|"&amp;DATOS!$D7712&amp;"|"&amp;DATOS!$E7712&amp;"|"&amp;DATOS!$I7712)</f>
      </c>
      <c r="G7712">
        <f>IF(DATOS!$A7712="",0,IF(CONFIG_METADATA!$B$4&lt;&gt;"OR+EX",--(DATOS!$G7712=CONFIG_METADATA!$B$4),IF(DATOS!$G7712="EX",1,IF(DATOS!$G7712="OR",--(COUNTIFS(nNIA,DATOS!$A7712,nCURSO,DATOS!$D7712,nESPEC,DATOS!$E7712,nASIG,DATOS!$I7712,nEVAL,"EX")=0),0))))</f>
      </c>
      <c r="H7712">
        <f>IF(DATOS!$G7712&lt;&gt;"EX",0,--(COUNTIFS(nNIA,DATOS!$A7712,nCURSO,DATOS!$D7712,nESPEC,DATOS!$E7712,nASIG,DATOS!$I7712,nEVAL,"OR")=0))</f>
      </c>
      <c r="I7712">
        <f>IF(DATOS!$I7712="","",IFERROR(VLOOKUP(DATOS!$I7712,CONFIG_ASIGNATURAS!$B$2:$J$91,9,FALSE()),""))</f>
      </c>
    </row>
    <row r="7713">
      <c r="F7713">
        <f>IF(DATOS!$A7713="","",DATOS!$A7713&amp;"|"&amp;DATOS!$D7713&amp;"|"&amp;DATOS!$E7713&amp;"|"&amp;DATOS!$I7713)</f>
      </c>
      <c r="G7713">
        <f>IF(DATOS!$A7713="",0,IF(CONFIG_METADATA!$B$4&lt;&gt;"OR+EX",--(DATOS!$G7713=CONFIG_METADATA!$B$4),IF(DATOS!$G7713="EX",1,IF(DATOS!$G7713="OR",--(COUNTIFS(nNIA,DATOS!$A7713,nCURSO,DATOS!$D7713,nESPEC,DATOS!$E7713,nASIG,DATOS!$I7713,nEVAL,"EX")=0),0))))</f>
      </c>
      <c r="H7713">
        <f>IF(DATOS!$G7713&lt;&gt;"EX",0,--(COUNTIFS(nNIA,DATOS!$A7713,nCURSO,DATOS!$D7713,nESPEC,DATOS!$E7713,nASIG,DATOS!$I7713,nEVAL,"OR")=0))</f>
      </c>
      <c r="I7713">
        <f>IF(DATOS!$I7713="","",IFERROR(VLOOKUP(DATOS!$I7713,CONFIG_ASIGNATURAS!$B$2:$J$91,9,FALSE()),""))</f>
      </c>
    </row>
    <row r="7714">
      <c r="F7714">
        <f>IF(DATOS!$A7714="","",DATOS!$A7714&amp;"|"&amp;DATOS!$D7714&amp;"|"&amp;DATOS!$E7714&amp;"|"&amp;DATOS!$I7714)</f>
      </c>
      <c r="G7714">
        <f>IF(DATOS!$A7714="",0,IF(CONFIG_METADATA!$B$4&lt;&gt;"OR+EX",--(DATOS!$G7714=CONFIG_METADATA!$B$4),IF(DATOS!$G7714="EX",1,IF(DATOS!$G7714="OR",--(COUNTIFS(nNIA,DATOS!$A7714,nCURSO,DATOS!$D7714,nESPEC,DATOS!$E7714,nASIG,DATOS!$I7714,nEVAL,"EX")=0),0))))</f>
      </c>
      <c r="H7714">
        <f>IF(DATOS!$G7714&lt;&gt;"EX",0,--(COUNTIFS(nNIA,DATOS!$A7714,nCURSO,DATOS!$D7714,nESPEC,DATOS!$E7714,nASIG,DATOS!$I7714,nEVAL,"OR")=0))</f>
      </c>
      <c r="I7714">
        <f>IF(DATOS!$I7714="","",IFERROR(VLOOKUP(DATOS!$I7714,CONFIG_ASIGNATURAS!$B$2:$J$91,9,FALSE()),""))</f>
      </c>
    </row>
    <row r="7715">
      <c r="F7715">
        <f>IF(DATOS!$A7715="","",DATOS!$A7715&amp;"|"&amp;DATOS!$D7715&amp;"|"&amp;DATOS!$E7715&amp;"|"&amp;DATOS!$I7715)</f>
      </c>
      <c r="G7715">
        <f>IF(DATOS!$A7715="",0,IF(CONFIG_METADATA!$B$4&lt;&gt;"OR+EX",--(DATOS!$G7715=CONFIG_METADATA!$B$4),IF(DATOS!$G7715="EX",1,IF(DATOS!$G7715="OR",--(COUNTIFS(nNIA,DATOS!$A7715,nCURSO,DATOS!$D7715,nESPEC,DATOS!$E7715,nASIG,DATOS!$I7715,nEVAL,"EX")=0),0))))</f>
      </c>
      <c r="H7715">
        <f>IF(DATOS!$G7715&lt;&gt;"EX",0,--(COUNTIFS(nNIA,DATOS!$A7715,nCURSO,DATOS!$D7715,nESPEC,DATOS!$E7715,nASIG,DATOS!$I7715,nEVAL,"OR")=0))</f>
      </c>
      <c r="I7715">
        <f>IF(DATOS!$I7715="","",IFERROR(VLOOKUP(DATOS!$I7715,CONFIG_ASIGNATURAS!$B$2:$J$91,9,FALSE()),""))</f>
      </c>
    </row>
    <row r="7716">
      <c r="F7716">
        <f>IF(DATOS!$A7716="","",DATOS!$A7716&amp;"|"&amp;DATOS!$D7716&amp;"|"&amp;DATOS!$E7716&amp;"|"&amp;DATOS!$I7716)</f>
      </c>
      <c r="G7716">
        <f>IF(DATOS!$A7716="",0,IF(CONFIG_METADATA!$B$4&lt;&gt;"OR+EX",--(DATOS!$G7716=CONFIG_METADATA!$B$4),IF(DATOS!$G7716="EX",1,IF(DATOS!$G7716="OR",--(COUNTIFS(nNIA,DATOS!$A7716,nCURSO,DATOS!$D7716,nESPEC,DATOS!$E7716,nASIG,DATOS!$I7716,nEVAL,"EX")=0),0))))</f>
      </c>
      <c r="H7716">
        <f>IF(DATOS!$G7716&lt;&gt;"EX",0,--(COUNTIFS(nNIA,DATOS!$A7716,nCURSO,DATOS!$D7716,nESPEC,DATOS!$E7716,nASIG,DATOS!$I7716,nEVAL,"OR")=0))</f>
      </c>
      <c r="I7716">
        <f>IF(DATOS!$I7716="","",IFERROR(VLOOKUP(DATOS!$I7716,CONFIG_ASIGNATURAS!$B$2:$J$91,9,FALSE()),""))</f>
      </c>
    </row>
    <row r="7717">
      <c r="F7717">
        <f>IF(DATOS!$A7717="","",DATOS!$A7717&amp;"|"&amp;DATOS!$D7717&amp;"|"&amp;DATOS!$E7717&amp;"|"&amp;DATOS!$I7717)</f>
      </c>
      <c r="G7717">
        <f>IF(DATOS!$A7717="",0,IF(CONFIG_METADATA!$B$4&lt;&gt;"OR+EX",--(DATOS!$G7717=CONFIG_METADATA!$B$4),IF(DATOS!$G7717="EX",1,IF(DATOS!$G7717="OR",--(COUNTIFS(nNIA,DATOS!$A7717,nCURSO,DATOS!$D7717,nESPEC,DATOS!$E7717,nASIG,DATOS!$I7717,nEVAL,"EX")=0),0))))</f>
      </c>
      <c r="H7717">
        <f>IF(DATOS!$G7717&lt;&gt;"EX",0,--(COUNTIFS(nNIA,DATOS!$A7717,nCURSO,DATOS!$D7717,nESPEC,DATOS!$E7717,nASIG,DATOS!$I7717,nEVAL,"OR")=0))</f>
      </c>
      <c r="I7717">
        <f>IF(DATOS!$I7717="","",IFERROR(VLOOKUP(DATOS!$I7717,CONFIG_ASIGNATURAS!$B$2:$J$91,9,FALSE()),""))</f>
      </c>
    </row>
    <row r="7718">
      <c r="F7718">
        <f>IF(DATOS!$A7718="","",DATOS!$A7718&amp;"|"&amp;DATOS!$D7718&amp;"|"&amp;DATOS!$E7718&amp;"|"&amp;DATOS!$I7718)</f>
      </c>
      <c r="G7718">
        <f>IF(DATOS!$A7718="",0,IF(CONFIG_METADATA!$B$4&lt;&gt;"OR+EX",--(DATOS!$G7718=CONFIG_METADATA!$B$4),IF(DATOS!$G7718="EX",1,IF(DATOS!$G7718="OR",--(COUNTIFS(nNIA,DATOS!$A7718,nCURSO,DATOS!$D7718,nESPEC,DATOS!$E7718,nASIG,DATOS!$I7718,nEVAL,"EX")=0),0))))</f>
      </c>
      <c r="H7718">
        <f>IF(DATOS!$G7718&lt;&gt;"EX",0,--(COUNTIFS(nNIA,DATOS!$A7718,nCURSO,DATOS!$D7718,nESPEC,DATOS!$E7718,nASIG,DATOS!$I7718,nEVAL,"OR")=0))</f>
      </c>
      <c r="I7718">
        <f>IF(DATOS!$I7718="","",IFERROR(VLOOKUP(DATOS!$I7718,CONFIG_ASIGNATURAS!$B$2:$J$91,9,FALSE()),""))</f>
      </c>
    </row>
    <row r="7719">
      <c r="F7719">
        <f>IF(DATOS!$A7719="","",DATOS!$A7719&amp;"|"&amp;DATOS!$D7719&amp;"|"&amp;DATOS!$E7719&amp;"|"&amp;DATOS!$I7719)</f>
      </c>
      <c r="G7719">
        <f>IF(DATOS!$A7719="",0,IF(CONFIG_METADATA!$B$4&lt;&gt;"OR+EX",--(DATOS!$G7719=CONFIG_METADATA!$B$4),IF(DATOS!$G7719="EX",1,IF(DATOS!$G7719="OR",--(COUNTIFS(nNIA,DATOS!$A7719,nCURSO,DATOS!$D7719,nESPEC,DATOS!$E7719,nASIG,DATOS!$I7719,nEVAL,"EX")=0),0))))</f>
      </c>
      <c r="H7719">
        <f>IF(DATOS!$G7719&lt;&gt;"EX",0,--(COUNTIFS(nNIA,DATOS!$A7719,nCURSO,DATOS!$D7719,nESPEC,DATOS!$E7719,nASIG,DATOS!$I7719,nEVAL,"OR")=0))</f>
      </c>
      <c r="I7719">
        <f>IF(DATOS!$I7719="","",IFERROR(VLOOKUP(DATOS!$I7719,CONFIG_ASIGNATURAS!$B$2:$J$91,9,FALSE()),""))</f>
      </c>
    </row>
    <row r="7720">
      <c r="F7720">
        <f>IF(DATOS!$A7720="","",DATOS!$A7720&amp;"|"&amp;DATOS!$D7720&amp;"|"&amp;DATOS!$E7720&amp;"|"&amp;DATOS!$I7720)</f>
      </c>
      <c r="G7720">
        <f>IF(DATOS!$A7720="",0,IF(CONFIG_METADATA!$B$4&lt;&gt;"OR+EX",--(DATOS!$G7720=CONFIG_METADATA!$B$4),IF(DATOS!$G7720="EX",1,IF(DATOS!$G7720="OR",--(COUNTIFS(nNIA,DATOS!$A7720,nCURSO,DATOS!$D7720,nESPEC,DATOS!$E7720,nASIG,DATOS!$I7720,nEVAL,"EX")=0),0))))</f>
      </c>
      <c r="H7720">
        <f>IF(DATOS!$G7720&lt;&gt;"EX",0,--(COUNTIFS(nNIA,DATOS!$A7720,nCURSO,DATOS!$D7720,nESPEC,DATOS!$E7720,nASIG,DATOS!$I7720,nEVAL,"OR")=0))</f>
      </c>
      <c r="I7720">
        <f>IF(DATOS!$I7720="","",IFERROR(VLOOKUP(DATOS!$I7720,CONFIG_ASIGNATURAS!$B$2:$J$91,9,FALSE()),""))</f>
      </c>
    </row>
    <row r="7721">
      <c r="F7721">
        <f>IF(DATOS!$A7721="","",DATOS!$A7721&amp;"|"&amp;DATOS!$D7721&amp;"|"&amp;DATOS!$E7721&amp;"|"&amp;DATOS!$I7721)</f>
      </c>
      <c r="G7721">
        <f>IF(DATOS!$A7721="",0,IF(CONFIG_METADATA!$B$4&lt;&gt;"OR+EX",--(DATOS!$G7721=CONFIG_METADATA!$B$4),IF(DATOS!$G7721="EX",1,IF(DATOS!$G7721="OR",--(COUNTIFS(nNIA,DATOS!$A7721,nCURSO,DATOS!$D7721,nESPEC,DATOS!$E7721,nASIG,DATOS!$I7721,nEVAL,"EX")=0),0))))</f>
      </c>
      <c r="H7721">
        <f>IF(DATOS!$G7721&lt;&gt;"EX",0,--(COUNTIFS(nNIA,DATOS!$A7721,nCURSO,DATOS!$D7721,nESPEC,DATOS!$E7721,nASIG,DATOS!$I7721,nEVAL,"OR")=0))</f>
      </c>
      <c r="I7721">
        <f>IF(DATOS!$I7721="","",IFERROR(VLOOKUP(DATOS!$I7721,CONFIG_ASIGNATURAS!$B$2:$J$91,9,FALSE()),""))</f>
      </c>
    </row>
    <row r="7722">
      <c r="F7722">
        <f>IF(DATOS!$A7722="","",DATOS!$A7722&amp;"|"&amp;DATOS!$D7722&amp;"|"&amp;DATOS!$E7722&amp;"|"&amp;DATOS!$I7722)</f>
      </c>
      <c r="G7722">
        <f>IF(DATOS!$A7722="",0,IF(CONFIG_METADATA!$B$4&lt;&gt;"OR+EX",--(DATOS!$G7722=CONFIG_METADATA!$B$4),IF(DATOS!$G7722="EX",1,IF(DATOS!$G7722="OR",--(COUNTIFS(nNIA,DATOS!$A7722,nCURSO,DATOS!$D7722,nESPEC,DATOS!$E7722,nASIG,DATOS!$I7722,nEVAL,"EX")=0),0))))</f>
      </c>
      <c r="H7722">
        <f>IF(DATOS!$G7722&lt;&gt;"EX",0,--(COUNTIFS(nNIA,DATOS!$A7722,nCURSO,DATOS!$D7722,nESPEC,DATOS!$E7722,nASIG,DATOS!$I7722,nEVAL,"OR")=0))</f>
      </c>
      <c r="I7722">
        <f>IF(DATOS!$I7722="","",IFERROR(VLOOKUP(DATOS!$I7722,CONFIG_ASIGNATURAS!$B$2:$J$91,9,FALSE()),""))</f>
      </c>
    </row>
    <row r="7723">
      <c r="F7723">
        <f>IF(DATOS!$A7723="","",DATOS!$A7723&amp;"|"&amp;DATOS!$D7723&amp;"|"&amp;DATOS!$E7723&amp;"|"&amp;DATOS!$I7723)</f>
      </c>
      <c r="G7723">
        <f>IF(DATOS!$A7723="",0,IF(CONFIG_METADATA!$B$4&lt;&gt;"OR+EX",--(DATOS!$G7723=CONFIG_METADATA!$B$4),IF(DATOS!$G7723="EX",1,IF(DATOS!$G7723="OR",--(COUNTIFS(nNIA,DATOS!$A7723,nCURSO,DATOS!$D7723,nESPEC,DATOS!$E7723,nASIG,DATOS!$I7723,nEVAL,"EX")=0),0))))</f>
      </c>
      <c r="H7723">
        <f>IF(DATOS!$G7723&lt;&gt;"EX",0,--(COUNTIFS(nNIA,DATOS!$A7723,nCURSO,DATOS!$D7723,nESPEC,DATOS!$E7723,nASIG,DATOS!$I7723,nEVAL,"OR")=0))</f>
      </c>
      <c r="I7723">
        <f>IF(DATOS!$I7723="","",IFERROR(VLOOKUP(DATOS!$I7723,CONFIG_ASIGNATURAS!$B$2:$J$91,9,FALSE()),""))</f>
      </c>
    </row>
    <row r="7724">
      <c r="F7724">
        <f>IF(DATOS!$A7724="","",DATOS!$A7724&amp;"|"&amp;DATOS!$D7724&amp;"|"&amp;DATOS!$E7724&amp;"|"&amp;DATOS!$I7724)</f>
      </c>
      <c r="G7724">
        <f>IF(DATOS!$A7724="",0,IF(CONFIG_METADATA!$B$4&lt;&gt;"OR+EX",--(DATOS!$G7724=CONFIG_METADATA!$B$4),IF(DATOS!$G7724="EX",1,IF(DATOS!$G7724="OR",--(COUNTIFS(nNIA,DATOS!$A7724,nCURSO,DATOS!$D7724,nESPEC,DATOS!$E7724,nASIG,DATOS!$I7724,nEVAL,"EX")=0),0))))</f>
      </c>
      <c r="H7724">
        <f>IF(DATOS!$G7724&lt;&gt;"EX",0,--(COUNTIFS(nNIA,DATOS!$A7724,nCURSO,DATOS!$D7724,nESPEC,DATOS!$E7724,nASIG,DATOS!$I7724,nEVAL,"OR")=0))</f>
      </c>
      <c r="I7724">
        <f>IF(DATOS!$I7724="","",IFERROR(VLOOKUP(DATOS!$I7724,CONFIG_ASIGNATURAS!$B$2:$J$91,9,FALSE()),""))</f>
      </c>
    </row>
    <row r="7725">
      <c r="F7725">
        <f>IF(DATOS!$A7725="","",DATOS!$A7725&amp;"|"&amp;DATOS!$D7725&amp;"|"&amp;DATOS!$E7725&amp;"|"&amp;DATOS!$I7725)</f>
      </c>
      <c r="G7725">
        <f>IF(DATOS!$A7725="",0,IF(CONFIG_METADATA!$B$4&lt;&gt;"OR+EX",--(DATOS!$G7725=CONFIG_METADATA!$B$4),IF(DATOS!$G7725="EX",1,IF(DATOS!$G7725="OR",--(COUNTIFS(nNIA,DATOS!$A7725,nCURSO,DATOS!$D7725,nESPEC,DATOS!$E7725,nASIG,DATOS!$I7725,nEVAL,"EX")=0),0))))</f>
      </c>
      <c r="H7725">
        <f>IF(DATOS!$G7725&lt;&gt;"EX",0,--(COUNTIFS(nNIA,DATOS!$A7725,nCURSO,DATOS!$D7725,nESPEC,DATOS!$E7725,nASIG,DATOS!$I7725,nEVAL,"OR")=0))</f>
      </c>
      <c r="I7725">
        <f>IF(DATOS!$I7725="","",IFERROR(VLOOKUP(DATOS!$I7725,CONFIG_ASIGNATURAS!$B$2:$J$91,9,FALSE()),""))</f>
      </c>
    </row>
    <row r="7726">
      <c r="F7726">
        <f>IF(DATOS!$A7726="","",DATOS!$A7726&amp;"|"&amp;DATOS!$D7726&amp;"|"&amp;DATOS!$E7726&amp;"|"&amp;DATOS!$I7726)</f>
      </c>
      <c r="G7726">
        <f>IF(DATOS!$A7726="",0,IF(CONFIG_METADATA!$B$4&lt;&gt;"OR+EX",--(DATOS!$G7726=CONFIG_METADATA!$B$4),IF(DATOS!$G7726="EX",1,IF(DATOS!$G7726="OR",--(COUNTIFS(nNIA,DATOS!$A7726,nCURSO,DATOS!$D7726,nESPEC,DATOS!$E7726,nASIG,DATOS!$I7726,nEVAL,"EX")=0),0))))</f>
      </c>
      <c r="H7726">
        <f>IF(DATOS!$G7726&lt;&gt;"EX",0,--(COUNTIFS(nNIA,DATOS!$A7726,nCURSO,DATOS!$D7726,nESPEC,DATOS!$E7726,nASIG,DATOS!$I7726,nEVAL,"OR")=0))</f>
      </c>
      <c r="I7726">
        <f>IF(DATOS!$I7726="","",IFERROR(VLOOKUP(DATOS!$I7726,CONFIG_ASIGNATURAS!$B$2:$J$91,9,FALSE()),""))</f>
      </c>
    </row>
    <row r="7727">
      <c r="F7727">
        <f>IF(DATOS!$A7727="","",DATOS!$A7727&amp;"|"&amp;DATOS!$D7727&amp;"|"&amp;DATOS!$E7727&amp;"|"&amp;DATOS!$I7727)</f>
      </c>
      <c r="G7727">
        <f>IF(DATOS!$A7727="",0,IF(CONFIG_METADATA!$B$4&lt;&gt;"OR+EX",--(DATOS!$G7727=CONFIG_METADATA!$B$4),IF(DATOS!$G7727="EX",1,IF(DATOS!$G7727="OR",--(COUNTIFS(nNIA,DATOS!$A7727,nCURSO,DATOS!$D7727,nESPEC,DATOS!$E7727,nASIG,DATOS!$I7727,nEVAL,"EX")=0),0))))</f>
      </c>
      <c r="H7727">
        <f>IF(DATOS!$G7727&lt;&gt;"EX",0,--(COUNTIFS(nNIA,DATOS!$A7727,nCURSO,DATOS!$D7727,nESPEC,DATOS!$E7727,nASIG,DATOS!$I7727,nEVAL,"OR")=0))</f>
      </c>
      <c r="I7727">
        <f>IF(DATOS!$I7727="","",IFERROR(VLOOKUP(DATOS!$I7727,CONFIG_ASIGNATURAS!$B$2:$J$91,9,FALSE()),""))</f>
      </c>
    </row>
    <row r="7728">
      <c r="F7728">
        <f>IF(DATOS!$A7728="","",DATOS!$A7728&amp;"|"&amp;DATOS!$D7728&amp;"|"&amp;DATOS!$E7728&amp;"|"&amp;DATOS!$I7728)</f>
      </c>
      <c r="G7728">
        <f>IF(DATOS!$A7728="",0,IF(CONFIG_METADATA!$B$4&lt;&gt;"OR+EX",--(DATOS!$G7728=CONFIG_METADATA!$B$4),IF(DATOS!$G7728="EX",1,IF(DATOS!$G7728="OR",--(COUNTIFS(nNIA,DATOS!$A7728,nCURSO,DATOS!$D7728,nESPEC,DATOS!$E7728,nASIG,DATOS!$I7728,nEVAL,"EX")=0),0))))</f>
      </c>
      <c r="H7728">
        <f>IF(DATOS!$G7728&lt;&gt;"EX",0,--(COUNTIFS(nNIA,DATOS!$A7728,nCURSO,DATOS!$D7728,nESPEC,DATOS!$E7728,nASIG,DATOS!$I7728,nEVAL,"OR")=0))</f>
      </c>
      <c r="I7728">
        <f>IF(DATOS!$I7728="","",IFERROR(VLOOKUP(DATOS!$I7728,CONFIG_ASIGNATURAS!$B$2:$J$91,9,FALSE()),""))</f>
      </c>
    </row>
    <row r="7729">
      <c r="F7729">
        <f>IF(DATOS!$A7729="","",DATOS!$A7729&amp;"|"&amp;DATOS!$D7729&amp;"|"&amp;DATOS!$E7729&amp;"|"&amp;DATOS!$I7729)</f>
      </c>
      <c r="G7729">
        <f>IF(DATOS!$A7729="",0,IF(CONFIG_METADATA!$B$4&lt;&gt;"OR+EX",--(DATOS!$G7729=CONFIG_METADATA!$B$4),IF(DATOS!$G7729="EX",1,IF(DATOS!$G7729="OR",--(COUNTIFS(nNIA,DATOS!$A7729,nCURSO,DATOS!$D7729,nESPEC,DATOS!$E7729,nASIG,DATOS!$I7729,nEVAL,"EX")=0),0))))</f>
      </c>
      <c r="H7729">
        <f>IF(DATOS!$G7729&lt;&gt;"EX",0,--(COUNTIFS(nNIA,DATOS!$A7729,nCURSO,DATOS!$D7729,nESPEC,DATOS!$E7729,nASIG,DATOS!$I7729,nEVAL,"OR")=0))</f>
      </c>
      <c r="I7729">
        <f>IF(DATOS!$I7729="","",IFERROR(VLOOKUP(DATOS!$I7729,CONFIG_ASIGNATURAS!$B$2:$J$91,9,FALSE()),""))</f>
      </c>
    </row>
    <row r="7730">
      <c r="F7730">
        <f>IF(DATOS!$A7730="","",DATOS!$A7730&amp;"|"&amp;DATOS!$D7730&amp;"|"&amp;DATOS!$E7730&amp;"|"&amp;DATOS!$I7730)</f>
      </c>
      <c r="G7730">
        <f>IF(DATOS!$A7730="",0,IF(CONFIG_METADATA!$B$4&lt;&gt;"OR+EX",--(DATOS!$G7730=CONFIG_METADATA!$B$4),IF(DATOS!$G7730="EX",1,IF(DATOS!$G7730="OR",--(COUNTIFS(nNIA,DATOS!$A7730,nCURSO,DATOS!$D7730,nESPEC,DATOS!$E7730,nASIG,DATOS!$I7730,nEVAL,"EX")=0),0))))</f>
      </c>
      <c r="H7730">
        <f>IF(DATOS!$G7730&lt;&gt;"EX",0,--(COUNTIFS(nNIA,DATOS!$A7730,nCURSO,DATOS!$D7730,nESPEC,DATOS!$E7730,nASIG,DATOS!$I7730,nEVAL,"OR")=0))</f>
      </c>
      <c r="I7730">
        <f>IF(DATOS!$I7730="","",IFERROR(VLOOKUP(DATOS!$I7730,CONFIG_ASIGNATURAS!$B$2:$J$91,9,FALSE()),""))</f>
      </c>
    </row>
    <row r="7731">
      <c r="F7731">
        <f>IF(DATOS!$A7731="","",DATOS!$A7731&amp;"|"&amp;DATOS!$D7731&amp;"|"&amp;DATOS!$E7731&amp;"|"&amp;DATOS!$I7731)</f>
      </c>
      <c r="G7731">
        <f>IF(DATOS!$A7731="",0,IF(CONFIG_METADATA!$B$4&lt;&gt;"OR+EX",--(DATOS!$G7731=CONFIG_METADATA!$B$4),IF(DATOS!$G7731="EX",1,IF(DATOS!$G7731="OR",--(COUNTIFS(nNIA,DATOS!$A7731,nCURSO,DATOS!$D7731,nESPEC,DATOS!$E7731,nASIG,DATOS!$I7731,nEVAL,"EX")=0),0))))</f>
      </c>
      <c r="H7731">
        <f>IF(DATOS!$G7731&lt;&gt;"EX",0,--(COUNTIFS(nNIA,DATOS!$A7731,nCURSO,DATOS!$D7731,nESPEC,DATOS!$E7731,nASIG,DATOS!$I7731,nEVAL,"OR")=0))</f>
      </c>
      <c r="I7731">
        <f>IF(DATOS!$I7731="","",IFERROR(VLOOKUP(DATOS!$I7731,CONFIG_ASIGNATURAS!$B$2:$J$91,9,FALSE()),""))</f>
      </c>
    </row>
    <row r="7732">
      <c r="F7732">
        <f>IF(DATOS!$A7732="","",DATOS!$A7732&amp;"|"&amp;DATOS!$D7732&amp;"|"&amp;DATOS!$E7732&amp;"|"&amp;DATOS!$I7732)</f>
      </c>
      <c r="G7732">
        <f>IF(DATOS!$A7732="",0,IF(CONFIG_METADATA!$B$4&lt;&gt;"OR+EX",--(DATOS!$G7732=CONFIG_METADATA!$B$4),IF(DATOS!$G7732="EX",1,IF(DATOS!$G7732="OR",--(COUNTIFS(nNIA,DATOS!$A7732,nCURSO,DATOS!$D7732,nESPEC,DATOS!$E7732,nASIG,DATOS!$I7732,nEVAL,"EX")=0),0))))</f>
      </c>
      <c r="H7732">
        <f>IF(DATOS!$G7732&lt;&gt;"EX",0,--(COUNTIFS(nNIA,DATOS!$A7732,nCURSO,DATOS!$D7732,nESPEC,DATOS!$E7732,nASIG,DATOS!$I7732,nEVAL,"OR")=0))</f>
      </c>
      <c r="I7732">
        <f>IF(DATOS!$I7732="","",IFERROR(VLOOKUP(DATOS!$I7732,CONFIG_ASIGNATURAS!$B$2:$J$91,9,FALSE()),""))</f>
      </c>
    </row>
    <row r="7733">
      <c r="F7733">
        <f>IF(DATOS!$A7733="","",DATOS!$A7733&amp;"|"&amp;DATOS!$D7733&amp;"|"&amp;DATOS!$E7733&amp;"|"&amp;DATOS!$I7733)</f>
      </c>
      <c r="G7733">
        <f>IF(DATOS!$A7733="",0,IF(CONFIG_METADATA!$B$4&lt;&gt;"OR+EX",--(DATOS!$G7733=CONFIG_METADATA!$B$4),IF(DATOS!$G7733="EX",1,IF(DATOS!$G7733="OR",--(COUNTIFS(nNIA,DATOS!$A7733,nCURSO,DATOS!$D7733,nESPEC,DATOS!$E7733,nASIG,DATOS!$I7733,nEVAL,"EX")=0),0))))</f>
      </c>
      <c r="H7733">
        <f>IF(DATOS!$G7733&lt;&gt;"EX",0,--(COUNTIFS(nNIA,DATOS!$A7733,nCURSO,DATOS!$D7733,nESPEC,DATOS!$E7733,nASIG,DATOS!$I7733,nEVAL,"OR")=0))</f>
      </c>
      <c r="I7733">
        <f>IF(DATOS!$I7733="","",IFERROR(VLOOKUP(DATOS!$I7733,CONFIG_ASIGNATURAS!$B$2:$J$91,9,FALSE()),""))</f>
      </c>
    </row>
    <row r="7734">
      <c r="F7734">
        <f>IF(DATOS!$A7734="","",DATOS!$A7734&amp;"|"&amp;DATOS!$D7734&amp;"|"&amp;DATOS!$E7734&amp;"|"&amp;DATOS!$I7734)</f>
      </c>
      <c r="G7734">
        <f>IF(DATOS!$A7734="",0,IF(CONFIG_METADATA!$B$4&lt;&gt;"OR+EX",--(DATOS!$G7734=CONFIG_METADATA!$B$4),IF(DATOS!$G7734="EX",1,IF(DATOS!$G7734="OR",--(COUNTIFS(nNIA,DATOS!$A7734,nCURSO,DATOS!$D7734,nESPEC,DATOS!$E7734,nASIG,DATOS!$I7734,nEVAL,"EX")=0),0))))</f>
      </c>
      <c r="H7734">
        <f>IF(DATOS!$G7734&lt;&gt;"EX",0,--(COUNTIFS(nNIA,DATOS!$A7734,nCURSO,DATOS!$D7734,nESPEC,DATOS!$E7734,nASIG,DATOS!$I7734,nEVAL,"OR")=0))</f>
      </c>
      <c r="I7734">
        <f>IF(DATOS!$I7734="","",IFERROR(VLOOKUP(DATOS!$I7734,CONFIG_ASIGNATURAS!$B$2:$J$91,9,FALSE()),""))</f>
      </c>
    </row>
    <row r="7735">
      <c r="F7735">
        <f>IF(DATOS!$A7735="","",DATOS!$A7735&amp;"|"&amp;DATOS!$D7735&amp;"|"&amp;DATOS!$E7735&amp;"|"&amp;DATOS!$I7735)</f>
      </c>
      <c r="G7735">
        <f>IF(DATOS!$A7735="",0,IF(CONFIG_METADATA!$B$4&lt;&gt;"OR+EX",--(DATOS!$G7735=CONFIG_METADATA!$B$4),IF(DATOS!$G7735="EX",1,IF(DATOS!$G7735="OR",--(COUNTIFS(nNIA,DATOS!$A7735,nCURSO,DATOS!$D7735,nESPEC,DATOS!$E7735,nASIG,DATOS!$I7735,nEVAL,"EX")=0),0))))</f>
      </c>
      <c r="H7735">
        <f>IF(DATOS!$G7735&lt;&gt;"EX",0,--(COUNTIFS(nNIA,DATOS!$A7735,nCURSO,DATOS!$D7735,nESPEC,DATOS!$E7735,nASIG,DATOS!$I7735,nEVAL,"OR")=0))</f>
      </c>
      <c r="I7735">
        <f>IF(DATOS!$I7735="","",IFERROR(VLOOKUP(DATOS!$I7735,CONFIG_ASIGNATURAS!$B$2:$J$91,9,FALSE()),""))</f>
      </c>
    </row>
    <row r="7736">
      <c r="F7736">
        <f>IF(DATOS!$A7736="","",DATOS!$A7736&amp;"|"&amp;DATOS!$D7736&amp;"|"&amp;DATOS!$E7736&amp;"|"&amp;DATOS!$I7736)</f>
      </c>
      <c r="G7736">
        <f>IF(DATOS!$A7736="",0,IF(CONFIG_METADATA!$B$4&lt;&gt;"OR+EX",--(DATOS!$G7736=CONFIG_METADATA!$B$4),IF(DATOS!$G7736="EX",1,IF(DATOS!$G7736="OR",--(COUNTIFS(nNIA,DATOS!$A7736,nCURSO,DATOS!$D7736,nESPEC,DATOS!$E7736,nASIG,DATOS!$I7736,nEVAL,"EX")=0),0))))</f>
      </c>
      <c r="H7736">
        <f>IF(DATOS!$G7736&lt;&gt;"EX",0,--(COUNTIFS(nNIA,DATOS!$A7736,nCURSO,DATOS!$D7736,nESPEC,DATOS!$E7736,nASIG,DATOS!$I7736,nEVAL,"OR")=0))</f>
      </c>
      <c r="I7736">
        <f>IF(DATOS!$I7736="","",IFERROR(VLOOKUP(DATOS!$I7736,CONFIG_ASIGNATURAS!$B$2:$J$91,9,FALSE()),""))</f>
      </c>
    </row>
    <row r="7737">
      <c r="F7737">
        <f>IF(DATOS!$A7737="","",DATOS!$A7737&amp;"|"&amp;DATOS!$D7737&amp;"|"&amp;DATOS!$E7737&amp;"|"&amp;DATOS!$I7737)</f>
      </c>
      <c r="G7737">
        <f>IF(DATOS!$A7737="",0,IF(CONFIG_METADATA!$B$4&lt;&gt;"OR+EX",--(DATOS!$G7737=CONFIG_METADATA!$B$4),IF(DATOS!$G7737="EX",1,IF(DATOS!$G7737="OR",--(COUNTIFS(nNIA,DATOS!$A7737,nCURSO,DATOS!$D7737,nESPEC,DATOS!$E7737,nASIG,DATOS!$I7737,nEVAL,"EX")=0),0))))</f>
      </c>
      <c r="H7737">
        <f>IF(DATOS!$G7737&lt;&gt;"EX",0,--(COUNTIFS(nNIA,DATOS!$A7737,nCURSO,DATOS!$D7737,nESPEC,DATOS!$E7737,nASIG,DATOS!$I7737,nEVAL,"OR")=0))</f>
      </c>
      <c r="I7737">
        <f>IF(DATOS!$I7737="","",IFERROR(VLOOKUP(DATOS!$I7737,CONFIG_ASIGNATURAS!$B$2:$J$91,9,FALSE()),""))</f>
      </c>
    </row>
    <row r="7738">
      <c r="F7738">
        <f>IF(DATOS!$A7738="","",DATOS!$A7738&amp;"|"&amp;DATOS!$D7738&amp;"|"&amp;DATOS!$E7738&amp;"|"&amp;DATOS!$I7738)</f>
      </c>
      <c r="G7738">
        <f>IF(DATOS!$A7738="",0,IF(CONFIG_METADATA!$B$4&lt;&gt;"OR+EX",--(DATOS!$G7738=CONFIG_METADATA!$B$4),IF(DATOS!$G7738="EX",1,IF(DATOS!$G7738="OR",--(COUNTIFS(nNIA,DATOS!$A7738,nCURSO,DATOS!$D7738,nESPEC,DATOS!$E7738,nASIG,DATOS!$I7738,nEVAL,"EX")=0),0))))</f>
      </c>
      <c r="H7738">
        <f>IF(DATOS!$G7738&lt;&gt;"EX",0,--(COUNTIFS(nNIA,DATOS!$A7738,nCURSO,DATOS!$D7738,nESPEC,DATOS!$E7738,nASIG,DATOS!$I7738,nEVAL,"OR")=0))</f>
      </c>
      <c r="I7738">
        <f>IF(DATOS!$I7738="","",IFERROR(VLOOKUP(DATOS!$I7738,CONFIG_ASIGNATURAS!$B$2:$J$91,9,FALSE()),""))</f>
      </c>
    </row>
    <row r="7739">
      <c r="F7739">
        <f>IF(DATOS!$A7739="","",DATOS!$A7739&amp;"|"&amp;DATOS!$D7739&amp;"|"&amp;DATOS!$E7739&amp;"|"&amp;DATOS!$I7739)</f>
      </c>
      <c r="G7739">
        <f>IF(DATOS!$A7739="",0,IF(CONFIG_METADATA!$B$4&lt;&gt;"OR+EX",--(DATOS!$G7739=CONFIG_METADATA!$B$4),IF(DATOS!$G7739="EX",1,IF(DATOS!$G7739="OR",--(COUNTIFS(nNIA,DATOS!$A7739,nCURSO,DATOS!$D7739,nESPEC,DATOS!$E7739,nASIG,DATOS!$I7739,nEVAL,"EX")=0),0))))</f>
      </c>
      <c r="H7739">
        <f>IF(DATOS!$G7739&lt;&gt;"EX",0,--(COUNTIFS(nNIA,DATOS!$A7739,nCURSO,DATOS!$D7739,nESPEC,DATOS!$E7739,nASIG,DATOS!$I7739,nEVAL,"OR")=0))</f>
      </c>
      <c r="I7739">
        <f>IF(DATOS!$I7739="","",IFERROR(VLOOKUP(DATOS!$I7739,CONFIG_ASIGNATURAS!$B$2:$J$91,9,FALSE()),""))</f>
      </c>
    </row>
    <row r="7740">
      <c r="F7740">
        <f>IF(DATOS!$A7740="","",DATOS!$A7740&amp;"|"&amp;DATOS!$D7740&amp;"|"&amp;DATOS!$E7740&amp;"|"&amp;DATOS!$I7740)</f>
      </c>
      <c r="G7740">
        <f>IF(DATOS!$A7740="",0,IF(CONFIG_METADATA!$B$4&lt;&gt;"OR+EX",--(DATOS!$G7740=CONFIG_METADATA!$B$4),IF(DATOS!$G7740="EX",1,IF(DATOS!$G7740="OR",--(COUNTIFS(nNIA,DATOS!$A7740,nCURSO,DATOS!$D7740,nESPEC,DATOS!$E7740,nASIG,DATOS!$I7740,nEVAL,"EX")=0),0))))</f>
      </c>
      <c r="H7740">
        <f>IF(DATOS!$G7740&lt;&gt;"EX",0,--(COUNTIFS(nNIA,DATOS!$A7740,nCURSO,DATOS!$D7740,nESPEC,DATOS!$E7740,nASIG,DATOS!$I7740,nEVAL,"OR")=0))</f>
      </c>
      <c r="I7740">
        <f>IF(DATOS!$I7740="","",IFERROR(VLOOKUP(DATOS!$I7740,CONFIG_ASIGNATURAS!$B$2:$J$91,9,FALSE()),""))</f>
      </c>
    </row>
    <row r="7741">
      <c r="F7741">
        <f>IF(DATOS!$A7741="","",DATOS!$A7741&amp;"|"&amp;DATOS!$D7741&amp;"|"&amp;DATOS!$E7741&amp;"|"&amp;DATOS!$I7741)</f>
      </c>
      <c r="G7741">
        <f>IF(DATOS!$A7741="",0,IF(CONFIG_METADATA!$B$4&lt;&gt;"OR+EX",--(DATOS!$G7741=CONFIG_METADATA!$B$4),IF(DATOS!$G7741="EX",1,IF(DATOS!$G7741="OR",--(COUNTIFS(nNIA,DATOS!$A7741,nCURSO,DATOS!$D7741,nESPEC,DATOS!$E7741,nASIG,DATOS!$I7741,nEVAL,"EX")=0),0))))</f>
      </c>
      <c r="H7741">
        <f>IF(DATOS!$G7741&lt;&gt;"EX",0,--(COUNTIFS(nNIA,DATOS!$A7741,nCURSO,DATOS!$D7741,nESPEC,DATOS!$E7741,nASIG,DATOS!$I7741,nEVAL,"OR")=0))</f>
      </c>
      <c r="I7741">
        <f>IF(DATOS!$I7741="","",IFERROR(VLOOKUP(DATOS!$I7741,CONFIG_ASIGNATURAS!$B$2:$J$91,9,FALSE()),""))</f>
      </c>
    </row>
    <row r="7742">
      <c r="F7742">
        <f>IF(DATOS!$A7742="","",DATOS!$A7742&amp;"|"&amp;DATOS!$D7742&amp;"|"&amp;DATOS!$E7742&amp;"|"&amp;DATOS!$I7742)</f>
      </c>
      <c r="G7742">
        <f>IF(DATOS!$A7742="",0,IF(CONFIG_METADATA!$B$4&lt;&gt;"OR+EX",--(DATOS!$G7742=CONFIG_METADATA!$B$4),IF(DATOS!$G7742="EX",1,IF(DATOS!$G7742="OR",--(COUNTIFS(nNIA,DATOS!$A7742,nCURSO,DATOS!$D7742,nESPEC,DATOS!$E7742,nASIG,DATOS!$I7742,nEVAL,"EX")=0),0))))</f>
      </c>
      <c r="H7742">
        <f>IF(DATOS!$G7742&lt;&gt;"EX",0,--(COUNTIFS(nNIA,DATOS!$A7742,nCURSO,DATOS!$D7742,nESPEC,DATOS!$E7742,nASIG,DATOS!$I7742,nEVAL,"OR")=0))</f>
      </c>
      <c r="I7742">
        <f>IF(DATOS!$I7742="","",IFERROR(VLOOKUP(DATOS!$I7742,CONFIG_ASIGNATURAS!$B$2:$J$91,9,FALSE()),""))</f>
      </c>
    </row>
    <row r="7743">
      <c r="F7743">
        <f>IF(DATOS!$A7743="","",DATOS!$A7743&amp;"|"&amp;DATOS!$D7743&amp;"|"&amp;DATOS!$E7743&amp;"|"&amp;DATOS!$I7743)</f>
      </c>
      <c r="G7743">
        <f>IF(DATOS!$A7743="",0,IF(CONFIG_METADATA!$B$4&lt;&gt;"OR+EX",--(DATOS!$G7743=CONFIG_METADATA!$B$4),IF(DATOS!$G7743="EX",1,IF(DATOS!$G7743="OR",--(COUNTIFS(nNIA,DATOS!$A7743,nCURSO,DATOS!$D7743,nESPEC,DATOS!$E7743,nASIG,DATOS!$I7743,nEVAL,"EX")=0),0))))</f>
      </c>
      <c r="H7743">
        <f>IF(DATOS!$G7743&lt;&gt;"EX",0,--(COUNTIFS(nNIA,DATOS!$A7743,nCURSO,DATOS!$D7743,nESPEC,DATOS!$E7743,nASIG,DATOS!$I7743,nEVAL,"OR")=0))</f>
      </c>
      <c r="I7743">
        <f>IF(DATOS!$I7743="","",IFERROR(VLOOKUP(DATOS!$I7743,CONFIG_ASIGNATURAS!$B$2:$J$91,9,FALSE()),""))</f>
      </c>
    </row>
    <row r="7744">
      <c r="F7744">
        <f>IF(DATOS!$A7744="","",DATOS!$A7744&amp;"|"&amp;DATOS!$D7744&amp;"|"&amp;DATOS!$E7744&amp;"|"&amp;DATOS!$I7744)</f>
      </c>
      <c r="G7744">
        <f>IF(DATOS!$A7744="",0,IF(CONFIG_METADATA!$B$4&lt;&gt;"OR+EX",--(DATOS!$G7744=CONFIG_METADATA!$B$4),IF(DATOS!$G7744="EX",1,IF(DATOS!$G7744="OR",--(COUNTIFS(nNIA,DATOS!$A7744,nCURSO,DATOS!$D7744,nESPEC,DATOS!$E7744,nASIG,DATOS!$I7744,nEVAL,"EX")=0),0))))</f>
      </c>
      <c r="H7744">
        <f>IF(DATOS!$G7744&lt;&gt;"EX",0,--(COUNTIFS(nNIA,DATOS!$A7744,nCURSO,DATOS!$D7744,nESPEC,DATOS!$E7744,nASIG,DATOS!$I7744,nEVAL,"OR")=0))</f>
      </c>
      <c r="I7744">
        <f>IF(DATOS!$I7744="","",IFERROR(VLOOKUP(DATOS!$I7744,CONFIG_ASIGNATURAS!$B$2:$J$91,9,FALSE()),""))</f>
      </c>
    </row>
    <row r="7745">
      <c r="F7745">
        <f>IF(DATOS!$A7745="","",DATOS!$A7745&amp;"|"&amp;DATOS!$D7745&amp;"|"&amp;DATOS!$E7745&amp;"|"&amp;DATOS!$I7745)</f>
      </c>
      <c r="G7745">
        <f>IF(DATOS!$A7745="",0,IF(CONFIG_METADATA!$B$4&lt;&gt;"OR+EX",--(DATOS!$G7745=CONFIG_METADATA!$B$4),IF(DATOS!$G7745="EX",1,IF(DATOS!$G7745="OR",--(COUNTIFS(nNIA,DATOS!$A7745,nCURSO,DATOS!$D7745,nESPEC,DATOS!$E7745,nASIG,DATOS!$I7745,nEVAL,"EX")=0),0))))</f>
      </c>
      <c r="H7745">
        <f>IF(DATOS!$G7745&lt;&gt;"EX",0,--(COUNTIFS(nNIA,DATOS!$A7745,nCURSO,DATOS!$D7745,nESPEC,DATOS!$E7745,nASIG,DATOS!$I7745,nEVAL,"OR")=0))</f>
      </c>
      <c r="I7745">
        <f>IF(DATOS!$I7745="","",IFERROR(VLOOKUP(DATOS!$I7745,CONFIG_ASIGNATURAS!$B$2:$J$91,9,FALSE()),""))</f>
      </c>
    </row>
    <row r="7746">
      <c r="F7746">
        <f>IF(DATOS!$A7746="","",DATOS!$A7746&amp;"|"&amp;DATOS!$D7746&amp;"|"&amp;DATOS!$E7746&amp;"|"&amp;DATOS!$I7746)</f>
      </c>
      <c r="G7746">
        <f>IF(DATOS!$A7746="",0,IF(CONFIG_METADATA!$B$4&lt;&gt;"OR+EX",--(DATOS!$G7746=CONFIG_METADATA!$B$4),IF(DATOS!$G7746="EX",1,IF(DATOS!$G7746="OR",--(COUNTIFS(nNIA,DATOS!$A7746,nCURSO,DATOS!$D7746,nESPEC,DATOS!$E7746,nASIG,DATOS!$I7746,nEVAL,"EX")=0),0))))</f>
      </c>
      <c r="H7746">
        <f>IF(DATOS!$G7746&lt;&gt;"EX",0,--(COUNTIFS(nNIA,DATOS!$A7746,nCURSO,DATOS!$D7746,nESPEC,DATOS!$E7746,nASIG,DATOS!$I7746,nEVAL,"OR")=0))</f>
      </c>
      <c r="I7746">
        <f>IF(DATOS!$I7746="","",IFERROR(VLOOKUP(DATOS!$I7746,CONFIG_ASIGNATURAS!$B$2:$J$91,9,FALSE()),""))</f>
      </c>
    </row>
    <row r="7747">
      <c r="F7747">
        <f>IF(DATOS!$A7747="","",DATOS!$A7747&amp;"|"&amp;DATOS!$D7747&amp;"|"&amp;DATOS!$E7747&amp;"|"&amp;DATOS!$I7747)</f>
      </c>
      <c r="G7747">
        <f>IF(DATOS!$A7747="",0,IF(CONFIG_METADATA!$B$4&lt;&gt;"OR+EX",--(DATOS!$G7747=CONFIG_METADATA!$B$4),IF(DATOS!$G7747="EX",1,IF(DATOS!$G7747="OR",--(COUNTIFS(nNIA,DATOS!$A7747,nCURSO,DATOS!$D7747,nESPEC,DATOS!$E7747,nASIG,DATOS!$I7747,nEVAL,"EX")=0),0))))</f>
      </c>
      <c r="H7747">
        <f>IF(DATOS!$G7747&lt;&gt;"EX",0,--(COUNTIFS(nNIA,DATOS!$A7747,nCURSO,DATOS!$D7747,nESPEC,DATOS!$E7747,nASIG,DATOS!$I7747,nEVAL,"OR")=0))</f>
      </c>
      <c r="I7747">
        <f>IF(DATOS!$I7747="","",IFERROR(VLOOKUP(DATOS!$I7747,CONFIG_ASIGNATURAS!$B$2:$J$91,9,FALSE()),""))</f>
      </c>
    </row>
    <row r="7748">
      <c r="F7748">
        <f>IF(DATOS!$A7748="","",DATOS!$A7748&amp;"|"&amp;DATOS!$D7748&amp;"|"&amp;DATOS!$E7748&amp;"|"&amp;DATOS!$I7748)</f>
      </c>
      <c r="G7748">
        <f>IF(DATOS!$A7748="",0,IF(CONFIG_METADATA!$B$4&lt;&gt;"OR+EX",--(DATOS!$G7748=CONFIG_METADATA!$B$4),IF(DATOS!$G7748="EX",1,IF(DATOS!$G7748="OR",--(COUNTIFS(nNIA,DATOS!$A7748,nCURSO,DATOS!$D7748,nESPEC,DATOS!$E7748,nASIG,DATOS!$I7748,nEVAL,"EX")=0),0))))</f>
      </c>
      <c r="H7748">
        <f>IF(DATOS!$G7748&lt;&gt;"EX",0,--(COUNTIFS(nNIA,DATOS!$A7748,nCURSO,DATOS!$D7748,nESPEC,DATOS!$E7748,nASIG,DATOS!$I7748,nEVAL,"OR")=0))</f>
      </c>
      <c r="I7748">
        <f>IF(DATOS!$I7748="","",IFERROR(VLOOKUP(DATOS!$I7748,CONFIG_ASIGNATURAS!$B$2:$J$91,9,FALSE()),""))</f>
      </c>
    </row>
    <row r="7749">
      <c r="F7749">
        <f>IF(DATOS!$A7749="","",DATOS!$A7749&amp;"|"&amp;DATOS!$D7749&amp;"|"&amp;DATOS!$E7749&amp;"|"&amp;DATOS!$I7749)</f>
      </c>
      <c r="G7749">
        <f>IF(DATOS!$A7749="",0,IF(CONFIG_METADATA!$B$4&lt;&gt;"OR+EX",--(DATOS!$G7749=CONFIG_METADATA!$B$4),IF(DATOS!$G7749="EX",1,IF(DATOS!$G7749="OR",--(COUNTIFS(nNIA,DATOS!$A7749,nCURSO,DATOS!$D7749,nESPEC,DATOS!$E7749,nASIG,DATOS!$I7749,nEVAL,"EX")=0),0))))</f>
      </c>
      <c r="H7749">
        <f>IF(DATOS!$G7749&lt;&gt;"EX",0,--(COUNTIFS(nNIA,DATOS!$A7749,nCURSO,DATOS!$D7749,nESPEC,DATOS!$E7749,nASIG,DATOS!$I7749,nEVAL,"OR")=0))</f>
      </c>
      <c r="I7749">
        <f>IF(DATOS!$I7749="","",IFERROR(VLOOKUP(DATOS!$I7749,CONFIG_ASIGNATURAS!$B$2:$J$91,9,FALSE()),""))</f>
      </c>
    </row>
    <row r="7750">
      <c r="F7750">
        <f>IF(DATOS!$A7750="","",DATOS!$A7750&amp;"|"&amp;DATOS!$D7750&amp;"|"&amp;DATOS!$E7750&amp;"|"&amp;DATOS!$I7750)</f>
      </c>
      <c r="G7750">
        <f>IF(DATOS!$A7750="",0,IF(CONFIG_METADATA!$B$4&lt;&gt;"OR+EX",--(DATOS!$G7750=CONFIG_METADATA!$B$4),IF(DATOS!$G7750="EX",1,IF(DATOS!$G7750="OR",--(COUNTIFS(nNIA,DATOS!$A7750,nCURSO,DATOS!$D7750,nESPEC,DATOS!$E7750,nASIG,DATOS!$I7750,nEVAL,"EX")=0),0))))</f>
      </c>
      <c r="H7750">
        <f>IF(DATOS!$G7750&lt;&gt;"EX",0,--(COUNTIFS(nNIA,DATOS!$A7750,nCURSO,DATOS!$D7750,nESPEC,DATOS!$E7750,nASIG,DATOS!$I7750,nEVAL,"OR")=0))</f>
      </c>
      <c r="I7750">
        <f>IF(DATOS!$I7750="","",IFERROR(VLOOKUP(DATOS!$I7750,CONFIG_ASIGNATURAS!$B$2:$J$91,9,FALSE()),""))</f>
      </c>
    </row>
    <row r="7751">
      <c r="F7751">
        <f>IF(DATOS!$A7751="","",DATOS!$A7751&amp;"|"&amp;DATOS!$D7751&amp;"|"&amp;DATOS!$E7751&amp;"|"&amp;DATOS!$I7751)</f>
      </c>
      <c r="G7751">
        <f>IF(DATOS!$A7751="",0,IF(CONFIG_METADATA!$B$4&lt;&gt;"OR+EX",--(DATOS!$G7751=CONFIG_METADATA!$B$4),IF(DATOS!$G7751="EX",1,IF(DATOS!$G7751="OR",--(COUNTIFS(nNIA,DATOS!$A7751,nCURSO,DATOS!$D7751,nESPEC,DATOS!$E7751,nASIG,DATOS!$I7751,nEVAL,"EX")=0),0))))</f>
      </c>
      <c r="H7751">
        <f>IF(DATOS!$G7751&lt;&gt;"EX",0,--(COUNTIFS(nNIA,DATOS!$A7751,nCURSO,DATOS!$D7751,nESPEC,DATOS!$E7751,nASIG,DATOS!$I7751,nEVAL,"OR")=0))</f>
      </c>
      <c r="I7751">
        <f>IF(DATOS!$I7751="","",IFERROR(VLOOKUP(DATOS!$I7751,CONFIG_ASIGNATURAS!$B$2:$J$91,9,FALSE()),""))</f>
      </c>
    </row>
    <row r="7752">
      <c r="F7752">
        <f>IF(DATOS!$A7752="","",DATOS!$A7752&amp;"|"&amp;DATOS!$D7752&amp;"|"&amp;DATOS!$E7752&amp;"|"&amp;DATOS!$I7752)</f>
      </c>
      <c r="G7752">
        <f>IF(DATOS!$A7752="",0,IF(CONFIG_METADATA!$B$4&lt;&gt;"OR+EX",--(DATOS!$G7752=CONFIG_METADATA!$B$4),IF(DATOS!$G7752="EX",1,IF(DATOS!$G7752="OR",--(COUNTIFS(nNIA,DATOS!$A7752,nCURSO,DATOS!$D7752,nESPEC,DATOS!$E7752,nASIG,DATOS!$I7752,nEVAL,"EX")=0),0))))</f>
      </c>
      <c r="H7752">
        <f>IF(DATOS!$G7752&lt;&gt;"EX",0,--(COUNTIFS(nNIA,DATOS!$A7752,nCURSO,DATOS!$D7752,nESPEC,DATOS!$E7752,nASIG,DATOS!$I7752,nEVAL,"OR")=0))</f>
      </c>
      <c r="I7752">
        <f>IF(DATOS!$I7752="","",IFERROR(VLOOKUP(DATOS!$I7752,CONFIG_ASIGNATURAS!$B$2:$J$91,9,FALSE()),""))</f>
      </c>
    </row>
    <row r="7753">
      <c r="F7753">
        <f>IF(DATOS!$A7753="","",DATOS!$A7753&amp;"|"&amp;DATOS!$D7753&amp;"|"&amp;DATOS!$E7753&amp;"|"&amp;DATOS!$I7753)</f>
      </c>
      <c r="G7753">
        <f>IF(DATOS!$A7753="",0,IF(CONFIG_METADATA!$B$4&lt;&gt;"OR+EX",--(DATOS!$G7753=CONFIG_METADATA!$B$4),IF(DATOS!$G7753="EX",1,IF(DATOS!$G7753="OR",--(COUNTIFS(nNIA,DATOS!$A7753,nCURSO,DATOS!$D7753,nESPEC,DATOS!$E7753,nASIG,DATOS!$I7753,nEVAL,"EX")=0),0))))</f>
      </c>
      <c r="H7753">
        <f>IF(DATOS!$G7753&lt;&gt;"EX",0,--(COUNTIFS(nNIA,DATOS!$A7753,nCURSO,DATOS!$D7753,nESPEC,DATOS!$E7753,nASIG,DATOS!$I7753,nEVAL,"OR")=0))</f>
      </c>
      <c r="I7753">
        <f>IF(DATOS!$I7753="","",IFERROR(VLOOKUP(DATOS!$I7753,CONFIG_ASIGNATURAS!$B$2:$J$91,9,FALSE()),""))</f>
      </c>
    </row>
    <row r="7754">
      <c r="F7754">
        <f>IF(DATOS!$A7754="","",DATOS!$A7754&amp;"|"&amp;DATOS!$D7754&amp;"|"&amp;DATOS!$E7754&amp;"|"&amp;DATOS!$I7754)</f>
      </c>
      <c r="G7754">
        <f>IF(DATOS!$A7754="",0,IF(CONFIG_METADATA!$B$4&lt;&gt;"OR+EX",--(DATOS!$G7754=CONFIG_METADATA!$B$4),IF(DATOS!$G7754="EX",1,IF(DATOS!$G7754="OR",--(COUNTIFS(nNIA,DATOS!$A7754,nCURSO,DATOS!$D7754,nESPEC,DATOS!$E7754,nASIG,DATOS!$I7754,nEVAL,"EX")=0),0))))</f>
      </c>
      <c r="H7754">
        <f>IF(DATOS!$G7754&lt;&gt;"EX",0,--(COUNTIFS(nNIA,DATOS!$A7754,nCURSO,DATOS!$D7754,nESPEC,DATOS!$E7754,nASIG,DATOS!$I7754,nEVAL,"OR")=0))</f>
      </c>
      <c r="I7754">
        <f>IF(DATOS!$I7754="","",IFERROR(VLOOKUP(DATOS!$I7754,CONFIG_ASIGNATURAS!$B$2:$J$91,9,FALSE()),""))</f>
      </c>
    </row>
    <row r="7755">
      <c r="F7755">
        <f>IF(DATOS!$A7755="","",DATOS!$A7755&amp;"|"&amp;DATOS!$D7755&amp;"|"&amp;DATOS!$E7755&amp;"|"&amp;DATOS!$I7755)</f>
      </c>
      <c r="G7755">
        <f>IF(DATOS!$A7755="",0,IF(CONFIG_METADATA!$B$4&lt;&gt;"OR+EX",--(DATOS!$G7755=CONFIG_METADATA!$B$4),IF(DATOS!$G7755="EX",1,IF(DATOS!$G7755="OR",--(COUNTIFS(nNIA,DATOS!$A7755,nCURSO,DATOS!$D7755,nESPEC,DATOS!$E7755,nASIG,DATOS!$I7755,nEVAL,"EX")=0),0))))</f>
      </c>
      <c r="H7755">
        <f>IF(DATOS!$G7755&lt;&gt;"EX",0,--(COUNTIFS(nNIA,DATOS!$A7755,nCURSO,DATOS!$D7755,nESPEC,DATOS!$E7755,nASIG,DATOS!$I7755,nEVAL,"OR")=0))</f>
      </c>
      <c r="I7755">
        <f>IF(DATOS!$I7755="","",IFERROR(VLOOKUP(DATOS!$I7755,CONFIG_ASIGNATURAS!$B$2:$J$91,9,FALSE()),""))</f>
      </c>
    </row>
    <row r="7756">
      <c r="F7756">
        <f>IF(DATOS!$A7756="","",DATOS!$A7756&amp;"|"&amp;DATOS!$D7756&amp;"|"&amp;DATOS!$E7756&amp;"|"&amp;DATOS!$I7756)</f>
      </c>
      <c r="G7756">
        <f>IF(DATOS!$A7756="",0,IF(CONFIG_METADATA!$B$4&lt;&gt;"OR+EX",--(DATOS!$G7756=CONFIG_METADATA!$B$4),IF(DATOS!$G7756="EX",1,IF(DATOS!$G7756="OR",--(COUNTIFS(nNIA,DATOS!$A7756,nCURSO,DATOS!$D7756,nESPEC,DATOS!$E7756,nASIG,DATOS!$I7756,nEVAL,"EX")=0),0))))</f>
      </c>
      <c r="H7756">
        <f>IF(DATOS!$G7756&lt;&gt;"EX",0,--(COUNTIFS(nNIA,DATOS!$A7756,nCURSO,DATOS!$D7756,nESPEC,DATOS!$E7756,nASIG,DATOS!$I7756,nEVAL,"OR")=0))</f>
      </c>
      <c r="I7756">
        <f>IF(DATOS!$I7756="","",IFERROR(VLOOKUP(DATOS!$I7756,CONFIG_ASIGNATURAS!$B$2:$J$91,9,FALSE()),""))</f>
      </c>
    </row>
    <row r="7757">
      <c r="F7757">
        <f>IF(DATOS!$A7757="","",DATOS!$A7757&amp;"|"&amp;DATOS!$D7757&amp;"|"&amp;DATOS!$E7757&amp;"|"&amp;DATOS!$I7757)</f>
      </c>
      <c r="G7757">
        <f>IF(DATOS!$A7757="",0,IF(CONFIG_METADATA!$B$4&lt;&gt;"OR+EX",--(DATOS!$G7757=CONFIG_METADATA!$B$4),IF(DATOS!$G7757="EX",1,IF(DATOS!$G7757="OR",--(COUNTIFS(nNIA,DATOS!$A7757,nCURSO,DATOS!$D7757,nESPEC,DATOS!$E7757,nASIG,DATOS!$I7757,nEVAL,"EX")=0),0))))</f>
      </c>
      <c r="H7757">
        <f>IF(DATOS!$G7757&lt;&gt;"EX",0,--(COUNTIFS(nNIA,DATOS!$A7757,nCURSO,DATOS!$D7757,nESPEC,DATOS!$E7757,nASIG,DATOS!$I7757,nEVAL,"OR")=0))</f>
      </c>
      <c r="I7757">
        <f>IF(DATOS!$I7757="","",IFERROR(VLOOKUP(DATOS!$I7757,CONFIG_ASIGNATURAS!$B$2:$J$91,9,FALSE()),""))</f>
      </c>
    </row>
    <row r="7758">
      <c r="F7758">
        <f>IF(DATOS!$A7758="","",DATOS!$A7758&amp;"|"&amp;DATOS!$D7758&amp;"|"&amp;DATOS!$E7758&amp;"|"&amp;DATOS!$I7758)</f>
      </c>
      <c r="G7758">
        <f>IF(DATOS!$A7758="",0,IF(CONFIG_METADATA!$B$4&lt;&gt;"OR+EX",--(DATOS!$G7758=CONFIG_METADATA!$B$4),IF(DATOS!$G7758="EX",1,IF(DATOS!$G7758="OR",--(COUNTIFS(nNIA,DATOS!$A7758,nCURSO,DATOS!$D7758,nESPEC,DATOS!$E7758,nASIG,DATOS!$I7758,nEVAL,"EX")=0),0))))</f>
      </c>
      <c r="H7758">
        <f>IF(DATOS!$G7758&lt;&gt;"EX",0,--(COUNTIFS(nNIA,DATOS!$A7758,nCURSO,DATOS!$D7758,nESPEC,DATOS!$E7758,nASIG,DATOS!$I7758,nEVAL,"OR")=0))</f>
      </c>
      <c r="I7758">
        <f>IF(DATOS!$I7758="","",IFERROR(VLOOKUP(DATOS!$I7758,CONFIG_ASIGNATURAS!$B$2:$J$91,9,FALSE()),""))</f>
      </c>
    </row>
    <row r="7759">
      <c r="F7759">
        <f>IF(DATOS!$A7759="","",DATOS!$A7759&amp;"|"&amp;DATOS!$D7759&amp;"|"&amp;DATOS!$E7759&amp;"|"&amp;DATOS!$I7759)</f>
      </c>
      <c r="G7759">
        <f>IF(DATOS!$A7759="",0,IF(CONFIG_METADATA!$B$4&lt;&gt;"OR+EX",--(DATOS!$G7759=CONFIG_METADATA!$B$4),IF(DATOS!$G7759="EX",1,IF(DATOS!$G7759="OR",--(COUNTIFS(nNIA,DATOS!$A7759,nCURSO,DATOS!$D7759,nESPEC,DATOS!$E7759,nASIG,DATOS!$I7759,nEVAL,"EX")=0),0))))</f>
      </c>
      <c r="H7759">
        <f>IF(DATOS!$G7759&lt;&gt;"EX",0,--(COUNTIFS(nNIA,DATOS!$A7759,nCURSO,DATOS!$D7759,nESPEC,DATOS!$E7759,nASIG,DATOS!$I7759,nEVAL,"OR")=0))</f>
      </c>
      <c r="I7759">
        <f>IF(DATOS!$I7759="","",IFERROR(VLOOKUP(DATOS!$I7759,CONFIG_ASIGNATURAS!$B$2:$J$91,9,FALSE()),""))</f>
      </c>
    </row>
    <row r="7760">
      <c r="F7760">
        <f>IF(DATOS!$A7760="","",DATOS!$A7760&amp;"|"&amp;DATOS!$D7760&amp;"|"&amp;DATOS!$E7760&amp;"|"&amp;DATOS!$I7760)</f>
      </c>
      <c r="G7760">
        <f>IF(DATOS!$A7760="",0,IF(CONFIG_METADATA!$B$4&lt;&gt;"OR+EX",--(DATOS!$G7760=CONFIG_METADATA!$B$4),IF(DATOS!$G7760="EX",1,IF(DATOS!$G7760="OR",--(COUNTIFS(nNIA,DATOS!$A7760,nCURSO,DATOS!$D7760,nESPEC,DATOS!$E7760,nASIG,DATOS!$I7760,nEVAL,"EX")=0),0))))</f>
      </c>
      <c r="H7760">
        <f>IF(DATOS!$G7760&lt;&gt;"EX",0,--(COUNTIFS(nNIA,DATOS!$A7760,nCURSO,DATOS!$D7760,nESPEC,DATOS!$E7760,nASIG,DATOS!$I7760,nEVAL,"OR")=0))</f>
      </c>
      <c r="I7760">
        <f>IF(DATOS!$I7760="","",IFERROR(VLOOKUP(DATOS!$I7760,CONFIG_ASIGNATURAS!$B$2:$J$91,9,FALSE()),""))</f>
      </c>
    </row>
    <row r="7761">
      <c r="F7761">
        <f>IF(DATOS!$A7761="","",DATOS!$A7761&amp;"|"&amp;DATOS!$D7761&amp;"|"&amp;DATOS!$E7761&amp;"|"&amp;DATOS!$I7761)</f>
      </c>
      <c r="G7761">
        <f>IF(DATOS!$A7761="",0,IF(CONFIG_METADATA!$B$4&lt;&gt;"OR+EX",--(DATOS!$G7761=CONFIG_METADATA!$B$4),IF(DATOS!$G7761="EX",1,IF(DATOS!$G7761="OR",--(COUNTIFS(nNIA,DATOS!$A7761,nCURSO,DATOS!$D7761,nESPEC,DATOS!$E7761,nASIG,DATOS!$I7761,nEVAL,"EX")=0),0))))</f>
      </c>
      <c r="H7761">
        <f>IF(DATOS!$G7761&lt;&gt;"EX",0,--(COUNTIFS(nNIA,DATOS!$A7761,nCURSO,DATOS!$D7761,nESPEC,DATOS!$E7761,nASIG,DATOS!$I7761,nEVAL,"OR")=0))</f>
      </c>
      <c r="I7761">
        <f>IF(DATOS!$I7761="","",IFERROR(VLOOKUP(DATOS!$I7761,CONFIG_ASIGNATURAS!$B$2:$J$91,9,FALSE()),""))</f>
      </c>
    </row>
    <row r="7762">
      <c r="F7762">
        <f>IF(DATOS!$A7762="","",DATOS!$A7762&amp;"|"&amp;DATOS!$D7762&amp;"|"&amp;DATOS!$E7762&amp;"|"&amp;DATOS!$I7762)</f>
      </c>
      <c r="G7762">
        <f>IF(DATOS!$A7762="",0,IF(CONFIG_METADATA!$B$4&lt;&gt;"OR+EX",--(DATOS!$G7762=CONFIG_METADATA!$B$4),IF(DATOS!$G7762="EX",1,IF(DATOS!$G7762="OR",--(COUNTIFS(nNIA,DATOS!$A7762,nCURSO,DATOS!$D7762,nESPEC,DATOS!$E7762,nASIG,DATOS!$I7762,nEVAL,"EX")=0),0))))</f>
      </c>
      <c r="H7762">
        <f>IF(DATOS!$G7762&lt;&gt;"EX",0,--(COUNTIFS(nNIA,DATOS!$A7762,nCURSO,DATOS!$D7762,nESPEC,DATOS!$E7762,nASIG,DATOS!$I7762,nEVAL,"OR")=0))</f>
      </c>
      <c r="I7762">
        <f>IF(DATOS!$I7762="","",IFERROR(VLOOKUP(DATOS!$I7762,CONFIG_ASIGNATURAS!$B$2:$J$91,9,FALSE()),""))</f>
      </c>
    </row>
    <row r="7763">
      <c r="F7763">
        <f>IF(DATOS!$A7763="","",DATOS!$A7763&amp;"|"&amp;DATOS!$D7763&amp;"|"&amp;DATOS!$E7763&amp;"|"&amp;DATOS!$I7763)</f>
      </c>
      <c r="G7763">
        <f>IF(DATOS!$A7763="",0,IF(CONFIG_METADATA!$B$4&lt;&gt;"OR+EX",--(DATOS!$G7763=CONFIG_METADATA!$B$4),IF(DATOS!$G7763="EX",1,IF(DATOS!$G7763="OR",--(COUNTIFS(nNIA,DATOS!$A7763,nCURSO,DATOS!$D7763,nESPEC,DATOS!$E7763,nASIG,DATOS!$I7763,nEVAL,"EX")=0),0))))</f>
      </c>
      <c r="H7763">
        <f>IF(DATOS!$G7763&lt;&gt;"EX",0,--(COUNTIFS(nNIA,DATOS!$A7763,nCURSO,DATOS!$D7763,nESPEC,DATOS!$E7763,nASIG,DATOS!$I7763,nEVAL,"OR")=0))</f>
      </c>
      <c r="I7763">
        <f>IF(DATOS!$I7763="","",IFERROR(VLOOKUP(DATOS!$I7763,CONFIG_ASIGNATURAS!$B$2:$J$91,9,FALSE()),""))</f>
      </c>
    </row>
    <row r="7764">
      <c r="F7764">
        <f>IF(DATOS!$A7764="","",DATOS!$A7764&amp;"|"&amp;DATOS!$D7764&amp;"|"&amp;DATOS!$E7764&amp;"|"&amp;DATOS!$I7764)</f>
      </c>
      <c r="G7764">
        <f>IF(DATOS!$A7764="",0,IF(CONFIG_METADATA!$B$4&lt;&gt;"OR+EX",--(DATOS!$G7764=CONFIG_METADATA!$B$4),IF(DATOS!$G7764="EX",1,IF(DATOS!$G7764="OR",--(COUNTIFS(nNIA,DATOS!$A7764,nCURSO,DATOS!$D7764,nESPEC,DATOS!$E7764,nASIG,DATOS!$I7764,nEVAL,"EX")=0),0))))</f>
      </c>
      <c r="H7764">
        <f>IF(DATOS!$G7764&lt;&gt;"EX",0,--(COUNTIFS(nNIA,DATOS!$A7764,nCURSO,DATOS!$D7764,nESPEC,DATOS!$E7764,nASIG,DATOS!$I7764,nEVAL,"OR")=0))</f>
      </c>
      <c r="I7764">
        <f>IF(DATOS!$I7764="","",IFERROR(VLOOKUP(DATOS!$I7764,CONFIG_ASIGNATURAS!$B$2:$J$91,9,FALSE()),""))</f>
      </c>
    </row>
    <row r="7765">
      <c r="F7765">
        <f>IF(DATOS!$A7765="","",DATOS!$A7765&amp;"|"&amp;DATOS!$D7765&amp;"|"&amp;DATOS!$E7765&amp;"|"&amp;DATOS!$I7765)</f>
      </c>
      <c r="G7765">
        <f>IF(DATOS!$A7765="",0,IF(CONFIG_METADATA!$B$4&lt;&gt;"OR+EX",--(DATOS!$G7765=CONFIG_METADATA!$B$4),IF(DATOS!$G7765="EX",1,IF(DATOS!$G7765="OR",--(COUNTIFS(nNIA,DATOS!$A7765,nCURSO,DATOS!$D7765,nESPEC,DATOS!$E7765,nASIG,DATOS!$I7765,nEVAL,"EX")=0),0))))</f>
      </c>
      <c r="H7765">
        <f>IF(DATOS!$G7765&lt;&gt;"EX",0,--(COUNTIFS(nNIA,DATOS!$A7765,nCURSO,DATOS!$D7765,nESPEC,DATOS!$E7765,nASIG,DATOS!$I7765,nEVAL,"OR")=0))</f>
      </c>
      <c r="I7765">
        <f>IF(DATOS!$I7765="","",IFERROR(VLOOKUP(DATOS!$I7765,CONFIG_ASIGNATURAS!$B$2:$J$91,9,FALSE()),""))</f>
      </c>
    </row>
    <row r="7766">
      <c r="F7766">
        <f>IF(DATOS!$A7766="","",DATOS!$A7766&amp;"|"&amp;DATOS!$D7766&amp;"|"&amp;DATOS!$E7766&amp;"|"&amp;DATOS!$I7766)</f>
      </c>
      <c r="G7766">
        <f>IF(DATOS!$A7766="",0,IF(CONFIG_METADATA!$B$4&lt;&gt;"OR+EX",--(DATOS!$G7766=CONFIG_METADATA!$B$4),IF(DATOS!$G7766="EX",1,IF(DATOS!$G7766="OR",--(COUNTIFS(nNIA,DATOS!$A7766,nCURSO,DATOS!$D7766,nESPEC,DATOS!$E7766,nASIG,DATOS!$I7766,nEVAL,"EX")=0),0))))</f>
      </c>
      <c r="H7766">
        <f>IF(DATOS!$G7766&lt;&gt;"EX",0,--(COUNTIFS(nNIA,DATOS!$A7766,nCURSO,DATOS!$D7766,nESPEC,DATOS!$E7766,nASIG,DATOS!$I7766,nEVAL,"OR")=0))</f>
      </c>
      <c r="I7766">
        <f>IF(DATOS!$I7766="","",IFERROR(VLOOKUP(DATOS!$I7766,CONFIG_ASIGNATURAS!$B$2:$J$91,9,FALSE()),""))</f>
      </c>
    </row>
    <row r="7767">
      <c r="F7767">
        <f>IF(DATOS!$A7767="","",DATOS!$A7767&amp;"|"&amp;DATOS!$D7767&amp;"|"&amp;DATOS!$E7767&amp;"|"&amp;DATOS!$I7767)</f>
      </c>
      <c r="G7767">
        <f>IF(DATOS!$A7767="",0,IF(CONFIG_METADATA!$B$4&lt;&gt;"OR+EX",--(DATOS!$G7767=CONFIG_METADATA!$B$4),IF(DATOS!$G7767="EX",1,IF(DATOS!$G7767="OR",--(COUNTIFS(nNIA,DATOS!$A7767,nCURSO,DATOS!$D7767,nESPEC,DATOS!$E7767,nASIG,DATOS!$I7767,nEVAL,"EX")=0),0))))</f>
      </c>
      <c r="H7767">
        <f>IF(DATOS!$G7767&lt;&gt;"EX",0,--(COUNTIFS(nNIA,DATOS!$A7767,nCURSO,DATOS!$D7767,nESPEC,DATOS!$E7767,nASIG,DATOS!$I7767,nEVAL,"OR")=0))</f>
      </c>
      <c r="I7767">
        <f>IF(DATOS!$I7767="","",IFERROR(VLOOKUP(DATOS!$I7767,CONFIG_ASIGNATURAS!$B$2:$J$91,9,FALSE()),""))</f>
      </c>
    </row>
    <row r="7768">
      <c r="F7768">
        <f>IF(DATOS!$A7768="","",DATOS!$A7768&amp;"|"&amp;DATOS!$D7768&amp;"|"&amp;DATOS!$E7768&amp;"|"&amp;DATOS!$I7768)</f>
      </c>
      <c r="G7768">
        <f>IF(DATOS!$A7768="",0,IF(CONFIG_METADATA!$B$4&lt;&gt;"OR+EX",--(DATOS!$G7768=CONFIG_METADATA!$B$4),IF(DATOS!$G7768="EX",1,IF(DATOS!$G7768="OR",--(COUNTIFS(nNIA,DATOS!$A7768,nCURSO,DATOS!$D7768,nESPEC,DATOS!$E7768,nASIG,DATOS!$I7768,nEVAL,"EX")=0),0))))</f>
      </c>
      <c r="H7768">
        <f>IF(DATOS!$G7768&lt;&gt;"EX",0,--(COUNTIFS(nNIA,DATOS!$A7768,nCURSO,DATOS!$D7768,nESPEC,DATOS!$E7768,nASIG,DATOS!$I7768,nEVAL,"OR")=0))</f>
      </c>
      <c r="I7768">
        <f>IF(DATOS!$I7768="","",IFERROR(VLOOKUP(DATOS!$I7768,CONFIG_ASIGNATURAS!$B$2:$J$91,9,FALSE()),""))</f>
      </c>
    </row>
    <row r="7769">
      <c r="F7769">
        <f>IF(DATOS!$A7769="","",DATOS!$A7769&amp;"|"&amp;DATOS!$D7769&amp;"|"&amp;DATOS!$E7769&amp;"|"&amp;DATOS!$I7769)</f>
      </c>
      <c r="G7769">
        <f>IF(DATOS!$A7769="",0,IF(CONFIG_METADATA!$B$4&lt;&gt;"OR+EX",--(DATOS!$G7769=CONFIG_METADATA!$B$4),IF(DATOS!$G7769="EX",1,IF(DATOS!$G7769="OR",--(COUNTIFS(nNIA,DATOS!$A7769,nCURSO,DATOS!$D7769,nESPEC,DATOS!$E7769,nASIG,DATOS!$I7769,nEVAL,"EX")=0),0))))</f>
      </c>
      <c r="H7769">
        <f>IF(DATOS!$G7769&lt;&gt;"EX",0,--(COUNTIFS(nNIA,DATOS!$A7769,nCURSO,DATOS!$D7769,nESPEC,DATOS!$E7769,nASIG,DATOS!$I7769,nEVAL,"OR")=0))</f>
      </c>
      <c r="I7769">
        <f>IF(DATOS!$I7769="","",IFERROR(VLOOKUP(DATOS!$I7769,CONFIG_ASIGNATURAS!$B$2:$J$91,9,FALSE()),""))</f>
      </c>
    </row>
    <row r="7770">
      <c r="F7770">
        <f>IF(DATOS!$A7770="","",DATOS!$A7770&amp;"|"&amp;DATOS!$D7770&amp;"|"&amp;DATOS!$E7770&amp;"|"&amp;DATOS!$I7770)</f>
      </c>
      <c r="G7770">
        <f>IF(DATOS!$A7770="",0,IF(CONFIG_METADATA!$B$4&lt;&gt;"OR+EX",--(DATOS!$G7770=CONFIG_METADATA!$B$4),IF(DATOS!$G7770="EX",1,IF(DATOS!$G7770="OR",--(COUNTIFS(nNIA,DATOS!$A7770,nCURSO,DATOS!$D7770,nESPEC,DATOS!$E7770,nASIG,DATOS!$I7770,nEVAL,"EX")=0),0))))</f>
      </c>
      <c r="H7770">
        <f>IF(DATOS!$G7770&lt;&gt;"EX",0,--(COUNTIFS(nNIA,DATOS!$A7770,nCURSO,DATOS!$D7770,nESPEC,DATOS!$E7770,nASIG,DATOS!$I7770,nEVAL,"OR")=0))</f>
      </c>
      <c r="I7770">
        <f>IF(DATOS!$I7770="","",IFERROR(VLOOKUP(DATOS!$I7770,CONFIG_ASIGNATURAS!$B$2:$J$91,9,FALSE()),""))</f>
      </c>
    </row>
    <row r="7771">
      <c r="F7771">
        <f>IF(DATOS!$A7771="","",DATOS!$A7771&amp;"|"&amp;DATOS!$D7771&amp;"|"&amp;DATOS!$E7771&amp;"|"&amp;DATOS!$I7771)</f>
      </c>
      <c r="G7771">
        <f>IF(DATOS!$A7771="",0,IF(CONFIG_METADATA!$B$4&lt;&gt;"OR+EX",--(DATOS!$G7771=CONFIG_METADATA!$B$4),IF(DATOS!$G7771="EX",1,IF(DATOS!$G7771="OR",--(COUNTIFS(nNIA,DATOS!$A7771,nCURSO,DATOS!$D7771,nESPEC,DATOS!$E7771,nASIG,DATOS!$I7771,nEVAL,"EX")=0),0))))</f>
      </c>
      <c r="H7771">
        <f>IF(DATOS!$G7771&lt;&gt;"EX",0,--(COUNTIFS(nNIA,DATOS!$A7771,nCURSO,DATOS!$D7771,nESPEC,DATOS!$E7771,nASIG,DATOS!$I7771,nEVAL,"OR")=0))</f>
      </c>
      <c r="I7771">
        <f>IF(DATOS!$I7771="","",IFERROR(VLOOKUP(DATOS!$I7771,CONFIG_ASIGNATURAS!$B$2:$J$91,9,FALSE()),""))</f>
      </c>
    </row>
    <row r="7772">
      <c r="F7772">
        <f>IF(DATOS!$A7772="","",DATOS!$A7772&amp;"|"&amp;DATOS!$D7772&amp;"|"&amp;DATOS!$E7772&amp;"|"&amp;DATOS!$I7772)</f>
      </c>
      <c r="G7772">
        <f>IF(DATOS!$A7772="",0,IF(CONFIG_METADATA!$B$4&lt;&gt;"OR+EX",--(DATOS!$G7772=CONFIG_METADATA!$B$4),IF(DATOS!$G7772="EX",1,IF(DATOS!$G7772="OR",--(COUNTIFS(nNIA,DATOS!$A7772,nCURSO,DATOS!$D7772,nESPEC,DATOS!$E7772,nASIG,DATOS!$I7772,nEVAL,"EX")=0),0))))</f>
      </c>
      <c r="H7772">
        <f>IF(DATOS!$G7772&lt;&gt;"EX",0,--(COUNTIFS(nNIA,DATOS!$A7772,nCURSO,DATOS!$D7772,nESPEC,DATOS!$E7772,nASIG,DATOS!$I7772,nEVAL,"OR")=0))</f>
      </c>
      <c r="I7772">
        <f>IF(DATOS!$I7772="","",IFERROR(VLOOKUP(DATOS!$I7772,CONFIG_ASIGNATURAS!$B$2:$J$91,9,FALSE()),""))</f>
      </c>
    </row>
    <row r="7773">
      <c r="F7773">
        <f>IF(DATOS!$A7773="","",DATOS!$A7773&amp;"|"&amp;DATOS!$D7773&amp;"|"&amp;DATOS!$E7773&amp;"|"&amp;DATOS!$I7773)</f>
      </c>
      <c r="G7773">
        <f>IF(DATOS!$A7773="",0,IF(CONFIG_METADATA!$B$4&lt;&gt;"OR+EX",--(DATOS!$G7773=CONFIG_METADATA!$B$4),IF(DATOS!$G7773="EX",1,IF(DATOS!$G7773="OR",--(COUNTIFS(nNIA,DATOS!$A7773,nCURSO,DATOS!$D7773,nESPEC,DATOS!$E7773,nASIG,DATOS!$I7773,nEVAL,"EX")=0),0))))</f>
      </c>
      <c r="H7773">
        <f>IF(DATOS!$G7773&lt;&gt;"EX",0,--(COUNTIFS(nNIA,DATOS!$A7773,nCURSO,DATOS!$D7773,nESPEC,DATOS!$E7773,nASIG,DATOS!$I7773,nEVAL,"OR")=0))</f>
      </c>
      <c r="I7773">
        <f>IF(DATOS!$I7773="","",IFERROR(VLOOKUP(DATOS!$I7773,CONFIG_ASIGNATURAS!$B$2:$J$91,9,FALSE()),""))</f>
      </c>
    </row>
    <row r="7774">
      <c r="F7774">
        <f>IF(DATOS!$A7774="","",DATOS!$A7774&amp;"|"&amp;DATOS!$D7774&amp;"|"&amp;DATOS!$E7774&amp;"|"&amp;DATOS!$I7774)</f>
      </c>
      <c r="G7774">
        <f>IF(DATOS!$A7774="",0,IF(CONFIG_METADATA!$B$4&lt;&gt;"OR+EX",--(DATOS!$G7774=CONFIG_METADATA!$B$4),IF(DATOS!$G7774="EX",1,IF(DATOS!$G7774="OR",--(COUNTIFS(nNIA,DATOS!$A7774,nCURSO,DATOS!$D7774,nESPEC,DATOS!$E7774,nASIG,DATOS!$I7774,nEVAL,"EX")=0),0))))</f>
      </c>
      <c r="H7774">
        <f>IF(DATOS!$G7774&lt;&gt;"EX",0,--(COUNTIFS(nNIA,DATOS!$A7774,nCURSO,DATOS!$D7774,nESPEC,DATOS!$E7774,nASIG,DATOS!$I7774,nEVAL,"OR")=0))</f>
      </c>
      <c r="I7774">
        <f>IF(DATOS!$I7774="","",IFERROR(VLOOKUP(DATOS!$I7774,CONFIG_ASIGNATURAS!$B$2:$J$91,9,FALSE()),""))</f>
      </c>
    </row>
    <row r="7775">
      <c r="F7775">
        <f>IF(DATOS!$A7775="","",DATOS!$A7775&amp;"|"&amp;DATOS!$D7775&amp;"|"&amp;DATOS!$E7775&amp;"|"&amp;DATOS!$I7775)</f>
      </c>
      <c r="G7775">
        <f>IF(DATOS!$A7775="",0,IF(CONFIG_METADATA!$B$4&lt;&gt;"OR+EX",--(DATOS!$G7775=CONFIG_METADATA!$B$4),IF(DATOS!$G7775="EX",1,IF(DATOS!$G7775="OR",--(COUNTIFS(nNIA,DATOS!$A7775,nCURSO,DATOS!$D7775,nESPEC,DATOS!$E7775,nASIG,DATOS!$I7775,nEVAL,"EX")=0),0))))</f>
      </c>
      <c r="H7775">
        <f>IF(DATOS!$G7775&lt;&gt;"EX",0,--(COUNTIFS(nNIA,DATOS!$A7775,nCURSO,DATOS!$D7775,nESPEC,DATOS!$E7775,nASIG,DATOS!$I7775,nEVAL,"OR")=0))</f>
      </c>
      <c r="I7775">
        <f>IF(DATOS!$I7775="","",IFERROR(VLOOKUP(DATOS!$I7775,CONFIG_ASIGNATURAS!$B$2:$J$91,9,FALSE()),""))</f>
      </c>
    </row>
    <row r="7776">
      <c r="F7776">
        <f>IF(DATOS!$A7776="","",DATOS!$A7776&amp;"|"&amp;DATOS!$D7776&amp;"|"&amp;DATOS!$E7776&amp;"|"&amp;DATOS!$I7776)</f>
      </c>
      <c r="G7776">
        <f>IF(DATOS!$A7776="",0,IF(CONFIG_METADATA!$B$4&lt;&gt;"OR+EX",--(DATOS!$G7776=CONFIG_METADATA!$B$4),IF(DATOS!$G7776="EX",1,IF(DATOS!$G7776="OR",--(COUNTIFS(nNIA,DATOS!$A7776,nCURSO,DATOS!$D7776,nESPEC,DATOS!$E7776,nASIG,DATOS!$I7776,nEVAL,"EX")=0),0))))</f>
      </c>
      <c r="H7776">
        <f>IF(DATOS!$G7776&lt;&gt;"EX",0,--(COUNTIFS(nNIA,DATOS!$A7776,nCURSO,DATOS!$D7776,nESPEC,DATOS!$E7776,nASIG,DATOS!$I7776,nEVAL,"OR")=0))</f>
      </c>
      <c r="I7776">
        <f>IF(DATOS!$I7776="","",IFERROR(VLOOKUP(DATOS!$I7776,CONFIG_ASIGNATURAS!$B$2:$J$91,9,FALSE()),""))</f>
      </c>
    </row>
    <row r="7777">
      <c r="F7777">
        <f>IF(DATOS!$A7777="","",DATOS!$A7777&amp;"|"&amp;DATOS!$D7777&amp;"|"&amp;DATOS!$E7777&amp;"|"&amp;DATOS!$I7777)</f>
      </c>
      <c r="G7777">
        <f>IF(DATOS!$A7777="",0,IF(CONFIG_METADATA!$B$4&lt;&gt;"OR+EX",--(DATOS!$G7777=CONFIG_METADATA!$B$4),IF(DATOS!$G7777="EX",1,IF(DATOS!$G7777="OR",--(COUNTIFS(nNIA,DATOS!$A7777,nCURSO,DATOS!$D7777,nESPEC,DATOS!$E7777,nASIG,DATOS!$I7777,nEVAL,"EX")=0),0))))</f>
      </c>
      <c r="H7777">
        <f>IF(DATOS!$G7777&lt;&gt;"EX",0,--(COUNTIFS(nNIA,DATOS!$A7777,nCURSO,DATOS!$D7777,nESPEC,DATOS!$E7777,nASIG,DATOS!$I7777,nEVAL,"OR")=0))</f>
      </c>
      <c r="I7777">
        <f>IF(DATOS!$I7777="","",IFERROR(VLOOKUP(DATOS!$I7777,CONFIG_ASIGNATURAS!$B$2:$J$91,9,FALSE()),""))</f>
      </c>
    </row>
    <row r="7778">
      <c r="F7778">
        <f>IF(DATOS!$A7778="","",DATOS!$A7778&amp;"|"&amp;DATOS!$D7778&amp;"|"&amp;DATOS!$E7778&amp;"|"&amp;DATOS!$I7778)</f>
      </c>
      <c r="G7778">
        <f>IF(DATOS!$A7778="",0,IF(CONFIG_METADATA!$B$4&lt;&gt;"OR+EX",--(DATOS!$G7778=CONFIG_METADATA!$B$4),IF(DATOS!$G7778="EX",1,IF(DATOS!$G7778="OR",--(COUNTIFS(nNIA,DATOS!$A7778,nCURSO,DATOS!$D7778,nESPEC,DATOS!$E7778,nASIG,DATOS!$I7778,nEVAL,"EX")=0),0))))</f>
      </c>
      <c r="H7778">
        <f>IF(DATOS!$G7778&lt;&gt;"EX",0,--(COUNTIFS(nNIA,DATOS!$A7778,nCURSO,DATOS!$D7778,nESPEC,DATOS!$E7778,nASIG,DATOS!$I7778,nEVAL,"OR")=0))</f>
      </c>
      <c r="I7778">
        <f>IF(DATOS!$I7778="","",IFERROR(VLOOKUP(DATOS!$I7778,CONFIG_ASIGNATURAS!$B$2:$J$91,9,FALSE()),""))</f>
      </c>
    </row>
    <row r="7779">
      <c r="F7779">
        <f>IF(DATOS!$A7779="","",DATOS!$A7779&amp;"|"&amp;DATOS!$D7779&amp;"|"&amp;DATOS!$E7779&amp;"|"&amp;DATOS!$I7779)</f>
      </c>
      <c r="G7779">
        <f>IF(DATOS!$A7779="",0,IF(CONFIG_METADATA!$B$4&lt;&gt;"OR+EX",--(DATOS!$G7779=CONFIG_METADATA!$B$4),IF(DATOS!$G7779="EX",1,IF(DATOS!$G7779="OR",--(COUNTIFS(nNIA,DATOS!$A7779,nCURSO,DATOS!$D7779,nESPEC,DATOS!$E7779,nASIG,DATOS!$I7779,nEVAL,"EX")=0),0))))</f>
      </c>
      <c r="H7779">
        <f>IF(DATOS!$G7779&lt;&gt;"EX",0,--(COUNTIFS(nNIA,DATOS!$A7779,nCURSO,DATOS!$D7779,nESPEC,DATOS!$E7779,nASIG,DATOS!$I7779,nEVAL,"OR")=0))</f>
      </c>
      <c r="I7779">
        <f>IF(DATOS!$I7779="","",IFERROR(VLOOKUP(DATOS!$I7779,CONFIG_ASIGNATURAS!$B$2:$J$91,9,FALSE()),""))</f>
      </c>
    </row>
    <row r="7780">
      <c r="F7780">
        <f>IF(DATOS!$A7780="","",DATOS!$A7780&amp;"|"&amp;DATOS!$D7780&amp;"|"&amp;DATOS!$E7780&amp;"|"&amp;DATOS!$I7780)</f>
      </c>
      <c r="G7780">
        <f>IF(DATOS!$A7780="",0,IF(CONFIG_METADATA!$B$4&lt;&gt;"OR+EX",--(DATOS!$G7780=CONFIG_METADATA!$B$4),IF(DATOS!$G7780="EX",1,IF(DATOS!$G7780="OR",--(COUNTIFS(nNIA,DATOS!$A7780,nCURSO,DATOS!$D7780,nESPEC,DATOS!$E7780,nASIG,DATOS!$I7780,nEVAL,"EX")=0),0))))</f>
      </c>
      <c r="H7780">
        <f>IF(DATOS!$G7780&lt;&gt;"EX",0,--(COUNTIFS(nNIA,DATOS!$A7780,nCURSO,DATOS!$D7780,nESPEC,DATOS!$E7780,nASIG,DATOS!$I7780,nEVAL,"OR")=0))</f>
      </c>
      <c r="I7780">
        <f>IF(DATOS!$I7780="","",IFERROR(VLOOKUP(DATOS!$I7780,CONFIG_ASIGNATURAS!$B$2:$J$91,9,FALSE()),""))</f>
      </c>
    </row>
    <row r="7781">
      <c r="F7781">
        <f>IF(DATOS!$A7781="","",DATOS!$A7781&amp;"|"&amp;DATOS!$D7781&amp;"|"&amp;DATOS!$E7781&amp;"|"&amp;DATOS!$I7781)</f>
      </c>
      <c r="G7781">
        <f>IF(DATOS!$A7781="",0,IF(CONFIG_METADATA!$B$4&lt;&gt;"OR+EX",--(DATOS!$G7781=CONFIG_METADATA!$B$4),IF(DATOS!$G7781="EX",1,IF(DATOS!$G7781="OR",--(COUNTIFS(nNIA,DATOS!$A7781,nCURSO,DATOS!$D7781,nESPEC,DATOS!$E7781,nASIG,DATOS!$I7781,nEVAL,"EX")=0),0))))</f>
      </c>
      <c r="H7781">
        <f>IF(DATOS!$G7781&lt;&gt;"EX",0,--(COUNTIFS(nNIA,DATOS!$A7781,nCURSO,DATOS!$D7781,nESPEC,DATOS!$E7781,nASIG,DATOS!$I7781,nEVAL,"OR")=0))</f>
      </c>
      <c r="I7781">
        <f>IF(DATOS!$I7781="","",IFERROR(VLOOKUP(DATOS!$I7781,CONFIG_ASIGNATURAS!$B$2:$J$91,9,FALSE()),""))</f>
      </c>
    </row>
    <row r="7782">
      <c r="F7782">
        <f>IF(DATOS!$A7782="","",DATOS!$A7782&amp;"|"&amp;DATOS!$D7782&amp;"|"&amp;DATOS!$E7782&amp;"|"&amp;DATOS!$I7782)</f>
      </c>
      <c r="G7782">
        <f>IF(DATOS!$A7782="",0,IF(CONFIG_METADATA!$B$4&lt;&gt;"OR+EX",--(DATOS!$G7782=CONFIG_METADATA!$B$4),IF(DATOS!$G7782="EX",1,IF(DATOS!$G7782="OR",--(COUNTIFS(nNIA,DATOS!$A7782,nCURSO,DATOS!$D7782,nESPEC,DATOS!$E7782,nASIG,DATOS!$I7782,nEVAL,"EX")=0),0))))</f>
      </c>
      <c r="H7782">
        <f>IF(DATOS!$G7782&lt;&gt;"EX",0,--(COUNTIFS(nNIA,DATOS!$A7782,nCURSO,DATOS!$D7782,nESPEC,DATOS!$E7782,nASIG,DATOS!$I7782,nEVAL,"OR")=0))</f>
      </c>
      <c r="I7782">
        <f>IF(DATOS!$I7782="","",IFERROR(VLOOKUP(DATOS!$I7782,CONFIG_ASIGNATURAS!$B$2:$J$91,9,FALSE()),""))</f>
      </c>
    </row>
    <row r="7783">
      <c r="F7783">
        <f>IF(DATOS!$A7783="","",DATOS!$A7783&amp;"|"&amp;DATOS!$D7783&amp;"|"&amp;DATOS!$E7783&amp;"|"&amp;DATOS!$I7783)</f>
      </c>
      <c r="G7783">
        <f>IF(DATOS!$A7783="",0,IF(CONFIG_METADATA!$B$4&lt;&gt;"OR+EX",--(DATOS!$G7783=CONFIG_METADATA!$B$4),IF(DATOS!$G7783="EX",1,IF(DATOS!$G7783="OR",--(COUNTIFS(nNIA,DATOS!$A7783,nCURSO,DATOS!$D7783,nESPEC,DATOS!$E7783,nASIG,DATOS!$I7783,nEVAL,"EX")=0),0))))</f>
      </c>
      <c r="H7783">
        <f>IF(DATOS!$G7783&lt;&gt;"EX",0,--(COUNTIFS(nNIA,DATOS!$A7783,nCURSO,DATOS!$D7783,nESPEC,DATOS!$E7783,nASIG,DATOS!$I7783,nEVAL,"OR")=0))</f>
      </c>
      <c r="I7783">
        <f>IF(DATOS!$I7783="","",IFERROR(VLOOKUP(DATOS!$I7783,CONFIG_ASIGNATURAS!$B$2:$J$91,9,FALSE()),""))</f>
      </c>
    </row>
    <row r="7784">
      <c r="F7784">
        <f>IF(DATOS!$A7784="","",DATOS!$A7784&amp;"|"&amp;DATOS!$D7784&amp;"|"&amp;DATOS!$E7784&amp;"|"&amp;DATOS!$I7784)</f>
      </c>
      <c r="G7784">
        <f>IF(DATOS!$A7784="",0,IF(CONFIG_METADATA!$B$4&lt;&gt;"OR+EX",--(DATOS!$G7784=CONFIG_METADATA!$B$4),IF(DATOS!$G7784="EX",1,IF(DATOS!$G7784="OR",--(COUNTIFS(nNIA,DATOS!$A7784,nCURSO,DATOS!$D7784,nESPEC,DATOS!$E7784,nASIG,DATOS!$I7784,nEVAL,"EX")=0),0))))</f>
      </c>
      <c r="H7784">
        <f>IF(DATOS!$G7784&lt;&gt;"EX",0,--(COUNTIFS(nNIA,DATOS!$A7784,nCURSO,DATOS!$D7784,nESPEC,DATOS!$E7784,nASIG,DATOS!$I7784,nEVAL,"OR")=0))</f>
      </c>
      <c r="I7784">
        <f>IF(DATOS!$I7784="","",IFERROR(VLOOKUP(DATOS!$I7784,CONFIG_ASIGNATURAS!$B$2:$J$91,9,FALSE()),""))</f>
      </c>
    </row>
    <row r="7785">
      <c r="F7785">
        <f>IF(DATOS!$A7785="","",DATOS!$A7785&amp;"|"&amp;DATOS!$D7785&amp;"|"&amp;DATOS!$E7785&amp;"|"&amp;DATOS!$I7785)</f>
      </c>
      <c r="G7785">
        <f>IF(DATOS!$A7785="",0,IF(CONFIG_METADATA!$B$4&lt;&gt;"OR+EX",--(DATOS!$G7785=CONFIG_METADATA!$B$4),IF(DATOS!$G7785="EX",1,IF(DATOS!$G7785="OR",--(COUNTIFS(nNIA,DATOS!$A7785,nCURSO,DATOS!$D7785,nESPEC,DATOS!$E7785,nASIG,DATOS!$I7785,nEVAL,"EX")=0),0))))</f>
      </c>
      <c r="H7785">
        <f>IF(DATOS!$G7785&lt;&gt;"EX",0,--(COUNTIFS(nNIA,DATOS!$A7785,nCURSO,DATOS!$D7785,nESPEC,DATOS!$E7785,nASIG,DATOS!$I7785,nEVAL,"OR")=0))</f>
      </c>
      <c r="I7785">
        <f>IF(DATOS!$I7785="","",IFERROR(VLOOKUP(DATOS!$I7785,CONFIG_ASIGNATURAS!$B$2:$J$91,9,FALSE()),""))</f>
      </c>
    </row>
    <row r="7786">
      <c r="F7786">
        <f>IF(DATOS!$A7786="","",DATOS!$A7786&amp;"|"&amp;DATOS!$D7786&amp;"|"&amp;DATOS!$E7786&amp;"|"&amp;DATOS!$I7786)</f>
      </c>
      <c r="G7786">
        <f>IF(DATOS!$A7786="",0,IF(CONFIG_METADATA!$B$4&lt;&gt;"OR+EX",--(DATOS!$G7786=CONFIG_METADATA!$B$4),IF(DATOS!$G7786="EX",1,IF(DATOS!$G7786="OR",--(COUNTIFS(nNIA,DATOS!$A7786,nCURSO,DATOS!$D7786,nESPEC,DATOS!$E7786,nASIG,DATOS!$I7786,nEVAL,"EX")=0),0))))</f>
      </c>
      <c r="H7786">
        <f>IF(DATOS!$G7786&lt;&gt;"EX",0,--(COUNTIFS(nNIA,DATOS!$A7786,nCURSO,DATOS!$D7786,nESPEC,DATOS!$E7786,nASIG,DATOS!$I7786,nEVAL,"OR")=0))</f>
      </c>
      <c r="I7786">
        <f>IF(DATOS!$I7786="","",IFERROR(VLOOKUP(DATOS!$I7786,CONFIG_ASIGNATURAS!$B$2:$J$91,9,FALSE()),""))</f>
      </c>
    </row>
    <row r="7787">
      <c r="F7787">
        <f>IF(DATOS!$A7787="","",DATOS!$A7787&amp;"|"&amp;DATOS!$D7787&amp;"|"&amp;DATOS!$E7787&amp;"|"&amp;DATOS!$I7787)</f>
      </c>
      <c r="G7787">
        <f>IF(DATOS!$A7787="",0,IF(CONFIG_METADATA!$B$4&lt;&gt;"OR+EX",--(DATOS!$G7787=CONFIG_METADATA!$B$4),IF(DATOS!$G7787="EX",1,IF(DATOS!$G7787="OR",--(COUNTIFS(nNIA,DATOS!$A7787,nCURSO,DATOS!$D7787,nESPEC,DATOS!$E7787,nASIG,DATOS!$I7787,nEVAL,"EX")=0),0))))</f>
      </c>
      <c r="H7787">
        <f>IF(DATOS!$G7787&lt;&gt;"EX",0,--(COUNTIFS(nNIA,DATOS!$A7787,nCURSO,DATOS!$D7787,nESPEC,DATOS!$E7787,nASIG,DATOS!$I7787,nEVAL,"OR")=0))</f>
      </c>
      <c r="I7787">
        <f>IF(DATOS!$I7787="","",IFERROR(VLOOKUP(DATOS!$I7787,CONFIG_ASIGNATURAS!$B$2:$J$91,9,FALSE()),""))</f>
      </c>
    </row>
    <row r="7788">
      <c r="F7788">
        <f>IF(DATOS!$A7788="","",DATOS!$A7788&amp;"|"&amp;DATOS!$D7788&amp;"|"&amp;DATOS!$E7788&amp;"|"&amp;DATOS!$I7788)</f>
      </c>
      <c r="G7788">
        <f>IF(DATOS!$A7788="",0,IF(CONFIG_METADATA!$B$4&lt;&gt;"OR+EX",--(DATOS!$G7788=CONFIG_METADATA!$B$4),IF(DATOS!$G7788="EX",1,IF(DATOS!$G7788="OR",--(COUNTIFS(nNIA,DATOS!$A7788,nCURSO,DATOS!$D7788,nESPEC,DATOS!$E7788,nASIG,DATOS!$I7788,nEVAL,"EX")=0),0))))</f>
      </c>
      <c r="H7788">
        <f>IF(DATOS!$G7788&lt;&gt;"EX",0,--(COUNTIFS(nNIA,DATOS!$A7788,nCURSO,DATOS!$D7788,nESPEC,DATOS!$E7788,nASIG,DATOS!$I7788,nEVAL,"OR")=0))</f>
      </c>
      <c r="I7788">
        <f>IF(DATOS!$I7788="","",IFERROR(VLOOKUP(DATOS!$I7788,CONFIG_ASIGNATURAS!$B$2:$J$91,9,FALSE()),""))</f>
      </c>
    </row>
    <row r="7789">
      <c r="F7789">
        <f>IF(DATOS!$A7789="","",DATOS!$A7789&amp;"|"&amp;DATOS!$D7789&amp;"|"&amp;DATOS!$E7789&amp;"|"&amp;DATOS!$I7789)</f>
      </c>
      <c r="G7789">
        <f>IF(DATOS!$A7789="",0,IF(CONFIG_METADATA!$B$4&lt;&gt;"OR+EX",--(DATOS!$G7789=CONFIG_METADATA!$B$4),IF(DATOS!$G7789="EX",1,IF(DATOS!$G7789="OR",--(COUNTIFS(nNIA,DATOS!$A7789,nCURSO,DATOS!$D7789,nESPEC,DATOS!$E7789,nASIG,DATOS!$I7789,nEVAL,"EX")=0),0))))</f>
      </c>
      <c r="H7789">
        <f>IF(DATOS!$G7789&lt;&gt;"EX",0,--(COUNTIFS(nNIA,DATOS!$A7789,nCURSO,DATOS!$D7789,nESPEC,DATOS!$E7789,nASIG,DATOS!$I7789,nEVAL,"OR")=0))</f>
      </c>
      <c r="I7789">
        <f>IF(DATOS!$I7789="","",IFERROR(VLOOKUP(DATOS!$I7789,CONFIG_ASIGNATURAS!$B$2:$J$91,9,FALSE()),""))</f>
      </c>
    </row>
    <row r="7790">
      <c r="F7790">
        <f>IF(DATOS!$A7790="","",DATOS!$A7790&amp;"|"&amp;DATOS!$D7790&amp;"|"&amp;DATOS!$E7790&amp;"|"&amp;DATOS!$I7790)</f>
      </c>
      <c r="G7790">
        <f>IF(DATOS!$A7790="",0,IF(CONFIG_METADATA!$B$4&lt;&gt;"OR+EX",--(DATOS!$G7790=CONFIG_METADATA!$B$4),IF(DATOS!$G7790="EX",1,IF(DATOS!$G7790="OR",--(COUNTIFS(nNIA,DATOS!$A7790,nCURSO,DATOS!$D7790,nESPEC,DATOS!$E7790,nASIG,DATOS!$I7790,nEVAL,"EX")=0),0))))</f>
      </c>
      <c r="H7790">
        <f>IF(DATOS!$G7790&lt;&gt;"EX",0,--(COUNTIFS(nNIA,DATOS!$A7790,nCURSO,DATOS!$D7790,nESPEC,DATOS!$E7790,nASIG,DATOS!$I7790,nEVAL,"OR")=0))</f>
      </c>
      <c r="I7790">
        <f>IF(DATOS!$I7790="","",IFERROR(VLOOKUP(DATOS!$I7790,CONFIG_ASIGNATURAS!$B$2:$J$91,9,FALSE()),""))</f>
      </c>
    </row>
    <row r="7791">
      <c r="F7791">
        <f>IF(DATOS!$A7791="","",DATOS!$A7791&amp;"|"&amp;DATOS!$D7791&amp;"|"&amp;DATOS!$E7791&amp;"|"&amp;DATOS!$I7791)</f>
      </c>
      <c r="G7791">
        <f>IF(DATOS!$A7791="",0,IF(CONFIG_METADATA!$B$4&lt;&gt;"OR+EX",--(DATOS!$G7791=CONFIG_METADATA!$B$4),IF(DATOS!$G7791="EX",1,IF(DATOS!$G7791="OR",--(COUNTIFS(nNIA,DATOS!$A7791,nCURSO,DATOS!$D7791,nESPEC,DATOS!$E7791,nASIG,DATOS!$I7791,nEVAL,"EX")=0),0))))</f>
      </c>
      <c r="H7791">
        <f>IF(DATOS!$G7791&lt;&gt;"EX",0,--(COUNTIFS(nNIA,DATOS!$A7791,nCURSO,DATOS!$D7791,nESPEC,DATOS!$E7791,nASIG,DATOS!$I7791,nEVAL,"OR")=0))</f>
      </c>
      <c r="I7791">
        <f>IF(DATOS!$I7791="","",IFERROR(VLOOKUP(DATOS!$I7791,CONFIG_ASIGNATURAS!$B$2:$J$91,9,FALSE()),""))</f>
      </c>
    </row>
    <row r="7792">
      <c r="F7792">
        <f>IF(DATOS!$A7792="","",DATOS!$A7792&amp;"|"&amp;DATOS!$D7792&amp;"|"&amp;DATOS!$E7792&amp;"|"&amp;DATOS!$I7792)</f>
      </c>
      <c r="G7792">
        <f>IF(DATOS!$A7792="",0,IF(CONFIG_METADATA!$B$4&lt;&gt;"OR+EX",--(DATOS!$G7792=CONFIG_METADATA!$B$4),IF(DATOS!$G7792="EX",1,IF(DATOS!$G7792="OR",--(COUNTIFS(nNIA,DATOS!$A7792,nCURSO,DATOS!$D7792,nESPEC,DATOS!$E7792,nASIG,DATOS!$I7792,nEVAL,"EX")=0),0))))</f>
      </c>
      <c r="H7792">
        <f>IF(DATOS!$G7792&lt;&gt;"EX",0,--(COUNTIFS(nNIA,DATOS!$A7792,nCURSO,DATOS!$D7792,nESPEC,DATOS!$E7792,nASIG,DATOS!$I7792,nEVAL,"OR")=0))</f>
      </c>
      <c r="I7792">
        <f>IF(DATOS!$I7792="","",IFERROR(VLOOKUP(DATOS!$I7792,CONFIG_ASIGNATURAS!$B$2:$J$91,9,FALSE()),""))</f>
      </c>
    </row>
    <row r="7793">
      <c r="F7793">
        <f>IF(DATOS!$A7793="","",DATOS!$A7793&amp;"|"&amp;DATOS!$D7793&amp;"|"&amp;DATOS!$E7793&amp;"|"&amp;DATOS!$I7793)</f>
      </c>
      <c r="G7793">
        <f>IF(DATOS!$A7793="",0,IF(CONFIG_METADATA!$B$4&lt;&gt;"OR+EX",--(DATOS!$G7793=CONFIG_METADATA!$B$4),IF(DATOS!$G7793="EX",1,IF(DATOS!$G7793="OR",--(COUNTIFS(nNIA,DATOS!$A7793,nCURSO,DATOS!$D7793,nESPEC,DATOS!$E7793,nASIG,DATOS!$I7793,nEVAL,"EX")=0),0))))</f>
      </c>
      <c r="H7793">
        <f>IF(DATOS!$G7793&lt;&gt;"EX",0,--(COUNTIFS(nNIA,DATOS!$A7793,nCURSO,DATOS!$D7793,nESPEC,DATOS!$E7793,nASIG,DATOS!$I7793,nEVAL,"OR")=0))</f>
      </c>
      <c r="I7793">
        <f>IF(DATOS!$I7793="","",IFERROR(VLOOKUP(DATOS!$I7793,CONFIG_ASIGNATURAS!$B$2:$J$91,9,FALSE()),""))</f>
      </c>
    </row>
    <row r="7794">
      <c r="F7794">
        <f>IF(DATOS!$A7794="","",DATOS!$A7794&amp;"|"&amp;DATOS!$D7794&amp;"|"&amp;DATOS!$E7794&amp;"|"&amp;DATOS!$I7794)</f>
      </c>
      <c r="G7794">
        <f>IF(DATOS!$A7794="",0,IF(CONFIG_METADATA!$B$4&lt;&gt;"OR+EX",--(DATOS!$G7794=CONFIG_METADATA!$B$4),IF(DATOS!$G7794="EX",1,IF(DATOS!$G7794="OR",--(COUNTIFS(nNIA,DATOS!$A7794,nCURSO,DATOS!$D7794,nESPEC,DATOS!$E7794,nASIG,DATOS!$I7794,nEVAL,"EX")=0),0))))</f>
      </c>
      <c r="H7794">
        <f>IF(DATOS!$G7794&lt;&gt;"EX",0,--(COUNTIFS(nNIA,DATOS!$A7794,nCURSO,DATOS!$D7794,nESPEC,DATOS!$E7794,nASIG,DATOS!$I7794,nEVAL,"OR")=0))</f>
      </c>
      <c r="I7794">
        <f>IF(DATOS!$I7794="","",IFERROR(VLOOKUP(DATOS!$I7794,CONFIG_ASIGNATURAS!$B$2:$J$91,9,FALSE()),""))</f>
      </c>
    </row>
    <row r="7795">
      <c r="F7795">
        <f>IF(DATOS!$A7795="","",DATOS!$A7795&amp;"|"&amp;DATOS!$D7795&amp;"|"&amp;DATOS!$E7795&amp;"|"&amp;DATOS!$I7795)</f>
      </c>
      <c r="G7795">
        <f>IF(DATOS!$A7795="",0,IF(CONFIG_METADATA!$B$4&lt;&gt;"OR+EX",--(DATOS!$G7795=CONFIG_METADATA!$B$4),IF(DATOS!$G7795="EX",1,IF(DATOS!$G7795="OR",--(COUNTIFS(nNIA,DATOS!$A7795,nCURSO,DATOS!$D7795,nESPEC,DATOS!$E7795,nASIG,DATOS!$I7795,nEVAL,"EX")=0),0))))</f>
      </c>
      <c r="H7795">
        <f>IF(DATOS!$G7795&lt;&gt;"EX",0,--(COUNTIFS(nNIA,DATOS!$A7795,nCURSO,DATOS!$D7795,nESPEC,DATOS!$E7795,nASIG,DATOS!$I7795,nEVAL,"OR")=0))</f>
      </c>
      <c r="I7795">
        <f>IF(DATOS!$I7795="","",IFERROR(VLOOKUP(DATOS!$I7795,CONFIG_ASIGNATURAS!$B$2:$J$91,9,FALSE()),""))</f>
      </c>
    </row>
    <row r="7796">
      <c r="F7796">
        <f>IF(DATOS!$A7796="","",DATOS!$A7796&amp;"|"&amp;DATOS!$D7796&amp;"|"&amp;DATOS!$E7796&amp;"|"&amp;DATOS!$I7796)</f>
      </c>
      <c r="G7796">
        <f>IF(DATOS!$A7796="",0,IF(CONFIG_METADATA!$B$4&lt;&gt;"OR+EX",--(DATOS!$G7796=CONFIG_METADATA!$B$4),IF(DATOS!$G7796="EX",1,IF(DATOS!$G7796="OR",--(COUNTIFS(nNIA,DATOS!$A7796,nCURSO,DATOS!$D7796,nESPEC,DATOS!$E7796,nASIG,DATOS!$I7796,nEVAL,"EX")=0),0))))</f>
      </c>
      <c r="H7796">
        <f>IF(DATOS!$G7796&lt;&gt;"EX",0,--(COUNTIFS(nNIA,DATOS!$A7796,nCURSO,DATOS!$D7796,nESPEC,DATOS!$E7796,nASIG,DATOS!$I7796,nEVAL,"OR")=0))</f>
      </c>
      <c r="I7796">
        <f>IF(DATOS!$I7796="","",IFERROR(VLOOKUP(DATOS!$I7796,CONFIG_ASIGNATURAS!$B$2:$J$91,9,FALSE()),""))</f>
      </c>
    </row>
    <row r="7797">
      <c r="F7797">
        <f>IF(DATOS!$A7797="","",DATOS!$A7797&amp;"|"&amp;DATOS!$D7797&amp;"|"&amp;DATOS!$E7797&amp;"|"&amp;DATOS!$I7797)</f>
      </c>
      <c r="G7797">
        <f>IF(DATOS!$A7797="",0,IF(CONFIG_METADATA!$B$4&lt;&gt;"OR+EX",--(DATOS!$G7797=CONFIG_METADATA!$B$4),IF(DATOS!$G7797="EX",1,IF(DATOS!$G7797="OR",--(COUNTIFS(nNIA,DATOS!$A7797,nCURSO,DATOS!$D7797,nESPEC,DATOS!$E7797,nASIG,DATOS!$I7797,nEVAL,"EX")=0),0))))</f>
      </c>
      <c r="H7797">
        <f>IF(DATOS!$G7797&lt;&gt;"EX",0,--(COUNTIFS(nNIA,DATOS!$A7797,nCURSO,DATOS!$D7797,nESPEC,DATOS!$E7797,nASIG,DATOS!$I7797,nEVAL,"OR")=0))</f>
      </c>
      <c r="I7797">
        <f>IF(DATOS!$I7797="","",IFERROR(VLOOKUP(DATOS!$I7797,CONFIG_ASIGNATURAS!$B$2:$J$91,9,FALSE()),""))</f>
      </c>
    </row>
    <row r="7798">
      <c r="F7798">
        <f>IF(DATOS!$A7798="","",DATOS!$A7798&amp;"|"&amp;DATOS!$D7798&amp;"|"&amp;DATOS!$E7798&amp;"|"&amp;DATOS!$I7798)</f>
      </c>
      <c r="G7798">
        <f>IF(DATOS!$A7798="",0,IF(CONFIG_METADATA!$B$4&lt;&gt;"OR+EX",--(DATOS!$G7798=CONFIG_METADATA!$B$4),IF(DATOS!$G7798="EX",1,IF(DATOS!$G7798="OR",--(COUNTIFS(nNIA,DATOS!$A7798,nCURSO,DATOS!$D7798,nESPEC,DATOS!$E7798,nASIG,DATOS!$I7798,nEVAL,"EX")=0),0))))</f>
      </c>
      <c r="H7798">
        <f>IF(DATOS!$G7798&lt;&gt;"EX",0,--(COUNTIFS(nNIA,DATOS!$A7798,nCURSO,DATOS!$D7798,nESPEC,DATOS!$E7798,nASIG,DATOS!$I7798,nEVAL,"OR")=0))</f>
      </c>
      <c r="I7798">
        <f>IF(DATOS!$I7798="","",IFERROR(VLOOKUP(DATOS!$I7798,CONFIG_ASIGNATURAS!$B$2:$J$91,9,FALSE()),""))</f>
      </c>
    </row>
    <row r="7799">
      <c r="F7799">
        <f>IF(DATOS!$A7799="","",DATOS!$A7799&amp;"|"&amp;DATOS!$D7799&amp;"|"&amp;DATOS!$E7799&amp;"|"&amp;DATOS!$I7799)</f>
      </c>
      <c r="G7799">
        <f>IF(DATOS!$A7799="",0,IF(CONFIG_METADATA!$B$4&lt;&gt;"OR+EX",--(DATOS!$G7799=CONFIG_METADATA!$B$4),IF(DATOS!$G7799="EX",1,IF(DATOS!$G7799="OR",--(COUNTIFS(nNIA,DATOS!$A7799,nCURSO,DATOS!$D7799,nESPEC,DATOS!$E7799,nASIG,DATOS!$I7799,nEVAL,"EX")=0),0))))</f>
      </c>
      <c r="H7799">
        <f>IF(DATOS!$G7799&lt;&gt;"EX",0,--(COUNTIFS(nNIA,DATOS!$A7799,nCURSO,DATOS!$D7799,nESPEC,DATOS!$E7799,nASIG,DATOS!$I7799,nEVAL,"OR")=0))</f>
      </c>
      <c r="I7799">
        <f>IF(DATOS!$I7799="","",IFERROR(VLOOKUP(DATOS!$I7799,CONFIG_ASIGNATURAS!$B$2:$J$91,9,FALSE()),""))</f>
      </c>
    </row>
    <row r="7800">
      <c r="F7800">
        <f>IF(DATOS!$A7800="","",DATOS!$A7800&amp;"|"&amp;DATOS!$D7800&amp;"|"&amp;DATOS!$E7800&amp;"|"&amp;DATOS!$I7800)</f>
      </c>
      <c r="G7800">
        <f>IF(DATOS!$A7800="",0,IF(CONFIG_METADATA!$B$4&lt;&gt;"OR+EX",--(DATOS!$G7800=CONFIG_METADATA!$B$4),IF(DATOS!$G7800="EX",1,IF(DATOS!$G7800="OR",--(COUNTIFS(nNIA,DATOS!$A7800,nCURSO,DATOS!$D7800,nESPEC,DATOS!$E7800,nASIG,DATOS!$I7800,nEVAL,"EX")=0),0))))</f>
      </c>
      <c r="H7800">
        <f>IF(DATOS!$G7800&lt;&gt;"EX",0,--(COUNTIFS(nNIA,DATOS!$A7800,nCURSO,DATOS!$D7800,nESPEC,DATOS!$E7800,nASIG,DATOS!$I7800,nEVAL,"OR")=0))</f>
      </c>
      <c r="I7800">
        <f>IF(DATOS!$I7800="","",IFERROR(VLOOKUP(DATOS!$I7800,CONFIG_ASIGNATURAS!$B$2:$J$91,9,FALSE()),""))</f>
      </c>
    </row>
    <row r="7801">
      <c r="F7801">
        <f>IF(DATOS!$A7801="","",DATOS!$A7801&amp;"|"&amp;DATOS!$D7801&amp;"|"&amp;DATOS!$E7801&amp;"|"&amp;DATOS!$I7801)</f>
      </c>
      <c r="G7801">
        <f>IF(DATOS!$A7801="",0,IF(CONFIG_METADATA!$B$4&lt;&gt;"OR+EX",--(DATOS!$G7801=CONFIG_METADATA!$B$4),IF(DATOS!$G7801="EX",1,IF(DATOS!$G7801="OR",--(COUNTIFS(nNIA,DATOS!$A7801,nCURSO,DATOS!$D7801,nESPEC,DATOS!$E7801,nASIG,DATOS!$I7801,nEVAL,"EX")=0),0))))</f>
      </c>
      <c r="H7801">
        <f>IF(DATOS!$G7801&lt;&gt;"EX",0,--(COUNTIFS(nNIA,DATOS!$A7801,nCURSO,DATOS!$D7801,nESPEC,DATOS!$E7801,nASIG,DATOS!$I7801,nEVAL,"OR")=0))</f>
      </c>
      <c r="I7801">
        <f>IF(DATOS!$I7801="","",IFERROR(VLOOKUP(DATOS!$I7801,CONFIG_ASIGNATURAS!$B$2:$J$91,9,FALSE()),""))</f>
      </c>
    </row>
    <row r="7802">
      <c r="F7802">
        <f>IF(DATOS!$A7802="","",DATOS!$A7802&amp;"|"&amp;DATOS!$D7802&amp;"|"&amp;DATOS!$E7802&amp;"|"&amp;DATOS!$I7802)</f>
      </c>
      <c r="G7802">
        <f>IF(DATOS!$A7802="",0,IF(CONFIG_METADATA!$B$4&lt;&gt;"OR+EX",--(DATOS!$G7802=CONFIG_METADATA!$B$4),IF(DATOS!$G7802="EX",1,IF(DATOS!$G7802="OR",--(COUNTIFS(nNIA,DATOS!$A7802,nCURSO,DATOS!$D7802,nESPEC,DATOS!$E7802,nASIG,DATOS!$I7802,nEVAL,"EX")=0),0))))</f>
      </c>
      <c r="H7802">
        <f>IF(DATOS!$G7802&lt;&gt;"EX",0,--(COUNTIFS(nNIA,DATOS!$A7802,nCURSO,DATOS!$D7802,nESPEC,DATOS!$E7802,nASIG,DATOS!$I7802,nEVAL,"OR")=0))</f>
      </c>
      <c r="I7802">
        <f>IF(DATOS!$I7802="","",IFERROR(VLOOKUP(DATOS!$I7802,CONFIG_ASIGNATURAS!$B$2:$J$91,9,FALSE()),""))</f>
      </c>
    </row>
    <row r="7803">
      <c r="F7803">
        <f>IF(DATOS!$A7803="","",DATOS!$A7803&amp;"|"&amp;DATOS!$D7803&amp;"|"&amp;DATOS!$E7803&amp;"|"&amp;DATOS!$I7803)</f>
      </c>
      <c r="G7803">
        <f>IF(DATOS!$A7803="",0,IF(CONFIG_METADATA!$B$4&lt;&gt;"OR+EX",--(DATOS!$G7803=CONFIG_METADATA!$B$4),IF(DATOS!$G7803="EX",1,IF(DATOS!$G7803="OR",--(COUNTIFS(nNIA,DATOS!$A7803,nCURSO,DATOS!$D7803,nESPEC,DATOS!$E7803,nASIG,DATOS!$I7803,nEVAL,"EX")=0),0))))</f>
      </c>
      <c r="H7803">
        <f>IF(DATOS!$G7803&lt;&gt;"EX",0,--(COUNTIFS(nNIA,DATOS!$A7803,nCURSO,DATOS!$D7803,nESPEC,DATOS!$E7803,nASIG,DATOS!$I7803,nEVAL,"OR")=0))</f>
      </c>
      <c r="I7803">
        <f>IF(DATOS!$I7803="","",IFERROR(VLOOKUP(DATOS!$I7803,CONFIG_ASIGNATURAS!$B$2:$J$91,9,FALSE()),""))</f>
      </c>
    </row>
    <row r="7804">
      <c r="F7804">
        <f>IF(DATOS!$A7804="","",DATOS!$A7804&amp;"|"&amp;DATOS!$D7804&amp;"|"&amp;DATOS!$E7804&amp;"|"&amp;DATOS!$I7804)</f>
      </c>
      <c r="G7804">
        <f>IF(DATOS!$A7804="",0,IF(CONFIG_METADATA!$B$4&lt;&gt;"OR+EX",--(DATOS!$G7804=CONFIG_METADATA!$B$4),IF(DATOS!$G7804="EX",1,IF(DATOS!$G7804="OR",--(COUNTIFS(nNIA,DATOS!$A7804,nCURSO,DATOS!$D7804,nESPEC,DATOS!$E7804,nASIG,DATOS!$I7804,nEVAL,"EX")=0),0))))</f>
      </c>
      <c r="H7804">
        <f>IF(DATOS!$G7804&lt;&gt;"EX",0,--(COUNTIFS(nNIA,DATOS!$A7804,nCURSO,DATOS!$D7804,nESPEC,DATOS!$E7804,nASIG,DATOS!$I7804,nEVAL,"OR")=0))</f>
      </c>
      <c r="I7804">
        <f>IF(DATOS!$I7804="","",IFERROR(VLOOKUP(DATOS!$I7804,CONFIG_ASIGNATURAS!$B$2:$J$91,9,FALSE()),""))</f>
      </c>
    </row>
    <row r="7805">
      <c r="F7805">
        <f>IF(DATOS!$A7805="","",DATOS!$A7805&amp;"|"&amp;DATOS!$D7805&amp;"|"&amp;DATOS!$E7805&amp;"|"&amp;DATOS!$I7805)</f>
      </c>
      <c r="G7805">
        <f>IF(DATOS!$A7805="",0,IF(CONFIG_METADATA!$B$4&lt;&gt;"OR+EX",--(DATOS!$G7805=CONFIG_METADATA!$B$4),IF(DATOS!$G7805="EX",1,IF(DATOS!$G7805="OR",--(COUNTIFS(nNIA,DATOS!$A7805,nCURSO,DATOS!$D7805,nESPEC,DATOS!$E7805,nASIG,DATOS!$I7805,nEVAL,"EX")=0),0))))</f>
      </c>
      <c r="H7805">
        <f>IF(DATOS!$G7805&lt;&gt;"EX",0,--(COUNTIFS(nNIA,DATOS!$A7805,nCURSO,DATOS!$D7805,nESPEC,DATOS!$E7805,nASIG,DATOS!$I7805,nEVAL,"OR")=0))</f>
      </c>
      <c r="I7805">
        <f>IF(DATOS!$I7805="","",IFERROR(VLOOKUP(DATOS!$I7805,CONFIG_ASIGNATURAS!$B$2:$J$91,9,FALSE()),""))</f>
      </c>
    </row>
    <row r="7806">
      <c r="F7806">
        <f>IF(DATOS!$A7806="","",DATOS!$A7806&amp;"|"&amp;DATOS!$D7806&amp;"|"&amp;DATOS!$E7806&amp;"|"&amp;DATOS!$I7806)</f>
      </c>
      <c r="G7806">
        <f>IF(DATOS!$A7806="",0,IF(CONFIG_METADATA!$B$4&lt;&gt;"OR+EX",--(DATOS!$G7806=CONFIG_METADATA!$B$4),IF(DATOS!$G7806="EX",1,IF(DATOS!$G7806="OR",--(COUNTIFS(nNIA,DATOS!$A7806,nCURSO,DATOS!$D7806,nESPEC,DATOS!$E7806,nASIG,DATOS!$I7806,nEVAL,"EX")=0),0))))</f>
      </c>
      <c r="H7806">
        <f>IF(DATOS!$G7806&lt;&gt;"EX",0,--(COUNTIFS(nNIA,DATOS!$A7806,nCURSO,DATOS!$D7806,nESPEC,DATOS!$E7806,nASIG,DATOS!$I7806,nEVAL,"OR")=0))</f>
      </c>
      <c r="I7806">
        <f>IF(DATOS!$I7806="","",IFERROR(VLOOKUP(DATOS!$I7806,CONFIG_ASIGNATURAS!$B$2:$J$91,9,FALSE()),""))</f>
      </c>
    </row>
    <row r="7807">
      <c r="F7807">
        <f>IF(DATOS!$A7807="","",DATOS!$A7807&amp;"|"&amp;DATOS!$D7807&amp;"|"&amp;DATOS!$E7807&amp;"|"&amp;DATOS!$I7807)</f>
      </c>
      <c r="G7807">
        <f>IF(DATOS!$A7807="",0,IF(CONFIG_METADATA!$B$4&lt;&gt;"OR+EX",--(DATOS!$G7807=CONFIG_METADATA!$B$4),IF(DATOS!$G7807="EX",1,IF(DATOS!$G7807="OR",--(COUNTIFS(nNIA,DATOS!$A7807,nCURSO,DATOS!$D7807,nESPEC,DATOS!$E7807,nASIG,DATOS!$I7807,nEVAL,"EX")=0),0))))</f>
      </c>
      <c r="H7807">
        <f>IF(DATOS!$G7807&lt;&gt;"EX",0,--(COUNTIFS(nNIA,DATOS!$A7807,nCURSO,DATOS!$D7807,nESPEC,DATOS!$E7807,nASIG,DATOS!$I7807,nEVAL,"OR")=0))</f>
      </c>
      <c r="I7807">
        <f>IF(DATOS!$I7807="","",IFERROR(VLOOKUP(DATOS!$I7807,CONFIG_ASIGNATURAS!$B$2:$J$91,9,FALSE()),""))</f>
      </c>
    </row>
    <row r="7808">
      <c r="F7808">
        <f>IF(DATOS!$A7808="","",DATOS!$A7808&amp;"|"&amp;DATOS!$D7808&amp;"|"&amp;DATOS!$E7808&amp;"|"&amp;DATOS!$I7808)</f>
      </c>
      <c r="G7808">
        <f>IF(DATOS!$A7808="",0,IF(CONFIG_METADATA!$B$4&lt;&gt;"OR+EX",--(DATOS!$G7808=CONFIG_METADATA!$B$4),IF(DATOS!$G7808="EX",1,IF(DATOS!$G7808="OR",--(COUNTIFS(nNIA,DATOS!$A7808,nCURSO,DATOS!$D7808,nESPEC,DATOS!$E7808,nASIG,DATOS!$I7808,nEVAL,"EX")=0),0))))</f>
      </c>
      <c r="H7808">
        <f>IF(DATOS!$G7808&lt;&gt;"EX",0,--(COUNTIFS(nNIA,DATOS!$A7808,nCURSO,DATOS!$D7808,nESPEC,DATOS!$E7808,nASIG,DATOS!$I7808,nEVAL,"OR")=0))</f>
      </c>
      <c r="I7808">
        <f>IF(DATOS!$I7808="","",IFERROR(VLOOKUP(DATOS!$I7808,CONFIG_ASIGNATURAS!$B$2:$J$91,9,FALSE()),""))</f>
      </c>
    </row>
    <row r="7809">
      <c r="F7809">
        <f>IF(DATOS!$A7809="","",DATOS!$A7809&amp;"|"&amp;DATOS!$D7809&amp;"|"&amp;DATOS!$E7809&amp;"|"&amp;DATOS!$I7809)</f>
      </c>
      <c r="G7809">
        <f>IF(DATOS!$A7809="",0,IF(CONFIG_METADATA!$B$4&lt;&gt;"OR+EX",--(DATOS!$G7809=CONFIG_METADATA!$B$4),IF(DATOS!$G7809="EX",1,IF(DATOS!$G7809="OR",--(COUNTIFS(nNIA,DATOS!$A7809,nCURSO,DATOS!$D7809,nESPEC,DATOS!$E7809,nASIG,DATOS!$I7809,nEVAL,"EX")=0),0))))</f>
      </c>
      <c r="H7809">
        <f>IF(DATOS!$G7809&lt;&gt;"EX",0,--(COUNTIFS(nNIA,DATOS!$A7809,nCURSO,DATOS!$D7809,nESPEC,DATOS!$E7809,nASIG,DATOS!$I7809,nEVAL,"OR")=0))</f>
      </c>
      <c r="I7809">
        <f>IF(DATOS!$I7809="","",IFERROR(VLOOKUP(DATOS!$I7809,CONFIG_ASIGNATURAS!$B$2:$J$91,9,FALSE()),""))</f>
      </c>
    </row>
    <row r="7810">
      <c r="F7810">
        <f>IF(DATOS!$A7810="","",DATOS!$A7810&amp;"|"&amp;DATOS!$D7810&amp;"|"&amp;DATOS!$E7810&amp;"|"&amp;DATOS!$I7810)</f>
      </c>
      <c r="G7810">
        <f>IF(DATOS!$A7810="",0,IF(CONFIG_METADATA!$B$4&lt;&gt;"OR+EX",--(DATOS!$G7810=CONFIG_METADATA!$B$4),IF(DATOS!$G7810="EX",1,IF(DATOS!$G7810="OR",--(COUNTIFS(nNIA,DATOS!$A7810,nCURSO,DATOS!$D7810,nESPEC,DATOS!$E7810,nASIG,DATOS!$I7810,nEVAL,"EX")=0),0))))</f>
      </c>
      <c r="H7810">
        <f>IF(DATOS!$G7810&lt;&gt;"EX",0,--(COUNTIFS(nNIA,DATOS!$A7810,nCURSO,DATOS!$D7810,nESPEC,DATOS!$E7810,nASIG,DATOS!$I7810,nEVAL,"OR")=0))</f>
      </c>
      <c r="I7810">
        <f>IF(DATOS!$I7810="","",IFERROR(VLOOKUP(DATOS!$I7810,CONFIG_ASIGNATURAS!$B$2:$J$91,9,FALSE()),""))</f>
      </c>
    </row>
    <row r="7811">
      <c r="F7811">
        <f>IF(DATOS!$A7811="","",DATOS!$A7811&amp;"|"&amp;DATOS!$D7811&amp;"|"&amp;DATOS!$E7811&amp;"|"&amp;DATOS!$I7811)</f>
      </c>
      <c r="G7811">
        <f>IF(DATOS!$A7811="",0,IF(CONFIG_METADATA!$B$4&lt;&gt;"OR+EX",--(DATOS!$G7811=CONFIG_METADATA!$B$4),IF(DATOS!$G7811="EX",1,IF(DATOS!$G7811="OR",--(COUNTIFS(nNIA,DATOS!$A7811,nCURSO,DATOS!$D7811,nESPEC,DATOS!$E7811,nASIG,DATOS!$I7811,nEVAL,"EX")=0),0))))</f>
      </c>
      <c r="H7811">
        <f>IF(DATOS!$G7811&lt;&gt;"EX",0,--(COUNTIFS(nNIA,DATOS!$A7811,nCURSO,DATOS!$D7811,nESPEC,DATOS!$E7811,nASIG,DATOS!$I7811,nEVAL,"OR")=0))</f>
      </c>
      <c r="I7811">
        <f>IF(DATOS!$I7811="","",IFERROR(VLOOKUP(DATOS!$I7811,CONFIG_ASIGNATURAS!$B$2:$J$91,9,FALSE()),""))</f>
      </c>
    </row>
    <row r="7812">
      <c r="F7812">
        <f>IF(DATOS!$A7812="","",DATOS!$A7812&amp;"|"&amp;DATOS!$D7812&amp;"|"&amp;DATOS!$E7812&amp;"|"&amp;DATOS!$I7812)</f>
      </c>
      <c r="G7812">
        <f>IF(DATOS!$A7812="",0,IF(CONFIG_METADATA!$B$4&lt;&gt;"OR+EX",--(DATOS!$G7812=CONFIG_METADATA!$B$4),IF(DATOS!$G7812="EX",1,IF(DATOS!$G7812="OR",--(COUNTIFS(nNIA,DATOS!$A7812,nCURSO,DATOS!$D7812,nESPEC,DATOS!$E7812,nASIG,DATOS!$I7812,nEVAL,"EX")=0),0))))</f>
      </c>
      <c r="H7812">
        <f>IF(DATOS!$G7812&lt;&gt;"EX",0,--(COUNTIFS(nNIA,DATOS!$A7812,nCURSO,DATOS!$D7812,nESPEC,DATOS!$E7812,nASIG,DATOS!$I7812,nEVAL,"OR")=0))</f>
      </c>
      <c r="I7812">
        <f>IF(DATOS!$I7812="","",IFERROR(VLOOKUP(DATOS!$I7812,CONFIG_ASIGNATURAS!$B$2:$J$91,9,FALSE()),""))</f>
      </c>
    </row>
    <row r="7813">
      <c r="F7813">
        <f>IF(DATOS!$A7813="","",DATOS!$A7813&amp;"|"&amp;DATOS!$D7813&amp;"|"&amp;DATOS!$E7813&amp;"|"&amp;DATOS!$I7813)</f>
      </c>
      <c r="G7813">
        <f>IF(DATOS!$A7813="",0,IF(CONFIG_METADATA!$B$4&lt;&gt;"OR+EX",--(DATOS!$G7813=CONFIG_METADATA!$B$4),IF(DATOS!$G7813="EX",1,IF(DATOS!$G7813="OR",--(COUNTIFS(nNIA,DATOS!$A7813,nCURSO,DATOS!$D7813,nESPEC,DATOS!$E7813,nASIG,DATOS!$I7813,nEVAL,"EX")=0),0))))</f>
      </c>
      <c r="H7813">
        <f>IF(DATOS!$G7813&lt;&gt;"EX",0,--(COUNTIFS(nNIA,DATOS!$A7813,nCURSO,DATOS!$D7813,nESPEC,DATOS!$E7813,nASIG,DATOS!$I7813,nEVAL,"OR")=0))</f>
      </c>
      <c r="I7813">
        <f>IF(DATOS!$I7813="","",IFERROR(VLOOKUP(DATOS!$I7813,CONFIG_ASIGNATURAS!$B$2:$J$91,9,FALSE()),""))</f>
      </c>
    </row>
    <row r="7814">
      <c r="F7814">
        <f>IF(DATOS!$A7814="","",DATOS!$A7814&amp;"|"&amp;DATOS!$D7814&amp;"|"&amp;DATOS!$E7814&amp;"|"&amp;DATOS!$I7814)</f>
      </c>
      <c r="G7814">
        <f>IF(DATOS!$A7814="",0,IF(CONFIG_METADATA!$B$4&lt;&gt;"OR+EX",--(DATOS!$G7814=CONFIG_METADATA!$B$4),IF(DATOS!$G7814="EX",1,IF(DATOS!$G7814="OR",--(COUNTIFS(nNIA,DATOS!$A7814,nCURSO,DATOS!$D7814,nESPEC,DATOS!$E7814,nASIG,DATOS!$I7814,nEVAL,"EX")=0),0))))</f>
      </c>
      <c r="H7814">
        <f>IF(DATOS!$G7814&lt;&gt;"EX",0,--(COUNTIFS(nNIA,DATOS!$A7814,nCURSO,DATOS!$D7814,nESPEC,DATOS!$E7814,nASIG,DATOS!$I7814,nEVAL,"OR")=0))</f>
      </c>
      <c r="I7814">
        <f>IF(DATOS!$I7814="","",IFERROR(VLOOKUP(DATOS!$I7814,CONFIG_ASIGNATURAS!$B$2:$J$91,9,FALSE()),""))</f>
      </c>
    </row>
    <row r="7815">
      <c r="F7815">
        <f>IF(DATOS!$A7815="","",DATOS!$A7815&amp;"|"&amp;DATOS!$D7815&amp;"|"&amp;DATOS!$E7815&amp;"|"&amp;DATOS!$I7815)</f>
      </c>
      <c r="G7815">
        <f>IF(DATOS!$A7815="",0,IF(CONFIG_METADATA!$B$4&lt;&gt;"OR+EX",--(DATOS!$G7815=CONFIG_METADATA!$B$4),IF(DATOS!$G7815="EX",1,IF(DATOS!$G7815="OR",--(COUNTIFS(nNIA,DATOS!$A7815,nCURSO,DATOS!$D7815,nESPEC,DATOS!$E7815,nASIG,DATOS!$I7815,nEVAL,"EX")=0),0))))</f>
      </c>
      <c r="H7815">
        <f>IF(DATOS!$G7815&lt;&gt;"EX",0,--(COUNTIFS(nNIA,DATOS!$A7815,nCURSO,DATOS!$D7815,nESPEC,DATOS!$E7815,nASIG,DATOS!$I7815,nEVAL,"OR")=0))</f>
      </c>
      <c r="I7815">
        <f>IF(DATOS!$I7815="","",IFERROR(VLOOKUP(DATOS!$I7815,CONFIG_ASIGNATURAS!$B$2:$J$91,9,FALSE()),""))</f>
      </c>
    </row>
    <row r="7816">
      <c r="F7816">
        <f>IF(DATOS!$A7816="","",DATOS!$A7816&amp;"|"&amp;DATOS!$D7816&amp;"|"&amp;DATOS!$E7816&amp;"|"&amp;DATOS!$I7816)</f>
      </c>
      <c r="G7816">
        <f>IF(DATOS!$A7816="",0,IF(CONFIG_METADATA!$B$4&lt;&gt;"OR+EX",--(DATOS!$G7816=CONFIG_METADATA!$B$4),IF(DATOS!$G7816="EX",1,IF(DATOS!$G7816="OR",--(COUNTIFS(nNIA,DATOS!$A7816,nCURSO,DATOS!$D7816,nESPEC,DATOS!$E7816,nASIG,DATOS!$I7816,nEVAL,"EX")=0),0))))</f>
      </c>
      <c r="H7816">
        <f>IF(DATOS!$G7816&lt;&gt;"EX",0,--(COUNTIFS(nNIA,DATOS!$A7816,nCURSO,DATOS!$D7816,nESPEC,DATOS!$E7816,nASIG,DATOS!$I7816,nEVAL,"OR")=0))</f>
      </c>
      <c r="I7816">
        <f>IF(DATOS!$I7816="","",IFERROR(VLOOKUP(DATOS!$I7816,CONFIG_ASIGNATURAS!$B$2:$J$91,9,FALSE()),""))</f>
      </c>
    </row>
    <row r="7817">
      <c r="F7817">
        <f>IF(DATOS!$A7817="","",DATOS!$A7817&amp;"|"&amp;DATOS!$D7817&amp;"|"&amp;DATOS!$E7817&amp;"|"&amp;DATOS!$I7817)</f>
      </c>
      <c r="G7817">
        <f>IF(DATOS!$A7817="",0,IF(CONFIG_METADATA!$B$4&lt;&gt;"OR+EX",--(DATOS!$G7817=CONFIG_METADATA!$B$4),IF(DATOS!$G7817="EX",1,IF(DATOS!$G7817="OR",--(COUNTIFS(nNIA,DATOS!$A7817,nCURSO,DATOS!$D7817,nESPEC,DATOS!$E7817,nASIG,DATOS!$I7817,nEVAL,"EX")=0),0))))</f>
      </c>
      <c r="H7817">
        <f>IF(DATOS!$G7817&lt;&gt;"EX",0,--(COUNTIFS(nNIA,DATOS!$A7817,nCURSO,DATOS!$D7817,nESPEC,DATOS!$E7817,nASIG,DATOS!$I7817,nEVAL,"OR")=0))</f>
      </c>
      <c r="I7817">
        <f>IF(DATOS!$I7817="","",IFERROR(VLOOKUP(DATOS!$I7817,CONFIG_ASIGNATURAS!$B$2:$J$91,9,FALSE()),""))</f>
      </c>
    </row>
    <row r="7818">
      <c r="F7818">
        <f>IF(DATOS!$A7818="","",DATOS!$A7818&amp;"|"&amp;DATOS!$D7818&amp;"|"&amp;DATOS!$E7818&amp;"|"&amp;DATOS!$I7818)</f>
      </c>
      <c r="G7818">
        <f>IF(DATOS!$A7818="",0,IF(CONFIG_METADATA!$B$4&lt;&gt;"OR+EX",--(DATOS!$G7818=CONFIG_METADATA!$B$4),IF(DATOS!$G7818="EX",1,IF(DATOS!$G7818="OR",--(COUNTIFS(nNIA,DATOS!$A7818,nCURSO,DATOS!$D7818,nESPEC,DATOS!$E7818,nASIG,DATOS!$I7818,nEVAL,"EX")=0),0))))</f>
      </c>
      <c r="H7818">
        <f>IF(DATOS!$G7818&lt;&gt;"EX",0,--(COUNTIFS(nNIA,DATOS!$A7818,nCURSO,DATOS!$D7818,nESPEC,DATOS!$E7818,nASIG,DATOS!$I7818,nEVAL,"OR")=0))</f>
      </c>
      <c r="I7818">
        <f>IF(DATOS!$I7818="","",IFERROR(VLOOKUP(DATOS!$I7818,CONFIG_ASIGNATURAS!$B$2:$J$91,9,FALSE()),""))</f>
      </c>
    </row>
    <row r="7819">
      <c r="F7819">
        <f>IF(DATOS!$A7819="","",DATOS!$A7819&amp;"|"&amp;DATOS!$D7819&amp;"|"&amp;DATOS!$E7819&amp;"|"&amp;DATOS!$I7819)</f>
      </c>
      <c r="G7819">
        <f>IF(DATOS!$A7819="",0,IF(CONFIG_METADATA!$B$4&lt;&gt;"OR+EX",--(DATOS!$G7819=CONFIG_METADATA!$B$4),IF(DATOS!$G7819="EX",1,IF(DATOS!$G7819="OR",--(COUNTIFS(nNIA,DATOS!$A7819,nCURSO,DATOS!$D7819,nESPEC,DATOS!$E7819,nASIG,DATOS!$I7819,nEVAL,"EX")=0),0))))</f>
      </c>
      <c r="H7819">
        <f>IF(DATOS!$G7819&lt;&gt;"EX",0,--(COUNTIFS(nNIA,DATOS!$A7819,nCURSO,DATOS!$D7819,nESPEC,DATOS!$E7819,nASIG,DATOS!$I7819,nEVAL,"OR")=0))</f>
      </c>
      <c r="I7819">
        <f>IF(DATOS!$I7819="","",IFERROR(VLOOKUP(DATOS!$I7819,CONFIG_ASIGNATURAS!$B$2:$J$91,9,FALSE()),""))</f>
      </c>
    </row>
    <row r="7820">
      <c r="F7820">
        <f>IF(DATOS!$A7820="","",DATOS!$A7820&amp;"|"&amp;DATOS!$D7820&amp;"|"&amp;DATOS!$E7820&amp;"|"&amp;DATOS!$I7820)</f>
      </c>
      <c r="G7820">
        <f>IF(DATOS!$A7820="",0,IF(CONFIG_METADATA!$B$4&lt;&gt;"OR+EX",--(DATOS!$G7820=CONFIG_METADATA!$B$4),IF(DATOS!$G7820="EX",1,IF(DATOS!$G7820="OR",--(COUNTIFS(nNIA,DATOS!$A7820,nCURSO,DATOS!$D7820,nESPEC,DATOS!$E7820,nASIG,DATOS!$I7820,nEVAL,"EX")=0),0))))</f>
      </c>
      <c r="H7820">
        <f>IF(DATOS!$G7820&lt;&gt;"EX",0,--(COUNTIFS(nNIA,DATOS!$A7820,nCURSO,DATOS!$D7820,nESPEC,DATOS!$E7820,nASIG,DATOS!$I7820,nEVAL,"OR")=0))</f>
      </c>
      <c r="I7820">
        <f>IF(DATOS!$I7820="","",IFERROR(VLOOKUP(DATOS!$I7820,CONFIG_ASIGNATURAS!$B$2:$J$91,9,FALSE()),""))</f>
      </c>
    </row>
    <row r="7821">
      <c r="F7821">
        <f>IF(DATOS!$A7821="","",DATOS!$A7821&amp;"|"&amp;DATOS!$D7821&amp;"|"&amp;DATOS!$E7821&amp;"|"&amp;DATOS!$I7821)</f>
      </c>
      <c r="G7821">
        <f>IF(DATOS!$A7821="",0,IF(CONFIG_METADATA!$B$4&lt;&gt;"OR+EX",--(DATOS!$G7821=CONFIG_METADATA!$B$4),IF(DATOS!$G7821="EX",1,IF(DATOS!$G7821="OR",--(COUNTIFS(nNIA,DATOS!$A7821,nCURSO,DATOS!$D7821,nESPEC,DATOS!$E7821,nASIG,DATOS!$I7821,nEVAL,"EX")=0),0))))</f>
      </c>
      <c r="H7821">
        <f>IF(DATOS!$G7821&lt;&gt;"EX",0,--(COUNTIFS(nNIA,DATOS!$A7821,nCURSO,DATOS!$D7821,nESPEC,DATOS!$E7821,nASIG,DATOS!$I7821,nEVAL,"OR")=0))</f>
      </c>
      <c r="I7821">
        <f>IF(DATOS!$I7821="","",IFERROR(VLOOKUP(DATOS!$I7821,CONFIG_ASIGNATURAS!$B$2:$J$91,9,FALSE()),""))</f>
      </c>
    </row>
    <row r="7822">
      <c r="F7822">
        <f>IF(DATOS!$A7822="","",DATOS!$A7822&amp;"|"&amp;DATOS!$D7822&amp;"|"&amp;DATOS!$E7822&amp;"|"&amp;DATOS!$I7822)</f>
      </c>
      <c r="G7822">
        <f>IF(DATOS!$A7822="",0,IF(CONFIG_METADATA!$B$4&lt;&gt;"OR+EX",--(DATOS!$G7822=CONFIG_METADATA!$B$4),IF(DATOS!$G7822="EX",1,IF(DATOS!$G7822="OR",--(COUNTIFS(nNIA,DATOS!$A7822,nCURSO,DATOS!$D7822,nESPEC,DATOS!$E7822,nASIG,DATOS!$I7822,nEVAL,"EX")=0),0))))</f>
      </c>
      <c r="H7822">
        <f>IF(DATOS!$G7822&lt;&gt;"EX",0,--(COUNTIFS(nNIA,DATOS!$A7822,nCURSO,DATOS!$D7822,nESPEC,DATOS!$E7822,nASIG,DATOS!$I7822,nEVAL,"OR")=0))</f>
      </c>
      <c r="I7822">
        <f>IF(DATOS!$I7822="","",IFERROR(VLOOKUP(DATOS!$I7822,CONFIG_ASIGNATURAS!$B$2:$J$91,9,FALSE()),""))</f>
      </c>
    </row>
    <row r="7823">
      <c r="F7823">
        <f>IF(DATOS!$A7823="","",DATOS!$A7823&amp;"|"&amp;DATOS!$D7823&amp;"|"&amp;DATOS!$E7823&amp;"|"&amp;DATOS!$I7823)</f>
      </c>
      <c r="G7823">
        <f>IF(DATOS!$A7823="",0,IF(CONFIG_METADATA!$B$4&lt;&gt;"OR+EX",--(DATOS!$G7823=CONFIG_METADATA!$B$4),IF(DATOS!$G7823="EX",1,IF(DATOS!$G7823="OR",--(COUNTIFS(nNIA,DATOS!$A7823,nCURSO,DATOS!$D7823,nESPEC,DATOS!$E7823,nASIG,DATOS!$I7823,nEVAL,"EX")=0),0))))</f>
      </c>
      <c r="H7823">
        <f>IF(DATOS!$G7823&lt;&gt;"EX",0,--(COUNTIFS(nNIA,DATOS!$A7823,nCURSO,DATOS!$D7823,nESPEC,DATOS!$E7823,nASIG,DATOS!$I7823,nEVAL,"OR")=0))</f>
      </c>
      <c r="I7823">
        <f>IF(DATOS!$I7823="","",IFERROR(VLOOKUP(DATOS!$I7823,CONFIG_ASIGNATURAS!$B$2:$J$91,9,FALSE()),""))</f>
      </c>
    </row>
    <row r="7824">
      <c r="F7824">
        <f>IF(DATOS!$A7824="","",DATOS!$A7824&amp;"|"&amp;DATOS!$D7824&amp;"|"&amp;DATOS!$E7824&amp;"|"&amp;DATOS!$I7824)</f>
      </c>
      <c r="G7824">
        <f>IF(DATOS!$A7824="",0,IF(CONFIG_METADATA!$B$4&lt;&gt;"OR+EX",--(DATOS!$G7824=CONFIG_METADATA!$B$4),IF(DATOS!$G7824="EX",1,IF(DATOS!$G7824="OR",--(COUNTIFS(nNIA,DATOS!$A7824,nCURSO,DATOS!$D7824,nESPEC,DATOS!$E7824,nASIG,DATOS!$I7824,nEVAL,"EX")=0),0))))</f>
      </c>
      <c r="H7824">
        <f>IF(DATOS!$G7824&lt;&gt;"EX",0,--(COUNTIFS(nNIA,DATOS!$A7824,nCURSO,DATOS!$D7824,nESPEC,DATOS!$E7824,nASIG,DATOS!$I7824,nEVAL,"OR")=0))</f>
      </c>
      <c r="I7824">
        <f>IF(DATOS!$I7824="","",IFERROR(VLOOKUP(DATOS!$I7824,CONFIG_ASIGNATURAS!$B$2:$J$91,9,FALSE()),""))</f>
      </c>
    </row>
    <row r="7825">
      <c r="F7825">
        <f>IF(DATOS!$A7825="","",DATOS!$A7825&amp;"|"&amp;DATOS!$D7825&amp;"|"&amp;DATOS!$E7825&amp;"|"&amp;DATOS!$I7825)</f>
      </c>
      <c r="G7825">
        <f>IF(DATOS!$A7825="",0,IF(CONFIG_METADATA!$B$4&lt;&gt;"OR+EX",--(DATOS!$G7825=CONFIG_METADATA!$B$4),IF(DATOS!$G7825="EX",1,IF(DATOS!$G7825="OR",--(COUNTIFS(nNIA,DATOS!$A7825,nCURSO,DATOS!$D7825,nESPEC,DATOS!$E7825,nASIG,DATOS!$I7825,nEVAL,"EX")=0),0))))</f>
      </c>
      <c r="H7825">
        <f>IF(DATOS!$G7825&lt;&gt;"EX",0,--(COUNTIFS(nNIA,DATOS!$A7825,nCURSO,DATOS!$D7825,nESPEC,DATOS!$E7825,nASIG,DATOS!$I7825,nEVAL,"OR")=0))</f>
      </c>
      <c r="I7825">
        <f>IF(DATOS!$I7825="","",IFERROR(VLOOKUP(DATOS!$I7825,CONFIG_ASIGNATURAS!$B$2:$J$91,9,FALSE()),""))</f>
      </c>
    </row>
    <row r="7826">
      <c r="F7826">
        <f>IF(DATOS!$A7826="","",DATOS!$A7826&amp;"|"&amp;DATOS!$D7826&amp;"|"&amp;DATOS!$E7826&amp;"|"&amp;DATOS!$I7826)</f>
      </c>
      <c r="G7826">
        <f>IF(DATOS!$A7826="",0,IF(CONFIG_METADATA!$B$4&lt;&gt;"OR+EX",--(DATOS!$G7826=CONFIG_METADATA!$B$4),IF(DATOS!$G7826="EX",1,IF(DATOS!$G7826="OR",--(COUNTIFS(nNIA,DATOS!$A7826,nCURSO,DATOS!$D7826,nESPEC,DATOS!$E7826,nASIG,DATOS!$I7826,nEVAL,"EX")=0),0))))</f>
      </c>
      <c r="H7826">
        <f>IF(DATOS!$G7826&lt;&gt;"EX",0,--(COUNTIFS(nNIA,DATOS!$A7826,nCURSO,DATOS!$D7826,nESPEC,DATOS!$E7826,nASIG,DATOS!$I7826,nEVAL,"OR")=0))</f>
      </c>
      <c r="I7826">
        <f>IF(DATOS!$I7826="","",IFERROR(VLOOKUP(DATOS!$I7826,CONFIG_ASIGNATURAS!$B$2:$J$91,9,FALSE()),""))</f>
      </c>
    </row>
    <row r="7827">
      <c r="F7827">
        <f>IF(DATOS!$A7827="","",DATOS!$A7827&amp;"|"&amp;DATOS!$D7827&amp;"|"&amp;DATOS!$E7827&amp;"|"&amp;DATOS!$I7827)</f>
      </c>
      <c r="G7827">
        <f>IF(DATOS!$A7827="",0,IF(CONFIG_METADATA!$B$4&lt;&gt;"OR+EX",--(DATOS!$G7827=CONFIG_METADATA!$B$4),IF(DATOS!$G7827="EX",1,IF(DATOS!$G7827="OR",--(COUNTIFS(nNIA,DATOS!$A7827,nCURSO,DATOS!$D7827,nESPEC,DATOS!$E7827,nASIG,DATOS!$I7827,nEVAL,"EX")=0),0))))</f>
      </c>
      <c r="H7827">
        <f>IF(DATOS!$G7827&lt;&gt;"EX",0,--(COUNTIFS(nNIA,DATOS!$A7827,nCURSO,DATOS!$D7827,nESPEC,DATOS!$E7827,nASIG,DATOS!$I7827,nEVAL,"OR")=0))</f>
      </c>
      <c r="I7827">
        <f>IF(DATOS!$I7827="","",IFERROR(VLOOKUP(DATOS!$I7827,CONFIG_ASIGNATURAS!$B$2:$J$91,9,FALSE()),""))</f>
      </c>
    </row>
    <row r="7828">
      <c r="F7828">
        <f>IF(DATOS!$A7828="","",DATOS!$A7828&amp;"|"&amp;DATOS!$D7828&amp;"|"&amp;DATOS!$E7828&amp;"|"&amp;DATOS!$I7828)</f>
      </c>
      <c r="G7828">
        <f>IF(DATOS!$A7828="",0,IF(CONFIG_METADATA!$B$4&lt;&gt;"OR+EX",--(DATOS!$G7828=CONFIG_METADATA!$B$4),IF(DATOS!$G7828="EX",1,IF(DATOS!$G7828="OR",--(COUNTIFS(nNIA,DATOS!$A7828,nCURSO,DATOS!$D7828,nESPEC,DATOS!$E7828,nASIG,DATOS!$I7828,nEVAL,"EX")=0),0))))</f>
      </c>
      <c r="H7828">
        <f>IF(DATOS!$G7828&lt;&gt;"EX",0,--(COUNTIFS(nNIA,DATOS!$A7828,nCURSO,DATOS!$D7828,nESPEC,DATOS!$E7828,nASIG,DATOS!$I7828,nEVAL,"OR")=0))</f>
      </c>
      <c r="I7828">
        <f>IF(DATOS!$I7828="","",IFERROR(VLOOKUP(DATOS!$I7828,CONFIG_ASIGNATURAS!$B$2:$J$91,9,FALSE()),""))</f>
      </c>
    </row>
    <row r="7829">
      <c r="F7829">
        <f>IF(DATOS!$A7829="","",DATOS!$A7829&amp;"|"&amp;DATOS!$D7829&amp;"|"&amp;DATOS!$E7829&amp;"|"&amp;DATOS!$I7829)</f>
      </c>
      <c r="G7829">
        <f>IF(DATOS!$A7829="",0,IF(CONFIG_METADATA!$B$4&lt;&gt;"OR+EX",--(DATOS!$G7829=CONFIG_METADATA!$B$4),IF(DATOS!$G7829="EX",1,IF(DATOS!$G7829="OR",--(COUNTIFS(nNIA,DATOS!$A7829,nCURSO,DATOS!$D7829,nESPEC,DATOS!$E7829,nASIG,DATOS!$I7829,nEVAL,"EX")=0),0))))</f>
      </c>
      <c r="H7829">
        <f>IF(DATOS!$G7829&lt;&gt;"EX",0,--(COUNTIFS(nNIA,DATOS!$A7829,nCURSO,DATOS!$D7829,nESPEC,DATOS!$E7829,nASIG,DATOS!$I7829,nEVAL,"OR")=0))</f>
      </c>
      <c r="I7829">
        <f>IF(DATOS!$I7829="","",IFERROR(VLOOKUP(DATOS!$I7829,CONFIG_ASIGNATURAS!$B$2:$J$91,9,FALSE()),""))</f>
      </c>
    </row>
    <row r="7830">
      <c r="F7830">
        <f>IF(DATOS!$A7830="","",DATOS!$A7830&amp;"|"&amp;DATOS!$D7830&amp;"|"&amp;DATOS!$E7830&amp;"|"&amp;DATOS!$I7830)</f>
      </c>
      <c r="G7830">
        <f>IF(DATOS!$A7830="",0,IF(CONFIG_METADATA!$B$4&lt;&gt;"OR+EX",--(DATOS!$G7830=CONFIG_METADATA!$B$4),IF(DATOS!$G7830="EX",1,IF(DATOS!$G7830="OR",--(COUNTIFS(nNIA,DATOS!$A7830,nCURSO,DATOS!$D7830,nESPEC,DATOS!$E7830,nASIG,DATOS!$I7830,nEVAL,"EX")=0),0))))</f>
      </c>
      <c r="H7830">
        <f>IF(DATOS!$G7830&lt;&gt;"EX",0,--(COUNTIFS(nNIA,DATOS!$A7830,nCURSO,DATOS!$D7830,nESPEC,DATOS!$E7830,nASIG,DATOS!$I7830,nEVAL,"OR")=0))</f>
      </c>
      <c r="I7830">
        <f>IF(DATOS!$I7830="","",IFERROR(VLOOKUP(DATOS!$I7830,CONFIG_ASIGNATURAS!$B$2:$J$91,9,FALSE()),""))</f>
      </c>
    </row>
    <row r="7831">
      <c r="F7831">
        <f>IF(DATOS!$A7831="","",DATOS!$A7831&amp;"|"&amp;DATOS!$D7831&amp;"|"&amp;DATOS!$E7831&amp;"|"&amp;DATOS!$I7831)</f>
      </c>
      <c r="G7831">
        <f>IF(DATOS!$A7831="",0,IF(CONFIG_METADATA!$B$4&lt;&gt;"OR+EX",--(DATOS!$G7831=CONFIG_METADATA!$B$4),IF(DATOS!$G7831="EX",1,IF(DATOS!$G7831="OR",--(COUNTIFS(nNIA,DATOS!$A7831,nCURSO,DATOS!$D7831,nESPEC,DATOS!$E7831,nASIG,DATOS!$I7831,nEVAL,"EX")=0),0))))</f>
      </c>
      <c r="H7831">
        <f>IF(DATOS!$G7831&lt;&gt;"EX",0,--(COUNTIFS(nNIA,DATOS!$A7831,nCURSO,DATOS!$D7831,nESPEC,DATOS!$E7831,nASIG,DATOS!$I7831,nEVAL,"OR")=0))</f>
      </c>
      <c r="I7831">
        <f>IF(DATOS!$I7831="","",IFERROR(VLOOKUP(DATOS!$I7831,CONFIG_ASIGNATURAS!$B$2:$J$91,9,FALSE()),""))</f>
      </c>
    </row>
    <row r="7832">
      <c r="F7832">
        <f>IF(DATOS!$A7832="","",DATOS!$A7832&amp;"|"&amp;DATOS!$D7832&amp;"|"&amp;DATOS!$E7832&amp;"|"&amp;DATOS!$I7832)</f>
      </c>
      <c r="G7832">
        <f>IF(DATOS!$A7832="",0,IF(CONFIG_METADATA!$B$4&lt;&gt;"OR+EX",--(DATOS!$G7832=CONFIG_METADATA!$B$4),IF(DATOS!$G7832="EX",1,IF(DATOS!$G7832="OR",--(COUNTIFS(nNIA,DATOS!$A7832,nCURSO,DATOS!$D7832,nESPEC,DATOS!$E7832,nASIG,DATOS!$I7832,nEVAL,"EX")=0),0))))</f>
      </c>
      <c r="H7832">
        <f>IF(DATOS!$G7832&lt;&gt;"EX",0,--(COUNTIFS(nNIA,DATOS!$A7832,nCURSO,DATOS!$D7832,nESPEC,DATOS!$E7832,nASIG,DATOS!$I7832,nEVAL,"OR")=0))</f>
      </c>
      <c r="I7832">
        <f>IF(DATOS!$I7832="","",IFERROR(VLOOKUP(DATOS!$I7832,CONFIG_ASIGNATURAS!$B$2:$J$91,9,FALSE()),""))</f>
      </c>
    </row>
    <row r="7833">
      <c r="F7833">
        <f>IF(DATOS!$A7833="","",DATOS!$A7833&amp;"|"&amp;DATOS!$D7833&amp;"|"&amp;DATOS!$E7833&amp;"|"&amp;DATOS!$I7833)</f>
      </c>
      <c r="G7833">
        <f>IF(DATOS!$A7833="",0,IF(CONFIG_METADATA!$B$4&lt;&gt;"OR+EX",--(DATOS!$G7833=CONFIG_METADATA!$B$4),IF(DATOS!$G7833="EX",1,IF(DATOS!$G7833="OR",--(COUNTIFS(nNIA,DATOS!$A7833,nCURSO,DATOS!$D7833,nESPEC,DATOS!$E7833,nASIG,DATOS!$I7833,nEVAL,"EX")=0),0))))</f>
      </c>
      <c r="H7833">
        <f>IF(DATOS!$G7833&lt;&gt;"EX",0,--(COUNTIFS(nNIA,DATOS!$A7833,nCURSO,DATOS!$D7833,nESPEC,DATOS!$E7833,nASIG,DATOS!$I7833,nEVAL,"OR")=0))</f>
      </c>
      <c r="I7833">
        <f>IF(DATOS!$I7833="","",IFERROR(VLOOKUP(DATOS!$I7833,CONFIG_ASIGNATURAS!$B$2:$J$91,9,FALSE()),""))</f>
      </c>
    </row>
    <row r="7834">
      <c r="F7834">
        <f>IF(DATOS!$A7834="","",DATOS!$A7834&amp;"|"&amp;DATOS!$D7834&amp;"|"&amp;DATOS!$E7834&amp;"|"&amp;DATOS!$I7834)</f>
      </c>
      <c r="G7834">
        <f>IF(DATOS!$A7834="",0,IF(CONFIG_METADATA!$B$4&lt;&gt;"OR+EX",--(DATOS!$G7834=CONFIG_METADATA!$B$4),IF(DATOS!$G7834="EX",1,IF(DATOS!$G7834="OR",--(COUNTIFS(nNIA,DATOS!$A7834,nCURSO,DATOS!$D7834,nESPEC,DATOS!$E7834,nASIG,DATOS!$I7834,nEVAL,"EX")=0),0))))</f>
      </c>
      <c r="H7834">
        <f>IF(DATOS!$G7834&lt;&gt;"EX",0,--(COUNTIFS(nNIA,DATOS!$A7834,nCURSO,DATOS!$D7834,nESPEC,DATOS!$E7834,nASIG,DATOS!$I7834,nEVAL,"OR")=0))</f>
      </c>
      <c r="I7834">
        <f>IF(DATOS!$I7834="","",IFERROR(VLOOKUP(DATOS!$I7834,CONFIG_ASIGNATURAS!$B$2:$J$91,9,FALSE()),""))</f>
      </c>
    </row>
    <row r="7835">
      <c r="F7835">
        <f>IF(DATOS!$A7835="","",DATOS!$A7835&amp;"|"&amp;DATOS!$D7835&amp;"|"&amp;DATOS!$E7835&amp;"|"&amp;DATOS!$I7835)</f>
      </c>
      <c r="G7835">
        <f>IF(DATOS!$A7835="",0,IF(CONFIG_METADATA!$B$4&lt;&gt;"OR+EX",--(DATOS!$G7835=CONFIG_METADATA!$B$4),IF(DATOS!$G7835="EX",1,IF(DATOS!$G7835="OR",--(COUNTIFS(nNIA,DATOS!$A7835,nCURSO,DATOS!$D7835,nESPEC,DATOS!$E7835,nASIG,DATOS!$I7835,nEVAL,"EX")=0),0))))</f>
      </c>
      <c r="H7835">
        <f>IF(DATOS!$G7835&lt;&gt;"EX",0,--(COUNTIFS(nNIA,DATOS!$A7835,nCURSO,DATOS!$D7835,nESPEC,DATOS!$E7835,nASIG,DATOS!$I7835,nEVAL,"OR")=0))</f>
      </c>
      <c r="I7835">
        <f>IF(DATOS!$I7835="","",IFERROR(VLOOKUP(DATOS!$I7835,CONFIG_ASIGNATURAS!$B$2:$J$91,9,FALSE()),""))</f>
      </c>
    </row>
    <row r="7836">
      <c r="F7836">
        <f>IF(DATOS!$A7836="","",DATOS!$A7836&amp;"|"&amp;DATOS!$D7836&amp;"|"&amp;DATOS!$E7836&amp;"|"&amp;DATOS!$I7836)</f>
      </c>
      <c r="G7836">
        <f>IF(DATOS!$A7836="",0,IF(CONFIG_METADATA!$B$4&lt;&gt;"OR+EX",--(DATOS!$G7836=CONFIG_METADATA!$B$4),IF(DATOS!$G7836="EX",1,IF(DATOS!$G7836="OR",--(COUNTIFS(nNIA,DATOS!$A7836,nCURSO,DATOS!$D7836,nESPEC,DATOS!$E7836,nASIG,DATOS!$I7836,nEVAL,"EX")=0),0))))</f>
      </c>
      <c r="H7836">
        <f>IF(DATOS!$G7836&lt;&gt;"EX",0,--(COUNTIFS(nNIA,DATOS!$A7836,nCURSO,DATOS!$D7836,nESPEC,DATOS!$E7836,nASIG,DATOS!$I7836,nEVAL,"OR")=0))</f>
      </c>
      <c r="I7836">
        <f>IF(DATOS!$I7836="","",IFERROR(VLOOKUP(DATOS!$I7836,CONFIG_ASIGNATURAS!$B$2:$J$91,9,FALSE()),""))</f>
      </c>
    </row>
    <row r="7837">
      <c r="F7837">
        <f>IF(DATOS!$A7837="","",DATOS!$A7837&amp;"|"&amp;DATOS!$D7837&amp;"|"&amp;DATOS!$E7837&amp;"|"&amp;DATOS!$I7837)</f>
      </c>
      <c r="G7837">
        <f>IF(DATOS!$A7837="",0,IF(CONFIG_METADATA!$B$4&lt;&gt;"OR+EX",--(DATOS!$G7837=CONFIG_METADATA!$B$4),IF(DATOS!$G7837="EX",1,IF(DATOS!$G7837="OR",--(COUNTIFS(nNIA,DATOS!$A7837,nCURSO,DATOS!$D7837,nESPEC,DATOS!$E7837,nASIG,DATOS!$I7837,nEVAL,"EX")=0),0))))</f>
      </c>
      <c r="H7837">
        <f>IF(DATOS!$G7837&lt;&gt;"EX",0,--(COUNTIFS(nNIA,DATOS!$A7837,nCURSO,DATOS!$D7837,nESPEC,DATOS!$E7837,nASIG,DATOS!$I7837,nEVAL,"OR")=0))</f>
      </c>
      <c r="I7837">
        <f>IF(DATOS!$I7837="","",IFERROR(VLOOKUP(DATOS!$I7837,CONFIG_ASIGNATURAS!$B$2:$J$91,9,FALSE()),""))</f>
      </c>
    </row>
    <row r="7838">
      <c r="F7838">
        <f>IF(DATOS!$A7838="","",DATOS!$A7838&amp;"|"&amp;DATOS!$D7838&amp;"|"&amp;DATOS!$E7838&amp;"|"&amp;DATOS!$I7838)</f>
      </c>
      <c r="G7838">
        <f>IF(DATOS!$A7838="",0,IF(CONFIG_METADATA!$B$4&lt;&gt;"OR+EX",--(DATOS!$G7838=CONFIG_METADATA!$B$4),IF(DATOS!$G7838="EX",1,IF(DATOS!$G7838="OR",--(COUNTIFS(nNIA,DATOS!$A7838,nCURSO,DATOS!$D7838,nESPEC,DATOS!$E7838,nASIG,DATOS!$I7838,nEVAL,"EX")=0),0))))</f>
      </c>
      <c r="H7838">
        <f>IF(DATOS!$G7838&lt;&gt;"EX",0,--(COUNTIFS(nNIA,DATOS!$A7838,nCURSO,DATOS!$D7838,nESPEC,DATOS!$E7838,nASIG,DATOS!$I7838,nEVAL,"OR")=0))</f>
      </c>
      <c r="I7838">
        <f>IF(DATOS!$I7838="","",IFERROR(VLOOKUP(DATOS!$I7838,CONFIG_ASIGNATURAS!$B$2:$J$91,9,FALSE()),""))</f>
      </c>
    </row>
    <row r="7839">
      <c r="F7839">
        <f>IF(DATOS!$A7839="","",DATOS!$A7839&amp;"|"&amp;DATOS!$D7839&amp;"|"&amp;DATOS!$E7839&amp;"|"&amp;DATOS!$I7839)</f>
      </c>
      <c r="G7839">
        <f>IF(DATOS!$A7839="",0,IF(CONFIG_METADATA!$B$4&lt;&gt;"OR+EX",--(DATOS!$G7839=CONFIG_METADATA!$B$4),IF(DATOS!$G7839="EX",1,IF(DATOS!$G7839="OR",--(COUNTIFS(nNIA,DATOS!$A7839,nCURSO,DATOS!$D7839,nESPEC,DATOS!$E7839,nASIG,DATOS!$I7839,nEVAL,"EX")=0),0))))</f>
      </c>
      <c r="H7839">
        <f>IF(DATOS!$G7839&lt;&gt;"EX",0,--(COUNTIFS(nNIA,DATOS!$A7839,nCURSO,DATOS!$D7839,nESPEC,DATOS!$E7839,nASIG,DATOS!$I7839,nEVAL,"OR")=0))</f>
      </c>
      <c r="I7839">
        <f>IF(DATOS!$I7839="","",IFERROR(VLOOKUP(DATOS!$I7839,CONFIG_ASIGNATURAS!$B$2:$J$91,9,FALSE()),""))</f>
      </c>
    </row>
    <row r="7840">
      <c r="F7840">
        <f>IF(DATOS!$A7840="","",DATOS!$A7840&amp;"|"&amp;DATOS!$D7840&amp;"|"&amp;DATOS!$E7840&amp;"|"&amp;DATOS!$I7840)</f>
      </c>
      <c r="G7840">
        <f>IF(DATOS!$A7840="",0,IF(CONFIG_METADATA!$B$4&lt;&gt;"OR+EX",--(DATOS!$G7840=CONFIG_METADATA!$B$4),IF(DATOS!$G7840="EX",1,IF(DATOS!$G7840="OR",--(COUNTIFS(nNIA,DATOS!$A7840,nCURSO,DATOS!$D7840,nESPEC,DATOS!$E7840,nASIG,DATOS!$I7840,nEVAL,"EX")=0),0))))</f>
      </c>
      <c r="H7840">
        <f>IF(DATOS!$G7840&lt;&gt;"EX",0,--(COUNTIFS(nNIA,DATOS!$A7840,nCURSO,DATOS!$D7840,nESPEC,DATOS!$E7840,nASIG,DATOS!$I7840,nEVAL,"OR")=0))</f>
      </c>
      <c r="I7840">
        <f>IF(DATOS!$I7840="","",IFERROR(VLOOKUP(DATOS!$I7840,CONFIG_ASIGNATURAS!$B$2:$J$91,9,FALSE()),""))</f>
      </c>
    </row>
    <row r="7841">
      <c r="F7841">
        <f>IF(DATOS!$A7841="","",DATOS!$A7841&amp;"|"&amp;DATOS!$D7841&amp;"|"&amp;DATOS!$E7841&amp;"|"&amp;DATOS!$I7841)</f>
      </c>
      <c r="G7841">
        <f>IF(DATOS!$A7841="",0,IF(CONFIG_METADATA!$B$4&lt;&gt;"OR+EX",--(DATOS!$G7841=CONFIG_METADATA!$B$4),IF(DATOS!$G7841="EX",1,IF(DATOS!$G7841="OR",--(COUNTIFS(nNIA,DATOS!$A7841,nCURSO,DATOS!$D7841,nESPEC,DATOS!$E7841,nASIG,DATOS!$I7841,nEVAL,"EX")=0),0))))</f>
      </c>
      <c r="H7841">
        <f>IF(DATOS!$G7841&lt;&gt;"EX",0,--(COUNTIFS(nNIA,DATOS!$A7841,nCURSO,DATOS!$D7841,nESPEC,DATOS!$E7841,nASIG,DATOS!$I7841,nEVAL,"OR")=0))</f>
      </c>
      <c r="I7841">
        <f>IF(DATOS!$I7841="","",IFERROR(VLOOKUP(DATOS!$I7841,CONFIG_ASIGNATURAS!$B$2:$J$91,9,FALSE()),""))</f>
      </c>
    </row>
    <row r="7842">
      <c r="F7842">
        <f>IF(DATOS!$A7842="","",DATOS!$A7842&amp;"|"&amp;DATOS!$D7842&amp;"|"&amp;DATOS!$E7842&amp;"|"&amp;DATOS!$I7842)</f>
      </c>
      <c r="G7842">
        <f>IF(DATOS!$A7842="",0,IF(CONFIG_METADATA!$B$4&lt;&gt;"OR+EX",--(DATOS!$G7842=CONFIG_METADATA!$B$4),IF(DATOS!$G7842="EX",1,IF(DATOS!$G7842="OR",--(COUNTIFS(nNIA,DATOS!$A7842,nCURSO,DATOS!$D7842,nESPEC,DATOS!$E7842,nASIG,DATOS!$I7842,nEVAL,"EX")=0),0))))</f>
      </c>
      <c r="H7842">
        <f>IF(DATOS!$G7842&lt;&gt;"EX",0,--(COUNTIFS(nNIA,DATOS!$A7842,nCURSO,DATOS!$D7842,nESPEC,DATOS!$E7842,nASIG,DATOS!$I7842,nEVAL,"OR")=0))</f>
      </c>
      <c r="I7842">
        <f>IF(DATOS!$I7842="","",IFERROR(VLOOKUP(DATOS!$I7842,CONFIG_ASIGNATURAS!$B$2:$J$91,9,FALSE()),""))</f>
      </c>
    </row>
    <row r="7843">
      <c r="F7843">
        <f>IF(DATOS!$A7843="","",DATOS!$A7843&amp;"|"&amp;DATOS!$D7843&amp;"|"&amp;DATOS!$E7843&amp;"|"&amp;DATOS!$I7843)</f>
      </c>
      <c r="G7843">
        <f>IF(DATOS!$A7843="",0,IF(CONFIG_METADATA!$B$4&lt;&gt;"OR+EX",--(DATOS!$G7843=CONFIG_METADATA!$B$4),IF(DATOS!$G7843="EX",1,IF(DATOS!$G7843="OR",--(COUNTIFS(nNIA,DATOS!$A7843,nCURSO,DATOS!$D7843,nESPEC,DATOS!$E7843,nASIG,DATOS!$I7843,nEVAL,"EX")=0),0))))</f>
      </c>
      <c r="H7843">
        <f>IF(DATOS!$G7843&lt;&gt;"EX",0,--(COUNTIFS(nNIA,DATOS!$A7843,nCURSO,DATOS!$D7843,nESPEC,DATOS!$E7843,nASIG,DATOS!$I7843,nEVAL,"OR")=0))</f>
      </c>
      <c r="I7843">
        <f>IF(DATOS!$I7843="","",IFERROR(VLOOKUP(DATOS!$I7843,CONFIG_ASIGNATURAS!$B$2:$J$91,9,FALSE()),""))</f>
      </c>
    </row>
    <row r="7844">
      <c r="F7844">
        <f>IF(DATOS!$A7844="","",DATOS!$A7844&amp;"|"&amp;DATOS!$D7844&amp;"|"&amp;DATOS!$E7844&amp;"|"&amp;DATOS!$I7844)</f>
      </c>
      <c r="G7844">
        <f>IF(DATOS!$A7844="",0,IF(CONFIG_METADATA!$B$4&lt;&gt;"OR+EX",--(DATOS!$G7844=CONFIG_METADATA!$B$4),IF(DATOS!$G7844="EX",1,IF(DATOS!$G7844="OR",--(COUNTIFS(nNIA,DATOS!$A7844,nCURSO,DATOS!$D7844,nESPEC,DATOS!$E7844,nASIG,DATOS!$I7844,nEVAL,"EX")=0),0))))</f>
      </c>
      <c r="H7844">
        <f>IF(DATOS!$G7844&lt;&gt;"EX",0,--(COUNTIFS(nNIA,DATOS!$A7844,nCURSO,DATOS!$D7844,nESPEC,DATOS!$E7844,nASIG,DATOS!$I7844,nEVAL,"OR")=0))</f>
      </c>
      <c r="I7844">
        <f>IF(DATOS!$I7844="","",IFERROR(VLOOKUP(DATOS!$I7844,CONFIG_ASIGNATURAS!$B$2:$J$91,9,FALSE()),""))</f>
      </c>
    </row>
    <row r="7845">
      <c r="F7845">
        <f>IF(DATOS!$A7845="","",DATOS!$A7845&amp;"|"&amp;DATOS!$D7845&amp;"|"&amp;DATOS!$E7845&amp;"|"&amp;DATOS!$I7845)</f>
      </c>
      <c r="G7845">
        <f>IF(DATOS!$A7845="",0,IF(CONFIG_METADATA!$B$4&lt;&gt;"OR+EX",--(DATOS!$G7845=CONFIG_METADATA!$B$4),IF(DATOS!$G7845="EX",1,IF(DATOS!$G7845="OR",--(COUNTIFS(nNIA,DATOS!$A7845,nCURSO,DATOS!$D7845,nESPEC,DATOS!$E7845,nASIG,DATOS!$I7845,nEVAL,"EX")=0),0))))</f>
      </c>
      <c r="H7845">
        <f>IF(DATOS!$G7845&lt;&gt;"EX",0,--(COUNTIFS(nNIA,DATOS!$A7845,nCURSO,DATOS!$D7845,nESPEC,DATOS!$E7845,nASIG,DATOS!$I7845,nEVAL,"OR")=0))</f>
      </c>
      <c r="I7845">
        <f>IF(DATOS!$I7845="","",IFERROR(VLOOKUP(DATOS!$I7845,CONFIG_ASIGNATURAS!$B$2:$J$91,9,FALSE()),""))</f>
      </c>
    </row>
    <row r="7846">
      <c r="F7846">
        <f>IF(DATOS!$A7846="","",DATOS!$A7846&amp;"|"&amp;DATOS!$D7846&amp;"|"&amp;DATOS!$E7846&amp;"|"&amp;DATOS!$I7846)</f>
      </c>
      <c r="G7846">
        <f>IF(DATOS!$A7846="",0,IF(CONFIG_METADATA!$B$4&lt;&gt;"OR+EX",--(DATOS!$G7846=CONFIG_METADATA!$B$4),IF(DATOS!$G7846="EX",1,IF(DATOS!$G7846="OR",--(COUNTIFS(nNIA,DATOS!$A7846,nCURSO,DATOS!$D7846,nESPEC,DATOS!$E7846,nASIG,DATOS!$I7846,nEVAL,"EX")=0),0))))</f>
      </c>
      <c r="H7846">
        <f>IF(DATOS!$G7846&lt;&gt;"EX",0,--(COUNTIFS(nNIA,DATOS!$A7846,nCURSO,DATOS!$D7846,nESPEC,DATOS!$E7846,nASIG,DATOS!$I7846,nEVAL,"OR")=0))</f>
      </c>
      <c r="I7846">
        <f>IF(DATOS!$I7846="","",IFERROR(VLOOKUP(DATOS!$I7846,CONFIG_ASIGNATURAS!$B$2:$J$91,9,FALSE()),""))</f>
      </c>
    </row>
    <row r="7847">
      <c r="F7847">
        <f>IF(DATOS!$A7847="","",DATOS!$A7847&amp;"|"&amp;DATOS!$D7847&amp;"|"&amp;DATOS!$E7847&amp;"|"&amp;DATOS!$I7847)</f>
      </c>
      <c r="G7847">
        <f>IF(DATOS!$A7847="",0,IF(CONFIG_METADATA!$B$4&lt;&gt;"OR+EX",--(DATOS!$G7847=CONFIG_METADATA!$B$4),IF(DATOS!$G7847="EX",1,IF(DATOS!$G7847="OR",--(COUNTIFS(nNIA,DATOS!$A7847,nCURSO,DATOS!$D7847,nESPEC,DATOS!$E7847,nASIG,DATOS!$I7847,nEVAL,"EX")=0),0))))</f>
      </c>
      <c r="H7847">
        <f>IF(DATOS!$G7847&lt;&gt;"EX",0,--(COUNTIFS(nNIA,DATOS!$A7847,nCURSO,DATOS!$D7847,nESPEC,DATOS!$E7847,nASIG,DATOS!$I7847,nEVAL,"OR")=0))</f>
      </c>
      <c r="I7847">
        <f>IF(DATOS!$I7847="","",IFERROR(VLOOKUP(DATOS!$I7847,CONFIG_ASIGNATURAS!$B$2:$J$91,9,FALSE()),""))</f>
      </c>
    </row>
    <row r="7848">
      <c r="F7848">
        <f>IF(DATOS!$A7848="","",DATOS!$A7848&amp;"|"&amp;DATOS!$D7848&amp;"|"&amp;DATOS!$E7848&amp;"|"&amp;DATOS!$I7848)</f>
      </c>
      <c r="G7848">
        <f>IF(DATOS!$A7848="",0,IF(CONFIG_METADATA!$B$4&lt;&gt;"OR+EX",--(DATOS!$G7848=CONFIG_METADATA!$B$4),IF(DATOS!$G7848="EX",1,IF(DATOS!$G7848="OR",--(COUNTIFS(nNIA,DATOS!$A7848,nCURSO,DATOS!$D7848,nESPEC,DATOS!$E7848,nASIG,DATOS!$I7848,nEVAL,"EX")=0),0))))</f>
      </c>
      <c r="H7848">
        <f>IF(DATOS!$G7848&lt;&gt;"EX",0,--(COUNTIFS(nNIA,DATOS!$A7848,nCURSO,DATOS!$D7848,nESPEC,DATOS!$E7848,nASIG,DATOS!$I7848,nEVAL,"OR")=0))</f>
      </c>
      <c r="I7848">
        <f>IF(DATOS!$I7848="","",IFERROR(VLOOKUP(DATOS!$I7848,CONFIG_ASIGNATURAS!$B$2:$J$91,9,FALSE()),""))</f>
      </c>
    </row>
    <row r="7849">
      <c r="F7849">
        <f>IF(DATOS!$A7849="","",DATOS!$A7849&amp;"|"&amp;DATOS!$D7849&amp;"|"&amp;DATOS!$E7849&amp;"|"&amp;DATOS!$I7849)</f>
      </c>
      <c r="G7849">
        <f>IF(DATOS!$A7849="",0,IF(CONFIG_METADATA!$B$4&lt;&gt;"OR+EX",--(DATOS!$G7849=CONFIG_METADATA!$B$4),IF(DATOS!$G7849="EX",1,IF(DATOS!$G7849="OR",--(COUNTIFS(nNIA,DATOS!$A7849,nCURSO,DATOS!$D7849,nESPEC,DATOS!$E7849,nASIG,DATOS!$I7849,nEVAL,"EX")=0),0))))</f>
      </c>
      <c r="H7849">
        <f>IF(DATOS!$G7849&lt;&gt;"EX",0,--(COUNTIFS(nNIA,DATOS!$A7849,nCURSO,DATOS!$D7849,nESPEC,DATOS!$E7849,nASIG,DATOS!$I7849,nEVAL,"OR")=0))</f>
      </c>
      <c r="I7849">
        <f>IF(DATOS!$I7849="","",IFERROR(VLOOKUP(DATOS!$I7849,CONFIG_ASIGNATURAS!$B$2:$J$91,9,FALSE()),""))</f>
      </c>
    </row>
    <row r="7850">
      <c r="F7850">
        <f>IF(DATOS!$A7850="","",DATOS!$A7850&amp;"|"&amp;DATOS!$D7850&amp;"|"&amp;DATOS!$E7850&amp;"|"&amp;DATOS!$I7850)</f>
      </c>
      <c r="G7850">
        <f>IF(DATOS!$A7850="",0,IF(CONFIG_METADATA!$B$4&lt;&gt;"OR+EX",--(DATOS!$G7850=CONFIG_METADATA!$B$4),IF(DATOS!$G7850="EX",1,IF(DATOS!$G7850="OR",--(COUNTIFS(nNIA,DATOS!$A7850,nCURSO,DATOS!$D7850,nESPEC,DATOS!$E7850,nASIG,DATOS!$I7850,nEVAL,"EX")=0),0))))</f>
      </c>
      <c r="H7850">
        <f>IF(DATOS!$G7850&lt;&gt;"EX",0,--(COUNTIFS(nNIA,DATOS!$A7850,nCURSO,DATOS!$D7850,nESPEC,DATOS!$E7850,nASIG,DATOS!$I7850,nEVAL,"OR")=0))</f>
      </c>
      <c r="I7850">
        <f>IF(DATOS!$I7850="","",IFERROR(VLOOKUP(DATOS!$I7850,CONFIG_ASIGNATURAS!$B$2:$J$91,9,FALSE()),""))</f>
      </c>
    </row>
    <row r="7851">
      <c r="F7851">
        <f>IF(DATOS!$A7851="","",DATOS!$A7851&amp;"|"&amp;DATOS!$D7851&amp;"|"&amp;DATOS!$E7851&amp;"|"&amp;DATOS!$I7851)</f>
      </c>
      <c r="G7851">
        <f>IF(DATOS!$A7851="",0,IF(CONFIG_METADATA!$B$4&lt;&gt;"OR+EX",--(DATOS!$G7851=CONFIG_METADATA!$B$4),IF(DATOS!$G7851="EX",1,IF(DATOS!$G7851="OR",--(COUNTIFS(nNIA,DATOS!$A7851,nCURSO,DATOS!$D7851,nESPEC,DATOS!$E7851,nASIG,DATOS!$I7851,nEVAL,"EX")=0),0))))</f>
      </c>
      <c r="H7851">
        <f>IF(DATOS!$G7851&lt;&gt;"EX",0,--(COUNTIFS(nNIA,DATOS!$A7851,nCURSO,DATOS!$D7851,nESPEC,DATOS!$E7851,nASIG,DATOS!$I7851,nEVAL,"OR")=0))</f>
      </c>
      <c r="I7851">
        <f>IF(DATOS!$I7851="","",IFERROR(VLOOKUP(DATOS!$I7851,CONFIG_ASIGNATURAS!$B$2:$J$91,9,FALSE()),""))</f>
      </c>
    </row>
    <row r="7852">
      <c r="F7852">
        <f>IF(DATOS!$A7852="","",DATOS!$A7852&amp;"|"&amp;DATOS!$D7852&amp;"|"&amp;DATOS!$E7852&amp;"|"&amp;DATOS!$I7852)</f>
      </c>
      <c r="G7852">
        <f>IF(DATOS!$A7852="",0,IF(CONFIG_METADATA!$B$4&lt;&gt;"OR+EX",--(DATOS!$G7852=CONFIG_METADATA!$B$4),IF(DATOS!$G7852="EX",1,IF(DATOS!$G7852="OR",--(COUNTIFS(nNIA,DATOS!$A7852,nCURSO,DATOS!$D7852,nESPEC,DATOS!$E7852,nASIG,DATOS!$I7852,nEVAL,"EX")=0),0))))</f>
      </c>
      <c r="H7852">
        <f>IF(DATOS!$G7852&lt;&gt;"EX",0,--(COUNTIFS(nNIA,DATOS!$A7852,nCURSO,DATOS!$D7852,nESPEC,DATOS!$E7852,nASIG,DATOS!$I7852,nEVAL,"OR")=0))</f>
      </c>
      <c r="I7852">
        <f>IF(DATOS!$I7852="","",IFERROR(VLOOKUP(DATOS!$I7852,CONFIG_ASIGNATURAS!$B$2:$J$91,9,FALSE()),""))</f>
      </c>
    </row>
    <row r="7853">
      <c r="F7853">
        <f>IF(DATOS!$A7853="","",DATOS!$A7853&amp;"|"&amp;DATOS!$D7853&amp;"|"&amp;DATOS!$E7853&amp;"|"&amp;DATOS!$I7853)</f>
      </c>
      <c r="G7853">
        <f>IF(DATOS!$A7853="",0,IF(CONFIG_METADATA!$B$4&lt;&gt;"OR+EX",--(DATOS!$G7853=CONFIG_METADATA!$B$4),IF(DATOS!$G7853="EX",1,IF(DATOS!$G7853="OR",--(COUNTIFS(nNIA,DATOS!$A7853,nCURSO,DATOS!$D7853,nESPEC,DATOS!$E7853,nASIG,DATOS!$I7853,nEVAL,"EX")=0),0))))</f>
      </c>
      <c r="H7853">
        <f>IF(DATOS!$G7853&lt;&gt;"EX",0,--(COUNTIFS(nNIA,DATOS!$A7853,nCURSO,DATOS!$D7853,nESPEC,DATOS!$E7853,nASIG,DATOS!$I7853,nEVAL,"OR")=0))</f>
      </c>
      <c r="I7853">
        <f>IF(DATOS!$I7853="","",IFERROR(VLOOKUP(DATOS!$I7853,CONFIG_ASIGNATURAS!$B$2:$J$91,9,FALSE()),""))</f>
      </c>
    </row>
    <row r="7854">
      <c r="F7854">
        <f>IF(DATOS!$A7854="","",DATOS!$A7854&amp;"|"&amp;DATOS!$D7854&amp;"|"&amp;DATOS!$E7854&amp;"|"&amp;DATOS!$I7854)</f>
      </c>
      <c r="G7854">
        <f>IF(DATOS!$A7854="",0,IF(CONFIG_METADATA!$B$4&lt;&gt;"OR+EX",--(DATOS!$G7854=CONFIG_METADATA!$B$4),IF(DATOS!$G7854="EX",1,IF(DATOS!$G7854="OR",--(COUNTIFS(nNIA,DATOS!$A7854,nCURSO,DATOS!$D7854,nESPEC,DATOS!$E7854,nASIG,DATOS!$I7854,nEVAL,"EX")=0),0))))</f>
      </c>
      <c r="H7854">
        <f>IF(DATOS!$G7854&lt;&gt;"EX",0,--(COUNTIFS(nNIA,DATOS!$A7854,nCURSO,DATOS!$D7854,nESPEC,DATOS!$E7854,nASIG,DATOS!$I7854,nEVAL,"OR")=0))</f>
      </c>
      <c r="I7854">
        <f>IF(DATOS!$I7854="","",IFERROR(VLOOKUP(DATOS!$I7854,CONFIG_ASIGNATURAS!$B$2:$J$91,9,FALSE()),""))</f>
      </c>
    </row>
    <row r="7855">
      <c r="F7855">
        <f>IF(DATOS!$A7855="","",DATOS!$A7855&amp;"|"&amp;DATOS!$D7855&amp;"|"&amp;DATOS!$E7855&amp;"|"&amp;DATOS!$I7855)</f>
      </c>
      <c r="G7855">
        <f>IF(DATOS!$A7855="",0,IF(CONFIG_METADATA!$B$4&lt;&gt;"OR+EX",--(DATOS!$G7855=CONFIG_METADATA!$B$4),IF(DATOS!$G7855="EX",1,IF(DATOS!$G7855="OR",--(COUNTIFS(nNIA,DATOS!$A7855,nCURSO,DATOS!$D7855,nESPEC,DATOS!$E7855,nASIG,DATOS!$I7855,nEVAL,"EX")=0),0))))</f>
      </c>
      <c r="H7855">
        <f>IF(DATOS!$G7855&lt;&gt;"EX",0,--(COUNTIFS(nNIA,DATOS!$A7855,nCURSO,DATOS!$D7855,nESPEC,DATOS!$E7855,nASIG,DATOS!$I7855,nEVAL,"OR")=0))</f>
      </c>
      <c r="I7855">
        <f>IF(DATOS!$I7855="","",IFERROR(VLOOKUP(DATOS!$I7855,CONFIG_ASIGNATURAS!$B$2:$J$91,9,FALSE()),""))</f>
      </c>
    </row>
    <row r="7856">
      <c r="F7856">
        <f>IF(DATOS!$A7856="","",DATOS!$A7856&amp;"|"&amp;DATOS!$D7856&amp;"|"&amp;DATOS!$E7856&amp;"|"&amp;DATOS!$I7856)</f>
      </c>
      <c r="G7856">
        <f>IF(DATOS!$A7856="",0,IF(CONFIG_METADATA!$B$4&lt;&gt;"OR+EX",--(DATOS!$G7856=CONFIG_METADATA!$B$4),IF(DATOS!$G7856="EX",1,IF(DATOS!$G7856="OR",--(COUNTIFS(nNIA,DATOS!$A7856,nCURSO,DATOS!$D7856,nESPEC,DATOS!$E7856,nASIG,DATOS!$I7856,nEVAL,"EX")=0),0))))</f>
      </c>
      <c r="H7856">
        <f>IF(DATOS!$G7856&lt;&gt;"EX",0,--(COUNTIFS(nNIA,DATOS!$A7856,nCURSO,DATOS!$D7856,nESPEC,DATOS!$E7856,nASIG,DATOS!$I7856,nEVAL,"OR")=0))</f>
      </c>
      <c r="I7856">
        <f>IF(DATOS!$I7856="","",IFERROR(VLOOKUP(DATOS!$I7856,CONFIG_ASIGNATURAS!$B$2:$J$91,9,FALSE()),""))</f>
      </c>
    </row>
    <row r="7857">
      <c r="F7857">
        <f>IF(DATOS!$A7857="","",DATOS!$A7857&amp;"|"&amp;DATOS!$D7857&amp;"|"&amp;DATOS!$E7857&amp;"|"&amp;DATOS!$I7857)</f>
      </c>
      <c r="G7857">
        <f>IF(DATOS!$A7857="",0,IF(CONFIG_METADATA!$B$4&lt;&gt;"OR+EX",--(DATOS!$G7857=CONFIG_METADATA!$B$4),IF(DATOS!$G7857="EX",1,IF(DATOS!$G7857="OR",--(COUNTIFS(nNIA,DATOS!$A7857,nCURSO,DATOS!$D7857,nESPEC,DATOS!$E7857,nASIG,DATOS!$I7857,nEVAL,"EX")=0),0))))</f>
      </c>
      <c r="H7857">
        <f>IF(DATOS!$G7857&lt;&gt;"EX",0,--(COUNTIFS(nNIA,DATOS!$A7857,nCURSO,DATOS!$D7857,nESPEC,DATOS!$E7857,nASIG,DATOS!$I7857,nEVAL,"OR")=0))</f>
      </c>
      <c r="I7857">
        <f>IF(DATOS!$I7857="","",IFERROR(VLOOKUP(DATOS!$I7857,CONFIG_ASIGNATURAS!$B$2:$J$91,9,FALSE()),""))</f>
      </c>
    </row>
    <row r="7858">
      <c r="F7858">
        <f>IF(DATOS!$A7858="","",DATOS!$A7858&amp;"|"&amp;DATOS!$D7858&amp;"|"&amp;DATOS!$E7858&amp;"|"&amp;DATOS!$I7858)</f>
      </c>
      <c r="G7858">
        <f>IF(DATOS!$A7858="",0,IF(CONFIG_METADATA!$B$4&lt;&gt;"OR+EX",--(DATOS!$G7858=CONFIG_METADATA!$B$4),IF(DATOS!$G7858="EX",1,IF(DATOS!$G7858="OR",--(COUNTIFS(nNIA,DATOS!$A7858,nCURSO,DATOS!$D7858,nESPEC,DATOS!$E7858,nASIG,DATOS!$I7858,nEVAL,"EX")=0),0))))</f>
      </c>
      <c r="H7858">
        <f>IF(DATOS!$G7858&lt;&gt;"EX",0,--(COUNTIFS(nNIA,DATOS!$A7858,nCURSO,DATOS!$D7858,nESPEC,DATOS!$E7858,nASIG,DATOS!$I7858,nEVAL,"OR")=0))</f>
      </c>
      <c r="I7858">
        <f>IF(DATOS!$I7858="","",IFERROR(VLOOKUP(DATOS!$I7858,CONFIG_ASIGNATURAS!$B$2:$J$91,9,FALSE()),""))</f>
      </c>
    </row>
    <row r="7859">
      <c r="F7859">
        <f>IF(DATOS!$A7859="","",DATOS!$A7859&amp;"|"&amp;DATOS!$D7859&amp;"|"&amp;DATOS!$E7859&amp;"|"&amp;DATOS!$I7859)</f>
      </c>
      <c r="G7859">
        <f>IF(DATOS!$A7859="",0,IF(CONFIG_METADATA!$B$4&lt;&gt;"OR+EX",--(DATOS!$G7859=CONFIG_METADATA!$B$4),IF(DATOS!$G7859="EX",1,IF(DATOS!$G7859="OR",--(COUNTIFS(nNIA,DATOS!$A7859,nCURSO,DATOS!$D7859,nESPEC,DATOS!$E7859,nASIG,DATOS!$I7859,nEVAL,"EX")=0),0))))</f>
      </c>
      <c r="H7859">
        <f>IF(DATOS!$G7859&lt;&gt;"EX",0,--(COUNTIFS(nNIA,DATOS!$A7859,nCURSO,DATOS!$D7859,nESPEC,DATOS!$E7859,nASIG,DATOS!$I7859,nEVAL,"OR")=0))</f>
      </c>
      <c r="I7859">
        <f>IF(DATOS!$I7859="","",IFERROR(VLOOKUP(DATOS!$I7859,CONFIG_ASIGNATURAS!$B$2:$J$91,9,FALSE()),""))</f>
      </c>
    </row>
    <row r="7860">
      <c r="F7860">
        <f>IF(DATOS!$A7860="","",DATOS!$A7860&amp;"|"&amp;DATOS!$D7860&amp;"|"&amp;DATOS!$E7860&amp;"|"&amp;DATOS!$I7860)</f>
      </c>
      <c r="G7860">
        <f>IF(DATOS!$A7860="",0,IF(CONFIG_METADATA!$B$4&lt;&gt;"OR+EX",--(DATOS!$G7860=CONFIG_METADATA!$B$4),IF(DATOS!$G7860="EX",1,IF(DATOS!$G7860="OR",--(COUNTIFS(nNIA,DATOS!$A7860,nCURSO,DATOS!$D7860,nESPEC,DATOS!$E7860,nASIG,DATOS!$I7860,nEVAL,"EX")=0),0))))</f>
      </c>
      <c r="H7860">
        <f>IF(DATOS!$G7860&lt;&gt;"EX",0,--(COUNTIFS(nNIA,DATOS!$A7860,nCURSO,DATOS!$D7860,nESPEC,DATOS!$E7860,nASIG,DATOS!$I7860,nEVAL,"OR")=0))</f>
      </c>
      <c r="I7860">
        <f>IF(DATOS!$I7860="","",IFERROR(VLOOKUP(DATOS!$I7860,CONFIG_ASIGNATURAS!$B$2:$J$91,9,FALSE()),""))</f>
      </c>
    </row>
    <row r="7861">
      <c r="F7861">
        <f>IF(DATOS!$A7861="","",DATOS!$A7861&amp;"|"&amp;DATOS!$D7861&amp;"|"&amp;DATOS!$E7861&amp;"|"&amp;DATOS!$I7861)</f>
      </c>
      <c r="G7861">
        <f>IF(DATOS!$A7861="",0,IF(CONFIG_METADATA!$B$4&lt;&gt;"OR+EX",--(DATOS!$G7861=CONFIG_METADATA!$B$4),IF(DATOS!$G7861="EX",1,IF(DATOS!$G7861="OR",--(COUNTIFS(nNIA,DATOS!$A7861,nCURSO,DATOS!$D7861,nESPEC,DATOS!$E7861,nASIG,DATOS!$I7861,nEVAL,"EX")=0),0))))</f>
      </c>
      <c r="H7861">
        <f>IF(DATOS!$G7861&lt;&gt;"EX",0,--(COUNTIFS(nNIA,DATOS!$A7861,nCURSO,DATOS!$D7861,nESPEC,DATOS!$E7861,nASIG,DATOS!$I7861,nEVAL,"OR")=0))</f>
      </c>
      <c r="I7861">
        <f>IF(DATOS!$I7861="","",IFERROR(VLOOKUP(DATOS!$I7861,CONFIG_ASIGNATURAS!$B$2:$J$91,9,FALSE()),""))</f>
      </c>
    </row>
    <row r="7862">
      <c r="F7862">
        <f>IF(DATOS!$A7862="","",DATOS!$A7862&amp;"|"&amp;DATOS!$D7862&amp;"|"&amp;DATOS!$E7862&amp;"|"&amp;DATOS!$I7862)</f>
      </c>
      <c r="G7862">
        <f>IF(DATOS!$A7862="",0,IF(CONFIG_METADATA!$B$4&lt;&gt;"OR+EX",--(DATOS!$G7862=CONFIG_METADATA!$B$4),IF(DATOS!$G7862="EX",1,IF(DATOS!$G7862="OR",--(COUNTIFS(nNIA,DATOS!$A7862,nCURSO,DATOS!$D7862,nESPEC,DATOS!$E7862,nASIG,DATOS!$I7862,nEVAL,"EX")=0),0))))</f>
      </c>
      <c r="H7862">
        <f>IF(DATOS!$G7862&lt;&gt;"EX",0,--(COUNTIFS(nNIA,DATOS!$A7862,nCURSO,DATOS!$D7862,nESPEC,DATOS!$E7862,nASIG,DATOS!$I7862,nEVAL,"OR")=0))</f>
      </c>
      <c r="I7862">
        <f>IF(DATOS!$I7862="","",IFERROR(VLOOKUP(DATOS!$I7862,CONFIG_ASIGNATURAS!$B$2:$J$91,9,FALSE()),""))</f>
      </c>
    </row>
    <row r="7863">
      <c r="F7863">
        <f>IF(DATOS!$A7863="","",DATOS!$A7863&amp;"|"&amp;DATOS!$D7863&amp;"|"&amp;DATOS!$E7863&amp;"|"&amp;DATOS!$I7863)</f>
      </c>
      <c r="G7863">
        <f>IF(DATOS!$A7863="",0,IF(CONFIG_METADATA!$B$4&lt;&gt;"OR+EX",--(DATOS!$G7863=CONFIG_METADATA!$B$4),IF(DATOS!$G7863="EX",1,IF(DATOS!$G7863="OR",--(COUNTIFS(nNIA,DATOS!$A7863,nCURSO,DATOS!$D7863,nESPEC,DATOS!$E7863,nASIG,DATOS!$I7863,nEVAL,"EX")=0),0))))</f>
      </c>
      <c r="H7863">
        <f>IF(DATOS!$G7863&lt;&gt;"EX",0,--(COUNTIFS(nNIA,DATOS!$A7863,nCURSO,DATOS!$D7863,nESPEC,DATOS!$E7863,nASIG,DATOS!$I7863,nEVAL,"OR")=0))</f>
      </c>
      <c r="I7863">
        <f>IF(DATOS!$I7863="","",IFERROR(VLOOKUP(DATOS!$I7863,CONFIG_ASIGNATURAS!$B$2:$J$91,9,FALSE()),""))</f>
      </c>
    </row>
    <row r="7864">
      <c r="F7864">
        <f>IF(DATOS!$A7864="","",DATOS!$A7864&amp;"|"&amp;DATOS!$D7864&amp;"|"&amp;DATOS!$E7864&amp;"|"&amp;DATOS!$I7864)</f>
      </c>
      <c r="G7864">
        <f>IF(DATOS!$A7864="",0,IF(CONFIG_METADATA!$B$4&lt;&gt;"OR+EX",--(DATOS!$G7864=CONFIG_METADATA!$B$4),IF(DATOS!$G7864="EX",1,IF(DATOS!$G7864="OR",--(COUNTIFS(nNIA,DATOS!$A7864,nCURSO,DATOS!$D7864,nESPEC,DATOS!$E7864,nASIG,DATOS!$I7864,nEVAL,"EX")=0),0))))</f>
      </c>
      <c r="H7864">
        <f>IF(DATOS!$G7864&lt;&gt;"EX",0,--(COUNTIFS(nNIA,DATOS!$A7864,nCURSO,DATOS!$D7864,nESPEC,DATOS!$E7864,nASIG,DATOS!$I7864,nEVAL,"OR")=0))</f>
      </c>
      <c r="I7864">
        <f>IF(DATOS!$I7864="","",IFERROR(VLOOKUP(DATOS!$I7864,CONFIG_ASIGNATURAS!$B$2:$J$91,9,FALSE()),""))</f>
      </c>
    </row>
    <row r="7865">
      <c r="F7865">
        <f>IF(DATOS!$A7865="","",DATOS!$A7865&amp;"|"&amp;DATOS!$D7865&amp;"|"&amp;DATOS!$E7865&amp;"|"&amp;DATOS!$I7865)</f>
      </c>
      <c r="G7865">
        <f>IF(DATOS!$A7865="",0,IF(CONFIG_METADATA!$B$4&lt;&gt;"OR+EX",--(DATOS!$G7865=CONFIG_METADATA!$B$4),IF(DATOS!$G7865="EX",1,IF(DATOS!$G7865="OR",--(COUNTIFS(nNIA,DATOS!$A7865,nCURSO,DATOS!$D7865,nESPEC,DATOS!$E7865,nASIG,DATOS!$I7865,nEVAL,"EX")=0),0))))</f>
      </c>
      <c r="H7865">
        <f>IF(DATOS!$G7865&lt;&gt;"EX",0,--(COUNTIFS(nNIA,DATOS!$A7865,nCURSO,DATOS!$D7865,nESPEC,DATOS!$E7865,nASIG,DATOS!$I7865,nEVAL,"OR")=0))</f>
      </c>
      <c r="I7865">
        <f>IF(DATOS!$I7865="","",IFERROR(VLOOKUP(DATOS!$I7865,CONFIG_ASIGNATURAS!$B$2:$J$91,9,FALSE()),""))</f>
      </c>
    </row>
    <row r="7866">
      <c r="F7866">
        <f>IF(DATOS!$A7866="","",DATOS!$A7866&amp;"|"&amp;DATOS!$D7866&amp;"|"&amp;DATOS!$E7866&amp;"|"&amp;DATOS!$I7866)</f>
      </c>
      <c r="G7866">
        <f>IF(DATOS!$A7866="",0,IF(CONFIG_METADATA!$B$4&lt;&gt;"OR+EX",--(DATOS!$G7866=CONFIG_METADATA!$B$4),IF(DATOS!$G7866="EX",1,IF(DATOS!$G7866="OR",--(COUNTIFS(nNIA,DATOS!$A7866,nCURSO,DATOS!$D7866,nESPEC,DATOS!$E7866,nASIG,DATOS!$I7866,nEVAL,"EX")=0),0))))</f>
      </c>
      <c r="H7866">
        <f>IF(DATOS!$G7866&lt;&gt;"EX",0,--(COUNTIFS(nNIA,DATOS!$A7866,nCURSO,DATOS!$D7866,nESPEC,DATOS!$E7866,nASIG,DATOS!$I7866,nEVAL,"OR")=0))</f>
      </c>
      <c r="I7866">
        <f>IF(DATOS!$I7866="","",IFERROR(VLOOKUP(DATOS!$I7866,CONFIG_ASIGNATURAS!$B$2:$J$91,9,FALSE()),""))</f>
      </c>
    </row>
    <row r="7867">
      <c r="F7867">
        <f>IF(DATOS!$A7867="","",DATOS!$A7867&amp;"|"&amp;DATOS!$D7867&amp;"|"&amp;DATOS!$E7867&amp;"|"&amp;DATOS!$I7867)</f>
      </c>
      <c r="G7867">
        <f>IF(DATOS!$A7867="",0,IF(CONFIG_METADATA!$B$4&lt;&gt;"OR+EX",--(DATOS!$G7867=CONFIG_METADATA!$B$4),IF(DATOS!$G7867="EX",1,IF(DATOS!$G7867="OR",--(COUNTIFS(nNIA,DATOS!$A7867,nCURSO,DATOS!$D7867,nESPEC,DATOS!$E7867,nASIG,DATOS!$I7867,nEVAL,"EX")=0),0))))</f>
      </c>
      <c r="H7867">
        <f>IF(DATOS!$G7867&lt;&gt;"EX",0,--(COUNTIFS(nNIA,DATOS!$A7867,nCURSO,DATOS!$D7867,nESPEC,DATOS!$E7867,nASIG,DATOS!$I7867,nEVAL,"OR")=0))</f>
      </c>
      <c r="I7867">
        <f>IF(DATOS!$I7867="","",IFERROR(VLOOKUP(DATOS!$I7867,CONFIG_ASIGNATURAS!$B$2:$J$91,9,FALSE()),""))</f>
      </c>
    </row>
    <row r="7868">
      <c r="F7868">
        <f>IF(DATOS!$A7868="","",DATOS!$A7868&amp;"|"&amp;DATOS!$D7868&amp;"|"&amp;DATOS!$E7868&amp;"|"&amp;DATOS!$I7868)</f>
      </c>
      <c r="G7868">
        <f>IF(DATOS!$A7868="",0,IF(CONFIG_METADATA!$B$4&lt;&gt;"OR+EX",--(DATOS!$G7868=CONFIG_METADATA!$B$4),IF(DATOS!$G7868="EX",1,IF(DATOS!$G7868="OR",--(COUNTIFS(nNIA,DATOS!$A7868,nCURSO,DATOS!$D7868,nESPEC,DATOS!$E7868,nASIG,DATOS!$I7868,nEVAL,"EX")=0),0))))</f>
      </c>
      <c r="H7868">
        <f>IF(DATOS!$G7868&lt;&gt;"EX",0,--(COUNTIFS(nNIA,DATOS!$A7868,nCURSO,DATOS!$D7868,nESPEC,DATOS!$E7868,nASIG,DATOS!$I7868,nEVAL,"OR")=0))</f>
      </c>
      <c r="I7868">
        <f>IF(DATOS!$I7868="","",IFERROR(VLOOKUP(DATOS!$I7868,CONFIG_ASIGNATURAS!$B$2:$J$91,9,FALSE()),""))</f>
      </c>
    </row>
    <row r="7869">
      <c r="F7869">
        <f>IF(DATOS!$A7869="","",DATOS!$A7869&amp;"|"&amp;DATOS!$D7869&amp;"|"&amp;DATOS!$E7869&amp;"|"&amp;DATOS!$I7869)</f>
      </c>
      <c r="G7869">
        <f>IF(DATOS!$A7869="",0,IF(CONFIG_METADATA!$B$4&lt;&gt;"OR+EX",--(DATOS!$G7869=CONFIG_METADATA!$B$4),IF(DATOS!$G7869="EX",1,IF(DATOS!$G7869="OR",--(COUNTIFS(nNIA,DATOS!$A7869,nCURSO,DATOS!$D7869,nESPEC,DATOS!$E7869,nASIG,DATOS!$I7869,nEVAL,"EX")=0),0))))</f>
      </c>
      <c r="H7869">
        <f>IF(DATOS!$G7869&lt;&gt;"EX",0,--(COUNTIFS(nNIA,DATOS!$A7869,nCURSO,DATOS!$D7869,nESPEC,DATOS!$E7869,nASIG,DATOS!$I7869,nEVAL,"OR")=0))</f>
      </c>
      <c r="I7869">
        <f>IF(DATOS!$I7869="","",IFERROR(VLOOKUP(DATOS!$I7869,CONFIG_ASIGNATURAS!$B$2:$J$91,9,FALSE()),""))</f>
      </c>
    </row>
    <row r="7870">
      <c r="F7870">
        <f>IF(DATOS!$A7870="","",DATOS!$A7870&amp;"|"&amp;DATOS!$D7870&amp;"|"&amp;DATOS!$E7870&amp;"|"&amp;DATOS!$I7870)</f>
      </c>
      <c r="G7870">
        <f>IF(DATOS!$A7870="",0,IF(CONFIG_METADATA!$B$4&lt;&gt;"OR+EX",--(DATOS!$G7870=CONFIG_METADATA!$B$4),IF(DATOS!$G7870="EX",1,IF(DATOS!$G7870="OR",--(COUNTIFS(nNIA,DATOS!$A7870,nCURSO,DATOS!$D7870,nESPEC,DATOS!$E7870,nASIG,DATOS!$I7870,nEVAL,"EX")=0),0))))</f>
      </c>
      <c r="H7870">
        <f>IF(DATOS!$G7870&lt;&gt;"EX",0,--(COUNTIFS(nNIA,DATOS!$A7870,nCURSO,DATOS!$D7870,nESPEC,DATOS!$E7870,nASIG,DATOS!$I7870,nEVAL,"OR")=0))</f>
      </c>
      <c r="I7870">
        <f>IF(DATOS!$I7870="","",IFERROR(VLOOKUP(DATOS!$I7870,CONFIG_ASIGNATURAS!$B$2:$J$91,9,FALSE()),""))</f>
      </c>
    </row>
    <row r="7871">
      <c r="F7871">
        <f>IF(DATOS!$A7871="","",DATOS!$A7871&amp;"|"&amp;DATOS!$D7871&amp;"|"&amp;DATOS!$E7871&amp;"|"&amp;DATOS!$I7871)</f>
      </c>
      <c r="G7871">
        <f>IF(DATOS!$A7871="",0,IF(CONFIG_METADATA!$B$4&lt;&gt;"OR+EX",--(DATOS!$G7871=CONFIG_METADATA!$B$4),IF(DATOS!$G7871="EX",1,IF(DATOS!$G7871="OR",--(COUNTIFS(nNIA,DATOS!$A7871,nCURSO,DATOS!$D7871,nESPEC,DATOS!$E7871,nASIG,DATOS!$I7871,nEVAL,"EX")=0),0))))</f>
      </c>
      <c r="H7871">
        <f>IF(DATOS!$G7871&lt;&gt;"EX",0,--(COUNTIFS(nNIA,DATOS!$A7871,nCURSO,DATOS!$D7871,nESPEC,DATOS!$E7871,nASIG,DATOS!$I7871,nEVAL,"OR")=0))</f>
      </c>
      <c r="I7871">
        <f>IF(DATOS!$I7871="","",IFERROR(VLOOKUP(DATOS!$I7871,CONFIG_ASIGNATURAS!$B$2:$J$91,9,FALSE()),""))</f>
      </c>
    </row>
    <row r="7872">
      <c r="F7872">
        <f>IF(DATOS!$A7872="","",DATOS!$A7872&amp;"|"&amp;DATOS!$D7872&amp;"|"&amp;DATOS!$E7872&amp;"|"&amp;DATOS!$I7872)</f>
      </c>
      <c r="G7872">
        <f>IF(DATOS!$A7872="",0,IF(CONFIG_METADATA!$B$4&lt;&gt;"OR+EX",--(DATOS!$G7872=CONFIG_METADATA!$B$4),IF(DATOS!$G7872="EX",1,IF(DATOS!$G7872="OR",--(COUNTIFS(nNIA,DATOS!$A7872,nCURSO,DATOS!$D7872,nESPEC,DATOS!$E7872,nASIG,DATOS!$I7872,nEVAL,"EX")=0),0))))</f>
      </c>
      <c r="H7872">
        <f>IF(DATOS!$G7872&lt;&gt;"EX",0,--(COUNTIFS(nNIA,DATOS!$A7872,nCURSO,DATOS!$D7872,nESPEC,DATOS!$E7872,nASIG,DATOS!$I7872,nEVAL,"OR")=0))</f>
      </c>
      <c r="I7872">
        <f>IF(DATOS!$I7872="","",IFERROR(VLOOKUP(DATOS!$I7872,CONFIG_ASIGNATURAS!$B$2:$J$91,9,FALSE()),""))</f>
      </c>
    </row>
    <row r="7873">
      <c r="F7873">
        <f>IF(DATOS!$A7873="","",DATOS!$A7873&amp;"|"&amp;DATOS!$D7873&amp;"|"&amp;DATOS!$E7873&amp;"|"&amp;DATOS!$I7873)</f>
      </c>
      <c r="G7873">
        <f>IF(DATOS!$A7873="",0,IF(CONFIG_METADATA!$B$4&lt;&gt;"OR+EX",--(DATOS!$G7873=CONFIG_METADATA!$B$4),IF(DATOS!$G7873="EX",1,IF(DATOS!$G7873="OR",--(COUNTIFS(nNIA,DATOS!$A7873,nCURSO,DATOS!$D7873,nESPEC,DATOS!$E7873,nASIG,DATOS!$I7873,nEVAL,"EX")=0),0))))</f>
      </c>
      <c r="H7873">
        <f>IF(DATOS!$G7873&lt;&gt;"EX",0,--(COUNTIFS(nNIA,DATOS!$A7873,nCURSO,DATOS!$D7873,nESPEC,DATOS!$E7873,nASIG,DATOS!$I7873,nEVAL,"OR")=0))</f>
      </c>
      <c r="I7873">
        <f>IF(DATOS!$I7873="","",IFERROR(VLOOKUP(DATOS!$I7873,CONFIG_ASIGNATURAS!$B$2:$J$91,9,FALSE()),""))</f>
      </c>
    </row>
    <row r="7874">
      <c r="F7874">
        <f>IF(DATOS!$A7874="","",DATOS!$A7874&amp;"|"&amp;DATOS!$D7874&amp;"|"&amp;DATOS!$E7874&amp;"|"&amp;DATOS!$I7874)</f>
      </c>
      <c r="G7874">
        <f>IF(DATOS!$A7874="",0,IF(CONFIG_METADATA!$B$4&lt;&gt;"OR+EX",--(DATOS!$G7874=CONFIG_METADATA!$B$4),IF(DATOS!$G7874="EX",1,IF(DATOS!$G7874="OR",--(COUNTIFS(nNIA,DATOS!$A7874,nCURSO,DATOS!$D7874,nESPEC,DATOS!$E7874,nASIG,DATOS!$I7874,nEVAL,"EX")=0),0))))</f>
      </c>
      <c r="H7874">
        <f>IF(DATOS!$G7874&lt;&gt;"EX",0,--(COUNTIFS(nNIA,DATOS!$A7874,nCURSO,DATOS!$D7874,nESPEC,DATOS!$E7874,nASIG,DATOS!$I7874,nEVAL,"OR")=0))</f>
      </c>
      <c r="I7874">
        <f>IF(DATOS!$I7874="","",IFERROR(VLOOKUP(DATOS!$I7874,CONFIG_ASIGNATURAS!$B$2:$J$91,9,FALSE()),""))</f>
      </c>
    </row>
    <row r="7875">
      <c r="F7875">
        <f>IF(DATOS!$A7875="","",DATOS!$A7875&amp;"|"&amp;DATOS!$D7875&amp;"|"&amp;DATOS!$E7875&amp;"|"&amp;DATOS!$I7875)</f>
      </c>
      <c r="G7875">
        <f>IF(DATOS!$A7875="",0,IF(CONFIG_METADATA!$B$4&lt;&gt;"OR+EX",--(DATOS!$G7875=CONFIG_METADATA!$B$4),IF(DATOS!$G7875="EX",1,IF(DATOS!$G7875="OR",--(COUNTIFS(nNIA,DATOS!$A7875,nCURSO,DATOS!$D7875,nESPEC,DATOS!$E7875,nASIG,DATOS!$I7875,nEVAL,"EX")=0),0))))</f>
      </c>
      <c r="H7875">
        <f>IF(DATOS!$G7875&lt;&gt;"EX",0,--(COUNTIFS(nNIA,DATOS!$A7875,nCURSO,DATOS!$D7875,nESPEC,DATOS!$E7875,nASIG,DATOS!$I7875,nEVAL,"OR")=0))</f>
      </c>
      <c r="I7875">
        <f>IF(DATOS!$I7875="","",IFERROR(VLOOKUP(DATOS!$I7875,CONFIG_ASIGNATURAS!$B$2:$J$91,9,FALSE()),""))</f>
      </c>
    </row>
    <row r="7876">
      <c r="F7876">
        <f>IF(DATOS!$A7876="","",DATOS!$A7876&amp;"|"&amp;DATOS!$D7876&amp;"|"&amp;DATOS!$E7876&amp;"|"&amp;DATOS!$I7876)</f>
      </c>
      <c r="G7876">
        <f>IF(DATOS!$A7876="",0,IF(CONFIG_METADATA!$B$4&lt;&gt;"OR+EX",--(DATOS!$G7876=CONFIG_METADATA!$B$4),IF(DATOS!$G7876="EX",1,IF(DATOS!$G7876="OR",--(COUNTIFS(nNIA,DATOS!$A7876,nCURSO,DATOS!$D7876,nESPEC,DATOS!$E7876,nASIG,DATOS!$I7876,nEVAL,"EX")=0),0))))</f>
      </c>
      <c r="H7876">
        <f>IF(DATOS!$G7876&lt;&gt;"EX",0,--(COUNTIFS(nNIA,DATOS!$A7876,nCURSO,DATOS!$D7876,nESPEC,DATOS!$E7876,nASIG,DATOS!$I7876,nEVAL,"OR")=0))</f>
      </c>
      <c r="I7876">
        <f>IF(DATOS!$I7876="","",IFERROR(VLOOKUP(DATOS!$I7876,CONFIG_ASIGNATURAS!$B$2:$J$91,9,FALSE()),""))</f>
      </c>
    </row>
    <row r="7877">
      <c r="F7877">
        <f>IF(DATOS!$A7877="","",DATOS!$A7877&amp;"|"&amp;DATOS!$D7877&amp;"|"&amp;DATOS!$E7877&amp;"|"&amp;DATOS!$I7877)</f>
      </c>
      <c r="G7877">
        <f>IF(DATOS!$A7877="",0,IF(CONFIG_METADATA!$B$4&lt;&gt;"OR+EX",--(DATOS!$G7877=CONFIG_METADATA!$B$4),IF(DATOS!$G7877="EX",1,IF(DATOS!$G7877="OR",--(COUNTIFS(nNIA,DATOS!$A7877,nCURSO,DATOS!$D7877,nESPEC,DATOS!$E7877,nASIG,DATOS!$I7877,nEVAL,"EX")=0),0))))</f>
      </c>
      <c r="H7877">
        <f>IF(DATOS!$G7877&lt;&gt;"EX",0,--(COUNTIFS(nNIA,DATOS!$A7877,nCURSO,DATOS!$D7877,nESPEC,DATOS!$E7877,nASIG,DATOS!$I7877,nEVAL,"OR")=0))</f>
      </c>
      <c r="I7877">
        <f>IF(DATOS!$I7877="","",IFERROR(VLOOKUP(DATOS!$I7877,CONFIG_ASIGNATURAS!$B$2:$J$91,9,FALSE()),""))</f>
      </c>
    </row>
    <row r="7878">
      <c r="F7878">
        <f>IF(DATOS!$A7878="","",DATOS!$A7878&amp;"|"&amp;DATOS!$D7878&amp;"|"&amp;DATOS!$E7878&amp;"|"&amp;DATOS!$I7878)</f>
      </c>
      <c r="G7878">
        <f>IF(DATOS!$A7878="",0,IF(CONFIG_METADATA!$B$4&lt;&gt;"OR+EX",--(DATOS!$G7878=CONFIG_METADATA!$B$4),IF(DATOS!$G7878="EX",1,IF(DATOS!$G7878="OR",--(COUNTIFS(nNIA,DATOS!$A7878,nCURSO,DATOS!$D7878,nESPEC,DATOS!$E7878,nASIG,DATOS!$I7878,nEVAL,"EX")=0),0))))</f>
      </c>
      <c r="H7878">
        <f>IF(DATOS!$G7878&lt;&gt;"EX",0,--(COUNTIFS(nNIA,DATOS!$A7878,nCURSO,DATOS!$D7878,nESPEC,DATOS!$E7878,nASIG,DATOS!$I7878,nEVAL,"OR")=0))</f>
      </c>
      <c r="I7878">
        <f>IF(DATOS!$I7878="","",IFERROR(VLOOKUP(DATOS!$I7878,CONFIG_ASIGNATURAS!$B$2:$J$91,9,FALSE()),""))</f>
      </c>
    </row>
    <row r="7879">
      <c r="F7879">
        <f>IF(DATOS!$A7879="","",DATOS!$A7879&amp;"|"&amp;DATOS!$D7879&amp;"|"&amp;DATOS!$E7879&amp;"|"&amp;DATOS!$I7879)</f>
      </c>
      <c r="G7879">
        <f>IF(DATOS!$A7879="",0,IF(CONFIG_METADATA!$B$4&lt;&gt;"OR+EX",--(DATOS!$G7879=CONFIG_METADATA!$B$4),IF(DATOS!$G7879="EX",1,IF(DATOS!$G7879="OR",--(COUNTIFS(nNIA,DATOS!$A7879,nCURSO,DATOS!$D7879,nESPEC,DATOS!$E7879,nASIG,DATOS!$I7879,nEVAL,"EX")=0),0))))</f>
      </c>
      <c r="H7879">
        <f>IF(DATOS!$G7879&lt;&gt;"EX",0,--(COUNTIFS(nNIA,DATOS!$A7879,nCURSO,DATOS!$D7879,nESPEC,DATOS!$E7879,nASIG,DATOS!$I7879,nEVAL,"OR")=0))</f>
      </c>
      <c r="I7879">
        <f>IF(DATOS!$I7879="","",IFERROR(VLOOKUP(DATOS!$I7879,CONFIG_ASIGNATURAS!$B$2:$J$91,9,FALSE()),""))</f>
      </c>
    </row>
    <row r="7880">
      <c r="F7880">
        <f>IF(DATOS!$A7880="","",DATOS!$A7880&amp;"|"&amp;DATOS!$D7880&amp;"|"&amp;DATOS!$E7880&amp;"|"&amp;DATOS!$I7880)</f>
      </c>
      <c r="G7880">
        <f>IF(DATOS!$A7880="",0,IF(CONFIG_METADATA!$B$4&lt;&gt;"OR+EX",--(DATOS!$G7880=CONFIG_METADATA!$B$4),IF(DATOS!$G7880="EX",1,IF(DATOS!$G7880="OR",--(COUNTIFS(nNIA,DATOS!$A7880,nCURSO,DATOS!$D7880,nESPEC,DATOS!$E7880,nASIG,DATOS!$I7880,nEVAL,"EX")=0),0))))</f>
      </c>
      <c r="H7880">
        <f>IF(DATOS!$G7880&lt;&gt;"EX",0,--(COUNTIFS(nNIA,DATOS!$A7880,nCURSO,DATOS!$D7880,nESPEC,DATOS!$E7880,nASIG,DATOS!$I7880,nEVAL,"OR")=0))</f>
      </c>
      <c r="I7880">
        <f>IF(DATOS!$I7880="","",IFERROR(VLOOKUP(DATOS!$I7880,CONFIG_ASIGNATURAS!$B$2:$J$91,9,FALSE()),""))</f>
      </c>
    </row>
    <row r="7881">
      <c r="F7881">
        <f>IF(DATOS!$A7881="","",DATOS!$A7881&amp;"|"&amp;DATOS!$D7881&amp;"|"&amp;DATOS!$E7881&amp;"|"&amp;DATOS!$I7881)</f>
      </c>
      <c r="G7881">
        <f>IF(DATOS!$A7881="",0,IF(CONFIG_METADATA!$B$4&lt;&gt;"OR+EX",--(DATOS!$G7881=CONFIG_METADATA!$B$4),IF(DATOS!$G7881="EX",1,IF(DATOS!$G7881="OR",--(COUNTIFS(nNIA,DATOS!$A7881,nCURSO,DATOS!$D7881,nESPEC,DATOS!$E7881,nASIG,DATOS!$I7881,nEVAL,"EX")=0),0))))</f>
      </c>
      <c r="H7881">
        <f>IF(DATOS!$G7881&lt;&gt;"EX",0,--(COUNTIFS(nNIA,DATOS!$A7881,nCURSO,DATOS!$D7881,nESPEC,DATOS!$E7881,nASIG,DATOS!$I7881,nEVAL,"OR")=0))</f>
      </c>
      <c r="I7881">
        <f>IF(DATOS!$I7881="","",IFERROR(VLOOKUP(DATOS!$I7881,CONFIG_ASIGNATURAS!$B$2:$J$91,9,FALSE()),""))</f>
      </c>
    </row>
    <row r="7882">
      <c r="F7882">
        <f>IF(DATOS!$A7882="","",DATOS!$A7882&amp;"|"&amp;DATOS!$D7882&amp;"|"&amp;DATOS!$E7882&amp;"|"&amp;DATOS!$I7882)</f>
      </c>
      <c r="G7882">
        <f>IF(DATOS!$A7882="",0,IF(CONFIG_METADATA!$B$4&lt;&gt;"OR+EX",--(DATOS!$G7882=CONFIG_METADATA!$B$4),IF(DATOS!$G7882="EX",1,IF(DATOS!$G7882="OR",--(COUNTIFS(nNIA,DATOS!$A7882,nCURSO,DATOS!$D7882,nESPEC,DATOS!$E7882,nASIG,DATOS!$I7882,nEVAL,"EX")=0),0))))</f>
      </c>
      <c r="H7882">
        <f>IF(DATOS!$G7882&lt;&gt;"EX",0,--(COUNTIFS(nNIA,DATOS!$A7882,nCURSO,DATOS!$D7882,nESPEC,DATOS!$E7882,nASIG,DATOS!$I7882,nEVAL,"OR")=0))</f>
      </c>
      <c r="I7882">
        <f>IF(DATOS!$I7882="","",IFERROR(VLOOKUP(DATOS!$I7882,CONFIG_ASIGNATURAS!$B$2:$J$91,9,FALSE()),""))</f>
      </c>
    </row>
    <row r="7883">
      <c r="F7883">
        <f>IF(DATOS!$A7883="","",DATOS!$A7883&amp;"|"&amp;DATOS!$D7883&amp;"|"&amp;DATOS!$E7883&amp;"|"&amp;DATOS!$I7883)</f>
      </c>
      <c r="G7883">
        <f>IF(DATOS!$A7883="",0,IF(CONFIG_METADATA!$B$4&lt;&gt;"OR+EX",--(DATOS!$G7883=CONFIG_METADATA!$B$4),IF(DATOS!$G7883="EX",1,IF(DATOS!$G7883="OR",--(COUNTIFS(nNIA,DATOS!$A7883,nCURSO,DATOS!$D7883,nESPEC,DATOS!$E7883,nASIG,DATOS!$I7883,nEVAL,"EX")=0),0))))</f>
      </c>
      <c r="H7883">
        <f>IF(DATOS!$G7883&lt;&gt;"EX",0,--(COUNTIFS(nNIA,DATOS!$A7883,nCURSO,DATOS!$D7883,nESPEC,DATOS!$E7883,nASIG,DATOS!$I7883,nEVAL,"OR")=0))</f>
      </c>
      <c r="I7883">
        <f>IF(DATOS!$I7883="","",IFERROR(VLOOKUP(DATOS!$I7883,CONFIG_ASIGNATURAS!$B$2:$J$91,9,FALSE()),""))</f>
      </c>
    </row>
    <row r="7884">
      <c r="F7884">
        <f>IF(DATOS!$A7884="","",DATOS!$A7884&amp;"|"&amp;DATOS!$D7884&amp;"|"&amp;DATOS!$E7884&amp;"|"&amp;DATOS!$I7884)</f>
      </c>
      <c r="G7884">
        <f>IF(DATOS!$A7884="",0,IF(CONFIG_METADATA!$B$4&lt;&gt;"OR+EX",--(DATOS!$G7884=CONFIG_METADATA!$B$4),IF(DATOS!$G7884="EX",1,IF(DATOS!$G7884="OR",--(COUNTIFS(nNIA,DATOS!$A7884,nCURSO,DATOS!$D7884,nESPEC,DATOS!$E7884,nASIG,DATOS!$I7884,nEVAL,"EX")=0),0))))</f>
      </c>
      <c r="H7884">
        <f>IF(DATOS!$G7884&lt;&gt;"EX",0,--(COUNTIFS(nNIA,DATOS!$A7884,nCURSO,DATOS!$D7884,nESPEC,DATOS!$E7884,nASIG,DATOS!$I7884,nEVAL,"OR")=0))</f>
      </c>
      <c r="I7884">
        <f>IF(DATOS!$I7884="","",IFERROR(VLOOKUP(DATOS!$I7884,CONFIG_ASIGNATURAS!$B$2:$J$91,9,FALSE()),""))</f>
      </c>
    </row>
    <row r="7885">
      <c r="F7885">
        <f>IF(DATOS!$A7885="","",DATOS!$A7885&amp;"|"&amp;DATOS!$D7885&amp;"|"&amp;DATOS!$E7885&amp;"|"&amp;DATOS!$I7885)</f>
      </c>
      <c r="G7885">
        <f>IF(DATOS!$A7885="",0,IF(CONFIG_METADATA!$B$4&lt;&gt;"OR+EX",--(DATOS!$G7885=CONFIG_METADATA!$B$4),IF(DATOS!$G7885="EX",1,IF(DATOS!$G7885="OR",--(COUNTIFS(nNIA,DATOS!$A7885,nCURSO,DATOS!$D7885,nESPEC,DATOS!$E7885,nASIG,DATOS!$I7885,nEVAL,"EX")=0),0))))</f>
      </c>
      <c r="H7885">
        <f>IF(DATOS!$G7885&lt;&gt;"EX",0,--(COUNTIFS(nNIA,DATOS!$A7885,nCURSO,DATOS!$D7885,nESPEC,DATOS!$E7885,nASIG,DATOS!$I7885,nEVAL,"OR")=0))</f>
      </c>
      <c r="I7885">
        <f>IF(DATOS!$I7885="","",IFERROR(VLOOKUP(DATOS!$I7885,CONFIG_ASIGNATURAS!$B$2:$J$91,9,FALSE()),""))</f>
      </c>
    </row>
    <row r="7886">
      <c r="F7886">
        <f>IF(DATOS!$A7886="","",DATOS!$A7886&amp;"|"&amp;DATOS!$D7886&amp;"|"&amp;DATOS!$E7886&amp;"|"&amp;DATOS!$I7886)</f>
      </c>
      <c r="G7886">
        <f>IF(DATOS!$A7886="",0,IF(CONFIG_METADATA!$B$4&lt;&gt;"OR+EX",--(DATOS!$G7886=CONFIG_METADATA!$B$4),IF(DATOS!$G7886="EX",1,IF(DATOS!$G7886="OR",--(COUNTIFS(nNIA,DATOS!$A7886,nCURSO,DATOS!$D7886,nESPEC,DATOS!$E7886,nASIG,DATOS!$I7886,nEVAL,"EX")=0),0))))</f>
      </c>
      <c r="H7886">
        <f>IF(DATOS!$G7886&lt;&gt;"EX",0,--(COUNTIFS(nNIA,DATOS!$A7886,nCURSO,DATOS!$D7886,nESPEC,DATOS!$E7886,nASIG,DATOS!$I7886,nEVAL,"OR")=0))</f>
      </c>
      <c r="I7886">
        <f>IF(DATOS!$I7886="","",IFERROR(VLOOKUP(DATOS!$I7886,CONFIG_ASIGNATURAS!$B$2:$J$91,9,FALSE()),""))</f>
      </c>
    </row>
    <row r="7887">
      <c r="F7887">
        <f>IF(DATOS!$A7887="","",DATOS!$A7887&amp;"|"&amp;DATOS!$D7887&amp;"|"&amp;DATOS!$E7887&amp;"|"&amp;DATOS!$I7887)</f>
      </c>
      <c r="G7887">
        <f>IF(DATOS!$A7887="",0,IF(CONFIG_METADATA!$B$4&lt;&gt;"OR+EX",--(DATOS!$G7887=CONFIG_METADATA!$B$4),IF(DATOS!$G7887="EX",1,IF(DATOS!$G7887="OR",--(COUNTIFS(nNIA,DATOS!$A7887,nCURSO,DATOS!$D7887,nESPEC,DATOS!$E7887,nASIG,DATOS!$I7887,nEVAL,"EX")=0),0))))</f>
      </c>
      <c r="H7887">
        <f>IF(DATOS!$G7887&lt;&gt;"EX",0,--(COUNTIFS(nNIA,DATOS!$A7887,nCURSO,DATOS!$D7887,nESPEC,DATOS!$E7887,nASIG,DATOS!$I7887,nEVAL,"OR")=0))</f>
      </c>
      <c r="I7887">
        <f>IF(DATOS!$I7887="","",IFERROR(VLOOKUP(DATOS!$I7887,CONFIG_ASIGNATURAS!$B$2:$J$91,9,FALSE()),""))</f>
      </c>
    </row>
    <row r="7888">
      <c r="F7888">
        <f>IF(DATOS!$A7888="","",DATOS!$A7888&amp;"|"&amp;DATOS!$D7888&amp;"|"&amp;DATOS!$E7888&amp;"|"&amp;DATOS!$I7888)</f>
      </c>
      <c r="G7888">
        <f>IF(DATOS!$A7888="",0,IF(CONFIG_METADATA!$B$4&lt;&gt;"OR+EX",--(DATOS!$G7888=CONFIG_METADATA!$B$4),IF(DATOS!$G7888="EX",1,IF(DATOS!$G7888="OR",--(COUNTIFS(nNIA,DATOS!$A7888,nCURSO,DATOS!$D7888,nESPEC,DATOS!$E7888,nASIG,DATOS!$I7888,nEVAL,"EX")=0),0))))</f>
      </c>
      <c r="H7888">
        <f>IF(DATOS!$G7888&lt;&gt;"EX",0,--(COUNTIFS(nNIA,DATOS!$A7888,nCURSO,DATOS!$D7888,nESPEC,DATOS!$E7888,nASIG,DATOS!$I7888,nEVAL,"OR")=0))</f>
      </c>
      <c r="I7888">
        <f>IF(DATOS!$I7888="","",IFERROR(VLOOKUP(DATOS!$I7888,CONFIG_ASIGNATURAS!$B$2:$J$91,9,FALSE()),""))</f>
      </c>
    </row>
    <row r="7889">
      <c r="F7889">
        <f>IF(DATOS!$A7889="","",DATOS!$A7889&amp;"|"&amp;DATOS!$D7889&amp;"|"&amp;DATOS!$E7889&amp;"|"&amp;DATOS!$I7889)</f>
      </c>
      <c r="G7889">
        <f>IF(DATOS!$A7889="",0,IF(CONFIG_METADATA!$B$4&lt;&gt;"OR+EX",--(DATOS!$G7889=CONFIG_METADATA!$B$4),IF(DATOS!$G7889="EX",1,IF(DATOS!$G7889="OR",--(COUNTIFS(nNIA,DATOS!$A7889,nCURSO,DATOS!$D7889,nESPEC,DATOS!$E7889,nASIG,DATOS!$I7889,nEVAL,"EX")=0),0))))</f>
      </c>
      <c r="H7889">
        <f>IF(DATOS!$G7889&lt;&gt;"EX",0,--(COUNTIFS(nNIA,DATOS!$A7889,nCURSO,DATOS!$D7889,nESPEC,DATOS!$E7889,nASIG,DATOS!$I7889,nEVAL,"OR")=0))</f>
      </c>
      <c r="I7889">
        <f>IF(DATOS!$I7889="","",IFERROR(VLOOKUP(DATOS!$I7889,CONFIG_ASIGNATURAS!$B$2:$J$91,9,FALSE()),""))</f>
      </c>
    </row>
    <row r="7890">
      <c r="F7890">
        <f>IF(DATOS!$A7890="","",DATOS!$A7890&amp;"|"&amp;DATOS!$D7890&amp;"|"&amp;DATOS!$E7890&amp;"|"&amp;DATOS!$I7890)</f>
      </c>
      <c r="G7890">
        <f>IF(DATOS!$A7890="",0,IF(CONFIG_METADATA!$B$4&lt;&gt;"OR+EX",--(DATOS!$G7890=CONFIG_METADATA!$B$4),IF(DATOS!$G7890="EX",1,IF(DATOS!$G7890="OR",--(COUNTIFS(nNIA,DATOS!$A7890,nCURSO,DATOS!$D7890,nESPEC,DATOS!$E7890,nASIG,DATOS!$I7890,nEVAL,"EX")=0),0))))</f>
      </c>
      <c r="H7890">
        <f>IF(DATOS!$G7890&lt;&gt;"EX",0,--(COUNTIFS(nNIA,DATOS!$A7890,nCURSO,DATOS!$D7890,nESPEC,DATOS!$E7890,nASIG,DATOS!$I7890,nEVAL,"OR")=0))</f>
      </c>
      <c r="I7890">
        <f>IF(DATOS!$I7890="","",IFERROR(VLOOKUP(DATOS!$I7890,CONFIG_ASIGNATURAS!$B$2:$J$91,9,FALSE()),""))</f>
      </c>
    </row>
    <row r="7891">
      <c r="F7891">
        <f>IF(DATOS!$A7891="","",DATOS!$A7891&amp;"|"&amp;DATOS!$D7891&amp;"|"&amp;DATOS!$E7891&amp;"|"&amp;DATOS!$I7891)</f>
      </c>
      <c r="G7891">
        <f>IF(DATOS!$A7891="",0,IF(CONFIG_METADATA!$B$4&lt;&gt;"OR+EX",--(DATOS!$G7891=CONFIG_METADATA!$B$4),IF(DATOS!$G7891="EX",1,IF(DATOS!$G7891="OR",--(COUNTIFS(nNIA,DATOS!$A7891,nCURSO,DATOS!$D7891,nESPEC,DATOS!$E7891,nASIG,DATOS!$I7891,nEVAL,"EX")=0),0))))</f>
      </c>
      <c r="H7891">
        <f>IF(DATOS!$G7891&lt;&gt;"EX",0,--(COUNTIFS(nNIA,DATOS!$A7891,nCURSO,DATOS!$D7891,nESPEC,DATOS!$E7891,nASIG,DATOS!$I7891,nEVAL,"OR")=0))</f>
      </c>
      <c r="I7891">
        <f>IF(DATOS!$I7891="","",IFERROR(VLOOKUP(DATOS!$I7891,CONFIG_ASIGNATURAS!$B$2:$J$91,9,FALSE()),""))</f>
      </c>
    </row>
    <row r="7892">
      <c r="F7892">
        <f>IF(DATOS!$A7892="","",DATOS!$A7892&amp;"|"&amp;DATOS!$D7892&amp;"|"&amp;DATOS!$E7892&amp;"|"&amp;DATOS!$I7892)</f>
      </c>
      <c r="G7892">
        <f>IF(DATOS!$A7892="",0,IF(CONFIG_METADATA!$B$4&lt;&gt;"OR+EX",--(DATOS!$G7892=CONFIG_METADATA!$B$4),IF(DATOS!$G7892="EX",1,IF(DATOS!$G7892="OR",--(COUNTIFS(nNIA,DATOS!$A7892,nCURSO,DATOS!$D7892,nESPEC,DATOS!$E7892,nASIG,DATOS!$I7892,nEVAL,"EX")=0),0))))</f>
      </c>
      <c r="H7892">
        <f>IF(DATOS!$G7892&lt;&gt;"EX",0,--(COUNTIFS(nNIA,DATOS!$A7892,nCURSO,DATOS!$D7892,nESPEC,DATOS!$E7892,nASIG,DATOS!$I7892,nEVAL,"OR")=0))</f>
      </c>
      <c r="I7892">
        <f>IF(DATOS!$I7892="","",IFERROR(VLOOKUP(DATOS!$I7892,CONFIG_ASIGNATURAS!$B$2:$J$91,9,FALSE()),""))</f>
      </c>
    </row>
    <row r="7893">
      <c r="F7893">
        <f>IF(DATOS!$A7893="","",DATOS!$A7893&amp;"|"&amp;DATOS!$D7893&amp;"|"&amp;DATOS!$E7893&amp;"|"&amp;DATOS!$I7893)</f>
      </c>
      <c r="G7893">
        <f>IF(DATOS!$A7893="",0,IF(CONFIG_METADATA!$B$4&lt;&gt;"OR+EX",--(DATOS!$G7893=CONFIG_METADATA!$B$4),IF(DATOS!$G7893="EX",1,IF(DATOS!$G7893="OR",--(COUNTIFS(nNIA,DATOS!$A7893,nCURSO,DATOS!$D7893,nESPEC,DATOS!$E7893,nASIG,DATOS!$I7893,nEVAL,"EX")=0),0))))</f>
      </c>
      <c r="H7893">
        <f>IF(DATOS!$G7893&lt;&gt;"EX",0,--(COUNTIFS(nNIA,DATOS!$A7893,nCURSO,DATOS!$D7893,nESPEC,DATOS!$E7893,nASIG,DATOS!$I7893,nEVAL,"OR")=0))</f>
      </c>
      <c r="I7893">
        <f>IF(DATOS!$I7893="","",IFERROR(VLOOKUP(DATOS!$I7893,CONFIG_ASIGNATURAS!$B$2:$J$91,9,FALSE()),""))</f>
      </c>
    </row>
    <row r="7894">
      <c r="F7894">
        <f>IF(DATOS!$A7894="","",DATOS!$A7894&amp;"|"&amp;DATOS!$D7894&amp;"|"&amp;DATOS!$E7894&amp;"|"&amp;DATOS!$I7894)</f>
      </c>
      <c r="G7894">
        <f>IF(DATOS!$A7894="",0,IF(CONFIG_METADATA!$B$4&lt;&gt;"OR+EX",--(DATOS!$G7894=CONFIG_METADATA!$B$4),IF(DATOS!$G7894="EX",1,IF(DATOS!$G7894="OR",--(COUNTIFS(nNIA,DATOS!$A7894,nCURSO,DATOS!$D7894,nESPEC,DATOS!$E7894,nASIG,DATOS!$I7894,nEVAL,"EX")=0),0))))</f>
      </c>
      <c r="H7894">
        <f>IF(DATOS!$G7894&lt;&gt;"EX",0,--(COUNTIFS(nNIA,DATOS!$A7894,nCURSO,DATOS!$D7894,nESPEC,DATOS!$E7894,nASIG,DATOS!$I7894,nEVAL,"OR")=0))</f>
      </c>
      <c r="I7894">
        <f>IF(DATOS!$I7894="","",IFERROR(VLOOKUP(DATOS!$I7894,CONFIG_ASIGNATURAS!$B$2:$J$91,9,FALSE()),""))</f>
      </c>
    </row>
    <row r="7895">
      <c r="F7895">
        <f>IF(DATOS!$A7895="","",DATOS!$A7895&amp;"|"&amp;DATOS!$D7895&amp;"|"&amp;DATOS!$E7895&amp;"|"&amp;DATOS!$I7895)</f>
      </c>
      <c r="G7895">
        <f>IF(DATOS!$A7895="",0,IF(CONFIG_METADATA!$B$4&lt;&gt;"OR+EX",--(DATOS!$G7895=CONFIG_METADATA!$B$4),IF(DATOS!$G7895="EX",1,IF(DATOS!$G7895="OR",--(COUNTIFS(nNIA,DATOS!$A7895,nCURSO,DATOS!$D7895,nESPEC,DATOS!$E7895,nASIG,DATOS!$I7895,nEVAL,"EX")=0),0))))</f>
      </c>
      <c r="H7895">
        <f>IF(DATOS!$G7895&lt;&gt;"EX",0,--(COUNTIFS(nNIA,DATOS!$A7895,nCURSO,DATOS!$D7895,nESPEC,DATOS!$E7895,nASIG,DATOS!$I7895,nEVAL,"OR")=0))</f>
      </c>
      <c r="I7895">
        <f>IF(DATOS!$I7895="","",IFERROR(VLOOKUP(DATOS!$I7895,CONFIG_ASIGNATURAS!$B$2:$J$91,9,FALSE()),""))</f>
      </c>
    </row>
    <row r="7896">
      <c r="F7896">
        <f>IF(DATOS!$A7896="","",DATOS!$A7896&amp;"|"&amp;DATOS!$D7896&amp;"|"&amp;DATOS!$E7896&amp;"|"&amp;DATOS!$I7896)</f>
      </c>
      <c r="G7896">
        <f>IF(DATOS!$A7896="",0,IF(CONFIG_METADATA!$B$4&lt;&gt;"OR+EX",--(DATOS!$G7896=CONFIG_METADATA!$B$4),IF(DATOS!$G7896="EX",1,IF(DATOS!$G7896="OR",--(COUNTIFS(nNIA,DATOS!$A7896,nCURSO,DATOS!$D7896,nESPEC,DATOS!$E7896,nASIG,DATOS!$I7896,nEVAL,"EX")=0),0))))</f>
      </c>
      <c r="H7896">
        <f>IF(DATOS!$G7896&lt;&gt;"EX",0,--(COUNTIFS(nNIA,DATOS!$A7896,nCURSO,DATOS!$D7896,nESPEC,DATOS!$E7896,nASIG,DATOS!$I7896,nEVAL,"OR")=0))</f>
      </c>
      <c r="I7896">
        <f>IF(DATOS!$I7896="","",IFERROR(VLOOKUP(DATOS!$I7896,CONFIG_ASIGNATURAS!$B$2:$J$91,9,FALSE()),""))</f>
      </c>
    </row>
    <row r="7897">
      <c r="F7897">
        <f>IF(DATOS!$A7897="","",DATOS!$A7897&amp;"|"&amp;DATOS!$D7897&amp;"|"&amp;DATOS!$E7897&amp;"|"&amp;DATOS!$I7897)</f>
      </c>
      <c r="G7897">
        <f>IF(DATOS!$A7897="",0,IF(CONFIG_METADATA!$B$4&lt;&gt;"OR+EX",--(DATOS!$G7897=CONFIG_METADATA!$B$4),IF(DATOS!$G7897="EX",1,IF(DATOS!$G7897="OR",--(COUNTIFS(nNIA,DATOS!$A7897,nCURSO,DATOS!$D7897,nESPEC,DATOS!$E7897,nASIG,DATOS!$I7897,nEVAL,"EX")=0),0))))</f>
      </c>
      <c r="H7897">
        <f>IF(DATOS!$G7897&lt;&gt;"EX",0,--(COUNTIFS(nNIA,DATOS!$A7897,nCURSO,DATOS!$D7897,nESPEC,DATOS!$E7897,nASIG,DATOS!$I7897,nEVAL,"OR")=0))</f>
      </c>
      <c r="I7897">
        <f>IF(DATOS!$I7897="","",IFERROR(VLOOKUP(DATOS!$I7897,CONFIG_ASIGNATURAS!$B$2:$J$91,9,FALSE()),""))</f>
      </c>
    </row>
    <row r="7898">
      <c r="F7898">
        <f>IF(DATOS!$A7898="","",DATOS!$A7898&amp;"|"&amp;DATOS!$D7898&amp;"|"&amp;DATOS!$E7898&amp;"|"&amp;DATOS!$I7898)</f>
      </c>
      <c r="G7898">
        <f>IF(DATOS!$A7898="",0,IF(CONFIG_METADATA!$B$4&lt;&gt;"OR+EX",--(DATOS!$G7898=CONFIG_METADATA!$B$4),IF(DATOS!$G7898="EX",1,IF(DATOS!$G7898="OR",--(COUNTIFS(nNIA,DATOS!$A7898,nCURSO,DATOS!$D7898,nESPEC,DATOS!$E7898,nASIG,DATOS!$I7898,nEVAL,"EX")=0),0))))</f>
      </c>
      <c r="H7898">
        <f>IF(DATOS!$G7898&lt;&gt;"EX",0,--(COUNTIFS(nNIA,DATOS!$A7898,nCURSO,DATOS!$D7898,nESPEC,DATOS!$E7898,nASIG,DATOS!$I7898,nEVAL,"OR")=0))</f>
      </c>
      <c r="I7898">
        <f>IF(DATOS!$I7898="","",IFERROR(VLOOKUP(DATOS!$I7898,CONFIG_ASIGNATURAS!$B$2:$J$91,9,FALSE()),""))</f>
      </c>
    </row>
    <row r="7899">
      <c r="F7899">
        <f>IF(DATOS!$A7899="","",DATOS!$A7899&amp;"|"&amp;DATOS!$D7899&amp;"|"&amp;DATOS!$E7899&amp;"|"&amp;DATOS!$I7899)</f>
      </c>
      <c r="G7899">
        <f>IF(DATOS!$A7899="",0,IF(CONFIG_METADATA!$B$4&lt;&gt;"OR+EX",--(DATOS!$G7899=CONFIG_METADATA!$B$4),IF(DATOS!$G7899="EX",1,IF(DATOS!$G7899="OR",--(COUNTIFS(nNIA,DATOS!$A7899,nCURSO,DATOS!$D7899,nESPEC,DATOS!$E7899,nASIG,DATOS!$I7899,nEVAL,"EX")=0),0))))</f>
      </c>
      <c r="H7899">
        <f>IF(DATOS!$G7899&lt;&gt;"EX",0,--(COUNTIFS(nNIA,DATOS!$A7899,nCURSO,DATOS!$D7899,nESPEC,DATOS!$E7899,nASIG,DATOS!$I7899,nEVAL,"OR")=0))</f>
      </c>
      <c r="I7899">
        <f>IF(DATOS!$I7899="","",IFERROR(VLOOKUP(DATOS!$I7899,CONFIG_ASIGNATURAS!$B$2:$J$91,9,FALSE()),""))</f>
      </c>
    </row>
    <row r="7900">
      <c r="F7900">
        <f>IF(DATOS!$A7900="","",DATOS!$A7900&amp;"|"&amp;DATOS!$D7900&amp;"|"&amp;DATOS!$E7900&amp;"|"&amp;DATOS!$I7900)</f>
      </c>
      <c r="G7900">
        <f>IF(DATOS!$A7900="",0,IF(CONFIG_METADATA!$B$4&lt;&gt;"OR+EX",--(DATOS!$G7900=CONFIG_METADATA!$B$4),IF(DATOS!$G7900="EX",1,IF(DATOS!$G7900="OR",--(COUNTIFS(nNIA,DATOS!$A7900,nCURSO,DATOS!$D7900,nESPEC,DATOS!$E7900,nASIG,DATOS!$I7900,nEVAL,"EX")=0),0))))</f>
      </c>
      <c r="H7900">
        <f>IF(DATOS!$G7900&lt;&gt;"EX",0,--(COUNTIFS(nNIA,DATOS!$A7900,nCURSO,DATOS!$D7900,nESPEC,DATOS!$E7900,nASIG,DATOS!$I7900,nEVAL,"OR")=0))</f>
      </c>
      <c r="I7900">
        <f>IF(DATOS!$I7900="","",IFERROR(VLOOKUP(DATOS!$I7900,CONFIG_ASIGNATURAS!$B$2:$J$91,9,FALSE()),""))</f>
      </c>
    </row>
    <row r="7901">
      <c r="F7901">
        <f>IF(DATOS!$A7901="","",DATOS!$A7901&amp;"|"&amp;DATOS!$D7901&amp;"|"&amp;DATOS!$E7901&amp;"|"&amp;DATOS!$I7901)</f>
      </c>
      <c r="G7901">
        <f>IF(DATOS!$A7901="",0,IF(CONFIG_METADATA!$B$4&lt;&gt;"OR+EX",--(DATOS!$G7901=CONFIG_METADATA!$B$4),IF(DATOS!$G7901="EX",1,IF(DATOS!$G7901="OR",--(COUNTIFS(nNIA,DATOS!$A7901,nCURSO,DATOS!$D7901,nESPEC,DATOS!$E7901,nASIG,DATOS!$I7901,nEVAL,"EX")=0),0))))</f>
      </c>
      <c r="H7901">
        <f>IF(DATOS!$G7901&lt;&gt;"EX",0,--(COUNTIFS(nNIA,DATOS!$A7901,nCURSO,DATOS!$D7901,nESPEC,DATOS!$E7901,nASIG,DATOS!$I7901,nEVAL,"OR")=0))</f>
      </c>
      <c r="I7901">
        <f>IF(DATOS!$I7901="","",IFERROR(VLOOKUP(DATOS!$I7901,CONFIG_ASIGNATURAS!$B$2:$J$91,9,FALSE()),""))</f>
      </c>
    </row>
    <row r="7902">
      <c r="F7902">
        <f>IF(DATOS!$A7902="","",DATOS!$A7902&amp;"|"&amp;DATOS!$D7902&amp;"|"&amp;DATOS!$E7902&amp;"|"&amp;DATOS!$I7902)</f>
      </c>
      <c r="G7902">
        <f>IF(DATOS!$A7902="",0,IF(CONFIG_METADATA!$B$4&lt;&gt;"OR+EX",--(DATOS!$G7902=CONFIG_METADATA!$B$4),IF(DATOS!$G7902="EX",1,IF(DATOS!$G7902="OR",--(COUNTIFS(nNIA,DATOS!$A7902,nCURSO,DATOS!$D7902,nESPEC,DATOS!$E7902,nASIG,DATOS!$I7902,nEVAL,"EX")=0),0))))</f>
      </c>
      <c r="H7902">
        <f>IF(DATOS!$G7902&lt;&gt;"EX",0,--(COUNTIFS(nNIA,DATOS!$A7902,nCURSO,DATOS!$D7902,nESPEC,DATOS!$E7902,nASIG,DATOS!$I7902,nEVAL,"OR")=0))</f>
      </c>
      <c r="I7902">
        <f>IF(DATOS!$I7902="","",IFERROR(VLOOKUP(DATOS!$I7902,CONFIG_ASIGNATURAS!$B$2:$J$91,9,FALSE()),""))</f>
      </c>
    </row>
    <row r="7903">
      <c r="F7903">
        <f>IF(DATOS!$A7903="","",DATOS!$A7903&amp;"|"&amp;DATOS!$D7903&amp;"|"&amp;DATOS!$E7903&amp;"|"&amp;DATOS!$I7903)</f>
      </c>
      <c r="G7903">
        <f>IF(DATOS!$A7903="",0,IF(CONFIG_METADATA!$B$4&lt;&gt;"OR+EX",--(DATOS!$G7903=CONFIG_METADATA!$B$4),IF(DATOS!$G7903="EX",1,IF(DATOS!$G7903="OR",--(COUNTIFS(nNIA,DATOS!$A7903,nCURSO,DATOS!$D7903,nESPEC,DATOS!$E7903,nASIG,DATOS!$I7903,nEVAL,"EX")=0),0))))</f>
      </c>
      <c r="H7903">
        <f>IF(DATOS!$G7903&lt;&gt;"EX",0,--(COUNTIFS(nNIA,DATOS!$A7903,nCURSO,DATOS!$D7903,nESPEC,DATOS!$E7903,nASIG,DATOS!$I7903,nEVAL,"OR")=0))</f>
      </c>
      <c r="I7903">
        <f>IF(DATOS!$I7903="","",IFERROR(VLOOKUP(DATOS!$I7903,CONFIG_ASIGNATURAS!$B$2:$J$91,9,FALSE()),""))</f>
      </c>
    </row>
    <row r="7904">
      <c r="F7904">
        <f>IF(DATOS!$A7904="","",DATOS!$A7904&amp;"|"&amp;DATOS!$D7904&amp;"|"&amp;DATOS!$E7904&amp;"|"&amp;DATOS!$I7904)</f>
      </c>
      <c r="G7904">
        <f>IF(DATOS!$A7904="",0,IF(CONFIG_METADATA!$B$4&lt;&gt;"OR+EX",--(DATOS!$G7904=CONFIG_METADATA!$B$4),IF(DATOS!$G7904="EX",1,IF(DATOS!$G7904="OR",--(COUNTIFS(nNIA,DATOS!$A7904,nCURSO,DATOS!$D7904,nESPEC,DATOS!$E7904,nASIG,DATOS!$I7904,nEVAL,"EX")=0),0))))</f>
      </c>
      <c r="H7904">
        <f>IF(DATOS!$G7904&lt;&gt;"EX",0,--(COUNTIFS(nNIA,DATOS!$A7904,nCURSO,DATOS!$D7904,nESPEC,DATOS!$E7904,nASIG,DATOS!$I7904,nEVAL,"OR")=0))</f>
      </c>
      <c r="I7904">
        <f>IF(DATOS!$I7904="","",IFERROR(VLOOKUP(DATOS!$I7904,CONFIG_ASIGNATURAS!$B$2:$J$91,9,FALSE()),""))</f>
      </c>
    </row>
    <row r="7905">
      <c r="F7905">
        <f>IF(DATOS!$A7905="","",DATOS!$A7905&amp;"|"&amp;DATOS!$D7905&amp;"|"&amp;DATOS!$E7905&amp;"|"&amp;DATOS!$I7905)</f>
      </c>
      <c r="G7905">
        <f>IF(DATOS!$A7905="",0,IF(CONFIG_METADATA!$B$4&lt;&gt;"OR+EX",--(DATOS!$G7905=CONFIG_METADATA!$B$4),IF(DATOS!$G7905="EX",1,IF(DATOS!$G7905="OR",--(COUNTIFS(nNIA,DATOS!$A7905,nCURSO,DATOS!$D7905,nESPEC,DATOS!$E7905,nASIG,DATOS!$I7905,nEVAL,"EX")=0),0))))</f>
      </c>
      <c r="H7905">
        <f>IF(DATOS!$G7905&lt;&gt;"EX",0,--(COUNTIFS(nNIA,DATOS!$A7905,nCURSO,DATOS!$D7905,nESPEC,DATOS!$E7905,nASIG,DATOS!$I7905,nEVAL,"OR")=0))</f>
      </c>
      <c r="I7905">
        <f>IF(DATOS!$I7905="","",IFERROR(VLOOKUP(DATOS!$I7905,CONFIG_ASIGNATURAS!$B$2:$J$91,9,FALSE()),""))</f>
      </c>
    </row>
    <row r="7906">
      <c r="F7906">
        <f>IF(DATOS!$A7906="","",DATOS!$A7906&amp;"|"&amp;DATOS!$D7906&amp;"|"&amp;DATOS!$E7906&amp;"|"&amp;DATOS!$I7906)</f>
      </c>
      <c r="G7906">
        <f>IF(DATOS!$A7906="",0,IF(CONFIG_METADATA!$B$4&lt;&gt;"OR+EX",--(DATOS!$G7906=CONFIG_METADATA!$B$4),IF(DATOS!$G7906="EX",1,IF(DATOS!$G7906="OR",--(COUNTIFS(nNIA,DATOS!$A7906,nCURSO,DATOS!$D7906,nESPEC,DATOS!$E7906,nASIG,DATOS!$I7906,nEVAL,"EX")=0),0))))</f>
      </c>
      <c r="H7906">
        <f>IF(DATOS!$G7906&lt;&gt;"EX",0,--(COUNTIFS(nNIA,DATOS!$A7906,nCURSO,DATOS!$D7906,nESPEC,DATOS!$E7906,nASIG,DATOS!$I7906,nEVAL,"OR")=0))</f>
      </c>
      <c r="I7906">
        <f>IF(DATOS!$I7906="","",IFERROR(VLOOKUP(DATOS!$I7906,CONFIG_ASIGNATURAS!$B$2:$J$91,9,FALSE()),""))</f>
      </c>
    </row>
    <row r="7907">
      <c r="F7907">
        <f>IF(DATOS!$A7907="","",DATOS!$A7907&amp;"|"&amp;DATOS!$D7907&amp;"|"&amp;DATOS!$E7907&amp;"|"&amp;DATOS!$I7907)</f>
      </c>
      <c r="G7907">
        <f>IF(DATOS!$A7907="",0,IF(CONFIG_METADATA!$B$4&lt;&gt;"OR+EX",--(DATOS!$G7907=CONFIG_METADATA!$B$4),IF(DATOS!$G7907="EX",1,IF(DATOS!$G7907="OR",--(COUNTIFS(nNIA,DATOS!$A7907,nCURSO,DATOS!$D7907,nESPEC,DATOS!$E7907,nASIG,DATOS!$I7907,nEVAL,"EX")=0),0))))</f>
      </c>
      <c r="H7907">
        <f>IF(DATOS!$G7907&lt;&gt;"EX",0,--(COUNTIFS(nNIA,DATOS!$A7907,nCURSO,DATOS!$D7907,nESPEC,DATOS!$E7907,nASIG,DATOS!$I7907,nEVAL,"OR")=0))</f>
      </c>
      <c r="I7907">
        <f>IF(DATOS!$I7907="","",IFERROR(VLOOKUP(DATOS!$I7907,CONFIG_ASIGNATURAS!$B$2:$J$91,9,FALSE()),""))</f>
      </c>
    </row>
    <row r="7908">
      <c r="F7908">
        <f>IF(DATOS!$A7908="","",DATOS!$A7908&amp;"|"&amp;DATOS!$D7908&amp;"|"&amp;DATOS!$E7908&amp;"|"&amp;DATOS!$I7908)</f>
      </c>
      <c r="G7908">
        <f>IF(DATOS!$A7908="",0,IF(CONFIG_METADATA!$B$4&lt;&gt;"OR+EX",--(DATOS!$G7908=CONFIG_METADATA!$B$4),IF(DATOS!$G7908="EX",1,IF(DATOS!$G7908="OR",--(COUNTIFS(nNIA,DATOS!$A7908,nCURSO,DATOS!$D7908,nESPEC,DATOS!$E7908,nASIG,DATOS!$I7908,nEVAL,"EX")=0),0))))</f>
      </c>
      <c r="H7908">
        <f>IF(DATOS!$G7908&lt;&gt;"EX",0,--(COUNTIFS(nNIA,DATOS!$A7908,nCURSO,DATOS!$D7908,nESPEC,DATOS!$E7908,nASIG,DATOS!$I7908,nEVAL,"OR")=0))</f>
      </c>
      <c r="I7908">
        <f>IF(DATOS!$I7908="","",IFERROR(VLOOKUP(DATOS!$I7908,CONFIG_ASIGNATURAS!$B$2:$J$91,9,FALSE()),""))</f>
      </c>
    </row>
    <row r="7909">
      <c r="F7909">
        <f>IF(DATOS!$A7909="","",DATOS!$A7909&amp;"|"&amp;DATOS!$D7909&amp;"|"&amp;DATOS!$E7909&amp;"|"&amp;DATOS!$I7909)</f>
      </c>
      <c r="G7909">
        <f>IF(DATOS!$A7909="",0,IF(CONFIG_METADATA!$B$4&lt;&gt;"OR+EX",--(DATOS!$G7909=CONFIG_METADATA!$B$4),IF(DATOS!$G7909="EX",1,IF(DATOS!$G7909="OR",--(COUNTIFS(nNIA,DATOS!$A7909,nCURSO,DATOS!$D7909,nESPEC,DATOS!$E7909,nASIG,DATOS!$I7909,nEVAL,"EX")=0),0))))</f>
      </c>
      <c r="H7909">
        <f>IF(DATOS!$G7909&lt;&gt;"EX",0,--(COUNTIFS(nNIA,DATOS!$A7909,nCURSO,DATOS!$D7909,nESPEC,DATOS!$E7909,nASIG,DATOS!$I7909,nEVAL,"OR")=0))</f>
      </c>
      <c r="I7909">
        <f>IF(DATOS!$I7909="","",IFERROR(VLOOKUP(DATOS!$I7909,CONFIG_ASIGNATURAS!$B$2:$J$91,9,FALSE()),""))</f>
      </c>
    </row>
    <row r="7910">
      <c r="F7910">
        <f>IF(DATOS!$A7910="","",DATOS!$A7910&amp;"|"&amp;DATOS!$D7910&amp;"|"&amp;DATOS!$E7910&amp;"|"&amp;DATOS!$I7910)</f>
      </c>
      <c r="G7910">
        <f>IF(DATOS!$A7910="",0,IF(CONFIG_METADATA!$B$4&lt;&gt;"OR+EX",--(DATOS!$G7910=CONFIG_METADATA!$B$4),IF(DATOS!$G7910="EX",1,IF(DATOS!$G7910="OR",--(COUNTIFS(nNIA,DATOS!$A7910,nCURSO,DATOS!$D7910,nESPEC,DATOS!$E7910,nASIG,DATOS!$I7910,nEVAL,"EX")=0),0))))</f>
      </c>
      <c r="H7910">
        <f>IF(DATOS!$G7910&lt;&gt;"EX",0,--(COUNTIFS(nNIA,DATOS!$A7910,nCURSO,DATOS!$D7910,nESPEC,DATOS!$E7910,nASIG,DATOS!$I7910,nEVAL,"OR")=0))</f>
      </c>
      <c r="I7910">
        <f>IF(DATOS!$I7910="","",IFERROR(VLOOKUP(DATOS!$I7910,CONFIG_ASIGNATURAS!$B$2:$J$91,9,FALSE()),""))</f>
      </c>
    </row>
    <row r="7911">
      <c r="F7911">
        <f>IF(DATOS!$A7911="","",DATOS!$A7911&amp;"|"&amp;DATOS!$D7911&amp;"|"&amp;DATOS!$E7911&amp;"|"&amp;DATOS!$I7911)</f>
      </c>
      <c r="G7911">
        <f>IF(DATOS!$A7911="",0,IF(CONFIG_METADATA!$B$4&lt;&gt;"OR+EX",--(DATOS!$G7911=CONFIG_METADATA!$B$4),IF(DATOS!$G7911="EX",1,IF(DATOS!$G7911="OR",--(COUNTIFS(nNIA,DATOS!$A7911,nCURSO,DATOS!$D7911,nESPEC,DATOS!$E7911,nASIG,DATOS!$I7911,nEVAL,"EX")=0),0))))</f>
      </c>
      <c r="H7911">
        <f>IF(DATOS!$G7911&lt;&gt;"EX",0,--(COUNTIFS(nNIA,DATOS!$A7911,nCURSO,DATOS!$D7911,nESPEC,DATOS!$E7911,nASIG,DATOS!$I7911,nEVAL,"OR")=0))</f>
      </c>
      <c r="I7911">
        <f>IF(DATOS!$I7911="","",IFERROR(VLOOKUP(DATOS!$I7911,CONFIG_ASIGNATURAS!$B$2:$J$91,9,FALSE()),""))</f>
      </c>
    </row>
    <row r="7912">
      <c r="F7912">
        <f>IF(DATOS!$A7912="","",DATOS!$A7912&amp;"|"&amp;DATOS!$D7912&amp;"|"&amp;DATOS!$E7912&amp;"|"&amp;DATOS!$I7912)</f>
      </c>
      <c r="G7912">
        <f>IF(DATOS!$A7912="",0,IF(CONFIG_METADATA!$B$4&lt;&gt;"OR+EX",--(DATOS!$G7912=CONFIG_METADATA!$B$4),IF(DATOS!$G7912="EX",1,IF(DATOS!$G7912="OR",--(COUNTIFS(nNIA,DATOS!$A7912,nCURSO,DATOS!$D7912,nESPEC,DATOS!$E7912,nASIG,DATOS!$I7912,nEVAL,"EX")=0),0))))</f>
      </c>
      <c r="H7912">
        <f>IF(DATOS!$G7912&lt;&gt;"EX",0,--(COUNTIFS(nNIA,DATOS!$A7912,nCURSO,DATOS!$D7912,nESPEC,DATOS!$E7912,nASIG,DATOS!$I7912,nEVAL,"OR")=0))</f>
      </c>
      <c r="I7912">
        <f>IF(DATOS!$I7912="","",IFERROR(VLOOKUP(DATOS!$I7912,CONFIG_ASIGNATURAS!$B$2:$J$91,9,FALSE()),""))</f>
      </c>
    </row>
    <row r="7913">
      <c r="F7913">
        <f>IF(DATOS!$A7913="","",DATOS!$A7913&amp;"|"&amp;DATOS!$D7913&amp;"|"&amp;DATOS!$E7913&amp;"|"&amp;DATOS!$I7913)</f>
      </c>
      <c r="G7913">
        <f>IF(DATOS!$A7913="",0,IF(CONFIG_METADATA!$B$4&lt;&gt;"OR+EX",--(DATOS!$G7913=CONFIG_METADATA!$B$4),IF(DATOS!$G7913="EX",1,IF(DATOS!$G7913="OR",--(COUNTIFS(nNIA,DATOS!$A7913,nCURSO,DATOS!$D7913,nESPEC,DATOS!$E7913,nASIG,DATOS!$I7913,nEVAL,"EX")=0),0))))</f>
      </c>
      <c r="H7913">
        <f>IF(DATOS!$G7913&lt;&gt;"EX",0,--(COUNTIFS(nNIA,DATOS!$A7913,nCURSO,DATOS!$D7913,nESPEC,DATOS!$E7913,nASIG,DATOS!$I7913,nEVAL,"OR")=0))</f>
      </c>
      <c r="I7913">
        <f>IF(DATOS!$I7913="","",IFERROR(VLOOKUP(DATOS!$I7913,CONFIG_ASIGNATURAS!$B$2:$J$91,9,FALSE()),""))</f>
      </c>
    </row>
    <row r="7914">
      <c r="F7914">
        <f>IF(DATOS!$A7914="","",DATOS!$A7914&amp;"|"&amp;DATOS!$D7914&amp;"|"&amp;DATOS!$E7914&amp;"|"&amp;DATOS!$I7914)</f>
      </c>
      <c r="G7914">
        <f>IF(DATOS!$A7914="",0,IF(CONFIG_METADATA!$B$4&lt;&gt;"OR+EX",--(DATOS!$G7914=CONFIG_METADATA!$B$4),IF(DATOS!$G7914="EX",1,IF(DATOS!$G7914="OR",--(COUNTIFS(nNIA,DATOS!$A7914,nCURSO,DATOS!$D7914,nESPEC,DATOS!$E7914,nASIG,DATOS!$I7914,nEVAL,"EX")=0),0))))</f>
      </c>
      <c r="H7914">
        <f>IF(DATOS!$G7914&lt;&gt;"EX",0,--(COUNTIFS(nNIA,DATOS!$A7914,nCURSO,DATOS!$D7914,nESPEC,DATOS!$E7914,nASIG,DATOS!$I7914,nEVAL,"OR")=0))</f>
      </c>
      <c r="I7914">
        <f>IF(DATOS!$I7914="","",IFERROR(VLOOKUP(DATOS!$I7914,CONFIG_ASIGNATURAS!$B$2:$J$91,9,FALSE()),""))</f>
      </c>
    </row>
    <row r="7915">
      <c r="F7915">
        <f>IF(DATOS!$A7915="","",DATOS!$A7915&amp;"|"&amp;DATOS!$D7915&amp;"|"&amp;DATOS!$E7915&amp;"|"&amp;DATOS!$I7915)</f>
      </c>
      <c r="G7915">
        <f>IF(DATOS!$A7915="",0,IF(CONFIG_METADATA!$B$4&lt;&gt;"OR+EX",--(DATOS!$G7915=CONFIG_METADATA!$B$4),IF(DATOS!$G7915="EX",1,IF(DATOS!$G7915="OR",--(COUNTIFS(nNIA,DATOS!$A7915,nCURSO,DATOS!$D7915,nESPEC,DATOS!$E7915,nASIG,DATOS!$I7915,nEVAL,"EX")=0),0))))</f>
      </c>
      <c r="H7915">
        <f>IF(DATOS!$G7915&lt;&gt;"EX",0,--(COUNTIFS(nNIA,DATOS!$A7915,nCURSO,DATOS!$D7915,nESPEC,DATOS!$E7915,nASIG,DATOS!$I7915,nEVAL,"OR")=0))</f>
      </c>
      <c r="I7915">
        <f>IF(DATOS!$I7915="","",IFERROR(VLOOKUP(DATOS!$I7915,CONFIG_ASIGNATURAS!$B$2:$J$91,9,FALSE()),""))</f>
      </c>
    </row>
    <row r="7916">
      <c r="F7916">
        <f>IF(DATOS!$A7916="","",DATOS!$A7916&amp;"|"&amp;DATOS!$D7916&amp;"|"&amp;DATOS!$E7916&amp;"|"&amp;DATOS!$I7916)</f>
      </c>
      <c r="G7916">
        <f>IF(DATOS!$A7916="",0,IF(CONFIG_METADATA!$B$4&lt;&gt;"OR+EX",--(DATOS!$G7916=CONFIG_METADATA!$B$4),IF(DATOS!$G7916="EX",1,IF(DATOS!$G7916="OR",--(COUNTIFS(nNIA,DATOS!$A7916,nCURSO,DATOS!$D7916,nESPEC,DATOS!$E7916,nASIG,DATOS!$I7916,nEVAL,"EX")=0),0))))</f>
      </c>
      <c r="H7916">
        <f>IF(DATOS!$G7916&lt;&gt;"EX",0,--(COUNTIFS(nNIA,DATOS!$A7916,nCURSO,DATOS!$D7916,nESPEC,DATOS!$E7916,nASIG,DATOS!$I7916,nEVAL,"OR")=0))</f>
      </c>
      <c r="I7916">
        <f>IF(DATOS!$I7916="","",IFERROR(VLOOKUP(DATOS!$I7916,CONFIG_ASIGNATURAS!$B$2:$J$91,9,FALSE()),""))</f>
      </c>
    </row>
    <row r="7917">
      <c r="F7917">
        <f>IF(DATOS!$A7917="","",DATOS!$A7917&amp;"|"&amp;DATOS!$D7917&amp;"|"&amp;DATOS!$E7917&amp;"|"&amp;DATOS!$I7917)</f>
      </c>
      <c r="G7917">
        <f>IF(DATOS!$A7917="",0,IF(CONFIG_METADATA!$B$4&lt;&gt;"OR+EX",--(DATOS!$G7917=CONFIG_METADATA!$B$4),IF(DATOS!$G7917="EX",1,IF(DATOS!$G7917="OR",--(COUNTIFS(nNIA,DATOS!$A7917,nCURSO,DATOS!$D7917,nESPEC,DATOS!$E7917,nASIG,DATOS!$I7917,nEVAL,"EX")=0),0))))</f>
      </c>
      <c r="H7917">
        <f>IF(DATOS!$G7917&lt;&gt;"EX",0,--(COUNTIFS(nNIA,DATOS!$A7917,nCURSO,DATOS!$D7917,nESPEC,DATOS!$E7917,nASIG,DATOS!$I7917,nEVAL,"OR")=0))</f>
      </c>
      <c r="I7917">
        <f>IF(DATOS!$I7917="","",IFERROR(VLOOKUP(DATOS!$I7917,CONFIG_ASIGNATURAS!$B$2:$J$91,9,FALSE()),""))</f>
      </c>
    </row>
    <row r="7918">
      <c r="F7918">
        <f>IF(DATOS!$A7918="","",DATOS!$A7918&amp;"|"&amp;DATOS!$D7918&amp;"|"&amp;DATOS!$E7918&amp;"|"&amp;DATOS!$I7918)</f>
      </c>
      <c r="G7918">
        <f>IF(DATOS!$A7918="",0,IF(CONFIG_METADATA!$B$4&lt;&gt;"OR+EX",--(DATOS!$G7918=CONFIG_METADATA!$B$4),IF(DATOS!$G7918="EX",1,IF(DATOS!$G7918="OR",--(COUNTIFS(nNIA,DATOS!$A7918,nCURSO,DATOS!$D7918,nESPEC,DATOS!$E7918,nASIG,DATOS!$I7918,nEVAL,"EX")=0),0))))</f>
      </c>
      <c r="H7918">
        <f>IF(DATOS!$G7918&lt;&gt;"EX",0,--(COUNTIFS(nNIA,DATOS!$A7918,nCURSO,DATOS!$D7918,nESPEC,DATOS!$E7918,nASIG,DATOS!$I7918,nEVAL,"OR")=0))</f>
      </c>
      <c r="I7918">
        <f>IF(DATOS!$I7918="","",IFERROR(VLOOKUP(DATOS!$I7918,CONFIG_ASIGNATURAS!$B$2:$J$91,9,FALSE()),""))</f>
      </c>
    </row>
    <row r="7919">
      <c r="F7919">
        <f>IF(DATOS!$A7919="","",DATOS!$A7919&amp;"|"&amp;DATOS!$D7919&amp;"|"&amp;DATOS!$E7919&amp;"|"&amp;DATOS!$I7919)</f>
      </c>
      <c r="G7919">
        <f>IF(DATOS!$A7919="",0,IF(CONFIG_METADATA!$B$4&lt;&gt;"OR+EX",--(DATOS!$G7919=CONFIG_METADATA!$B$4),IF(DATOS!$G7919="EX",1,IF(DATOS!$G7919="OR",--(COUNTIFS(nNIA,DATOS!$A7919,nCURSO,DATOS!$D7919,nESPEC,DATOS!$E7919,nASIG,DATOS!$I7919,nEVAL,"EX")=0),0))))</f>
      </c>
      <c r="H7919">
        <f>IF(DATOS!$G7919&lt;&gt;"EX",0,--(COUNTIFS(nNIA,DATOS!$A7919,nCURSO,DATOS!$D7919,nESPEC,DATOS!$E7919,nASIG,DATOS!$I7919,nEVAL,"OR")=0))</f>
      </c>
      <c r="I7919">
        <f>IF(DATOS!$I7919="","",IFERROR(VLOOKUP(DATOS!$I7919,CONFIG_ASIGNATURAS!$B$2:$J$91,9,FALSE()),""))</f>
      </c>
    </row>
    <row r="7920">
      <c r="F7920">
        <f>IF(DATOS!$A7920="","",DATOS!$A7920&amp;"|"&amp;DATOS!$D7920&amp;"|"&amp;DATOS!$E7920&amp;"|"&amp;DATOS!$I7920)</f>
      </c>
      <c r="G7920">
        <f>IF(DATOS!$A7920="",0,IF(CONFIG_METADATA!$B$4&lt;&gt;"OR+EX",--(DATOS!$G7920=CONFIG_METADATA!$B$4),IF(DATOS!$G7920="EX",1,IF(DATOS!$G7920="OR",--(COUNTIFS(nNIA,DATOS!$A7920,nCURSO,DATOS!$D7920,nESPEC,DATOS!$E7920,nASIG,DATOS!$I7920,nEVAL,"EX")=0),0))))</f>
      </c>
      <c r="H7920">
        <f>IF(DATOS!$G7920&lt;&gt;"EX",0,--(COUNTIFS(nNIA,DATOS!$A7920,nCURSO,DATOS!$D7920,nESPEC,DATOS!$E7920,nASIG,DATOS!$I7920,nEVAL,"OR")=0))</f>
      </c>
      <c r="I7920">
        <f>IF(DATOS!$I7920="","",IFERROR(VLOOKUP(DATOS!$I7920,CONFIG_ASIGNATURAS!$B$2:$J$91,9,FALSE()),""))</f>
      </c>
    </row>
    <row r="7921">
      <c r="F7921">
        <f>IF(DATOS!$A7921="","",DATOS!$A7921&amp;"|"&amp;DATOS!$D7921&amp;"|"&amp;DATOS!$E7921&amp;"|"&amp;DATOS!$I7921)</f>
      </c>
      <c r="G7921">
        <f>IF(DATOS!$A7921="",0,IF(CONFIG_METADATA!$B$4&lt;&gt;"OR+EX",--(DATOS!$G7921=CONFIG_METADATA!$B$4),IF(DATOS!$G7921="EX",1,IF(DATOS!$G7921="OR",--(COUNTIFS(nNIA,DATOS!$A7921,nCURSO,DATOS!$D7921,nESPEC,DATOS!$E7921,nASIG,DATOS!$I7921,nEVAL,"EX")=0),0))))</f>
      </c>
      <c r="H7921">
        <f>IF(DATOS!$G7921&lt;&gt;"EX",0,--(COUNTIFS(nNIA,DATOS!$A7921,nCURSO,DATOS!$D7921,nESPEC,DATOS!$E7921,nASIG,DATOS!$I7921,nEVAL,"OR")=0))</f>
      </c>
      <c r="I7921">
        <f>IF(DATOS!$I7921="","",IFERROR(VLOOKUP(DATOS!$I7921,CONFIG_ASIGNATURAS!$B$2:$J$91,9,FALSE()),""))</f>
      </c>
    </row>
    <row r="7922">
      <c r="F7922">
        <f>IF(DATOS!$A7922="","",DATOS!$A7922&amp;"|"&amp;DATOS!$D7922&amp;"|"&amp;DATOS!$E7922&amp;"|"&amp;DATOS!$I7922)</f>
      </c>
      <c r="G7922">
        <f>IF(DATOS!$A7922="",0,IF(CONFIG_METADATA!$B$4&lt;&gt;"OR+EX",--(DATOS!$G7922=CONFIG_METADATA!$B$4),IF(DATOS!$G7922="EX",1,IF(DATOS!$G7922="OR",--(COUNTIFS(nNIA,DATOS!$A7922,nCURSO,DATOS!$D7922,nESPEC,DATOS!$E7922,nASIG,DATOS!$I7922,nEVAL,"EX")=0),0))))</f>
      </c>
      <c r="H7922">
        <f>IF(DATOS!$G7922&lt;&gt;"EX",0,--(COUNTIFS(nNIA,DATOS!$A7922,nCURSO,DATOS!$D7922,nESPEC,DATOS!$E7922,nASIG,DATOS!$I7922,nEVAL,"OR")=0))</f>
      </c>
      <c r="I7922">
        <f>IF(DATOS!$I7922="","",IFERROR(VLOOKUP(DATOS!$I7922,CONFIG_ASIGNATURAS!$B$2:$J$91,9,FALSE()),""))</f>
      </c>
    </row>
    <row r="7923">
      <c r="F7923">
        <f>IF(DATOS!$A7923="","",DATOS!$A7923&amp;"|"&amp;DATOS!$D7923&amp;"|"&amp;DATOS!$E7923&amp;"|"&amp;DATOS!$I7923)</f>
      </c>
      <c r="G7923">
        <f>IF(DATOS!$A7923="",0,IF(CONFIG_METADATA!$B$4&lt;&gt;"OR+EX",--(DATOS!$G7923=CONFIG_METADATA!$B$4),IF(DATOS!$G7923="EX",1,IF(DATOS!$G7923="OR",--(COUNTIFS(nNIA,DATOS!$A7923,nCURSO,DATOS!$D7923,nESPEC,DATOS!$E7923,nASIG,DATOS!$I7923,nEVAL,"EX")=0),0))))</f>
      </c>
      <c r="H7923">
        <f>IF(DATOS!$G7923&lt;&gt;"EX",0,--(COUNTIFS(nNIA,DATOS!$A7923,nCURSO,DATOS!$D7923,nESPEC,DATOS!$E7923,nASIG,DATOS!$I7923,nEVAL,"OR")=0))</f>
      </c>
      <c r="I7923">
        <f>IF(DATOS!$I7923="","",IFERROR(VLOOKUP(DATOS!$I7923,CONFIG_ASIGNATURAS!$B$2:$J$91,9,FALSE()),""))</f>
      </c>
    </row>
    <row r="7924">
      <c r="F7924">
        <f>IF(DATOS!$A7924="","",DATOS!$A7924&amp;"|"&amp;DATOS!$D7924&amp;"|"&amp;DATOS!$E7924&amp;"|"&amp;DATOS!$I7924)</f>
      </c>
      <c r="G7924">
        <f>IF(DATOS!$A7924="",0,IF(CONFIG_METADATA!$B$4&lt;&gt;"OR+EX",--(DATOS!$G7924=CONFIG_METADATA!$B$4),IF(DATOS!$G7924="EX",1,IF(DATOS!$G7924="OR",--(COUNTIFS(nNIA,DATOS!$A7924,nCURSO,DATOS!$D7924,nESPEC,DATOS!$E7924,nASIG,DATOS!$I7924,nEVAL,"EX")=0),0))))</f>
      </c>
      <c r="H7924">
        <f>IF(DATOS!$G7924&lt;&gt;"EX",0,--(COUNTIFS(nNIA,DATOS!$A7924,nCURSO,DATOS!$D7924,nESPEC,DATOS!$E7924,nASIG,DATOS!$I7924,nEVAL,"OR")=0))</f>
      </c>
      <c r="I7924">
        <f>IF(DATOS!$I7924="","",IFERROR(VLOOKUP(DATOS!$I7924,CONFIG_ASIGNATURAS!$B$2:$J$91,9,FALSE()),""))</f>
      </c>
    </row>
    <row r="7925">
      <c r="F7925">
        <f>IF(DATOS!$A7925="","",DATOS!$A7925&amp;"|"&amp;DATOS!$D7925&amp;"|"&amp;DATOS!$E7925&amp;"|"&amp;DATOS!$I7925)</f>
      </c>
      <c r="G7925">
        <f>IF(DATOS!$A7925="",0,IF(CONFIG_METADATA!$B$4&lt;&gt;"OR+EX",--(DATOS!$G7925=CONFIG_METADATA!$B$4),IF(DATOS!$G7925="EX",1,IF(DATOS!$G7925="OR",--(COUNTIFS(nNIA,DATOS!$A7925,nCURSO,DATOS!$D7925,nESPEC,DATOS!$E7925,nASIG,DATOS!$I7925,nEVAL,"EX")=0),0))))</f>
      </c>
      <c r="H7925">
        <f>IF(DATOS!$G7925&lt;&gt;"EX",0,--(COUNTIFS(nNIA,DATOS!$A7925,nCURSO,DATOS!$D7925,nESPEC,DATOS!$E7925,nASIG,DATOS!$I7925,nEVAL,"OR")=0))</f>
      </c>
      <c r="I7925">
        <f>IF(DATOS!$I7925="","",IFERROR(VLOOKUP(DATOS!$I7925,CONFIG_ASIGNATURAS!$B$2:$J$91,9,FALSE()),""))</f>
      </c>
    </row>
    <row r="7926">
      <c r="F7926">
        <f>IF(DATOS!$A7926="","",DATOS!$A7926&amp;"|"&amp;DATOS!$D7926&amp;"|"&amp;DATOS!$E7926&amp;"|"&amp;DATOS!$I7926)</f>
      </c>
      <c r="G7926">
        <f>IF(DATOS!$A7926="",0,IF(CONFIG_METADATA!$B$4&lt;&gt;"OR+EX",--(DATOS!$G7926=CONFIG_METADATA!$B$4),IF(DATOS!$G7926="EX",1,IF(DATOS!$G7926="OR",--(COUNTIFS(nNIA,DATOS!$A7926,nCURSO,DATOS!$D7926,nESPEC,DATOS!$E7926,nASIG,DATOS!$I7926,nEVAL,"EX")=0),0))))</f>
      </c>
      <c r="H7926">
        <f>IF(DATOS!$G7926&lt;&gt;"EX",0,--(COUNTIFS(nNIA,DATOS!$A7926,nCURSO,DATOS!$D7926,nESPEC,DATOS!$E7926,nASIG,DATOS!$I7926,nEVAL,"OR")=0))</f>
      </c>
      <c r="I7926">
        <f>IF(DATOS!$I7926="","",IFERROR(VLOOKUP(DATOS!$I7926,CONFIG_ASIGNATURAS!$B$2:$J$91,9,FALSE()),""))</f>
      </c>
    </row>
    <row r="7927">
      <c r="F7927">
        <f>IF(DATOS!$A7927="","",DATOS!$A7927&amp;"|"&amp;DATOS!$D7927&amp;"|"&amp;DATOS!$E7927&amp;"|"&amp;DATOS!$I7927)</f>
      </c>
      <c r="G7927">
        <f>IF(DATOS!$A7927="",0,IF(CONFIG_METADATA!$B$4&lt;&gt;"OR+EX",--(DATOS!$G7927=CONFIG_METADATA!$B$4),IF(DATOS!$G7927="EX",1,IF(DATOS!$G7927="OR",--(COUNTIFS(nNIA,DATOS!$A7927,nCURSO,DATOS!$D7927,nESPEC,DATOS!$E7927,nASIG,DATOS!$I7927,nEVAL,"EX")=0),0))))</f>
      </c>
      <c r="H7927">
        <f>IF(DATOS!$G7927&lt;&gt;"EX",0,--(COUNTIFS(nNIA,DATOS!$A7927,nCURSO,DATOS!$D7927,nESPEC,DATOS!$E7927,nASIG,DATOS!$I7927,nEVAL,"OR")=0))</f>
      </c>
      <c r="I7927">
        <f>IF(DATOS!$I7927="","",IFERROR(VLOOKUP(DATOS!$I7927,CONFIG_ASIGNATURAS!$B$2:$J$91,9,FALSE()),""))</f>
      </c>
    </row>
    <row r="7928">
      <c r="F7928">
        <f>IF(DATOS!$A7928="","",DATOS!$A7928&amp;"|"&amp;DATOS!$D7928&amp;"|"&amp;DATOS!$E7928&amp;"|"&amp;DATOS!$I7928)</f>
      </c>
      <c r="G7928">
        <f>IF(DATOS!$A7928="",0,IF(CONFIG_METADATA!$B$4&lt;&gt;"OR+EX",--(DATOS!$G7928=CONFIG_METADATA!$B$4),IF(DATOS!$G7928="EX",1,IF(DATOS!$G7928="OR",--(COUNTIFS(nNIA,DATOS!$A7928,nCURSO,DATOS!$D7928,nESPEC,DATOS!$E7928,nASIG,DATOS!$I7928,nEVAL,"EX")=0),0))))</f>
      </c>
      <c r="H7928">
        <f>IF(DATOS!$G7928&lt;&gt;"EX",0,--(COUNTIFS(nNIA,DATOS!$A7928,nCURSO,DATOS!$D7928,nESPEC,DATOS!$E7928,nASIG,DATOS!$I7928,nEVAL,"OR")=0))</f>
      </c>
      <c r="I7928">
        <f>IF(DATOS!$I7928="","",IFERROR(VLOOKUP(DATOS!$I7928,CONFIG_ASIGNATURAS!$B$2:$J$91,9,FALSE()),""))</f>
      </c>
    </row>
    <row r="7929">
      <c r="F7929">
        <f>IF(DATOS!$A7929="","",DATOS!$A7929&amp;"|"&amp;DATOS!$D7929&amp;"|"&amp;DATOS!$E7929&amp;"|"&amp;DATOS!$I7929)</f>
      </c>
      <c r="G7929">
        <f>IF(DATOS!$A7929="",0,IF(CONFIG_METADATA!$B$4&lt;&gt;"OR+EX",--(DATOS!$G7929=CONFIG_METADATA!$B$4),IF(DATOS!$G7929="EX",1,IF(DATOS!$G7929="OR",--(COUNTIFS(nNIA,DATOS!$A7929,nCURSO,DATOS!$D7929,nESPEC,DATOS!$E7929,nASIG,DATOS!$I7929,nEVAL,"EX")=0),0))))</f>
      </c>
      <c r="H7929">
        <f>IF(DATOS!$G7929&lt;&gt;"EX",0,--(COUNTIFS(nNIA,DATOS!$A7929,nCURSO,DATOS!$D7929,nESPEC,DATOS!$E7929,nASIG,DATOS!$I7929,nEVAL,"OR")=0))</f>
      </c>
      <c r="I7929">
        <f>IF(DATOS!$I7929="","",IFERROR(VLOOKUP(DATOS!$I7929,CONFIG_ASIGNATURAS!$B$2:$J$91,9,FALSE()),""))</f>
      </c>
    </row>
    <row r="7930">
      <c r="F7930">
        <f>IF(DATOS!$A7930="","",DATOS!$A7930&amp;"|"&amp;DATOS!$D7930&amp;"|"&amp;DATOS!$E7930&amp;"|"&amp;DATOS!$I7930)</f>
      </c>
      <c r="G7930">
        <f>IF(DATOS!$A7930="",0,IF(CONFIG_METADATA!$B$4&lt;&gt;"OR+EX",--(DATOS!$G7930=CONFIG_METADATA!$B$4),IF(DATOS!$G7930="EX",1,IF(DATOS!$G7930="OR",--(COUNTIFS(nNIA,DATOS!$A7930,nCURSO,DATOS!$D7930,nESPEC,DATOS!$E7930,nASIG,DATOS!$I7930,nEVAL,"EX")=0),0))))</f>
      </c>
      <c r="H7930">
        <f>IF(DATOS!$G7930&lt;&gt;"EX",0,--(COUNTIFS(nNIA,DATOS!$A7930,nCURSO,DATOS!$D7930,nESPEC,DATOS!$E7930,nASIG,DATOS!$I7930,nEVAL,"OR")=0))</f>
      </c>
      <c r="I7930">
        <f>IF(DATOS!$I7930="","",IFERROR(VLOOKUP(DATOS!$I7930,CONFIG_ASIGNATURAS!$B$2:$J$91,9,FALSE()),""))</f>
      </c>
    </row>
    <row r="7931">
      <c r="F7931">
        <f>IF(DATOS!$A7931="","",DATOS!$A7931&amp;"|"&amp;DATOS!$D7931&amp;"|"&amp;DATOS!$E7931&amp;"|"&amp;DATOS!$I7931)</f>
      </c>
      <c r="G7931">
        <f>IF(DATOS!$A7931="",0,IF(CONFIG_METADATA!$B$4&lt;&gt;"OR+EX",--(DATOS!$G7931=CONFIG_METADATA!$B$4),IF(DATOS!$G7931="EX",1,IF(DATOS!$G7931="OR",--(COUNTIFS(nNIA,DATOS!$A7931,nCURSO,DATOS!$D7931,nESPEC,DATOS!$E7931,nASIG,DATOS!$I7931,nEVAL,"EX")=0),0))))</f>
      </c>
      <c r="H7931">
        <f>IF(DATOS!$G7931&lt;&gt;"EX",0,--(COUNTIFS(nNIA,DATOS!$A7931,nCURSO,DATOS!$D7931,nESPEC,DATOS!$E7931,nASIG,DATOS!$I7931,nEVAL,"OR")=0))</f>
      </c>
      <c r="I7931">
        <f>IF(DATOS!$I7931="","",IFERROR(VLOOKUP(DATOS!$I7931,CONFIG_ASIGNATURAS!$B$2:$J$91,9,FALSE()),""))</f>
      </c>
    </row>
    <row r="7932">
      <c r="F7932">
        <f>IF(DATOS!$A7932="","",DATOS!$A7932&amp;"|"&amp;DATOS!$D7932&amp;"|"&amp;DATOS!$E7932&amp;"|"&amp;DATOS!$I7932)</f>
      </c>
      <c r="G7932">
        <f>IF(DATOS!$A7932="",0,IF(CONFIG_METADATA!$B$4&lt;&gt;"OR+EX",--(DATOS!$G7932=CONFIG_METADATA!$B$4),IF(DATOS!$G7932="EX",1,IF(DATOS!$G7932="OR",--(COUNTIFS(nNIA,DATOS!$A7932,nCURSO,DATOS!$D7932,nESPEC,DATOS!$E7932,nASIG,DATOS!$I7932,nEVAL,"EX")=0),0))))</f>
      </c>
      <c r="H7932">
        <f>IF(DATOS!$G7932&lt;&gt;"EX",0,--(COUNTIFS(nNIA,DATOS!$A7932,nCURSO,DATOS!$D7932,nESPEC,DATOS!$E7932,nASIG,DATOS!$I7932,nEVAL,"OR")=0))</f>
      </c>
      <c r="I7932">
        <f>IF(DATOS!$I7932="","",IFERROR(VLOOKUP(DATOS!$I7932,CONFIG_ASIGNATURAS!$B$2:$J$91,9,FALSE()),""))</f>
      </c>
    </row>
    <row r="7933">
      <c r="F7933">
        <f>IF(DATOS!$A7933="","",DATOS!$A7933&amp;"|"&amp;DATOS!$D7933&amp;"|"&amp;DATOS!$E7933&amp;"|"&amp;DATOS!$I7933)</f>
      </c>
      <c r="G7933">
        <f>IF(DATOS!$A7933="",0,IF(CONFIG_METADATA!$B$4&lt;&gt;"OR+EX",--(DATOS!$G7933=CONFIG_METADATA!$B$4),IF(DATOS!$G7933="EX",1,IF(DATOS!$G7933="OR",--(COUNTIFS(nNIA,DATOS!$A7933,nCURSO,DATOS!$D7933,nESPEC,DATOS!$E7933,nASIG,DATOS!$I7933,nEVAL,"EX")=0),0))))</f>
      </c>
      <c r="H7933">
        <f>IF(DATOS!$G7933&lt;&gt;"EX",0,--(COUNTIFS(nNIA,DATOS!$A7933,nCURSO,DATOS!$D7933,nESPEC,DATOS!$E7933,nASIG,DATOS!$I7933,nEVAL,"OR")=0))</f>
      </c>
      <c r="I7933">
        <f>IF(DATOS!$I7933="","",IFERROR(VLOOKUP(DATOS!$I7933,CONFIG_ASIGNATURAS!$B$2:$J$91,9,FALSE()),""))</f>
      </c>
    </row>
    <row r="7934">
      <c r="F7934">
        <f>IF(DATOS!$A7934="","",DATOS!$A7934&amp;"|"&amp;DATOS!$D7934&amp;"|"&amp;DATOS!$E7934&amp;"|"&amp;DATOS!$I7934)</f>
      </c>
      <c r="G7934">
        <f>IF(DATOS!$A7934="",0,IF(CONFIG_METADATA!$B$4&lt;&gt;"OR+EX",--(DATOS!$G7934=CONFIG_METADATA!$B$4),IF(DATOS!$G7934="EX",1,IF(DATOS!$G7934="OR",--(COUNTIFS(nNIA,DATOS!$A7934,nCURSO,DATOS!$D7934,nESPEC,DATOS!$E7934,nASIG,DATOS!$I7934,nEVAL,"EX")=0),0))))</f>
      </c>
      <c r="H7934">
        <f>IF(DATOS!$G7934&lt;&gt;"EX",0,--(COUNTIFS(nNIA,DATOS!$A7934,nCURSO,DATOS!$D7934,nESPEC,DATOS!$E7934,nASIG,DATOS!$I7934,nEVAL,"OR")=0))</f>
      </c>
      <c r="I7934">
        <f>IF(DATOS!$I7934="","",IFERROR(VLOOKUP(DATOS!$I7934,CONFIG_ASIGNATURAS!$B$2:$J$91,9,FALSE()),""))</f>
      </c>
    </row>
    <row r="7935">
      <c r="F7935">
        <f>IF(DATOS!$A7935="","",DATOS!$A7935&amp;"|"&amp;DATOS!$D7935&amp;"|"&amp;DATOS!$E7935&amp;"|"&amp;DATOS!$I7935)</f>
      </c>
      <c r="G7935">
        <f>IF(DATOS!$A7935="",0,IF(CONFIG_METADATA!$B$4&lt;&gt;"OR+EX",--(DATOS!$G7935=CONFIG_METADATA!$B$4),IF(DATOS!$G7935="EX",1,IF(DATOS!$G7935="OR",--(COUNTIFS(nNIA,DATOS!$A7935,nCURSO,DATOS!$D7935,nESPEC,DATOS!$E7935,nASIG,DATOS!$I7935,nEVAL,"EX")=0),0))))</f>
      </c>
      <c r="H7935">
        <f>IF(DATOS!$G7935&lt;&gt;"EX",0,--(COUNTIFS(nNIA,DATOS!$A7935,nCURSO,DATOS!$D7935,nESPEC,DATOS!$E7935,nASIG,DATOS!$I7935,nEVAL,"OR")=0))</f>
      </c>
      <c r="I7935">
        <f>IF(DATOS!$I7935="","",IFERROR(VLOOKUP(DATOS!$I7935,CONFIG_ASIGNATURAS!$B$2:$J$91,9,FALSE()),""))</f>
      </c>
    </row>
    <row r="7936">
      <c r="F7936">
        <f>IF(DATOS!$A7936="","",DATOS!$A7936&amp;"|"&amp;DATOS!$D7936&amp;"|"&amp;DATOS!$E7936&amp;"|"&amp;DATOS!$I7936)</f>
      </c>
      <c r="G7936">
        <f>IF(DATOS!$A7936="",0,IF(CONFIG_METADATA!$B$4&lt;&gt;"OR+EX",--(DATOS!$G7936=CONFIG_METADATA!$B$4),IF(DATOS!$G7936="EX",1,IF(DATOS!$G7936="OR",--(COUNTIFS(nNIA,DATOS!$A7936,nCURSO,DATOS!$D7936,nESPEC,DATOS!$E7936,nASIG,DATOS!$I7936,nEVAL,"EX")=0),0))))</f>
      </c>
      <c r="H7936">
        <f>IF(DATOS!$G7936&lt;&gt;"EX",0,--(COUNTIFS(nNIA,DATOS!$A7936,nCURSO,DATOS!$D7936,nESPEC,DATOS!$E7936,nASIG,DATOS!$I7936,nEVAL,"OR")=0))</f>
      </c>
      <c r="I7936">
        <f>IF(DATOS!$I7936="","",IFERROR(VLOOKUP(DATOS!$I7936,CONFIG_ASIGNATURAS!$B$2:$J$91,9,FALSE()),""))</f>
      </c>
    </row>
    <row r="7937">
      <c r="F7937">
        <f>IF(DATOS!$A7937="","",DATOS!$A7937&amp;"|"&amp;DATOS!$D7937&amp;"|"&amp;DATOS!$E7937&amp;"|"&amp;DATOS!$I7937)</f>
      </c>
      <c r="G7937">
        <f>IF(DATOS!$A7937="",0,IF(CONFIG_METADATA!$B$4&lt;&gt;"OR+EX",--(DATOS!$G7937=CONFIG_METADATA!$B$4),IF(DATOS!$G7937="EX",1,IF(DATOS!$G7937="OR",--(COUNTIFS(nNIA,DATOS!$A7937,nCURSO,DATOS!$D7937,nESPEC,DATOS!$E7937,nASIG,DATOS!$I7937,nEVAL,"EX")=0),0))))</f>
      </c>
      <c r="H7937">
        <f>IF(DATOS!$G7937&lt;&gt;"EX",0,--(COUNTIFS(nNIA,DATOS!$A7937,nCURSO,DATOS!$D7937,nESPEC,DATOS!$E7937,nASIG,DATOS!$I7937,nEVAL,"OR")=0))</f>
      </c>
      <c r="I7937">
        <f>IF(DATOS!$I7937="","",IFERROR(VLOOKUP(DATOS!$I7937,CONFIG_ASIGNATURAS!$B$2:$J$91,9,FALSE()),""))</f>
      </c>
    </row>
    <row r="7938">
      <c r="F7938">
        <f>IF(DATOS!$A7938="","",DATOS!$A7938&amp;"|"&amp;DATOS!$D7938&amp;"|"&amp;DATOS!$E7938&amp;"|"&amp;DATOS!$I7938)</f>
      </c>
      <c r="G7938">
        <f>IF(DATOS!$A7938="",0,IF(CONFIG_METADATA!$B$4&lt;&gt;"OR+EX",--(DATOS!$G7938=CONFIG_METADATA!$B$4),IF(DATOS!$G7938="EX",1,IF(DATOS!$G7938="OR",--(COUNTIFS(nNIA,DATOS!$A7938,nCURSO,DATOS!$D7938,nESPEC,DATOS!$E7938,nASIG,DATOS!$I7938,nEVAL,"EX")=0),0))))</f>
      </c>
      <c r="H7938">
        <f>IF(DATOS!$G7938&lt;&gt;"EX",0,--(COUNTIFS(nNIA,DATOS!$A7938,nCURSO,DATOS!$D7938,nESPEC,DATOS!$E7938,nASIG,DATOS!$I7938,nEVAL,"OR")=0))</f>
      </c>
      <c r="I7938">
        <f>IF(DATOS!$I7938="","",IFERROR(VLOOKUP(DATOS!$I7938,CONFIG_ASIGNATURAS!$B$2:$J$91,9,FALSE()),""))</f>
      </c>
    </row>
    <row r="7939">
      <c r="F7939">
        <f>IF(DATOS!$A7939="","",DATOS!$A7939&amp;"|"&amp;DATOS!$D7939&amp;"|"&amp;DATOS!$E7939&amp;"|"&amp;DATOS!$I7939)</f>
      </c>
      <c r="G7939">
        <f>IF(DATOS!$A7939="",0,IF(CONFIG_METADATA!$B$4&lt;&gt;"OR+EX",--(DATOS!$G7939=CONFIG_METADATA!$B$4),IF(DATOS!$G7939="EX",1,IF(DATOS!$G7939="OR",--(COUNTIFS(nNIA,DATOS!$A7939,nCURSO,DATOS!$D7939,nESPEC,DATOS!$E7939,nASIG,DATOS!$I7939,nEVAL,"EX")=0),0))))</f>
      </c>
      <c r="H7939">
        <f>IF(DATOS!$G7939&lt;&gt;"EX",0,--(COUNTIFS(nNIA,DATOS!$A7939,nCURSO,DATOS!$D7939,nESPEC,DATOS!$E7939,nASIG,DATOS!$I7939,nEVAL,"OR")=0))</f>
      </c>
      <c r="I7939">
        <f>IF(DATOS!$I7939="","",IFERROR(VLOOKUP(DATOS!$I7939,CONFIG_ASIGNATURAS!$B$2:$J$91,9,FALSE()),""))</f>
      </c>
    </row>
    <row r="7940">
      <c r="F7940">
        <f>IF(DATOS!$A7940="","",DATOS!$A7940&amp;"|"&amp;DATOS!$D7940&amp;"|"&amp;DATOS!$E7940&amp;"|"&amp;DATOS!$I7940)</f>
      </c>
      <c r="G7940">
        <f>IF(DATOS!$A7940="",0,IF(CONFIG_METADATA!$B$4&lt;&gt;"OR+EX",--(DATOS!$G7940=CONFIG_METADATA!$B$4),IF(DATOS!$G7940="EX",1,IF(DATOS!$G7940="OR",--(COUNTIFS(nNIA,DATOS!$A7940,nCURSO,DATOS!$D7940,nESPEC,DATOS!$E7940,nASIG,DATOS!$I7940,nEVAL,"EX")=0),0))))</f>
      </c>
      <c r="H7940">
        <f>IF(DATOS!$G7940&lt;&gt;"EX",0,--(COUNTIFS(nNIA,DATOS!$A7940,nCURSO,DATOS!$D7940,nESPEC,DATOS!$E7940,nASIG,DATOS!$I7940,nEVAL,"OR")=0))</f>
      </c>
      <c r="I7940">
        <f>IF(DATOS!$I7940="","",IFERROR(VLOOKUP(DATOS!$I7940,CONFIG_ASIGNATURAS!$B$2:$J$91,9,FALSE()),""))</f>
      </c>
    </row>
    <row r="7941">
      <c r="F7941">
        <f>IF(DATOS!$A7941="","",DATOS!$A7941&amp;"|"&amp;DATOS!$D7941&amp;"|"&amp;DATOS!$E7941&amp;"|"&amp;DATOS!$I7941)</f>
      </c>
      <c r="G7941">
        <f>IF(DATOS!$A7941="",0,IF(CONFIG_METADATA!$B$4&lt;&gt;"OR+EX",--(DATOS!$G7941=CONFIG_METADATA!$B$4),IF(DATOS!$G7941="EX",1,IF(DATOS!$G7941="OR",--(COUNTIFS(nNIA,DATOS!$A7941,nCURSO,DATOS!$D7941,nESPEC,DATOS!$E7941,nASIG,DATOS!$I7941,nEVAL,"EX")=0),0))))</f>
      </c>
      <c r="H7941">
        <f>IF(DATOS!$G7941&lt;&gt;"EX",0,--(COUNTIFS(nNIA,DATOS!$A7941,nCURSO,DATOS!$D7941,nESPEC,DATOS!$E7941,nASIG,DATOS!$I7941,nEVAL,"OR")=0))</f>
      </c>
      <c r="I7941">
        <f>IF(DATOS!$I7941="","",IFERROR(VLOOKUP(DATOS!$I7941,CONFIG_ASIGNATURAS!$B$2:$J$91,9,FALSE()),""))</f>
      </c>
    </row>
    <row r="7942">
      <c r="F7942">
        <f>IF(DATOS!$A7942="","",DATOS!$A7942&amp;"|"&amp;DATOS!$D7942&amp;"|"&amp;DATOS!$E7942&amp;"|"&amp;DATOS!$I7942)</f>
      </c>
      <c r="G7942">
        <f>IF(DATOS!$A7942="",0,IF(CONFIG_METADATA!$B$4&lt;&gt;"OR+EX",--(DATOS!$G7942=CONFIG_METADATA!$B$4),IF(DATOS!$G7942="EX",1,IF(DATOS!$G7942="OR",--(COUNTIFS(nNIA,DATOS!$A7942,nCURSO,DATOS!$D7942,nESPEC,DATOS!$E7942,nASIG,DATOS!$I7942,nEVAL,"EX")=0),0))))</f>
      </c>
      <c r="H7942">
        <f>IF(DATOS!$G7942&lt;&gt;"EX",0,--(COUNTIFS(nNIA,DATOS!$A7942,nCURSO,DATOS!$D7942,nESPEC,DATOS!$E7942,nASIG,DATOS!$I7942,nEVAL,"OR")=0))</f>
      </c>
      <c r="I7942">
        <f>IF(DATOS!$I7942="","",IFERROR(VLOOKUP(DATOS!$I7942,CONFIG_ASIGNATURAS!$B$2:$J$91,9,FALSE()),""))</f>
      </c>
    </row>
    <row r="7943">
      <c r="F7943">
        <f>IF(DATOS!$A7943="","",DATOS!$A7943&amp;"|"&amp;DATOS!$D7943&amp;"|"&amp;DATOS!$E7943&amp;"|"&amp;DATOS!$I7943)</f>
      </c>
      <c r="G7943">
        <f>IF(DATOS!$A7943="",0,IF(CONFIG_METADATA!$B$4&lt;&gt;"OR+EX",--(DATOS!$G7943=CONFIG_METADATA!$B$4),IF(DATOS!$G7943="EX",1,IF(DATOS!$G7943="OR",--(COUNTIFS(nNIA,DATOS!$A7943,nCURSO,DATOS!$D7943,nESPEC,DATOS!$E7943,nASIG,DATOS!$I7943,nEVAL,"EX")=0),0))))</f>
      </c>
      <c r="H7943">
        <f>IF(DATOS!$G7943&lt;&gt;"EX",0,--(COUNTIFS(nNIA,DATOS!$A7943,nCURSO,DATOS!$D7943,nESPEC,DATOS!$E7943,nASIG,DATOS!$I7943,nEVAL,"OR")=0))</f>
      </c>
      <c r="I7943">
        <f>IF(DATOS!$I7943="","",IFERROR(VLOOKUP(DATOS!$I7943,CONFIG_ASIGNATURAS!$B$2:$J$91,9,FALSE()),""))</f>
      </c>
    </row>
    <row r="7944">
      <c r="F7944">
        <f>IF(DATOS!$A7944="","",DATOS!$A7944&amp;"|"&amp;DATOS!$D7944&amp;"|"&amp;DATOS!$E7944&amp;"|"&amp;DATOS!$I7944)</f>
      </c>
      <c r="G7944">
        <f>IF(DATOS!$A7944="",0,IF(CONFIG_METADATA!$B$4&lt;&gt;"OR+EX",--(DATOS!$G7944=CONFIG_METADATA!$B$4),IF(DATOS!$G7944="EX",1,IF(DATOS!$G7944="OR",--(COUNTIFS(nNIA,DATOS!$A7944,nCURSO,DATOS!$D7944,nESPEC,DATOS!$E7944,nASIG,DATOS!$I7944,nEVAL,"EX")=0),0))))</f>
      </c>
      <c r="H7944">
        <f>IF(DATOS!$G7944&lt;&gt;"EX",0,--(COUNTIFS(nNIA,DATOS!$A7944,nCURSO,DATOS!$D7944,nESPEC,DATOS!$E7944,nASIG,DATOS!$I7944,nEVAL,"OR")=0))</f>
      </c>
      <c r="I7944">
        <f>IF(DATOS!$I7944="","",IFERROR(VLOOKUP(DATOS!$I7944,CONFIG_ASIGNATURAS!$B$2:$J$91,9,FALSE()),""))</f>
      </c>
    </row>
    <row r="7945">
      <c r="F7945">
        <f>IF(DATOS!$A7945="","",DATOS!$A7945&amp;"|"&amp;DATOS!$D7945&amp;"|"&amp;DATOS!$E7945&amp;"|"&amp;DATOS!$I7945)</f>
      </c>
      <c r="G7945">
        <f>IF(DATOS!$A7945="",0,IF(CONFIG_METADATA!$B$4&lt;&gt;"OR+EX",--(DATOS!$G7945=CONFIG_METADATA!$B$4),IF(DATOS!$G7945="EX",1,IF(DATOS!$G7945="OR",--(COUNTIFS(nNIA,DATOS!$A7945,nCURSO,DATOS!$D7945,nESPEC,DATOS!$E7945,nASIG,DATOS!$I7945,nEVAL,"EX")=0),0))))</f>
      </c>
      <c r="H7945">
        <f>IF(DATOS!$G7945&lt;&gt;"EX",0,--(COUNTIFS(nNIA,DATOS!$A7945,nCURSO,DATOS!$D7945,nESPEC,DATOS!$E7945,nASIG,DATOS!$I7945,nEVAL,"OR")=0))</f>
      </c>
      <c r="I7945">
        <f>IF(DATOS!$I7945="","",IFERROR(VLOOKUP(DATOS!$I7945,CONFIG_ASIGNATURAS!$B$2:$J$91,9,FALSE()),""))</f>
      </c>
    </row>
    <row r="7946">
      <c r="F7946">
        <f>IF(DATOS!$A7946="","",DATOS!$A7946&amp;"|"&amp;DATOS!$D7946&amp;"|"&amp;DATOS!$E7946&amp;"|"&amp;DATOS!$I7946)</f>
      </c>
      <c r="G7946">
        <f>IF(DATOS!$A7946="",0,IF(CONFIG_METADATA!$B$4&lt;&gt;"OR+EX",--(DATOS!$G7946=CONFIG_METADATA!$B$4),IF(DATOS!$G7946="EX",1,IF(DATOS!$G7946="OR",--(COUNTIFS(nNIA,DATOS!$A7946,nCURSO,DATOS!$D7946,nESPEC,DATOS!$E7946,nASIG,DATOS!$I7946,nEVAL,"EX")=0),0))))</f>
      </c>
      <c r="H7946">
        <f>IF(DATOS!$G7946&lt;&gt;"EX",0,--(COUNTIFS(nNIA,DATOS!$A7946,nCURSO,DATOS!$D7946,nESPEC,DATOS!$E7946,nASIG,DATOS!$I7946,nEVAL,"OR")=0))</f>
      </c>
      <c r="I7946">
        <f>IF(DATOS!$I7946="","",IFERROR(VLOOKUP(DATOS!$I7946,CONFIG_ASIGNATURAS!$B$2:$J$91,9,FALSE()),""))</f>
      </c>
    </row>
    <row r="7947">
      <c r="F7947">
        <f>IF(DATOS!$A7947="","",DATOS!$A7947&amp;"|"&amp;DATOS!$D7947&amp;"|"&amp;DATOS!$E7947&amp;"|"&amp;DATOS!$I7947)</f>
      </c>
      <c r="G7947">
        <f>IF(DATOS!$A7947="",0,IF(CONFIG_METADATA!$B$4&lt;&gt;"OR+EX",--(DATOS!$G7947=CONFIG_METADATA!$B$4),IF(DATOS!$G7947="EX",1,IF(DATOS!$G7947="OR",--(COUNTIFS(nNIA,DATOS!$A7947,nCURSO,DATOS!$D7947,nESPEC,DATOS!$E7947,nASIG,DATOS!$I7947,nEVAL,"EX")=0),0))))</f>
      </c>
      <c r="H7947">
        <f>IF(DATOS!$G7947&lt;&gt;"EX",0,--(COUNTIFS(nNIA,DATOS!$A7947,nCURSO,DATOS!$D7947,nESPEC,DATOS!$E7947,nASIG,DATOS!$I7947,nEVAL,"OR")=0))</f>
      </c>
      <c r="I7947">
        <f>IF(DATOS!$I7947="","",IFERROR(VLOOKUP(DATOS!$I7947,CONFIG_ASIGNATURAS!$B$2:$J$91,9,FALSE()),""))</f>
      </c>
    </row>
    <row r="7948">
      <c r="F7948">
        <f>IF(DATOS!$A7948="","",DATOS!$A7948&amp;"|"&amp;DATOS!$D7948&amp;"|"&amp;DATOS!$E7948&amp;"|"&amp;DATOS!$I7948)</f>
      </c>
      <c r="G7948">
        <f>IF(DATOS!$A7948="",0,IF(CONFIG_METADATA!$B$4&lt;&gt;"OR+EX",--(DATOS!$G7948=CONFIG_METADATA!$B$4),IF(DATOS!$G7948="EX",1,IF(DATOS!$G7948="OR",--(COUNTIFS(nNIA,DATOS!$A7948,nCURSO,DATOS!$D7948,nESPEC,DATOS!$E7948,nASIG,DATOS!$I7948,nEVAL,"EX")=0),0))))</f>
      </c>
      <c r="H7948">
        <f>IF(DATOS!$G7948&lt;&gt;"EX",0,--(COUNTIFS(nNIA,DATOS!$A7948,nCURSO,DATOS!$D7948,nESPEC,DATOS!$E7948,nASIG,DATOS!$I7948,nEVAL,"OR")=0))</f>
      </c>
      <c r="I7948">
        <f>IF(DATOS!$I7948="","",IFERROR(VLOOKUP(DATOS!$I7948,CONFIG_ASIGNATURAS!$B$2:$J$91,9,FALSE()),""))</f>
      </c>
    </row>
    <row r="7949">
      <c r="F7949">
        <f>IF(DATOS!$A7949="","",DATOS!$A7949&amp;"|"&amp;DATOS!$D7949&amp;"|"&amp;DATOS!$E7949&amp;"|"&amp;DATOS!$I7949)</f>
      </c>
      <c r="G7949">
        <f>IF(DATOS!$A7949="",0,IF(CONFIG_METADATA!$B$4&lt;&gt;"OR+EX",--(DATOS!$G7949=CONFIG_METADATA!$B$4),IF(DATOS!$G7949="EX",1,IF(DATOS!$G7949="OR",--(COUNTIFS(nNIA,DATOS!$A7949,nCURSO,DATOS!$D7949,nESPEC,DATOS!$E7949,nASIG,DATOS!$I7949,nEVAL,"EX")=0),0))))</f>
      </c>
      <c r="H7949">
        <f>IF(DATOS!$G7949&lt;&gt;"EX",0,--(COUNTIFS(nNIA,DATOS!$A7949,nCURSO,DATOS!$D7949,nESPEC,DATOS!$E7949,nASIG,DATOS!$I7949,nEVAL,"OR")=0))</f>
      </c>
      <c r="I7949">
        <f>IF(DATOS!$I7949="","",IFERROR(VLOOKUP(DATOS!$I7949,CONFIG_ASIGNATURAS!$B$2:$J$91,9,FALSE()),""))</f>
      </c>
    </row>
    <row r="7950">
      <c r="F7950">
        <f>IF(DATOS!$A7950="","",DATOS!$A7950&amp;"|"&amp;DATOS!$D7950&amp;"|"&amp;DATOS!$E7950&amp;"|"&amp;DATOS!$I7950)</f>
      </c>
      <c r="G7950">
        <f>IF(DATOS!$A7950="",0,IF(CONFIG_METADATA!$B$4&lt;&gt;"OR+EX",--(DATOS!$G7950=CONFIG_METADATA!$B$4),IF(DATOS!$G7950="EX",1,IF(DATOS!$G7950="OR",--(COUNTIFS(nNIA,DATOS!$A7950,nCURSO,DATOS!$D7950,nESPEC,DATOS!$E7950,nASIG,DATOS!$I7950,nEVAL,"EX")=0),0))))</f>
      </c>
      <c r="H7950">
        <f>IF(DATOS!$G7950&lt;&gt;"EX",0,--(COUNTIFS(nNIA,DATOS!$A7950,nCURSO,DATOS!$D7950,nESPEC,DATOS!$E7950,nASIG,DATOS!$I7950,nEVAL,"OR")=0))</f>
      </c>
      <c r="I7950">
        <f>IF(DATOS!$I7950="","",IFERROR(VLOOKUP(DATOS!$I7950,CONFIG_ASIGNATURAS!$B$2:$J$91,9,FALSE()),""))</f>
      </c>
    </row>
    <row r="7951">
      <c r="F7951">
        <f>IF(DATOS!$A7951="","",DATOS!$A7951&amp;"|"&amp;DATOS!$D7951&amp;"|"&amp;DATOS!$E7951&amp;"|"&amp;DATOS!$I7951)</f>
      </c>
      <c r="G7951">
        <f>IF(DATOS!$A7951="",0,IF(CONFIG_METADATA!$B$4&lt;&gt;"OR+EX",--(DATOS!$G7951=CONFIG_METADATA!$B$4),IF(DATOS!$G7951="EX",1,IF(DATOS!$G7951="OR",--(COUNTIFS(nNIA,DATOS!$A7951,nCURSO,DATOS!$D7951,nESPEC,DATOS!$E7951,nASIG,DATOS!$I7951,nEVAL,"EX")=0),0))))</f>
      </c>
      <c r="H7951">
        <f>IF(DATOS!$G7951&lt;&gt;"EX",0,--(COUNTIFS(nNIA,DATOS!$A7951,nCURSO,DATOS!$D7951,nESPEC,DATOS!$E7951,nASIG,DATOS!$I7951,nEVAL,"OR")=0))</f>
      </c>
      <c r="I7951">
        <f>IF(DATOS!$I7951="","",IFERROR(VLOOKUP(DATOS!$I7951,CONFIG_ASIGNATURAS!$B$2:$J$91,9,FALSE()),""))</f>
      </c>
    </row>
    <row r="7952">
      <c r="F7952">
        <f>IF(DATOS!$A7952="","",DATOS!$A7952&amp;"|"&amp;DATOS!$D7952&amp;"|"&amp;DATOS!$E7952&amp;"|"&amp;DATOS!$I7952)</f>
      </c>
      <c r="G7952">
        <f>IF(DATOS!$A7952="",0,IF(CONFIG_METADATA!$B$4&lt;&gt;"OR+EX",--(DATOS!$G7952=CONFIG_METADATA!$B$4),IF(DATOS!$G7952="EX",1,IF(DATOS!$G7952="OR",--(COUNTIFS(nNIA,DATOS!$A7952,nCURSO,DATOS!$D7952,nESPEC,DATOS!$E7952,nASIG,DATOS!$I7952,nEVAL,"EX")=0),0))))</f>
      </c>
      <c r="H7952">
        <f>IF(DATOS!$G7952&lt;&gt;"EX",0,--(COUNTIFS(nNIA,DATOS!$A7952,nCURSO,DATOS!$D7952,nESPEC,DATOS!$E7952,nASIG,DATOS!$I7952,nEVAL,"OR")=0))</f>
      </c>
      <c r="I7952">
        <f>IF(DATOS!$I7952="","",IFERROR(VLOOKUP(DATOS!$I7952,CONFIG_ASIGNATURAS!$B$2:$J$91,9,FALSE()),""))</f>
      </c>
    </row>
    <row r="7953">
      <c r="F7953">
        <f>IF(DATOS!$A7953="","",DATOS!$A7953&amp;"|"&amp;DATOS!$D7953&amp;"|"&amp;DATOS!$E7953&amp;"|"&amp;DATOS!$I7953)</f>
      </c>
      <c r="G7953">
        <f>IF(DATOS!$A7953="",0,IF(CONFIG_METADATA!$B$4&lt;&gt;"OR+EX",--(DATOS!$G7953=CONFIG_METADATA!$B$4),IF(DATOS!$G7953="EX",1,IF(DATOS!$G7953="OR",--(COUNTIFS(nNIA,DATOS!$A7953,nCURSO,DATOS!$D7953,nESPEC,DATOS!$E7953,nASIG,DATOS!$I7953,nEVAL,"EX")=0),0))))</f>
      </c>
      <c r="H7953">
        <f>IF(DATOS!$G7953&lt;&gt;"EX",0,--(COUNTIFS(nNIA,DATOS!$A7953,nCURSO,DATOS!$D7953,nESPEC,DATOS!$E7953,nASIG,DATOS!$I7953,nEVAL,"OR")=0))</f>
      </c>
      <c r="I7953">
        <f>IF(DATOS!$I7953="","",IFERROR(VLOOKUP(DATOS!$I7953,CONFIG_ASIGNATURAS!$B$2:$J$91,9,FALSE()),""))</f>
      </c>
    </row>
    <row r="7954">
      <c r="F7954">
        <f>IF(DATOS!$A7954="","",DATOS!$A7954&amp;"|"&amp;DATOS!$D7954&amp;"|"&amp;DATOS!$E7954&amp;"|"&amp;DATOS!$I7954)</f>
      </c>
      <c r="G7954">
        <f>IF(DATOS!$A7954="",0,IF(CONFIG_METADATA!$B$4&lt;&gt;"OR+EX",--(DATOS!$G7954=CONFIG_METADATA!$B$4),IF(DATOS!$G7954="EX",1,IF(DATOS!$G7954="OR",--(COUNTIFS(nNIA,DATOS!$A7954,nCURSO,DATOS!$D7954,nESPEC,DATOS!$E7954,nASIG,DATOS!$I7954,nEVAL,"EX")=0),0))))</f>
      </c>
      <c r="H7954">
        <f>IF(DATOS!$G7954&lt;&gt;"EX",0,--(COUNTIFS(nNIA,DATOS!$A7954,nCURSO,DATOS!$D7954,nESPEC,DATOS!$E7954,nASIG,DATOS!$I7954,nEVAL,"OR")=0))</f>
      </c>
      <c r="I7954">
        <f>IF(DATOS!$I7954="","",IFERROR(VLOOKUP(DATOS!$I7954,CONFIG_ASIGNATURAS!$B$2:$J$91,9,FALSE()),""))</f>
      </c>
    </row>
    <row r="7955">
      <c r="F7955">
        <f>IF(DATOS!$A7955="","",DATOS!$A7955&amp;"|"&amp;DATOS!$D7955&amp;"|"&amp;DATOS!$E7955&amp;"|"&amp;DATOS!$I7955)</f>
      </c>
      <c r="G7955">
        <f>IF(DATOS!$A7955="",0,IF(CONFIG_METADATA!$B$4&lt;&gt;"OR+EX",--(DATOS!$G7955=CONFIG_METADATA!$B$4),IF(DATOS!$G7955="EX",1,IF(DATOS!$G7955="OR",--(COUNTIFS(nNIA,DATOS!$A7955,nCURSO,DATOS!$D7955,nESPEC,DATOS!$E7955,nASIG,DATOS!$I7955,nEVAL,"EX")=0),0))))</f>
      </c>
      <c r="H7955">
        <f>IF(DATOS!$G7955&lt;&gt;"EX",0,--(COUNTIFS(nNIA,DATOS!$A7955,nCURSO,DATOS!$D7955,nESPEC,DATOS!$E7955,nASIG,DATOS!$I7955,nEVAL,"OR")=0))</f>
      </c>
      <c r="I7955">
        <f>IF(DATOS!$I7955="","",IFERROR(VLOOKUP(DATOS!$I7955,CONFIG_ASIGNATURAS!$B$2:$J$91,9,FALSE()),""))</f>
      </c>
    </row>
    <row r="7956">
      <c r="F7956">
        <f>IF(DATOS!$A7956="","",DATOS!$A7956&amp;"|"&amp;DATOS!$D7956&amp;"|"&amp;DATOS!$E7956&amp;"|"&amp;DATOS!$I7956)</f>
      </c>
      <c r="G7956">
        <f>IF(DATOS!$A7956="",0,IF(CONFIG_METADATA!$B$4&lt;&gt;"OR+EX",--(DATOS!$G7956=CONFIG_METADATA!$B$4),IF(DATOS!$G7956="EX",1,IF(DATOS!$G7956="OR",--(COUNTIFS(nNIA,DATOS!$A7956,nCURSO,DATOS!$D7956,nESPEC,DATOS!$E7956,nASIG,DATOS!$I7956,nEVAL,"EX")=0),0))))</f>
      </c>
      <c r="H7956">
        <f>IF(DATOS!$G7956&lt;&gt;"EX",0,--(COUNTIFS(nNIA,DATOS!$A7956,nCURSO,DATOS!$D7956,nESPEC,DATOS!$E7956,nASIG,DATOS!$I7956,nEVAL,"OR")=0))</f>
      </c>
      <c r="I7956">
        <f>IF(DATOS!$I7956="","",IFERROR(VLOOKUP(DATOS!$I7956,CONFIG_ASIGNATURAS!$B$2:$J$91,9,FALSE()),""))</f>
      </c>
    </row>
    <row r="7957">
      <c r="F7957">
        <f>IF(DATOS!$A7957="","",DATOS!$A7957&amp;"|"&amp;DATOS!$D7957&amp;"|"&amp;DATOS!$E7957&amp;"|"&amp;DATOS!$I7957)</f>
      </c>
      <c r="G7957">
        <f>IF(DATOS!$A7957="",0,IF(CONFIG_METADATA!$B$4&lt;&gt;"OR+EX",--(DATOS!$G7957=CONFIG_METADATA!$B$4),IF(DATOS!$G7957="EX",1,IF(DATOS!$G7957="OR",--(COUNTIFS(nNIA,DATOS!$A7957,nCURSO,DATOS!$D7957,nESPEC,DATOS!$E7957,nASIG,DATOS!$I7957,nEVAL,"EX")=0),0))))</f>
      </c>
      <c r="H7957">
        <f>IF(DATOS!$G7957&lt;&gt;"EX",0,--(COUNTIFS(nNIA,DATOS!$A7957,nCURSO,DATOS!$D7957,nESPEC,DATOS!$E7957,nASIG,DATOS!$I7957,nEVAL,"OR")=0))</f>
      </c>
      <c r="I7957">
        <f>IF(DATOS!$I7957="","",IFERROR(VLOOKUP(DATOS!$I7957,CONFIG_ASIGNATURAS!$B$2:$J$91,9,FALSE()),""))</f>
      </c>
    </row>
    <row r="7958">
      <c r="F7958">
        <f>IF(DATOS!$A7958="","",DATOS!$A7958&amp;"|"&amp;DATOS!$D7958&amp;"|"&amp;DATOS!$E7958&amp;"|"&amp;DATOS!$I7958)</f>
      </c>
      <c r="G7958">
        <f>IF(DATOS!$A7958="",0,IF(CONFIG_METADATA!$B$4&lt;&gt;"OR+EX",--(DATOS!$G7958=CONFIG_METADATA!$B$4),IF(DATOS!$G7958="EX",1,IF(DATOS!$G7958="OR",--(COUNTIFS(nNIA,DATOS!$A7958,nCURSO,DATOS!$D7958,nESPEC,DATOS!$E7958,nASIG,DATOS!$I7958,nEVAL,"EX")=0),0))))</f>
      </c>
      <c r="H7958">
        <f>IF(DATOS!$G7958&lt;&gt;"EX",0,--(COUNTIFS(nNIA,DATOS!$A7958,nCURSO,DATOS!$D7958,nESPEC,DATOS!$E7958,nASIG,DATOS!$I7958,nEVAL,"OR")=0))</f>
      </c>
      <c r="I7958">
        <f>IF(DATOS!$I7958="","",IFERROR(VLOOKUP(DATOS!$I7958,CONFIG_ASIGNATURAS!$B$2:$J$91,9,FALSE()),""))</f>
      </c>
    </row>
    <row r="7959">
      <c r="F7959">
        <f>IF(DATOS!$A7959="","",DATOS!$A7959&amp;"|"&amp;DATOS!$D7959&amp;"|"&amp;DATOS!$E7959&amp;"|"&amp;DATOS!$I7959)</f>
      </c>
      <c r="G7959">
        <f>IF(DATOS!$A7959="",0,IF(CONFIG_METADATA!$B$4&lt;&gt;"OR+EX",--(DATOS!$G7959=CONFIG_METADATA!$B$4),IF(DATOS!$G7959="EX",1,IF(DATOS!$G7959="OR",--(COUNTIFS(nNIA,DATOS!$A7959,nCURSO,DATOS!$D7959,nESPEC,DATOS!$E7959,nASIG,DATOS!$I7959,nEVAL,"EX")=0),0))))</f>
      </c>
      <c r="H7959">
        <f>IF(DATOS!$G7959&lt;&gt;"EX",0,--(COUNTIFS(nNIA,DATOS!$A7959,nCURSO,DATOS!$D7959,nESPEC,DATOS!$E7959,nASIG,DATOS!$I7959,nEVAL,"OR")=0))</f>
      </c>
      <c r="I7959">
        <f>IF(DATOS!$I7959="","",IFERROR(VLOOKUP(DATOS!$I7959,CONFIG_ASIGNATURAS!$B$2:$J$91,9,FALSE()),""))</f>
      </c>
    </row>
    <row r="7960">
      <c r="F7960">
        <f>IF(DATOS!$A7960="","",DATOS!$A7960&amp;"|"&amp;DATOS!$D7960&amp;"|"&amp;DATOS!$E7960&amp;"|"&amp;DATOS!$I7960)</f>
      </c>
      <c r="G7960">
        <f>IF(DATOS!$A7960="",0,IF(CONFIG_METADATA!$B$4&lt;&gt;"OR+EX",--(DATOS!$G7960=CONFIG_METADATA!$B$4),IF(DATOS!$G7960="EX",1,IF(DATOS!$G7960="OR",--(COUNTIFS(nNIA,DATOS!$A7960,nCURSO,DATOS!$D7960,nESPEC,DATOS!$E7960,nASIG,DATOS!$I7960,nEVAL,"EX")=0),0))))</f>
      </c>
      <c r="H7960">
        <f>IF(DATOS!$G7960&lt;&gt;"EX",0,--(COUNTIFS(nNIA,DATOS!$A7960,nCURSO,DATOS!$D7960,nESPEC,DATOS!$E7960,nASIG,DATOS!$I7960,nEVAL,"OR")=0))</f>
      </c>
      <c r="I7960">
        <f>IF(DATOS!$I7960="","",IFERROR(VLOOKUP(DATOS!$I7960,CONFIG_ASIGNATURAS!$B$2:$J$91,9,FALSE()),""))</f>
      </c>
    </row>
    <row r="7961">
      <c r="F7961">
        <f>IF(DATOS!$A7961="","",DATOS!$A7961&amp;"|"&amp;DATOS!$D7961&amp;"|"&amp;DATOS!$E7961&amp;"|"&amp;DATOS!$I7961)</f>
      </c>
      <c r="G7961">
        <f>IF(DATOS!$A7961="",0,IF(CONFIG_METADATA!$B$4&lt;&gt;"OR+EX",--(DATOS!$G7961=CONFIG_METADATA!$B$4),IF(DATOS!$G7961="EX",1,IF(DATOS!$G7961="OR",--(COUNTIFS(nNIA,DATOS!$A7961,nCURSO,DATOS!$D7961,nESPEC,DATOS!$E7961,nASIG,DATOS!$I7961,nEVAL,"EX")=0),0))))</f>
      </c>
      <c r="H7961">
        <f>IF(DATOS!$G7961&lt;&gt;"EX",0,--(COUNTIFS(nNIA,DATOS!$A7961,nCURSO,DATOS!$D7961,nESPEC,DATOS!$E7961,nASIG,DATOS!$I7961,nEVAL,"OR")=0))</f>
      </c>
      <c r="I7961">
        <f>IF(DATOS!$I7961="","",IFERROR(VLOOKUP(DATOS!$I7961,CONFIG_ASIGNATURAS!$B$2:$J$91,9,FALSE()),""))</f>
      </c>
    </row>
    <row r="7962">
      <c r="F7962">
        <f>IF(DATOS!$A7962="","",DATOS!$A7962&amp;"|"&amp;DATOS!$D7962&amp;"|"&amp;DATOS!$E7962&amp;"|"&amp;DATOS!$I7962)</f>
      </c>
      <c r="G7962">
        <f>IF(DATOS!$A7962="",0,IF(CONFIG_METADATA!$B$4&lt;&gt;"OR+EX",--(DATOS!$G7962=CONFIG_METADATA!$B$4),IF(DATOS!$G7962="EX",1,IF(DATOS!$G7962="OR",--(COUNTIFS(nNIA,DATOS!$A7962,nCURSO,DATOS!$D7962,nESPEC,DATOS!$E7962,nASIG,DATOS!$I7962,nEVAL,"EX")=0),0))))</f>
      </c>
      <c r="H7962">
        <f>IF(DATOS!$G7962&lt;&gt;"EX",0,--(COUNTIFS(nNIA,DATOS!$A7962,nCURSO,DATOS!$D7962,nESPEC,DATOS!$E7962,nASIG,DATOS!$I7962,nEVAL,"OR")=0))</f>
      </c>
      <c r="I7962">
        <f>IF(DATOS!$I7962="","",IFERROR(VLOOKUP(DATOS!$I7962,CONFIG_ASIGNATURAS!$B$2:$J$91,9,FALSE()),""))</f>
      </c>
    </row>
    <row r="7963">
      <c r="F7963">
        <f>IF(DATOS!$A7963="","",DATOS!$A7963&amp;"|"&amp;DATOS!$D7963&amp;"|"&amp;DATOS!$E7963&amp;"|"&amp;DATOS!$I7963)</f>
      </c>
      <c r="G7963">
        <f>IF(DATOS!$A7963="",0,IF(CONFIG_METADATA!$B$4&lt;&gt;"OR+EX",--(DATOS!$G7963=CONFIG_METADATA!$B$4),IF(DATOS!$G7963="EX",1,IF(DATOS!$G7963="OR",--(COUNTIFS(nNIA,DATOS!$A7963,nCURSO,DATOS!$D7963,nESPEC,DATOS!$E7963,nASIG,DATOS!$I7963,nEVAL,"EX")=0),0))))</f>
      </c>
      <c r="H7963">
        <f>IF(DATOS!$G7963&lt;&gt;"EX",0,--(COUNTIFS(nNIA,DATOS!$A7963,nCURSO,DATOS!$D7963,nESPEC,DATOS!$E7963,nASIG,DATOS!$I7963,nEVAL,"OR")=0))</f>
      </c>
      <c r="I7963">
        <f>IF(DATOS!$I7963="","",IFERROR(VLOOKUP(DATOS!$I7963,CONFIG_ASIGNATURAS!$B$2:$J$91,9,FALSE()),""))</f>
      </c>
    </row>
    <row r="7964">
      <c r="F7964">
        <f>IF(DATOS!$A7964="","",DATOS!$A7964&amp;"|"&amp;DATOS!$D7964&amp;"|"&amp;DATOS!$E7964&amp;"|"&amp;DATOS!$I7964)</f>
      </c>
      <c r="G7964">
        <f>IF(DATOS!$A7964="",0,IF(CONFIG_METADATA!$B$4&lt;&gt;"OR+EX",--(DATOS!$G7964=CONFIG_METADATA!$B$4),IF(DATOS!$G7964="EX",1,IF(DATOS!$G7964="OR",--(COUNTIFS(nNIA,DATOS!$A7964,nCURSO,DATOS!$D7964,nESPEC,DATOS!$E7964,nASIG,DATOS!$I7964,nEVAL,"EX")=0),0))))</f>
      </c>
      <c r="H7964">
        <f>IF(DATOS!$G7964&lt;&gt;"EX",0,--(COUNTIFS(nNIA,DATOS!$A7964,nCURSO,DATOS!$D7964,nESPEC,DATOS!$E7964,nASIG,DATOS!$I7964,nEVAL,"OR")=0))</f>
      </c>
      <c r="I7964">
        <f>IF(DATOS!$I7964="","",IFERROR(VLOOKUP(DATOS!$I7964,CONFIG_ASIGNATURAS!$B$2:$J$91,9,FALSE()),""))</f>
      </c>
    </row>
    <row r="7965">
      <c r="F7965">
        <f>IF(DATOS!$A7965="","",DATOS!$A7965&amp;"|"&amp;DATOS!$D7965&amp;"|"&amp;DATOS!$E7965&amp;"|"&amp;DATOS!$I7965)</f>
      </c>
      <c r="G7965">
        <f>IF(DATOS!$A7965="",0,IF(CONFIG_METADATA!$B$4&lt;&gt;"OR+EX",--(DATOS!$G7965=CONFIG_METADATA!$B$4),IF(DATOS!$G7965="EX",1,IF(DATOS!$G7965="OR",--(COUNTIFS(nNIA,DATOS!$A7965,nCURSO,DATOS!$D7965,nESPEC,DATOS!$E7965,nASIG,DATOS!$I7965,nEVAL,"EX")=0),0))))</f>
      </c>
      <c r="H7965">
        <f>IF(DATOS!$G7965&lt;&gt;"EX",0,--(COUNTIFS(nNIA,DATOS!$A7965,nCURSO,DATOS!$D7965,nESPEC,DATOS!$E7965,nASIG,DATOS!$I7965,nEVAL,"OR")=0))</f>
      </c>
      <c r="I7965">
        <f>IF(DATOS!$I7965="","",IFERROR(VLOOKUP(DATOS!$I7965,CONFIG_ASIGNATURAS!$B$2:$J$91,9,FALSE()),""))</f>
      </c>
    </row>
    <row r="7966">
      <c r="F7966">
        <f>IF(DATOS!$A7966="","",DATOS!$A7966&amp;"|"&amp;DATOS!$D7966&amp;"|"&amp;DATOS!$E7966&amp;"|"&amp;DATOS!$I7966)</f>
      </c>
      <c r="G7966">
        <f>IF(DATOS!$A7966="",0,IF(CONFIG_METADATA!$B$4&lt;&gt;"OR+EX",--(DATOS!$G7966=CONFIG_METADATA!$B$4),IF(DATOS!$G7966="EX",1,IF(DATOS!$G7966="OR",--(COUNTIFS(nNIA,DATOS!$A7966,nCURSO,DATOS!$D7966,nESPEC,DATOS!$E7966,nASIG,DATOS!$I7966,nEVAL,"EX")=0),0))))</f>
      </c>
      <c r="H7966">
        <f>IF(DATOS!$G7966&lt;&gt;"EX",0,--(COUNTIFS(nNIA,DATOS!$A7966,nCURSO,DATOS!$D7966,nESPEC,DATOS!$E7966,nASIG,DATOS!$I7966,nEVAL,"OR")=0))</f>
      </c>
      <c r="I7966">
        <f>IF(DATOS!$I7966="","",IFERROR(VLOOKUP(DATOS!$I7966,CONFIG_ASIGNATURAS!$B$2:$J$91,9,FALSE()),""))</f>
      </c>
    </row>
    <row r="7967">
      <c r="F7967">
        <f>IF(DATOS!$A7967="","",DATOS!$A7967&amp;"|"&amp;DATOS!$D7967&amp;"|"&amp;DATOS!$E7967&amp;"|"&amp;DATOS!$I7967)</f>
      </c>
      <c r="G7967">
        <f>IF(DATOS!$A7967="",0,IF(CONFIG_METADATA!$B$4&lt;&gt;"OR+EX",--(DATOS!$G7967=CONFIG_METADATA!$B$4),IF(DATOS!$G7967="EX",1,IF(DATOS!$G7967="OR",--(COUNTIFS(nNIA,DATOS!$A7967,nCURSO,DATOS!$D7967,nESPEC,DATOS!$E7967,nASIG,DATOS!$I7967,nEVAL,"EX")=0),0))))</f>
      </c>
      <c r="H7967">
        <f>IF(DATOS!$G7967&lt;&gt;"EX",0,--(COUNTIFS(nNIA,DATOS!$A7967,nCURSO,DATOS!$D7967,nESPEC,DATOS!$E7967,nASIG,DATOS!$I7967,nEVAL,"OR")=0))</f>
      </c>
      <c r="I7967">
        <f>IF(DATOS!$I7967="","",IFERROR(VLOOKUP(DATOS!$I7967,CONFIG_ASIGNATURAS!$B$2:$J$91,9,FALSE()),""))</f>
      </c>
    </row>
    <row r="7968">
      <c r="F7968">
        <f>IF(DATOS!$A7968="","",DATOS!$A7968&amp;"|"&amp;DATOS!$D7968&amp;"|"&amp;DATOS!$E7968&amp;"|"&amp;DATOS!$I7968)</f>
      </c>
      <c r="G7968">
        <f>IF(DATOS!$A7968="",0,IF(CONFIG_METADATA!$B$4&lt;&gt;"OR+EX",--(DATOS!$G7968=CONFIG_METADATA!$B$4),IF(DATOS!$G7968="EX",1,IF(DATOS!$G7968="OR",--(COUNTIFS(nNIA,DATOS!$A7968,nCURSO,DATOS!$D7968,nESPEC,DATOS!$E7968,nASIG,DATOS!$I7968,nEVAL,"EX")=0),0))))</f>
      </c>
      <c r="H7968">
        <f>IF(DATOS!$G7968&lt;&gt;"EX",0,--(COUNTIFS(nNIA,DATOS!$A7968,nCURSO,DATOS!$D7968,nESPEC,DATOS!$E7968,nASIG,DATOS!$I7968,nEVAL,"OR")=0))</f>
      </c>
      <c r="I7968">
        <f>IF(DATOS!$I7968="","",IFERROR(VLOOKUP(DATOS!$I7968,CONFIG_ASIGNATURAS!$B$2:$J$91,9,FALSE()),""))</f>
      </c>
    </row>
    <row r="7969">
      <c r="F7969">
        <f>IF(DATOS!$A7969="","",DATOS!$A7969&amp;"|"&amp;DATOS!$D7969&amp;"|"&amp;DATOS!$E7969&amp;"|"&amp;DATOS!$I7969)</f>
      </c>
      <c r="G7969">
        <f>IF(DATOS!$A7969="",0,IF(CONFIG_METADATA!$B$4&lt;&gt;"OR+EX",--(DATOS!$G7969=CONFIG_METADATA!$B$4),IF(DATOS!$G7969="EX",1,IF(DATOS!$G7969="OR",--(COUNTIFS(nNIA,DATOS!$A7969,nCURSO,DATOS!$D7969,nESPEC,DATOS!$E7969,nASIG,DATOS!$I7969,nEVAL,"EX")=0),0))))</f>
      </c>
      <c r="H7969">
        <f>IF(DATOS!$G7969&lt;&gt;"EX",0,--(COUNTIFS(nNIA,DATOS!$A7969,nCURSO,DATOS!$D7969,nESPEC,DATOS!$E7969,nASIG,DATOS!$I7969,nEVAL,"OR")=0))</f>
      </c>
      <c r="I7969">
        <f>IF(DATOS!$I7969="","",IFERROR(VLOOKUP(DATOS!$I7969,CONFIG_ASIGNATURAS!$B$2:$J$91,9,FALSE()),""))</f>
      </c>
    </row>
    <row r="7970">
      <c r="F7970">
        <f>IF(DATOS!$A7970="","",DATOS!$A7970&amp;"|"&amp;DATOS!$D7970&amp;"|"&amp;DATOS!$E7970&amp;"|"&amp;DATOS!$I7970)</f>
      </c>
      <c r="G7970">
        <f>IF(DATOS!$A7970="",0,IF(CONFIG_METADATA!$B$4&lt;&gt;"OR+EX",--(DATOS!$G7970=CONFIG_METADATA!$B$4),IF(DATOS!$G7970="EX",1,IF(DATOS!$G7970="OR",--(COUNTIFS(nNIA,DATOS!$A7970,nCURSO,DATOS!$D7970,nESPEC,DATOS!$E7970,nASIG,DATOS!$I7970,nEVAL,"EX")=0),0))))</f>
      </c>
      <c r="H7970">
        <f>IF(DATOS!$G7970&lt;&gt;"EX",0,--(COUNTIFS(nNIA,DATOS!$A7970,nCURSO,DATOS!$D7970,nESPEC,DATOS!$E7970,nASIG,DATOS!$I7970,nEVAL,"OR")=0))</f>
      </c>
      <c r="I7970">
        <f>IF(DATOS!$I7970="","",IFERROR(VLOOKUP(DATOS!$I7970,CONFIG_ASIGNATURAS!$B$2:$J$91,9,FALSE()),""))</f>
      </c>
    </row>
    <row r="7971">
      <c r="F7971">
        <f>IF(DATOS!$A7971="","",DATOS!$A7971&amp;"|"&amp;DATOS!$D7971&amp;"|"&amp;DATOS!$E7971&amp;"|"&amp;DATOS!$I7971)</f>
      </c>
      <c r="G7971">
        <f>IF(DATOS!$A7971="",0,IF(CONFIG_METADATA!$B$4&lt;&gt;"OR+EX",--(DATOS!$G7971=CONFIG_METADATA!$B$4),IF(DATOS!$G7971="EX",1,IF(DATOS!$G7971="OR",--(COUNTIFS(nNIA,DATOS!$A7971,nCURSO,DATOS!$D7971,nESPEC,DATOS!$E7971,nASIG,DATOS!$I7971,nEVAL,"EX")=0),0))))</f>
      </c>
      <c r="H7971">
        <f>IF(DATOS!$G7971&lt;&gt;"EX",0,--(COUNTIFS(nNIA,DATOS!$A7971,nCURSO,DATOS!$D7971,nESPEC,DATOS!$E7971,nASIG,DATOS!$I7971,nEVAL,"OR")=0))</f>
      </c>
      <c r="I7971">
        <f>IF(DATOS!$I7971="","",IFERROR(VLOOKUP(DATOS!$I7971,CONFIG_ASIGNATURAS!$B$2:$J$91,9,FALSE()),""))</f>
      </c>
    </row>
    <row r="7972">
      <c r="F7972">
        <f>IF(DATOS!$A7972="","",DATOS!$A7972&amp;"|"&amp;DATOS!$D7972&amp;"|"&amp;DATOS!$E7972&amp;"|"&amp;DATOS!$I7972)</f>
      </c>
      <c r="G7972">
        <f>IF(DATOS!$A7972="",0,IF(CONFIG_METADATA!$B$4&lt;&gt;"OR+EX",--(DATOS!$G7972=CONFIG_METADATA!$B$4),IF(DATOS!$G7972="EX",1,IF(DATOS!$G7972="OR",--(COUNTIFS(nNIA,DATOS!$A7972,nCURSO,DATOS!$D7972,nESPEC,DATOS!$E7972,nASIG,DATOS!$I7972,nEVAL,"EX")=0),0))))</f>
      </c>
      <c r="H7972">
        <f>IF(DATOS!$G7972&lt;&gt;"EX",0,--(COUNTIFS(nNIA,DATOS!$A7972,nCURSO,DATOS!$D7972,nESPEC,DATOS!$E7972,nASIG,DATOS!$I7972,nEVAL,"OR")=0))</f>
      </c>
      <c r="I7972">
        <f>IF(DATOS!$I7972="","",IFERROR(VLOOKUP(DATOS!$I7972,CONFIG_ASIGNATURAS!$B$2:$J$91,9,FALSE()),""))</f>
      </c>
    </row>
    <row r="7973">
      <c r="F7973">
        <f>IF(DATOS!$A7973="","",DATOS!$A7973&amp;"|"&amp;DATOS!$D7973&amp;"|"&amp;DATOS!$E7973&amp;"|"&amp;DATOS!$I7973)</f>
      </c>
      <c r="G7973">
        <f>IF(DATOS!$A7973="",0,IF(CONFIG_METADATA!$B$4&lt;&gt;"OR+EX",--(DATOS!$G7973=CONFIG_METADATA!$B$4),IF(DATOS!$G7973="EX",1,IF(DATOS!$G7973="OR",--(COUNTIFS(nNIA,DATOS!$A7973,nCURSO,DATOS!$D7973,nESPEC,DATOS!$E7973,nASIG,DATOS!$I7973,nEVAL,"EX")=0),0))))</f>
      </c>
      <c r="H7973">
        <f>IF(DATOS!$G7973&lt;&gt;"EX",0,--(COUNTIFS(nNIA,DATOS!$A7973,nCURSO,DATOS!$D7973,nESPEC,DATOS!$E7973,nASIG,DATOS!$I7973,nEVAL,"OR")=0))</f>
      </c>
      <c r="I7973">
        <f>IF(DATOS!$I7973="","",IFERROR(VLOOKUP(DATOS!$I7973,CONFIG_ASIGNATURAS!$B$2:$J$91,9,FALSE()),""))</f>
      </c>
    </row>
    <row r="7974">
      <c r="F7974">
        <f>IF(DATOS!$A7974="","",DATOS!$A7974&amp;"|"&amp;DATOS!$D7974&amp;"|"&amp;DATOS!$E7974&amp;"|"&amp;DATOS!$I7974)</f>
      </c>
      <c r="G7974">
        <f>IF(DATOS!$A7974="",0,IF(CONFIG_METADATA!$B$4&lt;&gt;"OR+EX",--(DATOS!$G7974=CONFIG_METADATA!$B$4),IF(DATOS!$G7974="EX",1,IF(DATOS!$G7974="OR",--(COUNTIFS(nNIA,DATOS!$A7974,nCURSO,DATOS!$D7974,nESPEC,DATOS!$E7974,nASIG,DATOS!$I7974,nEVAL,"EX")=0),0))))</f>
      </c>
      <c r="H7974">
        <f>IF(DATOS!$G7974&lt;&gt;"EX",0,--(COUNTIFS(nNIA,DATOS!$A7974,nCURSO,DATOS!$D7974,nESPEC,DATOS!$E7974,nASIG,DATOS!$I7974,nEVAL,"OR")=0))</f>
      </c>
      <c r="I7974">
        <f>IF(DATOS!$I7974="","",IFERROR(VLOOKUP(DATOS!$I7974,CONFIG_ASIGNATURAS!$B$2:$J$91,9,FALSE()),""))</f>
      </c>
    </row>
    <row r="7975">
      <c r="F7975">
        <f>IF(DATOS!$A7975="","",DATOS!$A7975&amp;"|"&amp;DATOS!$D7975&amp;"|"&amp;DATOS!$E7975&amp;"|"&amp;DATOS!$I7975)</f>
      </c>
      <c r="G7975">
        <f>IF(DATOS!$A7975="",0,IF(CONFIG_METADATA!$B$4&lt;&gt;"OR+EX",--(DATOS!$G7975=CONFIG_METADATA!$B$4),IF(DATOS!$G7975="EX",1,IF(DATOS!$G7975="OR",--(COUNTIFS(nNIA,DATOS!$A7975,nCURSO,DATOS!$D7975,nESPEC,DATOS!$E7975,nASIG,DATOS!$I7975,nEVAL,"EX")=0),0))))</f>
      </c>
      <c r="H7975">
        <f>IF(DATOS!$G7975&lt;&gt;"EX",0,--(COUNTIFS(nNIA,DATOS!$A7975,nCURSO,DATOS!$D7975,nESPEC,DATOS!$E7975,nASIG,DATOS!$I7975,nEVAL,"OR")=0))</f>
      </c>
      <c r="I7975">
        <f>IF(DATOS!$I7975="","",IFERROR(VLOOKUP(DATOS!$I7975,CONFIG_ASIGNATURAS!$B$2:$J$91,9,FALSE()),""))</f>
      </c>
    </row>
    <row r="7976">
      <c r="F7976">
        <f>IF(DATOS!$A7976="","",DATOS!$A7976&amp;"|"&amp;DATOS!$D7976&amp;"|"&amp;DATOS!$E7976&amp;"|"&amp;DATOS!$I7976)</f>
      </c>
      <c r="G7976">
        <f>IF(DATOS!$A7976="",0,IF(CONFIG_METADATA!$B$4&lt;&gt;"OR+EX",--(DATOS!$G7976=CONFIG_METADATA!$B$4),IF(DATOS!$G7976="EX",1,IF(DATOS!$G7976="OR",--(COUNTIFS(nNIA,DATOS!$A7976,nCURSO,DATOS!$D7976,nESPEC,DATOS!$E7976,nASIG,DATOS!$I7976,nEVAL,"EX")=0),0))))</f>
      </c>
      <c r="H7976">
        <f>IF(DATOS!$G7976&lt;&gt;"EX",0,--(COUNTIFS(nNIA,DATOS!$A7976,nCURSO,DATOS!$D7976,nESPEC,DATOS!$E7976,nASIG,DATOS!$I7976,nEVAL,"OR")=0))</f>
      </c>
      <c r="I7976">
        <f>IF(DATOS!$I7976="","",IFERROR(VLOOKUP(DATOS!$I7976,CONFIG_ASIGNATURAS!$B$2:$J$91,9,FALSE()),""))</f>
      </c>
    </row>
    <row r="7977">
      <c r="F7977">
        <f>IF(DATOS!$A7977="","",DATOS!$A7977&amp;"|"&amp;DATOS!$D7977&amp;"|"&amp;DATOS!$E7977&amp;"|"&amp;DATOS!$I7977)</f>
      </c>
      <c r="G7977">
        <f>IF(DATOS!$A7977="",0,IF(CONFIG_METADATA!$B$4&lt;&gt;"OR+EX",--(DATOS!$G7977=CONFIG_METADATA!$B$4),IF(DATOS!$G7977="EX",1,IF(DATOS!$G7977="OR",--(COUNTIFS(nNIA,DATOS!$A7977,nCURSO,DATOS!$D7977,nESPEC,DATOS!$E7977,nASIG,DATOS!$I7977,nEVAL,"EX")=0),0))))</f>
      </c>
      <c r="H7977">
        <f>IF(DATOS!$G7977&lt;&gt;"EX",0,--(COUNTIFS(nNIA,DATOS!$A7977,nCURSO,DATOS!$D7977,nESPEC,DATOS!$E7977,nASIG,DATOS!$I7977,nEVAL,"OR")=0))</f>
      </c>
      <c r="I7977">
        <f>IF(DATOS!$I7977="","",IFERROR(VLOOKUP(DATOS!$I7977,CONFIG_ASIGNATURAS!$B$2:$J$91,9,FALSE()),""))</f>
      </c>
    </row>
    <row r="7978">
      <c r="F7978">
        <f>IF(DATOS!$A7978="","",DATOS!$A7978&amp;"|"&amp;DATOS!$D7978&amp;"|"&amp;DATOS!$E7978&amp;"|"&amp;DATOS!$I7978)</f>
      </c>
      <c r="G7978">
        <f>IF(DATOS!$A7978="",0,IF(CONFIG_METADATA!$B$4&lt;&gt;"OR+EX",--(DATOS!$G7978=CONFIG_METADATA!$B$4),IF(DATOS!$G7978="EX",1,IF(DATOS!$G7978="OR",--(COUNTIFS(nNIA,DATOS!$A7978,nCURSO,DATOS!$D7978,nESPEC,DATOS!$E7978,nASIG,DATOS!$I7978,nEVAL,"EX")=0),0))))</f>
      </c>
      <c r="H7978">
        <f>IF(DATOS!$G7978&lt;&gt;"EX",0,--(COUNTIFS(nNIA,DATOS!$A7978,nCURSO,DATOS!$D7978,nESPEC,DATOS!$E7978,nASIG,DATOS!$I7978,nEVAL,"OR")=0))</f>
      </c>
      <c r="I7978">
        <f>IF(DATOS!$I7978="","",IFERROR(VLOOKUP(DATOS!$I7978,CONFIG_ASIGNATURAS!$B$2:$J$91,9,FALSE()),""))</f>
      </c>
    </row>
    <row r="7979">
      <c r="F7979">
        <f>IF(DATOS!$A7979="","",DATOS!$A7979&amp;"|"&amp;DATOS!$D7979&amp;"|"&amp;DATOS!$E7979&amp;"|"&amp;DATOS!$I7979)</f>
      </c>
      <c r="G7979">
        <f>IF(DATOS!$A7979="",0,IF(CONFIG_METADATA!$B$4&lt;&gt;"OR+EX",--(DATOS!$G7979=CONFIG_METADATA!$B$4),IF(DATOS!$G7979="EX",1,IF(DATOS!$G7979="OR",--(COUNTIFS(nNIA,DATOS!$A7979,nCURSO,DATOS!$D7979,nESPEC,DATOS!$E7979,nASIG,DATOS!$I7979,nEVAL,"EX")=0),0))))</f>
      </c>
      <c r="H7979">
        <f>IF(DATOS!$G7979&lt;&gt;"EX",0,--(COUNTIFS(nNIA,DATOS!$A7979,nCURSO,DATOS!$D7979,nESPEC,DATOS!$E7979,nASIG,DATOS!$I7979,nEVAL,"OR")=0))</f>
      </c>
      <c r="I7979">
        <f>IF(DATOS!$I7979="","",IFERROR(VLOOKUP(DATOS!$I7979,CONFIG_ASIGNATURAS!$B$2:$J$91,9,FALSE()),""))</f>
      </c>
    </row>
    <row r="7980">
      <c r="F7980">
        <f>IF(DATOS!$A7980="","",DATOS!$A7980&amp;"|"&amp;DATOS!$D7980&amp;"|"&amp;DATOS!$E7980&amp;"|"&amp;DATOS!$I7980)</f>
      </c>
      <c r="G7980">
        <f>IF(DATOS!$A7980="",0,IF(CONFIG_METADATA!$B$4&lt;&gt;"OR+EX",--(DATOS!$G7980=CONFIG_METADATA!$B$4),IF(DATOS!$G7980="EX",1,IF(DATOS!$G7980="OR",--(COUNTIFS(nNIA,DATOS!$A7980,nCURSO,DATOS!$D7980,nESPEC,DATOS!$E7980,nASIG,DATOS!$I7980,nEVAL,"EX")=0),0))))</f>
      </c>
      <c r="H7980">
        <f>IF(DATOS!$G7980&lt;&gt;"EX",0,--(COUNTIFS(nNIA,DATOS!$A7980,nCURSO,DATOS!$D7980,nESPEC,DATOS!$E7980,nASIG,DATOS!$I7980,nEVAL,"OR")=0))</f>
      </c>
      <c r="I7980">
        <f>IF(DATOS!$I7980="","",IFERROR(VLOOKUP(DATOS!$I7980,CONFIG_ASIGNATURAS!$B$2:$J$91,9,FALSE()),""))</f>
      </c>
    </row>
    <row r="7981">
      <c r="F7981">
        <f>IF(DATOS!$A7981="","",DATOS!$A7981&amp;"|"&amp;DATOS!$D7981&amp;"|"&amp;DATOS!$E7981&amp;"|"&amp;DATOS!$I7981)</f>
      </c>
      <c r="G7981">
        <f>IF(DATOS!$A7981="",0,IF(CONFIG_METADATA!$B$4&lt;&gt;"OR+EX",--(DATOS!$G7981=CONFIG_METADATA!$B$4),IF(DATOS!$G7981="EX",1,IF(DATOS!$G7981="OR",--(COUNTIFS(nNIA,DATOS!$A7981,nCURSO,DATOS!$D7981,nESPEC,DATOS!$E7981,nASIG,DATOS!$I7981,nEVAL,"EX")=0),0))))</f>
      </c>
      <c r="H7981">
        <f>IF(DATOS!$G7981&lt;&gt;"EX",0,--(COUNTIFS(nNIA,DATOS!$A7981,nCURSO,DATOS!$D7981,nESPEC,DATOS!$E7981,nASIG,DATOS!$I7981,nEVAL,"OR")=0))</f>
      </c>
      <c r="I7981">
        <f>IF(DATOS!$I7981="","",IFERROR(VLOOKUP(DATOS!$I7981,CONFIG_ASIGNATURAS!$B$2:$J$91,9,FALSE()),""))</f>
      </c>
    </row>
    <row r="7982">
      <c r="F7982">
        <f>IF(DATOS!$A7982="","",DATOS!$A7982&amp;"|"&amp;DATOS!$D7982&amp;"|"&amp;DATOS!$E7982&amp;"|"&amp;DATOS!$I7982)</f>
      </c>
      <c r="G7982">
        <f>IF(DATOS!$A7982="",0,IF(CONFIG_METADATA!$B$4&lt;&gt;"OR+EX",--(DATOS!$G7982=CONFIG_METADATA!$B$4),IF(DATOS!$G7982="EX",1,IF(DATOS!$G7982="OR",--(COUNTIFS(nNIA,DATOS!$A7982,nCURSO,DATOS!$D7982,nESPEC,DATOS!$E7982,nASIG,DATOS!$I7982,nEVAL,"EX")=0),0))))</f>
      </c>
      <c r="H7982">
        <f>IF(DATOS!$G7982&lt;&gt;"EX",0,--(COUNTIFS(nNIA,DATOS!$A7982,nCURSO,DATOS!$D7982,nESPEC,DATOS!$E7982,nASIG,DATOS!$I7982,nEVAL,"OR")=0))</f>
      </c>
      <c r="I7982">
        <f>IF(DATOS!$I7982="","",IFERROR(VLOOKUP(DATOS!$I7982,CONFIG_ASIGNATURAS!$B$2:$J$91,9,FALSE()),""))</f>
      </c>
    </row>
    <row r="7983">
      <c r="F7983">
        <f>IF(DATOS!$A7983="","",DATOS!$A7983&amp;"|"&amp;DATOS!$D7983&amp;"|"&amp;DATOS!$E7983&amp;"|"&amp;DATOS!$I7983)</f>
      </c>
      <c r="G7983">
        <f>IF(DATOS!$A7983="",0,IF(CONFIG_METADATA!$B$4&lt;&gt;"OR+EX",--(DATOS!$G7983=CONFIG_METADATA!$B$4),IF(DATOS!$G7983="EX",1,IF(DATOS!$G7983="OR",--(COUNTIFS(nNIA,DATOS!$A7983,nCURSO,DATOS!$D7983,nESPEC,DATOS!$E7983,nASIG,DATOS!$I7983,nEVAL,"EX")=0),0))))</f>
      </c>
      <c r="H7983">
        <f>IF(DATOS!$G7983&lt;&gt;"EX",0,--(COUNTIFS(nNIA,DATOS!$A7983,nCURSO,DATOS!$D7983,nESPEC,DATOS!$E7983,nASIG,DATOS!$I7983,nEVAL,"OR")=0))</f>
      </c>
      <c r="I7983">
        <f>IF(DATOS!$I7983="","",IFERROR(VLOOKUP(DATOS!$I7983,CONFIG_ASIGNATURAS!$B$2:$J$91,9,FALSE()),""))</f>
      </c>
    </row>
    <row r="7984">
      <c r="F7984">
        <f>IF(DATOS!$A7984="","",DATOS!$A7984&amp;"|"&amp;DATOS!$D7984&amp;"|"&amp;DATOS!$E7984&amp;"|"&amp;DATOS!$I7984)</f>
      </c>
      <c r="G7984">
        <f>IF(DATOS!$A7984="",0,IF(CONFIG_METADATA!$B$4&lt;&gt;"OR+EX",--(DATOS!$G7984=CONFIG_METADATA!$B$4),IF(DATOS!$G7984="EX",1,IF(DATOS!$G7984="OR",--(COUNTIFS(nNIA,DATOS!$A7984,nCURSO,DATOS!$D7984,nESPEC,DATOS!$E7984,nASIG,DATOS!$I7984,nEVAL,"EX")=0),0))))</f>
      </c>
      <c r="H7984">
        <f>IF(DATOS!$G7984&lt;&gt;"EX",0,--(COUNTIFS(nNIA,DATOS!$A7984,nCURSO,DATOS!$D7984,nESPEC,DATOS!$E7984,nASIG,DATOS!$I7984,nEVAL,"OR")=0))</f>
      </c>
      <c r="I7984">
        <f>IF(DATOS!$I7984="","",IFERROR(VLOOKUP(DATOS!$I7984,CONFIG_ASIGNATURAS!$B$2:$J$91,9,FALSE()),""))</f>
      </c>
    </row>
    <row r="7985">
      <c r="F7985">
        <f>IF(DATOS!$A7985="","",DATOS!$A7985&amp;"|"&amp;DATOS!$D7985&amp;"|"&amp;DATOS!$E7985&amp;"|"&amp;DATOS!$I7985)</f>
      </c>
      <c r="G7985">
        <f>IF(DATOS!$A7985="",0,IF(CONFIG_METADATA!$B$4&lt;&gt;"OR+EX",--(DATOS!$G7985=CONFIG_METADATA!$B$4),IF(DATOS!$G7985="EX",1,IF(DATOS!$G7985="OR",--(COUNTIFS(nNIA,DATOS!$A7985,nCURSO,DATOS!$D7985,nESPEC,DATOS!$E7985,nASIG,DATOS!$I7985,nEVAL,"EX")=0),0))))</f>
      </c>
      <c r="H7985">
        <f>IF(DATOS!$G7985&lt;&gt;"EX",0,--(COUNTIFS(nNIA,DATOS!$A7985,nCURSO,DATOS!$D7985,nESPEC,DATOS!$E7985,nASIG,DATOS!$I7985,nEVAL,"OR")=0))</f>
      </c>
      <c r="I7985">
        <f>IF(DATOS!$I7985="","",IFERROR(VLOOKUP(DATOS!$I7985,CONFIG_ASIGNATURAS!$B$2:$J$91,9,FALSE()),""))</f>
      </c>
    </row>
    <row r="7986">
      <c r="F7986">
        <f>IF(DATOS!$A7986="","",DATOS!$A7986&amp;"|"&amp;DATOS!$D7986&amp;"|"&amp;DATOS!$E7986&amp;"|"&amp;DATOS!$I7986)</f>
      </c>
      <c r="G7986">
        <f>IF(DATOS!$A7986="",0,IF(CONFIG_METADATA!$B$4&lt;&gt;"OR+EX",--(DATOS!$G7986=CONFIG_METADATA!$B$4),IF(DATOS!$G7986="EX",1,IF(DATOS!$G7986="OR",--(COUNTIFS(nNIA,DATOS!$A7986,nCURSO,DATOS!$D7986,nESPEC,DATOS!$E7986,nASIG,DATOS!$I7986,nEVAL,"EX")=0),0))))</f>
      </c>
      <c r="H7986">
        <f>IF(DATOS!$G7986&lt;&gt;"EX",0,--(COUNTIFS(nNIA,DATOS!$A7986,nCURSO,DATOS!$D7986,nESPEC,DATOS!$E7986,nASIG,DATOS!$I7986,nEVAL,"OR")=0))</f>
      </c>
      <c r="I7986">
        <f>IF(DATOS!$I7986="","",IFERROR(VLOOKUP(DATOS!$I7986,CONFIG_ASIGNATURAS!$B$2:$J$91,9,FALSE()),""))</f>
      </c>
    </row>
    <row r="7987">
      <c r="F7987">
        <f>IF(DATOS!$A7987="","",DATOS!$A7987&amp;"|"&amp;DATOS!$D7987&amp;"|"&amp;DATOS!$E7987&amp;"|"&amp;DATOS!$I7987)</f>
      </c>
      <c r="G7987">
        <f>IF(DATOS!$A7987="",0,IF(CONFIG_METADATA!$B$4&lt;&gt;"OR+EX",--(DATOS!$G7987=CONFIG_METADATA!$B$4),IF(DATOS!$G7987="EX",1,IF(DATOS!$G7987="OR",--(COUNTIFS(nNIA,DATOS!$A7987,nCURSO,DATOS!$D7987,nESPEC,DATOS!$E7987,nASIG,DATOS!$I7987,nEVAL,"EX")=0),0))))</f>
      </c>
      <c r="H7987">
        <f>IF(DATOS!$G7987&lt;&gt;"EX",0,--(COUNTIFS(nNIA,DATOS!$A7987,nCURSO,DATOS!$D7987,nESPEC,DATOS!$E7987,nASIG,DATOS!$I7987,nEVAL,"OR")=0))</f>
      </c>
      <c r="I7987">
        <f>IF(DATOS!$I7987="","",IFERROR(VLOOKUP(DATOS!$I7987,CONFIG_ASIGNATURAS!$B$2:$J$91,9,FALSE()),""))</f>
      </c>
    </row>
    <row r="7988">
      <c r="F7988">
        <f>IF(DATOS!$A7988="","",DATOS!$A7988&amp;"|"&amp;DATOS!$D7988&amp;"|"&amp;DATOS!$E7988&amp;"|"&amp;DATOS!$I7988)</f>
      </c>
      <c r="G7988">
        <f>IF(DATOS!$A7988="",0,IF(CONFIG_METADATA!$B$4&lt;&gt;"OR+EX",--(DATOS!$G7988=CONFIG_METADATA!$B$4),IF(DATOS!$G7988="EX",1,IF(DATOS!$G7988="OR",--(COUNTIFS(nNIA,DATOS!$A7988,nCURSO,DATOS!$D7988,nESPEC,DATOS!$E7988,nASIG,DATOS!$I7988,nEVAL,"EX")=0),0))))</f>
      </c>
      <c r="H7988">
        <f>IF(DATOS!$G7988&lt;&gt;"EX",0,--(COUNTIFS(nNIA,DATOS!$A7988,nCURSO,DATOS!$D7988,nESPEC,DATOS!$E7988,nASIG,DATOS!$I7988,nEVAL,"OR")=0))</f>
      </c>
      <c r="I7988">
        <f>IF(DATOS!$I7988="","",IFERROR(VLOOKUP(DATOS!$I7988,CONFIG_ASIGNATURAS!$B$2:$J$91,9,FALSE()),""))</f>
      </c>
    </row>
    <row r="7989">
      <c r="F7989">
        <f>IF(DATOS!$A7989="","",DATOS!$A7989&amp;"|"&amp;DATOS!$D7989&amp;"|"&amp;DATOS!$E7989&amp;"|"&amp;DATOS!$I7989)</f>
      </c>
      <c r="G7989">
        <f>IF(DATOS!$A7989="",0,IF(CONFIG_METADATA!$B$4&lt;&gt;"OR+EX",--(DATOS!$G7989=CONFIG_METADATA!$B$4),IF(DATOS!$G7989="EX",1,IF(DATOS!$G7989="OR",--(COUNTIFS(nNIA,DATOS!$A7989,nCURSO,DATOS!$D7989,nESPEC,DATOS!$E7989,nASIG,DATOS!$I7989,nEVAL,"EX")=0),0))))</f>
      </c>
      <c r="H7989">
        <f>IF(DATOS!$G7989&lt;&gt;"EX",0,--(COUNTIFS(nNIA,DATOS!$A7989,nCURSO,DATOS!$D7989,nESPEC,DATOS!$E7989,nASIG,DATOS!$I7989,nEVAL,"OR")=0))</f>
      </c>
      <c r="I7989">
        <f>IF(DATOS!$I7989="","",IFERROR(VLOOKUP(DATOS!$I7989,CONFIG_ASIGNATURAS!$B$2:$J$91,9,FALSE()),""))</f>
      </c>
    </row>
    <row r="7990">
      <c r="F7990">
        <f>IF(DATOS!$A7990="","",DATOS!$A7990&amp;"|"&amp;DATOS!$D7990&amp;"|"&amp;DATOS!$E7990&amp;"|"&amp;DATOS!$I7990)</f>
      </c>
      <c r="G7990">
        <f>IF(DATOS!$A7990="",0,IF(CONFIG_METADATA!$B$4&lt;&gt;"OR+EX",--(DATOS!$G7990=CONFIG_METADATA!$B$4),IF(DATOS!$G7990="EX",1,IF(DATOS!$G7990="OR",--(COUNTIFS(nNIA,DATOS!$A7990,nCURSO,DATOS!$D7990,nESPEC,DATOS!$E7990,nASIG,DATOS!$I7990,nEVAL,"EX")=0),0))))</f>
      </c>
      <c r="H7990">
        <f>IF(DATOS!$G7990&lt;&gt;"EX",0,--(COUNTIFS(nNIA,DATOS!$A7990,nCURSO,DATOS!$D7990,nESPEC,DATOS!$E7990,nASIG,DATOS!$I7990,nEVAL,"OR")=0))</f>
      </c>
      <c r="I7990">
        <f>IF(DATOS!$I7990="","",IFERROR(VLOOKUP(DATOS!$I7990,CONFIG_ASIGNATURAS!$B$2:$J$91,9,FALSE()),""))</f>
      </c>
    </row>
    <row r="7991">
      <c r="F7991">
        <f>IF(DATOS!$A7991="","",DATOS!$A7991&amp;"|"&amp;DATOS!$D7991&amp;"|"&amp;DATOS!$E7991&amp;"|"&amp;DATOS!$I7991)</f>
      </c>
      <c r="G7991">
        <f>IF(DATOS!$A7991="",0,IF(CONFIG_METADATA!$B$4&lt;&gt;"OR+EX",--(DATOS!$G7991=CONFIG_METADATA!$B$4),IF(DATOS!$G7991="EX",1,IF(DATOS!$G7991="OR",--(COUNTIFS(nNIA,DATOS!$A7991,nCURSO,DATOS!$D7991,nESPEC,DATOS!$E7991,nASIG,DATOS!$I7991,nEVAL,"EX")=0),0))))</f>
      </c>
      <c r="H7991">
        <f>IF(DATOS!$G7991&lt;&gt;"EX",0,--(COUNTIFS(nNIA,DATOS!$A7991,nCURSO,DATOS!$D7991,nESPEC,DATOS!$E7991,nASIG,DATOS!$I7991,nEVAL,"OR")=0))</f>
      </c>
      <c r="I7991">
        <f>IF(DATOS!$I7991="","",IFERROR(VLOOKUP(DATOS!$I7991,CONFIG_ASIGNATURAS!$B$2:$J$91,9,FALSE()),""))</f>
      </c>
    </row>
    <row r="7992">
      <c r="F7992">
        <f>IF(DATOS!$A7992="","",DATOS!$A7992&amp;"|"&amp;DATOS!$D7992&amp;"|"&amp;DATOS!$E7992&amp;"|"&amp;DATOS!$I7992)</f>
      </c>
      <c r="G7992">
        <f>IF(DATOS!$A7992="",0,IF(CONFIG_METADATA!$B$4&lt;&gt;"OR+EX",--(DATOS!$G7992=CONFIG_METADATA!$B$4),IF(DATOS!$G7992="EX",1,IF(DATOS!$G7992="OR",--(COUNTIFS(nNIA,DATOS!$A7992,nCURSO,DATOS!$D7992,nESPEC,DATOS!$E7992,nASIG,DATOS!$I7992,nEVAL,"EX")=0),0))))</f>
      </c>
      <c r="H7992">
        <f>IF(DATOS!$G7992&lt;&gt;"EX",0,--(COUNTIFS(nNIA,DATOS!$A7992,nCURSO,DATOS!$D7992,nESPEC,DATOS!$E7992,nASIG,DATOS!$I7992,nEVAL,"OR")=0))</f>
      </c>
      <c r="I7992">
        <f>IF(DATOS!$I7992="","",IFERROR(VLOOKUP(DATOS!$I7992,CONFIG_ASIGNATURAS!$B$2:$J$91,9,FALSE()),""))</f>
      </c>
    </row>
    <row r="7993">
      <c r="F7993">
        <f>IF(DATOS!$A7993="","",DATOS!$A7993&amp;"|"&amp;DATOS!$D7993&amp;"|"&amp;DATOS!$E7993&amp;"|"&amp;DATOS!$I7993)</f>
      </c>
      <c r="G7993">
        <f>IF(DATOS!$A7993="",0,IF(CONFIG_METADATA!$B$4&lt;&gt;"OR+EX",--(DATOS!$G7993=CONFIG_METADATA!$B$4),IF(DATOS!$G7993="EX",1,IF(DATOS!$G7993="OR",--(COUNTIFS(nNIA,DATOS!$A7993,nCURSO,DATOS!$D7993,nESPEC,DATOS!$E7993,nASIG,DATOS!$I7993,nEVAL,"EX")=0),0))))</f>
      </c>
      <c r="H7993">
        <f>IF(DATOS!$G7993&lt;&gt;"EX",0,--(COUNTIFS(nNIA,DATOS!$A7993,nCURSO,DATOS!$D7993,nESPEC,DATOS!$E7993,nASIG,DATOS!$I7993,nEVAL,"OR")=0))</f>
      </c>
      <c r="I7993">
        <f>IF(DATOS!$I7993="","",IFERROR(VLOOKUP(DATOS!$I7993,CONFIG_ASIGNATURAS!$B$2:$J$91,9,FALSE()),""))</f>
      </c>
    </row>
    <row r="7994">
      <c r="F7994">
        <f>IF(DATOS!$A7994="","",DATOS!$A7994&amp;"|"&amp;DATOS!$D7994&amp;"|"&amp;DATOS!$E7994&amp;"|"&amp;DATOS!$I7994)</f>
      </c>
      <c r="G7994">
        <f>IF(DATOS!$A7994="",0,IF(CONFIG_METADATA!$B$4&lt;&gt;"OR+EX",--(DATOS!$G7994=CONFIG_METADATA!$B$4),IF(DATOS!$G7994="EX",1,IF(DATOS!$G7994="OR",--(COUNTIFS(nNIA,DATOS!$A7994,nCURSO,DATOS!$D7994,nESPEC,DATOS!$E7994,nASIG,DATOS!$I7994,nEVAL,"EX")=0),0))))</f>
      </c>
      <c r="H7994">
        <f>IF(DATOS!$G7994&lt;&gt;"EX",0,--(COUNTIFS(nNIA,DATOS!$A7994,nCURSO,DATOS!$D7994,nESPEC,DATOS!$E7994,nASIG,DATOS!$I7994,nEVAL,"OR")=0))</f>
      </c>
      <c r="I7994">
        <f>IF(DATOS!$I7994="","",IFERROR(VLOOKUP(DATOS!$I7994,CONFIG_ASIGNATURAS!$B$2:$J$91,9,FALSE()),""))</f>
      </c>
    </row>
    <row r="7995">
      <c r="F7995">
        <f>IF(DATOS!$A7995="","",DATOS!$A7995&amp;"|"&amp;DATOS!$D7995&amp;"|"&amp;DATOS!$E7995&amp;"|"&amp;DATOS!$I7995)</f>
      </c>
      <c r="G7995">
        <f>IF(DATOS!$A7995="",0,IF(CONFIG_METADATA!$B$4&lt;&gt;"OR+EX",--(DATOS!$G7995=CONFIG_METADATA!$B$4),IF(DATOS!$G7995="EX",1,IF(DATOS!$G7995="OR",--(COUNTIFS(nNIA,DATOS!$A7995,nCURSO,DATOS!$D7995,nESPEC,DATOS!$E7995,nASIG,DATOS!$I7995,nEVAL,"EX")=0),0))))</f>
      </c>
      <c r="H7995">
        <f>IF(DATOS!$G7995&lt;&gt;"EX",0,--(COUNTIFS(nNIA,DATOS!$A7995,nCURSO,DATOS!$D7995,nESPEC,DATOS!$E7995,nASIG,DATOS!$I7995,nEVAL,"OR")=0))</f>
      </c>
      <c r="I7995">
        <f>IF(DATOS!$I7995="","",IFERROR(VLOOKUP(DATOS!$I7995,CONFIG_ASIGNATURAS!$B$2:$J$91,9,FALSE()),""))</f>
      </c>
    </row>
    <row r="7996">
      <c r="F7996">
        <f>IF(DATOS!$A7996="","",DATOS!$A7996&amp;"|"&amp;DATOS!$D7996&amp;"|"&amp;DATOS!$E7996&amp;"|"&amp;DATOS!$I7996)</f>
      </c>
      <c r="G7996">
        <f>IF(DATOS!$A7996="",0,IF(CONFIG_METADATA!$B$4&lt;&gt;"OR+EX",--(DATOS!$G7996=CONFIG_METADATA!$B$4),IF(DATOS!$G7996="EX",1,IF(DATOS!$G7996="OR",--(COUNTIFS(nNIA,DATOS!$A7996,nCURSO,DATOS!$D7996,nESPEC,DATOS!$E7996,nASIG,DATOS!$I7996,nEVAL,"EX")=0),0))))</f>
      </c>
      <c r="H7996">
        <f>IF(DATOS!$G7996&lt;&gt;"EX",0,--(COUNTIFS(nNIA,DATOS!$A7996,nCURSO,DATOS!$D7996,nESPEC,DATOS!$E7996,nASIG,DATOS!$I7996,nEVAL,"OR")=0))</f>
      </c>
      <c r="I7996">
        <f>IF(DATOS!$I7996="","",IFERROR(VLOOKUP(DATOS!$I7996,CONFIG_ASIGNATURAS!$B$2:$J$91,9,FALSE()),""))</f>
      </c>
    </row>
    <row r="7997">
      <c r="F7997">
        <f>IF(DATOS!$A7997="","",DATOS!$A7997&amp;"|"&amp;DATOS!$D7997&amp;"|"&amp;DATOS!$E7997&amp;"|"&amp;DATOS!$I7997)</f>
      </c>
      <c r="G7997">
        <f>IF(DATOS!$A7997="",0,IF(CONFIG_METADATA!$B$4&lt;&gt;"OR+EX",--(DATOS!$G7997=CONFIG_METADATA!$B$4),IF(DATOS!$G7997="EX",1,IF(DATOS!$G7997="OR",--(COUNTIFS(nNIA,DATOS!$A7997,nCURSO,DATOS!$D7997,nESPEC,DATOS!$E7997,nASIG,DATOS!$I7997,nEVAL,"EX")=0),0))))</f>
      </c>
      <c r="H7997">
        <f>IF(DATOS!$G7997&lt;&gt;"EX",0,--(COUNTIFS(nNIA,DATOS!$A7997,nCURSO,DATOS!$D7997,nESPEC,DATOS!$E7997,nASIG,DATOS!$I7997,nEVAL,"OR")=0))</f>
      </c>
      <c r="I7997">
        <f>IF(DATOS!$I7997="","",IFERROR(VLOOKUP(DATOS!$I7997,CONFIG_ASIGNATURAS!$B$2:$J$91,9,FALSE()),""))</f>
      </c>
    </row>
    <row r="7998">
      <c r="F7998">
        <f>IF(DATOS!$A7998="","",DATOS!$A7998&amp;"|"&amp;DATOS!$D7998&amp;"|"&amp;DATOS!$E7998&amp;"|"&amp;DATOS!$I7998)</f>
      </c>
      <c r="G7998">
        <f>IF(DATOS!$A7998="",0,IF(CONFIG_METADATA!$B$4&lt;&gt;"OR+EX",--(DATOS!$G7998=CONFIG_METADATA!$B$4),IF(DATOS!$G7998="EX",1,IF(DATOS!$G7998="OR",--(COUNTIFS(nNIA,DATOS!$A7998,nCURSO,DATOS!$D7998,nESPEC,DATOS!$E7998,nASIG,DATOS!$I7998,nEVAL,"EX")=0),0))))</f>
      </c>
      <c r="H7998">
        <f>IF(DATOS!$G7998&lt;&gt;"EX",0,--(COUNTIFS(nNIA,DATOS!$A7998,nCURSO,DATOS!$D7998,nESPEC,DATOS!$E7998,nASIG,DATOS!$I7998,nEVAL,"OR")=0))</f>
      </c>
      <c r="I7998">
        <f>IF(DATOS!$I7998="","",IFERROR(VLOOKUP(DATOS!$I7998,CONFIG_ASIGNATURAS!$B$2:$J$91,9,FALSE()),""))</f>
      </c>
    </row>
    <row r="7999">
      <c r="F7999">
        <f>IF(DATOS!$A7999="","",DATOS!$A7999&amp;"|"&amp;DATOS!$D7999&amp;"|"&amp;DATOS!$E7999&amp;"|"&amp;DATOS!$I7999)</f>
      </c>
      <c r="G7999">
        <f>IF(DATOS!$A7999="",0,IF(CONFIG_METADATA!$B$4&lt;&gt;"OR+EX",--(DATOS!$G7999=CONFIG_METADATA!$B$4),IF(DATOS!$G7999="EX",1,IF(DATOS!$G7999="OR",--(COUNTIFS(nNIA,DATOS!$A7999,nCURSO,DATOS!$D7999,nESPEC,DATOS!$E7999,nASIG,DATOS!$I7999,nEVAL,"EX")=0),0))))</f>
      </c>
      <c r="H7999">
        <f>IF(DATOS!$G7999&lt;&gt;"EX",0,--(COUNTIFS(nNIA,DATOS!$A7999,nCURSO,DATOS!$D7999,nESPEC,DATOS!$E7999,nASIG,DATOS!$I7999,nEVAL,"OR")=0))</f>
      </c>
      <c r="I7999">
        <f>IF(DATOS!$I7999="","",IFERROR(VLOOKUP(DATOS!$I7999,CONFIG_ASIGNATURAS!$B$2:$J$91,9,FALSE()),""))</f>
      </c>
    </row>
    <row r="8000">
      <c r="F8000">
        <f>IF(DATOS!$A8000="","",DATOS!$A8000&amp;"|"&amp;DATOS!$D8000&amp;"|"&amp;DATOS!$E8000&amp;"|"&amp;DATOS!$I8000)</f>
      </c>
      <c r="G8000">
        <f>IF(DATOS!$A8000="",0,IF(CONFIG_METADATA!$B$4&lt;&gt;"OR+EX",--(DATOS!$G8000=CONFIG_METADATA!$B$4),IF(DATOS!$G8000="EX",1,IF(DATOS!$G8000="OR",--(COUNTIFS(nNIA,DATOS!$A8000,nCURSO,DATOS!$D8000,nESPEC,DATOS!$E8000,nASIG,DATOS!$I8000,nEVAL,"EX")=0),0))))</f>
      </c>
      <c r="H8000">
        <f>IF(DATOS!$G8000&lt;&gt;"EX",0,--(COUNTIFS(nNIA,DATOS!$A8000,nCURSO,DATOS!$D8000,nESPEC,DATOS!$E8000,nASIG,DATOS!$I8000,nEVAL,"OR")=0))</f>
      </c>
      <c r="I8000">
        <f>IF(DATOS!$I8000="","",IFERROR(VLOOKUP(DATOS!$I8000,CONFIG_ASIGNATURAS!$B$2:$J$91,9,FALSE()),""))</f>
      </c>
    </row>
    <row r="8001">
      <c r="F8001">
        <f>IF(DATOS!$A8001="","",DATOS!$A8001&amp;"|"&amp;DATOS!$D8001&amp;"|"&amp;DATOS!$E8001&amp;"|"&amp;DATOS!$I8001)</f>
      </c>
      <c r="G8001">
        <f>IF(DATOS!$A8001="",0,IF(CONFIG_METADATA!$B$4&lt;&gt;"OR+EX",--(DATOS!$G8001=CONFIG_METADATA!$B$4),IF(DATOS!$G8001="EX",1,IF(DATOS!$G8001="OR",--(COUNTIFS(nNIA,DATOS!$A8001,nCURSO,DATOS!$D8001,nESPEC,DATOS!$E8001,nASIG,DATOS!$I8001,nEVAL,"EX")=0),0))))</f>
      </c>
      <c r="H8001">
        <f>IF(DATOS!$G8001&lt;&gt;"EX",0,--(COUNTIFS(nNIA,DATOS!$A8001,nCURSO,DATOS!$D8001,nESPEC,DATOS!$E8001,nASIG,DATOS!$I8001,nEVAL,"OR")=0))</f>
      </c>
      <c r="I8001">
        <f>IF(DATOS!$I8001="","",IFERROR(VLOOKUP(DATOS!$I8001,CONFIG_ASIGNATURAS!$B$2:$J$91,9,FALSE()),""))</f>
      </c>
    </row>
    <row r="8002">
      <c r="F8002">
        <f>IF(DATOS!$A8002="","",DATOS!$A8002&amp;"|"&amp;DATOS!$D8002&amp;"|"&amp;DATOS!$E8002&amp;"|"&amp;DATOS!$I8002)</f>
      </c>
      <c r="G8002">
        <f>IF(DATOS!$A8002="",0,IF(CONFIG_METADATA!$B$4&lt;&gt;"OR+EX",--(DATOS!$G8002=CONFIG_METADATA!$B$4),IF(DATOS!$G8002="EX",1,IF(DATOS!$G8002="OR",--(COUNTIFS(nNIA,DATOS!$A8002,nCURSO,DATOS!$D8002,nESPEC,DATOS!$E8002,nASIG,DATOS!$I8002,nEVAL,"EX")=0),0))))</f>
      </c>
      <c r="H8002">
        <f>IF(DATOS!$G8002&lt;&gt;"EX",0,--(COUNTIFS(nNIA,DATOS!$A8002,nCURSO,DATOS!$D8002,nESPEC,DATOS!$E8002,nASIG,DATOS!$I8002,nEVAL,"OR")=0))</f>
      </c>
      <c r="I8002">
        <f>IF(DATOS!$I8002="","",IFERROR(VLOOKUP(DATOS!$I8002,CONFIG_ASIGNATURAS!$B$2:$J$91,9,FALSE()),""))</f>
      </c>
    </row>
    <row r="8003">
      <c r="F8003">
        <f>IF(DATOS!$A8003="","",DATOS!$A8003&amp;"|"&amp;DATOS!$D8003&amp;"|"&amp;DATOS!$E8003&amp;"|"&amp;DATOS!$I8003)</f>
      </c>
      <c r="G8003">
        <f>IF(DATOS!$A8003="",0,IF(CONFIG_METADATA!$B$4&lt;&gt;"OR+EX",--(DATOS!$G8003=CONFIG_METADATA!$B$4),IF(DATOS!$G8003="EX",1,IF(DATOS!$G8003="OR",--(COUNTIFS(nNIA,DATOS!$A8003,nCURSO,DATOS!$D8003,nESPEC,DATOS!$E8003,nASIG,DATOS!$I8003,nEVAL,"EX")=0),0))))</f>
      </c>
      <c r="H8003">
        <f>IF(DATOS!$G8003&lt;&gt;"EX",0,--(COUNTIFS(nNIA,DATOS!$A8003,nCURSO,DATOS!$D8003,nESPEC,DATOS!$E8003,nASIG,DATOS!$I8003,nEVAL,"OR")=0))</f>
      </c>
      <c r="I8003">
        <f>IF(DATOS!$I8003="","",IFERROR(VLOOKUP(DATOS!$I8003,CONFIG_ASIGNATURAS!$B$2:$J$91,9,FALSE()),""))</f>
      </c>
    </row>
    <row r="8004">
      <c r="F8004">
        <f>IF(DATOS!$A8004="","",DATOS!$A8004&amp;"|"&amp;DATOS!$D8004&amp;"|"&amp;DATOS!$E8004&amp;"|"&amp;DATOS!$I8004)</f>
      </c>
      <c r="G8004">
        <f>IF(DATOS!$A8004="",0,IF(CONFIG_METADATA!$B$4&lt;&gt;"OR+EX",--(DATOS!$G8004=CONFIG_METADATA!$B$4),IF(DATOS!$G8004="EX",1,IF(DATOS!$G8004="OR",--(COUNTIFS(nNIA,DATOS!$A8004,nCURSO,DATOS!$D8004,nESPEC,DATOS!$E8004,nASIG,DATOS!$I8004,nEVAL,"EX")=0),0))))</f>
      </c>
      <c r="H8004">
        <f>IF(DATOS!$G8004&lt;&gt;"EX",0,--(COUNTIFS(nNIA,DATOS!$A8004,nCURSO,DATOS!$D8004,nESPEC,DATOS!$E8004,nASIG,DATOS!$I8004,nEVAL,"OR")=0))</f>
      </c>
      <c r="I8004">
        <f>IF(DATOS!$I8004="","",IFERROR(VLOOKUP(DATOS!$I8004,CONFIG_ASIGNATURAS!$B$2:$J$91,9,FALSE()),""))</f>
      </c>
    </row>
    <row r="8005">
      <c r="F8005">
        <f>IF(DATOS!$A8005="","",DATOS!$A8005&amp;"|"&amp;DATOS!$D8005&amp;"|"&amp;DATOS!$E8005&amp;"|"&amp;DATOS!$I8005)</f>
      </c>
      <c r="G8005">
        <f>IF(DATOS!$A8005="",0,IF(CONFIG_METADATA!$B$4&lt;&gt;"OR+EX",--(DATOS!$G8005=CONFIG_METADATA!$B$4),IF(DATOS!$G8005="EX",1,IF(DATOS!$G8005="OR",--(COUNTIFS(nNIA,DATOS!$A8005,nCURSO,DATOS!$D8005,nESPEC,DATOS!$E8005,nASIG,DATOS!$I8005,nEVAL,"EX")=0),0))))</f>
      </c>
      <c r="H8005">
        <f>IF(DATOS!$G8005&lt;&gt;"EX",0,--(COUNTIFS(nNIA,DATOS!$A8005,nCURSO,DATOS!$D8005,nESPEC,DATOS!$E8005,nASIG,DATOS!$I8005,nEVAL,"OR")=0))</f>
      </c>
      <c r="I8005">
        <f>IF(DATOS!$I8005="","",IFERROR(VLOOKUP(DATOS!$I8005,CONFIG_ASIGNATURAS!$B$2:$J$91,9,FALSE()),""))</f>
      </c>
    </row>
    <row r="8006">
      <c r="F8006">
        <f>IF(DATOS!$A8006="","",DATOS!$A8006&amp;"|"&amp;DATOS!$D8006&amp;"|"&amp;DATOS!$E8006&amp;"|"&amp;DATOS!$I8006)</f>
      </c>
      <c r="G8006">
        <f>IF(DATOS!$A8006="",0,IF(CONFIG_METADATA!$B$4&lt;&gt;"OR+EX",--(DATOS!$G8006=CONFIG_METADATA!$B$4),IF(DATOS!$G8006="EX",1,IF(DATOS!$G8006="OR",--(COUNTIFS(nNIA,DATOS!$A8006,nCURSO,DATOS!$D8006,nESPEC,DATOS!$E8006,nASIG,DATOS!$I8006,nEVAL,"EX")=0),0))))</f>
      </c>
      <c r="H8006">
        <f>IF(DATOS!$G8006&lt;&gt;"EX",0,--(COUNTIFS(nNIA,DATOS!$A8006,nCURSO,DATOS!$D8006,nESPEC,DATOS!$E8006,nASIG,DATOS!$I8006,nEVAL,"OR")=0))</f>
      </c>
      <c r="I8006">
        <f>IF(DATOS!$I8006="","",IFERROR(VLOOKUP(DATOS!$I8006,CONFIG_ASIGNATURAS!$B$2:$J$91,9,FALSE()),""))</f>
      </c>
    </row>
    <row r="8007">
      <c r="F8007">
        <f>IF(DATOS!$A8007="","",DATOS!$A8007&amp;"|"&amp;DATOS!$D8007&amp;"|"&amp;DATOS!$E8007&amp;"|"&amp;DATOS!$I8007)</f>
      </c>
      <c r="G8007">
        <f>IF(DATOS!$A8007="",0,IF(CONFIG_METADATA!$B$4&lt;&gt;"OR+EX",--(DATOS!$G8007=CONFIG_METADATA!$B$4),IF(DATOS!$G8007="EX",1,IF(DATOS!$G8007="OR",--(COUNTIFS(nNIA,DATOS!$A8007,nCURSO,DATOS!$D8007,nESPEC,DATOS!$E8007,nASIG,DATOS!$I8007,nEVAL,"EX")=0),0))))</f>
      </c>
      <c r="H8007">
        <f>IF(DATOS!$G8007&lt;&gt;"EX",0,--(COUNTIFS(nNIA,DATOS!$A8007,nCURSO,DATOS!$D8007,nESPEC,DATOS!$E8007,nASIG,DATOS!$I8007,nEVAL,"OR")=0))</f>
      </c>
      <c r="I8007">
        <f>IF(DATOS!$I8007="","",IFERROR(VLOOKUP(DATOS!$I8007,CONFIG_ASIGNATURAS!$B$2:$J$91,9,FALSE()),""))</f>
      </c>
    </row>
    <row r="8008">
      <c r="F8008">
        <f>IF(DATOS!$A8008="","",DATOS!$A8008&amp;"|"&amp;DATOS!$D8008&amp;"|"&amp;DATOS!$E8008&amp;"|"&amp;DATOS!$I8008)</f>
      </c>
      <c r="G8008">
        <f>IF(DATOS!$A8008="",0,IF(CONFIG_METADATA!$B$4&lt;&gt;"OR+EX",--(DATOS!$G8008=CONFIG_METADATA!$B$4),IF(DATOS!$G8008="EX",1,IF(DATOS!$G8008="OR",--(COUNTIFS(nNIA,DATOS!$A8008,nCURSO,DATOS!$D8008,nESPEC,DATOS!$E8008,nASIG,DATOS!$I8008,nEVAL,"EX")=0),0))))</f>
      </c>
      <c r="H8008">
        <f>IF(DATOS!$G8008&lt;&gt;"EX",0,--(COUNTIFS(nNIA,DATOS!$A8008,nCURSO,DATOS!$D8008,nESPEC,DATOS!$E8008,nASIG,DATOS!$I8008,nEVAL,"OR")=0))</f>
      </c>
      <c r="I8008">
        <f>IF(DATOS!$I8008="","",IFERROR(VLOOKUP(DATOS!$I8008,CONFIG_ASIGNATURAS!$B$2:$J$91,9,FALSE()),""))</f>
      </c>
    </row>
    <row r="8009">
      <c r="F8009">
        <f>IF(DATOS!$A8009="","",DATOS!$A8009&amp;"|"&amp;DATOS!$D8009&amp;"|"&amp;DATOS!$E8009&amp;"|"&amp;DATOS!$I8009)</f>
      </c>
      <c r="G8009">
        <f>IF(DATOS!$A8009="",0,IF(CONFIG_METADATA!$B$4&lt;&gt;"OR+EX",--(DATOS!$G8009=CONFIG_METADATA!$B$4),IF(DATOS!$G8009="EX",1,IF(DATOS!$G8009="OR",--(COUNTIFS(nNIA,DATOS!$A8009,nCURSO,DATOS!$D8009,nESPEC,DATOS!$E8009,nASIG,DATOS!$I8009,nEVAL,"EX")=0),0))))</f>
      </c>
      <c r="H8009">
        <f>IF(DATOS!$G8009&lt;&gt;"EX",0,--(COUNTIFS(nNIA,DATOS!$A8009,nCURSO,DATOS!$D8009,nESPEC,DATOS!$E8009,nASIG,DATOS!$I8009,nEVAL,"OR")=0))</f>
      </c>
      <c r="I8009">
        <f>IF(DATOS!$I8009="","",IFERROR(VLOOKUP(DATOS!$I8009,CONFIG_ASIGNATURAS!$B$2:$J$91,9,FALSE()),""))</f>
      </c>
    </row>
    <row r="8010">
      <c r="F8010">
        <f>IF(DATOS!$A8010="","",DATOS!$A8010&amp;"|"&amp;DATOS!$D8010&amp;"|"&amp;DATOS!$E8010&amp;"|"&amp;DATOS!$I8010)</f>
      </c>
      <c r="G8010">
        <f>IF(DATOS!$A8010="",0,IF(CONFIG_METADATA!$B$4&lt;&gt;"OR+EX",--(DATOS!$G8010=CONFIG_METADATA!$B$4),IF(DATOS!$G8010="EX",1,IF(DATOS!$G8010="OR",--(COUNTIFS(nNIA,DATOS!$A8010,nCURSO,DATOS!$D8010,nESPEC,DATOS!$E8010,nASIG,DATOS!$I8010,nEVAL,"EX")=0),0))))</f>
      </c>
      <c r="H8010">
        <f>IF(DATOS!$G8010&lt;&gt;"EX",0,--(COUNTIFS(nNIA,DATOS!$A8010,nCURSO,DATOS!$D8010,nESPEC,DATOS!$E8010,nASIG,DATOS!$I8010,nEVAL,"OR")=0))</f>
      </c>
      <c r="I8010">
        <f>IF(DATOS!$I8010="","",IFERROR(VLOOKUP(DATOS!$I8010,CONFIG_ASIGNATURAS!$B$2:$J$91,9,FALSE()),""))</f>
      </c>
    </row>
    <row r="8011">
      <c r="F8011">
        <f>IF(DATOS!$A8011="","",DATOS!$A8011&amp;"|"&amp;DATOS!$D8011&amp;"|"&amp;DATOS!$E8011&amp;"|"&amp;DATOS!$I8011)</f>
      </c>
      <c r="G8011">
        <f>IF(DATOS!$A8011="",0,IF(CONFIG_METADATA!$B$4&lt;&gt;"OR+EX",--(DATOS!$G8011=CONFIG_METADATA!$B$4),IF(DATOS!$G8011="EX",1,IF(DATOS!$G8011="OR",--(COUNTIFS(nNIA,DATOS!$A8011,nCURSO,DATOS!$D8011,nESPEC,DATOS!$E8011,nASIG,DATOS!$I8011,nEVAL,"EX")=0),0))))</f>
      </c>
      <c r="H8011">
        <f>IF(DATOS!$G8011&lt;&gt;"EX",0,--(COUNTIFS(nNIA,DATOS!$A8011,nCURSO,DATOS!$D8011,nESPEC,DATOS!$E8011,nASIG,DATOS!$I8011,nEVAL,"OR")=0))</f>
      </c>
      <c r="I8011">
        <f>IF(DATOS!$I8011="","",IFERROR(VLOOKUP(DATOS!$I8011,CONFIG_ASIGNATURAS!$B$2:$J$91,9,FALSE()),""))</f>
      </c>
    </row>
    <row r="8012">
      <c r="F8012">
        <f>IF(DATOS!$A8012="","",DATOS!$A8012&amp;"|"&amp;DATOS!$D8012&amp;"|"&amp;DATOS!$E8012&amp;"|"&amp;DATOS!$I8012)</f>
      </c>
      <c r="G8012">
        <f>IF(DATOS!$A8012="",0,IF(CONFIG_METADATA!$B$4&lt;&gt;"OR+EX",--(DATOS!$G8012=CONFIG_METADATA!$B$4),IF(DATOS!$G8012="EX",1,IF(DATOS!$G8012="OR",--(COUNTIFS(nNIA,DATOS!$A8012,nCURSO,DATOS!$D8012,nESPEC,DATOS!$E8012,nASIG,DATOS!$I8012,nEVAL,"EX")=0),0))))</f>
      </c>
      <c r="H8012">
        <f>IF(DATOS!$G8012&lt;&gt;"EX",0,--(COUNTIFS(nNIA,DATOS!$A8012,nCURSO,DATOS!$D8012,nESPEC,DATOS!$E8012,nASIG,DATOS!$I8012,nEVAL,"OR")=0))</f>
      </c>
      <c r="I8012">
        <f>IF(DATOS!$I8012="","",IFERROR(VLOOKUP(DATOS!$I8012,CONFIG_ASIGNATURAS!$B$2:$J$91,9,FALSE()),""))</f>
      </c>
    </row>
    <row r="8013">
      <c r="F8013">
        <f>IF(DATOS!$A8013="","",DATOS!$A8013&amp;"|"&amp;DATOS!$D8013&amp;"|"&amp;DATOS!$E8013&amp;"|"&amp;DATOS!$I8013)</f>
      </c>
      <c r="G8013">
        <f>IF(DATOS!$A8013="",0,IF(CONFIG_METADATA!$B$4&lt;&gt;"OR+EX",--(DATOS!$G8013=CONFIG_METADATA!$B$4),IF(DATOS!$G8013="EX",1,IF(DATOS!$G8013="OR",--(COUNTIFS(nNIA,DATOS!$A8013,nCURSO,DATOS!$D8013,nESPEC,DATOS!$E8013,nASIG,DATOS!$I8013,nEVAL,"EX")=0),0))))</f>
      </c>
      <c r="H8013">
        <f>IF(DATOS!$G8013&lt;&gt;"EX",0,--(COUNTIFS(nNIA,DATOS!$A8013,nCURSO,DATOS!$D8013,nESPEC,DATOS!$E8013,nASIG,DATOS!$I8013,nEVAL,"OR")=0))</f>
      </c>
      <c r="I8013">
        <f>IF(DATOS!$I8013="","",IFERROR(VLOOKUP(DATOS!$I8013,CONFIG_ASIGNATURAS!$B$2:$J$91,9,FALSE()),""))</f>
      </c>
    </row>
    <row r="8014">
      <c r="F8014">
        <f>IF(DATOS!$A8014="","",DATOS!$A8014&amp;"|"&amp;DATOS!$D8014&amp;"|"&amp;DATOS!$E8014&amp;"|"&amp;DATOS!$I8014)</f>
      </c>
      <c r="G8014">
        <f>IF(DATOS!$A8014="",0,IF(CONFIG_METADATA!$B$4&lt;&gt;"OR+EX",--(DATOS!$G8014=CONFIG_METADATA!$B$4),IF(DATOS!$G8014="EX",1,IF(DATOS!$G8014="OR",--(COUNTIFS(nNIA,DATOS!$A8014,nCURSO,DATOS!$D8014,nESPEC,DATOS!$E8014,nASIG,DATOS!$I8014,nEVAL,"EX")=0),0))))</f>
      </c>
      <c r="H8014">
        <f>IF(DATOS!$G8014&lt;&gt;"EX",0,--(COUNTIFS(nNIA,DATOS!$A8014,nCURSO,DATOS!$D8014,nESPEC,DATOS!$E8014,nASIG,DATOS!$I8014,nEVAL,"OR")=0))</f>
      </c>
      <c r="I8014">
        <f>IF(DATOS!$I8014="","",IFERROR(VLOOKUP(DATOS!$I8014,CONFIG_ASIGNATURAS!$B$2:$J$91,9,FALSE()),""))</f>
      </c>
    </row>
    <row r="8015">
      <c r="F8015">
        <f>IF(DATOS!$A8015="","",DATOS!$A8015&amp;"|"&amp;DATOS!$D8015&amp;"|"&amp;DATOS!$E8015&amp;"|"&amp;DATOS!$I8015)</f>
      </c>
      <c r="G8015">
        <f>IF(DATOS!$A8015="",0,IF(CONFIG_METADATA!$B$4&lt;&gt;"OR+EX",--(DATOS!$G8015=CONFIG_METADATA!$B$4),IF(DATOS!$G8015="EX",1,IF(DATOS!$G8015="OR",--(COUNTIFS(nNIA,DATOS!$A8015,nCURSO,DATOS!$D8015,nESPEC,DATOS!$E8015,nASIG,DATOS!$I8015,nEVAL,"EX")=0),0))))</f>
      </c>
      <c r="H8015">
        <f>IF(DATOS!$G8015&lt;&gt;"EX",0,--(COUNTIFS(nNIA,DATOS!$A8015,nCURSO,DATOS!$D8015,nESPEC,DATOS!$E8015,nASIG,DATOS!$I8015,nEVAL,"OR")=0))</f>
      </c>
      <c r="I8015">
        <f>IF(DATOS!$I8015="","",IFERROR(VLOOKUP(DATOS!$I8015,CONFIG_ASIGNATURAS!$B$2:$J$91,9,FALSE()),""))</f>
      </c>
    </row>
    <row r="8016">
      <c r="F8016">
        <f>IF(DATOS!$A8016="","",DATOS!$A8016&amp;"|"&amp;DATOS!$D8016&amp;"|"&amp;DATOS!$E8016&amp;"|"&amp;DATOS!$I8016)</f>
      </c>
      <c r="G8016">
        <f>IF(DATOS!$A8016="",0,IF(CONFIG_METADATA!$B$4&lt;&gt;"OR+EX",--(DATOS!$G8016=CONFIG_METADATA!$B$4),IF(DATOS!$G8016="EX",1,IF(DATOS!$G8016="OR",--(COUNTIFS(nNIA,DATOS!$A8016,nCURSO,DATOS!$D8016,nESPEC,DATOS!$E8016,nASIG,DATOS!$I8016,nEVAL,"EX")=0),0))))</f>
      </c>
      <c r="H8016">
        <f>IF(DATOS!$G8016&lt;&gt;"EX",0,--(COUNTIFS(nNIA,DATOS!$A8016,nCURSO,DATOS!$D8016,nESPEC,DATOS!$E8016,nASIG,DATOS!$I8016,nEVAL,"OR")=0))</f>
      </c>
      <c r="I8016">
        <f>IF(DATOS!$I8016="","",IFERROR(VLOOKUP(DATOS!$I8016,CONFIG_ASIGNATURAS!$B$2:$J$91,9,FALSE()),""))</f>
      </c>
    </row>
    <row r="8017">
      <c r="F8017">
        <f>IF(DATOS!$A8017="","",DATOS!$A8017&amp;"|"&amp;DATOS!$D8017&amp;"|"&amp;DATOS!$E8017&amp;"|"&amp;DATOS!$I8017)</f>
      </c>
      <c r="G8017">
        <f>IF(DATOS!$A8017="",0,IF(CONFIG_METADATA!$B$4&lt;&gt;"OR+EX",--(DATOS!$G8017=CONFIG_METADATA!$B$4),IF(DATOS!$G8017="EX",1,IF(DATOS!$G8017="OR",--(COUNTIFS(nNIA,DATOS!$A8017,nCURSO,DATOS!$D8017,nESPEC,DATOS!$E8017,nASIG,DATOS!$I8017,nEVAL,"EX")=0),0))))</f>
      </c>
      <c r="H8017">
        <f>IF(DATOS!$G8017&lt;&gt;"EX",0,--(COUNTIFS(nNIA,DATOS!$A8017,nCURSO,DATOS!$D8017,nESPEC,DATOS!$E8017,nASIG,DATOS!$I8017,nEVAL,"OR")=0))</f>
      </c>
      <c r="I8017">
        <f>IF(DATOS!$I8017="","",IFERROR(VLOOKUP(DATOS!$I8017,CONFIG_ASIGNATURAS!$B$2:$J$91,9,FALSE()),""))</f>
      </c>
    </row>
    <row r="8018">
      <c r="F8018">
        <f>IF(DATOS!$A8018="","",DATOS!$A8018&amp;"|"&amp;DATOS!$D8018&amp;"|"&amp;DATOS!$E8018&amp;"|"&amp;DATOS!$I8018)</f>
      </c>
      <c r="G8018">
        <f>IF(DATOS!$A8018="",0,IF(CONFIG_METADATA!$B$4&lt;&gt;"OR+EX",--(DATOS!$G8018=CONFIG_METADATA!$B$4),IF(DATOS!$G8018="EX",1,IF(DATOS!$G8018="OR",--(COUNTIFS(nNIA,DATOS!$A8018,nCURSO,DATOS!$D8018,nESPEC,DATOS!$E8018,nASIG,DATOS!$I8018,nEVAL,"EX")=0),0))))</f>
      </c>
      <c r="H8018">
        <f>IF(DATOS!$G8018&lt;&gt;"EX",0,--(COUNTIFS(nNIA,DATOS!$A8018,nCURSO,DATOS!$D8018,nESPEC,DATOS!$E8018,nASIG,DATOS!$I8018,nEVAL,"OR")=0))</f>
      </c>
      <c r="I8018">
        <f>IF(DATOS!$I8018="","",IFERROR(VLOOKUP(DATOS!$I8018,CONFIG_ASIGNATURAS!$B$2:$J$91,9,FALSE()),""))</f>
      </c>
    </row>
    <row r="8019">
      <c r="F8019">
        <f>IF(DATOS!$A8019="","",DATOS!$A8019&amp;"|"&amp;DATOS!$D8019&amp;"|"&amp;DATOS!$E8019&amp;"|"&amp;DATOS!$I8019)</f>
      </c>
      <c r="G8019">
        <f>IF(DATOS!$A8019="",0,IF(CONFIG_METADATA!$B$4&lt;&gt;"OR+EX",--(DATOS!$G8019=CONFIG_METADATA!$B$4),IF(DATOS!$G8019="EX",1,IF(DATOS!$G8019="OR",--(COUNTIFS(nNIA,DATOS!$A8019,nCURSO,DATOS!$D8019,nESPEC,DATOS!$E8019,nASIG,DATOS!$I8019,nEVAL,"EX")=0),0))))</f>
      </c>
      <c r="H8019">
        <f>IF(DATOS!$G8019&lt;&gt;"EX",0,--(COUNTIFS(nNIA,DATOS!$A8019,nCURSO,DATOS!$D8019,nESPEC,DATOS!$E8019,nASIG,DATOS!$I8019,nEVAL,"OR")=0))</f>
      </c>
      <c r="I8019">
        <f>IF(DATOS!$I8019="","",IFERROR(VLOOKUP(DATOS!$I8019,CONFIG_ASIGNATURAS!$B$2:$J$91,9,FALSE()),""))</f>
      </c>
    </row>
    <row r="8020">
      <c r="F8020">
        <f>IF(DATOS!$A8020="","",DATOS!$A8020&amp;"|"&amp;DATOS!$D8020&amp;"|"&amp;DATOS!$E8020&amp;"|"&amp;DATOS!$I8020)</f>
      </c>
      <c r="G8020">
        <f>IF(DATOS!$A8020="",0,IF(CONFIG_METADATA!$B$4&lt;&gt;"OR+EX",--(DATOS!$G8020=CONFIG_METADATA!$B$4),IF(DATOS!$G8020="EX",1,IF(DATOS!$G8020="OR",--(COUNTIFS(nNIA,DATOS!$A8020,nCURSO,DATOS!$D8020,nESPEC,DATOS!$E8020,nASIG,DATOS!$I8020,nEVAL,"EX")=0),0))))</f>
      </c>
      <c r="H8020">
        <f>IF(DATOS!$G8020&lt;&gt;"EX",0,--(COUNTIFS(nNIA,DATOS!$A8020,nCURSO,DATOS!$D8020,nESPEC,DATOS!$E8020,nASIG,DATOS!$I8020,nEVAL,"OR")=0))</f>
      </c>
      <c r="I8020">
        <f>IF(DATOS!$I8020="","",IFERROR(VLOOKUP(DATOS!$I8020,CONFIG_ASIGNATURAS!$B$2:$J$91,9,FALSE()),""))</f>
      </c>
    </row>
    <row r="8021">
      <c r="F8021">
        <f>IF(DATOS!$A8021="","",DATOS!$A8021&amp;"|"&amp;DATOS!$D8021&amp;"|"&amp;DATOS!$E8021&amp;"|"&amp;DATOS!$I8021)</f>
      </c>
      <c r="G8021">
        <f>IF(DATOS!$A8021="",0,IF(CONFIG_METADATA!$B$4&lt;&gt;"OR+EX",--(DATOS!$G8021=CONFIG_METADATA!$B$4),IF(DATOS!$G8021="EX",1,IF(DATOS!$G8021="OR",--(COUNTIFS(nNIA,DATOS!$A8021,nCURSO,DATOS!$D8021,nESPEC,DATOS!$E8021,nASIG,DATOS!$I8021,nEVAL,"EX")=0),0))))</f>
      </c>
      <c r="H8021">
        <f>IF(DATOS!$G8021&lt;&gt;"EX",0,--(COUNTIFS(nNIA,DATOS!$A8021,nCURSO,DATOS!$D8021,nESPEC,DATOS!$E8021,nASIG,DATOS!$I8021,nEVAL,"OR")=0))</f>
      </c>
      <c r="I8021">
        <f>IF(DATOS!$I8021="","",IFERROR(VLOOKUP(DATOS!$I8021,CONFIG_ASIGNATURAS!$B$2:$J$91,9,FALSE()),""))</f>
      </c>
    </row>
    <row r="8022">
      <c r="F8022">
        <f>IF(DATOS!$A8022="","",DATOS!$A8022&amp;"|"&amp;DATOS!$D8022&amp;"|"&amp;DATOS!$E8022&amp;"|"&amp;DATOS!$I8022)</f>
      </c>
      <c r="G8022">
        <f>IF(DATOS!$A8022="",0,IF(CONFIG_METADATA!$B$4&lt;&gt;"OR+EX",--(DATOS!$G8022=CONFIG_METADATA!$B$4),IF(DATOS!$G8022="EX",1,IF(DATOS!$G8022="OR",--(COUNTIFS(nNIA,DATOS!$A8022,nCURSO,DATOS!$D8022,nESPEC,DATOS!$E8022,nASIG,DATOS!$I8022,nEVAL,"EX")=0),0))))</f>
      </c>
      <c r="H8022">
        <f>IF(DATOS!$G8022&lt;&gt;"EX",0,--(COUNTIFS(nNIA,DATOS!$A8022,nCURSO,DATOS!$D8022,nESPEC,DATOS!$E8022,nASIG,DATOS!$I8022,nEVAL,"OR")=0))</f>
      </c>
      <c r="I8022">
        <f>IF(DATOS!$I8022="","",IFERROR(VLOOKUP(DATOS!$I8022,CONFIG_ASIGNATURAS!$B$2:$J$91,9,FALSE()),""))</f>
      </c>
    </row>
    <row r="8023">
      <c r="F8023">
        <f>IF(DATOS!$A8023="","",DATOS!$A8023&amp;"|"&amp;DATOS!$D8023&amp;"|"&amp;DATOS!$E8023&amp;"|"&amp;DATOS!$I8023)</f>
      </c>
      <c r="G8023">
        <f>IF(DATOS!$A8023="",0,IF(CONFIG_METADATA!$B$4&lt;&gt;"OR+EX",--(DATOS!$G8023=CONFIG_METADATA!$B$4),IF(DATOS!$G8023="EX",1,IF(DATOS!$G8023="OR",--(COUNTIFS(nNIA,DATOS!$A8023,nCURSO,DATOS!$D8023,nESPEC,DATOS!$E8023,nASIG,DATOS!$I8023,nEVAL,"EX")=0),0))))</f>
      </c>
      <c r="H8023">
        <f>IF(DATOS!$G8023&lt;&gt;"EX",0,--(COUNTIFS(nNIA,DATOS!$A8023,nCURSO,DATOS!$D8023,nESPEC,DATOS!$E8023,nASIG,DATOS!$I8023,nEVAL,"OR")=0))</f>
      </c>
      <c r="I8023">
        <f>IF(DATOS!$I8023="","",IFERROR(VLOOKUP(DATOS!$I8023,CONFIG_ASIGNATURAS!$B$2:$J$91,9,FALSE()),""))</f>
      </c>
    </row>
    <row r="8024">
      <c r="F8024">
        <f>IF(DATOS!$A8024="","",DATOS!$A8024&amp;"|"&amp;DATOS!$D8024&amp;"|"&amp;DATOS!$E8024&amp;"|"&amp;DATOS!$I8024)</f>
      </c>
      <c r="G8024">
        <f>IF(DATOS!$A8024="",0,IF(CONFIG_METADATA!$B$4&lt;&gt;"OR+EX",--(DATOS!$G8024=CONFIG_METADATA!$B$4),IF(DATOS!$G8024="EX",1,IF(DATOS!$G8024="OR",--(COUNTIFS(nNIA,DATOS!$A8024,nCURSO,DATOS!$D8024,nESPEC,DATOS!$E8024,nASIG,DATOS!$I8024,nEVAL,"EX")=0),0))))</f>
      </c>
      <c r="H8024">
        <f>IF(DATOS!$G8024&lt;&gt;"EX",0,--(COUNTIFS(nNIA,DATOS!$A8024,nCURSO,DATOS!$D8024,nESPEC,DATOS!$E8024,nASIG,DATOS!$I8024,nEVAL,"OR")=0))</f>
      </c>
      <c r="I8024">
        <f>IF(DATOS!$I8024="","",IFERROR(VLOOKUP(DATOS!$I8024,CONFIG_ASIGNATURAS!$B$2:$J$91,9,FALSE()),""))</f>
      </c>
    </row>
    <row r="8025">
      <c r="F8025">
        <f>IF(DATOS!$A8025="","",DATOS!$A8025&amp;"|"&amp;DATOS!$D8025&amp;"|"&amp;DATOS!$E8025&amp;"|"&amp;DATOS!$I8025)</f>
      </c>
      <c r="G8025">
        <f>IF(DATOS!$A8025="",0,IF(CONFIG_METADATA!$B$4&lt;&gt;"OR+EX",--(DATOS!$G8025=CONFIG_METADATA!$B$4),IF(DATOS!$G8025="EX",1,IF(DATOS!$G8025="OR",--(COUNTIFS(nNIA,DATOS!$A8025,nCURSO,DATOS!$D8025,nESPEC,DATOS!$E8025,nASIG,DATOS!$I8025,nEVAL,"EX")=0),0))))</f>
      </c>
      <c r="H8025">
        <f>IF(DATOS!$G8025&lt;&gt;"EX",0,--(COUNTIFS(nNIA,DATOS!$A8025,nCURSO,DATOS!$D8025,nESPEC,DATOS!$E8025,nASIG,DATOS!$I8025,nEVAL,"OR")=0))</f>
      </c>
      <c r="I8025">
        <f>IF(DATOS!$I8025="","",IFERROR(VLOOKUP(DATOS!$I8025,CONFIG_ASIGNATURAS!$B$2:$J$91,9,FALSE()),""))</f>
      </c>
    </row>
    <row r="8026">
      <c r="F8026">
        <f>IF(DATOS!$A8026="","",DATOS!$A8026&amp;"|"&amp;DATOS!$D8026&amp;"|"&amp;DATOS!$E8026&amp;"|"&amp;DATOS!$I8026)</f>
      </c>
      <c r="G8026">
        <f>IF(DATOS!$A8026="",0,IF(CONFIG_METADATA!$B$4&lt;&gt;"OR+EX",--(DATOS!$G8026=CONFIG_METADATA!$B$4),IF(DATOS!$G8026="EX",1,IF(DATOS!$G8026="OR",--(COUNTIFS(nNIA,DATOS!$A8026,nCURSO,DATOS!$D8026,nESPEC,DATOS!$E8026,nASIG,DATOS!$I8026,nEVAL,"EX")=0),0))))</f>
      </c>
      <c r="H8026">
        <f>IF(DATOS!$G8026&lt;&gt;"EX",0,--(COUNTIFS(nNIA,DATOS!$A8026,nCURSO,DATOS!$D8026,nESPEC,DATOS!$E8026,nASIG,DATOS!$I8026,nEVAL,"OR")=0))</f>
      </c>
      <c r="I8026">
        <f>IF(DATOS!$I8026="","",IFERROR(VLOOKUP(DATOS!$I8026,CONFIG_ASIGNATURAS!$B$2:$J$91,9,FALSE()),""))</f>
      </c>
    </row>
    <row r="8027">
      <c r="F8027">
        <f>IF(DATOS!$A8027="","",DATOS!$A8027&amp;"|"&amp;DATOS!$D8027&amp;"|"&amp;DATOS!$E8027&amp;"|"&amp;DATOS!$I8027)</f>
      </c>
      <c r="G8027">
        <f>IF(DATOS!$A8027="",0,IF(CONFIG_METADATA!$B$4&lt;&gt;"OR+EX",--(DATOS!$G8027=CONFIG_METADATA!$B$4),IF(DATOS!$G8027="EX",1,IF(DATOS!$G8027="OR",--(COUNTIFS(nNIA,DATOS!$A8027,nCURSO,DATOS!$D8027,nESPEC,DATOS!$E8027,nASIG,DATOS!$I8027,nEVAL,"EX")=0),0))))</f>
      </c>
      <c r="H8027">
        <f>IF(DATOS!$G8027&lt;&gt;"EX",0,--(COUNTIFS(nNIA,DATOS!$A8027,nCURSO,DATOS!$D8027,nESPEC,DATOS!$E8027,nASIG,DATOS!$I8027,nEVAL,"OR")=0))</f>
      </c>
      <c r="I8027">
        <f>IF(DATOS!$I8027="","",IFERROR(VLOOKUP(DATOS!$I8027,CONFIG_ASIGNATURAS!$B$2:$J$91,9,FALSE()),""))</f>
      </c>
    </row>
    <row r="8028">
      <c r="F8028">
        <f>IF(DATOS!$A8028="","",DATOS!$A8028&amp;"|"&amp;DATOS!$D8028&amp;"|"&amp;DATOS!$E8028&amp;"|"&amp;DATOS!$I8028)</f>
      </c>
      <c r="G8028">
        <f>IF(DATOS!$A8028="",0,IF(CONFIG_METADATA!$B$4&lt;&gt;"OR+EX",--(DATOS!$G8028=CONFIG_METADATA!$B$4),IF(DATOS!$G8028="EX",1,IF(DATOS!$G8028="OR",--(COUNTIFS(nNIA,DATOS!$A8028,nCURSO,DATOS!$D8028,nESPEC,DATOS!$E8028,nASIG,DATOS!$I8028,nEVAL,"EX")=0),0))))</f>
      </c>
      <c r="H8028">
        <f>IF(DATOS!$G8028&lt;&gt;"EX",0,--(COUNTIFS(nNIA,DATOS!$A8028,nCURSO,DATOS!$D8028,nESPEC,DATOS!$E8028,nASIG,DATOS!$I8028,nEVAL,"OR")=0))</f>
      </c>
      <c r="I8028">
        <f>IF(DATOS!$I8028="","",IFERROR(VLOOKUP(DATOS!$I8028,CONFIG_ASIGNATURAS!$B$2:$J$91,9,FALSE()),""))</f>
      </c>
    </row>
    <row r="8029">
      <c r="F8029">
        <f>IF(DATOS!$A8029="","",DATOS!$A8029&amp;"|"&amp;DATOS!$D8029&amp;"|"&amp;DATOS!$E8029&amp;"|"&amp;DATOS!$I8029)</f>
      </c>
      <c r="G8029">
        <f>IF(DATOS!$A8029="",0,IF(CONFIG_METADATA!$B$4&lt;&gt;"OR+EX",--(DATOS!$G8029=CONFIG_METADATA!$B$4),IF(DATOS!$G8029="EX",1,IF(DATOS!$G8029="OR",--(COUNTIFS(nNIA,DATOS!$A8029,nCURSO,DATOS!$D8029,nESPEC,DATOS!$E8029,nASIG,DATOS!$I8029,nEVAL,"EX")=0),0))))</f>
      </c>
      <c r="H8029">
        <f>IF(DATOS!$G8029&lt;&gt;"EX",0,--(COUNTIFS(nNIA,DATOS!$A8029,nCURSO,DATOS!$D8029,nESPEC,DATOS!$E8029,nASIG,DATOS!$I8029,nEVAL,"OR")=0))</f>
      </c>
      <c r="I8029">
        <f>IF(DATOS!$I8029="","",IFERROR(VLOOKUP(DATOS!$I8029,CONFIG_ASIGNATURAS!$B$2:$J$91,9,FALSE()),""))</f>
      </c>
    </row>
    <row r="8030">
      <c r="F8030">
        <f>IF(DATOS!$A8030="","",DATOS!$A8030&amp;"|"&amp;DATOS!$D8030&amp;"|"&amp;DATOS!$E8030&amp;"|"&amp;DATOS!$I8030)</f>
      </c>
      <c r="G8030">
        <f>IF(DATOS!$A8030="",0,IF(CONFIG_METADATA!$B$4&lt;&gt;"OR+EX",--(DATOS!$G8030=CONFIG_METADATA!$B$4),IF(DATOS!$G8030="EX",1,IF(DATOS!$G8030="OR",--(COUNTIFS(nNIA,DATOS!$A8030,nCURSO,DATOS!$D8030,nESPEC,DATOS!$E8030,nASIG,DATOS!$I8030,nEVAL,"EX")=0),0))))</f>
      </c>
      <c r="H8030">
        <f>IF(DATOS!$G8030&lt;&gt;"EX",0,--(COUNTIFS(nNIA,DATOS!$A8030,nCURSO,DATOS!$D8030,nESPEC,DATOS!$E8030,nASIG,DATOS!$I8030,nEVAL,"OR")=0))</f>
      </c>
      <c r="I8030">
        <f>IF(DATOS!$I8030="","",IFERROR(VLOOKUP(DATOS!$I8030,CONFIG_ASIGNATURAS!$B$2:$J$91,9,FALSE()),""))</f>
      </c>
    </row>
    <row r="8031">
      <c r="F8031">
        <f>IF(DATOS!$A8031="","",DATOS!$A8031&amp;"|"&amp;DATOS!$D8031&amp;"|"&amp;DATOS!$E8031&amp;"|"&amp;DATOS!$I8031)</f>
      </c>
      <c r="G8031">
        <f>IF(DATOS!$A8031="",0,IF(CONFIG_METADATA!$B$4&lt;&gt;"OR+EX",--(DATOS!$G8031=CONFIG_METADATA!$B$4),IF(DATOS!$G8031="EX",1,IF(DATOS!$G8031="OR",--(COUNTIFS(nNIA,DATOS!$A8031,nCURSO,DATOS!$D8031,nESPEC,DATOS!$E8031,nASIG,DATOS!$I8031,nEVAL,"EX")=0),0))))</f>
      </c>
      <c r="H8031">
        <f>IF(DATOS!$G8031&lt;&gt;"EX",0,--(COUNTIFS(nNIA,DATOS!$A8031,nCURSO,DATOS!$D8031,nESPEC,DATOS!$E8031,nASIG,DATOS!$I8031,nEVAL,"OR")=0))</f>
      </c>
      <c r="I8031">
        <f>IF(DATOS!$I8031="","",IFERROR(VLOOKUP(DATOS!$I8031,CONFIG_ASIGNATURAS!$B$2:$J$91,9,FALSE()),""))</f>
      </c>
    </row>
    <row r="8032">
      <c r="F8032">
        <f>IF(DATOS!$A8032="","",DATOS!$A8032&amp;"|"&amp;DATOS!$D8032&amp;"|"&amp;DATOS!$E8032&amp;"|"&amp;DATOS!$I8032)</f>
      </c>
      <c r="G8032">
        <f>IF(DATOS!$A8032="",0,IF(CONFIG_METADATA!$B$4&lt;&gt;"OR+EX",--(DATOS!$G8032=CONFIG_METADATA!$B$4),IF(DATOS!$G8032="EX",1,IF(DATOS!$G8032="OR",--(COUNTIFS(nNIA,DATOS!$A8032,nCURSO,DATOS!$D8032,nESPEC,DATOS!$E8032,nASIG,DATOS!$I8032,nEVAL,"EX")=0),0))))</f>
      </c>
      <c r="H8032">
        <f>IF(DATOS!$G8032&lt;&gt;"EX",0,--(COUNTIFS(nNIA,DATOS!$A8032,nCURSO,DATOS!$D8032,nESPEC,DATOS!$E8032,nASIG,DATOS!$I8032,nEVAL,"OR")=0))</f>
      </c>
      <c r="I8032">
        <f>IF(DATOS!$I8032="","",IFERROR(VLOOKUP(DATOS!$I8032,CONFIG_ASIGNATURAS!$B$2:$J$91,9,FALSE()),""))</f>
      </c>
    </row>
    <row r="8033">
      <c r="F8033">
        <f>IF(DATOS!$A8033="","",DATOS!$A8033&amp;"|"&amp;DATOS!$D8033&amp;"|"&amp;DATOS!$E8033&amp;"|"&amp;DATOS!$I8033)</f>
      </c>
      <c r="G8033">
        <f>IF(DATOS!$A8033="",0,IF(CONFIG_METADATA!$B$4&lt;&gt;"OR+EX",--(DATOS!$G8033=CONFIG_METADATA!$B$4),IF(DATOS!$G8033="EX",1,IF(DATOS!$G8033="OR",--(COUNTIFS(nNIA,DATOS!$A8033,nCURSO,DATOS!$D8033,nESPEC,DATOS!$E8033,nASIG,DATOS!$I8033,nEVAL,"EX")=0),0))))</f>
      </c>
      <c r="H8033">
        <f>IF(DATOS!$G8033&lt;&gt;"EX",0,--(COUNTIFS(nNIA,DATOS!$A8033,nCURSO,DATOS!$D8033,nESPEC,DATOS!$E8033,nASIG,DATOS!$I8033,nEVAL,"OR")=0))</f>
      </c>
      <c r="I8033">
        <f>IF(DATOS!$I8033="","",IFERROR(VLOOKUP(DATOS!$I8033,CONFIG_ASIGNATURAS!$B$2:$J$91,9,FALSE()),""))</f>
      </c>
    </row>
    <row r="8034">
      <c r="F8034">
        <f>IF(DATOS!$A8034="","",DATOS!$A8034&amp;"|"&amp;DATOS!$D8034&amp;"|"&amp;DATOS!$E8034&amp;"|"&amp;DATOS!$I8034)</f>
      </c>
      <c r="G8034">
        <f>IF(DATOS!$A8034="",0,IF(CONFIG_METADATA!$B$4&lt;&gt;"OR+EX",--(DATOS!$G8034=CONFIG_METADATA!$B$4),IF(DATOS!$G8034="EX",1,IF(DATOS!$G8034="OR",--(COUNTIFS(nNIA,DATOS!$A8034,nCURSO,DATOS!$D8034,nESPEC,DATOS!$E8034,nASIG,DATOS!$I8034,nEVAL,"EX")=0),0))))</f>
      </c>
      <c r="H8034">
        <f>IF(DATOS!$G8034&lt;&gt;"EX",0,--(COUNTIFS(nNIA,DATOS!$A8034,nCURSO,DATOS!$D8034,nESPEC,DATOS!$E8034,nASIG,DATOS!$I8034,nEVAL,"OR")=0))</f>
      </c>
      <c r="I8034">
        <f>IF(DATOS!$I8034="","",IFERROR(VLOOKUP(DATOS!$I8034,CONFIG_ASIGNATURAS!$B$2:$J$91,9,FALSE()),""))</f>
      </c>
    </row>
    <row r="8035">
      <c r="F8035">
        <f>IF(DATOS!$A8035="","",DATOS!$A8035&amp;"|"&amp;DATOS!$D8035&amp;"|"&amp;DATOS!$E8035&amp;"|"&amp;DATOS!$I8035)</f>
      </c>
      <c r="G8035">
        <f>IF(DATOS!$A8035="",0,IF(CONFIG_METADATA!$B$4&lt;&gt;"OR+EX",--(DATOS!$G8035=CONFIG_METADATA!$B$4),IF(DATOS!$G8035="EX",1,IF(DATOS!$G8035="OR",--(COUNTIFS(nNIA,DATOS!$A8035,nCURSO,DATOS!$D8035,nESPEC,DATOS!$E8035,nASIG,DATOS!$I8035,nEVAL,"EX")=0),0))))</f>
      </c>
      <c r="H8035">
        <f>IF(DATOS!$G8035&lt;&gt;"EX",0,--(COUNTIFS(nNIA,DATOS!$A8035,nCURSO,DATOS!$D8035,nESPEC,DATOS!$E8035,nASIG,DATOS!$I8035,nEVAL,"OR")=0))</f>
      </c>
      <c r="I8035">
        <f>IF(DATOS!$I8035="","",IFERROR(VLOOKUP(DATOS!$I8035,CONFIG_ASIGNATURAS!$B$2:$J$91,9,FALSE()),""))</f>
      </c>
    </row>
    <row r="8036">
      <c r="F8036">
        <f>IF(DATOS!$A8036="","",DATOS!$A8036&amp;"|"&amp;DATOS!$D8036&amp;"|"&amp;DATOS!$E8036&amp;"|"&amp;DATOS!$I8036)</f>
      </c>
      <c r="G8036">
        <f>IF(DATOS!$A8036="",0,IF(CONFIG_METADATA!$B$4&lt;&gt;"OR+EX",--(DATOS!$G8036=CONFIG_METADATA!$B$4),IF(DATOS!$G8036="EX",1,IF(DATOS!$G8036="OR",--(COUNTIFS(nNIA,DATOS!$A8036,nCURSO,DATOS!$D8036,nESPEC,DATOS!$E8036,nASIG,DATOS!$I8036,nEVAL,"EX")=0),0))))</f>
      </c>
      <c r="H8036">
        <f>IF(DATOS!$G8036&lt;&gt;"EX",0,--(COUNTIFS(nNIA,DATOS!$A8036,nCURSO,DATOS!$D8036,nESPEC,DATOS!$E8036,nASIG,DATOS!$I8036,nEVAL,"OR")=0))</f>
      </c>
      <c r="I8036">
        <f>IF(DATOS!$I8036="","",IFERROR(VLOOKUP(DATOS!$I8036,CONFIG_ASIGNATURAS!$B$2:$J$91,9,FALSE()),""))</f>
      </c>
    </row>
    <row r="8037">
      <c r="F8037">
        <f>IF(DATOS!$A8037="","",DATOS!$A8037&amp;"|"&amp;DATOS!$D8037&amp;"|"&amp;DATOS!$E8037&amp;"|"&amp;DATOS!$I8037)</f>
      </c>
      <c r="G8037">
        <f>IF(DATOS!$A8037="",0,IF(CONFIG_METADATA!$B$4&lt;&gt;"OR+EX",--(DATOS!$G8037=CONFIG_METADATA!$B$4),IF(DATOS!$G8037="EX",1,IF(DATOS!$G8037="OR",--(COUNTIFS(nNIA,DATOS!$A8037,nCURSO,DATOS!$D8037,nESPEC,DATOS!$E8037,nASIG,DATOS!$I8037,nEVAL,"EX")=0),0))))</f>
      </c>
      <c r="H8037">
        <f>IF(DATOS!$G8037&lt;&gt;"EX",0,--(COUNTIFS(nNIA,DATOS!$A8037,nCURSO,DATOS!$D8037,nESPEC,DATOS!$E8037,nASIG,DATOS!$I8037,nEVAL,"OR")=0))</f>
      </c>
      <c r="I8037">
        <f>IF(DATOS!$I8037="","",IFERROR(VLOOKUP(DATOS!$I8037,CONFIG_ASIGNATURAS!$B$2:$J$91,9,FALSE()),""))</f>
      </c>
    </row>
    <row r="8038">
      <c r="F8038">
        <f>IF(DATOS!$A8038="","",DATOS!$A8038&amp;"|"&amp;DATOS!$D8038&amp;"|"&amp;DATOS!$E8038&amp;"|"&amp;DATOS!$I8038)</f>
      </c>
      <c r="G8038">
        <f>IF(DATOS!$A8038="",0,IF(CONFIG_METADATA!$B$4&lt;&gt;"OR+EX",--(DATOS!$G8038=CONFIG_METADATA!$B$4),IF(DATOS!$G8038="EX",1,IF(DATOS!$G8038="OR",--(COUNTIFS(nNIA,DATOS!$A8038,nCURSO,DATOS!$D8038,nESPEC,DATOS!$E8038,nASIG,DATOS!$I8038,nEVAL,"EX")=0),0))))</f>
      </c>
      <c r="H8038">
        <f>IF(DATOS!$G8038&lt;&gt;"EX",0,--(COUNTIFS(nNIA,DATOS!$A8038,nCURSO,DATOS!$D8038,nESPEC,DATOS!$E8038,nASIG,DATOS!$I8038,nEVAL,"OR")=0))</f>
      </c>
      <c r="I8038">
        <f>IF(DATOS!$I8038="","",IFERROR(VLOOKUP(DATOS!$I8038,CONFIG_ASIGNATURAS!$B$2:$J$91,9,FALSE()),""))</f>
      </c>
    </row>
    <row r="8039">
      <c r="F8039">
        <f>IF(DATOS!$A8039="","",DATOS!$A8039&amp;"|"&amp;DATOS!$D8039&amp;"|"&amp;DATOS!$E8039&amp;"|"&amp;DATOS!$I8039)</f>
      </c>
      <c r="G8039">
        <f>IF(DATOS!$A8039="",0,IF(CONFIG_METADATA!$B$4&lt;&gt;"OR+EX",--(DATOS!$G8039=CONFIG_METADATA!$B$4),IF(DATOS!$G8039="EX",1,IF(DATOS!$G8039="OR",--(COUNTIFS(nNIA,DATOS!$A8039,nCURSO,DATOS!$D8039,nESPEC,DATOS!$E8039,nASIG,DATOS!$I8039,nEVAL,"EX")=0),0))))</f>
      </c>
      <c r="H8039">
        <f>IF(DATOS!$G8039&lt;&gt;"EX",0,--(COUNTIFS(nNIA,DATOS!$A8039,nCURSO,DATOS!$D8039,nESPEC,DATOS!$E8039,nASIG,DATOS!$I8039,nEVAL,"OR")=0))</f>
      </c>
      <c r="I8039">
        <f>IF(DATOS!$I8039="","",IFERROR(VLOOKUP(DATOS!$I8039,CONFIG_ASIGNATURAS!$B$2:$J$91,9,FALSE()),""))</f>
      </c>
    </row>
    <row r="8040">
      <c r="F8040">
        <f>IF(DATOS!$A8040="","",DATOS!$A8040&amp;"|"&amp;DATOS!$D8040&amp;"|"&amp;DATOS!$E8040&amp;"|"&amp;DATOS!$I8040)</f>
      </c>
      <c r="G8040">
        <f>IF(DATOS!$A8040="",0,IF(CONFIG_METADATA!$B$4&lt;&gt;"OR+EX",--(DATOS!$G8040=CONFIG_METADATA!$B$4),IF(DATOS!$G8040="EX",1,IF(DATOS!$G8040="OR",--(COUNTIFS(nNIA,DATOS!$A8040,nCURSO,DATOS!$D8040,nESPEC,DATOS!$E8040,nASIG,DATOS!$I8040,nEVAL,"EX")=0),0))))</f>
      </c>
      <c r="H8040">
        <f>IF(DATOS!$G8040&lt;&gt;"EX",0,--(COUNTIFS(nNIA,DATOS!$A8040,nCURSO,DATOS!$D8040,nESPEC,DATOS!$E8040,nASIG,DATOS!$I8040,nEVAL,"OR")=0))</f>
      </c>
      <c r="I8040">
        <f>IF(DATOS!$I8040="","",IFERROR(VLOOKUP(DATOS!$I8040,CONFIG_ASIGNATURAS!$B$2:$J$91,9,FALSE()),""))</f>
      </c>
    </row>
    <row r="8041">
      <c r="F8041">
        <f>IF(DATOS!$A8041="","",DATOS!$A8041&amp;"|"&amp;DATOS!$D8041&amp;"|"&amp;DATOS!$E8041&amp;"|"&amp;DATOS!$I8041)</f>
      </c>
      <c r="G8041">
        <f>IF(DATOS!$A8041="",0,IF(CONFIG_METADATA!$B$4&lt;&gt;"OR+EX",--(DATOS!$G8041=CONFIG_METADATA!$B$4),IF(DATOS!$G8041="EX",1,IF(DATOS!$G8041="OR",--(COUNTIFS(nNIA,DATOS!$A8041,nCURSO,DATOS!$D8041,nESPEC,DATOS!$E8041,nASIG,DATOS!$I8041,nEVAL,"EX")=0),0))))</f>
      </c>
      <c r="H8041">
        <f>IF(DATOS!$G8041&lt;&gt;"EX",0,--(COUNTIFS(nNIA,DATOS!$A8041,nCURSO,DATOS!$D8041,nESPEC,DATOS!$E8041,nASIG,DATOS!$I8041,nEVAL,"OR")=0))</f>
      </c>
      <c r="I8041">
        <f>IF(DATOS!$I8041="","",IFERROR(VLOOKUP(DATOS!$I8041,CONFIG_ASIGNATURAS!$B$2:$J$91,9,FALSE()),""))</f>
      </c>
    </row>
    <row r="8042">
      <c r="F8042">
        <f>IF(DATOS!$A8042="","",DATOS!$A8042&amp;"|"&amp;DATOS!$D8042&amp;"|"&amp;DATOS!$E8042&amp;"|"&amp;DATOS!$I8042)</f>
      </c>
      <c r="G8042">
        <f>IF(DATOS!$A8042="",0,IF(CONFIG_METADATA!$B$4&lt;&gt;"OR+EX",--(DATOS!$G8042=CONFIG_METADATA!$B$4),IF(DATOS!$G8042="EX",1,IF(DATOS!$G8042="OR",--(COUNTIFS(nNIA,DATOS!$A8042,nCURSO,DATOS!$D8042,nESPEC,DATOS!$E8042,nASIG,DATOS!$I8042,nEVAL,"EX")=0),0))))</f>
      </c>
      <c r="H8042">
        <f>IF(DATOS!$G8042&lt;&gt;"EX",0,--(COUNTIFS(nNIA,DATOS!$A8042,nCURSO,DATOS!$D8042,nESPEC,DATOS!$E8042,nASIG,DATOS!$I8042,nEVAL,"OR")=0))</f>
      </c>
      <c r="I8042">
        <f>IF(DATOS!$I8042="","",IFERROR(VLOOKUP(DATOS!$I8042,CONFIG_ASIGNATURAS!$B$2:$J$91,9,FALSE()),""))</f>
      </c>
    </row>
    <row r="8043">
      <c r="F8043">
        <f>IF(DATOS!$A8043="","",DATOS!$A8043&amp;"|"&amp;DATOS!$D8043&amp;"|"&amp;DATOS!$E8043&amp;"|"&amp;DATOS!$I8043)</f>
      </c>
      <c r="G8043">
        <f>IF(DATOS!$A8043="",0,IF(CONFIG_METADATA!$B$4&lt;&gt;"OR+EX",--(DATOS!$G8043=CONFIG_METADATA!$B$4),IF(DATOS!$G8043="EX",1,IF(DATOS!$G8043="OR",--(COUNTIFS(nNIA,DATOS!$A8043,nCURSO,DATOS!$D8043,nESPEC,DATOS!$E8043,nASIG,DATOS!$I8043,nEVAL,"EX")=0),0))))</f>
      </c>
      <c r="H8043">
        <f>IF(DATOS!$G8043&lt;&gt;"EX",0,--(COUNTIFS(nNIA,DATOS!$A8043,nCURSO,DATOS!$D8043,nESPEC,DATOS!$E8043,nASIG,DATOS!$I8043,nEVAL,"OR")=0))</f>
      </c>
      <c r="I8043">
        <f>IF(DATOS!$I8043="","",IFERROR(VLOOKUP(DATOS!$I8043,CONFIG_ASIGNATURAS!$B$2:$J$91,9,FALSE()),""))</f>
      </c>
    </row>
    <row r="8044">
      <c r="F8044">
        <f>IF(DATOS!$A8044="","",DATOS!$A8044&amp;"|"&amp;DATOS!$D8044&amp;"|"&amp;DATOS!$E8044&amp;"|"&amp;DATOS!$I8044)</f>
      </c>
      <c r="G8044">
        <f>IF(DATOS!$A8044="",0,IF(CONFIG_METADATA!$B$4&lt;&gt;"OR+EX",--(DATOS!$G8044=CONFIG_METADATA!$B$4),IF(DATOS!$G8044="EX",1,IF(DATOS!$G8044="OR",--(COUNTIFS(nNIA,DATOS!$A8044,nCURSO,DATOS!$D8044,nESPEC,DATOS!$E8044,nASIG,DATOS!$I8044,nEVAL,"EX")=0),0))))</f>
      </c>
      <c r="H8044">
        <f>IF(DATOS!$G8044&lt;&gt;"EX",0,--(COUNTIFS(nNIA,DATOS!$A8044,nCURSO,DATOS!$D8044,nESPEC,DATOS!$E8044,nASIG,DATOS!$I8044,nEVAL,"OR")=0))</f>
      </c>
      <c r="I8044">
        <f>IF(DATOS!$I8044="","",IFERROR(VLOOKUP(DATOS!$I8044,CONFIG_ASIGNATURAS!$B$2:$J$91,9,FALSE()),""))</f>
      </c>
    </row>
    <row r="8045">
      <c r="F8045">
        <f>IF(DATOS!$A8045="","",DATOS!$A8045&amp;"|"&amp;DATOS!$D8045&amp;"|"&amp;DATOS!$E8045&amp;"|"&amp;DATOS!$I8045)</f>
      </c>
      <c r="G8045">
        <f>IF(DATOS!$A8045="",0,IF(CONFIG_METADATA!$B$4&lt;&gt;"OR+EX",--(DATOS!$G8045=CONFIG_METADATA!$B$4),IF(DATOS!$G8045="EX",1,IF(DATOS!$G8045="OR",--(COUNTIFS(nNIA,DATOS!$A8045,nCURSO,DATOS!$D8045,nESPEC,DATOS!$E8045,nASIG,DATOS!$I8045,nEVAL,"EX")=0),0))))</f>
      </c>
      <c r="H8045">
        <f>IF(DATOS!$G8045&lt;&gt;"EX",0,--(COUNTIFS(nNIA,DATOS!$A8045,nCURSO,DATOS!$D8045,nESPEC,DATOS!$E8045,nASIG,DATOS!$I8045,nEVAL,"OR")=0))</f>
      </c>
      <c r="I8045">
        <f>IF(DATOS!$I8045="","",IFERROR(VLOOKUP(DATOS!$I8045,CONFIG_ASIGNATURAS!$B$2:$J$91,9,FALSE()),""))</f>
      </c>
    </row>
    <row r="8046">
      <c r="F8046">
        <f>IF(DATOS!$A8046="","",DATOS!$A8046&amp;"|"&amp;DATOS!$D8046&amp;"|"&amp;DATOS!$E8046&amp;"|"&amp;DATOS!$I8046)</f>
      </c>
      <c r="G8046">
        <f>IF(DATOS!$A8046="",0,IF(CONFIG_METADATA!$B$4&lt;&gt;"OR+EX",--(DATOS!$G8046=CONFIG_METADATA!$B$4),IF(DATOS!$G8046="EX",1,IF(DATOS!$G8046="OR",--(COUNTIFS(nNIA,DATOS!$A8046,nCURSO,DATOS!$D8046,nESPEC,DATOS!$E8046,nASIG,DATOS!$I8046,nEVAL,"EX")=0),0))))</f>
      </c>
      <c r="H8046">
        <f>IF(DATOS!$G8046&lt;&gt;"EX",0,--(COUNTIFS(nNIA,DATOS!$A8046,nCURSO,DATOS!$D8046,nESPEC,DATOS!$E8046,nASIG,DATOS!$I8046,nEVAL,"OR")=0))</f>
      </c>
      <c r="I8046">
        <f>IF(DATOS!$I8046="","",IFERROR(VLOOKUP(DATOS!$I8046,CONFIG_ASIGNATURAS!$B$2:$J$91,9,FALSE()),""))</f>
      </c>
    </row>
    <row r="8047">
      <c r="F8047">
        <f>IF(DATOS!$A8047="","",DATOS!$A8047&amp;"|"&amp;DATOS!$D8047&amp;"|"&amp;DATOS!$E8047&amp;"|"&amp;DATOS!$I8047)</f>
      </c>
      <c r="G8047">
        <f>IF(DATOS!$A8047="",0,IF(CONFIG_METADATA!$B$4&lt;&gt;"OR+EX",--(DATOS!$G8047=CONFIG_METADATA!$B$4),IF(DATOS!$G8047="EX",1,IF(DATOS!$G8047="OR",--(COUNTIFS(nNIA,DATOS!$A8047,nCURSO,DATOS!$D8047,nESPEC,DATOS!$E8047,nASIG,DATOS!$I8047,nEVAL,"EX")=0),0))))</f>
      </c>
      <c r="H8047">
        <f>IF(DATOS!$G8047&lt;&gt;"EX",0,--(COUNTIFS(nNIA,DATOS!$A8047,nCURSO,DATOS!$D8047,nESPEC,DATOS!$E8047,nASIG,DATOS!$I8047,nEVAL,"OR")=0))</f>
      </c>
      <c r="I8047">
        <f>IF(DATOS!$I8047="","",IFERROR(VLOOKUP(DATOS!$I8047,CONFIG_ASIGNATURAS!$B$2:$J$91,9,FALSE()),""))</f>
      </c>
    </row>
    <row r="8048">
      <c r="F8048">
        <f>IF(DATOS!$A8048="","",DATOS!$A8048&amp;"|"&amp;DATOS!$D8048&amp;"|"&amp;DATOS!$E8048&amp;"|"&amp;DATOS!$I8048)</f>
      </c>
      <c r="G8048">
        <f>IF(DATOS!$A8048="",0,IF(CONFIG_METADATA!$B$4&lt;&gt;"OR+EX",--(DATOS!$G8048=CONFIG_METADATA!$B$4),IF(DATOS!$G8048="EX",1,IF(DATOS!$G8048="OR",--(COUNTIFS(nNIA,DATOS!$A8048,nCURSO,DATOS!$D8048,nESPEC,DATOS!$E8048,nASIG,DATOS!$I8048,nEVAL,"EX")=0),0))))</f>
      </c>
      <c r="H8048">
        <f>IF(DATOS!$G8048&lt;&gt;"EX",0,--(COUNTIFS(nNIA,DATOS!$A8048,nCURSO,DATOS!$D8048,nESPEC,DATOS!$E8048,nASIG,DATOS!$I8048,nEVAL,"OR")=0))</f>
      </c>
      <c r="I8048">
        <f>IF(DATOS!$I8048="","",IFERROR(VLOOKUP(DATOS!$I8048,CONFIG_ASIGNATURAS!$B$2:$J$91,9,FALSE()),""))</f>
      </c>
    </row>
    <row r="8049">
      <c r="F8049">
        <f>IF(DATOS!$A8049="","",DATOS!$A8049&amp;"|"&amp;DATOS!$D8049&amp;"|"&amp;DATOS!$E8049&amp;"|"&amp;DATOS!$I8049)</f>
      </c>
      <c r="G8049">
        <f>IF(DATOS!$A8049="",0,IF(CONFIG_METADATA!$B$4&lt;&gt;"OR+EX",--(DATOS!$G8049=CONFIG_METADATA!$B$4),IF(DATOS!$G8049="EX",1,IF(DATOS!$G8049="OR",--(COUNTIFS(nNIA,DATOS!$A8049,nCURSO,DATOS!$D8049,nESPEC,DATOS!$E8049,nASIG,DATOS!$I8049,nEVAL,"EX")=0),0))))</f>
      </c>
      <c r="H8049">
        <f>IF(DATOS!$G8049&lt;&gt;"EX",0,--(COUNTIFS(nNIA,DATOS!$A8049,nCURSO,DATOS!$D8049,nESPEC,DATOS!$E8049,nASIG,DATOS!$I8049,nEVAL,"OR")=0))</f>
      </c>
      <c r="I8049">
        <f>IF(DATOS!$I8049="","",IFERROR(VLOOKUP(DATOS!$I8049,CONFIG_ASIGNATURAS!$B$2:$J$91,9,FALSE()),""))</f>
      </c>
    </row>
    <row r="8050">
      <c r="F8050">
        <f>IF(DATOS!$A8050="","",DATOS!$A8050&amp;"|"&amp;DATOS!$D8050&amp;"|"&amp;DATOS!$E8050&amp;"|"&amp;DATOS!$I8050)</f>
      </c>
      <c r="G8050">
        <f>IF(DATOS!$A8050="",0,IF(CONFIG_METADATA!$B$4&lt;&gt;"OR+EX",--(DATOS!$G8050=CONFIG_METADATA!$B$4),IF(DATOS!$G8050="EX",1,IF(DATOS!$G8050="OR",--(COUNTIFS(nNIA,DATOS!$A8050,nCURSO,DATOS!$D8050,nESPEC,DATOS!$E8050,nASIG,DATOS!$I8050,nEVAL,"EX")=0),0))))</f>
      </c>
      <c r="H8050">
        <f>IF(DATOS!$G8050&lt;&gt;"EX",0,--(COUNTIFS(nNIA,DATOS!$A8050,nCURSO,DATOS!$D8050,nESPEC,DATOS!$E8050,nASIG,DATOS!$I8050,nEVAL,"OR")=0))</f>
      </c>
      <c r="I8050">
        <f>IF(DATOS!$I8050="","",IFERROR(VLOOKUP(DATOS!$I8050,CONFIG_ASIGNATURAS!$B$2:$J$91,9,FALSE()),""))</f>
      </c>
    </row>
    <row r="8051">
      <c r="F8051">
        <f>IF(DATOS!$A8051="","",DATOS!$A8051&amp;"|"&amp;DATOS!$D8051&amp;"|"&amp;DATOS!$E8051&amp;"|"&amp;DATOS!$I8051)</f>
      </c>
      <c r="G8051">
        <f>IF(DATOS!$A8051="",0,IF(CONFIG_METADATA!$B$4&lt;&gt;"OR+EX",--(DATOS!$G8051=CONFIG_METADATA!$B$4),IF(DATOS!$G8051="EX",1,IF(DATOS!$G8051="OR",--(COUNTIFS(nNIA,DATOS!$A8051,nCURSO,DATOS!$D8051,nESPEC,DATOS!$E8051,nASIG,DATOS!$I8051,nEVAL,"EX")=0),0))))</f>
      </c>
      <c r="H8051">
        <f>IF(DATOS!$G8051&lt;&gt;"EX",0,--(COUNTIFS(nNIA,DATOS!$A8051,nCURSO,DATOS!$D8051,nESPEC,DATOS!$E8051,nASIG,DATOS!$I8051,nEVAL,"OR")=0))</f>
      </c>
      <c r="I8051">
        <f>IF(DATOS!$I8051="","",IFERROR(VLOOKUP(DATOS!$I8051,CONFIG_ASIGNATURAS!$B$2:$J$91,9,FALSE()),""))</f>
      </c>
    </row>
    <row r="8052">
      <c r="F8052">
        <f>IF(DATOS!$A8052="","",DATOS!$A8052&amp;"|"&amp;DATOS!$D8052&amp;"|"&amp;DATOS!$E8052&amp;"|"&amp;DATOS!$I8052)</f>
      </c>
      <c r="G8052">
        <f>IF(DATOS!$A8052="",0,IF(CONFIG_METADATA!$B$4&lt;&gt;"OR+EX",--(DATOS!$G8052=CONFIG_METADATA!$B$4),IF(DATOS!$G8052="EX",1,IF(DATOS!$G8052="OR",--(COUNTIFS(nNIA,DATOS!$A8052,nCURSO,DATOS!$D8052,nESPEC,DATOS!$E8052,nASIG,DATOS!$I8052,nEVAL,"EX")=0),0))))</f>
      </c>
      <c r="H8052">
        <f>IF(DATOS!$G8052&lt;&gt;"EX",0,--(COUNTIFS(nNIA,DATOS!$A8052,nCURSO,DATOS!$D8052,nESPEC,DATOS!$E8052,nASIG,DATOS!$I8052,nEVAL,"OR")=0))</f>
      </c>
      <c r="I8052">
        <f>IF(DATOS!$I8052="","",IFERROR(VLOOKUP(DATOS!$I8052,CONFIG_ASIGNATURAS!$B$2:$J$91,9,FALSE()),""))</f>
      </c>
    </row>
    <row r="8053">
      <c r="F8053">
        <f>IF(DATOS!$A8053="","",DATOS!$A8053&amp;"|"&amp;DATOS!$D8053&amp;"|"&amp;DATOS!$E8053&amp;"|"&amp;DATOS!$I8053)</f>
      </c>
      <c r="G8053">
        <f>IF(DATOS!$A8053="",0,IF(CONFIG_METADATA!$B$4&lt;&gt;"OR+EX",--(DATOS!$G8053=CONFIG_METADATA!$B$4),IF(DATOS!$G8053="EX",1,IF(DATOS!$G8053="OR",--(COUNTIFS(nNIA,DATOS!$A8053,nCURSO,DATOS!$D8053,nESPEC,DATOS!$E8053,nASIG,DATOS!$I8053,nEVAL,"EX")=0),0))))</f>
      </c>
      <c r="H8053">
        <f>IF(DATOS!$G8053&lt;&gt;"EX",0,--(COUNTIFS(nNIA,DATOS!$A8053,nCURSO,DATOS!$D8053,nESPEC,DATOS!$E8053,nASIG,DATOS!$I8053,nEVAL,"OR")=0))</f>
      </c>
      <c r="I8053">
        <f>IF(DATOS!$I8053="","",IFERROR(VLOOKUP(DATOS!$I8053,CONFIG_ASIGNATURAS!$B$2:$J$91,9,FALSE()),""))</f>
      </c>
    </row>
    <row r="8054">
      <c r="F8054">
        <f>IF(DATOS!$A8054="","",DATOS!$A8054&amp;"|"&amp;DATOS!$D8054&amp;"|"&amp;DATOS!$E8054&amp;"|"&amp;DATOS!$I8054)</f>
      </c>
      <c r="G8054">
        <f>IF(DATOS!$A8054="",0,IF(CONFIG_METADATA!$B$4&lt;&gt;"OR+EX",--(DATOS!$G8054=CONFIG_METADATA!$B$4),IF(DATOS!$G8054="EX",1,IF(DATOS!$G8054="OR",--(COUNTIFS(nNIA,DATOS!$A8054,nCURSO,DATOS!$D8054,nESPEC,DATOS!$E8054,nASIG,DATOS!$I8054,nEVAL,"EX")=0),0))))</f>
      </c>
      <c r="H8054">
        <f>IF(DATOS!$G8054&lt;&gt;"EX",0,--(COUNTIFS(nNIA,DATOS!$A8054,nCURSO,DATOS!$D8054,nESPEC,DATOS!$E8054,nASIG,DATOS!$I8054,nEVAL,"OR")=0))</f>
      </c>
      <c r="I8054">
        <f>IF(DATOS!$I8054="","",IFERROR(VLOOKUP(DATOS!$I8054,CONFIG_ASIGNATURAS!$B$2:$J$91,9,FALSE()),""))</f>
      </c>
    </row>
    <row r="8055">
      <c r="F8055">
        <f>IF(DATOS!$A8055="","",DATOS!$A8055&amp;"|"&amp;DATOS!$D8055&amp;"|"&amp;DATOS!$E8055&amp;"|"&amp;DATOS!$I8055)</f>
      </c>
      <c r="G8055">
        <f>IF(DATOS!$A8055="",0,IF(CONFIG_METADATA!$B$4&lt;&gt;"OR+EX",--(DATOS!$G8055=CONFIG_METADATA!$B$4),IF(DATOS!$G8055="EX",1,IF(DATOS!$G8055="OR",--(COUNTIFS(nNIA,DATOS!$A8055,nCURSO,DATOS!$D8055,nESPEC,DATOS!$E8055,nASIG,DATOS!$I8055,nEVAL,"EX")=0),0))))</f>
      </c>
      <c r="H8055">
        <f>IF(DATOS!$G8055&lt;&gt;"EX",0,--(COUNTIFS(nNIA,DATOS!$A8055,nCURSO,DATOS!$D8055,nESPEC,DATOS!$E8055,nASIG,DATOS!$I8055,nEVAL,"OR")=0))</f>
      </c>
      <c r="I8055">
        <f>IF(DATOS!$I8055="","",IFERROR(VLOOKUP(DATOS!$I8055,CONFIG_ASIGNATURAS!$B$2:$J$91,9,FALSE()),""))</f>
      </c>
    </row>
    <row r="8056">
      <c r="F8056">
        <f>IF(DATOS!$A8056="","",DATOS!$A8056&amp;"|"&amp;DATOS!$D8056&amp;"|"&amp;DATOS!$E8056&amp;"|"&amp;DATOS!$I8056)</f>
      </c>
      <c r="G8056">
        <f>IF(DATOS!$A8056="",0,IF(CONFIG_METADATA!$B$4&lt;&gt;"OR+EX",--(DATOS!$G8056=CONFIG_METADATA!$B$4),IF(DATOS!$G8056="EX",1,IF(DATOS!$G8056="OR",--(COUNTIFS(nNIA,DATOS!$A8056,nCURSO,DATOS!$D8056,nESPEC,DATOS!$E8056,nASIG,DATOS!$I8056,nEVAL,"EX")=0),0))))</f>
      </c>
      <c r="H8056">
        <f>IF(DATOS!$G8056&lt;&gt;"EX",0,--(COUNTIFS(nNIA,DATOS!$A8056,nCURSO,DATOS!$D8056,nESPEC,DATOS!$E8056,nASIG,DATOS!$I8056,nEVAL,"OR")=0))</f>
      </c>
      <c r="I8056">
        <f>IF(DATOS!$I8056="","",IFERROR(VLOOKUP(DATOS!$I8056,CONFIG_ASIGNATURAS!$B$2:$J$91,9,FALSE()),""))</f>
      </c>
    </row>
    <row r="8057">
      <c r="F8057">
        <f>IF(DATOS!$A8057="","",DATOS!$A8057&amp;"|"&amp;DATOS!$D8057&amp;"|"&amp;DATOS!$E8057&amp;"|"&amp;DATOS!$I8057)</f>
      </c>
      <c r="G8057">
        <f>IF(DATOS!$A8057="",0,IF(CONFIG_METADATA!$B$4&lt;&gt;"OR+EX",--(DATOS!$G8057=CONFIG_METADATA!$B$4),IF(DATOS!$G8057="EX",1,IF(DATOS!$G8057="OR",--(COUNTIFS(nNIA,DATOS!$A8057,nCURSO,DATOS!$D8057,nESPEC,DATOS!$E8057,nASIG,DATOS!$I8057,nEVAL,"EX")=0),0))))</f>
      </c>
      <c r="H8057">
        <f>IF(DATOS!$G8057&lt;&gt;"EX",0,--(COUNTIFS(nNIA,DATOS!$A8057,nCURSO,DATOS!$D8057,nESPEC,DATOS!$E8057,nASIG,DATOS!$I8057,nEVAL,"OR")=0))</f>
      </c>
      <c r="I8057">
        <f>IF(DATOS!$I8057="","",IFERROR(VLOOKUP(DATOS!$I8057,CONFIG_ASIGNATURAS!$B$2:$J$91,9,FALSE()),""))</f>
      </c>
    </row>
    <row r="8058">
      <c r="F8058">
        <f>IF(DATOS!$A8058="","",DATOS!$A8058&amp;"|"&amp;DATOS!$D8058&amp;"|"&amp;DATOS!$E8058&amp;"|"&amp;DATOS!$I8058)</f>
      </c>
      <c r="G8058">
        <f>IF(DATOS!$A8058="",0,IF(CONFIG_METADATA!$B$4&lt;&gt;"OR+EX",--(DATOS!$G8058=CONFIG_METADATA!$B$4),IF(DATOS!$G8058="EX",1,IF(DATOS!$G8058="OR",--(COUNTIFS(nNIA,DATOS!$A8058,nCURSO,DATOS!$D8058,nESPEC,DATOS!$E8058,nASIG,DATOS!$I8058,nEVAL,"EX")=0),0))))</f>
      </c>
      <c r="H8058">
        <f>IF(DATOS!$G8058&lt;&gt;"EX",0,--(COUNTIFS(nNIA,DATOS!$A8058,nCURSO,DATOS!$D8058,nESPEC,DATOS!$E8058,nASIG,DATOS!$I8058,nEVAL,"OR")=0))</f>
      </c>
      <c r="I8058">
        <f>IF(DATOS!$I8058="","",IFERROR(VLOOKUP(DATOS!$I8058,CONFIG_ASIGNATURAS!$B$2:$J$91,9,FALSE()),""))</f>
      </c>
    </row>
    <row r="8059">
      <c r="F8059">
        <f>IF(DATOS!$A8059="","",DATOS!$A8059&amp;"|"&amp;DATOS!$D8059&amp;"|"&amp;DATOS!$E8059&amp;"|"&amp;DATOS!$I8059)</f>
      </c>
      <c r="G8059">
        <f>IF(DATOS!$A8059="",0,IF(CONFIG_METADATA!$B$4&lt;&gt;"OR+EX",--(DATOS!$G8059=CONFIG_METADATA!$B$4),IF(DATOS!$G8059="EX",1,IF(DATOS!$G8059="OR",--(COUNTIFS(nNIA,DATOS!$A8059,nCURSO,DATOS!$D8059,nESPEC,DATOS!$E8059,nASIG,DATOS!$I8059,nEVAL,"EX")=0),0))))</f>
      </c>
      <c r="H8059">
        <f>IF(DATOS!$G8059&lt;&gt;"EX",0,--(COUNTIFS(nNIA,DATOS!$A8059,nCURSO,DATOS!$D8059,nESPEC,DATOS!$E8059,nASIG,DATOS!$I8059,nEVAL,"OR")=0))</f>
      </c>
      <c r="I8059">
        <f>IF(DATOS!$I8059="","",IFERROR(VLOOKUP(DATOS!$I8059,CONFIG_ASIGNATURAS!$B$2:$J$91,9,FALSE()),""))</f>
      </c>
    </row>
    <row r="8060">
      <c r="F8060">
        <f>IF(DATOS!$A8060="","",DATOS!$A8060&amp;"|"&amp;DATOS!$D8060&amp;"|"&amp;DATOS!$E8060&amp;"|"&amp;DATOS!$I8060)</f>
      </c>
      <c r="G8060">
        <f>IF(DATOS!$A8060="",0,IF(CONFIG_METADATA!$B$4&lt;&gt;"OR+EX",--(DATOS!$G8060=CONFIG_METADATA!$B$4),IF(DATOS!$G8060="EX",1,IF(DATOS!$G8060="OR",--(COUNTIFS(nNIA,DATOS!$A8060,nCURSO,DATOS!$D8060,nESPEC,DATOS!$E8060,nASIG,DATOS!$I8060,nEVAL,"EX")=0),0))))</f>
      </c>
      <c r="H8060">
        <f>IF(DATOS!$G8060&lt;&gt;"EX",0,--(COUNTIFS(nNIA,DATOS!$A8060,nCURSO,DATOS!$D8060,nESPEC,DATOS!$E8060,nASIG,DATOS!$I8060,nEVAL,"OR")=0))</f>
      </c>
      <c r="I8060">
        <f>IF(DATOS!$I8060="","",IFERROR(VLOOKUP(DATOS!$I8060,CONFIG_ASIGNATURAS!$B$2:$J$91,9,FALSE()),""))</f>
      </c>
    </row>
    <row r="8061">
      <c r="F8061">
        <f>IF(DATOS!$A8061="","",DATOS!$A8061&amp;"|"&amp;DATOS!$D8061&amp;"|"&amp;DATOS!$E8061&amp;"|"&amp;DATOS!$I8061)</f>
      </c>
      <c r="G8061">
        <f>IF(DATOS!$A8061="",0,IF(CONFIG_METADATA!$B$4&lt;&gt;"OR+EX",--(DATOS!$G8061=CONFIG_METADATA!$B$4),IF(DATOS!$G8061="EX",1,IF(DATOS!$G8061="OR",--(COUNTIFS(nNIA,DATOS!$A8061,nCURSO,DATOS!$D8061,nESPEC,DATOS!$E8061,nASIG,DATOS!$I8061,nEVAL,"EX")=0),0))))</f>
      </c>
      <c r="H8061">
        <f>IF(DATOS!$G8061&lt;&gt;"EX",0,--(COUNTIFS(nNIA,DATOS!$A8061,nCURSO,DATOS!$D8061,nESPEC,DATOS!$E8061,nASIG,DATOS!$I8061,nEVAL,"OR")=0))</f>
      </c>
      <c r="I8061">
        <f>IF(DATOS!$I8061="","",IFERROR(VLOOKUP(DATOS!$I8061,CONFIG_ASIGNATURAS!$B$2:$J$91,9,FALSE()),""))</f>
      </c>
    </row>
    <row r="8062">
      <c r="F8062">
        <f>IF(DATOS!$A8062="","",DATOS!$A8062&amp;"|"&amp;DATOS!$D8062&amp;"|"&amp;DATOS!$E8062&amp;"|"&amp;DATOS!$I8062)</f>
      </c>
      <c r="G8062">
        <f>IF(DATOS!$A8062="",0,IF(CONFIG_METADATA!$B$4&lt;&gt;"OR+EX",--(DATOS!$G8062=CONFIG_METADATA!$B$4),IF(DATOS!$G8062="EX",1,IF(DATOS!$G8062="OR",--(COUNTIFS(nNIA,DATOS!$A8062,nCURSO,DATOS!$D8062,nESPEC,DATOS!$E8062,nASIG,DATOS!$I8062,nEVAL,"EX")=0),0))))</f>
      </c>
      <c r="H8062">
        <f>IF(DATOS!$G8062&lt;&gt;"EX",0,--(COUNTIFS(nNIA,DATOS!$A8062,nCURSO,DATOS!$D8062,nESPEC,DATOS!$E8062,nASIG,DATOS!$I8062,nEVAL,"OR")=0))</f>
      </c>
      <c r="I8062">
        <f>IF(DATOS!$I8062="","",IFERROR(VLOOKUP(DATOS!$I8062,CONFIG_ASIGNATURAS!$B$2:$J$91,9,FALSE()),""))</f>
      </c>
    </row>
    <row r="8063">
      <c r="F8063">
        <f>IF(DATOS!$A8063="","",DATOS!$A8063&amp;"|"&amp;DATOS!$D8063&amp;"|"&amp;DATOS!$E8063&amp;"|"&amp;DATOS!$I8063)</f>
      </c>
      <c r="G8063">
        <f>IF(DATOS!$A8063="",0,IF(CONFIG_METADATA!$B$4&lt;&gt;"OR+EX",--(DATOS!$G8063=CONFIG_METADATA!$B$4),IF(DATOS!$G8063="EX",1,IF(DATOS!$G8063="OR",--(COUNTIFS(nNIA,DATOS!$A8063,nCURSO,DATOS!$D8063,nESPEC,DATOS!$E8063,nASIG,DATOS!$I8063,nEVAL,"EX")=0),0))))</f>
      </c>
      <c r="H8063">
        <f>IF(DATOS!$G8063&lt;&gt;"EX",0,--(COUNTIFS(nNIA,DATOS!$A8063,nCURSO,DATOS!$D8063,nESPEC,DATOS!$E8063,nASIG,DATOS!$I8063,nEVAL,"OR")=0))</f>
      </c>
      <c r="I8063">
        <f>IF(DATOS!$I8063="","",IFERROR(VLOOKUP(DATOS!$I8063,CONFIG_ASIGNATURAS!$B$2:$J$91,9,FALSE()),""))</f>
      </c>
    </row>
    <row r="8064">
      <c r="F8064">
        <f>IF(DATOS!$A8064="","",DATOS!$A8064&amp;"|"&amp;DATOS!$D8064&amp;"|"&amp;DATOS!$E8064&amp;"|"&amp;DATOS!$I8064)</f>
      </c>
      <c r="G8064">
        <f>IF(DATOS!$A8064="",0,IF(CONFIG_METADATA!$B$4&lt;&gt;"OR+EX",--(DATOS!$G8064=CONFIG_METADATA!$B$4),IF(DATOS!$G8064="EX",1,IF(DATOS!$G8064="OR",--(COUNTIFS(nNIA,DATOS!$A8064,nCURSO,DATOS!$D8064,nESPEC,DATOS!$E8064,nASIG,DATOS!$I8064,nEVAL,"EX")=0),0))))</f>
      </c>
      <c r="H8064">
        <f>IF(DATOS!$G8064&lt;&gt;"EX",0,--(COUNTIFS(nNIA,DATOS!$A8064,nCURSO,DATOS!$D8064,nESPEC,DATOS!$E8064,nASIG,DATOS!$I8064,nEVAL,"OR")=0))</f>
      </c>
      <c r="I8064">
        <f>IF(DATOS!$I8064="","",IFERROR(VLOOKUP(DATOS!$I8064,CONFIG_ASIGNATURAS!$B$2:$J$91,9,FALSE()),""))</f>
      </c>
    </row>
    <row r="8065">
      <c r="F8065">
        <f>IF(DATOS!$A8065="","",DATOS!$A8065&amp;"|"&amp;DATOS!$D8065&amp;"|"&amp;DATOS!$E8065&amp;"|"&amp;DATOS!$I8065)</f>
      </c>
      <c r="G8065">
        <f>IF(DATOS!$A8065="",0,IF(CONFIG_METADATA!$B$4&lt;&gt;"OR+EX",--(DATOS!$G8065=CONFIG_METADATA!$B$4),IF(DATOS!$G8065="EX",1,IF(DATOS!$G8065="OR",--(COUNTIFS(nNIA,DATOS!$A8065,nCURSO,DATOS!$D8065,nESPEC,DATOS!$E8065,nASIG,DATOS!$I8065,nEVAL,"EX")=0),0))))</f>
      </c>
      <c r="H8065">
        <f>IF(DATOS!$G8065&lt;&gt;"EX",0,--(COUNTIFS(nNIA,DATOS!$A8065,nCURSO,DATOS!$D8065,nESPEC,DATOS!$E8065,nASIG,DATOS!$I8065,nEVAL,"OR")=0))</f>
      </c>
      <c r="I8065">
        <f>IF(DATOS!$I8065="","",IFERROR(VLOOKUP(DATOS!$I8065,CONFIG_ASIGNATURAS!$B$2:$J$91,9,FALSE()),""))</f>
      </c>
    </row>
    <row r="8066">
      <c r="F8066">
        <f>IF(DATOS!$A8066="","",DATOS!$A8066&amp;"|"&amp;DATOS!$D8066&amp;"|"&amp;DATOS!$E8066&amp;"|"&amp;DATOS!$I8066)</f>
      </c>
      <c r="G8066">
        <f>IF(DATOS!$A8066="",0,IF(CONFIG_METADATA!$B$4&lt;&gt;"OR+EX",--(DATOS!$G8066=CONFIG_METADATA!$B$4),IF(DATOS!$G8066="EX",1,IF(DATOS!$G8066="OR",--(COUNTIFS(nNIA,DATOS!$A8066,nCURSO,DATOS!$D8066,nESPEC,DATOS!$E8066,nASIG,DATOS!$I8066,nEVAL,"EX")=0),0))))</f>
      </c>
      <c r="H8066">
        <f>IF(DATOS!$G8066&lt;&gt;"EX",0,--(COUNTIFS(nNIA,DATOS!$A8066,nCURSO,DATOS!$D8066,nESPEC,DATOS!$E8066,nASIG,DATOS!$I8066,nEVAL,"OR")=0))</f>
      </c>
      <c r="I8066">
        <f>IF(DATOS!$I8066="","",IFERROR(VLOOKUP(DATOS!$I8066,CONFIG_ASIGNATURAS!$B$2:$J$91,9,FALSE()),""))</f>
      </c>
    </row>
    <row r="8067">
      <c r="F8067">
        <f>IF(DATOS!$A8067="","",DATOS!$A8067&amp;"|"&amp;DATOS!$D8067&amp;"|"&amp;DATOS!$E8067&amp;"|"&amp;DATOS!$I8067)</f>
      </c>
      <c r="G8067">
        <f>IF(DATOS!$A8067="",0,IF(CONFIG_METADATA!$B$4&lt;&gt;"OR+EX",--(DATOS!$G8067=CONFIG_METADATA!$B$4),IF(DATOS!$G8067="EX",1,IF(DATOS!$G8067="OR",--(COUNTIFS(nNIA,DATOS!$A8067,nCURSO,DATOS!$D8067,nESPEC,DATOS!$E8067,nASIG,DATOS!$I8067,nEVAL,"EX")=0),0))))</f>
      </c>
      <c r="H8067">
        <f>IF(DATOS!$G8067&lt;&gt;"EX",0,--(COUNTIFS(nNIA,DATOS!$A8067,nCURSO,DATOS!$D8067,nESPEC,DATOS!$E8067,nASIG,DATOS!$I8067,nEVAL,"OR")=0))</f>
      </c>
      <c r="I8067">
        <f>IF(DATOS!$I8067="","",IFERROR(VLOOKUP(DATOS!$I8067,CONFIG_ASIGNATURAS!$B$2:$J$91,9,FALSE()),""))</f>
      </c>
    </row>
    <row r="8068">
      <c r="F8068">
        <f>IF(DATOS!$A8068="","",DATOS!$A8068&amp;"|"&amp;DATOS!$D8068&amp;"|"&amp;DATOS!$E8068&amp;"|"&amp;DATOS!$I8068)</f>
      </c>
      <c r="G8068">
        <f>IF(DATOS!$A8068="",0,IF(CONFIG_METADATA!$B$4&lt;&gt;"OR+EX",--(DATOS!$G8068=CONFIG_METADATA!$B$4),IF(DATOS!$G8068="EX",1,IF(DATOS!$G8068="OR",--(COUNTIFS(nNIA,DATOS!$A8068,nCURSO,DATOS!$D8068,nESPEC,DATOS!$E8068,nASIG,DATOS!$I8068,nEVAL,"EX")=0),0))))</f>
      </c>
      <c r="H8068">
        <f>IF(DATOS!$G8068&lt;&gt;"EX",0,--(COUNTIFS(nNIA,DATOS!$A8068,nCURSO,DATOS!$D8068,nESPEC,DATOS!$E8068,nASIG,DATOS!$I8068,nEVAL,"OR")=0))</f>
      </c>
      <c r="I8068">
        <f>IF(DATOS!$I8068="","",IFERROR(VLOOKUP(DATOS!$I8068,CONFIG_ASIGNATURAS!$B$2:$J$91,9,FALSE()),""))</f>
      </c>
    </row>
    <row r="8069">
      <c r="F8069">
        <f>IF(DATOS!$A8069="","",DATOS!$A8069&amp;"|"&amp;DATOS!$D8069&amp;"|"&amp;DATOS!$E8069&amp;"|"&amp;DATOS!$I8069)</f>
      </c>
      <c r="G8069">
        <f>IF(DATOS!$A8069="",0,IF(CONFIG_METADATA!$B$4&lt;&gt;"OR+EX",--(DATOS!$G8069=CONFIG_METADATA!$B$4),IF(DATOS!$G8069="EX",1,IF(DATOS!$G8069="OR",--(COUNTIFS(nNIA,DATOS!$A8069,nCURSO,DATOS!$D8069,nESPEC,DATOS!$E8069,nASIG,DATOS!$I8069,nEVAL,"EX")=0),0))))</f>
      </c>
      <c r="H8069">
        <f>IF(DATOS!$G8069&lt;&gt;"EX",0,--(COUNTIFS(nNIA,DATOS!$A8069,nCURSO,DATOS!$D8069,nESPEC,DATOS!$E8069,nASIG,DATOS!$I8069,nEVAL,"OR")=0))</f>
      </c>
      <c r="I8069">
        <f>IF(DATOS!$I8069="","",IFERROR(VLOOKUP(DATOS!$I8069,CONFIG_ASIGNATURAS!$B$2:$J$91,9,FALSE()),""))</f>
      </c>
    </row>
    <row r="8070">
      <c r="F8070">
        <f>IF(DATOS!$A8070="","",DATOS!$A8070&amp;"|"&amp;DATOS!$D8070&amp;"|"&amp;DATOS!$E8070&amp;"|"&amp;DATOS!$I8070)</f>
      </c>
      <c r="G8070">
        <f>IF(DATOS!$A8070="",0,IF(CONFIG_METADATA!$B$4&lt;&gt;"OR+EX",--(DATOS!$G8070=CONFIG_METADATA!$B$4),IF(DATOS!$G8070="EX",1,IF(DATOS!$G8070="OR",--(COUNTIFS(nNIA,DATOS!$A8070,nCURSO,DATOS!$D8070,nESPEC,DATOS!$E8070,nASIG,DATOS!$I8070,nEVAL,"EX")=0),0))))</f>
      </c>
      <c r="H8070">
        <f>IF(DATOS!$G8070&lt;&gt;"EX",0,--(COUNTIFS(nNIA,DATOS!$A8070,nCURSO,DATOS!$D8070,nESPEC,DATOS!$E8070,nASIG,DATOS!$I8070,nEVAL,"OR")=0))</f>
      </c>
      <c r="I8070">
        <f>IF(DATOS!$I8070="","",IFERROR(VLOOKUP(DATOS!$I8070,CONFIG_ASIGNATURAS!$B$2:$J$91,9,FALSE()),""))</f>
      </c>
    </row>
    <row r="8071">
      <c r="F8071">
        <f>IF(DATOS!$A8071="","",DATOS!$A8071&amp;"|"&amp;DATOS!$D8071&amp;"|"&amp;DATOS!$E8071&amp;"|"&amp;DATOS!$I8071)</f>
      </c>
      <c r="G8071">
        <f>IF(DATOS!$A8071="",0,IF(CONFIG_METADATA!$B$4&lt;&gt;"OR+EX",--(DATOS!$G8071=CONFIG_METADATA!$B$4),IF(DATOS!$G8071="EX",1,IF(DATOS!$G8071="OR",--(COUNTIFS(nNIA,DATOS!$A8071,nCURSO,DATOS!$D8071,nESPEC,DATOS!$E8071,nASIG,DATOS!$I8071,nEVAL,"EX")=0),0))))</f>
      </c>
      <c r="H8071">
        <f>IF(DATOS!$G8071&lt;&gt;"EX",0,--(COUNTIFS(nNIA,DATOS!$A8071,nCURSO,DATOS!$D8071,nESPEC,DATOS!$E8071,nASIG,DATOS!$I8071,nEVAL,"OR")=0))</f>
      </c>
      <c r="I8071">
        <f>IF(DATOS!$I8071="","",IFERROR(VLOOKUP(DATOS!$I8071,CONFIG_ASIGNATURAS!$B$2:$J$91,9,FALSE()),""))</f>
      </c>
    </row>
    <row r="8072">
      <c r="F8072">
        <f>IF(DATOS!$A8072="","",DATOS!$A8072&amp;"|"&amp;DATOS!$D8072&amp;"|"&amp;DATOS!$E8072&amp;"|"&amp;DATOS!$I8072)</f>
      </c>
      <c r="G8072">
        <f>IF(DATOS!$A8072="",0,IF(CONFIG_METADATA!$B$4&lt;&gt;"OR+EX",--(DATOS!$G8072=CONFIG_METADATA!$B$4),IF(DATOS!$G8072="EX",1,IF(DATOS!$G8072="OR",--(COUNTIFS(nNIA,DATOS!$A8072,nCURSO,DATOS!$D8072,nESPEC,DATOS!$E8072,nASIG,DATOS!$I8072,nEVAL,"EX")=0),0))))</f>
      </c>
      <c r="H8072">
        <f>IF(DATOS!$G8072&lt;&gt;"EX",0,--(COUNTIFS(nNIA,DATOS!$A8072,nCURSO,DATOS!$D8072,nESPEC,DATOS!$E8072,nASIG,DATOS!$I8072,nEVAL,"OR")=0))</f>
      </c>
      <c r="I8072">
        <f>IF(DATOS!$I8072="","",IFERROR(VLOOKUP(DATOS!$I8072,CONFIG_ASIGNATURAS!$B$2:$J$91,9,FALSE()),""))</f>
      </c>
    </row>
    <row r="8073">
      <c r="F8073">
        <f>IF(DATOS!$A8073="","",DATOS!$A8073&amp;"|"&amp;DATOS!$D8073&amp;"|"&amp;DATOS!$E8073&amp;"|"&amp;DATOS!$I8073)</f>
      </c>
      <c r="G8073">
        <f>IF(DATOS!$A8073="",0,IF(CONFIG_METADATA!$B$4&lt;&gt;"OR+EX",--(DATOS!$G8073=CONFIG_METADATA!$B$4),IF(DATOS!$G8073="EX",1,IF(DATOS!$G8073="OR",--(COUNTIFS(nNIA,DATOS!$A8073,nCURSO,DATOS!$D8073,nESPEC,DATOS!$E8073,nASIG,DATOS!$I8073,nEVAL,"EX")=0),0))))</f>
      </c>
      <c r="H8073">
        <f>IF(DATOS!$G8073&lt;&gt;"EX",0,--(COUNTIFS(nNIA,DATOS!$A8073,nCURSO,DATOS!$D8073,nESPEC,DATOS!$E8073,nASIG,DATOS!$I8073,nEVAL,"OR")=0))</f>
      </c>
      <c r="I8073">
        <f>IF(DATOS!$I8073="","",IFERROR(VLOOKUP(DATOS!$I8073,CONFIG_ASIGNATURAS!$B$2:$J$91,9,FALSE()),""))</f>
      </c>
    </row>
    <row r="8074">
      <c r="F8074">
        <f>IF(DATOS!$A8074="","",DATOS!$A8074&amp;"|"&amp;DATOS!$D8074&amp;"|"&amp;DATOS!$E8074&amp;"|"&amp;DATOS!$I8074)</f>
      </c>
      <c r="G8074">
        <f>IF(DATOS!$A8074="",0,IF(CONFIG_METADATA!$B$4&lt;&gt;"OR+EX",--(DATOS!$G8074=CONFIG_METADATA!$B$4),IF(DATOS!$G8074="EX",1,IF(DATOS!$G8074="OR",--(COUNTIFS(nNIA,DATOS!$A8074,nCURSO,DATOS!$D8074,nESPEC,DATOS!$E8074,nASIG,DATOS!$I8074,nEVAL,"EX")=0),0))))</f>
      </c>
      <c r="H8074">
        <f>IF(DATOS!$G8074&lt;&gt;"EX",0,--(COUNTIFS(nNIA,DATOS!$A8074,nCURSO,DATOS!$D8074,nESPEC,DATOS!$E8074,nASIG,DATOS!$I8074,nEVAL,"OR")=0))</f>
      </c>
      <c r="I8074">
        <f>IF(DATOS!$I8074="","",IFERROR(VLOOKUP(DATOS!$I8074,CONFIG_ASIGNATURAS!$B$2:$J$91,9,FALSE()),""))</f>
      </c>
    </row>
    <row r="8075">
      <c r="F8075">
        <f>IF(DATOS!$A8075="","",DATOS!$A8075&amp;"|"&amp;DATOS!$D8075&amp;"|"&amp;DATOS!$E8075&amp;"|"&amp;DATOS!$I8075)</f>
      </c>
      <c r="G8075">
        <f>IF(DATOS!$A8075="",0,IF(CONFIG_METADATA!$B$4&lt;&gt;"OR+EX",--(DATOS!$G8075=CONFIG_METADATA!$B$4),IF(DATOS!$G8075="EX",1,IF(DATOS!$G8075="OR",--(COUNTIFS(nNIA,DATOS!$A8075,nCURSO,DATOS!$D8075,nESPEC,DATOS!$E8075,nASIG,DATOS!$I8075,nEVAL,"EX")=0),0))))</f>
      </c>
      <c r="H8075">
        <f>IF(DATOS!$G8075&lt;&gt;"EX",0,--(COUNTIFS(nNIA,DATOS!$A8075,nCURSO,DATOS!$D8075,nESPEC,DATOS!$E8075,nASIG,DATOS!$I8075,nEVAL,"OR")=0))</f>
      </c>
      <c r="I8075">
        <f>IF(DATOS!$I8075="","",IFERROR(VLOOKUP(DATOS!$I8075,CONFIG_ASIGNATURAS!$B$2:$J$91,9,FALSE()),""))</f>
      </c>
    </row>
    <row r="8076">
      <c r="F8076">
        <f>IF(DATOS!$A8076="","",DATOS!$A8076&amp;"|"&amp;DATOS!$D8076&amp;"|"&amp;DATOS!$E8076&amp;"|"&amp;DATOS!$I8076)</f>
      </c>
      <c r="G8076">
        <f>IF(DATOS!$A8076="",0,IF(CONFIG_METADATA!$B$4&lt;&gt;"OR+EX",--(DATOS!$G8076=CONFIG_METADATA!$B$4),IF(DATOS!$G8076="EX",1,IF(DATOS!$G8076="OR",--(COUNTIFS(nNIA,DATOS!$A8076,nCURSO,DATOS!$D8076,nESPEC,DATOS!$E8076,nASIG,DATOS!$I8076,nEVAL,"EX")=0),0))))</f>
      </c>
      <c r="H8076">
        <f>IF(DATOS!$G8076&lt;&gt;"EX",0,--(COUNTIFS(nNIA,DATOS!$A8076,nCURSO,DATOS!$D8076,nESPEC,DATOS!$E8076,nASIG,DATOS!$I8076,nEVAL,"OR")=0))</f>
      </c>
      <c r="I8076">
        <f>IF(DATOS!$I8076="","",IFERROR(VLOOKUP(DATOS!$I8076,CONFIG_ASIGNATURAS!$B$2:$J$91,9,FALSE()),""))</f>
      </c>
    </row>
    <row r="8077">
      <c r="F8077">
        <f>IF(DATOS!$A8077="","",DATOS!$A8077&amp;"|"&amp;DATOS!$D8077&amp;"|"&amp;DATOS!$E8077&amp;"|"&amp;DATOS!$I8077)</f>
      </c>
      <c r="G8077">
        <f>IF(DATOS!$A8077="",0,IF(CONFIG_METADATA!$B$4&lt;&gt;"OR+EX",--(DATOS!$G8077=CONFIG_METADATA!$B$4),IF(DATOS!$G8077="EX",1,IF(DATOS!$G8077="OR",--(COUNTIFS(nNIA,DATOS!$A8077,nCURSO,DATOS!$D8077,nESPEC,DATOS!$E8077,nASIG,DATOS!$I8077,nEVAL,"EX")=0),0))))</f>
      </c>
      <c r="H8077">
        <f>IF(DATOS!$G8077&lt;&gt;"EX",0,--(COUNTIFS(nNIA,DATOS!$A8077,nCURSO,DATOS!$D8077,nESPEC,DATOS!$E8077,nASIG,DATOS!$I8077,nEVAL,"OR")=0))</f>
      </c>
      <c r="I8077">
        <f>IF(DATOS!$I8077="","",IFERROR(VLOOKUP(DATOS!$I8077,CONFIG_ASIGNATURAS!$B$2:$J$91,9,FALSE()),""))</f>
      </c>
    </row>
    <row r="8078">
      <c r="F8078">
        <f>IF(DATOS!$A8078="","",DATOS!$A8078&amp;"|"&amp;DATOS!$D8078&amp;"|"&amp;DATOS!$E8078&amp;"|"&amp;DATOS!$I8078)</f>
      </c>
      <c r="G8078">
        <f>IF(DATOS!$A8078="",0,IF(CONFIG_METADATA!$B$4&lt;&gt;"OR+EX",--(DATOS!$G8078=CONFIG_METADATA!$B$4),IF(DATOS!$G8078="EX",1,IF(DATOS!$G8078="OR",--(COUNTIFS(nNIA,DATOS!$A8078,nCURSO,DATOS!$D8078,nESPEC,DATOS!$E8078,nASIG,DATOS!$I8078,nEVAL,"EX")=0),0))))</f>
      </c>
      <c r="H8078">
        <f>IF(DATOS!$G8078&lt;&gt;"EX",0,--(COUNTIFS(nNIA,DATOS!$A8078,nCURSO,DATOS!$D8078,nESPEC,DATOS!$E8078,nASIG,DATOS!$I8078,nEVAL,"OR")=0))</f>
      </c>
      <c r="I8078">
        <f>IF(DATOS!$I8078="","",IFERROR(VLOOKUP(DATOS!$I8078,CONFIG_ASIGNATURAS!$B$2:$J$91,9,FALSE()),""))</f>
      </c>
    </row>
    <row r="8079">
      <c r="F8079">
        <f>IF(DATOS!$A8079="","",DATOS!$A8079&amp;"|"&amp;DATOS!$D8079&amp;"|"&amp;DATOS!$E8079&amp;"|"&amp;DATOS!$I8079)</f>
      </c>
      <c r="G8079">
        <f>IF(DATOS!$A8079="",0,IF(CONFIG_METADATA!$B$4&lt;&gt;"OR+EX",--(DATOS!$G8079=CONFIG_METADATA!$B$4),IF(DATOS!$G8079="EX",1,IF(DATOS!$G8079="OR",--(COUNTIFS(nNIA,DATOS!$A8079,nCURSO,DATOS!$D8079,nESPEC,DATOS!$E8079,nASIG,DATOS!$I8079,nEVAL,"EX")=0),0))))</f>
      </c>
      <c r="H8079">
        <f>IF(DATOS!$G8079&lt;&gt;"EX",0,--(COUNTIFS(nNIA,DATOS!$A8079,nCURSO,DATOS!$D8079,nESPEC,DATOS!$E8079,nASIG,DATOS!$I8079,nEVAL,"OR")=0))</f>
      </c>
      <c r="I8079">
        <f>IF(DATOS!$I8079="","",IFERROR(VLOOKUP(DATOS!$I8079,CONFIG_ASIGNATURAS!$B$2:$J$91,9,FALSE()),""))</f>
      </c>
    </row>
    <row r="8080">
      <c r="F8080">
        <f>IF(DATOS!$A8080="","",DATOS!$A8080&amp;"|"&amp;DATOS!$D8080&amp;"|"&amp;DATOS!$E8080&amp;"|"&amp;DATOS!$I8080)</f>
      </c>
      <c r="G8080">
        <f>IF(DATOS!$A8080="",0,IF(CONFIG_METADATA!$B$4&lt;&gt;"OR+EX",--(DATOS!$G8080=CONFIG_METADATA!$B$4),IF(DATOS!$G8080="EX",1,IF(DATOS!$G8080="OR",--(COUNTIFS(nNIA,DATOS!$A8080,nCURSO,DATOS!$D8080,nESPEC,DATOS!$E8080,nASIG,DATOS!$I8080,nEVAL,"EX")=0),0))))</f>
      </c>
      <c r="H8080">
        <f>IF(DATOS!$G8080&lt;&gt;"EX",0,--(COUNTIFS(nNIA,DATOS!$A8080,nCURSO,DATOS!$D8080,nESPEC,DATOS!$E8080,nASIG,DATOS!$I8080,nEVAL,"OR")=0))</f>
      </c>
      <c r="I8080">
        <f>IF(DATOS!$I8080="","",IFERROR(VLOOKUP(DATOS!$I8080,CONFIG_ASIGNATURAS!$B$2:$J$91,9,FALSE()),""))</f>
      </c>
    </row>
    <row r="8081">
      <c r="F8081">
        <f>IF(DATOS!$A8081="","",DATOS!$A8081&amp;"|"&amp;DATOS!$D8081&amp;"|"&amp;DATOS!$E8081&amp;"|"&amp;DATOS!$I8081)</f>
      </c>
      <c r="G8081">
        <f>IF(DATOS!$A8081="",0,IF(CONFIG_METADATA!$B$4&lt;&gt;"OR+EX",--(DATOS!$G8081=CONFIG_METADATA!$B$4),IF(DATOS!$G8081="EX",1,IF(DATOS!$G8081="OR",--(COUNTIFS(nNIA,DATOS!$A8081,nCURSO,DATOS!$D8081,nESPEC,DATOS!$E8081,nASIG,DATOS!$I8081,nEVAL,"EX")=0),0))))</f>
      </c>
      <c r="H8081">
        <f>IF(DATOS!$G8081&lt;&gt;"EX",0,--(COUNTIFS(nNIA,DATOS!$A8081,nCURSO,DATOS!$D8081,nESPEC,DATOS!$E8081,nASIG,DATOS!$I8081,nEVAL,"OR")=0))</f>
      </c>
      <c r="I8081">
        <f>IF(DATOS!$I8081="","",IFERROR(VLOOKUP(DATOS!$I8081,CONFIG_ASIGNATURAS!$B$2:$J$91,9,FALSE()),""))</f>
      </c>
    </row>
    <row r="8082">
      <c r="F8082">
        <f>IF(DATOS!$A8082="","",DATOS!$A8082&amp;"|"&amp;DATOS!$D8082&amp;"|"&amp;DATOS!$E8082&amp;"|"&amp;DATOS!$I8082)</f>
      </c>
      <c r="G8082">
        <f>IF(DATOS!$A8082="",0,IF(CONFIG_METADATA!$B$4&lt;&gt;"OR+EX",--(DATOS!$G8082=CONFIG_METADATA!$B$4),IF(DATOS!$G8082="EX",1,IF(DATOS!$G8082="OR",--(COUNTIFS(nNIA,DATOS!$A8082,nCURSO,DATOS!$D8082,nESPEC,DATOS!$E8082,nASIG,DATOS!$I8082,nEVAL,"EX")=0),0))))</f>
      </c>
      <c r="H8082">
        <f>IF(DATOS!$G8082&lt;&gt;"EX",0,--(COUNTIFS(nNIA,DATOS!$A8082,nCURSO,DATOS!$D8082,nESPEC,DATOS!$E8082,nASIG,DATOS!$I8082,nEVAL,"OR")=0))</f>
      </c>
      <c r="I8082">
        <f>IF(DATOS!$I8082="","",IFERROR(VLOOKUP(DATOS!$I8082,CONFIG_ASIGNATURAS!$B$2:$J$91,9,FALSE()),""))</f>
      </c>
    </row>
    <row r="8083">
      <c r="F8083">
        <f>IF(DATOS!$A8083="","",DATOS!$A8083&amp;"|"&amp;DATOS!$D8083&amp;"|"&amp;DATOS!$E8083&amp;"|"&amp;DATOS!$I8083)</f>
      </c>
      <c r="G8083">
        <f>IF(DATOS!$A8083="",0,IF(CONFIG_METADATA!$B$4&lt;&gt;"OR+EX",--(DATOS!$G8083=CONFIG_METADATA!$B$4),IF(DATOS!$G8083="EX",1,IF(DATOS!$G8083="OR",--(COUNTIFS(nNIA,DATOS!$A8083,nCURSO,DATOS!$D8083,nESPEC,DATOS!$E8083,nASIG,DATOS!$I8083,nEVAL,"EX")=0),0))))</f>
      </c>
      <c r="H8083">
        <f>IF(DATOS!$G8083&lt;&gt;"EX",0,--(COUNTIFS(nNIA,DATOS!$A8083,nCURSO,DATOS!$D8083,nESPEC,DATOS!$E8083,nASIG,DATOS!$I8083,nEVAL,"OR")=0))</f>
      </c>
      <c r="I8083">
        <f>IF(DATOS!$I8083="","",IFERROR(VLOOKUP(DATOS!$I8083,CONFIG_ASIGNATURAS!$B$2:$J$91,9,FALSE()),""))</f>
      </c>
    </row>
    <row r="8084">
      <c r="F8084">
        <f>IF(DATOS!$A8084="","",DATOS!$A8084&amp;"|"&amp;DATOS!$D8084&amp;"|"&amp;DATOS!$E8084&amp;"|"&amp;DATOS!$I8084)</f>
      </c>
      <c r="G8084">
        <f>IF(DATOS!$A8084="",0,IF(CONFIG_METADATA!$B$4&lt;&gt;"OR+EX",--(DATOS!$G8084=CONFIG_METADATA!$B$4),IF(DATOS!$G8084="EX",1,IF(DATOS!$G8084="OR",--(COUNTIFS(nNIA,DATOS!$A8084,nCURSO,DATOS!$D8084,nESPEC,DATOS!$E8084,nASIG,DATOS!$I8084,nEVAL,"EX")=0),0))))</f>
      </c>
      <c r="H8084">
        <f>IF(DATOS!$G8084&lt;&gt;"EX",0,--(COUNTIFS(nNIA,DATOS!$A8084,nCURSO,DATOS!$D8084,nESPEC,DATOS!$E8084,nASIG,DATOS!$I8084,nEVAL,"OR")=0))</f>
      </c>
      <c r="I8084">
        <f>IF(DATOS!$I8084="","",IFERROR(VLOOKUP(DATOS!$I8084,CONFIG_ASIGNATURAS!$B$2:$J$91,9,FALSE()),""))</f>
      </c>
    </row>
    <row r="8085">
      <c r="F8085">
        <f>IF(DATOS!$A8085="","",DATOS!$A8085&amp;"|"&amp;DATOS!$D8085&amp;"|"&amp;DATOS!$E8085&amp;"|"&amp;DATOS!$I8085)</f>
      </c>
      <c r="G8085">
        <f>IF(DATOS!$A8085="",0,IF(CONFIG_METADATA!$B$4&lt;&gt;"OR+EX",--(DATOS!$G8085=CONFIG_METADATA!$B$4),IF(DATOS!$G8085="EX",1,IF(DATOS!$G8085="OR",--(COUNTIFS(nNIA,DATOS!$A8085,nCURSO,DATOS!$D8085,nESPEC,DATOS!$E8085,nASIG,DATOS!$I8085,nEVAL,"EX")=0),0))))</f>
      </c>
      <c r="H8085">
        <f>IF(DATOS!$G8085&lt;&gt;"EX",0,--(COUNTIFS(nNIA,DATOS!$A8085,nCURSO,DATOS!$D8085,nESPEC,DATOS!$E8085,nASIG,DATOS!$I8085,nEVAL,"OR")=0))</f>
      </c>
      <c r="I8085">
        <f>IF(DATOS!$I8085="","",IFERROR(VLOOKUP(DATOS!$I8085,CONFIG_ASIGNATURAS!$B$2:$J$91,9,FALSE()),""))</f>
      </c>
    </row>
    <row r="8086">
      <c r="F8086">
        <f>IF(DATOS!$A8086="","",DATOS!$A8086&amp;"|"&amp;DATOS!$D8086&amp;"|"&amp;DATOS!$E8086&amp;"|"&amp;DATOS!$I8086)</f>
      </c>
      <c r="G8086">
        <f>IF(DATOS!$A8086="",0,IF(CONFIG_METADATA!$B$4&lt;&gt;"OR+EX",--(DATOS!$G8086=CONFIG_METADATA!$B$4),IF(DATOS!$G8086="EX",1,IF(DATOS!$G8086="OR",--(COUNTIFS(nNIA,DATOS!$A8086,nCURSO,DATOS!$D8086,nESPEC,DATOS!$E8086,nASIG,DATOS!$I8086,nEVAL,"EX")=0),0))))</f>
      </c>
      <c r="H8086">
        <f>IF(DATOS!$G8086&lt;&gt;"EX",0,--(COUNTIFS(nNIA,DATOS!$A8086,nCURSO,DATOS!$D8086,nESPEC,DATOS!$E8086,nASIG,DATOS!$I8086,nEVAL,"OR")=0))</f>
      </c>
      <c r="I8086">
        <f>IF(DATOS!$I8086="","",IFERROR(VLOOKUP(DATOS!$I8086,CONFIG_ASIGNATURAS!$B$2:$J$91,9,FALSE()),""))</f>
      </c>
    </row>
    <row r="8087">
      <c r="F8087">
        <f>IF(DATOS!$A8087="","",DATOS!$A8087&amp;"|"&amp;DATOS!$D8087&amp;"|"&amp;DATOS!$E8087&amp;"|"&amp;DATOS!$I8087)</f>
      </c>
      <c r="G8087">
        <f>IF(DATOS!$A8087="",0,IF(CONFIG_METADATA!$B$4&lt;&gt;"OR+EX",--(DATOS!$G8087=CONFIG_METADATA!$B$4),IF(DATOS!$G8087="EX",1,IF(DATOS!$G8087="OR",--(COUNTIFS(nNIA,DATOS!$A8087,nCURSO,DATOS!$D8087,nESPEC,DATOS!$E8087,nASIG,DATOS!$I8087,nEVAL,"EX")=0),0))))</f>
      </c>
      <c r="H8087">
        <f>IF(DATOS!$G8087&lt;&gt;"EX",0,--(COUNTIFS(nNIA,DATOS!$A8087,nCURSO,DATOS!$D8087,nESPEC,DATOS!$E8087,nASIG,DATOS!$I8087,nEVAL,"OR")=0))</f>
      </c>
      <c r="I8087">
        <f>IF(DATOS!$I8087="","",IFERROR(VLOOKUP(DATOS!$I8087,CONFIG_ASIGNATURAS!$B$2:$J$91,9,FALSE()),""))</f>
      </c>
    </row>
    <row r="8088">
      <c r="F8088">
        <f>IF(DATOS!$A8088="","",DATOS!$A8088&amp;"|"&amp;DATOS!$D8088&amp;"|"&amp;DATOS!$E8088&amp;"|"&amp;DATOS!$I8088)</f>
      </c>
      <c r="G8088">
        <f>IF(DATOS!$A8088="",0,IF(CONFIG_METADATA!$B$4&lt;&gt;"OR+EX",--(DATOS!$G8088=CONFIG_METADATA!$B$4),IF(DATOS!$G8088="EX",1,IF(DATOS!$G8088="OR",--(COUNTIFS(nNIA,DATOS!$A8088,nCURSO,DATOS!$D8088,nESPEC,DATOS!$E8088,nASIG,DATOS!$I8088,nEVAL,"EX")=0),0))))</f>
      </c>
      <c r="H8088">
        <f>IF(DATOS!$G8088&lt;&gt;"EX",0,--(COUNTIFS(nNIA,DATOS!$A8088,nCURSO,DATOS!$D8088,nESPEC,DATOS!$E8088,nASIG,DATOS!$I8088,nEVAL,"OR")=0))</f>
      </c>
      <c r="I8088">
        <f>IF(DATOS!$I8088="","",IFERROR(VLOOKUP(DATOS!$I8088,CONFIG_ASIGNATURAS!$B$2:$J$91,9,FALSE()),""))</f>
      </c>
    </row>
    <row r="8089">
      <c r="F8089">
        <f>IF(DATOS!$A8089="","",DATOS!$A8089&amp;"|"&amp;DATOS!$D8089&amp;"|"&amp;DATOS!$E8089&amp;"|"&amp;DATOS!$I8089)</f>
      </c>
      <c r="G8089">
        <f>IF(DATOS!$A8089="",0,IF(CONFIG_METADATA!$B$4&lt;&gt;"OR+EX",--(DATOS!$G8089=CONFIG_METADATA!$B$4),IF(DATOS!$G8089="EX",1,IF(DATOS!$G8089="OR",--(COUNTIFS(nNIA,DATOS!$A8089,nCURSO,DATOS!$D8089,nESPEC,DATOS!$E8089,nASIG,DATOS!$I8089,nEVAL,"EX")=0),0))))</f>
      </c>
      <c r="H8089">
        <f>IF(DATOS!$G8089&lt;&gt;"EX",0,--(COUNTIFS(nNIA,DATOS!$A8089,nCURSO,DATOS!$D8089,nESPEC,DATOS!$E8089,nASIG,DATOS!$I8089,nEVAL,"OR")=0))</f>
      </c>
      <c r="I8089">
        <f>IF(DATOS!$I8089="","",IFERROR(VLOOKUP(DATOS!$I8089,CONFIG_ASIGNATURAS!$B$2:$J$91,9,FALSE()),""))</f>
      </c>
    </row>
    <row r="8090">
      <c r="F8090">
        <f>IF(DATOS!$A8090="","",DATOS!$A8090&amp;"|"&amp;DATOS!$D8090&amp;"|"&amp;DATOS!$E8090&amp;"|"&amp;DATOS!$I8090)</f>
      </c>
      <c r="G8090">
        <f>IF(DATOS!$A8090="",0,IF(CONFIG_METADATA!$B$4&lt;&gt;"OR+EX",--(DATOS!$G8090=CONFIG_METADATA!$B$4),IF(DATOS!$G8090="EX",1,IF(DATOS!$G8090="OR",--(COUNTIFS(nNIA,DATOS!$A8090,nCURSO,DATOS!$D8090,nESPEC,DATOS!$E8090,nASIG,DATOS!$I8090,nEVAL,"EX")=0),0))))</f>
      </c>
      <c r="H8090">
        <f>IF(DATOS!$G8090&lt;&gt;"EX",0,--(COUNTIFS(nNIA,DATOS!$A8090,nCURSO,DATOS!$D8090,nESPEC,DATOS!$E8090,nASIG,DATOS!$I8090,nEVAL,"OR")=0))</f>
      </c>
      <c r="I8090">
        <f>IF(DATOS!$I8090="","",IFERROR(VLOOKUP(DATOS!$I8090,CONFIG_ASIGNATURAS!$B$2:$J$91,9,FALSE()),""))</f>
      </c>
    </row>
    <row r="8091">
      <c r="F8091">
        <f>IF(DATOS!$A8091="","",DATOS!$A8091&amp;"|"&amp;DATOS!$D8091&amp;"|"&amp;DATOS!$E8091&amp;"|"&amp;DATOS!$I8091)</f>
      </c>
      <c r="G8091">
        <f>IF(DATOS!$A8091="",0,IF(CONFIG_METADATA!$B$4&lt;&gt;"OR+EX",--(DATOS!$G8091=CONFIG_METADATA!$B$4),IF(DATOS!$G8091="EX",1,IF(DATOS!$G8091="OR",--(COUNTIFS(nNIA,DATOS!$A8091,nCURSO,DATOS!$D8091,nESPEC,DATOS!$E8091,nASIG,DATOS!$I8091,nEVAL,"EX")=0),0))))</f>
      </c>
      <c r="H8091">
        <f>IF(DATOS!$G8091&lt;&gt;"EX",0,--(COUNTIFS(nNIA,DATOS!$A8091,nCURSO,DATOS!$D8091,nESPEC,DATOS!$E8091,nASIG,DATOS!$I8091,nEVAL,"OR")=0))</f>
      </c>
      <c r="I8091">
        <f>IF(DATOS!$I8091="","",IFERROR(VLOOKUP(DATOS!$I8091,CONFIG_ASIGNATURAS!$B$2:$J$91,9,FALSE()),""))</f>
      </c>
    </row>
    <row r="8092">
      <c r="F8092">
        <f>IF(DATOS!$A8092="","",DATOS!$A8092&amp;"|"&amp;DATOS!$D8092&amp;"|"&amp;DATOS!$E8092&amp;"|"&amp;DATOS!$I8092)</f>
      </c>
      <c r="G8092">
        <f>IF(DATOS!$A8092="",0,IF(CONFIG_METADATA!$B$4&lt;&gt;"OR+EX",--(DATOS!$G8092=CONFIG_METADATA!$B$4),IF(DATOS!$G8092="EX",1,IF(DATOS!$G8092="OR",--(COUNTIFS(nNIA,DATOS!$A8092,nCURSO,DATOS!$D8092,nESPEC,DATOS!$E8092,nASIG,DATOS!$I8092,nEVAL,"EX")=0),0))))</f>
      </c>
      <c r="H8092">
        <f>IF(DATOS!$G8092&lt;&gt;"EX",0,--(COUNTIFS(nNIA,DATOS!$A8092,nCURSO,DATOS!$D8092,nESPEC,DATOS!$E8092,nASIG,DATOS!$I8092,nEVAL,"OR")=0))</f>
      </c>
      <c r="I8092">
        <f>IF(DATOS!$I8092="","",IFERROR(VLOOKUP(DATOS!$I8092,CONFIG_ASIGNATURAS!$B$2:$J$91,9,FALSE()),""))</f>
      </c>
    </row>
    <row r="8093">
      <c r="F8093">
        <f>IF(DATOS!$A8093="","",DATOS!$A8093&amp;"|"&amp;DATOS!$D8093&amp;"|"&amp;DATOS!$E8093&amp;"|"&amp;DATOS!$I8093)</f>
      </c>
      <c r="G8093">
        <f>IF(DATOS!$A8093="",0,IF(CONFIG_METADATA!$B$4&lt;&gt;"OR+EX",--(DATOS!$G8093=CONFIG_METADATA!$B$4),IF(DATOS!$G8093="EX",1,IF(DATOS!$G8093="OR",--(COUNTIFS(nNIA,DATOS!$A8093,nCURSO,DATOS!$D8093,nESPEC,DATOS!$E8093,nASIG,DATOS!$I8093,nEVAL,"EX")=0),0))))</f>
      </c>
      <c r="H8093">
        <f>IF(DATOS!$G8093&lt;&gt;"EX",0,--(COUNTIFS(nNIA,DATOS!$A8093,nCURSO,DATOS!$D8093,nESPEC,DATOS!$E8093,nASIG,DATOS!$I8093,nEVAL,"OR")=0))</f>
      </c>
      <c r="I8093">
        <f>IF(DATOS!$I8093="","",IFERROR(VLOOKUP(DATOS!$I8093,CONFIG_ASIGNATURAS!$B$2:$J$91,9,FALSE()),""))</f>
      </c>
    </row>
    <row r="8094">
      <c r="F8094">
        <f>IF(DATOS!$A8094="","",DATOS!$A8094&amp;"|"&amp;DATOS!$D8094&amp;"|"&amp;DATOS!$E8094&amp;"|"&amp;DATOS!$I8094)</f>
      </c>
      <c r="G8094">
        <f>IF(DATOS!$A8094="",0,IF(CONFIG_METADATA!$B$4&lt;&gt;"OR+EX",--(DATOS!$G8094=CONFIG_METADATA!$B$4),IF(DATOS!$G8094="EX",1,IF(DATOS!$G8094="OR",--(COUNTIFS(nNIA,DATOS!$A8094,nCURSO,DATOS!$D8094,nESPEC,DATOS!$E8094,nASIG,DATOS!$I8094,nEVAL,"EX")=0),0))))</f>
      </c>
      <c r="H8094">
        <f>IF(DATOS!$G8094&lt;&gt;"EX",0,--(COUNTIFS(nNIA,DATOS!$A8094,nCURSO,DATOS!$D8094,nESPEC,DATOS!$E8094,nASIG,DATOS!$I8094,nEVAL,"OR")=0))</f>
      </c>
      <c r="I8094">
        <f>IF(DATOS!$I8094="","",IFERROR(VLOOKUP(DATOS!$I8094,CONFIG_ASIGNATURAS!$B$2:$J$91,9,FALSE()),""))</f>
      </c>
    </row>
    <row r="8095">
      <c r="F8095">
        <f>IF(DATOS!$A8095="","",DATOS!$A8095&amp;"|"&amp;DATOS!$D8095&amp;"|"&amp;DATOS!$E8095&amp;"|"&amp;DATOS!$I8095)</f>
      </c>
      <c r="G8095">
        <f>IF(DATOS!$A8095="",0,IF(CONFIG_METADATA!$B$4&lt;&gt;"OR+EX",--(DATOS!$G8095=CONFIG_METADATA!$B$4),IF(DATOS!$G8095="EX",1,IF(DATOS!$G8095="OR",--(COUNTIFS(nNIA,DATOS!$A8095,nCURSO,DATOS!$D8095,nESPEC,DATOS!$E8095,nASIG,DATOS!$I8095,nEVAL,"EX")=0),0))))</f>
      </c>
      <c r="H8095">
        <f>IF(DATOS!$G8095&lt;&gt;"EX",0,--(COUNTIFS(nNIA,DATOS!$A8095,nCURSO,DATOS!$D8095,nESPEC,DATOS!$E8095,nASIG,DATOS!$I8095,nEVAL,"OR")=0))</f>
      </c>
      <c r="I8095">
        <f>IF(DATOS!$I8095="","",IFERROR(VLOOKUP(DATOS!$I8095,CONFIG_ASIGNATURAS!$B$2:$J$91,9,FALSE()),""))</f>
      </c>
    </row>
    <row r="8096">
      <c r="F8096">
        <f>IF(DATOS!$A8096="","",DATOS!$A8096&amp;"|"&amp;DATOS!$D8096&amp;"|"&amp;DATOS!$E8096&amp;"|"&amp;DATOS!$I8096)</f>
      </c>
      <c r="G8096">
        <f>IF(DATOS!$A8096="",0,IF(CONFIG_METADATA!$B$4&lt;&gt;"OR+EX",--(DATOS!$G8096=CONFIG_METADATA!$B$4),IF(DATOS!$G8096="EX",1,IF(DATOS!$G8096="OR",--(COUNTIFS(nNIA,DATOS!$A8096,nCURSO,DATOS!$D8096,nESPEC,DATOS!$E8096,nASIG,DATOS!$I8096,nEVAL,"EX")=0),0))))</f>
      </c>
      <c r="H8096">
        <f>IF(DATOS!$G8096&lt;&gt;"EX",0,--(COUNTIFS(nNIA,DATOS!$A8096,nCURSO,DATOS!$D8096,nESPEC,DATOS!$E8096,nASIG,DATOS!$I8096,nEVAL,"OR")=0))</f>
      </c>
      <c r="I8096">
        <f>IF(DATOS!$I8096="","",IFERROR(VLOOKUP(DATOS!$I8096,CONFIG_ASIGNATURAS!$B$2:$J$91,9,FALSE()),""))</f>
      </c>
    </row>
    <row r="8097">
      <c r="F8097">
        <f>IF(DATOS!$A8097="","",DATOS!$A8097&amp;"|"&amp;DATOS!$D8097&amp;"|"&amp;DATOS!$E8097&amp;"|"&amp;DATOS!$I8097)</f>
      </c>
      <c r="G8097">
        <f>IF(DATOS!$A8097="",0,IF(CONFIG_METADATA!$B$4&lt;&gt;"OR+EX",--(DATOS!$G8097=CONFIG_METADATA!$B$4),IF(DATOS!$G8097="EX",1,IF(DATOS!$G8097="OR",--(COUNTIFS(nNIA,DATOS!$A8097,nCURSO,DATOS!$D8097,nESPEC,DATOS!$E8097,nASIG,DATOS!$I8097,nEVAL,"EX")=0),0))))</f>
      </c>
      <c r="H8097">
        <f>IF(DATOS!$G8097&lt;&gt;"EX",0,--(COUNTIFS(nNIA,DATOS!$A8097,nCURSO,DATOS!$D8097,nESPEC,DATOS!$E8097,nASIG,DATOS!$I8097,nEVAL,"OR")=0))</f>
      </c>
      <c r="I8097">
        <f>IF(DATOS!$I8097="","",IFERROR(VLOOKUP(DATOS!$I8097,CONFIG_ASIGNATURAS!$B$2:$J$91,9,FALSE()),""))</f>
      </c>
    </row>
    <row r="8098">
      <c r="F8098">
        <f>IF(DATOS!$A8098="","",DATOS!$A8098&amp;"|"&amp;DATOS!$D8098&amp;"|"&amp;DATOS!$E8098&amp;"|"&amp;DATOS!$I8098)</f>
      </c>
      <c r="G8098">
        <f>IF(DATOS!$A8098="",0,IF(CONFIG_METADATA!$B$4&lt;&gt;"OR+EX",--(DATOS!$G8098=CONFIG_METADATA!$B$4),IF(DATOS!$G8098="EX",1,IF(DATOS!$G8098="OR",--(COUNTIFS(nNIA,DATOS!$A8098,nCURSO,DATOS!$D8098,nESPEC,DATOS!$E8098,nASIG,DATOS!$I8098,nEVAL,"EX")=0),0))))</f>
      </c>
      <c r="H8098">
        <f>IF(DATOS!$G8098&lt;&gt;"EX",0,--(COUNTIFS(nNIA,DATOS!$A8098,nCURSO,DATOS!$D8098,nESPEC,DATOS!$E8098,nASIG,DATOS!$I8098,nEVAL,"OR")=0))</f>
      </c>
      <c r="I8098">
        <f>IF(DATOS!$I8098="","",IFERROR(VLOOKUP(DATOS!$I8098,CONFIG_ASIGNATURAS!$B$2:$J$91,9,FALSE()),""))</f>
      </c>
    </row>
    <row r="8099">
      <c r="F8099">
        <f>IF(DATOS!$A8099="","",DATOS!$A8099&amp;"|"&amp;DATOS!$D8099&amp;"|"&amp;DATOS!$E8099&amp;"|"&amp;DATOS!$I8099)</f>
      </c>
      <c r="G8099">
        <f>IF(DATOS!$A8099="",0,IF(CONFIG_METADATA!$B$4&lt;&gt;"OR+EX",--(DATOS!$G8099=CONFIG_METADATA!$B$4),IF(DATOS!$G8099="EX",1,IF(DATOS!$G8099="OR",--(COUNTIFS(nNIA,DATOS!$A8099,nCURSO,DATOS!$D8099,nESPEC,DATOS!$E8099,nASIG,DATOS!$I8099,nEVAL,"EX")=0),0))))</f>
      </c>
      <c r="H8099">
        <f>IF(DATOS!$G8099&lt;&gt;"EX",0,--(COUNTIFS(nNIA,DATOS!$A8099,nCURSO,DATOS!$D8099,nESPEC,DATOS!$E8099,nASIG,DATOS!$I8099,nEVAL,"OR")=0))</f>
      </c>
      <c r="I8099">
        <f>IF(DATOS!$I8099="","",IFERROR(VLOOKUP(DATOS!$I8099,CONFIG_ASIGNATURAS!$B$2:$J$91,9,FALSE()),""))</f>
      </c>
    </row>
    <row r="8100">
      <c r="F8100">
        <f>IF(DATOS!$A8100="","",DATOS!$A8100&amp;"|"&amp;DATOS!$D8100&amp;"|"&amp;DATOS!$E8100&amp;"|"&amp;DATOS!$I8100)</f>
      </c>
      <c r="G8100">
        <f>IF(DATOS!$A8100="",0,IF(CONFIG_METADATA!$B$4&lt;&gt;"OR+EX",--(DATOS!$G8100=CONFIG_METADATA!$B$4),IF(DATOS!$G8100="EX",1,IF(DATOS!$G8100="OR",--(COUNTIFS(nNIA,DATOS!$A8100,nCURSO,DATOS!$D8100,nESPEC,DATOS!$E8100,nASIG,DATOS!$I8100,nEVAL,"EX")=0),0))))</f>
      </c>
      <c r="H8100">
        <f>IF(DATOS!$G8100&lt;&gt;"EX",0,--(COUNTIFS(nNIA,DATOS!$A8100,nCURSO,DATOS!$D8100,nESPEC,DATOS!$E8100,nASIG,DATOS!$I8100,nEVAL,"OR")=0))</f>
      </c>
      <c r="I8100">
        <f>IF(DATOS!$I8100="","",IFERROR(VLOOKUP(DATOS!$I8100,CONFIG_ASIGNATURAS!$B$2:$J$91,9,FALSE()),""))</f>
      </c>
    </row>
    <row r="8101">
      <c r="F8101">
        <f>IF(DATOS!$A8101="","",DATOS!$A8101&amp;"|"&amp;DATOS!$D8101&amp;"|"&amp;DATOS!$E8101&amp;"|"&amp;DATOS!$I8101)</f>
      </c>
      <c r="G8101">
        <f>IF(DATOS!$A8101="",0,IF(CONFIG_METADATA!$B$4&lt;&gt;"OR+EX",--(DATOS!$G8101=CONFIG_METADATA!$B$4),IF(DATOS!$G8101="EX",1,IF(DATOS!$G8101="OR",--(COUNTIFS(nNIA,DATOS!$A8101,nCURSO,DATOS!$D8101,nESPEC,DATOS!$E8101,nASIG,DATOS!$I8101,nEVAL,"EX")=0),0))))</f>
      </c>
      <c r="H8101">
        <f>IF(DATOS!$G8101&lt;&gt;"EX",0,--(COUNTIFS(nNIA,DATOS!$A8101,nCURSO,DATOS!$D8101,nESPEC,DATOS!$E8101,nASIG,DATOS!$I8101,nEVAL,"OR")=0))</f>
      </c>
      <c r="I8101">
        <f>IF(DATOS!$I8101="","",IFERROR(VLOOKUP(DATOS!$I8101,CONFIG_ASIGNATURAS!$B$2:$J$91,9,FALSE()),""))</f>
      </c>
    </row>
    <row r="8102">
      <c r="F8102">
        <f>IF(DATOS!$A8102="","",DATOS!$A8102&amp;"|"&amp;DATOS!$D8102&amp;"|"&amp;DATOS!$E8102&amp;"|"&amp;DATOS!$I8102)</f>
      </c>
      <c r="G8102">
        <f>IF(DATOS!$A8102="",0,IF(CONFIG_METADATA!$B$4&lt;&gt;"OR+EX",--(DATOS!$G8102=CONFIG_METADATA!$B$4),IF(DATOS!$G8102="EX",1,IF(DATOS!$G8102="OR",--(COUNTIFS(nNIA,DATOS!$A8102,nCURSO,DATOS!$D8102,nESPEC,DATOS!$E8102,nASIG,DATOS!$I8102,nEVAL,"EX")=0),0))))</f>
      </c>
      <c r="H8102">
        <f>IF(DATOS!$G8102&lt;&gt;"EX",0,--(COUNTIFS(nNIA,DATOS!$A8102,nCURSO,DATOS!$D8102,nESPEC,DATOS!$E8102,nASIG,DATOS!$I8102,nEVAL,"OR")=0))</f>
      </c>
      <c r="I8102">
        <f>IF(DATOS!$I8102="","",IFERROR(VLOOKUP(DATOS!$I8102,CONFIG_ASIGNATURAS!$B$2:$J$91,9,FALSE()),""))</f>
      </c>
    </row>
    <row r="8103">
      <c r="F8103">
        <f>IF(DATOS!$A8103="","",DATOS!$A8103&amp;"|"&amp;DATOS!$D8103&amp;"|"&amp;DATOS!$E8103&amp;"|"&amp;DATOS!$I8103)</f>
      </c>
      <c r="G8103">
        <f>IF(DATOS!$A8103="",0,IF(CONFIG_METADATA!$B$4&lt;&gt;"OR+EX",--(DATOS!$G8103=CONFIG_METADATA!$B$4),IF(DATOS!$G8103="EX",1,IF(DATOS!$G8103="OR",--(COUNTIFS(nNIA,DATOS!$A8103,nCURSO,DATOS!$D8103,nESPEC,DATOS!$E8103,nASIG,DATOS!$I8103,nEVAL,"EX")=0),0))))</f>
      </c>
      <c r="H8103">
        <f>IF(DATOS!$G8103&lt;&gt;"EX",0,--(COUNTIFS(nNIA,DATOS!$A8103,nCURSO,DATOS!$D8103,nESPEC,DATOS!$E8103,nASIG,DATOS!$I8103,nEVAL,"OR")=0))</f>
      </c>
      <c r="I8103">
        <f>IF(DATOS!$I8103="","",IFERROR(VLOOKUP(DATOS!$I8103,CONFIG_ASIGNATURAS!$B$2:$J$91,9,FALSE()),""))</f>
      </c>
    </row>
    <row r="8104">
      <c r="F8104">
        <f>IF(DATOS!$A8104="","",DATOS!$A8104&amp;"|"&amp;DATOS!$D8104&amp;"|"&amp;DATOS!$E8104&amp;"|"&amp;DATOS!$I8104)</f>
      </c>
      <c r="G8104">
        <f>IF(DATOS!$A8104="",0,IF(CONFIG_METADATA!$B$4&lt;&gt;"OR+EX",--(DATOS!$G8104=CONFIG_METADATA!$B$4),IF(DATOS!$G8104="EX",1,IF(DATOS!$G8104="OR",--(COUNTIFS(nNIA,DATOS!$A8104,nCURSO,DATOS!$D8104,nESPEC,DATOS!$E8104,nASIG,DATOS!$I8104,nEVAL,"EX")=0),0))))</f>
      </c>
      <c r="H8104">
        <f>IF(DATOS!$G8104&lt;&gt;"EX",0,--(COUNTIFS(nNIA,DATOS!$A8104,nCURSO,DATOS!$D8104,nESPEC,DATOS!$E8104,nASIG,DATOS!$I8104,nEVAL,"OR")=0))</f>
      </c>
      <c r="I8104">
        <f>IF(DATOS!$I8104="","",IFERROR(VLOOKUP(DATOS!$I8104,CONFIG_ASIGNATURAS!$B$2:$J$91,9,FALSE()),""))</f>
      </c>
    </row>
    <row r="8105">
      <c r="F8105">
        <f>IF(DATOS!$A8105="","",DATOS!$A8105&amp;"|"&amp;DATOS!$D8105&amp;"|"&amp;DATOS!$E8105&amp;"|"&amp;DATOS!$I8105)</f>
      </c>
      <c r="G8105">
        <f>IF(DATOS!$A8105="",0,IF(CONFIG_METADATA!$B$4&lt;&gt;"OR+EX",--(DATOS!$G8105=CONFIG_METADATA!$B$4),IF(DATOS!$G8105="EX",1,IF(DATOS!$G8105="OR",--(COUNTIFS(nNIA,DATOS!$A8105,nCURSO,DATOS!$D8105,nESPEC,DATOS!$E8105,nASIG,DATOS!$I8105,nEVAL,"EX")=0),0))))</f>
      </c>
      <c r="H8105">
        <f>IF(DATOS!$G8105&lt;&gt;"EX",0,--(COUNTIFS(nNIA,DATOS!$A8105,nCURSO,DATOS!$D8105,nESPEC,DATOS!$E8105,nASIG,DATOS!$I8105,nEVAL,"OR")=0))</f>
      </c>
      <c r="I8105">
        <f>IF(DATOS!$I8105="","",IFERROR(VLOOKUP(DATOS!$I8105,CONFIG_ASIGNATURAS!$B$2:$J$91,9,FALSE()),""))</f>
      </c>
    </row>
    <row r="8106">
      <c r="F8106">
        <f>IF(DATOS!$A8106="","",DATOS!$A8106&amp;"|"&amp;DATOS!$D8106&amp;"|"&amp;DATOS!$E8106&amp;"|"&amp;DATOS!$I8106)</f>
      </c>
      <c r="G8106">
        <f>IF(DATOS!$A8106="",0,IF(CONFIG_METADATA!$B$4&lt;&gt;"OR+EX",--(DATOS!$G8106=CONFIG_METADATA!$B$4),IF(DATOS!$G8106="EX",1,IF(DATOS!$G8106="OR",--(COUNTIFS(nNIA,DATOS!$A8106,nCURSO,DATOS!$D8106,nESPEC,DATOS!$E8106,nASIG,DATOS!$I8106,nEVAL,"EX")=0),0))))</f>
      </c>
      <c r="H8106">
        <f>IF(DATOS!$G8106&lt;&gt;"EX",0,--(COUNTIFS(nNIA,DATOS!$A8106,nCURSO,DATOS!$D8106,nESPEC,DATOS!$E8106,nASIG,DATOS!$I8106,nEVAL,"OR")=0))</f>
      </c>
      <c r="I8106">
        <f>IF(DATOS!$I8106="","",IFERROR(VLOOKUP(DATOS!$I8106,CONFIG_ASIGNATURAS!$B$2:$J$91,9,FALSE()),""))</f>
      </c>
    </row>
    <row r="8107">
      <c r="F8107">
        <f>IF(DATOS!$A8107="","",DATOS!$A8107&amp;"|"&amp;DATOS!$D8107&amp;"|"&amp;DATOS!$E8107&amp;"|"&amp;DATOS!$I8107)</f>
      </c>
      <c r="G8107">
        <f>IF(DATOS!$A8107="",0,IF(CONFIG_METADATA!$B$4&lt;&gt;"OR+EX",--(DATOS!$G8107=CONFIG_METADATA!$B$4),IF(DATOS!$G8107="EX",1,IF(DATOS!$G8107="OR",--(COUNTIFS(nNIA,DATOS!$A8107,nCURSO,DATOS!$D8107,nESPEC,DATOS!$E8107,nASIG,DATOS!$I8107,nEVAL,"EX")=0),0))))</f>
      </c>
      <c r="H8107">
        <f>IF(DATOS!$G8107&lt;&gt;"EX",0,--(COUNTIFS(nNIA,DATOS!$A8107,nCURSO,DATOS!$D8107,nESPEC,DATOS!$E8107,nASIG,DATOS!$I8107,nEVAL,"OR")=0))</f>
      </c>
      <c r="I8107">
        <f>IF(DATOS!$I8107="","",IFERROR(VLOOKUP(DATOS!$I8107,CONFIG_ASIGNATURAS!$B$2:$J$91,9,FALSE()),""))</f>
      </c>
    </row>
    <row r="8108">
      <c r="F8108">
        <f>IF(DATOS!$A8108="","",DATOS!$A8108&amp;"|"&amp;DATOS!$D8108&amp;"|"&amp;DATOS!$E8108&amp;"|"&amp;DATOS!$I8108)</f>
      </c>
      <c r="G8108">
        <f>IF(DATOS!$A8108="",0,IF(CONFIG_METADATA!$B$4&lt;&gt;"OR+EX",--(DATOS!$G8108=CONFIG_METADATA!$B$4),IF(DATOS!$G8108="EX",1,IF(DATOS!$G8108="OR",--(COUNTIFS(nNIA,DATOS!$A8108,nCURSO,DATOS!$D8108,nESPEC,DATOS!$E8108,nASIG,DATOS!$I8108,nEVAL,"EX")=0),0))))</f>
      </c>
      <c r="H8108">
        <f>IF(DATOS!$G8108&lt;&gt;"EX",0,--(COUNTIFS(nNIA,DATOS!$A8108,nCURSO,DATOS!$D8108,nESPEC,DATOS!$E8108,nASIG,DATOS!$I8108,nEVAL,"OR")=0))</f>
      </c>
      <c r="I8108">
        <f>IF(DATOS!$I8108="","",IFERROR(VLOOKUP(DATOS!$I8108,CONFIG_ASIGNATURAS!$B$2:$J$91,9,FALSE()),""))</f>
      </c>
    </row>
    <row r="8109">
      <c r="F8109">
        <f>IF(DATOS!$A8109="","",DATOS!$A8109&amp;"|"&amp;DATOS!$D8109&amp;"|"&amp;DATOS!$E8109&amp;"|"&amp;DATOS!$I8109)</f>
      </c>
      <c r="G8109">
        <f>IF(DATOS!$A8109="",0,IF(CONFIG_METADATA!$B$4&lt;&gt;"OR+EX",--(DATOS!$G8109=CONFIG_METADATA!$B$4),IF(DATOS!$G8109="EX",1,IF(DATOS!$G8109="OR",--(COUNTIFS(nNIA,DATOS!$A8109,nCURSO,DATOS!$D8109,nESPEC,DATOS!$E8109,nASIG,DATOS!$I8109,nEVAL,"EX")=0),0))))</f>
      </c>
      <c r="H8109">
        <f>IF(DATOS!$G8109&lt;&gt;"EX",0,--(COUNTIFS(nNIA,DATOS!$A8109,nCURSO,DATOS!$D8109,nESPEC,DATOS!$E8109,nASIG,DATOS!$I8109,nEVAL,"OR")=0))</f>
      </c>
      <c r="I8109">
        <f>IF(DATOS!$I8109="","",IFERROR(VLOOKUP(DATOS!$I8109,CONFIG_ASIGNATURAS!$B$2:$J$91,9,FALSE()),""))</f>
      </c>
    </row>
    <row r="8110">
      <c r="F8110">
        <f>IF(DATOS!$A8110="","",DATOS!$A8110&amp;"|"&amp;DATOS!$D8110&amp;"|"&amp;DATOS!$E8110&amp;"|"&amp;DATOS!$I8110)</f>
      </c>
      <c r="G8110">
        <f>IF(DATOS!$A8110="",0,IF(CONFIG_METADATA!$B$4&lt;&gt;"OR+EX",--(DATOS!$G8110=CONFIG_METADATA!$B$4),IF(DATOS!$G8110="EX",1,IF(DATOS!$G8110="OR",--(COUNTIFS(nNIA,DATOS!$A8110,nCURSO,DATOS!$D8110,nESPEC,DATOS!$E8110,nASIG,DATOS!$I8110,nEVAL,"EX")=0),0))))</f>
      </c>
      <c r="H8110">
        <f>IF(DATOS!$G8110&lt;&gt;"EX",0,--(COUNTIFS(nNIA,DATOS!$A8110,nCURSO,DATOS!$D8110,nESPEC,DATOS!$E8110,nASIG,DATOS!$I8110,nEVAL,"OR")=0))</f>
      </c>
      <c r="I8110">
        <f>IF(DATOS!$I8110="","",IFERROR(VLOOKUP(DATOS!$I8110,CONFIG_ASIGNATURAS!$B$2:$J$91,9,FALSE()),""))</f>
      </c>
    </row>
    <row r="8111">
      <c r="F8111">
        <f>IF(DATOS!$A8111="","",DATOS!$A8111&amp;"|"&amp;DATOS!$D8111&amp;"|"&amp;DATOS!$E8111&amp;"|"&amp;DATOS!$I8111)</f>
      </c>
      <c r="G8111">
        <f>IF(DATOS!$A8111="",0,IF(CONFIG_METADATA!$B$4&lt;&gt;"OR+EX",--(DATOS!$G8111=CONFIG_METADATA!$B$4),IF(DATOS!$G8111="EX",1,IF(DATOS!$G8111="OR",--(COUNTIFS(nNIA,DATOS!$A8111,nCURSO,DATOS!$D8111,nESPEC,DATOS!$E8111,nASIG,DATOS!$I8111,nEVAL,"EX")=0),0))))</f>
      </c>
      <c r="H8111">
        <f>IF(DATOS!$G8111&lt;&gt;"EX",0,--(COUNTIFS(nNIA,DATOS!$A8111,nCURSO,DATOS!$D8111,nESPEC,DATOS!$E8111,nASIG,DATOS!$I8111,nEVAL,"OR")=0))</f>
      </c>
      <c r="I8111">
        <f>IF(DATOS!$I8111="","",IFERROR(VLOOKUP(DATOS!$I8111,CONFIG_ASIGNATURAS!$B$2:$J$91,9,FALSE()),""))</f>
      </c>
    </row>
    <row r="8112">
      <c r="F8112">
        <f>IF(DATOS!$A8112="","",DATOS!$A8112&amp;"|"&amp;DATOS!$D8112&amp;"|"&amp;DATOS!$E8112&amp;"|"&amp;DATOS!$I8112)</f>
      </c>
      <c r="G8112">
        <f>IF(DATOS!$A8112="",0,IF(CONFIG_METADATA!$B$4&lt;&gt;"OR+EX",--(DATOS!$G8112=CONFIG_METADATA!$B$4),IF(DATOS!$G8112="EX",1,IF(DATOS!$G8112="OR",--(COUNTIFS(nNIA,DATOS!$A8112,nCURSO,DATOS!$D8112,nESPEC,DATOS!$E8112,nASIG,DATOS!$I8112,nEVAL,"EX")=0),0))))</f>
      </c>
      <c r="H8112">
        <f>IF(DATOS!$G8112&lt;&gt;"EX",0,--(COUNTIFS(nNIA,DATOS!$A8112,nCURSO,DATOS!$D8112,nESPEC,DATOS!$E8112,nASIG,DATOS!$I8112,nEVAL,"OR")=0))</f>
      </c>
      <c r="I8112">
        <f>IF(DATOS!$I8112="","",IFERROR(VLOOKUP(DATOS!$I8112,CONFIG_ASIGNATURAS!$B$2:$J$91,9,FALSE()),""))</f>
      </c>
    </row>
    <row r="8113">
      <c r="F8113">
        <f>IF(DATOS!$A8113="","",DATOS!$A8113&amp;"|"&amp;DATOS!$D8113&amp;"|"&amp;DATOS!$E8113&amp;"|"&amp;DATOS!$I8113)</f>
      </c>
      <c r="G8113">
        <f>IF(DATOS!$A8113="",0,IF(CONFIG_METADATA!$B$4&lt;&gt;"OR+EX",--(DATOS!$G8113=CONFIG_METADATA!$B$4),IF(DATOS!$G8113="EX",1,IF(DATOS!$G8113="OR",--(COUNTIFS(nNIA,DATOS!$A8113,nCURSO,DATOS!$D8113,nESPEC,DATOS!$E8113,nASIG,DATOS!$I8113,nEVAL,"EX")=0),0))))</f>
      </c>
      <c r="H8113">
        <f>IF(DATOS!$G8113&lt;&gt;"EX",0,--(COUNTIFS(nNIA,DATOS!$A8113,nCURSO,DATOS!$D8113,nESPEC,DATOS!$E8113,nASIG,DATOS!$I8113,nEVAL,"OR")=0))</f>
      </c>
      <c r="I8113">
        <f>IF(DATOS!$I8113="","",IFERROR(VLOOKUP(DATOS!$I8113,CONFIG_ASIGNATURAS!$B$2:$J$91,9,FALSE()),""))</f>
      </c>
    </row>
    <row r="8114">
      <c r="F8114">
        <f>IF(DATOS!$A8114="","",DATOS!$A8114&amp;"|"&amp;DATOS!$D8114&amp;"|"&amp;DATOS!$E8114&amp;"|"&amp;DATOS!$I8114)</f>
      </c>
      <c r="G8114">
        <f>IF(DATOS!$A8114="",0,IF(CONFIG_METADATA!$B$4&lt;&gt;"OR+EX",--(DATOS!$G8114=CONFIG_METADATA!$B$4),IF(DATOS!$G8114="EX",1,IF(DATOS!$G8114="OR",--(COUNTIFS(nNIA,DATOS!$A8114,nCURSO,DATOS!$D8114,nESPEC,DATOS!$E8114,nASIG,DATOS!$I8114,nEVAL,"EX")=0),0))))</f>
      </c>
      <c r="H8114">
        <f>IF(DATOS!$G8114&lt;&gt;"EX",0,--(COUNTIFS(nNIA,DATOS!$A8114,nCURSO,DATOS!$D8114,nESPEC,DATOS!$E8114,nASIG,DATOS!$I8114,nEVAL,"OR")=0))</f>
      </c>
      <c r="I8114">
        <f>IF(DATOS!$I8114="","",IFERROR(VLOOKUP(DATOS!$I8114,CONFIG_ASIGNATURAS!$B$2:$J$91,9,FALSE()),""))</f>
      </c>
    </row>
    <row r="8115">
      <c r="F8115">
        <f>IF(DATOS!$A8115="","",DATOS!$A8115&amp;"|"&amp;DATOS!$D8115&amp;"|"&amp;DATOS!$E8115&amp;"|"&amp;DATOS!$I8115)</f>
      </c>
      <c r="G8115">
        <f>IF(DATOS!$A8115="",0,IF(CONFIG_METADATA!$B$4&lt;&gt;"OR+EX",--(DATOS!$G8115=CONFIG_METADATA!$B$4),IF(DATOS!$G8115="EX",1,IF(DATOS!$G8115="OR",--(COUNTIFS(nNIA,DATOS!$A8115,nCURSO,DATOS!$D8115,nESPEC,DATOS!$E8115,nASIG,DATOS!$I8115,nEVAL,"EX")=0),0))))</f>
      </c>
      <c r="H8115">
        <f>IF(DATOS!$G8115&lt;&gt;"EX",0,--(COUNTIFS(nNIA,DATOS!$A8115,nCURSO,DATOS!$D8115,nESPEC,DATOS!$E8115,nASIG,DATOS!$I8115,nEVAL,"OR")=0))</f>
      </c>
      <c r="I8115">
        <f>IF(DATOS!$I8115="","",IFERROR(VLOOKUP(DATOS!$I8115,CONFIG_ASIGNATURAS!$B$2:$J$91,9,FALSE()),""))</f>
      </c>
    </row>
    <row r="8116">
      <c r="F8116">
        <f>IF(DATOS!$A8116="","",DATOS!$A8116&amp;"|"&amp;DATOS!$D8116&amp;"|"&amp;DATOS!$E8116&amp;"|"&amp;DATOS!$I8116)</f>
      </c>
      <c r="G8116">
        <f>IF(DATOS!$A8116="",0,IF(CONFIG_METADATA!$B$4&lt;&gt;"OR+EX",--(DATOS!$G8116=CONFIG_METADATA!$B$4),IF(DATOS!$G8116="EX",1,IF(DATOS!$G8116="OR",--(COUNTIFS(nNIA,DATOS!$A8116,nCURSO,DATOS!$D8116,nESPEC,DATOS!$E8116,nASIG,DATOS!$I8116,nEVAL,"EX")=0),0))))</f>
      </c>
      <c r="H8116">
        <f>IF(DATOS!$G8116&lt;&gt;"EX",0,--(COUNTIFS(nNIA,DATOS!$A8116,nCURSO,DATOS!$D8116,nESPEC,DATOS!$E8116,nASIG,DATOS!$I8116,nEVAL,"OR")=0))</f>
      </c>
      <c r="I8116">
        <f>IF(DATOS!$I8116="","",IFERROR(VLOOKUP(DATOS!$I8116,CONFIG_ASIGNATURAS!$B$2:$J$91,9,FALSE()),""))</f>
      </c>
    </row>
    <row r="8117">
      <c r="F8117">
        <f>IF(DATOS!$A8117="","",DATOS!$A8117&amp;"|"&amp;DATOS!$D8117&amp;"|"&amp;DATOS!$E8117&amp;"|"&amp;DATOS!$I8117)</f>
      </c>
      <c r="G8117">
        <f>IF(DATOS!$A8117="",0,IF(CONFIG_METADATA!$B$4&lt;&gt;"OR+EX",--(DATOS!$G8117=CONFIG_METADATA!$B$4),IF(DATOS!$G8117="EX",1,IF(DATOS!$G8117="OR",--(COUNTIFS(nNIA,DATOS!$A8117,nCURSO,DATOS!$D8117,nESPEC,DATOS!$E8117,nASIG,DATOS!$I8117,nEVAL,"EX")=0),0))))</f>
      </c>
      <c r="H8117">
        <f>IF(DATOS!$G8117&lt;&gt;"EX",0,--(COUNTIFS(nNIA,DATOS!$A8117,nCURSO,DATOS!$D8117,nESPEC,DATOS!$E8117,nASIG,DATOS!$I8117,nEVAL,"OR")=0))</f>
      </c>
      <c r="I8117">
        <f>IF(DATOS!$I8117="","",IFERROR(VLOOKUP(DATOS!$I8117,CONFIG_ASIGNATURAS!$B$2:$J$91,9,FALSE()),""))</f>
      </c>
    </row>
    <row r="8118">
      <c r="F8118">
        <f>IF(DATOS!$A8118="","",DATOS!$A8118&amp;"|"&amp;DATOS!$D8118&amp;"|"&amp;DATOS!$E8118&amp;"|"&amp;DATOS!$I8118)</f>
      </c>
      <c r="G8118">
        <f>IF(DATOS!$A8118="",0,IF(CONFIG_METADATA!$B$4&lt;&gt;"OR+EX",--(DATOS!$G8118=CONFIG_METADATA!$B$4),IF(DATOS!$G8118="EX",1,IF(DATOS!$G8118="OR",--(COUNTIFS(nNIA,DATOS!$A8118,nCURSO,DATOS!$D8118,nESPEC,DATOS!$E8118,nASIG,DATOS!$I8118,nEVAL,"EX")=0),0))))</f>
      </c>
      <c r="H8118">
        <f>IF(DATOS!$G8118&lt;&gt;"EX",0,--(COUNTIFS(nNIA,DATOS!$A8118,nCURSO,DATOS!$D8118,nESPEC,DATOS!$E8118,nASIG,DATOS!$I8118,nEVAL,"OR")=0))</f>
      </c>
      <c r="I8118">
        <f>IF(DATOS!$I8118="","",IFERROR(VLOOKUP(DATOS!$I8118,CONFIG_ASIGNATURAS!$B$2:$J$91,9,FALSE()),""))</f>
      </c>
    </row>
    <row r="8119">
      <c r="F8119">
        <f>IF(DATOS!$A8119="","",DATOS!$A8119&amp;"|"&amp;DATOS!$D8119&amp;"|"&amp;DATOS!$E8119&amp;"|"&amp;DATOS!$I8119)</f>
      </c>
      <c r="G8119">
        <f>IF(DATOS!$A8119="",0,IF(CONFIG_METADATA!$B$4&lt;&gt;"OR+EX",--(DATOS!$G8119=CONFIG_METADATA!$B$4),IF(DATOS!$G8119="EX",1,IF(DATOS!$G8119="OR",--(COUNTIFS(nNIA,DATOS!$A8119,nCURSO,DATOS!$D8119,nESPEC,DATOS!$E8119,nASIG,DATOS!$I8119,nEVAL,"EX")=0),0))))</f>
      </c>
      <c r="H8119">
        <f>IF(DATOS!$G8119&lt;&gt;"EX",0,--(COUNTIFS(nNIA,DATOS!$A8119,nCURSO,DATOS!$D8119,nESPEC,DATOS!$E8119,nASIG,DATOS!$I8119,nEVAL,"OR")=0))</f>
      </c>
      <c r="I8119">
        <f>IF(DATOS!$I8119="","",IFERROR(VLOOKUP(DATOS!$I8119,CONFIG_ASIGNATURAS!$B$2:$J$91,9,FALSE()),""))</f>
      </c>
    </row>
    <row r="8120">
      <c r="F8120">
        <f>IF(DATOS!$A8120="","",DATOS!$A8120&amp;"|"&amp;DATOS!$D8120&amp;"|"&amp;DATOS!$E8120&amp;"|"&amp;DATOS!$I8120)</f>
      </c>
      <c r="G8120">
        <f>IF(DATOS!$A8120="",0,IF(CONFIG_METADATA!$B$4&lt;&gt;"OR+EX",--(DATOS!$G8120=CONFIG_METADATA!$B$4),IF(DATOS!$G8120="EX",1,IF(DATOS!$G8120="OR",--(COUNTIFS(nNIA,DATOS!$A8120,nCURSO,DATOS!$D8120,nESPEC,DATOS!$E8120,nASIG,DATOS!$I8120,nEVAL,"EX")=0),0))))</f>
      </c>
      <c r="H8120">
        <f>IF(DATOS!$G8120&lt;&gt;"EX",0,--(COUNTIFS(nNIA,DATOS!$A8120,nCURSO,DATOS!$D8120,nESPEC,DATOS!$E8120,nASIG,DATOS!$I8120,nEVAL,"OR")=0))</f>
      </c>
      <c r="I8120">
        <f>IF(DATOS!$I8120="","",IFERROR(VLOOKUP(DATOS!$I8120,CONFIG_ASIGNATURAS!$B$2:$J$91,9,FALSE()),""))</f>
      </c>
    </row>
    <row r="8121">
      <c r="F8121">
        <f>IF(DATOS!$A8121="","",DATOS!$A8121&amp;"|"&amp;DATOS!$D8121&amp;"|"&amp;DATOS!$E8121&amp;"|"&amp;DATOS!$I8121)</f>
      </c>
      <c r="G8121">
        <f>IF(DATOS!$A8121="",0,IF(CONFIG_METADATA!$B$4&lt;&gt;"OR+EX",--(DATOS!$G8121=CONFIG_METADATA!$B$4),IF(DATOS!$G8121="EX",1,IF(DATOS!$G8121="OR",--(COUNTIFS(nNIA,DATOS!$A8121,nCURSO,DATOS!$D8121,nESPEC,DATOS!$E8121,nASIG,DATOS!$I8121,nEVAL,"EX")=0),0))))</f>
      </c>
      <c r="H8121">
        <f>IF(DATOS!$G8121&lt;&gt;"EX",0,--(COUNTIFS(nNIA,DATOS!$A8121,nCURSO,DATOS!$D8121,nESPEC,DATOS!$E8121,nASIG,DATOS!$I8121,nEVAL,"OR")=0))</f>
      </c>
      <c r="I8121">
        <f>IF(DATOS!$I8121="","",IFERROR(VLOOKUP(DATOS!$I8121,CONFIG_ASIGNATURAS!$B$2:$J$91,9,FALSE()),""))</f>
      </c>
    </row>
    <row r="8122">
      <c r="F8122">
        <f>IF(DATOS!$A8122="","",DATOS!$A8122&amp;"|"&amp;DATOS!$D8122&amp;"|"&amp;DATOS!$E8122&amp;"|"&amp;DATOS!$I8122)</f>
      </c>
      <c r="G8122">
        <f>IF(DATOS!$A8122="",0,IF(CONFIG_METADATA!$B$4&lt;&gt;"OR+EX",--(DATOS!$G8122=CONFIG_METADATA!$B$4),IF(DATOS!$G8122="EX",1,IF(DATOS!$G8122="OR",--(COUNTIFS(nNIA,DATOS!$A8122,nCURSO,DATOS!$D8122,nESPEC,DATOS!$E8122,nASIG,DATOS!$I8122,nEVAL,"EX")=0),0))))</f>
      </c>
      <c r="H8122">
        <f>IF(DATOS!$G8122&lt;&gt;"EX",0,--(COUNTIFS(nNIA,DATOS!$A8122,nCURSO,DATOS!$D8122,nESPEC,DATOS!$E8122,nASIG,DATOS!$I8122,nEVAL,"OR")=0))</f>
      </c>
      <c r="I8122">
        <f>IF(DATOS!$I8122="","",IFERROR(VLOOKUP(DATOS!$I8122,CONFIG_ASIGNATURAS!$B$2:$J$91,9,FALSE()),""))</f>
      </c>
    </row>
    <row r="8123">
      <c r="F8123">
        <f>IF(DATOS!$A8123="","",DATOS!$A8123&amp;"|"&amp;DATOS!$D8123&amp;"|"&amp;DATOS!$E8123&amp;"|"&amp;DATOS!$I8123)</f>
      </c>
      <c r="G8123">
        <f>IF(DATOS!$A8123="",0,IF(CONFIG_METADATA!$B$4&lt;&gt;"OR+EX",--(DATOS!$G8123=CONFIG_METADATA!$B$4),IF(DATOS!$G8123="EX",1,IF(DATOS!$G8123="OR",--(COUNTIFS(nNIA,DATOS!$A8123,nCURSO,DATOS!$D8123,nESPEC,DATOS!$E8123,nASIG,DATOS!$I8123,nEVAL,"EX")=0),0))))</f>
      </c>
      <c r="H8123">
        <f>IF(DATOS!$G8123&lt;&gt;"EX",0,--(COUNTIFS(nNIA,DATOS!$A8123,nCURSO,DATOS!$D8123,nESPEC,DATOS!$E8123,nASIG,DATOS!$I8123,nEVAL,"OR")=0))</f>
      </c>
      <c r="I8123">
        <f>IF(DATOS!$I8123="","",IFERROR(VLOOKUP(DATOS!$I8123,CONFIG_ASIGNATURAS!$B$2:$J$91,9,FALSE()),""))</f>
      </c>
    </row>
    <row r="8124">
      <c r="F8124">
        <f>IF(DATOS!$A8124="","",DATOS!$A8124&amp;"|"&amp;DATOS!$D8124&amp;"|"&amp;DATOS!$E8124&amp;"|"&amp;DATOS!$I8124)</f>
      </c>
      <c r="G8124">
        <f>IF(DATOS!$A8124="",0,IF(CONFIG_METADATA!$B$4&lt;&gt;"OR+EX",--(DATOS!$G8124=CONFIG_METADATA!$B$4),IF(DATOS!$G8124="EX",1,IF(DATOS!$G8124="OR",--(COUNTIFS(nNIA,DATOS!$A8124,nCURSO,DATOS!$D8124,nESPEC,DATOS!$E8124,nASIG,DATOS!$I8124,nEVAL,"EX")=0),0))))</f>
      </c>
      <c r="H8124">
        <f>IF(DATOS!$G8124&lt;&gt;"EX",0,--(COUNTIFS(nNIA,DATOS!$A8124,nCURSO,DATOS!$D8124,nESPEC,DATOS!$E8124,nASIG,DATOS!$I8124,nEVAL,"OR")=0))</f>
      </c>
      <c r="I8124">
        <f>IF(DATOS!$I8124="","",IFERROR(VLOOKUP(DATOS!$I8124,CONFIG_ASIGNATURAS!$B$2:$J$91,9,FALSE()),""))</f>
      </c>
    </row>
    <row r="8125">
      <c r="F8125">
        <f>IF(DATOS!$A8125="","",DATOS!$A8125&amp;"|"&amp;DATOS!$D8125&amp;"|"&amp;DATOS!$E8125&amp;"|"&amp;DATOS!$I8125)</f>
      </c>
      <c r="G8125">
        <f>IF(DATOS!$A8125="",0,IF(CONFIG_METADATA!$B$4&lt;&gt;"OR+EX",--(DATOS!$G8125=CONFIG_METADATA!$B$4),IF(DATOS!$G8125="EX",1,IF(DATOS!$G8125="OR",--(COUNTIFS(nNIA,DATOS!$A8125,nCURSO,DATOS!$D8125,nESPEC,DATOS!$E8125,nASIG,DATOS!$I8125,nEVAL,"EX")=0),0))))</f>
      </c>
      <c r="H8125">
        <f>IF(DATOS!$G8125&lt;&gt;"EX",0,--(COUNTIFS(nNIA,DATOS!$A8125,nCURSO,DATOS!$D8125,nESPEC,DATOS!$E8125,nASIG,DATOS!$I8125,nEVAL,"OR")=0))</f>
      </c>
      <c r="I8125">
        <f>IF(DATOS!$I8125="","",IFERROR(VLOOKUP(DATOS!$I8125,CONFIG_ASIGNATURAS!$B$2:$J$91,9,FALSE()),""))</f>
      </c>
    </row>
    <row r="8126">
      <c r="F8126">
        <f>IF(DATOS!$A8126="","",DATOS!$A8126&amp;"|"&amp;DATOS!$D8126&amp;"|"&amp;DATOS!$E8126&amp;"|"&amp;DATOS!$I8126)</f>
      </c>
      <c r="G8126">
        <f>IF(DATOS!$A8126="",0,IF(CONFIG_METADATA!$B$4&lt;&gt;"OR+EX",--(DATOS!$G8126=CONFIG_METADATA!$B$4),IF(DATOS!$G8126="EX",1,IF(DATOS!$G8126="OR",--(COUNTIFS(nNIA,DATOS!$A8126,nCURSO,DATOS!$D8126,nESPEC,DATOS!$E8126,nASIG,DATOS!$I8126,nEVAL,"EX")=0),0))))</f>
      </c>
      <c r="H8126">
        <f>IF(DATOS!$G8126&lt;&gt;"EX",0,--(COUNTIFS(nNIA,DATOS!$A8126,nCURSO,DATOS!$D8126,nESPEC,DATOS!$E8126,nASIG,DATOS!$I8126,nEVAL,"OR")=0))</f>
      </c>
      <c r="I8126">
        <f>IF(DATOS!$I8126="","",IFERROR(VLOOKUP(DATOS!$I8126,CONFIG_ASIGNATURAS!$B$2:$J$91,9,FALSE()),""))</f>
      </c>
    </row>
    <row r="8127">
      <c r="F8127">
        <f>IF(DATOS!$A8127="","",DATOS!$A8127&amp;"|"&amp;DATOS!$D8127&amp;"|"&amp;DATOS!$E8127&amp;"|"&amp;DATOS!$I8127)</f>
      </c>
      <c r="G8127">
        <f>IF(DATOS!$A8127="",0,IF(CONFIG_METADATA!$B$4&lt;&gt;"OR+EX",--(DATOS!$G8127=CONFIG_METADATA!$B$4),IF(DATOS!$G8127="EX",1,IF(DATOS!$G8127="OR",--(COUNTIFS(nNIA,DATOS!$A8127,nCURSO,DATOS!$D8127,nESPEC,DATOS!$E8127,nASIG,DATOS!$I8127,nEVAL,"EX")=0),0))))</f>
      </c>
      <c r="H8127">
        <f>IF(DATOS!$G8127&lt;&gt;"EX",0,--(COUNTIFS(nNIA,DATOS!$A8127,nCURSO,DATOS!$D8127,nESPEC,DATOS!$E8127,nASIG,DATOS!$I8127,nEVAL,"OR")=0))</f>
      </c>
      <c r="I8127">
        <f>IF(DATOS!$I8127="","",IFERROR(VLOOKUP(DATOS!$I8127,CONFIG_ASIGNATURAS!$B$2:$J$91,9,FALSE()),""))</f>
      </c>
    </row>
    <row r="8128">
      <c r="F8128">
        <f>IF(DATOS!$A8128="","",DATOS!$A8128&amp;"|"&amp;DATOS!$D8128&amp;"|"&amp;DATOS!$E8128&amp;"|"&amp;DATOS!$I8128)</f>
      </c>
      <c r="G8128">
        <f>IF(DATOS!$A8128="",0,IF(CONFIG_METADATA!$B$4&lt;&gt;"OR+EX",--(DATOS!$G8128=CONFIG_METADATA!$B$4),IF(DATOS!$G8128="EX",1,IF(DATOS!$G8128="OR",--(COUNTIFS(nNIA,DATOS!$A8128,nCURSO,DATOS!$D8128,nESPEC,DATOS!$E8128,nASIG,DATOS!$I8128,nEVAL,"EX")=0),0))))</f>
      </c>
      <c r="H8128">
        <f>IF(DATOS!$G8128&lt;&gt;"EX",0,--(COUNTIFS(nNIA,DATOS!$A8128,nCURSO,DATOS!$D8128,nESPEC,DATOS!$E8128,nASIG,DATOS!$I8128,nEVAL,"OR")=0))</f>
      </c>
      <c r="I8128">
        <f>IF(DATOS!$I8128="","",IFERROR(VLOOKUP(DATOS!$I8128,CONFIG_ASIGNATURAS!$B$2:$J$91,9,FALSE()),""))</f>
      </c>
    </row>
    <row r="8129">
      <c r="F8129">
        <f>IF(DATOS!$A8129="","",DATOS!$A8129&amp;"|"&amp;DATOS!$D8129&amp;"|"&amp;DATOS!$E8129&amp;"|"&amp;DATOS!$I8129)</f>
      </c>
      <c r="G8129">
        <f>IF(DATOS!$A8129="",0,IF(CONFIG_METADATA!$B$4&lt;&gt;"OR+EX",--(DATOS!$G8129=CONFIG_METADATA!$B$4),IF(DATOS!$G8129="EX",1,IF(DATOS!$G8129="OR",--(COUNTIFS(nNIA,DATOS!$A8129,nCURSO,DATOS!$D8129,nESPEC,DATOS!$E8129,nASIG,DATOS!$I8129,nEVAL,"EX")=0),0))))</f>
      </c>
      <c r="H8129">
        <f>IF(DATOS!$G8129&lt;&gt;"EX",0,--(COUNTIFS(nNIA,DATOS!$A8129,nCURSO,DATOS!$D8129,nESPEC,DATOS!$E8129,nASIG,DATOS!$I8129,nEVAL,"OR")=0))</f>
      </c>
      <c r="I8129">
        <f>IF(DATOS!$I8129="","",IFERROR(VLOOKUP(DATOS!$I8129,CONFIG_ASIGNATURAS!$B$2:$J$91,9,FALSE()),""))</f>
      </c>
    </row>
    <row r="8130">
      <c r="F8130">
        <f>IF(DATOS!$A8130="","",DATOS!$A8130&amp;"|"&amp;DATOS!$D8130&amp;"|"&amp;DATOS!$E8130&amp;"|"&amp;DATOS!$I8130)</f>
      </c>
      <c r="G8130">
        <f>IF(DATOS!$A8130="",0,IF(CONFIG_METADATA!$B$4&lt;&gt;"OR+EX",--(DATOS!$G8130=CONFIG_METADATA!$B$4),IF(DATOS!$G8130="EX",1,IF(DATOS!$G8130="OR",--(COUNTIFS(nNIA,DATOS!$A8130,nCURSO,DATOS!$D8130,nESPEC,DATOS!$E8130,nASIG,DATOS!$I8130,nEVAL,"EX")=0),0))))</f>
      </c>
      <c r="H8130">
        <f>IF(DATOS!$G8130&lt;&gt;"EX",0,--(COUNTIFS(nNIA,DATOS!$A8130,nCURSO,DATOS!$D8130,nESPEC,DATOS!$E8130,nASIG,DATOS!$I8130,nEVAL,"OR")=0))</f>
      </c>
      <c r="I8130">
        <f>IF(DATOS!$I8130="","",IFERROR(VLOOKUP(DATOS!$I8130,CONFIG_ASIGNATURAS!$B$2:$J$91,9,FALSE()),""))</f>
      </c>
    </row>
    <row r="8131">
      <c r="F8131">
        <f>IF(DATOS!$A8131="","",DATOS!$A8131&amp;"|"&amp;DATOS!$D8131&amp;"|"&amp;DATOS!$E8131&amp;"|"&amp;DATOS!$I8131)</f>
      </c>
      <c r="G8131">
        <f>IF(DATOS!$A8131="",0,IF(CONFIG_METADATA!$B$4&lt;&gt;"OR+EX",--(DATOS!$G8131=CONFIG_METADATA!$B$4),IF(DATOS!$G8131="EX",1,IF(DATOS!$G8131="OR",--(COUNTIFS(nNIA,DATOS!$A8131,nCURSO,DATOS!$D8131,nESPEC,DATOS!$E8131,nASIG,DATOS!$I8131,nEVAL,"EX")=0),0))))</f>
      </c>
      <c r="H8131">
        <f>IF(DATOS!$G8131&lt;&gt;"EX",0,--(COUNTIFS(nNIA,DATOS!$A8131,nCURSO,DATOS!$D8131,nESPEC,DATOS!$E8131,nASIG,DATOS!$I8131,nEVAL,"OR")=0))</f>
      </c>
      <c r="I8131">
        <f>IF(DATOS!$I8131="","",IFERROR(VLOOKUP(DATOS!$I8131,CONFIG_ASIGNATURAS!$B$2:$J$91,9,FALSE()),""))</f>
      </c>
    </row>
    <row r="8132">
      <c r="F8132">
        <f>IF(DATOS!$A8132="","",DATOS!$A8132&amp;"|"&amp;DATOS!$D8132&amp;"|"&amp;DATOS!$E8132&amp;"|"&amp;DATOS!$I8132)</f>
      </c>
      <c r="G8132">
        <f>IF(DATOS!$A8132="",0,IF(CONFIG_METADATA!$B$4&lt;&gt;"OR+EX",--(DATOS!$G8132=CONFIG_METADATA!$B$4),IF(DATOS!$G8132="EX",1,IF(DATOS!$G8132="OR",--(COUNTIFS(nNIA,DATOS!$A8132,nCURSO,DATOS!$D8132,nESPEC,DATOS!$E8132,nASIG,DATOS!$I8132,nEVAL,"EX")=0),0))))</f>
      </c>
      <c r="H8132">
        <f>IF(DATOS!$G8132&lt;&gt;"EX",0,--(COUNTIFS(nNIA,DATOS!$A8132,nCURSO,DATOS!$D8132,nESPEC,DATOS!$E8132,nASIG,DATOS!$I8132,nEVAL,"OR")=0))</f>
      </c>
      <c r="I8132">
        <f>IF(DATOS!$I8132="","",IFERROR(VLOOKUP(DATOS!$I8132,CONFIG_ASIGNATURAS!$B$2:$J$91,9,FALSE()),""))</f>
      </c>
    </row>
    <row r="8133">
      <c r="F8133">
        <f>IF(DATOS!$A8133="","",DATOS!$A8133&amp;"|"&amp;DATOS!$D8133&amp;"|"&amp;DATOS!$E8133&amp;"|"&amp;DATOS!$I8133)</f>
      </c>
      <c r="G8133">
        <f>IF(DATOS!$A8133="",0,IF(CONFIG_METADATA!$B$4&lt;&gt;"OR+EX",--(DATOS!$G8133=CONFIG_METADATA!$B$4),IF(DATOS!$G8133="EX",1,IF(DATOS!$G8133="OR",--(COUNTIFS(nNIA,DATOS!$A8133,nCURSO,DATOS!$D8133,nESPEC,DATOS!$E8133,nASIG,DATOS!$I8133,nEVAL,"EX")=0),0))))</f>
      </c>
      <c r="H8133">
        <f>IF(DATOS!$G8133&lt;&gt;"EX",0,--(COUNTIFS(nNIA,DATOS!$A8133,nCURSO,DATOS!$D8133,nESPEC,DATOS!$E8133,nASIG,DATOS!$I8133,nEVAL,"OR")=0))</f>
      </c>
      <c r="I8133">
        <f>IF(DATOS!$I8133="","",IFERROR(VLOOKUP(DATOS!$I8133,CONFIG_ASIGNATURAS!$B$2:$J$91,9,FALSE()),""))</f>
      </c>
    </row>
    <row r="8134">
      <c r="F8134">
        <f>IF(DATOS!$A8134="","",DATOS!$A8134&amp;"|"&amp;DATOS!$D8134&amp;"|"&amp;DATOS!$E8134&amp;"|"&amp;DATOS!$I8134)</f>
      </c>
      <c r="G8134">
        <f>IF(DATOS!$A8134="",0,IF(CONFIG_METADATA!$B$4&lt;&gt;"OR+EX",--(DATOS!$G8134=CONFIG_METADATA!$B$4),IF(DATOS!$G8134="EX",1,IF(DATOS!$G8134="OR",--(COUNTIFS(nNIA,DATOS!$A8134,nCURSO,DATOS!$D8134,nESPEC,DATOS!$E8134,nASIG,DATOS!$I8134,nEVAL,"EX")=0),0))))</f>
      </c>
      <c r="H8134">
        <f>IF(DATOS!$G8134&lt;&gt;"EX",0,--(COUNTIFS(nNIA,DATOS!$A8134,nCURSO,DATOS!$D8134,nESPEC,DATOS!$E8134,nASIG,DATOS!$I8134,nEVAL,"OR")=0))</f>
      </c>
      <c r="I8134">
        <f>IF(DATOS!$I8134="","",IFERROR(VLOOKUP(DATOS!$I8134,CONFIG_ASIGNATURAS!$B$2:$J$91,9,FALSE()),""))</f>
      </c>
    </row>
    <row r="8135">
      <c r="F8135">
        <f>IF(DATOS!$A8135="","",DATOS!$A8135&amp;"|"&amp;DATOS!$D8135&amp;"|"&amp;DATOS!$E8135&amp;"|"&amp;DATOS!$I8135)</f>
      </c>
      <c r="G8135">
        <f>IF(DATOS!$A8135="",0,IF(CONFIG_METADATA!$B$4&lt;&gt;"OR+EX",--(DATOS!$G8135=CONFIG_METADATA!$B$4),IF(DATOS!$G8135="EX",1,IF(DATOS!$G8135="OR",--(COUNTIFS(nNIA,DATOS!$A8135,nCURSO,DATOS!$D8135,nESPEC,DATOS!$E8135,nASIG,DATOS!$I8135,nEVAL,"EX")=0),0))))</f>
      </c>
      <c r="H8135">
        <f>IF(DATOS!$G8135&lt;&gt;"EX",0,--(COUNTIFS(nNIA,DATOS!$A8135,nCURSO,DATOS!$D8135,nESPEC,DATOS!$E8135,nASIG,DATOS!$I8135,nEVAL,"OR")=0))</f>
      </c>
      <c r="I8135">
        <f>IF(DATOS!$I8135="","",IFERROR(VLOOKUP(DATOS!$I8135,CONFIG_ASIGNATURAS!$B$2:$J$91,9,FALSE()),""))</f>
      </c>
    </row>
    <row r="8136">
      <c r="F8136">
        <f>IF(DATOS!$A8136="","",DATOS!$A8136&amp;"|"&amp;DATOS!$D8136&amp;"|"&amp;DATOS!$E8136&amp;"|"&amp;DATOS!$I8136)</f>
      </c>
      <c r="G8136">
        <f>IF(DATOS!$A8136="",0,IF(CONFIG_METADATA!$B$4&lt;&gt;"OR+EX",--(DATOS!$G8136=CONFIG_METADATA!$B$4),IF(DATOS!$G8136="EX",1,IF(DATOS!$G8136="OR",--(COUNTIFS(nNIA,DATOS!$A8136,nCURSO,DATOS!$D8136,nESPEC,DATOS!$E8136,nASIG,DATOS!$I8136,nEVAL,"EX")=0),0))))</f>
      </c>
      <c r="H8136">
        <f>IF(DATOS!$G8136&lt;&gt;"EX",0,--(COUNTIFS(nNIA,DATOS!$A8136,nCURSO,DATOS!$D8136,nESPEC,DATOS!$E8136,nASIG,DATOS!$I8136,nEVAL,"OR")=0))</f>
      </c>
      <c r="I8136">
        <f>IF(DATOS!$I8136="","",IFERROR(VLOOKUP(DATOS!$I8136,CONFIG_ASIGNATURAS!$B$2:$J$91,9,FALSE()),""))</f>
      </c>
    </row>
    <row r="8137">
      <c r="F8137">
        <f>IF(DATOS!$A8137="","",DATOS!$A8137&amp;"|"&amp;DATOS!$D8137&amp;"|"&amp;DATOS!$E8137&amp;"|"&amp;DATOS!$I8137)</f>
      </c>
      <c r="G8137">
        <f>IF(DATOS!$A8137="",0,IF(CONFIG_METADATA!$B$4&lt;&gt;"OR+EX",--(DATOS!$G8137=CONFIG_METADATA!$B$4),IF(DATOS!$G8137="EX",1,IF(DATOS!$G8137="OR",--(COUNTIFS(nNIA,DATOS!$A8137,nCURSO,DATOS!$D8137,nESPEC,DATOS!$E8137,nASIG,DATOS!$I8137,nEVAL,"EX")=0),0))))</f>
      </c>
      <c r="H8137">
        <f>IF(DATOS!$G8137&lt;&gt;"EX",0,--(COUNTIFS(nNIA,DATOS!$A8137,nCURSO,DATOS!$D8137,nESPEC,DATOS!$E8137,nASIG,DATOS!$I8137,nEVAL,"OR")=0))</f>
      </c>
      <c r="I8137">
        <f>IF(DATOS!$I8137="","",IFERROR(VLOOKUP(DATOS!$I8137,CONFIG_ASIGNATURAS!$B$2:$J$91,9,FALSE()),""))</f>
      </c>
    </row>
    <row r="8138">
      <c r="F8138">
        <f>IF(DATOS!$A8138="","",DATOS!$A8138&amp;"|"&amp;DATOS!$D8138&amp;"|"&amp;DATOS!$E8138&amp;"|"&amp;DATOS!$I8138)</f>
      </c>
      <c r="G8138">
        <f>IF(DATOS!$A8138="",0,IF(CONFIG_METADATA!$B$4&lt;&gt;"OR+EX",--(DATOS!$G8138=CONFIG_METADATA!$B$4),IF(DATOS!$G8138="EX",1,IF(DATOS!$G8138="OR",--(COUNTIFS(nNIA,DATOS!$A8138,nCURSO,DATOS!$D8138,nESPEC,DATOS!$E8138,nASIG,DATOS!$I8138,nEVAL,"EX")=0),0))))</f>
      </c>
      <c r="H8138">
        <f>IF(DATOS!$G8138&lt;&gt;"EX",0,--(COUNTIFS(nNIA,DATOS!$A8138,nCURSO,DATOS!$D8138,nESPEC,DATOS!$E8138,nASIG,DATOS!$I8138,nEVAL,"OR")=0))</f>
      </c>
      <c r="I8138">
        <f>IF(DATOS!$I8138="","",IFERROR(VLOOKUP(DATOS!$I8138,CONFIG_ASIGNATURAS!$B$2:$J$91,9,FALSE()),""))</f>
      </c>
    </row>
    <row r="8139">
      <c r="F8139">
        <f>IF(DATOS!$A8139="","",DATOS!$A8139&amp;"|"&amp;DATOS!$D8139&amp;"|"&amp;DATOS!$E8139&amp;"|"&amp;DATOS!$I8139)</f>
      </c>
      <c r="G8139">
        <f>IF(DATOS!$A8139="",0,IF(CONFIG_METADATA!$B$4&lt;&gt;"OR+EX",--(DATOS!$G8139=CONFIG_METADATA!$B$4),IF(DATOS!$G8139="EX",1,IF(DATOS!$G8139="OR",--(COUNTIFS(nNIA,DATOS!$A8139,nCURSO,DATOS!$D8139,nESPEC,DATOS!$E8139,nASIG,DATOS!$I8139,nEVAL,"EX")=0),0))))</f>
      </c>
      <c r="H8139">
        <f>IF(DATOS!$G8139&lt;&gt;"EX",0,--(COUNTIFS(nNIA,DATOS!$A8139,nCURSO,DATOS!$D8139,nESPEC,DATOS!$E8139,nASIG,DATOS!$I8139,nEVAL,"OR")=0))</f>
      </c>
      <c r="I8139">
        <f>IF(DATOS!$I8139="","",IFERROR(VLOOKUP(DATOS!$I8139,CONFIG_ASIGNATURAS!$B$2:$J$91,9,FALSE()),""))</f>
      </c>
    </row>
    <row r="8140">
      <c r="F8140">
        <f>IF(DATOS!$A8140="","",DATOS!$A8140&amp;"|"&amp;DATOS!$D8140&amp;"|"&amp;DATOS!$E8140&amp;"|"&amp;DATOS!$I8140)</f>
      </c>
      <c r="G8140">
        <f>IF(DATOS!$A8140="",0,IF(CONFIG_METADATA!$B$4&lt;&gt;"OR+EX",--(DATOS!$G8140=CONFIG_METADATA!$B$4),IF(DATOS!$G8140="EX",1,IF(DATOS!$G8140="OR",--(COUNTIFS(nNIA,DATOS!$A8140,nCURSO,DATOS!$D8140,nESPEC,DATOS!$E8140,nASIG,DATOS!$I8140,nEVAL,"EX")=0),0))))</f>
      </c>
      <c r="H8140">
        <f>IF(DATOS!$G8140&lt;&gt;"EX",0,--(COUNTIFS(nNIA,DATOS!$A8140,nCURSO,DATOS!$D8140,nESPEC,DATOS!$E8140,nASIG,DATOS!$I8140,nEVAL,"OR")=0))</f>
      </c>
      <c r="I8140">
        <f>IF(DATOS!$I8140="","",IFERROR(VLOOKUP(DATOS!$I8140,CONFIG_ASIGNATURAS!$B$2:$J$91,9,FALSE()),""))</f>
      </c>
    </row>
    <row r="8141">
      <c r="F8141">
        <f>IF(DATOS!$A8141="","",DATOS!$A8141&amp;"|"&amp;DATOS!$D8141&amp;"|"&amp;DATOS!$E8141&amp;"|"&amp;DATOS!$I8141)</f>
      </c>
      <c r="G8141">
        <f>IF(DATOS!$A8141="",0,IF(CONFIG_METADATA!$B$4&lt;&gt;"OR+EX",--(DATOS!$G8141=CONFIG_METADATA!$B$4),IF(DATOS!$G8141="EX",1,IF(DATOS!$G8141="OR",--(COUNTIFS(nNIA,DATOS!$A8141,nCURSO,DATOS!$D8141,nESPEC,DATOS!$E8141,nASIG,DATOS!$I8141,nEVAL,"EX")=0),0))))</f>
      </c>
      <c r="H8141">
        <f>IF(DATOS!$G8141&lt;&gt;"EX",0,--(COUNTIFS(nNIA,DATOS!$A8141,nCURSO,DATOS!$D8141,nESPEC,DATOS!$E8141,nASIG,DATOS!$I8141,nEVAL,"OR")=0))</f>
      </c>
      <c r="I8141">
        <f>IF(DATOS!$I8141="","",IFERROR(VLOOKUP(DATOS!$I8141,CONFIG_ASIGNATURAS!$B$2:$J$91,9,FALSE()),""))</f>
      </c>
    </row>
    <row r="8142">
      <c r="F8142">
        <f>IF(DATOS!$A8142="","",DATOS!$A8142&amp;"|"&amp;DATOS!$D8142&amp;"|"&amp;DATOS!$E8142&amp;"|"&amp;DATOS!$I8142)</f>
      </c>
      <c r="G8142">
        <f>IF(DATOS!$A8142="",0,IF(CONFIG_METADATA!$B$4&lt;&gt;"OR+EX",--(DATOS!$G8142=CONFIG_METADATA!$B$4),IF(DATOS!$G8142="EX",1,IF(DATOS!$G8142="OR",--(COUNTIFS(nNIA,DATOS!$A8142,nCURSO,DATOS!$D8142,nESPEC,DATOS!$E8142,nASIG,DATOS!$I8142,nEVAL,"EX")=0),0))))</f>
      </c>
      <c r="H8142">
        <f>IF(DATOS!$G8142&lt;&gt;"EX",0,--(COUNTIFS(nNIA,DATOS!$A8142,nCURSO,DATOS!$D8142,nESPEC,DATOS!$E8142,nASIG,DATOS!$I8142,nEVAL,"OR")=0))</f>
      </c>
      <c r="I8142">
        <f>IF(DATOS!$I8142="","",IFERROR(VLOOKUP(DATOS!$I8142,CONFIG_ASIGNATURAS!$B$2:$J$91,9,FALSE()),""))</f>
      </c>
    </row>
    <row r="8143">
      <c r="F8143">
        <f>IF(DATOS!$A8143="","",DATOS!$A8143&amp;"|"&amp;DATOS!$D8143&amp;"|"&amp;DATOS!$E8143&amp;"|"&amp;DATOS!$I8143)</f>
      </c>
      <c r="G8143">
        <f>IF(DATOS!$A8143="",0,IF(CONFIG_METADATA!$B$4&lt;&gt;"OR+EX",--(DATOS!$G8143=CONFIG_METADATA!$B$4),IF(DATOS!$G8143="EX",1,IF(DATOS!$G8143="OR",--(COUNTIFS(nNIA,DATOS!$A8143,nCURSO,DATOS!$D8143,nESPEC,DATOS!$E8143,nASIG,DATOS!$I8143,nEVAL,"EX")=0),0))))</f>
      </c>
      <c r="H8143">
        <f>IF(DATOS!$G8143&lt;&gt;"EX",0,--(COUNTIFS(nNIA,DATOS!$A8143,nCURSO,DATOS!$D8143,nESPEC,DATOS!$E8143,nASIG,DATOS!$I8143,nEVAL,"OR")=0))</f>
      </c>
      <c r="I8143">
        <f>IF(DATOS!$I8143="","",IFERROR(VLOOKUP(DATOS!$I8143,CONFIG_ASIGNATURAS!$B$2:$J$91,9,FALSE()),""))</f>
      </c>
    </row>
    <row r="8144">
      <c r="F8144">
        <f>IF(DATOS!$A8144="","",DATOS!$A8144&amp;"|"&amp;DATOS!$D8144&amp;"|"&amp;DATOS!$E8144&amp;"|"&amp;DATOS!$I8144)</f>
      </c>
      <c r="G8144">
        <f>IF(DATOS!$A8144="",0,IF(CONFIG_METADATA!$B$4&lt;&gt;"OR+EX",--(DATOS!$G8144=CONFIG_METADATA!$B$4),IF(DATOS!$G8144="EX",1,IF(DATOS!$G8144="OR",--(COUNTIFS(nNIA,DATOS!$A8144,nCURSO,DATOS!$D8144,nESPEC,DATOS!$E8144,nASIG,DATOS!$I8144,nEVAL,"EX")=0),0))))</f>
      </c>
      <c r="H8144">
        <f>IF(DATOS!$G8144&lt;&gt;"EX",0,--(COUNTIFS(nNIA,DATOS!$A8144,nCURSO,DATOS!$D8144,nESPEC,DATOS!$E8144,nASIG,DATOS!$I8144,nEVAL,"OR")=0))</f>
      </c>
      <c r="I8144">
        <f>IF(DATOS!$I8144="","",IFERROR(VLOOKUP(DATOS!$I8144,CONFIG_ASIGNATURAS!$B$2:$J$91,9,FALSE()),""))</f>
      </c>
    </row>
    <row r="8145">
      <c r="F8145">
        <f>IF(DATOS!$A8145="","",DATOS!$A8145&amp;"|"&amp;DATOS!$D8145&amp;"|"&amp;DATOS!$E8145&amp;"|"&amp;DATOS!$I8145)</f>
      </c>
      <c r="G8145">
        <f>IF(DATOS!$A8145="",0,IF(CONFIG_METADATA!$B$4&lt;&gt;"OR+EX",--(DATOS!$G8145=CONFIG_METADATA!$B$4),IF(DATOS!$G8145="EX",1,IF(DATOS!$G8145="OR",--(COUNTIFS(nNIA,DATOS!$A8145,nCURSO,DATOS!$D8145,nESPEC,DATOS!$E8145,nASIG,DATOS!$I8145,nEVAL,"EX")=0),0))))</f>
      </c>
      <c r="H8145">
        <f>IF(DATOS!$G8145&lt;&gt;"EX",0,--(COUNTIFS(nNIA,DATOS!$A8145,nCURSO,DATOS!$D8145,nESPEC,DATOS!$E8145,nASIG,DATOS!$I8145,nEVAL,"OR")=0))</f>
      </c>
      <c r="I8145">
        <f>IF(DATOS!$I8145="","",IFERROR(VLOOKUP(DATOS!$I8145,CONFIG_ASIGNATURAS!$B$2:$J$91,9,FALSE()),""))</f>
      </c>
    </row>
    <row r="8146">
      <c r="F8146">
        <f>IF(DATOS!$A8146="","",DATOS!$A8146&amp;"|"&amp;DATOS!$D8146&amp;"|"&amp;DATOS!$E8146&amp;"|"&amp;DATOS!$I8146)</f>
      </c>
      <c r="G8146">
        <f>IF(DATOS!$A8146="",0,IF(CONFIG_METADATA!$B$4&lt;&gt;"OR+EX",--(DATOS!$G8146=CONFIG_METADATA!$B$4),IF(DATOS!$G8146="EX",1,IF(DATOS!$G8146="OR",--(COUNTIFS(nNIA,DATOS!$A8146,nCURSO,DATOS!$D8146,nESPEC,DATOS!$E8146,nASIG,DATOS!$I8146,nEVAL,"EX")=0),0))))</f>
      </c>
      <c r="H8146">
        <f>IF(DATOS!$G8146&lt;&gt;"EX",0,--(COUNTIFS(nNIA,DATOS!$A8146,nCURSO,DATOS!$D8146,nESPEC,DATOS!$E8146,nASIG,DATOS!$I8146,nEVAL,"OR")=0))</f>
      </c>
      <c r="I8146">
        <f>IF(DATOS!$I8146="","",IFERROR(VLOOKUP(DATOS!$I8146,CONFIG_ASIGNATURAS!$B$2:$J$91,9,FALSE()),""))</f>
      </c>
    </row>
    <row r="8147">
      <c r="F8147">
        <f>IF(DATOS!$A8147="","",DATOS!$A8147&amp;"|"&amp;DATOS!$D8147&amp;"|"&amp;DATOS!$E8147&amp;"|"&amp;DATOS!$I8147)</f>
      </c>
      <c r="G8147">
        <f>IF(DATOS!$A8147="",0,IF(CONFIG_METADATA!$B$4&lt;&gt;"OR+EX",--(DATOS!$G8147=CONFIG_METADATA!$B$4),IF(DATOS!$G8147="EX",1,IF(DATOS!$G8147="OR",--(COUNTIFS(nNIA,DATOS!$A8147,nCURSO,DATOS!$D8147,nESPEC,DATOS!$E8147,nASIG,DATOS!$I8147,nEVAL,"EX")=0),0))))</f>
      </c>
      <c r="H8147">
        <f>IF(DATOS!$G8147&lt;&gt;"EX",0,--(COUNTIFS(nNIA,DATOS!$A8147,nCURSO,DATOS!$D8147,nESPEC,DATOS!$E8147,nASIG,DATOS!$I8147,nEVAL,"OR")=0))</f>
      </c>
      <c r="I8147">
        <f>IF(DATOS!$I8147="","",IFERROR(VLOOKUP(DATOS!$I8147,CONFIG_ASIGNATURAS!$B$2:$J$91,9,FALSE()),""))</f>
      </c>
    </row>
    <row r="8148">
      <c r="F8148">
        <f>IF(DATOS!$A8148="","",DATOS!$A8148&amp;"|"&amp;DATOS!$D8148&amp;"|"&amp;DATOS!$E8148&amp;"|"&amp;DATOS!$I8148)</f>
      </c>
      <c r="G8148">
        <f>IF(DATOS!$A8148="",0,IF(CONFIG_METADATA!$B$4&lt;&gt;"OR+EX",--(DATOS!$G8148=CONFIG_METADATA!$B$4),IF(DATOS!$G8148="EX",1,IF(DATOS!$G8148="OR",--(COUNTIFS(nNIA,DATOS!$A8148,nCURSO,DATOS!$D8148,nESPEC,DATOS!$E8148,nASIG,DATOS!$I8148,nEVAL,"EX")=0),0))))</f>
      </c>
      <c r="H8148">
        <f>IF(DATOS!$G8148&lt;&gt;"EX",0,--(COUNTIFS(nNIA,DATOS!$A8148,nCURSO,DATOS!$D8148,nESPEC,DATOS!$E8148,nASIG,DATOS!$I8148,nEVAL,"OR")=0))</f>
      </c>
      <c r="I8148">
        <f>IF(DATOS!$I8148="","",IFERROR(VLOOKUP(DATOS!$I8148,CONFIG_ASIGNATURAS!$B$2:$J$91,9,FALSE()),""))</f>
      </c>
    </row>
    <row r="8149">
      <c r="F8149">
        <f>IF(DATOS!$A8149="","",DATOS!$A8149&amp;"|"&amp;DATOS!$D8149&amp;"|"&amp;DATOS!$E8149&amp;"|"&amp;DATOS!$I8149)</f>
      </c>
      <c r="G8149">
        <f>IF(DATOS!$A8149="",0,IF(CONFIG_METADATA!$B$4&lt;&gt;"OR+EX",--(DATOS!$G8149=CONFIG_METADATA!$B$4),IF(DATOS!$G8149="EX",1,IF(DATOS!$G8149="OR",--(COUNTIFS(nNIA,DATOS!$A8149,nCURSO,DATOS!$D8149,nESPEC,DATOS!$E8149,nASIG,DATOS!$I8149,nEVAL,"EX")=0),0))))</f>
      </c>
      <c r="H8149">
        <f>IF(DATOS!$G8149&lt;&gt;"EX",0,--(COUNTIFS(nNIA,DATOS!$A8149,nCURSO,DATOS!$D8149,nESPEC,DATOS!$E8149,nASIG,DATOS!$I8149,nEVAL,"OR")=0))</f>
      </c>
      <c r="I8149">
        <f>IF(DATOS!$I8149="","",IFERROR(VLOOKUP(DATOS!$I8149,CONFIG_ASIGNATURAS!$B$2:$J$91,9,FALSE()),""))</f>
      </c>
    </row>
    <row r="8150">
      <c r="F8150">
        <f>IF(DATOS!$A8150="","",DATOS!$A8150&amp;"|"&amp;DATOS!$D8150&amp;"|"&amp;DATOS!$E8150&amp;"|"&amp;DATOS!$I8150)</f>
      </c>
      <c r="G8150">
        <f>IF(DATOS!$A8150="",0,IF(CONFIG_METADATA!$B$4&lt;&gt;"OR+EX",--(DATOS!$G8150=CONFIG_METADATA!$B$4),IF(DATOS!$G8150="EX",1,IF(DATOS!$G8150="OR",--(COUNTIFS(nNIA,DATOS!$A8150,nCURSO,DATOS!$D8150,nESPEC,DATOS!$E8150,nASIG,DATOS!$I8150,nEVAL,"EX")=0),0))))</f>
      </c>
      <c r="H8150">
        <f>IF(DATOS!$G8150&lt;&gt;"EX",0,--(COUNTIFS(nNIA,DATOS!$A8150,nCURSO,DATOS!$D8150,nESPEC,DATOS!$E8150,nASIG,DATOS!$I8150,nEVAL,"OR")=0))</f>
      </c>
      <c r="I8150">
        <f>IF(DATOS!$I8150="","",IFERROR(VLOOKUP(DATOS!$I8150,CONFIG_ASIGNATURAS!$B$2:$J$91,9,FALSE()),""))</f>
      </c>
    </row>
    <row r="8151">
      <c r="F8151">
        <f>IF(DATOS!$A8151="","",DATOS!$A8151&amp;"|"&amp;DATOS!$D8151&amp;"|"&amp;DATOS!$E8151&amp;"|"&amp;DATOS!$I8151)</f>
      </c>
      <c r="G8151">
        <f>IF(DATOS!$A8151="",0,IF(CONFIG_METADATA!$B$4&lt;&gt;"OR+EX",--(DATOS!$G8151=CONFIG_METADATA!$B$4),IF(DATOS!$G8151="EX",1,IF(DATOS!$G8151="OR",--(COUNTIFS(nNIA,DATOS!$A8151,nCURSO,DATOS!$D8151,nESPEC,DATOS!$E8151,nASIG,DATOS!$I8151,nEVAL,"EX")=0),0))))</f>
      </c>
      <c r="H8151">
        <f>IF(DATOS!$G8151&lt;&gt;"EX",0,--(COUNTIFS(nNIA,DATOS!$A8151,nCURSO,DATOS!$D8151,nESPEC,DATOS!$E8151,nASIG,DATOS!$I8151,nEVAL,"OR")=0))</f>
      </c>
      <c r="I8151">
        <f>IF(DATOS!$I8151="","",IFERROR(VLOOKUP(DATOS!$I8151,CONFIG_ASIGNATURAS!$B$2:$J$91,9,FALSE()),""))</f>
      </c>
    </row>
    <row r="8152">
      <c r="F8152">
        <f>IF(DATOS!$A8152="","",DATOS!$A8152&amp;"|"&amp;DATOS!$D8152&amp;"|"&amp;DATOS!$E8152&amp;"|"&amp;DATOS!$I8152)</f>
      </c>
      <c r="G8152">
        <f>IF(DATOS!$A8152="",0,IF(CONFIG_METADATA!$B$4&lt;&gt;"OR+EX",--(DATOS!$G8152=CONFIG_METADATA!$B$4),IF(DATOS!$G8152="EX",1,IF(DATOS!$G8152="OR",--(COUNTIFS(nNIA,DATOS!$A8152,nCURSO,DATOS!$D8152,nESPEC,DATOS!$E8152,nASIG,DATOS!$I8152,nEVAL,"EX")=0),0))))</f>
      </c>
      <c r="H8152">
        <f>IF(DATOS!$G8152&lt;&gt;"EX",0,--(COUNTIFS(nNIA,DATOS!$A8152,nCURSO,DATOS!$D8152,nESPEC,DATOS!$E8152,nASIG,DATOS!$I8152,nEVAL,"OR")=0))</f>
      </c>
      <c r="I8152">
        <f>IF(DATOS!$I8152="","",IFERROR(VLOOKUP(DATOS!$I8152,CONFIG_ASIGNATURAS!$B$2:$J$91,9,FALSE()),""))</f>
      </c>
    </row>
    <row r="8153">
      <c r="F8153">
        <f>IF(DATOS!$A8153="","",DATOS!$A8153&amp;"|"&amp;DATOS!$D8153&amp;"|"&amp;DATOS!$E8153&amp;"|"&amp;DATOS!$I8153)</f>
      </c>
      <c r="G8153">
        <f>IF(DATOS!$A8153="",0,IF(CONFIG_METADATA!$B$4&lt;&gt;"OR+EX",--(DATOS!$G8153=CONFIG_METADATA!$B$4),IF(DATOS!$G8153="EX",1,IF(DATOS!$G8153="OR",--(COUNTIFS(nNIA,DATOS!$A8153,nCURSO,DATOS!$D8153,nESPEC,DATOS!$E8153,nASIG,DATOS!$I8153,nEVAL,"EX")=0),0))))</f>
      </c>
      <c r="H8153">
        <f>IF(DATOS!$G8153&lt;&gt;"EX",0,--(COUNTIFS(nNIA,DATOS!$A8153,nCURSO,DATOS!$D8153,nESPEC,DATOS!$E8153,nASIG,DATOS!$I8153,nEVAL,"OR")=0))</f>
      </c>
      <c r="I8153">
        <f>IF(DATOS!$I8153="","",IFERROR(VLOOKUP(DATOS!$I8153,CONFIG_ASIGNATURAS!$B$2:$J$91,9,FALSE()),""))</f>
      </c>
    </row>
    <row r="8154">
      <c r="F8154">
        <f>IF(DATOS!$A8154="","",DATOS!$A8154&amp;"|"&amp;DATOS!$D8154&amp;"|"&amp;DATOS!$E8154&amp;"|"&amp;DATOS!$I8154)</f>
      </c>
      <c r="G8154">
        <f>IF(DATOS!$A8154="",0,IF(CONFIG_METADATA!$B$4&lt;&gt;"OR+EX",--(DATOS!$G8154=CONFIG_METADATA!$B$4),IF(DATOS!$G8154="EX",1,IF(DATOS!$G8154="OR",--(COUNTIFS(nNIA,DATOS!$A8154,nCURSO,DATOS!$D8154,nESPEC,DATOS!$E8154,nASIG,DATOS!$I8154,nEVAL,"EX")=0),0))))</f>
      </c>
      <c r="H8154">
        <f>IF(DATOS!$G8154&lt;&gt;"EX",0,--(COUNTIFS(nNIA,DATOS!$A8154,nCURSO,DATOS!$D8154,nESPEC,DATOS!$E8154,nASIG,DATOS!$I8154,nEVAL,"OR")=0))</f>
      </c>
      <c r="I8154">
        <f>IF(DATOS!$I8154="","",IFERROR(VLOOKUP(DATOS!$I8154,CONFIG_ASIGNATURAS!$B$2:$J$91,9,FALSE()),""))</f>
      </c>
    </row>
    <row r="8155">
      <c r="F8155">
        <f>IF(DATOS!$A8155="","",DATOS!$A8155&amp;"|"&amp;DATOS!$D8155&amp;"|"&amp;DATOS!$E8155&amp;"|"&amp;DATOS!$I8155)</f>
      </c>
      <c r="G8155">
        <f>IF(DATOS!$A8155="",0,IF(CONFIG_METADATA!$B$4&lt;&gt;"OR+EX",--(DATOS!$G8155=CONFIG_METADATA!$B$4),IF(DATOS!$G8155="EX",1,IF(DATOS!$G8155="OR",--(COUNTIFS(nNIA,DATOS!$A8155,nCURSO,DATOS!$D8155,nESPEC,DATOS!$E8155,nASIG,DATOS!$I8155,nEVAL,"EX")=0),0))))</f>
      </c>
      <c r="H8155">
        <f>IF(DATOS!$G8155&lt;&gt;"EX",0,--(COUNTIFS(nNIA,DATOS!$A8155,nCURSO,DATOS!$D8155,nESPEC,DATOS!$E8155,nASIG,DATOS!$I8155,nEVAL,"OR")=0))</f>
      </c>
      <c r="I8155">
        <f>IF(DATOS!$I8155="","",IFERROR(VLOOKUP(DATOS!$I8155,CONFIG_ASIGNATURAS!$B$2:$J$91,9,FALSE()),""))</f>
      </c>
    </row>
    <row r="8156">
      <c r="F8156">
        <f>IF(DATOS!$A8156="","",DATOS!$A8156&amp;"|"&amp;DATOS!$D8156&amp;"|"&amp;DATOS!$E8156&amp;"|"&amp;DATOS!$I8156)</f>
      </c>
      <c r="G8156">
        <f>IF(DATOS!$A8156="",0,IF(CONFIG_METADATA!$B$4&lt;&gt;"OR+EX",--(DATOS!$G8156=CONFIG_METADATA!$B$4),IF(DATOS!$G8156="EX",1,IF(DATOS!$G8156="OR",--(COUNTIFS(nNIA,DATOS!$A8156,nCURSO,DATOS!$D8156,nESPEC,DATOS!$E8156,nASIG,DATOS!$I8156,nEVAL,"EX")=0),0))))</f>
      </c>
      <c r="H8156">
        <f>IF(DATOS!$G8156&lt;&gt;"EX",0,--(COUNTIFS(nNIA,DATOS!$A8156,nCURSO,DATOS!$D8156,nESPEC,DATOS!$E8156,nASIG,DATOS!$I8156,nEVAL,"OR")=0))</f>
      </c>
      <c r="I8156">
        <f>IF(DATOS!$I8156="","",IFERROR(VLOOKUP(DATOS!$I8156,CONFIG_ASIGNATURAS!$B$2:$J$91,9,FALSE()),""))</f>
      </c>
    </row>
    <row r="8157">
      <c r="F8157">
        <f>IF(DATOS!$A8157="","",DATOS!$A8157&amp;"|"&amp;DATOS!$D8157&amp;"|"&amp;DATOS!$E8157&amp;"|"&amp;DATOS!$I8157)</f>
      </c>
      <c r="G8157">
        <f>IF(DATOS!$A8157="",0,IF(CONFIG_METADATA!$B$4&lt;&gt;"OR+EX",--(DATOS!$G8157=CONFIG_METADATA!$B$4),IF(DATOS!$G8157="EX",1,IF(DATOS!$G8157="OR",--(COUNTIFS(nNIA,DATOS!$A8157,nCURSO,DATOS!$D8157,nESPEC,DATOS!$E8157,nASIG,DATOS!$I8157,nEVAL,"EX")=0),0))))</f>
      </c>
      <c r="H8157">
        <f>IF(DATOS!$G8157&lt;&gt;"EX",0,--(COUNTIFS(nNIA,DATOS!$A8157,nCURSO,DATOS!$D8157,nESPEC,DATOS!$E8157,nASIG,DATOS!$I8157,nEVAL,"OR")=0))</f>
      </c>
      <c r="I8157">
        <f>IF(DATOS!$I8157="","",IFERROR(VLOOKUP(DATOS!$I8157,CONFIG_ASIGNATURAS!$B$2:$J$91,9,FALSE()),""))</f>
      </c>
    </row>
    <row r="8158">
      <c r="F8158">
        <f>IF(DATOS!$A8158="","",DATOS!$A8158&amp;"|"&amp;DATOS!$D8158&amp;"|"&amp;DATOS!$E8158&amp;"|"&amp;DATOS!$I8158)</f>
      </c>
      <c r="G8158">
        <f>IF(DATOS!$A8158="",0,IF(CONFIG_METADATA!$B$4&lt;&gt;"OR+EX",--(DATOS!$G8158=CONFIG_METADATA!$B$4),IF(DATOS!$G8158="EX",1,IF(DATOS!$G8158="OR",--(COUNTIFS(nNIA,DATOS!$A8158,nCURSO,DATOS!$D8158,nESPEC,DATOS!$E8158,nASIG,DATOS!$I8158,nEVAL,"EX")=0),0))))</f>
      </c>
      <c r="H8158">
        <f>IF(DATOS!$G8158&lt;&gt;"EX",0,--(COUNTIFS(nNIA,DATOS!$A8158,nCURSO,DATOS!$D8158,nESPEC,DATOS!$E8158,nASIG,DATOS!$I8158,nEVAL,"OR")=0))</f>
      </c>
      <c r="I8158">
        <f>IF(DATOS!$I8158="","",IFERROR(VLOOKUP(DATOS!$I8158,CONFIG_ASIGNATURAS!$B$2:$J$91,9,FALSE()),""))</f>
      </c>
    </row>
    <row r="8159">
      <c r="F8159">
        <f>IF(DATOS!$A8159="","",DATOS!$A8159&amp;"|"&amp;DATOS!$D8159&amp;"|"&amp;DATOS!$E8159&amp;"|"&amp;DATOS!$I8159)</f>
      </c>
      <c r="G8159">
        <f>IF(DATOS!$A8159="",0,IF(CONFIG_METADATA!$B$4&lt;&gt;"OR+EX",--(DATOS!$G8159=CONFIG_METADATA!$B$4),IF(DATOS!$G8159="EX",1,IF(DATOS!$G8159="OR",--(COUNTIFS(nNIA,DATOS!$A8159,nCURSO,DATOS!$D8159,nESPEC,DATOS!$E8159,nASIG,DATOS!$I8159,nEVAL,"EX")=0),0))))</f>
      </c>
      <c r="H8159">
        <f>IF(DATOS!$G8159&lt;&gt;"EX",0,--(COUNTIFS(nNIA,DATOS!$A8159,nCURSO,DATOS!$D8159,nESPEC,DATOS!$E8159,nASIG,DATOS!$I8159,nEVAL,"OR")=0))</f>
      </c>
      <c r="I8159">
        <f>IF(DATOS!$I8159="","",IFERROR(VLOOKUP(DATOS!$I8159,CONFIG_ASIGNATURAS!$B$2:$J$91,9,FALSE()),""))</f>
      </c>
    </row>
    <row r="8160">
      <c r="F8160">
        <f>IF(DATOS!$A8160="","",DATOS!$A8160&amp;"|"&amp;DATOS!$D8160&amp;"|"&amp;DATOS!$E8160&amp;"|"&amp;DATOS!$I8160)</f>
      </c>
      <c r="G8160">
        <f>IF(DATOS!$A8160="",0,IF(CONFIG_METADATA!$B$4&lt;&gt;"OR+EX",--(DATOS!$G8160=CONFIG_METADATA!$B$4),IF(DATOS!$G8160="EX",1,IF(DATOS!$G8160="OR",--(COUNTIFS(nNIA,DATOS!$A8160,nCURSO,DATOS!$D8160,nESPEC,DATOS!$E8160,nASIG,DATOS!$I8160,nEVAL,"EX")=0),0))))</f>
      </c>
      <c r="H8160">
        <f>IF(DATOS!$G8160&lt;&gt;"EX",0,--(COUNTIFS(nNIA,DATOS!$A8160,nCURSO,DATOS!$D8160,nESPEC,DATOS!$E8160,nASIG,DATOS!$I8160,nEVAL,"OR")=0))</f>
      </c>
      <c r="I8160">
        <f>IF(DATOS!$I8160="","",IFERROR(VLOOKUP(DATOS!$I8160,CONFIG_ASIGNATURAS!$B$2:$J$91,9,FALSE()),""))</f>
      </c>
    </row>
    <row r="8161">
      <c r="F8161">
        <f>IF(DATOS!$A8161="","",DATOS!$A8161&amp;"|"&amp;DATOS!$D8161&amp;"|"&amp;DATOS!$E8161&amp;"|"&amp;DATOS!$I8161)</f>
      </c>
      <c r="G8161">
        <f>IF(DATOS!$A8161="",0,IF(CONFIG_METADATA!$B$4&lt;&gt;"OR+EX",--(DATOS!$G8161=CONFIG_METADATA!$B$4),IF(DATOS!$G8161="EX",1,IF(DATOS!$G8161="OR",--(COUNTIFS(nNIA,DATOS!$A8161,nCURSO,DATOS!$D8161,nESPEC,DATOS!$E8161,nASIG,DATOS!$I8161,nEVAL,"EX")=0),0))))</f>
      </c>
      <c r="H8161">
        <f>IF(DATOS!$G8161&lt;&gt;"EX",0,--(COUNTIFS(nNIA,DATOS!$A8161,nCURSO,DATOS!$D8161,nESPEC,DATOS!$E8161,nASIG,DATOS!$I8161,nEVAL,"OR")=0))</f>
      </c>
      <c r="I8161">
        <f>IF(DATOS!$I8161="","",IFERROR(VLOOKUP(DATOS!$I8161,CONFIG_ASIGNATURAS!$B$2:$J$91,9,FALSE()),""))</f>
      </c>
    </row>
    <row r="8162">
      <c r="F8162">
        <f>IF(DATOS!$A8162="","",DATOS!$A8162&amp;"|"&amp;DATOS!$D8162&amp;"|"&amp;DATOS!$E8162&amp;"|"&amp;DATOS!$I8162)</f>
      </c>
      <c r="G8162">
        <f>IF(DATOS!$A8162="",0,IF(CONFIG_METADATA!$B$4&lt;&gt;"OR+EX",--(DATOS!$G8162=CONFIG_METADATA!$B$4),IF(DATOS!$G8162="EX",1,IF(DATOS!$G8162="OR",--(COUNTIFS(nNIA,DATOS!$A8162,nCURSO,DATOS!$D8162,nESPEC,DATOS!$E8162,nASIG,DATOS!$I8162,nEVAL,"EX")=0),0))))</f>
      </c>
      <c r="H8162">
        <f>IF(DATOS!$G8162&lt;&gt;"EX",0,--(COUNTIFS(nNIA,DATOS!$A8162,nCURSO,DATOS!$D8162,nESPEC,DATOS!$E8162,nASIG,DATOS!$I8162,nEVAL,"OR")=0))</f>
      </c>
      <c r="I8162">
        <f>IF(DATOS!$I8162="","",IFERROR(VLOOKUP(DATOS!$I8162,CONFIG_ASIGNATURAS!$B$2:$J$91,9,FALSE()),""))</f>
      </c>
    </row>
    <row r="8163">
      <c r="F8163">
        <f>IF(DATOS!$A8163="","",DATOS!$A8163&amp;"|"&amp;DATOS!$D8163&amp;"|"&amp;DATOS!$E8163&amp;"|"&amp;DATOS!$I8163)</f>
      </c>
      <c r="G8163">
        <f>IF(DATOS!$A8163="",0,IF(CONFIG_METADATA!$B$4&lt;&gt;"OR+EX",--(DATOS!$G8163=CONFIG_METADATA!$B$4),IF(DATOS!$G8163="EX",1,IF(DATOS!$G8163="OR",--(COUNTIFS(nNIA,DATOS!$A8163,nCURSO,DATOS!$D8163,nESPEC,DATOS!$E8163,nASIG,DATOS!$I8163,nEVAL,"EX")=0),0))))</f>
      </c>
      <c r="H8163">
        <f>IF(DATOS!$G8163&lt;&gt;"EX",0,--(COUNTIFS(nNIA,DATOS!$A8163,nCURSO,DATOS!$D8163,nESPEC,DATOS!$E8163,nASIG,DATOS!$I8163,nEVAL,"OR")=0))</f>
      </c>
      <c r="I8163">
        <f>IF(DATOS!$I8163="","",IFERROR(VLOOKUP(DATOS!$I8163,CONFIG_ASIGNATURAS!$B$2:$J$91,9,FALSE()),""))</f>
      </c>
    </row>
    <row r="8164">
      <c r="F8164">
        <f>IF(DATOS!$A8164="","",DATOS!$A8164&amp;"|"&amp;DATOS!$D8164&amp;"|"&amp;DATOS!$E8164&amp;"|"&amp;DATOS!$I8164)</f>
      </c>
      <c r="G8164">
        <f>IF(DATOS!$A8164="",0,IF(CONFIG_METADATA!$B$4&lt;&gt;"OR+EX",--(DATOS!$G8164=CONFIG_METADATA!$B$4),IF(DATOS!$G8164="EX",1,IF(DATOS!$G8164="OR",--(COUNTIFS(nNIA,DATOS!$A8164,nCURSO,DATOS!$D8164,nESPEC,DATOS!$E8164,nASIG,DATOS!$I8164,nEVAL,"EX")=0),0))))</f>
      </c>
      <c r="H8164">
        <f>IF(DATOS!$G8164&lt;&gt;"EX",0,--(COUNTIFS(nNIA,DATOS!$A8164,nCURSO,DATOS!$D8164,nESPEC,DATOS!$E8164,nASIG,DATOS!$I8164,nEVAL,"OR")=0))</f>
      </c>
      <c r="I8164">
        <f>IF(DATOS!$I8164="","",IFERROR(VLOOKUP(DATOS!$I8164,CONFIG_ASIGNATURAS!$B$2:$J$91,9,FALSE()),""))</f>
      </c>
    </row>
    <row r="8165">
      <c r="F8165">
        <f>IF(DATOS!$A8165="","",DATOS!$A8165&amp;"|"&amp;DATOS!$D8165&amp;"|"&amp;DATOS!$E8165&amp;"|"&amp;DATOS!$I8165)</f>
      </c>
      <c r="G8165">
        <f>IF(DATOS!$A8165="",0,IF(CONFIG_METADATA!$B$4&lt;&gt;"OR+EX",--(DATOS!$G8165=CONFIG_METADATA!$B$4),IF(DATOS!$G8165="EX",1,IF(DATOS!$G8165="OR",--(COUNTIFS(nNIA,DATOS!$A8165,nCURSO,DATOS!$D8165,nESPEC,DATOS!$E8165,nASIG,DATOS!$I8165,nEVAL,"EX")=0),0))))</f>
      </c>
      <c r="H8165">
        <f>IF(DATOS!$G8165&lt;&gt;"EX",0,--(COUNTIFS(nNIA,DATOS!$A8165,nCURSO,DATOS!$D8165,nESPEC,DATOS!$E8165,nASIG,DATOS!$I8165,nEVAL,"OR")=0))</f>
      </c>
      <c r="I8165">
        <f>IF(DATOS!$I8165="","",IFERROR(VLOOKUP(DATOS!$I8165,CONFIG_ASIGNATURAS!$B$2:$J$91,9,FALSE()),""))</f>
      </c>
    </row>
    <row r="8166">
      <c r="F8166">
        <f>IF(DATOS!$A8166="","",DATOS!$A8166&amp;"|"&amp;DATOS!$D8166&amp;"|"&amp;DATOS!$E8166&amp;"|"&amp;DATOS!$I8166)</f>
      </c>
      <c r="G8166">
        <f>IF(DATOS!$A8166="",0,IF(CONFIG_METADATA!$B$4&lt;&gt;"OR+EX",--(DATOS!$G8166=CONFIG_METADATA!$B$4),IF(DATOS!$G8166="EX",1,IF(DATOS!$G8166="OR",--(COUNTIFS(nNIA,DATOS!$A8166,nCURSO,DATOS!$D8166,nESPEC,DATOS!$E8166,nASIG,DATOS!$I8166,nEVAL,"EX")=0),0))))</f>
      </c>
      <c r="H8166">
        <f>IF(DATOS!$G8166&lt;&gt;"EX",0,--(COUNTIFS(nNIA,DATOS!$A8166,nCURSO,DATOS!$D8166,nESPEC,DATOS!$E8166,nASIG,DATOS!$I8166,nEVAL,"OR")=0))</f>
      </c>
      <c r="I8166">
        <f>IF(DATOS!$I8166="","",IFERROR(VLOOKUP(DATOS!$I8166,CONFIG_ASIGNATURAS!$B$2:$J$91,9,FALSE()),""))</f>
      </c>
    </row>
    <row r="8167">
      <c r="F8167">
        <f>IF(DATOS!$A8167="","",DATOS!$A8167&amp;"|"&amp;DATOS!$D8167&amp;"|"&amp;DATOS!$E8167&amp;"|"&amp;DATOS!$I8167)</f>
      </c>
      <c r="G8167">
        <f>IF(DATOS!$A8167="",0,IF(CONFIG_METADATA!$B$4&lt;&gt;"OR+EX",--(DATOS!$G8167=CONFIG_METADATA!$B$4),IF(DATOS!$G8167="EX",1,IF(DATOS!$G8167="OR",--(COUNTIFS(nNIA,DATOS!$A8167,nCURSO,DATOS!$D8167,nESPEC,DATOS!$E8167,nASIG,DATOS!$I8167,nEVAL,"EX")=0),0))))</f>
      </c>
      <c r="H8167">
        <f>IF(DATOS!$G8167&lt;&gt;"EX",0,--(COUNTIFS(nNIA,DATOS!$A8167,nCURSO,DATOS!$D8167,nESPEC,DATOS!$E8167,nASIG,DATOS!$I8167,nEVAL,"OR")=0))</f>
      </c>
      <c r="I8167">
        <f>IF(DATOS!$I8167="","",IFERROR(VLOOKUP(DATOS!$I8167,CONFIG_ASIGNATURAS!$B$2:$J$91,9,FALSE()),""))</f>
      </c>
    </row>
    <row r="8168">
      <c r="F8168">
        <f>IF(DATOS!$A8168="","",DATOS!$A8168&amp;"|"&amp;DATOS!$D8168&amp;"|"&amp;DATOS!$E8168&amp;"|"&amp;DATOS!$I8168)</f>
      </c>
      <c r="G8168">
        <f>IF(DATOS!$A8168="",0,IF(CONFIG_METADATA!$B$4&lt;&gt;"OR+EX",--(DATOS!$G8168=CONFIG_METADATA!$B$4),IF(DATOS!$G8168="EX",1,IF(DATOS!$G8168="OR",--(COUNTIFS(nNIA,DATOS!$A8168,nCURSO,DATOS!$D8168,nESPEC,DATOS!$E8168,nASIG,DATOS!$I8168,nEVAL,"EX")=0),0))))</f>
      </c>
      <c r="H8168">
        <f>IF(DATOS!$G8168&lt;&gt;"EX",0,--(COUNTIFS(nNIA,DATOS!$A8168,nCURSO,DATOS!$D8168,nESPEC,DATOS!$E8168,nASIG,DATOS!$I8168,nEVAL,"OR")=0))</f>
      </c>
      <c r="I8168">
        <f>IF(DATOS!$I8168="","",IFERROR(VLOOKUP(DATOS!$I8168,CONFIG_ASIGNATURAS!$B$2:$J$91,9,FALSE()),""))</f>
      </c>
    </row>
    <row r="8169">
      <c r="F8169">
        <f>IF(DATOS!$A8169="","",DATOS!$A8169&amp;"|"&amp;DATOS!$D8169&amp;"|"&amp;DATOS!$E8169&amp;"|"&amp;DATOS!$I8169)</f>
      </c>
      <c r="G8169">
        <f>IF(DATOS!$A8169="",0,IF(CONFIG_METADATA!$B$4&lt;&gt;"OR+EX",--(DATOS!$G8169=CONFIG_METADATA!$B$4),IF(DATOS!$G8169="EX",1,IF(DATOS!$G8169="OR",--(COUNTIFS(nNIA,DATOS!$A8169,nCURSO,DATOS!$D8169,nESPEC,DATOS!$E8169,nASIG,DATOS!$I8169,nEVAL,"EX")=0),0))))</f>
      </c>
      <c r="H8169">
        <f>IF(DATOS!$G8169&lt;&gt;"EX",0,--(COUNTIFS(nNIA,DATOS!$A8169,nCURSO,DATOS!$D8169,nESPEC,DATOS!$E8169,nASIG,DATOS!$I8169,nEVAL,"OR")=0))</f>
      </c>
      <c r="I8169">
        <f>IF(DATOS!$I8169="","",IFERROR(VLOOKUP(DATOS!$I8169,CONFIG_ASIGNATURAS!$B$2:$J$91,9,FALSE()),""))</f>
      </c>
    </row>
    <row r="8170">
      <c r="F8170">
        <f>IF(DATOS!$A8170="","",DATOS!$A8170&amp;"|"&amp;DATOS!$D8170&amp;"|"&amp;DATOS!$E8170&amp;"|"&amp;DATOS!$I8170)</f>
      </c>
      <c r="G8170">
        <f>IF(DATOS!$A8170="",0,IF(CONFIG_METADATA!$B$4&lt;&gt;"OR+EX",--(DATOS!$G8170=CONFIG_METADATA!$B$4),IF(DATOS!$G8170="EX",1,IF(DATOS!$G8170="OR",--(COUNTIFS(nNIA,DATOS!$A8170,nCURSO,DATOS!$D8170,nESPEC,DATOS!$E8170,nASIG,DATOS!$I8170,nEVAL,"EX")=0),0))))</f>
      </c>
      <c r="H8170">
        <f>IF(DATOS!$G8170&lt;&gt;"EX",0,--(COUNTIFS(nNIA,DATOS!$A8170,nCURSO,DATOS!$D8170,nESPEC,DATOS!$E8170,nASIG,DATOS!$I8170,nEVAL,"OR")=0))</f>
      </c>
      <c r="I8170">
        <f>IF(DATOS!$I8170="","",IFERROR(VLOOKUP(DATOS!$I8170,CONFIG_ASIGNATURAS!$B$2:$J$91,9,FALSE()),""))</f>
      </c>
    </row>
    <row r="8171">
      <c r="F8171">
        <f>IF(DATOS!$A8171="","",DATOS!$A8171&amp;"|"&amp;DATOS!$D8171&amp;"|"&amp;DATOS!$E8171&amp;"|"&amp;DATOS!$I8171)</f>
      </c>
      <c r="G8171">
        <f>IF(DATOS!$A8171="",0,IF(CONFIG_METADATA!$B$4&lt;&gt;"OR+EX",--(DATOS!$G8171=CONFIG_METADATA!$B$4),IF(DATOS!$G8171="EX",1,IF(DATOS!$G8171="OR",--(COUNTIFS(nNIA,DATOS!$A8171,nCURSO,DATOS!$D8171,nESPEC,DATOS!$E8171,nASIG,DATOS!$I8171,nEVAL,"EX")=0),0))))</f>
      </c>
      <c r="H8171">
        <f>IF(DATOS!$G8171&lt;&gt;"EX",0,--(COUNTIFS(nNIA,DATOS!$A8171,nCURSO,DATOS!$D8171,nESPEC,DATOS!$E8171,nASIG,DATOS!$I8171,nEVAL,"OR")=0))</f>
      </c>
      <c r="I8171">
        <f>IF(DATOS!$I8171="","",IFERROR(VLOOKUP(DATOS!$I8171,CONFIG_ASIGNATURAS!$B$2:$J$91,9,FALSE()),""))</f>
      </c>
    </row>
    <row r="8172">
      <c r="F8172">
        <f>IF(DATOS!$A8172="","",DATOS!$A8172&amp;"|"&amp;DATOS!$D8172&amp;"|"&amp;DATOS!$E8172&amp;"|"&amp;DATOS!$I8172)</f>
      </c>
      <c r="G8172">
        <f>IF(DATOS!$A8172="",0,IF(CONFIG_METADATA!$B$4&lt;&gt;"OR+EX",--(DATOS!$G8172=CONFIG_METADATA!$B$4),IF(DATOS!$G8172="EX",1,IF(DATOS!$G8172="OR",--(COUNTIFS(nNIA,DATOS!$A8172,nCURSO,DATOS!$D8172,nESPEC,DATOS!$E8172,nASIG,DATOS!$I8172,nEVAL,"EX")=0),0))))</f>
      </c>
      <c r="H8172">
        <f>IF(DATOS!$G8172&lt;&gt;"EX",0,--(COUNTIFS(nNIA,DATOS!$A8172,nCURSO,DATOS!$D8172,nESPEC,DATOS!$E8172,nASIG,DATOS!$I8172,nEVAL,"OR")=0))</f>
      </c>
      <c r="I8172">
        <f>IF(DATOS!$I8172="","",IFERROR(VLOOKUP(DATOS!$I8172,CONFIG_ASIGNATURAS!$B$2:$J$91,9,FALSE()),""))</f>
      </c>
    </row>
    <row r="8173">
      <c r="F8173">
        <f>IF(DATOS!$A8173="","",DATOS!$A8173&amp;"|"&amp;DATOS!$D8173&amp;"|"&amp;DATOS!$E8173&amp;"|"&amp;DATOS!$I8173)</f>
      </c>
      <c r="G8173">
        <f>IF(DATOS!$A8173="",0,IF(CONFIG_METADATA!$B$4&lt;&gt;"OR+EX",--(DATOS!$G8173=CONFIG_METADATA!$B$4),IF(DATOS!$G8173="EX",1,IF(DATOS!$G8173="OR",--(COUNTIFS(nNIA,DATOS!$A8173,nCURSO,DATOS!$D8173,nESPEC,DATOS!$E8173,nASIG,DATOS!$I8173,nEVAL,"EX")=0),0))))</f>
      </c>
      <c r="H8173">
        <f>IF(DATOS!$G8173&lt;&gt;"EX",0,--(COUNTIFS(nNIA,DATOS!$A8173,nCURSO,DATOS!$D8173,nESPEC,DATOS!$E8173,nASIG,DATOS!$I8173,nEVAL,"OR")=0))</f>
      </c>
      <c r="I8173">
        <f>IF(DATOS!$I8173="","",IFERROR(VLOOKUP(DATOS!$I8173,CONFIG_ASIGNATURAS!$B$2:$J$91,9,FALSE()),""))</f>
      </c>
    </row>
    <row r="8174">
      <c r="F8174">
        <f>IF(DATOS!$A8174="","",DATOS!$A8174&amp;"|"&amp;DATOS!$D8174&amp;"|"&amp;DATOS!$E8174&amp;"|"&amp;DATOS!$I8174)</f>
      </c>
      <c r="G8174">
        <f>IF(DATOS!$A8174="",0,IF(CONFIG_METADATA!$B$4&lt;&gt;"OR+EX",--(DATOS!$G8174=CONFIG_METADATA!$B$4),IF(DATOS!$G8174="EX",1,IF(DATOS!$G8174="OR",--(COUNTIFS(nNIA,DATOS!$A8174,nCURSO,DATOS!$D8174,nESPEC,DATOS!$E8174,nASIG,DATOS!$I8174,nEVAL,"EX")=0),0))))</f>
      </c>
      <c r="H8174">
        <f>IF(DATOS!$G8174&lt;&gt;"EX",0,--(COUNTIFS(nNIA,DATOS!$A8174,nCURSO,DATOS!$D8174,nESPEC,DATOS!$E8174,nASIG,DATOS!$I8174,nEVAL,"OR")=0))</f>
      </c>
      <c r="I8174">
        <f>IF(DATOS!$I8174="","",IFERROR(VLOOKUP(DATOS!$I8174,CONFIG_ASIGNATURAS!$B$2:$J$91,9,FALSE()),""))</f>
      </c>
    </row>
    <row r="8175">
      <c r="F8175">
        <f>IF(DATOS!$A8175="","",DATOS!$A8175&amp;"|"&amp;DATOS!$D8175&amp;"|"&amp;DATOS!$E8175&amp;"|"&amp;DATOS!$I8175)</f>
      </c>
      <c r="G8175">
        <f>IF(DATOS!$A8175="",0,IF(CONFIG_METADATA!$B$4&lt;&gt;"OR+EX",--(DATOS!$G8175=CONFIG_METADATA!$B$4),IF(DATOS!$G8175="EX",1,IF(DATOS!$G8175="OR",--(COUNTIFS(nNIA,DATOS!$A8175,nCURSO,DATOS!$D8175,nESPEC,DATOS!$E8175,nASIG,DATOS!$I8175,nEVAL,"EX")=0),0))))</f>
      </c>
      <c r="H8175">
        <f>IF(DATOS!$G8175&lt;&gt;"EX",0,--(COUNTIFS(nNIA,DATOS!$A8175,nCURSO,DATOS!$D8175,nESPEC,DATOS!$E8175,nASIG,DATOS!$I8175,nEVAL,"OR")=0))</f>
      </c>
      <c r="I8175">
        <f>IF(DATOS!$I8175="","",IFERROR(VLOOKUP(DATOS!$I8175,CONFIG_ASIGNATURAS!$B$2:$J$91,9,FALSE()),""))</f>
      </c>
    </row>
    <row r="8176">
      <c r="F8176">
        <f>IF(DATOS!$A8176="","",DATOS!$A8176&amp;"|"&amp;DATOS!$D8176&amp;"|"&amp;DATOS!$E8176&amp;"|"&amp;DATOS!$I8176)</f>
      </c>
      <c r="G8176">
        <f>IF(DATOS!$A8176="",0,IF(CONFIG_METADATA!$B$4&lt;&gt;"OR+EX",--(DATOS!$G8176=CONFIG_METADATA!$B$4),IF(DATOS!$G8176="EX",1,IF(DATOS!$G8176="OR",--(COUNTIFS(nNIA,DATOS!$A8176,nCURSO,DATOS!$D8176,nESPEC,DATOS!$E8176,nASIG,DATOS!$I8176,nEVAL,"EX")=0),0))))</f>
      </c>
      <c r="H8176">
        <f>IF(DATOS!$G8176&lt;&gt;"EX",0,--(COUNTIFS(nNIA,DATOS!$A8176,nCURSO,DATOS!$D8176,nESPEC,DATOS!$E8176,nASIG,DATOS!$I8176,nEVAL,"OR")=0))</f>
      </c>
      <c r="I8176">
        <f>IF(DATOS!$I8176="","",IFERROR(VLOOKUP(DATOS!$I8176,CONFIG_ASIGNATURAS!$B$2:$J$91,9,FALSE()),""))</f>
      </c>
    </row>
    <row r="8177">
      <c r="F8177">
        <f>IF(DATOS!$A8177="","",DATOS!$A8177&amp;"|"&amp;DATOS!$D8177&amp;"|"&amp;DATOS!$E8177&amp;"|"&amp;DATOS!$I8177)</f>
      </c>
      <c r="G8177">
        <f>IF(DATOS!$A8177="",0,IF(CONFIG_METADATA!$B$4&lt;&gt;"OR+EX",--(DATOS!$G8177=CONFIG_METADATA!$B$4),IF(DATOS!$G8177="EX",1,IF(DATOS!$G8177="OR",--(COUNTIFS(nNIA,DATOS!$A8177,nCURSO,DATOS!$D8177,nESPEC,DATOS!$E8177,nASIG,DATOS!$I8177,nEVAL,"EX")=0),0))))</f>
      </c>
      <c r="H8177">
        <f>IF(DATOS!$G8177&lt;&gt;"EX",0,--(COUNTIFS(nNIA,DATOS!$A8177,nCURSO,DATOS!$D8177,nESPEC,DATOS!$E8177,nASIG,DATOS!$I8177,nEVAL,"OR")=0))</f>
      </c>
      <c r="I8177">
        <f>IF(DATOS!$I8177="","",IFERROR(VLOOKUP(DATOS!$I8177,CONFIG_ASIGNATURAS!$B$2:$J$91,9,FALSE()),""))</f>
      </c>
    </row>
    <row r="8178">
      <c r="F8178">
        <f>IF(DATOS!$A8178="","",DATOS!$A8178&amp;"|"&amp;DATOS!$D8178&amp;"|"&amp;DATOS!$E8178&amp;"|"&amp;DATOS!$I8178)</f>
      </c>
      <c r="G8178">
        <f>IF(DATOS!$A8178="",0,IF(CONFIG_METADATA!$B$4&lt;&gt;"OR+EX",--(DATOS!$G8178=CONFIG_METADATA!$B$4),IF(DATOS!$G8178="EX",1,IF(DATOS!$G8178="OR",--(COUNTIFS(nNIA,DATOS!$A8178,nCURSO,DATOS!$D8178,nESPEC,DATOS!$E8178,nASIG,DATOS!$I8178,nEVAL,"EX")=0),0))))</f>
      </c>
      <c r="H8178">
        <f>IF(DATOS!$G8178&lt;&gt;"EX",0,--(COUNTIFS(nNIA,DATOS!$A8178,nCURSO,DATOS!$D8178,nESPEC,DATOS!$E8178,nASIG,DATOS!$I8178,nEVAL,"OR")=0))</f>
      </c>
      <c r="I8178">
        <f>IF(DATOS!$I8178="","",IFERROR(VLOOKUP(DATOS!$I8178,CONFIG_ASIGNATURAS!$B$2:$J$91,9,FALSE()),""))</f>
      </c>
    </row>
    <row r="8179">
      <c r="F8179">
        <f>IF(DATOS!$A8179="","",DATOS!$A8179&amp;"|"&amp;DATOS!$D8179&amp;"|"&amp;DATOS!$E8179&amp;"|"&amp;DATOS!$I8179)</f>
      </c>
      <c r="G8179">
        <f>IF(DATOS!$A8179="",0,IF(CONFIG_METADATA!$B$4&lt;&gt;"OR+EX",--(DATOS!$G8179=CONFIG_METADATA!$B$4),IF(DATOS!$G8179="EX",1,IF(DATOS!$G8179="OR",--(COUNTIFS(nNIA,DATOS!$A8179,nCURSO,DATOS!$D8179,nESPEC,DATOS!$E8179,nASIG,DATOS!$I8179,nEVAL,"EX")=0),0))))</f>
      </c>
      <c r="H8179">
        <f>IF(DATOS!$G8179&lt;&gt;"EX",0,--(COUNTIFS(nNIA,DATOS!$A8179,nCURSO,DATOS!$D8179,nESPEC,DATOS!$E8179,nASIG,DATOS!$I8179,nEVAL,"OR")=0))</f>
      </c>
      <c r="I8179">
        <f>IF(DATOS!$I8179="","",IFERROR(VLOOKUP(DATOS!$I8179,CONFIG_ASIGNATURAS!$B$2:$J$91,9,FALSE()),""))</f>
      </c>
    </row>
    <row r="8180">
      <c r="F8180">
        <f>IF(DATOS!$A8180="","",DATOS!$A8180&amp;"|"&amp;DATOS!$D8180&amp;"|"&amp;DATOS!$E8180&amp;"|"&amp;DATOS!$I8180)</f>
      </c>
      <c r="G8180">
        <f>IF(DATOS!$A8180="",0,IF(CONFIG_METADATA!$B$4&lt;&gt;"OR+EX",--(DATOS!$G8180=CONFIG_METADATA!$B$4),IF(DATOS!$G8180="EX",1,IF(DATOS!$G8180="OR",--(COUNTIFS(nNIA,DATOS!$A8180,nCURSO,DATOS!$D8180,nESPEC,DATOS!$E8180,nASIG,DATOS!$I8180,nEVAL,"EX")=0),0))))</f>
      </c>
      <c r="H8180">
        <f>IF(DATOS!$G8180&lt;&gt;"EX",0,--(COUNTIFS(nNIA,DATOS!$A8180,nCURSO,DATOS!$D8180,nESPEC,DATOS!$E8180,nASIG,DATOS!$I8180,nEVAL,"OR")=0))</f>
      </c>
      <c r="I8180">
        <f>IF(DATOS!$I8180="","",IFERROR(VLOOKUP(DATOS!$I8180,CONFIG_ASIGNATURAS!$B$2:$J$91,9,FALSE()),""))</f>
      </c>
    </row>
    <row r="8181">
      <c r="F8181">
        <f>IF(DATOS!$A8181="","",DATOS!$A8181&amp;"|"&amp;DATOS!$D8181&amp;"|"&amp;DATOS!$E8181&amp;"|"&amp;DATOS!$I8181)</f>
      </c>
      <c r="G8181">
        <f>IF(DATOS!$A8181="",0,IF(CONFIG_METADATA!$B$4&lt;&gt;"OR+EX",--(DATOS!$G8181=CONFIG_METADATA!$B$4),IF(DATOS!$G8181="EX",1,IF(DATOS!$G8181="OR",--(COUNTIFS(nNIA,DATOS!$A8181,nCURSO,DATOS!$D8181,nESPEC,DATOS!$E8181,nASIG,DATOS!$I8181,nEVAL,"EX")=0),0))))</f>
      </c>
      <c r="H8181">
        <f>IF(DATOS!$G8181&lt;&gt;"EX",0,--(COUNTIFS(nNIA,DATOS!$A8181,nCURSO,DATOS!$D8181,nESPEC,DATOS!$E8181,nASIG,DATOS!$I8181,nEVAL,"OR")=0))</f>
      </c>
      <c r="I8181">
        <f>IF(DATOS!$I8181="","",IFERROR(VLOOKUP(DATOS!$I8181,CONFIG_ASIGNATURAS!$B$2:$J$91,9,FALSE()),""))</f>
      </c>
    </row>
    <row r="8182">
      <c r="F8182">
        <f>IF(DATOS!$A8182="","",DATOS!$A8182&amp;"|"&amp;DATOS!$D8182&amp;"|"&amp;DATOS!$E8182&amp;"|"&amp;DATOS!$I8182)</f>
      </c>
      <c r="G8182">
        <f>IF(DATOS!$A8182="",0,IF(CONFIG_METADATA!$B$4&lt;&gt;"OR+EX",--(DATOS!$G8182=CONFIG_METADATA!$B$4),IF(DATOS!$G8182="EX",1,IF(DATOS!$G8182="OR",--(COUNTIFS(nNIA,DATOS!$A8182,nCURSO,DATOS!$D8182,nESPEC,DATOS!$E8182,nASIG,DATOS!$I8182,nEVAL,"EX")=0),0))))</f>
      </c>
      <c r="H8182">
        <f>IF(DATOS!$G8182&lt;&gt;"EX",0,--(COUNTIFS(nNIA,DATOS!$A8182,nCURSO,DATOS!$D8182,nESPEC,DATOS!$E8182,nASIG,DATOS!$I8182,nEVAL,"OR")=0))</f>
      </c>
      <c r="I8182">
        <f>IF(DATOS!$I8182="","",IFERROR(VLOOKUP(DATOS!$I8182,CONFIG_ASIGNATURAS!$B$2:$J$91,9,FALSE()),""))</f>
      </c>
    </row>
    <row r="8183">
      <c r="F8183">
        <f>IF(DATOS!$A8183="","",DATOS!$A8183&amp;"|"&amp;DATOS!$D8183&amp;"|"&amp;DATOS!$E8183&amp;"|"&amp;DATOS!$I8183)</f>
      </c>
      <c r="G8183">
        <f>IF(DATOS!$A8183="",0,IF(CONFIG_METADATA!$B$4&lt;&gt;"OR+EX",--(DATOS!$G8183=CONFIG_METADATA!$B$4),IF(DATOS!$G8183="EX",1,IF(DATOS!$G8183="OR",--(COUNTIFS(nNIA,DATOS!$A8183,nCURSO,DATOS!$D8183,nESPEC,DATOS!$E8183,nASIG,DATOS!$I8183,nEVAL,"EX")=0),0))))</f>
      </c>
      <c r="H8183">
        <f>IF(DATOS!$G8183&lt;&gt;"EX",0,--(COUNTIFS(nNIA,DATOS!$A8183,nCURSO,DATOS!$D8183,nESPEC,DATOS!$E8183,nASIG,DATOS!$I8183,nEVAL,"OR")=0))</f>
      </c>
      <c r="I8183">
        <f>IF(DATOS!$I8183="","",IFERROR(VLOOKUP(DATOS!$I8183,CONFIG_ASIGNATURAS!$B$2:$J$91,9,FALSE()),""))</f>
      </c>
    </row>
    <row r="8184">
      <c r="F8184">
        <f>IF(DATOS!$A8184="","",DATOS!$A8184&amp;"|"&amp;DATOS!$D8184&amp;"|"&amp;DATOS!$E8184&amp;"|"&amp;DATOS!$I8184)</f>
      </c>
      <c r="G8184">
        <f>IF(DATOS!$A8184="",0,IF(CONFIG_METADATA!$B$4&lt;&gt;"OR+EX",--(DATOS!$G8184=CONFIG_METADATA!$B$4),IF(DATOS!$G8184="EX",1,IF(DATOS!$G8184="OR",--(COUNTIFS(nNIA,DATOS!$A8184,nCURSO,DATOS!$D8184,nESPEC,DATOS!$E8184,nASIG,DATOS!$I8184,nEVAL,"EX")=0),0))))</f>
      </c>
      <c r="H8184">
        <f>IF(DATOS!$G8184&lt;&gt;"EX",0,--(COUNTIFS(nNIA,DATOS!$A8184,nCURSO,DATOS!$D8184,nESPEC,DATOS!$E8184,nASIG,DATOS!$I8184,nEVAL,"OR")=0))</f>
      </c>
      <c r="I8184">
        <f>IF(DATOS!$I8184="","",IFERROR(VLOOKUP(DATOS!$I8184,CONFIG_ASIGNATURAS!$B$2:$J$91,9,FALSE()),""))</f>
      </c>
    </row>
    <row r="8185">
      <c r="F8185">
        <f>IF(DATOS!$A8185="","",DATOS!$A8185&amp;"|"&amp;DATOS!$D8185&amp;"|"&amp;DATOS!$E8185&amp;"|"&amp;DATOS!$I8185)</f>
      </c>
      <c r="G8185">
        <f>IF(DATOS!$A8185="",0,IF(CONFIG_METADATA!$B$4&lt;&gt;"OR+EX",--(DATOS!$G8185=CONFIG_METADATA!$B$4),IF(DATOS!$G8185="EX",1,IF(DATOS!$G8185="OR",--(COUNTIFS(nNIA,DATOS!$A8185,nCURSO,DATOS!$D8185,nESPEC,DATOS!$E8185,nASIG,DATOS!$I8185,nEVAL,"EX")=0),0))))</f>
      </c>
      <c r="H8185">
        <f>IF(DATOS!$G8185&lt;&gt;"EX",0,--(COUNTIFS(nNIA,DATOS!$A8185,nCURSO,DATOS!$D8185,nESPEC,DATOS!$E8185,nASIG,DATOS!$I8185,nEVAL,"OR")=0))</f>
      </c>
      <c r="I8185">
        <f>IF(DATOS!$I8185="","",IFERROR(VLOOKUP(DATOS!$I8185,CONFIG_ASIGNATURAS!$B$2:$J$91,9,FALSE()),""))</f>
      </c>
    </row>
    <row r="8186">
      <c r="F8186">
        <f>IF(DATOS!$A8186="","",DATOS!$A8186&amp;"|"&amp;DATOS!$D8186&amp;"|"&amp;DATOS!$E8186&amp;"|"&amp;DATOS!$I8186)</f>
      </c>
      <c r="G8186">
        <f>IF(DATOS!$A8186="",0,IF(CONFIG_METADATA!$B$4&lt;&gt;"OR+EX",--(DATOS!$G8186=CONFIG_METADATA!$B$4),IF(DATOS!$G8186="EX",1,IF(DATOS!$G8186="OR",--(COUNTIFS(nNIA,DATOS!$A8186,nCURSO,DATOS!$D8186,nESPEC,DATOS!$E8186,nASIG,DATOS!$I8186,nEVAL,"EX")=0),0))))</f>
      </c>
      <c r="H8186">
        <f>IF(DATOS!$G8186&lt;&gt;"EX",0,--(COUNTIFS(nNIA,DATOS!$A8186,nCURSO,DATOS!$D8186,nESPEC,DATOS!$E8186,nASIG,DATOS!$I8186,nEVAL,"OR")=0))</f>
      </c>
      <c r="I8186">
        <f>IF(DATOS!$I8186="","",IFERROR(VLOOKUP(DATOS!$I8186,CONFIG_ASIGNATURAS!$B$2:$J$91,9,FALSE()),""))</f>
      </c>
    </row>
    <row r="8187">
      <c r="F8187">
        <f>IF(DATOS!$A8187="","",DATOS!$A8187&amp;"|"&amp;DATOS!$D8187&amp;"|"&amp;DATOS!$E8187&amp;"|"&amp;DATOS!$I8187)</f>
      </c>
      <c r="G8187">
        <f>IF(DATOS!$A8187="",0,IF(CONFIG_METADATA!$B$4&lt;&gt;"OR+EX",--(DATOS!$G8187=CONFIG_METADATA!$B$4),IF(DATOS!$G8187="EX",1,IF(DATOS!$G8187="OR",--(COUNTIFS(nNIA,DATOS!$A8187,nCURSO,DATOS!$D8187,nESPEC,DATOS!$E8187,nASIG,DATOS!$I8187,nEVAL,"EX")=0),0))))</f>
      </c>
      <c r="H8187">
        <f>IF(DATOS!$G8187&lt;&gt;"EX",0,--(COUNTIFS(nNIA,DATOS!$A8187,nCURSO,DATOS!$D8187,nESPEC,DATOS!$E8187,nASIG,DATOS!$I8187,nEVAL,"OR")=0))</f>
      </c>
      <c r="I8187">
        <f>IF(DATOS!$I8187="","",IFERROR(VLOOKUP(DATOS!$I8187,CONFIG_ASIGNATURAS!$B$2:$J$91,9,FALSE()),""))</f>
      </c>
    </row>
    <row r="8188">
      <c r="F8188">
        <f>IF(DATOS!$A8188="","",DATOS!$A8188&amp;"|"&amp;DATOS!$D8188&amp;"|"&amp;DATOS!$E8188&amp;"|"&amp;DATOS!$I8188)</f>
      </c>
      <c r="G8188">
        <f>IF(DATOS!$A8188="",0,IF(CONFIG_METADATA!$B$4&lt;&gt;"OR+EX",--(DATOS!$G8188=CONFIG_METADATA!$B$4),IF(DATOS!$G8188="EX",1,IF(DATOS!$G8188="OR",--(COUNTIFS(nNIA,DATOS!$A8188,nCURSO,DATOS!$D8188,nESPEC,DATOS!$E8188,nASIG,DATOS!$I8188,nEVAL,"EX")=0),0))))</f>
      </c>
      <c r="H8188">
        <f>IF(DATOS!$G8188&lt;&gt;"EX",0,--(COUNTIFS(nNIA,DATOS!$A8188,nCURSO,DATOS!$D8188,nESPEC,DATOS!$E8188,nASIG,DATOS!$I8188,nEVAL,"OR")=0))</f>
      </c>
      <c r="I8188">
        <f>IF(DATOS!$I8188="","",IFERROR(VLOOKUP(DATOS!$I8188,CONFIG_ASIGNATURAS!$B$2:$J$91,9,FALSE()),""))</f>
      </c>
    </row>
    <row r="8189">
      <c r="F8189">
        <f>IF(DATOS!$A8189="","",DATOS!$A8189&amp;"|"&amp;DATOS!$D8189&amp;"|"&amp;DATOS!$E8189&amp;"|"&amp;DATOS!$I8189)</f>
      </c>
      <c r="G8189">
        <f>IF(DATOS!$A8189="",0,IF(CONFIG_METADATA!$B$4&lt;&gt;"OR+EX",--(DATOS!$G8189=CONFIG_METADATA!$B$4),IF(DATOS!$G8189="EX",1,IF(DATOS!$G8189="OR",--(COUNTIFS(nNIA,DATOS!$A8189,nCURSO,DATOS!$D8189,nESPEC,DATOS!$E8189,nASIG,DATOS!$I8189,nEVAL,"EX")=0),0))))</f>
      </c>
      <c r="H8189">
        <f>IF(DATOS!$G8189&lt;&gt;"EX",0,--(COUNTIFS(nNIA,DATOS!$A8189,nCURSO,DATOS!$D8189,nESPEC,DATOS!$E8189,nASIG,DATOS!$I8189,nEVAL,"OR")=0))</f>
      </c>
      <c r="I8189">
        <f>IF(DATOS!$I8189="","",IFERROR(VLOOKUP(DATOS!$I8189,CONFIG_ASIGNATURAS!$B$2:$J$91,9,FALSE()),""))</f>
      </c>
    </row>
    <row r="8190">
      <c r="F8190">
        <f>IF(DATOS!$A8190="","",DATOS!$A8190&amp;"|"&amp;DATOS!$D8190&amp;"|"&amp;DATOS!$E8190&amp;"|"&amp;DATOS!$I8190)</f>
      </c>
      <c r="G8190">
        <f>IF(DATOS!$A8190="",0,IF(CONFIG_METADATA!$B$4&lt;&gt;"OR+EX",--(DATOS!$G8190=CONFIG_METADATA!$B$4),IF(DATOS!$G8190="EX",1,IF(DATOS!$G8190="OR",--(COUNTIFS(nNIA,DATOS!$A8190,nCURSO,DATOS!$D8190,nESPEC,DATOS!$E8190,nASIG,DATOS!$I8190,nEVAL,"EX")=0),0))))</f>
      </c>
      <c r="H8190">
        <f>IF(DATOS!$G8190&lt;&gt;"EX",0,--(COUNTIFS(nNIA,DATOS!$A8190,nCURSO,DATOS!$D8190,nESPEC,DATOS!$E8190,nASIG,DATOS!$I8190,nEVAL,"OR")=0))</f>
      </c>
      <c r="I8190">
        <f>IF(DATOS!$I8190="","",IFERROR(VLOOKUP(DATOS!$I8190,CONFIG_ASIGNATURAS!$B$2:$J$91,9,FALSE()),""))</f>
      </c>
    </row>
    <row r="8191">
      <c r="F8191">
        <f>IF(DATOS!$A8191="","",DATOS!$A8191&amp;"|"&amp;DATOS!$D8191&amp;"|"&amp;DATOS!$E8191&amp;"|"&amp;DATOS!$I8191)</f>
      </c>
      <c r="G8191">
        <f>IF(DATOS!$A8191="",0,IF(CONFIG_METADATA!$B$4&lt;&gt;"OR+EX",--(DATOS!$G8191=CONFIG_METADATA!$B$4),IF(DATOS!$G8191="EX",1,IF(DATOS!$G8191="OR",--(COUNTIFS(nNIA,DATOS!$A8191,nCURSO,DATOS!$D8191,nESPEC,DATOS!$E8191,nASIG,DATOS!$I8191,nEVAL,"EX")=0),0))))</f>
      </c>
      <c r="H8191">
        <f>IF(DATOS!$G8191&lt;&gt;"EX",0,--(COUNTIFS(nNIA,DATOS!$A8191,nCURSO,DATOS!$D8191,nESPEC,DATOS!$E8191,nASIG,DATOS!$I8191,nEVAL,"OR")=0))</f>
      </c>
      <c r="I8191">
        <f>IF(DATOS!$I8191="","",IFERROR(VLOOKUP(DATOS!$I8191,CONFIG_ASIGNATURAS!$B$2:$J$91,9,FALSE()),""))</f>
      </c>
    </row>
    <row r="8192">
      <c r="F8192">
        <f>IF(DATOS!$A8192="","",DATOS!$A8192&amp;"|"&amp;DATOS!$D8192&amp;"|"&amp;DATOS!$E8192&amp;"|"&amp;DATOS!$I8192)</f>
      </c>
      <c r="G8192">
        <f>IF(DATOS!$A8192="",0,IF(CONFIG_METADATA!$B$4&lt;&gt;"OR+EX",--(DATOS!$G8192=CONFIG_METADATA!$B$4),IF(DATOS!$G8192="EX",1,IF(DATOS!$G8192="OR",--(COUNTIFS(nNIA,DATOS!$A8192,nCURSO,DATOS!$D8192,nESPEC,DATOS!$E8192,nASIG,DATOS!$I8192,nEVAL,"EX")=0),0))))</f>
      </c>
      <c r="H8192">
        <f>IF(DATOS!$G8192&lt;&gt;"EX",0,--(COUNTIFS(nNIA,DATOS!$A8192,nCURSO,DATOS!$D8192,nESPEC,DATOS!$E8192,nASIG,DATOS!$I8192,nEVAL,"OR")=0))</f>
      </c>
      <c r="I8192">
        <f>IF(DATOS!$I8192="","",IFERROR(VLOOKUP(DATOS!$I8192,CONFIG_ASIGNATURAS!$B$2:$J$91,9,FALSE()),""))</f>
      </c>
    </row>
    <row r="8193">
      <c r="F8193">
        <f>IF(DATOS!$A8193="","",DATOS!$A8193&amp;"|"&amp;DATOS!$D8193&amp;"|"&amp;DATOS!$E8193&amp;"|"&amp;DATOS!$I8193)</f>
      </c>
      <c r="G8193">
        <f>IF(DATOS!$A8193="",0,IF(CONFIG_METADATA!$B$4&lt;&gt;"OR+EX",--(DATOS!$G8193=CONFIG_METADATA!$B$4),IF(DATOS!$G8193="EX",1,IF(DATOS!$G8193="OR",--(COUNTIFS(nNIA,DATOS!$A8193,nCURSO,DATOS!$D8193,nESPEC,DATOS!$E8193,nASIG,DATOS!$I8193,nEVAL,"EX")=0),0))))</f>
      </c>
      <c r="H8193">
        <f>IF(DATOS!$G8193&lt;&gt;"EX",0,--(COUNTIFS(nNIA,DATOS!$A8193,nCURSO,DATOS!$D8193,nESPEC,DATOS!$E8193,nASIG,DATOS!$I8193,nEVAL,"OR")=0))</f>
      </c>
      <c r="I8193">
        <f>IF(DATOS!$I8193="","",IFERROR(VLOOKUP(DATOS!$I8193,CONFIG_ASIGNATURAS!$B$2:$J$91,9,FALSE()),""))</f>
      </c>
    </row>
    <row r="8194">
      <c r="F8194">
        <f>IF(DATOS!$A8194="","",DATOS!$A8194&amp;"|"&amp;DATOS!$D8194&amp;"|"&amp;DATOS!$E8194&amp;"|"&amp;DATOS!$I8194)</f>
      </c>
      <c r="G8194">
        <f>IF(DATOS!$A8194="",0,IF(CONFIG_METADATA!$B$4&lt;&gt;"OR+EX",--(DATOS!$G8194=CONFIG_METADATA!$B$4),IF(DATOS!$G8194="EX",1,IF(DATOS!$G8194="OR",--(COUNTIFS(nNIA,DATOS!$A8194,nCURSO,DATOS!$D8194,nESPEC,DATOS!$E8194,nASIG,DATOS!$I8194,nEVAL,"EX")=0),0))))</f>
      </c>
      <c r="H8194">
        <f>IF(DATOS!$G8194&lt;&gt;"EX",0,--(COUNTIFS(nNIA,DATOS!$A8194,nCURSO,DATOS!$D8194,nESPEC,DATOS!$E8194,nASIG,DATOS!$I8194,nEVAL,"OR")=0))</f>
      </c>
      <c r="I8194">
        <f>IF(DATOS!$I8194="","",IFERROR(VLOOKUP(DATOS!$I8194,CONFIG_ASIGNATURAS!$B$2:$J$91,9,FALSE()),""))</f>
      </c>
    </row>
    <row r="8195">
      <c r="F8195">
        <f>IF(DATOS!$A8195="","",DATOS!$A8195&amp;"|"&amp;DATOS!$D8195&amp;"|"&amp;DATOS!$E8195&amp;"|"&amp;DATOS!$I8195)</f>
      </c>
      <c r="G8195">
        <f>IF(DATOS!$A8195="",0,IF(CONFIG_METADATA!$B$4&lt;&gt;"OR+EX",--(DATOS!$G8195=CONFIG_METADATA!$B$4),IF(DATOS!$G8195="EX",1,IF(DATOS!$G8195="OR",--(COUNTIFS(nNIA,DATOS!$A8195,nCURSO,DATOS!$D8195,nESPEC,DATOS!$E8195,nASIG,DATOS!$I8195,nEVAL,"EX")=0),0))))</f>
      </c>
      <c r="H8195">
        <f>IF(DATOS!$G8195&lt;&gt;"EX",0,--(COUNTIFS(nNIA,DATOS!$A8195,nCURSO,DATOS!$D8195,nESPEC,DATOS!$E8195,nASIG,DATOS!$I8195,nEVAL,"OR")=0))</f>
      </c>
      <c r="I8195">
        <f>IF(DATOS!$I8195="","",IFERROR(VLOOKUP(DATOS!$I8195,CONFIG_ASIGNATURAS!$B$2:$J$91,9,FALSE()),""))</f>
      </c>
    </row>
    <row r="8196">
      <c r="F8196">
        <f>IF(DATOS!$A8196="","",DATOS!$A8196&amp;"|"&amp;DATOS!$D8196&amp;"|"&amp;DATOS!$E8196&amp;"|"&amp;DATOS!$I8196)</f>
      </c>
      <c r="G8196">
        <f>IF(DATOS!$A8196="",0,IF(CONFIG_METADATA!$B$4&lt;&gt;"OR+EX",--(DATOS!$G8196=CONFIG_METADATA!$B$4),IF(DATOS!$G8196="EX",1,IF(DATOS!$G8196="OR",--(COUNTIFS(nNIA,DATOS!$A8196,nCURSO,DATOS!$D8196,nESPEC,DATOS!$E8196,nASIG,DATOS!$I8196,nEVAL,"EX")=0),0))))</f>
      </c>
      <c r="H8196">
        <f>IF(DATOS!$G8196&lt;&gt;"EX",0,--(COUNTIFS(nNIA,DATOS!$A8196,nCURSO,DATOS!$D8196,nESPEC,DATOS!$E8196,nASIG,DATOS!$I8196,nEVAL,"OR")=0))</f>
      </c>
      <c r="I8196">
        <f>IF(DATOS!$I8196="","",IFERROR(VLOOKUP(DATOS!$I8196,CONFIG_ASIGNATURAS!$B$2:$J$91,9,FALSE()),""))</f>
      </c>
    </row>
    <row r="8197">
      <c r="F8197">
        <f>IF(DATOS!$A8197="","",DATOS!$A8197&amp;"|"&amp;DATOS!$D8197&amp;"|"&amp;DATOS!$E8197&amp;"|"&amp;DATOS!$I8197)</f>
      </c>
      <c r="G8197">
        <f>IF(DATOS!$A8197="",0,IF(CONFIG_METADATA!$B$4&lt;&gt;"OR+EX",--(DATOS!$G8197=CONFIG_METADATA!$B$4),IF(DATOS!$G8197="EX",1,IF(DATOS!$G8197="OR",--(COUNTIFS(nNIA,DATOS!$A8197,nCURSO,DATOS!$D8197,nESPEC,DATOS!$E8197,nASIG,DATOS!$I8197,nEVAL,"EX")=0),0))))</f>
      </c>
      <c r="H8197">
        <f>IF(DATOS!$G8197&lt;&gt;"EX",0,--(COUNTIFS(nNIA,DATOS!$A8197,nCURSO,DATOS!$D8197,nESPEC,DATOS!$E8197,nASIG,DATOS!$I8197,nEVAL,"OR")=0))</f>
      </c>
      <c r="I8197">
        <f>IF(DATOS!$I8197="","",IFERROR(VLOOKUP(DATOS!$I8197,CONFIG_ASIGNATURAS!$B$2:$J$91,9,FALSE()),""))</f>
      </c>
    </row>
    <row r="8198">
      <c r="F8198">
        <f>IF(DATOS!$A8198="","",DATOS!$A8198&amp;"|"&amp;DATOS!$D8198&amp;"|"&amp;DATOS!$E8198&amp;"|"&amp;DATOS!$I8198)</f>
      </c>
      <c r="G8198">
        <f>IF(DATOS!$A8198="",0,IF(CONFIG_METADATA!$B$4&lt;&gt;"OR+EX",--(DATOS!$G8198=CONFIG_METADATA!$B$4),IF(DATOS!$G8198="EX",1,IF(DATOS!$G8198="OR",--(COUNTIFS(nNIA,DATOS!$A8198,nCURSO,DATOS!$D8198,nESPEC,DATOS!$E8198,nASIG,DATOS!$I8198,nEVAL,"EX")=0),0))))</f>
      </c>
      <c r="H8198">
        <f>IF(DATOS!$G8198&lt;&gt;"EX",0,--(COUNTIFS(nNIA,DATOS!$A8198,nCURSO,DATOS!$D8198,nESPEC,DATOS!$E8198,nASIG,DATOS!$I8198,nEVAL,"OR")=0))</f>
      </c>
      <c r="I8198">
        <f>IF(DATOS!$I8198="","",IFERROR(VLOOKUP(DATOS!$I8198,CONFIG_ASIGNATURAS!$B$2:$J$91,9,FALSE()),""))</f>
      </c>
    </row>
    <row r="8199">
      <c r="F8199">
        <f>IF(DATOS!$A8199="","",DATOS!$A8199&amp;"|"&amp;DATOS!$D8199&amp;"|"&amp;DATOS!$E8199&amp;"|"&amp;DATOS!$I8199)</f>
      </c>
      <c r="G8199">
        <f>IF(DATOS!$A8199="",0,IF(CONFIG_METADATA!$B$4&lt;&gt;"OR+EX",--(DATOS!$G8199=CONFIG_METADATA!$B$4),IF(DATOS!$G8199="EX",1,IF(DATOS!$G8199="OR",--(COUNTIFS(nNIA,DATOS!$A8199,nCURSO,DATOS!$D8199,nESPEC,DATOS!$E8199,nASIG,DATOS!$I8199,nEVAL,"EX")=0),0))))</f>
      </c>
      <c r="H8199">
        <f>IF(DATOS!$G8199&lt;&gt;"EX",0,--(COUNTIFS(nNIA,DATOS!$A8199,nCURSO,DATOS!$D8199,nESPEC,DATOS!$E8199,nASIG,DATOS!$I8199,nEVAL,"OR")=0))</f>
      </c>
      <c r="I8199">
        <f>IF(DATOS!$I8199="","",IFERROR(VLOOKUP(DATOS!$I8199,CONFIG_ASIGNATURAS!$B$2:$J$91,9,FALSE()),""))</f>
      </c>
    </row>
    <row r="8200">
      <c r="F8200">
        <f>IF(DATOS!$A8200="","",DATOS!$A8200&amp;"|"&amp;DATOS!$D8200&amp;"|"&amp;DATOS!$E8200&amp;"|"&amp;DATOS!$I8200)</f>
      </c>
      <c r="G8200">
        <f>IF(DATOS!$A8200="",0,IF(CONFIG_METADATA!$B$4&lt;&gt;"OR+EX",--(DATOS!$G8200=CONFIG_METADATA!$B$4),IF(DATOS!$G8200="EX",1,IF(DATOS!$G8200="OR",--(COUNTIFS(nNIA,DATOS!$A8200,nCURSO,DATOS!$D8200,nESPEC,DATOS!$E8200,nASIG,DATOS!$I8200,nEVAL,"EX")=0),0))))</f>
      </c>
      <c r="H8200">
        <f>IF(DATOS!$G8200&lt;&gt;"EX",0,--(COUNTIFS(nNIA,DATOS!$A8200,nCURSO,DATOS!$D8200,nESPEC,DATOS!$E8200,nASIG,DATOS!$I8200,nEVAL,"OR")=0))</f>
      </c>
      <c r="I8200">
        <f>IF(DATOS!$I8200="","",IFERROR(VLOOKUP(DATOS!$I8200,CONFIG_ASIGNATURAS!$B$2:$J$91,9,FALSE()),""))</f>
      </c>
    </row>
    <row r="8201">
      <c r="F8201">
        <f>IF(DATOS!$A8201="","",DATOS!$A8201&amp;"|"&amp;DATOS!$D8201&amp;"|"&amp;DATOS!$E8201&amp;"|"&amp;DATOS!$I8201)</f>
      </c>
      <c r="G8201">
        <f>IF(DATOS!$A8201="",0,IF(CONFIG_METADATA!$B$4&lt;&gt;"OR+EX",--(DATOS!$G8201=CONFIG_METADATA!$B$4),IF(DATOS!$G8201="EX",1,IF(DATOS!$G8201="OR",--(COUNTIFS(nNIA,DATOS!$A8201,nCURSO,DATOS!$D8201,nESPEC,DATOS!$E8201,nASIG,DATOS!$I8201,nEVAL,"EX")=0),0))))</f>
      </c>
      <c r="H8201">
        <f>IF(DATOS!$G8201&lt;&gt;"EX",0,--(COUNTIFS(nNIA,DATOS!$A8201,nCURSO,DATOS!$D8201,nESPEC,DATOS!$E8201,nASIG,DATOS!$I8201,nEVAL,"OR")=0))</f>
      </c>
      <c r="I8201">
        <f>IF(DATOS!$I8201="","",IFERROR(VLOOKUP(DATOS!$I8201,CONFIG_ASIGNATURAS!$B$2:$J$91,9,FALSE()),""))</f>
      </c>
    </row>
    <row r="8202">
      <c r="F8202">
        <f>IF(DATOS!$A8202="","",DATOS!$A8202&amp;"|"&amp;DATOS!$D8202&amp;"|"&amp;DATOS!$E8202&amp;"|"&amp;DATOS!$I8202)</f>
      </c>
      <c r="G8202">
        <f>IF(DATOS!$A8202="",0,IF(CONFIG_METADATA!$B$4&lt;&gt;"OR+EX",--(DATOS!$G8202=CONFIG_METADATA!$B$4),IF(DATOS!$G8202="EX",1,IF(DATOS!$G8202="OR",--(COUNTIFS(nNIA,DATOS!$A8202,nCURSO,DATOS!$D8202,nESPEC,DATOS!$E8202,nASIG,DATOS!$I8202,nEVAL,"EX")=0),0))))</f>
      </c>
      <c r="H8202">
        <f>IF(DATOS!$G8202&lt;&gt;"EX",0,--(COUNTIFS(nNIA,DATOS!$A8202,nCURSO,DATOS!$D8202,nESPEC,DATOS!$E8202,nASIG,DATOS!$I8202,nEVAL,"OR")=0))</f>
      </c>
      <c r="I8202">
        <f>IF(DATOS!$I8202="","",IFERROR(VLOOKUP(DATOS!$I8202,CONFIG_ASIGNATURAS!$B$2:$J$91,9,FALSE()),""))</f>
      </c>
    </row>
    <row r="8203">
      <c r="F8203">
        <f>IF(DATOS!$A8203="","",DATOS!$A8203&amp;"|"&amp;DATOS!$D8203&amp;"|"&amp;DATOS!$E8203&amp;"|"&amp;DATOS!$I8203)</f>
      </c>
      <c r="G8203">
        <f>IF(DATOS!$A8203="",0,IF(CONFIG_METADATA!$B$4&lt;&gt;"OR+EX",--(DATOS!$G8203=CONFIG_METADATA!$B$4),IF(DATOS!$G8203="EX",1,IF(DATOS!$G8203="OR",--(COUNTIFS(nNIA,DATOS!$A8203,nCURSO,DATOS!$D8203,nESPEC,DATOS!$E8203,nASIG,DATOS!$I8203,nEVAL,"EX")=0),0))))</f>
      </c>
      <c r="H8203">
        <f>IF(DATOS!$G8203&lt;&gt;"EX",0,--(COUNTIFS(nNIA,DATOS!$A8203,nCURSO,DATOS!$D8203,nESPEC,DATOS!$E8203,nASIG,DATOS!$I8203,nEVAL,"OR")=0))</f>
      </c>
      <c r="I8203">
        <f>IF(DATOS!$I8203="","",IFERROR(VLOOKUP(DATOS!$I8203,CONFIG_ASIGNATURAS!$B$2:$J$91,9,FALSE()),""))</f>
      </c>
    </row>
    <row r="8204">
      <c r="F8204">
        <f>IF(DATOS!$A8204="","",DATOS!$A8204&amp;"|"&amp;DATOS!$D8204&amp;"|"&amp;DATOS!$E8204&amp;"|"&amp;DATOS!$I8204)</f>
      </c>
      <c r="G8204">
        <f>IF(DATOS!$A8204="",0,IF(CONFIG_METADATA!$B$4&lt;&gt;"OR+EX",--(DATOS!$G8204=CONFIG_METADATA!$B$4),IF(DATOS!$G8204="EX",1,IF(DATOS!$G8204="OR",--(COUNTIFS(nNIA,DATOS!$A8204,nCURSO,DATOS!$D8204,nESPEC,DATOS!$E8204,nASIG,DATOS!$I8204,nEVAL,"EX")=0),0))))</f>
      </c>
      <c r="H8204">
        <f>IF(DATOS!$G8204&lt;&gt;"EX",0,--(COUNTIFS(nNIA,DATOS!$A8204,nCURSO,DATOS!$D8204,nESPEC,DATOS!$E8204,nASIG,DATOS!$I8204,nEVAL,"OR")=0))</f>
      </c>
      <c r="I8204">
        <f>IF(DATOS!$I8204="","",IFERROR(VLOOKUP(DATOS!$I8204,CONFIG_ASIGNATURAS!$B$2:$J$91,9,FALSE()),""))</f>
      </c>
    </row>
    <row r="8205">
      <c r="F8205">
        <f>IF(DATOS!$A8205="","",DATOS!$A8205&amp;"|"&amp;DATOS!$D8205&amp;"|"&amp;DATOS!$E8205&amp;"|"&amp;DATOS!$I8205)</f>
      </c>
      <c r="G8205">
        <f>IF(DATOS!$A8205="",0,IF(CONFIG_METADATA!$B$4&lt;&gt;"OR+EX",--(DATOS!$G8205=CONFIG_METADATA!$B$4),IF(DATOS!$G8205="EX",1,IF(DATOS!$G8205="OR",--(COUNTIFS(nNIA,DATOS!$A8205,nCURSO,DATOS!$D8205,nESPEC,DATOS!$E8205,nASIG,DATOS!$I8205,nEVAL,"EX")=0),0))))</f>
      </c>
      <c r="H8205">
        <f>IF(DATOS!$G8205&lt;&gt;"EX",0,--(COUNTIFS(nNIA,DATOS!$A8205,nCURSO,DATOS!$D8205,nESPEC,DATOS!$E8205,nASIG,DATOS!$I8205,nEVAL,"OR")=0))</f>
      </c>
      <c r="I8205">
        <f>IF(DATOS!$I8205="","",IFERROR(VLOOKUP(DATOS!$I8205,CONFIG_ASIGNATURAS!$B$2:$J$91,9,FALSE()),""))</f>
      </c>
    </row>
    <row r="8206">
      <c r="F8206">
        <f>IF(DATOS!$A8206="","",DATOS!$A8206&amp;"|"&amp;DATOS!$D8206&amp;"|"&amp;DATOS!$E8206&amp;"|"&amp;DATOS!$I8206)</f>
      </c>
      <c r="G8206">
        <f>IF(DATOS!$A8206="",0,IF(CONFIG_METADATA!$B$4&lt;&gt;"OR+EX",--(DATOS!$G8206=CONFIG_METADATA!$B$4),IF(DATOS!$G8206="EX",1,IF(DATOS!$G8206="OR",--(COUNTIFS(nNIA,DATOS!$A8206,nCURSO,DATOS!$D8206,nESPEC,DATOS!$E8206,nASIG,DATOS!$I8206,nEVAL,"EX")=0),0))))</f>
      </c>
      <c r="H8206">
        <f>IF(DATOS!$G8206&lt;&gt;"EX",0,--(COUNTIFS(nNIA,DATOS!$A8206,nCURSO,DATOS!$D8206,nESPEC,DATOS!$E8206,nASIG,DATOS!$I8206,nEVAL,"OR")=0))</f>
      </c>
      <c r="I8206">
        <f>IF(DATOS!$I8206="","",IFERROR(VLOOKUP(DATOS!$I8206,CONFIG_ASIGNATURAS!$B$2:$J$91,9,FALSE()),""))</f>
      </c>
    </row>
    <row r="8207">
      <c r="F8207">
        <f>IF(DATOS!$A8207="","",DATOS!$A8207&amp;"|"&amp;DATOS!$D8207&amp;"|"&amp;DATOS!$E8207&amp;"|"&amp;DATOS!$I8207)</f>
      </c>
      <c r="G8207">
        <f>IF(DATOS!$A8207="",0,IF(CONFIG_METADATA!$B$4&lt;&gt;"OR+EX",--(DATOS!$G8207=CONFIG_METADATA!$B$4),IF(DATOS!$G8207="EX",1,IF(DATOS!$G8207="OR",--(COUNTIFS(nNIA,DATOS!$A8207,nCURSO,DATOS!$D8207,nESPEC,DATOS!$E8207,nASIG,DATOS!$I8207,nEVAL,"EX")=0),0))))</f>
      </c>
      <c r="H8207">
        <f>IF(DATOS!$G8207&lt;&gt;"EX",0,--(COUNTIFS(nNIA,DATOS!$A8207,nCURSO,DATOS!$D8207,nESPEC,DATOS!$E8207,nASIG,DATOS!$I8207,nEVAL,"OR")=0))</f>
      </c>
      <c r="I8207">
        <f>IF(DATOS!$I8207="","",IFERROR(VLOOKUP(DATOS!$I8207,CONFIG_ASIGNATURAS!$B$2:$J$91,9,FALSE()),""))</f>
      </c>
    </row>
    <row r="8208">
      <c r="F8208">
        <f>IF(DATOS!$A8208="","",DATOS!$A8208&amp;"|"&amp;DATOS!$D8208&amp;"|"&amp;DATOS!$E8208&amp;"|"&amp;DATOS!$I8208)</f>
      </c>
      <c r="G8208">
        <f>IF(DATOS!$A8208="",0,IF(CONFIG_METADATA!$B$4&lt;&gt;"OR+EX",--(DATOS!$G8208=CONFIG_METADATA!$B$4),IF(DATOS!$G8208="EX",1,IF(DATOS!$G8208="OR",--(COUNTIFS(nNIA,DATOS!$A8208,nCURSO,DATOS!$D8208,nESPEC,DATOS!$E8208,nASIG,DATOS!$I8208,nEVAL,"EX")=0),0))))</f>
      </c>
      <c r="H8208">
        <f>IF(DATOS!$G8208&lt;&gt;"EX",0,--(COUNTIFS(nNIA,DATOS!$A8208,nCURSO,DATOS!$D8208,nESPEC,DATOS!$E8208,nASIG,DATOS!$I8208,nEVAL,"OR")=0))</f>
      </c>
      <c r="I8208">
        <f>IF(DATOS!$I8208="","",IFERROR(VLOOKUP(DATOS!$I8208,CONFIG_ASIGNATURAS!$B$2:$J$91,9,FALSE()),""))</f>
      </c>
    </row>
    <row r="8209">
      <c r="F8209">
        <f>IF(DATOS!$A8209="","",DATOS!$A8209&amp;"|"&amp;DATOS!$D8209&amp;"|"&amp;DATOS!$E8209&amp;"|"&amp;DATOS!$I8209)</f>
      </c>
      <c r="G8209">
        <f>IF(DATOS!$A8209="",0,IF(CONFIG_METADATA!$B$4&lt;&gt;"OR+EX",--(DATOS!$G8209=CONFIG_METADATA!$B$4),IF(DATOS!$G8209="EX",1,IF(DATOS!$G8209="OR",--(COUNTIFS(nNIA,DATOS!$A8209,nCURSO,DATOS!$D8209,nESPEC,DATOS!$E8209,nASIG,DATOS!$I8209,nEVAL,"EX")=0),0))))</f>
      </c>
      <c r="H8209">
        <f>IF(DATOS!$G8209&lt;&gt;"EX",0,--(COUNTIFS(nNIA,DATOS!$A8209,nCURSO,DATOS!$D8209,nESPEC,DATOS!$E8209,nASIG,DATOS!$I8209,nEVAL,"OR")=0))</f>
      </c>
      <c r="I8209">
        <f>IF(DATOS!$I8209="","",IFERROR(VLOOKUP(DATOS!$I8209,CONFIG_ASIGNATURAS!$B$2:$J$91,9,FALSE()),""))</f>
      </c>
    </row>
    <row r="8210">
      <c r="F8210">
        <f>IF(DATOS!$A8210="","",DATOS!$A8210&amp;"|"&amp;DATOS!$D8210&amp;"|"&amp;DATOS!$E8210&amp;"|"&amp;DATOS!$I8210)</f>
      </c>
      <c r="G8210">
        <f>IF(DATOS!$A8210="",0,IF(CONFIG_METADATA!$B$4&lt;&gt;"OR+EX",--(DATOS!$G8210=CONFIG_METADATA!$B$4),IF(DATOS!$G8210="EX",1,IF(DATOS!$G8210="OR",--(COUNTIFS(nNIA,DATOS!$A8210,nCURSO,DATOS!$D8210,nESPEC,DATOS!$E8210,nASIG,DATOS!$I8210,nEVAL,"EX")=0),0))))</f>
      </c>
      <c r="H8210">
        <f>IF(DATOS!$G8210&lt;&gt;"EX",0,--(COUNTIFS(nNIA,DATOS!$A8210,nCURSO,DATOS!$D8210,nESPEC,DATOS!$E8210,nASIG,DATOS!$I8210,nEVAL,"OR")=0))</f>
      </c>
      <c r="I8210">
        <f>IF(DATOS!$I8210="","",IFERROR(VLOOKUP(DATOS!$I8210,CONFIG_ASIGNATURAS!$B$2:$J$91,9,FALSE()),""))</f>
      </c>
    </row>
    <row r="8211">
      <c r="F8211">
        <f>IF(DATOS!$A8211="","",DATOS!$A8211&amp;"|"&amp;DATOS!$D8211&amp;"|"&amp;DATOS!$E8211&amp;"|"&amp;DATOS!$I8211)</f>
      </c>
      <c r="G8211">
        <f>IF(DATOS!$A8211="",0,IF(CONFIG_METADATA!$B$4&lt;&gt;"OR+EX",--(DATOS!$G8211=CONFIG_METADATA!$B$4),IF(DATOS!$G8211="EX",1,IF(DATOS!$G8211="OR",--(COUNTIFS(nNIA,DATOS!$A8211,nCURSO,DATOS!$D8211,nESPEC,DATOS!$E8211,nASIG,DATOS!$I8211,nEVAL,"EX")=0),0))))</f>
      </c>
      <c r="H8211">
        <f>IF(DATOS!$G8211&lt;&gt;"EX",0,--(COUNTIFS(nNIA,DATOS!$A8211,nCURSO,DATOS!$D8211,nESPEC,DATOS!$E8211,nASIG,DATOS!$I8211,nEVAL,"OR")=0))</f>
      </c>
      <c r="I8211">
        <f>IF(DATOS!$I8211="","",IFERROR(VLOOKUP(DATOS!$I8211,CONFIG_ASIGNATURAS!$B$2:$J$91,9,FALSE()),""))</f>
      </c>
    </row>
    <row r="8212">
      <c r="F8212">
        <f>IF(DATOS!$A8212="","",DATOS!$A8212&amp;"|"&amp;DATOS!$D8212&amp;"|"&amp;DATOS!$E8212&amp;"|"&amp;DATOS!$I8212)</f>
      </c>
      <c r="G8212">
        <f>IF(DATOS!$A8212="",0,IF(CONFIG_METADATA!$B$4&lt;&gt;"OR+EX",--(DATOS!$G8212=CONFIG_METADATA!$B$4),IF(DATOS!$G8212="EX",1,IF(DATOS!$G8212="OR",--(COUNTIFS(nNIA,DATOS!$A8212,nCURSO,DATOS!$D8212,nESPEC,DATOS!$E8212,nASIG,DATOS!$I8212,nEVAL,"EX")=0),0))))</f>
      </c>
      <c r="H8212">
        <f>IF(DATOS!$G8212&lt;&gt;"EX",0,--(COUNTIFS(nNIA,DATOS!$A8212,nCURSO,DATOS!$D8212,nESPEC,DATOS!$E8212,nASIG,DATOS!$I8212,nEVAL,"OR")=0))</f>
      </c>
      <c r="I8212">
        <f>IF(DATOS!$I8212="","",IFERROR(VLOOKUP(DATOS!$I8212,CONFIG_ASIGNATURAS!$B$2:$J$91,9,FALSE()),""))</f>
      </c>
    </row>
    <row r="8213">
      <c r="F8213">
        <f>IF(DATOS!$A8213="","",DATOS!$A8213&amp;"|"&amp;DATOS!$D8213&amp;"|"&amp;DATOS!$E8213&amp;"|"&amp;DATOS!$I8213)</f>
      </c>
      <c r="G8213">
        <f>IF(DATOS!$A8213="",0,IF(CONFIG_METADATA!$B$4&lt;&gt;"OR+EX",--(DATOS!$G8213=CONFIG_METADATA!$B$4),IF(DATOS!$G8213="EX",1,IF(DATOS!$G8213="OR",--(COUNTIFS(nNIA,DATOS!$A8213,nCURSO,DATOS!$D8213,nESPEC,DATOS!$E8213,nASIG,DATOS!$I8213,nEVAL,"EX")=0),0))))</f>
      </c>
      <c r="H8213">
        <f>IF(DATOS!$G8213&lt;&gt;"EX",0,--(COUNTIFS(nNIA,DATOS!$A8213,nCURSO,DATOS!$D8213,nESPEC,DATOS!$E8213,nASIG,DATOS!$I8213,nEVAL,"OR")=0))</f>
      </c>
      <c r="I8213">
        <f>IF(DATOS!$I8213="","",IFERROR(VLOOKUP(DATOS!$I8213,CONFIG_ASIGNATURAS!$B$2:$J$91,9,FALSE()),""))</f>
      </c>
    </row>
    <row r="8214">
      <c r="F8214">
        <f>IF(DATOS!$A8214="","",DATOS!$A8214&amp;"|"&amp;DATOS!$D8214&amp;"|"&amp;DATOS!$E8214&amp;"|"&amp;DATOS!$I8214)</f>
      </c>
      <c r="G8214">
        <f>IF(DATOS!$A8214="",0,IF(CONFIG_METADATA!$B$4&lt;&gt;"OR+EX",--(DATOS!$G8214=CONFIG_METADATA!$B$4),IF(DATOS!$G8214="EX",1,IF(DATOS!$G8214="OR",--(COUNTIFS(nNIA,DATOS!$A8214,nCURSO,DATOS!$D8214,nESPEC,DATOS!$E8214,nASIG,DATOS!$I8214,nEVAL,"EX")=0),0))))</f>
      </c>
      <c r="H8214">
        <f>IF(DATOS!$G8214&lt;&gt;"EX",0,--(COUNTIFS(nNIA,DATOS!$A8214,nCURSO,DATOS!$D8214,nESPEC,DATOS!$E8214,nASIG,DATOS!$I8214,nEVAL,"OR")=0))</f>
      </c>
      <c r="I8214">
        <f>IF(DATOS!$I8214="","",IFERROR(VLOOKUP(DATOS!$I8214,CONFIG_ASIGNATURAS!$B$2:$J$91,9,FALSE()),""))</f>
      </c>
    </row>
    <row r="8215">
      <c r="F8215">
        <f>IF(DATOS!$A8215="","",DATOS!$A8215&amp;"|"&amp;DATOS!$D8215&amp;"|"&amp;DATOS!$E8215&amp;"|"&amp;DATOS!$I8215)</f>
      </c>
      <c r="G8215">
        <f>IF(DATOS!$A8215="",0,IF(CONFIG_METADATA!$B$4&lt;&gt;"OR+EX",--(DATOS!$G8215=CONFIG_METADATA!$B$4),IF(DATOS!$G8215="EX",1,IF(DATOS!$G8215="OR",--(COUNTIFS(nNIA,DATOS!$A8215,nCURSO,DATOS!$D8215,nESPEC,DATOS!$E8215,nASIG,DATOS!$I8215,nEVAL,"EX")=0),0))))</f>
      </c>
      <c r="H8215">
        <f>IF(DATOS!$G8215&lt;&gt;"EX",0,--(COUNTIFS(nNIA,DATOS!$A8215,nCURSO,DATOS!$D8215,nESPEC,DATOS!$E8215,nASIG,DATOS!$I8215,nEVAL,"OR")=0))</f>
      </c>
      <c r="I8215">
        <f>IF(DATOS!$I8215="","",IFERROR(VLOOKUP(DATOS!$I8215,CONFIG_ASIGNATURAS!$B$2:$J$91,9,FALSE()),""))</f>
      </c>
    </row>
    <row r="8216">
      <c r="F8216">
        <f>IF(DATOS!$A8216="","",DATOS!$A8216&amp;"|"&amp;DATOS!$D8216&amp;"|"&amp;DATOS!$E8216&amp;"|"&amp;DATOS!$I8216)</f>
      </c>
      <c r="G8216">
        <f>IF(DATOS!$A8216="",0,IF(CONFIG_METADATA!$B$4&lt;&gt;"OR+EX",--(DATOS!$G8216=CONFIG_METADATA!$B$4),IF(DATOS!$G8216="EX",1,IF(DATOS!$G8216="OR",--(COUNTIFS(nNIA,DATOS!$A8216,nCURSO,DATOS!$D8216,nESPEC,DATOS!$E8216,nASIG,DATOS!$I8216,nEVAL,"EX")=0),0))))</f>
      </c>
      <c r="H8216">
        <f>IF(DATOS!$G8216&lt;&gt;"EX",0,--(COUNTIFS(nNIA,DATOS!$A8216,nCURSO,DATOS!$D8216,nESPEC,DATOS!$E8216,nASIG,DATOS!$I8216,nEVAL,"OR")=0))</f>
      </c>
      <c r="I8216">
        <f>IF(DATOS!$I8216="","",IFERROR(VLOOKUP(DATOS!$I8216,CONFIG_ASIGNATURAS!$B$2:$J$91,9,FALSE()),""))</f>
      </c>
    </row>
    <row r="8217">
      <c r="F8217">
        <f>IF(DATOS!$A8217="","",DATOS!$A8217&amp;"|"&amp;DATOS!$D8217&amp;"|"&amp;DATOS!$E8217&amp;"|"&amp;DATOS!$I8217)</f>
      </c>
      <c r="G8217">
        <f>IF(DATOS!$A8217="",0,IF(CONFIG_METADATA!$B$4&lt;&gt;"OR+EX",--(DATOS!$G8217=CONFIG_METADATA!$B$4),IF(DATOS!$G8217="EX",1,IF(DATOS!$G8217="OR",--(COUNTIFS(nNIA,DATOS!$A8217,nCURSO,DATOS!$D8217,nESPEC,DATOS!$E8217,nASIG,DATOS!$I8217,nEVAL,"EX")=0),0))))</f>
      </c>
      <c r="H8217">
        <f>IF(DATOS!$G8217&lt;&gt;"EX",0,--(COUNTIFS(nNIA,DATOS!$A8217,nCURSO,DATOS!$D8217,nESPEC,DATOS!$E8217,nASIG,DATOS!$I8217,nEVAL,"OR")=0))</f>
      </c>
      <c r="I8217">
        <f>IF(DATOS!$I8217="","",IFERROR(VLOOKUP(DATOS!$I8217,CONFIG_ASIGNATURAS!$B$2:$J$91,9,FALSE()),""))</f>
      </c>
    </row>
    <row r="8218">
      <c r="F8218">
        <f>IF(DATOS!$A8218="","",DATOS!$A8218&amp;"|"&amp;DATOS!$D8218&amp;"|"&amp;DATOS!$E8218&amp;"|"&amp;DATOS!$I8218)</f>
      </c>
      <c r="G8218">
        <f>IF(DATOS!$A8218="",0,IF(CONFIG_METADATA!$B$4&lt;&gt;"OR+EX",--(DATOS!$G8218=CONFIG_METADATA!$B$4),IF(DATOS!$G8218="EX",1,IF(DATOS!$G8218="OR",--(COUNTIFS(nNIA,DATOS!$A8218,nCURSO,DATOS!$D8218,nESPEC,DATOS!$E8218,nASIG,DATOS!$I8218,nEVAL,"EX")=0),0))))</f>
      </c>
      <c r="H8218">
        <f>IF(DATOS!$G8218&lt;&gt;"EX",0,--(COUNTIFS(nNIA,DATOS!$A8218,nCURSO,DATOS!$D8218,nESPEC,DATOS!$E8218,nASIG,DATOS!$I8218,nEVAL,"OR")=0))</f>
      </c>
      <c r="I8218">
        <f>IF(DATOS!$I8218="","",IFERROR(VLOOKUP(DATOS!$I8218,CONFIG_ASIGNATURAS!$B$2:$J$91,9,FALSE()),""))</f>
      </c>
    </row>
    <row r="8219">
      <c r="F8219">
        <f>IF(DATOS!$A8219="","",DATOS!$A8219&amp;"|"&amp;DATOS!$D8219&amp;"|"&amp;DATOS!$E8219&amp;"|"&amp;DATOS!$I8219)</f>
      </c>
      <c r="G8219">
        <f>IF(DATOS!$A8219="",0,IF(CONFIG_METADATA!$B$4&lt;&gt;"OR+EX",--(DATOS!$G8219=CONFIG_METADATA!$B$4),IF(DATOS!$G8219="EX",1,IF(DATOS!$G8219="OR",--(COUNTIFS(nNIA,DATOS!$A8219,nCURSO,DATOS!$D8219,nESPEC,DATOS!$E8219,nASIG,DATOS!$I8219,nEVAL,"EX")=0),0))))</f>
      </c>
      <c r="H8219">
        <f>IF(DATOS!$G8219&lt;&gt;"EX",0,--(COUNTIFS(nNIA,DATOS!$A8219,nCURSO,DATOS!$D8219,nESPEC,DATOS!$E8219,nASIG,DATOS!$I8219,nEVAL,"OR")=0))</f>
      </c>
      <c r="I8219">
        <f>IF(DATOS!$I8219="","",IFERROR(VLOOKUP(DATOS!$I8219,CONFIG_ASIGNATURAS!$B$2:$J$91,9,FALSE()),""))</f>
      </c>
    </row>
    <row r="8220">
      <c r="F8220">
        <f>IF(DATOS!$A8220="","",DATOS!$A8220&amp;"|"&amp;DATOS!$D8220&amp;"|"&amp;DATOS!$E8220&amp;"|"&amp;DATOS!$I8220)</f>
      </c>
      <c r="G8220">
        <f>IF(DATOS!$A8220="",0,IF(CONFIG_METADATA!$B$4&lt;&gt;"OR+EX",--(DATOS!$G8220=CONFIG_METADATA!$B$4),IF(DATOS!$G8220="EX",1,IF(DATOS!$G8220="OR",--(COUNTIFS(nNIA,DATOS!$A8220,nCURSO,DATOS!$D8220,nESPEC,DATOS!$E8220,nASIG,DATOS!$I8220,nEVAL,"EX")=0),0))))</f>
      </c>
      <c r="H8220">
        <f>IF(DATOS!$G8220&lt;&gt;"EX",0,--(COUNTIFS(nNIA,DATOS!$A8220,nCURSO,DATOS!$D8220,nESPEC,DATOS!$E8220,nASIG,DATOS!$I8220,nEVAL,"OR")=0))</f>
      </c>
      <c r="I8220">
        <f>IF(DATOS!$I8220="","",IFERROR(VLOOKUP(DATOS!$I8220,CONFIG_ASIGNATURAS!$B$2:$J$91,9,FALSE()),""))</f>
      </c>
    </row>
    <row r="8221">
      <c r="F8221">
        <f>IF(DATOS!$A8221="","",DATOS!$A8221&amp;"|"&amp;DATOS!$D8221&amp;"|"&amp;DATOS!$E8221&amp;"|"&amp;DATOS!$I8221)</f>
      </c>
      <c r="G8221">
        <f>IF(DATOS!$A8221="",0,IF(CONFIG_METADATA!$B$4&lt;&gt;"OR+EX",--(DATOS!$G8221=CONFIG_METADATA!$B$4),IF(DATOS!$G8221="EX",1,IF(DATOS!$G8221="OR",--(COUNTIFS(nNIA,DATOS!$A8221,nCURSO,DATOS!$D8221,nESPEC,DATOS!$E8221,nASIG,DATOS!$I8221,nEVAL,"EX")=0),0))))</f>
      </c>
      <c r="H8221">
        <f>IF(DATOS!$G8221&lt;&gt;"EX",0,--(COUNTIFS(nNIA,DATOS!$A8221,nCURSO,DATOS!$D8221,nESPEC,DATOS!$E8221,nASIG,DATOS!$I8221,nEVAL,"OR")=0))</f>
      </c>
      <c r="I8221">
        <f>IF(DATOS!$I8221="","",IFERROR(VLOOKUP(DATOS!$I8221,CONFIG_ASIGNATURAS!$B$2:$J$91,9,FALSE()),""))</f>
      </c>
    </row>
    <row r="8222">
      <c r="F8222">
        <f>IF(DATOS!$A8222="","",DATOS!$A8222&amp;"|"&amp;DATOS!$D8222&amp;"|"&amp;DATOS!$E8222&amp;"|"&amp;DATOS!$I8222)</f>
      </c>
      <c r="G8222">
        <f>IF(DATOS!$A8222="",0,IF(CONFIG_METADATA!$B$4&lt;&gt;"OR+EX",--(DATOS!$G8222=CONFIG_METADATA!$B$4),IF(DATOS!$G8222="EX",1,IF(DATOS!$G8222="OR",--(COUNTIFS(nNIA,DATOS!$A8222,nCURSO,DATOS!$D8222,nESPEC,DATOS!$E8222,nASIG,DATOS!$I8222,nEVAL,"EX")=0),0))))</f>
      </c>
      <c r="H8222">
        <f>IF(DATOS!$G8222&lt;&gt;"EX",0,--(COUNTIFS(nNIA,DATOS!$A8222,nCURSO,DATOS!$D8222,nESPEC,DATOS!$E8222,nASIG,DATOS!$I8222,nEVAL,"OR")=0))</f>
      </c>
      <c r="I8222">
        <f>IF(DATOS!$I8222="","",IFERROR(VLOOKUP(DATOS!$I8222,CONFIG_ASIGNATURAS!$B$2:$J$91,9,FALSE()),""))</f>
      </c>
    </row>
    <row r="8223">
      <c r="F8223">
        <f>IF(DATOS!$A8223="","",DATOS!$A8223&amp;"|"&amp;DATOS!$D8223&amp;"|"&amp;DATOS!$E8223&amp;"|"&amp;DATOS!$I8223)</f>
      </c>
      <c r="G8223">
        <f>IF(DATOS!$A8223="",0,IF(CONFIG_METADATA!$B$4&lt;&gt;"OR+EX",--(DATOS!$G8223=CONFIG_METADATA!$B$4),IF(DATOS!$G8223="EX",1,IF(DATOS!$G8223="OR",--(COUNTIFS(nNIA,DATOS!$A8223,nCURSO,DATOS!$D8223,nESPEC,DATOS!$E8223,nASIG,DATOS!$I8223,nEVAL,"EX")=0),0))))</f>
      </c>
      <c r="H8223">
        <f>IF(DATOS!$G8223&lt;&gt;"EX",0,--(COUNTIFS(nNIA,DATOS!$A8223,nCURSO,DATOS!$D8223,nESPEC,DATOS!$E8223,nASIG,DATOS!$I8223,nEVAL,"OR")=0))</f>
      </c>
      <c r="I8223">
        <f>IF(DATOS!$I8223="","",IFERROR(VLOOKUP(DATOS!$I8223,CONFIG_ASIGNATURAS!$B$2:$J$91,9,FALSE()),""))</f>
      </c>
    </row>
    <row r="8224">
      <c r="F8224">
        <f>IF(DATOS!$A8224="","",DATOS!$A8224&amp;"|"&amp;DATOS!$D8224&amp;"|"&amp;DATOS!$E8224&amp;"|"&amp;DATOS!$I8224)</f>
      </c>
      <c r="G8224">
        <f>IF(DATOS!$A8224="",0,IF(CONFIG_METADATA!$B$4&lt;&gt;"OR+EX",--(DATOS!$G8224=CONFIG_METADATA!$B$4),IF(DATOS!$G8224="EX",1,IF(DATOS!$G8224="OR",--(COUNTIFS(nNIA,DATOS!$A8224,nCURSO,DATOS!$D8224,nESPEC,DATOS!$E8224,nASIG,DATOS!$I8224,nEVAL,"EX")=0),0))))</f>
      </c>
      <c r="H8224">
        <f>IF(DATOS!$G8224&lt;&gt;"EX",0,--(COUNTIFS(nNIA,DATOS!$A8224,nCURSO,DATOS!$D8224,nESPEC,DATOS!$E8224,nASIG,DATOS!$I8224,nEVAL,"OR")=0))</f>
      </c>
      <c r="I8224">
        <f>IF(DATOS!$I8224="","",IFERROR(VLOOKUP(DATOS!$I8224,CONFIG_ASIGNATURAS!$B$2:$J$91,9,FALSE()),""))</f>
      </c>
    </row>
    <row r="8225">
      <c r="F8225">
        <f>IF(DATOS!$A8225="","",DATOS!$A8225&amp;"|"&amp;DATOS!$D8225&amp;"|"&amp;DATOS!$E8225&amp;"|"&amp;DATOS!$I8225)</f>
      </c>
      <c r="G8225">
        <f>IF(DATOS!$A8225="",0,IF(CONFIG_METADATA!$B$4&lt;&gt;"OR+EX",--(DATOS!$G8225=CONFIG_METADATA!$B$4),IF(DATOS!$G8225="EX",1,IF(DATOS!$G8225="OR",--(COUNTIFS(nNIA,DATOS!$A8225,nCURSO,DATOS!$D8225,nESPEC,DATOS!$E8225,nASIG,DATOS!$I8225,nEVAL,"EX")=0),0))))</f>
      </c>
      <c r="H8225">
        <f>IF(DATOS!$G8225&lt;&gt;"EX",0,--(COUNTIFS(nNIA,DATOS!$A8225,nCURSO,DATOS!$D8225,nESPEC,DATOS!$E8225,nASIG,DATOS!$I8225,nEVAL,"OR")=0))</f>
      </c>
      <c r="I8225">
        <f>IF(DATOS!$I8225="","",IFERROR(VLOOKUP(DATOS!$I8225,CONFIG_ASIGNATURAS!$B$2:$J$91,9,FALSE()),""))</f>
      </c>
    </row>
    <row r="8226">
      <c r="F8226">
        <f>IF(DATOS!$A8226="","",DATOS!$A8226&amp;"|"&amp;DATOS!$D8226&amp;"|"&amp;DATOS!$E8226&amp;"|"&amp;DATOS!$I8226)</f>
      </c>
      <c r="G8226">
        <f>IF(DATOS!$A8226="",0,IF(CONFIG_METADATA!$B$4&lt;&gt;"OR+EX",--(DATOS!$G8226=CONFIG_METADATA!$B$4),IF(DATOS!$G8226="EX",1,IF(DATOS!$G8226="OR",--(COUNTIFS(nNIA,DATOS!$A8226,nCURSO,DATOS!$D8226,nESPEC,DATOS!$E8226,nASIG,DATOS!$I8226,nEVAL,"EX")=0),0))))</f>
      </c>
      <c r="H8226">
        <f>IF(DATOS!$G8226&lt;&gt;"EX",0,--(COUNTIFS(nNIA,DATOS!$A8226,nCURSO,DATOS!$D8226,nESPEC,DATOS!$E8226,nASIG,DATOS!$I8226,nEVAL,"OR")=0))</f>
      </c>
      <c r="I8226">
        <f>IF(DATOS!$I8226="","",IFERROR(VLOOKUP(DATOS!$I8226,CONFIG_ASIGNATURAS!$B$2:$J$91,9,FALSE()),""))</f>
      </c>
    </row>
    <row r="8227">
      <c r="F8227">
        <f>IF(DATOS!$A8227="","",DATOS!$A8227&amp;"|"&amp;DATOS!$D8227&amp;"|"&amp;DATOS!$E8227&amp;"|"&amp;DATOS!$I8227)</f>
      </c>
      <c r="G8227">
        <f>IF(DATOS!$A8227="",0,IF(CONFIG_METADATA!$B$4&lt;&gt;"OR+EX",--(DATOS!$G8227=CONFIG_METADATA!$B$4),IF(DATOS!$G8227="EX",1,IF(DATOS!$G8227="OR",--(COUNTIFS(nNIA,DATOS!$A8227,nCURSO,DATOS!$D8227,nESPEC,DATOS!$E8227,nASIG,DATOS!$I8227,nEVAL,"EX")=0),0))))</f>
      </c>
      <c r="H8227">
        <f>IF(DATOS!$G8227&lt;&gt;"EX",0,--(COUNTIFS(nNIA,DATOS!$A8227,nCURSO,DATOS!$D8227,nESPEC,DATOS!$E8227,nASIG,DATOS!$I8227,nEVAL,"OR")=0))</f>
      </c>
      <c r="I8227">
        <f>IF(DATOS!$I8227="","",IFERROR(VLOOKUP(DATOS!$I8227,CONFIG_ASIGNATURAS!$B$2:$J$91,9,FALSE()),""))</f>
      </c>
    </row>
    <row r="8228">
      <c r="F8228">
        <f>IF(DATOS!$A8228="","",DATOS!$A8228&amp;"|"&amp;DATOS!$D8228&amp;"|"&amp;DATOS!$E8228&amp;"|"&amp;DATOS!$I8228)</f>
      </c>
      <c r="G8228">
        <f>IF(DATOS!$A8228="",0,IF(CONFIG_METADATA!$B$4&lt;&gt;"OR+EX",--(DATOS!$G8228=CONFIG_METADATA!$B$4),IF(DATOS!$G8228="EX",1,IF(DATOS!$G8228="OR",--(COUNTIFS(nNIA,DATOS!$A8228,nCURSO,DATOS!$D8228,nESPEC,DATOS!$E8228,nASIG,DATOS!$I8228,nEVAL,"EX")=0),0))))</f>
      </c>
      <c r="H8228">
        <f>IF(DATOS!$G8228&lt;&gt;"EX",0,--(COUNTIFS(nNIA,DATOS!$A8228,nCURSO,DATOS!$D8228,nESPEC,DATOS!$E8228,nASIG,DATOS!$I8228,nEVAL,"OR")=0))</f>
      </c>
      <c r="I8228">
        <f>IF(DATOS!$I8228="","",IFERROR(VLOOKUP(DATOS!$I8228,CONFIG_ASIGNATURAS!$B$2:$J$91,9,FALSE()),""))</f>
      </c>
    </row>
    <row r="8229">
      <c r="F8229">
        <f>IF(DATOS!$A8229="","",DATOS!$A8229&amp;"|"&amp;DATOS!$D8229&amp;"|"&amp;DATOS!$E8229&amp;"|"&amp;DATOS!$I8229)</f>
      </c>
      <c r="G8229">
        <f>IF(DATOS!$A8229="",0,IF(CONFIG_METADATA!$B$4&lt;&gt;"OR+EX",--(DATOS!$G8229=CONFIG_METADATA!$B$4),IF(DATOS!$G8229="EX",1,IF(DATOS!$G8229="OR",--(COUNTIFS(nNIA,DATOS!$A8229,nCURSO,DATOS!$D8229,nESPEC,DATOS!$E8229,nASIG,DATOS!$I8229,nEVAL,"EX")=0),0))))</f>
      </c>
      <c r="H8229">
        <f>IF(DATOS!$G8229&lt;&gt;"EX",0,--(COUNTIFS(nNIA,DATOS!$A8229,nCURSO,DATOS!$D8229,nESPEC,DATOS!$E8229,nASIG,DATOS!$I8229,nEVAL,"OR")=0))</f>
      </c>
      <c r="I8229">
        <f>IF(DATOS!$I8229="","",IFERROR(VLOOKUP(DATOS!$I8229,CONFIG_ASIGNATURAS!$B$2:$J$91,9,FALSE()),""))</f>
      </c>
    </row>
    <row r="8230">
      <c r="F8230">
        <f>IF(DATOS!$A8230="","",DATOS!$A8230&amp;"|"&amp;DATOS!$D8230&amp;"|"&amp;DATOS!$E8230&amp;"|"&amp;DATOS!$I8230)</f>
      </c>
      <c r="G8230">
        <f>IF(DATOS!$A8230="",0,IF(CONFIG_METADATA!$B$4&lt;&gt;"OR+EX",--(DATOS!$G8230=CONFIG_METADATA!$B$4),IF(DATOS!$G8230="EX",1,IF(DATOS!$G8230="OR",--(COUNTIFS(nNIA,DATOS!$A8230,nCURSO,DATOS!$D8230,nESPEC,DATOS!$E8230,nASIG,DATOS!$I8230,nEVAL,"EX")=0),0))))</f>
      </c>
      <c r="H8230">
        <f>IF(DATOS!$G8230&lt;&gt;"EX",0,--(COUNTIFS(nNIA,DATOS!$A8230,nCURSO,DATOS!$D8230,nESPEC,DATOS!$E8230,nASIG,DATOS!$I8230,nEVAL,"OR")=0))</f>
      </c>
      <c r="I8230">
        <f>IF(DATOS!$I8230="","",IFERROR(VLOOKUP(DATOS!$I8230,CONFIG_ASIGNATURAS!$B$2:$J$91,9,FALSE()),""))</f>
      </c>
    </row>
    <row r="8231">
      <c r="F8231">
        <f>IF(DATOS!$A8231="","",DATOS!$A8231&amp;"|"&amp;DATOS!$D8231&amp;"|"&amp;DATOS!$E8231&amp;"|"&amp;DATOS!$I8231)</f>
      </c>
      <c r="G8231">
        <f>IF(DATOS!$A8231="",0,IF(CONFIG_METADATA!$B$4&lt;&gt;"OR+EX",--(DATOS!$G8231=CONFIG_METADATA!$B$4),IF(DATOS!$G8231="EX",1,IF(DATOS!$G8231="OR",--(COUNTIFS(nNIA,DATOS!$A8231,nCURSO,DATOS!$D8231,nESPEC,DATOS!$E8231,nASIG,DATOS!$I8231,nEVAL,"EX")=0),0))))</f>
      </c>
      <c r="H8231">
        <f>IF(DATOS!$G8231&lt;&gt;"EX",0,--(COUNTIFS(nNIA,DATOS!$A8231,nCURSO,DATOS!$D8231,nESPEC,DATOS!$E8231,nASIG,DATOS!$I8231,nEVAL,"OR")=0))</f>
      </c>
      <c r="I8231">
        <f>IF(DATOS!$I8231="","",IFERROR(VLOOKUP(DATOS!$I8231,CONFIG_ASIGNATURAS!$B$2:$J$91,9,FALSE()),""))</f>
      </c>
    </row>
    <row r="8232">
      <c r="F8232">
        <f>IF(DATOS!$A8232="","",DATOS!$A8232&amp;"|"&amp;DATOS!$D8232&amp;"|"&amp;DATOS!$E8232&amp;"|"&amp;DATOS!$I8232)</f>
      </c>
      <c r="G8232">
        <f>IF(DATOS!$A8232="",0,IF(CONFIG_METADATA!$B$4&lt;&gt;"OR+EX",--(DATOS!$G8232=CONFIG_METADATA!$B$4),IF(DATOS!$G8232="EX",1,IF(DATOS!$G8232="OR",--(COUNTIFS(nNIA,DATOS!$A8232,nCURSO,DATOS!$D8232,nESPEC,DATOS!$E8232,nASIG,DATOS!$I8232,nEVAL,"EX")=0),0))))</f>
      </c>
      <c r="H8232">
        <f>IF(DATOS!$G8232&lt;&gt;"EX",0,--(COUNTIFS(nNIA,DATOS!$A8232,nCURSO,DATOS!$D8232,nESPEC,DATOS!$E8232,nASIG,DATOS!$I8232,nEVAL,"OR")=0))</f>
      </c>
      <c r="I8232">
        <f>IF(DATOS!$I8232="","",IFERROR(VLOOKUP(DATOS!$I8232,CONFIG_ASIGNATURAS!$B$2:$J$91,9,FALSE()),""))</f>
      </c>
    </row>
    <row r="8233">
      <c r="F8233">
        <f>IF(DATOS!$A8233="","",DATOS!$A8233&amp;"|"&amp;DATOS!$D8233&amp;"|"&amp;DATOS!$E8233&amp;"|"&amp;DATOS!$I8233)</f>
      </c>
      <c r="G8233">
        <f>IF(DATOS!$A8233="",0,IF(CONFIG_METADATA!$B$4&lt;&gt;"OR+EX",--(DATOS!$G8233=CONFIG_METADATA!$B$4),IF(DATOS!$G8233="EX",1,IF(DATOS!$G8233="OR",--(COUNTIFS(nNIA,DATOS!$A8233,nCURSO,DATOS!$D8233,nESPEC,DATOS!$E8233,nASIG,DATOS!$I8233,nEVAL,"EX")=0),0))))</f>
      </c>
      <c r="H8233">
        <f>IF(DATOS!$G8233&lt;&gt;"EX",0,--(COUNTIFS(nNIA,DATOS!$A8233,nCURSO,DATOS!$D8233,nESPEC,DATOS!$E8233,nASIG,DATOS!$I8233,nEVAL,"OR")=0))</f>
      </c>
      <c r="I8233">
        <f>IF(DATOS!$I8233="","",IFERROR(VLOOKUP(DATOS!$I8233,CONFIG_ASIGNATURAS!$B$2:$J$91,9,FALSE()),""))</f>
      </c>
    </row>
    <row r="8234">
      <c r="F8234">
        <f>IF(DATOS!$A8234="","",DATOS!$A8234&amp;"|"&amp;DATOS!$D8234&amp;"|"&amp;DATOS!$E8234&amp;"|"&amp;DATOS!$I8234)</f>
      </c>
      <c r="G8234">
        <f>IF(DATOS!$A8234="",0,IF(CONFIG_METADATA!$B$4&lt;&gt;"OR+EX",--(DATOS!$G8234=CONFIG_METADATA!$B$4),IF(DATOS!$G8234="EX",1,IF(DATOS!$G8234="OR",--(COUNTIFS(nNIA,DATOS!$A8234,nCURSO,DATOS!$D8234,nESPEC,DATOS!$E8234,nASIG,DATOS!$I8234,nEVAL,"EX")=0),0))))</f>
      </c>
      <c r="H8234">
        <f>IF(DATOS!$G8234&lt;&gt;"EX",0,--(COUNTIFS(nNIA,DATOS!$A8234,nCURSO,DATOS!$D8234,nESPEC,DATOS!$E8234,nASIG,DATOS!$I8234,nEVAL,"OR")=0))</f>
      </c>
      <c r="I8234">
        <f>IF(DATOS!$I8234="","",IFERROR(VLOOKUP(DATOS!$I8234,CONFIG_ASIGNATURAS!$B$2:$J$91,9,FALSE()),""))</f>
      </c>
    </row>
    <row r="8235">
      <c r="F8235">
        <f>IF(DATOS!$A8235="","",DATOS!$A8235&amp;"|"&amp;DATOS!$D8235&amp;"|"&amp;DATOS!$E8235&amp;"|"&amp;DATOS!$I8235)</f>
      </c>
      <c r="G8235">
        <f>IF(DATOS!$A8235="",0,IF(CONFIG_METADATA!$B$4&lt;&gt;"OR+EX",--(DATOS!$G8235=CONFIG_METADATA!$B$4),IF(DATOS!$G8235="EX",1,IF(DATOS!$G8235="OR",--(COUNTIFS(nNIA,DATOS!$A8235,nCURSO,DATOS!$D8235,nESPEC,DATOS!$E8235,nASIG,DATOS!$I8235,nEVAL,"EX")=0),0))))</f>
      </c>
      <c r="H8235">
        <f>IF(DATOS!$G8235&lt;&gt;"EX",0,--(COUNTIFS(nNIA,DATOS!$A8235,nCURSO,DATOS!$D8235,nESPEC,DATOS!$E8235,nASIG,DATOS!$I8235,nEVAL,"OR")=0))</f>
      </c>
      <c r="I8235">
        <f>IF(DATOS!$I8235="","",IFERROR(VLOOKUP(DATOS!$I8235,CONFIG_ASIGNATURAS!$B$2:$J$91,9,FALSE()),""))</f>
      </c>
    </row>
    <row r="8236">
      <c r="F8236">
        <f>IF(DATOS!$A8236="","",DATOS!$A8236&amp;"|"&amp;DATOS!$D8236&amp;"|"&amp;DATOS!$E8236&amp;"|"&amp;DATOS!$I8236)</f>
      </c>
      <c r="G8236">
        <f>IF(DATOS!$A8236="",0,IF(CONFIG_METADATA!$B$4&lt;&gt;"OR+EX",--(DATOS!$G8236=CONFIG_METADATA!$B$4),IF(DATOS!$G8236="EX",1,IF(DATOS!$G8236="OR",--(COUNTIFS(nNIA,DATOS!$A8236,nCURSO,DATOS!$D8236,nESPEC,DATOS!$E8236,nASIG,DATOS!$I8236,nEVAL,"EX")=0),0))))</f>
      </c>
      <c r="H8236">
        <f>IF(DATOS!$G8236&lt;&gt;"EX",0,--(COUNTIFS(nNIA,DATOS!$A8236,nCURSO,DATOS!$D8236,nESPEC,DATOS!$E8236,nASIG,DATOS!$I8236,nEVAL,"OR")=0))</f>
      </c>
      <c r="I8236">
        <f>IF(DATOS!$I8236="","",IFERROR(VLOOKUP(DATOS!$I8236,CONFIG_ASIGNATURAS!$B$2:$J$91,9,FALSE()),""))</f>
      </c>
    </row>
    <row r="8237">
      <c r="F8237">
        <f>IF(DATOS!$A8237="","",DATOS!$A8237&amp;"|"&amp;DATOS!$D8237&amp;"|"&amp;DATOS!$E8237&amp;"|"&amp;DATOS!$I8237)</f>
      </c>
      <c r="G8237">
        <f>IF(DATOS!$A8237="",0,IF(CONFIG_METADATA!$B$4&lt;&gt;"OR+EX",--(DATOS!$G8237=CONFIG_METADATA!$B$4),IF(DATOS!$G8237="EX",1,IF(DATOS!$G8237="OR",--(COUNTIFS(nNIA,DATOS!$A8237,nCURSO,DATOS!$D8237,nESPEC,DATOS!$E8237,nASIG,DATOS!$I8237,nEVAL,"EX")=0),0))))</f>
      </c>
      <c r="H8237">
        <f>IF(DATOS!$G8237&lt;&gt;"EX",0,--(COUNTIFS(nNIA,DATOS!$A8237,nCURSO,DATOS!$D8237,nESPEC,DATOS!$E8237,nASIG,DATOS!$I8237,nEVAL,"OR")=0))</f>
      </c>
      <c r="I8237">
        <f>IF(DATOS!$I8237="","",IFERROR(VLOOKUP(DATOS!$I8237,CONFIG_ASIGNATURAS!$B$2:$J$91,9,FALSE()),""))</f>
      </c>
    </row>
    <row r="8238">
      <c r="F8238">
        <f>IF(DATOS!$A8238="","",DATOS!$A8238&amp;"|"&amp;DATOS!$D8238&amp;"|"&amp;DATOS!$E8238&amp;"|"&amp;DATOS!$I8238)</f>
      </c>
      <c r="G8238">
        <f>IF(DATOS!$A8238="",0,IF(CONFIG_METADATA!$B$4&lt;&gt;"OR+EX",--(DATOS!$G8238=CONFIG_METADATA!$B$4),IF(DATOS!$G8238="EX",1,IF(DATOS!$G8238="OR",--(COUNTIFS(nNIA,DATOS!$A8238,nCURSO,DATOS!$D8238,nESPEC,DATOS!$E8238,nASIG,DATOS!$I8238,nEVAL,"EX")=0),0))))</f>
      </c>
      <c r="H8238">
        <f>IF(DATOS!$G8238&lt;&gt;"EX",0,--(COUNTIFS(nNIA,DATOS!$A8238,nCURSO,DATOS!$D8238,nESPEC,DATOS!$E8238,nASIG,DATOS!$I8238,nEVAL,"OR")=0))</f>
      </c>
      <c r="I8238">
        <f>IF(DATOS!$I8238="","",IFERROR(VLOOKUP(DATOS!$I8238,CONFIG_ASIGNATURAS!$B$2:$J$91,9,FALSE()),""))</f>
      </c>
    </row>
    <row r="8239">
      <c r="F8239">
        <f>IF(DATOS!$A8239="","",DATOS!$A8239&amp;"|"&amp;DATOS!$D8239&amp;"|"&amp;DATOS!$E8239&amp;"|"&amp;DATOS!$I8239)</f>
      </c>
      <c r="G8239">
        <f>IF(DATOS!$A8239="",0,IF(CONFIG_METADATA!$B$4&lt;&gt;"OR+EX",--(DATOS!$G8239=CONFIG_METADATA!$B$4),IF(DATOS!$G8239="EX",1,IF(DATOS!$G8239="OR",--(COUNTIFS(nNIA,DATOS!$A8239,nCURSO,DATOS!$D8239,nESPEC,DATOS!$E8239,nASIG,DATOS!$I8239,nEVAL,"EX")=0),0))))</f>
      </c>
      <c r="H8239">
        <f>IF(DATOS!$G8239&lt;&gt;"EX",0,--(COUNTIFS(nNIA,DATOS!$A8239,nCURSO,DATOS!$D8239,nESPEC,DATOS!$E8239,nASIG,DATOS!$I8239,nEVAL,"OR")=0))</f>
      </c>
      <c r="I8239">
        <f>IF(DATOS!$I8239="","",IFERROR(VLOOKUP(DATOS!$I8239,CONFIG_ASIGNATURAS!$B$2:$J$91,9,FALSE()),""))</f>
      </c>
    </row>
    <row r="8240">
      <c r="F8240">
        <f>IF(DATOS!$A8240="","",DATOS!$A8240&amp;"|"&amp;DATOS!$D8240&amp;"|"&amp;DATOS!$E8240&amp;"|"&amp;DATOS!$I8240)</f>
      </c>
      <c r="G8240">
        <f>IF(DATOS!$A8240="",0,IF(CONFIG_METADATA!$B$4&lt;&gt;"OR+EX",--(DATOS!$G8240=CONFIG_METADATA!$B$4),IF(DATOS!$G8240="EX",1,IF(DATOS!$G8240="OR",--(COUNTIFS(nNIA,DATOS!$A8240,nCURSO,DATOS!$D8240,nESPEC,DATOS!$E8240,nASIG,DATOS!$I8240,nEVAL,"EX")=0),0))))</f>
      </c>
      <c r="H8240">
        <f>IF(DATOS!$G8240&lt;&gt;"EX",0,--(COUNTIFS(nNIA,DATOS!$A8240,nCURSO,DATOS!$D8240,nESPEC,DATOS!$E8240,nASIG,DATOS!$I8240,nEVAL,"OR")=0))</f>
      </c>
      <c r="I8240">
        <f>IF(DATOS!$I8240="","",IFERROR(VLOOKUP(DATOS!$I8240,CONFIG_ASIGNATURAS!$B$2:$J$91,9,FALSE()),""))</f>
      </c>
    </row>
    <row r="8241">
      <c r="F8241">
        <f>IF(DATOS!$A8241="","",DATOS!$A8241&amp;"|"&amp;DATOS!$D8241&amp;"|"&amp;DATOS!$E8241&amp;"|"&amp;DATOS!$I8241)</f>
      </c>
      <c r="G8241">
        <f>IF(DATOS!$A8241="",0,IF(CONFIG_METADATA!$B$4&lt;&gt;"OR+EX",--(DATOS!$G8241=CONFIG_METADATA!$B$4),IF(DATOS!$G8241="EX",1,IF(DATOS!$G8241="OR",--(COUNTIFS(nNIA,DATOS!$A8241,nCURSO,DATOS!$D8241,nESPEC,DATOS!$E8241,nASIG,DATOS!$I8241,nEVAL,"EX")=0),0))))</f>
      </c>
      <c r="H8241">
        <f>IF(DATOS!$G8241&lt;&gt;"EX",0,--(COUNTIFS(nNIA,DATOS!$A8241,nCURSO,DATOS!$D8241,nESPEC,DATOS!$E8241,nASIG,DATOS!$I8241,nEVAL,"OR")=0))</f>
      </c>
      <c r="I8241">
        <f>IF(DATOS!$I8241="","",IFERROR(VLOOKUP(DATOS!$I8241,CONFIG_ASIGNATURAS!$B$2:$J$91,9,FALSE()),""))</f>
      </c>
    </row>
    <row r="8242">
      <c r="F8242">
        <f>IF(DATOS!$A8242="","",DATOS!$A8242&amp;"|"&amp;DATOS!$D8242&amp;"|"&amp;DATOS!$E8242&amp;"|"&amp;DATOS!$I8242)</f>
      </c>
      <c r="G8242">
        <f>IF(DATOS!$A8242="",0,IF(CONFIG_METADATA!$B$4&lt;&gt;"OR+EX",--(DATOS!$G8242=CONFIG_METADATA!$B$4),IF(DATOS!$G8242="EX",1,IF(DATOS!$G8242="OR",--(COUNTIFS(nNIA,DATOS!$A8242,nCURSO,DATOS!$D8242,nESPEC,DATOS!$E8242,nASIG,DATOS!$I8242,nEVAL,"EX")=0),0))))</f>
      </c>
      <c r="H8242">
        <f>IF(DATOS!$G8242&lt;&gt;"EX",0,--(COUNTIFS(nNIA,DATOS!$A8242,nCURSO,DATOS!$D8242,nESPEC,DATOS!$E8242,nASIG,DATOS!$I8242,nEVAL,"OR")=0))</f>
      </c>
      <c r="I8242">
        <f>IF(DATOS!$I8242="","",IFERROR(VLOOKUP(DATOS!$I8242,CONFIG_ASIGNATURAS!$B$2:$J$91,9,FALSE()),""))</f>
      </c>
    </row>
    <row r="8243">
      <c r="F8243">
        <f>IF(DATOS!$A8243="","",DATOS!$A8243&amp;"|"&amp;DATOS!$D8243&amp;"|"&amp;DATOS!$E8243&amp;"|"&amp;DATOS!$I8243)</f>
      </c>
      <c r="G8243">
        <f>IF(DATOS!$A8243="",0,IF(CONFIG_METADATA!$B$4&lt;&gt;"OR+EX",--(DATOS!$G8243=CONFIG_METADATA!$B$4),IF(DATOS!$G8243="EX",1,IF(DATOS!$G8243="OR",--(COUNTIFS(nNIA,DATOS!$A8243,nCURSO,DATOS!$D8243,nESPEC,DATOS!$E8243,nASIG,DATOS!$I8243,nEVAL,"EX")=0),0))))</f>
      </c>
      <c r="H8243">
        <f>IF(DATOS!$G8243&lt;&gt;"EX",0,--(COUNTIFS(nNIA,DATOS!$A8243,nCURSO,DATOS!$D8243,nESPEC,DATOS!$E8243,nASIG,DATOS!$I8243,nEVAL,"OR")=0))</f>
      </c>
      <c r="I8243">
        <f>IF(DATOS!$I8243="","",IFERROR(VLOOKUP(DATOS!$I8243,CONFIG_ASIGNATURAS!$B$2:$J$91,9,FALSE()),""))</f>
      </c>
    </row>
    <row r="8244">
      <c r="F8244">
        <f>IF(DATOS!$A8244="","",DATOS!$A8244&amp;"|"&amp;DATOS!$D8244&amp;"|"&amp;DATOS!$E8244&amp;"|"&amp;DATOS!$I8244)</f>
      </c>
      <c r="G8244">
        <f>IF(DATOS!$A8244="",0,IF(CONFIG_METADATA!$B$4&lt;&gt;"OR+EX",--(DATOS!$G8244=CONFIG_METADATA!$B$4),IF(DATOS!$G8244="EX",1,IF(DATOS!$G8244="OR",--(COUNTIFS(nNIA,DATOS!$A8244,nCURSO,DATOS!$D8244,nESPEC,DATOS!$E8244,nASIG,DATOS!$I8244,nEVAL,"EX")=0),0))))</f>
      </c>
      <c r="H8244">
        <f>IF(DATOS!$G8244&lt;&gt;"EX",0,--(COUNTIFS(nNIA,DATOS!$A8244,nCURSO,DATOS!$D8244,nESPEC,DATOS!$E8244,nASIG,DATOS!$I8244,nEVAL,"OR")=0))</f>
      </c>
      <c r="I8244">
        <f>IF(DATOS!$I8244="","",IFERROR(VLOOKUP(DATOS!$I8244,CONFIG_ASIGNATURAS!$B$2:$J$91,9,FALSE()),""))</f>
      </c>
    </row>
    <row r="8245">
      <c r="F8245">
        <f>IF(DATOS!$A8245="","",DATOS!$A8245&amp;"|"&amp;DATOS!$D8245&amp;"|"&amp;DATOS!$E8245&amp;"|"&amp;DATOS!$I8245)</f>
      </c>
      <c r="G8245">
        <f>IF(DATOS!$A8245="",0,IF(CONFIG_METADATA!$B$4&lt;&gt;"OR+EX",--(DATOS!$G8245=CONFIG_METADATA!$B$4),IF(DATOS!$G8245="EX",1,IF(DATOS!$G8245="OR",--(COUNTIFS(nNIA,DATOS!$A8245,nCURSO,DATOS!$D8245,nESPEC,DATOS!$E8245,nASIG,DATOS!$I8245,nEVAL,"EX")=0),0))))</f>
      </c>
      <c r="H8245">
        <f>IF(DATOS!$G8245&lt;&gt;"EX",0,--(COUNTIFS(nNIA,DATOS!$A8245,nCURSO,DATOS!$D8245,nESPEC,DATOS!$E8245,nASIG,DATOS!$I8245,nEVAL,"OR")=0))</f>
      </c>
      <c r="I8245">
        <f>IF(DATOS!$I8245="","",IFERROR(VLOOKUP(DATOS!$I8245,CONFIG_ASIGNATURAS!$B$2:$J$91,9,FALSE()),""))</f>
      </c>
    </row>
    <row r="8246">
      <c r="F8246">
        <f>IF(DATOS!$A8246="","",DATOS!$A8246&amp;"|"&amp;DATOS!$D8246&amp;"|"&amp;DATOS!$E8246&amp;"|"&amp;DATOS!$I8246)</f>
      </c>
      <c r="G8246">
        <f>IF(DATOS!$A8246="",0,IF(CONFIG_METADATA!$B$4&lt;&gt;"OR+EX",--(DATOS!$G8246=CONFIG_METADATA!$B$4),IF(DATOS!$G8246="EX",1,IF(DATOS!$G8246="OR",--(COUNTIFS(nNIA,DATOS!$A8246,nCURSO,DATOS!$D8246,nESPEC,DATOS!$E8246,nASIG,DATOS!$I8246,nEVAL,"EX")=0),0))))</f>
      </c>
      <c r="H8246">
        <f>IF(DATOS!$G8246&lt;&gt;"EX",0,--(COUNTIFS(nNIA,DATOS!$A8246,nCURSO,DATOS!$D8246,nESPEC,DATOS!$E8246,nASIG,DATOS!$I8246,nEVAL,"OR")=0))</f>
      </c>
      <c r="I8246">
        <f>IF(DATOS!$I8246="","",IFERROR(VLOOKUP(DATOS!$I8246,CONFIG_ASIGNATURAS!$B$2:$J$91,9,FALSE()),""))</f>
      </c>
    </row>
    <row r="8247">
      <c r="F8247">
        <f>IF(DATOS!$A8247="","",DATOS!$A8247&amp;"|"&amp;DATOS!$D8247&amp;"|"&amp;DATOS!$E8247&amp;"|"&amp;DATOS!$I8247)</f>
      </c>
      <c r="G8247">
        <f>IF(DATOS!$A8247="",0,IF(CONFIG_METADATA!$B$4&lt;&gt;"OR+EX",--(DATOS!$G8247=CONFIG_METADATA!$B$4),IF(DATOS!$G8247="EX",1,IF(DATOS!$G8247="OR",--(COUNTIFS(nNIA,DATOS!$A8247,nCURSO,DATOS!$D8247,nESPEC,DATOS!$E8247,nASIG,DATOS!$I8247,nEVAL,"EX")=0),0))))</f>
      </c>
      <c r="H8247">
        <f>IF(DATOS!$G8247&lt;&gt;"EX",0,--(COUNTIFS(nNIA,DATOS!$A8247,nCURSO,DATOS!$D8247,nESPEC,DATOS!$E8247,nASIG,DATOS!$I8247,nEVAL,"OR")=0))</f>
      </c>
      <c r="I8247">
        <f>IF(DATOS!$I8247="","",IFERROR(VLOOKUP(DATOS!$I8247,CONFIG_ASIGNATURAS!$B$2:$J$91,9,FALSE()),""))</f>
      </c>
    </row>
    <row r="8248">
      <c r="F8248">
        <f>IF(DATOS!$A8248="","",DATOS!$A8248&amp;"|"&amp;DATOS!$D8248&amp;"|"&amp;DATOS!$E8248&amp;"|"&amp;DATOS!$I8248)</f>
      </c>
      <c r="G8248">
        <f>IF(DATOS!$A8248="",0,IF(CONFIG_METADATA!$B$4&lt;&gt;"OR+EX",--(DATOS!$G8248=CONFIG_METADATA!$B$4),IF(DATOS!$G8248="EX",1,IF(DATOS!$G8248="OR",--(COUNTIFS(nNIA,DATOS!$A8248,nCURSO,DATOS!$D8248,nESPEC,DATOS!$E8248,nASIG,DATOS!$I8248,nEVAL,"EX")=0),0))))</f>
      </c>
      <c r="H8248">
        <f>IF(DATOS!$G8248&lt;&gt;"EX",0,--(COUNTIFS(nNIA,DATOS!$A8248,nCURSO,DATOS!$D8248,nESPEC,DATOS!$E8248,nASIG,DATOS!$I8248,nEVAL,"OR")=0))</f>
      </c>
      <c r="I8248">
        <f>IF(DATOS!$I8248="","",IFERROR(VLOOKUP(DATOS!$I8248,CONFIG_ASIGNATURAS!$B$2:$J$91,9,FALSE()),""))</f>
      </c>
    </row>
    <row r="8249">
      <c r="F8249">
        <f>IF(DATOS!$A8249="","",DATOS!$A8249&amp;"|"&amp;DATOS!$D8249&amp;"|"&amp;DATOS!$E8249&amp;"|"&amp;DATOS!$I8249)</f>
      </c>
      <c r="G8249">
        <f>IF(DATOS!$A8249="",0,IF(CONFIG_METADATA!$B$4&lt;&gt;"OR+EX",--(DATOS!$G8249=CONFIG_METADATA!$B$4),IF(DATOS!$G8249="EX",1,IF(DATOS!$G8249="OR",--(COUNTIFS(nNIA,DATOS!$A8249,nCURSO,DATOS!$D8249,nESPEC,DATOS!$E8249,nASIG,DATOS!$I8249,nEVAL,"EX")=0),0))))</f>
      </c>
      <c r="H8249">
        <f>IF(DATOS!$G8249&lt;&gt;"EX",0,--(COUNTIFS(nNIA,DATOS!$A8249,nCURSO,DATOS!$D8249,nESPEC,DATOS!$E8249,nASIG,DATOS!$I8249,nEVAL,"OR")=0))</f>
      </c>
      <c r="I8249">
        <f>IF(DATOS!$I8249="","",IFERROR(VLOOKUP(DATOS!$I8249,CONFIG_ASIGNATURAS!$B$2:$J$91,9,FALSE()),""))</f>
      </c>
    </row>
    <row r="8250">
      <c r="F8250">
        <f>IF(DATOS!$A8250="","",DATOS!$A8250&amp;"|"&amp;DATOS!$D8250&amp;"|"&amp;DATOS!$E8250&amp;"|"&amp;DATOS!$I8250)</f>
      </c>
      <c r="G8250">
        <f>IF(DATOS!$A8250="",0,IF(CONFIG_METADATA!$B$4&lt;&gt;"OR+EX",--(DATOS!$G8250=CONFIG_METADATA!$B$4),IF(DATOS!$G8250="EX",1,IF(DATOS!$G8250="OR",--(COUNTIFS(nNIA,DATOS!$A8250,nCURSO,DATOS!$D8250,nESPEC,DATOS!$E8250,nASIG,DATOS!$I8250,nEVAL,"EX")=0),0))))</f>
      </c>
      <c r="H8250">
        <f>IF(DATOS!$G8250&lt;&gt;"EX",0,--(COUNTIFS(nNIA,DATOS!$A8250,nCURSO,DATOS!$D8250,nESPEC,DATOS!$E8250,nASIG,DATOS!$I8250,nEVAL,"OR")=0))</f>
      </c>
      <c r="I8250">
        <f>IF(DATOS!$I8250="","",IFERROR(VLOOKUP(DATOS!$I8250,CONFIG_ASIGNATURAS!$B$2:$J$91,9,FALSE()),""))</f>
      </c>
    </row>
    <row r="8251">
      <c r="F8251">
        <f>IF(DATOS!$A8251="","",DATOS!$A8251&amp;"|"&amp;DATOS!$D8251&amp;"|"&amp;DATOS!$E8251&amp;"|"&amp;DATOS!$I8251)</f>
      </c>
      <c r="G8251">
        <f>IF(DATOS!$A8251="",0,IF(CONFIG_METADATA!$B$4&lt;&gt;"OR+EX",--(DATOS!$G8251=CONFIG_METADATA!$B$4),IF(DATOS!$G8251="EX",1,IF(DATOS!$G8251="OR",--(COUNTIFS(nNIA,DATOS!$A8251,nCURSO,DATOS!$D8251,nESPEC,DATOS!$E8251,nASIG,DATOS!$I8251,nEVAL,"EX")=0),0))))</f>
      </c>
      <c r="H8251">
        <f>IF(DATOS!$G8251&lt;&gt;"EX",0,--(COUNTIFS(nNIA,DATOS!$A8251,nCURSO,DATOS!$D8251,nESPEC,DATOS!$E8251,nASIG,DATOS!$I8251,nEVAL,"OR")=0))</f>
      </c>
      <c r="I8251">
        <f>IF(DATOS!$I8251="","",IFERROR(VLOOKUP(DATOS!$I8251,CONFIG_ASIGNATURAS!$B$2:$J$91,9,FALSE()),""))</f>
      </c>
    </row>
    <row r="8252">
      <c r="F8252">
        <f>IF(DATOS!$A8252="","",DATOS!$A8252&amp;"|"&amp;DATOS!$D8252&amp;"|"&amp;DATOS!$E8252&amp;"|"&amp;DATOS!$I8252)</f>
      </c>
      <c r="G8252">
        <f>IF(DATOS!$A8252="",0,IF(CONFIG_METADATA!$B$4&lt;&gt;"OR+EX",--(DATOS!$G8252=CONFIG_METADATA!$B$4),IF(DATOS!$G8252="EX",1,IF(DATOS!$G8252="OR",--(COUNTIFS(nNIA,DATOS!$A8252,nCURSO,DATOS!$D8252,nESPEC,DATOS!$E8252,nASIG,DATOS!$I8252,nEVAL,"EX")=0),0))))</f>
      </c>
      <c r="H8252">
        <f>IF(DATOS!$G8252&lt;&gt;"EX",0,--(COUNTIFS(nNIA,DATOS!$A8252,nCURSO,DATOS!$D8252,nESPEC,DATOS!$E8252,nASIG,DATOS!$I8252,nEVAL,"OR")=0))</f>
      </c>
      <c r="I8252">
        <f>IF(DATOS!$I8252="","",IFERROR(VLOOKUP(DATOS!$I8252,CONFIG_ASIGNATURAS!$B$2:$J$91,9,FALSE()),""))</f>
      </c>
    </row>
    <row r="8253">
      <c r="F8253">
        <f>IF(DATOS!$A8253="","",DATOS!$A8253&amp;"|"&amp;DATOS!$D8253&amp;"|"&amp;DATOS!$E8253&amp;"|"&amp;DATOS!$I8253)</f>
      </c>
      <c r="G8253">
        <f>IF(DATOS!$A8253="",0,IF(CONFIG_METADATA!$B$4&lt;&gt;"OR+EX",--(DATOS!$G8253=CONFIG_METADATA!$B$4),IF(DATOS!$G8253="EX",1,IF(DATOS!$G8253="OR",--(COUNTIFS(nNIA,DATOS!$A8253,nCURSO,DATOS!$D8253,nESPEC,DATOS!$E8253,nASIG,DATOS!$I8253,nEVAL,"EX")=0),0))))</f>
      </c>
      <c r="H8253">
        <f>IF(DATOS!$G8253&lt;&gt;"EX",0,--(COUNTIFS(nNIA,DATOS!$A8253,nCURSO,DATOS!$D8253,nESPEC,DATOS!$E8253,nASIG,DATOS!$I8253,nEVAL,"OR")=0))</f>
      </c>
      <c r="I8253">
        <f>IF(DATOS!$I8253="","",IFERROR(VLOOKUP(DATOS!$I8253,CONFIG_ASIGNATURAS!$B$2:$J$91,9,FALSE()),""))</f>
      </c>
    </row>
    <row r="8254">
      <c r="F8254">
        <f>IF(DATOS!$A8254="","",DATOS!$A8254&amp;"|"&amp;DATOS!$D8254&amp;"|"&amp;DATOS!$E8254&amp;"|"&amp;DATOS!$I8254)</f>
      </c>
      <c r="G8254">
        <f>IF(DATOS!$A8254="",0,IF(CONFIG_METADATA!$B$4&lt;&gt;"OR+EX",--(DATOS!$G8254=CONFIG_METADATA!$B$4),IF(DATOS!$G8254="EX",1,IF(DATOS!$G8254="OR",--(COUNTIFS(nNIA,DATOS!$A8254,nCURSO,DATOS!$D8254,nESPEC,DATOS!$E8254,nASIG,DATOS!$I8254,nEVAL,"EX")=0),0))))</f>
      </c>
      <c r="H8254">
        <f>IF(DATOS!$G8254&lt;&gt;"EX",0,--(COUNTIFS(nNIA,DATOS!$A8254,nCURSO,DATOS!$D8254,nESPEC,DATOS!$E8254,nASIG,DATOS!$I8254,nEVAL,"OR")=0))</f>
      </c>
      <c r="I8254">
        <f>IF(DATOS!$I8254="","",IFERROR(VLOOKUP(DATOS!$I8254,CONFIG_ASIGNATURAS!$B$2:$J$91,9,FALSE()),""))</f>
      </c>
    </row>
    <row r="8255">
      <c r="F8255">
        <f>IF(DATOS!$A8255="","",DATOS!$A8255&amp;"|"&amp;DATOS!$D8255&amp;"|"&amp;DATOS!$E8255&amp;"|"&amp;DATOS!$I8255)</f>
      </c>
      <c r="G8255">
        <f>IF(DATOS!$A8255="",0,IF(CONFIG_METADATA!$B$4&lt;&gt;"OR+EX",--(DATOS!$G8255=CONFIG_METADATA!$B$4),IF(DATOS!$G8255="EX",1,IF(DATOS!$G8255="OR",--(COUNTIFS(nNIA,DATOS!$A8255,nCURSO,DATOS!$D8255,nESPEC,DATOS!$E8255,nASIG,DATOS!$I8255,nEVAL,"EX")=0),0))))</f>
      </c>
      <c r="H8255">
        <f>IF(DATOS!$G8255&lt;&gt;"EX",0,--(COUNTIFS(nNIA,DATOS!$A8255,nCURSO,DATOS!$D8255,nESPEC,DATOS!$E8255,nASIG,DATOS!$I8255,nEVAL,"OR")=0))</f>
      </c>
      <c r="I8255">
        <f>IF(DATOS!$I8255="","",IFERROR(VLOOKUP(DATOS!$I8255,CONFIG_ASIGNATURAS!$B$2:$J$91,9,FALSE()),""))</f>
      </c>
    </row>
    <row r="8256">
      <c r="F8256">
        <f>IF(DATOS!$A8256="","",DATOS!$A8256&amp;"|"&amp;DATOS!$D8256&amp;"|"&amp;DATOS!$E8256&amp;"|"&amp;DATOS!$I8256)</f>
      </c>
      <c r="G8256">
        <f>IF(DATOS!$A8256="",0,IF(CONFIG_METADATA!$B$4&lt;&gt;"OR+EX",--(DATOS!$G8256=CONFIG_METADATA!$B$4),IF(DATOS!$G8256="EX",1,IF(DATOS!$G8256="OR",--(COUNTIFS(nNIA,DATOS!$A8256,nCURSO,DATOS!$D8256,nESPEC,DATOS!$E8256,nASIG,DATOS!$I8256,nEVAL,"EX")=0),0))))</f>
      </c>
      <c r="H8256">
        <f>IF(DATOS!$G8256&lt;&gt;"EX",0,--(COUNTIFS(nNIA,DATOS!$A8256,nCURSO,DATOS!$D8256,nESPEC,DATOS!$E8256,nASIG,DATOS!$I8256,nEVAL,"OR")=0))</f>
      </c>
      <c r="I8256">
        <f>IF(DATOS!$I8256="","",IFERROR(VLOOKUP(DATOS!$I8256,CONFIG_ASIGNATURAS!$B$2:$J$91,9,FALSE()),""))</f>
      </c>
    </row>
    <row r="8257">
      <c r="F8257">
        <f>IF(DATOS!$A8257="","",DATOS!$A8257&amp;"|"&amp;DATOS!$D8257&amp;"|"&amp;DATOS!$E8257&amp;"|"&amp;DATOS!$I8257)</f>
      </c>
      <c r="G8257">
        <f>IF(DATOS!$A8257="",0,IF(CONFIG_METADATA!$B$4&lt;&gt;"OR+EX",--(DATOS!$G8257=CONFIG_METADATA!$B$4),IF(DATOS!$G8257="EX",1,IF(DATOS!$G8257="OR",--(COUNTIFS(nNIA,DATOS!$A8257,nCURSO,DATOS!$D8257,nESPEC,DATOS!$E8257,nASIG,DATOS!$I8257,nEVAL,"EX")=0),0))))</f>
      </c>
      <c r="H8257">
        <f>IF(DATOS!$G8257&lt;&gt;"EX",0,--(COUNTIFS(nNIA,DATOS!$A8257,nCURSO,DATOS!$D8257,nESPEC,DATOS!$E8257,nASIG,DATOS!$I8257,nEVAL,"OR")=0))</f>
      </c>
      <c r="I8257">
        <f>IF(DATOS!$I8257="","",IFERROR(VLOOKUP(DATOS!$I8257,CONFIG_ASIGNATURAS!$B$2:$J$91,9,FALSE()),""))</f>
      </c>
    </row>
    <row r="8258">
      <c r="F8258">
        <f>IF(DATOS!$A8258="","",DATOS!$A8258&amp;"|"&amp;DATOS!$D8258&amp;"|"&amp;DATOS!$E8258&amp;"|"&amp;DATOS!$I8258)</f>
      </c>
      <c r="G8258">
        <f>IF(DATOS!$A8258="",0,IF(CONFIG_METADATA!$B$4&lt;&gt;"OR+EX",--(DATOS!$G8258=CONFIG_METADATA!$B$4),IF(DATOS!$G8258="EX",1,IF(DATOS!$G8258="OR",--(COUNTIFS(nNIA,DATOS!$A8258,nCURSO,DATOS!$D8258,nESPEC,DATOS!$E8258,nASIG,DATOS!$I8258,nEVAL,"EX")=0),0))))</f>
      </c>
      <c r="H8258">
        <f>IF(DATOS!$G8258&lt;&gt;"EX",0,--(COUNTIFS(nNIA,DATOS!$A8258,nCURSO,DATOS!$D8258,nESPEC,DATOS!$E8258,nASIG,DATOS!$I8258,nEVAL,"OR")=0))</f>
      </c>
      <c r="I8258">
        <f>IF(DATOS!$I8258="","",IFERROR(VLOOKUP(DATOS!$I8258,CONFIG_ASIGNATURAS!$B$2:$J$91,9,FALSE()),""))</f>
      </c>
    </row>
    <row r="8259">
      <c r="F8259">
        <f>IF(DATOS!$A8259="","",DATOS!$A8259&amp;"|"&amp;DATOS!$D8259&amp;"|"&amp;DATOS!$E8259&amp;"|"&amp;DATOS!$I8259)</f>
      </c>
      <c r="G8259">
        <f>IF(DATOS!$A8259="",0,IF(CONFIG_METADATA!$B$4&lt;&gt;"OR+EX",--(DATOS!$G8259=CONFIG_METADATA!$B$4),IF(DATOS!$G8259="EX",1,IF(DATOS!$G8259="OR",--(COUNTIFS(nNIA,DATOS!$A8259,nCURSO,DATOS!$D8259,nESPEC,DATOS!$E8259,nASIG,DATOS!$I8259,nEVAL,"EX")=0),0))))</f>
      </c>
      <c r="H8259">
        <f>IF(DATOS!$G8259&lt;&gt;"EX",0,--(COUNTIFS(nNIA,DATOS!$A8259,nCURSO,DATOS!$D8259,nESPEC,DATOS!$E8259,nASIG,DATOS!$I8259,nEVAL,"OR")=0))</f>
      </c>
      <c r="I8259">
        <f>IF(DATOS!$I8259="","",IFERROR(VLOOKUP(DATOS!$I8259,CONFIG_ASIGNATURAS!$B$2:$J$91,9,FALSE()),""))</f>
      </c>
    </row>
    <row r="8260">
      <c r="F8260">
        <f>IF(DATOS!$A8260="","",DATOS!$A8260&amp;"|"&amp;DATOS!$D8260&amp;"|"&amp;DATOS!$E8260&amp;"|"&amp;DATOS!$I8260)</f>
      </c>
      <c r="G8260">
        <f>IF(DATOS!$A8260="",0,IF(CONFIG_METADATA!$B$4&lt;&gt;"OR+EX",--(DATOS!$G8260=CONFIG_METADATA!$B$4),IF(DATOS!$G8260="EX",1,IF(DATOS!$G8260="OR",--(COUNTIFS(nNIA,DATOS!$A8260,nCURSO,DATOS!$D8260,nESPEC,DATOS!$E8260,nASIG,DATOS!$I8260,nEVAL,"EX")=0),0))))</f>
      </c>
      <c r="H8260">
        <f>IF(DATOS!$G8260&lt;&gt;"EX",0,--(COUNTIFS(nNIA,DATOS!$A8260,nCURSO,DATOS!$D8260,nESPEC,DATOS!$E8260,nASIG,DATOS!$I8260,nEVAL,"OR")=0))</f>
      </c>
      <c r="I8260">
        <f>IF(DATOS!$I8260="","",IFERROR(VLOOKUP(DATOS!$I8260,CONFIG_ASIGNATURAS!$B$2:$J$91,9,FALSE()),""))</f>
      </c>
    </row>
    <row r="8261">
      <c r="F8261">
        <f>IF(DATOS!$A8261="","",DATOS!$A8261&amp;"|"&amp;DATOS!$D8261&amp;"|"&amp;DATOS!$E8261&amp;"|"&amp;DATOS!$I8261)</f>
      </c>
      <c r="G8261">
        <f>IF(DATOS!$A8261="",0,IF(CONFIG_METADATA!$B$4&lt;&gt;"OR+EX",--(DATOS!$G8261=CONFIG_METADATA!$B$4),IF(DATOS!$G8261="EX",1,IF(DATOS!$G8261="OR",--(COUNTIFS(nNIA,DATOS!$A8261,nCURSO,DATOS!$D8261,nESPEC,DATOS!$E8261,nASIG,DATOS!$I8261,nEVAL,"EX")=0),0))))</f>
      </c>
      <c r="H8261">
        <f>IF(DATOS!$G8261&lt;&gt;"EX",0,--(COUNTIFS(nNIA,DATOS!$A8261,nCURSO,DATOS!$D8261,nESPEC,DATOS!$E8261,nASIG,DATOS!$I8261,nEVAL,"OR")=0))</f>
      </c>
      <c r="I8261">
        <f>IF(DATOS!$I8261="","",IFERROR(VLOOKUP(DATOS!$I8261,CONFIG_ASIGNATURAS!$B$2:$J$91,9,FALSE()),""))</f>
      </c>
    </row>
    <row r="8262">
      <c r="F8262">
        <f>IF(DATOS!$A8262="","",DATOS!$A8262&amp;"|"&amp;DATOS!$D8262&amp;"|"&amp;DATOS!$E8262&amp;"|"&amp;DATOS!$I8262)</f>
      </c>
      <c r="G8262">
        <f>IF(DATOS!$A8262="",0,IF(CONFIG_METADATA!$B$4&lt;&gt;"OR+EX",--(DATOS!$G8262=CONFIG_METADATA!$B$4),IF(DATOS!$G8262="EX",1,IF(DATOS!$G8262="OR",--(COUNTIFS(nNIA,DATOS!$A8262,nCURSO,DATOS!$D8262,nESPEC,DATOS!$E8262,nASIG,DATOS!$I8262,nEVAL,"EX")=0),0))))</f>
      </c>
      <c r="H8262">
        <f>IF(DATOS!$G8262&lt;&gt;"EX",0,--(COUNTIFS(nNIA,DATOS!$A8262,nCURSO,DATOS!$D8262,nESPEC,DATOS!$E8262,nASIG,DATOS!$I8262,nEVAL,"OR")=0))</f>
      </c>
      <c r="I8262">
        <f>IF(DATOS!$I8262="","",IFERROR(VLOOKUP(DATOS!$I8262,CONFIG_ASIGNATURAS!$B$2:$J$91,9,FALSE()),""))</f>
      </c>
    </row>
    <row r="8263">
      <c r="F8263">
        <f>IF(DATOS!$A8263="","",DATOS!$A8263&amp;"|"&amp;DATOS!$D8263&amp;"|"&amp;DATOS!$E8263&amp;"|"&amp;DATOS!$I8263)</f>
      </c>
      <c r="G8263">
        <f>IF(DATOS!$A8263="",0,IF(CONFIG_METADATA!$B$4&lt;&gt;"OR+EX",--(DATOS!$G8263=CONFIG_METADATA!$B$4),IF(DATOS!$G8263="EX",1,IF(DATOS!$G8263="OR",--(COUNTIFS(nNIA,DATOS!$A8263,nCURSO,DATOS!$D8263,nESPEC,DATOS!$E8263,nASIG,DATOS!$I8263,nEVAL,"EX")=0),0))))</f>
      </c>
      <c r="H8263">
        <f>IF(DATOS!$G8263&lt;&gt;"EX",0,--(COUNTIFS(nNIA,DATOS!$A8263,nCURSO,DATOS!$D8263,nESPEC,DATOS!$E8263,nASIG,DATOS!$I8263,nEVAL,"OR")=0))</f>
      </c>
      <c r="I8263">
        <f>IF(DATOS!$I8263="","",IFERROR(VLOOKUP(DATOS!$I8263,CONFIG_ASIGNATURAS!$B$2:$J$91,9,FALSE()),""))</f>
      </c>
    </row>
    <row r="8264">
      <c r="F8264">
        <f>IF(DATOS!$A8264="","",DATOS!$A8264&amp;"|"&amp;DATOS!$D8264&amp;"|"&amp;DATOS!$E8264&amp;"|"&amp;DATOS!$I8264)</f>
      </c>
      <c r="G8264">
        <f>IF(DATOS!$A8264="",0,IF(CONFIG_METADATA!$B$4&lt;&gt;"OR+EX",--(DATOS!$G8264=CONFIG_METADATA!$B$4),IF(DATOS!$G8264="EX",1,IF(DATOS!$G8264="OR",--(COUNTIFS(nNIA,DATOS!$A8264,nCURSO,DATOS!$D8264,nESPEC,DATOS!$E8264,nASIG,DATOS!$I8264,nEVAL,"EX")=0),0))))</f>
      </c>
      <c r="H8264">
        <f>IF(DATOS!$G8264&lt;&gt;"EX",0,--(COUNTIFS(nNIA,DATOS!$A8264,nCURSO,DATOS!$D8264,nESPEC,DATOS!$E8264,nASIG,DATOS!$I8264,nEVAL,"OR")=0))</f>
      </c>
      <c r="I8264">
        <f>IF(DATOS!$I8264="","",IFERROR(VLOOKUP(DATOS!$I8264,CONFIG_ASIGNATURAS!$B$2:$J$91,9,FALSE()),""))</f>
      </c>
    </row>
    <row r="8265">
      <c r="F8265">
        <f>IF(DATOS!$A8265="","",DATOS!$A8265&amp;"|"&amp;DATOS!$D8265&amp;"|"&amp;DATOS!$E8265&amp;"|"&amp;DATOS!$I8265)</f>
      </c>
      <c r="G8265">
        <f>IF(DATOS!$A8265="",0,IF(CONFIG_METADATA!$B$4&lt;&gt;"OR+EX",--(DATOS!$G8265=CONFIG_METADATA!$B$4),IF(DATOS!$G8265="EX",1,IF(DATOS!$G8265="OR",--(COUNTIFS(nNIA,DATOS!$A8265,nCURSO,DATOS!$D8265,nESPEC,DATOS!$E8265,nASIG,DATOS!$I8265,nEVAL,"EX")=0),0))))</f>
      </c>
      <c r="H8265">
        <f>IF(DATOS!$G8265&lt;&gt;"EX",0,--(COUNTIFS(nNIA,DATOS!$A8265,nCURSO,DATOS!$D8265,nESPEC,DATOS!$E8265,nASIG,DATOS!$I8265,nEVAL,"OR")=0))</f>
      </c>
      <c r="I8265">
        <f>IF(DATOS!$I8265="","",IFERROR(VLOOKUP(DATOS!$I8265,CONFIG_ASIGNATURAS!$B$2:$J$91,9,FALSE()),""))</f>
      </c>
    </row>
    <row r="8266">
      <c r="F8266">
        <f>IF(DATOS!$A8266="","",DATOS!$A8266&amp;"|"&amp;DATOS!$D8266&amp;"|"&amp;DATOS!$E8266&amp;"|"&amp;DATOS!$I8266)</f>
      </c>
      <c r="G8266">
        <f>IF(DATOS!$A8266="",0,IF(CONFIG_METADATA!$B$4&lt;&gt;"OR+EX",--(DATOS!$G8266=CONFIG_METADATA!$B$4),IF(DATOS!$G8266="EX",1,IF(DATOS!$G8266="OR",--(COUNTIFS(nNIA,DATOS!$A8266,nCURSO,DATOS!$D8266,nESPEC,DATOS!$E8266,nASIG,DATOS!$I8266,nEVAL,"EX")=0),0))))</f>
      </c>
      <c r="H8266">
        <f>IF(DATOS!$G8266&lt;&gt;"EX",0,--(COUNTIFS(nNIA,DATOS!$A8266,nCURSO,DATOS!$D8266,nESPEC,DATOS!$E8266,nASIG,DATOS!$I8266,nEVAL,"OR")=0))</f>
      </c>
      <c r="I8266">
        <f>IF(DATOS!$I8266="","",IFERROR(VLOOKUP(DATOS!$I8266,CONFIG_ASIGNATURAS!$B$2:$J$91,9,FALSE()),""))</f>
      </c>
    </row>
    <row r="8267">
      <c r="F8267">
        <f>IF(DATOS!$A8267="","",DATOS!$A8267&amp;"|"&amp;DATOS!$D8267&amp;"|"&amp;DATOS!$E8267&amp;"|"&amp;DATOS!$I8267)</f>
      </c>
      <c r="G8267">
        <f>IF(DATOS!$A8267="",0,IF(CONFIG_METADATA!$B$4&lt;&gt;"OR+EX",--(DATOS!$G8267=CONFIG_METADATA!$B$4),IF(DATOS!$G8267="EX",1,IF(DATOS!$G8267="OR",--(COUNTIFS(nNIA,DATOS!$A8267,nCURSO,DATOS!$D8267,nESPEC,DATOS!$E8267,nASIG,DATOS!$I8267,nEVAL,"EX")=0),0))))</f>
      </c>
      <c r="H8267">
        <f>IF(DATOS!$G8267&lt;&gt;"EX",0,--(COUNTIFS(nNIA,DATOS!$A8267,nCURSO,DATOS!$D8267,nESPEC,DATOS!$E8267,nASIG,DATOS!$I8267,nEVAL,"OR")=0))</f>
      </c>
      <c r="I8267">
        <f>IF(DATOS!$I8267="","",IFERROR(VLOOKUP(DATOS!$I8267,CONFIG_ASIGNATURAS!$B$2:$J$91,9,FALSE()),""))</f>
      </c>
    </row>
    <row r="8268">
      <c r="F8268">
        <f>IF(DATOS!$A8268="","",DATOS!$A8268&amp;"|"&amp;DATOS!$D8268&amp;"|"&amp;DATOS!$E8268&amp;"|"&amp;DATOS!$I8268)</f>
      </c>
      <c r="G8268">
        <f>IF(DATOS!$A8268="",0,IF(CONFIG_METADATA!$B$4&lt;&gt;"OR+EX",--(DATOS!$G8268=CONFIG_METADATA!$B$4),IF(DATOS!$G8268="EX",1,IF(DATOS!$G8268="OR",--(COUNTIFS(nNIA,DATOS!$A8268,nCURSO,DATOS!$D8268,nESPEC,DATOS!$E8268,nASIG,DATOS!$I8268,nEVAL,"EX")=0),0))))</f>
      </c>
      <c r="H8268">
        <f>IF(DATOS!$G8268&lt;&gt;"EX",0,--(COUNTIFS(nNIA,DATOS!$A8268,nCURSO,DATOS!$D8268,nESPEC,DATOS!$E8268,nASIG,DATOS!$I8268,nEVAL,"OR")=0))</f>
      </c>
      <c r="I8268">
        <f>IF(DATOS!$I8268="","",IFERROR(VLOOKUP(DATOS!$I8268,CONFIG_ASIGNATURAS!$B$2:$J$91,9,FALSE()),""))</f>
      </c>
    </row>
    <row r="8269">
      <c r="F8269">
        <f>IF(DATOS!$A8269="","",DATOS!$A8269&amp;"|"&amp;DATOS!$D8269&amp;"|"&amp;DATOS!$E8269&amp;"|"&amp;DATOS!$I8269)</f>
      </c>
      <c r="G8269">
        <f>IF(DATOS!$A8269="",0,IF(CONFIG_METADATA!$B$4&lt;&gt;"OR+EX",--(DATOS!$G8269=CONFIG_METADATA!$B$4),IF(DATOS!$G8269="EX",1,IF(DATOS!$G8269="OR",--(COUNTIFS(nNIA,DATOS!$A8269,nCURSO,DATOS!$D8269,nESPEC,DATOS!$E8269,nASIG,DATOS!$I8269,nEVAL,"EX")=0),0))))</f>
      </c>
      <c r="H8269">
        <f>IF(DATOS!$G8269&lt;&gt;"EX",0,--(COUNTIFS(nNIA,DATOS!$A8269,nCURSO,DATOS!$D8269,nESPEC,DATOS!$E8269,nASIG,DATOS!$I8269,nEVAL,"OR")=0))</f>
      </c>
      <c r="I8269">
        <f>IF(DATOS!$I8269="","",IFERROR(VLOOKUP(DATOS!$I8269,CONFIG_ASIGNATURAS!$B$2:$J$91,9,FALSE()),""))</f>
      </c>
    </row>
    <row r="8270">
      <c r="F8270">
        <f>IF(DATOS!$A8270="","",DATOS!$A8270&amp;"|"&amp;DATOS!$D8270&amp;"|"&amp;DATOS!$E8270&amp;"|"&amp;DATOS!$I8270)</f>
      </c>
      <c r="G8270">
        <f>IF(DATOS!$A8270="",0,IF(CONFIG_METADATA!$B$4&lt;&gt;"OR+EX",--(DATOS!$G8270=CONFIG_METADATA!$B$4),IF(DATOS!$G8270="EX",1,IF(DATOS!$G8270="OR",--(COUNTIFS(nNIA,DATOS!$A8270,nCURSO,DATOS!$D8270,nESPEC,DATOS!$E8270,nASIG,DATOS!$I8270,nEVAL,"EX")=0),0))))</f>
      </c>
      <c r="H8270">
        <f>IF(DATOS!$G8270&lt;&gt;"EX",0,--(COUNTIFS(nNIA,DATOS!$A8270,nCURSO,DATOS!$D8270,nESPEC,DATOS!$E8270,nASIG,DATOS!$I8270,nEVAL,"OR")=0))</f>
      </c>
      <c r="I8270">
        <f>IF(DATOS!$I8270="","",IFERROR(VLOOKUP(DATOS!$I8270,CONFIG_ASIGNATURAS!$B$2:$J$91,9,FALSE()),""))</f>
      </c>
    </row>
    <row r="8271">
      <c r="F8271">
        <f>IF(DATOS!$A8271="","",DATOS!$A8271&amp;"|"&amp;DATOS!$D8271&amp;"|"&amp;DATOS!$E8271&amp;"|"&amp;DATOS!$I8271)</f>
      </c>
      <c r="G8271">
        <f>IF(DATOS!$A8271="",0,IF(CONFIG_METADATA!$B$4&lt;&gt;"OR+EX",--(DATOS!$G8271=CONFIG_METADATA!$B$4),IF(DATOS!$G8271="EX",1,IF(DATOS!$G8271="OR",--(COUNTIFS(nNIA,DATOS!$A8271,nCURSO,DATOS!$D8271,nESPEC,DATOS!$E8271,nASIG,DATOS!$I8271,nEVAL,"EX")=0),0))))</f>
      </c>
      <c r="H8271">
        <f>IF(DATOS!$G8271&lt;&gt;"EX",0,--(COUNTIFS(nNIA,DATOS!$A8271,nCURSO,DATOS!$D8271,nESPEC,DATOS!$E8271,nASIG,DATOS!$I8271,nEVAL,"OR")=0))</f>
      </c>
      <c r="I8271">
        <f>IF(DATOS!$I8271="","",IFERROR(VLOOKUP(DATOS!$I8271,CONFIG_ASIGNATURAS!$B$2:$J$91,9,FALSE()),""))</f>
      </c>
    </row>
    <row r="8272">
      <c r="F8272">
        <f>IF(DATOS!$A8272="","",DATOS!$A8272&amp;"|"&amp;DATOS!$D8272&amp;"|"&amp;DATOS!$E8272&amp;"|"&amp;DATOS!$I8272)</f>
      </c>
      <c r="G8272">
        <f>IF(DATOS!$A8272="",0,IF(CONFIG_METADATA!$B$4&lt;&gt;"OR+EX",--(DATOS!$G8272=CONFIG_METADATA!$B$4),IF(DATOS!$G8272="EX",1,IF(DATOS!$G8272="OR",--(COUNTIFS(nNIA,DATOS!$A8272,nCURSO,DATOS!$D8272,nESPEC,DATOS!$E8272,nASIG,DATOS!$I8272,nEVAL,"EX")=0),0))))</f>
      </c>
      <c r="H8272">
        <f>IF(DATOS!$G8272&lt;&gt;"EX",0,--(COUNTIFS(nNIA,DATOS!$A8272,nCURSO,DATOS!$D8272,nESPEC,DATOS!$E8272,nASIG,DATOS!$I8272,nEVAL,"OR")=0))</f>
      </c>
      <c r="I8272">
        <f>IF(DATOS!$I8272="","",IFERROR(VLOOKUP(DATOS!$I8272,CONFIG_ASIGNATURAS!$B$2:$J$91,9,FALSE()),""))</f>
      </c>
    </row>
    <row r="8273">
      <c r="F8273">
        <f>IF(DATOS!$A8273="","",DATOS!$A8273&amp;"|"&amp;DATOS!$D8273&amp;"|"&amp;DATOS!$E8273&amp;"|"&amp;DATOS!$I8273)</f>
      </c>
      <c r="G8273">
        <f>IF(DATOS!$A8273="",0,IF(CONFIG_METADATA!$B$4&lt;&gt;"OR+EX",--(DATOS!$G8273=CONFIG_METADATA!$B$4),IF(DATOS!$G8273="EX",1,IF(DATOS!$G8273="OR",--(COUNTIFS(nNIA,DATOS!$A8273,nCURSO,DATOS!$D8273,nESPEC,DATOS!$E8273,nASIG,DATOS!$I8273,nEVAL,"EX")=0),0))))</f>
      </c>
      <c r="H8273">
        <f>IF(DATOS!$G8273&lt;&gt;"EX",0,--(COUNTIFS(nNIA,DATOS!$A8273,nCURSO,DATOS!$D8273,nESPEC,DATOS!$E8273,nASIG,DATOS!$I8273,nEVAL,"OR")=0))</f>
      </c>
      <c r="I8273">
        <f>IF(DATOS!$I8273="","",IFERROR(VLOOKUP(DATOS!$I8273,CONFIG_ASIGNATURAS!$B$2:$J$91,9,FALSE()),""))</f>
      </c>
    </row>
    <row r="8274">
      <c r="F8274">
        <f>IF(DATOS!$A8274="","",DATOS!$A8274&amp;"|"&amp;DATOS!$D8274&amp;"|"&amp;DATOS!$E8274&amp;"|"&amp;DATOS!$I8274)</f>
      </c>
      <c r="G8274">
        <f>IF(DATOS!$A8274="",0,IF(CONFIG_METADATA!$B$4&lt;&gt;"OR+EX",--(DATOS!$G8274=CONFIG_METADATA!$B$4),IF(DATOS!$G8274="EX",1,IF(DATOS!$G8274="OR",--(COUNTIFS(nNIA,DATOS!$A8274,nCURSO,DATOS!$D8274,nESPEC,DATOS!$E8274,nASIG,DATOS!$I8274,nEVAL,"EX")=0),0))))</f>
      </c>
      <c r="H8274">
        <f>IF(DATOS!$G8274&lt;&gt;"EX",0,--(COUNTIFS(nNIA,DATOS!$A8274,nCURSO,DATOS!$D8274,nESPEC,DATOS!$E8274,nASIG,DATOS!$I8274,nEVAL,"OR")=0))</f>
      </c>
      <c r="I8274">
        <f>IF(DATOS!$I8274="","",IFERROR(VLOOKUP(DATOS!$I8274,CONFIG_ASIGNATURAS!$B$2:$J$91,9,FALSE()),""))</f>
      </c>
    </row>
    <row r="8275">
      <c r="F8275">
        <f>IF(DATOS!$A8275="","",DATOS!$A8275&amp;"|"&amp;DATOS!$D8275&amp;"|"&amp;DATOS!$E8275&amp;"|"&amp;DATOS!$I8275)</f>
      </c>
      <c r="G8275">
        <f>IF(DATOS!$A8275="",0,IF(CONFIG_METADATA!$B$4&lt;&gt;"OR+EX",--(DATOS!$G8275=CONFIG_METADATA!$B$4),IF(DATOS!$G8275="EX",1,IF(DATOS!$G8275="OR",--(COUNTIFS(nNIA,DATOS!$A8275,nCURSO,DATOS!$D8275,nESPEC,DATOS!$E8275,nASIG,DATOS!$I8275,nEVAL,"EX")=0),0))))</f>
      </c>
      <c r="H8275">
        <f>IF(DATOS!$G8275&lt;&gt;"EX",0,--(COUNTIFS(nNIA,DATOS!$A8275,nCURSO,DATOS!$D8275,nESPEC,DATOS!$E8275,nASIG,DATOS!$I8275,nEVAL,"OR")=0))</f>
      </c>
      <c r="I8275">
        <f>IF(DATOS!$I8275="","",IFERROR(VLOOKUP(DATOS!$I8275,CONFIG_ASIGNATURAS!$B$2:$J$91,9,FALSE()),""))</f>
      </c>
    </row>
    <row r="8276">
      <c r="F8276">
        <f>IF(DATOS!$A8276="","",DATOS!$A8276&amp;"|"&amp;DATOS!$D8276&amp;"|"&amp;DATOS!$E8276&amp;"|"&amp;DATOS!$I8276)</f>
      </c>
      <c r="G8276">
        <f>IF(DATOS!$A8276="",0,IF(CONFIG_METADATA!$B$4&lt;&gt;"OR+EX",--(DATOS!$G8276=CONFIG_METADATA!$B$4),IF(DATOS!$G8276="EX",1,IF(DATOS!$G8276="OR",--(COUNTIFS(nNIA,DATOS!$A8276,nCURSO,DATOS!$D8276,nESPEC,DATOS!$E8276,nASIG,DATOS!$I8276,nEVAL,"EX")=0),0))))</f>
      </c>
      <c r="H8276">
        <f>IF(DATOS!$G8276&lt;&gt;"EX",0,--(COUNTIFS(nNIA,DATOS!$A8276,nCURSO,DATOS!$D8276,nESPEC,DATOS!$E8276,nASIG,DATOS!$I8276,nEVAL,"OR")=0))</f>
      </c>
      <c r="I8276">
        <f>IF(DATOS!$I8276="","",IFERROR(VLOOKUP(DATOS!$I8276,CONFIG_ASIGNATURAS!$B$2:$J$91,9,FALSE()),""))</f>
      </c>
    </row>
    <row r="8277">
      <c r="F8277">
        <f>IF(DATOS!$A8277="","",DATOS!$A8277&amp;"|"&amp;DATOS!$D8277&amp;"|"&amp;DATOS!$E8277&amp;"|"&amp;DATOS!$I8277)</f>
      </c>
      <c r="G8277">
        <f>IF(DATOS!$A8277="",0,IF(CONFIG_METADATA!$B$4&lt;&gt;"OR+EX",--(DATOS!$G8277=CONFIG_METADATA!$B$4),IF(DATOS!$G8277="EX",1,IF(DATOS!$G8277="OR",--(COUNTIFS(nNIA,DATOS!$A8277,nCURSO,DATOS!$D8277,nESPEC,DATOS!$E8277,nASIG,DATOS!$I8277,nEVAL,"EX")=0),0))))</f>
      </c>
      <c r="H8277">
        <f>IF(DATOS!$G8277&lt;&gt;"EX",0,--(COUNTIFS(nNIA,DATOS!$A8277,nCURSO,DATOS!$D8277,nESPEC,DATOS!$E8277,nASIG,DATOS!$I8277,nEVAL,"OR")=0))</f>
      </c>
      <c r="I8277">
        <f>IF(DATOS!$I8277="","",IFERROR(VLOOKUP(DATOS!$I8277,CONFIG_ASIGNATURAS!$B$2:$J$91,9,FALSE()),""))</f>
      </c>
    </row>
    <row r="8278">
      <c r="F8278">
        <f>IF(DATOS!$A8278="","",DATOS!$A8278&amp;"|"&amp;DATOS!$D8278&amp;"|"&amp;DATOS!$E8278&amp;"|"&amp;DATOS!$I8278)</f>
      </c>
      <c r="G8278">
        <f>IF(DATOS!$A8278="",0,IF(CONFIG_METADATA!$B$4&lt;&gt;"OR+EX",--(DATOS!$G8278=CONFIG_METADATA!$B$4),IF(DATOS!$G8278="EX",1,IF(DATOS!$G8278="OR",--(COUNTIFS(nNIA,DATOS!$A8278,nCURSO,DATOS!$D8278,nESPEC,DATOS!$E8278,nASIG,DATOS!$I8278,nEVAL,"EX")=0),0))))</f>
      </c>
      <c r="H8278">
        <f>IF(DATOS!$G8278&lt;&gt;"EX",0,--(COUNTIFS(nNIA,DATOS!$A8278,nCURSO,DATOS!$D8278,nESPEC,DATOS!$E8278,nASIG,DATOS!$I8278,nEVAL,"OR")=0))</f>
      </c>
      <c r="I8278">
        <f>IF(DATOS!$I8278="","",IFERROR(VLOOKUP(DATOS!$I8278,CONFIG_ASIGNATURAS!$B$2:$J$91,9,FALSE()),""))</f>
      </c>
    </row>
    <row r="8279">
      <c r="F8279">
        <f>IF(DATOS!$A8279="","",DATOS!$A8279&amp;"|"&amp;DATOS!$D8279&amp;"|"&amp;DATOS!$E8279&amp;"|"&amp;DATOS!$I8279)</f>
      </c>
      <c r="G8279">
        <f>IF(DATOS!$A8279="",0,IF(CONFIG_METADATA!$B$4&lt;&gt;"OR+EX",--(DATOS!$G8279=CONFIG_METADATA!$B$4),IF(DATOS!$G8279="EX",1,IF(DATOS!$G8279="OR",--(COUNTIFS(nNIA,DATOS!$A8279,nCURSO,DATOS!$D8279,nESPEC,DATOS!$E8279,nASIG,DATOS!$I8279,nEVAL,"EX")=0),0))))</f>
      </c>
      <c r="H8279">
        <f>IF(DATOS!$G8279&lt;&gt;"EX",0,--(COUNTIFS(nNIA,DATOS!$A8279,nCURSO,DATOS!$D8279,nESPEC,DATOS!$E8279,nASIG,DATOS!$I8279,nEVAL,"OR")=0))</f>
      </c>
      <c r="I8279">
        <f>IF(DATOS!$I8279="","",IFERROR(VLOOKUP(DATOS!$I8279,CONFIG_ASIGNATURAS!$B$2:$J$91,9,FALSE()),""))</f>
      </c>
    </row>
    <row r="8280">
      <c r="F8280">
        <f>IF(DATOS!$A8280="","",DATOS!$A8280&amp;"|"&amp;DATOS!$D8280&amp;"|"&amp;DATOS!$E8280&amp;"|"&amp;DATOS!$I8280)</f>
      </c>
      <c r="G8280">
        <f>IF(DATOS!$A8280="",0,IF(CONFIG_METADATA!$B$4&lt;&gt;"OR+EX",--(DATOS!$G8280=CONFIG_METADATA!$B$4),IF(DATOS!$G8280="EX",1,IF(DATOS!$G8280="OR",--(COUNTIFS(nNIA,DATOS!$A8280,nCURSO,DATOS!$D8280,nESPEC,DATOS!$E8280,nASIG,DATOS!$I8280,nEVAL,"EX")=0),0))))</f>
      </c>
      <c r="H8280">
        <f>IF(DATOS!$G8280&lt;&gt;"EX",0,--(COUNTIFS(nNIA,DATOS!$A8280,nCURSO,DATOS!$D8280,nESPEC,DATOS!$E8280,nASIG,DATOS!$I8280,nEVAL,"OR")=0))</f>
      </c>
      <c r="I8280">
        <f>IF(DATOS!$I8280="","",IFERROR(VLOOKUP(DATOS!$I8280,CONFIG_ASIGNATURAS!$B$2:$J$91,9,FALSE()),""))</f>
      </c>
    </row>
    <row r="8281">
      <c r="F8281">
        <f>IF(DATOS!$A8281="","",DATOS!$A8281&amp;"|"&amp;DATOS!$D8281&amp;"|"&amp;DATOS!$E8281&amp;"|"&amp;DATOS!$I8281)</f>
      </c>
      <c r="G8281">
        <f>IF(DATOS!$A8281="",0,IF(CONFIG_METADATA!$B$4&lt;&gt;"OR+EX",--(DATOS!$G8281=CONFIG_METADATA!$B$4),IF(DATOS!$G8281="EX",1,IF(DATOS!$G8281="OR",--(COUNTIFS(nNIA,DATOS!$A8281,nCURSO,DATOS!$D8281,nESPEC,DATOS!$E8281,nASIG,DATOS!$I8281,nEVAL,"EX")=0),0))))</f>
      </c>
      <c r="H8281">
        <f>IF(DATOS!$G8281&lt;&gt;"EX",0,--(COUNTIFS(nNIA,DATOS!$A8281,nCURSO,DATOS!$D8281,nESPEC,DATOS!$E8281,nASIG,DATOS!$I8281,nEVAL,"OR")=0))</f>
      </c>
      <c r="I8281">
        <f>IF(DATOS!$I8281="","",IFERROR(VLOOKUP(DATOS!$I8281,CONFIG_ASIGNATURAS!$B$2:$J$91,9,FALSE()),""))</f>
      </c>
    </row>
    <row r="8282">
      <c r="F8282">
        <f>IF(DATOS!$A8282="","",DATOS!$A8282&amp;"|"&amp;DATOS!$D8282&amp;"|"&amp;DATOS!$E8282&amp;"|"&amp;DATOS!$I8282)</f>
      </c>
      <c r="G8282">
        <f>IF(DATOS!$A8282="",0,IF(CONFIG_METADATA!$B$4&lt;&gt;"OR+EX",--(DATOS!$G8282=CONFIG_METADATA!$B$4),IF(DATOS!$G8282="EX",1,IF(DATOS!$G8282="OR",--(COUNTIFS(nNIA,DATOS!$A8282,nCURSO,DATOS!$D8282,nESPEC,DATOS!$E8282,nASIG,DATOS!$I8282,nEVAL,"EX")=0),0))))</f>
      </c>
      <c r="H8282">
        <f>IF(DATOS!$G8282&lt;&gt;"EX",0,--(COUNTIFS(nNIA,DATOS!$A8282,nCURSO,DATOS!$D8282,nESPEC,DATOS!$E8282,nASIG,DATOS!$I8282,nEVAL,"OR")=0))</f>
      </c>
      <c r="I8282">
        <f>IF(DATOS!$I8282="","",IFERROR(VLOOKUP(DATOS!$I8282,CONFIG_ASIGNATURAS!$B$2:$J$91,9,FALSE()),""))</f>
      </c>
    </row>
    <row r="8283">
      <c r="F8283">
        <f>IF(DATOS!$A8283="","",DATOS!$A8283&amp;"|"&amp;DATOS!$D8283&amp;"|"&amp;DATOS!$E8283&amp;"|"&amp;DATOS!$I8283)</f>
      </c>
      <c r="G8283">
        <f>IF(DATOS!$A8283="",0,IF(CONFIG_METADATA!$B$4&lt;&gt;"OR+EX",--(DATOS!$G8283=CONFIG_METADATA!$B$4),IF(DATOS!$G8283="EX",1,IF(DATOS!$G8283="OR",--(COUNTIFS(nNIA,DATOS!$A8283,nCURSO,DATOS!$D8283,nESPEC,DATOS!$E8283,nASIG,DATOS!$I8283,nEVAL,"EX")=0),0))))</f>
      </c>
      <c r="H8283">
        <f>IF(DATOS!$G8283&lt;&gt;"EX",0,--(COUNTIFS(nNIA,DATOS!$A8283,nCURSO,DATOS!$D8283,nESPEC,DATOS!$E8283,nASIG,DATOS!$I8283,nEVAL,"OR")=0))</f>
      </c>
      <c r="I8283">
        <f>IF(DATOS!$I8283="","",IFERROR(VLOOKUP(DATOS!$I8283,CONFIG_ASIGNATURAS!$B$2:$J$91,9,FALSE()),""))</f>
      </c>
    </row>
    <row r="8284">
      <c r="F8284">
        <f>IF(DATOS!$A8284="","",DATOS!$A8284&amp;"|"&amp;DATOS!$D8284&amp;"|"&amp;DATOS!$E8284&amp;"|"&amp;DATOS!$I8284)</f>
      </c>
      <c r="G8284">
        <f>IF(DATOS!$A8284="",0,IF(CONFIG_METADATA!$B$4&lt;&gt;"OR+EX",--(DATOS!$G8284=CONFIG_METADATA!$B$4),IF(DATOS!$G8284="EX",1,IF(DATOS!$G8284="OR",--(COUNTIFS(nNIA,DATOS!$A8284,nCURSO,DATOS!$D8284,nESPEC,DATOS!$E8284,nASIG,DATOS!$I8284,nEVAL,"EX")=0),0))))</f>
      </c>
      <c r="H8284">
        <f>IF(DATOS!$G8284&lt;&gt;"EX",0,--(COUNTIFS(nNIA,DATOS!$A8284,nCURSO,DATOS!$D8284,nESPEC,DATOS!$E8284,nASIG,DATOS!$I8284,nEVAL,"OR")=0))</f>
      </c>
      <c r="I8284">
        <f>IF(DATOS!$I8284="","",IFERROR(VLOOKUP(DATOS!$I8284,CONFIG_ASIGNATURAS!$B$2:$J$91,9,FALSE()),""))</f>
      </c>
    </row>
    <row r="8285">
      <c r="F8285">
        <f>IF(DATOS!$A8285="","",DATOS!$A8285&amp;"|"&amp;DATOS!$D8285&amp;"|"&amp;DATOS!$E8285&amp;"|"&amp;DATOS!$I8285)</f>
      </c>
      <c r="G8285">
        <f>IF(DATOS!$A8285="",0,IF(CONFIG_METADATA!$B$4&lt;&gt;"OR+EX",--(DATOS!$G8285=CONFIG_METADATA!$B$4),IF(DATOS!$G8285="EX",1,IF(DATOS!$G8285="OR",--(COUNTIFS(nNIA,DATOS!$A8285,nCURSO,DATOS!$D8285,nESPEC,DATOS!$E8285,nASIG,DATOS!$I8285,nEVAL,"EX")=0),0))))</f>
      </c>
      <c r="H8285">
        <f>IF(DATOS!$G8285&lt;&gt;"EX",0,--(COUNTIFS(nNIA,DATOS!$A8285,nCURSO,DATOS!$D8285,nESPEC,DATOS!$E8285,nASIG,DATOS!$I8285,nEVAL,"OR")=0))</f>
      </c>
      <c r="I8285">
        <f>IF(DATOS!$I8285="","",IFERROR(VLOOKUP(DATOS!$I8285,CONFIG_ASIGNATURAS!$B$2:$J$91,9,FALSE()),""))</f>
      </c>
    </row>
    <row r="8286">
      <c r="F8286">
        <f>IF(DATOS!$A8286="","",DATOS!$A8286&amp;"|"&amp;DATOS!$D8286&amp;"|"&amp;DATOS!$E8286&amp;"|"&amp;DATOS!$I8286)</f>
      </c>
      <c r="G8286">
        <f>IF(DATOS!$A8286="",0,IF(CONFIG_METADATA!$B$4&lt;&gt;"OR+EX",--(DATOS!$G8286=CONFIG_METADATA!$B$4),IF(DATOS!$G8286="EX",1,IF(DATOS!$G8286="OR",--(COUNTIFS(nNIA,DATOS!$A8286,nCURSO,DATOS!$D8286,nESPEC,DATOS!$E8286,nASIG,DATOS!$I8286,nEVAL,"EX")=0),0))))</f>
      </c>
      <c r="H8286">
        <f>IF(DATOS!$G8286&lt;&gt;"EX",0,--(COUNTIFS(nNIA,DATOS!$A8286,nCURSO,DATOS!$D8286,nESPEC,DATOS!$E8286,nASIG,DATOS!$I8286,nEVAL,"OR")=0))</f>
      </c>
      <c r="I8286">
        <f>IF(DATOS!$I8286="","",IFERROR(VLOOKUP(DATOS!$I8286,CONFIG_ASIGNATURAS!$B$2:$J$91,9,FALSE()),""))</f>
      </c>
    </row>
    <row r="8287">
      <c r="F8287">
        <f>IF(DATOS!$A8287="","",DATOS!$A8287&amp;"|"&amp;DATOS!$D8287&amp;"|"&amp;DATOS!$E8287&amp;"|"&amp;DATOS!$I8287)</f>
      </c>
      <c r="G8287">
        <f>IF(DATOS!$A8287="",0,IF(CONFIG_METADATA!$B$4&lt;&gt;"OR+EX",--(DATOS!$G8287=CONFIG_METADATA!$B$4),IF(DATOS!$G8287="EX",1,IF(DATOS!$G8287="OR",--(COUNTIFS(nNIA,DATOS!$A8287,nCURSO,DATOS!$D8287,nESPEC,DATOS!$E8287,nASIG,DATOS!$I8287,nEVAL,"EX")=0),0))))</f>
      </c>
      <c r="H8287">
        <f>IF(DATOS!$G8287&lt;&gt;"EX",0,--(COUNTIFS(nNIA,DATOS!$A8287,nCURSO,DATOS!$D8287,nESPEC,DATOS!$E8287,nASIG,DATOS!$I8287,nEVAL,"OR")=0))</f>
      </c>
      <c r="I8287">
        <f>IF(DATOS!$I8287="","",IFERROR(VLOOKUP(DATOS!$I8287,CONFIG_ASIGNATURAS!$B$2:$J$91,9,FALSE()),""))</f>
      </c>
    </row>
    <row r="8288">
      <c r="F8288">
        <f>IF(DATOS!$A8288="","",DATOS!$A8288&amp;"|"&amp;DATOS!$D8288&amp;"|"&amp;DATOS!$E8288&amp;"|"&amp;DATOS!$I8288)</f>
      </c>
      <c r="G8288">
        <f>IF(DATOS!$A8288="",0,IF(CONFIG_METADATA!$B$4&lt;&gt;"OR+EX",--(DATOS!$G8288=CONFIG_METADATA!$B$4),IF(DATOS!$G8288="EX",1,IF(DATOS!$G8288="OR",--(COUNTIFS(nNIA,DATOS!$A8288,nCURSO,DATOS!$D8288,nESPEC,DATOS!$E8288,nASIG,DATOS!$I8288,nEVAL,"EX")=0),0))))</f>
      </c>
      <c r="H8288">
        <f>IF(DATOS!$G8288&lt;&gt;"EX",0,--(COUNTIFS(nNIA,DATOS!$A8288,nCURSO,DATOS!$D8288,nESPEC,DATOS!$E8288,nASIG,DATOS!$I8288,nEVAL,"OR")=0))</f>
      </c>
      <c r="I8288">
        <f>IF(DATOS!$I8288="","",IFERROR(VLOOKUP(DATOS!$I8288,CONFIG_ASIGNATURAS!$B$2:$J$91,9,FALSE()),""))</f>
      </c>
    </row>
    <row r="8289">
      <c r="F8289">
        <f>IF(DATOS!$A8289="","",DATOS!$A8289&amp;"|"&amp;DATOS!$D8289&amp;"|"&amp;DATOS!$E8289&amp;"|"&amp;DATOS!$I8289)</f>
      </c>
      <c r="G8289">
        <f>IF(DATOS!$A8289="",0,IF(CONFIG_METADATA!$B$4&lt;&gt;"OR+EX",--(DATOS!$G8289=CONFIG_METADATA!$B$4),IF(DATOS!$G8289="EX",1,IF(DATOS!$G8289="OR",--(COUNTIFS(nNIA,DATOS!$A8289,nCURSO,DATOS!$D8289,nESPEC,DATOS!$E8289,nASIG,DATOS!$I8289,nEVAL,"EX")=0),0))))</f>
      </c>
      <c r="H8289">
        <f>IF(DATOS!$G8289&lt;&gt;"EX",0,--(COUNTIFS(nNIA,DATOS!$A8289,nCURSO,DATOS!$D8289,nESPEC,DATOS!$E8289,nASIG,DATOS!$I8289,nEVAL,"OR")=0))</f>
      </c>
      <c r="I8289">
        <f>IF(DATOS!$I8289="","",IFERROR(VLOOKUP(DATOS!$I8289,CONFIG_ASIGNATURAS!$B$2:$J$91,9,FALSE()),""))</f>
      </c>
    </row>
    <row r="8290">
      <c r="F8290">
        <f>IF(DATOS!$A8290="","",DATOS!$A8290&amp;"|"&amp;DATOS!$D8290&amp;"|"&amp;DATOS!$E8290&amp;"|"&amp;DATOS!$I8290)</f>
      </c>
      <c r="G8290">
        <f>IF(DATOS!$A8290="",0,IF(CONFIG_METADATA!$B$4&lt;&gt;"OR+EX",--(DATOS!$G8290=CONFIG_METADATA!$B$4),IF(DATOS!$G8290="EX",1,IF(DATOS!$G8290="OR",--(COUNTIFS(nNIA,DATOS!$A8290,nCURSO,DATOS!$D8290,nESPEC,DATOS!$E8290,nASIG,DATOS!$I8290,nEVAL,"EX")=0),0))))</f>
      </c>
      <c r="H8290">
        <f>IF(DATOS!$G8290&lt;&gt;"EX",0,--(COUNTIFS(nNIA,DATOS!$A8290,nCURSO,DATOS!$D8290,nESPEC,DATOS!$E8290,nASIG,DATOS!$I8290,nEVAL,"OR")=0))</f>
      </c>
      <c r="I8290">
        <f>IF(DATOS!$I8290="","",IFERROR(VLOOKUP(DATOS!$I8290,CONFIG_ASIGNATURAS!$B$2:$J$91,9,FALSE()),""))</f>
      </c>
    </row>
    <row r="8291">
      <c r="F8291">
        <f>IF(DATOS!$A8291="","",DATOS!$A8291&amp;"|"&amp;DATOS!$D8291&amp;"|"&amp;DATOS!$E8291&amp;"|"&amp;DATOS!$I8291)</f>
      </c>
      <c r="G8291">
        <f>IF(DATOS!$A8291="",0,IF(CONFIG_METADATA!$B$4&lt;&gt;"OR+EX",--(DATOS!$G8291=CONFIG_METADATA!$B$4),IF(DATOS!$G8291="EX",1,IF(DATOS!$G8291="OR",--(COUNTIFS(nNIA,DATOS!$A8291,nCURSO,DATOS!$D8291,nESPEC,DATOS!$E8291,nASIG,DATOS!$I8291,nEVAL,"EX")=0),0))))</f>
      </c>
      <c r="H8291">
        <f>IF(DATOS!$G8291&lt;&gt;"EX",0,--(COUNTIFS(nNIA,DATOS!$A8291,nCURSO,DATOS!$D8291,nESPEC,DATOS!$E8291,nASIG,DATOS!$I8291,nEVAL,"OR")=0))</f>
      </c>
      <c r="I8291">
        <f>IF(DATOS!$I8291="","",IFERROR(VLOOKUP(DATOS!$I8291,CONFIG_ASIGNATURAS!$B$2:$J$91,9,FALSE()),""))</f>
      </c>
    </row>
    <row r="8292">
      <c r="F8292">
        <f>IF(DATOS!$A8292="","",DATOS!$A8292&amp;"|"&amp;DATOS!$D8292&amp;"|"&amp;DATOS!$E8292&amp;"|"&amp;DATOS!$I8292)</f>
      </c>
      <c r="G8292">
        <f>IF(DATOS!$A8292="",0,IF(CONFIG_METADATA!$B$4&lt;&gt;"OR+EX",--(DATOS!$G8292=CONFIG_METADATA!$B$4),IF(DATOS!$G8292="EX",1,IF(DATOS!$G8292="OR",--(COUNTIFS(nNIA,DATOS!$A8292,nCURSO,DATOS!$D8292,nESPEC,DATOS!$E8292,nASIG,DATOS!$I8292,nEVAL,"EX")=0),0))))</f>
      </c>
      <c r="H8292">
        <f>IF(DATOS!$G8292&lt;&gt;"EX",0,--(COUNTIFS(nNIA,DATOS!$A8292,nCURSO,DATOS!$D8292,nESPEC,DATOS!$E8292,nASIG,DATOS!$I8292,nEVAL,"OR")=0))</f>
      </c>
      <c r="I8292">
        <f>IF(DATOS!$I8292="","",IFERROR(VLOOKUP(DATOS!$I8292,CONFIG_ASIGNATURAS!$B$2:$J$91,9,FALSE()),""))</f>
      </c>
    </row>
    <row r="8293">
      <c r="F8293">
        <f>IF(DATOS!$A8293="","",DATOS!$A8293&amp;"|"&amp;DATOS!$D8293&amp;"|"&amp;DATOS!$E8293&amp;"|"&amp;DATOS!$I8293)</f>
      </c>
      <c r="G8293">
        <f>IF(DATOS!$A8293="",0,IF(CONFIG_METADATA!$B$4&lt;&gt;"OR+EX",--(DATOS!$G8293=CONFIG_METADATA!$B$4),IF(DATOS!$G8293="EX",1,IF(DATOS!$G8293="OR",--(COUNTIFS(nNIA,DATOS!$A8293,nCURSO,DATOS!$D8293,nESPEC,DATOS!$E8293,nASIG,DATOS!$I8293,nEVAL,"EX")=0),0))))</f>
      </c>
      <c r="H8293">
        <f>IF(DATOS!$G8293&lt;&gt;"EX",0,--(COUNTIFS(nNIA,DATOS!$A8293,nCURSO,DATOS!$D8293,nESPEC,DATOS!$E8293,nASIG,DATOS!$I8293,nEVAL,"OR")=0))</f>
      </c>
      <c r="I8293">
        <f>IF(DATOS!$I8293="","",IFERROR(VLOOKUP(DATOS!$I8293,CONFIG_ASIGNATURAS!$B$2:$J$91,9,FALSE()),""))</f>
      </c>
    </row>
    <row r="8294">
      <c r="F8294">
        <f>IF(DATOS!$A8294="","",DATOS!$A8294&amp;"|"&amp;DATOS!$D8294&amp;"|"&amp;DATOS!$E8294&amp;"|"&amp;DATOS!$I8294)</f>
      </c>
      <c r="G8294">
        <f>IF(DATOS!$A8294="",0,IF(CONFIG_METADATA!$B$4&lt;&gt;"OR+EX",--(DATOS!$G8294=CONFIG_METADATA!$B$4),IF(DATOS!$G8294="EX",1,IF(DATOS!$G8294="OR",--(COUNTIFS(nNIA,DATOS!$A8294,nCURSO,DATOS!$D8294,nESPEC,DATOS!$E8294,nASIG,DATOS!$I8294,nEVAL,"EX")=0),0))))</f>
      </c>
      <c r="H8294">
        <f>IF(DATOS!$G8294&lt;&gt;"EX",0,--(COUNTIFS(nNIA,DATOS!$A8294,nCURSO,DATOS!$D8294,nESPEC,DATOS!$E8294,nASIG,DATOS!$I8294,nEVAL,"OR")=0))</f>
      </c>
      <c r="I8294">
        <f>IF(DATOS!$I8294="","",IFERROR(VLOOKUP(DATOS!$I8294,CONFIG_ASIGNATURAS!$B$2:$J$91,9,FALSE()),""))</f>
      </c>
    </row>
    <row r="8295">
      <c r="F8295">
        <f>IF(DATOS!$A8295="","",DATOS!$A8295&amp;"|"&amp;DATOS!$D8295&amp;"|"&amp;DATOS!$E8295&amp;"|"&amp;DATOS!$I8295)</f>
      </c>
      <c r="G8295">
        <f>IF(DATOS!$A8295="",0,IF(CONFIG_METADATA!$B$4&lt;&gt;"OR+EX",--(DATOS!$G8295=CONFIG_METADATA!$B$4),IF(DATOS!$G8295="EX",1,IF(DATOS!$G8295="OR",--(COUNTIFS(nNIA,DATOS!$A8295,nCURSO,DATOS!$D8295,nESPEC,DATOS!$E8295,nASIG,DATOS!$I8295,nEVAL,"EX")=0),0))))</f>
      </c>
      <c r="H8295">
        <f>IF(DATOS!$G8295&lt;&gt;"EX",0,--(COUNTIFS(nNIA,DATOS!$A8295,nCURSO,DATOS!$D8295,nESPEC,DATOS!$E8295,nASIG,DATOS!$I8295,nEVAL,"OR")=0))</f>
      </c>
      <c r="I8295">
        <f>IF(DATOS!$I8295="","",IFERROR(VLOOKUP(DATOS!$I8295,CONFIG_ASIGNATURAS!$B$2:$J$91,9,FALSE()),""))</f>
      </c>
    </row>
    <row r="8296">
      <c r="F8296">
        <f>IF(DATOS!$A8296="","",DATOS!$A8296&amp;"|"&amp;DATOS!$D8296&amp;"|"&amp;DATOS!$E8296&amp;"|"&amp;DATOS!$I8296)</f>
      </c>
      <c r="G8296">
        <f>IF(DATOS!$A8296="",0,IF(CONFIG_METADATA!$B$4&lt;&gt;"OR+EX",--(DATOS!$G8296=CONFIG_METADATA!$B$4),IF(DATOS!$G8296="EX",1,IF(DATOS!$G8296="OR",--(COUNTIFS(nNIA,DATOS!$A8296,nCURSO,DATOS!$D8296,nESPEC,DATOS!$E8296,nASIG,DATOS!$I8296,nEVAL,"EX")=0),0))))</f>
      </c>
      <c r="H8296">
        <f>IF(DATOS!$G8296&lt;&gt;"EX",0,--(COUNTIFS(nNIA,DATOS!$A8296,nCURSO,DATOS!$D8296,nESPEC,DATOS!$E8296,nASIG,DATOS!$I8296,nEVAL,"OR")=0))</f>
      </c>
      <c r="I8296">
        <f>IF(DATOS!$I8296="","",IFERROR(VLOOKUP(DATOS!$I8296,CONFIG_ASIGNATURAS!$B$2:$J$91,9,FALSE()),""))</f>
      </c>
    </row>
    <row r="8297">
      <c r="F8297">
        <f>IF(DATOS!$A8297="","",DATOS!$A8297&amp;"|"&amp;DATOS!$D8297&amp;"|"&amp;DATOS!$E8297&amp;"|"&amp;DATOS!$I8297)</f>
      </c>
      <c r="G8297">
        <f>IF(DATOS!$A8297="",0,IF(CONFIG_METADATA!$B$4&lt;&gt;"OR+EX",--(DATOS!$G8297=CONFIG_METADATA!$B$4),IF(DATOS!$G8297="EX",1,IF(DATOS!$G8297="OR",--(COUNTIFS(nNIA,DATOS!$A8297,nCURSO,DATOS!$D8297,nESPEC,DATOS!$E8297,nASIG,DATOS!$I8297,nEVAL,"EX")=0),0))))</f>
      </c>
      <c r="H8297">
        <f>IF(DATOS!$G8297&lt;&gt;"EX",0,--(COUNTIFS(nNIA,DATOS!$A8297,nCURSO,DATOS!$D8297,nESPEC,DATOS!$E8297,nASIG,DATOS!$I8297,nEVAL,"OR")=0))</f>
      </c>
      <c r="I8297">
        <f>IF(DATOS!$I8297="","",IFERROR(VLOOKUP(DATOS!$I8297,CONFIG_ASIGNATURAS!$B$2:$J$91,9,FALSE()),""))</f>
      </c>
    </row>
    <row r="8298">
      <c r="F8298">
        <f>IF(DATOS!$A8298="","",DATOS!$A8298&amp;"|"&amp;DATOS!$D8298&amp;"|"&amp;DATOS!$E8298&amp;"|"&amp;DATOS!$I8298)</f>
      </c>
      <c r="G8298">
        <f>IF(DATOS!$A8298="",0,IF(CONFIG_METADATA!$B$4&lt;&gt;"OR+EX",--(DATOS!$G8298=CONFIG_METADATA!$B$4),IF(DATOS!$G8298="EX",1,IF(DATOS!$G8298="OR",--(COUNTIFS(nNIA,DATOS!$A8298,nCURSO,DATOS!$D8298,nESPEC,DATOS!$E8298,nASIG,DATOS!$I8298,nEVAL,"EX")=0),0))))</f>
      </c>
      <c r="H8298">
        <f>IF(DATOS!$G8298&lt;&gt;"EX",0,--(COUNTIFS(nNIA,DATOS!$A8298,nCURSO,DATOS!$D8298,nESPEC,DATOS!$E8298,nASIG,DATOS!$I8298,nEVAL,"OR")=0))</f>
      </c>
      <c r="I8298">
        <f>IF(DATOS!$I8298="","",IFERROR(VLOOKUP(DATOS!$I8298,CONFIG_ASIGNATURAS!$B$2:$J$91,9,FALSE()),""))</f>
      </c>
    </row>
    <row r="8299">
      <c r="F8299">
        <f>IF(DATOS!$A8299="","",DATOS!$A8299&amp;"|"&amp;DATOS!$D8299&amp;"|"&amp;DATOS!$E8299&amp;"|"&amp;DATOS!$I8299)</f>
      </c>
      <c r="G8299">
        <f>IF(DATOS!$A8299="",0,IF(CONFIG_METADATA!$B$4&lt;&gt;"OR+EX",--(DATOS!$G8299=CONFIG_METADATA!$B$4),IF(DATOS!$G8299="EX",1,IF(DATOS!$G8299="OR",--(COUNTIFS(nNIA,DATOS!$A8299,nCURSO,DATOS!$D8299,nESPEC,DATOS!$E8299,nASIG,DATOS!$I8299,nEVAL,"EX")=0),0))))</f>
      </c>
      <c r="H8299">
        <f>IF(DATOS!$G8299&lt;&gt;"EX",0,--(COUNTIFS(nNIA,DATOS!$A8299,nCURSO,DATOS!$D8299,nESPEC,DATOS!$E8299,nASIG,DATOS!$I8299,nEVAL,"OR")=0))</f>
      </c>
      <c r="I8299">
        <f>IF(DATOS!$I8299="","",IFERROR(VLOOKUP(DATOS!$I8299,CONFIG_ASIGNATURAS!$B$2:$J$91,9,FALSE()),""))</f>
      </c>
    </row>
    <row r="8300">
      <c r="F8300">
        <f>IF(DATOS!$A8300="","",DATOS!$A8300&amp;"|"&amp;DATOS!$D8300&amp;"|"&amp;DATOS!$E8300&amp;"|"&amp;DATOS!$I8300)</f>
      </c>
      <c r="G8300">
        <f>IF(DATOS!$A8300="",0,IF(CONFIG_METADATA!$B$4&lt;&gt;"OR+EX",--(DATOS!$G8300=CONFIG_METADATA!$B$4),IF(DATOS!$G8300="EX",1,IF(DATOS!$G8300="OR",--(COUNTIFS(nNIA,DATOS!$A8300,nCURSO,DATOS!$D8300,nESPEC,DATOS!$E8300,nASIG,DATOS!$I8300,nEVAL,"EX")=0),0))))</f>
      </c>
      <c r="H8300">
        <f>IF(DATOS!$G8300&lt;&gt;"EX",0,--(COUNTIFS(nNIA,DATOS!$A8300,nCURSO,DATOS!$D8300,nESPEC,DATOS!$E8300,nASIG,DATOS!$I8300,nEVAL,"OR")=0))</f>
      </c>
      <c r="I8300">
        <f>IF(DATOS!$I8300="","",IFERROR(VLOOKUP(DATOS!$I8300,CONFIG_ASIGNATURAS!$B$2:$J$91,9,FALSE()),""))</f>
      </c>
    </row>
    <row r="8301">
      <c r="F8301">
        <f>IF(DATOS!$A8301="","",DATOS!$A8301&amp;"|"&amp;DATOS!$D8301&amp;"|"&amp;DATOS!$E8301&amp;"|"&amp;DATOS!$I8301)</f>
      </c>
      <c r="G8301">
        <f>IF(DATOS!$A8301="",0,IF(CONFIG_METADATA!$B$4&lt;&gt;"OR+EX",--(DATOS!$G8301=CONFIG_METADATA!$B$4),IF(DATOS!$G8301="EX",1,IF(DATOS!$G8301="OR",--(COUNTIFS(nNIA,DATOS!$A8301,nCURSO,DATOS!$D8301,nESPEC,DATOS!$E8301,nASIG,DATOS!$I8301,nEVAL,"EX")=0),0))))</f>
      </c>
      <c r="H8301">
        <f>IF(DATOS!$G8301&lt;&gt;"EX",0,--(COUNTIFS(nNIA,DATOS!$A8301,nCURSO,DATOS!$D8301,nESPEC,DATOS!$E8301,nASIG,DATOS!$I8301,nEVAL,"OR")=0))</f>
      </c>
      <c r="I8301">
        <f>IF(DATOS!$I8301="","",IFERROR(VLOOKUP(DATOS!$I8301,CONFIG_ASIGNATURAS!$B$2:$J$91,9,FALSE()),""))</f>
      </c>
    </row>
    <row r="8302">
      <c r="F8302">
        <f>IF(DATOS!$A8302="","",DATOS!$A8302&amp;"|"&amp;DATOS!$D8302&amp;"|"&amp;DATOS!$E8302&amp;"|"&amp;DATOS!$I8302)</f>
      </c>
      <c r="G8302">
        <f>IF(DATOS!$A8302="",0,IF(CONFIG_METADATA!$B$4&lt;&gt;"OR+EX",--(DATOS!$G8302=CONFIG_METADATA!$B$4),IF(DATOS!$G8302="EX",1,IF(DATOS!$G8302="OR",--(COUNTIFS(nNIA,DATOS!$A8302,nCURSO,DATOS!$D8302,nESPEC,DATOS!$E8302,nASIG,DATOS!$I8302,nEVAL,"EX")=0),0))))</f>
      </c>
      <c r="H8302">
        <f>IF(DATOS!$G8302&lt;&gt;"EX",0,--(COUNTIFS(nNIA,DATOS!$A8302,nCURSO,DATOS!$D8302,nESPEC,DATOS!$E8302,nASIG,DATOS!$I8302,nEVAL,"OR")=0))</f>
      </c>
      <c r="I8302">
        <f>IF(DATOS!$I8302="","",IFERROR(VLOOKUP(DATOS!$I8302,CONFIG_ASIGNATURAS!$B$2:$J$91,9,FALSE()),""))</f>
      </c>
    </row>
    <row r="8303">
      <c r="F8303">
        <f>IF(DATOS!$A8303="","",DATOS!$A8303&amp;"|"&amp;DATOS!$D8303&amp;"|"&amp;DATOS!$E8303&amp;"|"&amp;DATOS!$I8303)</f>
      </c>
      <c r="G8303">
        <f>IF(DATOS!$A8303="",0,IF(CONFIG_METADATA!$B$4&lt;&gt;"OR+EX",--(DATOS!$G8303=CONFIG_METADATA!$B$4),IF(DATOS!$G8303="EX",1,IF(DATOS!$G8303="OR",--(COUNTIFS(nNIA,DATOS!$A8303,nCURSO,DATOS!$D8303,nESPEC,DATOS!$E8303,nASIG,DATOS!$I8303,nEVAL,"EX")=0),0))))</f>
      </c>
      <c r="H8303">
        <f>IF(DATOS!$G8303&lt;&gt;"EX",0,--(COUNTIFS(nNIA,DATOS!$A8303,nCURSO,DATOS!$D8303,nESPEC,DATOS!$E8303,nASIG,DATOS!$I8303,nEVAL,"OR")=0))</f>
      </c>
      <c r="I8303">
        <f>IF(DATOS!$I8303="","",IFERROR(VLOOKUP(DATOS!$I8303,CONFIG_ASIGNATURAS!$B$2:$J$91,9,FALSE()),""))</f>
      </c>
    </row>
    <row r="8304">
      <c r="F8304">
        <f>IF(DATOS!$A8304="","",DATOS!$A8304&amp;"|"&amp;DATOS!$D8304&amp;"|"&amp;DATOS!$E8304&amp;"|"&amp;DATOS!$I8304)</f>
      </c>
      <c r="G8304">
        <f>IF(DATOS!$A8304="",0,IF(CONFIG_METADATA!$B$4&lt;&gt;"OR+EX",--(DATOS!$G8304=CONFIG_METADATA!$B$4),IF(DATOS!$G8304="EX",1,IF(DATOS!$G8304="OR",--(COUNTIFS(nNIA,DATOS!$A8304,nCURSO,DATOS!$D8304,nESPEC,DATOS!$E8304,nASIG,DATOS!$I8304,nEVAL,"EX")=0),0))))</f>
      </c>
      <c r="H8304">
        <f>IF(DATOS!$G8304&lt;&gt;"EX",0,--(COUNTIFS(nNIA,DATOS!$A8304,nCURSO,DATOS!$D8304,nESPEC,DATOS!$E8304,nASIG,DATOS!$I8304,nEVAL,"OR")=0))</f>
      </c>
      <c r="I8304">
        <f>IF(DATOS!$I8304="","",IFERROR(VLOOKUP(DATOS!$I8304,CONFIG_ASIGNATURAS!$B$2:$J$91,9,FALSE()),""))</f>
      </c>
    </row>
    <row r="8305">
      <c r="F8305">
        <f>IF(DATOS!$A8305="","",DATOS!$A8305&amp;"|"&amp;DATOS!$D8305&amp;"|"&amp;DATOS!$E8305&amp;"|"&amp;DATOS!$I8305)</f>
      </c>
      <c r="G8305">
        <f>IF(DATOS!$A8305="",0,IF(CONFIG_METADATA!$B$4&lt;&gt;"OR+EX",--(DATOS!$G8305=CONFIG_METADATA!$B$4),IF(DATOS!$G8305="EX",1,IF(DATOS!$G8305="OR",--(COUNTIFS(nNIA,DATOS!$A8305,nCURSO,DATOS!$D8305,nESPEC,DATOS!$E8305,nASIG,DATOS!$I8305,nEVAL,"EX")=0),0))))</f>
      </c>
      <c r="H8305">
        <f>IF(DATOS!$G8305&lt;&gt;"EX",0,--(COUNTIFS(nNIA,DATOS!$A8305,nCURSO,DATOS!$D8305,nESPEC,DATOS!$E8305,nASIG,DATOS!$I8305,nEVAL,"OR")=0))</f>
      </c>
      <c r="I8305">
        <f>IF(DATOS!$I8305="","",IFERROR(VLOOKUP(DATOS!$I8305,CONFIG_ASIGNATURAS!$B$2:$J$91,9,FALSE()),""))</f>
      </c>
    </row>
    <row r="8306">
      <c r="F8306">
        <f>IF(DATOS!$A8306="","",DATOS!$A8306&amp;"|"&amp;DATOS!$D8306&amp;"|"&amp;DATOS!$E8306&amp;"|"&amp;DATOS!$I8306)</f>
      </c>
      <c r="G8306">
        <f>IF(DATOS!$A8306="",0,IF(CONFIG_METADATA!$B$4&lt;&gt;"OR+EX",--(DATOS!$G8306=CONFIG_METADATA!$B$4),IF(DATOS!$G8306="EX",1,IF(DATOS!$G8306="OR",--(COUNTIFS(nNIA,DATOS!$A8306,nCURSO,DATOS!$D8306,nESPEC,DATOS!$E8306,nASIG,DATOS!$I8306,nEVAL,"EX")=0),0))))</f>
      </c>
      <c r="H8306">
        <f>IF(DATOS!$G8306&lt;&gt;"EX",0,--(COUNTIFS(nNIA,DATOS!$A8306,nCURSO,DATOS!$D8306,nESPEC,DATOS!$E8306,nASIG,DATOS!$I8306,nEVAL,"OR")=0))</f>
      </c>
      <c r="I8306">
        <f>IF(DATOS!$I8306="","",IFERROR(VLOOKUP(DATOS!$I8306,CONFIG_ASIGNATURAS!$B$2:$J$91,9,FALSE()),""))</f>
      </c>
    </row>
    <row r="8307">
      <c r="F8307">
        <f>IF(DATOS!$A8307="","",DATOS!$A8307&amp;"|"&amp;DATOS!$D8307&amp;"|"&amp;DATOS!$E8307&amp;"|"&amp;DATOS!$I8307)</f>
      </c>
      <c r="G8307">
        <f>IF(DATOS!$A8307="",0,IF(CONFIG_METADATA!$B$4&lt;&gt;"OR+EX",--(DATOS!$G8307=CONFIG_METADATA!$B$4),IF(DATOS!$G8307="EX",1,IF(DATOS!$G8307="OR",--(COUNTIFS(nNIA,DATOS!$A8307,nCURSO,DATOS!$D8307,nESPEC,DATOS!$E8307,nASIG,DATOS!$I8307,nEVAL,"EX")=0),0))))</f>
      </c>
      <c r="H8307">
        <f>IF(DATOS!$G8307&lt;&gt;"EX",0,--(COUNTIFS(nNIA,DATOS!$A8307,nCURSO,DATOS!$D8307,nESPEC,DATOS!$E8307,nASIG,DATOS!$I8307,nEVAL,"OR")=0))</f>
      </c>
      <c r="I8307">
        <f>IF(DATOS!$I8307="","",IFERROR(VLOOKUP(DATOS!$I8307,CONFIG_ASIGNATURAS!$B$2:$J$91,9,FALSE()),""))</f>
      </c>
    </row>
    <row r="8308">
      <c r="F8308">
        <f>IF(DATOS!$A8308="","",DATOS!$A8308&amp;"|"&amp;DATOS!$D8308&amp;"|"&amp;DATOS!$E8308&amp;"|"&amp;DATOS!$I8308)</f>
      </c>
      <c r="G8308">
        <f>IF(DATOS!$A8308="",0,IF(CONFIG_METADATA!$B$4&lt;&gt;"OR+EX",--(DATOS!$G8308=CONFIG_METADATA!$B$4),IF(DATOS!$G8308="EX",1,IF(DATOS!$G8308="OR",--(COUNTIFS(nNIA,DATOS!$A8308,nCURSO,DATOS!$D8308,nESPEC,DATOS!$E8308,nASIG,DATOS!$I8308,nEVAL,"EX")=0),0))))</f>
      </c>
      <c r="H8308">
        <f>IF(DATOS!$G8308&lt;&gt;"EX",0,--(COUNTIFS(nNIA,DATOS!$A8308,nCURSO,DATOS!$D8308,nESPEC,DATOS!$E8308,nASIG,DATOS!$I8308,nEVAL,"OR")=0))</f>
      </c>
      <c r="I8308">
        <f>IF(DATOS!$I8308="","",IFERROR(VLOOKUP(DATOS!$I8308,CONFIG_ASIGNATURAS!$B$2:$J$91,9,FALSE()),""))</f>
      </c>
    </row>
    <row r="8309">
      <c r="F8309">
        <f>IF(DATOS!$A8309="","",DATOS!$A8309&amp;"|"&amp;DATOS!$D8309&amp;"|"&amp;DATOS!$E8309&amp;"|"&amp;DATOS!$I8309)</f>
      </c>
      <c r="G8309">
        <f>IF(DATOS!$A8309="",0,IF(CONFIG_METADATA!$B$4&lt;&gt;"OR+EX",--(DATOS!$G8309=CONFIG_METADATA!$B$4),IF(DATOS!$G8309="EX",1,IF(DATOS!$G8309="OR",--(COUNTIFS(nNIA,DATOS!$A8309,nCURSO,DATOS!$D8309,nESPEC,DATOS!$E8309,nASIG,DATOS!$I8309,nEVAL,"EX")=0),0))))</f>
      </c>
      <c r="H8309">
        <f>IF(DATOS!$G8309&lt;&gt;"EX",0,--(COUNTIFS(nNIA,DATOS!$A8309,nCURSO,DATOS!$D8309,nESPEC,DATOS!$E8309,nASIG,DATOS!$I8309,nEVAL,"OR")=0))</f>
      </c>
      <c r="I8309">
        <f>IF(DATOS!$I8309="","",IFERROR(VLOOKUP(DATOS!$I8309,CONFIG_ASIGNATURAS!$B$2:$J$91,9,FALSE()),""))</f>
      </c>
    </row>
    <row r="8310">
      <c r="F8310">
        <f>IF(DATOS!$A8310="","",DATOS!$A8310&amp;"|"&amp;DATOS!$D8310&amp;"|"&amp;DATOS!$E8310&amp;"|"&amp;DATOS!$I8310)</f>
      </c>
      <c r="G8310">
        <f>IF(DATOS!$A8310="",0,IF(CONFIG_METADATA!$B$4&lt;&gt;"OR+EX",--(DATOS!$G8310=CONFIG_METADATA!$B$4),IF(DATOS!$G8310="EX",1,IF(DATOS!$G8310="OR",--(COUNTIFS(nNIA,DATOS!$A8310,nCURSO,DATOS!$D8310,nESPEC,DATOS!$E8310,nASIG,DATOS!$I8310,nEVAL,"EX")=0),0))))</f>
      </c>
      <c r="H8310">
        <f>IF(DATOS!$G8310&lt;&gt;"EX",0,--(COUNTIFS(nNIA,DATOS!$A8310,nCURSO,DATOS!$D8310,nESPEC,DATOS!$E8310,nASIG,DATOS!$I8310,nEVAL,"OR")=0))</f>
      </c>
      <c r="I8310">
        <f>IF(DATOS!$I8310="","",IFERROR(VLOOKUP(DATOS!$I8310,CONFIG_ASIGNATURAS!$B$2:$J$91,9,FALSE()),""))</f>
      </c>
    </row>
    <row r="8311">
      <c r="F8311">
        <f>IF(DATOS!$A8311="","",DATOS!$A8311&amp;"|"&amp;DATOS!$D8311&amp;"|"&amp;DATOS!$E8311&amp;"|"&amp;DATOS!$I8311)</f>
      </c>
      <c r="G8311">
        <f>IF(DATOS!$A8311="",0,IF(CONFIG_METADATA!$B$4&lt;&gt;"OR+EX",--(DATOS!$G8311=CONFIG_METADATA!$B$4),IF(DATOS!$G8311="EX",1,IF(DATOS!$G8311="OR",--(COUNTIFS(nNIA,DATOS!$A8311,nCURSO,DATOS!$D8311,nESPEC,DATOS!$E8311,nASIG,DATOS!$I8311,nEVAL,"EX")=0),0))))</f>
      </c>
      <c r="H8311">
        <f>IF(DATOS!$G8311&lt;&gt;"EX",0,--(COUNTIFS(nNIA,DATOS!$A8311,nCURSO,DATOS!$D8311,nESPEC,DATOS!$E8311,nASIG,DATOS!$I8311,nEVAL,"OR")=0))</f>
      </c>
      <c r="I8311">
        <f>IF(DATOS!$I8311="","",IFERROR(VLOOKUP(DATOS!$I8311,CONFIG_ASIGNATURAS!$B$2:$J$91,9,FALSE()),""))</f>
      </c>
    </row>
    <row r="8312">
      <c r="F8312">
        <f>IF(DATOS!$A8312="","",DATOS!$A8312&amp;"|"&amp;DATOS!$D8312&amp;"|"&amp;DATOS!$E8312&amp;"|"&amp;DATOS!$I8312)</f>
      </c>
      <c r="G8312">
        <f>IF(DATOS!$A8312="",0,IF(CONFIG_METADATA!$B$4&lt;&gt;"OR+EX",--(DATOS!$G8312=CONFIG_METADATA!$B$4),IF(DATOS!$G8312="EX",1,IF(DATOS!$G8312="OR",--(COUNTIFS(nNIA,DATOS!$A8312,nCURSO,DATOS!$D8312,nESPEC,DATOS!$E8312,nASIG,DATOS!$I8312,nEVAL,"EX")=0),0))))</f>
      </c>
      <c r="H8312">
        <f>IF(DATOS!$G8312&lt;&gt;"EX",0,--(COUNTIFS(nNIA,DATOS!$A8312,nCURSO,DATOS!$D8312,nESPEC,DATOS!$E8312,nASIG,DATOS!$I8312,nEVAL,"OR")=0))</f>
      </c>
      <c r="I8312">
        <f>IF(DATOS!$I8312="","",IFERROR(VLOOKUP(DATOS!$I8312,CONFIG_ASIGNATURAS!$B$2:$J$91,9,FALSE()),""))</f>
      </c>
    </row>
    <row r="8313">
      <c r="F8313">
        <f>IF(DATOS!$A8313="","",DATOS!$A8313&amp;"|"&amp;DATOS!$D8313&amp;"|"&amp;DATOS!$E8313&amp;"|"&amp;DATOS!$I8313)</f>
      </c>
      <c r="G8313">
        <f>IF(DATOS!$A8313="",0,IF(CONFIG_METADATA!$B$4&lt;&gt;"OR+EX",--(DATOS!$G8313=CONFIG_METADATA!$B$4),IF(DATOS!$G8313="EX",1,IF(DATOS!$G8313="OR",--(COUNTIFS(nNIA,DATOS!$A8313,nCURSO,DATOS!$D8313,nESPEC,DATOS!$E8313,nASIG,DATOS!$I8313,nEVAL,"EX")=0),0))))</f>
      </c>
      <c r="H8313">
        <f>IF(DATOS!$G8313&lt;&gt;"EX",0,--(COUNTIFS(nNIA,DATOS!$A8313,nCURSO,DATOS!$D8313,nESPEC,DATOS!$E8313,nASIG,DATOS!$I8313,nEVAL,"OR")=0))</f>
      </c>
      <c r="I8313">
        <f>IF(DATOS!$I8313="","",IFERROR(VLOOKUP(DATOS!$I8313,CONFIG_ASIGNATURAS!$B$2:$J$91,9,FALSE()),""))</f>
      </c>
    </row>
    <row r="8314">
      <c r="F8314">
        <f>IF(DATOS!$A8314="","",DATOS!$A8314&amp;"|"&amp;DATOS!$D8314&amp;"|"&amp;DATOS!$E8314&amp;"|"&amp;DATOS!$I8314)</f>
      </c>
      <c r="G8314">
        <f>IF(DATOS!$A8314="",0,IF(CONFIG_METADATA!$B$4&lt;&gt;"OR+EX",--(DATOS!$G8314=CONFIG_METADATA!$B$4),IF(DATOS!$G8314="EX",1,IF(DATOS!$G8314="OR",--(COUNTIFS(nNIA,DATOS!$A8314,nCURSO,DATOS!$D8314,nESPEC,DATOS!$E8314,nASIG,DATOS!$I8314,nEVAL,"EX")=0),0))))</f>
      </c>
      <c r="H8314">
        <f>IF(DATOS!$G8314&lt;&gt;"EX",0,--(COUNTIFS(nNIA,DATOS!$A8314,nCURSO,DATOS!$D8314,nESPEC,DATOS!$E8314,nASIG,DATOS!$I8314,nEVAL,"OR")=0))</f>
      </c>
      <c r="I8314">
        <f>IF(DATOS!$I8314="","",IFERROR(VLOOKUP(DATOS!$I8314,CONFIG_ASIGNATURAS!$B$2:$J$91,9,FALSE()),""))</f>
      </c>
    </row>
    <row r="8315">
      <c r="F8315">
        <f>IF(DATOS!$A8315="","",DATOS!$A8315&amp;"|"&amp;DATOS!$D8315&amp;"|"&amp;DATOS!$E8315&amp;"|"&amp;DATOS!$I8315)</f>
      </c>
      <c r="G8315">
        <f>IF(DATOS!$A8315="",0,IF(CONFIG_METADATA!$B$4&lt;&gt;"OR+EX",--(DATOS!$G8315=CONFIG_METADATA!$B$4),IF(DATOS!$G8315="EX",1,IF(DATOS!$G8315="OR",--(COUNTIFS(nNIA,DATOS!$A8315,nCURSO,DATOS!$D8315,nESPEC,DATOS!$E8315,nASIG,DATOS!$I8315,nEVAL,"EX")=0),0))))</f>
      </c>
      <c r="H8315">
        <f>IF(DATOS!$G8315&lt;&gt;"EX",0,--(COUNTIFS(nNIA,DATOS!$A8315,nCURSO,DATOS!$D8315,nESPEC,DATOS!$E8315,nASIG,DATOS!$I8315,nEVAL,"OR")=0))</f>
      </c>
      <c r="I8315">
        <f>IF(DATOS!$I8315="","",IFERROR(VLOOKUP(DATOS!$I8315,CONFIG_ASIGNATURAS!$B$2:$J$91,9,FALSE()),""))</f>
      </c>
    </row>
    <row r="8316">
      <c r="F8316">
        <f>IF(DATOS!$A8316="","",DATOS!$A8316&amp;"|"&amp;DATOS!$D8316&amp;"|"&amp;DATOS!$E8316&amp;"|"&amp;DATOS!$I8316)</f>
      </c>
      <c r="G8316">
        <f>IF(DATOS!$A8316="",0,IF(CONFIG_METADATA!$B$4&lt;&gt;"OR+EX",--(DATOS!$G8316=CONFIG_METADATA!$B$4),IF(DATOS!$G8316="EX",1,IF(DATOS!$G8316="OR",--(COUNTIFS(nNIA,DATOS!$A8316,nCURSO,DATOS!$D8316,nESPEC,DATOS!$E8316,nASIG,DATOS!$I8316,nEVAL,"EX")=0),0))))</f>
      </c>
      <c r="H8316">
        <f>IF(DATOS!$G8316&lt;&gt;"EX",0,--(COUNTIFS(nNIA,DATOS!$A8316,nCURSO,DATOS!$D8316,nESPEC,DATOS!$E8316,nASIG,DATOS!$I8316,nEVAL,"OR")=0))</f>
      </c>
      <c r="I8316">
        <f>IF(DATOS!$I8316="","",IFERROR(VLOOKUP(DATOS!$I8316,CONFIG_ASIGNATURAS!$B$2:$J$91,9,FALSE()),""))</f>
      </c>
    </row>
    <row r="8317">
      <c r="F8317">
        <f>IF(DATOS!$A8317="","",DATOS!$A8317&amp;"|"&amp;DATOS!$D8317&amp;"|"&amp;DATOS!$E8317&amp;"|"&amp;DATOS!$I8317)</f>
      </c>
      <c r="G8317">
        <f>IF(DATOS!$A8317="",0,IF(CONFIG_METADATA!$B$4&lt;&gt;"OR+EX",--(DATOS!$G8317=CONFIG_METADATA!$B$4),IF(DATOS!$G8317="EX",1,IF(DATOS!$G8317="OR",--(COUNTIFS(nNIA,DATOS!$A8317,nCURSO,DATOS!$D8317,nESPEC,DATOS!$E8317,nASIG,DATOS!$I8317,nEVAL,"EX")=0),0))))</f>
      </c>
      <c r="H8317">
        <f>IF(DATOS!$G8317&lt;&gt;"EX",0,--(COUNTIFS(nNIA,DATOS!$A8317,nCURSO,DATOS!$D8317,nESPEC,DATOS!$E8317,nASIG,DATOS!$I8317,nEVAL,"OR")=0))</f>
      </c>
      <c r="I8317">
        <f>IF(DATOS!$I8317="","",IFERROR(VLOOKUP(DATOS!$I8317,CONFIG_ASIGNATURAS!$B$2:$J$91,9,FALSE()),""))</f>
      </c>
    </row>
    <row r="8318">
      <c r="F8318">
        <f>IF(DATOS!$A8318="","",DATOS!$A8318&amp;"|"&amp;DATOS!$D8318&amp;"|"&amp;DATOS!$E8318&amp;"|"&amp;DATOS!$I8318)</f>
      </c>
      <c r="G8318">
        <f>IF(DATOS!$A8318="",0,IF(CONFIG_METADATA!$B$4&lt;&gt;"OR+EX",--(DATOS!$G8318=CONFIG_METADATA!$B$4),IF(DATOS!$G8318="EX",1,IF(DATOS!$G8318="OR",--(COUNTIFS(nNIA,DATOS!$A8318,nCURSO,DATOS!$D8318,nESPEC,DATOS!$E8318,nASIG,DATOS!$I8318,nEVAL,"EX")=0),0))))</f>
      </c>
      <c r="H8318">
        <f>IF(DATOS!$G8318&lt;&gt;"EX",0,--(COUNTIFS(nNIA,DATOS!$A8318,nCURSO,DATOS!$D8318,nESPEC,DATOS!$E8318,nASIG,DATOS!$I8318,nEVAL,"OR")=0))</f>
      </c>
      <c r="I8318">
        <f>IF(DATOS!$I8318="","",IFERROR(VLOOKUP(DATOS!$I8318,CONFIG_ASIGNATURAS!$B$2:$J$91,9,FALSE()),""))</f>
      </c>
    </row>
    <row r="8319">
      <c r="F8319">
        <f>IF(DATOS!$A8319="","",DATOS!$A8319&amp;"|"&amp;DATOS!$D8319&amp;"|"&amp;DATOS!$E8319&amp;"|"&amp;DATOS!$I8319)</f>
      </c>
      <c r="G8319">
        <f>IF(DATOS!$A8319="",0,IF(CONFIG_METADATA!$B$4&lt;&gt;"OR+EX",--(DATOS!$G8319=CONFIG_METADATA!$B$4),IF(DATOS!$G8319="EX",1,IF(DATOS!$G8319="OR",--(COUNTIFS(nNIA,DATOS!$A8319,nCURSO,DATOS!$D8319,nESPEC,DATOS!$E8319,nASIG,DATOS!$I8319,nEVAL,"EX")=0),0))))</f>
      </c>
      <c r="H8319">
        <f>IF(DATOS!$G8319&lt;&gt;"EX",0,--(COUNTIFS(nNIA,DATOS!$A8319,nCURSO,DATOS!$D8319,nESPEC,DATOS!$E8319,nASIG,DATOS!$I8319,nEVAL,"OR")=0))</f>
      </c>
      <c r="I8319">
        <f>IF(DATOS!$I8319="","",IFERROR(VLOOKUP(DATOS!$I8319,CONFIG_ASIGNATURAS!$B$2:$J$91,9,FALSE()),""))</f>
      </c>
    </row>
    <row r="8320">
      <c r="F8320">
        <f>IF(DATOS!$A8320="","",DATOS!$A8320&amp;"|"&amp;DATOS!$D8320&amp;"|"&amp;DATOS!$E8320&amp;"|"&amp;DATOS!$I8320)</f>
      </c>
      <c r="G8320">
        <f>IF(DATOS!$A8320="",0,IF(CONFIG_METADATA!$B$4&lt;&gt;"OR+EX",--(DATOS!$G8320=CONFIG_METADATA!$B$4),IF(DATOS!$G8320="EX",1,IF(DATOS!$G8320="OR",--(COUNTIFS(nNIA,DATOS!$A8320,nCURSO,DATOS!$D8320,nESPEC,DATOS!$E8320,nASIG,DATOS!$I8320,nEVAL,"EX")=0),0))))</f>
      </c>
      <c r="H8320">
        <f>IF(DATOS!$G8320&lt;&gt;"EX",0,--(COUNTIFS(nNIA,DATOS!$A8320,nCURSO,DATOS!$D8320,nESPEC,DATOS!$E8320,nASIG,DATOS!$I8320,nEVAL,"OR")=0))</f>
      </c>
      <c r="I8320">
        <f>IF(DATOS!$I8320="","",IFERROR(VLOOKUP(DATOS!$I8320,CONFIG_ASIGNATURAS!$B$2:$J$91,9,FALSE()),""))</f>
      </c>
    </row>
    <row r="8321">
      <c r="F8321">
        <f>IF(DATOS!$A8321="","",DATOS!$A8321&amp;"|"&amp;DATOS!$D8321&amp;"|"&amp;DATOS!$E8321&amp;"|"&amp;DATOS!$I8321)</f>
      </c>
      <c r="G8321">
        <f>IF(DATOS!$A8321="",0,IF(CONFIG_METADATA!$B$4&lt;&gt;"OR+EX",--(DATOS!$G8321=CONFIG_METADATA!$B$4),IF(DATOS!$G8321="EX",1,IF(DATOS!$G8321="OR",--(COUNTIFS(nNIA,DATOS!$A8321,nCURSO,DATOS!$D8321,nESPEC,DATOS!$E8321,nASIG,DATOS!$I8321,nEVAL,"EX")=0),0))))</f>
      </c>
      <c r="H8321">
        <f>IF(DATOS!$G8321&lt;&gt;"EX",0,--(COUNTIFS(nNIA,DATOS!$A8321,nCURSO,DATOS!$D8321,nESPEC,DATOS!$E8321,nASIG,DATOS!$I8321,nEVAL,"OR")=0))</f>
      </c>
      <c r="I8321">
        <f>IF(DATOS!$I8321="","",IFERROR(VLOOKUP(DATOS!$I8321,CONFIG_ASIGNATURAS!$B$2:$J$91,9,FALSE()),""))</f>
      </c>
    </row>
    <row r="8322">
      <c r="F8322">
        <f>IF(DATOS!$A8322="","",DATOS!$A8322&amp;"|"&amp;DATOS!$D8322&amp;"|"&amp;DATOS!$E8322&amp;"|"&amp;DATOS!$I8322)</f>
      </c>
      <c r="G8322">
        <f>IF(DATOS!$A8322="",0,IF(CONFIG_METADATA!$B$4&lt;&gt;"OR+EX",--(DATOS!$G8322=CONFIG_METADATA!$B$4),IF(DATOS!$G8322="EX",1,IF(DATOS!$G8322="OR",--(COUNTIFS(nNIA,DATOS!$A8322,nCURSO,DATOS!$D8322,nESPEC,DATOS!$E8322,nASIG,DATOS!$I8322,nEVAL,"EX")=0),0))))</f>
      </c>
      <c r="H8322">
        <f>IF(DATOS!$G8322&lt;&gt;"EX",0,--(COUNTIFS(nNIA,DATOS!$A8322,nCURSO,DATOS!$D8322,nESPEC,DATOS!$E8322,nASIG,DATOS!$I8322,nEVAL,"OR")=0))</f>
      </c>
      <c r="I8322">
        <f>IF(DATOS!$I8322="","",IFERROR(VLOOKUP(DATOS!$I8322,CONFIG_ASIGNATURAS!$B$2:$J$91,9,FALSE()),""))</f>
      </c>
    </row>
    <row r="8323">
      <c r="F8323">
        <f>IF(DATOS!$A8323="","",DATOS!$A8323&amp;"|"&amp;DATOS!$D8323&amp;"|"&amp;DATOS!$E8323&amp;"|"&amp;DATOS!$I8323)</f>
      </c>
      <c r="G8323">
        <f>IF(DATOS!$A8323="",0,IF(CONFIG_METADATA!$B$4&lt;&gt;"OR+EX",--(DATOS!$G8323=CONFIG_METADATA!$B$4),IF(DATOS!$G8323="EX",1,IF(DATOS!$G8323="OR",--(COUNTIFS(nNIA,DATOS!$A8323,nCURSO,DATOS!$D8323,nESPEC,DATOS!$E8323,nASIG,DATOS!$I8323,nEVAL,"EX")=0),0))))</f>
      </c>
      <c r="H8323">
        <f>IF(DATOS!$G8323&lt;&gt;"EX",0,--(COUNTIFS(nNIA,DATOS!$A8323,nCURSO,DATOS!$D8323,nESPEC,DATOS!$E8323,nASIG,DATOS!$I8323,nEVAL,"OR")=0))</f>
      </c>
      <c r="I8323">
        <f>IF(DATOS!$I8323="","",IFERROR(VLOOKUP(DATOS!$I8323,CONFIG_ASIGNATURAS!$B$2:$J$91,9,FALSE()),""))</f>
      </c>
    </row>
    <row r="8324">
      <c r="F8324">
        <f>IF(DATOS!$A8324="","",DATOS!$A8324&amp;"|"&amp;DATOS!$D8324&amp;"|"&amp;DATOS!$E8324&amp;"|"&amp;DATOS!$I8324)</f>
      </c>
      <c r="G8324">
        <f>IF(DATOS!$A8324="",0,IF(CONFIG_METADATA!$B$4&lt;&gt;"OR+EX",--(DATOS!$G8324=CONFIG_METADATA!$B$4),IF(DATOS!$G8324="EX",1,IF(DATOS!$G8324="OR",--(COUNTIFS(nNIA,DATOS!$A8324,nCURSO,DATOS!$D8324,nESPEC,DATOS!$E8324,nASIG,DATOS!$I8324,nEVAL,"EX")=0),0))))</f>
      </c>
      <c r="H8324">
        <f>IF(DATOS!$G8324&lt;&gt;"EX",0,--(COUNTIFS(nNIA,DATOS!$A8324,nCURSO,DATOS!$D8324,nESPEC,DATOS!$E8324,nASIG,DATOS!$I8324,nEVAL,"OR")=0))</f>
      </c>
      <c r="I8324">
        <f>IF(DATOS!$I8324="","",IFERROR(VLOOKUP(DATOS!$I8324,CONFIG_ASIGNATURAS!$B$2:$J$91,9,FALSE()),""))</f>
      </c>
    </row>
    <row r="8325">
      <c r="F8325">
        <f>IF(DATOS!$A8325="","",DATOS!$A8325&amp;"|"&amp;DATOS!$D8325&amp;"|"&amp;DATOS!$E8325&amp;"|"&amp;DATOS!$I8325)</f>
      </c>
      <c r="G8325">
        <f>IF(DATOS!$A8325="",0,IF(CONFIG_METADATA!$B$4&lt;&gt;"OR+EX",--(DATOS!$G8325=CONFIG_METADATA!$B$4),IF(DATOS!$G8325="EX",1,IF(DATOS!$G8325="OR",--(COUNTIFS(nNIA,DATOS!$A8325,nCURSO,DATOS!$D8325,nESPEC,DATOS!$E8325,nASIG,DATOS!$I8325,nEVAL,"EX")=0),0))))</f>
      </c>
      <c r="H8325">
        <f>IF(DATOS!$G8325&lt;&gt;"EX",0,--(COUNTIFS(nNIA,DATOS!$A8325,nCURSO,DATOS!$D8325,nESPEC,DATOS!$E8325,nASIG,DATOS!$I8325,nEVAL,"OR")=0))</f>
      </c>
      <c r="I8325">
        <f>IF(DATOS!$I8325="","",IFERROR(VLOOKUP(DATOS!$I8325,CONFIG_ASIGNATURAS!$B$2:$J$91,9,FALSE()),""))</f>
      </c>
    </row>
    <row r="8326">
      <c r="F8326">
        <f>IF(DATOS!$A8326="","",DATOS!$A8326&amp;"|"&amp;DATOS!$D8326&amp;"|"&amp;DATOS!$E8326&amp;"|"&amp;DATOS!$I8326)</f>
      </c>
      <c r="G8326">
        <f>IF(DATOS!$A8326="",0,IF(CONFIG_METADATA!$B$4&lt;&gt;"OR+EX",--(DATOS!$G8326=CONFIG_METADATA!$B$4),IF(DATOS!$G8326="EX",1,IF(DATOS!$G8326="OR",--(COUNTIFS(nNIA,DATOS!$A8326,nCURSO,DATOS!$D8326,nESPEC,DATOS!$E8326,nASIG,DATOS!$I8326,nEVAL,"EX")=0),0))))</f>
      </c>
      <c r="H8326">
        <f>IF(DATOS!$G8326&lt;&gt;"EX",0,--(COUNTIFS(nNIA,DATOS!$A8326,nCURSO,DATOS!$D8326,nESPEC,DATOS!$E8326,nASIG,DATOS!$I8326,nEVAL,"OR")=0))</f>
      </c>
      <c r="I8326">
        <f>IF(DATOS!$I8326="","",IFERROR(VLOOKUP(DATOS!$I8326,CONFIG_ASIGNATURAS!$B$2:$J$91,9,FALSE()),""))</f>
      </c>
    </row>
    <row r="8327">
      <c r="F8327">
        <f>IF(DATOS!$A8327="","",DATOS!$A8327&amp;"|"&amp;DATOS!$D8327&amp;"|"&amp;DATOS!$E8327&amp;"|"&amp;DATOS!$I8327)</f>
      </c>
      <c r="G8327">
        <f>IF(DATOS!$A8327="",0,IF(CONFIG_METADATA!$B$4&lt;&gt;"OR+EX",--(DATOS!$G8327=CONFIG_METADATA!$B$4),IF(DATOS!$G8327="EX",1,IF(DATOS!$G8327="OR",--(COUNTIFS(nNIA,DATOS!$A8327,nCURSO,DATOS!$D8327,nESPEC,DATOS!$E8327,nASIG,DATOS!$I8327,nEVAL,"EX")=0),0))))</f>
      </c>
      <c r="H8327">
        <f>IF(DATOS!$G8327&lt;&gt;"EX",0,--(COUNTIFS(nNIA,DATOS!$A8327,nCURSO,DATOS!$D8327,nESPEC,DATOS!$E8327,nASIG,DATOS!$I8327,nEVAL,"OR")=0))</f>
      </c>
      <c r="I8327">
        <f>IF(DATOS!$I8327="","",IFERROR(VLOOKUP(DATOS!$I8327,CONFIG_ASIGNATURAS!$B$2:$J$91,9,FALSE()),""))</f>
      </c>
    </row>
    <row r="8328">
      <c r="F8328">
        <f>IF(DATOS!$A8328="","",DATOS!$A8328&amp;"|"&amp;DATOS!$D8328&amp;"|"&amp;DATOS!$E8328&amp;"|"&amp;DATOS!$I8328)</f>
      </c>
      <c r="G8328">
        <f>IF(DATOS!$A8328="",0,IF(CONFIG_METADATA!$B$4&lt;&gt;"OR+EX",--(DATOS!$G8328=CONFIG_METADATA!$B$4),IF(DATOS!$G8328="EX",1,IF(DATOS!$G8328="OR",--(COUNTIFS(nNIA,DATOS!$A8328,nCURSO,DATOS!$D8328,nESPEC,DATOS!$E8328,nASIG,DATOS!$I8328,nEVAL,"EX")=0),0))))</f>
      </c>
      <c r="H8328">
        <f>IF(DATOS!$G8328&lt;&gt;"EX",0,--(COUNTIFS(nNIA,DATOS!$A8328,nCURSO,DATOS!$D8328,nESPEC,DATOS!$E8328,nASIG,DATOS!$I8328,nEVAL,"OR")=0))</f>
      </c>
      <c r="I8328">
        <f>IF(DATOS!$I8328="","",IFERROR(VLOOKUP(DATOS!$I8328,CONFIG_ASIGNATURAS!$B$2:$J$91,9,FALSE()),""))</f>
      </c>
    </row>
    <row r="8329">
      <c r="F8329">
        <f>IF(DATOS!$A8329="","",DATOS!$A8329&amp;"|"&amp;DATOS!$D8329&amp;"|"&amp;DATOS!$E8329&amp;"|"&amp;DATOS!$I8329)</f>
      </c>
      <c r="G8329">
        <f>IF(DATOS!$A8329="",0,IF(CONFIG_METADATA!$B$4&lt;&gt;"OR+EX",--(DATOS!$G8329=CONFIG_METADATA!$B$4),IF(DATOS!$G8329="EX",1,IF(DATOS!$G8329="OR",--(COUNTIFS(nNIA,DATOS!$A8329,nCURSO,DATOS!$D8329,nESPEC,DATOS!$E8329,nASIG,DATOS!$I8329,nEVAL,"EX")=0),0))))</f>
      </c>
      <c r="H8329">
        <f>IF(DATOS!$G8329&lt;&gt;"EX",0,--(COUNTIFS(nNIA,DATOS!$A8329,nCURSO,DATOS!$D8329,nESPEC,DATOS!$E8329,nASIG,DATOS!$I8329,nEVAL,"OR")=0))</f>
      </c>
      <c r="I8329">
        <f>IF(DATOS!$I8329="","",IFERROR(VLOOKUP(DATOS!$I8329,CONFIG_ASIGNATURAS!$B$2:$J$91,9,FALSE()),""))</f>
      </c>
    </row>
    <row r="8330">
      <c r="F8330">
        <f>IF(DATOS!$A8330="","",DATOS!$A8330&amp;"|"&amp;DATOS!$D8330&amp;"|"&amp;DATOS!$E8330&amp;"|"&amp;DATOS!$I8330)</f>
      </c>
      <c r="G8330">
        <f>IF(DATOS!$A8330="",0,IF(CONFIG_METADATA!$B$4&lt;&gt;"OR+EX",--(DATOS!$G8330=CONFIG_METADATA!$B$4),IF(DATOS!$G8330="EX",1,IF(DATOS!$G8330="OR",--(COUNTIFS(nNIA,DATOS!$A8330,nCURSO,DATOS!$D8330,nESPEC,DATOS!$E8330,nASIG,DATOS!$I8330,nEVAL,"EX")=0),0))))</f>
      </c>
      <c r="H8330">
        <f>IF(DATOS!$G8330&lt;&gt;"EX",0,--(COUNTIFS(nNIA,DATOS!$A8330,nCURSO,DATOS!$D8330,nESPEC,DATOS!$E8330,nASIG,DATOS!$I8330,nEVAL,"OR")=0))</f>
      </c>
      <c r="I8330">
        <f>IF(DATOS!$I8330="","",IFERROR(VLOOKUP(DATOS!$I8330,CONFIG_ASIGNATURAS!$B$2:$J$91,9,FALSE()),""))</f>
      </c>
    </row>
    <row r="8331">
      <c r="F8331">
        <f>IF(DATOS!$A8331="","",DATOS!$A8331&amp;"|"&amp;DATOS!$D8331&amp;"|"&amp;DATOS!$E8331&amp;"|"&amp;DATOS!$I8331)</f>
      </c>
      <c r="G8331">
        <f>IF(DATOS!$A8331="",0,IF(CONFIG_METADATA!$B$4&lt;&gt;"OR+EX",--(DATOS!$G8331=CONFIG_METADATA!$B$4),IF(DATOS!$G8331="EX",1,IF(DATOS!$G8331="OR",--(COUNTIFS(nNIA,DATOS!$A8331,nCURSO,DATOS!$D8331,nESPEC,DATOS!$E8331,nASIG,DATOS!$I8331,nEVAL,"EX")=0),0))))</f>
      </c>
      <c r="H8331">
        <f>IF(DATOS!$G8331&lt;&gt;"EX",0,--(COUNTIFS(nNIA,DATOS!$A8331,nCURSO,DATOS!$D8331,nESPEC,DATOS!$E8331,nASIG,DATOS!$I8331,nEVAL,"OR")=0))</f>
      </c>
      <c r="I8331">
        <f>IF(DATOS!$I8331="","",IFERROR(VLOOKUP(DATOS!$I8331,CONFIG_ASIGNATURAS!$B$2:$J$91,9,FALSE()),""))</f>
      </c>
    </row>
    <row r="8332">
      <c r="F8332">
        <f>IF(DATOS!$A8332="","",DATOS!$A8332&amp;"|"&amp;DATOS!$D8332&amp;"|"&amp;DATOS!$E8332&amp;"|"&amp;DATOS!$I8332)</f>
      </c>
      <c r="G8332">
        <f>IF(DATOS!$A8332="",0,IF(CONFIG_METADATA!$B$4&lt;&gt;"OR+EX",--(DATOS!$G8332=CONFIG_METADATA!$B$4),IF(DATOS!$G8332="EX",1,IF(DATOS!$G8332="OR",--(COUNTIFS(nNIA,DATOS!$A8332,nCURSO,DATOS!$D8332,nESPEC,DATOS!$E8332,nASIG,DATOS!$I8332,nEVAL,"EX")=0),0))))</f>
      </c>
      <c r="H8332">
        <f>IF(DATOS!$G8332&lt;&gt;"EX",0,--(COUNTIFS(nNIA,DATOS!$A8332,nCURSO,DATOS!$D8332,nESPEC,DATOS!$E8332,nASIG,DATOS!$I8332,nEVAL,"OR")=0))</f>
      </c>
      <c r="I8332">
        <f>IF(DATOS!$I8332="","",IFERROR(VLOOKUP(DATOS!$I8332,CONFIG_ASIGNATURAS!$B$2:$J$91,9,FALSE()),""))</f>
      </c>
    </row>
    <row r="8333">
      <c r="F8333">
        <f>IF(DATOS!$A8333="","",DATOS!$A8333&amp;"|"&amp;DATOS!$D8333&amp;"|"&amp;DATOS!$E8333&amp;"|"&amp;DATOS!$I8333)</f>
      </c>
      <c r="G8333">
        <f>IF(DATOS!$A8333="",0,IF(CONFIG_METADATA!$B$4&lt;&gt;"OR+EX",--(DATOS!$G8333=CONFIG_METADATA!$B$4),IF(DATOS!$G8333="EX",1,IF(DATOS!$G8333="OR",--(COUNTIFS(nNIA,DATOS!$A8333,nCURSO,DATOS!$D8333,nESPEC,DATOS!$E8333,nASIG,DATOS!$I8333,nEVAL,"EX")=0),0))))</f>
      </c>
      <c r="H8333">
        <f>IF(DATOS!$G8333&lt;&gt;"EX",0,--(COUNTIFS(nNIA,DATOS!$A8333,nCURSO,DATOS!$D8333,nESPEC,DATOS!$E8333,nASIG,DATOS!$I8333,nEVAL,"OR")=0))</f>
      </c>
      <c r="I8333">
        <f>IF(DATOS!$I8333="","",IFERROR(VLOOKUP(DATOS!$I8333,CONFIG_ASIGNATURAS!$B$2:$J$91,9,FALSE()),""))</f>
      </c>
    </row>
    <row r="8334">
      <c r="F8334">
        <f>IF(DATOS!$A8334="","",DATOS!$A8334&amp;"|"&amp;DATOS!$D8334&amp;"|"&amp;DATOS!$E8334&amp;"|"&amp;DATOS!$I8334)</f>
      </c>
      <c r="G8334">
        <f>IF(DATOS!$A8334="",0,IF(CONFIG_METADATA!$B$4&lt;&gt;"OR+EX",--(DATOS!$G8334=CONFIG_METADATA!$B$4),IF(DATOS!$G8334="EX",1,IF(DATOS!$G8334="OR",--(COUNTIFS(nNIA,DATOS!$A8334,nCURSO,DATOS!$D8334,nESPEC,DATOS!$E8334,nASIG,DATOS!$I8334,nEVAL,"EX")=0),0))))</f>
      </c>
      <c r="H8334">
        <f>IF(DATOS!$G8334&lt;&gt;"EX",0,--(COUNTIFS(nNIA,DATOS!$A8334,nCURSO,DATOS!$D8334,nESPEC,DATOS!$E8334,nASIG,DATOS!$I8334,nEVAL,"OR")=0))</f>
      </c>
      <c r="I8334">
        <f>IF(DATOS!$I8334="","",IFERROR(VLOOKUP(DATOS!$I8334,CONFIG_ASIGNATURAS!$B$2:$J$91,9,FALSE()),""))</f>
      </c>
    </row>
    <row r="8335">
      <c r="F8335">
        <f>IF(DATOS!$A8335="","",DATOS!$A8335&amp;"|"&amp;DATOS!$D8335&amp;"|"&amp;DATOS!$E8335&amp;"|"&amp;DATOS!$I8335)</f>
      </c>
      <c r="G8335">
        <f>IF(DATOS!$A8335="",0,IF(CONFIG_METADATA!$B$4&lt;&gt;"OR+EX",--(DATOS!$G8335=CONFIG_METADATA!$B$4),IF(DATOS!$G8335="EX",1,IF(DATOS!$G8335="OR",--(COUNTIFS(nNIA,DATOS!$A8335,nCURSO,DATOS!$D8335,nESPEC,DATOS!$E8335,nASIG,DATOS!$I8335,nEVAL,"EX")=0),0))))</f>
      </c>
      <c r="H8335">
        <f>IF(DATOS!$G8335&lt;&gt;"EX",0,--(COUNTIFS(nNIA,DATOS!$A8335,nCURSO,DATOS!$D8335,nESPEC,DATOS!$E8335,nASIG,DATOS!$I8335,nEVAL,"OR")=0))</f>
      </c>
      <c r="I8335">
        <f>IF(DATOS!$I8335="","",IFERROR(VLOOKUP(DATOS!$I8335,CONFIG_ASIGNATURAS!$B$2:$J$91,9,FALSE()),""))</f>
      </c>
    </row>
    <row r="8336">
      <c r="F8336">
        <f>IF(DATOS!$A8336="","",DATOS!$A8336&amp;"|"&amp;DATOS!$D8336&amp;"|"&amp;DATOS!$E8336&amp;"|"&amp;DATOS!$I8336)</f>
      </c>
      <c r="G8336">
        <f>IF(DATOS!$A8336="",0,IF(CONFIG_METADATA!$B$4&lt;&gt;"OR+EX",--(DATOS!$G8336=CONFIG_METADATA!$B$4),IF(DATOS!$G8336="EX",1,IF(DATOS!$G8336="OR",--(COUNTIFS(nNIA,DATOS!$A8336,nCURSO,DATOS!$D8336,nESPEC,DATOS!$E8336,nASIG,DATOS!$I8336,nEVAL,"EX")=0),0))))</f>
      </c>
      <c r="H8336">
        <f>IF(DATOS!$G8336&lt;&gt;"EX",0,--(COUNTIFS(nNIA,DATOS!$A8336,nCURSO,DATOS!$D8336,nESPEC,DATOS!$E8336,nASIG,DATOS!$I8336,nEVAL,"OR")=0))</f>
      </c>
      <c r="I8336">
        <f>IF(DATOS!$I8336="","",IFERROR(VLOOKUP(DATOS!$I8336,CONFIG_ASIGNATURAS!$B$2:$J$91,9,FALSE()),""))</f>
      </c>
    </row>
    <row r="8337">
      <c r="F8337">
        <f>IF(DATOS!$A8337="","",DATOS!$A8337&amp;"|"&amp;DATOS!$D8337&amp;"|"&amp;DATOS!$E8337&amp;"|"&amp;DATOS!$I8337)</f>
      </c>
      <c r="G8337">
        <f>IF(DATOS!$A8337="",0,IF(CONFIG_METADATA!$B$4&lt;&gt;"OR+EX",--(DATOS!$G8337=CONFIG_METADATA!$B$4),IF(DATOS!$G8337="EX",1,IF(DATOS!$G8337="OR",--(COUNTIFS(nNIA,DATOS!$A8337,nCURSO,DATOS!$D8337,nESPEC,DATOS!$E8337,nASIG,DATOS!$I8337,nEVAL,"EX")=0),0))))</f>
      </c>
      <c r="H8337">
        <f>IF(DATOS!$G8337&lt;&gt;"EX",0,--(COUNTIFS(nNIA,DATOS!$A8337,nCURSO,DATOS!$D8337,nESPEC,DATOS!$E8337,nASIG,DATOS!$I8337,nEVAL,"OR")=0))</f>
      </c>
      <c r="I8337">
        <f>IF(DATOS!$I8337="","",IFERROR(VLOOKUP(DATOS!$I8337,CONFIG_ASIGNATURAS!$B$2:$J$91,9,FALSE()),""))</f>
      </c>
    </row>
    <row r="8338">
      <c r="F8338">
        <f>IF(DATOS!$A8338="","",DATOS!$A8338&amp;"|"&amp;DATOS!$D8338&amp;"|"&amp;DATOS!$E8338&amp;"|"&amp;DATOS!$I8338)</f>
      </c>
      <c r="G8338">
        <f>IF(DATOS!$A8338="",0,IF(CONFIG_METADATA!$B$4&lt;&gt;"OR+EX",--(DATOS!$G8338=CONFIG_METADATA!$B$4),IF(DATOS!$G8338="EX",1,IF(DATOS!$G8338="OR",--(COUNTIFS(nNIA,DATOS!$A8338,nCURSO,DATOS!$D8338,nESPEC,DATOS!$E8338,nASIG,DATOS!$I8338,nEVAL,"EX")=0),0))))</f>
      </c>
      <c r="H8338">
        <f>IF(DATOS!$G8338&lt;&gt;"EX",0,--(COUNTIFS(nNIA,DATOS!$A8338,nCURSO,DATOS!$D8338,nESPEC,DATOS!$E8338,nASIG,DATOS!$I8338,nEVAL,"OR")=0))</f>
      </c>
      <c r="I8338">
        <f>IF(DATOS!$I8338="","",IFERROR(VLOOKUP(DATOS!$I8338,CONFIG_ASIGNATURAS!$B$2:$J$91,9,FALSE()),""))</f>
      </c>
    </row>
    <row r="8339">
      <c r="F8339">
        <f>IF(DATOS!$A8339="","",DATOS!$A8339&amp;"|"&amp;DATOS!$D8339&amp;"|"&amp;DATOS!$E8339&amp;"|"&amp;DATOS!$I8339)</f>
      </c>
      <c r="G8339">
        <f>IF(DATOS!$A8339="",0,IF(CONFIG_METADATA!$B$4&lt;&gt;"OR+EX",--(DATOS!$G8339=CONFIG_METADATA!$B$4),IF(DATOS!$G8339="EX",1,IF(DATOS!$G8339="OR",--(COUNTIFS(nNIA,DATOS!$A8339,nCURSO,DATOS!$D8339,nESPEC,DATOS!$E8339,nASIG,DATOS!$I8339,nEVAL,"EX")=0),0))))</f>
      </c>
      <c r="H8339">
        <f>IF(DATOS!$G8339&lt;&gt;"EX",0,--(COUNTIFS(nNIA,DATOS!$A8339,nCURSO,DATOS!$D8339,nESPEC,DATOS!$E8339,nASIG,DATOS!$I8339,nEVAL,"OR")=0))</f>
      </c>
      <c r="I8339">
        <f>IF(DATOS!$I8339="","",IFERROR(VLOOKUP(DATOS!$I8339,CONFIG_ASIGNATURAS!$B$2:$J$91,9,FALSE()),""))</f>
      </c>
    </row>
    <row r="8340">
      <c r="F8340">
        <f>IF(DATOS!$A8340="","",DATOS!$A8340&amp;"|"&amp;DATOS!$D8340&amp;"|"&amp;DATOS!$E8340&amp;"|"&amp;DATOS!$I8340)</f>
      </c>
      <c r="G8340">
        <f>IF(DATOS!$A8340="",0,IF(CONFIG_METADATA!$B$4&lt;&gt;"OR+EX",--(DATOS!$G8340=CONFIG_METADATA!$B$4),IF(DATOS!$G8340="EX",1,IF(DATOS!$G8340="OR",--(COUNTIFS(nNIA,DATOS!$A8340,nCURSO,DATOS!$D8340,nESPEC,DATOS!$E8340,nASIG,DATOS!$I8340,nEVAL,"EX")=0),0))))</f>
      </c>
      <c r="H8340">
        <f>IF(DATOS!$G8340&lt;&gt;"EX",0,--(COUNTIFS(nNIA,DATOS!$A8340,nCURSO,DATOS!$D8340,nESPEC,DATOS!$E8340,nASIG,DATOS!$I8340,nEVAL,"OR")=0))</f>
      </c>
      <c r="I8340">
        <f>IF(DATOS!$I8340="","",IFERROR(VLOOKUP(DATOS!$I8340,CONFIG_ASIGNATURAS!$B$2:$J$91,9,FALSE()),""))</f>
      </c>
    </row>
    <row r="8341">
      <c r="F8341">
        <f>IF(DATOS!$A8341="","",DATOS!$A8341&amp;"|"&amp;DATOS!$D8341&amp;"|"&amp;DATOS!$E8341&amp;"|"&amp;DATOS!$I8341)</f>
      </c>
      <c r="G8341">
        <f>IF(DATOS!$A8341="",0,IF(CONFIG_METADATA!$B$4&lt;&gt;"OR+EX",--(DATOS!$G8341=CONFIG_METADATA!$B$4),IF(DATOS!$G8341="EX",1,IF(DATOS!$G8341="OR",--(COUNTIFS(nNIA,DATOS!$A8341,nCURSO,DATOS!$D8341,nESPEC,DATOS!$E8341,nASIG,DATOS!$I8341,nEVAL,"EX")=0),0))))</f>
      </c>
      <c r="H8341">
        <f>IF(DATOS!$G8341&lt;&gt;"EX",0,--(COUNTIFS(nNIA,DATOS!$A8341,nCURSO,DATOS!$D8341,nESPEC,DATOS!$E8341,nASIG,DATOS!$I8341,nEVAL,"OR")=0))</f>
      </c>
      <c r="I8341">
        <f>IF(DATOS!$I8341="","",IFERROR(VLOOKUP(DATOS!$I8341,CONFIG_ASIGNATURAS!$B$2:$J$91,9,FALSE()),""))</f>
      </c>
    </row>
    <row r="8342">
      <c r="F8342">
        <f>IF(DATOS!$A8342="","",DATOS!$A8342&amp;"|"&amp;DATOS!$D8342&amp;"|"&amp;DATOS!$E8342&amp;"|"&amp;DATOS!$I8342)</f>
      </c>
      <c r="G8342">
        <f>IF(DATOS!$A8342="",0,IF(CONFIG_METADATA!$B$4&lt;&gt;"OR+EX",--(DATOS!$G8342=CONFIG_METADATA!$B$4),IF(DATOS!$G8342="EX",1,IF(DATOS!$G8342="OR",--(COUNTIFS(nNIA,DATOS!$A8342,nCURSO,DATOS!$D8342,nESPEC,DATOS!$E8342,nASIG,DATOS!$I8342,nEVAL,"EX")=0),0))))</f>
      </c>
      <c r="H8342">
        <f>IF(DATOS!$G8342&lt;&gt;"EX",0,--(COUNTIFS(nNIA,DATOS!$A8342,nCURSO,DATOS!$D8342,nESPEC,DATOS!$E8342,nASIG,DATOS!$I8342,nEVAL,"OR")=0))</f>
      </c>
      <c r="I8342">
        <f>IF(DATOS!$I8342="","",IFERROR(VLOOKUP(DATOS!$I8342,CONFIG_ASIGNATURAS!$B$2:$J$91,9,FALSE()),""))</f>
      </c>
    </row>
    <row r="8343">
      <c r="F8343">
        <f>IF(DATOS!$A8343="","",DATOS!$A8343&amp;"|"&amp;DATOS!$D8343&amp;"|"&amp;DATOS!$E8343&amp;"|"&amp;DATOS!$I8343)</f>
      </c>
      <c r="G8343">
        <f>IF(DATOS!$A8343="",0,IF(CONFIG_METADATA!$B$4&lt;&gt;"OR+EX",--(DATOS!$G8343=CONFIG_METADATA!$B$4),IF(DATOS!$G8343="EX",1,IF(DATOS!$G8343="OR",--(COUNTIFS(nNIA,DATOS!$A8343,nCURSO,DATOS!$D8343,nESPEC,DATOS!$E8343,nASIG,DATOS!$I8343,nEVAL,"EX")=0),0))))</f>
      </c>
      <c r="H8343">
        <f>IF(DATOS!$G8343&lt;&gt;"EX",0,--(COUNTIFS(nNIA,DATOS!$A8343,nCURSO,DATOS!$D8343,nESPEC,DATOS!$E8343,nASIG,DATOS!$I8343,nEVAL,"OR")=0))</f>
      </c>
      <c r="I8343">
        <f>IF(DATOS!$I8343="","",IFERROR(VLOOKUP(DATOS!$I8343,CONFIG_ASIGNATURAS!$B$2:$J$91,9,FALSE()),""))</f>
      </c>
    </row>
    <row r="8344">
      <c r="F8344">
        <f>IF(DATOS!$A8344="","",DATOS!$A8344&amp;"|"&amp;DATOS!$D8344&amp;"|"&amp;DATOS!$E8344&amp;"|"&amp;DATOS!$I8344)</f>
      </c>
      <c r="G8344">
        <f>IF(DATOS!$A8344="",0,IF(CONFIG_METADATA!$B$4&lt;&gt;"OR+EX",--(DATOS!$G8344=CONFIG_METADATA!$B$4),IF(DATOS!$G8344="EX",1,IF(DATOS!$G8344="OR",--(COUNTIFS(nNIA,DATOS!$A8344,nCURSO,DATOS!$D8344,nESPEC,DATOS!$E8344,nASIG,DATOS!$I8344,nEVAL,"EX")=0),0))))</f>
      </c>
      <c r="H8344">
        <f>IF(DATOS!$G8344&lt;&gt;"EX",0,--(COUNTIFS(nNIA,DATOS!$A8344,nCURSO,DATOS!$D8344,nESPEC,DATOS!$E8344,nASIG,DATOS!$I8344,nEVAL,"OR")=0))</f>
      </c>
      <c r="I8344">
        <f>IF(DATOS!$I8344="","",IFERROR(VLOOKUP(DATOS!$I8344,CONFIG_ASIGNATURAS!$B$2:$J$91,9,FALSE()),""))</f>
      </c>
    </row>
    <row r="8345">
      <c r="F8345">
        <f>IF(DATOS!$A8345="","",DATOS!$A8345&amp;"|"&amp;DATOS!$D8345&amp;"|"&amp;DATOS!$E8345&amp;"|"&amp;DATOS!$I8345)</f>
      </c>
      <c r="G8345">
        <f>IF(DATOS!$A8345="",0,IF(CONFIG_METADATA!$B$4&lt;&gt;"OR+EX",--(DATOS!$G8345=CONFIG_METADATA!$B$4),IF(DATOS!$G8345="EX",1,IF(DATOS!$G8345="OR",--(COUNTIFS(nNIA,DATOS!$A8345,nCURSO,DATOS!$D8345,nESPEC,DATOS!$E8345,nASIG,DATOS!$I8345,nEVAL,"EX")=0),0))))</f>
      </c>
      <c r="H8345">
        <f>IF(DATOS!$G8345&lt;&gt;"EX",0,--(COUNTIFS(nNIA,DATOS!$A8345,nCURSO,DATOS!$D8345,nESPEC,DATOS!$E8345,nASIG,DATOS!$I8345,nEVAL,"OR")=0))</f>
      </c>
      <c r="I8345">
        <f>IF(DATOS!$I8345="","",IFERROR(VLOOKUP(DATOS!$I8345,CONFIG_ASIGNATURAS!$B$2:$J$91,9,FALSE()),""))</f>
      </c>
    </row>
    <row r="8346">
      <c r="F8346">
        <f>IF(DATOS!$A8346="","",DATOS!$A8346&amp;"|"&amp;DATOS!$D8346&amp;"|"&amp;DATOS!$E8346&amp;"|"&amp;DATOS!$I8346)</f>
      </c>
      <c r="G8346">
        <f>IF(DATOS!$A8346="",0,IF(CONFIG_METADATA!$B$4&lt;&gt;"OR+EX",--(DATOS!$G8346=CONFIG_METADATA!$B$4),IF(DATOS!$G8346="EX",1,IF(DATOS!$G8346="OR",--(COUNTIFS(nNIA,DATOS!$A8346,nCURSO,DATOS!$D8346,nESPEC,DATOS!$E8346,nASIG,DATOS!$I8346,nEVAL,"EX")=0),0))))</f>
      </c>
      <c r="H8346">
        <f>IF(DATOS!$G8346&lt;&gt;"EX",0,--(COUNTIFS(nNIA,DATOS!$A8346,nCURSO,DATOS!$D8346,nESPEC,DATOS!$E8346,nASIG,DATOS!$I8346,nEVAL,"OR")=0))</f>
      </c>
      <c r="I8346">
        <f>IF(DATOS!$I8346="","",IFERROR(VLOOKUP(DATOS!$I8346,CONFIG_ASIGNATURAS!$B$2:$J$91,9,FALSE()),""))</f>
      </c>
    </row>
    <row r="8347">
      <c r="F8347">
        <f>IF(DATOS!$A8347="","",DATOS!$A8347&amp;"|"&amp;DATOS!$D8347&amp;"|"&amp;DATOS!$E8347&amp;"|"&amp;DATOS!$I8347)</f>
      </c>
      <c r="G8347">
        <f>IF(DATOS!$A8347="",0,IF(CONFIG_METADATA!$B$4&lt;&gt;"OR+EX",--(DATOS!$G8347=CONFIG_METADATA!$B$4),IF(DATOS!$G8347="EX",1,IF(DATOS!$G8347="OR",--(COUNTIFS(nNIA,DATOS!$A8347,nCURSO,DATOS!$D8347,nESPEC,DATOS!$E8347,nASIG,DATOS!$I8347,nEVAL,"EX")=0),0))))</f>
      </c>
      <c r="H8347">
        <f>IF(DATOS!$G8347&lt;&gt;"EX",0,--(COUNTIFS(nNIA,DATOS!$A8347,nCURSO,DATOS!$D8347,nESPEC,DATOS!$E8347,nASIG,DATOS!$I8347,nEVAL,"OR")=0))</f>
      </c>
      <c r="I8347">
        <f>IF(DATOS!$I8347="","",IFERROR(VLOOKUP(DATOS!$I8347,CONFIG_ASIGNATURAS!$B$2:$J$91,9,FALSE()),""))</f>
      </c>
    </row>
    <row r="8348">
      <c r="F8348">
        <f>IF(DATOS!$A8348="","",DATOS!$A8348&amp;"|"&amp;DATOS!$D8348&amp;"|"&amp;DATOS!$E8348&amp;"|"&amp;DATOS!$I8348)</f>
      </c>
      <c r="G8348">
        <f>IF(DATOS!$A8348="",0,IF(CONFIG_METADATA!$B$4&lt;&gt;"OR+EX",--(DATOS!$G8348=CONFIG_METADATA!$B$4),IF(DATOS!$G8348="EX",1,IF(DATOS!$G8348="OR",--(COUNTIFS(nNIA,DATOS!$A8348,nCURSO,DATOS!$D8348,nESPEC,DATOS!$E8348,nASIG,DATOS!$I8348,nEVAL,"EX")=0),0))))</f>
      </c>
      <c r="H8348">
        <f>IF(DATOS!$G8348&lt;&gt;"EX",0,--(COUNTIFS(nNIA,DATOS!$A8348,nCURSO,DATOS!$D8348,nESPEC,DATOS!$E8348,nASIG,DATOS!$I8348,nEVAL,"OR")=0))</f>
      </c>
      <c r="I8348">
        <f>IF(DATOS!$I8348="","",IFERROR(VLOOKUP(DATOS!$I8348,CONFIG_ASIGNATURAS!$B$2:$J$91,9,FALSE()),""))</f>
      </c>
    </row>
    <row r="8349">
      <c r="F8349">
        <f>IF(DATOS!$A8349="","",DATOS!$A8349&amp;"|"&amp;DATOS!$D8349&amp;"|"&amp;DATOS!$E8349&amp;"|"&amp;DATOS!$I8349)</f>
      </c>
      <c r="G8349">
        <f>IF(DATOS!$A8349="",0,IF(CONFIG_METADATA!$B$4&lt;&gt;"OR+EX",--(DATOS!$G8349=CONFIG_METADATA!$B$4),IF(DATOS!$G8349="EX",1,IF(DATOS!$G8349="OR",--(COUNTIFS(nNIA,DATOS!$A8349,nCURSO,DATOS!$D8349,nESPEC,DATOS!$E8349,nASIG,DATOS!$I8349,nEVAL,"EX")=0),0))))</f>
      </c>
      <c r="H8349">
        <f>IF(DATOS!$G8349&lt;&gt;"EX",0,--(COUNTIFS(nNIA,DATOS!$A8349,nCURSO,DATOS!$D8349,nESPEC,DATOS!$E8349,nASIG,DATOS!$I8349,nEVAL,"OR")=0))</f>
      </c>
      <c r="I8349">
        <f>IF(DATOS!$I8349="","",IFERROR(VLOOKUP(DATOS!$I8349,CONFIG_ASIGNATURAS!$B$2:$J$91,9,FALSE()),""))</f>
      </c>
    </row>
    <row r="8350">
      <c r="F8350">
        <f>IF(DATOS!$A8350="","",DATOS!$A8350&amp;"|"&amp;DATOS!$D8350&amp;"|"&amp;DATOS!$E8350&amp;"|"&amp;DATOS!$I8350)</f>
      </c>
      <c r="G8350">
        <f>IF(DATOS!$A8350="",0,IF(CONFIG_METADATA!$B$4&lt;&gt;"OR+EX",--(DATOS!$G8350=CONFIG_METADATA!$B$4),IF(DATOS!$G8350="EX",1,IF(DATOS!$G8350="OR",--(COUNTIFS(nNIA,DATOS!$A8350,nCURSO,DATOS!$D8350,nESPEC,DATOS!$E8350,nASIG,DATOS!$I8350,nEVAL,"EX")=0),0))))</f>
      </c>
      <c r="H8350">
        <f>IF(DATOS!$G8350&lt;&gt;"EX",0,--(COUNTIFS(nNIA,DATOS!$A8350,nCURSO,DATOS!$D8350,nESPEC,DATOS!$E8350,nASIG,DATOS!$I8350,nEVAL,"OR")=0))</f>
      </c>
      <c r="I8350">
        <f>IF(DATOS!$I8350="","",IFERROR(VLOOKUP(DATOS!$I8350,CONFIG_ASIGNATURAS!$B$2:$J$91,9,FALSE()),""))</f>
      </c>
    </row>
    <row r="8351">
      <c r="F8351">
        <f>IF(DATOS!$A8351="","",DATOS!$A8351&amp;"|"&amp;DATOS!$D8351&amp;"|"&amp;DATOS!$E8351&amp;"|"&amp;DATOS!$I8351)</f>
      </c>
      <c r="G8351">
        <f>IF(DATOS!$A8351="",0,IF(CONFIG_METADATA!$B$4&lt;&gt;"OR+EX",--(DATOS!$G8351=CONFIG_METADATA!$B$4),IF(DATOS!$G8351="EX",1,IF(DATOS!$G8351="OR",--(COUNTIFS(nNIA,DATOS!$A8351,nCURSO,DATOS!$D8351,nESPEC,DATOS!$E8351,nASIG,DATOS!$I8351,nEVAL,"EX")=0),0))))</f>
      </c>
      <c r="H8351">
        <f>IF(DATOS!$G8351&lt;&gt;"EX",0,--(COUNTIFS(nNIA,DATOS!$A8351,nCURSO,DATOS!$D8351,nESPEC,DATOS!$E8351,nASIG,DATOS!$I8351,nEVAL,"OR")=0))</f>
      </c>
      <c r="I8351">
        <f>IF(DATOS!$I8351="","",IFERROR(VLOOKUP(DATOS!$I8351,CONFIG_ASIGNATURAS!$B$2:$J$91,9,FALSE()),""))</f>
      </c>
    </row>
    <row r="8352">
      <c r="F8352">
        <f>IF(DATOS!$A8352="","",DATOS!$A8352&amp;"|"&amp;DATOS!$D8352&amp;"|"&amp;DATOS!$E8352&amp;"|"&amp;DATOS!$I8352)</f>
      </c>
      <c r="G8352">
        <f>IF(DATOS!$A8352="",0,IF(CONFIG_METADATA!$B$4&lt;&gt;"OR+EX",--(DATOS!$G8352=CONFIG_METADATA!$B$4),IF(DATOS!$G8352="EX",1,IF(DATOS!$G8352="OR",--(COUNTIFS(nNIA,DATOS!$A8352,nCURSO,DATOS!$D8352,nESPEC,DATOS!$E8352,nASIG,DATOS!$I8352,nEVAL,"EX")=0),0))))</f>
      </c>
      <c r="H8352">
        <f>IF(DATOS!$G8352&lt;&gt;"EX",0,--(COUNTIFS(nNIA,DATOS!$A8352,nCURSO,DATOS!$D8352,nESPEC,DATOS!$E8352,nASIG,DATOS!$I8352,nEVAL,"OR")=0))</f>
      </c>
      <c r="I8352">
        <f>IF(DATOS!$I8352="","",IFERROR(VLOOKUP(DATOS!$I8352,CONFIG_ASIGNATURAS!$B$2:$J$91,9,FALSE()),""))</f>
      </c>
    </row>
    <row r="8353">
      <c r="F8353">
        <f>IF(DATOS!$A8353="","",DATOS!$A8353&amp;"|"&amp;DATOS!$D8353&amp;"|"&amp;DATOS!$E8353&amp;"|"&amp;DATOS!$I8353)</f>
      </c>
      <c r="G8353">
        <f>IF(DATOS!$A8353="",0,IF(CONFIG_METADATA!$B$4&lt;&gt;"OR+EX",--(DATOS!$G8353=CONFIG_METADATA!$B$4),IF(DATOS!$G8353="EX",1,IF(DATOS!$G8353="OR",--(COUNTIFS(nNIA,DATOS!$A8353,nCURSO,DATOS!$D8353,nESPEC,DATOS!$E8353,nASIG,DATOS!$I8353,nEVAL,"EX")=0),0))))</f>
      </c>
      <c r="H8353">
        <f>IF(DATOS!$G8353&lt;&gt;"EX",0,--(COUNTIFS(nNIA,DATOS!$A8353,nCURSO,DATOS!$D8353,nESPEC,DATOS!$E8353,nASIG,DATOS!$I8353,nEVAL,"OR")=0))</f>
      </c>
      <c r="I8353">
        <f>IF(DATOS!$I8353="","",IFERROR(VLOOKUP(DATOS!$I8353,CONFIG_ASIGNATURAS!$B$2:$J$91,9,FALSE()),""))</f>
      </c>
    </row>
    <row r="8354">
      <c r="F8354">
        <f>IF(DATOS!$A8354="","",DATOS!$A8354&amp;"|"&amp;DATOS!$D8354&amp;"|"&amp;DATOS!$E8354&amp;"|"&amp;DATOS!$I8354)</f>
      </c>
      <c r="G8354">
        <f>IF(DATOS!$A8354="",0,IF(CONFIG_METADATA!$B$4&lt;&gt;"OR+EX",--(DATOS!$G8354=CONFIG_METADATA!$B$4),IF(DATOS!$G8354="EX",1,IF(DATOS!$G8354="OR",--(COUNTIFS(nNIA,DATOS!$A8354,nCURSO,DATOS!$D8354,nESPEC,DATOS!$E8354,nASIG,DATOS!$I8354,nEVAL,"EX")=0),0))))</f>
      </c>
      <c r="H8354">
        <f>IF(DATOS!$G8354&lt;&gt;"EX",0,--(COUNTIFS(nNIA,DATOS!$A8354,nCURSO,DATOS!$D8354,nESPEC,DATOS!$E8354,nASIG,DATOS!$I8354,nEVAL,"OR")=0))</f>
      </c>
      <c r="I8354">
        <f>IF(DATOS!$I8354="","",IFERROR(VLOOKUP(DATOS!$I8354,CONFIG_ASIGNATURAS!$B$2:$J$91,9,FALSE()),""))</f>
      </c>
    </row>
    <row r="8355">
      <c r="F8355">
        <f>IF(DATOS!$A8355="","",DATOS!$A8355&amp;"|"&amp;DATOS!$D8355&amp;"|"&amp;DATOS!$E8355&amp;"|"&amp;DATOS!$I8355)</f>
      </c>
      <c r="G8355">
        <f>IF(DATOS!$A8355="",0,IF(CONFIG_METADATA!$B$4&lt;&gt;"OR+EX",--(DATOS!$G8355=CONFIG_METADATA!$B$4),IF(DATOS!$G8355="EX",1,IF(DATOS!$G8355="OR",--(COUNTIFS(nNIA,DATOS!$A8355,nCURSO,DATOS!$D8355,nESPEC,DATOS!$E8355,nASIG,DATOS!$I8355,nEVAL,"EX")=0),0))))</f>
      </c>
      <c r="H8355">
        <f>IF(DATOS!$G8355&lt;&gt;"EX",0,--(COUNTIFS(nNIA,DATOS!$A8355,nCURSO,DATOS!$D8355,nESPEC,DATOS!$E8355,nASIG,DATOS!$I8355,nEVAL,"OR")=0))</f>
      </c>
      <c r="I8355">
        <f>IF(DATOS!$I8355="","",IFERROR(VLOOKUP(DATOS!$I8355,CONFIG_ASIGNATURAS!$B$2:$J$91,9,FALSE()),""))</f>
      </c>
    </row>
    <row r="8356">
      <c r="F8356">
        <f>IF(DATOS!$A8356="","",DATOS!$A8356&amp;"|"&amp;DATOS!$D8356&amp;"|"&amp;DATOS!$E8356&amp;"|"&amp;DATOS!$I8356)</f>
      </c>
      <c r="G8356">
        <f>IF(DATOS!$A8356="",0,IF(CONFIG_METADATA!$B$4&lt;&gt;"OR+EX",--(DATOS!$G8356=CONFIG_METADATA!$B$4),IF(DATOS!$G8356="EX",1,IF(DATOS!$G8356="OR",--(COUNTIFS(nNIA,DATOS!$A8356,nCURSO,DATOS!$D8356,nESPEC,DATOS!$E8356,nASIG,DATOS!$I8356,nEVAL,"EX")=0),0))))</f>
      </c>
      <c r="H8356">
        <f>IF(DATOS!$G8356&lt;&gt;"EX",0,--(COUNTIFS(nNIA,DATOS!$A8356,nCURSO,DATOS!$D8356,nESPEC,DATOS!$E8356,nASIG,DATOS!$I8356,nEVAL,"OR")=0))</f>
      </c>
      <c r="I8356">
        <f>IF(DATOS!$I8356="","",IFERROR(VLOOKUP(DATOS!$I8356,CONFIG_ASIGNATURAS!$B$2:$J$91,9,FALSE()),""))</f>
      </c>
    </row>
    <row r="8357">
      <c r="F8357">
        <f>IF(DATOS!$A8357="","",DATOS!$A8357&amp;"|"&amp;DATOS!$D8357&amp;"|"&amp;DATOS!$E8357&amp;"|"&amp;DATOS!$I8357)</f>
      </c>
      <c r="G8357">
        <f>IF(DATOS!$A8357="",0,IF(CONFIG_METADATA!$B$4&lt;&gt;"OR+EX",--(DATOS!$G8357=CONFIG_METADATA!$B$4),IF(DATOS!$G8357="EX",1,IF(DATOS!$G8357="OR",--(COUNTIFS(nNIA,DATOS!$A8357,nCURSO,DATOS!$D8357,nESPEC,DATOS!$E8357,nASIG,DATOS!$I8357,nEVAL,"EX")=0),0))))</f>
      </c>
      <c r="H8357">
        <f>IF(DATOS!$G8357&lt;&gt;"EX",0,--(COUNTIFS(nNIA,DATOS!$A8357,nCURSO,DATOS!$D8357,nESPEC,DATOS!$E8357,nASIG,DATOS!$I8357,nEVAL,"OR")=0))</f>
      </c>
      <c r="I8357">
        <f>IF(DATOS!$I8357="","",IFERROR(VLOOKUP(DATOS!$I8357,CONFIG_ASIGNATURAS!$B$2:$J$91,9,FALSE()),""))</f>
      </c>
    </row>
    <row r="8358">
      <c r="F8358">
        <f>IF(DATOS!$A8358="","",DATOS!$A8358&amp;"|"&amp;DATOS!$D8358&amp;"|"&amp;DATOS!$E8358&amp;"|"&amp;DATOS!$I8358)</f>
      </c>
      <c r="G8358">
        <f>IF(DATOS!$A8358="",0,IF(CONFIG_METADATA!$B$4&lt;&gt;"OR+EX",--(DATOS!$G8358=CONFIG_METADATA!$B$4),IF(DATOS!$G8358="EX",1,IF(DATOS!$G8358="OR",--(COUNTIFS(nNIA,DATOS!$A8358,nCURSO,DATOS!$D8358,nESPEC,DATOS!$E8358,nASIG,DATOS!$I8358,nEVAL,"EX")=0),0))))</f>
      </c>
      <c r="H8358">
        <f>IF(DATOS!$G8358&lt;&gt;"EX",0,--(COUNTIFS(nNIA,DATOS!$A8358,nCURSO,DATOS!$D8358,nESPEC,DATOS!$E8358,nASIG,DATOS!$I8358,nEVAL,"OR")=0))</f>
      </c>
      <c r="I8358">
        <f>IF(DATOS!$I8358="","",IFERROR(VLOOKUP(DATOS!$I8358,CONFIG_ASIGNATURAS!$B$2:$J$91,9,FALSE()),""))</f>
      </c>
    </row>
    <row r="8359">
      <c r="F8359">
        <f>IF(DATOS!$A8359="","",DATOS!$A8359&amp;"|"&amp;DATOS!$D8359&amp;"|"&amp;DATOS!$E8359&amp;"|"&amp;DATOS!$I8359)</f>
      </c>
      <c r="G8359">
        <f>IF(DATOS!$A8359="",0,IF(CONFIG_METADATA!$B$4&lt;&gt;"OR+EX",--(DATOS!$G8359=CONFIG_METADATA!$B$4),IF(DATOS!$G8359="EX",1,IF(DATOS!$G8359="OR",--(COUNTIFS(nNIA,DATOS!$A8359,nCURSO,DATOS!$D8359,nESPEC,DATOS!$E8359,nASIG,DATOS!$I8359,nEVAL,"EX")=0),0))))</f>
      </c>
      <c r="H8359">
        <f>IF(DATOS!$G8359&lt;&gt;"EX",0,--(COUNTIFS(nNIA,DATOS!$A8359,nCURSO,DATOS!$D8359,nESPEC,DATOS!$E8359,nASIG,DATOS!$I8359,nEVAL,"OR")=0))</f>
      </c>
      <c r="I8359">
        <f>IF(DATOS!$I8359="","",IFERROR(VLOOKUP(DATOS!$I8359,CONFIG_ASIGNATURAS!$B$2:$J$91,9,FALSE()),""))</f>
      </c>
    </row>
    <row r="8360">
      <c r="F8360">
        <f>IF(DATOS!$A8360="","",DATOS!$A8360&amp;"|"&amp;DATOS!$D8360&amp;"|"&amp;DATOS!$E8360&amp;"|"&amp;DATOS!$I8360)</f>
      </c>
      <c r="G8360">
        <f>IF(DATOS!$A8360="",0,IF(CONFIG_METADATA!$B$4&lt;&gt;"OR+EX",--(DATOS!$G8360=CONFIG_METADATA!$B$4),IF(DATOS!$G8360="EX",1,IF(DATOS!$G8360="OR",--(COUNTIFS(nNIA,DATOS!$A8360,nCURSO,DATOS!$D8360,nESPEC,DATOS!$E8360,nASIG,DATOS!$I8360,nEVAL,"EX")=0),0))))</f>
      </c>
      <c r="H8360">
        <f>IF(DATOS!$G8360&lt;&gt;"EX",0,--(COUNTIFS(nNIA,DATOS!$A8360,nCURSO,DATOS!$D8360,nESPEC,DATOS!$E8360,nASIG,DATOS!$I8360,nEVAL,"OR")=0))</f>
      </c>
      <c r="I8360">
        <f>IF(DATOS!$I8360="","",IFERROR(VLOOKUP(DATOS!$I8360,CONFIG_ASIGNATURAS!$B$2:$J$91,9,FALSE()),""))</f>
      </c>
    </row>
    <row r="8361">
      <c r="F8361">
        <f>IF(DATOS!$A8361="","",DATOS!$A8361&amp;"|"&amp;DATOS!$D8361&amp;"|"&amp;DATOS!$E8361&amp;"|"&amp;DATOS!$I8361)</f>
      </c>
      <c r="G8361">
        <f>IF(DATOS!$A8361="",0,IF(CONFIG_METADATA!$B$4&lt;&gt;"OR+EX",--(DATOS!$G8361=CONFIG_METADATA!$B$4),IF(DATOS!$G8361="EX",1,IF(DATOS!$G8361="OR",--(COUNTIFS(nNIA,DATOS!$A8361,nCURSO,DATOS!$D8361,nESPEC,DATOS!$E8361,nASIG,DATOS!$I8361,nEVAL,"EX")=0),0))))</f>
      </c>
      <c r="H8361">
        <f>IF(DATOS!$G8361&lt;&gt;"EX",0,--(COUNTIFS(nNIA,DATOS!$A8361,nCURSO,DATOS!$D8361,nESPEC,DATOS!$E8361,nASIG,DATOS!$I8361,nEVAL,"OR")=0))</f>
      </c>
      <c r="I8361">
        <f>IF(DATOS!$I8361="","",IFERROR(VLOOKUP(DATOS!$I8361,CONFIG_ASIGNATURAS!$B$2:$J$91,9,FALSE()),""))</f>
      </c>
    </row>
    <row r="8362">
      <c r="F8362">
        <f>IF(DATOS!$A8362="","",DATOS!$A8362&amp;"|"&amp;DATOS!$D8362&amp;"|"&amp;DATOS!$E8362&amp;"|"&amp;DATOS!$I8362)</f>
      </c>
      <c r="G8362">
        <f>IF(DATOS!$A8362="",0,IF(CONFIG_METADATA!$B$4&lt;&gt;"OR+EX",--(DATOS!$G8362=CONFIG_METADATA!$B$4),IF(DATOS!$G8362="EX",1,IF(DATOS!$G8362="OR",--(COUNTIFS(nNIA,DATOS!$A8362,nCURSO,DATOS!$D8362,nESPEC,DATOS!$E8362,nASIG,DATOS!$I8362,nEVAL,"EX")=0),0))))</f>
      </c>
      <c r="H8362">
        <f>IF(DATOS!$G8362&lt;&gt;"EX",0,--(COUNTIFS(nNIA,DATOS!$A8362,nCURSO,DATOS!$D8362,nESPEC,DATOS!$E8362,nASIG,DATOS!$I8362,nEVAL,"OR")=0))</f>
      </c>
      <c r="I8362">
        <f>IF(DATOS!$I8362="","",IFERROR(VLOOKUP(DATOS!$I8362,CONFIG_ASIGNATURAS!$B$2:$J$91,9,FALSE()),""))</f>
      </c>
    </row>
    <row r="8363">
      <c r="F8363">
        <f>IF(DATOS!$A8363="","",DATOS!$A8363&amp;"|"&amp;DATOS!$D8363&amp;"|"&amp;DATOS!$E8363&amp;"|"&amp;DATOS!$I8363)</f>
      </c>
      <c r="G8363">
        <f>IF(DATOS!$A8363="",0,IF(CONFIG_METADATA!$B$4&lt;&gt;"OR+EX",--(DATOS!$G8363=CONFIG_METADATA!$B$4),IF(DATOS!$G8363="EX",1,IF(DATOS!$G8363="OR",--(COUNTIFS(nNIA,DATOS!$A8363,nCURSO,DATOS!$D8363,nESPEC,DATOS!$E8363,nASIG,DATOS!$I8363,nEVAL,"EX")=0),0))))</f>
      </c>
      <c r="H8363">
        <f>IF(DATOS!$G8363&lt;&gt;"EX",0,--(COUNTIFS(nNIA,DATOS!$A8363,nCURSO,DATOS!$D8363,nESPEC,DATOS!$E8363,nASIG,DATOS!$I8363,nEVAL,"OR")=0))</f>
      </c>
      <c r="I8363">
        <f>IF(DATOS!$I8363="","",IFERROR(VLOOKUP(DATOS!$I8363,CONFIG_ASIGNATURAS!$B$2:$J$91,9,FALSE()),""))</f>
      </c>
    </row>
    <row r="8364">
      <c r="F8364">
        <f>IF(DATOS!$A8364="","",DATOS!$A8364&amp;"|"&amp;DATOS!$D8364&amp;"|"&amp;DATOS!$E8364&amp;"|"&amp;DATOS!$I8364)</f>
      </c>
      <c r="G8364">
        <f>IF(DATOS!$A8364="",0,IF(CONFIG_METADATA!$B$4&lt;&gt;"OR+EX",--(DATOS!$G8364=CONFIG_METADATA!$B$4),IF(DATOS!$G8364="EX",1,IF(DATOS!$G8364="OR",--(COUNTIFS(nNIA,DATOS!$A8364,nCURSO,DATOS!$D8364,nESPEC,DATOS!$E8364,nASIG,DATOS!$I8364,nEVAL,"EX")=0),0))))</f>
      </c>
      <c r="H8364">
        <f>IF(DATOS!$G8364&lt;&gt;"EX",0,--(COUNTIFS(nNIA,DATOS!$A8364,nCURSO,DATOS!$D8364,nESPEC,DATOS!$E8364,nASIG,DATOS!$I8364,nEVAL,"OR")=0))</f>
      </c>
      <c r="I8364">
        <f>IF(DATOS!$I8364="","",IFERROR(VLOOKUP(DATOS!$I8364,CONFIG_ASIGNATURAS!$B$2:$J$91,9,FALSE()),""))</f>
      </c>
    </row>
    <row r="8365">
      <c r="F8365">
        <f>IF(DATOS!$A8365="","",DATOS!$A8365&amp;"|"&amp;DATOS!$D8365&amp;"|"&amp;DATOS!$E8365&amp;"|"&amp;DATOS!$I8365)</f>
      </c>
      <c r="G8365">
        <f>IF(DATOS!$A8365="",0,IF(CONFIG_METADATA!$B$4&lt;&gt;"OR+EX",--(DATOS!$G8365=CONFIG_METADATA!$B$4),IF(DATOS!$G8365="EX",1,IF(DATOS!$G8365="OR",--(COUNTIFS(nNIA,DATOS!$A8365,nCURSO,DATOS!$D8365,nESPEC,DATOS!$E8365,nASIG,DATOS!$I8365,nEVAL,"EX")=0),0))))</f>
      </c>
      <c r="H8365">
        <f>IF(DATOS!$G8365&lt;&gt;"EX",0,--(COUNTIFS(nNIA,DATOS!$A8365,nCURSO,DATOS!$D8365,nESPEC,DATOS!$E8365,nASIG,DATOS!$I8365,nEVAL,"OR")=0))</f>
      </c>
      <c r="I8365">
        <f>IF(DATOS!$I8365="","",IFERROR(VLOOKUP(DATOS!$I8365,CONFIG_ASIGNATURAS!$B$2:$J$91,9,FALSE()),""))</f>
      </c>
    </row>
    <row r="8366">
      <c r="F8366">
        <f>IF(DATOS!$A8366="","",DATOS!$A8366&amp;"|"&amp;DATOS!$D8366&amp;"|"&amp;DATOS!$E8366&amp;"|"&amp;DATOS!$I8366)</f>
      </c>
      <c r="G8366">
        <f>IF(DATOS!$A8366="",0,IF(CONFIG_METADATA!$B$4&lt;&gt;"OR+EX",--(DATOS!$G8366=CONFIG_METADATA!$B$4),IF(DATOS!$G8366="EX",1,IF(DATOS!$G8366="OR",--(COUNTIFS(nNIA,DATOS!$A8366,nCURSO,DATOS!$D8366,nESPEC,DATOS!$E8366,nASIG,DATOS!$I8366,nEVAL,"EX")=0),0))))</f>
      </c>
      <c r="H8366">
        <f>IF(DATOS!$G8366&lt;&gt;"EX",0,--(COUNTIFS(nNIA,DATOS!$A8366,nCURSO,DATOS!$D8366,nESPEC,DATOS!$E8366,nASIG,DATOS!$I8366,nEVAL,"OR")=0))</f>
      </c>
      <c r="I8366">
        <f>IF(DATOS!$I8366="","",IFERROR(VLOOKUP(DATOS!$I8366,CONFIG_ASIGNATURAS!$B$2:$J$91,9,FALSE()),""))</f>
      </c>
    </row>
    <row r="8367">
      <c r="F8367">
        <f>IF(DATOS!$A8367="","",DATOS!$A8367&amp;"|"&amp;DATOS!$D8367&amp;"|"&amp;DATOS!$E8367&amp;"|"&amp;DATOS!$I8367)</f>
      </c>
      <c r="G8367">
        <f>IF(DATOS!$A8367="",0,IF(CONFIG_METADATA!$B$4&lt;&gt;"OR+EX",--(DATOS!$G8367=CONFIG_METADATA!$B$4),IF(DATOS!$G8367="EX",1,IF(DATOS!$G8367="OR",--(COUNTIFS(nNIA,DATOS!$A8367,nCURSO,DATOS!$D8367,nESPEC,DATOS!$E8367,nASIG,DATOS!$I8367,nEVAL,"EX")=0),0))))</f>
      </c>
      <c r="H8367">
        <f>IF(DATOS!$G8367&lt;&gt;"EX",0,--(COUNTIFS(nNIA,DATOS!$A8367,nCURSO,DATOS!$D8367,nESPEC,DATOS!$E8367,nASIG,DATOS!$I8367,nEVAL,"OR")=0))</f>
      </c>
      <c r="I8367">
        <f>IF(DATOS!$I8367="","",IFERROR(VLOOKUP(DATOS!$I8367,CONFIG_ASIGNATURAS!$B$2:$J$91,9,FALSE()),""))</f>
      </c>
    </row>
    <row r="8368">
      <c r="F8368">
        <f>IF(DATOS!$A8368="","",DATOS!$A8368&amp;"|"&amp;DATOS!$D8368&amp;"|"&amp;DATOS!$E8368&amp;"|"&amp;DATOS!$I8368)</f>
      </c>
      <c r="G8368">
        <f>IF(DATOS!$A8368="",0,IF(CONFIG_METADATA!$B$4&lt;&gt;"OR+EX",--(DATOS!$G8368=CONFIG_METADATA!$B$4),IF(DATOS!$G8368="EX",1,IF(DATOS!$G8368="OR",--(COUNTIFS(nNIA,DATOS!$A8368,nCURSO,DATOS!$D8368,nESPEC,DATOS!$E8368,nASIG,DATOS!$I8368,nEVAL,"EX")=0),0))))</f>
      </c>
      <c r="H8368">
        <f>IF(DATOS!$G8368&lt;&gt;"EX",0,--(COUNTIFS(nNIA,DATOS!$A8368,nCURSO,DATOS!$D8368,nESPEC,DATOS!$E8368,nASIG,DATOS!$I8368,nEVAL,"OR")=0))</f>
      </c>
      <c r="I8368">
        <f>IF(DATOS!$I8368="","",IFERROR(VLOOKUP(DATOS!$I8368,CONFIG_ASIGNATURAS!$B$2:$J$91,9,FALSE()),""))</f>
      </c>
    </row>
    <row r="8369">
      <c r="F8369">
        <f>IF(DATOS!$A8369="","",DATOS!$A8369&amp;"|"&amp;DATOS!$D8369&amp;"|"&amp;DATOS!$E8369&amp;"|"&amp;DATOS!$I8369)</f>
      </c>
      <c r="G8369">
        <f>IF(DATOS!$A8369="",0,IF(CONFIG_METADATA!$B$4&lt;&gt;"OR+EX",--(DATOS!$G8369=CONFIG_METADATA!$B$4),IF(DATOS!$G8369="EX",1,IF(DATOS!$G8369="OR",--(COUNTIFS(nNIA,DATOS!$A8369,nCURSO,DATOS!$D8369,nESPEC,DATOS!$E8369,nASIG,DATOS!$I8369,nEVAL,"EX")=0),0))))</f>
      </c>
      <c r="H8369">
        <f>IF(DATOS!$G8369&lt;&gt;"EX",0,--(COUNTIFS(nNIA,DATOS!$A8369,nCURSO,DATOS!$D8369,nESPEC,DATOS!$E8369,nASIG,DATOS!$I8369,nEVAL,"OR")=0))</f>
      </c>
      <c r="I8369">
        <f>IF(DATOS!$I8369="","",IFERROR(VLOOKUP(DATOS!$I8369,CONFIG_ASIGNATURAS!$B$2:$J$91,9,FALSE()),""))</f>
      </c>
    </row>
    <row r="8370">
      <c r="F8370">
        <f>IF(DATOS!$A8370="","",DATOS!$A8370&amp;"|"&amp;DATOS!$D8370&amp;"|"&amp;DATOS!$E8370&amp;"|"&amp;DATOS!$I8370)</f>
      </c>
      <c r="G8370">
        <f>IF(DATOS!$A8370="",0,IF(CONFIG_METADATA!$B$4&lt;&gt;"OR+EX",--(DATOS!$G8370=CONFIG_METADATA!$B$4),IF(DATOS!$G8370="EX",1,IF(DATOS!$G8370="OR",--(COUNTIFS(nNIA,DATOS!$A8370,nCURSO,DATOS!$D8370,nESPEC,DATOS!$E8370,nASIG,DATOS!$I8370,nEVAL,"EX")=0),0))))</f>
      </c>
      <c r="H8370">
        <f>IF(DATOS!$G8370&lt;&gt;"EX",0,--(COUNTIFS(nNIA,DATOS!$A8370,nCURSO,DATOS!$D8370,nESPEC,DATOS!$E8370,nASIG,DATOS!$I8370,nEVAL,"OR")=0))</f>
      </c>
      <c r="I8370">
        <f>IF(DATOS!$I8370="","",IFERROR(VLOOKUP(DATOS!$I8370,CONFIG_ASIGNATURAS!$B$2:$J$91,9,FALSE()),""))</f>
      </c>
    </row>
    <row r="8371">
      <c r="F8371">
        <f>IF(DATOS!$A8371="","",DATOS!$A8371&amp;"|"&amp;DATOS!$D8371&amp;"|"&amp;DATOS!$E8371&amp;"|"&amp;DATOS!$I8371)</f>
      </c>
      <c r="G8371">
        <f>IF(DATOS!$A8371="",0,IF(CONFIG_METADATA!$B$4&lt;&gt;"OR+EX",--(DATOS!$G8371=CONFIG_METADATA!$B$4),IF(DATOS!$G8371="EX",1,IF(DATOS!$G8371="OR",--(COUNTIFS(nNIA,DATOS!$A8371,nCURSO,DATOS!$D8371,nESPEC,DATOS!$E8371,nASIG,DATOS!$I8371,nEVAL,"EX")=0),0))))</f>
      </c>
      <c r="H8371">
        <f>IF(DATOS!$G8371&lt;&gt;"EX",0,--(COUNTIFS(nNIA,DATOS!$A8371,nCURSO,DATOS!$D8371,nESPEC,DATOS!$E8371,nASIG,DATOS!$I8371,nEVAL,"OR")=0))</f>
      </c>
      <c r="I8371">
        <f>IF(DATOS!$I8371="","",IFERROR(VLOOKUP(DATOS!$I8371,CONFIG_ASIGNATURAS!$B$2:$J$91,9,FALSE()),""))</f>
      </c>
    </row>
    <row r="8372">
      <c r="F8372">
        <f>IF(DATOS!$A8372="","",DATOS!$A8372&amp;"|"&amp;DATOS!$D8372&amp;"|"&amp;DATOS!$E8372&amp;"|"&amp;DATOS!$I8372)</f>
      </c>
      <c r="G8372">
        <f>IF(DATOS!$A8372="",0,IF(CONFIG_METADATA!$B$4&lt;&gt;"OR+EX",--(DATOS!$G8372=CONFIG_METADATA!$B$4),IF(DATOS!$G8372="EX",1,IF(DATOS!$G8372="OR",--(COUNTIFS(nNIA,DATOS!$A8372,nCURSO,DATOS!$D8372,nESPEC,DATOS!$E8372,nASIG,DATOS!$I8372,nEVAL,"EX")=0),0))))</f>
      </c>
      <c r="H8372">
        <f>IF(DATOS!$G8372&lt;&gt;"EX",0,--(COUNTIFS(nNIA,DATOS!$A8372,nCURSO,DATOS!$D8372,nESPEC,DATOS!$E8372,nASIG,DATOS!$I8372,nEVAL,"OR")=0))</f>
      </c>
      <c r="I8372">
        <f>IF(DATOS!$I8372="","",IFERROR(VLOOKUP(DATOS!$I8372,CONFIG_ASIGNATURAS!$B$2:$J$91,9,FALSE()),""))</f>
      </c>
    </row>
    <row r="8373">
      <c r="F8373">
        <f>IF(DATOS!$A8373="","",DATOS!$A8373&amp;"|"&amp;DATOS!$D8373&amp;"|"&amp;DATOS!$E8373&amp;"|"&amp;DATOS!$I8373)</f>
      </c>
      <c r="G8373">
        <f>IF(DATOS!$A8373="",0,IF(CONFIG_METADATA!$B$4&lt;&gt;"OR+EX",--(DATOS!$G8373=CONFIG_METADATA!$B$4),IF(DATOS!$G8373="EX",1,IF(DATOS!$G8373="OR",--(COUNTIFS(nNIA,DATOS!$A8373,nCURSO,DATOS!$D8373,nESPEC,DATOS!$E8373,nASIG,DATOS!$I8373,nEVAL,"EX")=0),0))))</f>
      </c>
      <c r="H8373">
        <f>IF(DATOS!$G8373&lt;&gt;"EX",0,--(COUNTIFS(nNIA,DATOS!$A8373,nCURSO,DATOS!$D8373,nESPEC,DATOS!$E8373,nASIG,DATOS!$I8373,nEVAL,"OR")=0))</f>
      </c>
      <c r="I8373">
        <f>IF(DATOS!$I8373="","",IFERROR(VLOOKUP(DATOS!$I8373,CONFIG_ASIGNATURAS!$B$2:$J$91,9,FALSE()),""))</f>
      </c>
    </row>
    <row r="8374">
      <c r="F8374">
        <f>IF(DATOS!$A8374="","",DATOS!$A8374&amp;"|"&amp;DATOS!$D8374&amp;"|"&amp;DATOS!$E8374&amp;"|"&amp;DATOS!$I8374)</f>
      </c>
      <c r="G8374">
        <f>IF(DATOS!$A8374="",0,IF(CONFIG_METADATA!$B$4&lt;&gt;"OR+EX",--(DATOS!$G8374=CONFIG_METADATA!$B$4),IF(DATOS!$G8374="EX",1,IF(DATOS!$G8374="OR",--(COUNTIFS(nNIA,DATOS!$A8374,nCURSO,DATOS!$D8374,nESPEC,DATOS!$E8374,nASIG,DATOS!$I8374,nEVAL,"EX")=0),0))))</f>
      </c>
      <c r="H8374">
        <f>IF(DATOS!$G8374&lt;&gt;"EX",0,--(COUNTIFS(nNIA,DATOS!$A8374,nCURSO,DATOS!$D8374,nESPEC,DATOS!$E8374,nASIG,DATOS!$I8374,nEVAL,"OR")=0))</f>
      </c>
      <c r="I8374">
        <f>IF(DATOS!$I8374="","",IFERROR(VLOOKUP(DATOS!$I8374,CONFIG_ASIGNATURAS!$B$2:$J$91,9,FALSE()),""))</f>
      </c>
    </row>
    <row r="8375">
      <c r="F8375">
        <f>IF(DATOS!$A8375="","",DATOS!$A8375&amp;"|"&amp;DATOS!$D8375&amp;"|"&amp;DATOS!$E8375&amp;"|"&amp;DATOS!$I8375)</f>
      </c>
      <c r="G8375">
        <f>IF(DATOS!$A8375="",0,IF(CONFIG_METADATA!$B$4&lt;&gt;"OR+EX",--(DATOS!$G8375=CONFIG_METADATA!$B$4),IF(DATOS!$G8375="EX",1,IF(DATOS!$G8375="OR",--(COUNTIFS(nNIA,DATOS!$A8375,nCURSO,DATOS!$D8375,nESPEC,DATOS!$E8375,nASIG,DATOS!$I8375,nEVAL,"EX")=0),0))))</f>
      </c>
      <c r="H8375">
        <f>IF(DATOS!$G8375&lt;&gt;"EX",0,--(COUNTIFS(nNIA,DATOS!$A8375,nCURSO,DATOS!$D8375,nESPEC,DATOS!$E8375,nASIG,DATOS!$I8375,nEVAL,"OR")=0))</f>
      </c>
      <c r="I8375">
        <f>IF(DATOS!$I8375="","",IFERROR(VLOOKUP(DATOS!$I8375,CONFIG_ASIGNATURAS!$B$2:$J$91,9,FALSE()),""))</f>
      </c>
    </row>
    <row r="8376">
      <c r="F8376">
        <f>IF(DATOS!$A8376="","",DATOS!$A8376&amp;"|"&amp;DATOS!$D8376&amp;"|"&amp;DATOS!$E8376&amp;"|"&amp;DATOS!$I8376)</f>
      </c>
      <c r="G8376">
        <f>IF(DATOS!$A8376="",0,IF(CONFIG_METADATA!$B$4&lt;&gt;"OR+EX",--(DATOS!$G8376=CONFIG_METADATA!$B$4),IF(DATOS!$G8376="EX",1,IF(DATOS!$G8376="OR",--(COUNTIFS(nNIA,DATOS!$A8376,nCURSO,DATOS!$D8376,nESPEC,DATOS!$E8376,nASIG,DATOS!$I8376,nEVAL,"EX")=0),0))))</f>
      </c>
      <c r="H8376">
        <f>IF(DATOS!$G8376&lt;&gt;"EX",0,--(COUNTIFS(nNIA,DATOS!$A8376,nCURSO,DATOS!$D8376,nESPEC,DATOS!$E8376,nASIG,DATOS!$I8376,nEVAL,"OR")=0))</f>
      </c>
      <c r="I8376">
        <f>IF(DATOS!$I8376="","",IFERROR(VLOOKUP(DATOS!$I8376,CONFIG_ASIGNATURAS!$B$2:$J$91,9,FALSE()),""))</f>
      </c>
    </row>
    <row r="8377">
      <c r="F8377">
        <f>IF(DATOS!$A8377="","",DATOS!$A8377&amp;"|"&amp;DATOS!$D8377&amp;"|"&amp;DATOS!$E8377&amp;"|"&amp;DATOS!$I8377)</f>
      </c>
      <c r="G8377">
        <f>IF(DATOS!$A8377="",0,IF(CONFIG_METADATA!$B$4&lt;&gt;"OR+EX",--(DATOS!$G8377=CONFIG_METADATA!$B$4),IF(DATOS!$G8377="EX",1,IF(DATOS!$G8377="OR",--(COUNTIFS(nNIA,DATOS!$A8377,nCURSO,DATOS!$D8377,nESPEC,DATOS!$E8377,nASIG,DATOS!$I8377,nEVAL,"EX")=0),0))))</f>
      </c>
      <c r="H8377">
        <f>IF(DATOS!$G8377&lt;&gt;"EX",0,--(COUNTIFS(nNIA,DATOS!$A8377,nCURSO,DATOS!$D8377,nESPEC,DATOS!$E8377,nASIG,DATOS!$I8377,nEVAL,"OR")=0))</f>
      </c>
      <c r="I8377">
        <f>IF(DATOS!$I8377="","",IFERROR(VLOOKUP(DATOS!$I8377,CONFIG_ASIGNATURAS!$B$2:$J$91,9,FALSE()),""))</f>
      </c>
    </row>
    <row r="8378">
      <c r="F8378">
        <f>IF(DATOS!$A8378="","",DATOS!$A8378&amp;"|"&amp;DATOS!$D8378&amp;"|"&amp;DATOS!$E8378&amp;"|"&amp;DATOS!$I8378)</f>
      </c>
      <c r="G8378">
        <f>IF(DATOS!$A8378="",0,IF(CONFIG_METADATA!$B$4&lt;&gt;"OR+EX",--(DATOS!$G8378=CONFIG_METADATA!$B$4),IF(DATOS!$G8378="EX",1,IF(DATOS!$G8378="OR",--(COUNTIFS(nNIA,DATOS!$A8378,nCURSO,DATOS!$D8378,nESPEC,DATOS!$E8378,nASIG,DATOS!$I8378,nEVAL,"EX")=0),0))))</f>
      </c>
      <c r="H8378">
        <f>IF(DATOS!$G8378&lt;&gt;"EX",0,--(COUNTIFS(nNIA,DATOS!$A8378,nCURSO,DATOS!$D8378,nESPEC,DATOS!$E8378,nASIG,DATOS!$I8378,nEVAL,"OR")=0))</f>
      </c>
      <c r="I8378">
        <f>IF(DATOS!$I8378="","",IFERROR(VLOOKUP(DATOS!$I8378,CONFIG_ASIGNATURAS!$B$2:$J$91,9,FALSE()),""))</f>
      </c>
    </row>
    <row r="8379">
      <c r="F8379">
        <f>IF(DATOS!$A8379="","",DATOS!$A8379&amp;"|"&amp;DATOS!$D8379&amp;"|"&amp;DATOS!$E8379&amp;"|"&amp;DATOS!$I8379)</f>
      </c>
      <c r="G8379">
        <f>IF(DATOS!$A8379="",0,IF(CONFIG_METADATA!$B$4&lt;&gt;"OR+EX",--(DATOS!$G8379=CONFIG_METADATA!$B$4),IF(DATOS!$G8379="EX",1,IF(DATOS!$G8379="OR",--(COUNTIFS(nNIA,DATOS!$A8379,nCURSO,DATOS!$D8379,nESPEC,DATOS!$E8379,nASIG,DATOS!$I8379,nEVAL,"EX")=0),0))))</f>
      </c>
      <c r="H8379">
        <f>IF(DATOS!$G8379&lt;&gt;"EX",0,--(COUNTIFS(nNIA,DATOS!$A8379,nCURSO,DATOS!$D8379,nESPEC,DATOS!$E8379,nASIG,DATOS!$I8379,nEVAL,"OR")=0))</f>
      </c>
      <c r="I8379">
        <f>IF(DATOS!$I8379="","",IFERROR(VLOOKUP(DATOS!$I8379,CONFIG_ASIGNATURAS!$B$2:$J$91,9,FALSE()),""))</f>
      </c>
    </row>
    <row r="8380">
      <c r="F8380">
        <f>IF(DATOS!$A8380="","",DATOS!$A8380&amp;"|"&amp;DATOS!$D8380&amp;"|"&amp;DATOS!$E8380&amp;"|"&amp;DATOS!$I8380)</f>
      </c>
      <c r="G8380">
        <f>IF(DATOS!$A8380="",0,IF(CONFIG_METADATA!$B$4&lt;&gt;"OR+EX",--(DATOS!$G8380=CONFIG_METADATA!$B$4),IF(DATOS!$G8380="EX",1,IF(DATOS!$G8380="OR",--(COUNTIFS(nNIA,DATOS!$A8380,nCURSO,DATOS!$D8380,nESPEC,DATOS!$E8380,nASIG,DATOS!$I8380,nEVAL,"EX")=0),0))))</f>
      </c>
      <c r="H8380">
        <f>IF(DATOS!$G8380&lt;&gt;"EX",0,--(COUNTIFS(nNIA,DATOS!$A8380,nCURSO,DATOS!$D8380,nESPEC,DATOS!$E8380,nASIG,DATOS!$I8380,nEVAL,"OR")=0))</f>
      </c>
      <c r="I8380">
        <f>IF(DATOS!$I8380="","",IFERROR(VLOOKUP(DATOS!$I8380,CONFIG_ASIGNATURAS!$B$2:$J$91,9,FALSE()),""))</f>
      </c>
    </row>
    <row r="8381">
      <c r="F8381">
        <f>IF(DATOS!$A8381="","",DATOS!$A8381&amp;"|"&amp;DATOS!$D8381&amp;"|"&amp;DATOS!$E8381&amp;"|"&amp;DATOS!$I8381)</f>
      </c>
      <c r="G8381">
        <f>IF(DATOS!$A8381="",0,IF(CONFIG_METADATA!$B$4&lt;&gt;"OR+EX",--(DATOS!$G8381=CONFIG_METADATA!$B$4),IF(DATOS!$G8381="EX",1,IF(DATOS!$G8381="OR",--(COUNTIFS(nNIA,DATOS!$A8381,nCURSO,DATOS!$D8381,nESPEC,DATOS!$E8381,nASIG,DATOS!$I8381,nEVAL,"EX")=0),0))))</f>
      </c>
      <c r="H8381">
        <f>IF(DATOS!$G8381&lt;&gt;"EX",0,--(COUNTIFS(nNIA,DATOS!$A8381,nCURSO,DATOS!$D8381,nESPEC,DATOS!$E8381,nASIG,DATOS!$I8381,nEVAL,"OR")=0))</f>
      </c>
      <c r="I8381">
        <f>IF(DATOS!$I8381="","",IFERROR(VLOOKUP(DATOS!$I8381,CONFIG_ASIGNATURAS!$B$2:$J$91,9,FALSE()),""))</f>
      </c>
    </row>
    <row r="8382">
      <c r="F8382">
        <f>IF(DATOS!$A8382="","",DATOS!$A8382&amp;"|"&amp;DATOS!$D8382&amp;"|"&amp;DATOS!$E8382&amp;"|"&amp;DATOS!$I8382)</f>
      </c>
      <c r="G8382">
        <f>IF(DATOS!$A8382="",0,IF(CONFIG_METADATA!$B$4&lt;&gt;"OR+EX",--(DATOS!$G8382=CONFIG_METADATA!$B$4),IF(DATOS!$G8382="EX",1,IF(DATOS!$G8382="OR",--(COUNTIFS(nNIA,DATOS!$A8382,nCURSO,DATOS!$D8382,nESPEC,DATOS!$E8382,nASIG,DATOS!$I8382,nEVAL,"EX")=0),0))))</f>
      </c>
      <c r="H8382">
        <f>IF(DATOS!$G8382&lt;&gt;"EX",0,--(COUNTIFS(nNIA,DATOS!$A8382,nCURSO,DATOS!$D8382,nESPEC,DATOS!$E8382,nASIG,DATOS!$I8382,nEVAL,"OR")=0))</f>
      </c>
      <c r="I8382">
        <f>IF(DATOS!$I8382="","",IFERROR(VLOOKUP(DATOS!$I8382,CONFIG_ASIGNATURAS!$B$2:$J$91,9,FALSE()),""))</f>
      </c>
    </row>
    <row r="8383">
      <c r="F8383">
        <f>IF(DATOS!$A8383="","",DATOS!$A8383&amp;"|"&amp;DATOS!$D8383&amp;"|"&amp;DATOS!$E8383&amp;"|"&amp;DATOS!$I8383)</f>
      </c>
      <c r="G8383">
        <f>IF(DATOS!$A8383="",0,IF(CONFIG_METADATA!$B$4&lt;&gt;"OR+EX",--(DATOS!$G8383=CONFIG_METADATA!$B$4),IF(DATOS!$G8383="EX",1,IF(DATOS!$G8383="OR",--(COUNTIFS(nNIA,DATOS!$A8383,nCURSO,DATOS!$D8383,nESPEC,DATOS!$E8383,nASIG,DATOS!$I8383,nEVAL,"EX")=0),0))))</f>
      </c>
      <c r="H8383">
        <f>IF(DATOS!$G8383&lt;&gt;"EX",0,--(COUNTIFS(nNIA,DATOS!$A8383,nCURSO,DATOS!$D8383,nESPEC,DATOS!$E8383,nASIG,DATOS!$I8383,nEVAL,"OR")=0))</f>
      </c>
      <c r="I8383">
        <f>IF(DATOS!$I8383="","",IFERROR(VLOOKUP(DATOS!$I8383,CONFIG_ASIGNATURAS!$B$2:$J$91,9,FALSE()),""))</f>
      </c>
    </row>
    <row r="8384">
      <c r="F8384">
        <f>IF(DATOS!$A8384="","",DATOS!$A8384&amp;"|"&amp;DATOS!$D8384&amp;"|"&amp;DATOS!$E8384&amp;"|"&amp;DATOS!$I8384)</f>
      </c>
      <c r="G8384">
        <f>IF(DATOS!$A8384="",0,IF(CONFIG_METADATA!$B$4&lt;&gt;"OR+EX",--(DATOS!$G8384=CONFIG_METADATA!$B$4),IF(DATOS!$G8384="EX",1,IF(DATOS!$G8384="OR",--(COUNTIFS(nNIA,DATOS!$A8384,nCURSO,DATOS!$D8384,nESPEC,DATOS!$E8384,nASIG,DATOS!$I8384,nEVAL,"EX")=0),0))))</f>
      </c>
      <c r="H8384">
        <f>IF(DATOS!$G8384&lt;&gt;"EX",0,--(COUNTIFS(nNIA,DATOS!$A8384,nCURSO,DATOS!$D8384,nESPEC,DATOS!$E8384,nASIG,DATOS!$I8384,nEVAL,"OR")=0))</f>
      </c>
      <c r="I8384">
        <f>IF(DATOS!$I8384="","",IFERROR(VLOOKUP(DATOS!$I8384,CONFIG_ASIGNATURAS!$B$2:$J$91,9,FALSE()),""))</f>
      </c>
    </row>
    <row r="8385">
      <c r="F8385">
        <f>IF(DATOS!$A8385="","",DATOS!$A8385&amp;"|"&amp;DATOS!$D8385&amp;"|"&amp;DATOS!$E8385&amp;"|"&amp;DATOS!$I8385)</f>
      </c>
      <c r="G8385">
        <f>IF(DATOS!$A8385="",0,IF(CONFIG_METADATA!$B$4&lt;&gt;"OR+EX",--(DATOS!$G8385=CONFIG_METADATA!$B$4),IF(DATOS!$G8385="EX",1,IF(DATOS!$G8385="OR",--(COUNTIFS(nNIA,DATOS!$A8385,nCURSO,DATOS!$D8385,nESPEC,DATOS!$E8385,nASIG,DATOS!$I8385,nEVAL,"EX")=0),0))))</f>
      </c>
      <c r="H8385">
        <f>IF(DATOS!$G8385&lt;&gt;"EX",0,--(COUNTIFS(nNIA,DATOS!$A8385,nCURSO,DATOS!$D8385,nESPEC,DATOS!$E8385,nASIG,DATOS!$I8385,nEVAL,"OR")=0))</f>
      </c>
      <c r="I8385">
        <f>IF(DATOS!$I8385="","",IFERROR(VLOOKUP(DATOS!$I8385,CONFIG_ASIGNATURAS!$B$2:$J$91,9,FALSE()),""))</f>
      </c>
    </row>
    <row r="8386">
      <c r="F8386">
        <f>IF(DATOS!$A8386="","",DATOS!$A8386&amp;"|"&amp;DATOS!$D8386&amp;"|"&amp;DATOS!$E8386&amp;"|"&amp;DATOS!$I8386)</f>
      </c>
      <c r="G8386">
        <f>IF(DATOS!$A8386="",0,IF(CONFIG_METADATA!$B$4&lt;&gt;"OR+EX",--(DATOS!$G8386=CONFIG_METADATA!$B$4),IF(DATOS!$G8386="EX",1,IF(DATOS!$G8386="OR",--(COUNTIFS(nNIA,DATOS!$A8386,nCURSO,DATOS!$D8386,nESPEC,DATOS!$E8386,nASIG,DATOS!$I8386,nEVAL,"EX")=0),0))))</f>
      </c>
      <c r="H8386">
        <f>IF(DATOS!$G8386&lt;&gt;"EX",0,--(COUNTIFS(nNIA,DATOS!$A8386,nCURSO,DATOS!$D8386,nESPEC,DATOS!$E8386,nASIG,DATOS!$I8386,nEVAL,"OR")=0))</f>
      </c>
      <c r="I8386">
        <f>IF(DATOS!$I8386="","",IFERROR(VLOOKUP(DATOS!$I8386,CONFIG_ASIGNATURAS!$B$2:$J$91,9,FALSE()),""))</f>
      </c>
    </row>
    <row r="8387">
      <c r="F8387">
        <f>IF(DATOS!$A8387="","",DATOS!$A8387&amp;"|"&amp;DATOS!$D8387&amp;"|"&amp;DATOS!$E8387&amp;"|"&amp;DATOS!$I8387)</f>
      </c>
      <c r="G8387">
        <f>IF(DATOS!$A8387="",0,IF(CONFIG_METADATA!$B$4&lt;&gt;"OR+EX",--(DATOS!$G8387=CONFIG_METADATA!$B$4),IF(DATOS!$G8387="EX",1,IF(DATOS!$G8387="OR",--(COUNTIFS(nNIA,DATOS!$A8387,nCURSO,DATOS!$D8387,nESPEC,DATOS!$E8387,nASIG,DATOS!$I8387,nEVAL,"EX")=0),0))))</f>
      </c>
      <c r="H8387">
        <f>IF(DATOS!$G8387&lt;&gt;"EX",0,--(COUNTIFS(nNIA,DATOS!$A8387,nCURSO,DATOS!$D8387,nESPEC,DATOS!$E8387,nASIG,DATOS!$I8387,nEVAL,"OR")=0))</f>
      </c>
      <c r="I8387">
        <f>IF(DATOS!$I8387="","",IFERROR(VLOOKUP(DATOS!$I8387,CONFIG_ASIGNATURAS!$B$2:$J$91,9,FALSE()),""))</f>
      </c>
    </row>
    <row r="8388">
      <c r="F8388">
        <f>IF(DATOS!$A8388="","",DATOS!$A8388&amp;"|"&amp;DATOS!$D8388&amp;"|"&amp;DATOS!$E8388&amp;"|"&amp;DATOS!$I8388)</f>
      </c>
      <c r="G8388">
        <f>IF(DATOS!$A8388="",0,IF(CONFIG_METADATA!$B$4&lt;&gt;"OR+EX",--(DATOS!$G8388=CONFIG_METADATA!$B$4),IF(DATOS!$G8388="EX",1,IF(DATOS!$G8388="OR",--(COUNTIFS(nNIA,DATOS!$A8388,nCURSO,DATOS!$D8388,nESPEC,DATOS!$E8388,nASIG,DATOS!$I8388,nEVAL,"EX")=0),0))))</f>
      </c>
      <c r="H8388">
        <f>IF(DATOS!$G8388&lt;&gt;"EX",0,--(COUNTIFS(nNIA,DATOS!$A8388,nCURSO,DATOS!$D8388,nESPEC,DATOS!$E8388,nASIG,DATOS!$I8388,nEVAL,"OR")=0))</f>
      </c>
      <c r="I8388">
        <f>IF(DATOS!$I8388="","",IFERROR(VLOOKUP(DATOS!$I8388,CONFIG_ASIGNATURAS!$B$2:$J$91,9,FALSE()),""))</f>
      </c>
    </row>
    <row r="8389">
      <c r="F8389">
        <f>IF(DATOS!$A8389="","",DATOS!$A8389&amp;"|"&amp;DATOS!$D8389&amp;"|"&amp;DATOS!$E8389&amp;"|"&amp;DATOS!$I8389)</f>
      </c>
      <c r="G8389">
        <f>IF(DATOS!$A8389="",0,IF(CONFIG_METADATA!$B$4&lt;&gt;"OR+EX",--(DATOS!$G8389=CONFIG_METADATA!$B$4),IF(DATOS!$G8389="EX",1,IF(DATOS!$G8389="OR",--(COUNTIFS(nNIA,DATOS!$A8389,nCURSO,DATOS!$D8389,nESPEC,DATOS!$E8389,nASIG,DATOS!$I8389,nEVAL,"EX")=0),0))))</f>
      </c>
      <c r="H8389">
        <f>IF(DATOS!$G8389&lt;&gt;"EX",0,--(COUNTIFS(nNIA,DATOS!$A8389,nCURSO,DATOS!$D8389,nESPEC,DATOS!$E8389,nASIG,DATOS!$I8389,nEVAL,"OR")=0))</f>
      </c>
      <c r="I8389">
        <f>IF(DATOS!$I8389="","",IFERROR(VLOOKUP(DATOS!$I8389,CONFIG_ASIGNATURAS!$B$2:$J$91,9,FALSE()),""))</f>
      </c>
    </row>
    <row r="8390">
      <c r="F8390">
        <f>IF(DATOS!$A8390="","",DATOS!$A8390&amp;"|"&amp;DATOS!$D8390&amp;"|"&amp;DATOS!$E8390&amp;"|"&amp;DATOS!$I8390)</f>
      </c>
      <c r="G8390">
        <f>IF(DATOS!$A8390="",0,IF(CONFIG_METADATA!$B$4&lt;&gt;"OR+EX",--(DATOS!$G8390=CONFIG_METADATA!$B$4),IF(DATOS!$G8390="EX",1,IF(DATOS!$G8390="OR",--(COUNTIFS(nNIA,DATOS!$A8390,nCURSO,DATOS!$D8390,nESPEC,DATOS!$E8390,nASIG,DATOS!$I8390,nEVAL,"EX")=0),0))))</f>
      </c>
      <c r="H8390">
        <f>IF(DATOS!$G8390&lt;&gt;"EX",0,--(COUNTIFS(nNIA,DATOS!$A8390,nCURSO,DATOS!$D8390,nESPEC,DATOS!$E8390,nASIG,DATOS!$I8390,nEVAL,"OR")=0))</f>
      </c>
      <c r="I8390">
        <f>IF(DATOS!$I8390="","",IFERROR(VLOOKUP(DATOS!$I8390,CONFIG_ASIGNATURAS!$B$2:$J$91,9,FALSE()),""))</f>
      </c>
    </row>
    <row r="8391">
      <c r="F8391">
        <f>IF(DATOS!$A8391="","",DATOS!$A8391&amp;"|"&amp;DATOS!$D8391&amp;"|"&amp;DATOS!$E8391&amp;"|"&amp;DATOS!$I8391)</f>
      </c>
      <c r="G8391">
        <f>IF(DATOS!$A8391="",0,IF(CONFIG_METADATA!$B$4&lt;&gt;"OR+EX",--(DATOS!$G8391=CONFIG_METADATA!$B$4),IF(DATOS!$G8391="EX",1,IF(DATOS!$G8391="OR",--(COUNTIFS(nNIA,DATOS!$A8391,nCURSO,DATOS!$D8391,nESPEC,DATOS!$E8391,nASIG,DATOS!$I8391,nEVAL,"EX")=0),0))))</f>
      </c>
      <c r="H8391">
        <f>IF(DATOS!$G8391&lt;&gt;"EX",0,--(COUNTIFS(nNIA,DATOS!$A8391,nCURSO,DATOS!$D8391,nESPEC,DATOS!$E8391,nASIG,DATOS!$I8391,nEVAL,"OR")=0))</f>
      </c>
      <c r="I8391">
        <f>IF(DATOS!$I8391="","",IFERROR(VLOOKUP(DATOS!$I8391,CONFIG_ASIGNATURAS!$B$2:$J$91,9,FALSE()),""))</f>
      </c>
    </row>
    <row r="8392">
      <c r="F8392">
        <f>IF(DATOS!$A8392="","",DATOS!$A8392&amp;"|"&amp;DATOS!$D8392&amp;"|"&amp;DATOS!$E8392&amp;"|"&amp;DATOS!$I8392)</f>
      </c>
      <c r="G8392">
        <f>IF(DATOS!$A8392="",0,IF(CONFIG_METADATA!$B$4&lt;&gt;"OR+EX",--(DATOS!$G8392=CONFIG_METADATA!$B$4),IF(DATOS!$G8392="EX",1,IF(DATOS!$G8392="OR",--(COUNTIFS(nNIA,DATOS!$A8392,nCURSO,DATOS!$D8392,nESPEC,DATOS!$E8392,nASIG,DATOS!$I8392,nEVAL,"EX")=0),0))))</f>
      </c>
      <c r="H8392">
        <f>IF(DATOS!$G8392&lt;&gt;"EX",0,--(COUNTIFS(nNIA,DATOS!$A8392,nCURSO,DATOS!$D8392,nESPEC,DATOS!$E8392,nASIG,DATOS!$I8392,nEVAL,"OR")=0))</f>
      </c>
      <c r="I8392">
        <f>IF(DATOS!$I8392="","",IFERROR(VLOOKUP(DATOS!$I8392,CONFIG_ASIGNATURAS!$B$2:$J$91,9,FALSE()),""))</f>
      </c>
    </row>
    <row r="8393">
      <c r="F8393">
        <f>IF(DATOS!$A8393="","",DATOS!$A8393&amp;"|"&amp;DATOS!$D8393&amp;"|"&amp;DATOS!$E8393&amp;"|"&amp;DATOS!$I8393)</f>
      </c>
      <c r="G8393">
        <f>IF(DATOS!$A8393="",0,IF(CONFIG_METADATA!$B$4&lt;&gt;"OR+EX",--(DATOS!$G8393=CONFIG_METADATA!$B$4),IF(DATOS!$G8393="EX",1,IF(DATOS!$G8393="OR",--(COUNTIFS(nNIA,DATOS!$A8393,nCURSO,DATOS!$D8393,nESPEC,DATOS!$E8393,nASIG,DATOS!$I8393,nEVAL,"EX")=0),0))))</f>
      </c>
      <c r="H8393">
        <f>IF(DATOS!$G8393&lt;&gt;"EX",0,--(COUNTIFS(nNIA,DATOS!$A8393,nCURSO,DATOS!$D8393,nESPEC,DATOS!$E8393,nASIG,DATOS!$I8393,nEVAL,"OR")=0))</f>
      </c>
      <c r="I8393">
        <f>IF(DATOS!$I8393="","",IFERROR(VLOOKUP(DATOS!$I8393,CONFIG_ASIGNATURAS!$B$2:$J$91,9,FALSE()),""))</f>
      </c>
    </row>
    <row r="8394">
      <c r="F8394">
        <f>IF(DATOS!$A8394="","",DATOS!$A8394&amp;"|"&amp;DATOS!$D8394&amp;"|"&amp;DATOS!$E8394&amp;"|"&amp;DATOS!$I8394)</f>
      </c>
      <c r="G8394">
        <f>IF(DATOS!$A8394="",0,IF(CONFIG_METADATA!$B$4&lt;&gt;"OR+EX",--(DATOS!$G8394=CONFIG_METADATA!$B$4),IF(DATOS!$G8394="EX",1,IF(DATOS!$G8394="OR",--(COUNTIFS(nNIA,DATOS!$A8394,nCURSO,DATOS!$D8394,nESPEC,DATOS!$E8394,nASIG,DATOS!$I8394,nEVAL,"EX")=0),0))))</f>
      </c>
      <c r="H8394">
        <f>IF(DATOS!$G8394&lt;&gt;"EX",0,--(COUNTIFS(nNIA,DATOS!$A8394,nCURSO,DATOS!$D8394,nESPEC,DATOS!$E8394,nASIG,DATOS!$I8394,nEVAL,"OR")=0))</f>
      </c>
      <c r="I8394">
        <f>IF(DATOS!$I8394="","",IFERROR(VLOOKUP(DATOS!$I8394,CONFIG_ASIGNATURAS!$B$2:$J$91,9,FALSE()),""))</f>
      </c>
    </row>
    <row r="8395">
      <c r="F8395">
        <f>IF(DATOS!$A8395="","",DATOS!$A8395&amp;"|"&amp;DATOS!$D8395&amp;"|"&amp;DATOS!$E8395&amp;"|"&amp;DATOS!$I8395)</f>
      </c>
      <c r="G8395">
        <f>IF(DATOS!$A8395="",0,IF(CONFIG_METADATA!$B$4&lt;&gt;"OR+EX",--(DATOS!$G8395=CONFIG_METADATA!$B$4),IF(DATOS!$G8395="EX",1,IF(DATOS!$G8395="OR",--(COUNTIFS(nNIA,DATOS!$A8395,nCURSO,DATOS!$D8395,nESPEC,DATOS!$E8395,nASIG,DATOS!$I8395,nEVAL,"EX")=0),0))))</f>
      </c>
      <c r="H8395">
        <f>IF(DATOS!$G8395&lt;&gt;"EX",0,--(COUNTIFS(nNIA,DATOS!$A8395,nCURSO,DATOS!$D8395,nESPEC,DATOS!$E8395,nASIG,DATOS!$I8395,nEVAL,"OR")=0))</f>
      </c>
      <c r="I8395">
        <f>IF(DATOS!$I8395="","",IFERROR(VLOOKUP(DATOS!$I8395,CONFIG_ASIGNATURAS!$B$2:$J$91,9,FALSE()),""))</f>
      </c>
    </row>
    <row r="8396">
      <c r="F8396">
        <f>IF(DATOS!$A8396="","",DATOS!$A8396&amp;"|"&amp;DATOS!$D8396&amp;"|"&amp;DATOS!$E8396&amp;"|"&amp;DATOS!$I8396)</f>
      </c>
      <c r="G8396">
        <f>IF(DATOS!$A8396="",0,IF(CONFIG_METADATA!$B$4&lt;&gt;"OR+EX",--(DATOS!$G8396=CONFIG_METADATA!$B$4),IF(DATOS!$G8396="EX",1,IF(DATOS!$G8396="OR",--(COUNTIFS(nNIA,DATOS!$A8396,nCURSO,DATOS!$D8396,nESPEC,DATOS!$E8396,nASIG,DATOS!$I8396,nEVAL,"EX")=0),0))))</f>
      </c>
      <c r="H8396">
        <f>IF(DATOS!$G8396&lt;&gt;"EX",0,--(COUNTIFS(nNIA,DATOS!$A8396,nCURSO,DATOS!$D8396,nESPEC,DATOS!$E8396,nASIG,DATOS!$I8396,nEVAL,"OR")=0))</f>
      </c>
      <c r="I8396">
        <f>IF(DATOS!$I8396="","",IFERROR(VLOOKUP(DATOS!$I8396,CONFIG_ASIGNATURAS!$B$2:$J$91,9,FALSE()),""))</f>
      </c>
    </row>
    <row r="8397">
      <c r="F8397">
        <f>IF(DATOS!$A8397="","",DATOS!$A8397&amp;"|"&amp;DATOS!$D8397&amp;"|"&amp;DATOS!$E8397&amp;"|"&amp;DATOS!$I8397)</f>
      </c>
      <c r="G8397">
        <f>IF(DATOS!$A8397="",0,IF(CONFIG_METADATA!$B$4&lt;&gt;"OR+EX",--(DATOS!$G8397=CONFIG_METADATA!$B$4),IF(DATOS!$G8397="EX",1,IF(DATOS!$G8397="OR",--(COUNTIFS(nNIA,DATOS!$A8397,nCURSO,DATOS!$D8397,nESPEC,DATOS!$E8397,nASIG,DATOS!$I8397,nEVAL,"EX")=0),0))))</f>
      </c>
      <c r="H8397">
        <f>IF(DATOS!$G8397&lt;&gt;"EX",0,--(COUNTIFS(nNIA,DATOS!$A8397,nCURSO,DATOS!$D8397,nESPEC,DATOS!$E8397,nASIG,DATOS!$I8397,nEVAL,"OR")=0))</f>
      </c>
      <c r="I8397">
        <f>IF(DATOS!$I8397="","",IFERROR(VLOOKUP(DATOS!$I8397,CONFIG_ASIGNATURAS!$B$2:$J$91,9,FALSE()),""))</f>
      </c>
    </row>
    <row r="8398">
      <c r="F8398">
        <f>IF(DATOS!$A8398="","",DATOS!$A8398&amp;"|"&amp;DATOS!$D8398&amp;"|"&amp;DATOS!$E8398&amp;"|"&amp;DATOS!$I8398)</f>
      </c>
      <c r="G8398">
        <f>IF(DATOS!$A8398="",0,IF(CONFIG_METADATA!$B$4&lt;&gt;"OR+EX",--(DATOS!$G8398=CONFIG_METADATA!$B$4),IF(DATOS!$G8398="EX",1,IF(DATOS!$G8398="OR",--(COUNTIFS(nNIA,DATOS!$A8398,nCURSO,DATOS!$D8398,nESPEC,DATOS!$E8398,nASIG,DATOS!$I8398,nEVAL,"EX")=0),0))))</f>
      </c>
      <c r="H8398">
        <f>IF(DATOS!$G8398&lt;&gt;"EX",0,--(COUNTIFS(nNIA,DATOS!$A8398,nCURSO,DATOS!$D8398,nESPEC,DATOS!$E8398,nASIG,DATOS!$I8398,nEVAL,"OR")=0))</f>
      </c>
      <c r="I8398">
        <f>IF(DATOS!$I8398="","",IFERROR(VLOOKUP(DATOS!$I8398,CONFIG_ASIGNATURAS!$B$2:$J$91,9,FALSE()),""))</f>
      </c>
    </row>
    <row r="8399">
      <c r="F8399">
        <f>IF(DATOS!$A8399="","",DATOS!$A8399&amp;"|"&amp;DATOS!$D8399&amp;"|"&amp;DATOS!$E8399&amp;"|"&amp;DATOS!$I8399)</f>
      </c>
      <c r="G8399">
        <f>IF(DATOS!$A8399="",0,IF(CONFIG_METADATA!$B$4&lt;&gt;"OR+EX",--(DATOS!$G8399=CONFIG_METADATA!$B$4),IF(DATOS!$G8399="EX",1,IF(DATOS!$G8399="OR",--(COUNTIFS(nNIA,DATOS!$A8399,nCURSO,DATOS!$D8399,nESPEC,DATOS!$E8399,nASIG,DATOS!$I8399,nEVAL,"EX")=0),0))))</f>
      </c>
      <c r="H8399">
        <f>IF(DATOS!$G8399&lt;&gt;"EX",0,--(COUNTIFS(nNIA,DATOS!$A8399,nCURSO,DATOS!$D8399,nESPEC,DATOS!$E8399,nASIG,DATOS!$I8399,nEVAL,"OR")=0))</f>
      </c>
      <c r="I8399">
        <f>IF(DATOS!$I8399="","",IFERROR(VLOOKUP(DATOS!$I8399,CONFIG_ASIGNATURAS!$B$2:$J$91,9,FALSE()),""))</f>
      </c>
    </row>
    <row r="8400">
      <c r="F8400">
        <f>IF(DATOS!$A8400="","",DATOS!$A8400&amp;"|"&amp;DATOS!$D8400&amp;"|"&amp;DATOS!$E8400&amp;"|"&amp;DATOS!$I8400)</f>
      </c>
      <c r="G8400">
        <f>IF(DATOS!$A8400="",0,IF(CONFIG_METADATA!$B$4&lt;&gt;"OR+EX",--(DATOS!$G8400=CONFIG_METADATA!$B$4),IF(DATOS!$G8400="EX",1,IF(DATOS!$G8400="OR",--(COUNTIFS(nNIA,DATOS!$A8400,nCURSO,DATOS!$D8400,nESPEC,DATOS!$E8400,nASIG,DATOS!$I8400,nEVAL,"EX")=0),0))))</f>
      </c>
      <c r="H8400">
        <f>IF(DATOS!$G8400&lt;&gt;"EX",0,--(COUNTIFS(nNIA,DATOS!$A8400,nCURSO,DATOS!$D8400,nESPEC,DATOS!$E8400,nASIG,DATOS!$I8400,nEVAL,"OR")=0))</f>
      </c>
      <c r="I8400">
        <f>IF(DATOS!$I8400="","",IFERROR(VLOOKUP(DATOS!$I8400,CONFIG_ASIGNATURAS!$B$2:$J$91,9,FALSE()),""))</f>
      </c>
    </row>
    <row r="8401">
      <c r="F8401">
        <f>IF(DATOS!$A8401="","",DATOS!$A8401&amp;"|"&amp;DATOS!$D8401&amp;"|"&amp;DATOS!$E8401&amp;"|"&amp;DATOS!$I8401)</f>
      </c>
      <c r="G8401">
        <f>IF(DATOS!$A8401="",0,IF(CONFIG_METADATA!$B$4&lt;&gt;"OR+EX",--(DATOS!$G8401=CONFIG_METADATA!$B$4),IF(DATOS!$G8401="EX",1,IF(DATOS!$G8401="OR",--(COUNTIFS(nNIA,DATOS!$A8401,nCURSO,DATOS!$D8401,nESPEC,DATOS!$E8401,nASIG,DATOS!$I8401,nEVAL,"EX")=0),0))))</f>
      </c>
      <c r="H8401">
        <f>IF(DATOS!$G8401&lt;&gt;"EX",0,--(COUNTIFS(nNIA,DATOS!$A8401,nCURSO,DATOS!$D8401,nESPEC,DATOS!$E8401,nASIG,DATOS!$I8401,nEVAL,"OR")=0))</f>
      </c>
      <c r="I8401">
        <f>IF(DATOS!$I8401="","",IFERROR(VLOOKUP(DATOS!$I8401,CONFIG_ASIGNATURAS!$B$2:$J$91,9,FALSE()),""))</f>
      </c>
    </row>
    <row r="8402">
      <c r="F8402">
        <f>IF(DATOS!$A8402="","",DATOS!$A8402&amp;"|"&amp;DATOS!$D8402&amp;"|"&amp;DATOS!$E8402&amp;"|"&amp;DATOS!$I8402)</f>
      </c>
      <c r="G8402">
        <f>IF(DATOS!$A8402="",0,IF(CONFIG_METADATA!$B$4&lt;&gt;"OR+EX",--(DATOS!$G8402=CONFIG_METADATA!$B$4),IF(DATOS!$G8402="EX",1,IF(DATOS!$G8402="OR",--(COUNTIFS(nNIA,DATOS!$A8402,nCURSO,DATOS!$D8402,nESPEC,DATOS!$E8402,nASIG,DATOS!$I8402,nEVAL,"EX")=0),0))))</f>
      </c>
      <c r="H8402">
        <f>IF(DATOS!$G8402&lt;&gt;"EX",0,--(COUNTIFS(nNIA,DATOS!$A8402,nCURSO,DATOS!$D8402,nESPEC,DATOS!$E8402,nASIG,DATOS!$I8402,nEVAL,"OR")=0))</f>
      </c>
      <c r="I8402">
        <f>IF(DATOS!$I8402="","",IFERROR(VLOOKUP(DATOS!$I8402,CONFIG_ASIGNATURAS!$B$2:$J$91,9,FALSE()),""))</f>
      </c>
    </row>
    <row r="8403">
      <c r="F8403">
        <f>IF(DATOS!$A8403="","",DATOS!$A8403&amp;"|"&amp;DATOS!$D8403&amp;"|"&amp;DATOS!$E8403&amp;"|"&amp;DATOS!$I8403)</f>
      </c>
      <c r="G8403">
        <f>IF(DATOS!$A8403="",0,IF(CONFIG_METADATA!$B$4&lt;&gt;"OR+EX",--(DATOS!$G8403=CONFIG_METADATA!$B$4),IF(DATOS!$G8403="EX",1,IF(DATOS!$G8403="OR",--(COUNTIFS(nNIA,DATOS!$A8403,nCURSO,DATOS!$D8403,nESPEC,DATOS!$E8403,nASIG,DATOS!$I8403,nEVAL,"EX")=0),0))))</f>
      </c>
      <c r="H8403">
        <f>IF(DATOS!$G8403&lt;&gt;"EX",0,--(COUNTIFS(nNIA,DATOS!$A8403,nCURSO,DATOS!$D8403,nESPEC,DATOS!$E8403,nASIG,DATOS!$I8403,nEVAL,"OR")=0))</f>
      </c>
      <c r="I8403">
        <f>IF(DATOS!$I8403="","",IFERROR(VLOOKUP(DATOS!$I8403,CONFIG_ASIGNATURAS!$B$2:$J$91,9,FALSE()),""))</f>
      </c>
    </row>
    <row r="8404">
      <c r="F8404">
        <f>IF(DATOS!$A8404="","",DATOS!$A8404&amp;"|"&amp;DATOS!$D8404&amp;"|"&amp;DATOS!$E8404&amp;"|"&amp;DATOS!$I8404)</f>
      </c>
      <c r="G8404">
        <f>IF(DATOS!$A8404="",0,IF(CONFIG_METADATA!$B$4&lt;&gt;"OR+EX",--(DATOS!$G8404=CONFIG_METADATA!$B$4),IF(DATOS!$G8404="EX",1,IF(DATOS!$G8404="OR",--(COUNTIFS(nNIA,DATOS!$A8404,nCURSO,DATOS!$D8404,nESPEC,DATOS!$E8404,nASIG,DATOS!$I8404,nEVAL,"EX")=0),0))))</f>
      </c>
      <c r="H8404">
        <f>IF(DATOS!$G8404&lt;&gt;"EX",0,--(COUNTIFS(nNIA,DATOS!$A8404,nCURSO,DATOS!$D8404,nESPEC,DATOS!$E8404,nASIG,DATOS!$I8404,nEVAL,"OR")=0))</f>
      </c>
      <c r="I8404">
        <f>IF(DATOS!$I8404="","",IFERROR(VLOOKUP(DATOS!$I8404,CONFIG_ASIGNATURAS!$B$2:$J$91,9,FALSE()),""))</f>
      </c>
    </row>
    <row r="8405">
      <c r="F8405">
        <f>IF(DATOS!$A8405="","",DATOS!$A8405&amp;"|"&amp;DATOS!$D8405&amp;"|"&amp;DATOS!$E8405&amp;"|"&amp;DATOS!$I8405)</f>
      </c>
      <c r="G8405">
        <f>IF(DATOS!$A8405="",0,IF(CONFIG_METADATA!$B$4&lt;&gt;"OR+EX",--(DATOS!$G8405=CONFIG_METADATA!$B$4),IF(DATOS!$G8405="EX",1,IF(DATOS!$G8405="OR",--(COUNTIFS(nNIA,DATOS!$A8405,nCURSO,DATOS!$D8405,nESPEC,DATOS!$E8405,nASIG,DATOS!$I8405,nEVAL,"EX")=0),0))))</f>
      </c>
      <c r="H8405">
        <f>IF(DATOS!$G8405&lt;&gt;"EX",0,--(COUNTIFS(nNIA,DATOS!$A8405,nCURSO,DATOS!$D8405,nESPEC,DATOS!$E8405,nASIG,DATOS!$I8405,nEVAL,"OR")=0))</f>
      </c>
      <c r="I8405">
        <f>IF(DATOS!$I8405="","",IFERROR(VLOOKUP(DATOS!$I8405,CONFIG_ASIGNATURAS!$B$2:$J$91,9,FALSE()),""))</f>
      </c>
    </row>
    <row r="8406">
      <c r="F8406">
        <f>IF(DATOS!$A8406="","",DATOS!$A8406&amp;"|"&amp;DATOS!$D8406&amp;"|"&amp;DATOS!$E8406&amp;"|"&amp;DATOS!$I8406)</f>
      </c>
      <c r="G8406">
        <f>IF(DATOS!$A8406="",0,IF(CONFIG_METADATA!$B$4&lt;&gt;"OR+EX",--(DATOS!$G8406=CONFIG_METADATA!$B$4),IF(DATOS!$G8406="EX",1,IF(DATOS!$G8406="OR",--(COUNTIFS(nNIA,DATOS!$A8406,nCURSO,DATOS!$D8406,nESPEC,DATOS!$E8406,nASIG,DATOS!$I8406,nEVAL,"EX")=0),0))))</f>
      </c>
      <c r="H8406">
        <f>IF(DATOS!$G8406&lt;&gt;"EX",0,--(COUNTIFS(nNIA,DATOS!$A8406,nCURSO,DATOS!$D8406,nESPEC,DATOS!$E8406,nASIG,DATOS!$I8406,nEVAL,"OR")=0))</f>
      </c>
      <c r="I8406">
        <f>IF(DATOS!$I8406="","",IFERROR(VLOOKUP(DATOS!$I8406,CONFIG_ASIGNATURAS!$B$2:$J$91,9,FALSE()),""))</f>
      </c>
    </row>
    <row r="8407">
      <c r="F8407">
        <f>IF(DATOS!$A8407="","",DATOS!$A8407&amp;"|"&amp;DATOS!$D8407&amp;"|"&amp;DATOS!$E8407&amp;"|"&amp;DATOS!$I8407)</f>
      </c>
      <c r="G8407">
        <f>IF(DATOS!$A8407="",0,IF(CONFIG_METADATA!$B$4&lt;&gt;"OR+EX",--(DATOS!$G8407=CONFIG_METADATA!$B$4),IF(DATOS!$G8407="EX",1,IF(DATOS!$G8407="OR",--(COUNTIFS(nNIA,DATOS!$A8407,nCURSO,DATOS!$D8407,nESPEC,DATOS!$E8407,nASIG,DATOS!$I8407,nEVAL,"EX")=0),0))))</f>
      </c>
      <c r="H8407">
        <f>IF(DATOS!$G8407&lt;&gt;"EX",0,--(COUNTIFS(nNIA,DATOS!$A8407,nCURSO,DATOS!$D8407,nESPEC,DATOS!$E8407,nASIG,DATOS!$I8407,nEVAL,"OR")=0))</f>
      </c>
      <c r="I8407">
        <f>IF(DATOS!$I8407="","",IFERROR(VLOOKUP(DATOS!$I8407,CONFIG_ASIGNATURAS!$B$2:$J$91,9,FALSE()),""))</f>
      </c>
    </row>
    <row r="8408">
      <c r="F8408">
        <f>IF(DATOS!$A8408="","",DATOS!$A8408&amp;"|"&amp;DATOS!$D8408&amp;"|"&amp;DATOS!$E8408&amp;"|"&amp;DATOS!$I8408)</f>
      </c>
      <c r="G8408">
        <f>IF(DATOS!$A8408="",0,IF(CONFIG_METADATA!$B$4&lt;&gt;"OR+EX",--(DATOS!$G8408=CONFIG_METADATA!$B$4),IF(DATOS!$G8408="EX",1,IF(DATOS!$G8408="OR",--(COUNTIFS(nNIA,DATOS!$A8408,nCURSO,DATOS!$D8408,nESPEC,DATOS!$E8408,nASIG,DATOS!$I8408,nEVAL,"EX")=0),0))))</f>
      </c>
      <c r="H8408">
        <f>IF(DATOS!$G8408&lt;&gt;"EX",0,--(COUNTIFS(nNIA,DATOS!$A8408,nCURSO,DATOS!$D8408,nESPEC,DATOS!$E8408,nASIG,DATOS!$I8408,nEVAL,"OR")=0))</f>
      </c>
      <c r="I8408">
        <f>IF(DATOS!$I8408="","",IFERROR(VLOOKUP(DATOS!$I8408,CONFIG_ASIGNATURAS!$B$2:$J$91,9,FALSE()),""))</f>
      </c>
    </row>
    <row r="8409">
      <c r="F8409">
        <f>IF(DATOS!$A8409="","",DATOS!$A8409&amp;"|"&amp;DATOS!$D8409&amp;"|"&amp;DATOS!$E8409&amp;"|"&amp;DATOS!$I8409)</f>
      </c>
      <c r="G8409">
        <f>IF(DATOS!$A8409="",0,IF(CONFIG_METADATA!$B$4&lt;&gt;"OR+EX",--(DATOS!$G8409=CONFIG_METADATA!$B$4),IF(DATOS!$G8409="EX",1,IF(DATOS!$G8409="OR",--(COUNTIFS(nNIA,DATOS!$A8409,nCURSO,DATOS!$D8409,nESPEC,DATOS!$E8409,nASIG,DATOS!$I8409,nEVAL,"EX")=0),0))))</f>
      </c>
      <c r="H8409">
        <f>IF(DATOS!$G8409&lt;&gt;"EX",0,--(COUNTIFS(nNIA,DATOS!$A8409,nCURSO,DATOS!$D8409,nESPEC,DATOS!$E8409,nASIG,DATOS!$I8409,nEVAL,"OR")=0))</f>
      </c>
      <c r="I8409">
        <f>IF(DATOS!$I8409="","",IFERROR(VLOOKUP(DATOS!$I8409,CONFIG_ASIGNATURAS!$B$2:$J$91,9,FALSE()),""))</f>
      </c>
    </row>
    <row r="8410">
      <c r="F8410">
        <f>IF(DATOS!$A8410="","",DATOS!$A8410&amp;"|"&amp;DATOS!$D8410&amp;"|"&amp;DATOS!$E8410&amp;"|"&amp;DATOS!$I8410)</f>
      </c>
      <c r="G8410">
        <f>IF(DATOS!$A8410="",0,IF(CONFIG_METADATA!$B$4&lt;&gt;"OR+EX",--(DATOS!$G8410=CONFIG_METADATA!$B$4),IF(DATOS!$G8410="EX",1,IF(DATOS!$G8410="OR",--(COUNTIFS(nNIA,DATOS!$A8410,nCURSO,DATOS!$D8410,nESPEC,DATOS!$E8410,nASIG,DATOS!$I8410,nEVAL,"EX")=0),0))))</f>
      </c>
      <c r="H8410">
        <f>IF(DATOS!$G8410&lt;&gt;"EX",0,--(COUNTIFS(nNIA,DATOS!$A8410,nCURSO,DATOS!$D8410,nESPEC,DATOS!$E8410,nASIG,DATOS!$I8410,nEVAL,"OR")=0))</f>
      </c>
      <c r="I8410">
        <f>IF(DATOS!$I8410="","",IFERROR(VLOOKUP(DATOS!$I8410,CONFIG_ASIGNATURAS!$B$2:$J$91,9,FALSE()),""))</f>
      </c>
    </row>
    <row r="8411">
      <c r="F8411">
        <f>IF(DATOS!$A8411="","",DATOS!$A8411&amp;"|"&amp;DATOS!$D8411&amp;"|"&amp;DATOS!$E8411&amp;"|"&amp;DATOS!$I8411)</f>
      </c>
      <c r="G8411">
        <f>IF(DATOS!$A8411="",0,IF(CONFIG_METADATA!$B$4&lt;&gt;"OR+EX",--(DATOS!$G8411=CONFIG_METADATA!$B$4),IF(DATOS!$G8411="EX",1,IF(DATOS!$G8411="OR",--(COUNTIFS(nNIA,DATOS!$A8411,nCURSO,DATOS!$D8411,nESPEC,DATOS!$E8411,nASIG,DATOS!$I8411,nEVAL,"EX")=0),0))))</f>
      </c>
      <c r="H8411">
        <f>IF(DATOS!$G8411&lt;&gt;"EX",0,--(COUNTIFS(nNIA,DATOS!$A8411,nCURSO,DATOS!$D8411,nESPEC,DATOS!$E8411,nASIG,DATOS!$I8411,nEVAL,"OR")=0))</f>
      </c>
      <c r="I8411">
        <f>IF(DATOS!$I8411="","",IFERROR(VLOOKUP(DATOS!$I8411,CONFIG_ASIGNATURAS!$B$2:$J$91,9,FALSE()),""))</f>
      </c>
    </row>
    <row r="8412">
      <c r="F8412">
        <f>IF(DATOS!$A8412="","",DATOS!$A8412&amp;"|"&amp;DATOS!$D8412&amp;"|"&amp;DATOS!$E8412&amp;"|"&amp;DATOS!$I8412)</f>
      </c>
      <c r="G8412">
        <f>IF(DATOS!$A8412="",0,IF(CONFIG_METADATA!$B$4&lt;&gt;"OR+EX",--(DATOS!$G8412=CONFIG_METADATA!$B$4),IF(DATOS!$G8412="EX",1,IF(DATOS!$G8412="OR",--(COUNTIFS(nNIA,DATOS!$A8412,nCURSO,DATOS!$D8412,nESPEC,DATOS!$E8412,nASIG,DATOS!$I8412,nEVAL,"EX")=0),0))))</f>
      </c>
      <c r="H8412">
        <f>IF(DATOS!$G8412&lt;&gt;"EX",0,--(COUNTIFS(nNIA,DATOS!$A8412,nCURSO,DATOS!$D8412,nESPEC,DATOS!$E8412,nASIG,DATOS!$I8412,nEVAL,"OR")=0))</f>
      </c>
      <c r="I8412">
        <f>IF(DATOS!$I8412="","",IFERROR(VLOOKUP(DATOS!$I8412,CONFIG_ASIGNATURAS!$B$2:$J$91,9,FALSE()),""))</f>
      </c>
    </row>
    <row r="8413">
      <c r="F8413">
        <f>IF(DATOS!$A8413="","",DATOS!$A8413&amp;"|"&amp;DATOS!$D8413&amp;"|"&amp;DATOS!$E8413&amp;"|"&amp;DATOS!$I8413)</f>
      </c>
      <c r="G8413">
        <f>IF(DATOS!$A8413="",0,IF(CONFIG_METADATA!$B$4&lt;&gt;"OR+EX",--(DATOS!$G8413=CONFIG_METADATA!$B$4),IF(DATOS!$G8413="EX",1,IF(DATOS!$G8413="OR",--(COUNTIFS(nNIA,DATOS!$A8413,nCURSO,DATOS!$D8413,nESPEC,DATOS!$E8413,nASIG,DATOS!$I8413,nEVAL,"EX")=0),0))))</f>
      </c>
      <c r="H8413">
        <f>IF(DATOS!$G8413&lt;&gt;"EX",0,--(COUNTIFS(nNIA,DATOS!$A8413,nCURSO,DATOS!$D8413,nESPEC,DATOS!$E8413,nASIG,DATOS!$I8413,nEVAL,"OR")=0))</f>
      </c>
      <c r="I8413">
        <f>IF(DATOS!$I8413="","",IFERROR(VLOOKUP(DATOS!$I8413,CONFIG_ASIGNATURAS!$B$2:$J$91,9,FALSE()),""))</f>
      </c>
    </row>
    <row r="8414">
      <c r="F8414">
        <f>IF(DATOS!$A8414="","",DATOS!$A8414&amp;"|"&amp;DATOS!$D8414&amp;"|"&amp;DATOS!$E8414&amp;"|"&amp;DATOS!$I8414)</f>
      </c>
      <c r="G8414">
        <f>IF(DATOS!$A8414="",0,IF(CONFIG_METADATA!$B$4&lt;&gt;"OR+EX",--(DATOS!$G8414=CONFIG_METADATA!$B$4),IF(DATOS!$G8414="EX",1,IF(DATOS!$G8414="OR",--(COUNTIFS(nNIA,DATOS!$A8414,nCURSO,DATOS!$D8414,nESPEC,DATOS!$E8414,nASIG,DATOS!$I8414,nEVAL,"EX")=0),0))))</f>
      </c>
      <c r="H8414">
        <f>IF(DATOS!$G8414&lt;&gt;"EX",0,--(COUNTIFS(nNIA,DATOS!$A8414,nCURSO,DATOS!$D8414,nESPEC,DATOS!$E8414,nASIG,DATOS!$I8414,nEVAL,"OR")=0))</f>
      </c>
      <c r="I8414">
        <f>IF(DATOS!$I8414="","",IFERROR(VLOOKUP(DATOS!$I8414,CONFIG_ASIGNATURAS!$B$2:$J$91,9,FALSE()),""))</f>
      </c>
    </row>
    <row r="8415">
      <c r="F8415">
        <f>IF(DATOS!$A8415="","",DATOS!$A8415&amp;"|"&amp;DATOS!$D8415&amp;"|"&amp;DATOS!$E8415&amp;"|"&amp;DATOS!$I8415)</f>
      </c>
      <c r="G8415">
        <f>IF(DATOS!$A8415="",0,IF(CONFIG_METADATA!$B$4&lt;&gt;"OR+EX",--(DATOS!$G8415=CONFIG_METADATA!$B$4),IF(DATOS!$G8415="EX",1,IF(DATOS!$G8415="OR",--(COUNTIFS(nNIA,DATOS!$A8415,nCURSO,DATOS!$D8415,nESPEC,DATOS!$E8415,nASIG,DATOS!$I8415,nEVAL,"EX")=0),0))))</f>
      </c>
      <c r="H8415">
        <f>IF(DATOS!$G8415&lt;&gt;"EX",0,--(COUNTIFS(nNIA,DATOS!$A8415,nCURSO,DATOS!$D8415,nESPEC,DATOS!$E8415,nASIG,DATOS!$I8415,nEVAL,"OR")=0))</f>
      </c>
      <c r="I8415">
        <f>IF(DATOS!$I8415="","",IFERROR(VLOOKUP(DATOS!$I8415,CONFIG_ASIGNATURAS!$B$2:$J$91,9,FALSE()),""))</f>
      </c>
    </row>
    <row r="8416">
      <c r="F8416">
        <f>IF(DATOS!$A8416="","",DATOS!$A8416&amp;"|"&amp;DATOS!$D8416&amp;"|"&amp;DATOS!$E8416&amp;"|"&amp;DATOS!$I8416)</f>
      </c>
      <c r="G8416">
        <f>IF(DATOS!$A8416="",0,IF(CONFIG_METADATA!$B$4&lt;&gt;"OR+EX",--(DATOS!$G8416=CONFIG_METADATA!$B$4),IF(DATOS!$G8416="EX",1,IF(DATOS!$G8416="OR",--(COUNTIFS(nNIA,DATOS!$A8416,nCURSO,DATOS!$D8416,nESPEC,DATOS!$E8416,nASIG,DATOS!$I8416,nEVAL,"EX")=0),0))))</f>
      </c>
      <c r="H8416">
        <f>IF(DATOS!$G8416&lt;&gt;"EX",0,--(COUNTIFS(nNIA,DATOS!$A8416,nCURSO,DATOS!$D8416,nESPEC,DATOS!$E8416,nASIG,DATOS!$I8416,nEVAL,"OR")=0))</f>
      </c>
      <c r="I8416">
        <f>IF(DATOS!$I8416="","",IFERROR(VLOOKUP(DATOS!$I8416,CONFIG_ASIGNATURAS!$B$2:$J$91,9,FALSE()),""))</f>
      </c>
    </row>
    <row r="8417">
      <c r="F8417">
        <f>IF(DATOS!$A8417="","",DATOS!$A8417&amp;"|"&amp;DATOS!$D8417&amp;"|"&amp;DATOS!$E8417&amp;"|"&amp;DATOS!$I8417)</f>
      </c>
      <c r="G8417">
        <f>IF(DATOS!$A8417="",0,IF(CONFIG_METADATA!$B$4&lt;&gt;"OR+EX",--(DATOS!$G8417=CONFIG_METADATA!$B$4),IF(DATOS!$G8417="EX",1,IF(DATOS!$G8417="OR",--(COUNTIFS(nNIA,DATOS!$A8417,nCURSO,DATOS!$D8417,nESPEC,DATOS!$E8417,nASIG,DATOS!$I8417,nEVAL,"EX")=0),0))))</f>
      </c>
      <c r="H8417">
        <f>IF(DATOS!$G8417&lt;&gt;"EX",0,--(COUNTIFS(nNIA,DATOS!$A8417,nCURSO,DATOS!$D8417,nESPEC,DATOS!$E8417,nASIG,DATOS!$I8417,nEVAL,"OR")=0))</f>
      </c>
      <c r="I8417">
        <f>IF(DATOS!$I8417="","",IFERROR(VLOOKUP(DATOS!$I8417,CONFIG_ASIGNATURAS!$B$2:$J$91,9,FALSE()),""))</f>
      </c>
    </row>
    <row r="8418">
      <c r="F8418">
        <f>IF(DATOS!$A8418="","",DATOS!$A8418&amp;"|"&amp;DATOS!$D8418&amp;"|"&amp;DATOS!$E8418&amp;"|"&amp;DATOS!$I8418)</f>
      </c>
      <c r="G8418">
        <f>IF(DATOS!$A8418="",0,IF(CONFIG_METADATA!$B$4&lt;&gt;"OR+EX",--(DATOS!$G8418=CONFIG_METADATA!$B$4),IF(DATOS!$G8418="EX",1,IF(DATOS!$G8418="OR",--(COUNTIFS(nNIA,DATOS!$A8418,nCURSO,DATOS!$D8418,nESPEC,DATOS!$E8418,nASIG,DATOS!$I8418,nEVAL,"EX")=0),0))))</f>
      </c>
      <c r="H8418">
        <f>IF(DATOS!$G8418&lt;&gt;"EX",0,--(COUNTIFS(nNIA,DATOS!$A8418,nCURSO,DATOS!$D8418,nESPEC,DATOS!$E8418,nASIG,DATOS!$I8418,nEVAL,"OR")=0))</f>
      </c>
      <c r="I8418">
        <f>IF(DATOS!$I8418="","",IFERROR(VLOOKUP(DATOS!$I8418,CONFIG_ASIGNATURAS!$B$2:$J$91,9,FALSE()),""))</f>
      </c>
    </row>
    <row r="8419">
      <c r="F8419">
        <f>IF(DATOS!$A8419="","",DATOS!$A8419&amp;"|"&amp;DATOS!$D8419&amp;"|"&amp;DATOS!$E8419&amp;"|"&amp;DATOS!$I8419)</f>
      </c>
      <c r="G8419">
        <f>IF(DATOS!$A8419="",0,IF(CONFIG_METADATA!$B$4&lt;&gt;"OR+EX",--(DATOS!$G8419=CONFIG_METADATA!$B$4),IF(DATOS!$G8419="EX",1,IF(DATOS!$G8419="OR",--(COUNTIFS(nNIA,DATOS!$A8419,nCURSO,DATOS!$D8419,nESPEC,DATOS!$E8419,nASIG,DATOS!$I8419,nEVAL,"EX")=0),0))))</f>
      </c>
      <c r="H8419">
        <f>IF(DATOS!$G8419&lt;&gt;"EX",0,--(COUNTIFS(nNIA,DATOS!$A8419,nCURSO,DATOS!$D8419,nESPEC,DATOS!$E8419,nASIG,DATOS!$I8419,nEVAL,"OR")=0))</f>
      </c>
      <c r="I8419">
        <f>IF(DATOS!$I8419="","",IFERROR(VLOOKUP(DATOS!$I8419,CONFIG_ASIGNATURAS!$B$2:$J$91,9,FALSE()),""))</f>
      </c>
    </row>
    <row r="8420">
      <c r="F8420">
        <f>IF(DATOS!$A8420="","",DATOS!$A8420&amp;"|"&amp;DATOS!$D8420&amp;"|"&amp;DATOS!$E8420&amp;"|"&amp;DATOS!$I8420)</f>
      </c>
      <c r="G8420">
        <f>IF(DATOS!$A8420="",0,IF(CONFIG_METADATA!$B$4&lt;&gt;"OR+EX",--(DATOS!$G8420=CONFIG_METADATA!$B$4),IF(DATOS!$G8420="EX",1,IF(DATOS!$G8420="OR",--(COUNTIFS(nNIA,DATOS!$A8420,nCURSO,DATOS!$D8420,nESPEC,DATOS!$E8420,nASIG,DATOS!$I8420,nEVAL,"EX")=0),0))))</f>
      </c>
      <c r="H8420">
        <f>IF(DATOS!$G8420&lt;&gt;"EX",0,--(COUNTIFS(nNIA,DATOS!$A8420,nCURSO,DATOS!$D8420,nESPEC,DATOS!$E8420,nASIG,DATOS!$I8420,nEVAL,"OR")=0))</f>
      </c>
      <c r="I8420">
        <f>IF(DATOS!$I8420="","",IFERROR(VLOOKUP(DATOS!$I8420,CONFIG_ASIGNATURAS!$B$2:$J$91,9,FALSE()),""))</f>
      </c>
    </row>
    <row r="8421">
      <c r="F8421">
        <f>IF(DATOS!$A8421="","",DATOS!$A8421&amp;"|"&amp;DATOS!$D8421&amp;"|"&amp;DATOS!$E8421&amp;"|"&amp;DATOS!$I8421)</f>
      </c>
      <c r="G8421">
        <f>IF(DATOS!$A8421="",0,IF(CONFIG_METADATA!$B$4&lt;&gt;"OR+EX",--(DATOS!$G8421=CONFIG_METADATA!$B$4),IF(DATOS!$G8421="EX",1,IF(DATOS!$G8421="OR",--(COUNTIFS(nNIA,DATOS!$A8421,nCURSO,DATOS!$D8421,nESPEC,DATOS!$E8421,nASIG,DATOS!$I8421,nEVAL,"EX")=0),0))))</f>
      </c>
      <c r="H8421">
        <f>IF(DATOS!$G8421&lt;&gt;"EX",0,--(COUNTIFS(nNIA,DATOS!$A8421,nCURSO,DATOS!$D8421,nESPEC,DATOS!$E8421,nASIG,DATOS!$I8421,nEVAL,"OR")=0))</f>
      </c>
      <c r="I8421">
        <f>IF(DATOS!$I8421="","",IFERROR(VLOOKUP(DATOS!$I8421,CONFIG_ASIGNATURAS!$B$2:$J$91,9,FALSE()),""))</f>
      </c>
    </row>
    <row r="8422">
      <c r="F8422">
        <f>IF(DATOS!$A8422="","",DATOS!$A8422&amp;"|"&amp;DATOS!$D8422&amp;"|"&amp;DATOS!$E8422&amp;"|"&amp;DATOS!$I8422)</f>
      </c>
      <c r="G8422">
        <f>IF(DATOS!$A8422="",0,IF(CONFIG_METADATA!$B$4&lt;&gt;"OR+EX",--(DATOS!$G8422=CONFIG_METADATA!$B$4),IF(DATOS!$G8422="EX",1,IF(DATOS!$G8422="OR",--(COUNTIFS(nNIA,DATOS!$A8422,nCURSO,DATOS!$D8422,nESPEC,DATOS!$E8422,nASIG,DATOS!$I8422,nEVAL,"EX")=0),0))))</f>
      </c>
      <c r="H8422">
        <f>IF(DATOS!$G8422&lt;&gt;"EX",0,--(COUNTIFS(nNIA,DATOS!$A8422,nCURSO,DATOS!$D8422,nESPEC,DATOS!$E8422,nASIG,DATOS!$I8422,nEVAL,"OR")=0))</f>
      </c>
      <c r="I8422">
        <f>IF(DATOS!$I8422="","",IFERROR(VLOOKUP(DATOS!$I8422,CONFIG_ASIGNATURAS!$B$2:$J$91,9,FALSE()),""))</f>
      </c>
    </row>
    <row r="8423">
      <c r="F8423">
        <f>IF(DATOS!$A8423="","",DATOS!$A8423&amp;"|"&amp;DATOS!$D8423&amp;"|"&amp;DATOS!$E8423&amp;"|"&amp;DATOS!$I8423)</f>
      </c>
      <c r="G8423">
        <f>IF(DATOS!$A8423="",0,IF(CONFIG_METADATA!$B$4&lt;&gt;"OR+EX",--(DATOS!$G8423=CONFIG_METADATA!$B$4),IF(DATOS!$G8423="EX",1,IF(DATOS!$G8423="OR",--(COUNTIFS(nNIA,DATOS!$A8423,nCURSO,DATOS!$D8423,nESPEC,DATOS!$E8423,nASIG,DATOS!$I8423,nEVAL,"EX")=0),0))))</f>
      </c>
      <c r="H8423">
        <f>IF(DATOS!$G8423&lt;&gt;"EX",0,--(COUNTIFS(nNIA,DATOS!$A8423,nCURSO,DATOS!$D8423,nESPEC,DATOS!$E8423,nASIG,DATOS!$I8423,nEVAL,"OR")=0))</f>
      </c>
      <c r="I8423">
        <f>IF(DATOS!$I8423="","",IFERROR(VLOOKUP(DATOS!$I8423,CONFIG_ASIGNATURAS!$B$2:$J$91,9,FALSE()),""))</f>
      </c>
    </row>
    <row r="8424">
      <c r="F8424">
        <f>IF(DATOS!$A8424="","",DATOS!$A8424&amp;"|"&amp;DATOS!$D8424&amp;"|"&amp;DATOS!$E8424&amp;"|"&amp;DATOS!$I8424)</f>
      </c>
      <c r="G8424">
        <f>IF(DATOS!$A8424="",0,IF(CONFIG_METADATA!$B$4&lt;&gt;"OR+EX",--(DATOS!$G8424=CONFIG_METADATA!$B$4),IF(DATOS!$G8424="EX",1,IF(DATOS!$G8424="OR",--(COUNTIFS(nNIA,DATOS!$A8424,nCURSO,DATOS!$D8424,nESPEC,DATOS!$E8424,nASIG,DATOS!$I8424,nEVAL,"EX")=0),0))))</f>
      </c>
      <c r="H8424">
        <f>IF(DATOS!$G8424&lt;&gt;"EX",0,--(COUNTIFS(nNIA,DATOS!$A8424,nCURSO,DATOS!$D8424,nESPEC,DATOS!$E8424,nASIG,DATOS!$I8424,nEVAL,"OR")=0))</f>
      </c>
      <c r="I8424">
        <f>IF(DATOS!$I8424="","",IFERROR(VLOOKUP(DATOS!$I8424,CONFIG_ASIGNATURAS!$B$2:$J$91,9,FALSE()),""))</f>
      </c>
    </row>
    <row r="8425">
      <c r="F8425">
        <f>IF(DATOS!$A8425="","",DATOS!$A8425&amp;"|"&amp;DATOS!$D8425&amp;"|"&amp;DATOS!$E8425&amp;"|"&amp;DATOS!$I8425)</f>
      </c>
      <c r="G8425">
        <f>IF(DATOS!$A8425="",0,IF(CONFIG_METADATA!$B$4&lt;&gt;"OR+EX",--(DATOS!$G8425=CONFIG_METADATA!$B$4),IF(DATOS!$G8425="EX",1,IF(DATOS!$G8425="OR",--(COUNTIFS(nNIA,DATOS!$A8425,nCURSO,DATOS!$D8425,nESPEC,DATOS!$E8425,nASIG,DATOS!$I8425,nEVAL,"EX")=0),0))))</f>
      </c>
      <c r="H8425">
        <f>IF(DATOS!$G8425&lt;&gt;"EX",0,--(COUNTIFS(nNIA,DATOS!$A8425,nCURSO,DATOS!$D8425,nESPEC,DATOS!$E8425,nASIG,DATOS!$I8425,nEVAL,"OR")=0))</f>
      </c>
      <c r="I8425">
        <f>IF(DATOS!$I8425="","",IFERROR(VLOOKUP(DATOS!$I8425,CONFIG_ASIGNATURAS!$B$2:$J$91,9,FALSE()),""))</f>
      </c>
    </row>
    <row r="8426">
      <c r="F8426">
        <f>IF(DATOS!$A8426="","",DATOS!$A8426&amp;"|"&amp;DATOS!$D8426&amp;"|"&amp;DATOS!$E8426&amp;"|"&amp;DATOS!$I8426)</f>
      </c>
      <c r="G8426">
        <f>IF(DATOS!$A8426="",0,IF(CONFIG_METADATA!$B$4&lt;&gt;"OR+EX",--(DATOS!$G8426=CONFIG_METADATA!$B$4),IF(DATOS!$G8426="EX",1,IF(DATOS!$G8426="OR",--(COUNTIFS(nNIA,DATOS!$A8426,nCURSO,DATOS!$D8426,nESPEC,DATOS!$E8426,nASIG,DATOS!$I8426,nEVAL,"EX")=0),0))))</f>
      </c>
      <c r="H8426">
        <f>IF(DATOS!$G8426&lt;&gt;"EX",0,--(COUNTIFS(nNIA,DATOS!$A8426,nCURSO,DATOS!$D8426,nESPEC,DATOS!$E8426,nASIG,DATOS!$I8426,nEVAL,"OR")=0))</f>
      </c>
      <c r="I8426">
        <f>IF(DATOS!$I8426="","",IFERROR(VLOOKUP(DATOS!$I8426,CONFIG_ASIGNATURAS!$B$2:$J$91,9,FALSE()),""))</f>
      </c>
    </row>
    <row r="8427">
      <c r="F8427">
        <f>IF(DATOS!$A8427="","",DATOS!$A8427&amp;"|"&amp;DATOS!$D8427&amp;"|"&amp;DATOS!$E8427&amp;"|"&amp;DATOS!$I8427)</f>
      </c>
      <c r="G8427">
        <f>IF(DATOS!$A8427="",0,IF(CONFIG_METADATA!$B$4&lt;&gt;"OR+EX",--(DATOS!$G8427=CONFIG_METADATA!$B$4),IF(DATOS!$G8427="EX",1,IF(DATOS!$G8427="OR",--(COUNTIFS(nNIA,DATOS!$A8427,nCURSO,DATOS!$D8427,nESPEC,DATOS!$E8427,nASIG,DATOS!$I8427,nEVAL,"EX")=0),0))))</f>
      </c>
      <c r="H8427">
        <f>IF(DATOS!$G8427&lt;&gt;"EX",0,--(COUNTIFS(nNIA,DATOS!$A8427,nCURSO,DATOS!$D8427,nESPEC,DATOS!$E8427,nASIG,DATOS!$I8427,nEVAL,"OR")=0))</f>
      </c>
      <c r="I8427">
        <f>IF(DATOS!$I8427="","",IFERROR(VLOOKUP(DATOS!$I8427,CONFIG_ASIGNATURAS!$B$2:$J$91,9,FALSE()),""))</f>
      </c>
    </row>
    <row r="8428">
      <c r="F8428">
        <f>IF(DATOS!$A8428="","",DATOS!$A8428&amp;"|"&amp;DATOS!$D8428&amp;"|"&amp;DATOS!$E8428&amp;"|"&amp;DATOS!$I8428)</f>
      </c>
      <c r="G8428">
        <f>IF(DATOS!$A8428="",0,IF(CONFIG_METADATA!$B$4&lt;&gt;"OR+EX",--(DATOS!$G8428=CONFIG_METADATA!$B$4),IF(DATOS!$G8428="EX",1,IF(DATOS!$G8428="OR",--(COUNTIFS(nNIA,DATOS!$A8428,nCURSO,DATOS!$D8428,nESPEC,DATOS!$E8428,nASIG,DATOS!$I8428,nEVAL,"EX")=0),0))))</f>
      </c>
      <c r="H8428">
        <f>IF(DATOS!$G8428&lt;&gt;"EX",0,--(COUNTIFS(nNIA,DATOS!$A8428,nCURSO,DATOS!$D8428,nESPEC,DATOS!$E8428,nASIG,DATOS!$I8428,nEVAL,"OR")=0))</f>
      </c>
      <c r="I8428">
        <f>IF(DATOS!$I8428="","",IFERROR(VLOOKUP(DATOS!$I8428,CONFIG_ASIGNATURAS!$B$2:$J$91,9,FALSE()),""))</f>
      </c>
    </row>
    <row r="8429">
      <c r="F8429">
        <f>IF(DATOS!$A8429="","",DATOS!$A8429&amp;"|"&amp;DATOS!$D8429&amp;"|"&amp;DATOS!$E8429&amp;"|"&amp;DATOS!$I8429)</f>
      </c>
      <c r="G8429">
        <f>IF(DATOS!$A8429="",0,IF(CONFIG_METADATA!$B$4&lt;&gt;"OR+EX",--(DATOS!$G8429=CONFIG_METADATA!$B$4),IF(DATOS!$G8429="EX",1,IF(DATOS!$G8429="OR",--(COUNTIFS(nNIA,DATOS!$A8429,nCURSO,DATOS!$D8429,nESPEC,DATOS!$E8429,nASIG,DATOS!$I8429,nEVAL,"EX")=0),0))))</f>
      </c>
      <c r="H8429">
        <f>IF(DATOS!$G8429&lt;&gt;"EX",0,--(COUNTIFS(nNIA,DATOS!$A8429,nCURSO,DATOS!$D8429,nESPEC,DATOS!$E8429,nASIG,DATOS!$I8429,nEVAL,"OR")=0))</f>
      </c>
      <c r="I8429">
        <f>IF(DATOS!$I8429="","",IFERROR(VLOOKUP(DATOS!$I8429,CONFIG_ASIGNATURAS!$B$2:$J$91,9,FALSE()),""))</f>
      </c>
    </row>
    <row r="8430">
      <c r="F8430">
        <f>IF(DATOS!$A8430="","",DATOS!$A8430&amp;"|"&amp;DATOS!$D8430&amp;"|"&amp;DATOS!$E8430&amp;"|"&amp;DATOS!$I8430)</f>
      </c>
      <c r="G8430">
        <f>IF(DATOS!$A8430="",0,IF(CONFIG_METADATA!$B$4&lt;&gt;"OR+EX",--(DATOS!$G8430=CONFIG_METADATA!$B$4),IF(DATOS!$G8430="EX",1,IF(DATOS!$G8430="OR",--(COUNTIFS(nNIA,DATOS!$A8430,nCURSO,DATOS!$D8430,nESPEC,DATOS!$E8430,nASIG,DATOS!$I8430,nEVAL,"EX")=0),0))))</f>
      </c>
      <c r="H8430">
        <f>IF(DATOS!$G8430&lt;&gt;"EX",0,--(COUNTIFS(nNIA,DATOS!$A8430,nCURSO,DATOS!$D8430,nESPEC,DATOS!$E8430,nASIG,DATOS!$I8430,nEVAL,"OR")=0))</f>
      </c>
      <c r="I8430">
        <f>IF(DATOS!$I8430="","",IFERROR(VLOOKUP(DATOS!$I8430,CONFIG_ASIGNATURAS!$B$2:$J$91,9,FALSE()),""))</f>
      </c>
    </row>
    <row r="8431">
      <c r="F8431">
        <f>IF(DATOS!$A8431="","",DATOS!$A8431&amp;"|"&amp;DATOS!$D8431&amp;"|"&amp;DATOS!$E8431&amp;"|"&amp;DATOS!$I8431)</f>
      </c>
      <c r="G8431">
        <f>IF(DATOS!$A8431="",0,IF(CONFIG_METADATA!$B$4&lt;&gt;"OR+EX",--(DATOS!$G8431=CONFIG_METADATA!$B$4),IF(DATOS!$G8431="EX",1,IF(DATOS!$G8431="OR",--(COUNTIFS(nNIA,DATOS!$A8431,nCURSO,DATOS!$D8431,nESPEC,DATOS!$E8431,nASIG,DATOS!$I8431,nEVAL,"EX")=0),0))))</f>
      </c>
      <c r="H8431">
        <f>IF(DATOS!$G8431&lt;&gt;"EX",0,--(COUNTIFS(nNIA,DATOS!$A8431,nCURSO,DATOS!$D8431,nESPEC,DATOS!$E8431,nASIG,DATOS!$I8431,nEVAL,"OR")=0))</f>
      </c>
      <c r="I8431">
        <f>IF(DATOS!$I8431="","",IFERROR(VLOOKUP(DATOS!$I8431,CONFIG_ASIGNATURAS!$B$2:$J$91,9,FALSE()),""))</f>
      </c>
    </row>
    <row r="8432">
      <c r="F8432">
        <f>IF(DATOS!$A8432="","",DATOS!$A8432&amp;"|"&amp;DATOS!$D8432&amp;"|"&amp;DATOS!$E8432&amp;"|"&amp;DATOS!$I8432)</f>
      </c>
      <c r="G8432">
        <f>IF(DATOS!$A8432="",0,IF(CONFIG_METADATA!$B$4&lt;&gt;"OR+EX",--(DATOS!$G8432=CONFIG_METADATA!$B$4),IF(DATOS!$G8432="EX",1,IF(DATOS!$G8432="OR",--(COUNTIFS(nNIA,DATOS!$A8432,nCURSO,DATOS!$D8432,nESPEC,DATOS!$E8432,nASIG,DATOS!$I8432,nEVAL,"EX")=0),0))))</f>
      </c>
      <c r="H8432">
        <f>IF(DATOS!$G8432&lt;&gt;"EX",0,--(COUNTIFS(nNIA,DATOS!$A8432,nCURSO,DATOS!$D8432,nESPEC,DATOS!$E8432,nASIG,DATOS!$I8432,nEVAL,"OR")=0))</f>
      </c>
      <c r="I8432">
        <f>IF(DATOS!$I8432="","",IFERROR(VLOOKUP(DATOS!$I8432,CONFIG_ASIGNATURAS!$B$2:$J$91,9,FALSE()),""))</f>
      </c>
    </row>
    <row r="8433">
      <c r="F8433">
        <f>IF(DATOS!$A8433="","",DATOS!$A8433&amp;"|"&amp;DATOS!$D8433&amp;"|"&amp;DATOS!$E8433&amp;"|"&amp;DATOS!$I8433)</f>
      </c>
      <c r="G8433">
        <f>IF(DATOS!$A8433="",0,IF(CONFIG_METADATA!$B$4&lt;&gt;"OR+EX",--(DATOS!$G8433=CONFIG_METADATA!$B$4),IF(DATOS!$G8433="EX",1,IF(DATOS!$G8433="OR",--(COUNTIFS(nNIA,DATOS!$A8433,nCURSO,DATOS!$D8433,nESPEC,DATOS!$E8433,nASIG,DATOS!$I8433,nEVAL,"EX")=0),0))))</f>
      </c>
      <c r="H8433">
        <f>IF(DATOS!$G8433&lt;&gt;"EX",0,--(COUNTIFS(nNIA,DATOS!$A8433,nCURSO,DATOS!$D8433,nESPEC,DATOS!$E8433,nASIG,DATOS!$I8433,nEVAL,"OR")=0))</f>
      </c>
      <c r="I8433">
        <f>IF(DATOS!$I8433="","",IFERROR(VLOOKUP(DATOS!$I8433,CONFIG_ASIGNATURAS!$B$2:$J$91,9,FALSE()),""))</f>
      </c>
    </row>
    <row r="8434">
      <c r="F8434">
        <f>IF(DATOS!$A8434="","",DATOS!$A8434&amp;"|"&amp;DATOS!$D8434&amp;"|"&amp;DATOS!$E8434&amp;"|"&amp;DATOS!$I8434)</f>
      </c>
      <c r="G8434">
        <f>IF(DATOS!$A8434="",0,IF(CONFIG_METADATA!$B$4&lt;&gt;"OR+EX",--(DATOS!$G8434=CONFIG_METADATA!$B$4),IF(DATOS!$G8434="EX",1,IF(DATOS!$G8434="OR",--(COUNTIFS(nNIA,DATOS!$A8434,nCURSO,DATOS!$D8434,nESPEC,DATOS!$E8434,nASIG,DATOS!$I8434,nEVAL,"EX")=0),0))))</f>
      </c>
      <c r="H8434">
        <f>IF(DATOS!$G8434&lt;&gt;"EX",0,--(COUNTIFS(nNIA,DATOS!$A8434,nCURSO,DATOS!$D8434,nESPEC,DATOS!$E8434,nASIG,DATOS!$I8434,nEVAL,"OR")=0))</f>
      </c>
      <c r="I8434">
        <f>IF(DATOS!$I8434="","",IFERROR(VLOOKUP(DATOS!$I8434,CONFIG_ASIGNATURAS!$B$2:$J$91,9,FALSE()),""))</f>
      </c>
    </row>
    <row r="8435">
      <c r="F8435">
        <f>IF(DATOS!$A8435="","",DATOS!$A8435&amp;"|"&amp;DATOS!$D8435&amp;"|"&amp;DATOS!$E8435&amp;"|"&amp;DATOS!$I8435)</f>
      </c>
      <c r="G8435">
        <f>IF(DATOS!$A8435="",0,IF(CONFIG_METADATA!$B$4&lt;&gt;"OR+EX",--(DATOS!$G8435=CONFIG_METADATA!$B$4),IF(DATOS!$G8435="EX",1,IF(DATOS!$G8435="OR",--(COUNTIFS(nNIA,DATOS!$A8435,nCURSO,DATOS!$D8435,nESPEC,DATOS!$E8435,nASIG,DATOS!$I8435,nEVAL,"EX")=0),0))))</f>
      </c>
      <c r="H8435">
        <f>IF(DATOS!$G8435&lt;&gt;"EX",0,--(COUNTIFS(nNIA,DATOS!$A8435,nCURSO,DATOS!$D8435,nESPEC,DATOS!$E8435,nASIG,DATOS!$I8435,nEVAL,"OR")=0))</f>
      </c>
      <c r="I8435">
        <f>IF(DATOS!$I8435="","",IFERROR(VLOOKUP(DATOS!$I8435,CONFIG_ASIGNATURAS!$B$2:$J$91,9,FALSE()),""))</f>
      </c>
    </row>
    <row r="8436">
      <c r="F8436">
        <f>IF(DATOS!$A8436="","",DATOS!$A8436&amp;"|"&amp;DATOS!$D8436&amp;"|"&amp;DATOS!$E8436&amp;"|"&amp;DATOS!$I8436)</f>
      </c>
      <c r="G8436">
        <f>IF(DATOS!$A8436="",0,IF(CONFIG_METADATA!$B$4&lt;&gt;"OR+EX",--(DATOS!$G8436=CONFIG_METADATA!$B$4),IF(DATOS!$G8436="EX",1,IF(DATOS!$G8436="OR",--(COUNTIFS(nNIA,DATOS!$A8436,nCURSO,DATOS!$D8436,nESPEC,DATOS!$E8436,nASIG,DATOS!$I8436,nEVAL,"EX")=0),0))))</f>
      </c>
      <c r="H8436">
        <f>IF(DATOS!$G8436&lt;&gt;"EX",0,--(COUNTIFS(nNIA,DATOS!$A8436,nCURSO,DATOS!$D8436,nESPEC,DATOS!$E8436,nASIG,DATOS!$I8436,nEVAL,"OR")=0))</f>
      </c>
      <c r="I8436">
        <f>IF(DATOS!$I8436="","",IFERROR(VLOOKUP(DATOS!$I8436,CONFIG_ASIGNATURAS!$B$2:$J$91,9,FALSE()),""))</f>
      </c>
    </row>
    <row r="8437">
      <c r="F8437">
        <f>IF(DATOS!$A8437="","",DATOS!$A8437&amp;"|"&amp;DATOS!$D8437&amp;"|"&amp;DATOS!$E8437&amp;"|"&amp;DATOS!$I8437)</f>
      </c>
      <c r="G8437">
        <f>IF(DATOS!$A8437="",0,IF(CONFIG_METADATA!$B$4&lt;&gt;"OR+EX",--(DATOS!$G8437=CONFIG_METADATA!$B$4),IF(DATOS!$G8437="EX",1,IF(DATOS!$G8437="OR",--(COUNTIFS(nNIA,DATOS!$A8437,nCURSO,DATOS!$D8437,nESPEC,DATOS!$E8437,nASIG,DATOS!$I8437,nEVAL,"EX")=0),0))))</f>
      </c>
      <c r="H8437">
        <f>IF(DATOS!$G8437&lt;&gt;"EX",0,--(COUNTIFS(nNIA,DATOS!$A8437,nCURSO,DATOS!$D8437,nESPEC,DATOS!$E8437,nASIG,DATOS!$I8437,nEVAL,"OR")=0))</f>
      </c>
      <c r="I8437">
        <f>IF(DATOS!$I8437="","",IFERROR(VLOOKUP(DATOS!$I8437,CONFIG_ASIGNATURAS!$B$2:$J$91,9,FALSE()),""))</f>
      </c>
    </row>
    <row r="8438">
      <c r="F8438">
        <f>IF(DATOS!$A8438="","",DATOS!$A8438&amp;"|"&amp;DATOS!$D8438&amp;"|"&amp;DATOS!$E8438&amp;"|"&amp;DATOS!$I8438)</f>
      </c>
      <c r="G8438">
        <f>IF(DATOS!$A8438="",0,IF(CONFIG_METADATA!$B$4&lt;&gt;"OR+EX",--(DATOS!$G8438=CONFIG_METADATA!$B$4),IF(DATOS!$G8438="EX",1,IF(DATOS!$G8438="OR",--(COUNTIFS(nNIA,DATOS!$A8438,nCURSO,DATOS!$D8438,nESPEC,DATOS!$E8438,nASIG,DATOS!$I8438,nEVAL,"EX")=0),0))))</f>
      </c>
      <c r="H8438">
        <f>IF(DATOS!$G8438&lt;&gt;"EX",0,--(COUNTIFS(nNIA,DATOS!$A8438,nCURSO,DATOS!$D8438,nESPEC,DATOS!$E8438,nASIG,DATOS!$I8438,nEVAL,"OR")=0))</f>
      </c>
      <c r="I8438">
        <f>IF(DATOS!$I8438="","",IFERROR(VLOOKUP(DATOS!$I8438,CONFIG_ASIGNATURAS!$B$2:$J$91,9,FALSE()),""))</f>
      </c>
    </row>
    <row r="8439">
      <c r="F8439">
        <f>IF(DATOS!$A8439="","",DATOS!$A8439&amp;"|"&amp;DATOS!$D8439&amp;"|"&amp;DATOS!$E8439&amp;"|"&amp;DATOS!$I8439)</f>
      </c>
      <c r="G8439">
        <f>IF(DATOS!$A8439="",0,IF(CONFIG_METADATA!$B$4&lt;&gt;"OR+EX",--(DATOS!$G8439=CONFIG_METADATA!$B$4),IF(DATOS!$G8439="EX",1,IF(DATOS!$G8439="OR",--(COUNTIFS(nNIA,DATOS!$A8439,nCURSO,DATOS!$D8439,nESPEC,DATOS!$E8439,nASIG,DATOS!$I8439,nEVAL,"EX")=0),0))))</f>
      </c>
      <c r="H8439">
        <f>IF(DATOS!$G8439&lt;&gt;"EX",0,--(COUNTIFS(nNIA,DATOS!$A8439,nCURSO,DATOS!$D8439,nESPEC,DATOS!$E8439,nASIG,DATOS!$I8439,nEVAL,"OR")=0))</f>
      </c>
      <c r="I8439">
        <f>IF(DATOS!$I8439="","",IFERROR(VLOOKUP(DATOS!$I8439,CONFIG_ASIGNATURAS!$B$2:$J$91,9,FALSE()),""))</f>
      </c>
    </row>
    <row r="8440">
      <c r="F8440">
        <f>IF(DATOS!$A8440="","",DATOS!$A8440&amp;"|"&amp;DATOS!$D8440&amp;"|"&amp;DATOS!$E8440&amp;"|"&amp;DATOS!$I8440)</f>
      </c>
      <c r="G8440">
        <f>IF(DATOS!$A8440="",0,IF(CONFIG_METADATA!$B$4&lt;&gt;"OR+EX",--(DATOS!$G8440=CONFIG_METADATA!$B$4),IF(DATOS!$G8440="EX",1,IF(DATOS!$G8440="OR",--(COUNTIFS(nNIA,DATOS!$A8440,nCURSO,DATOS!$D8440,nESPEC,DATOS!$E8440,nASIG,DATOS!$I8440,nEVAL,"EX")=0),0))))</f>
      </c>
      <c r="H8440">
        <f>IF(DATOS!$G8440&lt;&gt;"EX",0,--(COUNTIFS(nNIA,DATOS!$A8440,nCURSO,DATOS!$D8440,nESPEC,DATOS!$E8440,nASIG,DATOS!$I8440,nEVAL,"OR")=0))</f>
      </c>
      <c r="I8440">
        <f>IF(DATOS!$I8440="","",IFERROR(VLOOKUP(DATOS!$I8440,CONFIG_ASIGNATURAS!$B$2:$J$91,9,FALSE()),""))</f>
      </c>
    </row>
    <row r="8441">
      <c r="F8441">
        <f>IF(DATOS!$A8441="","",DATOS!$A8441&amp;"|"&amp;DATOS!$D8441&amp;"|"&amp;DATOS!$E8441&amp;"|"&amp;DATOS!$I8441)</f>
      </c>
      <c r="G8441">
        <f>IF(DATOS!$A8441="",0,IF(CONFIG_METADATA!$B$4&lt;&gt;"OR+EX",--(DATOS!$G8441=CONFIG_METADATA!$B$4),IF(DATOS!$G8441="EX",1,IF(DATOS!$G8441="OR",--(COUNTIFS(nNIA,DATOS!$A8441,nCURSO,DATOS!$D8441,nESPEC,DATOS!$E8441,nASIG,DATOS!$I8441,nEVAL,"EX")=0),0))))</f>
      </c>
      <c r="H8441">
        <f>IF(DATOS!$G8441&lt;&gt;"EX",0,--(COUNTIFS(nNIA,DATOS!$A8441,nCURSO,DATOS!$D8441,nESPEC,DATOS!$E8441,nASIG,DATOS!$I8441,nEVAL,"OR")=0))</f>
      </c>
      <c r="I8441">
        <f>IF(DATOS!$I8441="","",IFERROR(VLOOKUP(DATOS!$I8441,CONFIG_ASIGNATURAS!$B$2:$J$91,9,FALSE()),""))</f>
      </c>
    </row>
    <row r="8442">
      <c r="F8442">
        <f>IF(DATOS!$A8442="","",DATOS!$A8442&amp;"|"&amp;DATOS!$D8442&amp;"|"&amp;DATOS!$E8442&amp;"|"&amp;DATOS!$I8442)</f>
      </c>
      <c r="G8442">
        <f>IF(DATOS!$A8442="",0,IF(CONFIG_METADATA!$B$4&lt;&gt;"OR+EX",--(DATOS!$G8442=CONFIG_METADATA!$B$4),IF(DATOS!$G8442="EX",1,IF(DATOS!$G8442="OR",--(COUNTIFS(nNIA,DATOS!$A8442,nCURSO,DATOS!$D8442,nESPEC,DATOS!$E8442,nASIG,DATOS!$I8442,nEVAL,"EX")=0),0))))</f>
      </c>
      <c r="H8442">
        <f>IF(DATOS!$G8442&lt;&gt;"EX",0,--(COUNTIFS(nNIA,DATOS!$A8442,nCURSO,DATOS!$D8442,nESPEC,DATOS!$E8442,nASIG,DATOS!$I8442,nEVAL,"OR")=0))</f>
      </c>
      <c r="I8442">
        <f>IF(DATOS!$I8442="","",IFERROR(VLOOKUP(DATOS!$I8442,CONFIG_ASIGNATURAS!$B$2:$J$91,9,FALSE()),""))</f>
      </c>
    </row>
    <row r="8443">
      <c r="F8443">
        <f>IF(DATOS!$A8443="","",DATOS!$A8443&amp;"|"&amp;DATOS!$D8443&amp;"|"&amp;DATOS!$E8443&amp;"|"&amp;DATOS!$I8443)</f>
      </c>
      <c r="G8443">
        <f>IF(DATOS!$A8443="",0,IF(CONFIG_METADATA!$B$4&lt;&gt;"OR+EX",--(DATOS!$G8443=CONFIG_METADATA!$B$4),IF(DATOS!$G8443="EX",1,IF(DATOS!$G8443="OR",--(COUNTIFS(nNIA,DATOS!$A8443,nCURSO,DATOS!$D8443,nESPEC,DATOS!$E8443,nASIG,DATOS!$I8443,nEVAL,"EX")=0),0))))</f>
      </c>
      <c r="H8443">
        <f>IF(DATOS!$G8443&lt;&gt;"EX",0,--(COUNTIFS(nNIA,DATOS!$A8443,nCURSO,DATOS!$D8443,nESPEC,DATOS!$E8443,nASIG,DATOS!$I8443,nEVAL,"OR")=0))</f>
      </c>
      <c r="I8443">
        <f>IF(DATOS!$I8443="","",IFERROR(VLOOKUP(DATOS!$I8443,CONFIG_ASIGNATURAS!$B$2:$J$91,9,FALSE()),""))</f>
      </c>
    </row>
    <row r="8444">
      <c r="F8444">
        <f>IF(DATOS!$A8444="","",DATOS!$A8444&amp;"|"&amp;DATOS!$D8444&amp;"|"&amp;DATOS!$E8444&amp;"|"&amp;DATOS!$I8444)</f>
      </c>
      <c r="G8444">
        <f>IF(DATOS!$A8444="",0,IF(CONFIG_METADATA!$B$4&lt;&gt;"OR+EX",--(DATOS!$G8444=CONFIG_METADATA!$B$4),IF(DATOS!$G8444="EX",1,IF(DATOS!$G8444="OR",--(COUNTIFS(nNIA,DATOS!$A8444,nCURSO,DATOS!$D8444,nESPEC,DATOS!$E8444,nASIG,DATOS!$I8444,nEVAL,"EX")=0),0))))</f>
      </c>
      <c r="H8444">
        <f>IF(DATOS!$G8444&lt;&gt;"EX",0,--(COUNTIFS(nNIA,DATOS!$A8444,nCURSO,DATOS!$D8444,nESPEC,DATOS!$E8444,nASIG,DATOS!$I8444,nEVAL,"OR")=0))</f>
      </c>
      <c r="I8444">
        <f>IF(DATOS!$I8444="","",IFERROR(VLOOKUP(DATOS!$I8444,CONFIG_ASIGNATURAS!$B$2:$J$91,9,FALSE()),""))</f>
      </c>
    </row>
    <row r="8445">
      <c r="F8445">
        <f>IF(DATOS!$A8445="","",DATOS!$A8445&amp;"|"&amp;DATOS!$D8445&amp;"|"&amp;DATOS!$E8445&amp;"|"&amp;DATOS!$I8445)</f>
      </c>
      <c r="G8445">
        <f>IF(DATOS!$A8445="",0,IF(CONFIG_METADATA!$B$4&lt;&gt;"OR+EX",--(DATOS!$G8445=CONFIG_METADATA!$B$4),IF(DATOS!$G8445="EX",1,IF(DATOS!$G8445="OR",--(COUNTIFS(nNIA,DATOS!$A8445,nCURSO,DATOS!$D8445,nESPEC,DATOS!$E8445,nASIG,DATOS!$I8445,nEVAL,"EX")=0),0))))</f>
      </c>
      <c r="H8445">
        <f>IF(DATOS!$G8445&lt;&gt;"EX",0,--(COUNTIFS(nNIA,DATOS!$A8445,nCURSO,DATOS!$D8445,nESPEC,DATOS!$E8445,nASIG,DATOS!$I8445,nEVAL,"OR")=0))</f>
      </c>
      <c r="I8445">
        <f>IF(DATOS!$I8445="","",IFERROR(VLOOKUP(DATOS!$I8445,CONFIG_ASIGNATURAS!$B$2:$J$91,9,FALSE()),""))</f>
      </c>
    </row>
    <row r="8446">
      <c r="F8446">
        <f>IF(DATOS!$A8446="","",DATOS!$A8446&amp;"|"&amp;DATOS!$D8446&amp;"|"&amp;DATOS!$E8446&amp;"|"&amp;DATOS!$I8446)</f>
      </c>
      <c r="G8446">
        <f>IF(DATOS!$A8446="",0,IF(CONFIG_METADATA!$B$4&lt;&gt;"OR+EX",--(DATOS!$G8446=CONFIG_METADATA!$B$4),IF(DATOS!$G8446="EX",1,IF(DATOS!$G8446="OR",--(COUNTIFS(nNIA,DATOS!$A8446,nCURSO,DATOS!$D8446,nESPEC,DATOS!$E8446,nASIG,DATOS!$I8446,nEVAL,"EX")=0),0))))</f>
      </c>
      <c r="H8446">
        <f>IF(DATOS!$G8446&lt;&gt;"EX",0,--(COUNTIFS(nNIA,DATOS!$A8446,nCURSO,DATOS!$D8446,nESPEC,DATOS!$E8446,nASIG,DATOS!$I8446,nEVAL,"OR")=0))</f>
      </c>
      <c r="I8446">
        <f>IF(DATOS!$I8446="","",IFERROR(VLOOKUP(DATOS!$I8446,CONFIG_ASIGNATURAS!$B$2:$J$91,9,FALSE()),""))</f>
      </c>
    </row>
    <row r="8447">
      <c r="F8447">
        <f>IF(DATOS!$A8447="","",DATOS!$A8447&amp;"|"&amp;DATOS!$D8447&amp;"|"&amp;DATOS!$E8447&amp;"|"&amp;DATOS!$I8447)</f>
      </c>
      <c r="G8447">
        <f>IF(DATOS!$A8447="",0,IF(CONFIG_METADATA!$B$4&lt;&gt;"OR+EX",--(DATOS!$G8447=CONFIG_METADATA!$B$4),IF(DATOS!$G8447="EX",1,IF(DATOS!$G8447="OR",--(COUNTIFS(nNIA,DATOS!$A8447,nCURSO,DATOS!$D8447,nESPEC,DATOS!$E8447,nASIG,DATOS!$I8447,nEVAL,"EX")=0),0))))</f>
      </c>
      <c r="H8447">
        <f>IF(DATOS!$G8447&lt;&gt;"EX",0,--(COUNTIFS(nNIA,DATOS!$A8447,nCURSO,DATOS!$D8447,nESPEC,DATOS!$E8447,nASIG,DATOS!$I8447,nEVAL,"OR")=0))</f>
      </c>
      <c r="I8447">
        <f>IF(DATOS!$I8447="","",IFERROR(VLOOKUP(DATOS!$I8447,CONFIG_ASIGNATURAS!$B$2:$J$91,9,FALSE()),""))</f>
      </c>
    </row>
    <row r="8448">
      <c r="F8448">
        <f>IF(DATOS!$A8448="","",DATOS!$A8448&amp;"|"&amp;DATOS!$D8448&amp;"|"&amp;DATOS!$E8448&amp;"|"&amp;DATOS!$I8448)</f>
      </c>
      <c r="G8448">
        <f>IF(DATOS!$A8448="",0,IF(CONFIG_METADATA!$B$4&lt;&gt;"OR+EX",--(DATOS!$G8448=CONFIG_METADATA!$B$4),IF(DATOS!$G8448="EX",1,IF(DATOS!$G8448="OR",--(COUNTIFS(nNIA,DATOS!$A8448,nCURSO,DATOS!$D8448,nESPEC,DATOS!$E8448,nASIG,DATOS!$I8448,nEVAL,"EX")=0),0))))</f>
      </c>
      <c r="H8448">
        <f>IF(DATOS!$G8448&lt;&gt;"EX",0,--(COUNTIFS(nNIA,DATOS!$A8448,nCURSO,DATOS!$D8448,nESPEC,DATOS!$E8448,nASIG,DATOS!$I8448,nEVAL,"OR")=0))</f>
      </c>
      <c r="I8448">
        <f>IF(DATOS!$I8448="","",IFERROR(VLOOKUP(DATOS!$I8448,CONFIG_ASIGNATURAS!$B$2:$J$91,9,FALSE()),""))</f>
      </c>
    </row>
    <row r="8449">
      <c r="F8449">
        <f>IF(DATOS!$A8449="","",DATOS!$A8449&amp;"|"&amp;DATOS!$D8449&amp;"|"&amp;DATOS!$E8449&amp;"|"&amp;DATOS!$I8449)</f>
      </c>
      <c r="G8449">
        <f>IF(DATOS!$A8449="",0,IF(CONFIG_METADATA!$B$4&lt;&gt;"OR+EX",--(DATOS!$G8449=CONFIG_METADATA!$B$4),IF(DATOS!$G8449="EX",1,IF(DATOS!$G8449="OR",--(COUNTIFS(nNIA,DATOS!$A8449,nCURSO,DATOS!$D8449,nESPEC,DATOS!$E8449,nASIG,DATOS!$I8449,nEVAL,"EX")=0),0))))</f>
      </c>
      <c r="H8449">
        <f>IF(DATOS!$G8449&lt;&gt;"EX",0,--(COUNTIFS(nNIA,DATOS!$A8449,nCURSO,DATOS!$D8449,nESPEC,DATOS!$E8449,nASIG,DATOS!$I8449,nEVAL,"OR")=0))</f>
      </c>
      <c r="I8449">
        <f>IF(DATOS!$I8449="","",IFERROR(VLOOKUP(DATOS!$I8449,CONFIG_ASIGNATURAS!$B$2:$J$91,9,FALSE()),""))</f>
      </c>
    </row>
    <row r="8450">
      <c r="F8450">
        <f>IF(DATOS!$A8450="","",DATOS!$A8450&amp;"|"&amp;DATOS!$D8450&amp;"|"&amp;DATOS!$E8450&amp;"|"&amp;DATOS!$I8450)</f>
      </c>
      <c r="G8450">
        <f>IF(DATOS!$A8450="",0,IF(CONFIG_METADATA!$B$4&lt;&gt;"OR+EX",--(DATOS!$G8450=CONFIG_METADATA!$B$4),IF(DATOS!$G8450="EX",1,IF(DATOS!$G8450="OR",--(COUNTIFS(nNIA,DATOS!$A8450,nCURSO,DATOS!$D8450,nESPEC,DATOS!$E8450,nASIG,DATOS!$I8450,nEVAL,"EX")=0),0))))</f>
      </c>
      <c r="H8450">
        <f>IF(DATOS!$G8450&lt;&gt;"EX",0,--(COUNTIFS(nNIA,DATOS!$A8450,nCURSO,DATOS!$D8450,nESPEC,DATOS!$E8450,nASIG,DATOS!$I8450,nEVAL,"OR")=0))</f>
      </c>
      <c r="I8450">
        <f>IF(DATOS!$I8450="","",IFERROR(VLOOKUP(DATOS!$I8450,CONFIG_ASIGNATURAS!$B$2:$J$91,9,FALSE()),""))</f>
      </c>
    </row>
    <row r="8451">
      <c r="F8451">
        <f>IF(DATOS!$A8451="","",DATOS!$A8451&amp;"|"&amp;DATOS!$D8451&amp;"|"&amp;DATOS!$E8451&amp;"|"&amp;DATOS!$I8451)</f>
      </c>
      <c r="G8451">
        <f>IF(DATOS!$A8451="",0,IF(CONFIG_METADATA!$B$4&lt;&gt;"OR+EX",--(DATOS!$G8451=CONFIG_METADATA!$B$4),IF(DATOS!$G8451="EX",1,IF(DATOS!$G8451="OR",--(COUNTIFS(nNIA,DATOS!$A8451,nCURSO,DATOS!$D8451,nESPEC,DATOS!$E8451,nASIG,DATOS!$I8451,nEVAL,"EX")=0),0))))</f>
      </c>
      <c r="H8451">
        <f>IF(DATOS!$G8451&lt;&gt;"EX",0,--(COUNTIFS(nNIA,DATOS!$A8451,nCURSO,DATOS!$D8451,nESPEC,DATOS!$E8451,nASIG,DATOS!$I8451,nEVAL,"OR")=0))</f>
      </c>
      <c r="I8451">
        <f>IF(DATOS!$I8451="","",IFERROR(VLOOKUP(DATOS!$I8451,CONFIG_ASIGNATURAS!$B$2:$J$91,9,FALSE()),""))</f>
      </c>
    </row>
    <row r="8452">
      <c r="F8452">
        <f>IF(DATOS!$A8452="","",DATOS!$A8452&amp;"|"&amp;DATOS!$D8452&amp;"|"&amp;DATOS!$E8452&amp;"|"&amp;DATOS!$I8452)</f>
      </c>
      <c r="G8452">
        <f>IF(DATOS!$A8452="",0,IF(CONFIG_METADATA!$B$4&lt;&gt;"OR+EX",--(DATOS!$G8452=CONFIG_METADATA!$B$4),IF(DATOS!$G8452="EX",1,IF(DATOS!$G8452="OR",--(COUNTIFS(nNIA,DATOS!$A8452,nCURSO,DATOS!$D8452,nESPEC,DATOS!$E8452,nASIG,DATOS!$I8452,nEVAL,"EX")=0),0))))</f>
      </c>
      <c r="H8452">
        <f>IF(DATOS!$G8452&lt;&gt;"EX",0,--(COUNTIFS(nNIA,DATOS!$A8452,nCURSO,DATOS!$D8452,nESPEC,DATOS!$E8452,nASIG,DATOS!$I8452,nEVAL,"OR")=0))</f>
      </c>
      <c r="I8452">
        <f>IF(DATOS!$I8452="","",IFERROR(VLOOKUP(DATOS!$I8452,CONFIG_ASIGNATURAS!$B$2:$J$91,9,FALSE()),""))</f>
      </c>
    </row>
    <row r="8453">
      <c r="F8453">
        <f>IF(DATOS!$A8453="","",DATOS!$A8453&amp;"|"&amp;DATOS!$D8453&amp;"|"&amp;DATOS!$E8453&amp;"|"&amp;DATOS!$I8453)</f>
      </c>
      <c r="G8453">
        <f>IF(DATOS!$A8453="",0,IF(CONFIG_METADATA!$B$4&lt;&gt;"OR+EX",--(DATOS!$G8453=CONFIG_METADATA!$B$4),IF(DATOS!$G8453="EX",1,IF(DATOS!$G8453="OR",--(COUNTIFS(nNIA,DATOS!$A8453,nCURSO,DATOS!$D8453,nESPEC,DATOS!$E8453,nASIG,DATOS!$I8453,nEVAL,"EX")=0),0))))</f>
      </c>
      <c r="H8453">
        <f>IF(DATOS!$G8453&lt;&gt;"EX",0,--(COUNTIFS(nNIA,DATOS!$A8453,nCURSO,DATOS!$D8453,nESPEC,DATOS!$E8453,nASIG,DATOS!$I8453,nEVAL,"OR")=0))</f>
      </c>
      <c r="I8453">
        <f>IF(DATOS!$I8453="","",IFERROR(VLOOKUP(DATOS!$I8453,CONFIG_ASIGNATURAS!$B$2:$J$91,9,FALSE()),""))</f>
      </c>
    </row>
    <row r="8454">
      <c r="F8454">
        <f>IF(DATOS!$A8454="","",DATOS!$A8454&amp;"|"&amp;DATOS!$D8454&amp;"|"&amp;DATOS!$E8454&amp;"|"&amp;DATOS!$I8454)</f>
      </c>
      <c r="G8454">
        <f>IF(DATOS!$A8454="",0,IF(CONFIG_METADATA!$B$4&lt;&gt;"OR+EX",--(DATOS!$G8454=CONFIG_METADATA!$B$4),IF(DATOS!$G8454="EX",1,IF(DATOS!$G8454="OR",--(COUNTIFS(nNIA,DATOS!$A8454,nCURSO,DATOS!$D8454,nESPEC,DATOS!$E8454,nASIG,DATOS!$I8454,nEVAL,"EX")=0),0))))</f>
      </c>
      <c r="H8454">
        <f>IF(DATOS!$G8454&lt;&gt;"EX",0,--(COUNTIFS(nNIA,DATOS!$A8454,nCURSO,DATOS!$D8454,nESPEC,DATOS!$E8454,nASIG,DATOS!$I8454,nEVAL,"OR")=0))</f>
      </c>
      <c r="I8454">
        <f>IF(DATOS!$I8454="","",IFERROR(VLOOKUP(DATOS!$I8454,CONFIG_ASIGNATURAS!$B$2:$J$91,9,FALSE()),""))</f>
      </c>
    </row>
    <row r="8455">
      <c r="F8455">
        <f>IF(DATOS!$A8455="","",DATOS!$A8455&amp;"|"&amp;DATOS!$D8455&amp;"|"&amp;DATOS!$E8455&amp;"|"&amp;DATOS!$I8455)</f>
      </c>
      <c r="G8455">
        <f>IF(DATOS!$A8455="",0,IF(CONFIG_METADATA!$B$4&lt;&gt;"OR+EX",--(DATOS!$G8455=CONFIG_METADATA!$B$4),IF(DATOS!$G8455="EX",1,IF(DATOS!$G8455="OR",--(COUNTIFS(nNIA,DATOS!$A8455,nCURSO,DATOS!$D8455,nESPEC,DATOS!$E8455,nASIG,DATOS!$I8455,nEVAL,"EX")=0),0))))</f>
      </c>
      <c r="H8455">
        <f>IF(DATOS!$G8455&lt;&gt;"EX",0,--(COUNTIFS(nNIA,DATOS!$A8455,nCURSO,DATOS!$D8455,nESPEC,DATOS!$E8455,nASIG,DATOS!$I8455,nEVAL,"OR")=0))</f>
      </c>
      <c r="I8455">
        <f>IF(DATOS!$I8455="","",IFERROR(VLOOKUP(DATOS!$I8455,CONFIG_ASIGNATURAS!$B$2:$J$91,9,FALSE()),""))</f>
      </c>
    </row>
    <row r="8456">
      <c r="F8456">
        <f>IF(DATOS!$A8456="","",DATOS!$A8456&amp;"|"&amp;DATOS!$D8456&amp;"|"&amp;DATOS!$E8456&amp;"|"&amp;DATOS!$I8456)</f>
      </c>
      <c r="G8456">
        <f>IF(DATOS!$A8456="",0,IF(CONFIG_METADATA!$B$4&lt;&gt;"OR+EX",--(DATOS!$G8456=CONFIG_METADATA!$B$4),IF(DATOS!$G8456="EX",1,IF(DATOS!$G8456="OR",--(COUNTIFS(nNIA,DATOS!$A8456,nCURSO,DATOS!$D8456,nESPEC,DATOS!$E8456,nASIG,DATOS!$I8456,nEVAL,"EX")=0),0))))</f>
      </c>
      <c r="H8456">
        <f>IF(DATOS!$G8456&lt;&gt;"EX",0,--(COUNTIFS(nNIA,DATOS!$A8456,nCURSO,DATOS!$D8456,nESPEC,DATOS!$E8456,nASIG,DATOS!$I8456,nEVAL,"OR")=0))</f>
      </c>
      <c r="I8456">
        <f>IF(DATOS!$I8456="","",IFERROR(VLOOKUP(DATOS!$I8456,CONFIG_ASIGNATURAS!$B$2:$J$91,9,FALSE()),""))</f>
      </c>
    </row>
    <row r="8457">
      <c r="F8457">
        <f>IF(DATOS!$A8457="","",DATOS!$A8457&amp;"|"&amp;DATOS!$D8457&amp;"|"&amp;DATOS!$E8457&amp;"|"&amp;DATOS!$I8457)</f>
      </c>
      <c r="G8457">
        <f>IF(DATOS!$A8457="",0,IF(CONFIG_METADATA!$B$4&lt;&gt;"OR+EX",--(DATOS!$G8457=CONFIG_METADATA!$B$4),IF(DATOS!$G8457="EX",1,IF(DATOS!$G8457="OR",--(COUNTIFS(nNIA,DATOS!$A8457,nCURSO,DATOS!$D8457,nESPEC,DATOS!$E8457,nASIG,DATOS!$I8457,nEVAL,"EX")=0),0))))</f>
      </c>
      <c r="H8457">
        <f>IF(DATOS!$G8457&lt;&gt;"EX",0,--(COUNTIFS(nNIA,DATOS!$A8457,nCURSO,DATOS!$D8457,nESPEC,DATOS!$E8457,nASIG,DATOS!$I8457,nEVAL,"OR")=0))</f>
      </c>
      <c r="I8457">
        <f>IF(DATOS!$I8457="","",IFERROR(VLOOKUP(DATOS!$I8457,CONFIG_ASIGNATURAS!$B$2:$J$91,9,FALSE()),""))</f>
      </c>
    </row>
    <row r="8458">
      <c r="F8458">
        <f>IF(DATOS!$A8458="","",DATOS!$A8458&amp;"|"&amp;DATOS!$D8458&amp;"|"&amp;DATOS!$E8458&amp;"|"&amp;DATOS!$I8458)</f>
      </c>
      <c r="G8458">
        <f>IF(DATOS!$A8458="",0,IF(CONFIG_METADATA!$B$4&lt;&gt;"OR+EX",--(DATOS!$G8458=CONFIG_METADATA!$B$4),IF(DATOS!$G8458="EX",1,IF(DATOS!$G8458="OR",--(COUNTIFS(nNIA,DATOS!$A8458,nCURSO,DATOS!$D8458,nESPEC,DATOS!$E8458,nASIG,DATOS!$I8458,nEVAL,"EX")=0),0))))</f>
      </c>
      <c r="H8458">
        <f>IF(DATOS!$G8458&lt;&gt;"EX",0,--(COUNTIFS(nNIA,DATOS!$A8458,nCURSO,DATOS!$D8458,nESPEC,DATOS!$E8458,nASIG,DATOS!$I8458,nEVAL,"OR")=0))</f>
      </c>
      <c r="I8458">
        <f>IF(DATOS!$I8458="","",IFERROR(VLOOKUP(DATOS!$I8458,CONFIG_ASIGNATURAS!$B$2:$J$91,9,FALSE()),""))</f>
      </c>
    </row>
    <row r="8459">
      <c r="F8459">
        <f>IF(DATOS!$A8459="","",DATOS!$A8459&amp;"|"&amp;DATOS!$D8459&amp;"|"&amp;DATOS!$E8459&amp;"|"&amp;DATOS!$I8459)</f>
      </c>
      <c r="G8459">
        <f>IF(DATOS!$A8459="",0,IF(CONFIG_METADATA!$B$4&lt;&gt;"OR+EX",--(DATOS!$G8459=CONFIG_METADATA!$B$4),IF(DATOS!$G8459="EX",1,IF(DATOS!$G8459="OR",--(COUNTIFS(nNIA,DATOS!$A8459,nCURSO,DATOS!$D8459,nESPEC,DATOS!$E8459,nASIG,DATOS!$I8459,nEVAL,"EX")=0),0))))</f>
      </c>
      <c r="H8459">
        <f>IF(DATOS!$G8459&lt;&gt;"EX",0,--(COUNTIFS(nNIA,DATOS!$A8459,nCURSO,DATOS!$D8459,nESPEC,DATOS!$E8459,nASIG,DATOS!$I8459,nEVAL,"OR")=0))</f>
      </c>
      <c r="I8459">
        <f>IF(DATOS!$I8459="","",IFERROR(VLOOKUP(DATOS!$I8459,CONFIG_ASIGNATURAS!$B$2:$J$91,9,FALSE()),""))</f>
      </c>
    </row>
    <row r="8460">
      <c r="F8460">
        <f>IF(DATOS!$A8460="","",DATOS!$A8460&amp;"|"&amp;DATOS!$D8460&amp;"|"&amp;DATOS!$E8460&amp;"|"&amp;DATOS!$I8460)</f>
      </c>
      <c r="G8460">
        <f>IF(DATOS!$A8460="",0,IF(CONFIG_METADATA!$B$4&lt;&gt;"OR+EX",--(DATOS!$G8460=CONFIG_METADATA!$B$4),IF(DATOS!$G8460="EX",1,IF(DATOS!$G8460="OR",--(COUNTIFS(nNIA,DATOS!$A8460,nCURSO,DATOS!$D8460,nESPEC,DATOS!$E8460,nASIG,DATOS!$I8460,nEVAL,"EX")=0),0))))</f>
      </c>
      <c r="H8460">
        <f>IF(DATOS!$G8460&lt;&gt;"EX",0,--(COUNTIFS(nNIA,DATOS!$A8460,nCURSO,DATOS!$D8460,nESPEC,DATOS!$E8460,nASIG,DATOS!$I8460,nEVAL,"OR")=0))</f>
      </c>
      <c r="I8460">
        <f>IF(DATOS!$I8460="","",IFERROR(VLOOKUP(DATOS!$I8460,CONFIG_ASIGNATURAS!$B$2:$J$91,9,FALSE()),""))</f>
      </c>
    </row>
    <row r="8461">
      <c r="F8461">
        <f>IF(DATOS!$A8461="","",DATOS!$A8461&amp;"|"&amp;DATOS!$D8461&amp;"|"&amp;DATOS!$E8461&amp;"|"&amp;DATOS!$I8461)</f>
      </c>
      <c r="G8461">
        <f>IF(DATOS!$A8461="",0,IF(CONFIG_METADATA!$B$4&lt;&gt;"OR+EX",--(DATOS!$G8461=CONFIG_METADATA!$B$4),IF(DATOS!$G8461="EX",1,IF(DATOS!$G8461="OR",--(COUNTIFS(nNIA,DATOS!$A8461,nCURSO,DATOS!$D8461,nESPEC,DATOS!$E8461,nASIG,DATOS!$I8461,nEVAL,"EX")=0),0))))</f>
      </c>
      <c r="H8461">
        <f>IF(DATOS!$G8461&lt;&gt;"EX",0,--(COUNTIFS(nNIA,DATOS!$A8461,nCURSO,DATOS!$D8461,nESPEC,DATOS!$E8461,nASIG,DATOS!$I8461,nEVAL,"OR")=0))</f>
      </c>
      <c r="I8461">
        <f>IF(DATOS!$I8461="","",IFERROR(VLOOKUP(DATOS!$I8461,CONFIG_ASIGNATURAS!$B$2:$J$91,9,FALSE()),""))</f>
      </c>
    </row>
    <row r="8462">
      <c r="F8462">
        <f>IF(DATOS!$A8462="","",DATOS!$A8462&amp;"|"&amp;DATOS!$D8462&amp;"|"&amp;DATOS!$E8462&amp;"|"&amp;DATOS!$I8462)</f>
      </c>
      <c r="G8462">
        <f>IF(DATOS!$A8462="",0,IF(CONFIG_METADATA!$B$4&lt;&gt;"OR+EX",--(DATOS!$G8462=CONFIG_METADATA!$B$4),IF(DATOS!$G8462="EX",1,IF(DATOS!$G8462="OR",--(COUNTIFS(nNIA,DATOS!$A8462,nCURSO,DATOS!$D8462,nESPEC,DATOS!$E8462,nASIG,DATOS!$I8462,nEVAL,"EX")=0),0))))</f>
      </c>
      <c r="H8462">
        <f>IF(DATOS!$G8462&lt;&gt;"EX",0,--(COUNTIFS(nNIA,DATOS!$A8462,nCURSO,DATOS!$D8462,nESPEC,DATOS!$E8462,nASIG,DATOS!$I8462,nEVAL,"OR")=0))</f>
      </c>
      <c r="I8462">
        <f>IF(DATOS!$I8462="","",IFERROR(VLOOKUP(DATOS!$I8462,CONFIG_ASIGNATURAS!$B$2:$J$91,9,FALSE()),""))</f>
      </c>
    </row>
    <row r="8463">
      <c r="F8463">
        <f>IF(DATOS!$A8463="","",DATOS!$A8463&amp;"|"&amp;DATOS!$D8463&amp;"|"&amp;DATOS!$E8463&amp;"|"&amp;DATOS!$I8463)</f>
      </c>
      <c r="G8463">
        <f>IF(DATOS!$A8463="",0,IF(CONFIG_METADATA!$B$4&lt;&gt;"OR+EX",--(DATOS!$G8463=CONFIG_METADATA!$B$4),IF(DATOS!$G8463="EX",1,IF(DATOS!$G8463="OR",--(COUNTIFS(nNIA,DATOS!$A8463,nCURSO,DATOS!$D8463,nESPEC,DATOS!$E8463,nASIG,DATOS!$I8463,nEVAL,"EX")=0),0))))</f>
      </c>
      <c r="H8463">
        <f>IF(DATOS!$G8463&lt;&gt;"EX",0,--(COUNTIFS(nNIA,DATOS!$A8463,nCURSO,DATOS!$D8463,nESPEC,DATOS!$E8463,nASIG,DATOS!$I8463,nEVAL,"OR")=0))</f>
      </c>
      <c r="I8463">
        <f>IF(DATOS!$I8463="","",IFERROR(VLOOKUP(DATOS!$I8463,CONFIG_ASIGNATURAS!$B$2:$J$91,9,FALSE()),""))</f>
      </c>
    </row>
    <row r="8464">
      <c r="F8464">
        <f>IF(DATOS!$A8464="","",DATOS!$A8464&amp;"|"&amp;DATOS!$D8464&amp;"|"&amp;DATOS!$E8464&amp;"|"&amp;DATOS!$I8464)</f>
      </c>
      <c r="G8464">
        <f>IF(DATOS!$A8464="",0,IF(CONFIG_METADATA!$B$4&lt;&gt;"OR+EX",--(DATOS!$G8464=CONFIG_METADATA!$B$4),IF(DATOS!$G8464="EX",1,IF(DATOS!$G8464="OR",--(COUNTIFS(nNIA,DATOS!$A8464,nCURSO,DATOS!$D8464,nESPEC,DATOS!$E8464,nASIG,DATOS!$I8464,nEVAL,"EX")=0),0))))</f>
      </c>
      <c r="H8464">
        <f>IF(DATOS!$G8464&lt;&gt;"EX",0,--(COUNTIFS(nNIA,DATOS!$A8464,nCURSO,DATOS!$D8464,nESPEC,DATOS!$E8464,nASIG,DATOS!$I8464,nEVAL,"OR")=0))</f>
      </c>
      <c r="I8464">
        <f>IF(DATOS!$I8464="","",IFERROR(VLOOKUP(DATOS!$I8464,CONFIG_ASIGNATURAS!$B$2:$J$91,9,FALSE()),""))</f>
      </c>
    </row>
    <row r="8465">
      <c r="F8465">
        <f>IF(DATOS!$A8465="","",DATOS!$A8465&amp;"|"&amp;DATOS!$D8465&amp;"|"&amp;DATOS!$E8465&amp;"|"&amp;DATOS!$I8465)</f>
      </c>
      <c r="G8465">
        <f>IF(DATOS!$A8465="",0,IF(CONFIG_METADATA!$B$4&lt;&gt;"OR+EX",--(DATOS!$G8465=CONFIG_METADATA!$B$4),IF(DATOS!$G8465="EX",1,IF(DATOS!$G8465="OR",--(COUNTIFS(nNIA,DATOS!$A8465,nCURSO,DATOS!$D8465,nESPEC,DATOS!$E8465,nASIG,DATOS!$I8465,nEVAL,"EX")=0),0))))</f>
      </c>
      <c r="H8465">
        <f>IF(DATOS!$G8465&lt;&gt;"EX",0,--(COUNTIFS(nNIA,DATOS!$A8465,nCURSO,DATOS!$D8465,nESPEC,DATOS!$E8465,nASIG,DATOS!$I8465,nEVAL,"OR")=0))</f>
      </c>
      <c r="I8465">
        <f>IF(DATOS!$I8465="","",IFERROR(VLOOKUP(DATOS!$I8465,CONFIG_ASIGNATURAS!$B$2:$J$91,9,FALSE()),""))</f>
      </c>
    </row>
    <row r="8466">
      <c r="F8466">
        <f>IF(DATOS!$A8466="","",DATOS!$A8466&amp;"|"&amp;DATOS!$D8466&amp;"|"&amp;DATOS!$E8466&amp;"|"&amp;DATOS!$I8466)</f>
      </c>
      <c r="G8466">
        <f>IF(DATOS!$A8466="",0,IF(CONFIG_METADATA!$B$4&lt;&gt;"OR+EX",--(DATOS!$G8466=CONFIG_METADATA!$B$4),IF(DATOS!$G8466="EX",1,IF(DATOS!$G8466="OR",--(COUNTIFS(nNIA,DATOS!$A8466,nCURSO,DATOS!$D8466,nESPEC,DATOS!$E8466,nASIG,DATOS!$I8466,nEVAL,"EX")=0),0))))</f>
      </c>
      <c r="H8466">
        <f>IF(DATOS!$G8466&lt;&gt;"EX",0,--(COUNTIFS(nNIA,DATOS!$A8466,nCURSO,DATOS!$D8466,nESPEC,DATOS!$E8466,nASIG,DATOS!$I8466,nEVAL,"OR")=0))</f>
      </c>
      <c r="I8466">
        <f>IF(DATOS!$I8466="","",IFERROR(VLOOKUP(DATOS!$I8466,CONFIG_ASIGNATURAS!$B$2:$J$91,9,FALSE()),""))</f>
      </c>
    </row>
    <row r="8467">
      <c r="F8467">
        <f>IF(DATOS!$A8467="","",DATOS!$A8467&amp;"|"&amp;DATOS!$D8467&amp;"|"&amp;DATOS!$E8467&amp;"|"&amp;DATOS!$I8467)</f>
      </c>
      <c r="G8467">
        <f>IF(DATOS!$A8467="",0,IF(CONFIG_METADATA!$B$4&lt;&gt;"OR+EX",--(DATOS!$G8467=CONFIG_METADATA!$B$4),IF(DATOS!$G8467="EX",1,IF(DATOS!$G8467="OR",--(COUNTIFS(nNIA,DATOS!$A8467,nCURSO,DATOS!$D8467,nESPEC,DATOS!$E8467,nASIG,DATOS!$I8467,nEVAL,"EX")=0),0))))</f>
      </c>
      <c r="H8467">
        <f>IF(DATOS!$G8467&lt;&gt;"EX",0,--(COUNTIFS(nNIA,DATOS!$A8467,nCURSO,DATOS!$D8467,nESPEC,DATOS!$E8467,nASIG,DATOS!$I8467,nEVAL,"OR")=0))</f>
      </c>
      <c r="I8467">
        <f>IF(DATOS!$I8467="","",IFERROR(VLOOKUP(DATOS!$I8467,CONFIG_ASIGNATURAS!$B$2:$J$91,9,FALSE()),""))</f>
      </c>
    </row>
    <row r="8468">
      <c r="F8468">
        <f>IF(DATOS!$A8468="","",DATOS!$A8468&amp;"|"&amp;DATOS!$D8468&amp;"|"&amp;DATOS!$E8468&amp;"|"&amp;DATOS!$I8468)</f>
      </c>
      <c r="G8468">
        <f>IF(DATOS!$A8468="",0,IF(CONFIG_METADATA!$B$4&lt;&gt;"OR+EX",--(DATOS!$G8468=CONFIG_METADATA!$B$4),IF(DATOS!$G8468="EX",1,IF(DATOS!$G8468="OR",--(COUNTIFS(nNIA,DATOS!$A8468,nCURSO,DATOS!$D8468,nESPEC,DATOS!$E8468,nASIG,DATOS!$I8468,nEVAL,"EX")=0),0))))</f>
      </c>
      <c r="H8468">
        <f>IF(DATOS!$G8468&lt;&gt;"EX",0,--(COUNTIFS(nNIA,DATOS!$A8468,nCURSO,DATOS!$D8468,nESPEC,DATOS!$E8468,nASIG,DATOS!$I8468,nEVAL,"OR")=0))</f>
      </c>
      <c r="I8468">
        <f>IF(DATOS!$I8468="","",IFERROR(VLOOKUP(DATOS!$I8468,CONFIG_ASIGNATURAS!$B$2:$J$91,9,FALSE()),""))</f>
      </c>
    </row>
    <row r="8469">
      <c r="F8469">
        <f>IF(DATOS!$A8469="","",DATOS!$A8469&amp;"|"&amp;DATOS!$D8469&amp;"|"&amp;DATOS!$E8469&amp;"|"&amp;DATOS!$I8469)</f>
      </c>
      <c r="G8469">
        <f>IF(DATOS!$A8469="",0,IF(CONFIG_METADATA!$B$4&lt;&gt;"OR+EX",--(DATOS!$G8469=CONFIG_METADATA!$B$4),IF(DATOS!$G8469="EX",1,IF(DATOS!$G8469="OR",--(COUNTIFS(nNIA,DATOS!$A8469,nCURSO,DATOS!$D8469,nESPEC,DATOS!$E8469,nASIG,DATOS!$I8469,nEVAL,"EX")=0),0))))</f>
      </c>
      <c r="H8469">
        <f>IF(DATOS!$G8469&lt;&gt;"EX",0,--(COUNTIFS(nNIA,DATOS!$A8469,nCURSO,DATOS!$D8469,nESPEC,DATOS!$E8469,nASIG,DATOS!$I8469,nEVAL,"OR")=0))</f>
      </c>
      <c r="I8469">
        <f>IF(DATOS!$I8469="","",IFERROR(VLOOKUP(DATOS!$I8469,CONFIG_ASIGNATURAS!$B$2:$J$91,9,FALSE()),""))</f>
      </c>
    </row>
    <row r="8470">
      <c r="F8470">
        <f>IF(DATOS!$A8470="","",DATOS!$A8470&amp;"|"&amp;DATOS!$D8470&amp;"|"&amp;DATOS!$E8470&amp;"|"&amp;DATOS!$I8470)</f>
      </c>
      <c r="G8470">
        <f>IF(DATOS!$A8470="",0,IF(CONFIG_METADATA!$B$4&lt;&gt;"OR+EX",--(DATOS!$G8470=CONFIG_METADATA!$B$4),IF(DATOS!$G8470="EX",1,IF(DATOS!$G8470="OR",--(COUNTIFS(nNIA,DATOS!$A8470,nCURSO,DATOS!$D8470,nESPEC,DATOS!$E8470,nASIG,DATOS!$I8470,nEVAL,"EX")=0),0))))</f>
      </c>
      <c r="H8470">
        <f>IF(DATOS!$G8470&lt;&gt;"EX",0,--(COUNTIFS(nNIA,DATOS!$A8470,nCURSO,DATOS!$D8470,nESPEC,DATOS!$E8470,nASIG,DATOS!$I8470,nEVAL,"OR")=0))</f>
      </c>
      <c r="I8470">
        <f>IF(DATOS!$I8470="","",IFERROR(VLOOKUP(DATOS!$I8470,CONFIG_ASIGNATURAS!$B$2:$J$91,9,FALSE()),""))</f>
      </c>
    </row>
    <row r="8471">
      <c r="F8471">
        <f>IF(DATOS!$A8471="","",DATOS!$A8471&amp;"|"&amp;DATOS!$D8471&amp;"|"&amp;DATOS!$E8471&amp;"|"&amp;DATOS!$I8471)</f>
      </c>
      <c r="G8471">
        <f>IF(DATOS!$A8471="",0,IF(CONFIG_METADATA!$B$4&lt;&gt;"OR+EX",--(DATOS!$G8471=CONFIG_METADATA!$B$4),IF(DATOS!$G8471="EX",1,IF(DATOS!$G8471="OR",--(COUNTIFS(nNIA,DATOS!$A8471,nCURSO,DATOS!$D8471,nESPEC,DATOS!$E8471,nASIG,DATOS!$I8471,nEVAL,"EX")=0),0))))</f>
      </c>
      <c r="H8471">
        <f>IF(DATOS!$G8471&lt;&gt;"EX",0,--(COUNTIFS(nNIA,DATOS!$A8471,nCURSO,DATOS!$D8471,nESPEC,DATOS!$E8471,nASIG,DATOS!$I8471,nEVAL,"OR")=0))</f>
      </c>
      <c r="I8471">
        <f>IF(DATOS!$I8471="","",IFERROR(VLOOKUP(DATOS!$I8471,CONFIG_ASIGNATURAS!$B$2:$J$91,9,FALSE()),""))</f>
      </c>
    </row>
    <row r="8472">
      <c r="F8472">
        <f>IF(DATOS!$A8472="","",DATOS!$A8472&amp;"|"&amp;DATOS!$D8472&amp;"|"&amp;DATOS!$E8472&amp;"|"&amp;DATOS!$I8472)</f>
      </c>
      <c r="G8472">
        <f>IF(DATOS!$A8472="",0,IF(CONFIG_METADATA!$B$4&lt;&gt;"OR+EX",--(DATOS!$G8472=CONFIG_METADATA!$B$4),IF(DATOS!$G8472="EX",1,IF(DATOS!$G8472="OR",--(COUNTIFS(nNIA,DATOS!$A8472,nCURSO,DATOS!$D8472,nESPEC,DATOS!$E8472,nASIG,DATOS!$I8472,nEVAL,"EX")=0),0))))</f>
      </c>
      <c r="H8472">
        <f>IF(DATOS!$G8472&lt;&gt;"EX",0,--(COUNTIFS(nNIA,DATOS!$A8472,nCURSO,DATOS!$D8472,nESPEC,DATOS!$E8472,nASIG,DATOS!$I8472,nEVAL,"OR")=0))</f>
      </c>
      <c r="I8472">
        <f>IF(DATOS!$I8472="","",IFERROR(VLOOKUP(DATOS!$I8472,CONFIG_ASIGNATURAS!$B$2:$J$91,9,FALSE()),""))</f>
      </c>
    </row>
    <row r="8473">
      <c r="F8473">
        <f>IF(DATOS!$A8473="","",DATOS!$A8473&amp;"|"&amp;DATOS!$D8473&amp;"|"&amp;DATOS!$E8473&amp;"|"&amp;DATOS!$I8473)</f>
      </c>
      <c r="G8473">
        <f>IF(DATOS!$A8473="",0,IF(CONFIG_METADATA!$B$4&lt;&gt;"OR+EX",--(DATOS!$G8473=CONFIG_METADATA!$B$4),IF(DATOS!$G8473="EX",1,IF(DATOS!$G8473="OR",--(COUNTIFS(nNIA,DATOS!$A8473,nCURSO,DATOS!$D8473,nESPEC,DATOS!$E8473,nASIG,DATOS!$I8473,nEVAL,"EX")=0),0))))</f>
      </c>
      <c r="H8473">
        <f>IF(DATOS!$G8473&lt;&gt;"EX",0,--(COUNTIFS(nNIA,DATOS!$A8473,nCURSO,DATOS!$D8473,nESPEC,DATOS!$E8473,nASIG,DATOS!$I8473,nEVAL,"OR")=0))</f>
      </c>
      <c r="I8473">
        <f>IF(DATOS!$I8473="","",IFERROR(VLOOKUP(DATOS!$I8473,CONFIG_ASIGNATURAS!$B$2:$J$91,9,FALSE()),""))</f>
      </c>
    </row>
    <row r="8474">
      <c r="F8474">
        <f>IF(DATOS!$A8474="","",DATOS!$A8474&amp;"|"&amp;DATOS!$D8474&amp;"|"&amp;DATOS!$E8474&amp;"|"&amp;DATOS!$I8474)</f>
      </c>
      <c r="G8474">
        <f>IF(DATOS!$A8474="",0,IF(CONFIG_METADATA!$B$4&lt;&gt;"OR+EX",--(DATOS!$G8474=CONFIG_METADATA!$B$4),IF(DATOS!$G8474="EX",1,IF(DATOS!$G8474="OR",--(COUNTIFS(nNIA,DATOS!$A8474,nCURSO,DATOS!$D8474,nESPEC,DATOS!$E8474,nASIG,DATOS!$I8474,nEVAL,"EX")=0),0))))</f>
      </c>
      <c r="H8474">
        <f>IF(DATOS!$G8474&lt;&gt;"EX",0,--(COUNTIFS(nNIA,DATOS!$A8474,nCURSO,DATOS!$D8474,nESPEC,DATOS!$E8474,nASIG,DATOS!$I8474,nEVAL,"OR")=0))</f>
      </c>
      <c r="I8474">
        <f>IF(DATOS!$I8474="","",IFERROR(VLOOKUP(DATOS!$I8474,CONFIG_ASIGNATURAS!$B$2:$J$91,9,FALSE()),""))</f>
      </c>
    </row>
    <row r="8475">
      <c r="F8475">
        <f>IF(DATOS!$A8475="","",DATOS!$A8475&amp;"|"&amp;DATOS!$D8475&amp;"|"&amp;DATOS!$E8475&amp;"|"&amp;DATOS!$I8475)</f>
      </c>
      <c r="G8475">
        <f>IF(DATOS!$A8475="",0,IF(CONFIG_METADATA!$B$4&lt;&gt;"OR+EX",--(DATOS!$G8475=CONFIG_METADATA!$B$4),IF(DATOS!$G8475="EX",1,IF(DATOS!$G8475="OR",--(COUNTIFS(nNIA,DATOS!$A8475,nCURSO,DATOS!$D8475,nESPEC,DATOS!$E8475,nASIG,DATOS!$I8475,nEVAL,"EX")=0),0))))</f>
      </c>
      <c r="H8475">
        <f>IF(DATOS!$G8475&lt;&gt;"EX",0,--(COUNTIFS(nNIA,DATOS!$A8475,nCURSO,DATOS!$D8475,nESPEC,DATOS!$E8475,nASIG,DATOS!$I8475,nEVAL,"OR")=0))</f>
      </c>
      <c r="I8475">
        <f>IF(DATOS!$I8475="","",IFERROR(VLOOKUP(DATOS!$I8475,CONFIG_ASIGNATURAS!$B$2:$J$91,9,FALSE()),""))</f>
      </c>
    </row>
    <row r="8476">
      <c r="F8476">
        <f>IF(DATOS!$A8476="","",DATOS!$A8476&amp;"|"&amp;DATOS!$D8476&amp;"|"&amp;DATOS!$E8476&amp;"|"&amp;DATOS!$I8476)</f>
      </c>
      <c r="G8476">
        <f>IF(DATOS!$A8476="",0,IF(CONFIG_METADATA!$B$4&lt;&gt;"OR+EX",--(DATOS!$G8476=CONFIG_METADATA!$B$4),IF(DATOS!$G8476="EX",1,IF(DATOS!$G8476="OR",--(COUNTIFS(nNIA,DATOS!$A8476,nCURSO,DATOS!$D8476,nESPEC,DATOS!$E8476,nASIG,DATOS!$I8476,nEVAL,"EX")=0),0))))</f>
      </c>
      <c r="H8476">
        <f>IF(DATOS!$G8476&lt;&gt;"EX",0,--(COUNTIFS(nNIA,DATOS!$A8476,nCURSO,DATOS!$D8476,nESPEC,DATOS!$E8476,nASIG,DATOS!$I8476,nEVAL,"OR")=0))</f>
      </c>
      <c r="I8476">
        <f>IF(DATOS!$I8476="","",IFERROR(VLOOKUP(DATOS!$I8476,CONFIG_ASIGNATURAS!$B$2:$J$91,9,FALSE()),""))</f>
      </c>
    </row>
    <row r="8477">
      <c r="F8477">
        <f>IF(DATOS!$A8477="","",DATOS!$A8477&amp;"|"&amp;DATOS!$D8477&amp;"|"&amp;DATOS!$E8477&amp;"|"&amp;DATOS!$I8477)</f>
      </c>
      <c r="G8477">
        <f>IF(DATOS!$A8477="",0,IF(CONFIG_METADATA!$B$4&lt;&gt;"OR+EX",--(DATOS!$G8477=CONFIG_METADATA!$B$4),IF(DATOS!$G8477="EX",1,IF(DATOS!$G8477="OR",--(COUNTIFS(nNIA,DATOS!$A8477,nCURSO,DATOS!$D8477,nESPEC,DATOS!$E8477,nASIG,DATOS!$I8477,nEVAL,"EX")=0),0))))</f>
      </c>
      <c r="H8477">
        <f>IF(DATOS!$G8477&lt;&gt;"EX",0,--(COUNTIFS(nNIA,DATOS!$A8477,nCURSO,DATOS!$D8477,nESPEC,DATOS!$E8477,nASIG,DATOS!$I8477,nEVAL,"OR")=0))</f>
      </c>
      <c r="I8477">
        <f>IF(DATOS!$I8477="","",IFERROR(VLOOKUP(DATOS!$I8477,CONFIG_ASIGNATURAS!$B$2:$J$91,9,FALSE()),""))</f>
      </c>
    </row>
    <row r="8478">
      <c r="F8478">
        <f>IF(DATOS!$A8478="","",DATOS!$A8478&amp;"|"&amp;DATOS!$D8478&amp;"|"&amp;DATOS!$E8478&amp;"|"&amp;DATOS!$I8478)</f>
      </c>
      <c r="G8478">
        <f>IF(DATOS!$A8478="",0,IF(CONFIG_METADATA!$B$4&lt;&gt;"OR+EX",--(DATOS!$G8478=CONFIG_METADATA!$B$4),IF(DATOS!$G8478="EX",1,IF(DATOS!$G8478="OR",--(COUNTIFS(nNIA,DATOS!$A8478,nCURSO,DATOS!$D8478,nESPEC,DATOS!$E8478,nASIG,DATOS!$I8478,nEVAL,"EX")=0),0))))</f>
      </c>
      <c r="H8478">
        <f>IF(DATOS!$G8478&lt;&gt;"EX",0,--(COUNTIFS(nNIA,DATOS!$A8478,nCURSO,DATOS!$D8478,nESPEC,DATOS!$E8478,nASIG,DATOS!$I8478,nEVAL,"OR")=0))</f>
      </c>
      <c r="I8478">
        <f>IF(DATOS!$I8478="","",IFERROR(VLOOKUP(DATOS!$I8478,CONFIG_ASIGNATURAS!$B$2:$J$91,9,FALSE()),""))</f>
      </c>
    </row>
    <row r="8479">
      <c r="F8479">
        <f>IF(DATOS!$A8479="","",DATOS!$A8479&amp;"|"&amp;DATOS!$D8479&amp;"|"&amp;DATOS!$E8479&amp;"|"&amp;DATOS!$I8479)</f>
      </c>
      <c r="G8479">
        <f>IF(DATOS!$A8479="",0,IF(CONFIG_METADATA!$B$4&lt;&gt;"OR+EX",--(DATOS!$G8479=CONFIG_METADATA!$B$4),IF(DATOS!$G8479="EX",1,IF(DATOS!$G8479="OR",--(COUNTIFS(nNIA,DATOS!$A8479,nCURSO,DATOS!$D8479,nESPEC,DATOS!$E8479,nASIG,DATOS!$I8479,nEVAL,"EX")=0),0))))</f>
      </c>
      <c r="H8479">
        <f>IF(DATOS!$G8479&lt;&gt;"EX",0,--(COUNTIFS(nNIA,DATOS!$A8479,nCURSO,DATOS!$D8479,nESPEC,DATOS!$E8479,nASIG,DATOS!$I8479,nEVAL,"OR")=0))</f>
      </c>
      <c r="I8479">
        <f>IF(DATOS!$I8479="","",IFERROR(VLOOKUP(DATOS!$I8479,CONFIG_ASIGNATURAS!$B$2:$J$91,9,FALSE()),""))</f>
      </c>
    </row>
    <row r="8480">
      <c r="F8480">
        <f>IF(DATOS!$A8480="","",DATOS!$A8480&amp;"|"&amp;DATOS!$D8480&amp;"|"&amp;DATOS!$E8480&amp;"|"&amp;DATOS!$I8480)</f>
      </c>
      <c r="G8480">
        <f>IF(DATOS!$A8480="",0,IF(CONFIG_METADATA!$B$4&lt;&gt;"OR+EX",--(DATOS!$G8480=CONFIG_METADATA!$B$4),IF(DATOS!$G8480="EX",1,IF(DATOS!$G8480="OR",--(COUNTIFS(nNIA,DATOS!$A8480,nCURSO,DATOS!$D8480,nESPEC,DATOS!$E8480,nASIG,DATOS!$I8480,nEVAL,"EX")=0),0))))</f>
      </c>
      <c r="H8480">
        <f>IF(DATOS!$G8480&lt;&gt;"EX",0,--(COUNTIFS(nNIA,DATOS!$A8480,nCURSO,DATOS!$D8480,nESPEC,DATOS!$E8480,nASIG,DATOS!$I8480,nEVAL,"OR")=0))</f>
      </c>
      <c r="I8480">
        <f>IF(DATOS!$I8480="","",IFERROR(VLOOKUP(DATOS!$I8480,CONFIG_ASIGNATURAS!$B$2:$J$91,9,FALSE()),""))</f>
      </c>
    </row>
    <row r="8481">
      <c r="F8481">
        <f>IF(DATOS!$A8481="","",DATOS!$A8481&amp;"|"&amp;DATOS!$D8481&amp;"|"&amp;DATOS!$E8481&amp;"|"&amp;DATOS!$I8481)</f>
      </c>
      <c r="G8481">
        <f>IF(DATOS!$A8481="",0,IF(CONFIG_METADATA!$B$4&lt;&gt;"OR+EX",--(DATOS!$G8481=CONFIG_METADATA!$B$4),IF(DATOS!$G8481="EX",1,IF(DATOS!$G8481="OR",--(COUNTIFS(nNIA,DATOS!$A8481,nCURSO,DATOS!$D8481,nESPEC,DATOS!$E8481,nASIG,DATOS!$I8481,nEVAL,"EX")=0),0))))</f>
      </c>
      <c r="H8481">
        <f>IF(DATOS!$G8481&lt;&gt;"EX",0,--(COUNTIFS(nNIA,DATOS!$A8481,nCURSO,DATOS!$D8481,nESPEC,DATOS!$E8481,nASIG,DATOS!$I8481,nEVAL,"OR")=0))</f>
      </c>
      <c r="I8481">
        <f>IF(DATOS!$I8481="","",IFERROR(VLOOKUP(DATOS!$I8481,CONFIG_ASIGNATURAS!$B$2:$J$91,9,FALSE()),""))</f>
      </c>
    </row>
    <row r="8482">
      <c r="F8482">
        <f>IF(DATOS!$A8482="","",DATOS!$A8482&amp;"|"&amp;DATOS!$D8482&amp;"|"&amp;DATOS!$E8482&amp;"|"&amp;DATOS!$I8482)</f>
      </c>
      <c r="G8482">
        <f>IF(DATOS!$A8482="",0,IF(CONFIG_METADATA!$B$4&lt;&gt;"OR+EX",--(DATOS!$G8482=CONFIG_METADATA!$B$4),IF(DATOS!$G8482="EX",1,IF(DATOS!$G8482="OR",--(COUNTIFS(nNIA,DATOS!$A8482,nCURSO,DATOS!$D8482,nESPEC,DATOS!$E8482,nASIG,DATOS!$I8482,nEVAL,"EX")=0),0))))</f>
      </c>
      <c r="H8482">
        <f>IF(DATOS!$G8482&lt;&gt;"EX",0,--(COUNTIFS(nNIA,DATOS!$A8482,nCURSO,DATOS!$D8482,nESPEC,DATOS!$E8482,nASIG,DATOS!$I8482,nEVAL,"OR")=0))</f>
      </c>
      <c r="I8482">
        <f>IF(DATOS!$I8482="","",IFERROR(VLOOKUP(DATOS!$I8482,CONFIG_ASIGNATURAS!$B$2:$J$91,9,FALSE()),""))</f>
      </c>
    </row>
    <row r="8483">
      <c r="F8483">
        <f>IF(DATOS!$A8483="","",DATOS!$A8483&amp;"|"&amp;DATOS!$D8483&amp;"|"&amp;DATOS!$E8483&amp;"|"&amp;DATOS!$I8483)</f>
      </c>
      <c r="G8483">
        <f>IF(DATOS!$A8483="",0,IF(CONFIG_METADATA!$B$4&lt;&gt;"OR+EX",--(DATOS!$G8483=CONFIG_METADATA!$B$4),IF(DATOS!$G8483="EX",1,IF(DATOS!$G8483="OR",--(COUNTIFS(nNIA,DATOS!$A8483,nCURSO,DATOS!$D8483,nESPEC,DATOS!$E8483,nASIG,DATOS!$I8483,nEVAL,"EX")=0),0))))</f>
      </c>
      <c r="H8483">
        <f>IF(DATOS!$G8483&lt;&gt;"EX",0,--(COUNTIFS(nNIA,DATOS!$A8483,nCURSO,DATOS!$D8483,nESPEC,DATOS!$E8483,nASIG,DATOS!$I8483,nEVAL,"OR")=0))</f>
      </c>
      <c r="I8483">
        <f>IF(DATOS!$I8483="","",IFERROR(VLOOKUP(DATOS!$I8483,CONFIG_ASIGNATURAS!$B$2:$J$91,9,FALSE()),""))</f>
      </c>
    </row>
    <row r="8484">
      <c r="F8484">
        <f>IF(DATOS!$A8484="","",DATOS!$A8484&amp;"|"&amp;DATOS!$D8484&amp;"|"&amp;DATOS!$E8484&amp;"|"&amp;DATOS!$I8484)</f>
      </c>
      <c r="G8484">
        <f>IF(DATOS!$A8484="",0,IF(CONFIG_METADATA!$B$4&lt;&gt;"OR+EX",--(DATOS!$G8484=CONFIG_METADATA!$B$4),IF(DATOS!$G8484="EX",1,IF(DATOS!$G8484="OR",--(COUNTIFS(nNIA,DATOS!$A8484,nCURSO,DATOS!$D8484,nESPEC,DATOS!$E8484,nASIG,DATOS!$I8484,nEVAL,"EX")=0),0))))</f>
      </c>
      <c r="H8484">
        <f>IF(DATOS!$G8484&lt;&gt;"EX",0,--(COUNTIFS(nNIA,DATOS!$A8484,nCURSO,DATOS!$D8484,nESPEC,DATOS!$E8484,nASIG,DATOS!$I8484,nEVAL,"OR")=0))</f>
      </c>
      <c r="I8484">
        <f>IF(DATOS!$I8484="","",IFERROR(VLOOKUP(DATOS!$I8484,CONFIG_ASIGNATURAS!$B$2:$J$91,9,FALSE()),""))</f>
      </c>
    </row>
    <row r="8485">
      <c r="F8485">
        <f>IF(DATOS!$A8485="","",DATOS!$A8485&amp;"|"&amp;DATOS!$D8485&amp;"|"&amp;DATOS!$E8485&amp;"|"&amp;DATOS!$I8485)</f>
      </c>
      <c r="G8485">
        <f>IF(DATOS!$A8485="",0,IF(CONFIG_METADATA!$B$4&lt;&gt;"OR+EX",--(DATOS!$G8485=CONFIG_METADATA!$B$4),IF(DATOS!$G8485="EX",1,IF(DATOS!$G8485="OR",--(COUNTIFS(nNIA,DATOS!$A8485,nCURSO,DATOS!$D8485,nESPEC,DATOS!$E8485,nASIG,DATOS!$I8485,nEVAL,"EX")=0),0))))</f>
      </c>
      <c r="H8485">
        <f>IF(DATOS!$G8485&lt;&gt;"EX",0,--(COUNTIFS(nNIA,DATOS!$A8485,nCURSO,DATOS!$D8485,nESPEC,DATOS!$E8485,nASIG,DATOS!$I8485,nEVAL,"OR")=0))</f>
      </c>
      <c r="I8485">
        <f>IF(DATOS!$I8485="","",IFERROR(VLOOKUP(DATOS!$I8485,CONFIG_ASIGNATURAS!$B$2:$J$91,9,FALSE()),""))</f>
      </c>
    </row>
    <row r="8486">
      <c r="F8486">
        <f>IF(DATOS!$A8486="","",DATOS!$A8486&amp;"|"&amp;DATOS!$D8486&amp;"|"&amp;DATOS!$E8486&amp;"|"&amp;DATOS!$I8486)</f>
      </c>
      <c r="G8486">
        <f>IF(DATOS!$A8486="",0,IF(CONFIG_METADATA!$B$4&lt;&gt;"OR+EX",--(DATOS!$G8486=CONFIG_METADATA!$B$4),IF(DATOS!$G8486="EX",1,IF(DATOS!$G8486="OR",--(COUNTIFS(nNIA,DATOS!$A8486,nCURSO,DATOS!$D8486,nESPEC,DATOS!$E8486,nASIG,DATOS!$I8486,nEVAL,"EX")=0),0))))</f>
      </c>
      <c r="H8486">
        <f>IF(DATOS!$G8486&lt;&gt;"EX",0,--(COUNTIFS(nNIA,DATOS!$A8486,nCURSO,DATOS!$D8486,nESPEC,DATOS!$E8486,nASIG,DATOS!$I8486,nEVAL,"OR")=0))</f>
      </c>
      <c r="I8486">
        <f>IF(DATOS!$I8486="","",IFERROR(VLOOKUP(DATOS!$I8486,CONFIG_ASIGNATURAS!$B$2:$J$91,9,FALSE()),""))</f>
      </c>
    </row>
    <row r="8487">
      <c r="F8487">
        <f>IF(DATOS!$A8487="","",DATOS!$A8487&amp;"|"&amp;DATOS!$D8487&amp;"|"&amp;DATOS!$E8487&amp;"|"&amp;DATOS!$I8487)</f>
      </c>
      <c r="G8487">
        <f>IF(DATOS!$A8487="",0,IF(CONFIG_METADATA!$B$4&lt;&gt;"OR+EX",--(DATOS!$G8487=CONFIG_METADATA!$B$4),IF(DATOS!$G8487="EX",1,IF(DATOS!$G8487="OR",--(COUNTIFS(nNIA,DATOS!$A8487,nCURSO,DATOS!$D8487,nESPEC,DATOS!$E8487,nASIG,DATOS!$I8487,nEVAL,"EX")=0),0))))</f>
      </c>
      <c r="H8487">
        <f>IF(DATOS!$G8487&lt;&gt;"EX",0,--(COUNTIFS(nNIA,DATOS!$A8487,nCURSO,DATOS!$D8487,nESPEC,DATOS!$E8487,nASIG,DATOS!$I8487,nEVAL,"OR")=0))</f>
      </c>
      <c r="I8487">
        <f>IF(DATOS!$I8487="","",IFERROR(VLOOKUP(DATOS!$I8487,CONFIG_ASIGNATURAS!$B$2:$J$91,9,FALSE()),""))</f>
      </c>
    </row>
    <row r="8488">
      <c r="F8488">
        <f>IF(DATOS!$A8488="","",DATOS!$A8488&amp;"|"&amp;DATOS!$D8488&amp;"|"&amp;DATOS!$E8488&amp;"|"&amp;DATOS!$I8488)</f>
      </c>
      <c r="G8488">
        <f>IF(DATOS!$A8488="",0,IF(CONFIG_METADATA!$B$4&lt;&gt;"OR+EX",--(DATOS!$G8488=CONFIG_METADATA!$B$4),IF(DATOS!$G8488="EX",1,IF(DATOS!$G8488="OR",--(COUNTIFS(nNIA,DATOS!$A8488,nCURSO,DATOS!$D8488,nESPEC,DATOS!$E8488,nASIG,DATOS!$I8488,nEVAL,"EX")=0),0))))</f>
      </c>
      <c r="H8488">
        <f>IF(DATOS!$G8488&lt;&gt;"EX",0,--(COUNTIFS(nNIA,DATOS!$A8488,nCURSO,DATOS!$D8488,nESPEC,DATOS!$E8488,nASIG,DATOS!$I8488,nEVAL,"OR")=0))</f>
      </c>
      <c r="I8488">
        <f>IF(DATOS!$I8488="","",IFERROR(VLOOKUP(DATOS!$I8488,CONFIG_ASIGNATURAS!$B$2:$J$91,9,FALSE()),""))</f>
      </c>
    </row>
    <row r="8489">
      <c r="F8489">
        <f>IF(DATOS!$A8489="","",DATOS!$A8489&amp;"|"&amp;DATOS!$D8489&amp;"|"&amp;DATOS!$E8489&amp;"|"&amp;DATOS!$I8489)</f>
      </c>
      <c r="G8489">
        <f>IF(DATOS!$A8489="",0,IF(CONFIG_METADATA!$B$4&lt;&gt;"OR+EX",--(DATOS!$G8489=CONFIG_METADATA!$B$4),IF(DATOS!$G8489="EX",1,IF(DATOS!$G8489="OR",--(COUNTIFS(nNIA,DATOS!$A8489,nCURSO,DATOS!$D8489,nESPEC,DATOS!$E8489,nASIG,DATOS!$I8489,nEVAL,"EX")=0),0))))</f>
      </c>
      <c r="H8489">
        <f>IF(DATOS!$G8489&lt;&gt;"EX",0,--(COUNTIFS(nNIA,DATOS!$A8489,nCURSO,DATOS!$D8489,nESPEC,DATOS!$E8489,nASIG,DATOS!$I8489,nEVAL,"OR")=0))</f>
      </c>
      <c r="I8489">
        <f>IF(DATOS!$I8489="","",IFERROR(VLOOKUP(DATOS!$I8489,CONFIG_ASIGNATURAS!$B$2:$J$91,9,FALSE()),""))</f>
      </c>
    </row>
    <row r="8490">
      <c r="F8490">
        <f>IF(DATOS!$A8490="","",DATOS!$A8490&amp;"|"&amp;DATOS!$D8490&amp;"|"&amp;DATOS!$E8490&amp;"|"&amp;DATOS!$I8490)</f>
      </c>
      <c r="G8490">
        <f>IF(DATOS!$A8490="",0,IF(CONFIG_METADATA!$B$4&lt;&gt;"OR+EX",--(DATOS!$G8490=CONFIG_METADATA!$B$4),IF(DATOS!$G8490="EX",1,IF(DATOS!$G8490="OR",--(COUNTIFS(nNIA,DATOS!$A8490,nCURSO,DATOS!$D8490,nESPEC,DATOS!$E8490,nASIG,DATOS!$I8490,nEVAL,"EX")=0),0))))</f>
      </c>
      <c r="H8490">
        <f>IF(DATOS!$G8490&lt;&gt;"EX",0,--(COUNTIFS(nNIA,DATOS!$A8490,nCURSO,DATOS!$D8490,nESPEC,DATOS!$E8490,nASIG,DATOS!$I8490,nEVAL,"OR")=0))</f>
      </c>
      <c r="I8490">
        <f>IF(DATOS!$I8490="","",IFERROR(VLOOKUP(DATOS!$I8490,CONFIG_ASIGNATURAS!$B$2:$J$91,9,FALSE()),""))</f>
      </c>
    </row>
    <row r="8491">
      <c r="F8491">
        <f>IF(DATOS!$A8491="","",DATOS!$A8491&amp;"|"&amp;DATOS!$D8491&amp;"|"&amp;DATOS!$E8491&amp;"|"&amp;DATOS!$I8491)</f>
      </c>
      <c r="G8491">
        <f>IF(DATOS!$A8491="",0,IF(CONFIG_METADATA!$B$4&lt;&gt;"OR+EX",--(DATOS!$G8491=CONFIG_METADATA!$B$4),IF(DATOS!$G8491="EX",1,IF(DATOS!$G8491="OR",--(COUNTIFS(nNIA,DATOS!$A8491,nCURSO,DATOS!$D8491,nESPEC,DATOS!$E8491,nASIG,DATOS!$I8491,nEVAL,"EX")=0),0))))</f>
      </c>
      <c r="H8491">
        <f>IF(DATOS!$G8491&lt;&gt;"EX",0,--(COUNTIFS(nNIA,DATOS!$A8491,nCURSO,DATOS!$D8491,nESPEC,DATOS!$E8491,nASIG,DATOS!$I8491,nEVAL,"OR")=0))</f>
      </c>
      <c r="I8491">
        <f>IF(DATOS!$I8491="","",IFERROR(VLOOKUP(DATOS!$I8491,CONFIG_ASIGNATURAS!$B$2:$J$91,9,FALSE()),""))</f>
      </c>
    </row>
    <row r="8492">
      <c r="F8492">
        <f>IF(DATOS!$A8492="","",DATOS!$A8492&amp;"|"&amp;DATOS!$D8492&amp;"|"&amp;DATOS!$E8492&amp;"|"&amp;DATOS!$I8492)</f>
      </c>
      <c r="G8492">
        <f>IF(DATOS!$A8492="",0,IF(CONFIG_METADATA!$B$4&lt;&gt;"OR+EX",--(DATOS!$G8492=CONFIG_METADATA!$B$4),IF(DATOS!$G8492="EX",1,IF(DATOS!$G8492="OR",--(COUNTIFS(nNIA,DATOS!$A8492,nCURSO,DATOS!$D8492,nESPEC,DATOS!$E8492,nASIG,DATOS!$I8492,nEVAL,"EX")=0),0))))</f>
      </c>
      <c r="H8492">
        <f>IF(DATOS!$G8492&lt;&gt;"EX",0,--(COUNTIFS(nNIA,DATOS!$A8492,nCURSO,DATOS!$D8492,nESPEC,DATOS!$E8492,nASIG,DATOS!$I8492,nEVAL,"OR")=0))</f>
      </c>
      <c r="I8492">
        <f>IF(DATOS!$I8492="","",IFERROR(VLOOKUP(DATOS!$I8492,CONFIG_ASIGNATURAS!$B$2:$J$91,9,FALSE()),""))</f>
      </c>
    </row>
    <row r="8493">
      <c r="F8493">
        <f>IF(DATOS!$A8493="","",DATOS!$A8493&amp;"|"&amp;DATOS!$D8493&amp;"|"&amp;DATOS!$E8493&amp;"|"&amp;DATOS!$I8493)</f>
      </c>
      <c r="G8493">
        <f>IF(DATOS!$A8493="",0,IF(CONFIG_METADATA!$B$4&lt;&gt;"OR+EX",--(DATOS!$G8493=CONFIG_METADATA!$B$4),IF(DATOS!$G8493="EX",1,IF(DATOS!$G8493="OR",--(COUNTIFS(nNIA,DATOS!$A8493,nCURSO,DATOS!$D8493,nESPEC,DATOS!$E8493,nASIG,DATOS!$I8493,nEVAL,"EX")=0),0))))</f>
      </c>
      <c r="H8493">
        <f>IF(DATOS!$G8493&lt;&gt;"EX",0,--(COUNTIFS(nNIA,DATOS!$A8493,nCURSO,DATOS!$D8493,nESPEC,DATOS!$E8493,nASIG,DATOS!$I8493,nEVAL,"OR")=0))</f>
      </c>
      <c r="I8493">
        <f>IF(DATOS!$I8493="","",IFERROR(VLOOKUP(DATOS!$I8493,CONFIG_ASIGNATURAS!$B$2:$J$91,9,FALSE()),""))</f>
      </c>
    </row>
    <row r="8494">
      <c r="F8494">
        <f>IF(DATOS!$A8494="","",DATOS!$A8494&amp;"|"&amp;DATOS!$D8494&amp;"|"&amp;DATOS!$E8494&amp;"|"&amp;DATOS!$I8494)</f>
      </c>
      <c r="G8494">
        <f>IF(DATOS!$A8494="",0,IF(CONFIG_METADATA!$B$4&lt;&gt;"OR+EX",--(DATOS!$G8494=CONFIG_METADATA!$B$4),IF(DATOS!$G8494="EX",1,IF(DATOS!$G8494="OR",--(COUNTIFS(nNIA,DATOS!$A8494,nCURSO,DATOS!$D8494,nESPEC,DATOS!$E8494,nASIG,DATOS!$I8494,nEVAL,"EX")=0),0))))</f>
      </c>
      <c r="H8494">
        <f>IF(DATOS!$G8494&lt;&gt;"EX",0,--(COUNTIFS(nNIA,DATOS!$A8494,nCURSO,DATOS!$D8494,nESPEC,DATOS!$E8494,nASIG,DATOS!$I8494,nEVAL,"OR")=0))</f>
      </c>
      <c r="I8494">
        <f>IF(DATOS!$I8494="","",IFERROR(VLOOKUP(DATOS!$I8494,CONFIG_ASIGNATURAS!$B$2:$J$91,9,FALSE()),""))</f>
      </c>
    </row>
    <row r="8495">
      <c r="F8495">
        <f>IF(DATOS!$A8495="","",DATOS!$A8495&amp;"|"&amp;DATOS!$D8495&amp;"|"&amp;DATOS!$E8495&amp;"|"&amp;DATOS!$I8495)</f>
      </c>
      <c r="G8495">
        <f>IF(DATOS!$A8495="",0,IF(CONFIG_METADATA!$B$4&lt;&gt;"OR+EX",--(DATOS!$G8495=CONFIG_METADATA!$B$4),IF(DATOS!$G8495="EX",1,IF(DATOS!$G8495="OR",--(COUNTIFS(nNIA,DATOS!$A8495,nCURSO,DATOS!$D8495,nESPEC,DATOS!$E8495,nASIG,DATOS!$I8495,nEVAL,"EX")=0),0))))</f>
      </c>
      <c r="H8495">
        <f>IF(DATOS!$G8495&lt;&gt;"EX",0,--(COUNTIFS(nNIA,DATOS!$A8495,nCURSO,DATOS!$D8495,nESPEC,DATOS!$E8495,nASIG,DATOS!$I8495,nEVAL,"OR")=0))</f>
      </c>
      <c r="I8495">
        <f>IF(DATOS!$I8495="","",IFERROR(VLOOKUP(DATOS!$I8495,CONFIG_ASIGNATURAS!$B$2:$J$91,9,FALSE()),""))</f>
      </c>
    </row>
    <row r="8496">
      <c r="F8496">
        <f>IF(DATOS!$A8496="","",DATOS!$A8496&amp;"|"&amp;DATOS!$D8496&amp;"|"&amp;DATOS!$E8496&amp;"|"&amp;DATOS!$I8496)</f>
      </c>
      <c r="G8496">
        <f>IF(DATOS!$A8496="",0,IF(CONFIG_METADATA!$B$4&lt;&gt;"OR+EX",--(DATOS!$G8496=CONFIG_METADATA!$B$4),IF(DATOS!$G8496="EX",1,IF(DATOS!$G8496="OR",--(COUNTIFS(nNIA,DATOS!$A8496,nCURSO,DATOS!$D8496,nESPEC,DATOS!$E8496,nASIG,DATOS!$I8496,nEVAL,"EX")=0),0))))</f>
      </c>
      <c r="H8496">
        <f>IF(DATOS!$G8496&lt;&gt;"EX",0,--(COUNTIFS(nNIA,DATOS!$A8496,nCURSO,DATOS!$D8496,nESPEC,DATOS!$E8496,nASIG,DATOS!$I8496,nEVAL,"OR")=0))</f>
      </c>
      <c r="I8496">
        <f>IF(DATOS!$I8496="","",IFERROR(VLOOKUP(DATOS!$I8496,CONFIG_ASIGNATURAS!$B$2:$J$91,9,FALSE()),""))</f>
      </c>
    </row>
    <row r="8497">
      <c r="F8497">
        <f>IF(DATOS!$A8497="","",DATOS!$A8497&amp;"|"&amp;DATOS!$D8497&amp;"|"&amp;DATOS!$E8497&amp;"|"&amp;DATOS!$I8497)</f>
      </c>
      <c r="G8497">
        <f>IF(DATOS!$A8497="",0,IF(CONFIG_METADATA!$B$4&lt;&gt;"OR+EX",--(DATOS!$G8497=CONFIG_METADATA!$B$4),IF(DATOS!$G8497="EX",1,IF(DATOS!$G8497="OR",--(COUNTIFS(nNIA,DATOS!$A8497,nCURSO,DATOS!$D8497,nESPEC,DATOS!$E8497,nASIG,DATOS!$I8497,nEVAL,"EX")=0),0))))</f>
      </c>
      <c r="H8497">
        <f>IF(DATOS!$G8497&lt;&gt;"EX",0,--(COUNTIFS(nNIA,DATOS!$A8497,nCURSO,DATOS!$D8497,nESPEC,DATOS!$E8497,nASIG,DATOS!$I8497,nEVAL,"OR")=0))</f>
      </c>
      <c r="I8497">
        <f>IF(DATOS!$I8497="","",IFERROR(VLOOKUP(DATOS!$I8497,CONFIG_ASIGNATURAS!$B$2:$J$91,9,FALSE()),""))</f>
      </c>
    </row>
    <row r="8498">
      <c r="F8498">
        <f>IF(DATOS!$A8498="","",DATOS!$A8498&amp;"|"&amp;DATOS!$D8498&amp;"|"&amp;DATOS!$E8498&amp;"|"&amp;DATOS!$I8498)</f>
      </c>
      <c r="G8498">
        <f>IF(DATOS!$A8498="",0,IF(CONFIG_METADATA!$B$4&lt;&gt;"OR+EX",--(DATOS!$G8498=CONFIG_METADATA!$B$4),IF(DATOS!$G8498="EX",1,IF(DATOS!$G8498="OR",--(COUNTIFS(nNIA,DATOS!$A8498,nCURSO,DATOS!$D8498,nESPEC,DATOS!$E8498,nASIG,DATOS!$I8498,nEVAL,"EX")=0),0))))</f>
      </c>
      <c r="H8498">
        <f>IF(DATOS!$G8498&lt;&gt;"EX",0,--(COUNTIFS(nNIA,DATOS!$A8498,nCURSO,DATOS!$D8498,nESPEC,DATOS!$E8498,nASIG,DATOS!$I8498,nEVAL,"OR")=0))</f>
      </c>
      <c r="I8498">
        <f>IF(DATOS!$I8498="","",IFERROR(VLOOKUP(DATOS!$I8498,CONFIG_ASIGNATURAS!$B$2:$J$91,9,FALSE()),""))</f>
      </c>
    </row>
    <row r="8499">
      <c r="F8499">
        <f>IF(DATOS!$A8499="","",DATOS!$A8499&amp;"|"&amp;DATOS!$D8499&amp;"|"&amp;DATOS!$E8499&amp;"|"&amp;DATOS!$I8499)</f>
      </c>
      <c r="G8499">
        <f>IF(DATOS!$A8499="",0,IF(CONFIG_METADATA!$B$4&lt;&gt;"OR+EX",--(DATOS!$G8499=CONFIG_METADATA!$B$4),IF(DATOS!$G8499="EX",1,IF(DATOS!$G8499="OR",--(COUNTIFS(nNIA,DATOS!$A8499,nCURSO,DATOS!$D8499,nESPEC,DATOS!$E8499,nASIG,DATOS!$I8499,nEVAL,"EX")=0),0))))</f>
      </c>
      <c r="H8499">
        <f>IF(DATOS!$G8499&lt;&gt;"EX",0,--(COUNTIFS(nNIA,DATOS!$A8499,nCURSO,DATOS!$D8499,nESPEC,DATOS!$E8499,nASIG,DATOS!$I8499,nEVAL,"OR")=0))</f>
      </c>
      <c r="I8499">
        <f>IF(DATOS!$I8499="","",IFERROR(VLOOKUP(DATOS!$I8499,CONFIG_ASIGNATURAS!$B$2:$J$91,9,FALSE()),""))</f>
      </c>
    </row>
    <row r="8500">
      <c r="F8500">
        <f>IF(DATOS!$A8500="","",DATOS!$A8500&amp;"|"&amp;DATOS!$D8500&amp;"|"&amp;DATOS!$E8500&amp;"|"&amp;DATOS!$I8500)</f>
      </c>
      <c r="G8500">
        <f>IF(DATOS!$A8500="",0,IF(CONFIG_METADATA!$B$4&lt;&gt;"OR+EX",--(DATOS!$G8500=CONFIG_METADATA!$B$4),IF(DATOS!$G8500="EX",1,IF(DATOS!$G8500="OR",--(COUNTIFS(nNIA,DATOS!$A8500,nCURSO,DATOS!$D8500,nESPEC,DATOS!$E8500,nASIG,DATOS!$I8500,nEVAL,"EX")=0),0))))</f>
      </c>
      <c r="H8500">
        <f>IF(DATOS!$G8500&lt;&gt;"EX",0,--(COUNTIFS(nNIA,DATOS!$A8500,nCURSO,DATOS!$D8500,nESPEC,DATOS!$E8500,nASIG,DATOS!$I8500,nEVAL,"OR")=0))</f>
      </c>
      <c r="I8500">
        <f>IF(DATOS!$I8500="","",IFERROR(VLOOKUP(DATOS!$I8500,CONFIG_ASIGNATURAS!$B$2:$J$91,9,FALSE()),""))</f>
      </c>
    </row>
    <row r="8501">
      <c r="F8501">
        <f>IF(DATOS!$A8501="","",DATOS!$A8501&amp;"|"&amp;DATOS!$D8501&amp;"|"&amp;DATOS!$E8501&amp;"|"&amp;DATOS!$I8501)</f>
      </c>
      <c r="G8501">
        <f>IF(DATOS!$A8501="",0,IF(CONFIG_METADATA!$B$4&lt;&gt;"OR+EX",--(DATOS!$G8501=CONFIG_METADATA!$B$4),IF(DATOS!$G8501="EX",1,IF(DATOS!$G8501="OR",--(COUNTIFS(nNIA,DATOS!$A8501,nCURSO,DATOS!$D8501,nESPEC,DATOS!$E8501,nASIG,DATOS!$I8501,nEVAL,"EX")=0),0))))</f>
      </c>
      <c r="H8501">
        <f>IF(DATOS!$G8501&lt;&gt;"EX",0,--(COUNTIFS(nNIA,DATOS!$A8501,nCURSO,DATOS!$D8501,nESPEC,DATOS!$E8501,nASIG,DATOS!$I8501,nEVAL,"OR")=0))</f>
      </c>
      <c r="I8501">
        <f>IF(DATOS!$I8501="","",IFERROR(VLOOKUP(DATOS!$I8501,CONFIG_ASIGNATURAS!$B$2:$J$91,9,FALSE()),""))</f>
      </c>
    </row>
    <row r="8502">
      <c r="F8502">
        <f>IF(DATOS!$A8502="","",DATOS!$A8502&amp;"|"&amp;DATOS!$D8502&amp;"|"&amp;DATOS!$E8502&amp;"|"&amp;DATOS!$I8502)</f>
      </c>
      <c r="G8502">
        <f>IF(DATOS!$A8502="",0,IF(CONFIG_METADATA!$B$4&lt;&gt;"OR+EX",--(DATOS!$G8502=CONFIG_METADATA!$B$4),IF(DATOS!$G8502="EX",1,IF(DATOS!$G8502="OR",--(COUNTIFS(nNIA,DATOS!$A8502,nCURSO,DATOS!$D8502,nESPEC,DATOS!$E8502,nASIG,DATOS!$I8502,nEVAL,"EX")=0),0))))</f>
      </c>
      <c r="H8502">
        <f>IF(DATOS!$G8502&lt;&gt;"EX",0,--(COUNTIFS(nNIA,DATOS!$A8502,nCURSO,DATOS!$D8502,nESPEC,DATOS!$E8502,nASIG,DATOS!$I8502,nEVAL,"OR")=0))</f>
      </c>
      <c r="I8502">
        <f>IF(DATOS!$I8502="","",IFERROR(VLOOKUP(DATOS!$I8502,CONFIG_ASIGNATURAS!$B$2:$J$91,9,FALSE()),""))</f>
      </c>
    </row>
    <row r="8503">
      <c r="F8503">
        <f>IF(DATOS!$A8503="","",DATOS!$A8503&amp;"|"&amp;DATOS!$D8503&amp;"|"&amp;DATOS!$E8503&amp;"|"&amp;DATOS!$I8503)</f>
      </c>
      <c r="G8503">
        <f>IF(DATOS!$A8503="",0,IF(CONFIG_METADATA!$B$4&lt;&gt;"OR+EX",--(DATOS!$G8503=CONFIG_METADATA!$B$4),IF(DATOS!$G8503="EX",1,IF(DATOS!$G8503="OR",--(COUNTIFS(nNIA,DATOS!$A8503,nCURSO,DATOS!$D8503,nESPEC,DATOS!$E8503,nASIG,DATOS!$I8503,nEVAL,"EX")=0),0))))</f>
      </c>
      <c r="H8503">
        <f>IF(DATOS!$G8503&lt;&gt;"EX",0,--(COUNTIFS(nNIA,DATOS!$A8503,nCURSO,DATOS!$D8503,nESPEC,DATOS!$E8503,nASIG,DATOS!$I8503,nEVAL,"OR")=0))</f>
      </c>
      <c r="I8503">
        <f>IF(DATOS!$I8503="","",IFERROR(VLOOKUP(DATOS!$I8503,CONFIG_ASIGNATURAS!$B$2:$J$91,9,FALSE()),""))</f>
      </c>
    </row>
    <row r="8504">
      <c r="F8504">
        <f>IF(DATOS!$A8504="","",DATOS!$A8504&amp;"|"&amp;DATOS!$D8504&amp;"|"&amp;DATOS!$E8504&amp;"|"&amp;DATOS!$I8504)</f>
      </c>
      <c r="G8504">
        <f>IF(DATOS!$A8504="",0,IF(CONFIG_METADATA!$B$4&lt;&gt;"OR+EX",--(DATOS!$G8504=CONFIG_METADATA!$B$4),IF(DATOS!$G8504="EX",1,IF(DATOS!$G8504="OR",--(COUNTIFS(nNIA,DATOS!$A8504,nCURSO,DATOS!$D8504,nESPEC,DATOS!$E8504,nASIG,DATOS!$I8504,nEVAL,"EX")=0),0))))</f>
      </c>
      <c r="H8504">
        <f>IF(DATOS!$G8504&lt;&gt;"EX",0,--(COUNTIFS(nNIA,DATOS!$A8504,nCURSO,DATOS!$D8504,nESPEC,DATOS!$E8504,nASIG,DATOS!$I8504,nEVAL,"OR")=0))</f>
      </c>
      <c r="I8504">
        <f>IF(DATOS!$I8504="","",IFERROR(VLOOKUP(DATOS!$I8504,CONFIG_ASIGNATURAS!$B$2:$J$91,9,FALSE()),""))</f>
      </c>
    </row>
    <row r="8505">
      <c r="F8505">
        <f>IF(DATOS!$A8505="","",DATOS!$A8505&amp;"|"&amp;DATOS!$D8505&amp;"|"&amp;DATOS!$E8505&amp;"|"&amp;DATOS!$I8505)</f>
      </c>
      <c r="G8505">
        <f>IF(DATOS!$A8505="",0,IF(CONFIG_METADATA!$B$4&lt;&gt;"OR+EX",--(DATOS!$G8505=CONFIG_METADATA!$B$4),IF(DATOS!$G8505="EX",1,IF(DATOS!$G8505="OR",--(COUNTIFS(nNIA,DATOS!$A8505,nCURSO,DATOS!$D8505,nESPEC,DATOS!$E8505,nASIG,DATOS!$I8505,nEVAL,"EX")=0),0))))</f>
      </c>
      <c r="H8505">
        <f>IF(DATOS!$G8505&lt;&gt;"EX",0,--(COUNTIFS(nNIA,DATOS!$A8505,nCURSO,DATOS!$D8505,nESPEC,DATOS!$E8505,nASIG,DATOS!$I8505,nEVAL,"OR")=0))</f>
      </c>
      <c r="I8505">
        <f>IF(DATOS!$I8505="","",IFERROR(VLOOKUP(DATOS!$I8505,CONFIG_ASIGNATURAS!$B$2:$J$91,9,FALSE()),""))</f>
      </c>
    </row>
    <row r="8506">
      <c r="F8506">
        <f>IF(DATOS!$A8506="","",DATOS!$A8506&amp;"|"&amp;DATOS!$D8506&amp;"|"&amp;DATOS!$E8506&amp;"|"&amp;DATOS!$I8506)</f>
      </c>
      <c r="G8506">
        <f>IF(DATOS!$A8506="",0,IF(CONFIG_METADATA!$B$4&lt;&gt;"OR+EX",--(DATOS!$G8506=CONFIG_METADATA!$B$4),IF(DATOS!$G8506="EX",1,IF(DATOS!$G8506="OR",--(COUNTIFS(nNIA,DATOS!$A8506,nCURSO,DATOS!$D8506,nESPEC,DATOS!$E8506,nASIG,DATOS!$I8506,nEVAL,"EX")=0),0))))</f>
      </c>
      <c r="H8506">
        <f>IF(DATOS!$G8506&lt;&gt;"EX",0,--(COUNTIFS(nNIA,DATOS!$A8506,nCURSO,DATOS!$D8506,nESPEC,DATOS!$E8506,nASIG,DATOS!$I8506,nEVAL,"OR")=0))</f>
      </c>
      <c r="I8506">
        <f>IF(DATOS!$I8506="","",IFERROR(VLOOKUP(DATOS!$I8506,CONFIG_ASIGNATURAS!$B$2:$J$91,9,FALSE()),""))</f>
      </c>
    </row>
    <row r="8507">
      <c r="F8507">
        <f>IF(DATOS!$A8507="","",DATOS!$A8507&amp;"|"&amp;DATOS!$D8507&amp;"|"&amp;DATOS!$E8507&amp;"|"&amp;DATOS!$I8507)</f>
      </c>
      <c r="G8507">
        <f>IF(DATOS!$A8507="",0,IF(CONFIG_METADATA!$B$4&lt;&gt;"OR+EX",--(DATOS!$G8507=CONFIG_METADATA!$B$4),IF(DATOS!$G8507="EX",1,IF(DATOS!$G8507="OR",--(COUNTIFS(nNIA,DATOS!$A8507,nCURSO,DATOS!$D8507,nESPEC,DATOS!$E8507,nASIG,DATOS!$I8507,nEVAL,"EX")=0),0))))</f>
      </c>
      <c r="H8507">
        <f>IF(DATOS!$G8507&lt;&gt;"EX",0,--(COUNTIFS(nNIA,DATOS!$A8507,nCURSO,DATOS!$D8507,nESPEC,DATOS!$E8507,nASIG,DATOS!$I8507,nEVAL,"OR")=0))</f>
      </c>
      <c r="I8507">
        <f>IF(DATOS!$I8507="","",IFERROR(VLOOKUP(DATOS!$I8507,CONFIG_ASIGNATURAS!$B$2:$J$91,9,FALSE()),""))</f>
      </c>
    </row>
    <row r="8508">
      <c r="F8508">
        <f>IF(DATOS!$A8508="","",DATOS!$A8508&amp;"|"&amp;DATOS!$D8508&amp;"|"&amp;DATOS!$E8508&amp;"|"&amp;DATOS!$I8508)</f>
      </c>
      <c r="G8508">
        <f>IF(DATOS!$A8508="",0,IF(CONFIG_METADATA!$B$4&lt;&gt;"OR+EX",--(DATOS!$G8508=CONFIG_METADATA!$B$4),IF(DATOS!$G8508="EX",1,IF(DATOS!$G8508="OR",--(COUNTIFS(nNIA,DATOS!$A8508,nCURSO,DATOS!$D8508,nESPEC,DATOS!$E8508,nASIG,DATOS!$I8508,nEVAL,"EX")=0),0))))</f>
      </c>
      <c r="H8508">
        <f>IF(DATOS!$G8508&lt;&gt;"EX",0,--(COUNTIFS(nNIA,DATOS!$A8508,nCURSO,DATOS!$D8508,nESPEC,DATOS!$E8508,nASIG,DATOS!$I8508,nEVAL,"OR")=0))</f>
      </c>
      <c r="I8508">
        <f>IF(DATOS!$I8508="","",IFERROR(VLOOKUP(DATOS!$I8508,CONFIG_ASIGNATURAS!$B$2:$J$91,9,FALSE()),""))</f>
      </c>
    </row>
    <row r="8509">
      <c r="F8509">
        <f>IF(DATOS!$A8509="","",DATOS!$A8509&amp;"|"&amp;DATOS!$D8509&amp;"|"&amp;DATOS!$E8509&amp;"|"&amp;DATOS!$I8509)</f>
      </c>
      <c r="G8509">
        <f>IF(DATOS!$A8509="",0,IF(CONFIG_METADATA!$B$4&lt;&gt;"OR+EX",--(DATOS!$G8509=CONFIG_METADATA!$B$4),IF(DATOS!$G8509="EX",1,IF(DATOS!$G8509="OR",--(COUNTIFS(nNIA,DATOS!$A8509,nCURSO,DATOS!$D8509,nESPEC,DATOS!$E8509,nASIG,DATOS!$I8509,nEVAL,"EX")=0),0))))</f>
      </c>
      <c r="H8509">
        <f>IF(DATOS!$G8509&lt;&gt;"EX",0,--(COUNTIFS(nNIA,DATOS!$A8509,nCURSO,DATOS!$D8509,nESPEC,DATOS!$E8509,nASIG,DATOS!$I8509,nEVAL,"OR")=0))</f>
      </c>
      <c r="I8509">
        <f>IF(DATOS!$I8509="","",IFERROR(VLOOKUP(DATOS!$I8509,CONFIG_ASIGNATURAS!$B$2:$J$91,9,FALSE()),""))</f>
      </c>
    </row>
    <row r="8510">
      <c r="F8510">
        <f>IF(DATOS!$A8510="","",DATOS!$A8510&amp;"|"&amp;DATOS!$D8510&amp;"|"&amp;DATOS!$E8510&amp;"|"&amp;DATOS!$I8510)</f>
      </c>
      <c r="G8510">
        <f>IF(DATOS!$A8510="",0,IF(CONFIG_METADATA!$B$4&lt;&gt;"OR+EX",--(DATOS!$G8510=CONFIG_METADATA!$B$4),IF(DATOS!$G8510="EX",1,IF(DATOS!$G8510="OR",--(COUNTIFS(nNIA,DATOS!$A8510,nCURSO,DATOS!$D8510,nESPEC,DATOS!$E8510,nASIG,DATOS!$I8510,nEVAL,"EX")=0),0))))</f>
      </c>
      <c r="H8510">
        <f>IF(DATOS!$G8510&lt;&gt;"EX",0,--(COUNTIFS(nNIA,DATOS!$A8510,nCURSO,DATOS!$D8510,nESPEC,DATOS!$E8510,nASIG,DATOS!$I8510,nEVAL,"OR")=0))</f>
      </c>
      <c r="I8510">
        <f>IF(DATOS!$I8510="","",IFERROR(VLOOKUP(DATOS!$I8510,CONFIG_ASIGNATURAS!$B$2:$J$91,9,FALSE()),""))</f>
      </c>
    </row>
    <row r="8511">
      <c r="F8511">
        <f>IF(DATOS!$A8511="","",DATOS!$A8511&amp;"|"&amp;DATOS!$D8511&amp;"|"&amp;DATOS!$E8511&amp;"|"&amp;DATOS!$I8511)</f>
      </c>
      <c r="G8511">
        <f>IF(DATOS!$A8511="",0,IF(CONFIG_METADATA!$B$4&lt;&gt;"OR+EX",--(DATOS!$G8511=CONFIG_METADATA!$B$4),IF(DATOS!$G8511="EX",1,IF(DATOS!$G8511="OR",--(COUNTIFS(nNIA,DATOS!$A8511,nCURSO,DATOS!$D8511,nESPEC,DATOS!$E8511,nASIG,DATOS!$I8511,nEVAL,"EX")=0),0))))</f>
      </c>
      <c r="H8511">
        <f>IF(DATOS!$G8511&lt;&gt;"EX",0,--(COUNTIFS(nNIA,DATOS!$A8511,nCURSO,DATOS!$D8511,nESPEC,DATOS!$E8511,nASIG,DATOS!$I8511,nEVAL,"OR")=0))</f>
      </c>
      <c r="I8511">
        <f>IF(DATOS!$I8511="","",IFERROR(VLOOKUP(DATOS!$I8511,CONFIG_ASIGNATURAS!$B$2:$J$91,9,FALSE()),""))</f>
      </c>
    </row>
    <row r="8512">
      <c r="F8512">
        <f>IF(DATOS!$A8512="","",DATOS!$A8512&amp;"|"&amp;DATOS!$D8512&amp;"|"&amp;DATOS!$E8512&amp;"|"&amp;DATOS!$I8512)</f>
      </c>
      <c r="G8512">
        <f>IF(DATOS!$A8512="",0,IF(CONFIG_METADATA!$B$4&lt;&gt;"OR+EX",--(DATOS!$G8512=CONFIG_METADATA!$B$4),IF(DATOS!$G8512="EX",1,IF(DATOS!$G8512="OR",--(COUNTIFS(nNIA,DATOS!$A8512,nCURSO,DATOS!$D8512,nESPEC,DATOS!$E8512,nASIG,DATOS!$I8512,nEVAL,"EX")=0),0))))</f>
      </c>
      <c r="H8512">
        <f>IF(DATOS!$G8512&lt;&gt;"EX",0,--(COUNTIFS(nNIA,DATOS!$A8512,nCURSO,DATOS!$D8512,nESPEC,DATOS!$E8512,nASIG,DATOS!$I8512,nEVAL,"OR")=0))</f>
      </c>
      <c r="I8512">
        <f>IF(DATOS!$I8512="","",IFERROR(VLOOKUP(DATOS!$I8512,CONFIG_ASIGNATURAS!$B$2:$J$91,9,FALSE()),""))</f>
      </c>
    </row>
    <row r="8513">
      <c r="F8513">
        <f>IF(DATOS!$A8513="","",DATOS!$A8513&amp;"|"&amp;DATOS!$D8513&amp;"|"&amp;DATOS!$E8513&amp;"|"&amp;DATOS!$I8513)</f>
      </c>
      <c r="G8513">
        <f>IF(DATOS!$A8513="",0,IF(CONFIG_METADATA!$B$4&lt;&gt;"OR+EX",--(DATOS!$G8513=CONFIG_METADATA!$B$4),IF(DATOS!$G8513="EX",1,IF(DATOS!$G8513="OR",--(COUNTIFS(nNIA,DATOS!$A8513,nCURSO,DATOS!$D8513,nESPEC,DATOS!$E8513,nASIG,DATOS!$I8513,nEVAL,"EX")=0),0))))</f>
      </c>
      <c r="H8513">
        <f>IF(DATOS!$G8513&lt;&gt;"EX",0,--(COUNTIFS(nNIA,DATOS!$A8513,nCURSO,DATOS!$D8513,nESPEC,DATOS!$E8513,nASIG,DATOS!$I8513,nEVAL,"OR")=0))</f>
      </c>
      <c r="I8513">
        <f>IF(DATOS!$I8513="","",IFERROR(VLOOKUP(DATOS!$I8513,CONFIG_ASIGNATURAS!$B$2:$J$91,9,FALSE()),""))</f>
      </c>
    </row>
    <row r="8514">
      <c r="F8514">
        <f>IF(DATOS!$A8514="","",DATOS!$A8514&amp;"|"&amp;DATOS!$D8514&amp;"|"&amp;DATOS!$E8514&amp;"|"&amp;DATOS!$I8514)</f>
      </c>
      <c r="G8514">
        <f>IF(DATOS!$A8514="",0,IF(CONFIG_METADATA!$B$4&lt;&gt;"OR+EX",--(DATOS!$G8514=CONFIG_METADATA!$B$4),IF(DATOS!$G8514="EX",1,IF(DATOS!$G8514="OR",--(COUNTIFS(nNIA,DATOS!$A8514,nCURSO,DATOS!$D8514,nESPEC,DATOS!$E8514,nASIG,DATOS!$I8514,nEVAL,"EX")=0),0))))</f>
      </c>
      <c r="H8514">
        <f>IF(DATOS!$G8514&lt;&gt;"EX",0,--(COUNTIFS(nNIA,DATOS!$A8514,nCURSO,DATOS!$D8514,nESPEC,DATOS!$E8514,nASIG,DATOS!$I8514,nEVAL,"OR")=0))</f>
      </c>
      <c r="I8514">
        <f>IF(DATOS!$I8514="","",IFERROR(VLOOKUP(DATOS!$I8514,CONFIG_ASIGNATURAS!$B$2:$J$91,9,FALSE()),""))</f>
      </c>
    </row>
    <row r="8515">
      <c r="F8515">
        <f>IF(DATOS!$A8515="","",DATOS!$A8515&amp;"|"&amp;DATOS!$D8515&amp;"|"&amp;DATOS!$E8515&amp;"|"&amp;DATOS!$I8515)</f>
      </c>
      <c r="G8515">
        <f>IF(DATOS!$A8515="",0,IF(CONFIG_METADATA!$B$4&lt;&gt;"OR+EX",--(DATOS!$G8515=CONFIG_METADATA!$B$4),IF(DATOS!$G8515="EX",1,IF(DATOS!$G8515="OR",--(COUNTIFS(nNIA,DATOS!$A8515,nCURSO,DATOS!$D8515,nESPEC,DATOS!$E8515,nASIG,DATOS!$I8515,nEVAL,"EX")=0),0))))</f>
      </c>
      <c r="H8515">
        <f>IF(DATOS!$G8515&lt;&gt;"EX",0,--(COUNTIFS(nNIA,DATOS!$A8515,nCURSO,DATOS!$D8515,nESPEC,DATOS!$E8515,nASIG,DATOS!$I8515,nEVAL,"OR")=0))</f>
      </c>
      <c r="I8515">
        <f>IF(DATOS!$I8515="","",IFERROR(VLOOKUP(DATOS!$I8515,CONFIG_ASIGNATURAS!$B$2:$J$91,9,FALSE()),""))</f>
      </c>
    </row>
    <row r="8516">
      <c r="F8516">
        <f>IF(DATOS!$A8516="","",DATOS!$A8516&amp;"|"&amp;DATOS!$D8516&amp;"|"&amp;DATOS!$E8516&amp;"|"&amp;DATOS!$I8516)</f>
      </c>
      <c r="G8516">
        <f>IF(DATOS!$A8516="",0,IF(CONFIG_METADATA!$B$4&lt;&gt;"OR+EX",--(DATOS!$G8516=CONFIG_METADATA!$B$4),IF(DATOS!$G8516="EX",1,IF(DATOS!$G8516="OR",--(COUNTIFS(nNIA,DATOS!$A8516,nCURSO,DATOS!$D8516,nESPEC,DATOS!$E8516,nASIG,DATOS!$I8516,nEVAL,"EX")=0),0))))</f>
      </c>
      <c r="H8516">
        <f>IF(DATOS!$G8516&lt;&gt;"EX",0,--(COUNTIFS(nNIA,DATOS!$A8516,nCURSO,DATOS!$D8516,nESPEC,DATOS!$E8516,nASIG,DATOS!$I8516,nEVAL,"OR")=0))</f>
      </c>
      <c r="I8516">
        <f>IF(DATOS!$I8516="","",IFERROR(VLOOKUP(DATOS!$I8516,CONFIG_ASIGNATURAS!$B$2:$J$91,9,FALSE()),""))</f>
      </c>
    </row>
    <row r="8517">
      <c r="F8517">
        <f>IF(DATOS!$A8517="","",DATOS!$A8517&amp;"|"&amp;DATOS!$D8517&amp;"|"&amp;DATOS!$E8517&amp;"|"&amp;DATOS!$I8517)</f>
      </c>
      <c r="G8517">
        <f>IF(DATOS!$A8517="",0,IF(CONFIG_METADATA!$B$4&lt;&gt;"OR+EX",--(DATOS!$G8517=CONFIG_METADATA!$B$4),IF(DATOS!$G8517="EX",1,IF(DATOS!$G8517="OR",--(COUNTIFS(nNIA,DATOS!$A8517,nCURSO,DATOS!$D8517,nESPEC,DATOS!$E8517,nASIG,DATOS!$I8517,nEVAL,"EX")=0),0))))</f>
      </c>
      <c r="H8517">
        <f>IF(DATOS!$G8517&lt;&gt;"EX",0,--(COUNTIFS(nNIA,DATOS!$A8517,nCURSO,DATOS!$D8517,nESPEC,DATOS!$E8517,nASIG,DATOS!$I8517,nEVAL,"OR")=0))</f>
      </c>
      <c r="I8517">
        <f>IF(DATOS!$I8517="","",IFERROR(VLOOKUP(DATOS!$I8517,CONFIG_ASIGNATURAS!$B$2:$J$91,9,FALSE()),""))</f>
      </c>
    </row>
    <row r="8518">
      <c r="F8518">
        <f>IF(DATOS!$A8518="","",DATOS!$A8518&amp;"|"&amp;DATOS!$D8518&amp;"|"&amp;DATOS!$E8518&amp;"|"&amp;DATOS!$I8518)</f>
      </c>
      <c r="G8518">
        <f>IF(DATOS!$A8518="",0,IF(CONFIG_METADATA!$B$4&lt;&gt;"OR+EX",--(DATOS!$G8518=CONFIG_METADATA!$B$4),IF(DATOS!$G8518="EX",1,IF(DATOS!$G8518="OR",--(COUNTIFS(nNIA,DATOS!$A8518,nCURSO,DATOS!$D8518,nESPEC,DATOS!$E8518,nASIG,DATOS!$I8518,nEVAL,"EX")=0),0))))</f>
      </c>
      <c r="H8518">
        <f>IF(DATOS!$G8518&lt;&gt;"EX",0,--(COUNTIFS(nNIA,DATOS!$A8518,nCURSO,DATOS!$D8518,nESPEC,DATOS!$E8518,nASIG,DATOS!$I8518,nEVAL,"OR")=0))</f>
      </c>
      <c r="I8518">
        <f>IF(DATOS!$I8518="","",IFERROR(VLOOKUP(DATOS!$I8518,CONFIG_ASIGNATURAS!$B$2:$J$91,9,FALSE()),""))</f>
      </c>
    </row>
    <row r="8519">
      <c r="F8519">
        <f>IF(DATOS!$A8519="","",DATOS!$A8519&amp;"|"&amp;DATOS!$D8519&amp;"|"&amp;DATOS!$E8519&amp;"|"&amp;DATOS!$I8519)</f>
      </c>
      <c r="G8519">
        <f>IF(DATOS!$A8519="",0,IF(CONFIG_METADATA!$B$4&lt;&gt;"OR+EX",--(DATOS!$G8519=CONFIG_METADATA!$B$4),IF(DATOS!$G8519="EX",1,IF(DATOS!$G8519="OR",--(COUNTIFS(nNIA,DATOS!$A8519,nCURSO,DATOS!$D8519,nESPEC,DATOS!$E8519,nASIG,DATOS!$I8519,nEVAL,"EX")=0),0))))</f>
      </c>
      <c r="H8519">
        <f>IF(DATOS!$G8519&lt;&gt;"EX",0,--(COUNTIFS(nNIA,DATOS!$A8519,nCURSO,DATOS!$D8519,nESPEC,DATOS!$E8519,nASIG,DATOS!$I8519,nEVAL,"OR")=0))</f>
      </c>
      <c r="I8519">
        <f>IF(DATOS!$I8519="","",IFERROR(VLOOKUP(DATOS!$I8519,CONFIG_ASIGNATURAS!$B$2:$J$91,9,FALSE()),""))</f>
      </c>
    </row>
    <row r="8520">
      <c r="F8520">
        <f>IF(DATOS!$A8520="","",DATOS!$A8520&amp;"|"&amp;DATOS!$D8520&amp;"|"&amp;DATOS!$E8520&amp;"|"&amp;DATOS!$I8520)</f>
      </c>
      <c r="G8520">
        <f>IF(DATOS!$A8520="",0,IF(CONFIG_METADATA!$B$4&lt;&gt;"OR+EX",--(DATOS!$G8520=CONFIG_METADATA!$B$4),IF(DATOS!$G8520="EX",1,IF(DATOS!$G8520="OR",--(COUNTIFS(nNIA,DATOS!$A8520,nCURSO,DATOS!$D8520,nESPEC,DATOS!$E8520,nASIG,DATOS!$I8520,nEVAL,"EX")=0),0))))</f>
      </c>
      <c r="H8520">
        <f>IF(DATOS!$G8520&lt;&gt;"EX",0,--(COUNTIFS(nNIA,DATOS!$A8520,nCURSO,DATOS!$D8520,nESPEC,DATOS!$E8520,nASIG,DATOS!$I8520,nEVAL,"OR")=0))</f>
      </c>
      <c r="I8520">
        <f>IF(DATOS!$I8520="","",IFERROR(VLOOKUP(DATOS!$I8520,CONFIG_ASIGNATURAS!$B$2:$J$91,9,FALSE()),""))</f>
      </c>
    </row>
    <row r="8521">
      <c r="F8521">
        <f>IF(DATOS!$A8521="","",DATOS!$A8521&amp;"|"&amp;DATOS!$D8521&amp;"|"&amp;DATOS!$E8521&amp;"|"&amp;DATOS!$I8521)</f>
      </c>
      <c r="G8521">
        <f>IF(DATOS!$A8521="",0,IF(CONFIG_METADATA!$B$4&lt;&gt;"OR+EX",--(DATOS!$G8521=CONFIG_METADATA!$B$4),IF(DATOS!$G8521="EX",1,IF(DATOS!$G8521="OR",--(COUNTIFS(nNIA,DATOS!$A8521,nCURSO,DATOS!$D8521,nESPEC,DATOS!$E8521,nASIG,DATOS!$I8521,nEVAL,"EX")=0),0))))</f>
      </c>
      <c r="H8521">
        <f>IF(DATOS!$G8521&lt;&gt;"EX",0,--(COUNTIFS(nNIA,DATOS!$A8521,nCURSO,DATOS!$D8521,nESPEC,DATOS!$E8521,nASIG,DATOS!$I8521,nEVAL,"OR")=0))</f>
      </c>
      <c r="I8521">
        <f>IF(DATOS!$I8521="","",IFERROR(VLOOKUP(DATOS!$I8521,CONFIG_ASIGNATURAS!$B$2:$J$91,9,FALSE()),""))</f>
      </c>
    </row>
    <row r="8522">
      <c r="F8522">
        <f>IF(DATOS!$A8522="","",DATOS!$A8522&amp;"|"&amp;DATOS!$D8522&amp;"|"&amp;DATOS!$E8522&amp;"|"&amp;DATOS!$I8522)</f>
      </c>
      <c r="G8522">
        <f>IF(DATOS!$A8522="",0,IF(CONFIG_METADATA!$B$4&lt;&gt;"OR+EX",--(DATOS!$G8522=CONFIG_METADATA!$B$4),IF(DATOS!$G8522="EX",1,IF(DATOS!$G8522="OR",--(COUNTIFS(nNIA,DATOS!$A8522,nCURSO,DATOS!$D8522,nESPEC,DATOS!$E8522,nASIG,DATOS!$I8522,nEVAL,"EX")=0),0))))</f>
      </c>
      <c r="H8522">
        <f>IF(DATOS!$G8522&lt;&gt;"EX",0,--(COUNTIFS(nNIA,DATOS!$A8522,nCURSO,DATOS!$D8522,nESPEC,DATOS!$E8522,nASIG,DATOS!$I8522,nEVAL,"OR")=0))</f>
      </c>
      <c r="I8522">
        <f>IF(DATOS!$I8522="","",IFERROR(VLOOKUP(DATOS!$I8522,CONFIG_ASIGNATURAS!$B$2:$J$91,9,FALSE()),""))</f>
      </c>
    </row>
    <row r="8523">
      <c r="F8523">
        <f>IF(DATOS!$A8523="","",DATOS!$A8523&amp;"|"&amp;DATOS!$D8523&amp;"|"&amp;DATOS!$E8523&amp;"|"&amp;DATOS!$I8523)</f>
      </c>
      <c r="G8523">
        <f>IF(DATOS!$A8523="",0,IF(CONFIG_METADATA!$B$4&lt;&gt;"OR+EX",--(DATOS!$G8523=CONFIG_METADATA!$B$4),IF(DATOS!$G8523="EX",1,IF(DATOS!$G8523="OR",--(COUNTIFS(nNIA,DATOS!$A8523,nCURSO,DATOS!$D8523,nESPEC,DATOS!$E8523,nASIG,DATOS!$I8523,nEVAL,"EX")=0),0))))</f>
      </c>
      <c r="H8523">
        <f>IF(DATOS!$G8523&lt;&gt;"EX",0,--(COUNTIFS(nNIA,DATOS!$A8523,nCURSO,DATOS!$D8523,nESPEC,DATOS!$E8523,nASIG,DATOS!$I8523,nEVAL,"OR")=0))</f>
      </c>
      <c r="I8523">
        <f>IF(DATOS!$I8523="","",IFERROR(VLOOKUP(DATOS!$I8523,CONFIG_ASIGNATURAS!$B$2:$J$91,9,FALSE()),""))</f>
      </c>
    </row>
    <row r="8524">
      <c r="F8524">
        <f>IF(DATOS!$A8524="","",DATOS!$A8524&amp;"|"&amp;DATOS!$D8524&amp;"|"&amp;DATOS!$E8524&amp;"|"&amp;DATOS!$I8524)</f>
      </c>
      <c r="G8524">
        <f>IF(DATOS!$A8524="",0,IF(CONFIG_METADATA!$B$4&lt;&gt;"OR+EX",--(DATOS!$G8524=CONFIG_METADATA!$B$4),IF(DATOS!$G8524="EX",1,IF(DATOS!$G8524="OR",--(COUNTIFS(nNIA,DATOS!$A8524,nCURSO,DATOS!$D8524,nESPEC,DATOS!$E8524,nASIG,DATOS!$I8524,nEVAL,"EX")=0),0))))</f>
      </c>
      <c r="H8524">
        <f>IF(DATOS!$G8524&lt;&gt;"EX",0,--(COUNTIFS(nNIA,DATOS!$A8524,nCURSO,DATOS!$D8524,nESPEC,DATOS!$E8524,nASIG,DATOS!$I8524,nEVAL,"OR")=0))</f>
      </c>
      <c r="I8524">
        <f>IF(DATOS!$I8524="","",IFERROR(VLOOKUP(DATOS!$I8524,CONFIG_ASIGNATURAS!$B$2:$J$91,9,FALSE()),""))</f>
      </c>
    </row>
    <row r="8525">
      <c r="F8525">
        <f>IF(DATOS!$A8525="","",DATOS!$A8525&amp;"|"&amp;DATOS!$D8525&amp;"|"&amp;DATOS!$E8525&amp;"|"&amp;DATOS!$I8525)</f>
      </c>
      <c r="G8525">
        <f>IF(DATOS!$A8525="",0,IF(CONFIG_METADATA!$B$4&lt;&gt;"OR+EX",--(DATOS!$G8525=CONFIG_METADATA!$B$4),IF(DATOS!$G8525="EX",1,IF(DATOS!$G8525="OR",--(COUNTIFS(nNIA,DATOS!$A8525,nCURSO,DATOS!$D8525,nESPEC,DATOS!$E8525,nASIG,DATOS!$I8525,nEVAL,"EX")=0),0))))</f>
      </c>
      <c r="H8525">
        <f>IF(DATOS!$G8525&lt;&gt;"EX",0,--(COUNTIFS(nNIA,DATOS!$A8525,nCURSO,DATOS!$D8525,nESPEC,DATOS!$E8525,nASIG,DATOS!$I8525,nEVAL,"OR")=0))</f>
      </c>
      <c r="I8525">
        <f>IF(DATOS!$I8525="","",IFERROR(VLOOKUP(DATOS!$I8525,CONFIG_ASIGNATURAS!$B$2:$J$91,9,FALSE()),""))</f>
      </c>
    </row>
    <row r="8526">
      <c r="F8526">
        <f>IF(DATOS!$A8526="","",DATOS!$A8526&amp;"|"&amp;DATOS!$D8526&amp;"|"&amp;DATOS!$E8526&amp;"|"&amp;DATOS!$I8526)</f>
      </c>
      <c r="G8526">
        <f>IF(DATOS!$A8526="",0,IF(CONFIG_METADATA!$B$4&lt;&gt;"OR+EX",--(DATOS!$G8526=CONFIG_METADATA!$B$4),IF(DATOS!$G8526="EX",1,IF(DATOS!$G8526="OR",--(COUNTIFS(nNIA,DATOS!$A8526,nCURSO,DATOS!$D8526,nESPEC,DATOS!$E8526,nASIG,DATOS!$I8526,nEVAL,"EX")=0),0))))</f>
      </c>
      <c r="H8526">
        <f>IF(DATOS!$G8526&lt;&gt;"EX",0,--(COUNTIFS(nNIA,DATOS!$A8526,nCURSO,DATOS!$D8526,nESPEC,DATOS!$E8526,nASIG,DATOS!$I8526,nEVAL,"OR")=0))</f>
      </c>
      <c r="I8526">
        <f>IF(DATOS!$I8526="","",IFERROR(VLOOKUP(DATOS!$I8526,CONFIG_ASIGNATURAS!$B$2:$J$91,9,FALSE()),""))</f>
      </c>
    </row>
    <row r="8527">
      <c r="F8527">
        <f>IF(DATOS!$A8527="","",DATOS!$A8527&amp;"|"&amp;DATOS!$D8527&amp;"|"&amp;DATOS!$E8527&amp;"|"&amp;DATOS!$I8527)</f>
      </c>
      <c r="G8527">
        <f>IF(DATOS!$A8527="",0,IF(CONFIG_METADATA!$B$4&lt;&gt;"OR+EX",--(DATOS!$G8527=CONFIG_METADATA!$B$4),IF(DATOS!$G8527="EX",1,IF(DATOS!$G8527="OR",--(COUNTIFS(nNIA,DATOS!$A8527,nCURSO,DATOS!$D8527,nESPEC,DATOS!$E8527,nASIG,DATOS!$I8527,nEVAL,"EX")=0),0))))</f>
      </c>
      <c r="H8527">
        <f>IF(DATOS!$G8527&lt;&gt;"EX",0,--(COUNTIFS(nNIA,DATOS!$A8527,nCURSO,DATOS!$D8527,nESPEC,DATOS!$E8527,nASIG,DATOS!$I8527,nEVAL,"OR")=0))</f>
      </c>
      <c r="I8527">
        <f>IF(DATOS!$I8527="","",IFERROR(VLOOKUP(DATOS!$I8527,CONFIG_ASIGNATURAS!$B$2:$J$91,9,FALSE()),""))</f>
      </c>
    </row>
    <row r="8528">
      <c r="F8528">
        <f>IF(DATOS!$A8528="","",DATOS!$A8528&amp;"|"&amp;DATOS!$D8528&amp;"|"&amp;DATOS!$E8528&amp;"|"&amp;DATOS!$I8528)</f>
      </c>
      <c r="G8528">
        <f>IF(DATOS!$A8528="",0,IF(CONFIG_METADATA!$B$4&lt;&gt;"OR+EX",--(DATOS!$G8528=CONFIG_METADATA!$B$4),IF(DATOS!$G8528="EX",1,IF(DATOS!$G8528="OR",--(COUNTIFS(nNIA,DATOS!$A8528,nCURSO,DATOS!$D8528,nESPEC,DATOS!$E8528,nASIG,DATOS!$I8528,nEVAL,"EX")=0),0))))</f>
      </c>
      <c r="H8528">
        <f>IF(DATOS!$G8528&lt;&gt;"EX",0,--(COUNTIFS(nNIA,DATOS!$A8528,nCURSO,DATOS!$D8528,nESPEC,DATOS!$E8528,nASIG,DATOS!$I8528,nEVAL,"OR")=0))</f>
      </c>
      <c r="I8528">
        <f>IF(DATOS!$I8528="","",IFERROR(VLOOKUP(DATOS!$I8528,CONFIG_ASIGNATURAS!$B$2:$J$91,9,FALSE()),""))</f>
      </c>
    </row>
    <row r="8529">
      <c r="F8529">
        <f>IF(DATOS!$A8529="","",DATOS!$A8529&amp;"|"&amp;DATOS!$D8529&amp;"|"&amp;DATOS!$E8529&amp;"|"&amp;DATOS!$I8529)</f>
      </c>
      <c r="G8529">
        <f>IF(DATOS!$A8529="",0,IF(CONFIG_METADATA!$B$4&lt;&gt;"OR+EX",--(DATOS!$G8529=CONFIG_METADATA!$B$4),IF(DATOS!$G8529="EX",1,IF(DATOS!$G8529="OR",--(COUNTIFS(nNIA,DATOS!$A8529,nCURSO,DATOS!$D8529,nESPEC,DATOS!$E8529,nASIG,DATOS!$I8529,nEVAL,"EX")=0),0))))</f>
      </c>
      <c r="H8529">
        <f>IF(DATOS!$G8529&lt;&gt;"EX",0,--(COUNTIFS(nNIA,DATOS!$A8529,nCURSO,DATOS!$D8529,nESPEC,DATOS!$E8529,nASIG,DATOS!$I8529,nEVAL,"OR")=0))</f>
      </c>
      <c r="I8529">
        <f>IF(DATOS!$I8529="","",IFERROR(VLOOKUP(DATOS!$I8529,CONFIG_ASIGNATURAS!$B$2:$J$91,9,FALSE()),""))</f>
      </c>
    </row>
    <row r="8530">
      <c r="F8530">
        <f>IF(DATOS!$A8530="","",DATOS!$A8530&amp;"|"&amp;DATOS!$D8530&amp;"|"&amp;DATOS!$E8530&amp;"|"&amp;DATOS!$I8530)</f>
      </c>
      <c r="G8530">
        <f>IF(DATOS!$A8530="",0,IF(CONFIG_METADATA!$B$4&lt;&gt;"OR+EX",--(DATOS!$G8530=CONFIG_METADATA!$B$4),IF(DATOS!$G8530="EX",1,IF(DATOS!$G8530="OR",--(COUNTIFS(nNIA,DATOS!$A8530,nCURSO,DATOS!$D8530,nESPEC,DATOS!$E8530,nASIG,DATOS!$I8530,nEVAL,"EX")=0),0))))</f>
      </c>
      <c r="H8530">
        <f>IF(DATOS!$G8530&lt;&gt;"EX",0,--(COUNTIFS(nNIA,DATOS!$A8530,nCURSO,DATOS!$D8530,nESPEC,DATOS!$E8530,nASIG,DATOS!$I8530,nEVAL,"OR")=0))</f>
      </c>
      <c r="I8530">
        <f>IF(DATOS!$I8530="","",IFERROR(VLOOKUP(DATOS!$I8530,CONFIG_ASIGNATURAS!$B$2:$J$91,9,FALSE()),""))</f>
      </c>
    </row>
    <row r="8531">
      <c r="F8531">
        <f>IF(DATOS!$A8531="","",DATOS!$A8531&amp;"|"&amp;DATOS!$D8531&amp;"|"&amp;DATOS!$E8531&amp;"|"&amp;DATOS!$I8531)</f>
      </c>
      <c r="G8531">
        <f>IF(DATOS!$A8531="",0,IF(CONFIG_METADATA!$B$4&lt;&gt;"OR+EX",--(DATOS!$G8531=CONFIG_METADATA!$B$4),IF(DATOS!$G8531="EX",1,IF(DATOS!$G8531="OR",--(COUNTIFS(nNIA,DATOS!$A8531,nCURSO,DATOS!$D8531,nESPEC,DATOS!$E8531,nASIG,DATOS!$I8531,nEVAL,"EX")=0),0))))</f>
      </c>
      <c r="H8531">
        <f>IF(DATOS!$G8531&lt;&gt;"EX",0,--(COUNTIFS(nNIA,DATOS!$A8531,nCURSO,DATOS!$D8531,nESPEC,DATOS!$E8531,nASIG,DATOS!$I8531,nEVAL,"OR")=0))</f>
      </c>
      <c r="I8531">
        <f>IF(DATOS!$I8531="","",IFERROR(VLOOKUP(DATOS!$I8531,CONFIG_ASIGNATURAS!$B$2:$J$91,9,FALSE()),""))</f>
      </c>
    </row>
    <row r="8532">
      <c r="F8532">
        <f>IF(DATOS!$A8532="","",DATOS!$A8532&amp;"|"&amp;DATOS!$D8532&amp;"|"&amp;DATOS!$E8532&amp;"|"&amp;DATOS!$I8532)</f>
      </c>
      <c r="G8532">
        <f>IF(DATOS!$A8532="",0,IF(CONFIG_METADATA!$B$4&lt;&gt;"OR+EX",--(DATOS!$G8532=CONFIG_METADATA!$B$4),IF(DATOS!$G8532="EX",1,IF(DATOS!$G8532="OR",--(COUNTIFS(nNIA,DATOS!$A8532,nCURSO,DATOS!$D8532,nESPEC,DATOS!$E8532,nASIG,DATOS!$I8532,nEVAL,"EX")=0),0))))</f>
      </c>
      <c r="H8532">
        <f>IF(DATOS!$G8532&lt;&gt;"EX",0,--(COUNTIFS(nNIA,DATOS!$A8532,nCURSO,DATOS!$D8532,nESPEC,DATOS!$E8532,nASIG,DATOS!$I8532,nEVAL,"OR")=0))</f>
      </c>
      <c r="I8532">
        <f>IF(DATOS!$I8532="","",IFERROR(VLOOKUP(DATOS!$I8532,CONFIG_ASIGNATURAS!$B$2:$J$91,9,FALSE()),""))</f>
      </c>
    </row>
    <row r="8533">
      <c r="F8533">
        <f>IF(DATOS!$A8533="","",DATOS!$A8533&amp;"|"&amp;DATOS!$D8533&amp;"|"&amp;DATOS!$E8533&amp;"|"&amp;DATOS!$I8533)</f>
      </c>
      <c r="G8533">
        <f>IF(DATOS!$A8533="",0,IF(CONFIG_METADATA!$B$4&lt;&gt;"OR+EX",--(DATOS!$G8533=CONFIG_METADATA!$B$4),IF(DATOS!$G8533="EX",1,IF(DATOS!$G8533="OR",--(COUNTIFS(nNIA,DATOS!$A8533,nCURSO,DATOS!$D8533,nESPEC,DATOS!$E8533,nASIG,DATOS!$I8533,nEVAL,"EX")=0),0))))</f>
      </c>
      <c r="H8533">
        <f>IF(DATOS!$G8533&lt;&gt;"EX",0,--(COUNTIFS(nNIA,DATOS!$A8533,nCURSO,DATOS!$D8533,nESPEC,DATOS!$E8533,nASIG,DATOS!$I8533,nEVAL,"OR")=0))</f>
      </c>
      <c r="I8533">
        <f>IF(DATOS!$I8533="","",IFERROR(VLOOKUP(DATOS!$I8533,CONFIG_ASIGNATURAS!$B$2:$J$91,9,FALSE()),""))</f>
      </c>
    </row>
    <row r="8534">
      <c r="F8534">
        <f>IF(DATOS!$A8534="","",DATOS!$A8534&amp;"|"&amp;DATOS!$D8534&amp;"|"&amp;DATOS!$E8534&amp;"|"&amp;DATOS!$I8534)</f>
      </c>
      <c r="G8534">
        <f>IF(DATOS!$A8534="",0,IF(CONFIG_METADATA!$B$4&lt;&gt;"OR+EX",--(DATOS!$G8534=CONFIG_METADATA!$B$4),IF(DATOS!$G8534="EX",1,IF(DATOS!$G8534="OR",--(COUNTIFS(nNIA,DATOS!$A8534,nCURSO,DATOS!$D8534,nESPEC,DATOS!$E8534,nASIG,DATOS!$I8534,nEVAL,"EX")=0),0))))</f>
      </c>
      <c r="H8534">
        <f>IF(DATOS!$G8534&lt;&gt;"EX",0,--(COUNTIFS(nNIA,DATOS!$A8534,nCURSO,DATOS!$D8534,nESPEC,DATOS!$E8534,nASIG,DATOS!$I8534,nEVAL,"OR")=0))</f>
      </c>
      <c r="I8534">
        <f>IF(DATOS!$I8534="","",IFERROR(VLOOKUP(DATOS!$I8534,CONFIG_ASIGNATURAS!$B$2:$J$91,9,FALSE()),""))</f>
      </c>
    </row>
    <row r="8535">
      <c r="F8535">
        <f>IF(DATOS!$A8535="","",DATOS!$A8535&amp;"|"&amp;DATOS!$D8535&amp;"|"&amp;DATOS!$E8535&amp;"|"&amp;DATOS!$I8535)</f>
      </c>
      <c r="G8535">
        <f>IF(DATOS!$A8535="",0,IF(CONFIG_METADATA!$B$4&lt;&gt;"OR+EX",--(DATOS!$G8535=CONFIG_METADATA!$B$4),IF(DATOS!$G8535="EX",1,IF(DATOS!$G8535="OR",--(COUNTIFS(nNIA,DATOS!$A8535,nCURSO,DATOS!$D8535,nESPEC,DATOS!$E8535,nASIG,DATOS!$I8535,nEVAL,"EX")=0),0))))</f>
      </c>
      <c r="H8535">
        <f>IF(DATOS!$G8535&lt;&gt;"EX",0,--(COUNTIFS(nNIA,DATOS!$A8535,nCURSO,DATOS!$D8535,nESPEC,DATOS!$E8535,nASIG,DATOS!$I8535,nEVAL,"OR")=0))</f>
      </c>
      <c r="I8535">
        <f>IF(DATOS!$I8535="","",IFERROR(VLOOKUP(DATOS!$I8535,CONFIG_ASIGNATURAS!$B$2:$J$91,9,FALSE()),""))</f>
      </c>
    </row>
    <row r="8536">
      <c r="F8536">
        <f>IF(DATOS!$A8536="","",DATOS!$A8536&amp;"|"&amp;DATOS!$D8536&amp;"|"&amp;DATOS!$E8536&amp;"|"&amp;DATOS!$I8536)</f>
      </c>
      <c r="G8536">
        <f>IF(DATOS!$A8536="",0,IF(CONFIG_METADATA!$B$4&lt;&gt;"OR+EX",--(DATOS!$G8536=CONFIG_METADATA!$B$4),IF(DATOS!$G8536="EX",1,IF(DATOS!$G8536="OR",--(COUNTIFS(nNIA,DATOS!$A8536,nCURSO,DATOS!$D8536,nESPEC,DATOS!$E8536,nASIG,DATOS!$I8536,nEVAL,"EX")=0),0))))</f>
      </c>
      <c r="H8536">
        <f>IF(DATOS!$G8536&lt;&gt;"EX",0,--(COUNTIFS(nNIA,DATOS!$A8536,nCURSO,DATOS!$D8536,nESPEC,DATOS!$E8536,nASIG,DATOS!$I8536,nEVAL,"OR")=0))</f>
      </c>
      <c r="I8536">
        <f>IF(DATOS!$I8536="","",IFERROR(VLOOKUP(DATOS!$I8536,CONFIG_ASIGNATURAS!$B$2:$J$91,9,FALSE()),""))</f>
      </c>
    </row>
    <row r="8537">
      <c r="F8537">
        <f>IF(DATOS!$A8537="","",DATOS!$A8537&amp;"|"&amp;DATOS!$D8537&amp;"|"&amp;DATOS!$E8537&amp;"|"&amp;DATOS!$I8537)</f>
      </c>
      <c r="G8537">
        <f>IF(DATOS!$A8537="",0,IF(CONFIG_METADATA!$B$4&lt;&gt;"OR+EX",--(DATOS!$G8537=CONFIG_METADATA!$B$4),IF(DATOS!$G8537="EX",1,IF(DATOS!$G8537="OR",--(COUNTIFS(nNIA,DATOS!$A8537,nCURSO,DATOS!$D8537,nESPEC,DATOS!$E8537,nASIG,DATOS!$I8537,nEVAL,"EX")=0),0))))</f>
      </c>
      <c r="H8537">
        <f>IF(DATOS!$G8537&lt;&gt;"EX",0,--(COUNTIFS(nNIA,DATOS!$A8537,nCURSO,DATOS!$D8537,nESPEC,DATOS!$E8537,nASIG,DATOS!$I8537,nEVAL,"OR")=0))</f>
      </c>
      <c r="I8537">
        <f>IF(DATOS!$I8537="","",IFERROR(VLOOKUP(DATOS!$I8537,CONFIG_ASIGNATURAS!$B$2:$J$91,9,FALSE()),""))</f>
      </c>
    </row>
    <row r="8538">
      <c r="F8538">
        <f>IF(DATOS!$A8538="","",DATOS!$A8538&amp;"|"&amp;DATOS!$D8538&amp;"|"&amp;DATOS!$E8538&amp;"|"&amp;DATOS!$I8538)</f>
      </c>
      <c r="G8538">
        <f>IF(DATOS!$A8538="",0,IF(CONFIG_METADATA!$B$4&lt;&gt;"OR+EX",--(DATOS!$G8538=CONFIG_METADATA!$B$4),IF(DATOS!$G8538="EX",1,IF(DATOS!$G8538="OR",--(COUNTIFS(nNIA,DATOS!$A8538,nCURSO,DATOS!$D8538,nESPEC,DATOS!$E8538,nASIG,DATOS!$I8538,nEVAL,"EX")=0),0))))</f>
      </c>
      <c r="H8538">
        <f>IF(DATOS!$G8538&lt;&gt;"EX",0,--(COUNTIFS(nNIA,DATOS!$A8538,nCURSO,DATOS!$D8538,nESPEC,DATOS!$E8538,nASIG,DATOS!$I8538,nEVAL,"OR")=0))</f>
      </c>
      <c r="I8538">
        <f>IF(DATOS!$I8538="","",IFERROR(VLOOKUP(DATOS!$I8538,CONFIG_ASIGNATURAS!$B$2:$J$91,9,FALSE()),""))</f>
      </c>
    </row>
    <row r="8539">
      <c r="F8539">
        <f>IF(DATOS!$A8539="","",DATOS!$A8539&amp;"|"&amp;DATOS!$D8539&amp;"|"&amp;DATOS!$E8539&amp;"|"&amp;DATOS!$I8539)</f>
      </c>
      <c r="G8539">
        <f>IF(DATOS!$A8539="",0,IF(CONFIG_METADATA!$B$4&lt;&gt;"OR+EX",--(DATOS!$G8539=CONFIG_METADATA!$B$4),IF(DATOS!$G8539="EX",1,IF(DATOS!$G8539="OR",--(COUNTIFS(nNIA,DATOS!$A8539,nCURSO,DATOS!$D8539,nESPEC,DATOS!$E8539,nASIG,DATOS!$I8539,nEVAL,"EX")=0),0))))</f>
      </c>
      <c r="H8539">
        <f>IF(DATOS!$G8539&lt;&gt;"EX",0,--(COUNTIFS(nNIA,DATOS!$A8539,nCURSO,DATOS!$D8539,nESPEC,DATOS!$E8539,nASIG,DATOS!$I8539,nEVAL,"OR")=0))</f>
      </c>
      <c r="I8539">
        <f>IF(DATOS!$I8539="","",IFERROR(VLOOKUP(DATOS!$I8539,CONFIG_ASIGNATURAS!$B$2:$J$91,9,FALSE()),""))</f>
      </c>
    </row>
    <row r="8540">
      <c r="F8540">
        <f>IF(DATOS!$A8540="","",DATOS!$A8540&amp;"|"&amp;DATOS!$D8540&amp;"|"&amp;DATOS!$E8540&amp;"|"&amp;DATOS!$I8540)</f>
      </c>
      <c r="G8540">
        <f>IF(DATOS!$A8540="",0,IF(CONFIG_METADATA!$B$4&lt;&gt;"OR+EX",--(DATOS!$G8540=CONFIG_METADATA!$B$4),IF(DATOS!$G8540="EX",1,IF(DATOS!$G8540="OR",--(COUNTIFS(nNIA,DATOS!$A8540,nCURSO,DATOS!$D8540,nESPEC,DATOS!$E8540,nASIG,DATOS!$I8540,nEVAL,"EX")=0),0))))</f>
      </c>
      <c r="H8540">
        <f>IF(DATOS!$G8540&lt;&gt;"EX",0,--(COUNTIFS(nNIA,DATOS!$A8540,nCURSO,DATOS!$D8540,nESPEC,DATOS!$E8540,nASIG,DATOS!$I8540,nEVAL,"OR")=0))</f>
      </c>
      <c r="I8540">
        <f>IF(DATOS!$I8540="","",IFERROR(VLOOKUP(DATOS!$I8540,CONFIG_ASIGNATURAS!$B$2:$J$91,9,FALSE()),""))</f>
      </c>
    </row>
    <row r="8541">
      <c r="F8541">
        <f>IF(DATOS!$A8541="","",DATOS!$A8541&amp;"|"&amp;DATOS!$D8541&amp;"|"&amp;DATOS!$E8541&amp;"|"&amp;DATOS!$I8541)</f>
      </c>
      <c r="G8541">
        <f>IF(DATOS!$A8541="",0,IF(CONFIG_METADATA!$B$4&lt;&gt;"OR+EX",--(DATOS!$G8541=CONFIG_METADATA!$B$4),IF(DATOS!$G8541="EX",1,IF(DATOS!$G8541="OR",--(COUNTIFS(nNIA,DATOS!$A8541,nCURSO,DATOS!$D8541,nESPEC,DATOS!$E8541,nASIG,DATOS!$I8541,nEVAL,"EX")=0),0))))</f>
      </c>
      <c r="H8541">
        <f>IF(DATOS!$G8541&lt;&gt;"EX",0,--(COUNTIFS(nNIA,DATOS!$A8541,nCURSO,DATOS!$D8541,nESPEC,DATOS!$E8541,nASIG,DATOS!$I8541,nEVAL,"OR")=0))</f>
      </c>
      <c r="I8541">
        <f>IF(DATOS!$I8541="","",IFERROR(VLOOKUP(DATOS!$I8541,CONFIG_ASIGNATURAS!$B$2:$J$91,9,FALSE()),""))</f>
      </c>
    </row>
    <row r="8542">
      <c r="F8542">
        <f>IF(DATOS!$A8542="","",DATOS!$A8542&amp;"|"&amp;DATOS!$D8542&amp;"|"&amp;DATOS!$E8542&amp;"|"&amp;DATOS!$I8542)</f>
      </c>
      <c r="G8542">
        <f>IF(DATOS!$A8542="",0,IF(CONFIG_METADATA!$B$4&lt;&gt;"OR+EX",--(DATOS!$G8542=CONFIG_METADATA!$B$4),IF(DATOS!$G8542="EX",1,IF(DATOS!$G8542="OR",--(COUNTIFS(nNIA,DATOS!$A8542,nCURSO,DATOS!$D8542,nESPEC,DATOS!$E8542,nASIG,DATOS!$I8542,nEVAL,"EX")=0),0))))</f>
      </c>
      <c r="H8542">
        <f>IF(DATOS!$G8542&lt;&gt;"EX",0,--(COUNTIFS(nNIA,DATOS!$A8542,nCURSO,DATOS!$D8542,nESPEC,DATOS!$E8542,nASIG,DATOS!$I8542,nEVAL,"OR")=0))</f>
      </c>
      <c r="I8542">
        <f>IF(DATOS!$I8542="","",IFERROR(VLOOKUP(DATOS!$I8542,CONFIG_ASIGNATURAS!$B$2:$J$91,9,FALSE()),""))</f>
      </c>
    </row>
    <row r="8543">
      <c r="F8543">
        <f>IF(DATOS!$A8543="","",DATOS!$A8543&amp;"|"&amp;DATOS!$D8543&amp;"|"&amp;DATOS!$E8543&amp;"|"&amp;DATOS!$I8543)</f>
      </c>
      <c r="G8543">
        <f>IF(DATOS!$A8543="",0,IF(CONFIG_METADATA!$B$4&lt;&gt;"OR+EX",--(DATOS!$G8543=CONFIG_METADATA!$B$4),IF(DATOS!$G8543="EX",1,IF(DATOS!$G8543="OR",--(COUNTIFS(nNIA,DATOS!$A8543,nCURSO,DATOS!$D8543,nESPEC,DATOS!$E8543,nASIG,DATOS!$I8543,nEVAL,"EX")=0),0))))</f>
      </c>
      <c r="H8543">
        <f>IF(DATOS!$G8543&lt;&gt;"EX",0,--(COUNTIFS(nNIA,DATOS!$A8543,nCURSO,DATOS!$D8543,nESPEC,DATOS!$E8543,nASIG,DATOS!$I8543,nEVAL,"OR")=0))</f>
      </c>
      <c r="I8543">
        <f>IF(DATOS!$I8543="","",IFERROR(VLOOKUP(DATOS!$I8543,CONFIG_ASIGNATURAS!$B$2:$J$91,9,FALSE()),""))</f>
      </c>
    </row>
    <row r="8544">
      <c r="F8544">
        <f>IF(DATOS!$A8544="","",DATOS!$A8544&amp;"|"&amp;DATOS!$D8544&amp;"|"&amp;DATOS!$E8544&amp;"|"&amp;DATOS!$I8544)</f>
      </c>
      <c r="G8544">
        <f>IF(DATOS!$A8544="",0,IF(CONFIG_METADATA!$B$4&lt;&gt;"OR+EX",--(DATOS!$G8544=CONFIG_METADATA!$B$4),IF(DATOS!$G8544="EX",1,IF(DATOS!$G8544="OR",--(COUNTIFS(nNIA,DATOS!$A8544,nCURSO,DATOS!$D8544,nESPEC,DATOS!$E8544,nASIG,DATOS!$I8544,nEVAL,"EX")=0),0))))</f>
      </c>
      <c r="H8544">
        <f>IF(DATOS!$G8544&lt;&gt;"EX",0,--(COUNTIFS(nNIA,DATOS!$A8544,nCURSO,DATOS!$D8544,nESPEC,DATOS!$E8544,nASIG,DATOS!$I8544,nEVAL,"OR")=0))</f>
      </c>
      <c r="I8544">
        <f>IF(DATOS!$I8544="","",IFERROR(VLOOKUP(DATOS!$I8544,CONFIG_ASIGNATURAS!$B$2:$J$91,9,FALSE()),""))</f>
      </c>
    </row>
    <row r="8545">
      <c r="F8545">
        <f>IF(DATOS!$A8545="","",DATOS!$A8545&amp;"|"&amp;DATOS!$D8545&amp;"|"&amp;DATOS!$E8545&amp;"|"&amp;DATOS!$I8545)</f>
      </c>
      <c r="G8545">
        <f>IF(DATOS!$A8545="",0,IF(CONFIG_METADATA!$B$4&lt;&gt;"OR+EX",--(DATOS!$G8545=CONFIG_METADATA!$B$4),IF(DATOS!$G8545="EX",1,IF(DATOS!$G8545="OR",--(COUNTIFS(nNIA,DATOS!$A8545,nCURSO,DATOS!$D8545,nESPEC,DATOS!$E8545,nASIG,DATOS!$I8545,nEVAL,"EX")=0),0))))</f>
      </c>
      <c r="H8545">
        <f>IF(DATOS!$G8545&lt;&gt;"EX",0,--(COUNTIFS(nNIA,DATOS!$A8545,nCURSO,DATOS!$D8545,nESPEC,DATOS!$E8545,nASIG,DATOS!$I8545,nEVAL,"OR")=0))</f>
      </c>
      <c r="I8545">
        <f>IF(DATOS!$I8545="","",IFERROR(VLOOKUP(DATOS!$I8545,CONFIG_ASIGNATURAS!$B$2:$J$91,9,FALSE()),""))</f>
      </c>
    </row>
    <row r="8546">
      <c r="F8546">
        <f>IF(DATOS!$A8546="","",DATOS!$A8546&amp;"|"&amp;DATOS!$D8546&amp;"|"&amp;DATOS!$E8546&amp;"|"&amp;DATOS!$I8546)</f>
      </c>
      <c r="G8546">
        <f>IF(DATOS!$A8546="",0,IF(CONFIG_METADATA!$B$4&lt;&gt;"OR+EX",--(DATOS!$G8546=CONFIG_METADATA!$B$4),IF(DATOS!$G8546="EX",1,IF(DATOS!$G8546="OR",--(COUNTIFS(nNIA,DATOS!$A8546,nCURSO,DATOS!$D8546,nESPEC,DATOS!$E8546,nASIG,DATOS!$I8546,nEVAL,"EX")=0),0))))</f>
      </c>
      <c r="H8546">
        <f>IF(DATOS!$G8546&lt;&gt;"EX",0,--(COUNTIFS(nNIA,DATOS!$A8546,nCURSO,DATOS!$D8546,nESPEC,DATOS!$E8546,nASIG,DATOS!$I8546,nEVAL,"OR")=0))</f>
      </c>
      <c r="I8546">
        <f>IF(DATOS!$I8546="","",IFERROR(VLOOKUP(DATOS!$I8546,CONFIG_ASIGNATURAS!$B$2:$J$91,9,FALSE()),""))</f>
      </c>
    </row>
    <row r="8547">
      <c r="F8547">
        <f>IF(DATOS!$A8547="","",DATOS!$A8547&amp;"|"&amp;DATOS!$D8547&amp;"|"&amp;DATOS!$E8547&amp;"|"&amp;DATOS!$I8547)</f>
      </c>
      <c r="G8547">
        <f>IF(DATOS!$A8547="",0,IF(CONFIG_METADATA!$B$4&lt;&gt;"OR+EX",--(DATOS!$G8547=CONFIG_METADATA!$B$4),IF(DATOS!$G8547="EX",1,IF(DATOS!$G8547="OR",--(COUNTIFS(nNIA,DATOS!$A8547,nCURSO,DATOS!$D8547,nESPEC,DATOS!$E8547,nASIG,DATOS!$I8547,nEVAL,"EX")=0),0))))</f>
      </c>
      <c r="H8547">
        <f>IF(DATOS!$G8547&lt;&gt;"EX",0,--(COUNTIFS(nNIA,DATOS!$A8547,nCURSO,DATOS!$D8547,nESPEC,DATOS!$E8547,nASIG,DATOS!$I8547,nEVAL,"OR")=0))</f>
      </c>
      <c r="I8547">
        <f>IF(DATOS!$I8547="","",IFERROR(VLOOKUP(DATOS!$I8547,CONFIG_ASIGNATURAS!$B$2:$J$91,9,FALSE()),""))</f>
      </c>
    </row>
    <row r="8548">
      <c r="F8548">
        <f>IF(DATOS!$A8548="","",DATOS!$A8548&amp;"|"&amp;DATOS!$D8548&amp;"|"&amp;DATOS!$E8548&amp;"|"&amp;DATOS!$I8548)</f>
      </c>
      <c r="G8548">
        <f>IF(DATOS!$A8548="",0,IF(CONFIG_METADATA!$B$4&lt;&gt;"OR+EX",--(DATOS!$G8548=CONFIG_METADATA!$B$4),IF(DATOS!$G8548="EX",1,IF(DATOS!$G8548="OR",--(COUNTIFS(nNIA,DATOS!$A8548,nCURSO,DATOS!$D8548,nESPEC,DATOS!$E8548,nASIG,DATOS!$I8548,nEVAL,"EX")=0),0))))</f>
      </c>
      <c r="H8548">
        <f>IF(DATOS!$G8548&lt;&gt;"EX",0,--(COUNTIFS(nNIA,DATOS!$A8548,nCURSO,DATOS!$D8548,nESPEC,DATOS!$E8548,nASIG,DATOS!$I8548,nEVAL,"OR")=0))</f>
      </c>
      <c r="I8548">
        <f>IF(DATOS!$I8548="","",IFERROR(VLOOKUP(DATOS!$I8548,CONFIG_ASIGNATURAS!$B$2:$J$91,9,FALSE()),""))</f>
      </c>
    </row>
    <row r="8549">
      <c r="F8549">
        <f>IF(DATOS!$A8549="","",DATOS!$A8549&amp;"|"&amp;DATOS!$D8549&amp;"|"&amp;DATOS!$E8549&amp;"|"&amp;DATOS!$I8549)</f>
      </c>
      <c r="G8549">
        <f>IF(DATOS!$A8549="",0,IF(CONFIG_METADATA!$B$4&lt;&gt;"OR+EX",--(DATOS!$G8549=CONFIG_METADATA!$B$4),IF(DATOS!$G8549="EX",1,IF(DATOS!$G8549="OR",--(COUNTIFS(nNIA,DATOS!$A8549,nCURSO,DATOS!$D8549,nESPEC,DATOS!$E8549,nASIG,DATOS!$I8549,nEVAL,"EX")=0),0))))</f>
      </c>
      <c r="H8549">
        <f>IF(DATOS!$G8549&lt;&gt;"EX",0,--(COUNTIFS(nNIA,DATOS!$A8549,nCURSO,DATOS!$D8549,nESPEC,DATOS!$E8549,nASIG,DATOS!$I8549,nEVAL,"OR")=0))</f>
      </c>
      <c r="I8549">
        <f>IF(DATOS!$I8549="","",IFERROR(VLOOKUP(DATOS!$I8549,CONFIG_ASIGNATURAS!$B$2:$J$91,9,FALSE()),""))</f>
      </c>
    </row>
    <row r="8550">
      <c r="F8550">
        <f>IF(DATOS!$A8550="","",DATOS!$A8550&amp;"|"&amp;DATOS!$D8550&amp;"|"&amp;DATOS!$E8550&amp;"|"&amp;DATOS!$I8550)</f>
      </c>
      <c r="G8550">
        <f>IF(DATOS!$A8550="",0,IF(CONFIG_METADATA!$B$4&lt;&gt;"OR+EX",--(DATOS!$G8550=CONFIG_METADATA!$B$4),IF(DATOS!$G8550="EX",1,IF(DATOS!$G8550="OR",--(COUNTIFS(nNIA,DATOS!$A8550,nCURSO,DATOS!$D8550,nESPEC,DATOS!$E8550,nASIG,DATOS!$I8550,nEVAL,"EX")=0),0))))</f>
      </c>
      <c r="H8550">
        <f>IF(DATOS!$G8550&lt;&gt;"EX",0,--(COUNTIFS(nNIA,DATOS!$A8550,nCURSO,DATOS!$D8550,nESPEC,DATOS!$E8550,nASIG,DATOS!$I8550,nEVAL,"OR")=0))</f>
      </c>
      <c r="I8550">
        <f>IF(DATOS!$I8550="","",IFERROR(VLOOKUP(DATOS!$I8550,CONFIG_ASIGNATURAS!$B$2:$J$91,9,FALSE()),""))</f>
      </c>
    </row>
    <row r="8551">
      <c r="F8551">
        <f>IF(DATOS!$A8551="","",DATOS!$A8551&amp;"|"&amp;DATOS!$D8551&amp;"|"&amp;DATOS!$E8551&amp;"|"&amp;DATOS!$I8551)</f>
      </c>
      <c r="G8551">
        <f>IF(DATOS!$A8551="",0,IF(CONFIG_METADATA!$B$4&lt;&gt;"OR+EX",--(DATOS!$G8551=CONFIG_METADATA!$B$4),IF(DATOS!$G8551="EX",1,IF(DATOS!$G8551="OR",--(COUNTIFS(nNIA,DATOS!$A8551,nCURSO,DATOS!$D8551,nESPEC,DATOS!$E8551,nASIG,DATOS!$I8551,nEVAL,"EX")=0),0))))</f>
      </c>
      <c r="H8551">
        <f>IF(DATOS!$G8551&lt;&gt;"EX",0,--(COUNTIFS(nNIA,DATOS!$A8551,nCURSO,DATOS!$D8551,nESPEC,DATOS!$E8551,nASIG,DATOS!$I8551,nEVAL,"OR")=0))</f>
      </c>
      <c r="I8551">
        <f>IF(DATOS!$I8551="","",IFERROR(VLOOKUP(DATOS!$I8551,CONFIG_ASIGNATURAS!$B$2:$J$91,9,FALSE()),""))</f>
      </c>
    </row>
    <row r="8552">
      <c r="F8552">
        <f>IF(DATOS!$A8552="","",DATOS!$A8552&amp;"|"&amp;DATOS!$D8552&amp;"|"&amp;DATOS!$E8552&amp;"|"&amp;DATOS!$I8552)</f>
      </c>
      <c r="G8552">
        <f>IF(DATOS!$A8552="",0,IF(CONFIG_METADATA!$B$4&lt;&gt;"OR+EX",--(DATOS!$G8552=CONFIG_METADATA!$B$4),IF(DATOS!$G8552="EX",1,IF(DATOS!$G8552="OR",--(COUNTIFS(nNIA,DATOS!$A8552,nCURSO,DATOS!$D8552,nESPEC,DATOS!$E8552,nASIG,DATOS!$I8552,nEVAL,"EX")=0),0))))</f>
      </c>
      <c r="H8552">
        <f>IF(DATOS!$G8552&lt;&gt;"EX",0,--(COUNTIFS(nNIA,DATOS!$A8552,nCURSO,DATOS!$D8552,nESPEC,DATOS!$E8552,nASIG,DATOS!$I8552,nEVAL,"OR")=0))</f>
      </c>
      <c r="I8552">
        <f>IF(DATOS!$I8552="","",IFERROR(VLOOKUP(DATOS!$I8552,CONFIG_ASIGNATURAS!$B$2:$J$91,9,FALSE()),""))</f>
      </c>
    </row>
    <row r="8553">
      <c r="F8553">
        <f>IF(DATOS!$A8553="","",DATOS!$A8553&amp;"|"&amp;DATOS!$D8553&amp;"|"&amp;DATOS!$E8553&amp;"|"&amp;DATOS!$I8553)</f>
      </c>
      <c r="G8553">
        <f>IF(DATOS!$A8553="",0,IF(CONFIG_METADATA!$B$4&lt;&gt;"OR+EX",--(DATOS!$G8553=CONFIG_METADATA!$B$4),IF(DATOS!$G8553="EX",1,IF(DATOS!$G8553="OR",--(COUNTIFS(nNIA,DATOS!$A8553,nCURSO,DATOS!$D8553,nESPEC,DATOS!$E8553,nASIG,DATOS!$I8553,nEVAL,"EX")=0),0))))</f>
      </c>
      <c r="H8553">
        <f>IF(DATOS!$G8553&lt;&gt;"EX",0,--(COUNTIFS(nNIA,DATOS!$A8553,nCURSO,DATOS!$D8553,nESPEC,DATOS!$E8553,nASIG,DATOS!$I8553,nEVAL,"OR")=0))</f>
      </c>
      <c r="I8553">
        <f>IF(DATOS!$I8553="","",IFERROR(VLOOKUP(DATOS!$I8553,CONFIG_ASIGNATURAS!$B$2:$J$91,9,FALSE()),""))</f>
      </c>
    </row>
    <row r="8554">
      <c r="F8554">
        <f>IF(DATOS!$A8554="","",DATOS!$A8554&amp;"|"&amp;DATOS!$D8554&amp;"|"&amp;DATOS!$E8554&amp;"|"&amp;DATOS!$I8554)</f>
      </c>
      <c r="G8554">
        <f>IF(DATOS!$A8554="",0,IF(CONFIG_METADATA!$B$4&lt;&gt;"OR+EX",--(DATOS!$G8554=CONFIG_METADATA!$B$4),IF(DATOS!$G8554="EX",1,IF(DATOS!$G8554="OR",--(COUNTIFS(nNIA,DATOS!$A8554,nCURSO,DATOS!$D8554,nESPEC,DATOS!$E8554,nASIG,DATOS!$I8554,nEVAL,"EX")=0),0))))</f>
      </c>
      <c r="H8554">
        <f>IF(DATOS!$G8554&lt;&gt;"EX",0,--(COUNTIFS(nNIA,DATOS!$A8554,nCURSO,DATOS!$D8554,nESPEC,DATOS!$E8554,nASIG,DATOS!$I8554,nEVAL,"OR")=0))</f>
      </c>
      <c r="I8554">
        <f>IF(DATOS!$I8554="","",IFERROR(VLOOKUP(DATOS!$I8554,CONFIG_ASIGNATURAS!$B$2:$J$91,9,FALSE()),""))</f>
      </c>
    </row>
    <row r="8555">
      <c r="F8555">
        <f>IF(DATOS!$A8555="","",DATOS!$A8555&amp;"|"&amp;DATOS!$D8555&amp;"|"&amp;DATOS!$E8555&amp;"|"&amp;DATOS!$I8555)</f>
      </c>
      <c r="G8555">
        <f>IF(DATOS!$A8555="",0,IF(CONFIG_METADATA!$B$4&lt;&gt;"OR+EX",--(DATOS!$G8555=CONFIG_METADATA!$B$4),IF(DATOS!$G8555="EX",1,IF(DATOS!$G8555="OR",--(COUNTIFS(nNIA,DATOS!$A8555,nCURSO,DATOS!$D8555,nESPEC,DATOS!$E8555,nASIG,DATOS!$I8555,nEVAL,"EX")=0),0))))</f>
      </c>
      <c r="H8555">
        <f>IF(DATOS!$G8555&lt;&gt;"EX",0,--(COUNTIFS(nNIA,DATOS!$A8555,nCURSO,DATOS!$D8555,nESPEC,DATOS!$E8555,nASIG,DATOS!$I8555,nEVAL,"OR")=0))</f>
      </c>
      <c r="I8555">
        <f>IF(DATOS!$I8555="","",IFERROR(VLOOKUP(DATOS!$I8555,CONFIG_ASIGNATURAS!$B$2:$J$91,9,FALSE()),""))</f>
      </c>
    </row>
    <row r="8556">
      <c r="F8556">
        <f>IF(DATOS!$A8556="","",DATOS!$A8556&amp;"|"&amp;DATOS!$D8556&amp;"|"&amp;DATOS!$E8556&amp;"|"&amp;DATOS!$I8556)</f>
      </c>
      <c r="G8556">
        <f>IF(DATOS!$A8556="",0,IF(CONFIG_METADATA!$B$4&lt;&gt;"OR+EX",--(DATOS!$G8556=CONFIG_METADATA!$B$4),IF(DATOS!$G8556="EX",1,IF(DATOS!$G8556="OR",--(COUNTIFS(nNIA,DATOS!$A8556,nCURSO,DATOS!$D8556,nESPEC,DATOS!$E8556,nASIG,DATOS!$I8556,nEVAL,"EX")=0),0))))</f>
      </c>
      <c r="H8556">
        <f>IF(DATOS!$G8556&lt;&gt;"EX",0,--(COUNTIFS(nNIA,DATOS!$A8556,nCURSO,DATOS!$D8556,nESPEC,DATOS!$E8556,nASIG,DATOS!$I8556,nEVAL,"OR")=0))</f>
      </c>
      <c r="I8556">
        <f>IF(DATOS!$I8556="","",IFERROR(VLOOKUP(DATOS!$I8556,CONFIG_ASIGNATURAS!$B$2:$J$91,9,FALSE()),""))</f>
      </c>
    </row>
    <row r="8557">
      <c r="F8557">
        <f>IF(DATOS!$A8557="","",DATOS!$A8557&amp;"|"&amp;DATOS!$D8557&amp;"|"&amp;DATOS!$E8557&amp;"|"&amp;DATOS!$I8557)</f>
      </c>
      <c r="G8557">
        <f>IF(DATOS!$A8557="",0,IF(CONFIG_METADATA!$B$4&lt;&gt;"OR+EX",--(DATOS!$G8557=CONFIG_METADATA!$B$4),IF(DATOS!$G8557="EX",1,IF(DATOS!$G8557="OR",--(COUNTIFS(nNIA,DATOS!$A8557,nCURSO,DATOS!$D8557,nESPEC,DATOS!$E8557,nASIG,DATOS!$I8557,nEVAL,"EX")=0),0))))</f>
      </c>
      <c r="H8557">
        <f>IF(DATOS!$G8557&lt;&gt;"EX",0,--(COUNTIFS(nNIA,DATOS!$A8557,nCURSO,DATOS!$D8557,nESPEC,DATOS!$E8557,nASIG,DATOS!$I8557,nEVAL,"OR")=0))</f>
      </c>
      <c r="I8557">
        <f>IF(DATOS!$I8557="","",IFERROR(VLOOKUP(DATOS!$I8557,CONFIG_ASIGNATURAS!$B$2:$J$91,9,FALSE()),""))</f>
      </c>
    </row>
    <row r="8558">
      <c r="F8558">
        <f>IF(DATOS!$A8558="","",DATOS!$A8558&amp;"|"&amp;DATOS!$D8558&amp;"|"&amp;DATOS!$E8558&amp;"|"&amp;DATOS!$I8558)</f>
      </c>
      <c r="G8558">
        <f>IF(DATOS!$A8558="",0,IF(CONFIG_METADATA!$B$4&lt;&gt;"OR+EX",--(DATOS!$G8558=CONFIG_METADATA!$B$4),IF(DATOS!$G8558="EX",1,IF(DATOS!$G8558="OR",--(COUNTIFS(nNIA,DATOS!$A8558,nCURSO,DATOS!$D8558,nESPEC,DATOS!$E8558,nASIG,DATOS!$I8558,nEVAL,"EX")=0),0))))</f>
      </c>
      <c r="H8558">
        <f>IF(DATOS!$G8558&lt;&gt;"EX",0,--(COUNTIFS(nNIA,DATOS!$A8558,nCURSO,DATOS!$D8558,nESPEC,DATOS!$E8558,nASIG,DATOS!$I8558,nEVAL,"OR")=0))</f>
      </c>
      <c r="I8558">
        <f>IF(DATOS!$I8558="","",IFERROR(VLOOKUP(DATOS!$I8558,CONFIG_ASIGNATURAS!$B$2:$J$91,9,FALSE()),""))</f>
      </c>
    </row>
    <row r="8559">
      <c r="F8559">
        <f>IF(DATOS!$A8559="","",DATOS!$A8559&amp;"|"&amp;DATOS!$D8559&amp;"|"&amp;DATOS!$E8559&amp;"|"&amp;DATOS!$I8559)</f>
      </c>
      <c r="G8559">
        <f>IF(DATOS!$A8559="",0,IF(CONFIG_METADATA!$B$4&lt;&gt;"OR+EX",--(DATOS!$G8559=CONFIG_METADATA!$B$4),IF(DATOS!$G8559="EX",1,IF(DATOS!$G8559="OR",--(COUNTIFS(nNIA,DATOS!$A8559,nCURSO,DATOS!$D8559,nESPEC,DATOS!$E8559,nASIG,DATOS!$I8559,nEVAL,"EX")=0),0))))</f>
      </c>
      <c r="H8559">
        <f>IF(DATOS!$G8559&lt;&gt;"EX",0,--(COUNTIFS(nNIA,DATOS!$A8559,nCURSO,DATOS!$D8559,nESPEC,DATOS!$E8559,nASIG,DATOS!$I8559,nEVAL,"OR")=0))</f>
      </c>
      <c r="I8559">
        <f>IF(DATOS!$I8559="","",IFERROR(VLOOKUP(DATOS!$I8559,CONFIG_ASIGNATURAS!$B$2:$J$91,9,FALSE()),""))</f>
      </c>
    </row>
    <row r="8560">
      <c r="F8560">
        <f>IF(DATOS!$A8560="","",DATOS!$A8560&amp;"|"&amp;DATOS!$D8560&amp;"|"&amp;DATOS!$E8560&amp;"|"&amp;DATOS!$I8560)</f>
      </c>
      <c r="G8560">
        <f>IF(DATOS!$A8560="",0,IF(CONFIG_METADATA!$B$4&lt;&gt;"OR+EX",--(DATOS!$G8560=CONFIG_METADATA!$B$4),IF(DATOS!$G8560="EX",1,IF(DATOS!$G8560="OR",--(COUNTIFS(nNIA,DATOS!$A8560,nCURSO,DATOS!$D8560,nESPEC,DATOS!$E8560,nASIG,DATOS!$I8560,nEVAL,"EX")=0),0))))</f>
      </c>
      <c r="H8560">
        <f>IF(DATOS!$G8560&lt;&gt;"EX",0,--(COUNTIFS(nNIA,DATOS!$A8560,nCURSO,DATOS!$D8560,nESPEC,DATOS!$E8560,nASIG,DATOS!$I8560,nEVAL,"OR")=0))</f>
      </c>
      <c r="I8560">
        <f>IF(DATOS!$I8560="","",IFERROR(VLOOKUP(DATOS!$I8560,CONFIG_ASIGNATURAS!$B$2:$J$91,9,FALSE()),""))</f>
      </c>
    </row>
    <row r="8561">
      <c r="F8561">
        <f>IF(DATOS!$A8561="","",DATOS!$A8561&amp;"|"&amp;DATOS!$D8561&amp;"|"&amp;DATOS!$E8561&amp;"|"&amp;DATOS!$I8561)</f>
      </c>
      <c r="G8561">
        <f>IF(DATOS!$A8561="",0,IF(CONFIG_METADATA!$B$4&lt;&gt;"OR+EX",--(DATOS!$G8561=CONFIG_METADATA!$B$4),IF(DATOS!$G8561="EX",1,IF(DATOS!$G8561="OR",--(COUNTIFS(nNIA,DATOS!$A8561,nCURSO,DATOS!$D8561,nESPEC,DATOS!$E8561,nASIG,DATOS!$I8561,nEVAL,"EX")=0),0))))</f>
      </c>
      <c r="H8561">
        <f>IF(DATOS!$G8561&lt;&gt;"EX",0,--(COUNTIFS(nNIA,DATOS!$A8561,nCURSO,DATOS!$D8561,nESPEC,DATOS!$E8561,nASIG,DATOS!$I8561,nEVAL,"OR")=0))</f>
      </c>
      <c r="I8561">
        <f>IF(DATOS!$I8561="","",IFERROR(VLOOKUP(DATOS!$I8561,CONFIG_ASIGNATURAS!$B$2:$J$91,9,FALSE()),""))</f>
      </c>
    </row>
    <row r="8562">
      <c r="F8562">
        <f>IF(DATOS!$A8562="","",DATOS!$A8562&amp;"|"&amp;DATOS!$D8562&amp;"|"&amp;DATOS!$E8562&amp;"|"&amp;DATOS!$I8562)</f>
      </c>
      <c r="G8562">
        <f>IF(DATOS!$A8562="",0,IF(CONFIG_METADATA!$B$4&lt;&gt;"OR+EX",--(DATOS!$G8562=CONFIG_METADATA!$B$4),IF(DATOS!$G8562="EX",1,IF(DATOS!$G8562="OR",--(COUNTIFS(nNIA,DATOS!$A8562,nCURSO,DATOS!$D8562,nESPEC,DATOS!$E8562,nASIG,DATOS!$I8562,nEVAL,"EX")=0),0))))</f>
      </c>
      <c r="H8562">
        <f>IF(DATOS!$G8562&lt;&gt;"EX",0,--(COUNTIFS(nNIA,DATOS!$A8562,nCURSO,DATOS!$D8562,nESPEC,DATOS!$E8562,nASIG,DATOS!$I8562,nEVAL,"OR")=0))</f>
      </c>
      <c r="I8562">
        <f>IF(DATOS!$I8562="","",IFERROR(VLOOKUP(DATOS!$I8562,CONFIG_ASIGNATURAS!$B$2:$J$91,9,FALSE()),""))</f>
      </c>
    </row>
    <row r="8563">
      <c r="F8563">
        <f>IF(DATOS!$A8563="","",DATOS!$A8563&amp;"|"&amp;DATOS!$D8563&amp;"|"&amp;DATOS!$E8563&amp;"|"&amp;DATOS!$I8563)</f>
      </c>
      <c r="G8563">
        <f>IF(DATOS!$A8563="",0,IF(CONFIG_METADATA!$B$4&lt;&gt;"OR+EX",--(DATOS!$G8563=CONFIG_METADATA!$B$4),IF(DATOS!$G8563="EX",1,IF(DATOS!$G8563="OR",--(COUNTIFS(nNIA,DATOS!$A8563,nCURSO,DATOS!$D8563,nESPEC,DATOS!$E8563,nASIG,DATOS!$I8563,nEVAL,"EX")=0),0))))</f>
      </c>
      <c r="H8563">
        <f>IF(DATOS!$G8563&lt;&gt;"EX",0,--(COUNTIFS(nNIA,DATOS!$A8563,nCURSO,DATOS!$D8563,nESPEC,DATOS!$E8563,nASIG,DATOS!$I8563,nEVAL,"OR")=0))</f>
      </c>
      <c r="I8563">
        <f>IF(DATOS!$I8563="","",IFERROR(VLOOKUP(DATOS!$I8563,CONFIG_ASIGNATURAS!$B$2:$J$91,9,FALSE()),""))</f>
      </c>
    </row>
    <row r="8564">
      <c r="F8564">
        <f>IF(DATOS!$A8564="","",DATOS!$A8564&amp;"|"&amp;DATOS!$D8564&amp;"|"&amp;DATOS!$E8564&amp;"|"&amp;DATOS!$I8564)</f>
      </c>
      <c r="G8564">
        <f>IF(DATOS!$A8564="",0,IF(CONFIG_METADATA!$B$4&lt;&gt;"OR+EX",--(DATOS!$G8564=CONFIG_METADATA!$B$4),IF(DATOS!$G8564="EX",1,IF(DATOS!$G8564="OR",--(COUNTIFS(nNIA,DATOS!$A8564,nCURSO,DATOS!$D8564,nESPEC,DATOS!$E8564,nASIG,DATOS!$I8564,nEVAL,"EX")=0),0))))</f>
      </c>
      <c r="H8564">
        <f>IF(DATOS!$G8564&lt;&gt;"EX",0,--(COUNTIFS(nNIA,DATOS!$A8564,nCURSO,DATOS!$D8564,nESPEC,DATOS!$E8564,nASIG,DATOS!$I8564,nEVAL,"OR")=0))</f>
      </c>
      <c r="I8564">
        <f>IF(DATOS!$I8564="","",IFERROR(VLOOKUP(DATOS!$I8564,CONFIG_ASIGNATURAS!$B$2:$J$91,9,FALSE()),""))</f>
      </c>
    </row>
    <row r="8565">
      <c r="F8565">
        <f>IF(DATOS!$A8565="","",DATOS!$A8565&amp;"|"&amp;DATOS!$D8565&amp;"|"&amp;DATOS!$E8565&amp;"|"&amp;DATOS!$I8565)</f>
      </c>
      <c r="G8565">
        <f>IF(DATOS!$A8565="",0,IF(CONFIG_METADATA!$B$4&lt;&gt;"OR+EX",--(DATOS!$G8565=CONFIG_METADATA!$B$4),IF(DATOS!$G8565="EX",1,IF(DATOS!$G8565="OR",--(COUNTIFS(nNIA,DATOS!$A8565,nCURSO,DATOS!$D8565,nESPEC,DATOS!$E8565,nASIG,DATOS!$I8565,nEVAL,"EX")=0),0))))</f>
      </c>
      <c r="H8565">
        <f>IF(DATOS!$G8565&lt;&gt;"EX",0,--(COUNTIFS(nNIA,DATOS!$A8565,nCURSO,DATOS!$D8565,nESPEC,DATOS!$E8565,nASIG,DATOS!$I8565,nEVAL,"OR")=0))</f>
      </c>
      <c r="I8565">
        <f>IF(DATOS!$I8565="","",IFERROR(VLOOKUP(DATOS!$I8565,CONFIG_ASIGNATURAS!$B$2:$J$91,9,FALSE()),""))</f>
      </c>
    </row>
    <row r="8566">
      <c r="F8566">
        <f>IF(DATOS!$A8566="","",DATOS!$A8566&amp;"|"&amp;DATOS!$D8566&amp;"|"&amp;DATOS!$E8566&amp;"|"&amp;DATOS!$I8566)</f>
      </c>
      <c r="G8566">
        <f>IF(DATOS!$A8566="",0,IF(CONFIG_METADATA!$B$4&lt;&gt;"OR+EX",--(DATOS!$G8566=CONFIG_METADATA!$B$4),IF(DATOS!$G8566="EX",1,IF(DATOS!$G8566="OR",--(COUNTIFS(nNIA,DATOS!$A8566,nCURSO,DATOS!$D8566,nESPEC,DATOS!$E8566,nASIG,DATOS!$I8566,nEVAL,"EX")=0),0))))</f>
      </c>
      <c r="H8566">
        <f>IF(DATOS!$G8566&lt;&gt;"EX",0,--(COUNTIFS(nNIA,DATOS!$A8566,nCURSO,DATOS!$D8566,nESPEC,DATOS!$E8566,nASIG,DATOS!$I8566,nEVAL,"OR")=0))</f>
      </c>
      <c r="I8566">
        <f>IF(DATOS!$I8566="","",IFERROR(VLOOKUP(DATOS!$I8566,CONFIG_ASIGNATURAS!$B$2:$J$91,9,FALSE()),""))</f>
      </c>
    </row>
    <row r="8567">
      <c r="F8567">
        <f>IF(DATOS!$A8567="","",DATOS!$A8567&amp;"|"&amp;DATOS!$D8567&amp;"|"&amp;DATOS!$E8567&amp;"|"&amp;DATOS!$I8567)</f>
      </c>
      <c r="G8567">
        <f>IF(DATOS!$A8567="",0,IF(CONFIG_METADATA!$B$4&lt;&gt;"OR+EX",--(DATOS!$G8567=CONFIG_METADATA!$B$4),IF(DATOS!$G8567="EX",1,IF(DATOS!$G8567="OR",--(COUNTIFS(nNIA,DATOS!$A8567,nCURSO,DATOS!$D8567,nESPEC,DATOS!$E8567,nASIG,DATOS!$I8567,nEVAL,"EX")=0),0))))</f>
      </c>
      <c r="H8567">
        <f>IF(DATOS!$G8567&lt;&gt;"EX",0,--(COUNTIFS(nNIA,DATOS!$A8567,nCURSO,DATOS!$D8567,nESPEC,DATOS!$E8567,nASIG,DATOS!$I8567,nEVAL,"OR")=0))</f>
      </c>
      <c r="I8567">
        <f>IF(DATOS!$I8567="","",IFERROR(VLOOKUP(DATOS!$I8567,CONFIG_ASIGNATURAS!$B$2:$J$91,9,FALSE()),""))</f>
      </c>
    </row>
    <row r="8568">
      <c r="F8568">
        <f>IF(DATOS!$A8568="","",DATOS!$A8568&amp;"|"&amp;DATOS!$D8568&amp;"|"&amp;DATOS!$E8568&amp;"|"&amp;DATOS!$I8568)</f>
      </c>
      <c r="G8568">
        <f>IF(DATOS!$A8568="",0,IF(CONFIG_METADATA!$B$4&lt;&gt;"OR+EX",--(DATOS!$G8568=CONFIG_METADATA!$B$4),IF(DATOS!$G8568="EX",1,IF(DATOS!$G8568="OR",--(COUNTIFS(nNIA,DATOS!$A8568,nCURSO,DATOS!$D8568,nESPEC,DATOS!$E8568,nASIG,DATOS!$I8568,nEVAL,"EX")=0),0))))</f>
      </c>
      <c r="H8568">
        <f>IF(DATOS!$G8568&lt;&gt;"EX",0,--(COUNTIFS(nNIA,DATOS!$A8568,nCURSO,DATOS!$D8568,nESPEC,DATOS!$E8568,nASIG,DATOS!$I8568,nEVAL,"OR")=0))</f>
      </c>
      <c r="I8568">
        <f>IF(DATOS!$I8568="","",IFERROR(VLOOKUP(DATOS!$I8568,CONFIG_ASIGNATURAS!$B$2:$J$91,9,FALSE()),""))</f>
      </c>
    </row>
    <row r="8569">
      <c r="F8569">
        <f>IF(DATOS!$A8569="","",DATOS!$A8569&amp;"|"&amp;DATOS!$D8569&amp;"|"&amp;DATOS!$E8569&amp;"|"&amp;DATOS!$I8569)</f>
      </c>
      <c r="G8569">
        <f>IF(DATOS!$A8569="",0,IF(CONFIG_METADATA!$B$4&lt;&gt;"OR+EX",--(DATOS!$G8569=CONFIG_METADATA!$B$4),IF(DATOS!$G8569="EX",1,IF(DATOS!$G8569="OR",--(COUNTIFS(nNIA,DATOS!$A8569,nCURSO,DATOS!$D8569,nESPEC,DATOS!$E8569,nASIG,DATOS!$I8569,nEVAL,"EX")=0),0))))</f>
      </c>
      <c r="H8569">
        <f>IF(DATOS!$G8569&lt;&gt;"EX",0,--(COUNTIFS(nNIA,DATOS!$A8569,nCURSO,DATOS!$D8569,nESPEC,DATOS!$E8569,nASIG,DATOS!$I8569,nEVAL,"OR")=0))</f>
      </c>
      <c r="I8569">
        <f>IF(DATOS!$I8569="","",IFERROR(VLOOKUP(DATOS!$I8569,CONFIG_ASIGNATURAS!$B$2:$J$91,9,FALSE()),""))</f>
      </c>
    </row>
    <row r="8570">
      <c r="F8570">
        <f>IF(DATOS!$A8570="","",DATOS!$A8570&amp;"|"&amp;DATOS!$D8570&amp;"|"&amp;DATOS!$E8570&amp;"|"&amp;DATOS!$I8570)</f>
      </c>
      <c r="G8570">
        <f>IF(DATOS!$A8570="",0,IF(CONFIG_METADATA!$B$4&lt;&gt;"OR+EX",--(DATOS!$G8570=CONFIG_METADATA!$B$4),IF(DATOS!$G8570="EX",1,IF(DATOS!$G8570="OR",--(COUNTIFS(nNIA,DATOS!$A8570,nCURSO,DATOS!$D8570,nESPEC,DATOS!$E8570,nASIG,DATOS!$I8570,nEVAL,"EX")=0),0))))</f>
      </c>
      <c r="H8570">
        <f>IF(DATOS!$G8570&lt;&gt;"EX",0,--(COUNTIFS(nNIA,DATOS!$A8570,nCURSO,DATOS!$D8570,nESPEC,DATOS!$E8570,nASIG,DATOS!$I8570,nEVAL,"OR")=0))</f>
      </c>
      <c r="I8570">
        <f>IF(DATOS!$I8570="","",IFERROR(VLOOKUP(DATOS!$I8570,CONFIG_ASIGNATURAS!$B$2:$J$91,9,FALSE()),""))</f>
      </c>
    </row>
    <row r="8571">
      <c r="F8571">
        <f>IF(DATOS!$A8571="","",DATOS!$A8571&amp;"|"&amp;DATOS!$D8571&amp;"|"&amp;DATOS!$E8571&amp;"|"&amp;DATOS!$I8571)</f>
      </c>
      <c r="G8571">
        <f>IF(DATOS!$A8571="",0,IF(CONFIG_METADATA!$B$4&lt;&gt;"OR+EX",--(DATOS!$G8571=CONFIG_METADATA!$B$4),IF(DATOS!$G8571="EX",1,IF(DATOS!$G8571="OR",--(COUNTIFS(nNIA,DATOS!$A8571,nCURSO,DATOS!$D8571,nESPEC,DATOS!$E8571,nASIG,DATOS!$I8571,nEVAL,"EX")=0),0))))</f>
      </c>
      <c r="H8571">
        <f>IF(DATOS!$G8571&lt;&gt;"EX",0,--(COUNTIFS(nNIA,DATOS!$A8571,nCURSO,DATOS!$D8571,nESPEC,DATOS!$E8571,nASIG,DATOS!$I8571,nEVAL,"OR")=0))</f>
      </c>
      <c r="I8571">
        <f>IF(DATOS!$I8571="","",IFERROR(VLOOKUP(DATOS!$I8571,CONFIG_ASIGNATURAS!$B$2:$J$91,9,FALSE()),""))</f>
      </c>
    </row>
    <row r="8572">
      <c r="F8572">
        <f>IF(DATOS!$A8572="","",DATOS!$A8572&amp;"|"&amp;DATOS!$D8572&amp;"|"&amp;DATOS!$E8572&amp;"|"&amp;DATOS!$I8572)</f>
      </c>
      <c r="G8572">
        <f>IF(DATOS!$A8572="",0,IF(CONFIG_METADATA!$B$4&lt;&gt;"OR+EX",--(DATOS!$G8572=CONFIG_METADATA!$B$4),IF(DATOS!$G8572="EX",1,IF(DATOS!$G8572="OR",--(COUNTIFS(nNIA,DATOS!$A8572,nCURSO,DATOS!$D8572,nESPEC,DATOS!$E8572,nASIG,DATOS!$I8572,nEVAL,"EX")=0),0))))</f>
      </c>
      <c r="H8572">
        <f>IF(DATOS!$G8572&lt;&gt;"EX",0,--(COUNTIFS(nNIA,DATOS!$A8572,nCURSO,DATOS!$D8572,nESPEC,DATOS!$E8572,nASIG,DATOS!$I8572,nEVAL,"OR")=0))</f>
      </c>
      <c r="I8572">
        <f>IF(DATOS!$I8572="","",IFERROR(VLOOKUP(DATOS!$I8572,CONFIG_ASIGNATURAS!$B$2:$J$91,9,FALSE()),""))</f>
      </c>
    </row>
    <row r="8573">
      <c r="F8573">
        <f>IF(DATOS!$A8573="","",DATOS!$A8573&amp;"|"&amp;DATOS!$D8573&amp;"|"&amp;DATOS!$E8573&amp;"|"&amp;DATOS!$I8573)</f>
      </c>
      <c r="G8573">
        <f>IF(DATOS!$A8573="",0,IF(CONFIG_METADATA!$B$4&lt;&gt;"OR+EX",--(DATOS!$G8573=CONFIG_METADATA!$B$4),IF(DATOS!$G8573="EX",1,IF(DATOS!$G8573="OR",--(COUNTIFS(nNIA,DATOS!$A8573,nCURSO,DATOS!$D8573,nESPEC,DATOS!$E8573,nASIG,DATOS!$I8573,nEVAL,"EX")=0),0))))</f>
      </c>
      <c r="H8573">
        <f>IF(DATOS!$G8573&lt;&gt;"EX",0,--(COUNTIFS(nNIA,DATOS!$A8573,nCURSO,DATOS!$D8573,nESPEC,DATOS!$E8573,nASIG,DATOS!$I8573,nEVAL,"OR")=0))</f>
      </c>
      <c r="I8573">
        <f>IF(DATOS!$I8573="","",IFERROR(VLOOKUP(DATOS!$I8573,CONFIG_ASIGNATURAS!$B$2:$J$91,9,FALSE()),""))</f>
      </c>
    </row>
    <row r="8574">
      <c r="F8574">
        <f>IF(DATOS!$A8574="","",DATOS!$A8574&amp;"|"&amp;DATOS!$D8574&amp;"|"&amp;DATOS!$E8574&amp;"|"&amp;DATOS!$I8574)</f>
      </c>
      <c r="G8574">
        <f>IF(DATOS!$A8574="",0,IF(CONFIG_METADATA!$B$4&lt;&gt;"OR+EX",--(DATOS!$G8574=CONFIG_METADATA!$B$4),IF(DATOS!$G8574="EX",1,IF(DATOS!$G8574="OR",--(COUNTIFS(nNIA,DATOS!$A8574,nCURSO,DATOS!$D8574,nESPEC,DATOS!$E8574,nASIG,DATOS!$I8574,nEVAL,"EX")=0),0))))</f>
      </c>
      <c r="H8574">
        <f>IF(DATOS!$G8574&lt;&gt;"EX",0,--(COUNTIFS(nNIA,DATOS!$A8574,nCURSO,DATOS!$D8574,nESPEC,DATOS!$E8574,nASIG,DATOS!$I8574,nEVAL,"OR")=0))</f>
      </c>
      <c r="I8574">
        <f>IF(DATOS!$I8574="","",IFERROR(VLOOKUP(DATOS!$I8574,CONFIG_ASIGNATURAS!$B$2:$J$91,9,FALSE()),""))</f>
      </c>
    </row>
    <row r="8575">
      <c r="F8575">
        <f>IF(DATOS!$A8575="","",DATOS!$A8575&amp;"|"&amp;DATOS!$D8575&amp;"|"&amp;DATOS!$E8575&amp;"|"&amp;DATOS!$I8575)</f>
      </c>
      <c r="G8575">
        <f>IF(DATOS!$A8575="",0,IF(CONFIG_METADATA!$B$4&lt;&gt;"OR+EX",--(DATOS!$G8575=CONFIG_METADATA!$B$4),IF(DATOS!$G8575="EX",1,IF(DATOS!$G8575="OR",--(COUNTIFS(nNIA,DATOS!$A8575,nCURSO,DATOS!$D8575,nESPEC,DATOS!$E8575,nASIG,DATOS!$I8575,nEVAL,"EX")=0),0))))</f>
      </c>
      <c r="H8575">
        <f>IF(DATOS!$G8575&lt;&gt;"EX",0,--(COUNTIFS(nNIA,DATOS!$A8575,nCURSO,DATOS!$D8575,nESPEC,DATOS!$E8575,nASIG,DATOS!$I8575,nEVAL,"OR")=0))</f>
      </c>
      <c r="I8575">
        <f>IF(DATOS!$I8575="","",IFERROR(VLOOKUP(DATOS!$I8575,CONFIG_ASIGNATURAS!$B$2:$J$91,9,FALSE()),""))</f>
      </c>
    </row>
    <row r="8576">
      <c r="F8576">
        <f>IF(DATOS!$A8576="","",DATOS!$A8576&amp;"|"&amp;DATOS!$D8576&amp;"|"&amp;DATOS!$E8576&amp;"|"&amp;DATOS!$I8576)</f>
      </c>
      <c r="G8576">
        <f>IF(DATOS!$A8576="",0,IF(CONFIG_METADATA!$B$4&lt;&gt;"OR+EX",--(DATOS!$G8576=CONFIG_METADATA!$B$4),IF(DATOS!$G8576="EX",1,IF(DATOS!$G8576="OR",--(COUNTIFS(nNIA,DATOS!$A8576,nCURSO,DATOS!$D8576,nESPEC,DATOS!$E8576,nASIG,DATOS!$I8576,nEVAL,"EX")=0),0))))</f>
      </c>
      <c r="H8576">
        <f>IF(DATOS!$G8576&lt;&gt;"EX",0,--(COUNTIFS(nNIA,DATOS!$A8576,nCURSO,DATOS!$D8576,nESPEC,DATOS!$E8576,nASIG,DATOS!$I8576,nEVAL,"OR")=0))</f>
      </c>
      <c r="I8576">
        <f>IF(DATOS!$I8576="","",IFERROR(VLOOKUP(DATOS!$I8576,CONFIG_ASIGNATURAS!$B$2:$J$91,9,FALSE()),""))</f>
      </c>
    </row>
    <row r="8577">
      <c r="F8577">
        <f>IF(DATOS!$A8577="","",DATOS!$A8577&amp;"|"&amp;DATOS!$D8577&amp;"|"&amp;DATOS!$E8577&amp;"|"&amp;DATOS!$I8577)</f>
      </c>
      <c r="G8577">
        <f>IF(DATOS!$A8577="",0,IF(CONFIG_METADATA!$B$4&lt;&gt;"OR+EX",--(DATOS!$G8577=CONFIG_METADATA!$B$4),IF(DATOS!$G8577="EX",1,IF(DATOS!$G8577="OR",--(COUNTIFS(nNIA,DATOS!$A8577,nCURSO,DATOS!$D8577,nESPEC,DATOS!$E8577,nASIG,DATOS!$I8577,nEVAL,"EX")=0),0))))</f>
      </c>
      <c r="H8577">
        <f>IF(DATOS!$G8577&lt;&gt;"EX",0,--(COUNTIFS(nNIA,DATOS!$A8577,nCURSO,DATOS!$D8577,nESPEC,DATOS!$E8577,nASIG,DATOS!$I8577,nEVAL,"OR")=0))</f>
      </c>
      <c r="I8577">
        <f>IF(DATOS!$I8577="","",IFERROR(VLOOKUP(DATOS!$I8577,CONFIG_ASIGNATURAS!$B$2:$J$91,9,FALSE()),""))</f>
      </c>
    </row>
    <row r="8578">
      <c r="F8578">
        <f>IF(DATOS!$A8578="","",DATOS!$A8578&amp;"|"&amp;DATOS!$D8578&amp;"|"&amp;DATOS!$E8578&amp;"|"&amp;DATOS!$I8578)</f>
      </c>
      <c r="G8578">
        <f>IF(DATOS!$A8578="",0,IF(CONFIG_METADATA!$B$4&lt;&gt;"OR+EX",--(DATOS!$G8578=CONFIG_METADATA!$B$4),IF(DATOS!$G8578="EX",1,IF(DATOS!$G8578="OR",--(COUNTIFS(nNIA,DATOS!$A8578,nCURSO,DATOS!$D8578,nESPEC,DATOS!$E8578,nASIG,DATOS!$I8578,nEVAL,"EX")=0),0))))</f>
      </c>
      <c r="H8578">
        <f>IF(DATOS!$G8578&lt;&gt;"EX",0,--(COUNTIFS(nNIA,DATOS!$A8578,nCURSO,DATOS!$D8578,nESPEC,DATOS!$E8578,nASIG,DATOS!$I8578,nEVAL,"OR")=0))</f>
      </c>
      <c r="I8578">
        <f>IF(DATOS!$I8578="","",IFERROR(VLOOKUP(DATOS!$I8578,CONFIG_ASIGNATURAS!$B$2:$J$91,9,FALSE()),""))</f>
      </c>
    </row>
    <row r="8579">
      <c r="F8579">
        <f>IF(DATOS!$A8579="","",DATOS!$A8579&amp;"|"&amp;DATOS!$D8579&amp;"|"&amp;DATOS!$E8579&amp;"|"&amp;DATOS!$I8579)</f>
      </c>
      <c r="G8579">
        <f>IF(DATOS!$A8579="",0,IF(CONFIG_METADATA!$B$4&lt;&gt;"OR+EX",--(DATOS!$G8579=CONFIG_METADATA!$B$4),IF(DATOS!$G8579="EX",1,IF(DATOS!$G8579="OR",--(COUNTIFS(nNIA,DATOS!$A8579,nCURSO,DATOS!$D8579,nESPEC,DATOS!$E8579,nASIG,DATOS!$I8579,nEVAL,"EX")=0),0))))</f>
      </c>
      <c r="H8579">
        <f>IF(DATOS!$G8579&lt;&gt;"EX",0,--(COUNTIFS(nNIA,DATOS!$A8579,nCURSO,DATOS!$D8579,nESPEC,DATOS!$E8579,nASIG,DATOS!$I8579,nEVAL,"OR")=0))</f>
      </c>
      <c r="I8579">
        <f>IF(DATOS!$I8579="","",IFERROR(VLOOKUP(DATOS!$I8579,CONFIG_ASIGNATURAS!$B$2:$J$91,9,FALSE()),""))</f>
      </c>
    </row>
    <row r="8580">
      <c r="F8580">
        <f>IF(DATOS!$A8580="","",DATOS!$A8580&amp;"|"&amp;DATOS!$D8580&amp;"|"&amp;DATOS!$E8580&amp;"|"&amp;DATOS!$I8580)</f>
      </c>
      <c r="G8580">
        <f>IF(DATOS!$A8580="",0,IF(CONFIG_METADATA!$B$4&lt;&gt;"OR+EX",--(DATOS!$G8580=CONFIG_METADATA!$B$4),IF(DATOS!$G8580="EX",1,IF(DATOS!$G8580="OR",--(COUNTIFS(nNIA,DATOS!$A8580,nCURSO,DATOS!$D8580,nESPEC,DATOS!$E8580,nASIG,DATOS!$I8580,nEVAL,"EX")=0),0))))</f>
      </c>
      <c r="H8580">
        <f>IF(DATOS!$G8580&lt;&gt;"EX",0,--(COUNTIFS(nNIA,DATOS!$A8580,nCURSO,DATOS!$D8580,nESPEC,DATOS!$E8580,nASIG,DATOS!$I8580,nEVAL,"OR")=0))</f>
      </c>
      <c r="I8580">
        <f>IF(DATOS!$I8580="","",IFERROR(VLOOKUP(DATOS!$I8580,CONFIG_ASIGNATURAS!$B$2:$J$91,9,FALSE()),""))</f>
      </c>
    </row>
    <row r="8581">
      <c r="F8581">
        <f>IF(DATOS!$A8581="","",DATOS!$A8581&amp;"|"&amp;DATOS!$D8581&amp;"|"&amp;DATOS!$E8581&amp;"|"&amp;DATOS!$I8581)</f>
      </c>
      <c r="G8581">
        <f>IF(DATOS!$A8581="",0,IF(CONFIG_METADATA!$B$4&lt;&gt;"OR+EX",--(DATOS!$G8581=CONFIG_METADATA!$B$4),IF(DATOS!$G8581="EX",1,IF(DATOS!$G8581="OR",--(COUNTIFS(nNIA,DATOS!$A8581,nCURSO,DATOS!$D8581,nESPEC,DATOS!$E8581,nASIG,DATOS!$I8581,nEVAL,"EX")=0),0))))</f>
      </c>
      <c r="H8581">
        <f>IF(DATOS!$G8581&lt;&gt;"EX",0,--(COUNTIFS(nNIA,DATOS!$A8581,nCURSO,DATOS!$D8581,nESPEC,DATOS!$E8581,nASIG,DATOS!$I8581,nEVAL,"OR")=0))</f>
      </c>
      <c r="I8581">
        <f>IF(DATOS!$I8581="","",IFERROR(VLOOKUP(DATOS!$I8581,CONFIG_ASIGNATURAS!$B$2:$J$91,9,FALSE()),""))</f>
      </c>
    </row>
    <row r="8582">
      <c r="F8582">
        <f>IF(DATOS!$A8582="","",DATOS!$A8582&amp;"|"&amp;DATOS!$D8582&amp;"|"&amp;DATOS!$E8582&amp;"|"&amp;DATOS!$I8582)</f>
      </c>
      <c r="G8582">
        <f>IF(DATOS!$A8582="",0,IF(CONFIG_METADATA!$B$4&lt;&gt;"OR+EX",--(DATOS!$G8582=CONFIG_METADATA!$B$4),IF(DATOS!$G8582="EX",1,IF(DATOS!$G8582="OR",--(COUNTIFS(nNIA,DATOS!$A8582,nCURSO,DATOS!$D8582,nESPEC,DATOS!$E8582,nASIG,DATOS!$I8582,nEVAL,"EX")=0),0))))</f>
      </c>
      <c r="H8582">
        <f>IF(DATOS!$G8582&lt;&gt;"EX",0,--(COUNTIFS(nNIA,DATOS!$A8582,nCURSO,DATOS!$D8582,nESPEC,DATOS!$E8582,nASIG,DATOS!$I8582,nEVAL,"OR")=0))</f>
      </c>
      <c r="I8582">
        <f>IF(DATOS!$I8582="","",IFERROR(VLOOKUP(DATOS!$I8582,CONFIG_ASIGNATURAS!$B$2:$J$91,9,FALSE()),""))</f>
      </c>
    </row>
    <row r="8583">
      <c r="F8583">
        <f>IF(DATOS!$A8583="","",DATOS!$A8583&amp;"|"&amp;DATOS!$D8583&amp;"|"&amp;DATOS!$E8583&amp;"|"&amp;DATOS!$I8583)</f>
      </c>
      <c r="G8583">
        <f>IF(DATOS!$A8583="",0,IF(CONFIG_METADATA!$B$4&lt;&gt;"OR+EX",--(DATOS!$G8583=CONFIG_METADATA!$B$4),IF(DATOS!$G8583="EX",1,IF(DATOS!$G8583="OR",--(COUNTIFS(nNIA,DATOS!$A8583,nCURSO,DATOS!$D8583,nESPEC,DATOS!$E8583,nASIG,DATOS!$I8583,nEVAL,"EX")=0),0))))</f>
      </c>
      <c r="H8583">
        <f>IF(DATOS!$G8583&lt;&gt;"EX",0,--(COUNTIFS(nNIA,DATOS!$A8583,nCURSO,DATOS!$D8583,nESPEC,DATOS!$E8583,nASIG,DATOS!$I8583,nEVAL,"OR")=0))</f>
      </c>
      <c r="I8583">
        <f>IF(DATOS!$I8583="","",IFERROR(VLOOKUP(DATOS!$I8583,CONFIG_ASIGNATURAS!$B$2:$J$91,9,FALSE()),""))</f>
      </c>
    </row>
    <row r="8584">
      <c r="F8584">
        <f>IF(DATOS!$A8584="","",DATOS!$A8584&amp;"|"&amp;DATOS!$D8584&amp;"|"&amp;DATOS!$E8584&amp;"|"&amp;DATOS!$I8584)</f>
      </c>
      <c r="G8584">
        <f>IF(DATOS!$A8584="",0,IF(CONFIG_METADATA!$B$4&lt;&gt;"OR+EX",--(DATOS!$G8584=CONFIG_METADATA!$B$4),IF(DATOS!$G8584="EX",1,IF(DATOS!$G8584="OR",--(COUNTIFS(nNIA,DATOS!$A8584,nCURSO,DATOS!$D8584,nESPEC,DATOS!$E8584,nASIG,DATOS!$I8584,nEVAL,"EX")=0),0))))</f>
      </c>
      <c r="H8584">
        <f>IF(DATOS!$G8584&lt;&gt;"EX",0,--(COUNTIFS(nNIA,DATOS!$A8584,nCURSO,DATOS!$D8584,nESPEC,DATOS!$E8584,nASIG,DATOS!$I8584,nEVAL,"OR")=0))</f>
      </c>
      <c r="I8584">
        <f>IF(DATOS!$I8584="","",IFERROR(VLOOKUP(DATOS!$I8584,CONFIG_ASIGNATURAS!$B$2:$J$91,9,FALSE()),""))</f>
      </c>
    </row>
    <row r="8585">
      <c r="F8585">
        <f>IF(DATOS!$A8585="","",DATOS!$A8585&amp;"|"&amp;DATOS!$D8585&amp;"|"&amp;DATOS!$E8585&amp;"|"&amp;DATOS!$I8585)</f>
      </c>
      <c r="G8585">
        <f>IF(DATOS!$A8585="",0,IF(CONFIG_METADATA!$B$4&lt;&gt;"OR+EX",--(DATOS!$G8585=CONFIG_METADATA!$B$4),IF(DATOS!$G8585="EX",1,IF(DATOS!$G8585="OR",--(COUNTIFS(nNIA,DATOS!$A8585,nCURSO,DATOS!$D8585,nESPEC,DATOS!$E8585,nASIG,DATOS!$I8585,nEVAL,"EX")=0),0))))</f>
      </c>
      <c r="H8585">
        <f>IF(DATOS!$G8585&lt;&gt;"EX",0,--(COUNTIFS(nNIA,DATOS!$A8585,nCURSO,DATOS!$D8585,nESPEC,DATOS!$E8585,nASIG,DATOS!$I8585,nEVAL,"OR")=0))</f>
      </c>
      <c r="I8585">
        <f>IF(DATOS!$I8585="","",IFERROR(VLOOKUP(DATOS!$I8585,CONFIG_ASIGNATURAS!$B$2:$J$91,9,FALSE()),""))</f>
      </c>
    </row>
    <row r="8586">
      <c r="F8586">
        <f>IF(DATOS!$A8586="","",DATOS!$A8586&amp;"|"&amp;DATOS!$D8586&amp;"|"&amp;DATOS!$E8586&amp;"|"&amp;DATOS!$I8586)</f>
      </c>
      <c r="G8586">
        <f>IF(DATOS!$A8586="",0,IF(CONFIG_METADATA!$B$4&lt;&gt;"OR+EX",--(DATOS!$G8586=CONFIG_METADATA!$B$4),IF(DATOS!$G8586="EX",1,IF(DATOS!$G8586="OR",--(COUNTIFS(nNIA,DATOS!$A8586,nCURSO,DATOS!$D8586,nESPEC,DATOS!$E8586,nASIG,DATOS!$I8586,nEVAL,"EX")=0),0))))</f>
      </c>
      <c r="H8586">
        <f>IF(DATOS!$G8586&lt;&gt;"EX",0,--(COUNTIFS(nNIA,DATOS!$A8586,nCURSO,DATOS!$D8586,nESPEC,DATOS!$E8586,nASIG,DATOS!$I8586,nEVAL,"OR")=0))</f>
      </c>
      <c r="I8586">
        <f>IF(DATOS!$I8586="","",IFERROR(VLOOKUP(DATOS!$I8586,CONFIG_ASIGNATURAS!$B$2:$J$91,9,FALSE()),""))</f>
      </c>
    </row>
    <row r="8587">
      <c r="F8587">
        <f>IF(DATOS!$A8587="","",DATOS!$A8587&amp;"|"&amp;DATOS!$D8587&amp;"|"&amp;DATOS!$E8587&amp;"|"&amp;DATOS!$I8587)</f>
      </c>
      <c r="G8587">
        <f>IF(DATOS!$A8587="",0,IF(CONFIG_METADATA!$B$4&lt;&gt;"OR+EX",--(DATOS!$G8587=CONFIG_METADATA!$B$4),IF(DATOS!$G8587="EX",1,IF(DATOS!$G8587="OR",--(COUNTIFS(nNIA,DATOS!$A8587,nCURSO,DATOS!$D8587,nESPEC,DATOS!$E8587,nASIG,DATOS!$I8587,nEVAL,"EX")=0),0))))</f>
      </c>
      <c r="H8587">
        <f>IF(DATOS!$G8587&lt;&gt;"EX",0,--(COUNTIFS(nNIA,DATOS!$A8587,nCURSO,DATOS!$D8587,nESPEC,DATOS!$E8587,nASIG,DATOS!$I8587,nEVAL,"OR")=0))</f>
      </c>
      <c r="I8587">
        <f>IF(DATOS!$I8587="","",IFERROR(VLOOKUP(DATOS!$I8587,CONFIG_ASIGNATURAS!$B$2:$J$91,9,FALSE()),""))</f>
      </c>
    </row>
    <row r="8588">
      <c r="F8588">
        <f>IF(DATOS!$A8588="","",DATOS!$A8588&amp;"|"&amp;DATOS!$D8588&amp;"|"&amp;DATOS!$E8588&amp;"|"&amp;DATOS!$I8588)</f>
      </c>
      <c r="G8588">
        <f>IF(DATOS!$A8588="",0,IF(CONFIG_METADATA!$B$4&lt;&gt;"OR+EX",--(DATOS!$G8588=CONFIG_METADATA!$B$4),IF(DATOS!$G8588="EX",1,IF(DATOS!$G8588="OR",--(COUNTIFS(nNIA,DATOS!$A8588,nCURSO,DATOS!$D8588,nESPEC,DATOS!$E8588,nASIG,DATOS!$I8588,nEVAL,"EX")=0),0))))</f>
      </c>
      <c r="H8588">
        <f>IF(DATOS!$G8588&lt;&gt;"EX",0,--(COUNTIFS(nNIA,DATOS!$A8588,nCURSO,DATOS!$D8588,nESPEC,DATOS!$E8588,nASIG,DATOS!$I8588,nEVAL,"OR")=0))</f>
      </c>
      <c r="I8588">
        <f>IF(DATOS!$I8588="","",IFERROR(VLOOKUP(DATOS!$I8588,CONFIG_ASIGNATURAS!$B$2:$J$91,9,FALSE()),""))</f>
      </c>
    </row>
    <row r="8589">
      <c r="F8589">
        <f>IF(DATOS!$A8589="","",DATOS!$A8589&amp;"|"&amp;DATOS!$D8589&amp;"|"&amp;DATOS!$E8589&amp;"|"&amp;DATOS!$I8589)</f>
      </c>
      <c r="G8589">
        <f>IF(DATOS!$A8589="",0,IF(CONFIG_METADATA!$B$4&lt;&gt;"OR+EX",--(DATOS!$G8589=CONFIG_METADATA!$B$4),IF(DATOS!$G8589="EX",1,IF(DATOS!$G8589="OR",--(COUNTIFS(nNIA,DATOS!$A8589,nCURSO,DATOS!$D8589,nESPEC,DATOS!$E8589,nASIG,DATOS!$I8589,nEVAL,"EX")=0),0))))</f>
      </c>
      <c r="H8589">
        <f>IF(DATOS!$G8589&lt;&gt;"EX",0,--(COUNTIFS(nNIA,DATOS!$A8589,nCURSO,DATOS!$D8589,nESPEC,DATOS!$E8589,nASIG,DATOS!$I8589,nEVAL,"OR")=0))</f>
      </c>
      <c r="I8589">
        <f>IF(DATOS!$I8589="","",IFERROR(VLOOKUP(DATOS!$I8589,CONFIG_ASIGNATURAS!$B$2:$J$91,9,FALSE()),""))</f>
      </c>
    </row>
    <row r="8590">
      <c r="F8590">
        <f>IF(DATOS!$A8590="","",DATOS!$A8590&amp;"|"&amp;DATOS!$D8590&amp;"|"&amp;DATOS!$E8590&amp;"|"&amp;DATOS!$I8590)</f>
      </c>
      <c r="G8590">
        <f>IF(DATOS!$A8590="",0,IF(CONFIG_METADATA!$B$4&lt;&gt;"OR+EX",--(DATOS!$G8590=CONFIG_METADATA!$B$4),IF(DATOS!$G8590="EX",1,IF(DATOS!$G8590="OR",--(COUNTIFS(nNIA,DATOS!$A8590,nCURSO,DATOS!$D8590,nESPEC,DATOS!$E8590,nASIG,DATOS!$I8590,nEVAL,"EX")=0),0))))</f>
      </c>
      <c r="H8590">
        <f>IF(DATOS!$G8590&lt;&gt;"EX",0,--(COUNTIFS(nNIA,DATOS!$A8590,nCURSO,DATOS!$D8590,nESPEC,DATOS!$E8590,nASIG,DATOS!$I8590,nEVAL,"OR")=0))</f>
      </c>
      <c r="I8590">
        <f>IF(DATOS!$I8590="","",IFERROR(VLOOKUP(DATOS!$I8590,CONFIG_ASIGNATURAS!$B$2:$J$91,9,FALSE()),""))</f>
      </c>
    </row>
    <row r="8591">
      <c r="F8591">
        <f>IF(DATOS!$A8591="","",DATOS!$A8591&amp;"|"&amp;DATOS!$D8591&amp;"|"&amp;DATOS!$E8591&amp;"|"&amp;DATOS!$I8591)</f>
      </c>
      <c r="G8591">
        <f>IF(DATOS!$A8591="",0,IF(CONFIG_METADATA!$B$4&lt;&gt;"OR+EX",--(DATOS!$G8591=CONFIG_METADATA!$B$4),IF(DATOS!$G8591="EX",1,IF(DATOS!$G8591="OR",--(COUNTIFS(nNIA,DATOS!$A8591,nCURSO,DATOS!$D8591,nESPEC,DATOS!$E8591,nASIG,DATOS!$I8591,nEVAL,"EX")=0),0))))</f>
      </c>
      <c r="H8591">
        <f>IF(DATOS!$G8591&lt;&gt;"EX",0,--(COUNTIFS(nNIA,DATOS!$A8591,nCURSO,DATOS!$D8591,nESPEC,DATOS!$E8591,nASIG,DATOS!$I8591,nEVAL,"OR")=0))</f>
      </c>
      <c r="I8591">
        <f>IF(DATOS!$I8591="","",IFERROR(VLOOKUP(DATOS!$I8591,CONFIG_ASIGNATURAS!$B$2:$J$91,9,FALSE()),""))</f>
      </c>
    </row>
    <row r="8592">
      <c r="F8592">
        <f>IF(DATOS!$A8592="","",DATOS!$A8592&amp;"|"&amp;DATOS!$D8592&amp;"|"&amp;DATOS!$E8592&amp;"|"&amp;DATOS!$I8592)</f>
      </c>
      <c r="G8592">
        <f>IF(DATOS!$A8592="",0,IF(CONFIG_METADATA!$B$4&lt;&gt;"OR+EX",--(DATOS!$G8592=CONFIG_METADATA!$B$4),IF(DATOS!$G8592="EX",1,IF(DATOS!$G8592="OR",--(COUNTIFS(nNIA,DATOS!$A8592,nCURSO,DATOS!$D8592,nESPEC,DATOS!$E8592,nASIG,DATOS!$I8592,nEVAL,"EX")=0),0))))</f>
      </c>
      <c r="H8592">
        <f>IF(DATOS!$G8592&lt;&gt;"EX",0,--(COUNTIFS(nNIA,DATOS!$A8592,nCURSO,DATOS!$D8592,nESPEC,DATOS!$E8592,nASIG,DATOS!$I8592,nEVAL,"OR")=0))</f>
      </c>
      <c r="I8592">
        <f>IF(DATOS!$I8592="","",IFERROR(VLOOKUP(DATOS!$I8592,CONFIG_ASIGNATURAS!$B$2:$J$91,9,FALSE()),""))</f>
      </c>
    </row>
    <row r="8593">
      <c r="F8593">
        <f>IF(DATOS!$A8593="","",DATOS!$A8593&amp;"|"&amp;DATOS!$D8593&amp;"|"&amp;DATOS!$E8593&amp;"|"&amp;DATOS!$I8593)</f>
      </c>
      <c r="G8593">
        <f>IF(DATOS!$A8593="",0,IF(CONFIG_METADATA!$B$4&lt;&gt;"OR+EX",--(DATOS!$G8593=CONFIG_METADATA!$B$4),IF(DATOS!$G8593="EX",1,IF(DATOS!$G8593="OR",--(COUNTIFS(nNIA,DATOS!$A8593,nCURSO,DATOS!$D8593,nESPEC,DATOS!$E8593,nASIG,DATOS!$I8593,nEVAL,"EX")=0),0))))</f>
      </c>
      <c r="H8593">
        <f>IF(DATOS!$G8593&lt;&gt;"EX",0,--(COUNTIFS(nNIA,DATOS!$A8593,nCURSO,DATOS!$D8593,nESPEC,DATOS!$E8593,nASIG,DATOS!$I8593,nEVAL,"OR")=0))</f>
      </c>
      <c r="I8593">
        <f>IF(DATOS!$I8593="","",IFERROR(VLOOKUP(DATOS!$I8593,CONFIG_ASIGNATURAS!$B$2:$J$91,9,FALSE()),""))</f>
      </c>
    </row>
    <row r="8594">
      <c r="F8594">
        <f>IF(DATOS!$A8594="","",DATOS!$A8594&amp;"|"&amp;DATOS!$D8594&amp;"|"&amp;DATOS!$E8594&amp;"|"&amp;DATOS!$I8594)</f>
      </c>
      <c r="G8594">
        <f>IF(DATOS!$A8594="",0,IF(CONFIG_METADATA!$B$4&lt;&gt;"OR+EX",--(DATOS!$G8594=CONFIG_METADATA!$B$4),IF(DATOS!$G8594="EX",1,IF(DATOS!$G8594="OR",--(COUNTIFS(nNIA,DATOS!$A8594,nCURSO,DATOS!$D8594,nESPEC,DATOS!$E8594,nASIG,DATOS!$I8594,nEVAL,"EX")=0),0))))</f>
      </c>
      <c r="H8594">
        <f>IF(DATOS!$G8594&lt;&gt;"EX",0,--(COUNTIFS(nNIA,DATOS!$A8594,nCURSO,DATOS!$D8594,nESPEC,DATOS!$E8594,nASIG,DATOS!$I8594,nEVAL,"OR")=0))</f>
      </c>
      <c r="I8594">
        <f>IF(DATOS!$I8594="","",IFERROR(VLOOKUP(DATOS!$I8594,CONFIG_ASIGNATURAS!$B$2:$J$91,9,FALSE()),""))</f>
      </c>
    </row>
    <row r="8595">
      <c r="F8595">
        <f>IF(DATOS!$A8595="","",DATOS!$A8595&amp;"|"&amp;DATOS!$D8595&amp;"|"&amp;DATOS!$E8595&amp;"|"&amp;DATOS!$I8595)</f>
      </c>
      <c r="G8595">
        <f>IF(DATOS!$A8595="",0,IF(CONFIG_METADATA!$B$4&lt;&gt;"OR+EX",--(DATOS!$G8595=CONFIG_METADATA!$B$4),IF(DATOS!$G8595="EX",1,IF(DATOS!$G8595="OR",--(COUNTIFS(nNIA,DATOS!$A8595,nCURSO,DATOS!$D8595,nESPEC,DATOS!$E8595,nASIG,DATOS!$I8595,nEVAL,"EX")=0),0))))</f>
      </c>
      <c r="H8595">
        <f>IF(DATOS!$G8595&lt;&gt;"EX",0,--(COUNTIFS(nNIA,DATOS!$A8595,nCURSO,DATOS!$D8595,nESPEC,DATOS!$E8595,nASIG,DATOS!$I8595,nEVAL,"OR")=0))</f>
      </c>
      <c r="I8595">
        <f>IF(DATOS!$I8595="","",IFERROR(VLOOKUP(DATOS!$I8595,CONFIG_ASIGNATURAS!$B$2:$J$91,9,FALSE()),""))</f>
      </c>
    </row>
    <row r="8596">
      <c r="F8596">
        <f>IF(DATOS!$A8596="","",DATOS!$A8596&amp;"|"&amp;DATOS!$D8596&amp;"|"&amp;DATOS!$E8596&amp;"|"&amp;DATOS!$I8596)</f>
      </c>
      <c r="G8596">
        <f>IF(DATOS!$A8596="",0,IF(CONFIG_METADATA!$B$4&lt;&gt;"OR+EX",--(DATOS!$G8596=CONFIG_METADATA!$B$4),IF(DATOS!$G8596="EX",1,IF(DATOS!$G8596="OR",--(COUNTIFS(nNIA,DATOS!$A8596,nCURSO,DATOS!$D8596,nESPEC,DATOS!$E8596,nASIG,DATOS!$I8596,nEVAL,"EX")=0),0))))</f>
      </c>
      <c r="H8596">
        <f>IF(DATOS!$G8596&lt;&gt;"EX",0,--(COUNTIFS(nNIA,DATOS!$A8596,nCURSO,DATOS!$D8596,nESPEC,DATOS!$E8596,nASIG,DATOS!$I8596,nEVAL,"OR")=0))</f>
      </c>
      <c r="I8596">
        <f>IF(DATOS!$I8596="","",IFERROR(VLOOKUP(DATOS!$I8596,CONFIG_ASIGNATURAS!$B$2:$J$91,9,FALSE()),""))</f>
      </c>
    </row>
    <row r="8597">
      <c r="F8597">
        <f>IF(DATOS!$A8597="","",DATOS!$A8597&amp;"|"&amp;DATOS!$D8597&amp;"|"&amp;DATOS!$E8597&amp;"|"&amp;DATOS!$I8597)</f>
      </c>
      <c r="G8597">
        <f>IF(DATOS!$A8597="",0,IF(CONFIG_METADATA!$B$4&lt;&gt;"OR+EX",--(DATOS!$G8597=CONFIG_METADATA!$B$4),IF(DATOS!$G8597="EX",1,IF(DATOS!$G8597="OR",--(COUNTIFS(nNIA,DATOS!$A8597,nCURSO,DATOS!$D8597,nESPEC,DATOS!$E8597,nASIG,DATOS!$I8597,nEVAL,"EX")=0),0))))</f>
      </c>
      <c r="H8597">
        <f>IF(DATOS!$G8597&lt;&gt;"EX",0,--(COUNTIFS(nNIA,DATOS!$A8597,nCURSO,DATOS!$D8597,nESPEC,DATOS!$E8597,nASIG,DATOS!$I8597,nEVAL,"OR")=0))</f>
      </c>
      <c r="I8597">
        <f>IF(DATOS!$I8597="","",IFERROR(VLOOKUP(DATOS!$I8597,CONFIG_ASIGNATURAS!$B$2:$J$91,9,FALSE()),""))</f>
      </c>
    </row>
    <row r="8598">
      <c r="F8598">
        <f>IF(DATOS!$A8598="","",DATOS!$A8598&amp;"|"&amp;DATOS!$D8598&amp;"|"&amp;DATOS!$E8598&amp;"|"&amp;DATOS!$I8598)</f>
      </c>
      <c r="G8598">
        <f>IF(DATOS!$A8598="",0,IF(CONFIG_METADATA!$B$4&lt;&gt;"OR+EX",--(DATOS!$G8598=CONFIG_METADATA!$B$4),IF(DATOS!$G8598="EX",1,IF(DATOS!$G8598="OR",--(COUNTIFS(nNIA,DATOS!$A8598,nCURSO,DATOS!$D8598,nESPEC,DATOS!$E8598,nASIG,DATOS!$I8598,nEVAL,"EX")=0),0))))</f>
      </c>
      <c r="H8598">
        <f>IF(DATOS!$G8598&lt;&gt;"EX",0,--(COUNTIFS(nNIA,DATOS!$A8598,nCURSO,DATOS!$D8598,nESPEC,DATOS!$E8598,nASIG,DATOS!$I8598,nEVAL,"OR")=0))</f>
      </c>
      <c r="I8598">
        <f>IF(DATOS!$I8598="","",IFERROR(VLOOKUP(DATOS!$I8598,CONFIG_ASIGNATURAS!$B$2:$J$91,9,FALSE()),""))</f>
      </c>
    </row>
    <row r="8599">
      <c r="F8599">
        <f>IF(DATOS!$A8599="","",DATOS!$A8599&amp;"|"&amp;DATOS!$D8599&amp;"|"&amp;DATOS!$E8599&amp;"|"&amp;DATOS!$I8599)</f>
      </c>
      <c r="G8599">
        <f>IF(DATOS!$A8599="",0,IF(CONFIG_METADATA!$B$4&lt;&gt;"OR+EX",--(DATOS!$G8599=CONFIG_METADATA!$B$4),IF(DATOS!$G8599="EX",1,IF(DATOS!$G8599="OR",--(COUNTIFS(nNIA,DATOS!$A8599,nCURSO,DATOS!$D8599,nESPEC,DATOS!$E8599,nASIG,DATOS!$I8599,nEVAL,"EX")=0),0))))</f>
      </c>
      <c r="H8599">
        <f>IF(DATOS!$G8599&lt;&gt;"EX",0,--(COUNTIFS(nNIA,DATOS!$A8599,nCURSO,DATOS!$D8599,nESPEC,DATOS!$E8599,nASIG,DATOS!$I8599,nEVAL,"OR")=0))</f>
      </c>
      <c r="I8599">
        <f>IF(DATOS!$I8599="","",IFERROR(VLOOKUP(DATOS!$I8599,CONFIG_ASIGNATURAS!$B$2:$J$91,9,FALSE()),""))</f>
      </c>
    </row>
    <row r="8600">
      <c r="F8600">
        <f>IF(DATOS!$A8600="","",DATOS!$A8600&amp;"|"&amp;DATOS!$D8600&amp;"|"&amp;DATOS!$E8600&amp;"|"&amp;DATOS!$I8600)</f>
      </c>
      <c r="G8600">
        <f>IF(DATOS!$A8600="",0,IF(CONFIG_METADATA!$B$4&lt;&gt;"OR+EX",--(DATOS!$G8600=CONFIG_METADATA!$B$4),IF(DATOS!$G8600="EX",1,IF(DATOS!$G8600="OR",--(COUNTIFS(nNIA,DATOS!$A8600,nCURSO,DATOS!$D8600,nESPEC,DATOS!$E8600,nASIG,DATOS!$I8600,nEVAL,"EX")=0),0))))</f>
      </c>
      <c r="H8600">
        <f>IF(DATOS!$G8600&lt;&gt;"EX",0,--(COUNTIFS(nNIA,DATOS!$A8600,nCURSO,DATOS!$D8600,nESPEC,DATOS!$E8600,nASIG,DATOS!$I8600,nEVAL,"OR")=0))</f>
      </c>
      <c r="I8600">
        <f>IF(DATOS!$I8600="","",IFERROR(VLOOKUP(DATOS!$I8600,CONFIG_ASIGNATURAS!$B$2:$J$91,9,FALSE()),""))</f>
      </c>
    </row>
    <row r="8601">
      <c r="F8601">
        <f>IF(DATOS!$A8601="","",DATOS!$A8601&amp;"|"&amp;DATOS!$D8601&amp;"|"&amp;DATOS!$E8601&amp;"|"&amp;DATOS!$I8601)</f>
      </c>
      <c r="G8601">
        <f>IF(DATOS!$A8601="",0,IF(CONFIG_METADATA!$B$4&lt;&gt;"OR+EX",--(DATOS!$G8601=CONFIG_METADATA!$B$4),IF(DATOS!$G8601="EX",1,IF(DATOS!$G8601="OR",--(COUNTIFS(nNIA,DATOS!$A8601,nCURSO,DATOS!$D8601,nESPEC,DATOS!$E8601,nASIG,DATOS!$I8601,nEVAL,"EX")=0),0))))</f>
      </c>
      <c r="H8601">
        <f>IF(DATOS!$G8601&lt;&gt;"EX",0,--(COUNTIFS(nNIA,DATOS!$A8601,nCURSO,DATOS!$D8601,nESPEC,DATOS!$E8601,nASIG,DATOS!$I8601,nEVAL,"OR")=0))</f>
      </c>
      <c r="I8601">
        <f>IF(DATOS!$I8601="","",IFERROR(VLOOKUP(DATOS!$I8601,CONFIG_ASIGNATURAS!$B$2:$J$91,9,FALSE()),""))</f>
      </c>
    </row>
    <row r="8602">
      <c r="F8602">
        <f>IF(DATOS!$A8602="","",DATOS!$A8602&amp;"|"&amp;DATOS!$D8602&amp;"|"&amp;DATOS!$E8602&amp;"|"&amp;DATOS!$I8602)</f>
      </c>
      <c r="G8602">
        <f>IF(DATOS!$A8602="",0,IF(CONFIG_METADATA!$B$4&lt;&gt;"OR+EX",--(DATOS!$G8602=CONFIG_METADATA!$B$4),IF(DATOS!$G8602="EX",1,IF(DATOS!$G8602="OR",--(COUNTIFS(nNIA,DATOS!$A8602,nCURSO,DATOS!$D8602,nESPEC,DATOS!$E8602,nASIG,DATOS!$I8602,nEVAL,"EX")=0),0))))</f>
      </c>
      <c r="H8602">
        <f>IF(DATOS!$G8602&lt;&gt;"EX",0,--(COUNTIFS(nNIA,DATOS!$A8602,nCURSO,DATOS!$D8602,nESPEC,DATOS!$E8602,nASIG,DATOS!$I8602,nEVAL,"OR")=0))</f>
      </c>
      <c r="I8602">
        <f>IF(DATOS!$I8602="","",IFERROR(VLOOKUP(DATOS!$I8602,CONFIG_ASIGNATURAS!$B$2:$J$91,9,FALSE()),""))</f>
      </c>
    </row>
    <row r="8603">
      <c r="F8603">
        <f>IF(DATOS!$A8603="","",DATOS!$A8603&amp;"|"&amp;DATOS!$D8603&amp;"|"&amp;DATOS!$E8603&amp;"|"&amp;DATOS!$I8603)</f>
      </c>
      <c r="G8603">
        <f>IF(DATOS!$A8603="",0,IF(CONFIG_METADATA!$B$4&lt;&gt;"OR+EX",--(DATOS!$G8603=CONFIG_METADATA!$B$4),IF(DATOS!$G8603="EX",1,IF(DATOS!$G8603="OR",--(COUNTIFS(nNIA,DATOS!$A8603,nCURSO,DATOS!$D8603,nESPEC,DATOS!$E8603,nASIG,DATOS!$I8603,nEVAL,"EX")=0),0))))</f>
      </c>
      <c r="H8603">
        <f>IF(DATOS!$G8603&lt;&gt;"EX",0,--(COUNTIFS(nNIA,DATOS!$A8603,nCURSO,DATOS!$D8603,nESPEC,DATOS!$E8603,nASIG,DATOS!$I8603,nEVAL,"OR")=0))</f>
      </c>
      <c r="I8603">
        <f>IF(DATOS!$I8603="","",IFERROR(VLOOKUP(DATOS!$I8603,CONFIG_ASIGNATURAS!$B$2:$J$91,9,FALSE()),""))</f>
      </c>
    </row>
    <row r="8604">
      <c r="F8604">
        <f>IF(DATOS!$A8604="","",DATOS!$A8604&amp;"|"&amp;DATOS!$D8604&amp;"|"&amp;DATOS!$E8604&amp;"|"&amp;DATOS!$I8604)</f>
      </c>
      <c r="G8604">
        <f>IF(DATOS!$A8604="",0,IF(CONFIG_METADATA!$B$4&lt;&gt;"OR+EX",--(DATOS!$G8604=CONFIG_METADATA!$B$4),IF(DATOS!$G8604="EX",1,IF(DATOS!$G8604="OR",--(COUNTIFS(nNIA,DATOS!$A8604,nCURSO,DATOS!$D8604,nESPEC,DATOS!$E8604,nASIG,DATOS!$I8604,nEVAL,"EX")=0),0))))</f>
      </c>
      <c r="H8604">
        <f>IF(DATOS!$G8604&lt;&gt;"EX",0,--(COUNTIFS(nNIA,DATOS!$A8604,nCURSO,DATOS!$D8604,nESPEC,DATOS!$E8604,nASIG,DATOS!$I8604,nEVAL,"OR")=0))</f>
      </c>
      <c r="I8604">
        <f>IF(DATOS!$I8604="","",IFERROR(VLOOKUP(DATOS!$I8604,CONFIG_ASIGNATURAS!$B$2:$J$91,9,FALSE()),""))</f>
      </c>
    </row>
    <row r="8605">
      <c r="F8605">
        <f>IF(DATOS!$A8605="","",DATOS!$A8605&amp;"|"&amp;DATOS!$D8605&amp;"|"&amp;DATOS!$E8605&amp;"|"&amp;DATOS!$I8605)</f>
      </c>
      <c r="G8605">
        <f>IF(DATOS!$A8605="",0,IF(CONFIG_METADATA!$B$4&lt;&gt;"OR+EX",--(DATOS!$G8605=CONFIG_METADATA!$B$4),IF(DATOS!$G8605="EX",1,IF(DATOS!$G8605="OR",--(COUNTIFS(nNIA,DATOS!$A8605,nCURSO,DATOS!$D8605,nESPEC,DATOS!$E8605,nASIG,DATOS!$I8605,nEVAL,"EX")=0),0))))</f>
      </c>
      <c r="H8605">
        <f>IF(DATOS!$G8605&lt;&gt;"EX",0,--(COUNTIFS(nNIA,DATOS!$A8605,nCURSO,DATOS!$D8605,nESPEC,DATOS!$E8605,nASIG,DATOS!$I8605,nEVAL,"OR")=0))</f>
      </c>
      <c r="I8605">
        <f>IF(DATOS!$I8605="","",IFERROR(VLOOKUP(DATOS!$I8605,CONFIG_ASIGNATURAS!$B$2:$J$91,9,FALSE()),""))</f>
      </c>
    </row>
    <row r="8606">
      <c r="F8606">
        <f>IF(DATOS!$A8606="","",DATOS!$A8606&amp;"|"&amp;DATOS!$D8606&amp;"|"&amp;DATOS!$E8606&amp;"|"&amp;DATOS!$I8606)</f>
      </c>
      <c r="G8606">
        <f>IF(DATOS!$A8606="",0,IF(CONFIG_METADATA!$B$4&lt;&gt;"OR+EX",--(DATOS!$G8606=CONFIG_METADATA!$B$4),IF(DATOS!$G8606="EX",1,IF(DATOS!$G8606="OR",--(COUNTIFS(nNIA,DATOS!$A8606,nCURSO,DATOS!$D8606,nESPEC,DATOS!$E8606,nASIG,DATOS!$I8606,nEVAL,"EX")=0),0))))</f>
      </c>
      <c r="H8606">
        <f>IF(DATOS!$G8606&lt;&gt;"EX",0,--(COUNTIFS(nNIA,DATOS!$A8606,nCURSO,DATOS!$D8606,nESPEC,DATOS!$E8606,nASIG,DATOS!$I8606,nEVAL,"OR")=0))</f>
      </c>
      <c r="I8606">
        <f>IF(DATOS!$I8606="","",IFERROR(VLOOKUP(DATOS!$I8606,CONFIG_ASIGNATURAS!$B$2:$J$91,9,FALSE()),""))</f>
      </c>
    </row>
    <row r="8607">
      <c r="F8607">
        <f>IF(DATOS!$A8607="","",DATOS!$A8607&amp;"|"&amp;DATOS!$D8607&amp;"|"&amp;DATOS!$E8607&amp;"|"&amp;DATOS!$I8607)</f>
      </c>
      <c r="G8607">
        <f>IF(DATOS!$A8607="",0,IF(CONFIG_METADATA!$B$4&lt;&gt;"OR+EX",--(DATOS!$G8607=CONFIG_METADATA!$B$4),IF(DATOS!$G8607="EX",1,IF(DATOS!$G8607="OR",--(COUNTIFS(nNIA,DATOS!$A8607,nCURSO,DATOS!$D8607,nESPEC,DATOS!$E8607,nASIG,DATOS!$I8607,nEVAL,"EX")=0),0))))</f>
      </c>
      <c r="H8607">
        <f>IF(DATOS!$G8607&lt;&gt;"EX",0,--(COUNTIFS(nNIA,DATOS!$A8607,nCURSO,DATOS!$D8607,nESPEC,DATOS!$E8607,nASIG,DATOS!$I8607,nEVAL,"OR")=0))</f>
      </c>
      <c r="I8607">
        <f>IF(DATOS!$I8607="","",IFERROR(VLOOKUP(DATOS!$I8607,CONFIG_ASIGNATURAS!$B$2:$J$91,9,FALSE()),""))</f>
      </c>
    </row>
    <row r="8608">
      <c r="F8608">
        <f>IF(DATOS!$A8608="","",DATOS!$A8608&amp;"|"&amp;DATOS!$D8608&amp;"|"&amp;DATOS!$E8608&amp;"|"&amp;DATOS!$I8608)</f>
      </c>
      <c r="G8608">
        <f>IF(DATOS!$A8608="",0,IF(CONFIG_METADATA!$B$4&lt;&gt;"OR+EX",--(DATOS!$G8608=CONFIG_METADATA!$B$4),IF(DATOS!$G8608="EX",1,IF(DATOS!$G8608="OR",--(COUNTIFS(nNIA,DATOS!$A8608,nCURSO,DATOS!$D8608,nESPEC,DATOS!$E8608,nASIG,DATOS!$I8608,nEVAL,"EX")=0),0))))</f>
      </c>
      <c r="H8608">
        <f>IF(DATOS!$G8608&lt;&gt;"EX",0,--(COUNTIFS(nNIA,DATOS!$A8608,nCURSO,DATOS!$D8608,nESPEC,DATOS!$E8608,nASIG,DATOS!$I8608,nEVAL,"OR")=0))</f>
      </c>
      <c r="I8608">
        <f>IF(DATOS!$I8608="","",IFERROR(VLOOKUP(DATOS!$I8608,CONFIG_ASIGNATURAS!$B$2:$J$91,9,FALSE()),""))</f>
      </c>
    </row>
    <row r="8609">
      <c r="F8609">
        <f>IF(DATOS!$A8609="","",DATOS!$A8609&amp;"|"&amp;DATOS!$D8609&amp;"|"&amp;DATOS!$E8609&amp;"|"&amp;DATOS!$I8609)</f>
      </c>
      <c r="G8609">
        <f>IF(DATOS!$A8609="",0,IF(CONFIG_METADATA!$B$4&lt;&gt;"OR+EX",--(DATOS!$G8609=CONFIG_METADATA!$B$4),IF(DATOS!$G8609="EX",1,IF(DATOS!$G8609="OR",--(COUNTIFS(nNIA,DATOS!$A8609,nCURSO,DATOS!$D8609,nESPEC,DATOS!$E8609,nASIG,DATOS!$I8609,nEVAL,"EX")=0),0))))</f>
      </c>
      <c r="H8609">
        <f>IF(DATOS!$G8609&lt;&gt;"EX",0,--(COUNTIFS(nNIA,DATOS!$A8609,nCURSO,DATOS!$D8609,nESPEC,DATOS!$E8609,nASIG,DATOS!$I8609,nEVAL,"OR")=0))</f>
      </c>
      <c r="I8609">
        <f>IF(DATOS!$I8609="","",IFERROR(VLOOKUP(DATOS!$I8609,CONFIG_ASIGNATURAS!$B$2:$J$91,9,FALSE()),""))</f>
      </c>
    </row>
    <row r="8610">
      <c r="F8610">
        <f>IF(DATOS!$A8610="","",DATOS!$A8610&amp;"|"&amp;DATOS!$D8610&amp;"|"&amp;DATOS!$E8610&amp;"|"&amp;DATOS!$I8610)</f>
      </c>
      <c r="G8610">
        <f>IF(DATOS!$A8610="",0,IF(CONFIG_METADATA!$B$4&lt;&gt;"OR+EX",--(DATOS!$G8610=CONFIG_METADATA!$B$4),IF(DATOS!$G8610="EX",1,IF(DATOS!$G8610="OR",--(COUNTIFS(nNIA,DATOS!$A8610,nCURSO,DATOS!$D8610,nESPEC,DATOS!$E8610,nASIG,DATOS!$I8610,nEVAL,"EX")=0),0))))</f>
      </c>
      <c r="H8610">
        <f>IF(DATOS!$G8610&lt;&gt;"EX",0,--(COUNTIFS(nNIA,DATOS!$A8610,nCURSO,DATOS!$D8610,nESPEC,DATOS!$E8610,nASIG,DATOS!$I8610,nEVAL,"OR")=0))</f>
      </c>
      <c r="I8610">
        <f>IF(DATOS!$I8610="","",IFERROR(VLOOKUP(DATOS!$I8610,CONFIG_ASIGNATURAS!$B$2:$J$91,9,FALSE()),""))</f>
      </c>
    </row>
    <row r="8611">
      <c r="F8611">
        <f>IF(DATOS!$A8611="","",DATOS!$A8611&amp;"|"&amp;DATOS!$D8611&amp;"|"&amp;DATOS!$E8611&amp;"|"&amp;DATOS!$I8611)</f>
      </c>
      <c r="G8611">
        <f>IF(DATOS!$A8611="",0,IF(CONFIG_METADATA!$B$4&lt;&gt;"OR+EX",--(DATOS!$G8611=CONFIG_METADATA!$B$4),IF(DATOS!$G8611="EX",1,IF(DATOS!$G8611="OR",--(COUNTIFS(nNIA,DATOS!$A8611,nCURSO,DATOS!$D8611,nESPEC,DATOS!$E8611,nASIG,DATOS!$I8611,nEVAL,"EX")=0),0))))</f>
      </c>
      <c r="H8611">
        <f>IF(DATOS!$G8611&lt;&gt;"EX",0,--(COUNTIFS(nNIA,DATOS!$A8611,nCURSO,DATOS!$D8611,nESPEC,DATOS!$E8611,nASIG,DATOS!$I8611,nEVAL,"OR")=0))</f>
      </c>
      <c r="I8611">
        <f>IF(DATOS!$I8611="","",IFERROR(VLOOKUP(DATOS!$I8611,CONFIG_ASIGNATURAS!$B$2:$J$91,9,FALSE()),""))</f>
      </c>
    </row>
    <row r="8612">
      <c r="F8612">
        <f>IF(DATOS!$A8612="","",DATOS!$A8612&amp;"|"&amp;DATOS!$D8612&amp;"|"&amp;DATOS!$E8612&amp;"|"&amp;DATOS!$I8612)</f>
      </c>
      <c r="G8612">
        <f>IF(DATOS!$A8612="",0,IF(CONFIG_METADATA!$B$4&lt;&gt;"OR+EX",--(DATOS!$G8612=CONFIG_METADATA!$B$4),IF(DATOS!$G8612="EX",1,IF(DATOS!$G8612="OR",--(COUNTIFS(nNIA,DATOS!$A8612,nCURSO,DATOS!$D8612,nESPEC,DATOS!$E8612,nASIG,DATOS!$I8612,nEVAL,"EX")=0),0))))</f>
      </c>
      <c r="H8612">
        <f>IF(DATOS!$G8612&lt;&gt;"EX",0,--(COUNTIFS(nNIA,DATOS!$A8612,nCURSO,DATOS!$D8612,nESPEC,DATOS!$E8612,nASIG,DATOS!$I8612,nEVAL,"OR")=0))</f>
      </c>
      <c r="I8612">
        <f>IF(DATOS!$I8612="","",IFERROR(VLOOKUP(DATOS!$I8612,CONFIG_ASIGNATURAS!$B$2:$J$91,9,FALSE()),""))</f>
      </c>
    </row>
    <row r="8613">
      <c r="F8613">
        <f>IF(DATOS!$A8613="","",DATOS!$A8613&amp;"|"&amp;DATOS!$D8613&amp;"|"&amp;DATOS!$E8613&amp;"|"&amp;DATOS!$I8613)</f>
      </c>
      <c r="G8613">
        <f>IF(DATOS!$A8613="",0,IF(CONFIG_METADATA!$B$4&lt;&gt;"OR+EX",--(DATOS!$G8613=CONFIG_METADATA!$B$4),IF(DATOS!$G8613="EX",1,IF(DATOS!$G8613="OR",--(COUNTIFS(nNIA,DATOS!$A8613,nCURSO,DATOS!$D8613,nESPEC,DATOS!$E8613,nASIG,DATOS!$I8613,nEVAL,"EX")=0),0))))</f>
      </c>
      <c r="H8613">
        <f>IF(DATOS!$G8613&lt;&gt;"EX",0,--(COUNTIFS(nNIA,DATOS!$A8613,nCURSO,DATOS!$D8613,nESPEC,DATOS!$E8613,nASIG,DATOS!$I8613,nEVAL,"OR")=0))</f>
      </c>
      <c r="I8613">
        <f>IF(DATOS!$I8613="","",IFERROR(VLOOKUP(DATOS!$I8613,CONFIG_ASIGNATURAS!$B$2:$J$91,9,FALSE()),""))</f>
      </c>
    </row>
    <row r="8614">
      <c r="F8614">
        <f>IF(DATOS!$A8614="","",DATOS!$A8614&amp;"|"&amp;DATOS!$D8614&amp;"|"&amp;DATOS!$E8614&amp;"|"&amp;DATOS!$I8614)</f>
      </c>
      <c r="G8614">
        <f>IF(DATOS!$A8614="",0,IF(CONFIG_METADATA!$B$4&lt;&gt;"OR+EX",--(DATOS!$G8614=CONFIG_METADATA!$B$4),IF(DATOS!$G8614="EX",1,IF(DATOS!$G8614="OR",--(COUNTIFS(nNIA,DATOS!$A8614,nCURSO,DATOS!$D8614,nESPEC,DATOS!$E8614,nASIG,DATOS!$I8614,nEVAL,"EX")=0),0))))</f>
      </c>
      <c r="H8614">
        <f>IF(DATOS!$G8614&lt;&gt;"EX",0,--(COUNTIFS(nNIA,DATOS!$A8614,nCURSO,DATOS!$D8614,nESPEC,DATOS!$E8614,nASIG,DATOS!$I8614,nEVAL,"OR")=0))</f>
      </c>
      <c r="I8614">
        <f>IF(DATOS!$I8614="","",IFERROR(VLOOKUP(DATOS!$I8614,CONFIG_ASIGNATURAS!$B$2:$J$91,9,FALSE()),""))</f>
      </c>
    </row>
    <row r="8615">
      <c r="F8615">
        <f>IF(DATOS!$A8615="","",DATOS!$A8615&amp;"|"&amp;DATOS!$D8615&amp;"|"&amp;DATOS!$E8615&amp;"|"&amp;DATOS!$I8615)</f>
      </c>
      <c r="G8615">
        <f>IF(DATOS!$A8615="",0,IF(CONFIG_METADATA!$B$4&lt;&gt;"OR+EX",--(DATOS!$G8615=CONFIG_METADATA!$B$4),IF(DATOS!$G8615="EX",1,IF(DATOS!$G8615="OR",--(COUNTIFS(nNIA,DATOS!$A8615,nCURSO,DATOS!$D8615,nESPEC,DATOS!$E8615,nASIG,DATOS!$I8615,nEVAL,"EX")=0),0))))</f>
      </c>
      <c r="H8615">
        <f>IF(DATOS!$G8615&lt;&gt;"EX",0,--(COUNTIFS(nNIA,DATOS!$A8615,nCURSO,DATOS!$D8615,nESPEC,DATOS!$E8615,nASIG,DATOS!$I8615,nEVAL,"OR")=0))</f>
      </c>
      <c r="I8615">
        <f>IF(DATOS!$I8615="","",IFERROR(VLOOKUP(DATOS!$I8615,CONFIG_ASIGNATURAS!$B$2:$J$91,9,FALSE()),""))</f>
      </c>
    </row>
    <row r="8616">
      <c r="F8616">
        <f>IF(DATOS!$A8616="","",DATOS!$A8616&amp;"|"&amp;DATOS!$D8616&amp;"|"&amp;DATOS!$E8616&amp;"|"&amp;DATOS!$I8616)</f>
      </c>
      <c r="G8616">
        <f>IF(DATOS!$A8616="",0,IF(CONFIG_METADATA!$B$4&lt;&gt;"OR+EX",--(DATOS!$G8616=CONFIG_METADATA!$B$4),IF(DATOS!$G8616="EX",1,IF(DATOS!$G8616="OR",--(COUNTIFS(nNIA,DATOS!$A8616,nCURSO,DATOS!$D8616,nESPEC,DATOS!$E8616,nASIG,DATOS!$I8616,nEVAL,"EX")=0),0))))</f>
      </c>
      <c r="H8616">
        <f>IF(DATOS!$G8616&lt;&gt;"EX",0,--(COUNTIFS(nNIA,DATOS!$A8616,nCURSO,DATOS!$D8616,nESPEC,DATOS!$E8616,nASIG,DATOS!$I8616,nEVAL,"OR")=0))</f>
      </c>
      <c r="I8616">
        <f>IF(DATOS!$I8616="","",IFERROR(VLOOKUP(DATOS!$I8616,CONFIG_ASIGNATURAS!$B$2:$J$91,9,FALSE()),""))</f>
      </c>
    </row>
    <row r="8617">
      <c r="F8617">
        <f>IF(DATOS!$A8617="","",DATOS!$A8617&amp;"|"&amp;DATOS!$D8617&amp;"|"&amp;DATOS!$E8617&amp;"|"&amp;DATOS!$I8617)</f>
      </c>
      <c r="G8617">
        <f>IF(DATOS!$A8617="",0,IF(CONFIG_METADATA!$B$4&lt;&gt;"OR+EX",--(DATOS!$G8617=CONFIG_METADATA!$B$4),IF(DATOS!$G8617="EX",1,IF(DATOS!$G8617="OR",--(COUNTIFS(nNIA,DATOS!$A8617,nCURSO,DATOS!$D8617,nESPEC,DATOS!$E8617,nASIG,DATOS!$I8617,nEVAL,"EX")=0),0))))</f>
      </c>
      <c r="H8617">
        <f>IF(DATOS!$G8617&lt;&gt;"EX",0,--(COUNTIFS(nNIA,DATOS!$A8617,nCURSO,DATOS!$D8617,nESPEC,DATOS!$E8617,nASIG,DATOS!$I8617,nEVAL,"OR")=0))</f>
      </c>
      <c r="I8617">
        <f>IF(DATOS!$I8617="","",IFERROR(VLOOKUP(DATOS!$I8617,CONFIG_ASIGNATURAS!$B$2:$J$91,9,FALSE()),""))</f>
      </c>
    </row>
    <row r="8618">
      <c r="F8618">
        <f>IF(DATOS!$A8618="","",DATOS!$A8618&amp;"|"&amp;DATOS!$D8618&amp;"|"&amp;DATOS!$E8618&amp;"|"&amp;DATOS!$I8618)</f>
      </c>
      <c r="G8618">
        <f>IF(DATOS!$A8618="",0,IF(CONFIG_METADATA!$B$4&lt;&gt;"OR+EX",--(DATOS!$G8618=CONFIG_METADATA!$B$4),IF(DATOS!$G8618="EX",1,IF(DATOS!$G8618="OR",--(COUNTIFS(nNIA,DATOS!$A8618,nCURSO,DATOS!$D8618,nESPEC,DATOS!$E8618,nASIG,DATOS!$I8618,nEVAL,"EX")=0),0))))</f>
      </c>
      <c r="H8618">
        <f>IF(DATOS!$G8618&lt;&gt;"EX",0,--(COUNTIFS(nNIA,DATOS!$A8618,nCURSO,DATOS!$D8618,nESPEC,DATOS!$E8618,nASIG,DATOS!$I8618,nEVAL,"OR")=0))</f>
      </c>
      <c r="I8618">
        <f>IF(DATOS!$I8618="","",IFERROR(VLOOKUP(DATOS!$I8618,CONFIG_ASIGNATURAS!$B$2:$J$91,9,FALSE()),""))</f>
      </c>
    </row>
    <row r="8619">
      <c r="F8619">
        <f>IF(DATOS!$A8619="","",DATOS!$A8619&amp;"|"&amp;DATOS!$D8619&amp;"|"&amp;DATOS!$E8619&amp;"|"&amp;DATOS!$I8619)</f>
      </c>
      <c r="G8619">
        <f>IF(DATOS!$A8619="",0,IF(CONFIG_METADATA!$B$4&lt;&gt;"OR+EX",--(DATOS!$G8619=CONFIG_METADATA!$B$4),IF(DATOS!$G8619="EX",1,IF(DATOS!$G8619="OR",--(COUNTIFS(nNIA,DATOS!$A8619,nCURSO,DATOS!$D8619,nESPEC,DATOS!$E8619,nASIG,DATOS!$I8619,nEVAL,"EX")=0),0))))</f>
      </c>
      <c r="H8619">
        <f>IF(DATOS!$G8619&lt;&gt;"EX",0,--(COUNTIFS(nNIA,DATOS!$A8619,nCURSO,DATOS!$D8619,nESPEC,DATOS!$E8619,nASIG,DATOS!$I8619,nEVAL,"OR")=0))</f>
      </c>
      <c r="I8619">
        <f>IF(DATOS!$I8619="","",IFERROR(VLOOKUP(DATOS!$I8619,CONFIG_ASIGNATURAS!$B$2:$J$91,9,FALSE()),""))</f>
      </c>
    </row>
    <row r="8620">
      <c r="F8620">
        <f>IF(DATOS!$A8620="","",DATOS!$A8620&amp;"|"&amp;DATOS!$D8620&amp;"|"&amp;DATOS!$E8620&amp;"|"&amp;DATOS!$I8620)</f>
      </c>
      <c r="G8620">
        <f>IF(DATOS!$A8620="",0,IF(CONFIG_METADATA!$B$4&lt;&gt;"OR+EX",--(DATOS!$G8620=CONFIG_METADATA!$B$4),IF(DATOS!$G8620="EX",1,IF(DATOS!$G8620="OR",--(COUNTIFS(nNIA,DATOS!$A8620,nCURSO,DATOS!$D8620,nESPEC,DATOS!$E8620,nASIG,DATOS!$I8620,nEVAL,"EX")=0),0))))</f>
      </c>
      <c r="H8620">
        <f>IF(DATOS!$G8620&lt;&gt;"EX",0,--(COUNTIFS(nNIA,DATOS!$A8620,nCURSO,DATOS!$D8620,nESPEC,DATOS!$E8620,nASIG,DATOS!$I8620,nEVAL,"OR")=0))</f>
      </c>
      <c r="I8620">
        <f>IF(DATOS!$I8620="","",IFERROR(VLOOKUP(DATOS!$I8620,CONFIG_ASIGNATURAS!$B$2:$J$91,9,FALSE()),""))</f>
      </c>
    </row>
    <row r="8621">
      <c r="F8621">
        <f>IF(DATOS!$A8621="","",DATOS!$A8621&amp;"|"&amp;DATOS!$D8621&amp;"|"&amp;DATOS!$E8621&amp;"|"&amp;DATOS!$I8621)</f>
      </c>
      <c r="G8621">
        <f>IF(DATOS!$A8621="",0,IF(CONFIG_METADATA!$B$4&lt;&gt;"OR+EX",--(DATOS!$G8621=CONFIG_METADATA!$B$4),IF(DATOS!$G8621="EX",1,IF(DATOS!$G8621="OR",--(COUNTIFS(nNIA,DATOS!$A8621,nCURSO,DATOS!$D8621,nESPEC,DATOS!$E8621,nASIG,DATOS!$I8621,nEVAL,"EX")=0),0))))</f>
      </c>
      <c r="H8621">
        <f>IF(DATOS!$G8621&lt;&gt;"EX",0,--(COUNTIFS(nNIA,DATOS!$A8621,nCURSO,DATOS!$D8621,nESPEC,DATOS!$E8621,nASIG,DATOS!$I8621,nEVAL,"OR")=0))</f>
      </c>
      <c r="I8621">
        <f>IF(DATOS!$I8621="","",IFERROR(VLOOKUP(DATOS!$I8621,CONFIG_ASIGNATURAS!$B$2:$J$91,9,FALSE()),""))</f>
      </c>
    </row>
    <row r="8622">
      <c r="F8622">
        <f>IF(DATOS!$A8622="","",DATOS!$A8622&amp;"|"&amp;DATOS!$D8622&amp;"|"&amp;DATOS!$E8622&amp;"|"&amp;DATOS!$I8622)</f>
      </c>
      <c r="G8622">
        <f>IF(DATOS!$A8622="",0,IF(CONFIG_METADATA!$B$4&lt;&gt;"OR+EX",--(DATOS!$G8622=CONFIG_METADATA!$B$4),IF(DATOS!$G8622="EX",1,IF(DATOS!$G8622="OR",--(COUNTIFS(nNIA,DATOS!$A8622,nCURSO,DATOS!$D8622,nESPEC,DATOS!$E8622,nASIG,DATOS!$I8622,nEVAL,"EX")=0),0))))</f>
      </c>
      <c r="H8622">
        <f>IF(DATOS!$G8622&lt;&gt;"EX",0,--(COUNTIFS(nNIA,DATOS!$A8622,nCURSO,DATOS!$D8622,nESPEC,DATOS!$E8622,nASIG,DATOS!$I8622,nEVAL,"OR")=0))</f>
      </c>
      <c r="I8622">
        <f>IF(DATOS!$I8622="","",IFERROR(VLOOKUP(DATOS!$I8622,CONFIG_ASIGNATURAS!$B$2:$J$91,9,FALSE()),""))</f>
      </c>
    </row>
    <row r="8623">
      <c r="F8623">
        <f>IF(DATOS!$A8623="","",DATOS!$A8623&amp;"|"&amp;DATOS!$D8623&amp;"|"&amp;DATOS!$E8623&amp;"|"&amp;DATOS!$I8623)</f>
      </c>
      <c r="G8623">
        <f>IF(DATOS!$A8623="",0,IF(CONFIG_METADATA!$B$4&lt;&gt;"OR+EX",--(DATOS!$G8623=CONFIG_METADATA!$B$4),IF(DATOS!$G8623="EX",1,IF(DATOS!$G8623="OR",--(COUNTIFS(nNIA,DATOS!$A8623,nCURSO,DATOS!$D8623,nESPEC,DATOS!$E8623,nASIG,DATOS!$I8623,nEVAL,"EX")=0),0))))</f>
      </c>
      <c r="H8623">
        <f>IF(DATOS!$G8623&lt;&gt;"EX",0,--(COUNTIFS(nNIA,DATOS!$A8623,nCURSO,DATOS!$D8623,nESPEC,DATOS!$E8623,nASIG,DATOS!$I8623,nEVAL,"OR")=0))</f>
      </c>
      <c r="I8623">
        <f>IF(DATOS!$I8623="","",IFERROR(VLOOKUP(DATOS!$I8623,CONFIG_ASIGNATURAS!$B$2:$J$91,9,FALSE()),""))</f>
      </c>
    </row>
    <row r="8624">
      <c r="F8624">
        <f>IF(DATOS!$A8624="","",DATOS!$A8624&amp;"|"&amp;DATOS!$D8624&amp;"|"&amp;DATOS!$E8624&amp;"|"&amp;DATOS!$I8624)</f>
      </c>
      <c r="G8624">
        <f>IF(DATOS!$A8624="",0,IF(CONFIG_METADATA!$B$4&lt;&gt;"OR+EX",--(DATOS!$G8624=CONFIG_METADATA!$B$4),IF(DATOS!$G8624="EX",1,IF(DATOS!$G8624="OR",--(COUNTIFS(nNIA,DATOS!$A8624,nCURSO,DATOS!$D8624,nESPEC,DATOS!$E8624,nASIG,DATOS!$I8624,nEVAL,"EX")=0),0))))</f>
      </c>
      <c r="H8624">
        <f>IF(DATOS!$G8624&lt;&gt;"EX",0,--(COUNTIFS(nNIA,DATOS!$A8624,nCURSO,DATOS!$D8624,nESPEC,DATOS!$E8624,nASIG,DATOS!$I8624,nEVAL,"OR")=0))</f>
      </c>
      <c r="I8624">
        <f>IF(DATOS!$I8624="","",IFERROR(VLOOKUP(DATOS!$I8624,CONFIG_ASIGNATURAS!$B$2:$J$91,9,FALSE()),""))</f>
      </c>
    </row>
    <row r="8625">
      <c r="F8625">
        <f>IF(DATOS!$A8625="","",DATOS!$A8625&amp;"|"&amp;DATOS!$D8625&amp;"|"&amp;DATOS!$E8625&amp;"|"&amp;DATOS!$I8625)</f>
      </c>
      <c r="G8625">
        <f>IF(DATOS!$A8625="",0,IF(CONFIG_METADATA!$B$4&lt;&gt;"OR+EX",--(DATOS!$G8625=CONFIG_METADATA!$B$4),IF(DATOS!$G8625="EX",1,IF(DATOS!$G8625="OR",--(COUNTIFS(nNIA,DATOS!$A8625,nCURSO,DATOS!$D8625,nESPEC,DATOS!$E8625,nASIG,DATOS!$I8625,nEVAL,"EX")=0),0))))</f>
      </c>
      <c r="H8625">
        <f>IF(DATOS!$G8625&lt;&gt;"EX",0,--(COUNTIFS(nNIA,DATOS!$A8625,nCURSO,DATOS!$D8625,nESPEC,DATOS!$E8625,nASIG,DATOS!$I8625,nEVAL,"OR")=0))</f>
      </c>
      <c r="I8625">
        <f>IF(DATOS!$I8625="","",IFERROR(VLOOKUP(DATOS!$I8625,CONFIG_ASIGNATURAS!$B$2:$J$91,9,FALSE()),""))</f>
      </c>
    </row>
    <row r="8626">
      <c r="F8626">
        <f>IF(DATOS!$A8626="","",DATOS!$A8626&amp;"|"&amp;DATOS!$D8626&amp;"|"&amp;DATOS!$E8626&amp;"|"&amp;DATOS!$I8626)</f>
      </c>
      <c r="G8626">
        <f>IF(DATOS!$A8626="",0,IF(CONFIG_METADATA!$B$4&lt;&gt;"OR+EX",--(DATOS!$G8626=CONFIG_METADATA!$B$4),IF(DATOS!$G8626="EX",1,IF(DATOS!$G8626="OR",--(COUNTIFS(nNIA,DATOS!$A8626,nCURSO,DATOS!$D8626,nESPEC,DATOS!$E8626,nASIG,DATOS!$I8626,nEVAL,"EX")=0),0))))</f>
      </c>
      <c r="H8626">
        <f>IF(DATOS!$G8626&lt;&gt;"EX",0,--(COUNTIFS(nNIA,DATOS!$A8626,nCURSO,DATOS!$D8626,nESPEC,DATOS!$E8626,nASIG,DATOS!$I8626,nEVAL,"OR")=0))</f>
      </c>
      <c r="I8626">
        <f>IF(DATOS!$I8626="","",IFERROR(VLOOKUP(DATOS!$I8626,CONFIG_ASIGNATURAS!$B$2:$J$91,9,FALSE()),""))</f>
      </c>
    </row>
    <row r="8627">
      <c r="F8627">
        <f>IF(DATOS!$A8627="","",DATOS!$A8627&amp;"|"&amp;DATOS!$D8627&amp;"|"&amp;DATOS!$E8627&amp;"|"&amp;DATOS!$I8627)</f>
      </c>
      <c r="G8627">
        <f>IF(DATOS!$A8627="",0,IF(CONFIG_METADATA!$B$4&lt;&gt;"OR+EX",--(DATOS!$G8627=CONFIG_METADATA!$B$4),IF(DATOS!$G8627="EX",1,IF(DATOS!$G8627="OR",--(COUNTIFS(nNIA,DATOS!$A8627,nCURSO,DATOS!$D8627,nESPEC,DATOS!$E8627,nASIG,DATOS!$I8627,nEVAL,"EX")=0),0))))</f>
      </c>
      <c r="H8627">
        <f>IF(DATOS!$G8627&lt;&gt;"EX",0,--(COUNTIFS(nNIA,DATOS!$A8627,nCURSO,DATOS!$D8627,nESPEC,DATOS!$E8627,nASIG,DATOS!$I8627,nEVAL,"OR")=0))</f>
      </c>
      <c r="I8627">
        <f>IF(DATOS!$I8627="","",IFERROR(VLOOKUP(DATOS!$I8627,CONFIG_ASIGNATURAS!$B$2:$J$91,9,FALSE()),""))</f>
      </c>
    </row>
    <row r="8628">
      <c r="F8628">
        <f>IF(DATOS!$A8628="","",DATOS!$A8628&amp;"|"&amp;DATOS!$D8628&amp;"|"&amp;DATOS!$E8628&amp;"|"&amp;DATOS!$I8628)</f>
      </c>
      <c r="G8628">
        <f>IF(DATOS!$A8628="",0,IF(CONFIG_METADATA!$B$4&lt;&gt;"OR+EX",--(DATOS!$G8628=CONFIG_METADATA!$B$4),IF(DATOS!$G8628="EX",1,IF(DATOS!$G8628="OR",--(COUNTIFS(nNIA,DATOS!$A8628,nCURSO,DATOS!$D8628,nESPEC,DATOS!$E8628,nASIG,DATOS!$I8628,nEVAL,"EX")=0),0))))</f>
      </c>
      <c r="H8628">
        <f>IF(DATOS!$G8628&lt;&gt;"EX",0,--(COUNTIFS(nNIA,DATOS!$A8628,nCURSO,DATOS!$D8628,nESPEC,DATOS!$E8628,nASIG,DATOS!$I8628,nEVAL,"OR")=0))</f>
      </c>
      <c r="I8628">
        <f>IF(DATOS!$I8628="","",IFERROR(VLOOKUP(DATOS!$I8628,CONFIG_ASIGNATURAS!$B$2:$J$91,9,FALSE()),""))</f>
      </c>
    </row>
    <row r="8629">
      <c r="F8629">
        <f>IF(DATOS!$A8629="","",DATOS!$A8629&amp;"|"&amp;DATOS!$D8629&amp;"|"&amp;DATOS!$E8629&amp;"|"&amp;DATOS!$I8629)</f>
      </c>
      <c r="G8629">
        <f>IF(DATOS!$A8629="",0,IF(CONFIG_METADATA!$B$4&lt;&gt;"OR+EX",--(DATOS!$G8629=CONFIG_METADATA!$B$4),IF(DATOS!$G8629="EX",1,IF(DATOS!$G8629="OR",--(COUNTIFS(nNIA,DATOS!$A8629,nCURSO,DATOS!$D8629,nESPEC,DATOS!$E8629,nASIG,DATOS!$I8629,nEVAL,"EX")=0),0))))</f>
      </c>
      <c r="H8629">
        <f>IF(DATOS!$G8629&lt;&gt;"EX",0,--(COUNTIFS(nNIA,DATOS!$A8629,nCURSO,DATOS!$D8629,nESPEC,DATOS!$E8629,nASIG,DATOS!$I8629,nEVAL,"OR")=0))</f>
      </c>
      <c r="I8629">
        <f>IF(DATOS!$I8629="","",IFERROR(VLOOKUP(DATOS!$I8629,CONFIG_ASIGNATURAS!$B$2:$J$91,9,FALSE()),""))</f>
      </c>
    </row>
    <row r="8630">
      <c r="F8630">
        <f>IF(DATOS!$A8630="","",DATOS!$A8630&amp;"|"&amp;DATOS!$D8630&amp;"|"&amp;DATOS!$E8630&amp;"|"&amp;DATOS!$I8630)</f>
      </c>
      <c r="G8630">
        <f>IF(DATOS!$A8630="",0,IF(CONFIG_METADATA!$B$4&lt;&gt;"OR+EX",--(DATOS!$G8630=CONFIG_METADATA!$B$4),IF(DATOS!$G8630="EX",1,IF(DATOS!$G8630="OR",--(COUNTIFS(nNIA,DATOS!$A8630,nCURSO,DATOS!$D8630,nESPEC,DATOS!$E8630,nASIG,DATOS!$I8630,nEVAL,"EX")=0),0))))</f>
      </c>
      <c r="H8630">
        <f>IF(DATOS!$G8630&lt;&gt;"EX",0,--(COUNTIFS(nNIA,DATOS!$A8630,nCURSO,DATOS!$D8630,nESPEC,DATOS!$E8630,nASIG,DATOS!$I8630,nEVAL,"OR")=0))</f>
      </c>
      <c r="I8630">
        <f>IF(DATOS!$I8630="","",IFERROR(VLOOKUP(DATOS!$I8630,CONFIG_ASIGNATURAS!$B$2:$J$91,9,FALSE()),""))</f>
      </c>
    </row>
    <row r="8631">
      <c r="F8631">
        <f>IF(DATOS!$A8631="","",DATOS!$A8631&amp;"|"&amp;DATOS!$D8631&amp;"|"&amp;DATOS!$E8631&amp;"|"&amp;DATOS!$I8631)</f>
      </c>
      <c r="G8631">
        <f>IF(DATOS!$A8631="",0,IF(CONFIG_METADATA!$B$4&lt;&gt;"OR+EX",--(DATOS!$G8631=CONFIG_METADATA!$B$4),IF(DATOS!$G8631="EX",1,IF(DATOS!$G8631="OR",--(COUNTIFS(nNIA,DATOS!$A8631,nCURSO,DATOS!$D8631,nESPEC,DATOS!$E8631,nASIG,DATOS!$I8631,nEVAL,"EX")=0),0))))</f>
      </c>
      <c r="H8631">
        <f>IF(DATOS!$G8631&lt;&gt;"EX",0,--(COUNTIFS(nNIA,DATOS!$A8631,nCURSO,DATOS!$D8631,nESPEC,DATOS!$E8631,nASIG,DATOS!$I8631,nEVAL,"OR")=0))</f>
      </c>
      <c r="I8631">
        <f>IF(DATOS!$I8631="","",IFERROR(VLOOKUP(DATOS!$I8631,CONFIG_ASIGNATURAS!$B$2:$J$91,9,FALSE()),""))</f>
      </c>
    </row>
    <row r="8632">
      <c r="F8632">
        <f>IF(DATOS!$A8632="","",DATOS!$A8632&amp;"|"&amp;DATOS!$D8632&amp;"|"&amp;DATOS!$E8632&amp;"|"&amp;DATOS!$I8632)</f>
      </c>
      <c r="G8632">
        <f>IF(DATOS!$A8632="",0,IF(CONFIG_METADATA!$B$4&lt;&gt;"OR+EX",--(DATOS!$G8632=CONFIG_METADATA!$B$4),IF(DATOS!$G8632="EX",1,IF(DATOS!$G8632="OR",--(COUNTIFS(nNIA,DATOS!$A8632,nCURSO,DATOS!$D8632,nESPEC,DATOS!$E8632,nASIG,DATOS!$I8632,nEVAL,"EX")=0),0))))</f>
      </c>
      <c r="H8632">
        <f>IF(DATOS!$G8632&lt;&gt;"EX",0,--(COUNTIFS(nNIA,DATOS!$A8632,nCURSO,DATOS!$D8632,nESPEC,DATOS!$E8632,nASIG,DATOS!$I8632,nEVAL,"OR")=0))</f>
      </c>
      <c r="I8632">
        <f>IF(DATOS!$I8632="","",IFERROR(VLOOKUP(DATOS!$I8632,CONFIG_ASIGNATURAS!$B$2:$J$91,9,FALSE()),""))</f>
      </c>
    </row>
    <row r="8633">
      <c r="F8633">
        <f>IF(DATOS!$A8633="","",DATOS!$A8633&amp;"|"&amp;DATOS!$D8633&amp;"|"&amp;DATOS!$E8633&amp;"|"&amp;DATOS!$I8633)</f>
      </c>
      <c r="G8633">
        <f>IF(DATOS!$A8633="",0,IF(CONFIG_METADATA!$B$4&lt;&gt;"OR+EX",--(DATOS!$G8633=CONFIG_METADATA!$B$4),IF(DATOS!$G8633="EX",1,IF(DATOS!$G8633="OR",--(COUNTIFS(nNIA,DATOS!$A8633,nCURSO,DATOS!$D8633,nESPEC,DATOS!$E8633,nASIG,DATOS!$I8633,nEVAL,"EX")=0),0))))</f>
      </c>
      <c r="H8633">
        <f>IF(DATOS!$G8633&lt;&gt;"EX",0,--(COUNTIFS(nNIA,DATOS!$A8633,nCURSO,DATOS!$D8633,nESPEC,DATOS!$E8633,nASIG,DATOS!$I8633,nEVAL,"OR")=0))</f>
      </c>
      <c r="I8633">
        <f>IF(DATOS!$I8633="","",IFERROR(VLOOKUP(DATOS!$I8633,CONFIG_ASIGNATURAS!$B$2:$J$91,9,FALSE()),""))</f>
      </c>
    </row>
    <row r="8634">
      <c r="F8634">
        <f>IF(DATOS!$A8634="","",DATOS!$A8634&amp;"|"&amp;DATOS!$D8634&amp;"|"&amp;DATOS!$E8634&amp;"|"&amp;DATOS!$I8634)</f>
      </c>
      <c r="G8634">
        <f>IF(DATOS!$A8634="",0,IF(CONFIG_METADATA!$B$4&lt;&gt;"OR+EX",--(DATOS!$G8634=CONFIG_METADATA!$B$4),IF(DATOS!$G8634="EX",1,IF(DATOS!$G8634="OR",--(COUNTIFS(nNIA,DATOS!$A8634,nCURSO,DATOS!$D8634,nESPEC,DATOS!$E8634,nASIG,DATOS!$I8634,nEVAL,"EX")=0),0))))</f>
      </c>
      <c r="H8634">
        <f>IF(DATOS!$G8634&lt;&gt;"EX",0,--(COUNTIFS(nNIA,DATOS!$A8634,nCURSO,DATOS!$D8634,nESPEC,DATOS!$E8634,nASIG,DATOS!$I8634,nEVAL,"OR")=0))</f>
      </c>
      <c r="I8634">
        <f>IF(DATOS!$I8634="","",IFERROR(VLOOKUP(DATOS!$I8634,CONFIG_ASIGNATURAS!$B$2:$J$91,9,FALSE()),""))</f>
      </c>
    </row>
    <row r="8635">
      <c r="F8635">
        <f>IF(DATOS!$A8635="","",DATOS!$A8635&amp;"|"&amp;DATOS!$D8635&amp;"|"&amp;DATOS!$E8635&amp;"|"&amp;DATOS!$I8635)</f>
      </c>
      <c r="G8635">
        <f>IF(DATOS!$A8635="",0,IF(CONFIG_METADATA!$B$4&lt;&gt;"OR+EX",--(DATOS!$G8635=CONFIG_METADATA!$B$4),IF(DATOS!$G8635="EX",1,IF(DATOS!$G8635="OR",--(COUNTIFS(nNIA,DATOS!$A8635,nCURSO,DATOS!$D8635,nESPEC,DATOS!$E8635,nASIG,DATOS!$I8635,nEVAL,"EX")=0),0))))</f>
      </c>
      <c r="H8635">
        <f>IF(DATOS!$G8635&lt;&gt;"EX",0,--(COUNTIFS(nNIA,DATOS!$A8635,nCURSO,DATOS!$D8635,nESPEC,DATOS!$E8635,nASIG,DATOS!$I8635,nEVAL,"OR")=0))</f>
      </c>
      <c r="I8635">
        <f>IF(DATOS!$I8635="","",IFERROR(VLOOKUP(DATOS!$I8635,CONFIG_ASIGNATURAS!$B$2:$J$91,9,FALSE()),""))</f>
      </c>
    </row>
    <row r="8636">
      <c r="F8636">
        <f>IF(DATOS!$A8636="","",DATOS!$A8636&amp;"|"&amp;DATOS!$D8636&amp;"|"&amp;DATOS!$E8636&amp;"|"&amp;DATOS!$I8636)</f>
      </c>
      <c r="G8636">
        <f>IF(DATOS!$A8636="",0,IF(CONFIG_METADATA!$B$4&lt;&gt;"OR+EX",--(DATOS!$G8636=CONFIG_METADATA!$B$4),IF(DATOS!$G8636="EX",1,IF(DATOS!$G8636="OR",--(COUNTIFS(nNIA,DATOS!$A8636,nCURSO,DATOS!$D8636,nESPEC,DATOS!$E8636,nASIG,DATOS!$I8636,nEVAL,"EX")=0),0))))</f>
      </c>
      <c r="H8636">
        <f>IF(DATOS!$G8636&lt;&gt;"EX",0,--(COUNTIFS(nNIA,DATOS!$A8636,nCURSO,DATOS!$D8636,nESPEC,DATOS!$E8636,nASIG,DATOS!$I8636,nEVAL,"OR")=0))</f>
      </c>
      <c r="I8636">
        <f>IF(DATOS!$I8636="","",IFERROR(VLOOKUP(DATOS!$I8636,CONFIG_ASIGNATURAS!$B$2:$J$91,9,FALSE()),""))</f>
      </c>
    </row>
    <row r="8637">
      <c r="F8637">
        <f>IF(DATOS!$A8637="","",DATOS!$A8637&amp;"|"&amp;DATOS!$D8637&amp;"|"&amp;DATOS!$E8637&amp;"|"&amp;DATOS!$I8637)</f>
      </c>
      <c r="G8637">
        <f>IF(DATOS!$A8637="",0,IF(CONFIG_METADATA!$B$4&lt;&gt;"OR+EX",--(DATOS!$G8637=CONFIG_METADATA!$B$4),IF(DATOS!$G8637="EX",1,IF(DATOS!$G8637="OR",--(COUNTIFS(nNIA,DATOS!$A8637,nCURSO,DATOS!$D8637,nESPEC,DATOS!$E8637,nASIG,DATOS!$I8637,nEVAL,"EX")=0),0))))</f>
      </c>
      <c r="H8637">
        <f>IF(DATOS!$G8637&lt;&gt;"EX",0,--(COUNTIFS(nNIA,DATOS!$A8637,nCURSO,DATOS!$D8637,nESPEC,DATOS!$E8637,nASIG,DATOS!$I8637,nEVAL,"OR")=0))</f>
      </c>
      <c r="I8637">
        <f>IF(DATOS!$I8637="","",IFERROR(VLOOKUP(DATOS!$I8637,CONFIG_ASIGNATURAS!$B$2:$J$91,9,FALSE()),""))</f>
      </c>
    </row>
    <row r="8638">
      <c r="F8638">
        <f>IF(DATOS!$A8638="","",DATOS!$A8638&amp;"|"&amp;DATOS!$D8638&amp;"|"&amp;DATOS!$E8638&amp;"|"&amp;DATOS!$I8638)</f>
      </c>
      <c r="G8638">
        <f>IF(DATOS!$A8638="",0,IF(CONFIG_METADATA!$B$4&lt;&gt;"OR+EX",--(DATOS!$G8638=CONFIG_METADATA!$B$4),IF(DATOS!$G8638="EX",1,IF(DATOS!$G8638="OR",--(COUNTIFS(nNIA,DATOS!$A8638,nCURSO,DATOS!$D8638,nESPEC,DATOS!$E8638,nASIG,DATOS!$I8638,nEVAL,"EX")=0),0))))</f>
      </c>
      <c r="H8638">
        <f>IF(DATOS!$G8638&lt;&gt;"EX",0,--(COUNTIFS(nNIA,DATOS!$A8638,nCURSO,DATOS!$D8638,nESPEC,DATOS!$E8638,nASIG,DATOS!$I8638,nEVAL,"OR")=0))</f>
      </c>
      <c r="I8638">
        <f>IF(DATOS!$I8638="","",IFERROR(VLOOKUP(DATOS!$I8638,CONFIG_ASIGNATURAS!$B$2:$J$91,9,FALSE()),""))</f>
      </c>
    </row>
    <row r="8639">
      <c r="F8639">
        <f>IF(DATOS!$A8639="","",DATOS!$A8639&amp;"|"&amp;DATOS!$D8639&amp;"|"&amp;DATOS!$E8639&amp;"|"&amp;DATOS!$I8639)</f>
      </c>
      <c r="G8639">
        <f>IF(DATOS!$A8639="",0,IF(CONFIG_METADATA!$B$4&lt;&gt;"OR+EX",--(DATOS!$G8639=CONFIG_METADATA!$B$4),IF(DATOS!$G8639="EX",1,IF(DATOS!$G8639="OR",--(COUNTIFS(nNIA,DATOS!$A8639,nCURSO,DATOS!$D8639,nESPEC,DATOS!$E8639,nASIG,DATOS!$I8639,nEVAL,"EX")=0),0))))</f>
      </c>
      <c r="H8639">
        <f>IF(DATOS!$G8639&lt;&gt;"EX",0,--(COUNTIFS(nNIA,DATOS!$A8639,nCURSO,DATOS!$D8639,nESPEC,DATOS!$E8639,nASIG,DATOS!$I8639,nEVAL,"OR")=0))</f>
      </c>
      <c r="I8639">
        <f>IF(DATOS!$I8639="","",IFERROR(VLOOKUP(DATOS!$I8639,CONFIG_ASIGNATURAS!$B$2:$J$91,9,FALSE()),""))</f>
      </c>
    </row>
    <row r="8640">
      <c r="F8640">
        <f>IF(DATOS!$A8640="","",DATOS!$A8640&amp;"|"&amp;DATOS!$D8640&amp;"|"&amp;DATOS!$E8640&amp;"|"&amp;DATOS!$I8640)</f>
      </c>
      <c r="G8640">
        <f>IF(DATOS!$A8640="",0,IF(CONFIG_METADATA!$B$4&lt;&gt;"OR+EX",--(DATOS!$G8640=CONFIG_METADATA!$B$4),IF(DATOS!$G8640="EX",1,IF(DATOS!$G8640="OR",--(COUNTIFS(nNIA,DATOS!$A8640,nCURSO,DATOS!$D8640,nESPEC,DATOS!$E8640,nASIG,DATOS!$I8640,nEVAL,"EX")=0),0))))</f>
      </c>
      <c r="H8640">
        <f>IF(DATOS!$G8640&lt;&gt;"EX",0,--(COUNTIFS(nNIA,DATOS!$A8640,nCURSO,DATOS!$D8640,nESPEC,DATOS!$E8640,nASIG,DATOS!$I8640,nEVAL,"OR")=0))</f>
      </c>
      <c r="I8640">
        <f>IF(DATOS!$I8640="","",IFERROR(VLOOKUP(DATOS!$I8640,CONFIG_ASIGNATURAS!$B$2:$J$91,9,FALSE()),""))</f>
      </c>
    </row>
    <row r="8641">
      <c r="F8641">
        <f>IF(DATOS!$A8641="","",DATOS!$A8641&amp;"|"&amp;DATOS!$D8641&amp;"|"&amp;DATOS!$E8641&amp;"|"&amp;DATOS!$I8641)</f>
      </c>
      <c r="G8641">
        <f>IF(DATOS!$A8641="",0,IF(CONFIG_METADATA!$B$4&lt;&gt;"OR+EX",--(DATOS!$G8641=CONFIG_METADATA!$B$4),IF(DATOS!$G8641="EX",1,IF(DATOS!$G8641="OR",--(COUNTIFS(nNIA,DATOS!$A8641,nCURSO,DATOS!$D8641,nESPEC,DATOS!$E8641,nASIG,DATOS!$I8641,nEVAL,"EX")=0),0))))</f>
      </c>
      <c r="H8641">
        <f>IF(DATOS!$G8641&lt;&gt;"EX",0,--(COUNTIFS(nNIA,DATOS!$A8641,nCURSO,DATOS!$D8641,nESPEC,DATOS!$E8641,nASIG,DATOS!$I8641,nEVAL,"OR")=0))</f>
      </c>
      <c r="I8641">
        <f>IF(DATOS!$I8641="","",IFERROR(VLOOKUP(DATOS!$I8641,CONFIG_ASIGNATURAS!$B$2:$J$91,9,FALSE()),""))</f>
      </c>
    </row>
    <row r="8642">
      <c r="F8642">
        <f>IF(DATOS!$A8642="","",DATOS!$A8642&amp;"|"&amp;DATOS!$D8642&amp;"|"&amp;DATOS!$E8642&amp;"|"&amp;DATOS!$I8642)</f>
      </c>
      <c r="G8642">
        <f>IF(DATOS!$A8642="",0,IF(CONFIG_METADATA!$B$4&lt;&gt;"OR+EX",--(DATOS!$G8642=CONFIG_METADATA!$B$4),IF(DATOS!$G8642="EX",1,IF(DATOS!$G8642="OR",--(COUNTIFS(nNIA,DATOS!$A8642,nCURSO,DATOS!$D8642,nESPEC,DATOS!$E8642,nASIG,DATOS!$I8642,nEVAL,"EX")=0),0))))</f>
      </c>
      <c r="H8642">
        <f>IF(DATOS!$G8642&lt;&gt;"EX",0,--(COUNTIFS(nNIA,DATOS!$A8642,nCURSO,DATOS!$D8642,nESPEC,DATOS!$E8642,nASIG,DATOS!$I8642,nEVAL,"OR")=0))</f>
      </c>
      <c r="I8642">
        <f>IF(DATOS!$I8642="","",IFERROR(VLOOKUP(DATOS!$I8642,CONFIG_ASIGNATURAS!$B$2:$J$91,9,FALSE()),""))</f>
      </c>
    </row>
    <row r="8643">
      <c r="F8643">
        <f>IF(DATOS!$A8643="","",DATOS!$A8643&amp;"|"&amp;DATOS!$D8643&amp;"|"&amp;DATOS!$E8643&amp;"|"&amp;DATOS!$I8643)</f>
      </c>
      <c r="G8643">
        <f>IF(DATOS!$A8643="",0,IF(CONFIG_METADATA!$B$4&lt;&gt;"OR+EX",--(DATOS!$G8643=CONFIG_METADATA!$B$4),IF(DATOS!$G8643="EX",1,IF(DATOS!$G8643="OR",--(COUNTIFS(nNIA,DATOS!$A8643,nCURSO,DATOS!$D8643,nESPEC,DATOS!$E8643,nASIG,DATOS!$I8643,nEVAL,"EX")=0),0))))</f>
      </c>
      <c r="H8643">
        <f>IF(DATOS!$G8643&lt;&gt;"EX",0,--(COUNTIFS(nNIA,DATOS!$A8643,nCURSO,DATOS!$D8643,nESPEC,DATOS!$E8643,nASIG,DATOS!$I8643,nEVAL,"OR")=0))</f>
      </c>
      <c r="I8643">
        <f>IF(DATOS!$I8643="","",IFERROR(VLOOKUP(DATOS!$I8643,CONFIG_ASIGNATURAS!$B$2:$J$91,9,FALSE()),""))</f>
      </c>
    </row>
    <row r="8644">
      <c r="F8644">
        <f>IF(DATOS!$A8644="","",DATOS!$A8644&amp;"|"&amp;DATOS!$D8644&amp;"|"&amp;DATOS!$E8644&amp;"|"&amp;DATOS!$I8644)</f>
      </c>
      <c r="G8644">
        <f>IF(DATOS!$A8644="",0,IF(CONFIG_METADATA!$B$4&lt;&gt;"OR+EX",--(DATOS!$G8644=CONFIG_METADATA!$B$4),IF(DATOS!$G8644="EX",1,IF(DATOS!$G8644="OR",--(COUNTIFS(nNIA,DATOS!$A8644,nCURSO,DATOS!$D8644,nESPEC,DATOS!$E8644,nASIG,DATOS!$I8644,nEVAL,"EX")=0),0))))</f>
      </c>
      <c r="H8644">
        <f>IF(DATOS!$G8644&lt;&gt;"EX",0,--(COUNTIFS(nNIA,DATOS!$A8644,nCURSO,DATOS!$D8644,nESPEC,DATOS!$E8644,nASIG,DATOS!$I8644,nEVAL,"OR")=0))</f>
      </c>
      <c r="I8644">
        <f>IF(DATOS!$I8644="","",IFERROR(VLOOKUP(DATOS!$I8644,CONFIG_ASIGNATURAS!$B$2:$J$91,9,FALSE()),""))</f>
      </c>
    </row>
    <row r="8645">
      <c r="F8645">
        <f>IF(DATOS!$A8645="","",DATOS!$A8645&amp;"|"&amp;DATOS!$D8645&amp;"|"&amp;DATOS!$E8645&amp;"|"&amp;DATOS!$I8645)</f>
      </c>
      <c r="G8645">
        <f>IF(DATOS!$A8645="",0,IF(CONFIG_METADATA!$B$4&lt;&gt;"OR+EX",--(DATOS!$G8645=CONFIG_METADATA!$B$4),IF(DATOS!$G8645="EX",1,IF(DATOS!$G8645="OR",--(COUNTIFS(nNIA,DATOS!$A8645,nCURSO,DATOS!$D8645,nESPEC,DATOS!$E8645,nASIG,DATOS!$I8645,nEVAL,"EX")=0),0))))</f>
      </c>
      <c r="H8645">
        <f>IF(DATOS!$G8645&lt;&gt;"EX",0,--(COUNTIFS(nNIA,DATOS!$A8645,nCURSO,DATOS!$D8645,nESPEC,DATOS!$E8645,nASIG,DATOS!$I8645,nEVAL,"OR")=0))</f>
      </c>
      <c r="I8645">
        <f>IF(DATOS!$I8645="","",IFERROR(VLOOKUP(DATOS!$I8645,CONFIG_ASIGNATURAS!$B$2:$J$91,9,FALSE()),""))</f>
      </c>
    </row>
    <row r="8646">
      <c r="F8646">
        <f>IF(DATOS!$A8646="","",DATOS!$A8646&amp;"|"&amp;DATOS!$D8646&amp;"|"&amp;DATOS!$E8646&amp;"|"&amp;DATOS!$I8646)</f>
      </c>
      <c r="G8646">
        <f>IF(DATOS!$A8646="",0,IF(CONFIG_METADATA!$B$4&lt;&gt;"OR+EX",--(DATOS!$G8646=CONFIG_METADATA!$B$4),IF(DATOS!$G8646="EX",1,IF(DATOS!$G8646="OR",--(COUNTIFS(nNIA,DATOS!$A8646,nCURSO,DATOS!$D8646,nESPEC,DATOS!$E8646,nASIG,DATOS!$I8646,nEVAL,"EX")=0),0))))</f>
      </c>
      <c r="H8646">
        <f>IF(DATOS!$G8646&lt;&gt;"EX",0,--(COUNTIFS(nNIA,DATOS!$A8646,nCURSO,DATOS!$D8646,nESPEC,DATOS!$E8646,nASIG,DATOS!$I8646,nEVAL,"OR")=0))</f>
      </c>
      <c r="I8646">
        <f>IF(DATOS!$I8646="","",IFERROR(VLOOKUP(DATOS!$I8646,CONFIG_ASIGNATURAS!$B$2:$J$91,9,FALSE()),""))</f>
      </c>
    </row>
    <row r="8647">
      <c r="F8647">
        <f>IF(DATOS!$A8647="","",DATOS!$A8647&amp;"|"&amp;DATOS!$D8647&amp;"|"&amp;DATOS!$E8647&amp;"|"&amp;DATOS!$I8647)</f>
      </c>
      <c r="G8647">
        <f>IF(DATOS!$A8647="",0,IF(CONFIG_METADATA!$B$4&lt;&gt;"OR+EX",--(DATOS!$G8647=CONFIG_METADATA!$B$4),IF(DATOS!$G8647="EX",1,IF(DATOS!$G8647="OR",--(COUNTIFS(nNIA,DATOS!$A8647,nCURSO,DATOS!$D8647,nESPEC,DATOS!$E8647,nASIG,DATOS!$I8647,nEVAL,"EX")=0),0))))</f>
      </c>
      <c r="H8647">
        <f>IF(DATOS!$G8647&lt;&gt;"EX",0,--(COUNTIFS(nNIA,DATOS!$A8647,nCURSO,DATOS!$D8647,nESPEC,DATOS!$E8647,nASIG,DATOS!$I8647,nEVAL,"OR")=0))</f>
      </c>
      <c r="I8647">
        <f>IF(DATOS!$I8647="","",IFERROR(VLOOKUP(DATOS!$I8647,CONFIG_ASIGNATURAS!$B$2:$J$91,9,FALSE()),""))</f>
      </c>
    </row>
    <row r="8648">
      <c r="F8648">
        <f>IF(DATOS!$A8648="","",DATOS!$A8648&amp;"|"&amp;DATOS!$D8648&amp;"|"&amp;DATOS!$E8648&amp;"|"&amp;DATOS!$I8648)</f>
      </c>
      <c r="G8648">
        <f>IF(DATOS!$A8648="",0,IF(CONFIG_METADATA!$B$4&lt;&gt;"OR+EX",--(DATOS!$G8648=CONFIG_METADATA!$B$4),IF(DATOS!$G8648="EX",1,IF(DATOS!$G8648="OR",--(COUNTIFS(nNIA,DATOS!$A8648,nCURSO,DATOS!$D8648,nESPEC,DATOS!$E8648,nASIG,DATOS!$I8648,nEVAL,"EX")=0),0))))</f>
      </c>
      <c r="H8648">
        <f>IF(DATOS!$G8648&lt;&gt;"EX",0,--(COUNTIFS(nNIA,DATOS!$A8648,nCURSO,DATOS!$D8648,nESPEC,DATOS!$E8648,nASIG,DATOS!$I8648,nEVAL,"OR")=0))</f>
      </c>
      <c r="I8648">
        <f>IF(DATOS!$I8648="","",IFERROR(VLOOKUP(DATOS!$I8648,CONFIG_ASIGNATURAS!$B$2:$J$91,9,FALSE()),""))</f>
      </c>
    </row>
    <row r="8649">
      <c r="F8649">
        <f>IF(DATOS!$A8649="","",DATOS!$A8649&amp;"|"&amp;DATOS!$D8649&amp;"|"&amp;DATOS!$E8649&amp;"|"&amp;DATOS!$I8649)</f>
      </c>
      <c r="G8649">
        <f>IF(DATOS!$A8649="",0,IF(CONFIG_METADATA!$B$4&lt;&gt;"OR+EX",--(DATOS!$G8649=CONFIG_METADATA!$B$4),IF(DATOS!$G8649="EX",1,IF(DATOS!$G8649="OR",--(COUNTIFS(nNIA,DATOS!$A8649,nCURSO,DATOS!$D8649,nESPEC,DATOS!$E8649,nASIG,DATOS!$I8649,nEVAL,"EX")=0),0))))</f>
      </c>
      <c r="H8649">
        <f>IF(DATOS!$G8649&lt;&gt;"EX",0,--(COUNTIFS(nNIA,DATOS!$A8649,nCURSO,DATOS!$D8649,nESPEC,DATOS!$E8649,nASIG,DATOS!$I8649,nEVAL,"OR")=0))</f>
      </c>
      <c r="I8649">
        <f>IF(DATOS!$I8649="","",IFERROR(VLOOKUP(DATOS!$I8649,CONFIG_ASIGNATURAS!$B$2:$J$91,9,FALSE()),""))</f>
      </c>
    </row>
    <row r="8650">
      <c r="F8650">
        <f>IF(DATOS!$A8650="","",DATOS!$A8650&amp;"|"&amp;DATOS!$D8650&amp;"|"&amp;DATOS!$E8650&amp;"|"&amp;DATOS!$I8650)</f>
      </c>
      <c r="G8650">
        <f>IF(DATOS!$A8650="",0,IF(CONFIG_METADATA!$B$4&lt;&gt;"OR+EX",--(DATOS!$G8650=CONFIG_METADATA!$B$4),IF(DATOS!$G8650="EX",1,IF(DATOS!$G8650="OR",--(COUNTIFS(nNIA,DATOS!$A8650,nCURSO,DATOS!$D8650,nESPEC,DATOS!$E8650,nASIG,DATOS!$I8650,nEVAL,"EX")=0),0))))</f>
      </c>
      <c r="H8650">
        <f>IF(DATOS!$G8650&lt;&gt;"EX",0,--(COUNTIFS(nNIA,DATOS!$A8650,nCURSO,DATOS!$D8650,nESPEC,DATOS!$E8650,nASIG,DATOS!$I8650,nEVAL,"OR")=0))</f>
      </c>
      <c r="I8650">
        <f>IF(DATOS!$I8650="","",IFERROR(VLOOKUP(DATOS!$I8650,CONFIG_ASIGNATURAS!$B$2:$J$91,9,FALSE()),""))</f>
      </c>
    </row>
    <row r="8651">
      <c r="F8651">
        <f>IF(DATOS!$A8651="","",DATOS!$A8651&amp;"|"&amp;DATOS!$D8651&amp;"|"&amp;DATOS!$E8651&amp;"|"&amp;DATOS!$I8651)</f>
      </c>
      <c r="G8651">
        <f>IF(DATOS!$A8651="",0,IF(CONFIG_METADATA!$B$4&lt;&gt;"OR+EX",--(DATOS!$G8651=CONFIG_METADATA!$B$4),IF(DATOS!$G8651="EX",1,IF(DATOS!$G8651="OR",--(COUNTIFS(nNIA,DATOS!$A8651,nCURSO,DATOS!$D8651,nESPEC,DATOS!$E8651,nASIG,DATOS!$I8651,nEVAL,"EX")=0),0))))</f>
      </c>
      <c r="H8651">
        <f>IF(DATOS!$G8651&lt;&gt;"EX",0,--(COUNTIFS(nNIA,DATOS!$A8651,nCURSO,DATOS!$D8651,nESPEC,DATOS!$E8651,nASIG,DATOS!$I8651,nEVAL,"OR")=0))</f>
      </c>
      <c r="I8651">
        <f>IF(DATOS!$I8651="","",IFERROR(VLOOKUP(DATOS!$I8651,CONFIG_ASIGNATURAS!$B$2:$J$91,9,FALSE()),""))</f>
      </c>
    </row>
    <row r="8652">
      <c r="F8652">
        <f>IF(DATOS!$A8652="","",DATOS!$A8652&amp;"|"&amp;DATOS!$D8652&amp;"|"&amp;DATOS!$E8652&amp;"|"&amp;DATOS!$I8652)</f>
      </c>
      <c r="G8652">
        <f>IF(DATOS!$A8652="",0,IF(CONFIG_METADATA!$B$4&lt;&gt;"OR+EX",--(DATOS!$G8652=CONFIG_METADATA!$B$4),IF(DATOS!$G8652="EX",1,IF(DATOS!$G8652="OR",--(COUNTIFS(nNIA,DATOS!$A8652,nCURSO,DATOS!$D8652,nESPEC,DATOS!$E8652,nASIG,DATOS!$I8652,nEVAL,"EX")=0),0))))</f>
      </c>
      <c r="H8652">
        <f>IF(DATOS!$G8652&lt;&gt;"EX",0,--(COUNTIFS(nNIA,DATOS!$A8652,nCURSO,DATOS!$D8652,nESPEC,DATOS!$E8652,nASIG,DATOS!$I8652,nEVAL,"OR")=0))</f>
      </c>
      <c r="I8652">
        <f>IF(DATOS!$I8652="","",IFERROR(VLOOKUP(DATOS!$I8652,CONFIG_ASIGNATURAS!$B$2:$J$91,9,FALSE()),""))</f>
      </c>
    </row>
    <row r="8653">
      <c r="F8653">
        <f>IF(DATOS!$A8653="","",DATOS!$A8653&amp;"|"&amp;DATOS!$D8653&amp;"|"&amp;DATOS!$E8653&amp;"|"&amp;DATOS!$I8653)</f>
      </c>
      <c r="G8653">
        <f>IF(DATOS!$A8653="",0,IF(CONFIG_METADATA!$B$4&lt;&gt;"OR+EX",--(DATOS!$G8653=CONFIG_METADATA!$B$4),IF(DATOS!$G8653="EX",1,IF(DATOS!$G8653="OR",--(COUNTIFS(nNIA,DATOS!$A8653,nCURSO,DATOS!$D8653,nESPEC,DATOS!$E8653,nASIG,DATOS!$I8653,nEVAL,"EX")=0),0))))</f>
      </c>
      <c r="H8653">
        <f>IF(DATOS!$G8653&lt;&gt;"EX",0,--(COUNTIFS(nNIA,DATOS!$A8653,nCURSO,DATOS!$D8653,nESPEC,DATOS!$E8653,nASIG,DATOS!$I8653,nEVAL,"OR")=0))</f>
      </c>
      <c r="I8653">
        <f>IF(DATOS!$I8653="","",IFERROR(VLOOKUP(DATOS!$I8653,CONFIG_ASIGNATURAS!$B$2:$J$91,9,FALSE()),""))</f>
      </c>
    </row>
    <row r="8654">
      <c r="F8654">
        <f>IF(DATOS!$A8654="","",DATOS!$A8654&amp;"|"&amp;DATOS!$D8654&amp;"|"&amp;DATOS!$E8654&amp;"|"&amp;DATOS!$I8654)</f>
      </c>
      <c r="G8654">
        <f>IF(DATOS!$A8654="",0,IF(CONFIG_METADATA!$B$4&lt;&gt;"OR+EX",--(DATOS!$G8654=CONFIG_METADATA!$B$4),IF(DATOS!$G8654="EX",1,IF(DATOS!$G8654="OR",--(COUNTIFS(nNIA,DATOS!$A8654,nCURSO,DATOS!$D8654,nESPEC,DATOS!$E8654,nASIG,DATOS!$I8654,nEVAL,"EX")=0),0))))</f>
      </c>
      <c r="H8654">
        <f>IF(DATOS!$G8654&lt;&gt;"EX",0,--(COUNTIFS(nNIA,DATOS!$A8654,nCURSO,DATOS!$D8654,nESPEC,DATOS!$E8654,nASIG,DATOS!$I8654,nEVAL,"OR")=0))</f>
      </c>
      <c r="I8654">
        <f>IF(DATOS!$I8654="","",IFERROR(VLOOKUP(DATOS!$I8654,CONFIG_ASIGNATURAS!$B$2:$J$91,9,FALSE()),""))</f>
      </c>
    </row>
    <row r="8655">
      <c r="F8655">
        <f>IF(DATOS!$A8655="","",DATOS!$A8655&amp;"|"&amp;DATOS!$D8655&amp;"|"&amp;DATOS!$E8655&amp;"|"&amp;DATOS!$I8655)</f>
      </c>
      <c r="G8655">
        <f>IF(DATOS!$A8655="",0,IF(CONFIG_METADATA!$B$4&lt;&gt;"OR+EX",--(DATOS!$G8655=CONFIG_METADATA!$B$4),IF(DATOS!$G8655="EX",1,IF(DATOS!$G8655="OR",--(COUNTIFS(nNIA,DATOS!$A8655,nCURSO,DATOS!$D8655,nESPEC,DATOS!$E8655,nASIG,DATOS!$I8655,nEVAL,"EX")=0),0))))</f>
      </c>
      <c r="H8655">
        <f>IF(DATOS!$G8655&lt;&gt;"EX",0,--(COUNTIFS(nNIA,DATOS!$A8655,nCURSO,DATOS!$D8655,nESPEC,DATOS!$E8655,nASIG,DATOS!$I8655,nEVAL,"OR")=0))</f>
      </c>
      <c r="I8655">
        <f>IF(DATOS!$I8655="","",IFERROR(VLOOKUP(DATOS!$I8655,CONFIG_ASIGNATURAS!$B$2:$J$91,9,FALSE()),""))</f>
      </c>
    </row>
    <row r="8656">
      <c r="F8656">
        <f>IF(DATOS!$A8656="","",DATOS!$A8656&amp;"|"&amp;DATOS!$D8656&amp;"|"&amp;DATOS!$E8656&amp;"|"&amp;DATOS!$I8656)</f>
      </c>
      <c r="G8656">
        <f>IF(DATOS!$A8656="",0,IF(CONFIG_METADATA!$B$4&lt;&gt;"OR+EX",--(DATOS!$G8656=CONFIG_METADATA!$B$4),IF(DATOS!$G8656="EX",1,IF(DATOS!$G8656="OR",--(COUNTIFS(nNIA,DATOS!$A8656,nCURSO,DATOS!$D8656,nESPEC,DATOS!$E8656,nASIG,DATOS!$I8656,nEVAL,"EX")=0),0))))</f>
      </c>
      <c r="H8656">
        <f>IF(DATOS!$G8656&lt;&gt;"EX",0,--(COUNTIFS(nNIA,DATOS!$A8656,nCURSO,DATOS!$D8656,nESPEC,DATOS!$E8656,nASIG,DATOS!$I8656,nEVAL,"OR")=0))</f>
      </c>
      <c r="I8656">
        <f>IF(DATOS!$I8656="","",IFERROR(VLOOKUP(DATOS!$I8656,CONFIG_ASIGNATURAS!$B$2:$J$91,9,FALSE()),""))</f>
      </c>
    </row>
    <row r="8657">
      <c r="F8657">
        <f>IF(DATOS!$A8657="","",DATOS!$A8657&amp;"|"&amp;DATOS!$D8657&amp;"|"&amp;DATOS!$E8657&amp;"|"&amp;DATOS!$I8657)</f>
      </c>
      <c r="G8657">
        <f>IF(DATOS!$A8657="",0,IF(CONFIG_METADATA!$B$4&lt;&gt;"OR+EX",--(DATOS!$G8657=CONFIG_METADATA!$B$4),IF(DATOS!$G8657="EX",1,IF(DATOS!$G8657="OR",--(COUNTIFS(nNIA,DATOS!$A8657,nCURSO,DATOS!$D8657,nESPEC,DATOS!$E8657,nASIG,DATOS!$I8657,nEVAL,"EX")=0),0))))</f>
      </c>
      <c r="H8657">
        <f>IF(DATOS!$G8657&lt;&gt;"EX",0,--(COUNTIFS(nNIA,DATOS!$A8657,nCURSO,DATOS!$D8657,nESPEC,DATOS!$E8657,nASIG,DATOS!$I8657,nEVAL,"OR")=0))</f>
      </c>
      <c r="I8657">
        <f>IF(DATOS!$I8657="","",IFERROR(VLOOKUP(DATOS!$I8657,CONFIG_ASIGNATURAS!$B$2:$J$91,9,FALSE()),""))</f>
      </c>
    </row>
    <row r="8658">
      <c r="F8658">
        <f>IF(DATOS!$A8658="","",DATOS!$A8658&amp;"|"&amp;DATOS!$D8658&amp;"|"&amp;DATOS!$E8658&amp;"|"&amp;DATOS!$I8658)</f>
      </c>
      <c r="G8658">
        <f>IF(DATOS!$A8658="",0,IF(CONFIG_METADATA!$B$4&lt;&gt;"OR+EX",--(DATOS!$G8658=CONFIG_METADATA!$B$4),IF(DATOS!$G8658="EX",1,IF(DATOS!$G8658="OR",--(COUNTIFS(nNIA,DATOS!$A8658,nCURSO,DATOS!$D8658,nESPEC,DATOS!$E8658,nASIG,DATOS!$I8658,nEVAL,"EX")=0),0))))</f>
      </c>
      <c r="H8658">
        <f>IF(DATOS!$G8658&lt;&gt;"EX",0,--(COUNTIFS(nNIA,DATOS!$A8658,nCURSO,DATOS!$D8658,nESPEC,DATOS!$E8658,nASIG,DATOS!$I8658,nEVAL,"OR")=0))</f>
      </c>
      <c r="I8658">
        <f>IF(DATOS!$I8658="","",IFERROR(VLOOKUP(DATOS!$I8658,CONFIG_ASIGNATURAS!$B$2:$J$91,9,FALSE()),""))</f>
      </c>
    </row>
    <row r="8659">
      <c r="F8659">
        <f>IF(DATOS!$A8659="","",DATOS!$A8659&amp;"|"&amp;DATOS!$D8659&amp;"|"&amp;DATOS!$E8659&amp;"|"&amp;DATOS!$I8659)</f>
      </c>
      <c r="G8659">
        <f>IF(DATOS!$A8659="",0,IF(CONFIG_METADATA!$B$4&lt;&gt;"OR+EX",--(DATOS!$G8659=CONFIG_METADATA!$B$4),IF(DATOS!$G8659="EX",1,IF(DATOS!$G8659="OR",--(COUNTIFS(nNIA,DATOS!$A8659,nCURSO,DATOS!$D8659,nESPEC,DATOS!$E8659,nASIG,DATOS!$I8659,nEVAL,"EX")=0),0))))</f>
      </c>
      <c r="H8659">
        <f>IF(DATOS!$G8659&lt;&gt;"EX",0,--(COUNTIFS(nNIA,DATOS!$A8659,nCURSO,DATOS!$D8659,nESPEC,DATOS!$E8659,nASIG,DATOS!$I8659,nEVAL,"OR")=0))</f>
      </c>
      <c r="I8659">
        <f>IF(DATOS!$I8659="","",IFERROR(VLOOKUP(DATOS!$I8659,CONFIG_ASIGNATURAS!$B$2:$J$91,9,FALSE()),""))</f>
      </c>
    </row>
    <row r="8660">
      <c r="F8660">
        <f>IF(DATOS!$A8660="","",DATOS!$A8660&amp;"|"&amp;DATOS!$D8660&amp;"|"&amp;DATOS!$E8660&amp;"|"&amp;DATOS!$I8660)</f>
      </c>
      <c r="G8660">
        <f>IF(DATOS!$A8660="",0,IF(CONFIG_METADATA!$B$4&lt;&gt;"OR+EX",--(DATOS!$G8660=CONFIG_METADATA!$B$4),IF(DATOS!$G8660="EX",1,IF(DATOS!$G8660="OR",--(COUNTIFS(nNIA,DATOS!$A8660,nCURSO,DATOS!$D8660,nESPEC,DATOS!$E8660,nASIG,DATOS!$I8660,nEVAL,"EX")=0),0))))</f>
      </c>
      <c r="H8660">
        <f>IF(DATOS!$G8660&lt;&gt;"EX",0,--(COUNTIFS(nNIA,DATOS!$A8660,nCURSO,DATOS!$D8660,nESPEC,DATOS!$E8660,nASIG,DATOS!$I8660,nEVAL,"OR")=0))</f>
      </c>
      <c r="I8660">
        <f>IF(DATOS!$I8660="","",IFERROR(VLOOKUP(DATOS!$I8660,CONFIG_ASIGNATURAS!$B$2:$J$91,9,FALSE()),""))</f>
      </c>
    </row>
    <row r="8661">
      <c r="F8661">
        <f>IF(DATOS!$A8661="","",DATOS!$A8661&amp;"|"&amp;DATOS!$D8661&amp;"|"&amp;DATOS!$E8661&amp;"|"&amp;DATOS!$I8661)</f>
      </c>
      <c r="G8661">
        <f>IF(DATOS!$A8661="",0,IF(CONFIG_METADATA!$B$4&lt;&gt;"OR+EX",--(DATOS!$G8661=CONFIG_METADATA!$B$4),IF(DATOS!$G8661="EX",1,IF(DATOS!$G8661="OR",--(COUNTIFS(nNIA,DATOS!$A8661,nCURSO,DATOS!$D8661,nESPEC,DATOS!$E8661,nASIG,DATOS!$I8661,nEVAL,"EX")=0),0))))</f>
      </c>
      <c r="H8661">
        <f>IF(DATOS!$G8661&lt;&gt;"EX",0,--(COUNTIFS(nNIA,DATOS!$A8661,nCURSO,DATOS!$D8661,nESPEC,DATOS!$E8661,nASIG,DATOS!$I8661,nEVAL,"OR")=0))</f>
      </c>
      <c r="I8661">
        <f>IF(DATOS!$I8661="","",IFERROR(VLOOKUP(DATOS!$I8661,CONFIG_ASIGNATURAS!$B$2:$J$91,9,FALSE()),""))</f>
      </c>
    </row>
    <row r="8662">
      <c r="F8662">
        <f>IF(DATOS!$A8662="","",DATOS!$A8662&amp;"|"&amp;DATOS!$D8662&amp;"|"&amp;DATOS!$E8662&amp;"|"&amp;DATOS!$I8662)</f>
      </c>
      <c r="G8662">
        <f>IF(DATOS!$A8662="",0,IF(CONFIG_METADATA!$B$4&lt;&gt;"OR+EX",--(DATOS!$G8662=CONFIG_METADATA!$B$4),IF(DATOS!$G8662="EX",1,IF(DATOS!$G8662="OR",--(COUNTIFS(nNIA,DATOS!$A8662,nCURSO,DATOS!$D8662,nESPEC,DATOS!$E8662,nASIG,DATOS!$I8662,nEVAL,"EX")=0),0))))</f>
      </c>
      <c r="H8662">
        <f>IF(DATOS!$G8662&lt;&gt;"EX",0,--(COUNTIFS(nNIA,DATOS!$A8662,nCURSO,DATOS!$D8662,nESPEC,DATOS!$E8662,nASIG,DATOS!$I8662,nEVAL,"OR")=0))</f>
      </c>
      <c r="I8662">
        <f>IF(DATOS!$I8662="","",IFERROR(VLOOKUP(DATOS!$I8662,CONFIG_ASIGNATURAS!$B$2:$J$91,9,FALSE()),""))</f>
      </c>
    </row>
    <row r="8663">
      <c r="F8663">
        <f>IF(DATOS!$A8663="","",DATOS!$A8663&amp;"|"&amp;DATOS!$D8663&amp;"|"&amp;DATOS!$E8663&amp;"|"&amp;DATOS!$I8663)</f>
      </c>
      <c r="G8663">
        <f>IF(DATOS!$A8663="",0,IF(CONFIG_METADATA!$B$4&lt;&gt;"OR+EX",--(DATOS!$G8663=CONFIG_METADATA!$B$4),IF(DATOS!$G8663="EX",1,IF(DATOS!$G8663="OR",--(COUNTIFS(nNIA,DATOS!$A8663,nCURSO,DATOS!$D8663,nESPEC,DATOS!$E8663,nASIG,DATOS!$I8663,nEVAL,"EX")=0),0))))</f>
      </c>
      <c r="H8663">
        <f>IF(DATOS!$G8663&lt;&gt;"EX",0,--(COUNTIFS(nNIA,DATOS!$A8663,nCURSO,DATOS!$D8663,nESPEC,DATOS!$E8663,nASIG,DATOS!$I8663,nEVAL,"OR")=0))</f>
      </c>
      <c r="I8663">
        <f>IF(DATOS!$I8663="","",IFERROR(VLOOKUP(DATOS!$I8663,CONFIG_ASIGNATURAS!$B$2:$J$91,9,FALSE()),""))</f>
      </c>
    </row>
    <row r="8664">
      <c r="F8664">
        <f>IF(DATOS!$A8664="","",DATOS!$A8664&amp;"|"&amp;DATOS!$D8664&amp;"|"&amp;DATOS!$E8664&amp;"|"&amp;DATOS!$I8664)</f>
      </c>
      <c r="G8664">
        <f>IF(DATOS!$A8664="",0,IF(CONFIG_METADATA!$B$4&lt;&gt;"OR+EX",--(DATOS!$G8664=CONFIG_METADATA!$B$4),IF(DATOS!$G8664="EX",1,IF(DATOS!$G8664="OR",--(COUNTIFS(nNIA,DATOS!$A8664,nCURSO,DATOS!$D8664,nESPEC,DATOS!$E8664,nASIG,DATOS!$I8664,nEVAL,"EX")=0),0))))</f>
      </c>
      <c r="H8664">
        <f>IF(DATOS!$G8664&lt;&gt;"EX",0,--(COUNTIFS(nNIA,DATOS!$A8664,nCURSO,DATOS!$D8664,nESPEC,DATOS!$E8664,nASIG,DATOS!$I8664,nEVAL,"OR")=0))</f>
      </c>
      <c r="I8664">
        <f>IF(DATOS!$I8664="","",IFERROR(VLOOKUP(DATOS!$I8664,CONFIG_ASIGNATURAS!$B$2:$J$91,9,FALSE()),""))</f>
      </c>
    </row>
    <row r="8665">
      <c r="F8665">
        <f>IF(DATOS!$A8665="","",DATOS!$A8665&amp;"|"&amp;DATOS!$D8665&amp;"|"&amp;DATOS!$E8665&amp;"|"&amp;DATOS!$I8665)</f>
      </c>
      <c r="G8665">
        <f>IF(DATOS!$A8665="",0,IF(CONFIG_METADATA!$B$4&lt;&gt;"OR+EX",--(DATOS!$G8665=CONFIG_METADATA!$B$4),IF(DATOS!$G8665="EX",1,IF(DATOS!$G8665="OR",--(COUNTIFS(nNIA,DATOS!$A8665,nCURSO,DATOS!$D8665,nESPEC,DATOS!$E8665,nASIG,DATOS!$I8665,nEVAL,"EX")=0),0))))</f>
      </c>
      <c r="H8665">
        <f>IF(DATOS!$G8665&lt;&gt;"EX",0,--(COUNTIFS(nNIA,DATOS!$A8665,nCURSO,DATOS!$D8665,nESPEC,DATOS!$E8665,nASIG,DATOS!$I8665,nEVAL,"OR")=0))</f>
      </c>
      <c r="I8665">
        <f>IF(DATOS!$I8665="","",IFERROR(VLOOKUP(DATOS!$I8665,CONFIG_ASIGNATURAS!$B$2:$J$91,9,FALSE()),""))</f>
      </c>
    </row>
    <row r="8666">
      <c r="F8666">
        <f>IF(DATOS!$A8666="","",DATOS!$A8666&amp;"|"&amp;DATOS!$D8666&amp;"|"&amp;DATOS!$E8666&amp;"|"&amp;DATOS!$I8666)</f>
      </c>
      <c r="G8666">
        <f>IF(DATOS!$A8666="",0,IF(CONFIG_METADATA!$B$4&lt;&gt;"OR+EX",--(DATOS!$G8666=CONFIG_METADATA!$B$4),IF(DATOS!$G8666="EX",1,IF(DATOS!$G8666="OR",--(COUNTIFS(nNIA,DATOS!$A8666,nCURSO,DATOS!$D8666,nESPEC,DATOS!$E8666,nASIG,DATOS!$I8666,nEVAL,"EX")=0),0))))</f>
      </c>
      <c r="H8666">
        <f>IF(DATOS!$G8666&lt;&gt;"EX",0,--(COUNTIFS(nNIA,DATOS!$A8666,nCURSO,DATOS!$D8666,nESPEC,DATOS!$E8666,nASIG,DATOS!$I8666,nEVAL,"OR")=0))</f>
      </c>
      <c r="I8666">
        <f>IF(DATOS!$I8666="","",IFERROR(VLOOKUP(DATOS!$I8666,CONFIG_ASIGNATURAS!$B$2:$J$91,9,FALSE()),""))</f>
      </c>
    </row>
    <row r="8667">
      <c r="F8667">
        <f>IF(DATOS!$A8667="","",DATOS!$A8667&amp;"|"&amp;DATOS!$D8667&amp;"|"&amp;DATOS!$E8667&amp;"|"&amp;DATOS!$I8667)</f>
      </c>
      <c r="G8667">
        <f>IF(DATOS!$A8667="",0,IF(CONFIG_METADATA!$B$4&lt;&gt;"OR+EX",--(DATOS!$G8667=CONFIG_METADATA!$B$4),IF(DATOS!$G8667="EX",1,IF(DATOS!$G8667="OR",--(COUNTIFS(nNIA,DATOS!$A8667,nCURSO,DATOS!$D8667,nESPEC,DATOS!$E8667,nASIG,DATOS!$I8667,nEVAL,"EX")=0),0))))</f>
      </c>
      <c r="H8667">
        <f>IF(DATOS!$G8667&lt;&gt;"EX",0,--(COUNTIFS(nNIA,DATOS!$A8667,nCURSO,DATOS!$D8667,nESPEC,DATOS!$E8667,nASIG,DATOS!$I8667,nEVAL,"OR")=0))</f>
      </c>
      <c r="I8667">
        <f>IF(DATOS!$I8667="","",IFERROR(VLOOKUP(DATOS!$I8667,CONFIG_ASIGNATURAS!$B$2:$J$91,9,FALSE()),""))</f>
      </c>
    </row>
    <row r="8668">
      <c r="F8668">
        <f>IF(DATOS!$A8668="","",DATOS!$A8668&amp;"|"&amp;DATOS!$D8668&amp;"|"&amp;DATOS!$E8668&amp;"|"&amp;DATOS!$I8668)</f>
      </c>
      <c r="G8668">
        <f>IF(DATOS!$A8668="",0,IF(CONFIG_METADATA!$B$4&lt;&gt;"OR+EX",--(DATOS!$G8668=CONFIG_METADATA!$B$4),IF(DATOS!$G8668="EX",1,IF(DATOS!$G8668="OR",--(COUNTIFS(nNIA,DATOS!$A8668,nCURSO,DATOS!$D8668,nESPEC,DATOS!$E8668,nASIG,DATOS!$I8668,nEVAL,"EX")=0),0))))</f>
      </c>
      <c r="H8668">
        <f>IF(DATOS!$G8668&lt;&gt;"EX",0,--(COUNTIFS(nNIA,DATOS!$A8668,nCURSO,DATOS!$D8668,nESPEC,DATOS!$E8668,nASIG,DATOS!$I8668,nEVAL,"OR")=0))</f>
      </c>
      <c r="I8668">
        <f>IF(DATOS!$I8668="","",IFERROR(VLOOKUP(DATOS!$I8668,CONFIG_ASIGNATURAS!$B$2:$J$91,9,FALSE()),""))</f>
      </c>
    </row>
    <row r="8669">
      <c r="F8669">
        <f>IF(DATOS!$A8669="","",DATOS!$A8669&amp;"|"&amp;DATOS!$D8669&amp;"|"&amp;DATOS!$E8669&amp;"|"&amp;DATOS!$I8669)</f>
      </c>
      <c r="G8669">
        <f>IF(DATOS!$A8669="",0,IF(CONFIG_METADATA!$B$4&lt;&gt;"OR+EX",--(DATOS!$G8669=CONFIG_METADATA!$B$4),IF(DATOS!$G8669="EX",1,IF(DATOS!$G8669="OR",--(COUNTIFS(nNIA,DATOS!$A8669,nCURSO,DATOS!$D8669,nESPEC,DATOS!$E8669,nASIG,DATOS!$I8669,nEVAL,"EX")=0),0))))</f>
      </c>
      <c r="H8669">
        <f>IF(DATOS!$G8669&lt;&gt;"EX",0,--(COUNTIFS(nNIA,DATOS!$A8669,nCURSO,DATOS!$D8669,nESPEC,DATOS!$E8669,nASIG,DATOS!$I8669,nEVAL,"OR")=0))</f>
      </c>
      <c r="I8669">
        <f>IF(DATOS!$I8669="","",IFERROR(VLOOKUP(DATOS!$I8669,CONFIG_ASIGNATURAS!$B$2:$J$91,9,FALSE()),""))</f>
      </c>
    </row>
    <row r="8670">
      <c r="F8670">
        <f>IF(DATOS!$A8670="","",DATOS!$A8670&amp;"|"&amp;DATOS!$D8670&amp;"|"&amp;DATOS!$E8670&amp;"|"&amp;DATOS!$I8670)</f>
      </c>
      <c r="G8670">
        <f>IF(DATOS!$A8670="",0,IF(CONFIG_METADATA!$B$4&lt;&gt;"OR+EX",--(DATOS!$G8670=CONFIG_METADATA!$B$4),IF(DATOS!$G8670="EX",1,IF(DATOS!$G8670="OR",--(COUNTIFS(nNIA,DATOS!$A8670,nCURSO,DATOS!$D8670,nESPEC,DATOS!$E8670,nASIG,DATOS!$I8670,nEVAL,"EX")=0),0))))</f>
      </c>
      <c r="H8670">
        <f>IF(DATOS!$G8670&lt;&gt;"EX",0,--(COUNTIFS(nNIA,DATOS!$A8670,nCURSO,DATOS!$D8670,nESPEC,DATOS!$E8670,nASIG,DATOS!$I8670,nEVAL,"OR")=0))</f>
      </c>
      <c r="I8670">
        <f>IF(DATOS!$I8670="","",IFERROR(VLOOKUP(DATOS!$I8670,CONFIG_ASIGNATURAS!$B$2:$J$91,9,FALSE()),""))</f>
      </c>
    </row>
    <row r="8671">
      <c r="F8671">
        <f>IF(DATOS!$A8671="","",DATOS!$A8671&amp;"|"&amp;DATOS!$D8671&amp;"|"&amp;DATOS!$E8671&amp;"|"&amp;DATOS!$I8671)</f>
      </c>
      <c r="G8671">
        <f>IF(DATOS!$A8671="",0,IF(CONFIG_METADATA!$B$4&lt;&gt;"OR+EX",--(DATOS!$G8671=CONFIG_METADATA!$B$4),IF(DATOS!$G8671="EX",1,IF(DATOS!$G8671="OR",--(COUNTIFS(nNIA,DATOS!$A8671,nCURSO,DATOS!$D8671,nESPEC,DATOS!$E8671,nASIG,DATOS!$I8671,nEVAL,"EX")=0),0))))</f>
      </c>
      <c r="H8671">
        <f>IF(DATOS!$G8671&lt;&gt;"EX",0,--(COUNTIFS(nNIA,DATOS!$A8671,nCURSO,DATOS!$D8671,nESPEC,DATOS!$E8671,nASIG,DATOS!$I8671,nEVAL,"OR")=0))</f>
      </c>
      <c r="I8671">
        <f>IF(DATOS!$I8671="","",IFERROR(VLOOKUP(DATOS!$I8671,CONFIG_ASIGNATURAS!$B$2:$J$91,9,FALSE()),""))</f>
      </c>
    </row>
    <row r="8672">
      <c r="F8672">
        <f>IF(DATOS!$A8672="","",DATOS!$A8672&amp;"|"&amp;DATOS!$D8672&amp;"|"&amp;DATOS!$E8672&amp;"|"&amp;DATOS!$I8672)</f>
      </c>
      <c r="G8672">
        <f>IF(DATOS!$A8672="",0,IF(CONFIG_METADATA!$B$4&lt;&gt;"OR+EX",--(DATOS!$G8672=CONFIG_METADATA!$B$4),IF(DATOS!$G8672="EX",1,IF(DATOS!$G8672="OR",--(COUNTIFS(nNIA,DATOS!$A8672,nCURSO,DATOS!$D8672,nESPEC,DATOS!$E8672,nASIG,DATOS!$I8672,nEVAL,"EX")=0),0))))</f>
      </c>
      <c r="H8672">
        <f>IF(DATOS!$G8672&lt;&gt;"EX",0,--(COUNTIFS(nNIA,DATOS!$A8672,nCURSO,DATOS!$D8672,nESPEC,DATOS!$E8672,nASIG,DATOS!$I8672,nEVAL,"OR")=0))</f>
      </c>
      <c r="I8672">
        <f>IF(DATOS!$I8672="","",IFERROR(VLOOKUP(DATOS!$I8672,CONFIG_ASIGNATURAS!$B$2:$J$91,9,FALSE()),""))</f>
      </c>
    </row>
    <row r="8673">
      <c r="F8673">
        <f>IF(DATOS!$A8673="","",DATOS!$A8673&amp;"|"&amp;DATOS!$D8673&amp;"|"&amp;DATOS!$E8673&amp;"|"&amp;DATOS!$I8673)</f>
      </c>
      <c r="G8673">
        <f>IF(DATOS!$A8673="",0,IF(CONFIG_METADATA!$B$4&lt;&gt;"OR+EX",--(DATOS!$G8673=CONFIG_METADATA!$B$4),IF(DATOS!$G8673="EX",1,IF(DATOS!$G8673="OR",--(COUNTIFS(nNIA,DATOS!$A8673,nCURSO,DATOS!$D8673,nESPEC,DATOS!$E8673,nASIG,DATOS!$I8673,nEVAL,"EX")=0),0))))</f>
      </c>
      <c r="H8673">
        <f>IF(DATOS!$G8673&lt;&gt;"EX",0,--(COUNTIFS(nNIA,DATOS!$A8673,nCURSO,DATOS!$D8673,nESPEC,DATOS!$E8673,nASIG,DATOS!$I8673,nEVAL,"OR")=0))</f>
      </c>
      <c r="I8673">
        <f>IF(DATOS!$I8673="","",IFERROR(VLOOKUP(DATOS!$I8673,CONFIG_ASIGNATURAS!$B$2:$J$91,9,FALSE()),""))</f>
      </c>
    </row>
    <row r="8674">
      <c r="F8674">
        <f>IF(DATOS!$A8674="","",DATOS!$A8674&amp;"|"&amp;DATOS!$D8674&amp;"|"&amp;DATOS!$E8674&amp;"|"&amp;DATOS!$I8674)</f>
      </c>
      <c r="G8674">
        <f>IF(DATOS!$A8674="",0,IF(CONFIG_METADATA!$B$4&lt;&gt;"OR+EX",--(DATOS!$G8674=CONFIG_METADATA!$B$4),IF(DATOS!$G8674="EX",1,IF(DATOS!$G8674="OR",--(COUNTIFS(nNIA,DATOS!$A8674,nCURSO,DATOS!$D8674,nESPEC,DATOS!$E8674,nASIG,DATOS!$I8674,nEVAL,"EX")=0),0))))</f>
      </c>
      <c r="H8674">
        <f>IF(DATOS!$G8674&lt;&gt;"EX",0,--(COUNTIFS(nNIA,DATOS!$A8674,nCURSO,DATOS!$D8674,nESPEC,DATOS!$E8674,nASIG,DATOS!$I8674,nEVAL,"OR")=0))</f>
      </c>
      <c r="I8674">
        <f>IF(DATOS!$I8674="","",IFERROR(VLOOKUP(DATOS!$I8674,CONFIG_ASIGNATURAS!$B$2:$J$91,9,FALSE()),""))</f>
      </c>
    </row>
    <row r="8675">
      <c r="F8675">
        <f>IF(DATOS!$A8675="","",DATOS!$A8675&amp;"|"&amp;DATOS!$D8675&amp;"|"&amp;DATOS!$E8675&amp;"|"&amp;DATOS!$I8675)</f>
      </c>
      <c r="G8675">
        <f>IF(DATOS!$A8675="",0,IF(CONFIG_METADATA!$B$4&lt;&gt;"OR+EX",--(DATOS!$G8675=CONFIG_METADATA!$B$4),IF(DATOS!$G8675="EX",1,IF(DATOS!$G8675="OR",--(COUNTIFS(nNIA,DATOS!$A8675,nCURSO,DATOS!$D8675,nESPEC,DATOS!$E8675,nASIG,DATOS!$I8675,nEVAL,"EX")=0),0))))</f>
      </c>
      <c r="H8675">
        <f>IF(DATOS!$G8675&lt;&gt;"EX",0,--(COUNTIFS(nNIA,DATOS!$A8675,nCURSO,DATOS!$D8675,nESPEC,DATOS!$E8675,nASIG,DATOS!$I8675,nEVAL,"OR")=0))</f>
      </c>
      <c r="I8675">
        <f>IF(DATOS!$I8675="","",IFERROR(VLOOKUP(DATOS!$I8675,CONFIG_ASIGNATURAS!$B$2:$J$91,9,FALSE()),""))</f>
      </c>
    </row>
    <row r="8676">
      <c r="F8676">
        <f>IF(DATOS!$A8676="","",DATOS!$A8676&amp;"|"&amp;DATOS!$D8676&amp;"|"&amp;DATOS!$E8676&amp;"|"&amp;DATOS!$I8676)</f>
      </c>
      <c r="G8676">
        <f>IF(DATOS!$A8676="",0,IF(CONFIG_METADATA!$B$4&lt;&gt;"OR+EX",--(DATOS!$G8676=CONFIG_METADATA!$B$4),IF(DATOS!$G8676="EX",1,IF(DATOS!$G8676="OR",--(COUNTIFS(nNIA,DATOS!$A8676,nCURSO,DATOS!$D8676,nESPEC,DATOS!$E8676,nASIG,DATOS!$I8676,nEVAL,"EX")=0),0))))</f>
      </c>
      <c r="H8676">
        <f>IF(DATOS!$G8676&lt;&gt;"EX",0,--(COUNTIFS(nNIA,DATOS!$A8676,nCURSO,DATOS!$D8676,nESPEC,DATOS!$E8676,nASIG,DATOS!$I8676,nEVAL,"OR")=0))</f>
      </c>
      <c r="I8676">
        <f>IF(DATOS!$I8676="","",IFERROR(VLOOKUP(DATOS!$I8676,CONFIG_ASIGNATURAS!$B$2:$J$91,9,FALSE()),""))</f>
      </c>
    </row>
    <row r="8677">
      <c r="F8677">
        <f>IF(DATOS!$A8677="","",DATOS!$A8677&amp;"|"&amp;DATOS!$D8677&amp;"|"&amp;DATOS!$E8677&amp;"|"&amp;DATOS!$I8677)</f>
      </c>
      <c r="G8677">
        <f>IF(DATOS!$A8677="",0,IF(CONFIG_METADATA!$B$4&lt;&gt;"OR+EX",--(DATOS!$G8677=CONFIG_METADATA!$B$4),IF(DATOS!$G8677="EX",1,IF(DATOS!$G8677="OR",--(COUNTIFS(nNIA,DATOS!$A8677,nCURSO,DATOS!$D8677,nESPEC,DATOS!$E8677,nASIG,DATOS!$I8677,nEVAL,"EX")=0),0))))</f>
      </c>
      <c r="H8677">
        <f>IF(DATOS!$G8677&lt;&gt;"EX",0,--(COUNTIFS(nNIA,DATOS!$A8677,nCURSO,DATOS!$D8677,nESPEC,DATOS!$E8677,nASIG,DATOS!$I8677,nEVAL,"OR")=0))</f>
      </c>
      <c r="I8677">
        <f>IF(DATOS!$I8677="","",IFERROR(VLOOKUP(DATOS!$I8677,CONFIG_ASIGNATURAS!$B$2:$J$91,9,FALSE()),""))</f>
      </c>
    </row>
    <row r="8678">
      <c r="F8678">
        <f>IF(DATOS!$A8678="","",DATOS!$A8678&amp;"|"&amp;DATOS!$D8678&amp;"|"&amp;DATOS!$E8678&amp;"|"&amp;DATOS!$I8678)</f>
      </c>
      <c r="G8678">
        <f>IF(DATOS!$A8678="",0,IF(CONFIG_METADATA!$B$4&lt;&gt;"OR+EX",--(DATOS!$G8678=CONFIG_METADATA!$B$4),IF(DATOS!$G8678="EX",1,IF(DATOS!$G8678="OR",--(COUNTIFS(nNIA,DATOS!$A8678,nCURSO,DATOS!$D8678,nESPEC,DATOS!$E8678,nASIG,DATOS!$I8678,nEVAL,"EX")=0),0))))</f>
      </c>
      <c r="H8678">
        <f>IF(DATOS!$G8678&lt;&gt;"EX",0,--(COUNTIFS(nNIA,DATOS!$A8678,nCURSO,DATOS!$D8678,nESPEC,DATOS!$E8678,nASIG,DATOS!$I8678,nEVAL,"OR")=0))</f>
      </c>
      <c r="I8678">
        <f>IF(DATOS!$I8678="","",IFERROR(VLOOKUP(DATOS!$I8678,CONFIG_ASIGNATURAS!$B$2:$J$91,9,FALSE()),""))</f>
      </c>
    </row>
    <row r="8679">
      <c r="F8679">
        <f>IF(DATOS!$A8679="","",DATOS!$A8679&amp;"|"&amp;DATOS!$D8679&amp;"|"&amp;DATOS!$E8679&amp;"|"&amp;DATOS!$I8679)</f>
      </c>
      <c r="G8679">
        <f>IF(DATOS!$A8679="",0,IF(CONFIG_METADATA!$B$4&lt;&gt;"OR+EX",--(DATOS!$G8679=CONFIG_METADATA!$B$4),IF(DATOS!$G8679="EX",1,IF(DATOS!$G8679="OR",--(COUNTIFS(nNIA,DATOS!$A8679,nCURSO,DATOS!$D8679,nESPEC,DATOS!$E8679,nASIG,DATOS!$I8679,nEVAL,"EX")=0),0))))</f>
      </c>
      <c r="H8679">
        <f>IF(DATOS!$G8679&lt;&gt;"EX",0,--(COUNTIFS(nNIA,DATOS!$A8679,nCURSO,DATOS!$D8679,nESPEC,DATOS!$E8679,nASIG,DATOS!$I8679,nEVAL,"OR")=0))</f>
      </c>
      <c r="I8679">
        <f>IF(DATOS!$I8679="","",IFERROR(VLOOKUP(DATOS!$I8679,CONFIG_ASIGNATURAS!$B$2:$J$91,9,FALSE()),""))</f>
      </c>
    </row>
    <row r="8680">
      <c r="F8680">
        <f>IF(DATOS!$A8680="","",DATOS!$A8680&amp;"|"&amp;DATOS!$D8680&amp;"|"&amp;DATOS!$E8680&amp;"|"&amp;DATOS!$I8680)</f>
      </c>
      <c r="G8680">
        <f>IF(DATOS!$A8680="",0,IF(CONFIG_METADATA!$B$4&lt;&gt;"OR+EX",--(DATOS!$G8680=CONFIG_METADATA!$B$4),IF(DATOS!$G8680="EX",1,IF(DATOS!$G8680="OR",--(COUNTIFS(nNIA,DATOS!$A8680,nCURSO,DATOS!$D8680,nESPEC,DATOS!$E8680,nASIG,DATOS!$I8680,nEVAL,"EX")=0),0))))</f>
      </c>
      <c r="H8680">
        <f>IF(DATOS!$G8680&lt;&gt;"EX",0,--(COUNTIFS(nNIA,DATOS!$A8680,nCURSO,DATOS!$D8680,nESPEC,DATOS!$E8680,nASIG,DATOS!$I8680,nEVAL,"OR")=0))</f>
      </c>
      <c r="I8680">
        <f>IF(DATOS!$I8680="","",IFERROR(VLOOKUP(DATOS!$I8680,CONFIG_ASIGNATURAS!$B$2:$J$91,9,FALSE()),""))</f>
      </c>
    </row>
    <row r="8681">
      <c r="F8681">
        <f>IF(DATOS!$A8681="","",DATOS!$A8681&amp;"|"&amp;DATOS!$D8681&amp;"|"&amp;DATOS!$E8681&amp;"|"&amp;DATOS!$I8681)</f>
      </c>
      <c r="G8681">
        <f>IF(DATOS!$A8681="",0,IF(CONFIG_METADATA!$B$4&lt;&gt;"OR+EX",--(DATOS!$G8681=CONFIG_METADATA!$B$4),IF(DATOS!$G8681="EX",1,IF(DATOS!$G8681="OR",--(COUNTIFS(nNIA,DATOS!$A8681,nCURSO,DATOS!$D8681,nESPEC,DATOS!$E8681,nASIG,DATOS!$I8681,nEVAL,"EX")=0),0))))</f>
      </c>
      <c r="H8681">
        <f>IF(DATOS!$G8681&lt;&gt;"EX",0,--(COUNTIFS(nNIA,DATOS!$A8681,nCURSO,DATOS!$D8681,nESPEC,DATOS!$E8681,nASIG,DATOS!$I8681,nEVAL,"OR")=0))</f>
      </c>
      <c r="I8681">
        <f>IF(DATOS!$I8681="","",IFERROR(VLOOKUP(DATOS!$I8681,CONFIG_ASIGNATURAS!$B$2:$J$91,9,FALSE()),""))</f>
      </c>
    </row>
    <row r="8682">
      <c r="F8682">
        <f>IF(DATOS!$A8682="","",DATOS!$A8682&amp;"|"&amp;DATOS!$D8682&amp;"|"&amp;DATOS!$E8682&amp;"|"&amp;DATOS!$I8682)</f>
      </c>
      <c r="G8682">
        <f>IF(DATOS!$A8682="",0,IF(CONFIG_METADATA!$B$4&lt;&gt;"OR+EX",--(DATOS!$G8682=CONFIG_METADATA!$B$4),IF(DATOS!$G8682="EX",1,IF(DATOS!$G8682="OR",--(COUNTIFS(nNIA,DATOS!$A8682,nCURSO,DATOS!$D8682,nESPEC,DATOS!$E8682,nASIG,DATOS!$I8682,nEVAL,"EX")=0),0))))</f>
      </c>
      <c r="H8682">
        <f>IF(DATOS!$G8682&lt;&gt;"EX",0,--(COUNTIFS(nNIA,DATOS!$A8682,nCURSO,DATOS!$D8682,nESPEC,DATOS!$E8682,nASIG,DATOS!$I8682,nEVAL,"OR")=0))</f>
      </c>
      <c r="I8682">
        <f>IF(DATOS!$I8682="","",IFERROR(VLOOKUP(DATOS!$I8682,CONFIG_ASIGNATURAS!$B$2:$J$91,9,FALSE()),""))</f>
      </c>
    </row>
    <row r="8683">
      <c r="F8683">
        <f>IF(DATOS!$A8683="","",DATOS!$A8683&amp;"|"&amp;DATOS!$D8683&amp;"|"&amp;DATOS!$E8683&amp;"|"&amp;DATOS!$I8683)</f>
      </c>
      <c r="G8683">
        <f>IF(DATOS!$A8683="",0,IF(CONFIG_METADATA!$B$4&lt;&gt;"OR+EX",--(DATOS!$G8683=CONFIG_METADATA!$B$4),IF(DATOS!$G8683="EX",1,IF(DATOS!$G8683="OR",--(COUNTIFS(nNIA,DATOS!$A8683,nCURSO,DATOS!$D8683,nESPEC,DATOS!$E8683,nASIG,DATOS!$I8683,nEVAL,"EX")=0),0))))</f>
      </c>
      <c r="H8683">
        <f>IF(DATOS!$G8683&lt;&gt;"EX",0,--(COUNTIFS(nNIA,DATOS!$A8683,nCURSO,DATOS!$D8683,nESPEC,DATOS!$E8683,nASIG,DATOS!$I8683,nEVAL,"OR")=0))</f>
      </c>
      <c r="I8683">
        <f>IF(DATOS!$I8683="","",IFERROR(VLOOKUP(DATOS!$I8683,CONFIG_ASIGNATURAS!$B$2:$J$91,9,FALSE()),""))</f>
      </c>
    </row>
    <row r="8684">
      <c r="F8684">
        <f>IF(DATOS!$A8684="","",DATOS!$A8684&amp;"|"&amp;DATOS!$D8684&amp;"|"&amp;DATOS!$E8684&amp;"|"&amp;DATOS!$I8684)</f>
      </c>
      <c r="G8684">
        <f>IF(DATOS!$A8684="",0,IF(CONFIG_METADATA!$B$4&lt;&gt;"OR+EX",--(DATOS!$G8684=CONFIG_METADATA!$B$4),IF(DATOS!$G8684="EX",1,IF(DATOS!$G8684="OR",--(COUNTIFS(nNIA,DATOS!$A8684,nCURSO,DATOS!$D8684,nESPEC,DATOS!$E8684,nASIG,DATOS!$I8684,nEVAL,"EX")=0),0))))</f>
      </c>
      <c r="H8684">
        <f>IF(DATOS!$G8684&lt;&gt;"EX",0,--(COUNTIFS(nNIA,DATOS!$A8684,nCURSO,DATOS!$D8684,nESPEC,DATOS!$E8684,nASIG,DATOS!$I8684,nEVAL,"OR")=0))</f>
      </c>
      <c r="I8684">
        <f>IF(DATOS!$I8684="","",IFERROR(VLOOKUP(DATOS!$I8684,CONFIG_ASIGNATURAS!$B$2:$J$91,9,FALSE()),""))</f>
      </c>
    </row>
    <row r="8685">
      <c r="F8685">
        <f>IF(DATOS!$A8685="","",DATOS!$A8685&amp;"|"&amp;DATOS!$D8685&amp;"|"&amp;DATOS!$E8685&amp;"|"&amp;DATOS!$I8685)</f>
      </c>
      <c r="G8685">
        <f>IF(DATOS!$A8685="",0,IF(CONFIG_METADATA!$B$4&lt;&gt;"OR+EX",--(DATOS!$G8685=CONFIG_METADATA!$B$4),IF(DATOS!$G8685="EX",1,IF(DATOS!$G8685="OR",--(COUNTIFS(nNIA,DATOS!$A8685,nCURSO,DATOS!$D8685,nESPEC,DATOS!$E8685,nASIG,DATOS!$I8685,nEVAL,"EX")=0),0))))</f>
      </c>
      <c r="H8685">
        <f>IF(DATOS!$G8685&lt;&gt;"EX",0,--(COUNTIFS(nNIA,DATOS!$A8685,nCURSO,DATOS!$D8685,nESPEC,DATOS!$E8685,nASIG,DATOS!$I8685,nEVAL,"OR")=0))</f>
      </c>
      <c r="I8685">
        <f>IF(DATOS!$I8685="","",IFERROR(VLOOKUP(DATOS!$I8685,CONFIG_ASIGNATURAS!$B$2:$J$91,9,FALSE()),""))</f>
      </c>
    </row>
    <row r="8686">
      <c r="F8686">
        <f>IF(DATOS!$A8686="","",DATOS!$A8686&amp;"|"&amp;DATOS!$D8686&amp;"|"&amp;DATOS!$E8686&amp;"|"&amp;DATOS!$I8686)</f>
      </c>
      <c r="G8686">
        <f>IF(DATOS!$A8686="",0,IF(CONFIG_METADATA!$B$4&lt;&gt;"OR+EX",--(DATOS!$G8686=CONFIG_METADATA!$B$4),IF(DATOS!$G8686="EX",1,IF(DATOS!$G8686="OR",--(COUNTIFS(nNIA,DATOS!$A8686,nCURSO,DATOS!$D8686,nESPEC,DATOS!$E8686,nASIG,DATOS!$I8686,nEVAL,"EX")=0),0))))</f>
      </c>
      <c r="H8686">
        <f>IF(DATOS!$G8686&lt;&gt;"EX",0,--(COUNTIFS(nNIA,DATOS!$A8686,nCURSO,DATOS!$D8686,nESPEC,DATOS!$E8686,nASIG,DATOS!$I8686,nEVAL,"OR")=0))</f>
      </c>
      <c r="I8686">
        <f>IF(DATOS!$I8686="","",IFERROR(VLOOKUP(DATOS!$I8686,CONFIG_ASIGNATURAS!$B$2:$J$91,9,FALSE()),""))</f>
      </c>
    </row>
    <row r="8687">
      <c r="F8687">
        <f>IF(DATOS!$A8687="","",DATOS!$A8687&amp;"|"&amp;DATOS!$D8687&amp;"|"&amp;DATOS!$E8687&amp;"|"&amp;DATOS!$I8687)</f>
      </c>
      <c r="G8687">
        <f>IF(DATOS!$A8687="",0,IF(CONFIG_METADATA!$B$4&lt;&gt;"OR+EX",--(DATOS!$G8687=CONFIG_METADATA!$B$4),IF(DATOS!$G8687="EX",1,IF(DATOS!$G8687="OR",--(COUNTIFS(nNIA,DATOS!$A8687,nCURSO,DATOS!$D8687,nESPEC,DATOS!$E8687,nASIG,DATOS!$I8687,nEVAL,"EX")=0),0))))</f>
      </c>
      <c r="H8687">
        <f>IF(DATOS!$G8687&lt;&gt;"EX",0,--(COUNTIFS(nNIA,DATOS!$A8687,nCURSO,DATOS!$D8687,nESPEC,DATOS!$E8687,nASIG,DATOS!$I8687,nEVAL,"OR")=0))</f>
      </c>
      <c r="I8687">
        <f>IF(DATOS!$I8687="","",IFERROR(VLOOKUP(DATOS!$I8687,CONFIG_ASIGNATURAS!$B$2:$J$91,9,FALSE()),""))</f>
      </c>
    </row>
    <row r="8688">
      <c r="F8688">
        <f>IF(DATOS!$A8688="","",DATOS!$A8688&amp;"|"&amp;DATOS!$D8688&amp;"|"&amp;DATOS!$E8688&amp;"|"&amp;DATOS!$I8688)</f>
      </c>
      <c r="G8688">
        <f>IF(DATOS!$A8688="",0,IF(CONFIG_METADATA!$B$4&lt;&gt;"OR+EX",--(DATOS!$G8688=CONFIG_METADATA!$B$4),IF(DATOS!$G8688="EX",1,IF(DATOS!$G8688="OR",--(COUNTIFS(nNIA,DATOS!$A8688,nCURSO,DATOS!$D8688,nESPEC,DATOS!$E8688,nASIG,DATOS!$I8688,nEVAL,"EX")=0),0))))</f>
      </c>
      <c r="H8688">
        <f>IF(DATOS!$G8688&lt;&gt;"EX",0,--(COUNTIFS(nNIA,DATOS!$A8688,nCURSO,DATOS!$D8688,nESPEC,DATOS!$E8688,nASIG,DATOS!$I8688,nEVAL,"OR")=0))</f>
      </c>
      <c r="I8688">
        <f>IF(DATOS!$I8688="","",IFERROR(VLOOKUP(DATOS!$I8688,CONFIG_ASIGNATURAS!$B$2:$J$91,9,FALSE()),""))</f>
      </c>
    </row>
    <row r="8689">
      <c r="F8689">
        <f>IF(DATOS!$A8689="","",DATOS!$A8689&amp;"|"&amp;DATOS!$D8689&amp;"|"&amp;DATOS!$E8689&amp;"|"&amp;DATOS!$I8689)</f>
      </c>
      <c r="G8689">
        <f>IF(DATOS!$A8689="",0,IF(CONFIG_METADATA!$B$4&lt;&gt;"OR+EX",--(DATOS!$G8689=CONFIG_METADATA!$B$4),IF(DATOS!$G8689="EX",1,IF(DATOS!$G8689="OR",--(COUNTIFS(nNIA,DATOS!$A8689,nCURSO,DATOS!$D8689,nESPEC,DATOS!$E8689,nASIG,DATOS!$I8689,nEVAL,"EX")=0),0))))</f>
      </c>
      <c r="H8689">
        <f>IF(DATOS!$G8689&lt;&gt;"EX",0,--(COUNTIFS(nNIA,DATOS!$A8689,nCURSO,DATOS!$D8689,nESPEC,DATOS!$E8689,nASIG,DATOS!$I8689,nEVAL,"OR")=0))</f>
      </c>
      <c r="I8689">
        <f>IF(DATOS!$I8689="","",IFERROR(VLOOKUP(DATOS!$I8689,CONFIG_ASIGNATURAS!$B$2:$J$91,9,FALSE()),""))</f>
      </c>
    </row>
    <row r="8690">
      <c r="F8690">
        <f>IF(DATOS!$A8690="","",DATOS!$A8690&amp;"|"&amp;DATOS!$D8690&amp;"|"&amp;DATOS!$E8690&amp;"|"&amp;DATOS!$I8690)</f>
      </c>
      <c r="G8690">
        <f>IF(DATOS!$A8690="",0,IF(CONFIG_METADATA!$B$4&lt;&gt;"OR+EX",--(DATOS!$G8690=CONFIG_METADATA!$B$4),IF(DATOS!$G8690="EX",1,IF(DATOS!$G8690="OR",--(COUNTIFS(nNIA,DATOS!$A8690,nCURSO,DATOS!$D8690,nESPEC,DATOS!$E8690,nASIG,DATOS!$I8690,nEVAL,"EX")=0),0))))</f>
      </c>
      <c r="H8690">
        <f>IF(DATOS!$G8690&lt;&gt;"EX",0,--(COUNTIFS(nNIA,DATOS!$A8690,nCURSO,DATOS!$D8690,nESPEC,DATOS!$E8690,nASIG,DATOS!$I8690,nEVAL,"OR")=0))</f>
      </c>
      <c r="I8690">
        <f>IF(DATOS!$I8690="","",IFERROR(VLOOKUP(DATOS!$I8690,CONFIG_ASIGNATURAS!$B$2:$J$91,9,FALSE()),""))</f>
      </c>
    </row>
    <row r="8691">
      <c r="F8691">
        <f>IF(DATOS!$A8691="","",DATOS!$A8691&amp;"|"&amp;DATOS!$D8691&amp;"|"&amp;DATOS!$E8691&amp;"|"&amp;DATOS!$I8691)</f>
      </c>
      <c r="G8691">
        <f>IF(DATOS!$A8691="",0,IF(CONFIG_METADATA!$B$4&lt;&gt;"OR+EX",--(DATOS!$G8691=CONFIG_METADATA!$B$4),IF(DATOS!$G8691="EX",1,IF(DATOS!$G8691="OR",--(COUNTIFS(nNIA,DATOS!$A8691,nCURSO,DATOS!$D8691,nESPEC,DATOS!$E8691,nASIG,DATOS!$I8691,nEVAL,"EX")=0),0))))</f>
      </c>
      <c r="H8691">
        <f>IF(DATOS!$G8691&lt;&gt;"EX",0,--(COUNTIFS(nNIA,DATOS!$A8691,nCURSO,DATOS!$D8691,nESPEC,DATOS!$E8691,nASIG,DATOS!$I8691,nEVAL,"OR")=0))</f>
      </c>
      <c r="I8691">
        <f>IF(DATOS!$I8691="","",IFERROR(VLOOKUP(DATOS!$I8691,CONFIG_ASIGNATURAS!$B$2:$J$91,9,FALSE()),""))</f>
      </c>
    </row>
    <row r="8692">
      <c r="F8692">
        <f>IF(DATOS!$A8692="","",DATOS!$A8692&amp;"|"&amp;DATOS!$D8692&amp;"|"&amp;DATOS!$E8692&amp;"|"&amp;DATOS!$I8692)</f>
      </c>
      <c r="G8692">
        <f>IF(DATOS!$A8692="",0,IF(CONFIG_METADATA!$B$4&lt;&gt;"OR+EX",--(DATOS!$G8692=CONFIG_METADATA!$B$4),IF(DATOS!$G8692="EX",1,IF(DATOS!$G8692="OR",--(COUNTIFS(nNIA,DATOS!$A8692,nCURSO,DATOS!$D8692,nESPEC,DATOS!$E8692,nASIG,DATOS!$I8692,nEVAL,"EX")=0),0))))</f>
      </c>
      <c r="H8692">
        <f>IF(DATOS!$G8692&lt;&gt;"EX",0,--(COUNTIFS(nNIA,DATOS!$A8692,nCURSO,DATOS!$D8692,nESPEC,DATOS!$E8692,nASIG,DATOS!$I8692,nEVAL,"OR")=0))</f>
      </c>
      <c r="I8692">
        <f>IF(DATOS!$I8692="","",IFERROR(VLOOKUP(DATOS!$I8692,CONFIG_ASIGNATURAS!$B$2:$J$91,9,FALSE()),""))</f>
      </c>
    </row>
    <row r="8693">
      <c r="F8693">
        <f>IF(DATOS!$A8693="","",DATOS!$A8693&amp;"|"&amp;DATOS!$D8693&amp;"|"&amp;DATOS!$E8693&amp;"|"&amp;DATOS!$I8693)</f>
      </c>
      <c r="G8693">
        <f>IF(DATOS!$A8693="",0,IF(CONFIG_METADATA!$B$4&lt;&gt;"OR+EX",--(DATOS!$G8693=CONFIG_METADATA!$B$4),IF(DATOS!$G8693="EX",1,IF(DATOS!$G8693="OR",--(COUNTIFS(nNIA,DATOS!$A8693,nCURSO,DATOS!$D8693,nESPEC,DATOS!$E8693,nASIG,DATOS!$I8693,nEVAL,"EX")=0),0))))</f>
      </c>
      <c r="H8693">
        <f>IF(DATOS!$G8693&lt;&gt;"EX",0,--(COUNTIFS(nNIA,DATOS!$A8693,nCURSO,DATOS!$D8693,nESPEC,DATOS!$E8693,nASIG,DATOS!$I8693,nEVAL,"OR")=0))</f>
      </c>
      <c r="I8693">
        <f>IF(DATOS!$I8693="","",IFERROR(VLOOKUP(DATOS!$I8693,CONFIG_ASIGNATURAS!$B$2:$J$91,9,FALSE()),""))</f>
      </c>
    </row>
    <row r="8694">
      <c r="F8694">
        <f>IF(DATOS!$A8694="","",DATOS!$A8694&amp;"|"&amp;DATOS!$D8694&amp;"|"&amp;DATOS!$E8694&amp;"|"&amp;DATOS!$I8694)</f>
      </c>
      <c r="G8694">
        <f>IF(DATOS!$A8694="",0,IF(CONFIG_METADATA!$B$4&lt;&gt;"OR+EX",--(DATOS!$G8694=CONFIG_METADATA!$B$4),IF(DATOS!$G8694="EX",1,IF(DATOS!$G8694="OR",--(COUNTIFS(nNIA,DATOS!$A8694,nCURSO,DATOS!$D8694,nESPEC,DATOS!$E8694,nASIG,DATOS!$I8694,nEVAL,"EX")=0),0))))</f>
      </c>
      <c r="H8694">
        <f>IF(DATOS!$G8694&lt;&gt;"EX",0,--(COUNTIFS(nNIA,DATOS!$A8694,nCURSO,DATOS!$D8694,nESPEC,DATOS!$E8694,nASIG,DATOS!$I8694,nEVAL,"OR")=0))</f>
      </c>
      <c r="I8694">
        <f>IF(DATOS!$I8694="","",IFERROR(VLOOKUP(DATOS!$I8694,CONFIG_ASIGNATURAS!$B$2:$J$91,9,FALSE()),""))</f>
      </c>
    </row>
    <row r="8695">
      <c r="F8695">
        <f>IF(DATOS!$A8695="","",DATOS!$A8695&amp;"|"&amp;DATOS!$D8695&amp;"|"&amp;DATOS!$E8695&amp;"|"&amp;DATOS!$I8695)</f>
      </c>
      <c r="G8695">
        <f>IF(DATOS!$A8695="",0,IF(CONFIG_METADATA!$B$4&lt;&gt;"OR+EX",--(DATOS!$G8695=CONFIG_METADATA!$B$4),IF(DATOS!$G8695="EX",1,IF(DATOS!$G8695="OR",--(COUNTIFS(nNIA,DATOS!$A8695,nCURSO,DATOS!$D8695,nESPEC,DATOS!$E8695,nASIG,DATOS!$I8695,nEVAL,"EX")=0),0))))</f>
      </c>
      <c r="H8695">
        <f>IF(DATOS!$G8695&lt;&gt;"EX",0,--(COUNTIFS(nNIA,DATOS!$A8695,nCURSO,DATOS!$D8695,nESPEC,DATOS!$E8695,nASIG,DATOS!$I8695,nEVAL,"OR")=0))</f>
      </c>
      <c r="I8695">
        <f>IF(DATOS!$I8695="","",IFERROR(VLOOKUP(DATOS!$I8695,CONFIG_ASIGNATURAS!$B$2:$J$91,9,FALSE()),""))</f>
      </c>
    </row>
    <row r="8696">
      <c r="F8696">
        <f>IF(DATOS!$A8696="","",DATOS!$A8696&amp;"|"&amp;DATOS!$D8696&amp;"|"&amp;DATOS!$E8696&amp;"|"&amp;DATOS!$I8696)</f>
      </c>
      <c r="G8696">
        <f>IF(DATOS!$A8696="",0,IF(CONFIG_METADATA!$B$4&lt;&gt;"OR+EX",--(DATOS!$G8696=CONFIG_METADATA!$B$4),IF(DATOS!$G8696="EX",1,IF(DATOS!$G8696="OR",--(COUNTIFS(nNIA,DATOS!$A8696,nCURSO,DATOS!$D8696,nESPEC,DATOS!$E8696,nASIG,DATOS!$I8696,nEVAL,"EX")=0),0))))</f>
      </c>
      <c r="H8696">
        <f>IF(DATOS!$G8696&lt;&gt;"EX",0,--(COUNTIFS(nNIA,DATOS!$A8696,nCURSO,DATOS!$D8696,nESPEC,DATOS!$E8696,nASIG,DATOS!$I8696,nEVAL,"OR")=0))</f>
      </c>
      <c r="I8696">
        <f>IF(DATOS!$I8696="","",IFERROR(VLOOKUP(DATOS!$I8696,CONFIG_ASIGNATURAS!$B$2:$J$91,9,FALSE()),""))</f>
      </c>
    </row>
    <row r="8697">
      <c r="F8697">
        <f>IF(DATOS!$A8697="","",DATOS!$A8697&amp;"|"&amp;DATOS!$D8697&amp;"|"&amp;DATOS!$E8697&amp;"|"&amp;DATOS!$I8697)</f>
      </c>
      <c r="G8697">
        <f>IF(DATOS!$A8697="",0,IF(CONFIG_METADATA!$B$4&lt;&gt;"OR+EX",--(DATOS!$G8697=CONFIG_METADATA!$B$4),IF(DATOS!$G8697="EX",1,IF(DATOS!$G8697="OR",--(COUNTIFS(nNIA,DATOS!$A8697,nCURSO,DATOS!$D8697,nESPEC,DATOS!$E8697,nASIG,DATOS!$I8697,nEVAL,"EX")=0),0))))</f>
      </c>
      <c r="H8697">
        <f>IF(DATOS!$G8697&lt;&gt;"EX",0,--(COUNTIFS(nNIA,DATOS!$A8697,nCURSO,DATOS!$D8697,nESPEC,DATOS!$E8697,nASIG,DATOS!$I8697,nEVAL,"OR")=0))</f>
      </c>
      <c r="I8697">
        <f>IF(DATOS!$I8697="","",IFERROR(VLOOKUP(DATOS!$I8697,CONFIG_ASIGNATURAS!$B$2:$J$91,9,FALSE()),""))</f>
      </c>
    </row>
    <row r="8698">
      <c r="F8698">
        <f>IF(DATOS!$A8698="","",DATOS!$A8698&amp;"|"&amp;DATOS!$D8698&amp;"|"&amp;DATOS!$E8698&amp;"|"&amp;DATOS!$I8698)</f>
      </c>
      <c r="G8698">
        <f>IF(DATOS!$A8698="",0,IF(CONFIG_METADATA!$B$4&lt;&gt;"OR+EX",--(DATOS!$G8698=CONFIG_METADATA!$B$4),IF(DATOS!$G8698="EX",1,IF(DATOS!$G8698="OR",--(COUNTIFS(nNIA,DATOS!$A8698,nCURSO,DATOS!$D8698,nESPEC,DATOS!$E8698,nASIG,DATOS!$I8698,nEVAL,"EX")=0),0))))</f>
      </c>
      <c r="H8698">
        <f>IF(DATOS!$G8698&lt;&gt;"EX",0,--(COUNTIFS(nNIA,DATOS!$A8698,nCURSO,DATOS!$D8698,nESPEC,DATOS!$E8698,nASIG,DATOS!$I8698,nEVAL,"OR")=0))</f>
      </c>
      <c r="I8698">
        <f>IF(DATOS!$I8698="","",IFERROR(VLOOKUP(DATOS!$I8698,CONFIG_ASIGNATURAS!$B$2:$J$91,9,FALSE()),""))</f>
      </c>
    </row>
    <row r="8699">
      <c r="F8699">
        <f>IF(DATOS!$A8699="","",DATOS!$A8699&amp;"|"&amp;DATOS!$D8699&amp;"|"&amp;DATOS!$E8699&amp;"|"&amp;DATOS!$I8699)</f>
      </c>
      <c r="G8699">
        <f>IF(DATOS!$A8699="",0,IF(CONFIG_METADATA!$B$4&lt;&gt;"OR+EX",--(DATOS!$G8699=CONFIG_METADATA!$B$4),IF(DATOS!$G8699="EX",1,IF(DATOS!$G8699="OR",--(COUNTIFS(nNIA,DATOS!$A8699,nCURSO,DATOS!$D8699,nESPEC,DATOS!$E8699,nASIG,DATOS!$I8699,nEVAL,"EX")=0),0))))</f>
      </c>
      <c r="H8699">
        <f>IF(DATOS!$G8699&lt;&gt;"EX",0,--(COUNTIFS(nNIA,DATOS!$A8699,nCURSO,DATOS!$D8699,nESPEC,DATOS!$E8699,nASIG,DATOS!$I8699,nEVAL,"OR")=0))</f>
      </c>
      <c r="I8699">
        <f>IF(DATOS!$I8699="","",IFERROR(VLOOKUP(DATOS!$I8699,CONFIG_ASIGNATURAS!$B$2:$J$91,9,FALSE()),""))</f>
      </c>
    </row>
    <row r="8700">
      <c r="F8700">
        <f>IF(DATOS!$A8700="","",DATOS!$A8700&amp;"|"&amp;DATOS!$D8700&amp;"|"&amp;DATOS!$E8700&amp;"|"&amp;DATOS!$I8700)</f>
      </c>
      <c r="G8700">
        <f>IF(DATOS!$A8700="",0,IF(CONFIG_METADATA!$B$4&lt;&gt;"OR+EX",--(DATOS!$G8700=CONFIG_METADATA!$B$4),IF(DATOS!$G8700="EX",1,IF(DATOS!$G8700="OR",--(COUNTIFS(nNIA,DATOS!$A8700,nCURSO,DATOS!$D8700,nESPEC,DATOS!$E8700,nASIG,DATOS!$I8700,nEVAL,"EX")=0),0))))</f>
      </c>
      <c r="H8700">
        <f>IF(DATOS!$G8700&lt;&gt;"EX",0,--(COUNTIFS(nNIA,DATOS!$A8700,nCURSO,DATOS!$D8700,nESPEC,DATOS!$E8700,nASIG,DATOS!$I8700,nEVAL,"OR")=0))</f>
      </c>
      <c r="I8700">
        <f>IF(DATOS!$I8700="","",IFERROR(VLOOKUP(DATOS!$I8700,CONFIG_ASIGNATURAS!$B$2:$J$91,9,FALSE()),""))</f>
      </c>
    </row>
    <row r="8701">
      <c r="F8701">
        <f>IF(DATOS!$A8701="","",DATOS!$A8701&amp;"|"&amp;DATOS!$D8701&amp;"|"&amp;DATOS!$E8701&amp;"|"&amp;DATOS!$I8701)</f>
      </c>
      <c r="G8701">
        <f>IF(DATOS!$A8701="",0,IF(CONFIG_METADATA!$B$4&lt;&gt;"OR+EX",--(DATOS!$G8701=CONFIG_METADATA!$B$4),IF(DATOS!$G8701="EX",1,IF(DATOS!$G8701="OR",--(COUNTIFS(nNIA,DATOS!$A8701,nCURSO,DATOS!$D8701,nESPEC,DATOS!$E8701,nASIG,DATOS!$I8701,nEVAL,"EX")=0),0))))</f>
      </c>
      <c r="H8701">
        <f>IF(DATOS!$G8701&lt;&gt;"EX",0,--(COUNTIFS(nNIA,DATOS!$A8701,nCURSO,DATOS!$D8701,nESPEC,DATOS!$E8701,nASIG,DATOS!$I8701,nEVAL,"OR")=0))</f>
      </c>
      <c r="I8701">
        <f>IF(DATOS!$I8701="","",IFERROR(VLOOKUP(DATOS!$I8701,CONFIG_ASIGNATURAS!$B$2:$J$91,9,FALSE()),""))</f>
      </c>
    </row>
    <row r="8702">
      <c r="F8702">
        <f>IF(DATOS!$A8702="","",DATOS!$A8702&amp;"|"&amp;DATOS!$D8702&amp;"|"&amp;DATOS!$E8702&amp;"|"&amp;DATOS!$I8702)</f>
      </c>
      <c r="G8702">
        <f>IF(DATOS!$A8702="",0,IF(CONFIG_METADATA!$B$4&lt;&gt;"OR+EX",--(DATOS!$G8702=CONFIG_METADATA!$B$4),IF(DATOS!$G8702="EX",1,IF(DATOS!$G8702="OR",--(COUNTIFS(nNIA,DATOS!$A8702,nCURSO,DATOS!$D8702,nESPEC,DATOS!$E8702,nASIG,DATOS!$I8702,nEVAL,"EX")=0),0))))</f>
      </c>
      <c r="H8702">
        <f>IF(DATOS!$G8702&lt;&gt;"EX",0,--(COUNTIFS(nNIA,DATOS!$A8702,nCURSO,DATOS!$D8702,nESPEC,DATOS!$E8702,nASIG,DATOS!$I8702,nEVAL,"OR")=0))</f>
      </c>
      <c r="I8702">
        <f>IF(DATOS!$I8702="","",IFERROR(VLOOKUP(DATOS!$I8702,CONFIG_ASIGNATURAS!$B$2:$J$91,9,FALSE()),""))</f>
      </c>
    </row>
    <row r="8703">
      <c r="F8703">
        <f>IF(DATOS!$A8703="","",DATOS!$A8703&amp;"|"&amp;DATOS!$D8703&amp;"|"&amp;DATOS!$E8703&amp;"|"&amp;DATOS!$I8703)</f>
      </c>
      <c r="G8703">
        <f>IF(DATOS!$A8703="",0,IF(CONFIG_METADATA!$B$4&lt;&gt;"OR+EX",--(DATOS!$G8703=CONFIG_METADATA!$B$4),IF(DATOS!$G8703="EX",1,IF(DATOS!$G8703="OR",--(COUNTIFS(nNIA,DATOS!$A8703,nCURSO,DATOS!$D8703,nESPEC,DATOS!$E8703,nASIG,DATOS!$I8703,nEVAL,"EX")=0),0))))</f>
      </c>
      <c r="H8703">
        <f>IF(DATOS!$G8703&lt;&gt;"EX",0,--(COUNTIFS(nNIA,DATOS!$A8703,nCURSO,DATOS!$D8703,nESPEC,DATOS!$E8703,nASIG,DATOS!$I8703,nEVAL,"OR")=0))</f>
      </c>
      <c r="I8703">
        <f>IF(DATOS!$I8703="","",IFERROR(VLOOKUP(DATOS!$I8703,CONFIG_ASIGNATURAS!$B$2:$J$91,9,FALSE()),""))</f>
      </c>
    </row>
    <row r="8704">
      <c r="F8704">
        <f>IF(DATOS!$A8704="","",DATOS!$A8704&amp;"|"&amp;DATOS!$D8704&amp;"|"&amp;DATOS!$E8704&amp;"|"&amp;DATOS!$I8704)</f>
      </c>
      <c r="G8704">
        <f>IF(DATOS!$A8704="",0,IF(CONFIG_METADATA!$B$4&lt;&gt;"OR+EX",--(DATOS!$G8704=CONFIG_METADATA!$B$4),IF(DATOS!$G8704="EX",1,IF(DATOS!$G8704="OR",--(COUNTIFS(nNIA,DATOS!$A8704,nCURSO,DATOS!$D8704,nESPEC,DATOS!$E8704,nASIG,DATOS!$I8704,nEVAL,"EX")=0),0))))</f>
      </c>
      <c r="H8704">
        <f>IF(DATOS!$G8704&lt;&gt;"EX",0,--(COUNTIFS(nNIA,DATOS!$A8704,nCURSO,DATOS!$D8704,nESPEC,DATOS!$E8704,nASIG,DATOS!$I8704,nEVAL,"OR")=0))</f>
      </c>
      <c r="I8704">
        <f>IF(DATOS!$I8704="","",IFERROR(VLOOKUP(DATOS!$I8704,CONFIG_ASIGNATURAS!$B$2:$J$91,9,FALSE()),""))</f>
      </c>
    </row>
    <row r="8705">
      <c r="F8705">
        <f>IF(DATOS!$A8705="","",DATOS!$A8705&amp;"|"&amp;DATOS!$D8705&amp;"|"&amp;DATOS!$E8705&amp;"|"&amp;DATOS!$I8705)</f>
      </c>
      <c r="G8705">
        <f>IF(DATOS!$A8705="",0,IF(CONFIG_METADATA!$B$4&lt;&gt;"OR+EX",--(DATOS!$G8705=CONFIG_METADATA!$B$4),IF(DATOS!$G8705="EX",1,IF(DATOS!$G8705="OR",--(COUNTIFS(nNIA,DATOS!$A8705,nCURSO,DATOS!$D8705,nESPEC,DATOS!$E8705,nASIG,DATOS!$I8705,nEVAL,"EX")=0),0))))</f>
      </c>
      <c r="H8705">
        <f>IF(DATOS!$G8705&lt;&gt;"EX",0,--(COUNTIFS(nNIA,DATOS!$A8705,nCURSO,DATOS!$D8705,nESPEC,DATOS!$E8705,nASIG,DATOS!$I8705,nEVAL,"OR")=0))</f>
      </c>
      <c r="I8705">
        <f>IF(DATOS!$I8705="","",IFERROR(VLOOKUP(DATOS!$I8705,CONFIG_ASIGNATURAS!$B$2:$J$91,9,FALSE()),""))</f>
      </c>
    </row>
    <row r="8706">
      <c r="F8706">
        <f>IF(DATOS!$A8706="","",DATOS!$A8706&amp;"|"&amp;DATOS!$D8706&amp;"|"&amp;DATOS!$E8706&amp;"|"&amp;DATOS!$I8706)</f>
      </c>
      <c r="G8706">
        <f>IF(DATOS!$A8706="",0,IF(CONFIG_METADATA!$B$4&lt;&gt;"OR+EX",--(DATOS!$G8706=CONFIG_METADATA!$B$4),IF(DATOS!$G8706="EX",1,IF(DATOS!$G8706="OR",--(COUNTIFS(nNIA,DATOS!$A8706,nCURSO,DATOS!$D8706,nESPEC,DATOS!$E8706,nASIG,DATOS!$I8706,nEVAL,"EX")=0),0))))</f>
      </c>
      <c r="H8706">
        <f>IF(DATOS!$G8706&lt;&gt;"EX",0,--(COUNTIFS(nNIA,DATOS!$A8706,nCURSO,DATOS!$D8706,nESPEC,DATOS!$E8706,nASIG,DATOS!$I8706,nEVAL,"OR")=0))</f>
      </c>
      <c r="I8706">
        <f>IF(DATOS!$I8706="","",IFERROR(VLOOKUP(DATOS!$I8706,CONFIG_ASIGNATURAS!$B$2:$J$91,9,FALSE()),""))</f>
      </c>
    </row>
    <row r="8707">
      <c r="F8707">
        <f>IF(DATOS!$A8707="","",DATOS!$A8707&amp;"|"&amp;DATOS!$D8707&amp;"|"&amp;DATOS!$E8707&amp;"|"&amp;DATOS!$I8707)</f>
      </c>
      <c r="G8707">
        <f>IF(DATOS!$A8707="",0,IF(CONFIG_METADATA!$B$4&lt;&gt;"OR+EX",--(DATOS!$G8707=CONFIG_METADATA!$B$4),IF(DATOS!$G8707="EX",1,IF(DATOS!$G8707="OR",--(COUNTIFS(nNIA,DATOS!$A8707,nCURSO,DATOS!$D8707,nESPEC,DATOS!$E8707,nASIG,DATOS!$I8707,nEVAL,"EX")=0),0))))</f>
      </c>
      <c r="H8707">
        <f>IF(DATOS!$G8707&lt;&gt;"EX",0,--(COUNTIFS(nNIA,DATOS!$A8707,nCURSO,DATOS!$D8707,nESPEC,DATOS!$E8707,nASIG,DATOS!$I8707,nEVAL,"OR")=0))</f>
      </c>
      <c r="I8707">
        <f>IF(DATOS!$I8707="","",IFERROR(VLOOKUP(DATOS!$I8707,CONFIG_ASIGNATURAS!$B$2:$J$91,9,FALSE()),""))</f>
      </c>
    </row>
    <row r="8708">
      <c r="F8708">
        <f>IF(DATOS!$A8708="","",DATOS!$A8708&amp;"|"&amp;DATOS!$D8708&amp;"|"&amp;DATOS!$E8708&amp;"|"&amp;DATOS!$I8708)</f>
      </c>
      <c r="G8708">
        <f>IF(DATOS!$A8708="",0,IF(CONFIG_METADATA!$B$4&lt;&gt;"OR+EX",--(DATOS!$G8708=CONFIG_METADATA!$B$4),IF(DATOS!$G8708="EX",1,IF(DATOS!$G8708="OR",--(COUNTIFS(nNIA,DATOS!$A8708,nCURSO,DATOS!$D8708,nESPEC,DATOS!$E8708,nASIG,DATOS!$I8708,nEVAL,"EX")=0),0))))</f>
      </c>
      <c r="H8708">
        <f>IF(DATOS!$G8708&lt;&gt;"EX",0,--(COUNTIFS(nNIA,DATOS!$A8708,nCURSO,DATOS!$D8708,nESPEC,DATOS!$E8708,nASIG,DATOS!$I8708,nEVAL,"OR")=0))</f>
      </c>
      <c r="I8708">
        <f>IF(DATOS!$I8708="","",IFERROR(VLOOKUP(DATOS!$I8708,CONFIG_ASIGNATURAS!$B$2:$J$91,9,FALSE()),""))</f>
      </c>
    </row>
    <row r="8709">
      <c r="F8709">
        <f>IF(DATOS!$A8709="","",DATOS!$A8709&amp;"|"&amp;DATOS!$D8709&amp;"|"&amp;DATOS!$E8709&amp;"|"&amp;DATOS!$I8709)</f>
      </c>
      <c r="G8709">
        <f>IF(DATOS!$A8709="",0,IF(CONFIG_METADATA!$B$4&lt;&gt;"OR+EX",--(DATOS!$G8709=CONFIG_METADATA!$B$4),IF(DATOS!$G8709="EX",1,IF(DATOS!$G8709="OR",--(COUNTIFS(nNIA,DATOS!$A8709,nCURSO,DATOS!$D8709,nESPEC,DATOS!$E8709,nASIG,DATOS!$I8709,nEVAL,"EX")=0),0))))</f>
      </c>
      <c r="H8709">
        <f>IF(DATOS!$G8709&lt;&gt;"EX",0,--(COUNTIFS(nNIA,DATOS!$A8709,nCURSO,DATOS!$D8709,nESPEC,DATOS!$E8709,nASIG,DATOS!$I8709,nEVAL,"OR")=0))</f>
      </c>
      <c r="I8709">
        <f>IF(DATOS!$I8709="","",IFERROR(VLOOKUP(DATOS!$I8709,CONFIG_ASIGNATURAS!$B$2:$J$91,9,FALSE()),""))</f>
      </c>
    </row>
    <row r="8710">
      <c r="F8710">
        <f>IF(DATOS!$A8710="","",DATOS!$A8710&amp;"|"&amp;DATOS!$D8710&amp;"|"&amp;DATOS!$E8710&amp;"|"&amp;DATOS!$I8710)</f>
      </c>
      <c r="G8710">
        <f>IF(DATOS!$A8710="",0,IF(CONFIG_METADATA!$B$4&lt;&gt;"OR+EX",--(DATOS!$G8710=CONFIG_METADATA!$B$4),IF(DATOS!$G8710="EX",1,IF(DATOS!$G8710="OR",--(COUNTIFS(nNIA,DATOS!$A8710,nCURSO,DATOS!$D8710,nESPEC,DATOS!$E8710,nASIG,DATOS!$I8710,nEVAL,"EX")=0),0))))</f>
      </c>
      <c r="H8710">
        <f>IF(DATOS!$G8710&lt;&gt;"EX",0,--(COUNTIFS(nNIA,DATOS!$A8710,nCURSO,DATOS!$D8710,nESPEC,DATOS!$E8710,nASIG,DATOS!$I8710,nEVAL,"OR")=0))</f>
      </c>
      <c r="I8710">
        <f>IF(DATOS!$I8710="","",IFERROR(VLOOKUP(DATOS!$I8710,CONFIG_ASIGNATURAS!$B$2:$J$91,9,FALSE()),""))</f>
      </c>
    </row>
    <row r="8711">
      <c r="F8711">
        <f>IF(DATOS!$A8711="","",DATOS!$A8711&amp;"|"&amp;DATOS!$D8711&amp;"|"&amp;DATOS!$E8711&amp;"|"&amp;DATOS!$I8711)</f>
      </c>
      <c r="G8711">
        <f>IF(DATOS!$A8711="",0,IF(CONFIG_METADATA!$B$4&lt;&gt;"OR+EX",--(DATOS!$G8711=CONFIG_METADATA!$B$4),IF(DATOS!$G8711="EX",1,IF(DATOS!$G8711="OR",--(COUNTIFS(nNIA,DATOS!$A8711,nCURSO,DATOS!$D8711,nESPEC,DATOS!$E8711,nASIG,DATOS!$I8711,nEVAL,"EX")=0),0))))</f>
      </c>
      <c r="H8711">
        <f>IF(DATOS!$G8711&lt;&gt;"EX",0,--(COUNTIFS(nNIA,DATOS!$A8711,nCURSO,DATOS!$D8711,nESPEC,DATOS!$E8711,nASIG,DATOS!$I8711,nEVAL,"OR")=0))</f>
      </c>
      <c r="I8711">
        <f>IF(DATOS!$I8711="","",IFERROR(VLOOKUP(DATOS!$I8711,CONFIG_ASIGNATURAS!$B$2:$J$91,9,FALSE()),""))</f>
      </c>
    </row>
    <row r="8712">
      <c r="F8712">
        <f>IF(DATOS!$A8712="","",DATOS!$A8712&amp;"|"&amp;DATOS!$D8712&amp;"|"&amp;DATOS!$E8712&amp;"|"&amp;DATOS!$I8712)</f>
      </c>
      <c r="G8712">
        <f>IF(DATOS!$A8712="",0,IF(CONFIG_METADATA!$B$4&lt;&gt;"OR+EX",--(DATOS!$G8712=CONFIG_METADATA!$B$4),IF(DATOS!$G8712="EX",1,IF(DATOS!$G8712="OR",--(COUNTIFS(nNIA,DATOS!$A8712,nCURSO,DATOS!$D8712,nESPEC,DATOS!$E8712,nASIG,DATOS!$I8712,nEVAL,"EX")=0),0))))</f>
      </c>
      <c r="H8712">
        <f>IF(DATOS!$G8712&lt;&gt;"EX",0,--(COUNTIFS(nNIA,DATOS!$A8712,nCURSO,DATOS!$D8712,nESPEC,DATOS!$E8712,nASIG,DATOS!$I8712,nEVAL,"OR")=0))</f>
      </c>
      <c r="I8712">
        <f>IF(DATOS!$I8712="","",IFERROR(VLOOKUP(DATOS!$I8712,CONFIG_ASIGNATURAS!$B$2:$J$91,9,FALSE()),""))</f>
      </c>
    </row>
    <row r="8713">
      <c r="F8713">
        <f>IF(DATOS!$A8713="","",DATOS!$A8713&amp;"|"&amp;DATOS!$D8713&amp;"|"&amp;DATOS!$E8713&amp;"|"&amp;DATOS!$I8713)</f>
      </c>
      <c r="G8713">
        <f>IF(DATOS!$A8713="",0,IF(CONFIG_METADATA!$B$4&lt;&gt;"OR+EX",--(DATOS!$G8713=CONFIG_METADATA!$B$4),IF(DATOS!$G8713="EX",1,IF(DATOS!$G8713="OR",--(COUNTIFS(nNIA,DATOS!$A8713,nCURSO,DATOS!$D8713,nESPEC,DATOS!$E8713,nASIG,DATOS!$I8713,nEVAL,"EX")=0),0))))</f>
      </c>
      <c r="H8713">
        <f>IF(DATOS!$G8713&lt;&gt;"EX",0,--(COUNTIFS(nNIA,DATOS!$A8713,nCURSO,DATOS!$D8713,nESPEC,DATOS!$E8713,nASIG,DATOS!$I8713,nEVAL,"OR")=0))</f>
      </c>
      <c r="I8713">
        <f>IF(DATOS!$I8713="","",IFERROR(VLOOKUP(DATOS!$I8713,CONFIG_ASIGNATURAS!$B$2:$J$91,9,FALSE()),""))</f>
      </c>
    </row>
    <row r="8714">
      <c r="F8714">
        <f>IF(DATOS!$A8714="","",DATOS!$A8714&amp;"|"&amp;DATOS!$D8714&amp;"|"&amp;DATOS!$E8714&amp;"|"&amp;DATOS!$I8714)</f>
      </c>
      <c r="G8714">
        <f>IF(DATOS!$A8714="",0,IF(CONFIG_METADATA!$B$4&lt;&gt;"OR+EX",--(DATOS!$G8714=CONFIG_METADATA!$B$4),IF(DATOS!$G8714="EX",1,IF(DATOS!$G8714="OR",--(COUNTIFS(nNIA,DATOS!$A8714,nCURSO,DATOS!$D8714,nESPEC,DATOS!$E8714,nASIG,DATOS!$I8714,nEVAL,"EX")=0),0))))</f>
      </c>
      <c r="H8714">
        <f>IF(DATOS!$G8714&lt;&gt;"EX",0,--(COUNTIFS(nNIA,DATOS!$A8714,nCURSO,DATOS!$D8714,nESPEC,DATOS!$E8714,nASIG,DATOS!$I8714,nEVAL,"OR")=0))</f>
      </c>
      <c r="I8714">
        <f>IF(DATOS!$I8714="","",IFERROR(VLOOKUP(DATOS!$I8714,CONFIG_ASIGNATURAS!$B$2:$J$91,9,FALSE()),""))</f>
      </c>
    </row>
    <row r="8715">
      <c r="F8715">
        <f>IF(DATOS!$A8715="","",DATOS!$A8715&amp;"|"&amp;DATOS!$D8715&amp;"|"&amp;DATOS!$E8715&amp;"|"&amp;DATOS!$I8715)</f>
      </c>
      <c r="G8715">
        <f>IF(DATOS!$A8715="",0,IF(CONFIG_METADATA!$B$4&lt;&gt;"OR+EX",--(DATOS!$G8715=CONFIG_METADATA!$B$4),IF(DATOS!$G8715="EX",1,IF(DATOS!$G8715="OR",--(COUNTIFS(nNIA,DATOS!$A8715,nCURSO,DATOS!$D8715,nESPEC,DATOS!$E8715,nASIG,DATOS!$I8715,nEVAL,"EX")=0),0))))</f>
      </c>
      <c r="H8715">
        <f>IF(DATOS!$G8715&lt;&gt;"EX",0,--(COUNTIFS(nNIA,DATOS!$A8715,nCURSO,DATOS!$D8715,nESPEC,DATOS!$E8715,nASIG,DATOS!$I8715,nEVAL,"OR")=0))</f>
      </c>
      <c r="I8715">
        <f>IF(DATOS!$I8715="","",IFERROR(VLOOKUP(DATOS!$I8715,CONFIG_ASIGNATURAS!$B$2:$J$91,9,FALSE()),""))</f>
      </c>
    </row>
    <row r="8716">
      <c r="F8716">
        <f>IF(DATOS!$A8716="","",DATOS!$A8716&amp;"|"&amp;DATOS!$D8716&amp;"|"&amp;DATOS!$E8716&amp;"|"&amp;DATOS!$I8716)</f>
      </c>
      <c r="G8716">
        <f>IF(DATOS!$A8716="",0,IF(CONFIG_METADATA!$B$4&lt;&gt;"OR+EX",--(DATOS!$G8716=CONFIG_METADATA!$B$4),IF(DATOS!$G8716="EX",1,IF(DATOS!$G8716="OR",--(COUNTIFS(nNIA,DATOS!$A8716,nCURSO,DATOS!$D8716,nESPEC,DATOS!$E8716,nASIG,DATOS!$I8716,nEVAL,"EX")=0),0))))</f>
      </c>
      <c r="H8716">
        <f>IF(DATOS!$G8716&lt;&gt;"EX",0,--(COUNTIFS(nNIA,DATOS!$A8716,nCURSO,DATOS!$D8716,nESPEC,DATOS!$E8716,nASIG,DATOS!$I8716,nEVAL,"OR")=0))</f>
      </c>
      <c r="I8716">
        <f>IF(DATOS!$I8716="","",IFERROR(VLOOKUP(DATOS!$I8716,CONFIG_ASIGNATURAS!$B$2:$J$91,9,FALSE()),""))</f>
      </c>
    </row>
    <row r="8717">
      <c r="F8717">
        <f>IF(DATOS!$A8717="","",DATOS!$A8717&amp;"|"&amp;DATOS!$D8717&amp;"|"&amp;DATOS!$E8717&amp;"|"&amp;DATOS!$I8717)</f>
      </c>
      <c r="G8717">
        <f>IF(DATOS!$A8717="",0,IF(CONFIG_METADATA!$B$4&lt;&gt;"OR+EX",--(DATOS!$G8717=CONFIG_METADATA!$B$4),IF(DATOS!$G8717="EX",1,IF(DATOS!$G8717="OR",--(COUNTIFS(nNIA,DATOS!$A8717,nCURSO,DATOS!$D8717,nESPEC,DATOS!$E8717,nASIG,DATOS!$I8717,nEVAL,"EX")=0),0))))</f>
      </c>
      <c r="H8717">
        <f>IF(DATOS!$G8717&lt;&gt;"EX",0,--(COUNTIFS(nNIA,DATOS!$A8717,nCURSO,DATOS!$D8717,nESPEC,DATOS!$E8717,nASIG,DATOS!$I8717,nEVAL,"OR")=0))</f>
      </c>
      <c r="I8717">
        <f>IF(DATOS!$I8717="","",IFERROR(VLOOKUP(DATOS!$I8717,CONFIG_ASIGNATURAS!$B$2:$J$91,9,FALSE()),""))</f>
      </c>
    </row>
    <row r="8718">
      <c r="F8718">
        <f>IF(DATOS!$A8718="","",DATOS!$A8718&amp;"|"&amp;DATOS!$D8718&amp;"|"&amp;DATOS!$E8718&amp;"|"&amp;DATOS!$I8718)</f>
      </c>
      <c r="G8718">
        <f>IF(DATOS!$A8718="",0,IF(CONFIG_METADATA!$B$4&lt;&gt;"OR+EX",--(DATOS!$G8718=CONFIG_METADATA!$B$4),IF(DATOS!$G8718="EX",1,IF(DATOS!$G8718="OR",--(COUNTIFS(nNIA,DATOS!$A8718,nCURSO,DATOS!$D8718,nESPEC,DATOS!$E8718,nASIG,DATOS!$I8718,nEVAL,"EX")=0),0))))</f>
      </c>
      <c r="H8718">
        <f>IF(DATOS!$G8718&lt;&gt;"EX",0,--(COUNTIFS(nNIA,DATOS!$A8718,nCURSO,DATOS!$D8718,nESPEC,DATOS!$E8718,nASIG,DATOS!$I8718,nEVAL,"OR")=0))</f>
      </c>
      <c r="I8718">
        <f>IF(DATOS!$I8718="","",IFERROR(VLOOKUP(DATOS!$I8718,CONFIG_ASIGNATURAS!$B$2:$J$91,9,FALSE()),""))</f>
      </c>
    </row>
    <row r="8719">
      <c r="F8719">
        <f>IF(DATOS!$A8719="","",DATOS!$A8719&amp;"|"&amp;DATOS!$D8719&amp;"|"&amp;DATOS!$E8719&amp;"|"&amp;DATOS!$I8719)</f>
      </c>
      <c r="G8719">
        <f>IF(DATOS!$A8719="",0,IF(CONFIG_METADATA!$B$4&lt;&gt;"OR+EX",--(DATOS!$G8719=CONFIG_METADATA!$B$4),IF(DATOS!$G8719="EX",1,IF(DATOS!$G8719="OR",--(COUNTIFS(nNIA,DATOS!$A8719,nCURSO,DATOS!$D8719,nESPEC,DATOS!$E8719,nASIG,DATOS!$I8719,nEVAL,"EX")=0),0))))</f>
      </c>
      <c r="H8719">
        <f>IF(DATOS!$G8719&lt;&gt;"EX",0,--(COUNTIFS(nNIA,DATOS!$A8719,nCURSO,DATOS!$D8719,nESPEC,DATOS!$E8719,nASIG,DATOS!$I8719,nEVAL,"OR")=0))</f>
      </c>
      <c r="I8719">
        <f>IF(DATOS!$I8719="","",IFERROR(VLOOKUP(DATOS!$I8719,CONFIG_ASIGNATURAS!$B$2:$J$91,9,FALSE()),""))</f>
      </c>
    </row>
    <row r="8720">
      <c r="F8720">
        <f>IF(DATOS!$A8720="","",DATOS!$A8720&amp;"|"&amp;DATOS!$D8720&amp;"|"&amp;DATOS!$E8720&amp;"|"&amp;DATOS!$I8720)</f>
      </c>
      <c r="G8720">
        <f>IF(DATOS!$A8720="",0,IF(CONFIG_METADATA!$B$4&lt;&gt;"OR+EX",--(DATOS!$G8720=CONFIG_METADATA!$B$4),IF(DATOS!$G8720="EX",1,IF(DATOS!$G8720="OR",--(COUNTIFS(nNIA,DATOS!$A8720,nCURSO,DATOS!$D8720,nESPEC,DATOS!$E8720,nASIG,DATOS!$I8720,nEVAL,"EX")=0),0))))</f>
      </c>
      <c r="H8720">
        <f>IF(DATOS!$G8720&lt;&gt;"EX",0,--(COUNTIFS(nNIA,DATOS!$A8720,nCURSO,DATOS!$D8720,nESPEC,DATOS!$E8720,nASIG,DATOS!$I8720,nEVAL,"OR")=0))</f>
      </c>
      <c r="I8720">
        <f>IF(DATOS!$I8720="","",IFERROR(VLOOKUP(DATOS!$I8720,CONFIG_ASIGNATURAS!$B$2:$J$91,9,FALSE()),""))</f>
      </c>
    </row>
    <row r="8721">
      <c r="F8721">
        <f>IF(DATOS!$A8721="","",DATOS!$A8721&amp;"|"&amp;DATOS!$D8721&amp;"|"&amp;DATOS!$E8721&amp;"|"&amp;DATOS!$I8721)</f>
      </c>
      <c r="G8721">
        <f>IF(DATOS!$A8721="",0,IF(CONFIG_METADATA!$B$4&lt;&gt;"OR+EX",--(DATOS!$G8721=CONFIG_METADATA!$B$4),IF(DATOS!$G8721="EX",1,IF(DATOS!$G8721="OR",--(COUNTIFS(nNIA,DATOS!$A8721,nCURSO,DATOS!$D8721,nESPEC,DATOS!$E8721,nASIG,DATOS!$I8721,nEVAL,"EX")=0),0))))</f>
      </c>
      <c r="H8721">
        <f>IF(DATOS!$G8721&lt;&gt;"EX",0,--(COUNTIFS(nNIA,DATOS!$A8721,nCURSO,DATOS!$D8721,nESPEC,DATOS!$E8721,nASIG,DATOS!$I8721,nEVAL,"OR")=0))</f>
      </c>
      <c r="I8721">
        <f>IF(DATOS!$I8721="","",IFERROR(VLOOKUP(DATOS!$I8721,CONFIG_ASIGNATURAS!$B$2:$J$91,9,FALSE()),""))</f>
      </c>
    </row>
    <row r="8722">
      <c r="F8722">
        <f>IF(DATOS!$A8722="","",DATOS!$A8722&amp;"|"&amp;DATOS!$D8722&amp;"|"&amp;DATOS!$E8722&amp;"|"&amp;DATOS!$I8722)</f>
      </c>
      <c r="G8722">
        <f>IF(DATOS!$A8722="",0,IF(CONFIG_METADATA!$B$4&lt;&gt;"OR+EX",--(DATOS!$G8722=CONFIG_METADATA!$B$4),IF(DATOS!$G8722="EX",1,IF(DATOS!$G8722="OR",--(COUNTIFS(nNIA,DATOS!$A8722,nCURSO,DATOS!$D8722,nESPEC,DATOS!$E8722,nASIG,DATOS!$I8722,nEVAL,"EX")=0),0))))</f>
      </c>
      <c r="H8722">
        <f>IF(DATOS!$G8722&lt;&gt;"EX",0,--(COUNTIFS(nNIA,DATOS!$A8722,nCURSO,DATOS!$D8722,nESPEC,DATOS!$E8722,nASIG,DATOS!$I8722,nEVAL,"OR")=0))</f>
      </c>
      <c r="I8722">
        <f>IF(DATOS!$I8722="","",IFERROR(VLOOKUP(DATOS!$I8722,CONFIG_ASIGNATURAS!$B$2:$J$91,9,FALSE()),""))</f>
      </c>
    </row>
    <row r="8723">
      <c r="F8723">
        <f>IF(DATOS!$A8723="","",DATOS!$A8723&amp;"|"&amp;DATOS!$D8723&amp;"|"&amp;DATOS!$E8723&amp;"|"&amp;DATOS!$I8723)</f>
      </c>
      <c r="G8723">
        <f>IF(DATOS!$A8723="",0,IF(CONFIG_METADATA!$B$4&lt;&gt;"OR+EX",--(DATOS!$G8723=CONFIG_METADATA!$B$4),IF(DATOS!$G8723="EX",1,IF(DATOS!$G8723="OR",--(COUNTIFS(nNIA,DATOS!$A8723,nCURSO,DATOS!$D8723,nESPEC,DATOS!$E8723,nASIG,DATOS!$I8723,nEVAL,"EX")=0),0))))</f>
      </c>
      <c r="H8723">
        <f>IF(DATOS!$G8723&lt;&gt;"EX",0,--(COUNTIFS(nNIA,DATOS!$A8723,nCURSO,DATOS!$D8723,nESPEC,DATOS!$E8723,nASIG,DATOS!$I8723,nEVAL,"OR")=0))</f>
      </c>
      <c r="I8723">
        <f>IF(DATOS!$I8723="","",IFERROR(VLOOKUP(DATOS!$I8723,CONFIG_ASIGNATURAS!$B$2:$J$91,9,FALSE()),""))</f>
      </c>
    </row>
    <row r="8724">
      <c r="F8724">
        <f>IF(DATOS!$A8724="","",DATOS!$A8724&amp;"|"&amp;DATOS!$D8724&amp;"|"&amp;DATOS!$E8724&amp;"|"&amp;DATOS!$I8724)</f>
      </c>
      <c r="G8724">
        <f>IF(DATOS!$A8724="",0,IF(CONFIG_METADATA!$B$4&lt;&gt;"OR+EX",--(DATOS!$G8724=CONFIG_METADATA!$B$4),IF(DATOS!$G8724="EX",1,IF(DATOS!$G8724="OR",--(COUNTIFS(nNIA,DATOS!$A8724,nCURSO,DATOS!$D8724,nESPEC,DATOS!$E8724,nASIG,DATOS!$I8724,nEVAL,"EX")=0),0))))</f>
      </c>
      <c r="H8724">
        <f>IF(DATOS!$G8724&lt;&gt;"EX",0,--(COUNTIFS(nNIA,DATOS!$A8724,nCURSO,DATOS!$D8724,nESPEC,DATOS!$E8724,nASIG,DATOS!$I8724,nEVAL,"OR")=0))</f>
      </c>
      <c r="I8724">
        <f>IF(DATOS!$I8724="","",IFERROR(VLOOKUP(DATOS!$I8724,CONFIG_ASIGNATURAS!$B$2:$J$91,9,FALSE()),""))</f>
      </c>
    </row>
    <row r="8725">
      <c r="F8725">
        <f>IF(DATOS!$A8725="","",DATOS!$A8725&amp;"|"&amp;DATOS!$D8725&amp;"|"&amp;DATOS!$E8725&amp;"|"&amp;DATOS!$I8725)</f>
      </c>
      <c r="G8725">
        <f>IF(DATOS!$A8725="",0,IF(CONFIG_METADATA!$B$4&lt;&gt;"OR+EX",--(DATOS!$G8725=CONFIG_METADATA!$B$4),IF(DATOS!$G8725="EX",1,IF(DATOS!$G8725="OR",--(COUNTIFS(nNIA,DATOS!$A8725,nCURSO,DATOS!$D8725,nESPEC,DATOS!$E8725,nASIG,DATOS!$I8725,nEVAL,"EX")=0),0))))</f>
      </c>
      <c r="H8725">
        <f>IF(DATOS!$G8725&lt;&gt;"EX",0,--(COUNTIFS(nNIA,DATOS!$A8725,nCURSO,DATOS!$D8725,nESPEC,DATOS!$E8725,nASIG,DATOS!$I8725,nEVAL,"OR")=0))</f>
      </c>
      <c r="I8725">
        <f>IF(DATOS!$I8725="","",IFERROR(VLOOKUP(DATOS!$I8725,CONFIG_ASIGNATURAS!$B$2:$J$91,9,FALSE()),""))</f>
      </c>
    </row>
    <row r="8726">
      <c r="F8726">
        <f>IF(DATOS!$A8726="","",DATOS!$A8726&amp;"|"&amp;DATOS!$D8726&amp;"|"&amp;DATOS!$E8726&amp;"|"&amp;DATOS!$I8726)</f>
      </c>
      <c r="G8726">
        <f>IF(DATOS!$A8726="",0,IF(CONFIG_METADATA!$B$4&lt;&gt;"OR+EX",--(DATOS!$G8726=CONFIG_METADATA!$B$4),IF(DATOS!$G8726="EX",1,IF(DATOS!$G8726="OR",--(COUNTIFS(nNIA,DATOS!$A8726,nCURSO,DATOS!$D8726,nESPEC,DATOS!$E8726,nASIG,DATOS!$I8726,nEVAL,"EX")=0),0))))</f>
      </c>
      <c r="H8726">
        <f>IF(DATOS!$G8726&lt;&gt;"EX",0,--(COUNTIFS(nNIA,DATOS!$A8726,nCURSO,DATOS!$D8726,nESPEC,DATOS!$E8726,nASIG,DATOS!$I8726,nEVAL,"OR")=0))</f>
      </c>
      <c r="I8726">
        <f>IF(DATOS!$I8726="","",IFERROR(VLOOKUP(DATOS!$I8726,CONFIG_ASIGNATURAS!$B$2:$J$91,9,FALSE()),""))</f>
      </c>
    </row>
    <row r="8727">
      <c r="F8727">
        <f>IF(DATOS!$A8727="","",DATOS!$A8727&amp;"|"&amp;DATOS!$D8727&amp;"|"&amp;DATOS!$E8727&amp;"|"&amp;DATOS!$I8727)</f>
      </c>
      <c r="G8727">
        <f>IF(DATOS!$A8727="",0,IF(CONFIG_METADATA!$B$4&lt;&gt;"OR+EX",--(DATOS!$G8727=CONFIG_METADATA!$B$4),IF(DATOS!$G8727="EX",1,IF(DATOS!$G8727="OR",--(COUNTIFS(nNIA,DATOS!$A8727,nCURSO,DATOS!$D8727,nESPEC,DATOS!$E8727,nASIG,DATOS!$I8727,nEVAL,"EX")=0),0))))</f>
      </c>
      <c r="H8727">
        <f>IF(DATOS!$G8727&lt;&gt;"EX",0,--(COUNTIFS(nNIA,DATOS!$A8727,nCURSO,DATOS!$D8727,nESPEC,DATOS!$E8727,nASIG,DATOS!$I8727,nEVAL,"OR")=0))</f>
      </c>
      <c r="I8727">
        <f>IF(DATOS!$I8727="","",IFERROR(VLOOKUP(DATOS!$I8727,CONFIG_ASIGNATURAS!$B$2:$J$91,9,FALSE()),""))</f>
      </c>
    </row>
    <row r="8728">
      <c r="F8728">
        <f>IF(DATOS!$A8728="","",DATOS!$A8728&amp;"|"&amp;DATOS!$D8728&amp;"|"&amp;DATOS!$E8728&amp;"|"&amp;DATOS!$I8728)</f>
      </c>
      <c r="G8728">
        <f>IF(DATOS!$A8728="",0,IF(CONFIG_METADATA!$B$4&lt;&gt;"OR+EX",--(DATOS!$G8728=CONFIG_METADATA!$B$4),IF(DATOS!$G8728="EX",1,IF(DATOS!$G8728="OR",--(COUNTIFS(nNIA,DATOS!$A8728,nCURSO,DATOS!$D8728,nESPEC,DATOS!$E8728,nASIG,DATOS!$I8728,nEVAL,"EX")=0),0))))</f>
      </c>
      <c r="H8728">
        <f>IF(DATOS!$G8728&lt;&gt;"EX",0,--(COUNTIFS(nNIA,DATOS!$A8728,nCURSO,DATOS!$D8728,nESPEC,DATOS!$E8728,nASIG,DATOS!$I8728,nEVAL,"OR")=0))</f>
      </c>
      <c r="I8728">
        <f>IF(DATOS!$I8728="","",IFERROR(VLOOKUP(DATOS!$I8728,CONFIG_ASIGNATURAS!$B$2:$J$91,9,FALSE()),""))</f>
      </c>
    </row>
    <row r="8729">
      <c r="F8729">
        <f>IF(DATOS!$A8729="","",DATOS!$A8729&amp;"|"&amp;DATOS!$D8729&amp;"|"&amp;DATOS!$E8729&amp;"|"&amp;DATOS!$I8729)</f>
      </c>
      <c r="G8729">
        <f>IF(DATOS!$A8729="",0,IF(CONFIG_METADATA!$B$4&lt;&gt;"OR+EX",--(DATOS!$G8729=CONFIG_METADATA!$B$4),IF(DATOS!$G8729="EX",1,IF(DATOS!$G8729="OR",--(COUNTIFS(nNIA,DATOS!$A8729,nCURSO,DATOS!$D8729,nESPEC,DATOS!$E8729,nASIG,DATOS!$I8729,nEVAL,"EX")=0),0))))</f>
      </c>
      <c r="H8729">
        <f>IF(DATOS!$G8729&lt;&gt;"EX",0,--(COUNTIFS(nNIA,DATOS!$A8729,nCURSO,DATOS!$D8729,nESPEC,DATOS!$E8729,nASIG,DATOS!$I8729,nEVAL,"OR")=0))</f>
      </c>
      <c r="I8729">
        <f>IF(DATOS!$I8729="","",IFERROR(VLOOKUP(DATOS!$I8729,CONFIG_ASIGNATURAS!$B$2:$J$91,9,FALSE()),""))</f>
      </c>
    </row>
    <row r="8730">
      <c r="F8730">
        <f>IF(DATOS!$A8730="","",DATOS!$A8730&amp;"|"&amp;DATOS!$D8730&amp;"|"&amp;DATOS!$E8730&amp;"|"&amp;DATOS!$I8730)</f>
      </c>
      <c r="G8730">
        <f>IF(DATOS!$A8730="",0,IF(CONFIG_METADATA!$B$4&lt;&gt;"OR+EX",--(DATOS!$G8730=CONFIG_METADATA!$B$4),IF(DATOS!$G8730="EX",1,IF(DATOS!$G8730="OR",--(COUNTIFS(nNIA,DATOS!$A8730,nCURSO,DATOS!$D8730,nESPEC,DATOS!$E8730,nASIG,DATOS!$I8730,nEVAL,"EX")=0),0))))</f>
      </c>
      <c r="H8730">
        <f>IF(DATOS!$G8730&lt;&gt;"EX",0,--(COUNTIFS(nNIA,DATOS!$A8730,nCURSO,DATOS!$D8730,nESPEC,DATOS!$E8730,nASIG,DATOS!$I8730,nEVAL,"OR")=0))</f>
      </c>
      <c r="I8730">
        <f>IF(DATOS!$I8730="","",IFERROR(VLOOKUP(DATOS!$I8730,CONFIG_ASIGNATURAS!$B$2:$J$91,9,FALSE()),""))</f>
      </c>
    </row>
    <row r="8731">
      <c r="F8731">
        <f>IF(DATOS!$A8731="","",DATOS!$A8731&amp;"|"&amp;DATOS!$D8731&amp;"|"&amp;DATOS!$E8731&amp;"|"&amp;DATOS!$I8731)</f>
      </c>
      <c r="G8731">
        <f>IF(DATOS!$A8731="",0,IF(CONFIG_METADATA!$B$4&lt;&gt;"OR+EX",--(DATOS!$G8731=CONFIG_METADATA!$B$4),IF(DATOS!$G8731="EX",1,IF(DATOS!$G8731="OR",--(COUNTIFS(nNIA,DATOS!$A8731,nCURSO,DATOS!$D8731,nESPEC,DATOS!$E8731,nASIG,DATOS!$I8731,nEVAL,"EX")=0),0))))</f>
      </c>
      <c r="H8731">
        <f>IF(DATOS!$G8731&lt;&gt;"EX",0,--(COUNTIFS(nNIA,DATOS!$A8731,nCURSO,DATOS!$D8731,nESPEC,DATOS!$E8731,nASIG,DATOS!$I8731,nEVAL,"OR")=0))</f>
      </c>
      <c r="I8731">
        <f>IF(DATOS!$I8731="","",IFERROR(VLOOKUP(DATOS!$I8731,CONFIG_ASIGNATURAS!$B$2:$J$91,9,FALSE()),""))</f>
      </c>
    </row>
    <row r="8732">
      <c r="F8732">
        <f>IF(DATOS!$A8732="","",DATOS!$A8732&amp;"|"&amp;DATOS!$D8732&amp;"|"&amp;DATOS!$E8732&amp;"|"&amp;DATOS!$I8732)</f>
      </c>
      <c r="G8732">
        <f>IF(DATOS!$A8732="",0,IF(CONFIG_METADATA!$B$4&lt;&gt;"OR+EX",--(DATOS!$G8732=CONFIG_METADATA!$B$4),IF(DATOS!$G8732="EX",1,IF(DATOS!$G8732="OR",--(COUNTIFS(nNIA,DATOS!$A8732,nCURSO,DATOS!$D8732,nESPEC,DATOS!$E8732,nASIG,DATOS!$I8732,nEVAL,"EX")=0),0))))</f>
      </c>
      <c r="H8732">
        <f>IF(DATOS!$G8732&lt;&gt;"EX",0,--(COUNTIFS(nNIA,DATOS!$A8732,nCURSO,DATOS!$D8732,nESPEC,DATOS!$E8732,nASIG,DATOS!$I8732,nEVAL,"OR")=0))</f>
      </c>
      <c r="I8732">
        <f>IF(DATOS!$I8732="","",IFERROR(VLOOKUP(DATOS!$I8732,CONFIG_ASIGNATURAS!$B$2:$J$91,9,FALSE()),""))</f>
      </c>
    </row>
    <row r="8733">
      <c r="F8733">
        <f>IF(DATOS!$A8733="","",DATOS!$A8733&amp;"|"&amp;DATOS!$D8733&amp;"|"&amp;DATOS!$E8733&amp;"|"&amp;DATOS!$I8733)</f>
      </c>
      <c r="G8733">
        <f>IF(DATOS!$A8733="",0,IF(CONFIG_METADATA!$B$4&lt;&gt;"OR+EX",--(DATOS!$G8733=CONFIG_METADATA!$B$4),IF(DATOS!$G8733="EX",1,IF(DATOS!$G8733="OR",--(COUNTIFS(nNIA,DATOS!$A8733,nCURSO,DATOS!$D8733,nESPEC,DATOS!$E8733,nASIG,DATOS!$I8733,nEVAL,"EX")=0),0))))</f>
      </c>
      <c r="H8733">
        <f>IF(DATOS!$G8733&lt;&gt;"EX",0,--(COUNTIFS(nNIA,DATOS!$A8733,nCURSO,DATOS!$D8733,nESPEC,DATOS!$E8733,nASIG,DATOS!$I8733,nEVAL,"OR")=0))</f>
      </c>
      <c r="I8733">
        <f>IF(DATOS!$I8733="","",IFERROR(VLOOKUP(DATOS!$I8733,CONFIG_ASIGNATURAS!$B$2:$J$91,9,FALSE()),""))</f>
      </c>
    </row>
    <row r="8734">
      <c r="F8734">
        <f>IF(DATOS!$A8734="","",DATOS!$A8734&amp;"|"&amp;DATOS!$D8734&amp;"|"&amp;DATOS!$E8734&amp;"|"&amp;DATOS!$I8734)</f>
      </c>
      <c r="G8734">
        <f>IF(DATOS!$A8734="",0,IF(CONFIG_METADATA!$B$4&lt;&gt;"OR+EX",--(DATOS!$G8734=CONFIG_METADATA!$B$4),IF(DATOS!$G8734="EX",1,IF(DATOS!$G8734="OR",--(COUNTIFS(nNIA,DATOS!$A8734,nCURSO,DATOS!$D8734,nESPEC,DATOS!$E8734,nASIG,DATOS!$I8734,nEVAL,"EX")=0),0))))</f>
      </c>
      <c r="H8734">
        <f>IF(DATOS!$G8734&lt;&gt;"EX",0,--(COUNTIFS(nNIA,DATOS!$A8734,nCURSO,DATOS!$D8734,nESPEC,DATOS!$E8734,nASIG,DATOS!$I8734,nEVAL,"OR")=0))</f>
      </c>
      <c r="I8734">
        <f>IF(DATOS!$I8734="","",IFERROR(VLOOKUP(DATOS!$I8734,CONFIG_ASIGNATURAS!$B$2:$J$91,9,FALSE()),""))</f>
      </c>
    </row>
    <row r="8735">
      <c r="F8735">
        <f>IF(DATOS!$A8735="","",DATOS!$A8735&amp;"|"&amp;DATOS!$D8735&amp;"|"&amp;DATOS!$E8735&amp;"|"&amp;DATOS!$I8735)</f>
      </c>
      <c r="G8735">
        <f>IF(DATOS!$A8735="",0,IF(CONFIG_METADATA!$B$4&lt;&gt;"OR+EX",--(DATOS!$G8735=CONFIG_METADATA!$B$4),IF(DATOS!$G8735="EX",1,IF(DATOS!$G8735="OR",--(COUNTIFS(nNIA,DATOS!$A8735,nCURSO,DATOS!$D8735,nESPEC,DATOS!$E8735,nASIG,DATOS!$I8735,nEVAL,"EX")=0),0))))</f>
      </c>
      <c r="H8735">
        <f>IF(DATOS!$G8735&lt;&gt;"EX",0,--(COUNTIFS(nNIA,DATOS!$A8735,nCURSO,DATOS!$D8735,nESPEC,DATOS!$E8735,nASIG,DATOS!$I8735,nEVAL,"OR")=0))</f>
      </c>
      <c r="I8735">
        <f>IF(DATOS!$I8735="","",IFERROR(VLOOKUP(DATOS!$I8735,CONFIG_ASIGNATURAS!$B$2:$J$91,9,FALSE()),""))</f>
      </c>
    </row>
    <row r="8736">
      <c r="F8736">
        <f>IF(DATOS!$A8736="","",DATOS!$A8736&amp;"|"&amp;DATOS!$D8736&amp;"|"&amp;DATOS!$E8736&amp;"|"&amp;DATOS!$I8736)</f>
      </c>
      <c r="G8736">
        <f>IF(DATOS!$A8736="",0,IF(CONFIG_METADATA!$B$4&lt;&gt;"OR+EX",--(DATOS!$G8736=CONFIG_METADATA!$B$4),IF(DATOS!$G8736="EX",1,IF(DATOS!$G8736="OR",--(COUNTIFS(nNIA,DATOS!$A8736,nCURSO,DATOS!$D8736,nESPEC,DATOS!$E8736,nASIG,DATOS!$I8736,nEVAL,"EX")=0),0))))</f>
      </c>
      <c r="H8736">
        <f>IF(DATOS!$G8736&lt;&gt;"EX",0,--(COUNTIFS(nNIA,DATOS!$A8736,nCURSO,DATOS!$D8736,nESPEC,DATOS!$E8736,nASIG,DATOS!$I8736,nEVAL,"OR")=0))</f>
      </c>
      <c r="I8736">
        <f>IF(DATOS!$I8736="","",IFERROR(VLOOKUP(DATOS!$I8736,CONFIG_ASIGNATURAS!$B$2:$J$91,9,FALSE()),""))</f>
      </c>
    </row>
    <row r="8737">
      <c r="F8737">
        <f>IF(DATOS!$A8737="","",DATOS!$A8737&amp;"|"&amp;DATOS!$D8737&amp;"|"&amp;DATOS!$E8737&amp;"|"&amp;DATOS!$I8737)</f>
      </c>
      <c r="G8737">
        <f>IF(DATOS!$A8737="",0,IF(CONFIG_METADATA!$B$4&lt;&gt;"OR+EX",--(DATOS!$G8737=CONFIG_METADATA!$B$4),IF(DATOS!$G8737="EX",1,IF(DATOS!$G8737="OR",--(COUNTIFS(nNIA,DATOS!$A8737,nCURSO,DATOS!$D8737,nESPEC,DATOS!$E8737,nASIG,DATOS!$I8737,nEVAL,"EX")=0),0))))</f>
      </c>
      <c r="H8737">
        <f>IF(DATOS!$G8737&lt;&gt;"EX",0,--(COUNTIFS(nNIA,DATOS!$A8737,nCURSO,DATOS!$D8737,nESPEC,DATOS!$E8737,nASIG,DATOS!$I8737,nEVAL,"OR")=0))</f>
      </c>
      <c r="I8737">
        <f>IF(DATOS!$I8737="","",IFERROR(VLOOKUP(DATOS!$I8737,CONFIG_ASIGNATURAS!$B$2:$J$91,9,FALSE()),""))</f>
      </c>
    </row>
    <row r="8738">
      <c r="F8738">
        <f>IF(DATOS!$A8738="","",DATOS!$A8738&amp;"|"&amp;DATOS!$D8738&amp;"|"&amp;DATOS!$E8738&amp;"|"&amp;DATOS!$I8738)</f>
      </c>
      <c r="G8738">
        <f>IF(DATOS!$A8738="",0,IF(CONFIG_METADATA!$B$4&lt;&gt;"OR+EX",--(DATOS!$G8738=CONFIG_METADATA!$B$4),IF(DATOS!$G8738="EX",1,IF(DATOS!$G8738="OR",--(COUNTIFS(nNIA,DATOS!$A8738,nCURSO,DATOS!$D8738,nESPEC,DATOS!$E8738,nASIG,DATOS!$I8738,nEVAL,"EX")=0),0))))</f>
      </c>
      <c r="H8738">
        <f>IF(DATOS!$G8738&lt;&gt;"EX",0,--(COUNTIFS(nNIA,DATOS!$A8738,nCURSO,DATOS!$D8738,nESPEC,DATOS!$E8738,nASIG,DATOS!$I8738,nEVAL,"OR")=0))</f>
      </c>
      <c r="I8738">
        <f>IF(DATOS!$I8738="","",IFERROR(VLOOKUP(DATOS!$I8738,CONFIG_ASIGNATURAS!$B$2:$J$91,9,FALSE()),""))</f>
      </c>
    </row>
    <row r="8739">
      <c r="F8739">
        <f>IF(DATOS!$A8739="","",DATOS!$A8739&amp;"|"&amp;DATOS!$D8739&amp;"|"&amp;DATOS!$E8739&amp;"|"&amp;DATOS!$I8739)</f>
      </c>
      <c r="G8739">
        <f>IF(DATOS!$A8739="",0,IF(CONFIG_METADATA!$B$4&lt;&gt;"OR+EX",--(DATOS!$G8739=CONFIG_METADATA!$B$4),IF(DATOS!$G8739="EX",1,IF(DATOS!$G8739="OR",--(COUNTIFS(nNIA,DATOS!$A8739,nCURSO,DATOS!$D8739,nESPEC,DATOS!$E8739,nASIG,DATOS!$I8739,nEVAL,"EX")=0),0))))</f>
      </c>
      <c r="H8739">
        <f>IF(DATOS!$G8739&lt;&gt;"EX",0,--(COUNTIFS(nNIA,DATOS!$A8739,nCURSO,DATOS!$D8739,nESPEC,DATOS!$E8739,nASIG,DATOS!$I8739,nEVAL,"OR")=0))</f>
      </c>
      <c r="I8739">
        <f>IF(DATOS!$I8739="","",IFERROR(VLOOKUP(DATOS!$I8739,CONFIG_ASIGNATURAS!$B$2:$J$91,9,FALSE()),""))</f>
      </c>
    </row>
    <row r="8740">
      <c r="F8740">
        <f>IF(DATOS!$A8740="","",DATOS!$A8740&amp;"|"&amp;DATOS!$D8740&amp;"|"&amp;DATOS!$E8740&amp;"|"&amp;DATOS!$I8740)</f>
      </c>
      <c r="G8740">
        <f>IF(DATOS!$A8740="",0,IF(CONFIG_METADATA!$B$4&lt;&gt;"OR+EX",--(DATOS!$G8740=CONFIG_METADATA!$B$4),IF(DATOS!$G8740="EX",1,IF(DATOS!$G8740="OR",--(COUNTIFS(nNIA,DATOS!$A8740,nCURSO,DATOS!$D8740,nESPEC,DATOS!$E8740,nASIG,DATOS!$I8740,nEVAL,"EX")=0),0))))</f>
      </c>
      <c r="H8740">
        <f>IF(DATOS!$G8740&lt;&gt;"EX",0,--(COUNTIFS(nNIA,DATOS!$A8740,nCURSO,DATOS!$D8740,nESPEC,DATOS!$E8740,nASIG,DATOS!$I8740,nEVAL,"OR")=0))</f>
      </c>
      <c r="I8740">
        <f>IF(DATOS!$I8740="","",IFERROR(VLOOKUP(DATOS!$I8740,CONFIG_ASIGNATURAS!$B$2:$J$91,9,FALSE()),""))</f>
      </c>
    </row>
    <row r="8741">
      <c r="F8741">
        <f>IF(DATOS!$A8741="","",DATOS!$A8741&amp;"|"&amp;DATOS!$D8741&amp;"|"&amp;DATOS!$E8741&amp;"|"&amp;DATOS!$I8741)</f>
      </c>
      <c r="G8741">
        <f>IF(DATOS!$A8741="",0,IF(CONFIG_METADATA!$B$4&lt;&gt;"OR+EX",--(DATOS!$G8741=CONFIG_METADATA!$B$4),IF(DATOS!$G8741="EX",1,IF(DATOS!$G8741="OR",--(COUNTIFS(nNIA,DATOS!$A8741,nCURSO,DATOS!$D8741,nESPEC,DATOS!$E8741,nASIG,DATOS!$I8741,nEVAL,"EX")=0),0))))</f>
      </c>
      <c r="H8741">
        <f>IF(DATOS!$G8741&lt;&gt;"EX",0,--(COUNTIFS(nNIA,DATOS!$A8741,nCURSO,DATOS!$D8741,nESPEC,DATOS!$E8741,nASIG,DATOS!$I8741,nEVAL,"OR")=0))</f>
      </c>
      <c r="I8741">
        <f>IF(DATOS!$I8741="","",IFERROR(VLOOKUP(DATOS!$I8741,CONFIG_ASIGNATURAS!$B$2:$J$91,9,FALSE()),""))</f>
      </c>
    </row>
    <row r="8742">
      <c r="F8742">
        <f>IF(DATOS!$A8742="","",DATOS!$A8742&amp;"|"&amp;DATOS!$D8742&amp;"|"&amp;DATOS!$E8742&amp;"|"&amp;DATOS!$I8742)</f>
      </c>
      <c r="G8742">
        <f>IF(DATOS!$A8742="",0,IF(CONFIG_METADATA!$B$4&lt;&gt;"OR+EX",--(DATOS!$G8742=CONFIG_METADATA!$B$4),IF(DATOS!$G8742="EX",1,IF(DATOS!$G8742="OR",--(COUNTIFS(nNIA,DATOS!$A8742,nCURSO,DATOS!$D8742,nESPEC,DATOS!$E8742,nASIG,DATOS!$I8742,nEVAL,"EX")=0),0))))</f>
      </c>
      <c r="H8742">
        <f>IF(DATOS!$G8742&lt;&gt;"EX",0,--(COUNTIFS(nNIA,DATOS!$A8742,nCURSO,DATOS!$D8742,nESPEC,DATOS!$E8742,nASIG,DATOS!$I8742,nEVAL,"OR")=0))</f>
      </c>
      <c r="I8742">
        <f>IF(DATOS!$I8742="","",IFERROR(VLOOKUP(DATOS!$I8742,CONFIG_ASIGNATURAS!$B$2:$J$91,9,FALSE()),""))</f>
      </c>
    </row>
    <row r="8743">
      <c r="F8743">
        <f>IF(DATOS!$A8743="","",DATOS!$A8743&amp;"|"&amp;DATOS!$D8743&amp;"|"&amp;DATOS!$E8743&amp;"|"&amp;DATOS!$I8743)</f>
      </c>
      <c r="G8743">
        <f>IF(DATOS!$A8743="",0,IF(CONFIG_METADATA!$B$4&lt;&gt;"OR+EX",--(DATOS!$G8743=CONFIG_METADATA!$B$4),IF(DATOS!$G8743="EX",1,IF(DATOS!$G8743="OR",--(COUNTIFS(nNIA,DATOS!$A8743,nCURSO,DATOS!$D8743,nESPEC,DATOS!$E8743,nASIG,DATOS!$I8743,nEVAL,"EX")=0),0))))</f>
      </c>
      <c r="H8743">
        <f>IF(DATOS!$G8743&lt;&gt;"EX",0,--(COUNTIFS(nNIA,DATOS!$A8743,nCURSO,DATOS!$D8743,nESPEC,DATOS!$E8743,nASIG,DATOS!$I8743,nEVAL,"OR")=0))</f>
      </c>
      <c r="I8743">
        <f>IF(DATOS!$I8743="","",IFERROR(VLOOKUP(DATOS!$I8743,CONFIG_ASIGNATURAS!$B$2:$J$91,9,FALSE()),""))</f>
      </c>
    </row>
    <row r="8744">
      <c r="F8744">
        <f>IF(DATOS!$A8744="","",DATOS!$A8744&amp;"|"&amp;DATOS!$D8744&amp;"|"&amp;DATOS!$E8744&amp;"|"&amp;DATOS!$I8744)</f>
      </c>
      <c r="G8744">
        <f>IF(DATOS!$A8744="",0,IF(CONFIG_METADATA!$B$4&lt;&gt;"OR+EX",--(DATOS!$G8744=CONFIG_METADATA!$B$4),IF(DATOS!$G8744="EX",1,IF(DATOS!$G8744="OR",--(COUNTIFS(nNIA,DATOS!$A8744,nCURSO,DATOS!$D8744,nESPEC,DATOS!$E8744,nASIG,DATOS!$I8744,nEVAL,"EX")=0),0))))</f>
      </c>
      <c r="H8744">
        <f>IF(DATOS!$G8744&lt;&gt;"EX",0,--(COUNTIFS(nNIA,DATOS!$A8744,nCURSO,DATOS!$D8744,nESPEC,DATOS!$E8744,nASIG,DATOS!$I8744,nEVAL,"OR")=0))</f>
      </c>
      <c r="I8744">
        <f>IF(DATOS!$I8744="","",IFERROR(VLOOKUP(DATOS!$I8744,CONFIG_ASIGNATURAS!$B$2:$J$91,9,FALSE()),""))</f>
      </c>
    </row>
    <row r="8745">
      <c r="F8745">
        <f>IF(DATOS!$A8745="","",DATOS!$A8745&amp;"|"&amp;DATOS!$D8745&amp;"|"&amp;DATOS!$E8745&amp;"|"&amp;DATOS!$I8745)</f>
      </c>
      <c r="G8745">
        <f>IF(DATOS!$A8745="",0,IF(CONFIG_METADATA!$B$4&lt;&gt;"OR+EX",--(DATOS!$G8745=CONFIG_METADATA!$B$4),IF(DATOS!$G8745="EX",1,IF(DATOS!$G8745="OR",--(COUNTIFS(nNIA,DATOS!$A8745,nCURSO,DATOS!$D8745,nESPEC,DATOS!$E8745,nASIG,DATOS!$I8745,nEVAL,"EX")=0),0))))</f>
      </c>
      <c r="H8745">
        <f>IF(DATOS!$G8745&lt;&gt;"EX",0,--(COUNTIFS(nNIA,DATOS!$A8745,nCURSO,DATOS!$D8745,nESPEC,DATOS!$E8745,nASIG,DATOS!$I8745,nEVAL,"OR")=0))</f>
      </c>
      <c r="I8745">
        <f>IF(DATOS!$I8745="","",IFERROR(VLOOKUP(DATOS!$I8745,CONFIG_ASIGNATURAS!$B$2:$J$91,9,FALSE()),""))</f>
      </c>
    </row>
    <row r="8746">
      <c r="F8746">
        <f>IF(DATOS!$A8746="","",DATOS!$A8746&amp;"|"&amp;DATOS!$D8746&amp;"|"&amp;DATOS!$E8746&amp;"|"&amp;DATOS!$I8746)</f>
      </c>
      <c r="G8746">
        <f>IF(DATOS!$A8746="",0,IF(CONFIG_METADATA!$B$4&lt;&gt;"OR+EX",--(DATOS!$G8746=CONFIG_METADATA!$B$4),IF(DATOS!$G8746="EX",1,IF(DATOS!$G8746="OR",--(COUNTIFS(nNIA,DATOS!$A8746,nCURSO,DATOS!$D8746,nESPEC,DATOS!$E8746,nASIG,DATOS!$I8746,nEVAL,"EX")=0),0))))</f>
      </c>
      <c r="H8746">
        <f>IF(DATOS!$G8746&lt;&gt;"EX",0,--(COUNTIFS(nNIA,DATOS!$A8746,nCURSO,DATOS!$D8746,nESPEC,DATOS!$E8746,nASIG,DATOS!$I8746,nEVAL,"OR")=0))</f>
      </c>
      <c r="I8746">
        <f>IF(DATOS!$I8746="","",IFERROR(VLOOKUP(DATOS!$I8746,CONFIG_ASIGNATURAS!$B$2:$J$91,9,FALSE()),""))</f>
      </c>
    </row>
    <row r="8747">
      <c r="F8747">
        <f>IF(DATOS!$A8747="","",DATOS!$A8747&amp;"|"&amp;DATOS!$D8747&amp;"|"&amp;DATOS!$E8747&amp;"|"&amp;DATOS!$I8747)</f>
      </c>
      <c r="G8747">
        <f>IF(DATOS!$A8747="",0,IF(CONFIG_METADATA!$B$4&lt;&gt;"OR+EX",--(DATOS!$G8747=CONFIG_METADATA!$B$4),IF(DATOS!$G8747="EX",1,IF(DATOS!$G8747="OR",--(COUNTIFS(nNIA,DATOS!$A8747,nCURSO,DATOS!$D8747,nESPEC,DATOS!$E8747,nASIG,DATOS!$I8747,nEVAL,"EX")=0),0))))</f>
      </c>
      <c r="H8747">
        <f>IF(DATOS!$G8747&lt;&gt;"EX",0,--(COUNTIFS(nNIA,DATOS!$A8747,nCURSO,DATOS!$D8747,nESPEC,DATOS!$E8747,nASIG,DATOS!$I8747,nEVAL,"OR")=0))</f>
      </c>
      <c r="I8747">
        <f>IF(DATOS!$I8747="","",IFERROR(VLOOKUP(DATOS!$I8747,CONFIG_ASIGNATURAS!$B$2:$J$91,9,FALSE()),""))</f>
      </c>
    </row>
    <row r="8748">
      <c r="F8748">
        <f>IF(DATOS!$A8748="","",DATOS!$A8748&amp;"|"&amp;DATOS!$D8748&amp;"|"&amp;DATOS!$E8748&amp;"|"&amp;DATOS!$I8748)</f>
      </c>
      <c r="G8748">
        <f>IF(DATOS!$A8748="",0,IF(CONFIG_METADATA!$B$4&lt;&gt;"OR+EX",--(DATOS!$G8748=CONFIG_METADATA!$B$4),IF(DATOS!$G8748="EX",1,IF(DATOS!$G8748="OR",--(COUNTIFS(nNIA,DATOS!$A8748,nCURSO,DATOS!$D8748,nESPEC,DATOS!$E8748,nASIG,DATOS!$I8748,nEVAL,"EX")=0),0))))</f>
      </c>
      <c r="H8748">
        <f>IF(DATOS!$G8748&lt;&gt;"EX",0,--(COUNTIFS(nNIA,DATOS!$A8748,nCURSO,DATOS!$D8748,nESPEC,DATOS!$E8748,nASIG,DATOS!$I8748,nEVAL,"OR")=0))</f>
      </c>
      <c r="I8748">
        <f>IF(DATOS!$I8748="","",IFERROR(VLOOKUP(DATOS!$I8748,CONFIG_ASIGNATURAS!$B$2:$J$91,9,FALSE()),""))</f>
      </c>
    </row>
    <row r="8749">
      <c r="F8749">
        <f>IF(DATOS!$A8749="","",DATOS!$A8749&amp;"|"&amp;DATOS!$D8749&amp;"|"&amp;DATOS!$E8749&amp;"|"&amp;DATOS!$I8749)</f>
      </c>
      <c r="G8749">
        <f>IF(DATOS!$A8749="",0,IF(CONFIG_METADATA!$B$4&lt;&gt;"OR+EX",--(DATOS!$G8749=CONFIG_METADATA!$B$4),IF(DATOS!$G8749="EX",1,IF(DATOS!$G8749="OR",--(COUNTIFS(nNIA,DATOS!$A8749,nCURSO,DATOS!$D8749,nESPEC,DATOS!$E8749,nASIG,DATOS!$I8749,nEVAL,"EX")=0),0))))</f>
      </c>
      <c r="H8749">
        <f>IF(DATOS!$G8749&lt;&gt;"EX",0,--(COUNTIFS(nNIA,DATOS!$A8749,nCURSO,DATOS!$D8749,nESPEC,DATOS!$E8749,nASIG,DATOS!$I8749,nEVAL,"OR")=0))</f>
      </c>
      <c r="I8749">
        <f>IF(DATOS!$I8749="","",IFERROR(VLOOKUP(DATOS!$I8749,CONFIG_ASIGNATURAS!$B$2:$J$91,9,FALSE()),""))</f>
      </c>
    </row>
    <row r="8750">
      <c r="F8750">
        <f>IF(DATOS!$A8750="","",DATOS!$A8750&amp;"|"&amp;DATOS!$D8750&amp;"|"&amp;DATOS!$E8750&amp;"|"&amp;DATOS!$I8750)</f>
      </c>
      <c r="G8750">
        <f>IF(DATOS!$A8750="",0,IF(CONFIG_METADATA!$B$4&lt;&gt;"OR+EX",--(DATOS!$G8750=CONFIG_METADATA!$B$4),IF(DATOS!$G8750="EX",1,IF(DATOS!$G8750="OR",--(COUNTIFS(nNIA,DATOS!$A8750,nCURSO,DATOS!$D8750,nESPEC,DATOS!$E8750,nASIG,DATOS!$I8750,nEVAL,"EX")=0),0))))</f>
      </c>
      <c r="H8750">
        <f>IF(DATOS!$G8750&lt;&gt;"EX",0,--(COUNTIFS(nNIA,DATOS!$A8750,nCURSO,DATOS!$D8750,nESPEC,DATOS!$E8750,nASIG,DATOS!$I8750,nEVAL,"OR")=0))</f>
      </c>
      <c r="I8750">
        <f>IF(DATOS!$I8750="","",IFERROR(VLOOKUP(DATOS!$I8750,CONFIG_ASIGNATURAS!$B$2:$J$91,9,FALSE()),""))</f>
      </c>
    </row>
    <row r="8751">
      <c r="F8751">
        <f>IF(DATOS!$A8751="","",DATOS!$A8751&amp;"|"&amp;DATOS!$D8751&amp;"|"&amp;DATOS!$E8751&amp;"|"&amp;DATOS!$I8751)</f>
      </c>
      <c r="G8751">
        <f>IF(DATOS!$A8751="",0,IF(CONFIG_METADATA!$B$4&lt;&gt;"OR+EX",--(DATOS!$G8751=CONFIG_METADATA!$B$4),IF(DATOS!$G8751="EX",1,IF(DATOS!$G8751="OR",--(COUNTIFS(nNIA,DATOS!$A8751,nCURSO,DATOS!$D8751,nESPEC,DATOS!$E8751,nASIG,DATOS!$I8751,nEVAL,"EX")=0),0))))</f>
      </c>
      <c r="H8751">
        <f>IF(DATOS!$G8751&lt;&gt;"EX",0,--(COUNTIFS(nNIA,DATOS!$A8751,nCURSO,DATOS!$D8751,nESPEC,DATOS!$E8751,nASIG,DATOS!$I8751,nEVAL,"OR")=0))</f>
      </c>
      <c r="I8751">
        <f>IF(DATOS!$I8751="","",IFERROR(VLOOKUP(DATOS!$I8751,CONFIG_ASIGNATURAS!$B$2:$J$91,9,FALSE()),""))</f>
      </c>
    </row>
    <row r="8752">
      <c r="F8752">
        <f>IF(DATOS!$A8752="","",DATOS!$A8752&amp;"|"&amp;DATOS!$D8752&amp;"|"&amp;DATOS!$E8752&amp;"|"&amp;DATOS!$I8752)</f>
      </c>
      <c r="G8752">
        <f>IF(DATOS!$A8752="",0,IF(CONFIG_METADATA!$B$4&lt;&gt;"OR+EX",--(DATOS!$G8752=CONFIG_METADATA!$B$4),IF(DATOS!$G8752="EX",1,IF(DATOS!$G8752="OR",--(COUNTIFS(nNIA,DATOS!$A8752,nCURSO,DATOS!$D8752,nESPEC,DATOS!$E8752,nASIG,DATOS!$I8752,nEVAL,"EX")=0),0))))</f>
      </c>
      <c r="H8752">
        <f>IF(DATOS!$G8752&lt;&gt;"EX",0,--(COUNTIFS(nNIA,DATOS!$A8752,nCURSO,DATOS!$D8752,nESPEC,DATOS!$E8752,nASIG,DATOS!$I8752,nEVAL,"OR")=0))</f>
      </c>
      <c r="I8752">
        <f>IF(DATOS!$I8752="","",IFERROR(VLOOKUP(DATOS!$I8752,CONFIG_ASIGNATURAS!$B$2:$J$91,9,FALSE()),""))</f>
      </c>
    </row>
    <row r="8753">
      <c r="F8753">
        <f>IF(DATOS!$A8753="","",DATOS!$A8753&amp;"|"&amp;DATOS!$D8753&amp;"|"&amp;DATOS!$E8753&amp;"|"&amp;DATOS!$I8753)</f>
      </c>
      <c r="G8753">
        <f>IF(DATOS!$A8753="",0,IF(CONFIG_METADATA!$B$4&lt;&gt;"OR+EX",--(DATOS!$G8753=CONFIG_METADATA!$B$4),IF(DATOS!$G8753="EX",1,IF(DATOS!$G8753="OR",--(COUNTIFS(nNIA,DATOS!$A8753,nCURSO,DATOS!$D8753,nESPEC,DATOS!$E8753,nASIG,DATOS!$I8753,nEVAL,"EX")=0),0))))</f>
      </c>
      <c r="H8753">
        <f>IF(DATOS!$G8753&lt;&gt;"EX",0,--(COUNTIFS(nNIA,DATOS!$A8753,nCURSO,DATOS!$D8753,nESPEC,DATOS!$E8753,nASIG,DATOS!$I8753,nEVAL,"OR")=0))</f>
      </c>
      <c r="I8753">
        <f>IF(DATOS!$I8753="","",IFERROR(VLOOKUP(DATOS!$I8753,CONFIG_ASIGNATURAS!$B$2:$J$91,9,FALSE()),""))</f>
      </c>
    </row>
    <row r="8754">
      <c r="F8754">
        <f>IF(DATOS!$A8754="","",DATOS!$A8754&amp;"|"&amp;DATOS!$D8754&amp;"|"&amp;DATOS!$E8754&amp;"|"&amp;DATOS!$I8754)</f>
      </c>
      <c r="G8754">
        <f>IF(DATOS!$A8754="",0,IF(CONFIG_METADATA!$B$4&lt;&gt;"OR+EX",--(DATOS!$G8754=CONFIG_METADATA!$B$4),IF(DATOS!$G8754="EX",1,IF(DATOS!$G8754="OR",--(COUNTIFS(nNIA,DATOS!$A8754,nCURSO,DATOS!$D8754,nESPEC,DATOS!$E8754,nASIG,DATOS!$I8754,nEVAL,"EX")=0),0))))</f>
      </c>
      <c r="H8754">
        <f>IF(DATOS!$G8754&lt;&gt;"EX",0,--(COUNTIFS(nNIA,DATOS!$A8754,nCURSO,DATOS!$D8754,nESPEC,DATOS!$E8754,nASIG,DATOS!$I8754,nEVAL,"OR")=0))</f>
      </c>
      <c r="I8754">
        <f>IF(DATOS!$I8754="","",IFERROR(VLOOKUP(DATOS!$I8754,CONFIG_ASIGNATURAS!$B$2:$J$91,9,FALSE()),""))</f>
      </c>
    </row>
    <row r="8755">
      <c r="F8755">
        <f>IF(DATOS!$A8755="","",DATOS!$A8755&amp;"|"&amp;DATOS!$D8755&amp;"|"&amp;DATOS!$E8755&amp;"|"&amp;DATOS!$I8755)</f>
      </c>
      <c r="G8755">
        <f>IF(DATOS!$A8755="",0,IF(CONFIG_METADATA!$B$4&lt;&gt;"OR+EX",--(DATOS!$G8755=CONFIG_METADATA!$B$4),IF(DATOS!$G8755="EX",1,IF(DATOS!$G8755="OR",--(COUNTIFS(nNIA,DATOS!$A8755,nCURSO,DATOS!$D8755,nESPEC,DATOS!$E8755,nASIG,DATOS!$I8755,nEVAL,"EX")=0),0))))</f>
      </c>
      <c r="H8755">
        <f>IF(DATOS!$G8755&lt;&gt;"EX",0,--(COUNTIFS(nNIA,DATOS!$A8755,nCURSO,DATOS!$D8755,nESPEC,DATOS!$E8755,nASIG,DATOS!$I8755,nEVAL,"OR")=0))</f>
      </c>
      <c r="I8755">
        <f>IF(DATOS!$I8755="","",IFERROR(VLOOKUP(DATOS!$I8755,CONFIG_ASIGNATURAS!$B$2:$J$91,9,FALSE()),""))</f>
      </c>
    </row>
    <row r="8756">
      <c r="F8756">
        <f>IF(DATOS!$A8756="","",DATOS!$A8756&amp;"|"&amp;DATOS!$D8756&amp;"|"&amp;DATOS!$E8756&amp;"|"&amp;DATOS!$I8756)</f>
      </c>
      <c r="G8756">
        <f>IF(DATOS!$A8756="",0,IF(CONFIG_METADATA!$B$4&lt;&gt;"OR+EX",--(DATOS!$G8756=CONFIG_METADATA!$B$4),IF(DATOS!$G8756="EX",1,IF(DATOS!$G8756="OR",--(COUNTIFS(nNIA,DATOS!$A8756,nCURSO,DATOS!$D8756,nESPEC,DATOS!$E8756,nASIG,DATOS!$I8756,nEVAL,"EX")=0),0))))</f>
      </c>
      <c r="H8756">
        <f>IF(DATOS!$G8756&lt;&gt;"EX",0,--(COUNTIFS(nNIA,DATOS!$A8756,nCURSO,DATOS!$D8756,nESPEC,DATOS!$E8756,nASIG,DATOS!$I8756,nEVAL,"OR")=0))</f>
      </c>
      <c r="I8756">
        <f>IF(DATOS!$I8756="","",IFERROR(VLOOKUP(DATOS!$I8756,CONFIG_ASIGNATURAS!$B$2:$J$91,9,FALSE()),""))</f>
      </c>
    </row>
    <row r="8757">
      <c r="F8757">
        <f>IF(DATOS!$A8757="","",DATOS!$A8757&amp;"|"&amp;DATOS!$D8757&amp;"|"&amp;DATOS!$E8757&amp;"|"&amp;DATOS!$I8757)</f>
      </c>
      <c r="G8757">
        <f>IF(DATOS!$A8757="",0,IF(CONFIG_METADATA!$B$4&lt;&gt;"OR+EX",--(DATOS!$G8757=CONFIG_METADATA!$B$4),IF(DATOS!$G8757="EX",1,IF(DATOS!$G8757="OR",--(COUNTIFS(nNIA,DATOS!$A8757,nCURSO,DATOS!$D8757,nESPEC,DATOS!$E8757,nASIG,DATOS!$I8757,nEVAL,"EX")=0),0))))</f>
      </c>
      <c r="H8757">
        <f>IF(DATOS!$G8757&lt;&gt;"EX",0,--(COUNTIFS(nNIA,DATOS!$A8757,nCURSO,DATOS!$D8757,nESPEC,DATOS!$E8757,nASIG,DATOS!$I8757,nEVAL,"OR")=0))</f>
      </c>
      <c r="I8757">
        <f>IF(DATOS!$I8757="","",IFERROR(VLOOKUP(DATOS!$I8757,CONFIG_ASIGNATURAS!$B$2:$J$91,9,FALSE()),""))</f>
      </c>
    </row>
    <row r="8758">
      <c r="F8758">
        <f>IF(DATOS!$A8758="","",DATOS!$A8758&amp;"|"&amp;DATOS!$D8758&amp;"|"&amp;DATOS!$E8758&amp;"|"&amp;DATOS!$I8758)</f>
      </c>
      <c r="G8758">
        <f>IF(DATOS!$A8758="",0,IF(CONFIG_METADATA!$B$4&lt;&gt;"OR+EX",--(DATOS!$G8758=CONFIG_METADATA!$B$4),IF(DATOS!$G8758="EX",1,IF(DATOS!$G8758="OR",--(COUNTIFS(nNIA,DATOS!$A8758,nCURSO,DATOS!$D8758,nESPEC,DATOS!$E8758,nASIG,DATOS!$I8758,nEVAL,"EX")=0),0))))</f>
      </c>
      <c r="H8758">
        <f>IF(DATOS!$G8758&lt;&gt;"EX",0,--(COUNTIFS(nNIA,DATOS!$A8758,nCURSO,DATOS!$D8758,nESPEC,DATOS!$E8758,nASIG,DATOS!$I8758,nEVAL,"OR")=0))</f>
      </c>
      <c r="I8758">
        <f>IF(DATOS!$I8758="","",IFERROR(VLOOKUP(DATOS!$I8758,CONFIG_ASIGNATURAS!$B$2:$J$91,9,FALSE()),""))</f>
      </c>
    </row>
    <row r="8759">
      <c r="F8759">
        <f>IF(DATOS!$A8759="","",DATOS!$A8759&amp;"|"&amp;DATOS!$D8759&amp;"|"&amp;DATOS!$E8759&amp;"|"&amp;DATOS!$I8759)</f>
      </c>
      <c r="G8759">
        <f>IF(DATOS!$A8759="",0,IF(CONFIG_METADATA!$B$4&lt;&gt;"OR+EX",--(DATOS!$G8759=CONFIG_METADATA!$B$4),IF(DATOS!$G8759="EX",1,IF(DATOS!$G8759="OR",--(COUNTIFS(nNIA,DATOS!$A8759,nCURSO,DATOS!$D8759,nESPEC,DATOS!$E8759,nASIG,DATOS!$I8759,nEVAL,"EX")=0),0))))</f>
      </c>
      <c r="H8759">
        <f>IF(DATOS!$G8759&lt;&gt;"EX",0,--(COUNTIFS(nNIA,DATOS!$A8759,nCURSO,DATOS!$D8759,nESPEC,DATOS!$E8759,nASIG,DATOS!$I8759,nEVAL,"OR")=0))</f>
      </c>
      <c r="I8759">
        <f>IF(DATOS!$I8759="","",IFERROR(VLOOKUP(DATOS!$I8759,CONFIG_ASIGNATURAS!$B$2:$J$91,9,FALSE()),""))</f>
      </c>
    </row>
    <row r="8760">
      <c r="F8760">
        <f>IF(DATOS!$A8760="","",DATOS!$A8760&amp;"|"&amp;DATOS!$D8760&amp;"|"&amp;DATOS!$E8760&amp;"|"&amp;DATOS!$I8760)</f>
      </c>
      <c r="G8760">
        <f>IF(DATOS!$A8760="",0,IF(CONFIG_METADATA!$B$4&lt;&gt;"OR+EX",--(DATOS!$G8760=CONFIG_METADATA!$B$4),IF(DATOS!$G8760="EX",1,IF(DATOS!$G8760="OR",--(COUNTIFS(nNIA,DATOS!$A8760,nCURSO,DATOS!$D8760,nESPEC,DATOS!$E8760,nASIG,DATOS!$I8760,nEVAL,"EX")=0),0))))</f>
      </c>
      <c r="H8760">
        <f>IF(DATOS!$G8760&lt;&gt;"EX",0,--(COUNTIFS(nNIA,DATOS!$A8760,nCURSO,DATOS!$D8760,nESPEC,DATOS!$E8760,nASIG,DATOS!$I8760,nEVAL,"OR")=0))</f>
      </c>
      <c r="I8760">
        <f>IF(DATOS!$I8760="","",IFERROR(VLOOKUP(DATOS!$I8760,CONFIG_ASIGNATURAS!$B$2:$J$91,9,FALSE()),""))</f>
      </c>
    </row>
    <row r="8761">
      <c r="F8761">
        <f>IF(DATOS!$A8761="","",DATOS!$A8761&amp;"|"&amp;DATOS!$D8761&amp;"|"&amp;DATOS!$E8761&amp;"|"&amp;DATOS!$I8761)</f>
      </c>
      <c r="G8761">
        <f>IF(DATOS!$A8761="",0,IF(CONFIG_METADATA!$B$4&lt;&gt;"OR+EX",--(DATOS!$G8761=CONFIG_METADATA!$B$4),IF(DATOS!$G8761="EX",1,IF(DATOS!$G8761="OR",--(COUNTIFS(nNIA,DATOS!$A8761,nCURSO,DATOS!$D8761,nESPEC,DATOS!$E8761,nASIG,DATOS!$I8761,nEVAL,"EX")=0),0))))</f>
      </c>
      <c r="H8761">
        <f>IF(DATOS!$G8761&lt;&gt;"EX",0,--(COUNTIFS(nNIA,DATOS!$A8761,nCURSO,DATOS!$D8761,nESPEC,DATOS!$E8761,nASIG,DATOS!$I8761,nEVAL,"OR")=0))</f>
      </c>
      <c r="I8761">
        <f>IF(DATOS!$I8761="","",IFERROR(VLOOKUP(DATOS!$I8761,CONFIG_ASIGNATURAS!$B$2:$J$91,9,FALSE()),""))</f>
      </c>
    </row>
    <row r="8762">
      <c r="F8762">
        <f>IF(DATOS!$A8762="","",DATOS!$A8762&amp;"|"&amp;DATOS!$D8762&amp;"|"&amp;DATOS!$E8762&amp;"|"&amp;DATOS!$I8762)</f>
      </c>
      <c r="G8762">
        <f>IF(DATOS!$A8762="",0,IF(CONFIG_METADATA!$B$4&lt;&gt;"OR+EX",--(DATOS!$G8762=CONFIG_METADATA!$B$4),IF(DATOS!$G8762="EX",1,IF(DATOS!$G8762="OR",--(COUNTIFS(nNIA,DATOS!$A8762,nCURSO,DATOS!$D8762,nESPEC,DATOS!$E8762,nASIG,DATOS!$I8762,nEVAL,"EX")=0),0))))</f>
      </c>
      <c r="H8762">
        <f>IF(DATOS!$G8762&lt;&gt;"EX",0,--(COUNTIFS(nNIA,DATOS!$A8762,nCURSO,DATOS!$D8762,nESPEC,DATOS!$E8762,nASIG,DATOS!$I8762,nEVAL,"OR")=0))</f>
      </c>
      <c r="I8762">
        <f>IF(DATOS!$I8762="","",IFERROR(VLOOKUP(DATOS!$I8762,CONFIG_ASIGNATURAS!$B$2:$J$91,9,FALSE()),""))</f>
      </c>
    </row>
    <row r="8763">
      <c r="F8763">
        <f>IF(DATOS!$A8763="","",DATOS!$A8763&amp;"|"&amp;DATOS!$D8763&amp;"|"&amp;DATOS!$E8763&amp;"|"&amp;DATOS!$I8763)</f>
      </c>
      <c r="G8763">
        <f>IF(DATOS!$A8763="",0,IF(CONFIG_METADATA!$B$4&lt;&gt;"OR+EX",--(DATOS!$G8763=CONFIG_METADATA!$B$4),IF(DATOS!$G8763="EX",1,IF(DATOS!$G8763="OR",--(COUNTIFS(nNIA,DATOS!$A8763,nCURSO,DATOS!$D8763,nESPEC,DATOS!$E8763,nASIG,DATOS!$I8763,nEVAL,"EX")=0),0))))</f>
      </c>
      <c r="H8763">
        <f>IF(DATOS!$G8763&lt;&gt;"EX",0,--(COUNTIFS(nNIA,DATOS!$A8763,nCURSO,DATOS!$D8763,nESPEC,DATOS!$E8763,nASIG,DATOS!$I8763,nEVAL,"OR")=0))</f>
      </c>
      <c r="I8763">
        <f>IF(DATOS!$I8763="","",IFERROR(VLOOKUP(DATOS!$I8763,CONFIG_ASIGNATURAS!$B$2:$J$91,9,FALSE()),""))</f>
      </c>
    </row>
    <row r="8764">
      <c r="F8764">
        <f>IF(DATOS!$A8764="","",DATOS!$A8764&amp;"|"&amp;DATOS!$D8764&amp;"|"&amp;DATOS!$E8764&amp;"|"&amp;DATOS!$I8764)</f>
      </c>
      <c r="G8764">
        <f>IF(DATOS!$A8764="",0,IF(CONFIG_METADATA!$B$4&lt;&gt;"OR+EX",--(DATOS!$G8764=CONFIG_METADATA!$B$4),IF(DATOS!$G8764="EX",1,IF(DATOS!$G8764="OR",--(COUNTIFS(nNIA,DATOS!$A8764,nCURSO,DATOS!$D8764,nESPEC,DATOS!$E8764,nASIG,DATOS!$I8764,nEVAL,"EX")=0),0))))</f>
      </c>
      <c r="H8764">
        <f>IF(DATOS!$G8764&lt;&gt;"EX",0,--(COUNTIFS(nNIA,DATOS!$A8764,nCURSO,DATOS!$D8764,nESPEC,DATOS!$E8764,nASIG,DATOS!$I8764,nEVAL,"OR")=0))</f>
      </c>
      <c r="I8764">
        <f>IF(DATOS!$I8764="","",IFERROR(VLOOKUP(DATOS!$I8764,CONFIG_ASIGNATURAS!$B$2:$J$91,9,FALSE()),""))</f>
      </c>
    </row>
    <row r="8765">
      <c r="F8765">
        <f>IF(DATOS!$A8765="","",DATOS!$A8765&amp;"|"&amp;DATOS!$D8765&amp;"|"&amp;DATOS!$E8765&amp;"|"&amp;DATOS!$I8765)</f>
      </c>
      <c r="G8765">
        <f>IF(DATOS!$A8765="",0,IF(CONFIG_METADATA!$B$4&lt;&gt;"OR+EX",--(DATOS!$G8765=CONFIG_METADATA!$B$4),IF(DATOS!$G8765="EX",1,IF(DATOS!$G8765="OR",--(COUNTIFS(nNIA,DATOS!$A8765,nCURSO,DATOS!$D8765,nESPEC,DATOS!$E8765,nASIG,DATOS!$I8765,nEVAL,"EX")=0),0))))</f>
      </c>
      <c r="H8765">
        <f>IF(DATOS!$G8765&lt;&gt;"EX",0,--(COUNTIFS(nNIA,DATOS!$A8765,nCURSO,DATOS!$D8765,nESPEC,DATOS!$E8765,nASIG,DATOS!$I8765,nEVAL,"OR")=0))</f>
      </c>
      <c r="I8765">
        <f>IF(DATOS!$I8765="","",IFERROR(VLOOKUP(DATOS!$I8765,CONFIG_ASIGNATURAS!$B$2:$J$91,9,FALSE()),""))</f>
      </c>
    </row>
    <row r="8766">
      <c r="F8766">
        <f>IF(DATOS!$A8766="","",DATOS!$A8766&amp;"|"&amp;DATOS!$D8766&amp;"|"&amp;DATOS!$E8766&amp;"|"&amp;DATOS!$I8766)</f>
      </c>
      <c r="G8766">
        <f>IF(DATOS!$A8766="",0,IF(CONFIG_METADATA!$B$4&lt;&gt;"OR+EX",--(DATOS!$G8766=CONFIG_METADATA!$B$4),IF(DATOS!$G8766="EX",1,IF(DATOS!$G8766="OR",--(COUNTIFS(nNIA,DATOS!$A8766,nCURSO,DATOS!$D8766,nESPEC,DATOS!$E8766,nASIG,DATOS!$I8766,nEVAL,"EX")=0),0))))</f>
      </c>
      <c r="H8766">
        <f>IF(DATOS!$G8766&lt;&gt;"EX",0,--(COUNTIFS(nNIA,DATOS!$A8766,nCURSO,DATOS!$D8766,nESPEC,DATOS!$E8766,nASIG,DATOS!$I8766,nEVAL,"OR")=0))</f>
      </c>
      <c r="I8766">
        <f>IF(DATOS!$I8766="","",IFERROR(VLOOKUP(DATOS!$I8766,CONFIG_ASIGNATURAS!$B$2:$J$91,9,FALSE()),""))</f>
      </c>
    </row>
    <row r="8767">
      <c r="F8767">
        <f>IF(DATOS!$A8767="","",DATOS!$A8767&amp;"|"&amp;DATOS!$D8767&amp;"|"&amp;DATOS!$E8767&amp;"|"&amp;DATOS!$I8767)</f>
      </c>
      <c r="G8767">
        <f>IF(DATOS!$A8767="",0,IF(CONFIG_METADATA!$B$4&lt;&gt;"OR+EX",--(DATOS!$G8767=CONFIG_METADATA!$B$4),IF(DATOS!$G8767="EX",1,IF(DATOS!$G8767="OR",--(COUNTIFS(nNIA,DATOS!$A8767,nCURSO,DATOS!$D8767,nESPEC,DATOS!$E8767,nASIG,DATOS!$I8767,nEVAL,"EX")=0),0))))</f>
      </c>
      <c r="H8767">
        <f>IF(DATOS!$G8767&lt;&gt;"EX",0,--(COUNTIFS(nNIA,DATOS!$A8767,nCURSO,DATOS!$D8767,nESPEC,DATOS!$E8767,nASIG,DATOS!$I8767,nEVAL,"OR")=0))</f>
      </c>
      <c r="I8767">
        <f>IF(DATOS!$I8767="","",IFERROR(VLOOKUP(DATOS!$I8767,CONFIG_ASIGNATURAS!$B$2:$J$91,9,FALSE()),""))</f>
      </c>
    </row>
    <row r="8768">
      <c r="F8768">
        <f>IF(DATOS!$A8768="","",DATOS!$A8768&amp;"|"&amp;DATOS!$D8768&amp;"|"&amp;DATOS!$E8768&amp;"|"&amp;DATOS!$I8768)</f>
      </c>
      <c r="G8768">
        <f>IF(DATOS!$A8768="",0,IF(CONFIG_METADATA!$B$4&lt;&gt;"OR+EX",--(DATOS!$G8768=CONFIG_METADATA!$B$4),IF(DATOS!$G8768="EX",1,IF(DATOS!$G8768="OR",--(COUNTIFS(nNIA,DATOS!$A8768,nCURSO,DATOS!$D8768,nESPEC,DATOS!$E8768,nASIG,DATOS!$I8768,nEVAL,"EX")=0),0))))</f>
      </c>
      <c r="H8768">
        <f>IF(DATOS!$G8768&lt;&gt;"EX",0,--(COUNTIFS(nNIA,DATOS!$A8768,nCURSO,DATOS!$D8768,nESPEC,DATOS!$E8768,nASIG,DATOS!$I8768,nEVAL,"OR")=0))</f>
      </c>
      <c r="I8768">
        <f>IF(DATOS!$I8768="","",IFERROR(VLOOKUP(DATOS!$I8768,CONFIG_ASIGNATURAS!$B$2:$J$91,9,FALSE()),""))</f>
      </c>
    </row>
    <row r="8769">
      <c r="F8769">
        <f>IF(DATOS!$A8769="","",DATOS!$A8769&amp;"|"&amp;DATOS!$D8769&amp;"|"&amp;DATOS!$E8769&amp;"|"&amp;DATOS!$I8769)</f>
      </c>
      <c r="G8769">
        <f>IF(DATOS!$A8769="",0,IF(CONFIG_METADATA!$B$4&lt;&gt;"OR+EX",--(DATOS!$G8769=CONFIG_METADATA!$B$4),IF(DATOS!$G8769="EX",1,IF(DATOS!$G8769="OR",--(COUNTIFS(nNIA,DATOS!$A8769,nCURSO,DATOS!$D8769,nESPEC,DATOS!$E8769,nASIG,DATOS!$I8769,nEVAL,"EX")=0),0))))</f>
      </c>
      <c r="H8769">
        <f>IF(DATOS!$G8769&lt;&gt;"EX",0,--(COUNTIFS(nNIA,DATOS!$A8769,nCURSO,DATOS!$D8769,nESPEC,DATOS!$E8769,nASIG,DATOS!$I8769,nEVAL,"OR")=0))</f>
      </c>
      <c r="I8769">
        <f>IF(DATOS!$I8769="","",IFERROR(VLOOKUP(DATOS!$I8769,CONFIG_ASIGNATURAS!$B$2:$J$91,9,FALSE()),""))</f>
      </c>
    </row>
    <row r="8770">
      <c r="F8770">
        <f>IF(DATOS!$A8770="","",DATOS!$A8770&amp;"|"&amp;DATOS!$D8770&amp;"|"&amp;DATOS!$E8770&amp;"|"&amp;DATOS!$I8770)</f>
      </c>
      <c r="G8770">
        <f>IF(DATOS!$A8770="",0,IF(CONFIG_METADATA!$B$4&lt;&gt;"OR+EX",--(DATOS!$G8770=CONFIG_METADATA!$B$4),IF(DATOS!$G8770="EX",1,IF(DATOS!$G8770="OR",--(COUNTIFS(nNIA,DATOS!$A8770,nCURSO,DATOS!$D8770,nESPEC,DATOS!$E8770,nASIG,DATOS!$I8770,nEVAL,"EX")=0),0))))</f>
      </c>
      <c r="H8770">
        <f>IF(DATOS!$G8770&lt;&gt;"EX",0,--(COUNTIFS(nNIA,DATOS!$A8770,nCURSO,DATOS!$D8770,nESPEC,DATOS!$E8770,nASIG,DATOS!$I8770,nEVAL,"OR")=0))</f>
      </c>
      <c r="I8770">
        <f>IF(DATOS!$I8770="","",IFERROR(VLOOKUP(DATOS!$I8770,CONFIG_ASIGNATURAS!$B$2:$J$91,9,FALSE()),""))</f>
      </c>
    </row>
    <row r="8771">
      <c r="F8771">
        <f>IF(DATOS!$A8771="","",DATOS!$A8771&amp;"|"&amp;DATOS!$D8771&amp;"|"&amp;DATOS!$E8771&amp;"|"&amp;DATOS!$I8771)</f>
      </c>
      <c r="G8771">
        <f>IF(DATOS!$A8771="",0,IF(CONFIG_METADATA!$B$4&lt;&gt;"OR+EX",--(DATOS!$G8771=CONFIG_METADATA!$B$4),IF(DATOS!$G8771="EX",1,IF(DATOS!$G8771="OR",--(COUNTIFS(nNIA,DATOS!$A8771,nCURSO,DATOS!$D8771,nESPEC,DATOS!$E8771,nASIG,DATOS!$I8771,nEVAL,"EX")=0),0))))</f>
      </c>
      <c r="H8771">
        <f>IF(DATOS!$G8771&lt;&gt;"EX",0,--(COUNTIFS(nNIA,DATOS!$A8771,nCURSO,DATOS!$D8771,nESPEC,DATOS!$E8771,nASIG,DATOS!$I8771,nEVAL,"OR")=0))</f>
      </c>
      <c r="I8771">
        <f>IF(DATOS!$I8771="","",IFERROR(VLOOKUP(DATOS!$I8771,CONFIG_ASIGNATURAS!$B$2:$J$91,9,FALSE()),""))</f>
      </c>
    </row>
    <row r="8772">
      <c r="F8772">
        <f>IF(DATOS!$A8772="","",DATOS!$A8772&amp;"|"&amp;DATOS!$D8772&amp;"|"&amp;DATOS!$E8772&amp;"|"&amp;DATOS!$I8772)</f>
      </c>
      <c r="G8772">
        <f>IF(DATOS!$A8772="",0,IF(CONFIG_METADATA!$B$4&lt;&gt;"OR+EX",--(DATOS!$G8772=CONFIG_METADATA!$B$4),IF(DATOS!$G8772="EX",1,IF(DATOS!$G8772="OR",--(COUNTIFS(nNIA,DATOS!$A8772,nCURSO,DATOS!$D8772,nESPEC,DATOS!$E8772,nASIG,DATOS!$I8772,nEVAL,"EX")=0),0))))</f>
      </c>
      <c r="H8772">
        <f>IF(DATOS!$G8772&lt;&gt;"EX",0,--(COUNTIFS(nNIA,DATOS!$A8772,nCURSO,DATOS!$D8772,nESPEC,DATOS!$E8772,nASIG,DATOS!$I8772,nEVAL,"OR")=0))</f>
      </c>
      <c r="I8772">
        <f>IF(DATOS!$I8772="","",IFERROR(VLOOKUP(DATOS!$I8772,CONFIG_ASIGNATURAS!$B$2:$J$91,9,FALSE()),""))</f>
      </c>
    </row>
    <row r="8773">
      <c r="F8773">
        <f>IF(DATOS!$A8773="","",DATOS!$A8773&amp;"|"&amp;DATOS!$D8773&amp;"|"&amp;DATOS!$E8773&amp;"|"&amp;DATOS!$I8773)</f>
      </c>
      <c r="G8773">
        <f>IF(DATOS!$A8773="",0,IF(CONFIG_METADATA!$B$4&lt;&gt;"OR+EX",--(DATOS!$G8773=CONFIG_METADATA!$B$4),IF(DATOS!$G8773="EX",1,IF(DATOS!$G8773="OR",--(COUNTIFS(nNIA,DATOS!$A8773,nCURSO,DATOS!$D8773,nESPEC,DATOS!$E8773,nASIG,DATOS!$I8773,nEVAL,"EX")=0),0))))</f>
      </c>
      <c r="H8773">
        <f>IF(DATOS!$G8773&lt;&gt;"EX",0,--(COUNTIFS(nNIA,DATOS!$A8773,nCURSO,DATOS!$D8773,nESPEC,DATOS!$E8773,nASIG,DATOS!$I8773,nEVAL,"OR")=0))</f>
      </c>
      <c r="I8773">
        <f>IF(DATOS!$I8773="","",IFERROR(VLOOKUP(DATOS!$I8773,CONFIG_ASIGNATURAS!$B$2:$J$91,9,FALSE()),""))</f>
      </c>
    </row>
    <row r="8774">
      <c r="F8774">
        <f>IF(DATOS!$A8774="","",DATOS!$A8774&amp;"|"&amp;DATOS!$D8774&amp;"|"&amp;DATOS!$E8774&amp;"|"&amp;DATOS!$I8774)</f>
      </c>
      <c r="G8774">
        <f>IF(DATOS!$A8774="",0,IF(CONFIG_METADATA!$B$4&lt;&gt;"OR+EX",--(DATOS!$G8774=CONFIG_METADATA!$B$4),IF(DATOS!$G8774="EX",1,IF(DATOS!$G8774="OR",--(COUNTIFS(nNIA,DATOS!$A8774,nCURSO,DATOS!$D8774,nESPEC,DATOS!$E8774,nASIG,DATOS!$I8774,nEVAL,"EX")=0),0))))</f>
      </c>
      <c r="H8774">
        <f>IF(DATOS!$G8774&lt;&gt;"EX",0,--(COUNTIFS(nNIA,DATOS!$A8774,nCURSO,DATOS!$D8774,nESPEC,DATOS!$E8774,nASIG,DATOS!$I8774,nEVAL,"OR")=0))</f>
      </c>
      <c r="I8774">
        <f>IF(DATOS!$I8774="","",IFERROR(VLOOKUP(DATOS!$I8774,CONFIG_ASIGNATURAS!$B$2:$J$91,9,FALSE()),""))</f>
      </c>
    </row>
    <row r="8775">
      <c r="F8775">
        <f>IF(DATOS!$A8775="","",DATOS!$A8775&amp;"|"&amp;DATOS!$D8775&amp;"|"&amp;DATOS!$E8775&amp;"|"&amp;DATOS!$I8775)</f>
      </c>
      <c r="G8775">
        <f>IF(DATOS!$A8775="",0,IF(CONFIG_METADATA!$B$4&lt;&gt;"OR+EX",--(DATOS!$G8775=CONFIG_METADATA!$B$4),IF(DATOS!$G8775="EX",1,IF(DATOS!$G8775="OR",--(COUNTIFS(nNIA,DATOS!$A8775,nCURSO,DATOS!$D8775,nESPEC,DATOS!$E8775,nASIG,DATOS!$I8775,nEVAL,"EX")=0),0))))</f>
      </c>
      <c r="H8775">
        <f>IF(DATOS!$G8775&lt;&gt;"EX",0,--(COUNTIFS(nNIA,DATOS!$A8775,nCURSO,DATOS!$D8775,nESPEC,DATOS!$E8775,nASIG,DATOS!$I8775,nEVAL,"OR")=0))</f>
      </c>
      <c r="I8775">
        <f>IF(DATOS!$I8775="","",IFERROR(VLOOKUP(DATOS!$I8775,CONFIG_ASIGNATURAS!$B$2:$J$91,9,FALSE()),""))</f>
      </c>
    </row>
    <row r="8776">
      <c r="F8776">
        <f>IF(DATOS!$A8776="","",DATOS!$A8776&amp;"|"&amp;DATOS!$D8776&amp;"|"&amp;DATOS!$E8776&amp;"|"&amp;DATOS!$I8776)</f>
      </c>
      <c r="G8776">
        <f>IF(DATOS!$A8776="",0,IF(CONFIG_METADATA!$B$4&lt;&gt;"OR+EX",--(DATOS!$G8776=CONFIG_METADATA!$B$4),IF(DATOS!$G8776="EX",1,IF(DATOS!$G8776="OR",--(COUNTIFS(nNIA,DATOS!$A8776,nCURSO,DATOS!$D8776,nESPEC,DATOS!$E8776,nASIG,DATOS!$I8776,nEVAL,"EX")=0),0))))</f>
      </c>
      <c r="H8776">
        <f>IF(DATOS!$G8776&lt;&gt;"EX",0,--(COUNTIFS(nNIA,DATOS!$A8776,nCURSO,DATOS!$D8776,nESPEC,DATOS!$E8776,nASIG,DATOS!$I8776,nEVAL,"OR")=0))</f>
      </c>
      <c r="I8776">
        <f>IF(DATOS!$I8776="","",IFERROR(VLOOKUP(DATOS!$I8776,CONFIG_ASIGNATURAS!$B$2:$J$91,9,FALSE()),""))</f>
      </c>
    </row>
    <row r="8777">
      <c r="F8777">
        <f>IF(DATOS!$A8777="","",DATOS!$A8777&amp;"|"&amp;DATOS!$D8777&amp;"|"&amp;DATOS!$E8777&amp;"|"&amp;DATOS!$I8777)</f>
      </c>
      <c r="G8777">
        <f>IF(DATOS!$A8777="",0,IF(CONFIG_METADATA!$B$4&lt;&gt;"OR+EX",--(DATOS!$G8777=CONFIG_METADATA!$B$4),IF(DATOS!$G8777="EX",1,IF(DATOS!$G8777="OR",--(COUNTIFS(nNIA,DATOS!$A8777,nCURSO,DATOS!$D8777,nESPEC,DATOS!$E8777,nASIG,DATOS!$I8777,nEVAL,"EX")=0),0))))</f>
      </c>
      <c r="H8777">
        <f>IF(DATOS!$G8777&lt;&gt;"EX",0,--(COUNTIFS(nNIA,DATOS!$A8777,nCURSO,DATOS!$D8777,nESPEC,DATOS!$E8777,nASIG,DATOS!$I8777,nEVAL,"OR")=0))</f>
      </c>
      <c r="I8777">
        <f>IF(DATOS!$I8777="","",IFERROR(VLOOKUP(DATOS!$I8777,CONFIG_ASIGNATURAS!$B$2:$J$91,9,FALSE()),""))</f>
      </c>
    </row>
    <row r="8778">
      <c r="F8778">
        <f>IF(DATOS!$A8778="","",DATOS!$A8778&amp;"|"&amp;DATOS!$D8778&amp;"|"&amp;DATOS!$E8778&amp;"|"&amp;DATOS!$I8778)</f>
      </c>
      <c r="G8778">
        <f>IF(DATOS!$A8778="",0,IF(CONFIG_METADATA!$B$4&lt;&gt;"OR+EX",--(DATOS!$G8778=CONFIG_METADATA!$B$4),IF(DATOS!$G8778="EX",1,IF(DATOS!$G8778="OR",--(COUNTIFS(nNIA,DATOS!$A8778,nCURSO,DATOS!$D8778,nESPEC,DATOS!$E8778,nASIG,DATOS!$I8778,nEVAL,"EX")=0),0))))</f>
      </c>
      <c r="H8778">
        <f>IF(DATOS!$G8778&lt;&gt;"EX",0,--(COUNTIFS(nNIA,DATOS!$A8778,nCURSO,DATOS!$D8778,nESPEC,DATOS!$E8778,nASIG,DATOS!$I8778,nEVAL,"OR")=0))</f>
      </c>
      <c r="I8778">
        <f>IF(DATOS!$I8778="","",IFERROR(VLOOKUP(DATOS!$I8778,CONFIG_ASIGNATURAS!$B$2:$J$91,9,FALSE()),""))</f>
      </c>
    </row>
    <row r="8779">
      <c r="F8779">
        <f>IF(DATOS!$A8779="","",DATOS!$A8779&amp;"|"&amp;DATOS!$D8779&amp;"|"&amp;DATOS!$E8779&amp;"|"&amp;DATOS!$I8779)</f>
      </c>
      <c r="G8779">
        <f>IF(DATOS!$A8779="",0,IF(CONFIG_METADATA!$B$4&lt;&gt;"OR+EX",--(DATOS!$G8779=CONFIG_METADATA!$B$4),IF(DATOS!$G8779="EX",1,IF(DATOS!$G8779="OR",--(COUNTIFS(nNIA,DATOS!$A8779,nCURSO,DATOS!$D8779,nESPEC,DATOS!$E8779,nASIG,DATOS!$I8779,nEVAL,"EX")=0),0))))</f>
      </c>
      <c r="H8779">
        <f>IF(DATOS!$G8779&lt;&gt;"EX",0,--(COUNTIFS(nNIA,DATOS!$A8779,nCURSO,DATOS!$D8779,nESPEC,DATOS!$E8779,nASIG,DATOS!$I8779,nEVAL,"OR")=0))</f>
      </c>
      <c r="I8779">
        <f>IF(DATOS!$I8779="","",IFERROR(VLOOKUP(DATOS!$I8779,CONFIG_ASIGNATURAS!$B$2:$J$91,9,FALSE()),""))</f>
      </c>
    </row>
    <row r="8780">
      <c r="F8780">
        <f>IF(DATOS!$A8780="","",DATOS!$A8780&amp;"|"&amp;DATOS!$D8780&amp;"|"&amp;DATOS!$E8780&amp;"|"&amp;DATOS!$I8780)</f>
      </c>
      <c r="G8780">
        <f>IF(DATOS!$A8780="",0,IF(CONFIG_METADATA!$B$4&lt;&gt;"OR+EX",--(DATOS!$G8780=CONFIG_METADATA!$B$4),IF(DATOS!$G8780="EX",1,IF(DATOS!$G8780="OR",--(COUNTIFS(nNIA,DATOS!$A8780,nCURSO,DATOS!$D8780,nESPEC,DATOS!$E8780,nASIG,DATOS!$I8780,nEVAL,"EX")=0),0))))</f>
      </c>
      <c r="H8780">
        <f>IF(DATOS!$G8780&lt;&gt;"EX",0,--(COUNTIFS(nNIA,DATOS!$A8780,nCURSO,DATOS!$D8780,nESPEC,DATOS!$E8780,nASIG,DATOS!$I8780,nEVAL,"OR")=0))</f>
      </c>
      <c r="I8780">
        <f>IF(DATOS!$I8780="","",IFERROR(VLOOKUP(DATOS!$I8780,CONFIG_ASIGNATURAS!$B$2:$J$91,9,FALSE()),""))</f>
      </c>
    </row>
    <row r="8781">
      <c r="F8781">
        <f>IF(DATOS!$A8781="","",DATOS!$A8781&amp;"|"&amp;DATOS!$D8781&amp;"|"&amp;DATOS!$E8781&amp;"|"&amp;DATOS!$I8781)</f>
      </c>
      <c r="G8781">
        <f>IF(DATOS!$A8781="",0,IF(CONFIG_METADATA!$B$4&lt;&gt;"OR+EX",--(DATOS!$G8781=CONFIG_METADATA!$B$4),IF(DATOS!$G8781="EX",1,IF(DATOS!$G8781="OR",--(COUNTIFS(nNIA,DATOS!$A8781,nCURSO,DATOS!$D8781,nESPEC,DATOS!$E8781,nASIG,DATOS!$I8781,nEVAL,"EX")=0),0))))</f>
      </c>
      <c r="H8781">
        <f>IF(DATOS!$G8781&lt;&gt;"EX",0,--(COUNTIFS(nNIA,DATOS!$A8781,nCURSO,DATOS!$D8781,nESPEC,DATOS!$E8781,nASIG,DATOS!$I8781,nEVAL,"OR")=0))</f>
      </c>
      <c r="I8781">
        <f>IF(DATOS!$I8781="","",IFERROR(VLOOKUP(DATOS!$I8781,CONFIG_ASIGNATURAS!$B$2:$J$91,9,FALSE()),""))</f>
      </c>
    </row>
    <row r="8782">
      <c r="F8782">
        <f>IF(DATOS!$A8782="","",DATOS!$A8782&amp;"|"&amp;DATOS!$D8782&amp;"|"&amp;DATOS!$E8782&amp;"|"&amp;DATOS!$I8782)</f>
      </c>
      <c r="G8782">
        <f>IF(DATOS!$A8782="",0,IF(CONFIG_METADATA!$B$4&lt;&gt;"OR+EX",--(DATOS!$G8782=CONFIG_METADATA!$B$4),IF(DATOS!$G8782="EX",1,IF(DATOS!$G8782="OR",--(COUNTIFS(nNIA,DATOS!$A8782,nCURSO,DATOS!$D8782,nESPEC,DATOS!$E8782,nASIG,DATOS!$I8782,nEVAL,"EX")=0),0))))</f>
      </c>
      <c r="H8782">
        <f>IF(DATOS!$G8782&lt;&gt;"EX",0,--(COUNTIFS(nNIA,DATOS!$A8782,nCURSO,DATOS!$D8782,nESPEC,DATOS!$E8782,nASIG,DATOS!$I8782,nEVAL,"OR")=0))</f>
      </c>
      <c r="I8782">
        <f>IF(DATOS!$I8782="","",IFERROR(VLOOKUP(DATOS!$I8782,CONFIG_ASIGNATURAS!$B$2:$J$91,9,FALSE()),""))</f>
      </c>
    </row>
    <row r="8783">
      <c r="F8783">
        <f>IF(DATOS!$A8783="","",DATOS!$A8783&amp;"|"&amp;DATOS!$D8783&amp;"|"&amp;DATOS!$E8783&amp;"|"&amp;DATOS!$I8783)</f>
      </c>
      <c r="G8783">
        <f>IF(DATOS!$A8783="",0,IF(CONFIG_METADATA!$B$4&lt;&gt;"OR+EX",--(DATOS!$G8783=CONFIG_METADATA!$B$4),IF(DATOS!$G8783="EX",1,IF(DATOS!$G8783="OR",--(COUNTIFS(nNIA,DATOS!$A8783,nCURSO,DATOS!$D8783,nESPEC,DATOS!$E8783,nASIG,DATOS!$I8783,nEVAL,"EX")=0),0))))</f>
      </c>
      <c r="H8783">
        <f>IF(DATOS!$G8783&lt;&gt;"EX",0,--(COUNTIFS(nNIA,DATOS!$A8783,nCURSO,DATOS!$D8783,nESPEC,DATOS!$E8783,nASIG,DATOS!$I8783,nEVAL,"OR")=0))</f>
      </c>
      <c r="I8783">
        <f>IF(DATOS!$I8783="","",IFERROR(VLOOKUP(DATOS!$I8783,CONFIG_ASIGNATURAS!$B$2:$J$91,9,FALSE()),""))</f>
      </c>
    </row>
    <row r="8784">
      <c r="F8784">
        <f>IF(DATOS!$A8784="","",DATOS!$A8784&amp;"|"&amp;DATOS!$D8784&amp;"|"&amp;DATOS!$E8784&amp;"|"&amp;DATOS!$I8784)</f>
      </c>
      <c r="G8784">
        <f>IF(DATOS!$A8784="",0,IF(CONFIG_METADATA!$B$4&lt;&gt;"OR+EX",--(DATOS!$G8784=CONFIG_METADATA!$B$4),IF(DATOS!$G8784="EX",1,IF(DATOS!$G8784="OR",--(COUNTIFS(nNIA,DATOS!$A8784,nCURSO,DATOS!$D8784,nESPEC,DATOS!$E8784,nASIG,DATOS!$I8784,nEVAL,"EX")=0),0))))</f>
      </c>
      <c r="H8784">
        <f>IF(DATOS!$G8784&lt;&gt;"EX",0,--(COUNTIFS(nNIA,DATOS!$A8784,nCURSO,DATOS!$D8784,nESPEC,DATOS!$E8784,nASIG,DATOS!$I8784,nEVAL,"OR")=0))</f>
      </c>
      <c r="I8784">
        <f>IF(DATOS!$I8784="","",IFERROR(VLOOKUP(DATOS!$I8784,CONFIG_ASIGNATURAS!$B$2:$J$91,9,FALSE()),""))</f>
      </c>
    </row>
    <row r="8785">
      <c r="F8785">
        <f>IF(DATOS!$A8785="","",DATOS!$A8785&amp;"|"&amp;DATOS!$D8785&amp;"|"&amp;DATOS!$E8785&amp;"|"&amp;DATOS!$I8785)</f>
      </c>
      <c r="G8785">
        <f>IF(DATOS!$A8785="",0,IF(CONFIG_METADATA!$B$4&lt;&gt;"OR+EX",--(DATOS!$G8785=CONFIG_METADATA!$B$4),IF(DATOS!$G8785="EX",1,IF(DATOS!$G8785="OR",--(COUNTIFS(nNIA,DATOS!$A8785,nCURSO,DATOS!$D8785,nESPEC,DATOS!$E8785,nASIG,DATOS!$I8785,nEVAL,"EX")=0),0))))</f>
      </c>
      <c r="H8785">
        <f>IF(DATOS!$G8785&lt;&gt;"EX",0,--(COUNTIFS(nNIA,DATOS!$A8785,nCURSO,DATOS!$D8785,nESPEC,DATOS!$E8785,nASIG,DATOS!$I8785,nEVAL,"OR")=0))</f>
      </c>
      <c r="I8785">
        <f>IF(DATOS!$I8785="","",IFERROR(VLOOKUP(DATOS!$I8785,CONFIG_ASIGNATURAS!$B$2:$J$91,9,FALSE()),""))</f>
      </c>
    </row>
    <row r="8786">
      <c r="F8786">
        <f>IF(DATOS!$A8786="","",DATOS!$A8786&amp;"|"&amp;DATOS!$D8786&amp;"|"&amp;DATOS!$E8786&amp;"|"&amp;DATOS!$I8786)</f>
      </c>
      <c r="G8786">
        <f>IF(DATOS!$A8786="",0,IF(CONFIG_METADATA!$B$4&lt;&gt;"OR+EX",--(DATOS!$G8786=CONFIG_METADATA!$B$4),IF(DATOS!$G8786="EX",1,IF(DATOS!$G8786="OR",--(COUNTIFS(nNIA,DATOS!$A8786,nCURSO,DATOS!$D8786,nESPEC,DATOS!$E8786,nASIG,DATOS!$I8786,nEVAL,"EX")=0),0))))</f>
      </c>
      <c r="H8786">
        <f>IF(DATOS!$G8786&lt;&gt;"EX",0,--(COUNTIFS(nNIA,DATOS!$A8786,nCURSO,DATOS!$D8786,nESPEC,DATOS!$E8786,nASIG,DATOS!$I8786,nEVAL,"OR")=0))</f>
      </c>
      <c r="I8786">
        <f>IF(DATOS!$I8786="","",IFERROR(VLOOKUP(DATOS!$I8786,CONFIG_ASIGNATURAS!$B$2:$J$91,9,FALSE()),""))</f>
      </c>
    </row>
    <row r="8787">
      <c r="F8787">
        <f>IF(DATOS!$A8787="","",DATOS!$A8787&amp;"|"&amp;DATOS!$D8787&amp;"|"&amp;DATOS!$E8787&amp;"|"&amp;DATOS!$I8787)</f>
      </c>
      <c r="G8787">
        <f>IF(DATOS!$A8787="",0,IF(CONFIG_METADATA!$B$4&lt;&gt;"OR+EX",--(DATOS!$G8787=CONFIG_METADATA!$B$4),IF(DATOS!$G8787="EX",1,IF(DATOS!$G8787="OR",--(COUNTIFS(nNIA,DATOS!$A8787,nCURSO,DATOS!$D8787,nESPEC,DATOS!$E8787,nASIG,DATOS!$I8787,nEVAL,"EX")=0),0))))</f>
      </c>
      <c r="H8787">
        <f>IF(DATOS!$G8787&lt;&gt;"EX",0,--(COUNTIFS(nNIA,DATOS!$A8787,nCURSO,DATOS!$D8787,nESPEC,DATOS!$E8787,nASIG,DATOS!$I8787,nEVAL,"OR")=0))</f>
      </c>
      <c r="I8787">
        <f>IF(DATOS!$I8787="","",IFERROR(VLOOKUP(DATOS!$I8787,CONFIG_ASIGNATURAS!$B$2:$J$91,9,FALSE()),""))</f>
      </c>
    </row>
    <row r="8788">
      <c r="F8788">
        <f>IF(DATOS!$A8788="","",DATOS!$A8788&amp;"|"&amp;DATOS!$D8788&amp;"|"&amp;DATOS!$E8788&amp;"|"&amp;DATOS!$I8788)</f>
      </c>
      <c r="G8788">
        <f>IF(DATOS!$A8788="",0,IF(CONFIG_METADATA!$B$4&lt;&gt;"OR+EX",--(DATOS!$G8788=CONFIG_METADATA!$B$4),IF(DATOS!$G8788="EX",1,IF(DATOS!$G8788="OR",--(COUNTIFS(nNIA,DATOS!$A8788,nCURSO,DATOS!$D8788,nESPEC,DATOS!$E8788,nASIG,DATOS!$I8788,nEVAL,"EX")=0),0))))</f>
      </c>
      <c r="H8788">
        <f>IF(DATOS!$G8788&lt;&gt;"EX",0,--(COUNTIFS(nNIA,DATOS!$A8788,nCURSO,DATOS!$D8788,nESPEC,DATOS!$E8788,nASIG,DATOS!$I8788,nEVAL,"OR")=0))</f>
      </c>
      <c r="I8788">
        <f>IF(DATOS!$I8788="","",IFERROR(VLOOKUP(DATOS!$I8788,CONFIG_ASIGNATURAS!$B$2:$J$91,9,FALSE()),""))</f>
      </c>
    </row>
    <row r="8789">
      <c r="F8789">
        <f>IF(DATOS!$A8789="","",DATOS!$A8789&amp;"|"&amp;DATOS!$D8789&amp;"|"&amp;DATOS!$E8789&amp;"|"&amp;DATOS!$I8789)</f>
      </c>
      <c r="G8789">
        <f>IF(DATOS!$A8789="",0,IF(CONFIG_METADATA!$B$4&lt;&gt;"OR+EX",--(DATOS!$G8789=CONFIG_METADATA!$B$4),IF(DATOS!$G8789="EX",1,IF(DATOS!$G8789="OR",--(COUNTIFS(nNIA,DATOS!$A8789,nCURSO,DATOS!$D8789,nESPEC,DATOS!$E8789,nASIG,DATOS!$I8789,nEVAL,"EX")=0),0))))</f>
      </c>
      <c r="H8789">
        <f>IF(DATOS!$G8789&lt;&gt;"EX",0,--(COUNTIFS(nNIA,DATOS!$A8789,nCURSO,DATOS!$D8789,nESPEC,DATOS!$E8789,nASIG,DATOS!$I8789,nEVAL,"OR")=0))</f>
      </c>
      <c r="I8789">
        <f>IF(DATOS!$I8789="","",IFERROR(VLOOKUP(DATOS!$I8789,CONFIG_ASIGNATURAS!$B$2:$J$91,9,FALSE()),""))</f>
      </c>
    </row>
    <row r="8790">
      <c r="F8790">
        <f>IF(DATOS!$A8790="","",DATOS!$A8790&amp;"|"&amp;DATOS!$D8790&amp;"|"&amp;DATOS!$E8790&amp;"|"&amp;DATOS!$I8790)</f>
      </c>
      <c r="G8790">
        <f>IF(DATOS!$A8790="",0,IF(CONFIG_METADATA!$B$4&lt;&gt;"OR+EX",--(DATOS!$G8790=CONFIG_METADATA!$B$4),IF(DATOS!$G8790="EX",1,IF(DATOS!$G8790="OR",--(COUNTIFS(nNIA,DATOS!$A8790,nCURSO,DATOS!$D8790,nESPEC,DATOS!$E8790,nASIG,DATOS!$I8790,nEVAL,"EX")=0),0))))</f>
      </c>
      <c r="H8790">
        <f>IF(DATOS!$G8790&lt;&gt;"EX",0,--(COUNTIFS(nNIA,DATOS!$A8790,nCURSO,DATOS!$D8790,nESPEC,DATOS!$E8790,nASIG,DATOS!$I8790,nEVAL,"OR")=0))</f>
      </c>
      <c r="I8790">
        <f>IF(DATOS!$I8790="","",IFERROR(VLOOKUP(DATOS!$I8790,CONFIG_ASIGNATURAS!$B$2:$J$91,9,FALSE()),""))</f>
      </c>
    </row>
    <row r="8791">
      <c r="F8791">
        <f>IF(DATOS!$A8791="","",DATOS!$A8791&amp;"|"&amp;DATOS!$D8791&amp;"|"&amp;DATOS!$E8791&amp;"|"&amp;DATOS!$I8791)</f>
      </c>
      <c r="G8791">
        <f>IF(DATOS!$A8791="",0,IF(CONFIG_METADATA!$B$4&lt;&gt;"OR+EX",--(DATOS!$G8791=CONFIG_METADATA!$B$4),IF(DATOS!$G8791="EX",1,IF(DATOS!$G8791="OR",--(COUNTIFS(nNIA,DATOS!$A8791,nCURSO,DATOS!$D8791,nESPEC,DATOS!$E8791,nASIG,DATOS!$I8791,nEVAL,"EX")=0),0))))</f>
      </c>
      <c r="H8791">
        <f>IF(DATOS!$G8791&lt;&gt;"EX",0,--(COUNTIFS(nNIA,DATOS!$A8791,nCURSO,DATOS!$D8791,nESPEC,DATOS!$E8791,nASIG,DATOS!$I8791,nEVAL,"OR")=0))</f>
      </c>
      <c r="I8791">
        <f>IF(DATOS!$I8791="","",IFERROR(VLOOKUP(DATOS!$I8791,CONFIG_ASIGNATURAS!$B$2:$J$91,9,FALSE()),""))</f>
      </c>
    </row>
    <row r="8792">
      <c r="F8792">
        <f>IF(DATOS!$A8792="","",DATOS!$A8792&amp;"|"&amp;DATOS!$D8792&amp;"|"&amp;DATOS!$E8792&amp;"|"&amp;DATOS!$I8792)</f>
      </c>
      <c r="G8792">
        <f>IF(DATOS!$A8792="",0,IF(CONFIG_METADATA!$B$4&lt;&gt;"OR+EX",--(DATOS!$G8792=CONFIG_METADATA!$B$4),IF(DATOS!$G8792="EX",1,IF(DATOS!$G8792="OR",--(COUNTIFS(nNIA,DATOS!$A8792,nCURSO,DATOS!$D8792,nESPEC,DATOS!$E8792,nASIG,DATOS!$I8792,nEVAL,"EX")=0),0))))</f>
      </c>
      <c r="H8792">
        <f>IF(DATOS!$G8792&lt;&gt;"EX",0,--(COUNTIFS(nNIA,DATOS!$A8792,nCURSO,DATOS!$D8792,nESPEC,DATOS!$E8792,nASIG,DATOS!$I8792,nEVAL,"OR")=0))</f>
      </c>
      <c r="I8792">
        <f>IF(DATOS!$I8792="","",IFERROR(VLOOKUP(DATOS!$I8792,CONFIG_ASIGNATURAS!$B$2:$J$91,9,FALSE()),""))</f>
      </c>
    </row>
    <row r="8793">
      <c r="F8793">
        <f>IF(DATOS!$A8793="","",DATOS!$A8793&amp;"|"&amp;DATOS!$D8793&amp;"|"&amp;DATOS!$E8793&amp;"|"&amp;DATOS!$I8793)</f>
      </c>
      <c r="G8793">
        <f>IF(DATOS!$A8793="",0,IF(CONFIG_METADATA!$B$4&lt;&gt;"OR+EX",--(DATOS!$G8793=CONFIG_METADATA!$B$4),IF(DATOS!$G8793="EX",1,IF(DATOS!$G8793="OR",--(COUNTIFS(nNIA,DATOS!$A8793,nCURSO,DATOS!$D8793,nESPEC,DATOS!$E8793,nASIG,DATOS!$I8793,nEVAL,"EX")=0),0))))</f>
      </c>
      <c r="H8793">
        <f>IF(DATOS!$G8793&lt;&gt;"EX",0,--(COUNTIFS(nNIA,DATOS!$A8793,nCURSO,DATOS!$D8793,nESPEC,DATOS!$E8793,nASIG,DATOS!$I8793,nEVAL,"OR")=0))</f>
      </c>
      <c r="I8793">
        <f>IF(DATOS!$I8793="","",IFERROR(VLOOKUP(DATOS!$I8793,CONFIG_ASIGNATURAS!$B$2:$J$91,9,FALSE()),""))</f>
      </c>
    </row>
    <row r="8794">
      <c r="F8794">
        <f>IF(DATOS!$A8794="","",DATOS!$A8794&amp;"|"&amp;DATOS!$D8794&amp;"|"&amp;DATOS!$E8794&amp;"|"&amp;DATOS!$I8794)</f>
      </c>
      <c r="G8794">
        <f>IF(DATOS!$A8794="",0,IF(CONFIG_METADATA!$B$4&lt;&gt;"OR+EX",--(DATOS!$G8794=CONFIG_METADATA!$B$4),IF(DATOS!$G8794="EX",1,IF(DATOS!$G8794="OR",--(COUNTIFS(nNIA,DATOS!$A8794,nCURSO,DATOS!$D8794,nESPEC,DATOS!$E8794,nASIG,DATOS!$I8794,nEVAL,"EX")=0),0))))</f>
      </c>
      <c r="H8794">
        <f>IF(DATOS!$G8794&lt;&gt;"EX",0,--(COUNTIFS(nNIA,DATOS!$A8794,nCURSO,DATOS!$D8794,nESPEC,DATOS!$E8794,nASIG,DATOS!$I8794,nEVAL,"OR")=0))</f>
      </c>
      <c r="I8794">
        <f>IF(DATOS!$I8794="","",IFERROR(VLOOKUP(DATOS!$I8794,CONFIG_ASIGNATURAS!$B$2:$J$91,9,FALSE()),""))</f>
      </c>
    </row>
    <row r="8795">
      <c r="F8795">
        <f>IF(DATOS!$A8795="","",DATOS!$A8795&amp;"|"&amp;DATOS!$D8795&amp;"|"&amp;DATOS!$E8795&amp;"|"&amp;DATOS!$I8795)</f>
      </c>
      <c r="G8795">
        <f>IF(DATOS!$A8795="",0,IF(CONFIG_METADATA!$B$4&lt;&gt;"OR+EX",--(DATOS!$G8795=CONFIG_METADATA!$B$4),IF(DATOS!$G8795="EX",1,IF(DATOS!$G8795="OR",--(COUNTIFS(nNIA,DATOS!$A8795,nCURSO,DATOS!$D8795,nESPEC,DATOS!$E8795,nASIG,DATOS!$I8795,nEVAL,"EX")=0),0))))</f>
      </c>
      <c r="H8795">
        <f>IF(DATOS!$G8795&lt;&gt;"EX",0,--(COUNTIFS(nNIA,DATOS!$A8795,nCURSO,DATOS!$D8795,nESPEC,DATOS!$E8795,nASIG,DATOS!$I8795,nEVAL,"OR")=0))</f>
      </c>
      <c r="I8795">
        <f>IF(DATOS!$I8795="","",IFERROR(VLOOKUP(DATOS!$I8795,CONFIG_ASIGNATURAS!$B$2:$J$91,9,FALSE()),""))</f>
      </c>
    </row>
    <row r="8796">
      <c r="F8796">
        <f>IF(DATOS!$A8796="","",DATOS!$A8796&amp;"|"&amp;DATOS!$D8796&amp;"|"&amp;DATOS!$E8796&amp;"|"&amp;DATOS!$I8796)</f>
      </c>
      <c r="G8796">
        <f>IF(DATOS!$A8796="",0,IF(CONFIG_METADATA!$B$4&lt;&gt;"OR+EX",--(DATOS!$G8796=CONFIG_METADATA!$B$4),IF(DATOS!$G8796="EX",1,IF(DATOS!$G8796="OR",--(COUNTIFS(nNIA,DATOS!$A8796,nCURSO,DATOS!$D8796,nESPEC,DATOS!$E8796,nASIG,DATOS!$I8796,nEVAL,"EX")=0),0))))</f>
      </c>
      <c r="H8796">
        <f>IF(DATOS!$G8796&lt;&gt;"EX",0,--(COUNTIFS(nNIA,DATOS!$A8796,nCURSO,DATOS!$D8796,nESPEC,DATOS!$E8796,nASIG,DATOS!$I8796,nEVAL,"OR")=0))</f>
      </c>
      <c r="I8796">
        <f>IF(DATOS!$I8796="","",IFERROR(VLOOKUP(DATOS!$I8796,CONFIG_ASIGNATURAS!$B$2:$J$91,9,FALSE()),""))</f>
      </c>
    </row>
    <row r="8797">
      <c r="F8797">
        <f>IF(DATOS!$A8797="","",DATOS!$A8797&amp;"|"&amp;DATOS!$D8797&amp;"|"&amp;DATOS!$E8797&amp;"|"&amp;DATOS!$I8797)</f>
      </c>
      <c r="G8797">
        <f>IF(DATOS!$A8797="",0,IF(CONFIG_METADATA!$B$4&lt;&gt;"OR+EX",--(DATOS!$G8797=CONFIG_METADATA!$B$4),IF(DATOS!$G8797="EX",1,IF(DATOS!$G8797="OR",--(COUNTIFS(nNIA,DATOS!$A8797,nCURSO,DATOS!$D8797,nESPEC,DATOS!$E8797,nASIG,DATOS!$I8797,nEVAL,"EX")=0),0))))</f>
      </c>
      <c r="H8797">
        <f>IF(DATOS!$G8797&lt;&gt;"EX",0,--(COUNTIFS(nNIA,DATOS!$A8797,nCURSO,DATOS!$D8797,nESPEC,DATOS!$E8797,nASIG,DATOS!$I8797,nEVAL,"OR")=0))</f>
      </c>
      <c r="I8797">
        <f>IF(DATOS!$I8797="","",IFERROR(VLOOKUP(DATOS!$I8797,CONFIG_ASIGNATURAS!$B$2:$J$91,9,FALSE()),""))</f>
      </c>
    </row>
    <row r="8798">
      <c r="F8798">
        <f>IF(DATOS!$A8798="","",DATOS!$A8798&amp;"|"&amp;DATOS!$D8798&amp;"|"&amp;DATOS!$E8798&amp;"|"&amp;DATOS!$I8798)</f>
      </c>
      <c r="G8798">
        <f>IF(DATOS!$A8798="",0,IF(CONFIG_METADATA!$B$4&lt;&gt;"OR+EX",--(DATOS!$G8798=CONFIG_METADATA!$B$4),IF(DATOS!$G8798="EX",1,IF(DATOS!$G8798="OR",--(COUNTIFS(nNIA,DATOS!$A8798,nCURSO,DATOS!$D8798,nESPEC,DATOS!$E8798,nASIG,DATOS!$I8798,nEVAL,"EX")=0),0))))</f>
      </c>
      <c r="H8798">
        <f>IF(DATOS!$G8798&lt;&gt;"EX",0,--(COUNTIFS(nNIA,DATOS!$A8798,nCURSO,DATOS!$D8798,nESPEC,DATOS!$E8798,nASIG,DATOS!$I8798,nEVAL,"OR")=0))</f>
      </c>
      <c r="I8798">
        <f>IF(DATOS!$I8798="","",IFERROR(VLOOKUP(DATOS!$I8798,CONFIG_ASIGNATURAS!$B$2:$J$91,9,FALSE()),""))</f>
      </c>
    </row>
    <row r="8799">
      <c r="F8799">
        <f>IF(DATOS!$A8799="","",DATOS!$A8799&amp;"|"&amp;DATOS!$D8799&amp;"|"&amp;DATOS!$E8799&amp;"|"&amp;DATOS!$I8799)</f>
      </c>
      <c r="G8799">
        <f>IF(DATOS!$A8799="",0,IF(CONFIG_METADATA!$B$4&lt;&gt;"OR+EX",--(DATOS!$G8799=CONFIG_METADATA!$B$4),IF(DATOS!$G8799="EX",1,IF(DATOS!$G8799="OR",--(COUNTIFS(nNIA,DATOS!$A8799,nCURSO,DATOS!$D8799,nESPEC,DATOS!$E8799,nASIG,DATOS!$I8799,nEVAL,"EX")=0),0))))</f>
      </c>
      <c r="H8799">
        <f>IF(DATOS!$G8799&lt;&gt;"EX",0,--(COUNTIFS(nNIA,DATOS!$A8799,nCURSO,DATOS!$D8799,nESPEC,DATOS!$E8799,nASIG,DATOS!$I8799,nEVAL,"OR")=0))</f>
      </c>
      <c r="I8799">
        <f>IF(DATOS!$I8799="","",IFERROR(VLOOKUP(DATOS!$I8799,CONFIG_ASIGNATURAS!$B$2:$J$91,9,FALSE()),""))</f>
      </c>
    </row>
    <row r="8800">
      <c r="F8800">
        <f>IF(DATOS!$A8800="","",DATOS!$A8800&amp;"|"&amp;DATOS!$D8800&amp;"|"&amp;DATOS!$E8800&amp;"|"&amp;DATOS!$I8800)</f>
      </c>
      <c r="G8800">
        <f>IF(DATOS!$A8800="",0,IF(CONFIG_METADATA!$B$4&lt;&gt;"OR+EX",--(DATOS!$G8800=CONFIG_METADATA!$B$4),IF(DATOS!$G8800="EX",1,IF(DATOS!$G8800="OR",--(COUNTIFS(nNIA,DATOS!$A8800,nCURSO,DATOS!$D8800,nESPEC,DATOS!$E8800,nASIG,DATOS!$I8800,nEVAL,"EX")=0),0))))</f>
      </c>
      <c r="H8800">
        <f>IF(DATOS!$G8800&lt;&gt;"EX",0,--(COUNTIFS(nNIA,DATOS!$A8800,nCURSO,DATOS!$D8800,nESPEC,DATOS!$E8800,nASIG,DATOS!$I8800,nEVAL,"OR")=0))</f>
      </c>
      <c r="I8800">
        <f>IF(DATOS!$I8800="","",IFERROR(VLOOKUP(DATOS!$I8800,CONFIG_ASIGNATURAS!$B$2:$J$91,9,FALSE()),""))</f>
      </c>
    </row>
    <row r="8801">
      <c r="F8801">
        <f>IF(DATOS!$A8801="","",DATOS!$A8801&amp;"|"&amp;DATOS!$D8801&amp;"|"&amp;DATOS!$E8801&amp;"|"&amp;DATOS!$I8801)</f>
      </c>
      <c r="G8801">
        <f>IF(DATOS!$A8801="",0,IF(CONFIG_METADATA!$B$4&lt;&gt;"OR+EX",--(DATOS!$G8801=CONFIG_METADATA!$B$4),IF(DATOS!$G8801="EX",1,IF(DATOS!$G8801="OR",--(COUNTIFS(nNIA,DATOS!$A8801,nCURSO,DATOS!$D8801,nESPEC,DATOS!$E8801,nASIG,DATOS!$I8801,nEVAL,"EX")=0),0))))</f>
      </c>
      <c r="H8801">
        <f>IF(DATOS!$G8801&lt;&gt;"EX",0,--(COUNTIFS(nNIA,DATOS!$A8801,nCURSO,DATOS!$D8801,nESPEC,DATOS!$E8801,nASIG,DATOS!$I8801,nEVAL,"OR")=0))</f>
      </c>
      <c r="I8801">
        <f>IF(DATOS!$I8801="","",IFERROR(VLOOKUP(DATOS!$I8801,CONFIG_ASIGNATURAS!$B$2:$J$91,9,FALSE()),""))</f>
      </c>
    </row>
    <row r="8802">
      <c r="F8802">
        <f>IF(DATOS!$A8802="","",DATOS!$A8802&amp;"|"&amp;DATOS!$D8802&amp;"|"&amp;DATOS!$E8802&amp;"|"&amp;DATOS!$I8802)</f>
      </c>
      <c r="G8802">
        <f>IF(DATOS!$A8802="",0,IF(CONFIG_METADATA!$B$4&lt;&gt;"OR+EX",--(DATOS!$G8802=CONFIG_METADATA!$B$4),IF(DATOS!$G8802="EX",1,IF(DATOS!$G8802="OR",--(COUNTIFS(nNIA,DATOS!$A8802,nCURSO,DATOS!$D8802,nESPEC,DATOS!$E8802,nASIG,DATOS!$I8802,nEVAL,"EX")=0),0))))</f>
      </c>
      <c r="H8802">
        <f>IF(DATOS!$G8802&lt;&gt;"EX",0,--(COUNTIFS(nNIA,DATOS!$A8802,nCURSO,DATOS!$D8802,nESPEC,DATOS!$E8802,nASIG,DATOS!$I8802,nEVAL,"OR")=0))</f>
      </c>
      <c r="I8802">
        <f>IF(DATOS!$I8802="","",IFERROR(VLOOKUP(DATOS!$I8802,CONFIG_ASIGNATURAS!$B$2:$J$91,9,FALSE()),""))</f>
      </c>
    </row>
    <row r="8803">
      <c r="F8803">
        <f>IF(DATOS!$A8803="","",DATOS!$A8803&amp;"|"&amp;DATOS!$D8803&amp;"|"&amp;DATOS!$E8803&amp;"|"&amp;DATOS!$I8803)</f>
      </c>
      <c r="G8803">
        <f>IF(DATOS!$A8803="",0,IF(CONFIG_METADATA!$B$4&lt;&gt;"OR+EX",--(DATOS!$G8803=CONFIG_METADATA!$B$4),IF(DATOS!$G8803="EX",1,IF(DATOS!$G8803="OR",--(COUNTIFS(nNIA,DATOS!$A8803,nCURSO,DATOS!$D8803,nESPEC,DATOS!$E8803,nASIG,DATOS!$I8803,nEVAL,"EX")=0),0))))</f>
      </c>
      <c r="H8803">
        <f>IF(DATOS!$G8803&lt;&gt;"EX",0,--(COUNTIFS(nNIA,DATOS!$A8803,nCURSO,DATOS!$D8803,nESPEC,DATOS!$E8803,nASIG,DATOS!$I8803,nEVAL,"OR")=0))</f>
      </c>
      <c r="I8803">
        <f>IF(DATOS!$I8803="","",IFERROR(VLOOKUP(DATOS!$I8803,CONFIG_ASIGNATURAS!$B$2:$J$91,9,FALSE()),""))</f>
      </c>
    </row>
    <row r="8804">
      <c r="F8804">
        <f>IF(DATOS!$A8804="","",DATOS!$A8804&amp;"|"&amp;DATOS!$D8804&amp;"|"&amp;DATOS!$E8804&amp;"|"&amp;DATOS!$I8804)</f>
      </c>
      <c r="G8804">
        <f>IF(DATOS!$A8804="",0,IF(CONFIG_METADATA!$B$4&lt;&gt;"OR+EX",--(DATOS!$G8804=CONFIG_METADATA!$B$4),IF(DATOS!$G8804="EX",1,IF(DATOS!$G8804="OR",--(COUNTIFS(nNIA,DATOS!$A8804,nCURSO,DATOS!$D8804,nESPEC,DATOS!$E8804,nASIG,DATOS!$I8804,nEVAL,"EX")=0),0))))</f>
      </c>
      <c r="H8804">
        <f>IF(DATOS!$G8804&lt;&gt;"EX",0,--(COUNTIFS(nNIA,DATOS!$A8804,nCURSO,DATOS!$D8804,nESPEC,DATOS!$E8804,nASIG,DATOS!$I8804,nEVAL,"OR")=0))</f>
      </c>
      <c r="I8804">
        <f>IF(DATOS!$I8804="","",IFERROR(VLOOKUP(DATOS!$I8804,CONFIG_ASIGNATURAS!$B$2:$J$91,9,FALSE()),""))</f>
      </c>
    </row>
    <row r="8805">
      <c r="F8805">
        <f>IF(DATOS!$A8805="","",DATOS!$A8805&amp;"|"&amp;DATOS!$D8805&amp;"|"&amp;DATOS!$E8805&amp;"|"&amp;DATOS!$I8805)</f>
      </c>
      <c r="G8805">
        <f>IF(DATOS!$A8805="",0,IF(CONFIG_METADATA!$B$4&lt;&gt;"OR+EX",--(DATOS!$G8805=CONFIG_METADATA!$B$4),IF(DATOS!$G8805="EX",1,IF(DATOS!$G8805="OR",--(COUNTIFS(nNIA,DATOS!$A8805,nCURSO,DATOS!$D8805,nESPEC,DATOS!$E8805,nASIG,DATOS!$I8805,nEVAL,"EX")=0),0))))</f>
      </c>
      <c r="H8805">
        <f>IF(DATOS!$G8805&lt;&gt;"EX",0,--(COUNTIFS(nNIA,DATOS!$A8805,nCURSO,DATOS!$D8805,nESPEC,DATOS!$E8805,nASIG,DATOS!$I8805,nEVAL,"OR")=0))</f>
      </c>
      <c r="I8805">
        <f>IF(DATOS!$I8805="","",IFERROR(VLOOKUP(DATOS!$I8805,CONFIG_ASIGNATURAS!$B$2:$J$91,9,FALSE()),""))</f>
      </c>
    </row>
    <row r="8806">
      <c r="F8806">
        <f>IF(DATOS!$A8806="","",DATOS!$A8806&amp;"|"&amp;DATOS!$D8806&amp;"|"&amp;DATOS!$E8806&amp;"|"&amp;DATOS!$I8806)</f>
      </c>
      <c r="G8806">
        <f>IF(DATOS!$A8806="",0,IF(CONFIG_METADATA!$B$4&lt;&gt;"OR+EX",--(DATOS!$G8806=CONFIG_METADATA!$B$4),IF(DATOS!$G8806="EX",1,IF(DATOS!$G8806="OR",--(COUNTIFS(nNIA,DATOS!$A8806,nCURSO,DATOS!$D8806,nESPEC,DATOS!$E8806,nASIG,DATOS!$I8806,nEVAL,"EX")=0),0))))</f>
      </c>
      <c r="H8806">
        <f>IF(DATOS!$G8806&lt;&gt;"EX",0,--(COUNTIFS(nNIA,DATOS!$A8806,nCURSO,DATOS!$D8806,nESPEC,DATOS!$E8806,nASIG,DATOS!$I8806,nEVAL,"OR")=0))</f>
      </c>
      <c r="I8806">
        <f>IF(DATOS!$I8806="","",IFERROR(VLOOKUP(DATOS!$I8806,CONFIG_ASIGNATURAS!$B$2:$J$91,9,FALSE()),""))</f>
      </c>
    </row>
    <row r="8807">
      <c r="F8807">
        <f>IF(DATOS!$A8807="","",DATOS!$A8807&amp;"|"&amp;DATOS!$D8807&amp;"|"&amp;DATOS!$E8807&amp;"|"&amp;DATOS!$I8807)</f>
      </c>
      <c r="G8807">
        <f>IF(DATOS!$A8807="",0,IF(CONFIG_METADATA!$B$4&lt;&gt;"OR+EX",--(DATOS!$G8807=CONFIG_METADATA!$B$4),IF(DATOS!$G8807="EX",1,IF(DATOS!$G8807="OR",--(COUNTIFS(nNIA,DATOS!$A8807,nCURSO,DATOS!$D8807,nESPEC,DATOS!$E8807,nASIG,DATOS!$I8807,nEVAL,"EX")=0),0))))</f>
      </c>
      <c r="H8807">
        <f>IF(DATOS!$G8807&lt;&gt;"EX",0,--(COUNTIFS(nNIA,DATOS!$A8807,nCURSO,DATOS!$D8807,nESPEC,DATOS!$E8807,nASIG,DATOS!$I8807,nEVAL,"OR")=0))</f>
      </c>
      <c r="I8807">
        <f>IF(DATOS!$I8807="","",IFERROR(VLOOKUP(DATOS!$I8807,CONFIG_ASIGNATURAS!$B$2:$J$91,9,FALSE()),""))</f>
      </c>
    </row>
    <row r="8808">
      <c r="F8808">
        <f>IF(DATOS!$A8808="","",DATOS!$A8808&amp;"|"&amp;DATOS!$D8808&amp;"|"&amp;DATOS!$E8808&amp;"|"&amp;DATOS!$I8808)</f>
      </c>
      <c r="G8808">
        <f>IF(DATOS!$A8808="",0,IF(CONFIG_METADATA!$B$4&lt;&gt;"OR+EX",--(DATOS!$G8808=CONFIG_METADATA!$B$4),IF(DATOS!$G8808="EX",1,IF(DATOS!$G8808="OR",--(COUNTIFS(nNIA,DATOS!$A8808,nCURSO,DATOS!$D8808,nESPEC,DATOS!$E8808,nASIG,DATOS!$I8808,nEVAL,"EX")=0),0))))</f>
      </c>
      <c r="H8808">
        <f>IF(DATOS!$G8808&lt;&gt;"EX",0,--(COUNTIFS(nNIA,DATOS!$A8808,nCURSO,DATOS!$D8808,nESPEC,DATOS!$E8808,nASIG,DATOS!$I8808,nEVAL,"OR")=0))</f>
      </c>
      <c r="I8808">
        <f>IF(DATOS!$I8808="","",IFERROR(VLOOKUP(DATOS!$I8808,CONFIG_ASIGNATURAS!$B$2:$J$91,9,FALSE()),""))</f>
      </c>
    </row>
    <row r="8809">
      <c r="F8809">
        <f>IF(DATOS!$A8809="","",DATOS!$A8809&amp;"|"&amp;DATOS!$D8809&amp;"|"&amp;DATOS!$E8809&amp;"|"&amp;DATOS!$I8809)</f>
      </c>
      <c r="G8809">
        <f>IF(DATOS!$A8809="",0,IF(CONFIG_METADATA!$B$4&lt;&gt;"OR+EX",--(DATOS!$G8809=CONFIG_METADATA!$B$4),IF(DATOS!$G8809="EX",1,IF(DATOS!$G8809="OR",--(COUNTIFS(nNIA,DATOS!$A8809,nCURSO,DATOS!$D8809,nESPEC,DATOS!$E8809,nASIG,DATOS!$I8809,nEVAL,"EX")=0),0))))</f>
      </c>
      <c r="H8809">
        <f>IF(DATOS!$G8809&lt;&gt;"EX",0,--(COUNTIFS(nNIA,DATOS!$A8809,nCURSO,DATOS!$D8809,nESPEC,DATOS!$E8809,nASIG,DATOS!$I8809,nEVAL,"OR")=0))</f>
      </c>
      <c r="I8809">
        <f>IF(DATOS!$I8809="","",IFERROR(VLOOKUP(DATOS!$I8809,CONFIG_ASIGNATURAS!$B$2:$J$91,9,FALSE()),""))</f>
      </c>
    </row>
    <row r="8810">
      <c r="F8810">
        <f>IF(DATOS!$A8810="","",DATOS!$A8810&amp;"|"&amp;DATOS!$D8810&amp;"|"&amp;DATOS!$E8810&amp;"|"&amp;DATOS!$I8810)</f>
      </c>
      <c r="G8810">
        <f>IF(DATOS!$A8810="",0,IF(CONFIG_METADATA!$B$4&lt;&gt;"OR+EX",--(DATOS!$G8810=CONFIG_METADATA!$B$4),IF(DATOS!$G8810="EX",1,IF(DATOS!$G8810="OR",--(COUNTIFS(nNIA,DATOS!$A8810,nCURSO,DATOS!$D8810,nESPEC,DATOS!$E8810,nASIG,DATOS!$I8810,nEVAL,"EX")=0),0))))</f>
      </c>
      <c r="H8810">
        <f>IF(DATOS!$G8810&lt;&gt;"EX",0,--(COUNTIFS(nNIA,DATOS!$A8810,nCURSO,DATOS!$D8810,nESPEC,DATOS!$E8810,nASIG,DATOS!$I8810,nEVAL,"OR")=0))</f>
      </c>
      <c r="I8810">
        <f>IF(DATOS!$I8810="","",IFERROR(VLOOKUP(DATOS!$I8810,CONFIG_ASIGNATURAS!$B$2:$J$91,9,FALSE()),""))</f>
      </c>
    </row>
    <row r="8811">
      <c r="F8811">
        <f>IF(DATOS!$A8811="","",DATOS!$A8811&amp;"|"&amp;DATOS!$D8811&amp;"|"&amp;DATOS!$E8811&amp;"|"&amp;DATOS!$I8811)</f>
      </c>
      <c r="G8811">
        <f>IF(DATOS!$A8811="",0,IF(CONFIG_METADATA!$B$4&lt;&gt;"OR+EX",--(DATOS!$G8811=CONFIG_METADATA!$B$4),IF(DATOS!$G8811="EX",1,IF(DATOS!$G8811="OR",--(COUNTIFS(nNIA,DATOS!$A8811,nCURSO,DATOS!$D8811,nESPEC,DATOS!$E8811,nASIG,DATOS!$I8811,nEVAL,"EX")=0),0))))</f>
      </c>
      <c r="H8811">
        <f>IF(DATOS!$G8811&lt;&gt;"EX",0,--(COUNTIFS(nNIA,DATOS!$A8811,nCURSO,DATOS!$D8811,nESPEC,DATOS!$E8811,nASIG,DATOS!$I8811,nEVAL,"OR")=0))</f>
      </c>
      <c r="I8811">
        <f>IF(DATOS!$I8811="","",IFERROR(VLOOKUP(DATOS!$I8811,CONFIG_ASIGNATURAS!$B$2:$J$91,9,FALSE()),""))</f>
      </c>
    </row>
    <row r="8812">
      <c r="F8812">
        <f>IF(DATOS!$A8812="","",DATOS!$A8812&amp;"|"&amp;DATOS!$D8812&amp;"|"&amp;DATOS!$E8812&amp;"|"&amp;DATOS!$I8812)</f>
      </c>
      <c r="G8812">
        <f>IF(DATOS!$A8812="",0,IF(CONFIG_METADATA!$B$4&lt;&gt;"OR+EX",--(DATOS!$G8812=CONFIG_METADATA!$B$4),IF(DATOS!$G8812="EX",1,IF(DATOS!$G8812="OR",--(COUNTIFS(nNIA,DATOS!$A8812,nCURSO,DATOS!$D8812,nESPEC,DATOS!$E8812,nASIG,DATOS!$I8812,nEVAL,"EX")=0),0))))</f>
      </c>
      <c r="H8812">
        <f>IF(DATOS!$G8812&lt;&gt;"EX",0,--(COUNTIFS(nNIA,DATOS!$A8812,nCURSO,DATOS!$D8812,nESPEC,DATOS!$E8812,nASIG,DATOS!$I8812,nEVAL,"OR")=0))</f>
      </c>
      <c r="I8812">
        <f>IF(DATOS!$I8812="","",IFERROR(VLOOKUP(DATOS!$I8812,CONFIG_ASIGNATURAS!$B$2:$J$91,9,FALSE()),""))</f>
      </c>
    </row>
    <row r="8813">
      <c r="F8813">
        <f>IF(DATOS!$A8813="","",DATOS!$A8813&amp;"|"&amp;DATOS!$D8813&amp;"|"&amp;DATOS!$E8813&amp;"|"&amp;DATOS!$I8813)</f>
      </c>
      <c r="G8813">
        <f>IF(DATOS!$A8813="",0,IF(CONFIG_METADATA!$B$4&lt;&gt;"OR+EX",--(DATOS!$G8813=CONFIG_METADATA!$B$4),IF(DATOS!$G8813="EX",1,IF(DATOS!$G8813="OR",--(COUNTIFS(nNIA,DATOS!$A8813,nCURSO,DATOS!$D8813,nESPEC,DATOS!$E8813,nASIG,DATOS!$I8813,nEVAL,"EX")=0),0))))</f>
      </c>
      <c r="H8813">
        <f>IF(DATOS!$G8813&lt;&gt;"EX",0,--(COUNTIFS(nNIA,DATOS!$A8813,nCURSO,DATOS!$D8813,nESPEC,DATOS!$E8813,nASIG,DATOS!$I8813,nEVAL,"OR")=0))</f>
      </c>
      <c r="I8813">
        <f>IF(DATOS!$I8813="","",IFERROR(VLOOKUP(DATOS!$I8813,CONFIG_ASIGNATURAS!$B$2:$J$91,9,FALSE()),""))</f>
      </c>
    </row>
    <row r="8814">
      <c r="F8814">
        <f>IF(DATOS!$A8814="","",DATOS!$A8814&amp;"|"&amp;DATOS!$D8814&amp;"|"&amp;DATOS!$E8814&amp;"|"&amp;DATOS!$I8814)</f>
      </c>
      <c r="G8814">
        <f>IF(DATOS!$A8814="",0,IF(CONFIG_METADATA!$B$4&lt;&gt;"OR+EX",--(DATOS!$G8814=CONFIG_METADATA!$B$4),IF(DATOS!$G8814="EX",1,IF(DATOS!$G8814="OR",--(COUNTIFS(nNIA,DATOS!$A8814,nCURSO,DATOS!$D8814,nESPEC,DATOS!$E8814,nASIG,DATOS!$I8814,nEVAL,"EX")=0),0))))</f>
      </c>
      <c r="H8814">
        <f>IF(DATOS!$G8814&lt;&gt;"EX",0,--(COUNTIFS(nNIA,DATOS!$A8814,nCURSO,DATOS!$D8814,nESPEC,DATOS!$E8814,nASIG,DATOS!$I8814,nEVAL,"OR")=0))</f>
      </c>
      <c r="I8814">
        <f>IF(DATOS!$I8814="","",IFERROR(VLOOKUP(DATOS!$I8814,CONFIG_ASIGNATURAS!$B$2:$J$91,9,FALSE()),""))</f>
      </c>
    </row>
    <row r="8815">
      <c r="F8815">
        <f>IF(DATOS!$A8815="","",DATOS!$A8815&amp;"|"&amp;DATOS!$D8815&amp;"|"&amp;DATOS!$E8815&amp;"|"&amp;DATOS!$I8815)</f>
      </c>
      <c r="G8815">
        <f>IF(DATOS!$A8815="",0,IF(CONFIG_METADATA!$B$4&lt;&gt;"OR+EX",--(DATOS!$G8815=CONFIG_METADATA!$B$4),IF(DATOS!$G8815="EX",1,IF(DATOS!$G8815="OR",--(COUNTIFS(nNIA,DATOS!$A8815,nCURSO,DATOS!$D8815,nESPEC,DATOS!$E8815,nASIG,DATOS!$I8815,nEVAL,"EX")=0),0))))</f>
      </c>
      <c r="H8815">
        <f>IF(DATOS!$G8815&lt;&gt;"EX",0,--(COUNTIFS(nNIA,DATOS!$A8815,nCURSO,DATOS!$D8815,nESPEC,DATOS!$E8815,nASIG,DATOS!$I8815,nEVAL,"OR")=0))</f>
      </c>
      <c r="I8815">
        <f>IF(DATOS!$I8815="","",IFERROR(VLOOKUP(DATOS!$I8815,CONFIG_ASIGNATURAS!$B$2:$J$91,9,FALSE()),""))</f>
      </c>
    </row>
    <row r="8816">
      <c r="F8816">
        <f>IF(DATOS!$A8816="","",DATOS!$A8816&amp;"|"&amp;DATOS!$D8816&amp;"|"&amp;DATOS!$E8816&amp;"|"&amp;DATOS!$I8816)</f>
      </c>
      <c r="G8816">
        <f>IF(DATOS!$A8816="",0,IF(CONFIG_METADATA!$B$4&lt;&gt;"OR+EX",--(DATOS!$G8816=CONFIG_METADATA!$B$4),IF(DATOS!$G8816="EX",1,IF(DATOS!$G8816="OR",--(COUNTIFS(nNIA,DATOS!$A8816,nCURSO,DATOS!$D8816,nESPEC,DATOS!$E8816,nASIG,DATOS!$I8816,nEVAL,"EX")=0),0))))</f>
      </c>
      <c r="H8816">
        <f>IF(DATOS!$G8816&lt;&gt;"EX",0,--(COUNTIFS(nNIA,DATOS!$A8816,nCURSO,DATOS!$D8816,nESPEC,DATOS!$E8816,nASIG,DATOS!$I8816,nEVAL,"OR")=0))</f>
      </c>
      <c r="I8816">
        <f>IF(DATOS!$I8816="","",IFERROR(VLOOKUP(DATOS!$I8816,CONFIG_ASIGNATURAS!$B$2:$J$91,9,FALSE()),""))</f>
      </c>
    </row>
    <row r="8817">
      <c r="F8817">
        <f>IF(DATOS!$A8817="","",DATOS!$A8817&amp;"|"&amp;DATOS!$D8817&amp;"|"&amp;DATOS!$E8817&amp;"|"&amp;DATOS!$I8817)</f>
      </c>
      <c r="G8817">
        <f>IF(DATOS!$A8817="",0,IF(CONFIG_METADATA!$B$4&lt;&gt;"OR+EX",--(DATOS!$G8817=CONFIG_METADATA!$B$4),IF(DATOS!$G8817="EX",1,IF(DATOS!$G8817="OR",--(COUNTIFS(nNIA,DATOS!$A8817,nCURSO,DATOS!$D8817,nESPEC,DATOS!$E8817,nASIG,DATOS!$I8817,nEVAL,"EX")=0),0))))</f>
      </c>
      <c r="H8817">
        <f>IF(DATOS!$G8817&lt;&gt;"EX",0,--(COUNTIFS(nNIA,DATOS!$A8817,nCURSO,DATOS!$D8817,nESPEC,DATOS!$E8817,nASIG,DATOS!$I8817,nEVAL,"OR")=0))</f>
      </c>
      <c r="I8817">
        <f>IF(DATOS!$I8817="","",IFERROR(VLOOKUP(DATOS!$I8817,CONFIG_ASIGNATURAS!$B$2:$J$91,9,FALSE()),""))</f>
      </c>
    </row>
    <row r="8818">
      <c r="F8818">
        <f>IF(DATOS!$A8818="","",DATOS!$A8818&amp;"|"&amp;DATOS!$D8818&amp;"|"&amp;DATOS!$E8818&amp;"|"&amp;DATOS!$I8818)</f>
      </c>
      <c r="G8818">
        <f>IF(DATOS!$A8818="",0,IF(CONFIG_METADATA!$B$4&lt;&gt;"OR+EX",--(DATOS!$G8818=CONFIG_METADATA!$B$4),IF(DATOS!$G8818="EX",1,IF(DATOS!$G8818="OR",--(COUNTIFS(nNIA,DATOS!$A8818,nCURSO,DATOS!$D8818,nESPEC,DATOS!$E8818,nASIG,DATOS!$I8818,nEVAL,"EX")=0),0))))</f>
      </c>
      <c r="H8818">
        <f>IF(DATOS!$G8818&lt;&gt;"EX",0,--(COUNTIFS(nNIA,DATOS!$A8818,nCURSO,DATOS!$D8818,nESPEC,DATOS!$E8818,nASIG,DATOS!$I8818,nEVAL,"OR")=0))</f>
      </c>
      <c r="I8818">
        <f>IF(DATOS!$I8818="","",IFERROR(VLOOKUP(DATOS!$I8818,CONFIG_ASIGNATURAS!$B$2:$J$91,9,FALSE()),""))</f>
      </c>
    </row>
    <row r="8819">
      <c r="F8819">
        <f>IF(DATOS!$A8819="","",DATOS!$A8819&amp;"|"&amp;DATOS!$D8819&amp;"|"&amp;DATOS!$E8819&amp;"|"&amp;DATOS!$I8819)</f>
      </c>
      <c r="G8819">
        <f>IF(DATOS!$A8819="",0,IF(CONFIG_METADATA!$B$4&lt;&gt;"OR+EX",--(DATOS!$G8819=CONFIG_METADATA!$B$4),IF(DATOS!$G8819="EX",1,IF(DATOS!$G8819="OR",--(COUNTIFS(nNIA,DATOS!$A8819,nCURSO,DATOS!$D8819,nESPEC,DATOS!$E8819,nASIG,DATOS!$I8819,nEVAL,"EX")=0),0))))</f>
      </c>
      <c r="H8819">
        <f>IF(DATOS!$G8819&lt;&gt;"EX",0,--(COUNTIFS(nNIA,DATOS!$A8819,nCURSO,DATOS!$D8819,nESPEC,DATOS!$E8819,nASIG,DATOS!$I8819,nEVAL,"OR")=0))</f>
      </c>
      <c r="I8819">
        <f>IF(DATOS!$I8819="","",IFERROR(VLOOKUP(DATOS!$I8819,CONFIG_ASIGNATURAS!$B$2:$J$91,9,FALSE()),""))</f>
      </c>
    </row>
    <row r="8820">
      <c r="F8820">
        <f>IF(DATOS!$A8820="","",DATOS!$A8820&amp;"|"&amp;DATOS!$D8820&amp;"|"&amp;DATOS!$E8820&amp;"|"&amp;DATOS!$I8820)</f>
      </c>
      <c r="G8820">
        <f>IF(DATOS!$A8820="",0,IF(CONFIG_METADATA!$B$4&lt;&gt;"OR+EX",--(DATOS!$G8820=CONFIG_METADATA!$B$4),IF(DATOS!$G8820="EX",1,IF(DATOS!$G8820="OR",--(COUNTIFS(nNIA,DATOS!$A8820,nCURSO,DATOS!$D8820,nESPEC,DATOS!$E8820,nASIG,DATOS!$I8820,nEVAL,"EX")=0),0))))</f>
      </c>
      <c r="H8820">
        <f>IF(DATOS!$G8820&lt;&gt;"EX",0,--(COUNTIFS(nNIA,DATOS!$A8820,nCURSO,DATOS!$D8820,nESPEC,DATOS!$E8820,nASIG,DATOS!$I8820,nEVAL,"OR")=0))</f>
      </c>
      <c r="I8820">
        <f>IF(DATOS!$I8820="","",IFERROR(VLOOKUP(DATOS!$I8820,CONFIG_ASIGNATURAS!$B$2:$J$91,9,FALSE()),""))</f>
      </c>
    </row>
    <row r="8821">
      <c r="F8821">
        <f>IF(DATOS!$A8821="","",DATOS!$A8821&amp;"|"&amp;DATOS!$D8821&amp;"|"&amp;DATOS!$E8821&amp;"|"&amp;DATOS!$I8821)</f>
      </c>
      <c r="G8821">
        <f>IF(DATOS!$A8821="",0,IF(CONFIG_METADATA!$B$4&lt;&gt;"OR+EX",--(DATOS!$G8821=CONFIG_METADATA!$B$4),IF(DATOS!$G8821="EX",1,IF(DATOS!$G8821="OR",--(COUNTIFS(nNIA,DATOS!$A8821,nCURSO,DATOS!$D8821,nESPEC,DATOS!$E8821,nASIG,DATOS!$I8821,nEVAL,"EX")=0),0))))</f>
      </c>
      <c r="H8821">
        <f>IF(DATOS!$G8821&lt;&gt;"EX",0,--(COUNTIFS(nNIA,DATOS!$A8821,nCURSO,DATOS!$D8821,nESPEC,DATOS!$E8821,nASIG,DATOS!$I8821,nEVAL,"OR")=0))</f>
      </c>
      <c r="I8821">
        <f>IF(DATOS!$I8821="","",IFERROR(VLOOKUP(DATOS!$I8821,CONFIG_ASIGNATURAS!$B$2:$J$91,9,FALSE()),""))</f>
      </c>
    </row>
    <row r="8822">
      <c r="F8822">
        <f>IF(DATOS!$A8822="","",DATOS!$A8822&amp;"|"&amp;DATOS!$D8822&amp;"|"&amp;DATOS!$E8822&amp;"|"&amp;DATOS!$I8822)</f>
      </c>
      <c r="G8822">
        <f>IF(DATOS!$A8822="",0,IF(CONFIG_METADATA!$B$4&lt;&gt;"OR+EX",--(DATOS!$G8822=CONFIG_METADATA!$B$4),IF(DATOS!$G8822="EX",1,IF(DATOS!$G8822="OR",--(COUNTIFS(nNIA,DATOS!$A8822,nCURSO,DATOS!$D8822,nESPEC,DATOS!$E8822,nASIG,DATOS!$I8822,nEVAL,"EX")=0),0))))</f>
      </c>
      <c r="H8822">
        <f>IF(DATOS!$G8822&lt;&gt;"EX",0,--(COUNTIFS(nNIA,DATOS!$A8822,nCURSO,DATOS!$D8822,nESPEC,DATOS!$E8822,nASIG,DATOS!$I8822,nEVAL,"OR")=0))</f>
      </c>
      <c r="I8822">
        <f>IF(DATOS!$I8822="","",IFERROR(VLOOKUP(DATOS!$I8822,CONFIG_ASIGNATURAS!$B$2:$J$91,9,FALSE()),""))</f>
      </c>
    </row>
    <row r="8823">
      <c r="F8823">
        <f>IF(DATOS!$A8823="","",DATOS!$A8823&amp;"|"&amp;DATOS!$D8823&amp;"|"&amp;DATOS!$E8823&amp;"|"&amp;DATOS!$I8823)</f>
      </c>
      <c r="G8823">
        <f>IF(DATOS!$A8823="",0,IF(CONFIG_METADATA!$B$4&lt;&gt;"OR+EX",--(DATOS!$G8823=CONFIG_METADATA!$B$4),IF(DATOS!$G8823="EX",1,IF(DATOS!$G8823="OR",--(COUNTIFS(nNIA,DATOS!$A8823,nCURSO,DATOS!$D8823,nESPEC,DATOS!$E8823,nASIG,DATOS!$I8823,nEVAL,"EX")=0),0))))</f>
      </c>
      <c r="H8823">
        <f>IF(DATOS!$G8823&lt;&gt;"EX",0,--(COUNTIFS(nNIA,DATOS!$A8823,nCURSO,DATOS!$D8823,nESPEC,DATOS!$E8823,nASIG,DATOS!$I8823,nEVAL,"OR")=0))</f>
      </c>
      <c r="I8823">
        <f>IF(DATOS!$I8823="","",IFERROR(VLOOKUP(DATOS!$I8823,CONFIG_ASIGNATURAS!$B$2:$J$91,9,FALSE()),""))</f>
      </c>
    </row>
    <row r="8824">
      <c r="F8824">
        <f>IF(DATOS!$A8824="","",DATOS!$A8824&amp;"|"&amp;DATOS!$D8824&amp;"|"&amp;DATOS!$E8824&amp;"|"&amp;DATOS!$I8824)</f>
      </c>
      <c r="G8824">
        <f>IF(DATOS!$A8824="",0,IF(CONFIG_METADATA!$B$4&lt;&gt;"OR+EX",--(DATOS!$G8824=CONFIG_METADATA!$B$4),IF(DATOS!$G8824="EX",1,IF(DATOS!$G8824="OR",--(COUNTIFS(nNIA,DATOS!$A8824,nCURSO,DATOS!$D8824,nESPEC,DATOS!$E8824,nASIG,DATOS!$I8824,nEVAL,"EX")=0),0))))</f>
      </c>
      <c r="H8824">
        <f>IF(DATOS!$G8824&lt;&gt;"EX",0,--(COUNTIFS(nNIA,DATOS!$A8824,nCURSO,DATOS!$D8824,nESPEC,DATOS!$E8824,nASIG,DATOS!$I8824,nEVAL,"OR")=0))</f>
      </c>
      <c r="I8824">
        <f>IF(DATOS!$I8824="","",IFERROR(VLOOKUP(DATOS!$I8824,CONFIG_ASIGNATURAS!$B$2:$J$91,9,FALSE()),""))</f>
      </c>
    </row>
    <row r="8825">
      <c r="F8825">
        <f>IF(DATOS!$A8825="","",DATOS!$A8825&amp;"|"&amp;DATOS!$D8825&amp;"|"&amp;DATOS!$E8825&amp;"|"&amp;DATOS!$I8825)</f>
      </c>
      <c r="G8825">
        <f>IF(DATOS!$A8825="",0,IF(CONFIG_METADATA!$B$4&lt;&gt;"OR+EX",--(DATOS!$G8825=CONFIG_METADATA!$B$4),IF(DATOS!$G8825="EX",1,IF(DATOS!$G8825="OR",--(COUNTIFS(nNIA,DATOS!$A8825,nCURSO,DATOS!$D8825,nESPEC,DATOS!$E8825,nASIG,DATOS!$I8825,nEVAL,"EX")=0),0))))</f>
      </c>
      <c r="H8825">
        <f>IF(DATOS!$G8825&lt;&gt;"EX",0,--(COUNTIFS(nNIA,DATOS!$A8825,nCURSO,DATOS!$D8825,nESPEC,DATOS!$E8825,nASIG,DATOS!$I8825,nEVAL,"OR")=0))</f>
      </c>
      <c r="I8825">
        <f>IF(DATOS!$I8825="","",IFERROR(VLOOKUP(DATOS!$I8825,CONFIG_ASIGNATURAS!$B$2:$J$91,9,FALSE()),""))</f>
      </c>
    </row>
    <row r="8826">
      <c r="F8826">
        <f>IF(DATOS!$A8826="","",DATOS!$A8826&amp;"|"&amp;DATOS!$D8826&amp;"|"&amp;DATOS!$E8826&amp;"|"&amp;DATOS!$I8826)</f>
      </c>
      <c r="G8826">
        <f>IF(DATOS!$A8826="",0,IF(CONFIG_METADATA!$B$4&lt;&gt;"OR+EX",--(DATOS!$G8826=CONFIG_METADATA!$B$4),IF(DATOS!$G8826="EX",1,IF(DATOS!$G8826="OR",--(COUNTIFS(nNIA,DATOS!$A8826,nCURSO,DATOS!$D8826,nESPEC,DATOS!$E8826,nASIG,DATOS!$I8826,nEVAL,"EX")=0),0))))</f>
      </c>
      <c r="H8826">
        <f>IF(DATOS!$G8826&lt;&gt;"EX",0,--(COUNTIFS(nNIA,DATOS!$A8826,nCURSO,DATOS!$D8826,nESPEC,DATOS!$E8826,nASIG,DATOS!$I8826,nEVAL,"OR")=0))</f>
      </c>
      <c r="I8826">
        <f>IF(DATOS!$I8826="","",IFERROR(VLOOKUP(DATOS!$I8826,CONFIG_ASIGNATURAS!$B$2:$J$91,9,FALSE()),""))</f>
      </c>
    </row>
    <row r="8827">
      <c r="F8827">
        <f>IF(DATOS!$A8827="","",DATOS!$A8827&amp;"|"&amp;DATOS!$D8827&amp;"|"&amp;DATOS!$E8827&amp;"|"&amp;DATOS!$I8827)</f>
      </c>
      <c r="G8827">
        <f>IF(DATOS!$A8827="",0,IF(CONFIG_METADATA!$B$4&lt;&gt;"OR+EX",--(DATOS!$G8827=CONFIG_METADATA!$B$4),IF(DATOS!$G8827="EX",1,IF(DATOS!$G8827="OR",--(COUNTIFS(nNIA,DATOS!$A8827,nCURSO,DATOS!$D8827,nESPEC,DATOS!$E8827,nASIG,DATOS!$I8827,nEVAL,"EX")=0),0))))</f>
      </c>
      <c r="H8827">
        <f>IF(DATOS!$G8827&lt;&gt;"EX",0,--(COUNTIFS(nNIA,DATOS!$A8827,nCURSO,DATOS!$D8827,nESPEC,DATOS!$E8827,nASIG,DATOS!$I8827,nEVAL,"OR")=0))</f>
      </c>
      <c r="I8827">
        <f>IF(DATOS!$I8827="","",IFERROR(VLOOKUP(DATOS!$I8827,CONFIG_ASIGNATURAS!$B$2:$J$91,9,FALSE()),""))</f>
      </c>
    </row>
    <row r="8828">
      <c r="F8828">
        <f>IF(DATOS!$A8828="","",DATOS!$A8828&amp;"|"&amp;DATOS!$D8828&amp;"|"&amp;DATOS!$E8828&amp;"|"&amp;DATOS!$I8828)</f>
      </c>
      <c r="G8828">
        <f>IF(DATOS!$A8828="",0,IF(CONFIG_METADATA!$B$4&lt;&gt;"OR+EX",--(DATOS!$G8828=CONFIG_METADATA!$B$4),IF(DATOS!$G8828="EX",1,IF(DATOS!$G8828="OR",--(COUNTIFS(nNIA,DATOS!$A8828,nCURSO,DATOS!$D8828,nESPEC,DATOS!$E8828,nASIG,DATOS!$I8828,nEVAL,"EX")=0),0))))</f>
      </c>
      <c r="H8828">
        <f>IF(DATOS!$G8828&lt;&gt;"EX",0,--(COUNTIFS(nNIA,DATOS!$A8828,nCURSO,DATOS!$D8828,nESPEC,DATOS!$E8828,nASIG,DATOS!$I8828,nEVAL,"OR")=0))</f>
      </c>
      <c r="I8828">
        <f>IF(DATOS!$I8828="","",IFERROR(VLOOKUP(DATOS!$I8828,CONFIG_ASIGNATURAS!$B$2:$J$91,9,FALSE()),""))</f>
      </c>
    </row>
    <row r="8829">
      <c r="F8829">
        <f>IF(DATOS!$A8829="","",DATOS!$A8829&amp;"|"&amp;DATOS!$D8829&amp;"|"&amp;DATOS!$E8829&amp;"|"&amp;DATOS!$I8829)</f>
      </c>
      <c r="G8829">
        <f>IF(DATOS!$A8829="",0,IF(CONFIG_METADATA!$B$4&lt;&gt;"OR+EX",--(DATOS!$G8829=CONFIG_METADATA!$B$4),IF(DATOS!$G8829="EX",1,IF(DATOS!$G8829="OR",--(COUNTIFS(nNIA,DATOS!$A8829,nCURSO,DATOS!$D8829,nESPEC,DATOS!$E8829,nASIG,DATOS!$I8829,nEVAL,"EX")=0),0))))</f>
      </c>
      <c r="H8829">
        <f>IF(DATOS!$G8829&lt;&gt;"EX",0,--(COUNTIFS(nNIA,DATOS!$A8829,nCURSO,DATOS!$D8829,nESPEC,DATOS!$E8829,nASIG,DATOS!$I8829,nEVAL,"OR")=0))</f>
      </c>
      <c r="I8829">
        <f>IF(DATOS!$I8829="","",IFERROR(VLOOKUP(DATOS!$I8829,CONFIG_ASIGNATURAS!$B$2:$J$91,9,FALSE()),""))</f>
      </c>
    </row>
    <row r="8830">
      <c r="F8830">
        <f>IF(DATOS!$A8830="","",DATOS!$A8830&amp;"|"&amp;DATOS!$D8830&amp;"|"&amp;DATOS!$E8830&amp;"|"&amp;DATOS!$I8830)</f>
      </c>
      <c r="G8830">
        <f>IF(DATOS!$A8830="",0,IF(CONFIG_METADATA!$B$4&lt;&gt;"OR+EX",--(DATOS!$G8830=CONFIG_METADATA!$B$4),IF(DATOS!$G8830="EX",1,IF(DATOS!$G8830="OR",--(COUNTIFS(nNIA,DATOS!$A8830,nCURSO,DATOS!$D8830,nESPEC,DATOS!$E8830,nASIG,DATOS!$I8830,nEVAL,"EX")=0),0))))</f>
      </c>
      <c r="H8830">
        <f>IF(DATOS!$G8830&lt;&gt;"EX",0,--(COUNTIFS(nNIA,DATOS!$A8830,nCURSO,DATOS!$D8830,nESPEC,DATOS!$E8830,nASIG,DATOS!$I8830,nEVAL,"OR")=0))</f>
      </c>
      <c r="I8830">
        <f>IF(DATOS!$I8830="","",IFERROR(VLOOKUP(DATOS!$I8830,CONFIG_ASIGNATURAS!$B$2:$J$91,9,FALSE()),""))</f>
      </c>
    </row>
    <row r="8831">
      <c r="F8831">
        <f>IF(DATOS!$A8831="","",DATOS!$A8831&amp;"|"&amp;DATOS!$D8831&amp;"|"&amp;DATOS!$E8831&amp;"|"&amp;DATOS!$I8831)</f>
      </c>
      <c r="G8831">
        <f>IF(DATOS!$A8831="",0,IF(CONFIG_METADATA!$B$4&lt;&gt;"OR+EX",--(DATOS!$G8831=CONFIG_METADATA!$B$4),IF(DATOS!$G8831="EX",1,IF(DATOS!$G8831="OR",--(COUNTIFS(nNIA,DATOS!$A8831,nCURSO,DATOS!$D8831,nESPEC,DATOS!$E8831,nASIG,DATOS!$I8831,nEVAL,"EX")=0),0))))</f>
      </c>
      <c r="H8831">
        <f>IF(DATOS!$G8831&lt;&gt;"EX",0,--(COUNTIFS(nNIA,DATOS!$A8831,nCURSO,DATOS!$D8831,nESPEC,DATOS!$E8831,nASIG,DATOS!$I8831,nEVAL,"OR")=0))</f>
      </c>
      <c r="I8831">
        <f>IF(DATOS!$I8831="","",IFERROR(VLOOKUP(DATOS!$I8831,CONFIG_ASIGNATURAS!$B$2:$J$91,9,FALSE()),""))</f>
      </c>
    </row>
    <row r="8832">
      <c r="F8832">
        <f>IF(DATOS!$A8832="","",DATOS!$A8832&amp;"|"&amp;DATOS!$D8832&amp;"|"&amp;DATOS!$E8832&amp;"|"&amp;DATOS!$I8832)</f>
      </c>
      <c r="G8832">
        <f>IF(DATOS!$A8832="",0,IF(CONFIG_METADATA!$B$4&lt;&gt;"OR+EX",--(DATOS!$G8832=CONFIG_METADATA!$B$4),IF(DATOS!$G8832="EX",1,IF(DATOS!$G8832="OR",--(COUNTIFS(nNIA,DATOS!$A8832,nCURSO,DATOS!$D8832,nESPEC,DATOS!$E8832,nASIG,DATOS!$I8832,nEVAL,"EX")=0),0))))</f>
      </c>
      <c r="H8832">
        <f>IF(DATOS!$G8832&lt;&gt;"EX",0,--(COUNTIFS(nNIA,DATOS!$A8832,nCURSO,DATOS!$D8832,nESPEC,DATOS!$E8832,nASIG,DATOS!$I8832,nEVAL,"OR")=0))</f>
      </c>
      <c r="I8832">
        <f>IF(DATOS!$I8832="","",IFERROR(VLOOKUP(DATOS!$I8832,CONFIG_ASIGNATURAS!$B$2:$J$91,9,FALSE()),""))</f>
      </c>
    </row>
    <row r="8833">
      <c r="F8833">
        <f>IF(DATOS!$A8833="","",DATOS!$A8833&amp;"|"&amp;DATOS!$D8833&amp;"|"&amp;DATOS!$E8833&amp;"|"&amp;DATOS!$I8833)</f>
      </c>
      <c r="G8833">
        <f>IF(DATOS!$A8833="",0,IF(CONFIG_METADATA!$B$4&lt;&gt;"OR+EX",--(DATOS!$G8833=CONFIG_METADATA!$B$4),IF(DATOS!$G8833="EX",1,IF(DATOS!$G8833="OR",--(COUNTIFS(nNIA,DATOS!$A8833,nCURSO,DATOS!$D8833,nESPEC,DATOS!$E8833,nASIG,DATOS!$I8833,nEVAL,"EX")=0),0))))</f>
      </c>
      <c r="H8833">
        <f>IF(DATOS!$G8833&lt;&gt;"EX",0,--(COUNTIFS(nNIA,DATOS!$A8833,nCURSO,DATOS!$D8833,nESPEC,DATOS!$E8833,nASIG,DATOS!$I8833,nEVAL,"OR")=0))</f>
      </c>
      <c r="I8833">
        <f>IF(DATOS!$I8833="","",IFERROR(VLOOKUP(DATOS!$I8833,CONFIG_ASIGNATURAS!$B$2:$J$91,9,FALSE()),""))</f>
      </c>
    </row>
    <row r="8834">
      <c r="F8834">
        <f>IF(DATOS!$A8834="","",DATOS!$A8834&amp;"|"&amp;DATOS!$D8834&amp;"|"&amp;DATOS!$E8834&amp;"|"&amp;DATOS!$I8834)</f>
      </c>
      <c r="G8834">
        <f>IF(DATOS!$A8834="",0,IF(CONFIG_METADATA!$B$4&lt;&gt;"OR+EX",--(DATOS!$G8834=CONFIG_METADATA!$B$4),IF(DATOS!$G8834="EX",1,IF(DATOS!$G8834="OR",--(COUNTIFS(nNIA,DATOS!$A8834,nCURSO,DATOS!$D8834,nESPEC,DATOS!$E8834,nASIG,DATOS!$I8834,nEVAL,"EX")=0),0))))</f>
      </c>
      <c r="H8834">
        <f>IF(DATOS!$G8834&lt;&gt;"EX",0,--(COUNTIFS(nNIA,DATOS!$A8834,nCURSO,DATOS!$D8834,nESPEC,DATOS!$E8834,nASIG,DATOS!$I8834,nEVAL,"OR")=0))</f>
      </c>
      <c r="I8834">
        <f>IF(DATOS!$I8834="","",IFERROR(VLOOKUP(DATOS!$I8834,CONFIG_ASIGNATURAS!$B$2:$J$91,9,FALSE()),""))</f>
      </c>
    </row>
    <row r="8835">
      <c r="F8835">
        <f>IF(DATOS!$A8835="","",DATOS!$A8835&amp;"|"&amp;DATOS!$D8835&amp;"|"&amp;DATOS!$E8835&amp;"|"&amp;DATOS!$I8835)</f>
      </c>
      <c r="G8835">
        <f>IF(DATOS!$A8835="",0,IF(CONFIG_METADATA!$B$4&lt;&gt;"OR+EX",--(DATOS!$G8835=CONFIG_METADATA!$B$4),IF(DATOS!$G8835="EX",1,IF(DATOS!$G8835="OR",--(COUNTIFS(nNIA,DATOS!$A8835,nCURSO,DATOS!$D8835,nESPEC,DATOS!$E8835,nASIG,DATOS!$I8835,nEVAL,"EX")=0),0))))</f>
      </c>
      <c r="H8835">
        <f>IF(DATOS!$G8835&lt;&gt;"EX",0,--(COUNTIFS(nNIA,DATOS!$A8835,nCURSO,DATOS!$D8835,nESPEC,DATOS!$E8835,nASIG,DATOS!$I8835,nEVAL,"OR")=0))</f>
      </c>
      <c r="I8835">
        <f>IF(DATOS!$I8835="","",IFERROR(VLOOKUP(DATOS!$I8835,CONFIG_ASIGNATURAS!$B$2:$J$91,9,FALSE()),""))</f>
      </c>
    </row>
    <row r="8836">
      <c r="F8836">
        <f>IF(DATOS!$A8836="","",DATOS!$A8836&amp;"|"&amp;DATOS!$D8836&amp;"|"&amp;DATOS!$E8836&amp;"|"&amp;DATOS!$I8836)</f>
      </c>
      <c r="G8836">
        <f>IF(DATOS!$A8836="",0,IF(CONFIG_METADATA!$B$4&lt;&gt;"OR+EX",--(DATOS!$G8836=CONFIG_METADATA!$B$4),IF(DATOS!$G8836="EX",1,IF(DATOS!$G8836="OR",--(COUNTIFS(nNIA,DATOS!$A8836,nCURSO,DATOS!$D8836,nESPEC,DATOS!$E8836,nASIG,DATOS!$I8836,nEVAL,"EX")=0),0))))</f>
      </c>
      <c r="H8836">
        <f>IF(DATOS!$G8836&lt;&gt;"EX",0,--(COUNTIFS(nNIA,DATOS!$A8836,nCURSO,DATOS!$D8836,nESPEC,DATOS!$E8836,nASIG,DATOS!$I8836,nEVAL,"OR")=0))</f>
      </c>
      <c r="I8836">
        <f>IF(DATOS!$I8836="","",IFERROR(VLOOKUP(DATOS!$I8836,CONFIG_ASIGNATURAS!$B$2:$J$91,9,FALSE()),""))</f>
      </c>
    </row>
    <row r="8837">
      <c r="F8837">
        <f>IF(DATOS!$A8837="","",DATOS!$A8837&amp;"|"&amp;DATOS!$D8837&amp;"|"&amp;DATOS!$E8837&amp;"|"&amp;DATOS!$I8837)</f>
      </c>
      <c r="G8837">
        <f>IF(DATOS!$A8837="",0,IF(CONFIG_METADATA!$B$4&lt;&gt;"OR+EX",--(DATOS!$G8837=CONFIG_METADATA!$B$4),IF(DATOS!$G8837="EX",1,IF(DATOS!$G8837="OR",--(COUNTIFS(nNIA,DATOS!$A8837,nCURSO,DATOS!$D8837,nESPEC,DATOS!$E8837,nASIG,DATOS!$I8837,nEVAL,"EX")=0),0))))</f>
      </c>
      <c r="H8837">
        <f>IF(DATOS!$G8837&lt;&gt;"EX",0,--(COUNTIFS(nNIA,DATOS!$A8837,nCURSO,DATOS!$D8837,nESPEC,DATOS!$E8837,nASIG,DATOS!$I8837,nEVAL,"OR")=0))</f>
      </c>
      <c r="I8837">
        <f>IF(DATOS!$I8837="","",IFERROR(VLOOKUP(DATOS!$I8837,CONFIG_ASIGNATURAS!$B$2:$J$91,9,FALSE()),""))</f>
      </c>
    </row>
    <row r="8838">
      <c r="F8838">
        <f>IF(DATOS!$A8838="","",DATOS!$A8838&amp;"|"&amp;DATOS!$D8838&amp;"|"&amp;DATOS!$E8838&amp;"|"&amp;DATOS!$I8838)</f>
      </c>
      <c r="G8838">
        <f>IF(DATOS!$A8838="",0,IF(CONFIG_METADATA!$B$4&lt;&gt;"OR+EX",--(DATOS!$G8838=CONFIG_METADATA!$B$4),IF(DATOS!$G8838="EX",1,IF(DATOS!$G8838="OR",--(COUNTIFS(nNIA,DATOS!$A8838,nCURSO,DATOS!$D8838,nESPEC,DATOS!$E8838,nASIG,DATOS!$I8838,nEVAL,"EX")=0),0))))</f>
      </c>
      <c r="H8838">
        <f>IF(DATOS!$G8838&lt;&gt;"EX",0,--(COUNTIFS(nNIA,DATOS!$A8838,nCURSO,DATOS!$D8838,nESPEC,DATOS!$E8838,nASIG,DATOS!$I8838,nEVAL,"OR")=0))</f>
      </c>
      <c r="I8838">
        <f>IF(DATOS!$I8838="","",IFERROR(VLOOKUP(DATOS!$I8838,CONFIG_ASIGNATURAS!$B$2:$J$91,9,FALSE()),""))</f>
      </c>
    </row>
    <row r="8839">
      <c r="F8839">
        <f>IF(DATOS!$A8839="","",DATOS!$A8839&amp;"|"&amp;DATOS!$D8839&amp;"|"&amp;DATOS!$E8839&amp;"|"&amp;DATOS!$I8839)</f>
      </c>
      <c r="G8839">
        <f>IF(DATOS!$A8839="",0,IF(CONFIG_METADATA!$B$4&lt;&gt;"OR+EX",--(DATOS!$G8839=CONFIG_METADATA!$B$4),IF(DATOS!$G8839="EX",1,IF(DATOS!$G8839="OR",--(COUNTIFS(nNIA,DATOS!$A8839,nCURSO,DATOS!$D8839,nESPEC,DATOS!$E8839,nASIG,DATOS!$I8839,nEVAL,"EX")=0),0))))</f>
      </c>
      <c r="H8839">
        <f>IF(DATOS!$G8839&lt;&gt;"EX",0,--(COUNTIFS(nNIA,DATOS!$A8839,nCURSO,DATOS!$D8839,nESPEC,DATOS!$E8839,nASIG,DATOS!$I8839,nEVAL,"OR")=0))</f>
      </c>
      <c r="I8839">
        <f>IF(DATOS!$I8839="","",IFERROR(VLOOKUP(DATOS!$I8839,CONFIG_ASIGNATURAS!$B$2:$J$91,9,FALSE()),""))</f>
      </c>
    </row>
    <row r="8840">
      <c r="F8840">
        <f>IF(DATOS!$A8840="","",DATOS!$A8840&amp;"|"&amp;DATOS!$D8840&amp;"|"&amp;DATOS!$E8840&amp;"|"&amp;DATOS!$I8840)</f>
      </c>
      <c r="G8840">
        <f>IF(DATOS!$A8840="",0,IF(CONFIG_METADATA!$B$4&lt;&gt;"OR+EX",--(DATOS!$G8840=CONFIG_METADATA!$B$4),IF(DATOS!$G8840="EX",1,IF(DATOS!$G8840="OR",--(COUNTIFS(nNIA,DATOS!$A8840,nCURSO,DATOS!$D8840,nESPEC,DATOS!$E8840,nASIG,DATOS!$I8840,nEVAL,"EX")=0),0))))</f>
      </c>
      <c r="H8840">
        <f>IF(DATOS!$G8840&lt;&gt;"EX",0,--(COUNTIFS(nNIA,DATOS!$A8840,nCURSO,DATOS!$D8840,nESPEC,DATOS!$E8840,nASIG,DATOS!$I8840,nEVAL,"OR")=0))</f>
      </c>
      <c r="I8840">
        <f>IF(DATOS!$I8840="","",IFERROR(VLOOKUP(DATOS!$I8840,CONFIG_ASIGNATURAS!$B$2:$J$91,9,FALSE()),""))</f>
      </c>
    </row>
    <row r="8841">
      <c r="F8841">
        <f>IF(DATOS!$A8841="","",DATOS!$A8841&amp;"|"&amp;DATOS!$D8841&amp;"|"&amp;DATOS!$E8841&amp;"|"&amp;DATOS!$I8841)</f>
      </c>
      <c r="G8841">
        <f>IF(DATOS!$A8841="",0,IF(CONFIG_METADATA!$B$4&lt;&gt;"OR+EX",--(DATOS!$G8841=CONFIG_METADATA!$B$4),IF(DATOS!$G8841="EX",1,IF(DATOS!$G8841="OR",--(COUNTIFS(nNIA,DATOS!$A8841,nCURSO,DATOS!$D8841,nESPEC,DATOS!$E8841,nASIG,DATOS!$I8841,nEVAL,"EX")=0),0))))</f>
      </c>
      <c r="H8841">
        <f>IF(DATOS!$G8841&lt;&gt;"EX",0,--(COUNTIFS(nNIA,DATOS!$A8841,nCURSO,DATOS!$D8841,nESPEC,DATOS!$E8841,nASIG,DATOS!$I8841,nEVAL,"OR")=0))</f>
      </c>
      <c r="I8841">
        <f>IF(DATOS!$I8841="","",IFERROR(VLOOKUP(DATOS!$I8841,CONFIG_ASIGNATURAS!$B$2:$J$91,9,FALSE()),""))</f>
      </c>
    </row>
    <row r="8842">
      <c r="F8842">
        <f>IF(DATOS!$A8842="","",DATOS!$A8842&amp;"|"&amp;DATOS!$D8842&amp;"|"&amp;DATOS!$E8842&amp;"|"&amp;DATOS!$I8842)</f>
      </c>
      <c r="G8842">
        <f>IF(DATOS!$A8842="",0,IF(CONFIG_METADATA!$B$4&lt;&gt;"OR+EX",--(DATOS!$G8842=CONFIG_METADATA!$B$4),IF(DATOS!$G8842="EX",1,IF(DATOS!$G8842="OR",--(COUNTIFS(nNIA,DATOS!$A8842,nCURSO,DATOS!$D8842,nESPEC,DATOS!$E8842,nASIG,DATOS!$I8842,nEVAL,"EX")=0),0))))</f>
      </c>
      <c r="H8842">
        <f>IF(DATOS!$G8842&lt;&gt;"EX",0,--(COUNTIFS(nNIA,DATOS!$A8842,nCURSO,DATOS!$D8842,nESPEC,DATOS!$E8842,nASIG,DATOS!$I8842,nEVAL,"OR")=0))</f>
      </c>
      <c r="I8842">
        <f>IF(DATOS!$I8842="","",IFERROR(VLOOKUP(DATOS!$I8842,CONFIG_ASIGNATURAS!$B$2:$J$91,9,FALSE()),""))</f>
      </c>
    </row>
    <row r="8843">
      <c r="F8843">
        <f>IF(DATOS!$A8843="","",DATOS!$A8843&amp;"|"&amp;DATOS!$D8843&amp;"|"&amp;DATOS!$E8843&amp;"|"&amp;DATOS!$I8843)</f>
      </c>
      <c r="G8843">
        <f>IF(DATOS!$A8843="",0,IF(CONFIG_METADATA!$B$4&lt;&gt;"OR+EX",--(DATOS!$G8843=CONFIG_METADATA!$B$4),IF(DATOS!$G8843="EX",1,IF(DATOS!$G8843="OR",--(COUNTIFS(nNIA,DATOS!$A8843,nCURSO,DATOS!$D8843,nESPEC,DATOS!$E8843,nASIG,DATOS!$I8843,nEVAL,"EX")=0),0))))</f>
      </c>
      <c r="H8843">
        <f>IF(DATOS!$G8843&lt;&gt;"EX",0,--(COUNTIFS(nNIA,DATOS!$A8843,nCURSO,DATOS!$D8843,nESPEC,DATOS!$E8843,nASIG,DATOS!$I8843,nEVAL,"OR")=0))</f>
      </c>
      <c r="I8843">
        <f>IF(DATOS!$I8843="","",IFERROR(VLOOKUP(DATOS!$I8843,CONFIG_ASIGNATURAS!$B$2:$J$91,9,FALSE()),""))</f>
      </c>
    </row>
    <row r="8844">
      <c r="F8844">
        <f>IF(DATOS!$A8844="","",DATOS!$A8844&amp;"|"&amp;DATOS!$D8844&amp;"|"&amp;DATOS!$E8844&amp;"|"&amp;DATOS!$I8844)</f>
      </c>
      <c r="G8844">
        <f>IF(DATOS!$A8844="",0,IF(CONFIG_METADATA!$B$4&lt;&gt;"OR+EX",--(DATOS!$G8844=CONFIG_METADATA!$B$4),IF(DATOS!$G8844="EX",1,IF(DATOS!$G8844="OR",--(COUNTIFS(nNIA,DATOS!$A8844,nCURSO,DATOS!$D8844,nESPEC,DATOS!$E8844,nASIG,DATOS!$I8844,nEVAL,"EX")=0),0))))</f>
      </c>
      <c r="H8844">
        <f>IF(DATOS!$G8844&lt;&gt;"EX",0,--(COUNTIFS(nNIA,DATOS!$A8844,nCURSO,DATOS!$D8844,nESPEC,DATOS!$E8844,nASIG,DATOS!$I8844,nEVAL,"OR")=0))</f>
      </c>
      <c r="I8844">
        <f>IF(DATOS!$I8844="","",IFERROR(VLOOKUP(DATOS!$I8844,CONFIG_ASIGNATURAS!$B$2:$J$91,9,FALSE()),""))</f>
      </c>
    </row>
    <row r="8845">
      <c r="F8845">
        <f>IF(DATOS!$A8845="","",DATOS!$A8845&amp;"|"&amp;DATOS!$D8845&amp;"|"&amp;DATOS!$E8845&amp;"|"&amp;DATOS!$I8845)</f>
      </c>
      <c r="G8845">
        <f>IF(DATOS!$A8845="",0,IF(CONFIG_METADATA!$B$4&lt;&gt;"OR+EX",--(DATOS!$G8845=CONFIG_METADATA!$B$4),IF(DATOS!$G8845="EX",1,IF(DATOS!$G8845="OR",--(COUNTIFS(nNIA,DATOS!$A8845,nCURSO,DATOS!$D8845,nESPEC,DATOS!$E8845,nASIG,DATOS!$I8845,nEVAL,"EX")=0),0))))</f>
      </c>
      <c r="H8845">
        <f>IF(DATOS!$G8845&lt;&gt;"EX",0,--(COUNTIFS(nNIA,DATOS!$A8845,nCURSO,DATOS!$D8845,nESPEC,DATOS!$E8845,nASIG,DATOS!$I8845,nEVAL,"OR")=0))</f>
      </c>
      <c r="I8845">
        <f>IF(DATOS!$I8845="","",IFERROR(VLOOKUP(DATOS!$I8845,CONFIG_ASIGNATURAS!$B$2:$J$91,9,FALSE()),""))</f>
      </c>
    </row>
    <row r="8846">
      <c r="F8846">
        <f>IF(DATOS!$A8846="","",DATOS!$A8846&amp;"|"&amp;DATOS!$D8846&amp;"|"&amp;DATOS!$E8846&amp;"|"&amp;DATOS!$I8846)</f>
      </c>
      <c r="G8846">
        <f>IF(DATOS!$A8846="",0,IF(CONFIG_METADATA!$B$4&lt;&gt;"OR+EX",--(DATOS!$G8846=CONFIG_METADATA!$B$4),IF(DATOS!$G8846="EX",1,IF(DATOS!$G8846="OR",--(COUNTIFS(nNIA,DATOS!$A8846,nCURSO,DATOS!$D8846,nESPEC,DATOS!$E8846,nASIG,DATOS!$I8846,nEVAL,"EX")=0),0))))</f>
      </c>
      <c r="H8846">
        <f>IF(DATOS!$G8846&lt;&gt;"EX",0,--(COUNTIFS(nNIA,DATOS!$A8846,nCURSO,DATOS!$D8846,nESPEC,DATOS!$E8846,nASIG,DATOS!$I8846,nEVAL,"OR")=0))</f>
      </c>
      <c r="I8846">
        <f>IF(DATOS!$I8846="","",IFERROR(VLOOKUP(DATOS!$I8846,CONFIG_ASIGNATURAS!$B$2:$J$91,9,FALSE()),""))</f>
      </c>
    </row>
    <row r="8847">
      <c r="F8847">
        <f>IF(DATOS!$A8847="","",DATOS!$A8847&amp;"|"&amp;DATOS!$D8847&amp;"|"&amp;DATOS!$E8847&amp;"|"&amp;DATOS!$I8847)</f>
      </c>
      <c r="G8847">
        <f>IF(DATOS!$A8847="",0,IF(CONFIG_METADATA!$B$4&lt;&gt;"OR+EX",--(DATOS!$G8847=CONFIG_METADATA!$B$4),IF(DATOS!$G8847="EX",1,IF(DATOS!$G8847="OR",--(COUNTIFS(nNIA,DATOS!$A8847,nCURSO,DATOS!$D8847,nESPEC,DATOS!$E8847,nASIG,DATOS!$I8847,nEVAL,"EX")=0),0))))</f>
      </c>
      <c r="H8847">
        <f>IF(DATOS!$G8847&lt;&gt;"EX",0,--(COUNTIFS(nNIA,DATOS!$A8847,nCURSO,DATOS!$D8847,nESPEC,DATOS!$E8847,nASIG,DATOS!$I8847,nEVAL,"OR")=0))</f>
      </c>
      <c r="I8847">
        <f>IF(DATOS!$I8847="","",IFERROR(VLOOKUP(DATOS!$I8847,CONFIG_ASIGNATURAS!$B$2:$J$91,9,FALSE()),""))</f>
      </c>
    </row>
    <row r="8848">
      <c r="F8848">
        <f>IF(DATOS!$A8848="","",DATOS!$A8848&amp;"|"&amp;DATOS!$D8848&amp;"|"&amp;DATOS!$E8848&amp;"|"&amp;DATOS!$I8848)</f>
      </c>
      <c r="G8848">
        <f>IF(DATOS!$A8848="",0,IF(CONFIG_METADATA!$B$4&lt;&gt;"OR+EX",--(DATOS!$G8848=CONFIG_METADATA!$B$4),IF(DATOS!$G8848="EX",1,IF(DATOS!$G8848="OR",--(COUNTIFS(nNIA,DATOS!$A8848,nCURSO,DATOS!$D8848,nESPEC,DATOS!$E8848,nASIG,DATOS!$I8848,nEVAL,"EX")=0),0))))</f>
      </c>
      <c r="H8848">
        <f>IF(DATOS!$G8848&lt;&gt;"EX",0,--(COUNTIFS(nNIA,DATOS!$A8848,nCURSO,DATOS!$D8848,nESPEC,DATOS!$E8848,nASIG,DATOS!$I8848,nEVAL,"OR")=0))</f>
      </c>
      <c r="I8848">
        <f>IF(DATOS!$I8848="","",IFERROR(VLOOKUP(DATOS!$I8848,CONFIG_ASIGNATURAS!$B$2:$J$91,9,FALSE()),""))</f>
      </c>
    </row>
    <row r="8849">
      <c r="F8849">
        <f>IF(DATOS!$A8849="","",DATOS!$A8849&amp;"|"&amp;DATOS!$D8849&amp;"|"&amp;DATOS!$E8849&amp;"|"&amp;DATOS!$I8849)</f>
      </c>
      <c r="G8849">
        <f>IF(DATOS!$A8849="",0,IF(CONFIG_METADATA!$B$4&lt;&gt;"OR+EX",--(DATOS!$G8849=CONFIG_METADATA!$B$4),IF(DATOS!$G8849="EX",1,IF(DATOS!$G8849="OR",--(COUNTIFS(nNIA,DATOS!$A8849,nCURSO,DATOS!$D8849,nESPEC,DATOS!$E8849,nASIG,DATOS!$I8849,nEVAL,"EX")=0),0))))</f>
      </c>
      <c r="H8849">
        <f>IF(DATOS!$G8849&lt;&gt;"EX",0,--(COUNTIFS(nNIA,DATOS!$A8849,nCURSO,DATOS!$D8849,nESPEC,DATOS!$E8849,nASIG,DATOS!$I8849,nEVAL,"OR")=0))</f>
      </c>
      <c r="I8849">
        <f>IF(DATOS!$I8849="","",IFERROR(VLOOKUP(DATOS!$I8849,CONFIG_ASIGNATURAS!$B$2:$J$91,9,FALSE()),""))</f>
      </c>
    </row>
    <row r="8850">
      <c r="F8850">
        <f>IF(DATOS!$A8850="","",DATOS!$A8850&amp;"|"&amp;DATOS!$D8850&amp;"|"&amp;DATOS!$E8850&amp;"|"&amp;DATOS!$I8850)</f>
      </c>
      <c r="G8850">
        <f>IF(DATOS!$A8850="",0,IF(CONFIG_METADATA!$B$4&lt;&gt;"OR+EX",--(DATOS!$G8850=CONFIG_METADATA!$B$4),IF(DATOS!$G8850="EX",1,IF(DATOS!$G8850="OR",--(COUNTIFS(nNIA,DATOS!$A8850,nCURSO,DATOS!$D8850,nESPEC,DATOS!$E8850,nASIG,DATOS!$I8850,nEVAL,"EX")=0),0))))</f>
      </c>
      <c r="H8850">
        <f>IF(DATOS!$G8850&lt;&gt;"EX",0,--(COUNTIFS(nNIA,DATOS!$A8850,nCURSO,DATOS!$D8850,nESPEC,DATOS!$E8850,nASIG,DATOS!$I8850,nEVAL,"OR")=0))</f>
      </c>
      <c r="I8850">
        <f>IF(DATOS!$I8850="","",IFERROR(VLOOKUP(DATOS!$I8850,CONFIG_ASIGNATURAS!$B$2:$J$91,9,FALSE()),""))</f>
      </c>
    </row>
    <row r="8851">
      <c r="F8851">
        <f>IF(DATOS!$A8851="","",DATOS!$A8851&amp;"|"&amp;DATOS!$D8851&amp;"|"&amp;DATOS!$E8851&amp;"|"&amp;DATOS!$I8851)</f>
      </c>
      <c r="G8851">
        <f>IF(DATOS!$A8851="",0,IF(CONFIG_METADATA!$B$4&lt;&gt;"OR+EX",--(DATOS!$G8851=CONFIG_METADATA!$B$4),IF(DATOS!$G8851="EX",1,IF(DATOS!$G8851="OR",--(COUNTIFS(nNIA,DATOS!$A8851,nCURSO,DATOS!$D8851,nESPEC,DATOS!$E8851,nASIG,DATOS!$I8851,nEVAL,"EX")=0),0))))</f>
      </c>
      <c r="H8851">
        <f>IF(DATOS!$G8851&lt;&gt;"EX",0,--(COUNTIFS(nNIA,DATOS!$A8851,nCURSO,DATOS!$D8851,nESPEC,DATOS!$E8851,nASIG,DATOS!$I8851,nEVAL,"OR")=0))</f>
      </c>
      <c r="I8851">
        <f>IF(DATOS!$I8851="","",IFERROR(VLOOKUP(DATOS!$I8851,CONFIG_ASIGNATURAS!$B$2:$J$91,9,FALSE()),""))</f>
      </c>
    </row>
    <row r="8852">
      <c r="F8852">
        <f>IF(DATOS!$A8852="","",DATOS!$A8852&amp;"|"&amp;DATOS!$D8852&amp;"|"&amp;DATOS!$E8852&amp;"|"&amp;DATOS!$I8852)</f>
      </c>
      <c r="G8852">
        <f>IF(DATOS!$A8852="",0,IF(CONFIG_METADATA!$B$4&lt;&gt;"OR+EX",--(DATOS!$G8852=CONFIG_METADATA!$B$4),IF(DATOS!$G8852="EX",1,IF(DATOS!$G8852="OR",--(COUNTIFS(nNIA,DATOS!$A8852,nCURSO,DATOS!$D8852,nESPEC,DATOS!$E8852,nASIG,DATOS!$I8852,nEVAL,"EX")=0),0))))</f>
      </c>
      <c r="H8852">
        <f>IF(DATOS!$G8852&lt;&gt;"EX",0,--(COUNTIFS(nNIA,DATOS!$A8852,nCURSO,DATOS!$D8852,nESPEC,DATOS!$E8852,nASIG,DATOS!$I8852,nEVAL,"OR")=0))</f>
      </c>
      <c r="I8852">
        <f>IF(DATOS!$I8852="","",IFERROR(VLOOKUP(DATOS!$I8852,CONFIG_ASIGNATURAS!$B$2:$J$91,9,FALSE()),""))</f>
      </c>
    </row>
    <row r="8853">
      <c r="F8853">
        <f>IF(DATOS!$A8853="","",DATOS!$A8853&amp;"|"&amp;DATOS!$D8853&amp;"|"&amp;DATOS!$E8853&amp;"|"&amp;DATOS!$I8853)</f>
      </c>
      <c r="G8853">
        <f>IF(DATOS!$A8853="",0,IF(CONFIG_METADATA!$B$4&lt;&gt;"OR+EX",--(DATOS!$G8853=CONFIG_METADATA!$B$4),IF(DATOS!$G8853="EX",1,IF(DATOS!$G8853="OR",--(COUNTIFS(nNIA,DATOS!$A8853,nCURSO,DATOS!$D8853,nESPEC,DATOS!$E8853,nASIG,DATOS!$I8853,nEVAL,"EX")=0),0))))</f>
      </c>
      <c r="H8853">
        <f>IF(DATOS!$G8853&lt;&gt;"EX",0,--(COUNTIFS(nNIA,DATOS!$A8853,nCURSO,DATOS!$D8853,nESPEC,DATOS!$E8853,nASIG,DATOS!$I8853,nEVAL,"OR")=0))</f>
      </c>
      <c r="I8853">
        <f>IF(DATOS!$I8853="","",IFERROR(VLOOKUP(DATOS!$I8853,CONFIG_ASIGNATURAS!$B$2:$J$91,9,FALSE()),""))</f>
      </c>
    </row>
    <row r="8854">
      <c r="F8854">
        <f>IF(DATOS!$A8854="","",DATOS!$A8854&amp;"|"&amp;DATOS!$D8854&amp;"|"&amp;DATOS!$E8854&amp;"|"&amp;DATOS!$I8854)</f>
      </c>
      <c r="G8854">
        <f>IF(DATOS!$A8854="",0,IF(CONFIG_METADATA!$B$4&lt;&gt;"OR+EX",--(DATOS!$G8854=CONFIG_METADATA!$B$4),IF(DATOS!$G8854="EX",1,IF(DATOS!$G8854="OR",--(COUNTIFS(nNIA,DATOS!$A8854,nCURSO,DATOS!$D8854,nESPEC,DATOS!$E8854,nASIG,DATOS!$I8854,nEVAL,"EX")=0),0))))</f>
      </c>
      <c r="H8854">
        <f>IF(DATOS!$G8854&lt;&gt;"EX",0,--(COUNTIFS(nNIA,DATOS!$A8854,nCURSO,DATOS!$D8854,nESPEC,DATOS!$E8854,nASIG,DATOS!$I8854,nEVAL,"OR")=0))</f>
      </c>
      <c r="I8854">
        <f>IF(DATOS!$I8854="","",IFERROR(VLOOKUP(DATOS!$I8854,CONFIG_ASIGNATURAS!$B$2:$J$91,9,FALSE()),""))</f>
      </c>
    </row>
    <row r="8855">
      <c r="F8855">
        <f>IF(DATOS!$A8855="","",DATOS!$A8855&amp;"|"&amp;DATOS!$D8855&amp;"|"&amp;DATOS!$E8855&amp;"|"&amp;DATOS!$I8855)</f>
      </c>
      <c r="G8855">
        <f>IF(DATOS!$A8855="",0,IF(CONFIG_METADATA!$B$4&lt;&gt;"OR+EX",--(DATOS!$G8855=CONFIG_METADATA!$B$4),IF(DATOS!$G8855="EX",1,IF(DATOS!$G8855="OR",--(COUNTIFS(nNIA,DATOS!$A8855,nCURSO,DATOS!$D8855,nESPEC,DATOS!$E8855,nASIG,DATOS!$I8855,nEVAL,"EX")=0),0))))</f>
      </c>
      <c r="H8855">
        <f>IF(DATOS!$G8855&lt;&gt;"EX",0,--(COUNTIFS(nNIA,DATOS!$A8855,nCURSO,DATOS!$D8855,nESPEC,DATOS!$E8855,nASIG,DATOS!$I8855,nEVAL,"OR")=0))</f>
      </c>
      <c r="I8855">
        <f>IF(DATOS!$I8855="","",IFERROR(VLOOKUP(DATOS!$I8855,CONFIG_ASIGNATURAS!$B$2:$J$91,9,FALSE()),""))</f>
      </c>
    </row>
    <row r="8856">
      <c r="F8856">
        <f>IF(DATOS!$A8856="","",DATOS!$A8856&amp;"|"&amp;DATOS!$D8856&amp;"|"&amp;DATOS!$E8856&amp;"|"&amp;DATOS!$I8856)</f>
      </c>
      <c r="G8856">
        <f>IF(DATOS!$A8856="",0,IF(CONFIG_METADATA!$B$4&lt;&gt;"OR+EX",--(DATOS!$G8856=CONFIG_METADATA!$B$4),IF(DATOS!$G8856="EX",1,IF(DATOS!$G8856="OR",--(COUNTIFS(nNIA,DATOS!$A8856,nCURSO,DATOS!$D8856,nESPEC,DATOS!$E8856,nASIG,DATOS!$I8856,nEVAL,"EX")=0),0))))</f>
      </c>
      <c r="H8856">
        <f>IF(DATOS!$G8856&lt;&gt;"EX",0,--(COUNTIFS(nNIA,DATOS!$A8856,nCURSO,DATOS!$D8856,nESPEC,DATOS!$E8856,nASIG,DATOS!$I8856,nEVAL,"OR")=0))</f>
      </c>
      <c r="I8856">
        <f>IF(DATOS!$I8856="","",IFERROR(VLOOKUP(DATOS!$I8856,CONFIG_ASIGNATURAS!$B$2:$J$91,9,FALSE()),""))</f>
      </c>
    </row>
    <row r="8857">
      <c r="F8857">
        <f>IF(DATOS!$A8857="","",DATOS!$A8857&amp;"|"&amp;DATOS!$D8857&amp;"|"&amp;DATOS!$E8857&amp;"|"&amp;DATOS!$I8857)</f>
      </c>
      <c r="G8857">
        <f>IF(DATOS!$A8857="",0,IF(CONFIG_METADATA!$B$4&lt;&gt;"OR+EX",--(DATOS!$G8857=CONFIG_METADATA!$B$4),IF(DATOS!$G8857="EX",1,IF(DATOS!$G8857="OR",--(COUNTIFS(nNIA,DATOS!$A8857,nCURSO,DATOS!$D8857,nESPEC,DATOS!$E8857,nASIG,DATOS!$I8857,nEVAL,"EX")=0),0))))</f>
      </c>
      <c r="H8857">
        <f>IF(DATOS!$G8857&lt;&gt;"EX",0,--(COUNTIFS(nNIA,DATOS!$A8857,nCURSO,DATOS!$D8857,nESPEC,DATOS!$E8857,nASIG,DATOS!$I8857,nEVAL,"OR")=0))</f>
      </c>
      <c r="I8857">
        <f>IF(DATOS!$I8857="","",IFERROR(VLOOKUP(DATOS!$I8857,CONFIG_ASIGNATURAS!$B$2:$J$91,9,FALSE()),""))</f>
      </c>
    </row>
    <row r="8858">
      <c r="F8858">
        <f>IF(DATOS!$A8858="","",DATOS!$A8858&amp;"|"&amp;DATOS!$D8858&amp;"|"&amp;DATOS!$E8858&amp;"|"&amp;DATOS!$I8858)</f>
      </c>
      <c r="G8858">
        <f>IF(DATOS!$A8858="",0,IF(CONFIG_METADATA!$B$4&lt;&gt;"OR+EX",--(DATOS!$G8858=CONFIG_METADATA!$B$4),IF(DATOS!$G8858="EX",1,IF(DATOS!$G8858="OR",--(COUNTIFS(nNIA,DATOS!$A8858,nCURSO,DATOS!$D8858,nESPEC,DATOS!$E8858,nASIG,DATOS!$I8858,nEVAL,"EX")=0),0))))</f>
      </c>
      <c r="H8858">
        <f>IF(DATOS!$G8858&lt;&gt;"EX",0,--(COUNTIFS(nNIA,DATOS!$A8858,nCURSO,DATOS!$D8858,nESPEC,DATOS!$E8858,nASIG,DATOS!$I8858,nEVAL,"OR")=0))</f>
      </c>
      <c r="I8858">
        <f>IF(DATOS!$I8858="","",IFERROR(VLOOKUP(DATOS!$I8858,CONFIG_ASIGNATURAS!$B$2:$J$91,9,FALSE()),""))</f>
      </c>
    </row>
    <row r="8859">
      <c r="F8859">
        <f>IF(DATOS!$A8859="","",DATOS!$A8859&amp;"|"&amp;DATOS!$D8859&amp;"|"&amp;DATOS!$E8859&amp;"|"&amp;DATOS!$I8859)</f>
      </c>
      <c r="G8859">
        <f>IF(DATOS!$A8859="",0,IF(CONFIG_METADATA!$B$4&lt;&gt;"OR+EX",--(DATOS!$G8859=CONFIG_METADATA!$B$4),IF(DATOS!$G8859="EX",1,IF(DATOS!$G8859="OR",--(COUNTIFS(nNIA,DATOS!$A8859,nCURSO,DATOS!$D8859,nESPEC,DATOS!$E8859,nASIG,DATOS!$I8859,nEVAL,"EX")=0),0))))</f>
      </c>
      <c r="H8859">
        <f>IF(DATOS!$G8859&lt;&gt;"EX",0,--(COUNTIFS(nNIA,DATOS!$A8859,nCURSO,DATOS!$D8859,nESPEC,DATOS!$E8859,nASIG,DATOS!$I8859,nEVAL,"OR")=0))</f>
      </c>
      <c r="I8859">
        <f>IF(DATOS!$I8859="","",IFERROR(VLOOKUP(DATOS!$I8859,CONFIG_ASIGNATURAS!$B$2:$J$91,9,FALSE()),""))</f>
      </c>
    </row>
    <row r="8860">
      <c r="F8860">
        <f>IF(DATOS!$A8860="","",DATOS!$A8860&amp;"|"&amp;DATOS!$D8860&amp;"|"&amp;DATOS!$E8860&amp;"|"&amp;DATOS!$I8860)</f>
      </c>
      <c r="G8860">
        <f>IF(DATOS!$A8860="",0,IF(CONFIG_METADATA!$B$4&lt;&gt;"OR+EX",--(DATOS!$G8860=CONFIG_METADATA!$B$4),IF(DATOS!$G8860="EX",1,IF(DATOS!$G8860="OR",--(COUNTIFS(nNIA,DATOS!$A8860,nCURSO,DATOS!$D8860,nESPEC,DATOS!$E8860,nASIG,DATOS!$I8860,nEVAL,"EX")=0),0))))</f>
      </c>
      <c r="H8860">
        <f>IF(DATOS!$G8860&lt;&gt;"EX",0,--(COUNTIFS(nNIA,DATOS!$A8860,nCURSO,DATOS!$D8860,nESPEC,DATOS!$E8860,nASIG,DATOS!$I8860,nEVAL,"OR")=0))</f>
      </c>
      <c r="I8860">
        <f>IF(DATOS!$I8860="","",IFERROR(VLOOKUP(DATOS!$I8860,CONFIG_ASIGNATURAS!$B$2:$J$91,9,FALSE()),""))</f>
      </c>
    </row>
    <row r="8861">
      <c r="F8861">
        <f>IF(DATOS!$A8861="","",DATOS!$A8861&amp;"|"&amp;DATOS!$D8861&amp;"|"&amp;DATOS!$E8861&amp;"|"&amp;DATOS!$I8861)</f>
      </c>
      <c r="G8861">
        <f>IF(DATOS!$A8861="",0,IF(CONFIG_METADATA!$B$4&lt;&gt;"OR+EX",--(DATOS!$G8861=CONFIG_METADATA!$B$4),IF(DATOS!$G8861="EX",1,IF(DATOS!$G8861="OR",--(COUNTIFS(nNIA,DATOS!$A8861,nCURSO,DATOS!$D8861,nESPEC,DATOS!$E8861,nASIG,DATOS!$I8861,nEVAL,"EX")=0),0))))</f>
      </c>
      <c r="H8861">
        <f>IF(DATOS!$G8861&lt;&gt;"EX",0,--(COUNTIFS(nNIA,DATOS!$A8861,nCURSO,DATOS!$D8861,nESPEC,DATOS!$E8861,nASIG,DATOS!$I8861,nEVAL,"OR")=0))</f>
      </c>
      <c r="I8861">
        <f>IF(DATOS!$I8861="","",IFERROR(VLOOKUP(DATOS!$I8861,CONFIG_ASIGNATURAS!$B$2:$J$91,9,FALSE()),""))</f>
      </c>
    </row>
    <row r="8862">
      <c r="F8862">
        <f>IF(DATOS!$A8862="","",DATOS!$A8862&amp;"|"&amp;DATOS!$D8862&amp;"|"&amp;DATOS!$E8862&amp;"|"&amp;DATOS!$I8862)</f>
      </c>
      <c r="G8862">
        <f>IF(DATOS!$A8862="",0,IF(CONFIG_METADATA!$B$4&lt;&gt;"OR+EX",--(DATOS!$G8862=CONFIG_METADATA!$B$4),IF(DATOS!$G8862="EX",1,IF(DATOS!$G8862="OR",--(COUNTIFS(nNIA,DATOS!$A8862,nCURSO,DATOS!$D8862,nESPEC,DATOS!$E8862,nASIG,DATOS!$I8862,nEVAL,"EX")=0),0))))</f>
      </c>
      <c r="H8862">
        <f>IF(DATOS!$G8862&lt;&gt;"EX",0,--(COUNTIFS(nNIA,DATOS!$A8862,nCURSO,DATOS!$D8862,nESPEC,DATOS!$E8862,nASIG,DATOS!$I8862,nEVAL,"OR")=0))</f>
      </c>
      <c r="I8862">
        <f>IF(DATOS!$I8862="","",IFERROR(VLOOKUP(DATOS!$I8862,CONFIG_ASIGNATURAS!$B$2:$J$91,9,FALSE()),""))</f>
      </c>
    </row>
    <row r="8863">
      <c r="F8863">
        <f>IF(DATOS!$A8863="","",DATOS!$A8863&amp;"|"&amp;DATOS!$D8863&amp;"|"&amp;DATOS!$E8863&amp;"|"&amp;DATOS!$I8863)</f>
      </c>
      <c r="G8863">
        <f>IF(DATOS!$A8863="",0,IF(CONFIG_METADATA!$B$4&lt;&gt;"OR+EX",--(DATOS!$G8863=CONFIG_METADATA!$B$4),IF(DATOS!$G8863="EX",1,IF(DATOS!$G8863="OR",--(COUNTIFS(nNIA,DATOS!$A8863,nCURSO,DATOS!$D8863,nESPEC,DATOS!$E8863,nASIG,DATOS!$I8863,nEVAL,"EX")=0),0))))</f>
      </c>
      <c r="H8863">
        <f>IF(DATOS!$G8863&lt;&gt;"EX",0,--(COUNTIFS(nNIA,DATOS!$A8863,nCURSO,DATOS!$D8863,nESPEC,DATOS!$E8863,nASIG,DATOS!$I8863,nEVAL,"OR")=0))</f>
      </c>
      <c r="I8863">
        <f>IF(DATOS!$I8863="","",IFERROR(VLOOKUP(DATOS!$I8863,CONFIG_ASIGNATURAS!$B$2:$J$91,9,FALSE()),""))</f>
      </c>
    </row>
    <row r="8864">
      <c r="F8864">
        <f>IF(DATOS!$A8864="","",DATOS!$A8864&amp;"|"&amp;DATOS!$D8864&amp;"|"&amp;DATOS!$E8864&amp;"|"&amp;DATOS!$I8864)</f>
      </c>
      <c r="G8864">
        <f>IF(DATOS!$A8864="",0,IF(CONFIG_METADATA!$B$4&lt;&gt;"OR+EX",--(DATOS!$G8864=CONFIG_METADATA!$B$4),IF(DATOS!$G8864="EX",1,IF(DATOS!$G8864="OR",--(COUNTIFS(nNIA,DATOS!$A8864,nCURSO,DATOS!$D8864,nESPEC,DATOS!$E8864,nASIG,DATOS!$I8864,nEVAL,"EX")=0),0))))</f>
      </c>
      <c r="H8864">
        <f>IF(DATOS!$G8864&lt;&gt;"EX",0,--(COUNTIFS(nNIA,DATOS!$A8864,nCURSO,DATOS!$D8864,nESPEC,DATOS!$E8864,nASIG,DATOS!$I8864,nEVAL,"OR")=0))</f>
      </c>
      <c r="I8864">
        <f>IF(DATOS!$I8864="","",IFERROR(VLOOKUP(DATOS!$I8864,CONFIG_ASIGNATURAS!$B$2:$J$91,9,FALSE()),""))</f>
      </c>
    </row>
    <row r="8865">
      <c r="F8865">
        <f>IF(DATOS!$A8865="","",DATOS!$A8865&amp;"|"&amp;DATOS!$D8865&amp;"|"&amp;DATOS!$E8865&amp;"|"&amp;DATOS!$I8865)</f>
      </c>
      <c r="G8865">
        <f>IF(DATOS!$A8865="",0,IF(CONFIG_METADATA!$B$4&lt;&gt;"OR+EX",--(DATOS!$G8865=CONFIG_METADATA!$B$4),IF(DATOS!$G8865="EX",1,IF(DATOS!$G8865="OR",--(COUNTIFS(nNIA,DATOS!$A8865,nCURSO,DATOS!$D8865,nESPEC,DATOS!$E8865,nASIG,DATOS!$I8865,nEVAL,"EX")=0),0))))</f>
      </c>
      <c r="H8865">
        <f>IF(DATOS!$G8865&lt;&gt;"EX",0,--(COUNTIFS(nNIA,DATOS!$A8865,nCURSO,DATOS!$D8865,nESPEC,DATOS!$E8865,nASIG,DATOS!$I8865,nEVAL,"OR")=0))</f>
      </c>
      <c r="I8865">
        <f>IF(DATOS!$I8865="","",IFERROR(VLOOKUP(DATOS!$I8865,CONFIG_ASIGNATURAS!$B$2:$J$91,9,FALSE()),""))</f>
      </c>
    </row>
    <row r="8866">
      <c r="F8866">
        <f>IF(DATOS!$A8866="","",DATOS!$A8866&amp;"|"&amp;DATOS!$D8866&amp;"|"&amp;DATOS!$E8866&amp;"|"&amp;DATOS!$I8866)</f>
      </c>
      <c r="G8866">
        <f>IF(DATOS!$A8866="",0,IF(CONFIG_METADATA!$B$4&lt;&gt;"OR+EX",--(DATOS!$G8866=CONFIG_METADATA!$B$4),IF(DATOS!$G8866="EX",1,IF(DATOS!$G8866="OR",--(COUNTIFS(nNIA,DATOS!$A8866,nCURSO,DATOS!$D8866,nESPEC,DATOS!$E8866,nASIG,DATOS!$I8866,nEVAL,"EX")=0),0))))</f>
      </c>
      <c r="H8866">
        <f>IF(DATOS!$G8866&lt;&gt;"EX",0,--(COUNTIFS(nNIA,DATOS!$A8866,nCURSO,DATOS!$D8866,nESPEC,DATOS!$E8866,nASIG,DATOS!$I8866,nEVAL,"OR")=0))</f>
      </c>
      <c r="I8866">
        <f>IF(DATOS!$I8866="","",IFERROR(VLOOKUP(DATOS!$I8866,CONFIG_ASIGNATURAS!$B$2:$J$91,9,FALSE()),""))</f>
      </c>
    </row>
    <row r="8867">
      <c r="F8867">
        <f>IF(DATOS!$A8867="","",DATOS!$A8867&amp;"|"&amp;DATOS!$D8867&amp;"|"&amp;DATOS!$E8867&amp;"|"&amp;DATOS!$I8867)</f>
      </c>
      <c r="G8867">
        <f>IF(DATOS!$A8867="",0,IF(CONFIG_METADATA!$B$4&lt;&gt;"OR+EX",--(DATOS!$G8867=CONFIG_METADATA!$B$4),IF(DATOS!$G8867="EX",1,IF(DATOS!$G8867="OR",--(COUNTIFS(nNIA,DATOS!$A8867,nCURSO,DATOS!$D8867,nESPEC,DATOS!$E8867,nASIG,DATOS!$I8867,nEVAL,"EX")=0),0))))</f>
      </c>
      <c r="H8867">
        <f>IF(DATOS!$G8867&lt;&gt;"EX",0,--(COUNTIFS(nNIA,DATOS!$A8867,nCURSO,DATOS!$D8867,nESPEC,DATOS!$E8867,nASIG,DATOS!$I8867,nEVAL,"OR")=0))</f>
      </c>
      <c r="I8867">
        <f>IF(DATOS!$I8867="","",IFERROR(VLOOKUP(DATOS!$I8867,CONFIG_ASIGNATURAS!$B$2:$J$91,9,FALSE()),""))</f>
      </c>
    </row>
    <row r="8868">
      <c r="F8868">
        <f>IF(DATOS!$A8868="","",DATOS!$A8868&amp;"|"&amp;DATOS!$D8868&amp;"|"&amp;DATOS!$E8868&amp;"|"&amp;DATOS!$I8868)</f>
      </c>
      <c r="G8868">
        <f>IF(DATOS!$A8868="",0,IF(CONFIG_METADATA!$B$4&lt;&gt;"OR+EX",--(DATOS!$G8868=CONFIG_METADATA!$B$4),IF(DATOS!$G8868="EX",1,IF(DATOS!$G8868="OR",--(COUNTIFS(nNIA,DATOS!$A8868,nCURSO,DATOS!$D8868,nESPEC,DATOS!$E8868,nASIG,DATOS!$I8868,nEVAL,"EX")=0),0))))</f>
      </c>
      <c r="H8868">
        <f>IF(DATOS!$G8868&lt;&gt;"EX",0,--(COUNTIFS(nNIA,DATOS!$A8868,nCURSO,DATOS!$D8868,nESPEC,DATOS!$E8868,nASIG,DATOS!$I8868,nEVAL,"OR")=0))</f>
      </c>
      <c r="I8868">
        <f>IF(DATOS!$I8868="","",IFERROR(VLOOKUP(DATOS!$I8868,CONFIG_ASIGNATURAS!$B$2:$J$91,9,FALSE()),""))</f>
      </c>
    </row>
    <row r="8869">
      <c r="F8869">
        <f>IF(DATOS!$A8869="","",DATOS!$A8869&amp;"|"&amp;DATOS!$D8869&amp;"|"&amp;DATOS!$E8869&amp;"|"&amp;DATOS!$I8869)</f>
      </c>
      <c r="G8869">
        <f>IF(DATOS!$A8869="",0,IF(CONFIG_METADATA!$B$4&lt;&gt;"OR+EX",--(DATOS!$G8869=CONFIG_METADATA!$B$4),IF(DATOS!$G8869="EX",1,IF(DATOS!$G8869="OR",--(COUNTIFS(nNIA,DATOS!$A8869,nCURSO,DATOS!$D8869,nESPEC,DATOS!$E8869,nASIG,DATOS!$I8869,nEVAL,"EX")=0),0))))</f>
      </c>
      <c r="H8869">
        <f>IF(DATOS!$G8869&lt;&gt;"EX",0,--(COUNTIFS(nNIA,DATOS!$A8869,nCURSO,DATOS!$D8869,nESPEC,DATOS!$E8869,nASIG,DATOS!$I8869,nEVAL,"OR")=0))</f>
      </c>
      <c r="I8869">
        <f>IF(DATOS!$I8869="","",IFERROR(VLOOKUP(DATOS!$I8869,CONFIG_ASIGNATURAS!$B$2:$J$91,9,FALSE()),""))</f>
      </c>
    </row>
    <row r="8870">
      <c r="F8870">
        <f>IF(DATOS!$A8870="","",DATOS!$A8870&amp;"|"&amp;DATOS!$D8870&amp;"|"&amp;DATOS!$E8870&amp;"|"&amp;DATOS!$I8870)</f>
      </c>
      <c r="G8870">
        <f>IF(DATOS!$A8870="",0,IF(CONFIG_METADATA!$B$4&lt;&gt;"OR+EX",--(DATOS!$G8870=CONFIG_METADATA!$B$4),IF(DATOS!$G8870="EX",1,IF(DATOS!$G8870="OR",--(COUNTIFS(nNIA,DATOS!$A8870,nCURSO,DATOS!$D8870,nESPEC,DATOS!$E8870,nASIG,DATOS!$I8870,nEVAL,"EX")=0),0))))</f>
      </c>
      <c r="H8870">
        <f>IF(DATOS!$G8870&lt;&gt;"EX",0,--(COUNTIFS(nNIA,DATOS!$A8870,nCURSO,DATOS!$D8870,nESPEC,DATOS!$E8870,nASIG,DATOS!$I8870,nEVAL,"OR")=0))</f>
      </c>
      <c r="I8870">
        <f>IF(DATOS!$I8870="","",IFERROR(VLOOKUP(DATOS!$I8870,CONFIG_ASIGNATURAS!$B$2:$J$91,9,FALSE()),""))</f>
      </c>
    </row>
    <row r="8871">
      <c r="F8871">
        <f>IF(DATOS!$A8871="","",DATOS!$A8871&amp;"|"&amp;DATOS!$D8871&amp;"|"&amp;DATOS!$E8871&amp;"|"&amp;DATOS!$I8871)</f>
      </c>
      <c r="G8871">
        <f>IF(DATOS!$A8871="",0,IF(CONFIG_METADATA!$B$4&lt;&gt;"OR+EX",--(DATOS!$G8871=CONFIG_METADATA!$B$4),IF(DATOS!$G8871="EX",1,IF(DATOS!$G8871="OR",--(COUNTIFS(nNIA,DATOS!$A8871,nCURSO,DATOS!$D8871,nESPEC,DATOS!$E8871,nASIG,DATOS!$I8871,nEVAL,"EX")=0),0))))</f>
      </c>
      <c r="H8871">
        <f>IF(DATOS!$G8871&lt;&gt;"EX",0,--(COUNTIFS(nNIA,DATOS!$A8871,nCURSO,DATOS!$D8871,nESPEC,DATOS!$E8871,nASIG,DATOS!$I8871,nEVAL,"OR")=0))</f>
      </c>
      <c r="I8871">
        <f>IF(DATOS!$I8871="","",IFERROR(VLOOKUP(DATOS!$I8871,CONFIG_ASIGNATURAS!$B$2:$J$91,9,FALSE()),""))</f>
      </c>
    </row>
    <row r="8872">
      <c r="F8872">
        <f>IF(DATOS!$A8872="","",DATOS!$A8872&amp;"|"&amp;DATOS!$D8872&amp;"|"&amp;DATOS!$E8872&amp;"|"&amp;DATOS!$I8872)</f>
      </c>
      <c r="G8872">
        <f>IF(DATOS!$A8872="",0,IF(CONFIG_METADATA!$B$4&lt;&gt;"OR+EX",--(DATOS!$G8872=CONFIG_METADATA!$B$4),IF(DATOS!$G8872="EX",1,IF(DATOS!$G8872="OR",--(COUNTIFS(nNIA,DATOS!$A8872,nCURSO,DATOS!$D8872,nESPEC,DATOS!$E8872,nASIG,DATOS!$I8872,nEVAL,"EX")=0),0))))</f>
      </c>
      <c r="H8872">
        <f>IF(DATOS!$G8872&lt;&gt;"EX",0,--(COUNTIFS(nNIA,DATOS!$A8872,nCURSO,DATOS!$D8872,nESPEC,DATOS!$E8872,nASIG,DATOS!$I8872,nEVAL,"OR")=0))</f>
      </c>
      <c r="I8872">
        <f>IF(DATOS!$I8872="","",IFERROR(VLOOKUP(DATOS!$I8872,CONFIG_ASIGNATURAS!$B$2:$J$91,9,FALSE()),""))</f>
      </c>
    </row>
    <row r="8873">
      <c r="F8873">
        <f>IF(DATOS!$A8873="","",DATOS!$A8873&amp;"|"&amp;DATOS!$D8873&amp;"|"&amp;DATOS!$E8873&amp;"|"&amp;DATOS!$I8873)</f>
      </c>
      <c r="G8873">
        <f>IF(DATOS!$A8873="",0,IF(CONFIG_METADATA!$B$4&lt;&gt;"OR+EX",--(DATOS!$G8873=CONFIG_METADATA!$B$4),IF(DATOS!$G8873="EX",1,IF(DATOS!$G8873="OR",--(COUNTIFS(nNIA,DATOS!$A8873,nCURSO,DATOS!$D8873,nESPEC,DATOS!$E8873,nASIG,DATOS!$I8873,nEVAL,"EX")=0),0))))</f>
      </c>
      <c r="H8873">
        <f>IF(DATOS!$G8873&lt;&gt;"EX",0,--(COUNTIFS(nNIA,DATOS!$A8873,nCURSO,DATOS!$D8873,nESPEC,DATOS!$E8873,nASIG,DATOS!$I8873,nEVAL,"OR")=0))</f>
      </c>
      <c r="I8873">
        <f>IF(DATOS!$I8873="","",IFERROR(VLOOKUP(DATOS!$I8873,CONFIG_ASIGNATURAS!$B$2:$J$91,9,FALSE()),""))</f>
      </c>
    </row>
    <row r="8874">
      <c r="F8874">
        <f>IF(DATOS!$A8874="","",DATOS!$A8874&amp;"|"&amp;DATOS!$D8874&amp;"|"&amp;DATOS!$E8874&amp;"|"&amp;DATOS!$I8874)</f>
      </c>
      <c r="G8874">
        <f>IF(DATOS!$A8874="",0,IF(CONFIG_METADATA!$B$4&lt;&gt;"OR+EX",--(DATOS!$G8874=CONFIG_METADATA!$B$4),IF(DATOS!$G8874="EX",1,IF(DATOS!$G8874="OR",--(COUNTIFS(nNIA,DATOS!$A8874,nCURSO,DATOS!$D8874,nESPEC,DATOS!$E8874,nASIG,DATOS!$I8874,nEVAL,"EX")=0),0))))</f>
      </c>
      <c r="H8874">
        <f>IF(DATOS!$G8874&lt;&gt;"EX",0,--(COUNTIFS(nNIA,DATOS!$A8874,nCURSO,DATOS!$D8874,nESPEC,DATOS!$E8874,nASIG,DATOS!$I8874,nEVAL,"OR")=0))</f>
      </c>
      <c r="I8874">
        <f>IF(DATOS!$I8874="","",IFERROR(VLOOKUP(DATOS!$I8874,CONFIG_ASIGNATURAS!$B$2:$J$91,9,FALSE()),""))</f>
      </c>
    </row>
    <row r="8875">
      <c r="F8875">
        <f>IF(DATOS!$A8875="","",DATOS!$A8875&amp;"|"&amp;DATOS!$D8875&amp;"|"&amp;DATOS!$E8875&amp;"|"&amp;DATOS!$I8875)</f>
      </c>
      <c r="G8875">
        <f>IF(DATOS!$A8875="",0,IF(CONFIG_METADATA!$B$4&lt;&gt;"OR+EX",--(DATOS!$G8875=CONFIG_METADATA!$B$4),IF(DATOS!$G8875="EX",1,IF(DATOS!$G8875="OR",--(COUNTIFS(nNIA,DATOS!$A8875,nCURSO,DATOS!$D8875,nESPEC,DATOS!$E8875,nASIG,DATOS!$I8875,nEVAL,"EX")=0),0))))</f>
      </c>
      <c r="H8875">
        <f>IF(DATOS!$G8875&lt;&gt;"EX",0,--(COUNTIFS(nNIA,DATOS!$A8875,nCURSO,DATOS!$D8875,nESPEC,DATOS!$E8875,nASIG,DATOS!$I8875,nEVAL,"OR")=0))</f>
      </c>
      <c r="I8875">
        <f>IF(DATOS!$I8875="","",IFERROR(VLOOKUP(DATOS!$I8875,CONFIG_ASIGNATURAS!$B$2:$J$91,9,FALSE()),""))</f>
      </c>
    </row>
    <row r="8876">
      <c r="F8876">
        <f>IF(DATOS!$A8876="","",DATOS!$A8876&amp;"|"&amp;DATOS!$D8876&amp;"|"&amp;DATOS!$E8876&amp;"|"&amp;DATOS!$I8876)</f>
      </c>
      <c r="G8876">
        <f>IF(DATOS!$A8876="",0,IF(CONFIG_METADATA!$B$4&lt;&gt;"OR+EX",--(DATOS!$G8876=CONFIG_METADATA!$B$4),IF(DATOS!$G8876="EX",1,IF(DATOS!$G8876="OR",--(COUNTIFS(nNIA,DATOS!$A8876,nCURSO,DATOS!$D8876,nESPEC,DATOS!$E8876,nASIG,DATOS!$I8876,nEVAL,"EX")=0),0))))</f>
      </c>
      <c r="H8876">
        <f>IF(DATOS!$G8876&lt;&gt;"EX",0,--(COUNTIFS(nNIA,DATOS!$A8876,nCURSO,DATOS!$D8876,nESPEC,DATOS!$E8876,nASIG,DATOS!$I8876,nEVAL,"OR")=0))</f>
      </c>
      <c r="I8876">
        <f>IF(DATOS!$I8876="","",IFERROR(VLOOKUP(DATOS!$I8876,CONFIG_ASIGNATURAS!$B$2:$J$91,9,FALSE()),""))</f>
      </c>
    </row>
    <row r="8877">
      <c r="F8877">
        <f>IF(DATOS!$A8877="","",DATOS!$A8877&amp;"|"&amp;DATOS!$D8877&amp;"|"&amp;DATOS!$E8877&amp;"|"&amp;DATOS!$I8877)</f>
      </c>
      <c r="G8877">
        <f>IF(DATOS!$A8877="",0,IF(CONFIG_METADATA!$B$4&lt;&gt;"OR+EX",--(DATOS!$G8877=CONFIG_METADATA!$B$4),IF(DATOS!$G8877="EX",1,IF(DATOS!$G8877="OR",--(COUNTIFS(nNIA,DATOS!$A8877,nCURSO,DATOS!$D8877,nESPEC,DATOS!$E8877,nASIG,DATOS!$I8877,nEVAL,"EX")=0),0))))</f>
      </c>
      <c r="H8877">
        <f>IF(DATOS!$G8877&lt;&gt;"EX",0,--(COUNTIFS(nNIA,DATOS!$A8877,nCURSO,DATOS!$D8877,nESPEC,DATOS!$E8877,nASIG,DATOS!$I8877,nEVAL,"OR")=0))</f>
      </c>
      <c r="I8877">
        <f>IF(DATOS!$I8877="","",IFERROR(VLOOKUP(DATOS!$I8877,CONFIG_ASIGNATURAS!$B$2:$J$91,9,FALSE()),""))</f>
      </c>
    </row>
    <row r="8878">
      <c r="F8878">
        <f>IF(DATOS!$A8878="","",DATOS!$A8878&amp;"|"&amp;DATOS!$D8878&amp;"|"&amp;DATOS!$E8878&amp;"|"&amp;DATOS!$I8878)</f>
      </c>
      <c r="G8878">
        <f>IF(DATOS!$A8878="",0,IF(CONFIG_METADATA!$B$4&lt;&gt;"OR+EX",--(DATOS!$G8878=CONFIG_METADATA!$B$4),IF(DATOS!$G8878="EX",1,IF(DATOS!$G8878="OR",--(COUNTIFS(nNIA,DATOS!$A8878,nCURSO,DATOS!$D8878,nESPEC,DATOS!$E8878,nASIG,DATOS!$I8878,nEVAL,"EX")=0),0))))</f>
      </c>
      <c r="H8878">
        <f>IF(DATOS!$G8878&lt;&gt;"EX",0,--(COUNTIFS(nNIA,DATOS!$A8878,nCURSO,DATOS!$D8878,nESPEC,DATOS!$E8878,nASIG,DATOS!$I8878,nEVAL,"OR")=0))</f>
      </c>
      <c r="I8878">
        <f>IF(DATOS!$I8878="","",IFERROR(VLOOKUP(DATOS!$I8878,CONFIG_ASIGNATURAS!$B$2:$J$91,9,FALSE()),""))</f>
      </c>
    </row>
    <row r="8879">
      <c r="F8879">
        <f>IF(DATOS!$A8879="","",DATOS!$A8879&amp;"|"&amp;DATOS!$D8879&amp;"|"&amp;DATOS!$E8879&amp;"|"&amp;DATOS!$I8879)</f>
      </c>
      <c r="G8879">
        <f>IF(DATOS!$A8879="",0,IF(CONFIG_METADATA!$B$4&lt;&gt;"OR+EX",--(DATOS!$G8879=CONFIG_METADATA!$B$4),IF(DATOS!$G8879="EX",1,IF(DATOS!$G8879="OR",--(COUNTIFS(nNIA,DATOS!$A8879,nCURSO,DATOS!$D8879,nESPEC,DATOS!$E8879,nASIG,DATOS!$I8879,nEVAL,"EX")=0),0))))</f>
      </c>
      <c r="H8879">
        <f>IF(DATOS!$G8879&lt;&gt;"EX",0,--(COUNTIFS(nNIA,DATOS!$A8879,nCURSO,DATOS!$D8879,nESPEC,DATOS!$E8879,nASIG,DATOS!$I8879,nEVAL,"OR")=0))</f>
      </c>
      <c r="I8879">
        <f>IF(DATOS!$I8879="","",IFERROR(VLOOKUP(DATOS!$I8879,CONFIG_ASIGNATURAS!$B$2:$J$91,9,FALSE()),""))</f>
      </c>
    </row>
    <row r="8880">
      <c r="F8880">
        <f>IF(DATOS!$A8880="","",DATOS!$A8880&amp;"|"&amp;DATOS!$D8880&amp;"|"&amp;DATOS!$E8880&amp;"|"&amp;DATOS!$I8880)</f>
      </c>
      <c r="G8880">
        <f>IF(DATOS!$A8880="",0,IF(CONFIG_METADATA!$B$4&lt;&gt;"OR+EX",--(DATOS!$G8880=CONFIG_METADATA!$B$4),IF(DATOS!$G8880="EX",1,IF(DATOS!$G8880="OR",--(COUNTIFS(nNIA,DATOS!$A8880,nCURSO,DATOS!$D8880,nESPEC,DATOS!$E8880,nASIG,DATOS!$I8880,nEVAL,"EX")=0),0))))</f>
      </c>
      <c r="H8880">
        <f>IF(DATOS!$G8880&lt;&gt;"EX",0,--(COUNTIFS(nNIA,DATOS!$A8880,nCURSO,DATOS!$D8880,nESPEC,DATOS!$E8880,nASIG,DATOS!$I8880,nEVAL,"OR")=0))</f>
      </c>
      <c r="I8880">
        <f>IF(DATOS!$I8880="","",IFERROR(VLOOKUP(DATOS!$I8880,CONFIG_ASIGNATURAS!$B$2:$J$91,9,FALSE()),""))</f>
      </c>
    </row>
    <row r="8881">
      <c r="F8881">
        <f>IF(DATOS!$A8881="","",DATOS!$A8881&amp;"|"&amp;DATOS!$D8881&amp;"|"&amp;DATOS!$E8881&amp;"|"&amp;DATOS!$I8881)</f>
      </c>
      <c r="G8881">
        <f>IF(DATOS!$A8881="",0,IF(CONFIG_METADATA!$B$4&lt;&gt;"OR+EX",--(DATOS!$G8881=CONFIG_METADATA!$B$4),IF(DATOS!$G8881="EX",1,IF(DATOS!$G8881="OR",--(COUNTIFS(nNIA,DATOS!$A8881,nCURSO,DATOS!$D8881,nESPEC,DATOS!$E8881,nASIG,DATOS!$I8881,nEVAL,"EX")=0),0))))</f>
      </c>
      <c r="H8881">
        <f>IF(DATOS!$G8881&lt;&gt;"EX",0,--(COUNTIFS(nNIA,DATOS!$A8881,nCURSO,DATOS!$D8881,nESPEC,DATOS!$E8881,nASIG,DATOS!$I8881,nEVAL,"OR")=0))</f>
      </c>
      <c r="I8881">
        <f>IF(DATOS!$I8881="","",IFERROR(VLOOKUP(DATOS!$I8881,CONFIG_ASIGNATURAS!$B$2:$J$91,9,FALSE()),""))</f>
      </c>
    </row>
    <row r="8882">
      <c r="F8882">
        <f>IF(DATOS!$A8882="","",DATOS!$A8882&amp;"|"&amp;DATOS!$D8882&amp;"|"&amp;DATOS!$E8882&amp;"|"&amp;DATOS!$I8882)</f>
      </c>
      <c r="G8882">
        <f>IF(DATOS!$A8882="",0,IF(CONFIG_METADATA!$B$4&lt;&gt;"OR+EX",--(DATOS!$G8882=CONFIG_METADATA!$B$4),IF(DATOS!$G8882="EX",1,IF(DATOS!$G8882="OR",--(COUNTIFS(nNIA,DATOS!$A8882,nCURSO,DATOS!$D8882,nESPEC,DATOS!$E8882,nASIG,DATOS!$I8882,nEVAL,"EX")=0),0))))</f>
      </c>
      <c r="H8882">
        <f>IF(DATOS!$G8882&lt;&gt;"EX",0,--(COUNTIFS(nNIA,DATOS!$A8882,nCURSO,DATOS!$D8882,nESPEC,DATOS!$E8882,nASIG,DATOS!$I8882,nEVAL,"OR")=0))</f>
      </c>
      <c r="I8882">
        <f>IF(DATOS!$I8882="","",IFERROR(VLOOKUP(DATOS!$I8882,CONFIG_ASIGNATURAS!$B$2:$J$91,9,FALSE()),""))</f>
      </c>
    </row>
    <row r="8883">
      <c r="F8883">
        <f>IF(DATOS!$A8883="","",DATOS!$A8883&amp;"|"&amp;DATOS!$D8883&amp;"|"&amp;DATOS!$E8883&amp;"|"&amp;DATOS!$I8883)</f>
      </c>
      <c r="G8883">
        <f>IF(DATOS!$A8883="",0,IF(CONFIG_METADATA!$B$4&lt;&gt;"OR+EX",--(DATOS!$G8883=CONFIG_METADATA!$B$4),IF(DATOS!$G8883="EX",1,IF(DATOS!$G8883="OR",--(COUNTIFS(nNIA,DATOS!$A8883,nCURSO,DATOS!$D8883,nESPEC,DATOS!$E8883,nASIG,DATOS!$I8883,nEVAL,"EX")=0),0))))</f>
      </c>
      <c r="H8883">
        <f>IF(DATOS!$G8883&lt;&gt;"EX",0,--(COUNTIFS(nNIA,DATOS!$A8883,nCURSO,DATOS!$D8883,nESPEC,DATOS!$E8883,nASIG,DATOS!$I8883,nEVAL,"OR")=0))</f>
      </c>
      <c r="I8883">
        <f>IF(DATOS!$I8883="","",IFERROR(VLOOKUP(DATOS!$I8883,CONFIG_ASIGNATURAS!$B$2:$J$91,9,FALSE()),""))</f>
      </c>
    </row>
    <row r="8884">
      <c r="F8884">
        <f>IF(DATOS!$A8884="","",DATOS!$A8884&amp;"|"&amp;DATOS!$D8884&amp;"|"&amp;DATOS!$E8884&amp;"|"&amp;DATOS!$I8884)</f>
      </c>
      <c r="G8884">
        <f>IF(DATOS!$A8884="",0,IF(CONFIG_METADATA!$B$4&lt;&gt;"OR+EX",--(DATOS!$G8884=CONFIG_METADATA!$B$4),IF(DATOS!$G8884="EX",1,IF(DATOS!$G8884="OR",--(COUNTIFS(nNIA,DATOS!$A8884,nCURSO,DATOS!$D8884,nESPEC,DATOS!$E8884,nASIG,DATOS!$I8884,nEVAL,"EX")=0),0))))</f>
      </c>
      <c r="H8884">
        <f>IF(DATOS!$G8884&lt;&gt;"EX",0,--(COUNTIFS(nNIA,DATOS!$A8884,nCURSO,DATOS!$D8884,nESPEC,DATOS!$E8884,nASIG,DATOS!$I8884,nEVAL,"OR")=0))</f>
      </c>
      <c r="I8884">
        <f>IF(DATOS!$I8884="","",IFERROR(VLOOKUP(DATOS!$I8884,CONFIG_ASIGNATURAS!$B$2:$J$91,9,FALSE()),""))</f>
      </c>
    </row>
    <row r="8885">
      <c r="F8885">
        <f>IF(DATOS!$A8885="","",DATOS!$A8885&amp;"|"&amp;DATOS!$D8885&amp;"|"&amp;DATOS!$E8885&amp;"|"&amp;DATOS!$I8885)</f>
      </c>
      <c r="G8885">
        <f>IF(DATOS!$A8885="",0,IF(CONFIG_METADATA!$B$4&lt;&gt;"OR+EX",--(DATOS!$G8885=CONFIG_METADATA!$B$4),IF(DATOS!$G8885="EX",1,IF(DATOS!$G8885="OR",--(COUNTIFS(nNIA,DATOS!$A8885,nCURSO,DATOS!$D8885,nESPEC,DATOS!$E8885,nASIG,DATOS!$I8885,nEVAL,"EX")=0),0))))</f>
      </c>
      <c r="H8885">
        <f>IF(DATOS!$G8885&lt;&gt;"EX",0,--(COUNTIFS(nNIA,DATOS!$A8885,nCURSO,DATOS!$D8885,nESPEC,DATOS!$E8885,nASIG,DATOS!$I8885,nEVAL,"OR")=0))</f>
      </c>
      <c r="I8885">
        <f>IF(DATOS!$I8885="","",IFERROR(VLOOKUP(DATOS!$I8885,CONFIG_ASIGNATURAS!$B$2:$J$91,9,FALSE()),""))</f>
      </c>
    </row>
    <row r="8886">
      <c r="F8886">
        <f>IF(DATOS!$A8886="","",DATOS!$A8886&amp;"|"&amp;DATOS!$D8886&amp;"|"&amp;DATOS!$E8886&amp;"|"&amp;DATOS!$I8886)</f>
      </c>
      <c r="G8886">
        <f>IF(DATOS!$A8886="",0,IF(CONFIG_METADATA!$B$4&lt;&gt;"OR+EX",--(DATOS!$G8886=CONFIG_METADATA!$B$4),IF(DATOS!$G8886="EX",1,IF(DATOS!$G8886="OR",--(COUNTIFS(nNIA,DATOS!$A8886,nCURSO,DATOS!$D8886,nESPEC,DATOS!$E8886,nASIG,DATOS!$I8886,nEVAL,"EX")=0),0))))</f>
      </c>
      <c r="H8886">
        <f>IF(DATOS!$G8886&lt;&gt;"EX",0,--(COUNTIFS(nNIA,DATOS!$A8886,nCURSO,DATOS!$D8886,nESPEC,DATOS!$E8886,nASIG,DATOS!$I8886,nEVAL,"OR")=0))</f>
      </c>
      <c r="I8886">
        <f>IF(DATOS!$I8886="","",IFERROR(VLOOKUP(DATOS!$I8886,CONFIG_ASIGNATURAS!$B$2:$J$91,9,FALSE()),""))</f>
      </c>
    </row>
    <row r="8887">
      <c r="F8887">
        <f>IF(DATOS!$A8887="","",DATOS!$A8887&amp;"|"&amp;DATOS!$D8887&amp;"|"&amp;DATOS!$E8887&amp;"|"&amp;DATOS!$I8887)</f>
      </c>
      <c r="G8887">
        <f>IF(DATOS!$A8887="",0,IF(CONFIG_METADATA!$B$4&lt;&gt;"OR+EX",--(DATOS!$G8887=CONFIG_METADATA!$B$4),IF(DATOS!$G8887="EX",1,IF(DATOS!$G8887="OR",--(COUNTIFS(nNIA,DATOS!$A8887,nCURSO,DATOS!$D8887,nESPEC,DATOS!$E8887,nASIG,DATOS!$I8887,nEVAL,"EX")=0),0))))</f>
      </c>
      <c r="H8887">
        <f>IF(DATOS!$G8887&lt;&gt;"EX",0,--(COUNTIFS(nNIA,DATOS!$A8887,nCURSO,DATOS!$D8887,nESPEC,DATOS!$E8887,nASIG,DATOS!$I8887,nEVAL,"OR")=0))</f>
      </c>
      <c r="I8887">
        <f>IF(DATOS!$I8887="","",IFERROR(VLOOKUP(DATOS!$I8887,CONFIG_ASIGNATURAS!$B$2:$J$91,9,FALSE()),""))</f>
      </c>
    </row>
    <row r="8888">
      <c r="F8888">
        <f>IF(DATOS!$A8888="","",DATOS!$A8888&amp;"|"&amp;DATOS!$D8888&amp;"|"&amp;DATOS!$E8888&amp;"|"&amp;DATOS!$I8888)</f>
      </c>
      <c r="G8888">
        <f>IF(DATOS!$A8888="",0,IF(CONFIG_METADATA!$B$4&lt;&gt;"OR+EX",--(DATOS!$G8888=CONFIG_METADATA!$B$4),IF(DATOS!$G8888="EX",1,IF(DATOS!$G8888="OR",--(COUNTIFS(nNIA,DATOS!$A8888,nCURSO,DATOS!$D8888,nESPEC,DATOS!$E8888,nASIG,DATOS!$I8888,nEVAL,"EX")=0),0))))</f>
      </c>
      <c r="H8888">
        <f>IF(DATOS!$G8888&lt;&gt;"EX",0,--(COUNTIFS(nNIA,DATOS!$A8888,nCURSO,DATOS!$D8888,nESPEC,DATOS!$E8888,nASIG,DATOS!$I8888,nEVAL,"OR")=0))</f>
      </c>
      <c r="I8888">
        <f>IF(DATOS!$I8888="","",IFERROR(VLOOKUP(DATOS!$I8888,CONFIG_ASIGNATURAS!$B$2:$J$91,9,FALSE()),""))</f>
      </c>
    </row>
    <row r="8889">
      <c r="F8889">
        <f>IF(DATOS!$A8889="","",DATOS!$A8889&amp;"|"&amp;DATOS!$D8889&amp;"|"&amp;DATOS!$E8889&amp;"|"&amp;DATOS!$I8889)</f>
      </c>
      <c r="G8889">
        <f>IF(DATOS!$A8889="",0,IF(CONFIG_METADATA!$B$4&lt;&gt;"OR+EX",--(DATOS!$G8889=CONFIG_METADATA!$B$4),IF(DATOS!$G8889="EX",1,IF(DATOS!$G8889="OR",--(COUNTIFS(nNIA,DATOS!$A8889,nCURSO,DATOS!$D8889,nESPEC,DATOS!$E8889,nASIG,DATOS!$I8889,nEVAL,"EX")=0),0))))</f>
      </c>
      <c r="H8889">
        <f>IF(DATOS!$G8889&lt;&gt;"EX",0,--(COUNTIFS(nNIA,DATOS!$A8889,nCURSO,DATOS!$D8889,nESPEC,DATOS!$E8889,nASIG,DATOS!$I8889,nEVAL,"OR")=0))</f>
      </c>
      <c r="I8889">
        <f>IF(DATOS!$I8889="","",IFERROR(VLOOKUP(DATOS!$I8889,CONFIG_ASIGNATURAS!$B$2:$J$91,9,FALSE()),""))</f>
      </c>
    </row>
    <row r="8890">
      <c r="F8890">
        <f>IF(DATOS!$A8890="","",DATOS!$A8890&amp;"|"&amp;DATOS!$D8890&amp;"|"&amp;DATOS!$E8890&amp;"|"&amp;DATOS!$I8890)</f>
      </c>
      <c r="G8890">
        <f>IF(DATOS!$A8890="",0,IF(CONFIG_METADATA!$B$4&lt;&gt;"OR+EX",--(DATOS!$G8890=CONFIG_METADATA!$B$4),IF(DATOS!$G8890="EX",1,IF(DATOS!$G8890="OR",--(COUNTIFS(nNIA,DATOS!$A8890,nCURSO,DATOS!$D8890,nESPEC,DATOS!$E8890,nASIG,DATOS!$I8890,nEVAL,"EX")=0),0))))</f>
      </c>
      <c r="H8890">
        <f>IF(DATOS!$G8890&lt;&gt;"EX",0,--(COUNTIFS(nNIA,DATOS!$A8890,nCURSO,DATOS!$D8890,nESPEC,DATOS!$E8890,nASIG,DATOS!$I8890,nEVAL,"OR")=0))</f>
      </c>
      <c r="I8890">
        <f>IF(DATOS!$I8890="","",IFERROR(VLOOKUP(DATOS!$I8890,CONFIG_ASIGNATURAS!$B$2:$J$91,9,FALSE()),""))</f>
      </c>
    </row>
    <row r="8891">
      <c r="F8891">
        <f>IF(DATOS!$A8891="","",DATOS!$A8891&amp;"|"&amp;DATOS!$D8891&amp;"|"&amp;DATOS!$E8891&amp;"|"&amp;DATOS!$I8891)</f>
      </c>
      <c r="G8891">
        <f>IF(DATOS!$A8891="",0,IF(CONFIG_METADATA!$B$4&lt;&gt;"OR+EX",--(DATOS!$G8891=CONFIG_METADATA!$B$4),IF(DATOS!$G8891="EX",1,IF(DATOS!$G8891="OR",--(COUNTIFS(nNIA,DATOS!$A8891,nCURSO,DATOS!$D8891,nESPEC,DATOS!$E8891,nASIG,DATOS!$I8891,nEVAL,"EX")=0),0))))</f>
      </c>
      <c r="H8891">
        <f>IF(DATOS!$G8891&lt;&gt;"EX",0,--(COUNTIFS(nNIA,DATOS!$A8891,nCURSO,DATOS!$D8891,nESPEC,DATOS!$E8891,nASIG,DATOS!$I8891,nEVAL,"OR")=0))</f>
      </c>
      <c r="I8891">
        <f>IF(DATOS!$I8891="","",IFERROR(VLOOKUP(DATOS!$I8891,CONFIG_ASIGNATURAS!$B$2:$J$91,9,FALSE()),""))</f>
      </c>
    </row>
    <row r="8892">
      <c r="F8892">
        <f>IF(DATOS!$A8892="","",DATOS!$A8892&amp;"|"&amp;DATOS!$D8892&amp;"|"&amp;DATOS!$E8892&amp;"|"&amp;DATOS!$I8892)</f>
      </c>
      <c r="G8892">
        <f>IF(DATOS!$A8892="",0,IF(CONFIG_METADATA!$B$4&lt;&gt;"OR+EX",--(DATOS!$G8892=CONFIG_METADATA!$B$4),IF(DATOS!$G8892="EX",1,IF(DATOS!$G8892="OR",--(COUNTIFS(nNIA,DATOS!$A8892,nCURSO,DATOS!$D8892,nESPEC,DATOS!$E8892,nASIG,DATOS!$I8892,nEVAL,"EX")=0),0))))</f>
      </c>
      <c r="H8892">
        <f>IF(DATOS!$G8892&lt;&gt;"EX",0,--(COUNTIFS(nNIA,DATOS!$A8892,nCURSO,DATOS!$D8892,nESPEC,DATOS!$E8892,nASIG,DATOS!$I8892,nEVAL,"OR")=0))</f>
      </c>
      <c r="I8892">
        <f>IF(DATOS!$I8892="","",IFERROR(VLOOKUP(DATOS!$I8892,CONFIG_ASIGNATURAS!$B$2:$J$91,9,FALSE()),""))</f>
      </c>
    </row>
    <row r="8893">
      <c r="F8893">
        <f>IF(DATOS!$A8893="","",DATOS!$A8893&amp;"|"&amp;DATOS!$D8893&amp;"|"&amp;DATOS!$E8893&amp;"|"&amp;DATOS!$I8893)</f>
      </c>
      <c r="G8893">
        <f>IF(DATOS!$A8893="",0,IF(CONFIG_METADATA!$B$4&lt;&gt;"OR+EX",--(DATOS!$G8893=CONFIG_METADATA!$B$4),IF(DATOS!$G8893="EX",1,IF(DATOS!$G8893="OR",--(COUNTIFS(nNIA,DATOS!$A8893,nCURSO,DATOS!$D8893,nESPEC,DATOS!$E8893,nASIG,DATOS!$I8893,nEVAL,"EX")=0),0))))</f>
      </c>
      <c r="H8893">
        <f>IF(DATOS!$G8893&lt;&gt;"EX",0,--(COUNTIFS(nNIA,DATOS!$A8893,nCURSO,DATOS!$D8893,nESPEC,DATOS!$E8893,nASIG,DATOS!$I8893,nEVAL,"OR")=0))</f>
      </c>
      <c r="I8893">
        <f>IF(DATOS!$I8893="","",IFERROR(VLOOKUP(DATOS!$I8893,CONFIG_ASIGNATURAS!$B$2:$J$91,9,FALSE()),""))</f>
      </c>
    </row>
    <row r="8894">
      <c r="F8894">
        <f>IF(DATOS!$A8894="","",DATOS!$A8894&amp;"|"&amp;DATOS!$D8894&amp;"|"&amp;DATOS!$E8894&amp;"|"&amp;DATOS!$I8894)</f>
      </c>
      <c r="G8894">
        <f>IF(DATOS!$A8894="",0,IF(CONFIG_METADATA!$B$4&lt;&gt;"OR+EX",--(DATOS!$G8894=CONFIG_METADATA!$B$4),IF(DATOS!$G8894="EX",1,IF(DATOS!$G8894="OR",--(COUNTIFS(nNIA,DATOS!$A8894,nCURSO,DATOS!$D8894,nESPEC,DATOS!$E8894,nASIG,DATOS!$I8894,nEVAL,"EX")=0),0))))</f>
      </c>
      <c r="H8894">
        <f>IF(DATOS!$G8894&lt;&gt;"EX",0,--(COUNTIFS(nNIA,DATOS!$A8894,nCURSO,DATOS!$D8894,nESPEC,DATOS!$E8894,nASIG,DATOS!$I8894,nEVAL,"OR")=0))</f>
      </c>
      <c r="I8894">
        <f>IF(DATOS!$I8894="","",IFERROR(VLOOKUP(DATOS!$I8894,CONFIG_ASIGNATURAS!$B$2:$J$91,9,FALSE()),""))</f>
      </c>
    </row>
    <row r="8895">
      <c r="F8895">
        <f>IF(DATOS!$A8895="","",DATOS!$A8895&amp;"|"&amp;DATOS!$D8895&amp;"|"&amp;DATOS!$E8895&amp;"|"&amp;DATOS!$I8895)</f>
      </c>
      <c r="G8895">
        <f>IF(DATOS!$A8895="",0,IF(CONFIG_METADATA!$B$4&lt;&gt;"OR+EX",--(DATOS!$G8895=CONFIG_METADATA!$B$4),IF(DATOS!$G8895="EX",1,IF(DATOS!$G8895="OR",--(COUNTIFS(nNIA,DATOS!$A8895,nCURSO,DATOS!$D8895,nESPEC,DATOS!$E8895,nASIG,DATOS!$I8895,nEVAL,"EX")=0),0))))</f>
      </c>
      <c r="H8895">
        <f>IF(DATOS!$G8895&lt;&gt;"EX",0,--(COUNTIFS(nNIA,DATOS!$A8895,nCURSO,DATOS!$D8895,nESPEC,DATOS!$E8895,nASIG,DATOS!$I8895,nEVAL,"OR")=0))</f>
      </c>
      <c r="I8895">
        <f>IF(DATOS!$I8895="","",IFERROR(VLOOKUP(DATOS!$I8895,CONFIG_ASIGNATURAS!$B$2:$J$91,9,FALSE()),""))</f>
      </c>
    </row>
    <row r="8896">
      <c r="F8896">
        <f>IF(DATOS!$A8896="","",DATOS!$A8896&amp;"|"&amp;DATOS!$D8896&amp;"|"&amp;DATOS!$E8896&amp;"|"&amp;DATOS!$I8896)</f>
      </c>
      <c r="G8896">
        <f>IF(DATOS!$A8896="",0,IF(CONFIG_METADATA!$B$4&lt;&gt;"OR+EX",--(DATOS!$G8896=CONFIG_METADATA!$B$4),IF(DATOS!$G8896="EX",1,IF(DATOS!$G8896="OR",--(COUNTIFS(nNIA,DATOS!$A8896,nCURSO,DATOS!$D8896,nESPEC,DATOS!$E8896,nASIG,DATOS!$I8896,nEVAL,"EX")=0),0))))</f>
      </c>
      <c r="H8896">
        <f>IF(DATOS!$G8896&lt;&gt;"EX",0,--(COUNTIFS(nNIA,DATOS!$A8896,nCURSO,DATOS!$D8896,nESPEC,DATOS!$E8896,nASIG,DATOS!$I8896,nEVAL,"OR")=0))</f>
      </c>
      <c r="I8896">
        <f>IF(DATOS!$I8896="","",IFERROR(VLOOKUP(DATOS!$I8896,CONFIG_ASIGNATURAS!$B$2:$J$91,9,FALSE()),""))</f>
      </c>
    </row>
    <row r="8897">
      <c r="F8897">
        <f>IF(DATOS!$A8897="","",DATOS!$A8897&amp;"|"&amp;DATOS!$D8897&amp;"|"&amp;DATOS!$E8897&amp;"|"&amp;DATOS!$I8897)</f>
      </c>
      <c r="G8897">
        <f>IF(DATOS!$A8897="",0,IF(CONFIG_METADATA!$B$4&lt;&gt;"OR+EX",--(DATOS!$G8897=CONFIG_METADATA!$B$4),IF(DATOS!$G8897="EX",1,IF(DATOS!$G8897="OR",--(COUNTIFS(nNIA,DATOS!$A8897,nCURSO,DATOS!$D8897,nESPEC,DATOS!$E8897,nASIG,DATOS!$I8897,nEVAL,"EX")=0),0))))</f>
      </c>
      <c r="H8897">
        <f>IF(DATOS!$G8897&lt;&gt;"EX",0,--(COUNTIFS(nNIA,DATOS!$A8897,nCURSO,DATOS!$D8897,nESPEC,DATOS!$E8897,nASIG,DATOS!$I8897,nEVAL,"OR")=0))</f>
      </c>
      <c r="I8897">
        <f>IF(DATOS!$I8897="","",IFERROR(VLOOKUP(DATOS!$I8897,CONFIG_ASIGNATURAS!$B$2:$J$91,9,FALSE()),""))</f>
      </c>
    </row>
    <row r="8898">
      <c r="F8898">
        <f>IF(DATOS!$A8898="","",DATOS!$A8898&amp;"|"&amp;DATOS!$D8898&amp;"|"&amp;DATOS!$E8898&amp;"|"&amp;DATOS!$I8898)</f>
      </c>
      <c r="G8898">
        <f>IF(DATOS!$A8898="",0,IF(CONFIG_METADATA!$B$4&lt;&gt;"OR+EX",--(DATOS!$G8898=CONFIG_METADATA!$B$4),IF(DATOS!$G8898="EX",1,IF(DATOS!$G8898="OR",--(COUNTIFS(nNIA,DATOS!$A8898,nCURSO,DATOS!$D8898,nESPEC,DATOS!$E8898,nASIG,DATOS!$I8898,nEVAL,"EX")=0),0))))</f>
      </c>
      <c r="H8898">
        <f>IF(DATOS!$G8898&lt;&gt;"EX",0,--(COUNTIFS(nNIA,DATOS!$A8898,nCURSO,DATOS!$D8898,nESPEC,DATOS!$E8898,nASIG,DATOS!$I8898,nEVAL,"OR")=0))</f>
      </c>
      <c r="I8898">
        <f>IF(DATOS!$I8898="","",IFERROR(VLOOKUP(DATOS!$I8898,CONFIG_ASIGNATURAS!$B$2:$J$91,9,FALSE()),""))</f>
      </c>
    </row>
    <row r="8899">
      <c r="F8899">
        <f>IF(DATOS!$A8899="","",DATOS!$A8899&amp;"|"&amp;DATOS!$D8899&amp;"|"&amp;DATOS!$E8899&amp;"|"&amp;DATOS!$I8899)</f>
      </c>
      <c r="G8899">
        <f>IF(DATOS!$A8899="",0,IF(CONFIG_METADATA!$B$4&lt;&gt;"OR+EX",--(DATOS!$G8899=CONFIG_METADATA!$B$4),IF(DATOS!$G8899="EX",1,IF(DATOS!$G8899="OR",--(COUNTIFS(nNIA,DATOS!$A8899,nCURSO,DATOS!$D8899,nESPEC,DATOS!$E8899,nASIG,DATOS!$I8899,nEVAL,"EX")=0),0))))</f>
      </c>
      <c r="H8899">
        <f>IF(DATOS!$G8899&lt;&gt;"EX",0,--(COUNTIFS(nNIA,DATOS!$A8899,nCURSO,DATOS!$D8899,nESPEC,DATOS!$E8899,nASIG,DATOS!$I8899,nEVAL,"OR")=0))</f>
      </c>
      <c r="I8899">
        <f>IF(DATOS!$I8899="","",IFERROR(VLOOKUP(DATOS!$I8899,CONFIG_ASIGNATURAS!$B$2:$J$91,9,FALSE()),""))</f>
      </c>
    </row>
    <row r="8900">
      <c r="F8900">
        <f>IF(DATOS!$A8900="","",DATOS!$A8900&amp;"|"&amp;DATOS!$D8900&amp;"|"&amp;DATOS!$E8900&amp;"|"&amp;DATOS!$I8900)</f>
      </c>
      <c r="G8900">
        <f>IF(DATOS!$A8900="",0,IF(CONFIG_METADATA!$B$4&lt;&gt;"OR+EX",--(DATOS!$G8900=CONFIG_METADATA!$B$4),IF(DATOS!$G8900="EX",1,IF(DATOS!$G8900="OR",--(COUNTIFS(nNIA,DATOS!$A8900,nCURSO,DATOS!$D8900,nESPEC,DATOS!$E8900,nASIG,DATOS!$I8900,nEVAL,"EX")=0),0))))</f>
      </c>
      <c r="H8900">
        <f>IF(DATOS!$G8900&lt;&gt;"EX",0,--(COUNTIFS(nNIA,DATOS!$A8900,nCURSO,DATOS!$D8900,nESPEC,DATOS!$E8900,nASIG,DATOS!$I8900,nEVAL,"OR")=0))</f>
      </c>
      <c r="I8900">
        <f>IF(DATOS!$I8900="","",IFERROR(VLOOKUP(DATOS!$I8900,CONFIG_ASIGNATURAS!$B$2:$J$91,9,FALSE()),""))</f>
      </c>
    </row>
    <row r="8901">
      <c r="F8901">
        <f>IF(DATOS!$A8901="","",DATOS!$A8901&amp;"|"&amp;DATOS!$D8901&amp;"|"&amp;DATOS!$E8901&amp;"|"&amp;DATOS!$I8901)</f>
      </c>
      <c r="G8901">
        <f>IF(DATOS!$A8901="",0,IF(CONFIG_METADATA!$B$4&lt;&gt;"OR+EX",--(DATOS!$G8901=CONFIG_METADATA!$B$4),IF(DATOS!$G8901="EX",1,IF(DATOS!$G8901="OR",--(COUNTIFS(nNIA,DATOS!$A8901,nCURSO,DATOS!$D8901,nESPEC,DATOS!$E8901,nASIG,DATOS!$I8901,nEVAL,"EX")=0),0))))</f>
      </c>
      <c r="H8901">
        <f>IF(DATOS!$G8901&lt;&gt;"EX",0,--(COUNTIFS(nNIA,DATOS!$A8901,nCURSO,DATOS!$D8901,nESPEC,DATOS!$E8901,nASIG,DATOS!$I8901,nEVAL,"OR")=0))</f>
      </c>
      <c r="I8901">
        <f>IF(DATOS!$I8901="","",IFERROR(VLOOKUP(DATOS!$I8901,CONFIG_ASIGNATURAS!$B$2:$J$91,9,FALSE()),""))</f>
      </c>
    </row>
    <row r="8902">
      <c r="F8902">
        <f>IF(DATOS!$A8902="","",DATOS!$A8902&amp;"|"&amp;DATOS!$D8902&amp;"|"&amp;DATOS!$E8902&amp;"|"&amp;DATOS!$I8902)</f>
      </c>
      <c r="G8902">
        <f>IF(DATOS!$A8902="",0,IF(CONFIG_METADATA!$B$4&lt;&gt;"OR+EX",--(DATOS!$G8902=CONFIG_METADATA!$B$4),IF(DATOS!$G8902="EX",1,IF(DATOS!$G8902="OR",--(COUNTIFS(nNIA,DATOS!$A8902,nCURSO,DATOS!$D8902,nESPEC,DATOS!$E8902,nASIG,DATOS!$I8902,nEVAL,"EX")=0),0))))</f>
      </c>
      <c r="H8902">
        <f>IF(DATOS!$G8902&lt;&gt;"EX",0,--(COUNTIFS(nNIA,DATOS!$A8902,nCURSO,DATOS!$D8902,nESPEC,DATOS!$E8902,nASIG,DATOS!$I8902,nEVAL,"OR")=0))</f>
      </c>
      <c r="I8902">
        <f>IF(DATOS!$I8902="","",IFERROR(VLOOKUP(DATOS!$I8902,CONFIG_ASIGNATURAS!$B$2:$J$91,9,FALSE()),""))</f>
      </c>
    </row>
    <row r="8903">
      <c r="F8903">
        <f>IF(DATOS!$A8903="","",DATOS!$A8903&amp;"|"&amp;DATOS!$D8903&amp;"|"&amp;DATOS!$E8903&amp;"|"&amp;DATOS!$I8903)</f>
      </c>
      <c r="G8903">
        <f>IF(DATOS!$A8903="",0,IF(CONFIG_METADATA!$B$4&lt;&gt;"OR+EX",--(DATOS!$G8903=CONFIG_METADATA!$B$4),IF(DATOS!$G8903="EX",1,IF(DATOS!$G8903="OR",--(COUNTIFS(nNIA,DATOS!$A8903,nCURSO,DATOS!$D8903,nESPEC,DATOS!$E8903,nASIG,DATOS!$I8903,nEVAL,"EX")=0),0))))</f>
      </c>
      <c r="H8903">
        <f>IF(DATOS!$G8903&lt;&gt;"EX",0,--(COUNTIFS(nNIA,DATOS!$A8903,nCURSO,DATOS!$D8903,nESPEC,DATOS!$E8903,nASIG,DATOS!$I8903,nEVAL,"OR")=0))</f>
      </c>
      <c r="I8903">
        <f>IF(DATOS!$I8903="","",IFERROR(VLOOKUP(DATOS!$I8903,CONFIG_ASIGNATURAS!$B$2:$J$91,9,FALSE()),""))</f>
      </c>
    </row>
    <row r="8904">
      <c r="F8904">
        <f>IF(DATOS!$A8904="","",DATOS!$A8904&amp;"|"&amp;DATOS!$D8904&amp;"|"&amp;DATOS!$E8904&amp;"|"&amp;DATOS!$I8904)</f>
      </c>
      <c r="G8904">
        <f>IF(DATOS!$A8904="",0,IF(CONFIG_METADATA!$B$4&lt;&gt;"OR+EX",--(DATOS!$G8904=CONFIG_METADATA!$B$4),IF(DATOS!$G8904="EX",1,IF(DATOS!$G8904="OR",--(COUNTIFS(nNIA,DATOS!$A8904,nCURSO,DATOS!$D8904,nESPEC,DATOS!$E8904,nASIG,DATOS!$I8904,nEVAL,"EX")=0),0))))</f>
      </c>
      <c r="H8904">
        <f>IF(DATOS!$G8904&lt;&gt;"EX",0,--(COUNTIFS(nNIA,DATOS!$A8904,nCURSO,DATOS!$D8904,nESPEC,DATOS!$E8904,nASIG,DATOS!$I8904,nEVAL,"OR")=0))</f>
      </c>
      <c r="I8904">
        <f>IF(DATOS!$I8904="","",IFERROR(VLOOKUP(DATOS!$I8904,CONFIG_ASIGNATURAS!$B$2:$J$91,9,FALSE()),""))</f>
      </c>
    </row>
    <row r="8905">
      <c r="F8905">
        <f>IF(DATOS!$A8905="","",DATOS!$A8905&amp;"|"&amp;DATOS!$D8905&amp;"|"&amp;DATOS!$E8905&amp;"|"&amp;DATOS!$I8905)</f>
      </c>
      <c r="G8905">
        <f>IF(DATOS!$A8905="",0,IF(CONFIG_METADATA!$B$4&lt;&gt;"OR+EX",--(DATOS!$G8905=CONFIG_METADATA!$B$4),IF(DATOS!$G8905="EX",1,IF(DATOS!$G8905="OR",--(COUNTIFS(nNIA,DATOS!$A8905,nCURSO,DATOS!$D8905,nESPEC,DATOS!$E8905,nASIG,DATOS!$I8905,nEVAL,"EX")=0),0))))</f>
      </c>
      <c r="H8905">
        <f>IF(DATOS!$G8905&lt;&gt;"EX",0,--(COUNTIFS(nNIA,DATOS!$A8905,nCURSO,DATOS!$D8905,nESPEC,DATOS!$E8905,nASIG,DATOS!$I8905,nEVAL,"OR")=0))</f>
      </c>
      <c r="I8905">
        <f>IF(DATOS!$I8905="","",IFERROR(VLOOKUP(DATOS!$I8905,CONFIG_ASIGNATURAS!$B$2:$J$91,9,FALSE()),""))</f>
      </c>
    </row>
    <row r="8906">
      <c r="F8906">
        <f>IF(DATOS!$A8906="","",DATOS!$A8906&amp;"|"&amp;DATOS!$D8906&amp;"|"&amp;DATOS!$E8906&amp;"|"&amp;DATOS!$I8906)</f>
      </c>
      <c r="G8906">
        <f>IF(DATOS!$A8906="",0,IF(CONFIG_METADATA!$B$4&lt;&gt;"OR+EX",--(DATOS!$G8906=CONFIG_METADATA!$B$4),IF(DATOS!$G8906="EX",1,IF(DATOS!$G8906="OR",--(COUNTIFS(nNIA,DATOS!$A8906,nCURSO,DATOS!$D8906,nESPEC,DATOS!$E8906,nASIG,DATOS!$I8906,nEVAL,"EX")=0),0))))</f>
      </c>
      <c r="H8906">
        <f>IF(DATOS!$G8906&lt;&gt;"EX",0,--(COUNTIFS(nNIA,DATOS!$A8906,nCURSO,DATOS!$D8906,nESPEC,DATOS!$E8906,nASIG,DATOS!$I8906,nEVAL,"OR")=0))</f>
      </c>
      <c r="I8906">
        <f>IF(DATOS!$I8906="","",IFERROR(VLOOKUP(DATOS!$I8906,CONFIG_ASIGNATURAS!$B$2:$J$91,9,FALSE()),""))</f>
      </c>
    </row>
    <row r="8907">
      <c r="F8907">
        <f>IF(DATOS!$A8907="","",DATOS!$A8907&amp;"|"&amp;DATOS!$D8907&amp;"|"&amp;DATOS!$E8907&amp;"|"&amp;DATOS!$I8907)</f>
      </c>
      <c r="G8907">
        <f>IF(DATOS!$A8907="",0,IF(CONFIG_METADATA!$B$4&lt;&gt;"OR+EX",--(DATOS!$G8907=CONFIG_METADATA!$B$4),IF(DATOS!$G8907="EX",1,IF(DATOS!$G8907="OR",--(COUNTIFS(nNIA,DATOS!$A8907,nCURSO,DATOS!$D8907,nESPEC,DATOS!$E8907,nASIG,DATOS!$I8907,nEVAL,"EX")=0),0))))</f>
      </c>
      <c r="H8907">
        <f>IF(DATOS!$G8907&lt;&gt;"EX",0,--(COUNTIFS(nNIA,DATOS!$A8907,nCURSO,DATOS!$D8907,nESPEC,DATOS!$E8907,nASIG,DATOS!$I8907,nEVAL,"OR")=0))</f>
      </c>
      <c r="I8907">
        <f>IF(DATOS!$I8907="","",IFERROR(VLOOKUP(DATOS!$I8907,CONFIG_ASIGNATURAS!$B$2:$J$91,9,FALSE()),""))</f>
      </c>
    </row>
    <row r="8908">
      <c r="F8908">
        <f>IF(DATOS!$A8908="","",DATOS!$A8908&amp;"|"&amp;DATOS!$D8908&amp;"|"&amp;DATOS!$E8908&amp;"|"&amp;DATOS!$I8908)</f>
      </c>
      <c r="G8908">
        <f>IF(DATOS!$A8908="",0,IF(CONFIG_METADATA!$B$4&lt;&gt;"OR+EX",--(DATOS!$G8908=CONFIG_METADATA!$B$4),IF(DATOS!$G8908="EX",1,IF(DATOS!$G8908="OR",--(COUNTIFS(nNIA,DATOS!$A8908,nCURSO,DATOS!$D8908,nESPEC,DATOS!$E8908,nASIG,DATOS!$I8908,nEVAL,"EX")=0),0))))</f>
      </c>
      <c r="H8908">
        <f>IF(DATOS!$G8908&lt;&gt;"EX",0,--(COUNTIFS(nNIA,DATOS!$A8908,nCURSO,DATOS!$D8908,nESPEC,DATOS!$E8908,nASIG,DATOS!$I8908,nEVAL,"OR")=0))</f>
      </c>
      <c r="I8908">
        <f>IF(DATOS!$I8908="","",IFERROR(VLOOKUP(DATOS!$I8908,CONFIG_ASIGNATURAS!$B$2:$J$91,9,FALSE()),""))</f>
      </c>
    </row>
    <row r="8909">
      <c r="F8909">
        <f>IF(DATOS!$A8909="","",DATOS!$A8909&amp;"|"&amp;DATOS!$D8909&amp;"|"&amp;DATOS!$E8909&amp;"|"&amp;DATOS!$I8909)</f>
      </c>
      <c r="G8909">
        <f>IF(DATOS!$A8909="",0,IF(CONFIG_METADATA!$B$4&lt;&gt;"OR+EX",--(DATOS!$G8909=CONFIG_METADATA!$B$4),IF(DATOS!$G8909="EX",1,IF(DATOS!$G8909="OR",--(COUNTIFS(nNIA,DATOS!$A8909,nCURSO,DATOS!$D8909,nESPEC,DATOS!$E8909,nASIG,DATOS!$I8909,nEVAL,"EX")=0),0))))</f>
      </c>
      <c r="H8909">
        <f>IF(DATOS!$G8909&lt;&gt;"EX",0,--(COUNTIFS(nNIA,DATOS!$A8909,nCURSO,DATOS!$D8909,nESPEC,DATOS!$E8909,nASIG,DATOS!$I8909,nEVAL,"OR")=0))</f>
      </c>
      <c r="I8909">
        <f>IF(DATOS!$I8909="","",IFERROR(VLOOKUP(DATOS!$I8909,CONFIG_ASIGNATURAS!$B$2:$J$91,9,FALSE()),""))</f>
      </c>
    </row>
    <row r="8910">
      <c r="F8910">
        <f>IF(DATOS!$A8910="","",DATOS!$A8910&amp;"|"&amp;DATOS!$D8910&amp;"|"&amp;DATOS!$E8910&amp;"|"&amp;DATOS!$I8910)</f>
      </c>
      <c r="G8910">
        <f>IF(DATOS!$A8910="",0,IF(CONFIG_METADATA!$B$4&lt;&gt;"OR+EX",--(DATOS!$G8910=CONFIG_METADATA!$B$4),IF(DATOS!$G8910="EX",1,IF(DATOS!$G8910="OR",--(COUNTIFS(nNIA,DATOS!$A8910,nCURSO,DATOS!$D8910,nESPEC,DATOS!$E8910,nASIG,DATOS!$I8910,nEVAL,"EX")=0),0))))</f>
      </c>
      <c r="H8910">
        <f>IF(DATOS!$G8910&lt;&gt;"EX",0,--(COUNTIFS(nNIA,DATOS!$A8910,nCURSO,DATOS!$D8910,nESPEC,DATOS!$E8910,nASIG,DATOS!$I8910,nEVAL,"OR")=0))</f>
      </c>
      <c r="I8910">
        <f>IF(DATOS!$I8910="","",IFERROR(VLOOKUP(DATOS!$I8910,CONFIG_ASIGNATURAS!$B$2:$J$91,9,FALSE()),""))</f>
      </c>
    </row>
    <row r="8911">
      <c r="F8911">
        <f>IF(DATOS!$A8911="","",DATOS!$A8911&amp;"|"&amp;DATOS!$D8911&amp;"|"&amp;DATOS!$E8911&amp;"|"&amp;DATOS!$I8911)</f>
      </c>
      <c r="G8911">
        <f>IF(DATOS!$A8911="",0,IF(CONFIG_METADATA!$B$4&lt;&gt;"OR+EX",--(DATOS!$G8911=CONFIG_METADATA!$B$4),IF(DATOS!$G8911="EX",1,IF(DATOS!$G8911="OR",--(COUNTIFS(nNIA,DATOS!$A8911,nCURSO,DATOS!$D8911,nESPEC,DATOS!$E8911,nASIG,DATOS!$I8911,nEVAL,"EX")=0),0))))</f>
      </c>
      <c r="H8911">
        <f>IF(DATOS!$G8911&lt;&gt;"EX",0,--(COUNTIFS(nNIA,DATOS!$A8911,nCURSO,DATOS!$D8911,nESPEC,DATOS!$E8911,nASIG,DATOS!$I8911,nEVAL,"OR")=0))</f>
      </c>
      <c r="I8911">
        <f>IF(DATOS!$I8911="","",IFERROR(VLOOKUP(DATOS!$I8911,CONFIG_ASIGNATURAS!$B$2:$J$91,9,FALSE()),""))</f>
      </c>
    </row>
    <row r="8912">
      <c r="F8912">
        <f>IF(DATOS!$A8912="","",DATOS!$A8912&amp;"|"&amp;DATOS!$D8912&amp;"|"&amp;DATOS!$E8912&amp;"|"&amp;DATOS!$I8912)</f>
      </c>
      <c r="G8912">
        <f>IF(DATOS!$A8912="",0,IF(CONFIG_METADATA!$B$4&lt;&gt;"OR+EX",--(DATOS!$G8912=CONFIG_METADATA!$B$4),IF(DATOS!$G8912="EX",1,IF(DATOS!$G8912="OR",--(COUNTIFS(nNIA,DATOS!$A8912,nCURSO,DATOS!$D8912,nESPEC,DATOS!$E8912,nASIG,DATOS!$I8912,nEVAL,"EX")=0),0))))</f>
      </c>
      <c r="H8912">
        <f>IF(DATOS!$G8912&lt;&gt;"EX",0,--(COUNTIFS(nNIA,DATOS!$A8912,nCURSO,DATOS!$D8912,nESPEC,DATOS!$E8912,nASIG,DATOS!$I8912,nEVAL,"OR")=0))</f>
      </c>
      <c r="I8912">
        <f>IF(DATOS!$I8912="","",IFERROR(VLOOKUP(DATOS!$I8912,CONFIG_ASIGNATURAS!$B$2:$J$91,9,FALSE()),""))</f>
      </c>
    </row>
    <row r="8913">
      <c r="F8913">
        <f>IF(DATOS!$A8913="","",DATOS!$A8913&amp;"|"&amp;DATOS!$D8913&amp;"|"&amp;DATOS!$E8913&amp;"|"&amp;DATOS!$I8913)</f>
      </c>
      <c r="G8913">
        <f>IF(DATOS!$A8913="",0,IF(CONFIG_METADATA!$B$4&lt;&gt;"OR+EX",--(DATOS!$G8913=CONFIG_METADATA!$B$4),IF(DATOS!$G8913="EX",1,IF(DATOS!$G8913="OR",--(COUNTIFS(nNIA,DATOS!$A8913,nCURSO,DATOS!$D8913,nESPEC,DATOS!$E8913,nASIG,DATOS!$I8913,nEVAL,"EX")=0),0))))</f>
      </c>
      <c r="H8913">
        <f>IF(DATOS!$G8913&lt;&gt;"EX",0,--(COUNTIFS(nNIA,DATOS!$A8913,nCURSO,DATOS!$D8913,nESPEC,DATOS!$E8913,nASIG,DATOS!$I8913,nEVAL,"OR")=0))</f>
      </c>
      <c r="I8913">
        <f>IF(DATOS!$I8913="","",IFERROR(VLOOKUP(DATOS!$I8913,CONFIG_ASIGNATURAS!$B$2:$J$91,9,FALSE()),""))</f>
      </c>
    </row>
    <row r="8914">
      <c r="F8914">
        <f>IF(DATOS!$A8914="","",DATOS!$A8914&amp;"|"&amp;DATOS!$D8914&amp;"|"&amp;DATOS!$E8914&amp;"|"&amp;DATOS!$I8914)</f>
      </c>
      <c r="G8914">
        <f>IF(DATOS!$A8914="",0,IF(CONFIG_METADATA!$B$4&lt;&gt;"OR+EX",--(DATOS!$G8914=CONFIG_METADATA!$B$4),IF(DATOS!$G8914="EX",1,IF(DATOS!$G8914="OR",--(COUNTIFS(nNIA,DATOS!$A8914,nCURSO,DATOS!$D8914,nESPEC,DATOS!$E8914,nASIG,DATOS!$I8914,nEVAL,"EX")=0),0))))</f>
      </c>
      <c r="H8914">
        <f>IF(DATOS!$G8914&lt;&gt;"EX",0,--(COUNTIFS(nNIA,DATOS!$A8914,nCURSO,DATOS!$D8914,nESPEC,DATOS!$E8914,nASIG,DATOS!$I8914,nEVAL,"OR")=0))</f>
      </c>
      <c r="I8914">
        <f>IF(DATOS!$I8914="","",IFERROR(VLOOKUP(DATOS!$I8914,CONFIG_ASIGNATURAS!$B$2:$J$91,9,FALSE()),""))</f>
      </c>
    </row>
    <row r="8915">
      <c r="F8915">
        <f>IF(DATOS!$A8915="","",DATOS!$A8915&amp;"|"&amp;DATOS!$D8915&amp;"|"&amp;DATOS!$E8915&amp;"|"&amp;DATOS!$I8915)</f>
      </c>
      <c r="G8915">
        <f>IF(DATOS!$A8915="",0,IF(CONFIG_METADATA!$B$4&lt;&gt;"OR+EX",--(DATOS!$G8915=CONFIG_METADATA!$B$4),IF(DATOS!$G8915="EX",1,IF(DATOS!$G8915="OR",--(COUNTIFS(nNIA,DATOS!$A8915,nCURSO,DATOS!$D8915,nESPEC,DATOS!$E8915,nASIG,DATOS!$I8915,nEVAL,"EX")=0),0))))</f>
      </c>
      <c r="H8915">
        <f>IF(DATOS!$G8915&lt;&gt;"EX",0,--(COUNTIFS(nNIA,DATOS!$A8915,nCURSO,DATOS!$D8915,nESPEC,DATOS!$E8915,nASIG,DATOS!$I8915,nEVAL,"OR")=0))</f>
      </c>
      <c r="I8915">
        <f>IF(DATOS!$I8915="","",IFERROR(VLOOKUP(DATOS!$I8915,CONFIG_ASIGNATURAS!$B$2:$J$91,9,FALSE()),""))</f>
      </c>
    </row>
    <row r="8916">
      <c r="F8916">
        <f>IF(DATOS!$A8916="","",DATOS!$A8916&amp;"|"&amp;DATOS!$D8916&amp;"|"&amp;DATOS!$E8916&amp;"|"&amp;DATOS!$I8916)</f>
      </c>
      <c r="G8916">
        <f>IF(DATOS!$A8916="",0,IF(CONFIG_METADATA!$B$4&lt;&gt;"OR+EX",--(DATOS!$G8916=CONFIG_METADATA!$B$4),IF(DATOS!$G8916="EX",1,IF(DATOS!$G8916="OR",--(COUNTIFS(nNIA,DATOS!$A8916,nCURSO,DATOS!$D8916,nESPEC,DATOS!$E8916,nASIG,DATOS!$I8916,nEVAL,"EX")=0),0))))</f>
      </c>
      <c r="H8916">
        <f>IF(DATOS!$G8916&lt;&gt;"EX",0,--(COUNTIFS(nNIA,DATOS!$A8916,nCURSO,DATOS!$D8916,nESPEC,DATOS!$E8916,nASIG,DATOS!$I8916,nEVAL,"OR")=0))</f>
      </c>
      <c r="I8916">
        <f>IF(DATOS!$I8916="","",IFERROR(VLOOKUP(DATOS!$I8916,CONFIG_ASIGNATURAS!$B$2:$J$91,9,FALSE()),""))</f>
      </c>
    </row>
    <row r="8917">
      <c r="F8917">
        <f>IF(DATOS!$A8917="","",DATOS!$A8917&amp;"|"&amp;DATOS!$D8917&amp;"|"&amp;DATOS!$E8917&amp;"|"&amp;DATOS!$I8917)</f>
      </c>
      <c r="G8917">
        <f>IF(DATOS!$A8917="",0,IF(CONFIG_METADATA!$B$4&lt;&gt;"OR+EX",--(DATOS!$G8917=CONFIG_METADATA!$B$4),IF(DATOS!$G8917="EX",1,IF(DATOS!$G8917="OR",--(COUNTIFS(nNIA,DATOS!$A8917,nCURSO,DATOS!$D8917,nESPEC,DATOS!$E8917,nASIG,DATOS!$I8917,nEVAL,"EX")=0),0))))</f>
      </c>
      <c r="H8917">
        <f>IF(DATOS!$G8917&lt;&gt;"EX",0,--(COUNTIFS(nNIA,DATOS!$A8917,nCURSO,DATOS!$D8917,nESPEC,DATOS!$E8917,nASIG,DATOS!$I8917,nEVAL,"OR")=0))</f>
      </c>
      <c r="I8917">
        <f>IF(DATOS!$I8917="","",IFERROR(VLOOKUP(DATOS!$I8917,CONFIG_ASIGNATURAS!$B$2:$J$91,9,FALSE()),""))</f>
      </c>
    </row>
    <row r="8918">
      <c r="F8918">
        <f>IF(DATOS!$A8918="","",DATOS!$A8918&amp;"|"&amp;DATOS!$D8918&amp;"|"&amp;DATOS!$E8918&amp;"|"&amp;DATOS!$I8918)</f>
      </c>
      <c r="G8918">
        <f>IF(DATOS!$A8918="",0,IF(CONFIG_METADATA!$B$4&lt;&gt;"OR+EX",--(DATOS!$G8918=CONFIG_METADATA!$B$4),IF(DATOS!$G8918="EX",1,IF(DATOS!$G8918="OR",--(COUNTIFS(nNIA,DATOS!$A8918,nCURSO,DATOS!$D8918,nESPEC,DATOS!$E8918,nASIG,DATOS!$I8918,nEVAL,"EX")=0),0))))</f>
      </c>
      <c r="H8918">
        <f>IF(DATOS!$G8918&lt;&gt;"EX",0,--(COUNTIFS(nNIA,DATOS!$A8918,nCURSO,DATOS!$D8918,nESPEC,DATOS!$E8918,nASIG,DATOS!$I8918,nEVAL,"OR")=0))</f>
      </c>
      <c r="I8918">
        <f>IF(DATOS!$I8918="","",IFERROR(VLOOKUP(DATOS!$I8918,CONFIG_ASIGNATURAS!$B$2:$J$91,9,FALSE()),""))</f>
      </c>
    </row>
    <row r="8919">
      <c r="F8919">
        <f>IF(DATOS!$A8919="","",DATOS!$A8919&amp;"|"&amp;DATOS!$D8919&amp;"|"&amp;DATOS!$E8919&amp;"|"&amp;DATOS!$I8919)</f>
      </c>
      <c r="G8919">
        <f>IF(DATOS!$A8919="",0,IF(CONFIG_METADATA!$B$4&lt;&gt;"OR+EX",--(DATOS!$G8919=CONFIG_METADATA!$B$4),IF(DATOS!$G8919="EX",1,IF(DATOS!$G8919="OR",--(COUNTIFS(nNIA,DATOS!$A8919,nCURSO,DATOS!$D8919,nESPEC,DATOS!$E8919,nASIG,DATOS!$I8919,nEVAL,"EX")=0),0))))</f>
      </c>
      <c r="H8919">
        <f>IF(DATOS!$G8919&lt;&gt;"EX",0,--(COUNTIFS(nNIA,DATOS!$A8919,nCURSO,DATOS!$D8919,nESPEC,DATOS!$E8919,nASIG,DATOS!$I8919,nEVAL,"OR")=0))</f>
      </c>
      <c r="I8919">
        <f>IF(DATOS!$I8919="","",IFERROR(VLOOKUP(DATOS!$I8919,CONFIG_ASIGNATURAS!$B$2:$J$91,9,FALSE()),""))</f>
      </c>
    </row>
    <row r="8920">
      <c r="F8920">
        <f>IF(DATOS!$A8920="","",DATOS!$A8920&amp;"|"&amp;DATOS!$D8920&amp;"|"&amp;DATOS!$E8920&amp;"|"&amp;DATOS!$I8920)</f>
      </c>
      <c r="G8920">
        <f>IF(DATOS!$A8920="",0,IF(CONFIG_METADATA!$B$4&lt;&gt;"OR+EX",--(DATOS!$G8920=CONFIG_METADATA!$B$4),IF(DATOS!$G8920="EX",1,IF(DATOS!$G8920="OR",--(COUNTIFS(nNIA,DATOS!$A8920,nCURSO,DATOS!$D8920,nESPEC,DATOS!$E8920,nASIG,DATOS!$I8920,nEVAL,"EX")=0),0))))</f>
      </c>
      <c r="H8920">
        <f>IF(DATOS!$G8920&lt;&gt;"EX",0,--(COUNTIFS(nNIA,DATOS!$A8920,nCURSO,DATOS!$D8920,nESPEC,DATOS!$E8920,nASIG,DATOS!$I8920,nEVAL,"OR")=0))</f>
      </c>
      <c r="I8920">
        <f>IF(DATOS!$I8920="","",IFERROR(VLOOKUP(DATOS!$I8920,CONFIG_ASIGNATURAS!$B$2:$J$91,9,FALSE()),""))</f>
      </c>
    </row>
    <row r="8921">
      <c r="F8921">
        <f>IF(DATOS!$A8921="","",DATOS!$A8921&amp;"|"&amp;DATOS!$D8921&amp;"|"&amp;DATOS!$E8921&amp;"|"&amp;DATOS!$I8921)</f>
      </c>
      <c r="G8921">
        <f>IF(DATOS!$A8921="",0,IF(CONFIG_METADATA!$B$4&lt;&gt;"OR+EX",--(DATOS!$G8921=CONFIG_METADATA!$B$4),IF(DATOS!$G8921="EX",1,IF(DATOS!$G8921="OR",--(COUNTIFS(nNIA,DATOS!$A8921,nCURSO,DATOS!$D8921,nESPEC,DATOS!$E8921,nASIG,DATOS!$I8921,nEVAL,"EX")=0),0))))</f>
      </c>
      <c r="H8921">
        <f>IF(DATOS!$G8921&lt;&gt;"EX",0,--(COUNTIFS(nNIA,DATOS!$A8921,nCURSO,DATOS!$D8921,nESPEC,DATOS!$E8921,nASIG,DATOS!$I8921,nEVAL,"OR")=0))</f>
      </c>
      <c r="I8921">
        <f>IF(DATOS!$I8921="","",IFERROR(VLOOKUP(DATOS!$I8921,CONFIG_ASIGNATURAS!$B$2:$J$91,9,FALSE()),""))</f>
      </c>
    </row>
    <row r="8922">
      <c r="F8922">
        <f>IF(DATOS!$A8922="","",DATOS!$A8922&amp;"|"&amp;DATOS!$D8922&amp;"|"&amp;DATOS!$E8922&amp;"|"&amp;DATOS!$I8922)</f>
      </c>
      <c r="G8922">
        <f>IF(DATOS!$A8922="",0,IF(CONFIG_METADATA!$B$4&lt;&gt;"OR+EX",--(DATOS!$G8922=CONFIG_METADATA!$B$4),IF(DATOS!$G8922="EX",1,IF(DATOS!$G8922="OR",--(COUNTIFS(nNIA,DATOS!$A8922,nCURSO,DATOS!$D8922,nESPEC,DATOS!$E8922,nASIG,DATOS!$I8922,nEVAL,"EX")=0),0))))</f>
      </c>
      <c r="H8922">
        <f>IF(DATOS!$G8922&lt;&gt;"EX",0,--(COUNTIFS(nNIA,DATOS!$A8922,nCURSO,DATOS!$D8922,nESPEC,DATOS!$E8922,nASIG,DATOS!$I8922,nEVAL,"OR")=0))</f>
      </c>
      <c r="I8922">
        <f>IF(DATOS!$I8922="","",IFERROR(VLOOKUP(DATOS!$I8922,CONFIG_ASIGNATURAS!$B$2:$J$91,9,FALSE()),""))</f>
      </c>
    </row>
    <row r="8923">
      <c r="F8923">
        <f>IF(DATOS!$A8923="","",DATOS!$A8923&amp;"|"&amp;DATOS!$D8923&amp;"|"&amp;DATOS!$E8923&amp;"|"&amp;DATOS!$I8923)</f>
      </c>
      <c r="G8923">
        <f>IF(DATOS!$A8923="",0,IF(CONFIG_METADATA!$B$4&lt;&gt;"OR+EX",--(DATOS!$G8923=CONFIG_METADATA!$B$4),IF(DATOS!$G8923="EX",1,IF(DATOS!$G8923="OR",--(COUNTIFS(nNIA,DATOS!$A8923,nCURSO,DATOS!$D8923,nESPEC,DATOS!$E8923,nASIG,DATOS!$I8923,nEVAL,"EX")=0),0))))</f>
      </c>
      <c r="H8923">
        <f>IF(DATOS!$G8923&lt;&gt;"EX",0,--(COUNTIFS(nNIA,DATOS!$A8923,nCURSO,DATOS!$D8923,nESPEC,DATOS!$E8923,nASIG,DATOS!$I8923,nEVAL,"OR")=0))</f>
      </c>
      <c r="I8923">
        <f>IF(DATOS!$I8923="","",IFERROR(VLOOKUP(DATOS!$I8923,CONFIG_ASIGNATURAS!$B$2:$J$91,9,FALSE()),""))</f>
      </c>
    </row>
    <row r="8924">
      <c r="F8924">
        <f>IF(DATOS!$A8924="","",DATOS!$A8924&amp;"|"&amp;DATOS!$D8924&amp;"|"&amp;DATOS!$E8924&amp;"|"&amp;DATOS!$I8924)</f>
      </c>
      <c r="G8924">
        <f>IF(DATOS!$A8924="",0,IF(CONFIG_METADATA!$B$4&lt;&gt;"OR+EX",--(DATOS!$G8924=CONFIG_METADATA!$B$4),IF(DATOS!$G8924="EX",1,IF(DATOS!$G8924="OR",--(COUNTIFS(nNIA,DATOS!$A8924,nCURSO,DATOS!$D8924,nESPEC,DATOS!$E8924,nASIG,DATOS!$I8924,nEVAL,"EX")=0),0))))</f>
      </c>
      <c r="H8924">
        <f>IF(DATOS!$G8924&lt;&gt;"EX",0,--(COUNTIFS(nNIA,DATOS!$A8924,nCURSO,DATOS!$D8924,nESPEC,DATOS!$E8924,nASIG,DATOS!$I8924,nEVAL,"OR")=0))</f>
      </c>
      <c r="I8924">
        <f>IF(DATOS!$I8924="","",IFERROR(VLOOKUP(DATOS!$I8924,CONFIG_ASIGNATURAS!$B$2:$J$91,9,FALSE()),""))</f>
      </c>
    </row>
    <row r="8925">
      <c r="F8925">
        <f>IF(DATOS!$A8925="","",DATOS!$A8925&amp;"|"&amp;DATOS!$D8925&amp;"|"&amp;DATOS!$E8925&amp;"|"&amp;DATOS!$I8925)</f>
      </c>
      <c r="G8925">
        <f>IF(DATOS!$A8925="",0,IF(CONFIG_METADATA!$B$4&lt;&gt;"OR+EX",--(DATOS!$G8925=CONFIG_METADATA!$B$4),IF(DATOS!$G8925="EX",1,IF(DATOS!$G8925="OR",--(COUNTIFS(nNIA,DATOS!$A8925,nCURSO,DATOS!$D8925,nESPEC,DATOS!$E8925,nASIG,DATOS!$I8925,nEVAL,"EX")=0),0))))</f>
      </c>
      <c r="H8925">
        <f>IF(DATOS!$G8925&lt;&gt;"EX",0,--(COUNTIFS(nNIA,DATOS!$A8925,nCURSO,DATOS!$D8925,nESPEC,DATOS!$E8925,nASIG,DATOS!$I8925,nEVAL,"OR")=0))</f>
      </c>
      <c r="I8925">
        <f>IF(DATOS!$I8925="","",IFERROR(VLOOKUP(DATOS!$I8925,CONFIG_ASIGNATURAS!$B$2:$J$91,9,FALSE()),""))</f>
      </c>
    </row>
    <row r="8926">
      <c r="F8926">
        <f>IF(DATOS!$A8926="","",DATOS!$A8926&amp;"|"&amp;DATOS!$D8926&amp;"|"&amp;DATOS!$E8926&amp;"|"&amp;DATOS!$I8926)</f>
      </c>
      <c r="G8926">
        <f>IF(DATOS!$A8926="",0,IF(CONFIG_METADATA!$B$4&lt;&gt;"OR+EX",--(DATOS!$G8926=CONFIG_METADATA!$B$4),IF(DATOS!$G8926="EX",1,IF(DATOS!$G8926="OR",--(COUNTIFS(nNIA,DATOS!$A8926,nCURSO,DATOS!$D8926,nESPEC,DATOS!$E8926,nASIG,DATOS!$I8926,nEVAL,"EX")=0),0))))</f>
      </c>
      <c r="H8926">
        <f>IF(DATOS!$G8926&lt;&gt;"EX",0,--(COUNTIFS(nNIA,DATOS!$A8926,nCURSO,DATOS!$D8926,nESPEC,DATOS!$E8926,nASIG,DATOS!$I8926,nEVAL,"OR")=0))</f>
      </c>
      <c r="I8926">
        <f>IF(DATOS!$I8926="","",IFERROR(VLOOKUP(DATOS!$I8926,CONFIG_ASIGNATURAS!$B$2:$J$91,9,FALSE()),""))</f>
      </c>
    </row>
    <row r="8927">
      <c r="F8927">
        <f>IF(DATOS!$A8927="","",DATOS!$A8927&amp;"|"&amp;DATOS!$D8927&amp;"|"&amp;DATOS!$E8927&amp;"|"&amp;DATOS!$I8927)</f>
      </c>
      <c r="G8927">
        <f>IF(DATOS!$A8927="",0,IF(CONFIG_METADATA!$B$4&lt;&gt;"OR+EX",--(DATOS!$G8927=CONFIG_METADATA!$B$4),IF(DATOS!$G8927="EX",1,IF(DATOS!$G8927="OR",--(COUNTIFS(nNIA,DATOS!$A8927,nCURSO,DATOS!$D8927,nESPEC,DATOS!$E8927,nASIG,DATOS!$I8927,nEVAL,"EX")=0),0))))</f>
      </c>
      <c r="H8927">
        <f>IF(DATOS!$G8927&lt;&gt;"EX",0,--(COUNTIFS(nNIA,DATOS!$A8927,nCURSO,DATOS!$D8927,nESPEC,DATOS!$E8927,nASIG,DATOS!$I8927,nEVAL,"OR")=0))</f>
      </c>
      <c r="I8927">
        <f>IF(DATOS!$I8927="","",IFERROR(VLOOKUP(DATOS!$I8927,CONFIG_ASIGNATURAS!$B$2:$J$91,9,FALSE()),""))</f>
      </c>
    </row>
    <row r="8928">
      <c r="F8928">
        <f>IF(DATOS!$A8928="","",DATOS!$A8928&amp;"|"&amp;DATOS!$D8928&amp;"|"&amp;DATOS!$E8928&amp;"|"&amp;DATOS!$I8928)</f>
      </c>
      <c r="G8928">
        <f>IF(DATOS!$A8928="",0,IF(CONFIG_METADATA!$B$4&lt;&gt;"OR+EX",--(DATOS!$G8928=CONFIG_METADATA!$B$4),IF(DATOS!$G8928="EX",1,IF(DATOS!$G8928="OR",--(COUNTIFS(nNIA,DATOS!$A8928,nCURSO,DATOS!$D8928,nESPEC,DATOS!$E8928,nASIG,DATOS!$I8928,nEVAL,"EX")=0),0))))</f>
      </c>
      <c r="H8928">
        <f>IF(DATOS!$G8928&lt;&gt;"EX",0,--(COUNTIFS(nNIA,DATOS!$A8928,nCURSO,DATOS!$D8928,nESPEC,DATOS!$E8928,nASIG,DATOS!$I8928,nEVAL,"OR")=0))</f>
      </c>
      <c r="I8928">
        <f>IF(DATOS!$I8928="","",IFERROR(VLOOKUP(DATOS!$I8928,CONFIG_ASIGNATURAS!$B$2:$J$91,9,FALSE()),""))</f>
      </c>
    </row>
    <row r="8929">
      <c r="F8929">
        <f>IF(DATOS!$A8929="","",DATOS!$A8929&amp;"|"&amp;DATOS!$D8929&amp;"|"&amp;DATOS!$E8929&amp;"|"&amp;DATOS!$I8929)</f>
      </c>
      <c r="G8929">
        <f>IF(DATOS!$A8929="",0,IF(CONFIG_METADATA!$B$4&lt;&gt;"OR+EX",--(DATOS!$G8929=CONFIG_METADATA!$B$4),IF(DATOS!$G8929="EX",1,IF(DATOS!$G8929="OR",--(COUNTIFS(nNIA,DATOS!$A8929,nCURSO,DATOS!$D8929,nESPEC,DATOS!$E8929,nASIG,DATOS!$I8929,nEVAL,"EX")=0),0))))</f>
      </c>
      <c r="H8929">
        <f>IF(DATOS!$G8929&lt;&gt;"EX",0,--(COUNTIFS(nNIA,DATOS!$A8929,nCURSO,DATOS!$D8929,nESPEC,DATOS!$E8929,nASIG,DATOS!$I8929,nEVAL,"OR")=0))</f>
      </c>
      <c r="I8929">
        <f>IF(DATOS!$I8929="","",IFERROR(VLOOKUP(DATOS!$I8929,CONFIG_ASIGNATURAS!$B$2:$J$91,9,FALSE()),""))</f>
      </c>
    </row>
    <row r="8930">
      <c r="F8930">
        <f>IF(DATOS!$A8930="","",DATOS!$A8930&amp;"|"&amp;DATOS!$D8930&amp;"|"&amp;DATOS!$E8930&amp;"|"&amp;DATOS!$I8930)</f>
      </c>
      <c r="G8930">
        <f>IF(DATOS!$A8930="",0,IF(CONFIG_METADATA!$B$4&lt;&gt;"OR+EX",--(DATOS!$G8930=CONFIG_METADATA!$B$4),IF(DATOS!$G8930="EX",1,IF(DATOS!$G8930="OR",--(COUNTIFS(nNIA,DATOS!$A8930,nCURSO,DATOS!$D8930,nESPEC,DATOS!$E8930,nASIG,DATOS!$I8930,nEVAL,"EX")=0),0))))</f>
      </c>
      <c r="H8930">
        <f>IF(DATOS!$G8930&lt;&gt;"EX",0,--(COUNTIFS(nNIA,DATOS!$A8930,nCURSO,DATOS!$D8930,nESPEC,DATOS!$E8930,nASIG,DATOS!$I8930,nEVAL,"OR")=0))</f>
      </c>
      <c r="I8930">
        <f>IF(DATOS!$I8930="","",IFERROR(VLOOKUP(DATOS!$I8930,CONFIG_ASIGNATURAS!$B$2:$J$91,9,FALSE()),""))</f>
      </c>
    </row>
    <row r="8931">
      <c r="F8931">
        <f>IF(DATOS!$A8931="","",DATOS!$A8931&amp;"|"&amp;DATOS!$D8931&amp;"|"&amp;DATOS!$E8931&amp;"|"&amp;DATOS!$I8931)</f>
      </c>
      <c r="G8931">
        <f>IF(DATOS!$A8931="",0,IF(CONFIG_METADATA!$B$4&lt;&gt;"OR+EX",--(DATOS!$G8931=CONFIG_METADATA!$B$4),IF(DATOS!$G8931="EX",1,IF(DATOS!$G8931="OR",--(COUNTIFS(nNIA,DATOS!$A8931,nCURSO,DATOS!$D8931,nESPEC,DATOS!$E8931,nASIG,DATOS!$I8931,nEVAL,"EX")=0),0))))</f>
      </c>
      <c r="H8931">
        <f>IF(DATOS!$G8931&lt;&gt;"EX",0,--(COUNTIFS(nNIA,DATOS!$A8931,nCURSO,DATOS!$D8931,nESPEC,DATOS!$E8931,nASIG,DATOS!$I8931,nEVAL,"OR")=0))</f>
      </c>
      <c r="I8931">
        <f>IF(DATOS!$I8931="","",IFERROR(VLOOKUP(DATOS!$I8931,CONFIG_ASIGNATURAS!$B$2:$J$91,9,FALSE()),""))</f>
      </c>
    </row>
    <row r="8932">
      <c r="F8932">
        <f>IF(DATOS!$A8932="","",DATOS!$A8932&amp;"|"&amp;DATOS!$D8932&amp;"|"&amp;DATOS!$E8932&amp;"|"&amp;DATOS!$I8932)</f>
      </c>
      <c r="G8932">
        <f>IF(DATOS!$A8932="",0,IF(CONFIG_METADATA!$B$4&lt;&gt;"OR+EX",--(DATOS!$G8932=CONFIG_METADATA!$B$4),IF(DATOS!$G8932="EX",1,IF(DATOS!$G8932="OR",--(COUNTIFS(nNIA,DATOS!$A8932,nCURSO,DATOS!$D8932,nESPEC,DATOS!$E8932,nASIG,DATOS!$I8932,nEVAL,"EX")=0),0))))</f>
      </c>
      <c r="H8932">
        <f>IF(DATOS!$G8932&lt;&gt;"EX",0,--(COUNTIFS(nNIA,DATOS!$A8932,nCURSO,DATOS!$D8932,nESPEC,DATOS!$E8932,nASIG,DATOS!$I8932,nEVAL,"OR")=0))</f>
      </c>
      <c r="I8932">
        <f>IF(DATOS!$I8932="","",IFERROR(VLOOKUP(DATOS!$I8932,CONFIG_ASIGNATURAS!$B$2:$J$91,9,FALSE()),""))</f>
      </c>
    </row>
    <row r="8933">
      <c r="F8933">
        <f>IF(DATOS!$A8933="","",DATOS!$A8933&amp;"|"&amp;DATOS!$D8933&amp;"|"&amp;DATOS!$E8933&amp;"|"&amp;DATOS!$I8933)</f>
      </c>
      <c r="G8933">
        <f>IF(DATOS!$A8933="",0,IF(CONFIG_METADATA!$B$4&lt;&gt;"OR+EX",--(DATOS!$G8933=CONFIG_METADATA!$B$4),IF(DATOS!$G8933="EX",1,IF(DATOS!$G8933="OR",--(COUNTIFS(nNIA,DATOS!$A8933,nCURSO,DATOS!$D8933,nESPEC,DATOS!$E8933,nASIG,DATOS!$I8933,nEVAL,"EX")=0),0))))</f>
      </c>
      <c r="H8933">
        <f>IF(DATOS!$G8933&lt;&gt;"EX",0,--(COUNTIFS(nNIA,DATOS!$A8933,nCURSO,DATOS!$D8933,nESPEC,DATOS!$E8933,nASIG,DATOS!$I8933,nEVAL,"OR")=0))</f>
      </c>
      <c r="I8933">
        <f>IF(DATOS!$I8933="","",IFERROR(VLOOKUP(DATOS!$I8933,CONFIG_ASIGNATURAS!$B$2:$J$91,9,FALSE()),""))</f>
      </c>
    </row>
    <row r="8934">
      <c r="F8934">
        <f>IF(DATOS!$A8934="","",DATOS!$A8934&amp;"|"&amp;DATOS!$D8934&amp;"|"&amp;DATOS!$E8934&amp;"|"&amp;DATOS!$I8934)</f>
      </c>
      <c r="G8934">
        <f>IF(DATOS!$A8934="",0,IF(CONFIG_METADATA!$B$4&lt;&gt;"OR+EX",--(DATOS!$G8934=CONFIG_METADATA!$B$4),IF(DATOS!$G8934="EX",1,IF(DATOS!$G8934="OR",--(COUNTIFS(nNIA,DATOS!$A8934,nCURSO,DATOS!$D8934,nESPEC,DATOS!$E8934,nASIG,DATOS!$I8934,nEVAL,"EX")=0),0))))</f>
      </c>
      <c r="H8934">
        <f>IF(DATOS!$G8934&lt;&gt;"EX",0,--(COUNTIFS(nNIA,DATOS!$A8934,nCURSO,DATOS!$D8934,nESPEC,DATOS!$E8934,nASIG,DATOS!$I8934,nEVAL,"OR")=0))</f>
      </c>
      <c r="I8934">
        <f>IF(DATOS!$I8934="","",IFERROR(VLOOKUP(DATOS!$I8934,CONFIG_ASIGNATURAS!$B$2:$J$91,9,FALSE()),""))</f>
      </c>
    </row>
    <row r="8935">
      <c r="F8935">
        <f>IF(DATOS!$A8935="","",DATOS!$A8935&amp;"|"&amp;DATOS!$D8935&amp;"|"&amp;DATOS!$E8935&amp;"|"&amp;DATOS!$I8935)</f>
      </c>
      <c r="G8935">
        <f>IF(DATOS!$A8935="",0,IF(CONFIG_METADATA!$B$4&lt;&gt;"OR+EX",--(DATOS!$G8935=CONFIG_METADATA!$B$4),IF(DATOS!$G8935="EX",1,IF(DATOS!$G8935="OR",--(COUNTIFS(nNIA,DATOS!$A8935,nCURSO,DATOS!$D8935,nESPEC,DATOS!$E8935,nASIG,DATOS!$I8935,nEVAL,"EX")=0),0))))</f>
      </c>
      <c r="H8935">
        <f>IF(DATOS!$G8935&lt;&gt;"EX",0,--(COUNTIFS(nNIA,DATOS!$A8935,nCURSO,DATOS!$D8935,nESPEC,DATOS!$E8935,nASIG,DATOS!$I8935,nEVAL,"OR")=0))</f>
      </c>
      <c r="I8935">
        <f>IF(DATOS!$I8935="","",IFERROR(VLOOKUP(DATOS!$I8935,CONFIG_ASIGNATURAS!$B$2:$J$91,9,FALSE()),""))</f>
      </c>
    </row>
    <row r="8936">
      <c r="F8936">
        <f>IF(DATOS!$A8936="","",DATOS!$A8936&amp;"|"&amp;DATOS!$D8936&amp;"|"&amp;DATOS!$E8936&amp;"|"&amp;DATOS!$I8936)</f>
      </c>
      <c r="G8936">
        <f>IF(DATOS!$A8936="",0,IF(CONFIG_METADATA!$B$4&lt;&gt;"OR+EX",--(DATOS!$G8936=CONFIG_METADATA!$B$4),IF(DATOS!$G8936="EX",1,IF(DATOS!$G8936="OR",--(COUNTIFS(nNIA,DATOS!$A8936,nCURSO,DATOS!$D8936,nESPEC,DATOS!$E8936,nASIG,DATOS!$I8936,nEVAL,"EX")=0),0))))</f>
      </c>
      <c r="H8936">
        <f>IF(DATOS!$G8936&lt;&gt;"EX",0,--(COUNTIFS(nNIA,DATOS!$A8936,nCURSO,DATOS!$D8936,nESPEC,DATOS!$E8936,nASIG,DATOS!$I8936,nEVAL,"OR")=0))</f>
      </c>
      <c r="I8936">
        <f>IF(DATOS!$I8936="","",IFERROR(VLOOKUP(DATOS!$I8936,CONFIG_ASIGNATURAS!$B$2:$J$91,9,FALSE()),""))</f>
      </c>
    </row>
    <row r="8937">
      <c r="F8937">
        <f>IF(DATOS!$A8937="","",DATOS!$A8937&amp;"|"&amp;DATOS!$D8937&amp;"|"&amp;DATOS!$E8937&amp;"|"&amp;DATOS!$I8937)</f>
      </c>
      <c r="G8937">
        <f>IF(DATOS!$A8937="",0,IF(CONFIG_METADATA!$B$4&lt;&gt;"OR+EX",--(DATOS!$G8937=CONFIG_METADATA!$B$4),IF(DATOS!$G8937="EX",1,IF(DATOS!$G8937="OR",--(COUNTIFS(nNIA,DATOS!$A8937,nCURSO,DATOS!$D8937,nESPEC,DATOS!$E8937,nASIG,DATOS!$I8937,nEVAL,"EX")=0),0))))</f>
      </c>
      <c r="H8937">
        <f>IF(DATOS!$G8937&lt;&gt;"EX",0,--(COUNTIFS(nNIA,DATOS!$A8937,nCURSO,DATOS!$D8937,nESPEC,DATOS!$E8937,nASIG,DATOS!$I8937,nEVAL,"OR")=0))</f>
      </c>
      <c r="I8937">
        <f>IF(DATOS!$I8937="","",IFERROR(VLOOKUP(DATOS!$I8937,CONFIG_ASIGNATURAS!$B$2:$J$91,9,FALSE()),""))</f>
      </c>
    </row>
    <row r="8938">
      <c r="F8938">
        <f>IF(DATOS!$A8938="","",DATOS!$A8938&amp;"|"&amp;DATOS!$D8938&amp;"|"&amp;DATOS!$E8938&amp;"|"&amp;DATOS!$I8938)</f>
      </c>
      <c r="G8938">
        <f>IF(DATOS!$A8938="",0,IF(CONFIG_METADATA!$B$4&lt;&gt;"OR+EX",--(DATOS!$G8938=CONFIG_METADATA!$B$4),IF(DATOS!$G8938="EX",1,IF(DATOS!$G8938="OR",--(COUNTIFS(nNIA,DATOS!$A8938,nCURSO,DATOS!$D8938,nESPEC,DATOS!$E8938,nASIG,DATOS!$I8938,nEVAL,"EX")=0),0))))</f>
      </c>
      <c r="H8938">
        <f>IF(DATOS!$G8938&lt;&gt;"EX",0,--(COUNTIFS(nNIA,DATOS!$A8938,nCURSO,DATOS!$D8938,nESPEC,DATOS!$E8938,nASIG,DATOS!$I8938,nEVAL,"OR")=0))</f>
      </c>
      <c r="I8938">
        <f>IF(DATOS!$I8938="","",IFERROR(VLOOKUP(DATOS!$I8938,CONFIG_ASIGNATURAS!$B$2:$J$91,9,FALSE()),""))</f>
      </c>
    </row>
    <row r="8939">
      <c r="F8939">
        <f>IF(DATOS!$A8939="","",DATOS!$A8939&amp;"|"&amp;DATOS!$D8939&amp;"|"&amp;DATOS!$E8939&amp;"|"&amp;DATOS!$I8939)</f>
      </c>
      <c r="G8939">
        <f>IF(DATOS!$A8939="",0,IF(CONFIG_METADATA!$B$4&lt;&gt;"OR+EX",--(DATOS!$G8939=CONFIG_METADATA!$B$4),IF(DATOS!$G8939="EX",1,IF(DATOS!$G8939="OR",--(COUNTIFS(nNIA,DATOS!$A8939,nCURSO,DATOS!$D8939,nESPEC,DATOS!$E8939,nASIG,DATOS!$I8939,nEVAL,"EX")=0),0))))</f>
      </c>
      <c r="H8939">
        <f>IF(DATOS!$G8939&lt;&gt;"EX",0,--(COUNTIFS(nNIA,DATOS!$A8939,nCURSO,DATOS!$D8939,nESPEC,DATOS!$E8939,nASIG,DATOS!$I8939,nEVAL,"OR")=0))</f>
      </c>
      <c r="I8939">
        <f>IF(DATOS!$I8939="","",IFERROR(VLOOKUP(DATOS!$I8939,CONFIG_ASIGNATURAS!$B$2:$J$91,9,FALSE()),""))</f>
      </c>
    </row>
    <row r="8940">
      <c r="F8940">
        <f>IF(DATOS!$A8940="","",DATOS!$A8940&amp;"|"&amp;DATOS!$D8940&amp;"|"&amp;DATOS!$E8940&amp;"|"&amp;DATOS!$I8940)</f>
      </c>
      <c r="G8940">
        <f>IF(DATOS!$A8940="",0,IF(CONFIG_METADATA!$B$4&lt;&gt;"OR+EX",--(DATOS!$G8940=CONFIG_METADATA!$B$4),IF(DATOS!$G8940="EX",1,IF(DATOS!$G8940="OR",--(COUNTIFS(nNIA,DATOS!$A8940,nCURSO,DATOS!$D8940,nESPEC,DATOS!$E8940,nASIG,DATOS!$I8940,nEVAL,"EX")=0),0))))</f>
      </c>
      <c r="H8940">
        <f>IF(DATOS!$G8940&lt;&gt;"EX",0,--(COUNTIFS(nNIA,DATOS!$A8940,nCURSO,DATOS!$D8940,nESPEC,DATOS!$E8940,nASIG,DATOS!$I8940,nEVAL,"OR")=0))</f>
      </c>
      <c r="I8940">
        <f>IF(DATOS!$I8940="","",IFERROR(VLOOKUP(DATOS!$I8940,CONFIG_ASIGNATURAS!$B$2:$J$91,9,FALSE()),""))</f>
      </c>
    </row>
    <row r="8941">
      <c r="F8941">
        <f>IF(DATOS!$A8941="","",DATOS!$A8941&amp;"|"&amp;DATOS!$D8941&amp;"|"&amp;DATOS!$E8941&amp;"|"&amp;DATOS!$I8941)</f>
      </c>
      <c r="G8941">
        <f>IF(DATOS!$A8941="",0,IF(CONFIG_METADATA!$B$4&lt;&gt;"OR+EX",--(DATOS!$G8941=CONFIG_METADATA!$B$4),IF(DATOS!$G8941="EX",1,IF(DATOS!$G8941="OR",--(COUNTIFS(nNIA,DATOS!$A8941,nCURSO,DATOS!$D8941,nESPEC,DATOS!$E8941,nASIG,DATOS!$I8941,nEVAL,"EX")=0),0))))</f>
      </c>
      <c r="H8941">
        <f>IF(DATOS!$G8941&lt;&gt;"EX",0,--(COUNTIFS(nNIA,DATOS!$A8941,nCURSO,DATOS!$D8941,nESPEC,DATOS!$E8941,nASIG,DATOS!$I8941,nEVAL,"OR")=0))</f>
      </c>
      <c r="I8941">
        <f>IF(DATOS!$I8941="","",IFERROR(VLOOKUP(DATOS!$I8941,CONFIG_ASIGNATURAS!$B$2:$J$91,9,FALSE()),""))</f>
      </c>
    </row>
    <row r="8942">
      <c r="F8942">
        <f>IF(DATOS!$A8942="","",DATOS!$A8942&amp;"|"&amp;DATOS!$D8942&amp;"|"&amp;DATOS!$E8942&amp;"|"&amp;DATOS!$I8942)</f>
      </c>
      <c r="G8942">
        <f>IF(DATOS!$A8942="",0,IF(CONFIG_METADATA!$B$4&lt;&gt;"OR+EX",--(DATOS!$G8942=CONFIG_METADATA!$B$4),IF(DATOS!$G8942="EX",1,IF(DATOS!$G8942="OR",--(COUNTIFS(nNIA,DATOS!$A8942,nCURSO,DATOS!$D8942,nESPEC,DATOS!$E8942,nASIG,DATOS!$I8942,nEVAL,"EX")=0),0))))</f>
      </c>
      <c r="H8942">
        <f>IF(DATOS!$G8942&lt;&gt;"EX",0,--(COUNTIFS(nNIA,DATOS!$A8942,nCURSO,DATOS!$D8942,nESPEC,DATOS!$E8942,nASIG,DATOS!$I8942,nEVAL,"OR")=0))</f>
      </c>
      <c r="I8942">
        <f>IF(DATOS!$I8942="","",IFERROR(VLOOKUP(DATOS!$I8942,CONFIG_ASIGNATURAS!$B$2:$J$91,9,FALSE()),""))</f>
      </c>
    </row>
    <row r="8943">
      <c r="F8943">
        <f>IF(DATOS!$A8943="","",DATOS!$A8943&amp;"|"&amp;DATOS!$D8943&amp;"|"&amp;DATOS!$E8943&amp;"|"&amp;DATOS!$I8943)</f>
      </c>
      <c r="G8943">
        <f>IF(DATOS!$A8943="",0,IF(CONFIG_METADATA!$B$4&lt;&gt;"OR+EX",--(DATOS!$G8943=CONFIG_METADATA!$B$4),IF(DATOS!$G8943="EX",1,IF(DATOS!$G8943="OR",--(COUNTIFS(nNIA,DATOS!$A8943,nCURSO,DATOS!$D8943,nESPEC,DATOS!$E8943,nASIG,DATOS!$I8943,nEVAL,"EX")=0),0))))</f>
      </c>
      <c r="H8943">
        <f>IF(DATOS!$G8943&lt;&gt;"EX",0,--(COUNTIFS(nNIA,DATOS!$A8943,nCURSO,DATOS!$D8943,nESPEC,DATOS!$E8943,nASIG,DATOS!$I8943,nEVAL,"OR")=0))</f>
      </c>
      <c r="I8943">
        <f>IF(DATOS!$I8943="","",IFERROR(VLOOKUP(DATOS!$I8943,CONFIG_ASIGNATURAS!$B$2:$J$91,9,FALSE()),""))</f>
      </c>
    </row>
    <row r="8944">
      <c r="F8944">
        <f>IF(DATOS!$A8944="","",DATOS!$A8944&amp;"|"&amp;DATOS!$D8944&amp;"|"&amp;DATOS!$E8944&amp;"|"&amp;DATOS!$I8944)</f>
      </c>
      <c r="G8944">
        <f>IF(DATOS!$A8944="",0,IF(CONFIG_METADATA!$B$4&lt;&gt;"OR+EX",--(DATOS!$G8944=CONFIG_METADATA!$B$4),IF(DATOS!$G8944="EX",1,IF(DATOS!$G8944="OR",--(COUNTIFS(nNIA,DATOS!$A8944,nCURSO,DATOS!$D8944,nESPEC,DATOS!$E8944,nASIG,DATOS!$I8944,nEVAL,"EX")=0),0))))</f>
      </c>
      <c r="H8944">
        <f>IF(DATOS!$G8944&lt;&gt;"EX",0,--(COUNTIFS(nNIA,DATOS!$A8944,nCURSO,DATOS!$D8944,nESPEC,DATOS!$E8944,nASIG,DATOS!$I8944,nEVAL,"OR")=0))</f>
      </c>
      <c r="I8944">
        <f>IF(DATOS!$I8944="","",IFERROR(VLOOKUP(DATOS!$I8944,CONFIG_ASIGNATURAS!$B$2:$J$91,9,FALSE()),""))</f>
      </c>
    </row>
    <row r="8945">
      <c r="F8945">
        <f>IF(DATOS!$A8945="","",DATOS!$A8945&amp;"|"&amp;DATOS!$D8945&amp;"|"&amp;DATOS!$E8945&amp;"|"&amp;DATOS!$I8945)</f>
      </c>
      <c r="G8945">
        <f>IF(DATOS!$A8945="",0,IF(CONFIG_METADATA!$B$4&lt;&gt;"OR+EX",--(DATOS!$G8945=CONFIG_METADATA!$B$4),IF(DATOS!$G8945="EX",1,IF(DATOS!$G8945="OR",--(COUNTIFS(nNIA,DATOS!$A8945,nCURSO,DATOS!$D8945,nESPEC,DATOS!$E8945,nASIG,DATOS!$I8945,nEVAL,"EX")=0),0))))</f>
      </c>
      <c r="H8945">
        <f>IF(DATOS!$G8945&lt;&gt;"EX",0,--(COUNTIFS(nNIA,DATOS!$A8945,nCURSO,DATOS!$D8945,nESPEC,DATOS!$E8945,nASIG,DATOS!$I8945,nEVAL,"OR")=0))</f>
      </c>
      <c r="I8945">
        <f>IF(DATOS!$I8945="","",IFERROR(VLOOKUP(DATOS!$I8945,CONFIG_ASIGNATURAS!$B$2:$J$91,9,FALSE()),""))</f>
      </c>
    </row>
    <row r="8946">
      <c r="F8946">
        <f>IF(DATOS!$A8946="","",DATOS!$A8946&amp;"|"&amp;DATOS!$D8946&amp;"|"&amp;DATOS!$E8946&amp;"|"&amp;DATOS!$I8946)</f>
      </c>
      <c r="G8946">
        <f>IF(DATOS!$A8946="",0,IF(CONFIG_METADATA!$B$4&lt;&gt;"OR+EX",--(DATOS!$G8946=CONFIG_METADATA!$B$4),IF(DATOS!$G8946="EX",1,IF(DATOS!$G8946="OR",--(COUNTIFS(nNIA,DATOS!$A8946,nCURSO,DATOS!$D8946,nESPEC,DATOS!$E8946,nASIG,DATOS!$I8946,nEVAL,"EX")=0),0))))</f>
      </c>
      <c r="H8946">
        <f>IF(DATOS!$G8946&lt;&gt;"EX",0,--(COUNTIFS(nNIA,DATOS!$A8946,nCURSO,DATOS!$D8946,nESPEC,DATOS!$E8946,nASIG,DATOS!$I8946,nEVAL,"OR")=0))</f>
      </c>
      <c r="I8946">
        <f>IF(DATOS!$I8946="","",IFERROR(VLOOKUP(DATOS!$I8946,CONFIG_ASIGNATURAS!$B$2:$J$91,9,FALSE()),""))</f>
      </c>
    </row>
    <row r="8947">
      <c r="F8947">
        <f>IF(DATOS!$A8947="","",DATOS!$A8947&amp;"|"&amp;DATOS!$D8947&amp;"|"&amp;DATOS!$E8947&amp;"|"&amp;DATOS!$I8947)</f>
      </c>
      <c r="G8947">
        <f>IF(DATOS!$A8947="",0,IF(CONFIG_METADATA!$B$4&lt;&gt;"OR+EX",--(DATOS!$G8947=CONFIG_METADATA!$B$4),IF(DATOS!$G8947="EX",1,IF(DATOS!$G8947="OR",--(COUNTIFS(nNIA,DATOS!$A8947,nCURSO,DATOS!$D8947,nESPEC,DATOS!$E8947,nASIG,DATOS!$I8947,nEVAL,"EX")=0),0))))</f>
      </c>
      <c r="H8947">
        <f>IF(DATOS!$G8947&lt;&gt;"EX",0,--(COUNTIFS(nNIA,DATOS!$A8947,nCURSO,DATOS!$D8947,nESPEC,DATOS!$E8947,nASIG,DATOS!$I8947,nEVAL,"OR")=0))</f>
      </c>
      <c r="I8947">
        <f>IF(DATOS!$I8947="","",IFERROR(VLOOKUP(DATOS!$I8947,CONFIG_ASIGNATURAS!$B$2:$J$91,9,FALSE()),""))</f>
      </c>
    </row>
    <row r="8948">
      <c r="F8948">
        <f>IF(DATOS!$A8948="","",DATOS!$A8948&amp;"|"&amp;DATOS!$D8948&amp;"|"&amp;DATOS!$E8948&amp;"|"&amp;DATOS!$I8948)</f>
      </c>
      <c r="G8948">
        <f>IF(DATOS!$A8948="",0,IF(CONFIG_METADATA!$B$4&lt;&gt;"OR+EX",--(DATOS!$G8948=CONFIG_METADATA!$B$4),IF(DATOS!$G8948="EX",1,IF(DATOS!$G8948="OR",--(COUNTIFS(nNIA,DATOS!$A8948,nCURSO,DATOS!$D8948,nESPEC,DATOS!$E8948,nASIG,DATOS!$I8948,nEVAL,"EX")=0),0))))</f>
      </c>
      <c r="H8948">
        <f>IF(DATOS!$G8948&lt;&gt;"EX",0,--(COUNTIFS(nNIA,DATOS!$A8948,nCURSO,DATOS!$D8948,nESPEC,DATOS!$E8948,nASIG,DATOS!$I8948,nEVAL,"OR")=0))</f>
      </c>
      <c r="I8948">
        <f>IF(DATOS!$I8948="","",IFERROR(VLOOKUP(DATOS!$I8948,CONFIG_ASIGNATURAS!$B$2:$J$91,9,FALSE()),""))</f>
      </c>
    </row>
    <row r="8949">
      <c r="F8949">
        <f>IF(DATOS!$A8949="","",DATOS!$A8949&amp;"|"&amp;DATOS!$D8949&amp;"|"&amp;DATOS!$E8949&amp;"|"&amp;DATOS!$I8949)</f>
      </c>
      <c r="G8949">
        <f>IF(DATOS!$A8949="",0,IF(CONFIG_METADATA!$B$4&lt;&gt;"OR+EX",--(DATOS!$G8949=CONFIG_METADATA!$B$4),IF(DATOS!$G8949="EX",1,IF(DATOS!$G8949="OR",--(COUNTIFS(nNIA,DATOS!$A8949,nCURSO,DATOS!$D8949,nESPEC,DATOS!$E8949,nASIG,DATOS!$I8949,nEVAL,"EX")=0),0))))</f>
      </c>
      <c r="H8949">
        <f>IF(DATOS!$G8949&lt;&gt;"EX",0,--(COUNTIFS(nNIA,DATOS!$A8949,nCURSO,DATOS!$D8949,nESPEC,DATOS!$E8949,nASIG,DATOS!$I8949,nEVAL,"OR")=0))</f>
      </c>
      <c r="I8949">
        <f>IF(DATOS!$I8949="","",IFERROR(VLOOKUP(DATOS!$I8949,CONFIG_ASIGNATURAS!$B$2:$J$91,9,FALSE()),""))</f>
      </c>
    </row>
    <row r="8950">
      <c r="F8950">
        <f>IF(DATOS!$A8950="","",DATOS!$A8950&amp;"|"&amp;DATOS!$D8950&amp;"|"&amp;DATOS!$E8950&amp;"|"&amp;DATOS!$I8950)</f>
      </c>
      <c r="G8950">
        <f>IF(DATOS!$A8950="",0,IF(CONFIG_METADATA!$B$4&lt;&gt;"OR+EX",--(DATOS!$G8950=CONFIG_METADATA!$B$4),IF(DATOS!$G8950="EX",1,IF(DATOS!$G8950="OR",--(COUNTIFS(nNIA,DATOS!$A8950,nCURSO,DATOS!$D8950,nESPEC,DATOS!$E8950,nASIG,DATOS!$I8950,nEVAL,"EX")=0),0))))</f>
      </c>
      <c r="H8950">
        <f>IF(DATOS!$G8950&lt;&gt;"EX",0,--(COUNTIFS(nNIA,DATOS!$A8950,nCURSO,DATOS!$D8950,nESPEC,DATOS!$E8950,nASIG,DATOS!$I8950,nEVAL,"OR")=0))</f>
      </c>
      <c r="I8950">
        <f>IF(DATOS!$I8950="","",IFERROR(VLOOKUP(DATOS!$I8950,CONFIG_ASIGNATURAS!$B$2:$J$91,9,FALSE()),""))</f>
      </c>
    </row>
    <row r="8951">
      <c r="F8951">
        <f>IF(DATOS!$A8951="","",DATOS!$A8951&amp;"|"&amp;DATOS!$D8951&amp;"|"&amp;DATOS!$E8951&amp;"|"&amp;DATOS!$I8951)</f>
      </c>
      <c r="G8951">
        <f>IF(DATOS!$A8951="",0,IF(CONFIG_METADATA!$B$4&lt;&gt;"OR+EX",--(DATOS!$G8951=CONFIG_METADATA!$B$4),IF(DATOS!$G8951="EX",1,IF(DATOS!$G8951="OR",--(COUNTIFS(nNIA,DATOS!$A8951,nCURSO,DATOS!$D8951,nESPEC,DATOS!$E8951,nASIG,DATOS!$I8951,nEVAL,"EX")=0),0))))</f>
      </c>
      <c r="H8951">
        <f>IF(DATOS!$G8951&lt;&gt;"EX",0,--(COUNTIFS(nNIA,DATOS!$A8951,nCURSO,DATOS!$D8951,nESPEC,DATOS!$E8951,nASIG,DATOS!$I8951,nEVAL,"OR")=0))</f>
      </c>
      <c r="I8951">
        <f>IF(DATOS!$I8951="","",IFERROR(VLOOKUP(DATOS!$I8951,CONFIG_ASIGNATURAS!$B$2:$J$91,9,FALSE()),""))</f>
      </c>
    </row>
    <row r="8952">
      <c r="F8952">
        <f>IF(DATOS!$A8952="","",DATOS!$A8952&amp;"|"&amp;DATOS!$D8952&amp;"|"&amp;DATOS!$E8952&amp;"|"&amp;DATOS!$I8952)</f>
      </c>
      <c r="G8952">
        <f>IF(DATOS!$A8952="",0,IF(CONFIG_METADATA!$B$4&lt;&gt;"OR+EX",--(DATOS!$G8952=CONFIG_METADATA!$B$4),IF(DATOS!$G8952="EX",1,IF(DATOS!$G8952="OR",--(COUNTIFS(nNIA,DATOS!$A8952,nCURSO,DATOS!$D8952,nESPEC,DATOS!$E8952,nASIG,DATOS!$I8952,nEVAL,"EX")=0),0))))</f>
      </c>
      <c r="H8952">
        <f>IF(DATOS!$G8952&lt;&gt;"EX",0,--(COUNTIFS(nNIA,DATOS!$A8952,nCURSO,DATOS!$D8952,nESPEC,DATOS!$E8952,nASIG,DATOS!$I8952,nEVAL,"OR")=0))</f>
      </c>
      <c r="I8952">
        <f>IF(DATOS!$I8952="","",IFERROR(VLOOKUP(DATOS!$I8952,CONFIG_ASIGNATURAS!$B$2:$J$91,9,FALSE()),""))</f>
      </c>
    </row>
    <row r="8953">
      <c r="F8953">
        <f>IF(DATOS!$A8953="","",DATOS!$A8953&amp;"|"&amp;DATOS!$D8953&amp;"|"&amp;DATOS!$E8953&amp;"|"&amp;DATOS!$I8953)</f>
      </c>
      <c r="G8953">
        <f>IF(DATOS!$A8953="",0,IF(CONFIG_METADATA!$B$4&lt;&gt;"OR+EX",--(DATOS!$G8953=CONFIG_METADATA!$B$4),IF(DATOS!$G8953="EX",1,IF(DATOS!$G8953="OR",--(COUNTIFS(nNIA,DATOS!$A8953,nCURSO,DATOS!$D8953,nESPEC,DATOS!$E8953,nASIG,DATOS!$I8953,nEVAL,"EX")=0),0))))</f>
      </c>
      <c r="H8953">
        <f>IF(DATOS!$G8953&lt;&gt;"EX",0,--(COUNTIFS(nNIA,DATOS!$A8953,nCURSO,DATOS!$D8953,nESPEC,DATOS!$E8953,nASIG,DATOS!$I8953,nEVAL,"OR")=0))</f>
      </c>
      <c r="I8953">
        <f>IF(DATOS!$I8953="","",IFERROR(VLOOKUP(DATOS!$I8953,CONFIG_ASIGNATURAS!$B$2:$J$91,9,FALSE()),""))</f>
      </c>
    </row>
    <row r="8954">
      <c r="F8954">
        <f>IF(DATOS!$A8954="","",DATOS!$A8954&amp;"|"&amp;DATOS!$D8954&amp;"|"&amp;DATOS!$E8954&amp;"|"&amp;DATOS!$I8954)</f>
      </c>
      <c r="G8954">
        <f>IF(DATOS!$A8954="",0,IF(CONFIG_METADATA!$B$4&lt;&gt;"OR+EX",--(DATOS!$G8954=CONFIG_METADATA!$B$4),IF(DATOS!$G8954="EX",1,IF(DATOS!$G8954="OR",--(COUNTIFS(nNIA,DATOS!$A8954,nCURSO,DATOS!$D8954,nESPEC,DATOS!$E8954,nASIG,DATOS!$I8954,nEVAL,"EX")=0),0))))</f>
      </c>
      <c r="H8954">
        <f>IF(DATOS!$G8954&lt;&gt;"EX",0,--(COUNTIFS(nNIA,DATOS!$A8954,nCURSO,DATOS!$D8954,nESPEC,DATOS!$E8954,nASIG,DATOS!$I8954,nEVAL,"OR")=0))</f>
      </c>
      <c r="I8954">
        <f>IF(DATOS!$I8954="","",IFERROR(VLOOKUP(DATOS!$I8954,CONFIG_ASIGNATURAS!$B$2:$J$91,9,FALSE()),""))</f>
      </c>
    </row>
    <row r="8955">
      <c r="F8955">
        <f>IF(DATOS!$A8955="","",DATOS!$A8955&amp;"|"&amp;DATOS!$D8955&amp;"|"&amp;DATOS!$E8955&amp;"|"&amp;DATOS!$I8955)</f>
      </c>
      <c r="G8955">
        <f>IF(DATOS!$A8955="",0,IF(CONFIG_METADATA!$B$4&lt;&gt;"OR+EX",--(DATOS!$G8955=CONFIG_METADATA!$B$4),IF(DATOS!$G8955="EX",1,IF(DATOS!$G8955="OR",--(COUNTIFS(nNIA,DATOS!$A8955,nCURSO,DATOS!$D8955,nESPEC,DATOS!$E8955,nASIG,DATOS!$I8955,nEVAL,"EX")=0),0))))</f>
      </c>
      <c r="H8955">
        <f>IF(DATOS!$G8955&lt;&gt;"EX",0,--(COUNTIFS(nNIA,DATOS!$A8955,nCURSO,DATOS!$D8955,nESPEC,DATOS!$E8955,nASIG,DATOS!$I8955,nEVAL,"OR")=0))</f>
      </c>
      <c r="I8955">
        <f>IF(DATOS!$I8955="","",IFERROR(VLOOKUP(DATOS!$I8955,CONFIG_ASIGNATURAS!$B$2:$J$91,9,FALSE()),""))</f>
      </c>
    </row>
    <row r="8956">
      <c r="F8956">
        <f>IF(DATOS!$A8956="","",DATOS!$A8956&amp;"|"&amp;DATOS!$D8956&amp;"|"&amp;DATOS!$E8956&amp;"|"&amp;DATOS!$I8956)</f>
      </c>
      <c r="G8956">
        <f>IF(DATOS!$A8956="",0,IF(CONFIG_METADATA!$B$4&lt;&gt;"OR+EX",--(DATOS!$G8956=CONFIG_METADATA!$B$4),IF(DATOS!$G8956="EX",1,IF(DATOS!$G8956="OR",--(COUNTIFS(nNIA,DATOS!$A8956,nCURSO,DATOS!$D8956,nESPEC,DATOS!$E8956,nASIG,DATOS!$I8956,nEVAL,"EX")=0),0))))</f>
      </c>
      <c r="H8956">
        <f>IF(DATOS!$G8956&lt;&gt;"EX",0,--(COUNTIFS(nNIA,DATOS!$A8956,nCURSO,DATOS!$D8956,nESPEC,DATOS!$E8956,nASIG,DATOS!$I8956,nEVAL,"OR")=0))</f>
      </c>
      <c r="I8956">
        <f>IF(DATOS!$I8956="","",IFERROR(VLOOKUP(DATOS!$I8956,CONFIG_ASIGNATURAS!$B$2:$J$91,9,FALSE()),""))</f>
      </c>
    </row>
    <row r="8957">
      <c r="F8957">
        <f>IF(DATOS!$A8957="","",DATOS!$A8957&amp;"|"&amp;DATOS!$D8957&amp;"|"&amp;DATOS!$E8957&amp;"|"&amp;DATOS!$I8957)</f>
      </c>
      <c r="G8957">
        <f>IF(DATOS!$A8957="",0,IF(CONFIG_METADATA!$B$4&lt;&gt;"OR+EX",--(DATOS!$G8957=CONFIG_METADATA!$B$4),IF(DATOS!$G8957="EX",1,IF(DATOS!$G8957="OR",--(COUNTIFS(nNIA,DATOS!$A8957,nCURSO,DATOS!$D8957,nESPEC,DATOS!$E8957,nASIG,DATOS!$I8957,nEVAL,"EX")=0),0))))</f>
      </c>
      <c r="H8957">
        <f>IF(DATOS!$G8957&lt;&gt;"EX",0,--(COUNTIFS(nNIA,DATOS!$A8957,nCURSO,DATOS!$D8957,nESPEC,DATOS!$E8957,nASIG,DATOS!$I8957,nEVAL,"OR")=0))</f>
      </c>
      <c r="I8957">
        <f>IF(DATOS!$I8957="","",IFERROR(VLOOKUP(DATOS!$I8957,CONFIG_ASIGNATURAS!$B$2:$J$91,9,FALSE()),""))</f>
      </c>
    </row>
    <row r="8958">
      <c r="F8958">
        <f>IF(DATOS!$A8958="","",DATOS!$A8958&amp;"|"&amp;DATOS!$D8958&amp;"|"&amp;DATOS!$E8958&amp;"|"&amp;DATOS!$I8958)</f>
      </c>
      <c r="G8958">
        <f>IF(DATOS!$A8958="",0,IF(CONFIG_METADATA!$B$4&lt;&gt;"OR+EX",--(DATOS!$G8958=CONFIG_METADATA!$B$4),IF(DATOS!$G8958="EX",1,IF(DATOS!$G8958="OR",--(COUNTIFS(nNIA,DATOS!$A8958,nCURSO,DATOS!$D8958,nESPEC,DATOS!$E8958,nASIG,DATOS!$I8958,nEVAL,"EX")=0),0))))</f>
      </c>
      <c r="H8958">
        <f>IF(DATOS!$G8958&lt;&gt;"EX",0,--(COUNTIFS(nNIA,DATOS!$A8958,nCURSO,DATOS!$D8958,nESPEC,DATOS!$E8958,nASIG,DATOS!$I8958,nEVAL,"OR")=0))</f>
      </c>
      <c r="I8958">
        <f>IF(DATOS!$I8958="","",IFERROR(VLOOKUP(DATOS!$I8958,CONFIG_ASIGNATURAS!$B$2:$J$91,9,FALSE()),""))</f>
      </c>
    </row>
    <row r="8959">
      <c r="F8959">
        <f>IF(DATOS!$A8959="","",DATOS!$A8959&amp;"|"&amp;DATOS!$D8959&amp;"|"&amp;DATOS!$E8959&amp;"|"&amp;DATOS!$I8959)</f>
      </c>
      <c r="G8959">
        <f>IF(DATOS!$A8959="",0,IF(CONFIG_METADATA!$B$4&lt;&gt;"OR+EX",--(DATOS!$G8959=CONFIG_METADATA!$B$4),IF(DATOS!$G8959="EX",1,IF(DATOS!$G8959="OR",--(COUNTIFS(nNIA,DATOS!$A8959,nCURSO,DATOS!$D8959,nESPEC,DATOS!$E8959,nASIG,DATOS!$I8959,nEVAL,"EX")=0),0))))</f>
      </c>
      <c r="H8959">
        <f>IF(DATOS!$G8959&lt;&gt;"EX",0,--(COUNTIFS(nNIA,DATOS!$A8959,nCURSO,DATOS!$D8959,nESPEC,DATOS!$E8959,nASIG,DATOS!$I8959,nEVAL,"OR")=0))</f>
      </c>
      <c r="I8959">
        <f>IF(DATOS!$I8959="","",IFERROR(VLOOKUP(DATOS!$I8959,CONFIG_ASIGNATURAS!$B$2:$J$91,9,FALSE()),""))</f>
      </c>
    </row>
    <row r="8960">
      <c r="F8960">
        <f>IF(DATOS!$A8960="","",DATOS!$A8960&amp;"|"&amp;DATOS!$D8960&amp;"|"&amp;DATOS!$E8960&amp;"|"&amp;DATOS!$I8960)</f>
      </c>
      <c r="G8960">
        <f>IF(DATOS!$A8960="",0,IF(CONFIG_METADATA!$B$4&lt;&gt;"OR+EX",--(DATOS!$G8960=CONFIG_METADATA!$B$4),IF(DATOS!$G8960="EX",1,IF(DATOS!$G8960="OR",--(COUNTIFS(nNIA,DATOS!$A8960,nCURSO,DATOS!$D8960,nESPEC,DATOS!$E8960,nASIG,DATOS!$I8960,nEVAL,"EX")=0),0))))</f>
      </c>
      <c r="H8960">
        <f>IF(DATOS!$G8960&lt;&gt;"EX",0,--(COUNTIFS(nNIA,DATOS!$A8960,nCURSO,DATOS!$D8960,nESPEC,DATOS!$E8960,nASIG,DATOS!$I8960,nEVAL,"OR")=0))</f>
      </c>
      <c r="I8960">
        <f>IF(DATOS!$I8960="","",IFERROR(VLOOKUP(DATOS!$I8960,CONFIG_ASIGNATURAS!$B$2:$J$91,9,FALSE()),""))</f>
      </c>
    </row>
    <row r="8961">
      <c r="F8961">
        <f>IF(DATOS!$A8961="","",DATOS!$A8961&amp;"|"&amp;DATOS!$D8961&amp;"|"&amp;DATOS!$E8961&amp;"|"&amp;DATOS!$I8961)</f>
      </c>
      <c r="G8961">
        <f>IF(DATOS!$A8961="",0,IF(CONFIG_METADATA!$B$4&lt;&gt;"OR+EX",--(DATOS!$G8961=CONFIG_METADATA!$B$4),IF(DATOS!$G8961="EX",1,IF(DATOS!$G8961="OR",--(COUNTIFS(nNIA,DATOS!$A8961,nCURSO,DATOS!$D8961,nESPEC,DATOS!$E8961,nASIG,DATOS!$I8961,nEVAL,"EX")=0),0))))</f>
      </c>
      <c r="H8961">
        <f>IF(DATOS!$G8961&lt;&gt;"EX",0,--(COUNTIFS(nNIA,DATOS!$A8961,nCURSO,DATOS!$D8961,nESPEC,DATOS!$E8961,nASIG,DATOS!$I8961,nEVAL,"OR")=0))</f>
      </c>
      <c r="I8961">
        <f>IF(DATOS!$I8961="","",IFERROR(VLOOKUP(DATOS!$I8961,CONFIG_ASIGNATURAS!$B$2:$J$91,9,FALSE()),""))</f>
      </c>
    </row>
    <row r="8962">
      <c r="F8962">
        <f>IF(DATOS!$A8962="","",DATOS!$A8962&amp;"|"&amp;DATOS!$D8962&amp;"|"&amp;DATOS!$E8962&amp;"|"&amp;DATOS!$I8962)</f>
      </c>
      <c r="G8962">
        <f>IF(DATOS!$A8962="",0,IF(CONFIG_METADATA!$B$4&lt;&gt;"OR+EX",--(DATOS!$G8962=CONFIG_METADATA!$B$4),IF(DATOS!$G8962="EX",1,IF(DATOS!$G8962="OR",--(COUNTIFS(nNIA,DATOS!$A8962,nCURSO,DATOS!$D8962,nESPEC,DATOS!$E8962,nASIG,DATOS!$I8962,nEVAL,"EX")=0),0))))</f>
      </c>
      <c r="H8962">
        <f>IF(DATOS!$G8962&lt;&gt;"EX",0,--(COUNTIFS(nNIA,DATOS!$A8962,nCURSO,DATOS!$D8962,nESPEC,DATOS!$E8962,nASIG,DATOS!$I8962,nEVAL,"OR")=0))</f>
      </c>
      <c r="I8962">
        <f>IF(DATOS!$I8962="","",IFERROR(VLOOKUP(DATOS!$I8962,CONFIG_ASIGNATURAS!$B$2:$J$91,9,FALSE()),""))</f>
      </c>
    </row>
    <row r="8963">
      <c r="F8963">
        <f>IF(DATOS!$A8963="","",DATOS!$A8963&amp;"|"&amp;DATOS!$D8963&amp;"|"&amp;DATOS!$E8963&amp;"|"&amp;DATOS!$I8963)</f>
      </c>
      <c r="G8963">
        <f>IF(DATOS!$A8963="",0,IF(CONFIG_METADATA!$B$4&lt;&gt;"OR+EX",--(DATOS!$G8963=CONFIG_METADATA!$B$4),IF(DATOS!$G8963="EX",1,IF(DATOS!$G8963="OR",--(COUNTIFS(nNIA,DATOS!$A8963,nCURSO,DATOS!$D8963,nESPEC,DATOS!$E8963,nASIG,DATOS!$I8963,nEVAL,"EX")=0),0))))</f>
      </c>
      <c r="H8963">
        <f>IF(DATOS!$G8963&lt;&gt;"EX",0,--(COUNTIFS(nNIA,DATOS!$A8963,nCURSO,DATOS!$D8963,nESPEC,DATOS!$E8963,nASIG,DATOS!$I8963,nEVAL,"OR")=0))</f>
      </c>
      <c r="I8963">
        <f>IF(DATOS!$I8963="","",IFERROR(VLOOKUP(DATOS!$I8963,CONFIG_ASIGNATURAS!$B$2:$J$91,9,FALSE()),""))</f>
      </c>
    </row>
    <row r="8964">
      <c r="F8964">
        <f>IF(DATOS!$A8964="","",DATOS!$A8964&amp;"|"&amp;DATOS!$D8964&amp;"|"&amp;DATOS!$E8964&amp;"|"&amp;DATOS!$I8964)</f>
      </c>
      <c r="G8964">
        <f>IF(DATOS!$A8964="",0,IF(CONFIG_METADATA!$B$4&lt;&gt;"OR+EX",--(DATOS!$G8964=CONFIG_METADATA!$B$4),IF(DATOS!$G8964="EX",1,IF(DATOS!$G8964="OR",--(COUNTIFS(nNIA,DATOS!$A8964,nCURSO,DATOS!$D8964,nESPEC,DATOS!$E8964,nASIG,DATOS!$I8964,nEVAL,"EX")=0),0))))</f>
      </c>
      <c r="H8964">
        <f>IF(DATOS!$G8964&lt;&gt;"EX",0,--(COUNTIFS(nNIA,DATOS!$A8964,nCURSO,DATOS!$D8964,nESPEC,DATOS!$E8964,nASIG,DATOS!$I8964,nEVAL,"OR")=0))</f>
      </c>
      <c r="I8964">
        <f>IF(DATOS!$I8964="","",IFERROR(VLOOKUP(DATOS!$I8964,CONFIG_ASIGNATURAS!$B$2:$J$91,9,FALSE()),""))</f>
      </c>
    </row>
    <row r="8965">
      <c r="F8965">
        <f>IF(DATOS!$A8965="","",DATOS!$A8965&amp;"|"&amp;DATOS!$D8965&amp;"|"&amp;DATOS!$E8965&amp;"|"&amp;DATOS!$I8965)</f>
      </c>
      <c r="G8965">
        <f>IF(DATOS!$A8965="",0,IF(CONFIG_METADATA!$B$4&lt;&gt;"OR+EX",--(DATOS!$G8965=CONFIG_METADATA!$B$4),IF(DATOS!$G8965="EX",1,IF(DATOS!$G8965="OR",--(COUNTIFS(nNIA,DATOS!$A8965,nCURSO,DATOS!$D8965,nESPEC,DATOS!$E8965,nASIG,DATOS!$I8965,nEVAL,"EX")=0),0))))</f>
      </c>
      <c r="H8965">
        <f>IF(DATOS!$G8965&lt;&gt;"EX",0,--(COUNTIFS(nNIA,DATOS!$A8965,nCURSO,DATOS!$D8965,nESPEC,DATOS!$E8965,nASIG,DATOS!$I8965,nEVAL,"OR")=0))</f>
      </c>
      <c r="I8965">
        <f>IF(DATOS!$I8965="","",IFERROR(VLOOKUP(DATOS!$I8965,CONFIG_ASIGNATURAS!$B$2:$J$91,9,FALSE()),""))</f>
      </c>
    </row>
    <row r="8966">
      <c r="F8966">
        <f>IF(DATOS!$A8966="","",DATOS!$A8966&amp;"|"&amp;DATOS!$D8966&amp;"|"&amp;DATOS!$E8966&amp;"|"&amp;DATOS!$I8966)</f>
      </c>
      <c r="G8966">
        <f>IF(DATOS!$A8966="",0,IF(CONFIG_METADATA!$B$4&lt;&gt;"OR+EX",--(DATOS!$G8966=CONFIG_METADATA!$B$4),IF(DATOS!$G8966="EX",1,IF(DATOS!$G8966="OR",--(COUNTIFS(nNIA,DATOS!$A8966,nCURSO,DATOS!$D8966,nESPEC,DATOS!$E8966,nASIG,DATOS!$I8966,nEVAL,"EX")=0),0))))</f>
      </c>
      <c r="H8966">
        <f>IF(DATOS!$G8966&lt;&gt;"EX",0,--(COUNTIFS(nNIA,DATOS!$A8966,nCURSO,DATOS!$D8966,nESPEC,DATOS!$E8966,nASIG,DATOS!$I8966,nEVAL,"OR")=0))</f>
      </c>
      <c r="I8966">
        <f>IF(DATOS!$I8966="","",IFERROR(VLOOKUP(DATOS!$I8966,CONFIG_ASIGNATURAS!$B$2:$J$91,9,FALSE()),""))</f>
      </c>
    </row>
    <row r="8967">
      <c r="F8967">
        <f>IF(DATOS!$A8967="","",DATOS!$A8967&amp;"|"&amp;DATOS!$D8967&amp;"|"&amp;DATOS!$E8967&amp;"|"&amp;DATOS!$I8967)</f>
      </c>
      <c r="G8967">
        <f>IF(DATOS!$A8967="",0,IF(CONFIG_METADATA!$B$4&lt;&gt;"OR+EX",--(DATOS!$G8967=CONFIG_METADATA!$B$4),IF(DATOS!$G8967="EX",1,IF(DATOS!$G8967="OR",--(COUNTIFS(nNIA,DATOS!$A8967,nCURSO,DATOS!$D8967,nESPEC,DATOS!$E8967,nASIG,DATOS!$I8967,nEVAL,"EX")=0),0))))</f>
      </c>
      <c r="H8967">
        <f>IF(DATOS!$G8967&lt;&gt;"EX",0,--(COUNTIFS(nNIA,DATOS!$A8967,nCURSO,DATOS!$D8967,nESPEC,DATOS!$E8967,nASIG,DATOS!$I8967,nEVAL,"OR")=0))</f>
      </c>
      <c r="I8967">
        <f>IF(DATOS!$I8967="","",IFERROR(VLOOKUP(DATOS!$I8967,CONFIG_ASIGNATURAS!$B$2:$J$91,9,FALSE()),""))</f>
      </c>
    </row>
    <row r="8968">
      <c r="F8968">
        <f>IF(DATOS!$A8968="","",DATOS!$A8968&amp;"|"&amp;DATOS!$D8968&amp;"|"&amp;DATOS!$E8968&amp;"|"&amp;DATOS!$I8968)</f>
      </c>
      <c r="G8968">
        <f>IF(DATOS!$A8968="",0,IF(CONFIG_METADATA!$B$4&lt;&gt;"OR+EX",--(DATOS!$G8968=CONFIG_METADATA!$B$4),IF(DATOS!$G8968="EX",1,IF(DATOS!$G8968="OR",--(COUNTIFS(nNIA,DATOS!$A8968,nCURSO,DATOS!$D8968,nESPEC,DATOS!$E8968,nASIG,DATOS!$I8968,nEVAL,"EX")=0),0))))</f>
      </c>
      <c r="H8968">
        <f>IF(DATOS!$G8968&lt;&gt;"EX",0,--(COUNTIFS(nNIA,DATOS!$A8968,nCURSO,DATOS!$D8968,nESPEC,DATOS!$E8968,nASIG,DATOS!$I8968,nEVAL,"OR")=0))</f>
      </c>
      <c r="I8968">
        <f>IF(DATOS!$I8968="","",IFERROR(VLOOKUP(DATOS!$I8968,CONFIG_ASIGNATURAS!$B$2:$J$91,9,FALSE()),""))</f>
      </c>
    </row>
    <row r="8969">
      <c r="F8969">
        <f>IF(DATOS!$A8969="","",DATOS!$A8969&amp;"|"&amp;DATOS!$D8969&amp;"|"&amp;DATOS!$E8969&amp;"|"&amp;DATOS!$I8969)</f>
      </c>
      <c r="G8969">
        <f>IF(DATOS!$A8969="",0,IF(CONFIG_METADATA!$B$4&lt;&gt;"OR+EX",--(DATOS!$G8969=CONFIG_METADATA!$B$4),IF(DATOS!$G8969="EX",1,IF(DATOS!$G8969="OR",--(COUNTIFS(nNIA,DATOS!$A8969,nCURSO,DATOS!$D8969,nESPEC,DATOS!$E8969,nASIG,DATOS!$I8969,nEVAL,"EX")=0),0))))</f>
      </c>
      <c r="H8969">
        <f>IF(DATOS!$G8969&lt;&gt;"EX",0,--(COUNTIFS(nNIA,DATOS!$A8969,nCURSO,DATOS!$D8969,nESPEC,DATOS!$E8969,nASIG,DATOS!$I8969,nEVAL,"OR")=0))</f>
      </c>
      <c r="I8969">
        <f>IF(DATOS!$I8969="","",IFERROR(VLOOKUP(DATOS!$I8969,CONFIG_ASIGNATURAS!$B$2:$J$91,9,FALSE()),""))</f>
      </c>
    </row>
    <row r="8970">
      <c r="F8970">
        <f>IF(DATOS!$A8970="","",DATOS!$A8970&amp;"|"&amp;DATOS!$D8970&amp;"|"&amp;DATOS!$E8970&amp;"|"&amp;DATOS!$I8970)</f>
      </c>
      <c r="G8970">
        <f>IF(DATOS!$A8970="",0,IF(CONFIG_METADATA!$B$4&lt;&gt;"OR+EX",--(DATOS!$G8970=CONFIG_METADATA!$B$4),IF(DATOS!$G8970="EX",1,IF(DATOS!$G8970="OR",--(COUNTIFS(nNIA,DATOS!$A8970,nCURSO,DATOS!$D8970,nESPEC,DATOS!$E8970,nASIG,DATOS!$I8970,nEVAL,"EX")=0),0))))</f>
      </c>
      <c r="H8970">
        <f>IF(DATOS!$G8970&lt;&gt;"EX",0,--(COUNTIFS(nNIA,DATOS!$A8970,nCURSO,DATOS!$D8970,nESPEC,DATOS!$E8970,nASIG,DATOS!$I8970,nEVAL,"OR")=0))</f>
      </c>
      <c r="I8970">
        <f>IF(DATOS!$I8970="","",IFERROR(VLOOKUP(DATOS!$I8970,CONFIG_ASIGNATURAS!$B$2:$J$91,9,FALSE()),""))</f>
      </c>
    </row>
    <row r="8971">
      <c r="F8971">
        <f>IF(DATOS!$A8971="","",DATOS!$A8971&amp;"|"&amp;DATOS!$D8971&amp;"|"&amp;DATOS!$E8971&amp;"|"&amp;DATOS!$I8971)</f>
      </c>
      <c r="G8971">
        <f>IF(DATOS!$A8971="",0,IF(CONFIG_METADATA!$B$4&lt;&gt;"OR+EX",--(DATOS!$G8971=CONFIG_METADATA!$B$4),IF(DATOS!$G8971="EX",1,IF(DATOS!$G8971="OR",--(COUNTIFS(nNIA,DATOS!$A8971,nCURSO,DATOS!$D8971,nESPEC,DATOS!$E8971,nASIG,DATOS!$I8971,nEVAL,"EX")=0),0))))</f>
      </c>
      <c r="H8971">
        <f>IF(DATOS!$G8971&lt;&gt;"EX",0,--(COUNTIFS(nNIA,DATOS!$A8971,nCURSO,DATOS!$D8971,nESPEC,DATOS!$E8971,nASIG,DATOS!$I8971,nEVAL,"OR")=0))</f>
      </c>
      <c r="I8971">
        <f>IF(DATOS!$I8971="","",IFERROR(VLOOKUP(DATOS!$I8971,CONFIG_ASIGNATURAS!$B$2:$J$91,9,FALSE()),""))</f>
      </c>
    </row>
    <row r="8972">
      <c r="F8972">
        <f>IF(DATOS!$A8972="","",DATOS!$A8972&amp;"|"&amp;DATOS!$D8972&amp;"|"&amp;DATOS!$E8972&amp;"|"&amp;DATOS!$I8972)</f>
      </c>
      <c r="G8972">
        <f>IF(DATOS!$A8972="",0,IF(CONFIG_METADATA!$B$4&lt;&gt;"OR+EX",--(DATOS!$G8972=CONFIG_METADATA!$B$4),IF(DATOS!$G8972="EX",1,IF(DATOS!$G8972="OR",--(COUNTIFS(nNIA,DATOS!$A8972,nCURSO,DATOS!$D8972,nESPEC,DATOS!$E8972,nASIG,DATOS!$I8972,nEVAL,"EX")=0),0))))</f>
      </c>
      <c r="H8972">
        <f>IF(DATOS!$G8972&lt;&gt;"EX",0,--(COUNTIFS(nNIA,DATOS!$A8972,nCURSO,DATOS!$D8972,nESPEC,DATOS!$E8972,nASIG,DATOS!$I8972,nEVAL,"OR")=0))</f>
      </c>
      <c r="I8972">
        <f>IF(DATOS!$I8972="","",IFERROR(VLOOKUP(DATOS!$I8972,CONFIG_ASIGNATURAS!$B$2:$J$91,9,FALSE()),""))</f>
      </c>
    </row>
    <row r="8973">
      <c r="F8973">
        <f>IF(DATOS!$A8973="","",DATOS!$A8973&amp;"|"&amp;DATOS!$D8973&amp;"|"&amp;DATOS!$E8973&amp;"|"&amp;DATOS!$I8973)</f>
      </c>
      <c r="G8973">
        <f>IF(DATOS!$A8973="",0,IF(CONFIG_METADATA!$B$4&lt;&gt;"OR+EX",--(DATOS!$G8973=CONFIG_METADATA!$B$4),IF(DATOS!$G8973="EX",1,IF(DATOS!$G8973="OR",--(COUNTIFS(nNIA,DATOS!$A8973,nCURSO,DATOS!$D8973,nESPEC,DATOS!$E8973,nASIG,DATOS!$I8973,nEVAL,"EX")=0),0))))</f>
      </c>
      <c r="H8973">
        <f>IF(DATOS!$G8973&lt;&gt;"EX",0,--(COUNTIFS(nNIA,DATOS!$A8973,nCURSO,DATOS!$D8973,nESPEC,DATOS!$E8973,nASIG,DATOS!$I8973,nEVAL,"OR")=0))</f>
      </c>
      <c r="I8973">
        <f>IF(DATOS!$I8973="","",IFERROR(VLOOKUP(DATOS!$I8973,CONFIG_ASIGNATURAS!$B$2:$J$91,9,FALSE()),""))</f>
      </c>
    </row>
    <row r="8974">
      <c r="F8974">
        <f>IF(DATOS!$A8974="","",DATOS!$A8974&amp;"|"&amp;DATOS!$D8974&amp;"|"&amp;DATOS!$E8974&amp;"|"&amp;DATOS!$I8974)</f>
      </c>
      <c r="G8974">
        <f>IF(DATOS!$A8974="",0,IF(CONFIG_METADATA!$B$4&lt;&gt;"OR+EX",--(DATOS!$G8974=CONFIG_METADATA!$B$4),IF(DATOS!$G8974="EX",1,IF(DATOS!$G8974="OR",--(COUNTIFS(nNIA,DATOS!$A8974,nCURSO,DATOS!$D8974,nESPEC,DATOS!$E8974,nASIG,DATOS!$I8974,nEVAL,"EX")=0),0))))</f>
      </c>
      <c r="H8974">
        <f>IF(DATOS!$G8974&lt;&gt;"EX",0,--(COUNTIFS(nNIA,DATOS!$A8974,nCURSO,DATOS!$D8974,nESPEC,DATOS!$E8974,nASIG,DATOS!$I8974,nEVAL,"OR")=0))</f>
      </c>
      <c r="I8974">
        <f>IF(DATOS!$I8974="","",IFERROR(VLOOKUP(DATOS!$I8974,CONFIG_ASIGNATURAS!$B$2:$J$91,9,FALSE()),""))</f>
      </c>
    </row>
    <row r="8975">
      <c r="F8975">
        <f>IF(DATOS!$A8975="","",DATOS!$A8975&amp;"|"&amp;DATOS!$D8975&amp;"|"&amp;DATOS!$E8975&amp;"|"&amp;DATOS!$I8975)</f>
      </c>
      <c r="G8975">
        <f>IF(DATOS!$A8975="",0,IF(CONFIG_METADATA!$B$4&lt;&gt;"OR+EX",--(DATOS!$G8975=CONFIG_METADATA!$B$4),IF(DATOS!$G8975="EX",1,IF(DATOS!$G8975="OR",--(COUNTIFS(nNIA,DATOS!$A8975,nCURSO,DATOS!$D8975,nESPEC,DATOS!$E8975,nASIG,DATOS!$I8975,nEVAL,"EX")=0),0))))</f>
      </c>
      <c r="H8975">
        <f>IF(DATOS!$G8975&lt;&gt;"EX",0,--(COUNTIFS(nNIA,DATOS!$A8975,nCURSO,DATOS!$D8975,nESPEC,DATOS!$E8975,nASIG,DATOS!$I8975,nEVAL,"OR")=0))</f>
      </c>
      <c r="I8975">
        <f>IF(DATOS!$I8975="","",IFERROR(VLOOKUP(DATOS!$I8975,CONFIG_ASIGNATURAS!$B$2:$J$91,9,FALSE()),""))</f>
      </c>
    </row>
    <row r="8976">
      <c r="F8976">
        <f>IF(DATOS!$A8976="","",DATOS!$A8976&amp;"|"&amp;DATOS!$D8976&amp;"|"&amp;DATOS!$E8976&amp;"|"&amp;DATOS!$I8976)</f>
      </c>
      <c r="G8976">
        <f>IF(DATOS!$A8976="",0,IF(CONFIG_METADATA!$B$4&lt;&gt;"OR+EX",--(DATOS!$G8976=CONFIG_METADATA!$B$4),IF(DATOS!$G8976="EX",1,IF(DATOS!$G8976="OR",--(COUNTIFS(nNIA,DATOS!$A8976,nCURSO,DATOS!$D8976,nESPEC,DATOS!$E8976,nASIG,DATOS!$I8976,nEVAL,"EX")=0),0))))</f>
      </c>
      <c r="H8976">
        <f>IF(DATOS!$G8976&lt;&gt;"EX",0,--(COUNTIFS(nNIA,DATOS!$A8976,nCURSO,DATOS!$D8976,nESPEC,DATOS!$E8976,nASIG,DATOS!$I8976,nEVAL,"OR")=0))</f>
      </c>
      <c r="I8976">
        <f>IF(DATOS!$I8976="","",IFERROR(VLOOKUP(DATOS!$I8976,CONFIG_ASIGNATURAS!$B$2:$J$91,9,FALSE()),""))</f>
      </c>
    </row>
    <row r="8977">
      <c r="F8977">
        <f>IF(DATOS!$A8977="","",DATOS!$A8977&amp;"|"&amp;DATOS!$D8977&amp;"|"&amp;DATOS!$E8977&amp;"|"&amp;DATOS!$I8977)</f>
      </c>
      <c r="G8977">
        <f>IF(DATOS!$A8977="",0,IF(CONFIG_METADATA!$B$4&lt;&gt;"OR+EX",--(DATOS!$G8977=CONFIG_METADATA!$B$4),IF(DATOS!$G8977="EX",1,IF(DATOS!$G8977="OR",--(COUNTIFS(nNIA,DATOS!$A8977,nCURSO,DATOS!$D8977,nESPEC,DATOS!$E8977,nASIG,DATOS!$I8977,nEVAL,"EX")=0),0))))</f>
      </c>
      <c r="H8977">
        <f>IF(DATOS!$G8977&lt;&gt;"EX",0,--(COUNTIFS(nNIA,DATOS!$A8977,nCURSO,DATOS!$D8977,nESPEC,DATOS!$E8977,nASIG,DATOS!$I8977,nEVAL,"OR")=0))</f>
      </c>
      <c r="I8977">
        <f>IF(DATOS!$I8977="","",IFERROR(VLOOKUP(DATOS!$I8977,CONFIG_ASIGNATURAS!$B$2:$J$91,9,FALSE()),""))</f>
      </c>
    </row>
    <row r="8978">
      <c r="F8978">
        <f>IF(DATOS!$A8978="","",DATOS!$A8978&amp;"|"&amp;DATOS!$D8978&amp;"|"&amp;DATOS!$E8978&amp;"|"&amp;DATOS!$I8978)</f>
      </c>
      <c r="G8978">
        <f>IF(DATOS!$A8978="",0,IF(CONFIG_METADATA!$B$4&lt;&gt;"OR+EX",--(DATOS!$G8978=CONFIG_METADATA!$B$4),IF(DATOS!$G8978="EX",1,IF(DATOS!$G8978="OR",--(COUNTIFS(nNIA,DATOS!$A8978,nCURSO,DATOS!$D8978,nESPEC,DATOS!$E8978,nASIG,DATOS!$I8978,nEVAL,"EX")=0),0))))</f>
      </c>
      <c r="H8978">
        <f>IF(DATOS!$G8978&lt;&gt;"EX",0,--(COUNTIFS(nNIA,DATOS!$A8978,nCURSO,DATOS!$D8978,nESPEC,DATOS!$E8978,nASIG,DATOS!$I8978,nEVAL,"OR")=0))</f>
      </c>
      <c r="I8978">
        <f>IF(DATOS!$I8978="","",IFERROR(VLOOKUP(DATOS!$I8978,CONFIG_ASIGNATURAS!$B$2:$J$91,9,FALSE()),""))</f>
      </c>
    </row>
    <row r="8979">
      <c r="F8979">
        <f>IF(DATOS!$A8979="","",DATOS!$A8979&amp;"|"&amp;DATOS!$D8979&amp;"|"&amp;DATOS!$E8979&amp;"|"&amp;DATOS!$I8979)</f>
      </c>
      <c r="G8979">
        <f>IF(DATOS!$A8979="",0,IF(CONFIG_METADATA!$B$4&lt;&gt;"OR+EX",--(DATOS!$G8979=CONFIG_METADATA!$B$4),IF(DATOS!$G8979="EX",1,IF(DATOS!$G8979="OR",--(COUNTIFS(nNIA,DATOS!$A8979,nCURSO,DATOS!$D8979,nESPEC,DATOS!$E8979,nASIG,DATOS!$I8979,nEVAL,"EX")=0),0))))</f>
      </c>
      <c r="H8979">
        <f>IF(DATOS!$G8979&lt;&gt;"EX",0,--(COUNTIFS(nNIA,DATOS!$A8979,nCURSO,DATOS!$D8979,nESPEC,DATOS!$E8979,nASIG,DATOS!$I8979,nEVAL,"OR")=0))</f>
      </c>
      <c r="I8979">
        <f>IF(DATOS!$I8979="","",IFERROR(VLOOKUP(DATOS!$I8979,CONFIG_ASIGNATURAS!$B$2:$J$91,9,FALSE()),""))</f>
      </c>
    </row>
    <row r="8980">
      <c r="F8980">
        <f>IF(DATOS!$A8980="","",DATOS!$A8980&amp;"|"&amp;DATOS!$D8980&amp;"|"&amp;DATOS!$E8980&amp;"|"&amp;DATOS!$I8980)</f>
      </c>
      <c r="G8980">
        <f>IF(DATOS!$A8980="",0,IF(CONFIG_METADATA!$B$4&lt;&gt;"OR+EX",--(DATOS!$G8980=CONFIG_METADATA!$B$4),IF(DATOS!$G8980="EX",1,IF(DATOS!$G8980="OR",--(COUNTIFS(nNIA,DATOS!$A8980,nCURSO,DATOS!$D8980,nESPEC,DATOS!$E8980,nASIG,DATOS!$I8980,nEVAL,"EX")=0),0))))</f>
      </c>
      <c r="H8980">
        <f>IF(DATOS!$G8980&lt;&gt;"EX",0,--(COUNTIFS(nNIA,DATOS!$A8980,nCURSO,DATOS!$D8980,nESPEC,DATOS!$E8980,nASIG,DATOS!$I8980,nEVAL,"OR")=0))</f>
      </c>
      <c r="I8980">
        <f>IF(DATOS!$I8980="","",IFERROR(VLOOKUP(DATOS!$I8980,CONFIG_ASIGNATURAS!$B$2:$J$91,9,FALSE()),""))</f>
      </c>
    </row>
    <row r="8981">
      <c r="F8981">
        <f>IF(DATOS!$A8981="","",DATOS!$A8981&amp;"|"&amp;DATOS!$D8981&amp;"|"&amp;DATOS!$E8981&amp;"|"&amp;DATOS!$I8981)</f>
      </c>
      <c r="G8981">
        <f>IF(DATOS!$A8981="",0,IF(CONFIG_METADATA!$B$4&lt;&gt;"OR+EX",--(DATOS!$G8981=CONFIG_METADATA!$B$4),IF(DATOS!$G8981="EX",1,IF(DATOS!$G8981="OR",--(COUNTIFS(nNIA,DATOS!$A8981,nCURSO,DATOS!$D8981,nESPEC,DATOS!$E8981,nASIG,DATOS!$I8981,nEVAL,"EX")=0),0))))</f>
      </c>
      <c r="H8981">
        <f>IF(DATOS!$G8981&lt;&gt;"EX",0,--(COUNTIFS(nNIA,DATOS!$A8981,nCURSO,DATOS!$D8981,nESPEC,DATOS!$E8981,nASIG,DATOS!$I8981,nEVAL,"OR")=0))</f>
      </c>
      <c r="I8981">
        <f>IF(DATOS!$I8981="","",IFERROR(VLOOKUP(DATOS!$I8981,CONFIG_ASIGNATURAS!$B$2:$J$91,9,FALSE()),""))</f>
      </c>
    </row>
    <row r="8982">
      <c r="F8982">
        <f>IF(DATOS!$A8982="","",DATOS!$A8982&amp;"|"&amp;DATOS!$D8982&amp;"|"&amp;DATOS!$E8982&amp;"|"&amp;DATOS!$I8982)</f>
      </c>
      <c r="G8982">
        <f>IF(DATOS!$A8982="",0,IF(CONFIG_METADATA!$B$4&lt;&gt;"OR+EX",--(DATOS!$G8982=CONFIG_METADATA!$B$4),IF(DATOS!$G8982="EX",1,IF(DATOS!$G8982="OR",--(COUNTIFS(nNIA,DATOS!$A8982,nCURSO,DATOS!$D8982,nESPEC,DATOS!$E8982,nASIG,DATOS!$I8982,nEVAL,"EX")=0),0))))</f>
      </c>
      <c r="H8982">
        <f>IF(DATOS!$G8982&lt;&gt;"EX",0,--(COUNTIFS(nNIA,DATOS!$A8982,nCURSO,DATOS!$D8982,nESPEC,DATOS!$E8982,nASIG,DATOS!$I8982,nEVAL,"OR")=0))</f>
      </c>
      <c r="I8982">
        <f>IF(DATOS!$I8982="","",IFERROR(VLOOKUP(DATOS!$I8982,CONFIG_ASIGNATURAS!$B$2:$J$91,9,FALSE()),""))</f>
      </c>
    </row>
    <row r="8983">
      <c r="F8983">
        <f>IF(DATOS!$A8983="","",DATOS!$A8983&amp;"|"&amp;DATOS!$D8983&amp;"|"&amp;DATOS!$E8983&amp;"|"&amp;DATOS!$I8983)</f>
      </c>
      <c r="G8983">
        <f>IF(DATOS!$A8983="",0,IF(CONFIG_METADATA!$B$4&lt;&gt;"OR+EX",--(DATOS!$G8983=CONFIG_METADATA!$B$4),IF(DATOS!$G8983="EX",1,IF(DATOS!$G8983="OR",--(COUNTIFS(nNIA,DATOS!$A8983,nCURSO,DATOS!$D8983,nESPEC,DATOS!$E8983,nASIG,DATOS!$I8983,nEVAL,"EX")=0),0))))</f>
      </c>
      <c r="H8983">
        <f>IF(DATOS!$G8983&lt;&gt;"EX",0,--(COUNTIFS(nNIA,DATOS!$A8983,nCURSO,DATOS!$D8983,nESPEC,DATOS!$E8983,nASIG,DATOS!$I8983,nEVAL,"OR")=0))</f>
      </c>
      <c r="I8983">
        <f>IF(DATOS!$I8983="","",IFERROR(VLOOKUP(DATOS!$I8983,CONFIG_ASIGNATURAS!$B$2:$J$91,9,FALSE()),""))</f>
      </c>
    </row>
    <row r="8984">
      <c r="F8984">
        <f>IF(DATOS!$A8984="","",DATOS!$A8984&amp;"|"&amp;DATOS!$D8984&amp;"|"&amp;DATOS!$E8984&amp;"|"&amp;DATOS!$I8984)</f>
      </c>
      <c r="G8984">
        <f>IF(DATOS!$A8984="",0,IF(CONFIG_METADATA!$B$4&lt;&gt;"OR+EX",--(DATOS!$G8984=CONFIG_METADATA!$B$4),IF(DATOS!$G8984="EX",1,IF(DATOS!$G8984="OR",--(COUNTIFS(nNIA,DATOS!$A8984,nCURSO,DATOS!$D8984,nESPEC,DATOS!$E8984,nASIG,DATOS!$I8984,nEVAL,"EX")=0),0))))</f>
      </c>
      <c r="H8984">
        <f>IF(DATOS!$G8984&lt;&gt;"EX",0,--(COUNTIFS(nNIA,DATOS!$A8984,nCURSO,DATOS!$D8984,nESPEC,DATOS!$E8984,nASIG,DATOS!$I8984,nEVAL,"OR")=0))</f>
      </c>
      <c r="I8984">
        <f>IF(DATOS!$I8984="","",IFERROR(VLOOKUP(DATOS!$I8984,CONFIG_ASIGNATURAS!$B$2:$J$91,9,FALSE()),""))</f>
      </c>
    </row>
    <row r="8985">
      <c r="F8985">
        <f>IF(DATOS!$A8985="","",DATOS!$A8985&amp;"|"&amp;DATOS!$D8985&amp;"|"&amp;DATOS!$E8985&amp;"|"&amp;DATOS!$I8985)</f>
      </c>
      <c r="G8985">
        <f>IF(DATOS!$A8985="",0,IF(CONFIG_METADATA!$B$4&lt;&gt;"OR+EX",--(DATOS!$G8985=CONFIG_METADATA!$B$4),IF(DATOS!$G8985="EX",1,IF(DATOS!$G8985="OR",--(COUNTIFS(nNIA,DATOS!$A8985,nCURSO,DATOS!$D8985,nESPEC,DATOS!$E8985,nASIG,DATOS!$I8985,nEVAL,"EX")=0),0))))</f>
      </c>
      <c r="H8985">
        <f>IF(DATOS!$G8985&lt;&gt;"EX",0,--(COUNTIFS(nNIA,DATOS!$A8985,nCURSO,DATOS!$D8985,nESPEC,DATOS!$E8985,nASIG,DATOS!$I8985,nEVAL,"OR")=0))</f>
      </c>
      <c r="I8985">
        <f>IF(DATOS!$I8985="","",IFERROR(VLOOKUP(DATOS!$I8985,CONFIG_ASIGNATURAS!$B$2:$J$91,9,FALSE()),""))</f>
      </c>
    </row>
    <row r="8986">
      <c r="F8986">
        <f>IF(DATOS!$A8986="","",DATOS!$A8986&amp;"|"&amp;DATOS!$D8986&amp;"|"&amp;DATOS!$E8986&amp;"|"&amp;DATOS!$I8986)</f>
      </c>
      <c r="G8986">
        <f>IF(DATOS!$A8986="",0,IF(CONFIG_METADATA!$B$4&lt;&gt;"OR+EX",--(DATOS!$G8986=CONFIG_METADATA!$B$4),IF(DATOS!$G8986="EX",1,IF(DATOS!$G8986="OR",--(COUNTIFS(nNIA,DATOS!$A8986,nCURSO,DATOS!$D8986,nESPEC,DATOS!$E8986,nASIG,DATOS!$I8986,nEVAL,"EX")=0),0))))</f>
      </c>
      <c r="H8986">
        <f>IF(DATOS!$G8986&lt;&gt;"EX",0,--(COUNTIFS(nNIA,DATOS!$A8986,nCURSO,DATOS!$D8986,nESPEC,DATOS!$E8986,nASIG,DATOS!$I8986,nEVAL,"OR")=0))</f>
      </c>
      <c r="I8986">
        <f>IF(DATOS!$I8986="","",IFERROR(VLOOKUP(DATOS!$I8986,CONFIG_ASIGNATURAS!$B$2:$J$91,9,FALSE()),""))</f>
      </c>
    </row>
    <row r="8987">
      <c r="F8987">
        <f>IF(DATOS!$A8987="","",DATOS!$A8987&amp;"|"&amp;DATOS!$D8987&amp;"|"&amp;DATOS!$E8987&amp;"|"&amp;DATOS!$I8987)</f>
      </c>
      <c r="G8987">
        <f>IF(DATOS!$A8987="",0,IF(CONFIG_METADATA!$B$4&lt;&gt;"OR+EX",--(DATOS!$G8987=CONFIG_METADATA!$B$4),IF(DATOS!$G8987="EX",1,IF(DATOS!$G8987="OR",--(COUNTIFS(nNIA,DATOS!$A8987,nCURSO,DATOS!$D8987,nESPEC,DATOS!$E8987,nASIG,DATOS!$I8987,nEVAL,"EX")=0),0))))</f>
      </c>
      <c r="H8987">
        <f>IF(DATOS!$G8987&lt;&gt;"EX",0,--(COUNTIFS(nNIA,DATOS!$A8987,nCURSO,DATOS!$D8987,nESPEC,DATOS!$E8987,nASIG,DATOS!$I8987,nEVAL,"OR")=0))</f>
      </c>
      <c r="I8987">
        <f>IF(DATOS!$I8987="","",IFERROR(VLOOKUP(DATOS!$I8987,CONFIG_ASIGNATURAS!$B$2:$J$91,9,FALSE()),""))</f>
      </c>
    </row>
    <row r="8988">
      <c r="F8988">
        <f>IF(DATOS!$A8988="","",DATOS!$A8988&amp;"|"&amp;DATOS!$D8988&amp;"|"&amp;DATOS!$E8988&amp;"|"&amp;DATOS!$I8988)</f>
      </c>
      <c r="G8988">
        <f>IF(DATOS!$A8988="",0,IF(CONFIG_METADATA!$B$4&lt;&gt;"OR+EX",--(DATOS!$G8988=CONFIG_METADATA!$B$4),IF(DATOS!$G8988="EX",1,IF(DATOS!$G8988="OR",--(COUNTIFS(nNIA,DATOS!$A8988,nCURSO,DATOS!$D8988,nESPEC,DATOS!$E8988,nASIG,DATOS!$I8988,nEVAL,"EX")=0),0))))</f>
      </c>
      <c r="H8988">
        <f>IF(DATOS!$G8988&lt;&gt;"EX",0,--(COUNTIFS(nNIA,DATOS!$A8988,nCURSO,DATOS!$D8988,nESPEC,DATOS!$E8988,nASIG,DATOS!$I8988,nEVAL,"OR")=0))</f>
      </c>
      <c r="I8988">
        <f>IF(DATOS!$I8988="","",IFERROR(VLOOKUP(DATOS!$I8988,CONFIG_ASIGNATURAS!$B$2:$J$91,9,FALSE()),""))</f>
      </c>
    </row>
    <row r="8989">
      <c r="F8989">
        <f>IF(DATOS!$A8989="","",DATOS!$A8989&amp;"|"&amp;DATOS!$D8989&amp;"|"&amp;DATOS!$E8989&amp;"|"&amp;DATOS!$I8989)</f>
      </c>
      <c r="G8989">
        <f>IF(DATOS!$A8989="",0,IF(CONFIG_METADATA!$B$4&lt;&gt;"OR+EX",--(DATOS!$G8989=CONFIG_METADATA!$B$4),IF(DATOS!$G8989="EX",1,IF(DATOS!$G8989="OR",--(COUNTIFS(nNIA,DATOS!$A8989,nCURSO,DATOS!$D8989,nESPEC,DATOS!$E8989,nASIG,DATOS!$I8989,nEVAL,"EX")=0),0))))</f>
      </c>
      <c r="H8989">
        <f>IF(DATOS!$G8989&lt;&gt;"EX",0,--(COUNTIFS(nNIA,DATOS!$A8989,nCURSO,DATOS!$D8989,nESPEC,DATOS!$E8989,nASIG,DATOS!$I8989,nEVAL,"OR")=0))</f>
      </c>
      <c r="I8989">
        <f>IF(DATOS!$I8989="","",IFERROR(VLOOKUP(DATOS!$I8989,CONFIG_ASIGNATURAS!$B$2:$J$91,9,FALSE()),""))</f>
      </c>
    </row>
    <row r="8990">
      <c r="F8990">
        <f>IF(DATOS!$A8990="","",DATOS!$A8990&amp;"|"&amp;DATOS!$D8990&amp;"|"&amp;DATOS!$E8990&amp;"|"&amp;DATOS!$I8990)</f>
      </c>
      <c r="G8990">
        <f>IF(DATOS!$A8990="",0,IF(CONFIG_METADATA!$B$4&lt;&gt;"OR+EX",--(DATOS!$G8990=CONFIG_METADATA!$B$4),IF(DATOS!$G8990="EX",1,IF(DATOS!$G8990="OR",--(COUNTIFS(nNIA,DATOS!$A8990,nCURSO,DATOS!$D8990,nESPEC,DATOS!$E8990,nASIG,DATOS!$I8990,nEVAL,"EX")=0),0))))</f>
      </c>
      <c r="H8990">
        <f>IF(DATOS!$G8990&lt;&gt;"EX",0,--(COUNTIFS(nNIA,DATOS!$A8990,nCURSO,DATOS!$D8990,nESPEC,DATOS!$E8990,nASIG,DATOS!$I8990,nEVAL,"OR")=0))</f>
      </c>
      <c r="I8990">
        <f>IF(DATOS!$I8990="","",IFERROR(VLOOKUP(DATOS!$I8990,CONFIG_ASIGNATURAS!$B$2:$J$91,9,FALSE()),""))</f>
      </c>
    </row>
    <row r="8991">
      <c r="F8991">
        <f>IF(DATOS!$A8991="","",DATOS!$A8991&amp;"|"&amp;DATOS!$D8991&amp;"|"&amp;DATOS!$E8991&amp;"|"&amp;DATOS!$I8991)</f>
      </c>
      <c r="G8991">
        <f>IF(DATOS!$A8991="",0,IF(CONFIG_METADATA!$B$4&lt;&gt;"OR+EX",--(DATOS!$G8991=CONFIG_METADATA!$B$4),IF(DATOS!$G8991="EX",1,IF(DATOS!$G8991="OR",--(COUNTIFS(nNIA,DATOS!$A8991,nCURSO,DATOS!$D8991,nESPEC,DATOS!$E8991,nASIG,DATOS!$I8991,nEVAL,"EX")=0),0))))</f>
      </c>
      <c r="H8991">
        <f>IF(DATOS!$G8991&lt;&gt;"EX",0,--(COUNTIFS(nNIA,DATOS!$A8991,nCURSO,DATOS!$D8991,nESPEC,DATOS!$E8991,nASIG,DATOS!$I8991,nEVAL,"OR")=0))</f>
      </c>
      <c r="I8991">
        <f>IF(DATOS!$I8991="","",IFERROR(VLOOKUP(DATOS!$I8991,CONFIG_ASIGNATURAS!$B$2:$J$91,9,FALSE()),""))</f>
      </c>
    </row>
    <row r="8992">
      <c r="F8992">
        <f>IF(DATOS!$A8992="","",DATOS!$A8992&amp;"|"&amp;DATOS!$D8992&amp;"|"&amp;DATOS!$E8992&amp;"|"&amp;DATOS!$I8992)</f>
      </c>
      <c r="G8992">
        <f>IF(DATOS!$A8992="",0,IF(CONFIG_METADATA!$B$4&lt;&gt;"OR+EX",--(DATOS!$G8992=CONFIG_METADATA!$B$4),IF(DATOS!$G8992="EX",1,IF(DATOS!$G8992="OR",--(COUNTIFS(nNIA,DATOS!$A8992,nCURSO,DATOS!$D8992,nESPEC,DATOS!$E8992,nASIG,DATOS!$I8992,nEVAL,"EX")=0),0))))</f>
      </c>
      <c r="H8992">
        <f>IF(DATOS!$G8992&lt;&gt;"EX",0,--(COUNTIFS(nNIA,DATOS!$A8992,nCURSO,DATOS!$D8992,nESPEC,DATOS!$E8992,nASIG,DATOS!$I8992,nEVAL,"OR")=0))</f>
      </c>
      <c r="I8992">
        <f>IF(DATOS!$I8992="","",IFERROR(VLOOKUP(DATOS!$I8992,CONFIG_ASIGNATURAS!$B$2:$J$91,9,FALSE()),""))</f>
      </c>
    </row>
    <row r="8993">
      <c r="F8993">
        <f>IF(DATOS!$A8993="","",DATOS!$A8993&amp;"|"&amp;DATOS!$D8993&amp;"|"&amp;DATOS!$E8993&amp;"|"&amp;DATOS!$I8993)</f>
      </c>
      <c r="G8993">
        <f>IF(DATOS!$A8993="",0,IF(CONFIG_METADATA!$B$4&lt;&gt;"OR+EX",--(DATOS!$G8993=CONFIG_METADATA!$B$4),IF(DATOS!$G8993="EX",1,IF(DATOS!$G8993="OR",--(COUNTIFS(nNIA,DATOS!$A8993,nCURSO,DATOS!$D8993,nESPEC,DATOS!$E8993,nASIG,DATOS!$I8993,nEVAL,"EX")=0),0))))</f>
      </c>
      <c r="H8993">
        <f>IF(DATOS!$G8993&lt;&gt;"EX",0,--(COUNTIFS(nNIA,DATOS!$A8993,nCURSO,DATOS!$D8993,nESPEC,DATOS!$E8993,nASIG,DATOS!$I8993,nEVAL,"OR")=0))</f>
      </c>
      <c r="I8993">
        <f>IF(DATOS!$I8993="","",IFERROR(VLOOKUP(DATOS!$I8993,CONFIG_ASIGNATURAS!$B$2:$J$91,9,FALSE()),""))</f>
      </c>
    </row>
    <row r="8994">
      <c r="F8994">
        <f>IF(DATOS!$A8994="","",DATOS!$A8994&amp;"|"&amp;DATOS!$D8994&amp;"|"&amp;DATOS!$E8994&amp;"|"&amp;DATOS!$I8994)</f>
      </c>
      <c r="G8994">
        <f>IF(DATOS!$A8994="",0,IF(CONFIG_METADATA!$B$4&lt;&gt;"OR+EX",--(DATOS!$G8994=CONFIG_METADATA!$B$4),IF(DATOS!$G8994="EX",1,IF(DATOS!$G8994="OR",--(COUNTIFS(nNIA,DATOS!$A8994,nCURSO,DATOS!$D8994,nESPEC,DATOS!$E8994,nASIG,DATOS!$I8994,nEVAL,"EX")=0),0))))</f>
      </c>
      <c r="H8994">
        <f>IF(DATOS!$G8994&lt;&gt;"EX",0,--(COUNTIFS(nNIA,DATOS!$A8994,nCURSO,DATOS!$D8994,nESPEC,DATOS!$E8994,nASIG,DATOS!$I8994,nEVAL,"OR")=0))</f>
      </c>
      <c r="I8994">
        <f>IF(DATOS!$I8994="","",IFERROR(VLOOKUP(DATOS!$I8994,CONFIG_ASIGNATURAS!$B$2:$J$91,9,FALSE()),""))</f>
      </c>
    </row>
    <row r="8995">
      <c r="F8995">
        <f>IF(DATOS!$A8995="","",DATOS!$A8995&amp;"|"&amp;DATOS!$D8995&amp;"|"&amp;DATOS!$E8995&amp;"|"&amp;DATOS!$I8995)</f>
      </c>
      <c r="G8995">
        <f>IF(DATOS!$A8995="",0,IF(CONFIG_METADATA!$B$4&lt;&gt;"OR+EX",--(DATOS!$G8995=CONFIG_METADATA!$B$4),IF(DATOS!$G8995="EX",1,IF(DATOS!$G8995="OR",--(COUNTIFS(nNIA,DATOS!$A8995,nCURSO,DATOS!$D8995,nESPEC,DATOS!$E8995,nASIG,DATOS!$I8995,nEVAL,"EX")=0),0))))</f>
      </c>
      <c r="H8995">
        <f>IF(DATOS!$G8995&lt;&gt;"EX",0,--(COUNTIFS(nNIA,DATOS!$A8995,nCURSO,DATOS!$D8995,nESPEC,DATOS!$E8995,nASIG,DATOS!$I8995,nEVAL,"OR")=0))</f>
      </c>
      <c r="I8995">
        <f>IF(DATOS!$I8995="","",IFERROR(VLOOKUP(DATOS!$I8995,CONFIG_ASIGNATURAS!$B$2:$J$91,9,FALSE()),""))</f>
      </c>
    </row>
    <row r="8996">
      <c r="F8996">
        <f>IF(DATOS!$A8996="","",DATOS!$A8996&amp;"|"&amp;DATOS!$D8996&amp;"|"&amp;DATOS!$E8996&amp;"|"&amp;DATOS!$I8996)</f>
      </c>
      <c r="G8996">
        <f>IF(DATOS!$A8996="",0,IF(CONFIG_METADATA!$B$4&lt;&gt;"OR+EX",--(DATOS!$G8996=CONFIG_METADATA!$B$4),IF(DATOS!$G8996="EX",1,IF(DATOS!$G8996="OR",--(COUNTIFS(nNIA,DATOS!$A8996,nCURSO,DATOS!$D8996,nESPEC,DATOS!$E8996,nASIG,DATOS!$I8996,nEVAL,"EX")=0),0))))</f>
      </c>
      <c r="H8996">
        <f>IF(DATOS!$G8996&lt;&gt;"EX",0,--(COUNTIFS(nNIA,DATOS!$A8996,nCURSO,DATOS!$D8996,nESPEC,DATOS!$E8996,nASIG,DATOS!$I8996,nEVAL,"OR")=0))</f>
      </c>
      <c r="I8996">
        <f>IF(DATOS!$I8996="","",IFERROR(VLOOKUP(DATOS!$I8996,CONFIG_ASIGNATURAS!$B$2:$J$91,9,FALSE()),""))</f>
      </c>
    </row>
    <row r="8997">
      <c r="F8997">
        <f>IF(DATOS!$A8997="","",DATOS!$A8997&amp;"|"&amp;DATOS!$D8997&amp;"|"&amp;DATOS!$E8997&amp;"|"&amp;DATOS!$I8997)</f>
      </c>
      <c r="G8997">
        <f>IF(DATOS!$A8997="",0,IF(CONFIG_METADATA!$B$4&lt;&gt;"OR+EX",--(DATOS!$G8997=CONFIG_METADATA!$B$4),IF(DATOS!$G8997="EX",1,IF(DATOS!$G8997="OR",--(COUNTIFS(nNIA,DATOS!$A8997,nCURSO,DATOS!$D8997,nESPEC,DATOS!$E8997,nASIG,DATOS!$I8997,nEVAL,"EX")=0),0))))</f>
      </c>
      <c r="H8997">
        <f>IF(DATOS!$G8997&lt;&gt;"EX",0,--(COUNTIFS(nNIA,DATOS!$A8997,nCURSO,DATOS!$D8997,nESPEC,DATOS!$E8997,nASIG,DATOS!$I8997,nEVAL,"OR")=0))</f>
      </c>
      <c r="I8997">
        <f>IF(DATOS!$I8997="","",IFERROR(VLOOKUP(DATOS!$I8997,CONFIG_ASIGNATURAS!$B$2:$J$91,9,FALSE()),""))</f>
      </c>
    </row>
    <row r="8998">
      <c r="F8998">
        <f>IF(DATOS!$A8998="","",DATOS!$A8998&amp;"|"&amp;DATOS!$D8998&amp;"|"&amp;DATOS!$E8998&amp;"|"&amp;DATOS!$I8998)</f>
      </c>
      <c r="G8998">
        <f>IF(DATOS!$A8998="",0,IF(CONFIG_METADATA!$B$4&lt;&gt;"OR+EX",--(DATOS!$G8998=CONFIG_METADATA!$B$4),IF(DATOS!$G8998="EX",1,IF(DATOS!$G8998="OR",--(COUNTIFS(nNIA,DATOS!$A8998,nCURSO,DATOS!$D8998,nESPEC,DATOS!$E8998,nASIG,DATOS!$I8998,nEVAL,"EX")=0),0))))</f>
      </c>
      <c r="H8998">
        <f>IF(DATOS!$G8998&lt;&gt;"EX",0,--(COUNTIFS(nNIA,DATOS!$A8998,nCURSO,DATOS!$D8998,nESPEC,DATOS!$E8998,nASIG,DATOS!$I8998,nEVAL,"OR")=0))</f>
      </c>
      <c r="I8998">
        <f>IF(DATOS!$I8998="","",IFERROR(VLOOKUP(DATOS!$I8998,CONFIG_ASIGNATURAS!$B$2:$J$91,9,FALSE()),""))</f>
      </c>
    </row>
    <row r="8999">
      <c r="F8999">
        <f>IF(DATOS!$A8999="","",DATOS!$A8999&amp;"|"&amp;DATOS!$D8999&amp;"|"&amp;DATOS!$E8999&amp;"|"&amp;DATOS!$I8999)</f>
      </c>
      <c r="G8999">
        <f>IF(DATOS!$A8999="",0,IF(CONFIG_METADATA!$B$4&lt;&gt;"OR+EX",--(DATOS!$G8999=CONFIG_METADATA!$B$4),IF(DATOS!$G8999="EX",1,IF(DATOS!$G8999="OR",--(COUNTIFS(nNIA,DATOS!$A8999,nCURSO,DATOS!$D8999,nESPEC,DATOS!$E8999,nASIG,DATOS!$I8999,nEVAL,"EX")=0),0))))</f>
      </c>
      <c r="H8999">
        <f>IF(DATOS!$G8999&lt;&gt;"EX",0,--(COUNTIFS(nNIA,DATOS!$A8999,nCURSO,DATOS!$D8999,nESPEC,DATOS!$E8999,nASIG,DATOS!$I8999,nEVAL,"OR")=0))</f>
      </c>
      <c r="I8999">
        <f>IF(DATOS!$I8999="","",IFERROR(VLOOKUP(DATOS!$I8999,CONFIG_ASIGNATURAS!$B$2:$J$91,9,FALSE()),""))</f>
      </c>
    </row>
    <row r="9000">
      <c r="F9000">
        <f>IF(DATOS!$A9000="","",DATOS!$A9000&amp;"|"&amp;DATOS!$D9000&amp;"|"&amp;DATOS!$E9000&amp;"|"&amp;DATOS!$I9000)</f>
      </c>
      <c r="G9000">
        <f>IF(DATOS!$A9000="",0,IF(CONFIG_METADATA!$B$4&lt;&gt;"OR+EX",--(DATOS!$G9000=CONFIG_METADATA!$B$4),IF(DATOS!$G9000="EX",1,IF(DATOS!$G9000="OR",--(COUNTIFS(nNIA,DATOS!$A9000,nCURSO,DATOS!$D9000,nESPEC,DATOS!$E9000,nASIG,DATOS!$I9000,nEVAL,"EX")=0),0))))</f>
      </c>
      <c r="H9000">
        <f>IF(DATOS!$G9000&lt;&gt;"EX",0,--(COUNTIFS(nNIA,DATOS!$A9000,nCURSO,DATOS!$D9000,nESPEC,DATOS!$E9000,nASIG,DATOS!$I9000,nEVAL,"OR")=0))</f>
      </c>
      <c r="I9000">
        <f>IF(DATOS!$I9000="","",IFERROR(VLOOKUP(DATOS!$I9000,CONFIG_ASIGNATURAS!$B$2:$J$91,9,FALSE()),""))</f>
      </c>
    </row>
    <row r="9001">
      <c r="F9001">
        <f>IF(DATOS!$A9001="","",DATOS!$A9001&amp;"|"&amp;DATOS!$D9001&amp;"|"&amp;DATOS!$E9001&amp;"|"&amp;DATOS!$I9001)</f>
      </c>
      <c r="G9001">
        <f>IF(DATOS!$A9001="",0,IF(CONFIG_METADATA!$B$4&lt;&gt;"OR+EX",--(DATOS!$G9001=CONFIG_METADATA!$B$4),IF(DATOS!$G9001="EX",1,IF(DATOS!$G9001="OR",--(COUNTIFS(nNIA,DATOS!$A9001,nCURSO,DATOS!$D9001,nESPEC,DATOS!$E9001,nASIG,DATOS!$I9001,nEVAL,"EX")=0),0))))</f>
      </c>
      <c r="H9001">
        <f>IF(DATOS!$G9001&lt;&gt;"EX",0,--(COUNTIFS(nNIA,DATOS!$A9001,nCURSO,DATOS!$D9001,nESPEC,DATOS!$E9001,nASIG,DATOS!$I9001,nEVAL,"OR")=0))</f>
      </c>
      <c r="I9001">
        <f>IF(DATOS!$I9001="","",IFERROR(VLOOKUP(DATOS!$I9001,CONFIG_ASIGNATURAS!$B$2:$J$91,9,FALSE()),""))</f>
      </c>
    </row>
    <row r="9002">
      <c r="F9002">
        <f>IF(DATOS!$A9002="","",DATOS!$A9002&amp;"|"&amp;DATOS!$D9002&amp;"|"&amp;DATOS!$E9002&amp;"|"&amp;DATOS!$I9002)</f>
      </c>
      <c r="G9002">
        <f>IF(DATOS!$A9002="",0,IF(CONFIG_METADATA!$B$4&lt;&gt;"OR+EX",--(DATOS!$G9002=CONFIG_METADATA!$B$4),IF(DATOS!$G9002="EX",1,IF(DATOS!$G9002="OR",--(COUNTIFS(nNIA,DATOS!$A9002,nCURSO,DATOS!$D9002,nESPEC,DATOS!$E9002,nASIG,DATOS!$I9002,nEVAL,"EX")=0),0))))</f>
      </c>
      <c r="H9002">
        <f>IF(DATOS!$G9002&lt;&gt;"EX",0,--(COUNTIFS(nNIA,DATOS!$A9002,nCURSO,DATOS!$D9002,nESPEC,DATOS!$E9002,nASIG,DATOS!$I9002,nEVAL,"OR")=0))</f>
      </c>
      <c r="I9002">
        <f>IF(DATOS!$I9002="","",IFERROR(VLOOKUP(DATOS!$I9002,CONFIG_ASIGNATURAS!$B$2:$J$91,9,FALSE()),""))</f>
      </c>
    </row>
    <row r="9003">
      <c r="F9003">
        <f>IF(DATOS!$A9003="","",DATOS!$A9003&amp;"|"&amp;DATOS!$D9003&amp;"|"&amp;DATOS!$E9003&amp;"|"&amp;DATOS!$I9003)</f>
      </c>
      <c r="G9003">
        <f>IF(DATOS!$A9003="",0,IF(CONFIG_METADATA!$B$4&lt;&gt;"OR+EX",--(DATOS!$G9003=CONFIG_METADATA!$B$4),IF(DATOS!$G9003="EX",1,IF(DATOS!$G9003="OR",--(COUNTIFS(nNIA,DATOS!$A9003,nCURSO,DATOS!$D9003,nESPEC,DATOS!$E9003,nASIG,DATOS!$I9003,nEVAL,"EX")=0),0))))</f>
      </c>
      <c r="H9003">
        <f>IF(DATOS!$G9003&lt;&gt;"EX",0,--(COUNTIFS(nNIA,DATOS!$A9003,nCURSO,DATOS!$D9003,nESPEC,DATOS!$E9003,nASIG,DATOS!$I9003,nEVAL,"OR")=0))</f>
      </c>
      <c r="I9003">
        <f>IF(DATOS!$I9003="","",IFERROR(VLOOKUP(DATOS!$I9003,CONFIG_ASIGNATURAS!$B$2:$J$91,9,FALSE()),""))</f>
      </c>
    </row>
    <row r="9004">
      <c r="F9004">
        <f>IF(DATOS!$A9004="","",DATOS!$A9004&amp;"|"&amp;DATOS!$D9004&amp;"|"&amp;DATOS!$E9004&amp;"|"&amp;DATOS!$I9004)</f>
      </c>
      <c r="G9004">
        <f>IF(DATOS!$A9004="",0,IF(CONFIG_METADATA!$B$4&lt;&gt;"OR+EX",--(DATOS!$G9004=CONFIG_METADATA!$B$4),IF(DATOS!$G9004="EX",1,IF(DATOS!$G9004="OR",--(COUNTIFS(nNIA,DATOS!$A9004,nCURSO,DATOS!$D9004,nESPEC,DATOS!$E9004,nASIG,DATOS!$I9004,nEVAL,"EX")=0),0))))</f>
      </c>
      <c r="H9004">
        <f>IF(DATOS!$G9004&lt;&gt;"EX",0,--(COUNTIFS(nNIA,DATOS!$A9004,nCURSO,DATOS!$D9004,nESPEC,DATOS!$E9004,nASIG,DATOS!$I9004,nEVAL,"OR")=0))</f>
      </c>
      <c r="I9004">
        <f>IF(DATOS!$I9004="","",IFERROR(VLOOKUP(DATOS!$I9004,CONFIG_ASIGNATURAS!$B$2:$J$91,9,FALSE()),""))</f>
      </c>
    </row>
    <row r="9005">
      <c r="F9005">
        <f>IF(DATOS!$A9005="","",DATOS!$A9005&amp;"|"&amp;DATOS!$D9005&amp;"|"&amp;DATOS!$E9005&amp;"|"&amp;DATOS!$I9005)</f>
      </c>
      <c r="G9005">
        <f>IF(DATOS!$A9005="",0,IF(CONFIG_METADATA!$B$4&lt;&gt;"OR+EX",--(DATOS!$G9005=CONFIG_METADATA!$B$4),IF(DATOS!$G9005="EX",1,IF(DATOS!$G9005="OR",--(COUNTIFS(nNIA,DATOS!$A9005,nCURSO,DATOS!$D9005,nESPEC,DATOS!$E9005,nASIG,DATOS!$I9005,nEVAL,"EX")=0),0))))</f>
      </c>
      <c r="H9005">
        <f>IF(DATOS!$G9005&lt;&gt;"EX",0,--(COUNTIFS(nNIA,DATOS!$A9005,nCURSO,DATOS!$D9005,nESPEC,DATOS!$E9005,nASIG,DATOS!$I9005,nEVAL,"OR")=0))</f>
      </c>
      <c r="I9005">
        <f>IF(DATOS!$I9005="","",IFERROR(VLOOKUP(DATOS!$I9005,CONFIG_ASIGNATURAS!$B$2:$J$91,9,FALSE()),""))</f>
      </c>
    </row>
    <row r="9006">
      <c r="F9006">
        <f>IF(DATOS!$A9006="","",DATOS!$A9006&amp;"|"&amp;DATOS!$D9006&amp;"|"&amp;DATOS!$E9006&amp;"|"&amp;DATOS!$I9006)</f>
      </c>
      <c r="G9006">
        <f>IF(DATOS!$A9006="",0,IF(CONFIG_METADATA!$B$4&lt;&gt;"OR+EX",--(DATOS!$G9006=CONFIG_METADATA!$B$4),IF(DATOS!$G9006="EX",1,IF(DATOS!$G9006="OR",--(COUNTIFS(nNIA,DATOS!$A9006,nCURSO,DATOS!$D9006,nESPEC,DATOS!$E9006,nASIG,DATOS!$I9006,nEVAL,"EX")=0),0))))</f>
      </c>
      <c r="H9006">
        <f>IF(DATOS!$G9006&lt;&gt;"EX",0,--(COUNTIFS(nNIA,DATOS!$A9006,nCURSO,DATOS!$D9006,nESPEC,DATOS!$E9006,nASIG,DATOS!$I9006,nEVAL,"OR")=0))</f>
      </c>
      <c r="I9006">
        <f>IF(DATOS!$I9006="","",IFERROR(VLOOKUP(DATOS!$I9006,CONFIG_ASIGNATURAS!$B$2:$J$91,9,FALSE()),""))</f>
      </c>
    </row>
    <row r="9007">
      <c r="F9007">
        <f>IF(DATOS!$A9007="","",DATOS!$A9007&amp;"|"&amp;DATOS!$D9007&amp;"|"&amp;DATOS!$E9007&amp;"|"&amp;DATOS!$I9007)</f>
      </c>
      <c r="G9007">
        <f>IF(DATOS!$A9007="",0,IF(CONFIG_METADATA!$B$4&lt;&gt;"OR+EX",--(DATOS!$G9007=CONFIG_METADATA!$B$4),IF(DATOS!$G9007="EX",1,IF(DATOS!$G9007="OR",--(COUNTIFS(nNIA,DATOS!$A9007,nCURSO,DATOS!$D9007,nESPEC,DATOS!$E9007,nASIG,DATOS!$I9007,nEVAL,"EX")=0),0))))</f>
      </c>
      <c r="H9007">
        <f>IF(DATOS!$G9007&lt;&gt;"EX",0,--(COUNTIFS(nNIA,DATOS!$A9007,nCURSO,DATOS!$D9007,nESPEC,DATOS!$E9007,nASIG,DATOS!$I9007,nEVAL,"OR")=0))</f>
      </c>
      <c r="I9007">
        <f>IF(DATOS!$I9007="","",IFERROR(VLOOKUP(DATOS!$I9007,CONFIG_ASIGNATURAS!$B$2:$J$91,9,FALSE()),""))</f>
      </c>
    </row>
    <row r="9008">
      <c r="F9008">
        <f>IF(DATOS!$A9008="","",DATOS!$A9008&amp;"|"&amp;DATOS!$D9008&amp;"|"&amp;DATOS!$E9008&amp;"|"&amp;DATOS!$I9008)</f>
      </c>
      <c r="G9008">
        <f>IF(DATOS!$A9008="",0,IF(CONFIG_METADATA!$B$4&lt;&gt;"OR+EX",--(DATOS!$G9008=CONFIG_METADATA!$B$4),IF(DATOS!$G9008="EX",1,IF(DATOS!$G9008="OR",--(COUNTIFS(nNIA,DATOS!$A9008,nCURSO,DATOS!$D9008,nESPEC,DATOS!$E9008,nASIG,DATOS!$I9008,nEVAL,"EX")=0),0))))</f>
      </c>
      <c r="H9008">
        <f>IF(DATOS!$G9008&lt;&gt;"EX",0,--(COUNTIFS(nNIA,DATOS!$A9008,nCURSO,DATOS!$D9008,nESPEC,DATOS!$E9008,nASIG,DATOS!$I9008,nEVAL,"OR")=0))</f>
      </c>
      <c r="I9008">
        <f>IF(DATOS!$I9008="","",IFERROR(VLOOKUP(DATOS!$I9008,CONFIG_ASIGNATURAS!$B$2:$J$91,9,FALSE()),""))</f>
      </c>
    </row>
    <row r="9009">
      <c r="F9009">
        <f>IF(DATOS!$A9009="","",DATOS!$A9009&amp;"|"&amp;DATOS!$D9009&amp;"|"&amp;DATOS!$E9009&amp;"|"&amp;DATOS!$I9009)</f>
      </c>
      <c r="G9009">
        <f>IF(DATOS!$A9009="",0,IF(CONFIG_METADATA!$B$4&lt;&gt;"OR+EX",--(DATOS!$G9009=CONFIG_METADATA!$B$4),IF(DATOS!$G9009="EX",1,IF(DATOS!$G9009="OR",--(COUNTIFS(nNIA,DATOS!$A9009,nCURSO,DATOS!$D9009,nESPEC,DATOS!$E9009,nASIG,DATOS!$I9009,nEVAL,"EX")=0),0))))</f>
      </c>
      <c r="H9009">
        <f>IF(DATOS!$G9009&lt;&gt;"EX",0,--(COUNTIFS(nNIA,DATOS!$A9009,nCURSO,DATOS!$D9009,nESPEC,DATOS!$E9009,nASIG,DATOS!$I9009,nEVAL,"OR")=0))</f>
      </c>
      <c r="I9009">
        <f>IF(DATOS!$I9009="","",IFERROR(VLOOKUP(DATOS!$I9009,CONFIG_ASIGNATURAS!$B$2:$J$91,9,FALSE()),""))</f>
      </c>
    </row>
    <row r="9010">
      <c r="F9010">
        <f>IF(DATOS!$A9010="","",DATOS!$A9010&amp;"|"&amp;DATOS!$D9010&amp;"|"&amp;DATOS!$E9010&amp;"|"&amp;DATOS!$I9010)</f>
      </c>
      <c r="G9010">
        <f>IF(DATOS!$A9010="",0,IF(CONFIG_METADATA!$B$4&lt;&gt;"OR+EX",--(DATOS!$G9010=CONFIG_METADATA!$B$4),IF(DATOS!$G9010="EX",1,IF(DATOS!$G9010="OR",--(COUNTIFS(nNIA,DATOS!$A9010,nCURSO,DATOS!$D9010,nESPEC,DATOS!$E9010,nASIG,DATOS!$I9010,nEVAL,"EX")=0),0))))</f>
      </c>
      <c r="H9010">
        <f>IF(DATOS!$G9010&lt;&gt;"EX",0,--(COUNTIFS(nNIA,DATOS!$A9010,nCURSO,DATOS!$D9010,nESPEC,DATOS!$E9010,nASIG,DATOS!$I9010,nEVAL,"OR")=0))</f>
      </c>
      <c r="I9010">
        <f>IF(DATOS!$I9010="","",IFERROR(VLOOKUP(DATOS!$I9010,CONFIG_ASIGNATURAS!$B$2:$J$91,9,FALSE()),""))</f>
      </c>
    </row>
    <row r="9011">
      <c r="F9011">
        <f>IF(DATOS!$A9011="","",DATOS!$A9011&amp;"|"&amp;DATOS!$D9011&amp;"|"&amp;DATOS!$E9011&amp;"|"&amp;DATOS!$I9011)</f>
      </c>
      <c r="G9011">
        <f>IF(DATOS!$A9011="",0,IF(CONFIG_METADATA!$B$4&lt;&gt;"OR+EX",--(DATOS!$G9011=CONFIG_METADATA!$B$4),IF(DATOS!$G9011="EX",1,IF(DATOS!$G9011="OR",--(COUNTIFS(nNIA,DATOS!$A9011,nCURSO,DATOS!$D9011,nESPEC,DATOS!$E9011,nASIG,DATOS!$I9011,nEVAL,"EX")=0),0))))</f>
      </c>
      <c r="H9011">
        <f>IF(DATOS!$G9011&lt;&gt;"EX",0,--(COUNTIFS(nNIA,DATOS!$A9011,nCURSO,DATOS!$D9011,nESPEC,DATOS!$E9011,nASIG,DATOS!$I9011,nEVAL,"OR")=0))</f>
      </c>
      <c r="I9011">
        <f>IF(DATOS!$I9011="","",IFERROR(VLOOKUP(DATOS!$I9011,CONFIG_ASIGNATURAS!$B$2:$J$91,9,FALSE()),""))</f>
      </c>
    </row>
    <row r="9012">
      <c r="F9012">
        <f>IF(DATOS!$A9012="","",DATOS!$A9012&amp;"|"&amp;DATOS!$D9012&amp;"|"&amp;DATOS!$E9012&amp;"|"&amp;DATOS!$I9012)</f>
      </c>
      <c r="G9012">
        <f>IF(DATOS!$A9012="",0,IF(CONFIG_METADATA!$B$4&lt;&gt;"OR+EX",--(DATOS!$G9012=CONFIG_METADATA!$B$4),IF(DATOS!$G9012="EX",1,IF(DATOS!$G9012="OR",--(COUNTIFS(nNIA,DATOS!$A9012,nCURSO,DATOS!$D9012,nESPEC,DATOS!$E9012,nASIG,DATOS!$I9012,nEVAL,"EX")=0),0))))</f>
      </c>
      <c r="H9012">
        <f>IF(DATOS!$G9012&lt;&gt;"EX",0,--(COUNTIFS(nNIA,DATOS!$A9012,nCURSO,DATOS!$D9012,nESPEC,DATOS!$E9012,nASIG,DATOS!$I9012,nEVAL,"OR")=0))</f>
      </c>
      <c r="I9012">
        <f>IF(DATOS!$I9012="","",IFERROR(VLOOKUP(DATOS!$I9012,CONFIG_ASIGNATURAS!$B$2:$J$91,9,FALSE()),""))</f>
      </c>
    </row>
    <row r="9013">
      <c r="F9013">
        <f>IF(DATOS!$A9013="","",DATOS!$A9013&amp;"|"&amp;DATOS!$D9013&amp;"|"&amp;DATOS!$E9013&amp;"|"&amp;DATOS!$I9013)</f>
      </c>
      <c r="G9013">
        <f>IF(DATOS!$A9013="",0,IF(CONFIG_METADATA!$B$4&lt;&gt;"OR+EX",--(DATOS!$G9013=CONFIG_METADATA!$B$4),IF(DATOS!$G9013="EX",1,IF(DATOS!$G9013="OR",--(COUNTIFS(nNIA,DATOS!$A9013,nCURSO,DATOS!$D9013,nESPEC,DATOS!$E9013,nASIG,DATOS!$I9013,nEVAL,"EX")=0),0))))</f>
      </c>
      <c r="H9013">
        <f>IF(DATOS!$G9013&lt;&gt;"EX",0,--(COUNTIFS(nNIA,DATOS!$A9013,nCURSO,DATOS!$D9013,nESPEC,DATOS!$E9013,nASIG,DATOS!$I9013,nEVAL,"OR")=0))</f>
      </c>
      <c r="I9013">
        <f>IF(DATOS!$I9013="","",IFERROR(VLOOKUP(DATOS!$I9013,CONFIG_ASIGNATURAS!$B$2:$J$91,9,FALSE()),""))</f>
      </c>
    </row>
    <row r="9014">
      <c r="F9014">
        <f>IF(DATOS!$A9014="","",DATOS!$A9014&amp;"|"&amp;DATOS!$D9014&amp;"|"&amp;DATOS!$E9014&amp;"|"&amp;DATOS!$I9014)</f>
      </c>
      <c r="G9014">
        <f>IF(DATOS!$A9014="",0,IF(CONFIG_METADATA!$B$4&lt;&gt;"OR+EX",--(DATOS!$G9014=CONFIG_METADATA!$B$4),IF(DATOS!$G9014="EX",1,IF(DATOS!$G9014="OR",--(COUNTIFS(nNIA,DATOS!$A9014,nCURSO,DATOS!$D9014,nESPEC,DATOS!$E9014,nASIG,DATOS!$I9014,nEVAL,"EX")=0),0))))</f>
      </c>
      <c r="H9014">
        <f>IF(DATOS!$G9014&lt;&gt;"EX",0,--(COUNTIFS(nNIA,DATOS!$A9014,nCURSO,DATOS!$D9014,nESPEC,DATOS!$E9014,nASIG,DATOS!$I9014,nEVAL,"OR")=0))</f>
      </c>
      <c r="I9014">
        <f>IF(DATOS!$I9014="","",IFERROR(VLOOKUP(DATOS!$I9014,CONFIG_ASIGNATURAS!$B$2:$J$91,9,FALSE()),""))</f>
      </c>
    </row>
    <row r="9015">
      <c r="F9015">
        <f>IF(DATOS!$A9015="","",DATOS!$A9015&amp;"|"&amp;DATOS!$D9015&amp;"|"&amp;DATOS!$E9015&amp;"|"&amp;DATOS!$I9015)</f>
      </c>
      <c r="G9015">
        <f>IF(DATOS!$A9015="",0,IF(CONFIG_METADATA!$B$4&lt;&gt;"OR+EX",--(DATOS!$G9015=CONFIG_METADATA!$B$4),IF(DATOS!$G9015="EX",1,IF(DATOS!$G9015="OR",--(COUNTIFS(nNIA,DATOS!$A9015,nCURSO,DATOS!$D9015,nESPEC,DATOS!$E9015,nASIG,DATOS!$I9015,nEVAL,"EX")=0),0))))</f>
      </c>
      <c r="H9015">
        <f>IF(DATOS!$G9015&lt;&gt;"EX",0,--(COUNTIFS(nNIA,DATOS!$A9015,nCURSO,DATOS!$D9015,nESPEC,DATOS!$E9015,nASIG,DATOS!$I9015,nEVAL,"OR")=0))</f>
      </c>
      <c r="I9015">
        <f>IF(DATOS!$I9015="","",IFERROR(VLOOKUP(DATOS!$I9015,CONFIG_ASIGNATURAS!$B$2:$J$91,9,FALSE()),""))</f>
      </c>
    </row>
    <row r="9016">
      <c r="F9016">
        <f>IF(DATOS!$A9016="","",DATOS!$A9016&amp;"|"&amp;DATOS!$D9016&amp;"|"&amp;DATOS!$E9016&amp;"|"&amp;DATOS!$I9016)</f>
      </c>
      <c r="G9016">
        <f>IF(DATOS!$A9016="",0,IF(CONFIG_METADATA!$B$4&lt;&gt;"OR+EX",--(DATOS!$G9016=CONFIG_METADATA!$B$4),IF(DATOS!$G9016="EX",1,IF(DATOS!$G9016="OR",--(COUNTIFS(nNIA,DATOS!$A9016,nCURSO,DATOS!$D9016,nESPEC,DATOS!$E9016,nASIG,DATOS!$I9016,nEVAL,"EX")=0),0))))</f>
      </c>
      <c r="H9016">
        <f>IF(DATOS!$G9016&lt;&gt;"EX",0,--(COUNTIFS(nNIA,DATOS!$A9016,nCURSO,DATOS!$D9016,nESPEC,DATOS!$E9016,nASIG,DATOS!$I9016,nEVAL,"OR")=0))</f>
      </c>
      <c r="I9016">
        <f>IF(DATOS!$I9016="","",IFERROR(VLOOKUP(DATOS!$I9016,CONFIG_ASIGNATURAS!$B$2:$J$91,9,FALSE()),""))</f>
      </c>
    </row>
    <row r="9017">
      <c r="F9017">
        <f>IF(DATOS!$A9017="","",DATOS!$A9017&amp;"|"&amp;DATOS!$D9017&amp;"|"&amp;DATOS!$E9017&amp;"|"&amp;DATOS!$I9017)</f>
      </c>
      <c r="G9017">
        <f>IF(DATOS!$A9017="",0,IF(CONFIG_METADATA!$B$4&lt;&gt;"OR+EX",--(DATOS!$G9017=CONFIG_METADATA!$B$4),IF(DATOS!$G9017="EX",1,IF(DATOS!$G9017="OR",--(COUNTIFS(nNIA,DATOS!$A9017,nCURSO,DATOS!$D9017,nESPEC,DATOS!$E9017,nASIG,DATOS!$I9017,nEVAL,"EX")=0),0))))</f>
      </c>
      <c r="H9017">
        <f>IF(DATOS!$G9017&lt;&gt;"EX",0,--(COUNTIFS(nNIA,DATOS!$A9017,nCURSO,DATOS!$D9017,nESPEC,DATOS!$E9017,nASIG,DATOS!$I9017,nEVAL,"OR")=0))</f>
      </c>
      <c r="I9017">
        <f>IF(DATOS!$I9017="","",IFERROR(VLOOKUP(DATOS!$I9017,CONFIG_ASIGNATURAS!$B$2:$J$91,9,FALSE()),""))</f>
      </c>
    </row>
    <row r="9018">
      <c r="F9018">
        <f>IF(DATOS!$A9018="","",DATOS!$A9018&amp;"|"&amp;DATOS!$D9018&amp;"|"&amp;DATOS!$E9018&amp;"|"&amp;DATOS!$I9018)</f>
      </c>
      <c r="G9018">
        <f>IF(DATOS!$A9018="",0,IF(CONFIG_METADATA!$B$4&lt;&gt;"OR+EX",--(DATOS!$G9018=CONFIG_METADATA!$B$4),IF(DATOS!$G9018="EX",1,IF(DATOS!$G9018="OR",--(COUNTIFS(nNIA,DATOS!$A9018,nCURSO,DATOS!$D9018,nESPEC,DATOS!$E9018,nASIG,DATOS!$I9018,nEVAL,"EX")=0),0))))</f>
      </c>
      <c r="H9018">
        <f>IF(DATOS!$G9018&lt;&gt;"EX",0,--(COUNTIFS(nNIA,DATOS!$A9018,nCURSO,DATOS!$D9018,nESPEC,DATOS!$E9018,nASIG,DATOS!$I9018,nEVAL,"OR")=0))</f>
      </c>
      <c r="I9018">
        <f>IF(DATOS!$I9018="","",IFERROR(VLOOKUP(DATOS!$I9018,CONFIG_ASIGNATURAS!$B$2:$J$91,9,FALSE()),""))</f>
      </c>
    </row>
    <row r="9019">
      <c r="F9019">
        <f>IF(DATOS!$A9019="","",DATOS!$A9019&amp;"|"&amp;DATOS!$D9019&amp;"|"&amp;DATOS!$E9019&amp;"|"&amp;DATOS!$I9019)</f>
      </c>
      <c r="G9019">
        <f>IF(DATOS!$A9019="",0,IF(CONFIG_METADATA!$B$4&lt;&gt;"OR+EX",--(DATOS!$G9019=CONFIG_METADATA!$B$4),IF(DATOS!$G9019="EX",1,IF(DATOS!$G9019="OR",--(COUNTIFS(nNIA,DATOS!$A9019,nCURSO,DATOS!$D9019,nESPEC,DATOS!$E9019,nASIG,DATOS!$I9019,nEVAL,"EX")=0),0))))</f>
      </c>
      <c r="H9019">
        <f>IF(DATOS!$G9019&lt;&gt;"EX",0,--(COUNTIFS(nNIA,DATOS!$A9019,nCURSO,DATOS!$D9019,nESPEC,DATOS!$E9019,nASIG,DATOS!$I9019,nEVAL,"OR")=0))</f>
      </c>
      <c r="I9019">
        <f>IF(DATOS!$I9019="","",IFERROR(VLOOKUP(DATOS!$I9019,CONFIG_ASIGNATURAS!$B$2:$J$91,9,FALSE()),""))</f>
      </c>
    </row>
    <row r="9020">
      <c r="F9020">
        <f>IF(DATOS!$A9020="","",DATOS!$A9020&amp;"|"&amp;DATOS!$D9020&amp;"|"&amp;DATOS!$E9020&amp;"|"&amp;DATOS!$I9020)</f>
      </c>
      <c r="G9020">
        <f>IF(DATOS!$A9020="",0,IF(CONFIG_METADATA!$B$4&lt;&gt;"OR+EX",--(DATOS!$G9020=CONFIG_METADATA!$B$4),IF(DATOS!$G9020="EX",1,IF(DATOS!$G9020="OR",--(COUNTIFS(nNIA,DATOS!$A9020,nCURSO,DATOS!$D9020,nESPEC,DATOS!$E9020,nASIG,DATOS!$I9020,nEVAL,"EX")=0),0))))</f>
      </c>
      <c r="H9020">
        <f>IF(DATOS!$G9020&lt;&gt;"EX",0,--(COUNTIFS(nNIA,DATOS!$A9020,nCURSO,DATOS!$D9020,nESPEC,DATOS!$E9020,nASIG,DATOS!$I9020,nEVAL,"OR")=0))</f>
      </c>
      <c r="I9020">
        <f>IF(DATOS!$I9020="","",IFERROR(VLOOKUP(DATOS!$I9020,CONFIG_ASIGNATURAS!$B$2:$J$91,9,FALSE()),""))</f>
      </c>
    </row>
    <row r="9021">
      <c r="F9021">
        <f>IF(DATOS!$A9021="","",DATOS!$A9021&amp;"|"&amp;DATOS!$D9021&amp;"|"&amp;DATOS!$E9021&amp;"|"&amp;DATOS!$I9021)</f>
      </c>
      <c r="G9021">
        <f>IF(DATOS!$A9021="",0,IF(CONFIG_METADATA!$B$4&lt;&gt;"OR+EX",--(DATOS!$G9021=CONFIG_METADATA!$B$4),IF(DATOS!$G9021="EX",1,IF(DATOS!$G9021="OR",--(COUNTIFS(nNIA,DATOS!$A9021,nCURSO,DATOS!$D9021,nESPEC,DATOS!$E9021,nASIG,DATOS!$I9021,nEVAL,"EX")=0),0))))</f>
      </c>
      <c r="H9021">
        <f>IF(DATOS!$G9021&lt;&gt;"EX",0,--(COUNTIFS(nNIA,DATOS!$A9021,nCURSO,DATOS!$D9021,nESPEC,DATOS!$E9021,nASIG,DATOS!$I9021,nEVAL,"OR")=0))</f>
      </c>
      <c r="I9021">
        <f>IF(DATOS!$I9021="","",IFERROR(VLOOKUP(DATOS!$I9021,CONFIG_ASIGNATURAS!$B$2:$J$91,9,FALSE()),""))</f>
      </c>
    </row>
    <row r="9022">
      <c r="F9022">
        <f>IF(DATOS!$A9022="","",DATOS!$A9022&amp;"|"&amp;DATOS!$D9022&amp;"|"&amp;DATOS!$E9022&amp;"|"&amp;DATOS!$I9022)</f>
      </c>
      <c r="G9022">
        <f>IF(DATOS!$A9022="",0,IF(CONFIG_METADATA!$B$4&lt;&gt;"OR+EX",--(DATOS!$G9022=CONFIG_METADATA!$B$4),IF(DATOS!$G9022="EX",1,IF(DATOS!$G9022="OR",--(COUNTIFS(nNIA,DATOS!$A9022,nCURSO,DATOS!$D9022,nESPEC,DATOS!$E9022,nASIG,DATOS!$I9022,nEVAL,"EX")=0),0))))</f>
      </c>
      <c r="H9022">
        <f>IF(DATOS!$G9022&lt;&gt;"EX",0,--(COUNTIFS(nNIA,DATOS!$A9022,nCURSO,DATOS!$D9022,nESPEC,DATOS!$E9022,nASIG,DATOS!$I9022,nEVAL,"OR")=0))</f>
      </c>
      <c r="I9022">
        <f>IF(DATOS!$I9022="","",IFERROR(VLOOKUP(DATOS!$I9022,CONFIG_ASIGNATURAS!$B$2:$J$91,9,FALSE()),""))</f>
      </c>
    </row>
    <row r="9023">
      <c r="F9023">
        <f>IF(DATOS!$A9023="","",DATOS!$A9023&amp;"|"&amp;DATOS!$D9023&amp;"|"&amp;DATOS!$E9023&amp;"|"&amp;DATOS!$I9023)</f>
      </c>
      <c r="G9023">
        <f>IF(DATOS!$A9023="",0,IF(CONFIG_METADATA!$B$4&lt;&gt;"OR+EX",--(DATOS!$G9023=CONFIG_METADATA!$B$4),IF(DATOS!$G9023="EX",1,IF(DATOS!$G9023="OR",--(COUNTIFS(nNIA,DATOS!$A9023,nCURSO,DATOS!$D9023,nESPEC,DATOS!$E9023,nASIG,DATOS!$I9023,nEVAL,"EX")=0),0))))</f>
      </c>
      <c r="H9023">
        <f>IF(DATOS!$G9023&lt;&gt;"EX",0,--(COUNTIFS(nNIA,DATOS!$A9023,nCURSO,DATOS!$D9023,nESPEC,DATOS!$E9023,nASIG,DATOS!$I9023,nEVAL,"OR")=0))</f>
      </c>
      <c r="I9023">
        <f>IF(DATOS!$I9023="","",IFERROR(VLOOKUP(DATOS!$I9023,CONFIG_ASIGNATURAS!$B$2:$J$91,9,FALSE()),""))</f>
      </c>
    </row>
    <row r="9024">
      <c r="F9024">
        <f>IF(DATOS!$A9024="","",DATOS!$A9024&amp;"|"&amp;DATOS!$D9024&amp;"|"&amp;DATOS!$E9024&amp;"|"&amp;DATOS!$I9024)</f>
      </c>
      <c r="G9024">
        <f>IF(DATOS!$A9024="",0,IF(CONFIG_METADATA!$B$4&lt;&gt;"OR+EX",--(DATOS!$G9024=CONFIG_METADATA!$B$4),IF(DATOS!$G9024="EX",1,IF(DATOS!$G9024="OR",--(COUNTIFS(nNIA,DATOS!$A9024,nCURSO,DATOS!$D9024,nESPEC,DATOS!$E9024,nASIG,DATOS!$I9024,nEVAL,"EX")=0),0))))</f>
      </c>
      <c r="H9024">
        <f>IF(DATOS!$G9024&lt;&gt;"EX",0,--(COUNTIFS(nNIA,DATOS!$A9024,nCURSO,DATOS!$D9024,nESPEC,DATOS!$E9024,nASIG,DATOS!$I9024,nEVAL,"OR")=0))</f>
      </c>
      <c r="I9024">
        <f>IF(DATOS!$I9024="","",IFERROR(VLOOKUP(DATOS!$I9024,CONFIG_ASIGNATURAS!$B$2:$J$91,9,FALSE()),""))</f>
      </c>
    </row>
    <row r="9025">
      <c r="F9025">
        <f>IF(DATOS!$A9025="","",DATOS!$A9025&amp;"|"&amp;DATOS!$D9025&amp;"|"&amp;DATOS!$E9025&amp;"|"&amp;DATOS!$I9025)</f>
      </c>
      <c r="G9025">
        <f>IF(DATOS!$A9025="",0,IF(CONFIG_METADATA!$B$4&lt;&gt;"OR+EX",--(DATOS!$G9025=CONFIG_METADATA!$B$4),IF(DATOS!$G9025="EX",1,IF(DATOS!$G9025="OR",--(COUNTIFS(nNIA,DATOS!$A9025,nCURSO,DATOS!$D9025,nESPEC,DATOS!$E9025,nASIG,DATOS!$I9025,nEVAL,"EX")=0),0))))</f>
      </c>
      <c r="H9025">
        <f>IF(DATOS!$G9025&lt;&gt;"EX",0,--(COUNTIFS(nNIA,DATOS!$A9025,nCURSO,DATOS!$D9025,nESPEC,DATOS!$E9025,nASIG,DATOS!$I9025,nEVAL,"OR")=0))</f>
      </c>
      <c r="I9025">
        <f>IF(DATOS!$I9025="","",IFERROR(VLOOKUP(DATOS!$I9025,CONFIG_ASIGNATURAS!$B$2:$J$91,9,FALSE()),""))</f>
      </c>
    </row>
    <row r="9026">
      <c r="F9026">
        <f>IF(DATOS!$A9026="","",DATOS!$A9026&amp;"|"&amp;DATOS!$D9026&amp;"|"&amp;DATOS!$E9026&amp;"|"&amp;DATOS!$I9026)</f>
      </c>
      <c r="G9026">
        <f>IF(DATOS!$A9026="",0,IF(CONFIG_METADATA!$B$4&lt;&gt;"OR+EX",--(DATOS!$G9026=CONFIG_METADATA!$B$4),IF(DATOS!$G9026="EX",1,IF(DATOS!$G9026="OR",--(COUNTIFS(nNIA,DATOS!$A9026,nCURSO,DATOS!$D9026,nESPEC,DATOS!$E9026,nASIG,DATOS!$I9026,nEVAL,"EX")=0),0))))</f>
      </c>
      <c r="H9026">
        <f>IF(DATOS!$G9026&lt;&gt;"EX",0,--(COUNTIFS(nNIA,DATOS!$A9026,nCURSO,DATOS!$D9026,nESPEC,DATOS!$E9026,nASIG,DATOS!$I9026,nEVAL,"OR")=0))</f>
      </c>
      <c r="I9026">
        <f>IF(DATOS!$I9026="","",IFERROR(VLOOKUP(DATOS!$I9026,CONFIG_ASIGNATURAS!$B$2:$J$91,9,FALSE()),""))</f>
      </c>
    </row>
    <row r="9027">
      <c r="F9027">
        <f>IF(DATOS!$A9027="","",DATOS!$A9027&amp;"|"&amp;DATOS!$D9027&amp;"|"&amp;DATOS!$E9027&amp;"|"&amp;DATOS!$I9027)</f>
      </c>
      <c r="G9027">
        <f>IF(DATOS!$A9027="",0,IF(CONFIG_METADATA!$B$4&lt;&gt;"OR+EX",--(DATOS!$G9027=CONFIG_METADATA!$B$4),IF(DATOS!$G9027="EX",1,IF(DATOS!$G9027="OR",--(COUNTIFS(nNIA,DATOS!$A9027,nCURSO,DATOS!$D9027,nESPEC,DATOS!$E9027,nASIG,DATOS!$I9027,nEVAL,"EX")=0),0))))</f>
      </c>
      <c r="H9027">
        <f>IF(DATOS!$G9027&lt;&gt;"EX",0,--(COUNTIFS(nNIA,DATOS!$A9027,nCURSO,DATOS!$D9027,nESPEC,DATOS!$E9027,nASIG,DATOS!$I9027,nEVAL,"OR")=0))</f>
      </c>
      <c r="I9027">
        <f>IF(DATOS!$I9027="","",IFERROR(VLOOKUP(DATOS!$I9027,CONFIG_ASIGNATURAS!$B$2:$J$91,9,FALSE()),""))</f>
      </c>
    </row>
    <row r="9028">
      <c r="F9028">
        <f>IF(DATOS!$A9028="","",DATOS!$A9028&amp;"|"&amp;DATOS!$D9028&amp;"|"&amp;DATOS!$E9028&amp;"|"&amp;DATOS!$I9028)</f>
      </c>
      <c r="G9028">
        <f>IF(DATOS!$A9028="",0,IF(CONFIG_METADATA!$B$4&lt;&gt;"OR+EX",--(DATOS!$G9028=CONFIG_METADATA!$B$4),IF(DATOS!$G9028="EX",1,IF(DATOS!$G9028="OR",--(COUNTIFS(nNIA,DATOS!$A9028,nCURSO,DATOS!$D9028,nESPEC,DATOS!$E9028,nASIG,DATOS!$I9028,nEVAL,"EX")=0),0))))</f>
      </c>
      <c r="H9028">
        <f>IF(DATOS!$G9028&lt;&gt;"EX",0,--(COUNTIFS(nNIA,DATOS!$A9028,nCURSO,DATOS!$D9028,nESPEC,DATOS!$E9028,nASIG,DATOS!$I9028,nEVAL,"OR")=0))</f>
      </c>
      <c r="I9028">
        <f>IF(DATOS!$I9028="","",IFERROR(VLOOKUP(DATOS!$I9028,CONFIG_ASIGNATURAS!$B$2:$J$91,9,FALSE()),""))</f>
      </c>
    </row>
    <row r="9029">
      <c r="F9029">
        <f>IF(DATOS!$A9029="","",DATOS!$A9029&amp;"|"&amp;DATOS!$D9029&amp;"|"&amp;DATOS!$E9029&amp;"|"&amp;DATOS!$I9029)</f>
      </c>
      <c r="G9029">
        <f>IF(DATOS!$A9029="",0,IF(CONFIG_METADATA!$B$4&lt;&gt;"OR+EX",--(DATOS!$G9029=CONFIG_METADATA!$B$4),IF(DATOS!$G9029="EX",1,IF(DATOS!$G9029="OR",--(COUNTIFS(nNIA,DATOS!$A9029,nCURSO,DATOS!$D9029,nESPEC,DATOS!$E9029,nASIG,DATOS!$I9029,nEVAL,"EX")=0),0))))</f>
      </c>
      <c r="H9029">
        <f>IF(DATOS!$G9029&lt;&gt;"EX",0,--(COUNTIFS(nNIA,DATOS!$A9029,nCURSO,DATOS!$D9029,nESPEC,DATOS!$E9029,nASIG,DATOS!$I9029,nEVAL,"OR")=0))</f>
      </c>
      <c r="I9029">
        <f>IF(DATOS!$I9029="","",IFERROR(VLOOKUP(DATOS!$I9029,CONFIG_ASIGNATURAS!$B$2:$J$91,9,FALSE()),""))</f>
      </c>
    </row>
    <row r="9030">
      <c r="F9030">
        <f>IF(DATOS!$A9030="","",DATOS!$A9030&amp;"|"&amp;DATOS!$D9030&amp;"|"&amp;DATOS!$E9030&amp;"|"&amp;DATOS!$I9030)</f>
      </c>
      <c r="G9030">
        <f>IF(DATOS!$A9030="",0,IF(CONFIG_METADATA!$B$4&lt;&gt;"OR+EX",--(DATOS!$G9030=CONFIG_METADATA!$B$4),IF(DATOS!$G9030="EX",1,IF(DATOS!$G9030="OR",--(COUNTIFS(nNIA,DATOS!$A9030,nCURSO,DATOS!$D9030,nESPEC,DATOS!$E9030,nASIG,DATOS!$I9030,nEVAL,"EX")=0),0))))</f>
      </c>
      <c r="H9030">
        <f>IF(DATOS!$G9030&lt;&gt;"EX",0,--(COUNTIFS(nNIA,DATOS!$A9030,nCURSO,DATOS!$D9030,nESPEC,DATOS!$E9030,nASIG,DATOS!$I9030,nEVAL,"OR")=0))</f>
      </c>
      <c r="I9030">
        <f>IF(DATOS!$I9030="","",IFERROR(VLOOKUP(DATOS!$I9030,CONFIG_ASIGNATURAS!$B$2:$J$91,9,FALSE()),""))</f>
      </c>
    </row>
    <row r="9031">
      <c r="F9031">
        <f>IF(DATOS!$A9031="","",DATOS!$A9031&amp;"|"&amp;DATOS!$D9031&amp;"|"&amp;DATOS!$E9031&amp;"|"&amp;DATOS!$I9031)</f>
      </c>
      <c r="G9031">
        <f>IF(DATOS!$A9031="",0,IF(CONFIG_METADATA!$B$4&lt;&gt;"OR+EX",--(DATOS!$G9031=CONFIG_METADATA!$B$4),IF(DATOS!$G9031="EX",1,IF(DATOS!$G9031="OR",--(COUNTIFS(nNIA,DATOS!$A9031,nCURSO,DATOS!$D9031,nESPEC,DATOS!$E9031,nASIG,DATOS!$I9031,nEVAL,"EX")=0),0))))</f>
      </c>
      <c r="H9031">
        <f>IF(DATOS!$G9031&lt;&gt;"EX",0,--(COUNTIFS(nNIA,DATOS!$A9031,nCURSO,DATOS!$D9031,nESPEC,DATOS!$E9031,nASIG,DATOS!$I9031,nEVAL,"OR")=0))</f>
      </c>
      <c r="I9031">
        <f>IF(DATOS!$I9031="","",IFERROR(VLOOKUP(DATOS!$I9031,CONFIG_ASIGNATURAS!$B$2:$J$91,9,FALSE()),""))</f>
      </c>
    </row>
    <row r="9032">
      <c r="F9032">
        <f>IF(DATOS!$A9032="","",DATOS!$A9032&amp;"|"&amp;DATOS!$D9032&amp;"|"&amp;DATOS!$E9032&amp;"|"&amp;DATOS!$I9032)</f>
      </c>
      <c r="G9032">
        <f>IF(DATOS!$A9032="",0,IF(CONFIG_METADATA!$B$4&lt;&gt;"OR+EX",--(DATOS!$G9032=CONFIG_METADATA!$B$4),IF(DATOS!$G9032="EX",1,IF(DATOS!$G9032="OR",--(COUNTIFS(nNIA,DATOS!$A9032,nCURSO,DATOS!$D9032,nESPEC,DATOS!$E9032,nASIG,DATOS!$I9032,nEVAL,"EX")=0),0))))</f>
      </c>
      <c r="H9032">
        <f>IF(DATOS!$G9032&lt;&gt;"EX",0,--(COUNTIFS(nNIA,DATOS!$A9032,nCURSO,DATOS!$D9032,nESPEC,DATOS!$E9032,nASIG,DATOS!$I9032,nEVAL,"OR")=0))</f>
      </c>
      <c r="I9032">
        <f>IF(DATOS!$I9032="","",IFERROR(VLOOKUP(DATOS!$I9032,CONFIG_ASIGNATURAS!$B$2:$J$91,9,FALSE()),""))</f>
      </c>
    </row>
    <row r="9033">
      <c r="F9033">
        <f>IF(DATOS!$A9033="","",DATOS!$A9033&amp;"|"&amp;DATOS!$D9033&amp;"|"&amp;DATOS!$E9033&amp;"|"&amp;DATOS!$I9033)</f>
      </c>
      <c r="G9033">
        <f>IF(DATOS!$A9033="",0,IF(CONFIG_METADATA!$B$4&lt;&gt;"OR+EX",--(DATOS!$G9033=CONFIG_METADATA!$B$4),IF(DATOS!$G9033="EX",1,IF(DATOS!$G9033="OR",--(COUNTIFS(nNIA,DATOS!$A9033,nCURSO,DATOS!$D9033,nESPEC,DATOS!$E9033,nASIG,DATOS!$I9033,nEVAL,"EX")=0),0))))</f>
      </c>
      <c r="H9033">
        <f>IF(DATOS!$G9033&lt;&gt;"EX",0,--(COUNTIFS(nNIA,DATOS!$A9033,nCURSO,DATOS!$D9033,nESPEC,DATOS!$E9033,nASIG,DATOS!$I9033,nEVAL,"OR")=0))</f>
      </c>
      <c r="I9033">
        <f>IF(DATOS!$I9033="","",IFERROR(VLOOKUP(DATOS!$I9033,CONFIG_ASIGNATURAS!$B$2:$J$91,9,FALSE()),""))</f>
      </c>
    </row>
    <row r="9034">
      <c r="F9034">
        <f>IF(DATOS!$A9034="","",DATOS!$A9034&amp;"|"&amp;DATOS!$D9034&amp;"|"&amp;DATOS!$E9034&amp;"|"&amp;DATOS!$I9034)</f>
      </c>
      <c r="G9034">
        <f>IF(DATOS!$A9034="",0,IF(CONFIG_METADATA!$B$4&lt;&gt;"OR+EX",--(DATOS!$G9034=CONFIG_METADATA!$B$4),IF(DATOS!$G9034="EX",1,IF(DATOS!$G9034="OR",--(COUNTIFS(nNIA,DATOS!$A9034,nCURSO,DATOS!$D9034,nESPEC,DATOS!$E9034,nASIG,DATOS!$I9034,nEVAL,"EX")=0),0))))</f>
      </c>
      <c r="H9034">
        <f>IF(DATOS!$G9034&lt;&gt;"EX",0,--(COUNTIFS(nNIA,DATOS!$A9034,nCURSO,DATOS!$D9034,nESPEC,DATOS!$E9034,nASIG,DATOS!$I9034,nEVAL,"OR")=0))</f>
      </c>
      <c r="I9034">
        <f>IF(DATOS!$I9034="","",IFERROR(VLOOKUP(DATOS!$I9034,CONFIG_ASIGNATURAS!$B$2:$J$91,9,FALSE()),""))</f>
      </c>
    </row>
    <row r="9035">
      <c r="F9035">
        <f>IF(DATOS!$A9035="","",DATOS!$A9035&amp;"|"&amp;DATOS!$D9035&amp;"|"&amp;DATOS!$E9035&amp;"|"&amp;DATOS!$I9035)</f>
      </c>
      <c r="G9035">
        <f>IF(DATOS!$A9035="",0,IF(CONFIG_METADATA!$B$4&lt;&gt;"OR+EX",--(DATOS!$G9035=CONFIG_METADATA!$B$4),IF(DATOS!$G9035="EX",1,IF(DATOS!$G9035="OR",--(COUNTIFS(nNIA,DATOS!$A9035,nCURSO,DATOS!$D9035,nESPEC,DATOS!$E9035,nASIG,DATOS!$I9035,nEVAL,"EX")=0),0))))</f>
      </c>
      <c r="H9035">
        <f>IF(DATOS!$G9035&lt;&gt;"EX",0,--(COUNTIFS(nNIA,DATOS!$A9035,nCURSO,DATOS!$D9035,nESPEC,DATOS!$E9035,nASIG,DATOS!$I9035,nEVAL,"OR")=0))</f>
      </c>
      <c r="I9035">
        <f>IF(DATOS!$I9035="","",IFERROR(VLOOKUP(DATOS!$I9035,CONFIG_ASIGNATURAS!$B$2:$J$91,9,FALSE()),""))</f>
      </c>
    </row>
    <row r="9036">
      <c r="F9036">
        <f>IF(DATOS!$A9036="","",DATOS!$A9036&amp;"|"&amp;DATOS!$D9036&amp;"|"&amp;DATOS!$E9036&amp;"|"&amp;DATOS!$I9036)</f>
      </c>
      <c r="G9036">
        <f>IF(DATOS!$A9036="",0,IF(CONFIG_METADATA!$B$4&lt;&gt;"OR+EX",--(DATOS!$G9036=CONFIG_METADATA!$B$4),IF(DATOS!$G9036="EX",1,IF(DATOS!$G9036="OR",--(COUNTIFS(nNIA,DATOS!$A9036,nCURSO,DATOS!$D9036,nESPEC,DATOS!$E9036,nASIG,DATOS!$I9036,nEVAL,"EX")=0),0))))</f>
      </c>
      <c r="H9036">
        <f>IF(DATOS!$G9036&lt;&gt;"EX",0,--(COUNTIFS(nNIA,DATOS!$A9036,nCURSO,DATOS!$D9036,nESPEC,DATOS!$E9036,nASIG,DATOS!$I9036,nEVAL,"OR")=0))</f>
      </c>
      <c r="I9036">
        <f>IF(DATOS!$I9036="","",IFERROR(VLOOKUP(DATOS!$I9036,CONFIG_ASIGNATURAS!$B$2:$J$91,9,FALSE()),""))</f>
      </c>
    </row>
    <row r="9037">
      <c r="F9037">
        <f>IF(DATOS!$A9037="","",DATOS!$A9037&amp;"|"&amp;DATOS!$D9037&amp;"|"&amp;DATOS!$E9037&amp;"|"&amp;DATOS!$I9037)</f>
      </c>
      <c r="G9037">
        <f>IF(DATOS!$A9037="",0,IF(CONFIG_METADATA!$B$4&lt;&gt;"OR+EX",--(DATOS!$G9037=CONFIG_METADATA!$B$4),IF(DATOS!$G9037="EX",1,IF(DATOS!$G9037="OR",--(COUNTIFS(nNIA,DATOS!$A9037,nCURSO,DATOS!$D9037,nESPEC,DATOS!$E9037,nASIG,DATOS!$I9037,nEVAL,"EX")=0),0))))</f>
      </c>
      <c r="H9037">
        <f>IF(DATOS!$G9037&lt;&gt;"EX",0,--(COUNTIFS(nNIA,DATOS!$A9037,nCURSO,DATOS!$D9037,nESPEC,DATOS!$E9037,nASIG,DATOS!$I9037,nEVAL,"OR")=0))</f>
      </c>
      <c r="I9037">
        <f>IF(DATOS!$I9037="","",IFERROR(VLOOKUP(DATOS!$I9037,CONFIG_ASIGNATURAS!$B$2:$J$91,9,FALSE()),""))</f>
      </c>
    </row>
    <row r="9038">
      <c r="F9038">
        <f>IF(DATOS!$A9038="","",DATOS!$A9038&amp;"|"&amp;DATOS!$D9038&amp;"|"&amp;DATOS!$E9038&amp;"|"&amp;DATOS!$I9038)</f>
      </c>
      <c r="G9038">
        <f>IF(DATOS!$A9038="",0,IF(CONFIG_METADATA!$B$4&lt;&gt;"OR+EX",--(DATOS!$G9038=CONFIG_METADATA!$B$4),IF(DATOS!$G9038="EX",1,IF(DATOS!$G9038="OR",--(COUNTIFS(nNIA,DATOS!$A9038,nCURSO,DATOS!$D9038,nESPEC,DATOS!$E9038,nASIG,DATOS!$I9038,nEVAL,"EX")=0),0))))</f>
      </c>
      <c r="H9038">
        <f>IF(DATOS!$G9038&lt;&gt;"EX",0,--(COUNTIFS(nNIA,DATOS!$A9038,nCURSO,DATOS!$D9038,nESPEC,DATOS!$E9038,nASIG,DATOS!$I9038,nEVAL,"OR")=0))</f>
      </c>
      <c r="I9038">
        <f>IF(DATOS!$I9038="","",IFERROR(VLOOKUP(DATOS!$I9038,CONFIG_ASIGNATURAS!$B$2:$J$91,9,FALSE()),""))</f>
      </c>
    </row>
    <row r="9039">
      <c r="F9039">
        <f>IF(DATOS!$A9039="","",DATOS!$A9039&amp;"|"&amp;DATOS!$D9039&amp;"|"&amp;DATOS!$E9039&amp;"|"&amp;DATOS!$I9039)</f>
      </c>
      <c r="G9039">
        <f>IF(DATOS!$A9039="",0,IF(CONFIG_METADATA!$B$4&lt;&gt;"OR+EX",--(DATOS!$G9039=CONFIG_METADATA!$B$4),IF(DATOS!$G9039="EX",1,IF(DATOS!$G9039="OR",--(COUNTIFS(nNIA,DATOS!$A9039,nCURSO,DATOS!$D9039,nESPEC,DATOS!$E9039,nASIG,DATOS!$I9039,nEVAL,"EX")=0),0))))</f>
      </c>
      <c r="H9039">
        <f>IF(DATOS!$G9039&lt;&gt;"EX",0,--(COUNTIFS(nNIA,DATOS!$A9039,nCURSO,DATOS!$D9039,nESPEC,DATOS!$E9039,nASIG,DATOS!$I9039,nEVAL,"OR")=0))</f>
      </c>
      <c r="I9039">
        <f>IF(DATOS!$I9039="","",IFERROR(VLOOKUP(DATOS!$I9039,CONFIG_ASIGNATURAS!$B$2:$J$91,9,FALSE()),""))</f>
      </c>
    </row>
    <row r="9040">
      <c r="F9040">
        <f>IF(DATOS!$A9040="","",DATOS!$A9040&amp;"|"&amp;DATOS!$D9040&amp;"|"&amp;DATOS!$E9040&amp;"|"&amp;DATOS!$I9040)</f>
      </c>
      <c r="G9040">
        <f>IF(DATOS!$A9040="",0,IF(CONFIG_METADATA!$B$4&lt;&gt;"OR+EX",--(DATOS!$G9040=CONFIG_METADATA!$B$4),IF(DATOS!$G9040="EX",1,IF(DATOS!$G9040="OR",--(COUNTIFS(nNIA,DATOS!$A9040,nCURSO,DATOS!$D9040,nESPEC,DATOS!$E9040,nASIG,DATOS!$I9040,nEVAL,"EX")=0),0))))</f>
      </c>
      <c r="H9040">
        <f>IF(DATOS!$G9040&lt;&gt;"EX",0,--(COUNTIFS(nNIA,DATOS!$A9040,nCURSO,DATOS!$D9040,nESPEC,DATOS!$E9040,nASIG,DATOS!$I9040,nEVAL,"OR")=0))</f>
      </c>
      <c r="I9040">
        <f>IF(DATOS!$I9040="","",IFERROR(VLOOKUP(DATOS!$I9040,CONFIG_ASIGNATURAS!$B$2:$J$91,9,FALSE()),""))</f>
      </c>
    </row>
    <row r="9041">
      <c r="F9041">
        <f>IF(DATOS!$A9041="","",DATOS!$A9041&amp;"|"&amp;DATOS!$D9041&amp;"|"&amp;DATOS!$E9041&amp;"|"&amp;DATOS!$I9041)</f>
      </c>
      <c r="G9041">
        <f>IF(DATOS!$A9041="",0,IF(CONFIG_METADATA!$B$4&lt;&gt;"OR+EX",--(DATOS!$G9041=CONFIG_METADATA!$B$4),IF(DATOS!$G9041="EX",1,IF(DATOS!$G9041="OR",--(COUNTIFS(nNIA,DATOS!$A9041,nCURSO,DATOS!$D9041,nESPEC,DATOS!$E9041,nASIG,DATOS!$I9041,nEVAL,"EX")=0),0))))</f>
      </c>
      <c r="H9041">
        <f>IF(DATOS!$G9041&lt;&gt;"EX",0,--(COUNTIFS(nNIA,DATOS!$A9041,nCURSO,DATOS!$D9041,nESPEC,DATOS!$E9041,nASIG,DATOS!$I9041,nEVAL,"OR")=0))</f>
      </c>
      <c r="I9041">
        <f>IF(DATOS!$I9041="","",IFERROR(VLOOKUP(DATOS!$I9041,CONFIG_ASIGNATURAS!$B$2:$J$91,9,FALSE()),""))</f>
      </c>
    </row>
    <row r="9042">
      <c r="F9042">
        <f>IF(DATOS!$A9042="","",DATOS!$A9042&amp;"|"&amp;DATOS!$D9042&amp;"|"&amp;DATOS!$E9042&amp;"|"&amp;DATOS!$I9042)</f>
      </c>
      <c r="G9042">
        <f>IF(DATOS!$A9042="",0,IF(CONFIG_METADATA!$B$4&lt;&gt;"OR+EX",--(DATOS!$G9042=CONFIG_METADATA!$B$4),IF(DATOS!$G9042="EX",1,IF(DATOS!$G9042="OR",--(COUNTIFS(nNIA,DATOS!$A9042,nCURSO,DATOS!$D9042,nESPEC,DATOS!$E9042,nASIG,DATOS!$I9042,nEVAL,"EX")=0),0))))</f>
      </c>
      <c r="H9042">
        <f>IF(DATOS!$G9042&lt;&gt;"EX",0,--(COUNTIFS(nNIA,DATOS!$A9042,nCURSO,DATOS!$D9042,nESPEC,DATOS!$E9042,nASIG,DATOS!$I9042,nEVAL,"OR")=0))</f>
      </c>
      <c r="I9042">
        <f>IF(DATOS!$I9042="","",IFERROR(VLOOKUP(DATOS!$I9042,CONFIG_ASIGNATURAS!$B$2:$J$91,9,FALSE()),""))</f>
      </c>
    </row>
    <row r="9043">
      <c r="F9043">
        <f>IF(DATOS!$A9043="","",DATOS!$A9043&amp;"|"&amp;DATOS!$D9043&amp;"|"&amp;DATOS!$E9043&amp;"|"&amp;DATOS!$I9043)</f>
      </c>
      <c r="G9043">
        <f>IF(DATOS!$A9043="",0,IF(CONFIG_METADATA!$B$4&lt;&gt;"OR+EX",--(DATOS!$G9043=CONFIG_METADATA!$B$4),IF(DATOS!$G9043="EX",1,IF(DATOS!$G9043="OR",--(COUNTIFS(nNIA,DATOS!$A9043,nCURSO,DATOS!$D9043,nESPEC,DATOS!$E9043,nASIG,DATOS!$I9043,nEVAL,"EX")=0),0))))</f>
      </c>
      <c r="H9043">
        <f>IF(DATOS!$G9043&lt;&gt;"EX",0,--(COUNTIFS(nNIA,DATOS!$A9043,nCURSO,DATOS!$D9043,nESPEC,DATOS!$E9043,nASIG,DATOS!$I9043,nEVAL,"OR")=0))</f>
      </c>
      <c r="I9043">
        <f>IF(DATOS!$I9043="","",IFERROR(VLOOKUP(DATOS!$I9043,CONFIG_ASIGNATURAS!$B$2:$J$91,9,FALSE()),""))</f>
      </c>
    </row>
    <row r="9044">
      <c r="F9044">
        <f>IF(DATOS!$A9044="","",DATOS!$A9044&amp;"|"&amp;DATOS!$D9044&amp;"|"&amp;DATOS!$E9044&amp;"|"&amp;DATOS!$I9044)</f>
      </c>
      <c r="G9044">
        <f>IF(DATOS!$A9044="",0,IF(CONFIG_METADATA!$B$4&lt;&gt;"OR+EX",--(DATOS!$G9044=CONFIG_METADATA!$B$4),IF(DATOS!$G9044="EX",1,IF(DATOS!$G9044="OR",--(COUNTIFS(nNIA,DATOS!$A9044,nCURSO,DATOS!$D9044,nESPEC,DATOS!$E9044,nASIG,DATOS!$I9044,nEVAL,"EX")=0),0))))</f>
      </c>
      <c r="H9044">
        <f>IF(DATOS!$G9044&lt;&gt;"EX",0,--(COUNTIFS(nNIA,DATOS!$A9044,nCURSO,DATOS!$D9044,nESPEC,DATOS!$E9044,nASIG,DATOS!$I9044,nEVAL,"OR")=0))</f>
      </c>
      <c r="I9044">
        <f>IF(DATOS!$I9044="","",IFERROR(VLOOKUP(DATOS!$I9044,CONFIG_ASIGNATURAS!$B$2:$J$91,9,FALSE()),""))</f>
      </c>
    </row>
    <row r="9045">
      <c r="F9045">
        <f>IF(DATOS!$A9045="","",DATOS!$A9045&amp;"|"&amp;DATOS!$D9045&amp;"|"&amp;DATOS!$E9045&amp;"|"&amp;DATOS!$I9045)</f>
      </c>
      <c r="G9045">
        <f>IF(DATOS!$A9045="",0,IF(CONFIG_METADATA!$B$4&lt;&gt;"OR+EX",--(DATOS!$G9045=CONFIG_METADATA!$B$4),IF(DATOS!$G9045="EX",1,IF(DATOS!$G9045="OR",--(COUNTIFS(nNIA,DATOS!$A9045,nCURSO,DATOS!$D9045,nESPEC,DATOS!$E9045,nASIG,DATOS!$I9045,nEVAL,"EX")=0),0))))</f>
      </c>
      <c r="H9045">
        <f>IF(DATOS!$G9045&lt;&gt;"EX",0,--(COUNTIFS(nNIA,DATOS!$A9045,nCURSO,DATOS!$D9045,nESPEC,DATOS!$E9045,nASIG,DATOS!$I9045,nEVAL,"OR")=0))</f>
      </c>
      <c r="I9045">
        <f>IF(DATOS!$I9045="","",IFERROR(VLOOKUP(DATOS!$I9045,CONFIG_ASIGNATURAS!$B$2:$J$91,9,FALSE()),""))</f>
      </c>
    </row>
    <row r="9046">
      <c r="F9046">
        <f>IF(DATOS!$A9046="","",DATOS!$A9046&amp;"|"&amp;DATOS!$D9046&amp;"|"&amp;DATOS!$E9046&amp;"|"&amp;DATOS!$I9046)</f>
      </c>
      <c r="G9046">
        <f>IF(DATOS!$A9046="",0,IF(CONFIG_METADATA!$B$4&lt;&gt;"OR+EX",--(DATOS!$G9046=CONFIG_METADATA!$B$4),IF(DATOS!$G9046="EX",1,IF(DATOS!$G9046="OR",--(COUNTIFS(nNIA,DATOS!$A9046,nCURSO,DATOS!$D9046,nESPEC,DATOS!$E9046,nASIG,DATOS!$I9046,nEVAL,"EX")=0),0))))</f>
      </c>
      <c r="H9046">
        <f>IF(DATOS!$G9046&lt;&gt;"EX",0,--(COUNTIFS(nNIA,DATOS!$A9046,nCURSO,DATOS!$D9046,nESPEC,DATOS!$E9046,nASIG,DATOS!$I9046,nEVAL,"OR")=0))</f>
      </c>
      <c r="I9046">
        <f>IF(DATOS!$I9046="","",IFERROR(VLOOKUP(DATOS!$I9046,CONFIG_ASIGNATURAS!$B$2:$J$91,9,FALSE()),""))</f>
      </c>
    </row>
    <row r="9047">
      <c r="F9047">
        <f>IF(DATOS!$A9047="","",DATOS!$A9047&amp;"|"&amp;DATOS!$D9047&amp;"|"&amp;DATOS!$E9047&amp;"|"&amp;DATOS!$I9047)</f>
      </c>
      <c r="G9047">
        <f>IF(DATOS!$A9047="",0,IF(CONFIG_METADATA!$B$4&lt;&gt;"OR+EX",--(DATOS!$G9047=CONFIG_METADATA!$B$4),IF(DATOS!$G9047="EX",1,IF(DATOS!$G9047="OR",--(COUNTIFS(nNIA,DATOS!$A9047,nCURSO,DATOS!$D9047,nESPEC,DATOS!$E9047,nASIG,DATOS!$I9047,nEVAL,"EX")=0),0))))</f>
      </c>
      <c r="H9047">
        <f>IF(DATOS!$G9047&lt;&gt;"EX",0,--(COUNTIFS(nNIA,DATOS!$A9047,nCURSO,DATOS!$D9047,nESPEC,DATOS!$E9047,nASIG,DATOS!$I9047,nEVAL,"OR")=0))</f>
      </c>
      <c r="I9047">
        <f>IF(DATOS!$I9047="","",IFERROR(VLOOKUP(DATOS!$I9047,CONFIG_ASIGNATURAS!$B$2:$J$91,9,FALSE()),""))</f>
      </c>
    </row>
    <row r="9048">
      <c r="F9048">
        <f>IF(DATOS!$A9048="","",DATOS!$A9048&amp;"|"&amp;DATOS!$D9048&amp;"|"&amp;DATOS!$E9048&amp;"|"&amp;DATOS!$I9048)</f>
      </c>
      <c r="G9048">
        <f>IF(DATOS!$A9048="",0,IF(CONFIG_METADATA!$B$4&lt;&gt;"OR+EX",--(DATOS!$G9048=CONFIG_METADATA!$B$4),IF(DATOS!$G9048="EX",1,IF(DATOS!$G9048="OR",--(COUNTIFS(nNIA,DATOS!$A9048,nCURSO,DATOS!$D9048,nESPEC,DATOS!$E9048,nASIG,DATOS!$I9048,nEVAL,"EX")=0),0))))</f>
      </c>
      <c r="H9048">
        <f>IF(DATOS!$G9048&lt;&gt;"EX",0,--(COUNTIFS(nNIA,DATOS!$A9048,nCURSO,DATOS!$D9048,nESPEC,DATOS!$E9048,nASIG,DATOS!$I9048,nEVAL,"OR")=0))</f>
      </c>
      <c r="I9048">
        <f>IF(DATOS!$I9048="","",IFERROR(VLOOKUP(DATOS!$I9048,CONFIG_ASIGNATURAS!$B$2:$J$91,9,FALSE()),""))</f>
      </c>
    </row>
    <row r="9049">
      <c r="F9049">
        <f>IF(DATOS!$A9049="","",DATOS!$A9049&amp;"|"&amp;DATOS!$D9049&amp;"|"&amp;DATOS!$E9049&amp;"|"&amp;DATOS!$I9049)</f>
      </c>
      <c r="G9049">
        <f>IF(DATOS!$A9049="",0,IF(CONFIG_METADATA!$B$4&lt;&gt;"OR+EX",--(DATOS!$G9049=CONFIG_METADATA!$B$4),IF(DATOS!$G9049="EX",1,IF(DATOS!$G9049="OR",--(COUNTIFS(nNIA,DATOS!$A9049,nCURSO,DATOS!$D9049,nESPEC,DATOS!$E9049,nASIG,DATOS!$I9049,nEVAL,"EX")=0),0))))</f>
      </c>
      <c r="H9049">
        <f>IF(DATOS!$G9049&lt;&gt;"EX",0,--(COUNTIFS(nNIA,DATOS!$A9049,nCURSO,DATOS!$D9049,nESPEC,DATOS!$E9049,nASIG,DATOS!$I9049,nEVAL,"OR")=0))</f>
      </c>
      <c r="I9049">
        <f>IF(DATOS!$I9049="","",IFERROR(VLOOKUP(DATOS!$I9049,CONFIG_ASIGNATURAS!$B$2:$J$91,9,FALSE()),""))</f>
      </c>
    </row>
    <row r="9050">
      <c r="F9050">
        <f>IF(DATOS!$A9050="","",DATOS!$A9050&amp;"|"&amp;DATOS!$D9050&amp;"|"&amp;DATOS!$E9050&amp;"|"&amp;DATOS!$I9050)</f>
      </c>
      <c r="G9050">
        <f>IF(DATOS!$A9050="",0,IF(CONFIG_METADATA!$B$4&lt;&gt;"OR+EX",--(DATOS!$G9050=CONFIG_METADATA!$B$4),IF(DATOS!$G9050="EX",1,IF(DATOS!$G9050="OR",--(COUNTIFS(nNIA,DATOS!$A9050,nCURSO,DATOS!$D9050,nESPEC,DATOS!$E9050,nASIG,DATOS!$I9050,nEVAL,"EX")=0),0))))</f>
      </c>
      <c r="H9050">
        <f>IF(DATOS!$G9050&lt;&gt;"EX",0,--(COUNTIFS(nNIA,DATOS!$A9050,nCURSO,DATOS!$D9050,nESPEC,DATOS!$E9050,nASIG,DATOS!$I9050,nEVAL,"OR")=0))</f>
      </c>
      <c r="I9050">
        <f>IF(DATOS!$I9050="","",IFERROR(VLOOKUP(DATOS!$I9050,CONFIG_ASIGNATURAS!$B$2:$J$91,9,FALSE()),""))</f>
      </c>
    </row>
    <row r="9051">
      <c r="F9051">
        <f>IF(DATOS!$A9051="","",DATOS!$A9051&amp;"|"&amp;DATOS!$D9051&amp;"|"&amp;DATOS!$E9051&amp;"|"&amp;DATOS!$I9051)</f>
      </c>
      <c r="G9051">
        <f>IF(DATOS!$A9051="",0,IF(CONFIG_METADATA!$B$4&lt;&gt;"OR+EX",--(DATOS!$G9051=CONFIG_METADATA!$B$4),IF(DATOS!$G9051="EX",1,IF(DATOS!$G9051="OR",--(COUNTIFS(nNIA,DATOS!$A9051,nCURSO,DATOS!$D9051,nESPEC,DATOS!$E9051,nASIG,DATOS!$I9051,nEVAL,"EX")=0),0))))</f>
      </c>
      <c r="H9051">
        <f>IF(DATOS!$G9051&lt;&gt;"EX",0,--(COUNTIFS(nNIA,DATOS!$A9051,nCURSO,DATOS!$D9051,nESPEC,DATOS!$E9051,nASIG,DATOS!$I9051,nEVAL,"OR")=0))</f>
      </c>
      <c r="I9051">
        <f>IF(DATOS!$I9051="","",IFERROR(VLOOKUP(DATOS!$I9051,CONFIG_ASIGNATURAS!$B$2:$J$91,9,FALSE()),""))</f>
      </c>
    </row>
    <row r="9052">
      <c r="F9052">
        <f>IF(DATOS!$A9052="","",DATOS!$A9052&amp;"|"&amp;DATOS!$D9052&amp;"|"&amp;DATOS!$E9052&amp;"|"&amp;DATOS!$I9052)</f>
      </c>
      <c r="G9052">
        <f>IF(DATOS!$A9052="",0,IF(CONFIG_METADATA!$B$4&lt;&gt;"OR+EX",--(DATOS!$G9052=CONFIG_METADATA!$B$4),IF(DATOS!$G9052="EX",1,IF(DATOS!$G9052="OR",--(COUNTIFS(nNIA,DATOS!$A9052,nCURSO,DATOS!$D9052,nESPEC,DATOS!$E9052,nASIG,DATOS!$I9052,nEVAL,"EX")=0),0))))</f>
      </c>
      <c r="H9052">
        <f>IF(DATOS!$G9052&lt;&gt;"EX",0,--(COUNTIFS(nNIA,DATOS!$A9052,nCURSO,DATOS!$D9052,nESPEC,DATOS!$E9052,nASIG,DATOS!$I9052,nEVAL,"OR")=0))</f>
      </c>
      <c r="I9052">
        <f>IF(DATOS!$I9052="","",IFERROR(VLOOKUP(DATOS!$I9052,CONFIG_ASIGNATURAS!$B$2:$J$91,9,FALSE()),""))</f>
      </c>
    </row>
    <row r="9053">
      <c r="F9053">
        <f>IF(DATOS!$A9053="","",DATOS!$A9053&amp;"|"&amp;DATOS!$D9053&amp;"|"&amp;DATOS!$E9053&amp;"|"&amp;DATOS!$I9053)</f>
      </c>
      <c r="G9053">
        <f>IF(DATOS!$A9053="",0,IF(CONFIG_METADATA!$B$4&lt;&gt;"OR+EX",--(DATOS!$G9053=CONFIG_METADATA!$B$4),IF(DATOS!$G9053="EX",1,IF(DATOS!$G9053="OR",--(COUNTIFS(nNIA,DATOS!$A9053,nCURSO,DATOS!$D9053,nESPEC,DATOS!$E9053,nASIG,DATOS!$I9053,nEVAL,"EX")=0),0))))</f>
      </c>
      <c r="H9053">
        <f>IF(DATOS!$G9053&lt;&gt;"EX",0,--(COUNTIFS(nNIA,DATOS!$A9053,nCURSO,DATOS!$D9053,nESPEC,DATOS!$E9053,nASIG,DATOS!$I9053,nEVAL,"OR")=0))</f>
      </c>
      <c r="I9053">
        <f>IF(DATOS!$I9053="","",IFERROR(VLOOKUP(DATOS!$I9053,CONFIG_ASIGNATURAS!$B$2:$J$91,9,FALSE()),""))</f>
      </c>
    </row>
    <row r="9054">
      <c r="F9054">
        <f>IF(DATOS!$A9054="","",DATOS!$A9054&amp;"|"&amp;DATOS!$D9054&amp;"|"&amp;DATOS!$E9054&amp;"|"&amp;DATOS!$I9054)</f>
      </c>
      <c r="G9054">
        <f>IF(DATOS!$A9054="",0,IF(CONFIG_METADATA!$B$4&lt;&gt;"OR+EX",--(DATOS!$G9054=CONFIG_METADATA!$B$4),IF(DATOS!$G9054="EX",1,IF(DATOS!$G9054="OR",--(COUNTIFS(nNIA,DATOS!$A9054,nCURSO,DATOS!$D9054,nESPEC,DATOS!$E9054,nASIG,DATOS!$I9054,nEVAL,"EX")=0),0))))</f>
      </c>
      <c r="H9054">
        <f>IF(DATOS!$G9054&lt;&gt;"EX",0,--(COUNTIFS(nNIA,DATOS!$A9054,nCURSO,DATOS!$D9054,nESPEC,DATOS!$E9054,nASIG,DATOS!$I9054,nEVAL,"OR")=0))</f>
      </c>
      <c r="I9054">
        <f>IF(DATOS!$I9054="","",IFERROR(VLOOKUP(DATOS!$I9054,CONFIG_ASIGNATURAS!$B$2:$J$91,9,FALSE()),""))</f>
      </c>
    </row>
    <row r="9055">
      <c r="F9055">
        <f>IF(DATOS!$A9055="","",DATOS!$A9055&amp;"|"&amp;DATOS!$D9055&amp;"|"&amp;DATOS!$E9055&amp;"|"&amp;DATOS!$I9055)</f>
      </c>
      <c r="G9055">
        <f>IF(DATOS!$A9055="",0,IF(CONFIG_METADATA!$B$4&lt;&gt;"OR+EX",--(DATOS!$G9055=CONFIG_METADATA!$B$4),IF(DATOS!$G9055="EX",1,IF(DATOS!$G9055="OR",--(COUNTIFS(nNIA,DATOS!$A9055,nCURSO,DATOS!$D9055,nESPEC,DATOS!$E9055,nASIG,DATOS!$I9055,nEVAL,"EX")=0),0))))</f>
      </c>
      <c r="H9055">
        <f>IF(DATOS!$G9055&lt;&gt;"EX",0,--(COUNTIFS(nNIA,DATOS!$A9055,nCURSO,DATOS!$D9055,nESPEC,DATOS!$E9055,nASIG,DATOS!$I9055,nEVAL,"OR")=0))</f>
      </c>
      <c r="I9055">
        <f>IF(DATOS!$I9055="","",IFERROR(VLOOKUP(DATOS!$I9055,CONFIG_ASIGNATURAS!$B$2:$J$91,9,FALSE()),""))</f>
      </c>
    </row>
    <row r="9056">
      <c r="F9056">
        <f>IF(DATOS!$A9056="","",DATOS!$A9056&amp;"|"&amp;DATOS!$D9056&amp;"|"&amp;DATOS!$E9056&amp;"|"&amp;DATOS!$I9056)</f>
      </c>
      <c r="G9056">
        <f>IF(DATOS!$A9056="",0,IF(CONFIG_METADATA!$B$4&lt;&gt;"OR+EX",--(DATOS!$G9056=CONFIG_METADATA!$B$4),IF(DATOS!$G9056="EX",1,IF(DATOS!$G9056="OR",--(COUNTIFS(nNIA,DATOS!$A9056,nCURSO,DATOS!$D9056,nESPEC,DATOS!$E9056,nASIG,DATOS!$I9056,nEVAL,"EX")=0),0))))</f>
      </c>
      <c r="H9056">
        <f>IF(DATOS!$G9056&lt;&gt;"EX",0,--(COUNTIFS(nNIA,DATOS!$A9056,nCURSO,DATOS!$D9056,nESPEC,DATOS!$E9056,nASIG,DATOS!$I9056,nEVAL,"OR")=0))</f>
      </c>
      <c r="I9056">
        <f>IF(DATOS!$I9056="","",IFERROR(VLOOKUP(DATOS!$I9056,CONFIG_ASIGNATURAS!$B$2:$J$91,9,FALSE()),""))</f>
      </c>
    </row>
    <row r="9057">
      <c r="F9057">
        <f>IF(DATOS!$A9057="","",DATOS!$A9057&amp;"|"&amp;DATOS!$D9057&amp;"|"&amp;DATOS!$E9057&amp;"|"&amp;DATOS!$I9057)</f>
      </c>
      <c r="G9057">
        <f>IF(DATOS!$A9057="",0,IF(CONFIG_METADATA!$B$4&lt;&gt;"OR+EX",--(DATOS!$G9057=CONFIG_METADATA!$B$4),IF(DATOS!$G9057="EX",1,IF(DATOS!$G9057="OR",--(COUNTIFS(nNIA,DATOS!$A9057,nCURSO,DATOS!$D9057,nESPEC,DATOS!$E9057,nASIG,DATOS!$I9057,nEVAL,"EX")=0),0))))</f>
      </c>
      <c r="H9057">
        <f>IF(DATOS!$G9057&lt;&gt;"EX",0,--(COUNTIFS(nNIA,DATOS!$A9057,nCURSO,DATOS!$D9057,nESPEC,DATOS!$E9057,nASIG,DATOS!$I9057,nEVAL,"OR")=0))</f>
      </c>
      <c r="I9057">
        <f>IF(DATOS!$I9057="","",IFERROR(VLOOKUP(DATOS!$I9057,CONFIG_ASIGNATURAS!$B$2:$J$91,9,FALSE()),""))</f>
      </c>
    </row>
    <row r="9058">
      <c r="F9058">
        <f>IF(DATOS!$A9058="","",DATOS!$A9058&amp;"|"&amp;DATOS!$D9058&amp;"|"&amp;DATOS!$E9058&amp;"|"&amp;DATOS!$I9058)</f>
      </c>
      <c r="G9058">
        <f>IF(DATOS!$A9058="",0,IF(CONFIG_METADATA!$B$4&lt;&gt;"OR+EX",--(DATOS!$G9058=CONFIG_METADATA!$B$4),IF(DATOS!$G9058="EX",1,IF(DATOS!$G9058="OR",--(COUNTIFS(nNIA,DATOS!$A9058,nCURSO,DATOS!$D9058,nESPEC,DATOS!$E9058,nASIG,DATOS!$I9058,nEVAL,"EX")=0),0))))</f>
      </c>
      <c r="H9058">
        <f>IF(DATOS!$G9058&lt;&gt;"EX",0,--(COUNTIFS(nNIA,DATOS!$A9058,nCURSO,DATOS!$D9058,nESPEC,DATOS!$E9058,nASIG,DATOS!$I9058,nEVAL,"OR")=0))</f>
      </c>
      <c r="I9058">
        <f>IF(DATOS!$I9058="","",IFERROR(VLOOKUP(DATOS!$I9058,CONFIG_ASIGNATURAS!$B$2:$J$91,9,FALSE()),""))</f>
      </c>
    </row>
    <row r="9059">
      <c r="F9059">
        <f>IF(DATOS!$A9059="","",DATOS!$A9059&amp;"|"&amp;DATOS!$D9059&amp;"|"&amp;DATOS!$E9059&amp;"|"&amp;DATOS!$I9059)</f>
      </c>
      <c r="G9059">
        <f>IF(DATOS!$A9059="",0,IF(CONFIG_METADATA!$B$4&lt;&gt;"OR+EX",--(DATOS!$G9059=CONFIG_METADATA!$B$4),IF(DATOS!$G9059="EX",1,IF(DATOS!$G9059="OR",--(COUNTIFS(nNIA,DATOS!$A9059,nCURSO,DATOS!$D9059,nESPEC,DATOS!$E9059,nASIG,DATOS!$I9059,nEVAL,"EX")=0),0))))</f>
      </c>
      <c r="H9059">
        <f>IF(DATOS!$G9059&lt;&gt;"EX",0,--(COUNTIFS(nNIA,DATOS!$A9059,nCURSO,DATOS!$D9059,nESPEC,DATOS!$E9059,nASIG,DATOS!$I9059,nEVAL,"OR")=0))</f>
      </c>
      <c r="I9059">
        <f>IF(DATOS!$I9059="","",IFERROR(VLOOKUP(DATOS!$I9059,CONFIG_ASIGNATURAS!$B$2:$J$91,9,FALSE()),""))</f>
      </c>
    </row>
    <row r="9060">
      <c r="F9060">
        <f>IF(DATOS!$A9060="","",DATOS!$A9060&amp;"|"&amp;DATOS!$D9060&amp;"|"&amp;DATOS!$E9060&amp;"|"&amp;DATOS!$I9060)</f>
      </c>
      <c r="G9060">
        <f>IF(DATOS!$A9060="",0,IF(CONFIG_METADATA!$B$4&lt;&gt;"OR+EX",--(DATOS!$G9060=CONFIG_METADATA!$B$4),IF(DATOS!$G9060="EX",1,IF(DATOS!$G9060="OR",--(COUNTIFS(nNIA,DATOS!$A9060,nCURSO,DATOS!$D9060,nESPEC,DATOS!$E9060,nASIG,DATOS!$I9060,nEVAL,"EX")=0),0))))</f>
      </c>
      <c r="H9060">
        <f>IF(DATOS!$G9060&lt;&gt;"EX",0,--(COUNTIFS(nNIA,DATOS!$A9060,nCURSO,DATOS!$D9060,nESPEC,DATOS!$E9060,nASIG,DATOS!$I9060,nEVAL,"OR")=0))</f>
      </c>
      <c r="I9060">
        <f>IF(DATOS!$I9060="","",IFERROR(VLOOKUP(DATOS!$I9060,CONFIG_ASIGNATURAS!$B$2:$J$91,9,FALSE()),""))</f>
      </c>
    </row>
    <row r="9061">
      <c r="F9061">
        <f>IF(DATOS!$A9061="","",DATOS!$A9061&amp;"|"&amp;DATOS!$D9061&amp;"|"&amp;DATOS!$E9061&amp;"|"&amp;DATOS!$I9061)</f>
      </c>
      <c r="G9061">
        <f>IF(DATOS!$A9061="",0,IF(CONFIG_METADATA!$B$4&lt;&gt;"OR+EX",--(DATOS!$G9061=CONFIG_METADATA!$B$4),IF(DATOS!$G9061="EX",1,IF(DATOS!$G9061="OR",--(COUNTIFS(nNIA,DATOS!$A9061,nCURSO,DATOS!$D9061,nESPEC,DATOS!$E9061,nASIG,DATOS!$I9061,nEVAL,"EX")=0),0))))</f>
      </c>
      <c r="H9061">
        <f>IF(DATOS!$G9061&lt;&gt;"EX",0,--(COUNTIFS(nNIA,DATOS!$A9061,nCURSO,DATOS!$D9061,nESPEC,DATOS!$E9061,nASIG,DATOS!$I9061,nEVAL,"OR")=0))</f>
      </c>
      <c r="I9061">
        <f>IF(DATOS!$I9061="","",IFERROR(VLOOKUP(DATOS!$I9061,CONFIG_ASIGNATURAS!$B$2:$J$91,9,FALSE()),""))</f>
      </c>
    </row>
    <row r="9062">
      <c r="F9062">
        <f>IF(DATOS!$A9062="","",DATOS!$A9062&amp;"|"&amp;DATOS!$D9062&amp;"|"&amp;DATOS!$E9062&amp;"|"&amp;DATOS!$I9062)</f>
      </c>
      <c r="G9062">
        <f>IF(DATOS!$A9062="",0,IF(CONFIG_METADATA!$B$4&lt;&gt;"OR+EX",--(DATOS!$G9062=CONFIG_METADATA!$B$4),IF(DATOS!$G9062="EX",1,IF(DATOS!$G9062="OR",--(COUNTIFS(nNIA,DATOS!$A9062,nCURSO,DATOS!$D9062,nESPEC,DATOS!$E9062,nASIG,DATOS!$I9062,nEVAL,"EX")=0),0))))</f>
      </c>
      <c r="H9062">
        <f>IF(DATOS!$G9062&lt;&gt;"EX",0,--(COUNTIFS(nNIA,DATOS!$A9062,nCURSO,DATOS!$D9062,nESPEC,DATOS!$E9062,nASIG,DATOS!$I9062,nEVAL,"OR")=0))</f>
      </c>
      <c r="I9062">
        <f>IF(DATOS!$I9062="","",IFERROR(VLOOKUP(DATOS!$I9062,CONFIG_ASIGNATURAS!$B$2:$J$91,9,FALSE()),""))</f>
      </c>
    </row>
    <row r="9063">
      <c r="F9063">
        <f>IF(DATOS!$A9063="","",DATOS!$A9063&amp;"|"&amp;DATOS!$D9063&amp;"|"&amp;DATOS!$E9063&amp;"|"&amp;DATOS!$I9063)</f>
      </c>
      <c r="G9063">
        <f>IF(DATOS!$A9063="",0,IF(CONFIG_METADATA!$B$4&lt;&gt;"OR+EX",--(DATOS!$G9063=CONFIG_METADATA!$B$4),IF(DATOS!$G9063="EX",1,IF(DATOS!$G9063="OR",--(COUNTIFS(nNIA,DATOS!$A9063,nCURSO,DATOS!$D9063,nESPEC,DATOS!$E9063,nASIG,DATOS!$I9063,nEVAL,"EX")=0),0))))</f>
      </c>
      <c r="H9063">
        <f>IF(DATOS!$G9063&lt;&gt;"EX",0,--(COUNTIFS(nNIA,DATOS!$A9063,nCURSO,DATOS!$D9063,nESPEC,DATOS!$E9063,nASIG,DATOS!$I9063,nEVAL,"OR")=0))</f>
      </c>
      <c r="I9063">
        <f>IF(DATOS!$I9063="","",IFERROR(VLOOKUP(DATOS!$I9063,CONFIG_ASIGNATURAS!$B$2:$J$91,9,FALSE()),""))</f>
      </c>
    </row>
    <row r="9064">
      <c r="F9064">
        <f>IF(DATOS!$A9064="","",DATOS!$A9064&amp;"|"&amp;DATOS!$D9064&amp;"|"&amp;DATOS!$E9064&amp;"|"&amp;DATOS!$I9064)</f>
      </c>
      <c r="G9064">
        <f>IF(DATOS!$A9064="",0,IF(CONFIG_METADATA!$B$4&lt;&gt;"OR+EX",--(DATOS!$G9064=CONFIG_METADATA!$B$4),IF(DATOS!$G9064="EX",1,IF(DATOS!$G9064="OR",--(COUNTIFS(nNIA,DATOS!$A9064,nCURSO,DATOS!$D9064,nESPEC,DATOS!$E9064,nASIG,DATOS!$I9064,nEVAL,"EX")=0),0))))</f>
      </c>
      <c r="H9064">
        <f>IF(DATOS!$G9064&lt;&gt;"EX",0,--(COUNTIFS(nNIA,DATOS!$A9064,nCURSO,DATOS!$D9064,nESPEC,DATOS!$E9064,nASIG,DATOS!$I9064,nEVAL,"OR")=0))</f>
      </c>
      <c r="I9064">
        <f>IF(DATOS!$I9064="","",IFERROR(VLOOKUP(DATOS!$I9064,CONFIG_ASIGNATURAS!$B$2:$J$91,9,FALSE()),""))</f>
      </c>
    </row>
    <row r="9065">
      <c r="F9065">
        <f>IF(DATOS!$A9065="","",DATOS!$A9065&amp;"|"&amp;DATOS!$D9065&amp;"|"&amp;DATOS!$E9065&amp;"|"&amp;DATOS!$I9065)</f>
      </c>
      <c r="G9065">
        <f>IF(DATOS!$A9065="",0,IF(CONFIG_METADATA!$B$4&lt;&gt;"OR+EX",--(DATOS!$G9065=CONFIG_METADATA!$B$4),IF(DATOS!$G9065="EX",1,IF(DATOS!$G9065="OR",--(COUNTIFS(nNIA,DATOS!$A9065,nCURSO,DATOS!$D9065,nESPEC,DATOS!$E9065,nASIG,DATOS!$I9065,nEVAL,"EX")=0),0))))</f>
      </c>
      <c r="H9065">
        <f>IF(DATOS!$G9065&lt;&gt;"EX",0,--(COUNTIFS(nNIA,DATOS!$A9065,nCURSO,DATOS!$D9065,nESPEC,DATOS!$E9065,nASIG,DATOS!$I9065,nEVAL,"OR")=0))</f>
      </c>
      <c r="I9065">
        <f>IF(DATOS!$I9065="","",IFERROR(VLOOKUP(DATOS!$I9065,CONFIG_ASIGNATURAS!$B$2:$J$91,9,FALSE()),""))</f>
      </c>
    </row>
    <row r="9066">
      <c r="F9066">
        <f>IF(DATOS!$A9066="","",DATOS!$A9066&amp;"|"&amp;DATOS!$D9066&amp;"|"&amp;DATOS!$E9066&amp;"|"&amp;DATOS!$I9066)</f>
      </c>
      <c r="G9066">
        <f>IF(DATOS!$A9066="",0,IF(CONFIG_METADATA!$B$4&lt;&gt;"OR+EX",--(DATOS!$G9066=CONFIG_METADATA!$B$4),IF(DATOS!$G9066="EX",1,IF(DATOS!$G9066="OR",--(COUNTIFS(nNIA,DATOS!$A9066,nCURSO,DATOS!$D9066,nESPEC,DATOS!$E9066,nASIG,DATOS!$I9066,nEVAL,"EX")=0),0))))</f>
      </c>
      <c r="H9066">
        <f>IF(DATOS!$G9066&lt;&gt;"EX",0,--(COUNTIFS(nNIA,DATOS!$A9066,nCURSO,DATOS!$D9066,nESPEC,DATOS!$E9066,nASIG,DATOS!$I9066,nEVAL,"OR")=0))</f>
      </c>
      <c r="I9066">
        <f>IF(DATOS!$I9066="","",IFERROR(VLOOKUP(DATOS!$I9066,CONFIG_ASIGNATURAS!$B$2:$J$91,9,FALSE()),""))</f>
      </c>
    </row>
    <row r="9067">
      <c r="F9067">
        <f>IF(DATOS!$A9067="","",DATOS!$A9067&amp;"|"&amp;DATOS!$D9067&amp;"|"&amp;DATOS!$E9067&amp;"|"&amp;DATOS!$I9067)</f>
      </c>
      <c r="G9067">
        <f>IF(DATOS!$A9067="",0,IF(CONFIG_METADATA!$B$4&lt;&gt;"OR+EX",--(DATOS!$G9067=CONFIG_METADATA!$B$4),IF(DATOS!$G9067="EX",1,IF(DATOS!$G9067="OR",--(COUNTIFS(nNIA,DATOS!$A9067,nCURSO,DATOS!$D9067,nESPEC,DATOS!$E9067,nASIG,DATOS!$I9067,nEVAL,"EX")=0),0))))</f>
      </c>
      <c r="H9067">
        <f>IF(DATOS!$G9067&lt;&gt;"EX",0,--(COUNTIFS(nNIA,DATOS!$A9067,nCURSO,DATOS!$D9067,nESPEC,DATOS!$E9067,nASIG,DATOS!$I9067,nEVAL,"OR")=0))</f>
      </c>
      <c r="I9067">
        <f>IF(DATOS!$I9067="","",IFERROR(VLOOKUP(DATOS!$I9067,CONFIG_ASIGNATURAS!$B$2:$J$91,9,FALSE()),""))</f>
      </c>
    </row>
    <row r="9068">
      <c r="F9068">
        <f>IF(DATOS!$A9068="","",DATOS!$A9068&amp;"|"&amp;DATOS!$D9068&amp;"|"&amp;DATOS!$E9068&amp;"|"&amp;DATOS!$I9068)</f>
      </c>
      <c r="G9068">
        <f>IF(DATOS!$A9068="",0,IF(CONFIG_METADATA!$B$4&lt;&gt;"OR+EX",--(DATOS!$G9068=CONFIG_METADATA!$B$4),IF(DATOS!$G9068="EX",1,IF(DATOS!$G9068="OR",--(COUNTIFS(nNIA,DATOS!$A9068,nCURSO,DATOS!$D9068,nESPEC,DATOS!$E9068,nASIG,DATOS!$I9068,nEVAL,"EX")=0),0))))</f>
      </c>
      <c r="H9068">
        <f>IF(DATOS!$G9068&lt;&gt;"EX",0,--(COUNTIFS(nNIA,DATOS!$A9068,nCURSO,DATOS!$D9068,nESPEC,DATOS!$E9068,nASIG,DATOS!$I9068,nEVAL,"OR")=0))</f>
      </c>
      <c r="I9068">
        <f>IF(DATOS!$I9068="","",IFERROR(VLOOKUP(DATOS!$I9068,CONFIG_ASIGNATURAS!$B$2:$J$91,9,FALSE()),""))</f>
      </c>
    </row>
    <row r="9069">
      <c r="F9069">
        <f>IF(DATOS!$A9069="","",DATOS!$A9069&amp;"|"&amp;DATOS!$D9069&amp;"|"&amp;DATOS!$E9069&amp;"|"&amp;DATOS!$I9069)</f>
      </c>
      <c r="G9069">
        <f>IF(DATOS!$A9069="",0,IF(CONFIG_METADATA!$B$4&lt;&gt;"OR+EX",--(DATOS!$G9069=CONFIG_METADATA!$B$4),IF(DATOS!$G9069="EX",1,IF(DATOS!$G9069="OR",--(COUNTIFS(nNIA,DATOS!$A9069,nCURSO,DATOS!$D9069,nESPEC,DATOS!$E9069,nASIG,DATOS!$I9069,nEVAL,"EX")=0),0))))</f>
      </c>
      <c r="H9069">
        <f>IF(DATOS!$G9069&lt;&gt;"EX",0,--(COUNTIFS(nNIA,DATOS!$A9069,nCURSO,DATOS!$D9069,nESPEC,DATOS!$E9069,nASIG,DATOS!$I9069,nEVAL,"OR")=0))</f>
      </c>
      <c r="I9069">
        <f>IF(DATOS!$I9069="","",IFERROR(VLOOKUP(DATOS!$I9069,CONFIG_ASIGNATURAS!$B$2:$J$91,9,FALSE()),""))</f>
      </c>
    </row>
    <row r="9070">
      <c r="F9070">
        <f>IF(DATOS!$A9070="","",DATOS!$A9070&amp;"|"&amp;DATOS!$D9070&amp;"|"&amp;DATOS!$E9070&amp;"|"&amp;DATOS!$I9070)</f>
      </c>
      <c r="G9070">
        <f>IF(DATOS!$A9070="",0,IF(CONFIG_METADATA!$B$4&lt;&gt;"OR+EX",--(DATOS!$G9070=CONFIG_METADATA!$B$4),IF(DATOS!$G9070="EX",1,IF(DATOS!$G9070="OR",--(COUNTIFS(nNIA,DATOS!$A9070,nCURSO,DATOS!$D9070,nESPEC,DATOS!$E9070,nASIG,DATOS!$I9070,nEVAL,"EX")=0),0))))</f>
      </c>
      <c r="H9070">
        <f>IF(DATOS!$G9070&lt;&gt;"EX",0,--(COUNTIFS(nNIA,DATOS!$A9070,nCURSO,DATOS!$D9070,nESPEC,DATOS!$E9070,nASIG,DATOS!$I9070,nEVAL,"OR")=0))</f>
      </c>
      <c r="I9070">
        <f>IF(DATOS!$I9070="","",IFERROR(VLOOKUP(DATOS!$I9070,CONFIG_ASIGNATURAS!$B$2:$J$91,9,FALSE()),""))</f>
      </c>
    </row>
    <row r="9071">
      <c r="F9071">
        <f>IF(DATOS!$A9071="","",DATOS!$A9071&amp;"|"&amp;DATOS!$D9071&amp;"|"&amp;DATOS!$E9071&amp;"|"&amp;DATOS!$I9071)</f>
      </c>
      <c r="G9071">
        <f>IF(DATOS!$A9071="",0,IF(CONFIG_METADATA!$B$4&lt;&gt;"OR+EX",--(DATOS!$G9071=CONFIG_METADATA!$B$4),IF(DATOS!$G9071="EX",1,IF(DATOS!$G9071="OR",--(COUNTIFS(nNIA,DATOS!$A9071,nCURSO,DATOS!$D9071,nESPEC,DATOS!$E9071,nASIG,DATOS!$I9071,nEVAL,"EX")=0),0))))</f>
      </c>
      <c r="H9071">
        <f>IF(DATOS!$G9071&lt;&gt;"EX",0,--(COUNTIFS(nNIA,DATOS!$A9071,nCURSO,DATOS!$D9071,nESPEC,DATOS!$E9071,nASIG,DATOS!$I9071,nEVAL,"OR")=0))</f>
      </c>
      <c r="I9071">
        <f>IF(DATOS!$I9071="","",IFERROR(VLOOKUP(DATOS!$I9071,CONFIG_ASIGNATURAS!$B$2:$J$91,9,FALSE()),""))</f>
      </c>
    </row>
    <row r="9072">
      <c r="F9072">
        <f>IF(DATOS!$A9072="","",DATOS!$A9072&amp;"|"&amp;DATOS!$D9072&amp;"|"&amp;DATOS!$E9072&amp;"|"&amp;DATOS!$I9072)</f>
      </c>
      <c r="G9072">
        <f>IF(DATOS!$A9072="",0,IF(CONFIG_METADATA!$B$4&lt;&gt;"OR+EX",--(DATOS!$G9072=CONFIG_METADATA!$B$4),IF(DATOS!$G9072="EX",1,IF(DATOS!$G9072="OR",--(COUNTIFS(nNIA,DATOS!$A9072,nCURSO,DATOS!$D9072,nESPEC,DATOS!$E9072,nASIG,DATOS!$I9072,nEVAL,"EX")=0),0))))</f>
      </c>
      <c r="H9072">
        <f>IF(DATOS!$G9072&lt;&gt;"EX",0,--(COUNTIFS(nNIA,DATOS!$A9072,nCURSO,DATOS!$D9072,nESPEC,DATOS!$E9072,nASIG,DATOS!$I9072,nEVAL,"OR")=0))</f>
      </c>
      <c r="I9072">
        <f>IF(DATOS!$I9072="","",IFERROR(VLOOKUP(DATOS!$I9072,CONFIG_ASIGNATURAS!$B$2:$J$91,9,FALSE()),""))</f>
      </c>
    </row>
    <row r="9073">
      <c r="F9073">
        <f>IF(DATOS!$A9073="","",DATOS!$A9073&amp;"|"&amp;DATOS!$D9073&amp;"|"&amp;DATOS!$E9073&amp;"|"&amp;DATOS!$I9073)</f>
      </c>
      <c r="G9073">
        <f>IF(DATOS!$A9073="",0,IF(CONFIG_METADATA!$B$4&lt;&gt;"OR+EX",--(DATOS!$G9073=CONFIG_METADATA!$B$4),IF(DATOS!$G9073="EX",1,IF(DATOS!$G9073="OR",--(COUNTIFS(nNIA,DATOS!$A9073,nCURSO,DATOS!$D9073,nESPEC,DATOS!$E9073,nASIG,DATOS!$I9073,nEVAL,"EX")=0),0))))</f>
      </c>
      <c r="H9073">
        <f>IF(DATOS!$G9073&lt;&gt;"EX",0,--(COUNTIFS(nNIA,DATOS!$A9073,nCURSO,DATOS!$D9073,nESPEC,DATOS!$E9073,nASIG,DATOS!$I9073,nEVAL,"OR")=0))</f>
      </c>
      <c r="I9073">
        <f>IF(DATOS!$I9073="","",IFERROR(VLOOKUP(DATOS!$I9073,CONFIG_ASIGNATURAS!$B$2:$J$91,9,FALSE()),""))</f>
      </c>
    </row>
    <row r="9074">
      <c r="F9074">
        <f>IF(DATOS!$A9074="","",DATOS!$A9074&amp;"|"&amp;DATOS!$D9074&amp;"|"&amp;DATOS!$E9074&amp;"|"&amp;DATOS!$I9074)</f>
      </c>
      <c r="G9074">
        <f>IF(DATOS!$A9074="",0,IF(CONFIG_METADATA!$B$4&lt;&gt;"OR+EX",--(DATOS!$G9074=CONFIG_METADATA!$B$4),IF(DATOS!$G9074="EX",1,IF(DATOS!$G9074="OR",--(COUNTIFS(nNIA,DATOS!$A9074,nCURSO,DATOS!$D9074,nESPEC,DATOS!$E9074,nASIG,DATOS!$I9074,nEVAL,"EX")=0),0))))</f>
      </c>
      <c r="H9074">
        <f>IF(DATOS!$G9074&lt;&gt;"EX",0,--(COUNTIFS(nNIA,DATOS!$A9074,nCURSO,DATOS!$D9074,nESPEC,DATOS!$E9074,nASIG,DATOS!$I9074,nEVAL,"OR")=0))</f>
      </c>
      <c r="I9074">
        <f>IF(DATOS!$I9074="","",IFERROR(VLOOKUP(DATOS!$I9074,CONFIG_ASIGNATURAS!$B$2:$J$91,9,FALSE()),""))</f>
      </c>
    </row>
    <row r="9075">
      <c r="F9075">
        <f>IF(DATOS!$A9075="","",DATOS!$A9075&amp;"|"&amp;DATOS!$D9075&amp;"|"&amp;DATOS!$E9075&amp;"|"&amp;DATOS!$I9075)</f>
      </c>
      <c r="G9075">
        <f>IF(DATOS!$A9075="",0,IF(CONFIG_METADATA!$B$4&lt;&gt;"OR+EX",--(DATOS!$G9075=CONFIG_METADATA!$B$4),IF(DATOS!$G9075="EX",1,IF(DATOS!$G9075="OR",--(COUNTIFS(nNIA,DATOS!$A9075,nCURSO,DATOS!$D9075,nESPEC,DATOS!$E9075,nASIG,DATOS!$I9075,nEVAL,"EX")=0),0))))</f>
      </c>
      <c r="H9075">
        <f>IF(DATOS!$G9075&lt;&gt;"EX",0,--(COUNTIFS(nNIA,DATOS!$A9075,nCURSO,DATOS!$D9075,nESPEC,DATOS!$E9075,nASIG,DATOS!$I9075,nEVAL,"OR")=0))</f>
      </c>
      <c r="I9075">
        <f>IF(DATOS!$I9075="","",IFERROR(VLOOKUP(DATOS!$I9075,CONFIG_ASIGNATURAS!$B$2:$J$91,9,FALSE()),""))</f>
      </c>
    </row>
    <row r="9076">
      <c r="F9076">
        <f>IF(DATOS!$A9076="","",DATOS!$A9076&amp;"|"&amp;DATOS!$D9076&amp;"|"&amp;DATOS!$E9076&amp;"|"&amp;DATOS!$I9076)</f>
      </c>
      <c r="G9076">
        <f>IF(DATOS!$A9076="",0,IF(CONFIG_METADATA!$B$4&lt;&gt;"OR+EX",--(DATOS!$G9076=CONFIG_METADATA!$B$4),IF(DATOS!$G9076="EX",1,IF(DATOS!$G9076="OR",--(COUNTIFS(nNIA,DATOS!$A9076,nCURSO,DATOS!$D9076,nESPEC,DATOS!$E9076,nASIG,DATOS!$I9076,nEVAL,"EX")=0),0))))</f>
      </c>
      <c r="H9076">
        <f>IF(DATOS!$G9076&lt;&gt;"EX",0,--(COUNTIFS(nNIA,DATOS!$A9076,nCURSO,DATOS!$D9076,nESPEC,DATOS!$E9076,nASIG,DATOS!$I9076,nEVAL,"OR")=0))</f>
      </c>
      <c r="I9076">
        <f>IF(DATOS!$I9076="","",IFERROR(VLOOKUP(DATOS!$I9076,CONFIG_ASIGNATURAS!$B$2:$J$91,9,FALSE()),""))</f>
      </c>
    </row>
    <row r="9077">
      <c r="F9077">
        <f>IF(DATOS!$A9077="","",DATOS!$A9077&amp;"|"&amp;DATOS!$D9077&amp;"|"&amp;DATOS!$E9077&amp;"|"&amp;DATOS!$I9077)</f>
      </c>
      <c r="G9077">
        <f>IF(DATOS!$A9077="",0,IF(CONFIG_METADATA!$B$4&lt;&gt;"OR+EX",--(DATOS!$G9077=CONFIG_METADATA!$B$4),IF(DATOS!$G9077="EX",1,IF(DATOS!$G9077="OR",--(COUNTIFS(nNIA,DATOS!$A9077,nCURSO,DATOS!$D9077,nESPEC,DATOS!$E9077,nASIG,DATOS!$I9077,nEVAL,"EX")=0),0))))</f>
      </c>
      <c r="H9077">
        <f>IF(DATOS!$G9077&lt;&gt;"EX",0,--(COUNTIFS(nNIA,DATOS!$A9077,nCURSO,DATOS!$D9077,nESPEC,DATOS!$E9077,nASIG,DATOS!$I9077,nEVAL,"OR")=0))</f>
      </c>
      <c r="I9077">
        <f>IF(DATOS!$I9077="","",IFERROR(VLOOKUP(DATOS!$I9077,CONFIG_ASIGNATURAS!$B$2:$J$91,9,FALSE()),""))</f>
      </c>
    </row>
    <row r="9078">
      <c r="F9078">
        <f>IF(DATOS!$A9078="","",DATOS!$A9078&amp;"|"&amp;DATOS!$D9078&amp;"|"&amp;DATOS!$E9078&amp;"|"&amp;DATOS!$I9078)</f>
      </c>
      <c r="G9078">
        <f>IF(DATOS!$A9078="",0,IF(CONFIG_METADATA!$B$4&lt;&gt;"OR+EX",--(DATOS!$G9078=CONFIG_METADATA!$B$4),IF(DATOS!$G9078="EX",1,IF(DATOS!$G9078="OR",--(COUNTIFS(nNIA,DATOS!$A9078,nCURSO,DATOS!$D9078,nESPEC,DATOS!$E9078,nASIG,DATOS!$I9078,nEVAL,"EX")=0),0))))</f>
      </c>
      <c r="H9078">
        <f>IF(DATOS!$G9078&lt;&gt;"EX",0,--(COUNTIFS(nNIA,DATOS!$A9078,nCURSO,DATOS!$D9078,nESPEC,DATOS!$E9078,nASIG,DATOS!$I9078,nEVAL,"OR")=0))</f>
      </c>
      <c r="I9078">
        <f>IF(DATOS!$I9078="","",IFERROR(VLOOKUP(DATOS!$I9078,CONFIG_ASIGNATURAS!$B$2:$J$91,9,FALSE()),""))</f>
      </c>
    </row>
    <row r="9079">
      <c r="F9079">
        <f>IF(DATOS!$A9079="","",DATOS!$A9079&amp;"|"&amp;DATOS!$D9079&amp;"|"&amp;DATOS!$E9079&amp;"|"&amp;DATOS!$I9079)</f>
      </c>
      <c r="G9079">
        <f>IF(DATOS!$A9079="",0,IF(CONFIG_METADATA!$B$4&lt;&gt;"OR+EX",--(DATOS!$G9079=CONFIG_METADATA!$B$4),IF(DATOS!$G9079="EX",1,IF(DATOS!$G9079="OR",--(COUNTIFS(nNIA,DATOS!$A9079,nCURSO,DATOS!$D9079,nESPEC,DATOS!$E9079,nASIG,DATOS!$I9079,nEVAL,"EX")=0),0))))</f>
      </c>
      <c r="H9079">
        <f>IF(DATOS!$G9079&lt;&gt;"EX",0,--(COUNTIFS(nNIA,DATOS!$A9079,nCURSO,DATOS!$D9079,nESPEC,DATOS!$E9079,nASIG,DATOS!$I9079,nEVAL,"OR")=0))</f>
      </c>
      <c r="I9079">
        <f>IF(DATOS!$I9079="","",IFERROR(VLOOKUP(DATOS!$I9079,CONFIG_ASIGNATURAS!$B$2:$J$91,9,FALSE()),""))</f>
      </c>
    </row>
    <row r="9080">
      <c r="F9080">
        <f>IF(DATOS!$A9080="","",DATOS!$A9080&amp;"|"&amp;DATOS!$D9080&amp;"|"&amp;DATOS!$E9080&amp;"|"&amp;DATOS!$I9080)</f>
      </c>
      <c r="G9080">
        <f>IF(DATOS!$A9080="",0,IF(CONFIG_METADATA!$B$4&lt;&gt;"OR+EX",--(DATOS!$G9080=CONFIG_METADATA!$B$4),IF(DATOS!$G9080="EX",1,IF(DATOS!$G9080="OR",--(COUNTIFS(nNIA,DATOS!$A9080,nCURSO,DATOS!$D9080,nESPEC,DATOS!$E9080,nASIG,DATOS!$I9080,nEVAL,"EX")=0),0))))</f>
      </c>
      <c r="H9080">
        <f>IF(DATOS!$G9080&lt;&gt;"EX",0,--(COUNTIFS(nNIA,DATOS!$A9080,nCURSO,DATOS!$D9080,nESPEC,DATOS!$E9080,nASIG,DATOS!$I9080,nEVAL,"OR")=0))</f>
      </c>
      <c r="I9080">
        <f>IF(DATOS!$I9080="","",IFERROR(VLOOKUP(DATOS!$I9080,CONFIG_ASIGNATURAS!$B$2:$J$91,9,FALSE()),""))</f>
      </c>
    </row>
    <row r="9081">
      <c r="F9081">
        <f>IF(DATOS!$A9081="","",DATOS!$A9081&amp;"|"&amp;DATOS!$D9081&amp;"|"&amp;DATOS!$E9081&amp;"|"&amp;DATOS!$I9081)</f>
      </c>
      <c r="G9081">
        <f>IF(DATOS!$A9081="",0,IF(CONFIG_METADATA!$B$4&lt;&gt;"OR+EX",--(DATOS!$G9081=CONFIG_METADATA!$B$4),IF(DATOS!$G9081="EX",1,IF(DATOS!$G9081="OR",--(COUNTIFS(nNIA,DATOS!$A9081,nCURSO,DATOS!$D9081,nESPEC,DATOS!$E9081,nASIG,DATOS!$I9081,nEVAL,"EX")=0),0))))</f>
      </c>
      <c r="H9081">
        <f>IF(DATOS!$G9081&lt;&gt;"EX",0,--(COUNTIFS(nNIA,DATOS!$A9081,nCURSO,DATOS!$D9081,nESPEC,DATOS!$E9081,nASIG,DATOS!$I9081,nEVAL,"OR")=0))</f>
      </c>
      <c r="I9081">
        <f>IF(DATOS!$I9081="","",IFERROR(VLOOKUP(DATOS!$I9081,CONFIG_ASIGNATURAS!$B$2:$J$91,9,FALSE()),""))</f>
      </c>
    </row>
    <row r="9082">
      <c r="F9082">
        <f>IF(DATOS!$A9082="","",DATOS!$A9082&amp;"|"&amp;DATOS!$D9082&amp;"|"&amp;DATOS!$E9082&amp;"|"&amp;DATOS!$I9082)</f>
      </c>
      <c r="G9082">
        <f>IF(DATOS!$A9082="",0,IF(CONFIG_METADATA!$B$4&lt;&gt;"OR+EX",--(DATOS!$G9082=CONFIG_METADATA!$B$4),IF(DATOS!$G9082="EX",1,IF(DATOS!$G9082="OR",--(COUNTIFS(nNIA,DATOS!$A9082,nCURSO,DATOS!$D9082,nESPEC,DATOS!$E9082,nASIG,DATOS!$I9082,nEVAL,"EX")=0),0))))</f>
      </c>
      <c r="H9082">
        <f>IF(DATOS!$G9082&lt;&gt;"EX",0,--(COUNTIFS(nNIA,DATOS!$A9082,nCURSO,DATOS!$D9082,nESPEC,DATOS!$E9082,nASIG,DATOS!$I9082,nEVAL,"OR")=0))</f>
      </c>
      <c r="I9082">
        <f>IF(DATOS!$I9082="","",IFERROR(VLOOKUP(DATOS!$I9082,CONFIG_ASIGNATURAS!$B$2:$J$91,9,FALSE()),""))</f>
      </c>
    </row>
    <row r="9083">
      <c r="F9083">
        <f>IF(DATOS!$A9083="","",DATOS!$A9083&amp;"|"&amp;DATOS!$D9083&amp;"|"&amp;DATOS!$E9083&amp;"|"&amp;DATOS!$I9083)</f>
      </c>
      <c r="G9083">
        <f>IF(DATOS!$A9083="",0,IF(CONFIG_METADATA!$B$4&lt;&gt;"OR+EX",--(DATOS!$G9083=CONFIG_METADATA!$B$4),IF(DATOS!$G9083="EX",1,IF(DATOS!$G9083="OR",--(COUNTIFS(nNIA,DATOS!$A9083,nCURSO,DATOS!$D9083,nESPEC,DATOS!$E9083,nASIG,DATOS!$I9083,nEVAL,"EX")=0),0))))</f>
      </c>
      <c r="H9083">
        <f>IF(DATOS!$G9083&lt;&gt;"EX",0,--(COUNTIFS(nNIA,DATOS!$A9083,nCURSO,DATOS!$D9083,nESPEC,DATOS!$E9083,nASIG,DATOS!$I9083,nEVAL,"OR")=0))</f>
      </c>
      <c r="I9083">
        <f>IF(DATOS!$I9083="","",IFERROR(VLOOKUP(DATOS!$I9083,CONFIG_ASIGNATURAS!$B$2:$J$91,9,FALSE()),""))</f>
      </c>
    </row>
    <row r="9084">
      <c r="F9084">
        <f>IF(DATOS!$A9084="","",DATOS!$A9084&amp;"|"&amp;DATOS!$D9084&amp;"|"&amp;DATOS!$E9084&amp;"|"&amp;DATOS!$I9084)</f>
      </c>
      <c r="G9084">
        <f>IF(DATOS!$A9084="",0,IF(CONFIG_METADATA!$B$4&lt;&gt;"OR+EX",--(DATOS!$G9084=CONFIG_METADATA!$B$4),IF(DATOS!$G9084="EX",1,IF(DATOS!$G9084="OR",--(COUNTIFS(nNIA,DATOS!$A9084,nCURSO,DATOS!$D9084,nESPEC,DATOS!$E9084,nASIG,DATOS!$I9084,nEVAL,"EX")=0),0))))</f>
      </c>
      <c r="H9084">
        <f>IF(DATOS!$G9084&lt;&gt;"EX",0,--(COUNTIFS(nNIA,DATOS!$A9084,nCURSO,DATOS!$D9084,nESPEC,DATOS!$E9084,nASIG,DATOS!$I9084,nEVAL,"OR")=0))</f>
      </c>
      <c r="I9084">
        <f>IF(DATOS!$I9084="","",IFERROR(VLOOKUP(DATOS!$I9084,CONFIG_ASIGNATURAS!$B$2:$J$91,9,FALSE()),""))</f>
      </c>
    </row>
    <row r="9085">
      <c r="F9085">
        <f>IF(DATOS!$A9085="","",DATOS!$A9085&amp;"|"&amp;DATOS!$D9085&amp;"|"&amp;DATOS!$E9085&amp;"|"&amp;DATOS!$I9085)</f>
      </c>
      <c r="G9085">
        <f>IF(DATOS!$A9085="",0,IF(CONFIG_METADATA!$B$4&lt;&gt;"OR+EX",--(DATOS!$G9085=CONFIG_METADATA!$B$4),IF(DATOS!$G9085="EX",1,IF(DATOS!$G9085="OR",--(COUNTIFS(nNIA,DATOS!$A9085,nCURSO,DATOS!$D9085,nESPEC,DATOS!$E9085,nASIG,DATOS!$I9085,nEVAL,"EX")=0),0))))</f>
      </c>
      <c r="H9085">
        <f>IF(DATOS!$G9085&lt;&gt;"EX",0,--(COUNTIFS(nNIA,DATOS!$A9085,nCURSO,DATOS!$D9085,nESPEC,DATOS!$E9085,nASIG,DATOS!$I9085,nEVAL,"OR")=0))</f>
      </c>
      <c r="I9085">
        <f>IF(DATOS!$I9085="","",IFERROR(VLOOKUP(DATOS!$I9085,CONFIG_ASIGNATURAS!$B$2:$J$91,9,FALSE()),""))</f>
      </c>
    </row>
    <row r="9086">
      <c r="F9086">
        <f>IF(DATOS!$A9086="","",DATOS!$A9086&amp;"|"&amp;DATOS!$D9086&amp;"|"&amp;DATOS!$E9086&amp;"|"&amp;DATOS!$I9086)</f>
      </c>
      <c r="G9086">
        <f>IF(DATOS!$A9086="",0,IF(CONFIG_METADATA!$B$4&lt;&gt;"OR+EX",--(DATOS!$G9086=CONFIG_METADATA!$B$4),IF(DATOS!$G9086="EX",1,IF(DATOS!$G9086="OR",--(COUNTIFS(nNIA,DATOS!$A9086,nCURSO,DATOS!$D9086,nESPEC,DATOS!$E9086,nASIG,DATOS!$I9086,nEVAL,"EX")=0),0))))</f>
      </c>
      <c r="H9086">
        <f>IF(DATOS!$G9086&lt;&gt;"EX",0,--(COUNTIFS(nNIA,DATOS!$A9086,nCURSO,DATOS!$D9086,nESPEC,DATOS!$E9086,nASIG,DATOS!$I9086,nEVAL,"OR")=0))</f>
      </c>
      <c r="I9086">
        <f>IF(DATOS!$I9086="","",IFERROR(VLOOKUP(DATOS!$I9086,CONFIG_ASIGNATURAS!$B$2:$J$91,9,FALSE()),""))</f>
      </c>
    </row>
    <row r="9087">
      <c r="F9087">
        <f>IF(DATOS!$A9087="","",DATOS!$A9087&amp;"|"&amp;DATOS!$D9087&amp;"|"&amp;DATOS!$E9087&amp;"|"&amp;DATOS!$I9087)</f>
      </c>
      <c r="G9087">
        <f>IF(DATOS!$A9087="",0,IF(CONFIG_METADATA!$B$4&lt;&gt;"OR+EX",--(DATOS!$G9087=CONFIG_METADATA!$B$4),IF(DATOS!$G9087="EX",1,IF(DATOS!$G9087="OR",--(COUNTIFS(nNIA,DATOS!$A9087,nCURSO,DATOS!$D9087,nESPEC,DATOS!$E9087,nASIG,DATOS!$I9087,nEVAL,"EX")=0),0))))</f>
      </c>
      <c r="H9087">
        <f>IF(DATOS!$G9087&lt;&gt;"EX",0,--(COUNTIFS(nNIA,DATOS!$A9087,nCURSO,DATOS!$D9087,nESPEC,DATOS!$E9087,nASIG,DATOS!$I9087,nEVAL,"OR")=0))</f>
      </c>
      <c r="I9087">
        <f>IF(DATOS!$I9087="","",IFERROR(VLOOKUP(DATOS!$I9087,CONFIG_ASIGNATURAS!$B$2:$J$91,9,FALSE()),""))</f>
      </c>
    </row>
    <row r="9088">
      <c r="F9088">
        <f>IF(DATOS!$A9088="","",DATOS!$A9088&amp;"|"&amp;DATOS!$D9088&amp;"|"&amp;DATOS!$E9088&amp;"|"&amp;DATOS!$I9088)</f>
      </c>
      <c r="G9088">
        <f>IF(DATOS!$A9088="",0,IF(CONFIG_METADATA!$B$4&lt;&gt;"OR+EX",--(DATOS!$G9088=CONFIG_METADATA!$B$4),IF(DATOS!$G9088="EX",1,IF(DATOS!$G9088="OR",--(COUNTIFS(nNIA,DATOS!$A9088,nCURSO,DATOS!$D9088,nESPEC,DATOS!$E9088,nASIG,DATOS!$I9088,nEVAL,"EX")=0),0))))</f>
      </c>
      <c r="H9088">
        <f>IF(DATOS!$G9088&lt;&gt;"EX",0,--(COUNTIFS(nNIA,DATOS!$A9088,nCURSO,DATOS!$D9088,nESPEC,DATOS!$E9088,nASIG,DATOS!$I9088,nEVAL,"OR")=0))</f>
      </c>
      <c r="I9088">
        <f>IF(DATOS!$I9088="","",IFERROR(VLOOKUP(DATOS!$I9088,CONFIG_ASIGNATURAS!$B$2:$J$91,9,FALSE()),""))</f>
      </c>
    </row>
    <row r="9089">
      <c r="F9089">
        <f>IF(DATOS!$A9089="","",DATOS!$A9089&amp;"|"&amp;DATOS!$D9089&amp;"|"&amp;DATOS!$E9089&amp;"|"&amp;DATOS!$I9089)</f>
      </c>
      <c r="G9089">
        <f>IF(DATOS!$A9089="",0,IF(CONFIG_METADATA!$B$4&lt;&gt;"OR+EX",--(DATOS!$G9089=CONFIG_METADATA!$B$4),IF(DATOS!$G9089="EX",1,IF(DATOS!$G9089="OR",--(COUNTIFS(nNIA,DATOS!$A9089,nCURSO,DATOS!$D9089,nESPEC,DATOS!$E9089,nASIG,DATOS!$I9089,nEVAL,"EX")=0),0))))</f>
      </c>
      <c r="H9089">
        <f>IF(DATOS!$G9089&lt;&gt;"EX",0,--(COUNTIFS(nNIA,DATOS!$A9089,nCURSO,DATOS!$D9089,nESPEC,DATOS!$E9089,nASIG,DATOS!$I9089,nEVAL,"OR")=0))</f>
      </c>
      <c r="I9089">
        <f>IF(DATOS!$I9089="","",IFERROR(VLOOKUP(DATOS!$I9089,CONFIG_ASIGNATURAS!$B$2:$J$91,9,FALSE()),""))</f>
      </c>
    </row>
    <row r="9090">
      <c r="F9090">
        <f>IF(DATOS!$A9090="","",DATOS!$A9090&amp;"|"&amp;DATOS!$D9090&amp;"|"&amp;DATOS!$E9090&amp;"|"&amp;DATOS!$I9090)</f>
      </c>
      <c r="G9090">
        <f>IF(DATOS!$A9090="",0,IF(CONFIG_METADATA!$B$4&lt;&gt;"OR+EX",--(DATOS!$G9090=CONFIG_METADATA!$B$4),IF(DATOS!$G9090="EX",1,IF(DATOS!$G9090="OR",--(COUNTIFS(nNIA,DATOS!$A9090,nCURSO,DATOS!$D9090,nESPEC,DATOS!$E9090,nASIG,DATOS!$I9090,nEVAL,"EX")=0),0))))</f>
      </c>
      <c r="H9090">
        <f>IF(DATOS!$G9090&lt;&gt;"EX",0,--(COUNTIFS(nNIA,DATOS!$A9090,nCURSO,DATOS!$D9090,nESPEC,DATOS!$E9090,nASIG,DATOS!$I9090,nEVAL,"OR")=0))</f>
      </c>
      <c r="I9090">
        <f>IF(DATOS!$I9090="","",IFERROR(VLOOKUP(DATOS!$I9090,CONFIG_ASIGNATURAS!$B$2:$J$91,9,FALSE()),""))</f>
      </c>
    </row>
    <row r="9091">
      <c r="F9091">
        <f>IF(DATOS!$A9091="","",DATOS!$A9091&amp;"|"&amp;DATOS!$D9091&amp;"|"&amp;DATOS!$E9091&amp;"|"&amp;DATOS!$I9091)</f>
      </c>
      <c r="G9091">
        <f>IF(DATOS!$A9091="",0,IF(CONFIG_METADATA!$B$4&lt;&gt;"OR+EX",--(DATOS!$G9091=CONFIG_METADATA!$B$4),IF(DATOS!$G9091="EX",1,IF(DATOS!$G9091="OR",--(COUNTIFS(nNIA,DATOS!$A9091,nCURSO,DATOS!$D9091,nESPEC,DATOS!$E9091,nASIG,DATOS!$I9091,nEVAL,"EX")=0),0))))</f>
      </c>
      <c r="H9091">
        <f>IF(DATOS!$G9091&lt;&gt;"EX",0,--(COUNTIFS(nNIA,DATOS!$A9091,nCURSO,DATOS!$D9091,nESPEC,DATOS!$E9091,nASIG,DATOS!$I9091,nEVAL,"OR")=0))</f>
      </c>
      <c r="I9091">
        <f>IF(DATOS!$I9091="","",IFERROR(VLOOKUP(DATOS!$I9091,CONFIG_ASIGNATURAS!$B$2:$J$91,9,FALSE()),""))</f>
      </c>
    </row>
    <row r="9092">
      <c r="F9092">
        <f>IF(DATOS!$A9092="","",DATOS!$A9092&amp;"|"&amp;DATOS!$D9092&amp;"|"&amp;DATOS!$E9092&amp;"|"&amp;DATOS!$I9092)</f>
      </c>
      <c r="G9092">
        <f>IF(DATOS!$A9092="",0,IF(CONFIG_METADATA!$B$4&lt;&gt;"OR+EX",--(DATOS!$G9092=CONFIG_METADATA!$B$4),IF(DATOS!$G9092="EX",1,IF(DATOS!$G9092="OR",--(COUNTIFS(nNIA,DATOS!$A9092,nCURSO,DATOS!$D9092,nESPEC,DATOS!$E9092,nASIG,DATOS!$I9092,nEVAL,"EX")=0),0))))</f>
      </c>
      <c r="H9092">
        <f>IF(DATOS!$G9092&lt;&gt;"EX",0,--(COUNTIFS(nNIA,DATOS!$A9092,nCURSO,DATOS!$D9092,nESPEC,DATOS!$E9092,nASIG,DATOS!$I9092,nEVAL,"OR")=0))</f>
      </c>
      <c r="I9092">
        <f>IF(DATOS!$I9092="","",IFERROR(VLOOKUP(DATOS!$I9092,CONFIG_ASIGNATURAS!$B$2:$J$91,9,FALSE()),""))</f>
      </c>
    </row>
    <row r="9093">
      <c r="F9093">
        <f>IF(DATOS!$A9093="","",DATOS!$A9093&amp;"|"&amp;DATOS!$D9093&amp;"|"&amp;DATOS!$E9093&amp;"|"&amp;DATOS!$I9093)</f>
      </c>
      <c r="G9093">
        <f>IF(DATOS!$A9093="",0,IF(CONFIG_METADATA!$B$4&lt;&gt;"OR+EX",--(DATOS!$G9093=CONFIG_METADATA!$B$4),IF(DATOS!$G9093="EX",1,IF(DATOS!$G9093="OR",--(COUNTIFS(nNIA,DATOS!$A9093,nCURSO,DATOS!$D9093,nESPEC,DATOS!$E9093,nASIG,DATOS!$I9093,nEVAL,"EX")=0),0))))</f>
      </c>
      <c r="H9093">
        <f>IF(DATOS!$G9093&lt;&gt;"EX",0,--(COUNTIFS(nNIA,DATOS!$A9093,nCURSO,DATOS!$D9093,nESPEC,DATOS!$E9093,nASIG,DATOS!$I9093,nEVAL,"OR")=0))</f>
      </c>
      <c r="I9093">
        <f>IF(DATOS!$I9093="","",IFERROR(VLOOKUP(DATOS!$I9093,CONFIG_ASIGNATURAS!$B$2:$J$91,9,FALSE()),""))</f>
      </c>
    </row>
    <row r="9094">
      <c r="F9094">
        <f>IF(DATOS!$A9094="","",DATOS!$A9094&amp;"|"&amp;DATOS!$D9094&amp;"|"&amp;DATOS!$E9094&amp;"|"&amp;DATOS!$I9094)</f>
      </c>
      <c r="G9094">
        <f>IF(DATOS!$A9094="",0,IF(CONFIG_METADATA!$B$4&lt;&gt;"OR+EX",--(DATOS!$G9094=CONFIG_METADATA!$B$4),IF(DATOS!$G9094="EX",1,IF(DATOS!$G9094="OR",--(COUNTIFS(nNIA,DATOS!$A9094,nCURSO,DATOS!$D9094,nESPEC,DATOS!$E9094,nASIG,DATOS!$I9094,nEVAL,"EX")=0),0))))</f>
      </c>
      <c r="H9094">
        <f>IF(DATOS!$G9094&lt;&gt;"EX",0,--(COUNTIFS(nNIA,DATOS!$A9094,nCURSO,DATOS!$D9094,nESPEC,DATOS!$E9094,nASIG,DATOS!$I9094,nEVAL,"OR")=0))</f>
      </c>
      <c r="I9094">
        <f>IF(DATOS!$I9094="","",IFERROR(VLOOKUP(DATOS!$I9094,CONFIG_ASIGNATURAS!$B$2:$J$91,9,FALSE()),""))</f>
      </c>
    </row>
    <row r="9095">
      <c r="F9095">
        <f>IF(DATOS!$A9095="","",DATOS!$A9095&amp;"|"&amp;DATOS!$D9095&amp;"|"&amp;DATOS!$E9095&amp;"|"&amp;DATOS!$I9095)</f>
      </c>
      <c r="G9095">
        <f>IF(DATOS!$A9095="",0,IF(CONFIG_METADATA!$B$4&lt;&gt;"OR+EX",--(DATOS!$G9095=CONFIG_METADATA!$B$4),IF(DATOS!$G9095="EX",1,IF(DATOS!$G9095="OR",--(COUNTIFS(nNIA,DATOS!$A9095,nCURSO,DATOS!$D9095,nESPEC,DATOS!$E9095,nASIG,DATOS!$I9095,nEVAL,"EX")=0),0))))</f>
      </c>
      <c r="H9095">
        <f>IF(DATOS!$G9095&lt;&gt;"EX",0,--(COUNTIFS(nNIA,DATOS!$A9095,nCURSO,DATOS!$D9095,nESPEC,DATOS!$E9095,nASIG,DATOS!$I9095,nEVAL,"OR")=0))</f>
      </c>
      <c r="I9095">
        <f>IF(DATOS!$I9095="","",IFERROR(VLOOKUP(DATOS!$I9095,CONFIG_ASIGNATURAS!$B$2:$J$91,9,FALSE()),""))</f>
      </c>
    </row>
    <row r="9096">
      <c r="F9096">
        <f>IF(DATOS!$A9096="","",DATOS!$A9096&amp;"|"&amp;DATOS!$D9096&amp;"|"&amp;DATOS!$E9096&amp;"|"&amp;DATOS!$I9096)</f>
      </c>
      <c r="G9096">
        <f>IF(DATOS!$A9096="",0,IF(CONFIG_METADATA!$B$4&lt;&gt;"OR+EX",--(DATOS!$G9096=CONFIG_METADATA!$B$4),IF(DATOS!$G9096="EX",1,IF(DATOS!$G9096="OR",--(COUNTIFS(nNIA,DATOS!$A9096,nCURSO,DATOS!$D9096,nESPEC,DATOS!$E9096,nASIG,DATOS!$I9096,nEVAL,"EX")=0),0))))</f>
      </c>
      <c r="H9096">
        <f>IF(DATOS!$G9096&lt;&gt;"EX",0,--(COUNTIFS(nNIA,DATOS!$A9096,nCURSO,DATOS!$D9096,nESPEC,DATOS!$E9096,nASIG,DATOS!$I9096,nEVAL,"OR")=0))</f>
      </c>
      <c r="I9096">
        <f>IF(DATOS!$I9096="","",IFERROR(VLOOKUP(DATOS!$I9096,CONFIG_ASIGNATURAS!$B$2:$J$91,9,FALSE()),""))</f>
      </c>
    </row>
    <row r="9097">
      <c r="F9097">
        <f>IF(DATOS!$A9097="","",DATOS!$A9097&amp;"|"&amp;DATOS!$D9097&amp;"|"&amp;DATOS!$E9097&amp;"|"&amp;DATOS!$I9097)</f>
      </c>
      <c r="G9097">
        <f>IF(DATOS!$A9097="",0,IF(CONFIG_METADATA!$B$4&lt;&gt;"OR+EX",--(DATOS!$G9097=CONFIG_METADATA!$B$4),IF(DATOS!$G9097="EX",1,IF(DATOS!$G9097="OR",--(COUNTIFS(nNIA,DATOS!$A9097,nCURSO,DATOS!$D9097,nESPEC,DATOS!$E9097,nASIG,DATOS!$I9097,nEVAL,"EX")=0),0))))</f>
      </c>
      <c r="H9097">
        <f>IF(DATOS!$G9097&lt;&gt;"EX",0,--(COUNTIFS(nNIA,DATOS!$A9097,nCURSO,DATOS!$D9097,nESPEC,DATOS!$E9097,nASIG,DATOS!$I9097,nEVAL,"OR")=0))</f>
      </c>
      <c r="I9097">
        <f>IF(DATOS!$I9097="","",IFERROR(VLOOKUP(DATOS!$I9097,CONFIG_ASIGNATURAS!$B$2:$J$91,9,FALSE()),""))</f>
      </c>
    </row>
    <row r="9098">
      <c r="F9098">
        <f>IF(DATOS!$A9098="","",DATOS!$A9098&amp;"|"&amp;DATOS!$D9098&amp;"|"&amp;DATOS!$E9098&amp;"|"&amp;DATOS!$I9098)</f>
      </c>
      <c r="G9098">
        <f>IF(DATOS!$A9098="",0,IF(CONFIG_METADATA!$B$4&lt;&gt;"OR+EX",--(DATOS!$G9098=CONFIG_METADATA!$B$4),IF(DATOS!$G9098="EX",1,IF(DATOS!$G9098="OR",--(COUNTIFS(nNIA,DATOS!$A9098,nCURSO,DATOS!$D9098,nESPEC,DATOS!$E9098,nASIG,DATOS!$I9098,nEVAL,"EX")=0),0))))</f>
      </c>
      <c r="H9098">
        <f>IF(DATOS!$G9098&lt;&gt;"EX",0,--(COUNTIFS(nNIA,DATOS!$A9098,nCURSO,DATOS!$D9098,nESPEC,DATOS!$E9098,nASIG,DATOS!$I9098,nEVAL,"OR")=0))</f>
      </c>
      <c r="I9098">
        <f>IF(DATOS!$I9098="","",IFERROR(VLOOKUP(DATOS!$I9098,CONFIG_ASIGNATURAS!$B$2:$J$91,9,FALSE()),""))</f>
      </c>
    </row>
    <row r="9099">
      <c r="F9099">
        <f>IF(DATOS!$A9099="","",DATOS!$A9099&amp;"|"&amp;DATOS!$D9099&amp;"|"&amp;DATOS!$E9099&amp;"|"&amp;DATOS!$I9099)</f>
      </c>
      <c r="G9099">
        <f>IF(DATOS!$A9099="",0,IF(CONFIG_METADATA!$B$4&lt;&gt;"OR+EX",--(DATOS!$G9099=CONFIG_METADATA!$B$4),IF(DATOS!$G9099="EX",1,IF(DATOS!$G9099="OR",--(COUNTIFS(nNIA,DATOS!$A9099,nCURSO,DATOS!$D9099,nESPEC,DATOS!$E9099,nASIG,DATOS!$I9099,nEVAL,"EX")=0),0))))</f>
      </c>
      <c r="H9099">
        <f>IF(DATOS!$G9099&lt;&gt;"EX",0,--(COUNTIFS(nNIA,DATOS!$A9099,nCURSO,DATOS!$D9099,nESPEC,DATOS!$E9099,nASIG,DATOS!$I9099,nEVAL,"OR")=0))</f>
      </c>
      <c r="I9099">
        <f>IF(DATOS!$I9099="","",IFERROR(VLOOKUP(DATOS!$I9099,CONFIG_ASIGNATURAS!$B$2:$J$91,9,FALSE()),""))</f>
      </c>
    </row>
    <row r="9100">
      <c r="F9100">
        <f>IF(DATOS!$A9100="","",DATOS!$A9100&amp;"|"&amp;DATOS!$D9100&amp;"|"&amp;DATOS!$E9100&amp;"|"&amp;DATOS!$I9100)</f>
      </c>
      <c r="G9100">
        <f>IF(DATOS!$A9100="",0,IF(CONFIG_METADATA!$B$4&lt;&gt;"OR+EX",--(DATOS!$G9100=CONFIG_METADATA!$B$4),IF(DATOS!$G9100="EX",1,IF(DATOS!$G9100="OR",--(COUNTIFS(nNIA,DATOS!$A9100,nCURSO,DATOS!$D9100,nESPEC,DATOS!$E9100,nASIG,DATOS!$I9100,nEVAL,"EX")=0),0))))</f>
      </c>
      <c r="H9100">
        <f>IF(DATOS!$G9100&lt;&gt;"EX",0,--(COUNTIFS(nNIA,DATOS!$A9100,nCURSO,DATOS!$D9100,nESPEC,DATOS!$E9100,nASIG,DATOS!$I9100,nEVAL,"OR")=0))</f>
      </c>
      <c r="I9100">
        <f>IF(DATOS!$I9100="","",IFERROR(VLOOKUP(DATOS!$I9100,CONFIG_ASIGNATURAS!$B$2:$J$91,9,FALSE()),""))</f>
      </c>
    </row>
    <row r="9101">
      <c r="F9101">
        <f>IF(DATOS!$A9101="","",DATOS!$A9101&amp;"|"&amp;DATOS!$D9101&amp;"|"&amp;DATOS!$E9101&amp;"|"&amp;DATOS!$I9101)</f>
      </c>
      <c r="G9101">
        <f>IF(DATOS!$A9101="",0,IF(CONFIG_METADATA!$B$4&lt;&gt;"OR+EX",--(DATOS!$G9101=CONFIG_METADATA!$B$4),IF(DATOS!$G9101="EX",1,IF(DATOS!$G9101="OR",--(COUNTIFS(nNIA,DATOS!$A9101,nCURSO,DATOS!$D9101,nESPEC,DATOS!$E9101,nASIG,DATOS!$I9101,nEVAL,"EX")=0),0))))</f>
      </c>
      <c r="H9101">
        <f>IF(DATOS!$G9101&lt;&gt;"EX",0,--(COUNTIFS(nNIA,DATOS!$A9101,nCURSO,DATOS!$D9101,nESPEC,DATOS!$E9101,nASIG,DATOS!$I9101,nEVAL,"OR")=0))</f>
      </c>
      <c r="I9101">
        <f>IF(DATOS!$I9101="","",IFERROR(VLOOKUP(DATOS!$I9101,CONFIG_ASIGNATURAS!$B$2:$J$91,9,FALSE()),""))</f>
      </c>
    </row>
    <row r="9102">
      <c r="F9102">
        <f>IF(DATOS!$A9102="","",DATOS!$A9102&amp;"|"&amp;DATOS!$D9102&amp;"|"&amp;DATOS!$E9102&amp;"|"&amp;DATOS!$I9102)</f>
      </c>
      <c r="G9102">
        <f>IF(DATOS!$A9102="",0,IF(CONFIG_METADATA!$B$4&lt;&gt;"OR+EX",--(DATOS!$G9102=CONFIG_METADATA!$B$4),IF(DATOS!$G9102="EX",1,IF(DATOS!$G9102="OR",--(COUNTIFS(nNIA,DATOS!$A9102,nCURSO,DATOS!$D9102,nESPEC,DATOS!$E9102,nASIG,DATOS!$I9102,nEVAL,"EX")=0),0))))</f>
      </c>
      <c r="H9102">
        <f>IF(DATOS!$G9102&lt;&gt;"EX",0,--(COUNTIFS(nNIA,DATOS!$A9102,nCURSO,DATOS!$D9102,nESPEC,DATOS!$E9102,nASIG,DATOS!$I9102,nEVAL,"OR")=0))</f>
      </c>
      <c r="I9102">
        <f>IF(DATOS!$I9102="","",IFERROR(VLOOKUP(DATOS!$I9102,CONFIG_ASIGNATURAS!$B$2:$J$91,9,FALSE()),""))</f>
      </c>
    </row>
    <row r="9103">
      <c r="F9103">
        <f>IF(DATOS!$A9103="","",DATOS!$A9103&amp;"|"&amp;DATOS!$D9103&amp;"|"&amp;DATOS!$E9103&amp;"|"&amp;DATOS!$I9103)</f>
      </c>
      <c r="G9103">
        <f>IF(DATOS!$A9103="",0,IF(CONFIG_METADATA!$B$4&lt;&gt;"OR+EX",--(DATOS!$G9103=CONFIG_METADATA!$B$4),IF(DATOS!$G9103="EX",1,IF(DATOS!$G9103="OR",--(COUNTIFS(nNIA,DATOS!$A9103,nCURSO,DATOS!$D9103,nESPEC,DATOS!$E9103,nASIG,DATOS!$I9103,nEVAL,"EX")=0),0))))</f>
      </c>
      <c r="H9103">
        <f>IF(DATOS!$G9103&lt;&gt;"EX",0,--(COUNTIFS(nNIA,DATOS!$A9103,nCURSO,DATOS!$D9103,nESPEC,DATOS!$E9103,nASIG,DATOS!$I9103,nEVAL,"OR")=0))</f>
      </c>
      <c r="I9103">
        <f>IF(DATOS!$I9103="","",IFERROR(VLOOKUP(DATOS!$I9103,CONFIG_ASIGNATURAS!$B$2:$J$91,9,FALSE()),""))</f>
      </c>
    </row>
    <row r="9104">
      <c r="F9104">
        <f>IF(DATOS!$A9104="","",DATOS!$A9104&amp;"|"&amp;DATOS!$D9104&amp;"|"&amp;DATOS!$E9104&amp;"|"&amp;DATOS!$I9104)</f>
      </c>
      <c r="G9104">
        <f>IF(DATOS!$A9104="",0,IF(CONFIG_METADATA!$B$4&lt;&gt;"OR+EX",--(DATOS!$G9104=CONFIG_METADATA!$B$4),IF(DATOS!$G9104="EX",1,IF(DATOS!$G9104="OR",--(COUNTIFS(nNIA,DATOS!$A9104,nCURSO,DATOS!$D9104,nESPEC,DATOS!$E9104,nASIG,DATOS!$I9104,nEVAL,"EX")=0),0))))</f>
      </c>
      <c r="H9104">
        <f>IF(DATOS!$G9104&lt;&gt;"EX",0,--(COUNTIFS(nNIA,DATOS!$A9104,nCURSO,DATOS!$D9104,nESPEC,DATOS!$E9104,nASIG,DATOS!$I9104,nEVAL,"OR")=0))</f>
      </c>
      <c r="I9104">
        <f>IF(DATOS!$I9104="","",IFERROR(VLOOKUP(DATOS!$I9104,CONFIG_ASIGNATURAS!$B$2:$J$91,9,FALSE()),""))</f>
      </c>
    </row>
    <row r="9105">
      <c r="F9105">
        <f>IF(DATOS!$A9105="","",DATOS!$A9105&amp;"|"&amp;DATOS!$D9105&amp;"|"&amp;DATOS!$E9105&amp;"|"&amp;DATOS!$I9105)</f>
      </c>
      <c r="G9105">
        <f>IF(DATOS!$A9105="",0,IF(CONFIG_METADATA!$B$4&lt;&gt;"OR+EX",--(DATOS!$G9105=CONFIG_METADATA!$B$4),IF(DATOS!$G9105="EX",1,IF(DATOS!$G9105="OR",--(COUNTIFS(nNIA,DATOS!$A9105,nCURSO,DATOS!$D9105,nESPEC,DATOS!$E9105,nASIG,DATOS!$I9105,nEVAL,"EX")=0),0))))</f>
      </c>
      <c r="H9105">
        <f>IF(DATOS!$G9105&lt;&gt;"EX",0,--(COUNTIFS(nNIA,DATOS!$A9105,nCURSO,DATOS!$D9105,nESPEC,DATOS!$E9105,nASIG,DATOS!$I9105,nEVAL,"OR")=0))</f>
      </c>
      <c r="I9105">
        <f>IF(DATOS!$I9105="","",IFERROR(VLOOKUP(DATOS!$I9105,CONFIG_ASIGNATURAS!$B$2:$J$91,9,FALSE()),""))</f>
      </c>
    </row>
    <row r="9106">
      <c r="F9106">
        <f>IF(DATOS!$A9106="","",DATOS!$A9106&amp;"|"&amp;DATOS!$D9106&amp;"|"&amp;DATOS!$E9106&amp;"|"&amp;DATOS!$I9106)</f>
      </c>
      <c r="G9106">
        <f>IF(DATOS!$A9106="",0,IF(CONFIG_METADATA!$B$4&lt;&gt;"OR+EX",--(DATOS!$G9106=CONFIG_METADATA!$B$4),IF(DATOS!$G9106="EX",1,IF(DATOS!$G9106="OR",--(COUNTIFS(nNIA,DATOS!$A9106,nCURSO,DATOS!$D9106,nESPEC,DATOS!$E9106,nASIG,DATOS!$I9106,nEVAL,"EX")=0),0))))</f>
      </c>
      <c r="H9106">
        <f>IF(DATOS!$G9106&lt;&gt;"EX",0,--(COUNTIFS(nNIA,DATOS!$A9106,nCURSO,DATOS!$D9106,nESPEC,DATOS!$E9106,nASIG,DATOS!$I9106,nEVAL,"OR")=0))</f>
      </c>
      <c r="I9106">
        <f>IF(DATOS!$I9106="","",IFERROR(VLOOKUP(DATOS!$I9106,CONFIG_ASIGNATURAS!$B$2:$J$91,9,FALSE()),""))</f>
      </c>
    </row>
    <row r="9107">
      <c r="F9107">
        <f>IF(DATOS!$A9107="","",DATOS!$A9107&amp;"|"&amp;DATOS!$D9107&amp;"|"&amp;DATOS!$E9107&amp;"|"&amp;DATOS!$I9107)</f>
      </c>
      <c r="G9107">
        <f>IF(DATOS!$A9107="",0,IF(CONFIG_METADATA!$B$4&lt;&gt;"OR+EX",--(DATOS!$G9107=CONFIG_METADATA!$B$4),IF(DATOS!$G9107="EX",1,IF(DATOS!$G9107="OR",--(COUNTIFS(nNIA,DATOS!$A9107,nCURSO,DATOS!$D9107,nESPEC,DATOS!$E9107,nASIG,DATOS!$I9107,nEVAL,"EX")=0),0))))</f>
      </c>
      <c r="H9107">
        <f>IF(DATOS!$G9107&lt;&gt;"EX",0,--(COUNTIFS(nNIA,DATOS!$A9107,nCURSO,DATOS!$D9107,nESPEC,DATOS!$E9107,nASIG,DATOS!$I9107,nEVAL,"OR")=0))</f>
      </c>
      <c r="I9107">
        <f>IF(DATOS!$I9107="","",IFERROR(VLOOKUP(DATOS!$I9107,CONFIG_ASIGNATURAS!$B$2:$J$91,9,FALSE()),""))</f>
      </c>
    </row>
    <row r="9108">
      <c r="F9108">
        <f>IF(DATOS!$A9108="","",DATOS!$A9108&amp;"|"&amp;DATOS!$D9108&amp;"|"&amp;DATOS!$E9108&amp;"|"&amp;DATOS!$I9108)</f>
      </c>
      <c r="G9108">
        <f>IF(DATOS!$A9108="",0,IF(CONFIG_METADATA!$B$4&lt;&gt;"OR+EX",--(DATOS!$G9108=CONFIG_METADATA!$B$4),IF(DATOS!$G9108="EX",1,IF(DATOS!$G9108="OR",--(COUNTIFS(nNIA,DATOS!$A9108,nCURSO,DATOS!$D9108,nESPEC,DATOS!$E9108,nASIG,DATOS!$I9108,nEVAL,"EX")=0),0))))</f>
      </c>
      <c r="H9108">
        <f>IF(DATOS!$G9108&lt;&gt;"EX",0,--(COUNTIFS(nNIA,DATOS!$A9108,nCURSO,DATOS!$D9108,nESPEC,DATOS!$E9108,nASIG,DATOS!$I9108,nEVAL,"OR")=0))</f>
      </c>
      <c r="I9108">
        <f>IF(DATOS!$I9108="","",IFERROR(VLOOKUP(DATOS!$I9108,CONFIG_ASIGNATURAS!$B$2:$J$91,9,FALSE()),""))</f>
      </c>
    </row>
    <row r="9109">
      <c r="F9109">
        <f>IF(DATOS!$A9109="","",DATOS!$A9109&amp;"|"&amp;DATOS!$D9109&amp;"|"&amp;DATOS!$E9109&amp;"|"&amp;DATOS!$I9109)</f>
      </c>
      <c r="G9109">
        <f>IF(DATOS!$A9109="",0,IF(CONFIG_METADATA!$B$4&lt;&gt;"OR+EX",--(DATOS!$G9109=CONFIG_METADATA!$B$4),IF(DATOS!$G9109="EX",1,IF(DATOS!$G9109="OR",--(COUNTIFS(nNIA,DATOS!$A9109,nCURSO,DATOS!$D9109,nESPEC,DATOS!$E9109,nASIG,DATOS!$I9109,nEVAL,"EX")=0),0))))</f>
      </c>
      <c r="H9109">
        <f>IF(DATOS!$G9109&lt;&gt;"EX",0,--(COUNTIFS(nNIA,DATOS!$A9109,nCURSO,DATOS!$D9109,nESPEC,DATOS!$E9109,nASIG,DATOS!$I9109,nEVAL,"OR")=0))</f>
      </c>
      <c r="I9109">
        <f>IF(DATOS!$I9109="","",IFERROR(VLOOKUP(DATOS!$I9109,CONFIG_ASIGNATURAS!$B$2:$J$91,9,FALSE()),""))</f>
      </c>
    </row>
    <row r="9110">
      <c r="F9110">
        <f>IF(DATOS!$A9110="","",DATOS!$A9110&amp;"|"&amp;DATOS!$D9110&amp;"|"&amp;DATOS!$E9110&amp;"|"&amp;DATOS!$I9110)</f>
      </c>
      <c r="G9110">
        <f>IF(DATOS!$A9110="",0,IF(CONFIG_METADATA!$B$4&lt;&gt;"OR+EX",--(DATOS!$G9110=CONFIG_METADATA!$B$4),IF(DATOS!$G9110="EX",1,IF(DATOS!$G9110="OR",--(COUNTIFS(nNIA,DATOS!$A9110,nCURSO,DATOS!$D9110,nESPEC,DATOS!$E9110,nASIG,DATOS!$I9110,nEVAL,"EX")=0),0))))</f>
      </c>
      <c r="H9110">
        <f>IF(DATOS!$G9110&lt;&gt;"EX",0,--(COUNTIFS(nNIA,DATOS!$A9110,nCURSO,DATOS!$D9110,nESPEC,DATOS!$E9110,nASIG,DATOS!$I9110,nEVAL,"OR")=0))</f>
      </c>
      <c r="I9110">
        <f>IF(DATOS!$I9110="","",IFERROR(VLOOKUP(DATOS!$I9110,CONFIG_ASIGNATURAS!$B$2:$J$91,9,FALSE()),""))</f>
      </c>
    </row>
    <row r="9111">
      <c r="F9111">
        <f>IF(DATOS!$A9111="","",DATOS!$A9111&amp;"|"&amp;DATOS!$D9111&amp;"|"&amp;DATOS!$E9111&amp;"|"&amp;DATOS!$I9111)</f>
      </c>
      <c r="G9111">
        <f>IF(DATOS!$A9111="",0,IF(CONFIG_METADATA!$B$4&lt;&gt;"OR+EX",--(DATOS!$G9111=CONFIG_METADATA!$B$4),IF(DATOS!$G9111="EX",1,IF(DATOS!$G9111="OR",--(COUNTIFS(nNIA,DATOS!$A9111,nCURSO,DATOS!$D9111,nESPEC,DATOS!$E9111,nASIG,DATOS!$I9111,nEVAL,"EX")=0),0))))</f>
      </c>
      <c r="H9111">
        <f>IF(DATOS!$G9111&lt;&gt;"EX",0,--(COUNTIFS(nNIA,DATOS!$A9111,nCURSO,DATOS!$D9111,nESPEC,DATOS!$E9111,nASIG,DATOS!$I9111,nEVAL,"OR")=0))</f>
      </c>
      <c r="I9111">
        <f>IF(DATOS!$I9111="","",IFERROR(VLOOKUP(DATOS!$I9111,CONFIG_ASIGNATURAS!$B$2:$J$91,9,FALSE()),""))</f>
      </c>
    </row>
    <row r="9112">
      <c r="F9112">
        <f>IF(DATOS!$A9112="","",DATOS!$A9112&amp;"|"&amp;DATOS!$D9112&amp;"|"&amp;DATOS!$E9112&amp;"|"&amp;DATOS!$I9112)</f>
      </c>
      <c r="G9112">
        <f>IF(DATOS!$A9112="",0,IF(CONFIG_METADATA!$B$4&lt;&gt;"OR+EX",--(DATOS!$G9112=CONFIG_METADATA!$B$4),IF(DATOS!$G9112="EX",1,IF(DATOS!$G9112="OR",--(COUNTIFS(nNIA,DATOS!$A9112,nCURSO,DATOS!$D9112,nESPEC,DATOS!$E9112,nASIG,DATOS!$I9112,nEVAL,"EX")=0),0))))</f>
      </c>
      <c r="H9112">
        <f>IF(DATOS!$G9112&lt;&gt;"EX",0,--(COUNTIFS(nNIA,DATOS!$A9112,nCURSO,DATOS!$D9112,nESPEC,DATOS!$E9112,nASIG,DATOS!$I9112,nEVAL,"OR")=0))</f>
      </c>
      <c r="I9112">
        <f>IF(DATOS!$I9112="","",IFERROR(VLOOKUP(DATOS!$I9112,CONFIG_ASIGNATURAS!$B$2:$J$91,9,FALSE()),""))</f>
      </c>
    </row>
    <row r="9113">
      <c r="F9113">
        <f>IF(DATOS!$A9113="","",DATOS!$A9113&amp;"|"&amp;DATOS!$D9113&amp;"|"&amp;DATOS!$E9113&amp;"|"&amp;DATOS!$I9113)</f>
      </c>
      <c r="G9113">
        <f>IF(DATOS!$A9113="",0,IF(CONFIG_METADATA!$B$4&lt;&gt;"OR+EX",--(DATOS!$G9113=CONFIG_METADATA!$B$4),IF(DATOS!$G9113="EX",1,IF(DATOS!$G9113="OR",--(COUNTIFS(nNIA,DATOS!$A9113,nCURSO,DATOS!$D9113,nESPEC,DATOS!$E9113,nASIG,DATOS!$I9113,nEVAL,"EX")=0),0))))</f>
      </c>
      <c r="H9113">
        <f>IF(DATOS!$G9113&lt;&gt;"EX",0,--(COUNTIFS(nNIA,DATOS!$A9113,nCURSO,DATOS!$D9113,nESPEC,DATOS!$E9113,nASIG,DATOS!$I9113,nEVAL,"OR")=0))</f>
      </c>
      <c r="I9113">
        <f>IF(DATOS!$I9113="","",IFERROR(VLOOKUP(DATOS!$I9113,CONFIG_ASIGNATURAS!$B$2:$J$91,9,FALSE()),""))</f>
      </c>
    </row>
    <row r="9114">
      <c r="F9114">
        <f>IF(DATOS!$A9114="","",DATOS!$A9114&amp;"|"&amp;DATOS!$D9114&amp;"|"&amp;DATOS!$E9114&amp;"|"&amp;DATOS!$I9114)</f>
      </c>
      <c r="G9114">
        <f>IF(DATOS!$A9114="",0,IF(CONFIG_METADATA!$B$4&lt;&gt;"OR+EX",--(DATOS!$G9114=CONFIG_METADATA!$B$4),IF(DATOS!$G9114="EX",1,IF(DATOS!$G9114="OR",--(COUNTIFS(nNIA,DATOS!$A9114,nCURSO,DATOS!$D9114,nESPEC,DATOS!$E9114,nASIG,DATOS!$I9114,nEVAL,"EX")=0),0))))</f>
      </c>
      <c r="H9114">
        <f>IF(DATOS!$G9114&lt;&gt;"EX",0,--(COUNTIFS(nNIA,DATOS!$A9114,nCURSO,DATOS!$D9114,nESPEC,DATOS!$E9114,nASIG,DATOS!$I9114,nEVAL,"OR")=0))</f>
      </c>
      <c r="I9114">
        <f>IF(DATOS!$I9114="","",IFERROR(VLOOKUP(DATOS!$I9114,CONFIG_ASIGNATURAS!$B$2:$J$91,9,FALSE()),""))</f>
      </c>
    </row>
    <row r="9115">
      <c r="F9115">
        <f>IF(DATOS!$A9115="","",DATOS!$A9115&amp;"|"&amp;DATOS!$D9115&amp;"|"&amp;DATOS!$E9115&amp;"|"&amp;DATOS!$I9115)</f>
      </c>
      <c r="G9115">
        <f>IF(DATOS!$A9115="",0,IF(CONFIG_METADATA!$B$4&lt;&gt;"OR+EX",--(DATOS!$G9115=CONFIG_METADATA!$B$4),IF(DATOS!$G9115="EX",1,IF(DATOS!$G9115="OR",--(COUNTIFS(nNIA,DATOS!$A9115,nCURSO,DATOS!$D9115,nESPEC,DATOS!$E9115,nASIG,DATOS!$I9115,nEVAL,"EX")=0),0))))</f>
      </c>
      <c r="H9115">
        <f>IF(DATOS!$G9115&lt;&gt;"EX",0,--(COUNTIFS(nNIA,DATOS!$A9115,nCURSO,DATOS!$D9115,nESPEC,DATOS!$E9115,nASIG,DATOS!$I9115,nEVAL,"OR")=0))</f>
      </c>
      <c r="I9115">
        <f>IF(DATOS!$I9115="","",IFERROR(VLOOKUP(DATOS!$I9115,CONFIG_ASIGNATURAS!$B$2:$J$91,9,FALSE()),""))</f>
      </c>
    </row>
    <row r="9116">
      <c r="F9116">
        <f>IF(DATOS!$A9116="","",DATOS!$A9116&amp;"|"&amp;DATOS!$D9116&amp;"|"&amp;DATOS!$E9116&amp;"|"&amp;DATOS!$I9116)</f>
      </c>
      <c r="G9116">
        <f>IF(DATOS!$A9116="",0,IF(CONFIG_METADATA!$B$4&lt;&gt;"OR+EX",--(DATOS!$G9116=CONFIG_METADATA!$B$4),IF(DATOS!$G9116="EX",1,IF(DATOS!$G9116="OR",--(COUNTIFS(nNIA,DATOS!$A9116,nCURSO,DATOS!$D9116,nESPEC,DATOS!$E9116,nASIG,DATOS!$I9116,nEVAL,"EX")=0),0))))</f>
      </c>
      <c r="H9116">
        <f>IF(DATOS!$G9116&lt;&gt;"EX",0,--(COUNTIFS(nNIA,DATOS!$A9116,nCURSO,DATOS!$D9116,nESPEC,DATOS!$E9116,nASIG,DATOS!$I9116,nEVAL,"OR")=0))</f>
      </c>
      <c r="I9116">
        <f>IF(DATOS!$I9116="","",IFERROR(VLOOKUP(DATOS!$I9116,CONFIG_ASIGNATURAS!$B$2:$J$91,9,FALSE()),""))</f>
      </c>
    </row>
    <row r="9117">
      <c r="F9117">
        <f>IF(DATOS!$A9117="","",DATOS!$A9117&amp;"|"&amp;DATOS!$D9117&amp;"|"&amp;DATOS!$E9117&amp;"|"&amp;DATOS!$I9117)</f>
      </c>
      <c r="G9117">
        <f>IF(DATOS!$A9117="",0,IF(CONFIG_METADATA!$B$4&lt;&gt;"OR+EX",--(DATOS!$G9117=CONFIG_METADATA!$B$4),IF(DATOS!$G9117="EX",1,IF(DATOS!$G9117="OR",--(COUNTIFS(nNIA,DATOS!$A9117,nCURSO,DATOS!$D9117,nESPEC,DATOS!$E9117,nASIG,DATOS!$I9117,nEVAL,"EX")=0),0))))</f>
      </c>
      <c r="H9117">
        <f>IF(DATOS!$G9117&lt;&gt;"EX",0,--(COUNTIFS(nNIA,DATOS!$A9117,nCURSO,DATOS!$D9117,nESPEC,DATOS!$E9117,nASIG,DATOS!$I9117,nEVAL,"OR")=0))</f>
      </c>
      <c r="I9117">
        <f>IF(DATOS!$I9117="","",IFERROR(VLOOKUP(DATOS!$I9117,CONFIG_ASIGNATURAS!$B$2:$J$91,9,FALSE()),""))</f>
      </c>
    </row>
    <row r="9118">
      <c r="F9118">
        <f>IF(DATOS!$A9118="","",DATOS!$A9118&amp;"|"&amp;DATOS!$D9118&amp;"|"&amp;DATOS!$E9118&amp;"|"&amp;DATOS!$I9118)</f>
      </c>
      <c r="G9118">
        <f>IF(DATOS!$A9118="",0,IF(CONFIG_METADATA!$B$4&lt;&gt;"OR+EX",--(DATOS!$G9118=CONFIG_METADATA!$B$4),IF(DATOS!$G9118="EX",1,IF(DATOS!$G9118="OR",--(COUNTIFS(nNIA,DATOS!$A9118,nCURSO,DATOS!$D9118,nESPEC,DATOS!$E9118,nASIG,DATOS!$I9118,nEVAL,"EX")=0),0))))</f>
      </c>
      <c r="H9118">
        <f>IF(DATOS!$G9118&lt;&gt;"EX",0,--(COUNTIFS(nNIA,DATOS!$A9118,nCURSO,DATOS!$D9118,nESPEC,DATOS!$E9118,nASIG,DATOS!$I9118,nEVAL,"OR")=0))</f>
      </c>
      <c r="I9118">
        <f>IF(DATOS!$I9118="","",IFERROR(VLOOKUP(DATOS!$I9118,CONFIG_ASIGNATURAS!$B$2:$J$91,9,FALSE()),""))</f>
      </c>
    </row>
    <row r="9119">
      <c r="F9119">
        <f>IF(DATOS!$A9119="","",DATOS!$A9119&amp;"|"&amp;DATOS!$D9119&amp;"|"&amp;DATOS!$E9119&amp;"|"&amp;DATOS!$I9119)</f>
      </c>
      <c r="G9119">
        <f>IF(DATOS!$A9119="",0,IF(CONFIG_METADATA!$B$4&lt;&gt;"OR+EX",--(DATOS!$G9119=CONFIG_METADATA!$B$4),IF(DATOS!$G9119="EX",1,IF(DATOS!$G9119="OR",--(COUNTIFS(nNIA,DATOS!$A9119,nCURSO,DATOS!$D9119,nESPEC,DATOS!$E9119,nASIG,DATOS!$I9119,nEVAL,"EX")=0),0))))</f>
      </c>
      <c r="H9119">
        <f>IF(DATOS!$G9119&lt;&gt;"EX",0,--(COUNTIFS(nNIA,DATOS!$A9119,nCURSO,DATOS!$D9119,nESPEC,DATOS!$E9119,nASIG,DATOS!$I9119,nEVAL,"OR")=0))</f>
      </c>
      <c r="I9119">
        <f>IF(DATOS!$I9119="","",IFERROR(VLOOKUP(DATOS!$I9119,CONFIG_ASIGNATURAS!$B$2:$J$91,9,FALSE()),""))</f>
      </c>
    </row>
    <row r="9120">
      <c r="F9120">
        <f>IF(DATOS!$A9120="","",DATOS!$A9120&amp;"|"&amp;DATOS!$D9120&amp;"|"&amp;DATOS!$E9120&amp;"|"&amp;DATOS!$I9120)</f>
      </c>
      <c r="G9120">
        <f>IF(DATOS!$A9120="",0,IF(CONFIG_METADATA!$B$4&lt;&gt;"OR+EX",--(DATOS!$G9120=CONFIG_METADATA!$B$4),IF(DATOS!$G9120="EX",1,IF(DATOS!$G9120="OR",--(COUNTIFS(nNIA,DATOS!$A9120,nCURSO,DATOS!$D9120,nESPEC,DATOS!$E9120,nASIG,DATOS!$I9120,nEVAL,"EX")=0),0))))</f>
      </c>
      <c r="H9120">
        <f>IF(DATOS!$G9120&lt;&gt;"EX",0,--(COUNTIFS(nNIA,DATOS!$A9120,nCURSO,DATOS!$D9120,nESPEC,DATOS!$E9120,nASIG,DATOS!$I9120,nEVAL,"OR")=0))</f>
      </c>
      <c r="I9120">
        <f>IF(DATOS!$I9120="","",IFERROR(VLOOKUP(DATOS!$I9120,CONFIG_ASIGNATURAS!$B$2:$J$91,9,FALSE()),""))</f>
      </c>
    </row>
    <row r="9121">
      <c r="F9121">
        <f>IF(DATOS!$A9121="","",DATOS!$A9121&amp;"|"&amp;DATOS!$D9121&amp;"|"&amp;DATOS!$E9121&amp;"|"&amp;DATOS!$I9121)</f>
      </c>
      <c r="G9121">
        <f>IF(DATOS!$A9121="",0,IF(CONFIG_METADATA!$B$4&lt;&gt;"OR+EX",--(DATOS!$G9121=CONFIG_METADATA!$B$4),IF(DATOS!$G9121="EX",1,IF(DATOS!$G9121="OR",--(COUNTIFS(nNIA,DATOS!$A9121,nCURSO,DATOS!$D9121,nESPEC,DATOS!$E9121,nASIG,DATOS!$I9121,nEVAL,"EX")=0),0))))</f>
      </c>
      <c r="H9121">
        <f>IF(DATOS!$G9121&lt;&gt;"EX",0,--(COUNTIFS(nNIA,DATOS!$A9121,nCURSO,DATOS!$D9121,nESPEC,DATOS!$E9121,nASIG,DATOS!$I9121,nEVAL,"OR")=0))</f>
      </c>
      <c r="I9121">
        <f>IF(DATOS!$I9121="","",IFERROR(VLOOKUP(DATOS!$I9121,CONFIG_ASIGNATURAS!$B$2:$J$91,9,FALSE()),""))</f>
      </c>
    </row>
    <row r="9122">
      <c r="F9122">
        <f>IF(DATOS!$A9122="","",DATOS!$A9122&amp;"|"&amp;DATOS!$D9122&amp;"|"&amp;DATOS!$E9122&amp;"|"&amp;DATOS!$I9122)</f>
      </c>
      <c r="G9122">
        <f>IF(DATOS!$A9122="",0,IF(CONFIG_METADATA!$B$4&lt;&gt;"OR+EX",--(DATOS!$G9122=CONFIG_METADATA!$B$4),IF(DATOS!$G9122="EX",1,IF(DATOS!$G9122="OR",--(COUNTIFS(nNIA,DATOS!$A9122,nCURSO,DATOS!$D9122,nESPEC,DATOS!$E9122,nASIG,DATOS!$I9122,nEVAL,"EX")=0),0))))</f>
      </c>
      <c r="H9122">
        <f>IF(DATOS!$G9122&lt;&gt;"EX",0,--(COUNTIFS(nNIA,DATOS!$A9122,nCURSO,DATOS!$D9122,nESPEC,DATOS!$E9122,nASIG,DATOS!$I9122,nEVAL,"OR")=0))</f>
      </c>
      <c r="I9122">
        <f>IF(DATOS!$I9122="","",IFERROR(VLOOKUP(DATOS!$I9122,CONFIG_ASIGNATURAS!$B$2:$J$91,9,FALSE()),""))</f>
      </c>
    </row>
    <row r="9123">
      <c r="F9123">
        <f>IF(DATOS!$A9123="","",DATOS!$A9123&amp;"|"&amp;DATOS!$D9123&amp;"|"&amp;DATOS!$E9123&amp;"|"&amp;DATOS!$I9123)</f>
      </c>
      <c r="G9123">
        <f>IF(DATOS!$A9123="",0,IF(CONFIG_METADATA!$B$4&lt;&gt;"OR+EX",--(DATOS!$G9123=CONFIG_METADATA!$B$4),IF(DATOS!$G9123="EX",1,IF(DATOS!$G9123="OR",--(COUNTIFS(nNIA,DATOS!$A9123,nCURSO,DATOS!$D9123,nESPEC,DATOS!$E9123,nASIG,DATOS!$I9123,nEVAL,"EX")=0),0))))</f>
      </c>
      <c r="H9123">
        <f>IF(DATOS!$G9123&lt;&gt;"EX",0,--(COUNTIFS(nNIA,DATOS!$A9123,nCURSO,DATOS!$D9123,nESPEC,DATOS!$E9123,nASIG,DATOS!$I9123,nEVAL,"OR")=0))</f>
      </c>
      <c r="I9123">
        <f>IF(DATOS!$I9123="","",IFERROR(VLOOKUP(DATOS!$I9123,CONFIG_ASIGNATURAS!$B$2:$J$91,9,FALSE()),""))</f>
      </c>
    </row>
    <row r="9124">
      <c r="F9124">
        <f>IF(DATOS!$A9124="","",DATOS!$A9124&amp;"|"&amp;DATOS!$D9124&amp;"|"&amp;DATOS!$E9124&amp;"|"&amp;DATOS!$I9124)</f>
      </c>
      <c r="G9124">
        <f>IF(DATOS!$A9124="",0,IF(CONFIG_METADATA!$B$4&lt;&gt;"OR+EX",--(DATOS!$G9124=CONFIG_METADATA!$B$4),IF(DATOS!$G9124="EX",1,IF(DATOS!$G9124="OR",--(COUNTIFS(nNIA,DATOS!$A9124,nCURSO,DATOS!$D9124,nESPEC,DATOS!$E9124,nASIG,DATOS!$I9124,nEVAL,"EX")=0),0))))</f>
      </c>
      <c r="H9124">
        <f>IF(DATOS!$G9124&lt;&gt;"EX",0,--(COUNTIFS(nNIA,DATOS!$A9124,nCURSO,DATOS!$D9124,nESPEC,DATOS!$E9124,nASIG,DATOS!$I9124,nEVAL,"OR")=0))</f>
      </c>
      <c r="I9124">
        <f>IF(DATOS!$I9124="","",IFERROR(VLOOKUP(DATOS!$I9124,CONFIG_ASIGNATURAS!$B$2:$J$91,9,FALSE()),""))</f>
      </c>
    </row>
    <row r="9125">
      <c r="F9125">
        <f>IF(DATOS!$A9125="","",DATOS!$A9125&amp;"|"&amp;DATOS!$D9125&amp;"|"&amp;DATOS!$E9125&amp;"|"&amp;DATOS!$I9125)</f>
      </c>
      <c r="G9125">
        <f>IF(DATOS!$A9125="",0,IF(CONFIG_METADATA!$B$4&lt;&gt;"OR+EX",--(DATOS!$G9125=CONFIG_METADATA!$B$4),IF(DATOS!$G9125="EX",1,IF(DATOS!$G9125="OR",--(COUNTIFS(nNIA,DATOS!$A9125,nCURSO,DATOS!$D9125,nESPEC,DATOS!$E9125,nASIG,DATOS!$I9125,nEVAL,"EX")=0),0))))</f>
      </c>
      <c r="H9125">
        <f>IF(DATOS!$G9125&lt;&gt;"EX",0,--(COUNTIFS(nNIA,DATOS!$A9125,nCURSO,DATOS!$D9125,nESPEC,DATOS!$E9125,nASIG,DATOS!$I9125,nEVAL,"OR")=0))</f>
      </c>
      <c r="I9125">
        <f>IF(DATOS!$I9125="","",IFERROR(VLOOKUP(DATOS!$I9125,CONFIG_ASIGNATURAS!$B$2:$J$91,9,FALSE()),""))</f>
      </c>
    </row>
    <row r="9126">
      <c r="F9126">
        <f>IF(DATOS!$A9126="","",DATOS!$A9126&amp;"|"&amp;DATOS!$D9126&amp;"|"&amp;DATOS!$E9126&amp;"|"&amp;DATOS!$I9126)</f>
      </c>
      <c r="G9126">
        <f>IF(DATOS!$A9126="",0,IF(CONFIG_METADATA!$B$4&lt;&gt;"OR+EX",--(DATOS!$G9126=CONFIG_METADATA!$B$4),IF(DATOS!$G9126="EX",1,IF(DATOS!$G9126="OR",--(COUNTIFS(nNIA,DATOS!$A9126,nCURSO,DATOS!$D9126,nESPEC,DATOS!$E9126,nASIG,DATOS!$I9126,nEVAL,"EX")=0),0))))</f>
      </c>
      <c r="H9126">
        <f>IF(DATOS!$G9126&lt;&gt;"EX",0,--(COUNTIFS(nNIA,DATOS!$A9126,nCURSO,DATOS!$D9126,nESPEC,DATOS!$E9126,nASIG,DATOS!$I9126,nEVAL,"OR")=0))</f>
      </c>
      <c r="I9126">
        <f>IF(DATOS!$I9126="","",IFERROR(VLOOKUP(DATOS!$I9126,CONFIG_ASIGNATURAS!$B$2:$J$91,9,FALSE()),""))</f>
      </c>
    </row>
    <row r="9127">
      <c r="F9127">
        <f>IF(DATOS!$A9127="","",DATOS!$A9127&amp;"|"&amp;DATOS!$D9127&amp;"|"&amp;DATOS!$E9127&amp;"|"&amp;DATOS!$I9127)</f>
      </c>
      <c r="G9127">
        <f>IF(DATOS!$A9127="",0,IF(CONFIG_METADATA!$B$4&lt;&gt;"OR+EX",--(DATOS!$G9127=CONFIG_METADATA!$B$4),IF(DATOS!$G9127="EX",1,IF(DATOS!$G9127="OR",--(COUNTIFS(nNIA,DATOS!$A9127,nCURSO,DATOS!$D9127,nESPEC,DATOS!$E9127,nASIG,DATOS!$I9127,nEVAL,"EX")=0),0))))</f>
      </c>
      <c r="H9127">
        <f>IF(DATOS!$G9127&lt;&gt;"EX",0,--(COUNTIFS(nNIA,DATOS!$A9127,nCURSO,DATOS!$D9127,nESPEC,DATOS!$E9127,nASIG,DATOS!$I9127,nEVAL,"OR")=0))</f>
      </c>
      <c r="I9127">
        <f>IF(DATOS!$I9127="","",IFERROR(VLOOKUP(DATOS!$I9127,CONFIG_ASIGNATURAS!$B$2:$J$91,9,FALSE()),""))</f>
      </c>
    </row>
    <row r="9128">
      <c r="F9128">
        <f>IF(DATOS!$A9128="","",DATOS!$A9128&amp;"|"&amp;DATOS!$D9128&amp;"|"&amp;DATOS!$E9128&amp;"|"&amp;DATOS!$I9128)</f>
      </c>
      <c r="G9128">
        <f>IF(DATOS!$A9128="",0,IF(CONFIG_METADATA!$B$4&lt;&gt;"OR+EX",--(DATOS!$G9128=CONFIG_METADATA!$B$4),IF(DATOS!$G9128="EX",1,IF(DATOS!$G9128="OR",--(COUNTIFS(nNIA,DATOS!$A9128,nCURSO,DATOS!$D9128,nESPEC,DATOS!$E9128,nASIG,DATOS!$I9128,nEVAL,"EX")=0),0))))</f>
      </c>
      <c r="H9128">
        <f>IF(DATOS!$G9128&lt;&gt;"EX",0,--(COUNTIFS(nNIA,DATOS!$A9128,nCURSO,DATOS!$D9128,nESPEC,DATOS!$E9128,nASIG,DATOS!$I9128,nEVAL,"OR")=0))</f>
      </c>
      <c r="I9128">
        <f>IF(DATOS!$I9128="","",IFERROR(VLOOKUP(DATOS!$I9128,CONFIG_ASIGNATURAS!$B$2:$J$91,9,FALSE()),""))</f>
      </c>
    </row>
    <row r="9129">
      <c r="F9129">
        <f>IF(DATOS!$A9129="","",DATOS!$A9129&amp;"|"&amp;DATOS!$D9129&amp;"|"&amp;DATOS!$E9129&amp;"|"&amp;DATOS!$I9129)</f>
      </c>
      <c r="G9129">
        <f>IF(DATOS!$A9129="",0,IF(CONFIG_METADATA!$B$4&lt;&gt;"OR+EX",--(DATOS!$G9129=CONFIG_METADATA!$B$4),IF(DATOS!$G9129="EX",1,IF(DATOS!$G9129="OR",--(COUNTIFS(nNIA,DATOS!$A9129,nCURSO,DATOS!$D9129,nESPEC,DATOS!$E9129,nASIG,DATOS!$I9129,nEVAL,"EX")=0),0))))</f>
      </c>
      <c r="H9129">
        <f>IF(DATOS!$G9129&lt;&gt;"EX",0,--(COUNTIFS(nNIA,DATOS!$A9129,nCURSO,DATOS!$D9129,nESPEC,DATOS!$E9129,nASIG,DATOS!$I9129,nEVAL,"OR")=0))</f>
      </c>
      <c r="I9129">
        <f>IF(DATOS!$I9129="","",IFERROR(VLOOKUP(DATOS!$I9129,CONFIG_ASIGNATURAS!$B$2:$J$91,9,FALSE()),""))</f>
      </c>
    </row>
    <row r="9130">
      <c r="F9130">
        <f>IF(DATOS!$A9130="","",DATOS!$A9130&amp;"|"&amp;DATOS!$D9130&amp;"|"&amp;DATOS!$E9130&amp;"|"&amp;DATOS!$I9130)</f>
      </c>
      <c r="G9130">
        <f>IF(DATOS!$A9130="",0,IF(CONFIG_METADATA!$B$4&lt;&gt;"OR+EX",--(DATOS!$G9130=CONFIG_METADATA!$B$4),IF(DATOS!$G9130="EX",1,IF(DATOS!$G9130="OR",--(COUNTIFS(nNIA,DATOS!$A9130,nCURSO,DATOS!$D9130,nESPEC,DATOS!$E9130,nASIG,DATOS!$I9130,nEVAL,"EX")=0),0))))</f>
      </c>
      <c r="H9130">
        <f>IF(DATOS!$G9130&lt;&gt;"EX",0,--(COUNTIFS(nNIA,DATOS!$A9130,nCURSO,DATOS!$D9130,nESPEC,DATOS!$E9130,nASIG,DATOS!$I9130,nEVAL,"OR")=0))</f>
      </c>
      <c r="I9130">
        <f>IF(DATOS!$I9130="","",IFERROR(VLOOKUP(DATOS!$I9130,CONFIG_ASIGNATURAS!$B$2:$J$91,9,FALSE()),""))</f>
      </c>
    </row>
    <row r="9131">
      <c r="F9131">
        <f>IF(DATOS!$A9131="","",DATOS!$A9131&amp;"|"&amp;DATOS!$D9131&amp;"|"&amp;DATOS!$E9131&amp;"|"&amp;DATOS!$I9131)</f>
      </c>
      <c r="G9131">
        <f>IF(DATOS!$A9131="",0,IF(CONFIG_METADATA!$B$4&lt;&gt;"OR+EX",--(DATOS!$G9131=CONFIG_METADATA!$B$4),IF(DATOS!$G9131="EX",1,IF(DATOS!$G9131="OR",--(COUNTIFS(nNIA,DATOS!$A9131,nCURSO,DATOS!$D9131,nESPEC,DATOS!$E9131,nASIG,DATOS!$I9131,nEVAL,"EX")=0),0))))</f>
      </c>
      <c r="H9131">
        <f>IF(DATOS!$G9131&lt;&gt;"EX",0,--(COUNTIFS(nNIA,DATOS!$A9131,nCURSO,DATOS!$D9131,nESPEC,DATOS!$E9131,nASIG,DATOS!$I9131,nEVAL,"OR")=0))</f>
      </c>
      <c r="I9131">
        <f>IF(DATOS!$I9131="","",IFERROR(VLOOKUP(DATOS!$I9131,CONFIG_ASIGNATURAS!$B$2:$J$91,9,FALSE()),""))</f>
      </c>
    </row>
    <row r="9132">
      <c r="F9132">
        <f>IF(DATOS!$A9132="","",DATOS!$A9132&amp;"|"&amp;DATOS!$D9132&amp;"|"&amp;DATOS!$E9132&amp;"|"&amp;DATOS!$I9132)</f>
      </c>
      <c r="G9132">
        <f>IF(DATOS!$A9132="",0,IF(CONFIG_METADATA!$B$4&lt;&gt;"OR+EX",--(DATOS!$G9132=CONFIG_METADATA!$B$4),IF(DATOS!$G9132="EX",1,IF(DATOS!$G9132="OR",--(COUNTIFS(nNIA,DATOS!$A9132,nCURSO,DATOS!$D9132,nESPEC,DATOS!$E9132,nASIG,DATOS!$I9132,nEVAL,"EX")=0),0))))</f>
      </c>
      <c r="H9132">
        <f>IF(DATOS!$G9132&lt;&gt;"EX",0,--(COUNTIFS(nNIA,DATOS!$A9132,nCURSO,DATOS!$D9132,nESPEC,DATOS!$E9132,nASIG,DATOS!$I9132,nEVAL,"OR")=0))</f>
      </c>
      <c r="I9132">
        <f>IF(DATOS!$I9132="","",IFERROR(VLOOKUP(DATOS!$I9132,CONFIG_ASIGNATURAS!$B$2:$J$91,9,FALSE()),""))</f>
      </c>
    </row>
    <row r="9133">
      <c r="F9133">
        <f>IF(DATOS!$A9133="","",DATOS!$A9133&amp;"|"&amp;DATOS!$D9133&amp;"|"&amp;DATOS!$E9133&amp;"|"&amp;DATOS!$I9133)</f>
      </c>
      <c r="G9133">
        <f>IF(DATOS!$A9133="",0,IF(CONFIG_METADATA!$B$4&lt;&gt;"OR+EX",--(DATOS!$G9133=CONFIG_METADATA!$B$4),IF(DATOS!$G9133="EX",1,IF(DATOS!$G9133="OR",--(COUNTIFS(nNIA,DATOS!$A9133,nCURSO,DATOS!$D9133,nESPEC,DATOS!$E9133,nASIG,DATOS!$I9133,nEVAL,"EX")=0),0))))</f>
      </c>
      <c r="H9133">
        <f>IF(DATOS!$G9133&lt;&gt;"EX",0,--(COUNTIFS(nNIA,DATOS!$A9133,nCURSO,DATOS!$D9133,nESPEC,DATOS!$E9133,nASIG,DATOS!$I9133,nEVAL,"OR")=0))</f>
      </c>
      <c r="I9133">
        <f>IF(DATOS!$I9133="","",IFERROR(VLOOKUP(DATOS!$I9133,CONFIG_ASIGNATURAS!$B$2:$J$91,9,FALSE()),""))</f>
      </c>
    </row>
    <row r="9134">
      <c r="F9134">
        <f>IF(DATOS!$A9134="","",DATOS!$A9134&amp;"|"&amp;DATOS!$D9134&amp;"|"&amp;DATOS!$E9134&amp;"|"&amp;DATOS!$I9134)</f>
      </c>
      <c r="G9134">
        <f>IF(DATOS!$A9134="",0,IF(CONFIG_METADATA!$B$4&lt;&gt;"OR+EX",--(DATOS!$G9134=CONFIG_METADATA!$B$4),IF(DATOS!$G9134="EX",1,IF(DATOS!$G9134="OR",--(COUNTIFS(nNIA,DATOS!$A9134,nCURSO,DATOS!$D9134,nESPEC,DATOS!$E9134,nASIG,DATOS!$I9134,nEVAL,"EX")=0),0))))</f>
      </c>
      <c r="H9134">
        <f>IF(DATOS!$G9134&lt;&gt;"EX",0,--(COUNTIFS(nNIA,DATOS!$A9134,nCURSO,DATOS!$D9134,nESPEC,DATOS!$E9134,nASIG,DATOS!$I9134,nEVAL,"OR")=0))</f>
      </c>
      <c r="I9134">
        <f>IF(DATOS!$I9134="","",IFERROR(VLOOKUP(DATOS!$I9134,CONFIG_ASIGNATURAS!$B$2:$J$91,9,FALSE()),""))</f>
      </c>
    </row>
    <row r="9135">
      <c r="F9135">
        <f>IF(DATOS!$A9135="","",DATOS!$A9135&amp;"|"&amp;DATOS!$D9135&amp;"|"&amp;DATOS!$E9135&amp;"|"&amp;DATOS!$I9135)</f>
      </c>
      <c r="G9135">
        <f>IF(DATOS!$A9135="",0,IF(CONFIG_METADATA!$B$4&lt;&gt;"OR+EX",--(DATOS!$G9135=CONFIG_METADATA!$B$4),IF(DATOS!$G9135="EX",1,IF(DATOS!$G9135="OR",--(COUNTIFS(nNIA,DATOS!$A9135,nCURSO,DATOS!$D9135,nESPEC,DATOS!$E9135,nASIG,DATOS!$I9135,nEVAL,"EX")=0),0))))</f>
      </c>
      <c r="H9135">
        <f>IF(DATOS!$G9135&lt;&gt;"EX",0,--(COUNTIFS(nNIA,DATOS!$A9135,nCURSO,DATOS!$D9135,nESPEC,DATOS!$E9135,nASIG,DATOS!$I9135,nEVAL,"OR")=0))</f>
      </c>
      <c r="I9135">
        <f>IF(DATOS!$I9135="","",IFERROR(VLOOKUP(DATOS!$I9135,CONFIG_ASIGNATURAS!$B$2:$J$91,9,FALSE()),""))</f>
      </c>
    </row>
    <row r="9136">
      <c r="F9136">
        <f>IF(DATOS!$A9136="","",DATOS!$A9136&amp;"|"&amp;DATOS!$D9136&amp;"|"&amp;DATOS!$E9136&amp;"|"&amp;DATOS!$I9136)</f>
      </c>
      <c r="G9136">
        <f>IF(DATOS!$A9136="",0,IF(CONFIG_METADATA!$B$4&lt;&gt;"OR+EX",--(DATOS!$G9136=CONFIG_METADATA!$B$4),IF(DATOS!$G9136="EX",1,IF(DATOS!$G9136="OR",--(COUNTIFS(nNIA,DATOS!$A9136,nCURSO,DATOS!$D9136,nESPEC,DATOS!$E9136,nASIG,DATOS!$I9136,nEVAL,"EX")=0),0))))</f>
      </c>
      <c r="H9136">
        <f>IF(DATOS!$G9136&lt;&gt;"EX",0,--(COUNTIFS(nNIA,DATOS!$A9136,nCURSO,DATOS!$D9136,nESPEC,DATOS!$E9136,nASIG,DATOS!$I9136,nEVAL,"OR")=0))</f>
      </c>
      <c r="I9136">
        <f>IF(DATOS!$I9136="","",IFERROR(VLOOKUP(DATOS!$I9136,CONFIG_ASIGNATURAS!$B$2:$J$91,9,FALSE()),""))</f>
      </c>
    </row>
    <row r="9137">
      <c r="F9137">
        <f>IF(DATOS!$A9137="","",DATOS!$A9137&amp;"|"&amp;DATOS!$D9137&amp;"|"&amp;DATOS!$E9137&amp;"|"&amp;DATOS!$I9137)</f>
      </c>
      <c r="G9137">
        <f>IF(DATOS!$A9137="",0,IF(CONFIG_METADATA!$B$4&lt;&gt;"OR+EX",--(DATOS!$G9137=CONFIG_METADATA!$B$4),IF(DATOS!$G9137="EX",1,IF(DATOS!$G9137="OR",--(COUNTIFS(nNIA,DATOS!$A9137,nCURSO,DATOS!$D9137,nESPEC,DATOS!$E9137,nASIG,DATOS!$I9137,nEVAL,"EX")=0),0))))</f>
      </c>
      <c r="H9137">
        <f>IF(DATOS!$G9137&lt;&gt;"EX",0,--(COUNTIFS(nNIA,DATOS!$A9137,nCURSO,DATOS!$D9137,nESPEC,DATOS!$E9137,nASIG,DATOS!$I9137,nEVAL,"OR")=0))</f>
      </c>
      <c r="I9137">
        <f>IF(DATOS!$I9137="","",IFERROR(VLOOKUP(DATOS!$I9137,CONFIG_ASIGNATURAS!$B$2:$J$91,9,FALSE()),""))</f>
      </c>
    </row>
    <row r="9138">
      <c r="F9138">
        <f>IF(DATOS!$A9138="","",DATOS!$A9138&amp;"|"&amp;DATOS!$D9138&amp;"|"&amp;DATOS!$E9138&amp;"|"&amp;DATOS!$I9138)</f>
      </c>
      <c r="G9138">
        <f>IF(DATOS!$A9138="",0,IF(CONFIG_METADATA!$B$4&lt;&gt;"OR+EX",--(DATOS!$G9138=CONFIG_METADATA!$B$4),IF(DATOS!$G9138="EX",1,IF(DATOS!$G9138="OR",--(COUNTIFS(nNIA,DATOS!$A9138,nCURSO,DATOS!$D9138,nESPEC,DATOS!$E9138,nASIG,DATOS!$I9138,nEVAL,"EX")=0),0))))</f>
      </c>
      <c r="H9138">
        <f>IF(DATOS!$G9138&lt;&gt;"EX",0,--(COUNTIFS(nNIA,DATOS!$A9138,nCURSO,DATOS!$D9138,nESPEC,DATOS!$E9138,nASIG,DATOS!$I9138,nEVAL,"OR")=0))</f>
      </c>
      <c r="I9138">
        <f>IF(DATOS!$I9138="","",IFERROR(VLOOKUP(DATOS!$I9138,CONFIG_ASIGNATURAS!$B$2:$J$91,9,FALSE()),""))</f>
      </c>
    </row>
    <row r="9139">
      <c r="F9139">
        <f>IF(DATOS!$A9139="","",DATOS!$A9139&amp;"|"&amp;DATOS!$D9139&amp;"|"&amp;DATOS!$E9139&amp;"|"&amp;DATOS!$I9139)</f>
      </c>
      <c r="G9139">
        <f>IF(DATOS!$A9139="",0,IF(CONFIG_METADATA!$B$4&lt;&gt;"OR+EX",--(DATOS!$G9139=CONFIG_METADATA!$B$4),IF(DATOS!$G9139="EX",1,IF(DATOS!$G9139="OR",--(COUNTIFS(nNIA,DATOS!$A9139,nCURSO,DATOS!$D9139,nESPEC,DATOS!$E9139,nASIG,DATOS!$I9139,nEVAL,"EX")=0),0))))</f>
      </c>
      <c r="H9139">
        <f>IF(DATOS!$G9139&lt;&gt;"EX",0,--(COUNTIFS(nNIA,DATOS!$A9139,nCURSO,DATOS!$D9139,nESPEC,DATOS!$E9139,nASIG,DATOS!$I9139,nEVAL,"OR")=0))</f>
      </c>
      <c r="I9139">
        <f>IF(DATOS!$I9139="","",IFERROR(VLOOKUP(DATOS!$I9139,CONFIG_ASIGNATURAS!$B$2:$J$91,9,FALSE()),""))</f>
      </c>
    </row>
    <row r="9140">
      <c r="F9140">
        <f>IF(DATOS!$A9140="","",DATOS!$A9140&amp;"|"&amp;DATOS!$D9140&amp;"|"&amp;DATOS!$E9140&amp;"|"&amp;DATOS!$I9140)</f>
      </c>
      <c r="G9140">
        <f>IF(DATOS!$A9140="",0,IF(CONFIG_METADATA!$B$4&lt;&gt;"OR+EX",--(DATOS!$G9140=CONFIG_METADATA!$B$4),IF(DATOS!$G9140="EX",1,IF(DATOS!$G9140="OR",--(COUNTIFS(nNIA,DATOS!$A9140,nCURSO,DATOS!$D9140,nESPEC,DATOS!$E9140,nASIG,DATOS!$I9140,nEVAL,"EX")=0),0))))</f>
      </c>
      <c r="H9140">
        <f>IF(DATOS!$G9140&lt;&gt;"EX",0,--(COUNTIFS(nNIA,DATOS!$A9140,nCURSO,DATOS!$D9140,nESPEC,DATOS!$E9140,nASIG,DATOS!$I9140,nEVAL,"OR")=0))</f>
      </c>
      <c r="I9140">
        <f>IF(DATOS!$I9140="","",IFERROR(VLOOKUP(DATOS!$I9140,CONFIG_ASIGNATURAS!$B$2:$J$91,9,FALSE()),""))</f>
      </c>
    </row>
    <row r="9141">
      <c r="F9141">
        <f>IF(DATOS!$A9141="","",DATOS!$A9141&amp;"|"&amp;DATOS!$D9141&amp;"|"&amp;DATOS!$E9141&amp;"|"&amp;DATOS!$I9141)</f>
      </c>
      <c r="G9141">
        <f>IF(DATOS!$A9141="",0,IF(CONFIG_METADATA!$B$4&lt;&gt;"OR+EX",--(DATOS!$G9141=CONFIG_METADATA!$B$4),IF(DATOS!$G9141="EX",1,IF(DATOS!$G9141="OR",--(COUNTIFS(nNIA,DATOS!$A9141,nCURSO,DATOS!$D9141,nESPEC,DATOS!$E9141,nASIG,DATOS!$I9141,nEVAL,"EX")=0),0))))</f>
      </c>
      <c r="H9141">
        <f>IF(DATOS!$G9141&lt;&gt;"EX",0,--(COUNTIFS(nNIA,DATOS!$A9141,nCURSO,DATOS!$D9141,nESPEC,DATOS!$E9141,nASIG,DATOS!$I9141,nEVAL,"OR")=0))</f>
      </c>
      <c r="I9141">
        <f>IF(DATOS!$I9141="","",IFERROR(VLOOKUP(DATOS!$I9141,CONFIG_ASIGNATURAS!$B$2:$J$91,9,FALSE()),""))</f>
      </c>
    </row>
    <row r="9142">
      <c r="F9142">
        <f>IF(DATOS!$A9142="","",DATOS!$A9142&amp;"|"&amp;DATOS!$D9142&amp;"|"&amp;DATOS!$E9142&amp;"|"&amp;DATOS!$I9142)</f>
      </c>
      <c r="G9142">
        <f>IF(DATOS!$A9142="",0,IF(CONFIG_METADATA!$B$4&lt;&gt;"OR+EX",--(DATOS!$G9142=CONFIG_METADATA!$B$4),IF(DATOS!$G9142="EX",1,IF(DATOS!$G9142="OR",--(COUNTIFS(nNIA,DATOS!$A9142,nCURSO,DATOS!$D9142,nESPEC,DATOS!$E9142,nASIG,DATOS!$I9142,nEVAL,"EX")=0),0))))</f>
      </c>
      <c r="H9142">
        <f>IF(DATOS!$G9142&lt;&gt;"EX",0,--(COUNTIFS(nNIA,DATOS!$A9142,nCURSO,DATOS!$D9142,nESPEC,DATOS!$E9142,nASIG,DATOS!$I9142,nEVAL,"OR")=0))</f>
      </c>
      <c r="I9142">
        <f>IF(DATOS!$I9142="","",IFERROR(VLOOKUP(DATOS!$I9142,CONFIG_ASIGNATURAS!$B$2:$J$91,9,FALSE()),""))</f>
      </c>
    </row>
    <row r="9143">
      <c r="F9143">
        <f>IF(DATOS!$A9143="","",DATOS!$A9143&amp;"|"&amp;DATOS!$D9143&amp;"|"&amp;DATOS!$E9143&amp;"|"&amp;DATOS!$I9143)</f>
      </c>
      <c r="G9143">
        <f>IF(DATOS!$A9143="",0,IF(CONFIG_METADATA!$B$4&lt;&gt;"OR+EX",--(DATOS!$G9143=CONFIG_METADATA!$B$4),IF(DATOS!$G9143="EX",1,IF(DATOS!$G9143="OR",--(COUNTIFS(nNIA,DATOS!$A9143,nCURSO,DATOS!$D9143,nESPEC,DATOS!$E9143,nASIG,DATOS!$I9143,nEVAL,"EX")=0),0))))</f>
      </c>
      <c r="H9143">
        <f>IF(DATOS!$G9143&lt;&gt;"EX",0,--(COUNTIFS(nNIA,DATOS!$A9143,nCURSO,DATOS!$D9143,nESPEC,DATOS!$E9143,nASIG,DATOS!$I9143,nEVAL,"OR")=0))</f>
      </c>
      <c r="I9143">
        <f>IF(DATOS!$I9143="","",IFERROR(VLOOKUP(DATOS!$I9143,CONFIG_ASIGNATURAS!$B$2:$J$91,9,FALSE()),""))</f>
      </c>
    </row>
    <row r="9144">
      <c r="F9144">
        <f>IF(DATOS!$A9144="","",DATOS!$A9144&amp;"|"&amp;DATOS!$D9144&amp;"|"&amp;DATOS!$E9144&amp;"|"&amp;DATOS!$I9144)</f>
      </c>
      <c r="G9144">
        <f>IF(DATOS!$A9144="",0,IF(CONFIG_METADATA!$B$4&lt;&gt;"OR+EX",--(DATOS!$G9144=CONFIG_METADATA!$B$4),IF(DATOS!$G9144="EX",1,IF(DATOS!$G9144="OR",--(COUNTIFS(nNIA,DATOS!$A9144,nCURSO,DATOS!$D9144,nESPEC,DATOS!$E9144,nASIG,DATOS!$I9144,nEVAL,"EX")=0),0))))</f>
      </c>
      <c r="H9144">
        <f>IF(DATOS!$G9144&lt;&gt;"EX",0,--(COUNTIFS(nNIA,DATOS!$A9144,nCURSO,DATOS!$D9144,nESPEC,DATOS!$E9144,nASIG,DATOS!$I9144,nEVAL,"OR")=0))</f>
      </c>
      <c r="I9144">
        <f>IF(DATOS!$I9144="","",IFERROR(VLOOKUP(DATOS!$I9144,CONFIG_ASIGNATURAS!$B$2:$J$91,9,FALSE()),""))</f>
      </c>
    </row>
    <row r="9145">
      <c r="F9145">
        <f>IF(DATOS!$A9145="","",DATOS!$A9145&amp;"|"&amp;DATOS!$D9145&amp;"|"&amp;DATOS!$E9145&amp;"|"&amp;DATOS!$I9145)</f>
      </c>
      <c r="G9145">
        <f>IF(DATOS!$A9145="",0,IF(CONFIG_METADATA!$B$4&lt;&gt;"OR+EX",--(DATOS!$G9145=CONFIG_METADATA!$B$4),IF(DATOS!$G9145="EX",1,IF(DATOS!$G9145="OR",--(COUNTIFS(nNIA,DATOS!$A9145,nCURSO,DATOS!$D9145,nESPEC,DATOS!$E9145,nASIG,DATOS!$I9145,nEVAL,"EX")=0),0))))</f>
      </c>
      <c r="H9145">
        <f>IF(DATOS!$G9145&lt;&gt;"EX",0,--(COUNTIFS(nNIA,DATOS!$A9145,nCURSO,DATOS!$D9145,nESPEC,DATOS!$E9145,nASIG,DATOS!$I9145,nEVAL,"OR")=0))</f>
      </c>
      <c r="I9145">
        <f>IF(DATOS!$I9145="","",IFERROR(VLOOKUP(DATOS!$I9145,CONFIG_ASIGNATURAS!$B$2:$J$91,9,FALSE()),""))</f>
      </c>
    </row>
    <row r="9146">
      <c r="F9146">
        <f>IF(DATOS!$A9146="","",DATOS!$A9146&amp;"|"&amp;DATOS!$D9146&amp;"|"&amp;DATOS!$E9146&amp;"|"&amp;DATOS!$I9146)</f>
      </c>
      <c r="G9146">
        <f>IF(DATOS!$A9146="",0,IF(CONFIG_METADATA!$B$4&lt;&gt;"OR+EX",--(DATOS!$G9146=CONFIG_METADATA!$B$4),IF(DATOS!$G9146="EX",1,IF(DATOS!$G9146="OR",--(COUNTIFS(nNIA,DATOS!$A9146,nCURSO,DATOS!$D9146,nESPEC,DATOS!$E9146,nASIG,DATOS!$I9146,nEVAL,"EX")=0),0))))</f>
      </c>
      <c r="H9146">
        <f>IF(DATOS!$G9146&lt;&gt;"EX",0,--(COUNTIFS(nNIA,DATOS!$A9146,nCURSO,DATOS!$D9146,nESPEC,DATOS!$E9146,nASIG,DATOS!$I9146,nEVAL,"OR")=0))</f>
      </c>
      <c r="I9146">
        <f>IF(DATOS!$I9146="","",IFERROR(VLOOKUP(DATOS!$I9146,CONFIG_ASIGNATURAS!$B$2:$J$91,9,FALSE()),""))</f>
      </c>
    </row>
    <row r="9147">
      <c r="F9147">
        <f>IF(DATOS!$A9147="","",DATOS!$A9147&amp;"|"&amp;DATOS!$D9147&amp;"|"&amp;DATOS!$E9147&amp;"|"&amp;DATOS!$I9147)</f>
      </c>
      <c r="G9147">
        <f>IF(DATOS!$A9147="",0,IF(CONFIG_METADATA!$B$4&lt;&gt;"OR+EX",--(DATOS!$G9147=CONFIG_METADATA!$B$4),IF(DATOS!$G9147="EX",1,IF(DATOS!$G9147="OR",--(COUNTIFS(nNIA,DATOS!$A9147,nCURSO,DATOS!$D9147,nESPEC,DATOS!$E9147,nASIG,DATOS!$I9147,nEVAL,"EX")=0),0))))</f>
      </c>
      <c r="H9147">
        <f>IF(DATOS!$G9147&lt;&gt;"EX",0,--(COUNTIFS(nNIA,DATOS!$A9147,nCURSO,DATOS!$D9147,nESPEC,DATOS!$E9147,nASIG,DATOS!$I9147,nEVAL,"OR")=0))</f>
      </c>
      <c r="I9147">
        <f>IF(DATOS!$I9147="","",IFERROR(VLOOKUP(DATOS!$I9147,CONFIG_ASIGNATURAS!$B$2:$J$91,9,FALSE()),""))</f>
      </c>
    </row>
    <row r="9148">
      <c r="F9148">
        <f>IF(DATOS!$A9148="","",DATOS!$A9148&amp;"|"&amp;DATOS!$D9148&amp;"|"&amp;DATOS!$E9148&amp;"|"&amp;DATOS!$I9148)</f>
      </c>
      <c r="G9148">
        <f>IF(DATOS!$A9148="",0,IF(CONFIG_METADATA!$B$4&lt;&gt;"OR+EX",--(DATOS!$G9148=CONFIG_METADATA!$B$4),IF(DATOS!$G9148="EX",1,IF(DATOS!$G9148="OR",--(COUNTIFS(nNIA,DATOS!$A9148,nCURSO,DATOS!$D9148,nESPEC,DATOS!$E9148,nASIG,DATOS!$I9148,nEVAL,"EX")=0),0))))</f>
      </c>
      <c r="H9148">
        <f>IF(DATOS!$G9148&lt;&gt;"EX",0,--(COUNTIFS(nNIA,DATOS!$A9148,nCURSO,DATOS!$D9148,nESPEC,DATOS!$E9148,nASIG,DATOS!$I9148,nEVAL,"OR")=0))</f>
      </c>
      <c r="I9148">
        <f>IF(DATOS!$I9148="","",IFERROR(VLOOKUP(DATOS!$I9148,CONFIG_ASIGNATURAS!$B$2:$J$91,9,FALSE()),""))</f>
      </c>
    </row>
    <row r="9149">
      <c r="F9149">
        <f>IF(DATOS!$A9149="","",DATOS!$A9149&amp;"|"&amp;DATOS!$D9149&amp;"|"&amp;DATOS!$E9149&amp;"|"&amp;DATOS!$I9149)</f>
      </c>
      <c r="G9149">
        <f>IF(DATOS!$A9149="",0,IF(CONFIG_METADATA!$B$4&lt;&gt;"OR+EX",--(DATOS!$G9149=CONFIG_METADATA!$B$4),IF(DATOS!$G9149="EX",1,IF(DATOS!$G9149="OR",--(COUNTIFS(nNIA,DATOS!$A9149,nCURSO,DATOS!$D9149,nESPEC,DATOS!$E9149,nASIG,DATOS!$I9149,nEVAL,"EX")=0),0))))</f>
      </c>
      <c r="H9149">
        <f>IF(DATOS!$G9149&lt;&gt;"EX",0,--(COUNTIFS(nNIA,DATOS!$A9149,nCURSO,DATOS!$D9149,nESPEC,DATOS!$E9149,nASIG,DATOS!$I9149,nEVAL,"OR")=0))</f>
      </c>
      <c r="I9149">
        <f>IF(DATOS!$I9149="","",IFERROR(VLOOKUP(DATOS!$I9149,CONFIG_ASIGNATURAS!$B$2:$J$91,9,FALSE()),""))</f>
      </c>
    </row>
    <row r="9150">
      <c r="F9150">
        <f>IF(DATOS!$A9150="","",DATOS!$A9150&amp;"|"&amp;DATOS!$D9150&amp;"|"&amp;DATOS!$E9150&amp;"|"&amp;DATOS!$I9150)</f>
      </c>
      <c r="G9150">
        <f>IF(DATOS!$A9150="",0,IF(CONFIG_METADATA!$B$4&lt;&gt;"OR+EX",--(DATOS!$G9150=CONFIG_METADATA!$B$4),IF(DATOS!$G9150="EX",1,IF(DATOS!$G9150="OR",--(COUNTIFS(nNIA,DATOS!$A9150,nCURSO,DATOS!$D9150,nESPEC,DATOS!$E9150,nASIG,DATOS!$I9150,nEVAL,"EX")=0),0))))</f>
      </c>
      <c r="H9150">
        <f>IF(DATOS!$G9150&lt;&gt;"EX",0,--(COUNTIFS(nNIA,DATOS!$A9150,nCURSO,DATOS!$D9150,nESPEC,DATOS!$E9150,nASIG,DATOS!$I9150,nEVAL,"OR")=0))</f>
      </c>
      <c r="I9150">
        <f>IF(DATOS!$I9150="","",IFERROR(VLOOKUP(DATOS!$I9150,CONFIG_ASIGNATURAS!$B$2:$J$91,9,FALSE()),""))</f>
      </c>
    </row>
    <row r="9151">
      <c r="F9151">
        <f>IF(DATOS!$A9151="","",DATOS!$A9151&amp;"|"&amp;DATOS!$D9151&amp;"|"&amp;DATOS!$E9151&amp;"|"&amp;DATOS!$I9151)</f>
      </c>
      <c r="G9151">
        <f>IF(DATOS!$A9151="",0,IF(CONFIG_METADATA!$B$4&lt;&gt;"OR+EX",--(DATOS!$G9151=CONFIG_METADATA!$B$4),IF(DATOS!$G9151="EX",1,IF(DATOS!$G9151="OR",--(COUNTIFS(nNIA,DATOS!$A9151,nCURSO,DATOS!$D9151,nESPEC,DATOS!$E9151,nASIG,DATOS!$I9151,nEVAL,"EX")=0),0))))</f>
      </c>
      <c r="H9151">
        <f>IF(DATOS!$G9151&lt;&gt;"EX",0,--(COUNTIFS(nNIA,DATOS!$A9151,nCURSO,DATOS!$D9151,nESPEC,DATOS!$E9151,nASIG,DATOS!$I9151,nEVAL,"OR")=0))</f>
      </c>
      <c r="I9151">
        <f>IF(DATOS!$I9151="","",IFERROR(VLOOKUP(DATOS!$I9151,CONFIG_ASIGNATURAS!$B$2:$J$91,9,FALSE()),""))</f>
      </c>
    </row>
    <row r="9152">
      <c r="F9152">
        <f>IF(DATOS!$A9152="","",DATOS!$A9152&amp;"|"&amp;DATOS!$D9152&amp;"|"&amp;DATOS!$E9152&amp;"|"&amp;DATOS!$I9152)</f>
      </c>
      <c r="G9152">
        <f>IF(DATOS!$A9152="",0,IF(CONFIG_METADATA!$B$4&lt;&gt;"OR+EX",--(DATOS!$G9152=CONFIG_METADATA!$B$4),IF(DATOS!$G9152="EX",1,IF(DATOS!$G9152="OR",--(COUNTIFS(nNIA,DATOS!$A9152,nCURSO,DATOS!$D9152,nESPEC,DATOS!$E9152,nASIG,DATOS!$I9152,nEVAL,"EX")=0),0))))</f>
      </c>
      <c r="H9152">
        <f>IF(DATOS!$G9152&lt;&gt;"EX",0,--(COUNTIFS(nNIA,DATOS!$A9152,nCURSO,DATOS!$D9152,nESPEC,DATOS!$E9152,nASIG,DATOS!$I9152,nEVAL,"OR")=0))</f>
      </c>
      <c r="I9152">
        <f>IF(DATOS!$I9152="","",IFERROR(VLOOKUP(DATOS!$I9152,CONFIG_ASIGNATURAS!$B$2:$J$91,9,FALSE()),""))</f>
      </c>
    </row>
    <row r="9153">
      <c r="F9153">
        <f>IF(DATOS!$A9153="","",DATOS!$A9153&amp;"|"&amp;DATOS!$D9153&amp;"|"&amp;DATOS!$E9153&amp;"|"&amp;DATOS!$I9153)</f>
      </c>
      <c r="G9153">
        <f>IF(DATOS!$A9153="",0,IF(CONFIG_METADATA!$B$4&lt;&gt;"OR+EX",--(DATOS!$G9153=CONFIG_METADATA!$B$4),IF(DATOS!$G9153="EX",1,IF(DATOS!$G9153="OR",--(COUNTIFS(nNIA,DATOS!$A9153,nCURSO,DATOS!$D9153,nESPEC,DATOS!$E9153,nASIG,DATOS!$I9153,nEVAL,"EX")=0),0))))</f>
      </c>
      <c r="H9153">
        <f>IF(DATOS!$G9153&lt;&gt;"EX",0,--(COUNTIFS(nNIA,DATOS!$A9153,nCURSO,DATOS!$D9153,nESPEC,DATOS!$E9153,nASIG,DATOS!$I9153,nEVAL,"OR")=0))</f>
      </c>
      <c r="I9153">
        <f>IF(DATOS!$I9153="","",IFERROR(VLOOKUP(DATOS!$I9153,CONFIG_ASIGNATURAS!$B$2:$J$91,9,FALSE()),""))</f>
      </c>
    </row>
    <row r="9154">
      <c r="F9154">
        <f>IF(DATOS!$A9154="","",DATOS!$A9154&amp;"|"&amp;DATOS!$D9154&amp;"|"&amp;DATOS!$E9154&amp;"|"&amp;DATOS!$I9154)</f>
      </c>
      <c r="G9154">
        <f>IF(DATOS!$A9154="",0,IF(CONFIG_METADATA!$B$4&lt;&gt;"OR+EX",--(DATOS!$G9154=CONFIG_METADATA!$B$4),IF(DATOS!$G9154="EX",1,IF(DATOS!$G9154="OR",--(COUNTIFS(nNIA,DATOS!$A9154,nCURSO,DATOS!$D9154,nESPEC,DATOS!$E9154,nASIG,DATOS!$I9154,nEVAL,"EX")=0),0))))</f>
      </c>
      <c r="H9154">
        <f>IF(DATOS!$G9154&lt;&gt;"EX",0,--(COUNTIFS(nNIA,DATOS!$A9154,nCURSO,DATOS!$D9154,nESPEC,DATOS!$E9154,nASIG,DATOS!$I9154,nEVAL,"OR")=0))</f>
      </c>
      <c r="I9154">
        <f>IF(DATOS!$I9154="","",IFERROR(VLOOKUP(DATOS!$I9154,CONFIG_ASIGNATURAS!$B$2:$J$91,9,FALSE()),""))</f>
      </c>
    </row>
    <row r="9155">
      <c r="F9155">
        <f>IF(DATOS!$A9155="","",DATOS!$A9155&amp;"|"&amp;DATOS!$D9155&amp;"|"&amp;DATOS!$E9155&amp;"|"&amp;DATOS!$I9155)</f>
      </c>
      <c r="G9155">
        <f>IF(DATOS!$A9155="",0,IF(CONFIG_METADATA!$B$4&lt;&gt;"OR+EX",--(DATOS!$G9155=CONFIG_METADATA!$B$4),IF(DATOS!$G9155="EX",1,IF(DATOS!$G9155="OR",--(COUNTIFS(nNIA,DATOS!$A9155,nCURSO,DATOS!$D9155,nESPEC,DATOS!$E9155,nASIG,DATOS!$I9155,nEVAL,"EX")=0),0))))</f>
      </c>
      <c r="H9155">
        <f>IF(DATOS!$G9155&lt;&gt;"EX",0,--(COUNTIFS(nNIA,DATOS!$A9155,nCURSO,DATOS!$D9155,nESPEC,DATOS!$E9155,nASIG,DATOS!$I9155,nEVAL,"OR")=0))</f>
      </c>
      <c r="I9155">
        <f>IF(DATOS!$I9155="","",IFERROR(VLOOKUP(DATOS!$I9155,CONFIG_ASIGNATURAS!$B$2:$J$91,9,FALSE()),""))</f>
      </c>
    </row>
    <row r="9156">
      <c r="F9156">
        <f>IF(DATOS!$A9156="","",DATOS!$A9156&amp;"|"&amp;DATOS!$D9156&amp;"|"&amp;DATOS!$E9156&amp;"|"&amp;DATOS!$I9156)</f>
      </c>
      <c r="G9156">
        <f>IF(DATOS!$A9156="",0,IF(CONFIG_METADATA!$B$4&lt;&gt;"OR+EX",--(DATOS!$G9156=CONFIG_METADATA!$B$4),IF(DATOS!$G9156="EX",1,IF(DATOS!$G9156="OR",--(COUNTIFS(nNIA,DATOS!$A9156,nCURSO,DATOS!$D9156,nESPEC,DATOS!$E9156,nASIG,DATOS!$I9156,nEVAL,"EX")=0),0))))</f>
      </c>
      <c r="H9156">
        <f>IF(DATOS!$G9156&lt;&gt;"EX",0,--(COUNTIFS(nNIA,DATOS!$A9156,nCURSO,DATOS!$D9156,nESPEC,DATOS!$E9156,nASIG,DATOS!$I9156,nEVAL,"OR")=0))</f>
      </c>
      <c r="I9156">
        <f>IF(DATOS!$I9156="","",IFERROR(VLOOKUP(DATOS!$I9156,CONFIG_ASIGNATURAS!$B$2:$J$91,9,FALSE()),""))</f>
      </c>
    </row>
    <row r="9157">
      <c r="F9157">
        <f>IF(DATOS!$A9157="","",DATOS!$A9157&amp;"|"&amp;DATOS!$D9157&amp;"|"&amp;DATOS!$E9157&amp;"|"&amp;DATOS!$I9157)</f>
      </c>
      <c r="G9157">
        <f>IF(DATOS!$A9157="",0,IF(CONFIG_METADATA!$B$4&lt;&gt;"OR+EX",--(DATOS!$G9157=CONFIG_METADATA!$B$4),IF(DATOS!$G9157="EX",1,IF(DATOS!$G9157="OR",--(COUNTIFS(nNIA,DATOS!$A9157,nCURSO,DATOS!$D9157,nESPEC,DATOS!$E9157,nASIG,DATOS!$I9157,nEVAL,"EX")=0),0))))</f>
      </c>
      <c r="H9157">
        <f>IF(DATOS!$G9157&lt;&gt;"EX",0,--(COUNTIFS(nNIA,DATOS!$A9157,nCURSO,DATOS!$D9157,nESPEC,DATOS!$E9157,nASIG,DATOS!$I9157,nEVAL,"OR")=0))</f>
      </c>
      <c r="I9157">
        <f>IF(DATOS!$I9157="","",IFERROR(VLOOKUP(DATOS!$I9157,CONFIG_ASIGNATURAS!$B$2:$J$91,9,FALSE()),""))</f>
      </c>
    </row>
    <row r="9158">
      <c r="F9158">
        <f>IF(DATOS!$A9158="","",DATOS!$A9158&amp;"|"&amp;DATOS!$D9158&amp;"|"&amp;DATOS!$E9158&amp;"|"&amp;DATOS!$I9158)</f>
      </c>
      <c r="G9158">
        <f>IF(DATOS!$A9158="",0,IF(CONFIG_METADATA!$B$4&lt;&gt;"OR+EX",--(DATOS!$G9158=CONFIG_METADATA!$B$4),IF(DATOS!$G9158="EX",1,IF(DATOS!$G9158="OR",--(COUNTIFS(nNIA,DATOS!$A9158,nCURSO,DATOS!$D9158,nESPEC,DATOS!$E9158,nASIG,DATOS!$I9158,nEVAL,"EX")=0),0))))</f>
      </c>
      <c r="H9158">
        <f>IF(DATOS!$G9158&lt;&gt;"EX",0,--(COUNTIFS(nNIA,DATOS!$A9158,nCURSO,DATOS!$D9158,nESPEC,DATOS!$E9158,nASIG,DATOS!$I9158,nEVAL,"OR")=0))</f>
      </c>
      <c r="I9158">
        <f>IF(DATOS!$I9158="","",IFERROR(VLOOKUP(DATOS!$I9158,CONFIG_ASIGNATURAS!$B$2:$J$91,9,FALSE()),""))</f>
      </c>
    </row>
    <row r="9159">
      <c r="F9159">
        <f>IF(DATOS!$A9159="","",DATOS!$A9159&amp;"|"&amp;DATOS!$D9159&amp;"|"&amp;DATOS!$E9159&amp;"|"&amp;DATOS!$I9159)</f>
      </c>
      <c r="G9159">
        <f>IF(DATOS!$A9159="",0,IF(CONFIG_METADATA!$B$4&lt;&gt;"OR+EX",--(DATOS!$G9159=CONFIG_METADATA!$B$4),IF(DATOS!$G9159="EX",1,IF(DATOS!$G9159="OR",--(COUNTIFS(nNIA,DATOS!$A9159,nCURSO,DATOS!$D9159,nESPEC,DATOS!$E9159,nASIG,DATOS!$I9159,nEVAL,"EX")=0),0))))</f>
      </c>
      <c r="H9159">
        <f>IF(DATOS!$G9159&lt;&gt;"EX",0,--(COUNTIFS(nNIA,DATOS!$A9159,nCURSO,DATOS!$D9159,nESPEC,DATOS!$E9159,nASIG,DATOS!$I9159,nEVAL,"OR")=0))</f>
      </c>
      <c r="I9159">
        <f>IF(DATOS!$I9159="","",IFERROR(VLOOKUP(DATOS!$I9159,CONFIG_ASIGNATURAS!$B$2:$J$91,9,FALSE()),""))</f>
      </c>
    </row>
    <row r="9160">
      <c r="F9160">
        <f>IF(DATOS!$A9160="","",DATOS!$A9160&amp;"|"&amp;DATOS!$D9160&amp;"|"&amp;DATOS!$E9160&amp;"|"&amp;DATOS!$I9160)</f>
      </c>
      <c r="G9160">
        <f>IF(DATOS!$A9160="",0,IF(CONFIG_METADATA!$B$4&lt;&gt;"OR+EX",--(DATOS!$G9160=CONFIG_METADATA!$B$4),IF(DATOS!$G9160="EX",1,IF(DATOS!$G9160="OR",--(COUNTIFS(nNIA,DATOS!$A9160,nCURSO,DATOS!$D9160,nESPEC,DATOS!$E9160,nASIG,DATOS!$I9160,nEVAL,"EX")=0),0))))</f>
      </c>
      <c r="H9160">
        <f>IF(DATOS!$G9160&lt;&gt;"EX",0,--(COUNTIFS(nNIA,DATOS!$A9160,nCURSO,DATOS!$D9160,nESPEC,DATOS!$E9160,nASIG,DATOS!$I9160,nEVAL,"OR")=0))</f>
      </c>
      <c r="I9160">
        <f>IF(DATOS!$I9160="","",IFERROR(VLOOKUP(DATOS!$I9160,CONFIG_ASIGNATURAS!$B$2:$J$91,9,FALSE()),""))</f>
      </c>
    </row>
    <row r="9161">
      <c r="F9161">
        <f>IF(DATOS!$A9161="","",DATOS!$A9161&amp;"|"&amp;DATOS!$D9161&amp;"|"&amp;DATOS!$E9161&amp;"|"&amp;DATOS!$I9161)</f>
      </c>
      <c r="G9161">
        <f>IF(DATOS!$A9161="",0,IF(CONFIG_METADATA!$B$4&lt;&gt;"OR+EX",--(DATOS!$G9161=CONFIG_METADATA!$B$4),IF(DATOS!$G9161="EX",1,IF(DATOS!$G9161="OR",--(COUNTIFS(nNIA,DATOS!$A9161,nCURSO,DATOS!$D9161,nESPEC,DATOS!$E9161,nASIG,DATOS!$I9161,nEVAL,"EX")=0),0))))</f>
      </c>
      <c r="H9161">
        <f>IF(DATOS!$G9161&lt;&gt;"EX",0,--(COUNTIFS(nNIA,DATOS!$A9161,nCURSO,DATOS!$D9161,nESPEC,DATOS!$E9161,nASIG,DATOS!$I9161,nEVAL,"OR")=0))</f>
      </c>
      <c r="I9161">
        <f>IF(DATOS!$I9161="","",IFERROR(VLOOKUP(DATOS!$I9161,CONFIG_ASIGNATURAS!$B$2:$J$91,9,FALSE()),""))</f>
      </c>
    </row>
    <row r="9162">
      <c r="F9162">
        <f>IF(DATOS!$A9162="","",DATOS!$A9162&amp;"|"&amp;DATOS!$D9162&amp;"|"&amp;DATOS!$E9162&amp;"|"&amp;DATOS!$I9162)</f>
      </c>
      <c r="G9162">
        <f>IF(DATOS!$A9162="",0,IF(CONFIG_METADATA!$B$4&lt;&gt;"OR+EX",--(DATOS!$G9162=CONFIG_METADATA!$B$4),IF(DATOS!$G9162="EX",1,IF(DATOS!$G9162="OR",--(COUNTIFS(nNIA,DATOS!$A9162,nCURSO,DATOS!$D9162,nESPEC,DATOS!$E9162,nASIG,DATOS!$I9162,nEVAL,"EX")=0),0))))</f>
      </c>
      <c r="H9162">
        <f>IF(DATOS!$G9162&lt;&gt;"EX",0,--(COUNTIFS(nNIA,DATOS!$A9162,nCURSO,DATOS!$D9162,nESPEC,DATOS!$E9162,nASIG,DATOS!$I9162,nEVAL,"OR")=0))</f>
      </c>
      <c r="I9162">
        <f>IF(DATOS!$I9162="","",IFERROR(VLOOKUP(DATOS!$I9162,CONFIG_ASIGNATURAS!$B$2:$J$91,9,FALSE()),""))</f>
      </c>
    </row>
    <row r="9163">
      <c r="F9163">
        <f>IF(DATOS!$A9163="","",DATOS!$A9163&amp;"|"&amp;DATOS!$D9163&amp;"|"&amp;DATOS!$E9163&amp;"|"&amp;DATOS!$I9163)</f>
      </c>
      <c r="G9163">
        <f>IF(DATOS!$A9163="",0,IF(CONFIG_METADATA!$B$4&lt;&gt;"OR+EX",--(DATOS!$G9163=CONFIG_METADATA!$B$4),IF(DATOS!$G9163="EX",1,IF(DATOS!$G9163="OR",--(COUNTIFS(nNIA,DATOS!$A9163,nCURSO,DATOS!$D9163,nESPEC,DATOS!$E9163,nASIG,DATOS!$I9163,nEVAL,"EX")=0),0))))</f>
      </c>
      <c r="H9163">
        <f>IF(DATOS!$G9163&lt;&gt;"EX",0,--(COUNTIFS(nNIA,DATOS!$A9163,nCURSO,DATOS!$D9163,nESPEC,DATOS!$E9163,nASIG,DATOS!$I9163,nEVAL,"OR")=0))</f>
      </c>
      <c r="I9163">
        <f>IF(DATOS!$I9163="","",IFERROR(VLOOKUP(DATOS!$I9163,CONFIG_ASIGNATURAS!$B$2:$J$91,9,FALSE()),""))</f>
      </c>
    </row>
    <row r="9164">
      <c r="F9164">
        <f>IF(DATOS!$A9164="","",DATOS!$A9164&amp;"|"&amp;DATOS!$D9164&amp;"|"&amp;DATOS!$E9164&amp;"|"&amp;DATOS!$I9164)</f>
      </c>
      <c r="G9164">
        <f>IF(DATOS!$A9164="",0,IF(CONFIG_METADATA!$B$4&lt;&gt;"OR+EX",--(DATOS!$G9164=CONFIG_METADATA!$B$4),IF(DATOS!$G9164="EX",1,IF(DATOS!$G9164="OR",--(COUNTIFS(nNIA,DATOS!$A9164,nCURSO,DATOS!$D9164,nESPEC,DATOS!$E9164,nASIG,DATOS!$I9164,nEVAL,"EX")=0),0))))</f>
      </c>
      <c r="H9164">
        <f>IF(DATOS!$G9164&lt;&gt;"EX",0,--(COUNTIFS(nNIA,DATOS!$A9164,nCURSO,DATOS!$D9164,nESPEC,DATOS!$E9164,nASIG,DATOS!$I9164,nEVAL,"OR")=0))</f>
      </c>
      <c r="I9164">
        <f>IF(DATOS!$I9164="","",IFERROR(VLOOKUP(DATOS!$I9164,CONFIG_ASIGNATURAS!$B$2:$J$91,9,FALSE()),""))</f>
      </c>
    </row>
    <row r="9165">
      <c r="F9165">
        <f>IF(DATOS!$A9165="","",DATOS!$A9165&amp;"|"&amp;DATOS!$D9165&amp;"|"&amp;DATOS!$E9165&amp;"|"&amp;DATOS!$I9165)</f>
      </c>
      <c r="G9165">
        <f>IF(DATOS!$A9165="",0,IF(CONFIG_METADATA!$B$4&lt;&gt;"OR+EX",--(DATOS!$G9165=CONFIG_METADATA!$B$4),IF(DATOS!$G9165="EX",1,IF(DATOS!$G9165="OR",--(COUNTIFS(nNIA,DATOS!$A9165,nCURSO,DATOS!$D9165,nESPEC,DATOS!$E9165,nASIG,DATOS!$I9165,nEVAL,"EX")=0),0))))</f>
      </c>
      <c r="H9165">
        <f>IF(DATOS!$G9165&lt;&gt;"EX",0,--(COUNTIFS(nNIA,DATOS!$A9165,nCURSO,DATOS!$D9165,nESPEC,DATOS!$E9165,nASIG,DATOS!$I9165,nEVAL,"OR")=0))</f>
      </c>
      <c r="I9165">
        <f>IF(DATOS!$I9165="","",IFERROR(VLOOKUP(DATOS!$I9165,CONFIG_ASIGNATURAS!$B$2:$J$91,9,FALSE()),""))</f>
      </c>
    </row>
    <row r="9166">
      <c r="F9166">
        <f>IF(DATOS!$A9166="","",DATOS!$A9166&amp;"|"&amp;DATOS!$D9166&amp;"|"&amp;DATOS!$E9166&amp;"|"&amp;DATOS!$I9166)</f>
      </c>
      <c r="G9166">
        <f>IF(DATOS!$A9166="",0,IF(CONFIG_METADATA!$B$4&lt;&gt;"OR+EX",--(DATOS!$G9166=CONFIG_METADATA!$B$4),IF(DATOS!$G9166="EX",1,IF(DATOS!$G9166="OR",--(COUNTIFS(nNIA,DATOS!$A9166,nCURSO,DATOS!$D9166,nESPEC,DATOS!$E9166,nASIG,DATOS!$I9166,nEVAL,"EX")=0),0))))</f>
      </c>
      <c r="H9166">
        <f>IF(DATOS!$G9166&lt;&gt;"EX",0,--(COUNTIFS(nNIA,DATOS!$A9166,nCURSO,DATOS!$D9166,nESPEC,DATOS!$E9166,nASIG,DATOS!$I9166,nEVAL,"OR")=0))</f>
      </c>
      <c r="I9166">
        <f>IF(DATOS!$I9166="","",IFERROR(VLOOKUP(DATOS!$I9166,CONFIG_ASIGNATURAS!$B$2:$J$91,9,FALSE()),""))</f>
      </c>
    </row>
    <row r="9167">
      <c r="F9167">
        <f>IF(DATOS!$A9167="","",DATOS!$A9167&amp;"|"&amp;DATOS!$D9167&amp;"|"&amp;DATOS!$E9167&amp;"|"&amp;DATOS!$I9167)</f>
      </c>
      <c r="G9167">
        <f>IF(DATOS!$A9167="",0,IF(CONFIG_METADATA!$B$4&lt;&gt;"OR+EX",--(DATOS!$G9167=CONFIG_METADATA!$B$4),IF(DATOS!$G9167="EX",1,IF(DATOS!$G9167="OR",--(COUNTIFS(nNIA,DATOS!$A9167,nCURSO,DATOS!$D9167,nESPEC,DATOS!$E9167,nASIG,DATOS!$I9167,nEVAL,"EX")=0),0))))</f>
      </c>
      <c r="H9167">
        <f>IF(DATOS!$G9167&lt;&gt;"EX",0,--(COUNTIFS(nNIA,DATOS!$A9167,nCURSO,DATOS!$D9167,nESPEC,DATOS!$E9167,nASIG,DATOS!$I9167,nEVAL,"OR")=0))</f>
      </c>
      <c r="I9167">
        <f>IF(DATOS!$I9167="","",IFERROR(VLOOKUP(DATOS!$I9167,CONFIG_ASIGNATURAS!$B$2:$J$91,9,FALSE()),""))</f>
      </c>
    </row>
    <row r="9168">
      <c r="F9168">
        <f>IF(DATOS!$A9168="","",DATOS!$A9168&amp;"|"&amp;DATOS!$D9168&amp;"|"&amp;DATOS!$E9168&amp;"|"&amp;DATOS!$I9168)</f>
      </c>
      <c r="G9168">
        <f>IF(DATOS!$A9168="",0,IF(CONFIG_METADATA!$B$4&lt;&gt;"OR+EX",--(DATOS!$G9168=CONFIG_METADATA!$B$4),IF(DATOS!$G9168="EX",1,IF(DATOS!$G9168="OR",--(COUNTIFS(nNIA,DATOS!$A9168,nCURSO,DATOS!$D9168,nESPEC,DATOS!$E9168,nASIG,DATOS!$I9168,nEVAL,"EX")=0),0))))</f>
      </c>
      <c r="H9168">
        <f>IF(DATOS!$G9168&lt;&gt;"EX",0,--(COUNTIFS(nNIA,DATOS!$A9168,nCURSO,DATOS!$D9168,nESPEC,DATOS!$E9168,nASIG,DATOS!$I9168,nEVAL,"OR")=0))</f>
      </c>
      <c r="I9168">
        <f>IF(DATOS!$I9168="","",IFERROR(VLOOKUP(DATOS!$I9168,CONFIG_ASIGNATURAS!$B$2:$J$91,9,FALSE()),""))</f>
      </c>
    </row>
    <row r="9169">
      <c r="F9169">
        <f>IF(DATOS!$A9169="","",DATOS!$A9169&amp;"|"&amp;DATOS!$D9169&amp;"|"&amp;DATOS!$E9169&amp;"|"&amp;DATOS!$I9169)</f>
      </c>
      <c r="G9169">
        <f>IF(DATOS!$A9169="",0,IF(CONFIG_METADATA!$B$4&lt;&gt;"OR+EX",--(DATOS!$G9169=CONFIG_METADATA!$B$4),IF(DATOS!$G9169="EX",1,IF(DATOS!$G9169="OR",--(COUNTIFS(nNIA,DATOS!$A9169,nCURSO,DATOS!$D9169,nESPEC,DATOS!$E9169,nASIG,DATOS!$I9169,nEVAL,"EX")=0),0))))</f>
      </c>
      <c r="H9169">
        <f>IF(DATOS!$G9169&lt;&gt;"EX",0,--(COUNTIFS(nNIA,DATOS!$A9169,nCURSO,DATOS!$D9169,nESPEC,DATOS!$E9169,nASIG,DATOS!$I9169,nEVAL,"OR")=0))</f>
      </c>
      <c r="I9169">
        <f>IF(DATOS!$I9169="","",IFERROR(VLOOKUP(DATOS!$I9169,CONFIG_ASIGNATURAS!$B$2:$J$91,9,FALSE()),""))</f>
      </c>
    </row>
    <row r="9170">
      <c r="F9170">
        <f>IF(DATOS!$A9170="","",DATOS!$A9170&amp;"|"&amp;DATOS!$D9170&amp;"|"&amp;DATOS!$E9170&amp;"|"&amp;DATOS!$I9170)</f>
      </c>
      <c r="G9170">
        <f>IF(DATOS!$A9170="",0,IF(CONFIG_METADATA!$B$4&lt;&gt;"OR+EX",--(DATOS!$G9170=CONFIG_METADATA!$B$4),IF(DATOS!$G9170="EX",1,IF(DATOS!$G9170="OR",--(COUNTIFS(nNIA,DATOS!$A9170,nCURSO,DATOS!$D9170,nESPEC,DATOS!$E9170,nASIG,DATOS!$I9170,nEVAL,"EX")=0),0))))</f>
      </c>
      <c r="H9170">
        <f>IF(DATOS!$G9170&lt;&gt;"EX",0,--(COUNTIFS(nNIA,DATOS!$A9170,nCURSO,DATOS!$D9170,nESPEC,DATOS!$E9170,nASIG,DATOS!$I9170,nEVAL,"OR")=0))</f>
      </c>
      <c r="I9170">
        <f>IF(DATOS!$I9170="","",IFERROR(VLOOKUP(DATOS!$I9170,CONFIG_ASIGNATURAS!$B$2:$J$91,9,FALSE()),""))</f>
      </c>
    </row>
    <row r="9171">
      <c r="F9171">
        <f>IF(DATOS!$A9171="","",DATOS!$A9171&amp;"|"&amp;DATOS!$D9171&amp;"|"&amp;DATOS!$E9171&amp;"|"&amp;DATOS!$I9171)</f>
      </c>
      <c r="G9171">
        <f>IF(DATOS!$A9171="",0,IF(CONFIG_METADATA!$B$4&lt;&gt;"OR+EX",--(DATOS!$G9171=CONFIG_METADATA!$B$4),IF(DATOS!$G9171="EX",1,IF(DATOS!$G9171="OR",--(COUNTIFS(nNIA,DATOS!$A9171,nCURSO,DATOS!$D9171,nESPEC,DATOS!$E9171,nASIG,DATOS!$I9171,nEVAL,"EX")=0),0))))</f>
      </c>
      <c r="H9171">
        <f>IF(DATOS!$G9171&lt;&gt;"EX",0,--(COUNTIFS(nNIA,DATOS!$A9171,nCURSO,DATOS!$D9171,nESPEC,DATOS!$E9171,nASIG,DATOS!$I9171,nEVAL,"OR")=0))</f>
      </c>
      <c r="I9171">
        <f>IF(DATOS!$I9171="","",IFERROR(VLOOKUP(DATOS!$I9171,CONFIG_ASIGNATURAS!$B$2:$J$91,9,FALSE()),""))</f>
      </c>
    </row>
    <row r="9172">
      <c r="F9172">
        <f>IF(DATOS!$A9172="","",DATOS!$A9172&amp;"|"&amp;DATOS!$D9172&amp;"|"&amp;DATOS!$E9172&amp;"|"&amp;DATOS!$I9172)</f>
      </c>
      <c r="G9172">
        <f>IF(DATOS!$A9172="",0,IF(CONFIG_METADATA!$B$4&lt;&gt;"OR+EX",--(DATOS!$G9172=CONFIG_METADATA!$B$4),IF(DATOS!$G9172="EX",1,IF(DATOS!$G9172="OR",--(COUNTIFS(nNIA,DATOS!$A9172,nCURSO,DATOS!$D9172,nESPEC,DATOS!$E9172,nASIG,DATOS!$I9172,nEVAL,"EX")=0),0))))</f>
      </c>
      <c r="H9172">
        <f>IF(DATOS!$G9172&lt;&gt;"EX",0,--(COUNTIFS(nNIA,DATOS!$A9172,nCURSO,DATOS!$D9172,nESPEC,DATOS!$E9172,nASIG,DATOS!$I9172,nEVAL,"OR")=0))</f>
      </c>
      <c r="I9172">
        <f>IF(DATOS!$I9172="","",IFERROR(VLOOKUP(DATOS!$I9172,CONFIG_ASIGNATURAS!$B$2:$J$91,9,FALSE()),""))</f>
      </c>
    </row>
    <row r="9173">
      <c r="F9173">
        <f>IF(DATOS!$A9173="","",DATOS!$A9173&amp;"|"&amp;DATOS!$D9173&amp;"|"&amp;DATOS!$E9173&amp;"|"&amp;DATOS!$I9173)</f>
      </c>
      <c r="G9173">
        <f>IF(DATOS!$A9173="",0,IF(CONFIG_METADATA!$B$4&lt;&gt;"OR+EX",--(DATOS!$G9173=CONFIG_METADATA!$B$4),IF(DATOS!$G9173="EX",1,IF(DATOS!$G9173="OR",--(COUNTIFS(nNIA,DATOS!$A9173,nCURSO,DATOS!$D9173,nESPEC,DATOS!$E9173,nASIG,DATOS!$I9173,nEVAL,"EX")=0),0))))</f>
      </c>
      <c r="H9173">
        <f>IF(DATOS!$G9173&lt;&gt;"EX",0,--(COUNTIFS(nNIA,DATOS!$A9173,nCURSO,DATOS!$D9173,nESPEC,DATOS!$E9173,nASIG,DATOS!$I9173,nEVAL,"OR")=0))</f>
      </c>
      <c r="I9173">
        <f>IF(DATOS!$I9173="","",IFERROR(VLOOKUP(DATOS!$I9173,CONFIG_ASIGNATURAS!$B$2:$J$91,9,FALSE()),""))</f>
      </c>
    </row>
    <row r="9174">
      <c r="F9174">
        <f>IF(DATOS!$A9174="","",DATOS!$A9174&amp;"|"&amp;DATOS!$D9174&amp;"|"&amp;DATOS!$E9174&amp;"|"&amp;DATOS!$I9174)</f>
      </c>
      <c r="G9174">
        <f>IF(DATOS!$A9174="",0,IF(CONFIG_METADATA!$B$4&lt;&gt;"OR+EX",--(DATOS!$G9174=CONFIG_METADATA!$B$4),IF(DATOS!$G9174="EX",1,IF(DATOS!$G9174="OR",--(COUNTIFS(nNIA,DATOS!$A9174,nCURSO,DATOS!$D9174,nESPEC,DATOS!$E9174,nASIG,DATOS!$I9174,nEVAL,"EX")=0),0))))</f>
      </c>
      <c r="H9174">
        <f>IF(DATOS!$G9174&lt;&gt;"EX",0,--(COUNTIFS(nNIA,DATOS!$A9174,nCURSO,DATOS!$D9174,nESPEC,DATOS!$E9174,nASIG,DATOS!$I9174,nEVAL,"OR")=0))</f>
      </c>
      <c r="I9174">
        <f>IF(DATOS!$I9174="","",IFERROR(VLOOKUP(DATOS!$I9174,CONFIG_ASIGNATURAS!$B$2:$J$91,9,FALSE()),""))</f>
      </c>
    </row>
    <row r="9175">
      <c r="F9175">
        <f>IF(DATOS!$A9175="","",DATOS!$A9175&amp;"|"&amp;DATOS!$D9175&amp;"|"&amp;DATOS!$E9175&amp;"|"&amp;DATOS!$I9175)</f>
      </c>
      <c r="G9175">
        <f>IF(DATOS!$A9175="",0,IF(CONFIG_METADATA!$B$4&lt;&gt;"OR+EX",--(DATOS!$G9175=CONFIG_METADATA!$B$4),IF(DATOS!$G9175="EX",1,IF(DATOS!$G9175="OR",--(COUNTIFS(nNIA,DATOS!$A9175,nCURSO,DATOS!$D9175,nESPEC,DATOS!$E9175,nASIG,DATOS!$I9175,nEVAL,"EX")=0),0))))</f>
      </c>
      <c r="H9175">
        <f>IF(DATOS!$G9175&lt;&gt;"EX",0,--(COUNTIFS(nNIA,DATOS!$A9175,nCURSO,DATOS!$D9175,nESPEC,DATOS!$E9175,nASIG,DATOS!$I9175,nEVAL,"OR")=0))</f>
      </c>
      <c r="I9175">
        <f>IF(DATOS!$I9175="","",IFERROR(VLOOKUP(DATOS!$I9175,CONFIG_ASIGNATURAS!$B$2:$J$91,9,FALSE()),""))</f>
      </c>
    </row>
    <row r="9176">
      <c r="F9176">
        <f>IF(DATOS!$A9176="","",DATOS!$A9176&amp;"|"&amp;DATOS!$D9176&amp;"|"&amp;DATOS!$E9176&amp;"|"&amp;DATOS!$I9176)</f>
      </c>
      <c r="G9176">
        <f>IF(DATOS!$A9176="",0,IF(CONFIG_METADATA!$B$4&lt;&gt;"OR+EX",--(DATOS!$G9176=CONFIG_METADATA!$B$4),IF(DATOS!$G9176="EX",1,IF(DATOS!$G9176="OR",--(COUNTIFS(nNIA,DATOS!$A9176,nCURSO,DATOS!$D9176,nESPEC,DATOS!$E9176,nASIG,DATOS!$I9176,nEVAL,"EX")=0),0))))</f>
      </c>
      <c r="H9176">
        <f>IF(DATOS!$G9176&lt;&gt;"EX",0,--(COUNTIFS(nNIA,DATOS!$A9176,nCURSO,DATOS!$D9176,nESPEC,DATOS!$E9176,nASIG,DATOS!$I9176,nEVAL,"OR")=0))</f>
      </c>
      <c r="I9176">
        <f>IF(DATOS!$I9176="","",IFERROR(VLOOKUP(DATOS!$I9176,CONFIG_ASIGNATURAS!$B$2:$J$91,9,FALSE()),""))</f>
      </c>
    </row>
    <row r="9177">
      <c r="F9177">
        <f>IF(DATOS!$A9177="","",DATOS!$A9177&amp;"|"&amp;DATOS!$D9177&amp;"|"&amp;DATOS!$E9177&amp;"|"&amp;DATOS!$I9177)</f>
      </c>
      <c r="G9177">
        <f>IF(DATOS!$A9177="",0,IF(CONFIG_METADATA!$B$4&lt;&gt;"OR+EX",--(DATOS!$G9177=CONFIG_METADATA!$B$4),IF(DATOS!$G9177="EX",1,IF(DATOS!$G9177="OR",--(COUNTIFS(nNIA,DATOS!$A9177,nCURSO,DATOS!$D9177,nESPEC,DATOS!$E9177,nASIG,DATOS!$I9177,nEVAL,"EX")=0),0))))</f>
      </c>
      <c r="H9177">
        <f>IF(DATOS!$G9177&lt;&gt;"EX",0,--(COUNTIFS(nNIA,DATOS!$A9177,nCURSO,DATOS!$D9177,nESPEC,DATOS!$E9177,nASIG,DATOS!$I9177,nEVAL,"OR")=0))</f>
      </c>
      <c r="I9177">
        <f>IF(DATOS!$I9177="","",IFERROR(VLOOKUP(DATOS!$I9177,CONFIG_ASIGNATURAS!$B$2:$J$91,9,FALSE()),""))</f>
      </c>
    </row>
    <row r="9178">
      <c r="F9178">
        <f>IF(DATOS!$A9178="","",DATOS!$A9178&amp;"|"&amp;DATOS!$D9178&amp;"|"&amp;DATOS!$E9178&amp;"|"&amp;DATOS!$I9178)</f>
      </c>
      <c r="G9178">
        <f>IF(DATOS!$A9178="",0,IF(CONFIG_METADATA!$B$4&lt;&gt;"OR+EX",--(DATOS!$G9178=CONFIG_METADATA!$B$4),IF(DATOS!$G9178="EX",1,IF(DATOS!$G9178="OR",--(COUNTIFS(nNIA,DATOS!$A9178,nCURSO,DATOS!$D9178,nESPEC,DATOS!$E9178,nASIG,DATOS!$I9178,nEVAL,"EX")=0),0))))</f>
      </c>
      <c r="H9178">
        <f>IF(DATOS!$G9178&lt;&gt;"EX",0,--(COUNTIFS(nNIA,DATOS!$A9178,nCURSO,DATOS!$D9178,nESPEC,DATOS!$E9178,nASIG,DATOS!$I9178,nEVAL,"OR")=0))</f>
      </c>
      <c r="I9178">
        <f>IF(DATOS!$I9178="","",IFERROR(VLOOKUP(DATOS!$I9178,CONFIG_ASIGNATURAS!$B$2:$J$91,9,FALSE()),""))</f>
      </c>
    </row>
    <row r="9179">
      <c r="F9179">
        <f>IF(DATOS!$A9179="","",DATOS!$A9179&amp;"|"&amp;DATOS!$D9179&amp;"|"&amp;DATOS!$E9179&amp;"|"&amp;DATOS!$I9179)</f>
      </c>
      <c r="G9179">
        <f>IF(DATOS!$A9179="",0,IF(CONFIG_METADATA!$B$4&lt;&gt;"OR+EX",--(DATOS!$G9179=CONFIG_METADATA!$B$4),IF(DATOS!$G9179="EX",1,IF(DATOS!$G9179="OR",--(COUNTIFS(nNIA,DATOS!$A9179,nCURSO,DATOS!$D9179,nESPEC,DATOS!$E9179,nASIG,DATOS!$I9179,nEVAL,"EX")=0),0))))</f>
      </c>
      <c r="H9179">
        <f>IF(DATOS!$G9179&lt;&gt;"EX",0,--(COUNTIFS(nNIA,DATOS!$A9179,nCURSO,DATOS!$D9179,nESPEC,DATOS!$E9179,nASIG,DATOS!$I9179,nEVAL,"OR")=0))</f>
      </c>
      <c r="I9179">
        <f>IF(DATOS!$I9179="","",IFERROR(VLOOKUP(DATOS!$I9179,CONFIG_ASIGNATURAS!$B$2:$J$91,9,FALSE()),""))</f>
      </c>
    </row>
    <row r="9180">
      <c r="F9180">
        <f>IF(DATOS!$A9180="","",DATOS!$A9180&amp;"|"&amp;DATOS!$D9180&amp;"|"&amp;DATOS!$E9180&amp;"|"&amp;DATOS!$I9180)</f>
      </c>
      <c r="G9180">
        <f>IF(DATOS!$A9180="",0,IF(CONFIG_METADATA!$B$4&lt;&gt;"OR+EX",--(DATOS!$G9180=CONFIG_METADATA!$B$4),IF(DATOS!$G9180="EX",1,IF(DATOS!$G9180="OR",--(COUNTIFS(nNIA,DATOS!$A9180,nCURSO,DATOS!$D9180,nESPEC,DATOS!$E9180,nASIG,DATOS!$I9180,nEVAL,"EX")=0),0))))</f>
      </c>
      <c r="H9180">
        <f>IF(DATOS!$G9180&lt;&gt;"EX",0,--(COUNTIFS(nNIA,DATOS!$A9180,nCURSO,DATOS!$D9180,nESPEC,DATOS!$E9180,nASIG,DATOS!$I9180,nEVAL,"OR")=0))</f>
      </c>
      <c r="I9180">
        <f>IF(DATOS!$I9180="","",IFERROR(VLOOKUP(DATOS!$I9180,CONFIG_ASIGNATURAS!$B$2:$J$91,9,FALSE()),""))</f>
      </c>
    </row>
    <row r="9181">
      <c r="F9181">
        <f>IF(DATOS!$A9181="","",DATOS!$A9181&amp;"|"&amp;DATOS!$D9181&amp;"|"&amp;DATOS!$E9181&amp;"|"&amp;DATOS!$I9181)</f>
      </c>
      <c r="G9181">
        <f>IF(DATOS!$A9181="",0,IF(CONFIG_METADATA!$B$4&lt;&gt;"OR+EX",--(DATOS!$G9181=CONFIG_METADATA!$B$4),IF(DATOS!$G9181="EX",1,IF(DATOS!$G9181="OR",--(COUNTIFS(nNIA,DATOS!$A9181,nCURSO,DATOS!$D9181,nESPEC,DATOS!$E9181,nASIG,DATOS!$I9181,nEVAL,"EX")=0),0))))</f>
      </c>
      <c r="H9181">
        <f>IF(DATOS!$G9181&lt;&gt;"EX",0,--(COUNTIFS(nNIA,DATOS!$A9181,nCURSO,DATOS!$D9181,nESPEC,DATOS!$E9181,nASIG,DATOS!$I9181,nEVAL,"OR")=0))</f>
      </c>
      <c r="I9181">
        <f>IF(DATOS!$I9181="","",IFERROR(VLOOKUP(DATOS!$I9181,CONFIG_ASIGNATURAS!$B$2:$J$91,9,FALSE()),""))</f>
      </c>
    </row>
    <row r="9182">
      <c r="F9182">
        <f>IF(DATOS!$A9182="","",DATOS!$A9182&amp;"|"&amp;DATOS!$D9182&amp;"|"&amp;DATOS!$E9182&amp;"|"&amp;DATOS!$I9182)</f>
      </c>
      <c r="G9182">
        <f>IF(DATOS!$A9182="",0,IF(CONFIG_METADATA!$B$4&lt;&gt;"OR+EX",--(DATOS!$G9182=CONFIG_METADATA!$B$4),IF(DATOS!$G9182="EX",1,IF(DATOS!$G9182="OR",--(COUNTIFS(nNIA,DATOS!$A9182,nCURSO,DATOS!$D9182,nESPEC,DATOS!$E9182,nASIG,DATOS!$I9182,nEVAL,"EX")=0),0))))</f>
      </c>
      <c r="H9182">
        <f>IF(DATOS!$G9182&lt;&gt;"EX",0,--(COUNTIFS(nNIA,DATOS!$A9182,nCURSO,DATOS!$D9182,nESPEC,DATOS!$E9182,nASIG,DATOS!$I9182,nEVAL,"OR")=0))</f>
      </c>
      <c r="I9182">
        <f>IF(DATOS!$I9182="","",IFERROR(VLOOKUP(DATOS!$I9182,CONFIG_ASIGNATURAS!$B$2:$J$91,9,FALSE()),""))</f>
      </c>
    </row>
    <row r="9183">
      <c r="F9183">
        <f>IF(DATOS!$A9183="","",DATOS!$A9183&amp;"|"&amp;DATOS!$D9183&amp;"|"&amp;DATOS!$E9183&amp;"|"&amp;DATOS!$I9183)</f>
      </c>
      <c r="G9183">
        <f>IF(DATOS!$A9183="",0,IF(CONFIG_METADATA!$B$4&lt;&gt;"OR+EX",--(DATOS!$G9183=CONFIG_METADATA!$B$4),IF(DATOS!$G9183="EX",1,IF(DATOS!$G9183="OR",--(COUNTIFS(nNIA,DATOS!$A9183,nCURSO,DATOS!$D9183,nESPEC,DATOS!$E9183,nASIG,DATOS!$I9183,nEVAL,"EX")=0),0))))</f>
      </c>
      <c r="H9183">
        <f>IF(DATOS!$G9183&lt;&gt;"EX",0,--(COUNTIFS(nNIA,DATOS!$A9183,nCURSO,DATOS!$D9183,nESPEC,DATOS!$E9183,nASIG,DATOS!$I9183,nEVAL,"OR")=0))</f>
      </c>
      <c r="I9183">
        <f>IF(DATOS!$I9183="","",IFERROR(VLOOKUP(DATOS!$I9183,CONFIG_ASIGNATURAS!$B$2:$J$91,9,FALSE()),""))</f>
      </c>
    </row>
    <row r="9184">
      <c r="F9184">
        <f>IF(DATOS!$A9184="","",DATOS!$A9184&amp;"|"&amp;DATOS!$D9184&amp;"|"&amp;DATOS!$E9184&amp;"|"&amp;DATOS!$I9184)</f>
      </c>
      <c r="G9184">
        <f>IF(DATOS!$A9184="",0,IF(CONFIG_METADATA!$B$4&lt;&gt;"OR+EX",--(DATOS!$G9184=CONFIG_METADATA!$B$4),IF(DATOS!$G9184="EX",1,IF(DATOS!$G9184="OR",--(COUNTIFS(nNIA,DATOS!$A9184,nCURSO,DATOS!$D9184,nESPEC,DATOS!$E9184,nASIG,DATOS!$I9184,nEVAL,"EX")=0),0))))</f>
      </c>
      <c r="H9184">
        <f>IF(DATOS!$G9184&lt;&gt;"EX",0,--(COUNTIFS(nNIA,DATOS!$A9184,nCURSO,DATOS!$D9184,nESPEC,DATOS!$E9184,nASIG,DATOS!$I9184,nEVAL,"OR")=0))</f>
      </c>
      <c r="I9184">
        <f>IF(DATOS!$I9184="","",IFERROR(VLOOKUP(DATOS!$I9184,CONFIG_ASIGNATURAS!$B$2:$J$91,9,FALSE()),""))</f>
      </c>
    </row>
    <row r="9185">
      <c r="F9185">
        <f>IF(DATOS!$A9185="","",DATOS!$A9185&amp;"|"&amp;DATOS!$D9185&amp;"|"&amp;DATOS!$E9185&amp;"|"&amp;DATOS!$I9185)</f>
      </c>
      <c r="G9185">
        <f>IF(DATOS!$A9185="",0,IF(CONFIG_METADATA!$B$4&lt;&gt;"OR+EX",--(DATOS!$G9185=CONFIG_METADATA!$B$4),IF(DATOS!$G9185="EX",1,IF(DATOS!$G9185="OR",--(COUNTIFS(nNIA,DATOS!$A9185,nCURSO,DATOS!$D9185,nESPEC,DATOS!$E9185,nASIG,DATOS!$I9185,nEVAL,"EX")=0),0))))</f>
      </c>
      <c r="H9185">
        <f>IF(DATOS!$G9185&lt;&gt;"EX",0,--(COUNTIFS(nNIA,DATOS!$A9185,nCURSO,DATOS!$D9185,nESPEC,DATOS!$E9185,nASIG,DATOS!$I9185,nEVAL,"OR")=0))</f>
      </c>
      <c r="I9185">
        <f>IF(DATOS!$I9185="","",IFERROR(VLOOKUP(DATOS!$I9185,CONFIG_ASIGNATURAS!$B$2:$J$91,9,FALSE()),""))</f>
      </c>
    </row>
    <row r="9186">
      <c r="F9186">
        <f>IF(DATOS!$A9186="","",DATOS!$A9186&amp;"|"&amp;DATOS!$D9186&amp;"|"&amp;DATOS!$E9186&amp;"|"&amp;DATOS!$I9186)</f>
      </c>
      <c r="G9186">
        <f>IF(DATOS!$A9186="",0,IF(CONFIG_METADATA!$B$4&lt;&gt;"OR+EX",--(DATOS!$G9186=CONFIG_METADATA!$B$4),IF(DATOS!$G9186="EX",1,IF(DATOS!$G9186="OR",--(COUNTIFS(nNIA,DATOS!$A9186,nCURSO,DATOS!$D9186,nESPEC,DATOS!$E9186,nASIG,DATOS!$I9186,nEVAL,"EX")=0),0))))</f>
      </c>
      <c r="H9186">
        <f>IF(DATOS!$G9186&lt;&gt;"EX",0,--(COUNTIFS(nNIA,DATOS!$A9186,nCURSO,DATOS!$D9186,nESPEC,DATOS!$E9186,nASIG,DATOS!$I9186,nEVAL,"OR")=0))</f>
      </c>
      <c r="I9186">
        <f>IF(DATOS!$I9186="","",IFERROR(VLOOKUP(DATOS!$I9186,CONFIG_ASIGNATURAS!$B$2:$J$91,9,FALSE()),""))</f>
      </c>
    </row>
    <row r="9187">
      <c r="F9187">
        <f>IF(DATOS!$A9187="","",DATOS!$A9187&amp;"|"&amp;DATOS!$D9187&amp;"|"&amp;DATOS!$E9187&amp;"|"&amp;DATOS!$I9187)</f>
      </c>
      <c r="G9187">
        <f>IF(DATOS!$A9187="",0,IF(CONFIG_METADATA!$B$4&lt;&gt;"OR+EX",--(DATOS!$G9187=CONFIG_METADATA!$B$4),IF(DATOS!$G9187="EX",1,IF(DATOS!$G9187="OR",--(COUNTIFS(nNIA,DATOS!$A9187,nCURSO,DATOS!$D9187,nESPEC,DATOS!$E9187,nASIG,DATOS!$I9187,nEVAL,"EX")=0),0))))</f>
      </c>
      <c r="H9187">
        <f>IF(DATOS!$G9187&lt;&gt;"EX",0,--(COUNTIFS(nNIA,DATOS!$A9187,nCURSO,DATOS!$D9187,nESPEC,DATOS!$E9187,nASIG,DATOS!$I9187,nEVAL,"OR")=0))</f>
      </c>
      <c r="I9187">
        <f>IF(DATOS!$I9187="","",IFERROR(VLOOKUP(DATOS!$I9187,CONFIG_ASIGNATURAS!$B$2:$J$91,9,FALSE()),""))</f>
      </c>
    </row>
    <row r="9188">
      <c r="F9188">
        <f>IF(DATOS!$A9188="","",DATOS!$A9188&amp;"|"&amp;DATOS!$D9188&amp;"|"&amp;DATOS!$E9188&amp;"|"&amp;DATOS!$I9188)</f>
      </c>
      <c r="G9188">
        <f>IF(DATOS!$A9188="",0,IF(CONFIG_METADATA!$B$4&lt;&gt;"OR+EX",--(DATOS!$G9188=CONFIG_METADATA!$B$4),IF(DATOS!$G9188="EX",1,IF(DATOS!$G9188="OR",--(COUNTIFS(nNIA,DATOS!$A9188,nCURSO,DATOS!$D9188,nESPEC,DATOS!$E9188,nASIG,DATOS!$I9188,nEVAL,"EX")=0),0))))</f>
      </c>
      <c r="H9188">
        <f>IF(DATOS!$G9188&lt;&gt;"EX",0,--(COUNTIFS(nNIA,DATOS!$A9188,nCURSO,DATOS!$D9188,nESPEC,DATOS!$E9188,nASIG,DATOS!$I9188,nEVAL,"OR")=0))</f>
      </c>
      <c r="I9188">
        <f>IF(DATOS!$I9188="","",IFERROR(VLOOKUP(DATOS!$I9188,CONFIG_ASIGNATURAS!$B$2:$J$91,9,FALSE()),""))</f>
      </c>
    </row>
    <row r="9189">
      <c r="F9189">
        <f>IF(DATOS!$A9189="","",DATOS!$A9189&amp;"|"&amp;DATOS!$D9189&amp;"|"&amp;DATOS!$E9189&amp;"|"&amp;DATOS!$I9189)</f>
      </c>
      <c r="G9189">
        <f>IF(DATOS!$A9189="",0,IF(CONFIG_METADATA!$B$4&lt;&gt;"OR+EX",--(DATOS!$G9189=CONFIG_METADATA!$B$4),IF(DATOS!$G9189="EX",1,IF(DATOS!$G9189="OR",--(COUNTIFS(nNIA,DATOS!$A9189,nCURSO,DATOS!$D9189,nESPEC,DATOS!$E9189,nASIG,DATOS!$I9189,nEVAL,"EX")=0),0))))</f>
      </c>
      <c r="H9189">
        <f>IF(DATOS!$G9189&lt;&gt;"EX",0,--(COUNTIFS(nNIA,DATOS!$A9189,nCURSO,DATOS!$D9189,nESPEC,DATOS!$E9189,nASIG,DATOS!$I9189,nEVAL,"OR")=0))</f>
      </c>
      <c r="I9189">
        <f>IF(DATOS!$I9189="","",IFERROR(VLOOKUP(DATOS!$I9189,CONFIG_ASIGNATURAS!$B$2:$J$91,9,FALSE()),""))</f>
      </c>
    </row>
    <row r="9190">
      <c r="F9190">
        <f>IF(DATOS!$A9190="","",DATOS!$A9190&amp;"|"&amp;DATOS!$D9190&amp;"|"&amp;DATOS!$E9190&amp;"|"&amp;DATOS!$I9190)</f>
      </c>
      <c r="G9190">
        <f>IF(DATOS!$A9190="",0,IF(CONFIG_METADATA!$B$4&lt;&gt;"OR+EX",--(DATOS!$G9190=CONFIG_METADATA!$B$4),IF(DATOS!$G9190="EX",1,IF(DATOS!$G9190="OR",--(COUNTIFS(nNIA,DATOS!$A9190,nCURSO,DATOS!$D9190,nESPEC,DATOS!$E9190,nASIG,DATOS!$I9190,nEVAL,"EX")=0),0))))</f>
      </c>
      <c r="H9190">
        <f>IF(DATOS!$G9190&lt;&gt;"EX",0,--(COUNTIFS(nNIA,DATOS!$A9190,nCURSO,DATOS!$D9190,nESPEC,DATOS!$E9190,nASIG,DATOS!$I9190,nEVAL,"OR")=0))</f>
      </c>
      <c r="I9190">
        <f>IF(DATOS!$I9190="","",IFERROR(VLOOKUP(DATOS!$I9190,CONFIG_ASIGNATURAS!$B$2:$J$91,9,FALSE()),""))</f>
      </c>
    </row>
    <row r="9191">
      <c r="F9191">
        <f>IF(DATOS!$A9191="","",DATOS!$A9191&amp;"|"&amp;DATOS!$D9191&amp;"|"&amp;DATOS!$E9191&amp;"|"&amp;DATOS!$I9191)</f>
      </c>
      <c r="G9191">
        <f>IF(DATOS!$A9191="",0,IF(CONFIG_METADATA!$B$4&lt;&gt;"OR+EX",--(DATOS!$G9191=CONFIG_METADATA!$B$4),IF(DATOS!$G9191="EX",1,IF(DATOS!$G9191="OR",--(COUNTIFS(nNIA,DATOS!$A9191,nCURSO,DATOS!$D9191,nESPEC,DATOS!$E9191,nASIG,DATOS!$I9191,nEVAL,"EX")=0),0))))</f>
      </c>
      <c r="H9191">
        <f>IF(DATOS!$G9191&lt;&gt;"EX",0,--(COUNTIFS(nNIA,DATOS!$A9191,nCURSO,DATOS!$D9191,nESPEC,DATOS!$E9191,nASIG,DATOS!$I9191,nEVAL,"OR")=0))</f>
      </c>
      <c r="I9191">
        <f>IF(DATOS!$I9191="","",IFERROR(VLOOKUP(DATOS!$I9191,CONFIG_ASIGNATURAS!$B$2:$J$91,9,FALSE()),""))</f>
      </c>
    </row>
    <row r="9192">
      <c r="F9192">
        <f>IF(DATOS!$A9192="","",DATOS!$A9192&amp;"|"&amp;DATOS!$D9192&amp;"|"&amp;DATOS!$E9192&amp;"|"&amp;DATOS!$I9192)</f>
      </c>
      <c r="G9192">
        <f>IF(DATOS!$A9192="",0,IF(CONFIG_METADATA!$B$4&lt;&gt;"OR+EX",--(DATOS!$G9192=CONFIG_METADATA!$B$4),IF(DATOS!$G9192="EX",1,IF(DATOS!$G9192="OR",--(COUNTIFS(nNIA,DATOS!$A9192,nCURSO,DATOS!$D9192,nESPEC,DATOS!$E9192,nASIG,DATOS!$I9192,nEVAL,"EX")=0),0))))</f>
      </c>
      <c r="H9192">
        <f>IF(DATOS!$G9192&lt;&gt;"EX",0,--(COUNTIFS(nNIA,DATOS!$A9192,nCURSO,DATOS!$D9192,nESPEC,DATOS!$E9192,nASIG,DATOS!$I9192,nEVAL,"OR")=0))</f>
      </c>
      <c r="I9192">
        <f>IF(DATOS!$I9192="","",IFERROR(VLOOKUP(DATOS!$I9192,CONFIG_ASIGNATURAS!$B$2:$J$91,9,FALSE()),""))</f>
      </c>
    </row>
    <row r="9193">
      <c r="F9193">
        <f>IF(DATOS!$A9193="","",DATOS!$A9193&amp;"|"&amp;DATOS!$D9193&amp;"|"&amp;DATOS!$E9193&amp;"|"&amp;DATOS!$I9193)</f>
      </c>
      <c r="G9193">
        <f>IF(DATOS!$A9193="",0,IF(CONFIG_METADATA!$B$4&lt;&gt;"OR+EX",--(DATOS!$G9193=CONFIG_METADATA!$B$4),IF(DATOS!$G9193="EX",1,IF(DATOS!$G9193="OR",--(COUNTIFS(nNIA,DATOS!$A9193,nCURSO,DATOS!$D9193,nESPEC,DATOS!$E9193,nASIG,DATOS!$I9193,nEVAL,"EX")=0),0))))</f>
      </c>
      <c r="H9193">
        <f>IF(DATOS!$G9193&lt;&gt;"EX",0,--(COUNTIFS(nNIA,DATOS!$A9193,nCURSO,DATOS!$D9193,nESPEC,DATOS!$E9193,nASIG,DATOS!$I9193,nEVAL,"OR")=0))</f>
      </c>
      <c r="I9193">
        <f>IF(DATOS!$I9193="","",IFERROR(VLOOKUP(DATOS!$I9193,CONFIG_ASIGNATURAS!$B$2:$J$91,9,FALSE()),""))</f>
      </c>
    </row>
    <row r="9194">
      <c r="F9194">
        <f>IF(DATOS!$A9194="","",DATOS!$A9194&amp;"|"&amp;DATOS!$D9194&amp;"|"&amp;DATOS!$E9194&amp;"|"&amp;DATOS!$I9194)</f>
      </c>
      <c r="G9194">
        <f>IF(DATOS!$A9194="",0,IF(CONFIG_METADATA!$B$4&lt;&gt;"OR+EX",--(DATOS!$G9194=CONFIG_METADATA!$B$4),IF(DATOS!$G9194="EX",1,IF(DATOS!$G9194="OR",--(COUNTIFS(nNIA,DATOS!$A9194,nCURSO,DATOS!$D9194,nESPEC,DATOS!$E9194,nASIG,DATOS!$I9194,nEVAL,"EX")=0),0))))</f>
      </c>
      <c r="H9194">
        <f>IF(DATOS!$G9194&lt;&gt;"EX",0,--(COUNTIFS(nNIA,DATOS!$A9194,nCURSO,DATOS!$D9194,nESPEC,DATOS!$E9194,nASIG,DATOS!$I9194,nEVAL,"OR")=0))</f>
      </c>
      <c r="I9194">
        <f>IF(DATOS!$I9194="","",IFERROR(VLOOKUP(DATOS!$I9194,CONFIG_ASIGNATURAS!$B$2:$J$91,9,FALSE()),""))</f>
      </c>
    </row>
    <row r="9195">
      <c r="F9195">
        <f>IF(DATOS!$A9195="","",DATOS!$A9195&amp;"|"&amp;DATOS!$D9195&amp;"|"&amp;DATOS!$E9195&amp;"|"&amp;DATOS!$I9195)</f>
      </c>
      <c r="G9195">
        <f>IF(DATOS!$A9195="",0,IF(CONFIG_METADATA!$B$4&lt;&gt;"OR+EX",--(DATOS!$G9195=CONFIG_METADATA!$B$4),IF(DATOS!$G9195="EX",1,IF(DATOS!$G9195="OR",--(COUNTIFS(nNIA,DATOS!$A9195,nCURSO,DATOS!$D9195,nESPEC,DATOS!$E9195,nASIG,DATOS!$I9195,nEVAL,"EX")=0),0))))</f>
      </c>
      <c r="H9195">
        <f>IF(DATOS!$G9195&lt;&gt;"EX",0,--(COUNTIFS(nNIA,DATOS!$A9195,nCURSO,DATOS!$D9195,nESPEC,DATOS!$E9195,nASIG,DATOS!$I9195,nEVAL,"OR")=0))</f>
      </c>
      <c r="I9195">
        <f>IF(DATOS!$I9195="","",IFERROR(VLOOKUP(DATOS!$I9195,CONFIG_ASIGNATURAS!$B$2:$J$91,9,FALSE()),""))</f>
      </c>
    </row>
    <row r="9196">
      <c r="F9196">
        <f>IF(DATOS!$A9196="","",DATOS!$A9196&amp;"|"&amp;DATOS!$D9196&amp;"|"&amp;DATOS!$E9196&amp;"|"&amp;DATOS!$I9196)</f>
      </c>
      <c r="G9196">
        <f>IF(DATOS!$A9196="",0,IF(CONFIG_METADATA!$B$4&lt;&gt;"OR+EX",--(DATOS!$G9196=CONFIG_METADATA!$B$4),IF(DATOS!$G9196="EX",1,IF(DATOS!$G9196="OR",--(COUNTIFS(nNIA,DATOS!$A9196,nCURSO,DATOS!$D9196,nESPEC,DATOS!$E9196,nASIG,DATOS!$I9196,nEVAL,"EX")=0),0))))</f>
      </c>
      <c r="H9196">
        <f>IF(DATOS!$G9196&lt;&gt;"EX",0,--(COUNTIFS(nNIA,DATOS!$A9196,nCURSO,DATOS!$D9196,nESPEC,DATOS!$E9196,nASIG,DATOS!$I9196,nEVAL,"OR")=0))</f>
      </c>
      <c r="I9196">
        <f>IF(DATOS!$I9196="","",IFERROR(VLOOKUP(DATOS!$I9196,CONFIG_ASIGNATURAS!$B$2:$J$91,9,FALSE()),""))</f>
      </c>
    </row>
    <row r="9197">
      <c r="F9197">
        <f>IF(DATOS!$A9197="","",DATOS!$A9197&amp;"|"&amp;DATOS!$D9197&amp;"|"&amp;DATOS!$E9197&amp;"|"&amp;DATOS!$I9197)</f>
      </c>
      <c r="G9197">
        <f>IF(DATOS!$A9197="",0,IF(CONFIG_METADATA!$B$4&lt;&gt;"OR+EX",--(DATOS!$G9197=CONFIG_METADATA!$B$4),IF(DATOS!$G9197="EX",1,IF(DATOS!$G9197="OR",--(COUNTIFS(nNIA,DATOS!$A9197,nCURSO,DATOS!$D9197,nESPEC,DATOS!$E9197,nASIG,DATOS!$I9197,nEVAL,"EX")=0),0))))</f>
      </c>
      <c r="H9197">
        <f>IF(DATOS!$G9197&lt;&gt;"EX",0,--(COUNTIFS(nNIA,DATOS!$A9197,nCURSO,DATOS!$D9197,nESPEC,DATOS!$E9197,nASIG,DATOS!$I9197,nEVAL,"OR")=0))</f>
      </c>
      <c r="I9197">
        <f>IF(DATOS!$I9197="","",IFERROR(VLOOKUP(DATOS!$I9197,CONFIG_ASIGNATURAS!$B$2:$J$91,9,FALSE()),""))</f>
      </c>
    </row>
    <row r="9198">
      <c r="F9198">
        <f>IF(DATOS!$A9198="","",DATOS!$A9198&amp;"|"&amp;DATOS!$D9198&amp;"|"&amp;DATOS!$E9198&amp;"|"&amp;DATOS!$I9198)</f>
      </c>
      <c r="G9198">
        <f>IF(DATOS!$A9198="",0,IF(CONFIG_METADATA!$B$4&lt;&gt;"OR+EX",--(DATOS!$G9198=CONFIG_METADATA!$B$4),IF(DATOS!$G9198="EX",1,IF(DATOS!$G9198="OR",--(COUNTIFS(nNIA,DATOS!$A9198,nCURSO,DATOS!$D9198,nESPEC,DATOS!$E9198,nASIG,DATOS!$I9198,nEVAL,"EX")=0),0))))</f>
      </c>
      <c r="H9198">
        <f>IF(DATOS!$G9198&lt;&gt;"EX",0,--(COUNTIFS(nNIA,DATOS!$A9198,nCURSO,DATOS!$D9198,nESPEC,DATOS!$E9198,nASIG,DATOS!$I9198,nEVAL,"OR")=0))</f>
      </c>
      <c r="I9198">
        <f>IF(DATOS!$I9198="","",IFERROR(VLOOKUP(DATOS!$I9198,CONFIG_ASIGNATURAS!$B$2:$J$91,9,FALSE()),""))</f>
      </c>
    </row>
    <row r="9199">
      <c r="F9199">
        <f>IF(DATOS!$A9199="","",DATOS!$A9199&amp;"|"&amp;DATOS!$D9199&amp;"|"&amp;DATOS!$E9199&amp;"|"&amp;DATOS!$I9199)</f>
      </c>
      <c r="G9199">
        <f>IF(DATOS!$A9199="",0,IF(CONFIG_METADATA!$B$4&lt;&gt;"OR+EX",--(DATOS!$G9199=CONFIG_METADATA!$B$4),IF(DATOS!$G9199="EX",1,IF(DATOS!$G9199="OR",--(COUNTIFS(nNIA,DATOS!$A9199,nCURSO,DATOS!$D9199,nESPEC,DATOS!$E9199,nASIG,DATOS!$I9199,nEVAL,"EX")=0),0))))</f>
      </c>
      <c r="H9199">
        <f>IF(DATOS!$G9199&lt;&gt;"EX",0,--(COUNTIFS(nNIA,DATOS!$A9199,nCURSO,DATOS!$D9199,nESPEC,DATOS!$E9199,nASIG,DATOS!$I9199,nEVAL,"OR")=0))</f>
      </c>
      <c r="I9199">
        <f>IF(DATOS!$I9199="","",IFERROR(VLOOKUP(DATOS!$I9199,CONFIG_ASIGNATURAS!$B$2:$J$91,9,FALSE()),""))</f>
      </c>
    </row>
    <row r="9200">
      <c r="F9200">
        <f>IF(DATOS!$A9200="","",DATOS!$A9200&amp;"|"&amp;DATOS!$D9200&amp;"|"&amp;DATOS!$E9200&amp;"|"&amp;DATOS!$I9200)</f>
      </c>
      <c r="G9200">
        <f>IF(DATOS!$A9200="",0,IF(CONFIG_METADATA!$B$4&lt;&gt;"OR+EX",--(DATOS!$G9200=CONFIG_METADATA!$B$4),IF(DATOS!$G9200="EX",1,IF(DATOS!$G9200="OR",--(COUNTIFS(nNIA,DATOS!$A9200,nCURSO,DATOS!$D9200,nESPEC,DATOS!$E9200,nASIG,DATOS!$I9200,nEVAL,"EX")=0),0))))</f>
      </c>
      <c r="H9200">
        <f>IF(DATOS!$G9200&lt;&gt;"EX",0,--(COUNTIFS(nNIA,DATOS!$A9200,nCURSO,DATOS!$D9200,nESPEC,DATOS!$E9200,nASIG,DATOS!$I9200,nEVAL,"OR")=0))</f>
      </c>
      <c r="I9200">
        <f>IF(DATOS!$I9200="","",IFERROR(VLOOKUP(DATOS!$I9200,CONFIG_ASIGNATURAS!$B$2:$J$91,9,FALSE()),""))</f>
      </c>
    </row>
    <row r="9201">
      <c r="F9201">
        <f>IF(DATOS!$A9201="","",DATOS!$A9201&amp;"|"&amp;DATOS!$D9201&amp;"|"&amp;DATOS!$E9201&amp;"|"&amp;DATOS!$I9201)</f>
      </c>
      <c r="G9201">
        <f>IF(DATOS!$A9201="",0,IF(CONFIG_METADATA!$B$4&lt;&gt;"OR+EX",--(DATOS!$G9201=CONFIG_METADATA!$B$4),IF(DATOS!$G9201="EX",1,IF(DATOS!$G9201="OR",--(COUNTIFS(nNIA,DATOS!$A9201,nCURSO,DATOS!$D9201,nESPEC,DATOS!$E9201,nASIG,DATOS!$I9201,nEVAL,"EX")=0),0))))</f>
      </c>
      <c r="H9201">
        <f>IF(DATOS!$G9201&lt;&gt;"EX",0,--(COUNTIFS(nNIA,DATOS!$A9201,nCURSO,DATOS!$D9201,nESPEC,DATOS!$E9201,nASIG,DATOS!$I9201,nEVAL,"OR")=0))</f>
      </c>
      <c r="I9201">
        <f>IF(DATOS!$I9201="","",IFERROR(VLOOKUP(DATOS!$I9201,CONFIG_ASIGNATURAS!$B$2:$J$91,9,FALSE()),""))</f>
      </c>
    </row>
    <row r="9202">
      <c r="F9202">
        <f>IF(DATOS!$A9202="","",DATOS!$A9202&amp;"|"&amp;DATOS!$D9202&amp;"|"&amp;DATOS!$E9202&amp;"|"&amp;DATOS!$I9202)</f>
      </c>
      <c r="G9202">
        <f>IF(DATOS!$A9202="",0,IF(CONFIG_METADATA!$B$4&lt;&gt;"OR+EX",--(DATOS!$G9202=CONFIG_METADATA!$B$4),IF(DATOS!$G9202="EX",1,IF(DATOS!$G9202="OR",--(COUNTIFS(nNIA,DATOS!$A9202,nCURSO,DATOS!$D9202,nESPEC,DATOS!$E9202,nASIG,DATOS!$I9202,nEVAL,"EX")=0),0))))</f>
      </c>
      <c r="H9202">
        <f>IF(DATOS!$G9202&lt;&gt;"EX",0,--(COUNTIFS(nNIA,DATOS!$A9202,nCURSO,DATOS!$D9202,nESPEC,DATOS!$E9202,nASIG,DATOS!$I9202,nEVAL,"OR")=0))</f>
      </c>
      <c r="I9202">
        <f>IF(DATOS!$I9202="","",IFERROR(VLOOKUP(DATOS!$I9202,CONFIG_ASIGNATURAS!$B$2:$J$91,9,FALSE()),""))</f>
      </c>
    </row>
    <row r="9203">
      <c r="F9203">
        <f>IF(DATOS!$A9203="","",DATOS!$A9203&amp;"|"&amp;DATOS!$D9203&amp;"|"&amp;DATOS!$E9203&amp;"|"&amp;DATOS!$I9203)</f>
      </c>
      <c r="G9203">
        <f>IF(DATOS!$A9203="",0,IF(CONFIG_METADATA!$B$4&lt;&gt;"OR+EX",--(DATOS!$G9203=CONFIG_METADATA!$B$4),IF(DATOS!$G9203="EX",1,IF(DATOS!$G9203="OR",--(COUNTIFS(nNIA,DATOS!$A9203,nCURSO,DATOS!$D9203,nESPEC,DATOS!$E9203,nASIG,DATOS!$I9203,nEVAL,"EX")=0),0))))</f>
      </c>
      <c r="H9203">
        <f>IF(DATOS!$G9203&lt;&gt;"EX",0,--(COUNTIFS(nNIA,DATOS!$A9203,nCURSO,DATOS!$D9203,nESPEC,DATOS!$E9203,nASIG,DATOS!$I9203,nEVAL,"OR")=0))</f>
      </c>
      <c r="I9203">
        <f>IF(DATOS!$I9203="","",IFERROR(VLOOKUP(DATOS!$I9203,CONFIG_ASIGNATURAS!$B$2:$J$91,9,FALSE()),""))</f>
      </c>
    </row>
    <row r="9204">
      <c r="F9204">
        <f>IF(DATOS!$A9204="","",DATOS!$A9204&amp;"|"&amp;DATOS!$D9204&amp;"|"&amp;DATOS!$E9204&amp;"|"&amp;DATOS!$I9204)</f>
      </c>
      <c r="G9204">
        <f>IF(DATOS!$A9204="",0,IF(CONFIG_METADATA!$B$4&lt;&gt;"OR+EX",--(DATOS!$G9204=CONFIG_METADATA!$B$4),IF(DATOS!$G9204="EX",1,IF(DATOS!$G9204="OR",--(COUNTIFS(nNIA,DATOS!$A9204,nCURSO,DATOS!$D9204,nESPEC,DATOS!$E9204,nASIG,DATOS!$I9204,nEVAL,"EX")=0),0))))</f>
      </c>
      <c r="H9204">
        <f>IF(DATOS!$G9204&lt;&gt;"EX",0,--(COUNTIFS(nNIA,DATOS!$A9204,nCURSO,DATOS!$D9204,nESPEC,DATOS!$E9204,nASIG,DATOS!$I9204,nEVAL,"OR")=0))</f>
      </c>
      <c r="I9204">
        <f>IF(DATOS!$I9204="","",IFERROR(VLOOKUP(DATOS!$I9204,CONFIG_ASIGNATURAS!$B$2:$J$91,9,FALSE()),""))</f>
      </c>
    </row>
    <row r="9205">
      <c r="F9205">
        <f>IF(DATOS!$A9205="","",DATOS!$A9205&amp;"|"&amp;DATOS!$D9205&amp;"|"&amp;DATOS!$E9205&amp;"|"&amp;DATOS!$I9205)</f>
      </c>
      <c r="G9205">
        <f>IF(DATOS!$A9205="",0,IF(CONFIG_METADATA!$B$4&lt;&gt;"OR+EX",--(DATOS!$G9205=CONFIG_METADATA!$B$4),IF(DATOS!$G9205="EX",1,IF(DATOS!$G9205="OR",--(COUNTIFS(nNIA,DATOS!$A9205,nCURSO,DATOS!$D9205,nESPEC,DATOS!$E9205,nASIG,DATOS!$I9205,nEVAL,"EX")=0),0))))</f>
      </c>
      <c r="H9205">
        <f>IF(DATOS!$G9205&lt;&gt;"EX",0,--(COUNTIFS(nNIA,DATOS!$A9205,nCURSO,DATOS!$D9205,nESPEC,DATOS!$E9205,nASIG,DATOS!$I9205,nEVAL,"OR")=0))</f>
      </c>
      <c r="I9205">
        <f>IF(DATOS!$I9205="","",IFERROR(VLOOKUP(DATOS!$I9205,CONFIG_ASIGNATURAS!$B$2:$J$91,9,FALSE()),""))</f>
      </c>
    </row>
    <row r="9206">
      <c r="F9206">
        <f>IF(DATOS!$A9206="","",DATOS!$A9206&amp;"|"&amp;DATOS!$D9206&amp;"|"&amp;DATOS!$E9206&amp;"|"&amp;DATOS!$I9206)</f>
      </c>
      <c r="G9206">
        <f>IF(DATOS!$A9206="",0,IF(CONFIG_METADATA!$B$4&lt;&gt;"OR+EX",--(DATOS!$G9206=CONFIG_METADATA!$B$4),IF(DATOS!$G9206="EX",1,IF(DATOS!$G9206="OR",--(COUNTIFS(nNIA,DATOS!$A9206,nCURSO,DATOS!$D9206,nESPEC,DATOS!$E9206,nASIG,DATOS!$I9206,nEVAL,"EX")=0),0))))</f>
      </c>
      <c r="H9206">
        <f>IF(DATOS!$G9206&lt;&gt;"EX",0,--(COUNTIFS(nNIA,DATOS!$A9206,nCURSO,DATOS!$D9206,nESPEC,DATOS!$E9206,nASIG,DATOS!$I9206,nEVAL,"OR")=0))</f>
      </c>
      <c r="I9206">
        <f>IF(DATOS!$I9206="","",IFERROR(VLOOKUP(DATOS!$I9206,CONFIG_ASIGNATURAS!$B$2:$J$91,9,FALSE()),""))</f>
      </c>
    </row>
    <row r="9207">
      <c r="F9207">
        <f>IF(DATOS!$A9207="","",DATOS!$A9207&amp;"|"&amp;DATOS!$D9207&amp;"|"&amp;DATOS!$E9207&amp;"|"&amp;DATOS!$I9207)</f>
      </c>
      <c r="G9207">
        <f>IF(DATOS!$A9207="",0,IF(CONFIG_METADATA!$B$4&lt;&gt;"OR+EX",--(DATOS!$G9207=CONFIG_METADATA!$B$4),IF(DATOS!$G9207="EX",1,IF(DATOS!$G9207="OR",--(COUNTIFS(nNIA,DATOS!$A9207,nCURSO,DATOS!$D9207,nESPEC,DATOS!$E9207,nASIG,DATOS!$I9207,nEVAL,"EX")=0),0))))</f>
      </c>
      <c r="H9207">
        <f>IF(DATOS!$G9207&lt;&gt;"EX",0,--(COUNTIFS(nNIA,DATOS!$A9207,nCURSO,DATOS!$D9207,nESPEC,DATOS!$E9207,nASIG,DATOS!$I9207,nEVAL,"OR")=0))</f>
      </c>
      <c r="I9207">
        <f>IF(DATOS!$I9207="","",IFERROR(VLOOKUP(DATOS!$I9207,CONFIG_ASIGNATURAS!$B$2:$J$91,9,FALSE()),""))</f>
      </c>
    </row>
    <row r="9208">
      <c r="F9208">
        <f>IF(DATOS!$A9208="","",DATOS!$A9208&amp;"|"&amp;DATOS!$D9208&amp;"|"&amp;DATOS!$E9208&amp;"|"&amp;DATOS!$I9208)</f>
      </c>
      <c r="G9208">
        <f>IF(DATOS!$A9208="",0,IF(CONFIG_METADATA!$B$4&lt;&gt;"OR+EX",--(DATOS!$G9208=CONFIG_METADATA!$B$4),IF(DATOS!$G9208="EX",1,IF(DATOS!$G9208="OR",--(COUNTIFS(nNIA,DATOS!$A9208,nCURSO,DATOS!$D9208,nESPEC,DATOS!$E9208,nASIG,DATOS!$I9208,nEVAL,"EX")=0),0))))</f>
      </c>
      <c r="H9208">
        <f>IF(DATOS!$G9208&lt;&gt;"EX",0,--(COUNTIFS(nNIA,DATOS!$A9208,nCURSO,DATOS!$D9208,nESPEC,DATOS!$E9208,nASIG,DATOS!$I9208,nEVAL,"OR")=0))</f>
      </c>
      <c r="I9208">
        <f>IF(DATOS!$I9208="","",IFERROR(VLOOKUP(DATOS!$I9208,CONFIG_ASIGNATURAS!$B$2:$J$91,9,FALSE()),""))</f>
      </c>
    </row>
    <row r="9209">
      <c r="F9209">
        <f>IF(DATOS!$A9209="","",DATOS!$A9209&amp;"|"&amp;DATOS!$D9209&amp;"|"&amp;DATOS!$E9209&amp;"|"&amp;DATOS!$I9209)</f>
      </c>
      <c r="G9209">
        <f>IF(DATOS!$A9209="",0,IF(CONFIG_METADATA!$B$4&lt;&gt;"OR+EX",--(DATOS!$G9209=CONFIG_METADATA!$B$4),IF(DATOS!$G9209="EX",1,IF(DATOS!$G9209="OR",--(COUNTIFS(nNIA,DATOS!$A9209,nCURSO,DATOS!$D9209,nESPEC,DATOS!$E9209,nASIG,DATOS!$I9209,nEVAL,"EX")=0),0))))</f>
      </c>
      <c r="H9209">
        <f>IF(DATOS!$G9209&lt;&gt;"EX",0,--(COUNTIFS(nNIA,DATOS!$A9209,nCURSO,DATOS!$D9209,nESPEC,DATOS!$E9209,nASIG,DATOS!$I9209,nEVAL,"OR")=0))</f>
      </c>
      <c r="I9209">
        <f>IF(DATOS!$I9209="","",IFERROR(VLOOKUP(DATOS!$I9209,CONFIG_ASIGNATURAS!$B$2:$J$91,9,FALSE()),""))</f>
      </c>
    </row>
    <row r="9210">
      <c r="F9210">
        <f>IF(DATOS!$A9210="","",DATOS!$A9210&amp;"|"&amp;DATOS!$D9210&amp;"|"&amp;DATOS!$E9210&amp;"|"&amp;DATOS!$I9210)</f>
      </c>
      <c r="G9210">
        <f>IF(DATOS!$A9210="",0,IF(CONFIG_METADATA!$B$4&lt;&gt;"OR+EX",--(DATOS!$G9210=CONFIG_METADATA!$B$4),IF(DATOS!$G9210="EX",1,IF(DATOS!$G9210="OR",--(COUNTIFS(nNIA,DATOS!$A9210,nCURSO,DATOS!$D9210,nESPEC,DATOS!$E9210,nASIG,DATOS!$I9210,nEVAL,"EX")=0),0))))</f>
      </c>
      <c r="H9210">
        <f>IF(DATOS!$G9210&lt;&gt;"EX",0,--(COUNTIFS(nNIA,DATOS!$A9210,nCURSO,DATOS!$D9210,nESPEC,DATOS!$E9210,nASIG,DATOS!$I9210,nEVAL,"OR")=0))</f>
      </c>
      <c r="I9210">
        <f>IF(DATOS!$I9210="","",IFERROR(VLOOKUP(DATOS!$I9210,CONFIG_ASIGNATURAS!$B$2:$J$91,9,FALSE()),""))</f>
      </c>
    </row>
    <row r="9211">
      <c r="F9211">
        <f>IF(DATOS!$A9211="","",DATOS!$A9211&amp;"|"&amp;DATOS!$D9211&amp;"|"&amp;DATOS!$E9211&amp;"|"&amp;DATOS!$I9211)</f>
      </c>
      <c r="G9211">
        <f>IF(DATOS!$A9211="",0,IF(CONFIG_METADATA!$B$4&lt;&gt;"OR+EX",--(DATOS!$G9211=CONFIG_METADATA!$B$4),IF(DATOS!$G9211="EX",1,IF(DATOS!$G9211="OR",--(COUNTIFS(nNIA,DATOS!$A9211,nCURSO,DATOS!$D9211,nESPEC,DATOS!$E9211,nASIG,DATOS!$I9211,nEVAL,"EX")=0),0))))</f>
      </c>
      <c r="H9211">
        <f>IF(DATOS!$G9211&lt;&gt;"EX",0,--(COUNTIFS(nNIA,DATOS!$A9211,nCURSO,DATOS!$D9211,nESPEC,DATOS!$E9211,nASIG,DATOS!$I9211,nEVAL,"OR")=0))</f>
      </c>
      <c r="I9211">
        <f>IF(DATOS!$I9211="","",IFERROR(VLOOKUP(DATOS!$I9211,CONFIG_ASIGNATURAS!$B$2:$J$91,9,FALSE()),""))</f>
      </c>
    </row>
    <row r="9212">
      <c r="F9212">
        <f>IF(DATOS!$A9212="","",DATOS!$A9212&amp;"|"&amp;DATOS!$D9212&amp;"|"&amp;DATOS!$E9212&amp;"|"&amp;DATOS!$I9212)</f>
      </c>
      <c r="G9212">
        <f>IF(DATOS!$A9212="",0,IF(CONFIG_METADATA!$B$4&lt;&gt;"OR+EX",--(DATOS!$G9212=CONFIG_METADATA!$B$4),IF(DATOS!$G9212="EX",1,IF(DATOS!$G9212="OR",--(COUNTIFS(nNIA,DATOS!$A9212,nCURSO,DATOS!$D9212,nESPEC,DATOS!$E9212,nASIG,DATOS!$I9212,nEVAL,"EX")=0),0))))</f>
      </c>
      <c r="H9212">
        <f>IF(DATOS!$G9212&lt;&gt;"EX",0,--(COUNTIFS(nNIA,DATOS!$A9212,nCURSO,DATOS!$D9212,nESPEC,DATOS!$E9212,nASIG,DATOS!$I9212,nEVAL,"OR")=0))</f>
      </c>
      <c r="I9212">
        <f>IF(DATOS!$I9212="","",IFERROR(VLOOKUP(DATOS!$I9212,CONFIG_ASIGNATURAS!$B$2:$J$91,9,FALSE()),""))</f>
      </c>
    </row>
    <row r="9213">
      <c r="F9213">
        <f>IF(DATOS!$A9213="","",DATOS!$A9213&amp;"|"&amp;DATOS!$D9213&amp;"|"&amp;DATOS!$E9213&amp;"|"&amp;DATOS!$I9213)</f>
      </c>
      <c r="G9213">
        <f>IF(DATOS!$A9213="",0,IF(CONFIG_METADATA!$B$4&lt;&gt;"OR+EX",--(DATOS!$G9213=CONFIG_METADATA!$B$4),IF(DATOS!$G9213="EX",1,IF(DATOS!$G9213="OR",--(COUNTIFS(nNIA,DATOS!$A9213,nCURSO,DATOS!$D9213,nESPEC,DATOS!$E9213,nASIG,DATOS!$I9213,nEVAL,"EX")=0),0))))</f>
      </c>
      <c r="H9213">
        <f>IF(DATOS!$G9213&lt;&gt;"EX",0,--(COUNTIFS(nNIA,DATOS!$A9213,nCURSO,DATOS!$D9213,nESPEC,DATOS!$E9213,nASIG,DATOS!$I9213,nEVAL,"OR")=0))</f>
      </c>
      <c r="I9213">
        <f>IF(DATOS!$I9213="","",IFERROR(VLOOKUP(DATOS!$I9213,CONFIG_ASIGNATURAS!$B$2:$J$91,9,FALSE()),""))</f>
      </c>
    </row>
    <row r="9214">
      <c r="F9214">
        <f>IF(DATOS!$A9214="","",DATOS!$A9214&amp;"|"&amp;DATOS!$D9214&amp;"|"&amp;DATOS!$E9214&amp;"|"&amp;DATOS!$I9214)</f>
      </c>
      <c r="G9214">
        <f>IF(DATOS!$A9214="",0,IF(CONFIG_METADATA!$B$4&lt;&gt;"OR+EX",--(DATOS!$G9214=CONFIG_METADATA!$B$4),IF(DATOS!$G9214="EX",1,IF(DATOS!$G9214="OR",--(COUNTIFS(nNIA,DATOS!$A9214,nCURSO,DATOS!$D9214,nESPEC,DATOS!$E9214,nASIG,DATOS!$I9214,nEVAL,"EX")=0),0))))</f>
      </c>
      <c r="H9214">
        <f>IF(DATOS!$G9214&lt;&gt;"EX",0,--(COUNTIFS(nNIA,DATOS!$A9214,nCURSO,DATOS!$D9214,nESPEC,DATOS!$E9214,nASIG,DATOS!$I9214,nEVAL,"OR")=0))</f>
      </c>
      <c r="I9214">
        <f>IF(DATOS!$I9214="","",IFERROR(VLOOKUP(DATOS!$I9214,CONFIG_ASIGNATURAS!$B$2:$J$91,9,FALSE()),""))</f>
      </c>
    </row>
    <row r="9215">
      <c r="F9215">
        <f>IF(DATOS!$A9215="","",DATOS!$A9215&amp;"|"&amp;DATOS!$D9215&amp;"|"&amp;DATOS!$E9215&amp;"|"&amp;DATOS!$I9215)</f>
      </c>
      <c r="G9215">
        <f>IF(DATOS!$A9215="",0,IF(CONFIG_METADATA!$B$4&lt;&gt;"OR+EX",--(DATOS!$G9215=CONFIG_METADATA!$B$4),IF(DATOS!$G9215="EX",1,IF(DATOS!$G9215="OR",--(COUNTIFS(nNIA,DATOS!$A9215,nCURSO,DATOS!$D9215,nESPEC,DATOS!$E9215,nASIG,DATOS!$I9215,nEVAL,"EX")=0),0))))</f>
      </c>
      <c r="H9215">
        <f>IF(DATOS!$G9215&lt;&gt;"EX",0,--(COUNTIFS(nNIA,DATOS!$A9215,nCURSO,DATOS!$D9215,nESPEC,DATOS!$E9215,nASIG,DATOS!$I9215,nEVAL,"OR")=0))</f>
      </c>
      <c r="I9215">
        <f>IF(DATOS!$I9215="","",IFERROR(VLOOKUP(DATOS!$I9215,CONFIG_ASIGNATURAS!$B$2:$J$91,9,FALSE()),""))</f>
      </c>
    </row>
    <row r="9216">
      <c r="F9216">
        <f>IF(DATOS!$A9216="","",DATOS!$A9216&amp;"|"&amp;DATOS!$D9216&amp;"|"&amp;DATOS!$E9216&amp;"|"&amp;DATOS!$I9216)</f>
      </c>
      <c r="G9216">
        <f>IF(DATOS!$A9216="",0,IF(CONFIG_METADATA!$B$4&lt;&gt;"OR+EX",--(DATOS!$G9216=CONFIG_METADATA!$B$4),IF(DATOS!$G9216="EX",1,IF(DATOS!$G9216="OR",--(COUNTIFS(nNIA,DATOS!$A9216,nCURSO,DATOS!$D9216,nESPEC,DATOS!$E9216,nASIG,DATOS!$I9216,nEVAL,"EX")=0),0))))</f>
      </c>
      <c r="H9216">
        <f>IF(DATOS!$G9216&lt;&gt;"EX",0,--(COUNTIFS(nNIA,DATOS!$A9216,nCURSO,DATOS!$D9216,nESPEC,DATOS!$E9216,nASIG,DATOS!$I9216,nEVAL,"OR")=0))</f>
      </c>
      <c r="I9216">
        <f>IF(DATOS!$I9216="","",IFERROR(VLOOKUP(DATOS!$I9216,CONFIG_ASIGNATURAS!$B$2:$J$91,9,FALSE()),""))</f>
      </c>
    </row>
    <row r="9217">
      <c r="F9217">
        <f>IF(DATOS!$A9217="","",DATOS!$A9217&amp;"|"&amp;DATOS!$D9217&amp;"|"&amp;DATOS!$E9217&amp;"|"&amp;DATOS!$I9217)</f>
      </c>
      <c r="G9217">
        <f>IF(DATOS!$A9217="",0,IF(CONFIG_METADATA!$B$4&lt;&gt;"OR+EX",--(DATOS!$G9217=CONFIG_METADATA!$B$4),IF(DATOS!$G9217="EX",1,IF(DATOS!$G9217="OR",--(COUNTIFS(nNIA,DATOS!$A9217,nCURSO,DATOS!$D9217,nESPEC,DATOS!$E9217,nASIG,DATOS!$I9217,nEVAL,"EX")=0),0))))</f>
      </c>
      <c r="H9217">
        <f>IF(DATOS!$G9217&lt;&gt;"EX",0,--(COUNTIFS(nNIA,DATOS!$A9217,nCURSO,DATOS!$D9217,nESPEC,DATOS!$E9217,nASIG,DATOS!$I9217,nEVAL,"OR")=0))</f>
      </c>
      <c r="I9217">
        <f>IF(DATOS!$I9217="","",IFERROR(VLOOKUP(DATOS!$I9217,CONFIG_ASIGNATURAS!$B$2:$J$91,9,FALSE()),""))</f>
      </c>
    </row>
    <row r="9218">
      <c r="F9218">
        <f>IF(DATOS!$A9218="","",DATOS!$A9218&amp;"|"&amp;DATOS!$D9218&amp;"|"&amp;DATOS!$E9218&amp;"|"&amp;DATOS!$I9218)</f>
      </c>
      <c r="G9218">
        <f>IF(DATOS!$A9218="",0,IF(CONFIG_METADATA!$B$4&lt;&gt;"OR+EX",--(DATOS!$G9218=CONFIG_METADATA!$B$4),IF(DATOS!$G9218="EX",1,IF(DATOS!$G9218="OR",--(COUNTIFS(nNIA,DATOS!$A9218,nCURSO,DATOS!$D9218,nESPEC,DATOS!$E9218,nASIG,DATOS!$I9218,nEVAL,"EX")=0),0))))</f>
      </c>
      <c r="H9218">
        <f>IF(DATOS!$G9218&lt;&gt;"EX",0,--(COUNTIFS(nNIA,DATOS!$A9218,nCURSO,DATOS!$D9218,nESPEC,DATOS!$E9218,nASIG,DATOS!$I9218,nEVAL,"OR")=0))</f>
      </c>
      <c r="I9218">
        <f>IF(DATOS!$I9218="","",IFERROR(VLOOKUP(DATOS!$I9218,CONFIG_ASIGNATURAS!$B$2:$J$91,9,FALSE()),""))</f>
      </c>
    </row>
    <row r="9219">
      <c r="F9219">
        <f>IF(DATOS!$A9219="","",DATOS!$A9219&amp;"|"&amp;DATOS!$D9219&amp;"|"&amp;DATOS!$E9219&amp;"|"&amp;DATOS!$I9219)</f>
      </c>
      <c r="G9219">
        <f>IF(DATOS!$A9219="",0,IF(CONFIG_METADATA!$B$4&lt;&gt;"OR+EX",--(DATOS!$G9219=CONFIG_METADATA!$B$4),IF(DATOS!$G9219="EX",1,IF(DATOS!$G9219="OR",--(COUNTIFS(nNIA,DATOS!$A9219,nCURSO,DATOS!$D9219,nESPEC,DATOS!$E9219,nASIG,DATOS!$I9219,nEVAL,"EX")=0),0))))</f>
      </c>
      <c r="H9219">
        <f>IF(DATOS!$G9219&lt;&gt;"EX",0,--(COUNTIFS(nNIA,DATOS!$A9219,nCURSO,DATOS!$D9219,nESPEC,DATOS!$E9219,nASIG,DATOS!$I9219,nEVAL,"OR")=0))</f>
      </c>
      <c r="I9219">
        <f>IF(DATOS!$I9219="","",IFERROR(VLOOKUP(DATOS!$I9219,CONFIG_ASIGNATURAS!$B$2:$J$91,9,FALSE()),""))</f>
      </c>
    </row>
    <row r="9220">
      <c r="F9220">
        <f>IF(DATOS!$A9220="","",DATOS!$A9220&amp;"|"&amp;DATOS!$D9220&amp;"|"&amp;DATOS!$E9220&amp;"|"&amp;DATOS!$I9220)</f>
      </c>
      <c r="G9220">
        <f>IF(DATOS!$A9220="",0,IF(CONFIG_METADATA!$B$4&lt;&gt;"OR+EX",--(DATOS!$G9220=CONFIG_METADATA!$B$4),IF(DATOS!$G9220="EX",1,IF(DATOS!$G9220="OR",--(COUNTIFS(nNIA,DATOS!$A9220,nCURSO,DATOS!$D9220,nESPEC,DATOS!$E9220,nASIG,DATOS!$I9220,nEVAL,"EX")=0),0))))</f>
      </c>
      <c r="H9220">
        <f>IF(DATOS!$G9220&lt;&gt;"EX",0,--(COUNTIFS(nNIA,DATOS!$A9220,nCURSO,DATOS!$D9220,nESPEC,DATOS!$E9220,nASIG,DATOS!$I9220,nEVAL,"OR")=0))</f>
      </c>
      <c r="I9220">
        <f>IF(DATOS!$I9220="","",IFERROR(VLOOKUP(DATOS!$I9220,CONFIG_ASIGNATURAS!$B$2:$J$91,9,FALSE()),""))</f>
      </c>
    </row>
    <row r="9221">
      <c r="F9221">
        <f>IF(DATOS!$A9221="","",DATOS!$A9221&amp;"|"&amp;DATOS!$D9221&amp;"|"&amp;DATOS!$E9221&amp;"|"&amp;DATOS!$I9221)</f>
      </c>
      <c r="G9221">
        <f>IF(DATOS!$A9221="",0,IF(CONFIG_METADATA!$B$4&lt;&gt;"OR+EX",--(DATOS!$G9221=CONFIG_METADATA!$B$4),IF(DATOS!$G9221="EX",1,IF(DATOS!$G9221="OR",--(COUNTIFS(nNIA,DATOS!$A9221,nCURSO,DATOS!$D9221,nESPEC,DATOS!$E9221,nASIG,DATOS!$I9221,nEVAL,"EX")=0),0))))</f>
      </c>
      <c r="H9221">
        <f>IF(DATOS!$G9221&lt;&gt;"EX",0,--(COUNTIFS(nNIA,DATOS!$A9221,nCURSO,DATOS!$D9221,nESPEC,DATOS!$E9221,nASIG,DATOS!$I9221,nEVAL,"OR")=0))</f>
      </c>
      <c r="I9221">
        <f>IF(DATOS!$I9221="","",IFERROR(VLOOKUP(DATOS!$I9221,CONFIG_ASIGNATURAS!$B$2:$J$91,9,FALSE()),""))</f>
      </c>
    </row>
    <row r="9222">
      <c r="F9222">
        <f>IF(DATOS!$A9222="","",DATOS!$A9222&amp;"|"&amp;DATOS!$D9222&amp;"|"&amp;DATOS!$E9222&amp;"|"&amp;DATOS!$I9222)</f>
      </c>
      <c r="G9222">
        <f>IF(DATOS!$A9222="",0,IF(CONFIG_METADATA!$B$4&lt;&gt;"OR+EX",--(DATOS!$G9222=CONFIG_METADATA!$B$4),IF(DATOS!$G9222="EX",1,IF(DATOS!$G9222="OR",--(COUNTIFS(nNIA,DATOS!$A9222,nCURSO,DATOS!$D9222,nESPEC,DATOS!$E9222,nASIG,DATOS!$I9222,nEVAL,"EX")=0),0))))</f>
      </c>
      <c r="H9222">
        <f>IF(DATOS!$G9222&lt;&gt;"EX",0,--(COUNTIFS(nNIA,DATOS!$A9222,nCURSO,DATOS!$D9222,nESPEC,DATOS!$E9222,nASIG,DATOS!$I9222,nEVAL,"OR")=0))</f>
      </c>
      <c r="I9222">
        <f>IF(DATOS!$I9222="","",IFERROR(VLOOKUP(DATOS!$I9222,CONFIG_ASIGNATURAS!$B$2:$J$91,9,FALSE()),""))</f>
      </c>
    </row>
    <row r="9223">
      <c r="F9223">
        <f>IF(DATOS!$A9223="","",DATOS!$A9223&amp;"|"&amp;DATOS!$D9223&amp;"|"&amp;DATOS!$E9223&amp;"|"&amp;DATOS!$I9223)</f>
      </c>
      <c r="G9223">
        <f>IF(DATOS!$A9223="",0,IF(CONFIG_METADATA!$B$4&lt;&gt;"OR+EX",--(DATOS!$G9223=CONFIG_METADATA!$B$4),IF(DATOS!$G9223="EX",1,IF(DATOS!$G9223="OR",--(COUNTIFS(nNIA,DATOS!$A9223,nCURSO,DATOS!$D9223,nESPEC,DATOS!$E9223,nASIG,DATOS!$I9223,nEVAL,"EX")=0),0))))</f>
      </c>
      <c r="H9223">
        <f>IF(DATOS!$G9223&lt;&gt;"EX",0,--(COUNTIFS(nNIA,DATOS!$A9223,nCURSO,DATOS!$D9223,nESPEC,DATOS!$E9223,nASIG,DATOS!$I9223,nEVAL,"OR")=0))</f>
      </c>
      <c r="I9223">
        <f>IF(DATOS!$I9223="","",IFERROR(VLOOKUP(DATOS!$I9223,CONFIG_ASIGNATURAS!$B$2:$J$91,9,FALSE()),""))</f>
      </c>
    </row>
    <row r="9224">
      <c r="F9224">
        <f>IF(DATOS!$A9224="","",DATOS!$A9224&amp;"|"&amp;DATOS!$D9224&amp;"|"&amp;DATOS!$E9224&amp;"|"&amp;DATOS!$I9224)</f>
      </c>
      <c r="G9224">
        <f>IF(DATOS!$A9224="",0,IF(CONFIG_METADATA!$B$4&lt;&gt;"OR+EX",--(DATOS!$G9224=CONFIG_METADATA!$B$4),IF(DATOS!$G9224="EX",1,IF(DATOS!$G9224="OR",--(COUNTIFS(nNIA,DATOS!$A9224,nCURSO,DATOS!$D9224,nESPEC,DATOS!$E9224,nASIG,DATOS!$I9224,nEVAL,"EX")=0),0))))</f>
      </c>
      <c r="H9224">
        <f>IF(DATOS!$G9224&lt;&gt;"EX",0,--(COUNTIFS(nNIA,DATOS!$A9224,nCURSO,DATOS!$D9224,nESPEC,DATOS!$E9224,nASIG,DATOS!$I9224,nEVAL,"OR")=0))</f>
      </c>
      <c r="I9224">
        <f>IF(DATOS!$I9224="","",IFERROR(VLOOKUP(DATOS!$I9224,CONFIG_ASIGNATURAS!$B$2:$J$91,9,FALSE()),""))</f>
      </c>
    </row>
    <row r="9225">
      <c r="F9225">
        <f>IF(DATOS!$A9225="","",DATOS!$A9225&amp;"|"&amp;DATOS!$D9225&amp;"|"&amp;DATOS!$E9225&amp;"|"&amp;DATOS!$I9225)</f>
      </c>
      <c r="G9225">
        <f>IF(DATOS!$A9225="",0,IF(CONFIG_METADATA!$B$4&lt;&gt;"OR+EX",--(DATOS!$G9225=CONFIG_METADATA!$B$4),IF(DATOS!$G9225="EX",1,IF(DATOS!$G9225="OR",--(COUNTIFS(nNIA,DATOS!$A9225,nCURSO,DATOS!$D9225,nESPEC,DATOS!$E9225,nASIG,DATOS!$I9225,nEVAL,"EX")=0),0))))</f>
      </c>
      <c r="H9225">
        <f>IF(DATOS!$G9225&lt;&gt;"EX",0,--(COUNTIFS(nNIA,DATOS!$A9225,nCURSO,DATOS!$D9225,nESPEC,DATOS!$E9225,nASIG,DATOS!$I9225,nEVAL,"OR")=0))</f>
      </c>
      <c r="I9225">
        <f>IF(DATOS!$I9225="","",IFERROR(VLOOKUP(DATOS!$I9225,CONFIG_ASIGNATURAS!$B$2:$J$91,9,FALSE()),""))</f>
      </c>
    </row>
    <row r="9226">
      <c r="F9226">
        <f>IF(DATOS!$A9226="","",DATOS!$A9226&amp;"|"&amp;DATOS!$D9226&amp;"|"&amp;DATOS!$E9226&amp;"|"&amp;DATOS!$I9226)</f>
      </c>
      <c r="G9226">
        <f>IF(DATOS!$A9226="",0,IF(CONFIG_METADATA!$B$4&lt;&gt;"OR+EX",--(DATOS!$G9226=CONFIG_METADATA!$B$4),IF(DATOS!$G9226="EX",1,IF(DATOS!$G9226="OR",--(COUNTIFS(nNIA,DATOS!$A9226,nCURSO,DATOS!$D9226,nESPEC,DATOS!$E9226,nASIG,DATOS!$I9226,nEVAL,"EX")=0),0))))</f>
      </c>
      <c r="H9226">
        <f>IF(DATOS!$G9226&lt;&gt;"EX",0,--(COUNTIFS(nNIA,DATOS!$A9226,nCURSO,DATOS!$D9226,nESPEC,DATOS!$E9226,nASIG,DATOS!$I9226,nEVAL,"OR")=0))</f>
      </c>
      <c r="I9226">
        <f>IF(DATOS!$I9226="","",IFERROR(VLOOKUP(DATOS!$I9226,CONFIG_ASIGNATURAS!$B$2:$J$91,9,FALSE()),""))</f>
      </c>
    </row>
    <row r="9227">
      <c r="F9227">
        <f>IF(DATOS!$A9227="","",DATOS!$A9227&amp;"|"&amp;DATOS!$D9227&amp;"|"&amp;DATOS!$E9227&amp;"|"&amp;DATOS!$I9227)</f>
      </c>
      <c r="G9227">
        <f>IF(DATOS!$A9227="",0,IF(CONFIG_METADATA!$B$4&lt;&gt;"OR+EX",--(DATOS!$G9227=CONFIG_METADATA!$B$4),IF(DATOS!$G9227="EX",1,IF(DATOS!$G9227="OR",--(COUNTIFS(nNIA,DATOS!$A9227,nCURSO,DATOS!$D9227,nESPEC,DATOS!$E9227,nASIG,DATOS!$I9227,nEVAL,"EX")=0),0))))</f>
      </c>
      <c r="H9227">
        <f>IF(DATOS!$G9227&lt;&gt;"EX",0,--(COUNTIFS(nNIA,DATOS!$A9227,nCURSO,DATOS!$D9227,nESPEC,DATOS!$E9227,nASIG,DATOS!$I9227,nEVAL,"OR")=0))</f>
      </c>
      <c r="I9227">
        <f>IF(DATOS!$I9227="","",IFERROR(VLOOKUP(DATOS!$I9227,CONFIG_ASIGNATURAS!$B$2:$J$91,9,FALSE()),""))</f>
      </c>
    </row>
    <row r="9228">
      <c r="F9228">
        <f>IF(DATOS!$A9228="","",DATOS!$A9228&amp;"|"&amp;DATOS!$D9228&amp;"|"&amp;DATOS!$E9228&amp;"|"&amp;DATOS!$I9228)</f>
      </c>
      <c r="G9228">
        <f>IF(DATOS!$A9228="",0,IF(CONFIG_METADATA!$B$4&lt;&gt;"OR+EX",--(DATOS!$G9228=CONFIG_METADATA!$B$4),IF(DATOS!$G9228="EX",1,IF(DATOS!$G9228="OR",--(COUNTIFS(nNIA,DATOS!$A9228,nCURSO,DATOS!$D9228,nESPEC,DATOS!$E9228,nASIG,DATOS!$I9228,nEVAL,"EX")=0),0))))</f>
      </c>
      <c r="H9228">
        <f>IF(DATOS!$G9228&lt;&gt;"EX",0,--(COUNTIFS(nNIA,DATOS!$A9228,nCURSO,DATOS!$D9228,nESPEC,DATOS!$E9228,nASIG,DATOS!$I9228,nEVAL,"OR")=0))</f>
      </c>
      <c r="I9228">
        <f>IF(DATOS!$I9228="","",IFERROR(VLOOKUP(DATOS!$I9228,CONFIG_ASIGNATURAS!$B$2:$J$91,9,FALSE()),""))</f>
      </c>
    </row>
    <row r="9229">
      <c r="F9229">
        <f>IF(DATOS!$A9229="","",DATOS!$A9229&amp;"|"&amp;DATOS!$D9229&amp;"|"&amp;DATOS!$E9229&amp;"|"&amp;DATOS!$I9229)</f>
      </c>
      <c r="G9229">
        <f>IF(DATOS!$A9229="",0,IF(CONFIG_METADATA!$B$4&lt;&gt;"OR+EX",--(DATOS!$G9229=CONFIG_METADATA!$B$4),IF(DATOS!$G9229="EX",1,IF(DATOS!$G9229="OR",--(COUNTIFS(nNIA,DATOS!$A9229,nCURSO,DATOS!$D9229,nESPEC,DATOS!$E9229,nASIG,DATOS!$I9229,nEVAL,"EX")=0),0))))</f>
      </c>
      <c r="H9229">
        <f>IF(DATOS!$G9229&lt;&gt;"EX",0,--(COUNTIFS(nNIA,DATOS!$A9229,nCURSO,DATOS!$D9229,nESPEC,DATOS!$E9229,nASIG,DATOS!$I9229,nEVAL,"OR")=0))</f>
      </c>
      <c r="I9229">
        <f>IF(DATOS!$I9229="","",IFERROR(VLOOKUP(DATOS!$I9229,CONFIG_ASIGNATURAS!$B$2:$J$91,9,FALSE()),""))</f>
      </c>
    </row>
    <row r="9230">
      <c r="F9230">
        <f>IF(DATOS!$A9230="","",DATOS!$A9230&amp;"|"&amp;DATOS!$D9230&amp;"|"&amp;DATOS!$E9230&amp;"|"&amp;DATOS!$I9230)</f>
      </c>
      <c r="G9230">
        <f>IF(DATOS!$A9230="",0,IF(CONFIG_METADATA!$B$4&lt;&gt;"OR+EX",--(DATOS!$G9230=CONFIG_METADATA!$B$4),IF(DATOS!$G9230="EX",1,IF(DATOS!$G9230="OR",--(COUNTIFS(nNIA,DATOS!$A9230,nCURSO,DATOS!$D9230,nESPEC,DATOS!$E9230,nASIG,DATOS!$I9230,nEVAL,"EX")=0),0))))</f>
      </c>
      <c r="H9230">
        <f>IF(DATOS!$G9230&lt;&gt;"EX",0,--(COUNTIFS(nNIA,DATOS!$A9230,nCURSO,DATOS!$D9230,nESPEC,DATOS!$E9230,nASIG,DATOS!$I9230,nEVAL,"OR")=0))</f>
      </c>
      <c r="I9230">
        <f>IF(DATOS!$I9230="","",IFERROR(VLOOKUP(DATOS!$I9230,CONFIG_ASIGNATURAS!$B$2:$J$91,9,FALSE()),""))</f>
      </c>
    </row>
    <row r="9231">
      <c r="F9231">
        <f>IF(DATOS!$A9231="","",DATOS!$A9231&amp;"|"&amp;DATOS!$D9231&amp;"|"&amp;DATOS!$E9231&amp;"|"&amp;DATOS!$I9231)</f>
      </c>
      <c r="G9231">
        <f>IF(DATOS!$A9231="",0,IF(CONFIG_METADATA!$B$4&lt;&gt;"OR+EX",--(DATOS!$G9231=CONFIG_METADATA!$B$4),IF(DATOS!$G9231="EX",1,IF(DATOS!$G9231="OR",--(COUNTIFS(nNIA,DATOS!$A9231,nCURSO,DATOS!$D9231,nESPEC,DATOS!$E9231,nASIG,DATOS!$I9231,nEVAL,"EX")=0),0))))</f>
      </c>
      <c r="H9231">
        <f>IF(DATOS!$G9231&lt;&gt;"EX",0,--(COUNTIFS(nNIA,DATOS!$A9231,nCURSO,DATOS!$D9231,nESPEC,DATOS!$E9231,nASIG,DATOS!$I9231,nEVAL,"OR")=0))</f>
      </c>
      <c r="I9231">
        <f>IF(DATOS!$I9231="","",IFERROR(VLOOKUP(DATOS!$I9231,CONFIG_ASIGNATURAS!$B$2:$J$91,9,FALSE()),""))</f>
      </c>
    </row>
    <row r="9232">
      <c r="F9232">
        <f>IF(DATOS!$A9232="","",DATOS!$A9232&amp;"|"&amp;DATOS!$D9232&amp;"|"&amp;DATOS!$E9232&amp;"|"&amp;DATOS!$I9232)</f>
      </c>
      <c r="G9232">
        <f>IF(DATOS!$A9232="",0,IF(CONFIG_METADATA!$B$4&lt;&gt;"OR+EX",--(DATOS!$G9232=CONFIG_METADATA!$B$4),IF(DATOS!$G9232="EX",1,IF(DATOS!$G9232="OR",--(COUNTIFS(nNIA,DATOS!$A9232,nCURSO,DATOS!$D9232,nESPEC,DATOS!$E9232,nASIG,DATOS!$I9232,nEVAL,"EX")=0),0))))</f>
      </c>
      <c r="H9232">
        <f>IF(DATOS!$G9232&lt;&gt;"EX",0,--(COUNTIFS(nNIA,DATOS!$A9232,nCURSO,DATOS!$D9232,nESPEC,DATOS!$E9232,nASIG,DATOS!$I9232,nEVAL,"OR")=0))</f>
      </c>
      <c r="I9232">
        <f>IF(DATOS!$I9232="","",IFERROR(VLOOKUP(DATOS!$I9232,CONFIG_ASIGNATURAS!$B$2:$J$91,9,FALSE()),""))</f>
      </c>
    </row>
    <row r="9233">
      <c r="F9233">
        <f>IF(DATOS!$A9233="","",DATOS!$A9233&amp;"|"&amp;DATOS!$D9233&amp;"|"&amp;DATOS!$E9233&amp;"|"&amp;DATOS!$I9233)</f>
      </c>
      <c r="G9233">
        <f>IF(DATOS!$A9233="",0,IF(CONFIG_METADATA!$B$4&lt;&gt;"OR+EX",--(DATOS!$G9233=CONFIG_METADATA!$B$4),IF(DATOS!$G9233="EX",1,IF(DATOS!$G9233="OR",--(COUNTIFS(nNIA,DATOS!$A9233,nCURSO,DATOS!$D9233,nESPEC,DATOS!$E9233,nASIG,DATOS!$I9233,nEVAL,"EX")=0),0))))</f>
      </c>
      <c r="H9233">
        <f>IF(DATOS!$G9233&lt;&gt;"EX",0,--(COUNTIFS(nNIA,DATOS!$A9233,nCURSO,DATOS!$D9233,nESPEC,DATOS!$E9233,nASIG,DATOS!$I9233,nEVAL,"OR")=0))</f>
      </c>
      <c r="I9233">
        <f>IF(DATOS!$I9233="","",IFERROR(VLOOKUP(DATOS!$I9233,CONFIG_ASIGNATURAS!$B$2:$J$91,9,FALSE()),""))</f>
      </c>
    </row>
    <row r="9234">
      <c r="F9234">
        <f>IF(DATOS!$A9234="","",DATOS!$A9234&amp;"|"&amp;DATOS!$D9234&amp;"|"&amp;DATOS!$E9234&amp;"|"&amp;DATOS!$I9234)</f>
      </c>
      <c r="G9234">
        <f>IF(DATOS!$A9234="",0,IF(CONFIG_METADATA!$B$4&lt;&gt;"OR+EX",--(DATOS!$G9234=CONFIG_METADATA!$B$4),IF(DATOS!$G9234="EX",1,IF(DATOS!$G9234="OR",--(COUNTIFS(nNIA,DATOS!$A9234,nCURSO,DATOS!$D9234,nESPEC,DATOS!$E9234,nASIG,DATOS!$I9234,nEVAL,"EX")=0),0))))</f>
      </c>
      <c r="H9234">
        <f>IF(DATOS!$G9234&lt;&gt;"EX",0,--(COUNTIFS(nNIA,DATOS!$A9234,nCURSO,DATOS!$D9234,nESPEC,DATOS!$E9234,nASIG,DATOS!$I9234,nEVAL,"OR")=0))</f>
      </c>
      <c r="I9234">
        <f>IF(DATOS!$I9234="","",IFERROR(VLOOKUP(DATOS!$I9234,CONFIG_ASIGNATURAS!$B$2:$J$91,9,FALSE()),""))</f>
      </c>
    </row>
    <row r="9235">
      <c r="F9235">
        <f>IF(DATOS!$A9235="","",DATOS!$A9235&amp;"|"&amp;DATOS!$D9235&amp;"|"&amp;DATOS!$E9235&amp;"|"&amp;DATOS!$I9235)</f>
      </c>
      <c r="G9235">
        <f>IF(DATOS!$A9235="",0,IF(CONFIG_METADATA!$B$4&lt;&gt;"OR+EX",--(DATOS!$G9235=CONFIG_METADATA!$B$4),IF(DATOS!$G9235="EX",1,IF(DATOS!$G9235="OR",--(COUNTIFS(nNIA,DATOS!$A9235,nCURSO,DATOS!$D9235,nESPEC,DATOS!$E9235,nASIG,DATOS!$I9235,nEVAL,"EX")=0),0))))</f>
      </c>
      <c r="H9235">
        <f>IF(DATOS!$G9235&lt;&gt;"EX",0,--(COUNTIFS(nNIA,DATOS!$A9235,nCURSO,DATOS!$D9235,nESPEC,DATOS!$E9235,nASIG,DATOS!$I9235,nEVAL,"OR")=0))</f>
      </c>
      <c r="I9235">
        <f>IF(DATOS!$I9235="","",IFERROR(VLOOKUP(DATOS!$I9235,CONFIG_ASIGNATURAS!$B$2:$J$91,9,FALSE()),""))</f>
      </c>
    </row>
    <row r="9236">
      <c r="F9236">
        <f>IF(DATOS!$A9236="","",DATOS!$A9236&amp;"|"&amp;DATOS!$D9236&amp;"|"&amp;DATOS!$E9236&amp;"|"&amp;DATOS!$I9236)</f>
      </c>
      <c r="G9236">
        <f>IF(DATOS!$A9236="",0,IF(CONFIG_METADATA!$B$4&lt;&gt;"OR+EX",--(DATOS!$G9236=CONFIG_METADATA!$B$4),IF(DATOS!$G9236="EX",1,IF(DATOS!$G9236="OR",--(COUNTIFS(nNIA,DATOS!$A9236,nCURSO,DATOS!$D9236,nESPEC,DATOS!$E9236,nASIG,DATOS!$I9236,nEVAL,"EX")=0),0))))</f>
      </c>
      <c r="H9236">
        <f>IF(DATOS!$G9236&lt;&gt;"EX",0,--(COUNTIFS(nNIA,DATOS!$A9236,nCURSO,DATOS!$D9236,nESPEC,DATOS!$E9236,nASIG,DATOS!$I9236,nEVAL,"OR")=0))</f>
      </c>
      <c r="I9236">
        <f>IF(DATOS!$I9236="","",IFERROR(VLOOKUP(DATOS!$I9236,CONFIG_ASIGNATURAS!$B$2:$J$91,9,FALSE()),""))</f>
      </c>
    </row>
    <row r="9237">
      <c r="F9237">
        <f>IF(DATOS!$A9237="","",DATOS!$A9237&amp;"|"&amp;DATOS!$D9237&amp;"|"&amp;DATOS!$E9237&amp;"|"&amp;DATOS!$I9237)</f>
      </c>
      <c r="G9237">
        <f>IF(DATOS!$A9237="",0,IF(CONFIG_METADATA!$B$4&lt;&gt;"OR+EX",--(DATOS!$G9237=CONFIG_METADATA!$B$4),IF(DATOS!$G9237="EX",1,IF(DATOS!$G9237="OR",--(COUNTIFS(nNIA,DATOS!$A9237,nCURSO,DATOS!$D9237,nESPEC,DATOS!$E9237,nASIG,DATOS!$I9237,nEVAL,"EX")=0),0))))</f>
      </c>
      <c r="H9237">
        <f>IF(DATOS!$G9237&lt;&gt;"EX",0,--(COUNTIFS(nNIA,DATOS!$A9237,nCURSO,DATOS!$D9237,nESPEC,DATOS!$E9237,nASIG,DATOS!$I9237,nEVAL,"OR")=0))</f>
      </c>
      <c r="I9237">
        <f>IF(DATOS!$I9237="","",IFERROR(VLOOKUP(DATOS!$I9237,CONFIG_ASIGNATURAS!$B$2:$J$91,9,FALSE()),""))</f>
      </c>
    </row>
    <row r="9238">
      <c r="F9238">
        <f>IF(DATOS!$A9238="","",DATOS!$A9238&amp;"|"&amp;DATOS!$D9238&amp;"|"&amp;DATOS!$E9238&amp;"|"&amp;DATOS!$I9238)</f>
      </c>
      <c r="G9238">
        <f>IF(DATOS!$A9238="",0,IF(CONFIG_METADATA!$B$4&lt;&gt;"OR+EX",--(DATOS!$G9238=CONFIG_METADATA!$B$4),IF(DATOS!$G9238="EX",1,IF(DATOS!$G9238="OR",--(COUNTIFS(nNIA,DATOS!$A9238,nCURSO,DATOS!$D9238,nESPEC,DATOS!$E9238,nASIG,DATOS!$I9238,nEVAL,"EX")=0),0))))</f>
      </c>
      <c r="H9238">
        <f>IF(DATOS!$G9238&lt;&gt;"EX",0,--(COUNTIFS(nNIA,DATOS!$A9238,nCURSO,DATOS!$D9238,nESPEC,DATOS!$E9238,nASIG,DATOS!$I9238,nEVAL,"OR")=0))</f>
      </c>
      <c r="I9238">
        <f>IF(DATOS!$I9238="","",IFERROR(VLOOKUP(DATOS!$I9238,CONFIG_ASIGNATURAS!$B$2:$J$91,9,FALSE()),""))</f>
      </c>
    </row>
    <row r="9239">
      <c r="F9239">
        <f>IF(DATOS!$A9239="","",DATOS!$A9239&amp;"|"&amp;DATOS!$D9239&amp;"|"&amp;DATOS!$E9239&amp;"|"&amp;DATOS!$I9239)</f>
      </c>
      <c r="G9239">
        <f>IF(DATOS!$A9239="",0,IF(CONFIG_METADATA!$B$4&lt;&gt;"OR+EX",--(DATOS!$G9239=CONFIG_METADATA!$B$4),IF(DATOS!$G9239="EX",1,IF(DATOS!$G9239="OR",--(COUNTIFS(nNIA,DATOS!$A9239,nCURSO,DATOS!$D9239,nESPEC,DATOS!$E9239,nASIG,DATOS!$I9239,nEVAL,"EX")=0),0))))</f>
      </c>
      <c r="H9239">
        <f>IF(DATOS!$G9239&lt;&gt;"EX",0,--(COUNTIFS(nNIA,DATOS!$A9239,nCURSO,DATOS!$D9239,nESPEC,DATOS!$E9239,nASIG,DATOS!$I9239,nEVAL,"OR")=0))</f>
      </c>
      <c r="I9239">
        <f>IF(DATOS!$I9239="","",IFERROR(VLOOKUP(DATOS!$I9239,CONFIG_ASIGNATURAS!$B$2:$J$91,9,FALSE()),""))</f>
      </c>
    </row>
    <row r="9240">
      <c r="F9240">
        <f>IF(DATOS!$A9240="","",DATOS!$A9240&amp;"|"&amp;DATOS!$D9240&amp;"|"&amp;DATOS!$E9240&amp;"|"&amp;DATOS!$I9240)</f>
      </c>
      <c r="G9240">
        <f>IF(DATOS!$A9240="",0,IF(CONFIG_METADATA!$B$4&lt;&gt;"OR+EX",--(DATOS!$G9240=CONFIG_METADATA!$B$4),IF(DATOS!$G9240="EX",1,IF(DATOS!$G9240="OR",--(COUNTIFS(nNIA,DATOS!$A9240,nCURSO,DATOS!$D9240,nESPEC,DATOS!$E9240,nASIG,DATOS!$I9240,nEVAL,"EX")=0),0))))</f>
      </c>
      <c r="H9240">
        <f>IF(DATOS!$G9240&lt;&gt;"EX",0,--(COUNTIFS(nNIA,DATOS!$A9240,nCURSO,DATOS!$D9240,nESPEC,DATOS!$E9240,nASIG,DATOS!$I9240,nEVAL,"OR")=0))</f>
      </c>
      <c r="I9240">
        <f>IF(DATOS!$I9240="","",IFERROR(VLOOKUP(DATOS!$I9240,CONFIG_ASIGNATURAS!$B$2:$J$91,9,FALSE()),""))</f>
      </c>
    </row>
    <row r="9241">
      <c r="F9241">
        <f>IF(DATOS!$A9241="","",DATOS!$A9241&amp;"|"&amp;DATOS!$D9241&amp;"|"&amp;DATOS!$E9241&amp;"|"&amp;DATOS!$I9241)</f>
      </c>
      <c r="G9241">
        <f>IF(DATOS!$A9241="",0,IF(CONFIG_METADATA!$B$4&lt;&gt;"OR+EX",--(DATOS!$G9241=CONFIG_METADATA!$B$4),IF(DATOS!$G9241="EX",1,IF(DATOS!$G9241="OR",--(COUNTIFS(nNIA,DATOS!$A9241,nCURSO,DATOS!$D9241,nESPEC,DATOS!$E9241,nASIG,DATOS!$I9241,nEVAL,"EX")=0),0))))</f>
      </c>
      <c r="H9241">
        <f>IF(DATOS!$G9241&lt;&gt;"EX",0,--(COUNTIFS(nNIA,DATOS!$A9241,nCURSO,DATOS!$D9241,nESPEC,DATOS!$E9241,nASIG,DATOS!$I9241,nEVAL,"OR")=0))</f>
      </c>
      <c r="I9241">
        <f>IF(DATOS!$I9241="","",IFERROR(VLOOKUP(DATOS!$I9241,CONFIG_ASIGNATURAS!$B$2:$J$91,9,FALSE()),""))</f>
      </c>
    </row>
    <row r="9242">
      <c r="F9242">
        <f>IF(DATOS!$A9242="","",DATOS!$A9242&amp;"|"&amp;DATOS!$D9242&amp;"|"&amp;DATOS!$E9242&amp;"|"&amp;DATOS!$I9242)</f>
      </c>
      <c r="G9242">
        <f>IF(DATOS!$A9242="",0,IF(CONFIG_METADATA!$B$4&lt;&gt;"OR+EX",--(DATOS!$G9242=CONFIG_METADATA!$B$4),IF(DATOS!$G9242="EX",1,IF(DATOS!$G9242="OR",--(COUNTIFS(nNIA,DATOS!$A9242,nCURSO,DATOS!$D9242,nESPEC,DATOS!$E9242,nASIG,DATOS!$I9242,nEVAL,"EX")=0),0))))</f>
      </c>
      <c r="H9242">
        <f>IF(DATOS!$G9242&lt;&gt;"EX",0,--(COUNTIFS(nNIA,DATOS!$A9242,nCURSO,DATOS!$D9242,nESPEC,DATOS!$E9242,nASIG,DATOS!$I9242,nEVAL,"OR")=0))</f>
      </c>
      <c r="I9242">
        <f>IF(DATOS!$I9242="","",IFERROR(VLOOKUP(DATOS!$I9242,CONFIG_ASIGNATURAS!$B$2:$J$91,9,FALSE()),""))</f>
      </c>
    </row>
    <row r="9243">
      <c r="F9243">
        <f>IF(DATOS!$A9243="","",DATOS!$A9243&amp;"|"&amp;DATOS!$D9243&amp;"|"&amp;DATOS!$E9243&amp;"|"&amp;DATOS!$I9243)</f>
      </c>
      <c r="G9243">
        <f>IF(DATOS!$A9243="",0,IF(CONFIG_METADATA!$B$4&lt;&gt;"OR+EX",--(DATOS!$G9243=CONFIG_METADATA!$B$4),IF(DATOS!$G9243="EX",1,IF(DATOS!$G9243="OR",--(COUNTIFS(nNIA,DATOS!$A9243,nCURSO,DATOS!$D9243,nESPEC,DATOS!$E9243,nASIG,DATOS!$I9243,nEVAL,"EX")=0),0))))</f>
      </c>
      <c r="H9243">
        <f>IF(DATOS!$G9243&lt;&gt;"EX",0,--(COUNTIFS(nNIA,DATOS!$A9243,nCURSO,DATOS!$D9243,nESPEC,DATOS!$E9243,nASIG,DATOS!$I9243,nEVAL,"OR")=0))</f>
      </c>
      <c r="I9243">
        <f>IF(DATOS!$I9243="","",IFERROR(VLOOKUP(DATOS!$I9243,CONFIG_ASIGNATURAS!$B$2:$J$91,9,FALSE()),""))</f>
      </c>
    </row>
    <row r="9244">
      <c r="F9244">
        <f>IF(DATOS!$A9244="","",DATOS!$A9244&amp;"|"&amp;DATOS!$D9244&amp;"|"&amp;DATOS!$E9244&amp;"|"&amp;DATOS!$I9244)</f>
      </c>
      <c r="G9244">
        <f>IF(DATOS!$A9244="",0,IF(CONFIG_METADATA!$B$4&lt;&gt;"OR+EX",--(DATOS!$G9244=CONFIG_METADATA!$B$4),IF(DATOS!$G9244="EX",1,IF(DATOS!$G9244="OR",--(COUNTIFS(nNIA,DATOS!$A9244,nCURSO,DATOS!$D9244,nESPEC,DATOS!$E9244,nASIG,DATOS!$I9244,nEVAL,"EX")=0),0))))</f>
      </c>
      <c r="H9244">
        <f>IF(DATOS!$G9244&lt;&gt;"EX",0,--(COUNTIFS(nNIA,DATOS!$A9244,nCURSO,DATOS!$D9244,nESPEC,DATOS!$E9244,nASIG,DATOS!$I9244,nEVAL,"OR")=0))</f>
      </c>
      <c r="I9244">
        <f>IF(DATOS!$I9244="","",IFERROR(VLOOKUP(DATOS!$I9244,CONFIG_ASIGNATURAS!$B$2:$J$91,9,FALSE()),""))</f>
      </c>
    </row>
    <row r="9245">
      <c r="F9245">
        <f>IF(DATOS!$A9245="","",DATOS!$A9245&amp;"|"&amp;DATOS!$D9245&amp;"|"&amp;DATOS!$E9245&amp;"|"&amp;DATOS!$I9245)</f>
      </c>
      <c r="G9245">
        <f>IF(DATOS!$A9245="",0,IF(CONFIG_METADATA!$B$4&lt;&gt;"OR+EX",--(DATOS!$G9245=CONFIG_METADATA!$B$4),IF(DATOS!$G9245="EX",1,IF(DATOS!$G9245="OR",--(COUNTIFS(nNIA,DATOS!$A9245,nCURSO,DATOS!$D9245,nESPEC,DATOS!$E9245,nASIG,DATOS!$I9245,nEVAL,"EX")=0),0))))</f>
      </c>
      <c r="H9245">
        <f>IF(DATOS!$G9245&lt;&gt;"EX",0,--(COUNTIFS(nNIA,DATOS!$A9245,nCURSO,DATOS!$D9245,nESPEC,DATOS!$E9245,nASIG,DATOS!$I9245,nEVAL,"OR")=0))</f>
      </c>
      <c r="I9245">
        <f>IF(DATOS!$I9245="","",IFERROR(VLOOKUP(DATOS!$I9245,CONFIG_ASIGNATURAS!$B$2:$J$91,9,FALSE()),""))</f>
      </c>
    </row>
    <row r="9246">
      <c r="F9246">
        <f>IF(DATOS!$A9246="","",DATOS!$A9246&amp;"|"&amp;DATOS!$D9246&amp;"|"&amp;DATOS!$E9246&amp;"|"&amp;DATOS!$I9246)</f>
      </c>
      <c r="G9246">
        <f>IF(DATOS!$A9246="",0,IF(CONFIG_METADATA!$B$4&lt;&gt;"OR+EX",--(DATOS!$G9246=CONFIG_METADATA!$B$4),IF(DATOS!$G9246="EX",1,IF(DATOS!$G9246="OR",--(COUNTIFS(nNIA,DATOS!$A9246,nCURSO,DATOS!$D9246,nESPEC,DATOS!$E9246,nASIG,DATOS!$I9246,nEVAL,"EX")=0),0))))</f>
      </c>
      <c r="H9246">
        <f>IF(DATOS!$G9246&lt;&gt;"EX",0,--(COUNTIFS(nNIA,DATOS!$A9246,nCURSO,DATOS!$D9246,nESPEC,DATOS!$E9246,nASIG,DATOS!$I9246,nEVAL,"OR")=0))</f>
      </c>
      <c r="I9246">
        <f>IF(DATOS!$I9246="","",IFERROR(VLOOKUP(DATOS!$I9246,CONFIG_ASIGNATURAS!$B$2:$J$91,9,FALSE()),""))</f>
      </c>
    </row>
    <row r="9247">
      <c r="F9247">
        <f>IF(DATOS!$A9247="","",DATOS!$A9247&amp;"|"&amp;DATOS!$D9247&amp;"|"&amp;DATOS!$E9247&amp;"|"&amp;DATOS!$I9247)</f>
      </c>
      <c r="G9247">
        <f>IF(DATOS!$A9247="",0,IF(CONFIG_METADATA!$B$4&lt;&gt;"OR+EX",--(DATOS!$G9247=CONFIG_METADATA!$B$4),IF(DATOS!$G9247="EX",1,IF(DATOS!$G9247="OR",--(COUNTIFS(nNIA,DATOS!$A9247,nCURSO,DATOS!$D9247,nESPEC,DATOS!$E9247,nASIG,DATOS!$I9247,nEVAL,"EX")=0),0))))</f>
      </c>
      <c r="H9247">
        <f>IF(DATOS!$G9247&lt;&gt;"EX",0,--(COUNTIFS(nNIA,DATOS!$A9247,nCURSO,DATOS!$D9247,nESPEC,DATOS!$E9247,nASIG,DATOS!$I9247,nEVAL,"OR")=0))</f>
      </c>
      <c r="I9247">
        <f>IF(DATOS!$I9247="","",IFERROR(VLOOKUP(DATOS!$I9247,CONFIG_ASIGNATURAS!$B$2:$J$91,9,FALSE()),""))</f>
      </c>
    </row>
    <row r="9248">
      <c r="F9248">
        <f>IF(DATOS!$A9248="","",DATOS!$A9248&amp;"|"&amp;DATOS!$D9248&amp;"|"&amp;DATOS!$E9248&amp;"|"&amp;DATOS!$I9248)</f>
      </c>
      <c r="G9248">
        <f>IF(DATOS!$A9248="",0,IF(CONFIG_METADATA!$B$4&lt;&gt;"OR+EX",--(DATOS!$G9248=CONFIG_METADATA!$B$4),IF(DATOS!$G9248="EX",1,IF(DATOS!$G9248="OR",--(COUNTIFS(nNIA,DATOS!$A9248,nCURSO,DATOS!$D9248,nESPEC,DATOS!$E9248,nASIG,DATOS!$I9248,nEVAL,"EX")=0),0))))</f>
      </c>
      <c r="H9248">
        <f>IF(DATOS!$G9248&lt;&gt;"EX",0,--(COUNTIFS(nNIA,DATOS!$A9248,nCURSO,DATOS!$D9248,nESPEC,DATOS!$E9248,nASIG,DATOS!$I9248,nEVAL,"OR")=0))</f>
      </c>
      <c r="I9248">
        <f>IF(DATOS!$I9248="","",IFERROR(VLOOKUP(DATOS!$I9248,CONFIG_ASIGNATURAS!$B$2:$J$91,9,FALSE()),""))</f>
      </c>
    </row>
    <row r="9249">
      <c r="F9249">
        <f>IF(DATOS!$A9249="","",DATOS!$A9249&amp;"|"&amp;DATOS!$D9249&amp;"|"&amp;DATOS!$E9249&amp;"|"&amp;DATOS!$I9249)</f>
      </c>
      <c r="G9249">
        <f>IF(DATOS!$A9249="",0,IF(CONFIG_METADATA!$B$4&lt;&gt;"OR+EX",--(DATOS!$G9249=CONFIG_METADATA!$B$4),IF(DATOS!$G9249="EX",1,IF(DATOS!$G9249="OR",--(COUNTIFS(nNIA,DATOS!$A9249,nCURSO,DATOS!$D9249,nESPEC,DATOS!$E9249,nASIG,DATOS!$I9249,nEVAL,"EX")=0),0))))</f>
      </c>
      <c r="H9249">
        <f>IF(DATOS!$G9249&lt;&gt;"EX",0,--(COUNTIFS(nNIA,DATOS!$A9249,nCURSO,DATOS!$D9249,nESPEC,DATOS!$E9249,nASIG,DATOS!$I9249,nEVAL,"OR")=0))</f>
      </c>
      <c r="I9249">
        <f>IF(DATOS!$I9249="","",IFERROR(VLOOKUP(DATOS!$I9249,CONFIG_ASIGNATURAS!$B$2:$J$91,9,FALSE()),""))</f>
      </c>
    </row>
    <row r="9250">
      <c r="F9250">
        <f>IF(DATOS!$A9250="","",DATOS!$A9250&amp;"|"&amp;DATOS!$D9250&amp;"|"&amp;DATOS!$E9250&amp;"|"&amp;DATOS!$I9250)</f>
      </c>
      <c r="G9250">
        <f>IF(DATOS!$A9250="",0,IF(CONFIG_METADATA!$B$4&lt;&gt;"OR+EX",--(DATOS!$G9250=CONFIG_METADATA!$B$4),IF(DATOS!$G9250="EX",1,IF(DATOS!$G9250="OR",--(COUNTIFS(nNIA,DATOS!$A9250,nCURSO,DATOS!$D9250,nESPEC,DATOS!$E9250,nASIG,DATOS!$I9250,nEVAL,"EX")=0),0))))</f>
      </c>
      <c r="H9250">
        <f>IF(DATOS!$G9250&lt;&gt;"EX",0,--(COUNTIFS(nNIA,DATOS!$A9250,nCURSO,DATOS!$D9250,nESPEC,DATOS!$E9250,nASIG,DATOS!$I9250,nEVAL,"OR")=0))</f>
      </c>
      <c r="I9250">
        <f>IF(DATOS!$I9250="","",IFERROR(VLOOKUP(DATOS!$I9250,CONFIG_ASIGNATURAS!$B$2:$J$91,9,FALSE()),""))</f>
      </c>
    </row>
    <row r="9251">
      <c r="F9251">
        <f>IF(DATOS!$A9251="","",DATOS!$A9251&amp;"|"&amp;DATOS!$D9251&amp;"|"&amp;DATOS!$E9251&amp;"|"&amp;DATOS!$I9251)</f>
      </c>
      <c r="G9251">
        <f>IF(DATOS!$A9251="",0,IF(CONFIG_METADATA!$B$4&lt;&gt;"OR+EX",--(DATOS!$G9251=CONFIG_METADATA!$B$4),IF(DATOS!$G9251="EX",1,IF(DATOS!$G9251="OR",--(COUNTIFS(nNIA,DATOS!$A9251,nCURSO,DATOS!$D9251,nESPEC,DATOS!$E9251,nASIG,DATOS!$I9251,nEVAL,"EX")=0),0))))</f>
      </c>
      <c r="H9251">
        <f>IF(DATOS!$G9251&lt;&gt;"EX",0,--(COUNTIFS(nNIA,DATOS!$A9251,nCURSO,DATOS!$D9251,nESPEC,DATOS!$E9251,nASIG,DATOS!$I9251,nEVAL,"OR")=0))</f>
      </c>
      <c r="I9251">
        <f>IF(DATOS!$I9251="","",IFERROR(VLOOKUP(DATOS!$I9251,CONFIG_ASIGNATURAS!$B$2:$J$91,9,FALSE()),""))</f>
      </c>
    </row>
    <row r="9252">
      <c r="F9252">
        <f>IF(DATOS!$A9252="","",DATOS!$A9252&amp;"|"&amp;DATOS!$D9252&amp;"|"&amp;DATOS!$E9252&amp;"|"&amp;DATOS!$I9252)</f>
      </c>
      <c r="G9252">
        <f>IF(DATOS!$A9252="",0,IF(CONFIG_METADATA!$B$4&lt;&gt;"OR+EX",--(DATOS!$G9252=CONFIG_METADATA!$B$4),IF(DATOS!$G9252="EX",1,IF(DATOS!$G9252="OR",--(COUNTIFS(nNIA,DATOS!$A9252,nCURSO,DATOS!$D9252,nESPEC,DATOS!$E9252,nASIG,DATOS!$I9252,nEVAL,"EX")=0),0))))</f>
      </c>
      <c r="H9252">
        <f>IF(DATOS!$G9252&lt;&gt;"EX",0,--(COUNTIFS(nNIA,DATOS!$A9252,nCURSO,DATOS!$D9252,nESPEC,DATOS!$E9252,nASIG,DATOS!$I9252,nEVAL,"OR")=0))</f>
      </c>
      <c r="I9252">
        <f>IF(DATOS!$I9252="","",IFERROR(VLOOKUP(DATOS!$I9252,CONFIG_ASIGNATURAS!$B$2:$J$91,9,FALSE()),""))</f>
      </c>
    </row>
    <row r="9253">
      <c r="F9253">
        <f>IF(DATOS!$A9253="","",DATOS!$A9253&amp;"|"&amp;DATOS!$D9253&amp;"|"&amp;DATOS!$E9253&amp;"|"&amp;DATOS!$I9253)</f>
      </c>
      <c r="G9253">
        <f>IF(DATOS!$A9253="",0,IF(CONFIG_METADATA!$B$4&lt;&gt;"OR+EX",--(DATOS!$G9253=CONFIG_METADATA!$B$4),IF(DATOS!$G9253="EX",1,IF(DATOS!$G9253="OR",--(COUNTIFS(nNIA,DATOS!$A9253,nCURSO,DATOS!$D9253,nESPEC,DATOS!$E9253,nASIG,DATOS!$I9253,nEVAL,"EX")=0),0))))</f>
      </c>
      <c r="H9253">
        <f>IF(DATOS!$G9253&lt;&gt;"EX",0,--(COUNTIFS(nNIA,DATOS!$A9253,nCURSO,DATOS!$D9253,nESPEC,DATOS!$E9253,nASIG,DATOS!$I9253,nEVAL,"OR")=0))</f>
      </c>
      <c r="I9253">
        <f>IF(DATOS!$I9253="","",IFERROR(VLOOKUP(DATOS!$I9253,CONFIG_ASIGNATURAS!$B$2:$J$91,9,FALSE()),""))</f>
      </c>
    </row>
    <row r="9254">
      <c r="F9254">
        <f>IF(DATOS!$A9254="","",DATOS!$A9254&amp;"|"&amp;DATOS!$D9254&amp;"|"&amp;DATOS!$E9254&amp;"|"&amp;DATOS!$I9254)</f>
      </c>
      <c r="G9254">
        <f>IF(DATOS!$A9254="",0,IF(CONFIG_METADATA!$B$4&lt;&gt;"OR+EX",--(DATOS!$G9254=CONFIG_METADATA!$B$4),IF(DATOS!$G9254="EX",1,IF(DATOS!$G9254="OR",--(COUNTIFS(nNIA,DATOS!$A9254,nCURSO,DATOS!$D9254,nESPEC,DATOS!$E9254,nASIG,DATOS!$I9254,nEVAL,"EX")=0),0))))</f>
      </c>
      <c r="H9254">
        <f>IF(DATOS!$G9254&lt;&gt;"EX",0,--(COUNTIFS(nNIA,DATOS!$A9254,nCURSO,DATOS!$D9254,nESPEC,DATOS!$E9254,nASIG,DATOS!$I9254,nEVAL,"OR")=0))</f>
      </c>
      <c r="I9254">
        <f>IF(DATOS!$I9254="","",IFERROR(VLOOKUP(DATOS!$I9254,CONFIG_ASIGNATURAS!$B$2:$J$91,9,FALSE()),""))</f>
      </c>
    </row>
    <row r="9255">
      <c r="F9255">
        <f>IF(DATOS!$A9255="","",DATOS!$A9255&amp;"|"&amp;DATOS!$D9255&amp;"|"&amp;DATOS!$E9255&amp;"|"&amp;DATOS!$I9255)</f>
      </c>
      <c r="G9255">
        <f>IF(DATOS!$A9255="",0,IF(CONFIG_METADATA!$B$4&lt;&gt;"OR+EX",--(DATOS!$G9255=CONFIG_METADATA!$B$4),IF(DATOS!$G9255="EX",1,IF(DATOS!$G9255="OR",--(COUNTIFS(nNIA,DATOS!$A9255,nCURSO,DATOS!$D9255,nESPEC,DATOS!$E9255,nASIG,DATOS!$I9255,nEVAL,"EX")=0),0))))</f>
      </c>
      <c r="H9255">
        <f>IF(DATOS!$G9255&lt;&gt;"EX",0,--(COUNTIFS(nNIA,DATOS!$A9255,nCURSO,DATOS!$D9255,nESPEC,DATOS!$E9255,nASIG,DATOS!$I9255,nEVAL,"OR")=0))</f>
      </c>
      <c r="I9255">
        <f>IF(DATOS!$I9255="","",IFERROR(VLOOKUP(DATOS!$I9255,CONFIG_ASIGNATURAS!$B$2:$J$91,9,FALSE()),""))</f>
      </c>
    </row>
    <row r="9256">
      <c r="F9256">
        <f>IF(DATOS!$A9256="","",DATOS!$A9256&amp;"|"&amp;DATOS!$D9256&amp;"|"&amp;DATOS!$E9256&amp;"|"&amp;DATOS!$I9256)</f>
      </c>
      <c r="G9256">
        <f>IF(DATOS!$A9256="",0,IF(CONFIG_METADATA!$B$4&lt;&gt;"OR+EX",--(DATOS!$G9256=CONFIG_METADATA!$B$4),IF(DATOS!$G9256="EX",1,IF(DATOS!$G9256="OR",--(COUNTIFS(nNIA,DATOS!$A9256,nCURSO,DATOS!$D9256,nESPEC,DATOS!$E9256,nASIG,DATOS!$I9256,nEVAL,"EX")=0),0))))</f>
      </c>
      <c r="H9256">
        <f>IF(DATOS!$G9256&lt;&gt;"EX",0,--(COUNTIFS(nNIA,DATOS!$A9256,nCURSO,DATOS!$D9256,nESPEC,DATOS!$E9256,nASIG,DATOS!$I9256,nEVAL,"OR")=0))</f>
      </c>
      <c r="I9256">
        <f>IF(DATOS!$I9256="","",IFERROR(VLOOKUP(DATOS!$I9256,CONFIG_ASIGNATURAS!$B$2:$J$91,9,FALSE()),""))</f>
      </c>
    </row>
    <row r="9257">
      <c r="F9257">
        <f>IF(DATOS!$A9257="","",DATOS!$A9257&amp;"|"&amp;DATOS!$D9257&amp;"|"&amp;DATOS!$E9257&amp;"|"&amp;DATOS!$I9257)</f>
      </c>
      <c r="G9257">
        <f>IF(DATOS!$A9257="",0,IF(CONFIG_METADATA!$B$4&lt;&gt;"OR+EX",--(DATOS!$G9257=CONFIG_METADATA!$B$4),IF(DATOS!$G9257="EX",1,IF(DATOS!$G9257="OR",--(COUNTIFS(nNIA,DATOS!$A9257,nCURSO,DATOS!$D9257,nESPEC,DATOS!$E9257,nASIG,DATOS!$I9257,nEVAL,"EX")=0),0))))</f>
      </c>
      <c r="H9257">
        <f>IF(DATOS!$G9257&lt;&gt;"EX",0,--(COUNTIFS(nNIA,DATOS!$A9257,nCURSO,DATOS!$D9257,nESPEC,DATOS!$E9257,nASIG,DATOS!$I9257,nEVAL,"OR")=0))</f>
      </c>
      <c r="I9257">
        <f>IF(DATOS!$I9257="","",IFERROR(VLOOKUP(DATOS!$I9257,CONFIG_ASIGNATURAS!$B$2:$J$91,9,FALSE()),""))</f>
      </c>
    </row>
    <row r="9258">
      <c r="F9258">
        <f>IF(DATOS!$A9258="","",DATOS!$A9258&amp;"|"&amp;DATOS!$D9258&amp;"|"&amp;DATOS!$E9258&amp;"|"&amp;DATOS!$I9258)</f>
      </c>
      <c r="G9258">
        <f>IF(DATOS!$A9258="",0,IF(CONFIG_METADATA!$B$4&lt;&gt;"OR+EX",--(DATOS!$G9258=CONFIG_METADATA!$B$4),IF(DATOS!$G9258="EX",1,IF(DATOS!$G9258="OR",--(COUNTIFS(nNIA,DATOS!$A9258,nCURSO,DATOS!$D9258,nESPEC,DATOS!$E9258,nASIG,DATOS!$I9258,nEVAL,"EX")=0),0))))</f>
      </c>
      <c r="H9258">
        <f>IF(DATOS!$G9258&lt;&gt;"EX",0,--(COUNTIFS(nNIA,DATOS!$A9258,nCURSO,DATOS!$D9258,nESPEC,DATOS!$E9258,nASIG,DATOS!$I9258,nEVAL,"OR")=0))</f>
      </c>
      <c r="I9258">
        <f>IF(DATOS!$I9258="","",IFERROR(VLOOKUP(DATOS!$I9258,CONFIG_ASIGNATURAS!$B$2:$J$91,9,FALSE()),""))</f>
      </c>
    </row>
    <row r="9259">
      <c r="F9259">
        <f>IF(DATOS!$A9259="","",DATOS!$A9259&amp;"|"&amp;DATOS!$D9259&amp;"|"&amp;DATOS!$E9259&amp;"|"&amp;DATOS!$I9259)</f>
      </c>
      <c r="G9259">
        <f>IF(DATOS!$A9259="",0,IF(CONFIG_METADATA!$B$4&lt;&gt;"OR+EX",--(DATOS!$G9259=CONFIG_METADATA!$B$4),IF(DATOS!$G9259="EX",1,IF(DATOS!$G9259="OR",--(COUNTIFS(nNIA,DATOS!$A9259,nCURSO,DATOS!$D9259,nESPEC,DATOS!$E9259,nASIG,DATOS!$I9259,nEVAL,"EX")=0),0))))</f>
      </c>
      <c r="H9259">
        <f>IF(DATOS!$G9259&lt;&gt;"EX",0,--(COUNTIFS(nNIA,DATOS!$A9259,nCURSO,DATOS!$D9259,nESPEC,DATOS!$E9259,nASIG,DATOS!$I9259,nEVAL,"OR")=0))</f>
      </c>
      <c r="I9259">
        <f>IF(DATOS!$I9259="","",IFERROR(VLOOKUP(DATOS!$I9259,CONFIG_ASIGNATURAS!$B$2:$J$91,9,FALSE()),""))</f>
      </c>
    </row>
    <row r="9260">
      <c r="F9260">
        <f>IF(DATOS!$A9260="","",DATOS!$A9260&amp;"|"&amp;DATOS!$D9260&amp;"|"&amp;DATOS!$E9260&amp;"|"&amp;DATOS!$I9260)</f>
      </c>
      <c r="G9260">
        <f>IF(DATOS!$A9260="",0,IF(CONFIG_METADATA!$B$4&lt;&gt;"OR+EX",--(DATOS!$G9260=CONFIG_METADATA!$B$4),IF(DATOS!$G9260="EX",1,IF(DATOS!$G9260="OR",--(COUNTIFS(nNIA,DATOS!$A9260,nCURSO,DATOS!$D9260,nESPEC,DATOS!$E9260,nASIG,DATOS!$I9260,nEVAL,"EX")=0),0))))</f>
      </c>
      <c r="H9260">
        <f>IF(DATOS!$G9260&lt;&gt;"EX",0,--(COUNTIFS(nNIA,DATOS!$A9260,nCURSO,DATOS!$D9260,nESPEC,DATOS!$E9260,nASIG,DATOS!$I9260,nEVAL,"OR")=0))</f>
      </c>
      <c r="I9260">
        <f>IF(DATOS!$I9260="","",IFERROR(VLOOKUP(DATOS!$I9260,CONFIG_ASIGNATURAS!$B$2:$J$91,9,FALSE()),""))</f>
      </c>
    </row>
    <row r="9261">
      <c r="F9261">
        <f>IF(DATOS!$A9261="","",DATOS!$A9261&amp;"|"&amp;DATOS!$D9261&amp;"|"&amp;DATOS!$E9261&amp;"|"&amp;DATOS!$I9261)</f>
      </c>
      <c r="G9261">
        <f>IF(DATOS!$A9261="",0,IF(CONFIG_METADATA!$B$4&lt;&gt;"OR+EX",--(DATOS!$G9261=CONFIG_METADATA!$B$4),IF(DATOS!$G9261="EX",1,IF(DATOS!$G9261="OR",--(COUNTIFS(nNIA,DATOS!$A9261,nCURSO,DATOS!$D9261,nESPEC,DATOS!$E9261,nASIG,DATOS!$I9261,nEVAL,"EX")=0),0))))</f>
      </c>
      <c r="H9261">
        <f>IF(DATOS!$G9261&lt;&gt;"EX",0,--(COUNTIFS(nNIA,DATOS!$A9261,nCURSO,DATOS!$D9261,nESPEC,DATOS!$E9261,nASIG,DATOS!$I9261,nEVAL,"OR")=0))</f>
      </c>
      <c r="I9261">
        <f>IF(DATOS!$I9261="","",IFERROR(VLOOKUP(DATOS!$I9261,CONFIG_ASIGNATURAS!$B$2:$J$91,9,FALSE()),""))</f>
      </c>
    </row>
    <row r="9262">
      <c r="F9262">
        <f>IF(DATOS!$A9262="","",DATOS!$A9262&amp;"|"&amp;DATOS!$D9262&amp;"|"&amp;DATOS!$E9262&amp;"|"&amp;DATOS!$I9262)</f>
      </c>
      <c r="G9262">
        <f>IF(DATOS!$A9262="",0,IF(CONFIG_METADATA!$B$4&lt;&gt;"OR+EX",--(DATOS!$G9262=CONFIG_METADATA!$B$4),IF(DATOS!$G9262="EX",1,IF(DATOS!$G9262="OR",--(COUNTIFS(nNIA,DATOS!$A9262,nCURSO,DATOS!$D9262,nESPEC,DATOS!$E9262,nASIG,DATOS!$I9262,nEVAL,"EX")=0),0))))</f>
      </c>
      <c r="H9262">
        <f>IF(DATOS!$G9262&lt;&gt;"EX",0,--(COUNTIFS(nNIA,DATOS!$A9262,nCURSO,DATOS!$D9262,nESPEC,DATOS!$E9262,nASIG,DATOS!$I9262,nEVAL,"OR")=0))</f>
      </c>
      <c r="I9262">
        <f>IF(DATOS!$I9262="","",IFERROR(VLOOKUP(DATOS!$I9262,CONFIG_ASIGNATURAS!$B$2:$J$91,9,FALSE()),""))</f>
      </c>
    </row>
    <row r="9263">
      <c r="F9263">
        <f>IF(DATOS!$A9263="","",DATOS!$A9263&amp;"|"&amp;DATOS!$D9263&amp;"|"&amp;DATOS!$E9263&amp;"|"&amp;DATOS!$I9263)</f>
      </c>
      <c r="G9263">
        <f>IF(DATOS!$A9263="",0,IF(CONFIG_METADATA!$B$4&lt;&gt;"OR+EX",--(DATOS!$G9263=CONFIG_METADATA!$B$4),IF(DATOS!$G9263="EX",1,IF(DATOS!$G9263="OR",--(COUNTIFS(nNIA,DATOS!$A9263,nCURSO,DATOS!$D9263,nESPEC,DATOS!$E9263,nASIG,DATOS!$I9263,nEVAL,"EX")=0),0))))</f>
      </c>
      <c r="H9263">
        <f>IF(DATOS!$G9263&lt;&gt;"EX",0,--(COUNTIFS(nNIA,DATOS!$A9263,nCURSO,DATOS!$D9263,nESPEC,DATOS!$E9263,nASIG,DATOS!$I9263,nEVAL,"OR")=0))</f>
      </c>
      <c r="I9263">
        <f>IF(DATOS!$I9263="","",IFERROR(VLOOKUP(DATOS!$I9263,CONFIG_ASIGNATURAS!$B$2:$J$91,9,FALSE()),""))</f>
      </c>
    </row>
    <row r="9264">
      <c r="F9264">
        <f>IF(DATOS!$A9264="","",DATOS!$A9264&amp;"|"&amp;DATOS!$D9264&amp;"|"&amp;DATOS!$E9264&amp;"|"&amp;DATOS!$I9264)</f>
      </c>
      <c r="G9264">
        <f>IF(DATOS!$A9264="",0,IF(CONFIG_METADATA!$B$4&lt;&gt;"OR+EX",--(DATOS!$G9264=CONFIG_METADATA!$B$4),IF(DATOS!$G9264="EX",1,IF(DATOS!$G9264="OR",--(COUNTIFS(nNIA,DATOS!$A9264,nCURSO,DATOS!$D9264,nESPEC,DATOS!$E9264,nASIG,DATOS!$I9264,nEVAL,"EX")=0),0))))</f>
      </c>
      <c r="H9264">
        <f>IF(DATOS!$G9264&lt;&gt;"EX",0,--(COUNTIFS(nNIA,DATOS!$A9264,nCURSO,DATOS!$D9264,nESPEC,DATOS!$E9264,nASIG,DATOS!$I9264,nEVAL,"OR")=0))</f>
      </c>
      <c r="I9264">
        <f>IF(DATOS!$I9264="","",IFERROR(VLOOKUP(DATOS!$I9264,CONFIG_ASIGNATURAS!$B$2:$J$91,9,FALSE()),""))</f>
      </c>
    </row>
    <row r="9265">
      <c r="F9265">
        <f>IF(DATOS!$A9265="","",DATOS!$A9265&amp;"|"&amp;DATOS!$D9265&amp;"|"&amp;DATOS!$E9265&amp;"|"&amp;DATOS!$I9265)</f>
      </c>
      <c r="G9265">
        <f>IF(DATOS!$A9265="",0,IF(CONFIG_METADATA!$B$4&lt;&gt;"OR+EX",--(DATOS!$G9265=CONFIG_METADATA!$B$4),IF(DATOS!$G9265="EX",1,IF(DATOS!$G9265="OR",--(COUNTIFS(nNIA,DATOS!$A9265,nCURSO,DATOS!$D9265,nESPEC,DATOS!$E9265,nASIG,DATOS!$I9265,nEVAL,"EX")=0),0))))</f>
      </c>
      <c r="H9265">
        <f>IF(DATOS!$G9265&lt;&gt;"EX",0,--(COUNTIFS(nNIA,DATOS!$A9265,nCURSO,DATOS!$D9265,nESPEC,DATOS!$E9265,nASIG,DATOS!$I9265,nEVAL,"OR")=0))</f>
      </c>
      <c r="I9265">
        <f>IF(DATOS!$I9265="","",IFERROR(VLOOKUP(DATOS!$I9265,CONFIG_ASIGNATURAS!$B$2:$J$91,9,FALSE()),""))</f>
      </c>
    </row>
    <row r="9266">
      <c r="F9266">
        <f>IF(DATOS!$A9266="","",DATOS!$A9266&amp;"|"&amp;DATOS!$D9266&amp;"|"&amp;DATOS!$E9266&amp;"|"&amp;DATOS!$I9266)</f>
      </c>
      <c r="G9266">
        <f>IF(DATOS!$A9266="",0,IF(CONFIG_METADATA!$B$4&lt;&gt;"OR+EX",--(DATOS!$G9266=CONFIG_METADATA!$B$4),IF(DATOS!$G9266="EX",1,IF(DATOS!$G9266="OR",--(COUNTIFS(nNIA,DATOS!$A9266,nCURSO,DATOS!$D9266,nESPEC,DATOS!$E9266,nASIG,DATOS!$I9266,nEVAL,"EX")=0),0))))</f>
      </c>
      <c r="H9266">
        <f>IF(DATOS!$G9266&lt;&gt;"EX",0,--(COUNTIFS(nNIA,DATOS!$A9266,nCURSO,DATOS!$D9266,nESPEC,DATOS!$E9266,nASIG,DATOS!$I9266,nEVAL,"OR")=0))</f>
      </c>
      <c r="I9266">
        <f>IF(DATOS!$I9266="","",IFERROR(VLOOKUP(DATOS!$I9266,CONFIG_ASIGNATURAS!$B$2:$J$91,9,FALSE()),""))</f>
      </c>
    </row>
    <row r="9267">
      <c r="F9267">
        <f>IF(DATOS!$A9267="","",DATOS!$A9267&amp;"|"&amp;DATOS!$D9267&amp;"|"&amp;DATOS!$E9267&amp;"|"&amp;DATOS!$I9267)</f>
      </c>
      <c r="G9267">
        <f>IF(DATOS!$A9267="",0,IF(CONFIG_METADATA!$B$4&lt;&gt;"OR+EX",--(DATOS!$G9267=CONFIG_METADATA!$B$4),IF(DATOS!$G9267="EX",1,IF(DATOS!$G9267="OR",--(COUNTIFS(nNIA,DATOS!$A9267,nCURSO,DATOS!$D9267,nESPEC,DATOS!$E9267,nASIG,DATOS!$I9267,nEVAL,"EX")=0),0))))</f>
      </c>
      <c r="H9267">
        <f>IF(DATOS!$G9267&lt;&gt;"EX",0,--(COUNTIFS(nNIA,DATOS!$A9267,nCURSO,DATOS!$D9267,nESPEC,DATOS!$E9267,nASIG,DATOS!$I9267,nEVAL,"OR")=0))</f>
      </c>
      <c r="I9267">
        <f>IF(DATOS!$I9267="","",IFERROR(VLOOKUP(DATOS!$I9267,CONFIG_ASIGNATURAS!$B$2:$J$91,9,FALSE()),""))</f>
      </c>
    </row>
    <row r="9268">
      <c r="F9268">
        <f>IF(DATOS!$A9268="","",DATOS!$A9268&amp;"|"&amp;DATOS!$D9268&amp;"|"&amp;DATOS!$E9268&amp;"|"&amp;DATOS!$I9268)</f>
      </c>
      <c r="G9268">
        <f>IF(DATOS!$A9268="",0,IF(CONFIG_METADATA!$B$4&lt;&gt;"OR+EX",--(DATOS!$G9268=CONFIG_METADATA!$B$4),IF(DATOS!$G9268="EX",1,IF(DATOS!$G9268="OR",--(COUNTIFS(nNIA,DATOS!$A9268,nCURSO,DATOS!$D9268,nESPEC,DATOS!$E9268,nASIG,DATOS!$I9268,nEVAL,"EX")=0),0))))</f>
      </c>
      <c r="H9268">
        <f>IF(DATOS!$G9268&lt;&gt;"EX",0,--(COUNTIFS(nNIA,DATOS!$A9268,nCURSO,DATOS!$D9268,nESPEC,DATOS!$E9268,nASIG,DATOS!$I9268,nEVAL,"OR")=0))</f>
      </c>
      <c r="I9268">
        <f>IF(DATOS!$I9268="","",IFERROR(VLOOKUP(DATOS!$I9268,CONFIG_ASIGNATURAS!$B$2:$J$91,9,FALSE()),""))</f>
      </c>
    </row>
    <row r="9269">
      <c r="F9269">
        <f>IF(DATOS!$A9269="","",DATOS!$A9269&amp;"|"&amp;DATOS!$D9269&amp;"|"&amp;DATOS!$E9269&amp;"|"&amp;DATOS!$I9269)</f>
      </c>
      <c r="G9269">
        <f>IF(DATOS!$A9269="",0,IF(CONFIG_METADATA!$B$4&lt;&gt;"OR+EX",--(DATOS!$G9269=CONFIG_METADATA!$B$4),IF(DATOS!$G9269="EX",1,IF(DATOS!$G9269="OR",--(COUNTIFS(nNIA,DATOS!$A9269,nCURSO,DATOS!$D9269,nESPEC,DATOS!$E9269,nASIG,DATOS!$I9269,nEVAL,"EX")=0),0))))</f>
      </c>
      <c r="H9269">
        <f>IF(DATOS!$G9269&lt;&gt;"EX",0,--(COUNTIFS(nNIA,DATOS!$A9269,nCURSO,DATOS!$D9269,nESPEC,DATOS!$E9269,nASIG,DATOS!$I9269,nEVAL,"OR")=0))</f>
      </c>
      <c r="I9269">
        <f>IF(DATOS!$I9269="","",IFERROR(VLOOKUP(DATOS!$I9269,CONFIG_ASIGNATURAS!$B$2:$J$91,9,FALSE()),""))</f>
      </c>
    </row>
    <row r="9270">
      <c r="F9270">
        <f>IF(DATOS!$A9270="","",DATOS!$A9270&amp;"|"&amp;DATOS!$D9270&amp;"|"&amp;DATOS!$E9270&amp;"|"&amp;DATOS!$I9270)</f>
      </c>
      <c r="G9270">
        <f>IF(DATOS!$A9270="",0,IF(CONFIG_METADATA!$B$4&lt;&gt;"OR+EX",--(DATOS!$G9270=CONFIG_METADATA!$B$4),IF(DATOS!$G9270="EX",1,IF(DATOS!$G9270="OR",--(COUNTIFS(nNIA,DATOS!$A9270,nCURSO,DATOS!$D9270,nESPEC,DATOS!$E9270,nASIG,DATOS!$I9270,nEVAL,"EX")=0),0))))</f>
      </c>
      <c r="H9270">
        <f>IF(DATOS!$G9270&lt;&gt;"EX",0,--(COUNTIFS(nNIA,DATOS!$A9270,nCURSO,DATOS!$D9270,nESPEC,DATOS!$E9270,nASIG,DATOS!$I9270,nEVAL,"OR")=0))</f>
      </c>
      <c r="I9270">
        <f>IF(DATOS!$I9270="","",IFERROR(VLOOKUP(DATOS!$I9270,CONFIG_ASIGNATURAS!$B$2:$J$91,9,FALSE()),""))</f>
      </c>
    </row>
    <row r="9271">
      <c r="F9271">
        <f>IF(DATOS!$A9271="","",DATOS!$A9271&amp;"|"&amp;DATOS!$D9271&amp;"|"&amp;DATOS!$E9271&amp;"|"&amp;DATOS!$I9271)</f>
      </c>
      <c r="G9271">
        <f>IF(DATOS!$A9271="",0,IF(CONFIG_METADATA!$B$4&lt;&gt;"OR+EX",--(DATOS!$G9271=CONFIG_METADATA!$B$4),IF(DATOS!$G9271="EX",1,IF(DATOS!$G9271="OR",--(COUNTIFS(nNIA,DATOS!$A9271,nCURSO,DATOS!$D9271,nESPEC,DATOS!$E9271,nASIG,DATOS!$I9271,nEVAL,"EX")=0),0))))</f>
      </c>
      <c r="H9271">
        <f>IF(DATOS!$G9271&lt;&gt;"EX",0,--(COUNTIFS(nNIA,DATOS!$A9271,nCURSO,DATOS!$D9271,nESPEC,DATOS!$E9271,nASIG,DATOS!$I9271,nEVAL,"OR")=0))</f>
      </c>
      <c r="I9271">
        <f>IF(DATOS!$I9271="","",IFERROR(VLOOKUP(DATOS!$I9271,CONFIG_ASIGNATURAS!$B$2:$J$91,9,FALSE()),""))</f>
      </c>
    </row>
    <row r="9272">
      <c r="F9272">
        <f>IF(DATOS!$A9272="","",DATOS!$A9272&amp;"|"&amp;DATOS!$D9272&amp;"|"&amp;DATOS!$E9272&amp;"|"&amp;DATOS!$I9272)</f>
      </c>
      <c r="G9272">
        <f>IF(DATOS!$A9272="",0,IF(CONFIG_METADATA!$B$4&lt;&gt;"OR+EX",--(DATOS!$G9272=CONFIG_METADATA!$B$4),IF(DATOS!$G9272="EX",1,IF(DATOS!$G9272="OR",--(COUNTIFS(nNIA,DATOS!$A9272,nCURSO,DATOS!$D9272,nESPEC,DATOS!$E9272,nASIG,DATOS!$I9272,nEVAL,"EX")=0),0))))</f>
      </c>
      <c r="H9272">
        <f>IF(DATOS!$G9272&lt;&gt;"EX",0,--(COUNTIFS(nNIA,DATOS!$A9272,nCURSO,DATOS!$D9272,nESPEC,DATOS!$E9272,nASIG,DATOS!$I9272,nEVAL,"OR")=0))</f>
      </c>
      <c r="I9272">
        <f>IF(DATOS!$I9272="","",IFERROR(VLOOKUP(DATOS!$I9272,CONFIG_ASIGNATURAS!$B$2:$J$91,9,FALSE()),""))</f>
      </c>
    </row>
    <row r="9273">
      <c r="F9273">
        <f>IF(DATOS!$A9273="","",DATOS!$A9273&amp;"|"&amp;DATOS!$D9273&amp;"|"&amp;DATOS!$E9273&amp;"|"&amp;DATOS!$I9273)</f>
      </c>
      <c r="G9273">
        <f>IF(DATOS!$A9273="",0,IF(CONFIG_METADATA!$B$4&lt;&gt;"OR+EX",--(DATOS!$G9273=CONFIG_METADATA!$B$4),IF(DATOS!$G9273="EX",1,IF(DATOS!$G9273="OR",--(COUNTIFS(nNIA,DATOS!$A9273,nCURSO,DATOS!$D9273,nESPEC,DATOS!$E9273,nASIG,DATOS!$I9273,nEVAL,"EX")=0),0))))</f>
      </c>
      <c r="H9273">
        <f>IF(DATOS!$G9273&lt;&gt;"EX",0,--(COUNTIFS(nNIA,DATOS!$A9273,nCURSO,DATOS!$D9273,nESPEC,DATOS!$E9273,nASIG,DATOS!$I9273,nEVAL,"OR")=0))</f>
      </c>
      <c r="I9273">
        <f>IF(DATOS!$I9273="","",IFERROR(VLOOKUP(DATOS!$I9273,CONFIG_ASIGNATURAS!$B$2:$J$91,9,FALSE()),""))</f>
      </c>
    </row>
    <row r="9274">
      <c r="F9274">
        <f>IF(DATOS!$A9274="","",DATOS!$A9274&amp;"|"&amp;DATOS!$D9274&amp;"|"&amp;DATOS!$E9274&amp;"|"&amp;DATOS!$I9274)</f>
      </c>
      <c r="G9274">
        <f>IF(DATOS!$A9274="",0,IF(CONFIG_METADATA!$B$4&lt;&gt;"OR+EX",--(DATOS!$G9274=CONFIG_METADATA!$B$4),IF(DATOS!$G9274="EX",1,IF(DATOS!$G9274="OR",--(COUNTIFS(nNIA,DATOS!$A9274,nCURSO,DATOS!$D9274,nESPEC,DATOS!$E9274,nASIG,DATOS!$I9274,nEVAL,"EX")=0),0))))</f>
      </c>
      <c r="H9274">
        <f>IF(DATOS!$G9274&lt;&gt;"EX",0,--(COUNTIFS(nNIA,DATOS!$A9274,nCURSO,DATOS!$D9274,nESPEC,DATOS!$E9274,nASIG,DATOS!$I9274,nEVAL,"OR")=0))</f>
      </c>
      <c r="I9274">
        <f>IF(DATOS!$I9274="","",IFERROR(VLOOKUP(DATOS!$I9274,CONFIG_ASIGNATURAS!$B$2:$J$91,9,FALSE()),""))</f>
      </c>
    </row>
    <row r="9275">
      <c r="F9275">
        <f>IF(DATOS!$A9275="","",DATOS!$A9275&amp;"|"&amp;DATOS!$D9275&amp;"|"&amp;DATOS!$E9275&amp;"|"&amp;DATOS!$I9275)</f>
      </c>
      <c r="G9275">
        <f>IF(DATOS!$A9275="",0,IF(CONFIG_METADATA!$B$4&lt;&gt;"OR+EX",--(DATOS!$G9275=CONFIG_METADATA!$B$4),IF(DATOS!$G9275="EX",1,IF(DATOS!$G9275="OR",--(COUNTIFS(nNIA,DATOS!$A9275,nCURSO,DATOS!$D9275,nESPEC,DATOS!$E9275,nASIG,DATOS!$I9275,nEVAL,"EX")=0),0))))</f>
      </c>
      <c r="H9275">
        <f>IF(DATOS!$G9275&lt;&gt;"EX",0,--(COUNTIFS(nNIA,DATOS!$A9275,nCURSO,DATOS!$D9275,nESPEC,DATOS!$E9275,nASIG,DATOS!$I9275,nEVAL,"OR")=0))</f>
      </c>
      <c r="I9275">
        <f>IF(DATOS!$I9275="","",IFERROR(VLOOKUP(DATOS!$I9275,CONFIG_ASIGNATURAS!$B$2:$J$91,9,FALSE()),""))</f>
      </c>
    </row>
    <row r="9276">
      <c r="F9276">
        <f>IF(DATOS!$A9276="","",DATOS!$A9276&amp;"|"&amp;DATOS!$D9276&amp;"|"&amp;DATOS!$E9276&amp;"|"&amp;DATOS!$I9276)</f>
      </c>
      <c r="G9276">
        <f>IF(DATOS!$A9276="",0,IF(CONFIG_METADATA!$B$4&lt;&gt;"OR+EX",--(DATOS!$G9276=CONFIG_METADATA!$B$4),IF(DATOS!$G9276="EX",1,IF(DATOS!$G9276="OR",--(COUNTIFS(nNIA,DATOS!$A9276,nCURSO,DATOS!$D9276,nESPEC,DATOS!$E9276,nASIG,DATOS!$I9276,nEVAL,"EX")=0),0))))</f>
      </c>
      <c r="H9276">
        <f>IF(DATOS!$G9276&lt;&gt;"EX",0,--(COUNTIFS(nNIA,DATOS!$A9276,nCURSO,DATOS!$D9276,nESPEC,DATOS!$E9276,nASIG,DATOS!$I9276,nEVAL,"OR")=0))</f>
      </c>
      <c r="I9276">
        <f>IF(DATOS!$I9276="","",IFERROR(VLOOKUP(DATOS!$I9276,CONFIG_ASIGNATURAS!$B$2:$J$91,9,FALSE()),""))</f>
      </c>
    </row>
    <row r="9277">
      <c r="F9277">
        <f>IF(DATOS!$A9277="","",DATOS!$A9277&amp;"|"&amp;DATOS!$D9277&amp;"|"&amp;DATOS!$E9277&amp;"|"&amp;DATOS!$I9277)</f>
      </c>
      <c r="G9277">
        <f>IF(DATOS!$A9277="",0,IF(CONFIG_METADATA!$B$4&lt;&gt;"OR+EX",--(DATOS!$G9277=CONFIG_METADATA!$B$4),IF(DATOS!$G9277="EX",1,IF(DATOS!$G9277="OR",--(COUNTIFS(nNIA,DATOS!$A9277,nCURSO,DATOS!$D9277,nESPEC,DATOS!$E9277,nASIG,DATOS!$I9277,nEVAL,"EX")=0),0))))</f>
      </c>
      <c r="H9277">
        <f>IF(DATOS!$G9277&lt;&gt;"EX",0,--(COUNTIFS(nNIA,DATOS!$A9277,nCURSO,DATOS!$D9277,nESPEC,DATOS!$E9277,nASIG,DATOS!$I9277,nEVAL,"OR")=0))</f>
      </c>
      <c r="I9277">
        <f>IF(DATOS!$I9277="","",IFERROR(VLOOKUP(DATOS!$I9277,CONFIG_ASIGNATURAS!$B$2:$J$91,9,FALSE()),""))</f>
      </c>
    </row>
    <row r="9278">
      <c r="F9278">
        <f>IF(DATOS!$A9278="","",DATOS!$A9278&amp;"|"&amp;DATOS!$D9278&amp;"|"&amp;DATOS!$E9278&amp;"|"&amp;DATOS!$I9278)</f>
      </c>
      <c r="G9278">
        <f>IF(DATOS!$A9278="",0,IF(CONFIG_METADATA!$B$4&lt;&gt;"OR+EX",--(DATOS!$G9278=CONFIG_METADATA!$B$4),IF(DATOS!$G9278="EX",1,IF(DATOS!$G9278="OR",--(COUNTIFS(nNIA,DATOS!$A9278,nCURSO,DATOS!$D9278,nESPEC,DATOS!$E9278,nASIG,DATOS!$I9278,nEVAL,"EX")=0),0))))</f>
      </c>
      <c r="H9278">
        <f>IF(DATOS!$G9278&lt;&gt;"EX",0,--(COUNTIFS(nNIA,DATOS!$A9278,nCURSO,DATOS!$D9278,nESPEC,DATOS!$E9278,nASIG,DATOS!$I9278,nEVAL,"OR")=0))</f>
      </c>
      <c r="I9278">
        <f>IF(DATOS!$I9278="","",IFERROR(VLOOKUP(DATOS!$I9278,CONFIG_ASIGNATURAS!$B$2:$J$91,9,FALSE()),""))</f>
      </c>
    </row>
    <row r="9279">
      <c r="F9279">
        <f>IF(DATOS!$A9279="","",DATOS!$A9279&amp;"|"&amp;DATOS!$D9279&amp;"|"&amp;DATOS!$E9279&amp;"|"&amp;DATOS!$I9279)</f>
      </c>
      <c r="G9279">
        <f>IF(DATOS!$A9279="",0,IF(CONFIG_METADATA!$B$4&lt;&gt;"OR+EX",--(DATOS!$G9279=CONFIG_METADATA!$B$4),IF(DATOS!$G9279="EX",1,IF(DATOS!$G9279="OR",--(COUNTIFS(nNIA,DATOS!$A9279,nCURSO,DATOS!$D9279,nESPEC,DATOS!$E9279,nASIG,DATOS!$I9279,nEVAL,"EX")=0),0))))</f>
      </c>
      <c r="H9279">
        <f>IF(DATOS!$G9279&lt;&gt;"EX",0,--(COUNTIFS(nNIA,DATOS!$A9279,nCURSO,DATOS!$D9279,nESPEC,DATOS!$E9279,nASIG,DATOS!$I9279,nEVAL,"OR")=0))</f>
      </c>
      <c r="I9279">
        <f>IF(DATOS!$I9279="","",IFERROR(VLOOKUP(DATOS!$I9279,CONFIG_ASIGNATURAS!$B$2:$J$91,9,FALSE()),""))</f>
      </c>
    </row>
    <row r="9280">
      <c r="F9280">
        <f>IF(DATOS!$A9280="","",DATOS!$A9280&amp;"|"&amp;DATOS!$D9280&amp;"|"&amp;DATOS!$E9280&amp;"|"&amp;DATOS!$I9280)</f>
      </c>
      <c r="G9280">
        <f>IF(DATOS!$A9280="",0,IF(CONFIG_METADATA!$B$4&lt;&gt;"OR+EX",--(DATOS!$G9280=CONFIG_METADATA!$B$4),IF(DATOS!$G9280="EX",1,IF(DATOS!$G9280="OR",--(COUNTIFS(nNIA,DATOS!$A9280,nCURSO,DATOS!$D9280,nESPEC,DATOS!$E9280,nASIG,DATOS!$I9280,nEVAL,"EX")=0),0))))</f>
      </c>
      <c r="H9280">
        <f>IF(DATOS!$G9280&lt;&gt;"EX",0,--(COUNTIFS(nNIA,DATOS!$A9280,nCURSO,DATOS!$D9280,nESPEC,DATOS!$E9280,nASIG,DATOS!$I9280,nEVAL,"OR")=0))</f>
      </c>
      <c r="I9280">
        <f>IF(DATOS!$I9280="","",IFERROR(VLOOKUP(DATOS!$I9280,CONFIG_ASIGNATURAS!$B$2:$J$91,9,FALSE()),""))</f>
      </c>
    </row>
    <row r="9281">
      <c r="F9281">
        <f>IF(DATOS!$A9281="","",DATOS!$A9281&amp;"|"&amp;DATOS!$D9281&amp;"|"&amp;DATOS!$E9281&amp;"|"&amp;DATOS!$I9281)</f>
      </c>
      <c r="G9281">
        <f>IF(DATOS!$A9281="",0,IF(CONFIG_METADATA!$B$4&lt;&gt;"OR+EX",--(DATOS!$G9281=CONFIG_METADATA!$B$4),IF(DATOS!$G9281="EX",1,IF(DATOS!$G9281="OR",--(COUNTIFS(nNIA,DATOS!$A9281,nCURSO,DATOS!$D9281,nESPEC,DATOS!$E9281,nASIG,DATOS!$I9281,nEVAL,"EX")=0),0))))</f>
      </c>
      <c r="H9281">
        <f>IF(DATOS!$G9281&lt;&gt;"EX",0,--(COUNTIFS(nNIA,DATOS!$A9281,nCURSO,DATOS!$D9281,nESPEC,DATOS!$E9281,nASIG,DATOS!$I9281,nEVAL,"OR")=0))</f>
      </c>
      <c r="I9281">
        <f>IF(DATOS!$I9281="","",IFERROR(VLOOKUP(DATOS!$I9281,CONFIG_ASIGNATURAS!$B$2:$J$91,9,FALSE()),""))</f>
      </c>
    </row>
    <row r="9282">
      <c r="F9282">
        <f>IF(DATOS!$A9282="","",DATOS!$A9282&amp;"|"&amp;DATOS!$D9282&amp;"|"&amp;DATOS!$E9282&amp;"|"&amp;DATOS!$I9282)</f>
      </c>
      <c r="G9282">
        <f>IF(DATOS!$A9282="",0,IF(CONFIG_METADATA!$B$4&lt;&gt;"OR+EX",--(DATOS!$G9282=CONFIG_METADATA!$B$4),IF(DATOS!$G9282="EX",1,IF(DATOS!$G9282="OR",--(COUNTIFS(nNIA,DATOS!$A9282,nCURSO,DATOS!$D9282,nESPEC,DATOS!$E9282,nASIG,DATOS!$I9282,nEVAL,"EX")=0),0))))</f>
      </c>
      <c r="H9282">
        <f>IF(DATOS!$G9282&lt;&gt;"EX",0,--(COUNTIFS(nNIA,DATOS!$A9282,nCURSO,DATOS!$D9282,nESPEC,DATOS!$E9282,nASIG,DATOS!$I9282,nEVAL,"OR")=0))</f>
      </c>
      <c r="I9282">
        <f>IF(DATOS!$I9282="","",IFERROR(VLOOKUP(DATOS!$I9282,CONFIG_ASIGNATURAS!$B$2:$J$91,9,FALSE()),""))</f>
      </c>
    </row>
    <row r="9283">
      <c r="F9283">
        <f>IF(DATOS!$A9283="","",DATOS!$A9283&amp;"|"&amp;DATOS!$D9283&amp;"|"&amp;DATOS!$E9283&amp;"|"&amp;DATOS!$I9283)</f>
      </c>
      <c r="G9283">
        <f>IF(DATOS!$A9283="",0,IF(CONFIG_METADATA!$B$4&lt;&gt;"OR+EX",--(DATOS!$G9283=CONFIG_METADATA!$B$4),IF(DATOS!$G9283="EX",1,IF(DATOS!$G9283="OR",--(COUNTIFS(nNIA,DATOS!$A9283,nCURSO,DATOS!$D9283,nESPEC,DATOS!$E9283,nASIG,DATOS!$I9283,nEVAL,"EX")=0),0))))</f>
      </c>
      <c r="H9283">
        <f>IF(DATOS!$G9283&lt;&gt;"EX",0,--(COUNTIFS(nNIA,DATOS!$A9283,nCURSO,DATOS!$D9283,nESPEC,DATOS!$E9283,nASIG,DATOS!$I9283,nEVAL,"OR")=0))</f>
      </c>
      <c r="I9283">
        <f>IF(DATOS!$I9283="","",IFERROR(VLOOKUP(DATOS!$I9283,CONFIG_ASIGNATURAS!$B$2:$J$91,9,FALSE()),""))</f>
      </c>
    </row>
    <row r="9284">
      <c r="F9284">
        <f>IF(DATOS!$A9284="","",DATOS!$A9284&amp;"|"&amp;DATOS!$D9284&amp;"|"&amp;DATOS!$E9284&amp;"|"&amp;DATOS!$I9284)</f>
      </c>
      <c r="G9284">
        <f>IF(DATOS!$A9284="",0,IF(CONFIG_METADATA!$B$4&lt;&gt;"OR+EX",--(DATOS!$G9284=CONFIG_METADATA!$B$4),IF(DATOS!$G9284="EX",1,IF(DATOS!$G9284="OR",--(COUNTIFS(nNIA,DATOS!$A9284,nCURSO,DATOS!$D9284,nESPEC,DATOS!$E9284,nASIG,DATOS!$I9284,nEVAL,"EX")=0),0))))</f>
      </c>
      <c r="H9284">
        <f>IF(DATOS!$G9284&lt;&gt;"EX",0,--(COUNTIFS(nNIA,DATOS!$A9284,nCURSO,DATOS!$D9284,nESPEC,DATOS!$E9284,nASIG,DATOS!$I9284,nEVAL,"OR")=0))</f>
      </c>
      <c r="I9284">
        <f>IF(DATOS!$I9284="","",IFERROR(VLOOKUP(DATOS!$I9284,CONFIG_ASIGNATURAS!$B$2:$J$91,9,FALSE()),""))</f>
      </c>
    </row>
    <row r="9285">
      <c r="F9285">
        <f>IF(DATOS!$A9285="","",DATOS!$A9285&amp;"|"&amp;DATOS!$D9285&amp;"|"&amp;DATOS!$E9285&amp;"|"&amp;DATOS!$I9285)</f>
      </c>
      <c r="G9285">
        <f>IF(DATOS!$A9285="",0,IF(CONFIG_METADATA!$B$4&lt;&gt;"OR+EX",--(DATOS!$G9285=CONFIG_METADATA!$B$4),IF(DATOS!$G9285="EX",1,IF(DATOS!$G9285="OR",--(COUNTIFS(nNIA,DATOS!$A9285,nCURSO,DATOS!$D9285,nESPEC,DATOS!$E9285,nASIG,DATOS!$I9285,nEVAL,"EX")=0),0))))</f>
      </c>
      <c r="H9285">
        <f>IF(DATOS!$G9285&lt;&gt;"EX",0,--(COUNTIFS(nNIA,DATOS!$A9285,nCURSO,DATOS!$D9285,nESPEC,DATOS!$E9285,nASIG,DATOS!$I9285,nEVAL,"OR")=0))</f>
      </c>
      <c r="I9285">
        <f>IF(DATOS!$I9285="","",IFERROR(VLOOKUP(DATOS!$I9285,CONFIG_ASIGNATURAS!$B$2:$J$91,9,FALSE()),""))</f>
      </c>
    </row>
    <row r="9286">
      <c r="F9286">
        <f>IF(DATOS!$A9286="","",DATOS!$A9286&amp;"|"&amp;DATOS!$D9286&amp;"|"&amp;DATOS!$E9286&amp;"|"&amp;DATOS!$I9286)</f>
      </c>
      <c r="G9286">
        <f>IF(DATOS!$A9286="",0,IF(CONFIG_METADATA!$B$4&lt;&gt;"OR+EX",--(DATOS!$G9286=CONFIG_METADATA!$B$4),IF(DATOS!$G9286="EX",1,IF(DATOS!$G9286="OR",--(COUNTIFS(nNIA,DATOS!$A9286,nCURSO,DATOS!$D9286,nESPEC,DATOS!$E9286,nASIG,DATOS!$I9286,nEVAL,"EX")=0),0))))</f>
      </c>
      <c r="H9286">
        <f>IF(DATOS!$G9286&lt;&gt;"EX",0,--(COUNTIFS(nNIA,DATOS!$A9286,nCURSO,DATOS!$D9286,nESPEC,DATOS!$E9286,nASIG,DATOS!$I9286,nEVAL,"OR")=0))</f>
      </c>
      <c r="I9286">
        <f>IF(DATOS!$I9286="","",IFERROR(VLOOKUP(DATOS!$I9286,CONFIG_ASIGNATURAS!$B$2:$J$91,9,FALSE()),""))</f>
      </c>
    </row>
    <row r="9287">
      <c r="F9287">
        <f>IF(DATOS!$A9287="","",DATOS!$A9287&amp;"|"&amp;DATOS!$D9287&amp;"|"&amp;DATOS!$E9287&amp;"|"&amp;DATOS!$I9287)</f>
      </c>
      <c r="G9287">
        <f>IF(DATOS!$A9287="",0,IF(CONFIG_METADATA!$B$4&lt;&gt;"OR+EX",--(DATOS!$G9287=CONFIG_METADATA!$B$4),IF(DATOS!$G9287="EX",1,IF(DATOS!$G9287="OR",--(COUNTIFS(nNIA,DATOS!$A9287,nCURSO,DATOS!$D9287,nESPEC,DATOS!$E9287,nASIG,DATOS!$I9287,nEVAL,"EX")=0),0))))</f>
      </c>
      <c r="H9287">
        <f>IF(DATOS!$G9287&lt;&gt;"EX",0,--(COUNTIFS(nNIA,DATOS!$A9287,nCURSO,DATOS!$D9287,nESPEC,DATOS!$E9287,nASIG,DATOS!$I9287,nEVAL,"OR")=0))</f>
      </c>
      <c r="I9287">
        <f>IF(DATOS!$I9287="","",IFERROR(VLOOKUP(DATOS!$I9287,CONFIG_ASIGNATURAS!$B$2:$J$91,9,FALSE()),""))</f>
      </c>
    </row>
    <row r="9288">
      <c r="F9288">
        <f>IF(DATOS!$A9288="","",DATOS!$A9288&amp;"|"&amp;DATOS!$D9288&amp;"|"&amp;DATOS!$E9288&amp;"|"&amp;DATOS!$I9288)</f>
      </c>
      <c r="G9288">
        <f>IF(DATOS!$A9288="",0,IF(CONFIG_METADATA!$B$4&lt;&gt;"OR+EX",--(DATOS!$G9288=CONFIG_METADATA!$B$4),IF(DATOS!$G9288="EX",1,IF(DATOS!$G9288="OR",--(COUNTIFS(nNIA,DATOS!$A9288,nCURSO,DATOS!$D9288,nESPEC,DATOS!$E9288,nASIG,DATOS!$I9288,nEVAL,"EX")=0),0))))</f>
      </c>
      <c r="H9288">
        <f>IF(DATOS!$G9288&lt;&gt;"EX",0,--(COUNTIFS(nNIA,DATOS!$A9288,nCURSO,DATOS!$D9288,nESPEC,DATOS!$E9288,nASIG,DATOS!$I9288,nEVAL,"OR")=0))</f>
      </c>
      <c r="I9288">
        <f>IF(DATOS!$I9288="","",IFERROR(VLOOKUP(DATOS!$I9288,CONFIG_ASIGNATURAS!$B$2:$J$91,9,FALSE()),""))</f>
      </c>
    </row>
    <row r="9289">
      <c r="F9289">
        <f>IF(DATOS!$A9289="","",DATOS!$A9289&amp;"|"&amp;DATOS!$D9289&amp;"|"&amp;DATOS!$E9289&amp;"|"&amp;DATOS!$I9289)</f>
      </c>
      <c r="G9289">
        <f>IF(DATOS!$A9289="",0,IF(CONFIG_METADATA!$B$4&lt;&gt;"OR+EX",--(DATOS!$G9289=CONFIG_METADATA!$B$4),IF(DATOS!$G9289="EX",1,IF(DATOS!$G9289="OR",--(COUNTIFS(nNIA,DATOS!$A9289,nCURSO,DATOS!$D9289,nESPEC,DATOS!$E9289,nASIG,DATOS!$I9289,nEVAL,"EX")=0),0))))</f>
      </c>
      <c r="H9289">
        <f>IF(DATOS!$G9289&lt;&gt;"EX",0,--(COUNTIFS(nNIA,DATOS!$A9289,nCURSO,DATOS!$D9289,nESPEC,DATOS!$E9289,nASIG,DATOS!$I9289,nEVAL,"OR")=0))</f>
      </c>
      <c r="I9289">
        <f>IF(DATOS!$I9289="","",IFERROR(VLOOKUP(DATOS!$I9289,CONFIG_ASIGNATURAS!$B$2:$J$91,9,FALSE()),""))</f>
      </c>
    </row>
    <row r="9290">
      <c r="F9290">
        <f>IF(DATOS!$A9290="","",DATOS!$A9290&amp;"|"&amp;DATOS!$D9290&amp;"|"&amp;DATOS!$E9290&amp;"|"&amp;DATOS!$I9290)</f>
      </c>
      <c r="G9290">
        <f>IF(DATOS!$A9290="",0,IF(CONFIG_METADATA!$B$4&lt;&gt;"OR+EX",--(DATOS!$G9290=CONFIG_METADATA!$B$4),IF(DATOS!$G9290="EX",1,IF(DATOS!$G9290="OR",--(COUNTIFS(nNIA,DATOS!$A9290,nCURSO,DATOS!$D9290,nESPEC,DATOS!$E9290,nASIG,DATOS!$I9290,nEVAL,"EX")=0),0))))</f>
      </c>
      <c r="H9290">
        <f>IF(DATOS!$G9290&lt;&gt;"EX",0,--(COUNTIFS(nNIA,DATOS!$A9290,nCURSO,DATOS!$D9290,nESPEC,DATOS!$E9290,nASIG,DATOS!$I9290,nEVAL,"OR")=0))</f>
      </c>
      <c r="I9290">
        <f>IF(DATOS!$I9290="","",IFERROR(VLOOKUP(DATOS!$I9290,CONFIG_ASIGNATURAS!$B$2:$J$91,9,FALSE()),""))</f>
      </c>
    </row>
    <row r="9291">
      <c r="F9291">
        <f>IF(DATOS!$A9291="","",DATOS!$A9291&amp;"|"&amp;DATOS!$D9291&amp;"|"&amp;DATOS!$E9291&amp;"|"&amp;DATOS!$I9291)</f>
      </c>
      <c r="G9291">
        <f>IF(DATOS!$A9291="",0,IF(CONFIG_METADATA!$B$4&lt;&gt;"OR+EX",--(DATOS!$G9291=CONFIG_METADATA!$B$4),IF(DATOS!$G9291="EX",1,IF(DATOS!$G9291="OR",--(COUNTIFS(nNIA,DATOS!$A9291,nCURSO,DATOS!$D9291,nESPEC,DATOS!$E9291,nASIG,DATOS!$I9291,nEVAL,"EX")=0),0))))</f>
      </c>
      <c r="H9291">
        <f>IF(DATOS!$G9291&lt;&gt;"EX",0,--(COUNTIFS(nNIA,DATOS!$A9291,nCURSO,DATOS!$D9291,nESPEC,DATOS!$E9291,nASIG,DATOS!$I9291,nEVAL,"OR")=0))</f>
      </c>
      <c r="I9291">
        <f>IF(DATOS!$I9291="","",IFERROR(VLOOKUP(DATOS!$I9291,CONFIG_ASIGNATURAS!$B$2:$J$91,9,FALSE()),""))</f>
      </c>
    </row>
    <row r="9292">
      <c r="F9292">
        <f>IF(DATOS!$A9292="","",DATOS!$A9292&amp;"|"&amp;DATOS!$D9292&amp;"|"&amp;DATOS!$E9292&amp;"|"&amp;DATOS!$I9292)</f>
      </c>
      <c r="G9292">
        <f>IF(DATOS!$A9292="",0,IF(CONFIG_METADATA!$B$4&lt;&gt;"OR+EX",--(DATOS!$G9292=CONFIG_METADATA!$B$4),IF(DATOS!$G9292="EX",1,IF(DATOS!$G9292="OR",--(COUNTIFS(nNIA,DATOS!$A9292,nCURSO,DATOS!$D9292,nESPEC,DATOS!$E9292,nASIG,DATOS!$I9292,nEVAL,"EX")=0),0))))</f>
      </c>
      <c r="H9292">
        <f>IF(DATOS!$G9292&lt;&gt;"EX",0,--(COUNTIFS(nNIA,DATOS!$A9292,nCURSO,DATOS!$D9292,nESPEC,DATOS!$E9292,nASIG,DATOS!$I9292,nEVAL,"OR")=0))</f>
      </c>
      <c r="I9292">
        <f>IF(DATOS!$I9292="","",IFERROR(VLOOKUP(DATOS!$I9292,CONFIG_ASIGNATURAS!$B$2:$J$91,9,FALSE()),""))</f>
      </c>
    </row>
    <row r="9293">
      <c r="F9293">
        <f>IF(DATOS!$A9293="","",DATOS!$A9293&amp;"|"&amp;DATOS!$D9293&amp;"|"&amp;DATOS!$E9293&amp;"|"&amp;DATOS!$I9293)</f>
      </c>
      <c r="G9293">
        <f>IF(DATOS!$A9293="",0,IF(CONFIG_METADATA!$B$4&lt;&gt;"OR+EX",--(DATOS!$G9293=CONFIG_METADATA!$B$4),IF(DATOS!$G9293="EX",1,IF(DATOS!$G9293="OR",--(COUNTIFS(nNIA,DATOS!$A9293,nCURSO,DATOS!$D9293,nESPEC,DATOS!$E9293,nASIG,DATOS!$I9293,nEVAL,"EX")=0),0))))</f>
      </c>
      <c r="H9293">
        <f>IF(DATOS!$G9293&lt;&gt;"EX",0,--(COUNTIFS(nNIA,DATOS!$A9293,nCURSO,DATOS!$D9293,nESPEC,DATOS!$E9293,nASIG,DATOS!$I9293,nEVAL,"OR")=0))</f>
      </c>
      <c r="I9293">
        <f>IF(DATOS!$I9293="","",IFERROR(VLOOKUP(DATOS!$I9293,CONFIG_ASIGNATURAS!$B$2:$J$91,9,FALSE()),""))</f>
      </c>
    </row>
    <row r="9294">
      <c r="F9294">
        <f>IF(DATOS!$A9294="","",DATOS!$A9294&amp;"|"&amp;DATOS!$D9294&amp;"|"&amp;DATOS!$E9294&amp;"|"&amp;DATOS!$I9294)</f>
      </c>
      <c r="G9294">
        <f>IF(DATOS!$A9294="",0,IF(CONFIG_METADATA!$B$4&lt;&gt;"OR+EX",--(DATOS!$G9294=CONFIG_METADATA!$B$4),IF(DATOS!$G9294="EX",1,IF(DATOS!$G9294="OR",--(COUNTIFS(nNIA,DATOS!$A9294,nCURSO,DATOS!$D9294,nESPEC,DATOS!$E9294,nASIG,DATOS!$I9294,nEVAL,"EX")=0),0))))</f>
      </c>
      <c r="H9294">
        <f>IF(DATOS!$G9294&lt;&gt;"EX",0,--(COUNTIFS(nNIA,DATOS!$A9294,nCURSO,DATOS!$D9294,nESPEC,DATOS!$E9294,nASIG,DATOS!$I9294,nEVAL,"OR")=0))</f>
      </c>
      <c r="I9294">
        <f>IF(DATOS!$I9294="","",IFERROR(VLOOKUP(DATOS!$I9294,CONFIG_ASIGNATURAS!$B$2:$J$91,9,FALSE()),""))</f>
      </c>
    </row>
    <row r="9295">
      <c r="F9295">
        <f>IF(DATOS!$A9295="","",DATOS!$A9295&amp;"|"&amp;DATOS!$D9295&amp;"|"&amp;DATOS!$E9295&amp;"|"&amp;DATOS!$I9295)</f>
      </c>
      <c r="G9295">
        <f>IF(DATOS!$A9295="",0,IF(CONFIG_METADATA!$B$4&lt;&gt;"OR+EX",--(DATOS!$G9295=CONFIG_METADATA!$B$4),IF(DATOS!$G9295="EX",1,IF(DATOS!$G9295="OR",--(COUNTIFS(nNIA,DATOS!$A9295,nCURSO,DATOS!$D9295,nESPEC,DATOS!$E9295,nASIG,DATOS!$I9295,nEVAL,"EX")=0),0))))</f>
      </c>
      <c r="H9295">
        <f>IF(DATOS!$G9295&lt;&gt;"EX",0,--(COUNTIFS(nNIA,DATOS!$A9295,nCURSO,DATOS!$D9295,nESPEC,DATOS!$E9295,nASIG,DATOS!$I9295,nEVAL,"OR")=0))</f>
      </c>
      <c r="I9295">
        <f>IF(DATOS!$I9295="","",IFERROR(VLOOKUP(DATOS!$I9295,CONFIG_ASIGNATURAS!$B$2:$J$91,9,FALSE()),""))</f>
      </c>
    </row>
    <row r="9296">
      <c r="F9296">
        <f>IF(DATOS!$A9296="","",DATOS!$A9296&amp;"|"&amp;DATOS!$D9296&amp;"|"&amp;DATOS!$E9296&amp;"|"&amp;DATOS!$I9296)</f>
      </c>
      <c r="G9296">
        <f>IF(DATOS!$A9296="",0,IF(CONFIG_METADATA!$B$4&lt;&gt;"OR+EX",--(DATOS!$G9296=CONFIG_METADATA!$B$4),IF(DATOS!$G9296="EX",1,IF(DATOS!$G9296="OR",--(COUNTIFS(nNIA,DATOS!$A9296,nCURSO,DATOS!$D9296,nESPEC,DATOS!$E9296,nASIG,DATOS!$I9296,nEVAL,"EX")=0),0))))</f>
      </c>
      <c r="H9296">
        <f>IF(DATOS!$G9296&lt;&gt;"EX",0,--(COUNTIFS(nNIA,DATOS!$A9296,nCURSO,DATOS!$D9296,nESPEC,DATOS!$E9296,nASIG,DATOS!$I9296,nEVAL,"OR")=0))</f>
      </c>
      <c r="I9296">
        <f>IF(DATOS!$I9296="","",IFERROR(VLOOKUP(DATOS!$I9296,CONFIG_ASIGNATURAS!$B$2:$J$91,9,FALSE()),""))</f>
      </c>
    </row>
    <row r="9297">
      <c r="F9297">
        <f>IF(DATOS!$A9297="","",DATOS!$A9297&amp;"|"&amp;DATOS!$D9297&amp;"|"&amp;DATOS!$E9297&amp;"|"&amp;DATOS!$I9297)</f>
      </c>
      <c r="G9297">
        <f>IF(DATOS!$A9297="",0,IF(CONFIG_METADATA!$B$4&lt;&gt;"OR+EX",--(DATOS!$G9297=CONFIG_METADATA!$B$4),IF(DATOS!$G9297="EX",1,IF(DATOS!$G9297="OR",--(COUNTIFS(nNIA,DATOS!$A9297,nCURSO,DATOS!$D9297,nESPEC,DATOS!$E9297,nASIG,DATOS!$I9297,nEVAL,"EX")=0),0))))</f>
      </c>
      <c r="H9297">
        <f>IF(DATOS!$G9297&lt;&gt;"EX",0,--(COUNTIFS(nNIA,DATOS!$A9297,nCURSO,DATOS!$D9297,nESPEC,DATOS!$E9297,nASIG,DATOS!$I9297,nEVAL,"OR")=0))</f>
      </c>
      <c r="I9297">
        <f>IF(DATOS!$I9297="","",IFERROR(VLOOKUP(DATOS!$I9297,CONFIG_ASIGNATURAS!$B$2:$J$91,9,FALSE()),""))</f>
      </c>
    </row>
    <row r="9298">
      <c r="F9298">
        <f>IF(DATOS!$A9298="","",DATOS!$A9298&amp;"|"&amp;DATOS!$D9298&amp;"|"&amp;DATOS!$E9298&amp;"|"&amp;DATOS!$I9298)</f>
      </c>
      <c r="G9298">
        <f>IF(DATOS!$A9298="",0,IF(CONFIG_METADATA!$B$4&lt;&gt;"OR+EX",--(DATOS!$G9298=CONFIG_METADATA!$B$4),IF(DATOS!$G9298="EX",1,IF(DATOS!$G9298="OR",--(COUNTIFS(nNIA,DATOS!$A9298,nCURSO,DATOS!$D9298,nESPEC,DATOS!$E9298,nASIG,DATOS!$I9298,nEVAL,"EX")=0),0))))</f>
      </c>
      <c r="H9298">
        <f>IF(DATOS!$G9298&lt;&gt;"EX",0,--(COUNTIFS(nNIA,DATOS!$A9298,nCURSO,DATOS!$D9298,nESPEC,DATOS!$E9298,nASIG,DATOS!$I9298,nEVAL,"OR")=0))</f>
      </c>
      <c r="I9298">
        <f>IF(DATOS!$I9298="","",IFERROR(VLOOKUP(DATOS!$I9298,CONFIG_ASIGNATURAS!$B$2:$J$91,9,FALSE()),""))</f>
      </c>
    </row>
    <row r="9299">
      <c r="F9299">
        <f>IF(DATOS!$A9299="","",DATOS!$A9299&amp;"|"&amp;DATOS!$D9299&amp;"|"&amp;DATOS!$E9299&amp;"|"&amp;DATOS!$I9299)</f>
      </c>
      <c r="G9299">
        <f>IF(DATOS!$A9299="",0,IF(CONFIG_METADATA!$B$4&lt;&gt;"OR+EX",--(DATOS!$G9299=CONFIG_METADATA!$B$4),IF(DATOS!$G9299="EX",1,IF(DATOS!$G9299="OR",--(COUNTIFS(nNIA,DATOS!$A9299,nCURSO,DATOS!$D9299,nESPEC,DATOS!$E9299,nASIG,DATOS!$I9299,nEVAL,"EX")=0),0))))</f>
      </c>
      <c r="H9299">
        <f>IF(DATOS!$G9299&lt;&gt;"EX",0,--(COUNTIFS(nNIA,DATOS!$A9299,nCURSO,DATOS!$D9299,nESPEC,DATOS!$E9299,nASIG,DATOS!$I9299,nEVAL,"OR")=0))</f>
      </c>
      <c r="I9299">
        <f>IF(DATOS!$I9299="","",IFERROR(VLOOKUP(DATOS!$I9299,CONFIG_ASIGNATURAS!$B$2:$J$91,9,FALSE()),""))</f>
      </c>
    </row>
    <row r="9300">
      <c r="F9300">
        <f>IF(DATOS!$A9300="","",DATOS!$A9300&amp;"|"&amp;DATOS!$D9300&amp;"|"&amp;DATOS!$E9300&amp;"|"&amp;DATOS!$I9300)</f>
      </c>
      <c r="G9300">
        <f>IF(DATOS!$A9300="",0,IF(CONFIG_METADATA!$B$4&lt;&gt;"OR+EX",--(DATOS!$G9300=CONFIG_METADATA!$B$4),IF(DATOS!$G9300="EX",1,IF(DATOS!$G9300="OR",--(COUNTIFS(nNIA,DATOS!$A9300,nCURSO,DATOS!$D9300,nESPEC,DATOS!$E9300,nASIG,DATOS!$I9300,nEVAL,"EX")=0),0))))</f>
      </c>
      <c r="H9300">
        <f>IF(DATOS!$G9300&lt;&gt;"EX",0,--(COUNTIFS(nNIA,DATOS!$A9300,nCURSO,DATOS!$D9300,nESPEC,DATOS!$E9300,nASIG,DATOS!$I9300,nEVAL,"OR")=0))</f>
      </c>
      <c r="I9300">
        <f>IF(DATOS!$I9300="","",IFERROR(VLOOKUP(DATOS!$I9300,CONFIG_ASIGNATURAS!$B$2:$J$91,9,FALSE()),""))</f>
      </c>
    </row>
    <row r="9301">
      <c r="F9301">
        <f>IF(DATOS!$A9301="","",DATOS!$A9301&amp;"|"&amp;DATOS!$D9301&amp;"|"&amp;DATOS!$E9301&amp;"|"&amp;DATOS!$I9301)</f>
      </c>
      <c r="G9301">
        <f>IF(DATOS!$A9301="",0,IF(CONFIG_METADATA!$B$4&lt;&gt;"OR+EX",--(DATOS!$G9301=CONFIG_METADATA!$B$4),IF(DATOS!$G9301="EX",1,IF(DATOS!$G9301="OR",--(COUNTIFS(nNIA,DATOS!$A9301,nCURSO,DATOS!$D9301,nESPEC,DATOS!$E9301,nASIG,DATOS!$I9301,nEVAL,"EX")=0),0))))</f>
      </c>
      <c r="H9301">
        <f>IF(DATOS!$G9301&lt;&gt;"EX",0,--(COUNTIFS(nNIA,DATOS!$A9301,nCURSO,DATOS!$D9301,nESPEC,DATOS!$E9301,nASIG,DATOS!$I9301,nEVAL,"OR")=0))</f>
      </c>
      <c r="I9301">
        <f>IF(DATOS!$I9301="","",IFERROR(VLOOKUP(DATOS!$I9301,CONFIG_ASIGNATURAS!$B$2:$J$91,9,FALSE()),""))</f>
      </c>
    </row>
    <row r="9302">
      <c r="F9302">
        <f>IF(DATOS!$A9302="","",DATOS!$A9302&amp;"|"&amp;DATOS!$D9302&amp;"|"&amp;DATOS!$E9302&amp;"|"&amp;DATOS!$I9302)</f>
      </c>
      <c r="G9302">
        <f>IF(DATOS!$A9302="",0,IF(CONFIG_METADATA!$B$4&lt;&gt;"OR+EX",--(DATOS!$G9302=CONFIG_METADATA!$B$4),IF(DATOS!$G9302="EX",1,IF(DATOS!$G9302="OR",--(COUNTIFS(nNIA,DATOS!$A9302,nCURSO,DATOS!$D9302,nESPEC,DATOS!$E9302,nASIG,DATOS!$I9302,nEVAL,"EX")=0),0))))</f>
      </c>
      <c r="H9302">
        <f>IF(DATOS!$G9302&lt;&gt;"EX",0,--(COUNTIFS(nNIA,DATOS!$A9302,nCURSO,DATOS!$D9302,nESPEC,DATOS!$E9302,nASIG,DATOS!$I9302,nEVAL,"OR")=0))</f>
      </c>
      <c r="I9302">
        <f>IF(DATOS!$I9302="","",IFERROR(VLOOKUP(DATOS!$I9302,CONFIG_ASIGNATURAS!$B$2:$J$91,9,FALSE()),""))</f>
      </c>
    </row>
    <row r="9303">
      <c r="F9303">
        <f>IF(DATOS!$A9303="","",DATOS!$A9303&amp;"|"&amp;DATOS!$D9303&amp;"|"&amp;DATOS!$E9303&amp;"|"&amp;DATOS!$I9303)</f>
      </c>
      <c r="G9303">
        <f>IF(DATOS!$A9303="",0,IF(CONFIG_METADATA!$B$4&lt;&gt;"OR+EX",--(DATOS!$G9303=CONFIG_METADATA!$B$4),IF(DATOS!$G9303="EX",1,IF(DATOS!$G9303="OR",--(COUNTIFS(nNIA,DATOS!$A9303,nCURSO,DATOS!$D9303,nESPEC,DATOS!$E9303,nASIG,DATOS!$I9303,nEVAL,"EX")=0),0))))</f>
      </c>
      <c r="H9303">
        <f>IF(DATOS!$G9303&lt;&gt;"EX",0,--(COUNTIFS(nNIA,DATOS!$A9303,nCURSO,DATOS!$D9303,nESPEC,DATOS!$E9303,nASIG,DATOS!$I9303,nEVAL,"OR")=0))</f>
      </c>
      <c r="I9303">
        <f>IF(DATOS!$I9303="","",IFERROR(VLOOKUP(DATOS!$I9303,CONFIG_ASIGNATURAS!$B$2:$J$91,9,FALSE()),""))</f>
      </c>
    </row>
    <row r="9304">
      <c r="F9304">
        <f>IF(DATOS!$A9304="","",DATOS!$A9304&amp;"|"&amp;DATOS!$D9304&amp;"|"&amp;DATOS!$E9304&amp;"|"&amp;DATOS!$I9304)</f>
      </c>
      <c r="G9304">
        <f>IF(DATOS!$A9304="",0,IF(CONFIG_METADATA!$B$4&lt;&gt;"OR+EX",--(DATOS!$G9304=CONFIG_METADATA!$B$4),IF(DATOS!$G9304="EX",1,IF(DATOS!$G9304="OR",--(COUNTIFS(nNIA,DATOS!$A9304,nCURSO,DATOS!$D9304,nESPEC,DATOS!$E9304,nASIG,DATOS!$I9304,nEVAL,"EX")=0),0))))</f>
      </c>
      <c r="H9304">
        <f>IF(DATOS!$G9304&lt;&gt;"EX",0,--(COUNTIFS(nNIA,DATOS!$A9304,nCURSO,DATOS!$D9304,nESPEC,DATOS!$E9304,nASIG,DATOS!$I9304,nEVAL,"OR")=0))</f>
      </c>
      <c r="I9304">
        <f>IF(DATOS!$I9304="","",IFERROR(VLOOKUP(DATOS!$I9304,CONFIG_ASIGNATURAS!$B$2:$J$91,9,FALSE()),""))</f>
      </c>
    </row>
    <row r="9305">
      <c r="F9305">
        <f>IF(DATOS!$A9305="","",DATOS!$A9305&amp;"|"&amp;DATOS!$D9305&amp;"|"&amp;DATOS!$E9305&amp;"|"&amp;DATOS!$I9305)</f>
      </c>
      <c r="G9305">
        <f>IF(DATOS!$A9305="",0,IF(CONFIG_METADATA!$B$4&lt;&gt;"OR+EX",--(DATOS!$G9305=CONFIG_METADATA!$B$4),IF(DATOS!$G9305="EX",1,IF(DATOS!$G9305="OR",--(COUNTIFS(nNIA,DATOS!$A9305,nCURSO,DATOS!$D9305,nESPEC,DATOS!$E9305,nASIG,DATOS!$I9305,nEVAL,"EX")=0),0))))</f>
      </c>
      <c r="H9305">
        <f>IF(DATOS!$G9305&lt;&gt;"EX",0,--(COUNTIFS(nNIA,DATOS!$A9305,nCURSO,DATOS!$D9305,nESPEC,DATOS!$E9305,nASIG,DATOS!$I9305,nEVAL,"OR")=0))</f>
      </c>
      <c r="I9305">
        <f>IF(DATOS!$I9305="","",IFERROR(VLOOKUP(DATOS!$I9305,CONFIG_ASIGNATURAS!$B$2:$J$91,9,FALSE()),""))</f>
      </c>
    </row>
    <row r="9306">
      <c r="F9306">
        <f>IF(DATOS!$A9306="","",DATOS!$A9306&amp;"|"&amp;DATOS!$D9306&amp;"|"&amp;DATOS!$E9306&amp;"|"&amp;DATOS!$I9306)</f>
      </c>
      <c r="G9306">
        <f>IF(DATOS!$A9306="",0,IF(CONFIG_METADATA!$B$4&lt;&gt;"OR+EX",--(DATOS!$G9306=CONFIG_METADATA!$B$4),IF(DATOS!$G9306="EX",1,IF(DATOS!$G9306="OR",--(COUNTIFS(nNIA,DATOS!$A9306,nCURSO,DATOS!$D9306,nESPEC,DATOS!$E9306,nASIG,DATOS!$I9306,nEVAL,"EX")=0),0))))</f>
      </c>
      <c r="H9306">
        <f>IF(DATOS!$G9306&lt;&gt;"EX",0,--(COUNTIFS(nNIA,DATOS!$A9306,nCURSO,DATOS!$D9306,nESPEC,DATOS!$E9306,nASIG,DATOS!$I9306,nEVAL,"OR")=0))</f>
      </c>
      <c r="I9306">
        <f>IF(DATOS!$I9306="","",IFERROR(VLOOKUP(DATOS!$I9306,CONFIG_ASIGNATURAS!$B$2:$J$91,9,FALSE()),""))</f>
      </c>
    </row>
    <row r="9307">
      <c r="F9307">
        <f>IF(DATOS!$A9307="","",DATOS!$A9307&amp;"|"&amp;DATOS!$D9307&amp;"|"&amp;DATOS!$E9307&amp;"|"&amp;DATOS!$I9307)</f>
      </c>
      <c r="G9307">
        <f>IF(DATOS!$A9307="",0,IF(CONFIG_METADATA!$B$4&lt;&gt;"OR+EX",--(DATOS!$G9307=CONFIG_METADATA!$B$4),IF(DATOS!$G9307="EX",1,IF(DATOS!$G9307="OR",--(COUNTIFS(nNIA,DATOS!$A9307,nCURSO,DATOS!$D9307,nESPEC,DATOS!$E9307,nASIG,DATOS!$I9307,nEVAL,"EX")=0),0))))</f>
      </c>
      <c r="H9307">
        <f>IF(DATOS!$G9307&lt;&gt;"EX",0,--(COUNTIFS(nNIA,DATOS!$A9307,nCURSO,DATOS!$D9307,nESPEC,DATOS!$E9307,nASIG,DATOS!$I9307,nEVAL,"OR")=0))</f>
      </c>
      <c r="I9307">
        <f>IF(DATOS!$I9307="","",IFERROR(VLOOKUP(DATOS!$I9307,CONFIG_ASIGNATURAS!$B$2:$J$91,9,FALSE()),""))</f>
      </c>
    </row>
    <row r="9308">
      <c r="F9308">
        <f>IF(DATOS!$A9308="","",DATOS!$A9308&amp;"|"&amp;DATOS!$D9308&amp;"|"&amp;DATOS!$E9308&amp;"|"&amp;DATOS!$I9308)</f>
      </c>
      <c r="G9308">
        <f>IF(DATOS!$A9308="",0,IF(CONFIG_METADATA!$B$4&lt;&gt;"OR+EX",--(DATOS!$G9308=CONFIG_METADATA!$B$4),IF(DATOS!$G9308="EX",1,IF(DATOS!$G9308="OR",--(COUNTIFS(nNIA,DATOS!$A9308,nCURSO,DATOS!$D9308,nESPEC,DATOS!$E9308,nASIG,DATOS!$I9308,nEVAL,"EX")=0),0))))</f>
      </c>
      <c r="H9308">
        <f>IF(DATOS!$G9308&lt;&gt;"EX",0,--(COUNTIFS(nNIA,DATOS!$A9308,nCURSO,DATOS!$D9308,nESPEC,DATOS!$E9308,nASIG,DATOS!$I9308,nEVAL,"OR")=0))</f>
      </c>
      <c r="I9308">
        <f>IF(DATOS!$I9308="","",IFERROR(VLOOKUP(DATOS!$I9308,CONFIG_ASIGNATURAS!$B$2:$J$91,9,FALSE()),""))</f>
      </c>
    </row>
    <row r="9309">
      <c r="F9309">
        <f>IF(DATOS!$A9309="","",DATOS!$A9309&amp;"|"&amp;DATOS!$D9309&amp;"|"&amp;DATOS!$E9309&amp;"|"&amp;DATOS!$I9309)</f>
      </c>
      <c r="G9309">
        <f>IF(DATOS!$A9309="",0,IF(CONFIG_METADATA!$B$4&lt;&gt;"OR+EX",--(DATOS!$G9309=CONFIG_METADATA!$B$4),IF(DATOS!$G9309="EX",1,IF(DATOS!$G9309="OR",--(COUNTIFS(nNIA,DATOS!$A9309,nCURSO,DATOS!$D9309,nESPEC,DATOS!$E9309,nASIG,DATOS!$I9309,nEVAL,"EX")=0),0))))</f>
      </c>
      <c r="H9309">
        <f>IF(DATOS!$G9309&lt;&gt;"EX",0,--(COUNTIFS(nNIA,DATOS!$A9309,nCURSO,DATOS!$D9309,nESPEC,DATOS!$E9309,nASIG,DATOS!$I9309,nEVAL,"OR")=0))</f>
      </c>
      <c r="I9309">
        <f>IF(DATOS!$I9309="","",IFERROR(VLOOKUP(DATOS!$I9309,CONFIG_ASIGNATURAS!$B$2:$J$91,9,FALSE()),""))</f>
      </c>
    </row>
    <row r="9310">
      <c r="F9310">
        <f>IF(DATOS!$A9310="","",DATOS!$A9310&amp;"|"&amp;DATOS!$D9310&amp;"|"&amp;DATOS!$E9310&amp;"|"&amp;DATOS!$I9310)</f>
      </c>
      <c r="G9310">
        <f>IF(DATOS!$A9310="",0,IF(CONFIG_METADATA!$B$4&lt;&gt;"OR+EX",--(DATOS!$G9310=CONFIG_METADATA!$B$4),IF(DATOS!$G9310="EX",1,IF(DATOS!$G9310="OR",--(COUNTIFS(nNIA,DATOS!$A9310,nCURSO,DATOS!$D9310,nESPEC,DATOS!$E9310,nASIG,DATOS!$I9310,nEVAL,"EX")=0),0))))</f>
      </c>
      <c r="H9310">
        <f>IF(DATOS!$G9310&lt;&gt;"EX",0,--(COUNTIFS(nNIA,DATOS!$A9310,nCURSO,DATOS!$D9310,nESPEC,DATOS!$E9310,nASIG,DATOS!$I9310,nEVAL,"OR")=0))</f>
      </c>
      <c r="I9310">
        <f>IF(DATOS!$I9310="","",IFERROR(VLOOKUP(DATOS!$I9310,CONFIG_ASIGNATURAS!$B$2:$J$91,9,FALSE()),""))</f>
      </c>
    </row>
    <row r="9311">
      <c r="F9311">
        <f>IF(DATOS!$A9311="","",DATOS!$A9311&amp;"|"&amp;DATOS!$D9311&amp;"|"&amp;DATOS!$E9311&amp;"|"&amp;DATOS!$I9311)</f>
      </c>
      <c r="G9311">
        <f>IF(DATOS!$A9311="",0,IF(CONFIG_METADATA!$B$4&lt;&gt;"OR+EX",--(DATOS!$G9311=CONFIG_METADATA!$B$4),IF(DATOS!$G9311="EX",1,IF(DATOS!$G9311="OR",--(COUNTIFS(nNIA,DATOS!$A9311,nCURSO,DATOS!$D9311,nESPEC,DATOS!$E9311,nASIG,DATOS!$I9311,nEVAL,"EX")=0),0))))</f>
      </c>
      <c r="H9311">
        <f>IF(DATOS!$G9311&lt;&gt;"EX",0,--(COUNTIFS(nNIA,DATOS!$A9311,nCURSO,DATOS!$D9311,nESPEC,DATOS!$E9311,nASIG,DATOS!$I9311,nEVAL,"OR")=0))</f>
      </c>
      <c r="I9311">
        <f>IF(DATOS!$I9311="","",IFERROR(VLOOKUP(DATOS!$I9311,CONFIG_ASIGNATURAS!$B$2:$J$91,9,FALSE()),""))</f>
      </c>
    </row>
    <row r="9312">
      <c r="F9312">
        <f>IF(DATOS!$A9312="","",DATOS!$A9312&amp;"|"&amp;DATOS!$D9312&amp;"|"&amp;DATOS!$E9312&amp;"|"&amp;DATOS!$I9312)</f>
      </c>
      <c r="G9312">
        <f>IF(DATOS!$A9312="",0,IF(CONFIG_METADATA!$B$4&lt;&gt;"OR+EX",--(DATOS!$G9312=CONFIG_METADATA!$B$4),IF(DATOS!$G9312="EX",1,IF(DATOS!$G9312="OR",--(COUNTIFS(nNIA,DATOS!$A9312,nCURSO,DATOS!$D9312,nESPEC,DATOS!$E9312,nASIG,DATOS!$I9312,nEVAL,"EX")=0),0))))</f>
      </c>
      <c r="H9312">
        <f>IF(DATOS!$G9312&lt;&gt;"EX",0,--(COUNTIFS(nNIA,DATOS!$A9312,nCURSO,DATOS!$D9312,nESPEC,DATOS!$E9312,nASIG,DATOS!$I9312,nEVAL,"OR")=0))</f>
      </c>
      <c r="I9312">
        <f>IF(DATOS!$I9312="","",IFERROR(VLOOKUP(DATOS!$I9312,CONFIG_ASIGNATURAS!$B$2:$J$91,9,FALSE()),""))</f>
      </c>
    </row>
    <row r="9313">
      <c r="F9313">
        <f>IF(DATOS!$A9313="","",DATOS!$A9313&amp;"|"&amp;DATOS!$D9313&amp;"|"&amp;DATOS!$E9313&amp;"|"&amp;DATOS!$I9313)</f>
      </c>
      <c r="G9313">
        <f>IF(DATOS!$A9313="",0,IF(CONFIG_METADATA!$B$4&lt;&gt;"OR+EX",--(DATOS!$G9313=CONFIG_METADATA!$B$4),IF(DATOS!$G9313="EX",1,IF(DATOS!$G9313="OR",--(COUNTIFS(nNIA,DATOS!$A9313,nCURSO,DATOS!$D9313,nESPEC,DATOS!$E9313,nASIG,DATOS!$I9313,nEVAL,"EX")=0),0))))</f>
      </c>
      <c r="H9313">
        <f>IF(DATOS!$G9313&lt;&gt;"EX",0,--(COUNTIFS(nNIA,DATOS!$A9313,nCURSO,DATOS!$D9313,nESPEC,DATOS!$E9313,nASIG,DATOS!$I9313,nEVAL,"OR")=0))</f>
      </c>
      <c r="I9313">
        <f>IF(DATOS!$I9313="","",IFERROR(VLOOKUP(DATOS!$I9313,CONFIG_ASIGNATURAS!$B$2:$J$91,9,FALSE()),""))</f>
      </c>
    </row>
    <row r="9314">
      <c r="F9314">
        <f>IF(DATOS!$A9314="","",DATOS!$A9314&amp;"|"&amp;DATOS!$D9314&amp;"|"&amp;DATOS!$E9314&amp;"|"&amp;DATOS!$I9314)</f>
      </c>
      <c r="G9314">
        <f>IF(DATOS!$A9314="",0,IF(CONFIG_METADATA!$B$4&lt;&gt;"OR+EX",--(DATOS!$G9314=CONFIG_METADATA!$B$4),IF(DATOS!$G9314="EX",1,IF(DATOS!$G9314="OR",--(COUNTIFS(nNIA,DATOS!$A9314,nCURSO,DATOS!$D9314,nESPEC,DATOS!$E9314,nASIG,DATOS!$I9314,nEVAL,"EX")=0),0))))</f>
      </c>
      <c r="H9314">
        <f>IF(DATOS!$G9314&lt;&gt;"EX",0,--(COUNTIFS(nNIA,DATOS!$A9314,nCURSO,DATOS!$D9314,nESPEC,DATOS!$E9314,nASIG,DATOS!$I9314,nEVAL,"OR")=0))</f>
      </c>
      <c r="I9314">
        <f>IF(DATOS!$I9314="","",IFERROR(VLOOKUP(DATOS!$I9314,CONFIG_ASIGNATURAS!$B$2:$J$91,9,FALSE()),""))</f>
      </c>
    </row>
    <row r="9315">
      <c r="F9315">
        <f>IF(DATOS!$A9315="","",DATOS!$A9315&amp;"|"&amp;DATOS!$D9315&amp;"|"&amp;DATOS!$E9315&amp;"|"&amp;DATOS!$I9315)</f>
      </c>
      <c r="G9315">
        <f>IF(DATOS!$A9315="",0,IF(CONFIG_METADATA!$B$4&lt;&gt;"OR+EX",--(DATOS!$G9315=CONFIG_METADATA!$B$4),IF(DATOS!$G9315="EX",1,IF(DATOS!$G9315="OR",--(COUNTIFS(nNIA,DATOS!$A9315,nCURSO,DATOS!$D9315,nESPEC,DATOS!$E9315,nASIG,DATOS!$I9315,nEVAL,"EX")=0),0))))</f>
      </c>
      <c r="H9315">
        <f>IF(DATOS!$G9315&lt;&gt;"EX",0,--(COUNTIFS(nNIA,DATOS!$A9315,nCURSO,DATOS!$D9315,nESPEC,DATOS!$E9315,nASIG,DATOS!$I9315,nEVAL,"OR")=0))</f>
      </c>
      <c r="I9315">
        <f>IF(DATOS!$I9315="","",IFERROR(VLOOKUP(DATOS!$I9315,CONFIG_ASIGNATURAS!$B$2:$J$91,9,FALSE()),""))</f>
      </c>
    </row>
    <row r="9316">
      <c r="F9316">
        <f>IF(DATOS!$A9316="","",DATOS!$A9316&amp;"|"&amp;DATOS!$D9316&amp;"|"&amp;DATOS!$E9316&amp;"|"&amp;DATOS!$I9316)</f>
      </c>
      <c r="G9316">
        <f>IF(DATOS!$A9316="",0,IF(CONFIG_METADATA!$B$4&lt;&gt;"OR+EX",--(DATOS!$G9316=CONFIG_METADATA!$B$4),IF(DATOS!$G9316="EX",1,IF(DATOS!$G9316="OR",--(COUNTIFS(nNIA,DATOS!$A9316,nCURSO,DATOS!$D9316,nESPEC,DATOS!$E9316,nASIG,DATOS!$I9316,nEVAL,"EX")=0),0))))</f>
      </c>
      <c r="H9316">
        <f>IF(DATOS!$G9316&lt;&gt;"EX",0,--(COUNTIFS(nNIA,DATOS!$A9316,nCURSO,DATOS!$D9316,nESPEC,DATOS!$E9316,nASIG,DATOS!$I9316,nEVAL,"OR")=0))</f>
      </c>
      <c r="I9316">
        <f>IF(DATOS!$I9316="","",IFERROR(VLOOKUP(DATOS!$I9316,CONFIG_ASIGNATURAS!$B$2:$J$91,9,FALSE()),""))</f>
      </c>
    </row>
    <row r="9317">
      <c r="F9317">
        <f>IF(DATOS!$A9317="","",DATOS!$A9317&amp;"|"&amp;DATOS!$D9317&amp;"|"&amp;DATOS!$E9317&amp;"|"&amp;DATOS!$I9317)</f>
      </c>
      <c r="G9317">
        <f>IF(DATOS!$A9317="",0,IF(CONFIG_METADATA!$B$4&lt;&gt;"OR+EX",--(DATOS!$G9317=CONFIG_METADATA!$B$4),IF(DATOS!$G9317="EX",1,IF(DATOS!$G9317="OR",--(COUNTIFS(nNIA,DATOS!$A9317,nCURSO,DATOS!$D9317,nESPEC,DATOS!$E9317,nASIG,DATOS!$I9317,nEVAL,"EX")=0),0))))</f>
      </c>
      <c r="H9317">
        <f>IF(DATOS!$G9317&lt;&gt;"EX",0,--(COUNTIFS(nNIA,DATOS!$A9317,nCURSO,DATOS!$D9317,nESPEC,DATOS!$E9317,nASIG,DATOS!$I9317,nEVAL,"OR")=0))</f>
      </c>
      <c r="I9317">
        <f>IF(DATOS!$I9317="","",IFERROR(VLOOKUP(DATOS!$I9317,CONFIG_ASIGNATURAS!$B$2:$J$91,9,FALSE()),""))</f>
      </c>
    </row>
    <row r="9318">
      <c r="F9318">
        <f>IF(DATOS!$A9318="","",DATOS!$A9318&amp;"|"&amp;DATOS!$D9318&amp;"|"&amp;DATOS!$E9318&amp;"|"&amp;DATOS!$I9318)</f>
      </c>
      <c r="G9318">
        <f>IF(DATOS!$A9318="",0,IF(CONFIG_METADATA!$B$4&lt;&gt;"OR+EX",--(DATOS!$G9318=CONFIG_METADATA!$B$4),IF(DATOS!$G9318="EX",1,IF(DATOS!$G9318="OR",--(COUNTIFS(nNIA,DATOS!$A9318,nCURSO,DATOS!$D9318,nESPEC,DATOS!$E9318,nASIG,DATOS!$I9318,nEVAL,"EX")=0),0))))</f>
      </c>
      <c r="H9318">
        <f>IF(DATOS!$G9318&lt;&gt;"EX",0,--(COUNTIFS(nNIA,DATOS!$A9318,nCURSO,DATOS!$D9318,nESPEC,DATOS!$E9318,nASIG,DATOS!$I9318,nEVAL,"OR")=0))</f>
      </c>
      <c r="I9318">
        <f>IF(DATOS!$I9318="","",IFERROR(VLOOKUP(DATOS!$I9318,CONFIG_ASIGNATURAS!$B$2:$J$91,9,FALSE()),""))</f>
      </c>
    </row>
    <row r="9319">
      <c r="F9319">
        <f>IF(DATOS!$A9319="","",DATOS!$A9319&amp;"|"&amp;DATOS!$D9319&amp;"|"&amp;DATOS!$E9319&amp;"|"&amp;DATOS!$I9319)</f>
      </c>
      <c r="G9319">
        <f>IF(DATOS!$A9319="",0,IF(CONFIG_METADATA!$B$4&lt;&gt;"OR+EX",--(DATOS!$G9319=CONFIG_METADATA!$B$4),IF(DATOS!$G9319="EX",1,IF(DATOS!$G9319="OR",--(COUNTIFS(nNIA,DATOS!$A9319,nCURSO,DATOS!$D9319,nESPEC,DATOS!$E9319,nASIG,DATOS!$I9319,nEVAL,"EX")=0),0))))</f>
      </c>
      <c r="H9319">
        <f>IF(DATOS!$G9319&lt;&gt;"EX",0,--(COUNTIFS(nNIA,DATOS!$A9319,nCURSO,DATOS!$D9319,nESPEC,DATOS!$E9319,nASIG,DATOS!$I9319,nEVAL,"OR")=0))</f>
      </c>
      <c r="I9319">
        <f>IF(DATOS!$I9319="","",IFERROR(VLOOKUP(DATOS!$I9319,CONFIG_ASIGNATURAS!$B$2:$J$91,9,FALSE()),""))</f>
      </c>
    </row>
    <row r="9320">
      <c r="F9320">
        <f>IF(DATOS!$A9320="","",DATOS!$A9320&amp;"|"&amp;DATOS!$D9320&amp;"|"&amp;DATOS!$E9320&amp;"|"&amp;DATOS!$I9320)</f>
      </c>
      <c r="G9320">
        <f>IF(DATOS!$A9320="",0,IF(CONFIG_METADATA!$B$4&lt;&gt;"OR+EX",--(DATOS!$G9320=CONFIG_METADATA!$B$4),IF(DATOS!$G9320="EX",1,IF(DATOS!$G9320="OR",--(COUNTIFS(nNIA,DATOS!$A9320,nCURSO,DATOS!$D9320,nESPEC,DATOS!$E9320,nASIG,DATOS!$I9320,nEVAL,"EX")=0),0))))</f>
      </c>
      <c r="H9320">
        <f>IF(DATOS!$G9320&lt;&gt;"EX",0,--(COUNTIFS(nNIA,DATOS!$A9320,nCURSO,DATOS!$D9320,nESPEC,DATOS!$E9320,nASIG,DATOS!$I9320,nEVAL,"OR")=0))</f>
      </c>
      <c r="I9320">
        <f>IF(DATOS!$I9320="","",IFERROR(VLOOKUP(DATOS!$I9320,CONFIG_ASIGNATURAS!$B$2:$J$91,9,FALSE()),""))</f>
      </c>
    </row>
    <row r="9321">
      <c r="F9321">
        <f>IF(DATOS!$A9321="","",DATOS!$A9321&amp;"|"&amp;DATOS!$D9321&amp;"|"&amp;DATOS!$E9321&amp;"|"&amp;DATOS!$I9321)</f>
      </c>
      <c r="G9321">
        <f>IF(DATOS!$A9321="",0,IF(CONFIG_METADATA!$B$4&lt;&gt;"OR+EX",--(DATOS!$G9321=CONFIG_METADATA!$B$4),IF(DATOS!$G9321="EX",1,IF(DATOS!$G9321="OR",--(COUNTIFS(nNIA,DATOS!$A9321,nCURSO,DATOS!$D9321,nESPEC,DATOS!$E9321,nASIG,DATOS!$I9321,nEVAL,"EX")=0),0))))</f>
      </c>
      <c r="H9321">
        <f>IF(DATOS!$G9321&lt;&gt;"EX",0,--(COUNTIFS(nNIA,DATOS!$A9321,nCURSO,DATOS!$D9321,nESPEC,DATOS!$E9321,nASIG,DATOS!$I9321,nEVAL,"OR")=0))</f>
      </c>
      <c r="I9321">
        <f>IF(DATOS!$I9321="","",IFERROR(VLOOKUP(DATOS!$I9321,CONFIG_ASIGNATURAS!$B$2:$J$91,9,FALSE()),""))</f>
      </c>
    </row>
    <row r="9322">
      <c r="F9322">
        <f>IF(DATOS!$A9322="","",DATOS!$A9322&amp;"|"&amp;DATOS!$D9322&amp;"|"&amp;DATOS!$E9322&amp;"|"&amp;DATOS!$I9322)</f>
      </c>
      <c r="G9322">
        <f>IF(DATOS!$A9322="",0,IF(CONFIG_METADATA!$B$4&lt;&gt;"OR+EX",--(DATOS!$G9322=CONFIG_METADATA!$B$4),IF(DATOS!$G9322="EX",1,IF(DATOS!$G9322="OR",--(COUNTIFS(nNIA,DATOS!$A9322,nCURSO,DATOS!$D9322,nESPEC,DATOS!$E9322,nASIG,DATOS!$I9322,nEVAL,"EX")=0),0))))</f>
      </c>
      <c r="H9322">
        <f>IF(DATOS!$G9322&lt;&gt;"EX",0,--(COUNTIFS(nNIA,DATOS!$A9322,nCURSO,DATOS!$D9322,nESPEC,DATOS!$E9322,nASIG,DATOS!$I9322,nEVAL,"OR")=0))</f>
      </c>
      <c r="I9322">
        <f>IF(DATOS!$I9322="","",IFERROR(VLOOKUP(DATOS!$I9322,CONFIG_ASIGNATURAS!$B$2:$J$91,9,FALSE()),""))</f>
      </c>
    </row>
    <row r="9323">
      <c r="F9323">
        <f>IF(DATOS!$A9323="","",DATOS!$A9323&amp;"|"&amp;DATOS!$D9323&amp;"|"&amp;DATOS!$E9323&amp;"|"&amp;DATOS!$I9323)</f>
      </c>
      <c r="G9323">
        <f>IF(DATOS!$A9323="",0,IF(CONFIG_METADATA!$B$4&lt;&gt;"OR+EX",--(DATOS!$G9323=CONFIG_METADATA!$B$4),IF(DATOS!$G9323="EX",1,IF(DATOS!$G9323="OR",--(COUNTIFS(nNIA,DATOS!$A9323,nCURSO,DATOS!$D9323,nESPEC,DATOS!$E9323,nASIG,DATOS!$I9323,nEVAL,"EX")=0),0))))</f>
      </c>
      <c r="H9323">
        <f>IF(DATOS!$G9323&lt;&gt;"EX",0,--(COUNTIFS(nNIA,DATOS!$A9323,nCURSO,DATOS!$D9323,nESPEC,DATOS!$E9323,nASIG,DATOS!$I9323,nEVAL,"OR")=0))</f>
      </c>
      <c r="I9323">
        <f>IF(DATOS!$I9323="","",IFERROR(VLOOKUP(DATOS!$I9323,CONFIG_ASIGNATURAS!$B$2:$J$91,9,FALSE()),""))</f>
      </c>
    </row>
    <row r="9324">
      <c r="F9324">
        <f>IF(DATOS!$A9324="","",DATOS!$A9324&amp;"|"&amp;DATOS!$D9324&amp;"|"&amp;DATOS!$E9324&amp;"|"&amp;DATOS!$I9324)</f>
      </c>
      <c r="G9324">
        <f>IF(DATOS!$A9324="",0,IF(CONFIG_METADATA!$B$4&lt;&gt;"OR+EX",--(DATOS!$G9324=CONFIG_METADATA!$B$4),IF(DATOS!$G9324="EX",1,IF(DATOS!$G9324="OR",--(COUNTIFS(nNIA,DATOS!$A9324,nCURSO,DATOS!$D9324,nESPEC,DATOS!$E9324,nASIG,DATOS!$I9324,nEVAL,"EX")=0),0))))</f>
      </c>
      <c r="H9324">
        <f>IF(DATOS!$G9324&lt;&gt;"EX",0,--(COUNTIFS(nNIA,DATOS!$A9324,nCURSO,DATOS!$D9324,nESPEC,DATOS!$E9324,nASIG,DATOS!$I9324,nEVAL,"OR")=0))</f>
      </c>
      <c r="I9324">
        <f>IF(DATOS!$I9324="","",IFERROR(VLOOKUP(DATOS!$I9324,CONFIG_ASIGNATURAS!$B$2:$J$91,9,FALSE()),""))</f>
      </c>
    </row>
    <row r="9325">
      <c r="F9325">
        <f>IF(DATOS!$A9325="","",DATOS!$A9325&amp;"|"&amp;DATOS!$D9325&amp;"|"&amp;DATOS!$E9325&amp;"|"&amp;DATOS!$I9325)</f>
      </c>
      <c r="G9325">
        <f>IF(DATOS!$A9325="",0,IF(CONFIG_METADATA!$B$4&lt;&gt;"OR+EX",--(DATOS!$G9325=CONFIG_METADATA!$B$4),IF(DATOS!$G9325="EX",1,IF(DATOS!$G9325="OR",--(COUNTIFS(nNIA,DATOS!$A9325,nCURSO,DATOS!$D9325,nESPEC,DATOS!$E9325,nASIG,DATOS!$I9325,nEVAL,"EX")=0),0))))</f>
      </c>
      <c r="H9325">
        <f>IF(DATOS!$G9325&lt;&gt;"EX",0,--(COUNTIFS(nNIA,DATOS!$A9325,nCURSO,DATOS!$D9325,nESPEC,DATOS!$E9325,nASIG,DATOS!$I9325,nEVAL,"OR")=0))</f>
      </c>
      <c r="I9325">
        <f>IF(DATOS!$I9325="","",IFERROR(VLOOKUP(DATOS!$I9325,CONFIG_ASIGNATURAS!$B$2:$J$91,9,FALSE()),""))</f>
      </c>
    </row>
    <row r="9326">
      <c r="F9326">
        <f>IF(DATOS!$A9326="","",DATOS!$A9326&amp;"|"&amp;DATOS!$D9326&amp;"|"&amp;DATOS!$E9326&amp;"|"&amp;DATOS!$I9326)</f>
      </c>
      <c r="G9326">
        <f>IF(DATOS!$A9326="",0,IF(CONFIG_METADATA!$B$4&lt;&gt;"OR+EX",--(DATOS!$G9326=CONFIG_METADATA!$B$4),IF(DATOS!$G9326="EX",1,IF(DATOS!$G9326="OR",--(COUNTIFS(nNIA,DATOS!$A9326,nCURSO,DATOS!$D9326,nESPEC,DATOS!$E9326,nASIG,DATOS!$I9326,nEVAL,"EX")=0),0))))</f>
      </c>
      <c r="H9326">
        <f>IF(DATOS!$G9326&lt;&gt;"EX",0,--(COUNTIFS(nNIA,DATOS!$A9326,nCURSO,DATOS!$D9326,nESPEC,DATOS!$E9326,nASIG,DATOS!$I9326,nEVAL,"OR")=0))</f>
      </c>
      <c r="I9326">
        <f>IF(DATOS!$I9326="","",IFERROR(VLOOKUP(DATOS!$I9326,CONFIG_ASIGNATURAS!$B$2:$J$91,9,FALSE()),""))</f>
      </c>
    </row>
    <row r="9327">
      <c r="F9327">
        <f>IF(DATOS!$A9327="","",DATOS!$A9327&amp;"|"&amp;DATOS!$D9327&amp;"|"&amp;DATOS!$E9327&amp;"|"&amp;DATOS!$I9327)</f>
      </c>
      <c r="G9327">
        <f>IF(DATOS!$A9327="",0,IF(CONFIG_METADATA!$B$4&lt;&gt;"OR+EX",--(DATOS!$G9327=CONFIG_METADATA!$B$4),IF(DATOS!$G9327="EX",1,IF(DATOS!$G9327="OR",--(COUNTIFS(nNIA,DATOS!$A9327,nCURSO,DATOS!$D9327,nESPEC,DATOS!$E9327,nASIG,DATOS!$I9327,nEVAL,"EX")=0),0))))</f>
      </c>
      <c r="H9327">
        <f>IF(DATOS!$G9327&lt;&gt;"EX",0,--(COUNTIFS(nNIA,DATOS!$A9327,nCURSO,DATOS!$D9327,nESPEC,DATOS!$E9327,nASIG,DATOS!$I9327,nEVAL,"OR")=0))</f>
      </c>
      <c r="I9327">
        <f>IF(DATOS!$I9327="","",IFERROR(VLOOKUP(DATOS!$I9327,CONFIG_ASIGNATURAS!$B$2:$J$91,9,FALSE()),""))</f>
      </c>
    </row>
    <row r="9328">
      <c r="F9328">
        <f>IF(DATOS!$A9328="","",DATOS!$A9328&amp;"|"&amp;DATOS!$D9328&amp;"|"&amp;DATOS!$E9328&amp;"|"&amp;DATOS!$I9328)</f>
      </c>
      <c r="G9328">
        <f>IF(DATOS!$A9328="",0,IF(CONFIG_METADATA!$B$4&lt;&gt;"OR+EX",--(DATOS!$G9328=CONFIG_METADATA!$B$4),IF(DATOS!$G9328="EX",1,IF(DATOS!$G9328="OR",--(COUNTIFS(nNIA,DATOS!$A9328,nCURSO,DATOS!$D9328,nESPEC,DATOS!$E9328,nASIG,DATOS!$I9328,nEVAL,"EX")=0),0))))</f>
      </c>
      <c r="H9328">
        <f>IF(DATOS!$G9328&lt;&gt;"EX",0,--(COUNTIFS(nNIA,DATOS!$A9328,nCURSO,DATOS!$D9328,nESPEC,DATOS!$E9328,nASIG,DATOS!$I9328,nEVAL,"OR")=0))</f>
      </c>
      <c r="I9328">
        <f>IF(DATOS!$I9328="","",IFERROR(VLOOKUP(DATOS!$I9328,CONFIG_ASIGNATURAS!$B$2:$J$91,9,FALSE()),""))</f>
      </c>
    </row>
    <row r="9329">
      <c r="F9329">
        <f>IF(DATOS!$A9329="","",DATOS!$A9329&amp;"|"&amp;DATOS!$D9329&amp;"|"&amp;DATOS!$E9329&amp;"|"&amp;DATOS!$I9329)</f>
      </c>
      <c r="G9329">
        <f>IF(DATOS!$A9329="",0,IF(CONFIG_METADATA!$B$4&lt;&gt;"OR+EX",--(DATOS!$G9329=CONFIG_METADATA!$B$4),IF(DATOS!$G9329="EX",1,IF(DATOS!$G9329="OR",--(COUNTIFS(nNIA,DATOS!$A9329,nCURSO,DATOS!$D9329,nESPEC,DATOS!$E9329,nASIG,DATOS!$I9329,nEVAL,"EX")=0),0))))</f>
      </c>
      <c r="H9329">
        <f>IF(DATOS!$G9329&lt;&gt;"EX",0,--(COUNTIFS(nNIA,DATOS!$A9329,nCURSO,DATOS!$D9329,nESPEC,DATOS!$E9329,nASIG,DATOS!$I9329,nEVAL,"OR")=0))</f>
      </c>
      <c r="I9329">
        <f>IF(DATOS!$I9329="","",IFERROR(VLOOKUP(DATOS!$I9329,CONFIG_ASIGNATURAS!$B$2:$J$91,9,FALSE()),""))</f>
      </c>
    </row>
    <row r="9330">
      <c r="F9330">
        <f>IF(DATOS!$A9330="","",DATOS!$A9330&amp;"|"&amp;DATOS!$D9330&amp;"|"&amp;DATOS!$E9330&amp;"|"&amp;DATOS!$I9330)</f>
      </c>
      <c r="G9330">
        <f>IF(DATOS!$A9330="",0,IF(CONFIG_METADATA!$B$4&lt;&gt;"OR+EX",--(DATOS!$G9330=CONFIG_METADATA!$B$4),IF(DATOS!$G9330="EX",1,IF(DATOS!$G9330="OR",--(COUNTIFS(nNIA,DATOS!$A9330,nCURSO,DATOS!$D9330,nESPEC,DATOS!$E9330,nASIG,DATOS!$I9330,nEVAL,"EX")=0),0))))</f>
      </c>
      <c r="H9330">
        <f>IF(DATOS!$G9330&lt;&gt;"EX",0,--(COUNTIFS(nNIA,DATOS!$A9330,nCURSO,DATOS!$D9330,nESPEC,DATOS!$E9330,nASIG,DATOS!$I9330,nEVAL,"OR")=0))</f>
      </c>
      <c r="I9330">
        <f>IF(DATOS!$I9330="","",IFERROR(VLOOKUP(DATOS!$I9330,CONFIG_ASIGNATURAS!$B$2:$J$91,9,FALSE()),""))</f>
      </c>
    </row>
    <row r="9331">
      <c r="F9331">
        <f>IF(DATOS!$A9331="","",DATOS!$A9331&amp;"|"&amp;DATOS!$D9331&amp;"|"&amp;DATOS!$E9331&amp;"|"&amp;DATOS!$I9331)</f>
      </c>
      <c r="G9331">
        <f>IF(DATOS!$A9331="",0,IF(CONFIG_METADATA!$B$4&lt;&gt;"OR+EX",--(DATOS!$G9331=CONFIG_METADATA!$B$4),IF(DATOS!$G9331="EX",1,IF(DATOS!$G9331="OR",--(COUNTIFS(nNIA,DATOS!$A9331,nCURSO,DATOS!$D9331,nESPEC,DATOS!$E9331,nASIG,DATOS!$I9331,nEVAL,"EX")=0),0))))</f>
      </c>
      <c r="H9331">
        <f>IF(DATOS!$G9331&lt;&gt;"EX",0,--(COUNTIFS(nNIA,DATOS!$A9331,nCURSO,DATOS!$D9331,nESPEC,DATOS!$E9331,nASIG,DATOS!$I9331,nEVAL,"OR")=0))</f>
      </c>
      <c r="I9331">
        <f>IF(DATOS!$I9331="","",IFERROR(VLOOKUP(DATOS!$I9331,CONFIG_ASIGNATURAS!$B$2:$J$91,9,FALSE()),""))</f>
      </c>
    </row>
    <row r="9332">
      <c r="F9332">
        <f>IF(DATOS!$A9332="","",DATOS!$A9332&amp;"|"&amp;DATOS!$D9332&amp;"|"&amp;DATOS!$E9332&amp;"|"&amp;DATOS!$I9332)</f>
      </c>
      <c r="G9332">
        <f>IF(DATOS!$A9332="",0,IF(CONFIG_METADATA!$B$4&lt;&gt;"OR+EX",--(DATOS!$G9332=CONFIG_METADATA!$B$4),IF(DATOS!$G9332="EX",1,IF(DATOS!$G9332="OR",--(COUNTIFS(nNIA,DATOS!$A9332,nCURSO,DATOS!$D9332,nESPEC,DATOS!$E9332,nASIG,DATOS!$I9332,nEVAL,"EX")=0),0))))</f>
      </c>
      <c r="H9332">
        <f>IF(DATOS!$G9332&lt;&gt;"EX",0,--(COUNTIFS(nNIA,DATOS!$A9332,nCURSO,DATOS!$D9332,nESPEC,DATOS!$E9332,nASIG,DATOS!$I9332,nEVAL,"OR")=0))</f>
      </c>
      <c r="I9332">
        <f>IF(DATOS!$I9332="","",IFERROR(VLOOKUP(DATOS!$I9332,CONFIG_ASIGNATURAS!$B$2:$J$91,9,FALSE()),""))</f>
      </c>
    </row>
    <row r="9333">
      <c r="F9333">
        <f>IF(DATOS!$A9333="","",DATOS!$A9333&amp;"|"&amp;DATOS!$D9333&amp;"|"&amp;DATOS!$E9333&amp;"|"&amp;DATOS!$I9333)</f>
      </c>
      <c r="G9333">
        <f>IF(DATOS!$A9333="",0,IF(CONFIG_METADATA!$B$4&lt;&gt;"OR+EX",--(DATOS!$G9333=CONFIG_METADATA!$B$4),IF(DATOS!$G9333="EX",1,IF(DATOS!$G9333="OR",--(COUNTIFS(nNIA,DATOS!$A9333,nCURSO,DATOS!$D9333,nESPEC,DATOS!$E9333,nASIG,DATOS!$I9333,nEVAL,"EX")=0),0))))</f>
      </c>
      <c r="H9333">
        <f>IF(DATOS!$G9333&lt;&gt;"EX",0,--(COUNTIFS(nNIA,DATOS!$A9333,nCURSO,DATOS!$D9333,nESPEC,DATOS!$E9333,nASIG,DATOS!$I9333,nEVAL,"OR")=0))</f>
      </c>
      <c r="I9333">
        <f>IF(DATOS!$I9333="","",IFERROR(VLOOKUP(DATOS!$I9333,CONFIG_ASIGNATURAS!$B$2:$J$91,9,FALSE()),""))</f>
      </c>
    </row>
    <row r="9334">
      <c r="F9334">
        <f>IF(DATOS!$A9334="","",DATOS!$A9334&amp;"|"&amp;DATOS!$D9334&amp;"|"&amp;DATOS!$E9334&amp;"|"&amp;DATOS!$I9334)</f>
      </c>
      <c r="G9334">
        <f>IF(DATOS!$A9334="",0,IF(CONFIG_METADATA!$B$4&lt;&gt;"OR+EX",--(DATOS!$G9334=CONFIG_METADATA!$B$4),IF(DATOS!$G9334="EX",1,IF(DATOS!$G9334="OR",--(COUNTIFS(nNIA,DATOS!$A9334,nCURSO,DATOS!$D9334,nESPEC,DATOS!$E9334,nASIG,DATOS!$I9334,nEVAL,"EX")=0),0))))</f>
      </c>
      <c r="H9334">
        <f>IF(DATOS!$G9334&lt;&gt;"EX",0,--(COUNTIFS(nNIA,DATOS!$A9334,nCURSO,DATOS!$D9334,nESPEC,DATOS!$E9334,nASIG,DATOS!$I9334,nEVAL,"OR")=0))</f>
      </c>
      <c r="I9334">
        <f>IF(DATOS!$I9334="","",IFERROR(VLOOKUP(DATOS!$I9334,CONFIG_ASIGNATURAS!$B$2:$J$91,9,FALSE()),""))</f>
      </c>
    </row>
    <row r="9335">
      <c r="F9335">
        <f>IF(DATOS!$A9335="","",DATOS!$A9335&amp;"|"&amp;DATOS!$D9335&amp;"|"&amp;DATOS!$E9335&amp;"|"&amp;DATOS!$I9335)</f>
      </c>
      <c r="G9335">
        <f>IF(DATOS!$A9335="",0,IF(CONFIG_METADATA!$B$4&lt;&gt;"OR+EX",--(DATOS!$G9335=CONFIG_METADATA!$B$4),IF(DATOS!$G9335="EX",1,IF(DATOS!$G9335="OR",--(COUNTIFS(nNIA,DATOS!$A9335,nCURSO,DATOS!$D9335,nESPEC,DATOS!$E9335,nASIG,DATOS!$I9335,nEVAL,"EX")=0),0))))</f>
      </c>
      <c r="H9335">
        <f>IF(DATOS!$G9335&lt;&gt;"EX",0,--(COUNTIFS(nNIA,DATOS!$A9335,nCURSO,DATOS!$D9335,nESPEC,DATOS!$E9335,nASIG,DATOS!$I9335,nEVAL,"OR")=0))</f>
      </c>
      <c r="I9335">
        <f>IF(DATOS!$I9335="","",IFERROR(VLOOKUP(DATOS!$I9335,CONFIG_ASIGNATURAS!$B$2:$J$91,9,FALSE()),""))</f>
      </c>
    </row>
    <row r="9336">
      <c r="F9336">
        <f>IF(DATOS!$A9336="","",DATOS!$A9336&amp;"|"&amp;DATOS!$D9336&amp;"|"&amp;DATOS!$E9336&amp;"|"&amp;DATOS!$I9336)</f>
      </c>
      <c r="G9336">
        <f>IF(DATOS!$A9336="",0,IF(CONFIG_METADATA!$B$4&lt;&gt;"OR+EX",--(DATOS!$G9336=CONFIG_METADATA!$B$4),IF(DATOS!$G9336="EX",1,IF(DATOS!$G9336="OR",--(COUNTIFS(nNIA,DATOS!$A9336,nCURSO,DATOS!$D9336,nESPEC,DATOS!$E9336,nASIG,DATOS!$I9336,nEVAL,"EX")=0),0))))</f>
      </c>
      <c r="H9336">
        <f>IF(DATOS!$G9336&lt;&gt;"EX",0,--(COUNTIFS(nNIA,DATOS!$A9336,nCURSO,DATOS!$D9336,nESPEC,DATOS!$E9336,nASIG,DATOS!$I9336,nEVAL,"OR")=0))</f>
      </c>
      <c r="I9336">
        <f>IF(DATOS!$I9336="","",IFERROR(VLOOKUP(DATOS!$I9336,CONFIG_ASIGNATURAS!$B$2:$J$91,9,FALSE()),""))</f>
      </c>
    </row>
    <row r="9337">
      <c r="F9337">
        <f>IF(DATOS!$A9337="","",DATOS!$A9337&amp;"|"&amp;DATOS!$D9337&amp;"|"&amp;DATOS!$E9337&amp;"|"&amp;DATOS!$I9337)</f>
      </c>
      <c r="G9337">
        <f>IF(DATOS!$A9337="",0,IF(CONFIG_METADATA!$B$4&lt;&gt;"OR+EX",--(DATOS!$G9337=CONFIG_METADATA!$B$4),IF(DATOS!$G9337="EX",1,IF(DATOS!$G9337="OR",--(COUNTIFS(nNIA,DATOS!$A9337,nCURSO,DATOS!$D9337,nESPEC,DATOS!$E9337,nASIG,DATOS!$I9337,nEVAL,"EX")=0),0))))</f>
      </c>
      <c r="H9337">
        <f>IF(DATOS!$G9337&lt;&gt;"EX",0,--(COUNTIFS(nNIA,DATOS!$A9337,nCURSO,DATOS!$D9337,nESPEC,DATOS!$E9337,nASIG,DATOS!$I9337,nEVAL,"OR")=0))</f>
      </c>
      <c r="I9337">
        <f>IF(DATOS!$I9337="","",IFERROR(VLOOKUP(DATOS!$I9337,CONFIG_ASIGNATURAS!$B$2:$J$91,9,FALSE()),""))</f>
      </c>
    </row>
    <row r="9338">
      <c r="F9338">
        <f>IF(DATOS!$A9338="","",DATOS!$A9338&amp;"|"&amp;DATOS!$D9338&amp;"|"&amp;DATOS!$E9338&amp;"|"&amp;DATOS!$I9338)</f>
      </c>
      <c r="G9338">
        <f>IF(DATOS!$A9338="",0,IF(CONFIG_METADATA!$B$4&lt;&gt;"OR+EX",--(DATOS!$G9338=CONFIG_METADATA!$B$4),IF(DATOS!$G9338="EX",1,IF(DATOS!$G9338="OR",--(COUNTIFS(nNIA,DATOS!$A9338,nCURSO,DATOS!$D9338,nESPEC,DATOS!$E9338,nASIG,DATOS!$I9338,nEVAL,"EX")=0),0))))</f>
      </c>
      <c r="H9338">
        <f>IF(DATOS!$G9338&lt;&gt;"EX",0,--(COUNTIFS(nNIA,DATOS!$A9338,nCURSO,DATOS!$D9338,nESPEC,DATOS!$E9338,nASIG,DATOS!$I9338,nEVAL,"OR")=0))</f>
      </c>
      <c r="I9338">
        <f>IF(DATOS!$I9338="","",IFERROR(VLOOKUP(DATOS!$I9338,CONFIG_ASIGNATURAS!$B$2:$J$91,9,FALSE()),""))</f>
      </c>
    </row>
    <row r="9339">
      <c r="F9339">
        <f>IF(DATOS!$A9339="","",DATOS!$A9339&amp;"|"&amp;DATOS!$D9339&amp;"|"&amp;DATOS!$E9339&amp;"|"&amp;DATOS!$I9339)</f>
      </c>
      <c r="G9339">
        <f>IF(DATOS!$A9339="",0,IF(CONFIG_METADATA!$B$4&lt;&gt;"OR+EX",--(DATOS!$G9339=CONFIG_METADATA!$B$4),IF(DATOS!$G9339="EX",1,IF(DATOS!$G9339="OR",--(COUNTIFS(nNIA,DATOS!$A9339,nCURSO,DATOS!$D9339,nESPEC,DATOS!$E9339,nASIG,DATOS!$I9339,nEVAL,"EX")=0),0))))</f>
      </c>
      <c r="H9339">
        <f>IF(DATOS!$G9339&lt;&gt;"EX",0,--(COUNTIFS(nNIA,DATOS!$A9339,nCURSO,DATOS!$D9339,nESPEC,DATOS!$E9339,nASIG,DATOS!$I9339,nEVAL,"OR")=0))</f>
      </c>
      <c r="I9339">
        <f>IF(DATOS!$I9339="","",IFERROR(VLOOKUP(DATOS!$I9339,CONFIG_ASIGNATURAS!$B$2:$J$91,9,FALSE()),""))</f>
      </c>
    </row>
    <row r="9340">
      <c r="F9340">
        <f>IF(DATOS!$A9340="","",DATOS!$A9340&amp;"|"&amp;DATOS!$D9340&amp;"|"&amp;DATOS!$E9340&amp;"|"&amp;DATOS!$I9340)</f>
      </c>
      <c r="G9340">
        <f>IF(DATOS!$A9340="",0,IF(CONFIG_METADATA!$B$4&lt;&gt;"OR+EX",--(DATOS!$G9340=CONFIG_METADATA!$B$4),IF(DATOS!$G9340="EX",1,IF(DATOS!$G9340="OR",--(COUNTIFS(nNIA,DATOS!$A9340,nCURSO,DATOS!$D9340,nESPEC,DATOS!$E9340,nASIG,DATOS!$I9340,nEVAL,"EX")=0),0))))</f>
      </c>
      <c r="H9340">
        <f>IF(DATOS!$G9340&lt;&gt;"EX",0,--(COUNTIFS(nNIA,DATOS!$A9340,nCURSO,DATOS!$D9340,nESPEC,DATOS!$E9340,nASIG,DATOS!$I9340,nEVAL,"OR")=0))</f>
      </c>
      <c r="I9340">
        <f>IF(DATOS!$I9340="","",IFERROR(VLOOKUP(DATOS!$I9340,CONFIG_ASIGNATURAS!$B$2:$J$91,9,FALSE()),""))</f>
      </c>
    </row>
    <row r="9341">
      <c r="F9341">
        <f>IF(DATOS!$A9341="","",DATOS!$A9341&amp;"|"&amp;DATOS!$D9341&amp;"|"&amp;DATOS!$E9341&amp;"|"&amp;DATOS!$I9341)</f>
      </c>
      <c r="G9341">
        <f>IF(DATOS!$A9341="",0,IF(CONFIG_METADATA!$B$4&lt;&gt;"OR+EX",--(DATOS!$G9341=CONFIG_METADATA!$B$4),IF(DATOS!$G9341="EX",1,IF(DATOS!$G9341="OR",--(COUNTIFS(nNIA,DATOS!$A9341,nCURSO,DATOS!$D9341,nESPEC,DATOS!$E9341,nASIG,DATOS!$I9341,nEVAL,"EX")=0),0))))</f>
      </c>
      <c r="H9341">
        <f>IF(DATOS!$G9341&lt;&gt;"EX",0,--(COUNTIFS(nNIA,DATOS!$A9341,nCURSO,DATOS!$D9341,nESPEC,DATOS!$E9341,nASIG,DATOS!$I9341,nEVAL,"OR")=0))</f>
      </c>
      <c r="I9341">
        <f>IF(DATOS!$I9341="","",IFERROR(VLOOKUP(DATOS!$I9341,CONFIG_ASIGNATURAS!$B$2:$J$91,9,FALSE()),""))</f>
      </c>
    </row>
    <row r="9342">
      <c r="F9342">
        <f>IF(DATOS!$A9342="","",DATOS!$A9342&amp;"|"&amp;DATOS!$D9342&amp;"|"&amp;DATOS!$E9342&amp;"|"&amp;DATOS!$I9342)</f>
      </c>
      <c r="G9342">
        <f>IF(DATOS!$A9342="",0,IF(CONFIG_METADATA!$B$4&lt;&gt;"OR+EX",--(DATOS!$G9342=CONFIG_METADATA!$B$4),IF(DATOS!$G9342="EX",1,IF(DATOS!$G9342="OR",--(COUNTIFS(nNIA,DATOS!$A9342,nCURSO,DATOS!$D9342,nESPEC,DATOS!$E9342,nASIG,DATOS!$I9342,nEVAL,"EX")=0),0))))</f>
      </c>
      <c r="H9342">
        <f>IF(DATOS!$G9342&lt;&gt;"EX",0,--(COUNTIFS(nNIA,DATOS!$A9342,nCURSO,DATOS!$D9342,nESPEC,DATOS!$E9342,nASIG,DATOS!$I9342,nEVAL,"OR")=0))</f>
      </c>
      <c r="I9342">
        <f>IF(DATOS!$I9342="","",IFERROR(VLOOKUP(DATOS!$I9342,CONFIG_ASIGNATURAS!$B$2:$J$91,9,FALSE()),""))</f>
      </c>
    </row>
    <row r="9343">
      <c r="F9343">
        <f>IF(DATOS!$A9343="","",DATOS!$A9343&amp;"|"&amp;DATOS!$D9343&amp;"|"&amp;DATOS!$E9343&amp;"|"&amp;DATOS!$I9343)</f>
      </c>
      <c r="G9343">
        <f>IF(DATOS!$A9343="",0,IF(CONFIG_METADATA!$B$4&lt;&gt;"OR+EX",--(DATOS!$G9343=CONFIG_METADATA!$B$4),IF(DATOS!$G9343="EX",1,IF(DATOS!$G9343="OR",--(COUNTIFS(nNIA,DATOS!$A9343,nCURSO,DATOS!$D9343,nESPEC,DATOS!$E9343,nASIG,DATOS!$I9343,nEVAL,"EX")=0),0))))</f>
      </c>
      <c r="H9343">
        <f>IF(DATOS!$G9343&lt;&gt;"EX",0,--(COUNTIFS(nNIA,DATOS!$A9343,nCURSO,DATOS!$D9343,nESPEC,DATOS!$E9343,nASIG,DATOS!$I9343,nEVAL,"OR")=0))</f>
      </c>
      <c r="I9343">
        <f>IF(DATOS!$I9343="","",IFERROR(VLOOKUP(DATOS!$I9343,CONFIG_ASIGNATURAS!$B$2:$J$91,9,FALSE()),""))</f>
      </c>
    </row>
    <row r="9344">
      <c r="F9344">
        <f>IF(DATOS!$A9344="","",DATOS!$A9344&amp;"|"&amp;DATOS!$D9344&amp;"|"&amp;DATOS!$E9344&amp;"|"&amp;DATOS!$I9344)</f>
      </c>
      <c r="G9344">
        <f>IF(DATOS!$A9344="",0,IF(CONFIG_METADATA!$B$4&lt;&gt;"OR+EX",--(DATOS!$G9344=CONFIG_METADATA!$B$4),IF(DATOS!$G9344="EX",1,IF(DATOS!$G9344="OR",--(COUNTIFS(nNIA,DATOS!$A9344,nCURSO,DATOS!$D9344,nESPEC,DATOS!$E9344,nASIG,DATOS!$I9344,nEVAL,"EX")=0),0))))</f>
      </c>
      <c r="H9344">
        <f>IF(DATOS!$G9344&lt;&gt;"EX",0,--(COUNTIFS(nNIA,DATOS!$A9344,nCURSO,DATOS!$D9344,nESPEC,DATOS!$E9344,nASIG,DATOS!$I9344,nEVAL,"OR")=0))</f>
      </c>
      <c r="I9344">
        <f>IF(DATOS!$I9344="","",IFERROR(VLOOKUP(DATOS!$I9344,CONFIG_ASIGNATURAS!$B$2:$J$91,9,FALSE()),""))</f>
      </c>
    </row>
    <row r="9345">
      <c r="F9345">
        <f>IF(DATOS!$A9345="","",DATOS!$A9345&amp;"|"&amp;DATOS!$D9345&amp;"|"&amp;DATOS!$E9345&amp;"|"&amp;DATOS!$I9345)</f>
      </c>
      <c r="G9345">
        <f>IF(DATOS!$A9345="",0,IF(CONFIG_METADATA!$B$4&lt;&gt;"OR+EX",--(DATOS!$G9345=CONFIG_METADATA!$B$4),IF(DATOS!$G9345="EX",1,IF(DATOS!$G9345="OR",--(COUNTIFS(nNIA,DATOS!$A9345,nCURSO,DATOS!$D9345,nESPEC,DATOS!$E9345,nASIG,DATOS!$I9345,nEVAL,"EX")=0),0))))</f>
      </c>
      <c r="H9345">
        <f>IF(DATOS!$G9345&lt;&gt;"EX",0,--(COUNTIFS(nNIA,DATOS!$A9345,nCURSO,DATOS!$D9345,nESPEC,DATOS!$E9345,nASIG,DATOS!$I9345,nEVAL,"OR")=0))</f>
      </c>
      <c r="I9345">
        <f>IF(DATOS!$I9345="","",IFERROR(VLOOKUP(DATOS!$I9345,CONFIG_ASIGNATURAS!$B$2:$J$91,9,FALSE()),""))</f>
      </c>
    </row>
    <row r="9346">
      <c r="F9346">
        <f>IF(DATOS!$A9346="","",DATOS!$A9346&amp;"|"&amp;DATOS!$D9346&amp;"|"&amp;DATOS!$E9346&amp;"|"&amp;DATOS!$I9346)</f>
      </c>
      <c r="G9346">
        <f>IF(DATOS!$A9346="",0,IF(CONFIG_METADATA!$B$4&lt;&gt;"OR+EX",--(DATOS!$G9346=CONFIG_METADATA!$B$4),IF(DATOS!$G9346="EX",1,IF(DATOS!$G9346="OR",--(COUNTIFS(nNIA,DATOS!$A9346,nCURSO,DATOS!$D9346,nESPEC,DATOS!$E9346,nASIG,DATOS!$I9346,nEVAL,"EX")=0),0))))</f>
      </c>
      <c r="H9346">
        <f>IF(DATOS!$G9346&lt;&gt;"EX",0,--(COUNTIFS(nNIA,DATOS!$A9346,nCURSO,DATOS!$D9346,nESPEC,DATOS!$E9346,nASIG,DATOS!$I9346,nEVAL,"OR")=0))</f>
      </c>
      <c r="I9346">
        <f>IF(DATOS!$I9346="","",IFERROR(VLOOKUP(DATOS!$I9346,CONFIG_ASIGNATURAS!$B$2:$J$91,9,FALSE()),""))</f>
      </c>
    </row>
    <row r="9347">
      <c r="F9347">
        <f>IF(DATOS!$A9347="","",DATOS!$A9347&amp;"|"&amp;DATOS!$D9347&amp;"|"&amp;DATOS!$E9347&amp;"|"&amp;DATOS!$I9347)</f>
      </c>
      <c r="G9347">
        <f>IF(DATOS!$A9347="",0,IF(CONFIG_METADATA!$B$4&lt;&gt;"OR+EX",--(DATOS!$G9347=CONFIG_METADATA!$B$4),IF(DATOS!$G9347="EX",1,IF(DATOS!$G9347="OR",--(COUNTIFS(nNIA,DATOS!$A9347,nCURSO,DATOS!$D9347,nESPEC,DATOS!$E9347,nASIG,DATOS!$I9347,nEVAL,"EX")=0),0))))</f>
      </c>
      <c r="H9347">
        <f>IF(DATOS!$G9347&lt;&gt;"EX",0,--(COUNTIFS(nNIA,DATOS!$A9347,nCURSO,DATOS!$D9347,nESPEC,DATOS!$E9347,nASIG,DATOS!$I9347,nEVAL,"OR")=0))</f>
      </c>
      <c r="I9347">
        <f>IF(DATOS!$I9347="","",IFERROR(VLOOKUP(DATOS!$I9347,CONFIG_ASIGNATURAS!$B$2:$J$91,9,FALSE()),""))</f>
      </c>
    </row>
    <row r="9348">
      <c r="F9348">
        <f>IF(DATOS!$A9348="","",DATOS!$A9348&amp;"|"&amp;DATOS!$D9348&amp;"|"&amp;DATOS!$E9348&amp;"|"&amp;DATOS!$I9348)</f>
      </c>
      <c r="G9348">
        <f>IF(DATOS!$A9348="",0,IF(CONFIG_METADATA!$B$4&lt;&gt;"OR+EX",--(DATOS!$G9348=CONFIG_METADATA!$B$4),IF(DATOS!$G9348="EX",1,IF(DATOS!$G9348="OR",--(COUNTIFS(nNIA,DATOS!$A9348,nCURSO,DATOS!$D9348,nESPEC,DATOS!$E9348,nASIG,DATOS!$I9348,nEVAL,"EX")=0),0))))</f>
      </c>
      <c r="H9348">
        <f>IF(DATOS!$G9348&lt;&gt;"EX",0,--(COUNTIFS(nNIA,DATOS!$A9348,nCURSO,DATOS!$D9348,nESPEC,DATOS!$E9348,nASIG,DATOS!$I9348,nEVAL,"OR")=0))</f>
      </c>
      <c r="I9348">
        <f>IF(DATOS!$I9348="","",IFERROR(VLOOKUP(DATOS!$I9348,CONFIG_ASIGNATURAS!$B$2:$J$91,9,FALSE()),""))</f>
      </c>
    </row>
    <row r="9349">
      <c r="F9349">
        <f>IF(DATOS!$A9349="","",DATOS!$A9349&amp;"|"&amp;DATOS!$D9349&amp;"|"&amp;DATOS!$E9349&amp;"|"&amp;DATOS!$I9349)</f>
      </c>
      <c r="G9349">
        <f>IF(DATOS!$A9349="",0,IF(CONFIG_METADATA!$B$4&lt;&gt;"OR+EX",--(DATOS!$G9349=CONFIG_METADATA!$B$4),IF(DATOS!$G9349="EX",1,IF(DATOS!$G9349="OR",--(COUNTIFS(nNIA,DATOS!$A9349,nCURSO,DATOS!$D9349,nESPEC,DATOS!$E9349,nASIG,DATOS!$I9349,nEVAL,"EX")=0),0))))</f>
      </c>
      <c r="H9349">
        <f>IF(DATOS!$G9349&lt;&gt;"EX",0,--(COUNTIFS(nNIA,DATOS!$A9349,nCURSO,DATOS!$D9349,nESPEC,DATOS!$E9349,nASIG,DATOS!$I9349,nEVAL,"OR")=0))</f>
      </c>
      <c r="I9349">
        <f>IF(DATOS!$I9349="","",IFERROR(VLOOKUP(DATOS!$I9349,CONFIG_ASIGNATURAS!$B$2:$J$91,9,FALSE()),""))</f>
      </c>
    </row>
    <row r="9350">
      <c r="F9350">
        <f>IF(DATOS!$A9350="","",DATOS!$A9350&amp;"|"&amp;DATOS!$D9350&amp;"|"&amp;DATOS!$E9350&amp;"|"&amp;DATOS!$I9350)</f>
      </c>
      <c r="G9350">
        <f>IF(DATOS!$A9350="",0,IF(CONFIG_METADATA!$B$4&lt;&gt;"OR+EX",--(DATOS!$G9350=CONFIG_METADATA!$B$4),IF(DATOS!$G9350="EX",1,IF(DATOS!$G9350="OR",--(COUNTIFS(nNIA,DATOS!$A9350,nCURSO,DATOS!$D9350,nESPEC,DATOS!$E9350,nASIG,DATOS!$I9350,nEVAL,"EX")=0),0))))</f>
      </c>
      <c r="H9350">
        <f>IF(DATOS!$G9350&lt;&gt;"EX",0,--(COUNTIFS(nNIA,DATOS!$A9350,nCURSO,DATOS!$D9350,nESPEC,DATOS!$E9350,nASIG,DATOS!$I9350,nEVAL,"OR")=0))</f>
      </c>
      <c r="I9350">
        <f>IF(DATOS!$I9350="","",IFERROR(VLOOKUP(DATOS!$I9350,CONFIG_ASIGNATURAS!$B$2:$J$91,9,FALSE()),""))</f>
      </c>
    </row>
    <row r="9351">
      <c r="F9351">
        <f>IF(DATOS!$A9351="","",DATOS!$A9351&amp;"|"&amp;DATOS!$D9351&amp;"|"&amp;DATOS!$E9351&amp;"|"&amp;DATOS!$I9351)</f>
      </c>
      <c r="G9351">
        <f>IF(DATOS!$A9351="",0,IF(CONFIG_METADATA!$B$4&lt;&gt;"OR+EX",--(DATOS!$G9351=CONFIG_METADATA!$B$4),IF(DATOS!$G9351="EX",1,IF(DATOS!$G9351="OR",--(COUNTIFS(nNIA,DATOS!$A9351,nCURSO,DATOS!$D9351,nESPEC,DATOS!$E9351,nASIG,DATOS!$I9351,nEVAL,"EX")=0),0))))</f>
      </c>
      <c r="H9351">
        <f>IF(DATOS!$G9351&lt;&gt;"EX",0,--(COUNTIFS(nNIA,DATOS!$A9351,nCURSO,DATOS!$D9351,nESPEC,DATOS!$E9351,nASIG,DATOS!$I9351,nEVAL,"OR")=0))</f>
      </c>
      <c r="I9351">
        <f>IF(DATOS!$I9351="","",IFERROR(VLOOKUP(DATOS!$I9351,CONFIG_ASIGNATURAS!$B$2:$J$91,9,FALSE()),""))</f>
      </c>
    </row>
    <row r="9352">
      <c r="F9352">
        <f>IF(DATOS!$A9352="","",DATOS!$A9352&amp;"|"&amp;DATOS!$D9352&amp;"|"&amp;DATOS!$E9352&amp;"|"&amp;DATOS!$I9352)</f>
      </c>
      <c r="G9352">
        <f>IF(DATOS!$A9352="",0,IF(CONFIG_METADATA!$B$4&lt;&gt;"OR+EX",--(DATOS!$G9352=CONFIG_METADATA!$B$4),IF(DATOS!$G9352="EX",1,IF(DATOS!$G9352="OR",--(COUNTIFS(nNIA,DATOS!$A9352,nCURSO,DATOS!$D9352,nESPEC,DATOS!$E9352,nASIG,DATOS!$I9352,nEVAL,"EX")=0),0))))</f>
      </c>
      <c r="H9352">
        <f>IF(DATOS!$G9352&lt;&gt;"EX",0,--(COUNTIFS(nNIA,DATOS!$A9352,nCURSO,DATOS!$D9352,nESPEC,DATOS!$E9352,nASIG,DATOS!$I9352,nEVAL,"OR")=0))</f>
      </c>
      <c r="I9352">
        <f>IF(DATOS!$I9352="","",IFERROR(VLOOKUP(DATOS!$I9352,CONFIG_ASIGNATURAS!$B$2:$J$91,9,FALSE()),""))</f>
      </c>
    </row>
    <row r="9353">
      <c r="F9353">
        <f>IF(DATOS!$A9353="","",DATOS!$A9353&amp;"|"&amp;DATOS!$D9353&amp;"|"&amp;DATOS!$E9353&amp;"|"&amp;DATOS!$I9353)</f>
      </c>
      <c r="G9353">
        <f>IF(DATOS!$A9353="",0,IF(CONFIG_METADATA!$B$4&lt;&gt;"OR+EX",--(DATOS!$G9353=CONFIG_METADATA!$B$4),IF(DATOS!$G9353="EX",1,IF(DATOS!$G9353="OR",--(COUNTIFS(nNIA,DATOS!$A9353,nCURSO,DATOS!$D9353,nESPEC,DATOS!$E9353,nASIG,DATOS!$I9353,nEVAL,"EX")=0),0))))</f>
      </c>
      <c r="H9353">
        <f>IF(DATOS!$G9353&lt;&gt;"EX",0,--(COUNTIFS(nNIA,DATOS!$A9353,nCURSO,DATOS!$D9353,nESPEC,DATOS!$E9353,nASIG,DATOS!$I9353,nEVAL,"OR")=0))</f>
      </c>
      <c r="I9353">
        <f>IF(DATOS!$I9353="","",IFERROR(VLOOKUP(DATOS!$I9353,CONFIG_ASIGNATURAS!$B$2:$J$91,9,FALSE()),""))</f>
      </c>
    </row>
    <row r="9354">
      <c r="F9354">
        <f>IF(DATOS!$A9354="","",DATOS!$A9354&amp;"|"&amp;DATOS!$D9354&amp;"|"&amp;DATOS!$E9354&amp;"|"&amp;DATOS!$I9354)</f>
      </c>
      <c r="G9354">
        <f>IF(DATOS!$A9354="",0,IF(CONFIG_METADATA!$B$4&lt;&gt;"OR+EX",--(DATOS!$G9354=CONFIG_METADATA!$B$4),IF(DATOS!$G9354="EX",1,IF(DATOS!$G9354="OR",--(COUNTIFS(nNIA,DATOS!$A9354,nCURSO,DATOS!$D9354,nESPEC,DATOS!$E9354,nASIG,DATOS!$I9354,nEVAL,"EX")=0),0))))</f>
      </c>
      <c r="H9354">
        <f>IF(DATOS!$G9354&lt;&gt;"EX",0,--(COUNTIFS(nNIA,DATOS!$A9354,nCURSO,DATOS!$D9354,nESPEC,DATOS!$E9354,nASIG,DATOS!$I9354,nEVAL,"OR")=0))</f>
      </c>
      <c r="I9354">
        <f>IF(DATOS!$I9354="","",IFERROR(VLOOKUP(DATOS!$I9354,CONFIG_ASIGNATURAS!$B$2:$J$91,9,FALSE()),""))</f>
      </c>
    </row>
    <row r="9355">
      <c r="F9355">
        <f>IF(DATOS!$A9355="","",DATOS!$A9355&amp;"|"&amp;DATOS!$D9355&amp;"|"&amp;DATOS!$E9355&amp;"|"&amp;DATOS!$I9355)</f>
      </c>
      <c r="G9355">
        <f>IF(DATOS!$A9355="",0,IF(CONFIG_METADATA!$B$4&lt;&gt;"OR+EX",--(DATOS!$G9355=CONFIG_METADATA!$B$4),IF(DATOS!$G9355="EX",1,IF(DATOS!$G9355="OR",--(COUNTIFS(nNIA,DATOS!$A9355,nCURSO,DATOS!$D9355,nESPEC,DATOS!$E9355,nASIG,DATOS!$I9355,nEVAL,"EX")=0),0))))</f>
      </c>
      <c r="H9355">
        <f>IF(DATOS!$G9355&lt;&gt;"EX",0,--(COUNTIFS(nNIA,DATOS!$A9355,nCURSO,DATOS!$D9355,nESPEC,DATOS!$E9355,nASIG,DATOS!$I9355,nEVAL,"OR")=0))</f>
      </c>
      <c r="I9355">
        <f>IF(DATOS!$I9355="","",IFERROR(VLOOKUP(DATOS!$I9355,CONFIG_ASIGNATURAS!$B$2:$J$91,9,FALSE()),""))</f>
      </c>
    </row>
    <row r="9356">
      <c r="F9356">
        <f>IF(DATOS!$A9356="","",DATOS!$A9356&amp;"|"&amp;DATOS!$D9356&amp;"|"&amp;DATOS!$E9356&amp;"|"&amp;DATOS!$I9356)</f>
      </c>
      <c r="G9356">
        <f>IF(DATOS!$A9356="",0,IF(CONFIG_METADATA!$B$4&lt;&gt;"OR+EX",--(DATOS!$G9356=CONFIG_METADATA!$B$4),IF(DATOS!$G9356="EX",1,IF(DATOS!$G9356="OR",--(COUNTIFS(nNIA,DATOS!$A9356,nCURSO,DATOS!$D9356,nESPEC,DATOS!$E9356,nASIG,DATOS!$I9356,nEVAL,"EX")=0),0))))</f>
      </c>
      <c r="H9356">
        <f>IF(DATOS!$G9356&lt;&gt;"EX",0,--(COUNTIFS(nNIA,DATOS!$A9356,nCURSO,DATOS!$D9356,nESPEC,DATOS!$E9356,nASIG,DATOS!$I9356,nEVAL,"OR")=0))</f>
      </c>
      <c r="I9356">
        <f>IF(DATOS!$I9356="","",IFERROR(VLOOKUP(DATOS!$I9356,CONFIG_ASIGNATURAS!$B$2:$J$91,9,FALSE()),""))</f>
      </c>
    </row>
    <row r="9357">
      <c r="F9357">
        <f>IF(DATOS!$A9357="","",DATOS!$A9357&amp;"|"&amp;DATOS!$D9357&amp;"|"&amp;DATOS!$E9357&amp;"|"&amp;DATOS!$I9357)</f>
      </c>
      <c r="G9357">
        <f>IF(DATOS!$A9357="",0,IF(CONFIG_METADATA!$B$4&lt;&gt;"OR+EX",--(DATOS!$G9357=CONFIG_METADATA!$B$4),IF(DATOS!$G9357="EX",1,IF(DATOS!$G9357="OR",--(COUNTIFS(nNIA,DATOS!$A9357,nCURSO,DATOS!$D9357,nESPEC,DATOS!$E9357,nASIG,DATOS!$I9357,nEVAL,"EX")=0),0))))</f>
      </c>
      <c r="H9357">
        <f>IF(DATOS!$G9357&lt;&gt;"EX",0,--(COUNTIFS(nNIA,DATOS!$A9357,nCURSO,DATOS!$D9357,nESPEC,DATOS!$E9357,nASIG,DATOS!$I9357,nEVAL,"OR")=0))</f>
      </c>
      <c r="I9357">
        <f>IF(DATOS!$I9357="","",IFERROR(VLOOKUP(DATOS!$I9357,CONFIG_ASIGNATURAS!$B$2:$J$91,9,FALSE()),""))</f>
      </c>
    </row>
    <row r="9358">
      <c r="F9358">
        <f>IF(DATOS!$A9358="","",DATOS!$A9358&amp;"|"&amp;DATOS!$D9358&amp;"|"&amp;DATOS!$E9358&amp;"|"&amp;DATOS!$I9358)</f>
      </c>
      <c r="G9358">
        <f>IF(DATOS!$A9358="",0,IF(CONFIG_METADATA!$B$4&lt;&gt;"OR+EX",--(DATOS!$G9358=CONFIG_METADATA!$B$4),IF(DATOS!$G9358="EX",1,IF(DATOS!$G9358="OR",--(COUNTIFS(nNIA,DATOS!$A9358,nCURSO,DATOS!$D9358,nESPEC,DATOS!$E9358,nASIG,DATOS!$I9358,nEVAL,"EX")=0),0))))</f>
      </c>
      <c r="H9358">
        <f>IF(DATOS!$G9358&lt;&gt;"EX",0,--(COUNTIFS(nNIA,DATOS!$A9358,nCURSO,DATOS!$D9358,nESPEC,DATOS!$E9358,nASIG,DATOS!$I9358,nEVAL,"OR")=0))</f>
      </c>
      <c r="I9358">
        <f>IF(DATOS!$I9358="","",IFERROR(VLOOKUP(DATOS!$I9358,CONFIG_ASIGNATURAS!$B$2:$J$91,9,FALSE()),""))</f>
      </c>
    </row>
    <row r="9359">
      <c r="F9359">
        <f>IF(DATOS!$A9359="","",DATOS!$A9359&amp;"|"&amp;DATOS!$D9359&amp;"|"&amp;DATOS!$E9359&amp;"|"&amp;DATOS!$I9359)</f>
      </c>
      <c r="G9359">
        <f>IF(DATOS!$A9359="",0,IF(CONFIG_METADATA!$B$4&lt;&gt;"OR+EX",--(DATOS!$G9359=CONFIG_METADATA!$B$4),IF(DATOS!$G9359="EX",1,IF(DATOS!$G9359="OR",--(COUNTIFS(nNIA,DATOS!$A9359,nCURSO,DATOS!$D9359,nESPEC,DATOS!$E9359,nASIG,DATOS!$I9359,nEVAL,"EX")=0),0))))</f>
      </c>
      <c r="H9359">
        <f>IF(DATOS!$G9359&lt;&gt;"EX",0,--(COUNTIFS(nNIA,DATOS!$A9359,nCURSO,DATOS!$D9359,nESPEC,DATOS!$E9359,nASIG,DATOS!$I9359,nEVAL,"OR")=0))</f>
      </c>
      <c r="I9359">
        <f>IF(DATOS!$I9359="","",IFERROR(VLOOKUP(DATOS!$I9359,CONFIG_ASIGNATURAS!$B$2:$J$91,9,FALSE()),""))</f>
      </c>
    </row>
    <row r="9360">
      <c r="F9360">
        <f>IF(DATOS!$A9360="","",DATOS!$A9360&amp;"|"&amp;DATOS!$D9360&amp;"|"&amp;DATOS!$E9360&amp;"|"&amp;DATOS!$I9360)</f>
      </c>
      <c r="G9360">
        <f>IF(DATOS!$A9360="",0,IF(CONFIG_METADATA!$B$4&lt;&gt;"OR+EX",--(DATOS!$G9360=CONFIG_METADATA!$B$4),IF(DATOS!$G9360="EX",1,IF(DATOS!$G9360="OR",--(COUNTIFS(nNIA,DATOS!$A9360,nCURSO,DATOS!$D9360,nESPEC,DATOS!$E9360,nASIG,DATOS!$I9360,nEVAL,"EX")=0),0))))</f>
      </c>
      <c r="H9360">
        <f>IF(DATOS!$G9360&lt;&gt;"EX",0,--(COUNTIFS(nNIA,DATOS!$A9360,nCURSO,DATOS!$D9360,nESPEC,DATOS!$E9360,nASIG,DATOS!$I9360,nEVAL,"OR")=0))</f>
      </c>
      <c r="I9360">
        <f>IF(DATOS!$I9360="","",IFERROR(VLOOKUP(DATOS!$I9360,CONFIG_ASIGNATURAS!$B$2:$J$91,9,FALSE()),""))</f>
      </c>
    </row>
    <row r="9361">
      <c r="F9361">
        <f>IF(DATOS!$A9361="","",DATOS!$A9361&amp;"|"&amp;DATOS!$D9361&amp;"|"&amp;DATOS!$E9361&amp;"|"&amp;DATOS!$I9361)</f>
      </c>
      <c r="G9361">
        <f>IF(DATOS!$A9361="",0,IF(CONFIG_METADATA!$B$4&lt;&gt;"OR+EX",--(DATOS!$G9361=CONFIG_METADATA!$B$4),IF(DATOS!$G9361="EX",1,IF(DATOS!$G9361="OR",--(COUNTIFS(nNIA,DATOS!$A9361,nCURSO,DATOS!$D9361,nESPEC,DATOS!$E9361,nASIG,DATOS!$I9361,nEVAL,"EX")=0),0))))</f>
      </c>
      <c r="H9361">
        <f>IF(DATOS!$G9361&lt;&gt;"EX",0,--(COUNTIFS(nNIA,DATOS!$A9361,nCURSO,DATOS!$D9361,nESPEC,DATOS!$E9361,nASIG,DATOS!$I9361,nEVAL,"OR")=0))</f>
      </c>
      <c r="I9361">
        <f>IF(DATOS!$I9361="","",IFERROR(VLOOKUP(DATOS!$I9361,CONFIG_ASIGNATURAS!$B$2:$J$91,9,FALSE()),""))</f>
      </c>
    </row>
    <row r="9362">
      <c r="F9362">
        <f>IF(DATOS!$A9362="","",DATOS!$A9362&amp;"|"&amp;DATOS!$D9362&amp;"|"&amp;DATOS!$E9362&amp;"|"&amp;DATOS!$I9362)</f>
      </c>
      <c r="G9362">
        <f>IF(DATOS!$A9362="",0,IF(CONFIG_METADATA!$B$4&lt;&gt;"OR+EX",--(DATOS!$G9362=CONFIG_METADATA!$B$4),IF(DATOS!$G9362="EX",1,IF(DATOS!$G9362="OR",--(COUNTIFS(nNIA,DATOS!$A9362,nCURSO,DATOS!$D9362,nESPEC,DATOS!$E9362,nASIG,DATOS!$I9362,nEVAL,"EX")=0),0))))</f>
      </c>
      <c r="H9362">
        <f>IF(DATOS!$G9362&lt;&gt;"EX",0,--(COUNTIFS(nNIA,DATOS!$A9362,nCURSO,DATOS!$D9362,nESPEC,DATOS!$E9362,nASIG,DATOS!$I9362,nEVAL,"OR")=0))</f>
      </c>
      <c r="I9362">
        <f>IF(DATOS!$I9362="","",IFERROR(VLOOKUP(DATOS!$I9362,CONFIG_ASIGNATURAS!$B$2:$J$91,9,FALSE()),""))</f>
      </c>
    </row>
    <row r="9363">
      <c r="F9363">
        <f>IF(DATOS!$A9363="","",DATOS!$A9363&amp;"|"&amp;DATOS!$D9363&amp;"|"&amp;DATOS!$E9363&amp;"|"&amp;DATOS!$I9363)</f>
      </c>
      <c r="G9363">
        <f>IF(DATOS!$A9363="",0,IF(CONFIG_METADATA!$B$4&lt;&gt;"OR+EX",--(DATOS!$G9363=CONFIG_METADATA!$B$4),IF(DATOS!$G9363="EX",1,IF(DATOS!$G9363="OR",--(COUNTIFS(nNIA,DATOS!$A9363,nCURSO,DATOS!$D9363,nESPEC,DATOS!$E9363,nASIG,DATOS!$I9363,nEVAL,"EX")=0),0))))</f>
      </c>
      <c r="H9363">
        <f>IF(DATOS!$G9363&lt;&gt;"EX",0,--(COUNTIFS(nNIA,DATOS!$A9363,nCURSO,DATOS!$D9363,nESPEC,DATOS!$E9363,nASIG,DATOS!$I9363,nEVAL,"OR")=0))</f>
      </c>
      <c r="I9363">
        <f>IF(DATOS!$I9363="","",IFERROR(VLOOKUP(DATOS!$I9363,CONFIG_ASIGNATURAS!$B$2:$J$91,9,FALSE()),""))</f>
      </c>
    </row>
    <row r="9364">
      <c r="F9364">
        <f>IF(DATOS!$A9364="","",DATOS!$A9364&amp;"|"&amp;DATOS!$D9364&amp;"|"&amp;DATOS!$E9364&amp;"|"&amp;DATOS!$I9364)</f>
      </c>
      <c r="G9364">
        <f>IF(DATOS!$A9364="",0,IF(CONFIG_METADATA!$B$4&lt;&gt;"OR+EX",--(DATOS!$G9364=CONFIG_METADATA!$B$4),IF(DATOS!$G9364="EX",1,IF(DATOS!$G9364="OR",--(COUNTIFS(nNIA,DATOS!$A9364,nCURSO,DATOS!$D9364,nESPEC,DATOS!$E9364,nASIG,DATOS!$I9364,nEVAL,"EX")=0),0))))</f>
      </c>
      <c r="H9364">
        <f>IF(DATOS!$G9364&lt;&gt;"EX",0,--(COUNTIFS(nNIA,DATOS!$A9364,nCURSO,DATOS!$D9364,nESPEC,DATOS!$E9364,nASIG,DATOS!$I9364,nEVAL,"OR")=0))</f>
      </c>
      <c r="I9364">
        <f>IF(DATOS!$I9364="","",IFERROR(VLOOKUP(DATOS!$I9364,CONFIG_ASIGNATURAS!$B$2:$J$91,9,FALSE()),""))</f>
      </c>
    </row>
    <row r="9365">
      <c r="F9365">
        <f>IF(DATOS!$A9365="","",DATOS!$A9365&amp;"|"&amp;DATOS!$D9365&amp;"|"&amp;DATOS!$E9365&amp;"|"&amp;DATOS!$I9365)</f>
      </c>
      <c r="G9365">
        <f>IF(DATOS!$A9365="",0,IF(CONFIG_METADATA!$B$4&lt;&gt;"OR+EX",--(DATOS!$G9365=CONFIG_METADATA!$B$4),IF(DATOS!$G9365="EX",1,IF(DATOS!$G9365="OR",--(COUNTIFS(nNIA,DATOS!$A9365,nCURSO,DATOS!$D9365,nESPEC,DATOS!$E9365,nASIG,DATOS!$I9365,nEVAL,"EX")=0),0))))</f>
      </c>
      <c r="H9365">
        <f>IF(DATOS!$G9365&lt;&gt;"EX",0,--(COUNTIFS(nNIA,DATOS!$A9365,nCURSO,DATOS!$D9365,nESPEC,DATOS!$E9365,nASIG,DATOS!$I9365,nEVAL,"OR")=0))</f>
      </c>
      <c r="I9365">
        <f>IF(DATOS!$I9365="","",IFERROR(VLOOKUP(DATOS!$I9365,CONFIG_ASIGNATURAS!$B$2:$J$91,9,FALSE()),""))</f>
      </c>
    </row>
    <row r="9366">
      <c r="F9366">
        <f>IF(DATOS!$A9366="","",DATOS!$A9366&amp;"|"&amp;DATOS!$D9366&amp;"|"&amp;DATOS!$E9366&amp;"|"&amp;DATOS!$I9366)</f>
      </c>
      <c r="G9366">
        <f>IF(DATOS!$A9366="",0,IF(CONFIG_METADATA!$B$4&lt;&gt;"OR+EX",--(DATOS!$G9366=CONFIG_METADATA!$B$4),IF(DATOS!$G9366="EX",1,IF(DATOS!$G9366="OR",--(COUNTIFS(nNIA,DATOS!$A9366,nCURSO,DATOS!$D9366,nESPEC,DATOS!$E9366,nASIG,DATOS!$I9366,nEVAL,"EX")=0),0))))</f>
      </c>
      <c r="H9366">
        <f>IF(DATOS!$G9366&lt;&gt;"EX",0,--(COUNTIFS(nNIA,DATOS!$A9366,nCURSO,DATOS!$D9366,nESPEC,DATOS!$E9366,nASIG,DATOS!$I9366,nEVAL,"OR")=0))</f>
      </c>
      <c r="I9366">
        <f>IF(DATOS!$I9366="","",IFERROR(VLOOKUP(DATOS!$I9366,CONFIG_ASIGNATURAS!$B$2:$J$91,9,FALSE()),""))</f>
      </c>
    </row>
    <row r="9367">
      <c r="F9367">
        <f>IF(DATOS!$A9367="","",DATOS!$A9367&amp;"|"&amp;DATOS!$D9367&amp;"|"&amp;DATOS!$E9367&amp;"|"&amp;DATOS!$I9367)</f>
      </c>
      <c r="G9367">
        <f>IF(DATOS!$A9367="",0,IF(CONFIG_METADATA!$B$4&lt;&gt;"OR+EX",--(DATOS!$G9367=CONFIG_METADATA!$B$4),IF(DATOS!$G9367="EX",1,IF(DATOS!$G9367="OR",--(COUNTIFS(nNIA,DATOS!$A9367,nCURSO,DATOS!$D9367,nESPEC,DATOS!$E9367,nASIG,DATOS!$I9367,nEVAL,"EX")=0),0))))</f>
      </c>
      <c r="H9367">
        <f>IF(DATOS!$G9367&lt;&gt;"EX",0,--(COUNTIFS(nNIA,DATOS!$A9367,nCURSO,DATOS!$D9367,nESPEC,DATOS!$E9367,nASIG,DATOS!$I9367,nEVAL,"OR")=0))</f>
      </c>
      <c r="I9367">
        <f>IF(DATOS!$I9367="","",IFERROR(VLOOKUP(DATOS!$I9367,CONFIG_ASIGNATURAS!$B$2:$J$91,9,FALSE()),""))</f>
      </c>
    </row>
    <row r="9368">
      <c r="F9368">
        <f>IF(DATOS!$A9368="","",DATOS!$A9368&amp;"|"&amp;DATOS!$D9368&amp;"|"&amp;DATOS!$E9368&amp;"|"&amp;DATOS!$I9368)</f>
      </c>
      <c r="G9368">
        <f>IF(DATOS!$A9368="",0,IF(CONFIG_METADATA!$B$4&lt;&gt;"OR+EX",--(DATOS!$G9368=CONFIG_METADATA!$B$4),IF(DATOS!$G9368="EX",1,IF(DATOS!$G9368="OR",--(COUNTIFS(nNIA,DATOS!$A9368,nCURSO,DATOS!$D9368,nESPEC,DATOS!$E9368,nASIG,DATOS!$I9368,nEVAL,"EX")=0),0))))</f>
      </c>
      <c r="H9368">
        <f>IF(DATOS!$G9368&lt;&gt;"EX",0,--(COUNTIFS(nNIA,DATOS!$A9368,nCURSO,DATOS!$D9368,nESPEC,DATOS!$E9368,nASIG,DATOS!$I9368,nEVAL,"OR")=0))</f>
      </c>
      <c r="I9368">
        <f>IF(DATOS!$I9368="","",IFERROR(VLOOKUP(DATOS!$I9368,CONFIG_ASIGNATURAS!$B$2:$J$91,9,FALSE()),""))</f>
      </c>
    </row>
    <row r="9369">
      <c r="F9369">
        <f>IF(DATOS!$A9369="","",DATOS!$A9369&amp;"|"&amp;DATOS!$D9369&amp;"|"&amp;DATOS!$E9369&amp;"|"&amp;DATOS!$I9369)</f>
      </c>
      <c r="G9369">
        <f>IF(DATOS!$A9369="",0,IF(CONFIG_METADATA!$B$4&lt;&gt;"OR+EX",--(DATOS!$G9369=CONFIG_METADATA!$B$4),IF(DATOS!$G9369="EX",1,IF(DATOS!$G9369="OR",--(COUNTIFS(nNIA,DATOS!$A9369,nCURSO,DATOS!$D9369,nESPEC,DATOS!$E9369,nASIG,DATOS!$I9369,nEVAL,"EX")=0),0))))</f>
      </c>
      <c r="H9369">
        <f>IF(DATOS!$G9369&lt;&gt;"EX",0,--(COUNTIFS(nNIA,DATOS!$A9369,nCURSO,DATOS!$D9369,nESPEC,DATOS!$E9369,nASIG,DATOS!$I9369,nEVAL,"OR")=0))</f>
      </c>
      <c r="I9369">
        <f>IF(DATOS!$I9369="","",IFERROR(VLOOKUP(DATOS!$I9369,CONFIG_ASIGNATURAS!$B$2:$J$91,9,FALSE()),""))</f>
      </c>
    </row>
    <row r="9370">
      <c r="F9370">
        <f>IF(DATOS!$A9370="","",DATOS!$A9370&amp;"|"&amp;DATOS!$D9370&amp;"|"&amp;DATOS!$E9370&amp;"|"&amp;DATOS!$I9370)</f>
      </c>
      <c r="G9370">
        <f>IF(DATOS!$A9370="",0,IF(CONFIG_METADATA!$B$4&lt;&gt;"OR+EX",--(DATOS!$G9370=CONFIG_METADATA!$B$4),IF(DATOS!$G9370="EX",1,IF(DATOS!$G9370="OR",--(COUNTIFS(nNIA,DATOS!$A9370,nCURSO,DATOS!$D9370,nESPEC,DATOS!$E9370,nASIG,DATOS!$I9370,nEVAL,"EX")=0),0))))</f>
      </c>
      <c r="H9370">
        <f>IF(DATOS!$G9370&lt;&gt;"EX",0,--(COUNTIFS(nNIA,DATOS!$A9370,nCURSO,DATOS!$D9370,nESPEC,DATOS!$E9370,nASIG,DATOS!$I9370,nEVAL,"OR")=0))</f>
      </c>
      <c r="I9370">
        <f>IF(DATOS!$I9370="","",IFERROR(VLOOKUP(DATOS!$I9370,CONFIG_ASIGNATURAS!$B$2:$J$91,9,FALSE()),""))</f>
      </c>
    </row>
    <row r="9371">
      <c r="F9371">
        <f>IF(DATOS!$A9371="","",DATOS!$A9371&amp;"|"&amp;DATOS!$D9371&amp;"|"&amp;DATOS!$E9371&amp;"|"&amp;DATOS!$I9371)</f>
      </c>
      <c r="G9371">
        <f>IF(DATOS!$A9371="",0,IF(CONFIG_METADATA!$B$4&lt;&gt;"OR+EX",--(DATOS!$G9371=CONFIG_METADATA!$B$4),IF(DATOS!$G9371="EX",1,IF(DATOS!$G9371="OR",--(COUNTIFS(nNIA,DATOS!$A9371,nCURSO,DATOS!$D9371,nESPEC,DATOS!$E9371,nASIG,DATOS!$I9371,nEVAL,"EX")=0),0))))</f>
      </c>
      <c r="H9371">
        <f>IF(DATOS!$G9371&lt;&gt;"EX",0,--(COUNTIFS(nNIA,DATOS!$A9371,nCURSO,DATOS!$D9371,nESPEC,DATOS!$E9371,nASIG,DATOS!$I9371,nEVAL,"OR")=0))</f>
      </c>
      <c r="I9371">
        <f>IF(DATOS!$I9371="","",IFERROR(VLOOKUP(DATOS!$I9371,CONFIG_ASIGNATURAS!$B$2:$J$91,9,FALSE()),""))</f>
      </c>
    </row>
    <row r="9372">
      <c r="F9372">
        <f>IF(DATOS!$A9372="","",DATOS!$A9372&amp;"|"&amp;DATOS!$D9372&amp;"|"&amp;DATOS!$E9372&amp;"|"&amp;DATOS!$I9372)</f>
      </c>
      <c r="G9372">
        <f>IF(DATOS!$A9372="",0,IF(CONFIG_METADATA!$B$4&lt;&gt;"OR+EX",--(DATOS!$G9372=CONFIG_METADATA!$B$4),IF(DATOS!$G9372="EX",1,IF(DATOS!$G9372="OR",--(COUNTIFS(nNIA,DATOS!$A9372,nCURSO,DATOS!$D9372,nESPEC,DATOS!$E9372,nASIG,DATOS!$I9372,nEVAL,"EX")=0),0))))</f>
      </c>
      <c r="H9372">
        <f>IF(DATOS!$G9372&lt;&gt;"EX",0,--(COUNTIFS(nNIA,DATOS!$A9372,nCURSO,DATOS!$D9372,nESPEC,DATOS!$E9372,nASIG,DATOS!$I9372,nEVAL,"OR")=0))</f>
      </c>
      <c r="I9372">
        <f>IF(DATOS!$I9372="","",IFERROR(VLOOKUP(DATOS!$I9372,CONFIG_ASIGNATURAS!$B$2:$J$91,9,FALSE()),""))</f>
      </c>
    </row>
    <row r="9373">
      <c r="F9373">
        <f>IF(DATOS!$A9373="","",DATOS!$A9373&amp;"|"&amp;DATOS!$D9373&amp;"|"&amp;DATOS!$E9373&amp;"|"&amp;DATOS!$I9373)</f>
      </c>
      <c r="G9373">
        <f>IF(DATOS!$A9373="",0,IF(CONFIG_METADATA!$B$4&lt;&gt;"OR+EX",--(DATOS!$G9373=CONFIG_METADATA!$B$4),IF(DATOS!$G9373="EX",1,IF(DATOS!$G9373="OR",--(COUNTIFS(nNIA,DATOS!$A9373,nCURSO,DATOS!$D9373,nESPEC,DATOS!$E9373,nASIG,DATOS!$I9373,nEVAL,"EX")=0),0))))</f>
      </c>
      <c r="H9373">
        <f>IF(DATOS!$G9373&lt;&gt;"EX",0,--(COUNTIFS(nNIA,DATOS!$A9373,nCURSO,DATOS!$D9373,nESPEC,DATOS!$E9373,nASIG,DATOS!$I9373,nEVAL,"OR")=0))</f>
      </c>
      <c r="I9373">
        <f>IF(DATOS!$I9373="","",IFERROR(VLOOKUP(DATOS!$I9373,CONFIG_ASIGNATURAS!$B$2:$J$91,9,FALSE()),""))</f>
      </c>
    </row>
    <row r="9374">
      <c r="F9374">
        <f>IF(DATOS!$A9374="","",DATOS!$A9374&amp;"|"&amp;DATOS!$D9374&amp;"|"&amp;DATOS!$E9374&amp;"|"&amp;DATOS!$I9374)</f>
      </c>
      <c r="G9374">
        <f>IF(DATOS!$A9374="",0,IF(CONFIG_METADATA!$B$4&lt;&gt;"OR+EX",--(DATOS!$G9374=CONFIG_METADATA!$B$4),IF(DATOS!$G9374="EX",1,IF(DATOS!$G9374="OR",--(COUNTIFS(nNIA,DATOS!$A9374,nCURSO,DATOS!$D9374,nESPEC,DATOS!$E9374,nASIG,DATOS!$I9374,nEVAL,"EX")=0),0))))</f>
      </c>
      <c r="H9374">
        <f>IF(DATOS!$G9374&lt;&gt;"EX",0,--(COUNTIFS(nNIA,DATOS!$A9374,nCURSO,DATOS!$D9374,nESPEC,DATOS!$E9374,nASIG,DATOS!$I9374,nEVAL,"OR")=0))</f>
      </c>
      <c r="I9374">
        <f>IF(DATOS!$I9374="","",IFERROR(VLOOKUP(DATOS!$I9374,CONFIG_ASIGNATURAS!$B$2:$J$91,9,FALSE()),""))</f>
      </c>
    </row>
    <row r="9375">
      <c r="F9375">
        <f>IF(DATOS!$A9375="","",DATOS!$A9375&amp;"|"&amp;DATOS!$D9375&amp;"|"&amp;DATOS!$E9375&amp;"|"&amp;DATOS!$I9375)</f>
      </c>
      <c r="G9375">
        <f>IF(DATOS!$A9375="",0,IF(CONFIG_METADATA!$B$4&lt;&gt;"OR+EX",--(DATOS!$G9375=CONFIG_METADATA!$B$4),IF(DATOS!$G9375="EX",1,IF(DATOS!$G9375="OR",--(COUNTIFS(nNIA,DATOS!$A9375,nCURSO,DATOS!$D9375,nESPEC,DATOS!$E9375,nASIG,DATOS!$I9375,nEVAL,"EX")=0),0))))</f>
      </c>
      <c r="H9375">
        <f>IF(DATOS!$G9375&lt;&gt;"EX",0,--(COUNTIFS(nNIA,DATOS!$A9375,nCURSO,DATOS!$D9375,nESPEC,DATOS!$E9375,nASIG,DATOS!$I9375,nEVAL,"OR")=0))</f>
      </c>
      <c r="I9375">
        <f>IF(DATOS!$I9375="","",IFERROR(VLOOKUP(DATOS!$I9375,CONFIG_ASIGNATURAS!$B$2:$J$91,9,FALSE()),""))</f>
      </c>
    </row>
    <row r="9376">
      <c r="F9376">
        <f>IF(DATOS!$A9376="","",DATOS!$A9376&amp;"|"&amp;DATOS!$D9376&amp;"|"&amp;DATOS!$E9376&amp;"|"&amp;DATOS!$I9376)</f>
      </c>
      <c r="G9376">
        <f>IF(DATOS!$A9376="",0,IF(CONFIG_METADATA!$B$4&lt;&gt;"OR+EX",--(DATOS!$G9376=CONFIG_METADATA!$B$4),IF(DATOS!$G9376="EX",1,IF(DATOS!$G9376="OR",--(COUNTIFS(nNIA,DATOS!$A9376,nCURSO,DATOS!$D9376,nESPEC,DATOS!$E9376,nASIG,DATOS!$I9376,nEVAL,"EX")=0),0))))</f>
      </c>
      <c r="H9376">
        <f>IF(DATOS!$G9376&lt;&gt;"EX",0,--(COUNTIFS(nNIA,DATOS!$A9376,nCURSO,DATOS!$D9376,nESPEC,DATOS!$E9376,nASIG,DATOS!$I9376,nEVAL,"OR")=0))</f>
      </c>
      <c r="I9376">
        <f>IF(DATOS!$I9376="","",IFERROR(VLOOKUP(DATOS!$I9376,CONFIG_ASIGNATURAS!$B$2:$J$91,9,FALSE()),""))</f>
      </c>
    </row>
    <row r="9377">
      <c r="F9377">
        <f>IF(DATOS!$A9377="","",DATOS!$A9377&amp;"|"&amp;DATOS!$D9377&amp;"|"&amp;DATOS!$E9377&amp;"|"&amp;DATOS!$I9377)</f>
      </c>
      <c r="G9377">
        <f>IF(DATOS!$A9377="",0,IF(CONFIG_METADATA!$B$4&lt;&gt;"OR+EX",--(DATOS!$G9377=CONFIG_METADATA!$B$4),IF(DATOS!$G9377="EX",1,IF(DATOS!$G9377="OR",--(COUNTIFS(nNIA,DATOS!$A9377,nCURSO,DATOS!$D9377,nESPEC,DATOS!$E9377,nASIG,DATOS!$I9377,nEVAL,"EX")=0),0))))</f>
      </c>
      <c r="H9377">
        <f>IF(DATOS!$G9377&lt;&gt;"EX",0,--(COUNTIFS(nNIA,DATOS!$A9377,nCURSO,DATOS!$D9377,nESPEC,DATOS!$E9377,nASIG,DATOS!$I9377,nEVAL,"OR")=0))</f>
      </c>
      <c r="I9377">
        <f>IF(DATOS!$I9377="","",IFERROR(VLOOKUP(DATOS!$I9377,CONFIG_ASIGNATURAS!$B$2:$J$91,9,FALSE()),""))</f>
      </c>
    </row>
    <row r="9378">
      <c r="F9378">
        <f>IF(DATOS!$A9378="","",DATOS!$A9378&amp;"|"&amp;DATOS!$D9378&amp;"|"&amp;DATOS!$E9378&amp;"|"&amp;DATOS!$I9378)</f>
      </c>
      <c r="G9378">
        <f>IF(DATOS!$A9378="",0,IF(CONFIG_METADATA!$B$4&lt;&gt;"OR+EX",--(DATOS!$G9378=CONFIG_METADATA!$B$4),IF(DATOS!$G9378="EX",1,IF(DATOS!$G9378="OR",--(COUNTIFS(nNIA,DATOS!$A9378,nCURSO,DATOS!$D9378,nESPEC,DATOS!$E9378,nASIG,DATOS!$I9378,nEVAL,"EX")=0),0))))</f>
      </c>
      <c r="H9378">
        <f>IF(DATOS!$G9378&lt;&gt;"EX",0,--(COUNTIFS(nNIA,DATOS!$A9378,nCURSO,DATOS!$D9378,nESPEC,DATOS!$E9378,nASIG,DATOS!$I9378,nEVAL,"OR")=0))</f>
      </c>
      <c r="I9378">
        <f>IF(DATOS!$I9378="","",IFERROR(VLOOKUP(DATOS!$I9378,CONFIG_ASIGNATURAS!$B$2:$J$91,9,FALSE()),""))</f>
      </c>
    </row>
    <row r="9379">
      <c r="F9379">
        <f>IF(DATOS!$A9379="","",DATOS!$A9379&amp;"|"&amp;DATOS!$D9379&amp;"|"&amp;DATOS!$E9379&amp;"|"&amp;DATOS!$I9379)</f>
      </c>
      <c r="G9379">
        <f>IF(DATOS!$A9379="",0,IF(CONFIG_METADATA!$B$4&lt;&gt;"OR+EX",--(DATOS!$G9379=CONFIG_METADATA!$B$4),IF(DATOS!$G9379="EX",1,IF(DATOS!$G9379="OR",--(COUNTIFS(nNIA,DATOS!$A9379,nCURSO,DATOS!$D9379,nESPEC,DATOS!$E9379,nASIG,DATOS!$I9379,nEVAL,"EX")=0),0))))</f>
      </c>
      <c r="H9379">
        <f>IF(DATOS!$G9379&lt;&gt;"EX",0,--(COUNTIFS(nNIA,DATOS!$A9379,nCURSO,DATOS!$D9379,nESPEC,DATOS!$E9379,nASIG,DATOS!$I9379,nEVAL,"OR")=0))</f>
      </c>
      <c r="I9379">
        <f>IF(DATOS!$I9379="","",IFERROR(VLOOKUP(DATOS!$I9379,CONFIG_ASIGNATURAS!$B$2:$J$91,9,FALSE()),""))</f>
      </c>
    </row>
    <row r="9380">
      <c r="F9380">
        <f>IF(DATOS!$A9380="","",DATOS!$A9380&amp;"|"&amp;DATOS!$D9380&amp;"|"&amp;DATOS!$E9380&amp;"|"&amp;DATOS!$I9380)</f>
      </c>
      <c r="G9380">
        <f>IF(DATOS!$A9380="",0,IF(CONFIG_METADATA!$B$4&lt;&gt;"OR+EX",--(DATOS!$G9380=CONFIG_METADATA!$B$4),IF(DATOS!$G9380="EX",1,IF(DATOS!$G9380="OR",--(COUNTIFS(nNIA,DATOS!$A9380,nCURSO,DATOS!$D9380,nESPEC,DATOS!$E9380,nASIG,DATOS!$I9380,nEVAL,"EX")=0),0))))</f>
      </c>
      <c r="H9380">
        <f>IF(DATOS!$G9380&lt;&gt;"EX",0,--(COUNTIFS(nNIA,DATOS!$A9380,nCURSO,DATOS!$D9380,nESPEC,DATOS!$E9380,nASIG,DATOS!$I9380,nEVAL,"OR")=0))</f>
      </c>
      <c r="I9380">
        <f>IF(DATOS!$I9380="","",IFERROR(VLOOKUP(DATOS!$I9380,CONFIG_ASIGNATURAS!$B$2:$J$91,9,FALSE()),""))</f>
      </c>
    </row>
    <row r="9381">
      <c r="F9381">
        <f>IF(DATOS!$A9381="","",DATOS!$A9381&amp;"|"&amp;DATOS!$D9381&amp;"|"&amp;DATOS!$E9381&amp;"|"&amp;DATOS!$I9381)</f>
      </c>
      <c r="G9381">
        <f>IF(DATOS!$A9381="",0,IF(CONFIG_METADATA!$B$4&lt;&gt;"OR+EX",--(DATOS!$G9381=CONFIG_METADATA!$B$4),IF(DATOS!$G9381="EX",1,IF(DATOS!$G9381="OR",--(COUNTIFS(nNIA,DATOS!$A9381,nCURSO,DATOS!$D9381,nESPEC,DATOS!$E9381,nASIG,DATOS!$I9381,nEVAL,"EX")=0),0))))</f>
      </c>
      <c r="H9381">
        <f>IF(DATOS!$G9381&lt;&gt;"EX",0,--(COUNTIFS(nNIA,DATOS!$A9381,nCURSO,DATOS!$D9381,nESPEC,DATOS!$E9381,nASIG,DATOS!$I9381,nEVAL,"OR")=0))</f>
      </c>
      <c r="I9381">
        <f>IF(DATOS!$I9381="","",IFERROR(VLOOKUP(DATOS!$I9381,CONFIG_ASIGNATURAS!$B$2:$J$91,9,FALSE()),""))</f>
      </c>
    </row>
    <row r="9382">
      <c r="F9382">
        <f>IF(DATOS!$A9382="","",DATOS!$A9382&amp;"|"&amp;DATOS!$D9382&amp;"|"&amp;DATOS!$E9382&amp;"|"&amp;DATOS!$I9382)</f>
      </c>
      <c r="G9382">
        <f>IF(DATOS!$A9382="",0,IF(CONFIG_METADATA!$B$4&lt;&gt;"OR+EX",--(DATOS!$G9382=CONFIG_METADATA!$B$4),IF(DATOS!$G9382="EX",1,IF(DATOS!$G9382="OR",--(COUNTIFS(nNIA,DATOS!$A9382,nCURSO,DATOS!$D9382,nESPEC,DATOS!$E9382,nASIG,DATOS!$I9382,nEVAL,"EX")=0),0))))</f>
      </c>
      <c r="H9382">
        <f>IF(DATOS!$G9382&lt;&gt;"EX",0,--(COUNTIFS(nNIA,DATOS!$A9382,nCURSO,DATOS!$D9382,nESPEC,DATOS!$E9382,nASIG,DATOS!$I9382,nEVAL,"OR")=0))</f>
      </c>
      <c r="I9382">
        <f>IF(DATOS!$I9382="","",IFERROR(VLOOKUP(DATOS!$I9382,CONFIG_ASIGNATURAS!$B$2:$J$91,9,FALSE()),""))</f>
      </c>
    </row>
    <row r="9383">
      <c r="F9383">
        <f>IF(DATOS!$A9383="","",DATOS!$A9383&amp;"|"&amp;DATOS!$D9383&amp;"|"&amp;DATOS!$E9383&amp;"|"&amp;DATOS!$I9383)</f>
      </c>
      <c r="G9383">
        <f>IF(DATOS!$A9383="",0,IF(CONFIG_METADATA!$B$4&lt;&gt;"OR+EX",--(DATOS!$G9383=CONFIG_METADATA!$B$4),IF(DATOS!$G9383="EX",1,IF(DATOS!$G9383="OR",--(COUNTIFS(nNIA,DATOS!$A9383,nCURSO,DATOS!$D9383,nESPEC,DATOS!$E9383,nASIG,DATOS!$I9383,nEVAL,"EX")=0),0))))</f>
      </c>
      <c r="H9383">
        <f>IF(DATOS!$G9383&lt;&gt;"EX",0,--(COUNTIFS(nNIA,DATOS!$A9383,nCURSO,DATOS!$D9383,nESPEC,DATOS!$E9383,nASIG,DATOS!$I9383,nEVAL,"OR")=0))</f>
      </c>
      <c r="I9383">
        <f>IF(DATOS!$I9383="","",IFERROR(VLOOKUP(DATOS!$I9383,CONFIG_ASIGNATURAS!$B$2:$J$91,9,FALSE()),""))</f>
      </c>
    </row>
    <row r="9384">
      <c r="F9384">
        <f>IF(DATOS!$A9384="","",DATOS!$A9384&amp;"|"&amp;DATOS!$D9384&amp;"|"&amp;DATOS!$E9384&amp;"|"&amp;DATOS!$I9384)</f>
      </c>
      <c r="G9384">
        <f>IF(DATOS!$A9384="",0,IF(CONFIG_METADATA!$B$4&lt;&gt;"OR+EX",--(DATOS!$G9384=CONFIG_METADATA!$B$4),IF(DATOS!$G9384="EX",1,IF(DATOS!$G9384="OR",--(COUNTIFS(nNIA,DATOS!$A9384,nCURSO,DATOS!$D9384,nESPEC,DATOS!$E9384,nASIG,DATOS!$I9384,nEVAL,"EX")=0),0))))</f>
      </c>
      <c r="H9384">
        <f>IF(DATOS!$G9384&lt;&gt;"EX",0,--(COUNTIFS(nNIA,DATOS!$A9384,nCURSO,DATOS!$D9384,nESPEC,DATOS!$E9384,nASIG,DATOS!$I9384,nEVAL,"OR")=0))</f>
      </c>
      <c r="I9384">
        <f>IF(DATOS!$I9384="","",IFERROR(VLOOKUP(DATOS!$I9384,CONFIG_ASIGNATURAS!$B$2:$J$91,9,FALSE()),""))</f>
      </c>
    </row>
    <row r="9385">
      <c r="F9385">
        <f>IF(DATOS!$A9385="","",DATOS!$A9385&amp;"|"&amp;DATOS!$D9385&amp;"|"&amp;DATOS!$E9385&amp;"|"&amp;DATOS!$I9385)</f>
      </c>
      <c r="G9385">
        <f>IF(DATOS!$A9385="",0,IF(CONFIG_METADATA!$B$4&lt;&gt;"OR+EX",--(DATOS!$G9385=CONFIG_METADATA!$B$4),IF(DATOS!$G9385="EX",1,IF(DATOS!$G9385="OR",--(COUNTIFS(nNIA,DATOS!$A9385,nCURSO,DATOS!$D9385,nESPEC,DATOS!$E9385,nASIG,DATOS!$I9385,nEVAL,"EX")=0),0))))</f>
      </c>
      <c r="H9385">
        <f>IF(DATOS!$G9385&lt;&gt;"EX",0,--(COUNTIFS(nNIA,DATOS!$A9385,nCURSO,DATOS!$D9385,nESPEC,DATOS!$E9385,nASIG,DATOS!$I9385,nEVAL,"OR")=0))</f>
      </c>
      <c r="I9385">
        <f>IF(DATOS!$I9385="","",IFERROR(VLOOKUP(DATOS!$I9385,CONFIG_ASIGNATURAS!$B$2:$J$91,9,FALSE()),""))</f>
      </c>
    </row>
    <row r="9386">
      <c r="F9386">
        <f>IF(DATOS!$A9386="","",DATOS!$A9386&amp;"|"&amp;DATOS!$D9386&amp;"|"&amp;DATOS!$E9386&amp;"|"&amp;DATOS!$I9386)</f>
      </c>
      <c r="G9386">
        <f>IF(DATOS!$A9386="",0,IF(CONFIG_METADATA!$B$4&lt;&gt;"OR+EX",--(DATOS!$G9386=CONFIG_METADATA!$B$4),IF(DATOS!$G9386="EX",1,IF(DATOS!$G9386="OR",--(COUNTIFS(nNIA,DATOS!$A9386,nCURSO,DATOS!$D9386,nESPEC,DATOS!$E9386,nASIG,DATOS!$I9386,nEVAL,"EX")=0),0))))</f>
      </c>
      <c r="H9386">
        <f>IF(DATOS!$G9386&lt;&gt;"EX",0,--(COUNTIFS(nNIA,DATOS!$A9386,nCURSO,DATOS!$D9386,nESPEC,DATOS!$E9386,nASIG,DATOS!$I9386,nEVAL,"OR")=0))</f>
      </c>
      <c r="I9386">
        <f>IF(DATOS!$I9386="","",IFERROR(VLOOKUP(DATOS!$I9386,CONFIG_ASIGNATURAS!$B$2:$J$91,9,FALSE()),""))</f>
      </c>
    </row>
    <row r="9387">
      <c r="F9387">
        <f>IF(DATOS!$A9387="","",DATOS!$A9387&amp;"|"&amp;DATOS!$D9387&amp;"|"&amp;DATOS!$E9387&amp;"|"&amp;DATOS!$I9387)</f>
      </c>
      <c r="G9387">
        <f>IF(DATOS!$A9387="",0,IF(CONFIG_METADATA!$B$4&lt;&gt;"OR+EX",--(DATOS!$G9387=CONFIG_METADATA!$B$4),IF(DATOS!$G9387="EX",1,IF(DATOS!$G9387="OR",--(COUNTIFS(nNIA,DATOS!$A9387,nCURSO,DATOS!$D9387,nESPEC,DATOS!$E9387,nASIG,DATOS!$I9387,nEVAL,"EX")=0),0))))</f>
      </c>
      <c r="H9387">
        <f>IF(DATOS!$G9387&lt;&gt;"EX",0,--(COUNTIFS(nNIA,DATOS!$A9387,nCURSO,DATOS!$D9387,nESPEC,DATOS!$E9387,nASIG,DATOS!$I9387,nEVAL,"OR")=0))</f>
      </c>
      <c r="I9387">
        <f>IF(DATOS!$I9387="","",IFERROR(VLOOKUP(DATOS!$I9387,CONFIG_ASIGNATURAS!$B$2:$J$91,9,FALSE()),""))</f>
      </c>
    </row>
    <row r="9388">
      <c r="F9388">
        <f>IF(DATOS!$A9388="","",DATOS!$A9388&amp;"|"&amp;DATOS!$D9388&amp;"|"&amp;DATOS!$E9388&amp;"|"&amp;DATOS!$I9388)</f>
      </c>
      <c r="G9388">
        <f>IF(DATOS!$A9388="",0,IF(CONFIG_METADATA!$B$4&lt;&gt;"OR+EX",--(DATOS!$G9388=CONFIG_METADATA!$B$4),IF(DATOS!$G9388="EX",1,IF(DATOS!$G9388="OR",--(COUNTIFS(nNIA,DATOS!$A9388,nCURSO,DATOS!$D9388,nESPEC,DATOS!$E9388,nASIG,DATOS!$I9388,nEVAL,"EX")=0),0))))</f>
      </c>
      <c r="H9388">
        <f>IF(DATOS!$G9388&lt;&gt;"EX",0,--(COUNTIFS(nNIA,DATOS!$A9388,nCURSO,DATOS!$D9388,nESPEC,DATOS!$E9388,nASIG,DATOS!$I9388,nEVAL,"OR")=0))</f>
      </c>
      <c r="I9388">
        <f>IF(DATOS!$I9388="","",IFERROR(VLOOKUP(DATOS!$I9388,CONFIG_ASIGNATURAS!$B$2:$J$91,9,FALSE()),""))</f>
      </c>
    </row>
    <row r="9389">
      <c r="F9389">
        <f>IF(DATOS!$A9389="","",DATOS!$A9389&amp;"|"&amp;DATOS!$D9389&amp;"|"&amp;DATOS!$E9389&amp;"|"&amp;DATOS!$I9389)</f>
      </c>
      <c r="G9389">
        <f>IF(DATOS!$A9389="",0,IF(CONFIG_METADATA!$B$4&lt;&gt;"OR+EX",--(DATOS!$G9389=CONFIG_METADATA!$B$4),IF(DATOS!$G9389="EX",1,IF(DATOS!$G9389="OR",--(COUNTIFS(nNIA,DATOS!$A9389,nCURSO,DATOS!$D9389,nESPEC,DATOS!$E9389,nASIG,DATOS!$I9389,nEVAL,"EX")=0),0))))</f>
      </c>
      <c r="H9389">
        <f>IF(DATOS!$G9389&lt;&gt;"EX",0,--(COUNTIFS(nNIA,DATOS!$A9389,nCURSO,DATOS!$D9389,nESPEC,DATOS!$E9389,nASIG,DATOS!$I9389,nEVAL,"OR")=0))</f>
      </c>
      <c r="I9389">
        <f>IF(DATOS!$I9389="","",IFERROR(VLOOKUP(DATOS!$I9389,CONFIG_ASIGNATURAS!$B$2:$J$91,9,FALSE()),""))</f>
      </c>
    </row>
    <row r="9390">
      <c r="F9390">
        <f>IF(DATOS!$A9390="","",DATOS!$A9390&amp;"|"&amp;DATOS!$D9390&amp;"|"&amp;DATOS!$E9390&amp;"|"&amp;DATOS!$I9390)</f>
      </c>
      <c r="G9390">
        <f>IF(DATOS!$A9390="",0,IF(CONFIG_METADATA!$B$4&lt;&gt;"OR+EX",--(DATOS!$G9390=CONFIG_METADATA!$B$4),IF(DATOS!$G9390="EX",1,IF(DATOS!$G9390="OR",--(COUNTIFS(nNIA,DATOS!$A9390,nCURSO,DATOS!$D9390,nESPEC,DATOS!$E9390,nASIG,DATOS!$I9390,nEVAL,"EX")=0),0))))</f>
      </c>
      <c r="H9390">
        <f>IF(DATOS!$G9390&lt;&gt;"EX",0,--(COUNTIFS(nNIA,DATOS!$A9390,nCURSO,DATOS!$D9390,nESPEC,DATOS!$E9390,nASIG,DATOS!$I9390,nEVAL,"OR")=0))</f>
      </c>
      <c r="I9390">
        <f>IF(DATOS!$I9390="","",IFERROR(VLOOKUP(DATOS!$I9390,CONFIG_ASIGNATURAS!$B$2:$J$91,9,FALSE()),""))</f>
      </c>
    </row>
    <row r="9391">
      <c r="F9391">
        <f>IF(DATOS!$A9391="","",DATOS!$A9391&amp;"|"&amp;DATOS!$D9391&amp;"|"&amp;DATOS!$E9391&amp;"|"&amp;DATOS!$I9391)</f>
      </c>
      <c r="G9391">
        <f>IF(DATOS!$A9391="",0,IF(CONFIG_METADATA!$B$4&lt;&gt;"OR+EX",--(DATOS!$G9391=CONFIG_METADATA!$B$4),IF(DATOS!$G9391="EX",1,IF(DATOS!$G9391="OR",--(COUNTIFS(nNIA,DATOS!$A9391,nCURSO,DATOS!$D9391,nESPEC,DATOS!$E9391,nASIG,DATOS!$I9391,nEVAL,"EX")=0),0))))</f>
      </c>
      <c r="H9391">
        <f>IF(DATOS!$G9391&lt;&gt;"EX",0,--(COUNTIFS(nNIA,DATOS!$A9391,nCURSO,DATOS!$D9391,nESPEC,DATOS!$E9391,nASIG,DATOS!$I9391,nEVAL,"OR")=0))</f>
      </c>
      <c r="I9391">
        <f>IF(DATOS!$I9391="","",IFERROR(VLOOKUP(DATOS!$I9391,CONFIG_ASIGNATURAS!$B$2:$J$91,9,FALSE()),""))</f>
      </c>
    </row>
    <row r="9392">
      <c r="F9392">
        <f>IF(DATOS!$A9392="","",DATOS!$A9392&amp;"|"&amp;DATOS!$D9392&amp;"|"&amp;DATOS!$E9392&amp;"|"&amp;DATOS!$I9392)</f>
      </c>
      <c r="G9392">
        <f>IF(DATOS!$A9392="",0,IF(CONFIG_METADATA!$B$4&lt;&gt;"OR+EX",--(DATOS!$G9392=CONFIG_METADATA!$B$4),IF(DATOS!$G9392="EX",1,IF(DATOS!$G9392="OR",--(COUNTIFS(nNIA,DATOS!$A9392,nCURSO,DATOS!$D9392,nESPEC,DATOS!$E9392,nASIG,DATOS!$I9392,nEVAL,"EX")=0),0))))</f>
      </c>
      <c r="H9392">
        <f>IF(DATOS!$G9392&lt;&gt;"EX",0,--(COUNTIFS(nNIA,DATOS!$A9392,nCURSO,DATOS!$D9392,nESPEC,DATOS!$E9392,nASIG,DATOS!$I9392,nEVAL,"OR")=0))</f>
      </c>
      <c r="I9392">
        <f>IF(DATOS!$I9392="","",IFERROR(VLOOKUP(DATOS!$I9392,CONFIG_ASIGNATURAS!$B$2:$J$91,9,FALSE()),""))</f>
      </c>
    </row>
    <row r="9393">
      <c r="F9393">
        <f>IF(DATOS!$A9393="","",DATOS!$A9393&amp;"|"&amp;DATOS!$D9393&amp;"|"&amp;DATOS!$E9393&amp;"|"&amp;DATOS!$I9393)</f>
      </c>
      <c r="G9393">
        <f>IF(DATOS!$A9393="",0,IF(CONFIG_METADATA!$B$4&lt;&gt;"OR+EX",--(DATOS!$G9393=CONFIG_METADATA!$B$4),IF(DATOS!$G9393="EX",1,IF(DATOS!$G9393="OR",--(COUNTIFS(nNIA,DATOS!$A9393,nCURSO,DATOS!$D9393,nESPEC,DATOS!$E9393,nASIG,DATOS!$I9393,nEVAL,"EX")=0),0))))</f>
      </c>
      <c r="H9393">
        <f>IF(DATOS!$G9393&lt;&gt;"EX",0,--(COUNTIFS(nNIA,DATOS!$A9393,nCURSO,DATOS!$D9393,nESPEC,DATOS!$E9393,nASIG,DATOS!$I9393,nEVAL,"OR")=0))</f>
      </c>
      <c r="I9393">
        <f>IF(DATOS!$I9393="","",IFERROR(VLOOKUP(DATOS!$I9393,CONFIG_ASIGNATURAS!$B$2:$J$91,9,FALSE()),""))</f>
      </c>
    </row>
    <row r="9394">
      <c r="F9394">
        <f>IF(DATOS!$A9394="","",DATOS!$A9394&amp;"|"&amp;DATOS!$D9394&amp;"|"&amp;DATOS!$E9394&amp;"|"&amp;DATOS!$I9394)</f>
      </c>
      <c r="G9394">
        <f>IF(DATOS!$A9394="",0,IF(CONFIG_METADATA!$B$4&lt;&gt;"OR+EX",--(DATOS!$G9394=CONFIG_METADATA!$B$4),IF(DATOS!$G9394="EX",1,IF(DATOS!$G9394="OR",--(COUNTIFS(nNIA,DATOS!$A9394,nCURSO,DATOS!$D9394,nESPEC,DATOS!$E9394,nASIG,DATOS!$I9394,nEVAL,"EX")=0),0))))</f>
      </c>
      <c r="H9394">
        <f>IF(DATOS!$G9394&lt;&gt;"EX",0,--(COUNTIFS(nNIA,DATOS!$A9394,nCURSO,DATOS!$D9394,nESPEC,DATOS!$E9394,nASIG,DATOS!$I9394,nEVAL,"OR")=0))</f>
      </c>
      <c r="I9394">
        <f>IF(DATOS!$I9394="","",IFERROR(VLOOKUP(DATOS!$I9394,CONFIG_ASIGNATURAS!$B$2:$J$91,9,FALSE()),""))</f>
      </c>
    </row>
    <row r="9395">
      <c r="F9395">
        <f>IF(DATOS!$A9395="","",DATOS!$A9395&amp;"|"&amp;DATOS!$D9395&amp;"|"&amp;DATOS!$E9395&amp;"|"&amp;DATOS!$I9395)</f>
      </c>
      <c r="G9395">
        <f>IF(DATOS!$A9395="",0,IF(CONFIG_METADATA!$B$4&lt;&gt;"OR+EX",--(DATOS!$G9395=CONFIG_METADATA!$B$4),IF(DATOS!$G9395="EX",1,IF(DATOS!$G9395="OR",--(COUNTIFS(nNIA,DATOS!$A9395,nCURSO,DATOS!$D9395,nESPEC,DATOS!$E9395,nASIG,DATOS!$I9395,nEVAL,"EX")=0),0))))</f>
      </c>
      <c r="H9395">
        <f>IF(DATOS!$G9395&lt;&gt;"EX",0,--(COUNTIFS(nNIA,DATOS!$A9395,nCURSO,DATOS!$D9395,nESPEC,DATOS!$E9395,nASIG,DATOS!$I9395,nEVAL,"OR")=0))</f>
      </c>
      <c r="I9395">
        <f>IF(DATOS!$I9395="","",IFERROR(VLOOKUP(DATOS!$I9395,CONFIG_ASIGNATURAS!$B$2:$J$91,9,FALSE()),""))</f>
      </c>
    </row>
    <row r="9396">
      <c r="F9396">
        <f>IF(DATOS!$A9396="","",DATOS!$A9396&amp;"|"&amp;DATOS!$D9396&amp;"|"&amp;DATOS!$E9396&amp;"|"&amp;DATOS!$I9396)</f>
      </c>
      <c r="G9396">
        <f>IF(DATOS!$A9396="",0,IF(CONFIG_METADATA!$B$4&lt;&gt;"OR+EX",--(DATOS!$G9396=CONFIG_METADATA!$B$4),IF(DATOS!$G9396="EX",1,IF(DATOS!$G9396="OR",--(COUNTIFS(nNIA,DATOS!$A9396,nCURSO,DATOS!$D9396,nESPEC,DATOS!$E9396,nASIG,DATOS!$I9396,nEVAL,"EX")=0),0))))</f>
      </c>
      <c r="H9396">
        <f>IF(DATOS!$G9396&lt;&gt;"EX",0,--(COUNTIFS(nNIA,DATOS!$A9396,nCURSO,DATOS!$D9396,nESPEC,DATOS!$E9396,nASIG,DATOS!$I9396,nEVAL,"OR")=0))</f>
      </c>
      <c r="I9396">
        <f>IF(DATOS!$I9396="","",IFERROR(VLOOKUP(DATOS!$I9396,CONFIG_ASIGNATURAS!$B$2:$J$91,9,FALSE()),""))</f>
      </c>
    </row>
    <row r="9397">
      <c r="F9397">
        <f>IF(DATOS!$A9397="","",DATOS!$A9397&amp;"|"&amp;DATOS!$D9397&amp;"|"&amp;DATOS!$E9397&amp;"|"&amp;DATOS!$I9397)</f>
      </c>
      <c r="G9397">
        <f>IF(DATOS!$A9397="",0,IF(CONFIG_METADATA!$B$4&lt;&gt;"OR+EX",--(DATOS!$G9397=CONFIG_METADATA!$B$4),IF(DATOS!$G9397="EX",1,IF(DATOS!$G9397="OR",--(COUNTIFS(nNIA,DATOS!$A9397,nCURSO,DATOS!$D9397,nESPEC,DATOS!$E9397,nASIG,DATOS!$I9397,nEVAL,"EX")=0),0))))</f>
      </c>
      <c r="H9397">
        <f>IF(DATOS!$G9397&lt;&gt;"EX",0,--(COUNTIFS(nNIA,DATOS!$A9397,nCURSO,DATOS!$D9397,nESPEC,DATOS!$E9397,nASIG,DATOS!$I9397,nEVAL,"OR")=0))</f>
      </c>
      <c r="I9397">
        <f>IF(DATOS!$I9397="","",IFERROR(VLOOKUP(DATOS!$I9397,CONFIG_ASIGNATURAS!$B$2:$J$91,9,FALSE()),""))</f>
      </c>
    </row>
    <row r="9398">
      <c r="F9398">
        <f>IF(DATOS!$A9398="","",DATOS!$A9398&amp;"|"&amp;DATOS!$D9398&amp;"|"&amp;DATOS!$E9398&amp;"|"&amp;DATOS!$I9398)</f>
      </c>
      <c r="G9398">
        <f>IF(DATOS!$A9398="",0,IF(CONFIG_METADATA!$B$4&lt;&gt;"OR+EX",--(DATOS!$G9398=CONFIG_METADATA!$B$4),IF(DATOS!$G9398="EX",1,IF(DATOS!$G9398="OR",--(COUNTIFS(nNIA,DATOS!$A9398,nCURSO,DATOS!$D9398,nESPEC,DATOS!$E9398,nASIG,DATOS!$I9398,nEVAL,"EX")=0),0))))</f>
      </c>
      <c r="H9398">
        <f>IF(DATOS!$G9398&lt;&gt;"EX",0,--(COUNTIFS(nNIA,DATOS!$A9398,nCURSO,DATOS!$D9398,nESPEC,DATOS!$E9398,nASIG,DATOS!$I9398,nEVAL,"OR")=0))</f>
      </c>
      <c r="I9398">
        <f>IF(DATOS!$I9398="","",IFERROR(VLOOKUP(DATOS!$I9398,CONFIG_ASIGNATURAS!$B$2:$J$91,9,FALSE()),""))</f>
      </c>
    </row>
    <row r="9399">
      <c r="F9399">
        <f>IF(DATOS!$A9399="","",DATOS!$A9399&amp;"|"&amp;DATOS!$D9399&amp;"|"&amp;DATOS!$E9399&amp;"|"&amp;DATOS!$I9399)</f>
      </c>
      <c r="G9399">
        <f>IF(DATOS!$A9399="",0,IF(CONFIG_METADATA!$B$4&lt;&gt;"OR+EX",--(DATOS!$G9399=CONFIG_METADATA!$B$4),IF(DATOS!$G9399="EX",1,IF(DATOS!$G9399="OR",--(COUNTIFS(nNIA,DATOS!$A9399,nCURSO,DATOS!$D9399,nESPEC,DATOS!$E9399,nASIG,DATOS!$I9399,nEVAL,"EX")=0),0))))</f>
      </c>
      <c r="H9399">
        <f>IF(DATOS!$G9399&lt;&gt;"EX",0,--(COUNTIFS(nNIA,DATOS!$A9399,nCURSO,DATOS!$D9399,nESPEC,DATOS!$E9399,nASIG,DATOS!$I9399,nEVAL,"OR")=0))</f>
      </c>
      <c r="I9399">
        <f>IF(DATOS!$I9399="","",IFERROR(VLOOKUP(DATOS!$I9399,CONFIG_ASIGNATURAS!$B$2:$J$91,9,FALSE()),""))</f>
      </c>
    </row>
    <row r="9400">
      <c r="F9400">
        <f>IF(DATOS!$A9400="","",DATOS!$A9400&amp;"|"&amp;DATOS!$D9400&amp;"|"&amp;DATOS!$E9400&amp;"|"&amp;DATOS!$I9400)</f>
      </c>
      <c r="G9400">
        <f>IF(DATOS!$A9400="",0,IF(CONFIG_METADATA!$B$4&lt;&gt;"OR+EX",--(DATOS!$G9400=CONFIG_METADATA!$B$4),IF(DATOS!$G9400="EX",1,IF(DATOS!$G9400="OR",--(COUNTIFS(nNIA,DATOS!$A9400,nCURSO,DATOS!$D9400,nESPEC,DATOS!$E9400,nASIG,DATOS!$I9400,nEVAL,"EX")=0),0))))</f>
      </c>
      <c r="H9400">
        <f>IF(DATOS!$G9400&lt;&gt;"EX",0,--(COUNTIFS(nNIA,DATOS!$A9400,nCURSO,DATOS!$D9400,nESPEC,DATOS!$E9400,nASIG,DATOS!$I9400,nEVAL,"OR")=0))</f>
      </c>
      <c r="I9400">
        <f>IF(DATOS!$I9400="","",IFERROR(VLOOKUP(DATOS!$I9400,CONFIG_ASIGNATURAS!$B$2:$J$91,9,FALSE()),""))</f>
      </c>
    </row>
    <row r="9401">
      <c r="F9401">
        <f>IF(DATOS!$A9401="","",DATOS!$A9401&amp;"|"&amp;DATOS!$D9401&amp;"|"&amp;DATOS!$E9401&amp;"|"&amp;DATOS!$I9401)</f>
      </c>
      <c r="G9401">
        <f>IF(DATOS!$A9401="",0,IF(CONFIG_METADATA!$B$4&lt;&gt;"OR+EX",--(DATOS!$G9401=CONFIG_METADATA!$B$4),IF(DATOS!$G9401="EX",1,IF(DATOS!$G9401="OR",--(COUNTIFS(nNIA,DATOS!$A9401,nCURSO,DATOS!$D9401,nESPEC,DATOS!$E9401,nASIG,DATOS!$I9401,nEVAL,"EX")=0),0))))</f>
      </c>
      <c r="H9401">
        <f>IF(DATOS!$G9401&lt;&gt;"EX",0,--(COUNTIFS(nNIA,DATOS!$A9401,nCURSO,DATOS!$D9401,nESPEC,DATOS!$E9401,nASIG,DATOS!$I9401,nEVAL,"OR")=0))</f>
      </c>
      <c r="I9401">
        <f>IF(DATOS!$I9401="","",IFERROR(VLOOKUP(DATOS!$I9401,CONFIG_ASIGNATURAS!$B$2:$J$91,9,FALSE()),""))</f>
      </c>
    </row>
    <row r="9402">
      <c r="F9402">
        <f>IF(DATOS!$A9402="","",DATOS!$A9402&amp;"|"&amp;DATOS!$D9402&amp;"|"&amp;DATOS!$E9402&amp;"|"&amp;DATOS!$I9402)</f>
      </c>
      <c r="G9402">
        <f>IF(DATOS!$A9402="",0,IF(CONFIG_METADATA!$B$4&lt;&gt;"OR+EX",--(DATOS!$G9402=CONFIG_METADATA!$B$4),IF(DATOS!$G9402="EX",1,IF(DATOS!$G9402="OR",--(COUNTIFS(nNIA,DATOS!$A9402,nCURSO,DATOS!$D9402,nESPEC,DATOS!$E9402,nASIG,DATOS!$I9402,nEVAL,"EX")=0),0))))</f>
      </c>
      <c r="H9402">
        <f>IF(DATOS!$G9402&lt;&gt;"EX",0,--(COUNTIFS(nNIA,DATOS!$A9402,nCURSO,DATOS!$D9402,nESPEC,DATOS!$E9402,nASIG,DATOS!$I9402,nEVAL,"OR")=0))</f>
      </c>
      <c r="I9402">
        <f>IF(DATOS!$I9402="","",IFERROR(VLOOKUP(DATOS!$I9402,CONFIG_ASIGNATURAS!$B$2:$J$91,9,FALSE()),""))</f>
      </c>
    </row>
    <row r="9403">
      <c r="F9403">
        <f>IF(DATOS!$A9403="","",DATOS!$A9403&amp;"|"&amp;DATOS!$D9403&amp;"|"&amp;DATOS!$E9403&amp;"|"&amp;DATOS!$I9403)</f>
      </c>
      <c r="G9403">
        <f>IF(DATOS!$A9403="",0,IF(CONFIG_METADATA!$B$4&lt;&gt;"OR+EX",--(DATOS!$G9403=CONFIG_METADATA!$B$4),IF(DATOS!$G9403="EX",1,IF(DATOS!$G9403="OR",--(COUNTIFS(nNIA,DATOS!$A9403,nCURSO,DATOS!$D9403,nESPEC,DATOS!$E9403,nASIG,DATOS!$I9403,nEVAL,"EX")=0),0))))</f>
      </c>
      <c r="H9403">
        <f>IF(DATOS!$G9403&lt;&gt;"EX",0,--(COUNTIFS(nNIA,DATOS!$A9403,nCURSO,DATOS!$D9403,nESPEC,DATOS!$E9403,nASIG,DATOS!$I9403,nEVAL,"OR")=0))</f>
      </c>
      <c r="I9403">
        <f>IF(DATOS!$I9403="","",IFERROR(VLOOKUP(DATOS!$I9403,CONFIG_ASIGNATURAS!$B$2:$J$91,9,FALSE()),""))</f>
      </c>
    </row>
    <row r="9404">
      <c r="F9404">
        <f>IF(DATOS!$A9404="","",DATOS!$A9404&amp;"|"&amp;DATOS!$D9404&amp;"|"&amp;DATOS!$E9404&amp;"|"&amp;DATOS!$I9404)</f>
      </c>
      <c r="G9404">
        <f>IF(DATOS!$A9404="",0,IF(CONFIG_METADATA!$B$4&lt;&gt;"OR+EX",--(DATOS!$G9404=CONFIG_METADATA!$B$4),IF(DATOS!$G9404="EX",1,IF(DATOS!$G9404="OR",--(COUNTIFS(nNIA,DATOS!$A9404,nCURSO,DATOS!$D9404,nESPEC,DATOS!$E9404,nASIG,DATOS!$I9404,nEVAL,"EX")=0),0))))</f>
      </c>
      <c r="H9404">
        <f>IF(DATOS!$G9404&lt;&gt;"EX",0,--(COUNTIFS(nNIA,DATOS!$A9404,nCURSO,DATOS!$D9404,nESPEC,DATOS!$E9404,nASIG,DATOS!$I9404,nEVAL,"OR")=0))</f>
      </c>
      <c r="I9404">
        <f>IF(DATOS!$I9404="","",IFERROR(VLOOKUP(DATOS!$I9404,CONFIG_ASIGNATURAS!$B$2:$J$91,9,FALSE()),""))</f>
      </c>
    </row>
    <row r="9405">
      <c r="F9405">
        <f>IF(DATOS!$A9405="","",DATOS!$A9405&amp;"|"&amp;DATOS!$D9405&amp;"|"&amp;DATOS!$E9405&amp;"|"&amp;DATOS!$I9405)</f>
      </c>
      <c r="G9405">
        <f>IF(DATOS!$A9405="",0,IF(CONFIG_METADATA!$B$4&lt;&gt;"OR+EX",--(DATOS!$G9405=CONFIG_METADATA!$B$4),IF(DATOS!$G9405="EX",1,IF(DATOS!$G9405="OR",--(COUNTIFS(nNIA,DATOS!$A9405,nCURSO,DATOS!$D9405,nESPEC,DATOS!$E9405,nASIG,DATOS!$I9405,nEVAL,"EX")=0),0))))</f>
      </c>
      <c r="H9405">
        <f>IF(DATOS!$G9405&lt;&gt;"EX",0,--(COUNTIFS(nNIA,DATOS!$A9405,nCURSO,DATOS!$D9405,nESPEC,DATOS!$E9405,nASIG,DATOS!$I9405,nEVAL,"OR")=0))</f>
      </c>
      <c r="I9405">
        <f>IF(DATOS!$I9405="","",IFERROR(VLOOKUP(DATOS!$I9405,CONFIG_ASIGNATURAS!$B$2:$J$91,9,FALSE()),""))</f>
      </c>
    </row>
    <row r="9406">
      <c r="F9406">
        <f>IF(DATOS!$A9406="","",DATOS!$A9406&amp;"|"&amp;DATOS!$D9406&amp;"|"&amp;DATOS!$E9406&amp;"|"&amp;DATOS!$I9406)</f>
      </c>
      <c r="G9406">
        <f>IF(DATOS!$A9406="",0,IF(CONFIG_METADATA!$B$4&lt;&gt;"OR+EX",--(DATOS!$G9406=CONFIG_METADATA!$B$4),IF(DATOS!$G9406="EX",1,IF(DATOS!$G9406="OR",--(COUNTIFS(nNIA,DATOS!$A9406,nCURSO,DATOS!$D9406,nESPEC,DATOS!$E9406,nASIG,DATOS!$I9406,nEVAL,"EX")=0),0))))</f>
      </c>
      <c r="H9406">
        <f>IF(DATOS!$G9406&lt;&gt;"EX",0,--(COUNTIFS(nNIA,DATOS!$A9406,nCURSO,DATOS!$D9406,nESPEC,DATOS!$E9406,nASIG,DATOS!$I9406,nEVAL,"OR")=0))</f>
      </c>
      <c r="I9406">
        <f>IF(DATOS!$I9406="","",IFERROR(VLOOKUP(DATOS!$I9406,CONFIG_ASIGNATURAS!$B$2:$J$91,9,FALSE()),""))</f>
      </c>
    </row>
    <row r="9407">
      <c r="F9407">
        <f>IF(DATOS!$A9407="","",DATOS!$A9407&amp;"|"&amp;DATOS!$D9407&amp;"|"&amp;DATOS!$E9407&amp;"|"&amp;DATOS!$I9407)</f>
      </c>
      <c r="G9407">
        <f>IF(DATOS!$A9407="",0,IF(CONFIG_METADATA!$B$4&lt;&gt;"OR+EX",--(DATOS!$G9407=CONFIG_METADATA!$B$4),IF(DATOS!$G9407="EX",1,IF(DATOS!$G9407="OR",--(COUNTIFS(nNIA,DATOS!$A9407,nCURSO,DATOS!$D9407,nESPEC,DATOS!$E9407,nASIG,DATOS!$I9407,nEVAL,"EX")=0),0))))</f>
      </c>
      <c r="H9407">
        <f>IF(DATOS!$G9407&lt;&gt;"EX",0,--(COUNTIFS(nNIA,DATOS!$A9407,nCURSO,DATOS!$D9407,nESPEC,DATOS!$E9407,nASIG,DATOS!$I9407,nEVAL,"OR")=0))</f>
      </c>
      <c r="I9407">
        <f>IF(DATOS!$I9407="","",IFERROR(VLOOKUP(DATOS!$I9407,CONFIG_ASIGNATURAS!$B$2:$J$91,9,FALSE()),""))</f>
      </c>
    </row>
    <row r="9408">
      <c r="F9408">
        <f>IF(DATOS!$A9408="","",DATOS!$A9408&amp;"|"&amp;DATOS!$D9408&amp;"|"&amp;DATOS!$E9408&amp;"|"&amp;DATOS!$I9408)</f>
      </c>
      <c r="G9408">
        <f>IF(DATOS!$A9408="",0,IF(CONFIG_METADATA!$B$4&lt;&gt;"OR+EX",--(DATOS!$G9408=CONFIG_METADATA!$B$4),IF(DATOS!$G9408="EX",1,IF(DATOS!$G9408="OR",--(COUNTIFS(nNIA,DATOS!$A9408,nCURSO,DATOS!$D9408,nESPEC,DATOS!$E9408,nASIG,DATOS!$I9408,nEVAL,"EX")=0),0))))</f>
      </c>
      <c r="H9408">
        <f>IF(DATOS!$G9408&lt;&gt;"EX",0,--(COUNTIFS(nNIA,DATOS!$A9408,nCURSO,DATOS!$D9408,nESPEC,DATOS!$E9408,nASIG,DATOS!$I9408,nEVAL,"OR")=0))</f>
      </c>
      <c r="I9408">
        <f>IF(DATOS!$I9408="","",IFERROR(VLOOKUP(DATOS!$I9408,CONFIG_ASIGNATURAS!$B$2:$J$91,9,FALSE()),""))</f>
      </c>
    </row>
    <row r="9409">
      <c r="F9409">
        <f>IF(DATOS!$A9409="","",DATOS!$A9409&amp;"|"&amp;DATOS!$D9409&amp;"|"&amp;DATOS!$E9409&amp;"|"&amp;DATOS!$I9409)</f>
      </c>
      <c r="G9409">
        <f>IF(DATOS!$A9409="",0,IF(CONFIG_METADATA!$B$4&lt;&gt;"OR+EX",--(DATOS!$G9409=CONFIG_METADATA!$B$4),IF(DATOS!$G9409="EX",1,IF(DATOS!$G9409="OR",--(COUNTIFS(nNIA,DATOS!$A9409,nCURSO,DATOS!$D9409,nESPEC,DATOS!$E9409,nASIG,DATOS!$I9409,nEVAL,"EX")=0),0))))</f>
      </c>
      <c r="H9409">
        <f>IF(DATOS!$G9409&lt;&gt;"EX",0,--(COUNTIFS(nNIA,DATOS!$A9409,nCURSO,DATOS!$D9409,nESPEC,DATOS!$E9409,nASIG,DATOS!$I9409,nEVAL,"OR")=0))</f>
      </c>
      <c r="I9409">
        <f>IF(DATOS!$I9409="","",IFERROR(VLOOKUP(DATOS!$I9409,CONFIG_ASIGNATURAS!$B$2:$J$91,9,FALSE()),""))</f>
      </c>
    </row>
    <row r="9410">
      <c r="F9410">
        <f>IF(DATOS!$A9410="","",DATOS!$A9410&amp;"|"&amp;DATOS!$D9410&amp;"|"&amp;DATOS!$E9410&amp;"|"&amp;DATOS!$I9410)</f>
      </c>
      <c r="G9410">
        <f>IF(DATOS!$A9410="",0,IF(CONFIG_METADATA!$B$4&lt;&gt;"OR+EX",--(DATOS!$G9410=CONFIG_METADATA!$B$4),IF(DATOS!$G9410="EX",1,IF(DATOS!$G9410="OR",--(COUNTIFS(nNIA,DATOS!$A9410,nCURSO,DATOS!$D9410,nESPEC,DATOS!$E9410,nASIG,DATOS!$I9410,nEVAL,"EX")=0),0))))</f>
      </c>
      <c r="H9410">
        <f>IF(DATOS!$G9410&lt;&gt;"EX",0,--(COUNTIFS(nNIA,DATOS!$A9410,nCURSO,DATOS!$D9410,nESPEC,DATOS!$E9410,nASIG,DATOS!$I9410,nEVAL,"OR")=0))</f>
      </c>
      <c r="I9410">
        <f>IF(DATOS!$I9410="","",IFERROR(VLOOKUP(DATOS!$I9410,CONFIG_ASIGNATURAS!$B$2:$J$91,9,FALSE()),""))</f>
      </c>
    </row>
    <row r="9411">
      <c r="F9411">
        <f>IF(DATOS!$A9411="","",DATOS!$A9411&amp;"|"&amp;DATOS!$D9411&amp;"|"&amp;DATOS!$E9411&amp;"|"&amp;DATOS!$I9411)</f>
      </c>
      <c r="G9411">
        <f>IF(DATOS!$A9411="",0,IF(CONFIG_METADATA!$B$4&lt;&gt;"OR+EX",--(DATOS!$G9411=CONFIG_METADATA!$B$4),IF(DATOS!$G9411="EX",1,IF(DATOS!$G9411="OR",--(COUNTIFS(nNIA,DATOS!$A9411,nCURSO,DATOS!$D9411,nESPEC,DATOS!$E9411,nASIG,DATOS!$I9411,nEVAL,"EX")=0),0))))</f>
      </c>
      <c r="H9411">
        <f>IF(DATOS!$G9411&lt;&gt;"EX",0,--(COUNTIFS(nNIA,DATOS!$A9411,nCURSO,DATOS!$D9411,nESPEC,DATOS!$E9411,nASIG,DATOS!$I9411,nEVAL,"OR")=0))</f>
      </c>
      <c r="I9411">
        <f>IF(DATOS!$I9411="","",IFERROR(VLOOKUP(DATOS!$I9411,CONFIG_ASIGNATURAS!$B$2:$J$91,9,FALSE()),""))</f>
      </c>
    </row>
    <row r="9412">
      <c r="F9412">
        <f>IF(DATOS!$A9412="","",DATOS!$A9412&amp;"|"&amp;DATOS!$D9412&amp;"|"&amp;DATOS!$E9412&amp;"|"&amp;DATOS!$I9412)</f>
      </c>
      <c r="G9412">
        <f>IF(DATOS!$A9412="",0,IF(CONFIG_METADATA!$B$4&lt;&gt;"OR+EX",--(DATOS!$G9412=CONFIG_METADATA!$B$4),IF(DATOS!$G9412="EX",1,IF(DATOS!$G9412="OR",--(COUNTIFS(nNIA,DATOS!$A9412,nCURSO,DATOS!$D9412,nESPEC,DATOS!$E9412,nASIG,DATOS!$I9412,nEVAL,"EX")=0),0))))</f>
      </c>
      <c r="H9412">
        <f>IF(DATOS!$G9412&lt;&gt;"EX",0,--(COUNTIFS(nNIA,DATOS!$A9412,nCURSO,DATOS!$D9412,nESPEC,DATOS!$E9412,nASIG,DATOS!$I9412,nEVAL,"OR")=0))</f>
      </c>
      <c r="I9412">
        <f>IF(DATOS!$I9412="","",IFERROR(VLOOKUP(DATOS!$I9412,CONFIG_ASIGNATURAS!$B$2:$J$91,9,FALSE()),""))</f>
      </c>
    </row>
    <row r="9413">
      <c r="F9413">
        <f>IF(DATOS!$A9413="","",DATOS!$A9413&amp;"|"&amp;DATOS!$D9413&amp;"|"&amp;DATOS!$E9413&amp;"|"&amp;DATOS!$I9413)</f>
      </c>
      <c r="G9413">
        <f>IF(DATOS!$A9413="",0,IF(CONFIG_METADATA!$B$4&lt;&gt;"OR+EX",--(DATOS!$G9413=CONFIG_METADATA!$B$4),IF(DATOS!$G9413="EX",1,IF(DATOS!$G9413="OR",--(COUNTIFS(nNIA,DATOS!$A9413,nCURSO,DATOS!$D9413,nESPEC,DATOS!$E9413,nASIG,DATOS!$I9413,nEVAL,"EX")=0),0))))</f>
      </c>
      <c r="H9413">
        <f>IF(DATOS!$G9413&lt;&gt;"EX",0,--(COUNTIFS(nNIA,DATOS!$A9413,nCURSO,DATOS!$D9413,nESPEC,DATOS!$E9413,nASIG,DATOS!$I9413,nEVAL,"OR")=0))</f>
      </c>
      <c r="I9413">
        <f>IF(DATOS!$I9413="","",IFERROR(VLOOKUP(DATOS!$I9413,CONFIG_ASIGNATURAS!$B$2:$J$91,9,FALSE()),""))</f>
      </c>
    </row>
    <row r="9414">
      <c r="F9414">
        <f>IF(DATOS!$A9414="","",DATOS!$A9414&amp;"|"&amp;DATOS!$D9414&amp;"|"&amp;DATOS!$E9414&amp;"|"&amp;DATOS!$I9414)</f>
      </c>
      <c r="G9414">
        <f>IF(DATOS!$A9414="",0,IF(CONFIG_METADATA!$B$4&lt;&gt;"OR+EX",--(DATOS!$G9414=CONFIG_METADATA!$B$4),IF(DATOS!$G9414="EX",1,IF(DATOS!$G9414="OR",--(COUNTIFS(nNIA,DATOS!$A9414,nCURSO,DATOS!$D9414,nESPEC,DATOS!$E9414,nASIG,DATOS!$I9414,nEVAL,"EX")=0),0))))</f>
      </c>
      <c r="H9414">
        <f>IF(DATOS!$G9414&lt;&gt;"EX",0,--(COUNTIFS(nNIA,DATOS!$A9414,nCURSO,DATOS!$D9414,nESPEC,DATOS!$E9414,nASIG,DATOS!$I9414,nEVAL,"OR")=0))</f>
      </c>
      <c r="I9414">
        <f>IF(DATOS!$I9414="","",IFERROR(VLOOKUP(DATOS!$I9414,CONFIG_ASIGNATURAS!$B$2:$J$91,9,FALSE()),""))</f>
      </c>
    </row>
    <row r="9415">
      <c r="F9415">
        <f>IF(DATOS!$A9415="","",DATOS!$A9415&amp;"|"&amp;DATOS!$D9415&amp;"|"&amp;DATOS!$E9415&amp;"|"&amp;DATOS!$I9415)</f>
      </c>
      <c r="G9415">
        <f>IF(DATOS!$A9415="",0,IF(CONFIG_METADATA!$B$4&lt;&gt;"OR+EX",--(DATOS!$G9415=CONFIG_METADATA!$B$4),IF(DATOS!$G9415="EX",1,IF(DATOS!$G9415="OR",--(COUNTIFS(nNIA,DATOS!$A9415,nCURSO,DATOS!$D9415,nESPEC,DATOS!$E9415,nASIG,DATOS!$I9415,nEVAL,"EX")=0),0))))</f>
      </c>
      <c r="H9415">
        <f>IF(DATOS!$G9415&lt;&gt;"EX",0,--(COUNTIFS(nNIA,DATOS!$A9415,nCURSO,DATOS!$D9415,nESPEC,DATOS!$E9415,nASIG,DATOS!$I9415,nEVAL,"OR")=0))</f>
      </c>
      <c r="I9415">
        <f>IF(DATOS!$I9415="","",IFERROR(VLOOKUP(DATOS!$I9415,CONFIG_ASIGNATURAS!$B$2:$J$91,9,FALSE()),""))</f>
      </c>
    </row>
    <row r="9416">
      <c r="F9416">
        <f>IF(DATOS!$A9416="","",DATOS!$A9416&amp;"|"&amp;DATOS!$D9416&amp;"|"&amp;DATOS!$E9416&amp;"|"&amp;DATOS!$I9416)</f>
      </c>
      <c r="G9416">
        <f>IF(DATOS!$A9416="",0,IF(CONFIG_METADATA!$B$4&lt;&gt;"OR+EX",--(DATOS!$G9416=CONFIG_METADATA!$B$4),IF(DATOS!$G9416="EX",1,IF(DATOS!$G9416="OR",--(COUNTIFS(nNIA,DATOS!$A9416,nCURSO,DATOS!$D9416,nESPEC,DATOS!$E9416,nASIG,DATOS!$I9416,nEVAL,"EX")=0),0))))</f>
      </c>
      <c r="H9416">
        <f>IF(DATOS!$G9416&lt;&gt;"EX",0,--(COUNTIFS(nNIA,DATOS!$A9416,nCURSO,DATOS!$D9416,nESPEC,DATOS!$E9416,nASIG,DATOS!$I9416,nEVAL,"OR")=0))</f>
      </c>
      <c r="I9416">
        <f>IF(DATOS!$I9416="","",IFERROR(VLOOKUP(DATOS!$I9416,CONFIG_ASIGNATURAS!$B$2:$J$91,9,FALSE()),""))</f>
      </c>
    </row>
    <row r="9417">
      <c r="F9417">
        <f>IF(DATOS!$A9417="","",DATOS!$A9417&amp;"|"&amp;DATOS!$D9417&amp;"|"&amp;DATOS!$E9417&amp;"|"&amp;DATOS!$I9417)</f>
      </c>
      <c r="G9417">
        <f>IF(DATOS!$A9417="",0,IF(CONFIG_METADATA!$B$4&lt;&gt;"OR+EX",--(DATOS!$G9417=CONFIG_METADATA!$B$4),IF(DATOS!$G9417="EX",1,IF(DATOS!$G9417="OR",--(COUNTIFS(nNIA,DATOS!$A9417,nCURSO,DATOS!$D9417,nESPEC,DATOS!$E9417,nASIG,DATOS!$I9417,nEVAL,"EX")=0),0))))</f>
      </c>
      <c r="H9417">
        <f>IF(DATOS!$G9417&lt;&gt;"EX",0,--(COUNTIFS(nNIA,DATOS!$A9417,nCURSO,DATOS!$D9417,nESPEC,DATOS!$E9417,nASIG,DATOS!$I9417,nEVAL,"OR")=0))</f>
      </c>
      <c r="I9417">
        <f>IF(DATOS!$I9417="","",IFERROR(VLOOKUP(DATOS!$I9417,CONFIG_ASIGNATURAS!$B$2:$J$91,9,FALSE()),""))</f>
      </c>
    </row>
    <row r="9418">
      <c r="F9418">
        <f>IF(DATOS!$A9418="","",DATOS!$A9418&amp;"|"&amp;DATOS!$D9418&amp;"|"&amp;DATOS!$E9418&amp;"|"&amp;DATOS!$I9418)</f>
      </c>
      <c r="G9418">
        <f>IF(DATOS!$A9418="",0,IF(CONFIG_METADATA!$B$4&lt;&gt;"OR+EX",--(DATOS!$G9418=CONFIG_METADATA!$B$4),IF(DATOS!$G9418="EX",1,IF(DATOS!$G9418="OR",--(COUNTIFS(nNIA,DATOS!$A9418,nCURSO,DATOS!$D9418,nESPEC,DATOS!$E9418,nASIG,DATOS!$I9418,nEVAL,"EX")=0),0))))</f>
      </c>
      <c r="H9418">
        <f>IF(DATOS!$G9418&lt;&gt;"EX",0,--(COUNTIFS(nNIA,DATOS!$A9418,nCURSO,DATOS!$D9418,nESPEC,DATOS!$E9418,nASIG,DATOS!$I9418,nEVAL,"OR")=0))</f>
      </c>
      <c r="I9418">
        <f>IF(DATOS!$I9418="","",IFERROR(VLOOKUP(DATOS!$I9418,CONFIG_ASIGNATURAS!$B$2:$J$91,9,FALSE()),""))</f>
      </c>
    </row>
    <row r="9419">
      <c r="F9419">
        <f>IF(DATOS!$A9419="","",DATOS!$A9419&amp;"|"&amp;DATOS!$D9419&amp;"|"&amp;DATOS!$E9419&amp;"|"&amp;DATOS!$I9419)</f>
      </c>
      <c r="G9419">
        <f>IF(DATOS!$A9419="",0,IF(CONFIG_METADATA!$B$4&lt;&gt;"OR+EX",--(DATOS!$G9419=CONFIG_METADATA!$B$4),IF(DATOS!$G9419="EX",1,IF(DATOS!$G9419="OR",--(COUNTIFS(nNIA,DATOS!$A9419,nCURSO,DATOS!$D9419,nESPEC,DATOS!$E9419,nASIG,DATOS!$I9419,nEVAL,"EX")=0),0))))</f>
      </c>
      <c r="H9419">
        <f>IF(DATOS!$G9419&lt;&gt;"EX",0,--(COUNTIFS(nNIA,DATOS!$A9419,nCURSO,DATOS!$D9419,nESPEC,DATOS!$E9419,nASIG,DATOS!$I9419,nEVAL,"OR")=0))</f>
      </c>
      <c r="I9419">
        <f>IF(DATOS!$I9419="","",IFERROR(VLOOKUP(DATOS!$I9419,CONFIG_ASIGNATURAS!$B$2:$J$91,9,FALSE()),""))</f>
      </c>
    </row>
    <row r="9420">
      <c r="F9420">
        <f>IF(DATOS!$A9420="","",DATOS!$A9420&amp;"|"&amp;DATOS!$D9420&amp;"|"&amp;DATOS!$E9420&amp;"|"&amp;DATOS!$I9420)</f>
      </c>
      <c r="G9420">
        <f>IF(DATOS!$A9420="",0,IF(CONFIG_METADATA!$B$4&lt;&gt;"OR+EX",--(DATOS!$G9420=CONFIG_METADATA!$B$4),IF(DATOS!$G9420="EX",1,IF(DATOS!$G9420="OR",--(COUNTIFS(nNIA,DATOS!$A9420,nCURSO,DATOS!$D9420,nESPEC,DATOS!$E9420,nASIG,DATOS!$I9420,nEVAL,"EX")=0),0))))</f>
      </c>
      <c r="H9420">
        <f>IF(DATOS!$G9420&lt;&gt;"EX",0,--(COUNTIFS(nNIA,DATOS!$A9420,nCURSO,DATOS!$D9420,nESPEC,DATOS!$E9420,nASIG,DATOS!$I9420,nEVAL,"OR")=0))</f>
      </c>
      <c r="I9420">
        <f>IF(DATOS!$I9420="","",IFERROR(VLOOKUP(DATOS!$I9420,CONFIG_ASIGNATURAS!$B$2:$J$91,9,FALSE()),""))</f>
      </c>
    </row>
    <row r="9421">
      <c r="F9421">
        <f>IF(DATOS!$A9421="","",DATOS!$A9421&amp;"|"&amp;DATOS!$D9421&amp;"|"&amp;DATOS!$E9421&amp;"|"&amp;DATOS!$I9421)</f>
      </c>
      <c r="G9421">
        <f>IF(DATOS!$A9421="",0,IF(CONFIG_METADATA!$B$4&lt;&gt;"OR+EX",--(DATOS!$G9421=CONFIG_METADATA!$B$4),IF(DATOS!$G9421="EX",1,IF(DATOS!$G9421="OR",--(COUNTIFS(nNIA,DATOS!$A9421,nCURSO,DATOS!$D9421,nESPEC,DATOS!$E9421,nASIG,DATOS!$I9421,nEVAL,"EX")=0),0))))</f>
      </c>
      <c r="H9421">
        <f>IF(DATOS!$G9421&lt;&gt;"EX",0,--(COUNTIFS(nNIA,DATOS!$A9421,nCURSO,DATOS!$D9421,nESPEC,DATOS!$E9421,nASIG,DATOS!$I9421,nEVAL,"OR")=0))</f>
      </c>
      <c r="I9421">
        <f>IF(DATOS!$I9421="","",IFERROR(VLOOKUP(DATOS!$I9421,CONFIG_ASIGNATURAS!$B$2:$J$91,9,FALSE()),""))</f>
      </c>
    </row>
    <row r="9422">
      <c r="F9422">
        <f>IF(DATOS!$A9422="","",DATOS!$A9422&amp;"|"&amp;DATOS!$D9422&amp;"|"&amp;DATOS!$E9422&amp;"|"&amp;DATOS!$I9422)</f>
      </c>
      <c r="G9422">
        <f>IF(DATOS!$A9422="",0,IF(CONFIG_METADATA!$B$4&lt;&gt;"OR+EX",--(DATOS!$G9422=CONFIG_METADATA!$B$4),IF(DATOS!$G9422="EX",1,IF(DATOS!$G9422="OR",--(COUNTIFS(nNIA,DATOS!$A9422,nCURSO,DATOS!$D9422,nESPEC,DATOS!$E9422,nASIG,DATOS!$I9422,nEVAL,"EX")=0),0))))</f>
      </c>
      <c r="H9422">
        <f>IF(DATOS!$G9422&lt;&gt;"EX",0,--(COUNTIFS(nNIA,DATOS!$A9422,nCURSO,DATOS!$D9422,nESPEC,DATOS!$E9422,nASIG,DATOS!$I9422,nEVAL,"OR")=0))</f>
      </c>
      <c r="I9422">
        <f>IF(DATOS!$I9422="","",IFERROR(VLOOKUP(DATOS!$I9422,CONFIG_ASIGNATURAS!$B$2:$J$91,9,FALSE()),""))</f>
      </c>
    </row>
    <row r="9423">
      <c r="F9423">
        <f>IF(DATOS!$A9423="","",DATOS!$A9423&amp;"|"&amp;DATOS!$D9423&amp;"|"&amp;DATOS!$E9423&amp;"|"&amp;DATOS!$I9423)</f>
      </c>
      <c r="G9423">
        <f>IF(DATOS!$A9423="",0,IF(CONFIG_METADATA!$B$4&lt;&gt;"OR+EX",--(DATOS!$G9423=CONFIG_METADATA!$B$4),IF(DATOS!$G9423="EX",1,IF(DATOS!$G9423="OR",--(COUNTIFS(nNIA,DATOS!$A9423,nCURSO,DATOS!$D9423,nESPEC,DATOS!$E9423,nASIG,DATOS!$I9423,nEVAL,"EX")=0),0))))</f>
      </c>
      <c r="H9423">
        <f>IF(DATOS!$G9423&lt;&gt;"EX",0,--(COUNTIFS(nNIA,DATOS!$A9423,nCURSO,DATOS!$D9423,nESPEC,DATOS!$E9423,nASIG,DATOS!$I9423,nEVAL,"OR")=0))</f>
      </c>
      <c r="I9423">
        <f>IF(DATOS!$I9423="","",IFERROR(VLOOKUP(DATOS!$I9423,CONFIG_ASIGNATURAS!$B$2:$J$91,9,FALSE()),""))</f>
      </c>
    </row>
    <row r="9424">
      <c r="F9424">
        <f>IF(DATOS!$A9424="","",DATOS!$A9424&amp;"|"&amp;DATOS!$D9424&amp;"|"&amp;DATOS!$E9424&amp;"|"&amp;DATOS!$I9424)</f>
      </c>
      <c r="G9424">
        <f>IF(DATOS!$A9424="",0,IF(CONFIG_METADATA!$B$4&lt;&gt;"OR+EX",--(DATOS!$G9424=CONFIG_METADATA!$B$4),IF(DATOS!$G9424="EX",1,IF(DATOS!$G9424="OR",--(COUNTIFS(nNIA,DATOS!$A9424,nCURSO,DATOS!$D9424,nESPEC,DATOS!$E9424,nASIG,DATOS!$I9424,nEVAL,"EX")=0),0))))</f>
      </c>
      <c r="H9424">
        <f>IF(DATOS!$G9424&lt;&gt;"EX",0,--(COUNTIFS(nNIA,DATOS!$A9424,nCURSO,DATOS!$D9424,nESPEC,DATOS!$E9424,nASIG,DATOS!$I9424,nEVAL,"OR")=0))</f>
      </c>
      <c r="I9424">
        <f>IF(DATOS!$I9424="","",IFERROR(VLOOKUP(DATOS!$I9424,CONFIG_ASIGNATURAS!$B$2:$J$91,9,FALSE()),""))</f>
      </c>
    </row>
    <row r="9425">
      <c r="F9425">
        <f>IF(DATOS!$A9425="","",DATOS!$A9425&amp;"|"&amp;DATOS!$D9425&amp;"|"&amp;DATOS!$E9425&amp;"|"&amp;DATOS!$I9425)</f>
      </c>
      <c r="G9425">
        <f>IF(DATOS!$A9425="",0,IF(CONFIG_METADATA!$B$4&lt;&gt;"OR+EX",--(DATOS!$G9425=CONFIG_METADATA!$B$4),IF(DATOS!$G9425="EX",1,IF(DATOS!$G9425="OR",--(COUNTIFS(nNIA,DATOS!$A9425,nCURSO,DATOS!$D9425,nESPEC,DATOS!$E9425,nASIG,DATOS!$I9425,nEVAL,"EX")=0),0))))</f>
      </c>
      <c r="H9425">
        <f>IF(DATOS!$G9425&lt;&gt;"EX",0,--(COUNTIFS(nNIA,DATOS!$A9425,nCURSO,DATOS!$D9425,nESPEC,DATOS!$E9425,nASIG,DATOS!$I9425,nEVAL,"OR")=0))</f>
      </c>
      <c r="I9425">
        <f>IF(DATOS!$I9425="","",IFERROR(VLOOKUP(DATOS!$I9425,CONFIG_ASIGNATURAS!$B$2:$J$91,9,FALSE()),""))</f>
      </c>
    </row>
    <row r="9426">
      <c r="F9426">
        <f>IF(DATOS!$A9426="","",DATOS!$A9426&amp;"|"&amp;DATOS!$D9426&amp;"|"&amp;DATOS!$E9426&amp;"|"&amp;DATOS!$I9426)</f>
      </c>
      <c r="G9426">
        <f>IF(DATOS!$A9426="",0,IF(CONFIG_METADATA!$B$4&lt;&gt;"OR+EX",--(DATOS!$G9426=CONFIG_METADATA!$B$4),IF(DATOS!$G9426="EX",1,IF(DATOS!$G9426="OR",--(COUNTIFS(nNIA,DATOS!$A9426,nCURSO,DATOS!$D9426,nESPEC,DATOS!$E9426,nASIG,DATOS!$I9426,nEVAL,"EX")=0),0))))</f>
      </c>
      <c r="H9426">
        <f>IF(DATOS!$G9426&lt;&gt;"EX",0,--(COUNTIFS(nNIA,DATOS!$A9426,nCURSO,DATOS!$D9426,nESPEC,DATOS!$E9426,nASIG,DATOS!$I9426,nEVAL,"OR")=0))</f>
      </c>
      <c r="I9426">
        <f>IF(DATOS!$I9426="","",IFERROR(VLOOKUP(DATOS!$I9426,CONFIG_ASIGNATURAS!$B$2:$J$91,9,FALSE()),""))</f>
      </c>
    </row>
    <row r="9427">
      <c r="F9427">
        <f>IF(DATOS!$A9427="","",DATOS!$A9427&amp;"|"&amp;DATOS!$D9427&amp;"|"&amp;DATOS!$E9427&amp;"|"&amp;DATOS!$I9427)</f>
      </c>
      <c r="G9427">
        <f>IF(DATOS!$A9427="",0,IF(CONFIG_METADATA!$B$4&lt;&gt;"OR+EX",--(DATOS!$G9427=CONFIG_METADATA!$B$4),IF(DATOS!$G9427="EX",1,IF(DATOS!$G9427="OR",--(COUNTIFS(nNIA,DATOS!$A9427,nCURSO,DATOS!$D9427,nESPEC,DATOS!$E9427,nASIG,DATOS!$I9427,nEVAL,"EX")=0),0))))</f>
      </c>
      <c r="H9427">
        <f>IF(DATOS!$G9427&lt;&gt;"EX",0,--(COUNTIFS(nNIA,DATOS!$A9427,nCURSO,DATOS!$D9427,nESPEC,DATOS!$E9427,nASIG,DATOS!$I9427,nEVAL,"OR")=0))</f>
      </c>
      <c r="I9427">
        <f>IF(DATOS!$I9427="","",IFERROR(VLOOKUP(DATOS!$I9427,CONFIG_ASIGNATURAS!$B$2:$J$91,9,FALSE()),""))</f>
      </c>
    </row>
    <row r="9428">
      <c r="F9428">
        <f>IF(DATOS!$A9428="","",DATOS!$A9428&amp;"|"&amp;DATOS!$D9428&amp;"|"&amp;DATOS!$E9428&amp;"|"&amp;DATOS!$I9428)</f>
      </c>
      <c r="G9428">
        <f>IF(DATOS!$A9428="",0,IF(CONFIG_METADATA!$B$4&lt;&gt;"OR+EX",--(DATOS!$G9428=CONFIG_METADATA!$B$4),IF(DATOS!$G9428="EX",1,IF(DATOS!$G9428="OR",--(COUNTIFS(nNIA,DATOS!$A9428,nCURSO,DATOS!$D9428,nESPEC,DATOS!$E9428,nASIG,DATOS!$I9428,nEVAL,"EX")=0),0))))</f>
      </c>
      <c r="H9428">
        <f>IF(DATOS!$G9428&lt;&gt;"EX",0,--(COUNTIFS(nNIA,DATOS!$A9428,nCURSO,DATOS!$D9428,nESPEC,DATOS!$E9428,nASIG,DATOS!$I9428,nEVAL,"OR")=0))</f>
      </c>
      <c r="I9428">
        <f>IF(DATOS!$I9428="","",IFERROR(VLOOKUP(DATOS!$I9428,CONFIG_ASIGNATURAS!$B$2:$J$91,9,FALSE()),""))</f>
      </c>
    </row>
    <row r="9429">
      <c r="F9429">
        <f>IF(DATOS!$A9429="","",DATOS!$A9429&amp;"|"&amp;DATOS!$D9429&amp;"|"&amp;DATOS!$E9429&amp;"|"&amp;DATOS!$I9429)</f>
      </c>
      <c r="G9429">
        <f>IF(DATOS!$A9429="",0,IF(CONFIG_METADATA!$B$4&lt;&gt;"OR+EX",--(DATOS!$G9429=CONFIG_METADATA!$B$4),IF(DATOS!$G9429="EX",1,IF(DATOS!$G9429="OR",--(COUNTIFS(nNIA,DATOS!$A9429,nCURSO,DATOS!$D9429,nESPEC,DATOS!$E9429,nASIG,DATOS!$I9429,nEVAL,"EX")=0),0))))</f>
      </c>
      <c r="H9429">
        <f>IF(DATOS!$G9429&lt;&gt;"EX",0,--(COUNTIFS(nNIA,DATOS!$A9429,nCURSO,DATOS!$D9429,nESPEC,DATOS!$E9429,nASIG,DATOS!$I9429,nEVAL,"OR")=0))</f>
      </c>
      <c r="I9429">
        <f>IF(DATOS!$I9429="","",IFERROR(VLOOKUP(DATOS!$I9429,CONFIG_ASIGNATURAS!$B$2:$J$91,9,FALSE()),""))</f>
      </c>
    </row>
    <row r="9430">
      <c r="F9430">
        <f>IF(DATOS!$A9430="","",DATOS!$A9430&amp;"|"&amp;DATOS!$D9430&amp;"|"&amp;DATOS!$E9430&amp;"|"&amp;DATOS!$I9430)</f>
      </c>
      <c r="G9430">
        <f>IF(DATOS!$A9430="",0,IF(CONFIG_METADATA!$B$4&lt;&gt;"OR+EX",--(DATOS!$G9430=CONFIG_METADATA!$B$4),IF(DATOS!$G9430="EX",1,IF(DATOS!$G9430="OR",--(COUNTIFS(nNIA,DATOS!$A9430,nCURSO,DATOS!$D9430,nESPEC,DATOS!$E9430,nASIG,DATOS!$I9430,nEVAL,"EX")=0),0))))</f>
      </c>
      <c r="H9430">
        <f>IF(DATOS!$G9430&lt;&gt;"EX",0,--(COUNTIFS(nNIA,DATOS!$A9430,nCURSO,DATOS!$D9430,nESPEC,DATOS!$E9430,nASIG,DATOS!$I9430,nEVAL,"OR")=0))</f>
      </c>
      <c r="I9430">
        <f>IF(DATOS!$I9430="","",IFERROR(VLOOKUP(DATOS!$I9430,CONFIG_ASIGNATURAS!$B$2:$J$91,9,FALSE()),""))</f>
      </c>
    </row>
    <row r="9431">
      <c r="F9431">
        <f>IF(DATOS!$A9431="","",DATOS!$A9431&amp;"|"&amp;DATOS!$D9431&amp;"|"&amp;DATOS!$E9431&amp;"|"&amp;DATOS!$I9431)</f>
      </c>
      <c r="G9431">
        <f>IF(DATOS!$A9431="",0,IF(CONFIG_METADATA!$B$4&lt;&gt;"OR+EX",--(DATOS!$G9431=CONFIG_METADATA!$B$4),IF(DATOS!$G9431="EX",1,IF(DATOS!$G9431="OR",--(COUNTIFS(nNIA,DATOS!$A9431,nCURSO,DATOS!$D9431,nESPEC,DATOS!$E9431,nASIG,DATOS!$I9431,nEVAL,"EX")=0),0))))</f>
      </c>
      <c r="H9431">
        <f>IF(DATOS!$G9431&lt;&gt;"EX",0,--(COUNTIFS(nNIA,DATOS!$A9431,nCURSO,DATOS!$D9431,nESPEC,DATOS!$E9431,nASIG,DATOS!$I9431,nEVAL,"OR")=0))</f>
      </c>
      <c r="I9431">
        <f>IF(DATOS!$I9431="","",IFERROR(VLOOKUP(DATOS!$I9431,CONFIG_ASIGNATURAS!$B$2:$J$91,9,FALSE()),""))</f>
      </c>
    </row>
    <row r="9432">
      <c r="F9432">
        <f>IF(DATOS!$A9432="","",DATOS!$A9432&amp;"|"&amp;DATOS!$D9432&amp;"|"&amp;DATOS!$E9432&amp;"|"&amp;DATOS!$I9432)</f>
      </c>
      <c r="G9432">
        <f>IF(DATOS!$A9432="",0,IF(CONFIG_METADATA!$B$4&lt;&gt;"OR+EX",--(DATOS!$G9432=CONFIG_METADATA!$B$4),IF(DATOS!$G9432="EX",1,IF(DATOS!$G9432="OR",--(COUNTIFS(nNIA,DATOS!$A9432,nCURSO,DATOS!$D9432,nESPEC,DATOS!$E9432,nASIG,DATOS!$I9432,nEVAL,"EX")=0),0))))</f>
      </c>
      <c r="H9432">
        <f>IF(DATOS!$G9432&lt;&gt;"EX",0,--(COUNTIFS(nNIA,DATOS!$A9432,nCURSO,DATOS!$D9432,nESPEC,DATOS!$E9432,nASIG,DATOS!$I9432,nEVAL,"OR")=0))</f>
      </c>
      <c r="I9432">
        <f>IF(DATOS!$I9432="","",IFERROR(VLOOKUP(DATOS!$I9432,CONFIG_ASIGNATURAS!$B$2:$J$91,9,FALSE()),""))</f>
      </c>
    </row>
    <row r="9433">
      <c r="F9433">
        <f>IF(DATOS!$A9433="","",DATOS!$A9433&amp;"|"&amp;DATOS!$D9433&amp;"|"&amp;DATOS!$E9433&amp;"|"&amp;DATOS!$I9433)</f>
      </c>
      <c r="G9433">
        <f>IF(DATOS!$A9433="",0,IF(CONFIG_METADATA!$B$4&lt;&gt;"OR+EX",--(DATOS!$G9433=CONFIG_METADATA!$B$4),IF(DATOS!$G9433="EX",1,IF(DATOS!$G9433="OR",--(COUNTIFS(nNIA,DATOS!$A9433,nCURSO,DATOS!$D9433,nESPEC,DATOS!$E9433,nASIG,DATOS!$I9433,nEVAL,"EX")=0),0))))</f>
      </c>
      <c r="H9433">
        <f>IF(DATOS!$G9433&lt;&gt;"EX",0,--(COUNTIFS(nNIA,DATOS!$A9433,nCURSO,DATOS!$D9433,nESPEC,DATOS!$E9433,nASIG,DATOS!$I9433,nEVAL,"OR")=0))</f>
      </c>
      <c r="I9433">
        <f>IF(DATOS!$I9433="","",IFERROR(VLOOKUP(DATOS!$I9433,CONFIG_ASIGNATURAS!$B$2:$J$91,9,FALSE()),""))</f>
      </c>
    </row>
    <row r="9434">
      <c r="F9434">
        <f>IF(DATOS!$A9434="","",DATOS!$A9434&amp;"|"&amp;DATOS!$D9434&amp;"|"&amp;DATOS!$E9434&amp;"|"&amp;DATOS!$I9434)</f>
      </c>
      <c r="G9434">
        <f>IF(DATOS!$A9434="",0,IF(CONFIG_METADATA!$B$4&lt;&gt;"OR+EX",--(DATOS!$G9434=CONFIG_METADATA!$B$4),IF(DATOS!$G9434="EX",1,IF(DATOS!$G9434="OR",--(COUNTIFS(nNIA,DATOS!$A9434,nCURSO,DATOS!$D9434,nESPEC,DATOS!$E9434,nASIG,DATOS!$I9434,nEVAL,"EX")=0),0))))</f>
      </c>
      <c r="H9434">
        <f>IF(DATOS!$G9434&lt;&gt;"EX",0,--(COUNTIFS(nNIA,DATOS!$A9434,nCURSO,DATOS!$D9434,nESPEC,DATOS!$E9434,nASIG,DATOS!$I9434,nEVAL,"OR")=0))</f>
      </c>
      <c r="I9434">
        <f>IF(DATOS!$I9434="","",IFERROR(VLOOKUP(DATOS!$I9434,CONFIG_ASIGNATURAS!$B$2:$J$91,9,FALSE()),""))</f>
      </c>
    </row>
    <row r="9435">
      <c r="F9435">
        <f>IF(DATOS!$A9435="","",DATOS!$A9435&amp;"|"&amp;DATOS!$D9435&amp;"|"&amp;DATOS!$E9435&amp;"|"&amp;DATOS!$I9435)</f>
      </c>
      <c r="G9435">
        <f>IF(DATOS!$A9435="",0,IF(CONFIG_METADATA!$B$4&lt;&gt;"OR+EX",--(DATOS!$G9435=CONFIG_METADATA!$B$4),IF(DATOS!$G9435="EX",1,IF(DATOS!$G9435="OR",--(COUNTIFS(nNIA,DATOS!$A9435,nCURSO,DATOS!$D9435,nESPEC,DATOS!$E9435,nASIG,DATOS!$I9435,nEVAL,"EX")=0),0))))</f>
      </c>
      <c r="H9435">
        <f>IF(DATOS!$G9435&lt;&gt;"EX",0,--(COUNTIFS(nNIA,DATOS!$A9435,nCURSO,DATOS!$D9435,nESPEC,DATOS!$E9435,nASIG,DATOS!$I9435,nEVAL,"OR")=0))</f>
      </c>
      <c r="I9435">
        <f>IF(DATOS!$I9435="","",IFERROR(VLOOKUP(DATOS!$I9435,CONFIG_ASIGNATURAS!$B$2:$J$91,9,FALSE()),""))</f>
      </c>
    </row>
    <row r="9436">
      <c r="F9436">
        <f>IF(DATOS!$A9436="","",DATOS!$A9436&amp;"|"&amp;DATOS!$D9436&amp;"|"&amp;DATOS!$E9436&amp;"|"&amp;DATOS!$I9436)</f>
      </c>
      <c r="G9436">
        <f>IF(DATOS!$A9436="",0,IF(CONFIG_METADATA!$B$4&lt;&gt;"OR+EX",--(DATOS!$G9436=CONFIG_METADATA!$B$4),IF(DATOS!$G9436="EX",1,IF(DATOS!$G9436="OR",--(COUNTIFS(nNIA,DATOS!$A9436,nCURSO,DATOS!$D9436,nESPEC,DATOS!$E9436,nASIG,DATOS!$I9436,nEVAL,"EX")=0),0))))</f>
      </c>
      <c r="H9436">
        <f>IF(DATOS!$G9436&lt;&gt;"EX",0,--(COUNTIFS(nNIA,DATOS!$A9436,nCURSO,DATOS!$D9436,nESPEC,DATOS!$E9436,nASIG,DATOS!$I9436,nEVAL,"OR")=0))</f>
      </c>
      <c r="I9436">
        <f>IF(DATOS!$I9436="","",IFERROR(VLOOKUP(DATOS!$I9436,CONFIG_ASIGNATURAS!$B$2:$J$91,9,FALSE()),""))</f>
      </c>
    </row>
    <row r="9437">
      <c r="F9437">
        <f>IF(DATOS!$A9437="","",DATOS!$A9437&amp;"|"&amp;DATOS!$D9437&amp;"|"&amp;DATOS!$E9437&amp;"|"&amp;DATOS!$I9437)</f>
      </c>
      <c r="G9437">
        <f>IF(DATOS!$A9437="",0,IF(CONFIG_METADATA!$B$4&lt;&gt;"OR+EX",--(DATOS!$G9437=CONFIG_METADATA!$B$4),IF(DATOS!$G9437="EX",1,IF(DATOS!$G9437="OR",--(COUNTIFS(nNIA,DATOS!$A9437,nCURSO,DATOS!$D9437,nESPEC,DATOS!$E9437,nASIG,DATOS!$I9437,nEVAL,"EX")=0),0))))</f>
      </c>
      <c r="H9437">
        <f>IF(DATOS!$G9437&lt;&gt;"EX",0,--(COUNTIFS(nNIA,DATOS!$A9437,nCURSO,DATOS!$D9437,nESPEC,DATOS!$E9437,nASIG,DATOS!$I9437,nEVAL,"OR")=0))</f>
      </c>
      <c r="I9437">
        <f>IF(DATOS!$I9437="","",IFERROR(VLOOKUP(DATOS!$I9437,CONFIG_ASIGNATURAS!$B$2:$J$91,9,FALSE()),""))</f>
      </c>
    </row>
    <row r="9438">
      <c r="F9438">
        <f>IF(DATOS!$A9438="","",DATOS!$A9438&amp;"|"&amp;DATOS!$D9438&amp;"|"&amp;DATOS!$E9438&amp;"|"&amp;DATOS!$I9438)</f>
      </c>
      <c r="G9438">
        <f>IF(DATOS!$A9438="",0,IF(CONFIG_METADATA!$B$4&lt;&gt;"OR+EX",--(DATOS!$G9438=CONFIG_METADATA!$B$4),IF(DATOS!$G9438="EX",1,IF(DATOS!$G9438="OR",--(COUNTIFS(nNIA,DATOS!$A9438,nCURSO,DATOS!$D9438,nESPEC,DATOS!$E9438,nASIG,DATOS!$I9438,nEVAL,"EX")=0),0))))</f>
      </c>
      <c r="H9438">
        <f>IF(DATOS!$G9438&lt;&gt;"EX",0,--(COUNTIFS(nNIA,DATOS!$A9438,nCURSO,DATOS!$D9438,nESPEC,DATOS!$E9438,nASIG,DATOS!$I9438,nEVAL,"OR")=0))</f>
      </c>
      <c r="I9438">
        <f>IF(DATOS!$I9438="","",IFERROR(VLOOKUP(DATOS!$I9438,CONFIG_ASIGNATURAS!$B$2:$J$91,9,FALSE()),""))</f>
      </c>
    </row>
    <row r="9439">
      <c r="F9439">
        <f>IF(DATOS!$A9439="","",DATOS!$A9439&amp;"|"&amp;DATOS!$D9439&amp;"|"&amp;DATOS!$E9439&amp;"|"&amp;DATOS!$I9439)</f>
      </c>
      <c r="G9439">
        <f>IF(DATOS!$A9439="",0,IF(CONFIG_METADATA!$B$4&lt;&gt;"OR+EX",--(DATOS!$G9439=CONFIG_METADATA!$B$4),IF(DATOS!$G9439="EX",1,IF(DATOS!$G9439="OR",--(COUNTIFS(nNIA,DATOS!$A9439,nCURSO,DATOS!$D9439,nESPEC,DATOS!$E9439,nASIG,DATOS!$I9439,nEVAL,"EX")=0),0))))</f>
      </c>
      <c r="H9439">
        <f>IF(DATOS!$G9439&lt;&gt;"EX",0,--(COUNTIFS(nNIA,DATOS!$A9439,nCURSO,DATOS!$D9439,nESPEC,DATOS!$E9439,nASIG,DATOS!$I9439,nEVAL,"OR")=0))</f>
      </c>
      <c r="I9439">
        <f>IF(DATOS!$I9439="","",IFERROR(VLOOKUP(DATOS!$I9439,CONFIG_ASIGNATURAS!$B$2:$J$91,9,FALSE()),""))</f>
      </c>
    </row>
    <row r="9440">
      <c r="F9440">
        <f>IF(DATOS!$A9440="","",DATOS!$A9440&amp;"|"&amp;DATOS!$D9440&amp;"|"&amp;DATOS!$E9440&amp;"|"&amp;DATOS!$I9440)</f>
      </c>
      <c r="G9440">
        <f>IF(DATOS!$A9440="",0,IF(CONFIG_METADATA!$B$4&lt;&gt;"OR+EX",--(DATOS!$G9440=CONFIG_METADATA!$B$4),IF(DATOS!$G9440="EX",1,IF(DATOS!$G9440="OR",--(COUNTIFS(nNIA,DATOS!$A9440,nCURSO,DATOS!$D9440,nESPEC,DATOS!$E9440,nASIG,DATOS!$I9440,nEVAL,"EX")=0),0))))</f>
      </c>
      <c r="H9440">
        <f>IF(DATOS!$G9440&lt;&gt;"EX",0,--(COUNTIFS(nNIA,DATOS!$A9440,nCURSO,DATOS!$D9440,nESPEC,DATOS!$E9440,nASIG,DATOS!$I9440,nEVAL,"OR")=0))</f>
      </c>
      <c r="I9440">
        <f>IF(DATOS!$I9440="","",IFERROR(VLOOKUP(DATOS!$I9440,CONFIG_ASIGNATURAS!$B$2:$J$91,9,FALSE()),""))</f>
      </c>
    </row>
    <row r="9441">
      <c r="F9441">
        <f>IF(DATOS!$A9441="","",DATOS!$A9441&amp;"|"&amp;DATOS!$D9441&amp;"|"&amp;DATOS!$E9441&amp;"|"&amp;DATOS!$I9441)</f>
      </c>
      <c r="G9441">
        <f>IF(DATOS!$A9441="",0,IF(CONFIG_METADATA!$B$4&lt;&gt;"OR+EX",--(DATOS!$G9441=CONFIG_METADATA!$B$4),IF(DATOS!$G9441="EX",1,IF(DATOS!$G9441="OR",--(COUNTIFS(nNIA,DATOS!$A9441,nCURSO,DATOS!$D9441,nESPEC,DATOS!$E9441,nASIG,DATOS!$I9441,nEVAL,"EX")=0),0))))</f>
      </c>
      <c r="H9441">
        <f>IF(DATOS!$G9441&lt;&gt;"EX",0,--(COUNTIFS(nNIA,DATOS!$A9441,nCURSO,DATOS!$D9441,nESPEC,DATOS!$E9441,nASIG,DATOS!$I9441,nEVAL,"OR")=0))</f>
      </c>
      <c r="I9441">
        <f>IF(DATOS!$I9441="","",IFERROR(VLOOKUP(DATOS!$I9441,CONFIG_ASIGNATURAS!$B$2:$J$91,9,FALSE()),""))</f>
      </c>
    </row>
    <row r="9442">
      <c r="F9442">
        <f>IF(DATOS!$A9442="","",DATOS!$A9442&amp;"|"&amp;DATOS!$D9442&amp;"|"&amp;DATOS!$E9442&amp;"|"&amp;DATOS!$I9442)</f>
      </c>
      <c r="G9442">
        <f>IF(DATOS!$A9442="",0,IF(CONFIG_METADATA!$B$4&lt;&gt;"OR+EX",--(DATOS!$G9442=CONFIG_METADATA!$B$4),IF(DATOS!$G9442="EX",1,IF(DATOS!$G9442="OR",--(COUNTIFS(nNIA,DATOS!$A9442,nCURSO,DATOS!$D9442,nESPEC,DATOS!$E9442,nASIG,DATOS!$I9442,nEVAL,"EX")=0),0))))</f>
      </c>
      <c r="H9442">
        <f>IF(DATOS!$G9442&lt;&gt;"EX",0,--(COUNTIFS(nNIA,DATOS!$A9442,nCURSO,DATOS!$D9442,nESPEC,DATOS!$E9442,nASIG,DATOS!$I9442,nEVAL,"OR")=0))</f>
      </c>
      <c r="I9442">
        <f>IF(DATOS!$I9442="","",IFERROR(VLOOKUP(DATOS!$I9442,CONFIG_ASIGNATURAS!$B$2:$J$91,9,FALSE()),""))</f>
      </c>
    </row>
    <row r="9443">
      <c r="F9443">
        <f>IF(DATOS!$A9443="","",DATOS!$A9443&amp;"|"&amp;DATOS!$D9443&amp;"|"&amp;DATOS!$E9443&amp;"|"&amp;DATOS!$I9443)</f>
      </c>
      <c r="G9443">
        <f>IF(DATOS!$A9443="",0,IF(CONFIG_METADATA!$B$4&lt;&gt;"OR+EX",--(DATOS!$G9443=CONFIG_METADATA!$B$4),IF(DATOS!$G9443="EX",1,IF(DATOS!$G9443="OR",--(COUNTIFS(nNIA,DATOS!$A9443,nCURSO,DATOS!$D9443,nESPEC,DATOS!$E9443,nASIG,DATOS!$I9443,nEVAL,"EX")=0),0))))</f>
      </c>
      <c r="H9443">
        <f>IF(DATOS!$G9443&lt;&gt;"EX",0,--(COUNTIFS(nNIA,DATOS!$A9443,nCURSO,DATOS!$D9443,nESPEC,DATOS!$E9443,nASIG,DATOS!$I9443,nEVAL,"OR")=0))</f>
      </c>
      <c r="I9443">
        <f>IF(DATOS!$I9443="","",IFERROR(VLOOKUP(DATOS!$I9443,CONFIG_ASIGNATURAS!$B$2:$J$91,9,FALSE()),""))</f>
      </c>
    </row>
    <row r="9444">
      <c r="F9444">
        <f>IF(DATOS!$A9444="","",DATOS!$A9444&amp;"|"&amp;DATOS!$D9444&amp;"|"&amp;DATOS!$E9444&amp;"|"&amp;DATOS!$I9444)</f>
      </c>
      <c r="G9444">
        <f>IF(DATOS!$A9444="",0,IF(CONFIG_METADATA!$B$4&lt;&gt;"OR+EX",--(DATOS!$G9444=CONFIG_METADATA!$B$4),IF(DATOS!$G9444="EX",1,IF(DATOS!$G9444="OR",--(COUNTIFS(nNIA,DATOS!$A9444,nCURSO,DATOS!$D9444,nESPEC,DATOS!$E9444,nASIG,DATOS!$I9444,nEVAL,"EX")=0),0))))</f>
      </c>
      <c r="H9444">
        <f>IF(DATOS!$G9444&lt;&gt;"EX",0,--(COUNTIFS(nNIA,DATOS!$A9444,nCURSO,DATOS!$D9444,nESPEC,DATOS!$E9444,nASIG,DATOS!$I9444,nEVAL,"OR")=0))</f>
      </c>
      <c r="I9444">
        <f>IF(DATOS!$I9444="","",IFERROR(VLOOKUP(DATOS!$I9444,CONFIG_ASIGNATURAS!$B$2:$J$91,9,FALSE()),""))</f>
      </c>
    </row>
    <row r="9445">
      <c r="F9445">
        <f>IF(DATOS!$A9445="","",DATOS!$A9445&amp;"|"&amp;DATOS!$D9445&amp;"|"&amp;DATOS!$E9445&amp;"|"&amp;DATOS!$I9445)</f>
      </c>
      <c r="G9445">
        <f>IF(DATOS!$A9445="",0,IF(CONFIG_METADATA!$B$4&lt;&gt;"OR+EX",--(DATOS!$G9445=CONFIG_METADATA!$B$4),IF(DATOS!$G9445="EX",1,IF(DATOS!$G9445="OR",--(COUNTIFS(nNIA,DATOS!$A9445,nCURSO,DATOS!$D9445,nESPEC,DATOS!$E9445,nASIG,DATOS!$I9445,nEVAL,"EX")=0),0))))</f>
      </c>
      <c r="H9445">
        <f>IF(DATOS!$G9445&lt;&gt;"EX",0,--(COUNTIFS(nNIA,DATOS!$A9445,nCURSO,DATOS!$D9445,nESPEC,DATOS!$E9445,nASIG,DATOS!$I9445,nEVAL,"OR")=0))</f>
      </c>
      <c r="I9445">
        <f>IF(DATOS!$I9445="","",IFERROR(VLOOKUP(DATOS!$I9445,CONFIG_ASIGNATURAS!$B$2:$J$91,9,FALSE()),""))</f>
      </c>
    </row>
    <row r="9446">
      <c r="F9446">
        <f>IF(DATOS!$A9446="","",DATOS!$A9446&amp;"|"&amp;DATOS!$D9446&amp;"|"&amp;DATOS!$E9446&amp;"|"&amp;DATOS!$I9446)</f>
      </c>
      <c r="G9446">
        <f>IF(DATOS!$A9446="",0,IF(CONFIG_METADATA!$B$4&lt;&gt;"OR+EX",--(DATOS!$G9446=CONFIG_METADATA!$B$4),IF(DATOS!$G9446="EX",1,IF(DATOS!$G9446="OR",--(COUNTIFS(nNIA,DATOS!$A9446,nCURSO,DATOS!$D9446,nESPEC,DATOS!$E9446,nASIG,DATOS!$I9446,nEVAL,"EX")=0),0))))</f>
      </c>
      <c r="H9446">
        <f>IF(DATOS!$G9446&lt;&gt;"EX",0,--(COUNTIFS(nNIA,DATOS!$A9446,nCURSO,DATOS!$D9446,nESPEC,DATOS!$E9446,nASIG,DATOS!$I9446,nEVAL,"OR")=0))</f>
      </c>
      <c r="I9446">
        <f>IF(DATOS!$I9446="","",IFERROR(VLOOKUP(DATOS!$I9446,CONFIG_ASIGNATURAS!$B$2:$J$91,9,FALSE()),""))</f>
      </c>
    </row>
    <row r="9447">
      <c r="F9447">
        <f>IF(DATOS!$A9447="","",DATOS!$A9447&amp;"|"&amp;DATOS!$D9447&amp;"|"&amp;DATOS!$E9447&amp;"|"&amp;DATOS!$I9447)</f>
      </c>
      <c r="G9447">
        <f>IF(DATOS!$A9447="",0,IF(CONFIG_METADATA!$B$4&lt;&gt;"OR+EX",--(DATOS!$G9447=CONFIG_METADATA!$B$4),IF(DATOS!$G9447="EX",1,IF(DATOS!$G9447="OR",--(COUNTIFS(nNIA,DATOS!$A9447,nCURSO,DATOS!$D9447,nESPEC,DATOS!$E9447,nASIG,DATOS!$I9447,nEVAL,"EX")=0),0))))</f>
      </c>
      <c r="H9447">
        <f>IF(DATOS!$G9447&lt;&gt;"EX",0,--(COUNTIFS(nNIA,DATOS!$A9447,nCURSO,DATOS!$D9447,nESPEC,DATOS!$E9447,nASIG,DATOS!$I9447,nEVAL,"OR")=0))</f>
      </c>
      <c r="I9447">
        <f>IF(DATOS!$I9447="","",IFERROR(VLOOKUP(DATOS!$I9447,CONFIG_ASIGNATURAS!$B$2:$J$91,9,FALSE()),""))</f>
      </c>
    </row>
    <row r="9448">
      <c r="F9448">
        <f>IF(DATOS!$A9448="","",DATOS!$A9448&amp;"|"&amp;DATOS!$D9448&amp;"|"&amp;DATOS!$E9448&amp;"|"&amp;DATOS!$I9448)</f>
      </c>
      <c r="G9448">
        <f>IF(DATOS!$A9448="",0,IF(CONFIG_METADATA!$B$4&lt;&gt;"OR+EX",--(DATOS!$G9448=CONFIG_METADATA!$B$4),IF(DATOS!$G9448="EX",1,IF(DATOS!$G9448="OR",--(COUNTIFS(nNIA,DATOS!$A9448,nCURSO,DATOS!$D9448,nESPEC,DATOS!$E9448,nASIG,DATOS!$I9448,nEVAL,"EX")=0),0))))</f>
      </c>
      <c r="H9448">
        <f>IF(DATOS!$G9448&lt;&gt;"EX",0,--(COUNTIFS(nNIA,DATOS!$A9448,nCURSO,DATOS!$D9448,nESPEC,DATOS!$E9448,nASIG,DATOS!$I9448,nEVAL,"OR")=0))</f>
      </c>
      <c r="I9448">
        <f>IF(DATOS!$I9448="","",IFERROR(VLOOKUP(DATOS!$I9448,CONFIG_ASIGNATURAS!$B$2:$J$91,9,FALSE()),""))</f>
      </c>
    </row>
    <row r="9449">
      <c r="F9449">
        <f>IF(DATOS!$A9449="","",DATOS!$A9449&amp;"|"&amp;DATOS!$D9449&amp;"|"&amp;DATOS!$E9449&amp;"|"&amp;DATOS!$I9449)</f>
      </c>
      <c r="G9449">
        <f>IF(DATOS!$A9449="",0,IF(CONFIG_METADATA!$B$4&lt;&gt;"OR+EX",--(DATOS!$G9449=CONFIG_METADATA!$B$4),IF(DATOS!$G9449="EX",1,IF(DATOS!$G9449="OR",--(COUNTIFS(nNIA,DATOS!$A9449,nCURSO,DATOS!$D9449,nESPEC,DATOS!$E9449,nASIG,DATOS!$I9449,nEVAL,"EX")=0),0))))</f>
      </c>
      <c r="H9449">
        <f>IF(DATOS!$G9449&lt;&gt;"EX",0,--(COUNTIFS(nNIA,DATOS!$A9449,nCURSO,DATOS!$D9449,nESPEC,DATOS!$E9449,nASIG,DATOS!$I9449,nEVAL,"OR")=0))</f>
      </c>
      <c r="I9449">
        <f>IF(DATOS!$I9449="","",IFERROR(VLOOKUP(DATOS!$I9449,CONFIG_ASIGNATURAS!$B$2:$J$91,9,FALSE()),""))</f>
      </c>
    </row>
    <row r="9450">
      <c r="F9450">
        <f>IF(DATOS!$A9450="","",DATOS!$A9450&amp;"|"&amp;DATOS!$D9450&amp;"|"&amp;DATOS!$E9450&amp;"|"&amp;DATOS!$I9450)</f>
      </c>
      <c r="G9450">
        <f>IF(DATOS!$A9450="",0,IF(CONFIG_METADATA!$B$4&lt;&gt;"OR+EX",--(DATOS!$G9450=CONFIG_METADATA!$B$4),IF(DATOS!$G9450="EX",1,IF(DATOS!$G9450="OR",--(COUNTIFS(nNIA,DATOS!$A9450,nCURSO,DATOS!$D9450,nESPEC,DATOS!$E9450,nASIG,DATOS!$I9450,nEVAL,"EX")=0),0))))</f>
      </c>
      <c r="H9450">
        <f>IF(DATOS!$G9450&lt;&gt;"EX",0,--(COUNTIFS(nNIA,DATOS!$A9450,nCURSO,DATOS!$D9450,nESPEC,DATOS!$E9450,nASIG,DATOS!$I9450,nEVAL,"OR")=0))</f>
      </c>
      <c r="I9450">
        <f>IF(DATOS!$I9450="","",IFERROR(VLOOKUP(DATOS!$I9450,CONFIG_ASIGNATURAS!$B$2:$J$91,9,FALSE()),""))</f>
      </c>
    </row>
    <row r="9451">
      <c r="F9451">
        <f>IF(DATOS!$A9451="","",DATOS!$A9451&amp;"|"&amp;DATOS!$D9451&amp;"|"&amp;DATOS!$E9451&amp;"|"&amp;DATOS!$I9451)</f>
      </c>
      <c r="G9451">
        <f>IF(DATOS!$A9451="",0,IF(CONFIG_METADATA!$B$4&lt;&gt;"OR+EX",--(DATOS!$G9451=CONFIG_METADATA!$B$4),IF(DATOS!$G9451="EX",1,IF(DATOS!$G9451="OR",--(COUNTIFS(nNIA,DATOS!$A9451,nCURSO,DATOS!$D9451,nESPEC,DATOS!$E9451,nASIG,DATOS!$I9451,nEVAL,"EX")=0),0))))</f>
      </c>
      <c r="H9451">
        <f>IF(DATOS!$G9451&lt;&gt;"EX",0,--(COUNTIFS(nNIA,DATOS!$A9451,nCURSO,DATOS!$D9451,nESPEC,DATOS!$E9451,nASIG,DATOS!$I9451,nEVAL,"OR")=0))</f>
      </c>
      <c r="I9451">
        <f>IF(DATOS!$I9451="","",IFERROR(VLOOKUP(DATOS!$I9451,CONFIG_ASIGNATURAS!$B$2:$J$91,9,FALSE()),""))</f>
      </c>
    </row>
    <row r="9452">
      <c r="F9452">
        <f>IF(DATOS!$A9452="","",DATOS!$A9452&amp;"|"&amp;DATOS!$D9452&amp;"|"&amp;DATOS!$E9452&amp;"|"&amp;DATOS!$I9452)</f>
      </c>
      <c r="G9452">
        <f>IF(DATOS!$A9452="",0,IF(CONFIG_METADATA!$B$4&lt;&gt;"OR+EX",--(DATOS!$G9452=CONFIG_METADATA!$B$4),IF(DATOS!$G9452="EX",1,IF(DATOS!$G9452="OR",--(COUNTIFS(nNIA,DATOS!$A9452,nCURSO,DATOS!$D9452,nESPEC,DATOS!$E9452,nASIG,DATOS!$I9452,nEVAL,"EX")=0),0))))</f>
      </c>
      <c r="H9452">
        <f>IF(DATOS!$G9452&lt;&gt;"EX",0,--(COUNTIFS(nNIA,DATOS!$A9452,nCURSO,DATOS!$D9452,nESPEC,DATOS!$E9452,nASIG,DATOS!$I9452,nEVAL,"OR")=0))</f>
      </c>
      <c r="I9452">
        <f>IF(DATOS!$I9452="","",IFERROR(VLOOKUP(DATOS!$I9452,CONFIG_ASIGNATURAS!$B$2:$J$91,9,FALSE()),""))</f>
      </c>
    </row>
    <row r="9453">
      <c r="F9453">
        <f>IF(DATOS!$A9453="","",DATOS!$A9453&amp;"|"&amp;DATOS!$D9453&amp;"|"&amp;DATOS!$E9453&amp;"|"&amp;DATOS!$I9453)</f>
      </c>
      <c r="G9453">
        <f>IF(DATOS!$A9453="",0,IF(CONFIG_METADATA!$B$4&lt;&gt;"OR+EX",--(DATOS!$G9453=CONFIG_METADATA!$B$4),IF(DATOS!$G9453="EX",1,IF(DATOS!$G9453="OR",--(COUNTIFS(nNIA,DATOS!$A9453,nCURSO,DATOS!$D9453,nESPEC,DATOS!$E9453,nASIG,DATOS!$I9453,nEVAL,"EX")=0),0))))</f>
      </c>
      <c r="H9453">
        <f>IF(DATOS!$G9453&lt;&gt;"EX",0,--(COUNTIFS(nNIA,DATOS!$A9453,nCURSO,DATOS!$D9453,nESPEC,DATOS!$E9453,nASIG,DATOS!$I9453,nEVAL,"OR")=0))</f>
      </c>
      <c r="I9453">
        <f>IF(DATOS!$I9453="","",IFERROR(VLOOKUP(DATOS!$I9453,CONFIG_ASIGNATURAS!$B$2:$J$91,9,FALSE()),""))</f>
      </c>
    </row>
    <row r="9454">
      <c r="F9454">
        <f>IF(DATOS!$A9454="","",DATOS!$A9454&amp;"|"&amp;DATOS!$D9454&amp;"|"&amp;DATOS!$E9454&amp;"|"&amp;DATOS!$I9454)</f>
      </c>
      <c r="G9454">
        <f>IF(DATOS!$A9454="",0,IF(CONFIG_METADATA!$B$4&lt;&gt;"OR+EX",--(DATOS!$G9454=CONFIG_METADATA!$B$4),IF(DATOS!$G9454="EX",1,IF(DATOS!$G9454="OR",--(COUNTIFS(nNIA,DATOS!$A9454,nCURSO,DATOS!$D9454,nESPEC,DATOS!$E9454,nASIG,DATOS!$I9454,nEVAL,"EX")=0),0))))</f>
      </c>
      <c r="H9454">
        <f>IF(DATOS!$G9454&lt;&gt;"EX",0,--(COUNTIFS(nNIA,DATOS!$A9454,nCURSO,DATOS!$D9454,nESPEC,DATOS!$E9454,nASIG,DATOS!$I9454,nEVAL,"OR")=0))</f>
      </c>
      <c r="I9454">
        <f>IF(DATOS!$I9454="","",IFERROR(VLOOKUP(DATOS!$I9454,CONFIG_ASIGNATURAS!$B$2:$J$91,9,FALSE()),""))</f>
      </c>
    </row>
    <row r="9455">
      <c r="F9455">
        <f>IF(DATOS!$A9455="","",DATOS!$A9455&amp;"|"&amp;DATOS!$D9455&amp;"|"&amp;DATOS!$E9455&amp;"|"&amp;DATOS!$I9455)</f>
      </c>
      <c r="G9455">
        <f>IF(DATOS!$A9455="",0,IF(CONFIG_METADATA!$B$4&lt;&gt;"OR+EX",--(DATOS!$G9455=CONFIG_METADATA!$B$4),IF(DATOS!$G9455="EX",1,IF(DATOS!$G9455="OR",--(COUNTIFS(nNIA,DATOS!$A9455,nCURSO,DATOS!$D9455,nESPEC,DATOS!$E9455,nASIG,DATOS!$I9455,nEVAL,"EX")=0),0))))</f>
      </c>
      <c r="H9455">
        <f>IF(DATOS!$G9455&lt;&gt;"EX",0,--(COUNTIFS(nNIA,DATOS!$A9455,nCURSO,DATOS!$D9455,nESPEC,DATOS!$E9455,nASIG,DATOS!$I9455,nEVAL,"OR")=0))</f>
      </c>
      <c r="I9455">
        <f>IF(DATOS!$I9455="","",IFERROR(VLOOKUP(DATOS!$I9455,CONFIG_ASIGNATURAS!$B$2:$J$91,9,FALSE()),""))</f>
      </c>
    </row>
    <row r="9456">
      <c r="F9456">
        <f>IF(DATOS!$A9456="","",DATOS!$A9456&amp;"|"&amp;DATOS!$D9456&amp;"|"&amp;DATOS!$E9456&amp;"|"&amp;DATOS!$I9456)</f>
      </c>
      <c r="G9456">
        <f>IF(DATOS!$A9456="",0,IF(CONFIG_METADATA!$B$4&lt;&gt;"OR+EX",--(DATOS!$G9456=CONFIG_METADATA!$B$4),IF(DATOS!$G9456="EX",1,IF(DATOS!$G9456="OR",--(COUNTIFS(nNIA,DATOS!$A9456,nCURSO,DATOS!$D9456,nESPEC,DATOS!$E9456,nASIG,DATOS!$I9456,nEVAL,"EX")=0),0))))</f>
      </c>
      <c r="H9456">
        <f>IF(DATOS!$G9456&lt;&gt;"EX",0,--(COUNTIFS(nNIA,DATOS!$A9456,nCURSO,DATOS!$D9456,nESPEC,DATOS!$E9456,nASIG,DATOS!$I9456,nEVAL,"OR")=0))</f>
      </c>
      <c r="I9456">
        <f>IF(DATOS!$I9456="","",IFERROR(VLOOKUP(DATOS!$I9456,CONFIG_ASIGNATURAS!$B$2:$J$91,9,FALSE()),""))</f>
      </c>
    </row>
    <row r="9457">
      <c r="F9457">
        <f>IF(DATOS!$A9457="","",DATOS!$A9457&amp;"|"&amp;DATOS!$D9457&amp;"|"&amp;DATOS!$E9457&amp;"|"&amp;DATOS!$I9457)</f>
      </c>
      <c r="G9457">
        <f>IF(DATOS!$A9457="",0,IF(CONFIG_METADATA!$B$4&lt;&gt;"OR+EX",--(DATOS!$G9457=CONFIG_METADATA!$B$4),IF(DATOS!$G9457="EX",1,IF(DATOS!$G9457="OR",--(COUNTIFS(nNIA,DATOS!$A9457,nCURSO,DATOS!$D9457,nESPEC,DATOS!$E9457,nASIG,DATOS!$I9457,nEVAL,"EX")=0),0))))</f>
      </c>
      <c r="H9457">
        <f>IF(DATOS!$G9457&lt;&gt;"EX",0,--(COUNTIFS(nNIA,DATOS!$A9457,nCURSO,DATOS!$D9457,nESPEC,DATOS!$E9457,nASIG,DATOS!$I9457,nEVAL,"OR")=0))</f>
      </c>
      <c r="I9457">
        <f>IF(DATOS!$I9457="","",IFERROR(VLOOKUP(DATOS!$I9457,CONFIG_ASIGNATURAS!$B$2:$J$91,9,FALSE()),""))</f>
      </c>
    </row>
    <row r="9458">
      <c r="F9458">
        <f>IF(DATOS!$A9458="","",DATOS!$A9458&amp;"|"&amp;DATOS!$D9458&amp;"|"&amp;DATOS!$E9458&amp;"|"&amp;DATOS!$I9458)</f>
      </c>
      <c r="G9458">
        <f>IF(DATOS!$A9458="",0,IF(CONFIG_METADATA!$B$4&lt;&gt;"OR+EX",--(DATOS!$G9458=CONFIG_METADATA!$B$4),IF(DATOS!$G9458="EX",1,IF(DATOS!$G9458="OR",--(COUNTIFS(nNIA,DATOS!$A9458,nCURSO,DATOS!$D9458,nESPEC,DATOS!$E9458,nASIG,DATOS!$I9458,nEVAL,"EX")=0),0))))</f>
      </c>
      <c r="H9458">
        <f>IF(DATOS!$G9458&lt;&gt;"EX",0,--(COUNTIFS(nNIA,DATOS!$A9458,nCURSO,DATOS!$D9458,nESPEC,DATOS!$E9458,nASIG,DATOS!$I9458,nEVAL,"OR")=0))</f>
      </c>
      <c r="I9458">
        <f>IF(DATOS!$I9458="","",IFERROR(VLOOKUP(DATOS!$I9458,CONFIG_ASIGNATURAS!$B$2:$J$91,9,FALSE()),""))</f>
      </c>
    </row>
    <row r="9459">
      <c r="F9459">
        <f>IF(DATOS!$A9459="","",DATOS!$A9459&amp;"|"&amp;DATOS!$D9459&amp;"|"&amp;DATOS!$E9459&amp;"|"&amp;DATOS!$I9459)</f>
      </c>
      <c r="G9459">
        <f>IF(DATOS!$A9459="",0,IF(CONFIG_METADATA!$B$4&lt;&gt;"OR+EX",--(DATOS!$G9459=CONFIG_METADATA!$B$4),IF(DATOS!$G9459="EX",1,IF(DATOS!$G9459="OR",--(COUNTIFS(nNIA,DATOS!$A9459,nCURSO,DATOS!$D9459,nESPEC,DATOS!$E9459,nASIG,DATOS!$I9459,nEVAL,"EX")=0),0))))</f>
      </c>
      <c r="H9459">
        <f>IF(DATOS!$G9459&lt;&gt;"EX",0,--(COUNTIFS(nNIA,DATOS!$A9459,nCURSO,DATOS!$D9459,nESPEC,DATOS!$E9459,nASIG,DATOS!$I9459,nEVAL,"OR")=0))</f>
      </c>
      <c r="I9459">
        <f>IF(DATOS!$I9459="","",IFERROR(VLOOKUP(DATOS!$I9459,CONFIG_ASIGNATURAS!$B$2:$J$91,9,FALSE()),""))</f>
      </c>
    </row>
    <row r="9460">
      <c r="F9460">
        <f>IF(DATOS!$A9460="","",DATOS!$A9460&amp;"|"&amp;DATOS!$D9460&amp;"|"&amp;DATOS!$E9460&amp;"|"&amp;DATOS!$I9460)</f>
      </c>
      <c r="G9460">
        <f>IF(DATOS!$A9460="",0,IF(CONFIG_METADATA!$B$4&lt;&gt;"OR+EX",--(DATOS!$G9460=CONFIG_METADATA!$B$4),IF(DATOS!$G9460="EX",1,IF(DATOS!$G9460="OR",--(COUNTIFS(nNIA,DATOS!$A9460,nCURSO,DATOS!$D9460,nESPEC,DATOS!$E9460,nASIG,DATOS!$I9460,nEVAL,"EX")=0),0))))</f>
      </c>
      <c r="H9460">
        <f>IF(DATOS!$G9460&lt;&gt;"EX",0,--(COUNTIFS(nNIA,DATOS!$A9460,nCURSO,DATOS!$D9460,nESPEC,DATOS!$E9460,nASIG,DATOS!$I9460,nEVAL,"OR")=0))</f>
      </c>
      <c r="I9460">
        <f>IF(DATOS!$I9460="","",IFERROR(VLOOKUP(DATOS!$I9460,CONFIG_ASIGNATURAS!$B$2:$J$91,9,FALSE()),""))</f>
      </c>
    </row>
    <row r="9461">
      <c r="F9461">
        <f>IF(DATOS!$A9461="","",DATOS!$A9461&amp;"|"&amp;DATOS!$D9461&amp;"|"&amp;DATOS!$E9461&amp;"|"&amp;DATOS!$I9461)</f>
      </c>
      <c r="G9461">
        <f>IF(DATOS!$A9461="",0,IF(CONFIG_METADATA!$B$4&lt;&gt;"OR+EX",--(DATOS!$G9461=CONFIG_METADATA!$B$4),IF(DATOS!$G9461="EX",1,IF(DATOS!$G9461="OR",--(COUNTIFS(nNIA,DATOS!$A9461,nCURSO,DATOS!$D9461,nESPEC,DATOS!$E9461,nASIG,DATOS!$I9461,nEVAL,"EX")=0),0))))</f>
      </c>
      <c r="H9461">
        <f>IF(DATOS!$G9461&lt;&gt;"EX",0,--(COUNTIFS(nNIA,DATOS!$A9461,nCURSO,DATOS!$D9461,nESPEC,DATOS!$E9461,nASIG,DATOS!$I9461,nEVAL,"OR")=0))</f>
      </c>
      <c r="I9461">
        <f>IF(DATOS!$I9461="","",IFERROR(VLOOKUP(DATOS!$I9461,CONFIG_ASIGNATURAS!$B$2:$J$91,9,FALSE()),""))</f>
      </c>
    </row>
    <row r="9462">
      <c r="F9462">
        <f>IF(DATOS!$A9462="","",DATOS!$A9462&amp;"|"&amp;DATOS!$D9462&amp;"|"&amp;DATOS!$E9462&amp;"|"&amp;DATOS!$I9462)</f>
      </c>
      <c r="G9462">
        <f>IF(DATOS!$A9462="",0,IF(CONFIG_METADATA!$B$4&lt;&gt;"OR+EX",--(DATOS!$G9462=CONFIG_METADATA!$B$4),IF(DATOS!$G9462="EX",1,IF(DATOS!$G9462="OR",--(COUNTIFS(nNIA,DATOS!$A9462,nCURSO,DATOS!$D9462,nESPEC,DATOS!$E9462,nASIG,DATOS!$I9462,nEVAL,"EX")=0),0))))</f>
      </c>
      <c r="H9462">
        <f>IF(DATOS!$G9462&lt;&gt;"EX",0,--(COUNTIFS(nNIA,DATOS!$A9462,nCURSO,DATOS!$D9462,nESPEC,DATOS!$E9462,nASIG,DATOS!$I9462,nEVAL,"OR")=0))</f>
      </c>
      <c r="I9462">
        <f>IF(DATOS!$I9462="","",IFERROR(VLOOKUP(DATOS!$I9462,CONFIG_ASIGNATURAS!$B$2:$J$91,9,FALSE()),""))</f>
      </c>
    </row>
    <row r="9463">
      <c r="F9463">
        <f>IF(DATOS!$A9463="","",DATOS!$A9463&amp;"|"&amp;DATOS!$D9463&amp;"|"&amp;DATOS!$E9463&amp;"|"&amp;DATOS!$I9463)</f>
      </c>
      <c r="G9463">
        <f>IF(DATOS!$A9463="",0,IF(CONFIG_METADATA!$B$4&lt;&gt;"OR+EX",--(DATOS!$G9463=CONFIG_METADATA!$B$4),IF(DATOS!$G9463="EX",1,IF(DATOS!$G9463="OR",--(COUNTIFS(nNIA,DATOS!$A9463,nCURSO,DATOS!$D9463,nESPEC,DATOS!$E9463,nASIG,DATOS!$I9463,nEVAL,"EX")=0),0))))</f>
      </c>
      <c r="H9463">
        <f>IF(DATOS!$G9463&lt;&gt;"EX",0,--(COUNTIFS(nNIA,DATOS!$A9463,nCURSO,DATOS!$D9463,nESPEC,DATOS!$E9463,nASIG,DATOS!$I9463,nEVAL,"OR")=0))</f>
      </c>
      <c r="I9463">
        <f>IF(DATOS!$I9463="","",IFERROR(VLOOKUP(DATOS!$I9463,CONFIG_ASIGNATURAS!$B$2:$J$91,9,FALSE()),""))</f>
      </c>
    </row>
    <row r="9464">
      <c r="F9464">
        <f>IF(DATOS!$A9464="","",DATOS!$A9464&amp;"|"&amp;DATOS!$D9464&amp;"|"&amp;DATOS!$E9464&amp;"|"&amp;DATOS!$I9464)</f>
      </c>
      <c r="G9464">
        <f>IF(DATOS!$A9464="",0,IF(CONFIG_METADATA!$B$4&lt;&gt;"OR+EX",--(DATOS!$G9464=CONFIG_METADATA!$B$4),IF(DATOS!$G9464="EX",1,IF(DATOS!$G9464="OR",--(COUNTIFS(nNIA,DATOS!$A9464,nCURSO,DATOS!$D9464,nESPEC,DATOS!$E9464,nASIG,DATOS!$I9464,nEVAL,"EX")=0),0))))</f>
      </c>
      <c r="H9464">
        <f>IF(DATOS!$G9464&lt;&gt;"EX",0,--(COUNTIFS(nNIA,DATOS!$A9464,nCURSO,DATOS!$D9464,nESPEC,DATOS!$E9464,nASIG,DATOS!$I9464,nEVAL,"OR")=0))</f>
      </c>
      <c r="I9464">
        <f>IF(DATOS!$I9464="","",IFERROR(VLOOKUP(DATOS!$I9464,CONFIG_ASIGNATURAS!$B$2:$J$91,9,FALSE()),""))</f>
      </c>
    </row>
    <row r="9465">
      <c r="F9465">
        <f>IF(DATOS!$A9465="","",DATOS!$A9465&amp;"|"&amp;DATOS!$D9465&amp;"|"&amp;DATOS!$E9465&amp;"|"&amp;DATOS!$I9465)</f>
      </c>
      <c r="G9465">
        <f>IF(DATOS!$A9465="",0,IF(CONFIG_METADATA!$B$4&lt;&gt;"OR+EX",--(DATOS!$G9465=CONFIG_METADATA!$B$4),IF(DATOS!$G9465="EX",1,IF(DATOS!$G9465="OR",--(COUNTIFS(nNIA,DATOS!$A9465,nCURSO,DATOS!$D9465,nESPEC,DATOS!$E9465,nASIG,DATOS!$I9465,nEVAL,"EX")=0),0))))</f>
      </c>
      <c r="H9465">
        <f>IF(DATOS!$G9465&lt;&gt;"EX",0,--(COUNTIFS(nNIA,DATOS!$A9465,nCURSO,DATOS!$D9465,nESPEC,DATOS!$E9465,nASIG,DATOS!$I9465,nEVAL,"OR")=0))</f>
      </c>
      <c r="I9465">
        <f>IF(DATOS!$I9465="","",IFERROR(VLOOKUP(DATOS!$I9465,CONFIG_ASIGNATURAS!$B$2:$J$91,9,FALSE()),""))</f>
      </c>
    </row>
    <row r="9466">
      <c r="F9466">
        <f>IF(DATOS!$A9466="","",DATOS!$A9466&amp;"|"&amp;DATOS!$D9466&amp;"|"&amp;DATOS!$E9466&amp;"|"&amp;DATOS!$I9466)</f>
      </c>
      <c r="G9466">
        <f>IF(DATOS!$A9466="",0,IF(CONFIG_METADATA!$B$4&lt;&gt;"OR+EX",--(DATOS!$G9466=CONFIG_METADATA!$B$4),IF(DATOS!$G9466="EX",1,IF(DATOS!$G9466="OR",--(COUNTIFS(nNIA,DATOS!$A9466,nCURSO,DATOS!$D9466,nESPEC,DATOS!$E9466,nASIG,DATOS!$I9466,nEVAL,"EX")=0),0))))</f>
      </c>
      <c r="H9466">
        <f>IF(DATOS!$G9466&lt;&gt;"EX",0,--(COUNTIFS(nNIA,DATOS!$A9466,nCURSO,DATOS!$D9466,nESPEC,DATOS!$E9466,nASIG,DATOS!$I9466,nEVAL,"OR")=0))</f>
      </c>
      <c r="I9466">
        <f>IF(DATOS!$I9466="","",IFERROR(VLOOKUP(DATOS!$I9466,CONFIG_ASIGNATURAS!$B$2:$J$91,9,FALSE()),""))</f>
      </c>
    </row>
    <row r="9467">
      <c r="F9467">
        <f>IF(DATOS!$A9467="","",DATOS!$A9467&amp;"|"&amp;DATOS!$D9467&amp;"|"&amp;DATOS!$E9467&amp;"|"&amp;DATOS!$I9467)</f>
      </c>
      <c r="G9467">
        <f>IF(DATOS!$A9467="",0,IF(CONFIG_METADATA!$B$4&lt;&gt;"OR+EX",--(DATOS!$G9467=CONFIG_METADATA!$B$4),IF(DATOS!$G9467="EX",1,IF(DATOS!$G9467="OR",--(COUNTIFS(nNIA,DATOS!$A9467,nCURSO,DATOS!$D9467,nESPEC,DATOS!$E9467,nASIG,DATOS!$I9467,nEVAL,"EX")=0),0))))</f>
      </c>
      <c r="H9467">
        <f>IF(DATOS!$G9467&lt;&gt;"EX",0,--(COUNTIFS(nNIA,DATOS!$A9467,nCURSO,DATOS!$D9467,nESPEC,DATOS!$E9467,nASIG,DATOS!$I9467,nEVAL,"OR")=0))</f>
      </c>
      <c r="I9467">
        <f>IF(DATOS!$I9467="","",IFERROR(VLOOKUP(DATOS!$I9467,CONFIG_ASIGNATURAS!$B$2:$J$91,9,FALSE()),""))</f>
      </c>
    </row>
    <row r="9468">
      <c r="F9468">
        <f>IF(DATOS!$A9468="","",DATOS!$A9468&amp;"|"&amp;DATOS!$D9468&amp;"|"&amp;DATOS!$E9468&amp;"|"&amp;DATOS!$I9468)</f>
      </c>
      <c r="G9468">
        <f>IF(DATOS!$A9468="",0,IF(CONFIG_METADATA!$B$4&lt;&gt;"OR+EX",--(DATOS!$G9468=CONFIG_METADATA!$B$4),IF(DATOS!$G9468="EX",1,IF(DATOS!$G9468="OR",--(COUNTIFS(nNIA,DATOS!$A9468,nCURSO,DATOS!$D9468,nESPEC,DATOS!$E9468,nASIG,DATOS!$I9468,nEVAL,"EX")=0),0))))</f>
      </c>
      <c r="H9468">
        <f>IF(DATOS!$G9468&lt;&gt;"EX",0,--(COUNTIFS(nNIA,DATOS!$A9468,nCURSO,DATOS!$D9468,nESPEC,DATOS!$E9468,nASIG,DATOS!$I9468,nEVAL,"OR")=0))</f>
      </c>
      <c r="I9468">
        <f>IF(DATOS!$I9468="","",IFERROR(VLOOKUP(DATOS!$I9468,CONFIG_ASIGNATURAS!$B$2:$J$91,9,FALSE()),""))</f>
      </c>
    </row>
    <row r="9469">
      <c r="F9469">
        <f>IF(DATOS!$A9469="","",DATOS!$A9469&amp;"|"&amp;DATOS!$D9469&amp;"|"&amp;DATOS!$E9469&amp;"|"&amp;DATOS!$I9469)</f>
      </c>
      <c r="G9469">
        <f>IF(DATOS!$A9469="",0,IF(CONFIG_METADATA!$B$4&lt;&gt;"OR+EX",--(DATOS!$G9469=CONFIG_METADATA!$B$4),IF(DATOS!$G9469="EX",1,IF(DATOS!$G9469="OR",--(COUNTIFS(nNIA,DATOS!$A9469,nCURSO,DATOS!$D9469,nESPEC,DATOS!$E9469,nASIG,DATOS!$I9469,nEVAL,"EX")=0),0))))</f>
      </c>
      <c r="H9469">
        <f>IF(DATOS!$G9469&lt;&gt;"EX",0,--(COUNTIFS(nNIA,DATOS!$A9469,nCURSO,DATOS!$D9469,nESPEC,DATOS!$E9469,nASIG,DATOS!$I9469,nEVAL,"OR")=0))</f>
      </c>
      <c r="I9469">
        <f>IF(DATOS!$I9469="","",IFERROR(VLOOKUP(DATOS!$I9469,CONFIG_ASIGNATURAS!$B$2:$J$91,9,FALSE()),""))</f>
      </c>
    </row>
    <row r="9470">
      <c r="F9470">
        <f>IF(DATOS!$A9470="","",DATOS!$A9470&amp;"|"&amp;DATOS!$D9470&amp;"|"&amp;DATOS!$E9470&amp;"|"&amp;DATOS!$I9470)</f>
      </c>
      <c r="G9470">
        <f>IF(DATOS!$A9470="",0,IF(CONFIG_METADATA!$B$4&lt;&gt;"OR+EX",--(DATOS!$G9470=CONFIG_METADATA!$B$4),IF(DATOS!$G9470="EX",1,IF(DATOS!$G9470="OR",--(COUNTIFS(nNIA,DATOS!$A9470,nCURSO,DATOS!$D9470,nESPEC,DATOS!$E9470,nASIG,DATOS!$I9470,nEVAL,"EX")=0),0))))</f>
      </c>
      <c r="H9470">
        <f>IF(DATOS!$G9470&lt;&gt;"EX",0,--(COUNTIFS(nNIA,DATOS!$A9470,nCURSO,DATOS!$D9470,nESPEC,DATOS!$E9470,nASIG,DATOS!$I9470,nEVAL,"OR")=0))</f>
      </c>
      <c r="I9470">
        <f>IF(DATOS!$I9470="","",IFERROR(VLOOKUP(DATOS!$I9470,CONFIG_ASIGNATURAS!$B$2:$J$91,9,FALSE()),""))</f>
      </c>
    </row>
    <row r="9471">
      <c r="F9471">
        <f>IF(DATOS!$A9471="","",DATOS!$A9471&amp;"|"&amp;DATOS!$D9471&amp;"|"&amp;DATOS!$E9471&amp;"|"&amp;DATOS!$I9471)</f>
      </c>
      <c r="G9471">
        <f>IF(DATOS!$A9471="",0,IF(CONFIG_METADATA!$B$4&lt;&gt;"OR+EX",--(DATOS!$G9471=CONFIG_METADATA!$B$4),IF(DATOS!$G9471="EX",1,IF(DATOS!$G9471="OR",--(COUNTIFS(nNIA,DATOS!$A9471,nCURSO,DATOS!$D9471,nESPEC,DATOS!$E9471,nASIG,DATOS!$I9471,nEVAL,"EX")=0),0))))</f>
      </c>
      <c r="H9471">
        <f>IF(DATOS!$G9471&lt;&gt;"EX",0,--(COUNTIFS(nNIA,DATOS!$A9471,nCURSO,DATOS!$D9471,nESPEC,DATOS!$E9471,nASIG,DATOS!$I9471,nEVAL,"OR")=0))</f>
      </c>
      <c r="I9471">
        <f>IF(DATOS!$I9471="","",IFERROR(VLOOKUP(DATOS!$I9471,CONFIG_ASIGNATURAS!$B$2:$J$91,9,FALSE()),""))</f>
      </c>
    </row>
    <row r="9472">
      <c r="F9472">
        <f>IF(DATOS!$A9472="","",DATOS!$A9472&amp;"|"&amp;DATOS!$D9472&amp;"|"&amp;DATOS!$E9472&amp;"|"&amp;DATOS!$I9472)</f>
      </c>
      <c r="G9472">
        <f>IF(DATOS!$A9472="",0,IF(CONFIG_METADATA!$B$4&lt;&gt;"OR+EX",--(DATOS!$G9472=CONFIG_METADATA!$B$4),IF(DATOS!$G9472="EX",1,IF(DATOS!$G9472="OR",--(COUNTIFS(nNIA,DATOS!$A9472,nCURSO,DATOS!$D9472,nESPEC,DATOS!$E9472,nASIG,DATOS!$I9472,nEVAL,"EX")=0),0))))</f>
      </c>
      <c r="H9472">
        <f>IF(DATOS!$G9472&lt;&gt;"EX",0,--(COUNTIFS(nNIA,DATOS!$A9472,nCURSO,DATOS!$D9472,nESPEC,DATOS!$E9472,nASIG,DATOS!$I9472,nEVAL,"OR")=0))</f>
      </c>
      <c r="I9472">
        <f>IF(DATOS!$I9472="","",IFERROR(VLOOKUP(DATOS!$I9472,CONFIG_ASIGNATURAS!$B$2:$J$91,9,FALSE()),""))</f>
      </c>
    </row>
    <row r="9473">
      <c r="F9473">
        <f>IF(DATOS!$A9473="","",DATOS!$A9473&amp;"|"&amp;DATOS!$D9473&amp;"|"&amp;DATOS!$E9473&amp;"|"&amp;DATOS!$I9473)</f>
      </c>
      <c r="G9473">
        <f>IF(DATOS!$A9473="",0,IF(CONFIG_METADATA!$B$4&lt;&gt;"OR+EX",--(DATOS!$G9473=CONFIG_METADATA!$B$4),IF(DATOS!$G9473="EX",1,IF(DATOS!$G9473="OR",--(COUNTIFS(nNIA,DATOS!$A9473,nCURSO,DATOS!$D9473,nESPEC,DATOS!$E9473,nASIG,DATOS!$I9473,nEVAL,"EX")=0),0))))</f>
      </c>
      <c r="H9473">
        <f>IF(DATOS!$G9473&lt;&gt;"EX",0,--(COUNTIFS(nNIA,DATOS!$A9473,nCURSO,DATOS!$D9473,nESPEC,DATOS!$E9473,nASIG,DATOS!$I9473,nEVAL,"OR")=0))</f>
      </c>
      <c r="I9473">
        <f>IF(DATOS!$I9473="","",IFERROR(VLOOKUP(DATOS!$I9473,CONFIG_ASIGNATURAS!$B$2:$J$91,9,FALSE()),""))</f>
      </c>
    </row>
    <row r="9474">
      <c r="F9474">
        <f>IF(DATOS!$A9474="","",DATOS!$A9474&amp;"|"&amp;DATOS!$D9474&amp;"|"&amp;DATOS!$E9474&amp;"|"&amp;DATOS!$I9474)</f>
      </c>
      <c r="G9474">
        <f>IF(DATOS!$A9474="",0,IF(CONFIG_METADATA!$B$4&lt;&gt;"OR+EX",--(DATOS!$G9474=CONFIG_METADATA!$B$4),IF(DATOS!$G9474="EX",1,IF(DATOS!$G9474="OR",--(COUNTIFS(nNIA,DATOS!$A9474,nCURSO,DATOS!$D9474,nESPEC,DATOS!$E9474,nASIG,DATOS!$I9474,nEVAL,"EX")=0),0))))</f>
      </c>
      <c r="H9474">
        <f>IF(DATOS!$G9474&lt;&gt;"EX",0,--(COUNTIFS(nNIA,DATOS!$A9474,nCURSO,DATOS!$D9474,nESPEC,DATOS!$E9474,nASIG,DATOS!$I9474,nEVAL,"OR")=0))</f>
      </c>
      <c r="I9474">
        <f>IF(DATOS!$I9474="","",IFERROR(VLOOKUP(DATOS!$I9474,CONFIG_ASIGNATURAS!$B$2:$J$91,9,FALSE()),""))</f>
      </c>
    </row>
    <row r="9475">
      <c r="F9475">
        <f>IF(DATOS!$A9475="","",DATOS!$A9475&amp;"|"&amp;DATOS!$D9475&amp;"|"&amp;DATOS!$E9475&amp;"|"&amp;DATOS!$I9475)</f>
      </c>
      <c r="G9475">
        <f>IF(DATOS!$A9475="",0,IF(CONFIG_METADATA!$B$4&lt;&gt;"OR+EX",--(DATOS!$G9475=CONFIG_METADATA!$B$4),IF(DATOS!$G9475="EX",1,IF(DATOS!$G9475="OR",--(COUNTIFS(nNIA,DATOS!$A9475,nCURSO,DATOS!$D9475,nESPEC,DATOS!$E9475,nASIG,DATOS!$I9475,nEVAL,"EX")=0),0))))</f>
      </c>
      <c r="H9475">
        <f>IF(DATOS!$G9475&lt;&gt;"EX",0,--(COUNTIFS(nNIA,DATOS!$A9475,nCURSO,DATOS!$D9475,nESPEC,DATOS!$E9475,nASIG,DATOS!$I9475,nEVAL,"OR")=0))</f>
      </c>
      <c r="I9475">
        <f>IF(DATOS!$I9475="","",IFERROR(VLOOKUP(DATOS!$I9475,CONFIG_ASIGNATURAS!$B$2:$J$91,9,FALSE()),""))</f>
      </c>
    </row>
    <row r="9476">
      <c r="F9476">
        <f>IF(DATOS!$A9476="","",DATOS!$A9476&amp;"|"&amp;DATOS!$D9476&amp;"|"&amp;DATOS!$E9476&amp;"|"&amp;DATOS!$I9476)</f>
      </c>
      <c r="G9476">
        <f>IF(DATOS!$A9476="",0,IF(CONFIG_METADATA!$B$4&lt;&gt;"OR+EX",--(DATOS!$G9476=CONFIG_METADATA!$B$4),IF(DATOS!$G9476="EX",1,IF(DATOS!$G9476="OR",--(COUNTIFS(nNIA,DATOS!$A9476,nCURSO,DATOS!$D9476,nESPEC,DATOS!$E9476,nASIG,DATOS!$I9476,nEVAL,"EX")=0),0))))</f>
      </c>
      <c r="H9476">
        <f>IF(DATOS!$G9476&lt;&gt;"EX",0,--(COUNTIFS(nNIA,DATOS!$A9476,nCURSO,DATOS!$D9476,nESPEC,DATOS!$E9476,nASIG,DATOS!$I9476,nEVAL,"OR")=0))</f>
      </c>
      <c r="I9476">
        <f>IF(DATOS!$I9476="","",IFERROR(VLOOKUP(DATOS!$I9476,CONFIG_ASIGNATURAS!$B$2:$J$91,9,FALSE()),""))</f>
      </c>
    </row>
    <row r="9477">
      <c r="F9477">
        <f>IF(DATOS!$A9477="","",DATOS!$A9477&amp;"|"&amp;DATOS!$D9477&amp;"|"&amp;DATOS!$E9477&amp;"|"&amp;DATOS!$I9477)</f>
      </c>
      <c r="G9477">
        <f>IF(DATOS!$A9477="",0,IF(CONFIG_METADATA!$B$4&lt;&gt;"OR+EX",--(DATOS!$G9477=CONFIG_METADATA!$B$4),IF(DATOS!$G9477="EX",1,IF(DATOS!$G9477="OR",--(COUNTIFS(nNIA,DATOS!$A9477,nCURSO,DATOS!$D9477,nESPEC,DATOS!$E9477,nASIG,DATOS!$I9477,nEVAL,"EX")=0),0))))</f>
      </c>
      <c r="H9477">
        <f>IF(DATOS!$G9477&lt;&gt;"EX",0,--(COUNTIFS(nNIA,DATOS!$A9477,nCURSO,DATOS!$D9477,nESPEC,DATOS!$E9477,nASIG,DATOS!$I9477,nEVAL,"OR")=0))</f>
      </c>
      <c r="I9477">
        <f>IF(DATOS!$I9477="","",IFERROR(VLOOKUP(DATOS!$I9477,CONFIG_ASIGNATURAS!$B$2:$J$91,9,FALSE()),""))</f>
      </c>
    </row>
    <row r="9478">
      <c r="F9478">
        <f>IF(DATOS!$A9478="","",DATOS!$A9478&amp;"|"&amp;DATOS!$D9478&amp;"|"&amp;DATOS!$E9478&amp;"|"&amp;DATOS!$I9478)</f>
      </c>
      <c r="G9478">
        <f>IF(DATOS!$A9478="",0,IF(CONFIG_METADATA!$B$4&lt;&gt;"OR+EX",--(DATOS!$G9478=CONFIG_METADATA!$B$4),IF(DATOS!$G9478="EX",1,IF(DATOS!$G9478="OR",--(COUNTIFS(nNIA,DATOS!$A9478,nCURSO,DATOS!$D9478,nESPEC,DATOS!$E9478,nASIG,DATOS!$I9478,nEVAL,"EX")=0),0))))</f>
      </c>
      <c r="H9478">
        <f>IF(DATOS!$G9478&lt;&gt;"EX",0,--(COUNTIFS(nNIA,DATOS!$A9478,nCURSO,DATOS!$D9478,nESPEC,DATOS!$E9478,nASIG,DATOS!$I9478,nEVAL,"OR")=0))</f>
      </c>
      <c r="I9478">
        <f>IF(DATOS!$I9478="","",IFERROR(VLOOKUP(DATOS!$I9478,CONFIG_ASIGNATURAS!$B$2:$J$91,9,FALSE()),""))</f>
      </c>
    </row>
    <row r="9479">
      <c r="F9479">
        <f>IF(DATOS!$A9479="","",DATOS!$A9479&amp;"|"&amp;DATOS!$D9479&amp;"|"&amp;DATOS!$E9479&amp;"|"&amp;DATOS!$I9479)</f>
      </c>
      <c r="G9479">
        <f>IF(DATOS!$A9479="",0,IF(CONFIG_METADATA!$B$4&lt;&gt;"OR+EX",--(DATOS!$G9479=CONFIG_METADATA!$B$4),IF(DATOS!$G9479="EX",1,IF(DATOS!$G9479="OR",--(COUNTIFS(nNIA,DATOS!$A9479,nCURSO,DATOS!$D9479,nESPEC,DATOS!$E9479,nASIG,DATOS!$I9479,nEVAL,"EX")=0),0))))</f>
      </c>
      <c r="H9479">
        <f>IF(DATOS!$G9479&lt;&gt;"EX",0,--(COUNTIFS(nNIA,DATOS!$A9479,nCURSO,DATOS!$D9479,nESPEC,DATOS!$E9479,nASIG,DATOS!$I9479,nEVAL,"OR")=0))</f>
      </c>
      <c r="I9479">
        <f>IF(DATOS!$I9479="","",IFERROR(VLOOKUP(DATOS!$I9479,CONFIG_ASIGNATURAS!$B$2:$J$91,9,FALSE()),""))</f>
      </c>
    </row>
    <row r="9480">
      <c r="F9480">
        <f>IF(DATOS!$A9480="","",DATOS!$A9480&amp;"|"&amp;DATOS!$D9480&amp;"|"&amp;DATOS!$E9480&amp;"|"&amp;DATOS!$I9480)</f>
      </c>
      <c r="G9480">
        <f>IF(DATOS!$A9480="",0,IF(CONFIG_METADATA!$B$4&lt;&gt;"OR+EX",--(DATOS!$G9480=CONFIG_METADATA!$B$4),IF(DATOS!$G9480="EX",1,IF(DATOS!$G9480="OR",--(COUNTIFS(nNIA,DATOS!$A9480,nCURSO,DATOS!$D9480,nESPEC,DATOS!$E9480,nASIG,DATOS!$I9480,nEVAL,"EX")=0),0))))</f>
      </c>
      <c r="H9480">
        <f>IF(DATOS!$G9480&lt;&gt;"EX",0,--(COUNTIFS(nNIA,DATOS!$A9480,nCURSO,DATOS!$D9480,nESPEC,DATOS!$E9480,nASIG,DATOS!$I9480,nEVAL,"OR")=0))</f>
      </c>
      <c r="I9480">
        <f>IF(DATOS!$I9480="","",IFERROR(VLOOKUP(DATOS!$I9480,CONFIG_ASIGNATURAS!$B$2:$J$91,9,FALSE()),""))</f>
      </c>
    </row>
    <row r="9481">
      <c r="F9481">
        <f>IF(DATOS!$A9481="","",DATOS!$A9481&amp;"|"&amp;DATOS!$D9481&amp;"|"&amp;DATOS!$E9481&amp;"|"&amp;DATOS!$I9481)</f>
      </c>
      <c r="G9481">
        <f>IF(DATOS!$A9481="",0,IF(CONFIG_METADATA!$B$4&lt;&gt;"OR+EX",--(DATOS!$G9481=CONFIG_METADATA!$B$4),IF(DATOS!$G9481="EX",1,IF(DATOS!$G9481="OR",--(COUNTIFS(nNIA,DATOS!$A9481,nCURSO,DATOS!$D9481,nESPEC,DATOS!$E9481,nASIG,DATOS!$I9481,nEVAL,"EX")=0),0))))</f>
      </c>
      <c r="H9481">
        <f>IF(DATOS!$G9481&lt;&gt;"EX",0,--(COUNTIFS(nNIA,DATOS!$A9481,nCURSO,DATOS!$D9481,nESPEC,DATOS!$E9481,nASIG,DATOS!$I9481,nEVAL,"OR")=0))</f>
      </c>
      <c r="I9481">
        <f>IF(DATOS!$I9481="","",IFERROR(VLOOKUP(DATOS!$I9481,CONFIG_ASIGNATURAS!$B$2:$J$91,9,FALSE()),""))</f>
      </c>
    </row>
    <row r="9482">
      <c r="F9482">
        <f>IF(DATOS!$A9482="","",DATOS!$A9482&amp;"|"&amp;DATOS!$D9482&amp;"|"&amp;DATOS!$E9482&amp;"|"&amp;DATOS!$I9482)</f>
      </c>
      <c r="G9482">
        <f>IF(DATOS!$A9482="",0,IF(CONFIG_METADATA!$B$4&lt;&gt;"OR+EX",--(DATOS!$G9482=CONFIG_METADATA!$B$4),IF(DATOS!$G9482="EX",1,IF(DATOS!$G9482="OR",--(COUNTIFS(nNIA,DATOS!$A9482,nCURSO,DATOS!$D9482,nESPEC,DATOS!$E9482,nASIG,DATOS!$I9482,nEVAL,"EX")=0),0))))</f>
      </c>
      <c r="H9482">
        <f>IF(DATOS!$G9482&lt;&gt;"EX",0,--(COUNTIFS(nNIA,DATOS!$A9482,nCURSO,DATOS!$D9482,nESPEC,DATOS!$E9482,nASIG,DATOS!$I9482,nEVAL,"OR")=0))</f>
      </c>
      <c r="I9482">
        <f>IF(DATOS!$I9482="","",IFERROR(VLOOKUP(DATOS!$I9482,CONFIG_ASIGNATURAS!$B$2:$J$91,9,FALSE()),""))</f>
      </c>
    </row>
    <row r="9483">
      <c r="F9483">
        <f>IF(DATOS!$A9483="","",DATOS!$A9483&amp;"|"&amp;DATOS!$D9483&amp;"|"&amp;DATOS!$E9483&amp;"|"&amp;DATOS!$I9483)</f>
      </c>
      <c r="G9483">
        <f>IF(DATOS!$A9483="",0,IF(CONFIG_METADATA!$B$4&lt;&gt;"OR+EX",--(DATOS!$G9483=CONFIG_METADATA!$B$4),IF(DATOS!$G9483="EX",1,IF(DATOS!$G9483="OR",--(COUNTIFS(nNIA,DATOS!$A9483,nCURSO,DATOS!$D9483,nESPEC,DATOS!$E9483,nASIG,DATOS!$I9483,nEVAL,"EX")=0),0))))</f>
      </c>
      <c r="H9483">
        <f>IF(DATOS!$G9483&lt;&gt;"EX",0,--(COUNTIFS(nNIA,DATOS!$A9483,nCURSO,DATOS!$D9483,nESPEC,DATOS!$E9483,nASIG,DATOS!$I9483,nEVAL,"OR")=0))</f>
      </c>
      <c r="I9483">
        <f>IF(DATOS!$I9483="","",IFERROR(VLOOKUP(DATOS!$I9483,CONFIG_ASIGNATURAS!$B$2:$J$91,9,FALSE()),""))</f>
      </c>
    </row>
    <row r="9484">
      <c r="F9484">
        <f>IF(DATOS!$A9484="","",DATOS!$A9484&amp;"|"&amp;DATOS!$D9484&amp;"|"&amp;DATOS!$E9484&amp;"|"&amp;DATOS!$I9484)</f>
      </c>
      <c r="G9484">
        <f>IF(DATOS!$A9484="",0,IF(CONFIG_METADATA!$B$4&lt;&gt;"OR+EX",--(DATOS!$G9484=CONFIG_METADATA!$B$4),IF(DATOS!$G9484="EX",1,IF(DATOS!$G9484="OR",--(COUNTIFS(nNIA,DATOS!$A9484,nCURSO,DATOS!$D9484,nESPEC,DATOS!$E9484,nASIG,DATOS!$I9484,nEVAL,"EX")=0),0))))</f>
      </c>
      <c r="H9484">
        <f>IF(DATOS!$G9484&lt;&gt;"EX",0,--(COUNTIFS(nNIA,DATOS!$A9484,nCURSO,DATOS!$D9484,nESPEC,DATOS!$E9484,nASIG,DATOS!$I9484,nEVAL,"OR")=0))</f>
      </c>
      <c r="I9484">
        <f>IF(DATOS!$I9484="","",IFERROR(VLOOKUP(DATOS!$I9484,CONFIG_ASIGNATURAS!$B$2:$J$91,9,FALSE()),""))</f>
      </c>
    </row>
    <row r="9485">
      <c r="F9485">
        <f>IF(DATOS!$A9485="","",DATOS!$A9485&amp;"|"&amp;DATOS!$D9485&amp;"|"&amp;DATOS!$E9485&amp;"|"&amp;DATOS!$I9485)</f>
      </c>
      <c r="G9485">
        <f>IF(DATOS!$A9485="",0,IF(CONFIG_METADATA!$B$4&lt;&gt;"OR+EX",--(DATOS!$G9485=CONFIG_METADATA!$B$4),IF(DATOS!$G9485="EX",1,IF(DATOS!$G9485="OR",--(COUNTIFS(nNIA,DATOS!$A9485,nCURSO,DATOS!$D9485,nESPEC,DATOS!$E9485,nASIG,DATOS!$I9485,nEVAL,"EX")=0),0))))</f>
      </c>
      <c r="H9485">
        <f>IF(DATOS!$G9485&lt;&gt;"EX",0,--(COUNTIFS(nNIA,DATOS!$A9485,nCURSO,DATOS!$D9485,nESPEC,DATOS!$E9485,nASIG,DATOS!$I9485,nEVAL,"OR")=0))</f>
      </c>
      <c r="I9485">
        <f>IF(DATOS!$I9485="","",IFERROR(VLOOKUP(DATOS!$I9485,CONFIG_ASIGNATURAS!$B$2:$J$91,9,FALSE()),""))</f>
      </c>
    </row>
    <row r="9486">
      <c r="F9486">
        <f>IF(DATOS!$A9486="","",DATOS!$A9486&amp;"|"&amp;DATOS!$D9486&amp;"|"&amp;DATOS!$E9486&amp;"|"&amp;DATOS!$I9486)</f>
      </c>
      <c r="G9486">
        <f>IF(DATOS!$A9486="",0,IF(CONFIG_METADATA!$B$4&lt;&gt;"OR+EX",--(DATOS!$G9486=CONFIG_METADATA!$B$4),IF(DATOS!$G9486="EX",1,IF(DATOS!$G9486="OR",--(COUNTIFS(nNIA,DATOS!$A9486,nCURSO,DATOS!$D9486,nESPEC,DATOS!$E9486,nASIG,DATOS!$I9486,nEVAL,"EX")=0),0))))</f>
      </c>
      <c r="H9486">
        <f>IF(DATOS!$G9486&lt;&gt;"EX",0,--(COUNTIFS(nNIA,DATOS!$A9486,nCURSO,DATOS!$D9486,nESPEC,DATOS!$E9486,nASIG,DATOS!$I9486,nEVAL,"OR")=0))</f>
      </c>
      <c r="I9486">
        <f>IF(DATOS!$I9486="","",IFERROR(VLOOKUP(DATOS!$I9486,CONFIG_ASIGNATURAS!$B$2:$J$91,9,FALSE()),""))</f>
      </c>
    </row>
    <row r="9487">
      <c r="F9487">
        <f>IF(DATOS!$A9487="","",DATOS!$A9487&amp;"|"&amp;DATOS!$D9487&amp;"|"&amp;DATOS!$E9487&amp;"|"&amp;DATOS!$I9487)</f>
      </c>
      <c r="G9487">
        <f>IF(DATOS!$A9487="",0,IF(CONFIG_METADATA!$B$4&lt;&gt;"OR+EX",--(DATOS!$G9487=CONFIG_METADATA!$B$4),IF(DATOS!$G9487="EX",1,IF(DATOS!$G9487="OR",--(COUNTIFS(nNIA,DATOS!$A9487,nCURSO,DATOS!$D9487,nESPEC,DATOS!$E9487,nASIG,DATOS!$I9487,nEVAL,"EX")=0),0))))</f>
      </c>
      <c r="H9487">
        <f>IF(DATOS!$G9487&lt;&gt;"EX",0,--(COUNTIFS(nNIA,DATOS!$A9487,nCURSO,DATOS!$D9487,nESPEC,DATOS!$E9487,nASIG,DATOS!$I9487,nEVAL,"OR")=0))</f>
      </c>
      <c r="I9487">
        <f>IF(DATOS!$I9487="","",IFERROR(VLOOKUP(DATOS!$I9487,CONFIG_ASIGNATURAS!$B$2:$J$91,9,FALSE()),""))</f>
      </c>
    </row>
    <row r="9488">
      <c r="F9488">
        <f>IF(DATOS!$A9488="","",DATOS!$A9488&amp;"|"&amp;DATOS!$D9488&amp;"|"&amp;DATOS!$E9488&amp;"|"&amp;DATOS!$I9488)</f>
      </c>
      <c r="G9488">
        <f>IF(DATOS!$A9488="",0,IF(CONFIG_METADATA!$B$4&lt;&gt;"OR+EX",--(DATOS!$G9488=CONFIG_METADATA!$B$4),IF(DATOS!$G9488="EX",1,IF(DATOS!$G9488="OR",--(COUNTIFS(nNIA,DATOS!$A9488,nCURSO,DATOS!$D9488,nESPEC,DATOS!$E9488,nASIG,DATOS!$I9488,nEVAL,"EX")=0),0))))</f>
      </c>
      <c r="H9488">
        <f>IF(DATOS!$G9488&lt;&gt;"EX",0,--(COUNTIFS(nNIA,DATOS!$A9488,nCURSO,DATOS!$D9488,nESPEC,DATOS!$E9488,nASIG,DATOS!$I9488,nEVAL,"OR")=0))</f>
      </c>
      <c r="I9488">
        <f>IF(DATOS!$I9488="","",IFERROR(VLOOKUP(DATOS!$I9488,CONFIG_ASIGNATURAS!$B$2:$J$91,9,FALSE()),""))</f>
      </c>
    </row>
    <row r="9489">
      <c r="F9489">
        <f>IF(DATOS!$A9489="","",DATOS!$A9489&amp;"|"&amp;DATOS!$D9489&amp;"|"&amp;DATOS!$E9489&amp;"|"&amp;DATOS!$I9489)</f>
      </c>
      <c r="G9489">
        <f>IF(DATOS!$A9489="",0,IF(CONFIG_METADATA!$B$4&lt;&gt;"OR+EX",--(DATOS!$G9489=CONFIG_METADATA!$B$4),IF(DATOS!$G9489="EX",1,IF(DATOS!$G9489="OR",--(COUNTIFS(nNIA,DATOS!$A9489,nCURSO,DATOS!$D9489,nESPEC,DATOS!$E9489,nASIG,DATOS!$I9489,nEVAL,"EX")=0),0))))</f>
      </c>
      <c r="H9489">
        <f>IF(DATOS!$G9489&lt;&gt;"EX",0,--(COUNTIFS(nNIA,DATOS!$A9489,nCURSO,DATOS!$D9489,nESPEC,DATOS!$E9489,nASIG,DATOS!$I9489,nEVAL,"OR")=0))</f>
      </c>
      <c r="I9489">
        <f>IF(DATOS!$I9489="","",IFERROR(VLOOKUP(DATOS!$I9489,CONFIG_ASIGNATURAS!$B$2:$J$91,9,FALSE()),""))</f>
      </c>
    </row>
    <row r="9490">
      <c r="F9490">
        <f>IF(DATOS!$A9490="","",DATOS!$A9490&amp;"|"&amp;DATOS!$D9490&amp;"|"&amp;DATOS!$E9490&amp;"|"&amp;DATOS!$I9490)</f>
      </c>
      <c r="G9490">
        <f>IF(DATOS!$A9490="",0,IF(CONFIG_METADATA!$B$4&lt;&gt;"OR+EX",--(DATOS!$G9490=CONFIG_METADATA!$B$4),IF(DATOS!$G9490="EX",1,IF(DATOS!$G9490="OR",--(COUNTIFS(nNIA,DATOS!$A9490,nCURSO,DATOS!$D9490,nESPEC,DATOS!$E9490,nASIG,DATOS!$I9490,nEVAL,"EX")=0),0))))</f>
      </c>
      <c r="H9490">
        <f>IF(DATOS!$G9490&lt;&gt;"EX",0,--(COUNTIFS(nNIA,DATOS!$A9490,nCURSO,DATOS!$D9490,nESPEC,DATOS!$E9490,nASIG,DATOS!$I9490,nEVAL,"OR")=0))</f>
      </c>
      <c r="I9490">
        <f>IF(DATOS!$I9490="","",IFERROR(VLOOKUP(DATOS!$I9490,CONFIG_ASIGNATURAS!$B$2:$J$91,9,FALSE()),""))</f>
      </c>
    </row>
    <row r="9491">
      <c r="F9491">
        <f>IF(DATOS!$A9491="","",DATOS!$A9491&amp;"|"&amp;DATOS!$D9491&amp;"|"&amp;DATOS!$E9491&amp;"|"&amp;DATOS!$I9491)</f>
      </c>
      <c r="G9491">
        <f>IF(DATOS!$A9491="",0,IF(CONFIG_METADATA!$B$4&lt;&gt;"OR+EX",--(DATOS!$G9491=CONFIG_METADATA!$B$4),IF(DATOS!$G9491="EX",1,IF(DATOS!$G9491="OR",--(COUNTIFS(nNIA,DATOS!$A9491,nCURSO,DATOS!$D9491,nESPEC,DATOS!$E9491,nASIG,DATOS!$I9491,nEVAL,"EX")=0),0))))</f>
      </c>
      <c r="H9491">
        <f>IF(DATOS!$G9491&lt;&gt;"EX",0,--(COUNTIFS(nNIA,DATOS!$A9491,nCURSO,DATOS!$D9491,nESPEC,DATOS!$E9491,nASIG,DATOS!$I9491,nEVAL,"OR")=0))</f>
      </c>
      <c r="I9491">
        <f>IF(DATOS!$I9491="","",IFERROR(VLOOKUP(DATOS!$I9491,CONFIG_ASIGNATURAS!$B$2:$J$91,9,FALSE()),""))</f>
      </c>
    </row>
    <row r="9492">
      <c r="F9492">
        <f>IF(DATOS!$A9492="","",DATOS!$A9492&amp;"|"&amp;DATOS!$D9492&amp;"|"&amp;DATOS!$E9492&amp;"|"&amp;DATOS!$I9492)</f>
      </c>
      <c r="G9492">
        <f>IF(DATOS!$A9492="",0,IF(CONFIG_METADATA!$B$4&lt;&gt;"OR+EX",--(DATOS!$G9492=CONFIG_METADATA!$B$4),IF(DATOS!$G9492="EX",1,IF(DATOS!$G9492="OR",--(COUNTIFS(nNIA,DATOS!$A9492,nCURSO,DATOS!$D9492,nESPEC,DATOS!$E9492,nASIG,DATOS!$I9492,nEVAL,"EX")=0),0))))</f>
      </c>
      <c r="H9492">
        <f>IF(DATOS!$G9492&lt;&gt;"EX",0,--(COUNTIFS(nNIA,DATOS!$A9492,nCURSO,DATOS!$D9492,nESPEC,DATOS!$E9492,nASIG,DATOS!$I9492,nEVAL,"OR")=0))</f>
      </c>
      <c r="I9492">
        <f>IF(DATOS!$I9492="","",IFERROR(VLOOKUP(DATOS!$I9492,CONFIG_ASIGNATURAS!$B$2:$J$91,9,FALSE()),""))</f>
      </c>
    </row>
    <row r="9493">
      <c r="F9493">
        <f>IF(DATOS!$A9493="","",DATOS!$A9493&amp;"|"&amp;DATOS!$D9493&amp;"|"&amp;DATOS!$E9493&amp;"|"&amp;DATOS!$I9493)</f>
      </c>
      <c r="G9493">
        <f>IF(DATOS!$A9493="",0,IF(CONFIG_METADATA!$B$4&lt;&gt;"OR+EX",--(DATOS!$G9493=CONFIG_METADATA!$B$4),IF(DATOS!$G9493="EX",1,IF(DATOS!$G9493="OR",--(COUNTIFS(nNIA,DATOS!$A9493,nCURSO,DATOS!$D9493,nESPEC,DATOS!$E9493,nASIG,DATOS!$I9493,nEVAL,"EX")=0),0))))</f>
      </c>
      <c r="H9493">
        <f>IF(DATOS!$G9493&lt;&gt;"EX",0,--(COUNTIFS(nNIA,DATOS!$A9493,nCURSO,DATOS!$D9493,nESPEC,DATOS!$E9493,nASIG,DATOS!$I9493,nEVAL,"OR")=0))</f>
      </c>
      <c r="I9493">
        <f>IF(DATOS!$I9493="","",IFERROR(VLOOKUP(DATOS!$I9493,CONFIG_ASIGNATURAS!$B$2:$J$91,9,FALSE()),""))</f>
      </c>
    </row>
    <row r="9494">
      <c r="F9494">
        <f>IF(DATOS!$A9494="","",DATOS!$A9494&amp;"|"&amp;DATOS!$D9494&amp;"|"&amp;DATOS!$E9494&amp;"|"&amp;DATOS!$I9494)</f>
      </c>
      <c r="G9494">
        <f>IF(DATOS!$A9494="",0,IF(CONFIG_METADATA!$B$4&lt;&gt;"OR+EX",--(DATOS!$G9494=CONFIG_METADATA!$B$4),IF(DATOS!$G9494="EX",1,IF(DATOS!$G9494="OR",--(COUNTIFS(nNIA,DATOS!$A9494,nCURSO,DATOS!$D9494,nESPEC,DATOS!$E9494,nASIG,DATOS!$I9494,nEVAL,"EX")=0),0))))</f>
      </c>
      <c r="H9494">
        <f>IF(DATOS!$G9494&lt;&gt;"EX",0,--(COUNTIFS(nNIA,DATOS!$A9494,nCURSO,DATOS!$D9494,nESPEC,DATOS!$E9494,nASIG,DATOS!$I9494,nEVAL,"OR")=0))</f>
      </c>
      <c r="I9494">
        <f>IF(DATOS!$I9494="","",IFERROR(VLOOKUP(DATOS!$I9494,CONFIG_ASIGNATURAS!$B$2:$J$91,9,FALSE()),""))</f>
      </c>
    </row>
    <row r="9495">
      <c r="F9495">
        <f>IF(DATOS!$A9495="","",DATOS!$A9495&amp;"|"&amp;DATOS!$D9495&amp;"|"&amp;DATOS!$E9495&amp;"|"&amp;DATOS!$I9495)</f>
      </c>
      <c r="G9495">
        <f>IF(DATOS!$A9495="",0,IF(CONFIG_METADATA!$B$4&lt;&gt;"OR+EX",--(DATOS!$G9495=CONFIG_METADATA!$B$4),IF(DATOS!$G9495="EX",1,IF(DATOS!$G9495="OR",--(COUNTIFS(nNIA,DATOS!$A9495,nCURSO,DATOS!$D9495,nESPEC,DATOS!$E9495,nASIG,DATOS!$I9495,nEVAL,"EX")=0),0))))</f>
      </c>
      <c r="H9495">
        <f>IF(DATOS!$G9495&lt;&gt;"EX",0,--(COUNTIFS(nNIA,DATOS!$A9495,nCURSO,DATOS!$D9495,nESPEC,DATOS!$E9495,nASIG,DATOS!$I9495,nEVAL,"OR")=0))</f>
      </c>
      <c r="I9495">
        <f>IF(DATOS!$I9495="","",IFERROR(VLOOKUP(DATOS!$I9495,CONFIG_ASIGNATURAS!$B$2:$J$91,9,FALSE()),""))</f>
      </c>
    </row>
    <row r="9496">
      <c r="F9496">
        <f>IF(DATOS!$A9496="","",DATOS!$A9496&amp;"|"&amp;DATOS!$D9496&amp;"|"&amp;DATOS!$E9496&amp;"|"&amp;DATOS!$I9496)</f>
      </c>
      <c r="G9496">
        <f>IF(DATOS!$A9496="",0,IF(CONFIG_METADATA!$B$4&lt;&gt;"OR+EX",--(DATOS!$G9496=CONFIG_METADATA!$B$4),IF(DATOS!$G9496="EX",1,IF(DATOS!$G9496="OR",--(COUNTIFS(nNIA,DATOS!$A9496,nCURSO,DATOS!$D9496,nESPEC,DATOS!$E9496,nASIG,DATOS!$I9496,nEVAL,"EX")=0),0))))</f>
      </c>
      <c r="H9496">
        <f>IF(DATOS!$G9496&lt;&gt;"EX",0,--(COUNTIFS(nNIA,DATOS!$A9496,nCURSO,DATOS!$D9496,nESPEC,DATOS!$E9496,nASIG,DATOS!$I9496,nEVAL,"OR")=0))</f>
      </c>
      <c r="I9496">
        <f>IF(DATOS!$I9496="","",IFERROR(VLOOKUP(DATOS!$I9496,CONFIG_ASIGNATURAS!$B$2:$J$91,9,FALSE()),""))</f>
      </c>
    </row>
    <row r="9497">
      <c r="F9497">
        <f>IF(DATOS!$A9497="","",DATOS!$A9497&amp;"|"&amp;DATOS!$D9497&amp;"|"&amp;DATOS!$E9497&amp;"|"&amp;DATOS!$I9497)</f>
      </c>
      <c r="G9497">
        <f>IF(DATOS!$A9497="",0,IF(CONFIG_METADATA!$B$4&lt;&gt;"OR+EX",--(DATOS!$G9497=CONFIG_METADATA!$B$4),IF(DATOS!$G9497="EX",1,IF(DATOS!$G9497="OR",--(COUNTIFS(nNIA,DATOS!$A9497,nCURSO,DATOS!$D9497,nESPEC,DATOS!$E9497,nASIG,DATOS!$I9497,nEVAL,"EX")=0),0))))</f>
      </c>
      <c r="H9497">
        <f>IF(DATOS!$G9497&lt;&gt;"EX",0,--(COUNTIFS(nNIA,DATOS!$A9497,nCURSO,DATOS!$D9497,nESPEC,DATOS!$E9497,nASIG,DATOS!$I9497,nEVAL,"OR")=0))</f>
      </c>
      <c r="I9497">
        <f>IF(DATOS!$I9497="","",IFERROR(VLOOKUP(DATOS!$I9497,CONFIG_ASIGNATURAS!$B$2:$J$91,9,FALSE()),""))</f>
      </c>
    </row>
    <row r="9498">
      <c r="F9498">
        <f>IF(DATOS!$A9498="","",DATOS!$A9498&amp;"|"&amp;DATOS!$D9498&amp;"|"&amp;DATOS!$E9498&amp;"|"&amp;DATOS!$I9498)</f>
      </c>
      <c r="G9498">
        <f>IF(DATOS!$A9498="",0,IF(CONFIG_METADATA!$B$4&lt;&gt;"OR+EX",--(DATOS!$G9498=CONFIG_METADATA!$B$4),IF(DATOS!$G9498="EX",1,IF(DATOS!$G9498="OR",--(COUNTIFS(nNIA,DATOS!$A9498,nCURSO,DATOS!$D9498,nESPEC,DATOS!$E9498,nASIG,DATOS!$I9498,nEVAL,"EX")=0),0))))</f>
      </c>
      <c r="H9498">
        <f>IF(DATOS!$G9498&lt;&gt;"EX",0,--(COUNTIFS(nNIA,DATOS!$A9498,nCURSO,DATOS!$D9498,nESPEC,DATOS!$E9498,nASIG,DATOS!$I9498,nEVAL,"OR")=0))</f>
      </c>
      <c r="I9498">
        <f>IF(DATOS!$I9498="","",IFERROR(VLOOKUP(DATOS!$I9498,CONFIG_ASIGNATURAS!$B$2:$J$91,9,FALSE()),""))</f>
      </c>
    </row>
    <row r="9499">
      <c r="F9499">
        <f>IF(DATOS!$A9499="","",DATOS!$A9499&amp;"|"&amp;DATOS!$D9499&amp;"|"&amp;DATOS!$E9499&amp;"|"&amp;DATOS!$I9499)</f>
      </c>
      <c r="G9499">
        <f>IF(DATOS!$A9499="",0,IF(CONFIG_METADATA!$B$4&lt;&gt;"OR+EX",--(DATOS!$G9499=CONFIG_METADATA!$B$4),IF(DATOS!$G9499="EX",1,IF(DATOS!$G9499="OR",--(COUNTIFS(nNIA,DATOS!$A9499,nCURSO,DATOS!$D9499,nESPEC,DATOS!$E9499,nASIG,DATOS!$I9499,nEVAL,"EX")=0),0))))</f>
      </c>
      <c r="H9499">
        <f>IF(DATOS!$G9499&lt;&gt;"EX",0,--(COUNTIFS(nNIA,DATOS!$A9499,nCURSO,DATOS!$D9499,nESPEC,DATOS!$E9499,nASIG,DATOS!$I9499,nEVAL,"OR")=0))</f>
      </c>
      <c r="I9499">
        <f>IF(DATOS!$I9499="","",IFERROR(VLOOKUP(DATOS!$I9499,CONFIG_ASIGNATURAS!$B$2:$J$91,9,FALSE()),""))</f>
      </c>
    </row>
    <row r="9500">
      <c r="F9500">
        <f>IF(DATOS!$A9500="","",DATOS!$A9500&amp;"|"&amp;DATOS!$D9500&amp;"|"&amp;DATOS!$E9500&amp;"|"&amp;DATOS!$I9500)</f>
      </c>
      <c r="G9500">
        <f>IF(DATOS!$A9500="",0,IF(CONFIG_METADATA!$B$4&lt;&gt;"OR+EX",--(DATOS!$G9500=CONFIG_METADATA!$B$4),IF(DATOS!$G9500="EX",1,IF(DATOS!$G9500="OR",--(COUNTIFS(nNIA,DATOS!$A9500,nCURSO,DATOS!$D9500,nESPEC,DATOS!$E9500,nASIG,DATOS!$I9500,nEVAL,"EX")=0),0))))</f>
      </c>
      <c r="H9500">
        <f>IF(DATOS!$G9500&lt;&gt;"EX",0,--(COUNTIFS(nNIA,DATOS!$A9500,nCURSO,DATOS!$D9500,nESPEC,DATOS!$E9500,nASIG,DATOS!$I9500,nEVAL,"OR")=0))</f>
      </c>
      <c r="I9500">
        <f>IF(DATOS!$I9500="","",IFERROR(VLOOKUP(DATOS!$I9500,CONFIG_ASIGNATURAS!$B$2:$J$91,9,FALSE()),""))</f>
      </c>
    </row>
    <row r="9501">
      <c r="F9501">
        <f>IF(DATOS!$A9501="","",DATOS!$A9501&amp;"|"&amp;DATOS!$D9501&amp;"|"&amp;DATOS!$E9501&amp;"|"&amp;DATOS!$I9501)</f>
      </c>
      <c r="G9501">
        <f>IF(DATOS!$A9501="",0,IF(CONFIG_METADATA!$B$4&lt;&gt;"OR+EX",--(DATOS!$G9501=CONFIG_METADATA!$B$4),IF(DATOS!$G9501="EX",1,IF(DATOS!$G9501="OR",--(COUNTIFS(nNIA,DATOS!$A9501,nCURSO,DATOS!$D9501,nESPEC,DATOS!$E9501,nASIG,DATOS!$I9501,nEVAL,"EX")=0),0))))</f>
      </c>
      <c r="H9501">
        <f>IF(DATOS!$G9501&lt;&gt;"EX",0,--(COUNTIFS(nNIA,DATOS!$A9501,nCURSO,DATOS!$D9501,nESPEC,DATOS!$E9501,nASIG,DATOS!$I9501,nEVAL,"OR")=0))</f>
      </c>
      <c r="I9501">
        <f>IF(DATOS!$I9501="","",IFERROR(VLOOKUP(DATOS!$I9501,CONFIG_ASIGNATURAS!$B$2:$J$91,9,FALSE()),""))</f>
      </c>
    </row>
    <row r="9502">
      <c r="F9502">
        <f>IF(DATOS!$A9502="","",DATOS!$A9502&amp;"|"&amp;DATOS!$D9502&amp;"|"&amp;DATOS!$E9502&amp;"|"&amp;DATOS!$I9502)</f>
      </c>
      <c r="G9502">
        <f>IF(DATOS!$A9502="",0,IF(CONFIG_METADATA!$B$4&lt;&gt;"OR+EX",--(DATOS!$G9502=CONFIG_METADATA!$B$4),IF(DATOS!$G9502="EX",1,IF(DATOS!$G9502="OR",--(COUNTIFS(nNIA,DATOS!$A9502,nCURSO,DATOS!$D9502,nESPEC,DATOS!$E9502,nASIG,DATOS!$I9502,nEVAL,"EX")=0),0))))</f>
      </c>
      <c r="H9502">
        <f>IF(DATOS!$G9502&lt;&gt;"EX",0,--(COUNTIFS(nNIA,DATOS!$A9502,nCURSO,DATOS!$D9502,nESPEC,DATOS!$E9502,nASIG,DATOS!$I9502,nEVAL,"OR")=0))</f>
      </c>
      <c r="I9502">
        <f>IF(DATOS!$I9502="","",IFERROR(VLOOKUP(DATOS!$I9502,CONFIG_ASIGNATURAS!$B$2:$J$91,9,FALSE()),""))</f>
      </c>
    </row>
    <row r="9503">
      <c r="F9503">
        <f>IF(DATOS!$A9503="","",DATOS!$A9503&amp;"|"&amp;DATOS!$D9503&amp;"|"&amp;DATOS!$E9503&amp;"|"&amp;DATOS!$I9503)</f>
      </c>
      <c r="G9503">
        <f>IF(DATOS!$A9503="",0,IF(CONFIG_METADATA!$B$4&lt;&gt;"OR+EX",--(DATOS!$G9503=CONFIG_METADATA!$B$4),IF(DATOS!$G9503="EX",1,IF(DATOS!$G9503="OR",--(COUNTIFS(nNIA,DATOS!$A9503,nCURSO,DATOS!$D9503,nESPEC,DATOS!$E9503,nASIG,DATOS!$I9503,nEVAL,"EX")=0),0))))</f>
      </c>
      <c r="H9503">
        <f>IF(DATOS!$G9503&lt;&gt;"EX",0,--(COUNTIFS(nNIA,DATOS!$A9503,nCURSO,DATOS!$D9503,nESPEC,DATOS!$E9503,nASIG,DATOS!$I9503,nEVAL,"OR")=0))</f>
      </c>
      <c r="I9503">
        <f>IF(DATOS!$I9503="","",IFERROR(VLOOKUP(DATOS!$I9503,CONFIG_ASIGNATURAS!$B$2:$J$91,9,FALSE()),""))</f>
      </c>
    </row>
    <row r="9504">
      <c r="F9504">
        <f>IF(DATOS!$A9504="","",DATOS!$A9504&amp;"|"&amp;DATOS!$D9504&amp;"|"&amp;DATOS!$E9504&amp;"|"&amp;DATOS!$I9504)</f>
      </c>
      <c r="G9504">
        <f>IF(DATOS!$A9504="",0,IF(CONFIG_METADATA!$B$4&lt;&gt;"OR+EX",--(DATOS!$G9504=CONFIG_METADATA!$B$4),IF(DATOS!$G9504="EX",1,IF(DATOS!$G9504="OR",--(COUNTIFS(nNIA,DATOS!$A9504,nCURSO,DATOS!$D9504,nESPEC,DATOS!$E9504,nASIG,DATOS!$I9504,nEVAL,"EX")=0),0))))</f>
      </c>
      <c r="H9504">
        <f>IF(DATOS!$G9504&lt;&gt;"EX",0,--(COUNTIFS(nNIA,DATOS!$A9504,nCURSO,DATOS!$D9504,nESPEC,DATOS!$E9504,nASIG,DATOS!$I9504,nEVAL,"OR")=0))</f>
      </c>
      <c r="I9504">
        <f>IF(DATOS!$I9504="","",IFERROR(VLOOKUP(DATOS!$I9504,CONFIG_ASIGNATURAS!$B$2:$J$91,9,FALSE()),""))</f>
      </c>
    </row>
    <row r="9505">
      <c r="F9505">
        <f>IF(DATOS!$A9505="","",DATOS!$A9505&amp;"|"&amp;DATOS!$D9505&amp;"|"&amp;DATOS!$E9505&amp;"|"&amp;DATOS!$I9505)</f>
      </c>
      <c r="G9505">
        <f>IF(DATOS!$A9505="",0,IF(CONFIG_METADATA!$B$4&lt;&gt;"OR+EX",--(DATOS!$G9505=CONFIG_METADATA!$B$4),IF(DATOS!$G9505="EX",1,IF(DATOS!$G9505="OR",--(COUNTIFS(nNIA,DATOS!$A9505,nCURSO,DATOS!$D9505,nESPEC,DATOS!$E9505,nASIG,DATOS!$I9505,nEVAL,"EX")=0),0))))</f>
      </c>
      <c r="H9505">
        <f>IF(DATOS!$G9505&lt;&gt;"EX",0,--(COUNTIFS(nNIA,DATOS!$A9505,nCURSO,DATOS!$D9505,nESPEC,DATOS!$E9505,nASIG,DATOS!$I9505,nEVAL,"OR")=0))</f>
      </c>
      <c r="I9505">
        <f>IF(DATOS!$I9505="","",IFERROR(VLOOKUP(DATOS!$I9505,CONFIG_ASIGNATURAS!$B$2:$J$91,9,FALSE()),""))</f>
      </c>
    </row>
    <row r="9506">
      <c r="F9506">
        <f>IF(DATOS!$A9506="","",DATOS!$A9506&amp;"|"&amp;DATOS!$D9506&amp;"|"&amp;DATOS!$E9506&amp;"|"&amp;DATOS!$I9506)</f>
      </c>
      <c r="G9506">
        <f>IF(DATOS!$A9506="",0,IF(CONFIG_METADATA!$B$4&lt;&gt;"OR+EX",--(DATOS!$G9506=CONFIG_METADATA!$B$4),IF(DATOS!$G9506="EX",1,IF(DATOS!$G9506="OR",--(COUNTIFS(nNIA,DATOS!$A9506,nCURSO,DATOS!$D9506,nESPEC,DATOS!$E9506,nASIG,DATOS!$I9506,nEVAL,"EX")=0),0))))</f>
      </c>
      <c r="H9506">
        <f>IF(DATOS!$G9506&lt;&gt;"EX",0,--(COUNTIFS(nNIA,DATOS!$A9506,nCURSO,DATOS!$D9506,nESPEC,DATOS!$E9506,nASIG,DATOS!$I9506,nEVAL,"OR")=0))</f>
      </c>
      <c r="I9506">
        <f>IF(DATOS!$I9506="","",IFERROR(VLOOKUP(DATOS!$I9506,CONFIG_ASIGNATURAS!$B$2:$J$91,9,FALSE()),""))</f>
      </c>
    </row>
    <row r="9507">
      <c r="F9507">
        <f>IF(DATOS!$A9507="","",DATOS!$A9507&amp;"|"&amp;DATOS!$D9507&amp;"|"&amp;DATOS!$E9507&amp;"|"&amp;DATOS!$I9507)</f>
      </c>
      <c r="G9507">
        <f>IF(DATOS!$A9507="",0,IF(CONFIG_METADATA!$B$4&lt;&gt;"OR+EX",--(DATOS!$G9507=CONFIG_METADATA!$B$4),IF(DATOS!$G9507="EX",1,IF(DATOS!$G9507="OR",--(COUNTIFS(nNIA,DATOS!$A9507,nCURSO,DATOS!$D9507,nESPEC,DATOS!$E9507,nASIG,DATOS!$I9507,nEVAL,"EX")=0),0))))</f>
      </c>
      <c r="H9507">
        <f>IF(DATOS!$G9507&lt;&gt;"EX",0,--(COUNTIFS(nNIA,DATOS!$A9507,nCURSO,DATOS!$D9507,nESPEC,DATOS!$E9507,nASIG,DATOS!$I9507,nEVAL,"OR")=0))</f>
      </c>
      <c r="I9507">
        <f>IF(DATOS!$I9507="","",IFERROR(VLOOKUP(DATOS!$I9507,CONFIG_ASIGNATURAS!$B$2:$J$91,9,FALSE()),""))</f>
      </c>
    </row>
    <row r="9508">
      <c r="F9508">
        <f>IF(DATOS!$A9508="","",DATOS!$A9508&amp;"|"&amp;DATOS!$D9508&amp;"|"&amp;DATOS!$E9508&amp;"|"&amp;DATOS!$I9508)</f>
      </c>
      <c r="G9508">
        <f>IF(DATOS!$A9508="",0,IF(CONFIG_METADATA!$B$4&lt;&gt;"OR+EX",--(DATOS!$G9508=CONFIG_METADATA!$B$4),IF(DATOS!$G9508="EX",1,IF(DATOS!$G9508="OR",--(COUNTIFS(nNIA,DATOS!$A9508,nCURSO,DATOS!$D9508,nESPEC,DATOS!$E9508,nASIG,DATOS!$I9508,nEVAL,"EX")=0),0))))</f>
      </c>
      <c r="H9508">
        <f>IF(DATOS!$G9508&lt;&gt;"EX",0,--(COUNTIFS(nNIA,DATOS!$A9508,nCURSO,DATOS!$D9508,nESPEC,DATOS!$E9508,nASIG,DATOS!$I9508,nEVAL,"OR")=0))</f>
      </c>
      <c r="I9508">
        <f>IF(DATOS!$I9508="","",IFERROR(VLOOKUP(DATOS!$I9508,CONFIG_ASIGNATURAS!$B$2:$J$91,9,FALSE()),""))</f>
      </c>
    </row>
    <row r="9509">
      <c r="F9509">
        <f>IF(DATOS!$A9509="","",DATOS!$A9509&amp;"|"&amp;DATOS!$D9509&amp;"|"&amp;DATOS!$E9509&amp;"|"&amp;DATOS!$I9509)</f>
      </c>
      <c r="G9509">
        <f>IF(DATOS!$A9509="",0,IF(CONFIG_METADATA!$B$4&lt;&gt;"OR+EX",--(DATOS!$G9509=CONFIG_METADATA!$B$4),IF(DATOS!$G9509="EX",1,IF(DATOS!$G9509="OR",--(COUNTIFS(nNIA,DATOS!$A9509,nCURSO,DATOS!$D9509,nESPEC,DATOS!$E9509,nASIG,DATOS!$I9509,nEVAL,"EX")=0),0))))</f>
      </c>
      <c r="H9509">
        <f>IF(DATOS!$G9509&lt;&gt;"EX",0,--(COUNTIFS(nNIA,DATOS!$A9509,nCURSO,DATOS!$D9509,nESPEC,DATOS!$E9509,nASIG,DATOS!$I9509,nEVAL,"OR")=0))</f>
      </c>
      <c r="I9509">
        <f>IF(DATOS!$I9509="","",IFERROR(VLOOKUP(DATOS!$I9509,CONFIG_ASIGNATURAS!$B$2:$J$91,9,FALSE()),""))</f>
      </c>
    </row>
    <row r="9510">
      <c r="F9510">
        <f>IF(DATOS!$A9510="","",DATOS!$A9510&amp;"|"&amp;DATOS!$D9510&amp;"|"&amp;DATOS!$E9510&amp;"|"&amp;DATOS!$I9510)</f>
      </c>
      <c r="G9510">
        <f>IF(DATOS!$A9510="",0,IF(CONFIG_METADATA!$B$4&lt;&gt;"OR+EX",--(DATOS!$G9510=CONFIG_METADATA!$B$4),IF(DATOS!$G9510="EX",1,IF(DATOS!$G9510="OR",--(COUNTIFS(nNIA,DATOS!$A9510,nCURSO,DATOS!$D9510,nESPEC,DATOS!$E9510,nASIG,DATOS!$I9510,nEVAL,"EX")=0),0))))</f>
      </c>
      <c r="H9510">
        <f>IF(DATOS!$G9510&lt;&gt;"EX",0,--(COUNTIFS(nNIA,DATOS!$A9510,nCURSO,DATOS!$D9510,nESPEC,DATOS!$E9510,nASIG,DATOS!$I9510,nEVAL,"OR")=0))</f>
      </c>
      <c r="I9510">
        <f>IF(DATOS!$I9510="","",IFERROR(VLOOKUP(DATOS!$I9510,CONFIG_ASIGNATURAS!$B$2:$J$91,9,FALSE()),""))</f>
      </c>
    </row>
    <row r="9511">
      <c r="F9511">
        <f>IF(DATOS!$A9511="","",DATOS!$A9511&amp;"|"&amp;DATOS!$D9511&amp;"|"&amp;DATOS!$E9511&amp;"|"&amp;DATOS!$I9511)</f>
      </c>
      <c r="G9511">
        <f>IF(DATOS!$A9511="",0,IF(CONFIG_METADATA!$B$4&lt;&gt;"OR+EX",--(DATOS!$G9511=CONFIG_METADATA!$B$4),IF(DATOS!$G9511="EX",1,IF(DATOS!$G9511="OR",--(COUNTIFS(nNIA,DATOS!$A9511,nCURSO,DATOS!$D9511,nESPEC,DATOS!$E9511,nASIG,DATOS!$I9511,nEVAL,"EX")=0),0))))</f>
      </c>
      <c r="H9511">
        <f>IF(DATOS!$G9511&lt;&gt;"EX",0,--(COUNTIFS(nNIA,DATOS!$A9511,nCURSO,DATOS!$D9511,nESPEC,DATOS!$E9511,nASIG,DATOS!$I9511,nEVAL,"OR")=0))</f>
      </c>
      <c r="I9511">
        <f>IF(DATOS!$I9511="","",IFERROR(VLOOKUP(DATOS!$I9511,CONFIG_ASIGNATURAS!$B$2:$J$91,9,FALSE()),""))</f>
      </c>
    </row>
    <row r="9512">
      <c r="F9512">
        <f>IF(DATOS!$A9512="","",DATOS!$A9512&amp;"|"&amp;DATOS!$D9512&amp;"|"&amp;DATOS!$E9512&amp;"|"&amp;DATOS!$I9512)</f>
      </c>
      <c r="G9512">
        <f>IF(DATOS!$A9512="",0,IF(CONFIG_METADATA!$B$4&lt;&gt;"OR+EX",--(DATOS!$G9512=CONFIG_METADATA!$B$4),IF(DATOS!$G9512="EX",1,IF(DATOS!$G9512="OR",--(COUNTIFS(nNIA,DATOS!$A9512,nCURSO,DATOS!$D9512,nESPEC,DATOS!$E9512,nASIG,DATOS!$I9512,nEVAL,"EX")=0),0))))</f>
      </c>
      <c r="H9512">
        <f>IF(DATOS!$G9512&lt;&gt;"EX",0,--(COUNTIFS(nNIA,DATOS!$A9512,nCURSO,DATOS!$D9512,nESPEC,DATOS!$E9512,nASIG,DATOS!$I9512,nEVAL,"OR")=0))</f>
      </c>
      <c r="I9512">
        <f>IF(DATOS!$I9512="","",IFERROR(VLOOKUP(DATOS!$I9512,CONFIG_ASIGNATURAS!$B$2:$J$91,9,FALSE()),""))</f>
      </c>
    </row>
    <row r="9513">
      <c r="F9513">
        <f>IF(DATOS!$A9513="","",DATOS!$A9513&amp;"|"&amp;DATOS!$D9513&amp;"|"&amp;DATOS!$E9513&amp;"|"&amp;DATOS!$I9513)</f>
      </c>
      <c r="G9513">
        <f>IF(DATOS!$A9513="",0,IF(CONFIG_METADATA!$B$4&lt;&gt;"OR+EX",--(DATOS!$G9513=CONFIG_METADATA!$B$4),IF(DATOS!$G9513="EX",1,IF(DATOS!$G9513="OR",--(COUNTIFS(nNIA,DATOS!$A9513,nCURSO,DATOS!$D9513,nESPEC,DATOS!$E9513,nASIG,DATOS!$I9513,nEVAL,"EX")=0),0))))</f>
      </c>
      <c r="H9513">
        <f>IF(DATOS!$G9513&lt;&gt;"EX",0,--(COUNTIFS(nNIA,DATOS!$A9513,nCURSO,DATOS!$D9513,nESPEC,DATOS!$E9513,nASIG,DATOS!$I9513,nEVAL,"OR")=0))</f>
      </c>
      <c r="I9513">
        <f>IF(DATOS!$I9513="","",IFERROR(VLOOKUP(DATOS!$I9513,CONFIG_ASIGNATURAS!$B$2:$J$91,9,FALSE()),""))</f>
      </c>
    </row>
    <row r="9514">
      <c r="F9514">
        <f>IF(DATOS!$A9514="","",DATOS!$A9514&amp;"|"&amp;DATOS!$D9514&amp;"|"&amp;DATOS!$E9514&amp;"|"&amp;DATOS!$I9514)</f>
      </c>
      <c r="G9514">
        <f>IF(DATOS!$A9514="",0,IF(CONFIG_METADATA!$B$4&lt;&gt;"OR+EX",--(DATOS!$G9514=CONFIG_METADATA!$B$4),IF(DATOS!$G9514="EX",1,IF(DATOS!$G9514="OR",--(COUNTIFS(nNIA,DATOS!$A9514,nCURSO,DATOS!$D9514,nESPEC,DATOS!$E9514,nASIG,DATOS!$I9514,nEVAL,"EX")=0),0))))</f>
      </c>
      <c r="H9514">
        <f>IF(DATOS!$G9514&lt;&gt;"EX",0,--(COUNTIFS(nNIA,DATOS!$A9514,nCURSO,DATOS!$D9514,nESPEC,DATOS!$E9514,nASIG,DATOS!$I9514,nEVAL,"OR")=0))</f>
      </c>
      <c r="I9514">
        <f>IF(DATOS!$I9514="","",IFERROR(VLOOKUP(DATOS!$I9514,CONFIG_ASIGNATURAS!$B$2:$J$91,9,FALSE()),""))</f>
      </c>
    </row>
    <row r="9515">
      <c r="F9515">
        <f>IF(DATOS!$A9515="","",DATOS!$A9515&amp;"|"&amp;DATOS!$D9515&amp;"|"&amp;DATOS!$E9515&amp;"|"&amp;DATOS!$I9515)</f>
      </c>
      <c r="G9515">
        <f>IF(DATOS!$A9515="",0,IF(CONFIG_METADATA!$B$4&lt;&gt;"OR+EX",--(DATOS!$G9515=CONFIG_METADATA!$B$4),IF(DATOS!$G9515="EX",1,IF(DATOS!$G9515="OR",--(COUNTIFS(nNIA,DATOS!$A9515,nCURSO,DATOS!$D9515,nESPEC,DATOS!$E9515,nASIG,DATOS!$I9515,nEVAL,"EX")=0),0))))</f>
      </c>
      <c r="H9515">
        <f>IF(DATOS!$G9515&lt;&gt;"EX",0,--(COUNTIFS(nNIA,DATOS!$A9515,nCURSO,DATOS!$D9515,nESPEC,DATOS!$E9515,nASIG,DATOS!$I9515,nEVAL,"OR")=0))</f>
      </c>
      <c r="I9515">
        <f>IF(DATOS!$I9515="","",IFERROR(VLOOKUP(DATOS!$I9515,CONFIG_ASIGNATURAS!$B$2:$J$91,9,FALSE()),""))</f>
      </c>
    </row>
    <row r="9516">
      <c r="F9516">
        <f>IF(DATOS!$A9516="","",DATOS!$A9516&amp;"|"&amp;DATOS!$D9516&amp;"|"&amp;DATOS!$E9516&amp;"|"&amp;DATOS!$I9516)</f>
      </c>
      <c r="G9516">
        <f>IF(DATOS!$A9516="",0,IF(CONFIG_METADATA!$B$4&lt;&gt;"OR+EX",--(DATOS!$G9516=CONFIG_METADATA!$B$4),IF(DATOS!$G9516="EX",1,IF(DATOS!$G9516="OR",--(COUNTIFS(nNIA,DATOS!$A9516,nCURSO,DATOS!$D9516,nESPEC,DATOS!$E9516,nASIG,DATOS!$I9516,nEVAL,"EX")=0),0))))</f>
      </c>
      <c r="H9516">
        <f>IF(DATOS!$G9516&lt;&gt;"EX",0,--(COUNTIFS(nNIA,DATOS!$A9516,nCURSO,DATOS!$D9516,nESPEC,DATOS!$E9516,nASIG,DATOS!$I9516,nEVAL,"OR")=0))</f>
      </c>
      <c r="I9516">
        <f>IF(DATOS!$I9516="","",IFERROR(VLOOKUP(DATOS!$I9516,CONFIG_ASIGNATURAS!$B$2:$J$91,9,FALSE()),""))</f>
      </c>
    </row>
    <row r="9517">
      <c r="F9517">
        <f>IF(DATOS!$A9517="","",DATOS!$A9517&amp;"|"&amp;DATOS!$D9517&amp;"|"&amp;DATOS!$E9517&amp;"|"&amp;DATOS!$I9517)</f>
      </c>
      <c r="G9517">
        <f>IF(DATOS!$A9517="",0,IF(CONFIG_METADATA!$B$4&lt;&gt;"OR+EX",--(DATOS!$G9517=CONFIG_METADATA!$B$4),IF(DATOS!$G9517="EX",1,IF(DATOS!$G9517="OR",--(COUNTIFS(nNIA,DATOS!$A9517,nCURSO,DATOS!$D9517,nESPEC,DATOS!$E9517,nASIG,DATOS!$I9517,nEVAL,"EX")=0),0))))</f>
      </c>
      <c r="H9517">
        <f>IF(DATOS!$G9517&lt;&gt;"EX",0,--(COUNTIFS(nNIA,DATOS!$A9517,nCURSO,DATOS!$D9517,nESPEC,DATOS!$E9517,nASIG,DATOS!$I9517,nEVAL,"OR")=0))</f>
      </c>
      <c r="I9517">
        <f>IF(DATOS!$I9517="","",IFERROR(VLOOKUP(DATOS!$I9517,CONFIG_ASIGNATURAS!$B$2:$J$91,9,FALSE()),""))</f>
      </c>
    </row>
    <row r="9518">
      <c r="F9518">
        <f>IF(DATOS!$A9518="","",DATOS!$A9518&amp;"|"&amp;DATOS!$D9518&amp;"|"&amp;DATOS!$E9518&amp;"|"&amp;DATOS!$I9518)</f>
      </c>
      <c r="G9518">
        <f>IF(DATOS!$A9518="",0,IF(CONFIG_METADATA!$B$4&lt;&gt;"OR+EX",--(DATOS!$G9518=CONFIG_METADATA!$B$4),IF(DATOS!$G9518="EX",1,IF(DATOS!$G9518="OR",--(COUNTIFS(nNIA,DATOS!$A9518,nCURSO,DATOS!$D9518,nESPEC,DATOS!$E9518,nASIG,DATOS!$I9518,nEVAL,"EX")=0),0))))</f>
      </c>
      <c r="H9518">
        <f>IF(DATOS!$G9518&lt;&gt;"EX",0,--(COUNTIFS(nNIA,DATOS!$A9518,nCURSO,DATOS!$D9518,nESPEC,DATOS!$E9518,nASIG,DATOS!$I9518,nEVAL,"OR")=0))</f>
      </c>
      <c r="I9518">
        <f>IF(DATOS!$I9518="","",IFERROR(VLOOKUP(DATOS!$I9518,CONFIG_ASIGNATURAS!$B$2:$J$91,9,FALSE()),""))</f>
      </c>
    </row>
    <row r="9519">
      <c r="F9519">
        <f>IF(DATOS!$A9519="","",DATOS!$A9519&amp;"|"&amp;DATOS!$D9519&amp;"|"&amp;DATOS!$E9519&amp;"|"&amp;DATOS!$I9519)</f>
      </c>
      <c r="G9519">
        <f>IF(DATOS!$A9519="",0,IF(CONFIG_METADATA!$B$4&lt;&gt;"OR+EX",--(DATOS!$G9519=CONFIG_METADATA!$B$4),IF(DATOS!$G9519="EX",1,IF(DATOS!$G9519="OR",--(COUNTIFS(nNIA,DATOS!$A9519,nCURSO,DATOS!$D9519,nESPEC,DATOS!$E9519,nASIG,DATOS!$I9519,nEVAL,"EX")=0),0))))</f>
      </c>
      <c r="H9519">
        <f>IF(DATOS!$G9519&lt;&gt;"EX",0,--(COUNTIFS(nNIA,DATOS!$A9519,nCURSO,DATOS!$D9519,nESPEC,DATOS!$E9519,nASIG,DATOS!$I9519,nEVAL,"OR")=0))</f>
      </c>
      <c r="I9519">
        <f>IF(DATOS!$I9519="","",IFERROR(VLOOKUP(DATOS!$I9519,CONFIG_ASIGNATURAS!$B$2:$J$91,9,FALSE()),""))</f>
      </c>
    </row>
    <row r="9520">
      <c r="F9520">
        <f>IF(DATOS!$A9520="","",DATOS!$A9520&amp;"|"&amp;DATOS!$D9520&amp;"|"&amp;DATOS!$E9520&amp;"|"&amp;DATOS!$I9520)</f>
      </c>
      <c r="G9520">
        <f>IF(DATOS!$A9520="",0,IF(CONFIG_METADATA!$B$4&lt;&gt;"OR+EX",--(DATOS!$G9520=CONFIG_METADATA!$B$4),IF(DATOS!$G9520="EX",1,IF(DATOS!$G9520="OR",--(COUNTIFS(nNIA,DATOS!$A9520,nCURSO,DATOS!$D9520,nESPEC,DATOS!$E9520,nASIG,DATOS!$I9520,nEVAL,"EX")=0),0))))</f>
      </c>
      <c r="H9520">
        <f>IF(DATOS!$G9520&lt;&gt;"EX",0,--(COUNTIFS(nNIA,DATOS!$A9520,nCURSO,DATOS!$D9520,nESPEC,DATOS!$E9520,nASIG,DATOS!$I9520,nEVAL,"OR")=0))</f>
      </c>
      <c r="I9520">
        <f>IF(DATOS!$I9520="","",IFERROR(VLOOKUP(DATOS!$I9520,CONFIG_ASIGNATURAS!$B$2:$J$91,9,FALSE()),""))</f>
      </c>
    </row>
    <row r="9521">
      <c r="F9521">
        <f>IF(DATOS!$A9521="","",DATOS!$A9521&amp;"|"&amp;DATOS!$D9521&amp;"|"&amp;DATOS!$E9521&amp;"|"&amp;DATOS!$I9521)</f>
      </c>
      <c r="G9521">
        <f>IF(DATOS!$A9521="",0,IF(CONFIG_METADATA!$B$4&lt;&gt;"OR+EX",--(DATOS!$G9521=CONFIG_METADATA!$B$4),IF(DATOS!$G9521="EX",1,IF(DATOS!$G9521="OR",--(COUNTIFS(nNIA,DATOS!$A9521,nCURSO,DATOS!$D9521,nESPEC,DATOS!$E9521,nASIG,DATOS!$I9521,nEVAL,"EX")=0),0))))</f>
      </c>
      <c r="H9521">
        <f>IF(DATOS!$G9521&lt;&gt;"EX",0,--(COUNTIFS(nNIA,DATOS!$A9521,nCURSO,DATOS!$D9521,nESPEC,DATOS!$E9521,nASIG,DATOS!$I9521,nEVAL,"OR")=0))</f>
      </c>
      <c r="I9521">
        <f>IF(DATOS!$I9521="","",IFERROR(VLOOKUP(DATOS!$I9521,CONFIG_ASIGNATURAS!$B$2:$J$91,9,FALSE()),""))</f>
      </c>
    </row>
    <row r="9522">
      <c r="F9522">
        <f>IF(DATOS!$A9522="","",DATOS!$A9522&amp;"|"&amp;DATOS!$D9522&amp;"|"&amp;DATOS!$E9522&amp;"|"&amp;DATOS!$I9522)</f>
      </c>
      <c r="G9522">
        <f>IF(DATOS!$A9522="",0,IF(CONFIG_METADATA!$B$4&lt;&gt;"OR+EX",--(DATOS!$G9522=CONFIG_METADATA!$B$4),IF(DATOS!$G9522="EX",1,IF(DATOS!$G9522="OR",--(COUNTIFS(nNIA,DATOS!$A9522,nCURSO,DATOS!$D9522,nESPEC,DATOS!$E9522,nASIG,DATOS!$I9522,nEVAL,"EX")=0),0))))</f>
      </c>
      <c r="H9522">
        <f>IF(DATOS!$G9522&lt;&gt;"EX",0,--(COUNTIFS(nNIA,DATOS!$A9522,nCURSO,DATOS!$D9522,nESPEC,DATOS!$E9522,nASIG,DATOS!$I9522,nEVAL,"OR")=0))</f>
      </c>
      <c r="I9522">
        <f>IF(DATOS!$I9522="","",IFERROR(VLOOKUP(DATOS!$I9522,CONFIG_ASIGNATURAS!$B$2:$J$91,9,FALSE()),""))</f>
      </c>
    </row>
    <row r="9523">
      <c r="F9523">
        <f>IF(DATOS!$A9523="","",DATOS!$A9523&amp;"|"&amp;DATOS!$D9523&amp;"|"&amp;DATOS!$E9523&amp;"|"&amp;DATOS!$I9523)</f>
      </c>
      <c r="G9523">
        <f>IF(DATOS!$A9523="",0,IF(CONFIG_METADATA!$B$4&lt;&gt;"OR+EX",--(DATOS!$G9523=CONFIG_METADATA!$B$4),IF(DATOS!$G9523="EX",1,IF(DATOS!$G9523="OR",--(COUNTIFS(nNIA,DATOS!$A9523,nCURSO,DATOS!$D9523,nESPEC,DATOS!$E9523,nASIG,DATOS!$I9523,nEVAL,"EX")=0),0))))</f>
      </c>
      <c r="H9523">
        <f>IF(DATOS!$G9523&lt;&gt;"EX",0,--(COUNTIFS(nNIA,DATOS!$A9523,nCURSO,DATOS!$D9523,nESPEC,DATOS!$E9523,nASIG,DATOS!$I9523,nEVAL,"OR")=0))</f>
      </c>
      <c r="I9523">
        <f>IF(DATOS!$I9523="","",IFERROR(VLOOKUP(DATOS!$I9523,CONFIG_ASIGNATURAS!$B$2:$J$91,9,FALSE()),""))</f>
      </c>
    </row>
    <row r="9524">
      <c r="F9524">
        <f>IF(DATOS!$A9524="","",DATOS!$A9524&amp;"|"&amp;DATOS!$D9524&amp;"|"&amp;DATOS!$E9524&amp;"|"&amp;DATOS!$I9524)</f>
      </c>
      <c r="G9524">
        <f>IF(DATOS!$A9524="",0,IF(CONFIG_METADATA!$B$4&lt;&gt;"OR+EX",--(DATOS!$G9524=CONFIG_METADATA!$B$4),IF(DATOS!$G9524="EX",1,IF(DATOS!$G9524="OR",--(COUNTIFS(nNIA,DATOS!$A9524,nCURSO,DATOS!$D9524,nESPEC,DATOS!$E9524,nASIG,DATOS!$I9524,nEVAL,"EX")=0),0))))</f>
      </c>
      <c r="H9524">
        <f>IF(DATOS!$G9524&lt;&gt;"EX",0,--(COUNTIFS(nNIA,DATOS!$A9524,nCURSO,DATOS!$D9524,nESPEC,DATOS!$E9524,nASIG,DATOS!$I9524,nEVAL,"OR")=0))</f>
      </c>
      <c r="I9524">
        <f>IF(DATOS!$I9524="","",IFERROR(VLOOKUP(DATOS!$I9524,CONFIG_ASIGNATURAS!$B$2:$J$91,9,FALSE()),""))</f>
      </c>
    </row>
    <row r="9525">
      <c r="F9525">
        <f>IF(DATOS!$A9525="","",DATOS!$A9525&amp;"|"&amp;DATOS!$D9525&amp;"|"&amp;DATOS!$E9525&amp;"|"&amp;DATOS!$I9525)</f>
      </c>
      <c r="G9525">
        <f>IF(DATOS!$A9525="",0,IF(CONFIG_METADATA!$B$4&lt;&gt;"OR+EX",--(DATOS!$G9525=CONFIG_METADATA!$B$4),IF(DATOS!$G9525="EX",1,IF(DATOS!$G9525="OR",--(COUNTIFS(nNIA,DATOS!$A9525,nCURSO,DATOS!$D9525,nESPEC,DATOS!$E9525,nASIG,DATOS!$I9525,nEVAL,"EX")=0),0))))</f>
      </c>
      <c r="H9525">
        <f>IF(DATOS!$G9525&lt;&gt;"EX",0,--(COUNTIFS(nNIA,DATOS!$A9525,nCURSO,DATOS!$D9525,nESPEC,DATOS!$E9525,nASIG,DATOS!$I9525,nEVAL,"OR")=0))</f>
      </c>
      <c r="I9525">
        <f>IF(DATOS!$I9525="","",IFERROR(VLOOKUP(DATOS!$I9525,CONFIG_ASIGNATURAS!$B$2:$J$91,9,FALSE()),""))</f>
      </c>
    </row>
    <row r="9526">
      <c r="F9526">
        <f>IF(DATOS!$A9526="","",DATOS!$A9526&amp;"|"&amp;DATOS!$D9526&amp;"|"&amp;DATOS!$E9526&amp;"|"&amp;DATOS!$I9526)</f>
      </c>
      <c r="G9526">
        <f>IF(DATOS!$A9526="",0,IF(CONFIG_METADATA!$B$4&lt;&gt;"OR+EX",--(DATOS!$G9526=CONFIG_METADATA!$B$4),IF(DATOS!$G9526="EX",1,IF(DATOS!$G9526="OR",--(COUNTIFS(nNIA,DATOS!$A9526,nCURSO,DATOS!$D9526,nESPEC,DATOS!$E9526,nASIG,DATOS!$I9526,nEVAL,"EX")=0),0))))</f>
      </c>
      <c r="H9526">
        <f>IF(DATOS!$G9526&lt;&gt;"EX",0,--(COUNTIFS(nNIA,DATOS!$A9526,nCURSO,DATOS!$D9526,nESPEC,DATOS!$E9526,nASIG,DATOS!$I9526,nEVAL,"OR")=0))</f>
      </c>
      <c r="I9526">
        <f>IF(DATOS!$I9526="","",IFERROR(VLOOKUP(DATOS!$I9526,CONFIG_ASIGNATURAS!$B$2:$J$91,9,FALSE()),""))</f>
      </c>
    </row>
    <row r="9527">
      <c r="F9527">
        <f>IF(DATOS!$A9527="","",DATOS!$A9527&amp;"|"&amp;DATOS!$D9527&amp;"|"&amp;DATOS!$E9527&amp;"|"&amp;DATOS!$I9527)</f>
      </c>
      <c r="G9527">
        <f>IF(DATOS!$A9527="",0,IF(CONFIG_METADATA!$B$4&lt;&gt;"OR+EX",--(DATOS!$G9527=CONFIG_METADATA!$B$4),IF(DATOS!$G9527="EX",1,IF(DATOS!$G9527="OR",--(COUNTIFS(nNIA,DATOS!$A9527,nCURSO,DATOS!$D9527,nESPEC,DATOS!$E9527,nASIG,DATOS!$I9527,nEVAL,"EX")=0),0))))</f>
      </c>
      <c r="H9527">
        <f>IF(DATOS!$G9527&lt;&gt;"EX",0,--(COUNTIFS(nNIA,DATOS!$A9527,nCURSO,DATOS!$D9527,nESPEC,DATOS!$E9527,nASIG,DATOS!$I9527,nEVAL,"OR")=0))</f>
      </c>
      <c r="I9527">
        <f>IF(DATOS!$I9527="","",IFERROR(VLOOKUP(DATOS!$I9527,CONFIG_ASIGNATURAS!$B$2:$J$91,9,FALSE()),""))</f>
      </c>
    </row>
    <row r="9528">
      <c r="F9528">
        <f>IF(DATOS!$A9528="","",DATOS!$A9528&amp;"|"&amp;DATOS!$D9528&amp;"|"&amp;DATOS!$E9528&amp;"|"&amp;DATOS!$I9528)</f>
      </c>
      <c r="G9528">
        <f>IF(DATOS!$A9528="",0,IF(CONFIG_METADATA!$B$4&lt;&gt;"OR+EX",--(DATOS!$G9528=CONFIG_METADATA!$B$4),IF(DATOS!$G9528="EX",1,IF(DATOS!$G9528="OR",--(COUNTIFS(nNIA,DATOS!$A9528,nCURSO,DATOS!$D9528,nESPEC,DATOS!$E9528,nASIG,DATOS!$I9528,nEVAL,"EX")=0),0))))</f>
      </c>
      <c r="H9528">
        <f>IF(DATOS!$G9528&lt;&gt;"EX",0,--(COUNTIFS(nNIA,DATOS!$A9528,nCURSO,DATOS!$D9528,nESPEC,DATOS!$E9528,nASIG,DATOS!$I9528,nEVAL,"OR")=0))</f>
      </c>
      <c r="I9528">
        <f>IF(DATOS!$I9528="","",IFERROR(VLOOKUP(DATOS!$I9528,CONFIG_ASIGNATURAS!$B$2:$J$91,9,FALSE()),""))</f>
      </c>
    </row>
    <row r="9529">
      <c r="F9529">
        <f>IF(DATOS!$A9529="","",DATOS!$A9529&amp;"|"&amp;DATOS!$D9529&amp;"|"&amp;DATOS!$E9529&amp;"|"&amp;DATOS!$I9529)</f>
      </c>
      <c r="G9529">
        <f>IF(DATOS!$A9529="",0,IF(CONFIG_METADATA!$B$4&lt;&gt;"OR+EX",--(DATOS!$G9529=CONFIG_METADATA!$B$4),IF(DATOS!$G9529="EX",1,IF(DATOS!$G9529="OR",--(COUNTIFS(nNIA,DATOS!$A9529,nCURSO,DATOS!$D9529,nESPEC,DATOS!$E9529,nASIG,DATOS!$I9529,nEVAL,"EX")=0),0))))</f>
      </c>
      <c r="H9529">
        <f>IF(DATOS!$G9529&lt;&gt;"EX",0,--(COUNTIFS(nNIA,DATOS!$A9529,nCURSO,DATOS!$D9529,nESPEC,DATOS!$E9529,nASIG,DATOS!$I9529,nEVAL,"OR")=0))</f>
      </c>
      <c r="I9529">
        <f>IF(DATOS!$I9529="","",IFERROR(VLOOKUP(DATOS!$I9529,CONFIG_ASIGNATURAS!$B$2:$J$91,9,FALSE()),""))</f>
      </c>
    </row>
    <row r="9530">
      <c r="F9530">
        <f>IF(DATOS!$A9530="","",DATOS!$A9530&amp;"|"&amp;DATOS!$D9530&amp;"|"&amp;DATOS!$E9530&amp;"|"&amp;DATOS!$I9530)</f>
      </c>
      <c r="G9530">
        <f>IF(DATOS!$A9530="",0,IF(CONFIG_METADATA!$B$4&lt;&gt;"OR+EX",--(DATOS!$G9530=CONFIG_METADATA!$B$4),IF(DATOS!$G9530="EX",1,IF(DATOS!$G9530="OR",--(COUNTIFS(nNIA,DATOS!$A9530,nCURSO,DATOS!$D9530,nESPEC,DATOS!$E9530,nASIG,DATOS!$I9530,nEVAL,"EX")=0),0))))</f>
      </c>
      <c r="H9530">
        <f>IF(DATOS!$G9530&lt;&gt;"EX",0,--(COUNTIFS(nNIA,DATOS!$A9530,nCURSO,DATOS!$D9530,nESPEC,DATOS!$E9530,nASIG,DATOS!$I9530,nEVAL,"OR")=0))</f>
      </c>
      <c r="I9530">
        <f>IF(DATOS!$I9530="","",IFERROR(VLOOKUP(DATOS!$I9530,CONFIG_ASIGNATURAS!$B$2:$J$91,9,FALSE()),""))</f>
      </c>
    </row>
    <row r="9531">
      <c r="F9531">
        <f>IF(DATOS!$A9531="","",DATOS!$A9531&amp;"|"&amp;DATOS!$D9531&amp;"|"&amp;DATOS!$E9531&amp;"|"&amp;DATOS!$I9531)</f>
      </c>
      <c r="G9531">
        <f>IF(DATOS!$A9531="",0,IF(CONFIG_METADATA!$B$4&lt;&gt;"OR+EX",--(DATOS!$G9531=CONFIG_METADATA!$B$4),IF(DATOS!$G9531="EX",1,IF(DATOS!$G9531="OR",--(COUNTIFS(nNIA,DATOS!$A9531,nCURSO,DATOS!$D9531,nESPEC,DATOS!$E9531,nASIG,DATOS!$I9531,nEVAL,"EX")=0),0))))</f>
      </c>
      <c r="H9531">
        <f>IF(DATOS!$G9531&lt;&gt;"EX",0,--(COUNTIFS(nNIA,DATOS!$A9531,nCURSO,DATOS!$D9531,nESPEC,DATOS!$E9531,nASIG,DATOS!$I9531,nEVAL,"OR")=0))</f>
      </c>
      <c r="I9531">
        <f>IF(DATOS!$I9531="","",IFERROR(VLOOKUP(DATOS!$I9531,CONFIG_ASIGNATURAS!$B$2:$J$91,9,FALSE()),""))</f>
      </c>
    </row>
    <row r="9532">
      <c r="F9532">
        <f>IF(DATOS!$A9532="","",DATOS!$A9532&amp;"|"&amp;DATOS!$D9532&amp;"|"&amp;DATOS!$E9532&amp;"|"&amp;DATOS!$I9532)</f>
      </c>
      <c r="G9532">
        <f>IF(DATOS!$A9532="",0,IF(CONFIG_METADATA!$B$4&lt;&gt;"OR+EX",--(DATOS!$G9532=CONFIG_METADATA!$B$4),IF(DATOS!$G9532="EX",1,IF(DATOS!$G9532="OR",--(COUNTIFS(nNIA,DATOS!$A9532,nCURSO,DATOS!$D9532,nESPEC,DATOS!$E9532,nASIG,DATOS!$I9532,nEVAL,"EX")=0),0))))</f>
      </c>
      <c r="H9532">
        <f>IF(DATOS!$G9532&lt;&gt;"EX",0,--(COUNTIFS(nNIA,DATOS!$A9532,nCURSO,DATOS!$D9532,nESPEC,DATOS!$E9532,nASIG,DATOS!$I9532,nEVAL,"OR")=0))</f>
      </c>
      <c r="I9532">
        <f>IF(DATOS!$I9532="","",IFERROR(VLOOKUP(DATOS!$I9532,CONFIG_ASIGNATURAS!$B$2:$J$91,9,FALSE()),""))</f>
      </c>
    </row>
    <row r="9533">
      <c r="F9533">
        <f>IF(DATOS!$A9533="","",DATOS!$A9533&amp;"|"&amp;DATOS!$D9533&amp;"|"&amp;DATOS!$E9533&amp;"|"&amp;DATOS!$I9533)</f>
      </c>
      <c r="G9533">
        <f>IF(DATOS!$A9533="",0,IF(CONFIG_METADATA!$B$4&lt;&gt;"OR+EX",--(DATOS!$G9533=CONFIG_METADATA!$B$4),IF(DATOS!$G9533="EX",1,IF(DATOS!$G9533="OR",--(COUNTIFS(nNIA,DATOS!$A9533,nCURSO,DATOS!$D9533,nESPEC,DATOS!$E9533,nASIG,DATOS!$I9533,nEVAL,"EX")=0),0))))</f>
      </c>
      <c r="H9533">
        <f>IF(DATOS!$G9533&lt;&gt;"EX",0,--(COUNTIFS(nNIA,DATOS!$A9533,nCURSO,DATOS!$D9533,nESPEC,DATOS!$E9533,nASIG,DATOS!$I9533,nEVAL,"OR")=0))</f>
      </c>
      <c r="I9533">
        <f>IF(DATOS!$I9533="","",IFERROR(VLOOKUP(DATOS!$I9533,CONFIG_ASIGNATURAS!$B$2:$J$91,9,FALSE()),""))</f>
      </c>
    </row>
    <row r="9534">
      <c r="F9534">
        <f>IF(DATOS!$A9534="","",DATOS!$A9534&amp;"|"&amp;DATOS!$D9534&amp;"|"&amp;DATOS!$E9534&amp;"|"&amp;DATOS!$I9534)</f>
      </c>
      <c r="G9534">
        <f>IF(DATOS!$A9534="",0,IF(CONFIG_METADATA!$B$4&lt;&gt;"OR+EX",--(DATOS!$G9534=CONFIG_METADATA!$B$4),IF(DATOS!$G9534="EX",1,IF(DATOS!$G9534="OR",--(COUNTIFS(nNIA,DATOS!$A9534,nCURSO,DATOS!$D9534,nESPEC,DATOS!$E9534,nASIG,DATOS!$I9534,nEVAL,"EX")=0),0))))</f>
      </c>
      <c r="H9534">
        <f>IF(DATOS!$G9534&lt;&gt;"EX",0,--(COUNTIFS(nNIA,DATOS!$A9534,nCURSO,DATOS!$D9534,nESPEC,DATOS!$E9534,nASIG,DATOS!$I9534,nEVAL,"OR")=0))</f>
      </c>
      <c r="I9534">
        <f>IF(DATOS!$I9534="","",IFERROR(VLOOKUP(DATOS!$I9534,CONFIG_ASIGNATURAS!$B$2:$J$91,9,FALSE()),""))</f>
      </c>
    </row>
    <row r="9535">
      <c r="F9535">
        <f>IF(DATOS!$A9535="","",DATOS!$A9535&amp;"|"&amp;DATOS!$D9535&amp;"|"&amp;DATOS!$E9535&amp;"|"&amp;DATOS!$I9535)</f>
      </c>
      <c r="G9535">
        <f>IF(DATOS!$A9535="",0,IF(CONFIG_METADATA!$B$4&lt;&gt;"OR+EX",--(DATOS!$G9535=CONFIG_METADATA!$B$4),IF(DATOS!$G9535="EX",1,IF(DATOS!$G9535="OR",--(COUNTIFS(nNIA,DATOS!$A9535,nCURSO,DATOS!$D9535,nESPEC,DATOS!$E9535,nASIG,DATOS!$I9535,nEVAL,"EX")=0),0))))</f>
      </c>
      <c r="H9535">
        <f>IF(DATOS!$G9535&lt;&gt;"EX",0,--(COUNTIFS(nNIA,DATOS!$A9535,nCURSO,DATOS!$D9535,nESPEC,DATOS!$E9535,nASIG,DATOS!$I9535,nEVAL,"OR")=0))</f>
      </c>
      <c r="I9535">
        <f>IF(DATOS!$I9535="","",IFERROR(VLOOKUP(DATOS!$I9535,CONFIG_ASIGNATURAS!$B$2:$J$91,9,FALSE()),""))</f>
      </c>
    </row>
    <row r="9536">
      <c r="F9536">
        <f>IF(DATOS!$A9536="","",DATOS!$A9536&amp;"|"&amp;DATOS!$D9536&amp;"|"&amp;DATOS!$E9536&amp;"|"&amp;DATOS!$I9536)</f>
      </c>
      <c r="G9536">
        <f>IF(DATOS!$A9536="",0,IF(CONFIG_METADATA!$B$4&lt;&gt;"OR+EX",--(DATOS!$G9536=CONFIG_METADATA!$B$4),IF(DATOS!$G9536="EX",1,IF(DATOS!$G9536="OR",--(COUNTIFS(nNIA,DATOS!$A9536,nCURSO,DATOS!$D9536,nESPEC,DATOS!$E9536,nASIG,DATOS!$I9536,nEVAL,"EX")=0),0))))</f>
      </c>
      <c r="H9536">
        <f>IF(DATOS!$G9536&lt;&gt;"EX",0,--(COUNTIFS(nNIA,DATOS!$A9536,nCURSO,DATOS!$D9536,nESPEC,DATOS!$E9536,nASIG,DATOS!$I9536,nEVAL,"OR")=0))</f>
      </c>
      <c r="I9536">
        <f>IF(DATOS!$I9536="","",IFERROR(VLOOKUP(DATOS!$I9536,CONFIG_ASIGNATURAS!$B$2:$J$91,9,FALSE()),""))</f>
      </c>
    </row>
    <row r="9537">
      <c r="F9537">
        <f>IF(DATOS!$A9537="","",DATOS!$A9537&amp;"|"&amp;DATOS!$D9537&amp;"|"&amp;DATOS!$E9537&amp;"|"&amp;DATOS!$I9537)</f>
      </c>
      <c r="G9537">
        <f>IF(DATOS!$A9537="",0,IF(CONFIG_METADATA!$B$4&lt;&gt;"OR+EX",--(DATOS!$G9537=CONFIG_METADATA!$B$4),IF(DATOS!$G9537="EX",1,IF(DATOS!$G9537="OR",--(COUNTIFS(nNIA,DATOS!$A9537,nCURSO,DATOS!$D9537,nESPEC,DATOS!$E9537,nASIG,DATOS!$I9537,nEVAL,"EX")=0),0))))</f>
      </c>
      <c r="H9537">
        <f>IF(DATOS!$G9537&lt;&gt;"EX",0,--(COUNTIFS(nNIA,DATOS!$A9537,nCURSO,DATOS!$D9537,nESPEC,DATOS!$E9537,nASIG,DATOS!$I9537,nEVAL,"OR")=0))</f>
      </c>
      <c r="I9537">
        <f>IF(DATOS!$I9537="","",IFERROR(VLOOKUP(DATOS!$I9537,CONFIG_ASIGNATURAS!$B$2:$J$91,9,FALSE()),""))</f>
      </c>
    </row>
    <row r="9538">
      <c r="F9538">
        <f>IF(DATOS!$A9538="","",DATOS!$A9538&amp;"|"&amp;DATOS!$D9538&amp;"|"&amp;DATOS!$E9538&amp;"|"&amp;DATOS!$I9538)</f>
      </c>
      <c r="G9538">
        <f>IF(DATOS!$A9538="",0,IF(CONFIG_METADATA!$B$4&lt;&gt;"OR+EX",--(DATOS!$G9538=CONFIG_METADATA!$B$4),IF(DATOS!$G9538="EX",1,IF(DATOS!$G9538="OR",--(COUNTIFS(nNIA,DATOS!$A9538,nCURSO,DATOS!$D9538,nESPEC,DATOS!$E9538,nASIG,DATOS!$I9538,nEVAL,"EX")=0),0))))</f>
      </c>
      <c r="H9538">
        <f>IF(DATOS!$G9538&lt;&gt;"EX",0,--(COUNTIFS(nNIA,DATOS!$A9538,nCURSO,DATOS!$D9538,nESPEC,DATOS!$E9538,nASIG,DATOS!$I9538,nEVAL,"OR")=0))</f>
      </c>
      <c r="I9538">
        <f>IF(DATOS!$I9538="","",IFERROR(VLOOKUP(DATOS!$I9538,CONFIG_ASIGNATURAS!$B$2:$J$91,9,FALSE()),""))</f>
      </c>
    </row>
    <row r="9539">
      <c r="F9539">
        <f>IF(DATOS!$A9539="","",DATOS!$A9539&amp;"|"&amp;DATOS!$D9539&amp;"|"&amp;DATOS!$E9539&amp;"|"&amp;DATOS!$I9539)</f>
      </c>
      <c r="G9539">
        <f>IF(DATOS!$A9539="",0,IF(CONFIG_METADATA!$B$4&lt;&gt;"OR+EX",--(DATOS!$G9539=CONFIG_METADATA!$B$4),IF(DATOS!$G9539="EX",1,IF(DATOS!$G9539="OR",--(COUNTIFS(nNIA,DATOS!$A9539,nCURSO,DATOS!$D9539,nESPEC,DATOS!$E9539,nASIG,DATOS!$I9539,nEVAL,"EX")=0),0))))</f>
      </c>
      <c r="H9539">
        <f>IF(DATOS!$G9539&lt;&gt;"EX",0,--(COUNTIFS(nNIA,DATOS!$A9539,nCURSO,DATOS!$D9539,nESPEC,DATOS!$E9539,nASIG,DATOS!$I9539,nEVAL,"OR")=0))</f>
      </c>
      <c r="I9539">
        <f>IF(DATOS!$I9539="","",IFERROR(VLOOKUP(DATOS!$I9539,CONFIG_ASIGNATURAS!$B$2:$J$91,9,FALSE()),""))</f>
      </c>
    </row>
    <row r="9540">
      <c r="F9540">
        <f>IF(DATOS!$A9540="","",DATOS!$A9540&amp;"|"&amp;DATOS!$D9540&amp;"|"&amp;DATOS!$E9540&amp;"|"&amp;DATOS!$I9540)</f>
      </c>
      <c r="G9540">
        <f>IF(DATOS!$A9540="",0,IF(CONFIG_METADATA!$B$4&lt;&gt;"OR+EX",--(DATOS!$G9540=CONFIG_METADATA!$B$4),IF(DATOS!$G9540="EX",1,IF(DATOS!$G9540="OR",--(COUNTIFS(nNIA,DATOS!$A9540,nCURSO,DATOS!$D9540,nESPEC,DATOS!$E9540,nASIG,DATOS!$I9540,nEVAL,"EX")=0),0))))</f>
      </c>
      <c r="H9540">
        <f>IF(DATOS!$G9540&lt;&gt;"EX",0,--(COUNTIFS(nNIA,DATOS!$A9540,nCURSO,DATOS!$D9540,nESPEC,DATOS!$E9540,nASIG,DATOS!$I9540,nEVAL,"OR")=0))</f>
      </c>
      <c r="I9540">
        <f>IF(DATOS!$I9540="","",IFERROR(VLOOKUP(DATOS!$I9540,CONFIG_ASIGNATURAS!$B$2:$J$91,9,FALSE()),""))</f>
      </c>
    </row>
    <row r="9541">
      <c r="F9541">
        <f>IF(DATOS!$A9541="","",DATOS!$A9541&amp;"|"&amp;DATOS!$D9541&amp;"|"&amp;DATOS!$E9541&amp;"|"&amp;DATOS!$I9541)</f>
      </c>
      <c r="G9541">
        <f>IF(DATOS!$A9541="",0,IF(CONFIG_METADATA!$B$4&lt;&gt;"OR+EX",--(DATOS!$G9541=CONFIG_METADATA!$B$4),IF(DATOS!$G9541="EX",1,IF(DATOS!$G9541="OR",--(COUNTIFS(nNIA,DATOS!$A9541,nCURSO,DATOS!$D9541,nESPEC,DATOS!$E9541,nASIG,DATOS!$I9541,nEVAL,"EX")=0),0))))</f>
      </c>
      <c r="H9541">
        <f>IF(DATOS!$G9541&lt;&gt;"EX",0,--(COUNTIFS(nNIA,DATOS!$A9541,nCURSO,DATOS!$D9541,nESPEC,DATOS!$E9541,nASIG,DATOS!$I9541,nEVAL,"OR")=0))</f>
      </c>
      <c r="I9541">
        <f>IF(DATOS!$I9541="","",IFERROR(VLOOKUP(DATOS!$I9541,CONFIG_ASIGNATURAS!$B$2:$J$91,9,FALSE()),""))</f>
      </c>
    </row>
    <row r="9542">
      <c r="F9542">
        <f>IF(DATOS!$A9542="","",DATOS!$A9542&amp;"|"&amp;DATOS!$D9542&amp;"|"&amp;DATOS!$E9542&amp;"|"&amp;DATOS!$I9542)</f>
      </c>
      <c r="G9542">
        <f>IF(DATOS!$A9542="",0,IF(CONFIG_METADATA!$B$4&lt;&gt;"OR+EX",--(DATOS!$G9542=CONFIG_METADATA!$B$4),IF(DATOS!$G9542="EX",1,IF(DATOS!$G9542="OR",--(COUNTIFS(nNIA,DATOS!$A9542,nCURSO,DATOS!$D9542,nESPEC,DATOS!$E9542,nASIG,DATOS!$I9542,nEVAL,"EX")=0),0))))</f>
      </c>
      <c r="H9542">
        <f>IF(DATOS!$G9542&lt;&gt;"EX",0,--(COUNTIFS(nNIA,DATOS!$A9542,nCURSO,DATOS!$D9542,nESPEC,DATOS!$E9542,nASIG,DATOS!$I9542,nEVAL,"OR")=0))</f>
      </c>
      <c r="I9542">
        <f>IF(DATOS!$I9542="","",IFERROR(VLOOKUP(DATOS!$I9542,CONFIG_ASIGNATURAS!$B$2:$J$91,9,FALSE()),""))</f>
      </c>
    </row>
    <row r="9543">
      <c r="F9543">
        <f>IF(DATOS!$A9543="","",DATOS!$A9543&amp;"|"&amp;DATOS!$D9543&amp;"|"&amp;DATOS!$E9543&amp;"|"&amp;DATOS!$I9543)</f>
      </c>
      <c r="G9543">
        <f>IF(DATOS!$A9543="",0,IF(CONFIG_METADATA!$B$4&lt;&gt;"OR+EX",--(DATOS!$G9543=CONFIG_METADATA!$B$4),IF(DATOS!$G9543="EX",1,IF(DATOS!$G9543="OR",--(COUNTIFS(nNIA,DATOS!$A9543,nCURSO,DATOS!$D9543,nESPEC,DATOS!$E9543,nASIG,DATOS!$I9543,nEVAL,"EX")=0),0))))</f>
      </c>
      <c r="H9543">
        <f>IF(DATOS!$G9543&lt;&gt;"EX",0,--(COUNTIFS(nNIA,DATOS!$A9543,nCURSO,DATOS!$D9543,nESPEC,DATOS!$E9543,nASIG,DATOS!$I9543,nEVAL,"OR")=0))</f>
      </c>
      <c r="I9543">
        <f>IF(DATOS!$I9543="","",IFERROR(VLOOKUP(DATOS!$I9543,CONFIG_ASIGNATURAS!$B$2:$J$91,9,FALSE()),""))</f>
      </c>
    </row>
    <row r="9544">
      <c r="F9544">
        <f>IF(DATOS!$A9544="","",DATOS!$A9544&amp;"|"&amp;DATOS!$D9544&amp;"|"&amp;DATOS!$E9544&amp;"|"&amp;DATOS!$I9544)</f>
      </c>
      <c r="G9544">
        <f>IF(DATOS!$A9544="",0,IF(CONFIG_METADATA!$B$4&lt;&gt;"OR+EX",--(DATOS!$G9544=CONFIG_METADATA!$B$4),IF(DATOS!$G9544="EX",1,IF(DATOS!$G9544="OR",--(COUNTIFS(nNIA,DATOS!$A9544,nCURSO,DATOS!$D9544,nESPEC,DATOS!$E9544,nASIG,DATOS!$I9544,nEVAL,"EX")=0),0))))</f>
      </c>
      <c r="H9544">
        <f>IF(DATOS!$G9544&lt;&gt;"EX",0,--(COUNTIFS(nNIA,DATOS!$A9544,nCURSO,DATOS!$D9544,nESPEC,DATOS!$E9544,nASIG,DATOS!$I9544,nEVAL,"OR")=0))</f>
      </c>
      <c r="I9544">
        <f>IF(DATOS!$I9544="","",IFERROR(VLOOKUP(DATOS!$I9544,CONFIG_ASIGNATURAS!$B$2:$J$91,9,FALSE()),""))</f>
      </c>
    </row>
    <row r="9545">
      <c r="F9545">
        <f>IF(DATOS!$A9545="","",DATOS!$A9545&amp;"|"&amp;DATOS!$D9545&amp;"|"&amp;DATOS!$E9545&amp;"|"&amp;DATOS!$I9545)</f>
      </c>
      <c r="G9545">
        <f>IF(DATOS!$A9545="",0,IF(CONFIG_METADATA!$B$4&lt;&gt;"OR+EX",--(DATOS!$G9545=CONFIG_METADATA!$B$4),IF(DATOS!$G9545="EX",1,IF(DATOS!$G9545="OR",--(COUNTIFS(nNIA,DATOS!$A9545,nCURSO,DATOS!$D9545,nESPEC,DATOS!$E9545,nASIG,DATOS!$I9545,nEVAL,"EX")=0),0))))</f>
      </c>
      <c r="H9545">
        <f>IF(DATOS!$G9545&lt;&gt;"EX",0,--(COUNTIFS(nNIA,DATOS!$A9545,nCURSO,DATOS!$D9545,nESPEC,DATOS!$E9545,nASIG,DATOS!$I9545,nEVAL,"OR")=0))</f>
      </c>
      <c r="I9545">
        <f>IF(DATOS!$I9545="","",IFERROR(VLOOKUP(DATOS!$I9545,CONFIG_ASIGNATURAS!$B$2:$J$91,9,FALSE()),""))</f>
      </c>
    </row>
    <row r="9546">
      <c r="F9546">
        <f>IF(DATOS!$A9546="","",DATOS!$A9546&amp;"|"&amp;DATOS!$D9546&amp;"|"&amp;DATOS!$E9546&amp;"|"&amp;DATOS!$I9546)</f>
      </c>
      <c r="G9546">
        <f>IF(DATOS!$A9546="",0,IF(CONFIG_METADATA!$B$4&lt;&gt;"OR+EX",--(DATOS!$G9546=CONFIG_METADATA!$B$4),IF(DATOS!$G9546="EX",1,IF(DATOS!$G9546="OR",--(COUNTIFS(nNIA,DATOS!$A9546,nCURSO,DATOS!$D9546,nESPEC,DATOS!$E9546,nASIG,DATOS!$I9546,nEVAL,"EX")=0),0))))</f>
      </c>
      <c r="H9546">
        <f>IF(DATOS!$G9546&lt;&gt;"EX",0,--(COUNTIFS(nNIA,DATOS!$A9546,nCURSO,DATOS!$D9546,nESPEC,DATOS!$E9546,nASIG,DATOS!$I9546,nEVAL,"OR")=0))</f>
      </c>
      <c r="I9546">
        <f>IF(DATOS!$I9546="","",IFERROR(VLOOKUP(DATOS!$I9546,CONFIG_ASIGNATURAS!$B$2:$J$91,9,FALSE()),""))</f>
      </c>
    </row>
    <row r="9547">
      <c r="F9547">
        <f>IF(DATOS!$A9547="","",DATOS!$A9547&amp;"|"&amp;DATOS!$D9547&amp;"|"&amp;DATOS!$E9547&amp;"|"&amp;DATOS!$I9547)</f>
      </c>
      <c r="G9547">
        <f>IF(DATOS!$A9547="",0,IF(CONFIG_METADATA!$B$4&lt;&gt;"OR+EX",--(DATOS!$G9547=CONFIG_METADATA!$B$4),IF(DATOS!$G9547="EX",1,IF(DATOS!$G9547="OR",--(COUNTIFS(nNIA,DATOS!$A9547,nCURSO,DATOS!$D9547,nESPEC,DATOS!$E9547,nASIG,DATOS!$I9547,nEVAL,"EX")=0),0))))</f>
      </c>
      <c r="H9547">
        <f>IF(DATOS!$G9547&lt;&gt;"EX",0,--(COUNTIFS(nNIA,DATOS!$A9547,nCURSO,DATOS!$D9547,nESPEC,DATOS!$E9547,nASIG,DATOS!$I9547,nEVAL,"OR")=0))</f>
      </c>
      <c r="I9547">
        <f>IF(DATOS!$I9547="","",IFERROR(VLOOKUP(DATOS!$I9547,CONFIG_ASIGNATURAS!$B$2:$J$91,9,FALSE()),""))</f>
      </c>
    </row>
    <row r="9548">
      <c r="F9548">
        <f>IF(DATOS!$A9548="","",DATOS!$A9548&amp;"|"&amp;DATOS!$D9548&amp;"|"&amp;DATOS!$E9548&amp;"|"&amp;DATOS!$I9548)</f>
      </c>
      <c r="G9548">
        <f>IF(DATOS!$A9548="",0,IF(CONFIG_METADATA!$B$4&lt;&gt;"OR+EX",--(DATOS!$G9548=CONFIG_METADATA!$B$4),IF(DATOS!$G9548="EX",1,IF(DATOS!$G9548="OR",--(COUNTIFS(nNIA,DATOS!$A9548,nCURSO,DATOS!$D9548,nESPEC,DATOS!$E9548,nASIG,DATOS!$I9548,nEVAL,"EX")=0),0))))</f>
      </c>
      <c r="H9548">
        <f>IF(DATOS!$G9548&lt;&gt;"EX",0,--(COUNTIFS(nNIA,DATOS!$A9548,nCURSO,DATOS!$D9548,nESPEC,DATOS!$E9548,nASIG,DATOS!$I9548,nEVAL,"OR")=0))</f>
      </c>
      <c r="I9548">
        <f>IF(DATOS!$I9548="","",IFERROR(VLOOKUP(DATOS!$I9548,CONFIG_ASIGNATURAS!$B$2:$J$91,9,FALSE()),""))</f>
      </c>
    </row>
    <row r="9549">
      <c r="F9549">
        <f>IF(DATOS!$A9549="","",DATOS!$A9549&amp;"|"&amp;DATOS!$D9549&amp;"|"&amp;DATOS!$E9549&amp;"|"&amp;DATOS!$I9549)</f>
      </c>
      <c r="G9549">
        <f>IF(DATOS!$A9549="",0,IF(CONFIG_METADATA!$B$4&lt;&gt;"OR+EX",--(DATOS!$G9549=CONFIG_METADATA!$B$4),IF(DATOS!$G9549="EX",1,IF(DATOS!$G9549="OR",--(COUNTIFS(nNIA,DATOS!$A9549,nCURSO,DATOS!$D9549,nESPEC,DATOS!$E9549,nASIG,DATOS!$I9549,nEVAL,"EX")=0),0))))</f>
      </c>
      <c r="H9549">
        <f>IF(DATOS!$G9549&lt;&gt;"EX",0,--(COUNTIFS(nNIA,DATOS!$A9549,nCURSO,DATOS!$D9549,nESPEC,DATOS!$E9549,nASIG,DATOS!$I9549,nEVAL,"OR")=0))</f>
      </c>
      <c r="I9549">
        <f>IF(DATOS!$I9549="","",IFERROR(VLOOKUP(DATOS!$I9549,CONFIG_ASIGNATURAS!$B$2:$J$91,9,FALSE()),""))</f>
      </c>
    </row>
    <row r="9550">
      <c r="F9550">
        <f>IF(DATOS!$A9550="","",DATOS!$A9550&amp;"|"&amp;DATOS!$D9550&amp;"|"&amp;DATOS!$E9550&amp;"|"&amp;DATOS!$I9550)</f>
      </c>
      <c r="G9550">
        <f>IF(DATOS!$A9550="",0,IF(CONFIG_METADATA!$B$4&lt;&gt;"OR+EX",--(DATOS!$G9550=CONFIG_METADATA!$B$4),IF(DATOS!$G9550="EX",1,IF(DATOS!$G9550="OR",--(COUNTIFS(nNIA,DATOS!$A9550,nCURSO,DATOS!$D9550,nESPEC,DATOS!$E9550,nASIG,DATOS!$I9550,nEVAL,"EX")=0),0))))</f>
      </c>
      <c r="H9550">
        <f>IF(DATOS!$G9550&lt;&gt;"EX",0,--(COUNTIFS(nNIA,DATOS!$A9550,nCURSO,DATOS!$D9550,nESPEC,DATOS!$E9550,nASIG,DATOS!$I9550,nEVAL,"OR")=0))</f>
      </c>
      <c r="I9550">
        <f>IF(DATOS!$I9550="","",IFERROR(VLOOKUP(DATOS!$I9550,CONFIG_ASIGNATURAS!$B$2:$J$91,9,FALSE()),""))</f>
      </c>
    </row>
    <row r="9551">
      <c r="F9551">
        <f>IF(DATOS!$A9551="","",DATOS!$A9551&amp;"|"&amp;DATOS!$D9551&amp;"|"&amp;DATOS!$E9551&amp;"|"&amp;DATOS!$I9551)</f>
      </c>
      <c r="G9551">
        <f>IF(DATOS!$A9551="",0,IF(CONFIG_METADATA!$B$4&lt;&gt;"OR+EX",--(DATOS!$G9551=CONFIG_METADATA!$B$4),IF(DATOS!$G9551="EX",1,IF(DATOS!$G9551="OR",--(COUNTIFS(nNIA,DATOS!$A9551,nCURSO,DATOS!$D9551,nESPEC,DATOS!$E9551,nASIG,DATOS!$I9551,nEVAL,"EX")=0),0))))</f>
      </c>
      <c r="H9551">
        <f>IF(DATOS!$G9551&lt;&gt;"EX",0,--(COUNTIFS(nNIA,DATOS!$A9551,nCURSO,DATOS!$D9551,nESPEC,DATOS!$E9551,nASIG,DATOS!$I9551,nEVAL,"OR")=0))</f>
      </c>
      <c r="I9551">
        <f>IF(DATOS!$I9551="","",IFERROR(VLOOKUP(DATOS!$I9551,CONFIG_ASIGNATURAS!$B$2:$J$91,9,FALSE()),""))</f>
      </c>
    </row>
    <row r="9552">
      <c r="F9552">
        <f>IF(DATOS!$A9552="","",DATOS!$A9552&amp;"|"&amp;DATOS!$D9552&amp;"|"&amp;DATOS!$E9552&amp;"|"&amp;DATOS!$I9552)</f>
      </c>
      <c r="G9552">
        <f>IF(DATOS!$A9552="",0,IF(CONFIG_METADATA!$B$4&lt;&gt;"OR+EX",--(DATOS!$G9552=CONFIG_METADATA!$B$4),IF(DATOS!$G9552="EX",1,IF(DATOS!$G9552="OR",--(COUNTIFS(nNIA,DATOS!$A9552,nCURSO,DATOS!$D9552,nESPEC,DATOS!$E9552,nASIG,DATOS!$I9552,nEVAL,"EX")=0),0))))</f>
      </c>
      <c r="H9552">
        <f>IF(DATOS!$G9552&lt;&gt;"EX",0,--(COUNTIFS(nNIA,DATOS!$A9552,nCURSO,DATOS!$D9552,nESPEC,DATOS!$E9552,nASIG,DATOS!$I9552,nEVAL,"OR")=0))</f>
      </c>
      <c r="I9552">
        <f>IF(DATOS!$I9552="","",IFERROR(VLOOKUP(DATOS!$I9552,CONFIG_ASIGNATURAS!$B$2:$J$91,9,FALSE()),""))</f>
      </c>
    </row>
    <row r="9553">
      <c r="F9553">
        <f>IF(DATOS!$A9553="","",DATOS!$A9553&amp;"|"&amp;DATOS!$D9553&amp;"|"&amp;DATOS!$E9553&amp;"|"&amp;DATOS!$I9553)</f>
      </c>
      <c r="G9553">
        <f>IF(DATOS!$A9553="",0,IF(CONFIG_METADATA!$B$4&lt;&gt;"OR+EX",--(DATOS!$G9553=CONFIG_METADATA!$B$4),IF(DATOS!$G9553="EX",1,IF(DATOS!$G9553="OR",--(COUNTIFS(nNIA,DATOS!$A9553,nCURSO,DATOS!$D9553,nESPEC,DATOS!$E9553,nASIG,DATOS!$I9553,nEVAL,"EX")=0),0))))</f>
      </c>
      <c r="H9553">
        <f>IF(DATOS!$G9553&lt;&gt;"EX",0,--(COUNTIFS(nNIA,DATOS!$A9553,nCURSO,DATOS!$D9553,nESPEC,DATOS!$E9553,nASIG,DATOS!$I9553,nEVAL,"OR")=0))</f>
      </c>
      <c r="I9553">
        <f>IF(DATOS!$I9553="","",IFERROR(VLOOKUP(DATOS!$I9553,CONFIG_ASIGNATURAS!$B$2:$J$91,9,FALSE()),""))</f>
      </c>
    </row>
    <row r="9554">
      <c r="F9554">
        <f>IF(DATOS!$A9554="","",DATOS!$A9554&amp;"|"&amp;DATOS!$D9554&amp;"|"&amp;DATOS!$E9554&amp;"|"&amp;DATOS!$I9554)</f>
      </c>
      <c r="G9554">
        <f>IF(DATOS!$A9554="",0,IF(CONFIG_METADATA!$B$4&lt;&gt;"OR+EX",--(DATOS!$G9554=CONFIG_METADATA!$B$4),IF(DATOS!$G9554="EX",1,IF(DATOS!$G9554="OR",--(COUNTIFS(nNIA,DATOS!$A9554,nCURSO,DATOS!$D9554,nESPEC,DATOS!$E9554,nASIG,DATOS!$I9554,nEVAL,"EX")=0),0))))</f>
      </c>
      <c r="H9554">
        <f>IF(DATOS!$G9554&lt;&gt;"EX",0,--(COUNTIFS(nNIA,DATOS!$A9554,nCURSO,DATOS!$D9554,nESPEC,DATOS!$E9554,nASIG,DATOS!$I9554,nEVAL,"OR")=0))</f>
      </c>
      <c r="I9554">
        <f>IF(DATOS!$I9554="","",IFERROR(VLOOKUP(DATOS!$I9554,CONFIG_ASIGNATURAS!$B$2:$J$91,9,FALSE()),""))</f>
      </c>
    </row>
    <row r="9555">
      <c r="F9555">
        <f>IF(DATOS!$A9555="","",DATOS!$A9555&amp;"|"&amp;DATOS!$D9555&amp;"|"&amp;DATOS!$E9555&amp;"|"&amp;DATOS!$I9555)</f>
      </c>
      <c r="G9555">
        <f>IF(DATOS!$A9555="",0,IF(CONFIG_METADATA!$B$4&lt;&gt;"OR+EX",--(DATOS!$G9555=CONFIG_METADATA!$B$4),IF(DATOS!$G9555="EX",1,IF(DATOS!$G9555="OR",--(COUNTIFS(nNIA,DATOS!$A9555,nCURSO,DATOS!$D9555,nESPEC,DATOS!$E9555,nASIG,DATOS!$I9555,nEVAL,"EX")=0),0))))</f>
      </c>
      <c r="H9555">
        <f>IF(DATOS!$G9555&lt;&gt;"EX",0,--(COUNTIFS(nNIA,DATOS!$A9555,nCURSO,DATOS!$D9555,nESPEC,DATOS!$E9555,nASIG,DATOS!$I9555,nEVAL,"OR")=0))</f>
      </c>
      <c r="I9555">
        <f>IF(DATOS!$I9555="","",IFERROR(VLOOKUP(DATOS!$I9555,CONFIG_ASIGNATURAS!$B$2:$J$91,9,FALSE()),""))</f>
      </c>
    </row>
    <row r="9556">
      <c r="F9556">
        <f>IF(DATOS!$A9556="","",DATOS!$A9556&amp;"|"&amp;DATOS!$D9556&amp;"|"&amp;DATOS!$E9556&amp;"|"&amp;DATOS!$I9556)</f>
      </c>
      <c r="G9556">
        <f>IF(DATOS!$A9556="",0,IF(CONFIG_METADATA!$B$4&lt;&gt;"OR+EX",--(DATOS!$G9556=CONFIG_METADATA!$B$4),IF(DATOS!$G9556="EX",1,IF(DATOS!$G9556="OR",--(COUNTIFS(nNIA,DATOS!$A9556,nCURSO,DATOS!$D9556,nESPEC,DATOS!$E9556,nASIG,DATOS!$I9556,nEVAL,"EX")=0),0))))</f>
      </c>
      <c r="H9556">
        <f>IF(DATOS!$G9556&lt;&gt;"EX",0,--(COUNTIFS(nNIA,DATOS!$A9556,nCURSO,DATOS!$D9556,nESPEC,DATOS!$E9556,nASIG,DATOS!$I9556,nEVAL,"OR")=0))</f>
      </c>
      <c r="I9556">
        <f>IF(DATOS!$I9556="","",IFERROR(VLOOKUP(DATOS!$I9556,CONFIG_ASIGNATURAS!$B$2:$J$91,9,FALSE()),""))</f>
      </c>
    </row>
    <row r="9557">
      <c r="F9557">
        <f>IF(DATOS!$A9557="","",DATOS!$A9557&amp;"|"&amp;DATOS!$D9557&amp;"|"&amp;DATOS!$E9557&amp;"|"&amp;DATOS!$I9557)</f>
      </c>
      <c r="G9557">
        <f>IF(DATOS!$A9557="",0,IF(CONFIG_METADATA!$B$4&lt;&gt;"OR+EX",--(DATOS!$G9557=CONFIG_METADATA!$B$4),IF(DATOS!$G9557="EX",1,IF(DATOS!$G9557="OR",--(COUNTIFS(nNIA,DATOS!$A9557,nCURSO,DATOS!$D9557,nESPEC,DATOS!$E9557,nASIG,DATOS!$I9557,nEVAL,"EX")=0),0))))</f>
      </c>
      <c r="H9557">
        <f>IF(DATOS!$G9557&lt;&gt;"EX",0,--(COUNTIFS(nNIA,DATOS!$A9557,nCURSO,DATOS!$D9557,nESPEC,DATOS!$E9557,nASIG,DATOS!$I9557,nEVAL,"OR")=0))</f>
      </c>
      <c r="I9557">
        <f>IF(DATOS!$I9557="","",IFERROR(VLOOKUP(DATOS!$I9557,CONFIG_ASIGNATURAS!$B$2:$J$91,9,FALSE()),""))</f>
      </c>
    </row>
    <row r="9558">
      <c r="F9558">
        <f>IF(DATOS!$A9558="","",DATOS!$A9558&amp;"|"&amp;DATOS!$D9558&amp;"|"&amp;DATOS!$E9558&amp;"|"&amp;DATOS!$I9558)</f>
      </c>
      <c r="G9558">
        <f>IF(DATOS!$A9558="",0,IF(CONFIG_METADATA!$B$4&lt;&gt;"OR+EX",--(DATOS!$G9558=CONFIG_METADATA!$B$4),IF(DATOS!$G9558="EX",1,IF(DATOS!$G9558="OR",--(COUNTIFS(nNIA,DATOS!$A9558,nCURSO,DATOS!$D9558,nESPEC,DATOS!$E9558,nASIG,DATOS!$I9558,nEVAL,"EX")=0),0))))</f>
      </c>
      <c r="H9558">
        <f>IF(DATOS!$G9558&lt;&gt;"EX",0,--(COUNTIFS(nNIA,DATOS!$A9558,nCURSO,DATOS!$D9558,nESPEC,DATOS!$E9558,nASIG,DATOS!$I9558,nEVAL,"OR")=0))</f>
      </c>
      <c r="I9558">
        <f>IF(DATOS!$I9558="","",IFERROR(VLOOKUP(DATOS!$I9558,CONFIG_ASIGNATURAS!$B$2:$J$91,9,FALSE()),""))</f>
      </c>
    </row>
    <row r="9559">
      <c r="F9559">
        <f>IF(DATOS!$A9559="","",DATOS!$A9559&amp;"|"&amp;DATOS!$D9559&amp;"|"&amp;DATOS!$E9559&amp;"|"&amp;DATOS!$I9559)</f>
      </c>
      <c r="G9559">
        <f>IF(DATOS!$A9559="",0,IF(CONFIG_METADATA!$B$4&lt;&gt;"OR+EX",--(DATOS!$G9559=CONFIG_METADATA!$B$4),IF(DATOS!$G9559="EX",1,IF(DATOS!$G9559="OR",--(COUNTIFS(nNIA,DATOS!$A9559,nCURSO,DATOS!$D9559,nESPEC,DATOS!$E9559,nASIG,DATOS!$I9559,nEVAL,"EX")=0),0))))</f>
      </c>
      <c r="H9559">
        <f>IF(DATOS!$G9559&lt;&gt;"EX",0,--(COUNTIFS(nNIA,DATOS!$A9559,nCURSO,DATOS!$D9559,nESPEC,DATOS!$E9559,nASIG,DATOS!$I9559,nEVAL,"OR")=0))</f>
      </c>
      <c r="I9559">
        <f>IF(DATOS!$I9559="","",IFERROR(VLOOKUP(DATOS!$I9559,CONFIG_ASIGNATURAS!$B$2:$J$91,9,FALSE()),""))</f>
      </c>
    </row>
    <row r="9560">
      <c r="F9560">
        <f>IF(DATOS!$A9560="","",DATOS!$A9560&amp;"|"&amp;DATOS!$D9560&amp;"|"&amp;DATOS!$E9560&amp;"|"&amp;DATOS!$I9560)</f>
      </c>
      <c r="G9560">
        <f>IF(DATOS!$A9560="",0,IF(CONFIG_METADATA!$B$4&lt;&gt;"OR+EX",--(DATOS!$G9560=CONFIG_METADATA!$B$4),IF(DATOS!$G9560="EX",1,IF(DATOS!$G9560="OR",--(COUNTIFS(nNIA,DATOS!$A9560,nCURSO,DATOS!$D9560,nESPEC,DATOS!$E9560,nASIG,DATOS!$I9560,nEVAL,"EX")=0),0))))</f>
      </c>
      <c r="H9560">
        <f>IF(DATOS!$G9560&lt;&gt;"EX",0,--(COUNTIFS(nNIA,DATOS!$A9560,nCURSO,DATOS!$D9560,nESPEC,DATOS!$E9560,nASIG,DATOS!$I9560,nEVAL,"OR")=0))</f>
      </c>
      <c r="I9560">
        <f>IF(DATOS!$I9560="","",IFERROR(VLOOKUP(DATOS!$I9560,CONFIG_ASIGNATURAS!$B$2:$J$91,9,FALSE()),""))</f>
      </c>
    </row>
    <row r="9561">
      <c r="F9561">
        <f>IF(DATOS!$A9561="","",DATOS!$A9561&amp;"|"&amp;DATOS!$D9561&amp;"|"&amp;DATOS!$E9561&amp;"|"&amp;DATOS!$I9561)</f>
      </c>
      <c r="G9561">
        <f>IF(DATOS!$A9561="",0,IF(CONFIG_METADATA!$B$4&lt;&gt;"OR+EX",--(DATOS!$G9561=CONFIG_METADATA!$B$4),IF(DATOS!$G9561="EX",1,IF(DATOS!$G9561="OR",--(COUNTIFS(nNIA,DATOS!$A9561,nCURSO,DATOS!$D9561,nESPEC,DATOS!$E9561,nASIG,DATOS!$I9561,nEVAL,"EX")=0),0))))</f>
      </c>
      <c r="H9561">
        <f>IF(DATOS!$G9561&lt;&gt;"EX",0,--(COUNTIFS(nNIA,DATOS!$A9561,nCURSO,DATOS!$D9561,nESPEC,DATOS!$E9561,nASIG,DATOS!$I9561,nEVAL,"OR")=0))</f>
      </c>
      <c r="I9561">
        <f>IF(DATOS!$I9561="","",IFERROR(VLOOKUP(DATOS!$I9561,CONFIG_ASIGNATURAS!$B$2:$J$91,9,FALSE()),""))</f>
      </c>
    </row>
    <row r="9562">
      <c r="F9562">
        <f>IF(DATOS!$A9562="","",DATOS!$A9562&amp;"|"&amp;DATOS!$D9562&amp;"|"&amp;DATOS!$E9562&amp;"|"&amp;DATOS!$I9562)</f>
      </c>
      <c r="G9562">
        <f>IF(DATOS!$A9562="",0,IF(CONFIG_METADATA!$B$4&lt;&gt;"OR+EX",--(DATOS!$G9562=CONFIG_METADATA!$B$4),IF(DATOS!$G9562="EX",1,IF(DATOS!$G9562="OR",--(COUNTIFS(nNIA,DATOS!$A9562,nCURSO,DATOS!$D9562,nESPEC,DATOS!$E9562,nASIG,DATOS!$I9562,nEVAL,"EX")=0),0))))</f>
      </c>
      <c r="H9562">
        <f>IF(DATOS!$G9562&lt;&gt;"EX",0,--(COUNTIFS(nNIA,DATOS!$A9562,nCURSO,DATOS!$D9562,nESPEC,DATOS!$E9562,nASIG,DATOS!$I9562,nEVAL,"OR")=0))</f>
      </c>
      <c r="I9562">
        <f>IF(DATOS!$I9562="","",IFERROR(VLOOKUP(DATOS!$I9562,CONFIG_ASIGNATURAS!$B$2:$J$91,9,FALSE()),""))</f>
      </c>
    </row>
    <row r="9563">
      <c r="F9563">
        <f>IF(DATOS!$A9563="","",DATOS!$A9563&amp;"|"&amp;DATOS!$D9563&amp;"|"&amp;DATOS!$E9563&amp;"|"&amp;DATOS!$I9563)</f>
      </c>
      <c r="G9563">
        <f>IF(DATOS!$A9563="",0,IF(CONFIG_METADATA!$B$4&lt;&gt;"OR+EX",--(DATOS!$G9563=CONFIG_METADATA!$B$4),IF(DATOS!$G9563="EX",1,IF(DATOS!$G9563="OR",--(COUNTIFS(nNIA,DATOS!$A9563,nCURSO,DATOS!$D9563,nESPEC,DATOS!$E9563,nASIG,DATOS!$I9563,nEVAL,"EX")=0),0))))</f>
      </c>
      <c r="H9563">
        <f>IF(DATOS!$G9563&lt;&gt;"EX",0,--(COUNTIFS(nNIA,DATOS!$A9563,nCURSO,DATOS!$D9563,nESPEC,DATOS!$E9563,nASIG,DATOS!$I9563,nEVAL,"OR")=0))</f>
      </c>
      <c r="I9563">
        <f>IF(DATOS!$I9563="","",IFERROR(VLOOKUP(DATOS!$I9563,CONFIG_ASIGNATURAS!$B$2:$J$91,9,FALSE()),""))</f>
      </c>
    </row>
    <row r="9564">
      <c r="F9564">
        <f>IF(DATOS!$A9564="","",DATOS!$A9564&amp;"|"&amp;DATOS!$D9564&amp;"|"&amp;DATOS!$E9564&amp;"|"&amp;DATOS!$I9564)</f>
      </c>
      <c r="G9564">
        <f>IF(DATOS!$A9564="",0,IF(CONFIG_METADATA!$B$4&lt;&gt;"OR+EX",--(DATOS!$G9564=CONFIG_METADATA!$B$4),IF(DATOS!$G9564="EX",1,IF(DATOS!$G9564="OR",--(COUNTIFS(nNIA,DATOS!$A9564,nCURSO,DATOS!$D9564,nESPEC,DATOS!$E9564,nASIG,DATOS!$I9564,nEVAL,"EX")=0),0))))</f>
      </c>
      <c r="H9564">
        <f>IF(DATOS!$G9564&lt;&gt;"EX",0,--(COUNTIFS(nNIA,DATOS!$A9564,nCURSO,DATOS!$D9564,nESPEC,DATOS!$E9564,nASIG,DATOS!$I9564,nEVAL,"OR")=0))</f>
      </c>
      <c r="I9564">
        <f>IF(DATOS!$I9564="","",IFERROR(VLOOKUP(DATOS!$I9564,CONFIG_ASIGNATURAS!$B$2:$J$91,9,FALSE()),""))</f>
      </c>
    </row>
    <row r="9565">
      <c r="F9565">
        <f>IF(DATOS!$A9565="","",DATOS!$A9565&amp;"|"&amp;DATOS!$D9565&amp;"|"&amp;DATOS!$E9565&amp;"|"&amp;DATOS!$I9565)</f>
      </c>
      <c r="G9565">
        <f>IF(DATOS!$A9565="",0,IF(CONFIG_METADATA!$B$4&lt;&gt;"OR+EX",--(DATOS!$G9565=CONFIG_METADATA!$B$4),IF(DATOS!$G9565="EX",1,IF(DATOS!$G9565="OR",--(COUNTIFS(nNIA,DATOS!$A9565,nCURSO,DATOS!$D9565,nESPEC,DATOS!$E9565,nASIG,DATOS!$I9565,nEVAL,"EX")=0),0))))</f>
      </c>
      <c r="H9565">
        <f>IF(DATOS!$G9565&lt;&gt;"EX",0,--(COUNTIFS(nNIA,DATOS!$A9565,nCURSO,DATOS!$D9565,nESPEC,DATOS!$E9565,nASIG,DATOS!$I9565,nEVAL,"OR")=0))</f>
      </c>
      <c r="I9565">
        <f>IF(DATOS!$I9565="","",IFERROR(VLOOKUP(DATOS!$I9565,CONFIG_ASIGNATURAS!$B$2:$J$91,9,FALSE()),""))</f>
      </c>
    </row>
    <row r="9566">
      <c r="F9566">
        <f>IF(DATOS!$A9566="","",DATOS!$A9566&amp;"|"&amp;DATOS!$D9566&amp;"|"&amp;DATOS!$E9566&amp;"|"&amp;DATOS!$I9566)</f>
      </c>
      <c r="G9566">
        <f>IF(DATOS!$A9566="",0,IF(CONFIG_METADATA!$B$4&lt;&gt;"OR+EX",--(DATOS!$G9566=CONFIG_METADATA!$B$4),IF(DATOS!$G9566="EX",1,IF(DATOS!$G9566="OR",--(COUNTIFS(nNIA,DATOS!$A9566,nCURSO,DATOS!$D9566,nESPEC,DATOS!$E9566,nASIG,DATOS!$I9566,nEVAL,"EX")=0),0))))</f>
      </c>
      <c r="H9566">
        <f>IF(DATOS!$G9566&lt;&gt;"EX",0,--(COUNTIFS(nNIA,DATOS!$A9566,nCURSO,DATOS!$D9566,nESPEC,DATOS!$E9566,nASIG,DATOS!$I9566,nEVAL,"OR")=0))</f>
      </c>
      <c r="I9566">
        <f>IF(DATOS!$I9566="","",IFERROR(VLOOKUP(DATOS!$I9566,CONFIG_ASIGNATURAS!$B$2:$J$91,9,FALSE()),""))</f>
      </c>
    </row>
    <row r="9567">
      <c r="F9567">
        <f>IF(DATOS!$A9567="","",DATOS!$A9567&amp;"|"&amp;DATOS!$D9567&amp;"|"&amp;DATOS!$E9567&amp;"|"&amp;DATOS!$I9567)</f>
      </c>
      <c r="G9567">
        <f>IF(DATOS!$A9567="",0,IF(CONFIG_METADATA!$B$4&lt;&gt;"OR+EX",--(DATOS!$G9567=CONFIG_METADATA!$B$4),IF(DATOS!$G9567="EX",1,IF(DATOS!$G9567="OR",--(COUNTIFS(nNIA,DATOS!$A9567,nCURSO,DATOS!$D9567,nESPEC,DATOS!$E9567,nASIG,DATOS!$I9567,nEVAL,"EX")=0),0))))</f>
      </c>
      <c r="H9567">
        <f>IF(DATOS!$G9567&lt;&gt;"EX",0,--(COUNTIFS(nNIA,DATOS!$A9567,nCURSO,DATOS!$D9567,nESPEC,DATOS!$E9567,nASIG,DATOS!$I9567,nEVAL,"OR")=0))</f>
      </c>
      <c r="I9567">
        <f>IF(DATOS!$I9567="","",IFERROR(VLOOKUP(DATOS!$I9567,CONFIG_ASIGNATURAS!$B$2:$J$91,9,FALSE()),""))</f>
      </c>
    </row>
    <row r="9568">
      <c r="F9568">
        <f>IF(DATOS!$A9568="","",DATOS!$A9568&amp;"|"&amp;DATOS!$D9568&amp;"|"&amp;DATOS!$E9568&amp;"|"&amp;DATOS!$I9568)</f>
      </c>
      <c r="G9568">
        <f>IF(DATOS!$A9568="",0,IF(CONFIG_METADATA!$B$4&lt;&gt;"OR+EX",--(DATOS!$G9568=CONFIG_METADATA!$B$4),IF(DATOS!$G9568="EX",1,IF(DATOS!$G9568="OR",--(COUNTIFS(nNIA,DATOS!$A9568,nCURSO,DATOS!$D9568,nESPEC,DATOS!$E9568,nASIG,DATOS!$I9568,nEVAL,"EX")=0),0))))</f>
      </c>
      <c r="H9568">
        <f>IF(DATOS!$G9568&lt;&gt;"EX",0,--(COUNTIFS(nNIA,DATOS!$A9568,nCURSO,DATOS!$D9568,nESPEC,DATOS!$E9568,nASIG,DATOS!$I9568,nEVAL,"OR")=0))</f>
      </c>
      <c r="I9568">
        <f>IF(DATOS!$I9568="","",IFERROR(VLOOKUP(DATOS!$I9568,CONFIG_ASIGNATURAS!$B$2:$J$91,9,FALSE()),""))</f>
      </c>
    </row>
    <row r="9569">
      <c r="F9569">
        <f>IF(DATOS!$A9569="","",DATOS!$A9569&amp;"|"&amp;DATOS!$D9569&amp;"|"&amp;DATOS!$E9569&amp;"|"&amp;DATOS!$I9569)</f>
      </c>
      <c r="G9569">
        <f>IF(DATOS!$A9569="",0,IF(CONFIG_METADATA!$B$4&lt;&gt;"OR+EX",--(DATOS!$G9569=CONFIG_METADATA!$B$4),IF(DATOS!$G9569="EX",1,IF(DATOS!$G9569="OR",--(COUNTIFS(nNIA,DATOS!$A9569,nCURSO,DATOS!$D9569,nESPEC,DATOS!$E9569,nASIG,DATOS!$I9569,nEVAL,"EX")=0),0))))</f>
      </c>
      <c r="H9569">
        <f>IF(DATOS!$G9569&lt;&gt;"EX",0,--(COUNTIFS(nNIA,DATOS!$A9569,nCURSO,DATOS!$D9569,nESPEC,DATOS!$E9569,nASIG,DATOS!$I9569,nEVAL,"OR")=0))</f>
      </c>
      <c r="I9569">
        <f>IF(DATOS!$I9569="","",IFERROR(VLOOKUP(DATOS!$I9569,CONFIG_ASIGNATURAS!$B$2:$J$91,9,FALSE()),""))</f>
      </c>
    </row>
    <row r="9570">
      <c r="F9570">
        <f>IF(DATOS!$A9570="","",DATOS!$A9570&amp;"|"&amp;DATOS!$D9570&amp;"|"&amp;DATOS!$E9570&amp;"|"&amp;DATOS!$I9570)</f>
      </c>
      <c r="G9570">
        <f>IF(DATOS!$A9570="",0,IF(CONFIG_METADATA!$B$4&lt;&gt;"OR+EX",--(DATOS!$G9570=CONFIG_METADATA!$B$4),IF(DATOS!$G9570="EX",1,IF(DATOS!$G9570="OR",--(COUNTIFS(nNIA,DATOS!$A9570,nCURSO,DATOS!$D9570,nESPEC,DATOS!$E9570,nASIG,DATOS!$I9570,nEVAL,"EX")=0),0))))</f>
      </c>
      <c r="H9570">
        <f>IF(DATOS!$G9570&lt;&gt;"EX",0,--(COUNTIFS(nNIA,DATOS!$A9570,nCURSO,DATOS!$D9570,nESPEC,DATOS!$E9570,nASIG,DATOS!$I9570,nEVAL,"OR")=0))</f>
      </c>
      <c r="I9570">
        <f>IF(DATOS!$I9570="","",IFERROR(VLOOKUP(DATOS!$I9570,CONFIG_ASIGNATURAS!$B$2:$J$91,9,FALSE()),""))</f>
      </c>
    </row>
    <row r="9571">
      <c r="F9571">
        <f>IF(DATOS!$A9571="","",DATOS!$A9571&amp;"|"&amp;DATOS!$D9571&amp;"|"&amp;DATOS!$E9571&amp;"|"&amp;DATOS!$I9571)</f>
      </c>
      <c r="G9571">
        <f>IF(DATOS!$A9571="",0,IF(CONFIG_METADATA!$B$4&lt;&gt;"OR+EX",--(DATOS!$G9571=CONFIG_METADATA!$B$4),IF(DATOS!$G9571="EX",1,IF(DATOS!$G9571="OR",--(COUNTIFS(nNIA,DATOS!$A9571,nCURSO,DATOS!$D9571,nESPEC,DATOS!$E9571,nASIG,DATOS!$I9571,nEVAL,"EX")=0),0))))</f>
      </c>
      <c r="H9571">
        <f>IF(DATOS!$G9571&lt;&gt;"EX",0,--(COUNTIFS(nNIA,DATOS!$A9571,nCURSO,DATOS!$D9571,nESPEC,DATOS!$E9571,nASIG,DATOS!$I9571,nEVAL,"OR")=0))</f>
      </c>
      <c r="I9571">
        <f>IF(DATOS!$I9571="","",IFERROR(VLOOKUP(DATOS!$I9571,CONFIG_ASIGNATURAS!$B$2:$J$91,9,FALSE()),""))</f>
      </c>
    </row>
    <row r="9572">
      <c r="F9572">
        <f>IF(DATOS!$A9572="","",DATOS!$A9572&amp;"|"&amp;DATOS!$D9572&amp;"|"&amp;DATOS!$E9572&amp;"|"&amp;DATOS!$I9572)</f>
      </c>
      <c r="G9572">
        <f>IF(DATOS!$A9572="",0,IF(CONFIG_METADATA!$B$4&lt;&gt;"OR+EX",--(DATOS!$G9572=CONFIG_METADATA!$B$4),IF(DATOS!$G9572="EX",1,IF(DATOS!$G9572="OR",--(COUNTIFS(nNIA,DATOS!$A9572,nCURSO,DATOS!$D9572,nESPEC,DATOS!$E9572,nASIG,DATOS!$I9572,nEVAL,"EX")=0),0))))</f>
      </c>
      <c r="H9572">
        <f>IF(DATOS!$G9572&lt;&gt;"EX",0,--(COUNTIFS(nNIA,DATOS!$A9572,nCURSO,DATOS!$D9572,nESPEC,DATOS!$E9572,nASIG,DATOS!$I9572,nEVAL,"OR")=0))</f>
      </c>
      <c r="I9572">
        <f>IF(DATOS!$I9572="","",IFERROR(VLOOKUP(DATOS!$I9572,CONFIG_ASIGNATURAS!$B$2:$J$91,9,FALSE()),""))</f>
      </c>
    </row>
    <row r="9573">
      <c r="F9573">
        <f>IF(DATOS!$A9573="","",DATOS!$A9573&amp;"|"&amp;DATOS!$D9573&amp;"|"&amp;DATOS!$E9573&amp;"|"&amp;DATOS!$I9573)</f>
      </c>
      <c r="G9573">
        <f>IF(DATOS!$A9573="",0,IF(CONFIG_METADATA!$B$4&lt;&gt;"OR+EX",--(DATOS!$G9573=CONFIG_METADATA!$B$4),IF(DATOS!$G9573="EX",1,IF(DATOS!$G9573="OR",--(COUNTIFS(nNIA,DATOS!$A9573,nCURSO,DATOS!$D9573,nESPEC,DATOS!$E9573,nASIG,DATOS!$I9573,nEVAL,"EX")=0),0))))</f>
      </c>
      <c r="H9573">
        <f>IF(DATOS!$G9573&lt;&gt;"EX",0,--(COUNTIFS(nNIA,DATOS!$A9573,nCURSO,DATOS!$D9573,nESPEC,DATOS!$E9573,nASIG,DATOS!$I9573,nEVAL,"OR")=0))</f>
      </c>
      <c r="I9573">
        <f>IF(DATOS!$I9573="","",IFERROR(VLOOKUP(DATOS!$I9573,CONFIG_ASIGNATURAS!$B$2:$J$91,9,FALSE()),""))</f>
      </c>
    </row>
    <row r="9574">
      <c r="F9574">
        <f>IF(DATOS!$A9574="","",DATOS!$A9574&amp;"|"&amp;DATOS!$D9574&amp;"|"&amp;DATOS!$E9574&amp;"|"&amp;DATOS!$I9574)</f>
      </c>
      <c r="G9574">
        <f>IF(DATOS!$A9574="",0,IF(CONFIG_METADATA!$B$4&lt;&gt;"OR+EX",--(DATOS!$G9574=CONFIG_METADATA!$B$4),IF(DATOS!$G9574="EX",1,IF(DATOS!$G9574="OR",--(COUNTIFS(nNIA,DATOS!$A9574,nCURSO,DATOS!$D9574,nESPEC,DATOS!$E9574,nASIG,DATOS!$I9574,nEVAL,"EX")=0),0))))</f>
      </c>
      <c r="H9574">
        <f>IF(DATOS!$G9574&lt;&gt;"EX",0,--(COUNTIFS(nNIA,DATOS!$A9574,nCURSO,DATOS!$D9574,nESPEC,DATOS!$E9574,nASIG,DATOS!$I9574,nEVAL,"OR")=0))</f>
      </c>
      <c r="I9574">
        <f>IF(DATOS!$I9574="","",IFERROR(VLOOKUP(DATOS!$I9574,CONFIG_ASIGNATURAS!$B$2:$J$91,9,FALSE()),""))</f>
      </c>
    </row>
    <row r="9575">
      <c r="F9575">
        <f>IF(DATOS!$A9575="","",DATOS!$A9575&amp;"|"&amp;DATOS!$D9575&amp;"|"&amp;DATOS!$E9575&amp;"|"&amp;DATOS!$I9575)</f>
      </c>
      <c r="G9575">
        <f>IF(DATOS!$A9575="",0,IF(CONFIG_METADATA!$B$4&lt;&gt;"OR+EX",--(DATOS!$G9575=CONFIG_METADATA!$B$4),IF(DATOS!$G9575="EX",1,IF(DATOS!$G9575="OR",--(COUNTIFS(nNIA,DATOS!$A9575,nCURSO,DATOS!$D9575,nESPEC,DATOS!$E9575,nASIG,DATOS!$I9575,nEVAL,"EX")=0),0))))</f>
      </c>
      <c r="H9575">
        <f>IF(DATOS!$G9575&lt;&gt;"EX",0,--(COUNTIFS(nNIA,DATOS!$A9575,nCURSO,DATOS!$D9575,nESPEC,DATOS!$E9575,nASIG,DATOS!$I9575,nEVAL,"OR")=0))</f>
      </c>
      <c r="I9575">
        <f>IF(DATOS!$I9575="","",IFERROR(VLOOKUP(DATOS!$I9575,CONFIG_ASIGNATURAS!$B$2:$J$91,9,FALSE()),""))</f>
      </c>
    </row>
    <row r="9576">
      <c r="F9576">
        <f>IF(DATOS!$A9576="","",DATOS!$A9576&amp;"|"&amp;DATOS!$D9576&amp;"|"&amp;DATOS!$E9576&amp;"|"&amp;DATOS!$I9576)</f>
      </c>
      <c r="G9576">
        <f>IF(DATOS!$A9576="",0,IF(CONFIG_METADATA!$B$4&lt;&gt;"OR+EX",--(DATOS!$G9576=CONFIG_METADATA!$B$4),IF(DATOS!$G9576="EX",1,IF(DATOS!$G9576="OR",--(COUNTIFS(nNIA,DATOS!$A9576,nCURSO,DATOS!$D9576,nESPEC,DATOS!$E9576,nASIG,DATOS!$I9576,nEVAL,"EX")=0),0))))</f>
      </c>
      <c r="H9576">
        <f>IF(DATOS!$G9576&lt;&gt;"EX",0,--(COUNTIFS(nNIA,DATOS!$A9576,nCURSO,DATOS!$D9576,nESPEC,DATOS!$E9576,nASIG,DATOS!$I9576,nEVAL,"OR")=0))</f>
      </c>
      <c r="I9576">
        <f>IF(DATOS!$I9576="","",IFERROR(VLOOKUP(DATOS!$I9576,CONFIG_ASIGNATURAS!$B$2:$J$91,9,FALSE()),""))</f>
      </c>
    </row>
    <row r="9577">
      <c r="F9577">
        <f>IF(DATOS!$A9577="","",DATOS!$A9577&amp;"|"&amp;DATOS!$D9577&amp;"|"&amp;DATOS!$E9577&amp;"|"&amp;DATOS!$I9577)</f>
      </c>
      <c r="G9577">
        <f>IF(DATOS!$A9577="",0,IF(CONFIG_METADATA!$B$4&lt;&gt;"OR+EX",--(DATOS!$G9577=CONFIG_METADATA!$B$4),IF(DATOS!$G9577="EX",1,IF(DATOS!$G9577="OR",--(COUNTIFS(nNIA,DATOS!$A9577,nCURSO,DATOS!$D9577,nESPEC,DATOS!$E9577,nASIG,DATOS!$I9577,nEVAL,"EX")=0),0))))</f>
      </c>
      <c r="H9577">
        <f>IF(DATOS!$G9577&lt;&gt;"EX",0,--(COUNTIFS(nNIA,DATOS!$A9577,nCURSO,DATOS!$D9577,nESPEC,DATOS!$E9577,nASIG,DATOS!$I9577,nEVAL,"OR")=0))</f>
      </c>
      <c r="I9577">
        <f>IF(DATOS!$I9577="","",IFERROR(VLOOKUP(DATOS!$I9577,CONFIG_ASIGNATURAS!$B$2:$J$91,9,FALSE()),""))</f>
      </c>
    </row>
    <row r="9578">
      <c r="F9578">
        <f>IF(DATOS!$A9578="","",DATOS!$A9578&amp;"|"&amp;DATOS!$D9578&amp;"|"&amp;DATOS!$E9578&amp;"|"&amp;DATOS!$I9578)</f>
      </c>
      <c r="G9578">
        <f>IF(DATOS!$A9578="",0,IF(CONFIG_METADATA!$B$4&lt;&gt;"OR+EX",--(DATOS!$G9578=CONFIG_METADATA!$B$4),IF(DATOS!$G9578="EX",1,IF(DATOS!$G9578="OR",--(COUNTIFS(nNIA,DATOS!$A9578,nCURSO,DATOS!$D9578,nESPEC,DATOS!$E9578,nASIG,DATOS!$I9578,nEVAL,"EX")=0),0))))</f>
      </c>
      <c r="H9578">
        <f>IF(DATOS!$G9578&lt;&gt;"EX",0,--(COUNTIFS(nNIA,DATOS!$A9578,nCURSO,DATOS!$D9578,nESPEC,DATOS!$E9578,nASIG,DATOS!$I9578,nEVAL,"OR")=0))</f>
      </c>
      <c r="I9578">
        <f>IF(DATOS!$I9578="","",IFERROR(VLOOKUP(DATOS!$I9578,CONFIG_ASIGNATURAS!$B$2:$J$91,9,FALSE()),""))</f>
      </c>
    </row>
    <row r="9579">
      <c r="F9579">
        <f>IF(DATOS!$A9579="","",DATOS!$A9579&amp;"|"&amp;DATOS!$D9579&amp;"|"&amp;DATOS!$E9579&amp;"|"&amp;DATOS!$I9579)</f>
      </c>
      <c r="G9579">
        <f>IF(DATOS!$A9579="",0,IF(CONFIG_METADATA!$B$4&lt;&gt;"OR+EX",--(DATOS!$G9579=CONFIG_METADATA!$B$4),IF(DATOS!$G9579="EX",1,IF(DATOS!$G9579="OR",--(COUNTIFS(nNIA,DATOS!$A9579,nCURSO,DATOS!$D9579,nESPEC,DATOS!$E9579,nASIG,DATOS!$I9579,nEVAL,"EX")=0),0))))</f>
      </c>
      <c r="H9579">
        <f>IF(DATOS!$G9579&lt;&gt;"EX",0,--(COUNTIFS(nNIA,DATOS!$A9579,nCURSO,DATOS!$D9579,nESPEC,DATOS!$E9579,nASIG,DATOS!$I9579,nEVAL,"OR")=0))</f>
      </c>
      <c r="I9579">
        <f>IF(DATOS!$I9579="","",IFERROR(VLOOKUP(DATOS!$I9579,CONFIG_ASIGNATURAS!$B$2:$J$91,9,FALSE()),""))</f>
      </c>
    </row>
    <row r="9580">
      <c r="F9580">
        <f>IF(DATOS!$A9580="","",DATOS!$A9580&amp;"|"&amp;DATOS!$D9580&amp;"|"&amp;DATOS!$E9580&amp;"|"&amp;DATOS!$I9580)</f>
      </c>
      <c r="G9580">
        <f>IF(DATOS!$A9580="",0,IF(CONFIG_METADATA!$B$4&lt;&gt;"OR+EX",--(DATOS!$G9580=CONFIG_METADATA!$B$4),IF(DATOS!$G9580="EX",1,IF(DATOS!$G9580="OR",--(COUNTIFS(nNIA,DATOS!$A9580,nCURSO,DATOS!$D9580,nESPEC,DATOS!$E9580,nASIG,DATOS!$I9580,nEVAL,"EX")=0),0))))</f>
      </c>
      <c r="H9580">
        <f>IF(DATOS!$G9580&lt;&gt;"EX",0,--(COUNTIFS(nNIA,DATOS!$A9580,nCURSO,DATOS!$D9580,nESPEC,DATOS!$E9580,nASIG,DATOS!$I9580,nEVAL,"OR")=0))</f>
      </c>
      <c r="I9580">
        <f>IF(DATOS!$I9580="","",IFERROR(VLOOKUP(DATOS!$I9580,CONFIG_ASIGNATURAS!$B$2:$J$91,9,FALSE()),""))</f>
      </c>
    </row>
    <row r="9581">
      <c r="F9581">
        <f>IF(DATOS!$A9581="","",DATOS!$A9581&amp;"|"&amp;DATOS!$D9581&amp;"|"&amp;DATOS!$E9581&amp;"|"&amp;DATOS!$I9581)</f>
      </c>
      <c r="G9581">
        <f>IF(DATOS!$A9581="",0,IF(CONFIG_METADATA!$B$4&lt;&gt;"OR+EX",--(DATOS!$G9581=CONFIG_METADATA!$B$4),IF(DATOS!$G9581="EX",1,IF(DATOS!$G9581="OR",--(COUNTIFS(nNIA,DATOS!$A9581,nCURSO,DATOS!$D9581,nESPEC,DATOS!$E9581,nASIG,DATOS!$I9581,nEVAL,"EX")=0),0))))</f>
      </c>
      <c r="H9581">
        <f>IF(DATOS!$G9581&lt;&gt;"EX",0,--(COUNTIFS(nNIA,DATOS!$A9581,nCURSO,DATOS!$D9581,nESPEC,DATOS!$E9581,nASIG,DATOS!$I9581,nEVAL,"OR")=0))</f>
      </c>
      <c r="I9581">
        <f>IF(DATOS!$I9581="","",IFERROR(VLOOKUP(DATOS!$I9581,CONFIG_ASIGNATURAS!$B$2:$J$91,9,FALSE()),""))</f>
      </c>
    </row>
    <row r="9582">
      <c r="F9582">
        <f>IF(DATOS!$A9582="","",DATOS!$A9582&amp;"|"&amp;DATOS!$D9582&amp;"|"&amp;DATOS!$E9582&amp;"|"&amp;DATOS!$I9582)</f>
      </c>
      <c r="G9582">
        <f>IF(DATOS!$A9582="",0,IF(CONFIG_METADATA!$B$4&lt;&gt;"OR+EX",--(DATOS!$G9582=CONFIG_METADATA!$B$4),IF(DATOS!$G9582="EX",1,IF(DATOS!$G9582="OR",--(COUNTIFS(nNIA,DATOS!$A9582,nCURSO,DATOS!$D9582,nESPEC,DATOS!$E9582,nASIG,DATOS!$I9582,nEVAL,"EX")=0),0))))</f>
      </c>
      <c r="H9582">
        <f>IF(DATOS!$G9582&lt;&gt;"EX",0,--(COUNTIFS(nNIA,DATOS!$A9582,nCURSO,DATOS!$D9582,nESPEC,DATOS!$E9582,nASIG,DATOS!$I9582,nEVAL,"OR")=0))</f>
      </c>
      <c r="I9582">
        <f>IF(DATOS!$I9582="","",IFERROR(VLOOKUP(DATOS!$I9582,CONFIG_ASIGNATURAS!$B$2:$J$91,9,FALSE()),""))</f>
      </c>
    </row>
    <row r="9583">
      <c r="F9583">
        <f>IF(DATOS!$A9583="","",DATOS!$A9583&amp;"|"&amp;DATOS!$D9583&amp;"|"&amp;DATOS!$E9583&amp;"|"&amp;DATOS!$I9583)</f>
      </c>
      <c r="G9583">
        <f>IF(DATOS!$A9583="",0,IF(CONFIG_METADATA!$B$4&lt;&gt;"OR+EX",--(DATOS!$G9583=CONFIG_METADATA!$B$4),IF(DATOS!$G9583="EX",1,IF(DATOS!$G9583="OR",--(COUNTIFS(nNIA,DATOS!$A9583,nCURSO,DATOS!$D9583,nESPEC,DATOS!$E9583,nASIG,DATOS!$I9583,nEVAL,"EX")=0),0))))</f>
      </c>
      <c r="H9583">
        <f>IF(DATOS!$G9583&lt;&gt;"EX",0,--(COUNTIFS(nNIA,DATOS!$A9583,nCURSO,DATOS!$D9583,nESPEC,DATOS!$E9583,nASIG,DATOS!$I9583,nEVAL,"OR")=0))</f>
      </c>
      <c r="I9583">
        <f>IF(DATOS!$I9583="","",IFERROR(VLOOKUP(DATOS!$I9583,CONFIG_ASIGNATURAS!$B$2:$J$91,9,FALSE()),""))</f>
      </c>
    </row>
    <row r="9584">
      <c r="F9584">
        <f>IF(DATOS!$A9584="","",DATOS!$A9584&amp;"|"&amp;DATOS!$D9584&amp;"|"&amp;DATOS!$E9584&amp;"|"&amp;DATOS!$I9584)</f>
      </c>
      <c r="G9584">
        <f>IF(DATOS!$A9584="",0,IF(CONFIG_METADATA!$B$4&lt;&gt;"OR+EX",--(DATOS!$G9584=CONFIG_METADATA!$B$4),IF(DATOS!$G9584="EX",1,IF(DATOS!$G9584="OR",--(COUNTIFS(nNIA,DATOS!$A9584,nCURSO,DATOS!$D9584,nESPEC,DATOS!$E9584,nASIG,DATOS!$I9584,nEVAL,"EX")=0),0))))</f>
      </c>
      <c r="H9584">
        <f>IF(DATOS!$G9584&lt;&gt;"EX",0,--(COUNTIFS(nNIA,DATOS!$A9584,nCURSO,DATOS!$D9584,nESPEC,DATOS!$E9584,nASIG,DATOS!$I9584,nEVAL,"OR")=0))</f>
      </c>
      <c r="I9584">
        <f>IF(DATOS!$I9584="","",IFERROR(VLOOKUP(DATOS!$I9584,CONFIG_ASIGNATURAS!$B$2:$J$91,9,FALSE()),""))</f>
      </c>
    </row>
    <row r="9585">
      <c r="F9585">
        <f>IF(DATOS!$A9585="","",DATOS!$A9585&amp;"|"&amp;DATOS!$D9585&amp;"|"&amp;DATOS!$E9585&amp;"|"&amp;DATOS!$I9585)</f>
      </c>
      <c r="G9585">
        <f>IF(DATOS!$A9585="",0,IF(CONFIG_METADATA!$B$4&lt;&gt;"OR+EX",--(DATOS!$G9585=CONFIG_METADATA!$B$4),IF(DATOS!$G9585="EX",1,IF(DATOS!$G9585="OR",--(COUNTIFS(nNIA,DATOS!$A9585,nCURSO,DATOS!$D9585,nESPEC,DATOS!$E9585,nASIG,DATOS!$I9585,nEVAL,"EX")=0),0))))</f>
      </c>
      <c r="H9585">
        <f>IF(DATOS!$G9585&lt;&gt;"EX",0,--(COUNTIFS(nNIA,DATOS!$A9585,nCURSO,DATOS!$D9585,nESPEC,DATOS!$E9585,nASIG,DATOS!$I9585,nEVAL,"OR")=0))</f>
      </c>
      <c r="I9585">
        <f>IF(DATOS!$I9585="","",IFERROR(VLOOKUP(DATOS!$I9585,CONFIG_ASIGNATURAS!$B$2:$J$91,9,FALSE()),""))</f>
      </c>
    </row>
    <row r="9586">
      <c r="F9586">
        <f>IF(DATOS!$A9586="","",DATOS!$A9586&amp;"|"&amp;DATOS!$D9586&amp;"|"&amp;DATOS!$E9586&amp;"|"&amp;DATOS!$I9586)</f>
      </c>
      <c r="G9586">
        <f>IF(DATOS!$A9586="",0,IF(CONFIG_METADATA!$B$4&lt;&gt;"OR+EX",--(DATOS!$G9586=CONFIG_METADATA!$B$4),IF(DATOS!$G9586="EX",1,IF(DATOS!$G9586="OR",--(COUNTIFS(nNIA,DATOS!$A9586,nCURSO,DATOS!$D9586,nESPEC,DATOS!$E9586,nASIG,DATOS!$I9586,nEVAL,"EX")=0),0))))</f>
      </c>
      <c r="H9586">
        <f>IF(DATOS!$G9586&lt;&gt;"EX",0,--(COUNTIFS(nNIA,DATOS!$A9586,nCURSO,DATOS!$D9586,nESPEC,DATOS!$E9586,nASIG,DATOS!$I9586,nEVAL,"OR")=0))</f>
      </c>
      <c r="I9586">
        <f>IF(DATOS!$I9586="","",IFERROR(VLOOKUP(DATOS!$I9586,CONFIG_ASIGNATURAS!$B$2:$J$91,9,FALSE()),""))</f>
      </c>
    </row>
    <row r="9587">
      <c r="F9587">
        <f>IF(DATOS!$A9587="","",DATOS!$A9587&amp;"|"&amp;DATOS!$D9587&amp;"|"&amp;DATOS!$E9587&amp;"|"&amp;DATOS!$I9587)</f>
      </c>
      <c r="G9587">
        <f>IF(DATOS!$A9587="",0,IF(CONFIG_METADATA!$B$4&lt;&gt;"OR+EX",--(DATOS!$G9587=CONFIG_METADATA!$B$4),IF(DATOS!$G9587="EX",1,IF(DATOS!$G9587="OR",--(COUNTIFS(nNIA,DATOS!$A9587,nCURSO,DATOS!$D9587,nESPEC,DATOS!$E9587,nASIG,DATOS!$I9587,nEVAL,"EX")=0),0))))</f>
      </c>
      <c r="H9587">
        <f>IF(DATOS!$G9587&lt;&gt;"EX",0,--(COUNTIFS(nNIA,DATOS!$A9587,nCURSO,DATOS!$D9587,nESPEC,DATOS!$E9587,nASIG,DATOS!$I9587,nEVAL,"OR")=0))</f>
      </c>
      <c r="I9587">
        <f>IF(DATOS!$I9587="","",IFERROR(VLOOKUP(DATOS!$I9587,CONFIG_ASIGNATURAS!$B$2:$J$91,9,FALSE()),""))</f>
      </c>
    </row>
    <row r="9588">
      <c r="F9588">
        <f>IF(DATOS!$A9588="","",DATOS!$A9588&amp;"|"&amp;DATOS!$D9588&amp;"|"&amp;DATOS!$E9588&amp;"|"&amp;DATOS!$I9588)</f>
      </c>
      <c r="G9588">
        <f>IF(DATOS!$A9588="",0,IF(CONFIG_METADATA!$B$4&lt;&gt;"OR+EX",--(DATOS!$G9588=CONFIG_METADATA!$B$4),IF(DATOS!$G9588="EX",1,IF(DATOS!$G9588="OR",--(COUNTIFS(nNIA,DATOS!$A9588,nCURSO,DATOS!$D9588,nESPEC,DATOS!$E9588,nASIG,DATOS!$I9588,nEVAL,"EX")=0),0))))</f>
      </c>
      <c r="H9588">
        <f>IF(DATOS!$G9588&lt;&gt;"EX",0,--(COUNTIFS(nNIA,DATOS!$A9588,nCURSO,DATOS!$D9588,nESPEC,DATOS!$E9588,nASIG,DATOS!$I9588,nEVAL,"OR")=0))</f>
      </c>
      <c r="I9588">
        <f>IF(DATOS!$I9588="","",IFERROR(VLOOKUP(DATOS!$I9588,CONFIG_ASIGNATURAS!$B$2:$J$91,9,FALSE()),""))</f>
      </c>
    </row>
    <row r="9589">
      <c r="F9589">
        <f>IF(DATOS!$A9589="","",DATOS!$A9589&amp;"|"&amp;DATOS!$D9589&amp;"|"&amp;DATOS!$E9589&amp;"|"&amp;DATOS!$I9589)</f>
      </c>
      <c r="G9589">
        <f>IF(DATOS!$A9589="",0,IF(CONFIG_METADATA!$B$4&lt;&gt;"OR+EX",--(DATOS!$G9589=CONFIG_METADATA!$B$4),IF(DATOS!$G9589="EX",1,IF(DATOS!$G9589="OR",--(COUNTIFS(nNIA,DATOS!$A9589,nCURSO,DATOS!$D9589,nESPEC,DATOS!$E9589,nASIG,DATOS!$I9589,nEVAL,"EX")=0),0))))</f>
      </c>
      <c r="H9589">
        <f>IF(DATOS!$G9589&lt;&gt;"EX",0,--(COUNTIFS(nNIA,DATOS!$A9589,nCURSO,DATOS!$D9589,nESPEC,DATOS!$E9589,nASIG,DATOS!$I9589,nEVAL,"OR")=0))</f>
      </c>
      <c r="I9589">
        <f>IF(DATOS!$I9589="","",IFERROR(VLOOKUP(DATOS!$I9589,CONFIG_ASIGNATURAS!$B$2:$J$91,9,FALSE()),""))</f>
      </c>
    </row>
    <row r="9590">
      <c r="F9590">
        <f>IF(DATOS!$A9590="","",DATOS!$A9590&amp;"|"&amp;DATOS!$D9590&amp;"|"&amp;DATOS!$E9590&amp;"|"&amp;DATOS!$I9590)</f>
      </c>
      <c r="G9590">
        <f>IF(DATOS!$A9590="",0,IF(CONFIG_METADATA!$B$4&lt;&gt;"OR+EX",--(DATOS!$G9590=CONFIG_METADATA!$B$4),IF(DATOS!$G9590="EX",1,IF(DATOS!$G9590="OR",--(COUNTIFS(nNIA,DATOS!$A9590,nCURSO,DATOS!$D9590,nESPEC,DATOS!$E9590,nASIG,DATOS!$I9590,nEVAL,"EX")=0),0))))</f>
      </c>
      <c r="H9590">
        <f>IF(DATOS!$G9590&lt;&gt;"EX",0,--(COUNTIFS(nNIA,DATOS!$A9590,nCURSO,DATOS!$D9590,nESPEC,DATOS!$E9590,nASIG,DATOS!$I9590,nEVAL,"OR")=0))</f>
      </c>
      <c r="I9590">
        <f>IF(DATOS!$I9590="","",IFERROR(VLOOKUP(DATOS!$I9590,CONFIG_ASIGNATURAS!$B$2:$J$91,9,FALSE()),""))</f>
      </c>
    </row>
    <row r="9591">
      <c r="F9591">
        <f>IF(DATOS!$A9591="","",DATOS!$A9591&amp;"|"&amp;DATOS!$D9591&amp;"|"&amp;DATOS!$E9591&amp;"|"&amp;DATOS!$I9591)</f>
      </c>
      <c r="G9591">
        <f>IF(DATOS!$A9591="",0,IF(CONFIG_METADATA!$B$4&lt;&gt;"OR+EX",--(DATOS!$G9591=CONFIG_METADATA!$B$4),IF(DATOS!$G9591="EX",1,IF(DATOS!$G9591="OR",--(COUNTIFS(nNIA,DATOS!$A9591,nCURSO,DATOS!$D9591,nESPEC,DATOS!$E9591,nASIG,DATOS!$I9591,nEVAL,"EX")=0),0))))</f>
      </c>
      <c r="H9591">
        <f>IF(DATOS!$G9591&lt;&gt;"EX",0,--(COUNTIFS(nNIA,DATOS!$A9591,nCURSO,DATOS!$D9591,nESPEC,DATOS!$E9591,nASIG,DATOS!$I9591,nEVAL,"OR")=0))</f>
      </c>
      <c r="I9591">
        <f>IF(DATOS!$I9591="","",IFERROR(VLOOKUP(DATOS!$I9591,CONFIG_ASIGNATURAS!$B$2:$J$91,9,FALSE()),""))</f>
      </c>
    </row>
    <row r="9592">
      <c r="F9592">
        <f>IF(DATOS!$A9592="","",DATOS!$A9592&amp;"|"&amp;DATOS!$D9592&amp;"|"&amp;DATOS!$E9592&amp;"|"&amp;DATOS!$I9592)</f>
      </c>
      <c r="G9592">
        <f>IF(DATOS!$A9592="",0,IF(CONFIG_METADATA!$B$4&lt;&gt;"OR+EX",--(DATOS!$G9592=CONFIG_METADATA!$B$4),IF(DATOS!$G9592="EX",1,IF(DATOS!$G9592="OR",--(COUNTIFS(nNIA,DATOS!$A9592,nCURSO,DATOS!$D9592,nESPEC,DATOS!$E9592,nASIG,DATOS!$I9592,nEVAL,"EX")=0),0))))</f>
      </c>
      <c r="H9592">
        <f>IF(DATOS!$G9592&lt;&gt;"EX",0,--(COUNTIFS(nNIA,DATOS!$A9592,nCURSO,DATOS!$D9592,nESPEC,DATOS!$E9592,nASIG,DATOS!$I9592,nEVAL,"OR")=0))</f>
      </c>
      <c r="I9592">
        <f>IF(DATOS!$I9592="","",IFERROR(VLOOKUP(DATOS!$I9592,CONFIG_ASIGNATURAS!$B$2:$J$91,9,FALSE()),""))</f>
      </c>
    </row>
    <row r="9593">
      <c r="F9593">
        <f>IF(DATOS!$A9593="","",DATOS!$A9593&amp;"|"&amp;DATOS!$D9593&amp;"|"&amp;DATOS!$E9593&amp;"|"&amp;DATOS!$I9593)</f>
      </c>
      <c r="G9593">
        <f>IF(DATOS!$A9593="",0,IF(CONFIG_METADATA!$B$4&lt;&gt;"OR+EX",--(DATOS!$G9593=CONFIG_METADATA!$B$4),IF(DATOS!$G9593="EX",1,IF(DATOS!$G9593="OR",--(COUNTIFS(nNIA,DATOS!$A9593,nCURSO,DATOS!$D9593,nESPEC,DATOS!$E9593,nASIG,DATOS!$I9593,nEVAL,"EX")=0),0))))</f>
      </c>
      <c r="H9593">
        <f>IF(DATOS!$G9593&lt;&gt;"EX",0,--(COUNTIFS(nNIA,DATOS!$A9593,nCURSO,DATOS!$D9593,nESPEC,DATOS!$E9593,nASIG,DATOS!$I9593,nEVAL,"OR")=0))</f>
      </c>
      <c r="I9593">
        <f>IF(DATOS!$I9593="","",IFERROR(VLOOKUP(DATOS!$I9593,CONFIG_ASIGNATURAS!$B$2:$J$91,9,FALSE()),""))</f>
      </c>
    </row>
    <row r="9594">
      <c r="F9594">
        <f>IF(DATOS!$A9594="","",DATOS!$A9594&amp;"|"&amp;DATOS!$D9594&amp;"|"&amp;DATOS!$E9594&amp;"|"&amp;DATOS!$I9594)</f>
      </c>
      <c r="G9594">
        <f>IF(DATOS!$A9594="",0,IF(CONFIG_METADATA!$B$4&lt;&gt;"OR+EX",--(DATOS!$G9594=CONFIG_METADATA!$B$4),IF(DATOS!$G9594="EX",1,IF(DATOS!$G9594="OR",--(COUNTIFS(nNIA,DATOS!$A9594,nCURSO,DATOS!$D9594,nESPEC,DATOS!$E9594,nASIG,DATOS!$I9594,nEVAL,"EX")=0),0))))</f>
      </c>
      <c r="H9594">
        <f>IF(DATOS!$G9594&lt;&gt;"EX",0,--(COUNTIFS(nNIA,DATOS!$A9594,nCURSO,DATOS!$D9594,nESPEC,DATOS!$E9594,nASIG,DATOS!$I9594,nEVAL,"OR")=0))</f>
      </c>
      <c r="I9594">
        <f>IF(DATOS!$I9594="","",IFERROR(VLOOKUP(DATOS!$I9594,CONFIG_ASIGNATURAS!$B$2:$J$91,9,FALSE()),""))</f>
      </c>
    </row>
    <row r="9595">
      <c r="F9595">
        <f>IF(DATOS!$A9595="","",DATOS!$A9595&amp;"|"&amp;DATOS!$D9595&amp;"|"&amp;DATOS!$E9595&amp;"|"&amp;DATOS!$I9595)</f>
      </c>
      <c r="G9595">
        <f>IF(DATOS!$A9595="",0,IF(CONFIG_METADATA!$B$4&lt;&gt;"OR+EX",--(DATOS!$G9595=CONFIG_METADATA!$B$4),IF(DATOS!$G9595="EX",1,IF(DATOS!$G9595="OR",--(COUNTIFS(nNIA,DATOS!$A9595,nCURSO,DATOS!$D9595,nESPEC,DATOS!$E9595,nASIG,DATOS!$I9595,nEVAL,"EX")=0),0))))</f>
      </c>
      <c r="H9595">
        <f>IF(DATOS!$G9595&lt;&gt;"EX",0,--(COUNTIFS(nNIA,DATOS!$A9595,nCURSO,DATOS!$D9595,nESPEC,DATOS!$E9595,nASIG,DATOS!$I9595,nEVAL,"OR")=0))</f>
      </c>
      <c r="I9595">
        <f>IF(DATOS!$I9595="","",IFERROR(VLOOKUP(DATOS!$I9595,CONFIG_ASIGNATURAS!$B$2:$J$91,9,FALSE()),""))</f>
      </c>
    </row>
    <row r="9596">
      <c r="F9596">
        <f>IF(DATOS!$A9596="","",DATOS!$A9596&amp;"|"&amp;DATOS!$D9596&amp;"|"&amp;DATOS!$E9596&amp;"|"&amp;DATOS!$I9596)</f>
      </c>
      <c r="G9596">
        <f>IF(DATOS!$A9596="",0,IF(CONFIG_METADATA!$B$4&lt;&gt;"OR+EX",--(DATOS!$G9596=CONFIG_METADATA!$B$4),IF(DATOS!$G9596="EX",1,IF(DATOS!$G9596="OR",--(COUNTIFS(nNIA,DATOS!$A9596,nCURSO,DATOS!$D9596,nESPEC,DATOS!$E9596,nASIG,DATOS!$I9596,nEVAL,"EX")=0),0))))</f>
      </c>
      <c r="H9596">
        <f>IF(DATOS!$G9596&lt;&gt;"EX",0,--(COUNTIFS(nNIA,DATOS!$A9596,nCURSO,DATOS!$D9596,nESPEC,DATOS!$E9596,nASIG,DATOS!$I9596,nEVAL,"OR")=0))</f>
      </c>
      <c r="I9596">
        <f>IF(DATOS!$I9596="","",IFERROR(VLOOKUP(DATOS!$I9596,CONFIG_ASIGNATURAS!$B$2:$J$91,9,FALSE()),""))</f>
      </c>
    </row>
    <row r="9597">
      <c r="F9597">
        <f>IF(DATOS!$A9597="","",DATOS!$A9597&amp;"|"&amp;DATOS!$D9597&amp;"|"&amp;DATOS!$E9597&amp;"|"&amp;DATOS!$I9597)</f>
      </c>
      <c r="G9597">
        <f>IF(DATOS!$A9597="",0,IF(CONFIG_METADATA!$B$4&lt;&gt;"OR+EX",--(DATOS!$G9597=CONFIG_METADATA!$B$4),IF(DATOS!$G9597="EX",1,IF(DATOS!$G9597="OR",--(COUNTIFS(nNIA,DATOS!$A9597,nCURSO,DATOS!$D9597,nESPEC,DATOS!$E9597,nASIG,DATOS!$I9597,nEVAL,"EX")=0),0))))</f>
      </c>
      <c r="H9597">
        <f>IF(DATOS!$G9597&lt;&gt;"EX",0,--(COUNTIFS(nNIA,DATOS!$A9597,nCURSO,DATOS!$D9597,nESPEC,DATOS!$E9597,nASIG,DATOS!$I9597,nEVAL,"OR")=0))</f>
      </c>
      <c r="I9597">
        <f>IF(DATOS!$I9597="","",IFERROR(VLOOKUP(DATOS!$I9597,CONFIG_ASIGNATURAS!$B$2:$J$91,9,FALSE()),""))</f>
      </c>
    </row>
    <row r="9598">
      <c r="F9598">
        <f>IF(DATOS!$A9598="","",DATOS!$A9598&amp;"|"&amp;DATOS!$D9598&amp;"|"&amp;DATOS!$E9598&amp;"|"&amp;DATOS!$I9598)</f>
      </c>
      <c r="G9598">
        <f>IF(DATOS!$A9598="",0,IF(CONFIG_METADATA!$B$4&lt;&gt;"OR+EX",--(DATOS!$G9598=CONFIG_METADATA!$B$4),IF(DATOS!$G9598="EX",1,IF(DATOS!$G9598="OR",--(COUNTIFS(nNIA,DATOS!$A9598,nCURSO,DATOS!$D9598,nESPEC,DATOS!$E9598,nASIG,DATOS!$I9598,nEVAL,"EX")=0),0))))</f>
      </c>
      <c r="H9598">
        <f>IF(DATOS!$G9598&lt;&gt;"EX",0,--(COUNTIFS(nNIA,DATOS!$A9598,nCURSO,DATOS!$D9598,nESPEC,DATOS!$E9598,nASIG,DATOS!$I9598,nEVAL,"OR")=0))</f>
      </c>
      <c r="I9598">
        <f>IF(DATOS!$I9598="","",IFERROR(VLOOKUP(DATOS!$I9598,CONFIG_ASIGNATURAS!$B$2:$J$91,9,FALSE()),""))</f>
      </c>
    </row>
    <row r="9599">
      <c r="F9599">
        <f>IF(DATOS!$A9599="","",DATOS!$A9599&amp;"|"&amp;DATOS!$D9599&amp;"|"&amp;DATOS!$E9599&amp;"|"&amp;DATOS!$I9599)</f>
      </c>
      <c r="G9599">
        <f>IF(DATOS!$A9599="",0,IF(CONFIG_METADATA!$B$4&lt;&gt;"OR+EX",--(DATOS!$G9599=CONFIG_METADATA!$B$4),IF(DATOS!$G9599="EX",1,IF(DATOS!$G9599="OR",--(COUNTIFS(nNIA,DATOS!$A9599,nCURSO,DATOS!$D9599,nESPEC,DATOS!$E9599,nASIG,DATOS!$I9599,nEVAL,"EX")=0),0))))</f>
      </c>
      <c r="H9599">
        <f>IF(DATOS!$G9599&lt;&gt;"EX",0,--(COUNTIFS(nNIA,DATOS!$A9599,nCURSO,DATOS!$D9599,nESPEC,DATOS!$E9599,nASIG,DATOS!$I9599,nEVAL,"OR")=0))</f>
      </c>
      <c r="I9599">
        <f>IF(DATOS!$I9599="","",IFERROR(VLOOKUP(DATOS!$I9599,CONFIG_ASIGNATURAS!$B$2:$J$91,9,FALSE()),""))</f>
      </c>
    </row>
    <row r="9600">
      <c r="F9600">
        <f>IF(DATOS!$A9600="","",DATOS!$A9600&amp;"|"&amp;DATOS!$D9600&amp;"|"&amp;DATOS!$E9600&amp;"|"&amp;DATOS!$I9600)</f>
      </c>
      <c r="G9600">
        <f>IF(DATOS!$A9600="",0,IF(CONFIG_METADATA!$B$4&lt;&gt;"OR+EX",--(DATOS!$G9600=CONFIG_METADATA!$B$4),IF(DATOS!$G9600="EX",1,IF(DATOS!$G9600="OR",--(COUNTIFS(nNIA,DATOS!$A9600,nCURSO,DATOS!$D9600,nESPEC,DATOS!$E9600,nASIG,DATOS!$I9600,nEVAL,"EX")=0),0))))</f>
      </c>
      <c r="H9600">
        <f>IF(DATOS!$G9600&lt;&gt;"EX",0,--(COUNTIFS(nNIA,DATOS!$A9600,nCURSO,DATOS!$D9600,nESPEC,DATOS!$E9600,nASIG,DATOS!$I9600,nEVAL,"OR")=0))</f>
      </c>
      <c r="I9600">
        <f>IF(DATOS!$I9600="","",IFERROR(VLOOKUP(DATOS!$I9600,CONFIG_ASIGNATURAS!$B$2:$J$91,9,FALSE()),""))</f>
      </c>
    </row>
    <row r="9601">
      <c r="F9601">
        <f>IF(DATOS!$A9601="","",DATOS!$A9601&amp;"|"&amp;DATOS!$D9601&amp;"|"&amp;DATOS!$E9601&amp;"|"&amp;DATOS!$I9601)</f>
      </c>
      <c r="G9601">
        <f>IF(DATOS!$A9601="",0,IF(CONFIG_METADATA!$B$4&lt;&gt;"OR+EX",--(DATOS!$G9601=CONFIG_METADATA!$B$4),IF(DATOS!$G9601="EX",1,IF(DATOS!$G9601="OR",--(COUNTIFS(nNIA,DATOS!$A9601,nCURSO,DATOS!$D9601,nESPEC,DATOS!$E9601,nASIG,DATOS!$I9601,nEVAL,"EX")=0),0))))</f>
      </c>
      <c r="H9601">
        <f>IF(DATOS!$G9601&lt;&gt;"EX",0,--(COUNTIFS(nNIA,DATOS!$A9601,nCURSO,DATOS!$D9601,nESPEC,DATOS!$E9601,nASIG,DATOS!$I9601,nEVAL,"OR")=0))</f>
      </c>
      <c r="I9601">
        <f>IF(DATOS!$I9601="","",IFERROR(VLOOKUP(DATOS!$I9601,CONFIG_ASIGNATURAS!$B$2:$J$91,9,FALSE()),""))</f>
      </c>
    </row>
    <row r="9602">
      <c r="F9602">
        <f>IF(DATOS!$A9602="","",DATOS!$A9602&amp;"|"&amp;DATOS!$D9602&amp;"|"&amp;DATOS!$E9602&amp;"|"&amp;DATOS!$I9602)</f>
      </c>
      <c r="G9602">
        <f>IF(DATOS!$A9602="",0,IF(CONFIG_METADATA!$B$4&lt;&gt;"OR+EX",--(DATOS!$G9602=CONFIG_METADATA!$B$4),IF(DATOS!$G9602="EX",1,IF(DATOS!$G9602="OR",--(COUNTIFS(nNIA,DATOS!$A9602,nCURSO,DATOS!$D9602,nESPEC,DATOS!$E9602,nASIG,DATOS!$I9602,nEVAL,"EX")=0),0))))</f>
      </c>
      <c r="H9602">
        <f>IF(DATOS!$G9602&lt;&gt;"EX",0,--(COUNTIFS(nNIA,DATOS!$A9602,nCURSO,DATOS!$D9602,nESPEC,DATOS!$E9602,nASIG,DATOS!$I9602,nEVAL,"OR")=0))</f>
      </c>
      <c r="I9602">
        <f>IF(DATOS!$I9602="","",IFERROR(VLOOKUP(DATOS!$I9602,CONFIG_ASIGNATURAS!$B$2:$J$91,9,FALSE()),""))</f>
      </c>
    </row>
    <row r="9603">
      <c r="F9603">
        <f>IF(DATOS!$A9603="","",DATOS!$A9603&amp;"|"&amp;DATOS!$D9603&amp;"|"&amp;DATOS!$E9603&amp;"|"&amp;DATOS!$I9603)</f>
      </c>
      <c r="G9603">
        <f>IF(DATOS!$A9603="",0,IF(CONFIG_METADATA!$B$4&lt;&gt;"OR+EX",--(DATOS!$G9603=CONFIG_METADATA!$B$4),IF(DATOS!$G9603="EX",1,IF(DATOS!$G9603="OR",--(COUNTIFS(nNIA,DATOS!$A9603,nCURSO,DATOS!$D9603,nESPEC,DATOS!$E9603,nASIG,DATOS!$I9603,nEVAL,"EX")=0),0))))</f>
      </c>
      <c r="H9603">
        <f>IF(DATOS!$G9603&lt;&gt;"EX",0,--(COUNTIFS(nNIA,DATOS!$A9603,nCURSO,DATOS!$D9603,nESPEC,DATOS!$E9603,nASIG,DATOS!$I9603,nEVAL,"OR")=0))</f>
      </c>
      <c r="I9603">
        <f>IF(DATOS!$I9603="","",IFERROR(VLOOKUP(DATOS!$I9603,CONFIG_ASIGNATURAS!$B$2:$J$91,9,FALSE()),""))</f>
      </c>
    </row>
    <row r="9604">
      <c r="F9604">
        <f>IF(DATOS!$A9604="","",DATOS!$A9604&amp;"|"&amp;DATOS!$D9604&amp;"|"&amp;DATOS!$E9604&amp;"|"&amp;DATOS!$I9604)</f>
      </c>
      <c r="G9604">
        <f>IF(DATOS!$A9604="",0,IF(CONFIG_METADATA!$B$4&lt;&gt;"OR+EX",--(DATOS!$G9604=CONFIG_METADATA!$B$4),IF(DATOS!$G9604="EX",1,IF(DATOS!$G9604="OR",--(COUNTIFS(nNIA,DATOS!$A9604,nCURSO,DATOS!$D9604,nESPEC,DATOS!$E9604,nASIG,DATOS!$I9604,nEVAL,"EX")=0),0))))</f>
      </c>
      <c r="H9604">
        <f>IF(DATOS!$G9604&lt;&gt;"EX",0,--(COUNTIFS(nNIA,DATOS!$A9604,nCURSO,DATOS!$D9604,nESPEC,DATOS!$E9604,nASIG,DATOS!$I9604,nEVAL,"OR")=0))</f>
      </c>
      <c r="I9604">
        <f>IF(DATOS!$I9604="","",IFERROR(VLOOKUP(DATOS!$I9604,CONFIG_ASIGNATURAS!$B$2:$J$91,9,FALSE()),""))</f>
      </c>
    </row>
    <row r="9605">
      <c r="F9605">
        <f>IF(DATOS!$A9605="","",DATOS!$A9605&amp;"|"&amp;DATOS!$D9605&amp;"|"&amp;DATOS!$E9605&amp;"|"&amp;DATOS!$I9605)</f>
      </c>
      <c r="G9605">
        <f>IF(DATOS!$A9605="",0,IF(CONFIG_METADATA!$B$4&lt;&gt;"OR+EX",--(DATOS!$G9605=CONFIG_METADATA!$B$4),IF(DATOS!$G9605="EX",1,IF(DATOS!$G9605="OR",--(COUNTIFS(nNIA,DATOS!$A9605,nCURSO,DATOS!$D9605,nESPEC,DATOS!$E9605,nASIG,DATOS!$I9605,nEVAL,"EX")=0),0))))</f>
      </c>
      <c r="H9605">
        <f>IF(DATOS!$G9605&lt;&gt;"EX",0,--(COUNTIFS(nNIA,DATOS!$A9605,nCURSO,DATOS!$D9605,nESPEC,DATOS!$E9605,nASIG,DATOS!$I9605,nEVAL,"OR")=0))</f>
      </c>
      <c r="I9605">
        <f>IF(DATOS!$I9605="","",IFERROR(VLOOKUP(DATOS!$I9605,CONFIG_ASIGNATURAS!$B$2:$J$91,9,FALSE()),""))</f>
      </c>
    </row>
    <row r="9606">
      <c r="F9606">
        <f>IF(DATOS!$A9606="","",DATOS!$A9606&amp;"|"&amp;DATOS!$D9606&amp;"|"&amp;DATOS!$E9606&amp;"|"&amp;DATOS!$I9606)</f>
      </c>
      <c r="G9606">
        <f>IF(DATOS!$A9606="",0,IF(CONFIG_METADATA!$B$4&lt;&gt;"OR+EX",--(DATOS!$G9606=CONFIG_METADATA!$B$4),IF(DATOS!$G9606="EX",1,IF(DATOS!$G9606="OR",--(COUNTIFS(nNIA,DATOS!$A9606,nCURSO,DATOS!$D9606,nESPEC,DATOS!$E9606,nASIG,DATOS!$I9606,nEVAL,"EX")=0),0))))</f>
      </c>
      <c r="H9606">
        <f>IF(DATOS!$G9606&lt;&gt;"EX",0,--(COUNTIFS(nNIA,DATOS!$A9606,nCURSO,DATOS!$D9606,nESPEC,DATOS!$E9606,nASIG,DATOS!$I9606,nEVAL,"OR")=0))</f>
      </c>
      <c r="I9606">
        <f>IF(DATOS!$I9606="","",IFERROR(VLOOKUP(DATOS!$I9606,CONFIG_ASIGNATURAS!$B$2:$J$91,9,FALSE()),""))</f>
      </c>
    </row>
    <row r="9607">
      <c r="F9607">
        <f>IF(DATOS!$A9607="","",DATOS!$A9607&amp;"|"&amp;DATOS!$D9607&amp;"|"&amp;DATOS!$E9607&amp;"|"&amp;DATOS!$I9607)</f>
      </c>
      <c r="G9607">
        <f>IF(DATOS!$A9607="",0,IF(CONFIG_METADATA!$B$4&lt;&gt;"OR+EX",--(DATOS!$G9607=CONFIG_METADATA!$B$4),IF(DATOS!$G9607="EX",1,IF(DATOS!$G9607="OR",--(COUNTIFS(nNIA,DATOS!$A9607,nCURSO,DATOS!$D9607,nESPEC,DATOS!$E9607,nASIG,DATOS!$I9607,nEVAL,"EX")=0),0))))</f>
      </c>
      <c r="H9607">
        <f>IF(DATOS!$G9607&lt;&gt;"EX",0,--(COUNTIFS(nNIA,DATOS!$A9607,nCURSO,DATOS!$D9607,nESPEC,DATOS!$E9607,nASIG,DATOS!$I9607,nEVAL,"OR")=0))</f>
      </c>
      <c r="I9607">
        <f>IF(DATOS!$I9607="","",IFERROR(VLOOKUP(DATOS!$I9607,CONFIG_ASIGNATURAS!$B$2:$J$91,9,FALSE()),""))</f>
      </c>
    </row>
    <row r="9608">
      <c r="F9608">
        <f>IF(DATOS!$A9608="","",DATOS!$A9608&amp;"|"&amp;DATOS!$D9608&amp;"|"&amp;DATOS!$E9608&amp;"|"&amp;DATOS!$I9608)</f>
      </c>
      <c r="G9608">
        <f>IF(DATOS!$A9608="",0,IF(CONFIG_METADATA!$B$4&lt;&gt;"OR+EX",--(DATOS!$G9608=CONFIG_METADATA!$B$4),IF(DATOS!$G9608="EX",1,IF(DATOS!$G9608="OR",--(COUNTIFS(nNIA,DATOS!$A9608,nCURSO,DATOS!$D9608,nESPEC,DATOS!$E9608,nASIG,DATOS!$I9608,nEVAL,"EX")=0),0))))</f>
      </c>
      <c r="H9608">
        <f>IF(DATOS!$G9608&lt;&gt;"EX",0,--(COUNTIFS(nNIA,DATOS!$A9608,nCURSO,DATOS!$D9608,nESPEC,DATOS!$E9608,nASIG,DATOS!$I9608,nEVAL,"OR")=0))</f>
      </c>
      <c r="I9608">
        <f>IF(DATOS!$I9608="","",IFERROR(VLOOKUP(DATOS!$I9608,CONFIG_ASIGNATURAS!$B$2:$J$91,9,FALSE()),""))</f>
      </c>
    </row>
    <row r="9609">
      <c r="F9609">
        <f>IF(DATOS!$A9609="","",DATOS!$A9609&amp;"|"&amp;DATOS!$D9609&amp;"|"&amp;DATOS!$E9609&amp;"|"&amp;DATOS!$I9609)</f>
      </c>
      <c r="G9609">
        <f>IF(DATOS!$A9609="",0,IF(CONFIG_METADATA!$B$4&lt;&gt;"OR+EX",--(DATOS!$G9609=CONFIG_METADATA!$B$4),IF(DATOS!$G9609="EX",1,IF(DATOS!$G9609="OR",--(COUNTIFS(nNIA,DATOS!$A9609,nCURSO,DATOS!$D9609,nESPEC,DATOS!$E9609,nASIG,DATOS!$I9609,nEVAL,"EX")=0),0))))</f>
      </c>
      <c r="H9609">
        <f>IF(DATOS!$G9609&lt;&gt;"EX",0,--(COUNTIFS(nNIA,DATOS!$A9609,nCURSO,DATOS!$D9609,nESPEC,DATOS!$E9609,nASIG,DATOS!$I9609,nEVAL,"OR")=0))</f>
      </c>
      <c r="I9609">
        <f>IF(DATOS!$I9609="","",IFERROR(VLOOKUP(DATOS!$I9609,CONFIG_ASIGNATURAS!$B$2:$J$91,9,FALSE()),""))</f>
      </c>
    </row>
    <row r="9610">
      <c r="F9610">
        <f>IF(DATOS!$A9610="","",DATOS!$A9610&amp;"|"&amp;DATOS!$D9610&amp;"|"&amp;DATOS!$E9610&amp;"|"&amp;DATOS!$I9610)</f>
      </c>
      <c r="G9610">
        <f>IF(DATOS!$A9610="",0,IF(CONFIG_METADATA!$B$4&lt;&gt;"OR+EX",--(DATOS!$G9610=CONFIG_METADATA!$B$4),IF(DATOS!$G9610="EX",1,IF(DATOS!$G9610="OR",--(COUNTIFS(nNIA,DATOS!$A9610,nCURSO,DATOS!$D9610,nESPEC,DATOS!$E9610,nASIG,DATOS!$I9610,nEVAL,"EX")=0),0))))</f>
      </c>
      <c r="H9610">
        <f>IF(DATOS!$G9610&lt;&gt;"EX",0,--(COUNTIFS(nNIA,DATOS!$A9610,nCURSO,DATOS!$D9610,nESPEC,DATOS!$E9610,nASIG,DATOS!$I9610,nEVAL,"OR")=0))</f>
      </c>
      <c r="I9610">
        <f>IF(DATOS!$I9610="","",IFERROR(VLOOKUP(DATOS!$I9610,CONFIG_ASIGNATURAS!$B$2:$J$91,9,FALSE()),""))</f>
      </c>
    </row>
    <row r="9611">
      <c r="F9611">
        <f>IF(DATOS!$A9611="","",DATOS!$A9611&amp;"|"&amp;DATOS!$D9611&amp;"|"&amp;DATOS!$E9611&amp;"|"&amp;DATOS!$I9611)</f>
      </c>
      <c r="G9611">
        <f>IF(DATOS!$A9611="",0,IF(CONFIG_METADATA!$B$4&lt;&gt;"OR+EX",--(DATOS!$G9611=CONFIG_METADATA!$B$4),IF(DATOS!$G9611="EX",1,IF(DATOS!$G9611="OR",--(COUNTIFS(nNIA,DATOS!$A9611,nCURSO,DATOS!$D9611,nESPEC,DATOS!$E9611,nASIG,DATOS!$I9611,nEVAL,"EX")=0),0))))</f>
      </c>
      <c r="H9611">
        <f>IF(DATOS!$G9611&lt;&gt;"EX",0,--(COUNTIFS(nNIA,DATOS!$A9611,nCURSO,DATOS!$D9611,nESPEC,DATOS!$E9611,nASIG,DATOS!$I9611,nEVAL,"OR")=0))</f>
      </c>
      <c r="I9611">
        <f>IF(DATOS!$I9611="","",IFERROR(VLOOKUP(DATOS!$I9611,CONFIG_ASIGNATURAS!$B$2:$J$91,9,FALSE()),""))</f>
      </c>
    </row>
    <row r="9612">
      <c r="F9612">
        <f>IF(DATOS!$A9612="","",DATOS!$A9612&amp;"|"&amp;DATOS!$D9612&amp;"|"&amp;DATOS!$E9612&amp;"|"&amp;DATOS!$I9612)</f>
      </c>
      <c r="G9612">
        <f>IF(DATOS!$A9612="",0,IF(CONFIG_METADATA!$B$4&lt;&gt;"OR+EX",--(DATOS!$G9612=CONFIG_METADATA!$B$4),IF(DATOS!$G9612="EX",1,IF(DATOS!$G9612="OR",--(COUNTIFS(nNIA,DATOS!$A9612,nCURSO,DATOS!$D9612,nESPEC,DATOS!$E9612,nASIG,DATOS!$I9612,nEVAL,"EX")=0),0))))</f>
      </c>
      <c r="H9612">
        <f>IF(DATOS!$G9612&lt;&gt;"EX",0,--(COUNTIFS(nNIA,DATOS!$A9612,nCURSO,DATOS!$D9612,nESPEC,DATOS!$E9612,nASIG,DATOS!$I9612,nEVAL,"OR")=0))</f>
      </c>
      <c r="I9612">
        <f>IF(DATOS!$I9612="","",IFERROR(VLOOKUP(DATOS!$I9612,CONFIG_ASIGNATURAS!$B$2:$J$91,9,FALSE()),""))</f>
      </c>
    </row>
    <row r="9613">
      <c r="F9613">
        <f>IF(DATOS!$A9613="","",DATOS!$A9613&amp;"|"&amp;DATOS!$D9613&amp;"|"&amp;DATOS!$E9613&amp;"|"&amp;DATOS!$I9613)</f>
      </c>
      <c r="G9613">
        <f>IF(DATOS!$A9613="",0,IF(CONFIG_METADATA!$B$4&lt;&gt;"OR+EX",--(DATOS!$G9613=CONFIG_METADATA!$B$4),IF(DATOS!$G9613="EX",1,IF(DATOS!$G9613="OR",--(COUNTIFS(nNIA,DATOS!$A9613,nCURSO,DATOS!$D9613,nESPEC,DATOS!$E9613,nASIG,DATOS!$I9613,nEVAL,"EX")=0),0))))</f>
      </c>
      <c r="H9613">
        <f>IF(DATOS!$G9613&lt;&gt;"EX",0,--(COUNTIFS(nNIA,DATOS!$A9613,nCURSO,DATOS!$D9613,nESPEC,DATOS!$E9613,nASIG,DATOS!$I9613,nEVAL,"OR")=0))</f>
      </c>
      <c r="I9613">
        <f>IF(DATOS!$I9613="","",IFERROR(VLOOKUP(DATOS!$I9613,CONFIG_ASIGNATURAS!$B$2:$J$91,9,FALSE()),""))</f>
      </c>
    </row>
    <row r="9614">
      <c r="F9614">
        <f>IF(DATOS!$A9614="","",DATOS!$A9614&amp;"|"&amp;DATOS!$D9614&amp;"|"&amp;DATOS!$E9614&amp;"|"&amp;DATOS!$I9614)</f>
      </c>
      <c r="G9614">
        <f>IF(DATOS!$A9614="",0,IF(CONFIG_METADATA!$B$4&lt;&gt;"OR+EX",--(DATOS!$G9614=CONFIG_METADATA!$B$4),IF(DATOS!$G9614="EX",1,IF(DATOS!$G9614="OR",--(COUNTIFS(nNIA,DATOS!$A9614,nCURSO,DATOS!$D9614,nESPEC,DATOS!$E9614,nASIG,DATOS!$I9614,nEVAL,"EX")=0),0))))</f>
      </c>
      <c r="H9614">
        <f>IF(DATOS!$G9614&lt;&gt;"EX",0,--(COUNTIFS(nNIA,DATOS!$A9614,nCURSO,DATOS!$D9614,nESPEC,DATOS!$E9614,nASIG,DATOS!$I9614,nEVAL,"OR")=0))</f>
      </c>
      <c r="I9614">
        <f>IF(DATOS!$I9614="","",IFERROR(VLOOKUP(DATOS!$I9614,CONFIG_ASIGNATURAS!$B$2:$J$91,9,FALSE()),""))</f>
      </c>
    </row>
    <row r="9615">
      <c r="F9615">
        <f>IF(DATOS!$A9615="","",DATOS!$A9615&amp;"|"&amp;DATOS!$D9615&amp;"|"&amp;DATOS!$E9615&amp;"|"&amp;DATOS!$I9615)</f>
      </c>
      <c r="G9615">
        <f>IF(DATOS!$A9615="",0,IF(CONFIG_METADATA!$B$4&lt;&gt;"OR+EX",--(DATOS!$G9615=CONFIG_METADATA!$B$4),IF(DATOS!$G9615="EX",1,IF(DATOS!$G9615="OR",--(COUNTIFS(nNIA,DATOS!$A9615,nCURSO,DATOS!$D9615,nESPEC,DATOS!$E9615,nASIG,DATOS!$I9615,nEVAL,"EX")=0),0))))</f>
      </c>
      <c r="H9615">
        <f>IF(DATOS!$G9615&lt;&gt;"EX",0,--(COUNTIFS(nNIA,DATOS!$A9615,nCURSO,DATOS!$D9615,nESPEC,DATOS!$E9615,nASIG,DATOS!$I9615,nEVAL,"OR")=0))</f>
      </c>
      <c r="I9615">
        <f>IF(DATOS!$I9615="","",IFERROR(VLOOKUP(DATOS!$I9615,CONFIG_ASIGNATURAS!$B$2:$J$91,9,FALSE()),""))</f>
      </c>
    </row>
    <row r="9616">
      <c r="F9616">
        <f>IF(DATOS!$A9616="","",DATOS!$A9616&amp;"|"&amp;DATOS!$D9616&amp;"|"&amp;DATOS!$E9616&amp;"|"&amp;DATOS!$I9616)</f>
      </c>
      <c r="G9616">
        <f>IF(DATOS!$A9616="",0,IF(CONFIG_METADATA!$B$4&lt;&gt;"OR+EX",--(DATOS!$G9616=CONFIG_METADATA!$B$4),IF(DATOS!$G9616="EX",1,IF(DATOS!$G9616="OR",--(COUNTIFS(nNIA,DATOS!$A9616,nCURSO,DATOS!$D9616,nESPEC,DATOS!$E9616,nASIG,DATOS!$I9616,nEVAL,"EX")=0),0))))</f>
      </c>
      <c r="H9616">
        <f>IF(DATOS!$G9616&lt;&gt;"EX",0,--(COUNTIFS(nNIA,DATOS!$A9616,nCURSO,DATOS!$D9616,nESPEC,DATOS!$E9616,nASIG,DATOS!$I9616,nEVAL,"OR")=0))</f>
      </c>
      <c r="I9616">
        <f>IF(DATOS!$I9616="","",IFERROR(VLOOKUP(DATOS!$I9616,CONFIG_ASIGNATURAS!$B$2:$J$91,9,FALSE()),""))</f>
      </c>
    </row>
    <row r="9617">
      <c r="F9617">
        <f>IF(DATOS!$A9617="","",DATOS!$A9617&amp;"|"&amp;DATOS!$D9617&amp;"|"&amp;DATOS!$E9617&amp;"|"&amp;DATOS!$I9617)</f>
      </c>
      <c r="G9617">
        <f>IF(DATOS!$A9617="",0,IF(CONFIG_METADATA!$B$4&lt;&gt;"OR+EX",--(DATOS!$G9617=CONFIG_METADATA!$B$4),IF(DATOS!$G9617="EX",1,IF(DATOS!$G9617="OR",--(COUNTIFS(nNIA,DATOS!$A9617,nCURSO,DATOS!$D9617,nESPEC,DATOS!$E9617,nASIG,DATOS!$I9617,nEVAL,"EX")=0),0))))</f>
      </c>
      <c r="H9617">
        <f>IF(DATOS!$G9617&lt;&gt;"EX",0,--(COUNTIFS(nNIA,DATOS!$A9617,nCURSO,DATOS!$D9617,nESPEC,DATOS!$E9617,nASIG,DATOS!$I9617,nEVAL,"OR")=0))</f>
      </c>
      <c r="I9617">
        <f>IF(DATOS!$I9617="","",IFERROR(VLOOKUP(DATOS!$I9617,CONFIG_ASIGNATURAS!$B$2:$J$91,9,FALSE()),""))</f>
      </c>
    </row>
    <row r="9618">
      <c r="F9618">
        <f>IF(DATOS!$A9618="","",DATOS!$A9618&amp;"|"&amp;DATOS!$D9618&amp;"|"&amp;DATOS!$E9618&amp;"|"&amp;DATOS!$I9618)</f>
      </c>
      <c r="G9618">
        <f>IF(DATOS!$A9618="",0,IF(CONFIG_METADATA!$B$4&lt;&gt;"OR+EX",--(DATOS!$G9618=CONFIG_METADATA!$B$4),IF(DATOS!$G9618="EX",1,IF(DATOS!$G9618="OR",--(COUNTIFS(nNIA,DATOS!$A9618,nCURSO,DATOS!$D9618,nESPEC,DATOS!$E9618,nASIG,DATOS!$I9618,nEVAL,"EX")=0),0))))</f>
      </c>
      <c r="H9618">
        <f>IF(DATOS!$G9618&lt;&gt;"EX",0,--(COUNTIFS(nNIA,DATOS!$A9618,nCURSO,DATOS!$D9618,nESPEC,DATOS!$E9618,nASIG,DATOS!$I9618,nEVAL,"OR")=0))</f>
      </c>
      <c r="I9618">
        <f>IF(DATOS!$I9618="","",IFERROR(VLOOKUP(DATOS!$I9618,CONFIG_ASIGNATURAS!$B$2:$J$91,9,FALSE()),""))</f>
      </c>
    </row>
    <row r="9619">
      <c r="F9619">
        <f>IF(DATOS!$A9619="","",DATOS!$A9619&amp;"|"&amp;DATOS!$D9619&amp;"|"&amp;DATOS!$E9619&amp;"|"&amp;DATOS!$I9619)</f>
      </c>
      <c r="G9619">
        <f>IF(DATOS!$A9619="",0,IF(CONFIG_METADATA!$B$4&lt;&gt;"OR+EX",--(DATOS!$G9619=CONFIG_METADATA!$B$4),IF(DATOS!$G9619="EX",1,IF(DATOS!$G9619="OR",--(COUNTIFS(nNIA,DATOS!$A9619,nCURSO,DATOS!$D9619,nESPEC,DATOS!$E9619,nASIG,DATOS!$I9619,nEVAL,"EX")=0),0))))</f>
      </c>
      <c r="H9619">
        <f>IF(DATOS!$G9619&lt;&gt;"EX",0,--(COUNTIFS(nNIA,DATOS!$A9619,nCURSO,DATOS!$D9619,nESPEC,DATOS!$E9619,nASIG,DATOS!$I9619,nEVAL,"OR")=0))</f>
      </c>
      <c r="I9619">
        <f>IF(DATOS!$I9619="","",IFERROR(VLOOKUP(DATOS!$I9619,CONFIG_ASIGNATURAS!$B$2:$J$91,9,FALSE()),""))</f>
      </c>
    </row>
    <row r="9620">
      <c r="F9620">
        <f>IF(DATOS!$A9620="","",DATOS!$A9620&amp;"|"&amp;DATOS!$D9620&amp;"|"&amp;DATOS!$E9620&amp;"|"&amp;DATOS!$I9620)</f>
      </c>
      <c r="G9620">
        <f>IF(DATOS!$A9620="",0,IF(CONFIG_METADATA!$B$4&lt;&gt;"OR+EX",--(DATOS!$G9620=CONFIG_METADATA!$B$4),IF(DATOS!$G9620="EX",1,IF(DATOS!$G9620="OR",--(COUNTIFS(nNIA,DATOS!$A9620,nCURSO,DATOS!$D9620,nESPEC,DATOS!$E9620,nASIG,DATOS!$I9620,nEVAL,"EX")=0),0))))</f>
      </c>
      <c r="H9620">
        <f>IF(DATOS!$G9620&lt;&gt;"EX",0,--(COUNTIFS(nNIA,DATOS!$A9620,nCURSO,DATOS!$D9620,nESPEC,DATOS!$E9620,nASIG,DATOS!$I9620,nEVAL,"OR")=0))</f>
      </c>
      <c r="I9620">
        <f>IF(DATOS!$I9620="","",IFERROR(VLOOKUP(DATOS!$I9620,CONFIG_ASIGNATURAS!$B$2:$J$91,9,FALSE()),""))</f>
      </c>
    </row>
    <row r="9621">
      <c r="F9621">
        <f>IF(DATOS!$A9621="","",DATOS!$A9621&amp;"|"&amp;DATOS!$D9621&amp;"|"&amp;DATOS!$E9621&amp;"|"&amp;DATOS!$I9621)</f>
      </c>
      <c r="G9621">
        <f>IF(DATOS!$A9621="",0,IF(CONFIG_METADATA!$B$4&lt;&gt;"OR+EX",--(DATOS!$G9621=CONFIG_METADATA!$B$4),IF(DATOS!$G9621="EX",1,IF(DATOS!$G9621="OR",--(COUNTIFS(nNIA,DATOS!$A9621,nCURSO,DATOS!$D9621,nESPEC,DATOS!$E9621,nASIG,DATOS!$I9621,nEVAL,"EX")=0),0))))</f>
      </c>
      <c r="H9621">
        <f>IF(DATOS!$G9621&lt;&gt;"EX",0,--(COUNTIFS(nNIA,DATOS!$A9621,nCURSO,DATOS!$D9621,nESPEC,DATOS!$E9621,nASIG,DATOS!$I9621,nEVAL,"OR")=0))</f>
      </c>
      <c r="I9621">
        <f>IF(DATOS!$I9621="","",IFERROR(VLOOKUP(DATOS!$I9621,CONFIG_ASIGNATURAS!$B$2:$J$91,9,FALSE()),""))</f>
      </c>
    </row>
    <row r="9622">
      <c r="F9622">
        <f>IF(DATOS!$A9622="","",DATOS!$A9622&amp;"|"&amp;DATOS!$D9622&amp;"|"&amp;DATOS!$E9622&amp;"|"&amp;DATOS!$I9622)</f>
      </c>
      <c r="G9622">
        <f>IF(DATOS!$A9622="",0,IF(CONFIG_METADATA!$B$4&lt;&gt;"OR+EX",--(DATOS!$G9622=CONFIG_METADATA!$B$4),IF(DATOS!$G9622="EX",1,IF(DATOS!$G9622="OR",--(COUNTIFS(nNIA,DATOS!$A9622,nCURSO,DATOS!$D9622,nESPEC,DATOS!$E9622,nASIG,DATOS!$I9622,nEVAL,"EX")=0),0))))</f>
      </c>
      <c r="H9622">
        <f>IF(DATOS!$G9622&lt;&gt;"EX",0,--(COUNTIFS(nNIA,DATOS!$A9622,nCURSO,DATOS!$D9622,nESPEC,DATOS!$E9622,nASIG,DATOS!$I9622,nEVAL,"OR")=0))</f>
      </c>
      <c r="I9622">
        <f>IF(DATOS!$I9622="","",IFERROR(VLOOKUP(DATOS!$I9622,CONFIG_ASIGNATURAS!$B$2:$J$91,9,FALSE()),""))</f>
      </c>
    </row>
    <row r="9623">
      <c r="F9623">
        <f>IF(DATOS!$A9623="","",DATOS!$A9623&amp;"|"&amp;DATOS!$D9623&amp;"|"&amp;DATOS!$E9623&amp;"|"&amp;DATOS!$I9623)</f>
      </c>
      <c r="G9623">
        <f>IF(DATOS!$A9623="",0,IF(CONFIG_METADATA!$B$4&lt;&gt;"OR+EX",--(DATOS!$G9623=CONFIG_METADATA!$B$4),IF(DATOS!$G9623="EX",1,IF(DATOS!$G9623="OR",--(COUNTIFS(nNIA,DATOS!$A9623,nCURSO,DATOS!$D9623,nESPEC,DATOS!$E9623,nASIG,DATOS!$I9623,nEVAL,"EX")=0),0))))</f>
      </c>
      <c r="H9623">
        <f>IF(DATOS!$G9623&lt;&gt;"EX",0,--(COUNTIFS(nNIA,DATOS!$A9623,nCURSO,DATOS!$D9623,nESPEC,DATOS!$E9623,nASIG,DATOS!$I9623,nEVAL,"OR")=0))</f>
      </c>
      <c r="I9623">
        <f>IF(DATOS!$I9623="","",IFERROR(VLOOKUP(DATOS!$I9623,CONFIG_ASIGNATURAS!$B$2:$J$91,9,FALSE()),""))</f>
      </c>
    </row>
    <row r="9624">
      <c r="F9624">
        <f>IF(DATOS!$A9624="","",DATOS!$A9624&amp;"|"&amp;DATOS!$D9624&amp;"|"&amp;DATOS!$E9624&amp;"|"&amp;DATOS!$I9624)</f>
      </c>
      <c r="G9624">
        <f>IF(DATOS!$A9624="",0,IF(CONFIG_METADATA!$B$4&lt;&gt;"OR+EX",--(DATOS!$G9624=CONFIG_METADATA!$B$4),IF(DATOS!$G9624="EX",1,IF(DATOS!$G9624="OR",--(COUNTIFS(nNIA,DATOS!$A9624,nCURSO,DATOS!$D9624,nESPEC,DATOS!$E9624,nASIG,DATOS!$I9624,nEVAL,"EX")=0),0))))</f>
      </c>
      <c r="H9624">
        <f>IF(DATOS!$G9624&lt;&gt;"EX",0,--(COUNTIFS(nNIA,DATOS!$A9624,nCURSO,DATOS!$D9624,nESPEC,DATOS!$E9624,nASIG,DATOS!$I9624,nEVAL,"OR")=0))</f>
      </c>
      <c r="I9624">
        <f>IF(DATOS!$I9624="","",IFERROR(VLOOKUP(DATOS!$I9624,CONFIG_ASIGNATURAS!$B$2:$J$91,9,FALSE()),""))</f>
      </c>
    </row>
    <row r="9625">
      <c r="F9625">
        <f>IF(DATOS!$A9625="","",DATOS!$A9625&amp;"|"&amp;DATOS!$D9625&amp;"|"&amp;DATOS!$E9625&amp;"|"&amp;DATOS!$I9625)</f>
      </c>
      <c r="G9625">
        <f>IF(DATOS!$A9625="",0,IF(CONFIG_METADATA!$B$4&lt;&gt;"OR+EX",--(DATOS!$G9625=CONFIG_METADATA!$B$4),IF(DATOS!$G9625="EX",1,IF(DATOS!$G9625="OR",--(COUNTIFS(nNIA,DATOS!$A9625,nCURSO,DATOS!$D9625,nESPEC,DATOS!$E9625,nASIG,DATOS!$I9625,nEVAL,"EX")=0),0))))</f>
      </c>
      <c r="H9625">
        <f>IF(DATOS!$G9625&lt;&gt;"EX",0,--(COUNTIFS(nNIA,DATOS!$A9625,nCURSO,DATOS!$D9625,nESPEC,DATOS!$E9625,nASIG,DATOS!$I9625,nEVAL,"OR")=0))</f>
      </c>
      <c r="I9625">
        <f>IF(DATOS!$I9625="","",IFERROR(VLOOKUP(DATOS!$I9625,CONFIG_ASIGNATURAS!$B$2:$J$91,9,FALSE()),""))</f>
      </c>
    </row>
    <row r="9626">
      <c r="F9626">
        <f>IF(DATOS!$A9626="","",DATOS!$A9626&amp;"|"&amp;DATOS!$D9626&amp;"|"&amp;DATOS!$E9626&amp;"|"&amp;DATOS!$I9626)</f>
      </c>
      <c r="G9626">
        <f>IF(DATOS!$A9626="",0,IF(CONFIG_METADATA!$B$4&lt;&gt;"OR+EX",--(DATOS!$G9626=CONFIG_METADATA!$B$4),IF(DATOS!$G9626="EX",1,IF(DATOS!$G9626="OR",--(COUNTIFS(nNIA,DATOS!$A9626,nCURSO,DATOS!$D9626,nESPEC,DATOS!$E9626,nASIG,DATOS!$I9626,nEVAL,"EX")=0),0))))</f>
      </c>
      <c r="H9626">
        <f>IF(DATOS!$G9626&lt;&gt;"EX",0,--(COUNTIFS(nNIA,DATOS!$A9626,nCURSO,DATOS!$D9626,nESPEC,DATOS!$E9626,nASIG,DATOS!$I9626,nEVAL,"OR")=0))</f>
      </c>
      <c r="I9626">
        <f>IF(DATOS!$I9626="","",IFERROR(VLOOKUP(DATOS!$I9626,CONFIG_ASIGNATURAS!$B$2:$J$91,9,FALSE()),""))</f>
      </c>
    </row>
    <row r="9627">
      <c r="F9627">
        <f>IF(DATOS!$A9627="","",DATOS!$A9627&amp;"|"&amp;DATOS!$D9627&amp;"|"&amp;DATOS!$E9627&amp;"|"&amp;DATOS!$I9627)</f>
      </c>
      <c r="G9627">
        <f>IF(DATOS!$A9627="",0,IF(CONFIG_METADATA!$B$4&lt;&gt;"OR+EX",--(DATOS!$G9627=CONFIG_METADATA!$B$4),IF(DATOS!$G9627="EX",1,IF(DATOS!$G9627="OR",--(COUNTIFS(nNIA,DATOS!$A9627,nCURSO,DATOS!$D9627,nESPEC,DATOS!$E9627,nASIG,DATOS!$I9627,nEVAL,"EX")=0),0))))</f>
      </c>
      <c r="H9627">
        <f>IF(DATOS!$G9627&lt;&gt;"EX",0,--(COUNTIFS(nNIA,DATOS!$A9627,nCURSO,DATOS!$D9627,nESPEC,DATOS!$E9627,nASIG,DATOS!$I9627,nEVAL,"OR")=0))</f>
      </c>
      <c r="I9627">
        <f>IF(DATOS!$I9627="","",IFERROR(VLOOKUP(DATOS!$I9627,CONFIG_ASIGNATURAS!$B$2:$J$91,9,FALSE()),""))</f>
      </c>
    </row>
    <row r="9628">
      <c r="F9628">
        <f>IF(DATOS!$A9628="","",DATOS!$A9628&amp;"|"&amp;DATOS!$D9628&amp;"|"&amp;DATOS!$E9628&amp;"|"&amp;DATOS!$I9628)</f>
      </c>
      <c r="G9628">
        <f>IF(DATOS!$A9628="",0,IF(CONFIG_METADATA!$B$4&lt;&gt;"OR+EX",--(DATOS!$G9628=CONFIG_METADATA!$B$4),IF(DATOS!$G9628="EX",1,IF(DATOS!$G9628="OR",--(COUNTIFS(nNIA,DATOS!$A9628,nCURSO,DATOS!$D9628,nESPEC,DATOS!$E9628,nASIG,DATOS!$I9628,nEVAL,"EX")=0),0))))</f>
      </c>
      <c r="H9628">
        <f>IF(DATOS!$G9628&lt;&gt;"EX",0,--(COUNTIFS(nNIA,DATOS!$A9628,nCURSO,DATOS!$D9628,nESPEC,DATOS!$E9628,nASIG,DATOS!$I9628,nEVAL,"OR")=0))</f>
      </c>
      <c r="I9628">
        <f>IF(DATOS!$I9628="","",IFERROR(VLOOKUP(DATOS!$I9628,CONFIG_ASIGNATURAS!$B$2:$J$91,9,FALSE()),""))</f>
      </c>
    </row>
    <row r="9629">
      <c r="F9629">
        <f>IF(DATOS!$A9629="","",DATOS!$A9629&amp;"|"&amp;DATOS!$D9629&amp;"|"&amp;DATOS!$E9629&amp;"|"&amp;DATOS!$I9629)</f>
      </c>
      <c r="G9629">
        <f>IF(DATOS!$A9629="",0,IF(CONFIG_METADATA!$B$4&lt;&gt;"OR+EX",--(DATOS!$G9629=CONFIG_METADATA!$B$4),IF(DATOS!$G9629="EX",1,IF(DATOS!$G9629="OR",--(COUNTIFS(nNIA,DATOS!$A9629,nCURSO,DATOS!$D9629,nESPEC,DATOS!$E9629,nASIG,DATOS!$I9629,nEVAL,"EX")=0),0))))</f>
      </c>
      <c r="H9629">
        <f>IF(DATOS!$G9629&lt;&gt;"EX",0,--(COUNTIFS(nNIA,DATOS!$A9629,nCURSO,DATOS!$D9629,nESPEC,DATOS!$E9629,nASIG,DATOS!$I9629,nEVAL,"OR")=0))</f>
      </c>
      <c r="I9629">
        <f>IF(DATOS!$I9629="","",IFERROR(VLOOKUP(DATOS!$I9629,CONFIG_ASIGNATURAS!$B$2:$J$91,9,FALSE()),""))</f>
      </c>
    </row>
    <row r="9630">
      <c r="F9630">
        <f>IF(DATOS!$A9630="","",DATOS!$A9630&amp;"|"&amp;DATOS!$D9630&amp;"|"&amp;DATOS!$E9630&amp;"|"&amp;DATOS!$I9630)</f>
      </c>
      <c r="G9630">
        <f>IF(DATOS!$A9630="",0,IF(CONFIG_METADATA!$B$4&lt;&gt;"OR+EX",--(DATOS!$G9630=CONFIG_METADATA!$B$4),IF(DATOS!$G9630="EX",1,IF(DATOS!$G9630="OR",--(COUNTIFS(nNIA,DATOS!$A9630,nCURSO,DATOS!$D9630,nESPEC,DATOS!$E9630,nASIG,DATOS!$I9630,nEVAL,"EX")=0),0))))</f>
      </c>
      <c r="H9630">
        <f>IF(DATOS!$G9630&lt;&gt;"EX",0,--(COUNTIFS(nNIA,DATOS!$A9630,nCURSO,DATOS!$D9630,nESPEC,DATOS!$E9630,nASIG,DATOS!$I9630,nEVAL,"OR")=0))</f>
      </c>
      <c r="I9630">
        <f>IF(DATOS!$I9630="","",IFERROR(VLOOKUP(DATOS!$I9630,CONFIG_ASIGNATURAS!$B$2:$J$91,9,FALSE()),""))</f>
      </c>
    </row>
    <row r="9631">
      <c r="F9631">
        <f>IF(DATOS!$A9631="","",DATOS!$A9631&amp;"|"&amp;DATOS!$D9631&amp;"|"&amp;DATOS!$E9631&amp;"|"&amp;DATOS!$I9631)</f>
      </c>
      <c r="G9631">
        <f>IF(DATOS!$A9631="",0,IF(CONFIG_METADATA!$B$4&lt;&gt;"OR+EX",--(DATOS!$G9631=CONFIG_METADATA!$B$4),IF(DATOS!$G9631="EX",1,IF(DATOS!$G9631="OR",--(COUNTIFS(nNIA,DATOS!$A9631,nCURSO,DATOS!$D9631,nESPEC,DATOS!$E9631,nASIG,DATOS!$I9631,nEVAL,"EX")=0),0))))</f>
      </c>
      <c r="H9631">
        <f>IF(DATOS!$G9631&lt;&gt;"EX",0,--(COUNTIFS(nNIA,DATOS!$A9631,nCURSO,DATOS!$D9631,nESPEC,DATOS!$E9631,nASIG,DATOS!$I9631,nEVAL,"OR")=0))</f>
      </c>
      <c r="I9631">
        <f>IF(DATOS!$I9631="","",IFERROR(VLOOKUP(DATOS!$I9631,CONFIG_ASIGNATURAS!$B$2:$J$91,9,FALSE()),""))</f>
      </c>
    </row>
    <row r="9632">
      <c r="F9632">
        <f>IF(DATOS!$A9632="","",DATOS!$A9632&amp;"|"&amp;DATOS!$D9632&amp;"|"&amp;DATOS!$E9632&amp;"|"&amp;DATOS!$I9632)</f>
      </c>
      <c r="G9632">
        <f>IF(DATOS!$A9632="",0,IF(CONFIG_METADATA!$B$4&lt;&gt;"OR+EX",--(DATOS!$G9632=CONFIG_METADATA!$B$4),IF(DATOS!$G9632="EX",1,IF(DATOS!$G9632="OR",--(COUNTIFS(nNIA,DATOS!$A9632,nCURSO,DATOS!$D9632,nESPEC,DATOS!$E9632,nASIG,DATOS!$I9632,nEVAL,"EX")=0),0))))</f>
      </c>
      <c r="H9632">
        <f>IF(DATOS!$G9632&lt;&gt;"EX",0,--(COUNTIFS(nNIA,DATOS!$A9632,nCURSO,DATOS!$D9632,nESPEC,DATOS!$E9632,nASIG,DATOS!$I9632,nEVAL,"OR")=0))</f>
      </c>
      <c r="I9632">
        <f>IF(DATOS!$I9632="","",IFERROR(VLOOKUP(DATOS!$I9632,CONFIG_ASIGNATURAS!$B$2:$J$91,9,FALSE()),""))</f>
      </c>
    </row>
    <row r="9633">
      <c r="F9633">
        <f>IF(DATOS!$A9633="","",DATOS!$A9633&amp;"|"&amp;DATOS!$D9633&amp;"|"&amp;DATOS!$E9633&amp;"|"&amp;DATOS!$I9633)</f>
      </c>
      <c r="G9633">
        <f>IF(DATOS!$A9633="",0,IF(CONFIG_METADATA!$B$4&lt;&gt;"OR+EX",--(DATOS!$G9633=CONFIG_METADATA!$B$4),IF(DATOS!$G9633="EX",1,IF(DATOS!$G9633="OR",--(COUNTIFS(nNIA,DATOS!$A9633,nCURSO,DATOS!$D9633,nESPEC,DATOS!$E9633,nASIG,DATOS!$I9633,nEVAL,"EX")=0),0))))</f>
      </c>
      <c r="H9633">
        <f>IF(DATOS!$G9633&lt;&gt;"EX",0,--(COUNTIFS(nNIA,DATOS!$A9633,nCURSO,DATOS!$D9633,nESPEC,DATOS!$E9633,nASIG,DATOS!$I9633,nEVAL,"OR")=0))</f>
      </c>
      <c r="I9633">
        <f>IF(DATOS!$I9633="","",IFERROR(VLOOKUP(DATOS!$I9633,CONFIG_ASIGNATURAS!$B$2:$J$91,9,FALSE()),""))</f>
      </c>
    </row>
    <row r="9634">
      <c r="F9634">
        <f>IF(DATOS!$A9634="","",DATOS!$A9634&amp;"|"&amp;DATOS!$D9634&amp;"|"&amp;DATOS!$E9634&amp;"|"&amp;DATOS!$I9634)</f>
      </c>
      <c r="G9634">
        <f>IF(DATOS!$A9634="",0,IF(CONFIG_METADATA!$B$4&lt;&gt;"OR+EX",--(DATOS!$G9634=CONFIG_METADATA!$B$4),IF(DATOS!$G9634="EX",1,IF(DATOS!$G9634="OR",--(COUNTIFS(nNIA,DATOS!$A9634,nCURSO,DATOS!$D9634,nESPEC,DATOS!$E9634,nASIG,DATOS!$I9634,nEVAL,"EX")=0),0))))</f>
      </c>
      <c r="H9634">
        <f>IF(DATOS!$G9634&lt;&gt;"EX",0,--(COUNTIFS(nNIA,DATOS!$A9634,nCURSO,DATOS!$D9634,nESPEC,DATOS!$E9634,nASIG,DATOS!$I9634,nEVAL,"OR")=0))</f>
      </c>
      <c r="I9634">
        <f>IF(DATOS!$I9634="","",IFERROR(VLOOKUP(DATOS!$I9634,CONFIG_ASIGNATURAS!$B$2:$J$91,9,FALSE()),""))</f>
      </c>
    </row>
    <row r="9635">
      <c r="F9635">
        <f>IF(DATOS!$A9635="","",DATOS!$A9635&amp;"|"&amp;DATOS!$D9635&amp;"|"&amp;DATOS!$E9635&amp;"|"&amp;DATOS!$I9635)</f>
      </c>
      <c r="G9635">
        <f>IF(DATOS!$A9635="",0,IF(CONFIG_METADATA!$B$4&lt;&gt;"OR+EX",--(DATOS!$G9635=CONFIG_METADATA!$B$4),IF(DATOS!$G9635="EX",1,IF(DATOS!$G9635="OR",--(COUNTIFS(nNIA,DATOS!$A9635,nCURSO,DATOS!$D9635,nESPEC,DATOS!$E9635,nASIG,DATOS!$I9635,nEVAL,"EX")=0),0))))</f>
      </c>
      <c r="H9635">
        <f>IF(DATOS!$G9635&lt;&gt;"EX",0,--(COUNTIFS(nNIA,DATOS!$A9635,nCURSO,DATOS!$D9635,nESPEC,DATOS!$E9635,nASIG,DATOS!$I9635,nEVAL,"OR")=0))</f>
      </c>
      <c r="I9635">
        <f>IF(DATOS!$I9635="","",IFERROR(VLOOKUP(DATOS!$I9635,CONFIG_ASIGNATURAS!$B$2:$J$91,9,FALSE()),""))</f>
      </c>
    </row>
    <row r="9636">
      <c r="F9636">
        <f>IF(DATOS!$A9636="","",DATOS!$A9636&amp;"|"&amp;DATOS!$D9636&amp;"|"&amp;DATOS!$E9636&amp;"|"&amp;DATOS!$I9636)</f>
      </c>
      <c r="G9636">
        <f>IF(DATOS!$A9636="",0,IF(CONFIG_METADATA!$B$4&lt;&gt;"OR+EX",--(DATOS!$G9636=CONFIG_METADATA!$B$4),IF(DATOS!$G9636="EX",1,IF(DATOS!$G9636="OR",--(COUNTIFS(nNIA,DATOS!$A9636,nCURSO,DATOS!$D9636,nESPEC,DATOS!$E9636,nASIG,DATOS!$I9636,nEVAL,"EX")=0),0))))</f>
      </c>
      <c r="H9636">
        <f>IF(DATOS!$G9636&lt;&gt;"EX",0,--(COUNTIFS(nNIA,DATOS!$A9636,nCURSO,DATOS!$D9636,nESPEC,DATOS!$E9636,nASIG,DATOS!$I9636,nEVAL,"OR")=0))</f>
      </c>
      <c r="I9636">
        <f>IF(DATOS!$I9636="","",IFERROR(VLOOKUP(DATOS!$I9636,CONFIG_ASIGNATURAS!$B$2:$J$91,9,FALSE()),""))</f>
      </c>
    </row>
    <row r="9637">
      <c r="F9637">
        <f>IF(DATOS!$A9637="","",DATOS!$A9637&amp;"|"&amp;DATOS!$D9637&amp;"|"&amp;DATOS!$E9637&amp;"|"&amp;DATOS!$I9637)</f>
      </c>
      <c r="G9637">
        <f>IF(DATOS!$A9637="",0,IF(CONFIG_METADATA!$B$4&lt;&gt;"OR+EX",--(DATOS!$G9637=CONFIG_METADATA!$B$4),IF(DATOS!$G9637="EX",1,IF(DATOS!$G9637="OR",--(COUNTIFS(nNIA,DATOS!$A9637,nCURSO,DATOS!$D9637,nESPEC,DATOS!$E9637,nASIG,DATOS!$I9637,nEVAL,"EX")=0),0))))</f>
      </c>
      <c r="H9637">
        <f>IF(DATOS!$G9637&lt;&gt;"EX",0,--(COUNTIFS(nNIA,DATOS!$A9637,nCURSO,DATOS!$D9637,nESPEC,DATOS!$E9637,nASIG,DATOS!$I9637,nEVAL,"OR")=0))</f>
      </c>
      <c r="I9637">
        <f>IF(DATOS!$I9637="","",IFERROR(VLOOKUP(DATOS!$I9637,CONFIG_ASIGNATURAS!$B$2:$J$91,9,FALSE()),""))</f>
      </c>
    </row>
    <row r="9638">
      <c r="F9638">
        <f>IF(DATOS!$A9638="","",DATOS!$A9638&amp;"|"&amp;DATOS!$D9638&amp;"|"&amp;DATOS!$E9638&amp;"|"&amp;DATOS!$I9638)</f>
      </c>
      <c r="G9638">
        <f>IF(DATOS!$A9638="",0,IF(CONFIG_METADATA!$B$4&lt;&gt;"OR+EX",--(DATOS!$G9638=CONFIG_METADATA!$B$4),IF(DATOS!$G9638="EX",1,IF(DATOS!$G9638="OR",--(COUNTIFS(nNIA,DATOS!$A9638,nCURSO,DATOS!$D9638,nESPEC,DATOS!$E9638,nASIG,DATOS!$I9638,nEVAL,"EX")=0),0))))</f>
      </c>
      <c r="H9638">
        <f>IF(DATOS!$G9638&lt;&gt;"EX",0,--(COUNTIFS(nNIA,DATOS!$A9638,nCURSO,DATOS!$D9638,nESPEC,DATOS!$E9638,nASIG,DATOS!$I9638,nEVAL,"OR")=0))</f>
      </c>
      <c r="I9638">
        <f>IF(DATOS!$I9638="","",IFERROR(VLOOKUP(DATOS!$I9638,CONFIG_ASIGNATURAS!$B$2:$J$91,9,FALSE()),""))</f>
      </c>
    </row>
    <row r="9639">
      <c r="F9639">
        <f>IF(DATOS!$A9639="","",DATOS!$A9639&amp;"|"&amp;DATOS!$D9639&amp;"|"&amp;DATOS!$E9639&amp;"|"&amp;DATOS!$I9639)</f>
      </c>
      <c r="G9639">
        <f>IF(DATOS!$A9639="",0,IF(CONFIG_METADATA!$B$4&lt;&gt;"OR+EX",--(DATOS!$G9639=CONFIG_METADATA!$B$4),IF(DATOS!$G9639="EX",1,IF(DATOS!$G9639="OR",--(COUNTIFS(nNIA,DATOS!$A9639,nCURSO,DATOS!$D9639,nESPEC,DATOS!$E9639,nASIG,DATOS!$I9639,nEVAL,"EX")=0),0))))</f>
      </c>
      <c r="H9639">
        <f>IF(DATOS!$G9639&lt;&gt;"EX",0,--(COUNTIFS(nNIA,DATOS!$A9639,nCURSO,DATOS!$D9639,nESPEC,DATOS!$E9639,nASIG,DATOS!$I9639,nEVAL,"OR")=0))</f>
      </c>
      <c r="I9639">
        <f>IF(DATOS!$I9639="","",IFERROR(VLOOKUP(DATOS!$I9639,CONFIG_ASIGNATURAS!$B$2:$J$91,9,FALSE()),""))</f>
      </c>
    </row>
    <row r="9640">
      <c r="F9640">
        <f>IF(DATOS!$A9640="","",DATOS!$A9640&amp;"|"&amp;DATOS!$D9640&amp;"|"&amp;DATOS!$E9640&amp;"|"&amp;DATOS!$I9640)</f>
      </c>
      <c r="G9640">
        <f>IF(DATOS!$A9640="",0,IF(CONFIG_METADATA!$B$4&lt;&gt;"OR+EX",--(DATOS!$G9640=CONFIG_METADATA!$B$4),IF(DATOS!$G9640="EX",1,IF(DATOS!$G9640="OR",--(COUNTIFS(nNIA,DATOS!$A9640,nCURSO,DATOS!$D9640,nESPEC,DATOS!$E9640,nASIG,DATOS!$I9640,nEVAL,"EX")=0),0))))</f>
      </c>
      <c r="H9640">
        <f>IF(DATOS!$G9640&lt;&gt;"EX",0,--(COUNTIFS(nNIA,DATOS!$A9640,nCURSO,DATOS!$D9640,nESPEC,DATOS!$E9640,nASIG,DATOS!$I9640,nEVAL,"OR")=0))</f>
      </c>
      <c r="I9640">
        <f>IF(DATOS!$I9640="","",IFERROR(VLOOKUP(DATOS!$I9640,CONFIG_ASIGNATURAS!$B$2:$J$91,9,FALSE()),""))</f>
      </c>
    </row>
    <row r="9641">
      <c r="F9641">
        <f>IF(DATOS!$A9641="","",DATOS!$A9641&amp;"|"&amp;DATOS!$D9641&amp;"|"&amp;DATOS!$E9641&amp;"|"&amp;DATOS!$I9641)</f>
      </c>
      <c r="G9641">
        <f>IF(DATOS!$A9641="",0,IF(CONFIG_METADATA!$B$4&lt;&gt;"OR+EX",--(DATOS!$G9641=CONFIG_METADATA!$B$4),IF(DATOS!$G9641="EX",1,IF(DATOS!$G9641="OR",--(COUNTIFS(nNIA,DATOS!$A9641,nCURSO,DATOS!$D9641,nESPEC,DATOS!$E9641,nASIG,DATOS!$I9641,nEVAL,"EX")=0),0))))</f>
      </c>
      <c r="H9641">
        <f>IF(DATOS!$G9641&lt;&gt;"EX",0,--(COUNTIFS(nNIA,DATOS!$A9641,nCURSO,DATOS!$D9641,nESPEC,DATOS!$E9641,nASIG,DATOS!$I9641,nEVAL,"OR")=0))</f>
      </c>
      <c r="I9641">
        <f>IF(DATOS!$I9641="","",IFERROR(VLOOKUP(DATOS!$I9641,CONFIG_ASIGNATURAS!$B$2:$J$91,9,FALSE()),""))</f>
      </c>
    </row>
    <row r="9642">
      <c r="F9642">
        <f>IF(DATOS!$A9642="","",DATOS!$A9642&amp;"|"&amp;DATOS!$D9642&amp;"|"&amp;DATOS!$E9642&amp;"|"&amp;DATOS!$I9642)</f>
      </c>
      <c r="G9642">
        <f>IF(DATOS!$A9642="",0,IF(CONFIG_METADATA!$B$4&lt;&gt;"OR+EX",--(DATOS!$G9642=CONFIG_METADATA!$B$4),IF(DATOS!$G9642="EX",1,IF(DATOS!$G9642="OR",--(COUNTIFS(nNIA,DATOS!$A9642,nCURSO,DATOS!$D9642,nESPEC,DATOS!$E9642,nASIG,DATOS!$I9642,nEVAL,"EX")=0),0))))</f>
      </c>
      <c r="H9642">
        <f>IF(DATOS!$G9642&lt;&gt;"EX",0,--(COUNTIFS(nNIA,DATOS!$A9642,nCURSO,DATOS!$D9642,nESPEC,DATOS!$E9642,nASIG,DATOS!$I9642,nEVAL,"OR")=0))</f>
      </c>
      <c r="I9642">
        <f>IF(DATOS!$I9642="","",IFERROR(VLOOKUP(DATOS!$I9642,CONFIG_ASIGNATURAS!$B$2:$J$91,9,FALSE()),""))</f>
      </c>
    </row>
    <row r="9643">
      <c r="F9643">
        <f>IF(DATOS!$A9643="","",DATOS!$A9643&amp;"|"&amp;DATOS!$D9643&amp;"|"&amp;DATOS!$E9643&amp;"|"&amp;DATOS!$I9643)</f>
      </c>
      <c r="G9643">
        <f>IF(DATOS!$A9643="",0,IF(CONFIG_METADATA!$B$4&lt;&gt;"OR+EX",--(DATOS!$G9643=CONFIG_METADATA!$B$4),IF(DATOS!$G9643="EX",1,IF(DATOS!$G9643="OR",--(COUNTIFS(nNIA,DATOS!$A9643,nCURSO,DATOS!$D9643,nESPEC,DATOS!$E9643,nASIG,DATOS!$I9643,nEVAL,"EX")=0),0))))</f>
      </c>
      <c r="H9643">
        <f>IF(DATOS!$G9643&lt;&gt;"EX",0,--(COUNTIFS(nNIA,DATOS!$A9643,nCURSO,DATOS!$D9643,nESPEC,DATOS!$E9643,nASIG,DATOS!$I9643,nEVAL,"OR")=0))</f>
      </c>
      <c r="I9643">
        <f>IF(DATOS!$I9643="","",IFERROR(VLOOKUP(DATOS!$I9643,CONFIG_ASIGNATURAS!$B$2:$J$91,9,FALSE()),""))</f>
      </c>
    </row>
    <row r="9644">
      <c r="F9644">
        <f>IF(DATOS!$A9644="","",DATOS!$A9644&amp;"|"&amp;DATOS!$D9644&amp;"|"&amp;DATOS!$E9644&amp;"|"&amp;DATOS!$I9644)</f>
      </c>
      <c r="G9644">
        <f>IF(DATOS!$A9644="",0,IF(CONFIG_METADATA!$B$4&lt;&gt;"OR+EX",--(DATOS!$G9644=CONFIG_METADATA!$B$4),IF(DATOS!$G9644="EX",1,IF(DATOS!$G9644="OR",--(COUNTIFS(nNIA,DATOS!$A9644,nCURSO,DATOS!$D9644,nESPEC,DATOS!$E9644,nASIG,DATOS!$I9644,nEVAL,"EX")=0),0))))</f>
      </c>
      <c r="H9644">
        <f>IF(DATOS!$G9644&lt;&gt;"EX",0,--(COUNTIFS(nNIA,DATOS!$A9644,nCURSO,DATOS!$D9644,nESPEC,DATOS!$E9644,nASIG,DATOS!$I9644,nEVAL,"OR")=0))</f>
      </c>
      <c r="I9644">
        <f>IF(DATOS!$I9644="","",IFERROR(VLOOKUP(DATOS!$I9644,CONFIG_ASIGNATURAS!$B$2:$J$91,9,FALSE()),""))</f>
      </c>
    </row>
    <row r="9645">
      <c r="F9645">
        <f>IF(DATOS!$A9645="","",DATOS!$A9645&amp;"|"&amp;DATOS!$D9645&amp;"|"&amp;DATOS!$E9645&amp;"|"&amp;DATOS!$I9645)</f>
      </c>
      <c r="G9645">
        <f>IF(DATOS!$A9645="",0,IF(CONFIG_METADATA!$B$4&lt;&gt;"OR+EX",--(DATOS!$G9645=CONFIG_METADATA!$B$4),IF(DATOS!$G9645="EX",1,IF(DATOS!$G9645="OR",--(COUNTIFS(nNIA,DATOS!$A9645,nCURSO,DATOS!$D9645,nESPEC,DATOS!$E9645,nASIG,DATOS!$I9645,nEVAL,"EX")=0),0))))</f>
      </c>
      <c r="H9645">
        <f>IF(DATOS!$G9645&lt;&gt;"EX",0,--(COUNTIFS(nNIA,DATOS!$A9645,nCURSO,DATOS!$D9645,nESPEC,DATOS!$E9645,nASIG,DATOS!$I9645,nEVAL,"OR")=0))</f>
      </c>
      <c r="I9645">
        <f>IF(DATOS!$I9645="","",IFERROR(VLOOKUP(DATOS!$I9645,CONFIG_ASIGNATURAS!$B$2:$J$91,9,FALSE()),""))</f>
      </c>
    </row>
    <row r="9646">
      <c r="F9646">
        <f>IF(DATOS!$A9646="","",DATOS!$A9646&amp;"|"&amp;DATOS!$D9646&amp;"|"&amp;DATOS!$E9646&amp;"|"&amp;DATOS!$I9646)</f>
      </c>
      <c r="G9646">
        <f>IF(DATOS!$A9646="",0,IF(CONFIG_METADATA!$B$4&lt;&gt;"OR+EX",--(DATOS!$G9646=CONFIG_METADATA!$B$4),IF(DATOS!$G9646="EX",1,IF(DATOS!$G9646="OR",--(COUNTIFS(nNIA,DATOS!$A9646,nCURSO,DATOS!$D9646,nESPEC,DATOS!$E9646,nASIG,DATOS!$I9646,nEVAL,"EX")=0),0))))</f>
      </c>
      <c r="H9646">
        <f>IF(DATOS!$G9646&lt;&gt;"EX",0,--(COUNTIFS(nNIA,DATOS!$A9646,nCURSO,DATOS!$D9646,nESPEC,DATOS!$E9646,nASIG,DATOS!$I9646,nEVAL,"OR")=0))</f>
      </c>
      <c r="I9646">
        <f>IF(DATOS!$I9646="","",IFERROR(VLOOKUP(DATOS!$I9646,CONFIG_ASIGNATURAS!$B$2:$J$91,9,FALSE()),""))</f>
      </c>
    </row>
    <row r="9647">
      <c r="F9647">
        <f>IF(DATOS!$A9647="","",DATOS!$A9647&amp;"|"&amp;DATOS!$D9647&amp;"|"&amp;DATOS!$E9647&amp;"|"&amp;DATOS!$I9647)</f>
      </c>
      <c r="G9647">
        <f>IF(DATOS!$A9647="",0,IF(CONFIG_METADATA!$B$4&lt;&gt;"OR+EX",--(DATOS!$G9647=CONFIG_METADATA!$B$4),IF(DATOS!$G9647="EX",1,IF(DATOS!$G9647="OR",--(COUNTIFS(nNIA,DATOS!$A9647,nCURSO,DATOS!$D9647,nESPEC,DATOS!$E9647,nASIG,DATOS!$I9647,nEVAL,"EX")=0),0))))</f>
      </c>
      <c r="H9647">
        <f>IF(DATOS!$G9647&lt;&gt;"EX",0,--(COUNTIFS(nNIA,DATOS!$A9647,nCURSO,DATOS!$D9647,nESPEC,DATOS!$E9647,nASIG,DATOS!$I9647,nEVAL,"OR")=0))</f>
      </c>
      <c r="I9647">
        <f>IF(DATOS!$I9647="","",IFERROR(VLOOKUP(DATOS!$I9647,CONFIG_ASIGNATURAS!$B$2:$J$91,9,FALSE()),""))</f>
      </c>
    </row>
    <row r="9648">
      <c r="F9648">
        <f>IF(DATOS!$A9648="","",DATOS!$A9648&amp;"|"&amp;DATOS!$D9648&amp;"|"&amp;DATOS!$E9648&amp;"|"&amp;DATOS!$I9648)</f>
      </c>
      <c r="G9648">
        <f>IF(DATOS!$A9648="",0,IF(CONFIG_METADATA!$B$4&lt;&gt;"OR+EX",--(DATOS!$G9648=CONFIG_METADATA!$B$4),IF(DATOS!$G9648="EX",1,IF(DATOS!$G9648="OR",--(COUNTIFS(nNIA,DATOS!$A9648,nCURSO,DATOS!$D9648,nESPEC,DATOS!$E9648,nASIG,DATOS!$I9648,nEVAL,"EX")=0),0))))</f>
      </c>
      <c r="H9648">
        <f>IF(DATOS!$G9648&lt;&gt;"EX",0,--(COUNTIFS(nNIA,DATOS!$A9648,nCURSO,DATOS!$D9648,nESPEC,DATOS!$E9648,nASIG,DATOS!$I9648,nEVAL,"OR")=0))</f>
      </c>
      <c r="I9648">
        <f>IF(DATOS!$I9648="","",IFERROR(VLOOKUP(DATOS!$I9648,CONFIG_ASIGNATURAS!$B$2:$J$91,9,FALSE()),""))</f>
      </c>
    </row>
    <row r="9649">
      <c r="F9649">
        <f>IF(DATOS!$A9649="","",DATOS!$A9649&amp;"|"&amp;DATOS!$D9649&amp;"|"&amp;DATOS!$E9649&amp;"|"&amp;DATOS!$I9649)</f>
      </c>
      <c r="G9649">
        <f>IF(DATOS!$A9649="",0,IF(CONFIG_METADATA!$B$4&lt;&gt;"OR+EX",--(DATOS!$G9649=CONFIG_METADATA!$B$4),IF(DATOS!$G9649="EX",1,IF(DATOS!$G9649="OR",--(COUNTIFS(nNIA,DATOS!$A9649,nCURSO,DATOS!$D9649,nESPEC,DATOS!$E9649,nASIG,DATOS!$I9649,nEVAL,"EX")=0),0))))</f>
      </c>
      <c r="H9649">
        <f>IF(DATOS!$G9649&lt;&gt;"EX",0,--(COUNTIFS(nNIA,DATOS!$A9649,nCURSO,DATOS!$D9649,nESPEC,DATOS!$E9649,nASIG,DATOS!$I9649,nEVAL,"OR")=0))</f>
      </c>
      <c r="I9649">
        <f>IF(DATOS!$I9649="","",IFERROR(VLOOKUP(DATOS!$I9649,CONFIG_ASIGNATURAS!$B$2:$J$91,9,FALSE()),""))</f>
      </c>
    </row>
    <row r="9650">
      <c r="F9650">
        <f>IF(DATOS!$A9650="","",DATOS!$A9650&amp;"|"&amp;DATOS!$D9650&amp;"|"&amp;DATOS!$E9650&amp;"|"&amp;DATOS!$I9650)</f>
      </c>
      <c r="G9650">
        <f>IF(DATOS!$A9650="",0,IF(CONFIG_METADATA!$B$4&lt;&gt;"OR+EX",--(DATOS!$G9650=CONFIG_METADATA!$B$4),IF(DATOS!$G9650="EX",1,IF(DATOS!$G9650="OR",--(COUNTIFS(nNIA,DATOS!$A9650,nCURSO,DATOS!$D9650,nESPEC,DATOS!$E9650,nASIG,DATOS!$I9650,nEVAL,"EX")=0),0))))</f>
      </c>
      <c r="H9650">
        <f>IF(DATOS!$G9650&lt;&gt;"EX",0,--(COUNTIFS(nNIA,DATOS!$A9650,nCURSO,DATOS!$D9650,nESPEC,DATOS!$E9650,nASIG,DATOS!$I9650,nEVAL,"OR")=0))</f>
      </c>
      <c r="I9650">
        <f>IF(DATOS!$I9650="","",IFERROR(VLOOKUP(DATOS!$I9650,CONFIG_ASIGNATURAS!$B$2:$J$91,9,FALSE()),""))</f>
      </c>
    </row>
    <row r="9651">
      <c r="F9651">
        <f>IF(DATOS!$A9651="","",DATOS!$A9651&amp;"|"&amp;DATOS!$D9651&amp;"|"&amp;DATOS!$E9651&amp;"|"&amp;DATOS!$I9651)</f>
      </c>
      <c r="G9651">
        <f>IF(DATOS!$A9651="",0,IF(CONFIG_METADATA!$B$4&lt;&gt;"OR+EX",--(DATOS!$G9651=CONFIG_METADATA!$B$4),IF(DATOS!$G9651="EX",1,IF(DATOS!$G9651="OR",--(COUNTIFS(nNIA,DATOS!$A9651,nCURSO,DATOS!$D9651,nESPEC,DATOS!$E9651,nASIG,DATOS!$I9651,nEVAL,"EX")=0),0))))</f>
      </c>
      <c r="H9651">
        <f>IF(DATOS!$G9651&lt;&gt;"EX",0,--(COUNTIFS(nNIA,DATOS!$A9651,nCURSO,DATOS!$D9651,nESPEC,DATOS!$E9651,nASIG,DATOS!$I9651,nEVAL,"OR")=0))</f>
      </c>
      <c r="I9651">
        <f>IF(DATOS!$I9651="","",IFERROR(VLOOKUP(DATOS!$I9651,CONFIG_ASIGNATURAS!$B$2:$J$91,9,FALSE()),""))</f>
      </c>
    </row>
    <row r="9652">
      <c r="F9652">
        <f>IF(DATOS!$A9652="","",DATOS!$A9652&amp;"|"&amp;DATOS!$D9652&amp;"|"&amp;DATOS!$E9652&amp;"|"&amp;DATOS!$I9652)</f>
      </c>
      <c r="G9652">
        <f>IF(DATOS!$A9652="",0,IF(CONFIG_METADATA!$B$4&lt;&gt;"OR+EX",--(DATOS!$G9652=CONFIG_METADATA!$B$4),IF(DATOS!$G9652="EX",1,IF(DATOS!$G9652="OR",--(COUNTIFS(nNIA,DATOS!$A9652,nCURSO,DATOS!$D9652,nESPEC,DATOS!$E9652,nASIG,DATOS!$I9652,nEVAL,"EX")=0),0))))</f>
      </c>
      <c r="H9652">
        <f>IF(DATOS!$G9652&lt;&gt;"EX",0,--(COUNTIFS(nNIA,DATOS!$A9652,nCURSO,DATOS!$D9652,nESPEC,DATOS!$E9652,nASIG,DATOS!$I9652,nEVAL,"OR")=0))</f>
      </c>
      <c r="I9652">
        <f>IF(DATOS!$I9652="","",IFERROR(VLOOKUP(DATOS!$I9652,CONFIG_ASIGNATURAS!$B$2:$J$91,9,FALSE()),""))</f>
      </c>
    </row>
    <row r="9653">
      <c r="F9653">
        <f>IF(DATOS!$A9653="","",DATOS!$A9653&amp;"|"&amp;DATOS!$D9653&amp;"|"&amp;DATOS!$E9653&amp;"|"&amp;DATOS!$I9653)</f>
      </c>
      <c r="G9653">
        <f>IF(DATOS!$A9653="",0,IF(CONFIG_METADATA!$B$4&lt;&gt;"OR+EX",--(DATOS!$G9653=CONFIG_METADATA!$B$4),IF(DATOS!$G9653="EX",1,IF(DATOS!$G9653="OR",--(COUNTIFS(nNIA,DATOS!$A9653,nCURSO,DATOS!$D9653,nESPEC,DATOS!$E9653,nASIG,DATOS!$I9653,nEVAL,"EX")=0),0))))</f>
      </c>
      <c r="H9653">
        <f>IF(DATOS!$G9653&lt;&gt;"EX",0,--(COUNTIFS(nNIA,DATOS!$A9653,nCURSO,DATOS!$D9653,nESPEC,DATOS!$E9653,nASIG,DATOS!$I9653,nEVAL,"OR")=0))</f>
      </c>
      <c r="I9653">
        <f>IF(DATOS!$I9653="","",IFERROR(VLOOKUP(DATOS!$I9653,CONFIG_ASIGNATURAS!$B$2:$J$91,9,FALSE()),""))</f>
      </c>
    </row>
    <row r="9654">
      <c r="F9654">
        <f>IF(DATOS!$A9654="","",DATOS!$A9654&amp;"|"&amp;DATOS!$D9654&amp;"|"&amp;DATOS!$E9654&amp;"|"&amp;DATOS!$I9654)</f>
      </c>
      <c r="G9654">
        <f>IF(DATOS!$A9654="",0,IF(CONFIG_METADATA!$B$4&lt;&gt;"OR+EX",--(DATOS!$G9654=CONFIG_METADATA!$B$4),IF(DATOS!$G9654="EX",1,IF(DATOS!$G9654="OR",--(COUNTIFS(nNIA,DATOS!$A9654,nCURSO,DATOS!$D9654,nESPEC,DATOS!$E9654,nASIG,DATOS!$I9654,nEVAL,"EX")=0),0))))</f>
      </c>
      <c r="H9654">
        <f>IF(DATOS!$G9654&lt;&gt;"EX",0,--(COUNTIFS(nNIA,DATOS!$A9654,nCURSO,DATOS!$D9654,nESPEC,DATOS!$E9654,nASIG,DATOS!$I9654,nEVAL,"OR")=0))</f>
      </c>
      <c r="I9654">
        <f>IF(DATOS!$I9654="","",IFERROR(VLOOKUP(DATOS!$I9654,CONFIG_ASIGNATURAS!$B$2:$J$91,9,FALSE()),""))</f>
      </c>
    </row>
    <row r="9655">
      <c r="F9655">
        <f>IF(DATOS!$A9655="","",DATOS!$A9655&amp;"|"&amp;DATOS!$D9655&amp;"|"&amp;DATOS!$E9655&amp;"|"&amp;DATOS!$I9655)</f>
      </c>
      <c r="G9655">
        <f>IF(DATOS!$A9655="",0,IF(CONFIG_METADATA!$B$4&lt;&gt;"OR+EX",--(DATOS!$G9655=CONFIG_METADATA!$B$4),IF(DATOS!$G9655="EX",1,IF(DATOS!$G9655="OR",--(COUNTIFS(nNIA,DATOS!$A9655,nCURSO,DATOS!$D9655,nESPEC,DATOS!$E9655,nASIG,DATOS!$I9655,nEVAL,"EX")=0),0))))</f>
      </c>
      <c r="H9655">
        <f>IF(DATOS!$G9655&lt;&gt;"EX",0,--(COUNTIFS(nNIA,DATOS!$A9655,nCURSO,DATOS!$D9655,nESPEC,DATOS!$E9655,nASIG,DATOS!$I9655,nEVAL,"OR")=0))</f>
      </c>
      <c r="I9655">
        <f>IF(DATOS!$I9655="","",IFERROR(VLOOKUP(DATOS!$I9655,CONFIG_ASIGNATURAS!$B$2:$J$91,9,FALSE()),""))</f>
      </c>
    </row>
    <row r="9656">
      <c r="F9656">
        <f>IF(DATOS!$A9656="","",DATOS!$A9656&amp;"|"&amp;DATOS!$D9656&amp;"|"&amp;DATOS!$E9656&amp;"|"&amp;DATOS!$I9656)</f>
      </c>
      <c r="G9656">
        <f>IF(DATOS!$A9656="",0,IF(CONFIG_METADATA!$B$4&lt;&gt;"OR+EX",--(DATOS!$G9656=CONFIG_METADATA!$B$4),IF(DATOS!$G9656="EX",1,IF(DATOS!$G9656="OR",--(COUNTIFS(nNIA,DATOS!$A9656,nCURSO,DATOS!$D9656,nESPEC,DATOS!$E9656,nASIG,DATOS!$I9656,nEVAL,"EX")=0),0))))</f>
      </c>
      <c r="H9656">
        <f>IF(DATOS!$G9656&lt;&gt;"EX",0,--(COUNTIFS(nNIA,DATOS!$A9656,nCURSO,DATOS!$D9656,nESPEC,DATOS!$E9656,nASIG,DATOS!$I9656,nEVAL,"OR")=0))</f>
      </c>
      <c r="I9656">
        <f>IF(DATOS!$I9656="","",IFERROR(VLOOKUP(DATOS!$I9656,CONFIG_ASIGNATURAS!$B$2:$J$91,9,FALSE()),""))</f>
      </c>
    </row>
    <row r="9657">
      <c r="F9657">
        <f>IF(DATOS!$A9657="","",DATOS!$A9657&amp;"|"&amp;DATOS!$D9657&amp;"|"&amp;DATOS!$E9657&amp;"|"&amp;DATOS!$I9657)</f>
      </c>
      <c r="G9657">
        <f>IF(DATOS!$A9657="",0,IF(CONFIG_METADATA!$B$4&lt;&gt;"OR+EX",--(DATOS!$G9657=CONFIG_METADATA!$B$4),IF(DATOS!$G9657="EX",1,IF(DATOS!$G9657="OR",--(COUNTIFS(nNIA,DATOS!$A9657,nCURSO,DATOS!$D9657,nESPEC,DATOS!$E9657,nASIG,DATOS!$I9657,nEVAL,"EX")=0),0))))</f>
      </c>
      <c r="H9657">
        <f>IF(DATOS!$G9657&lt;&gt;"EX",0,--(COUNTIFS(nNIA,DATOS!$A9657,nCURSO,DATOS!$D9657,nESPEC,DATOS!$E9657,nASIG,DATOS!$I9657,nEVAL,"OR")=0))</f>
      </c>
      <c r="I9657">
        <f>IF(DATOS!$I9657="","",IFERROR(VLOOKUP(DATOS!$I9657,CONFIG_ASIGNATURAS!$B$2:$J$91,9,FALSE()),""))</f>
      </c>
    </row>
    <row r="9658">
      <c r="F9658">
        <f>IF(DATOS!$A9658="","",DATOS!$A9658&amp;"|"&amp;DATOS!$D9658&amp;"|"&amp;DATOS!$E9658&amp;"|"&amp;DATOS!$I9658)</f>
      </c>
      <c r="G9658">
        <f>IF(DATOS!$A9658="",0,IF(CONFIG_METADATA!$B$4&lt;&gt;"OR+EX",--(DATOS!$G9658=CONFIG_METADATA!$B$4),IF(DATOS!$G9658="EX",1,IF(DATOS!$G9658="OR",--(COUNTIFS(nNIA,DATOS!$A9658,nCURSO,DATOS!$D9658,nESPEC,DATOS!$E9658,nASIG,DATOS!$I9658,nEVAL,"EX")=0),0))))</f>
      </c>
      <c r="H9658">
        <f>IF(DATOS!$G9658&lt;&gt;"EX",0,--(COUNTIFS(nNIA,DATOS!$A9658,nCURSO,DATOS!$D9658,nESPEC,DATOS!$E9658,nASIG,DATOS!$I9658,nEVAL,"OR")=0))</f>
      </c>
      <c r="I9658">
        <f>IF(DATOS!$I9658="","",IFERROR(VLOOKUP(DATOS!$I9658,CONFIG_ASIGNATURAS!$B$2:$J$91,9,FALSE()),""))</f>
      </c>
    </row>
    <row r="9659">
      <c r="F9659">
        <f>IF(DATOS!$A9659="","",DATOS!$A9659&amp;"|"&amp;DATOS!$D9659&amp;"|"&amp;DATOS!$E9659&amp;"|"&amp;DATOS!$I9659)</f>
      </c>
      <c r="G9659">
        <f>IF(DATOS!$A9659="",0,IF(CONFIG_METADATA!$B$4&lt;&gt;"OR+EX",--(DATOS!$G9659=CONFIG_METADATA!$B$4),IF(DATOS!$G9659="EX",1,IF(DATOS!$G9659="OR",--(COUNTIFS(nNIA,DATOS!$A9659,nCURSO,DATOS!$D9659,nESPEC,DATOS!$E9659,nASIG,DATOS!$I9659,nEVAL,"EX")=0),0))))</f>
      </c>
      <c r="H9659">
        <f>IF(DATOS!$G9659&lt;&gt;"EX",0,--(COUNTIFS(nNIA,DATOS!$A9659,nCURSO,DATOS!$D9659,nESPEC,DATOS!$E9659,nASIG,DATOS!$I9659,nEVAL,"OR")=0))</f>
      </c>
      <c r="I9659">
        <f>IF(DATOS!$I9659="","",IFERROR(VLOOKUP(DATOS!$I9659,CONFIG_ASIGNATURAS!$B$2:$J$91,9,FALSE()),""))</f>
      </c>
    </row>
    <row r="9660">
      <c r="F9660">
        <f>IF(DATOS!$A9660="","",DATOS!$A9660&amp;"|"&amp;DATOS!$D9660&amp;"|"&amp;DATOS!$E9660&amp;"|"&amp;DATOS!$I9660)</f>
      </c>
      <c r="G9660">
        <f>IF(DATOS!$A9660="",0,IF(CONFIG_METADATA!$B$4&lt;&gt;"OR+EX",--(DATOS!$G9660=CONFIG_METADATA!$B$4),IF(DATOS!$G9660="EX",1,IF(DATOS!$G9660="OR",--(COUNTIFS(nNIA,DATOS!$A9660,nCURSO,DATOS!$D9660,nESPEC,DATOS!$E9660,nASIG,DATOS!$I9660,nEVAL,"EX")=0),0))))</f>
      </c>
      <c r="H9660">
        <f>IF(DATOS!$G9660&lt;&gt;"EX",0,--(COUNTIFS(nNIA,DATOS!$A9660,nCURSO,DATOS!$D9660,nESPEC,DATOS!$E9660,nASIG,DATOS!$I9660,nEVAL,"OR")=0))</f>
      </c>
      <c r="I9660">
        <f>IF(DATOS!$I9660="","",IFERROR(VLOOKUP(DATOS!$I9660,CONFIG_ASIGNATURAS!$B$2:$J$91,9,FALSE()),""))</f>
      </c>
    </row>
    <row r="9661">
      <c r="F9661">
        <f>IF(DATOS!$A9661="","",DATOS!$A9661&amp;"|"&amp;DATOS!$D9661&amp;"|"&amp;DATOS!$E9661&amp;"|"&amp;DATOS!$I9661)</f>
      </c>
      <c r="G9661">
        <f>IF(DATOS!$A9661="",0,IF(CONFIG_METADATA!$B$4&lt;&gt;"OR+EX",--(DATOS!$G9661=CONFIG_METADATA!$B$4),IF(DATOS!$G9661="EX",1,IF(DATOS!$G9661="OR",--(COUNTIFS(nNIA,DATOS!$A9661,nCURSO,DATOS!$D9661,nESPEC,DATOS!$E9661,nASIG,DATOS!$I9661,nEVAL,"EX")=0),0))))</f>
      </c>
      <c r="H9661">
        <f>IF(DATOS!$G9661&lt;&gt;"EX",0,--(COUNTIFS(nNIA,DATOS!$A9661,nCURSO,DATOS!$D9661,nESPEC,DATOS!$E9661,nASIG,DATOS!$I9661,nEVAL,"OR")=0))</f>
      </c>
      <c r="I9661">
        <f>IF(DATOS!$I9661="","",IFERROR(VLOOKUP(DATOS!$I9661,CONFIG_ASIGNATURAS!$B$2:$J$91,9,FALSE()),""))</f>
      </c>
    </row>
    <row r="9662">
      <c r="F9662">
        <f>IF(DATOS!$A9662="","",DATOS!$A9662&amp;"|"&amp;DATOS!$D9662&amp;"|"&amp;DATOS!$E9662&amp;"|"&amp;DATOS!$I9662)</f>
      </c>
      <c r="G9662">
        <f>IF(DATOS!$A9662="",0,IF(CONFIG_METADATA!$B$4&lt;&gt;"OR+EX",--(DATOS!$G9662=CONFIG_METADATA!$B$4),IF(DATOS!$G9662="EX",1,IF(DATOS!$G9662="OR",--(COUNTIFS(nNIA,DATOS!$A9662,nCURSO,DATOS!$D9662,nESPEC,DATOS!$E9662,nASIG,DATOS!$I9662,nEVAL,"EX")=0),0))))</f>
      </c>
      <c r="H9662">
        <f>IF(DATOS!$G9662&lt;&gt;"EX",0,--(COUNTIFS(nNIA,DATOS!$A9662,nCURSO,DATOS!$D9662,nESPEC,DATOS!$E9662,nASIG,DATOS!$I9662,nEVAL,"OR")=0))</f>
      </c>
      <c r="I9662">
        <f>IF(DATOS!$I9662="","",IFERROR(VLOOKUP(DATOS!$I9662,CONFIG_ASIGNATURAS!$B$2:$J$91,9,FALSE()),""))</f>
      </c>
    </row>
    <row r="9663">
      <c r="F9663">
        <f>IF(DATOS!$A9663="","",DATOS!$A9663&amp;"|"&amp;DATOS!$D9663&amp;"|"&amp;DATOS!$E9663&amp;"|"&amp;DATOS!$I9663)</f>
      </c>
      <c r="G9663">
        <f>IF(DATOS!$A9663="",0,IF(CONFIG_METADATA!$B$4&lt;&gt;"OR+EX",--(DATOS!$G9663=CONFIG_METADATA!$B$4),IF(DATOS!$G9663="EX",1,IF(DATOS!$G9663="OR",--(COUNTIFS(nNIA,DATOS!$A9663,nCURSO,DATOS!$D9663,nESPEC,DATOS!$E9663,nASIG,DATOS!$I9663,nEVAL,"EX")=0),0))))</f>
      </c>
      <c r="H9663">
        <f>IF(DATOS!$G9663&lt;&gt;"EX",0,--(COUNTIFS(nNIA,DATOS!$A9663,nCURSO,DATOS!$D9663,nESPEC,DATOS!$E9663,nASIG,DATOS!$I9663,nEVAL,"OR")=0))</f>
      </c>
      <c r="I9663">
        <f>IF(DATOS!$I9663="","",IFERROR(VLOOKUP(DATOS!$I9663,CONFIG_ASIGNATURAS!$B$2:$J$91,9,FALSE()),""))</f>
      </c>
    </row>
    <row r="9664">
      <c r="F9664">
        <f>IF(DATOS!$A9664="","",DATOS!$A9664&amp;"|"&amp;DATOS!$D9664&amp;"|"&amp;DATOS!$E9664&amp;"|"&amp;DATOS!$I9664)</f>
      </c>
      <c r="G9664">
        <f>IF(DATOS!$A9664="",0,IF(CONFIG_METADATA!$B$4&lt;&gt;"OR+EX",--(DATOS!$G9664=CONFIG_METADATA!$B$4),IF(DATOS!$G9664="EX",1,IF(DATOS!$G9664="OR",--(COUNTIFS(nNIA,DATOS!$A9664,nCURSO,DATOS!$D9664,nESPEC,DATOS!$E9664,nASIG,DATOS!$I9664,nEVAL,"EX")=0),0))))</f>
      </c>
      <c r="H9664">
        <f>IF(DATOS!$G9664&lt;&gt;"EX",0,--(COUNTIFS(nNIA,DATOS!$A9664,nCURSO,DATOS!$D9664,nESPEC,DATOS!$E9664,nASIG,DATOS!$I9664,nEVAL,"OR")=0))</f>
      </c>
      <c r="I9664">
        <f>IF(DATOS!$I9664="","",IFERROR(VLOOKUP(DATOS!$I9664,CONFIG_ASIGNATURAS!$B$2:$J$91,9,FALSE()),""))</f>
      </c>
    </row>
    <row r="9665">
      <c r="F9665">
        <f>IF(DATOS!$A9665="","",DATOS!$A9665&amp;"|"&amp;DATOS!$D9665&amp;"|"&amp;DATOS!$E9665&amp;"|"&amp;DATOS!$I9665)</f>
      </c>
      <c r="G9665">
        <f>IF(DATOS!$A9665="",0,IF(CONFIG_METADATA!$B$4&lt;&gt;"OR+EX",--(DATOS!$G9665=CONFIG_METADATA!$B$4),IF(DATOS!$G9665="EX",1,IF(DATOS!$G9665="OR",--(COUNTIFS(nNIA,DATOS!$A9665,nCURSO,DATOS!$D9665,nESPEC,DATOS!$E9665,nASIG,DATOS!$I9665,nEVAL,"EX")=0),0))))</f>
      </c>
      <c r="H9665">
        <f>IF(DATOS!$G9665&lt;&gt;"EX",0,--(COUNTIFS(nNIA,DATOS!$A9665,nCURSO,DATOS!$D9665,nESPEC,DATOS!$E9665,nASIG,DATOS!$I9665,nEVAL,"OR")=0))</f>
      </c>
      <c r="I9665">
        <f>IF(DATOS!$I9665="","",IFERROR(VLOOKUP(DATOS!$I9665,CONFIG_ASIGNATURAS!$B$2:$J$91,9,FALSE()),""))</f>
      </c>
    </row>
    <row r="9666">
      <c r="F9666">
        <f>IF(DATOS!$A9666="","",DATOS!$A9666&amp;"|"&amp;DATOS!$D9666&amp;"|"&amp;DATOS!$E9666&amp;"|"&amp;DATOS!$I9666)</f>
      </c>
      <c r="G9666">
        <f>IF(DATOS!$A9666="",0,IF(CONFIG_METADATA!$B$4&lt;&gt;"OR+EX",--(DATOS!$G9666=CONFIG_METADATA!$B$4),IF(DATOS!$G9666="EX",1,IF(DATOS!$G9666="OR",--(COUNTIFS(nNIA,DATOS!$A9666,nCURSO,DATOS!$D9666,nESPEC,DATOS!$E9666,nASIG,DATOS!$I9666,nEVAL,"EX")=0),0))))</f>
      </c>
      <c r="H9666">
        <f>IF(DATOS!$G9666&lt;&gt;"EX",0,--(COUNTIFS(nNIA,DATOS!$A9666,nCURSO,DATOS!$D9666,nESPEC,DATOS!$E9666,nASIG,DATOS!$I9666,nEVAL,"OR")=0))</f>
      </c>
      <c r="I9666">
        <f>IF(DATOS!$I9666="","",IFERROR(VLOOKUP(DATOS!$I9666,CONFIG_ASIGNATURAS!$B$2:$J$91,9,FALSE()),""))</f>
      </c>
    </row>
    <row r="9667">
      <c r="F9667">
        <f>IF(DATOS!$A9667="","",DATOS!$A9667&amp;"|"&amp;DATOS!$D9667&amp;"|"&amp;DATOS!$E9667&amp;"|"&amp;DATOS!$I9667)</f>
      </c>
      <c r="G9667">
        <f>IF(DATOS!$A9667="",0,IF(CONFIG_METADATA!$B$4&lt;&gt;"OR+EX",--(DATOS!$G9667=CONFIG_METADATA!$B$4),IF(DATOS!$G9667="EX",1,IF(DATOS!$G9667="OR",--(COUNTIFS(nNIA,DATOS!$A9667,nCURSO,DATOS!$D9667,nESPEC,DATOS!$E9667,nASIG,DATOS!$I9667,nEVAL,"EX")=0),0))))</f>
      </c>
      <c r="H9667">
        <f>IF(DATOS!$G9667&lt;&gt;"EX",0,--(COUNTIFS(nNIA,DATOS!$A9667,nCURSO,DATOS!$D9667,nESPEC,DATOS!$E9667,nASIG,DATOS!$I9667,nEVAL,"OR")=0))</f>
      </c>
      <c r="I9667">
        <f>IF(DATOS!$I9667="","",IFERROR(VLOOKUP(DATOS!$I9667,CONFIG_ASIGNATURAS!$B$2:$J$91,9,FALSE()),""))</f>
      </c>
    </row>
    <row r="9668">
      <c r="F9668">
        <f>IF(DATOS!$A9668="","",DATOS!$A9668&amp;"|"&amp;DATOS!$D9668&amp;"|"&amp;DATOS!$E9668&amp;"|"&amp;DATOS!$I9668)</f>
      </c>
      <c r="G9668">
        <f>IF(DATOS!$A9668="",0,IF(CONFIG_METADATA!$B$4&lt;&gt;"OR+EX",--(DATOS!$G9668=CONFIG_METADATA!$B$4),IF(DATOS!$G9668="EX",1,IF(DATOS!$G9668="OR",--(COUNTIFS(nNIA,DATOS!$A9668,nCURSO,DATOS!$D9668,nESPEC,DATOS!$E9668,nASIG,DATOS!$I9668,nEVAL,"EX")=0),0))))</f>
      </c>
      <c r="H9668">
        <f>IF(DATOS!$G9668&lt;&gt;"EX",0,--(COUNTIFS(nNIA,DATOS!$A9668,nCURSO,DATOS!$D9668,nESPEC,DATOS!$E9668,nASIG,DATOS!$I9668,nEVAL,"OR")=0))</f>
      </c>
      <c r="I9668">
        <f>IF(DATOS!$I9668="","",IFERROR(VLOOKUP(DATOS!$I9668,CONFIG_ASIGNATURAS!$B$2:$J$91,9,FALSE()),""))</f>
      </c>
    </row>
    <row r="9669">
      <c r="F9669">
        <f>IF(DATOS!$A9669="","",DATOS!$A9669&amp;"|"&amp;DATOS!$D9669&amp;"|"&amp;DATOS!$E9669&amp;"|"&amp;DATOS!$I9669)</f>
      </c>
      <c r="G9669">
        <f>IF(DATOS!$A9669="",0,IF(CONFIG_METADATA!$B$4&lt;&gt;"OR+EX",--(DATOS!$G9669=CONFIG_METADATA!$B$4),IF(DATOS!$G9669="EX",1,IF(DATOS!$G9669="OR",--(COUNTIFS(nNIA,DATOS!$A9669,nCURSO,DATOS!$D9669,nESPEC,DATOS!$E9669,nASIG,DATOS!$I9669,nEVAL,"EX")=0),0))))</f>
      </c>
      <c r="H9669">
        <f>IF(DATOS!$G9669&lt;&gt;"EX",0,--(COUNTIFS(nNIA,DATOS!$A9669,nCURSO,DATOS!$D9669,nESPEC,DATOS!$E9669,nASIG,DATOS!$I9669,nEVAL,"OR")=0))</f>
      </c>
      <c r="I9669">
        <f>IF(DATOS!$I9669="","",IFERROR(VLOOKUP(DATOS!$I9669,CONFIG_ASIGNATURAS!$B$2:$J$91,9,FALSE()),""))</f>
      </c>
    </row>
    <row r="9670">
      <c r="F9670">
        <f>IF(DATOS!$A9670="","",DATOS!$A9670&amp;"|"&amp;DATOS!$D9670&amp;"|"&amp;DATOS!$E9670&amp;"|"&amp;DATOS!$I9670)</f>
      </c>
      <c r="G9670">
        <f>IF(DATOS!$A9670="",0,IF(CONFIG_METADATA!$B$4&lt;&gt;"OR+EX",--(DATOS!$G9670=CONFIG_METADATA!$B$4),IF(DATOS!$G9670="EX",1,IF(DATOS!$G9670="OR",--(COUNTIFS(nNIA,DATOS!$A9670,nCURSO,DATOS!$D9670,nESPEC,DATOS!$E9670,nASIG,DATOS!$I9670,nEVAL,"EX")=0),0))))</f>
      </c>
      <c r="H9670">
        <f>IF(DATOS!$G9670&lt;&gt;"EX",0,--(COUNTIFS(nNIA,DATOS!$A9670,nCURSO,DATOS!$D9670,nESPEC,DATOS!$E9670,nASIG,DATOS!$I9670,nEVAL,"OR")=0))</f>
      </c>
      <c r="I9670">
        <f>IF(DATOS!$I9670="","",IFERROR(VLOOKUP(DATOS!$I9670,CONFIG_ASIGNATURAS!$B$2:$J$91,9,FALSE()),""))</f>
      </c>
    </row>
    <row r="9671">
      <c r="F9671">
        <f>IF(DATOS!$A9671="","",DATOS!$A9671&amp;"|"&amp;DATOS!$D9671&amp;"|"&amp;DATOS!$E9671&amp;"|"&amp;DATOS!$I9671)</f>
      </c>
      <c r="G9671">
        <f>IF(DATOS!$A9671="",0,IF(CONFIG_METADATA!$B$4&lt;&gt;"OR+EX",--(DATOS!$G9671=CONFIG_METADATA!$B$4),IF(DATOS!$G9671="EX",1,IF(DATOS!$G9671="OR",--(COUNTIFS(nNIA,DATOS!$A9671,nCURSO,DATOS!$D9671,nESPEC,DATOS!$E9671,nASIG,DATOS!$I9671,nEVAL,"EX")=0),0))))</f>
      </c>
      <c r="H9671">
        <f>IF(DATOS!$G9671&lt;&gt;"EX",0,--(COUNTIFS(nNIA,DATOS!$A9671,nCURSO,DATOS!$D9671,nESPEC,DATOS!$E9671,nASIG,DATOS!$I9671,nEVAL,"OR")=0))</f>
      </c>
      <c r="I9671">
        <f>IF(DATOS!$I9671="","",IFERROR(VLOOKUP(DATOS!$I9671,CONFIG_ASIGNATURAS!$B$2:$J$91,9,FALSE()),""))</f>
      </c>
    </row>
    <row r="9672">
      <c r="F9672">
        <f>IF(DATOS!$A9672="","",DATOS!$A9672&amp;"|"&amp;DATOS!$D9672&amp;"|"&amp;DATOS!$E9672&amp;"|"&amp;DATOS!$I9672)</f>
      </c>
      <c r="G9672">
        <f>IF(DATOS!$A9672="",0,IF(CONFIG_METADATA!$B$4&lt;&gt;"OR+EX",--(DATOS!$G9672=CONFIG_METADATA!$B$4),IF(DATOS!$G9672="EX",1,IF(DATOS!$G9672="OR",--(COUNTIFS(nNIA,DATOS!$A9672,nCURSO,DATOS!$D9672,nESPEC,DATOS!$E9672,nASIG,DATOS!$I9672,nEVAL,"EX")=0),0))))</f>
      </c>
      <c r="H9672">
        <f>IF(DATOS!$G9672&lt;&gt;"EX",0,--(COUNTIFS(nNIA,DATOS!$A9672,nCURSO,DATOS!$D9672,nESPEC,DATOS!$E9672,nASIG,DATOS!$I9672,nEVAL,"OR")=0))</f>
      </c>
      <c r="I9672">
        <f>IF(DATOS!$I9672="","",IFERROR(VLOOKUP(DATOS!$I9672,CONFIG_ASIGNATURAS!$B$2:$J$91,9,FALSE()),""))</f>
      </c>
    </row>
    <row r="9673">
      <c r="F9673">
        <f>IF(DATOS!$A9673="","",DATOS!$A9673&amp;"|"&amp;DATOS!$D9673&amp;"|"&amp;DATOS!$E9673&amp;"|"&amp;DATOS!$I9673)</f>
      </c>
      <c r="G9673">
        <f>IF(DATOS!$A9673="",0,IF(CONFIG_METADATA!$B$4&lt;&gt;"OR+EX",--(DATOS!$G9673=CONFIG_METADATA!$B$4),IF(DATOS!$G9673="EX",1,IF(DATOS!$G9673="OR",--(COUNTIFS(nNIA,DATOS!$A9673,nCURSO,DATOS!$D9673,nESPEC,DATOS!$E9673,nASIG,DATOS!$I9673,nEVAL,"EX")=0),0))))</f>
      </c>
      <c r="H9673">
        <f>IF(DATOS!$G9673&lt;&gt;"EX",0,--(COUNTIFS(nNIA,DATOS!$A9673,nCURSO,DATOS!$D9673,nESPEC,DATOS!$E9673,nASIG,DATOS!$I9673,nEVAL,"OR")=0))</f>
      </c>
      <c r="I9673">
        <f>IF(DATOS!$I9673="","",IFERROR(VLOOKUP(DATOS!$I9673,CONFIG_ASIGNATURAS!$B$2:$J$91,9,FALSE()),""))</f>
      </c>
    </row>
    <row r="9674">
      <c r="F9674">
        <f>IF(DATOS!$A9674="","",DATOS!$A9674&amp;"|"&amp;DATOS!$D9674&amp;"|"&amp;DATOS!$E9674&amp;"|"&amp;DATOS!$I9674)</f>
      </c>
      <c r="G9674">
        <f>IF(DATOS!$A9674="",0,IF(CONFIG_METADATA!$B$4&lt;&gt;"OR+EX",--(DATOS!$G9674=CONFIG_METADATA!$B$4),IF(DATOS!$G9674="EX",1,IF(DATOS!$G9674="OR",--(COUNTIFS(nNIA,DATOS!$A9674,nCURSO,DATOS!$D9674,nESPEC,DATOS!$E9674,nASIG,DATOS!$I9674,nEVAL,"EX")=0),0))))</f>
      </c>
      <c r="H9674">
        <f>IF(DATOS!$G9674&lt;&gt;"EX",0,--(COUNTIFS(nNIA,DATOS!$A9674,nCURSO,DATOS!$D9674,nESPEC,DATOS!$E9674,nASIG,DATOS!$I9674,nEVAL,"OR")=0))</f>
      </c>
      <c r="I9674">
        <f>IF(DATOS!$I9674="","",IFERROR(VLOOKUP(DATOS!$I9674,CONFIG_ASIGNATURAS!$B$2:$J$91,9,FALSE()),""))</f>
      </c>
    </row>
    <row r="9675">
      <c r="F9675">
        <f>IF(DATOS!$A9675="","",DATOS!$A9675&amp;"|"&amp;DATOS!$D9675&amp;"|"&amp;DATOS!$E9675&amp;"|"&amp;DATOS!$I9675)</f>
      </c>
      <c r="G9675">
        <f>IF(DATOS!$A9675="",0,IF(CONFIG_METADATA!$B$4&lt;&gt;"OR+EX",--(DATOS!$G9675=CONFIG_METADATA!$B$4),IF(DATOS!$G9675="EX",1,IF(DATOS!$G9675="OR",--(COUNTIFS(nNIA,DATOS!$A9675,nCURSO,DATOS!$D9675,nESPEC,DATOS!$E9675,nASIG,DATOS!$I9675,nEVAL,"EX")=0),0))))</f>
      </c>
      <c r="H9675">
        <f>IF(DATOS!$G9675&lt;&gt;"EX",0,--(COUNTIFS(nNIA,DATOS!$A9675,nCURSO,DATOS!$D9675,nESPEC,DATOS!$E9675,nASIG,DATOS!$I9675,nEVAL,"OR")=0))</f>
      </c>
      <c r="I9675">
        <f>IF(DATOS!$I9675="","",IFERROR(VLOOKUP(DATOS!$I9675,CONFIG_ASIGNATURAS!$B$2:$J$91,9,FALSE()),""))</f>
      </c>
    </row>
    <row r="9676">
      <c r="F9676">
        <f>IF(DATOS!$A9676="","",DATOS!$A9676&amp;"|"&amp;DATOS!$D9676&amp;"|"&amp;DATOS!$E9676&amp;"|"&amp;DATOS!$I9676)</f>
      </c>
      <c r="G9676">
        <f>IF(DATOS!$A9676="",0,IF(CONFIG_METADATA!$B$4&lt;&gt;"OR+EX",--(DATOS!$G9676=CONFIG_METADATA!$B$4),IF(DATOS!$G9676="EX",1,IF(DATOS!$G9676="OR",--(COUNTIFS(nNIA,DATOS!$A9676,nCURSO,DATOS!$D9676,nESPEC,DATOS!$E9676,nASIG,DATOS!$I9676,nEVAL,"EX")=0),0))))</f>
      </c>
      <c r="H9676">
        <f>IF(DATOS!$G9676&lt;&gt;"EX",0,--(COUNTIFS(nNIA,DATOS!$A9676,nCURSO,DATOS!$D9676,nESPEC,DATOS!$E9676,nASIG,DATOS!$I9676,nEVAL,"OR")=0))</f>
      </c>
      <c r="I9676">
        <f>IF(DATOS!$I9676="","",IFERROR(VLOOKUP(DATOS!$I9676,CONFIG_ASIGNATURAS!$B$2:$J$91,9,FALSE()),""))</f>
      </c>
    </row>
    <row r="9677">
      <c r="F9677">
        <f>IF(DATOS!$A9677="","",DATOS!$A9677&amp;"|"&amp;DATOS!$D9677&amp;"|"&amp;DATOS!$E9677&amp;"|"&amp;DATOS!$I9677)</f>
      </c>
      <c r="G9677">
        <f>IF(DATOS!$A9677="",0,IF(CONFIG_METADATA!$B$4&lt;&gt;"OR+EX",--(DATOS!$G9677=CONFIG_METADATA!$B$4),IF(DATOS!$G9677="EX",1,IF(DATOS!$G9677="OR",--(COUNTIFS(nNIA,DATOS!$A9677,nCURSO,DATOS!$D9677,nESPEC,DATOS!$E9677,nASIG,DATOS!$I9677,nEVAL,"EX")=0),0))))</f>
      </c>
      <c r="H9677">
        <f>IF(DATOS!$G9677&lt;&gt;"EX",0,--(COUNTIFS(nNIA,DATOS!$A9677,nCURSO,DATOS!$D9677,nESPEC,DATOS!$E9677,nASIG,DATOS!$I9677,nEVAL,"OR")=0))</f>
      </c>
      <c r="I9677">
        <f>IF(DATOS!$I9677="","",IFERROR(VLOOKUP(DATOS!$I9677,CONFIG_ASIGNATURAS!$B$2:$J$91,9,FALSE()),""))</f>
      </c>
    </row>
    <row r="9678">
      <c r="F9678">
        <f>IF(DATOS!$A9678="","",DATOS!$A9678&amp;"|"&amp;DATOS!$D9678&amp;"|"&amp;DATOS!$E9678&amp;"|"&amp;DATOS!$I9678)</f>
      </c>
      <c r="G9678">
        <f>IF(DATOS!$A9678="",0,IF(CONFIG_METADATA!$B$4&lt;&gt;"OR+EX",--(DATOS!$G9678=CONFIG_METADATA!$B$4),IF(DATOS!$G9678="EX",1,IF(DATOS!$G9678="OR",--(COUNTIFS(nNIA,DATOS!$A9678,nCURSO,DATOS!$D9678,nESPEC,DATOS!$E9678,nASIG,DATOS!$I9678,nEVAL,"EX")=0),0))))</f>
      </c>
      <c r="H9678">
        <f>IF(DATOS!$G9678&lt;&gt;"EX",0,--(COUNTIFS(nNIA,DATOS!$A9678,nCURSO,DATOS!$D9678,nESPEC,DATOS!$E9678,nASIG,DATOS!$I9678,nEVAL,"OR")=0))</f>
      </c>
      <c r="I9678">
        <f>IF(DATOS!$I9678="","",IFERROR(VLOOKUP(DATOS!$I9678,CONFIG_ASIGNATURAS!$B$2:$J$91,9,FALSE()),""))</f>
      </c>
    </row>
    <row r="9679">
      <c r="F9679">
        <f>IF(DATOS!$A9679="","",DATOS!$A9679&amp;"|"&amp;DATOS!$D9679&amp;"|"&amp;DATOS!$E9679&amp;"|"&amp;DATOS!$I9679)</f>
      </c>
      <c r="G9679">
        <f>IF(DATOS!$A9679="",0,IF(CONFIG_METADATA!$B$4&lt;&gt;"OR+EX",--(DATOS!$G9679=CONFIG_METADATA!$B$4),IF(DATOS!$G9679="EX",1,IF(DATOS!$G9679="OR",--(COUNTIFS(nNIA,DATOS!$A9679,nCURSO,DATOS!$D9679,nESPEC,DATOS!$E9679,nASIG,DATOS!$I9679,nEVAL,"EX")=0),0))))</f>
      </c>
      <c r="H9679">
        <f>IF(DATOS!$G9679&lt;&gt;"EX",0,--(COUNTIFS(nNIA,DATOS!$A9679,nCURSO,DATOS!$D9679,nESPEC,DATOS!$E9679,nASIG,DATOS!$I9679,nEVAL,"OR")=0))</f>
      </c>
      <c r="I9679">
        <f>IF(DATOS!$I9679="","",IFERROR(VLOOKUP(DATOS!$I9679,CONFIG_ASIGNATURAS!$B$2:$J$91,9,FALSE()),""))</f>
      </c>
    </row>
    <row r="9680">
      <c r="F9680">
        <f>IF(DATOS!$A9680="","",DATOS!$A9680&amp;"|"&amp;DATOS!$D9680&amp;"|"&amp;DATOS!$E9680&amp;"|"&amp;DATOS!$I9680)</f>
      </c>
      <c r="G9680">
        <f>IF(DATOS!$A9680="",0,IF(CONFIG_METADATA!$B$4&lt;&gt;"OR+EX",--(DATOS!$G9680=CONFIG_METADATA!$B$4),IF(DATOS!$G9680="EX",1,IF(DATOS!$G9680="OR",--(COUNTIFS(nNIA,DATOS!$A9680,nCURSO,DATOS!$D9680,nESPEC,DATOS!$E9680,nASIG,DATOS!$I9680,nEVAL,"EX")=0),0))))</f>
      </c>
      <c r="H9680">
        <f>IF(DATOS!$G9680&lt;&gt;"EX",0,--(COUNTIFS(nNIA,DATOS!$A9680,nCURSO,DATOS!$D9680,nESPEC,DATOS!$E9680,nASIG,DATOS!$I9680,nEVAL,"OR")=0))</f>
      </c>
      <c r="I9680">
        <f>IF(DATOS!$I9680="","",IFERROR(VLOOKUP(DATOS!$I9680,CONFIG_ASIGNATURAS!$B$2:$J$91,9,FALSE()),""))</f>
      </c>
    </row>
    <row r="9681">
      <c r="F9681">
        <f>IF(DATOS!$A9681="","",DATOS!$A9681&amp;"|"&amp;DATOS!$D9681&amp;"|"&amp;DATOS!$E9681&amp;"|"&amp;DATOS!$I9681)</f>
      </c>
      <c r="G9681">
        <f>IF(DATOS!$A9681="",0,IF(CONFIG_METADATA!$B$4&lt;&gt;"OR+EX",--(DATOS!$G9681=CONFIG_METADATA!$B$4),IF(DATOS!$G9681="EX",1,IF(DATOS!$G9681="OR",--(COUNTIFS(nNIA,DATOS!$A9681,nCURSO,DATOS!$D9681,nESPEC,DATOS!$E9681,nASIG,DATOS!$I9681,nEVAL,"EX")=0),0))))</f>
      </c>
      <c r="H9681">
        <f>IF(DATOS!$G9681&lt;&gt;"EX",0,--(COUNTIFS(nNIA,DATOS!$A9681,nCURSO,DATOS!$D9681,nESPEC,DATOS!$E9681,nASIG,DATOS!$I9681,nEVAL,"OR")=0))</f>
      </c>
      <c r="I9681">
        <f>IF(DATOS!$I9681="","",IFERROR(VLOOKUP(DATOS!$I9681,CONFIG_ASIGNATURAS!$B$2:$J$91,9,FALSE()),""))</f>
      </c>
    </row>
    <row r="9682">
      <c r="F9682">
        <f>IF(DATOS!$A9682="","",DATOS!$A9682&amp;"|"&amp;DATOS!$D9682&amp;"|"&amp;DATOS!$E9682&amp;"|"&amp;DATOS!$I9682)</f>
      </c>
      <c r="G9682">
        <f>IF(DATOS!$A9682="",0,IF(CONFIG_METADATA!$B$4&lt;&gt;"OR+EX",--(DATOS!$G9682=CONFIG_METADATA!$B$4),IF(DATOS!$G9682="EX",1,IF(DATOS!$G9682="OR",--(COUNTIFS(nNIA,DATOS!$A9682,nCURSO,DATOS!$D9682,nESPEC,DATOS!$E9682,nASIG,DATOS!$I9682,nEVAL,"EX")=0),0))))</f>
      </c>
      <c r="H9682">
        <f>IF(DATOS!$G9682&lt;&gt;"EX",0,--(COUNTIFS(nNIA,DATOS!$A9682,nCURSO,DATOS!$D9682,nESPEC,DATOS!$E9682,nASIG,DATOS!$I9682,nEVAL,"OR")=0))</f>
      </c>
      <c r="I9682">
        <f>IF(DATOS!$I9682="","",IFERROR(VLOOKUP(DATOS!$I9682,CONFIG_ASIGNATURAS!$B$2:$J$91,9,FALSE()),""))</f>
      </c>
    </row>
    <row r="9683">
      <c r="F9683">
        <f>IF(DATOS!$A9683="","",DATOS!$A9683&amp;"|"&amp;DATOS!$D9683&amp;"|"&amp;DATOS!$E9683&amp;"|"&amp;DATOS!$I9683)</f>
      </c>
      <c r="G9683">
        <f>IF(DATOS!$A9683="",0,IF(CONFIG_METADATA!$B$4&lt;&gt;"OR+EX",--(DATOS!$G9683=CONFIG_METADATA!$B$4),IF(DATOS!$G9683="EX",1,IF(DATOS!$G9683="OR",--(COUNTIFS(nNIA,DATOS!$A9683,nCURSO,DATOS!$D9683,nESPEC,DATOS!$E9683,nASIG,DATOS!$I9683,nEVAL,"EX")=0),0))))</f>
      </c>
      <c r="H9683">
        <f>IF(DATOS!$G9683&lt;&gt;"EX",0,--(COUNTIFS(nNIA,DATOS!$A9683,nCURSO,DATOS!$D9683,nESPEC,DATOS!$E9683,nASIG,DATOS!$I9683,nEVAL,"OR")=0))</f>
      </c>
      <c r="I9683">
        <f>IF(DATOS!$I9683="","",IFERROR(VLOOKUP(DATOS!$I9683,CONFIG_ASIGNATURAS!$B$2:$J$91,9,FALSE()),""))</f>
      </c>
    </row>
    <row r="9684">
      <c r="F9684">
        <f>IF(DATOS!$A9684="","",DATOS!$A9684&amp;"|"&amp;DATOS!$D9684&amp;"|"&amp;DATOS!$E9684&amp;"|"&amp;DATOS!$I9684)</f>
      </c>
      <c r="G9684">
        <f>IF(DATOS!$A9684="",0,IF(CONFIG_METADATA!$B$4&lt;&gt;"OR+EX",--(DATOS!$G9684=CONFIG_METADATA!$B$4),IF(DATOS!$G9684="EX",1,IF(DATOS!$G9684="OR",--(COUNTIFS(nNIA,DATOS!$A9684,nCURSO,DATOS!$D9684,nESPEC,DATOS!$E9684,nASIG,DATOS!$I9684,nEVAL,"EX")=0),0))))</f>
      </c>
      <c r="H9684">
        <f>IF(DATOS!$G9684&lt;&gt;"EX",0,--(COUNTIFS(nNIA,DATOS!$A9684,nCURSO,DATOS!$D9684,nESPEC,DATOS!$E9684,nASIG,DATOS!$I9684,nEVAL,"OR")=0))</f>
      </c>
      <c r="I9684">
        <f>IF(DATOS!$I9684="","",IFERROR(VLOOKUP(DATOS!$I9684,CONFIG_ASIGNATURAS!$B$2:$J$91,9,FALSE()),""))</f>
      </c>
    </row>
    <row r="9685">
      <c r="F9685">
        <f>IF(DATOS!$A9685="","",DATOS!$A9685&amp;"|"&amp;DATOS!$D9685&amp;"|"&amp;DATOS!$E9685&amp;"|"&amp;DATOS!$I9685)</f>
      </c>
      <c r="G9685">
        <f>IF(DATOS!$A9685="",0,IF(CONFIG_METADATA!$B$4&lt;&gt;"OR+EX",--(DATOS!$G9685=CONFIG_METADATA!$B$4),IF(DATOS!$G9685="EX",1,IF(DATOS!$G9685="OR",--(COUNTIFS(nNIA,DATOS!$A9685,nCURSO,DATOS!$D9685,nESPEC,DATOS!$E9685,nASIG,DATOS!$I9685,nEVAL,"EX")=0),0))))</f>
      </c>
      <c r="H9685">
        <f>IF(DATOS!$G9685&lt;&gt;"EX",0,--(COUNTIFS(nNIA,DATOS!$A9685,nCURSO,DATOS!$D9685,nESPEC,DATOS!$E9685,nASIG,DATOS!$I9685,nEVAL,"OR")=0))</f>
      </c>
      <c r="I9685">
        <f>IF(DATOS!$I9685="","",IFERROR(VLOOKUP(DATOS!$I9685,CONFIG_ASIGNATURAS!$B$2:$J$91,9,FALSE()),""))</f>
      </c>
    </row>
    <row r="9686">
      <c r="F9686">
        <f>IF(DATOS!$A9686="","",DATOS!$A9686&amp;"|"&amp;DATOS!$D9686&amp;"|"&amp;DATOS!$E9686&amp;"|"&amp;DATOS!$I9686)</f>
      </c>
      <c r="G9686">
        <f>IF(DATOS!$A9686="",0,IF(CONFIG_METADATA!$B$4&lt;&gt;"OR+EX",--(DATOS!$G9686=CONFIG_METADATA!$B$4),IF(DATOS!$G9686="EX",1,IF(DATOS!$G9686="OR",--(COUNTIFS(nNIA,DATOS!$A9686,nCURSO,DATOS!$D9686,nESPEC,DATOS!$E9686,nASIG,DATOS!$I9686,nEVAL,"EX")=0),0))))</f>
      </c>
      <c r="H9686">
        <f>IF(DATOS!$G9686&lt;&gt;"EX",0,--(COUNTIFS(nNIA,DATOS!$A9686,nCURSO,DATOS!$D9686,nESPEC,DATOS!$E9686,nASIG,DATOS!$I9686,nEVAL,"OR")=0))</f>
      </c>
      <c r="I9686">
        <f>IF(DATOS!$I9686="","",IFERROR(VLOOKUP(DATOS!$I9686,CONFIG_ASIGNATURAS!$B$2:$J$91,9,FALSE()),""))</f>
      </c>
    </row>
    <row r="9687">
      <c r="F9687">
        <f>IF(DATOS!$A9687="","",DATOS!$A9687&amp;"|"&amp;DATOS!$D9687&amp;"|"&amp;DATOS!$E9687&amp;"|"&amp;DATOS!$I9687)</f>
      </c>
      <c r="G9687">
        <f>IF(DATOS!$A9687="",0,IF(CONFIG_METADATA!$B$4&lt;&gt;"OR+EX",--(DATOS!$G9687=CONFIG_METADATA!$B$4),IF(DATOS!$G9687="EX",1,IF(DATOS!$G9687="OR",--(COUNTIFS(nNIA,DATOS!$A9687,nCURSO,DATOS!$D9687,nESPEC,DATOS!$E9687,nASIG,DATOS!$I9687,nEVAL,"EX")=0),0))))</f>
      </c>
      <c r="H9687">
        <f>IF(DATOS!$G9687&lt;&gt;"EX",0,--(COUNTIFS(nNIA,DATOS!$A9687,nCURSO,DATOS!$D9687,nESPEC,DATOS!$E9687,nASIG,DATOS!$I9687,nEVAL,"OR")=0))</f>
      </c>
      <c r="I9687">
        <f>IF(DATOS!$I9687="","",IFERROR(VLOOKUP(DATOS!$I9687,CONFIG_ASIGNATURAS!$B$2:$J$91,9,FALSE()),""))</f>
      </c>
    </row>
    <row r="9688">
      <c r="F9688">
        <f>IF(DATOS!$A9688="","",DATOS!$A9688&amp;"|"&amp;DATOS!$D9688&amp;"|"&amp;DATOS!$E9688&amp;"|"&amp;DATOS!$I9688)</f>
      </c>
      <c r="G9688">
        <f>IF(DATOS!$A9688="",0,IF(CONFIG_METADATA!$B$4&lt;&gt;"OR+EX",--(DATOS!$G9688=CONFIG_METADATA!$B$4),IF(DATOS!$G9688="EX",1,IF(DATOS!$G9688="OR",--(COUNTIFS(nNIA,DATOS!$A9688,nCURSO,DATOS!$D9688,nESPEC,DATOS!$E9688,nASIG,DATOS!$I9688,nEVAL,"EX")=0),0))))</f>
      </c>
      <c r="H9688">
        <f>IF(DATOS!$G9688&lt;&gt;"EX",0,--(COUNTIFS(nNIA,DATOS!$A9688,nCURSO,DATOS!$D9688,nESPEC,DATOS!$E9688,nASIG,DATOS!$I9688,nEVAL,"OR")=0))</f>
      </c>
      <c r="I9688">
        <f>IF(DATOS!$I9688="","",IFERROR(VLOOKUP(DATOS!$I9688,CONFIG_ASIGNATURAS!$B$2:$J$91,9,FALSE()),""))</f>
      </c>
    </row>
    <row r="9689">
      <c r="F9689">
        <f>IF(DATOS!$A9689="","",DATOS!$A9689&amp;"|"&amp;DATOS!$D9689&amp;"|"&amp;DATOS!$E9689&amp;"|"&amp;DATOS!$I9689)</f>
      </c>
      <c r="G9689">
        <f>IF(DATOS!$A9689="",0,IF(CONFIG_METADATA!$B$4&lt;&gt;"OR+EX",--(DATOS!$G9689=CONFIG_METADATA!$B$4),IF(DATOS!$G9689="EX",1,IF(DATOS!$G9689="OR",--(COUNTIFS(nNIA,DATOS!$A9689,nCURSO,DATOS!$D9689,nESPEC,DATOS!$E9689,nASIG,DATOS!$I9689,nEVAL,"EX")=0),0))))</f>
      </c>
      <c r="H9689">
        <f>IF(DATOS!$G9689&lt;&gt;"EX",0,--(COUNTIFS(nNIA,DATOS!$A9689,nCURSO,DATOS!$D9689,nESPEC,DATOS!$E9689,nASIG,DATOS!$I9689,nEVAL,"OR")=0))</f>
      </c>
      <c r="I9689">
        <f>IF(DATOS!$I9689="","",IFERROR(VLOOKUP(DATOS!$I9689,CONFIG_ASIGNATURAS!$B$2:$J$91,9,FALSE()),""))</f>
      </c>
    </row>
    <row r="9690">
      <c r="F9690">
        <f>IF(DATOS!$A9690="","",DATOS!$A9690&amp;"|"&amp;DATOS!$D9690&amp;"|"&amp;DATOS!$E9690&amp;"|"&amp;DATOS!$I9690)</f>
      </c>
      <c r="G9690">
        <f>IF(DATOS!$A9690="",0,IF(CONFIG_METADATA!$B$4&lt;&gt;"OR+EX",--(DATOS!$G9690=CONFIG_METADATA!$B$4),IF(DATOS!$G9690="EX",1,IF(DATOS!$G9690="OR",--(COUNTIFS(nNIA,DATOS!$A9690,nCURSO,DATOS!$D9690,nESPEC,DATOS!$E9690,nASIG,DATOS!$I9690,nEVAL,"EX")=0),0))))</f>
      </c>
      <c r="H9690">
        <f>IF(DATOS!$G9690&lt;&gt;"EX",0,--(COUNTIFS(nNIA,DATOS!$A9690,nCURSO,DATOS!$D9690,nESPEC,DATOS!$E9690,nASIG,DATOS!$I9690,nEVAL,"OR")=0))</f>
      </c>
      <c r="I9690">
        <f>IF(DATOS!$I9690="","",IFERROR(VLOOKUP(DATOS!$I9690,CONFIG_ASIGNATURAS!$B$2:$J$91,9,FALSE()),""))</f>
      </c>
    </row>
    <row r="9691">
      <c r="F9691">
        <f>IF(DATOS!$A9691="","",DATOS!$A9691&amp;"|"&amp;DATOS!$D9691&amp;"|"&amp;DATOS!$E9691&amp;"|"&amp;DATOS!$I9691)</f>
      </c>
      <c r="G9691">
        <f>IF(DATOS!$A9691="",0,IF(CONFIG_METADATA!$B$4&lt;&gt;"OR+EX",--(DATOS!$G9691=CONFIG_METADATA!$B$4),IF(DATOS!$G9691="EX",1,IF(DATOS!$G9691="OR",--(COUNTIFS(nNIA,DATOS!$A9691,nCURSO,DATOS!$D9691,nESPEC,DATOS!$E9691,nASIG,DATOS!$I9691,nEVAL,"EX")=0),0))))</f>
      </c>
      <c r="H9691">
        <f>IF(DATOS!$G9691&lt;&gt;"EX",0,--(COUNTIFS(nNIA,DATOS!$A9691,nCURSO,DATOS!$D9691,nESPEC,DATOS!$E9691,nASIG,DATOS!$I9691,nEVAL,"OR")=0))</f>
      </c>
      <c r="I9691">
        <f>IF(DATOS!$I9691="","",IFERROR(VLOOKUP(DATOS!$I9691,CONFIG_ASIGNATURAS!$B$2:$J$91,9,FALSE()),""))</f>
      </c>
    </row>
    <row r="9692">
      <c r="F9692">
        <f>IF(DATOS!$A9692="","",DATOS!$A9692&amp;"|"&amp;DATOS!$D9692&amp;"|"&amp;DATOS!$E9692&amp;"|"&amp;DATOS!$I9692)</f>
      </c>
      <c r="G9692">
        <f>IF(DATOS!$A9692="",0,IF(CONFIG_METADATA!$B$4&lt;&gt;"OR+EX",--(DATOS!$G9692=CONFIG_METADATA!$B$4),IF(DATOS!$G9692="EX",1,IF(DATOS!$G9692="OR",--(COUNTIFS(nNIA,DATOS!$A9692,nCURSO,DATOS!$D9692,nESPEC,DATOS!$E9692,nASIG,DATOS!$I9692,nEVAL,"EX")=0),0))))</f>
      </c>
      <c r="H9692">
        <f>IF(DATOS!$G9692&lt;&gt;"EX",0,--(COUNTIFS(nNIA,DATOS!$A9692,nCURSO,DATOS!$D9692,nESPEC,DATOS!$E9692,nASIG,DATOS!$I9692,nEVAL,"OR")=0))</f>
      </c>
      <c r="I9692">
        <f>IF(DATOS!$I9692="","",IFERROR(VLOOKUP(DATOS!$I9692,CONFIG_ASIGNATURAS!$B$2:$J$91,9,FALSE()),""))</f>
      </c>
    </row>
    <row r="9693">
      <c r="F9693">
        <f>IF(DATOS!$A9693="","",DATOS!$A9693&amp;"|"&amp;DATOS!$D9693&amp;"|"&amp;DATOS!$E9693&amp;"|"&amp;DATOS!$I9693)</f>
      </c>
      <c r="G9693">
        <f>IF(DATOS!$A9693="",0,IF(CONFIG_METADATA!$B$4&lt;&gt;"OR+EX",--(DATOS!$G9693=CONFIG_METADATA!$B$4),IF(DATOS!$G9693="EX",1,IF(DATOS!$G9693="OR",--(COUNTIFS(nNIA,DATOS!$A9693,nCURSO,DATOS!$D9693,nESPEC,DATOS!$E9693,nASIG,DATOS!$I9693,nEVAL,"EX")=0),0))))</f>
      </c>
      <c r="H9693">
        <f>IF(DATOS!$G9693&lt;&gt;"EX",0,--(COUNTIFS(nNIA,DATOS!$A9693,nCURSO,DATOS!$D9693,nESPEC,DATOS!$E9693,nASIG,DATOS!$I9693,nEVAL,"OR")=0))</f>
      </c>
      <c r="I9693">
        <f>IF(DATOS!$I9693="","",IFERROR(VLOOKUP(DATOS!$I9693,CONFIG_ASIGNATURAS!$B$2:$J$91,9,FALSE()),""))</f>
      </c>
    </row>
    <row r="9694">
      <c r="F9694">
        <f>IF(DATOS!$A9694="","",DATOS!$A9694&amp;"|"&amp;DATOS!$D9694&amp;"|"&amp;DATOS!$E9694&amp;"|"&amp;DATOS!$I9694)</f>
      </c>
      <c r="G9694">
        <f>IF(DATOS!$A9694="",0,IF(CONFIG_METADATA!$B$4&lt;&gt;"OR+EX",--(DATOS!$G9694=CONFIG_METADATA!$B$4),IF(DATOS!$G9694="EX",1,IF(DATOS!$G9694="OR",--(COUNTIFS(nNIA,DATOS!$A9694,nCURSO,DATOS!$D9694,nESPEC,DATOS!$E9694,nASIG,DATOS!$I9694,nEVAL,"EX")=0),0))))</f>
      </c>
      <c r="H9694">
        <f>IF(DATOS!$G9694&lt;&gt;"EX",0,--(COUNTIFS(nNIA,DATOS!$A9694,nCURSO,DATOS!$D9694,nESPEC,DATOS!$E9694,nASIG,DATOS!$I9694,nEVAL,"OR")=0))</f>
      </c>
      <c r="I9694">
        <f>IF(DATOS!$I9694="","",IFERROR(VLOOKUP(DATOS!$I9694,CONFIG_ASIGNATURAS!$B$2:$J$91,9,FALSE()),""))</f>
      </c>
    </row>
    <row r="9695">
      <c r="F9695">
        <f>IF(DATOS!$A9695="","",DATOS!$A9695&amp;"|"&amp;DATOS!$D9695&amp;"|"&amp;DATOS!$E9695&amp;"|"&amp;DATOS!$I9695)</f>
      </c>
      <c r="G9695">
        <f>IF(DATOS!$A9695="",0,IF(CONFIG_METADATA!$B$4&lt;&gt;"OR+EX",--(DATOS!$G9695=CONFIG_METADATA!$B$4),IF(DATOS!$G9695="EX",1,IF(DATOS!$G9695="OR",--(COUNTIFS(nNIA,DATOS!$A9695,nCURSO,DATOS!$D9695,nESPEC,DATOS!$E9695,nASIG,DATOS!$I9695,nEVAL,"EX")=0),0))))</f>
      </c>
      <c r="H9695">
        <f>IF(DATOS!$G9695&lt;&gt;"EX",0,--(COUNTIFS(nNIA,DATOS!$A9695,nCURSO,DATOS!$D9695,nESPEC,DATOS!$E9695,nASIG,DATOS!$I9695,nEVAL,"OR")=0))</f>
      </c>
      <c r="I9695">
        <f>IF(DATOS!$I9695="","",IFERROR(VLOOKUP(DATOS!$I9695,CONFIG_ASIGNATURAS!$B$2:$J$91,9,FALSE()),""))</f>
      </c>
    </row>
    <row r="9696">
      <c r="F9696">
        <f>IF(DATOS!$A9696="","",DATOS!$A9696&amp;"|"&amp;DATOS!$D9696&amp;"|"&amp;DATOS!$E9696&amp;"|"&amp;DATOS!$I9696)</f>
      </c>
      <c r="G9696">
        <f>IF(DATOS!$A9696="",0,IF(CONFIG_METADATA!$B$4&lt;&gt;"OR+EX",--(DATOS!$G9696=CONFIG_METADATA!$B$4),IF(DATOS!$G9696="EX",1,IF(DATOS!$G9696="OR",--(COUNTIFS(nNIA,DATOS!$A9696,nCURSO,DATOS!$D9696,nESPEC,DATOS!$E9696,nASIG,DATOS!$I9696,nEVAL,"EX")=0),0))))</f>
      </c>
      <c r="H9696">
        <f>IF(DATOS!$G9696&lt;&gt;"EX",0,--(COUNTIFS(nNIA,DATOS!$A9696,nCURSO,DATOS!$D9696,nESPEC,DATOS!$E9696,nASIG,DATOS!$I9696,nEVAL,"OR")=0))</f>
      </c>
      <c r="I9696">
        <f>IF(DATOS!$I9696="","",IFERROR(VLOOKUP(DATOS!$I9696,CONFIG_ASIGNATURAS!$B$2:$J$91,9,FALSE()),""))</f>
      </c>
    </row>
    <row r="9697">
      <c r="F9697">
        <f>IF(DATOS!$A9697="","",DATOS!$A9697&amp;"|"&amp;DATOS!$D9697&amp;"|"&amp;DATOS!$E9697&amp;"|"&amp;DATOS!$I9697)</f>
      </c>
      <c r="G9697">
        <f>IF(DATOS!$A9697="",0,IF(CONFIG_METADATA!$B$4&lt;&gt;"OR+EX",--(DATOS!$G9697=CONFIG_METADATA!$B$4),IF(DATOS!$G9697="EX",1,IF(DATOS!$G9697="OR",--(COUNTIFS(nNIA,DATOS!$A9697,nCURSO,DATOS!$D9697,nESPEC,DATOS!$E9697,nASIG,DATOS!$I9697,nEVAL,"EX")=0),0))))</f>
      </c>
      <c r="H9697">
        <f>IF(DATOS!$G9697&lt;&gt;"EX",0,--(COUNTIFS(nNIA,DATOS!$A9697,nCURSO,DATOS!$D9697,nESPEC,DATOS!$E9697,nASIG,DATOS!$I9697,nEVAL,"OR")=0))</f>
      </c>
      <c r="I9697">
        <f>IF(DATOS!$I9697="","",IFERROR(VLOOKUP(DATOS!$I9697,CONFIG_ASIGNATURAS!$B$2:$J$91,9,FALSE()),""))</f>
      </c>
    </row>
    <row r="9698">
      <c r="F9698">
        <f>IF(DATOS!$A9698="","",DATOS!$A9698&amp;"|"&amp;DATOS!$D9698&amp;"|"&amp;DATOS!$E9698&amp;"|"&amp;DATOS!$I9698)</f>
      </c>
      <c r="G9698">
        <f>IF(DATOS!$A9698="",0,IF(CONFIG_METADATA!$B$4&lt;&gt;"OR+EX",--(DATOS!$G9698=CONFIG_METADATA!$B$4),IF(DATOS!$G9698="EX",1,IF(DATOS!$G9698="OR",--(COUNTIFS(nNIA,DATOS!$A9698,nCURSO,DATOS!$D9698,nESPEC,DATOS!$E9698,nASIG,DATOS!$I9698,nEVAL,"EX")=0),0))))</f>
      </c>
      <c r="H9698">
        <f>IF(DATOS!$G9698&lt;&gt;"EX",0,--(COUNTIFS(nNIA,DATOS!$A9698,nCURSO,DATOS!$D9698,nESPEC,DATOS!$E9698,nASIG,DATOS!$I9698,nEVAL,"OR")=0))</f>
      </c>
      <c r="I9698">
        <f>IF(DATOS!$I9698="","",IFERROR(VLOOKUP(DATOS!$I9698,CONFIG_ASIGNATURAS!$B$2:$J$91,9,FALSE()),""))</f>
      </c>
    </row>
    <row r="9699">
      <c r="F9699">
        <f>IF(DATOS!$A9699="","",DATOS!$A9699&amp;"|"&amp;DATOS!$D9699&amp;"|"&amp;DATOS!$E9699&amp;"|"&amp;DATOS!$I9699)</f>
      </c>
      <c r="G9699">
        <f>IF(DATOS!$A9699="",0,IF(CONFIG_METADATA!$B$4&lt;&gt;"OR+EX",--(DATOS!$G9699=CONFIG_METADATA!$B$4),IF(DATOS!$G9699="EX",1,IF(DATOS!$G9699="OR",--(COUNTIFS(nNIA,DATOS!$A9699,nCURSO,DATOS!$D9699,nESPEC,DATOS!$E9699,nASIG,DATOS!$I9699,nEVAL,"EX")=0),0))))</f>
      </c>
      <c r="H9699">
        <f>IF(DATOS!$G9699&lt;&gt;"EX",0,--(COUNTIFS(nNIA,DATOS!$A9699,nCURSO,DATOS!$D9699,nESPEC,DATOS!$E9699,nASIG,DATOS!$I9699,nEVAL,"OR")=0))</f>
      </c>
      <c r="I9699">
        <f>IF(DATOS!$I9699="","",IFERROR(VLOOKUP(DATOS!$I9699,CONFIG_ASIGNATURAS!$B$2:$J$91,9,FALSE()),""))</f>
      </c>
    </row>
    <row r="9700">
      <c r="F9700">
        <f>IF(DATOS!$A9700="","",DATOS!$A9700&amp;"|"&amp;DATOS!$D9700&amp;"|"&amp;DATOS!$E9700&amp;"|"&amp;DATOS!$I9700)</f>
      </c>
      <c r="G9700">
        <f>IF(DATOS!$A9700="",0,IF(CONFIG_METADATA!$B$4&lt;&gt;"OR+EX",--(DATOS!$G9700=CONFIG_METADATA!$B$4),IF(DATOS!$G9700="EX",1,IF(DATOS!$G9700="OR",--(COUNTIFS(nNIA,DATOS!$A9700,nCURSO,DATOS!$D9700,nESPEC,DATOS!$E9700,nASIG,DATOS!$I9700,nEVAL,"EX")=0),0))))</f>
      </c>
      <c r="H9700">
        <f>IF(DATOS!$G9700&lt;&gt;"EX",0,--(COUNTIFS(nNIA,DATOS!$A9700,nCURSO,DATOS!$D9700,nESPEC,DATOS!$E9700,nASIG,DATOS!$I9700,nEVAL,"OR")=0))</f>
      </c>
      <c r="I9700">
        <f>IF(DATOS!$I9700="","",IFERROR(VLOOKUP(DATOS!$I9700,CONFIG_ASIGNATURAS!$B$2:$J$91,9,FALSE()),""))</f>
      </c>
    </row>
    <row r="9701">
      <c r="F9701">
        <f>IF(DATOS!$A9701="","",DATOS!$A9701&amp;"|"&amp;DATOS!$D9701&amp;"|"&amp;DATOS!$E9701&amp;"|"&amp;DATOS!$I9701)</f>
      </c>
      <c r="G9701">
        <f>IF(DATOS!$A9701="",0,IF(CONFIG_METADATA!$B$4&lt;&gt;"OR+EX",--(DATOS!$G9701=CONFIG_METADATA!$B$4),IF(DATOS!$G9701="EX",1,IF(DATOS!$G9701="OR",--(COUNTIFS(nNIA,DATOS!$A9701,nCURSO,DATOS!$D9701,nESPEC,DATOS!$E9701,nASIG,DATOS!$I9701,nEVAL,"EX")=0),0))))</f>
      </c>
      <c r="H9701">
        <f>IF(DATOS!$G9701&lt;&gt;"EX",0,--(COUNTIFS(nNIA,DATOS!$A9701,nCURSO,DATOS!$D9701,nESPEC,DATOS!$E9701,nASIG,DATOS!$I9701,nEVAL,"OR")=0))</f>
      </c>
      <c r="I9701">
        <f>IF(DATOS!$I9701="","",IFERROR(VLOOKUP(DATOS!$I9701,CONFIG_ASIGNATURAS!$B$2:$J$91,9,FALSE()),""))</f>
      </c>
    </row>
    <row r="9702">
      <c r="F9702">
        <f>IF(DATOS!$A9702="","",DATOS!$A9702&amp;"|"&amp;DATOS!$D9702&amp;"|"&amp;DATOS!$E9702&amp;"|"&amp;DATOS!$I9702)</f>
      </c>
      <c r="G9702">
        <f>IF(DATOS!$A9702="",0,IF(CONFIG_METADATA!$B$4&lt;&gt;"OR+EX",--(DATOS!$G9702=CONFIG_METADATA!$B$4),IF(DATOS!$G9702="EX",1,IF(DATOS!$G9702="OR",--(COUNTIFS(nNIA,DATOS!$A9702,nCURSO,DATOS!$D9702,nESPEC,DATOS!$E9702,nASIG,DATOS!$I9702,nEVAL,"EX")=0),0))))</f>
      </c>
      <c r="H9702">
        <f>IF(DATOS!$G9702&lt;&gt;"EX",0,--(COUNTIFS(nNIA,DATOS!$A9702,nCURSO,DATOS!$D9702,nESPEC,DATOS!$E9702,nASIG,DATOS!$I9702,nEVAL,"OR")=0))</f>
      </c>
      <c r="I9702">
        <f>IF(DATOS!$I9702="","",IFERROR(VLOOKUP(DATOS!$I9702,CONFIG_ASIGNATURAS!$B$2:$J$91,9,FALSE()),""))</f>
      </c>
    </row>
    <row r="9703">
      <c r="F9703">
        <f>IF(DATOS!$A9703="","",DATOS!$A9703&amp;"|"&amp;DATOS!$D9703&amp;"|"&amp;DATOS!$E9703&amp;"|"&amp;DATOS!$I9703)</f>
      </c>
      <c r="G9703">
        <f>IF(DATOS!$A9703="",0,IF(CONFIG_METADATA!$B$4&lt;&gt;"OR+EX",--(DATOS!$G9703=CONFIG_METADATA!$B$4),IF(DATOS!$G9703="EX",1,IF(DATOS!$G9703="OR",--(COUNTIFS(nNIA,DATOS!$A9703,nCURSO,DATOS!$D9703,nESPEC,DATOS!$E9703,nASIG,DATOS!$I9703,nEVAL,"EX")=0),0))))</f>
      </c>
      <c r="H9703">
        <f>IF(DATOS!$G9703&lt;&gt;"EX",0,--(COUNTIFS(nNIA,DATOS!$A9703,nCURSO,DATOS!$D9703,nESPEC,DATOS!$E9703,nASIG,DATOS!$I9703,nEVAL,"OR")=0))</f>
      </c>
      <c r="I9703">
        <f>IF(DATOS!$I9703="","",IFERROR(VLOOKUP(DATOS!$I9703,CONFIG_ASIGNATURAS!$B$2:$J$91,9,FALSE()),""))</f>
      </c>
    </row>
    <row r="9704">
      <c r="F9704">
        <f>IF(DATOS!$A9704="","",DATOS!$A9704&amp;"|"&amp;DATOS!$D9704&amp;"|"&amp;DATOS!$E9704&amp;"|"&amp;DATOS!$I9704)</f>
      </c>
      <c r="G9704">
        <f>IF(DATOS!$A9704="",0,IF(CONFIG_METADATA!$B$4&lt;&gt;"OR+EX",--(DATOS!$G9704=CONFIG_METADATA!$B$4),IF(DATOS!$G9704="EX",1,IF(DATOS!$G9704="OR",--(COUNTIFS(nNIA,DATOS!$A9704,nCURSO,DATOS!$D9704,nESPEC,DATOS!$E9704,nASIG,DATOS!$I9704,nEVAL,"EX")=0),0))))</f>
      </c>
      <c r="H9704">
        <f>IF(DATOS!$G9704&lt;&gt;"EX",0,--(COUNTIFS(nNIA,DATOS!$A9704,nCURSO,DATOS!$D9704,nESPEC,DATOS!$E9704,nASIG,DATOS!$I9704,nEVAL,"OR")=0))</f>
      </c>
      <c r="I9704">
        <f>IF(DATOS!$I9704="","",IFERROR(VLOOKUP(DATOS!$I9704,CONFIG_ASIGNATURAS!$B$2:$J$91,9,FALSE()),""))</f>
      </c>
    </row>
    <row r="9705">
      <c r="F9705">
        <f>IF(DATOS!$A9705="","",DATOS!$A9705&amp;"|"&amp;DATOS!$D9705&amp;"|"&amp;DATOS!$E9705&amp;"|"&amp;DATOS!$I9705)</f>
      </c>
      <c r="G9705">
        <f>IF(DATOS!$A9705="",0,IF(CONFIG_METADATA!$B$4&lt;&gt;"OR+EX",--(DATOS!$G9705=CONFIG_METADATA!$B$4),IF(DATOS!$G9705="EX",1,IF(DATOS!$G9705="OR",--(COUNTIFS(nNIA,DATOS!$A9705,nCURSO,DATOS!$D9705,nESPEC,DATOS!$E9705,nASIG,DATOS!$I9705,nEVAL,"EX")=0),0))))</f>
      </c>
      <c r="H9705">
        <f>IF(DATOS!$G9705&lt;&gt;"EX",0,--(COUNTIFS(nNIA,DATOS!$A9705,nCURSO,DATOS!$D9705,nESPEC,DATOS!$E9705,nASIG,DATOS!$I9705,nEVAL,"OR")=0))</f>
      </c>
      <c r="I9705">
        <f>IF(DATOS!$I9705="","",IFERROR(VLOOKUP(DATOS!$I9705,CONFIG_ASIGNATURAS!$B$2:$J$91,9,FALSE()),""))</f>
      </c>
    </row>
    <row r="9706">
      <c r="F9706">
        <f>IF(DATOS!$A9706="","",DATOS!$A9706&amp;"|"&amp;DATOS!$D9706&amp;"|"&amp;DATOS!$E9706&amp;"|"&amp;DATOS!$I9706)</f>
      </c>
      <c r="G9706">
        <f>IF(DATOS!$A9706="",0,IF(CONFIG_METADATA!$B$4&lt;&gt;"OR+EX",--(DATOS!$G9706=CONFIG_METADATA!$B$4),IF(DATOS!$G9706="EX",1,IF(DATOS!$G9706="OR",--(COUNTIFS(nNIA,DATOS!$A9706,nCURSO,DATOS!$D9706,nESPEC,DATOS!$E9706,nASIG,DATOS!$I9706,nEVAL,"EX")=0),0))))</f>
      </c>
      <c r="H9706">
        <f>IF(DATOS!$G9706&lt;&gt;"EX",0,--(COUNTIFS(nNIA,DATOS!$A9706,nCURSO,DATOS!$D9706,nESPEC,DATOS!$E9706,nASIG,DATOS!$I9706,nEVAL,"OR")=0))</f>
      </c>
      <c r="I9706">
        <f>IF(DATOS!$I9706="","",IFERROR(VLOOKUP(DATOS!$I9706,CONFIG_ASIGNATURAS!$B$2:$J$91,9,FALSE()),""))</f>
      </c>
    </row>
    <row r="9707">
      <c r="F9707">
        <f>IF(DATOS!$A9707="","",DATOS!$A9707&amp;"|"&amp;DATOS!$D9707&amp;"|"&amp;DATOS!$E9707&amp;"|"&amp;DATOS!$I9707)</f>
      </c>
      <c r="G9707">
        <f>IF(DATOS!$A9707="",0,IF(CONFIG_METADATA!$B$4&lt;&gt;"OR+EX",--(DATOS!$G9707=CONFIG_METADATA!$B$4),IF(DATOS!$G9707="EX",1,IF(DATOS!$G9707="OR",--(COUNTIFS(nNIA,DATOS!$A9707,nCURSO,DATOS!$D9707,nESPEC,DATOS!$E9707,nASIG,DATOS!$I9707,nEVAL,"EX")=0),0))))</f>
      </c>
      <c r="H9707">
        <f>IF(DATOS!$G9707&lt;&gt;"EX",0,--(COUNTIFS(nNIA,DATOS!$A9707,nCURSO,DATOS!$D9707,nESPEC,DATOS!$E9707,nASIG,DATOS!$I9707,nEVAL,"OR")=0))</f>
      </c>
      <c r="I9707">
        <f>IF(DATOS!$I9707="","",IFERROR(VLOOKUP(DATOS!$I9707,CONFIG_ASIGNATURAS!$B$2:$J$91,9,FALSE()),""))</f>
      </c>
    </row>
    <row r="9708">
      <c r="F9708">
        <f>IF(DATOS!$A9708="","",DATOS!$A9708&amp;"|"&amp;DATOS!$D9708&amp;"|"&amp;DATOS!$E9708&amp;"|"&amp;DATOS!$I9708)</f>
      </c>
      <c r="G9708">
        <f>IF(DATOS!$A9708="",0,IF(CONFIG_METADATA!$B$4&lt;&gt;"OR+EX",--(DATOS!$G9708=CONFIG_METADATA!$B$4),IF(DATOS!$G9708="EX",1,IF(DATOS!$G9708="OR",--(COUNTIFS(nNIA,DATOS!$A9708,nCURSO,DATOS!$D9708,nESPEC,DATOS!$E9708,nASIG,DATOS!$I9708,nEVAL,"EX")=0),0))))</f>
      </c>
      <c r="H9708">
        <f>IF(DATOS!$G9708&lt;&gt;"EX",0,--(COUNTIFS(nNIA,DATOS!$A9708,nCURSO,DATOS!$D9708,nESPEC,DATOS!$E9708,nASIG,DATOS!$I9708,nEVAL,"OR")=0))</f>
      </c>
      <c r="I9708">
        <f>IF(DATOS!$I9708="","",IFERROR(VLOOKUP(DATOS!$I9708,CONFIG_ASIGNATURAS!$B$2:$J$91,9,FALSE()),""))</f>
      </c>
    </row>
    <row r="9709">
      <c r="F9709">
        <f>IF(DATOS!$A9709="","",DATOS!$A9709&amp;"|"&amp;DATOS!$D9709&amp;"|"&amp;DATOS!$E9709&amp;"|"&amp;DATOS!$I9709)</f>
      </c>
      <c r="G9709">
        <f>IF(DATOS!$A9709="",0,IF(CONFIG_METADATA!$B$4&lt;&gt;"OR+EX",--(DATOS!$G9709=CONFIG_METADATA!$B$4),IF(DATOS!$G9709="EX",1,IF(DATOS!$G9709="OR",--(COUNTIFS(nNIA,DATOS!$A9709,nCURSO,DATOS!$D9709,nESPEC,DATOS!$E9709,nASIG,DATOS!$I9709,nEVAL,"EX")=0),0))))</f>
      </c>
      <c r="H9709">
        <f>IF(DATOS!$G9709&lt;&gt;"EX",0,--(COUNTIFS(nNIA,DATOS!$A9709,nCURSO,DATOS!$D9709,nESPEC,DATOS!$E9709,nASIG,DATOS!$I9709,nEVAL,"OR")=0))</f>
      </c>
      <c r="I9709">
        <f>IF(DATOS!$I9709="","",IFERROR(VLOOKUP(DATOS!$I9709,CONFIG_ASIGNATURAS!$B$2:$J$91,9,FALSE()),""))</f>
      </c>
    </row>
    <row r="9710">
      <c r="F9710">
        <f>IF(DATOS!$A9710="","",DATOS!$A9710&amp;"|"&amp;DATOS!$D9710&amp;"|"&amp;DATOS!$E9710&amp;"|"&amp;DATOS!$I9710)</f>
      </c>
      <c r="G9710">
        <f>IF(DATOS!$A9710="",0,IF(CONFIG_METADATA!$B$4&lt;&gt;"OR+EX",--(DATOS!$G9710=CONFIG_METADATA!$B$4),IF(DATOS!$G9710="EX",1,IF(DATOS!$G9710="OR",--(COUNTIFS(nNIA,DATOS!$A9710,nCURSO,DATOS!$D9710,nESPEC,DATOS!$E9710,nASIG,DATOS!$I9710,nEVAL,"EX")=0),0))))</f>
      </c>
      <c r="H9710">
        <f>IF(DATOS!$G9710&lt;&gt;"EX",0,--(COUNTIFS(nNIA,DATOS!$A9710,nCURSO,DATOS!$D9710,nESPEC,DATOS!$E9710,nASIG,DATOS!$I9710,nEVAL,"OR")=0))</f>
      </c>
      <c r="I9710">
        <f>IF(DATOS!$I9710="","",IFERROR(VLOOKUP(DATOS!$I9710,CONFIG_ASIGNATURAS!$B$2:$J$91,9,FALSE()),""))</f>
      </c>
    </row>
    <row r="9711">
      <c r="F9711">
        <f>IF(DATOS!$A9711="","",DATOS!$A9711&amp;"|"&amp;DATOS!$D9711&amp;"|"&amp;DATOS!$E9711&amp;"|"&amp;DATOS!$I9711)</f>
      </c>
      <c r="G9711">
        <f>IF(DATOS!$A9711="",0,IF(CONFIG_METADATA!$B$4&lt;&gt;"OR+EX",--(DATOS!$G9711=CONFIG_METADATA!$B$4),IF(DATOS!$G9711="EX",1,IF(DATOS!$G9711="OR",--(COUNTIFS(nNIA,DATOS!$A9711,nCURSO,DATOS!$D9711,nESPEC,DATOS!$E9711,nASIG,DATOS!$I9711,nEVAL,"EX")=0),0))))</f>
      </c>
      <c r="H9711">
        <f>IF(DATOS!$G9711&lt;&gt;"EX",0,--(COUNTIFS(nNIA,DATOS!$A9711,nCURSO,DATOS!$D9711,nESPEC,DATOS!$E9711,nASIG,DATOS!$I9711,nEVAL,"OR")=0))</f>
      </c>
      <c r="I9711">
        <f>IF(DATOS!$I9711="","",IFERROR(VLOOKUP(DATOS!$I9711,CONFIG_ASIGNATURAS!$B$2:$J$91,9,FALSE()),""))</f>
      </c>
    </row>
    <row r="9712">
      <c r="F9712">
        <f>IF(DATOS!$A9712="","",DATOS!$A9712&amp;"|"&amp;DATOS!$D9712&amp;"|"&amp;DATOS!$E9712&amp;"|"&amp;DATOS!$I9712)</f>
      </c>
      <c r="G9712">
        <f>IF(DATOS!$A9712="",0,IF(CONFIG_METADATA!$B$4&lt;&gt;"OR+EX",--(DATOS!$G9712=CONFIG_METADATA!$B$4),IF(DATOS!$G9712="EX",1,IF(DATOS!$G9712="OR",--(COUNTIFS(nNIA,DATOS!$A9712,nCURSO,DATOS!$D9712,nESPEC,DATOS!$E9712,nASIG,DATOS!$I9712,nEVAL,"EX")=0),0))))</f>
      </c>
      <c r="H9712">
        <f>IF(DATOS!$G9712&lt;&gt;"EX",0,--(COUNTIFS(nNIA,DATOS!$A9712,nCURSO,DATOS!$D9712,nESPEC,DATOS!$E9712,nASIG,DATOS!$I9712,nEVAL,"OR")=0))</f>
      </c>
      <c r="I9712">
        <f>IF(DATOS!$I9712="","",IFERROR(VLOOKUP(DATOS!$I9712,CONFIG_ASIGNATURAS!$B$2:$J$91,9,FALSE()),""))</f>
      </c>
    </row>
    <row r="9713">
      <c r="F9713">
        <f>IF(DATOS!$A9713="","",DATOS!$A9713&amp;"|"&amp;DATOS!$D9713&amp;"|"&amp;DATOS!$E9713&amp;"|"&amp;DATOS!$I9713)</f>
      </c>
      <c r="G9713">
        <f>IF(DATOS!$A9713="",0,IF(CONFIG_METADATA!$B$4&lt;&gt;"OR+EX",--(DATOS!$G9713=CONFIG_METADATA!$B$4),IF(DATOS!$G9713="EX",1,IF(DATOS!$G9713="OR",--(COUNTIFS(nNIA,DATOS!$A9713,nCURSO,DATOS!$D9713,nESPEC,DATOS!$E9713,nASIG,DATOS!$I9713,nEVAL,"EX")=0),0))))</f>
      </c>
      <c r="H9713">
        <f>IF(DATOS!$G9713&lt;&gt;"EX",0,--(COUNTIFS(nNIA,DATOS!$A9713,nCURSO,DATOS!$D9713,nESPEC,DATOS!$E9713,nASIG,DATOS!$I9713,nEVAL,"OR")=0))</f>
      </c>
      <c r="I9713">
        <f>IF(DATOS!$I9713="","",IFERROR(VLOOKUP(DATOS!$I9713,CONFIG_ASIGNATURAS!$B$2:$J$91,9,FALSE()),""))</f>
      </c>
    </row>
    <row r="9714">
      <c r="F9714">
        <f>IF(DATOS!$A9714="","",DATOS!$A9714&amp;"|"&amp;DATOS!$D9714&amp;"|"&amp;DATOS!$E9714&amp;"|"&amp;DATOS!$I9714)</f>
      </c>
      <c r="G9714">
        <f>IF(DATOS!$A9714="",0,IF(CONFIG_METADATA!$B$4&lt;&gt;"OR+EX",--(DATOS!$G9714=CONFIG_METADATA!$B$4),IF(DATOS!$G9714="EX",1,IF(DATOS!$G9714="OR",--(COUNTIFS(nNIA,DATOS!$A9714,nCURSO,DATOS!$D9714,nESPEC,DATOS!$E9714,nASIG,DATOS!$I9714,nEVAL,"EX")=0),0))))</f>
      </c>
      <c r="H9714">
        <f>IF(DATOS!$G9714&lt;&gt;"EX",0,--(COUNTIFS(nNIA,DATOS!$A9714,nCURSO,DATOS!$D9714,nESPEC,DATOS!$E9714,nASIG,DATOS!$I9714,nEVAL,"OR")=0))</f>
      </c>
      <c r="I9714">
        <f>IF(DATOS!$I9714="","",IFERROR(VLOOKUP(DATOS!$I9714,CONFIG_ASIGNATURAS!$B$2:$J$91,9,FALSE()),""))</f>
      </c>
    </row>
    <row r="9715">
      <c r="F9715">
        <f>IF(DATOS!$A9715="","",DATOS!$A9715&amp;"|"&amp;DATOS!$D9715&amp;"|"&amp;DATOS!$E9715&amp;"|"&amp;DATOS!$I9715)</f>
      </c>
      <c r="G9715">
        <f>IF(DATOS!$A9715="",0,IF(CONFIG_METADATA!$B$4&lt;&gt;"OR+EX",--(DATOS!$G9715=CONFIG_METADATA!$B$4),IF(DATOS!$G9715="EX",1,IF(DATOS!$G9715="OR",--(COUNTIFS(nNIA,DATOS!$A9715,nCURSO,DATOS!$D9715,nESPEC,DATOS!$E9715,nASIG,DATOS!$I9715,nEVAL,"EX")=0),0))))</f>
      </c>
      <c r="H9715">
        <f>IF(DATOS!$G9715&lt;&gt;"EX",0,--(COUNTIFS(nNIA,DATOS!$A9715,nCURSO,DATOS!$D9715,nESPEC,DATOS!$E9715,nASIG,DATOS!$I9715,nEVAL,"OR")=0))</f>
      </c>
      <c r="I9715">
        <f>IF(DATOS!$I9715="","",IFERROR(VLOOKUP(DATOS!$I9715,CONFIG_ASIGNATURAS!$B$2:$J$91,9,FALSE()),""))</f>
      </c>
    </row>
    <row r="9716">
      <c r="F9716">
        <f>IF(DATOS!$A9716="","",DATOS!$A9716&amp;"|"&amp;DATOS!$D9716&amp;"|"&amp;DATOS!$E9716&amp;"|"&amp;DATOS!$I9716)</f>
      </c>
      <c r="G9716">
        <f>IF(DATOS!$A9716="",0,IF(CONFIG_METADATA!$B$4&lt;&gt;"OR+EX",--(DATOS!$G9716=CONFIG_METADATA!$B$4),IF(DATOS!$G9716="EX",1,IF(DATOS!$G9716="OR",--(COUNTIFS(nNIA,DATOS!$A9716,nCURSO,DATOS!$D9716,nESPEC,DATOS!$E9716,nASIG,DATOS!$I9716,nEVAL,"EX")=0),0))))</f>
      </c>
      <c r="H9716">
        <f>IF(DATOS!$G9716&lt;&gt;"EX",0,--(COUNTIFS(nNIA,DATOS!$A9716,nCURSO,DATOS!$D9716,nESPEC,DATOS!$E9716,nASIG,DATOS!$I9716,nEVAL,"OR")=0))</f>
      </c>
      <c r="I9716">
        <f>IF(DATOS!$I9716="","",IFERROR(VLOOKUP(DATOS!$I9716,CONFIG_ASIGNATURAS!$B$2:$J$91,9,FALSE()),""))</f>
      </c>
    </row>
    <row r="9717">
      <c r="F9717">
        <f>IF(DATOS!$A9717="","",DATOS!$A9717&amp;"|"&amp;DATOS!$D9717&amp;"|"&amp;DATOS!$E9717&amp;"|"&amp;DATOS!$I9717)</f>
      </c>
      <c r="G9717">
        <f>IF(DATOS!$A9717="",0,IF(CONFIG_METADATA!$B$4&lt;&gt;"OR+EX",--(DATOS!$G9717=CONFIG_METADATA!$B$4),IF(DATOS!$G9717="EX",1,IF(DATOS!$G9717="OR",--(COUNTIFS(nNIA,DATOS!$A9717,nCURSO,DATOS!$D9717,nESPEC,DATOS!$E9717,nASIG,DATOS!$I9717,nEVAL,"EX")=0),0))))</f>
      </c>
      <c r="H9717">
        <f>IF(DATOS!$G9717&lt;&gt;"EX",0,--(COUNTIFS(nNIA,DATOS!$A9717,nCURSO,DATOS!$D9717,nESPEC,DATOS!$E9717,nASIG,DATOS!$I9717,nEVAL,"OR")=0))</f>
      </c>
      <c r="I9717">
        <f>IF(DATOS!$I9717="","",IFERROR(VLOOKUP(DATOS!$I9717,CONFIG_ASIGNATURAS!$B$2:$J$91,9,FALSE()),""))</f>
      </c>
    </row>
    <row r="9718">
      <c r="F9718">
        <f>IF(DATOS!$A9718="","",DATOS!$A9718&amp;"|"&amp;DATOS!$D9718&amp;"|"&amp;DATOS!$E9718&amp;"|"&amp;DATOS!$I9718)</f>
      </c>
      <c r="G9718">
        <f>IF(DATOS!$A9718="",0,IF(CONFIG_METADATA!$B$4&lt;&gt;"OR+EX",--(DATOS!$G9718=CONFIG_METADATA!$B$4),IF(DATOS!$G9718="EX",1,IF(DATOS!$G9718="OR",--(COUNTIFS(nNIA,DATOS!$A9718,nCURSO,DATOS!$D9718,nESPEC,DATOS!$E9718,nASIG,DATOS!$I9718,nEVAL,"EX")=0),0))))</f>
      </c>
      <c r="H9718">
        <f>IF(DATOS!$G9718&lt;&gt;"EX",0,--(COUNTIFS(nNIA,DATOS!$A9718,nCURSO,DATOS!$D9718,nESPEC,DATOS!$E9718,nASIG,DATOS!$I9718,nEVAL,"OR")=0))</f>
      </c>
      <c r="I9718">
        <f>IF(DATOS!$I9718="","",IFERROR(VLOOKUP(DATOS!$I9718,CONFIG_ASIGNATURAS!$B$2:$J$91,9,FALSE()),""))</f>
      </c>
    </row>
    <row r="9719">
      <c r="F9719">
        <f>IF(DATOS!$A9719="","",DATOS!$A9719&amp;"|"&amp;DATOS!$D9719&amp;"|"&amp;DATOS!$E9719&amp;"|"&amp;DATOS!$I9719)</f>
      </c>
      <c r="G9719">
        <f>IF(DATOS!$A9719="",0,IF(CONFIG_METADATA!$B$4&lt;&gt;"OR+EX",--(DATOS!$G9719=CONFIG_METADATA!$B$4),IF(DATOS!$G9719="EX",1,IF(DATOS!$G9719="OR",--(COUNTIFS(nNIA,DATOS!$A9719,nCURSO,DATOS!$D9719,nESPEC,DATOS!$E9719,nASIG,DATOS!$I9719,nEVAL,"EX")=0),0))))</f>
      </c>
      <c r="H9719">
        <f>IF(DATOS!$G9719&lt;&gt;"EX",0,--(COUNTIFS(nNIA,DATOS!$A9719,nCURSO,DATOS!$D9719,nESPEC,DATOS!$E9719,nASIG,DATOS!$I9719,nEVAL,"OR")=0))</f>
      </c>
      <c r="I9719">
        <f>IF(DATOS!$I9719="","",IFERROR(VLOOKUP(DATOS!$I9719,CONFIG_ASIGNATURAS!$B$2:$J$91,9,FALSE()),""))</f>
      </c>
    </row>
    <row r="9720">
      <c r="F9720">
        <f>IF(DATOS!$A9720="","",DATOS!$A9720&amp;"|"&amp;DATOS!$D9720&amp;"|"&amp;DATOS!$E9720&amp;"|"&amp;DATOS!$I9720)</f>
      </c>
      <c r="G9720">
        <f>IF(DATOS!$A9720="",0,IF(CONFIG_METADATA!$B$4&lt;&gt;"OR+EX",--(DATOS!$G9720=CONFIG_METADATA!$B$4),IF(DATOS!$G9720="EX",1,IF(DATOS!$G9720="OR",--(COUNTIFS(nNIA,DATOS!$A9720,nCURSO,DATOS!$D9720,nESPEC,DATOS!$E9720,nASIG,DATOS!$I9720,nEVAL,"EX")=0),0))))</f>
      </c>
      <c r="H9720">
        <f>IF(DATOS!$G9720&lt;&gt;"EX",0,--(COUNTIFS(nNIA,DATOS!$A9720,nCURSO,DATOS!$D9720,nESPEC,DATOS!$E9720,nASIG,DATOS!$I9720,nEVAL,"OR")=0))</f>
      </c>
      <c r="I9720">
        <f>IF(DATOS!$I9720="","",IFERROR(VLOOKUP(DATOS!$I9720,CONFIG_ASIGNATURAS!$B$2:$J$91,9,FALSE()),""))</f>
      </c>
    </row>
    <row r="9721">
      <c r="F9721">
        <f>IF(DATOS!$A9721="","",DATOS!$A9721&amp;"|"&amp;DATOS!$D9721&amp;"|"&amp;DATOS!$E9721&amp;"|"&amp;DATOS!$I9721)</f>
      </c>
      <c r="G9721">
        <f>IF(DATOS!$A9721="",0,IF(CONFIG_METADATA!$B$4&lt;&gt;"OR+EX",--(DATOS!$G9721=CONFIG_METADATA!$B$4),IF(DATOS!$G9721="EX",1,IF(DATOS!$G9721="OR",--(COUNTIFS(nNIA,DATOS!$A9721,nCURSO,DATOS!$D9721,nESPEC,DATOS!$E9721,nASIG,DATOS!$I9721,nEVAL,"EX")=0),0))))</f>
      </c>
      <c r="H9721">
        <f>IF(DATOS!$G9721&lt;&gt;"EX",0,--(COUNTIFS(nNIA,DATOS!$A9721,nCURSO,DATOS!$D9721,nESPEC,DATOS!$E9721,nASIG,DATOS!$I9721,nEVAL,"OR")=0))</f>
      </c>
      <c r="I9721">
        <f>IF(DATOS!$I9721="","",IFERROR(VLOOKUP(DATOS!$I9721,CONFIG_ASIGNATURAS!$B$2:$J$91,9,FALSE()),""))</f>
      </c>
    </row>
    <row r="9722">
      <c r="F9722">
        <f>IF(DATOS!$A9722="","",DATOS!$A9722&amp;"|"&amp;DATOS!$D9722&amp;"|"&amp;DATOS!$E9722&amp;"|"&amp;DATOS!$I9722)</f>
      </c>
      <c r="G9722">
        <f>IF(DATOS!$A9722="",0,IF(CONFIG_METADATA!$B$4&lt;&gt;"OR+EX",--(DATOS!$G9722=CONFIG_METADATA!$B$4),IF(DATOS!$G9722="EX",1,IF(DATOS!$G9722="OR",--(COUNTIFS(nNIA,DATOS!$A9722,nCURSO,DATOS!$D9722,nESPEC,DATOS!$E9722,nASIG,DATOS!$I9722,nEVAL,"EX")=0),0))))</f>
      </c>
      <c r="H9722">
        <f>IF(DATOS!$G9722&lt;&gt;"EX",0,--(COUNTIFS(nNIA,DATOS!$A9722,nCURSO,DATOS!$D9722,nESPEC,DATOS!$E9722,nASIG,DATOS!$I9722,nEVAL,"OR")=0))</f>
      </c>
      <c r="I9722">
        <f>IF(DATOS!$I9722="","",IFERROR(VLOOKUP(DATOS!$I9722,CONFIG_ASIGNATURAS!$B$2:$J$91,9,FALSE()),""))</f>
      </c>
    </row>
    <row r="9723">
      <c r="F9723">
        <f>IF(DATOS!$A9723="","",DATOS!$A9723&amp;"|"&amp;DATOS!$D9723&amp;"|"&amp;DATOS!$E9723&amp;"|"&amp;DATOS!$I9723)</f>
      </c>
      <c r="G9723">
        <f>IF(DATOS!$A9723="",0,IF(CONFIG_METADATA!$B$4&lt;&gt;"OR+EX",--(DATOS!$G9723=CONFIG_METADATA!$B$4),IF(DATOS!$G9723="EX",1,IF(DATOS!$G9723="OR",--(COUNTIFS(nNIA,DATOS!$A9723,nCURSO,DATOS!$D9723,nESPEC,DATOS!$E9723,nASIG,DATOS!$I9723,nEVAL,"EX")=0),0))))</f>
      </c>
      <c r="H9723">
        <f>IF(DATOS!$G9723&lt;&gt;"EX",0,--(COUNTIFS(nNIA,DATOS!$A9723,nCURSO,DATOS!$D9723,nESPEC,DATOS!$E9723,nASIG,DATOS!$I9723,nEVAL,"OR")=0))</f>
      </c>
      <c r="I9723">
        <f>IF(DATOS!$I9723="","",IFERROR(VLOOKUP(DATOS!$I9723,CONFIG_ASIGNATURAS!$B$2:$J$91,9,FALSE()),""))</f>
      </c>
    </row>
    <row r="9724">
      <c r="F9724">
        <f>IF(DATOS!$A9724="","",DATOS!$A9724&amp;"|"&amp;DATOS!$D9724&amp;"|"&amp;DATOS!$E9724&amp;"|"&amp;DATOS!$I9724)</f>
      </c>
      <c r="G9724">
        <f>IF(DATOS!$A9724="",0,IF(CONFIG_METADATA!$B$4&lt;&gt;"OR+EX",--(DATOS!$G9724=CONFIG_METADATA!$B$4),IF(DATOS!$G9724="EX",1,IF(DATOS!$G9724="OR",--(COUNTIFS(nNIA,DATOS!$A9724,nCURSO,DATOS!$D9724,nESPEC,DATOS!$E9724,nASIG,DATOS!$I9724,nEVAL,"EX")=0),0))))</f>
      </c>
      <c r="H9724">
        <f>IF(DATOS!$G9724&lt;&gt;"EX",0,--(COUNTIFS(nNIA,DATOS!$A9724,nCURSO,DATOS!$D9724,nESPEC,DATOS!$E9724,nASIG,DATOS!$I9724,nEVAL,"OR")=0))</f>
      </c>
      <c r="I9724">
        <f>IF(DATOS!$I9724="","",IFERROR(VLOOKUP(DATOS!$I9724,CONFIG_ASIGNATURAS!$B$2:$J$91,9,FALSE()),""))</f>
      </c>
    </row>
    <row r="9725">
      <c r="F9725">
        <f>IF(DATOS!$A9725="","",DATOS!$A9725&amp;"|"&amp;DATOS!$D9725&amp;"|"&amp;DATOS!$E9725&amp;"|"&amp;DATOS!$I9725)</f>
      </c>
      <c r="G9725">
        <f>IF(DATOS!$A9725="",0,IF(CONFIG_METADATA!$B$4&lt;&gt;"OR+EX",--(DATOS!$G9725=CONFIG_METADATA!$B$4),IF(DATOS!$G9725="EX",1,IF(DATOS!$G9725="OR",--(COUNTIFS(nNIA,DATOS!$A9725,nCURSO,DATOS!$D9725,nESPEC,DATOS!$E9725,nASIG,DATOS!$I9725,nEVAL,"EX")=0),0))))</f>
      </c>
      <c r="H9725">
        <f>IF(DATOS!$G9725&lt;&gt;"EX",0,--(COUNTIFS(nNIA,DATOS!$A9725,nCURSO,DATOS!$D9725,nESPEC,DATOS!$E9725,nASIG,DATOS!$I9725,nEVAL,"OR")=0))</f>
      </c>
      <c r="I9725">
        <f>IF(DATOS!$I9725="","",IFERROR(VLOOKUP(DATOS!$I9725,CONFIG_ASIGNATURAS!$B$2:$J$91,9,FALSE()),""))</f>
      </c>
    </row>
    <row r="9726">
      <c r="F9726">
        <f>IF(DATOS!$A9726="","",DATOS!$A9726&amp;"|"&amp;DATOS!$D9726&amp;"|"&amp;DATOS!$E9726&amp;"|"&amp;DATOS!$I9726)</f>
      </c>
      <c r="G9726">
        <f>IF(DATOS!$A9726="",0,IF(CONFIG_METADATA!$B$4&lt;&gt;"OR+EX",--(DATOS!$G9726=CONFIG_METADATA!$B$4),IF(DATOS!$G9726="EX",1,IF(DATOS!$G9726="OR",--(COUNTIFS(nNIA,DATOS!$A9726,nCURSO,DATOS!$D9726,nESPEC,DATOS!$E9726,nASIG,DATOS!$I9726,nEVAL,"EX")=0),0))))</f>
      </c>
      <c r="H9726">
        <f>IF(DATOS!$G9726&lt;&gt;"EX",0,--(COUNTIFS(nNIA,DATOS!$A9726,nCURSO,DATOS!$D9726,nESPEC,DATOS!$E9726,nASIG,DATOS!$I9726,nEVAL,"OR")=0))</f>
      </c>
      <c r="I9726">
        <f>IF(DATOS!$I9726="","",IFERROR(VLOOKUP(DATOS!$I9726,CONFIG_ASIGNATURAS!$B$2:$J$91,9,FALSE()),""))</f>
      </c>
    </row>
    <row r="9727">
      <c r="F9727">
        <f>IF(DATOS!$A9727="","",DATOS!$A9727&amp;"|"&amp;DATOS!$D9727&amp;"|"&amp;DATOS!$E9727&amp;"|"&amp;DATOS!$I9727)</f>
      </c>
      <c r="G9727">
        <f>IF(DATOS!$A9727="",0,IF(CONFIG_METADATA!$B$4&lt;&gt;"OR+EX",--(DATOS!$G9727=CONFIG_METADATA!$B$4),IF(DATOS!$G9727="EX",1,IF(DATOS!$G9727="OR",--(COUNTIFS(nNIA,DATOS!$A9727,nCURSO,DATOS!$D9727,nESPEC,DATOS!$E9727,nASIG,DATOS!$I9727,nEVAL,"EX")=0),0))))</f>
      </c>
      <c r="H9727">
        <f>IF(DATOS!$G9727&lt;&gt;"EX",0,--(COUNTIFS(nNIA,DATOS!$A9727,nCURSO,DATOS!$D9727,nESPEC,DATOS!$E9727,nASIG,DATOS!$I9727,nEVAL,"OR")=0))</f>
      </c>
      <c r="I9727">
        <f>IF(DATOS!$I9727="","",IFERROR(VLOOKUP(DATOS!$I9727,CONFIG_ASIGNATURAS!$B$2:$J$91,9,FALSE()),""))</f>
      </c>
    </row>
    <row r="9728">
      <c r="F9728">
        <f>IF(DATOS!$A9728="","",DATOS!$A9728&amp;"|"&amp;DATOS!$D9728&amp;"|"&amp;DATOS!$E9728&amp;"|"&amp;DATOS!$I9728)</f>
      </c>
      <c r="G9728">
        <f>IF(DATOS!$A9728="",0,IF(CONFIG_METADATA!$B$4&lt;&gt;"OR+EX",--(DATOS!$G9728=CONFIG_METADATA!$B$4),IF(DATOS!$G9728="EX",1,IF(DATOS!$G9728="OR",--(COUNTIFS(nNIA,DATOS!$A9728,nCURSO,DATOS!$D9728,nESPEC,DATOS!$E9728,nASIG,DATOS!$I9728,nEVAL,"EX")=0),0))))</f>
      </c>
      <c r="H9728">
        <f>IF(DATOS!$G9728&lt;&gt;"EX",0,--(COUNTIFS(nNIA,DATOS!$A9728,nCURSO,DATOS!$D9728,nESPEC,DATOS!$E9728,nASIG,DATOS!$I9728,nEVAL,"OR")=0))</f>
      </c>
      <c r="I9728">
        <f>IF(DATOS!$I9728="","",IFERROR(VLOOKUP(DATOS!$I9728,CONFIG_ASIGNATURAS!$B$2:$J$91,9,FALSE()),""))</f>
      </c>
    </row>
    <row r="9729">
      <c r="F9729">
        <f>IF(DATOS!$A9729="","",DATOS!$A9729&amp;"|"&amp;DATOS!$D9729&amp;"|"&amp;DATOS!$E9729&amp;"|"&amp;DATOS!$I9729)</f>
      </c>
      <c r="G9729">
        <f>IF(DATOS!$A9729="",0,IF(CONFIG_METADATA!$B$4&lt;&gt;"OR+EX",--(DATOS!$G9729=CONFIG_METADATA!$B$4),IF(DATOS!$G9729="EX",1,IF(DATOS!$G9729="OR",--(COUNTIFS(nNIA,DATOS!$A9729,nCURSO,DATOS!$D9729,nESPEC,DATOS!$E9729,nASIG,DATOS!$I9729,nEVAL,"EX")=0),0))))</f>
      </c>
      <c r="H9729">
        <f>IF(DATOS!$G9729&lt;&gt;"EX",0,--(COUNTIFS(nNIA,DATOS!$A9729,nCURSO,DATOS!$D9729,nESPEC,DATOS!$E9729,nASIG,DATOS!$I9729,nEVAL,"OR")=0))</f>
      </c>
      <c r="I9729">
        <f>IF(DATOS!$I9729="","",IFERROR(VLOOKUP(DATOS!$I9729,CONFIG_ASIGNATURAS!$B$2:$J$91,9,FALSE()),""))</f>
      </c>
    </row>
    <row r="9730">
      <c r="F9730">
        <f>IF(DATOS!$A9730="","",DATOS!$A9730&amp;"|"&amp;DATOS!$D9730&amp;"|"&amp;DATOS!$E9730&amp;"|"&amp;DATOS!$I9730)</f>
      </c>
      <c r="G9730">
        <f>IF(DATOS!$A9730="",0,IF(CONFIG_METADATA!$B$4&lt;&gt;"OR+EX",--(DATOS!$G9730=CONFIG_METADATA!$B$4),IF(DATOS!$G9730="EX",1,IF(DATOS!$G9730="OR",--(COUNTIFS(nNIA,DATOS!$A9730,nCURSO,DATOS!$D9730,nESPEC,DATOS!$E9730,nASIG,DATOS!$I9730,nEVAL,"EX")=0),0))))</f>
      </c>
      <c r="H9730">
        <f>IF(DATOS!$G9730&lt;&gt;"EX",0,--(COUNTIFS(nNIA,DATOS!$A9730,nCURSO,DATOS!$D9730,nESPEC,DATOS!$E9730,nASIG,DATOS!$I9730,nEVAL,"OR")=0))</f>
      </c>
      <c r="I9730">
        <f>IF(DATOS!$I9730="","",IFERROR(VLOOKUP(DATOS!$I9730,CONFIG_ASIGNATURAS!$B$2:$J$91,9,FALSE()),""))</f>
      </c>
    </row>
    <row r="9731">
      <c r="F9731">
        <f>IF(DATOS!$A9731="","",DATOS!$A9731&amp;"|"&amp;DATOS!$D9731&amp;"|"&amp;DATOS!$E9731&amp;"|"&amp;DATOS!$I9731)</f>
      </c>
      <c r="G9731">
        <f>IF(DATOS!$A9731="",0,IF(CONFIG_METADATA!$B$4&lt;&gt;"OR+EX",--(DATOS!$G9731=CONFIG_METADATA!$B$4),IF(DATOS!$G9731="EX",1,IF(DATOS!$G9731="OR",--(COUNTIFS(nNIA,DATOS!$A9731,nCURSO,DATOS!$D9731,nESPEC,DATOS!$E9731,nASIG,DATOS!$I9731,nEVAL,"EX")=0),0))))</f>
      </c>
      <c r="H9731">
        <f>IF(DATOS!$G9731&lt;&gt;"EX",0,--(COUNTIFS(nNIA,DATOS!$A9731,nCURSO,DATOS!$D9731,nESPEC,DATOS!$E9731,nASIG,DATOS!$I9731,nEVAL,"OR")=0))</f>
      </c>
      <c r="I9731">
        <f>IF(DATOS!$I9731="","",IFERROR(VLOOKUP(DATOS!$I9731,CONFIG_ASIGNATURAS!$B$2:$J$91,9,FALSE()),""))</f>
      </c>
    </row>
    <row r="9732">
      <c r="F9732">
        <f>IF(DATOS!$A9732="","",DATOS!$A9732&amp;"|"&amp;DATOS!$D9732&amp;"|"&amp;DATOS!$E9732&amp;"|"&amp;DATOS!$I9732)</f>
      </c>
      <c r="G9732">
        <f>IF(DATOS!$A9732="",0,IF(CONFIG_METADATA!$B$4&lt;&gt;"OR+EX",--(DATOS!$G9732=CONFIG_METADATA!$B$4),IF(DATOS!$G9732="EX",1,IF(DATOS!$G9732="OR",--(COUNTIFS(nNIA,DATOS!$A9732,nCURSO,DATOS!$D9732,nESPEC,DATOS!$E9732,nASIG,DATOS!$I9732,nEVAL,"EX")=0),0))))</f>
      </c>
      <c r="H9732">
        <f>IF(DATOS!$G9732&lt;&gt;"EX",0,--(COUNTIFS(nNIA,DATOS!$A9732,nCURSO,DATOS!$D9732,nESPEC,DATOS!$E9732,nASIG,DATOS!$I9732,nEVAL,"OR")=0))</f>
      </c>
      <c r="I9732">
        <f>IF(DATOS!$I9732="","",IFERROR(VLOOKUP(DATOS!$I9732,CONFIG_ASIGNATURAS!$B$2:$J$91,9,FALSE()),""))</f>
      </c>
    </row>
    <row r="9733">
      <c r="F9733">
        <f>IF(DATOS!$A9733="","",DATOS!$A9733&amp;"|"&amp;DATOS!$D9733&amp;"|"&amp;DATOS!$E9733&amp;"|"&amp;DATOS!$I9733)</f>
      </c>
      <c r="G9733">
        <f>IF(DATOS!$A9733="",0,IF(CONFIG_METADATA!$B$4&lt;&gt;"OR+EX",--(DATOS!$G9733=CONFIG_METADATA!$B$4),IF(DATOS!$G9733="EX",1,IF(DATOS!$G9733="OR",--(COUNTIFS(nNIA,DATOS!$A9733,nCURSO,DATOS!$D9733,nESPEC,DATOS!$E9733,nASIG,DATOS!$I9733,nEVAL,"EX")=0),0))))</f>
      </c>
      <c r="H9733">
        <f>IF(DATOS!$G9733&lt;&gt;"EX",0,--(COUNTIFS(nNIA,DATOS!$A9733,nCURSO,DATOS!$D9733,nESPEC,DATOS!$E9733,nASIG,DATOS!$I9733,nEVAL,"OR")=0))</f>
      </c>
      <c r="I9733">
        <f>IF(DATOS!$I9733="","",IFERROR(VLOOKUP(DATOS!$I9733,CONFIG_ASIGNATURAS!$B$2:$J$91,9,FALSE()),""))</f>
      </c>
    </row>
    <row r="9734">
      <c r="F9734">
        <f>IF(DATOS!$A9734="","",DATOS!$A9734&amp;"|"&amp;DATOS!$D9734&amp;"|"&amp;DATOS!$E9734&amp;"|"&amp;DATOS!$I9734)</f>
      </c>
      <c r="G9734">
        <f>IF(DATOS!$A9734="",0,IF(CONFIG_METADATA!$B$4&lt;&gt;"OR+EX",--(DATOS!$G9734=CONFIG_METADATA!$B$4),IF(DATOS!$G9734="EX",1,IF(DATOS!$G9734="OR",--(COUNTIFS(nNIA,DATOS!$A9734,nCURSO,DATOS!$D9734,nESPEC,DATOS!$E9734,nASIG,DATOS!$I9734,nEVAL,"EX")=0),0))))</f>
      </c>
      <c r="H9734">
        <f>IF(DATOS!$G9734&lt;&gt;"EX",0,--(COUNTIFS(nNIA,DATOS!$A9734,nCURSO,DATOS!$D9734,nESPEC,DATOS!$E9734,nASIG,DATOS!$I9734,nEVAL,"OR")=0))</f>
      </c>
      <c r="I9734">
        <f>IF(DATOS!$I9734="","",IFERROR(VLOOKUP(DATOS!$I9734,CONFIG_ASIGNATURAS!$B$2:$J$91,9,FALSE()),""))</f>
      </c>
    </row>
    <row r="9735">
      <c r="F9735">
        <f>IF(DATOS!$A9735="","",DATOS!$A9735&amp;"|"&amp;DATOS!$D9735&amp;"|"&amp;DATOS!$E9735&amp;"|"&amp;DATOS!$I9735)</f>
      </c>
      <c r="G9735">
        <f>IF(DATOS!$A9735="",0,IF(CONFIG_METADATA!$B$4&lt;&gt;"OR+EX",--(DATOS!$G9735=CONFIG_METADATA!$B$4),IF(DATOS!$G9735="EX",1,IF(DATOS!$G9735="OR",--(COUNTIFS(nNIA,DATOS!$A9735,nCURSO,DATOS!$D9735,nESPEC,DATOS!$E9735,nASIG,DATOS!$I9735,nEVAL,"EX")=0),0))))</f>
      </c>
      <c r="H9735">
        <f>IF(DATOS!$G9735&lt;&gt;"EX",0,--(COUNTIFS(nNIA,DATOS!$A9735,nCURSO,DATOS!$D9735,nESPEC,DATOS!$E9735,nASIG,DATOS!$I9735,nEVAL,"OR")=0))</f>
      </c>
      <c r="I9735">
        <f>IF(DATOS!$I9735="","",IFERROR(VLOOKUP(DATOS!$I9735,CONFIG_ASIGNATURAS!$B$2:$J$91,9,FALSE()),""))</f>
      </c>
    </row>
    <row r="9736">
      <c r="F9736">
        <f>IF(DATOS!$A9736="","",DATOS!$A9736&amp;"|"&amp;DATOS!$D9736&amp;"|"&amp;DATOS!$E9736&amp;"|"&amp;DATOS!$I9736)</f>
      </c>
      <c r="G9736">
        <f>IF(DATOS!$A9736="",0,IF(CONFIG_METADATA!$B$4&lt;&gt;"OR+EX",--(DATOS!$G9736=CONFIG_METADATA!$B$4),IF(DATOS!$G9736="EX",1,IF(DATOS!$G9736="OR",--(COUNTIFS(nNIA,DATOS!$A9736,nCURSO,DATOS!$D9736,nESPEC,DATOS!$E9736,nASIG,DATOS!$I9736,nEVAL,"EX")=0),0))))</f>
      </c>
      <c r="H9736">
        <f>IF(DATOS!$G9736&lt;&gt;"EX",0,--(COUNTIFS(nNIA,DATOS!$A9736,nCURSO,DATOS!$D9736,nESPEC,DATOS!$E9736,nASIG,DATOS!$I9736,nEVAL,"OR")=0))</f>
      </c>
      <c r="I9736">
        <f>IF(DATOS!$I9736="","",IFERROR(VLOOKUP(DATOS!$I9736,CONFIG_ASIGNATURAS!$B$2:$J$91,9,FALSE()),""))</f>
      </c>
    </row>
    <row r="9737">
      <c r="F9737">
        <f>IF(DATOS!$A9737="","",DATOS!$A9737&amp;"|"&amp;DATOS!$D9737&amp;"|"&amp;DATOS!$E9737&amp;"|"&amp;DATOS!$I9737)</f>
      </c>
      <c r="G9737">
        <f>IF(DATOS!$A9737="",0,IF(CONFIG_METADATA!$B$4&lt;&gt;"OR+EX",--(DATOS!$G9737=CONFIG_METADATA!$B$4),IF(DATOS!$G9737="EX",1,IF(DATOS!$G9737="OR",--(COUNTIFS(nNIA,DATOS!$A9737,nCURSO,DATOS!$D9737,nESPEC,DATOS!$E9737,nASIG,DATOS!$I9737,nEVAL,"EX")=0),0))))</f>
      </c>
      <c r="H9737">
        <f>IF(DATOS!$G9737&lt;&gt;"EX",0,--(COUNTIFS(nNIA,DATOS!$A9737,nCURSO,DATOS!$D9737,nESPEC,DATOS!$E9737,nASIG,DATOS!$I9737,nEVAL,"OR")=0))</f>
      </c>
      <c r="I9737">
        <f>IF(DATOS!$I9737="","",IFERROR(VLOOKUP(DATOS!$I9737,CONFIG_ASIGNATURAS!$B$2:$J$91,9,FALSE()),""))</f>
      </c>
    </row>
    <row r="9738">
      <c r="F9738">
        <f>IF(DATOS!$A9738="","",DATOS!$A9738&amp;"|"&amp;DATOS!$D9738&amp;"|"&amp;DATOS!$E9738&amp;"|"&amp;DATOS!$I9738)</f>
      </c>
      <c r="G9738">
        <f>IF(DATOS!$A9738="",0,IF(CONFIG_METADATA!$B$4&lt;&gt;"OR+EX",--(DATOS!$G9738=CONFIG_METADATA!$B$4),IF(DATOS!$G9738="EX",1,IF(DATOS!$G9738="OR",--(COUNTIFS(nNIA,DATOS!$A9738,nCURSO,DATOS!$D9738,nESPEC,DATOS!$E9738,nASIG,DATOS!$I9738,nEVAL,"EX")=0),0))))</f>
      </c>
      <c r="H9738">
        <f>IF(DATOS!$G9738&lt;&gt;"EX",0,--(COUNTIFS(nNIA,DATOS!$A9738,nCURSO,DATOS!$D9738,nESPEC,DATOS!$E9738,nASIG,DATOS!$I9738,nEVAL,"OR")=0))</f>
      </c>
      <c r="I9738">
        <f>IF(DATOS!$I9738="","",IFERROR(VLOOKUP(DATOS!$I9738,CONFIG_ASIGNATURAS!$B$2:$J$91,9,FALSE()),""))</f>
      </c>
    </row>
    <row r="9739">
      <c r="F9739">
        <f>IF(DATOS!$A9739="","",DATOS!$A9739&amp;"|"&amp;DATOS!$D9739&amp;"|"&amp;DATOS!$E9739&amp;"|"&amp;DATOS!$I9739)</f>
      </c>
      <c r="G9739">
        <f>IF(DATOS!$A9739="",0,IF(CONFIG_METADATA!$B$4&lt;&gt;"OR+EX",--(DATOS!$G9739=CONFIG_METADATA!$B$4),IF(DATOS!$G9739="EX",1,IF(DATOS!$G9739="OR",--(COUNTIFS(nNIA,DATOS!$A9739,nCURSO,DATOS!$D9739,nESPEC,DATOS!$E9739,nASIG,DATOS!$I9739,nEVAL,"EX")=0),0))))</f>
      </c>
      <c r="H9739">
        <f>IF(DATOS!$G9739&lt;&gt;"EX",0,--(COUNTIFS(nNIA,DATOS!$A9739,nCURSO,DATOS!$D9739,nESPEC,DATOS!$E9739,nASIG,DATOS!$I9739,nEVAL,"OR")=0))</f>
      </c>
      <c r="I9739">
        <f>IF(DATOS!$I9739="","",IFERROR(VLOOKUP(DATOS!$I9739,CONFIG_ASIGNATURAS!$B$2:$J$91,9,FALSE()),""))</f>
      </c>
    </row>
    <row r="9740">
      <c r="F9740">
        <f>IF(DATOS!$A9740="","",DATOS!$A9740&amp;"|"&amp;DATOS!$D9740&amp;"|"&amp;DATOS!$E9740&amp;"|"&amp;DATOS!$I9740)</f>
      </c>
      <c r="G9740">
        <f>IF(DATOS!$A9740="",0,IF(CONFIG_METADATA!$B$4&lt;&gt;"OR+EX",--(DATOS!$G9740=CONFIG_METADATA!$B$4),IF(DATOS!$G9740="EX",1,IF(DATOS!$G9740="OR",--(COUNTIFS(nNIA,DATOS!$A9740,nCURSO,DATOS!$D9740,nESPEC,DATOS!$E9740,nASIG,DATOS!$I9740,nEVAL,"EX")=0),0))))</f>
      </c>
      <c r="H9740">
        <f>IF(DATOS!$G9740&lt;&gt;"EX",0,--(COUNTIFS(nNIA,DATOS!$A9740,nCURSO,DATOS!$D9740,nESPEC,DATOS!$E9740,nASIG,DATOS!$I9740,nEVAL,"OR")=0))</f>
      </c>
      <c r="I9740">
        <f>IF(DATOS!$I9740="","",IFERROR(VLOOKUP(DATOS!$I9740,CONFIG_ASIGNATURAS!$B$2:$J$91,9,FALSE()),""))</f>
      </c>
    </row>
    <row r="9741">
      <c r="F9741">
        <f>IF(DATOS!$A9741="","",DATOS!$A9741&amp;"|"&amp;DATOS!$D9741&amp;"|"&amp;DATOS!$E9741&amp;"|"&amp;DATOS!$I9741)</f>
      </c>
      <c r="G9741">
        <f>IF(DATOS!$A9741="",0,IF(CONFIG_METADATA!$B$4&lt;&gt;"OR+EX",--(DATOS!$G9741=CONFIG_METADATA!$B$4),IF(DATOS!$G9741="EX",1,IF(DATOS!$G9741="OR",--(COUNTIFS(nNIA,DATOS!$A9741,nCURSO,DATOS!$D9741,nESPEC,DATOS!$E9741,nASIG,DATOS!$I9741,nEVAL,"EX")=0),0))))</f>
      </c>
      <c r="H9741">
        <f>IF(DATOS!$G9741&lt;&gt;"EX",0,--(COUNTIFS(nNIA,DATOS!$A9741,nCURSO,DATOS!$D9741,nESPEC,DATOS!$E9741,nASIG,DATOS!$I9741,nEVAL,"OR")=0))</f>
      </c>
      <c r="I9741">
        <f>IF(DATOS!$I9741="","",IFERROR(VLOOKUP(DATOS!$I9741,CONFIG_ASIGNATURAS!$B$2:$J$91,9,FALSE()),""))</f>
      </c>
    </row>
    <row r="9742">
      <c r="F9742">
        <f>IF(DATOS!$A9742="","",DATOS!$A9742&amp;"|"&amp;DATOS!$D9742&amp;"|"&amp;DATOS!$E9742&amp;"|"&amp;DATOS!$I9742)</f>
      </c>
      <c r="G9742">
        <f>IF(DATOS!$A9742="",0,IF(CONFIG_METADATA!$B$4&lt;&gt;"OR+EX",--(DATOS!$G9742=CONFIG_METADATA!$B$4),IF(DATOS!$G9742="EX",1,IF(DATOS!$G9742="OR",--(COUNTIFS(nNIA,DATOS!$A9742,nCURSO,DATOS!$D9742,nESPEC,DATOS!$E9742,nASIG,DATOS!$I9742,nEVAL,"EX")=0),0))))</f>
      </c>
      <c r="H9742">
        <f>IF(DATOS!$G9742&lt;&gt;"EX",0,--(COUNTIFS(nNIA,DATOS!$A9742,nCURSO,DATOS!$D9742,nESPEC,DATOS!$E9742,nASIG,DATOS!$I9742,nEVAL,"OR")=0))</f>
      </c>
      <c r="I9742">
        <f>IF(DATOS!$I9742="","",IFERROR(VLOOKUP(DATOS!$I9742,CONFIG_ASIGNATURAS!$B$2:$J$91,9,FALSE()),""))</f>
      </c>
    </row>
    <row r="9743">
      <c r="F9743">
        <f>IF(DATOS!$A9743="","",DATOS!$A9743&amp;"|"&amp;DATOS!$D9743&amp;"|"&amp;DATOS!$E9743&amp;"|"&amp;DATOS!$I9743)</f>
      </c>
      <c r="G9743">
        <f>IF(DATOS!$A9743="",0,IF(CONFIG_METADATA!$B$4&lt;&gt;"OR+EX",--(DATOS!$G9743=CONFIG_METADATA!$B$4),IF(DATOS!$G9743="EX",1,IF(DATOS!$G9743="OR",--(COUNTIFS(nNIA,DATOS!$A9743,nCURSO,DATOS!$D9743,nESPEC,DATOS!$E9743,nASIG,DATOS!$I9743,nEVAL,"EX")=0),0))))</f>
      </c>
      <c r="H9743">
        <f>IF(DATOS!$G9743&lt;&gt;"EX",0,--(COUNTIFS(nNIA,DATOS!$A9743,nCURSO,DATOS!$D9743,nESPEC,DATOS!$E9743,nASIG,DATOS!$I9743,nEVAL,"OR")=0))</f>
      </c>
      <c r="I9743">
        <f>IF(DATOS!$I9743="","",IFERROR(VLOOKUP(DATOS!$I9743,CONFIG_ASIGNATURAS!$B$2:$J$91,9,FALSE()),""))</f>
      </c>
    </row>
    <row r="9744">
      <c r="F9744">
        <f>IF(DATOS!$A9744="","",DATOS!$A9744&amp;"|"&amp;DATOS!$D9744&amp;"|"&amp;DATOS!$E9744&amp;"|"&amp;DATOS!$I9744)</f>
      </c>
      <c r="G9744">
        <f>IF(DATOS!$A9744="",0,IF(CONFIG_METADATA!$B$4&lt;&gt;"OR+EX",--(DATOS!$G9744=CONFIG_METADATA!$B$4),IF(DATOS!$G9744="EX",1,IF(DATOS!$G9744="OR",--(COUNTIFS(nNIA,DATOS!$A9744,nCURSO,DATOS!$D9744,nESPEC,DATOS!$E9744,nASIG,DATOS!$I9744,nEVAL,"EX")=0),0))))</f>
      </c>
      <c r="H9744">
        <f>IF(DATOS!$G9744&lt;&gt;"EX",0,--(COUNTIFS(nNIA,DATOS!$A9744,nCURSO,DATOS!$D9744,nESPEC,DATOS!$E9744,nASIG,DATOS!$I9744,nEVAL,"OR")=0))</f>
      </c>
      <c r="I9744">
        <f>IF(DATOS!$I9744="","",IFERROR(VLOOKUP(DATOS!$I9744,CONFIG_ASIGNATURAS!$B$2:$J$91,9,FALSE()),""))</f>
      </c>
    </row>
    <row r="9745">
      <c r="F9745">
        <f>IF(DATOS!$A9745="","",DATOS!$A9745&amp;"|"&amp;DATOS!$D9745&amp;"|"&amp;DATOS!$E9745&amp;"|"&amp;DATOS!$I9745)</f>
      </c>
      <c r="G9745">
        <f>IF(DATOS!$A9745="",0,IF(CONFIG_METADATA!$B$4&lt;&gt;"OR+EX",--(DATOS!$G9745=CONFIG_METADATA!$B$4),IF(DATOS!$G9745="EX",1,IF(DATOS!$G9745="OR",--(COUNTIFS(nNIA,DATOS!$A9745,nCURSO,DATOS!$D9745,nESPEC,DATOS!$E9745,nASIG,DATOS!$I9745,nEVAL,"EX")=0),0))))</f>
      </c>
      <c r="H9745">
        <f>IF(DATOS!$G9745&lt;&gt;"EX",0,--(COUNTIFS(nNIA,DATOS!$A9745,nCURSO,DATOS!$D9745,nESPEC,DATOS!$E9745,nASIG,DATOS!$I9745,nEVAL,"OR")=0))</f>
      </c>
      <c r="I9745">
        <f>IF(DATOS!$I9745="","",IFERROR(VLOOKUP(DATOS!$I9745,CONFIG_ASIGNATURAS!$B$2:$J$91,9,FALSE()),""))</f>
      </c>
    </row>
    <row r="9746">
      <c r="F9746">
        <f>IF(DATOS!$A9746="","",DATOS!$A9746&amp;"|"&amp;DATOS!$D9746&amp;"|"&amp;DATOS!$E9746&amp;"|"&amp;DATOS!$I9746)</f>
      </c>
      <c r="G9746">
        <f>IF(DATOS!$A9746="",0,IF(CONFIG_METADATA!$B$4&lt;&gt;"OR+EX",--(DATOS!$G9746=CONFIG_METADATA!$B$4),IF(DATOS!$G9746="EX",1,IF(DATOS!$G9746="OR",--(COUNTIFS(nNIA,DATOS!$A9746,nCURSO,DATOS!$D9746,nESPEC,DATOS!$E9746,nASIG,DATOS!$I9746,nEVAL,"EX")=0),0))))</f>
      </c>
      <c r="H9746">
        <f>IF(DATOS!$G9746&lt;&gt;"EX",0,--(COUNTIFS(nNIA,DATOS!$A9746,nCURSO,DATOS!$D9746,nESPEC,DATOS!$E9746,nASIG,DATOS!$I9746,nEVAL,"OR")=0))</f>
      </c>
      <c r="I9746">
        <f>IF(DATOS!$I9746="","",IFERROR(VLOOKUP(DATOS!$I9746,CONFIG_ASIGNATURAS!$B$2:$J$91,9,FALSE()),""))</f>
      </c>
    </row>
    <row r="9747">
      <c r="F9747">
        <f>IF(DATOS!$A9747="","",DATOS!$A9747&amp;"|"&amp;DATOS!$D9747&amp;"|"&amp;DATOS!$E9747&amp;"|"&amp;DATOS!$I9747)</f>
      </c>
      <c r="G9747">
        <f>IF(DATOS!$A9747="",0,IF(CONFIG_METADATA!$B$4&lt;&gt;"OR+EX",--(DATOS!$G9747=CONFIG_METADATA!$B$4),IF(DATOS!$G9747="EX",1,IF(DATOS!$G9747="OR",--(COUNTIFS(nNIA,DATOS!$A9747,nCURSO,DATOS!$D9747,nESPEC,DATOS!$E9747,nASIG,DATOS!$I9747,nEVAL,"EX")=0),0))))</f>
      </c>
      <c r="H9747">
        <f>IF(DATOS!$G9747&lt;&gt;"EX",0,--(COUNTIFS(nNIA,DATOS!$A9747,nCURSO,DATOS!$D9747,nESPEC,DATOS!$E9747,nASIG,DATOS!$I9747,nEVAL,"OR")=0))</f>
      </c>
      <c r="I9747">
        <f>IF(DATOS!$I9747="","",IFERROR(VLOOKUP(DATOS!$I9747,CONFIG_ASIGNATURAS!$B$2:$J$91,9,FALSE()),""))</f>
      </c>
    </row>
    <row r="9748">
      <c r="F9748">
        <f>IF(DATOS!$A9748="","",DATOS!$A9748&amp;"|"&amp;DATOS!$D9748&amp;"|"&amp;DATOS!$E9748&amp;"|"&amp;DATOS!$I9748)</f>
      </c>
      <c r="G9748">
        <f>IF(DATOS!$A9748="",0,IF(CONFIG_METADATA!$B$4&lt;&gt;"OR+EX",--(DATOS!$G9748=CONFIG_METADATA!$B$4),IF(DATOS!$G9748="EX",1,IF(DATOS!$G9748="OR",--(COUNTIFS(nNIA,DATOS!$A9748,nCURSO,DATOS!$D9748,nESPEC,DATOS!$E9748,nASIG,DATOS!$I9748,nEVAL,"EX")=0),0))))</f>
      </c>
      <c r="H9748">
        <f>IF(DATOS!$G9748&lt;&gt;"EX",0,--(COUNTIFS(nNIA,DATOS!$A9748,nCURSO,DATOS!$D9748,nESPEC,DATOS!$E9748,nASIG,DATOS!$I9748,nEVAL,"OR")=0))</f>
      </c>
      <c r="I9748">
        <f>IF(DATOS!$I9748="","",IFERROR(VLOOKUP(DATOS!$I9748,CONFIG_ASIGNATURAS!$B$2:$J$91,9,FALSE()),""))</f>
      </c>
    </row>
    <row r="9749">
      <c r="F9749">
        <f>IF(DATOS!$A9749="","",DATOS!$A9749&amp;"|"&amp;DATOS!$D9749&amp;"|"&amp;DATOS!$E9749&amp;"|"&amp;DATOS!$I9749)</f>
      </c>
      <c r="G9749">
        <f>IF(DATOS!$A9749="",0,IF(CONFIG_METADATA!$B$4&lt;&gt;"OR+EX",--(DATOS!$G9749=CONFIG_METADATA!$B$4),IF(DATOS!$G9749="EX",1,IF(DATOS!$G9749="OR",--(COUNTIFS(nNIA,DATOS!$A9749,nCURSO,DATOS!$D9749,nESPEC,DATOS!$E9749,nASIG,DATOS!$I9749,nEVAL,"EX")=0),0))))</f>
      </c>
      <c r="H9749">
        <f>IF(DATOS!$G9749&lt;&gt;"EX",0,--(COUNTIFS(nNIA,DATOS!$A9749,nCURSO,DATOS!$D9749,nESPEC,DATOS!$E9749,nASIG,DATOS!$I9749,nEVAL,"OR")=0))</f>
      </c>
      <c r="I9749">
        <f>IF(DATOS!$I9749="","",IFERROR(VLOOKUP(DATOS!$I9749,CONFIG_ASIGNATURAS!$B$2:$J$91,9,FALSE()),""))</f>
      </c>
    </row>
    <row r="9750">
      <c r="F9750">
        <f>IF(DATOS!$A9750="","",DATOS!$A9750&amp;"|"&amp;DATOS!$D9750&amp;"|"&amp;DATOS!$E9750&amp;"|"&amp;DATOS!$I9750)</f>
      </c>
      <c r="G9750">
        <f>IF(DATOS!$A9750="",0,IF(CONFIG_METADATA!$B$4&lt;&gt;"OR+EX",--(DATOS!$G9750=CONFIG_METADATA!$B$4),IF(DATOS!$G9750="EX",1,IF(DATOS!$G9750="OR",--(COUNTIFS(nNIA,DATOS!$A9750,nCURSO,DATOS!$D9750,nESPEC,DATOS!$E9750,nASIG,DATOS!$I9750,nEVAL,"EX")=0),0))))</f>
      </c>
      <c r="H9750">
        <f>IF(DATOS!$G9750&lt;&gt;"EX",0,--(COUNTIFS(nNIA,DATOS!$A9750,nCURSO,DATOS!$D9750,nESPEC,DATOS!$E9750,nASIG,DATOS!$I9750,nEVAL,"OR")=0))</f>
      </c>
      <c r="I9750">
        <f>IF(DATOS!$I9750="","",IFERROR(VLOOKUP(DATOS!$I9750,CONFIG_ASIGNATURAS!$B$2:$J$91,9,FALSE()),""))</f>
      </c>
    </row>
    <row r="9751">
      <c r="F9751">
        <f>IF(DATOS!$A9751="","",DATOS!$A9751&amp;"|"&amp;DATOS!$D9751&amp;"|"&amp;DATOS!$E9751&amp;"|"&amp;DATOS!$I9751)</f>
      </c>
      <c r="G9751">
        <f>IF(DATOS!$A9751="",0,IF(CONFIG_METADATA!$B$4&lt;&gt;"OR+EX",--(DATOS!$G9751=CONFIG_METADATA!$B$4),IF(DATOS!$G9751="EX",1,IF(DATOS!$G9751="OR",--(COUNTIFS(nNIA,DATOS!$A9751,nCURSO,DATOS!$D9751,nESPEC,DATOS!$E9751,nASIG,DATOS!$I9751,nEVAL,"EX")=0),0))))</f>
      </c>
      <c r="H9751">
        <f>IF(DATOS!$G9751&lt;&gt;"EX",0,--(COUNTIFS(nNIA,DATOS!$A9751,nCURSO,DATOS!$D9751,nESPEC,DATOS!$E9751,nASIG,DATOS!$I9751,nEVAL,"OR")=0))</f>
      </c>
      <c r="I9751">
        <f>IF(DATOS!$I9751="","",IFERROR(VLOOKUP(DATOS!$I9751,CONFIG_ASIGNATURAS!$B$2:$J$91,9,FALSE()),""))</f>
      </c>
    </row>
    <row r="9752">
      <c r="F9752">
        <f>IF(DATOS!$A9752="","",DATOS!$A9752&amp;"|"&amp;DATOS!$D9752&amp;"|"&amp;DATOS!$E9752&amp;"|"&amp;DATOS!$I9752)</f>
      </c>
      <c r="G9752">
        <f>IF(DATOS!$A9752="",0,IF(CONFIG_METADATA!$B$4&lt;&gt;"OR+EX",--(DATOS!$G9752=CONFIG_METADATA!$B$4),IF(DATOS!$G9752="EX",1,IF(DATOS!$G9752="OR",--(COUNTIFS(nNIA,DATOS!$A9752,nCURSO,DATOS!$D9752,nESPEC,DATOS!$E9752,nASIG,DATOS!$I9752,nEVAL,"EX")=0),0))))</f>
      </c>
      <c r="H9752">
        <f>IF(DATOS!$G9752&lt;&gt;"EX",0,--(COUNTIFS(nNIA,DATOS!$A9752,nCURSO,DATOS!$D9752,nESPEC,DATOS!$E9752,nASIG,DATOS!$I9752,nEVAL,"OR")=0))</f>
      </c>
      <c r="I9752">
        <f>IF(DATOS!$I9752="","",IFERROR(VLOOKUP(DATOS!$I9752,CONFIG_ASIGNATURAS!$B$2:$J$91,9,FALSE()),""))</f>
      </c>
    </row>
    <row r="9753">
      <c r="F9753">
        <f>IF(DATOS!$A9753="","",DATOS!$A9753&amp;"|"&amp;DATOS!$D9753&amp;"|"&amp;DATOS!$E9753&amp;"|"&amp;DATOS!$I9753)</f>
      </c>
      <c r="G9753">
        <f>IF(DATOS!$A9753="",0,IF(CONFIG_METADATA!$B$4&lt;&gt;"OR+EX",--(DATOS!$G9753=CONFIG_METADATA!$B$4),IF(DATOS!$G9753="EX",1,IF(DATOS!$G9753="OR",--(COUNTIFS(nNIA,DATOS!$A9753,nCURSO,DATOS!$D9753,nESPEC,DATOS!$E9753,nASIG,DATOS!$I9753,nEVAL,"EX")=0),0))))</f>
      </c>
      <c r="H9753">
        <f>IF(DATOS!$G9753&lt;&gt;"EX",0,--(COUNTIFS(nNIA,DATOS!$A9753,nCURSO,DATOS!$D9753,nESPEC,DATOS!$E9753,nASIG,DATOS!$I9753,nEVAL,"OR")=0))</f>
      </c>
      <c r="I9753">
        <f>IF(DATOS!$I9753="","",IFERROR(VLOOKUP(DATOS!$I9753,CONFIG_ASIGNATURAS!$B$2:$J$91,9,FALSE()),""))</f>
      </c>
    </row>
    <row r="9754">
      <c r="F9754">
        <f>IF(DATOS!$A9754="","",DATOS!$A9754&amp;"|"&amp;DATOS!$D9754&amp;"|"&amp;DATOS!$E9754&amp;"|"&amp;DATOS!$I9754)</f>
      </c>
      <c r="G9754">
        <f>IF(DATOS!$A9754="",0,IF(CONFIG_METADATA!$B$4&lt;&gt;"OR+EX",--(DATOS!$G9754=CONFIG_METADATA!$B$4),IF(DATOS!$G9754="EX",1,IF(DATOS!$G9754="OR",--(COUNTIFS(nNIA,DATOS!$A9754,nCURSO,DATOS!$D9754,nESPEC,DATOS!$E9754,nASIG,DATOS!$I9754,nEVAL,"EX")=0),0))))</f>
      </c>
      <c r="H9754">
        <f>IF(DATOS!$G9754&lt;&gt;"EX",0,--(COUNTIFS(nNIA,DATOS!$A9754,nCURSO,DATOS!$D9754,nESPEC,DATOS!$E9754,nASIG,DATOS!$I9754,nEVAL,"OR")=0))</f>
      </c>
      <c r="I9754">
        <f>IF(DATOS!$I9754="","",IFERROR(VLOOKUP(DATOS!$I9754,CONFIG_ASIGNATURAS!$B$2:$J$91,9,FALSE()),""))</f>
      </c>
    </row>
    <row r="9755">
      <c r="F9755">
        <f>IF(DATOS!$A9755="","",DATOS!$A9755&amp;"|"&amp;DATOS!$D9755&amp;"|"&amp;DATOS!$E9755&amp;"|"&amp;DATOS!$I9755)</f>
      </c>
      <c r="G9755">
        <f>IF(DATOS!$A9755="",0,IF(CONFIG_METADATA!$B$4&lt;&gt;"OR+EX",--(DATOS!$G9755=CONFIG_METADATA!$B$4),IF(DATOS!$G9755="EX",1,IF(DATOS!$G9755="OR",--(COUNTIFS(nNIA,DATOS!$A9755,nCURSO,DATOS!$D9755,nESPEC,DATOS!$E9755,nASIG,DATOS!$I9755,nEVAL,"EX")=0),0))))</f>
      </c>
      <c r="H9755">
        <f>IF(DATOS!$G9755&lt;&gt;"EX",0,--(COUNTIFS(nNIA,DATOS!$A9755,nCURSO,DATOS!$D9755,nESPEC,DATOS!$E9755,nASIG,DATOS!$I9755,nEVAL,"OR")=0))</f>
      </c>
      <c r="I9755">
        <f>IF(DATOS!$I9755="","",IFERROR(VLOOKUP(DATOS!$I9755,CONFIG_ASIGNATURAS!$B$2:$J$91,9,FALSE()),""))</f>
      </c>
    </row>
    <row r="9756">
      <c r="F9756">
        <f>IF(DATOS!$A9756="","",DATOS!$A9756&amp;"|"&amp;DATOS!$D9756&amp;"|"&amp;DATOS!$E9756&amp;"|"&amp;DATOS!$I9756)</f>
      </c>
      <c r="G9756">
        <f>IF(DATOS!$A9756="",0,IF(CONFIG_METADATA!$B$4&lt;&gt;"OR+EX",--(DATOS!$G9756=CONFIG_METADATA!$B$4),IF(DATOS!$G9756="EX",1,IF(DATOS!$G9756="OR",--(COUNTIFS(nNIA,DATOS!$A9756,nCURSO,DATOS!$D9756,nESPEC,DATOS!$E9756,nASIG,DATOS!$I9756,nEVAL,"EX")=0),0))))</f>
      </c>
      <c r="H9756">
        <f>IF(DATOS!$G9756&lt;&gt;"EX",0,--(COUNTIFS(nNIA,DATOS!$A9756,nCURSO,DATOS!$D9756,nESPEC,DATOS!$E9756,nASIG,DATOS!$I9756,nEVAL,"OR")=0))</f>
      </c>
      <c r="I9756">
        <f>IF(DATOS!$I9756="","",IFERROR(VLOOKUP(DATOS!$I9756,CONFIG_ASIGNATURAS!$B$2:$J$91,9,FALSE()),""))</f>
      </c>
    </row>
    <row r="9757">
      <c r="F9757">
        <f>IF(DATOS!$A9757="","",DATOS!$A9757&amp;"|"&amp;DATOS!$D9757&amp;"|"&amp;DATOS!$E9757&amp;"|"&amp;DATOS!$I9757)</f>
      </c>
      <c r="G9757">
        <f>IF(DATOS!$A9757="",0,IF(CONFIG_METADATA!$B$4&lt;&gt;"OR+EX",--(DATOS!$G9757=CONFIG_METADATA!$B$4),IF(DATOS!$G9757="EX",1,IF(DATOS!$G9757="OR",--(COUNTIFS(nNIA,DATOS!$A9757,nCURSO,DATOS!$D9757,nESPEC,DATOS!$E9757,nASIG,DATOS!$I9757,nEVAL,"EX")=0),0))))</f>
      </c>
      <c r="H9757">
        <f>IF(DATOS!$G9757&lt;&gt;"EX",0,--(COUNTIFS(nNIA,DATOS!$A9757,nCURSO,DATOS!$D9757,nESPEC,DATOS!$E9757,nASIG,DATOS!$I9757,nEVAL,"OR")=0))</f>
      </c>
      <c r="I9757">
        <f>IF(DATOS!$I9757="","",IFERROR(VLOOKUP(DATOS!$I9757,CONFIG_ASIGNATURAS!$B$2:$J$91,9,FALSE()),""))</f>
      </c>
    </row>
    <row r="9758">
      <c r="F9758">
        <f>IF(DATOS!$A9758="","",DATOS!$A9758&amp;"|"&amp;DATOS!$D9758&amp;"|"&amp;DATOS!$E9758&amp;"|"&amp;DATOS!$I9758)</f>
      </c>
      <c r="G9758">
        <f>IF(DATOS!$A9758="",0,IF(CONFIG_METADATA!$B$4&lt;&gt;"OR+EX",--(DATOS!$G9758=CONFIG_METADATA!$B$4),IF(DATOS!$G9758="EX",1,IF(DATOS!$G9758="OR",--(COUNTIFS(nNIA,DATOS!$A9758,nCURSO,DATOS!$D9758,nESPEC,DATOS!$E9758,nASIG,DATOS!$I9758,nEVAL,"EX")=0),0))))</f>
      </c>
      <c r="H9758">
        <f>IF(DATOS!$G9758&lt;&gt;"EX",0,--(COUNTIFS(nNIA,DATOS!$A9758,nCURSO,DATOS!$D9758,nESPEC,DATOS!$E9758,nASIG,DATOS!$I9758,nEVAL,"OR")=0))</f>
      </c>
      <c r="I9758">
        <f>IF(DATOS!$I9758="","",IFERROR(VLOOKUP(DATOS!$I9758,CONFIG_ASIGNATURAS!$B$2:$J$91,9,FALSE()),""))</f>
      </c>
    </row>
    <row r="9759">
      <c r="F9759">
        <f>IF(DATOS!$A9759="","",DATOS!$A9759&amp;"|"&amp;DATOS!$D9759&amp;"|"&amp;DATOS!$E9759&amp;"|"&amp;DATOS!$I9759)</f>
      </c>
      <c r="G9759">
        <f>IF(DATOS!$A9759="",0,IF(CONFIG_METADATA!$B$4&lt;&gt;"OR+EX",--(DATOS!$G9759=CONFIG_METADATA!$B$4),IF(DATOS!$G9759="EX",1,IF(DATOS!$G9759="OR",--(COUNTIFS(nNIA,DATOS!$A9759,nCURSO,DATOS!$D9759,nESPEC,DATOS!$E9759,nASIG,DATOS!$I9759,nEVAL,"EX")=0),0))))</f>
      </c>
      <c r="H9759">
        <f>IF(DATOS!$G9759&lt;&gt;"EX",0,--(COUNTIFS(nNIA,DATOS!$A9759,nCURSO,DATOS!$D9759,nESPEC,DATOS!$E9759,nASIG,DATOS!$I9759,nEVAL,"OR")=0))</f>
      </c>
      <c r="I9759">
        <f>IF(DATOS!$I9759="","",IFERROR(VLOOKUP(DATOS!$I9759,CONFIG_ASIGNATURAS!$B$2:$J$91,9,FALSE()),""))</f>
      </c>
    </row>
    <row r="9760">
      <c r="F9760">
        <f>IF(DATOS!$A9760="","",DATOS!$A9760&amp;"|"&amp;DATOS!$D9760&amp;"|"&amp;DATOS!$E9760&amp;"|"&amp;DATOS!$I9760)</f>
      </c>
      <c r="G9760">
        <f>IF(DATOS!$A9760="",0,IF(CONFIG_METADATA!$B$4&lt;&gt;"OR+EX",--(DATOS!$G9760=CONFIG_METADATA!$B$4),IF(DATOS!$G9760="EX",1,IF(DATOS!$G9760="OR",--(COUNTIFS(nNIA,DATOS!$A9760,nCURSO,DATOS!$D9760,nESPEC,DATOS!$E9760,nASIG,DATOS!$I9760,nEVAL,"EX")=0),0))))</f>
      </c>
      <c r="H9760">
        <f>IF(DATOS!$G9760&lt;&gt;"EX",0,--(COUNTIFS(nNIA,DATOS!$A9760,nCURSO,DATOS!$D9760,nESPEC,DATOS!$E9760,nASIG,DATOS!$I9760,nEVAL,"OR")=0))</f>
      </c>
      <c r="I9760">
        <f>IF(DATOS!$I9760="","",IFERROR(VLOOKUP(DATOS!$I9760,CONFIG_ASIGNATURAS!$B$2:$J$91,9,FALSE()),""))</f>
      </c>
    </row>
    <row r="9761">
      <c r="F9761">
        <f>IF(DATOS!$A9761="","",DATOS!$A9761&amp;"|"&amp;DATOS!$D9761&amp;"|"&amp;DATOS!$E9761&amp;"|"&amp;DATOS!$I9761)</f>
      </c>
      <c r="G9761">
        <f>IF(DATOS!$A9761="",0,IF(CONFIG_METADATA!$B$4&lt;&gt;"OR+EX",--(DATOS!$G9761=CONFIG_METADATA!$B$4),IF(DATOS!$G9761="EX",1,IF(DATOS!$G9761="OR",--(COUNTIFS(nNIA,DATOS!$A9761,nCURSO,DATOS!$D9761,nESPEC,DATOS!$E9761,nASIG,DATOS!$I9761,nEVAL,"EX")=0),0))))</f>
      </c>
      <c r="H9761">
        <f>IF(DATOS!$G9761&lt;&gt;"EX",0,--(COUNTIFS(nNIA,DATOS!$A9761,nCURSO,DATOS!$D9761,nESPEC,DATOS!$E9761,nASIG,DATOS!$I9761,nEVAL,"OR")=0))</f>
      </c>
      <c r="I9761">
        <f>IF(DATOS!$I9761="","",IFERROR(VLOOKUP(DATOS!$I9761,CONFIG_ASIGNATURAS!$B$2:$J$91,9,FALSE()),""))</f>
      </c>
    </row>
    <row r="9762">
      <c r="F9762">
        <f>IF(DATOS!$A9762="","",DATOS!$A9762&amp;"|"&amp;DATOS!$D9762&amp;"|"&amp;DATOS!$E9762&amp;"|"&amp;DATOS!$I9762)</f>
      </c>
      <c r="G9762">
        <f>IF(DATOS!$A9762="",0,IF(CONFIG_METADATA!$B$4&lt;&gt;"OR+EX",--(DATOS!$G9762=CONFIG_METADATA!$B$4),IF(DATOS!$G9762="EX",1,IF(DATOS!$G9762="OR",--(COUNTIFS(nNIA,DATOS!$A9762,nCURSO,DATOS!$D9762,nESPEC,DATOS!$E9762,nASIG,DATOS!$I9762,nEVAL,"EX")=0),0))))</f>
      </c>
      <c r="H9762">
        <f>IF(DATOS!$G9762&lt;&gt;"EX",0,--(COUNTIFS(nNIA,DATOS!$A9762,nCURSO,DATOS!$D9762,nESPEC,DATOS!$E9762,nASIG,DATOS!$I9762,nEVAL,"OR")=0))</f>
      </c>
      <c r="I9762">
        <f>IF(DATOS!$I9762="","",IFERROR(VLOOKUP(DATOS!$I9762,CONFIG_ASIGNATURAS!$B$2:$J$91,9,FALSE()),""))</f>
      </c>
    </row>
    <row r="9763">
      <c r="F9763">
        <f>IF(DATOS!$A9763="","",DATOS!$A9763&amp;"|"&amp;DATOS!$D9763&amp;"|"&amp;DATOS!$E9763&amp;"|"&amp;DATOS!$I9763)</f>
      </c>
      <c r="G9763">
        <f>IF(DATOS!$A9763="",0,IF(CONFIG_METADATA!$B$4&lt;&gt;"OR+EX",--(DATOS!$G9763=CONFIG_METADATA!$B$4),IF(DATOS!$G9763="EX",1,IF(DATOS!$G9763="OR",--(COUNTIFS(nNIA,DATOS!$A9763,nCURSO,DATOS!$D9763,nESPEC,DATOS!$E9763,nASIG,DATOS!$I9763,nEVAL,"EX")=0),0))))</f>
      </c>
      <c r="H9763">
        <f>IF(DATOS!$G9763&lt;&gt;"EX",0,--(COUNTIFS(nNIA,DATOS!$A9763,nCURSO,DATOS!$D9763,nESPEC,DATOS!$E9763,nASIG,DATOS!$I9763,nEVAL,"OR")=0))</f>
      </c>
      <c r="I9763">
        <f>IF(DATOS!$I9763="","",IFERROR(VLOOKUP(DATOS!$I9763,CONFIG_ASIGNATURAS!$B$2:$J$91,9,FALSE()),""))</f>
      </c>
    </row>
    <row r="9764">
      <c r="F9764">
        <f>IF(DATOS!$A9764="","",DATOS!$A9764&amp;"|"&amp;DATOS!$D9764&amp;"|"&amp;DATOS!$E9764&amp;"|"&amp;DATOS!$I9764)</f>
      </c>
      <c r="G9764">
        <f>IF(DATOS!$A9764="",0,IF(CONFIG_METADATA!$B$4&lt;&gt;"OR+EX",--(DATOS!$G9764=CONFIG_METADATA!$B$4),IF(DATOS!$G9764="EX",1,IF(DATOS!$G9764="OR",--(COUNTIFS(nNIA,DATOS!$A9764,nCURSO,DATOS!$D9764,nESPEC,DATOS!$E9764,nASIG,DATOS!$I9764,nEVAL,"EX")=0),0))))</f>
      </c>
      <c r="H9764">
        <f>IF(DATOS!$G9764&lt;&gt;"EX",0,--(COUNTIFS(nNIA,DATOS!$A9764,nCURSO,DATOS!$D9764,nESPEC,DATOS!$E9764,nASIG,DATOS!$I9764,nEVAL,"OR")=0))</f>
      </c>
      <c r="I9764">
        <f>IF(DATOS!$I9764="","",IFERROR(VLOOKUP(DATOS!$I9764,CONFIG_ASIGNATURAS!$B$2:$J$91,9,FALSE()),""))</f>
      </c>
    </row>
    <row r="9765">
      <c r="F9765">
        <f>IF(DATOS!$A9765="","",DATOS!$A9765&amp;"|"&amp;DATOS!$D9765&amp;"|"&amp;DATOS!$E9765&amp;"|"&amp;DATOS!$I9765)</f>
      </c>
      <c r="G9765">
        <f>IF(DATOS!$A9765="",0,IF(CONFIG_METADATA!$B$4&lt;&gt;"OR+EX",--(DATOS!$G9765=CONFIG_METADATA!$B$4),IF(DATOS!$G9765="EX",1,IF(DATOS!$G9765="OR",--(COUNTIFS(nNIA,DATOS!$A9765,nCURSO,DATOS!$D9765,nESPEC,DATOS!$E9765,nASIG,DATOS!$I9765,nEVAL,"EX")=0),0))))</f>
      </c>
      <c r="H9765">
        <f>IF(DATOS!$G9765&lt;&gt;"EX",0,--(COUNTIFS(nNIA,DATOS!$A9765,nCURSO,DATOS!$D9765,nESPEC,DATOS!$E9765,nASIG,DATOS!$I9765,nEVAL,"OR")=0))</f>
      </c>
      <c r="I9765">
        <f>IF(DATOS!$I9765="","",IFERROR(VLOOKUP(DATOS!$I9765,CONFIG_ASIGNATURAS!$B$2:$J$91,9,FALSE()),""))</f>
      </c>
    </row>
    <row r="9766">
      <c r="F9766">
        <f>IF(DATOS!$A9766="","",DATOS!$A9766&amp;"|"&amp;DATOS!$D9766&amp;"|"&amp;DATOS!$E9766&amp;"|"&amp;DATOS!$I9766)</f>
      </c>
      <c r="G9766">
        <f>IF(DATOS!$A9766="",0,IF(CONFIG_METADATA!$B$4&lt;&gt;"OR+EX",--(DATOS!$G9766=CONFIG_METADATA!$B$4),IF(DATOS!$G9766="EX",1,IF(DATOS!$G9766="OR",--(COUNTIFS(nNIA,DATOS!$A9766,nCURSO,DATOS!$D9766,nESPEC,DATOS!$E9766,nASIG,DATOS!$I9766,nEVAL,"EX")=0),0))))</f>
      </c>
      <c r="H9766">
        <f>IF(DATOS!$G9766&lt;&gt;"EX",0,--(COUNTIFS(nNIA,DATOS!$A9766,nCURSO,DATOS!$D9766,nESPEC,DATOS!$E9766,nASIG,DATOS!$I9766,nEVAL,"OR")=0))</f>
      </c>
      <c r="I9766">
        <f>IF(DATOS!$I9766="","",IFERROR(VLOOKUP(DATOS!$I9766,CONFIG_ASIGNATURAS!$B$2:$J$91,9,FALSE()),""))</f>
      </c>
    </row>
    <row r="9767">
      <c r="F9767">
        <f>IF(DATOS!$A9767="","",DATOS!$A9767&amp;"|"&amp;DATOS!$D9767&amp;"|"&amp;DATOS!$E9767&amp;"|"&amp;DATOS!$I9767)</f>
      </c>
      <c r="G9767">
        <f>IF(DATOS!$A9767="",0,IF(CONFIG_METADATA!$B$4&lt;&gt;"OR+EX",--(DATOS!$G9767=CONFIG_METADATA!$B$4),IF(DATOS!$G9767="EX",1,IF(DATOS!$G9767="OR",--(COUNTIFS(nNIA,DATOS!$A9767,nCURSO,DATOS!$D9767,nESPEC,DATOS!$E9767,nASIG,DATOS!$I9767,nEVAL,"EX")=0),0))))</f>
      </c>
      <c r="H9767">
        <f>IF(DATOS!$G9767&lt;&gt;"EX",0,--(COUNTIFS(nNIA,DATOS!$A9767,nCURSO,DATOS!$D9767,nESPEC,DATOS!$E9767,nASIG,DATOS!$I9767,nEVAL,"OR")=0))</f>
      </c>
      <c r="I9767">
        <f>IF(DATOS!$I9767="","",IFERROR(VLOOKUP(DATOS!$I9767,CONFIG_ASIGNATURAS!$B$2:$J$91,9,FALSE()),""))</f>
      </c>
    </row>
    <row r="9768">
      <c r="F9768">
        <f>IF(DATOS!$A9768="","",DATOS!$A9768&amp;"|"&amp;DATOS!$D9768&amp;"|"&amp;DATOS!$E9768&amp;"|"&amp;DATOS!$I9768)</f>
      </c>
      <c r="G9768">
        <f>IF(DATOS!$A9768="",0,IF(CONFIG_METADATA!$B$4&lt;&gt;"OR+EX",--(DATOS!$G9768=CONFIG_METADATA!$B$4),IF(DATOS!$G9768="EX",1,IF(DATOS!$G9768="OR",--(COUNTIFS(nNIA,DATOS!$A9768,nCURSO,DATOS!$D9768,nESPEC,DATOS!$E9768,nASIG,DATOS!$I9768,nEVAL,"EX")=0),0))))</f>
      </c>
      <c r="H9768">
        <f>IF(DATOS!$G9768&lt;&gt;"EX",0,--(COUNTIFS(nNIA,DATOS!$A9768,nCURSO,DATOS!$D9768,nESPEC,DATOS!$E9768,nASIG,DATOS!$I9768,nEVAL,"OR")=0))</f>
      </c>
      <c r="I9768">
        <f>IF(DATOS!$I9768="","",IFERROR(VLOOKUP(DATOS!$I9768,CONFIG_ASIGNATURAS!$B$2:$J$91,9,FALSE()),""))</f>
      </c>
    </row>
    <row r="9769">
      <c r="F9769">
        <f>IF(DATOS!$A9769="","",DATOS!$A9769&amp;"|"&amp;DATOS!$D9769&amp;"|"&amp;DATOS!$E9769&amp;"|"&amp;DATOS!$I9769)</f>
      </c>
      <c r="G9769">
        <f>IF(DATOS!$A9769="",0,IF(CONFIG_METADATA!$B$4&lt;&gt;"OR+EX",--(DATOS!$G9769=CONFIG_METADATA!$B$4),IF(DATOS!$G9769="EX",1,IF(DATOS!$G9769="OR",--(COUNTIFS(nNIA,DATOS!$A9769,nCURSO,DATOS!$D9769,nESPEC,DATOS!$E9769,nASIG,DATOS!$I9769,nEVAL,"EX")=0),0))))</f>
      </c>
      <c r="H9769">
        <f>IF(DATOS!$G9769&lt;&gt;"EX",0,--(COUNTIFS(nNIA,DATOS!$A9769,nCURSO,DATOS!$D9769,nESPEC,DATOS!$E9769,nASIG,DATOS!$I9769,nEVAL,"OR")=0))</f>
      </c>
      <c r="I9769">
        <f>IF(DATOS!$I9769="","",IFERROR(VLOOKUP(DATOS!$I9769,CONFIG_ASIGNATURAS!$B$2:$J$91,9,FALSE()),""))</f>
      </c>
    </row>
    <row r="9770">
      <c r="F9770">
        <f>IF(DATOS!$A9770="","",DATOS!$A9770&amp;"|"&amp;DATOS!$D9770&amp;"|"&amp;DATOS!$E9770&amp;"|"&amp;DATOS!$I9770)</f>
      </c>
      <c r="G9770">
        <f>IF(DATOS!$A9770="",0,IF(CONFIG_METADATA!$B$4&lt;&gt;"OR+EX",--(DATOS!$G9770=CONFIG_METADATA!$B$4),IF(DATOS!$G9770="EX",1,IF(DATOS!$G9770="OR",--(COUNTIFS(nNIA,DATOS!$A9770,nCURSO,DATOS!$D9770,nESPEC,DATOS!$E9770,nASIG,DATOS!$I9770,nEVAL,"EX")=0),0))))</f>
      </c>
      <c r="H9770">
        <f>IF(DATOS!$G9770&lt;&gt;"EX",0,--(COUNTIFS(nNIA,DATOS!$A9770,nCURSO,DATOS!$D9770,nESPEC,DATOS!$E9770,nASIG,DATOS!$I9770,nEVAL,"OR")=0))</f>
      </c>
      <c r="I9770">
        <f>IF(DATOS!$I9770="","",IFERROR(VLOOKUP(DATOS!$I9770,CONFIG_ASIGNATURAS!$B$2:$J$91,9,FALSE()),""))</f>
      </c>
    </row>
    <row r="9771">
      <c r="F9771">
        <f>IF(DATOS!$A9771="","",DATOS!$A9771&amp;"|"&amp;DATOS!$D9771&amp;"|"&amp;DATOS!$E9771&amp;"|"&amp;DATOS!$I9771)</f>
      </c>
      <c r="G9771">
        <f>IF(DATOS!$A9771="",0,IF(CONFIG_METADATA!$B$4&lt;&gt;"OR+EX",--(DATOS!$G9771=CONFIG_METADATA!$B$4),IF(DATOS!$G9771="EX",1,IF(DATOS!$G9771="OR",--(COUNTIFS(nNIA,DATOS!$A9771,nCURSO,DATOS!$D9771,nESPEC,DATOS!$E9771,nASIG,DATOS!$I9771,nEVAL,"EX")=0),0))))</f>
      </c>
      <c r="H9771">
        <f>IF(DATOS!$G9771&lt;&gt;"EX",0,--(COUNTIFS(nNIA,DATOS!$A9771,nCURSO,DATOS!$D9771,nESPEC,DATOS!$E9771,nASIG,DATOS!$I9771,nEVAL,"OR")=0))</f>
      </c>
      <c r="I9771">
        <f>IF(DATOS!$I9771="","",IFERROR(VLOOKUP(DATOS!$I9771,CONFIG_ASIGNATURAS!$B$2:$J$91,9,FALSE()),""))</f>
      </c>
    </row>
    <row r="9772">
      <c r="F9772">
        <f>IF(DATOS!$A9772="","",DATOS!$A9772&amp;"|"&amp;DATOS!$D9772&amp;"|"&amp;DATOS!$E9772&amp;"|"&amp;DATOS!$I9772)</f>
      </c>
      <c r="G9772">
        <f>IF(DATOS!$A9772="",0,IF(CONFIG_METADATA!$B$4&lt;&gt;"OR+EX",--(DATOS!$G9772=CONFIG_METADATA!$B$4),IF(DATOS!$G9772="EX",1,IF(DATOS!$G9772="OR",--(COUNTIFS(nNIA,DATOS!$A9772,nCURSO,DATOS!$D9772,nESPEC,DATOS!$E9772,nASIG,DATOS!$I9772,nEVAL,"EX")=0),0))))</f>
      </c>
      <c r="H9772">
        <f>IF(DATOS!$G9772&lt;&gt;"EX",0,--(COUNTIFS(nNIA,DATOS!$A9772,nCURSO,DATOS!$D9772,nESPEC,DATOS!$E9772,nASIG,DATOS!$I9772,nEVAL,"OR")=0))</f>
      </c>
      <c r="I9772">
        <f>IF(DATOS!$I9772="","",IFERROR(VLOOKUP(DATOS!$I9772,CONFIG_ASIGNATURAS!$B$2:$J$91,9,FALSE()),""))</f>
      </c>
    </row>
    <row r="9773">
      <c r="F9773">
        <f>IF(DATOS!$A9773="","",DATOS!$A9773&amp;"|"&amp;DATOS!$D9773&amp;"|"&amp;DATOS!$E9773&amp;"|"&amp;DATOS!$I9773)</f>
      </c>
      <c r="G9773">
        <f>IF(DATOS!$A9773="",0,IF(CONFIG_METADATA!$B$4&lt;&gt;"OR+EX",--(DATOS!$G9773=CONFIG_METADATA!$B$4),IF(DATOS!$G9773="EX",1,IF(DATOS!$G9773="OR",--(COUNTIFS(nNIA,DATOS!$A9773,nCURSO,DATOS!$D9773,nESPEC,DATOS!$E9773,nASIG,DATOS!$I9773,nEVAL,"EX")=0),0))))</f>
      </c>
      <c r="H9773">
        <f>IF(DATOS!$G9773&lt;&gt;"EX",0,--(COUNTIFS(nNIA,DATOS!$A9773,nCURSO,DATOS!$D9773,nESPEC,DATOS!$E9773,nASIG,DATOS!$I9773,nEVAL,"OR")=0))</f>
      </c>
      <c r="I9773">
        <f>IF(DATOS!$I9773="","",IFERROR(VLOOKUP(DATOS!$I9773,CONFIG_ASIGNATURAS!$B$2:$J$91,9,FALSE()),""))</f>
      </c>
    </row>
    <row r="9774">
      <c r="F9774">
        <f>IF(DATOS!$A9774="","",DATOS!$A9774&amp;"|"&amp;DATOS!$D9774&amp;"|"&amp;DATOS!$E9774&amp;"|"&amp;DATOS!$I9774)</f>
      </c>
      <c r="G9774">
        <f>IF(DATOS!$A9774="",0,IF(CONFIG_METADATA!$B$4&lt;&gt;"OR+EX",--(DATOS!$G9774=CONFIG_METADATA!$B$4),IF(DATOS!$G9774="EX",1,IF(DATOS!$G9774="OR",--(COUNTIFS(nNIA,DATOS!$A9774,nCURSO,DATOS!$D9774,nESPEC,DATOS!$E9774,nASIG,DATOS!$I9774,nEVAL,"EX")=0),0))))</f>
      </c>
      <c r="H9774">
        <f>IF(DATOS!$G9774&lt;&gt;"EX",0,--(COUNTIFS(nNIA,DATOS!$A9774,nCURSO,DATOS!$D9774,nESPEC,DATOS!$E9774,nASIG,DATOS!$I9774,nEVAL,"OR")=0))</f>
      </c>
      <c r="I9774">
        <f>IF(DATOS!$I9774="","",IFERROR(VLOOKUP(DATOS!$I9774,CONFIG_ASIGNATURAS!$B$2:$J$91,9,FALSE()),""))</f>
      </c>
    </row>
    <row r="9775">
      <c r="F9775">
        <f>IF(DATOS!$A9775="","",DATOS!$A9775&amp;"|"&amp;DATOS!$D9775&amp;"|"&amp;DATOS!$E9775&amp;"|"&amp;DATOS!$I9775)</f>
      </c>
      <c r="G9775">
        <f>IF(DATOS!$A9775="",0,IF(CONFIG_METADATA!$B$4&lt;&gt;"OR+EX",--(DATOS!$G9775=CONFIG_METADATA!$B$4),IF(DATOS!$G9775="EX",1,IF(DATOS!$G9775="OR",--(COUNTIFS(nNIA,DATOS!$A9775,nCURSO,DATOS!$D9775,nESPEC,DATOS!$E9775,nASIG,DATOS!$I9775,nEVAL,"EX")=0),0))))</f>
      </c>
      <c r="H9775">
        <f>IF(DATOS!$G9775&lt;&gt;"EX",0,--(COUNTIFS(nNIA,DATOS!$A9775,nCURSO,DATOS!$D9775,nESPEC,DATOS!$E9775,nASIG,DATOS!$I9775,nEVAL,"OR")=0))</f>
      </c>
      <c r="I9775">
        <f>IF(DATOS!$I9775="","",IFERROR(VLOOKUP(DATOS!$I9775,CONFIG_ASIGNATURAS!$B$2:$J$91,9,FALSE()),""))</f>
      </c>
    </row>
    <row r="9776">
      <c r="F9776">
        <f>IF(DATOS!$A9776="","",DATOS!$A9776&amp;"|"&amp;DATOS!$D9776&amp;"|"&amp;DATOS!$E9776&amp;"|"&amp;DATOS!$I9776)</f>
      </c>
      <c r="G9776">
        <f>IF(DATOS!$A9776="",0,IF(CONFIG_METADATA!$B$4&lt;&gt;"OR+EX",--(DATOS!$G9776=CONFIG_METADATA!$B$4),IF(DATOS!$G9776="EX",1,IF(DATOS!$G9776="OR",--(COUNTIFS(nNIA,DATOS!$A9776,nCURSO,DATOS!$D9776,nESPEC,DATOS!$E9776,nASIG,DATOS!$I9776,nEVAL,"EX")=0),0))))</f>
      </c>
      <c r="H9776">
        <f>IF(DATOS!$G9776&lt;&gt;"EX",0,--(COUNTIFS(nNIA,DATOS!$A9776,nCURSO,DATOS!$D9776,nESPEC,DATOS!$E9776,nASIG,DATOS!$I9776,nEVAL,"OR")=0))</f>
      </c>
      <c r="I9776">
        <f>IF(DATOS!$I9776="","",IFERROR(VLOOKUP(DATOS!$I9776,CONFIG_ASIGNATURAS!$B$2:$J$91,9,FALSE()),""))</f>
      </c>
    </row>
    <row r="9777">
      <c r="F9777">
        <f>IF(DATOS!$A9777="","",DATOS!$A9777&amp;"|"&amp;DATOS!$D9777&amp;"|"&amp;DATOS!$E9777&amp;"|"&amp;DATOS!$I9777)</f>
      </c>
      <c r="G9777">
        <f>IF(DATOS!$A9777="",0,IF(CONFIG_METADATA!$B$4&lt;&gt;"OR+EX",--(DATOS!$G9777=CONFIG_METADATA!$B$4),IF(DATOS!$G9777="EX",1,IF(DATOS!$G9777="OR",--(COUNTIFS(nNIA,DATOS!$A9777,nCURSO,DATOS!$D9777,nESPEC,DATOS!$E9777,nASIG,DATOS!$I9777,nEVAL,"EX")=0),0))))</f>
      </c>
      <c r="H9777">
        <f>IF(DATOS!$G9777&lt;&gt;"EX",0,--(COUNTIFS(nNIA,DATOS!$A9777,nCURSO,DATOS!$D9777,nESPEC,DATOS!$E9777,nASIG,DATOS!$I9777,nEVAL,"OR")=0))</f>
      </c>
      <c r="I9777">
        <f>IF(DATOS!$I9777="","",IFERROR(VLOOKUP(DATOS!$I9777,CONFIG_ASIGNATURAS!$B$2:$J$91,9,FALSE()),""))</f>
      </c>
    </row>
    <row r="9778">
      <c r="F9778">
        <f>IF(DATOS!$A9778="","",DATOS!$A9778&amp;"|"&amp;DATOS!$D9778&amp;"|"&amp;DATOS!$E9778&amp;"|"&amp;DATOS!$I9778)</f>
      </c>
      <c r="G9778">
        <f>IF(DATOS!$A9778="",0,IF(CONFIG_METADATA!$B$4&lt;&gt;"OR+EX",--(DATOS!$G9778=CONFIG_METADATA!$B$4),IF(DATOS!$G9778="EX",1,IF(DATOS!$G9778="OR",--(COUNTIFS(nNIA,DATOS!$A9778,nCURSO,DATOS!$D9778,nESPEC,DATOS!$E9778,nASIG,DATOS!$I9778,nEVAL,"EX")=0),0))))</f>
      </c>
      <c r="H9778">
        <f>IF(DATOS!$G9778&lt;&gt;"EX",0,--(COUNTIFS(nNIA,DATOS!$A9778,nCURSO,DATOS!$D9778,nESPEC,DATOS!$E9778,nASIG,DATOS!$I9778,nEVAL,"OR")=0))</f>
      </c>
      <c r="I9778">
        <f>IF(DATOS!$I9778="","",IFERROR(VLOOKUP(DATOS!$I9778,CONFIG_ASIGNATURAS!$B$2:$J$91,9,FALSE()),""))</f>
      </c>
    </row>
    <row r="9779">
      <c r="F9779">
        <f>IF(DATOS!$A9779="","",DATOS!$A9779&amp;"|"&amp;DATOS!$D9779&amp;"|"&amp;DATOS!$E9779&amp;"|"&amp;DATOS!$I9779)</f>
      </c>
      <c r="G9779">
        <f>IF(DATOS!$A9779="",0,IF(CONFIG_METADATA!$B$4&lt;&gt;"OR+EX",--(DATOS!$G9779=CONFIG_METADATA!$B$4),IF(DATOS!$G9779="EX",1,IF(DATOS!$G9779="OR",--(COUNTIFS(nNIA,DATOS!$A9779,nCURSO,DATOS!$D9779,nESPEC,DATOS!$E9779,nASIG,DATOS!$I9779,nEVAL,"EX")=0),0))))</f>
      </c>
      <c r="H9779">
        <f>IF(DATOS!$G9779&lt;&gt;"EX",0,--(COUNTIFS(nNIA,DATOS!$A9779,nCURSO,DATOS!$D9779,nESPEC,DATOS!$E9779,nASIG,DATOS!$I9779,nEVAL,"OR")=0))</f>
      </c>
      <c r="I9779">
        <f>IF(DATOS!$I9779="","",IFERROR(VLOOKUP(DATOS!$I9779,CONFIG_ASIGNATURAS!$B$2:$J$91,9,FALSE()),""))</f>
      </c>
    </row>
    <row r="9780">
      <c r="F9780">
        <f>IF(DATOS!$A9780="","",DATOS!$A9780&amp;"|"&amp;DATOS!$D9780&amp;"|"&amp;DATOS!$E9780&amp;"|"&amp;DATOS!$I9780)</f>
      </c>
      <c r="G9780">
        <f>IF(DATOS!$A9780="",0,IF(CONFIG_METADATA!$B$4&lt;&gt;"OR+EX",--(DATOS!$G9780=CONFIG_METADATA!$B$4),IF(DATOS!$G9780="EX",1,IF(DATOS!$G9780="OR",--(COUNTIFS(nNIA,DATOS!$A9780,nCURSO,DATOS!$D9780,nESPEC,DATOS!$E9780,nASIG,DATOS!$I9780,nEVAL,"EX")=0),0))))</f>
      </c>
      <c r="H9780">
        <f>IF(DATOS!$G9780&lt;&gt;"EX",0,--(COUNTIFS(nNIA,DATOS!$A9780,nCURSO,DATOS!$D9780,nESPEC,DATOS!$E9780,nASIG,DATOS!$I9780,nEVAL,"OR")=0))</f>
      </c>
      <c r="I9780">
        <f>IF(DATOS!$I9780="","",IFERROR(VLOOKUP(DATOS!$I9780,CONFIG_ASIGNATURAS!$B$2:$J$91,9,FALSE()),""))</f>
      </c>
    </row>
    <row r="9781">
      <c r="F9781">
        <f>IF(DATOS!$A9781="","",DATOS!$A9781&amp;"|"&amp;DATOS!$D9781&amp;"|"&amp;DATOS!$E9781&amp;"|"&amp;DATOS!$I9781)</f>
      </c>
      <c r="G9781">
        <f>IF(DATOS!$A9781="",0,IF(CONFIG_METADATA!$B$4&lt;&gt;"OR+EX",--(DATOS!$G9781=CONFIG_METADATA!$B$4),IF(DATOS!$G9781="EX",1,IF(DATOS!$G9781="OR",--(COUNTIFS(nNIA,DATOS!$A9781,nCURSO,DATOS!$D9781,nESPEC,DATOS!$E9781,nASIG,DATOS!$I9781,nEVAL,"EX")=0),0))))</f>
      </c>
      <c r="H9781">
        <f>IF(DATOS!$G9781&lt;&gt;"EX",0,--(COUNTIFS(nNIA,DATOS!$A9781,nCURSO,DATOS!$D9781,nESPEC,DATOS!$E9781,nASIG,DATOS!$I9781,nEVAL,"OR")=0))</f>
      </c>
      <c r="I9781">
        <f>IF(DATOS!$I9781="","",IFERROR(VLOOKUP(DATOS!$I9781,CONFIG_ASIGNATURAS!$B$2:$J$91,9,FALSE()),""))</f>
      </c>
    </row>
    <row r="9782">
      <c r="F9782">
        <f>IF(DATOS!$A9782="","",DATOS!$A9782&amp;"|"&amp;DATOS!$D9782&amp;"|"&amp;DATOS!$E9782&amp;"|"&amp;DATOS!$I9782)</f>
      </c>
      <c r="G9782">
        <f>IF(DATOS!$A9782="",0,IF(CONFIG_METADATA!$B$4&lt;&gt;"OR+EX",--(DATOS!$G9782=CONFIG_METADATA!$B$4),IF(DATOS!$G9782="EX",1,IF(DATOS!$G9782="OR",--(COUNTIFS(nNIA,DATOS!$A9782,nCURSO,DATOS!$D9782,nESPEC,DATOS!$E9782,nASIG,DATOS!$I9782,nEVAL,"EX")=0),0))))</f>
      </c>
      <c r="H9782">
        <f>IF(DATOS!$G9782&lt;&gt;"EX",0,--(COUNTIFS(nNIA,DATOS!$A9782,nCURSO,DATOS!$D9782,nESPEC,DATOS!$E9782,nASIG,DATOS!$I9782,nEVAL,"OR")=0))</f>
      </c>
      <c r="I9782">
        <f>IF(DATOS!$I9782="","",IFERROR(VLOOKUP(DATOS!$I9782,CONFIG_ASIGNATURAS!$B$2:$J$91,9,FALSE()),""))</f>
      </c>
    </row>
    <row r="9783">
      <c r="F9783">
        <f>IF(DATOS!$A9783="","",DATOS!$A9783&amp;"|"&amp;DATOS!$D9783&amp;"|"&amp;DATOS!$E9783&amp;"|"&amp;DATOS!$I9783)</f>
      </c>
      <c r="G9783">
        <f>IF(DATOS!$A9783="",0,IF(CONFIG_METADATA!$B$4&lt;&gt;"OR+EX",--(DATOS!$G9783=CONFIG_METADATA!$B$4),IF(DATOS!$G9783="EX",1,IF(DATOS!$G9783="OR",--(COUNTIFS(nNIA,DATOS!$A9783,nCURSO,DATOS!$D9783,nESPEC,DATOS!$E9783,nASIG,DATOS!$I9783,nEVAL,"EX")=0),0))))</f>
      </c>
      <c r="H9783">
        <f>IF(DATOS!$G9783&lt;&gt;"EX",0,--(COUNTIFS(nNIA,DATOS!$A9783,nCURSO,DATOS!$D9783,nESPEC,DATOS!$E9783,nASIG,DATOS!$I9783,nEVAL,"OR")=0))</f>
      </c>
      <c r="I9783">
        <f>IF(DATOS!$I9783="","",IFERROR(VLOOKUP(DATOS!$I9783,CONFIG_ASIGNATURAS!$B$2:$J$91,9,FALSE()),""))</f>
      </c>
    </row>
    <row r="9784">
      <c r="F9784">
        <f>IF(DATOS!$A9784="","",DATOS!$A9784&amp;"|"&amp;DATOS!$D9784&amp;"|"&amp;DATOS!$E9784&amp;"|"&amp;DATOS!$I9784)</f>
      </c>
      <c r="G9784">
        <f>IF(DATOS!$A9784="",0,IF(CONFIG_METADATA!$B$4&lt;&gt;"OR+EX",--(DATOS!$G9784=CONFIG_METADATA!$B$4),IF(DATOS!$G9784="EX",1,IF(DATOS!$G9784="OR",--(COUNTIFS(nNIA,DATOS!$A9784,nCURSO,DATOS!$D9784,nESPEC,DATOS!$E9784,nASIG,DATOS!$I9784,nEVAL,"EX")=0),0))))</f>
      </c>
      <c r="H9784">
        <f>IF(DATOS!$G9784&lt;&gt;"EX",0,--(COUNTIFS(nNIA,DATOS!$A9784,nCURSO,DATOS!$D9784,nESPEC,DATOS!$E9784,nASIG,DATOS!$I9784,nEVAL,"OR")=0))</f>
      </c>
      <c r="I9784">
        <f>IF(DATOS!$I9784="","",IFERROR(VLOOKUP(DATOS!$I9784,CONFIG_ASIGNATURAS!$B$2:$J$91,9,FALSE()),""))</f>
      </c>
    </row>
    <row r="9785">
      <c r="F9785">
        <f>IF(DATOS!$A9785="","",DATOS!$A9785&amp;"|"&amp;DATOS!$D9785&amp;"|"&amp;DATOS!$E9785&amp;"|"&amp;DATOS!$I9785)</f>
      </c>
      <c r="G9785">
        <f>IF(DATOS!$A9785="",0,IF(CONFIG_METADATA!$B$4&lt;&gt;"OR+EX",--(DATOS!$G9785=CONFIG_METADATA!$B$4),IF(DATOS!$G9785="EX",1,IF(DATOS!$G9785="OR",--(COUNTIFS(nNIA,DATOS!$A9785,nCURSO,DATOS!$D9785,nESPEC,DATOS!$E9785,nASIG,DATOS!$I9785,nEVAL,"EX")=0),0))))</f>
      </c>
      <c r="H9785">
        <f>IF(DATOS!$G9785&lt;&gt;"EX",0,--(COUNTIFS(nNIA,DATOS!$A9785,nCURSO,DATOS!$D9785,nESPEC,DATOS!$E9785,nASIG,DATOS!$I9785,nEVAL,"OR")=0))</f>
      </c>
      <c r="I9785">
        <f>IF(DATOS!$I9785="","",IFERROR(VLOOKUP(DATOS!$I9785,CONFIG_ASIGNATURAS!$B$2:$J$91,9,FALSE()),""))</f>
      </c>
    </row>
    <row r="9786">
      <c r="F9786">
        <f>IF(DATOS!$A9786="","",DATOS!$A9786&amp;"|"&amp;DATOS!$D9786&amp;"|"&amp;DATOS!$E9786&amp;"|"&amp;DATOS!$I9786)</f>
      </c>
      <c r="G9786">
        <f>IF(DATOS!$A9786="",0,IF(CONFIG_METADATA!$B$4&lt;&gt;"OR+EX",--(DATOS!$G9786=CONFIG_METADATA!$B$4),IF(DATOS!$G9786="EX",1,IF(DATOS!$G9786="OR",--(COUNTIFS(nNIA,DATOS!$A9786,nCURSO,DATOS!$D9786,nESPEC,DATOS!$E9786,nASIG,DATOS!$I9786,nEVAL,"EX")=0),0))))</f>
      </c>
      <c r="H9786">
        <f>IF(DATOS!$G9786&lt;&gt;"EX",0,--(COUNTIFS(nNIA,DATOS!$A9786,nCURSO,DATOS!$D9786,nESPEC,DATOS!$E9786,nASIG,DATOS!$I9786,nEVAL,"OR")=0))</f>
      </c>
      <c r="I9786">
        <f>IF(DATOS!$I9786="","",IFERROR(VLOOKUP(DATOS!$I9786,CONFIG_ASIGNATURAS!$B$2:$J$91,9,FALSE()),""))</f>
      </c>
    </row>
    <row r="9787">
      <c r="F9787">
        <f>IF(DATOS!$A9787="","",DATOS!$A9787&amp;"|"&amp;DATOS!$D9787&amp;"|"&amp;DATOS!$E9787&amp;"|"&amp;DATOS!$I9787)</f>
      </c>
      <c r="G9787">
        <f>IF(DATOS!$A9787="",0,IF(CONFIG_METADATA!$B$4&lt;&gt;"OR+EX",--(DATOS!$G9787=CONFIG_METADATA!$B$4),IF(DATOS!$G9787="EX",1,IF(DATOS!$G9787="OR",--(COUNTIFS(nNIA,DATOS!$A9787,nCURSO,DATOS!$D9787,nESPEC,DATOS!$E9787,nASIG,DATOS!$I9787,nEVAL,"EX")=0),0))))</f>
      </c>
      <c r="H9787">
        <f>IF(DATOS!$G9787&lt;&gt;"EX",0,--(COUNTIFS(nNIA,DATOS!$A9787,nCURSO,DATOS!$D9787,nESPEC,DATOS!$E9787,nASIG,DATOS!$I9787,nEVAL,"OR")=0))</f>
      </c>
      <c r="I9787">
        <f>IF(DATOS!$I9787="","",IFERROR(VLOOKUP(DATOS!$I9787,CONFIG_ASIGNATURAS!$B$2:$J$91,9,FALSE()),""))</f>
      </c>
    </row>
    <row r="9788">
      <c r="F9788">
        <f>IF(DATOS!$A9788="","",DATOS!$A9788&amp;"|"&amp;DATOS!$D9788&amp;"|"&amp;DATOS!$E9788&amp;"|"&amp;DATOS!$I9788)</f>
      </c>
      <c r="G9788">
        <f>IF(DATOS!$A9788="",0,IF(CONFIG_METADATA!$B$4&lt;&gt;"OR+EX",--(DATOS!$G9788=CONFIG_METADATA!$B$4),IF(DATOS!$G9788="EX",1,IF(DATOS!$G9788="OR",--(COUNTIFS(nNIA,DATOS!$A9788,nCURSO,DATOS!$D9788,nESPEC,DATOS!$E9788,nASIG,DATOS!$I9788,nEVAL,"EX")=0),0))))</f>
      </c>
      <c r="H9788">
        <f>IF(DATOS!$G9788&lt;&gt;"EX",0,--(COUNTIFS(nNIA,DATOS!$A9788,nCURSO,DATOS!$D9788,nESPEC,DATOS!$E9788,nASIG,DATOS!$I9788,nEVAL,"OR")=0))</f>
      </c>
      <c r="I9788">
        <f>IF(DATOS!$I9788="","",IFERROR(VLOOKUP(DATOS!$I9788,CONFIG_ASIGNATURAS!$B$2:$J$91,9,FALSE()),""))</f>
      </c>
    </row>
    <row r="9789">
      <c r="F9789">
        <f>IF(DATOS!$A9789="","",DATOS!$A9789&amp;"|"&amp;DATOS!$D9789&amp;"|"&amp;DATOS!$E9789&amp;"|"&amp;DATOS!$I9789)</f>
      </c>
      <c r="G9789">
        <f>IF(DATOS!$A9789="",0,IF(CONFIG_METADATA!$B$4&lt;&gt;"OR+EX",--(DATOS!$G9789=CONFIG_METADATA!$B$4),IF(DATOS!$G9789="EX",1,IF(DATOS!$G9789="OR",--(COUNTIFS(nNIA,DATOS!$A9789,nCURSO,DATOS!$D9789,nESPEC,DATOS!$E9789,nASIG,DATOS!$I9789,nEVAL,"EX")=0),0))))</f>
      </c>
      <c r="H9789">
        <f>IF(DATOS!$G9789&lt;&gt;"EX",0,--(COUNTIFS(nNIA,DATOS!$A9789,nCURSO,DATOS!$D9789,nESPEC,DATOS!$E9789,nASIG,DATOS!$I9789,nEVAL,"OR")=0))</f>
      </c>
      <c r="I9789">
        <f>IF(DATOS!$I9789="","",IFERROR(VLOOKUP(DATOS!$I9789,CONFIG_ASIGNATURAS!$B$2:$J$91,9,FALSE()),""))</f>
      </c>
    </row>
    <row r="9790">
      <c r="F9790">
        <f>IF(DATOS!$A9790="","",DATOS!$A9790&amp;"|"&amp;DATOS!$D9790&amp;"|"&amp;DATOS!$E9790&amp;"|"&amp;DATOS!$I9790)</f>
      </c>
      <c r="G9790">
        <f>IF(DATOS!$A9790="",0,IF(CONFIG_METADATA!$B$4&lt;&gt;"OR+EX",--(DATOS!$G9790=CONFIG_METADATA!$B$4),IF(DATOS!$G9790="EX",1,IF(DATOS!$G9790="OR",--(COUNTIFS(nNIA,DATOS!$A9790,nCURSO,DATOS!$D9790,nESPEC,DATOS!$E9790,nASIG,DATOS!$I9790,nEVAL,"EX")=0),0))))</f>
      </c>
      <c r="H9790">
        <f>IF(DATOS!$G9790&lt;&gt;"EX",0,--(COUNTIFS(nNIA,DATOS!$A9790,nCURSO,DATOS!$D9790,nESPEC,DATOS!$E9790,nASIG,DATOS!$I9790,nEVAL,"OR")=0))</f>
      </c>
      <c r="I9790">
        <f>IF(DATOS!$I9790="","",IFERROR(VLOOKUP(DATOS!$I9790,CONFIG_ASIGNATURAS!$B$2:$J$91,9,FALSE()),""))</f>
      </c>
    </row>
    <row r="9791">
      <c r="F9791">
        <f>IF(DATOS!$A9791="","",DATOS!$A9791&amp;"|"&amp;DATOS!$D9791&amp;"|"&amp;DATOS!$E9791&amp;"|"&amp;DATOS!$I9791)</f>
      </c>
      <c r="G9791">
        <f>IF(DATOS!$A9791="",0,IF(CONFIG_METADATA!$B$4&lt;&gt;"OR+EX",--(DATOS!$G9791=CONFIG_METADATA!$B$4),IF(DATOS!$G9791="EX",1,IF(DATOS!$G9791="OR",--(COUNTIFS(nNIA,DATOS!$A9791,nCURSO,DATOS!$D9791,nESPEC,DATOS!$E9791,nASIG,DATOS!$I9791,nEVAL,"EX")=0),0))))</f>
      </c>
      <c r="H9791">
        <f>IF(DATOS!$G9791&lt;&gt;"EX",0,--(COUNTIFS(nNIA,DATOS!$A9791,nCURSO,DATOS!$D9791,nESPEC,DATOS!$E9791,nASIG,DATOS!$I9791,nEVAL,"OR")=0))</f>
      </c>
      <c r="I9791">
        <f>IF(DATOS!$I9791="","",IFERROR(VLOOKUP(DATOS!$I9791,CONFIG_ASIGNATURAS!$B$2:$J$91,9,FALSE()),""))</f>
      </c>
    </row>
    <row r="9792">
      <c r="F9792">
        <f>IF(DATOS!$A9792="","",DATOS!$A9792&amp;"|"&amp;DATOS!$D9792&amp;"|"&amp;DATOS!$E9792&amp;"|"&amp;DATOS!$I9792)</f>
      </c>
      <c r="G9792">
        <f>IF(DATOS!$A9792="",0,IF(CONFIG_METADATA!$B$4&lt;&gt;"OR+EX",--(DATOS!$G9792=CONFIG_METADATA!$B$4),IF(DATOS!$G9792="EX",1,IF(DATOS!$G9792="OR",--(COUNTIFS(nNIA,DATOS!$A9792,nCURSO,DATOS!$D9792,nESPEC,DATOS!$E9792,nASIG,DATOS!$I9792,nEVAL,"EX")=0),0))))</f>
      </c>
      <c r="H9792">
        <f>IF(DATOS!$G9792&lt;&gt;"EX",0,--(COUNTIFS(nNIA,DATOS!$A9792,nCURSO,DATOS!$D9792,nESPEC,DATOS!$E9792,nASIG,DATOS!$I9792,nEVAL,"OR")=0))</f>
      </c>
      <c r="I9792">
        <f>IF(DATOS!$I9792="","",IFERROR(VLOOKUP(DATOS!$I9792,CONFIG_ASIGNATURAS!$B$2:$J$91,9,FALSE()),""))</f>
      </c>
    </row>
    <row r="9793">
      <c r="F9793">
        <f>IF(DATOS!$A9793="","",DATOS!$A9793&amp;"|"&amp;DATOS!$D9793&amp;"|"&amp;DATOS!$E9793&amp;"|"&amp;DATOS!$I9793)</f>
      </c>
      <c r="G9793">
        <f>IF(DATOS!$A9793="",0,IF(CONFIG_METADATA!$B$4&lt;&gt;"OR+EX",--(DATOS!$G9793=CONFIG_METADATA!$B$4),IF(DATOS!$G9793="EX",1,IF(DATOS!$G9793="OR",--(COUNTIFS(nNIA,DATOS!$A9793,nCURSO,DATOS!$D9793,nESPEC,DATOS!$E9793,nASIG,DATOS!$I9793,nEVAL,"EX")=0),0))))</f>
      </c>
      <c r="H9793">
        <f>IF(DATOS!$G9793&lt;&gt;"EX",0,--(COUNTIFS(nNIA,DATOS!$A9793,nCURSO,DATOS!$D9793,nESPEC,DATOS!$E9793,nASIG,DATOS!$I9793,nEVAL,"OR")=0))</f>
      </c>
      <c r="I9793">
        <f>IF(DATOS!$I9793="","",IFERROR(VLOOKUP(DATOS!$I9793,CONFIG_ASIGNATURAS!$B$2:$J$91,9,FALSE()),""))</f>
      </c>
    </row>
    <row r="9794">
      <c r="F9794">
        <f>IF(DATOS!$A9794="","",DATOS!$A9794&amp;"|"&amp;DATOS!$D9794&amp;"|"&amp;DATOS!$E9794&amp;"|"&amp;DATOS!$I9794)</f>
      </c>
      <c r="G9794">
        <f>IF(DATOS!$A9794="",0,IF(CONFIG_METADATA!$B$4&lt;&gt;"OR+EX",--(DATOS!$G9794=CONFIG_METADATA!$B$4),IF(DATOS!$G9794="EX",1,IF(DATOS!$G9794="OR",--(COUNTIFS(nNIA,DATOS!$A9794,nCURSO,DATOS!$D9794,nESPEC,DATOS!$E9794,nASIG,DATOS!$I9794,nEVAL,"EX")=0),0))))</f>
      </c>
      <c r="H9794">
        <f>IF(DATOS!$G9794&lt;&gt;"EX",0,--(COUNTIFS(nNIA,DATOS!$A9794,nCURSO,DATOS!$D9794,nESPEC,DATOS!$E9794,nASIG,DATOS!$I9794,nEVAL,"OR")=0))</f>
      </c>
      <c r="I9794">
        <f>IF(DATOS!$I9794="","",IFERROR(VLOOKUP(DATOS!$I9794,CONFIG_ASIGNATURAS!$B$2:$J$91,9,FALSE()),""))</f>
      </c>
    </row>
    <row r="9795">
      <c r="F9795">
        <f>IF(DATOS!$A9795="","",DATOS!$A9795&amp;"|"&amp;DATOS!$D9795&amp;"|"&amp;DATOS!$E9795&amp;"|"&amp;DATOS!$I9795)</f>
      </c>
      <c r="G9795">
        <f>IF(DATOS!$A9795="",0,IF(CONFIG_METADATA!$B$4&lt;&gt;"OR+EX",--(DATOS!$G9795=CONFIG_METADATA!$B$4),IF(DATOS!$G9795="EX",1,IF(DATOS!$G9795="OR",--(COUNTIFS(nNIA,DATOS!$A9795,nCURSO,DATOS!$D9795,nESPEC,DATOS!$E9795,nASIG,DATOS!$I9795,nEVAL,"EX")=0),0))))</f>
      </c>
      <c r="H9795">
        <f>IF(DATOS!$G9795&lt;&gt;"EX",0,--(COUNTIFS(nNIA,DATOS!$A9795,nCURSO,DATOS!$D9795,nESPEC,DATOS!$E9795,nASIG,DATOS!$I9795,nEVAL,"OR")=0))</f>
      </c>
      <c r="I9795">
        <f>IF(DATOS!$I9795="","",IFERROR(VLOOKUP(DATOS!$I9795,CONFIG_ASIGNATURAS!$B$2:$J$91,9,FALSE()),""))</f>
      </c>
    </row>
    <row r="9796">
      <c r="F9796">
        <f>IF(DATOS!$A9796="","",DATOS!$A9796&amp;"|"&amp;DATOS!$D9796&amp;"|"&amp;DATOS!$E9796&amp;"|"&amp;DATOS!$I9796)</f>
      </c>
      <c r="G9796">
        <f>IF(DATOS!$A9796="",0,IF(CONFIG_METADATA!$B$4&lt;&gt;"OR+EX",--(DATOS!$G9796=CONFIG_METADATA!$B$4),IF(DATOS!$G9796="EX",1,IF(DATOS!$G9796="OR",--(COUNTIFS(nNIA,DATOS!$A9796,nCURSO,DATOS!$D9796,nESPEC,DATOS!$E9796,nASIG,DATOS!$I9796,nEVAL,"EX")=0),0))))</f>
      </c>
      <c r="H9796">
        <f>IF(DATOS!$G9796&lt;&gt;"EX",0,--(COUNTIFS(nNIA,DATOS!$A9796,nCURSO,DATOS!$D9796,nESPEC,DATOS!$E9796,nASIG,DATOS!$I9796,nEVAL,"OR")=0))</f>
      </c>
      <c r="I9796">
        <f>IF(DATOS!$I9796="","",IFERROR(VLOOKUP(DATOS!$I9796,CONFIG_ASIGNATURAS!$B$2:$J$91,9,FALSE()),""))</f>
      </c>
    </row>
    <row r="9797">
      <c r="F9797">
        <f>IF(DATOS!$A9797="","",DATOS!$A9797&amp;"|"&amp;DATOS!$D9797&amp;"|"&amp;DATOS!$E9797&amp;"|"&amp;DATOS!$I9797)</f>
      </c>
      <c r="G9797">
        <f>IF(DATOS!$A9797="",0,IF(CONFIG_METADATA!$B$4&lt;&gt;"OR+EX",--(DATOS!$G9797=CONFIG_METADATA!$B$4),IF(DATOS!$G9797="EX",1,IF(DATOS!$G9797="OR",--(COUNTIFS(nNIA,DATOS!$A9797,nCURSO,DATOS!$D9797,nESPEC,DATOS!$E9797,nASIG,DATOS!$I9797,nEVAL,"EX")=0),0))))</f>
      </c>
      <c r="H9797">
        <f>IF(DATOS!$G9797&lt;&gt;"EX",0,--(COUNTIFS(nNIA,DATOS!$A9797,nCURSO,DATOS!$D9797,nESPEC,DATOS!$E9797,nASIG,DATOS!$I9797,nEVAL,"OR")=0))</f>
      </c>
      <c r="I9797">
        <f>IF(DATOS!$I9797="","",IFERROR(VLOOKUP(DATOS!$I9797,CONFIG_ASIGNATURAS!$B$2:$J$91,9,FALSE()),""))</f>
      </c>
    </row>
    <row r="9798">
      <c r="F9798">
        <f>IF(DATOS!$A9798="","",DATOS!$A9798&amp;"|"&amp;DATOS!$D9798&amp;"|"&amp;DATOS!$E9798&amp;"|"&amp;DATOS!$I9798)</f>
      </c>
      <c r="G9798">
        <f>IF(DATOS!$A9798="",0,IF(CONFIG_METADATA!$B$4&lt;&gt;"OR+EX",--(DATOS!$G9798=CONFIG_METADATA!$B$4),IF(DATOS!$G9798="EX",1,IF(DATOS!$G9798="OR",--(COUNTIFS(nNIA,DATOS!$A9798,nCURSO,DATOS!$D9798,nESPEC,DATOS!$E9798,nASIG,DATOS!$I9798,nEVAL,"EX")=0),0))))</f>
      </c>
      <c r="H9798">
        <f>IF(DATOS!$G9798&lt;&gt;"EX",0,--(COUNTIFS(nNIA,DATOS!$A9798,nCURSO,DATOS!$D9798,nESPEC,DATOS!$E9798,nASIG,DATOS!$I9798,nEVAL,"OR")=0))</f>
      </c>
      <c r="I9798">
        <f>IF(DATOS!$I9798="","",IFERROR(VLOOKUP(DATOS!$I9798,CONFIG_ASIGNATURAS!$B$2:$J$91,9,FALSE()),""))</f>
      </c>
    </row>
    <row r="9799">
      <c r="F9799">
        <f>IF(DATOS!$A9799="","",DATOS!$A9799&amp;"|"&amp;DATOS!$D9799&amp;"|"&amp;DATOS!$E9799&amp;"|"&amp;DATOS!$I9799)</f>
      </c>
      <c r="G9799">
        <f>IF(DATOS!$A9799="",0,IF(CONFIG_METADATA!$B$4&lt;&gt;"OR+EX",--(DATOS!$G9799=CONFIG_METADATA!$B$4),IF(DATOS!$G9799="EX",1,IF(DATOS!$G9799="OR",--(COUNTIFS(nNIA,DATOS!$A9799,nCURSO,DATOS!$D9799,nESPEC,DATOS!$E9799,nASIG,DATOS!$I9799,nEVAL,"EX")=0),0))))</f>
      </c>
      <c r="H9799">
        <f>IF(DATOS!$G9799&lt;&gt;"EX",0,--(COUNTIFS(nNIA,DATOS!$A9799,nCURSO,DATOS!$D9799,nESPEC,DATOS!$E9799,nASIG,DATOS!$I9799,nEVAL,"OR")=0))</f>
      </c>
      <c r="I9799">
        <f>IF(DATOS!$I9799="","",IFERROR(VLOOKUP(DATOS!$I9799,CONFIG_ASIGNATURAS!$B$2:$J$91,9,FALSE()),""))</f>
      </c>
    </row>
    <row r="9800">
      <c r="F9800">
        <f>IF(DATOS!$A9800="","",DATOS!$A9800&amp;"|"&amp;DATOS!$D9800&amp;"|"&amp;DATOS!$E9800&amp;"|"&amp;DATOS!$I9800)</f>
      </c>
      <c r="G9800">
        <f>IF(DATOS!$A9800="",0,IF(CONFIG_METADATA!$B$4&lt;&gt;"OR+EX",--(DATOS!$G9800=CONFIG_METADATA!$B$4),IF(DATOS!$G9800="EX",1,IF(DATOS!$G9800="OR",--(COUNTIFS(nNIA,DATOS!$A9800,nCURSO,DATOS!$D9800,nESPEC,DATOS!$E9800,nASIG,DATOS!$I9800,nEVAL,"EX")=0),0))))</f>
      </c>
      <c r="H9800">
        <f>IF(DATOS!$G9800&lt;&gt;"EX",0,--(COUNTIFS(nNIA,DATOS!$A9800,nCURSO,DATOS!$D9800,nESPEC,DATOS!$E9800,nASIG,DATOS!$I9800,nEVAL,"OR")=0))</f>
      </c>
      <c r="I9800">
        <f>IF(DATOS!$I9800="","",IFERROR(VLOOKUP(DATOS!$I9800,CONFIG_ASIGNATURAS!$B$2:$J$91,9,FALSE()),""))</f>
      </c>
    </row>
    <row r="9801">
      <c r="F9801">
        <f>IF(DATOS!$A9801="","",DATOS!$A9801&amp;"|"&amp;DATOS!$D9801&amp;"|"&amp;DATOS!$E9801&amp;"|"&amp;DATOS!$I9801)</f>
      </c>
      <c r="G9801">
        <f>IF(DATOS!$A9801="",0,IF(CONFIG_METADATA!$B$4&lt;&gt;"OR+EX",--(DATOS!$G9801=CONFIG_METADATA!$B$4),IF(DATOS!$G9801="EX",1,IF(DATOS!$G9801="OR",--(COUNTIFS(nNIA,DATOS!$A9801,nCURSO,DATOS!$D9801,nESPEC,DATOS!$E9801,nASIG,DATOS!$I9801,nEVAL,"EX")=0),0))))</f>
      </c>
      <c r="H9801">
        <f>IF(DATOS!$G9801&lt;&gt;"EX",0,--(COUNTIFS(nNIA,DATOS!$A9801,nCURSO,DATOS!$D9801,nESPEC,DATOS!$E9801,nASIG,DATOS!$I9801,nEVAL,"OR")=0))</f>
      </c>
      <c r="I9801">
        <f>IF(DATOS!$I9801="","",IFERROR(VLOOKUP(DATOS!$I9801,CONFIG_ASIGNATURAS!$B$2:$J$91,9,FALSE()),""))</f>
      </c>
    </row>
    <row r="9802">
      <c r="F9802">
        <f>IF(DATOS!$A9802="","",DATOS!$A9802&amp;"|"&amp;DATOS!$D9802&amp;"|"&amp;DATOS!$E9802&amp;"|"&amp;DATOS!$I9802)</f>
      </c>
      <c r="G9802">
        <f>IF(DATOS!$A9802="",0,IF(CONFIG_METADATA!$B$4&lt;&gt;"OR+EX",--(DATOS!$G9802=CONFIG_METADATA!$B$4),IF(DATOS!$G9802="EX",1,IF(DATOS!$G9802="OR",--(COUNTIFS(nNIA,DATOS!$A9802,nCURSO,DATOS!$D9802,nESPEC,DATOS!$E9802,nASIG,DATOS!$I9802,nEVAL,"EX")=0),0))))</f>
      </c>
      <c r="H9802">
        <f>IF(DATOS!$G9802&lt;&gt;"EX",0,--(COUNTIFS(nNIA,DATOS!$A9802,nCURSO,DATOS!$D9802,nESPEC,DATOS!$E9802,nASIG,DATOS!$I9802,nEVAL,"OR")=0))</f>
      </c>
      <c r="I9802">
        <f>IF(DATOS!$I9802="","",IFERROR(VLOOKUP(DATOS!$I9802,CONFIG_ASIGNATURAS!$B$2:$J$91,9,FALSE()),""))</f>
      </c>
    </row>
    <row r="9803">
      <c r="F9803">
        <f>IF(DATOS!$A9803="","",DATOS!$A9803&amp;"|"&amp;DATOS!$D9803&amp;"|"&amp;DATOS!$E9803&amp;"|"&amp;DATOS!$I9803)</f>
      </c>
      <c r="G9803">
        <f>IF(DATOS!$A9803="",0,IF(CONFIG_METADATA!$B$4&lt;&gt;"OR+EX",--(DATOS!$G9803=CONFIG_METADATA!$B$4),IF(DATOS!$G9803="EX",1,IF(DATOS!$G9803="OR",--(COUNTIFS(nNIA,DATOS!$A9803,nCURSO,DATOS!$D9803,nESPEC,DATOS!$E9803,nASIG,DATOS!$I9803,nEVAL,"EX")=0),0))))</f>
      </c>
      <c r="H9803">
        <f>IF(DATOS!$G9803&lt;&gt;"EX",0,--(COUNTIFS(nNIA,DATOS!$A9803,nCURSO,DATOS!$D9803,nESPEC,DATOS!$E9803,nASIG,DATOS!$I9803,nEVAL,"OR")=0))</f>
      </c>
      <c r="I9803">
        <f>IF(DATOS!$I9803="","",IFERROR(VLOOKUP(DATOS!$I9803,CONFIG_ASIGNATURAS!$B$2:$J$91,9,FALSE()),""))</f>
      </c>
    </row>
    <row r="9804">
      <c r="F9804">
        <f>IF(DATOS!$A9804="","",DATOS!$A9804&amp;"|"&amp;DATOS!$D9804&amp;"|"&amp;DATOS!$E9804&amp;"|"&amp;DATOS!$I9804)</f>
      </c>
      <c r="G9804">
        <f>IF(DATOS!$A9804="",0,IF(CONFIG_METADATA!$B$4&lt;&gt;"OR+EX",--(DATOS!$G9804=CONFIG_METADATA!$B$4),IF(DATOS!$G9804="EX",1,IF(DATOS!$G9804="OR",--(COUNTIFS(nNIA,DATOS!$A9804,nCURSO,DATOS!$D9804,nESPEC,DATOS!$E9804,nASIG,DATOS!$I9804,nEVAL,"EX")=0),0))))</f>
      </c>
      <c r="H9804">
        <f>IF(DATOS!$G9804&lt;&gt;"EX",0,--(COUNTIFS(nNIA,DATOS!$A9804,nCURSO,DATOS!$D9804,nESPEC,DATOS!$E9804,nASIG,DATOS!$I9804,nEVAL,"OR")=0))</f>
      </c>
      <c r="I9804">
        <f>IF(DATOS!$I9804="","",IFERROR(VLOOKUP(DATOS!$I9804,CONFIG_ASIGNATURAS!$B$2:$J$91,9,FALSE()),""))</f>
      </c>
    </row>
    <row r="9805">
      <c r="F9805">
        <f>IF(DATOS!$A9805="","",DATOS!$A9805&amp;"|"&amp;DATOS!$D9805&amp;"|"&amp;DATOS!$E9805&amp;"|"&amp;DATOS!$I9805)</f>
      </c>
      <c r="G9805">
        <f>IF(DATOS!$A9805="",0,IF(CONFIG_METADATA!$B$4&lt;&gt;"OR+EX",--(DATOS!$G9805=CONFIG_METADATA!$B$4),IF(DATOS!$G9805="EX",1,IF(DATOS!$G9805="OR",--(COUNTIFS(nNIA,DATOS!$A9805,nCURSO,DATOS!$D9805,nESPEC,DATOS!$E9805,nASIG,DATOS!$I9805,nEVAL,"EX")=0),0))))</f>
      </c>
      <c r="H9805">
        <f>IF(DATOS!$G9805&lt;&gt;"EX",0,--(COUNTIFS(nNIA,DATOS!$A9805,nCURSO,DATOS!$D9805,nESPEC,DATOS!$E9805,nASIG,DATOS!$I9805,nEVAL,"OR")=0))</f>
      </c>
      <c r="I9805">
        <f>IF(DATOS!$I9805="","",IFERROR(VLOOKUP(DATOS!$I9805,CONFIG_ASIGNATURAS!$B$2:$J$91,9,FALSE()),""))</f>
      </c>
    </row>
    <row r="9806">
      <c r="F9806">
        <f>IF(DATOS!$A9806="","",DATOS!$A9806&amp;"|"&amp;DATOS!$D9806&amp;"|"&amp;DATOS!$E9806&amp;"|"&amp;DATOS!$I9806)</f>
      </c>
      <c r="G9806">
        <f>IF(DATOS!$A9806="",0,IF(CONFIG_METADATA!$B$4&lt;&gt;"OR+EX",--(DATOS!$G9806=CONFIG_METADATA!$B$4),IF(DATOS!$G9806="EX",1,IF(DATOS!$G9806="OR",--(COUNTIFS(nNIA,DATOS!$A9806,nCURSO,DATOS!$D9806,nESPEC,DATOS!$E9806,nASIG,DATOS!$I9806,nEVAL,"EX")=0),0))))</f>
      </c>
      <c r="H9806">
        <f>IF(DATOS!$G9806&lt;&gt;"EX",0,--(COUNTIFS(nNIA,DATOS!$A9806,nCURSO,DATOS!$D9806,nESPEC,DATOS!$E9806,nASIG,DATOS!$I9806,nEVAL,"OR")=0))</f>
      </c>
      <c r="I9806">
        <f>IF(DATOS!$I9806="","",IFERROR(VLOOKUP(DATOS!$I9806,CONFIG_ASIGNATURAS!$B$2:$J$91,9,FALSE()),""))</f>
      </c>
    </row>
    <row r="9807">
      <c r="F9807">
        <f>IF(DATOS!$A9807="","",DATOS!$A9807&amp;"|"&amp;DATOS!$D9807&amp;"|"&amp;DATOS!$E9807&amp;"|"&amp;DATOS!$I9807)</f>
      </c>
      <c r="G9807">
        <f>IF(DATOS!$A9807="",0,IF(CONFIG_METADATA!$B$4&lt;&gt;"OR+EX",--(DATOS!$G9807=CONFIG_METADATA!$B$4),IF(DATOS!$G9807="EX",1,IF(DATOS!$G9807="OR",--(COUNTIFS(nNIA,DATOS!$A9807,nCURSO,DATOS!$D9807,nESPEC,DATOS!$E9807,nASIG,DATOS!$I9807,nEVAL,"EX")=0),0))))</f>
      </c>
      <c r="H9807">
        <f>IF(DATOS!$G9807&lt;&gt;"EX",0,--(COUNTIFS(nNIA,DATOS!$A9807,nCURSO,DATOS!$D9807,nESPEC,DATOS!$E9807,nASIG,DATOS!$I9807,nEVAL,"OR")=0))</f>
      </c>
      <c r="I9807">
        <f>IF(DATOS!$I9807="","",IFERROR(VLOOKUP(DATOS!$I9807,CONFIG_ASIGNATURAS!$B$2:$J$91,9,FALSE()),""))</f>
      </c>
    </row>
    <row r="9808">
      <c r="F9808">
        <f>IF(DATOS!$A9808="","",DATOS!$A9808&amp;"|"&amp;DATOS!$D9808&amp;"|"&amp;DATOS!$E9808&amp;"|"&amp;DATOS!$I9808)</f>
      </c>
      <c r="G9808">
        <f>IF(DATOS!$A9808="",0,IF(CONFIG_METADATA!$B$4&lt;&gt;"OR+EX",--(DATOS!$G9808=CONFIG_METADATA!$B$4),IF(DATOS!$G9808="EX",1,IF(DATOS!$G9808="OR",--(COUNTIFS(nNIA,DATOS!$A9808,nCURSO,DATOS!$D9808,nESPEC,DATOS!$E9808,nASIG,DATOS!$I9808,nEVAL,"EX")=0),0))))</f>
      </c>
      <c r="H9808">
        <f>IF(DATOS!$G9808&lt;&gt;"EX",0,--(COUNTIFS(nNIA,DATOS!$A9808,nCURSO,DATOS!$D9808,nESPEC,DATOS!$E9808,nASIG,DATOS!$I9808,nEVAL,"OR")=0))</f>
      </c>
      <c r="I9808">
        <f>IF(DATOS!$I9808="","",IFERROR(VLOOKUP(DATOS!$I9808,CONFIG_ASIGNATURAS!$B$2:$J$91,9,FALSE()),""))</f>
      </c>
    </row>
    <row r="9809">
      <c r="F9809">
        <f>IF(DATOS!$A9809="","",DATOS!$A9809&amp;"|"&amp;DATOS!$D9809&amp;"|"&amp;DATOS!$E9809&amp;"|"&amp;DATOS!$I9809)</f>
      </c>
      <c r="G9809">
        <f>IF(DATOS!$A9809="",0,IF(CONFIG_METADATA!$B$4&lt;&gt;"OR+EX",--(DATOS!$G9809=CONFIG_METADATA!$B$4),IF(DATOS!$G9809="EX",1,IF(DATOS!$G9809="OR",--(COUNTIFS(nNIA,DATOS!$A9809,nCURSO,DATOS!$D9809,nESPEC,DATOS!$E9809,nASIG,DATOS!$I9809,nEVAL,"EX")=0),0))))</f>
      </c>
      <c r="H9809">
        <f>IF(DATOS!$G9809&lt;&gt;"EX",0,--(COUNTIFS(nNIA,DATOS!$A9809,nCURSO,DATOS!$D9809,nESPEC,DATOS!$E9809,nASIG,DATOS!$I9809,nEVAL,"OR")=0))</f>
      </c>
      <c r="I9809">
        <f>IF(DATOS!$I9809="","",IFERROR(VLOOKUP(DATOS!$I9809,CONFIG_ASIGNATURAS!$B$2:$J$91,9,FALSE()),""))</f>
      </c>
    </row>
    <row r="9810">
      <c r="F9810">
        <f>IF(DATOS!$A9810="","",DATOS!$A9810&amp;"|"&amp;DATOS!$D9810&amp;"|"&amp;DATOS!$E9810&amp;"|"&amp;DATOS!$I9810)</f>
      </c>
      <c r="G9810">
        <f>IF(DATOS!$A9810="",0,IF(CONFIG_METADATA!$B$4&lt;&gt;"OR+EX",--(DATOS!$G9810=CONFIG_METADATA!$B$4),IF(DATOS!$G9810="EX",1,IF(DATOS!$G9810="OR",--(COUNTIFS(nNIA,DATOS!$A9810,nCURSO,DATOS!$D9810,nESPEC,DATOS!$E9810,nASIG,DATOS!$I9810,nEVAL,"EX")=0),0))))</f>
      </c>
      <c r="H9810">
        <f>IF(DATOS!$G9810&lt;&gt;"EX",0,--(COUNTIFS(nNIA,DATOS!$A9810,nCURSO,DATOS!$D9810,nESPEC,DATOS!$E9810,nASIG,DATOS!$I9810,nEVAL,"OR")=0))</f>
      </c>
      <c r="I9810">
        <f>IF(DATOS!$I9810="","",IFERROR(VLOOKUP(DATOS!$I9810,CONFIG_ASIGNATURAS!$B$2:$J$91,9,FALSE()),""))</f>
      </c>
    </row>
    <row r="9811">
      <c r="F9811">
        <f>IF(DATOS!$A9811="","",DATOS!$A9811&amp;"|"&amp;DATOS!$D9811&amp;"|"&amp;DATOS!$E9811&amp;"|"&amp;DATOS!$I9811)</f>
      </c>
      <c r="G9811">
        <f>IF(DATOS!$A9811="",0,IF(CONFIG_METADATA!$B$4&lt;&gt;"OR+EX",--(DATOS!$G9811=CONFIG_METADATA!$B$4),IF(DATOS!$G9811="EX",1,IF(DATOS!$G9811="OR",--(COUNTIFS(nNIA,DATOS!$A9811,nCURSO,DATOS!$D9811,nESPEC,DATOS!$E9811,nASIG,DATOS!$I9811,nEVAL,"EX")=0),0))))</f>
      </c>
      <c r="H9811">
        <f>IF(DATOS!$G9811&lt;&gt;"EX",0,--(COUNTIFS(nNIA,DATOS!$A9811,nCURSO,DATOS!$D9811,nESPEC,DATOS!$E9811,nASIG,DATOS!$I9811,nEVAL,"OR")=0))</f>
      </c>
      <c r="I9811">
        <f>IF(DATOS!$I9811="","",IFERROR(VLOOKUP(DATOS!$I9811,CONFIG_ASIGNATURAS!$B$2:$J$91,9,FALSE()),""))</f>
      </c>
    </row>
    <row r="9812">
      <c r="F9812">
        <f>IF(DATOS!$A9812="","",DATOS!$A9812&amp;"|"&amp;DATOS!$D9812&amp;"|"&amp;DATOS!$E9812&amp;"|"&amp;DATOS!$I9812)</f>
      </c>
      <c r="G9812">
        <f>IF(DATOS!$A9812="",0,IF(CONFIG_METADATA!$B$4&lt;&gt;"OR+EX",--(DATOS!$G9812=CONFIG_METADATA!$B$4),IF(DATOS!$G9812="EX",1,IF(DATOS!$G9812="OR",--(COUNTIFS(nNIA,DATOS!$A9812,nCURSO,DATOS!$D9812,nESPEC,DATOS!$E9812,nASIG,DATOS!$I9812,nEVAL,"EX")=0),0))))</f>
      </c>
      <c r="H9812">
        <f>IF(DATOS!$G9812&lt;&gt;"EX",0,--(COUNTIFS(nNIA,DATOS!$A9812,nCURSO,DATOS!$D9812,nESPEC,DATOS!$E9812,nASIG,DATOS!$I9812,nEVAL,"OR")=0))</f>
      </c>
      <c r="I9812">
        <f>IF(DATOS!$I9812="","",IFERROR(VLOOKUP(DATOS!$I9812,CONFIG_ASIGNATURAS!$B$2:$J$91,9,FALSE()),""))</f>
      </c>
    </row>
    <row r="9813">
      <c r="F9813">
        <f>IF(DATOS!$A9813="","",DATOS!$A9813&amp;"|"&amp;DATOS!$D9813&amp;"|"&amp;DATOS!$E9813&amp;"|"&amp;DATOS!$I9813)</f>
      </c>
      <c r="G9813">
        <f>IF(DATOS!$A9813="",0,IF(CONFIG_METADATA!$B$4&lt;&gt;"OR+EX",--(DATOS!$G9813=CONFIG_METADATA!$B$4),IF(DATOS!$G9813="EX",1,IF(DATOS!$G9813="OR",--(COUNTIFS(nNIA,DATOS!$A9813,nCURSO,DATOS!$D9813,nESPEC,DATOS!$E9813,nASIG,DATOS!$I9813,nEVAL,"EX")=0),0))))</f>
      </c>
      <c r="H9813">
        <f>IF(DATOS!$G9813&lt;&gt;"EX",0,--(COUNTIFS(nNIA,DATOS!$A9813,nCURSO,DATOS!$D9813,nESPEC,DATOS!$E9813,nASIG,DATOS!$I9813,nEVAL,"OR")=0))</f>
      </c>
      <c r="I9813">
        <f>IF(DATOS!$I9813="","",IFERROR(VLOOKUP(DATOS!$I9813,CONFIG_ASIGNATURAS!$B$2:$J$91,9,FALSE()),""))</f>
      </c>
    </row>
    <row r="9814">
      <c r="F9814">
        <f>IF(DATOS!$A9814="","",DATOS!$A9814&amp;"|"&amp;DATOS!$D9814&amp;"|"&amp;DATOS!$E9814&amp;"|"&amp;DATOS!$I9814)</f>
      </c>
      <c r="G9814">
        <f>IF(DATOS!$A9814="",0,IF(CONFIG_METADATA!$B$4&lt;&gt;"OR+EX",--(DATOS!$G9814=CONFIG_METADATA!$B$4),IF(DATOS!$G9814="EX",1,IF(DATOS!$G9814="OR",--(COUNTIFS(nNIA,DATOS!$A9814,nCURSO,DATOS!$D9814,nESPEC,DATOS!$E9814,nASIG,DATOS!$I9814,nEVAL,"EX")=0),0))))</f>
      </c>
      <c r="H9814">
        <f>IF(DATOS!$G9814&lt;&gt;"EX",0,--(COUNTIFS(nNIA,DATOS!$A9814,nCURSO,DATOS!$D9814,nESPEC,DATOS!$E9814,nASIG,DATOS!$I9814,nEVAL,"OR")=0))</f>
      </c>
      <c r="I9814">
        <f>IF(DATOS!$I9814="","",IFERROR(VLOOKUP(DATOS!$I9814,CONFIG_ASIGNATURAS!$B$2:$J$91,9,FALSE()),""))</f>
      </c>
    </row>
    <row r="9815">
      <c r="F9815">
        <f>IF(DATOS!$A9815="","",DATOS!$A9815&amp;"|"&amp;DATOS!$D9815&amp;"|"&amp;DATOS!$E9815&amp;"|"&amp;DATOS!$I9815)</f>
      </c>
      <c r="G9815">
        <f>IF(DATOS!$A9815="",0,IF(CONFIG_METADATA!$B$4&lt;&gt;"OR+EX",--(DATOS!$G9815=CONFIG_METADATA!$B$4),IF(DATOS!$G9815="EX",1,IF(DATOS!$G9815="OR",--(COUNTIFS(nNIA,DATOS!$A9815,nCURSO,DATOS!$D9815,nESPEC,DATOS!$E9815,nASIG,DATOS!$I9815,nEVAL,"EX")=0),0))))</f>
      </c>
      <c r="H9815">
        <f>IF(DATOS!$G9815&lt;&gt;"EX",0,--(COUNTIFS(nNIA,DATOS!$A9815,nCURSO,DATOS!$D9815,nESPEC,DATOS!$E9815,nASIG,DATOS!$I9815,nEVAL,"OR")=0))</f>
      </c>
      <c r="I9815">
        <f>IF(DATOS!$I9815="","",IFERROR(VLOOKUP(DATOS!$I9815,CONFIG_ASIGNATURAS!$B$2:$J$91,9,FALSE()),""))</f>
      </c>
    </row>
    <row r="9816">
      <c r="F9816">
        <f>IF(DATOS!$A9816="","",DATOS!$A9816&amp;"|"&amp;DATOS!$D9816&amp;"|"&amp;DATOS!$E9816&amp;"|"&amp;DATOS!$I9816)</f>
      </c>
      <c r="G9816">
        <f>IF(DATOS!$A9816="",0,IF(CONFIG_METADATA!$B$4&lt;&gt;"OR+EX",--(DATOS!$G9816=CONFIG_METADATA!$B$4),IF(DATOS!$G9816="EX",1,IF(DATOS!$G9816="OR",--(COUNTIFS(nNIA,DATOS!$A9816,nCURSO,DATOS!$D9816,nESPEC,DATOS!$E9816,nASIG,DATOS!$I9816,nEVAL,"EX")=0),0))))</f>
      </c>
      <c r="H9816">
        <f>IF(DATOS!$G9816&lt;&gt;"EX",0,--(COUNTIFS(nNIA,DATOS!$A9816,nCURSO,DATOS!$D9816,nESPEC,DATOS!$E9816,nASIG,DATOS!$I9816,nEVAL,"OR")=0))</f>
      </c>
      <c r="I9816">
        <f>IF(DATOS!$I9816="","",IFERROR(VLOOKUP(DATOS!$I9816,CONFIG_ASIGNATURAS!$B$2:$J$91,9,FALSE()),""))</f>
      </c>
    </row>
    <row r="9817">
      <c r="F9817">
        <f>IF(DATOS!$A9817="","",DATOS!$A9817&amp;"|"&amp;DATOS!$D9817&amp;"|"&amp;DATOS!$E9817&amp;"|"&amp;DATOS!$I9817)</f>
      </c>
      <c r="G9817">
        <f>IF(DATOS!$A9817="",0,IF(CONFIG_METADATA!$B$4&lt;&gt;"OR+EX",--(DATOS!$G9817=CONFIG_METADATA!$B$4),IF(DATOS!$G9817="EX",1,IF(DATOS!$G9817="OR",--(COUNTIFS(nNIA,DATOS!$A9817,nCURSO,DATOS!$D9817,nESPEC,DATOS!$E9817,nASIG,DATOS!$I9817,nEVAL,"EX")=0),0))))</f>
      </c>
      <c r="H9817">
        <f>IF(DATOS!$G9817&lt;&gt;"EX",0,--(COUNTIFS(nNIA,DATOS!$A9817,nCURSO,DATOS!$D9817,nESPEC,DATOS!$E9817,nASIG,DATOS!$I9817,nEVAL,"OR")=0))</f>
      </c>
      <c r="I9817">
        <f>IF(DATOS!$I9817="","",IFERROR(VLOOKUP(DATOS!$I9817,CONFIG_ASIGNATURAS!$B$2:$J$91,9,FALSE()),""))</f>
      </c>
    </row>
    <row r="9818">
      <c r="F9818">
        <f>IF(DATOS!$A9818="","",DATOS!$A9818&amp;"|"&amp;DATOS!$D9818&amp;"|"&amp;DATOS!$E9818&amp;"|"&amp;DATOS!$I9818)</f>
      </c>
      <c r="G9818">
        <f>IF(DATOS!$A9818="",0,IF(CONFIG_METADATA!$B$4&lt;&gt;"OR+EX",--(DATOS!$G9818=CONFIG_METADATA!$B$4),IF(DATOS!$G9818="EX",1,IF(DATOS!$G9818="OR",--(COUNTIFS(nNIA,DATOS!$A9818,nCURSO,DATOS!$D9818,nESPEC,DATOS!$E9818,nASIG,DATOS!$I9818,nEVAL,"EX")=0),0))))</f>
      </c>
      <c r="H9818">
        <f>IF(DATOS!$G9818&lt;&gt;"EX",0,--(COUNTIFS(nNIA,DATOS!$A9818,nCURSO,DATOS!$D9818,nESPEC,DATOS!$E9818,nASIG,DATOS!$I9818,nEVAL,"OR")=0))</f>
      </c>
      <c r="I9818">
        <f>IF(DATOS!$I9818="","",IFERROR(VLOOKUP(DATOS!$I9818,CONFIG_ASIGNATURAS!$B$2:$J$91,9,FALSE()),""))</f>
      </c>
    </row>
    <row r="9819">
      <c r="F9819">
        <f>IF(DATOS!$A9819="","",DATOS!$A9819&amp;"|"&amp;DATOS!$D9819&amp;"|"&amp;DATOS!$E9819&amp;"|"&amp;DATOS!$I9819)</f>
      </c>
      <c r="G9819">
        <f>IF(DATOS!$A9819="",0,IF(CONFIG_METADATA!$B$4&lt;&gt;"OR+EX",--(DATOS!$G9819=CONFIG_METADATA!$B$4),IF(DATOS!$G9819="EX",1,IF(DATOS!$G9819="OR",--(COUNTIFS(nNIA,DATOS!$A9819,nCURSO,DATOS!$D9819,nESPEC,DATOS!$E9819,nASIG,DATOS!$I9819,nEVAL,"EX")=0),0))))</f>
      </c>
      <c r="H9819">
        <f>IF(DATOS!$G9819&lt;&gt;"EX",0,--(COUNTIFS(nNIA,DATOS!$A9819,nCURSO,DATOS!$D9819,nESPEC,DATOS!$E9819,nASIG,DATOS!$I9819,nEVAL,"OR")=0))</f>
      </c>
      <c r="I9819">
        <f>IF(DATOS!$I9819="","",IFERROR(VLOOKUP(DATOS!$I9819,CONFIG_ASIGNATURAS!$B$2:$J$91,9,FALSE()),""))</f>
      </c>
    </row>
    <row r="9820">
      <c r="F9820">
        <f>IF(DATOS!$A9820="","",DATOS!$A9820&amp;"|"&amp;DATOS!$D9820&amp;"|"&amp;DATOS!$E9820&amp;"|"&amp;DATOS!$I9820)</f>
      </c>
      <c r="G9820">
        <f>IF(DATOS!$A9820="",0,IF(CONFIG_METADATA!$B$4&lt;&gt;"OR+EX",--(DATOS!$G9820=CONFIG_METADATA!$B$4),IF(DATOS!$G9820="EX",1,IF(DATOS!$G9820="OR",--(COUNTIFS(nNIA,DATOS!$A9820,nCURSO,DATOS!$D9820,nESPEC,DATOS!$E9820,nASIG,DATOS!$I9820,nEVAL,"EX")=0),0))))</f>
      </c>
      <c r="H9820">
        <f>IF(DATOS!$G9820&lt;&gt;"EX",0,--(COUNTIFS(nNIA,DATOS!$A9820,nCURSO,DATOS!$D9820,nESPEC,DATOS!$E9820,nASIG,DATOS!$I9820,nEVAL,"OR")=0))</f>
      </c>
      <c r="I9820">
        <f>IF(DATOS!$I9820="","",IFERROR(VLOOKUP(DATOS!$I9820,CONFIG_ASIGNATURAS!$B$2:$J$91,9,FALSE()),""))</f>
      </c>
    </row>
    <row r="9821">
      <c r="F9821">
        <f>IF(DATOS!$A9821="","",DATOS!$A9821&amp;"|"&amp;DATOS!$D9821&amp;"|"&amp;DATOS!$E9821&amp;"|"&amp;DATOS!$I9821)</f>
      </c>
      <c r="G9821">
        <f>IF(DATOS!$A9821="",0,IF(CONFIG_METADATA!$B$4&lt;&gt;"OR+EX",--(DATOS!$G9821=CONFIG_METADATA!$B$4),IF(DATOS!$G9821="EX",1,IF(DATOS!$G9821="OR",--(COUNTIFS(nNIA,DATOS!$A9821,nCURSO,DATOS!$D9821,nESPEC,DATOS!$E9821,nASIG,DATOS!$I9821,nEVAL,"EX")=0),0))))</f>
      </c>
      <c r="H9821">
        <f>IF(DATOS!$G9821&lt;&gt;"EX",0,--(COUNTIFS(nNIA,DATOS!$A9821,nCURSO,DATOS!$D9821,nESPEC,DATOS!$E9821,nASIG,DATOS!$I9821,nEVAL,"OR")=0))</f>
      </c>
      <c r="I9821">
        <f>IF(DATOS!$I9821="","",IFERROR(VLOOKUP(DATOS!$I9821,CONFIG_ASIGNATURAS!$B$2:$J$91,9,FALSE()),""))</f>
      </c>
    </row>
    <row r="9822">
      <c r="F9822">
        <f>IF(DATOS!$A9822="","",DATOS!$A9822&amp;"|"&amp;DATOS!$D9822&amp;"|"&amp;DATOS!$E9822&amp;"|"&amp;DATOS!$I9822)</f>
      </c>
      <c r="G9822">
        <f>IF(DATOS!$A9822="",0,IF(CONFIG_METADATA!$B$4&lt;&gt;"OR+EX",--(DATOS!$G9822=CONFIG_METADATA!$B$4),IF(DATOS!$G9822="EX",1,IF(DATOS!$G9822="OR",--(COUNTIFS(nNIA,DATOS!$A9822,nCURSO,DATOS!$D9822,nESPEC,DATOS!$E9822,nASIG,DATOS!$I9822,nEVAL,"EX")=0),0))))</f>
      </c>
      <c r="H9822">
        <f>IF(DATOS!$G9822&lt;&gt;"EX",0,--(COUNTIFS(nNIA,DATOS!$A9822,nCURSO,DATOS!$D9822,nESPEC,DATOS!$E9822,nASIG,DATOS!$I9822,nEVAL,"OR")=0))</f>
      </c>
      <c r="I9822">
        <f>IF(DATOS!$I9822="","",IFERROR(VLOOKUP(DATOS!$I9822,CONFIG_ASIGNATURAS!$B$2:$J$91,9,FALSE()),""))</f>
      </c>
    </row>
    <row r="9823">
      <c r="F9823">
        <f>IF(DATOS!$A9823="","",DATOS!$A9823&amp;"|"&amp;DATOS!$D9823&amp;"|"&amp;DATOS!$E9823&amp;"|"&amp;DATOS!$I9823)</f>
      </c>
      <c r="G9823">
        <f>IF(DATOS!$A9823="",0,IF(CONFIG_METADATA!$B$4&lt;&gt;"OR+EX",--(DATOS!$G9823=CONFIG_METADATA!$B$4),IF(DATOS!$G9823="EX",1,IF(DATOS!$G9823="OR",--(COUNTIFS(nNIA,DATOS!$A9823,nCURSO,DATOS!$D9823,nESPEC,DATOS!$E9823,nASIG,DATOS!$I9823,nEVAL,"EX")=0),0))))</f>
      </c>
      <c r="H9823">
        <f>IF(DATOS!$G9823&lt;&gt;"EX",0,--(COUNTIFS(nNIA,DATOS!$A9823,nCURSO,DATOS!$D9823,nESPEC,DATOS!$E9823,nASIG,DATOS!$I9823,nEVAL,"OR")=0))</f>
      </c>
      <c r="I9823">
        <f>IF(DATOS!$I9823="","",IFERROR(VLOOKUP(DATOS!$I9823,CONFIG_ASIGNATURAS!$B$2:$J$91,9,FALSE()),""))</f>
      </c>
    </row>
    <row r="9824">
      <c r="F9824">
        <f>IF(DATOS!$A9824="","",DATOS!$A9824&amp;"|"&amp;DATOS!$D9824&amp;"|"&amp;DATOS!$E9824&amp;"|"&amp;DATOS!$I9824)</f>
      </c>
      <c r="G9824">
        <f>IF(DATOS!$A9824="",0,IF(CONFIG_METADATA!$B$4&lt;&gt;"OR+EX",--(DATOS!$G9824=CONFIG_METADATA!$B$4),IF(DATOS!$G9824="EX",1,IF(DATOS!$G9824="OR",--(COUNTIFS(nNIA,DATOS!$A9824,nCURSO,DATOS!$D9824,nESPEC,DATOS!$E9824,nASIG,DATOS!$I9824,nEVAL,"EX")=0),0))))</f>
      </c>
      <c r="H9824">
        <f>IF(DATOS!$G9824&lt;&gt;"EX",0,--(COUNTIFS(nNIA,DATOS!$A9824,nCURSO,DATOS!$D9824,nESPEC,DATOS!$E9824,nASIG,DATOS!$I9824,nEVAL,"OR")=0))</f>
      </c>
      <c r="I9824">
        <f>IF(DATOS!$I9824="","",IFERROR(VLOOKUP(DATOS!$I9824,CONFIG_ASIGNATURAS!$B$2:$J$91,9,FALSE()),""))</f>
      </c>
    </row>
    <row r="9825">
      <c r="F9825">
        <f>IF(DATOS!$A9825="","",DATOS!$A9825&amp;"|"&amp;DATOS!$D9825&amp;"|"&amp;DATOS!$E9825&amp;"|"&amp;DATOS!$I9825)</f>
      </c>
      <c r="G9825">
        <f>IF(DATOS!$A9825="",0,IF(CONFIG_METADATA!$B$4&lt;&gt;"OR+EX",--(DATOS!$G9825=CONFIG_METADATA!$B$4),IF(DATOS!$G9825="EX",1,IF(DATOS!$G9825="OR",--(COUNTIFS(nNIA,DATOS!$A9825,nCURSO,DATOS!$D9825,nESPEC,DATOS!$E9825,nASIG,DATOS!$I9825,nEVAL,"EX")=0),0))))</f>
      </c>
      <c r="H9825">
        <f>IF(DATOS!$G9825&lt;&gt;"EX",0,--(COUNTIFS(nNIA,DATOS!$A9825,nCURSO,DATOS!$D9825,nESPEC,DATOS!$E9825,nASIG,DATOS!$I9825,nEVAL,"OR")=0))</f>
      </c>
      <c r="I9825">
        <f>IF(DATOS!$I9825="","",IFERROR(VLOOKUP(DATOS!$I9825,CONFIG_ASIGNATURAS!$B$2:$J$91,9,FALSE()),""))</f>
      </c>
    </row>
    <row r="9826">
      <c r="F9826">
        <f>IF(DATOS!$A9826="","",DATOS!$A9826&amp;"|"&amp;DATOS!$D9826&amp;"|"&amp;DATOS!$E9826&amp;"|"&amp;DATOS!$I9826)</f>
      </c>
      <c r="G9826">
        <f>IF(DATOS!$A9826="",0,IF(CONFIG_METADATA!$B$4&lt;&gt;"OR+EX",--(DATOS!$G9826=CONFIG_METADATA!$B$4),IF(DATOS!$G9826="EX",1,IF(DATOS!$G9826="OR",--(COUNTIFS(nNIA,DATOS!$A9826,nCURSO,DATOS!$D9826,nESPEC,DATOS!$E9826,nASIG,DATOS!$I9826,nEVAL,"EX")=0),0))))</f>
      </c>
      <c r="H9826">
        <f>IF(DATOS!$G9826&lt;&gt;"EX",0,--(COUNTIFS(nNIA,DATOS!$A9826,nCURSO,DATOS!$D9826,nESPEC,DATOS!$E9826,nASIG,DATOS!$I9826,nEVAL,"OR")=0))</f>
      </c>
      <c r="I9826">
        <f>IF(DATOS!$I9826="","",IFERROR(VLOOKUP(DATOS!$I9826,CONFIG_ASIGNATURAS!$B$2:$J$91,9,FALSE()),""))</f>
      </c>
    </row>
    <row r="9827">
      <c r="F9827">
        <f>IF(DATOS!$A9827="","",DATOS!$A9827&amp;"|"&amp;DATOS!$D9827&amp;"|"&amp;DATOS!$E9827&amp;"|"&amp;DATOS!$I9827)</f>
      </c>
      <c r="G9827">
        <f>IF(DATOS!$A9827="",0,IF(CONFIG_METADATA!$B$4&lt;&gt;"OR+EX",--(DATOS!$G9827=CONFIG_METADATA!$B$4),IF(DATOS!$G9827="EX",1,IF(DATOS!$G9827="OR",--(COUNTIFS(nNIA,DATOS!$A9827,nCURSO,DATOS!$D9827,nESPEC,DATOS!$E9827,nASIG,DATOS!$I9827,nEVAL,"EX")=0),0))))</f>
      </c>
      <c r="H9827">
        <f>IF(DATOS!$G9827&lt;&gt;"EX",0,--(COUNTIFS(nNIA,DATOS!$A9827,nCURSO,DATOS!$D9827,nESPEC,DATOS!$E9827,nASIG,DATOS!$I9827,nEVAL,"OR")=0))</f>
      </c>
      <c r="I9827">
        <f>IF(DATOS!$I9827="","",IFERROR(VLOOKUP(DATOS!$I9827,CONFIG_ASIGNATURAS!$B$2:$J$91,9,FALSE()),""))</f>
      </c>
    </row>
    <row r="9828">
      <c r="F9828">
        <f>IF(DATOS!$A9828="","",DATOS!$A9828&amp;"|"&amp;DATOS!$D9828&amp;"|"&amp;DATOS!$E9828&amp;"|"&amp;DATOS!$I9828)</f>
      </c>
      <c r="G9828">
        <f>IF(DATOS!$A9828="",0,IF(CONFIG_METADATA!$B$4&lt;&gt;"OR+EX",--(DATOS!$G9828=CONFIG_METADATA!$B$4),IF(DATOS!$G9828="EX",1,IF(DATOS!$G9828="OR",--(COUNTIFS(nNIA,DATOS!$A9828,nCURSO,DATOS!$D9828,nESPEC,DATOS!$E9828,nASIG,DATOS!$I9828,nEVAL,"EX")=0),0))))</f>
      </c>
      <c r="H9828">
        <f>IF(DATOS!$G9828&lt;&gt;"EX",0,--(COUNTIFS(nNIA,DATOS!$A9828,nCURSO,DATOS!$D9828,nESPEC,DATOS!$E9828,nASIG,DATOS!$I9828,nEVAL,"OR")=0))</f>
      </c>
      <c r="I9828">
        <f>IF(DATOS!$I9828="","",IFERROR(VLOOKUP(DATOS!$I9828,CONFIG_ASIGNATURAS!$B$2:$J$91,9,FALSE()),""))</f>
      </c>
    </row>
    <row r="9829">
      <c r="F9829">
        <f>IF(DATOS!$A9829="","",DATOS!$A9829&amp;"|"&amp;DATOS!$D9829&amp;"|"&amp;DATOS!$E9829&amp;"|"&amp;DATOS!$I9829)</f>
      </c>
      <c r="G9829">
        <f>IF(DATOS!$A9829="",0,IF(CONFIG_METADATA!$B$4&lt;&gt;"OR+EX",--(DATOS!$G9829=CONFIG_METADATA!$B$4),IF(DATOS!$G9829="EX",1,IF(DATOS!$G9829="OR",--(COUNTIFS(nNIA,DATOS!$A9829,nCURSO,DATOS!$D9829,nESPEC,DATOS!$E9829,nASIG,DATOS!$I9829,nEVAL,"EX")=0),0))))</f>
      </c>
      <c r="H9829">
        <f>IF(DATOS!$G9829&lt;&gt;"EX",0,--(COUNTIFS(nNIA,DATOS!$A9829,nCURSO,DATOS!$D9829,nESPEC,DATOS!$E9829,nASIG,DATOS!$I9829,nEVAL,"OR")=0))</f>
      </c>
      <c r="I9829">
        <f>IF(DATOS!$I9829="","",IFERROR(VLOOKUP(DATOS!$I9829,CONFIG_ASIGNATURAS!$B$2:$J$91,9,FALSE()),""))</f>
      </c>
    </row>
    <row r="9830">
      <c r="F9830">
        <f>IF(DATOS!$A9830="","",DATOS!$A9830&amp;"|"&amp;DATOS!$D9830&amp;"|"&amp;DATOS!$E9830&amp;"|"&amp;DATOS!$I9830)</f>
      </c>
      <c r="G9830">
        <f>IF(DATOS!$A9830="",0,IF(CONFIG_METADATA!$B$4&lt;&gt;"OR+EX",--(DATOS!$G9830=CONFIG_METADATA!$B$4),IF(DATOS!$G9830="EX",1,IF(DATOS!$G9830="OR",--(COUNTIFS(nNIA,DATOS!$A9830,nCURSO,DATOS!$D9830,nESPEC,DATOS!$E9830,nASIG,DATOS!$I9830,nEVAL,"EX")=0),0))))</f>
      </c>
      <c r="H9830">
        <f>IF(DATOS!$G9830&lt;&gt;"EX",0,--(COUNTIFS(nNIA,DATOS!$A9830,nCURSO,DATOS!$D9830,nESPEC,DATOS!$E9830,nASIG,DATOS!$I9830,nEVAL,"OR")=0))</f>
      </c>
      <c r="I9830">
        <f>IF(DATOS!$I9830="","",IFERROR(VLOOKUP(DATOS!$I9830,CONFIG_ASIGNATURAS!$B$2:$J$91,9,FALSE()),""))</f>
      </c>
    </row>
    <row r="9831">
      <c r="F9831">
        <f>IF(DATOS!$A9831="","",DATOS!$A9831&amp;"|"&amp;DATOS!$D9831&amp;"|"&amp;DATOS!$E9831&amp;"|"&amp;DATOS!$I9831)</f>
      </c>
      <c r="G9831">
        <f>IF(DATOS!$A9831="",0,IF(CONFIG_METADATA!$B$4&lt;&gt;"OR+EX",--(DATOS!$G9831=CONFIG_METADATA!$B$4),IF(DATOS!$G9831="EX",1,IF(DATOS!$G9831="OR",--(COUNTIFS(nNIA,DATOS!$A9831,nCURSO,DATOS!$D9831,nESPEC,DATOS!$E9831,nASIG,DATOS!$I9831,nEVAL,"EX")=0),0))))</f>
      </c>
      <c r="H9831">
        <f>IF(DATOS!$G9831&lt;&gt;"EX",0,--(COUNTIFS(nNIA,DATOS!$A9831,nCURSO,DATOS!$D9831,nESPEC,DATOS!$E9831,nASIG,DATOS!$I9831,nEVAL,"OR")=0))</f>
      </c>
      <c r="I9831">
        <f>IF(DATOS!$I9831="","",IFERROR(VLOOKUP(DATOS!$I9831,CONFIG_ASIGNATURAS!$B$2:$J$91,9,FALSE()),""))</f>
      </c>
    </row>
    <row r="9832">
      <c r="F9832">
        <f>IF(DATOS!$A9832="","",DATOS!$A9832&amp;"|"&amp;DATOS!$D9832&amp;"|"&amp;DATOS!$E9832&amp;"|"&amp;DATOS!$I9832)</f>
      </c>
      <c r="G9832">
        <f>IF(DATOS!$A9832="",0,IF(CONFIG_METADATA!$B$4&lt;&gt;"OR+EX",--(DATOS!$G9832=CONFIG_METADATA!$B$4),IF(DATOS!$G9832="EX",1,IF(DATOS!$G9832="OR",--(COUNTIFS(nNIA,DATOS!$A9832,nCURSO,DATOS!$D9832,nESPEC,DATOS!$E9832,nASIG,DATOS!$I9832,nEVAL,"EX")=0),0))))</f>
      </c>
      <c r="H9832">
        <f>IF(DATOS!$G9832&lt;&gt;"EX",0,--(COUNTIFS(nNIA,DATOS!$A9832,nCURSO,DATOS!$D9832,nESPEC,DATOS!$E9832,nASIG,DATOS!$I9832,nEVAL,"OR")=0))</f>
      </c>
      <c r="I9832">
        <f>IF(DATOS!$I9832="","",IFERROR(VLOOKUP(DATOS!$I9832,CONFIG_ASIGNATURAS!$B$2:$J$91,9,FALSE()),""))</f>
      </c>
    </row>
    <row r="9833">
      <c r="F9833">
        <f>IF(DATOS!$A9833="","",DATOS!$A9833&amp;"|"&amp;DATOS!$D9833&amp;"|"&amp;DATOS!$E9833&amp;"|"&amp;DATOS!$I9833)</f>
      </c>
      <c r="G9833">
        <f>IF(DATOS!$A9833="",0,IF(CONFIG_METADATA!$B$4&lt;&gt;"OR+EX",--(DATOS!$G9833=CONFIG_METADATA!$B$4),IF(DATOS!$G9833="EX",1,IF(DATOS!$G9833="OR",--(COUNTIFS(nNIA,DATOS!$A9833,nCURSO,DATOS!$D9833,nESPEC,DATOS!$E9833,nASIG,DATOS!$I9833,nEVAL,"EX")=0),0))))</f>
      </c>
      <c r="H9833">
        <f>IF(DATOS!$G9833&lt;&gt;"EX",0,--(COUNTIFS(nNIA,DATOS!$A9833,nCURSO,DATOS!$D9833,nESPEC,DATOS!$E9833,nASIG,DATOS!$I9833,nEVAL,"OR")=0))</f>
      </c>
      <c r="I9833">
        <f>IF(DATOS!$I9833="","",IFERROR(VLOOKUP(DATOS!$I9833,CONFIG_ASIGNATURAS!$B$2:$J$91,9,FALSE()),""))</f>
      </c>
    </row>
    <row r="9834">
      <c r="F9834">
        <f>IF(DATOS!$A9834="","",DATOS!$A9834&amp;"|"&amp;DATOS!$D9834&amp;"|"&amp;DATOS!$E9834&amp;"|"&amp;DATOS!$I9834)</f>
      </c>
      <c r="G9834">
        <f>IF(DATOS!$A9834="",0,IF(CONFIG_METADATA!$B$4&lt;&gt;"OR+EX",--(DATOS!$G9834=CONFIG_METADATA!$B$4),IF(DATOS!$G9834="EX",1,IF(DATOS!$G9834="OR",--(COUNTIFS(nNIA,DATOS!$A9834,nCURSO,DATOS!$D9834,nESPEC,DATOS!$E9834,nASIG,DATOS!$I9834,nEVAL,"EX")=0),0))))</f>
      </c>
      <c r="H9834">
        <f>IF(DATOS!$G9834&lt;&gt;"EX",0,--(COUNTIFS(nNIA,DATOS!$A9834,nCURSO,DATOS!$D9834,nESPEC,DATOS!$E9834,nASIG,DATOS!$I9834,nEVAL,"OR")=0))</f>
      </c>
      <c r="I9834">
        <f>IF(DATOS!$I9834="","",IFERROR(VLOOKUP(DATOS!$I9834,CONFIG_ASIGNATURAS!$B$2:$J$91,9,FALSE()),""))</f>
      </c>
    </row>
    <row r="9835">
      <c r="F9835">
        <f>IF(DATOS!$A9835="","",DATOS!$A9835&amp;"|"&amp;DATOS!$D9835&amp;"|"&amp;DATOS!$E9835&amp;"|"&amp;DATOS!$I9835)</f>
      </c>
      <c r="G9835">
        <f>IF(DATOS!$A9835="",0,IF(CONFIG_METADATA!$B$4&lt;&gt;"OR+EX",--(DATOS!$G9835=CONFIG_METADATA!$B$4),IF(DATOS!$G9835="EX",1,IF(DATOS!$G9835="OR",--(COUNTIFS(nNIA,DATOS!$A9835,nCURSO,DATOS!$D9835,nESPEC,DATOS!$E9835,nASIG,DATOS!$I9835,nEVAL,"EX")=0),0))))</f>
      </c>
      <c r="H9835">
        <f>IF(DATOS!$G9835&lt;&gt;"EX",0,--(COUNTIFS(nNIA,DATOS!$A9835,nCURSO,DATOS!$D9835,nESPEC,DATOS!$E9835,nASIG,DATOS!$I9835,nEVAL,"OR")=0))</f>
      </c>
      <c r="I9835">
        <f>IF(DATOS!$I9835="","",IFERROR(VLOOKUP(DATOS!$I9835,CONFIG_ASIGNATURAS!$B$2:$J$91,9,FALSE()),""))</f>
      </c>
    </row>
    <row r="9836">
      <c r="F9836">
        <f>IF(DATOS!$A9836="","",DATOS!$A9836&amp;"|"&amp;DATOS!$D9836&amp;"|"&amp;DATOS!$E9836&amp;"|"&amp;DATOS!$I9836)</f>
      </c>
      <c r="G9836">
        <f>IF(DATOS!$A9836="",0,IF(CONFIG_METADATA!$B$4&lt;&gt;"OR+EX",--(DATOS!$G9836=CONFIG_METADATA!$B$4),IF(DATOS!$G9836="EX",1,IF(DATOS!$G9836="OR",--(COUNTIFS(nNIA,DATOS!$A9836,nCURSO,DATOS!$D9836,nESPEC,DATOS!$E9836,nASIG,DATOS!$I9836,nEVAL,"EX")=0),0))))</f>
      </c>
      <c r="H9836">
        <f>IF(DATOS!$G9836&lt;&gt;"EX",0,--(COUNTIFS(nNIA,DATOS!$A9836,nCURSO,DATOS!$D9836,nESPEC,DATOS!$E9836,nASIG,DATOS!$I9836,nEVAL,"OR")=0))</f>
      </c>
      <c r="I9836">
        <f>IF(DATOS!$I9836="","",IFERROR(VLOOKUP(DATOS!$I9836,CONFIG_ASIGNATURAS!$B$2:$J$91,9,FALSE()),""))</f>
      </c>
    </row>
    <row r="9837">
      <c r="F9837">
        <f>IF(DATOS!$A9837="","",DATOS!$A9837&amp;"|"&amp;DATOS!$D9837&amp;"|"&amp;DATOS!$E9837&amp;"|"&amp;DATOS!$I9837)</f>
      </c>
      <c r="G9837">
        <f>IF(DATOS!$A9837="",0,IF(CONFIG_METADATA!$B$4&lt;&gt;"OR+EX",--(DATOS!$G9837=CONFIG_METADATA!$B$4),IF(DATOS!$G9837="EX",1,IF(DATOS!$G9837="OR",--(COUNTIFS(nNIA,DATOS!$A9837,nCURSO,DATOS!$D9837,nESPEC,DATOS!$E9837,nASIG,DATOS!$I9837,nEVAL,"EX")=0),0))))</f>
      </c>
      <c r="H9837">
        <f>IF(DATOS!$G9837&lt;&gt;"EX",0,--(COUNTIFS(nNIA,DATOS!$A9837,nCURSO,DATOS!$D9837,nESPEC,DATOS!$E9837,nASIG,DATOS!$I9837,nEVAL,"OR")=0))</f>
      </c>
      <c r="I9837">
        <f>IF(DATOS!$I9837="","",IFERROR(VLOOKUP(DATOS!$I9837,CONFIG_ASIGNATURAS!$B$2:$J$91,9,FALSE()),""))</f>
      </c>
    </row>
    <row r="9838">
      <c r="F9838">
        <f>IF(DATOS!$A9838="","",DATOS!$A9838&amp;"|"&amp;DATOS!$D9838&amp;"|"&amp;DATOS!$E9838&amp;"|"&amp;DATOS!$I9838)</f>
      </c>
      <c r="G9838">
        <f>IF(DATOS!$A9838="",0,IF(CONFIG_METADATA!$B$4&lt;&gt;"OR+EX",--(DATOS!$G9838=CONFIG_METADATA!$B$4),IF(DATOS!$G9838="EX",1,IF(DATOS!$G9838="OR",--(COUNTIFS(nNIA,DATOS!$A9838,nCURSO,DATOS!$D9838,nESPEC,DATOS!$E9838,nASIG,DATOS!$I9838,nEVAL,"EX")=0),0))))</f>
      </c>
      <c r="H9838">
        <f>IF(DATOS!$G9838&lt;&gt;"EX",0,--(COUNTIFS(nNIA,DATOS!$A9838,nCURSO,DATOS!$D9838,nESPEC,DATOS!$E9838,nASIG,DATOS!$I9838,nEVAL,"OR")=0))</f>
      </c>
      <c r="I9838">
        <f>IF(DATOS!$I9838="","",IFERROR(VLOOKUP(DATOS!$I9838,CONFIG_ASIGNATURAS!$B$2:$J$91,9,FALSE()),""))</f>
      </c>
    </row>
    <row r="9839">
      <c r="F9839">
        <f>IF(DATOS!$A9839="","",DATOS!$A9839&amp;"|"&amp;DATOS!$D9839&amp;"|"&amp;DATOS!$E9839&amp;"|"&amp;DATOS!$I9839)</f>
      </c>
      <c r="G9839">
        <f>IF(DATOS!$A9839="",0,IF(CONFIG_METADATA!$B$4&lt;&gt;"OR+EX",--(DATOS!$G9839=CONFIG_METADATA!$B$4),IF(DATOS!$G9839="EX",1,IF(DATOS!$G9839="OR",--(COUNTIFS(nNIA,DATOS!$A9839,nCURSO,DATOS!$D9839,nESPEC,DATOS!$E9839,nASIG,DATOS!$I9839,nEVAL,"EX")=0),0))))</f>
      </c>
      <c r="H9839">
        <f>IF(DATOS!$G9839&lt;&gt;"EX",0,--(COUNTIFS(nNIA,DATOS!$A9839,nCURSO,DATOS!$D9839,nESPEC,DATOS!$E9839,nASIG,DATOS!$I9839,nEVAL,"OR")=0))</f>
      </c>
      <c r="I9839">
        <f>IF(DATOS!$I9839="","",IFERROR(VLOOKUP(DATOS!$I9839,CONFIG_ASIGNATURAS!$B$2:$J$91,9,FALSE()),""))</f>
      </c>
    </row>
    <row r="9840">
      <c r="F9840">
        <f>IF(DATOS!$A9840="","",DATOS!$A9840&amp;"|"&amp;DATOS!$D9840&amp;"|"&amp;DATOS!$E9840&amp;"|"&amp;DATOS!$I9840)</f>
      </c>
      <c r="G9840">
        <f>IF(DATOS!$A9840="",0,IF(CONFIG_METADATA!$B$4&lt;&gt;"OR+EX",--(DATOS!$G9840=CONFIG_METADATA!$B$4),IF(DATOS!$G9840="EX",1,IF(DATOS!$G9840="OR",--(COUNTIFS(nNIA,DATOS!$A9840,nCURSO,DATOS!$D9840,nESPEC,DATOS!$E9840,nASIG,DATOS!$I9840,nEVAL,"EX")=0),0))))</f>
      </c>
      <c r="H9840">
        <f>IF(DATOS!$G9840&lt;&gt;"EX",0,--(COUNTIFS(nNIA,DATOS!$A9840,nCURSO,DATOS!$D9840,nESPEC,DATOS!$E9840,nASIG,DATOS!$I9840,nEVAL,"OR")=0))</f>
      </c>
      <c r="I9840">
        <f>IF(DATOS!$I9840="","",IFERROR(VLOOKUP(DATOS!$I9840,CONFIG_ASIGNATURAS!$B$2:$J$91,9,FALSE()),""))</f>
      </c>
    </row>
    <row r="9841">
      <c r="F9841">
        <f>IF(DATOS!$A9841="","",DATOS!$A9841&amp;"|"&amp;DATOS!$D9841&amp;"|"&amp;DATOS!$E9841&amp;"|"&amp;DATOS!$I9841)</f>
      </c>
      <c r="G9841">
        <f>IF(DATOS!$A9841="",0,IF(CONFIG_METADATA!$B$4&lt;&gt;"OR+EX",--(DATOS!$G9841=CONFIG_METADATA!$B$4),IF(DATOS!$G9841="EX",1,IF(DATOS!$G9841="OR",--(COUNTIFS(nNIA,DATOS!$A9841,nCURSO,DATOS!$D9841,nESPEC,DATOS!$E9841,nASIG,DATOS!$I9841,nEVAL,"EX")=0),0))))</f>
      </c>
      <c r="H9841">
        <f>IF(DATOS!$G9841&lt;&gt;"EX",0,--(COUNTIFS(nNIA,DATOS!$A9841,nCURSO,DATOS!$D9841,nESPEC,DATOS!$E9841,nASIG,DATOS!$I9841,nEVAL,"OR")=0))</f>
      </c>
      <c r="I9841">
        <f>IF(DATOS!$I9841="","",IFERROR(VLOOKUP(DATOS!$I9841,CONFIG_ASIGNATURAS!$B$2:$J$91,9,FALSE()),""))</f>
      </c>
    </row>
    <row r="9842">
      <c r="F9842">
        <f>IF(DATOS!$A9842="","",DATOS!$A9842&amp;"|"&amp;DATOS!$D9842&amp;"|"&amp;DATOS!$E9842&amp;"|"&amp;DATOS!$I9842)</f>
      </c>
      <c r="G9842">
        <f>IF(DATOS!$A9842="",0,IF(CONFIG_METADATA!$B$4&lt;&gt;"OR+EX",--(DATOS!$G9842=CONFIG_METADATA!$B$4),IF(DATOS!$G9842="EX",1,IF(DATOS!$G9842="OR",--(COUNTIFS(nNIA,DATOS!$A9842,nCURSO,DATOS!$D9842,nESPEC,DATOS!$E9842,nASIG,DATOS!$I9842,nEVAL,"EX")=0),0))))</f>
      </c>
      <c r="H9842">
        <f>IF(DATOS!$G9842&lt;&gt;"EX",0,--(COUNTIFS(nNIA,DATOS!$A9842,nCURSO,DATOS!$D9842,nESPEC,DATOS!$E9842,nASIG,DATOS!$I9842,nEVAL,"OR")=0))</f>
      </c>
      <c r="I9842">
        <f>IF(DATOS!$I9842="","",IFERROR(VLOOKUP(DATOS!$I9842,CONFIG_ASIGNATURAS!$B$2:$J$91,9,FALSE()),""))</f>
      </c>
    </row>
    <row r="9843">
      <c r="F9843">
        <f>IF(DATOS!$A9843="","",DATOS!$A9843&amp;"|"&amp;DATOS!$D9843&amp;"|"&amp;DATOS!$E9843&amp;"|"&amp;DATOS!$I9843)</f>
      </c>
      <c r="G9843">
        <f>IF(DATOS!$A9843="",0,IF(CONFIG_METADATA!$B$4&lt;&gt;"OR+EX",--(DATOS!$G9843=CONFIG_METADATA!$B$4),IF(DATOS!$G9843="EX",1,IF(DATOS!$G9843="OR",--(COUNTIFS(nNIA,DATOS!$A9843,nCURSO,DATOS!$D9843,nESPEC,DATOS!$E9843,nASIG,DATOS!$I9843,nEVAL,"EX")=0),0))))</f>
      </c>
      <c r="H9843">
        <f>IF(DATOS!$G9843&lt;&gt;"EX",0,--(COUNTIFS(nNIA,DATOS!$A9843,nCURSO,DATOS!$D9843,nESPEC,DATOS!$E9843,nASIG,DATOS!$I9843,nEVAL,"OR")=0))</f>
      </c>
      <c r="I9843">
        <f>IF(DATOS!$I9843="","",IFERROR(VLOOKUP(DATOS!$I9843,CONFIG_ASIGNATURAS!$B$2:$J$91,9,FALSE()),""))</f>
      </c>
    </row>
    <row r="9844">
      <c r="F9844">
        <f>IF(DATOS!$A9844="","",DATOS!$A9844&amp;"|"&amp;DATOS!$D9844&amp;"|"&amp;DATOS!$E9844&amp;"|"&amp;DATOS!$I9844)</f>
      </c>
      <c r="G9844">
        <f>IF(DATOS!$A9844="",0,IF(CONFIG_METADATA!$B$4&lt;&gt;"OR+EX",--(DATOS!$G9844=CONFIG_METADATA!$B$4),IF(DATOS!$G9844="EX",1,IF(DATOS!$G9844="OR",--(COUNTIFS(nNIA,DATOS!$A9844,nCURSO,DATOS!$D9844,nESPEC,DATOS!$E9844,nASIG,DATOS!$I9844,nEVAL,"EX")=0),0))))</f>
      </c>
      <c r="H9844">
        <f>IF(DATOS!$G9844&lt;&gt;"EX",0,--(COUNTIFS(nNIA,DATOS!$A9844,nCURSO,DATOS!$D9844,nESPEC,DATOS!$E9844,nASIG,DATOS!$I9844,nEVAL,"OR")=0))</f>
      </c>
      <c r="I9844">
        <f>IF(DATOS!$I9844="","",IFERROR(VLOOKUP(DATOS!$I9844,CONFIG_ASIGNATURAS!$B$2:$J$91,9,FALSE()),""))</f>
      </c>
    </row>
    <row r="9845">
      <c r="F9845">
        <f>IF(DATOS!$A9845="","",DATOS!$A9845&amp;"|"&amp;DATOS!$D9845&amp;"|"&amp;DATOS!$E9845&amp;"|"&amp;DATOS!$I9845)</f>
      </c>
      <c r="G9845">
        <f>IF(DATOS!$A9845="",0,IF(CONFIG_METADATA!$B$4&lt;&gt;"OR+EX",--(DATOS!$G9845=CONFIG_METADATA!$B$4),IF(DATOS!$G9845="EX",1,IF(DATOS!$G9845="OR",--(COUNTIFS(nNIA,DATOS!$A9845,nCURSO,DATOS!$D9845,nESPEC,DATOS!$E9845,nASIG,DATOS!$I9845,nEVAL,"EX")=0),0))))</f>
      </c>
      <c r="H9845">
        <f>IF(DATOS!$G9845&lt;&gt;"EX",0,--(COUNTIFS(nNIA,DATOS!$A9845,nCURSO,DATOS!$D9845,nESPEC,DATOS!$E9845,nASIG,DATOS!$I9845,nEVAL,"OR")=0))</f>
      </c>
      <c r="I9845">
        <f>IF(DATOS!$I9845="","",IFERROR(VLOOKUP(DATOS!$I9845,CONFIG_ASIGNATURAS!$B$2:$J$91,9,FALSE()),""))</f>
      </c>
    </row>
    <row r="9846">
      <c r="F9846">
        <f>IF(DATOS!$A9846="","",DATOS!$A9846&amp;"|"&amp;DATOS!$D9846&amp;"|"&amp;DATOS!$E9846&amp;"|"&amp;DATOS!$I9846)</f>
      </c>
      <c r="G9846">
        <f>IF(DATOS!$A9846="",0,IF(CONFIG_METADATA!$B$4&lt;&gt;"OR+EX",--(DATOS!$G9846=CONFIG_METADATA!$B$4),IF(DATOS!$G9846="EX",1,IF(DATOS!$G9846="OR",--(COUNTIFS(nNIA,DATOS!$A9846,nCURSO,DATOS!$D9846,nESPEC,DATOS!$E9846,nASIG,DATOS!$I9846,nEVAL,"EX")=0),0))))</f>
      </c>
      <c r="H9846">
        <f>IF(DATOS!$G9846&lt;&gt;"EX",0,--(COUNTIFS(nNIA,DATOS!$A9846,nCURSO,DATOS!$D9846,nESPEC,DATOS!$E9846,nASIG,DATOS!$I9846,nEVAL,"OR")=0))</f>
      </c>
      <c r="I9846">
        <f>IF(DATOS!$I9846="","",IFERROR(VLOOKUP(DATOS!$I9846,CONFIG_ASIGNATURAS!$B$2:$J$91,9,FALSE()),""))</f>
      </c>
    </row>
    <row r="9847">
      <c r="F9847">
        <f>IF(DATOS!$A9847="","",DATOS!$A9847&amp;"|"&amp;DATOS!$D9847&amp;"|"&amp;DATOS!$E9847&amp;"|"&amp;DATOS!$I9847)</f>
      </c>
      <c r="G9847">
        <f>IF(DATOS!$A9847="",0,IF(CONFIG_METADATA!$B$4&lt;&gt;"OR+EX",--(DATOS!$G9847=CONFIG_METADATA!$B$4),IF(DATOS!$G9847="EX",1,IF(DATOS!$G9847="OR",--(COUNTIFS(nNIA,DATOS!$A9847,nCURSO,DATOS!$D9847,nESPEC,DATOS!$E9847,nASIG,DATOS!$I9847,nEVAL,"EX")=0),0))))</f>
      </c>
      <c r="H9847">
        <f>IF(DATOS!$G9847&lt;&gt;"EX",0,--(COUNTIFS(nNIA,DATOS!$A9847,nCURSO,DATOS!$D9847,nESPEC,DATOS!$E9847,nASIG,DATOS!$I9847,nEVAL,"OR")=0))</f>
      </c>
      <c r="I9847">
        <f>IF(DATOS!$I9847="","",IFERROR(VLOOKUP(DATOS!$I9847,CONFIG_ASIGNATURAS!$B$2:$J$91,9,FALSE()),""))</f>
      </c>
    </row>
    <row r="9848">
      <c r="F9848">
        <f>IF(DATOS!$A9848="","",DATOS!$A9848&amp;"|"&amp;DATOS!$D9848&amp;"|"&amp;DATOS!$E9848&amp;"|"&amp;DATOS!$I9848)</f>
      </c>
      <c r="G9848">
        <f>IF(DATOS!$A9848="",0,IF(CONFIG_METADATA!$B$4&lt;&gt;"OR+EX",--(DATOS!$G9848=CONFIG_METADATA!$B$4),IF(DATOS!$G9848="EX",1,IF(DATOS!$G9848="OR",--(COUNTIFS(nNIA,DATOS!$A9848,nCURSO,DATOS!$D9848,nESPEC,DATOS!$E9848,nASIG,DATOS!$I9848,nEVAL,"EX")=0),0))))</f>
      </c>
      <c r="H9848">
        <f>IF(DATOS!$G9848&lt;&gt;"EX",0,--(COUNTIFS(nNIA,DATOS!$A9848,nCURSO,DATOS!$D9848,nESPEC,DATOS!$E9848,nASIG,DATOS!$I9848,nEVAL,"OR")=0))</f>
      </c>
      <c r="I9848">
        <f>IF(DATOS!$I9848="","",IFERROR(VLOOKUP(DATOS!$I9848,CONFIG_ASIGNATURAS!$B$2:$J$91,9,FALSE()),""))</f>
      </c>
    </row>
    <row r="9849">
      <c r="F9849">
        <f>IF(DATOS!$A9849="","",DATOS!$A9849&amp;"|"&amp;DATOS!$D9849&amp;"|"&amp;DATOS!$E9849&amp;"|"&amp;DATOS!$I9849)</f>
      </c>
      <c r="G9849">
        <f>IF(DATOS!$A9849="",0,IF(CONFIG_METADATA!$B$4&lt;&gt;"OR+EX",--(DATOS!$G9849=CONFIG_METADATA!$B$4),IF(DATOS!$G9849="EX",1,IF(DATOS!$G9849="OR",--(COUNTIFS(nNIA,DATOS!$A9849,nCURSO,DATOS!$D9849,nESPEC,DATOS!$E9849,nASIG,DATOS!$I9849,nEVAL,"EX")=0),0))))</f>
      </c>
      <c r="H9849">
        <f>IF(DATOS!$G9849&lt;&gt;"EX",0,--(COUNTIFS(nNIA,DATOS!$A9849,nCURSO,DATOS!$D9849,nESPEC,DATOS!$E9849,nASIG,DATOS!$I9849,nEVAL,"OR")=0))</f>
      </c>
      <c r="I9849">
        <f>IF(DATOS!$I9849="","",IFERROR(VLOOKUP(DATOS!$I9849,CONFIG_ASIGNATURAS!$B$2:$J$91,9,FALSE()),""))</f>
      </c>
    </row>
    <row r="9850">
      <c r="F9850">
        <f>IF(DATOS!$A9850="","",DATOS!$A9850&amp;"|"&amp;DATOS!$D9850&amp;"|"&amp;DATOS!$E9850&amp;"|"&amp;DATOS!$I9850)</f>
      </c>
      <c r="G9850">
        <f>IF(DATOS!$A9850="",0,IF(CONFIG_METADATA!$B$4&lt;&gt;"OR+EX",--(DATOS!$G9850=CONFIG_METADATA!$B$4),IF(DATOS!$G9850="EX",1,IF(DATOS!$G9850="OR",--(COUNTIFS(nNIA,DATOS!$A9850,nCURSO,DATOS!$D9850,nESPEC,DATOS!$E9850,nASIG,DATOS!$I9850,nEVAL,"EX")=0),0))))</f>
      </c>
      <c r="H9850">
        <f>IF(DATOS!$G9850&lt;&gt;"EX",0,--(COUNTIFS(nNIA,DATOS!$A9850,nCURSO,DATOS!$D9850,nESPEC,DATOS!$E9850,nASIG,DATOS!$I9850,nEVAL,"OR")=0))</f>
      </c>
      <c r="I9850">
        <f>IF(DATOS!$I9850="","",IFERROR(VLOOKUP(DATOS!$I9850,CONFIG_ASIGNATURAS!$B$2:$J$91,9,FALSE()),""))</f>
      </c>
    </row>
    <row r="9851">
      <c r="F9851">
        <f>IF(DATOS!$A9851="","",DATOS!$A9851&amp;"|"&amp;DATOS!$D9851&amp;"|"&amp;DATOS!$E9851&amp;"|"&amp;DATOS!$I9851)</f>
      </c>
      <c r="G9851">
        <f>IF(DATOS!$A9851="",0,IF(CONFIG_METADATA!$B$4&lt;&gt;"OR+EX",--(DATOS!$G9851=CONFIG_METADATA!$B$4),IF(DATOS!$G9851="EX",1,IF(DATOS!$G9851="OR",--(COUNTIFS(nNIA,DATOS!$A9851,nCURSO,DATOS!$D9851,nESPEC,DATOS!$E9851,nASIG,DATOS!$I9851,nEVAL,"EX")=0),0))))</f>
      </c>
      <c r="H9851">
        <f>IF(DATOS!$G9851&lt;&gt;"EX",0,--(COUNTIFS(nNIA,DATOS!$A9851,nCURSO,DATOS!$D9851,nESPEC,DATOS!$E9851,nASIG,DATOS!$I9851,nEVAL,"OR")=0))</f>
      </c>
      <c r="I9851">
        <f>IF(DATOS!$I9851="","",IFERROR(VLOOKUP(DATOS!$I9851,CONFIG_ASIGNATURAS!$B$2:$J$91,9,FALSE()),""))</f>
      </c>
    </row>
    <row r="9852">
      <c r="F9852">
        <f>IF(DATOS!$A9852="","",DATOS!$A9852&amp;"|"&amp;DATOS!$D9852&amp;"|"&amp;DATOS!$E9852&amp;"|"&amp;DATOS!$I9852)</f>
      </c>
      <c r="G9852">
        <f>IF(DATOS!$A9852="",0,IF(CONFIG_METADATA!$B$4&lt;&gt;"OR+EX",--(DATOS!$G9852=CONFIG_METADATA!$B$4),IF(DATOS!$G9852="EX",1,IF(DATOS!$G9852="OR",--(COUNTIFS(nNIA,DATOS!$A9852,nCURSO,DATOS!$D9852,nESPEC,DATOS!$E9852,nASIG,DATOS!$I9852,nEVAL,"EX")=0),0))))</f>
      </c>
      <c r="H9852">
        <f>IF(DATOS!$G9852&lt;&gt;"EX",0,--(COUNTIFS(nNIA,DATOS!$A9852,nCURSO,DATOS!$D9852,nESPEC,DATOS!$E9852,nASIG,DATOS!$I9852,nEVAL,"OR")=0))</f>
      </c>
      <c r="I9852">
        <f>IF(DATOS!$I9852="","",IFERROR(VLOOKUP(DATOS!$I9852,CONFIG_ASIGNATURAS!$B$2:$J$91,9,FALSE()),""))</f>
      </c>
    </row>
    <row r="9853">
      <c r="F9853">
        <f>IF(DATOS!$A9853="","",DATOS!$A9853&amp;"|"&amp;DATOS!$D9853&amp;"|"&amp;DATOS!$E9853&amp;"|"&amp;DATOS!$I9853)</f>
      </c>
      <c r="G9853">
        <f>IF(DATOS!$A9853="",0,IF(CONFIG_METADATA!$B$4&lt;&gt;"OR+EX",--(DATOS!$G9853=CONFIG_METADATA!$B$4),IF(DATOS!$G9853="EX",1,IF(DATOS!$G9853="OR",--(COUNTIFS(nNIA,DATOS!$A9853,nCURSO,DATOS!$D9853,nESPEC,DATOS!$E9853,nASIG,DATOS!$I9853,nEVAL,"EX")=0),0))))</f>
      </c>
      <c r="H9853">
        <f>IF(DATOS!$G9853&lt;&gt;"EX",0,--(COUNTIFS(nNIA,DATOS!$A9853,nCURSO,DATOS!$D9853,nESPEC,DATOS!$E9853,nASIG,DATOS!$I9853,nEVAL,"OR")=0))</f>
      </c>
      <c r="I9853">
        <f>IF(DATOS!$I9853="","",IFERROR(VLOOKUP(DATOS!$I9853,CONFIG_ASIGNATURAS!$B$2:$J$91,9,FALSE()),""))</f>
      </c>
    </row>
    <row r="9854">
      <c r="F9854">
        <f>IF(DATOS!$A9854="","",DATOS!$A9854&amp;"|"&amp;DATOS!$D9854&amp;"|"&amp;DATOS!$E9854&amp;"|"&amp;DATOS!$I9854)</f>
      </c>
      <c r="G9854">
        <f>IF(DATOS!$A9854="",0,IF(CONFIG_METADATA!$B$4&lt;&gt;"OR+EX",--(DATOS!$G9854=CONFIG_METADATA!$B$4),IF(DATOS!$G9854="EX",1,IF(DATOS!$G9854="OR",--(COUNTIFS(nNIA,DATOS!$A9854,nCURSO,DATOS!$D9854,nESPEC,DATOS!$E9854,nASIG,DATOS!$I9854,nEVAL,"EX")=0),0))))</f>
      </c>
      <c r="H9854">
        <f>IF(DATOS!$G9854&lt;&gt;"EX",0,--(COUNTIFS(nNIA,DATOS!$A9854,nCURSO,DATOS!$D9854,nESPEC,DATOS!$E9854,nASIG,DATOS!$I9854,nEVAL,"OR")=0))</f>
      </c>
      <c r="I9854">
        <f>IF(DATOS!$I9854="","",IFERROR(VLOOKUP(DATOS!$I9854,CONFIG_ASIGNATURAS!$B$2:$J$91,9,FALSE()),""))</f>
      </c>
    </row>
    <row r="9855">
      <c r="F9855">
        <f>IF(DATOS!$A9855="","",DATOS!$A9855&amp;"|"&amp;DATOS!$D9855&amp;"|"&amp;DATOS!$E9855&amp;"|"&amp;DATOS!$I9855)</f>
      </c>
      <c r="G9855">
        <f>IF(DATOS!$A9855="",0,IF(CONFIG_METADATA!$B$4&lt;&gt;"OR+EX",--(DATOS!$G9855=CONFIG_METADATA!$B$4),IF(DATOS!$G9855="EX",1,IF(DATOS!$G9855="OR",--(COUNTIFS(nNIA,DATOS!$A9855,nCURSO,DATOS!$D9855,nESPEC,DATOS!$E9855,nASIG,DATOS!$I9855,nEVAL,"EX")=0),0))))</f>
      </c>
      <c r="H9855">
        <f>IF(DATOS!$G9855&lt;&gt;"EX",0,--(COUNTIFS(nNIA,DATOS!$A9855,nCURSO,DATOS!$D9855,nESPEC,DATOS!$E9855,nASIG,DATOS!$I9855,nEVAL,"OR")=0))</f>
      </c>
      <c r="I9855">
        <f>IF(DATOS!$I9855="","",IFERROR(VLOOKUP(DATOS!$I9855,CONFIG_ASIGNATURAS!$B$2:$J$91,9,FALSE()),""))</f>
      </c>
    </row>
    <row r="9856">
      <c r="F9856">
        <f>IF(DATOS!$A9856="","",DATOS!$A9856&amp;"|"&amp;DATOS!$D9856&amp;"|"&amp;DATOS!$E9856&amp;"|"&amp;DATOS!$I9856)</f>
      </c>
      <c r="G9856">
        <f>IF(DATOS!$A9856="",0,IF(CONFIG_METADATA!$B$4&lt;&gt;"OR+EX",--(DATOS!$G9856=CONFIG_METADATA!$B$4),IF(DATOS!$G9856="EX",1,IF(DATOS!$G9856="OR",--(COUNTIFS(nNIA,DATOS!$A9856,nCURSO,DATOS!$D9856,nESPEC,DATOS!$E9856,nASIG,DATOS!$I9856,nEVAL,"EX")=0),0))))</f>
      </c>
      <c r="H9856">
        <f>IF(DATOS!$G9856&lt;&gt;"EX",0,--(COUNTIFS(nNIA,DATOS!$A9856,nCURSO,DATOS!$D9856,nESPEC,DATOS!$E9856,nASIG,DATOS!$I9856,nEVAL,"OR")=0))</f>
      </c>
      <c r="I9856">
        <f>IF(DATOS!$I9856="","",IFERROR(VLOOKUP(DATOS!$I9856,CONFIG_ASIGNATURAS!$B$2:$J$91,9,FALSE()),""))</f>
      </c>
    </row>
    <row r="9857">
      <c r="F9857">
        <f>IF(DATOS!$A9857="","",DATOS!$A9857&amp;"|"&amp;DATOS!$D9857&amp;"|"&amp;DATOS!$E9857&amp;"|"&amp;DATOS!$I9857)</f>
      </c>
      <c r="G9857">
        <f>IF(DATOS!$A9857="",0,IF(CONFIG_METADATA!$B$4&lt;&gt;"OR+EX",--(DATOS!$G9857=CONFIG_METADATA!$B$4),IF(DATOS!$G9857="EX",1,IF(DATOS!$G9857="OR",--(COUNTIFS(nNIA,DATOS!$A9857,nCURSO,DATOS!$D9857,nESPEC,DATOS!$E9857,nASIG,DATOS!$I9857,nEVAL,"EX")=0),0))))</f>
      </c>
      <c r="H9857">
        <f>IF(DATOS!$G9857&lt;&gt;"EX",0,--(COUNTIFS(nNIA,DATOS!$A9857,nCURSO,DATOS!$D9857,nESPEC,DATOS!$E9857,nASIG,DATOS!$I9857,nEVAL,"OR")=0))</f>
      </c>
      <c r="I9857">
        <f>IF(DATOS!$I9857="","",IFERROR(VLOOKUP(DATOS!$I9857,CONFIG_ASIGNATURAS!$B$2:$J$91,9,FALSE()),""))</f>
      </c>
    </row>
    <row r="9858">
      <c r="F9858">
        <f>IF(DATOS!$A9858="","",DATOS!$A9858&amp;"|"&amp;DATOS!$D9858&amp;"|"&amp;DATOS!$E9858&amp;"|"&amp;DATOS!$I9858)</f>
      </c>
      <c r="G9858">
        <f>IF(DATOS!$A9858="",0,IF(CONFIG_METADATA!$B$4&lt;&gt;"OR+EX",--(DATOS!$G9858=CONFIG_METADATA!$B$4),IF(DATOS!$G9858="EX",1,IF(DATOS!$G9858="OR",--(COUNTIFS(nNIA,DATOS!$A9858,nCURSO,DATOS!$D9858,nESPEC,DATOS!$E9858,nASIG,DATOS!$I9858,nEVAL,"EX")=0),0))))</f>
      </c>
      <c r="H9858">
        <f>IF(DATOS!$G9858&lt;&gt;"EX",0,--(COUNTIFS(nNIA,DATOS!$A9858,nCURSO,DATOS!$D9858,nESPEC,DATOS!$E9858,nASIG,DATOS!$I9858,nEVAL,"OR")=0))</f>
      </c>
      <c r="I9858">
        <f>IF(DATOS!$I9858="","",IFERROR(VLOOKUP(DATOS!$I9858,CONFIG_ASIGNATURAS!$B$2:$J$91,9,FALSE()),""))</f>
      </c>
    </row>
    <row r="9859">
      <c r="F9859">
        <f>IF(DATOS!$A9859="","",DATOS!$A9859&amp;"|"&amp;DATOS!$D9859&amp;"|"&amp;DATOS!$E9859&amp;"|"&amp;DATOS!$I9859)</f>
      </c>
      <c r="G9859">
        <f>IF(DATOS!$A9859="",0,IF(CONFIG_METADATA!$B$4&lt;&gt;"OR+EX",--(DATOS!$G9859=CONFIG_METADATA!$B$4),IF(DATOS!$G9859="EX",1,IF(DATOS!$G9859="OR",--(COUNTIFS(nNIA,DATOS!$A9859,nCURSO,DATOS!$D9859,nESPEC,DATOS!$E9859,nASIG,DATOS!$I9859,nEVAL,"EX")=0),0))))</f>
      </c>
      <c r="H9859">
        <f>IF(DATOS!$G9859&lt;&gt;"EX",0,--(COUNTIFS(nNIA,DATOS!$A9859,nCURSO,DATOS!$D9859,nESPEC,DATOS!$E9859,nASIG,DATOS!$I9859,nEVAL,"OR")=0))</f>
      </c>
      <c r="I9859">
        <f>IF(DATOS!$I9859="","",IFERROR(VLOOKUP(DATOS!$I9859,CONFIG_ASIGNATURAS!$B$2:$J$91,9,FALSE()),""))</f>
      </c>
    </row>
    <row r="9860">
      <c r="F9860">
        <f>IF(DATOS!$A9860="","",DATOS!$A9860&amp;"|"&amp;DATOS!$D9860&amp;"|"&amp;DATOS!$E9860&amp;"|"&amp;DATOS!$I9860)</f>
      </c>
      <c r="G9860">
        <f>IF(DATOS!$A9860="",0,IF(CONFIG_METADATA!$B$4&lt;&gt;"OR+EX",--(DATOS!$G9860=CONFIG_METADATA!$B$4),IF(DATOS!$G9860="EX",1,IF(DATOS!$G9860="OR",--(COUNTIFS(nNIA,DATOS!$A9860,nCURSO,DATOS!$D9860,nESPEC,DATOS!$E9860,nASIG,DATOS!$I9860,nEVAL,"EX")=0),0))))</f>
      </c>
      <c r="H9860">
        <f>IF(DATOS!$G9860&lt;&gt;"EX",0,--(COUNTIFS(nNIA,DATOS!$A9860,nCURSO,DATOS!$D9860,nESPEC,DATOS!$E9860,nASIG,DATOS!$I9860,nEVAL,"OR")=0))</f>
      </c>
      <c r="I9860">
        <f>IF(DATOS!$I9860="","",IFERROR(VLOOKUP(DATOS!$I9860,CONFIG_ASIGNATURAS!$B$2:$J$91,9,FALSE()),""))</f>
      </c>
    </row>
    <row r="9861">
      <c r="F9861">
        <f>IF(DATOS!$A9861="","",DATOS!$A9861&amp;"|"&amp;DATOS!$D9861&amp;"|"&amp;DATOS!$E9861&amp;"|"&amp;DATOS!$I9861)</f>
      </c>
      <c r="G9861">
        <f>IF(DATOS!$A9861="",0,IF(CONFIG_METADATA!$B$4&lt;&gt;"OR+EX",--(DATOS!$G9861=CONFIG_METADATA!$B$4),IF(DATOS!$G9861="EX",1,IF(DATOS!$G9861="OR",--(COUNTIFS(nNIA,DATOS!$A9861,nCURSO,DATOS!$D9861,nESPEC,DATOS!$E9861,nASIG,DATOS!$I9861,nEVAL,"EX")=0),0))))</f>
      </c>
      <c r="H9861">
        <f>IF(DATOS!$G9861&lt;&gt;"EX",0,--(COUNTIFS(nNIA,DATOS!$A9861,nCURSO,DATOS!$D9861,nESPEC,DATOS!$E9861,nASIG,DATOS!$I9861,nEVAL,"OR")=0))</f>
      </c>
      <c r="I9861">
        <f>IF(DATOS!$I9861="","",IFERROR(VLOOKUP(DATOS!$I9861,CONFIG_ASIGNATURAS!$B$2:$J$91,9,FALSE()),""))</f>
      </c>
    </row>
    <row r="9862">
      <c r="F9862">
        <f>IF(DATOS!$A9862="","",DATOS!$A9862&amp;"|"&amp;DATOS!$D9862&amp;"|"&amp;DATOS!$E9862&amp;"|"&amp;DATOS!$I9862)</f>
      </c>
      <c r="G9862">
        <f>IF(DATOS!$A9862="",0,IF(CONFIG_METADATA!$B$4&lt;&gt;"OR+EX",--(DATOS!$G9862=CONFIG_METADATA!$B$4),IF(DATOS!$G9862="EX",1,IF(DATOS!$G9862="OR",--(COUNTIFS(nNIA,DATOS!$A9862,nCURSO,DATOS!$D9862,nESPEC,DATOS!$E9862,nASIG,DATOS!$I9862,nEVAL,"EX")=0),0))))</f>
      </c>
      <c r="H9862">
        <f>IF(DATOS!$G9862&lt;&gt;"EX",0,--(COUNTIFS(nNIA,DATOS!$A9862,nCURSO,DATOS!$D9862,nESPEC,DATOS!$E9862,nASIG,DATOS!$I9862,nEVAL,"OR")=0))</f>
      </c>
      <c r="I9862">
        <f>IF(DATOS!$I9862="","",IFERROR(VLOOKUP(DATOS!$I9862,CONFIG_ASIGNATURAS!$B$2:$J$91,9,FALSE()),""))</f>
      </c>
    </row>
    <row r="9863">
      <c r="F9863">
        <f>IF(DATOS!$A9863="","",DATOS!$A9863&amp;"|"&amp;DATOS!$D9863&amp;"|"&amp;DATOS!$E9863&amp;"|"&amp;DATOS!$I9863)</f>
      </c>
      <c r="G9863">
        <f>IF(DATOS!$A9863="",0,IF(CONFIG_METADATA!$B$4&lt;&gt;"OR+EX",--(DATOS!$G9863=CONFIG_METADATA!$B$4),IF(DATOS!$G9863="EX",1,IF(DATOS!$G9863="OR",--(COUNTIFS(nNIA,DATOS!$A9863,nCURSO,DATOS!$D9863,nESPEC,DATOS!$E9863,nASIG,DATOS!$I9863,nEVAL,"EX")=0),0))))</f>
      </c>
      <c r="H9863">
        <f>IF(DATOS!$G9863&lt;&gt;"EX",0,--(COUNTIFS(nNIA,DATOS!$A9863,nCURSO,DATOS!$D9863,nESPEC,DATOS!$E9863,nASIG,DATOS!$I9863,nEVAL,"OR")=0))</f>
      </c>
      <c r="I9863">
        <f>IF(DATOS!$I9863="","",IFERROR(VLOOKUP(DATOS!$I9863,CONFIG_ASIGNATURAS!$B$2:$J$91,9,FALSE()),""))</f>
      </c>
    </row>
    <row r="9864">
      <c r="F9864">
        <f>IF(DATOS!$A9864="","",DATOS!$A9864&amp;"|"&amp;DATOS!$D9864&amp;"|"&amp;DATOS!$E9864&amp;"|"&amp;DATOS!$I9864)</f>
      </c>
      <c r="G9864">
        <f>IF(DATOS!$A9864="",0,IF(CONFIG_METADATA!$B$4&lt;&gt;"OR+EX",--(DATOS!$G9864=CONFIG_METADATA!$B$4),IF(DATOS!$G9864="EX",1,IF(DATOS!$G9864="OR",--(COUNTIFS(nNIA,DATOS!$A9864,nCURSO,DATOS!$D9864,nESPEC,DATOS!$E9864,nASIG,DATOS!$I9864,nEVAL,"EX")=0),0))))</f>
      </c>
      <c r="H9864">
        <f>IF(DATOS!$G9864&lt;&gt;"EX",0,--(COUNTIFS(nNIA,DATOS!$A9864,nCURSO,DATOS!$D9864,nESPEC,DATOS!$E9864,nASIG,DATOS!$I9864,nEVAL,"OR")=0))</f>
      </c>
      <c r="I9864">
        <f>IF(DATOS!$I9864="","",IFERROR(VLOOKUP(DATOS!$I9864,CONFIG_ASIGNATURAS!$B$2:$J$91,9,FALSE()),""))</f>
      </c>
    </row>
    <row r="9865">
      <c r="F9865">
        <f>IF(DATOS!$A9865="","",DATOS!$A9865&amp;"|"&amp;DATOS!$D9865&amp;"|"&amp;DATOS!$E9865&amp;"|"&amp;DATOS!$I9865)</f>
      </c>
      <c r="G9865">
        <f>IF(DATOS!$A9865="",0,IF(CONFIG_METADATA!$B$4&lt;&gt;"OR+EX",--(DATOS!$G9865=CONFIG_METADATA!$B$4),IF(DATOS!$G9865="EX",1,IF(DATOS!$G9865="OR",--(COUNTIFS(nNIA,DATOS!$A9865,nCURSO,DATOS!$D9865,nESPEC,DATOS!$E9865,nASIG,DATOS!$I9865,nEVAL,"EX")=0),0))))</f>
      </c>
      <c r="H9865">
        <f>IF(DATOS!$G9865&lt;&gt;"EX",0,--(COUNTIFS(nNIA,DATOS!$A9865,nCURSO,DATOS!$D9865,nESPEC,DATOS!$E9865,nASIG,DATOS!$I9865,nEVAL,"OR")=0))</f>
      </c>
      <c r="I9865">
        <f>IF(DATOS!$I9865="","",IFERROR(VLOOKUP(DATOS!$I9865,CONFIG_ASIGNATURAS!$B$2:$J$91,9,FALSE()),""))</f>
      </c>
    </row>
    <row r="9866">
      <c r="F9866">
        <f>IF(DATOS!$A9866="","",DATOS!$A9866&amp;"|"&amp;DATOS!$D9866&amp;"|"&amp;DATOS!$E9866&amp;"|"&amp;DATOS!$I9866)</f>
      </c>
      <c r="G9866">
        <f>IF(DATOS!$A9866="",0,IF(CONFIG_METADATA!$B$4&lt;&gt;"OR+EX",--(DATOS!$G9866=CONFIG_METADATA!$B$4),IF(DATOS!$G9866="EX",1,IF(DATOS!$G9866="OR",--(COUNTIFS(nNIA,DATOS!$A9866,nCURSO,DATOS!$D9866,nESPEC,DATOS!$E9866,nASIG,DATOS!$I9866,nEVAL,"EX")=0),0))))</f>
      </c>
      <c r="H9866">
        <f>IF(DATOS!$G9866&lt;&gt;"EX",0,--(COUNTIFS(nNIA,DATOS!$A9866,nCURSO,DATOS!$D9866,nESPEC,DATOS!$E9866,nASIG,DATOS!$I9866,nEVAL,"OR")=0))</f>
      </c>
      <c r="I9866">
        <f>IF(DATOS!$I9866="","",IFERROR(VLOOKUP(DATOS!$I9866,CONFIG_ASIGNATURAS!$B$2:$J$91,9,FALSE()),""))</f>
      </c>
    </row>
    <row r="9867">
      <c r="F9867">
        <f>IF(DATOS!$A9867="","",DATOS!$A9867&amp;"|"&amp;DATOS!$D9867&amp;"|"&amp;DATOS!$E9867&amp;"|"&amp;DATOS!$I9867)</f>
      </c>
      <c r="G9867">
        <f>IF(DATOS!$A9867="",0,IF(CONFIG_METADATA!$B$4&lt;&gt;"OR+EX",--(DATOS!$G9867=CONFIG_METADATA!$B$4),IF(DATOS!$G9867="EX",1,IF(DATOS!$G9867="OR",--(COUNTIFS(nNIA,DATOS!$A9867,nCURSO,DATOS!$D9867,nESPEC,DATOS!$E9867,nASIG,DATOS!$I9867,nEVAL,"EX")=0),0))))</f>
      </c>
      <c r="H9867">
        <f>IF(DATOS!$G9867&lt;&gt;"EX",0,--(COUNTIFS(nNIA,DATOS!$A9867,nCURSO,DATOS!$D9867,nESPEC,DATOS!$E9867,nASIG,DATOS!$I9867,nEVAL,"OR")=0))</f>
      </c>
      <c r="I9867">
        <f>IF(DATOS!$I9867="","",IFERROR(VLOOKUP(DATOS!$I9867,CONFIG_ASIGNATURAS!$B$2:$J$91,9,FALSE()),""))</f>
      </c>
    </row>
    <row r="9868">
      <c r="F9868">
        <f>IF(DATOS!$A9868="","",DATOS!$A9868&amp;"|"&amp;DATOS!$D9868&amp;"|"&amp;DATOS!$E9868&amp;"|"&amp;DATOS!$I9868)</f>
      </c>
      <c r="G9868">
        <f>IF(DATOS!$A9868="",0,IF(CONFIG_METADATA!$B$4&lt;&gt;"OR+EX",--(DATOS!$G9868=CONFIG_METADATA!$B$4),IF(DATOS!$G9868="EX",1,IF(DATOS!$G9868="OR",--(COUNTIFS(nNIA,DATOS!$A9868,nCURSO,DATOS!$D9868,nESPEC,DATOS!$E9868,nASIG,DATOS!$I9868,nEVAL,"EX")=0),0))))</f>
      </c>
      <c r="H9868">
        <f>IF(DATOS!$G9868&lt;&gt;"EX",0,--(COUNTIFS(nNIA,DATOS!$A9868,nCURSO,DATOS!$D9868,nESPEC,DATOS!$E9868,nASIG,DATOS!$I9868,nEVAL,"OR")=0))</f>
      </c>
      <c r="I9868">
        <f>IF(DATOS!$I9868="","",IFERROR(VLOOKUP(DATOS!$I9868,CONFIG_ASIGNATURAS!$B$2:$J$91,9,FALSE()),""))</f>
      </c>
    </row>
    <row r="9869">
      <c r="F9869">
        <f>IF(DATOS!$A9869="","",DATOS!$A9869&amp;"|"&amp;DATOS!$D9869&amp;"|"&amp;DATOS!$E9869&amp;"|"&amp;DATOS!$I9869)</f>
      </c>
      <c r="G9869">
        <f>IF(DATOS!$A9869="",0,IF(CONFIG_METADATA!$B$4&lt;&gt;"OR+EX",--(DATOS!$G9869=CONFIG_METADATA!$B$4),IF(DATOS!$G9869="EX",1,IF(DATOS!$G9869="OR",--(COUNTIFS(nNIA,DATOS!$A9869,nCURSO,DATOS!$D9869,nESPEC,DATOS!$E9869,nASIG,DATOS!$I9869,nEVAL,"EX")=0),0))))</f>
      </c>
      <c r="H9869">
        <f>IF(DATOS!$G9869&lt;&gt;"EX",0,--(COUNTIFS(nNIA,DATOS!$A9869,nCURSO,DATOS!$D9869,nESPEC,DATOS!$E9869,nASIG,DATOS!$I9869,nEVAL,"OR")=0))</f>
      </c>
      <c r="I9869">
        <f>IF(DATOS!$I9869="","",IFERROR(VLOOKUP(DATOS!$I9869,CONFIG_ASIGNATURAS!$B$2:$J$91,9,FALSE()),""))</f>
      </c>
    </row>
    <row r="9870">
      <c r="F9870">
        <f>IF(DATOS!$A9870="","",DATOS!$A9870&amp;"|"&amp;DATOS!$D9870&amp;"|"&amp;DATOS!$E9870&amp;"|"&amp;DATOS!$I9870)</f>
      </c>
      <c r="G9870">
        <f>IF(DATOS!$A9870="",0,IF(CONFIG_METADATA!$B$4&lt;&gt;"OR+EX",--(DATOS!$G9870=CONFIG_METADATA!$B$4),IF(DATOS!$G9870="EX",1,IF(DATOS!$G9870="OR",--(COUNTIFS(nNIA,DATOS!$A9870,nCURSO,DATOS!$D9870,nESPEC,DATOS!$E9870,nASIG,DATOS!$I9870,nEVAL,"EX")=0),0))))</f>
      </c>
      <c r="H9870">
        <f>IF(DATOS!$G9870&lt;&gt;"EX",0,--(COUNTIFS(nNIA,DATOS!$A9870,nCURSO,DATOS!$D9870,nESPEC,DATOS!$E9870,nASIG,DATOS!$I9870,nEVAL,"OR")=0))</f>
      </c>
      <c r="I9870">
        <f>IF(DATOS!$I9870="","",IFERROR(VLOOKUP(DATOS!$I9870,CONFIG_ASIGNATURAS!$B$2:$J$91,9,FALSE()),""))</f>
      </c>
    </row>
    <row r="9871">
      <c r="F9871">
        <f>IF(DATOS!$A9871="","",DATOS!$A9871&amp;"|"&amp;DATOS!$D9871&amp;"|"&amp;DATOS!$E9871&amp;"|"&amp;DATOS!$I9871)</f>
      </c>
      <c r="G9871">
        <f>IF(DATOS!$A9871="",0,IF(CONFIG_METADATA!$B$4&lt;&gt;"OR+EX",--(DATOS!$G9871=CONFIG_METADATA!$B$4),IF(DATOS!$G9871="EX",1,IF(DATOS!$G9871="OR",--(COUNTIFS(nNIA,DATOS!$A9871,nCURSO,DATOS!$D9871,nESPEC,DATOS!$E9871,nASIG,DATOS!$I9871,nEVAL,"EX")=0),0))))</f>
      </c>
      <c r="H9871">
        <f>IF(DATOS!$G9871&lt;&gt;"EX",0,--(COUNTIFS(nNIA,DATOS!$A9871,nCURSO,DATOS!$D9871,nESPEC,DATOS!$E9871,nASIG,DATOS!$I9871,nEVAL,"OR")=0))</f>
      </c>
      <c r="I9871">
        <f>IF(DATOS!$I9871="","",IFERROR(VLOOKUP(DATOS!$I9871,CONFIG_ASIGNATURAS!$B$2:$J$91,9,FALSE()),""))</f>
      </c>
    </row>
    <row r="9872">
      <c r="F9872">
        <f>IF(DATOS!$A9872="","",DATOS!$A9872&amp;"|"&amp;DATOS!$D9872&amp;"|"&amp;DATOS!$E9872&amp;"|"&amp;DATOS!$I9872)</f>
      </c>
      <c r="G9872">
        <f>IF(DATOS!$A9872="",0,IF(CONFIG_METADATA!$B$4&lt;&gt;"OR+EX",--(DATOS!$G9872=CONFIG_METADATA!$B$4),IF(DATOS!$G9872="EX",1,IF(DATOS!$G9872="OR",--(COUNTIFS(nNIA,DATOS!$A9872,nCURSO,DATOS!$D9872,nESPEC,DATOS!$E9872,nASIG,DATOS!$I9872,nEVAL,"EX")=0),0))))</f>
      </c>
      <c r="H9872">
        <f>IF(DATOS!$G9872&lt;&gt;"EX",0,--(COUNTIFS(nNIA,DATOS!$A9872,nCURSO,DATOS!$D9872,nESPEC,DATOS!$E9872,nASIG,DATOS!$I9872,nEVAL,"OR")=0))</f>
      </c>
      <c r="I9872">
        <f>IF(DATOS!$I9872="","",IFERROR(VLOOKUP(DATOS!$I9872,CONFIG_ASIGNATURAS!$B$2:$J$91,9,FALSE()),""))</f>
      </c>
    </row>
    <row r="9873">
      <c r="F9873">
        <f>IF(DATOS!$A9873="","",DATOS!$A9873&amp;"|"&amp;DATOS!$D9873&amp;"|"&amp;DATOS!$E9873&amp;"|"&amp;DATOS!$I9873)</f>
      </c>
      <c r="G9873">
        <f>IF(DATOS!$A9873="",0,IF(CONFIG_METADATA!$B$4&lt;&gt;"OR+EX",--(DATOS!$G9873=CONFIG_METADATA!$B$4),IF(DATOS!$G9873="EX",1,IF(DATOS!$G9873="OR",--(COUNTIFS(nNIA,DATOS!$A9873,nCURSO,DATOS!$D9873,nESPEC,DATOS!$E9873,nASIG,DATOS!$I9873,nEVAL,"EX")=0),0))))</f>
      </c>
      <c r="H9873">
        <f>IF(DATOS!$G9873&lt;&gt;"EX",0,--(COUNTIFS(nNIA,DATOS!$A9873,nCURSO,DATOS!$D9873,nESPEC,DATOS!$E9873,nASIG,DATOS!$I9873,nEVAL,"OR")=0))</f>
      </c>
      <c r="I9873">
        <f>IF(DATOS!$I9873="","",IFERROR(VLOOKUP(DATOS!$I9873,CONFIG_ASIGNATURAS!$B$2:$J$91,9,FALSE()),""))</f>
      </c>
    </row>
    <row r="9874">
      <c r="F9874">
        <f>IF(DATOS!$A9874="","",DATOS!$A9874&amp;"|"&amp;DATOS!$D9874&amp;"|"&amp;DATOS!$E9874&amp;"|"&amp;DATOS!$I9874)</f>
      </c>
      <c r="G9874">
        <f>IF(DATOS!$A9874="",0,IF(CONFIG_METADATA!$B$4&lt;&gt;"OR+EX",--(DATOS!$G9874=CONFIG_METADATA!$B$4),IF(DATOS!$G9874="EX",1,IF(DATOS!$G9874="OR",--(COUNTIFS(nNIA,DATOS!$A9874,nCURSO,DATOS!$D9874,nESPEC,DATOS!$E9874,nASIG,DATOS!$I9874,nEVAL,"EX")=0),0))))</f>
      </c>
      <c r="H9874">
        <f>IF(DATOS!$G9874&lt;&gt;"EX",0,--(COUNTIFS(nNIA,DATOS!$A9874,nCURSO,DATOS!$D9874,nESPEC,DATOS!$E9874,nASIG,DATOS!$I9874,nEVAL,"OR")=0))</f>
      </c>
      <c r="I9874">
        <f>IF(DATOS!$I9874="","",IFERROR(VLOOKUP(DATOS!$I9874,CONFIG_ASIGNATURAS!$B$2:$J$91,9,FALSE()),""))</f>
      </c>
    </row>
    <row r="9875">
      <c r="F9875">
        <f>IF(DATOS!$A9875="","",DATOS!$A9875&amp;"|"&amp;DATOS!$D9875&amp;"|"&amp;DATOS!$E9875&amp;"|"&amp;DATOS!$I9875)</f>
      </c>
      <c r="G9875">
        <f>IF(DATOS!$A9875="",0,IF(CONFIG_METADATA!$B$4&lt;&gt;"OR+EX",--(DATOS!$G9875=CONFIG_METADATA!$B$4),IF(DATOS!$G9875="EX",1,IF(DATOS!$G9875="OR",--(COUNTIFS(nNIA,DATOS!$A9875,nCURSO,DATOS!$D9875,nESPEC,DATOS!$E9875,nASIG,DATOS!$I9875,nEVAL,"EX")=0),0))))</f>
      </c>
      <c r="H9875">
        <f>IF(DATOS!$G9875&lt;&gt;"EX",0,--(COUNTIFS(nNIA,DATOS!$A9875,nCURSO,DATOS!$D9875,nESPEC,DATOS!$E9875,nASIG,DATOS!$I9875,nEVAL,"OR")=0))</f>
      </c>
      <c r="I9875">
        <f>IF(DATOS!$I9875="","",IFERROR(VLOOKUP(DATOS!$I9875,CONFIG_ASIGNATURAS!$B$2:$J$91,9,FALSE()),""))</f>
      </c>
    </row>
    <row r="9876">
      <c r="F9876">
        <f>IF(DATOS!$A9876="","",DATOS!$A9876&amp;"|"&amp;DATOS!$D9876&amp;"|"&amp;DATOS!$E9876&amp;"|"&amp;DATOS!$I9876)</f>
      </c>
      <c r="G9876">
        <f>IF(DATOS!$A9876="",0,IF(CONFIG_METADATA!$B$4&lt;&gt;"OR+EX",--(DATOS!$G9876=CONFIG_METADATA!$B$4),IF(DATOS!$G9876="EX",1,IF(DATOS!$G9876="OR",--(COUNTIFS(nNIA,DATOS!$A9876,nCURSO,DATOS!$D9876,nESPEC,DATOS!$E9876,nASIG,DATOS!$I9876,nEVAL,"EX")=0),0))))</f>
      </c>
      <c r="H9876">
        <f>IF(DATOS!$G9876&lt;&gt;"EX",0,--(COUNTIFS(nNIA,DATOS!$A9876,nCURSO,DATOS!$D9876,nESPEC,DATOS!$E9876,nASIG,DATOS!$I9876,nEVAL,"OR")=0))</f>
      </c>
      <c r="I9876">
        <f>IF(DATOS!$I9876="","",IFERROR(VLOOKUP(DATOS!$I9876,CONFIG_ASIGNATURAS!$B$2:$J$91,9,FALSE()),""))</f>
      </c>
    </row>
    <row r="9877">
      <c r="F9877">
        <f>IF(DATOS!$A9877="","",DATOS!$A9877&amp;"|"&amp;DATOS!$D9877&amp;"|"&amp;DATOS!$E9877&amp;"|"&amp;DATOS!$I9877)</f>
      </c>
      <c r="G9877">
        <f>IF(DATOS!$A9877="",0,IF(CONFIG_METADATA!$B$4&lt;&gt;"OR+EX",--(DATOS!$G9877=CONFIG_METADATA!$B$4),IF(DATOS!$G9877="EX",1,IF(DATOS!$G9877="OR",--(COUNTIFS(nNIA,DATOS!$A9877,nCURSO,DATOS!$D9877,nESPEC,DATOS!$E9877,nASIG,DATOS!$I9877,nEVAL,"EX")=0),0))))</f>
      </c>
      <c r="H9877">
        <f>IF(DATOS!$G9877&lt;&gt;"EX",0,--(COUNTIFS(nNIA,DATOS!$A9877,nCURSO,DATOS!$D9877,nESPEC,DATOS!$E9877,nASIG,DATOS!$I9877,nEVAL,"OR")=0))</f>
      </c>
      <c r="I9877">
        <f>IF(DATOS!$I9877="","",IFERROR(VLOOKUP(DATOS!$I9877,CONFIG_ASIGNATURAS!$B$2:$J$91,9,FALSE()),""))</f>
      </c>
    </row>
    <row r="9878">
      <c r="F9878">
        <f>IF(DATOS!$A9878="","",DATOS!$A9878&amp;"|"&amp;DATOS!$D9878&amp;"|"&amp;DATOS!$E9878&amp;"|"&amp;DATOS!$I9878)</f>
      </c>
      <c r="G9878">
        <f>IF(DATOS!$A9878="",0,IF(CONFIG_METADATA!$B$4&lt;&gt;"OR+EX",--(DATOS!$G9878=CONFIG_METADATA!$B$4),IF(DATOS!$G9878="EX",1,IF(DATOS!$G9878="OR",--(COUNTIFS(nNIA,DATOS!$A9878,nCURSO,DATOS!$D9878,nESPEC,DATOS!$E9878,nASIG,DATOS!$I9878,nEVAL,"EX")=0),0))))</f>
      </c>
      <c r="H9878">
        <f>IF(DATOS!$G9878&lt;&gt;"EX",0,--(COUNTIFS(nNIA,DATOS!$A9878,nCURSO,DATOS!$D9878,nESPEC,DATOS!$E9878,nASIG,DATOS!$I9878,nEVAL,"OR")=0))</f>
      </c>
      <c r="I9878">
        <f>IF(DATOS!$I9878="","",IFERROR(VLOOKUP(DATOS!$I9878,CONFIG_ASIGNATURAS!$B$2:$J$91,9,FALSE()),""))</f>
      </c>
    </row>
    <row r="9879">
      <c r="F9879">
        <f>IF(DATOS!$A9879="","",DATOS!$A9879&amp;"|"&amp;DATOS!$D9879&amp;"|"&amp;DATOS!$E9879&amp;"|"&amp;DATOS!$I9879)</f>
      </c>
      <c r="G9879">
        <f>IF(DATOS!$A9879="",0,IF(CONFIG_METADATA!$B$4&lt;&gt;"OR+EX",--(DATOS!$G9879=CONFIG_METADATA!$B$4),IF(DATOS!$G9879="EX",1,IF(DATOS!$G9879="OR",--(COUNTIFS(nNIA,DATOS!$A9879,nCURSO,DATOS!$D9879,nESPEC,DATOS!$E9879,nASIG,DATOS!$I9879,nEVAL,"EX")=0),0))))</f>
      </c>
      <c r="H9879">
        <f>IF(DATOS!$G9879&lt;&gt;"EX",0,--(COUNTIFS(nNIA,DATOS!$A9879,nCURSO,DATOS!$D9879,nESPEC,DATOS!$E9879,nASIG,DATOS!$I9879,nEVAL,"OR")=0))</f>
      </c>
      <c r="I9879">
        <f>IF(DATOS!$I9879="","",IFERROR(VLOOKUP(DATOS!$I9879,CONFIG_ASIGNATURAS!$B$2:$J$91,9,FALSE()),""))</f>
      </c>
    </row>
    <row r="9880">
      <c r="F9880">
        <f>IF(DATOS!$A9880="","",DATOS!$A9880&amp;"|"&amp;DATOS!$D9880&amp;"|"&amp;DATOS!$E9880&amp;"|"&amp;DATOS!$I9880)</f>
      </c>
      <c r="G9880">
        <f>IF(DATOS!$A9880="",0,IF(CONFIG_METADATA!$B$4&lt;&gt;"OR+EX",--(DATOS!$G9880=CONFIG_METADATA!$B$4),IF(DATOS!$G9880="EX",1,IF(DATOS!$G9880="OR",--(COUNTIFS(nNIA,DATOS!$A9880,nCURSO,DATOS!$D9880,nESPEC,DATOS!$E9880,nASIG,DATOS!$I9880,nEVAL,"EX")=0),0))))</f>
      </c>
      <c r="H9880">
        <f>IF(DATOS!$G9880&lt;&gt;"EX",0,--(COUNTIFS(nNIA,DATOS!$A9880,nCURSO,DATOS!$D9880,nESPEC,DATOS!$E9880,nASIG,DATOS!$I9880,nEVAL,"OR")=0))</f>
      </c>
      <c r="I9880">
        <f>IF(DATOS!$I9880="","",IFERROR(VLOOKUP(DATOS!$I9880,CONFIG_ASIGNATURAS!$B$2:$J$91,9,FALSE()),""))</f>
      </c>
    </row>
    <row r="9881">
      <c r="F9881">
        <f>IF(DATOS!$A9881="","",DATOS!$A9881&amp;"|"&amp;DATOS!$D9881&amp;"|"&amp;DATOS!$E9881&amp;"|"&amp;DATOS!$I9881)</f>
      </c>
      <c r="G9881">
        <f>IF(DATOS!$A9881="",0,IF(CONFIG_METADATA!$B$4&lt;&gt;"OR+EX",--(DATOS!$G9881=CONFIG_METADATA!$B$4),IF(DATOS!$G9881="EX",1,IF(DATOS!$G9881="OR",--(COUNTIFS(nNIA,DATOS!$A9881,nCURSO,DATOS!$D9881,nESPEC,DATOS!$E9881,nASIG,DATOS!$I9881,nEVAL,"EX")=0),0))))</f>
      </c>
      <c r="H9881">
        <f>IF(DATOS!$G9881&lt;&gt;"EX",0,--(COUNTIFS(nNIA,DATOS!$A9881,nCURSO,DATOS!$D9881,nESPEC,DATOS!$E9881,nASIG,DATOS!$I9881,nEVAL,"OR")=0))</f>
      </c>
      <c r="I9881">
        <f>IF(DATOS!$I9881="","",IFERROR(VLOOKUP(DATOS!$I9881,CONFIG_ASIGNATURAS!$B$2:$J$91,9,FALSE()),""))</f>
      </c>
    </row>
    <row r="9882">
      <c r="F9882">
        <f>IF(DATOS!$A9882="","",DATOS!$A9882&amp;"|"&amp;DATOS!$D9882&amp;"|"&amp;DATOS!$E9882&amp;"|"&amp;DATOS!$I9882)</f>
      </c>
      <c r="G9882">
        <f>IF(DATOS!$A9882="",0,IF(CONFIG_METADATA!$B$4&lt;&gt;"OR+EX",--(DATOS!$G9882=CONFIG_METADATA!$B$4),IF(DATOS!$G9882="EX",1,IF(DATOS!$G9882="OR",--(COUNTIFS(nNIA,DATOS!$A9882,nCURSO,DATOS!$D9882,nESPEC,DATOS!$E9882,nASIG,DATOS!$I9882,nEVAL,"EX")=0),0))))</f>
      </c>
      <c r="H9882">
        <f>IF(DATOS!$G9882&lt;&gt;"EX",0,--(COUNTIFS(nNIA,DATOS!$A9882,nCURSO,DATOS!$D9882,nESPEC,DATOS!$E9882,nASIG,DATOS!$I9882,nEVAL,"OR")=0))</f>
      </c>
      <c r="I9882">
        <f>IF(DATOS!$I9882="","",IFERROR(VLOOKUP(DATOS!$I9882,CONFIG_ASIGNATURAS!$B$2:$J$91,9,FALSE()),""))</f>
      </c>
    </row>
    <row r="9883">
      <c r="F9883">
        <f>IF(DATOS!$A9883="","",DATOS!$A9883&amp;"|"&amp;DATOS!$D9883&amp;"|"&amp;DATOS!$E9883&amp;"|"&amp;DATOS!$I9883)</f>
      </c>
      <c r="G9883">
        <f>IF(DATOS!$A9883="",0,IF(CONFIG_METADATA!$B$4&lt;&gt;"OR+EX",--(DATOS!$G9883=CONFIG_METADATA!$B$4),IF(DATOS!$G9883="EX",1,IF(DATOS!$G9883="OR",--(COUNTIFS(nNIA,DATOS!$A9883,nCURSO,DATOS!$D9883,nESPEC,DATOS!$E9883,nASIG,DATOS!$I9883,nEVAL,"EX")=0),0))))</f>
      </c>
      <c r="H9883">
        <f>IF(DATOS!$G9883&lt;&gt;"EX",0,--(COUNTIFS(nNIA,DATOS!$A9883,nCURSO,DATOS!$D9883,nESPEC,DATOS!$E9883,nASIG,DATOS!$I9883,nEVAL,"OR")=0))</f>
      </c>
      <c r="I9883">
        <f>IF(DATOS!$I9883="","",IFERROR(VLOOKUP(DATOS!$I9883,CONFIG_ASIGNATURAS!$B$2:$J$91,9,FALSE()),""))</f>
      </c>
    </row>
    <row r="9884">
      <c r="F9884">
        <f>IF(DATOS!$A9884="","",DATOS!$A9884&amp;"|"&amp;DATOS!$D9884&amp;"|"&amp;DATOS!$E9884&amp;"|"&amp;DATOS!$I9884)</f>
      </c>
      <c r="G9884">
        <f>IF(DATOS!$A9884="",0,IF(CONFIG_METADATA!$B$4&lt;&gt;"OR+EX",--(DATOS!$G9884=CONFIG_METADATA!$B$4),IF(DATOS!$G9884="EX",1,IF(DATOS!$G9884="OR",--(COUNTIFS(nNIA,DATOS!$A9884,nCURSO,DATOS!$D9884,nESPEC,DATOS!$E9884,nASIG,DATOS!$I9884,nEVAL,"EX")=0),0))))</f>
      </c>
      <c r="H9884">
        <f>IF(DATOS!$G9884&lt;&gt;"EX",0,--(COUNTIFS(nNIA,DATOS!$A9884,nCURSO,DATOS!$D9884,nESPEC,DATOS!$E9884,nASIG,DATOS!$I9884,nEVAL,"OR")=0))</f>
      </c>
      <c r="I9884">
        <f>IF(DATOS!$I9884="","",IFERROR(VLOOKUP(DATOS!$I9884,CONFIG_ASIGNATURAS!$B$2:$J$91,9,FALSE()),""))</f>
      </c>
    </row>
    <row r="9885">
      <c r="F9885">
        <f>IF(DATOS!$A9885="","",DATOS!$A9885&amp;"|"&amp;DATOS!$D9885&amp;"|"&amp;DATOS!$E9885&amp;"|"&amp;DATOS!$I9885)</f>
      </c>
      <c r="G9885">
        <f>IF(DATOS!$A9885="",0,IF(CONFIG_METADATA!$B$4&lt;&gt;"OR+EX",--(DATOS!$G9885=CONFIG_METADATA!$B$4),IF(DATOS!$G9885="EX",1,IF(DATOS!$G9885="OR",--(COUNTIFS(nNIA,DATOS!$A9885,nCURSO,DATOS!$D9885,nESPEC,DATOS!$E9885,nASIG,DATOS!$I9885,nEVAL,"EX")=0),0))))</f>
      </c>
      <c r="H9885">
        <f>IF(DATOS!$G9885&lt;&gt;"EX",0,--(COUNTIFS(nNIA,DATOS!$A9885,nCURSO,DATOS!$D9885,nESPEC,DATOS!$E9885,nASIG,DATOS!$I9885,nEVAL,"OR")=0))</f>
      </c>
      <c r="I9885">
        <f>IF(DATOS!$I9885="","",IFERROR(VLOOKUP(DATOS!$I9885,CONFIG_ASIGNATURAS!$B$2:$J$91,9,FALSE()),""))</f>
      </c>
    </row>
    <row r="9886">
      <c r="F9886">
        <f>IF(DATOS!$A9886="","",DATOS!$A9886&amp;"|"&amp;DATOS!$D9886&amp;"|"&amp;DATOS!$E9886&amp;"|"&amp;DATOS!$I9886)</f>
      </c>
      <c r="G9886">
        <f>IF(DATOS!$A9886="",0,IF(CONFIG_METADATA!$B$4&lt;&gt;"OR+EX",--(DATOS!$G9886=CONFIG_METADATA!$B$4),IF(DATOS!$G9886="EX",1,IF(DATOS!$G9886="OR",--(COUNTIFS(nNIA,DATOS!$A9886,nCURSO,DATOS!$D9886,nESPEC,DATOS!$E9886,nASIG,DATOS!$I9886,nEVAL,"EX")=0),0))))</f>
      </c>
      <c r="H9886">
        <f>IF(DATOS!$G9886&lt;&gt;"EX",0,--(COUNTIFS(nNIA,DATOS!$A9886,nCURSO,DATOS!$D9886,nESPEC,DATOS!$E9886,nASIG,DATOS!$I9886,nEVAL,"OR")=0))</f>
      </c>
      <c r="I9886">
        <f>IF(DATOS!$I9886="","",IFERROR(VLOOKUP(DATOS!$I9886,CONFIG_ASIGNATURAS!$B$2:$J$91,9,FALSE()),""))</f>
      </c>
    </row>
    <row r="9887">
      <c r="F9887">
        <f>IF(DATOS!$A9887="","",DATOS!$A9887&amp;"|"&amp;DATOS!$D9887&amp;"|"&amp;DATOS!$E9887&amp;"|"&amp;DATOS!$I9887)</f>
      </c>
      <c r="G9887">
        <f>IF(DATOS!$A9887="",0,IF(CONFIG_METADATA!$B$4&lt;&gt;"OR+EX",--(DATOS!$G9887=CONFIG_METADATA!$B$4),IF(DATOS!$G9887="EX",1,IF(DATOS!$G9887="OR",--(COUNTIFS(nNIA,DATOS!$A9887,nCURSO,DATOS!$D9887,nESPEC,DATOS!$E9887,nASIG,DATOS!$I9887,nEVAL,"EX")=0),0))))</f>
      </c>
      <c r="H9887">
        <f>IF(DATOS!$G9887&lt;&gt;"EX",0,--(COUNTIFS(nNIA,DATOS!$A9887,nCURSO,DATOS!$D9887,nESPEC,DATOS!$E9887,nASIG,DATOS!$I9887,nEVAL,"OR")=0))</f>
      </c>
      <c r="I9887">
        <f>IF(DATOS!$I9887="","",IFERROR(VLOOKUP(DATOS!$I9887,CONFIG_ASIGNATURAS!$B$2:$J$91,9,FALSE()),""))</f>
      </c>
    </row>
    <row r="9888">
      <c r="F9888">
        <f>IF(DATOS!$A9888="","",DATOS!$A9888&amp;"|"&amp;DATOS!$D9888&amp;"|"&amp;DATOS!$E9888&amp;"|"&amp;DATOS!$I9888)</f>
      </c>
      <c r="G9888">
        <f>IF(DATOS!$A9888="",0,IF(CONFIG_METADATA!$B$4&lt;&gt;"OR+EX",--(DATOS!$G9888=CONFIG_METADATA!$B$4),IF(DATOS!$G9888="EX",1,IF(DATOS!$G9888="OR",--(COUNTIFS(nNIA,DATOS!$A9888,nCURSO,DATOS!$D9888,nESPEC,DATOS!$E9888,nASIG,DATOS!$I9888,nEVAL,"EX")=0),0))))</f>
      </c>
      <c r="H9888">
        <f>IF(DATOS!$G9888&lt;&gt;"EX",0,--(COUNTIFS(nNIA,DATOS!$A9888,nCURSO,DATOS!$D9888,nESPEC,DATOS!$E9888,nASIG,DATOS!$I9888,nEVAL,"OR")=0))</f>
      </c>
      <c r="I9888">
        <f>IF(DATOS!$I9888="","",IFERROR(VLOOKUP(DATOS!$I9888,CONFIG_ASIGNATURAS!$B$2:$J$91,9,FALSE()),""))</f>
      </c>
    </row>
    <row r="9889">
      <c r="F9889">
        <f>IF(DATOS!$A9889="","",DATOS!$A9889&amp;"|"&amp;DATOS!$D9889&amp;"|"&amp;DATOS!$E9889&amp;"|"&amp;DATOS!$I9889)</f>
      </c>
      <c r="G9889">
        <f>IF(DATOS!$A9889="",0,IF(CONFIG_METADATA!$B$4&lt;&gt;"OR+EX",--(DATOS!$G9889=CONFIG_METADATA!$B$4),IF(DATOS!$G9889="EX",1,IF(DATOS!$G9889="OR",--(COUNTIFS(nNIA,DATOS!$A9889,nCURSO,DATOS!$D9889,nESPEC,DATOS!$E9889,nASIG,DATOS!$I9889,nEVAL,"EX")=0),0))))</f>
      </c>
      <c r="H9889">
        <f>IF(DATOS!$G9889&lt;&gt;"EX",0,--(COUNTIFS(nNIA,DATOS!$A9889,nCURSO,DATOS!$D9889,nESPEC,DATOS!$E9889,nASIG,DATOS!$I9889,nEVAL,"OR")=0))</f>
      </c>
      <c r="I9889">
        <f>IF(DATOS!$I9889="","",IFERROR(VLOOKUP(DATOS!$I9889,CONFIG_ASIGNATURAS!$B$2:$J$91,9,FALSE()),""))</f>
      </c>
    </row>
    <row r="9890">
      <c r="F9890">
        <f>IF(DATOS!$A9890="","",DATOS!$A9890&amp;"|"&amp;DATOS!$D9890&amp;"|"&amp;DATOS!$E9890&amp;"|"&amp;DATOS!$I9890)</f>
      </c>
      <c r="G9890">
        <f>IF(DATOS!$A9890="",0,IF(CONFIG_METADATA!$B$4&lt;&gt;"OR+EX",--(DATOS!$G9890=CONFIG_METADATA!$B$4),IF(DATOS!$G9890="EX",1,IF(DATOS!$G9890="OR",--(COUNTIFS(nNIA,DATOS!$A9890,nCURSO,DATOS!$D9890,nESPEC,DATOS!$E9890,nASIG,DATOS!$I9890,nEVAL,"EX")=0),0))))</f>
      </c>
      <c r="H9890">
        <f>IF(DATOS!$G9890&lt;&gt;"EX",0,--(COUNTIFS(nNIA,DATOS!$A9890,nCURSO,DATOS!$D9890,nESPEC,DATOS!$E9890,nASIG,DATOS!$I9890,nEVAL,"OR")=0))</f>
      </c>
      <c r="I9890">
        <f>IF(DATOS!$I9890="","",IFERROR(VLOOKUP(DATOS!$I9890,CONFIG_ASIGNATURAS!$B$2:$J$91,9,FALSE()),""))</f>
      </c>
    </row>
    <row r="9891">
      <c r="F9891">
        <f>IF(DATOS!$A9891="","",DATOS!$A9891&amp;"|"&amp;DATOS!$D9891&amp;"|"&amp;DATOS!$E9891&amp;"|"&amp;DATOS!$I9891)</f>
      </c>
      <c r="G9891">
        <f>IF(DATOS!$A9891="",0,IF(CONFIG_METADATA!$B$4&lt;&gt;"OR+EX",--(DATOS!$G9891=CONFIG_METADATA!$B$4),IF(DATOS!$G9891="EX",1,IF(DATOS!$G9891="OR",--(COUNTIFS(nNIA,DATOS!$A9891,nCURSO,DATOS!$D9891,nESPEC,DATOS!$E9891,nASIG,DATOS!$I9891,nEVAL,"EX")=0),0))))</f>
      </c>
      <c r="H9891">
        <f>IF(DATOS!$G9891&lt;&gt;"EX",0,--(COUNTIFS(nNIA,DATOS!$A9891,nCURSO,DATOS!$D9891,nESPEC,DATOS!$E9891,nASIG,DATOS!$I9891,nEVAL,"OR")=0))</f>
      </c>
      <c r="I9891">
        <f>IF(DATOS!$I9891="","",IFERROR(VLOOKUP(DATOS!$I9891,CONFIG_ASIGNATURAS!$B$2:$J$91,9,FALSE()),""))</f>
      </c>
    </row>
    <row r="9892">
      <c r="F9892">
        <f>IF(DATOS!$A9892="","",DATOS!$A9892&amp;"|"&amp;DATOS!$D9892&amp;"|"&amp;DATOS!$E9892&amp;"|"&amp;DATOS!$I9892)</f>
      </c>
      <c r="G9892">
        <f>IF(DATOS!$A9892="",0,IF(CONFIG_METADATA!$B$4&lt;&gt;"OR+EX",--(DATOS!$G9892=CONFIG_METADATA!$B$4),IF(DATOS!$G9892="EX",1,IF(DATOS!$G9892="OR",--(COUNTIFS(nNIA,DATOS!$A9892,nCURSO,DATOS!$D9892,nESPEC,DATOS!$E9892,nASIG,DATOS!$I9892,nEVAL,"EX")=0),0))))</f>
      </c>
      <c r="H9892">
        <f>IF(DATOS!$G9892&lt;&gt;"EX",0,--(COUNTIFS(nNIA,DATOS!$A9892,nCURSO,DATOS!$D9892,nESPEC,DATOS!$E9892,nASIG,DATOS!$I9892,nEVAL,"OR")=0))</f>
      </c>
      <c r="I9892">
        <f>IF(DATOS!$I9892="","",IFERROR(VLOOKUP(DATOS!$I9892,CONFIG_ASIGNATURAS!$B$2:$J$91,9,FALSE()),""))</f>
      </c>
    </row>
    <row r="9893">
      <c r="F9893">
        <f>IF(DATOS!$A9893="","",DATOS!$A9893&amp;"|"&amp;DATOS!$D9893&amp;"|"&amp;DATOS!$E9893&amp;"|"&amp;DATOS!$I9893)</f>
      </c>
      <c r="G9893">
        <f>IF(DATOS!$A9893="",0,IF(CONFIG_METADATA!$B$4&lt;&gt;"OR+EX",--(DATOS!$G9893=CONFIG_METADATA!$B$4),IF(DATOS!$G9893="EX",1,IF(DATOS!$G9893="OR",--(COUNTIFS(nNIA,DATOS!$A9893,nCURSO,DATOS!$D9893,nESPEC,DATOS!$E9893,nASIG,DATOS!$I9893,nEVAL,"EX")=0),0))))</f>
      </c>
      <c r="H9893">
        <f>IF(DATOS!$G9893&lt;&gt;"EX",0,--(COUNTIFS(nNIA,DATOS!$A9893,nCURSO,DATOS!$D9893,nESPEC,DATOS!$E9893,nASIG,DATOS!$I9893,nEVAL,"OR")=0))</f>
      </c>
      <c r="I9893">
        <f>IF(DATOS!$I9893="","",IFERROR(VLOOKUP(DATOS!$I9893,CONFIG_ASIGNATURAS!$B$2:$J$91,9,FALSE()),""))</f>
      </c>
    </row>
    <row r="9894">
      <c r="F9894">
        <f>IF(DATOS!$A9894="","",DATOS!$A9894&amp;"|"&amp;DATOS!$D9894&amp;"|"&amp;DATOS!$E9894&amp;"|"&amp;DATOS!$I9894)</f>
      </c>
      <c r="G9894">
        <f>IF(DATOS!$A9894="",0,IF(CONFIG_METADATA!$B$4&lt;&gt;"OR+EX",--(DATOS!$G9894=CONFIG_METADATA!$B$4),IF(DATOS!$G9894="EX",1,IF(DATOS!$G9894="OR",--(COUNTIFS(nNIA,DATOS!$A9894,nCURSO,DATOS!$D9894,nESPEC,DATOS!$E9894,nASIG,DATOS!$I9894,nEVAL,"EX")=0),0))))</f>
      </c>
      <c r="H9894">
        <f>IF(DATOS!$G9894&lt;&gt;"EX",0,--(COUNTIFS(nNIA,DATOS!$A9894,nCURSO,DATOS!$D9894,nESPEC,DATOS!$E9894,nASIG,DATOS!$I9894,nEVAL,"OR")=0))</f>
      </c>
      <c r="I9894">
        <f>IF(DATOS!$I9894="","",IFERROR(VLOOKUP(DATOS!$I9894,CONFIG_ASIGNATURAS!$B$2:$J$91,9,FALSE()),""))</f>
      </c>
    </row>
    <row r="9895">
      <c r="F9895">
        <f>IF(DATOS!$A9895="","",DATOS!$A9895&amp;"|"&amp;DATOS!$D9895&amp;"|"&amp;DATOS!$E9895&amp;"|"&amp;DATOS!$I9895)</f>
      </c>
      <c r="G9895">
        <f>IF(DATOS!$A9895="",0,IF(CONFIG_METADATA!$B$4&lt;&gt;"OR+EX",--(DATOS!$G9895=CONFIG_METADATA!$B$4),IF(DATOS!$G9895="EX",1,IF(DATOS!$G9895="OR",--(COUNTIFS(nNIA,DATOS!$A9895,nCURSO,DATOS!$D9895,nESPEC,DATOS!$E9895,nASIG,DATOS!$I9895,nEVAL,"EX")=0),0))))</f>
      </c>
      <c r="H9895">
        <f>IF(DATOS!$G9895&lt;&gt;"EX",0,--(COUNTIFS(nNIA,DATOS!$A9895,nCURSO,DATOS!$D9895,nESPEC,DATOS!$E9895,nASIG,DATOS!$I9895,nEVAL,"OR")=0))</f>
      </c>
      <c r="I9895">
        <f>IF(DATOS!$I9895="","",IFERROR(VLOOKUP(DATOS!$I9895,CONFIG_ASIGNATURAS!$B$2:$J$91,9,FALSE()),""))</f>
      </c>
    </row>
    <row r="9896">
      <c r="F9896">
        <f>IF(DATOS!$A9896="","",DATOS!$A9896&amp;"|"&amp;DATOS!$D9896&amp;"|"&amp;DATOS!$E9896&amp;"|"&amp;DATOS!$I9896)</f>
      </c>
      <c r="G9896">
        <f>IF(DATOS!$A9896="",0,IF(CONFIG_METADATA!$B$4&lt;&gt;"OR+EX",--(DATOS!$G9896=CONFIG_METADATA!$B$4),IF(DATOS!$G9896="EX",1,IF(DATOS!$G9896="OR",--(COUNTIFS(nNIA,DATOS!$A9896,nCURSO,DATOS!$D9896,nESPEC,DATOS!$E9896,nASIG,DATOS!$I9896,nEVAL,"EX")=0),0))))</f>
      </c>
      <c r="H9896">
        <f>IF(DATOS!$G9896&lt;&gt;"EX",0,--(COUNTIFS(nNIA,DATOS!$A9896,nCURSO,DATOS!$D9896,nESPEC,DATOS!$E9896,nASIG,DATOS!$I9896,nEVAL,"OR")=0))</f>
      </c>
      <c r="I9896">
        <f>IF(DATOS!$I9896="","",IFERROR(VLOOKUP(DATOS!$I9896,CONFIG_ASIGNATURAS!$B$2:$J$91,9,FALSE()),""))</f>
      </c>
    </row>
    <row r="9897">
      <c r="F9897">
        <f>IF(DATOS!$A9897="","",DATOS!$A9897&amp;"|"&amp;DATOS!$D9897&amp;"|"&amp;DATOS!$E9897&amp;"|"&amp;DATOS!$I9897)</f>
      </c>
      <c r="G9897">
        <f>IF(DATOS!$A9897="",0,IF(CONFIG_METADATA!$B$4&lt;&gt;"OR+EX",--(DATOS!$G9897=CONFIG_METADATA!$B$4),IF(DATOS!$G9897="EX",1,IF(DATOS!$G9897="OR",--(COUNTIFS(nNIA,DATOS!$A9897,nCURSO,DATOS!$D9897,nESPEC,DATOS!$E9897,nASIG,DATOS!$I9897,nEVAL,"EX")=0),0))))</f>
      </c>
      <c r="H9897">
        <f>IF(DATOS!$G9897&lt;&gt;"EX",0,--(COUNTIFS(nNIA,DATOS!$A9897,nCURSO,DATOS!$D9897,nESPEC,DATOS!$E9897,nASIG,DATOS!$I9897,nEVAL,"OR")=0))</f>
      </c>
      <c r="I9897">
        <f>IF(DATOS!$I9897="","",IFERROR(VLOOKUP(DATOS!$I9897,CONFIG_ASIGNATURAS!$B$2:$J$91,9,FALSE()),""))</f>
      </c>
    </row>
    <row r="9898">
      <c r="F9898">
        <f>IF(DATOS!$A9898="","",DATOS!$A9898&amp;"|"&amp;DATOS!$D9898&amp;"|"&amp;DATOS!$E9898&amp;"|"&amp;DATOS!$I9898)</f>
      </c>
      <c r="G9898">
        <f>IF(DATOS!$A9898="",0,IF(CONFIG_METADATA!$B$4&lt;&gt;"OR+EX",--(DATOS!$G9898=CONFIG_METADATA!$B$4),IF(DATOS!$G9898="EX",1,IF(DATOS!$G9898="OR",--(COUNTIFS(nNIA,DATOS!$A9898,nCURSO,DATOS!$D9898,nESPEC,DATOS!$E9898,nASIG,DATOS!$I9898,nEVAL,"EX")=0),0))))</f>
      </c>
      <c r="H9898">
        <f>IF(DATOS!$G9898&lt;&gt;"EX",0,--(COUNTIFS(nNIA,DATOS!$A9898,nCURSO,DATOS!$D9898,nESPEC,DATOS!$E9898,nASIG,DATOS!$I9898,nEVAL,"OR")=0))</f>
      </c>
      <c r="I9898">
        <f>IF(DATOS!$I9898="","",IFERROR(VLOOKUP(DATOS!$I9898,CONFIG_ASIGNATURAS!$B$2:$J$91,9,FALSE()),""))</f>
      </c>
    </row>
    <row r="9899">
      <c r="F9899">
        <f>IF(DATOS!$A9899="","",DATOS!$A9899&amp;"|"&amp;DATOS!$D9899&amp;"|"&amp;DATOS!$E9899&amp;"|"&amp;DATOS!$I9899)</f>
      </c>
      <c r="G9899">
        <f>IF(DATOS!$A9899="",0,IF(CONFIG_METADATA!$B$4&lt;&gt;"OR+EX",--(DATOS!$G9899=CONFIG_METADATA!$B$4),IF(DATOS!$G9899="EX",1,IF(DATOS!$G9899="OR",--(COUNTIFS(nNIA,DATOS!$A9899,nCURSO,DATOS!$D9899,nESPEC,DATOS!$E9899,nASIG,DATOS!$I9899,nEVAL,"EX")=0),0))))</f>
      </c>
      <c r="H9899">
        <f>IF(DATOS!$G9899&lt;&gt;"EX",0,--(COUNTIFS(nNIA,DATOS!$A9899,nCURSO,DATOS!$D9899,nESPEC,DATOS!$E9899,nASIG,DATOS!$I9899,nEVAL,"OR")=0))</f>
      </c>
      <c r="I9899">
        <f>IF(DATOS!$I9899="","",IFERROR(VLOOKUP(DATOS!$I9899,CONFIG_ASIGNATURAS!$B$2:$J$91,9,FALSE()),""))</f>
      </c>
    </row>
    <row r="9900">
      <c r="F9900">
        <f>IF(DATOS!$A9900="","",DATOS!$A9900&amp;"|"&amp;DATOS!$D9900&amp;"|"&amp;DATOS!$E9900&amp;"|"&amp;DATOS!$I9900)</f>
      </c>
      <c r="G9900">
        <f>IF(DATOS!$A9900="",0,IF(CONFIG_METADATA!$B$4&lt;&gt;"OR+EX",--(DATOS!$G9900=CONFIG_METADATA!$B$4),IF(DATOS!$G9900="EX",1,IF(DATOS!$G9900="OR",--(COUNTIFS(nNIA,DATOS!$A9900,nCURSO,DATOS!$D9900,nESPEC,DATOS!$E9900,nASIG,DATOS!$I9900,nEVAL,"EX")=0),0))))</f>
      </c>
      <c r="H9900">
        <f>IF(DATOS!$G9900&lt;&gt;"EX",0,--(COUNTIFS(nNIA,DATOS!$A9900,nCURSO,DATOS!$D9900,nESPEC,DATOS!$E9900,nASIG,DATOS!$I9900,nEVAL,"OR")=0))</f>
      </c>
      <c r="I9900">
        <f>IF(DATOS!$I9900="","",IFERROR(VLOOKUP(DATOS!$I9900,CONFIG_ASIGNATURAS!$B$2:$J$91,9,FALSE()),""))</f>
      </c>
    </row>
    <row r="9901">
      <c r="F9901">
        <f>IF(DATOS!$A9901="","",DATOS!$A9901&amp;"|"&amp;DATOS!$D9901&amp;"|"&amp;DATOS!$E9901&amp;"|"&amp;DATOS!$I9901)</f>
      </c>
      <c r="G9901">
        <f>IF(DATOS!$A9901="",0,IF(CONFIG_METADATA!$B$4&lt;&gt;"OR+EX",--(DATOS!$G9901=CONFIG_METADATA!$B$4),IF(DATOS!$G9901="EX",1,IF(DATOS!$G9901="OR",--(COUNTIFS(nNIA,DATOS!$A9901,nCURSO,DATOS!$D9901,nESPEC,DATOS!$E9901,nASIG,DATOS!$I9901,nEVAL,"EX")=0),0))))</f>
      </c>
      <c r="H9901">
        <f>IF(DATOS!$G9901&lt;&gt;"EX",0,--(COUNTIFS(nNIA,DATOS!$A9901,nCURSO,DATOS!$D9901,nESPEC,DATOS!$E9901,nASIG,DATOS!$I9901,nEVAL,"OR")=0))</f>
      </c>
      <c r="I9901">
        <f>IF(DATOS!$I9901="","",IFERROR(VLOOKUP(DATOS!$I9901,CONFIG_ASIGNATURAS!$B$2:$J$91,9,FALSE()),""))</f>
      </c>
    </row>
    <row r="9902">
      <c r="F9902">
        <f>IF(DATOS!$A9902="","",DATOS!$A9902&amp;"|"&amp;DATOS!$D9902&amp;"|"&amp;DATOS!$E9902&amp;"|"&amp;DATOS!$I9902)</f>
      </c>
      <c r="G9902">
        <f>IF(DATOS!$A9902="",0,IF(CONFIG_METADATA!$B$4&lt;&gt;"OR+EX",--(DATOS!$G9902=CONFIG_METADATA!$B$4),IF(DATOS!$G9902="EX",1,IF(DATOS!$G9902="OR",--(COUNTIFS(nNIA,DATOS!$A9902,nCURSO,DATOS!$D9902,nESPEC,DATOS!$E9902,nASIG,DATOS!$I9902,nEVAL,"EX")=0),0))))</f>
      </c>
      <c r="H9902">
        <f>IF(DATOS!$G9902&lt;&gt;"EX",0,--(COUNTIFS(nNIA,DATOS!$A9902,nCURSO,DATOS!$D9902,nESPEC,DATOS!$E9902,nASIG,DATOS!$I9902,nEVAL,"OR")=0))</f>
      </c>
      <c r="I9902">
        <f>IF(DATOS!$I9902="","",IFERROR(VLOOKUP(DATOS!$I9902,CONFIG_ASIGNATURAS!$B$2:$J$91,9,FALSE()),""))</f>
      </c>
    </row>
    <row r="9903">
      <c r="F9903">
        <f>IF(DATOS!$A9903="","",DATOS!$A9903&amp;"|"&amp;DATOS!$D9903&amp;"|"&amp;DATOS!$E9903&amp;"|"&amp;DATOS!$I9903)</f>
      </c>
      <c r="G9903">
        <f>IF(DATOS!$A9903="",0,IF(CONFIG_METADATA!$B$4&lt;&gt;"OR+EX",--(DATOS!$G9903=CONFIG_METADATA!$B$4),IF(DATOS!$G9903="EX",1,IF(DATOS!$G9903="OR",--(COUNTIFS(nNIA,DATOS!$A9903,nCURSO,DATOS!$D9903,nESPEC,DATOS!$E9903,nASIG,DATOS!$I9903,nEVAL,"EX")=0),0))))</f>
      </c>
      <c r="H9903">
        <f>IF(DATOS!$G9903&lt;&gt;"EX",0,--(COUNTIFS(nNIA,DATOS!$A9903,nCURSO,DATOS!$D9903,nESPEC,DATOS!$E9903,nASIG,DATOS!$I9903,nEVAL,"OR")=0))</f>
      </c>
      <c r="I9903">
        <f>IF(DATOS!$I9903="","",IFERROR(VLOOKUP(DATOS!$I9903,CONFIG_ASIGNATURAS!$B$2:$J$91,9,FALSE()),""))</f>
      </c>
    </row>
    <row r="9904">
      <c r="F9904">
        <f>IF(DATOS!$A9904="","",DATOS!$A9904&amp;"|"&amp;DATOS!$D9904&amp;"|"&amp;DATOS!$E9904&amp;"|"&amp;DATOS!$I9904)</f>
      </c>
      <c r="G9904">
        <f>IF(DATOS!$A9904="",0,IF(CONFIG_METADATA!$B$4&lt;&gt;"OR+EX",--(DATOS!$G9904=CONFIG_METADATA!$B$4),IF(DATOS!$G9904="EX",1,IF(DATOS!$G9904="OR",--(COUNTIFS(nNIA,DATOS!$A9904,nCURSO,DATOS!$D9904,nESPEC,DATOS!$E9904,nASIG,DATOS!$I9904,nEVAL,"EX")=0),0))))</f>
      </c>
      <c r="H9904">
        <f>IF(DATOS!$G9904&lt;&gt;"EX",0,--(COUNTIFS(nNIA,DATOS!$A9904,nCURSO,DATOS!$D9904,nESPEC,DATOS!$E9904,nASIG,DATOS!$I9904,nEVAL,"OR")=0))</f>
      </c>
      <c r="I9904">
        <f>IF(DATOS!$I9904="","",IFERROR(VLOOKUP(DATOS!$I9904,CONFIG_ASIGNATURAS!$B$2:$J$91,9,FALSE()),""))</f>
      </c>
    </row>
    <row r="9905">
      <c r="F9905">
        <f>IF(DATOS!$A9905="","",DATOS!$A9905&amp;"|"&amp;DATOS!$D9905&amp;"|"&amp;DATOS!$E9905&amp;"|"&amp;DATOS!$I9905)</f>
      </c>
      <c r="G9905">
        <f>IF(DATOS!$A9905="",0,IF(CONFIG_METADATA!$B$4&lt;&gt;"OR+EX",--(DATOS!$G9905=CONFIG_METADATA!$B$4),IF(DATOS!$G9905="EX",1,IF(DATOS!$G9905="OR",--(COUNTIFS(nNIA,DATOS!$A9905,nCURSO,DATOS!$D9905,nESPEC,DATOS!$E9905,nASIG,DATOS!$I9905,nEVAL,"EX")=0),0))))</f>
      </c>
      <c r="H9905">
        <f>IF(DATOS!$G9905&lt;&gt;"EX",0,--(COUNTIFS(nNIA,DATOS!$A9905,nCURSO,DATOS!$D9905,nESPEC,DATOS!$E9905,nASIG,DATOS!$I9905,nEVAL,"OR")=0))</f>
      </c>
      <c r="I9905">
        <f>IF(DATOS!$I9905="","",IFERROR(VLOOKUP(DATOS!$I9905,CONFIG_ASIGNATURAS!$B$2:$J$91,9,FALSE()),""))</f>
      </c>
    </row>
    <row r="9906">
      <c r="F9906">
        <f>IF(DATOS!$A9906="","",DATOS!$A9906&amp;"|"&amp;DATOS!$D9906&amp;"|"&amp;DATOS!$E9906&amp;"|"&amp;DATOS!$I9906)</f>
      </c>
      <c r="G9906">
        <f>IF(DATOS!$A9906="",0,IF(CONFIG_METADATA!$B$4&lt;&gt;"OR+EX",--(DATOS!$G9906=CONFIG_METADATA!$B$4),IF(DATOS!$G9906="EX",1,IF(DATOS!$G9906="OR",--(COUNTIFS(nNIA,DATOS!$A9906,nCURSO,DATOS!$D9906,nESPEC,DATOS!$E9906,nASIG,DATOS!$I9906,nEVAL,"EX")=0),0))))</f>
      </c>
      <c r="H9906">
        <f>IF(DATOS!$G9906&lt;&gt;"EX",0,--(COUNTIFS(nNIA,DATOS!$A9906,nCURSO,DATOS!$D9906,nESPEC,DATOS!$E9906,nASIG,DATOS!$I9906,nEVAL,"OR")=0))</f>
      </c>
      <c r="I9906">
        <f>IF(DATOS!$I9906="","",IFERROR(VLOOKUP(DATOS!$I9906,CONFIG_ASIGNATURAS!$B$2:$J$91,9,FALSE()),""))</f>
      </c>
    </row>
    <row r="9907">
      <c r="F9907">
        <f>IF(DATOS!$A9907="","",DATOS!$A9907&amp;"|"&amp;DATOS!$D9907&amp;"|"&amp;DATOS!$E9907&amp;"|"&amp;DATOS!$I9907)</f>
      </c>
      <c r="G9907">
        <f>IF(DATOS!$A9907="",0,IF(CONFIG_METADATA!$B$4&lt;&gt;"OR+EX",--(DATOS!$G9907=CONFIG_METADATA!$B$4),IF(DATOS!$G9907="EX",1,IF(DATOS!$G9907="OR",--(COUNTIFS(nNIA,DATOS!$A9907,nCURSO,DATOS!$D9907,nESPEC,DATOS!$E9907,nASIG,DATOS!$I9907,nEVAL,"EX")=0),0))))</f>
      </c>
      <c r="H9907">
        <f>IF(DATOS!$G9907&lt;&gt;"EX",0,--(COUNTIFS(nNIA,DATOS!$A9907,nCURSO,DATOS!$D9907,nESPEC,DATOS!$E9907,nASIG,DATOS!$I9907,nEVAL,"OR")=0))</f>
      </c>
      <c r="I9907">
        <f>IF(DATOS!$I9907="","",IFERROR(VLOOKUP(DATOS!$I9907,CONFIG_ASIGNATURAS!$B$2:$J$91,9,FALSE()),""))</f>
      </c>
    </row>
    <row r="9908">
      <c r="F9908">
        <f>IF(DATOS!$A9908="","",DATOS!$A9908&amp;"|"&amp;DATOS!$D9908&amp;"|"&amp;DATOS!$E9908&amp;"|"&amp;DATOS!$I9908)</f>
      </c>
      <c r="G9908">
        <f>IF(DATOS!$A9908="",0,IF(CONFIG_METADATA!$B$4&lt;&gt;"OR+EX",--(DATOS!$G9908=CONFIG_METADATA!$B$4),IF(DATOS!$G9908="EX",1,IF(DATOS!$G9908="OR",--(COUNTIFS(nNIA,DATOS!$A9908,nCURSO,DATOS!$D9908,nESPEC,DATOS!$E9908,nASIG,DATOS!$I9908,nEVAL,"EX")=0),0))))</f>
      </c>
      <c r="H9908">
        <f>IF(DATOS!$G9908&lt;&gt;"EX",0,--(COUNTIFS(nNIA,DATOS!$A9908,nCURSO,DATOS!$D9908,nESPEC,DATOS!$E9908,nASIG,DATOS!$I9908,nEVAL,"OR")=0))</f>
      </c>
      <c r="I9908">
        <f>IF(DATOS!$I9908="","",IFERROR(VLOOKUP(DATOS!$I9908,CONFIG_ASIGNATURAS!$B$2:$J$91,9,FALSE()),""))</f>
      </c>
    </row>
    <row r="9909">
      <c r="F9909">
        <f>IF(DATOS!$A9909="","",DATOS!$A9909&amp;"|"&amp;DATOS!$D9909&amp;"|"&amp;DATOS!$E9909&amp;"|"&amp;DATOS!$I9909)</f>
      </c>
      <c r="G9909">
        <f>IF(DATOS!$A9909="",0,IF(CONFIG_METADATA!$B$4&lt;&gt;"OR+EX",--(DATOS!$G9909=CONFIG_METADATA!$B$4),IF(DATOS!$G9909="EX",1,IF(DATOS!$G9909="OR",--(COUNTIFS(nNIA,DATOS!$A9909,nCURSO,DATOS!$D9909,nESPEC,DATOS!$E9909,nASIG,DATOS!$I9909,nEVAL,"EX")=0),0))))</f>
      </c>
      <c r="H9909">
        <f>IF(DATOS!$G9909&lt;&gt;"EX",0,--(COUNTIFS(nNIA,DATOS!$A9909,nCURSO,DATOS!$D9909,nESPEC,DATOS!$E9909,nASIG,DATOS!$I9909,nEVAL,"OR")=0))</f>
      </c>
      <c r="I9909">
        <f>IF(DATOS!$I9909="","",IFERROR(VLOOKUP(DATOS!$I9909,CONFIG_ASIGNATURAS!$B$2:$J$91,9,FALSE()),""))</f>
      </c>
    </row>
    <row r="9910">
      <c r="F9910">
        <f>IF(DATOS!$A9910="","",DATOS!$A9910&amp;"|"&amp;DATOS!$D9910&amp;"|"&amp;DATOS!$E9910&amp;"|"&amp;DATOS!$I9910)</f>
      </c>
      <c r="G9910">
        <f>IF(DATOS!$A9910="",0,IF(CONFIG_METADATA!$B$4&lt;&gt;"OR+EX",--(DATOS!$G9910=CONFIG_METADATA!$B$4),IF(DATOS!$G9910="EX",1,IF(DATOS!$G9910="OR",--(COUNTIFS(nNIA,DATOS!$A9910,nCURSO,DATOS!$D9910,nESPEC,DATOS!$E9910,nASIG,DATOS!$I9910,nEVAL,"EX")=0),0))))</f>
      </c>
      <c r="H9910">
        <f>IF(DATOS!$G9910&lt;&gt;"EX",0,--(COUNTIFS(nNIA,DATOS!$A9910,nCURSO,DATOS!$D9910,nESPEC,DATOS!$E9910,nASIG,DATOS!$I9910,nEVAL,"OR")=0))</f>
      </c>
      <c r="I9910">
        <f>IF(DATOS!$I9910="","",IFERROR(VLOOKUP(DATOS!$I9910,CONFIG_ASIGNATURAS!$B$2:$J$91,9,FALSE()),""))</f>
      </c>
    </row>
    <row r="9911">
      <c r="F9911">
        <f>IF(DATOS!$A9911="","",DATOS!$A9911&amp;"|"&amp;DATOS!$D9911&amp;"|"&amp;DATOS!$E9911&amp;"|"&amp;DATOS!$I9911)</f>
      </c>
      <c r="G9911">
        <f>IF(DATOS!$A9911="",0,IF(CONFIG_METADATA!$B$4&lt;&gt;"OR+EX",--(DATOS!$G9911=CONFIG_METADATA!$B$4),IF(DATOS!$G9911="EX",1,IF(DATOS!$G9911="OR",--(COUNTIFS(nNIA,DATOS!$A9911,nCURSO,DATOS!$D9911,nESPEC,DATOS!$E9911,nASIG,DATOS!$I9911,nEVAL,"EX")=0),0))))</f>
      </c>
      <c r="H9911">
        <f>IF(DATOS!$G9911&lt;&gt;"EX",0,--(COUNTIFS(nNIA,DATOS!$A9911,nCURSO,DATOS!$D9911,nESPEC,DATOS!$E9911,nASIG,DATOS!$I9911,nEVAL,"OR")=0))</f>
      </c>
      <c r="I9911">
        <f>IF(DATOS!$I9911="","",IFERROR(VLOOKUP(DATOS!$I9911,CONFIG_ASIGNATURAS!$B$2:$J$91,9,FALSE()),""))</f>
      </c>
    </row>
    <row r="9912">
      <c r="F9912">
        <f>IF(DATOS!$A9912="","",DATOS!$A9912&amp;"|"&amp;DATOS!$D9912&amp;"|"&amp;DATOS!$E9912&amp;"|"&amp;DATOS!$I9912)</f>
      </c>
      <c r="G9912">
        <f>IF(DATOS!$A9912="",0,IF(CONFIG_METADATA!$B$4&lt;&gt;"OR+EX",--(DATOS!$G9912=CONFIG_METADATA!$B$4),IF(DATOS!$G9912="EX",1,IF(DATOS!$G9912="OR",--(COUNTIFS(nNIA,DATOS!$A9912,nCURSO,DATOS!$D9912,nESPEC,DATOS!$E9912,nASIG,DATOS!$I9912,nEVAL,"EX")=0),0))))</f>
      </c>
      <c r="H9912">
        <f>IF(DATOS!$G9912&lt;&gt;"EX",0,--(COUNTIFS(nNIA,DATOS!$A9912,nCURSO,DATOS!$D9912,nESPEC,DATOS!$E9912,nASIG,DATOS!$I9912,nEVAL,"OR")=0))</f>
      </c>
      <c r="I9912">
        <f>IF(DATOS!$I9912="","",IFERROR(VLOOKUP(DATOS!$I9912,CONFIG_ASIGNATURAS!$B$2:$J$91,9,FALSE()),""))</f>
      </c>
    </row>
    <row r="9913">
      <c r="F9913">
        <f>IF(DATOS!$A9913="","",DATOS!$A9913&amp;"|"&amp;DATOS!$D9913&amp;"|"&amp;DATOS!$E9913&amp;"|"&amp;DATOS!$I9913)</f>
      </c>
      <c r="G9913">
        <f>IF(DATOS!$A9913="",0,IF(CONFIG_METADATA!$B$4&lt;&gt;"OR+EX",--(DATOS!$G9913=CONFIG_METADATA!$B$4),IF(DATOS!$G9913="EX",1,IF(DATOS!$G9913="OR",--(COUNTIFS(nNIA,DATOS!$A9913,nCURSO,DATOS!$D9913,nESPEC,DATOS!$E9913,nASIG,DATOS!$I9913,nEVAL,"EX")=0),0))))</f>
      </c>
      <c r="H9913">
        <f>IF(DATOS!$G9913&lt;&gt;"EX",0,--(COUNTIFS(nNIA,DATOS!$A9913,nCURSO,DATOS!$D9913,nESPEC,DATOS!$E9913,nASIG,DATOS!$I9913,nEVAL,"OR")=0))</f>
      </c>
      <c r="I9913">
        <f>IF(DATOS!$I9913="","",IFERROR(VLOOKUP(DATOS!$I9913,CONFIG_ASIGNATURAS!$B$2:$J$91,9,FALSE()),""))</f>
      </c>
    </row>
    <row r="9914">
      <c r="F9914">
        <f>IF(DATOS!$A9914="","",DATOS!$A9914&amp;"|"&amp;DATOS!$D9914&amp;"|"&amp;DATOS!$E9914&amp;"|"&amp;DATOS!$I9914)</f>
      </c>
      <c r="G9914">
        <f>IF(DATOS!$A9914="",0,IF(CONFIG_METADATA!$B$4&lt;&gt;"OR+EX",--(DATOS!$G9914=CONFIG_METADATA!$B$4),IF(DATOS!$G9914="EX",1,IF(DATOS!$G9914="OR",--(COUNTIFS(nNIA,DATOS!$A9914,nCURSO,DATOS!$D9914,nESPEC,DATOS!$E9914,nASIG,DATOS!$I9914,nEVAL,"EX")=0),0))))</f>
      </c>
      <c r="H9914">
        <f>IF(DATOS!$G9914&lt;&gt;"EX",0,--(COUNTIFS(nNIA,DATOS!$A9914,nCURSO,DATOS!$D9914,nESPEC,DATOS!$E9914,nASIG,DATOS!$I9914,nEVAL,"OR")=0))</f>
      </c>
      <c r="I9914">
        <f>IF(DATOS!$I9914="","",IFERROR(VLOOKUP(DATOS!$I9914,CONFIG_ASIGNATURAS!$B$2:$J$91,9,FALSE()),""))</f>
      </c>
    </row>
    <row r="9915">
      <c r="F9915">
        <f>IF(DATOS!$A9915="","",DATOS!$A9915&amp;"|"&amp;DATOS!$D9915&amp;"|"&amp;DATOS!$E9915&amp;"|"&amp;DATOS!$I9915)</f>
      </c>
      <c r="G9915">
        <f>IF(DATOS!$A9915="",0,IF(CONFIG_METADATA!$B$4&lt;&gt;"OR+EX",--(DATOS!$G9915=CONFIG_METADATA!$B$4),IF(DATOS!$G9915="EX",1,IF(DATOS!$G9915="OR",--(COUNTIFS(nNIA,DATOS!$A9915,nCURSO,DATOS!$D9915,nESPEC,DATOS!$E9915,nASIG,DATOS!$I9915,nEVAL,"EX")=0),0))))</f>
      </c>
      <c r="H9915">
        <f>IF(DATOS!$G9915&lt;&gt;"EX",0,--(COUNTIFS(nNIA,DATOS!$A9915,nCURSO,DATOS!$D9915,nESPEC,DATOS!$E9915,nASIG,DATOS!$I9915,nEVAL,"OR")=0))</f>
      </c>
      <c r="I9915">
        <f>IF(DATOS!$I9915="","",IFERROR(VLOOKUP(DATOS!$I9915,CONFIG_ASIGNATURAS!$B$2:$J$91,9,FALSE()),""))</f>
      </c>
    </row>
    <row r="9916">
      <c r="F9916">
        <f>IF(DATOS!$A9916="","",DATOS!$A9916&amp;"|"&amp;DATOS!$D9916&amp;"|"&amp;DATOS!$E9916&amp;"|"&amp;DATOS!$I9916)</f>
      </c>
      <c r="G9916">
        <f>IF(DATOS!$A9916="",0,IF(CONFIG_METADATA!$B$4&lt;&gt;"OR+EX",--(DATOS!$G9916=CONFIG_METADATA!$B$4),IF(DATOS!$G9916="EX",1,IF(DATOS!$G9916="OR",--(COUNTIFS(nNIA,DATOS!$A9916,nCURSO,DATOS!$D9916,nESPEC,DATOS!$E9916,nASIG,DATOS!$I9916,nEVAL,"EX")=0),0))))</f>
      </c>
      <c r="H9916">
        <f>IF(DATOS!$G9916&lt;&gt;"EX",0,--(COUNTIFS(nNIA,DATOS!$A9916,nCURSO,DATOS!$D9916,nESPEC,DATOS!$E9916,nASIG,DATOS!$I9916,nEVAL,"OR")=0))</f>
      </c>
      <c r="I9916">
        <f>IF(DATOS!$I9916="","",IFERROR(VLOOKUP(DATOS!$I9916,CONFIG_ASIGNATURAS!$B$2:$J$91,9,FALSE()),""))</f>
      </c>
    </row>
    <row r="9917">
      <c r="F9917">
        <f>IF(DATOS!$A9917="","",DATOS!$A9917&amp;"|"&amp;DATOS!$D9917&amp;"|"&amp;DATOS!$E9917&amp;"|"&amp;DATOS!$I9917)</f>
      </c>
      <c r="G9917">
        <f>IF(DATOS!$A9917="",0,IF(CONFIG_METADATA!$B$4&lt;&gt;"OR+EX",--(DATOS!$G9917=CONFIG_METADATA!$B$4),IF(DATOS!$G9917="EX",1,IF(DATOS!$G9917="OR",--(COUNTIFS(nNIA,DATOS!$A9917,nCURSO,DATOS!$D9917,nESPEC,DATOS!$E9917,nASIG,DATOS!$I9917,nEVAL,"EX")=0),0))))</f>
      </c>
      <c r="H9917">
        <f>IF(DATOS!$G9917&lt;&gt;"EX",0,--(COUNTIFS(nNIA,DATOS!$A9917,nCURSO,DATOS!$D9917,nESPEC,DATOS!$E9917,nASIG,DATOS!$I9917,nEVAL,"OR")=0))</f>
      </c>
      <c r="I9917">
        <f>IF(DATOS!$I9917="","",IFERROR(VLOOKUP(DATOS!$I9917,CONFIG_ASIGNATURAS!$B$2:$J$91,9,FALSE()),""))</f>
      </c>
    </row>
    <row r="9918">
      <c r="F9918">
        <f>IF(DATOS!$A9918="","",DATOS!$A9918&amp;"|"&amp;DATOS!$D9918&amp;"|"&amp;DATOS!$E9918&amp;"|"&amp;DATOS!$I9918)</f>
      </c>
      <c r="G9918">
        <f>IF(DATOS!$A9918="",0,IF(CONFIG_METADATA!$B$4&lt;&gt;"OR+EX",--(DATOS!$G9918=CONFIG_METADATA!$B$4),IF(DATOS!$G9918="EX",1,IF(DATOS!$G9918="OR",--(COUNTIFS(nNIA,DATOS!$A9918,nCURSO,DATOS!$D9918,nESPEC,DATOS!$E9918,nASIG,DATOS!$I9918,nEVAL,"EX")=0),0))))</f>
      </c>
      <c r="H9918">
        <f>IF(DATOS!$G9918&lt;&gt;"EX",0,--(COUNTIFS(nNIA,DATOS!$A9918,nCURSO,DATOS!$D9918,nESPEC,DATOS!$E9918,nASIG,DATOS!$I9918,nEVAL,"OR")=0))</f>
      </c>
      <c r="I9918">
        <f>IF(DATOS!$I9918="","",IFERROR(VLOOKUP(DATOS!$I9918,CONFIG_ASIGNATURAS!$B$2:$J$91,9,FALSE()),""))</f>
      </c>
    </row>
    <row r="9919">
      <c r="F9919">
        <f>IF(DATOS!$A9919="","",DATOS!$A9919&amp;"|"&amp;DATOS!$D9919&amp;"|"&amp;DATOS!$E9919&amp;"|"&amp;DATOS!$I9919)</f>
      </c>
      <c r="G9919">
        <f>IF(DATOS!$A9919="",0,IF(CONFIG_METADATA!$B$4&lt;&gt;"OR+EX",--(DATOS!$G9919=CONFIG_METADATA!$B$4),IF(DATOS!$G9919="EX",1,IF(DATOS!$G9919="OR",--(COUNTIFS(nNIA,DATOS!$A9919,nCURSO,DATOS!$D9919,nESPEC,DATOS!$E9919,nASIG,DATOS!$I9919,nEVAL,"EX")=0),0))))</f>
      </c>
      <c r="H9919">
        <f>IF(DATOS!$G9919&lt;&gt;"EX",0,--(COUNTIFS(nNIA,DATOS!$A9919,nCURSO,DATOS!$D9919,nESPEC,DATOS!$E9919,nASIG,DATOS!$I9919,nEVAL,"OR")=0))</f>
      </c>
      <c r="I9919">
        <f>IF(DATOS!$I9919="","",IFERROR(VLOOKUP(DATOS!$I9919,CONFIG_ASIGNATURAS!$B$2:$J$91,9,FALSE()),""))</f>
      </c>
    </row>
    <row r="9920">
      <c r="F9920">
        <f>IF(DATOS!$A9920="","",DATOS!$A9920&amp;"|"&amp;DATOS!$D9920&amp;"|"&amp;DATOS!$E9920&amp;"|"&amp;DATOS!$I9920)</f>
      </c>
      <c r="G9920">
        <f>IF(DATOS!$A9920="",0,IF(CONFIG_METADATA!$B$4&lt;&gt;"OR+EX",--(DATOS!$G9920=CONFIG_METADATA!$B$4),IF(DATOS!$G9920="EX",1,IF(DATOS!$G9920="OR",--(COUNTIFS(nNIA,DATOS!$A9920,nCURSO,DATOS!$D9920,nESPEC,DATOS!$E9920,nASIG,DATOS!$I9920,nEVAL,"EX")=0),0))))</f>
      </c>
      <c r="H9920">
        <f>IF(DATOS!$G9920&lt;&gt;"EX",0,--(COUNTIFS(nNIA,DATOS!$A9920,nCURSO,DATOS!$D9920,nESPEC,DATOS!$E9920,nASIG,DATOS!$I9920,nEVAL,"OR")=0))</f>
      </c>
      <c r="I9920">
        <f>IF(DATOS!$I9920="","",IFERROR(VLOOKUP(DATOS!$I9920,CONFIG_ASIGNATURAS!$B$2:$J$91,9,FALSE()),""))</f>
      </c>
    </row>
    <row r="9921">
      <c r="F9921">
        <f>IF(DATOS!$A9921="","",DATOS!$A9921&amp;"|"&amp;DATOS!$D9921&amp;"|"&amp;DATOS!$E9921&amp;"|"&amp;DATOS!$I9921)</f>
      </c>
      <c r="G9921">
        <f>IF(DATOS!$A9921="",0,IF(CONFIG_METADATA!$B$4&lt;&gt;"OR+EX",--(DATOS!$G9921=CONFIG_METADATA!$B$4),IF(DATOS!$G9921="EX",1,IF(DATOS!$G9921="OR",--(COUNTIFS(nNIA,DATOS!$A9921,nCURSO,DATOS!$D9921,nESPEC,DATOS!$E9921,nASIG,DATOS!$I9921,nEVAL,"EX")=0),0))))</f>
      </c>
      <c r="H9921">
        <f>IF(DATOS!$G9921&lt;&gt;"EX",0,--(COUNTIFS(nNIA,DATOS!$A9921,nCURSO,DATOS!$D9921,nESPEC,DATOS!$E9921,nASIG,DATOS!$I9921,nEVAL,"OR")=0))</f>
      </c>
      <c r="I9921">
        <f>IF(DATOS!$I9921="","",IFERROR(VLOOKUP(DATOS!$I9921,CONFIG_ASIGNATURAS!$B$2:$J$91,9,FALSE()),""))</f>
      </c>
    </row>
    <row r="9922">
      <c r="F9922">
        <f>IF(DATOS!$A9922="","",DATOS!$A9922&amp;"|"&amp;DATOS!$D9922&amp;"|"&amp;DATOS!$E9922&amp;"|"&amp;DATOS!$I9922)</f>
      </c>
      <c r="G9922">
        <f>IF(DATOS!$A9922="",0,IF(CONFIG_METADATA!$B$4&lt;&gt;"OR+EX",--(DATOS!$G9922=CONFIG_METADATA!$B$4),IF(DATOS!$G9922="EX",1,IF(DATOS!$G9922="OR",--(COUNTIFS(nNIA,DATOS!$A9922,nCURSO,DATOS!$D9922,nESPEC,DATOS!$E9922,nASIG,DATOS!$I9922,nEVAL,"EX")=0),0))))</f>
      </c>
      <c r="H9922">
        <f>IF(DATOS!$G9922&lt;&gt;"EX",0,--(COUNTIFS(nNIA,DATOS!$A9922,nCURSO,DATOS!$D9922,nESPEC,DATOS!$E9922,nASIG,DATOS!$I9922,nEVAL,"OR")=0))</f>
      </c>
      <c r="I9922">
        <f>IF(DATOS!$I9922="","",IFERROR(VLOOKUP(DATOS!$I9922,CONFIG_ASIGNATURAS!$B$2:$J$91,9,FALSE()),""))</f>
      </c>
    </row>
    <row r="9923">
      <c r="F9923">
        <f>IF(DATOS!$A9923="","",DATOS!$A9923&amp;"|"&amp;DATOS!$D9923&amp;"|"&amp;DATOS!$E9923&amp;"|"&amp;DATOS!$I9923)</f>
      </c>
      <c r="G9923">
        <f>IF(DATOS!$A9923="",0,IF(CONFIG_METADATA!$B$4&lt;&gt;"OR+EX",--(DATOS!$G9923=CONFIG_METADATA!$B$4),IF(DATOS!$G9923="EX",1,IF(DATOS!$G9923="OR",--(COUNTIFS(nNIA,DATOS!$A9923,nCURSO,DATOS!$D9923,nESPEC,DATOS!$E9923,nASIG,DATOS!$I9923,nEVAL,"EX")=0),0))))</f>
      </c>
      <c r="H9923">
        <f>IF(DATOS!$G9923&lt;&gt;"EX",0,--(COUNTIFS(nNIA,DATOS!$A9923,nCURSO,DATOS!$D9923,nESPEC,DATOS!$E9923,nASIG,DATOS!$I9923,nEVAL,"OR")=0))</f>
      </c>
      <c r="I9923">
        <f>IF(DATOS!$I9923="","",IFERROR(VLOOKUP(DATOS!$I9923,CONFIG_ASIGNATURAS!$B$2:$J$91,9,FALSE()),""))</f>
      </c>
    </row>
    <row r="9924">
      <c r="F9924">
        <f>IF(DATOS!$A9924="","",DATOS!$A9924&amp;"|"&amp;DATOS!$D9924&amp;"|"&amp;DATOS!$E9924&amp;"|"&amp;DATOS!$I9924)</f>
      </c>
      <c r="G9924">
        <f>IF(DATOS!$A9924="",0,IF(CONFIG_METADATA!$B$4&lt;&gt;"OR+EX",--(DATOS!$G9924=CONFIG_METADATA!$B$4),IF(DATOS!$G9924="EX",1,IF(DATOS!$G9924="OR",--(COUNTIFS(nNIA,DATOS!$A9924,nCURSO,DATOS!$D9924,nESPEC,DATOS!$E9924,nASIG,DATOS!$I9924,nEVAL,"EX")=0),0))))</f>
      </c>
      <c r="H9924">
        <f>IF(DATOS!$G9924&lt;&gt;"EX",0,--(COUNTIFS(nNIA,DATOS!$A9924,nCURSO,DATOS!$D9924,nESPEC,DATOS!$E9924,nASIG,DATOS!$I9924,nEVAL,"OR")=0))</f>
      </c>
      <c r="I9924">
        <f>IF(DATOS!$I9924="","",IFERROR(VLOOKUP(DATOS!$I9924,CONFIG_ASIGNATURAS!$B$2:$J$91,9,FALSE()),""))</f>
      </c>
    </row>
    <row r="9925">
      <c r="F9925">
        <f>IF(DATOS!$A9925="","",DATOS!$A9925&amp;"|"&amp;DATOS!$D9925&amp;"|"&amp;DATOS!$E9925&amp;"|"&amp;DATOS!$I9925)</f>
      </c>
      <c r="G9925">
        <f>IF(DATOS!$A9925="",0,IF(CONFIG_METADATA!$B$4&lt;&gt;"OR+EX",--(DATOS!$G9925=CONFIG_METADATA!$B$4),IF(DATOS!$G9925="EX",1,IF(DATOS!$G9925="OR",--(COUNTIFS(nNIA,DATOS!$A9925,nCURSO,DATOS!$D9925,nESPEC,DATOS!$E9925,nASIG,DATOS!$I9925,nEVAL,"EX")=0),0))))</f>
      </c>
      <c r="H9925">
        <f>IF(DATOS!$G9925&lt;&gt;"EX",0,--(COUNTIFS(nNIA,DATOS!$A9925,nCURSO,DATOS!$D9925,nESPEC,DATOS!$E9925,nASIG,DATOS!$I9925,nEVAL,"OR")=0))</f>
      </c>
      <c r="I9925">
        <f>IF(DATOS!$I9925="","",IFERROR(VLOOKUP(DATOS!$I9925,CONFIG_ASIGNATURAS!$B$2:$J$91,9,FALSE()),""))</f>
      </c>
    </row>
    <row r="9926">
      <c r="F9926">
        <f>IF(DATOS!$A9926="","",DATOS!$A9926&amp;"|"&amp;DATOS!$D9926&amp;"|"&amp;DATOS!$E9926&amp;"|"&amp;DATOS!$I9926)</f>
      </c>
      <c r="G9926">
        <f>IF(DATOS!$A9926="",0,IF(CONFIG_METADATA!$B$4&lt;&gt;"OR+EX",--(DATOS!$G9926=CONFIG_METADATA!$B$4),IF(DATOS!$G9926="EX",1,IF(DATOS!$G9926="OR",--(COUNTIFS(nNIA,DATOS!$A9926,nCURSO,DATOS!$D9926,nESPEC,DATOS!$E9926,nASIG,DATOS!$I9926,nEVAL,"EX")=0),0))))</f>
      </c>
      <c r="H9926">
        <f>IF(DATOS!$G9926&lt;&gt;"EX",0,--(COUNTIFS(nNIA,DATOS!$A9926,nCURSO,DATOS!$D9926,nESPEC,DATOS!$E9926,nASIG,DATOS!$I9926,nEVAL,"OR")=0))</f>
      </c>
      <c r="I9926">
        <f>IF(DATOS!$I9926="","",IFERROR(VLOOKUP(DATOS!$I9926,CONFIG_ASIGNATURAS!$B$2:$J$91,9,FALSE()),""))</f>
      </c>
    </row>
    <row r="9927">
      <c r="F9927">
        <f>IF(DATOS!$A9927="","",DATOS!$A9927&amp;"|"&amp;DATOS!$D9927&amp;"|"&amp;DATOS!$E9927&amp;"|"&amp;DATOS!$I9927)</f>
      </c>
      <c r="G9927">
        <f>IF(DATOS!$A9927="",0,IF(CONFIG_METADATA!$B$4&lt;&gt;"OR+EX",--(DATOS!$G9927=CONFIG_METADATA!$B$4),IF(DATOS!$G9927="EX",1,IF(DATOS!$G9927="OR",--(COUNTIFS(nNIA,DATOS!$A9927,nCURSO,DATOS!$D9927,nESPEC,DATOS!$E9927,nASIG,DATOS!$I9927,nEVAL,"EX")=0),0))))</f>
      </c>
      <c r="H9927">
        <f>IF(DATOS!$G9927&lt;&gt;"EX",0,--(COUNTIFS(nNIA,DATOS!$A9927,nCURSO,DATOS!$D9927,nESPEC,DATOS!$E9927,nASIG,DATOS!$I9927,nEVAL,"OR")=0))</f>
      </c>
      <c r="I9927">
        <f>IF(DATOS!$I9927="","",IFERROR(VLOOKUP(DATOS!$I9927,CONFIG_ASIGNATURAS!$B$2:$J$91,9,FALSE()),""))</f>
      </c>
    </row>
    <row r="9928">
      <c r="F9928">
        <f>IF(DATOS!$A9928="","",DATOS!$A9928&amp;"|"&amp;DATOS!$D9928&amp;"|"&amp;DATOS!$E9928&amp;"|"&amp;DATOS!$I9928)</f>
      </c>
      <c r="G9928">
        <f>IF(DATOS!$A9928="",0,IF(CONFIG_METADATA!$B$4&lt;&gt;"OR+EX",--(DATOS!$G9928=CONFIG_METADATA!$B$4),IF(DATOS!$G9928="EX",1,IF(DATOS!$G9928="OR",--(COUNTIFS(nNIA,DATOS!$A9928,nCURSO,DATOS!$D9928,nESPEC,DATOS!$E9928,nASIG,DATOS!$I9928,nEVAL,"EX")=0),0))))</f>
      </c>
      <c r="H9928">
        <f>IF(DATOS!$G9928&lt;&gt;"EX",0,--(COUNTIFS(nNIA,DATOS!$A9928,nCURSO,DATOS!$D9928,nESPEC,DATOS!$E9928,nASIG,DATOS!$I9928,nEVAL,"OR")=0))</f>
      </c>
      <c r="I9928">
        <f>IF(DATOS!$I9928="","",IFERROR(VLOOKUP(DATOS!$I9928,CONFIG_ASIGNATURAS!$B$2:$J$91,9,FALSE()),""))</f>
      </c>
    </row>
    <row r="9929">
      <c r="F9929">
        <f>IF(DATOS!$A9929="","",DATOS!$A9929&amp;"|"&amp;DATOS!$D9929&amp;"|"&amp;DATOS!$E9929&amp;"|"&amp;DATOS!$I9929)</f>
      </c>
      <c r="G9929">
        <f>IF(DATOS!$A9929="",0,IF(CONFIG_METADATA!$B$4&lt;&gt;"OR+EX",--(DATOS!$G9929=CONFIG_METADATA!$B$4),IF(DATOS!$G9929="EX",1,IF(DATOS!$G9929="OR",--(COUNTIFS(nNIA,DATOS!$A9929,nCURSO,DATOS!$D9929,nESPEC,DATOS!$E9929,nASIG,DATOS!$I9929,nEVAL,"EX")=0),0))))</f>
      </c>
      <c r="H9929">
        <f>IF(DATOS!$G9929&lt;&gt;"EX",0,--(COUNTIFS(nNIA,DATOS!$A9929,nCURSO,DATOS!$D9929,nESPEC,DATOS!$E9929,nASIG,DATOS!$I9929,nEVAL,"OR")=0))</f>
      </c>
      <c r="I9929">
        <f>IF(DATOS!$I9929="","",IFERROR(VLOOKUP(DATOS!$I9929,CONFIG_ASIGNATURAS!$B$2:$J$91,9,FALSE()),""))</f>
      </c>
    </row>
    <row r="9930">
      <c r="F9930">
        <f>IF(DATOS!$A9930="","",DATOS!$A9930&amp;"|"&amp;DATOS!$D9930&amp;"|"&amp;DATOS!$E9930&amp;"|"&amp;DATOS!$I9930)</f>
      </c>
      <c r="G9930">
        <f>IF(DATOS!$A9930="",0,IF(CONFIG_METADATA!$B$4&lt;&gt;"OR+EX",--(DATOS!$G9930=CONFIG_METADATA!$B$4),IF(DATOS!$G9930="EX",1,IF(DATOS!$G9930="OR",--(COUNTIFS(nNIA,DATOS!$A9930,nCURSO,DATOS!$D9930,nESPEC,DATOS!$E9930,nASIG,DATOS!$I9930,nEVAL,"EX")=0),0))))</f>
      </c>
      <c r="H9930">
        <f>IF(DATOS!$G9930&lt;&gt;"EX",0,--(COUNTIFS(nNIA,DATOS!$A9930,nCURSO,DATOS!$D9930,nESPEC,DATOS!$E9930,nASIG,DATOS!$I9930,nEVAL,"OR")=0))</f>
      </c>
      <c r="I9930">
        <f>IF(DATOS!$I9930="","",IFERROR(VLOOKUP(DATOS!$I9930,CONFIG_ASIGNATURAS!$B$2:$J$91,9,FALSE()),""))</f>
      </c>
    </row>
    <row r="9931">
      <c r="F9931">
        <f>IF(DATOS!$A9931="","",DATOS!$A9931&amp;"|"&amp;DATOS!$D9931&amp;"|"&amp;DATOS!$E9931&amp;"|"&amp;DATOS!$I9931)</f>
      </c>
      <c r="G9931">
        <f>IF(DATOS!$A9931="",0,IF(CONFIG_METADATA!$B$4&lt;&gt;"OR+EX",--(DATOS!$G9931=CONFIG_METADATA!$B$4),IF(DATOS!$G9931="EX",1,IF(DATOS!$G9931="OR",--(COUNTIFS(nNIA,DATOS!$A9931,nCURSO,DATOS!$D9931,nESPEC,DATOS!$E9931,nASIG,DATOS!$I9931,nEVAL,"EX")=0),0))))</f>
      </c>
      <c r="H9931">
        <f>IF(DATOS!$G9931&lt;&gt;"EX",0,--(COUNTIFS(nNIA,DATOS!$A9931,nCURSO,DATOS!$D9931,nESPEC,DATOS!$E9931,nASIG,DATOS!$I9931,nEVAL,"OR")=0))</f>
      </c>
      <c r="I9931">
        <f>IF(DATOS!$I9931="","",IFERROR(VLOOKUP(DATOS!$I9931,CONFIG_ASIGNATURAS!$B$2:$J$91,9,FALSE()),""))</f>
      </c>
    </row>
    <row r="9932">
      <c r="F9932">
        <f>IF(DATOS!$A9932="","",DATOS!$A9932&amp;"|"&amp;DATOS!$D9932&amp;"|"&amp;DATOS!$E9932&amp;"|"&amp;DATOS!$I9932)</f>
      </c>
      <c r="G9932">
        <f>IF(DATOS!$A9932="",0,IF(CONFIG_METADATA!$B$4&lt;&gt;"OR+EX",--(DATOS!$G9932=CONFIG_METADATA!$B$4),IF(DATOS!$G9932="EX",1,IF(DATOS!$G9932="OR",--(COUNTIFS(nNIA,DATOS!$A9932,nCURSO,DATOS!$D9932,nESPEC,DATOS!$E9932,nASIG,DATOS!$I9932,nEVAL,"EX")=0),0))))</f>
      </c>
      <c r="H9932">
        <f>IF(DATOS!$G9932&lt;&gt;"EX",0,--(COUNTIFS(nNIA,DATOS!$A9932,nCURSO,DATOS!$D9932,nESPEC,DATOS!$E9932,nASIG,DATOS!$I9932,nEVAL,"OR")=0))</f>
      </c>
      <c r="I9932">
        <f>IF(DATOS!$I9932="","",IFERROR(VLOOKUP(DATOS!$I9932,CONFIG_ASIGNATURAS!$B$2:$J$91,9,FALSE()),""))</f>
      </c>
    </row>
    <row r="9933">
      <c r="F9933">
        <f>IF(DATOS!$A9933="","",DATOS!$A9933&amp;"|"&amp;DATOS!$D9933&amp;"|"&amp;DATOS!$E9933&amp;"|"&amp;DATOS!$I9933)</f>
      </c>
      <c r="G9933">
        <f>IF(DATOS!$A9933="",0,IF(CONFIG_METADATA!$B$4&lt;&gt;"OR+EX",--(DATOS!$G9933=CONFIG_METADATA!$B$4),IF(DATOS!$G9933="EX",1,IF(DATOS!$G9933="OR",--(COUNTIFS(nNIA,DATOS!$A9933,nCURSO,DATOS!$D9933,nESPEC,DATOS!$E9933,nASIG,DATOS!$I9933,nEVAL,"EX")=0),0))))</f>
      </c>
      <c r="H9933">
        <f>IF(DATOS!$G9933&lt;&gt;"EX",0,--(COUNTIFS(nNIA,DATOS!$A9933,nCURSO,DATOS!$D9933,nESPEC,DATOS!$E9933,nASIG,DATOS!$I9933,nEVAL,"OR")=0))</f>
      </c>
      <c r="I9933">
        <f>IF(DATOS!$I9933="","",IFERROR(VLOOKUP(DATOS!$I9933,CONFIG_ASIGNATURAS!$B$2:$J$91,9,FALSE()),""))</f>
      </c>
    </row>
    <row r="9934">
      <c r="F9934">
        <f>IF(DATOS!$A9934="","",DATOS!$A9934&amp;"|"&amp;DATOS!$D9934&amp;"|"&amp;DATOS!$E9934&amp;"|"&amp;DATOS!$I9934)</f>
      </c>
      <c r="G9934">
        <f>IF(DATOS!$A9934="",0,IF(CONFIG_METADATA!$B$4&lt;&gt;"OR+EX",--(DATOS!$G9934=CONFIG_METADATA!$B$4),IF(DATOS!$G9934="EX",1,IF(DATOS!$G9934="OR",--(COUNTIFS(nNIA,DATOS!$A9934,nCURSO,DATOS!$D9934,nESPEC,DATOS!$E9934,nASIG,DATOS!$I9934,nEVAL,"EX")=0),0))))</f>
      </c>
      <c r="H9934">
        <f>IF(DATOS!$G9934&lt;&gt;"EX",0,--(COUNTIFS(nNIA,DATOS!$A9934,nCURSO,DATOS!$D9934,nESPEC,DATOS!$E9934,nASIG,DATOS!$I9934,nEVAL,"OR")=0))</f>
      </c>
      <c r="I9934">
        <f>IF(DATOS!$I9934="","",IFERROR(VLOOKUP(DATOS!$I9934,CONFIG_ASIGNATURAS!$B$2:$J$91,9,FALSE()),""))</f>
      </c>
    </row>
    <row r="9935">
      <c r="F9935">
        <f>IF(DATOS!$A9935="","",DATOS!$A9935&amp;"|"&amp;DATOS!$D9935&amp;"|"&amp;DATOS!$E9935&amp;"|"&amp;DATOS!$I9935)</f>
      </c>
      <c r="G9935">
        <f>IF(DATOS!$A9935="",0,IF(CONFIG_METADATA!$B$4&lt;&gt;"OR+EX",--(DATOS!$G9935=CONFIG_METADATA!$B$4),IF(DATOS!$G9935="EX",1,IF(DATOS!$G9935="OR",--(COUNTIFS(nNIA,DATOS!$A9935,nCURSO,DATOS!$D9935,nESPEC,DATOS!$E9935,nASIG,DATOS!$I9935,nEVAL,"EX")=0),0))))</f>
      </c>
      <c r="H9935">
        <f>IF(DATOS!$G9935&lt;&gt;"EX",0,--(COUNTIFS(nNIA,DATOS!$A9935,nCURSO,DATOS!$D9935,nESPEC,DATOS!$E9935,nASIG,DATOS!$I9935,nEVAL,"OR")=0))</f>
      </c>
      <c r="I9935">
        <f>IF(DATOS!$I9935="","",IFERROR(VLOOKUP(DATOS!$I9935,CONFIG_ASIGNATURAS!$B$2:$J$91,9,FALSE()),""))</f>
      </c>
    </row>
    <row r="9936">
      <c r="F9936">
        <f>IF(DATOS!$A9936="","",DATOS!$A9936&amp;"|"&amp;DATOS!$D9936&amp;"|"&amp;DATOS!$E9936&amp;"|"&amp;DATOS!$I9936)</f>
      </c>
      <c r="G9936">
        <f>IF(DATOS!$A9936="",0,IF(CONFIG_METADATA!$B$4&lt;&gt;"OR+EX",--(DATOS!$G9936=CONFIG_METADATA!$B$4),IF(DATOS!$G9936="EX",1,IF(DATOS!$G9936="OR",--(COUNTIFS(nNIA,DATOS!$A9936,nCURSO,DATOS!$D9936,nESPEC,DATOS!$E9936,nASIG,DATOS!$I9936,nEVAL,"EX")=0),0))))</f>
      </c>
      <c r="H9936">
        <f>IF(DATOS!$G9936&lt;&gt;"EX",0,--(COUNTIFS(nNIA,DATOS!$A9936,nCURSO,DATOS!$D9936,nESPEC,DATOS!$E9936,nASIG,DATOS!$I9936,nEVAL,"OR")=0))</f>
      </c>
      <c r="I9936">
        <f>IF(DATOS!$I9936="","",IFERROR(VLOOKUP(DATOS!$I9936,CONFIG_ASIGNATURAS!$B$2:$J$91,9,FALSE()),""))</f>
      </c>
    </row>
    <row r="9937">
      <c r="F9937">
        <f>IF(DATOS!$A9937="","",DATOS!$A9937&amp;"|"&amp;DATOS!$D9937&amp;"|"&amp;DATOS!$E9937&amp;"|"&amp;DATOS!$I9937)</f>
      </c>
      <c r="G9937">
        <f>IF(DATOS!$A9937="",0,IF(CONFIG_METADATA!$B$4&lt;&gt;"OR+EX",--(DATOS!$G9937=CONFIG_METADATA!$B$4),IF(DATOS!$G9937="EX",1,IF(DATOS!$G9937="OR",--(COUNTIFS(nNIA,DATOS!$A9937,nCURSO,DATOS!$D9937,nESPEC,DATOS!$E9937,nASIG,DATOS!$I9937,nEVAL,"EX")=0),0))))</f>
      </c>
      <c r="H9937">
        <f>IF(DATOS!$G9937&lt;&gt;"EX",0,--(COUNTIFS(nNIA,DATOS!$A9937,nCURSO,DATOS!$D9937,nESPEC,DATOS!$E9937,nASIG,DATOS!$I9937,nEVAL,"OR")=0))</f>
      </c>
      <c r="I9937">
        <f>IF(DATOS!$I9937="","",IFERROR(VLOOKUP(DATOS!$I9937,CONFIG_ASIGNATURAS!$B$2:$J$91,9,FALSE()),""))</f>
      </c>
    </row>
    <row r="9938">
      <c r="F9938">
        <f>IF(DATOS!$A9938="","",DATOS!$A9938&amp;"|"&amp;DATOS!$D9938&amp;"|"&amp;DATOS!$E9938&amp;"|"&amp;DATOS!$I9938)</f>
      </c>
      <c r="G9938">
        <f>IF(DATOS!$A9938="",0,IF(CONFIG_METADATA!$B$4&lt;&gt;"OR+EX",--(DATOS!$G9938=CONFIG_METADATA!$B$4),IF(DATOS!$G9938="EX",1,IF(DATOS!$G9938="OR",--(COUNTIFS(nNIA,DATOS!$A9938,nCURSO,DATOS!$D9938,nESPEC,DATOS!$E9938,nASIG,DATOS!$I9938,nEVAL,"EX")=0),0))))</f>
      </c>
      <c r="H9938">
        <f>IF(DATOS!$G9938&lt;&gt;"EX",0,--(COUNTIFS(nNIA,DATOS!$A9938,nCURSO,DATOS!$D9938,nESPEC,DATOS!$E9938,nASIG,DATOS!$I9938,nEVAL,"OR")=0))</f>
      </c>
      <c r="I9938">
        <f>IF(DATOS!$I9938="","",IFERROR(VLOOKUP(DATOS!$I9938,CONFIG_ASIGNATURAS!$B$2:$J$91,9,FALSE()),""))</f>
      </c>
    </row>
    <row r="9939">
      <c r="F9939">
        <f>IF(DATOS!$A9939="","",DATOS!$A9939&amp;"|"&amp;DATOS!$D9939&amp;"|"&amp;DATOS!$E9939&amp;"|"&amp;DATOS!$I9939)</f>
      </c>
      <c r="G9939">
        <f>IF(DATOS!$A9939="",0,IF(CONFIG_METADATA!$B$4&lt;&gt;"OR+EX",--(DATOS!$G9939=CONFIG_METADATA!$B$4),IF(DATOS!$G9939="EX",1,IF(DATOS!$G9939="OR",--(COUNTIFS(nNIA,DATOS!$A9939,nCURSO,DATOS!$D9939,nESPEC,DATOS!$E9939,nASIG,DATOS!$I9939,nEVAL,"EX")=0),0))))</f>
      </c>
      <c r="H9939">
        <f>IF(DATOS!$G9939&lt;&gt;"EX",0,--(COUNTIFS(nNIA,DATOS!$A9939,nCURSO,DATOS!$D9939,nESPEC,DATOS!$E9939,nASIG,DATOS!$I9939,nEVAL,"OR")=0))</f>
      </c>
      <c r="I9939">
        <f>IF(DATOS!$I9939="","",IFERROR(VLOOKUP(DATOS!$I9939,CONFIG_ASIGNATURAS!$B$2:$J$91,9,FALSE()),""))</f>
      </c>
    </row>
    <row r="9940">
      <c r="F9940">
        <f>IF(DATOS!$A9940="","",DATOS!$A9940&amp;"|"&amp;DATOS!$D9940&amp;"|"&amp;DATOS!$E9940&amp;"|"&amp;DATOS!$I9940)</f>
      </c>
      <c r="G9940">
        <f>IF(DATOS!$A9940="",0,IF(CONFIG_METADATA!$B$4&lt;&gt;"OR+EX",--(DATOS!$G9940=CONFIG_METADATA!$B$4),IF(DATOS!$G9940="EX",1,IF(DATOS!$G9940="OR",--(COUNTIFS(nNIA,DATOS!$A9940,nCURSO,DATOS!$D9940,nESPEC,DATOS!$E9940,nASIG,DATOS!$I9940,nEVAL,"EX")=0),0))))</f>
      </c>
      <c r="H9940">
        <f>IF(DATOS!$G9940&lt;&gt;"EX",0,--(COUNTIFS(nNIA,DATOS!$A9940,nCURSO,DATOS!$D9940,nESPEC,DATOS!$E9940,nASIG,DATOS!$I9940,nEVAL,"OR")=0))</f>
      </c>
      <c r="I9940">
        <f>IF(DATOS!$I9940="","",IFERROR(VLOOKUP(DATOS!$I9940,CONFIG_ASIGNATURAS!$B$2:$J$91,9,FALSE()),""))</f>
      </c>
    </row>
    <row r="9941">
      <c r="F9941">
        <f>IF(DATOS!$A9941="","",DATOS!$A9941&amp;"|"&amp;DATOS!$D9941&amp;"|"&amp;DATOS!$E9941&amp;"|"&amp;DATOS!$I9941)</f>
      </c>
      <c r="G9941">
        <f>IF(DATOS!$A9941="",0,IF(CONFIG_METADATA!$B$4&lt;&gt;"OR+EX",--(DATOS!$G9941=CONFIG_METADATA!$B$4),IF(DATOS!$G9941="EX",1,IF(DATOS!$G9941="OR",--(COUNTIFS(nNIA,DATOS!$A9941,nCURSO,DATOS!$D9941,nESPEC,DATOS!$E9941,nASIG,DATOS!$I9941,nEVAL,"EX")=0),0))))</f>
      </c>
      <c r="H9941">
        <f>IF(DATOS!$G9941&lt;&gt;"EX",0,--(COUNTIFS(nNIA,DATOS!$A9941,nCURSO,DATOS!$D9941,nESPEC,DATOS!$E9941,nASIG,DATOS!$I9941,nEVAL,"OR")=0))</f>
      </c>
      <c r="I9941">
        <f>IF(DATOS!$I9941="","",IFERROR(VLOOKUP(DATOS!$I9941,CONFIG_ASIGNATURAS!$B$2:$J$91,9,FALSE()),""))</f>
      </c>
    </row>
    <row r="9942">
      <c r="F9942">
        <f>IF(DATOS!$A9942="","",DATOS!$A9942&amp;"|"&amp;DATOS!$D9942&amp;"|"&amp;DATOS!$E9942&amp;"|"&amp;DATOS!$I9942)</f>
      </c>
      <c r="G9942">
        <f>IF(DATOS!$A9942="",0,IF(CONFIG_METADATA!$B$4&lt;&gt;"OR+EX",--(DATOS!$G9942=CONFIG_METADATA!$B$4),IF(DATOS!$G9942="EX",1,IF(DATOS!$G9942="OR",--(COUNTIFS(nNIA,DATOS!$A9942,nCURSO,DATOS!$D9942,nESPEC,DATOS!$E9942,nASIG,DATOS!$I9942,nEVAL,"EX")=0),0))))</f>
      </c>
      <c r="H9942">
        <f>IF(DATOS!$G9942&lt;&gt;"EX",0,--(COUNTIFS(nNIA,DATOS!$A9942,nCURSO,DATOS!$D9942,nESPEC,DATOS!$E9942,nASIG,DATOS!$I9942,nEVAL,"OR")=0))</f>
      </c>
      <c r="I9942">
        <f>IF(DATOS!$I9942="","",IFERROR(VLOOKUP(DATOS!$I9942,CONFIG_ASIGNATURAS!$B$2:$J$91,9,FALSE()),""))</f>
      </c>
    </row>
    <row r="9943">
      <c r="F9943">
        <f>IF(DATOS!$A9943="","",DATOS!$A9943&amp;"|"&amp;DATOS!$D9943&amp;"|"&amp;DATOS!$E9943&amp;"|"&amp;DATOS!$I9943)</f>
      </c>
      <c r="G9943">
        <f>IF(DATOS!$A9943="",0,IF(CONFIG_METADATA!$B$4&lt;&gt;"OR+EX",--(DATOS!$G9943=CONFIG_METADATA!$B$4),IF(DATOS!$G9943="EX",1,IF(DATOS!$G9943="OR",--(COUNTIFS(nNIA,DATOS!$A9943,nCURSO,DATOS!$D9943,nESPEC,DATOS!$E9943,nASIG,DATOS!$I9943,nEVAL,"EX")=0),0))))</f>
      </c>
      <c r="H9943">
        <f>IF(DATOS!$G9943&lt;&gt;"EX",0,--(COUNTIFS(nNIA,DATOS!$A9943,nCURSO,DATOS!$D9943,nESPEC,DATOS!$E9943,nASIG,DATOS!$I9943,nEVAL,"OR")=0))</f>
      </c>
      <c r="I9943">
        <f>IF(DATOS!$I9943="","",IFERROR(VLOOKUP(DATOS!$I9943,CONFIG_ASIGNATURAS!$B$2:$J$91,9,FALSE()),""))</f>
      </c>
    </row>
    <row r="9944">
      <c r="F9944">
        <f>IF(DATOS!$A9944="","",DATOS!$A9944&amp;"|"&amp;DATOS!$D9944&amp;"|"&amp;DATOS!$E9944&amp;"|"&amp;DATOS!$I9944)</f>
      </c>
      <c r="G9944">
        <f>IF(DATOS!$A9944="",0,IF(CONFIG_METADATA!$B$4&lt;&gt;"OR+EX",--(DATOS!$G9944=CONFIG_METADATA!$B$4),IF(DATOS!$G9944="EX",1,IF(DATOS!$G9944="OR",--(COUNTIFS(nNIA,DATOS!$A9944,nCURSO,DATOS!$D9944,nESPEC,DATOS!$E9944,nASIG,DATOS!$I9944,nEVAL,"EX")=0),0))))</f>
      </c>
      <c r="H9944">
        <f>IF(DATOS!$G9944&lt;&gt;"EX",0,--(COUNTIFS(nNIA,DATOS!$A9944,nCURSO,DATOS!$D9944,nESPEC,DATOS!$E9944,nASIG,DATOS!$I9944,nEVAL,"OR")=0))</f>
      </c>
      <c r="I9944">
        <f>IF(DATOS!$I9944="","",IFERROR(VLOOKUP(DATOS!$I9944,CONFIG_ASIGNATURAS!$B$2:$J$91,9,FALSE()),""))</f>
      </c>
    </row>
    <row r="9945">
      <c r="F9945">
        <f>IF(DATOS!$A9945="","",DATOS!$A9945&amp;"|"&amp;DATOS!$D9945&amp;"|"&amp;DATOS!$E9945&amp;"|"&amp;DATOS!$I9945)</f>
      </c>
      <c r="G9945">
        <f>IF(DATOS!$A9945="",0,IF(CONFIG_METADATA!$B$4&lt;&gt;"OR+EX",--(DATOS!$G9945=CONFIG_METADATA!$B$4),IF(DATOS!$G9945="EX",1,IF(DATOS!$G9945="OR",--(COUNTIFS(nNIA,DATOS!$A9945,nCURSO,DATOS!$D9945,nESPEC,DATOS!$E9945,nASIG,DATOS!$I9945,nEVAL,"EX")=0),0))))</f>
      </c>
      <c r="H9945">
        <f>IF(DATOS!$G9945&lt;&gt;"EX",0,--(COUNTIFS(nNIA,DATOS!$A9945,nCURSO,DATOS!$D9945,nESPEC,DATOS!$E9945,nASIG,DATOS!$I9945,nEVAL,"OR")=0))</f>
      </c>
      <c r="I9945">
        <f>IF(DATOS!$I9945="","",IFERROR(VLOOKUP(DATOS!$I9945,CONFIG_ASIGNATURAS!$B$2:$J$91,9,FALSE()),""))</f>
      </c>
    </row>
    <row r="9946">
      <c r="F9946">
        <f>IF(DATOS!$A9946="","",DATOS!$A9946&amp;"|"&amp;DATOS!$D9946&amp;"|"&amp;DATOS!$E9946&amp;"|"&amp;DATOS!$I9946)</f>
      </c>
      <c r="G9946">
        <f>IF(DATOS!$A9946="",0,IF(CONFIG_METADATA!$B$4&lt;&gt;"OR+EX",--(DATOS!$G9946=CONFIG_METADATA!$B$4),IF(DATOS!$G9946="EX",1,IF(DATOS!$G9946="OR",--(COUNTIFS(nNIA,DATOS!$A9946,nCURSO,DATOS!$D9946,nESPEC,DATOS!$E9946,nASIG,DATOS!$I9946,nEVAL,"EX")=0),0))))</f>
      </c>
      <c r="H9946">
        <f>IF(DATOS!$G9946&lt;&gt;"EX",0,--(COUNTIFS(nNIA,DATOS!$A9946,nCURSO,DATOS!$D9946,nESPEC,DATOS!$E9946,nASIG,DATOS!$I9946,nEVAL,"OR")=0))</f>
      </c>
      <c r="I9946">
        <f>IF(DATOS!$I9946="","",IFERROR(VLOOKUP(DATOS!$I9946,CONFIG_ASIGNATURAS!$B$2:$J$91,9,FALSE()),""))</f>
      </c>
    </row>
    <row r="9947">
      <c r="F9947">
        <f>IF(DATOS!$A9947="","",DATOS!$A9947&amp;"|"&amp;DATOS!$D9947&amp;"|"&amp;DATOS!$E9947&amp;"|"&amp;DATOS!$I9947)</f>
      </c>
      <c r="G9947">
        <f>IF(DATOS!$A9947="",0,IF(CONFIG_METADATA!$B$4&lt;&gt;"OR+EX",--(DATOS!$G9947=CONFIG_METADATA!$B$4),IF(DATOS!$G9947="EX",1,IF(DATOS!$G9947="OR",--(COUNTIFS(nNIA,DATOS!$A9947,nCURSO,DATOS!$D9947,nESPEC,DATOS!$E9947,nASIG,DATOS!$I9947,nEVAL,"EX")=0),0))))</f>
      </c>
      <c r="H9947">
        <f>IF(DATOS!$G9947&lt;&gt;"EX",0,--(COUNTIFS(nNIA,DATOS!$A9947,nCURSO,DATOS!$D9947,nESPEC,DATOS!$E9947,nASIG,DATOS!$I9947,nEVAL,"OR")=0))</f>
      </c>
      <c r="I9947">
        <f>IF(DATOS!$I9947="","",IFERROR(VLOOKUP(DATOS!$I9947,CONFIG_ASIGNATURAS!$B$2:$J$91,9,FALSE()),""))</f>
      </c>
    </row>
    <row r="9948">
      <c r="F9948">
        <f>IF(DATOS!$A9948="","",DATOS!$A9948&amp;"|"&amp;DATOS!$D9948&amp;"|"&amp;DATOS!$E9948&amp;"|"&amp;DATOS!$I9948)</f>
      </c>
      <c r="G9948">
        <f>IF(DATOS!$A9948="",0,IF(CONFIG_METADATA!$B$4&lt;&gt;"OR+EX",--(DATOS!$G9948=CONFIG_METADATA!$B$4),IF(DATOS!$G9948="EX",1,IF(DATOS!$G9948="OR",--(COUNTIFS(nNIA,DATOS!$A9948,nCURSO,DATOS!$D9948,nESPEC,DATOS!$E9948,nASIG,DATOS!$I9948,nEVAL,"EX")=0),0))))</f>
      </c>
      <c r="H9948">
        <f>IF(DATOS!$G9948&lt;&gt;"EX",0,--(COUNTIFS(nNIA,DATOS!$A9948,nCURSO,DATOS!$D9948,nESPEC,DATOS!$E9948,nASIG,DATOS!$I9948,nEVAL,"OR")=0))</f>
      </c>
      <c r="I9948">
        <f>IF(DATOS!$I9948="","",IFERROR(VLOOKUP(DATOS!$I9948,CONFIG_ASIGNATURAS!$B$2:$J$91,9,FALSE()),""))</f>
      </c>
    </row>
    <row r="9949">
      <c r="F9949">
        <f>IF(DATOS!$A9949="","",DATOS!$A9949&amp;"|"&amp;DATOS!$D9949&amp;"|"&amp;DATOS!$E9949&amp;"|"&amp;DATOS!$I9949)</f>
      </c>
      <c r="G9949">
        <f>IF(DATOS!$A9949="",0,IF(CONFIG_METADATA!$B$4&lt;&gt;"OR+EX",--(DATOS!$G9949=CONFIG_METADATA!$B$4),IF(DATOS!$G9949="EX",1,IF(DATOS!$G9949="OR",--(COUNTIFS(nNIA,DATOS!$A9949,nCURSO,DATOS!$D9949,nESPEC,DATOS!$E9949,nASIG,DATOS!$I9949,nEVAL,"EX")=0),0))))</f>
      </c>
      <c r="H9949">
        <f>IF(DATOS!$G9949&lt;&gt;"EX",0,--(COUNTIFS(nNIA,DATOS!$A9949,nCURSO,DATOS!$D9949,nESPEC,DATOS!$E9949,nASIG,DATOS!$I9949,nEVAL,"OR")=0))</f>
      </c>
      <c r="I9949">
        <f>IF(DATOS!$I9949="","",IFERROR(VLOOKUP(DATOS!$I9949,CONFIG_ASIGNATURAS!$B$2:$J$91,9,FALSE()),""))</f>
      </c>
    </row>
    <row r="9950">
      <c r="F9950">
        <f>IF(DATOS!$A9950="","",DATOS!$A9950&amp;"|"&amp;DATOS!$D9950&amp;"|"&amp;DATOS!$E9950&amp;"|"&amp;DATOS!$I9950)</f>
      </c>
      <c r="G9950">
        <f>IF(DATOS!$A9950="",0,IF(CONFIG_METADATA!$B$4&lt;&gt;"OR+EX",--(DATOS!$G9950=CONFIG_METADATA!$B$4),IF(DATOS!$G9950="EX",1,IF(DATOS!$G9950="OR",--(COUNTIFS(nNIA,DATOS!$A9950,nCURSO,DATOS!$D9950,nESPEC,DATOS!$E9950,nASIG,DATOS!$I9950,nEVAL,"EX")=0),0))))</f>
      </c>
      <c r="H9950">
        <f>IF(DATOS!$G9950&lt;&gt;"EX",0,--(COUNTIFS(nNIA,DATOS!$A9950,nCURSO,DATOS!$D9950,nESPEC,DATOS!$E9950,nASIG,DATOS!$I9950,nEVAL,"OR")=0))</f>
      </c>
      <c r="I9950">
        <f>IF(DATOS!$I9950="","",IFERROR(VLOOKUP(DATOS!$I9950,CONFIG_ASIGNATURAS!$B$2:$J$91,9,FALSE()),""))</f>
      </c>
    </row>
    <row r="9951">
      <c r="F9951">
        <f>IF(DATOS!$A9951="","",DATOS!$A9951&amp;"|"&amp;DATOS!$D9951&amp;"|"&amp;DATOS!$E9951&amp;"|"&amp;DATOS!$I9951)</f>
      </c>
      <c r="G9951">
        <f>IF(DATOS!$A9951="",0,IF(CONFIG_METADATA!$B$4&lt;&gt;"OR+EX",--(DATOS!$G9951=CONFIG_METADATA!$B$4),IF(DATOS!$G9951="EX",1,IF(DATOS!$G9951="OR",--(COUNTIFS(nNIA,DATOS!$A9951,nCURSO,DATOS!$D9951,nESPEC,DATOS!$E9951,nASIG,DATOS!$I9951,nEVAL,"EX")=0),0))))</f>
      </c>
      <c r="H9951">
        <f>IF(DATOS!$G9951&lt;&gt;"EX",0,--(COUNTIFS(nNIA,DATOS!$A9951,nCURSO,DATOS!$D9951,nESPEC,DATOS!$E9951,nASIG,DATOS!$I9951,nEVAL,"OR")=0))</f>
      </c>
      <c r="I9951">
        <f>IF(DATOS!$I9951="","",IFERROR(VLOOKUP(DATOS!$I9951,CONFIG_ASIGNATURAS!$B$2:$J$91,9,FALSE()),""))</f>
      </c>
    </row>
    <row r="9952">
      <c r="F9952">
        <f>IF(DATOS!$A9952="","",DATOS!$A9952&amp;"|"&amp;DATOS!$D9952&amp;"|"&amp;DATOS!$E9952&amp;"|"&amp;DATOS!$I9952)</f>
      </c>
      <c r="G9952">
        <f>IF(DATOS!$A9952="",0,IF(CONFIG_METADATA!$B$4&lt;&gt;"OR+EX",--(DATOS!$G9952=CONFIG_METADATA!$B$4),IF(DATOS!$G9952="EX",1,IF(DATOS!$G9952="OR",--(COUNTIFS(nNIA,DATOS!$A9952,nCURSO,DATOS!$D9952,nESPEC,DATOS!$E9952,nASIG,DATOS!$I9952,nEVAL,"EX")=0),0))))</f>
      </c>
      <c r="H9952">
        <f>IF(DATOS!$G9952&lt;&gt;"EX",0,--(COUNTIFS(nNIA,DATOS!$A9952,nCURSO,DATOS!$D9952,nESPEC,DATOS!$E9952,nASIG,DATOS!$I9952,nEVAL,"OR")=0))</f>
      </c>
      <c r="I9952">
        <f>IF(DATOS!$I9952="","",IFERROR(VLOOKUP(DATOS!$I9952,CONFIG_ASIGNATURAS!$B$2:$J$91,9,FALSE()),""))</f>
      </c>
    </row>
    <row r="9953">
      <c r="F9953">
        <f>IF(DATOS!$A9953="","",DATOS!$A9953&amp;"|"&amp;DATOS!$D9953&amp;"|"&amp;DATOS!$E9953&amp;"|"&amp;DATOS!$I9953)</f>
      </c>
      <c r="G9953">
        <f>IF(DATOS!$A9953="",0,IF(CONFIG_METADATA!$B$4&lt;&gt;"OR+EX",--(DATOS!$G9953=CONFIG_METADATA!$B$4),IF(DATOS!$G9953="EX",1,IF(DATOS!$G9953="OR",--(COUNTIFS(nNIA,DATOS!$A9953,nCURSO,DATOS!$D9953,nESPEC,DATOS!$E9953,nASIG,DATOS!$I9953,nEVAL,"EX")=0),0))))</f>
      </c>
      <c r="H9953">
        <f>IF(DATOS!$G9953&lt;&gt;"EX",0,--(COUNTIFS(nNIA,DATOS!$A9953,nCURSO,DATOS!$D9953,nESPEC,DATOS!$E9953,nASIG,DATOS!$I9953,nEVAL,"OR")=0))</f>
      </c>
      <c r="I9953">
        <f>IF(DATOS!$I9953="","",IFERROR(VLOOKUP(DATOS!$I9953,CONFIG_ASIGNATURAS!$B$2:$J$91,9,FALSE()),""))</f>
      </c>
    </row>
    <row r="9954">
      <c r="F9954">
        <f>IF(DATOS!$A9954="","",DATOS!$A9954&amp;"|"&amp;DATOS!$D9954&amp;"|"&amp;DATOS!$E9954&amp;"|"&amp;DATOS!$I9954)</f>
      </c>
      <c r="G9954">
        <f>IF(DATOS!$A9954="",0,IF(CONFIG_METADATA!$B$4&lt;&gt;"OR+EX",--(DATOS!$G9954=CONFIG_METADATA!$B$4),IF(DATOS!$G9954="EX",1,IF(DATOS!$G9954="OR",--(COUNTIFS(nNIA,DATOS!$A9954,nCURSO,DATOS!$D9954,nESPEC,DATOS!$E9954,nASIG,DATOS!$I9954,nEVAL,"EX")=0),0))))</f>
      </c>
      <c r="H9954">
        <f>IF(DATOS!$G9954&lt;&gt;"EX",0,--(COUNTIFS(nNIA,DATOS!$A9954,nCURSO,DATOS!$D9954,nESPEC,DATOS!$E9954,nASIG,DATOS!$I9954,nEVAL,"OR")=0))</f>
      </c>
      <c r="I9954">
        <f>IF(DATOS!$I9954="","",IFERROR(VLOOKUP(DATOS!$I9954,CONFIG_ASIGNATURAS!$B$2:$J$91,9,FALSE()),""))</f>
      </c>
    </row>
    <row r="9955">
      <c r="F9955">
        <f>IF(DATOS!$A9955="","",DATOS!$A9955&amp;"|"&amp;DATOS!$D9955&amp;"|"&amp;DATOS!$E9955&amp;"|"&amp;DATOS!$I9955)</f>
      </c>
      <c r="G9955">
        <f>IF(DATOS!$A9955="",0,IF(CONFIG_METADATA!$B$4&lt;&gt;"OR+EX",--(DATOS!$G9955=CONFIG_METADATA!$B$4),IF(DATOS!$G9955="EX",1,IF(DATOS!$G9955="OR",--(COUNTIFS(nNIA,DATOS!$A9955,nCURSO,DATOS!$D9955,nESPEC,DATOS!$E9955,nASIG,DATOS!$I9955,nEVAL,"EX")=0),0))))</f>
      </c>
      <c r="H9955">
        <f>IF(DATOS!$G9955&lt;&gt;"EX",0,--(COUNTIFS(nNIA,DATOS!$A9955,nCURSO,DATOS!$D9955,nESPEC,DATOS!$E9955,nASIG,DATOS!$I9955,nEVAL,"OR")=0))</f>
      </c>
      <c r="I9955">
        <f>IF(DATOS!$I9955="","",IFERROR(VLOOKUP(DATOS!$I9955,CONFIG_ASIGNATURAS!$B$2:$J$91,9,FALSE()),""))</f>
      </c>
    </row>
    <row r="9956">
      <c r="F9956">
        <f>IF(DATOS!$A9956="","",DATOS!$A9956&amp;"|"&amp;DATOS!$D9956&amp;"|"&amp;DATOS!$E9956&amp;"|"&amp;DATOS!$I9956)</f>
      </c>
      <c r="G9956">
        <f>IF(DATOS!$A9956="",0,IF(CONFIG_METADATA!$B$4&lt;&gt;"OR+EX",--(DATOS!$G9956=CONFIG_METADATA!$B$4),IF(DATOS!$G9956="EX",1,IF(DATOS!$G9956="OR",--(COUNTIFS(nNIA,DATOS!$A9956,nCURSO,DATOS!$D9956,nESPEC,DATOS!$E9956,nASIG,DATOS!$I9956,nEVAL,"EX")=0),0))))</f>
      </c>
      <c r="H9956">
        <f>IF(DATOS!$G9956&lt;&gt;"EX",0,--(COUNTIFS(nNIA,DATOS!$A9956,nCURSO,DATOS!$D9956,nESPEC,DATOS!$E9956,nASIG,DATOS!$I9956,nEVAL,"OR")=0))</f>
      </c>
      <c r="I9956">
        <f>IF(DATOS!$I9956="","",IFERROR(VLOOKUP(DATOS!$I9956,CONFIG_ASIGNATURAS!$B$2:$J$91,9,FALSE()),""))</f>
      </c>
    </row>
    <row r="9957">
      <c r="F9957">
        <f>IF(DATOS!$A9957="","",DATOS!$A9957&amp;"|"&amp;DATOS!$D9957&amp;"|"&amp;DATOS!$E9957&amp;"|"&amp;DATOS!$I9957)</f>
      </c>
      <c r="G9957">
        <f>IF(DATOS!$A9957="",0,IF(CONFIG_METADATA!$B$4&lt;&gt;"OR+EX",--(DATOS!$G9957=CONFIG_METADATA!$B$4),IF(DATOS!$G9957="EX",1,IF(DATOS!$G9957="OR",--(COUNTIFS(nNIA,DATOS!$A9957,nCURSO,DATOS!$D9957,nESPEC,DATOS!$E9957,nASIG,DATOS!$I9957,nEVAL,"EX")=0),0))))</f>
      </c>
      <c r="H9957">
        <f>IF(DATOS!$G9957&lt;&gt;"EX",0,--(COUNTIFS(nNIA,DATOS!$A9957,nCURSO,DATOS!$D9957,nESPEC,DATOS!$E9957,nASIG,DATOS!$I9957,nEVAL,"OR")=0))</f>
      </c>
      <c r="I9957">
        <f>IF(DATOS!$I9957="","",IFERROR(VLOOKUP(DATOS!$I9957,CONFIG_ASIGNATURAS!$B$2:$J$91,9,FALSE()),""))</f>
      </c>
    </row>
    <row r="9958">
      <c r="F9958">
        <f>IF(DATOS!$A9958="","",DATOS!$A9958&amp;"|"&amp;DATOS!$D9958&amp;"|"&amp;DATOS!$E9958&amp;"|"&amp;DATOS!$I9958)</f>
      </c>
      <c r="G9958">
        <f>IF(DATOS!$A9958="",0,IF(CONFIG_METADATA!$B$4&lt;&gt;"OR+EX",--(DATOS!$G9958=CONFIG_METADATA!$B$4),IF(DATOS!$G9958="EX",1,IF(DATOS!$G9958="OR",--(COUNTIFS(nNIA,DATOS!$A9958,nCURSO,DATOS!$D9958,nESPEC,DATOS!$E9958,nASIG,DATOS!$I9958,nEVAL,"EX")=0),0))))</f>
      </c>
      <c r="H9958">
        <f>IF(DATOS!$G9958&lt;&gt;"EX",0,--(COUNTIFS(nNIA,DATOS!$A9958,nCURSO,DATOS!$D9958,nESPEC,DATOS!$E9958,nASIG,DATOS!$I9958,nEVAL,"OR")=0))</f>
      </c>
      <c r="I9958">
        <f>IF(DATOS!$I9958="","",IFERROR(VLOOKUP(DATOS!$I9958,CONFIG_ASIGNATURAS!$B$2:$J$91,9,FALSE()),""))</f>
      </c>
    </row>
    <row r="9959">
      <c r="F9959">
        <f>IF(DATOS!$A9959="","",DATOS!$A9959&amp;"|"&amp;DATOS!$D9959&amp;"|"&amp;DATOS!$E9959&amp;"|"&amp;DATOS!$I9959)</f>
      </c>
      <c r="G9959">
        <f>IF(DATOS!$A9959="",0,IF(CONFIG_METADATA!$B$4&lt;&gt;"OR+EX",--(DATOS!$G9959=CONFIG_METADATA!$B$4),IF(DATOS!$G9959="EX",1,IF(DATOS!$G9959="OR",--(COUNTIFS(nNIA,DATOS!$A9959,nCURSO,DATOS!$D9959,nESPEC,DATOS!$E9959,nASIG,DATOS!$I9959,nEVAL,"EX")=0),0))))</f>
      </c>
      <c r="H9959">
        <f>IF(DATOS!$G9959&lt;&gt;"EX",0,--(COUNTIFS(nNIA,DATOS!$A9959,nCURSO,DATOS!$D9959,nESPEC,DATOS!$E9959,nASIG,DATOS!$I9959,nEVAL,"OR")=0))</f>
      </c>
      <c r="I9959">
        <f>IF(DATOS!$I9959="","",IFERROR(VLOOKUP(DATOS!$I9959,CONFIG_ASIGNATURAS!$B$2:$J$91,9,FALSE()),""))</f>
      </c>
    </row>
    <row r="9960">
      <c r="F9960">
        <f>IF(DATOS!$A9960="","",DATOS!$A9960&amp;"|"&amp;DATOS!$D9960&amp;"|"&amp;DATOS!$E9960&amp;"|"&amp;DATOS!$I9960)</f>
      </c>
      <c r="G9960">
        <f>IF(DATOS!$A9960="",0,IF(CONFIG_METADATA!$B$4&lt;&gt;"OR+EX",--(DATOS!$G9960=CONFIG_METADATA!$B$4),IF(DATOS!$G9960="EX",1,IF(DATOS!$G9960="OR",--(COUNTIFS(nNIA,DATOS!$A9960,nCURSO,DATOS!$D9960,nESPEC,DATOS!$E9960,nASIG,DATOS!$I9960,nEVAL,"EX")=0),0))))</f>
      </c>
      <c r="H9960">
        <f>IF(DATOS!$G9960&lt;&gt;"EX",0,--(COUNTIFS(nNIA,DATOS!$A9960,nCURSO,DATOS!$D9960,nESPEC,DATOS!$E9960,nASIG,DATOS!$I9960,nEVAL,"OR")=0))</f>
      </c>
      <c r="I9960">
        <f>IF(DATOS!$I9960="","",IFERROR(VLOOKUP(DATOS!$I9960,CONFIG_ASIGNATURAS!$B$2:$J$91,9,FALSE()),""))</f>
      </c>
    </row>
    <row r="9961">
      <c r="F9961">
        <f>IF(DATOS!$A9961="","",DATOS!$A9961&amp;"|"&amp;DATOS!$D9961&amp;"|"&amp;DATOS!$E9961&amp;"|"&amp;DATOS!$I9961)</f>
      </c>
      <c r="G9961">
        <f>IF(DATOS!$A9961="",0,IF(CONFIG_METADATA!$B$4&lt;&gt;"OR+EX",--(DATOS!$G9961=CONFIG_METADATA!$B$4),IF(DATOS!$G9961="EX",1,IF(DATOS!$G9961="OR",--(COUNTIFS(nNIA,DATOS!$A9961,nCURSO,DATOS!$D9961,nESPEC,DATOS!$E9961,nASIG,DATOS!$I9961,nEVAL,"EX")=0),0))))</f>
      </c>
      <c r="H9961">
        <f>IF(DATOS!$G9961&lt;&gt;"EX",0,--(COUNTIFS(nNIA,DATOS!$A9961,nCURSO,DATOS!$D9961,nESPEC,DATOS!$E9961,nASIG,DATOS!$I9961,nEVAL,"OR")=0))</f>
      </c>
      <c r="I9961">
        <f>IF(DATOS!$I9961="","",IFERROR(VLOOKUP(DATOS!$I9961,CONFIG_ASIGNATURAS!$B$2:$J$91,9,FALSE()),""))</f>
      </c>
    </row>
    <row r="9962">
      <c r="F9962">
        <f>IF(DATOS!$A9962="","",DATOS!$A9962&amp;"|"&amp;DATOS!$D9962&amp;"|"&amp;DATOS!$E9962&amp;"|"&amp;DATOS!$I9962)</f>
      </c>
      <c r="G9962">
        <f>IF(DATOS!$A9962="",0,IF(CONFIG_METADATA!$B$4&lt;&gt;"OR+EX",--(DATOS!$G9962=CONFIG_METADATA!$B$4),IF(DATOS!$G9962="EX",1,IF(DATOS!$G9962="OR",--(COUNTIFS(nNIA,DATOS!$A9962,nCURSO,DATOS!$D9962,nESPEC,DATOS!$E9962,nASIG,DATOS!$I9962,nEVAL,"EX")=0),0))))</f>
      </c>
      <c r="H9962">
        <f>IF(DATOS!$G9962&lt;&gt;"EX",0,--(COUNTIFS(nNIA,DATOS!$A9962,nCURSO,DATOS!$D9962,nESPEC,DATOS!$E9962,nASIG,DATOS!$I9962,nEVAL,"OR")=0))</f>
      </c>
      <c r="I9962">
        <f>IF(DATOS!$I9962="","",IFERROR(VLOOKUP(DATOS!$I9962,CONFIG_ASIGNATURAS!$B$2:$J$91,9,FALSE()),""))</f>
      </c>
    </row>
    <row r="9963">
      <c r="F9963">
        <f>IF(DATOS!$A9963="","",DATOS!$A9963&amp;"|"&amp;DATOS!$D9963&amp;"|"&amp;DATOS!$E9963&amp;"|"&amp;DATOS!$I9963)</f>
      </c>
      <c r="G9963">
        <f>IF(DATOS!$A9963="",0,IF(CONFIG_METADATA!$B$4&lt;&gt;"OR+EX",--(DATOS!$G9963=CONFIG_METADATA!$B$4),IF(DATOS!$G9963="EX",1,IF(DATOS!$G9963="OR",--(COUNTIFS(nNIA,DATOS!$A9963,nCURSO,DATOS!$D9963,nESPEC,DATOS!$E9963,nASIG,DATOS!$I9963,nEVAL,"EX")=0),0))))</f>
      </c>
      <c r="H9963">
        <f>IF(DATOS!$G9963&lt;&gt;"EX",0,--(COUNTIFS(nNIA,DATOS!$A9963,nCURSO,DATOS!$D9963,nESPEC,DATOS!$E9963,nASIG,DATOS!$I9963,nEVAL,"OR")=0))</f>
      </c>
      <c r="I9963">
        <f>IF(DATOS!$I9963="","",IFERROR(VLOOKUP(DATOS!$I9963,CONFIG_ASIGNATURAS!$B$2:$J$91,9,FALSE()),""))</f>
      </c>
    </row>
    <row r="9964">
      <c r="F9964">
        <f>IF(DATOS!$A9964="","",DATOS!$A9964&amp;"|"&amp;DATOS!$D9964&amp;"|"&amp;DATOS!$E9964&amp;"|"&amp;DATOS!$I9964)</f>
      </c>
      <c r="G9964">
        <f>IF(DATOS!$A9964="",0,IF(CONFIG_METADATA!$B$4&lt;&gt;"OR+EX",--(DATOS!$G9964=CONFIG_METADATA!$B$4),IF(DATOS!$G9964="EX",1,IF(DATOS!$G9964="OR",--(COUNTIFS(nNIA,DATOS!$A9964,nCURSO,DATOS!$D9964,nESPEC,DATOS!$E9964,nASIG,DATOS!$I9964,nEVAL,"EX")=0),0))))</f>
      </c>
      <c r="H9964">
        <f>IF(DATOS!$G9964&lt;&gt;"EX",0,--(COUNTIFS(nNIA,DATOS!$A9964,nCURSO,DATOS!$D9964,nESPEC,DATOS!$E9964,nASIG,DATOS!$I9964,nEVAL,"OR")=0))</f>
      </c>
      <c r="I9964">
        <f>IF(DATOS!$I9964="","",IFERROR(VLOOKUP(DATOS!$I9964,CONFIG_ASIGNATURAS!$B$2:$J$91,9,FALSE()),""))</f>
      </c>
    </row>
    <row r="9965">
      <c r="F9965">
        <f>IF(DATOS!$A9965="","",DATOS!$A9965&amp;"|"&amp;DATOS!$D9965&amp;"|"&amp;DATOS!$E9965&amp;"|"&amp;DATOS!$I9965)</f>
      </c>
      <c r="G9965">
        <f>IF(DATOS!$A9965="",0,IF(CONFIG_METADATA!$B$4&lt;&gt;"OR+EX",--(DATOS!$G9965=CONFIG_METADATA!$B$4),IF(DATOS!$G9965="EX",1,IF(DATOS!$G9965="OR",--(COUNTIFS(nNIA,DATOS!$A9965,nCURSO,DATOS!$D9965,nESPEC,DATOS!$E9965,nASIG,DATOS!$I9965,nEVAL,"EX")=0),0))))</f>
      </c>
      <c r="H9965">
        <f>IF(DATOS!$G9965&lt;&gt;"EX",0,--(COUNTIFS(nNIA,DATOS!$A9965,nCURSO,DATOS!$D9965,nESPEC,DATOS!$E9965,nASIG,DATOS!$I9965,nEVAL,"OR")=0))</f>
      </c>
      <c r="I9965">
        <f>IF(DATOS!$I9965="","",IFERROR(VLOOKUP(DATOS!$I9965,CONFIG_ASIGNATURAS!$B$2:$J$91,9,FALSE()),""))</f>
      </c>
    </row>
    <row r="9966">
      <c r="F9966">
        <f>IF(DATOS!$A9966="","",DATOS!$A9966&amp;"|"&amp;DATOS!$D9966&amp;"|"&amp;DATOS!$E9966&amp;"|"&amp;DATOS!$I9966)</f>
      </c>
      <c r="G9966">
        <f>IF(DATOS!$A9966="",0,IF(CONFIG_METADATA!$B$4&lt;&gt;"OR+EX",--(DATOS!$G9966=CONFIG_METADATA!$B$4),IF(DATOS!$G9966="EX",1,IF(DATOS!$G9966="OR",--(COUNTIFS(nNIA,DATOS!$A9966,nCURSO,DATOS!$D9966,nESPEC,DATOS!$E9966,nASIG,DATOS!$I9966,nEVAL,"EX")=0),0))))</f>
      </c>
      <c r="H9966">
        <f>IF(DATOS!$G9966&lt;&gt;"EX",0,--(COUNTIFS(nNIA,DATOS!$A9966,nCURSO,DATOS!$D9966,nESPEC,DATOS!$E9966,nASIG,DATOS!$I9966,nEVAL,"OR")=0))</f>
      </c>
      <c r="I9966">
        <f>IF(DATOS!$I9966="","",IFERROR(VLOOKUP(DATOS!$I9966,CONFIG_ASIGNATURAS!$B$2:$J$91,9,FALSE()),""))</f>
      </c>
    </row>
    <row r="9967">
      <c r="F9967">
        <f>IF(DATOS!$A9967="","",DATOS!$A9967&amp;"|"&amp;DATOS!$D9967&amp;"|"&amp;DATOS!$E9967&amp;"|"&amp;DATOS!$I9967)</f>
      </c>
      <c r="G9967">
        <f>IF(DATOS!$A9967="",0,IF(CONFIG_METADATA!$B$4&lt;&gt;"OR+EX",--(DATOS!$G9967=CONFIG_METADATA!$B$4),IF(DATOS!$G9967="EX",1,IF(DATOS!$G9967="OR",--(COUNTIFS(nNIA,DATOS!$A9967,nCURSO,DATOS!$D9967,nESPEC,DATOS!$E9967,nASIG,DATOS!$I9967,nEVAL,"EX")=0),0))))</f>
      </c>
      <c r="H9967">
        <f>IF(DATOS!$G9967&lt;&gt;"EX",0,--(COUNTIFS(nNIA,DATOS!$A9967,nCURSO,DATOS!$D9967,nESPEC,DATOS!$E9967,nASIG,DATOS!$I9967,nEVAL,"OR")=0))</f>
      </c>
      <c r="I9967">
        <f>IF(DATOS!$I9967="","",IFERROR(VLOOKUP(DATOS!$I9967,CONFIG_ASIGNATURAS!$B$2:$J$91,9,FALSE()),""))</f>
      </c>
    </row>
    <row r="9968">
      <c r="F9968">
        <f>IF(DATOS!$A9968="","",DATOS!$A9968&amp;"|"&amp;DATOS!$D9968&amp;"|"&amp;DATOS!$E9968&amp;"|"&amp;DATOS!$I9968)</f>
      </c>
      <c r="G9968">
        <f>IF(DATOS!$A9968="",0,IF(CONFIG_METADATA!$B$4&lt;&gt;"OR+EX",--(DATOS!$G9968=CONFIG_METADATA!$B$4),IF(DATOS!$G9968="EX",1,IF(DATOS!$G9968="OR",--(COUNTIFS(nNIA,DATOS!$A9968,nCURSO,DATOS!$D9968,nESPEC,DATOS!$E9968,nASIG,DATOS!$I9968,nEVAL,"EX")=0),0))))</f>
      </c>
      <c r="H9968">
        <f>IF(DATOS!$G9968&lt;&gt;"EX",0,--(COUNTIFS(nNIA,DATOS!$A9968,nCURSO,DATOS!$D9968,nESPEC,DATOS!$E9968,nASIG,DATOS!$I9968,nEVAL,"OR")=0))</f>
      </c>
      <c r="I9968">
        <f>IF(DATOS!$I9968="","",IFERROR(VLOOKUP(DATOS!$I9968,CONFIG_ASIGNATURAS!$B$2:$J$91,9,FALSE()),""))</f>
      </c>
    </row>
    <row r="9969">
      <c r="F9969">
        <f>IF(DATOS!$A9969="","",DATOS!$A9969&amp;"|"&amp;DATOS!$D9969&amp;"|"&amp;DATOS!$E9969&amp;"|"&amp;DATOS!$I9969)</f>
      </c>
      <c r="G9969">
        <f>IF(DATOS!$A9969="",0,IF(CONFIG_METADATA!$B$4&lt;&gt;"OR+EX",--(DATOS!$G9969=CONFIG_METADATA!$B$4),IF(DATOS!$G9969="EX",1,IF(DATOS!$G9969="OR",--(COUNTIFS(nNIA,DATOS!$A9969,nCURSO,DATOS!$D9969,nESPEC,DATOS!$E9969,nASIG,DATOS!$I9969,nEVAL,"EX")=0),0))))</f>
      </c>
      <c r="H9969">
        <f>IF(DATOS!$G9969&lt;&gt;"EX",0,--(COUNTIFS(nNIA,DATOS!$A9969,nCURSO,DATOS!$D9969,nESPEC,DATOS!$E9969,nASIG,DATOS!$I9969,nEVAL,"OR")=0))</f>
      </c>
      <c r="I9969">
        <f>IF(DATOS!$I9969="","",IFERROR(VLOOKUP(DATOS!$I9969,CONFIG_ASIGNATURAS!$B$2:$J$91,9,FALSE()),""))</f>
      </c>
    </row>
    <row r="9970">
      <c r="F9970">
        <f>IF(DATOS!$A9970="","",DATOS!$A9970&amp;"|"&amp;DATOS!$D9970&amp;"|"&amp;DATOS!$E9970&amp;"|"&amp;DATOS!$I9970)</f>
      </c>
      <c r="G9970">
        <f>IF(DATOS!$A9970="",0,IF(CONFIG_METADATA!$B$4&lt;&gt;"OR+EX",--(DATOS!$G9970=CONFIG_METADATA!$B$4),IF(DATOS!$G9970="EX",1,IF(DATOS!$G9970="OR",--(COUNTIFS(nNIA,DATOS!$A9970,nCURSO,DATOS!$D9970,nESPEC,DATOS!$E9970,nASIG,DATOS!$I9970,nEVAL,"EX")=0),0))))</f>
      </c>
      <c r="H9970">
        <f>IF(DATOS!$G9970&lt;&gt;"EX",0,--(COUNTIFS(nNIA,DATOS!$A9970,nCURSO,DATOS!$D9970,nESPEC,DATOS!$E9970,nASIG,DATOS!$I9970,nEVAL,"OR")=0))</f>
      </c>
      <c r="I9970">
        <f>IF(DATOS!$I9970="","",IFERROR(VLOOKUP(DATOS!$I9970,CONFIG_ASIGNATURAS!$B$2:$J$91,9,FALSE()),""))</f>
      </c>
    </row>
    <row r="9971">
      <c r="F9971">
        <f>IF(DATOS!$A9971="","",DATOS!$A9971&amp;"|"&amp;DATOS!$D9971&amp;"|"&amp;DATOS!$E9971&amp;"|"&amp;DATOS!$I9971)</f>
      </c>
      <c r="G9971">
        <f>IF(DATOS!$A9971="",0,IF(CONFIG_METADATA!$B$4&lt;&gt;"OR+EX",--(DATOS!$G9971=CONFIG_METADATA!$B$4),IF(DATOS!$G9971="EX",1,IF(DATOS!$G9971="OR",--(COUNTIFS(nNIA,DATOS!$A9971,nCURSO,DATOS!$D9971,nESPEC,DATOS!$E9971,nASIG,DATOS!$I9971,nEVAL,"EX")=0),0))))</f>
      </c>
      <c r="H9971">
        <f>IF(DATOS!$G9971&lt;&gt;"EX",0,--(COUNTIFS(nNIA,DATOS!$A9971,nCURSO,DATOS!$D9971,nESPEC,DATOS!$E9971,nASIG,DATOS!$I9971,nEVAL,"OR")=0))</f>
      </c>
      <c r="I9971">
        <f>IF(DATOS!$I9971="","",IFERROR(VLOOKUP(DATOS!$I9971,CONFIG_ASIGNATURAS!$B$2:$J$91,9,FALSE()),""))</f>
      </c>
    </row>
    <row r="9972">
      <c r="F9972">
        <f>IF(DATOS!$A9972="","",DATOS!$A9972&amp;"|"&amp;DATOS!$D9972&amp;"|"&amp;DATOS!$E9972&amp;"|"&amp;DATOS!$I9972)</f>
      </c>
      <c r="G9972">
        <f>IF(DATOS!$A9972="",0,IF(CONFIG_METADATA!$B$4&lt;&gt;"OR+EX",--(DATOS!$G9972=CONFIG_METADATA!$B$4),IF(DATOS!$G9972="EX",1,IF(DATOS!$G9972="OR",--(COUNTIFS(nNIA,DATOS!$A9972,nCURSO,DATOS!$D9972,nESPEC,DATOS!$E9972,nASIG,DATOS!$I9972,nEVAL,"EX")=0),0))))</f>
      </c>
      <c r="H9972">
        <f>IF(DATOS!$G9972&lt;&gt;"EX",0,--(COUNTIFS(nNIA,DATOS!$A9972,nCURSO,DATOS!$D9972,nESPEC,DATOS!$E9972,nASIG,DATOS!$I9972,nEVAL,"OR")=0))</f>
      </c>
      <c r="I9972">
        <f>IF(DATOS!$I9972="","",IFERROR(VLOOKUP(DATOS!$I9972,CONFIG_ASIGNATURAS!$B$2:$J$91,9,FALSE()),""))</f>
      </c>
    </row>
    <row r="9973">
      <c r="F9973">
        <f>IF(DATOS!$A9973="","",DATOS!$A9973&amp;"|"&amp;DATOS!$D9973&amp;"|"&amp;DATOS!$E9973&amp;"|"&amp;DATOS!$I9973)</f>
      </c>
      <c r="G9973">
        <f>IF(DATOS!$A9973="",0,IF(CONFIG_METADATA!$B$4&lt;&gt;"OR+EX",--(DATOS!$G9973=CONFIG_METADATA!$B$4),IF(DATOS!$G9973="EX",1,IF(DATOS!$G9973="OR",--(COUNTIFS(nNIA,DATOS!$A9973,nCURSO,DATOS!$D9973,nESPEC,DATOS!$E9973,nASIG,DATOS!$I9973,nEVAL,"EX")=0),0))))</f>
      </c>
      <c r="H9973">
        <f>IF(DATOS!$G9973&lt;&gt;"EX",0,--(COUNTIFS(nNIA,DATOS!$A9973,nCURSO,DATOS!$D9973,nESPEC,DATOS!$E9973,nASIG,DATOS!$I9973,nEVAL,"OR")=0))</f>
      </c>
      <c r="I9973">
        <f>IF(DATOS!$I9973="","",IFERROR(VLOOKUP(DATOS!$I9973,CONFIG_ASIGNATURAS!$B$2:$J$91,9,FALSE()),""))</f>
      </c>
    </row>
    <row r="9974">
      <c r="F9974">
        <f>IF(DATOS!$A9974="","",DATOS!$A9974&amp;"|"&amp;DATOS!$D9974&amp;"|"&amp;DATOS!$E9974&amp;"|"&amp;DATOS!$I9974)</f>
      </c>
      <c r="G9974">
        <f>IF(DATOS!$A9974="",0,IF(CONFIG_METADATA!$B$4&lt;&gt;"OR+EX",--(DATOS!$G9974=CONFIG_METADATA!$B$4),IF(DATOS!$G9974="EX",1,IF(DATOS!$G9974="OR",--(COUNTIFS(nNIA,DATOS!$A9974,nCURSO,DATOS!$D9974,nESPEC,DATOS!$E9974,nASIG,DATOS!$I9974,nEVAL,"EX")=0),0))))</f>
      </c>
      <c r="H9974">
        <f>IF(DATOS!$G9974&lt;&gt;"EX",0,--(COUNTIFS(nNIA,DATOS!$A9974,nCURSO,DATOS!$D9974,nESPEC,DATOS!$E9974,nASIG,DATOS!$I9974,nEVAL,"OR")=0))</f>
      </c>
      <c r="I9974">
        <f>IF(DATOS!$I9974="","",IFERROR(VLOOKUP(DATOS!$I9974,CONFIG_ASIGNATURAS!$B$2:$J$91,9,FALSE()),""))</f>
      </c>
    </row>
    <row r="9975">
      <c r="F9975">
        <f>IF(DATOS!$A9975="","",DATOS!$A9975&amp;"|"&amp;DATOS!$D9975&amp;"|"&amp;DATOS!$E9975&amp;"|"&amp;DATOS!$I9975)</f>
      </c>
      <c r="G9975">
        <f>IF(DATOS!$A9975="",0,IF(CONFIG_METADATA!$B$4&lt;&gt;"OR+EX",--(DATOS!$G9975=CONFIG_METADATA!$B$4),IF(DATOS!$G9975="EX",1,IF(DATOS!$G9975="OR",--(COUNTIFS(nNIA,DATOS!$A9975,nCURSO,DATOS!$D9975,nESPEC,DATOS!$E9975,nASIG,DATOS!$I9975,nEVAL,"EX")=0),0))))</f>
      </c>
      <c r="H9975">
        <f>IF(DATOS!$G9975&lt;&gt;"EX",0,--(COUNTIFS(nNIA,DATOS!$A9975,nCURSO,DATOS!$D9975,nESPEC,DATOS!$E9975,nASIG,DATOS!$I9975,nEVAL,"OR")=0))</f>
      </c>
      <c r="I9975">
        <f>IF(DATOS!$I9975="","",IFERROR(VLOOKUP(DATOS!$I9975,CONFIG_ASIGNATURAS!$B$2:$J$91,9,FALSE()),""))</f>
      </c>
    </row>
    <row r="9976">
      <c r="F9976">
        <f>IF(DATOS!$A9976="","",DATOS!$A9976&amp;"|"&amp;DATOS!$D9976&amp;"|"&amp;DATOS!$E9976&amp;"|"&amp;DATOS!$I9976)</f>
      </c>
      <c r="G9976">
        <f>IF(DATOS!$A9976="",0,IF(CONFIG_METADATA!$B$4&lt;&gt;"OR+EX",--(DATOS!$G9976=CONFIG_METADATA!$B$4),IF(DATOS!$G9976="EX",1,IF(DATOS!$G9976="OR",--(COUNTIFS(nNIA,DATOS!$A9976,nCURSO,DATOS!$D9976,nESPEC,DATOS!$E9976,nASIG,DATOS!$I9976,nEVAL,"EX")=0),0))))</f>
      </c>
      <c r="H9976">
        <f>IF(DATOS!$G9976&lt;&gt;"EX",0,--(COUNTIFS(nNIA,DATOS!$A9976,nCURSO,DATOS!$D9976,nESPEC,DATOS!$E9976,nASIG,DATOS!$I9976,nEVAL,"OR")=0))</f>
      </c>
      <c r="I9976">
        <f>IF(DATOS!$I9976="","",IFERROR(VLOOKUP(DATOS!$I9976,CONFIG_ASIGNATURAS!$B$2:$J$91,9,FALSE()),""))</f>
      </c>
    </row>
    <row r="9977">
      <c r="F9977">
        <f>IF(DATOS!$A9977="","",DATOS!$A9977&amp;"|"&amp;DATOS!$D9977&amp;"|"&amp;DATOS!$E9977&amp;"|"&amp;DATOS!$I9977)</f>
      </c>
      <c r="G9977">
        <f>IF(DATOS!$A9977="",0,IF(CONFIG_METADATA!$B$4&lt;&gt;"OR+EX",--(DATOS!$G9977=CONFIG_METADATA!$B$4),IF(DATOS!$G9977="EX",1,IF(DATOS!$G9977="OR",--(COUNTIFS(nNIA,DATOS!$A9977,nCURSO,DATOS!$D9977,nESPEC,DATOS!$E9977,nASIG,DATOS!$I9977,nEVAL,"EX")=0),0))))</f>
      </c>
      <c r="H9977">
        <f>IF(DATOS!$G9977&lt;&gt;"EX",0,--(COUNTIFS(nNIA,DATOS!$A9977,nCURSO,DATOS!$D9977,nESPEC,DATOS!$E9977,nASIG,DATOS!$I9977,nEVAL,"OR")=0))</f>
      </c>
      <c r="I9977">
        <f>IF(DATOS!$I9977="","",IFERROR(VLOOKUP(DATOS!$I9977,CONFIG_ASIGNATURAS!$B$2:$J$91,9,FALSE()),""))</f>
      </c>
    </row>
    <row r="9978">
      <c r="F9978">
        <f>IF(DATOS!$A9978="","",DATOS!$A9978&amp;"|"&amp;DATOS!$D9978&amp;"|"&amp;DATOS!$E9978&amp;"|"&amp;DATOS!$I9978)</f>
      </c>
      <c r="G9978">
        <f>IF(DATOS!$A9978="",0,IF(CONFIG_METADATA!$B$4&lt;&gt;"OR+EX",--(DATOS!$G9978=CONFIG_METADATA!$B$4),IF(DATOS!$G9978="EX",1,IF(DATOS!$G9978="OR",--(COUNTIFS(nNIA,DATOS!$A9978,nCURSO,DATOS!$D9978,nESPEC,DATOS!$E9978,nASIG,DATOS!$I9978,nEVAL,"EX")=0),0))))</f>
      </c>
      <c r="H9978">
        <f>IF(DATOS!$G9978&lt;&gt;"EX",0,--(COUNTIFS(nNIA,DATOS!$A9978,nCURSO,DATOS!$D9978,nESPEC,DATOS!$E9978,nASIG,DATOS!$I9978,nEVAL,"OR")=0))</f>
      </c>
      <c r="I9978">
        <f>IF(DATOS!$I9978="","",IFERROR(VLOOKUP(DATOS!$I9978,CONFIG_ASIGNATURAS!$B$2:$J$91,9,FALSE()),""))</f>
      </c>
    </row>
    <row r="9979">
      <c r="F9979">
        <f>IF(DATOS!$A9979="","",DATOS!$A9979&amp;"|"&amp;DATOS!$D9979&amp;"|"&amp;DATOS!$E9979&amp;"|"&amp;DATOS!$I9979)</f>
      </c>
      <c r="G9979">
        <f>IF(DATOS!$A9979="",0,IF(CONFIG_METADATA!$B$4&lt;&gt;"OR+EX",--(DATOS!$G9979=CONFIG_METADATA!$B$4),IF(DATOS!$G9979="EX",1,IF(DATOS!$G9979="OR",--(COUNTIFS(nNIA,DATOS!$A9979,nCURSO,DATOS!$D9979,nESPEC,DATOS!$E9979,nASIG,DATOS!$I9979,nEVAL,"EX")=0),0))))</f>
      </c>
      <c r="H9979">
        <f>IF(DATOS!$G9979&lt;&gt;"EX",0,--(COUNTIFS(nNIA,DATOS!$A9979,nCURSO,DATOS!$D9979,nESPEC,DATOS!$E9979,nASIG,DATOS!$I9979,nEVAL,"OR")=0))</f>
      </c>
      <c r="I9979">
        <f>IF(DATOS!$I9979="","",IFERROR(VLOOKUP(DATOS!$I9979,CONFIG_ASIGNATURAS!$B$2:$J$91,9,FALSE()),""))</f>
      </c>
    </row>
    <row r="9980">
      <c r="F9980">
        <f>IF(DATOS!$A9980="","",DATOS!$A9980&amp;"|"&amp;DATOS!$D9980&amp;"|"&amp;DATOS!$E9980&amp;"|"&amp;DATOS!$I9980)</f>
      </c>
      <c r="G9980">
        <f>IF(DATOS!$A9980="",0,IF(CONFIG_METADATA!$B$4&lt;&gt;"OR+EX",--(DATOS!$G9980=CONFIG_METADATA!$B$4),IF(DATOS!$G9980="EX",1,IF(DATOS!$G9980="OR",--(COUNTIFS(nNIA,DATOS!$A9980,nCURSO,DATOS!$D9980,nESPEC,DATOS!$E9980,nASIG,DATOS!$I9980,nEVAL,"EX")=0),0))))</f>
      </c>
      <c r="H9980">
        <f>IF(DATOS!$G9980&lt;&gt;"EX",0,--(COUNTIFS(nNIA,DATOS!$A9980,nCURSO,DATOS!$D9980,nESPEC,DATOS!$E9980,nASIG,DATOS!$I9980,nEVAL,"OR")=0))</f>
      </c>
      <c r="I9980">
        <f>IF(DATOS!$I9980="","",IFERROR(VLOOKUP(DATOS!$I9980,CONFIG_ASIGNATURAS!$B$2:$J$91,9,FALSE()),""))</f>
      </c>
    </row>
    <row r="9981">
      <c r="F9981">
        <f>IF(DATOS!$A9981="","",DATOS!$A9981&amp;"|"&amp;DATOS!$D9981&amp;"|"&amp;DATOS!$E9981&amp;"|"&amp;DATOS!$I9981)</f>
      </c>
      <c r="G9981">
        <f>IF(DATOS!$A9981="",0,IF(CONFIG_METADATA!$B$4&lt;&gt;"OR+EX",--(DATOS!$G9981=CONFIG_METADATA!$B$4),IF(DATOS!$G9981="EX",1,IF(DATOS!$G9981="OR",--(COUNTIFS(nNIA,DATOS!$A9981,nCURSO,DATOS!$D9981,nESPEC,DATOS!$E9981,nASIG,DATOS!$I9981,nEVAL,"EX")=0),0))))</f>
      </c>
      <c r="H9981">
        <f>IF(DATOS!$G9981&lt;&gt;"EX",0,--(COUNTIFS(nNIA,DATOS!$A9981,nCURSO,DATOS!$D9981,nESPEC,DATOS!$E9981,nASIG,DATOS!$I9981,nEVAL,"OR")=0))</f>
      </c>
      <c r="I9981">
        <f>IF(DATOS!$I9981="","",IFERROR(VLOOKUP(DATOS!$I9981,CONFIG_ASIGNATURAS!$B$2:$J$91,9,FALSE()),""))</f>
      </c>
    </row>
    <row r="9982">
      <c r="F9982">
        <f>IF(DATOS!$A9982="","",DATOS!$A9982&amp;"|"&amp;DATOS!$D9982&amp;"|"&amp;DATOS!$E9982&amp;"|"&amp;DATOS!$I9982)</f>
      </c>
      <c r="G9982">
        <f>IF(DATOS!$A9982="",0,IF(CONFIG_METADATA!$B$4&lt;&gt;"OR+EX",--(DATOS!$G9982=CONFIG_METADATA!$B$4),IF(DATOS!$G9982="EX",1,IF(DATOS!$G9982="OR",--(COUNTIFS(nNIA,DATOS!$A9982,nCURSO,DATOS!$D9982,nESPEC,DATOS!$E9982,nASIG,DATOS!$I9982,nEVAL,"EX")=0),0))))</f>
      </c>
      <c r="H9982">
        <f>IF(DATOS!$G9982&lt;&gt;"EX",0,--(COUNTIFS(nNIA,DATOS!$A9982,nCURSO,DATOS!$D9982,nESPEC,DATOS!$E9982,nASIG,DATOS!$I9982,nEVAL,"OR")=0))</f>
      </c>
      <c r="I9982">
        <f>IF(DATOS!$I9982="","",IFERROR(VLOOKUP(DATOS!$I9982,CONFIG_ASIGNATURAS!$B$2:$J$91,9,FALSE()),""))</f>
      </c>
    </row>
    <row r="9983">
      <c r="F9983">
        <f>IF(DATOS!$A9983="","",DATOS!$A9983&amp;"|"&amp;DATOS!$D9983&amp;"|"&amp;DATOS!$E9983&amp;"|"&amp;DATOS!$I9983)</f>
      </c>
      <c r="G9983">
        <f>IF(DATOS!$A9983="",0,IF(CONFIG_METADATA!$B$4&lt;&gt;"OR+EX",--(DATOS!$G9983=CONFIG_METADATA!$B$4),IF(DATOS!$G9983="EX",1,IF(DATOS!$G9983="OR",--(COUNTIFS(nNIA,DATOS!$A9983,nCURSO,DATOS!$D9983,nESPEC,DATOS!$E9983,nASIG,DATOS!$I9983,nEVAL,"EX")=0),0))))</f>
      </c>
      <c r="H9983">
        <f>IF(DATOS!$G9983&lt;&gt;"EX",0,--(COUNTIFS(nNIA,DATOS!$A9983,nCURSO,DATOS!$D9983,nESPEC,DATOS!$E9983,nASIG,DATOS!$I9983,nEVAL,"OR")=0))</f>
      </c>
      <c r="I9983">
        <f>IF(DATOS!$I9983="","",IFERROR(VLOOKUP(DATOS!$I9983,CONFIG_ASIGNATURAS!$B$2:$J$91,9,FALSE()),""))</f>
      </c>
    </row>
    <row r="9984">
      <c r="F9984">
        <f>IF(DATOS!$A9984="","",DATOS!$A9984&amp;"|"&amp;DATOS!$D9984&amp;"|"&amp;DATOS!$E9984&amp;"|"&amp;DATOS!$I9984)</f>
      </c>
      <c r="G9984">
        <f>IF(DATOS!$A9984="",0,IF(CONFIG_METADATA!$B$4&lt;&gt;"OR+EX",--(DATOS!$G9984=CONFIG_METADATA!$B$4),IF(DATOS!$G9984="EX",1,IF(DATOS!$G9984="OR",--(COUNTIFS(nNIA,DATOS!$A9984,nCURSO,DATOS!$D9984,nESPEC,DATOS!$E9984,nASIG,DATOS!$I9984,nEVAL,"EX")=0),0))))</f>
      </c>
      <c r="H9984">
        <f>IF(DATOS!$G9984&lt;&gt;"EX",0,--(COUNTIFS(nNIA,DATOS!$A9984,nCURSO,DATOS!$D9984,nESPEC,DATOS!$E9984,nASIG,DATOS!$I9984,nEVAL,"OR")=0))</f>
      </c>
      <c r="I9984">
        <f>IF(DATOS!$I9984="","",IFERROR(VLOOKUP(DATOS!$I9984,CONFIG_ASIGNATURAS!$B$2:$J$91,9,FALSE()),""))</f>
      </c>
    </row>
    <row r="9985">
      <c r="F9985">
        <f>IF(DATOS!$A9985="","",DATOS!$A9985&amp;"|"&amp;DATOS!$D9985&amp;"|"&amp;DATOS!$E9985&amp;"|"&amp;DATOS!$I9985)</f>
      </c>
      <c r="G9985">
        <f>IF(DATOS!$A9985="",0,IF(CONFIG_METADATA!$B$4&lt;&gt;"OR+EX",--(DATOS!$G9985=CONFIG_METADATA!$B$4),IF(DATOS!$G9985="EX",1,IF(DATOS!$G9985="OR",--(COUNTIFS(nNIA,DATOS!$A9985,nCURSO,DATOS!$D9985,nESPEC,DATOS!$E9985,nASIG,DATOS!$I9985,nEVAL,"EX")=0),0))))</f>
      </c>
      <c r="H9985">
        <f>IF(DATOS!$G9985&lt;&gt;"EX",0,--(COUNTIFS(nNIA,DATOS!$A9985,nCURSO,DATOS!$D9985,nESPEC,DATOS!$E9985,nASIG,DATOS!$I9985,nEVAL,"OR")=0))</f>
      </c>
      <c r="I9985">
        <f>IF(DATOS!$I9985="","",IFERROR(VLOOKUP(DATOS!$I9985,CONFIG_ASIGNATURAS!$B$2:$J$91,9,FALSE()),""))</f>
      </c>
    </row>
    <row r="9986">
      <c r="F9986">
        <f>IF(DATOS!$A9986="","",DATOS!$A9986&amp;"|"&amp;DATOS!$D9986&amp;"|"&amp;DATOS!$E9986&amp;"|"&amp;DATOS!$I9986)</f>
      </c>
      <c r="G9986">
        <f>IF(DATOS!$A9986="",0,IF(CONFIG_METADATA!$B$4&lt;&gt;"OR+EX",--(DATOS!$G9986=CONFIG_METADATA!$B$4),IF(DATOS!$G9986="EX",1,IF(DATOS!$G9986="OR",--(COUNTIFS(nNIA,DATOS!$A9986,nCURSO,DATOS!$D9986,nESPEC,DATOS!$E9986,nASIG,DATOS!$I9986,nEVAL,"EX")=0),0))))</f>
      </c>
      <c r="H9986">
        <f>IF(DATOS!$G9986&lt;&gt;"EX",0,--(COUNTIFS(nNIA,DATOS!$A9986,nCURSO,DATOS!$D9986,nESPEC,DATOS!$E9986,nASIG,DATOS!$I9986,nEVAL,"OR")=0))</f>
      </c>
      <c r="I9986">
        <f>IF(DATOS!$I9986="","",IFERROR(VLOOKUP(DATOS!$I9986,CONFIG_ASIGNATURAS!$B$2:$J$91,9,FALSE()),""))</f>
      </c>
    </row>
    <row r="9987">
      <c r="F9987">
        <f>IF(DATOS!$A9987="","",DATOS!$A9987&amp;"|"&amp;DATOS!$D9987&amp;"|"&amp;DATOS!$E9987&amp;"|"&amp;DATOS!$I9987)</f>
      </c>
      <c r="G9987">
        <f>IF(DATOS!$A9987="",0,IF(CONFIG_METADATA!$B$4&lt;&gt;"OR+EX",--(DATOS!$G9987=CONFIG_METADATA!$B$4),IF(DATOS!$G9987="EX",1,IF(DATOS!$G9987="OR",--(COUNTIFS(nNIA,DATOS!$A9987,nCURSO,DATOS!$D9987,nESPEC,DATOS!$E9987,nASIG,DATOS!$I9987,nEVAL,"EX")=0),0))))</f>
      </c>
      <c r="H9987">
        <f>IF(DATOS!$G9987&lt;&gt;"EX",0,--(COUNTIFS(nNIA,DATOS!$A9987,nCURSO,DATOS!$D9987,nESPEC,DATOS!$E9987,nASIG,DATOS!$I9987,nEVAL,"OR")=0))</f>
      </c>
      <c r="I9987">
        <f>IF(DATOS!$I9987="","",IFERROR(VLOOKUP(DATOS!$I9987,CONFIG_ASIGNATURAS!$B$2:$J$91,9,FALSE()),""))</f>
      </c>
    </row>
    <row r="9988">
      <c r="F9988">
        <f>IF(DATOS!$A9988="","",DATOS!$A9988&amp;"|"&amp;DATOS!$D9988&amp;"|"&amp;DATOS!$E9988&amp;"|"&amp;DATOS!$I9988)</f>
      </c>
      <c r="G9988">
        <f>IF(DATOS!$A9988="",0,IF(CONFIG_METADATA!$B$4&lt;&gt;"OR+EX",--(DATOS!$G9988=CONFIG_METADATA!$B$4),IF(DATOS!$G9988="EX",1,IF(DATOS!$G9988="OR",--(COUNTIFS(nNIA,DATOS!$A9988,nCURSO,DATOS!$D9988,nESPEC,DATOS!$E9988,nASIG,DATOS!$I9988,nEVAL,"EX")=0),0))))</f>
      </c>
      <c r="H9988">
        <f>IF(DATOS!$G9988&lt;&gt;"EX",0,--(COUNTIFS(nNIA,DATOS!$A9988,nCURSO,DATOS!$D9988,nESPEC,DATOS!$E9988,nASIG,DATOS!$I9988,nEVAL,"OR")=0))</f>
      </c>
      <c r="I9988">
        <f>IF(DATOS!$I9988="","",IFERROR(VLOOKUP(DATOS!$I9988,CONFIG_ASIGNATURAS!$B$2:$J$91,9,FALSE()),""))</f>
      </c>
    </row>
    <row r="9989">
      <c r="F9989">
        <f>IF(DATOS!$A9989="","",DATOS!$A9989&amp;"|"&amp;DATOS!$D9989&amp;"|"&amp;DATOS!$E9989&amp;"|"&amp;DATOS!$I9989)</f>
      </c>
      <c r="G9989">
        <f>IF(DATOS!$A9989="",0,IF(CONFIG_METADATA!$B$4&lt;&gt;"OR+EX",--(DATOS!$G9989=CONFIG_METADATA!$B$4),IF(DATOS!$G9989="EX",1,IF(DATOS!$G9989="OR",--(COUNTIFS(nNIA,DATOS!$A9989,nCURSO,DATOS!$D9989,nESPEC,DATOS!$E9989,nASIG,DATOS!$I9989,nEVAL,"EX")=0),0))))</f>
      </c>
      <c r="H9989">
        <f>IF(DATOS!$G9989&lt;&gt;"EX",0,--(COUNTIFS(nNIA,DATOS!$A9989,nCURSO,DATOS!$D9989,nESPEC,DATOS!$E9989,nASIG,DATOS!$I9989,nEVAL,"OR")=0))</f>
      </c>
      <c r="I9989">
        <f>IF(DATOS!$I9989="","",IFERROR(VLOOKUP(DATOS!$I9989,CONFIG_ASIGNATURAS!$B$2:$J$91,9,FALSE()),""))</f>
      </c>
    </row>
    <row r="9990">
      <c r="F9990">
        <f>IF(DATOS!$A9990="","",DATOS!$A9990&amp;"|"&amp;DATOS!$D9990&amp;"|"&amp;DATOS!$E9990&amp;"|"&amp;DATOS!$I9990)</f>
      </c>
      <c r="G9990">
        <f>IF(DATOS!$A9990="",0,IF(CONFIG_METADATA!$B$4&lt;&gt;"OR+EX",--(DATOS!$G9990=CONFIG_METADATA!$B$4),IF(DATOS!$G9990="EX",1,IF(DATOS!$G9990="OR",--(COUNTIFS(nNIA,DATOS!$A9990,nCURSO,DATOS!$D9990,nESPEC,DATOS!$E9990,nASIG,DATOS!$I9990,nEVAL,"EX")=0),0))))</f>
      </c>
      <c r="H9990">
        <f>IF(DATOS!$G9990&lt;&gt;"EX",0,--(COUNTIFS(nNIA,DATOS!$A9990,nCURSO,DATOS!$D9990,nESPEC,DATOS!$E9990,nASIG,DATOS!$I9990,nEVAL,"OR")=0))</f>
      </c>
      <c r="I9990">
        <f>IF(DATOS!$I9990="","",IFERROR(VLOOKUP(DATOS!$I9990,CONFIG_ASIGNATURAS!$B$2:$J$91,9,FALSE()),""))</f>
      </c>
    </row>
    <row r="9991">
      <c r="F9991">
        <f>IF(DATOS!$A9991="","",DATOS!$A9991&amp;"|"&amp;DATOS!$D9991&amp;"|"&amp;DATOS!$E9991&amp;"|"&amp;DATOS!$I9991)</f>
      </c>
      <c r="G9991">
        <f>IF(DATOS!$A9991="",0,IF(CONFIG_METADATA!$B$4&lt;&gt;"OR+EX",--(DATOS!$G9991=CONFIG_METADATA!$B$4),IF(DATOS!$G9991="EX",1,IF(DATOS!$G9991="OR",--(COUNTIFS(nNIA,DATOS!$A9991,nCURSO,DATOS!$D9991,nESPEC,DATOS!$E9991,nASIG,DATOS!$I9991,nEVAL,"EX")=0),0))))</f>
      </c>
      <c r="H9991">
        <f>IF(DATOS!$G9991&lt;&gt;"EX",0,--(COUNTIFS(nNIA,DATOS!$A9991,nCURSO,DATOS!$D9991,nESPEC,DATOS!$E9991,nASIG,DATOS!$I9991,nEVAL,"OR")=0))</f>
      </c>
      <c r="I9991">
        <f>IF(DATOS!$I9991="","",IFERROR(VLOOKUP(DATOS!$I9991,CONFIG_ASIGNATURAS!$B$2:$J$91,9,FALSE()),""))</f>
      </c>
    </row>
    <row r="9992">
      <c r="F9992">
        <f>IF(DATOS!$A9992="","",DATOS!$A9992&amp;"|"&amp;DATOS!$D9992&amp;"|"&amp;DATOS!$E9992&amp;"|"&amp;DATOS!$I9992)</f>
      </c>
      <c r="G9992">
        <f>IF(DATOS!$A9992="",0,IF(CONFIG_METADATA!$B$4&lt;&gt;"OR+EX",--(DATOS!$G9992=CONFIG_METADATA!$B$4),IF(DATOS!$G9992="EX",1,IF(DATOS!$G9992="OR",--(COUNTIFS(nNIA,DATOS!$A9992,nCURSO,DATOS!$D9992,nESPEC,DATOS!$E9992,nASIG,DATOS!$I9992,nEVAL,"EX")=0),0))))</f>
      </c>
      <c r="H9992">
        <f>IF(DATOS!$G9992&lt;&gt;"EX",0,--(COUNTIFS(nNIA,DATOS!$A9992,nCURSO,DATOS!$D9992,nESPEC,DATOS!$E9992,nASIG,DATOS!$I9992,nEVAL,"OR")=0))</f>
      </c>
      <c r="I9992">
        <f>IF(DATOS!$I9992="","",IFERROR(VLOOKUP(DATOS!$I9992,CONFIG_ASIGNATURAS!$B$2:$J$91,9,FALSE()),""))</f>
      </c>
    </row>
    <row r="9993">
      <c r="F9993">
        <f>IF(DATOS!$A9993="","",DATOS!$A9993&amp;"|"&amp;DATOS!$D9993&amp;"|"&amp;DATOS!$E9993&amp;"|"&amp;DATOS!$I9993)</f>
      </c>
      <c r="G9993">
        <f>IF(DATOS!$A9993="",0,IF(CONFIG_METADATA!$B$4&lt;&gt;"OR+EX",--(DATOS!$G9993=CONFIG_METADATA!$B$4),IF(DATOS!$G9993="EX",1,IF(DATOS!$G9993="OR",--(COUNTIFS(nNIA,DATOS!$A9993,nCURSO,DATOS!$D9993,nESPEC,DATOS!$E9993,nASIG,DATOS!$I9993,nEVAL,"EX")=0),0))))</f>
      </c>
      <c r="H9993">
        <f>IF(DATOS!$G9993&lt;&gt;"EX",0,--(COUNTIFS(nNIA,DATOS!$A9993,nCURSO,DATOS!$D9993,nESPEC,DATOS!$E9993,nASIG,DATOS!$I9993,nEVAL,"OR")=0))</f>
      </c>
      <c r="I9993">
        <f>IF(DATOS!$I9993="","",IFERROR(VLOOKUP(DATOS!$I9993,CONFIG_ASIGNATURAS!$B$2:$J$91,9,FALSE()),""))</f>
      </c>
    </row>
    <row r="9994">
      <c r="F9994">
        <f>IF(DATOS!$A9994="","",DATOS!$A9994&amp;"|"&amp;DATOS!$D9994&amp;"|"&amp;DATOS!$E9994&amp;"|"&amp;DATOS!$I9994)</f>
      </c>
      <c r="G9994">
        <f>IF(DATOS!$A9994="",0,IF(CONFIG_METADATA!$B$4&lt;&gt;"OR+EX",--(DATOS!$G9994=CONFIG_METADATA!$B$4),IF(DATOS!$G9994="EX",1,IF(DATOS!$G9994="OR",--(COUNTIFS(nNIA,DATOS!$A9994,nCURSO,DATOS!$D9994,nESPEC,DATOS!$E9994,nASIG,DATOS!$I9994,nEVAL,"EX")=0),0))))</f>
      </c>
      <c r="H9994">
        <f>IF(DATOS!$G9994&lt;&gt;"EX",0,--(COUNTIFS(nNIA,DATOS!$A9994,nCURSO,DATOS!$D9994,nESPEC,DATOS!$E9994,nASIG,DATOS!$I9994,nEVAL,"OR")=0))</f>
      </c>
      <c r="I9994">
        <f>IF(DATOS!$I9994="","",IFERROR(VLOOKUP(DATOS!$I9994,CONFIG_ASIGNATURAS!$B$2:$J$91,9,FALSE()),""))</f>
      </c>
    </row>
    <row r="9995">
      <c r="F9995">
        <f>IF(DATOS!$A9995="","",DATOS!$A9995&amp;"|"&amp;DATOS!$D9995&amp;"|"&amp;DATOS!$E9995&amp;"|"&amp;DATOS!$I9995)</f>
      </c>
      <c r="G9995">
        <f>IF(DATOS!$A9995="",0,IF(CONFIG_METADATA!$B$4&lt;&gt;"OR+EX",--(DATOS!$G9995=CONFIG_METADATA!$B$4),IF(DATOS!$G9995="EX",1,IF(DATOS!$G9995="OR",--(COUNTIFS(nNIA,DATOS!$A9995,nCURSO,DATOS!$D9995,nESPEC,DATOS!$E9995,nASIG,DATOS!$I9995,nEVAL,"EX")=0),0))))</f>
      </c>
      <c r="H9995">
        <f>IF(DATOS!$G9995&lt;&gt;"EX",0,--(COUNTIFS(nNIA,DATOS!$A9995,nCURSO,DATOS!$D9995,nESPEC,DATOS!$E9995,nASIG,DATOS!$I9995,nEVAL,"OR")=0))</f>
      </c>
      <c r="I9995">
        <f>IF(DATOS!$I9995="","",IFERROR(VLOOKUP(DATOS!$I9995,CONFIG_ASIGNATURAS!$B$2:$J$91,9,FALSE()),""))</f>
      </c>
    </row>
    <row r="9996">
      <c r="F9996">
        <f>IF(DATOS!$A9996="","",DATOS!$A9996&amp;"|"&amp;DATOS!$D9996&amp;"|"&amp;DATOS!$E9996&amp;"|"&amp;DATOS!$I9996)</f>
      </c>
      <c r="G9996">
        <f>IF(DATOS!$A9996="",0,IF(CONFIG_METADATA!$B$4&lt;&gt;"OR+EX",--(DATOS!$G9996=CONFIG_METADATA!$B$4),IF(DATOS!$G9996="EX",1,IF(DATOS!$G9996="OR",--(COUNTIFS(nNIA,DATOS!$A9996,nCURSO,DATOS!$D9996,nESPEC,DATOS!$E9996,nASIG,DATOS!$I9996,nEVAL,"EX")=0),0))))</f>
      </c>
      <c r="H9996">
        <f>IF(DATOS!$G9996&lt;&gt;"EX",0,--(COUNTIFS(nNIA,DATOS!$A9996,nCURSO,DATOS!$D9996,nESPEC,DATOS!$E9996,nASIG,DATOS!$I9996,nEVAL,"OR")=0))</f>
      </c>
      <c r="I9996">
        <f>IF(DATOS!$I9996="","",IFERROR(VLOOKUP(DATOS!$I9996,CONFIG_ASIGNATURAS!$B$2:$J$91,9,FALSE()),""))</f>
      </c>
    </row>
    <row r="9997">
      <c r="F9997">
        <f>IF(DATOS!$A9997="","",DATOS!$A9997&amp;"|"&amp;DATOS!$D9997&amp;"|"&amp;DATOS!$E9997&amp;"|"&amp;DATOS!$I9997)</f>
      </c>
      <c r="G9997">
        <f>IF(DATOS!$A9997="",0,IF(CONFIG_METADATA!$B$4&lt;&gt;"OR+EX",--(DATOS!$G9997=CONFIG_METADATA!$B$4),IF(DATOS!$G9997="EX",1,IF(DATOS!$G9997="OR",--(COUNTIFS(nNIA,DATOS!$A9997,nCURSO,DATOS!$D9997,nESPEC,DATOS!$E9997,nASIG,DATOS!$I9997,nEVAL,"EX")=0),0))))</f>
      </c>
      <c r="H9997">
        <f>IF(DATOS!$G9997&lt;&gt;"EX",0,--(COUNTIFS(nNIA,DATOS!$A9997,nCURSO,DATOS!$D9997,nESPEC,DATOS!$E9997,nASIG,DATOS!$I9997,nEVAL,"OR")=0))</f>
      </c>
      <c r="I9997">
        <f>IF(DATOS!$I9997="","",IFERROR(VLOOKUP(DATOS!$I9997,CONFIG_ASIGNATURAS!$B$2:$J$91,9,FALSE()),""))</f>
      </c>
    </row>
    <row r="9998">
      <c r="F9998">
        <f>IF(DATOS!$A9998="","",DATOS!$A9998&amp;"|"&amp;DATOS!$D9998&amp;"|"&amp;DATOS!$E9998&amp;"|"&amp;DATOS!$I9998)</f>
      </c>
      <c r="G9998">
        <f>IF(DATOS!$A9998="",0,IF(CONFIG_METADATA!$B$4&lt;&gt;"OR+EX",--(DATOS!$G9998=CONFIG_METADATA!$B$4),IF(DATOS!$G9998="EX",1,IF(DATOS!$G9998="OR",--(COUNTIFS(nNIA,DATOS!$A9998,nCURSO,DATOS!$D9998,nESPEC,DATOS!$E9998,nASIG,DATOS!$I9998,nEVAL,"EX")=0),0))))</f>
      </c>
      <c r="H9998">
        <f>IF(DATOS!$G9998&lt;&gt;"EX",0,--(COUNTIFS(nNIA,DATOS!$A9998,nCURSO,DATOS!$D9998,nESPEC,DATOS!$E9998,nASIG,DATOS!$I9998,nEVAL,"OR")=0))</f>
      </c>
      <c r="I9998">
        <f>IF(DATOS!$I9998="","",IFERROR(VLOOKUP(DATOS!$I9998,CONFIG_ASIGNATURAS!$B$2:$J$91,9,FALSE()),""))</f>
      </c>
    </row>
    <row r="9999">
      <c r="F9999">
        <f>IF(DATOS!$A9999="","",DATOS!$A9999&amp;"|"&amp;DATOS!$D9999&amp;"|"&amp;DATOS!$E9999&amp;"|"&amp;DATOS!$I9999)</f>
      </c>
      <c r="G9999">
        <f>IF(DATOS!$A9999="",0,IF(CONFIG_METADATA!$B$4&lt;&gt;"OR+EX",--(DATOS!$G9999=CONFIG_METADATA!$B$4),IF(DATOS!$G9999="EX",1,IF(DATOS!$G9999="OR",--(COUNTIFS(nNIA,DATOS!$A9999,nCURSO,DATOS!$D9999,nESPEC,DATOS!$E9999,nASIG,DATOS!$I9999,nEVAL,"EX")=0),0))))</f>
      </c>
      <c r="H9999">
        <f>IF(DATOS!$G9999&lt;&gt;"EX",0,--(COUNTIFS(nNIA,DATOS!$A9999,nCURSO,DATOS!$D9999,nESPEC,DATOS!$E9999,nASIG,DATOS!$I9999,nEVAL,"OR")=0))</f>
      </c>
      <c r="I9999">
        <f>IF(DATOS!$I9999="","",IFERROR(VLOOKUP(DATOS!$I9999,CONFIG_ASIGNATURAS!$B$2:$J$91,9,FALSE()),""))</f>
      </c>
    </row>
    <row r="10000">
      <c r="F10000">
        <f>IF(DATOS!$A10000="","",DATOS!$A10000&amp;"|"&amp;DATOS!$D10000&amp;"|"&amp;DATOS!$E10000&amp;"|"&amp;DATOS!$I10000)</f>
      </c>
      <c r="G10000">
        <f>IF(DATOS!$A10000="",0,IF(CONFIG_METADATA!$B$4&lt;&gt;"OR+EX",--(DATOS!$G10000=CONFIG_METADATA!$B$4),IF(DATOS!$G10000="EX",1,IF(DATOS!$G10000="OR",--(COUNTIFS(nNIA,DATOS!$A10000,nCURSO,DATOS!$D10000,nESPEC,DATOS!$E10000,nASIG,DATOS!$I10000,nEVAL,"EX")=0),0))))</f>
      </c>
      <c r="H10000">
        <f>IF(DATOS!$G10000&lt;&gt;"EX",0,--(COUNTIFS(nNIA,DATOS!$A10000,nCURSO,DATOS!$D10000,nESPEC,DATOS!$E10000,nASIG,DATOS!$I10000,nEVAL,"OR")=0))</f>
      </c>
      <c r="I10000">
        <f>IF(DATOS!$I10000="","",IFERROR(VLOOKUP(DATOS!$I10000,CONFIG_ASIGNATURAS!$B$2:$J$91,9,FALSE()),""))</f>
      </c>
    </row>
    <row r="10001">
      <c r="F10001">
        <f>IF(DATOS!$A10001="","",DATOS!$A10001&amp;"|"&amp;DATOS!$D10001&amp;"|"&amp;DATOS!$E10001&amp;"|"&amp;DATOS!$I10001)</f>
      </c>
      <c r="G10001">
        <f>IF(DATOS!$A10001="",0,IF(CONFIG_METADATA!$B$4&lt;&gt;"OR+EX",--(DATOS!$G10001=CONFIG_METADATA!$B$4),IF(DATOS!$G10001="EX",1,IF(DATOS!$G10001="OR",--(COUNTIFS(nNIA,DATOS!$A10001,nCURSO,DATOS!$D10001,nESPEC,DATOS!$E10001,nASIG,DATOS!$I10001,nEVAL,"EX")=0),0))))</f>
      </c>
      <c r="H10001">
        <f>IF(DATOS!$G10001&lt;&gt;"EX",0,--(COUNTIFS(nNIA,DATOS!$A10001,nCURSO,DATOS!$D10001,nESPEC,DATOS!$E10001,nASIG,DATOS!$I10001,nEVAL,"OR")=0))</f>
      </c>
      <c r="I10001">
        <f>IF(DATOS!$I10001="","",IFERROR(VLOOKUP(DATOS!$I10001,CONFIG_ASIGNATURAS!$B$2:$J$91,9,FALSE()),""))</f>
      </c>
    </row>
    <row r="10002">
      <c r="F10002">
        <f>IF(DATOS!$A10002="","",DATOS!$A10002&amp;"|"&amp;DATOS!$D10002&amp;"|"&amp;DATOS!$E10002&amp;"|"&amp;DATOS!$I10002)</f>
      </c>
      <c r="G10002">
        <f>IF(DATOS!$A10002="",0,IF(CONFIG_METADATA!$B$4&lt;&gt;"OR+EX",--(DATOS!$G10002=CONFIG_METADATA!$B$4),IF(DATOS!$G10002="EX",1,IF(DATOS!$G10002="OR",--(COUNTIFS(nNIA,DATOS!$A10002,nCURSO,DATOS!$D10002,nESPEC,DATOS!$E10002,nASIG,DATOS!$I10002,nEVAL,"EX")=0),0))))</f>
      </c>
      <c r="H10002">
        <f>IF(DATOS!$G10002&lt;&gt;"EX",0,--(COUNTIFS(nNIA,DATOS!$A10002,nCURSO,DATOS!$D10002,nESPEC,DATOS!$E10002,nASIG,DATOS!$I10002,nEVAL,"OR")=0))</f>
      </c>
      <c r="I10002">
        <f>IF(DATOS!$I10002="","",IFERROR(VLOOKUP(DATOS!$I10002,CONFIG_ASIGNATURAS!$B$2:$J$91,9,FALSE()),""))</f>
      </c>
    </row>
    <row r="10003">
      <c r="F10003">
        <f>IF(DATOS!$A10003="","",DATOS!$A10003&amp;"|"&amp;DATOS!$D10003&amp;"|"&amp;DATOS!$E10003&amp;"|"&amp;DATOS!$I10003)</f>
      </c>
      <c r="G10003">
        <f>IF(DATOS!$A10003="",0,IF(CONFIG_METADATA!$B$4&lt;&gt;"OR+EX",--(DATOS!$G10003=CONFIG_METADATA!$B$4),IF(DATOS!$G10003="EX",1,IF(DATOS!$G10003="OR",--(COUNTIFS(nNIA,DATOS!$A10003,nCURSO,DATOS!$D10003,nESPEC,DATOS!$E10003,nASIG,DATOS!$I10003,nEVAL,"EX")=0),0))))</f>
      </c>
      <c r="H10003">
        <f>IF(DATOS!$G10003&lt;&gt;"EX",0,--(COUNTIFS(nNIA,DATOS!$A10003,nCURSO,DATOS!$D10003,nESPEC,DATOS!$E10003,nASIG,DATOS!$I10003,nEVAL,"OR")=0))</f>
      </c>
      <c r="I10003">
        <f>IF(DATOS!$I10003="","",IFERROR(VLOOKUP(DATOS!$I10003,CONFIG_ASIGNATURAS!$B$2:$J$91,9,FALSE()),""))</f>
      </c>
    </row>
    <row r="10004">
      <c r="F10004">
        <f>IF(DATOS!$A10004="","",DATOS!$A10004&amp;"|"&amp;DATOS!$D10004&amp;"|"&amp;DATOS!$E10004&amp;"|"&amp;DATOS!$I10004)</f>
      </c>
      <c r="G10004">
        <f>IF(DATOS!$A10004="",0,IF(CONFIG_METADATA!$B$4&lt;&gt;"OR+EX",--(DATOS!$G10004=CONFIG_METADATA!$B$4),IF(DATOS!$G10004="EX",1,IF(DATOS!$G10004="OR",--(COUNTIFS(nNIA,DATOS!$A10004,nCURSO,DATOS!$D10004,nESPEC,DATOS!$E10004,nASIG,DATOS!$I10004,nEVAL,"EX")=0),0))))</f>
      </c>
      <c r="H10004">
        <f>IF(DATOS!$G10004&lt;&gt;"EX",0,--(COUNTIFS(nNIA,DATOS!$A10004,nCURSO,DATOS!$D10004,nESPEC,DATOS!$E10004,nASIG,DATOS!$I10004,nEVAL,"OR")=0))</f>
      </c>
      <c r="I10004">
        <f>IF(DATOS!$I10004="","",IFERROR(VLOOKUP(DATOS!$I10004,CONFIG_ASIGNATURAS!$B$2:$J$91,9,FALSE()),""))</f>
      </c>
    </row>
    <row r="10005">
      <c r="F10005">
        <f>IF(DATOS!$A10005="","",DATOS!$A10005&amp;"|"&amp;DATOS!$D10005&amp;"|"&amp;DATOS!$E10005&amp;"|"&amp;DATOS!$I10005)</f>
      </c>
      <c r="G10005">
        <f>IF(DATOS!$A10005="",0,IF(CONFIG_METADATA!$B$4&lt;&gt;"OR+EX",--(DATOS!$G10005=CONFIG_METADATA!$B$4),IF(DATOS!$G10005="EX",1,IF(DATOS!$G10005="OR",--(COUNTIFS(nNIA,DATOS!$A10005,nCURSO,DATOS!$D10005,nESPEC,DATOS!$E10005,nASIG,DATOS!$I10005,nEVAL,"EX")=0),0))))</f>
      </c>
      <c r="H10005">
        <f>IF(DATOS!$G10005&lt;&gt;"EX",0,--(COUNTIFS(nNIA,DATOS!$A10005,nCURSO,DATOS!$D10005,nESPEC,DATOS!$E10005,nASIG,DATOS!$I10005,nEVAL,"OR")=0))</f>
      </c>
      <c r="I10005">
        <f>IF(DATOS!$I10005="","",IFERROR(VLOOKUP(DATOS!$I10005,CONFIG_ASIGNATURAS!$B$2:$J$91,9,FALSE()),""))</f>
      </c>
    </row>
    <row r="10006">
      <c r="F10006">
        <f>IF(DATOS!$A10006="","",DATOS!$A10006&amp;"|"&amp;DATOS!$D10006&amp;"|"&amp;DATOS!$E10006&amp;"|"&amp;DATOS!$I10006)</f>
      </c>
      <c r="G10006">
        <f>IF(DATOS!$A10006="",0,IF(CONFIG_METADATA!$B$4&lt;&gt;"OR+EX",--(DATOS!$G10006=CONFIG_METADATA!$B$4),IF(DATOS!$G10006="EX",1,IF(DATOS!$G10006="OR",--(COUNTIFS(nNIA,DATOS!$A10006,nCURSO,DATOS!$D10006,nESPEC,DATOS!$E10006,nASIG,DATOS!$I10006,nEVAL,"EX")=0),0))))</f>
      </c>
      <c r="H10006">
        <f>IF(DATOS!$G10006&lt;&gt;"EX",0,--(COUNTIFS(nNIA,DATOS!$A10006,nCURSO,DATOS!$D10006,nESPEC,DATOS!$E10006,nASIG,DATOS!$I10006,nEVAL,"OR")=0))</f>
      </c>
      <c r="I10006">
        <f>IF(DATOS!$I10006="","",IFERROR(VLOOKUP(DATOS!$I10006,CONFIG_ASIGNATURAS!$B$2:$J$91,9,FALSE()),""))</f>
      </c>
    </row>
    <row r="10007">
      <c r="F10007">
        <f>IF(DATOS!$A10007="","",DATOS!$A10007&amp;"|"&amp;DATOS!$D10007&amp;"|"&amp;DATOS!$E10007&amp;"|"&amp;DATOS!$I10007)</f>
      </c>
      <c r="G10007">
        <f>IF(DATOS!$A10007="",0,IF(CONFIG_METADATA!$B$4&lt;&gt;"OR+EX",--(DATOS!$G10007=CONFIG_METADATA!$B$4),IF(DATOS!$G10007="EX",1,IF(DATOS!$G10007="OR",--(COUNTIFS(nNIA,DATOS!$A10007,nCURSO,DATOS!$D10007,nESPEC,DATOS!$E10007,nASIG,DATOS!$I10007,nEVAL,"EX")=0),0))))</f>
      </c>
      <c r="H10007">
        <f>IF(DATOS!$G10007&lt;&gt;"EX",0,--(COUNTIFS(nNIA,DATOS!$A10007,nCURSO,DATOS!$D10007,nESPEC,DATOS!$E10007,nASIG,DATOS!$I10007,nEVAL,"OR")=0))</f>
      </c>
      <c r="I10007">
        <f>IF(DATOS!$I10007="","",IFERROR(VLOOKUP(DATOS!$I10007,CONFIG_ASIGNATURAS!$B$2:$J$91,9,FALSE()),""))</f>
      </c>
    </row>
    <row r="10008">
      <c r="F10008">
        <f>IF(DATOS!$A10008="","",DATOS!$A10008&amp;"|"&amp;DATOS!$D10008&amp;"|"&amp;DATOS!$E10008&amp;"|"&amp;DATOS!$I10008)</f>
      </c>
      <c r="G10008">
        <f>IF(DATOS!$A10008="",0,IF(CONFIG_METADATA!$B$4&lt;&gt;"OR+EX",--(DATOS!$G10008=CONFIG_METADATA!$B$4),IF(DATOS!$G10008="EX",1,IF(DATOS!$G10008="OR",--(COUNTIFS(nNIA,DATOS!$A10008,nCURSO,DATOS!$D10008,nESPEC,DATOS!$E10008,nASIG,DATOS!$I10008,nEVAL,"EX")=0),0))))</f>
      </c>
      <c r="H10008">
        <f>IF(DATOS!$G10008&lt;&gt;"EX",0,--(COUNTIFS(nNIA,DATOS!$A10008,nCURSO,DATOS!$D10008,nESPEC,DATOS!$E10008,nASIG,DATOS!$I10008,nEVAL,"OR")=0))</f>
      </c>
      <c r="I10008">
        <f>IF(DATOS!$I10008="","",IFERROR(VLOOKUP(DATOS!$I10008,CONFIG_ASIGNATURAS!$B$2:$J$91,9,FALSE()),""))</f>
      </c>
    </row>
    <row r="10009">
      <c r="F10009">
        <f>IF(DATOS!$A10009="","",DATOS!$A10009&amp;"|"&amp;DATOS!$D10009&amp;"|"&amp;DATOS!$E10009&amp;"|"&amp;DATOS!$I10009)</f>
      </c>
      <c r="G10009">
        <f>IF(DATOS!$A10009="",0,IF(CONFIG_METADATA!$B$4&lt;&gt;"OR+EX",--(DATOS!$G10009=CONFIG_METADATA!$B$4),IF(DATOS!$G10009="EX",1,IF(DATOS!$G10009="OR",--(COUNTIFS(nNIA,DATOS!$A10009,nCURSO,DATOS!$D10009,nESPEC,DATOS!$E10009,nASIG,DATOS!$I10009,nEVAL,"EX")=0),0))))</f>
      </c>
      <c r="H10009">
        <f>IF(DATOS!$G10009&lt;&gt;"EX",0,--(COUNTIFS(nNIA,DATOS!$A10009,nCURSO,DATOS!$D10009,nESPEC,DATOS!$E10009,nASIG,DATOS!$I10009,nEVAL,"OR")=0))</f>
      </c>
      <c r="I10009">
        <f>IF(DATOS!$I10009="","",IFERROR(VLOOKUP(DATOS!$I10009,CONFIG_ASIGNATURAS!$B$2:$J$91,9,FALSE()),""))</f>
      </c>
    </row>
    <row r="10010">
      <c r="F10010">
        <f>IF(DATOS!$A10010="","",DATOS!$A10010&amp;"|"&amp;DATOS!$D10010&amp;"|"&amp;DATOS!$E10010&amp;"|"&amp;DATOS!$I10010)</f>
      </c>
      <c r="G10010">
        <f>IF(DATOS!$A10010="",0,IF(CONFIG_METADATA!$B$4&lt;&gt;"OR+EX",--(DATOS!$G10010=CONFIG_METADATA!$B$4),IF(DATOS!$G10010="EX",1,IF(DATOS!$G10010="OR",--(COUNTIFS(nNIA,DATOS!$A10010,nCURSO,DATOS!$D10010,nESPEC,DATOS!$E10010,nASIG,DATOS!$I10010,nEVAL,"EX")=0),0))))</f>
      </c>
      <c r="H10010">
        <f>IF(DATOS!$G10010&lt;&gt;"EX",0,--(COUNTIFS(nNIA,DATOS!$A10010,nCURSO,DATOS!$D10010,nESPEC,DATOS!$E10010,nASIG,DATOS!$I10010,nEVAL,"OR")=0))</f>
      </c>
      <c r="I10010">
        <f>IF(DATOS!$I10010="","",IFERROR(VLOOKUP(DATOS!$I10010,CONFIG_ASIGNATURAS!$B$2:$J$91,9,FALSE()),""))</f>
      </c>
    </row>
    <row r="10011">
      <c r="F10011">
        <f>IF(DATOS!$A10011="","",DATOS!$A10011&amp;"|"&amp;DATOS!$D10011&amp;"|"&amp;DATOS!$E10011&amp;"|"&amp;DATOS!$I10011)</f>
      </c>
      <c r="G10011">
        <f>IF(DATOS!$A10011="",0,IF(CONFIG_METADATA!$B$4&lt;&gt;"OR+EX",--(DATOS!$G10011=CONFIG_METADATA!$B$4),IF(DATOS!$G10011="EX",1,IF(DATOS!$G10011="OR",--(COUNTIFS(nNIA,DATOS!$A10011,nCURSO,DATOS!$D10011,nESPEC,DATOS!$E10011,nASIG,DATOS!$I10011,nEVAL,"EX")=0),0))))</f>
      </c>
      <c r="H10011">
        <f>IF(DATOS!$G10011&lt;&gt;"EX",0,--(COUNTIFS(nNIA,DATOS!$A10011,nCURSO,DATOS!$D10011,nESPEC,DATOS!$E10011,nASIG,DATOS!$I10011,nEVAL,"OR")=0))</f>
      </c>
      <c r="I10011">
        <f>IF(DATOS!$I10011="","",IFERROR(VLOOKUP(DATOS!$I10011,CONFIG_ASIGNATURAS!$B$2:$J$91,9,FALSE()),""))</f>
      </c>
    </row>
    <row r="10012">
      <c r="F10012">
        <f>IF(DATOS!$A10012="","",DATOS!$A10012&amp;"|"&amp;DATOS!$D10012&amp;"|"&amp;DATOS!$E10012&amp;"|"&amp;DATOS!$I10012)</f>
      </c>
      <c r="G10012">
        <f>IF(DATOS!$A10012="",0,IF(CONFIG_METADATA!$B$4&lt;&gt;"OR+EX",--(DATOS!$G10012=CONFIG_METADATA!$B$4),IF(DATOS!$G10012="EX",1,IF(DATOS!$G10012="OR",--(COUNTIFS(nNIA,DATOS!$A10012,nCURSO,DATOS!$D10012,nESPEC,DATOS!$E10012,nASIG,DATOS!$I10012,nEVAL,"EX")=0),0))))</f>
      </c>
      <c r="H10012">
        <f>IF(DATOS!$G10012&lt;&gt;"EX",0,--(COUNTIFS(nNIA,DATOS!$A10012,nCURSO,DATOS!$D10012,nESPEC,DATOS!$E10012,nASIG,DATOS!$I10012,nEVAL,"OR")=0))</f>
      </c>
      <c r="I10012">
        <f>IF(DATOS!$I10012="","",IFERROR(VLOOKUP(DATOS!$I10012,CONFIG_ASIGNATURAS!$B$2:$J$91,9,FALSE()),""))</f>
      </c>
    </row>
    <row r="10013">
      <c r="F10013">
        <f>IF(DATOS!$A10013="","",DATOS!$A10013&amp;"|"&amp;DATOS!$D10013&amp;"|"&amp;DATOS!$E10013&amp;"|"&amp;DATOS!$I10013)</f>
      </c>
      <c r="G10013">
        <f>IF(DATOS!$A10013="",0,IF(CONFIG_METADATA!$B$4&lt;&gt;"OR+EX",--(DATOS!$G10013=CONFIG_METADATA!$B$4),IF(DATOS!$G10013="EX",1,IF(DATOS!$G10013="OR",--(COUNTIFS(nNIA,DATOS!$A10013,nCURSO,DATOS!$D10013,nESPEC,DATOS!$E10013,nASIG,DATOS!$I10013,nEVAL,"EX")=0),0))))</f>
      </c>
      <c r="H10013">
        <f>IF(DATOS!$G10013&lt;&gt;"EX",0,--(COUNTIFS(nNIA,DATOS!$A10013,nCURSO,DATOS!$D10013,nESPEC,DATOS!$E10013,nASIG,DATOS!$I10013,nEVAL,"OR")=0))</f>
      </c>
      <c r="I10013">
        <f>IF(DATOS!$I10013="","",IFERROR(VLOOKUP(DATOS!$I10013,CONFIG_ASIGNATURAS!$B$2:$J$91,9,FALSE()),""))</f>
      </c>
    </row>
    <row r="10014">
      <c r="F10014">
        <f>IF(DATOS!$A10014="","",DATOS!$A10014&amp;"|"&amp;DATOS!$D10014&amp;"|"&amp;DATOS!$E10014&amp;"|"&amp;DATOS!$I10014)</f>
      </c>
      <c r="G10014">
        <f>IF(DATOS!$A10014="",0,IF(CONFIG_METADATA!$B$4&lt;&gt;"OR+EX",--(DATOS!$G10014=CONFIG_METADATA!$B$4),IF(DATOS!$G10014="EX",1,IF(DATOS!$G10014="OR",--(COUNTIFS(nNIA,DATOS!$A10014,nCURSO,DATOS!$D10014,nESPEC,DATOS!$E10014,nASIG,DATOS!$I10014,nEVAL,"EX")=0),0))))</f>
      </c>
      <c r="H10014">
        <f>IF(DATOS!$G10014&lt;&gt;"EX",0,--(COUNTIFS(nNIA,DATOS!$A10014,nCURSO,DATOS!$D10014,nESPEC,DATOS!$E10014,nASIG,DATOS!$I10014,nEVAL,"OR")=0))</f>
      </c>
      <c r="I10014">
        <f>IF(DATOS!$I10014="","",IFERROR(VLOOKUP(DATOS!$I10014,CONFIG_ASIGNATURAS!$B$2:$J$91,9,FALSE()),""))</f>
      </c>
    </row>
    <row r="10015">
      <c r="F10015">
        <f>IF(DATOS!$A10015="","",DATOS!$A10015&amp;"|"&amp;DATOS!$D10015&amp;"|"&amp;DATOS!$E10015&amp;"|"&amp;DATOS!$I10015)</f>
      </c>
      <c r="G10015">
        <f>IF(DATOS!$A10015="",0,IF(CONFIG_METADATA!$B$4&lt;&gt;"OR+EX",--(DATOS!$G10015=CONFIG_METADATA!$B$4),IF(DATOS!$G10015="EX",1,IF(DATOS!$G10015="OR",--(COUNTIFS(nNIA,DATOS!$A10015,nCURSO,DATOS!$D10015,nESPEC,DATOS!$E10015,nASIG,DATOS!$I10015,nEVAL,"EX")=0),0))))</f>
      </c>
      <c r="H10015">
        <f>IF(DATOS!$G10015&lt;&gt;"EX",0,--(COUNTIFS(nNIA,DATOS!$A10015,nCURSO,DATOS!$D10015,nESPEC,DATOS!$E10015,nASIG,DATOS!$I10015,nEVAL,"OR")=0))</f>
      </c>
      <c r="I10015">
        <f>IF(DATOS!$I10015="","",IFERROR(VLOOKUP(DATOS!$I10015,CONFIG_ASIGNATURAS!$B$2:$J$91,9,FALSE()),""))</f>
      </c>
    </row>
    <row r="10016">
      <c r="F10016">
        <f>IF(DATOS!$A10016="","",DATOS!$A10016&amp;"|"&amp;DATOS!$D10016&amp;"|"&amp;DATOS!$E10016&amp;"|"&amp;DATOS!$I10016)</f>
      </c>
      <c r="G10016">
        <f>IF(DATOS!$A10016="",0,IF(CONFIG_METADATA!$B$4&lt;&gt;"OR+EX",--(DATOS!$G10016=CONFIG_METADATA!$B$4),IF(DATOS!$G10016="EX",1,IF(DATOS!$G10016="OR",--(COUNTIFS(nNIA,DATOS!$A10016,nCURSO,DATOS!$D10016,nESPEC,DATOS!$E10016,nASIG,DATOS!$I10016,nEVAL,"EX")=0),0))))</f>
      </c>
      <c r="H10016">
        <f>IF(DATOS!$G10016&lt;&gt;"EX",0,--(COUNTIFS(nNIA,DATOS!$A10016,nCURSO,DATOS!$D10016,nESPEC,DATOS!$E10016,nASIG,DATOS!$I10016,nEVAL,"OR")=0))</f>
      </c>
      <c r="I10016">
        <f>IF(DATOS!$I10016="","",IFERROR(VLOOKUP(DATOS!$I10016,CONFIG_ASIGNATURAS!$B$2:$J$91,9,FALSE()),""))</f>
      </c>
    </row>
    <row r="10017">
      <c r="F10017">
        <f>IF(DATOS!$A10017="","",DATOS!$A10017&amp;"|"&amp;DATOS!$D10017&amp;"|"&amp;DATOS!$E10017&amp;"|"&amp;DATOS!$I10017)</f>
      </c>
      <c r="G10017">
        <f>IF(DATOS!$A10017="",0,IF(CONFIG_METADATA!$B$4&lt;&gt;"OR+EX",--(DATOS!$G10017=CONFIG_METADATA!$B$4),IF(DATOS!$G10017="EX",1,IF(DATOS!$G10017="OR",--(COUNTIFS(nNIA,DATOS!$A10017,nCURSO,DATOS!$D10017,nESPEC,DATOS!$E10017,nASIG,DATOS!$I10017,nEVAL,"EX")=0),0))))</f>
      </c>
      <c r="H10017">
        <f>IF(DATOS!$G10017&lt;&gt;"EX",0,--(COUNTIFS(nNIA,DATOS!$A10017,nCURSO,DATOS!$D10017,nESPEC,DATOS!$E10017,nASIG,DATOS!$I10017,nEVAL,"OR")=0))</f>
      </c>
      <c r="I10017">
        <f>IF(DATOS!$I10017="","",IFERROR(VLOOKUP(DATOS!$I10017,CONFIG_ASIGNATURAS!$B$2:$J$91,9,FALSE()),""))</f>
      </c>
    </row>
    <row r="10018">
      <c r="F10018">
        <f>IF(DATOS!$A10018="","",DATOS!$A10018&amp;"|"&amp;DATOS!$D10018&amp;"|"&amp;DATOS!$E10018&amp;"|"&amp;DATOS!$I10018)</f>
      </c>
      <c r="G10018">
        <f>IF(DATOS!$A10018="",0,IF(CONFIG_METADATA!$B$4&lt;&gt;"OR+EX",--(DATOS!$G10018=CONFIG_METADATA!$B$4),IF(DATOS!$G10018="EX",1,IF(DATOS!$G10018="OR",--(COUNTIFS(nNIA,DATOS!$A10018,nCURSO,DATOS!$D10018,nESPEC,DATOS!$E10018,nASIG,DATOS!$I10018,nEVAL,"EX")=0),0))))</f>
      </c>
      <c r="H10018">
        <f>IF(DATOS!$G10018&lt;&gt;"EX",0,--(COUNTIFS(nNIA,DATOS!$A10018,nCURSO,DATOS!$D10018,nESPEC,DATOS!$E10018,nASIG,DATOS!$I10018,nEVAL,"OR")=0))</f>
      </c>
      <c r="I10018">
        <f>IF(DATOS!$I10018="","",IFERROR(VLOOKUP(DATOS!$I10018,CONFIG_ASIGNATURAS!$B$2:$J$91,9,FALSE()),""))</f>
      </c>
    </row>
    <row r="10019">
      <c r="F10019">
        <f>IF(DATOS!$A10019="","",DATOS!$A10019&amp;"|"&amp;DATOS!$D10019&amp;"|"&amp;DATOS!$E10019&amp;"|"&amp;DATOS!$I10019)</f>
      </c>
      <c r="G10019">
        <f>IF(DATOS!$A10019="",0,IF(CONFIG_METADATA!$B$4&lt;&gt;"OR+EX",--(DATOS!$G10019=CONFIG_METADATA!$B$4),IF(DATOS!$G10019="EX",1,IF(DATOS!$G10019="OR",--(COUNTIFS(nNIA,DATOS!$A10019,nCURSO,DATOS!$D10019,nESPEC,DATOS!$E10019,nASIG,DATOS!$I10019,nEVAL,"EX")=0),0))))</f>
      </c>
      <c r="H10019">
        <f>IF(DATOS!$G10019&lt;&gt;"EX",0,--(COUNTIFS(nNIA,DATOS!$A10019,nCURSO,DATOS!$D10019,nESPEC,DATOS!$E10019,nASIG,DATOS!$I10019,nEVAL,"OR")=0))</f>
      </c>
      <c r="I10019">
        <f>IF(DATOS!$I10019="","",IFERROR(VLOOKUP(DATOS!$I10019,CONFIG_ASIGNATURAS!$B$2:$J$91,9,FALSE()),""))</f>
      </c>
    </row>
    <row r="10020">
      <c r="F10020">
        <f>IF(DATOS!$A10020="","",DATOS!$A10020&amp;"|"&amp;DATOS!$D10020&amp;"|"&amp;DATOS!$E10020&amp;"|"&amp;DATOS!$I10020)</f>
      </c>
      <c r="G10020">
        <f>IF(DATOS!$A10020="",0,IF(CONFIG_METADATA!$B$4&lt;&gt;"OR+EX",--(DATOS!$G10020=CONFIG_METADATA!$B$4),IF(DATOS!$G10020="EX",1,IF(DATOS!$G10020="OR",--(COUNTIFS(nNIA,DATOS!$A10020,nCURSO,DATOS!$D10020,nESPEC,DATOS!$E10020,nASIG,DATOS!$I10020,nEVAL,"EX")=0),0))))</f>
      </c>
      <c r="H10020">
        <f>IF(DATOS!$G10020&lt;&gt;"EX",0,--(COUNTIFS(nNIA,DATOS!$A10020,nCURSO,DATOS!$D10020,nESPEC,DATOS!$E10020,nASIG,DATOS!$I10020,nEVAL,"OR")=0))</f>
      </c>
      <c r="I10020">
        <f>IF(DATOS!$I10020="","",IFERROR(VLOOKUP(DATOS!$I10020,CONFIG_ASIGNATURAS!$B$2:$J$91,9,FALSE()),""))</f>
      </c>
    </row>
    <row r="10021">
      <c r="F10021">
        <f>IF(DATOS!$A10021="","",DATOS!$A10021&amp;"|"&amp;DATOS!$D10021&amp;"|"&amp;DATOS!$E10021&amp;"|"&amp;DATOS!$I10021)</f>
      </c>
      <c r="G10021">
        <f>IF(DATOS!$A10021="",0,IF(CONFIG_METADATA!$B$4&lt;&gt;"OR+EX",--(DATOS!$G10021=CONFIG_METADATA!$B$4),IF(DATOS!$G10021="EX",1,IF(DATOS!$G10021="OR",--(COUNTIFS(nNIA,DATOS!$A10021,nCURSO,DATOS!$D10021,nESPEC,DATOS!$E10021,nASIG,DATOS!$I10021,nEVAL,"EX")=0),0))))</f>
      </c>
      <c r="H10021">
        <f>IF(DATOS!$G10021&lt;&gt;"EX",0,--(COUNTIFS(nNIA,DATOS!$A10021,nCURSO,DATOS!$D10021,nESPEC,DATOS!$E10021,nASIG,DATOS!$I10021,nEVAL,"OR")=0))</f>
      </c>
      <c r="I10021">
        <f>IF(DATOS!$I10021="","",IFERROR(VLOOKUP(DATOS!$I10021,CONFIG_ASIGNATURAS!$B$2:$J$91,9,FALSE()),""))</f>
      </c>
    </row>
    <row r="10022">
      <c r="F10022">
        <f>IF(DATOS!$A10022="","",DATOS!$A10022&amp;"|"&amp;DATOS!$D10022&amp;"|"&amp;DATOS!$E10022&amp;"|"&amp;DATOS!$I10022)</f>
      </c>
      <c r="G10022">
        <f>IF(DATOS!$A10022="",0,IF(CONFIG_METADATA!$B$4&lt;&gt;"OR+EX",--(DATOS!$G10022=CONFIG_METADATA!$B$4),IF(DATOS!$G10022="EX",1,IF(DATOS!$G10022="OR",--(COUNTIFS(nNIA,DATOS!$A10022,nCURSO,DATOS!$D10022,nESPEC,DATOS!$E10022,nASIG,DATOS!$I10022,nEVAL,"EX")=0),0))))</f>
      </c>
      <c r="H10022">
        <f>IF(DATOS!$G10022&lt;&gt;"EX",0,--(COUNTIFS(nNIA,DATOS!$A10022,nCURSO,DATOS!$D10022,nESPEC,DATOS!$E10022,nASIG,DATOS!$I10022,nEVAL,"OR")=0))</f>
      </c>
      <c r="I10022">
        <f>IF(DATOS!$I10022="","",IFERROR(VLOOKUP(DATOS!$I10022,CONFIG_ASIGNATURAS!$B$2:$J$91,9,FALSE()),""))</f>
      </c>
    </row>
    <row r="10023">
      <c r="F10023">
        <f>IF(DATOS!$A10023="","",DATOS!$A10023&amp;"|"&amp;DATOS!$D10023&amp;"|"&amp;DATOS!$E10023&amp;"|"&amp;DATOS!$I10023)</f>
      </c>
      <c r="G10023">
        <f>IF(DATOS!$A10023="",0,IF(CONFIG_METADATA!$B$4&lt;&gt;"OR+EX",--(DATOS!$G10023=CONFIG_METADATA!$B$4),IF(DATOS!$G10023="EX",1,IF(DATOS!$G10023="OR",--(COUNTIFS(nNIA,DATOS!$A10023,nCURSO,DATOS!$D10023,nESPEC,DATOS!$E10023,nASIG,DATOS!$I10023,nEVAL,"EX")=0),0))))</f>
      </c>
      <c r="H10023">
        <f>IF(DATOS!$G10023&lt;&gt;"EX",0,--(COUNTIFS(nNIA,DATOS!$A10023,nCURSO,DATOS!$D10023,nESPEC,DATOS!$E10023,nASIG,DATOS!$I10023,nEVAL,"OR")=0))</f>
      </c>
      <c r="I10023">
        <f>IF(DATOS!$I10023="","",IFERROR(VLOOKUP(DATOS!$I10023,CONFIG_ASIGNATURAS!$B$2:$J$91,9,FALSE()),""))</f>
      </c>
    </row>
    <row r="10024">
      <c r="F10024">
        <f>IF(DATOS!$A10024="","",DATOS!$A10024&amp;"|"&amp;DATOS!$D10024&amp;"|"&amp;DATOS!$E10024&amp;"|"&amp;DATOS!$I10024)</f>
      </c>
      <c r="G10024">
        <f>IF(DATOS!$A10024="",0,IF(CONFIG_METADATA!$B$4&lt;&gt;"OR+EX",--(DATOS!$G10024=CONFIG_METADATA!$B$4),IF(DATOS!$G10024="EX",1,IF(DATOS!$G10024="OR",--(COUNTIFS(nNIA,DATOS!$A10024,nCURSO,DATOS!$D10024,nESPEC,DATOS!$E10024,nASIG,DATOS!$I10024,nEVAL,"EX")=0),0))))</f>
      </c>
      <c r="H10024">
        <f>IF(DATOS!$G10024&lt;&gt;"EX",0,--(COUNTIFS(nNIA,DATOS!$A10024,nCURSO,DATOS!$D10024,nESPEC,DATOS!$E10024,nASIG,DATOS!$I10024,nEVAL,"OR")=0))</f>
      </c>
      <c r="I10024">
        <f>IF(DATOS!$I10024="","",IFERROR(VLOOKUP(DATOS!$I10024,CONFIG_ASIGNATURAS!$B$2:$J$91,9,FALSE()),""))</f>
      </c>
    </row>
    <row r="10025">
      <c r="F10025">
        <f>IF(DATOS!$A10025="","",DATOS!$A10025&amp;"|"&amp;DATOS!$D10025&amp;"|"&amp;DATOS!$E10025&amp;"|"&amp;DATOS!$I10025)</f>
      </c>
      <c r="G10025">
        <f>IF(DATOS!$A10025="",0,IF(CONFIG_METADATA!$B$4&lt;&gt;"OR+EX",--(DATOS!$G10025=CONFIG_METADATA!$B$4),IF(DATOS!$G10025="EX",1,IF(DATOS!$G10025="OR",--(COUNTIFS(nNIA,DATOS!$A10025,nCURSO,DATOS!$D10025,nESPEC,DATOS!$E10025,nASIG,DATOS!$I10025,nEVAL,"EX")=0),0))))</f>
      </c>
      <c r="H10025">
        <f>IF(DATOS!$G10025&lt;&gt;"EX",0,--(COUNTIFS(nNIA,DATOS!$A10025,nCURSO,DATOS!$D10025,nESPEC,DATOS!$E10025,nASIG,DATOS!$I10025,nEVAL,"OR")=0))</f>
      </c>
      <c r="I10025">
        <f>IF(DATOS!$I10025="","",IFERROR(VLOOKUP(DATOS!$I10025,CONFIG_ASIGNATURAS!$B$2:$J$91,9,FALSE()),""))</f>
      </c>
    </row>
    <row r="10026">
      <c r="F10026">
        <f>IF(DATOS!$A10026="","",DATOS!$A10026&amp;"|"&amp;DATOS!$D10026&amp;"|"&amp;DATOS!$E10026&amp;"|"&amp;DATOS!$I10026)</f>
      </c>
      <c r="G10026">
        <f>IF(DATOS!$A10026="",0,IF(CONFIG_METADATA!$B$4&lt;&gt;"OR+EX",--(DATOS!$G10026=CONFIG_METADATA!$B$4),IF(DATOS!$G10026="EX",1,IF(DATOS!$G10026="OR",--(COUNTIFS(nNIA,DATOS!$A10026,nCURSO,DATOS!$D10026,nESPEC,DATOS!$E10026,nASIG,DATOS!$I10026,nEVAL,"EX")=0),0))))</f>
      </c>
      <c r="H10026">
        <f>IF(DATOS!$G10026&lt;&gt;"EX",0,--(COUNTIFS(nNIA,DATOS!$A10026,nCURSO,DATOS!$D10026,nESPEC,DATOS!$E10026,nASIG,DATOS!$I10026,nEVAL,"OR")=0))</f>
      </c>
      <c r="I10026">
        <f>IF(DATOS!$I10026="","",IFERROR(VLOOKUP(DATOS!$I10026,CONFIG_ASIGNATURAS!$B$2:$J$91,9,FALSE()),""))</f>
      </c>
    </row>
    <row r="10027">
      <c r="F10027">
        <f>IF(DATOS!$A10027="","",DATOS!$A10027&amp;"|"&amp;DATOS!$D10027&amp;"|"&amp;DATOS!$E10027&amp;"|"&amp;DATOS!$I10027)</f>
      </c>
      <c r="G10027">
        <f>IF(DATOS!$A10027="",0,IF(CONFIG_METADATA!$B$4&lt;&gt;"OR+EX",--(DATOS!$G10027=CONFIG_METADATA!$B$4),IF(DATOS!$G10027="EX",1,IF(DATOS!$G10027="OR",--(COUNTIFS(nNIA,DATOS!$A10027,nCURSO,DATOS!$D10027,nESPEC,DATOS!$E10027,nASIG,DATOS!$I10027,nEVAL,"EX")=0),0))))</f>
      </c>
      <c r="H10027">
        <f>IF(DATOS!$G10027&lt;&gt;"EX",0,--(COUNTIFS(nNIA,DATOS!$A10027,nCURSO,DATOS!$D10027,nESPEC,DATOS!$E10027,nASIG,DATOS!$I10027,nEVAL,"OR")=0))</f>
      </c>
      <c r="I10027">
        <f>IF(DATOS!$I10027="","",IFERROR(VLOOKUP(DATOS!$I10027,CONFIG_ASIGNATURAS!$B$2:$J$91,9,FALSE()),""))</f>
      </c>
    </row>
    <row r="10028">
      <c r="F10028">
        <f>IF(DATOS!$A10028="","",DATOS!$A10028&amp;"|"&amp;DATOS!$D10028&amp;"|"&amp;DATOS!$E10028&amp;"|"&amp;DATOS!$I10028)</f>
      </c>
      <c r="G10028">
        <f>IF(DATOS!$A10028="",0,IF(CONFIG_METADATA!$B$4&lt;&gt;"OR+EX",--(DATOS!$G10028=CONFIG_METADATA!$B$4),IF(DATOS!$G10028="EX",1,IF(DATOS!$G10028="OR",--(COUNTIFS(nNIA,DATOS!$A10028,nCURSO,DATOS!$D10028,nESPEC,DATOS!$E10028,nASIG,DATOS!$I10028,nEVAL,"EX")=0),0))))</f>
      </c>
      <c r="H10028">
        <f>IF(DATOS!$G10028&lt;&gt;"EX",0,--(COUNTIFS(nNIA,DATOS!$A10028,nCURSO,DATOS!$D10028,nESPEC,DATOS!$E10028,nASIG,DATOS!$I10028,nEVAL,"OR")=0))</f>
      </c>
      <c r="I10028">
        <f>IF(DATOS!$I10028="","",IFERROR(VLOOKUP(DATOS!$I10028,CONFIG_ASIGNATURAS!$B$2:$J$91,9,FALSE()),""))</f>
      </c>
    </row>
    <row r="10029">
      <c r="F10029">
        <f>IF(DATOS!$A10029="","",DATOS!$A10029&amp;"|"&amp;DATOS!$D10029&amp;"|"&amp;DATOS!$E10029&amp;"|"&amp;DATOS!$I10029)</f>
      </c>
      <c r="G10029">
        <f>IF(DATOS!$A10029="",0,IF(CONFIG_METADATA!$B$4&lt;&gt;"OR+EX",--(DATOS!$G10029=CONFIG_METADATA!$B$4),IF(DATOS!$G10029="EX",1,IF(DATOS!$G10029="OR",--(COUNTIFS(nNIA,DATOS!$A10029,nCURSO,DATOS!$D10029,nESPEC,DATOS!$E10029,nASIG,DATOS!$I10029,nEVAL,"EX")=0),0))))</f>
      </c>
      <c r="H10029">
        <f>IF(DATOS!$G10029&lt;&gt;"EX",0,--(COUNTIFS(nNIA,DATOS!$A10029,nCURSO,DATOS!$D10029,nESPEC,DATOS!$E10029,nASIG,DATOS!$I10029,nEVAL,"OR")=0))</f>
      </c>
      <c r="I10029">
        <f>IF(DATOS!$I10029="","",IFERROR(VLOOKUP(DATOS!$I10029,CONFIG_ASIGNATURAS!$B$2:$J$91,9,FALSE()),""))</f>
      </c>
    </row>
    <row r="10030">
      <c r="F10030">
        <f>IF(DATOS!$A10030="","",DATOS!$A10030&amp;"|"&amp;DATOS!$D10030&amp;"|"&amp;DATOS!$E10030&amp;"|"&amp;DATOS!$I10030)</f>
      </c>
      <c r="G10030">
        <f>IF(DATOS!$A10030="",0,IF(CONFIG_METADATA!$B$4&lt;&gt;"OR+EX",--(DATOS!$G10030=CONFIG_METADATA!$B$4),IF(DATOS!$G10030="EX",1,IF(DATOS!$G10030="OR",--(COUNTIFS(nNIA,DATOS!$A10030,nCURSO,DATOS!$D10030,nESPEC,DATOS!$E10030,nASIG,DATOS!$I10030,nEVAL,"EX")=0),0))))</f>
      </c>
      <c r="H10030">
        <f>IF(DATOS!$G10030&lt;&gt;"EX",0,--(COUNTIFS(nNIA,DATOS!$A10030,nCURSO,DATOS!$D10030,nESPEC,DATOS!$E10030,nASIG,DATOS!$I10030,nEVAL,"OR")=0))</f>
      </c>
      <c r="I10030">
        <f>IF(DATOS!$I10030="","",IFERROR(VLOOKUP(DATOS!$I10030,CONFIG_ASIGNATURAS!$B$2:$J$91,9,FALSE()),""))</f>
      </c>
    </row>
    <row r="10031">
      <c r="F10031">
        <f>IF(DATOS!$A10031="","",DATOS!$A10031&amp;"|"&amp;DATOS!$D10031&amp;"|"&amp;DATOS!$E10031&amp;"|"&amp;DATOS!$I10031)</f>
      </c>
      <c r="G10031">
        <f>IF(DATOS!$A10031="",0,IF(CONFIG_METADATA!$B$4&lt;&gt;"OR+EX",--(DATOS!$G10031=CONFIG_METADATA!$B$4),IF(DATOS!$G10031="EX",1,IF(DATOS!$G10031="OR",--(COUNTIFS(nNIA,DATOS!$A10031,nCURSO,DATOS!$D10031,nESPEC,DATOS!$E10031,nASIG,DATOS!$I10031,nEVAL,"EX")=0),0))))</f>
      </c>
      <c r="H10031">
        <f>IF(DATOS!$G10031&lt;&gt;"EX",0,--(COUNTIFS(nNIA,DATOS!$A10031,nCURSO,DATOS!$D10031,nESPEC,DATOS!$E10031,nASIG,DATOS!$I10031,nEVAL,"OR")=0))</f>
      </c>
      <c r="I10031">
        <f>IF(DATOS!$I10031="","",IFERROR(VLOOKUP(DATOS!$I10031,CONFIG_ASIGNATURAS!$B$2:$J$91,9,FALSE()),""))</f>
      </c>
    </row>
    <row r="10032">
      <c r="F10032">
        <f>IF(DATOS!$A10032="","",DATOS!$A10032&amp;"|"&amp;DATOS!$D10032&amp;"|"&amp;DATOS!$E10032&amp;"|"&amp;DATOS!$I10032)</f>
      </c>
      <c r="G10032">
        <f>IF(DATOS!$A10032="",0,IF(CONFIG_METADATA!$B$4&lt;&gt;"OR+EX",--(DATOS!$G10032=CONFIG_METADATA!$B$4),IF(DATOS!$G10032="EX",1,IF(DATOS!$G10032="OR",--(COUNTIFS(nNIA,DATOS!$A10032,nCURSO,DATOS!$D10032,nESPEC,DATOS!$E10032,nASIG,DATOS!$I10032,nEVAL,"EX")=0),0))))</f>
      </c>
      <c r="H10032">
        <f>IF(DATOS!$G10032&lt;&gt;"EX",0,--(COUNTIFS(nNIA,DATOS!$A10032,nCURSO,DATOS!$D10032,nESPEC,DATOS!$E10032,nASIG,DATOS!$I10032,nEVAL,"OR")=0))</f>
      </c>
      <c r="I10032">
        <f>IF(DATOS!$I10032="","",IFERROR(VLOOKUP(DATOS!$I10032,CONFIG_ASIGNATURAS!$B$2:$J$91,9,FALSE()),""))</f>
      </c>
    </row>
    <row r="10033">
      <c r="F10033">
        <f>IF(DATOS!$A10033="","",DATOS!$A10033&amp;"|"&amp;DATOS!$D10033&amp;"|"&amp;DATOS!$E10033&amp;"|"&amp;DATOS!$I10033)</f>
      </c>
      <c r="G10033">
        <f>IF(DATOS!$A10033="",0,IF(CONFIG_METADATA!$B$4&lt;&gt;"OR+EX",--(DATOS!$G10033=CONFIG_METADATA!$B$4),IF(DATOS!$G10033="EX",1,IF(DATOS!$G10033="OR",--(COUNTIFS(nNIA,DATOS!$A10033,nCURSO,DATOS!$D10033,nESPEC,DATOS!$E10033,nASIG,DATOS!$I10033,nEVAL,"EX")=0),0))))</f>
      </c>
      <c r="H10033">
        <f>IF(DATOS!$G10033&lt;&gt;"EX",0,--(COUNTIFS(nNIA,DATOS!$A10033,nCURSO,DATOS!$D10033,nESPEC,DATOS!$E10033,nASIG,DATOS!$I10033,nEVAL,"OR")=0))</f>
      </c>
      <c r="I10033">
        <f>IF(DATOS!$I10033="","",IFERROR(VLOOKUP(DATOS!$I10033,CONFIG_ASIGNATURAS!$B$2:$J$91,9,FALSE()),""))</f>
      </c>
    </row>
    <row r="10034">
      <c r="F10034">
        <f>IF(DATOS!$A10034="","",DATOS!$A10034&amp;"|"&amp;DATOS!$D10034&amp;"|"&amp;DATOS!$E10034&amp;"|"&amp;DATOS!$I10034)</f>
      </c>
      <c r="G10034">
        <f>IF(DATOS!$A10034="",0,IF(CONFIG_METADATA!$B$4&lt;&gt;"OR+EX",--(DATOS!$G10034=CONFIG_METADATA!$B$4),IF(DATOS!$G10034="EX",1,IF(DATOS!$G10034="OR",--(COUNTIFS(nNIA,DATOS!$A10034,nCURSO,DATOS!$D10034,nESPEC,DATOS!$E10034,nASIG,DATOS!$I10034,nEVAL,"EX")=0),0))))</f>
      </c>
      <c r="H10034">
        <f>IF(DATOS!$G10034&lt;&gt;"EX",0,--(COUNTIFS(nNIA,DATOS!$A10034,nCURSO,DATOS!$D10034,nESPEC,DATOS!$E10034,nASIG,DATOS!$I10034,nEVAL,"OR")=0))</f>
      </c>
      <c r="I10034">
        <f>IF(DATOS!$I10034="","",IFERROR(VLOOKUP(DATOS!$I10034,CONFIG_ASIGNATURAS!$B$2:$J$91,9,FALSE()),""))</f>
      </c>
    </row>
    <row r="10035">
      <c r="F10035">
        <f>IF(DATOS!$A10035="","",DATOS!$A10035&amp;"|"&amp;DATOS!$D10035&amp;"|"&amp;DATOS!$E10035&amp;"|"&amp;DATOS!$I10035)</f>
      </c>
      <c r="G10035">
        <f>IF(DATOS!$A10035="",0,IF(CONFIG_METADATA!$B$4&lt;&gt;"OR+EX",--(DATOS!$G10035=CONFIG_METADATA!$B$4),IF(DATOS!$G10035="EX",1,IF(DATOS!$G10035="OR",--(COUNTIFS(nNIA,DATOS!$A10035,nCURSO,DATOS!$D10035,nESPEC,DATOS!$E10035,nASIG,DATOS!$I10035,nEVAL,"EX")=0),0))))</f>
      </c>
      <c r="H10035">
        <f>IF(DATOS!$G10035&lt;&gt;"EX",0,--(COUNTIFS(nNIA,DATOS!$A10035,nCURSO,DATOS!$D10035,nESPEC,DATOS!$E10035,nASIG,DATOS!$I10035,nEVAL,"OR")=0))</f>
      </c>
      <c r="I10035">
        <f>IF(DATOS!$I10035="","",IFERROR(VLOOKUP(DATOS!$I10035,CONFIG_ASIGNATURAS!$B$2:$J$91,9,FALSE()),""))</f>
      </c>
    </row>
    <row r="10036">
      <c r="F10036">
        <f>IF(DATOS!$A10036="","",DATOS!$A10036&amp;"|"&amp;DATOS!$D10036&amp;"|"&amp;DATOS!$E10036&amp;"|"&amp;DATOS!$I10036)</f>
      </c>
      <c r="G10036">
        <f>IF(DATOS!$A10036="",0,IF(CONFIG_METADATA!$B$4&lt;&gt;"OR+EX",--(DATOS!$G10036=CONFIG_METADATA!$B$4),IF(DATOS!$G10036="EX",1,IF(DATOS!$G10036="OR",--(COUNTIFS(nNIA,DATOS!$A10036,nCURSO,DATOS!$D10036,nESPEC,DATOS!$E10036,nASIG,DATOS!$I10036,nEVAL,"EX")=0),0))))</f>
      </c>
      <c r="H10036">
        <f>IF(DATOS!$G10036&lt;&gt;"EX",0,--(COUNTIFS(nNIA,DATOS!$A10036,nCURSO,DATOS!$D10036,nESPEC,DATOS!$E10036,nASIG,DATOS!$I10036,nEVAL,"OR")=0))</f>
      </c>
      <c r="I10036">
        <f>IF(DATOS!$I10036="","",IFERROR(VLOOKUP(DATOS!$I10036,CONFIG_ASIGNATURAS!$B$2:$J$91,9,FALSE()),""))</f>
      </c>
    </row>
    <row r="10037">
      <c r="F10037">
        <f>IF(DATOS!$A10037="","",DATOS!$A10037&amp;"|"&amp;DATOS!$D10037&amp;"|"&amp;DATOS!$E10037&amp;"|"&amp;DATOS!$I10037)</f>
      </c>
      <c r="G10037">
        <f>IF(DATOS!$A10037="",0,IF(CONFIG_METADATA!$B$4&lt;&gt;"OR+EX",--(DATOS!$G10037=CONFIG_METADATA!$B$4),IF(DATOS!$G10037="EX",1,IF(DATOS!$G10037="OR",--(COUNTIFS(nNIA,DATOS!$A10037,nCURSO,DATOS!$D10037,nESPEC,DATOS!$E10037,nASIG,DATOS!$I10037,nEVAL,"EX")=0),0))))</f>
      </c>
      <c r="H10037">
        <f>IF(DATOS!$G10037&lt;&gt;"EX",0,--(COUNTIFS(nNIA,DATOS!$A10037,nCURSO,DATOS!$D10037,nESPEC,DATOS!$E10037,nASIG,DATOS!$I10037,nEVAL,"OR")=0))</f>
      </c>
      <c r="I10037">
        <f>IF(DATOS!$I10037="","",IFERROR(VLOOKUP(DATOS!$I10037,CONFIG_ASIGNATURAS!$B$2:$J$91,9,FALSE()),""))</f>
      </c>
    </row>
    <row r="10038">
      <c r="F10038">
        <f>IF(DATOS!$A10038="","",DATOS!$A10038&amp;"|"&amp;DATOS!$D10038&amp;"|"&amp;DATOS!$E10038&amp;"|"&amp;DATOS!$I10038)</f>
      </c>
      <c r="G10038">
        <f>IF(DATOS!$A10038="",0,IF(CONFIG_METADATA!$B$4&lt;&gt;"OR+EX",--(DATOS!$G10038=CONFIG_METADATA!$B$4),IF(DATOS!$G10038="EX",1,IF(DATOS!$G10038="OR",--(COUNTIFS(nNIA,DATOS!$A10038,nCURSO,DATOS!$D10038,nESPEC,DATOS!$E10038,nASIG,DATOS!$I10038,nEVAL,"EX")=0),0))))</f>
      </c>
      <c r="H10038">
        <f>IF(DATOS!$G10038&lt;&gt;"EX",0,--(COUNTIFS(nNIA,DATOS!$A10038,nCURSO,DATOS!$D10038,nESPEC,DATOS!$E10038,nASIG,DATOS!$I10038,nEVAL,"OR")=0))</f>
      </c>
      <c r="I10038">
        <f>IF(DATOS!$I10038="","",IFERROR(VLOOKUP(DATOS!$I10038,CONFIG_ASIGNATURAS!$B$2:$J$91,9,FALSE()),""))</f>
      </c>
    </row>
    <row r="10039">
      <c r="F10039">
        <f>IF(DATOS!$A10039="","",DATOS!$A10039&amp;"|"&amp;DATOS!$D10039&amp;"|"&amp;DATOS!$E10039&amp;"|"&amp;DATOS!$I10039)</f>
      </c>
      <c r="G10039">
        <f>IF(DATOS!$A10039="",0,IF(CONFIG_METADATA!$B$4&lt;&gt;"OR+EX",--(DATOS!$G10039=CONFIG_METADATA!$B$4),IF(DATOS!$G10039="EX",1,IF(DATOS!$G10039="OR",--(COUNTIFS(nNIA,DATOS!$A10039,nCURSO,DATOS!$D10039,nESPEC,DATOS!$E10039,nASIG,DATOS!$I10039,nEVAL,"EX")=0),0))))</f>
      </c>
      <c r="H10039">
        <f>IF(DATOS!$G10039&lt;&gt;"EX",0,--(COUNTIFS(nNIA,DATOS!$A10039,nCURSO,DATOS!$D10039,nESPEC,DATOS!$E10039,nASIG,DATOS!$I10039,nEVAL,"OR")=0))</f>
      </c>
      <c r="I10039">
        <f>IF(DATOS!$I10039="","",IFERROR(VLOOKUP(DATOS!$I10039,CONFIG_ASIGNATURAS!$B$2:$J$91,9,FALSE()),""))</f>
      </c>
    </row>
    <row r="10040">
      <c r="F10040">
        <f>IF(DATOS!$A10040="","",DATOS!$A10040&amp;"|"&amp;DATOS!$D10040&amp;"|"&amp;DATOS!$E10040&amp;"|"&amp;DATOS!$I10040)</f>
      </c>
      <c r="G10040">
        <f>IF(DATOS!$A10040="",0,IF(CONFIG_METADATA!$B$4&lt;&gt;"OR+EX",--(DATOS!$G10040=CONFIG_METADATA!$B$4),IF(DATOS!$G10040="EX",1,IF(DATOS!$G10040="OR",--(COUNTIFS(nNIA,DATOS!$A10040,nCURSO,DATOS!$D10040,nESPEC,DATOS!$E10040,nASIG,DATOS!$I10040,nEVAL,"EX")=0),0))))</f>
      </c>
      <c r="H10040">
        <f>IF(DATOS!$G10040&lt;&gt;"EX",0,--(COUNTIFS(nNIA,DATOS!$A10040,nCURSO,DATOS!$D10040,nESPEC,DATOS!$E10040,nASIG,DATOS!$I10040,nEVAL,"OR")=0))</f>
      </c>
      <c r="I10040">
        <f>IF(DATOS!$I10040="","",IFERROR(VLOOKUP(DATOS!$I10040,CONFIG_ASIGNATURAS!$B$2:$J$91,9,FALSE()),""))</f>
      </c>
    </row>
    <row r="10041">
      <c r="F10041">
        <f>IF(DATOS!$A10041="","",DATOS!$A10041&amp;"|"&amp;DATOS!$D10041&amp;"|"&amp;DATOS!$E10041&amp;"|"&amp;DATOS!$I10041)</f>
      </c>
      <c r="G10041">
        <f>IF(DATOS!$A10041="",0,IF(CONFIG_METADATA!$B$4&lt;&gt;"OR+EX",--(DATOS!$G10041=CONFIG_METADATA!$B$4),IF(DATOS!$G10041="EX",1,IF(DATOS!$G10041="OR",--(COUNTIFS(nNIA,DATOS!$A10041,nCURSO,DATOS!$D10041,nESPEC,DATOS!$E10041,nASIG,DATOS!$I10041,nEVAL,"EX")=0),0))))</f>
      </c>
      <c r="H10041">
        <f>IF(DATOS!$G10041&lt;&gt;"EX",0,--(COUNTIFS(nNIA,DATOS!$A10041,nCURSO,DATOS!$D10041,nESPEC,DATOS!$E10041,nASIG,DATOS!$I10041,nEVAL,"OR")=0))</f>
      </c>
      <c r="I10041">
        <f>IF(DATOS!$I10041="","",IFERROR(VLOOKUP(DATOS!$I10041,CONFIG_ASIGNATURAS!$B$2:$J$91,9,FALSE()),""))</f>
      </c>
    </row>
    <row r="10042">
      <c r="F10042">
        <f>IF(DATOS!$A10042="","",DATOS!$A10042&amp;"|"&amp;DATOS!$D10042&amp;"|"&amp;DATOS!$E10042&amp;"|"&amp;DATOS!$I10042)</f>
      </c>
      <c r="G10042">
        <f>IF(DATOS!$A10042="",0,IF(CONFIG_METADATA!$B$4&lt;&gt;"OR+EX",--(DATOS!$G10042=CONFIG_METADATA!$B$4),IF(DATOS!$G10042="EX",1,IF(DATOS!$G10042="OR",--(COUNTIFS(nNIA,DATOS!$A10042,nCURSO,DATOS!$D10042,nESPEC,DATOS!$E10042,nASIG,DATOS!$I10042,nEVAL,"EX")=0),0))))</f>
      </c>
      <c r="H10042">
        <f>IF(DATOS!$G10042&lt;&gt;"EX",0,--(COUNTIFS(nNIA,DATOS!$A10042,nCURSO,DATOS!$D10042,nESPEC,DATOS!$E10042,nASIG,DATOS!$I10042,nEVAL,"OR")=0))</f>
      </c>
      <c r="I10042">
        <f>IF(DATOS!$I10042="","",IFERROR(VLOOKUP(DATOS!$I10042,CONFIG_ASIGNATURAS!$B$2:$J$91,9,FALSE()),""))</f>
      </c>
    </row>
    <row r="10043">
      <c r="F10043">
        <f>IF(DATOS!$A10043="","",DATOS!$A10043&amp;"|"&amp;DATOS!$D10043&amp;"|"&amp;DATOS!$E10043&amp;"|"&amp;DATOS!$I10043)</f>
      </c>
      <c r="G10043">
        <f>IF(DATOS!$A10043="",0,IF(CONFIG_METADATA!$B$4&lt;&gt;"OR+EX",--(DATOS!$G10043=CONFIG_METADATA!$B$4),IF(DATOS!$G10043="EX",1,IF(DATOS!$G10043="OR",--(COUNTIFS(nNIA,DATOS!$A10043,nCURSO,DATOS!$D10043,nESPEC,DATOS!$E10043,nASIG,DATOS!$I10043,nEVAL,"EX")=0),0))))</f>
      </c>
      <c r="H10043">
        <f>IF(DATOS!$G10043&lt;&gt;"EX",0,--(COUNTIFS(nNIA,DATOS!$A10043,nCURSO,DATOS!$D10043,nESPEC,DATOS!$E10043,nASIG,DATOS!$I10043,nEVAL,"OR")=0))</f>
      </c>
      <c r="I10043">
        <f>IF(DATOS!$I10043="","",IFERROR(VLOOKUP(DATOS!$I10043,CONFIG_ASIGNATURAS!$B$2:$J$91,9,FALSE()),""))</f>
      </c>
    </row>
    <row r="10044">
      <c r="F10044">
        <f>IF(DATOS!$A10044="","",DATOS!$A10044&amp;"|"&amp;DATOS!$D10044&amp;"|"&amp;DATOS!$E10044&amp;"|"&amp;DATOS!$I10044)</f>
      </c>
      <c r="G10044">
        <f>IF(DATOS!$A10044="",0,IF(CONFIG_METADATA!$B$4&lt;&gt;"OR+EX",--(DATOS!$G10044=CONFIG_METADATA!$B$4),IF(DATOS!$G10044="EX",1,IF(DATOS!$G10044="OR",--(COUNTIFS(nNIA,DATOS!$A10044,nCURSO,DATOS!$D10044,nESPEC,DATOS!$E10044,nASIG,DATOS!$I10044,nEVAL,"EX")=0),0))))</f>
      </c>
      <c r="H10044">
        <f>IF(DATOS!$G10044&lt;&gt;"EX",0,--(COUNTIFS(nNIA,DATOS!$A10044,nCURSO,DATOS!$D10044,nESPEC,DATOS!$E10044,nASIG,DATOS!$I10044,nEVAL,"OR")=0))</f>
      </c>
      <c r="I10044">
        <f>IF(DATOS!$I10044="","",IFERROR(VLOOKUP(DATOS!$I10044,CONFIG_ASIGNATURAS!$B$2:$J$91,9,FALSE()),""))</f>
      </c>
    </row>
    <row r="10045">
      <c r="F10045">
        <f>IF(DATOS!$A10045="","",DATOS!$A10045&amp;"|"&amp;DATOS!$D10045&amp;"|"&amp;DATOS!$E10045&amp;"|"&amp;DATOS!$I10045)</f>
      </c>
      <c r="G10045">
        <f>IF(DATOS!$A10045="",0,IF(CONFIG_METADATA!$B$4&lt;&gt;"OR+EX",--(DATOS!$G10045=CONFIG_METADATA!$B$4),IF(DATOS!$G10045="EX",1,IF(DATOS!$G10045="OR",--(COUNTIFS(nNIA,DATOS!$A10045,nCURSO,DATOS!$D10045,nESPEC,DATOS!$E10045,nASIG,DATOS!$I10045,nEVAL,"EX")=0),0))))</f>
      </c>
      <c r="H10045">
        <f>IF(DATOS!$G10045&lt;&gt;"EX",0,--(COUNTIFS(nNIA,DATOS!$A10045,nCURSO,DATOS!$D10045,nESPEC,DATOS!$E10045,nASIG,DATOS!$I10045,nEVAL,"OR")=0))</f>
      </c>
      <c r="I10045">
        <f>IF(DATOS!$I10045="","",IFERROR(VLOOKUP(DATOS!$I10045,CONFIG_ASIGNATURAS!$B$2:$J$91,9,FALSE()),""))</f>
      </c>
    </row>
    <row r="10046">
      <c r="F10046">
        <f>IF(DATOS!$A10046="","",DATOS!$A10046&amp;"|"&amp;DATOS!$D10046&amp;"|"&amp;DATOS!$E10046&amp;"|"&amp;DATOS!$I10046)</f>
      </c>
      <c r="G10046">
        <f>IF(DATOS!$A10046="",0,IF(CONFIG_METADATA!$B$4&lt;&gt;"OR+EX",--(DATOS!$G10046=CONFIG_METADATA!$B$4),IF(DATOS!$G10046="EX",1,IF(DATOS!$G10046="OR",--(COUNTIFS(nNIA,DATOS!$A10046,nCURSO,DATOS!$D10046,nESPEC,DATOS!$E10046,nASIG,DATOS!$I10046,nEVAL,"EX")=0),0))))</f>
      </c>
      <c r="H10046">
        <f>IF(DATOS!$G10046&lt;&gt;"EX",0,--(COUNTIFS(nNIA,DATOS!$A10046,nCURSO,DATOS!$D10046,nESPEC,DATOS!$E10046,nASIG,DATOS!$I10046,nEVAL,"OR")=0))</f>
      </c>
      <c r="I10046">
        <f>IF(DATOS!$I10046="","",IFERROR(VLOOKUP(DATOS!$I10046,CONFIG_ASIGNATURAS!$B$2:$J$91,9,FALSE()),""))</f>
      </c>
    </row>
    <row r="10047">
      <c r="F10047">
        <f>IF(DATOS!$A10047="","",DATOS!$A10047&amp;"|"&amp;DATOS!$D10047&amp;"|"&amp;DATOS!$E10047&amp;"|"&amp;DATOS!$I10047)</f>
      </c>
      <c r="G10047">
        <f>IF(DATOS!$A10047="",0,IF(CONFIG_METADATA!$B$4&lt;&gt;"OR+EX",--(DATOS!$G10047=CONFIG_METADATA!$B$4),IF(DATOS!$G10047="EX",1,IF(DATOS!$G10047="OR",--(COUNTIFS(nNIA,DATOS!$A10047,nCURSO,DATOS!$D10047,nESPEC,DATOS!$E10047,nASIG,DATOS!$I10047,nEVAL,"EX")=0),0))))</f>
      </c>
      <c r="H10047">
        <f>IF(DATOS!$G10047&lt;&gt;"EX",0,--(COUNTIFS(nNIA,DATOS!$A10047,nCURSO,DATOS!$D10047,nESPEC,DATOS!$E10047,nASIG,DATOS!$I10047,nEVAL,"OR")=0))</f>
      </c>
      <c r="I10047">
        <f>IF(DATOS!$I10047="","",IFERROR(VLOOKUP(DATOS!$I10047,CONFIG_ASIGNATURAS!$B$2:$J$91,9,FALSE()),""))</f>
      </c>
    </row>
    <row r="10048">
      <c r="F10048">
        <f>IF(DATOS!$A10048="","",DATOS!$A10048&amp;"|"&amp;DATOS!$D10048&amp;"|"&amp;DATOS!$E10048&amp;"|"&amp;DATOS!$I10048)</f>
      </c>
      <c r="G10048">
        <f>IF(DATOS!$A10048="",0,IF(CONFIG_METADATA!$B$4&lt;&gt;"OR+EX",--(DATOS!$G10048=CONFIG_METADATA!$B$4),IF(DATOS!$G10048="EX",1,IF(DATOS!$G10048="OR",--(COUNTIFS(nNIA,DATOS!$A10048,nCURSO,DATOS!$D10048,nESPEC,DATOS!$E10048,nASIG,DATOS!$I10048,nEVAL,"EX")=0),0))))</f>
      </c>
      <c r="H10048">
        <f>IF(DATOS!$G10048&lt;&gt;"EX",0,--(COUNTIFS(nNIA,DATOS!$A10048,nCURSO,DATOS!$D10048,nESPEC,DATOS!$E10048,nASIG,DATOS!$I10048,nEVAL,"OR")=0))</f>
      </c>
      <c r="I10048">
        <f>IF(DATOS!$I10048="","",IFERROR(VLOOKUP(DATOS!$I10048,CONFIG_ASIGNATURAS!$B$2:$J$91,9,FALSE()),""))</f>
      </c>
    </row>
    <row r="10049">
      <c r="F10049">
        <f>IF(DATOS!$A10049="","",DATOS!$A10049&amp;"|"&amp;DATOS!$D10049&amp;"|"&amp;DATOS!$E10049&amp;"|"&amp;DATOS!$I10049)</f>
      </c>
      <c r="G10049">
        <f>IF(DATOS!$A10049="",0,IF(CONFIG_METADATA!$B$4&lt;&gt;"OR+EX",--(DATOS!$G10049=CONFIG_METADATA!$B$4),IF(DATOS!$G10049="EX",1,IF(DATOS!$G10049="OR",--(COUNTIFS(nNIA,DATOS!$A10049,nCURSO,DATOS!$D10049,nESPEC,DATOS!$E10049,nASIG,DATOS!$I10049,nEVAL,"EX")=0),0))))</f>
      </c>
      <c r="H10049">
        <f>IF(DATOS!$G10049&lt;&gt;"EX",0,--(COUNTIFS(nNIA,DATOS!$A10049,nCURSO,DATOS!$D10049,nESPEC,DATOS!$E10049,nASIG,DATOS!$I10049,nEVAL,"OR")=0))</f>
      </c>
      <c r="I10049">
        <f>IF(DATOS!$I10049="","",IFERROR(VLOOKUP(DATOS!$I10049,CONFIG_ASIGNATURAS!$B$2:$J$91,9,FALSE()),""))</f>
      </c>
    </row>
    <row r="10050">
      <c r="F10050">
        <f>IF(DATOS!$A10050="","",DATOS!$A10050&amp;"|"&amp;DATOS!$D10050&amp;"|"&amp;DATOS!$E10050&amp;"|"&amp;DATOS!$I10050)</f>
      </c>
      <c r="G10050">
        <f>IF(DATOS!$A10050="",0,IF(CONFIG_METADATA!$B$4&lt;&gt;"OR+EX",--(DATOS!$G10050=CONFIG_METADATA!$B$4),IF(DATOS!$G10050="EX",1,IF(DATOS!$G10050="OR",--(COUNTIFS(nNIA,DATOS!$A10050,nCURSO,DATOS!$D10050,nESPEC,DATOS!$E10050,nASIG,DATOS!$I10050,nEVAL,"EX")=0),0))))</f>
      </c>
      <c r="H10050">
        <f>IF(DATOS!$G10050&lt;&gt;"EX",0,--(COUNTIFS(nNIA,DATOS!$A10050,nCURSO,DATOS!$D10050,nESPEC,DATOS!$E10050,nASIG,DATOS!$I10050,nEVAL,"OR")=0))</f>
      </c>
      <c r="I10050">
        <f>IF(DATOS!$I10050="","",IFERROR(VLOOKUP(DATOS!$I10050,CONFIG_ASIGNATURAS!$B$2:$J$91,9,FALSE()),""))</f>
      </c>
    </row>
    <row r="10051">
      <c r="F10051">
        <f>IF(DATOS!$A10051="","",DATOS!$A10051&amp;"|"&amp;DATOS!$D10051&amp;"|"&amp;DATOS!$E10051&amp;"|"&amp;DATOS!$I10051)</f>
      </c>
      <c r="G10051">
        <f>IF(DATOS!$A10051="",0,IF(CONFIG_METADATA!$B$4&lt;&gt;"OR+EX",--(DATOS!$G10051=CONFIG_METADATA!$B$4),IF(DATOS!$G10051="EX",1,IF(DATOS!$G10051="OR",--(COUNTIFS(nNIA,DATOS!$A10051,nCURSO,DATOS!$D10051,nESPEC,DATOS!$E10051,nASIG,DATOS!$I10051,nEVAL,"EX")=0),0))))</f>
      </c>
      <c r="H10051">
        <f>IF(DATOS!$G10051&lt;&gt;"EX",0,--(COUNTIFS(nNIA,DATOS!$A10051,nCURSO,DATOS!$D10051,nESPEC,DATOS!$E10051,nASIG,DATOS!$I10051,nEVAL,"OR")=0))</f>
      </c>
      <c r="I10051">
        <f>IF(DATOS!$I10051="","",IFERROR(VLOOKUP(DATOS!$I10051,CONFIG_ASIGNATURAS!$B$2:$J$91,9,FALSE()),""))</f>
      </c>
    </row>
    <row r="10052">
      <c r="F10052">
        <f>IF(DATOS!$A10052="","",DATOS!$A10052&amp;"|"&amp;DATOS!$D10052&amp;"|"&amp;DATOS!$E10052&amp;"|"&amp;DATOS!$I10052)</f>
      </c>
      <c r="G10052">
        <f>IF(DATOS!$A10052="",0,IF(CONFIG_METADATA!$B$4&lt;&gt;"OR+EX",--(DATOS!$G10052=CONFIG_METADATA!$B$4),IF(DATOS!$G10052="EX",1,IF(DATOS!$G10052="OR",--(COUNTIFS(nNIA,DATOS!$A10052,nCURSO,DATOS!$D10052,nESPEC,DATOS!$E10052,nASIG,DATOS!$I10052,nEVAL,"EX")=0),0))))</f>
      </c>
      <c r="H10052">
        <f>IF(DATOS!$G10052&lt;&gt;"EX",0,--(COUNTIFS(nNIA,DATOS!$A10052,nCURSO,DATOS!$D10052,nESPEC,DATOS!$E10052,nASIG,DATOS!$I10052,nEVAL,"OR")=0))</f>
      </c>
      <c r="I10052">
        <f>IF(DATOS!$I10052="","",IFERROR(VLOOKUP(DATOS!$I10052,CONFIG_ASIGNATURAS!$B$2:$J$91,9,FALSE()),""))</f>
      </c>
    </row>
    <row r="10053">
      <c r="F10053">
        <f>IF(DATOS!$A10053="","",DATOS!$A10053&amp;"|"&amp;DATOS!$D10053&amp;"|"&amp;DATOS!$E10053&amp;"|"&amp;DATOS!$I10053)</f>
      </c>
      <c r="G10053">
        <f>IF(DATOS!$A10053="",0,IF(CONFIG_METADATA!$B$4&lt;&gt;"OR+EX",--(DATOS!$G10053=CONFIG_METADATA!$B$4),IF(DATOS!$G10053="EX",1,IF(DATOS!$G10053="OR",--(COUNTIFS(nNIA,DATOS!$A10053,nCURSO,DATOS!$D10053,nESPEC,DATOS!$E10053,nASIG,DATOS!$I10053,nEVAL,"EX")=0),0))))</f>
      </c>
      <c r="H10053">
        <f>IF(DATOS!$G10053&lt;&gt;"EX",0,--(COUNTIFS(nNIA,DATOS!$A10053,nCURSO,DATOS!$D10053,nESPEC,DATOS!$E10053,nASIG,DATOS!$I10053,nEVAL,"OR")=0))</f>
      </c>
      <c r="I10053">
        <f>IF(DATOS!$I10053="","",IFERROR(VLOOKUP(DATOS!$I10053,CONFIG_ASIGNATURAS!$B$2:$J$91,9,FALSE()),""))</f>
      </c>
    </row>
    <row r="10054">
      <c r="F10054">
        <f>IF(DATOS!$A10054="","",DATOS!$A10054&amp;"|"&amp;DATOS!$D10054&amp;"|"&amp;DATOS!$E10054&amp;"|"&amp;DATOS!$I10054)</f>
      </c>
      <c r="G10054">
        <f>IF(DATOS!$A10054="",0,IF(CONFIG_METADATA!$B$4&lt;&gt;"OR+EX",--(DATOS!$G10054=CONFIG_METADATA!$B$4),IF(DATOS!$G10054="EX",1,IF(DATOS!$G10054="OR",--(COUNTIFS(nNIA,DATOS!$A10054,nCURSO,DATOS!$D10054,nESPEC,DATOS!$E10054,nASIG,DATOS!$I10054,nEVAL,"EX")=0),0))))</f>
      </c>
      <c r="H10054">
        <f>IF(DATOS!$G10054&lt;&gt;"EX",0,--(COUNTIFS(nNIA,DATOS!$A10054,nCURSO,DATOS!$D10054,nESPEC,DATOS!$E10054,nASIG,DATOS!$I10054,nEVAL,"OR")=0))</f>
      </c>
      <c r="I10054">
        <f>IF(DATOS!$I10054="","",IFERROR(VLOOKUP(DATOS!$I10054,CONFIG_ASIGNATURAS!$B$2:$J$91,9,FALSE()),""))</f>
      </c>
    </row>
    <row r="10055">
      <c r="F10055">
        <f>IF(DATOS!$A10055="","",DATOS!$A10055&amp;"|"&amp;DATOS!$D10055&amp;"|"&amp;DATOS!$E10055&amp;"|"&amp;DATOS!$I10055)</f>
      </c>
      <c r="G10055">
        <f>IF(DATOS!$A10055="",0,IF(CONFIG_METADATA!$B$4&lt;&gt;"OR+EX",--(DATOS!$G10055=CONFIG_METADATA!$B$4),IF(DATOS!$G10055="EX",1,IF(DATOS!$G10055="OR",--(COUNTIFS(nNIA,DATOS!$A10055,nCURSO,DATOS!$D10055,nESPEC,DATOS!$E10055,nASIG,DATOS!$I10055,nEVAL,"EX")=0),0))))</f>
      </c>
      <c r="H10055">
        <f>IF(DATOS!$G10055&lt;&gt;"EX",0,--(COUNTIFS(nNIA,DATOS!$A10055,nCURSO,DATOS!$D10055,nESPEC,DATOS!$E10055,nASIG,DATOS!$I10055,nEVAL,"OR")=0))</f>
      </c>
      <c r="I10055">
        <f>IF(DATOS!$I10055="","",IFERROR(VLOOKUP(DATOS!$I10055,CONFIG_ASIGNATURAS!$B$2:$J$91,9,FALSE()),""))</f>
      </c>
    </row>
    <row r="10056">
      <c r="F10056">
        <f>IF(DATOS!$A10056="","",DATOS!$A10056&amp;"|"&amp;DATOS!$D10056&amp;"|"&amp;DATOS!$E10056&amp;"|"&amp;DATOS!$I10056)</f>
      </c>
      <c r="G10056">
        <f>IF(DATOS!$A10056="",0,IF(CONFIG_METADATA!$B$4&lt;&gt;"OR+EX",--(DATOS!$G10056=CONFIG_METADATA!$B$4),IF(DATOS!$G10056="EX",1,IF(DATOS!$G10056="OR",--(COUNTIFS(nNIA,DATOS!$A10056,nCURSO,DATOS!$D10056,nESPEC,DATOS!$E10056,nASIG,DATOS!$I10056,nEVAL,"EX")=0),0))))</f>
      </c>
      <c r="H10056">
        <f>IF(DATOS!$G10056&lt;&gt;"EX",0,--(COUNTIFS(nNIA,DATOS!$A10056,nCURSO,DATOS!$D10056,nESPEC,DATOS!$E10056,nASIG,DATOS!$I10056,nEVAL,"OR")=0))</f>
      </c>
      <c r="I10056">
        <f>IF(DATOS!$I10056="","",IFERROR(VLOOKUP(DATOS!$I10056,CONFIG_ASIGNATURAS!$B$2:$J$91,9,FALSE()),""))</f>
      </c>
    </row>
    <row r="10057">
      <c r="F10057">
        <f>IF(DATOS!$A10057="","",DATOS!$A10057&amp;"|"&amp;DATOS!$D10057&amp;"|"&amp;DATOS!$E10057&amp;"|"&amp;DATOS!$I10057)</f>
      </c>
      <c r="G10057">
        <f>IF(DATOS!$A10057="",0,IF(CONFIG_METADATA!$B$4&lt;&gt;"OR+EX",--(DATOS!$G10057=CONFIG_METADATA!$B$4),IF(DATOS!$G10057="EX",1,IF(DATOS!$G10057="OR",--(COUNTIFS(nNIA,DATOS!$A10057,nCURSO,DATOS!$D10057,nESPEC,DATOS!$E10057,nASIG,DATOS!$I10057,nEVAL,"EX")=0),0))))</f>
      </c>
      <c r="H10057">
        <f>IF(DATOS!$G10057&lt;&gt;"EX",0,--(COUNTIFS(nNIA,DATOS!$A10057,nCURSO,DATOS!$D10057,nESPEC,DATOS!$E10057,nASIG,DATOS!$I10057,nEVAL,"OR")=0))</f>
      </c>
      <c r="I10057">
        <f>IF(DATOS!$I10057="","",IFERROR(VLOOKUP(DATOS!$I10057,CONFIG_ASIGNATURAS!$B$2:$J$91,9,FALSE()),""))</f>
      </c>
    </row>
    <row r="10058">
      <c r="F10058">
        <f>IF(DATOS!$A10058="","",DATOS!$A10058&amp;"|"&amp;DATOS!$D10058&amp;"|"&amp;DATOS!$E10058&amp;"|"&amp;DATOS!$I10058)</f>
      </c>
      <c r="G10058">
        <f>IF(DATOS!$A10058="",0,IF(CONFIG_METADATA!$B$4&lt;&gt;"OR+EX",--(DATOS!$G10058=CONFIG_METADATA!$B$4),IF(DATOS!$G10058="EX",1,IF(DATOS!$G10058="OR",--(COUNTIFS(nNIA,DATOS!$A10058,nCURSO,DATOS!$D10058,nESPEC,DATOS!$E10058,nASIG,DATOS!$I10058,nEVAL,"EX")=0),0))))</f>
      </c>
      <c r="H10058">
        <f>IF(DATOS!$G10058&lt;&gt;"EX",0,--(COUNTIFS(nNIA,DATOS!$A10058,nCURSO,DATOS!$D10058,nESPEC,DATOS!$E10058,nASIG,DATOS!$I10058,nEVAL,"OR")=0))</f>
      </c>
      <c r="I10058">
        <f>IF(DATOS!$I10058="","",IFERROR(VLOOKUP(DATOS!$I10058,CONFIG_ASIGNATURAS!$B$2:$J$91,9,FALSE()),""))</f>
      </c>
    </row>
    <row r="10059">
      <c r="F10059">
        <f>IF(DATOS!$A10059="","",DATOS!$A10059&amp;"|"&amp;DATOS!$D10059&amp;"|"&amp;DATOS!$E10059&amp;"|"&amp;DATOS!$I10059)</f>
      </c>
      <c r="G10059">
        <f>IF(DATOS!$A10059="",0,IF(CONFIG_METADATA!$B$4&lt;&gt;"OR+EX",--(DATOS!$G10059=CONFIG_METADATA!$B$4),IF(DATOS!$G10059="EX",1,IF(DATOS!$G10059="OR",--(COUNTIFS(nNIA,DATOS!$A10059,nCURSO,DATOS!$D10059,nESPEC,DATOS!$E10059,nASIG,DATOS!$I10059,nEVAL,"EX")=0),0))))</f>
      </c>
      <c r="H10059">
        <f>IF(DATOS!$G10059&lt;&gt;"EX",0,--(COUNTIFS(nNIA,DATOS!$A10059,nCURSO,DATOS!$D10059,nESPEC,DATOS!$E10059,nASIG,DATOS!$I10059,nEVAL,"OR")=0))</f>
      </c>
      <c r="I10059">
        <f>IF(DATOS!$I10059="","",IFERROR(VLOOKUP(DATOS!$I10059,CONFIG_ASIGNATURAS!$B$2:$J$91,9,FALSE()),""))</f>
      </c>
    </row>
    <row r="10060">
      <c r="F10060">
        <f>IF(DATOS!$A10060="","",DATOS!$A10060&amp;"|"&amp;DATOS!$D10060&amp;"|"&amp;DATOS!$E10060&amp;"|"&amp;DATOS!$I10060)</f>
      </c>
      <c r="G10060">
        <f>IF(DATOS!$A10060="",0,IF(CONFIG_METADATA!$B$4&lt;&gt;"OR+EX",--(DATOS!$G10060=CONFIG_METADATA!$B$4),IF(DATOS!$G10060="EX",1,IF(DATOS!$G10060="OR",--(COUNTIFS(nNIA,DATOS!$A10060,nCURSO,DATOS!$D10060,nESPEC,DATOS!$E10060,nASIG,DATOS!$I10060,nEVAL,"EX")=0),0))))</f>
      </c>
      <c r="H10060">
        <f>IF(DATOS!$G10060&lt;&gt;"EX",0,--(COUNTIFS(nNIA,DATOS!$A10060,nCURSO,DATOS!$D10060,nESPEC,DATOS!$E10060,nASIG,DATOS!$I10060,nEVAL,"OR")=0))</f>
      </c>
      <c r="I10060">
        <f>IF(DATOS!$I10060="","",IFERROR(VLOOKUP(DATOS!$I10060,CONFIG_ASIGNATURAS!$B$2:$J$91,9,FALSE()),""))</f>
      </c>
    </row>
    <row r="10061">
      <c r="F10061">
        <f>IF(DATOS!$A10061="","",DATOS!$A10061&amp;"|"&amp;DATOS!$D10061&amp;"|"&amp;DATOS!$E10061&amp;"|"&amp;DATOS!$I10061)</f>
      </c>
      <c r="G10061">
        <f>IF(DATOS!$A10061="",0,IF(CONFIG_METADATA!$B$4&lt;&gt;"OR+EX",--(DATOS!$G10061=CONFIG_METADATA!$B$4),IF(DATOS!$G10061="EX",1,IF(DATOS!$G10061="OR",--(COUNTIFS(nNIA,DATOS!$A10061,nCURSO,DATOS!$D10061,nESPEC,DATOS!$E10061,nASIG,DATOS!$I10061,nEVAL,"EX")=0),0))))</f>
      </c>
      <c r="H10061">
        <f>IF(DATOS!$G10061&lt;&gt;"EX",0,--(COUNTIFS(nNIA,DATOS!$A10061,nCURSO,DATOS!$D10061,nESPEC,DATOS!$E10061,nASIG,DATOS!$I10061,nEVAL,"OR")=0))</f>
      </c>
      <c r="I10061">
        <f>IF(DATOS!$I10061="","",IFERROR(VLOOKUP(DATOS!$I10061,CONFIG_ASIGNATURAS!$B$2:$J$91,9,FALSE()),""))</f>
      </c>
    </row>
    <row r="10062">
      <c r="F10062">
        <f>IF(DATOS!$A10062="","",DATOS!$A10062&amp;"|"&amp;DATOS!$D10062&amp;"|"&amp;DATOS!$E10062&amp;"|"&amp;DATOS!$I10062)</f>
      </c>
      <c r="G10062">
        <f>IF(DATOS!$A10062="",0,IF(CONFIG_METADATA!$B$4&lt;&gt;"OR+EX",--(DATOS!$G10062=CONFIG_METADATA!$B$4),IF(DATOS!$G10062="EX",1,IF(DATOS!$G10062="OR",--(COUNTIFS(nNIA,DATOS!$A10062,nCURSO,DATOS!$D10062,nESPEC,DATOS!$E10062,nASIG,DATOS!$I10062,nEVAL,"EX")=0),0))))</f>
      </c>
      <c r="H10062">
        <f>IF(DATOS!$G10062&lt;&gt;"EX",0,--(COUNTIFS(nNIA,DATOS!$A10062,nCURSO,DATOS!$D10062,nESPEC,DATOS!$E10062,nASIG,DATOS!$I10062,nEVAL,"OR")=0))</f>
      </c>
      <c r="I10062">
        <f>IF(DATOS!$I10062="","",IFERROR(VLOOKUP(DATOS!$I10062,CONFIG_ASIGNATURAS!$B$2:$J$91,9,FALSE()),""))</f>
      </c>
    </row>
    <row r="10063">
      <c r="F10063">
        <f>IF(DATOS!$A10063="","",DATOS!$A10063&amp;"|"&amp;DATOS!$D10063&amp;"|"&amp;DATOS!$E10063&amp;"|"&amp;DATOS!$I10063)</f>
      </c>
      <c r="G10063">
        <f>IF(DATOS!$A10063="",0,IF(CONFIG_METADATA!$B$4&lt;&gt;"OR+EX",--(DATOS!$G10063=CONFIG_METADATA!$B$4),IF(DATOS!$G10063="EX",1,IF(DATOS!$G10063="OR",--(COUNTIFS(nNIA,DATOS!$A10063,nCURSO,DATOS!$D10063,nESPEC,DATOS!$E10063,nASIG,DATOS!$I10063,nEVAL,"EX")=0),0))))</f>
      </c>
      <c r="H10063">
        <f>IF(DATOS!$G10063&lt;&gt;"EX",0,--(COUNTIFS(nNIA,DATOS!$A10063,nCURSO,DATOS!$D10063,nESPEC,DATOS!$E10063,nASIG,DATOS!$I10063,nEVAL,"OR")=0))</f>
      </c>
      <c r="I10063">
        <f>IF(DATOS!$I10063="","",IFERROR(VLOOKUP(DATOS!$I10063,CONFIG_ASIGNATURAS!$B$2:$J$91,9,FALSE()),""))</f>
      </c>
    </row>
    <row r="10064">
      <c r="F10064">
        <f>IF(DATOS!$A10064="","",DATOS!$A10064&amp;"|"&amp;DATOS!$D10064&amp;"|"&amp;DATOS!$E10064&amp;"|"&amp;DATOS!$I10064)</f>
      </c>
      <c r="G10064">
        <f>IF(DATOS!$A10064="",0,IF(CONFIG_METADATA!$B$4&lt;&gt;"OR+EX",--(DATOS!$G10064=CONFIG_METADATA!$B$4),IF(DATOS!$G10064="EX",1,IF(DATOS!$G10064="OR",--(COUNTIFS(nNIA,DATOS!$A10064,nCURSO,DATOS!$D10064,nESPEC,DATOS!$E10064,nASIG,DATOS!$I10064,nEVAL,"EX")=0),0))))</f>
      </c>
      <c r="H10064">
        <f>IF(DATOS!$G10064&lt;&gt;"EX",0,--(COUNTIFS(nNIA,DATOS!$A10064,nCURSO,DATOS!$D10064,nESPEC,DATOS!$E10064,nASIG,DATOS!$I10064,nEVAL,"OR")=0))</f>
      </c>
      <c r="I10064">
        <f>IF(DATOS!$I10064="","",IFERROR(VLOOKUP(DATOS!$I10064,CONFIG_ASIGNATURAS!$B$2:$J$91,9,FALSE()),""))</f>
      </c>
    </row>
    <row r="10065">
      <c r="F10065">
        <f>IF(DATOS!$A10065="","",DATOS!$A10065&amp;"|"&amp;DATOS!$D10065&amp;"|"&amp;DATOS!$E10065&amp;"|"&amp;DATOS!$I10065)</f>
      </c>
      <c r="G10065">
        <f>IF(DATOS!$A10065="",0,IF(CONFIG_METADATA!$B$4&lt;&gt;"OR+EX",--(DATOS!$G10065=CONFIG_METADATA!$B$4),IF(DATOS!$G10065="EX",1,IF(DATOS!$G10065="OR",--(COUNTIFS(nNIA,DATOS!$A10065,nCURSO,DATOS!$D10065,nESPEC,DATOS!$E10065,nASIG,DATOS!$I10065,nEVAL,"EX")=0),0))))</f>
      </c>
      <c r="H10065">
        <f>IF(DATOS!$G10065&lt;&gt;"EX",0,--(COUNTIFS(nNIA,DATOS!$A10065,nCURSO,DATOS!$D10065,nESPEC,DATOS!$E10065,nASIG,DATOS!$I10065,nEVAL,"OR")=0))</f>
      </c>
      <c r="I10065">
        <f>IF(DATOS!$I10065="","",IFERROR(VLOOKUP(DATOS!$I10065,CONFIG_ASIGNATURAS!$B$2:$J$91,9,FALSE()),""))</f>
      </c>
    </row>
    <row r="10066">
      <c r="F10066">
        <f>IF(DATOS!$A10066="","",DATOS!$A10066&amp;"|"&amp;DATOS!$D10066&amp;"|"&amp;DATOS!$E10066&amp;"|"&amp;DATOS!$I10066)</f>
      </c>
      <c r="G10066">
        <f>IF(DATOS!$A10066="",0,IF(CONFIG_METADATA!$B$4&lt;&gt;"OR+EX",--(DATOS!$G10066=CONFIG_METADATA!$B$4),IF(DATOS!$G10066="EX",1,IF(DATOS!$G10066="OR",--(COUNTIFS(nNIA,DATOS!$A10066,nCURSO,DATOS!$D10066,nESPEC,DATOS!$E10066,nASIG,DATOS!$I10066,nEVAL,"EX")=0),0))))</f>
      </c>
      <c r="H10066">
        <f>IF(DATOS!$G10066&lt;&gt;"EX",0,--(COUNTIFS(nNIA,DATOS!$A10066,nCURSO,DATOS!$D10066,nESPEC,DATOS!$E10066,nASIG,DATOS!$I10066,nEVAL,"OR")=0))</f>
      </c>
      <c r="I10066">
        <f>IF(DATOS!$I10066="","",IFERROR(VLOOKUP(DATOS!$I10066,CONFIG_ASIGNATURAS!$B$2:$J$91,9,FALSE()),""))</f>
      </c>
    </row>
    <row r="10067">
      <c r="F10067">
        <f>IF(DATOS!$A10067="","",DATOS!$A10067&amp;"|"&amp;DATOS!$D10067&amp;"|"&amp;DATOS!$E10067&amp;"|"&amp;DATOS!$I10067)</f>
      </c>
      <c r="G10067">
        <f>IF(DATOS!$A10067="",0,IF(CONFIG_METADATA!$B$4&lt;&gt;"OR+EX",--(DATOS!$G10067=CONFIG_METADATA!$B$4),IF(DATOS!$G10067="EX",1,IF(DATOS!$G10067="OR",--(COUNTIFS(nNIA,DATOS!$A10067,nCURSO,DATOS!$D10067,nESPEC,DATOS!$E10067,nASIG,DATOS!$I10067,nEVAL,"EX")=0),0))))</f>
      </c>
      <c r="H10067">
        <f>IF(DATOS!$G10067&lt;&gt;"EX",0,--(COUNTIFS(nNIA,DATOS!$A10067,nCURSO,DATOS!$D10067,nESPEC,DATOS!$E10067,nASIG,DATOS!$I10067,nEVAL,"OR")=0))</f>
      </c>
      <c r="I10067">
        <f>IF(DATOS!$I10067="","",IFERROR(VLOOKUP(DATOS!$I10067,CONFIG_ASIGNATURAS!$B$2:$J$91,9,FALSE()),""))</f>
      </c>
    </row>
    <row r="10068">
      <c r="F10068">
        <f>IF(DATOS!$A10068="","",DATOS!$A10068&amp;"|"&amp;DATOS!$D10068&amp;"|"&amp;DATOS!$E10068&amp;"|"&amp;DATOS!$I10068)</f>
      </c>
      <c r="G10068">
        <f>IF(DATOS!$A10068="",0,IF(CONFIG_METADATA!$B$4&lt;&gt;"OR+EX",--(DATOS!$G10068=CONFIG_METADATA!$B$4),IF(DATOS!$G10068="EX",1,IF(DATOS!$G10068="OR",--(COUNTIFS(nNIA,DATOS!$A10068,nCURSO,DATOS!$D10068,nESPEC,DATOS!$E10068,nASIG,DATOS!$I10068,nEVAL,"EX")=0),0))))</f>
      </c>
      <c r="H10068">
        <f>IF(DATOS!$G10068&lt;&gt;"EX",0,--(COUNTIFS(nNIA,DATOS!$A10068,nCURSO,DATOS!$D10068,nESPEC,DATOS!$E10068,nASIG,DATOS!$I10068,nEVAL,"OR")=0))</f>
      </c>
      <c r="I10068">
        <f>IF(DATOS!$I10068="","",IFERROR(VLOOKUP(DATOS!$I10068,CONFIG_ASIGNATURAS!$B$2:$J$91,9,FALSE()),""))</f>
      </c>
    </row>
    <row r="10069">
      <c r="F10069">
        <f>IF(DATOS!$A10069="","",DATOS!$A10069&amp;"|"&amp;DATOS!$D10069&amp;"|"&amp;DATOS!$E10069&amp;"|"&amp;DATOS!$I10069)</f>
      </c>
      <c r="G10069">
        <f>IF(DATOS!$A10069="",0,IF(CONFIG_METADATA!$B$4&lt;&gt;"OR+EX",--(DATOS!$G10069=CONFIG_METADATA!$B$4),IF(DATOS!$G10069="EX",1,IF(DATOS!$G10069="OR",--(COUNTIFS(nNIA,DATOS!$A10069,nCURSO,DATOS!$D10069,nESPEC,DATOS!$E10069,nASIG,DATOS!$I10069,nEVAL,"EX")=0),0))))</f>
      </c>
      <c r="H10069">
        <f>IF(DATOS!$G10069&lt;&gt;"EX",0,--(COUNTIFS(nNIA,DATOS!$A10069,nCURSO,DATOS!$D10069,nESPEC,DATOS!$E10069,nASIG,DATOS!$I10069,nEVAL,"OR")=0))</f>
      </c>
      <c r="I10069">
        <f>IF(DATOS!$I10069="","",IFERROR(VLOOKUP(DATOS!$I10069,CONFIG_ASIGNATURAS!$B$2:$J$91,9,FALSE()),""))</f>
      </c>
    </row>
    <row r="10070">
      <c r="F10070">
        <f>IF(DATOS!$A10070="","",DATOS!$A10070&amp;"|"&amp;DATOS!$D10070&amp;"|"&amp;DATOS!$E10070&amp;"|"&amp;DATOS!$I10070)</f>
      </c>
      <c r="G10070">
        <f>IF(DATOS!$A10070="",0,IF(CONFIG_METADATA!$B$4&lt;&gt;"OR+EX",--(DATOS!$G10070=CONFIG_METADATA!$B$4),IF(DATOS!$G10070="EX",1,IF(DATOS!$G10070="OR",--(COUNTIFS(nNIA,DATOS!$A10070,nCURSO,DATOS!$D10070,nESPEC,DATOS!$E10070,nASIG,DATOS!$I10070,nEVAL,"EX")=0),0))))</f>
      </c>
      <c r="H10070">
        <f>IF(DATOS!$G10070&lt;&gt;"EX",0,--(COUNTIFS(nNIA,DATOS!$A10070,nCURSO,DATOS!$D10070,nESPEC,DATOS!$E10070,nASIG,DATOS!$I10070,nEVAL,"OR")=0))</f>
      </c>
      <c r="I10070">
        <f>IF(DATOS!$I10070="","",IFERROR(VLOOKUP(DATOS!$I10070,CONFIG_ASIGNATURAS!$B$2:$J$91,9,FALSE()),""))</f>
      </c>
    </row>
    <row r="10071">
      <c r="F10071">
        <f>IF(DATOS!$A10071="","",DATOS!$A10071&amp;"|"&amp;DATOS!$D10071&amp;"|"&amp;DATOS!$E10071&amp;"|"&amp;DATOS!$I10071)</f>
      </c>
      <c r="G10071">
        <f>IF(DATOS!$A10071="",0,IF(CONFIG_METADATA!$B$4&lt;&gt;"OR+EX",--(DATOS!$G10071=CONFIG_METADATA!$B$4),IF(DATOS!$G10071="EX",1,IF(DATOS!$G10071="OR",--(COUNTIFS(nNIA,DATOS!$A10071,nCURSO,DATOS!$D10071,nESPEC,DATOS!$E10071,nASIG,DATOS!$I10071,nEVAL,"EX")=0),0))))</f>
      </c>
      <c r="H10071">
        <f>IF(DATOS!$G10071&lt;&gt;"EX",0,--(COUNTIFS(nNIA,DATOS!$A10071,nCURSO,DATOS!$D10071,nESPEC,DATOS!$E10071,nASIG,DATOS!$I10071,nEVAL,"OR")=0))</f>
      </c>
      <c r="I10071">
        <f>IF(DATOS!$I10071="","",IFERROR(VLOOKUP(DATOS!$I10071,CONFIG_ASIGNATURAS!$B$2:$J$91,9,FALSE()),""))</f>
      </c>
    </row>
    <row r="10072">
      <c r="F10072">
        <f>IF(DATOS!$A10072="","",DATOS!$A10072&amp;"|"&amp;DATOS!$D10072&amp;"|"&amp;DATOS!$E10072&amp;"|"&amp;DATOS!$I10072)</f>
      </c>
      <c r="G10072">
        <f>IF(DATOS!$A10072="",0,IF(CONFIG_METADATA!$B$4&lt;&gt;"OR+EX",--(DATOS!$G10072=CONFIG_METADATA!$B$4),IF(DATOS!$G10072="EX",1,IF(DATOS!$G10072="OR",--(COUNTIFS(nNIA,DATOS!$A10072,nCURSO,DATOS!$D10072,nESPEC,DATOS!$E10072,nASIG,DATOS!$I10072,nEVAL,"EX")=0),0))))</f>
      </c>
      <c r="H10072">
        <f>IF(DATOS!$G10072&lt;&gt;"EX",0,--(COUNTIFS(nNIA,DATOS!$A10072,nCURSO,DATOS!$D10072,nESPEC,DATOS!$E10072,nASIG,DATOS!$I10072,nEVAL,"OR")=0))</f>
      </c>
      <c r="I10072">
        <f>IF(DATOS!$I10072="","",IFERROR(VLOOKUP(DATOS!$I10072,CONFIG_ASIGNATURAS!$B$2:$J$91,9,FALSE()),""))</f>
      </c>
    </row>
    <row r="10073">
      <c r="F10073">
        <f>IF(DATOS!$A10073="","",DATOS!$A10073&amp;"|"&amp;DATOS!$D10073&amp;"|"&amp;DATOS!$E10073&amp;"|"&amp;DATOS!$I10073)</f>
      </c>
      <c r="G10073">
        <f>IF(DATOS!$A10073="",0,IF(CONFIG_METADATA!$B$4&lt;&gt;"OR+EX",--(DATOS!$G10073=CONFIG_METADATA!$B$4),IF(DATOS!$G10073="EX",1,IF(DATOS!$G10073="OR",--(COUNTIFS(nNIA,DATOS!$A10073,nCURSO,DATOS!$D10073,nESPEC,DATOS!$E10073,nASIG,DATOS!$I10073,nEVAL,"EX")=0),0))))</f>
      </c>
      <c r="H10073">
        <f>IF(DATOS!$G10073&lt;&gt;"EX",0,--(COUNTIFS(nNIA,DATOS!$A10073,nCURSO,DATOS!$D10073,nESPEC,DATOS!$E10073,nASIG,DATOS!$I10073,nEVAL,"OR")=0))</f>
      </c>
      <c r="I10073">
        <f>IF(DATOS!$I10073="","",IFERROR(VLOOKUP(DATOS!$I10073,CONFIG_ASIGNATURAS!$B$2:$J$91,9,FALSE()),""))</f>
      </c>
    </row>
    <row r="10074">
      <c r="F10074">
        <f>IF(DATOS!$A10074="","",DATOS!$A10074&amp;"|"&amp;DATOS!$D10074&amp;"|"&amp;DATOS!$E10074&amp;"|"&amp;DATOS!$I10074)</f>
      </c>
      <c r="G10074">
        <f>IF(DATOS!$A10074="",0,IF(CONFIG_METADATA!$B$4&lt;&gt;"OR+EX",--(DATOS!$G10074=CONFIG_METADATA!$B$4),IF(DATOS!$G10074="EX",1,IF(DATOS!$G10074="OR",--(COUNTIFS(nNIA,DATOS!$A10074,nCURSO,DATOS!$D10074,nESPEC,DATOS!$E10074,nASIG,DATOS!$I10074,nEVAL,"EX")=0),0))))</f>
      </c>
      <c r="H10074">
        <f>IF(DATOS!$G10074&lt;&gt;"EX",0,--(COUNTIFS(nNIA,DATOS!$A10074,nCURSO,DATOS!$D10074,nESPEC,DATOS!$E10074,nASIG,DATOS!$I10074,nEVAL,"OR")=0))</f>
      </c>
      <c r="I10074">
        <f>IF(DATOS!$I10074="","",IFERROR(VLOOKUP(DATOS!$I10074,CONFIG_ASIGNATURAS!$B$2:$J$91,9,FALSE()),""))</f>
      </c>
    </row>
    <row r="10075">
      <c r="F10075">
        <f>IF(DATOS!$A10075="","",DATOS!$A10075&amp;"|"&amp;DATOS!$D10075&amp;"|"&amp;DATOS!$E10075&amp;"|"&amp;DATOS!$I10075)</f>
      </c>
      <c r="G10075">
        <f>IF(DATOS!$A10075="",0,IF(CONFIG_METADATA!$B$4&lt;&gt;"OR+EX",--(DATOS!$G10075=CONFIG_METADATA!$B$4),IF(DATOS!$G10075="EX",1,IF(DATOS!$G10075="OR",--(COUNTIFS(nNIA,DATOS!$A10075,nCURSO,DATOS!$D10075,nESPEC,DATOS!$E10075,nASIG,DATOS!$I10075,nEVAL,"EX")=0),0))))</f>
      </c>
      <c r="H10075">
        <f>IF(DATOS!$G10075&lt;&gt;"EX",0,--(COUNTIFS(nNIA,DATOS!$A10075,nCURSO,DATOS!$D10075,nESPEC,DATOS!$E10075,nASIG,DATOS!$I10075,nEVAL,"OR")=0))</f>
      </c>
      <c r="I10075">
        <f>IF(DATOS!$I10075="","",IFERROR(VLOOKUP(DATOS!$I10075,CONFIG_ASIGNATURAS!$B$2:$J$91,9,FALSE()),""))</f>
      </c>
    </row>
    <row r="10076">
      <c r="F10076">
        <f>IF(DATOS!$A10076="","",DATOS!$A10076&amp;"|"&amp;DATOS!$D10076&amp;"|"&amp;DATOS!$E10076&amp;"|"&amp;DATOS!$I10076)</f>
      </c>
      <c r="G10076">
        <f>IF(DATOS!$A10076="",0,IF(CONFIG_METADATA!$B$4&lt;&gt;"OR+EX",--(DATOS!$G10076=CONFIG_METADATA!$B$4),IF(DATOS!$G10076="EX",1,IF(DATOS!$G10076="OR",--(COUNTIFS(nNIA,DATOS!$A10076,nCURSO,DATOS!$D10076,nESPEC,DATOS!$E10076,nASIG,DATOS!$I10076,nEVAL,"EX")=0),0))))</f>
      </c>
      <c r="H10076">
        <f>IF(DATOS!$G10076&lt;&gt;"EX",0,--(COUNTIFS(nNIA,DATOS!$A10076,nCURSO,DATOS!$D10076,nESPEC,DATOS!$E10076,nASIG,DATOS!$I10076,nEVAL,"OR")=0))</f>
      </c>
      <c r="I10076">
        <f>IF(DATOS!$I10076="","",IFERROR(VLOOKUP(DATOS!$I10076,CONFIG_ASIGNATURAS!$B$2:$J$91,9,FALSE()),""))</f>
      </c>
    </row>
    <row r="10077">
      <c r="F10077">
        <f>IF(DATOS!$A10077="","",DATOS!$A10077&amp;"|"&amp;DATOS!$D10077&amp;"|"&amp;DATOS!$E10077&amp;"|"&amp;DATOS!$I10077)</f>
      </c>
      <c r="G10077">
        <f>IF(DATOS!$A10077="",0,IF(CONFIG_METADATA!$B$4&lt;&gt;"OR+EX",--(DATOS!$G10077=CONFIG_METADATA!$B$4),IF(DATOS!$G10077="EX",1,IF(DATOS!$G10077="OR",--(COUNTIFS(nNIA,DATOS!$A10077,nCURSO,DATOS!$D10077,nESPEC,DATOS!$E10077,nASIG,DATOS!$I10077,nEVAL,"EX")=0),0))))</f>
      </c>
      <c r="H10077">
        <f>IF(DATOS!$G10077&lt;&gt;"EX",0,--(COUNTIFS(nNIA,DATOS!$A10077,nCURSO,DATOS!$D10077,nESPEC,DATOS!$E10077,nASIG,DATOS!$I10077,nEVAL,"OR")=0))</f>
      </c>
      <c r="I10077">
        <f>IF(DATOS!$I10077="","",IFERROR(VLOOKUP(DATOS!$I10077,CONFIG_ASIGNATURAS!$B$2:$J$91,9,FALSE()),""))</f>
      </c>
    </row>
    <row r="10078">
      <c r="F10078">
        <f>IF(DATOS!$A10078="","",DATOS!$A10078&amp;"|"&amp;DATOS!$D10078&amp;"|"&amp;DATOS!$E10078&amp;"|"&amp;DATOS!$I10078)</f>
      </c>
      <c r="G10078">
        <f>IF(DATOS!$A10078="",0,IF(CONFIG_METADATA!$B$4&lt;&gt;"OR+EX",--(DATOS!$G10078=CONFIG_METADATA!$B$4),IF(DATOS!$G10078="EX",1,IF(DATOS!$G10078="OR",--(COUNTIFS(nNIA,DATOS!$A10078,nCURSO,DATOS!$D10078,nESPEC,DATOS!$E10078,nASIG,DATOS!$I10078,nEVAL,"EX")=0),0))))</f>
      </c>
      <c r="H10078">
        <f>IF(DATOS!$G10078&lt;&gt;"EX",0,--(COUNTIFS(nNIA,DATOS!$A10078,nCURSO,DATOS!$D10078,nESPEC,DATOS!$E10078,nASIG,DATOS!$I10078,nEVAL,"OR")=0))</f>
      </c>
      <c r="I10078">
        <f>IF(DATOS!$I10078="","",IFERROR(VLOOKUP(DATOS!$I10078,CONFIG_ASIGNATURAS!$B$2:$J$91,9,FALSE()),""))</f>
      </c>
    </row>
    <row r="10079">
      <c r="F10079">
        <f>IF(DATOS!$A10079="","",DATOS!$A10079&amp;"|"&amp;DATOS!$D10079&amp;"|"&amp;DATOS!$E10079&amp;"|"&amp;DATOS!$I10079)</f>
      </c>
      <c r="G10079">
        <f>IF(DATOS!$A10079="",0,IF(CONFIG_METADATA!$B$4&lt;&gt;"OR+EX",--(DATOS!$G10079=CONFIG_METADATA!$B$4),IF(DATOS!$G10079="EX",1,IF(DATOS!$G10079="OR",--(COUNTIFS(nNIA,DATOS!$A10079,nCURSO,DATOS!$D10079,nESPEC,DATOS!$E10079,nASIG,DATOS!$I10079,nEVAL,"EX")=0),0))))</f>
      </c>
      <c r="H10079">
        <f>IF(DATOS!$G10079&lt;&gt;"EX",0,--(COUNTIFS(nNIA,DATOS!$A10079,nCURSO,DATOS!$D10079,nESPEC,DATOS!$E10079,nASIG,DATOS!$I10079,nEVAL,"OR")=0))</f>
      </c>
      <c r="I10079">
        <f>IF(DATOS!$I10079="","",IFERROR(VLOOKUP(DATOS!$I10079,CONFIG_ASIGNATURAS!$B$2:$J$91,9,FALSE()),""))</f>
      </c>
    </row>
    <row r="10080">
      <c r="F10080">
        <f>IF(DATOS!$A10080="","",DATOS!$A10080&amp;"|"&amp;DATOS!$D10080&amp;"|"&amp;DATOS!$E10080&amp;"|"&amp;DATOS!$I10080)</f>
      </c>
      <c r="G10080">
        <f>IF(DATOS!$A10080="",0,IF(CONFIG_METADATA!$B$4&lt;&gt;"OR+EX",--(DATOS!$G10080=CONFIG_METADATA!$B$4),IF(DATOS!$G10080="EX",1,IF(DATOS!$G10080="OR",--(COUNTIFS(nNIA,DATOS!$A10080,nCURSO,DATOS!$D10080,nESPEC,DATOS!$E10080,nASIG,DATOS!$I10080,nEVAL,"EX")=0),0))))</f>
      </c>
      <c r="H10080">
        <f>IF(DATOS!$G10080&lt;&gt;"EX",0,--(COUNTIFS(nNIA,DATOS!$A10080,nCURSO,DATOS!$D10080,nESPEC,DATOS!$E10080,nASIG,DATOS!$I10080,nEVAL,"OR")=0))</f>
      </c>
      <c r="I10080">
        <f>IF(DATOS!$I10080="","",IFERROR(VLOOKUP(DATOS!$I10080,CONFIG_ASIGNATURAS!$B$2:$J$91,9,FALSE()),""))</f>
      </c>
    </row>
    <row r="10081">
      <c r="F10081">
        <f>IF(DATOS!$A10081="","",DATOS!$A10081&amp;"|"&amp;DATOS!$D10081&amp;"|"&amp;DATOS!$E10081&amp;"|"&amp;DATOS!$I10081)</f>
      </c>
      <c r="G10081">
        <f>IF(DATOS!$A10081="",0,IF(CONFIG_METADATA!$B$4&lt;&gt;"OR+EX",--(DATOS!$G10081=CONFIG_METADATA!$B$4),IF(DATOS!$G10081="EX",1,IF(DATOS!$G10081="OR",--(COUNTIFS(nNIA,DATOS!$A10081,nCURSO,DATOS!$D10081,nESPEC,DATOS!$E10081,nASIG,DATOS!$I10081,nEVAL,"EX")=0),0))))</f>
      </c>
      <c r="H10081">
        <f>IF(DATOS!$G10081&lt;&gt;"EX",0,--(COUNTIFS(nNIA,DATOS!$A10081,nCURSO,DATOS!$D10081,nESPEC,DATOS!$E10081,nASIG,DATOS!$I10081,nEVAL,"OR")=0))</f>
      </c>
      <c r="I10081">
        <f>IF(DATOS!$I10081="","",IFERROR(VLOOKUP(DATOS!$I10081,CONFIG_ASIGNATURAS!$B$2:$J$91,9,FALSE()),""))</f>
      </c>
    </row>
    <row r="10082">
      <c r="F10082">
        <f>IF(DATOS!$A10082="","",DATOS!$A10082&amp;"|"&amp;DATOS!$D10082&amp;"|"&amp;DATOS!$E10082&amp;"|"&amp;DATOS!$I10082)</f>
      </c>
      <c r="G10082">
        <f>IF(DATOS!$A10082="",0,IF(CONFIG_METADATA!$B$4&lt;&gt;"OR+EX",--(DATOS!$G10082=CONFIG_METADATA!$B$4),IF(DATOS!$G10082="EX",1,IF(DATOS!$G10082="OR",--(COUNTIFS(nNIA,DATOS!$A10082,nCURSO,DATOS!$D10082,nESPEC,DATOS!$E10082,nASIG,DATOS!$I10082,nEVAL,"EX")=0),0))))</f>
      </c>
      <c r="H10082">
        <f>IF(DATOS!$G10082&lt;&gt;"EX",0,--(COUNTIFS(nNIA,DATOS!$A10082,nCURSO,DATOS!$D10082,nESPEC,DATOS!$E10082,nASIG,DATOS!$I10082,nEVAL,"OR")=0))</f>
      </c>
      <c r="I10082">
        <f>IF(DATOS!$I10082="","",IFERROR(VLOOKUP(DATOS!$I10082,CONFIG_ASIGNATURAS!$B$2:$J$91,9,FALSE()),""))</f>
      </c>
    </row>
    <row r="10083">
      <c r="F10083">
        <f>IF(DATOS!$A10083="","",DATOS!$A10083&amp;"|"&amp;DATOS!$D10083&amp;"|"&amp;DATOS!$E10083&amp;"|"&amp;DATOS!$I10083)</f>
      </c>
      <c r="G10083">
        <f>IF(DATOS!$A10083="",0,IF(CONFIG_METADATA!$B$4&lt;&gt;"OR+EX",--(DATOS!$G10083=CONFIG_METADATA!$B$4),IF(DATOS!$G10083="EX",1,IF(DATOS!$G10083="OR",--(COUNTIFS(nNIA,DATOS!$A10083,nCURSO,DATOS!$D10083,nESPEC,DATOS!$E10083,nASIG,DATOS!$I10083,nEVAL,"EX")=0),0))))</f>
      </c>
      <c r="H10083">
        <f>IF(DATOS!$G10083&lt;&gt;"EX",0,--(COUNTIFS(nNIA,DATOS!$A10083,nCURSO,DATOS!$D10083,nESPEC,DATOS!$E10083,nASIG,DATOS!$I10083,nEVAL,"OR")=0))</f>
      </c>
      <c r="I10083">
        <f>IF(DATOS!$I10083="","",IFERROR(VLOOKUP(DATOS!$I10083,CONFIG_ASIGNATURAS!$B$2:$J$91,9,FALSE()),""))</f>
      </c>
    </row>
    <row r="10084">
      <c r="F10084">
        <f>IF(DATOS!$A10084="","",DATOS!$A10084&amp;"|"&amp;DATOS!$D10084&amp;"|"&amp;DATOS!$E10084&amp;"|"&amp;DATOS!$I10084)</f>
      </c>
      <c r="G10084">
        <f>IF(DATOS!$A10084="",0,IF(CONFIG_METADATA!$B$4&lt;&gt;"OR+EX",--(DATOS!$G10084=CONFIG_METADATA!$B$4),IF(DATOS!$G10084="EX",1,IF(DATOS!$G10084="OR",--(COUNTIFS(nNIA,DATOS!$A10084,nCURSO,DATOS!$D10084,nESPEC,DATOS!$E10084,nASIG,DATOS!$I10084,nEVAL,"EX")=0),0))))</f>
      </c>
      <c r="H10084">
        <f>IF(DATOS!$G10084&lt;&gt;"EX",0,--(COUNTIFS(nNIA,DATOS!$A10084,nCURSO,DATOS!$D10084,nESPEC,DATOS!$E10084,nASIG,DATOS!$I10084,nEVAL,"OR")=0))</f>
      </c>
      <c r="I10084">
        <f>IF(DATOS!$I10084="","",IFERROR(VLOOKUP(DATOS!$I10084,CONFIG_ASIGNATURAS!$B$2:$J$91,9,FALSE()),""))</f>
      </c>
    </row>
    <row r="10085">
      <c r="F10085">
        <f>IF(DATOS!$A10085="","",DATOS!$A10085&amp;"|"&amp;DATOS!$D10085&amp;"|"&amp;DATOS!$E10085&amp;"|"&amp;DATOS!$I10085)</f>
      </c>
      <c r="G10085">
        <f>IF(DATOS!$A10085="",0,IF(CONFIG_METADATA!$B$4&lt;&gt;"OR+EX",--(DATOS!$G10085=CONFIG_METADATA!$B$4),IF(DATOS!$G10085="EX",1,IF(DATOS!$G10085="OR",--(COUNTIFS(nNIA,DATOS!$A10085,nCURSO,DATOS!$D10085,nESPEC,DATOS!$E10085,nASIG,DATOS!$I10085,nEVAL,"EX")=0),0))))</f>
      </c>
      <c r="H10085">
        <f>IF(DATOS!$G10085&lt;&gt;"EX",0,--(COUNTIFS(nNIA,DATOS!$A10085,nCURSO,DATOS!$D10085,nESPEC,DATOS!$E10085,nASIG,DATOS!$I10085,nEVAL,"OR")=0))</f>
      </c>
      <c r="I10085">
        <f>IF(DATOS!$I10085="","",IFERROR(VLOOKUP(DATOS!$I10085,CONFIG_ASIGNATURAS!$B$2:$J$91,9,FALSE()),""))</f>
      </c>
    </row>
    <row r="10086">
      <c r="F10086">
        <f>IF(DATOS!$A10086="","",DATOS!$A10086&amp;"|"&amp;DATOS!$D10086&amp;"|"&amp;DATOS!$E10086&amp;"|"&amp;DATOS!$I10086)</f>
      </c>
      <c r="G10086">
        <f>IF(DATOS!$A10086="",0,IF(CONFIG_METADATA!$B$4&lt;&gt;"OR+EX",--(DATOS!$G10086=CONFIG_METADATA!$B$4),IF(DATOS!$G10086="EX",1,IF(DATOS!$G10086="OR",--(COUNTIFS(nNIA,DATOS!$A10086,nCURSO,DATOS!$D10086,nESPEC,DATOS!$E10086,nASIG,DATOS!$I10086,nEVAL,"EX")=0),0))))</f>
      </c>
      <c r="H10086">
        <f>IF(DATOS!$G10086&lt;&gt;"EX",0,--(COUNTIFS(nNIA,DATOS!$A10086,nCURSO,DATOS!$D10086,nESPEC,DATOS!$E10086,nASIG,DATOS!$I10086,nEVAL,"OR")=0))</f>
      </c>
      <c r="I10086">
        <f>IF(DATOS!$I10086="","",IFERROR(VLOOKUP(DATOS!$I10086,CONFIG_ASIGNATURAS!$B$2:$J$91,9,FALSE()),""))</f>
      </c>
    </row>
    <row r="10087">
      <c r="F10087">
        <f>IF(DATOS!$A10087="","",DATOS!$A10087&amp;"|"&amp;DATOS!$D10087&amp;"|"&amp;DATOS!$E10087&amp;"|"&amp;DATOS!$I10087)</f>
      </c>
      <c r="G10087">
        <f>IF(DATOS!$A10087="",0,IF(CONFIG_METADATA!$B$4&lt;&gt;"OR+EX",--(DATOS!$G10087=CONFIG_METADATA!$B$4),IF(DATOS!$G10087="EX",1,IF(DATOS!$G10087="OR",--(COUNTIFS(nNIA,DATOS!$A10087,nCURSO,DATOS!$D10087,nESPEC,DATOS!$E10087,nASIG,DATOS!$I10087,nEVAL,"EX")=0),0))))</f>
      </c>
      <c r="H10087">
        <f>IF(DATOS!$G10087&lt;&gt;"EX",0,--(COUNTIFS(nNIA,DATOS!$A10087,nCURSO,DATOS!$D10087,nESPEC,DATOS!$E10087,nASIG,DATOS!$I10087,nEVAL,"OR")=0))</f>
      </c>
      <c r="I10087">
        <f>IF(DATOS!$I10087="","",IFERROR(VLOOKUP(DATOS!$I10087,CONFIG_ASIGNATURAS!$B$2:$J$91,9,FALSE()),""))</f>
      </c>
    </row>
    <row r="10088">
      <c r="F10088">
        <f>IF(DATOS!$A10088="","",DATOS!$A10088&amp;"|"&amp;DATOS!$D10088&amp;"|"&amp;DATOS!$E10088&amp;"|"&amp;DATOS!$I10088)</f>
      </c>
      <c r="G10088">
        <f>IF(DATOS!$A10088="",0,IF(CONFIG_METADATA!$B$4&lt;&gt;"OR+EX",--(DATOS!$G10088=CONFIG_METADATA!$B$4),IF(DATOS!$G10088="EX",1,IF(DATOS!$G10088="OR",--(COUNTIFS(nNIA,DATOS!$A10088,nCURSO,DATOS!$D10088,nESPEC,DATOS!$E10088,nASIG,DATOS!$I10088,nEVAL,"EX")=0),0))))</f>
      </c>
      <c r="H10088">
        <f>IF(DATOS!$G10088&lt;&gt;"EX",0,--(COUNTIFS(nNIA,DATOS!$A10088,nCURSO,DATOS!$D10088,nESPEC,DATOS!$E10088,nASIG,DATOS!$I10088,nEVAL,"OR")=0))</f>
      </c>
      <c r="I10088">
        <f>IF(DATOS!$I10088="","",IFERROR(VLOOKUP(DATOS!$I10088,CONFIG_ASIGNATURAS!$B$2:$J$91,9,FALSE()),""))</f>
      </c>
    </row>
    <row r="10089">
      <c r="F10089">
        <f>IF(DATOS!$A10089="","",DATOS!$A10089&amp;"|"&amp;DATOS!$D10089&amp;"|"&amp;DATOS!$E10089&amp;"|"&amp;DATOS!$I10089)</f>
      </c>
      <c r="G10089">
        <f>IF(DATOS!$A10089="",0,IF(CONFIG_METADATA!$B$4&lt;&gt;"OR+EX",--(DATOS!$G10089=CONFIG_METADATA!$B$4),IF(DATOS!$G10089="EX",1,IF(DATOS!$G10089="OR",--(COUNTIFS(nNIA,DATOS!$A10089,nCURSO,DATOS!$D10089,nESPEC,DATOS!$E10089,nASIG,DATOS!$I10089,nEVAL,"EX")=0),0))))</f>
      </c>
      <c r="H10089">
        <f>IF(DATOS!$G10089&lt;&gt;"EX",0,--(COUNTIFS(nNIA,DATOS!$A10089,nCURSO,DATOS!$D10089,nESPEC,DATOS!$E10089,nASIG,DATOS!$I10089,nEVAL,"OR")=0))</f>
      </c>
      <c r="I10089">
        <f>IF(DATOS!$I10089="","",IFERROR(VLOOKUP(DATOS!$I10089,CONFIG_ASIGNATURAS!$B$2:$J$91,9,FALSE()),""))</f>
      </c>
    </row>
    <row r="10090">
      <c r="F10090">
        <f>IF(DATOS!$A10090="","",DATOS!$A10090&amp;"|"&amp;DATOS!$D10090&amp;"|"&amp;DATOS!$E10090&amp;"|"&amp;DATOS!$I10090)</f>
      </c>
      <c r="G10090">
        <f>IF(DATOS!$A10090="",0,IF(CONFIG_METADATA!$B$4&lt;&gt;"OR+EX",--(DATOS!$G10090=CONFIG_METADATA!$B$4),IF(DATOS!$G10090="EX",1,IF(DATOS!$G10090="OR",--(COUNTIFS(nNIA,DATOS!$A10090,nCURSO,DATOS!$D10090,nESPEC,DATOS!$E10090,nASIG,DATOS!$I10090,nEVAL,"EX")=0),0))))</f>
      </c>
      <c r="H10090">
        <f>IF(DATOS!$G10090&lt;&gt;"EX",0,--(COUNTIFS(nNIA,DATOS!$A10090,nCURSO,DATOS!$D10090,nESPEC,DATOS!$E10090,nASIG,DATOS!$I10090,nEVAL,"OR")=0))</f>
      </c>
      <c r="I10090">
        <f>IF(DATOS!$I10090="","",IFERROR(VLOOKUP(DATOS!$I10090,CONFIG_ASIGNATURAS!$B$2:$J$91,9,FALSE()),""))</f>
      </c>
    </row>
    <row r="10091">
      <c r="F10091">
        <f>IF(DATOS!$A10091="","",DATOS!$A10091&amp;"|"&amp;DATOS!$D10091&amp;"|"&amp;DATOS!$E10091&amp;"|"&amp;DATOS!$I10091)</f>
      </c>
      <c r="G10091">
        <f>IF(DATOS!$A10091="",0,IF(CONFIG_METADATA!$B$4&lt;&gt;"OR+EX",--(DATOS!$G10091=CONFIG_METADATA!$B$4),IF(DATOS!$G10091="EX",1,IF(DATOS!$G10091="OR",--(COUNTIFS(nNIA,DATOS!$A10091,nCURSO,DATOS!$D10091,nESPEC,DATOS!$E10091,nASIG,DATOS!$I10091,nEVAL,"EX")=0),0))))</f>
      </c>
      <c r="H10091">
        <f>IF(DATOS!$G10091&lt;&gt;"EX",0,--(COUNTIFS(nNIA,DATOS!$A10091,nCURSO,DATOS!$D10091,nESPEC,DATOS!$E10091,nASIG,DATOS!$I10091,nEVAL,"OR")=0))</f>
      </c>
      <c r="I10091">
        <f>IF(DATOS!$I10091="","",IFERROR(VLOOKUP(DATOS!$I10091,CONFIG_ASIGNATURAS!$B$2:$J$91,9,FALSE()),""))</f>
      </c>
    </row>
    <row r="10092">
      <c r="F10092">
        <f>IF(DATOS!$A10092="","",DATOS!$A10092&amp;"|"&amp;DATOS!$D10092&amp;"|"&amp;DATOS!$E10092&amp;"|"&amp;DATOS!$I10092)</f>
      </c>
      <c r="G10092">
        <f>IF(DATOS!$A10092="",0,IF(CONFIG_METADATA!$B$4&lt;&gt;"OR+EX",--(DATOS!$G10092=CONFIG_METADATA!$B$4),IF(DATOS!$G10092="EX",1,IF(DATOS!$G10092="OR",--(COUNTIFS(nNIA,DATOS!$A10092,nCURSO,DATOS!$D10092,nESPEC,DATOS!$E10092,nASIG,DATOS!$I10092,nEVAL,"EX")=0),0))))</f>
      </c>
      <c r="H10092">
        <f>IF(DATOS!$G10092&lt;&gt;"EX",0,--(COUNTIFS(nNIA,DATOS!$A10092,nCURSO,DATOS!$D10092,nESPEC,DATOS!$E10092,nASIG,DATOS!$I10092,nEVAL,"OR")=0))</f>
      </c>
      <c r="I10092">
        <f>IF(DATOS!$I10092="","",IFERROR(VLOOKUP(DATOS!$I10092,CONFIG_ASIGNATURAS!$B$2:$J$91,9,FALSE()),""))</f>
      </c>
    </row>
    <row r="10093">
      <c r="F10093">
        <f>IF(DATOS!$A10093="","",DATOS!$A10093&amp;"|"&amp;DATOS!$D10093&amp;"|"&amp;DATOS!$E10093&amp;"|"&amp;DATOS!$I10093)</f>
      </c>
      <c r="G10093">
        <f>IF(DATOS!$A10093="",0,IF(CONFIG_METADATA!$B$4&lt;&gt;"OR+EX",--(DATOS!$G10093=CONFIG_METADATA!$B$4),IF(DATOS!$G10093="EX",1,IF(DATOS!$G10093="OR",--(COUNTIFS(nNIA,DATOS!$A10093,nCURSO,DATOS!$D10093,nESPEC,DATOS!$E10093,nASIG,DATOS!$I10093,nEVAL,"EX")=0),0))))</f>
      </c>
      <c r="H10093">
        <f>IF(DATOS!$G10093&lt;&gt;"EX",0,--(COUNTIFS(nNIA,DATOS!$A10093,nCURSO,DATOS!$D10093,nESPEC,DATOS!$E10093,nASIG,DATOS!$I10093,nEVAL,"OR")=0))</f>
      </c>
      <c r="I10093">
        <f>IF(DATOS!$I10093="","",IFERROR(VLOOKUP(DATOS!$I10093,CONFIG_ASIGNATURAS!$B$2:$J$91,9,FALSE()),""))</f>
      </c>
    </row>
    <row r="10094">
      <c r="F10094">
        <f>IF(DATOS!$A10094="","",DATOS!$A10094&amp;"|"&amp;DATOS!$D10094&amp;"|"&amp;DATOS!$E10094&amp;"|"&amp;DATOS!$I10094)</f>
      </c>
      <c r="G10094">
        <f>IF(DATOS!$A10094="",0,IF(CONFIG_METADATA!$B$4&lt;&gt;"OR+EX",--(DATOS!$G10094=CONFIG_METADATA!$B$4),IF(DATOS!$G10094="EX",1,IF(DATOS!$G10094="OR",--(COUNTIFS(nNIA,DATOS!$A10094,nCURSO,DATOS!$D10094,nESPEC,DATOS!$E10094,nASIG,DATOS!$I10094,nEVAL,"EX")=0),0))))</f>
      </c>
      <c r="H10094">
        <f>IF(DATOS!$G10094&lt;&gt;"EX",0,--(COUNTIFS(nNIA,DATOS!$A10094,nCURSO,DATOS!$D10094,nESPEC,DATOS!$E10094,nASIG,DATOS!$I10094,nEVAL,"OR")=0))</f>
      </c>
      <c r="I10094">
        <f>IF(DATOS!$I10094="","",IFERROR(VLOOKUP(DATOS!$I10094,CONFIG_ASIGNATURAS!$B$2:$J$91,9,FALSE()),""))</f>
      </c>
    </row>
    <row r="10095">
      <c r="F10095">
        <f>IF(DATOS!$A10095="","",DATOS!$A10095&amp;"|"&amp;DATOS!$D10095&amp;"|"&amp;DATOS!$E10095&amp;"|"&amp;DATOS!$I10095)</f>
      </c>
      <c r="G10095">
        <f>IF(DATOS!$A10095="",0,IF(CONFIG_METADATA!$B$4&lt;&gt;"OR+EX",--(DATOS!$G10095=CONFIG_METADATA!$B$4),IF(DATOS!$G10095="EX",1,IF(DATOS!$G10095="OR",--(COUNTIFS(nNIA,DATOS!$A10095,nCURSO,DATOS!$D10095,nESPEC,DATOS!$E10095,nASIG,DATOS!$I10095,nEVAL,"EX")=0),0))))</f>
      </c>
      <c r="H10095">
        <f>IF(DATOS!$G10095&lt;&gt;"EX",0,--(COUNTIFS(nNIA,DATOS!$A10095,nCURSO,DATOS!$D10095,nESPEC,DATOS!$E10095,nASIG,DATOS!$I10095,nEVAL,"OR")=0))</f>
      </c>
      <c r="I10095">
        <f>IF(DATOS!$I10095="","",IFERROR(VLOOKUP(DATOS!$I10095,CONFIG_ASIGNATURAS!$B$2:$J$91,9,FALSE()),""))</f>
      </c>
    </row>
    <row r="10096">
      <c r="F10096">
        <f>IF(DATOS!$A10096="","",DATOS!$A10096&amp;"|"&amp;DATOS!$D10096&amp;"|"&amp;DATOS!$E10096&amp;"|"&amp;DATOS!$I10096)</f>
      </c>
      <c r="G10096">
        <f>IF(DATOS!$A10096="",0,IF(CONFIG_METADATA!$B$4&lt;&gt;"OR+EX",--(DATOS!$G10096=CONFIG_METADATA!$B$4),IF(DATOS!$G10096="EX",1,IF(DATOS!$G10096="OR",--(COUNTIFS(nNIA,DATOS!$A10096,nCURSO,DATOS!$D10096,nESPEC,DATOS!$E10096,nASIG,DATOS!$I10096,nEVAL,"EX")=0),0))))</f>
      </c>
      <c r="H10096">
        <f>IF(DATOS!$G10096&lt;&gt;"EX",0,--(COUNTIFS(nNIA,DATOS!$A10096,nCURSO,DATOS!$D10096,nESPEC,DATOS!$E10096,nASIG,DATOS!$I10096,nEVAL,"OR")=0))</f>
      </c>
      <c r="I10096">
        <f>IF(DATOS!$I10096="","",IFERROR(VLOOKUP(DATOS!$I10096,CONFIG_ASIGNATURAS!$B$2:$J$91,9,FALSE()),""))</f>
      </c>
    </row>
    <row r="10097">
      <c r="F10097">
        <f>IF(DATOS!$A10097="","",DATOS!$A10097&amp;"|"&amp;DATOS!$D10097&amp;"|"&amp;DATOS!$E10097&amp;"|"&amp;DATOS!$I10097)</f>
      </c>
      <c r="G10097">
        <f>IF(DATOS!$A10097="",0,IF(CONFIG_METADATA!$B$4&lt;&gt;"OR+EX",--(DATOS!$G10097=CONFIG_METADATA!$B$4),IF(DATOS!$G10097="EX",1,IF(DATOS!$G10097="OR",--(COUNTIFS(nNIA,DATOS!$A10097,nCURSO,DATOS!$D10097,nESPEC,DATOS!$E10097,nASIG,DATOS!$I10097,nEVAL,"EX")=0),0))))</f>
      </c>
      <c r="H10097">
        <f>IF(DATOS!$G10097&lt;&gt;"EX",0,--(COUNTIFS(nNIA,DATOS!$A10097,nCURSO,DATOS!$D10097,nESPEC,DATOS!$E10097,nASIG,DATOS!$I10097,nEVAL,"OR")=0))</f>
      </c>
      <c r="I10097">
        <f>IF(DATOS!$I10097="","",IFERROR(VLOOKUP(DATOS!$I10097,CONFIG_ASIGNATURAS!$B$2:$J$91,9,FALSE()),""))</f>
      </c>
    </row>
    <row r="10098">
      <c r="F10098">
        <f>IF(DATOS!$A10098="","",DATOS!$A10098&amp;"|"&amp;DATOS!$D10098&amp;"|"&amp;DATOS!$E10098&amp;"|"&amp;DATOS!$I10098)</f>
      </c>
      <c r="G10098">
        <f>IF(DATOS!$A10098="",0,IF(CONFIG_METADATA!$B$4&lt;&gt;"OR+EX",--(DATOS!$G10098=CONFIG_METADATA!$B$4),IF(DATOS!$G10098="EX",1,IF(DATOS!$G10098="OR",--(COUNTIFS(nNIA,DATOS!$A10098,nCURSO,DATOS!$D10098,nESPEC,DATOS!$E10098,nASIG,DATOS!$I10098,nEVAL,"EX")=0),0))))</f>
      </c>
      <c r="H10098">
        <f>IF(DATOS!$G10098&lt;&gt;"EX",0,--(COUNTIFS(nNIA,DATOS!$A10098,nCURSO,DATOS!$D10098,nESPEC,DATOS!$E10098,nASIG,DATOS!$I10098,nEVAL,"OR")=0))</f>
      </c>
      <c r="I10098">
        <f>IF(DATOS!$I10098="","",IFERROR(VLOOKUP(DATOS!$I10098,CONFIG_ASIGNATURAS!$B$2:$J$91,9,FALSE()),""))</f>
      </c>
    </row>
    <row r="10099">
      <c r="F10099">
        <f>IF(DATOS!$A10099="","",DATOS!$A10099&amp;"|"&amp;DATOS!$D10099&amp;"|"&amp;DATOS!$E10099&amp;"|"&amp;DATOS!$I10099)</f>
      </c>
      <c r="G10099">
        <f>IF(DATOS!$A10099="",0,IF(CONFIG_METADATA!$B$4&lt;&gt;"OR+EX",--(DATOS!$G10099=CONFIG_METADATA!$B$4),IF(DATOS!$G10099="EX",1,IF(DATOS!$G10099="OR",--(COUNTIFS(nNIA,DATOS!$A10099,nCURSO,DATOS!$D10099,nESPEC,DATOS!$E10099,nASIG,DATOS!$I10099,nEVAL,"EX")=0),0))))</f>
      </c>
      <c r="H10099">
        <f>IF(DATOS!$G10099&lt;&gt;"EX",0,--(COUNTIFS(nNIA,DATOS!$A10099,nCURSO,DATOS!$D10099,nESPEC,DATOS!$E10099,nASIG,DATOS!$I10099,nEVAL,"OR")=0))</f>
      </c>
      <c r="I10099">
        <f>IF(DATOS!$I10099="","",IFERROR(VLOOKUP(DATOS!$I10099,CONFIG_ASIGNATURAS!$B$2:$J$91,9,FALSE()),""))</f>
      </c>
    </row>
    <row r="10100">
      <c r="F10100">
        <f>IF(DATOS!$A10100="","",DATOS!$A10100&amp;"|"&amp;DATOS!$D10100&amp;"|"&amp;DATOS!$E10100&amp;"|"&amp;DATOS!$I10100)</f>
      </c>
      <c r="G10100">
        <f>IF(DATOS!$A10100="",0,IF(CONFIG_METADATA!$B$4&lt;&gt;"OR+EX",--(DATOS!$G10100=CONFIG_METADATA!$B$4),IF(DATOS!$G10100="EX",1,IF(DATOS!$G10100="OR",--(COUNTIFS(nNIA,DATOS!$A10100,nCURSO,DATOS!$D10100,nESPEC,DATOS!$E10100,nASIG,DATOS!$I10100,nEVAL,"EX")=0),0))))</f>
      </c>
      <c r="H10100">
        <f>IF(DATOS!$G10100&lt;&gt;"EX",0,--(COUNTIFS(nNIA,DATOS!$A10100,nCURSO,DATOS!$D10100,nESPEC,DATOS!$E10100,nASIG,DATOS!$I10100,nEVAL,"OR")=0))</f>
      </c>
      <c r="I10100">
        <f>IF(DATOS!$I10100="","",IFERROR(VLOOKUP(DATOS!$I10100,CONFIG_ASIGNATURAS!$B$2:$J$91,9,FALSE()),""))</f>
      </c>
    </row>
    <row r="10101">
      <c r="F10101">
        <f>IF(DATOS!$A10101="","",DATOS!$A10101&amp;"|"&amp;DATOS!$D10101&amp;"|"&amp;DATOS!$E10101&amp;"|"&amp;DATOS!$I10101)</f>
      </c>
      <c r="G10101">
        <f>IF(DATOS!$A10101="",0,IF(CONFIG_METADATA!$B$4&lt;&gt;"OR+EX",--(DATOS!$G10101=CONFIG_METADATA!$B$4),IF(DATOS!$G10101="EX",1,IF(DATOS!$G10101="OR",--(COUNTIFS(nNIA,DATOS!$A10101,nCURSO,DATOS!$D10101,nESPEC,DATOS!$E10101,nASIG,DATOS!$I10101,nEVAL,"EX")=0),0))))</f>
      </c>
      <c r="H10101">
        <f>IF(DATOS!$G10101&lt;&gt;"EX",0,--(COUNTIFS(nNIA,DATOS!$A10101,nCURSO,DATOS!$D10101,nESPEC,DATOS!$E10101,nASIG,DATOS!$I10101,nEVAL,"OR")=0))</f>
      </c>
      <c r="I10101">
        <f>IF(DATOS!$I10101="","",IFERROR(VLOOKUP(DATOS!$I10101,CONFIG_ASIGNATURAS!$B$2:$J$91,9,FALSE()),""))</f>
      </c>
    </row>
    <row r="10102">
      <c r="F10102">
        <f>IF(DATOS!$A10102="","",DATOS!$A10102&amp;"|"&amp;DATOS!$D10102&amp;"|"&amp;DATOS!$E10102&amp;"|"&amp;DATOS!$I10102)</f>
      </c>
      <c r="G10102">
        <f>IF(DATOS!$A10102="",0,IF(CONFIG_METADATA!$B$4&lt;&gt;"OR+EX",--(DATOS!$G10102=CONFIG_METADATA!$B$4),IF(DATOS!$G10102="EX",1,IF(DATOS!$G10102="OR",--(COUNTIFS(nNIA,DATOS!$A10102,nCURSO,DATOS!$D10102,nESPEC,DATOS!$E10102,nASIG,DATOS!$I10102,nEVAL,"EX")=0),0))))</f>
      </c>
      <c r="H10102">
        <f>IF(DATOS!$G10102&lt;&gt;"EX",0,--(COUNTIFS(nNIA,DATOS!$A10102,nCURSO,DATOS!$D10102,nESPEC,DATOS!$E10102,nASIG,DATOS!$I10102,nEVAL,"OR")=0))</f>
      </c>
      <c r="I10102">
        <f>IF(DATOS!$I10102="","",IFERROR(VLOOKUP(DATOS!$I10102,CONFIG_ASIGNATURAS!$B$2:$J$91,9,FALSE()),""))</f>
      </c>
    </row>
    <row r="10103">
      <c r="F10103">
        <f>IF(DATOS!$A10103="","",DATOS!$A10103&amp;"|"&amp;DATOS!$D10103&amp;"|"&amp;DATOS!$E10103&amp;"|"&amp;DATOS!$I10103)</f>
      </c>
      <c r="G10103">
        <f>IF(DATOS!$A10103="",0,IF(CONFIG_METADATA!$B$4&lt;&gt;"OR+EX",--(DATOS!$G10103=CONFIG_METADATA!$B$4),IF(DATOS!$G10103="EX",1,IF(DATOS!$G10103="OR",--(COUNTIFS(nNIA,DATOS!$A10103,nCURSO,DATOS!$D10103,nESPEC,DATOS!$E10103,nASIG,DATOS!$I10103,nEVAL,"EX")=0),0))))</f>
      </c>
      <c r="H10103">
        <f>IF(DATOS!$G10103&lt;&gt;"EX",0,--(COUNTIFS(nNIA,DATOS!$A10103,nCURSO,DATOS!$D10103,nESPEC,DATOS!$E10103,nASIG,DATOS!$I10103,nEVAL,"OR")=0))</f>
      </c>
      <c r="I10103">
        <f>IF(DATOS!$I10103="","",IFERROR(VLOOKUP(DATOS!$I10103,CONFIG_ASIGNATURAS!$B$2:$J$91,9,FALSE()),""))</f>
      </c>
    </row>
    <row r="10104">
      <c r="F10104">
        <f>IF(DATOS!$A10104="","",DATOS!$A10104&amp;"|"&amp;DATOS!$D10104&amp;"|"&amp;DATOS!$E10104&amp;"|"&amp;DATOS!$I10104)</f>
      </c>
      <c r="G10104">
        <f>IF(DATOS!$A10104="",0,IF(CONFIG_METADATA!$B$4&lt;&gt;"OR+EX",--(DATOS!$G10104=CONFIG_METADATA!$B$4),IF(DATOS!$G10104="EX",1,IF(DATOS!$G10104="OR",--(COUNTIFS(nNIA,DATOS!$A10104,nCURSO,DATOS!$D10104,nESPEC,DATOS!$E10104,nASIG,DATOS!$I10104,nEVAL,"EX")=0),0))))</f>
      </c>
      <c r="H10104">
        <f>IF(DATOS!$G10104&lt;&gt;"EX",0,--(COUNTIFS(nNIA,DATOS!$A10104,nCURSO,DATOS!$D10104,nESPEC,DATOS!$E10104,nASIG,DATOS!$I10104,nEVAL,"OR")=0))</f>
      </c>
      <c r="I10104">
        <f>IF(DATOS!$I10104="","",IFERROR(VLOOKUP(DATOS!$I10104,CONFIG_ASIGNATURAS!$B$2:$J$91,9,FALSE()),""))</f>
      </c>
    </row>
    <row r="10105">
      <c r="F10105">
        <f>IF(DATOS!$A10105="","",DATOS!$A10105&amp;"|"&amp;DATOS!$D10105&amp;"|"&amp;DATOS!$E10105&amp;"|"&amp;DATOS!$I10105)</f>
      </c>
      <c r="G10105">
        <f>IF(DATOS!$A10105="",0,IF(CONFIG_METADATA!$B$4&lt;&gt;"OR+EX",--(DATOS!$G10105=CONFIG_METADATA!$B$4),IF(DATOS!$G10105="EX",1,IF(DATOS!$G10105="OR",--(COUNTIFS(nNIA,DATOS!$A10105,nCURSO,DATOS!$D10105,nESPEC,DATOS!$E10105,nASIG,DATOS!$I10105,nEVAL,"EX")=0),0))))</f>
      </c>
      <c r="H10105">
        <f>IF(DATOS!$G10105&lt;&gt;"EX",0,--(COUNTIFS(nNIA,DATOS!$A10105,nCURSO,DATOS!$D10105,nESPEC,DATOS!$E10105,nASIG,DATOS!$I10105,nEVAL,"OR")=0))</f>
      </c>
      <c r="I10105">
        <f>IF(DATOS!$I10105="","",IFERROR(VLOOKUP(DATOS!$I10105,CONFIG_ASIGNATURAS!$B$2:$J$91,9,FALSE()),""))</f>
      </c>
    </row>
    <row r="10106">
      <c r="F10106">
        <f>IF(DATOS!$A10106="","",DATOS!$A10106&amp;"|"&amp;DATOS!$D10106&amp;"|"&amp;DATOS!$E10106&amp;"|"&amp;DATOS!$I10106)</f>
      </c>
      <c r="G10106">
        <f>IF(DATOS!$A10106="",0,IF(CONFIG_METADATA!$B$4&lt;&gt;"OR+EX",--(DATOS!$G10106=CONFIG_METADATA!$B$4),IF(DATOS!$G10106="EX",1,IF(DATOS!$G10106="OR",--(COUNTIFS(nNIA,DATOS!$A10106,nCURSO,DATOS!$D10106,nESPEC,DATOS!$E10106,nASIG,DATOS!$I10106,nEVAL,"EX")=0),0))))</f>
      </c>
      <c r="H10106">
        <f>IF(DATOS!$G10106&lt;&gt;"EX",0,--(COUNTIFS(nNIA,DATOS!$A10106,nCURSO,DATOS!$D10106,nESPEC,DATOS!$E10106,nASIG,DATOS!$I10106,nEVAL,"OR")=0))</f>
      </c>
      <c r="I10106">
        <f>IF(DATOS!$I10106="","",IFERROR(VLOOKUP(DATOS!$I10106,CONFIG_ASIGNATURAS!$B$2:$J$91,9,FALSE()),""))</f>
      </c>
    </row>
    <row r="10107">
      <c r="F10107">
        <f>IF(DATOS!$A10107="","",DATOS!$A10107&amp;"|"&amp;DATOS!$D10107&amp;"|"&amp;DATOS!$E10107&amp;"|"&amp;DATOS!$I10107)</f>
      </c>
      <c r="G10107">
        <f>IF(DATOS!$A10107="",0,IF(CONFIG_METADATA!$B$4&lt;&gt;"OR+EX",--(DATOS!$G10107=CONFIG_METADATA!$B$4),IF(DATOS!$G10107="EX",1,IF(DATOS!$G10107="OR",--(COUNTIFS(nNIA,DATOS!$A10107,nCURSO,DATOS!$D10107,nESPEC,DATOS!$E10107,nASIG,DATOS!$I10107,nEVAL,"EX")=0),0))))</f>
      </c>
      <c r="H10107">
        <f>IF(DATOS!$G10107&lt;&gt;"EX",0,--(COUNTIFS(nNIA,DATOS!$A10107,nCURSO,DATOS!$D10107,nESPEC,DATOS!$E10107,nASIG,DATOS!$I10107,nEVAL,"OR")=0))</f>
      </c>
      <c r="I10107">
        <f>IF(DATOS!$I10107="","",IFERROR(VLOOKUP(DATOS!$I10107,CONFIG_ASIGNATURAS!$B$2:$J$91,9,FALSE()),""))</f>
      </c>
    </row>
    <row r="10108">
      <c r="F10108">
        <f>IF(DATOS!$A10108="","",DATOS!$A10108&amp;"|"&amp;DATOS!$D10108&amp;"|"&amp;DATOS!$E10108&amp;"|"&amp;DATOS!$I10108)</f>
      </c>
      <c r="G10108">
        <f>IF(DATOS!$A10108="",0,IF(CONFIG_METADATA!$B$4&lt;&gt;"OR+EX",--(DATOS!$G10108=CONFIG_METADATA!$B$4),IF(DATOS!$G10108="EX",1,IF(DATOS!$G10108="OR",--(COUNTIFS(nNIA,DATOS!$A10108,nCURSO,DATOS!$D10108,nESPEC,DATOS!$E10108,nASIG,DATOS!$I10108,nEVAL,"EX")=0),0))))</f>
      </c>
      <c r="H10108">
        <f>IF(DATOS!$G10108&lt;&gt;"EX",0,--(COUNTIFS(nNIA,DATOS!$A10108,nCURSO,DATOS!$D10108,nESPEC,DATOS!$E10108,nASIG,DATOS!$I10108,nEVAL,"OR")=0))</f>
      </c>
      <c r="I10108">
        <f>IF(DATOS!$I10108="","",IFERROR(VLOOKUP(DATOS!$I10108,CONFIG_ASIGNATURAS!$B$2:$J$91,9,FALSE()),""))</f>
      </c>
    </row>
    <row r="10109">
      <c r="F10109">
        <f>IF(DATOS!$A10109="","",DATOS!$A10109&amp;"|"&amp;DATOS!$D10109&amp;"|"&amp;DATOS!$E10109&amp;"|"&amp;DATOS!$I10109)</f>
      </c>
      <c r="G10109">
        <f>IF(DATOS!$A10109="",0,IF(CONFIG_METADATA!$B$4&lt;&gt;"OR+EX",--(DATOS!$G10109=CONFIG_METADATA!$B$4),IF(DATOS!$G10109="EX",1,IF(DATOS!$G10109="OR",--(COUNTIFS(nNIA,DATOS!$A10109,nCURSO,DATOS!$D10109,nESPEC,DATOS!$E10109,nASIG,DATOS!$I10109,nEVAL,"EX")=0),0))))</f>
      </c>
      <c r="H10109">
        <f>IF(DATOS!$G10109&lt;&gt;"EX",0,--(COUNTIFS(nNIA,DATOS!$A10109,nCURSO,DATOS!$D10109,nESPEC,DATOS!$E10109,nASIG,DATOS!$I10109,nEVAL,"OR")=0))</f>
      </c>
      <c r="I10109">
        <f>IF(DATOS!$I10109="","",IFERROR(VLOOKUP(DATOS!$I10109,CONFIG_ASIGNATURAS!$B$2:$J$91,9,FALSE()),""))</f>
      </c>
    </row>
    <row r="10110">
      <c r="F10110">
        <f>IF(DATOS!$A10110="","",DATOS!$A10110&amp;"|"&amp;DATOS!$D10110&amp;"|"&amp;DATOS!$E10110&amp;"|"&amp;DATOS!$I10110)</f>
      </c>
      <c r="G10110">
        <f>IF(DATOS!$A10110="",0,IF(CONFIG_METADATA!$B$4&lt;&gt;"OR+EX",--(DATOS!$G10110=CONFIG_METADATA!$B$4),IF(DATOS!$G10110="EX",1,IF(DATOS!$G10110="OR",--(COUNTIFS(nNIA,DATOS!$A10110,nCURSO,DATOS!$D10110,nESPEC,DATOS!$E10110,nASIG,DATOS!$I10110,nEVAL,"EX")=0),0))))</f>
      </c>
      <c r="H10110">
        <f>IF(DATOS!$G10110&lt;&gt;"EX",0,--(COUNTIFS(nNIA,DATOS!$A10110,nCURSO,DATOS!$D10110,nESPEC,DATOS!$E10110,nASIG,DATOS!$I10110,nEVAL,"OR")=0))</f>
      </c>
      <c r="I10110">
        <f>IF(DATOS!$I10110="","",IFERROR(VLOOKUP(DATOS!$I10110,CONFIG_ASIGNATURAS!$B$2:$J$91,9,FALSE()),""))</f>
      </c>
    </row>
    <row r="10111">
      <c r="F10111">
        <f>IF(DATOS!$A10111="","",DATOS!$A10111&amp;"|"&amp;DATOS!$D10111&amp;"|"&amp;DATOS!$E10111&amp;"|"&amp;DATOS!$I10111)</f>
      </c>
      <c r="G10111">
        <f>IF(DATOS!$A10111="",0,IF(CONFIG_METADATA!$B$4&lt;&gt;"OR+EX",--(DATOS!$G10111=CONFIG_METADATA!$B$4),IF(DATOS!$G10111="EX",1,IF(DATOS!$G10111="OR",--(COUNTIFS(nNIA,DATOS!$A10111,nCURSO,DATOS!$D10111,nESPEC,DATOS!$E10111,nASIG,DATOS!$I10111,nEVAL,"EX")=0),0))))</f>
      </c>
      <c r="H10111">
        <f>IF(DATOS!$G10111&lt;&gt;"EX",0,--(COUNTIFS(nNIA,DATOS!$A10111,nCURSO,DATOS!$D10111,nESPEC,DATOS!$E10111,nASIG,DATOS!$I10111,nEVAL,"OR")=0))</f>
      </c>
      <c r="I10111">
        <f>IF(DATOS!$I10111="","",IFERROR(VLOOKUP(DATOS!$I10111,CONFIG_ASIGNATURAS!$B$2:$J$91,9,FALSE()),""))</f>
      </c>
    </row>
    <row r="10112">
      <c r="F10112">
        <f>IF(DATOS!$A10112="","",DATOS!$A10112&amp;"|"&amp;DATOS!$D10112&amp;"|"&amp;DATOS!$E10112&amp;"|"&amp;DATOS!$I10112)</f>
      </c>
      <c r="G10112">
        <f>IF(DATOS!$A10112="",0,IF(CONFIG_METADATA!$B$4&lt;&gt;"OR+EX",--(DATOS!$G10112=CONFIG_METADATA!$B$4),IF(DATOS!$G10112="EX",1,IF(DATOS!$G10112="OR",--(COUNTIFS(nNIA,DATOS!$A10112,nCURSO,DATOS!$D10112,nESPEC,DATOS!$E10112,nASIG,DATOS!$I10112,nEVAL,"EX")=0),0))))</f>
      </c>
      <c r="H10112">
        <f>IF(DATOS!$G10112&lt;&gt;"EX",0,--(COUNTIFS(nNIA,DATOS!$A10112,nCURSO,DATOS!$D10112,nESPEC,DATOS!$E10112,nASIG,DATOS!$I10112,nEVAL,"OR")=0))</f>
      </c>
      <c r="I10112">
        <f>IF(DATOS!$I10112="","",IFERROR(VLOOKUP(DATOS!$I10112,CONFIG_ASIGNATURAS!$B$2:$J$91,9,FALSE()),""))</f>
      </c>
    </row>
    <row r="10113">
      <c r="F10113">
        <f>IF(DATOS!$A10113="","",DATOS!$A10113&amp;"|"&amp;DATOS!$D10113&amp;"|"&amp;DATOS!$E10113&amp;"|"&amp;DATOS!$I10113)</f>
      </c>
      <c r="G10113">
        <f>IF(DATOS!$A10113="",0,IF(CONFIG_METADATA!$B$4&lt;&gt;"OR+EX",--(DATOS!$G10113=CONFIG_METADATA!$B$4),IF(DATOS!$G10113="EX",1,IF(DATOS!$G10113="OR",--(COUNTIFS(nNIA,DATOS!$A10113,nCURSO,DATOS!$D10113,nESPEC,DATOS!$E10113,nASIG,DATOS!$I10113,nEVAL,"EX")=0),0))))</f>
      </c>
      <c r="H10113">
        <f>IF(DATOS!$G10113&lt;&gt;"EX",0,--(COUNTIFS(nNIA,DATOS!$A10113,nCURSO,DATOS!$D10113,nESPEC,DATOS!$E10113,nASIG,DATOS!$I10113,nEVAL,"OR")=0))</f>
      </c>
      <c r="I10113">
        <f>IF(DATOS!$I10113="","",IFERROR(VLOOKUP(DATOS!$I10113,CONFIG_ASIGNATURAS!$B$2:$J$91,9,FALSE()),""))</f>
      </c>
    </row>
    <row r="10114">
      <c r="F10114">
        <f>IF(DATOS!$A10114="","",DATOS!$A10114&amp;"|"&amp;DATOS!$D10114&amp;"|"&amp;DATOS!$E10114&amp;"|"&amp;DATOS!$I10114)</f>
      </c>
      <c r="G10114">
        <f>IF(DATOS!$A10114="",0,IF(CONFIG_METADATA!$B$4&lt;&gt;"OR+EX",--(DATOS!$G10114=CONFIG_METADATA!$B$4),IF(DATOS!$G10114="EX",1,IF(DATOS!$G10114="OR",--(COUNTIFS(nNIA,DATOS!$A10114,nCURSO,DATOS!$D10114,nESPEC,DATOS!$E10114,nASIG,DATOS!$I10114,nEVAL,"EX")=0),0))))</f>
      </c>
      <c r="H10114">
        <f>IF(DATOS!$G10114&lt;&gt;"EX",0,--(COUNTIFS(nNIA,DATOS!$A10114,nCURSO,DATOS!$D10114,nESPEC,DATOS!$E10114,nASIG,DATOS!$I10114,nEVAL,"OR")=0))</f>
      </c>
      <c r="I10114">
        <f>IF(DATOS!$I10114="","",IFERROR(VLOOKUP(DATOS!$I10114,CONFIG_ASIGNATURAS!$B$2:$J$91,9,FALSE()),""))</f>
      </c>
    </row>
    <row r="10115">
      <c r="F10115">
        <f>IF(DATOS!$A10115="","",DATOS!$A10115&amp;"|"&amp;DATOS!$D10115&amp;"|"&amp;DATOS!$E10115&amp;"|"&amp;DATOS!$I10115)</f>
      </c>
      <c r="G10115">
        <f>IF(DATOS!$A10115="",0,IF(CONFIG_METADATA!$B$4&lt;&gt;"OR+EX",--(DATOS!$G10115=CONFIG_METADATA!$B$4),IF(DATOS!$G10115="EX",1,IF(DATOS!$G10115="OR",--(COUNTIFS(nNIA,DATOS!$A10115,nCURSO,DATOS!$D10115,nESPEC,DATOS!$E10115,nASIG,DATOS!$I10115,nEVAL,"EX")=0),0))))</f>
      </c>
      <c r="H10115">
        <f>IF(DATOS!$G10115&lt;&gt;"EX",0,--(COUNTIFS(nNIA,DATOS!$A10115,nCURSO,DATOS!$D10115,nESPEC,DATOS!$E10115,nASIG,DATOS!$I10115,nEVAL,"OR")=0))</f>
      </c>
      <c r="I10115">
        <f>IF(DATOS!$I10115="","",IFERROR(VLOOKUP(DATOS!$I10115,CONFIG_ASIGNATURAS!$B$2:$J$91,9,FALSE()),""))</f>
      </c>
    </row>
    <row r="10116">
      <c r="F10116">
        <f>IF(DATOS!$A10116="","",DATOS!$A10116&amp;"|"&amp;DATOS!$D10116&amp;"|"&amp;DATOS!$E10116&amp;"|"&amp;DATOS!$I10116)</f>
      </c>
      <c r="G10116">
        <f>IF(DATOS!$A10116="",0,IF(CONFIG_METADATA!$B$4&lt;&gt;"OR+EX",--(DATOS!$G10116=CONFIG_METADATA!$B$4),IF(DATOS!$G10116="EX",1,IF(DATOS!$G10116="OR",--(COUNTIFS(nNIA,DATOS!$A10116,nCURSO,DATOS!$D10116,nESPEC,DATOS!$E10116,nASIG,DATOS!$I10116,nEVAL,"EX")=0),0))))</f>
      </c>
      <c r="H10116">
        <f>IF(DATOS!$G10116&lt;&gt;"EX",0,--(COUNTIFS(nNIA,DATOS!$A10116,nCURSO,DATOS!$D10116,nESPEC,DATOS!$E10116,nASIG,DATOS!$I10116,nEVAL,"OR")=0))</f>
      </c>
      <c r="I10116">
        <f>IF(DATOS!$I10116="","",IFERROR(VLOOKUP(DATOS!$I10116,CONFIG_ASIGNATURAS!$B$2:$J$91,9,FALSE()),""))</f>
      </c>
    </row>
    <row r="10117">
      <c r="F10117">
        <f>IF(DATOS!$A10117="","",DATOS!$A10117&amp;"|"&amp;DATOS!$D10117&amp;"|"&amp;DATOS!$E10117&amp;"|"&amp;DATOS!$I10117)</f>
      </c>
      <c r="G10117">
        <f>IF(DATOS!$A10117="",0,IF(CONFIG_METADATA!$B$4&lt;&gt;"OR+EX",--(DATOS!$G10117=CONFIG_METADATA!$B$4),IF(DATOS!$G10117="EX",1,IF(DATOS!$G10117="OR",--(COUNTIFS(nNIA,DATOS!$A10117,nCURSO,DATOS!$D10117,nESPEC,DATOS!$E10117,nASIG,DATOS!$I10117,nEVAL,"EX")=0),0))))</f>
      </c>
      <c r="H10117">
        <f>IF(DATOS!$G10117&lt;&gt;"EX",0,--(COUNTIFS(nNIA,DATOS!$A10117,nCURSO,DATOS!$D10117,nESPEC,DATOS!$E10117,nASIG,DATOS!$I10117,nEVAL,"OR")=0))</f>
      </c>
      <c r="I10117">
        <f>IF(DATOS!$I10117="","",IFERROR(VLOOKUP(DATOS!$I10117,CONFIG_ASIGNATURAS!$B$2:$J$91,9,FALSE()),""))</f>
      </c>
    </row>
    <row r="10118">
      <c r="F10118">
        <f>IF(DATOS!$A10118="","",DATOS!$A10118&amp;"|"&amp;DATOS!$D10118&amp;"|"&amp;DATOS!$E10118&amp;"|"&amp;DATOS!$I10118)</f>
      </c>
      <c r="G10118">
        <f>IF(DATOS!$A10118="",0,IF(CONFIG_METADATA!$B$4&lt;&gt;"OR+EX",--(DATOS!$G10118=CONFIG_METADATA!$B$4),IF(DATOS!$G10118="EX",1,IF(DATOS!$G10118="OR",--(COUNTIFS(nNIA,DATOS!$A10118,nCURSO,DATOS!$D10118,nESPEC,DATOS!$E10118,nASIG,DATOS!$I10118,nEVAL,"EX")=0),0))))</f>
      </c>
      <c r="H10118">
        <f>IF(DATOS!$G10118&lt;&gt;"EX",0,--(COUNTIFS(nNIA,DATOS!$A10118,nCURSO,DATOS!$D10118,nESPEC,DATOS!$E10118,nASIG,DATOS!$I10118,nEVAL,"OR")=0))</f>
      </c>
      <c r="I10118">
        <f>IF(DATOS!$I10118="","",IFERROR(VLOOKUP(DATOS!$I10118,CONFIG_ASIGNATURAS!$B$2:$J$91,9,FALSE()),""))</f>
      </c>
    </row>
    <row r="10119">
      <c r="F10119">
        <f>IF(DATOS!$A10119="","",DATOS!$A10119&amp;"|"&amp;DATOS!$D10119&amp;"|"&amp;DATOS!$E10119&amp;"|"&amp;DATOS!$I10119)</f>
      </c>
      <c r="G10119">
        <f>IF(DATOS!$A10119="",0,IF(CONFIG_METADATA!$B$4&lt;&gt;"OR+EX",--(DATOS!$G10119=CONFIG_METADATA!$B$4),IF(DATOS!$G10119="EX",1,IF(DATOS!$G10119="OR",--(COUNTIFS(nNIA,DATOS!$A10119,nCURSO,DATOS!$D10119,nESPEC,DATOS!$E10119,nASIG,DATOS!$I10119,nEVAL,"EX")=0),0))))</f>
      </c>
      <c r="H10119">
        <f>IF(DATOS!$G10119&lt;&gt;"EX",0,--(COUNTIFS(nNIA,DATOS!$A10119,nCURSO,DATOS!$D10119,nESPEC,DATOS!$E10119,nASIG,DATOS!$I10119,nEVAL,"OR")=0))</f>
      </c>
      <c r="I10119">
        <f>IF(DATOS!$I10119="","",IFERROR(VLOOKUP(DATOS!$I10119,CONFIG_ASIGNATURAS!$B$2:$J$91,9,FALSE()),""))</f>
      </c>
    </row>
    <row r="10120">
      <c r="F10120">
        <f>IF(DATOS!$A10120="","",DATOS!$A10120&amp;"|"&amp;DATOS!$D10120&amp;"|"&amp;DATOS!$E10120&amp;"|"&amp;DATOS!$I10120)</f>
      </c>
      <c r="G10120">
        <f>IF(DATOS!$A10120="",0,IF(CONFIG_METADATA!$B$4&lt;&gt;"OR+EX",--(DATOS!$G10120=CONFIG_METADATA!$B$4),IF(DATOS!$G10120="EX",1,IF(DATOS!$G10120="OR",--(COUNTIFS(nNIA,DATOS!$A10120,nCURSO,DATOS!$D10120,nESPEC,DATOS!$E10120,nASIG,DATOS!$I10120,nEVAL,"EX")=0),0))))</f>
      </c>
      <c r="H10120">
        <f>IF(DATOS!$G10120&lt;&gt;"EX",0,--(COUNTIFS(nNIA,DATOS!$A10120,nCURSO,DATOS!$D10120,nESPEC,DATOS!$E10120,nASIG,DATOS!$I10120,nEVAL,"OR")=0))</f>
      </c>
      <c r="I10120">
        <f>IF(DATOS!$I10120="","",IFERROR(VLOOKUP(DATOS!$I10120,CONFIG_ASIGNATURAS!$B$2:$J$91,9,FALSE()),""))</f>
      </c>
    </row>
    <row r="10121">
      <c r="F10121">
        <f>IF(DATOS!$A10121="","",DATOS!$A10121&amp;"|"&amp;DATOS!$D10121&amp;"|"&amp;DATOS!$E10121&amp;"|"&amp;DATOS!$I10121)</f>
      </c>
      <c r="G10121">
        <f>IF(DATOS!$A10121="",0,IF(CONFIG_METADATA!$B$4&lt;&gt;"OR+EX",--(DATOS!$G10121=CONFIG_METADATA!$B$4),IF(DATOS!$G10121="EX",1,IF(DATOS!$G10121="OR",--(COUNTIFS(nNIA,DATOS!$A10121,nCURSO,DATOS!$D10121,nESPEC,DATOS!$E10121,nASIG,DATOS!$I10121,nEVAL,"EX")=0),0))))</f>
      </c>
      <c r="H10121">
        <f>IF(DATOS!$G10121&lt;&gt;"EX",0,--(COUNTIFS(nNIA,DATOS!$A10121,nCURSO,DATOS!$D10121,nESPEC,DATOS!$E10121,nASIG,DATOS!$I10121,nEVAL,"OR")=0))</f>
      </c>
      <c r="I10121">
        <f>IF(DATOS!$I10121="","",IFERROR(VLOOKUP(DATOS!$I10121,CONFIG_ASIGNATURAS!$B$2:$J$91,9,FALSE()),""))</f>
      </c>
    </row>
    <row r="10122">
      <c r="F10122">
        <f>IF(DATOS!$A10122="","",DATOS!$A10122&amp;"|"&amp;DATOS!$D10122&amp;"|"&amp;DATOS!$E10122&amp;"|"&amp;DATOS!$I10122)</f>
      </c>
      <c r="G10122">
        <f>IF(DATOS!$A10122="",0,IF(CONFIG_METADATA!$B$4&lt;&gt;"OR+EX",--(DATOS!$G10122=CONFIG_METADATA!$B$4),IF(DATOS!$G10122="EX",1,IF(DATOS!$G10122="OR",--(COUNTIFS(nNIA,DATOS!$A10122,nCURSO,DATOS!$D10122,nESPEC,DATOS!$E10122,nASIG,DATOS!$I10122,nEVAL,"EX")=0),0))))</f>
      </c>
      <c r="H10122">
        <f>IF(DATOS!$G10122&lt;&gt;"EX",0,--(COUNTIFS(nNIA,DATOS!$A10122,nCURSO,DATOS!$D10122,nESPEC,DATOS!$E10122,nASIG,DATOS!$I10122,nEVAL,"OR")=0))</f>
      </c>
      <c r="I10122">
        <f>IF(DATOS!$I10122="","",IFERROR(VLOOKUP(DATOS!$I10122,CONFIG_ASIGNATURAS!$B$2:$J$91,9,FALSE()),""))</f>
      </c>
    </row>
    <row r="10123">
      <c r="F10123">
        <f>IF(DATOS!$A10123="","",DATOS!$A10123&amp;"|"&amp;DATOS!$D10123&amp;"|"&amp;DATOS!$E10123&amp;"|"&amp;DATOS!$I10123)</f>
      </c>
      <c r="G10123">
        <f>IF(DATOS!$A10123="",0,IF(CONFIG_METADATA!$B$4&lt;&gt;"OR+EX",--(DATOS!$G10123=CONFIG_METADATA!$B$4),IF(DATOS!$G10123="EX",1,IF(DATOS!$G10123="OR",--(COUNTIFS(nNIA,DATOS!$A10123,nCURSO,DATOS!$D10123,nESPEC,DATOS!$E10123,nASIG,DATOS!$I10123,nEVAL,"EX")=0),0))))</f>
      </c>
      <c r="H10123">
        <f>IF(DATOS!$G10123&lt;&gt;"EX",0,--(COUNTIFS(nNIA,DATOS!$A10123,nCURSO,DATOS!$D10123,nESPEC,DATOS!$E10123,nASIG,DATOS!$I10123,nEVAL,"OR")=0))</f>
      </c>
      <c r="I10123">
        <f>IF(DATOS!$I10123="","",IFERROR(VLOOKUP(DATOS!$I10123,CONFIG_ASIGNATURAS!$B$2:$J$91,9,FALSE()),""))</f>
      </c>
    </row>
    <row r="10124">
      <c r="F10124">
        <f>IF(DATOS!$A10124="","",DATOS!$A10124&amp;"|"&amp;DATOS!$D10124&amp;"|"&amp;DATOS!$E10124&amp;"|"&amp;DATOS!$I10124)</f>
      </c>
      <c r="G10124">
        <f>IF(DATOS!$A10124="",0,IF(CONFIG_METADATA!$B$4&lt;&gt;"OR+EX",--(DATOS!$G10124=CONFIG_METADATA!$B$4),IF(DATOS!$G10124="EX",1,IF(DATOS!$G10124="OR",--(COUNTIFS(nNIA,DATOS!$A10124,nCURSO,DATOS!$D10124,nESPEC,DATOS!$E10124,nASIG,DATOS!$I10124,nEVAL,"EX")=0),0))))</f>
      </c>
      <c r="H10124">
        <f>IF(DATOS!$G10124&lt;&gt;"EX",0,--(COUNTIFS(nNIA,DATOS!$A10124,nCURSO,DATOS!$D10124,nESPEC,DATOS!$E10124,nASIG,DATOS!$I10124,nEVAL,"OR")=0))</f>
      </c>
      <c r="I10124">
        <f>IF(DATOS!$I10124="","",IFERROR(VLOOKUP(DATOS!$I10124,CONFIG_ASIGNATURAS!$B$2:$J$91,9,FALSE()),""))</f>
      </c>
    </row>
    <row r="10125">
      <c r="F10125">
        <f>IF(DATOS!$A10125="","",DATOS!$A10125&amp;"|"&amp;DATOS!$D10125&amp;"|"&amp;DATOS!$E10125&amp;"|"&amp;DATOS!$I10125)</f>
      </c>
      <c r="G10125">
        <f>IF(DATOS!$A10125="",0,IF(CONFIG_METADATA!$B$4&lt;&gt;"OR+EX",--(DATOS!$G10125=CONFIG_METADATA!$B$4),IF(DATOS!$G10125="EX",1,IF(DATOS!$G10125="OR",--(COUNTIFS(nNIA,DATOS!$A10125,nCURSO,DATOS!$D10125,nESPEC,DATOS!$E10125,nASIG,DATOS!$I10125,nEVAL,"EX")=0),0))))</f>
      </c>
      <c r="H10125">
        <f>IF(DATOS!$G10125&lt;&gt;"EX",0,--(COUNTIFS(nNIA,DATOS!$A10125,nCURSO,DATOS!$D10125,nESPEC,DATOS!$E10125,nASIG,DATOS!$I10125,nEVAL,"OR")=0))</f>
      </c>
      <c r="I10125">
        <f>IF(DATOS!$I10125="","",IFERROR(VLOOKUP(DATOS!$I10125,CONFIG_ASIGNATURAS!$B$2:$J$91,9,FALSE()),""))</f>
      </c>
    </row>
    <row r="10126">
      <c r="F10126">
        <f>IF(DATOS!$A10126="","",DATOS!$A10126&amp;"|"&amp;DATOS!$D10126&amp;"|"&amp;DATOS!$E10126&amp;"|"&amp;DATOS!$I10126)</f>
      </c>
      <c r="G10126">
        <f>IF(DATOS!$A10126="",0,IF(CONFIG_METADATA!$B$4&lt;&gt;"OR+EX",--(DATOS!$G10126=CONFIG_METADATA!$B$4),IF(DATOS!$G10126="EX",1,IF(DATOS!$G10126="OR",--(COUNTIFS(nNIA,DATOS!$A10126,nCURSO,DATOS!$D10126,nESPEC,DATOS!$E10126,nASIG,DATOS!$I10126,nEVAL,"EX")=0),0))))</f>
      </c>
      <c r="H10126">
        <f>IF(DATOS!$G10126&lt;&gt;"EX",0,--(COUNTIFS(nNIA,DATOS!$A10126,nCURSO,DATOS!$D10126,nESPEC,DATOS!$E10126,nASIG,DATOS!$I10126,nEVAL,"OR")=0))</f>
      </c>
      <c r="I10126">
        <f>IF(DATOS!$I10126="","",IFERROR(VLOOKUP(DATOS!$I10126,CONFIG_ASIGNATURAS!$B$2:$J$91,9,FALSE()),""))</f>
      </c>
    </row>
    <row r="10127">
      <c r="F10127">
        <f>IF(DATOS!$A10127="","",DATOS!$A10127&amp;"|"&amp;DATOS!$D10127&amp;"|"&amp;DATOS!$E10127&amp;"|"&amp;DATOS!$I10127)</f>
      </c>
      <c r="G10127">
        <f>IF(DATOS!$A10127="",0,IF(CONFIG_METADATA!$B$4&lt;&gt;"OR+EX",--(DATOS!$G10127=CONFIG_METADATA!$B$4),IF(DATOS!$G10127="EX",1,IF(DATOS!$G10127="OR",--(COUNTIFS(nNIA,DATOS!$A10127,nCURSO,DATOS!$D10127,nESPEC,DATOS!$E10127,nASIG,DATOS!$I10127,nEVAL,"EX")=0),0))))</f>
      </c>
      <c r="H10127">
        <f>IF(DATOS!$G10127&lt;&gt;"EX",0,--(COUNTIFS(nNIA,DATOS!$A10127,nCURSO,DATOS!$D10127,nESPEC,DATOS!$E10127,nASIG,DATOS!$I10127,nEVAL,"OR")=0))</f>
      </c>
      <c r="I10127">
        <f>IF(DATOS!$I10127="","",IFERROR(VLOOKUP(DATOS!$I10127,CONFIG_ASIGNATURAS!$B$2:$J$91,9,FALSE()),""))</f>
      </c>
    </row>
    <row r="10128">
      <c r="F10128">
        <f>IF(DATOS!$A10128="","",DATOS!$A10128&amp;"|"&amp;DATOS!$D10128&amp;"|"&amp;DATOS!$E10128&amp;"|"&amp;DATOS!$I10128)</f>
      </c>
      <c r="G10128">
        <f>IF(DATOS!$A10128="",0,IF(CONFIG_METADATA!$B$4&lt;&gt;"OR+EX",--(DATOS!$G10128=CONFIG_METADATA!$B$4),IF(DATOS!$G10128="EX",1,IF(DATOS!$G10128="OR",--(COUNTIFS(nNIA,DATOS!$A10128,nCURSO,DATOS!$D10128,nESPEC,DATOS!$E10128,nASIG,DATOS!$I10128,nEVAL,"EX")=0),0))))</f>
      </c>
      <c r="H10128">
        <f>IF(DATOS!$G10128&lt;&gt;"EX",0,--(COUNTIFS(nNIA,DATOS!$A10128,nCURSO,DATOS!$D10128,nESPEC,DATOS!$E10128,nASIG,DATOS!$I10128,nEVAL,"OR")=0))</f>
      </c>
      <c r="I10128">
        <f>IF(DATOS!$I10128="","",IFERROR(VLOOKUP(DATOS!$I10128,CONFIG_ASIGNATURAS!$B$2:$J$91,9,FALSE()),""))</f>
      </c>
    </row>
    <row r="10129">
      <c r="F10129">
        <f>IF(DATOS!$A10129="","",DATOS!$A10129&amp;"|"&amp;DATOS!$D10129&amp;"|"&amp;DATOS!$E10129&amp;"|"&amp;DATOS!$I10129)</f>
      </c>
      <c r="G10129">
        <f>IF(DATOS!$A10129="",0,IF(CONFIG_METADATA!$B$4&lt;&gt;"OR+EX",--(DATOS!$G10129=CONFIG_METADATA!$B$4),IF(DATOS!$G10129="EX",1,IF(DATOS!$G10129="OR",--(COUNTIFS(nNIA,DATOS!$A10129,nCURSO,DATOS!$D10129,nESPEC,DATOS!$E10129,nASIG,DATOS!$I10129,nEVAL,"EX")=0),0))))</f>
      </c>
      <c r="H10129">
        <f>IF(DATOS!$G10129&lt;&gt;"EX",0,--(COUNTIFS(nNIA,DATOS!$A10129,nCURSO,DATOS!$D10129,nESPEC,DATOS!$E10129,nASIG,DATOS!$I10129,nEVAL,"OR")=0))</f>
      </c>
      <c r="I10129">
        <f>IF(DATOS!$I10129="","",IFERROR(VLOOKUP(DATOS!$I10129,CONFIG_ASIGNATURAS!$B$2:$J$91,9,FALSE()),""))</f>
      </c>
    </row>
    <row r="10130">
      <c r="F10130">
        <f>IF(DATOS!$A10130="","",DATOS!$A10130&amp;"|"&amp;DATOS!$D10130&amp;"|"&amp;DATOS!$E10130&amp;"|"&amp;DATOS!$I10130)</f>
      </c>
      <c r="G10130">
        <f>IF(DATOS!$A10130="",0,IF(CONFIG_METADATA!$B$4&lt;&gt;"OR+EX",--(DATOS!$G10130=CONFIG_METADATA!$B$4),IF(DATOS!$G10130="EX",1,IF(DATOS!$G10130="OR",--(COUNTIFS(nNIA,DATOS!$A10130,nCURSO,DATOS!$D10130,nESPEC,DATOS!$E10130,nASIG,DATOS!$I10130,nEVAL,"EX")=0),0))))</f>
      </c>
      <c r="H10130">
        <f>IF(DATOS!$G10130&lt;&gt;"EX",0,--(COUNTIFS(nNIA,DATOS!$A10130,nCURSO,DATOS!$D10130,nESPEC,DATOS!$E10130,nASIG,DATOS!$I10130,nEVAL,"OR")=0))</f>
      </c>
      <c r="I10130">
        <f>IF(DATOS!$I10130="","",IFERROR(VLOOKUP(DATOS!$I10130,CONFIG_ASIGNATURAS!$B$2:$J$91,9,FALSE()),""))</f>
      </c>
    </row>
    <row r="10131">
      <c r="F10131">
        <f>IF(DATOS!$A10131="","",DATOS!$A10131&amp;"|"&amp;DATOS!$D10131&amp;"|"&amp;DATOS!$E10131&amp;"|"&amp;DATOS!$I10131)</f>
      </c>
      <c r="G10131">
        <f>IF(DATOS!$A10131="",0,IF(CONFIG_METADATA!$B$4&lt;&gt;"OR+EX",--(DATOS!$G10131=CONFIG_METADATA!$B$4),IF(DATOS!$G10131="EX",1,IF(DATOS!$G10131="OR",--(COUNTIFS(nNIA,DATOS!$A10131,nCURSO,DATOS!$D10131,nESPEC,DATOS!$E10131,nASIG,DATOS!$I10131,nEVAL,"EX")=0),0))))</f>
      </c>
      <c r="H10131">
        <f>IF(DATOS!$G10131&lt;&gt;"EX",0,--(COUNTIFS(nNIA,DATOS!$A10131,nCURSO,DATOS!$D10131,nESPEC,DATOS!$E10131,nASIG,DATOS!$I10131,nEVAL,"OR")=0))</f>
      </c>
      <c r="I10131">
        <f>IF(DATOS!$I10131="","",IFERROR(VLOOKUP(DATOS!$I10131,CONFIG_ASIGNATURAS!$B$2:$J$91,9,FALSE()),""))</f>
      </c>
    </row>
    <row r="10132">
      <c r="F10132">
        <f>IF(DATOS!$A10132="","",DATOS!$A10132&amp;"|"&amp;DATOS!$D10132&amp;"|"&amp;DATOS!$E10132&amp;"|"&amp;DATOS!$I10132)</f>
      </c>
      <c r="G10132">
        <f>IF(DATOS!$A10132="",0,IF(CONFIG_METADATA!$B$4&lt;&gt;"OR+EX",--(DATOS!$G10132=CONFIG_METADATA!$B$4),IF(DATOS!$G10132="EX",1,IF(DATOS!$G10132="OR",--(COUNTIFS(nNIA,DATOS!$A10132,nCURSO,DATOS!$D10132,nESPEC,DATOS!$E10132,nASIG,DATOS!$I10132,nEVAL,"EX")=0),0))))</f>
      </c>
      <c r="H10132">
        <f>IF(DATOS!$G10132&lt;&gt;"EX",0,--(COUNTIFS(nNIA,DATOS!$A10132,nCURSO,DATOS!$D10132,nESPEC,DATOS!$E10132,nASIG,DATOS!$I10132,nEVAL,"OR")=0))</f>
      </c>
      <c r="I10132">
        <f>IF(DATOS!$I10132="","",IFERROR(VLOOKUP(DATOS!$I10132,CONFIG_ASIGNATURAS!$B$2:$J$91,9,FALSE()),""))</f>
      </c>
    </row>
    <row r="10133">
      <c r="F10133">
        <f>IF(DATOS!$A10133="","",DATOS!$A10133&amp;"|"&amp;DATOS!$D10133&amp;"|"&amp;DATOS!$E10133&amp;"|"&amp;DATOS!$I10133)</f>
      </c>
      <c r="G10133">
        <f>IF(DATOS!$A10133="",0,IF(CONFIG_METADATA!$B$4&lt;&gt;"OR+EX",--(DATOS!$G10133=CONFIG_METADATA!$B$4),IF(DATOS!$G10133="EX",1,IF(DATOS!$G10133="OR",--(COUNTIFS(nNIA,DATOS!$A10133,nCURSO,DATOS!$D10133,nESPEC,DATOS!$E10133,nASIG,DATOS!$I10133,nEVAL,"EX")=0),0))))</f>
      </c>
      <c r="H10133">
        <f>IF(DATOS!$G10133&lt;&gt;"EX",0,--(COUNTIFS(nNIA,DATOS!$A10133,nCURSO,DATOS!$D10133,nESPEC,DATOS!$E10133,nASIG,DATOS!$I10133,nEVAL,"OR")=0))</f>
      </c>
      <c r="I10133">
        <f>IF(DATOS!$I10133="","",IFERROR(VLOOKUP(DATOS!$I10133,CONFIG_ASIGNATURAS!$B$2:$J$91,9,FALSE()),""))</f>
      </c>
    </row>
    <row r="10134">
      <c r="F10134">
        <f>IF(DATOS!$A10134="","",DATOS!$A10134&amp;"|"&amp;DATOS!$D10134&amp;"|"&amp;DATOS!$E10134&amp;"|"&amp;DATOS!$I10134)</f>
      </c>
      <c r="G10134">
        <f>IF(DATOS!$A10134="",0,IF(CONFIG_METADATA!$B$4&lt;&gt;"OR+EX",--(DATOS!$G10134=CONFIG_METADATA!$B$4),IF(DATOS!$G10134="EX",1,IF(DATOS!$G10134="OR",--(COUNTIFS(nNIA,DATOS!$A10134,nCURSO,DATOS!$D10134,nESPEC,DATOS!$E10134,nASIG,DATOS!$I10134,nEVAL,"EX")=0),0))))</f>
      </c>
      <c r="H10134">
        <f>IF(DATOS!$G10134&lt;&gt;"EX",0,--(COUNTIFS(nNIA,DATOS!$A10134,nCURSO,DATOS!$D10134,nESPEC,DATOS!$E10134,nASIG,DATOS!$I10134,nEVAL,"OR")=0))</f>
      </c>
      <c r="I10134">
        <f>IF(DATOS!$I10134="","",IFERROR(VLOOKUP(DATOS!$I10134,CONFIG_ASIGNATURAS!$B$2:$J$91,9,FALSE()),""))</f>
      </c>
    </row>
    <row r="10135">
      <c r="F10135">
        <f>IF(DATOS!$A10135="","",DATOS!$A10135&amp;"|"&amp;DATOS!$D10135&amp;"|"&amp;DATOS!$E10135&amp;"|"&amp;DATOS!$I10135)</f>
      </c>
      <c r="G10135">
        <f>IF(DATOS!$A10135="",0,IF(CONFIG_METADATA!$B$4&lt;&gt;"OR+EX",--(DATOS!$G10135=CONFIG_METADATA!$B$4),IF(DATOS!$G10135="EX",1,IF(DATOS!$G10135="OR",--(COUNTIFS(nNIA,DATOS!$A10135,nCURSO,DATOS!$D10135,nESPEC,DATOS!$E10135,nASIG,DATOS!$I10135,nEVAL,"EX")=0),0))))</f>
      </c>
      <c r="H10135">
        <f>IF(DATOS!$G10135&lt;&gt;"EX",0,--(COUNTIFS(nNIA,DATOS!$A10135,nCURSO,DATOS!$D10135,nESPEC,DATOS!$E10135,nASIG,DATOS!$I10135,nEVAL,"OR")=0))</f>
      </c>
      <c r="I10135">
        <f>IF(DATOS!$I10135="","",IFERROR(VLOOKUP(DATOS!$I10135,CONFIG_ASIGNATURAS!$B$2:$J$91,9,FALSE()),""))</f>
      </c>
    </row>
    <row r="10136">
      <c r="F10136">
        <f>IF(DATOS!$A10136="","",DATOS!$A10136&amp;"|"&amp;DATOS!$D10136&amp;"|"&amp;DATOS!$E10136&amp;"|"&amp;DATOS!$I10136)</f>
      </c>
      <c r="G10136">
        <f>IF(DATOS!$A10136="",0,IF(CONFIG_METADATA!$B$4&lt;&gt;"OR+EX",--(DATOS!$G10136=CONFIG_METADATA!$B$4),IF(DATOS!$G10136="EX",1,IF(DATOS!$G10136="OR",--(COUNTIFS(nNIA,DATOS!$A10136,nCURSO,DATOS!$D10136,nESPEC,DATOS!$E10136,nASIG,DATOS!$I10136,nEVAL,"EX")=0),0))))</f>
      </c>
      <c r="H10136">
        <f>IF(DATOS!$G10136&lt;&gt;"EX",0,--(COUNTIFS(nNIA,DATOS!$A10136,nCURSO,DATOS!$D10136,nESPEC,DATOS!$E10136,nASIG,DATOS!$I10136,nEVAL,"OR")=0))</f>
      </c>
      <c r="I10136">
        <f>IF(DATOS!$I10136="","",IFERROR(VLOOKUP(DATOS!$I10136,CONFIG_ASIGNATURAS!$B$2:$J$91,9,FALSE()),""))</f>
      </c>
    </row>
    <row r="10137">
      <c r="F10137">
        <f>IF(DATOS!$A10137="","",DATOS!$A10137&amp;"|"&amp;DATOS!$D10137&amp;"|"&amp;DATOS!$E10137&amp;"|"&amp;DATOS!$I10137)</f>
      </c>
      <c r="G10137">
        <f>IF(DATOS!$A10137="",0,IF(CONFIG_METADATA!$B$4&lt;&gt;"OR+EX",--(DATOS!$G10137=CONFIG_METADATA!$B$4),IF(DATOS!$G10137="EX",1,IF(DATOS!$G10137="OR",--(COUNTIFS(nNIA,DATOS!$A10137,nCURSO,DATOS!$D10137,nESPEC,DATOS!$E10137,nASIG,DATOS!$I10137,nEVAL,"EX")=0),0))))</f>
      </c>
      <c r="H10137">
        <f>IF(DATOS!$G10137&lt;&gt;"EX",0,--(COUNTIFS(nNIA,DATOS!$A10137,nCURSO,DATOS!$D10137,nESPEC,DATOS!$E10137,nASIG,DATOS!$I10137,nEVAL,"OR")=0))</f>
      </c>
      <c r="I10137">
        <f>IF(DATOS!$I10137="","",IFERROR(VLOOKUP(DATOS!$I10137,CONFIG_ASIGNATURAS!$B$2:$J$91,9,FALSE()),""))</f>
      </c>
    </row>
    <row r="10138">
      <c r="F10138">
        <f>IF(DATOS!$A10138="","",DATOS!$A10138&amp;"|"&amp;DATOS!$D10138&amp;"|"&amp;DATOS!$E10138&amp;"|"&amp;DATOS!$I10138)</f>
      </c>
      <c r="G10138">
        <f>IF(DATOS!$A10138="",0,IF(CONFIG_METADATA!$B$4&lt;&gt;"OR+EX",--(DATOS!$G10138=CONFIG_METADATA!$B$4),IF(DATOS!$G10138="EX",1,IF(DATOS!$G10138="OR",--(COUNTIFS(nNIA,DATOS!$A10138,nCURSO,DATOS!$D10138,nESPEC,DATOS!$E10138,nASIG,DATOS!$I10138,nEVAL,"EX")=0),0))))</f>
      </c>
      <c r="H10138">
        <f>IF(DATOS!$G10138&lt;&gt;"EX",0,--(COUNTIFS(nNIA,DATOS!$A10138,nCURSO,DATOS!$D10138,nESPEC,DATOS!$E10138,nASIG,DATOS!$I10138,nEVAL,"OR")=0))</f>
      </c>
      <c r="I10138">
        <f>IF(DATOS!$I10138="","",IFERROR(VLOOKUP(DATOS!$I10138,CONFIG_ASIGNATURAS!$B$2:$J$91,9,FALSE()),""))</f>
      </c>
    </row>
    <row r="10139">
      <c r="F10139">
        <f>IF(DATOS!$A10139="","",DATOS!$A10139&amp;"|"&amp;DATOS!$D10139&amp;"|"&amp;DATOS!$E10139&amp;"|"&amp;DATOS!$I10139)</f>
      </c>
      <c r="G10139">
        <f>IF(DATOS!$A10139="",0,IF(CONFIG_METADATA!$B$4&lt;&gt;"OR+EX",--(DATOS!$G10139=CONFIG_METADATA!$B$4),IF(DATOS!$G10139="EX",1,IF(DATOS!$G10139="OR",--(COUNTIFS(nNIA,DATOS!$A10139,nCURSO,DATOS!$D10139,nESPEC,DATOS!$E10139,nASIG,DATOS!$I10139,nEVAL,"EX")=0),0))))</f>
      </c>
      <c r="H10139">
        <f>IF(DATOS!$G10139&lt;&gt;"EX",0,--(COUNTIFS(nNIA,DATOS!$A10139,nCURSO,DATOS!$D10139,nESPEC,DATOS!$E10139,nASIG,DATOS!$I10139,nEVAL,"OR")=0))</f>
      </c>
      <c r="I10139">
        <f>IF(DATOS!$I10139="","",IFERROR(VLOOKUP(DATOS!$I10139,CONFIG_ASIGNATURAS!$B$2:$J$91,9,FALSE()),""))</f>
      </c>
    </row>
    <row r="10140">
      <c r="F10140">
        <f>IF(DATOS!$A10140="","",DATOS!$A10140&amp;"|"&amp;DATOS!$D10140&amp;"|"&amp;DATOS!$E10140&amp;"|"&amp;DATOS!$I10140)</f>
      </c>
      <c r="G10140">
        <f>IF(DATOS!$A10140="",0,IF(CONFIG_METADATA!$B$4&lt;&gt;"OR+EX",--(DATOS!$G10140=CONFIG_METADATA!$B$4),IF(DATOS!$G10140="EX",1,IF(DATOS!$G10140="OR",--(COUNTIFS(nNIA,DATOS!$A10140,nCURSO,DATOS!$D10140,nESPEC,DATOS!$E10140,nASIG,DATOS!$I10140,nEVAL,"EX")=0),0))))</f>
      </c>
      <c r="H10140">
        <f>IF(DATOS!$G10140&lt;&gt;"EX",0,--(COUNTIFS(nNIA,DATOS!$A10140,nCURSO,DATOS!$D10140,nESPEC,DATOS!$E10140,nASIG,DATOS!$I10140,nEVAL,"OR")=0))</f>
      </c>
      <c r="I10140">
        <f>IF(DATOS!$I10140="","",IFERROR(VLOOKUP(DATOS!$I10140,CONFIG_ASIGNATURAS!$B$2:$J$91,9,FALSE()),""))</f>
      </c>
    </row>
    <row r="10141">
      <c r="F10141">
        <f>IF(DATOS!$A10141="","",DATOS!$A10141&amp;"|"&amp;DATOS!$D10141&amp;"|"&amp;DATOS!$E10141&amp;"|"&amp;DATOS!$I10141)</f>
      </c>
      <c r="G10141">
        <f>IF(DATOS!$A10141="",0,IF(CONFIG_METADATA!$B$4&lt;&gt;"OR+EX",--(DATOS!$G10141=CONFIG_METADATA!$B$4),IF(DATOS!$G10141="EX",1,IF(DATOS!$G10141="OR",--(COUNTIFS(nNIA,DATOS!$A10141,nCURSO,DATOS!$D10141,nESPEC,DATOS!$E10141,nASIG,DATOS!$I10141,nEVAL,"EX")=0),0))))</f>
      </c>
      <c r="H10141">
        <f>IF(DATOS!$G10141&lt;&gt;"EX",0,--(COUNTIFS(nNIA,DATOS!$A10141,nCURSO,DATOS!$D10141,nESPEC,DATOS!$E10141,nASIG,DATOS!$I10141,nEVAL,"OR")=0))</f>
      </c>
      <c r="I10141">
        <f>IF(DATOS!$I10141="","",IFERROR(VLOOKUP(DATOS!$I10141,CONFIG_ASIGNATURAS!$B$2:$J$91,9,FALSE()),""))</f>
      </c>
    </row>
    <row r="10142">
      <c r="F10142">
        <f>IF(DATOS!$A10142="","",DATOS!$A10142&amp;"|"&amp;DATOS!$D10142&amp;"|"&amp;DATOS!$E10142&amp;"|"&amp;DATOS!$I10142)</f>
      </c>
      <c r="G10142">
        <f>IF(DATOS!$A10142="",0,IF(CONFIG_METADATA!$B$4&lt;&gt;"OR+EX",--(DATOS!$G10142=CONFIG_METADATA!$B$4),IF(DATOS!$G10142="EX",1,IF(DATOS!$G10142="OR",--(COUNTIFS(nNIA,DATOS!$A10142,nCURSO,DATOS!$D10142,nESPEC,DATOS!$E10142,nASIG,DATOS!$I10142,nEVAL,"EX")=0),0))))</f>
      </c>
      <c r="H10142">
        <f>IF(DATOS!$G10142&lt;&gt;"EX",0,--(COUNTIFS(nNIA,DATOS!$A10142,nCURSO,DATOS!$D10142,nESPEC,DATOS!$E10142,nASIG,DATOS!$I10142,nEVAL,"OR")=0))</f>
      </c>
      <c r="I10142">
        <f>IF(DATOS!$I10142="","",IFERROR(VLOOKUP(DATOS!$I10142,CONFIG_ASIGNATURAS!$B$2:$J$91,9,FALSE()),""))</f>
      </c>
    </row>
    <row r="10143">
      <c r="F10143">
        <f>IF(DATOS!$A10143="","",DATOS!$A10143&amp;"|"&amp;DATOS!$D10143&amp;"|"&amp;DATOS!$E10143&amp;"|"&amp;DATOS!$I10143)</f>
      </c>
      <c r="G10143">
        <f>IF(DATOS!$A10143="",0,IF(CONFIG_METADATA!$B$4&lt;&gt;"OR+EX",--(DATOS!$G10143=CONFIG_METADATA!$B$4),IF(DATOS!$G10143="EX",1,IF(DATOS!$G10143="OR",--(COUNTIFS(nNIA,DATOS!$A10143,nCURSO,DATOS!$D10143,nESPEC,DATOS!$E10143,nASIG,DATOS!$I10143,nEVAL,"EX")=0),0))))</f>
      </c>
      <c r="H10143">
        <f>IF(DATOS!$G10143&lt;&gt;"EX",0,--(COUNTIFS(nNIA,DATOS!$A10143,nCURSO,DATOS!$D10143,nESPEC,DATOS!$E10143,nASIG,DATOS!$I10143,nEVAL,"OR")=0))</f>
      </c>
      <c r="I10143">
        <f>IF(DATOS!$I10143="","",IFERROR(VLOOKUP(DATOS!$I10143,CONFIG_ASIGNATURAS!$B$2:$J$91,9,FALSE()),""))</f>
      </c>
    </row>
    <row r="10144">
      <c r="F10144">
        <f>IF(DATOS!$A10144="","",DATOS!$A10144&amp;"|"&amp;DATOS!$D10144&amp;"|"&amp;DATOS!$E10144&amp;"|"&amp;DATOS!$I10144)</f>
      </c>
      <c r="G10144">
        <f>IF(DATOS!$A10144="",0,IF(CONFIG_METADATA!$B$4&lt;&gt;"OR+EX",--(DATOS!$G10144=CONFIG_METADATA!$B$4),IF(DATOS!$G10144="EX",1,IF(DATOS!$G10144="OR",--(COUNTIFS(nNIA,DATOS!$A10144,nCURSO,DATOS!$D10144,nESPEC,DATOS!$E10144,nASIG,DATOS!$I10144,nEVAL,"EX")=0),0))))</f>
      </c>
      <c r="H10144">
        <f>IF(DATOS!$G10144&lt;&gt;"EX",0,--(COUNTIFS(nNIA,DATOS!$A10144,nCURSO,DATOS!$D10144,nESPEC,DATOS!$E10144,nASIG,DATOS!$I10144,nEVAL,"OR")=0))</f>
      </c>
      <c r="I10144">
        <f>IF(DATOS!$I10144="","",IFERROR(VLOOKUP(DATOS!$I10144,CONFIG_ASIGNATURAS!$B$2:$J$91,9,FALSE()),""))</f>
      </c>
    </row>
    <row r="10145">
      <c r="F10145">
        <f>IF(DATOS!$A10145="","",DATOS!$A10145&amp;"|"&amp;DATOS!$D10145&amp;"|"&amp;DATOS!$E10145&amp;"|"&amp;DATOS!$I10145)</f>
      </c>
      <c r="G10145">
        <f>IF(DATOS!$A10145="",0,IF(CONFIG_METADATA!$B$4&lt;&gt;"OR+EX",--(DATOS!$G10145=CONFIG_METADATA!$B$4),IF(DATOS!$G10145="EX",1,IF(DATOS!$G10145="OR",--(COUNTIFS(nNIA,DATOS!$A10145,nCURSO,DATOS!$D10145,nESPEC,DATOS!$E10145,nASIG,DATOS!$I10145,nEVAL,"EX")=0),0))))</f>
      </c>
      <c r="H10145">
        <f>IF(DATOS!$G10145&lt;&gt;"EX",0,--(COUNTIFS(nNIA,DATOS!$A10145,nCURSO,DATOS!$D10145,nESPEC,DATOS!$E10145,nASIG,DATOS!$I10145,nEVAL,"OR")=0))</f>
      </c>
      <c r="I10145">
        <f>IF(DATOS!$I10145="","",IFERROR(VLOOKUP(DATOS!$I10145,CONFIG_ASIGNATURAS!$B$2:$J$91,9,FALSE()),""))</f>
      </c>
    </row>
    <row r="10146">
      <c r="F10146">
        <f>IF(DATOS!$A10146="","",DATOS!$A10146&amp;"|"&amp;DATOS!$D10146&amp;"|"&amp;DATOS!$E10146&amp;"|"&amp;DATOS!$I10146)</f>
      </c>
      <c r="G10146">
        <f>IF(DATOS!$A10146="",0,IF(CONFIG_METADATA!$B$4&lt;&gt;"OR+EX",--(DATOS!$G10146=CONFIG_METADATA!$B$4),IF(DATOS!$G10146="EX",1,IF(DATOS!$G10146="OR",--(COUNTIFS(nNIA,DATOS!$A10146,nCURSO,DATOS!$D10146,nESPEC,DATOS!$E10146,nASIG,DATOS!$I10146,nEVAL,"EX")=0),0))))</f>
      </c>
      <c r="H10146">
        <f>IF(DATOS!$G10146&lt;&gt;"EX",0,--(COUNTIFS(nNIA,DATOS!$A10146,nCURSO,DATOS!$D10146,nESPEC,DATOS!$E10146,nASIG,DATOS!$I10146,nEVAL,"OR")=0))</f>
      </c>
      <c r="I10146">
        <f>IF(DATOS!$I10146="","",IFERROR(VLOOKUP(DATOS!$I10146,CONFIG_ASIGNATURAS!$B$2:$J$91,9,FALSE()),""))</f>
      </c>
    </row>
    <row r="10147">
      <c r="F10147">
        <f>IF(DATOS!$A10147="","",DATOS!$A10147&amp;"|"&amp;DATOS!$D10147&amp;"|"&amp;DATOS!$E10147&amp;"|"&amp;DATOS!$I10147)</f>
      </c>
      <c r="G10147">
        <f>IF(DATOS!$A10147="",0,IF(CONFIG_METADATA!$B$4&lt;&gt;"OR+EX",--(DATOS!$G10147=CONFIG_METADATA!$B$4),IF(DATOS!$G10147="EX",1,IF(DATOS!$G10147="OR",--(COUNTIFS(nNIA,DATOS!$A10147,nCURSO,DATOS!$D10147,nESPEC,DATOS!$E10147,nASIG,DATOS!$I10147,nEVAL,"EX")=0),0))))</f>
      </c>
      <c r="H10147">
        <f>IF(DATOS!$G10147&lt;&gt;"EX",0,--(COUNTIFS(nNIA,DATOS!$A10147,nCURSO,DATOS!$D10147,nESPEC,DATOS!$E10147,nASIG,DATOS!$I10147,nEVAL,"OR")=0))</f>
      </c>
      <c r="I10147">
        <f>IF(DATOS!$I10147="","",IFERROR(VLOOKUP(DATOS!$I10147,CONFIG_ASIGNATURAS!$B$2:$J$91,9,FALSE()),""))</f>
      </c>
    </row>
    <row r="10148">
      <c r="F10148">
        <f>IF(DATOS!$A10148="","",DATOS!$A10148&amp;"|"&amp;DATOS!$D10148&amp;"|"&amp;DATOS!$E10148&amp;"|"&amp;DATOS!$I10148)</f>
      </c>
      <c r="G10148">
        <f>IF(DATOS!$A10148="",0,IF(CONFIG_METADATA!$B$4&lt;&gt;"OR+EX",--(DATOS!$G10148=CONFIG_METADATA!$B$4),IF(DATOS!$G10148="EX",1,IF(DATOS!$G10148="OR",--(COUNTIFS(nNIA,DATOS!$A10148,nCURSO,DATOS!$D10148,nESPEC,DATOS!$E10148,nASIG,DATOS!$I10148,nEVAL,"EX")=0),0))))</f>
      </c>
      <c r="H10148">
        <f>IF(DATOS!$G10148&lt;&gt;"EX",0,--(COUNTIFS(nNIA,DATOS!$A10148,nCURSO,DATOS!$D10148,nESPEC,DATOS!$E10148,nASIG,DATOS!$I10148,nEVAL,"OR")=0))</f>
      </c>
      <c r="I10148">
        <f>IF(DATOS!$I10148="","",IFERROR(VLOOKUP(DATOS!$I10148,CONFIG_ASIGNATURAS!$B$2:$J$91,9,FALSE()),""))</f>
      </c>
    </row>
    <row r="10149">
      <c r="F10149">
        <f>IF(DATOS!$A10149="","",DATOS!$A10149&amp;"|"&amp;DATOS!$D10149&amp;"|"&amp;DATOS!$E10149&amp;"|"&amp;DATOS!$I10149)</f>
      </c>
      <c r="G10149">
        <f>IF(DATOS!$A10149="",0,IF(CONFIG_METADATA!$B$4&lt;&gt;"OR+EX",--(DATOS!$G10149=CONFIG_METADATA!$B$4),IF(DATOS!$G10149="EX",1,IF(DATOS!$G10149="OR",--(COUNTIFS(nNIA,DATOS!$A10149,nCURSO,DATOS!$D10149,nESPEC,DATOS!$E10149,nASIG,DATOS!$I10149,nEVAL,"EX")=0),0))))</f>
      </c>
      <c r="H10149">
        <f>IF(DATOS!$G10149&lt;&gt;"EX",0,--(COUNTIFS(nNIA,DATOS!$A10149,nCURSO,DATOS!$D10149,nESPEC,DATOS!$E10149,nASIG,DATOS!$I10149,nEVAL,"OR")=0))</f>
      </c>
      <c r="I10149">
        <f>IF(DATOS!$I10149="","",IFERROR(VLOOKUP(DATOS!$I10149,CONFIG_ASIGNATURAS!$B$2:$J$91,9,FALSE()),""))</f>
      </c>
    </row>
    <row r="10150">
      <c r="F10150">
        <f>IF(DATOS!$A10150="","",DATOS!$A10150&amp;"|"&amp;DATOS!$D10150&amp;"|"&amp;DATOS!$E10150&amp;"|"&amp;DATOS!$I10150)</f>
      </c>
      <c r="G10150">
        <f>IF(DATOS!$A10150="",0,IF(CONFIG_METADATA!$B$4&lt;&gt;"OR+EX",--(DATOS!$G10150=CONFIG_METADATA!$B$4),IF(DATOS!$G10150="EX",1,IF(DATOS!$G10150="OR",--(COUNTIFS(nNIA,DATOS!$A10150,nCURSO,DATOS!$D10150,nESPEC,DATOS!$E10150,nASIG,DATOS!$I10150,nEVAL,"EX")=0),0))))</f>
      </c>
      <c r="H10150">
        <f>IF(DATOS!$G10150&lt;&gt;"EX",0,--(COUNTIFS(nNIA,DATOS!$A10150,nCURSO,DATOS!$D10150,nESPEC,DATOS!$E10150,nASIG,DATOS!$I10150,nEVAL,"OR")=0))</f>
      </c>
      <c r="I10150">
        <f>IF(DATOS!$I10150="","",IFERROR(VLOOKUP(DATOS!$I10150,CONFIG_ASIGNATURAS!$B$2:$J$91,9,FALSE()),""))</f>
      </c>
    </row>
    <row r="10151">
      <c r="F10151">
        <f>IF(DATOS!$A10151="","",DATOS!$A10151&amp;"|"&amp;DATOS!$D10151&amp;"|"&amp;DATOS!$E10151&amp;"|"&amp;DATOS!$I10151)</f>
      </c>
      <c r="G10151">
        <f>IF(DATOS!$A10151="",0,IF(CONFIG_METADATA!$B$4&lt;&gt;"OR+EX",--(DATOS!$G10151=CONFIG_METADATA!$B$4),IF(DATOS!$G10151="EX",1,IF(DATOS!$G10151="OR",--(COUNTIFS(nNIA,DATOS!$A10151,nCURSO,DATOS!$D10151,nESPEC,DATOS!$E10151,nASIG,DATOS!$I10151,nEVAL,"EX")=0),0))))</f>
      </c>
      <c r="H10151">
        <f>IF(DATOS!$G10151&lt;&gt;"EX",0,--(COUNTIFS(nNIA,DATOS!$A10151,nCURSO,DATOS!$D10151,nESPEC,DATOS!$E10151,nASIG,DATOS!$I10151,nEVAL,"OR")=0))</f>
      </c>
      <c r="I10151">
        <f>IF(DATOS!$I10151="","",IFERROR(VLOOKUP(DATOS!$I10151,CONFIG_ASIGNATURAS!$B$2:$J$91,9,FALSE()),""))</f>
      </c>
    </row>
    <row r="10152">
      <c r="F10152">
        <f>IF(DATOS!$A10152="","",DATOS!$A10152&amp;"|"&amp;DATOS!$D10152&amp;"|"&amp;DATOS!$E10152&amp;"|"&amp;DATOS!$I10152)</f>
      </c>
      <c r="G10152">
        <f>IF(DATOS!$A10152="",0,IF(CONFIG_METADATA!$B$4&lt;&gt;"OR+EX",--(DATOS!$G10152=CONFIG_METADATA!$B$4),IF(DATOS!$G10152="EX",1,IF(DATOS!$G10152="OR",--(COUNTIFS(nNIA,DATOS!$A10152,nCURSO,DATOS!$D10152,nESPEC,DATOS!$E10152,nASIG,DATOS!$I10152,nEVAL,"EX")=0),0))))</f>
      </c>
      <c r="H10152">
        <f>IF(DATOS!$G10152&lt;&gt;"EX",0,--(COUNTIFS(nNIA,DATOS!$A10152,nCURSO,DATOS!$D10152,nESPEC,DATOS!$E10152,nASIG,DATOS!$I10152,nEVAL,"OR")=0))</f>
      </c>
      <c r="I10152">
        <f>IF(DATOS!$I10152="","",IFERROR(VLOOKUP(DATOS!$I10152,CONFIG_ASIGNATURAS!$B$2:$J$91,9,FALSE()),""))</f>
      </c>
    </row>
    <row r="10153">
      <c r="F10153">
        <f>IF(DATOS!$A10153="","",DATOS!$A10153&amp;"|"&amp;DATOS!$D10153&amp;"|"&amp;DATOS!$E10153&amp;"|"&amp;DATOS!$I10153)</f>
      </c>
      <c r="G10153">
        <f>IF(DATOS!$A10153="",0,IF(CONFIG_METADATA!$B$4&lt;&gt;"OR+EX",--(DATOS!$G10153=CONFIG_METADATA!$B$4),IF(DATOS!$G10153="EX",1,IF(DATOS!$G10153="OR",--(COUNTIFS(nNIA,DATOS!$A10153,nCURSO,DATOS!$D10153,nESPEC,DATOS!$E10153,nASIG,DATOS!$I10153,nEVAL,"EX")=0),0))))</f>
      </c>
      <c r="H10153">
        <f>IF(DATOS!$G10153&lt;&gt;"EX",0,--(COUNTIFS(nNIA,DATOS!$A10153,nCURSO,DATOS!$D10153,nESPEC,DATOS!$E10153,nASIG,DATOS!$I10153,nEVAL,"OR")=0))</f>
      </c>
      <c r="I10153">
        <f>IF(DATOS!$I10153="","",IFERROR(VLOOKUP(DATOS!$I10153,CONFIG_ASIGNATURAS!$B$2:$J$91,9,FALSE()),""))</f>
      </c>
    </row>
    <row r="10154">
      <c r="F10154">
        <f>IF(DATOS!$A10154="","",DATOS!$A10154&amp;"|"&amp;DATOS!$D10154&amp;"|"&amp;DATOS!$E10154&amp;"|"&amp;DATOS!$I10154)</f>
      </c>
      <c r="G10154">
        <f>IF(DATOS!$A10154="",0,IF(CONFIG_METADATA!$B$4&lt;&gt;"OR+EX",--(DATOS!$G10154=CONFIG_METADATA!$B$4),IF(DATOS!$G10154="EX",1,IF(DATOS!$G10154="OR",--(COUNTIFS(nNIA,DATOS!$A10154,nCURSO,DATOS!$D10154,nESPEC,DATOS!$E10154,nASIG,DATOS!$I10154,nEVAL,"EX")=0),0))))</f>
      </c>
      <c r="H10154">
        <f>IF(DATOS!$G10154&lt;&gt;"EX",0,--(COUNTIFS(nNIA,DATOS!$A10154,nCURSO,DATOS!$D10154,nESPEC,DATOS!$E10154,nASIG,DATOS!$I10154,nEVAL,"OR")=0))</f>
      </c>
      <c r="I10154">
        <f>IF(DATOS!$I10154="","",IFERROR(VLOOKUP(DATOS!$I10154,CONFIG_ASIGNATURAS!$B$2:$J$91,9,FALSE()),""))</f>
      </c>
    </row>
    <row r="10155">
      <c r="F10155">
        <f>IF(DATOS!$A10155="","",DATOS!$A10155&amp;"|"&amp;DATOS!$D10155&amp;"|"&amp;DATOS!$E10155&amp;"|"&amp;DATOS!$I10155)</f>
      </c>
      <c r="G10155">
        <f>IF(DATOS!$A10155="",0,IF(CONFIG_METADATA!$B$4&lt;&gt;"OR+EX",--(DATOS!$G10155=CONFIG_METADATA!$B$4),IF(DATOS!$G10155="EX",1,IF(DATOS!$G10155="OR",--(COUNTIFS(nNIA,DATOS!$A10155,nCURSO,DATOS!$D10155,nESPEC,DATOS!$E10155,nASIG,DATOS!$I10155,nEVAL,"EX")=0),0))))</f>
      </c>
      <c r="H10155">
        <f>IF(DATOS!$G10155&lt;&gt;"EX",0,--(COUNTIFS(nNIA,DATOS!$A10155,nCURSO,DATOS!$D10155,nESPEC,DATOS!$E10155,nASIG,DATOS!$I10155,nEVAL,"OR")=0))</f>
      </c>
      <c r="I10155">
        <f>IF(DATOS!$I10155="","",IFERROR(VLOOKUP(DATOS!$I10155,CONFIG_ASIGNATURAS!$B$2:$J$91,9,FALSE()),""))</f>
      </c>
    </row>
    <row r="10156">
      <c r="F10156">
        <f>IF(DATOS!$A10156="","",DATOS!$A10156&amp;"|"&amp;DATOS!$D10156&amp;"|"&amp;DATOS!$E10156&amp;"|"&amp;DATOS!$I10156)</f>
      </c>
      <c r="G10156">
        <f>IF(DATOS!$A10156="",0,IF(CONFIG_METADATA!$B$4&lt;&gt;"OR+EX",--(DATOS!$G10156=CONFIG_METADATA!$B$4),IF(DATOS!$G10156="EX",1,IF(DATOS!$G10156="OR",--(COUNTIFS(nNIA,DATOS!$A10156,nCURSO,DATOS!$D10156,nESPEC,DATOS!$E10156,nASIG,DATOS!$I10156,nEVAL,"EX")=0),0))))</f>
      </c>
      <c r="H10156">
        <f>IF(DATOS!$G10156&lt;&gt;"EX",0,--(COUNTIFS(nNIA,DATOS!$A10156,nCURSO,DATOS!$D10156,nESPEC,DATOS!$E10156,nASIG,DATOS!$I10156,nEVAL,"OR")=0))</f>
      </c>
      <c r="I10156">
        <f>IF(DATOS!$I10156="","",IFERROR(VLOOKUP(DATOS!$I10156,CONFIG_ASIGNATURAS!$B$2:$J$91,9,FALSE()),""))</f>
      </c>
    </row>
    <row r="10157">
      <c r="F10157">
        <f>IF(DATOS!$A10157="","",DATOS!$A10157&amp;"|"&amp;DATOS!$D10157&amp;"|"&amp;DATOS!$E10157&amp;"|"&amp;DATOS!$I10157)</f>
      </c>
      <c r="G10157">
        <f>IF(DATOS!$A10157="",0,IF(CONFIG_METADATA!$B$4&lt;&gt;"OR+EX",--(DATOS!$G10157=CONFIG_METADATA!$B$4),IF(DATOS!$G10157="EX",1,IF(DATOS!$G10157="OR",--(COUNTIFS(nNIA,DATOS!$A10157,nCURSO,DATOS!$D10157,nESPEC,DATOS!$E10157,nASIG,DATOS!$I10157,nEVAL,"EX")=0),0))))</f>
      </c>
      <c r="H10157">
        <f>IF(DATOS!$G10157&lt;&gt;"EX",0,--(COUNTIFS(nNIA,DATOS!$A10157,nCURSO,DATOS!$D10157,nESPEC,DATOS!$E10157,nASIG,DATOS!$I10157,nEVAL,"OR")=0))</f>
      </c>
      <c r="I10157">
        <f>IF(DATOS!$I10157="","",IFERROR(VLOOKUP(DATOS!$I10157,CONFIG_ASIGNATURAS!$B$2:$J$91,9,FALSE()),""))</f>
      </c>
    </row>
    <row r="10158">
      <c r="F10158">
        <f>IF(DATOS!$A10158="","",DATOS!$A10158&amp;"|"&amp;DATOS!$D10158&amp;"|"&amp;DATOS!$E10158&amp;"|"&amp;DATOS!$I10158)</f>
      </c>
      <c r="G10158">
        <f>IF(DATOS!$A10158="",0,IF(CONFIG_METADATA!$B$4&lt;&gt;"OR+EX",--(DATOS!$G10158=CONFIG_METADATA!$B$4),IF(DATOS!$G10158="EX",1,IF(DATOS!$G10158="OR",--(COUNTIFS(nNIA,DATOS!$A10158,nCURSO,DATOS!$D10158,nESPEC,DATOS!$E10158,nASIG,DATOS!$I10158,nEVAL,"EX")=0),0))))</f>
      </c>
      <c r="H10158">
        <f>IF(DATOS!$G10158&lt;&gt;"EX",0,--(COUNTIFS(nNIA,DATOS!$A10158,nCURSO,DATOS!$D10158,nESPEC,DATOS!$E10158,nASIG,DATOS!$I10158,nEVAL,"OR")=0))</f>
      </c>
      <c r="I10158">
        <f>IF(DATOS!$I10158="","",IFERROR(VLOOKUP(DATOS!$I10158,CONFIG_ASIGNATURAS!$B$2:$J$91,9,FALSE()),""))</f>
      </c>
    </row>
    <row r="10159">
      <c r="F10159">
        <f>IF(DATOS!$A10159="","",DATOS!$A10159&amp;"|"&amp;DATOS!$D10159&amp;"|"&amp;DATOS!$E10159&amp;"|"&amp;DATOS!$I10159)</f>
      </c>
      <c r="G10159">
        <f>IF(DATOS!$A10159="",0,IF(CONFIG_METADATA!$B$4&lt;&gt;"OR+EX",--(DATOS!$G10159=CONFIG_METADATA!$B$4),IF(DATOS!$G10159="EX",1,IF(DATOS!$G10159="OR",--(COUNTIFS(nNIA,DATOS!$A10159,nCURSO,DATOS!$D10159,nESPEC,DATOS!$E10159,nASIG,DATOS!$I10159,nEVAL,"EX")=0),0))))</f>
      </c>
      <c r="H10159">
        <f>IF(DATOS!$G10159&lt;&gt;"EX",0,--(COUNTIFS(nNIA,DATOS!$A10159,nCURSO,DATOS!$D10159,nESPEC,DATOS!$E10159,nASIG,DATOS!$I10159,nEVAL,"OR")=0))</f>
      </c>
      <c r="I10159">
        <f>IF(DATOS!$I10159="","",IFERROR(VLOOKUP(DATOS!$I10159,CONFIG_ASIGNATURAS!$B$2:$J$91,9,FALSE()),""))</f>
      </c>
    </row>
    <row r="10160">
      <c r="F10160">
        <f>IF(DATOS!$A10160="","",DATOS!$A10160&amp;"|"&amp;DATOS!$D10160&amp;"|"&amp;DATOS!$E10160&amp;"|"&amp;DATOS!$I10160)</f>
      </c>
      <c r="G10160">
        <f>IF(DATOS!$A10160="",0,IF(CONFIG_METADATA!$B$4&lt;&gt;"OR+EX",--(DATOS!$G10160=CONFIG_METADATA!$B$4),IF(DATOS!$G10160="EX",1,IF(DATOS!$G10160="OR",--(COUNTIFS(nNIA,DATOS!$A10160,nCURSO,DATOS!$D10160,nESPEC,DATOS!$E10160,nASIG,DATOS!$I10160,nEVAL,"EX")=0),0))))</f>
      </c>
      <c r="H10160">
        <f>IF(DATOS!$G10160&lt;&gt;"EX",0,--(COUNTIFS(nNIA,DATOS!$A10160,nCURSO,DATOS!$D10160,nESPEC,DATOS!$E10160,nASIG,DATOS!$I10160,nEVAL,"OR")=0))</f>
      </c>
      <c r="I10160">
        <f>IF(DATOS!$I10160="","",IFERROR(VLOOKUP(DATOS!$I10160,CONFIG_ASIGNATURAS!$B$2:$J$91,9,FALSE()),""))</f>
      </c>
    </row>
    <row r="10161">
      <c r="F10161">
        <f>IF(DATOS!$A10161="","",DATOS!$A10161&amp;"|"&amp;DATOS!$D10161&amp;"|"&amp;DATOS!$E10161&amp;"|"&amp;DATOS!$I10161)</f>
      </c>
      <c r="G10161">
        <f>IF(DATOS!$A10161="",0,IF(CONFIG_METADATA!$B$4&lt;&gt;"OR+EX",--(DATOS!$G10161=CONFIG_METADATA!$B$4),IF(DATOS!$G10161="EX",1,IF(DATOS!$G10161="OR",--(COUNTIFS(nNIA,DATOS!$A10161,nCURSO,DATOS!$D10161,nESPEC,DATOS!$E10161,nASIG,DATOS!$I10161,nEVAL,"EX")=0),0))))</f>
      </c>
      <c r="H10161">
        <f>IF(DATOS!$G10161&lt;&gt;"EX",0,--(COUNTIFS(nNIA,DATOS!$A10161,nCURSO,DATOS!$D10161,nESPEC,DATOS!$E10161,nASIG,DATOS!$I10161,nEVAL,"OR")=0))</f>
      </c>
      <c r="I10161">
        <f>IF(DATOS!$I10161="","",IFERROR(VLOOKUP(DATOS!$I10161,CONFIG_ASIGNATURAS!$B$2:$J$91,9,FALSE()),""))</f>
      </c>
    </row>
    <row r="10162">
      <c r="F10162">
        <f>IF(DATOS!$A10162="","",DATOS!$A10162&amp;"|"&amp;DATOS!$D10162&amp;"|"&amp;DATOS!$E10162&amp;"|"&amp;DATOS!$I10162)</f>
      </c>
      <c r="G10162">
        <f>IF(DATOS!$A10162="",0,IF(CONFIG_METADATA!$B$4&lt;&gt;"OR+EX",--(DATOS!$G10162=CONFIG_METADATA!$B$4),IF(DATOS!$G10162="EX",1,IF(DATOS!$G10162="OR",--(COUNTIFS(nNIA,DATOS!$A10162,nCURSO,DATOS!$D10162,nESPEC,DATOS!$E10162,nASIG,DATOS!$I10162,nEVAL,"EX")=0),0))))</f>
      </c>
      <c r="H10162">
        <f>IF(DATOS!$G10162&lt;&gt;"EX",0,--(COUNTIFS(nNIA,DATOS!$A10162,nCURSO,DATOS!$D10162,nESPEC,DATOS!$E10162,nASIG,DATOS!$I10162,nEVAL,"OR")=0))</f>
      </c>
      <c r="I10162">
        <f>IF(DATOS!$I10162="","",IFERROR(VLOOKUP(DATOS!$I10162,CONFIG_ASIGNATURAS!$B$2:$J$91,9,FALSE()),""))</f>
      </c>
    </row>
    <row r="10163">
      <c r="F10163">
        <f>IF(DATOS!$A10163="","",DATOS!$A10163&amp;"|"&amp;DATOS!$D10163&amp;"|"&amp;DATOS!$E10163&amp;"|"&amp;DATOS!$I10163)</f>
      </c>
      <c r="G10163">
        <f>IF(DATOS!$A10163="",0,IF(CONFIG_METADATA!$B$4&lt;&gt;"OR+EX",--(DATOS!$G10163=CONFIG_METADATA!$B$4),IF(DATOS!$G10163="EX",1,IF(DATOS!$G10163="OR",--(COUNTIFS(nNIA,DATOS!$A10163,nCURSO,DATOS!$D10163,nESPEC,DATOS!$E10163,nASIG,DATOS!$I10163,nEVAL,"EX")=0),0))))</f>
      </c>
      <c r="H10163">
        <f>IF(DATOS!$G10163&lt;&gt;"EX",0,--(COUNTIFS(nNIA,DATOS!$A10163,nCURSO,DATOS!$D10163,nESPEC,DATOS!$E10163,nASIG,DATOS!$I10163,nEVAL,"OR")=0))</f>
      </c>
      <c r="I10163">
        <f>IF(DATOS!$I10163="","",IFERROR(VLOOKUP(DATOS!$I10163,CONFIG_ASIGNATURAS!$B$2:$J$91,9,FALSE()),""))</f>
      </c>
    </row>
    <row r="10164">
      <c r="F10164">
        <f>IF(DATOS!$A10164="","",DATOS!$A10164&amp;"|"&amp;DATOS!$D10164&amp;"|"&amp;DATOS!$E10164&amp;"|"&amp;DATOS!$I10164)</f>
      </c>
      <c r="G10164">
        <f>IF(DATOS!$A10164="",0,IF(CONFIG_METADATA!$B$4&lt;&gt;"OR+EX",--(DATOS!$G10164=CONFIG_METADATA!$B$4),IF(DATOS!$G10164="EX",1,IF(DATOS!$G10164="OR",--(COUNTIFS(nNIA,DATOS!$A10164,nCURSO,DATOS!$D10164,nESPEC,DATOS!$E10164,nASIG,DATOS!$I10164,nEVAL,"EX")=0),0))))</f>
      </c>
      <c r="H10164">
        <f>IF(DATOS!$G10164&lt;&gt;"EX",0,--(COUNTIFS(nNIA,DATOS!$A10164,nCURSO,DATOS!$D10164,nESPEC,DATOS!$E10164,nASIG,DATOS!$I10164,nEVAL,"OR")=0))</f>
      </c>
      <c r="I10164">
        <f>IF(DATOS!$I10164="","",IFERROR(VLOOKUP(DATOS!$I10164,CONFIG_ASIGNATURAS!$B$2:$J$91,9,FALSE()),""))</f>
      </c>
    </row>
    <row r="10165">
      <c r="F10165">
        <f>IF(DATOS!$A10165="","",DATOS!$A10165&amp;"|"&amp;DATOS!$D10165&amp;"|"&amp;DATOS!$E10165&amp;"|"&amp;DATOS!$I10165)</f>
      </c>
      <c r="G10165">
        <f>IF(DATOS!$A10165="",0,IF(CONFIG_METADATA!$B$4&lt;&gt;"OR+EX",--(DATOS!$G10165=CONFIG_METADATA!$B$4),IF(DATOS!$G10165="EX",1,IF(DATOS!$G10165="OR",--(COUNTIFS(nNIA,DATOS!$A10165,nCURSO,DATOS!$D10165,nESPEC,DATOS!$E10165,nASIG,DATOS!$I10165,nEVAL,"EX")=0),0))))</f>
      </c>
      <c r="H10165">
        <f>IF(DATOS!$G10165&lt;&gt;"EX",0,--(COUNTIFS(nNIA,DATOS!$A10165,nCURSO,DATOS!$D10165,nESPEC,DATOS!$E10165,nASIG,DATOS!$I10165,nEVAL,"OR")=0))</f>
      </c>
      <c r="I10165">
        <f>IF(DATOS!$I10165="","",IFERROR(VLOOKUP(DATOS!$I10165,CONFIG_ASIGNATURAS!$B$2:$J$91,9,FALSE()),""))</f>
      </c>
    </row>
    <row r="10166">
      <c r="F10166">
        <f>IF(DATOS!$A10166="","",DATOS!$A10166&amp;"|"&amp;DATOS!$D10166&amp;"|"&amp;DATOS!$E10166&amp;"|"&amp;DATOS!$I10166)</f>
      </c>
      <c r="G10166">
        <f>IF(DATOS!$A10166="",0,IF(CONFIG_METADATA!$B$4&lt;&gt;"OR+EX",--(DATOS!$G10166=CONFIG_METADATA!$B$4),IF(DATOS!$G10166="EX",1,IF(DATOS!$G10166="OR",--(COUNTIFS(nNIA,DATOS!$A10166,nCURSO,DATOS!$D10166,nESPEC,DATOS!$E10166,nASIG,DATOS!$I10166,nEVAL,"EX")=0),0))))</f>
      </c>
      <c r="H10166">
        <f>IF(DATOS!$G10166&lt;&gt;"EX",0,--(COUNTIFS(nNIA,DATOS!$A10166,nCURSO,DATOS!$D10166,nESPEC,DATOS!$E10166,nASIG,DATOS!$I10166,nEVAL,"OR")=0))</f>
      </c>
      <c r="I10166">
        <f>IF(DATOS!$I10166="","",IFERROR(VLOOKUP(DATOS!$I10166,CONFIG_ASIGNATURAS!$B$2:$J$91,9,FALSE()),""))</f>
      </c>
    </row>
    <row r="10167">
      <c r="F10167">
        <f>IF(DATOS!$A10167="","",DATOS!$A10167&amp;"|"&amp;DATOS!$D10167&amp;"|"&amp;DATOS!$E10167&amp;"|"&amp;DATOS!$I10167)</f>
      </c>
      <c r="G10167">
        <f>IF(DATOS!$A10167="",0,IF(CONFIG_METADATA!$B$4&lt;&gt;"OR+EX",--(DATOS!$G10167=CONFIG_METADATA!$B$4),IF(DATOS!$G10167="EX",1,IF(DATOS!$G10167="OR",--(COUNTIFS(nNIA,DATOS!$A10167,nCURSO,DATOS!$D10167,nESPEC,DATOS!$E10167,nASIG,DATOS!$I10167,nEVAL,"EX")=0),0))))</f>
      </c>
      <c r="H10167">
        <f>IF(DATOS!$G10167&lt;&gt;"EX",0,--(COUNTIFS(nNIA,DATOS!$A10167,nCURSO,DATOS!$D10167,nESPEC,DATOS!$E10167,nASIG,DATOS!$I10167,nEVAL,"OR")=0))</f>
      </c>
      <c r="I10167">
        <f>IF(DATOS!$I10167="","",IFERROR(VLOOKUP(DATOS!$I10167,CONFIG_ASIGNATURAS!$B$2:$J$91,9,FALSE()),""))</f>
      </c>
    </row>
    <row r="10168">
      <c r="F10168">
        <f>IF(DATOS!$A10168="","",DATOS!$A10168&amp;"|"&amp;DATOS!$D10168&amp;"|"&amp;DATOS!$E10168&amp;"|"&amp;DATOS!$I10168)</f>
      </c>
      <c r="G10168">
        <f>IF(DATOS!$A10168="",0,IF(CONFIG_METADATA!$B$4&lt;&gt;"OR+EX",--(DATOS!$G10168=CONFIG_METADATA!$B$4),IF(DATOS!$G10168="EX",1,IF(DATOS!$G10168="OR",--(COUNTIFS(nNIA,DATOS!$A10168,nCURSO,DATOS!$D10168,nESPEC,DATOS!$E10168,nASIG,DATOS!$I10168,nEVAL,"EX")=0),0))))</f>
      </c>
      <c r="H10168">
        <f>IF(DATOS!$G10168&lt;&gt;"EX",0,--(COUNTIFS(nNIA,DATOS!$A10168,nCURSO,DATOS!$D10168,nESPEC,DATOS!$E10168,nASIG,DATOS!$I10168,nEVAL,"OR")=0))</f>
      </c>
      <c r="I10168">
        <f>IF(DATOS!$I10168="","",IFERROR(VLOOKUP(DATOS!$I10168,CONFIG_ASIGNATURAS!$B$2:$J$91,9,FALSE()),""))</f>
      </c>
    </row>
    <row r="10169">
      <c r="F10169">
        <f>IF(DATOS!$A10169="","",DATOS!$A10169&amp;"|"&amp;DATOS!$D10169&amp;"|"&amp;DATOS!$E10169&amp;"|"&amp;DATOS!$I10169)</f>
      </c>
      <c r="G10169">
        <f>IF(DATOS!$A10169="",0,IF(CONFIG_METADATA!$B$4&lt;&gt;"OR+EX",--(DATOS!$G10169=CONFIG_METADATA!$B$4),IF(DATOS!$G10169="EX",1,IF(DATOS!$G10169="OR",--(COUNTIFS(nNIA,DATOS!$A10169,nCURSO,DATOS!$D10169,nESPEC,DATOS!$E10169,nASIG,DATOS!$I10169,nEVAL,"EX")=0),0))))</f>
      </c>
      <c r="H10169">
        <f>IF(DATOS!$G10169&lt;&gt;"EX",0,--(COUNTIFS(nNIA,DATOS!$A10169,nCURSO,DATOS!$D10169,nESPEC,DATOS!$E10169,nASIG,DATOS!$I10169,nEVAL,"OR")=0))</f>
      </c>
      <c r="I10169">
        <f>IF(DATOS!$I10169="","",IFERROR(VLOOKUP(DATOS!$I10169,CONFIG_ASIGNATURAS!$B$2:$J$91,9,FALSE()),""))</f>
      </c>
    </row>
    <row r="10170">
      <c r="F10170">
        <f>IF(DATOS!$A10170="","",DATOS!$A10170&amp;"|"&amp;DATOS!$D10170&amp;"|"&amp;DATOS!$E10170&amp;"|"&amp;DATOS!$I10170)</f>
      </c>
      <c r="G10170">
        <f>IF(DATOS!$A10170="",0,IF(CONFIG_METADATA!$B$4&lt;&gt;"OR+EX",--(DATOS!$G10170=CONFIG_METADATA!$B$4),IF(DATOS!$G10170="EX",1,IF(DATOS!$G10170="OR",--(COUNTIFS(nNIA,DATOS!$A10170,nCURSO,DATOS!$D10170,nESPEC,DATOS!$E10170,nASIG,DATOS!$I10170,nEVAL,"EX")=0),0))))</f>
      </c>
      <c r="H10170">
        <f>IF(DATOS!$G10170&lt;&gt;"EX",0,--(COUNTIFS(nNIA,DATOS!$A10170,nCURSO,DATOS!$D10170,nESPEC,DATOS!$E10170,nASIG,DATOS!$I10170,nEVAL,"OR")=0))</f>
      </c>
      <c r="I10170">
        <f>IF(DATOS!$I10170="","",IFERROR(VLOOKUP(DATOS!$I10170,CONFIG_ASIGNATURAS!$B$2:$J$91,9,FALSE()),""))</f>
      </c>
    </row>
    <row r="10171">
      <c r="F10171">
        <f>IF(DATOS!$A10171="","",DATOS!$A10171&amp;"|"&amp;DATOS!$D10171&amp;"|"&amp;DATOS!$E10171&amp;"|"&amp;DATOS!$I10171)</f>
      </c>
      <c r="G10171">
        <f>IF(DATOS!$A10171="",0,IF(CONFIG_METADATA!$B$4&lt;&gt;"OR+EX",--(DATOS!$G10171=CONFIG_METADATA!$B$4),IF(DATOS!$G10171="EX",1,IF(DATOS!$G10171="OR",--(COUNTIFS(nNIA,DATOS!$A10171,nCURSO,DATOS!$D10171,nESPEC,DATOS!$E10171,nASIG,DATOS!$I10171,nEVAL,"EX")=0),0))))</f>
      </c>
      <c r="H10171">
        <f>IF(DATOS!$G10171&lt;&gt;"EX",0,--(COUNTIFS(nNIA,DATOS!$A10171,nCURSO,DATOS!$D10171,nESPEC,DATOS!$E10171,nASIG,DATOS!$I10171,nEVAL,"OR")=0))</f>
      </c>
      <c r="I10171">
        <f>IF(DATOS!$I10171="","",IFERROR(VLOOKUP(DATOS!$I10171,CONFIG_ASIGNATURAS!$B$2:$J$91,9,FALSE()),""))</f>
      </c>
    </row>
    <row r="10172">
      <c r="F10172">
        <f>IF(DATOS!$A10172="","",DATOS!$A10172&amp;"|"&amp;DATOS!$D10172&amp;"|"&amp;DATOS!$E10172&amp;"|"&amp;DATOS!$I10172)</f>
      </c>
      <c r="G10172">
        <f>IF(DATOS!$A10172="",0,IF(CONFIG_METADATA!$B$4&lt;&gt;"OR+EX",--(DATOS!$G10172=CONFIG_METADATA!$B$4),IF(DATOS!$G10172="EX",1,IF(DATOS!$G10172="OR",--(COUNTIFS(nNIA,DATOS!$A10172,nCURSO,DATOS!$D10172,nESPEC,DATOS!$E10172,nASIG,DATOS!$I10172,nEVAL,"EX")=0),0))))</f>
      </c>
      <c r="H10172">
        <f>IF(DATOS!$G10172&lt;&gt;"EX",0,--(COUNTIFS(nNIA,DATOS!$A10172,nCURSO,DATOS!$D10172,nESPEC,DATOS!$E10172,nASIG,DATOS!$I10172,nEVAL,"OR")=0))</f>
      </c>
      <c r="I10172">
        <f>IF(DATOS!$I10172="","",IFERROR(VLOOKUP(DATOS!$I10172,CONFIG_ASIGNATURAS!$B$2:$J$91,9,FALSE()),""))</f>
      </c>
    </row>
    <row r="10173">
      <c r="F10173">
        <f>IF(DATOS!$A10173="","",DATOS!$A10173&amp;"|"&amp;DATOS!$D10173&amp;"|"&amp;DATOS!$E10173&amp;"|"&amp;DATOS!$I10173)</f>
      </c>
      <c r="G10173">
        <f>IF(DATOS!$A10173="",0,IF(CONFIG_METADATA!$B$4&lt;&gt;"OR+EX",--(DATOS!$G10173=CONFIG_METADATA!$B$4),IF(DATOS!$G10173="EX",1,IF(DATOS!$G10173="OR",--(COUNTIFS(nNIA,DATOS!$A10173,nCURSO,DATOS!$D10173,nESPEC,DATOS!$E10173,nASIG,DATOS!$I10173,nEVAL,"EX")=0),0))))</f>
      </c>
      <c r="H10173">
        <f>IF(DATOS!$G10173&lt;&gt;"EX",0,--(COUNTIFS(nNIA,DATOS!$A10173,nCURSO,DATOS!$D10173,nESPEC,DATOS!$E10173,nASIG,DATOS!$I10173,nEVAL,"OR")=0))</f>
      </c>
      <c r="I10173">
        <f>IF(DATOS!$I10173="","",IFERROR(VLOOKUP(DATOS!$I10173,CONFIG_ASIGNATURAS!$B$2:$J$91,9,FALSE()),""))</f>
      </c>
    </row>
    <row r="10174">
      <c r="F10174">
        <f>IF(DATOS!$A10174="","",DATOS!$A10174&amp;"|"&amp;DATOS!$D10174&amp;"|"&amp;DATOS!$E10174&amp;"|"&amp;DATOS!$I10174)</f>
      </c>
      <c r="G10174">
        <f>IF(DATOS!$A10174="",0,IF(CONFIG_METADATA!$B$4&lt;&gt;"OR+EX",--(DATOS!$G10174=CONFIG_METADATA!$B$4),IF(DATOS!$G10174="EX",1,IF(DATOS!$G10174="OR",--(COUNTIFS(nNIA,DATOS!$A10174,nCURSO,DATOS!$D10174,nESPEC,DATOS!$E10174,nASIG,DATOS!$I10174,nEVAL,"EX")=0),0))))</f>
      </c>
      <c r="H10174">
        <f>IF(DATOS!$G10174&lt;&gt;"EX",0,--(COUNTIFS(nNIA,DATOS!$A10174,nCURSO,DATOS!$D10174,nESPEC,DATOS!$E10174,nASIG,DATOS!$I10174,nEVAL,"OR")=0))</f>
      </c>
      <c r="I10174">
        <f>IF(DATOS!$I10174="","",IFERROR(VLOOKUP(DATOS!$I10174,CONFIG_ASIGNATURAS!$B$2:$J$91,9,FALSE()),""))</f>
      </c>
    </row>
    <row r="10175">
      <c r="F10175">
        <f>IF(DATOS!$A10175="","",DATOS!$A10175&amp;"|"&amp;DATOS!$D10175&amp;"|"&amp;DATOS!$E10175&amp;"|"&amp;DATOS!$I10175)</f>
      </c>
      <c r="G10175">
        <f>IF(DATOS!$A10175="",0,IF(CONFIG_METADATA!$B$4&lt;&gt;"OR+EX",--(DATOS!$G10175=CONFIG_METADATA!$B$4),IF(DATOS!$G10175="EX",1,IF(DATOS!$G10175="OR",--(COUNTIFS(nNIA,DATOS!$A10175,nCURSO,DATOS!$D10175,nESPEC,DATOS!$E10175,nASIG,DATOS!$I10175,nEVAL,"EX")=0),0))))</f>
      </c>
      <c r="H10175">
        <f>IF(DATOS!$G10175&lt;&gt;"EX",0,--(COUNTIFS(nNIA,DATOS!$A10175,nCURSO,DATOS!$D10175,nESPEC,DATOS!$E10175,nASIG,DATOS!$I10175,nEVAL,"OR")=0))</f>
      </c>
      <c r="I10175">
        <f>IF(DATOS!$I10175="","",IFERROR(VLOOKUP(DATOS!$I10175,CONFIG_ASIGNATURAS!$B$2:$J$91,9,FALSE()),""))</f>
      </c>
    </row>
    <row r="10176">
      <c r="F10176">
        <f>IF(DATOS!$A10176="","",DATOS!$A10176&amp;"|"&amp;DATOS!$D10176&amp;"|"&amp;DATOS!$E10176&amp;"|"&amp;DATOS!$I10176)</f>
      </c>
      <c r="G10176">
        <f>IF(DATOS!$A10176="",0,IF(CONFIG_METADATA!$B$4&lt;&gt;"OR+EX",--(DATOS!$G10176=CONFIG_METADATA!$B$4),IF(DATOS!$G10176="EX",1,IF(DATOS!$G10176="OR",--(COUNTIFS(nNIA,DATOS!$A10176,nCURSO,DATOS!$D10176,nESPEC,DATOS!$E10176,nASIG,DATOS!$I10176,nEVAL,"EX")=0),0))))</f>
      </c>
      <c r="H10176">
        <f>IF(DATOS!$G10176&lt;&gt;"EX",0,--(COUNTIFS(nNIA,DATOS!$A10176,nCURSO,DATOS!$D10176,nESPEC,DATOS!$E10176,nASIG,DATOS!$I10176,nEVAL,"OR")=0))</f>
      </c>
      <c r="I10176">
        <f>IF(DATOS!$I10176="","",IFERROR(VLOOKUP(DATOS!$I10176,CONFIG_ASIGNATURAS!$B$2:$J$91,9,FALSE()),""))</f>
      </c>
    </row>
    <row r="10177">
      <c r="F10177">
        <f>IF(DATOS!$A10177="","",DATOS!$A10177&amp;"|"&amp;DATOS!$D10177&amp;"|"&amp;DATOS!$E10177&amp;"|"&amp;DATOS!$I10177)</f>
      </c>
      <c r="G10177">
        <f>IF(DATOS!$A10177="",0,IF(CONFIG_METADATA!$B$4&lt;&gt;"OR+EX",--(DATOS!$G10177=CONFIG_METADATA!$B$4),IF(DATOS!$G10177="EX",1,IF(DATOS!$G10177="OR",--(COUNTIFS(nNIA,DATOS!$A10177,nCURSO,DATOS!$D10177,nESPEC,DATOS!$E10177,nASIG,DATOS!$I10177,nEVAL,"EX")=0),0))))</f>
      </c>
      <c r="H10177">
        <f>IF(DATOS!$G10177&lt;&gt;"EX",0,--(COUNTIFS(nNIA,DATOS!$A10177,nCURSO,DATOS!$D10177,nESPEC,DATOS!$E10177,nASIG,DATOS!$I10177,nEVAL,"OR")=0))</f>
      </c>
      <c r="I10177">
        <f>IF(DATOS!$I10177="","",IFERROR(VLOOKUP(DATOS!$I10177,CONFIG_ASIGNATURAS!$B$2:$J$91,9,FALSE()),""))</f>
      </c>
    </row>
    <row r="10178">
      <c r="F10178">
        <f>IF(DATOS!$A10178="","",DATOS!$A10178&amp;"|"&amp;DATOS!$D10178&amp;"|"&amp;DATOS!$E10178&amp;"|"&amp;DATOS!$I10178)</f>
      </c>
      <c r="G10178">
        <f>IF(DATOS!$A10178="",0,IF(CONFIG_METADATA!$B$4&lt;&gt;"OR+EX",--(DATOS!$G10178=CONFIG_METADATA!$B$4),IF(DATOS!$G10178="EX",1,IF(DATOS!$G10178="OR",--(COUNTIFS(nNIA,DATOS!$A10178,nCURSO,DATOS!$D10178,nESPEC,DATOS!$E10178,nASIG,DATOS!$I10178,nEVAL,"EX")=0),0))))</f>
      </c>
      <c r="H10178">
        <f>IF(DATOS!$G10178&lt;&gt;"EX",0,--(COUNTIFS(nNIA,DATOS!$A10178,nCURSO,DATOS!$D10178,nESPEC,DATOS!$E10178,nASIG,DATOS!$I10178,nEVAL,"OR")=0))</f>
      </c>
      <c r="I10178">
        <f>IF(DATOS!$I10178="","",IFERROR(VLOOKUP(DATOS!$I10178,CONFIG_ASIGNATURAS!$B$2:$J$91,9,FALSE()),""))</f>
      </c>
    </row>
    <row r="10179">
      <c r="F10179">
        <f>IF(DATOS!$A10179="","",DATOS!$A10179&amp;"|"&amp;DATOS!$D10179&amp;"|"&amp;DATOS!$E10179&amp;"|"&amp;DATOS!$I10179)</f>
      </c>
      <c r="G10179">
        <f>IF(DATOS!$A10179="",0,IF(CONFIG_METADATA!$B$4&lt;&gt;"OR+EX",--(DATOS!$G10179=CONFIG_METADATA!$B$4),IF(DATOS!$G10179="EX",1,IF(DATOS!$G10179="OR",--(COUNTIFS(nNIA,DATOS!$A10179,nCURSO,DATOS!$D10179,nESPEC,DATOS!$E10179,nASIG,DATOS!$I10179,nEVAL,"EX")=0),0))))</f>
      </c>
      <c r="H10179">
        <f>IF(DATOS!$G10179&lt;&gt;"EX",0,--(COUNTIFS(nNIA,DATOS!$A10179,nCURSO,DATOS!$D10179,nESPEC,DATOS!$E10179,nASIG,DATOS!$I10179,nEVAL,"OR")=0))</f>
      </c>
      <c r="I10179">
        <f>IF(DATOS!$I10179="","",IFERROR(VLOOKUP(DATOS!$I10179,CONFIG_ASIGNATURAS!$B$2:$J$91,9,FALSE()),""))</f>
      </c>
    </row>
    <row r="10180">
      <c r="F10180">
        <f>IF(DATOS!$A10180="","",DATOS!$A10180&amp;"|"&amp;DATOS!$D10180&amp;"|"&amp;DATOS!$E10180&amp;"|"&amp;DATOS!$I10180)</f>
      </c>
      <c r="G10180">
        <f>IF(DATOS!$A10180="",0,IF(CONFIG_METADATA!$B$4&lt;&gt;"OR+EX",--(DATOS!$G10180=CONFIG_METADATA!$B$4),IF(DATOS!$G10180="EX",1,IF(DATOS!$G10180="OR",--(COUNTIFS(nNIA,DATOS!$A10180,nCURSO,DATOS!$D10180,nESPEC,DATOS!$E10180,nASIG,DATOS!$I10180,nEVAL,"EX")=0),0))))</f>
      </c>
      <c r="H10180">
        <f>IF(DATOS!$G10180&lt;&gt;"EX",0,--(COUNTIFS(nNIA,DATOS!$A10180,nCURSO,DATOS!$D10180,nESPEC,DATOS!$E10180,nASIG,DATOS!$I10180,nEVAL,"OR")=0))</f>
      </c>
      <c r="I10180">
        <f>IF(DATOS!$I10180="","",IFERROR(VLOOKUP(DATOS!$I10180,CONFIG_ASIGNATURAS!$B$2:$J$91,9,FALSE()),""))</f>
      </c>
    </row>
    <row r="10181">
      <c r="F10181">
        <f>IF(DATOS!$A10181="","",DATOS!$A10181&amp;"|"&amp;DATOS!$D10181&amp;"|"&amp;DATOS!$E10181&amp;"|"&amp;DATOS!$I10181)</f>
      </c>
      <c r="G10181">
        <f>IF(DATOS!$A10181="",0,IF(CONFIG_METADATA!$B$4&lt;&gt;"OR+EX",--(DATOS!$G10181=CONFIG_METADATA!$B$4),IF(DATOS!$G10181="EX",1,IF(DATOS!$G10181="OR",--(COUNTIFS(nNIA,DATOS!$A10181,nCURSO,DATOS!$D10181,nESPEC,DATOS!$E10181,nASIG,DATOS!$I10181,nEVAL,"EX")=0),0))))</f>
      </c>
      <c r="H10181">
        <f>IF(DATOS!$G10181&lt;&gt;"EX",0,--(COUNTIFS(nNIA,DATOS!$A10181,nCURSO,DATOS!$D10181,nESPEC,DATOS!$E10181,nASIG,DATOS!$I10181,nEVAL,"OR")=0))</f>
      </c>
      <c r="I10181">
        <f>IF(DATOS!$I10181="","",IFERROR(VLOOKUP(DATOS!$I10181,CONFIG_ASIGNATURAS!$B$2:$J$91,9,FALSE()),""))</f>
      </c>
    </row>
    <row r="10182">
      <c r="F10182">
        <f>IF(DATOS!$A10182="","",DATOS!$A10182&amp;"|"&amp;DATOS!$D10182&amp;"|"&amp;DATOS!$E10182&amp;"|"&amp;DATOS!$I10182)</f>
      </c>
      <c r="G10182">
        <f>IF(DATOS!$A10182="",0,IF(CONFIG_METADATA!$B$4&lt;&gt;"OR+EX",--(DATOS!$G10182=CONFIG_METADATA!$B$4),IF(DATOS!$G10182="EX",1,IF(DATOS!$G10182="OR",--(COUNTIFS(nNIA,DATOS!$A10182,nCURSO,DATOS!$D10182,nESPEC,DATOS!$E10182,nASIG,DATOS!$I10182,nEVAL,"EX")=0),0))))</f>
      </c>
      <c r="H10182">
        <f>IF(DATOS!$G10182&lt;&gt;"EX",0,--(COUNTIFS(nNIA,DATOS!$A10182,nCURSO,DATOS!$D10182,nESPEC,DATOS!$E10182,nASIG,DATOS!$I10182,nEVAL,"OR")=0))</f>
      </c>
      <c r="I10182">
        <f>IF(DATOS!$I10182="","",IFERROR(VLOOKUP(DATOS!$I10182,CONFIG_ASIGNATURAS!$B$2:$J$91,9,FALSE()),""))</f>
      </c>
    </row>
    <row r="10183">
      <c r="F10183">
        <f>IF(DATOS!$A10183="","",DATOS!$A10183&amp;"|"&amp;DATOS!$D10183&amp;"|"&amp;DATOS!$E10183&amp;"|"&amp;DATOS!$I10183)</f>
      </c>
      <c r="G10183">
        <f>IF(DATOS!$A10183="",0,IF(CONFIG_METADATA!$B$4&lt;&gt;"OR+EX",--(DATOS!$G10183=CONFIG_METADATA!$B$4),IF(DATOS!$G10183="EX",1,IF(DATOS!$G10183="OR",--(COUNTIFS(nNIA,DATOS!$A10183,nCURSO,DATOS!$D10183,nESPEC,DATOS!$E10183,nASIG,DATOS!$I10183,nEVAL,"EX")=0),0))))</f>
      </c>
      <c r="H10183">
        <f>IF(DATOS!$G10183&lt;&gt;"EX",0,--(COUNTIFS(nNIA,DATOS!$A10183,nCURSO,DATOS!$D10183,nESPEC,DATOS!$E10183,nASIG,DATOS!$I10183,nEVAL,"OR")=0))</f>
      </c>
      <c r="I10183">
        <f>IF(DATOS!$I10183="","",IFERROR(VLOOKUP(DATOS!$I10183,CONFIG_ASIGNATURAS!$B$2:$J$91,9,FALSE()),""))</f>
      </c>
    </row>
    <row r="10184">
      <c r="F10184">
        <f>IF(DATOS!$A10184="","",DATOS!$A10184&amp;"|"&amp;DATOS!$D10184&amp;"|"&amp;DATOS!$E10184&amp;"|"&amp;DATOS!$I10184)</f>
      </c>
      <c r="G10184">
        <f>IF(DATOS!$A10184="",0,IF(CONFIG_METADATA!$B$4&lt;&gt;"OR+EX",--(DATOS!$G10184=CONFIG_METADATA!$B$4),IF(DATOS!$G10184="EX",1,IF(DATOS!$G10184="OR",--(COUNTIFS(nNIA,DATOS!$A10184,nCURSO,DATOS!$D10184,nESPEC,DATOS!$E10184,nASIG,DATOS!$I10184,nEVAL,"EX")=0),0))))</f>
      </c>
      <c r="H10184">
        <f>IF(DATOS!$G10184&lt;&gt;"EX",0,--(COUNTIFS(nNIA,DATOS!$A10184,nCURSO,DATOS!$D10184,nESPEC,DATOS!$E10184,nASIG,DATOS!$I10184,nEVAL,"OR")=0))</f>
      </c>
      <c r="I10184">
        <f>IF(DATOS!$I10184="","",IFERROR(VLOOKUP(DATOS!$I10184,CONFIG_ASIGNATURAS!$B$2:$J$91,9,FALSE()),""))</f>
      </c>
    </row>
    <row r="10185">
      <c r="F10185">
        <f>IF(DATOS!$A10185="","",DATOS!$A10185&amp;"|"&amp;DATOS!$D10185&amp;"|"&amp;DATOS!$E10185&amp;"|"&amp;DATOS!$I10185)</f>
      </c>
      <c r="G10185">
        <f>IF(DATOS!$A10185="",0,IF(CONFIG_METADATA!$B$4&lt;&gt;"OR+EX",--(DATOS!$G10185=CONFIG_METADATA!$B$4),IF(DATOS!$G10185="EX",1,IF(DATOS!$G10185="OR",--(COUNTIFS(nNIA,DATOS!$A10185,nCURSO,DATOS!$D10185,nESPEC,DATOS!$E10185,nASIG,DATOS!$I10185,nEVAL,"EX")=0),0))))</f>
      </c>
      <c r="H10185">
        <f>IF(DATOS!$G10185&lt;&gt;"EX",0,--(COUNTIFS(nNIA,DATOS!$A10185,nCURSO,DATOS!$D10185,nESPEC,DATOS!$E10185,nASIG,DATOS!$I10185,nEVAL,"OR")=0))</f>
      </c>
      <c r="I10185">
        <f>IF(DATOS!$I10185="","",IFERROR(VLOOKUP(DATOS!$I10185,CONFIG_ASIGNATURAS!$B$2:$J$91,9,FALSE()),""))</f>
      </c>
    </row>
    <row r="10186">
      <c r="F10186">
        <f>IF(DATOS!$A10186="","",DATOS!$A10186&amp;"|"&amp;DATOS!$D10186&amp;"|"&amp;DATOS!$E10186&amp;"|"&amp;DATOS!$I10186)</f>
      </c>
      <c r="G10186">
        <f>IF(DATOS!$A10186="",0,IF(CONFIG_METADATA!$B$4&lt;&gt;"OR+EX",--(DATOS!$G10186=CONFIG_METADATA!$B$4),IF(DATOS!$G10186="EX",1,IF(DATOS!$G10186="OR",--(COUNTIFS(nNIA,DATOS!$A10186,nCURSO,DATOS!$D10186,nESPEC,DATOS!$E10186,nASIG,DATOS!$I10186,nEVAL,"EX")=0),0))))</f>
      </c>
      <c r="H10186">
        <f>IF(DATOS!$G10186&lt;&gt;"EX",0,--(COUNTIFS(nNIA,DATOS!$A10186,nCURSO,DATOS!$D10186,nESPEC,DATOS!$E10186,nASIG,DATOS!$I10186,nEVAL,"OR")=0))</f>
      </c>
      <c r="I10186">
        <f>IF(DATOS!$I10186="","",IFERROR(VLOOKUP(DATOS!$I10186,CONFIG_ASIGNATURAS!$B$2:$J$91,9,FALSE()),""))</f>
      </c>
    </row>
    <row r="10187">
      <c r="F10187">
        <f>IF(DATOS!$A10187="","",DATOS!$A10187&amp;"|"&amp;DATOS!$D10187&amp;"|"&amp;DATOS!$E10187&amp;"|"&amp;DATOS!$I10187)</f>
      </c>
      <c r="G10187">
        <f>IF(DATOS!$A10187="",0,IF(CONFIG_METADATA!$B$4&lt;&gt;"OR+EX",--(DATOS!$G10187=CONFIG_METADATA!$B$4),IF(DATOS!$G10187="EX",1,IF(DATOS!$G10187="OR",--(COUNTIFS(nNIA,DATOS!$A10187,nCURSO,DATOS!$D10187,nESPEC,DATOS!$E10187,nASIG,DATOS!$I10187,nEVAL,"EX")=0),0))))</f>
      </c>
      <c r="H10187">
        <f>IF(DATOS!$G10187&lt;&gt;"EX",0,--(COUNTIFS(nNIA,DATOS!$A10187,nCURSO,DATOS!$D10187,nESPEC,DATOS!$E10187,nASIG,DATOS!$I10187,nEVAL,"OR")=0))</f>
      </c>
      <c r="I10187">
        <f>IF(DATOS!$I10187="","",IFERROR(VLOOKUP(DATOS!$I10187,CONFIG_ASIGNATURAS!$B$2:$J$91,9,FALSE()),""))</f>
      </c>
    </row>
    <row r="10188">
      <c r="F10188">
        <f>IF(DATOS!$A10188="","",DATOS!$A10188&amp;"|"&amp;DATOS!$D10188&amp;"|"&amp;DATOS!$E10188&amp;"|"&amp;DATOS!$I10188)</f>
      </c>
      <c r="G10188">
        <f>IF(DATOS!$A10188="",0,IF(CONFIG_METADATA!$B$4&lt;&gt;"OR+EX",--(DATOS!$G10188=CONFIG_METADATA!$B$4),IF(DATOS!$G10188="EX",1,IF(DATOS!$G10188="OR",--(COUNTIFS(nNIA,DATOS!$A10188,nCURSO,DATOS!$D10188,nESPEC,DATOS!$E10188,nASIG,DATOS!$I10188,nEVAL,"EX")=0),0))))</f>
      </c>
      <c r="H10188">
        <f>IF(DATOS!$G10188&lt;&gt;"EX",0,--(COUNTIFS(nNIA,DATOS!$A10188,nCURSO,DATOS!$D10188,nESPEC,DATOS!$E10188,nASIG,DATOS!$I10188,nEVAL,"OR")=0))</f>
      </c>
      <c r="I10188">
        <f>IF(DATOS!$I10188="","",IFERROR(VLOOKUP(DATOS!$I10188,CONFIG_ASIGNATURAS!$B$2:$J$91,9,FALSE()),""))</f>
      </c>
    </row>
    <row r="10189">
      <c r="F10189">
        <f>IF(DATOS!$A10189="","",DATOS!$A10189&amp;"|"&amp;DATOS!$D10189&amp;"|"&amp;DATOS!$E10189&amp;"|"&amp;DATOS!$I10189)</f>
      </c>
      <c r="G10189">
        <f>IF(DATOS!$A10189="",0,IF(CONFIG_METADATA!$B$4&lt;&gt;"OR+EX",--(DATOS!$G10189=CONFIG_METADATA!$B$4),IF(DATOS!$G10189="EX",1,IF(DATOS!$G10189="OR",--(COUNTIFS(nNIA,DATOS!$A10189,nCURSO,DATOS!$D10189,nESPEC,DATOS!$E10189,nASIG,DATOS!$I10189,nEVAL,"EX")=0),0))))</f>
      </c>
      <c r="H10189">
        <f>IF(DATOS!$G10189&lt;&gt;"EX",0,--(COUNTIFS(nNIA,DATOS!$A10189,nCURSO,DATOS!$D10189,nESPEC,DATOS!$E10189,nASIG,DATOS!$I10189,nEVAL,"OR")=0))</f>
      </c>
      <c r="I10189">
        <f>IF(DATOS!$I10189="","",IFERROR(VLOOKUP(DATOS!$I10189,CONFIG_ASIGNATURAS!$B$2:$J$91,9,FALSE()),""))</f>
      </c>
    </row>
    <row r="10190">
      <c r="F10190">
        <f>IF(DATOS!$A10190="","",DATOS!$A10190&amp;"|"&amp;DATOS!$D10190&amp;"|"&amp;DATOS!$E10190&amp;"|"&amp;DATOS!$I10190)</f>
      </c>
      <c r="G10190">
        <f>IF(DATOS!$A10190="",0,IF(CONFIG_METADATA!$B$4&lt;&gt;"OR+EX",--(DATOS!$G10190=CONFIG_METADATA!$B$4),IF(DATOS!$G10190="EX",1,IF(DATOS!$G10190="OR",--(COUNTIFS(nNIA,DATOS!$A10190,nCURSO,DATOS!$D10190,nESPEC,DATOS!$E10190,nASIG,DATOS!$I10190,nEVAL,"EX")=0),0))))</f>
      </c>
      <c r="H10190">
        <f>IF(DATOS!$G10190&lt;&gt;"EX",0,--(COUNTIFS(nNIA,DATOS!$A10190,nCURSO,DATOS!$D10190,nESPEC,DATOS!$E10190,nASIG,DATOS!$I10190,nEVAL,"OR")=0))</f>
      </c>
      <c r="I10190">
        <f>IF(DATOS!$I10190="","",IFERROR(VLOOKUP(DATOS!$I10190,CONFIG_ASIGNATURAS!$B$2:$J$91,9,FALSE()),""))</f>
      </c>
    </row>
    <row r="10191">
      <c r="F10191">
        <f>IF(DATOS!$A10191="","",DATOS!$A10191&amp;"|"&amp;DATOS!$D10191&amp;"|"&amp;DATOS!$E10191&amp;"|"&amp;DATOS!$I10191)</f>
      </c>
      <c r="G10191">
        <f>IF(DATOS!$A10191="",0,IF(CONFIG_METADATA!$B$4&lt;&gt;"OR+EX",--(DATOS!$G10191=CONFIG_METADATA!$B$4),IF(DATOS!$G10191="EX",1,IF(DATOS!$G10191="OR",--(COUNTIFS(nNIA,DATOS!$A10191,nCURSO,DATOS!$D10191,nESPEC,DATOS!$E10191,nASIG,DATOS!$I10191,nEVAL,"EX")=0),0))))</f>
      </c>
      <c r="H10191">
        <f>IF(DATOS!$G10191&lt;&gt;"EX",0,--(COUNTIFS(nNIA,DATOS!$A10191,nCURSO,DATOS!$D10191,nESPEC,DATOS!$E10191,nASIG,DATOS!$I10191,nEVAL,"OR")=0))</f>
      </c>
      <c r="I10191">
        <f>IF(DATOS!$I10191="","",IFERROR(VLOOKUP(DATOS!$I10191,CONFIG_ASIGNATURAS!$B$2:$J$91,9,FALSE()),""))</f>
      </c>
    </row>
    <row r="10192">
      <c r="F10192">
        <f>IF(DATOS!$A10192="","",DATOS!$A10192&amp;"|"&amp;DATOS!$D10192&amp;"|"&amp;DATOS!$E10192&amp;"|"&amp;DATOS!$I10192)</f>
      </c>
      <c r="G10192">
        <f>IF(DATOS!$A10192="",0,IF(CONFIG_METADATA!$B$4&lt;&gt;"OR+EX",--(DATOS!$G10192=CONFIG_METADATA!$B$4),IF(DATOS!$G10192="EX",1,IF(DATOS!$G10192="OR",--(COUNTIFS(nNIA,DATOS!$A10192,nCURSO,DATOS!$D10192,nESPEC,DATOS!$E10192,nASIG,DATOS!$I10192,nEVAL,"EX")=0),0))))</f>
      </c>
      <c r="H10192">
        <f>IF(DATOS!$G10192&lt;&gt;"EX",0,--(COUNTIFS(nNIA,DATOS!$A10192,nCURSO,DATOS!$D10192,nESPEC,DATOS!$E10192,nASIG,DATOS!$I10192,nEVAL,"OR")=0))</f>
      </c>
      <c r="I10192">
        <f>IF(DATOS!$I10192="","",IFERROR(VLOOKUP(DATOS!$I10192,CONFIG_ASIGNATURAS!$B$2:$J$91,9,FALSE()),""))</f>
      </c>
    </row>
    <row r="10193">
      <c r="F10193">
        <f>IF(DATOS!$A10193="","",DATOS!$A10193&amp;"|"&amp;DATOS!$D10193&amp;"|"&amp;DATOS!$E10193&amp;"|"&amp;DATOS!$I10193)</f>
      </c>
      <c r="G10193">
        <f>IF(DATOS!$A10193="",0,IF(CONFIG_METADATA!$B$4&lt;&gt;"OR+EX",--(DATOS!$G10193=CONFIG_METADATA!$B$4),IF(DATOS!$G10193="EX",1,IF(DATOS!$G10193="OR",--(COUNTIFS(nNIA,DATOS!$A10193,nCURSO,DATOS!$D10193,nESPEC,DATOS!$E10193,nASIG,DATOS!$I10193,nEVAL,"EX")=0),0))))</f>
      </c>
      <c r="H10193">
        <f>IF(DATOS!$G10193&lt;&gt;"EX",0,--(COUNTIFS(nNIA,DATOS!$A10193,nCURSO,DATOS!$D10193,nESPEC,DATOS!$E10193,nASIG,DATOS!$I10193,nEVAL,"OR")=0))</f>
      </c>
      <c r="I10193">
        <f>IF(DATOS!$I10193="","",IFERROR(VLOOKUP(DATOS!$I10193,CONFIG_ASIGNATURAS!$B$2:$J$91,9,FALSE()),""))</f>
      </c>
    </row>
    <row r="10194">
      <c r="F10194">
        <f>IF(DATOS!$A10194="","",DATOS!$A10194&amp;"|"&amp;DATOS!$D10194&amp;"|"&amp;DATOS!$E10194&amp;"|"&amp;DATOS!$I10194)</f>
      </c>
      <c r="G10194">
        <f>IF(DATOS!$A10194="",0,IF(CONFIG_METADATA!$B$4&lt;&gt;"OR+EX",--(DATOS!$G10194=CONFIG_METADATA!$B$4),IF(DATOS!$G10194="EX",1,IF(DATOS!$G10194="OR",--(COUNTIFS(nNIA,DATOS!$A10194,nCURSO,DATOS!$D10194,nESPEC,DATOS!$E10194,nASIG,DATOS!$I10194,nEVAL,"EX")=0),0))))</f>
      </c>
      <c r="H10194">
        <f>IF(DATOS!$G10194&lt;&gt;"EX",0,--(COUNTIFS(nNIA,DATOS!$A10194,nCURSO,DATOS!$D10194,nESPEC,DATOS!$E10194,nASIG,DATOS!$I10194,nEVAL,"OR")=0))</f>
      </c>
      <c r="I10194">
        <f>IF(DATOS!$I10194="","",IFERROR(VLOOKUP(DATOS!$I10194,CONFIG_ASIGNATURAS!$B$2:$J$91,9,FALSE()),""))</f>
      </c>
    </row>
    <row r="10195">
      <c r="F10195">
        <f>IF(DATOS!$A10195="","",DATOS!$A10195&amp;"|"&amp;DATOS!$D10195&amp;"|"&amp;DATOS!$E10195&amp;"|"&amp;DATOS!$I10195)</f>
      </c>
      <c r="G10195">
        <f>IF(DATOS!$A10195="",0,IF(CONFIG_METADATA!$B$4&lt;&gt;"OR+EX",--(DATOS!$G10195=CONFIG_METADATA!$B$4),IF(DATOS!$G10195="EX",1,IF(DATOS!$G10195="OR",--(COUNTIFS(nNIA,DATOS!$A10195,nCURSO,DATOS!$D10195,nESPEC,DATOS!$E10195,nASIG,DATOS!$I10195,nEVAL,"EX")=0),0))))</f>
      </c>
      <c r="H10195">
        <f>IF(DATOS!$G10195&lt;&gt;"EX",0,--(COUNTIFS(nNIA,DATOS!$A10195,nCURSO,DATOS!$D10195,nESPEC,DATOS!$E10195,nASIG,DATOS!$I10195,nEVAL,"OR")=0))</f>
      </c>
      <c r="I10195">
        <f>IF(DATOS!$I10195="","",IFERROR(VLOOKUP(DATOS!$I10195,CONFIG_ASIGNATURAS!$B$2:$J$91,9,FALSE()),""))</f>
      </c>
    </row>
    <row r="10196">
      <c r="F10196">
        <f>IF(DATOS!$A10196="","",DATOS!$A10196&amp;"|"&amp;DATOS!$D10196&amp;"|"&amp;DATOS!$E10196&amp;"|"&amp;DATOS!$I10196)</f>
      </c>
      <c r="G10196">
        <f>IF(DATOS!$A10196="",0,IF(CONFIG_METADATA!$B$4&lt;&gt;"OR+EX",--(DATOS!$G10196=CONFIG_METADATA!$B$4),IF(DATOS!$G10196="EX",1,IF(DATOS!$G10196="OR",--(COUNTIFS(nNIA,DATOS!$A10196,nCURSO,DATOS!$D10196,nESPEC,DATOS!$E10196,nASIG,DATOS!$I10196,nEVAL,"EX")=0),0))))</f>
      </c>
      <c r="H10196">
        <f>IF(DATOS!$G10196&lt;&gt;"EX",0,--(COUNTIFS(nNIA,DATOS!$A10196,nCURSO,DATOS!$D10196,nESPEC,DATOS!$E10196,nASIG,DATOS!$I10196,nEVAL,"OR")=0))</f>
      </c>
      <c r="I10196">
        <f>IF(DATOS!$I10196="","",IFERROR(VLOOKUP(DATOS!$I10196,CONFIG_ASIGNATURAS!$B$2:$J$91,9,FALSE()),""))</f>
      </c>
    </row>
    <row r="10197">
      <c r="F10197">
        <f>IF(DATOS!$A10197="","",DATOS!$A10197&amp;"|"&amp;DATOS!$D10197&amp;"|"&amp;DATOS!$E10197&amp;"|"&amp;DATOS!$I10197)</f>
      </c>
      <c r="G10197">
        <f>IF(DATOS!$A10197="",0,IF(CONFIG_METADATA!$B$4&lt;&gt;"OR+EX",--(DATOS!$G10197=CONFIG_METADATA!$B$4),IF(DATOS!$G10197="EX",1,IF(DATOS!$G10197="OR",--(COUNTIFS(nNIA,DATOS!$A10197,nCURSO,DATOS!$D10197,nESPEC,DATOS!$E10197,nASIG,DATOS!$I10197,nEVAL,"EX")=0),0))))</f>
      </c>
      <c r="H10197">
        <f>IF(DATOS!$G10197&lt;&gt;"EX",0,--(COUNTIFS(nNIA,DATOS!$A10197,nCURSO,DATOS!$D10197,nESPEC,DATOS!$E10197,nASIG,DATOS!$I10197,nEVAL,"OR")=0))</f>
      </c>
      <c r="I10197">
        <f>IF(DATOS!$I10197="","",IFERROR(VLOOKUP(DATOS!$I10197,CONFIG_ASIGNATURAS!$B$2:$J$91,9,FALSE()),""))</f>
      </c>
    </row>
    <row r="10198">
      <c r="F10198">
        <f>IF(DATOS!$A10198="","",DATOS!$A10198&amp;"|"&amp;DATOS!$D10198&amp;"|"&amp;DATOS!$E10198&amp;"|"&amp;DATOS!$I10198)</f>
      </c>
      <c r="G10198">
        <f>IF(DATOS!$A10198="",0,IF(CONFIG_METADATA!$B$4&lt;&gt;"OR+EX",--(DATOS!$G10198=CONFIG_METADATA!$B$4),IF(DATOS!$G10198="EX",1,IF(DATOS!$G10198="OR",--(COUNTIFS(nNIA,DATOS!$A10198,nCURSO,DATOS!$D10198,nESPEC,DATOS!$E10198,nASIG,DATOS!$I10198,nEVAL,"EX")=0),0))))</f>
      </c>
      <c r="H10198">
        <f>IF(DATOS!$G10198&lt;&gt;"EX",0,--(COUNTIFS(nNIA,DATOS!$A10198,nCURSO,DATOS!$D10198,nESPEC,DATOS!$E10198,nASIG,DATOS!$I10198,nEVAL,"OR")=0))</f>
      </c>
      <c r="I10198">
        <f>IF(DATOS!$I10198="","",IFERROR(VLOOKUP(DATOS!$I10198,CONFIG_ASIGNATURAS!$B$2:$J$91,9,FALSE()),""))</f>
      </c>
    </row>
    <row r="10199">
      <c r="F10199">
        <f>IF(DATOS!$A10199="","",DATOS!$A10199&amp;"|"&amp;DATOS!$D10199&amp;"|"&amp;DATOS!$E10199&amp;"|"&amp;DATOS!$I10199)</f>
      </c>
      <c r="G10199">
        <f>IF(DATOS!$A10199="",0,IF(CONFIG_METADATA!$B$4&lt;&gt;"OR+EX",--(DATOS!$G10199=CONFIG_METADATA!$B$4),IF(DATOS!$G10199="EX",1,IF(DATOS!$G10199="OR",--(COUNTIFS(nNIA,DATOS!$A10199,nCURSO,DATOS!$D10199,nESPEC,DATOS!$E10199,nASIG,DATOS!$I10199,nEVAL,"EX")=0),0))))</f>
      </c>
      <c r="H10199">
        <f>IF(DATOS!$G10199&lt;&gt;"EX",0,--(COUNTIFS(nNIA,DATOS!$A10199,nCURSO,DATOS!$D10199,nESPEC,DATOS!$E10199,nASIG,DATOS!$I10199,nEVAL,"OR")=0))</f>
      </c>
      <c r="I10199">
        <f>IF(DATOS!$I10199="","",IFERROR(VLOOKUP(DATOS!$I10199,CONFIG_ASIGNATURAS!$B$2:$J$91,9,FALSE()),""))</f>
      </c>
    </row>
    <row r="10200">
      <c r="F10200">
        <f>IF(DATOS!$A10200="","",DATOS!$A10200&amp;"|"&amp;DATOS!$D10200&amp;"|"&amp;DATOS!$E10200&amp;"|"&amp;DATOS!$I10200)</f>
      </c>
      <c r="G10200">
        <f>IF(DATOS!$A10200="",0,IF(CONFIG_METADATA!$B$4&lt;&gt;"OR+EX",--(DATOS!$G10200=CONFIG_METADATA!$B$4),IF(DATOS!$G10200="EX",1,IF(DATOS!$G10200="OR",--(COUNTIFS(nNIA,DATOS!$A10200,nCURSO,DATOS!$D10200,nESPEC,DATOS!$E10200,nASIG,DATOS!$I10200,nEVAL,"EX")=0),0))))</f>
      </c>
      <c r="H10200">
        <f>IF(DATOS!$G10200&lt;&gt;"EX",0,--(COUNTIFS(nNIA,DATOS!$A10200,nCURSO,DATOS!$D10200,nESPEC,DATOS!$E10200,nASIG,DATOS!$I10200,nEVAL,"OR")=0))</f>
      </c>
      <c r="I10200">
        <f>IF(DATOS!$I10200="","",IFERROR(VLOOKUP(DATOS!$I10200,CONFIG_ASIGNATURAS!$B$2:$J$91,9,FALSE()),""))</f>
      </c>
    </row>
    <row r="10201">
      <c r="F10201">
        <f>IF(DATOS!$A10201="","",DATOS!$A10201&amp;"|"&amp;DATOS!$D10201&amp;"|"&amp;DATOS!$E10201&amp;"|"&amp;DATOS!$I10201)</f>
      </c>
      <c r="G10201">
        <f>IF(DATOS!$A10201="",0,IF(CONFIG_METADATA!$B$4&lt;&gt;"OR+EX",--(DATOS!$G10201=CONFIG_METADATA!$B$4),IF(DATOS!$G10201="EX",1,IF(DATOS!$G10201="OR",--(COUNTIFS(nNIA,DATOS!$A10201,nCURSO,DATOS!$D10201,nESPEC,DATOS!$E10201,nASIG,DATOS!$I10201,nEVAL,"EX")=0),0))))</f>
      </c>
      <c r="H10201">
        <f>IF(DATOS!$G10201&lt;&gt;"EX",0,--(COUNTIFS(nNIA,DATOS!$A10201,nCURSO,DATOS!$D10201,nESPEC,DATOS!$E10201,nASIG,DATOS!$I10201,nEVAL,"OR")=0))</f>
      </c>
      <c r="I10201">
        <f>IF(DATOS!$I10201="","",IFERROR(VLOOKUP(DATOS!$I10201,CONFIG_ASIGNATURAS!$B$2:$J$91,9,FALSE()),""))</f>
      </c>
    </row>
    <row r="10202">
      <c r="F10202">
        <f>IF(DATOS!$A10202="","",DATOS!$A10202&amp;"|"&amp;DATOS!$D10202&amp;"|"&amp;DATOS!$E10202&amp;"|"&amp;DATOS!$I10202)</f>
      </c>
      <c r="G10202">
        <f>IF(DATOS!$A10202="",0,IF(CONFIG_METADATA!$B$4&lt;&gt;"OR+EX",--(DATOS!$G10202=CONFIG_METADATA!$B$4),IF(DATOS!$G10202="EX",1,IF(DATOS!$G10202="OR",--(COUNTIFS(nNIA,DATOS!$A10202,nCURSO,DATOS!$D10202,nESPEC,DATOS!$E10202,nASIG,DATOS!$I10202,nEVAL,"EX")=0),0))))</f>
      </c>
      <c r="H10202">
        <f>IF(DATOS!$G10202&lt;&gt;"EX",0,--(COUNTIFS(nNIA,DATOS!$A10202,nCURSO,DATOS!$D10202,nESPEC,DATOS!$E10202,nASIG,DATOS!$I10202,nEVAL,"OR")=0))</f>
      </c>
      <c r="I10202">
        <f>IF(DATOS!$I10202="","",IFERROR(VLOOKUP(DATOS!$I10202,CONFIG_ASIGNATURAS!$B$2:$J$91,9,FALSE()),""))</f>
      </c>
    </row>
    <row r="10203">
      <c r="F10203">
        <f>IF(DATOS!$A10203="","",DATOS!$A10203&amp;"|"&amp;DATOS!$D10203&amp;"|"&amp;DATOS!$E10203&amp;"|"&amp;DATOS!$I10203)</f>
      </c>
      <c r="G10203">
        <f>IF(DATOS!$A10203="",0,IF(CONFIG_METADATA!$B$4&lt;&gt;"OR+EX",--(DATOS!$G10203=CONFIG_METADATA!$B$4),IF(DATOS!$G10203="EX",1,IF(DATOS!$G10203="OR",--(COUNTIFS(nNIA,DATOS!$A10203,nCURSO,DATOS!$D10203,nESPEC,DATOS!$E10203,nASIG,DATOS!$I10203,nEVAL,"EX")=0),0))))</f>
      </c>
      <c r="H10203">
        <f>IF(DATOS!$G10203&lt;&gt;"EX",0,--(COUNTIFS(nNIA,DATOS!$A10203,nCURSO,DATOS!$D10203,nESPEC,DATOS!$E10203,nASIG,DATOS!$I10203,nEVAL,"OR")=0))</f>
      </c>
      <c r="I10203">
        <f>IF(DATOS!$I10203="","",IFERROR(VLOOKUP(DATOS!$I10203,CONFIG_ASIGNATURAS!$B$2:$J$91,9,FALSE()),""))</f>
      </c>
    </row>
    <row r="10204">
      <c r="F10204">
        <f>IF(DATOS!$A10204="","",DATOS!$A10204&amp;"|"&amp;DATOS!$D10204&amp;"|"&amp;DATOS!$E10204&amp;"|"&amp;DATOS!$I10204)</f>
      </c>
      <c r="G10204">
        <f>IF(DATOS!$A10204="",0,IF(CONFIG_METADATA!$B$4&lt;&gt;"OR+EX",--(DATOS!$G10204=CONFIG_METADATA!$B$4),IF(DATOS!$G10204="EX",1,IF(DATOS!$G10204="OR",--(COUNTIFS(nNIA,DATOS!$A10204,nCURSO,DATOS!$D10204,nESPEC,DATOS!$E10204,nASIG,DATOS!$I10204,nEVAL,"EX")=0),0))))</f>
      </c>
      <c r="H10204">
        <f>IF(DATOS!$G10204&lt;&gt;"EX",0,--(COUNTIFS(nNIA,DATOS!$A10204,nCURSO,DATOS!$D10204,nESPEC,DATOS!$E10204,nASIG,DATOS!$I10204,nEVAL,"OR")=0))</f>
      </c>
      <c r="I10204">
        <f>IF(DATOS!$I10204="","",IFERROR(VLOOKUP(DATOS!$I10204,CONFIG_ASIGNATURAS!$B$2:$J$91,9,FALSE()),""))</f>
      </c>
    </row>
    <row r="10205">
      <c r="F10205">
        <f>IF(DATOS!$A10205="","",DATOS!$A10205&amp;"|"&amp;DATOS!$D10205&amp;"|"&amp;DATOS!$E10205&amp;"|"&amp;DATOS!$I10205)</f>
      </c>
      <c r="G10205">
        <f>IF(DATOS!$A10205="",0,IF(CONFIG_METADATA!$B$4&lt;&gt;"OR+EX",--(DATOS!$G10205=CONFIG_METADATA!$B$4),IF(DATOS!$G10205="EX",1,IF(DATOS!$G10205="OR",--(COUNTIFS(nNIA,DATOS!$A10205,nCURSO,DATOS!$D10205,nESPEC,DATOS!$E10205,nASIG,DATOS!$I10205,nEVAL,"EX")=0),0))))</f>
      </c>
      <c r="H10205">
        <f>IF(DATOS!$G10205&lt;&gt;"EX",0,--(COUNTIFS(nNIA,DATOS!$A10205,nCURSO,DATOS!$D10205,nESPEC,DATOS!$E10205,nASIG,DATOS!$I10205,nEVAL,"OR")=0))</f>
      </c>
      <c r="I10205">
        <f>IF(DATOS!$I10205="","",IFERROR(VLOOKUP(DATOS!$I10205,CONFIG_ASIGNATURAS!$B$2:$J$91,9,FALSE()),""))</f>
      </c>
    </row>
    <row r="10206">
      <c r="F10206">
        <f>IF(DATOS!$A10206="","",DATOS!$A10206&amp;"|"&amp;DATOS!$D10206&amp;"|"&amp;DATOS!$E10206&amp;"|"&amp;DATOS!$I10206)</f>
      </c>
      <c r="G10206">
        <f>IF(DATOS!$A10206="",0,IF(CONFIG_METADATA!$B$4&lt;&gt;"OR+EX",--(DATOS!$G10206=CONFIG_METADATA!$B$4),IF(DATOS!$G10206="EX",1,IF(DATOS!$G10206="OR",--(COUNTIFS(nNIA,DATOS!$A10206,nCURSO,DATOS!$D10206,nESPEC,DATOS!$E10206,nASIG,DATOS!$I10206,nEVAL,"EX")=0),0))))</f>
      </c>
      <c r="H10206">
        <f>IF(DATOS!$G10206&lt;&gt;"EX",0,--(COUNTIFS(nNIA,DATOS!$A10206,nCURSO,DATOS!$D10206,nESPEC,DATOS!$E10206,nASIG,DATOS!$I10206,nEVAL,"OR")=0))</f>
      </c>
      <c r="I10206">
        <f>IF(DATOS!$I10206="","",IFERROR(VLOOKUP(DATOS!$I10206,CONFIG_ASIGNATURAS!$B$2:$J$91,9,FALSE()),""))</f>
      </c>
    </row>
    <row r="10207">
      <c r="F10207">
        <f>IF(DATOS!$A10207="","",DATOS!$A10207&amp;"|"&amp;DATOS!$D10207&amp;"|"&amp;DATOS!$E10207&amp;"|"&amp;DATOS!$I10207)</f>
      </c>
      <c r="G10207">
        <f>IF(DATOS!$A10207="",0,IF(CONFIG_METADATA!$B$4&lt;&gt;"OR+EX",--(DATOS!$G10207=CONFIG_METADATA!$B$4),IF(DATOS!$G10207="EX",1,IF(DATOS!$G10207="OR",--(COUNTIFS(nNIA,DATOS!$A10207,nCURSO,DATOS!$D10207,nESPEC,DATOS!$E10207,nASIG,DATOS!$I10207,nEVAL,"EX")=0),0))))</f>
      </c>
      <c r="H10207">
        <f>IF(DATOS!$G10207&lt;&gt;"EX",0,--(COUNTIFS(nNIA,DATOS!$A10207,nCURSO,DATOS!$D10207,nESPEC,DATOS!$E10207,nASIG,DATOS!$I10207,nEVAL,"OR")=0))</f>
      </c>
      <c r="I10207">
        <f>IF(DATOS!$I10207="","",IFERROR(VLOOKUP(DATOS!$I10207,CONFIG_ASIGNATURAS!$B$2:$J$91,9,FALSE()),""))</f>
      </c>
    </row>
    <row r="10208">
      <c r="F10208">
        <f>IF(DATOS!$A10208="","",DATOS!$A10208&amp;"|"&amp;DATOS!$D10208&amp;"|"&amp;DATOS!$E10208&amp;"|"&amp;DATOS!$I10208)</f>
      </c>
      <c r="G10208">
        <f>IF(DATOS!$A10208="",0,IF(CONFIG_METADATA!$B$4&lt;&gt;"OR+EX",--(DATOS!$G10208=CONFIG_METADATA!$B$4),IF(DATOS!$G10208="EX",1,IF(DATOS!$G10208="OR",--(COUNTIFS(nNIA,DATOS!$A10208,nCURSO,DATOS!$D10208,nESPEC,DATOS!$E10208,nASIG,DATOS!$I10208,nEVAL,"EX")=0),0))))</f>
      </c>
      <c r="H10208">
        <f>IF(DATOS!$G10208&lt;&gt;"EX",0,--(COUNTIFS(nNIA,DATOS!$A10208,nCURSO,DATOS!$D10208,nESPEC,DATOS!$E10208,nASIG,DATOS!$I10208,nEVAL,"OR")=0))</f>
      </c>
      <c r="I10208">
        <f>IF(DATOS!$I10208="","",IFERROR(VLOOKUP(DATOS!$I10208,CONFIG_ASIGNATURAS!$B$2:$J$91,9,FALSE()),""))</f>
      </c>
    </row>
    <row r="10209">
      <c r="F10209">
        <f>IF(DATOS!$A10209="","",DATOS!$A10209&amp;"|"&amp;DATOS!$D10209&amp;"|"&amp;DATOS!$E10209&amp;"|"&amp;DATOS!$I10209)</f>
      </c>
      <c r="G10209">
        <f>IF(DATOS!$A10209="",0,IF(CONFIG_METADATA!$B$4&lt;&gt;"OR+EX",--(DATOS!$G10209=CONFIG_METADATA!$B$4),IF(DATOS!$G10209="EX",1,IF(DATOS!$G10209="OR",--(COUNTIFS(nNIA,DATOS!$A10209,nCURSO,DATOS!$D10209,nESPEC,DATOS!$E10209,nASIG,DATOS!$I10209,nEVAL,"EX")=0),0))))</f>
      </c>
      <c r="H10209">
        <f>IF(DATOS!$G10209&lt;&gt;"EX",0,--(COUNTIFS(nNIA,DATOS!$A10209,nCURSO,DATOS!$D10209,nESPEC,DATOS!$E10209,nASIG,DATOS!$I10209,nEVAL,"OR")=0))</f>
      </c>
      <c r="I10209">
        <f>IF(DATOS!$I10209="","",IFERROR(VLOOKUP(DATOS!$I10209,CONFIG_ASIGNATURAS!$B$2:$J$91,9,FALSE()),""))</f>
      </c>
    </row>
    <row r="10210">
      <c r="F10210">
        <f>IF(DATOS!$A10210="","",DATOS!$A10210&amp;"|"&amp;DATOS!$D10210&amp;"|"&amp;DATOS!$E10210&amp;"|"&amp;DATOS!$I10210)</f>
      </c>
      <c r="G10210">
        <f>IF(DATOS!$A10210="",0,IF(CONFIG_METADATA!$B$4&lt;&gt;"OR+EX",--(DATOS!$G10210=CONFIG_METADATA!$B$4),IF(DATOS!$G10210="EX",1,IF(DATOS!$G10210="OR",--(COUNTIFS(nNIA,DATOS!$A10210,nCURSO,DATOS!$D10210,nESPEC,DATOS!$E10210,nASIG,DATOS!$I10210,nEVAL,"EX")=0),0))))</f>
      </c>
      <c r="H10210">
        <f>IF(DATOS!$G10210&lt;&gt;"EX",0,--(COUNTIFS(nNIA,DATOS!$A10210,nCURSO,DATOS!$D10210,nESPEC,DATOS!$E10210,nASIG,DATOS!$I10210,nEVAL,"OR")=0))</f>
      </c>
      <c r="I10210">
        <f>IF(DATOS!$I10210="","",IFERROR(VLOOKUP(DATOS!$I10210,CONFIG_ASIGNATURAS!$B$2:$J$91,9,FALSE()),""))</f>
      </c>
    </row>
    <row r="10211">
      <c r="F10211">
        <f>IF(DATOS!$A10211="","",DATOS!$A10211&amp;"|"&amp;DATOS!$D10211&amp;"|"&amp;DATOS!$E10211&amp;"|"&amp;DATOS!$I10211)</f>
      </c>
      <c r="G10211">
        <f>IF(DATOS!$A10211="",0,IF(CONFIG_METADATA!$B$4&lt;&gt;"OR+EX",--(DATOS!$G10211=CONFIG_METADATA!$B$4),IF(DATOS!$G10211="EX",1,IF(DATOS!$G10211="OR",--(COUNTIFS(nNIA,DATOS!$A10211,nCURSO,DATOS!$D10211,nESPEC,DATOS!$E10211,nASIG,DATOS!$I10211,nEVAL,"EX")=0),0))))</f>
      </c>
      <c r="H10211">
        <f>IF(DATOS!$G10211&lt;&gt;"EX",0,--(COUNTIFS(nNIA,DATOS!$A10211,nCURSO,DATOS!$D10211,nESPEC,DATOS!$E10211,nASIG,DATOS!$I10211,nEVAL,"OR")=0))</f>
      </c>
      <c r="I10211">
        <f>IF(DATOS!$I10211="","",IFERROR(VLOOKUP(DATOS!$I10211,CONFIG_ASIGNATURAS!$B$2:$J$91,9,FALSE()),""))</f>
      </c>
    </row>
    <row r="10212">
      <c r="F10212">
        <f>IF(DATOS!$A10212="","",DATOS!$A10212&amp;"|"&amp;DATOS!$D10212&amp;"|"&amp;DATOS!$E10212&amp;"|"&amp;DATOS!$I10212)</f>
      </c>
      <c r="G10212">
        <f>IF(DATOS!$A10212="",0,IF(CONFIG_METADATA!$B$4&lt;&gt;"OR+EX",--(DATOS!$G10212=CONFIG_METADATA!$B$4),IF(DATOS!$G10212="EX",1,IF(DATOS!$G10212="OR",--(COUNTIFS(nNIA,DATOS!$A10212,nCURSO,DATOS!$D10212,nESPEC,DATOS!$E10212,nASIG,DATOS!$I10212,nEVAL,"EX")=0),0))))</f>
      </c>
      <c r="H10212">
        <f>IF(DATOS!$G10212&lt;&gt;"EX",0,--(COUNTIFS(nNIA,DATOS!$A10212,nCURSO,DATOS!$D10212,nESPEC,DATOS!$E10212,nASIG,DATOS!$I10212,nEVAL,"OR")=0))</f>
      </c>
      <c r="I10212">
        <f>IF(DATOS!$I10212="","",IFERROR(VLOOKUP(DATOS!$I10212,CONFIG_ASIGNATURAS!$B$2:$J$91,9,FALSE()),""))</f>
      </c>
    </row>
    <row r="10213">
      <c r="F10213">
        <f>IF(DATOS!$A10213="","",DATOS!$A10213&amp;"|"&amp;DATOS!$D10213&amp;"|"&amp;DATOS!$E10213&amp;"|"&amp;DATOS!$I10213)</f>
      </c>
      <c r="G10213">
        <f>IF(DATOS!$A10213="",0,IF(CONFIG_METADATA!$B$4&lt;&gt;"OR+EX",--(DATOS!$G10213=CONFIG_METADATA!$B$4),IF(DATOS!$G10213="EX",1,IF(DATOS!$G10213="OR",--(COUNTIFS(nNIA,DATOS!$A10213,nCURSO,DATOS!$D10213,nESPEC,DATOS!$E10213,nASIG,DATOS!$I10213,nEVAL,"EX")=0),0))))</f>
      </c>
      <c r="H10213">
        <f>IF(DATOS!$G10213&lt;&gt;"EX",0,--(COUNTIFS(nNIA,DATOS!$A10213,nCURSO,DATOS!$D10213,nESPEC,DATOS!$E10213,nASIG,DATOS!$I10213,nEVAL,"OR")=0))</f>
      </c>
      <c r="I10213">
        <f>IF(DATOS!$I10213="","",IFERROR(VLOOKUP(DATOS!$I10213,CONFIG_ASIGNATURAS!$B$2:$J$91,9,FALSE()),""))</f>
      </c>
    </row>
    <row r="10214">
      <c r="F10214">
        <f>IF(DATOS!$A10214="","",DATOS!$A10214&amp;"|"&amp;DATOS!$D10214&amp;"|"&amp;DATOS!$E10214&amp;"|"&amp;DATOS!$I10214)</f>
      </c>
      <c r="G10214">
        <f>IF(DATOS!$A10214="",0,IF(CONFIG_METADATA!$B$4&lt;&gt;"OR+EX",--(DATOS!$G10214=CONFIG_METADATA!$B$4),IF(DATOS!$G10214="EX",1,IF(DATOS!$G10214="OR",--(COUNTIFS(nNIA,DATOS!$A10214,nCURSO,DATOS!$D10214,nESPEC,DATOS!$E10214,nASIG,DATOS!$I10214,nEVAL,"EX")=0),0))))</f>
      </c>
      <c r="H10214">
        <f>IF(DATOS!$G10214&lt;&gt;"EX",0,--(COUNTIFS(nNIA,DATOS!$A10214,nCURSO,DATOS!$D10214,nESPEC,DATOS!$E10214,nASIG,DATOS!$I10214,nEVAL,"OR")=0))</f>
      </c>
      <c r="I10214">
        <f>IF(DATOS!$I10214="","",IFERROR(VLOOKUP(DATOS!$I10214,CONFIG_ASIGNATURAS!$B$2:$J$91,9,FALSE()),""))</f>
      </c>
    </row>
    <row r="10215">
      <c r="F10215">
        <f>IF(DATOS!$A10215="","",DATOS!$A10215&amp;"|"&amp;DATOS!$D10215&amp;"|"&amp;DATOS!$E10215&amp;"|"&amp;DATOS!$I10215)</f>
      </c>
      <c r="G10215">
        <f>IF(DATOS!$A10215="",0,IF(CONFIG_METADATA!$B$4&lt;&gt;"OR+EX",--(DATOS!$G10215=CONFIG_METADATA!$B$4),IF(DATOS!$G10215="EX",1,IF(DATOS!$G10215="OR",--(COUNTIFS(nNIA,DATOS!$A10215,nCURSO,DATOS!$D10215,nESPEC,DATOS!$E10215,nASIG,DATOS!$I10215,nEVAL,"EX")=0),0))))</f>
      </c>
      <c r="H10215">
        <f>IF(DATOS!$G10215&lt;&gt;"EX",0,--(COUNTIFS(nNIA,DATOS!$A10215,nCURSO,DATOS!$D10215,nESPEC,DATOS!$E10215,nASIG,DATOS!$I10215,nEVAL,"OR")=0))</f>
      </c>
      <c r="I10215">
        <f>IF(DATOS!$I10215="","",IFERROR(VLOOKUP(DATOS!$I10215,CONFIG_ASIGNATURAS!$B$2:$J$91,9,FALSE()),""))</f>
      </c>
    </row>
    <row r="10216">
      <c r="F10216">
        <f>IF(DATOS!$A10216="","",DATOS!$A10216&amp;"|"&amp;DATOS!$D10216&amp;"|"&amp;DATOS!$E10216&amp;"|"&amp;DATOS!$I10216)</f>
      </c>
      <c r="G10216">
        <f>IF(DATOS!$A10216="",0,IF(CONFIG_METADATA!$B$4&lt;&gt;"OR+EX",--(DATOS!$G10216=CONFIG_METADATA!$B$4),IF(DATOS!$G10216="EX",1,IF(DATOS!$G10216="OR",--(COUNTIFS(nNIA,DATOS!$A10216,nCURSO,DATOS!$D10216,nESPEC,DATOS!$E10216,nASIG,DATOS!$I10216,nEVAL,"EX")=0),0))))</f>
      </c>
      <c r="H10216">
        <f>IF(DATOS!$G10216&lt;&gt;"EX",0,--(COUNTIFS(nNIA,DATOS!$A10216,nCURSO,DATOS!$D10216,nESPEC,DATOS!$E10216,nASIG,DATOS!$I10216,nEVAL,"OR")=0))</f>
      </c>
      <c r="I10216">
        <f>IF(DATOS!$I10216="","",IFERROR(VLOOKUP(DATOS!$I10216,CONFIG_ASIGNATURAS!$B$2:$J$91,9,FALSE()),""))</f>
      </c>
    </row>
    <row r="10217">
      <c r="F10217">
        <f>IF(DATOS!$A10217="","",DATOS!$A10217&amp;"|"&amp;DATOS!$D10217&amp;"|"&amp;DATOS!$E10217&amp;"|"&amp;DATOS!$I10217)</f>
      </c>
      <c r="G10217">
        <f>IF(DATOS!$A10217="",0,IF(CONFIG_METADATA!$B$4&lt;&gt;"OR+EX",--(DATOS!$G10217=CONFIG_METADATA!$B$4),IF(DATOS!$G10217="EX",1,IF(DATOS!$G10217="OR",--(COUNTIFS(nNIA,DATOS!$A10217,nCURSO,DATOS!$D10217,nESPEC,DATOS!$E10217,nASIG,DATOS!$I10217,nEVAL,"EX")=0),0))))</f>
      </c>
      <c r="H10217">
        <f>IF(DATOS!$G10217&lt;&gt;"EX",0,--(COUNTIFS(nNIA,DATOS!$A10217,nCURSO,DATOS!$D10217,nESPEC,DATOS!$E10217,nASIG,DATOS!$I10217,nEVAL,"OR")=0))</f>
      </c>
      <c r="I10217">
        <f>IF(DATOS!$I10217="","",IFERROR(VLOOKUP(DATOS!$I10217,CONFIG_ASIGNATURAS!$B$2:$J$91,9,FALSE()),""))</f>
      </c>
    </row>
    <row r="10218">
      <c r="F10218">
        <f>IF(DATOS!$A10218="","",DATOS!$A10218&amp;"|"&amp;DATOS!$D10218&amp;"|"&amp;DATOS!$E10218&amp;"|"&amp;DATOS!$I10218)</f>
      </c>
      <c r="G10218">
        <f>IF(DATOS!$A10218="",0,IF(CONFIG_METADATA!$B$4&lt;&gt;"OR+EX",--(DATOS!$G10218=CONFIG_METADATA!$B$4),IF(DATOS!$G10218="EX",1,IF(DATOS!$G10218="OR",--(COUNTIFS(nNIA,DATOS!$A10218,nCURSO,DATOS!$D10218,nESPEC,DATOS!$E10218,nASIG,DATOS!$I10218,nEVAL,"EX")=0),0))))</f>
      </c>
      <c r="H10218">
        <f>IF(DATOS!$G10218&lt;&gt;"EX",0,--(COUNTIFS(nNIA,DATOS!$A10218,nCURSO,DATOS!$D10218,nESPEC,DATOS!$E10218,nASIG,DATOS!$I10218,nEVAL,"OR")=0))</f>
      </c>
      <c r="I10218">
        <f>IF(DATOS!$I10218="","",IFERROR(VLOOKUP(DATOS!$I10218,CONFIG_ASIGNATURAS!$B$2:$J$91,9,FALSE()),""))</f>
      </c>
    </row>
    <row r="10219">
      <c r="F10219">
        <f>IF(DATOS!$A10219="","",DATOS!$A10219&amp;"|"&amp;DATOS!$D10219&amp;"|"&amp;DATOS!$E10219&amp;"|"&amp;DATOS!$I10219)</f>
      </c>
      <c r="G10219">
        <f>IF(DATOS!$A10219="",0,IF(CONFIG_METADATA!$B$4&lt;&gt;"OR+EX",--(DATOS!$G10219=CONFIG_METADATA!$B$4),IF(DATOS!$G10219="EX",1,IF(DATOS!$G10219="OR",--(COUNTIFS(nNIA,DATOS!$A10219,nCURSO,DATOS!$D10219,nESPEC,DATOS!$E10219,nASIG,DATOS!$I10219,nEVAL,"EX")=0),0))))</f>
      </c>
      <c r="H10219">
        <f>IF(DATOS!$G10219&lt;&gt;"EX",0,--(COUNTIFS(nNIA,DATOS!$A10219,nCURSO,DATOS!$D10219,nESPEC,DATOS!$E10219,nASIG,DATOS!$I10219,nEVAL,"OR")=0))</f>
      </c>
      <c r="I10219">
        <f>IF(DATOS!$I10219="","",IFERROR(VLOOKUP(DATOS!$I10219,CONFIG_ASIGNATURAS!$B$2:$J$91,9,FALSE()),""))</f>
      </c>
    </row>
    <row r="10220">
      <c r="F10220">
        <f>IF(DATOS!$A10220="","",DATOS!$A10220&amp;"|"&amp;DATOS!$D10220&amp;"|"&amp;DATOS!$E10220&amp;"|"&amp;DATOS!$I10220)</f>
      </c>
      <c r="G10220">
        <f>IF(DATOS!$A10220="",0,IF(CONFIG_METADATA!$B$4&lt;&gt;"OR+EX",--(DATOS!$G10220=CONFIG_METADATA!$B$4),IF(DATOS!$G10220="EX",1,IF(DATOS!$G10220="OR",--(COUNTIFS(nNIA,DATOS!$A10220,nCURSO,DATOS!$D10220,nESPEC,DATOS!$E10220,nASIG,DATOS!$I10220,nEVAL,"EX")=0),0))))</f>
      </c>
      <c r="H10220">
        <f>IF(DATOS!$G10220&lt;&gt;"EX",0,--(COUNTIFS(nNIA,DATOS!$A10220,nCURSO,DATOS!$D10220,nESPEC,DATOS!$E10220,nASIG,DATOS!$I10220,nEVAL,"OR")=0))</f>
      </c>
      <c r="I10220">
        <f>IF(DATOS!$I10220="","",IFERROR(VLOOKUP(DATOS!$I10220,CONFIG_ASIGNATURAS!$B$2:$J$91,9,FALSE()),""))</f>
      </c>
    </row>
    <row r="10221">
      <c r="F10221">
        <f>IF(DATOS!$A10221="","",DATOS!$A10221&amp;"|"&amp;DATOS!$D10221&amp;"|"&amp;DATOS!$E10221&amp;"|"&amp;DATOS!$I10221)</f>
      </c>
      <c r="G10221">
        <f>IF(DATOS!$A10221="",0,IF(CONFIG_METADATA!$B$4&lt;&gt;"OR+EX",--(DATOS!$G10221=CONFIG_METADATA!$B$4),IF(DATOS!$G10221="EX",1,IF(DATOS!$G10221="OR",--(COUNTIFS(nNIA,DATOS!$A10221,nCURSO,DATOS!$D10221,nESPEC,DATOS!$E10221,nASIG,DATOS!$I10221,nEVAL,"EX")=0),0))))</f>
      </c>
      <c r="H10221">
        <f>IF(DATOS!$G10221&lt;&gt;"EX",0,--(COUNTIFS(nNIA,DATOS!$A10221,nCURSO,DATOS!$D10221,nESPEC,DATOS!$E10221,nASIG,DATOS!$I10221,nEVAL,"OR")=0))</f>
      </c>
      <c r="I10221">
        <f>IF(DATOS!$I10221="","",IFERROR(VLOOKUP(DATOS!$I10221,CONFIG_ASIGNATURAS!$B$2:$J$91,9,FALSE()),""))</f>
      </c>
    </row>
    <row r="10222">
      <c r="F10222">
        <f>IF(DATOS!$A10222="","",DATOS!$A10222&amp;"|"&amp;DATOS!$D10222&amp;"|"&amp;DATOS!$E10222&amp;"|"&amp;DATOS!$I10222)</f>
      </c>
      <c r="G10222">
        <f>IF(DATOS!$A10222="",0,IF(CONFIG_METADATA!$B$4&lt;&gt;"OR+EX",--(DATOS!$G10222=CONFIG_METADATA!$B$4),IF(DATOS!$G10222="EX",1,IF(DATOS!$G10222="OR",--(COUNTIFS(nNIA,DATOS!$A10222,nCURSO,DATOS!$D10222,nESPEC,DATOS!$E10222,nASIG,DATOS!$I10222,nEVAL,"EX")=0),0))))</f>
      </c>
      <c r="H10222">
        <f>IF(DATOS!$G10222&lt;&gt;"EX",0,--(COUNTIFS(nNIA,DATOS!$A10222,nCURSO,DATOS!$D10222,nESPEC,DATOS!$E10222,nASIG,DATOS!$I10222,nEVAL,"OR")=0))</f>
      </c>
      <c r="I10222">
        <f>IF(DATOS!$I10222="","",IFERROR(VLOOKUP(DATOS!$I10222,CONFIG_ASIGNATURAS!$B$2:$J$91,9,FALSE()),""))</f>
      </c>
    </row>
    <row r="10223">
      <c r="F10223">
        <f>IF(DATOS!$A10223="","",DATOS!$A10223&amp;"|"&amp;DATOS!$D10223&amp;"|"&amp;DATOS!$E10223&amp;"|"&amp;DATOS!$I10223)</f>
      </c>
      <c r="G10223">
        <f>IF(DATOS!$A10223="",0,IF(CONFIG_METADATA!$B$4&lt;&gt;"OR+EX",--(DATOS!$G10223=CONFIG_METADATA!$B$4),IF(DATOS!$G10223="EX",1,IF(DATOS!$G10223="OR",--(COUNTIFS(nNIA,DATOS!$A10223,nCURSO,DATOS!$D10223,nESPEC,DATOS!$E10223,nASIG,DATOS!$I10223,nEVAL,"EX")=0),0))))</f>
      </c>
      <c r="H10223">
        <f>IF(DATOS!$G10223&lt;&gt;"EX",0,--(COUNTIFS(nNIA,DATOS!$A10223,nCURSO,DATOS!$D10223,nESPEC,DATOS!$E10223,nASIG,DATOS!$I10223,nEVAL,"OR")=0))</f>
      </c>
      <c r="I10223">
        <f>IF(DATOS!$I10223="","",IFERROR(VLOOKUP(DATOS!$I10223,CONFIG_ASIGNATURAS!$B$2:$J$91,9,FALSE()),""))</f>
      </c>
    </row>
    <row r="10224">
      <c r="F10224">
        <f>IF(DATOS!$A10224="","",DATOS!$A10224&amp;"|"&amp;DATOS!$D10224&amp;"|"&amp;DATOS!$E10224&amp;"|"&amp;DATOS!$I10224)</f>
      </c>
      <c r="G10224">
        <f>IF(DATOS!$A10224="",0,IF(CONFIG_METADATA!$B$4&lt;&gt;"OR+EX",--(DATOS!$G10224=CONFIG_METADATA!$B$4),IF(DATOS!$G10224="EX",1,IF(DATOS!$G10224="OR",--(COUNTIFS(nNIA,DATOS!$A10224,nCURSO,DATOS!$D10224,nESPEC,DATOS!$E10224,nASIG,DATOS!$I10224,nEVAL,"EX")=0),0))))</f>
      </c>
      <c r="H10224">
        <f>IF(DATOS!$G10224&lt;&gt;"EX",0,--(COUNTIFS(nNIA,DATOS!$A10224,nCURSO,DATOS!$D10224,nESPEC,DATOS!$E10224,nASIG,DATOS!$I10224,nEVAL,"OR")=0))</f>
      </c>
      <c r="I10224">
        <f>IF(DATOS!$I10224="","",IFERROR(VLOOKUP(DATOS!$I10224,CONFIG_ASIGNATURAS!$B$2:$J$91,9,FALSE()),""))</f>
      </c>
    </row>
    <row r="10225">
      <c r="F10225">
        <f>IF(DATOS!$A10225="","",DATOS!$A10225&amp;"|"&amp;DATOS!$D10225&amp;"|"&amp;DATOS!$E10225&amp;"|"&amp;DATOS!$I10225)</f>
      </c>
      <c r="G10225">
        <f>IF(DATOS!$A10225="",0,IF(CONFIG_METADATA!$B$4&lt;&gt;"OR+EX",--(DATOS!$G10225=CONFIG_METADATA!$B$4),IF(DATOS!$G10225="EX",1,IF(DATOS!$G10225="OR",--(COUNTIFS(nNIA,DATOS!$A10225,nCURSO,DATOS!$D10225,nESPEC,DATOS!$E10225,nASIG,DATOS!$I10225,nEVAL,"EX")=0),0))))</f>
      </c>
      <c r="H10225">
        <f>IF(DATOS!$G10225&lt;&gt;"EX",0,--(COUNTIFS(nNIA,DATOS!$A10225,nCURSO,DATOS!$D10225,nESPEC,DATOS!$E10225,nASIG,DATOS!$I10225,nEVAL,"OR")=0))</f>
      </c>
      <c r="I10225">
        <f>IF(DATOS!$I10225="","",IFERROR(VLOOKUP(DATOS!$I10225,CONFIG_ASIGNATURAS!$B$2:$J$91,9,FALSE()),""))</f>
      </c>
    </row>
    <row r="10226">
      <c r="F10226">
        <f>IF(DATOS!$A10226="","",DATOS!$A10226&amp;"|"&amp;DATOS!$D10226&amp;"|"&amp;DATOS!$E10226&amp;"|"&amp;DATOS!$I10226)</f>
      </c>
      <c r="G10226">
        <f>IF(DATOS!$A10226="",0,IF(CONFIG_METADATA!$B$4&lt;&gt;"OR+EX",--(DATOS!$G10226=CONFIG_METADATA!$B$4),IF(DATOS!$G10226="EX",1,IF(DATOS!$G10226="OR",--(COUNTIFS(nNIA,DATOS!$A10226,nCURSO,DATOS!$D10226,nESPEC,DATOS!$E10226,nASIG,DATOS!$I10226,nEVAL,"EX")=0),0))))</f>
      </c>
      <c r="H10226">
        <f>IF(DATOS!$G10226&lt;&gt;"EX",0,--(COUNTIFS(nNIA,DATOS!$A10226,nCURSO,DATOS!$D10226,nESPEC,DATOS!$E10226,nASIG,DATOS!$I10226,nEVAL,"OR")=0))</f>
      </c>
      <c r="I10226">
        <f>IF(DATOS!$I10226="","",IFERROR(VLOOKUP(DATOS!$I10226,CONFIG_ASIGNATURAS!$B$2:$J$91,9,FALSE()),""))</f>
      </c>
    </row>
    <row r="10227">
      <c r="F10227">
        <f>IF(DATOS!$A10227="","",DATOS!$A10227&amp;"|"&amp;DATOS!$D10227&amp;"|"&amp;DATOS!$E10227&amp;"|"&amp;DATOS!$I10227)</f>
      </c>
      <c r="G10227">
        <f>IF(DATOS!$A10227="",0,IF(CONFIG_METADATA!$B$4&lt;&gt;"OR+EX",--(DATOS!$G10227=CONFIG_METADATA!$B$4),IF(DATOS!$G10227="EX",1,IF(DATOS!$G10227="OR",--(COUNTIFS(nNIA,DATOS!$A10227,nCURSO,DATOS!$D10227,nESPEC,DATOS!$E10227,nASIG,DATOS!$I10227,nEVAL,"EX")=0),0))))</f>
      </c>
      <c r="H10227">
        <f>IF(DATOS!$G10227&lt;&gt;"EX",0,--(COUNTIFS(nNIA,DATOS!$A10227,nCURSO,DATOS!$D10227,nESPEC,DATOS!$E10227,nASIG,DATOS!$I10227,nEVAL,"OR")=0))</f>
      </c>
      <c r="I10227">
        <f>IF(DATOS!$I10227="","",IFERROR(VLOOKUP(DATOS!$I10227,CONFIG_ASIGNATURAS!$B$2:$J$91,9,FALSE()),""))</f>
      </c>
    </row>
    <row r="10228">
      <c r="F10228">
        <f>IF(DATOS!$A10228="","",DATOS!$A10228&amp;"|"&amp;DATOS!$D10228&amp;"|"&amp;DATOS!$E10228&amp;"|"&amp;DATOS!$I10228)</f>
      </c>
      <c r="G10228">
        <f>IF(DATOS!$A10228="",0,IF(CONFIG_METADATA!$B$4&lt;&gt;"OR+EX",--(DATOS!$G10228=CONFIG_METADATA!$B$4),IF(DATOS!$G10228="EX",1,IF(DATOS!$G10228="OR",--(COUNTIFS(nNIA,DATOS!$A10228,nCURSO,DATOS!$D10228,nESPEC,DATOS!$E10228,nASIG,DATOS!$I10228,nEVAL,"EX")=0),0))))</f>
      </c>
      <c r="H10228">
        <f>IF(DATOS!$G10228&lt;&gt;"EX",0,--(COUNTIFS(nNIA,DATOS!$A10228,nCURSO,DATOS!$D10228,nESPEC,DATOS!$E10228,nASIG,DATOS!$I10228,nEVAL,"OR")=0))</f>
      </c>
      <c r="I10228">
        <f>IF(DATOS!$I10228="","",IFERROR(VLOOKUP(DATOS!$I10228,CONFIG_ASIGNATURAS!$B$2:$J$91,9,FALSE()),""))</f>
      </c>
    </row>
    <row r="10229">
      <c r="F10229">
        <f>IF(DATOS!$A10229="","",DATOS!$A10229&amp;"|"&amp;DATOS!$D10229&amp;"|"&amp;DATOS!$E10229&amp;"|"&amp;DATOS!$I10229)</f>
      </c>
      <c r="G10229">
        <f>IF(DATOS!$A10229="",0,IF(CONFIG_METADATA!$B$4&lt;&gt;"OR+EX",--(DATOS!$G10229=CONFIG_METADATA!$B$4),IF(DATOS!$G10229="EX",1,IF(DATOS!$G10229="OR",--(COUNTIFS(nNIA,DATOS!$A10229,nCURSO,DATOS!$D10229,nESPEC,DATOS!$E10229,nASIG,DATOS!$I10229,nEVAL,"EX")=0),0))))</f>
      </c>
      <c r="H10229">
        <f>IF(DATOS!$G10229&lt;&gt;"EX",0,--(COUNTIFS(nNIA,DATOS!$A10229,nCURSO,DATOS!$D10229,nESPEC,DATOS!$E10229,nASIG,DATOS!$I10229,nEVAL,"OR")=0))</f>
      </c>
      <c r="I10229">
        <f>IF(DATOS!$I10229="","",IFERROR(VLOOKUP(DATOS!$I10229,CONFIG_ASIGNATURAS!$B$2:$J$91,9,FALSE()),""))</f>
      </c>
    </row>
    <row r="10230">
      <c r="F10230">
        <f>IF(DATOS!$A10230="","",DATOS!$A10230&amp;"|"&amp;DATOS!$D10230&amp;"|"&amp;DATOS!$E10230&amp;"|"&amp;DATOS!$I10230)</f>
      </c>
      <c r="G10230">
        <f>IF(DATOS!$A10230="",0,IF(CONFIG_METADATA!$B$4&lt;&gt;"OR+EX",--(DATOS!$G10230=CONFIG_METADATA!$B$4),IF(DATOS!$G10230="EX",1,IF(DATOS!$G10230="OR",--(COUNTIFS(nNIA,DATOS!$A10230,nCURSO,DATOS!$D10230,nESPEC,DATOS!$E10230,nASIG,DATOS!$I10230,nEVAL,"EX")=0),0))))</f>
      </c>
      <c r="H10230">
        <f>IF(DATOS!$G10230&lt;&gt;"EX",0,--(COUNTIFS(nNIA,DATOS!$A10230,nCURSO,DATOS!$D10230,nESPEC,DATOS!$E10230,nASIG,DATOS!$I10230,nEVAL,"OR")=0))</f>
      </c>
      <c r="I10230">
        <f>IF(DATOS!$I10230="","",IFERROR(VLOOKUP(DATOS!$I10230,CONFIG_ASIGNATURAS!$B$2:$J$91,9,FALSE()),""))</f>
      </c>
    </row>
    <row r="10231">
      <c r="F10231">
        <f>IF(DATOS!$A10231="","",DATOS!$A10231&amp;"|"&amp;DATOS!$D10231&amp;"|"&amp;DATOS!$E10231&amp;"|"&amp;DATOS!$I10231)</f>
      </c>
      <c r="G10231">
        <f>IF(DATOS!$A10231="",0,IF(CONFIG_METADATA!$B$4&lt;&gt;"OR+EX",--(DATOS!$G10231=CONFIG_METADATA!$B$4),IF(DATOS!$G10231="EX",1,IF(DATOS!$G10231="OR",--(COUNTIFS(nNIA,DATOS!$A10231,nCURSO,DATOS!$D10231,nESPEC,DATOS!$E10231,nASIG,DATOS!$I10231,nEVAL,"EX")=0),0))))</f>
      </c>
      <c r="H10231">
        <f>IF(DATOS!$G10231&lt;&gt;"EX",0,--(COUNTIFS(nNIA,DATOS!$A10231,nCURSO,DATOS!$D10231,nESPEC,DATOS!$E10231,nASIG,DATOS!$I10231,nEVAL,"OR")=0))</f>
      </c>
      <c r="I10231">
        <f>IF(DATOS!$I10231="","",IFERROR(VLOOKUP(DATOS!$I10231,CONFIG_ASIGNATURAS!$B$2:$J$91,9,FALSE()),""))</f>
      </c>
    </row>
    <row r="10232">
      <c r="F10232">
        <f>IF(DATOS!$A10232="","",DATOS!$A10232&amp;"|"&amp;DATOS!$D10232&amp;"|"&amp;DATOS!$E10232&amp;"|"&amp;DATOS!$I10232)</f>
      </c>
      <c r="G10232">
        <f>IF(DATOS!$A10232="",0,IF(CONFIG_METADATA!$B$4&lt;&gt;"OR+EX",--(DATOS!$G10232=CONFIG_METADATA!$B$4),IF(DATOS!$G10232="EX",1,IF(DATOS!$G10232="OR",--(COUNTIFS(nNIA,DATOS!$A10232,nCURSO,DATOS!$D10232,nESPEC,DATOS!$E10232,nASIG,DATOS!$I10232,nEVAL,"EX")=0),0))))</f>
      </c>
      <c r="H10232">
        <f>IF(DATOS!$G10232&lt;&gt;"EX",0,--(COUNTIFS(nNIA,DATOS!$A10232,nCURSO,DATOS!$D10232,nESPEC,DATOS!$E10232,nASIG,DATOS!$I10232,nEVAL,"OR")=0))</f>
      </c>
      <c r="I10232">
        <f>IF(DATOS!$I10232="","",IFERROR(VLOOKUP(DATOS!$I10232,CONFIG_ASIGNATURAS!$B$2:$J$91,9,FALSE()),""))</f>
      </c>
    </row>
    <row r="10233">
      <c r="F10233">
        <f>IF(DATOS!$A10233="","",DATOS!$A10233&amp;"|"&amp;DATOS!$D10233&amp;"|"&amp;DATOS!$E10233&amp;"|"&amp;DATOS!$I10233)</f>
      </c>
      <c r="G10233">
        <f>IF(DATOS!$A10233="",0,IF(CONFIG_METADATA!$B$4&lt;&gt;"OR+EX",--(DATOS!$G10233=CONFIG_METADATA!$B$4),IF(DATOS!$G10233="EX",1,IF(DATOS!$G10233="OR",--(COUNTIFS(nNIA,DATOS!$A10233,nCURSO,DATOS!$D10233,nESPEC,DATOS!$E10233,nASIG,DATOS!$I10233,nEVAL,"EX")=0),0))))</f>
      </c>
      <c r="H10233">
        <f>IF(DATOS!$G10233&lt;&gt;"EX",0,--(COUNTIFS(nNIA,DATOS!$A10233,nCURSO,DATOS!$D10233,nESPEC,DATOS!$E10233,nASIG,DATOS!$I10233,nEVAL,"OR")=0))</f>
      </c>
      <c r="I10233">
        <f>IF(DATOS!$I10233="","",IFERROR(VLOOKUP(DATOS!$I10233,CONFIG_ASIGNATURAS!$B$2:$J$91,9,FALSE()),""))</f>
      </c>
    </row>
    <row r="10234">
      <c r="F10234">
        <f>IF(DATOS!$A10234="","",DATOS!$A10234&amp;"|"&amp;DATOS!$D10234&amp;"|"&amp;DATOS!$E10234&amp;"|"&amp;DATOS!$I10234)</f>
      </c>
      <c r="G10234">
        <f>IF(DATOS!$A10234="",0,IF(CONFIG_METADATA!$B$4&lt;&gt;"OR+EX",--(DATOS!$G10234=CONFIG_METADATA!$B$4),IF(DATOS!$G10234="EX",1,IF(DATOS!$G10234="OR",--(COUNTIFS(nNIA,DATOS!$A10234,nCURSO,DATOS!$D10234,nESPEC,DATOS!$E10234,nASIG,DATOS!$I10234,nEVAL,"EX")=0),0))))</f>
      </c>
      <c r="H10234">
        <f>IF(DATOS!$G10234&lt;&gt;"EX",0,--(COUNTIFS(nNIA,DATOS!$A10234,nCURSO,DATOS!$D10234,nESPEC,DATOS!$E10234,nASIG,DATOS!$I10234,nEVAL,"OR")=0))</f>
      </c>
      <c r="I10234">
        <f>IF(DATOS!$I10234="","",IFERROR(VLOOKUP(DATOS!$I10234,CONFIG_ASIGNATURAS!$B$2:$J$91,9,FALSE()),""))</f>
      </c>
    </row>
    <row r="10235">
      <c r="F10235">
        <f>IF(DATOS!$A10235="","",DATOS!$A10235&amp;"|"&amp;DATOS!$D10235&amp;"|"&amp;DATOS!$E10235&amp;"|"&amp;DATOS!$I10235)</f>
      </c>
      <c r="G10235">
        <f>IF(DATOS!$A10235="",0,IF(CONFIG_METADATA!$B$4&lt;&gt;"OR+EX",--(DATOS!$G10235=CONFIG_METADATA!$B$4),IF(DATOS!$G10235="EX",1,IF(DATOS!$G10235="OR",--(COUNTIFS(nNIA,DATOS!$A10235,nCURSO,DATOS!$D10235,nESPEC,DATOS!$E10235,nASIG,DATOS!$I10235,nEVAL,"EX")=0),0))))</f>
      </c>
      <c r="H10235">
        <f>IF(DATOS!$G10235&lt;&gt;"EX",0,--(COUNTIFS(nNIA,DATOS!$A10235,nCURSO,DATOS!$D10235,nESPEC,DATOS!$E10235,nASIG,DATOS!$I10235,nEVAL,"OR")=0))</f>
      </c>
      <c r="I10235">
        <f>IF(DATOS!$I10235="","",IFERROR(VLOOKUP(DATOS!$I10235,CONFIG_ASIGNATURAS!$B$2:$J$91,9,FALSE()),""))</f>
      </c>
    </row>
    <row r="10236">
      <c r="F10236">
        <f>IF(DATOS!$A10236="","",DATOS!$A10236&amp;"|"&amp;DATOS!$D10236&amp;"|"&amp;DATOS!$E10236&amp;"|"&amp;DATOS!$I10236)</f>
      </c>
      <c r="G10236">
        <f>IF(DATOS!$A10236="",0,IF(CONFIG_METADATA!$B$4&lt;&gt;"OR+EX",--(DATOS!$G10236=CONFIG_METADATA!$B$4),IF(DATOS!$G10236="EX",1,IF(DATOS!$G10236="OR",--(COUNTIFS(nNIA,DATOS!$A10236,nCURSO,DATOS!$D10236,nESPEC,DATOS!$E10236,nASIG,DATOS!$I10236,nEVAL,"EX")=0),0))))</f>
      </c>
      <c r="H10236">
        <f>IF(DATOS!$G10236&lt;&gt;"EX",0,--(COUNTIFS(nNIA,DATOS!$A10236,nCURSO,DATOS!$D10236,nESPEC,DATOS!$E10236,nASIG,DATOS!$I10236,nEVAL,"OR")=0))</f>
      </c>
      <c r="I10236">
        <f>IF(DATOS!$I10236="","",IFERROR(VLOOKUP(DATOS!$I10236,CONFIG_ASIGNATURAS!$B$2:$J$91,9,FALSE()),""))</f>
      </c>
    </row>
    <row r="10237">
      <c r="F10237">
        <f>IF(DATOS!$A10237="","",DATOS!$A10237&amp;"|"&amp;DATOS!$D10237&amp;"|"&amp;DATOS!$E10237&amp;"|"&amp;DATOS!$I10237)</f>
      </c>
      <c r="G10237">
        <f>IF(DATOS!$A10237="",0,IF(CONFIG_METADATA!$B$4&lt;&gt;"OR+EX",--(DATOS!$G10237=CONFIG_METADATA!$B$4),IF(DATOS!$G10237="EX",1,IF(DATOS!$G10237="OR",--(COUNTIFS(nNIA,DATOS!$A10237,nCURSO,DATOS!$D10237,nESPEC,DATOS!$E10237,nASIG,DATOS!$I10237,nEVAL,"EX")=0),0))))</f>
      </c>
      <c r="H10237">
        <f>IF(DATOS!$G10237&lt;&gt;"EX",0,--(COUNTIFS(nNIA,DATOS!$A10237,nCURSO,DATOS!$D10237,nESPEC,DATOS!$E10237,nASIG,DATOS!$I10237,nEVAL,"OR")=0))</f>
      </c>
      <c r="I10237">
        <f>IF(DATOS!$I10237="","",IFERROR(VLOOKUP(DATOS!$I10237,CONFIG_ASIGNATURAS!$B$2:$J$91,9,FALSE()),""))</f>
      </c>
    </row>
    <row r="10238">
      <c r="F10238">
        <f>IF(DATOS!$A10238="","",DATOS!$A10238&amp;"|"&amp;DATOS!$D10238&amp;"|"&amp;DATOS!$E10238&amp;"|"&amp;DATOS!$I10238)</f>
      </c>
      <c r="G10238">
        <f>IF(DATOS!$A10238="",0,IF(CONFIG_METADATA!$B$4&lt;&gt;"OR+EX",--(DATOS!$G10238=CONFIG_METADATA!$B$4),IF(DATOS!$G10238="EX",1,IF(DATOS!$G10238="OR",--(COUNTIFS(nNIA,DATOS!$A10238,nCURSO,DATOS!$D10238,nESPEC,DATOS!$E10238,nASIG,DATOS!$I10238,nEVAL,"EX")=0),0))))</f>
      </c>
      <c r="H10238">
        <f>IF(DATOS!$G10238&lt;&gt;"EX",0,--(COUNTIFS(nNIA,DATOS!$A10238,nCURSO,DATOS!$D10238,nESPEC,DATOS!$E10238,nASIG,DATOS!$I10238,nEVAL,"OR")=0))</f>
      </c>
      <c r="I10238">
        <f>IF(DATOS!$I10238="","",IFERROR(VLOOKUP(DATOS!$I10238,CONFIG_ASIGNATURAS!$B$2:$J$91,9,FALSE()),""))</f>
      </c>
    </row>
    <row r="10239">
      <c r="F10239">
        <f>IF(DATOS!$A10239="","",DATOS!$A10239&amp;"|"&amp;DATOS!$D10239&amp;"|"&amp;DATOS!$E10239&amp;"|"&amp;DATOS!$I10239)</f>
      </c>
      <c r="G10239">
        <f>IF(DATOS!$A10239="",0,IF(CONFIG_METADATA!$B$4&lt;&gt;"OR+EX",--(DATOS!$G10239=CONFIG_METADATA!$B$4),IF(DATOS!$G10239="EX",1,IF(DATOS!$G10239="OR",--(COUNTIFS(nNIA,DATOS!$A10239,nCURSO,DATOS!$D10239,nESPEC,DATOS!$E10239,nASIG,DATOS!$I10239,nEVAL,"EX")=0),0))))</f>
      </c>
      <c r="H10239">
        <f>IF(DATOS!$G10239&lt;&gt;"EX",0,--(COUNTIFS(nNIA,DATOS!$A10239,nCURSO,DATOS!$D10239,nESPEC,DATOS!$E10239,nASIG,DATOS!$I10239,nEVAL,"OR")=0))</f>
      </c>
      <c r="I10239">
        <f>IF(DATOS!$I10239="","",IFERROR(VLOOKUP(DATOS!$I10239,CONFIG_ASIGNATURAS!$B$2:$J$91,9,FALSE()),""))</f>
      </c>
    </row>
    <row r="10240">
      <c r="F10240">
        <f>IF(DATOS!$A10240="","",DATOS!$A10240&amp;"|"&amp;DATOS!$D10240&amp;"|"&amp;DATOS!$E10240&amp;"|"&amp;DATOS!$I10240)</f>
      </c>
      <c r="G10240">
        <f>IF(DATOS!$A10240="",0,IF(CONFIG_METADATA!$B$4&lt;&gt;"OR+EX",--(DATOS!$G10240=CONFIG_METADATA!$B$4),IF(DATOS!$G10240="EX",1,IF(DATOS!$G10240="OR",--(COUNTIFS(nNIA,DATOS!$A10240,nCURSO,DATOS!$D10240,nESPEC,DATOS!$E10240,nASIG,DATOS!$I10240,nEVAL,"EX")=0),0))))</f>
      </c>
      <c r="H10240">
        <f>IF(DATOS!$G10240&lt;&gt;"EX",0,--(COUNTIFS(nNIA,DATOS!$A10240,nCURSO,DATOS!$D10240,nESPEC,DATOS!$E10240,nASIG,DATOS!$I10240,nEVAL,"OR")=0))</f>
      </c>
      <c r="I10240">
        <f>IF(DATOS!$I10240="","",IFERROR(VLOOKUP(DATOS!$I10240,CONFIG_ASIGNATURAS!$B$2:$J$91,9,FALSE()),""))</f>
      </c>
    </row>
    <row r="10241">
      <c r="F10241">
        <f>IF(DATOS!$A10241="","",DATOS!$A10241&amp;"|"&amp;DATOS!$D10241&amp;"|"&amp;DATOS!$E10241&amp;"|"&amp;DATOS!$I10241)</f>
      </c>
      <c r="G10241">
        <f>IF(DATOS!$A10241="",0,IF(CONFIG_METADATA!$B$4&lt;&gt;"OR+EX",--(DATOS!$G10241=CONFIG_METADATA!$B$4),IF(DATOS!$G10241="EX",1,IF(DATOS!$G10241="OR",--(COUNTIFS(nNIA,DATOS!$A10241,nCURSO,DATOS!$D10241,nESPEC,DATOS!$E10241,nASIG,DATOS!$I10241,nEVAL,"EX")=0),0))))</f>
      </c>
      <c r="H10241">
        <f>IF(DATOS!$G10241&lt;&gt;"EX",0,--(COUNTIFS(nNIA,DATOS!$A10241,nCURSO,DATOS!$D10241,nESPEC,DATOS!$E10241,nASIG,DATOS!$I10241,nEVAL,"OR")=0))</f>
      </c>
      <c r="I10241">
        <f>IF(DATOS!$I10241="","",IFERROR(VLOOKUP(DATOS!$I10241,CONFIG_ASIGNATURAS!$B$2:$J$91,9,FALSE()),""))</f>
      </c>
    </row>
    <row r="10242">
      <c r="F10242">
        <f>IF(DATOS!$A10242="","",DATOS!$A10242&amp;"|"&amp;DATOS!$D10242&amp;"|"&amp;DATOS!$E10242&amp;"|"&amp;DATOS!$I10242)</f>
      </c>
      <c r="G10242">
        <f>IF(DATOS!$A10242="",0,IF(CONFIG_METADATA!$B$4&lt;&gt;"OR+EX",--(DATOS!$G10242=CONFIG_METADATA!$B$4),IF(DATOS!$G10242="EX",1,IF(DATOS!$G10242="OR",--(COUNTIFS(nNIA,DATOS!$A10242,nCURSO,DATOS!$D10242,nESPEC,DATOS!$E10242,nASIG,DATOS!$I10242,nEVAL,"EX")=0),0))))</f>
      </c>
      <c r="H10242">
        <f>IF(DATOS!$G10242&lt;&gt;"EX",0,--(COUNTIFS(nNIA,DATOS!$A10242,nCURSO,DATOS!$D10242,nESPEC,DATOS!$E10242,nASIG,DATOS!$I10242,nEVAL,"OR")=0))</f>
      </c>
      <c r="I10242">
        <f>IF(DATOS!$I10242="","",IFERROR(VLOOKUP(DATOS!$I10242,CONFIG_ASIGNATURAS!$B$2:$J$91,9,FALSE()),""))</f>
      </c>
    </row>
    <row r="10243">
      <c r="F10243">
        <f>IF(DATOS!$A10243="","",DATOS!$A10243&amp;"|"&amp;DATOS!$D10243&amp;"|"&amp;DATOS!$E10243&amp;"|"&amp;DATOS!$I10243)</f>
      </c>
      <c r="G10243">
        <f>IF(DATOS!$A10243="",0,IF(CONFIG_METADATA!$B$4&lt;&gt;"OR+EX",--(DATOS!$G10243=CONFIG_METADATA!$B$4),IF(DATOS!$G10243="EX",1,IF(DATOS!$G10243="OR",--(COUNTIFS(nNIA,DATOS!$A10243,nCURSO,DATOS!$D10243,nESPEC,DATOS!$E10243,nASIG,DATOS!$I10243,nEVAL,"EX")=0),0))))</f>
      </c>
      <c r="H10243">
        <f>IF(DATOS!$G10243&lt;&gt;"EX",0,--(COUNTIFS(nNIA,DATOS!$A10243,nCURSO,DATOS!$D10243,nESPEC,DATOS!$E10243,nASIG,DATOS!$I10243,nEVAL,"OR")=0))</f>
      </c>
      <c r="I10243">
        <f>IF(DATOS!$I10243="","",IFERROR(VLOOKUP(DATOS!$I10243,CONFIG_ASIGNATURAS!$B$2:$J$91,9,FALSE()),""))</f>
      </c>
    </row>
    <row r="10244">
      <c r="F10244">
        <f>IF(DATOS!$A10244="","",DATOS!$A10244&amp;"|"&amp;DATOS!$D10244&amp;"|"&amp;DATOS!$E10244&amp;"|"&amp;DATOS!$I10244)</f>
      </c>
      <c r="G10244">
        <f>IF(DATOS!$A10244="",0,IF(CONFIG_METADATA!$B$4&lt;&gt;"OR+EX",--(DATOS!$G10244=CONFIG_METADATA!$B$4),IF(DATOS!$G10244="EX",1,IF(DATOS!$G10244="OR",--(COUNTIFS(nNIA,DATOS!$A10244,nCURSO,DATOS!$D10244,nESPEC,DATOS!$E10244,nASIG,DATOS!$I10244,nEVAL,"EX")=0),0))))</f>
      </c>
      <c r="H10244">
        <f>IF(DATOS!$G10244&lt;&gt;"EX",0,--(COUNTIFS(nNIA,DATOS!$A10244,nCURSO,DATOS!$D10244,nESPEC,DATOS!$E10244,nASIG,DATOS!$I10244,nEVAL,"OR")=0))</f>
      </c>
      <c r="I10244">
        <f>IF(DATOS!$I10244="","",IFERROR(VLOOKUP(DATOS!$I10244,CONFIG_ASIGNATURAS!$B$2:$J$91,9,FALSE()),""))</f>
      </c>
    </row>
    <row r="10245">
      <c r="F10245">
        <f>IF(DATOS!$A10245="","",DATOS!$A10245&amp;"|"&amp;DATOS!$D10245&amp;"|"&amp;DATOS!$E10245&amp;"|"&amp;DATOS!$I10245)</f>
      </c>
      <c r="G10245">
        <f>IF(DATOS!$A10245="",0,IF(CONFIG_METADATA!$B$4&lt;&gt;"OR+EX",--(DATOS!$G10245=CONFIG_METADATA!$B$4),IF(DATOS!$G10245="EX",1,IF(DATOS!$G10245="OR",--(COUNTIFS(nNIA,DATOS!$A10245,nCURSO,DATOS!$D10245,nESPEC,DATOS!$E10245,nASIG,DATOS!$I10245,nEVAL,"EX")=0),0))))</f>
      </c>
      <c r="H10245">
        <f>IF(DATOS!$G10245&lt;&gt;"EX",0,--(COUNTIFS(nNIA,DATOS!$A10245,nCURSO,DATOS!$D10245,nESPEC,DATOS!$E10245,nASIG,DATOS!$I10245,nEVAL,"OR")=0))</f>
      </c>
      <c r="I10245">
        <f>IF(DATOS!$I10245="","",IFERROR(VLOOKUP(DATOS!$I10245,CONFIG_ASIGNATURAS!$B$2:$J$91,9,FALSE()),""))</f>
      </c>
    </row>
    <row r="10246">
      <c r="F10246">
        <f>IF(DATOS!$A10246="","",DATOS!$A10246&amp;"|"&amp;DATOS!$D10246&amp;"|"&amp;DATOS!$E10246&amp;"|"&amp;DATOS!$I10246)</f>
      </c>
      <c r="G10246">
        <f>IF(DATOS!$A10246="",0,IF(CONFIG_METADATA!$B$4&lt;&gt;"OR+EX",--(DATOS!$G10246=CONFIG_METADATA!$B$4),IF(DATOS!$G10246="EX",1,IF(DATOS!$G10246="OR",--(COUNTIFS(nNIA,DATOS!$A10246,nCURSO,DATOS!$D10246,nESPEC,DATOS!$E10246,nASIG,DATOS!$I10246,nEVAL,"EX")=0),0))))</f>
      </c>
      <c r="H10246">
        <f>IF(DATOS!$G10246&lt;&gt;"EX",0,--(COUNTIFS(nNIA,DATOS!$A10246,nCURSO,DATOS!$D10246,nESPEC,DATOS!$E10246,nASIG,DATOS!$I10246,nEVAL,"OR")=0))</f>
      </c>
      <c r="I10246">
        <f>IF(DATOS!$I10246="","",IFERROR(VLOOKUP(DATOS!$I10246,CONFIG_ASIGNATURAS!$B$2:$J$91,9,FALSE()),""))</f>
      </c>
    </row>
    <row r="10247">
      <c r="F10247">
        <f>IF(DATOS!$A10247="","",DATOS!$A10247&amp;"|"&amp;DATOS!$D10247&amp;"|"&amp;DATOS!$E10247&amp;"|"&amp;DATOS!$I10247)</f>
      </c>
      <c r="G10247">
        <f>IF(DATOS!$A10247="",0,IF(CONFIG_METADATA!$B$4&lt;&gt;"OR+EX",--(DATOS!$G10247=CONFIG_METADATA!$B$4),IF(DATOS!$G10247="EX",1,IF(DATOS!$G10247="OR",--(COUNTIFS(nNIA,DATOS!$A10247,nCURSO,DATOS!$D10247,nESPEC,DATOS!$E10247,nASIG,DATOS!$I10247,nEVAL,"EX")=0),0))))</f>
      </c>
      <c r="H10247">
        <f>IF(DATOS!$G10247&lt;&gt;"EX",0,--(COUNTIFS(nNIA,DATOS!$A10247,nCURSO,DATOS!$D10247,nESPEC,DATOS!$E10247,nASIG,DATOS!$I10247,nEVAL,"OR")=0))</f>
      </c>
      <c r="I10247">
        <f>IF(DATOS!$I10247="","",IFERROR(VLOOKUP(DATOS!$I10247,CONFIG_ASIGNATURAS!$B$2:$J$91,9,FALSE()),""))</f>
      </c>
    </row>
    <row r="10248">
      <c r="F10248">
        <f>IF(DATOS!$A10248="","",DATOS!$A10248&amp;"|"&amp;DATOS!$D10248&amp;"|"&amp;DATOS!$E10248&amp;"|"&amp;DATOS!$I10248)</f>
      </c>
      <c r="G10248">
        <f>IF(DATOS!$A10248="",0,IF(CONFIG_METADATA!$B$4&lt;&gt;"OR+EX",--(DATOS!$G10248=CONFIG_METADATA!$B$4),IF(DATOS!$G10248="EX",1,IF(DATOS!$G10248="OR",--(COUNTIFS(nNIA,DATOS!$A10248,nCURSO,DATOS!$D10248,nESPEC,DATOS!$E10248,nASIG,DATOS!$I10248,nEVAL,"EX")=0),0))))</f>
      </c>
      <c r="H10248">
        <f>IF(DATOS!$G10248&lt;&gt;"EX",0,--(COUNTIFS(nNIA,DATOS!$A10248,nCURSO,DATOS!$D10248,nESPEC,DATOS!$E10248,nASIG,DATOS!$I10248,nEVAL,"OR")=0))</f>
      </c>
      <c r="I10248">
        <f>IF(DATOS!$I10248="","",IFERROR(VLOOKUP(DATOS!$I10248,CONFIG_ASIGNATURAS!$B$2:$J$91,9,FALSE()),""))</f>
      </c>
    </row>
    <row r="10249">
      <c r="F10249">
        <f>IF(DATOS!$A10249="","",DATOS!$A10249&amp;"|"&amp;DATOS!$D10249&amp;"|"&amp;DATOS!$E10249&amp;"|"&amp;DATOS!$I10249)</f>
      </c>
      <c r="G10249">
        <f>IF(DATOS!$A10249="",0,IF(CONFIG_METADATA!$B$4&lt;&gt;"OR+EX",--(DATOS!$G10249=CONFIG_METADATA!$B$4),IF(DATOS!$G10249="EX",1,IF(DATOS!$G10249="OR",--(COUNTIFS(nNIA,DATOS!$A10249,nCURSO,DATOS!$D10249,nESPEC,DATOS!$E10249,nASIG,DATOS!$I10249,nEVAL,"EX")=0),0))))</f>
      </c>
      <c r="H10249">
        <f>IF(DATOS!$G10249&lt;&gt;"EX",0,--(COUNTIFS(nNIA,DATOS!$A10249,nCURSO,DATOS!$D10249,nESPEC,DATOS!$E10249,nASIG,DATOS!$I10249,nEVAL,"OR")=0))</f>
      </c>
      <c r="I10249">
        <f>IF(DATOS!$I10249="","",IFERROR(VLOOKUP(DATOS!$I10249,CONFIG_ASIGNATURAS!$B$2:$J$91,9,FALSE()),""))</f>
      </c>
    </row>
    <row r="10250">
      <c r="F10250">
        <f>IF(DATOS!$A10250="","",DATOS!$A10250&amp;"|"&amp;DATOS!$D10250&amp;"|"&amp;DATOS!$E10250&amp;"|"&amp;DATOS!$I10250)</f>
      </c>
      <c r="G10250">
        <f>IF(DATOS!$A10250="",0,IF(CONFIG_METADATA!$B$4&lt;&gt;"OR+EX",--(DATOS!$G10250=CONFIG_METADATA!$B$4),IF(DATOS!$G10250="EX",1,IF(DATOS!$G10250="OR",--(COUNTIFS(nNIA,DATOS!$A10250,nCURSO,DATOS!$D10250,nESPEC,DATOS!$E10250,nASIG,DATOS!$I10250,nEVAL,"EX")=0),0))))</f>
      </c>
      <c r="H10250">
        <f>IF(DATOS!$G10250&lt;&gt;"EX",0,--(COUNTIFS(nNIA,DATOS!$A10250,nCURSO,DATOS!$D10250,nESPEC,DATOS!$E10250,nASIG,DATOS!$I10250,nEVAL,"OR")=0))</f>
      </c>
      <c r="I10250">
        <f>IF(DATOS!$I10250="","",IFERROR(VLOOKUP(DATOS!$I10250,CONFIG_ASIGNATURAS!$B$2:$J$91,9,FALSE()),""))</f>
      </c>
    </row>
    <row r="10251">
      <c r="F10251">
        <f>IF(DATOS!$A10251="","",DATOS!$A10251&amp;"|"&amp;DATOS!$D10251&amp;"|"&amp;DATOS!$E10251&amp;"|"&amp;DATOS!$I10251)</f>
      </c>
      <c r="G10251">
        <f>IF(DATOS!$A10251="",0,IF(CONFIG_METADATA!$B$4&lt;&gt;"OR+EX",--(DATOS!$G10251=CONFIG_METADATA!$B$4),IF(DATOS!$G10251="EX",1,IF(DATOS!$G10251="OR",--(COUNTIFS(nNIA,DATOS!$A10251,nCURSO,DATOS!$D10251,nESPEC,DATOS!$E10251,nASIG,DATOS!$I10251,nEVAL,"EX")=0),0))))</f>
      </c>
      <c r="H10251">
        <f>IF(DATOS!$G10251&lt;&gt;"EX",0,--(COUNTIFS(nNIA,DATOS!$A10251,nCURSO,DATOS!$D10251,nESPEC,DATOS!$E10251,nASIG,DATOS!$I10251,nEVAL,"OR")=0))</f>
      </c>
      <c r="I10251">
        <f>IF(DATOS!$I10251="","",IFERROR(VLOOKUP(DATOS!$I10251,CONFIG_ASIGNATURAS!$B$2:$J$91,9,FALSE()),""))</f>
      </c>
    </row>
    <row r="10252">
      <c r="F10252">
        <f>IF(DATOS!$A10252="","",DATOS!$A10252&amp;"|"&amp;DATOS!$D10252&amp;"|"&amp;DATOS!$E10252&amp;"|"&amp;DATOS!$I10252)</f>
      </c>
      <c r="G10252">
        <f>IF(DATOS!$A10252="",0,IF(CONFIG_METADATA!$B$4&lt;&gt;"OR+EX",--(DATOS!$G10252=CONFIG_METADATA!$B$4),IF(DATOS!$G10252="EX",1,IF(DATOS!$G10252="OR",--(COUNTIFS(nNIA,DATOS!$A10252,nCURSO,DATOS!$D10252,nESPEC,DATOS!$E10252,nASIG,DATOS!$I10252,nEVAL,"EX")=0),0))))</f>
      </c>
      <c r="H10252">
        <f>IF(DATOS!$G10252&lt;&gt;"EX",0,--(COUNTIFS(nNIA,DATOS!$A10252,nCURSO,DATOS!$D10252,nESPEC,DATOS!$E10252,nASIG,DATOS!$I10252,nEVAL,"OR")=0))</f>
      </c>
      <c r="I10252">
        <f>IF(DATOS!$I10252="","",IFERROR(VLOOKUP(DATOS!$I10252,CONFIG_ASIGNATURAS!$B$2:$J$91,9,FALSE()),""))</f>
      </c>
    </row>
    <row r="10253">
      <c r="F10253">
        <f>IF(DATOS!$A10253="","",DATOS!$A10253&amp;"|"&amp;DATOS!$D10253&amp;"|"&amp;DATOS!$E10253&amp;"|"&amp;DATOS!$I10253)</f>
      </c>
      <c r="G10253">
        <f>IF(DATOS!$A10253="",0,IF(CONFIG_METADATA!$B$4&lt;&gt;"OR+EX",--(DATOS!$G10253=CONFIG_METADATA!$B$4),IF(DATOS!$G10253="EX",1,IF(DATOS!$G10253="OR",--(COUNTIFS(nNIA,DATOS!$A10253,nCURSO,DATOS!$D10253,nESPEC,DATOS!$E10253,nASIG,DATOS!$I10253,nEVAL,"EX")=0),0))))</f>
      </c>
      <c r="H10253">
        <f>IF(DATOS!$G10253&lt;&gt;"EX",0,--(COUNTIFS(nNIA,DATOS!$A10253,nCURSO,DATOS!$D10253,nESPEC,DATOS!$E10253,nASIG,DATOS!$I10253,nEVAL,"OR")=0))</f>
      </c>
      <c r="I10253">
        <f>IF(DATOS!$I10253="","",IFERROR(VLOOKUP(DATOS!$I10253,CONFIG_ASIGNATURAS!$B$2:$J$91,9,FALSE()),""))</f>
      </c>
    </row>
    <row r="10254">
      <c r="F10254">
        <f>IF(DATOS!$A10254="","",DATOS!$A10254&amp;"|"&amp;DATOS!$D10254&amp;"|"&amp;DATOS!$E10254&amp;"|"&amp;DATOS!$I10254)</f>
      </c>
      <c r="G10254">
        <f>IF(DATOS!$A10254="",0,IF(CONFIG_METADATA!$B$4&lt;&gt;"OR+EX",--(DATOS!$G10254=CONFIG_METADATA!$B$4),IF(DATOS!$G10254="EX",1,IF(DATOS!$G10254="OR",--(COUNTIFS(nNIA,DATOS!$A10254,nCURSO,DATOS!$D10254,nESPEC,DATOS!$E10254,nASIG,DATOS!$I10254,nEVAL,"EX")=0),0))))</f>
      </c>
      <c r="H10254">
        <f>IF(DATOS!$G10254&lt;&gt;"EX",0,--(COUNTIFS(nNIA,DATOS!$A10254,nCURSO,DATOS!$D10254,nESPEC,DATOS!$E10254,nASIG,DATOS!$I10254,nEVAL,"OR")=0))</f>
      </c>
      <c r="I10254">
        <f>IF(DATOS!$I10254="","",IFERROR(VLOOKUP(DATOS!$I10254,CONFIG_ASIGNATURAS!$B$2:$J$91,9,FALSE()),""))</f>
      </c>
    </row>
    <row r="10255">
      <c r="F10255">
        <f>IF(DATOS!$A10255="","",DATOS!$A10255&amp;"|"&amp;DATOS!$D10255&amp;"|"&amp;DATOS!$E10255&amp;"|"&amp;DATOS!$I10255)</f>
      </c>
      <c r="G10255">
        <f>IF(DATOS!$A10255="",0,IF(CONFIG_METADATA!$B$4&lt;&gt;"OR+EX",--(DATOS!$G10255=CONFIG_METADATA!$B$4),IF(DATOS!$G10255="EX",1,IF(DATOS!$G10255="OR",--(COUNTIFS(nNIA,DATOS!$A10255,nCURSO,DATOS!$D10255,nESPEC,DATOS!$E10255,nASIG,DATOS!$I10255,nEVAL,"EX")=0),0))))</f>
      </c>
      <c r="H10255">
        <f>IF(DATOS!$G10255&lt;&gt;"EX",0,--(COUNTIFS(nNIA,DATOS!$A10255,nCURSO,DATOS!$D10255,nESPEC,DATOS!$E10255,nASIG,DATOS!$I10255,nEVAL,"OR")=0))</f>
      </c>
      <c r="I10255">
        <f>IF(DATOS!$I10255="","",IFERROR(VLOOKUP(DATOS!$I10255,CONFIG_ASIGNATURAS!$B$2:$J$91,9,FALSE()),""))</f>
      </c>
    </row>
    <row r="10256">
      <c r="F10256">
        <f>IF(DATOS!$A10256="","",DATOS!$A10256&amp;"|"&amp;DATOS!$D10256&amp;"|"&amp;DATOS!$E10256&amp;"|"&amp;DATOS!$I10256)</f>
      </c>
      <c r="G10256">
        <f>IF(DATOS!$A10256="",0,IF(CONFIG_METADATA!$B$4&lt;&gt;"OR+EX",--(DATOS!$G10256=CONFIG_METADATA!$B$4),IF(DATOS!$G10256="EX",1,IF(DATOS!$G10256="OR",--(COUNTIFS(nNIA,DATOS!$A10256,nCURSO,DATOS!$D10256,nESPEC,DATOS!$E10256,nASIG,DATOS!$I10256,nEVAL,"EX")=0),0))))</f>
      </c>
      <c r="H10256">
        <f>IF(DATOS!$G10256&lt;&gt;"EX",0,--(COUNTIFS(nNIA,DATOS!$A10256,nCURSO,DATOS!$D10256,nESPEC,DATOS!$E10256,nASIG,DATOS!$I10256,nEVAL,"OR")=0))</f>
      </c>
      <c r="I10256">
        <f>IF(DATOS!$I10256="","",IFERROR(VLOOKUP(DATOS!$I10256,CONFIG_ASIGNATURAS!$B$2:$J$91,9,FALSE()),""))</f>
      </c>
    </row>
    <row r="10257">
      <c r="F10257">
        <f>IF(DATOS!$A10257="","",DATOS!$A10257&amp;"|"&amp;DATOS!$D10257&amp;"|"&amp;DATOS!$E10257&amp;"|"&amp;DATOS!$I10257)</f>
      </c>
      <c r="G10257">
        <f>IF(DATOS!$A10257="",0,IF(CONFIG_METADATA!$B$4&lt;&gt;"OR+EX",--(DATOS!$G10257=CONFIG_METADATA!$B$4),IF(DATOS!$G10257="EX",1,IF(DATOS!$G10257="OR",--(COUNTIFS(nNIA,DATOS!$A10257,nCURSO,DATOS!$D10257,nESPEC,DATOS!$E10257,nASIG,DATOS!$I10257,nEVAL,"EX")=0),0))))</f>
      </c>
      <c r="H10257">
        <f>IF(DATOS!$G10257&lt;&gt;"EX",0,--(COUNTIFS(nNIA,DATOS!$A10257,nCURSO,DATOS!$D10257,nESPEC,DATOS!$E10257,nASIG,DATOS!$I10257,nEVAL,"OR")=0))</f>
      </c>
      <c r="I10257">
        <f>IF(DATOS!$I10257="","",IFERROR(VLOOKUP(DATOS!$I10257,CONFIG_ASIGNATURAS!$B$2:$J$91,9,FALSE()),""))</f>
      </c>
    </row>
    <row r="10258">
      <c r="F10258">
        <f>IF(DATOS!$A10258="","",DATOS!$A10258&amp;"|"&amp;DATOS!$D10258&amp;"|"&amp;DATOS!$E10258&amp;"|"&amp;DATOS!$I10258)</f>
      </c>
      <c r="G10258">
        <f>IF(DATOS!$A10258="",0,IF(CONFIG_METADATA!$B$4&lt;&gt;"OR+EX",--(DATOS!$G10258=CONFIG_METADATA!$B$4),IF(DATOS!$G10258="EX",1,IF(DATOS!$G10258="OR",--(COUNTIFS(nNIA,DATOS!$A10258,nCURSO,DATOS!$D10258,nESPEC,DATOS!$E10258,nASIG,DATOS!$I10258,nEVAL,"EX")=0),0))))</f>
      </c>
      <c r="H10258">
        <f>IF(DATOS!$G10258&lt;&gt;"EX",0,--(COUNTIFS(nNIA,DATOS!$A10258,nCURSO,DATOS!$D10258,nESPEC,DATOS!$E10258,nASIG,DATOS!$I10258,nEVAL,"OR")=0))</f>
      </c>
      <c r="I10258">
        <f>IF(DATOS!$I10258="","",IFERROR(VLOOKUP(DATOS!$I10258,CONFIG_ASIGNATURAS!$B$2:$J$91,9,FALSE()),""))</f>
      </c>
    </row>
    <row r="10259">
      <c r="F10259">
        <f>IF(DATOS!$A10259="","",DATOS!$A10259&amp;"|"&amp;DATOS!$D10259&amp;"|"&amp;DATOS!$E10259&amp;"|"&amp;DATOS!$I10259)</f>
      </c>
      <c r="G10259">
        <f>IF(DATOS!$A10259="",0,IF(CONFIG_METADATA!$B$4&lt;&gt;"OR+EX",--(DATOS!$G10259=CONFIG_METADATA!$B$4),IF(DATOS!$G10259="EX",1,IF(DATOS!$G10259="OR",--(COUNTIFS(nNIA,DATOS!$A10259,nCURSO,DATOS!$D10259,nESPEC,DATOS!$E10259,nASIG,DATOS!$I10259,nEVAL,"EX")=0),0))))</f>
      </c>
      <c r="H10259">
        <f>IF(DATOS!$G10259&lt;&gt;"EX",0,--(COUNTIFS(nNIA,DATOS!$A10259,nCURSO,DATOS!$D10259,nESPEC,DATOS!$E10259,nASIG,DATOS!$I10259,nEVAL,"OR")=0))</f>
      </c>
      <c r="I10259">
        <f>IF(DATOS!$I10259="","",IFERROR(VLOOKUP(DATOS!$I10259,CONFIG_ASIGNATURAS!$B$2:$J$91,9,FALSE()),""))</f>
      </c>
    </row>
    <row r="10260">
      <c r="F10260">
        <f>IF(DATOS!$A10260="","",DATOS!$A10260&amp;"|"&amp;DATOS!$D10260&amp;"|"&amp;DATOS!$E10260&amp;"|"&amp;DATOS!$I10260)</f>
      </c>
      <c r="G10260">
        <f>IF(DATOS!$A10260="",0,IF(CONFIG_METADATA!$B$4&lt;&gt;"OR+EX",--(DATOS!$G10260=CONFIG_METADATA!$B$4),IF(DATOS!$G10260="EX",1,IF(DATOS!$G10260="OR",--(COUNTIFS(nNIA,DATOS!$A10260,nCURSO,DATOS!$D10260,nESPEC,DATOS!$E10260,nASIG,DATOS!$I10260,nEVAL,"EX")=0),0))))</f>
      </c>
      <c r="H10260">
        <f>IF(DATOS!$G10260&lt;&gt;"EX",0,--(COUNTIFS(nNIA,DATOS!$A10260,nCURSO,DATOS!$D10260,nESPEC,DATOS!$E10260,nASIG,DATOS!$I10260,nEVAL,"OR")=0))</f>
      </c>
      <c r="I10260">
        <f>IF(DATOS!$I10260="","",IFERROR(VLOOKUP(DATOS!$I10260,CONFIG_ASIGNATURAS!$B$2:$J$91,9,FALSE()),""))</f>
      </c>
    </row>
    <row r="10261">
      <c r="F10261">
        <f>IF(DATOS!$A10261="","",DATOS!$A10261&amp;"|"&amp;DATOS!$D10261&amp;"|"&amp;DATOS!$E10261&amp;"|"&amp;DATOS!$I10261)</f>
      </c>
      <c r="G10261">
        <f>IF(DATOS!$A10261="",0,IF(CONFIG_METADATA!$B$4&lt;&gt;"OR+EX",--(DATOS!$G10261=CONFIG_METADATA!$B$4),IF(DATOS!$G10261="EX",1,IF(DATOS!$G10261="OR",--(COUNTIFS(nNIA,DATOS!$A10261,nCURSO,DATOS!$D10261,nESPEC,DATOS!$E10261,nASIG,DATOS!$I10261,nEVAL,"EX")=0),0))))</f>
      </c>
      <c r="H10261">
        <f>IF(DATOS!$G10261&lt;&gt;"EX",0,--(COUNTIFS(nNIA,DATOS!$A10261,nCURSO,DATOS!$D10261,nESPEC,DATOS!$E10261,nASIG,DATOS!$I10261,nEVAL,"OR")=0))</f>
      </c>
      <c r="I10261">
        <f>IF(DATOS!$I10261="","",IFERROR(VLOOKUP(DATOS!$I10261,CONFIG_ASIGNATURAS!$B$2:$J$91,9,FALSE()),""))</f>
      </c>
    </row>
    <row r="10262">
      <c r="F10262">
        <f>IF(DATOS!$A10262="","",DATOS!$A10262&amp;"|"&amp;DATOS!$D10262&amp;"|"&amp;DATOS!$E10262&amp;"|"&amp;DATOS!$I10262)</f>
      </c>
      <c r="G10262">
        <f>IF(DATOS!$A10262="",0,IF(CONFIG_METADATA!$B$4&lt;&gt;"OR+EX",--(DATOS!$G10262=CONFIG_METADATA!$B$4),IF(DATOS!$G10262="EX",1,IF(DATOS!$G10262="OR",--(COUNTIFS(nNIA,DATOS!$A10262,nCURSO,DATOS!$D10262,nESPEC,DATOS!$E10262,nASIG,DATOS!$I10262,nEVAL,"EX")=0),0))))</f>
      </c>
      <c r="H10262">
        <f>IF(DATOS!$G10262&lt;&gt;"EX",0,--(COUNTIFS(nNIA,DATOS!$A10262,nCURSO,DATOS!$D10262,nESPEC,DATOS!$E10262,nASIG,DATOS!$I10262,nEVAL,"OR")=0))</f>
      </c>
      <c r="I10262">
        <f>IF(DATOS!$I10262="","",IFERROR(VLOOKUP(DATOS!$I10262,CONFIG_ASIGNATURAS!$B$2:$J$91,9,FALSE()),""))</f>
      </c>
    </row>
    <row r="10263">
      <c r="F10263">
        <f>IF(DATOS!$A10263="","",DATOS!$A10263&amp;"|"&amp;DATOS!$D10263&amp;"|"&amp;DATOS!$E10263&amp;"|"&amp;DATOS!$I10263)</f>
      </c>
      <c r="G10263">
        <f>IF(DATOS!$A10263="",0,IF(CONFIG_METADATA!$B$4&lt;&gt;"OR+EX",--(DATOS!$G10263=CONFIG_METADATA!$B$4),IF(DATOS!$G10263="EX",1,IF(DATOS!$G10263="OR",--(COUNTIFS(nNIA,DATOS!$A10263,nCURSO,DATOS!$D10263,nESPEC,DATOS!$E10263,nASIG,DATOS!$I10263,nEVAL,"EX")=0),0))))</f>
      </c>
      <c r="H10263">
        <f>IF(DATOS!$G10263&lt;&gt;"EX",0,--(COUNTIFS(nNIA,DATOS!$A10263,nCURSO,DATOS!$D10263,nESPEC,DATOS!$E10263,nASIG,DATOS!$I10263,nEVAL,"OR")=0))</f>
      </c>
      <c r="I10263">
        <f>IF(DATOS!$I10263="","",IFERROR(VLOOKUP(DATOS!$I10263,CONFIG_ASIGNATURAS!$B$2:$J$91,9,FALSE()),""))</f>
      </c>
    </row>
    <row r="10264">
      <c r="F10264">
        <f>IF(DATOS!$A10264="","",DATOS!$A10264&amp;"|"&amp;DATOS!$D10264&amp;"|"&amp;DATOS!$E10264&amp;"|"&amp;DATOS!$I10264)</f>
      </c>
      <c r="G10264">
        <f>IF(DATOS!$A10264="",0,IF(CONFIG_METADATA!$B$4&lt;&gt;"OR+EX",--(DATOS!$G10264=CONFIG_METADATA!$B$4),IF(DATOS!$G10264="EX",1,IF(DATOS!$G10264="OR",--(COUNTIFS(nNIA,DATOS!$A10264,nCURSO,DATOS!$D10264,nESPEC,DATOS!$E10264,nASIG,DATOS!$I10264,nEVAL,"EX")=0),0))))</f>
      </c>
      <c r="H10264">
        <f>IF(DATOS!$G10264&lt;&gt;"EX",0,--(COUNTIFS(nNIA,DATOS!$A10264,nCURSO,DATOS!$D10264,nESPEC,DATOS!$E10264,nASIG,DATOS!$I10264,nEVAL,"OR")=0))</f>
      </c>
      <c r="I10264">
        <f>IF(DATOS!$I10264="","",IFERROR(VLOOKUP(DATOS!$I10264,CONFIG_ASIGNATURAS!$B$2:$J$91,9,FALSE()),""))</f>
      </c>
    </row>
    <row r="10265">
      <c r="F10265">
        <f>IF(DATOS!$A10265="","",DATOS!$A10265&amp;"|"&amp;DATOS!$D10265&amp;"|"&amp;DATOS!$E10265&amp;"|"&amp;DATOS!$I10265)</f>
      </c>
      <c r="G10265">
        <f>IF(DATOS!$A10265="",0,IF(CONFIG_METADATA!$B$4&lt;&gt;"OR+EX",--(DATOS!$G10265=CONFIG_METADATA!$B$4),IF(DATOS!$G10265="EX",1,IF(DATOS!$G10265="OR",--(COUNTIFS(nNIA,DATOS!$A10265,nCURSO,DATOS!$D10265,nESPEC,DATOS!$E10265,nASIG,DATOS!$I10265,nEVAL,"EX")=0),0))))</f>
      </c>
      <c r="H10265">
        <f>IF(DATOS!$G10265&lt;&gt;"EX",0,--(COUNTIFS(nNIA,DATOS!$A10265,nCURSO,DATOS!$D10265,nESPEC,DATOS!$E10265,nASIG,DATOS!$I10265,nEVAL,"OR")=0))</f>
      </c>
      <c r="I10265">
        <f>IF(DATOS!$I10265="","",IFERROR(VLOOKUP(DATOS!$I10265,CONFIG_ASIGNATURAS!$B$2:$J$91,9,FALSE()),""))</f>
      </c>
    </row>
    <row r="10266">
      <c r="F10266">
        <f>IF(DATOS!$A10266="","",DATOS!$A10266&amp;"|"&amp;DATOS!$D10266&amp;"|"&amp;DATOS!$E10266&amp;"|"&amp;DATOS!$I10266)</f>
      </c>
      <c r="G10266">
        <f>IF(DATOS!$A10266="",0,IF(CONFIG_METADATA!$B$4&lt;&gt;"OR+EX",--(DATOS!$G10266=CONFIG_METADATA!$B$4),IF(DATOS!$G10266="EX",1,IF(DATOS!$G10266="OR",--(COUNTIFS(nNIA,DATOS!$A10266,nCURSO,DATOS!$D10266,nESPEC,DATOS!$E10266,nASIG,DATOS!$I10266,nEVAL,"EX")=0),0))))</f>
      </c>
      <c r="H10266">
        <f>IF(DATOS!$G10266&lt;&gt;"EX",0,--(COUNTIFS(nNIA,DATOS!$A10266,nCURSO,DATOS!$D10266,nESPEC,DATOS!$E10266,nASIG,DATOS!$I10266,nEVAL,"OR")=0))</f>
      </c>
      <c r="I10266">
        <f>IF(DATOS!$I10266="","",IFERROR(VLOOKUP(DATOS!$I10266,CONFIG_ASIGNATURAS!$B$2:$J$91,9,FALSE()),""))</f>
      </c>
    </row>
    <row r="10267">
      <c r="F10267">
        <f>IF(DATOS!$A10267="","",DATOS!$A10267&amp;"|"&amp;DATOS!$D10267&amp;"|"&amp;DATOS!$E10267&amp;"|"&amp;DATOS!$I10267)</f>
      </c>
      <c r="G10267">
        <f>IF(DATOS!$A10267="",0,IF(CONFIG_METADATA!$B$4&lt;&gt;"OR+EX",--(DATOS!$G10267=CONFIG_METADATA!$B$4),IF(DATOS!$G10267="EX",1,IF(DATOS!$G10267="OR",--(COUNTIFS(nNIA,DATOS!$A10267,nCURSO,DATOS!$D10267,nESPEC,DATOS!$E10267,nASIG,DATOS!$I10267,nEVAL,"EX")=0),0))))</f>
      </c>
      <c r="H10267">
        <f>IF(DATOS!$G10267&lt;&gt;"EX",0,--(COUNTIFS(nNIA,DATOS!$A10267,nCURSO,DATOS!$D10267,nESPEC,DATOS!$E10267,nASIG,DATOS!$I10267,nEVAL,"OR")=0))</f>
      </c>
      <c r="I10267">
        <f>IF(DATOS!$I10267="","",IFERROR(VLOOKUP(DATOS!$I10267,CONFIG_ASIGNATURAS!$B$2:$J$91,9,FALSE()),""))</f>
      </c>
    </row>
    <row r="10268">
      <c r="F10268">
        <f>IF(DATOS!$A10268="","",DATOS!$A10268&amp;"|"&amp;DATOS!$D10268&amp;"|"&amp;DATOS!$E10268&amp;"|"&amp;DATOS!$I10268)</f>
      </c>
      <c r="G10268">
        <f>IF(DATOS!$A10268="",0,IF(CONFIG_METADATA!$B$4&lt;&gt;"OR+EX",--(DATOS!$G10268=CONFIG_METADATA!$B$4),IF(DATOS!$G10268="EX",1,IF(DATOS!$G10268="OR",--(COUNTIFS(nNIA,DATOS!$A10268,nCURSO,DATOS!$D10268,nESPEC,DATOS!$E10268,nASIG,DATOS!$I10268,nEVAL,"EX")=0),0))))</f>
      </c>
      <c r="H10268">
        <f>IF(DATOS!$G10268&lt;&gt;"EX",0,--(COUNTIFS(nNIA,DATOS!$A10268,nCURSO,DATOS!$D10268,nESPEC,DATOS!$E10268,nASIG,DATOS!$I10268,nEVAL,"OR")=0))</f>
      </c>
      <c r="I10268">
        <f>IF(DATOS!$I10268="","",IFERROR(VLOOKUP(DATOS!$I10268,CONFIG_ASIGNATURAS!$B$2:$J$91,9,FALSE()),""))</f>
      </c>
    </row>
    <row r="10269">
      <c r="F10269">
        <f>IF(DATOS!$A10269="","",DATOS!$A10269&amp;"|"&amp;DATOS!$D10269&amp;"|"&amp;DATOS!$E10269&amp;"|"&amp;DATOS!$I10269)</f>
      </c>
      <c r="G10269">
        <f>IF(DATOS!$A10269="",0,IF(CONFIG_METADATA!$B$4&lt;&gt;"OR+EX",--(DATOS!$G10269=CONFIG_METADATA!$B$4),IF(DATOS!$G10269="EX",1,IF(DATOS!$G10269="OR",--(COUNTIFS(nNIA,DATOS!$A10269,nCURSO,DATOS!$D10269,nESPEC,DATOS!$E10269,nASIG,DATOS!$I10269,nEVAL,"EX")=0),0))))</f>
      </c>
      <c r="H10269">
        <f>IF(DATOS!$G10269&lt;&gt;"EX",0,--(COUNTIFS(nNIA,DATOS!$A10269,nCURSO,DATOS!$D10269,nESPEC,DATOS!$E10269,nASIG,DATOS!$I10269,nEVAL,"OR")=0))</f>
      </c>
      <c r="I10269">
        <f>IF(DATOS!$I10269="","",IFERROR(VLOOKUP(DATOS!$I10269,CONFIG_ASIGNATURAS!$B$2:$J$91,9,FALSE()),""))</f>
      </c>
    </row>
    <row r="10270">
      <c r="F10270">
        <f>IF(DATOS!$A10270="","",DATOS!$A10270&amp;"|"&amp;DATOS!$D10270&amp;"|"&amp;DATOS!$E10270&amp;"|"&amp;DATOS!$I10270)</f>
      </c>
      <c r="G10270">
        <f>IF(DATOS!$A10270="",0,IF(CONFIG_METADATA!$B$4&lt;&gt;"OR+EX",--(DATOS!$G10270=CONFIG_METADATA!$B$4),IF(DATOS!$G10270="EX",1,IF(DATOS!$G10270="OR",--(COUNTIFS(nNIA,DATOS!$A10270,nCURSO,DATOS!$D10270,nESPEC,DATOS!$E10270,nASIG,DATOS!$I10270,nEVAL,"EX")=0),0))))</f>
      </c>
      <c r="H10270">
        <f>IF(DATOS!$G10270&lt;&gt;"EX",0,--(COUNTIFS(nNIA,DATOS!$A10270,nCURSO,DATOS!$D10270,nESPEC,DATOS!$E10270,nASIG,DATOS!$I10270,nEVAL,"OR")=0))</f>
      </c>
      <c r="I10270">
        <f>IF(DATOS!$I10270="","",IFERROR(VLOOKUP(DATOS!$I10270,CONFIG_ASIGNATURAS!$B$2:$J$91,9,FALSE()),""))</f>
      </c>
    </row>
    <row r="10271">
      <c r="F10271">
        <f>IF(DATOS!$A10271="","",DATOS!$A10271&amp;"|"&amp;DATOS!$D10271&amp;"|"&amp;DATOS!$E10271&amp;"|"&amp;DATOS!$I10271)</f>
      </c>
      <c r="G10271">
        <f>IF(DATOS!$A10271="",0,IF(CONFIG_METADATA!$B$4&lt;&gt;"OR+EX",--(DATOS!$G10271=CONFIG_METADATA!$B$4),IF(DATOS!$G10271="EX",1,IF(DATOS!$G10271="OR",--(COUNTIFS(nNIA,DATOS!$A10271,nCURSO,DATOS!$D10271,nESPEC,DATOS!$E10271,nASIG,DATOS!$I10271,nEVAL,"EX")=0),0))))</f>
      </c>
      <c r="H10271">
        <f>IF(DATOS!$G10271&lt;&gt;"EX",0,--(COUNTIFS(nNIA,DATOS!$A10271,nCURSO,DATOS!$D10271,nESPEC,DATOS!$E10271,nASIG,DATOS!$I10271,nEVAL,"OR")=0))</f>
      </c>
      <c r="I10271">
        <f>IF(DATOS!$I10271="","",IFERROR(VLOOKUP(DATOS!$I10271,CONFIG_ASIGNATURAS!$B$2:$J$91,9,FALSE()),""))</f>
      </c>
    </row>
    <row r="10272">
      <c r="F10272">
        <f>IF(DATOS!$A10272="","",DATOS!$A10272&amp;"|"&amp;DATOS!$D10272&amp;"|"&amp;DATOS!$E10272&amp;"|"&amp;DATOS!$I10272)</f>
      </c>
      <c r="G10272">
        <f>IF(DATOS!$A10272="",0,IF(CONFIG_METADATA!$B$4&lt;&gt;"OR+EX",--(DATOS!$G10272=CONFIG_METADATA!$B$4),IF(DATOS!$G10272="EX",1,IF(DATOS!$G10272="OR",--(COUNTIFS(nNIA,DATOS!$A10272,nCURSO,DATOS!$D10272,nESPEC,DATOS!$E10272,nASIG,DATOS!$I10272,nEVAL,"EX")=0),0))))</f>
      </c>
      <c r="H10272">
        <f>IF(DATOS!$G10272&lt;&gt;"EX",0,--(COUNTIFS(nNIA,DATOS!$A10272,nCURSO,DATOS!$D10272,nESPEC,DATOS!$E10272,nASIG,DATOS!$I10272,nEVAL,"OR")=0))</f>
      </c>
      <c r="I10272">
        <f>IF(DATOS!$I10272="","",IFERROR(VLOOKUP(DATOS!$I10272,CONFIG_ASIGNATURAS!$B$2:$J$91,9,FALSE()),""))</f>
      </c>
    </row>
    <row r="10273">
      <c r="F10273">
        <f>IF(DATOS!$A10273="","",DATOS!$A10273&amp;"|"&amp;DATOS!$D10273&amp;"|"&amp;DATOS!$E10273&amp;"|"&amp;DATOS!$I10273)</f>
      </c>
      <c r="G10273">
        <f>IF(DATOS!$A10273="",0,IF(CONFIG_METADATA!$B$4&lt;&gt;"OR+EX",--(DATOS!$G10273=CONFIG_METADATA!$B$4),IF(DATOS!$G10273="EX",1,IF(DATOS!$G10273="OR",--(COUNTIFS(nNIA,DATOS!$A10273,nCURSO,DATOS!$D10273,nESPEC,DATOS!$E10273,nASIG,DATOS!$I10273,nEVAL,"EX")=0),0))))</f>
      </c>
      <c r="H10273">
        <f>IF(DATOS!$G10273&lt;&gt;"EX",0,--(COUNTIFS(nNIA,DATOS!$A10273,nCURSO,DATOS!$D10273,nESPEC,DATOS!$E10273,nASIG,DATOS!$I10273,nEVAL,"OR")=0))</f>
      </c>
      <c r="I10273">
        <f>IF(DATOS!$I10273="","",IFERROR(VLOOKUP(DATOS!$I10273,CONFIG_ASIGNATURAS!$B$2:$J$91,9,FALSE()),""))</f>
      </c>
    </row>
    <row r="10274">
      <c r="F10274">
        <f>IF(DATOS!$A10274="","",DATOS!$A10274&amp;"|"&amp;DATOS!$D10274&amp;"|"&amp;DATOS!$E10274&amp;"|"&amp;DATOS!$I10274)</f>
      </c>
      <c r="G10274">
        <f>IF(DATOS!$A10274="",0,IF(CONFIG_METADATA!$B$4&lt;&gt;"OR+EX",--(DATOS!$G10274=CONFIG_METADATA!$B$4),IF(DATOS!$G10274="EX",1,IF(DATOS!$G10274="OR",--(COUNTIFS(nNIA,DATOS!$A10274,nCURSO,DATOS!$D10274,nESPEC,DATOS!$E10274,nASIG,DATOS!$I10274,nEVAL,"EX")=0),0))))</f>
      </c>
      <c r="H10274">
        <f>IF(DATOS!$G10274&lt;&gt;"EX",0,--(COUNTIFS(nNIA,DATOS!$A10274,nCURSO,DATOS!$D10274,nESPEC,DATOS!$E10274,nASIG,DATOS!$I10274,nEVAL,"OR")=0))</f>
      </c>
      <c r="I10274">
        <f>IF(DATOS!$I10274="","",IFERROR(VLOOKUP(DATOS!$I10274,CONFIG_ASIGNATURAS!$B$2:$J$91,9,FALSE()),""))</f>
      </c>
    </row>
    <row r="10275">
      <c r="F10275">
        <f>IF(DATOS!$A10275="","",DATOS!$A10275&amp;"|"&amp;DATOS!$D10275&amp;"|"&amp;DATOS!$E10275&amp;"|"&amp;DATOS!$I10275)</f>
      </c>
      <c r="G10275">
        <f>IF(DATOS!$A10275="",0,IF(CONFIG_METADATA!$B$4&lt;&gt;"OR+EX",--(DATOS!$G10275=CONFIG_METADATA!$B$4),IF(DATOS!$G10275="EX",1,IF(DATOS!$G10275="OR",--(COUNTIFS(nNIA,DATOS!$A10275,nCURSO,DATOS!$D10275,nESPEC,DATOS!$E10275,nASIG,DATOS!$I10275,nEVAL,"EX")=0),0))))</f>
      </c>
      <c r="H10275">
        <f>IF(DATOS!$G10275&lt;&gt;"EX",0,--(COUNTIFS(nNIA,DATOS!$A10275,nCURSO,DATOS!$D10275,nESPEC,DATOS!$E10275,nASIG,DATOS!$I10275,nEVAL,"OR")=0))</f>
      </c>
      <c r="I10275">
        <f>IF(DATOS!$I10275="","",IFERROR(VLOOKUP(DATOS!$I10275,CONFIG_ASIGNATURAS!$B$2:$J$91,9,FALSE()),""))</f>
      </c>
    </row>
    <row r="10276">
      <c r="F10276">
        <f>IF(DATOS!$A10276="","",DATOS!$A10276&amp;"|"&amp;DATOS!$D10276&amp;"|"&amp;DATOS!$E10276&amp;"|"&amp;DATOS!$I10276)</f>
      </c>
      <c r="G10276">
        <f>IF(DATOS!$A10276="",0,IF(CONFIG_METADATA!$B$4&lt;&gt;"OR+EX",--(DATOS!$G10276=CONFIG_METADATA!$B$4),IF(DATOS!$G10276="EX",1,IF(DATOS!$G10276="OR",--(COUNTIFS(nNIA,DATOS!$A10276,nCURSO,DATOS!$D10276,nESPEC,DATOS!$E10276,nASIG,DATOS!$I10276,nEVAL,"EX")=0),0))))</f>
      </c>
      <c r="H10276">
        <f>IF(DATOS!$G10276&lt;&gt;"EX",0,--(COUNTIFS(nNIA,DATOS!$A10276,nCURSO,DATOS!$D10276,nESPEC,DATOS!$E10276,nASIG,DATOS!$I10276,nEVAL,"OR")=0))</f>
      </c>
      <c r="I10276">
        <f>IF(DATOS!$I10276="","",IFERROR(VLOOKUP(DATOS!$I10276,CONFIG_ASIGNATURAS!$B$2:$J$91,9,FALSE()),""))</f>
      </c>
    </row>
    <row r="10277">
      <c r="F10277">
        <f>IF(DATOS!$A10277="","",DATOS!$A10277&amp;"|"&amp;DATOS!$D10277&amp;"|"&amp;DATOS!$E10277&amp;"|"&amp;DATOS!$I10277)</f>
      </c>
      <c r="G10277">
        <f>IF(DATOS!$A10277="",0,IF(CONFIG_METADATA!$B$4&lt;&gt;"OR+EX",--(DATOS!$G10277=CONFIG_METADATA!$B$4),IF(DATOS!$G10277="EX",1,IF(DATOS!$G10277="OR",--(COUNTIFS(nNIA,DATOS!$A10277,nCURSO,DATOS!$D10277,nESPEC,DATOS!$E10277,nASIG,DATOS!$I10277,nEVAL,"EX")=0),0))))</f>
      </c>
      <c r="H10277">
        <f>IF(DATOS!$G10277&lt;&gt;"EX",0,--(COUNTIFS(nNIA,DATOS!$A10277,nCURSO,DATOS!$D10277,nESPEC,DATOS!$E10277,nASIG,DATOS!$I10277,nEVAL,"OR")=0))</f>
      </c>
      <c r="I10277">
        <f>IF(DATOS!$I10277="","",IFERROR(VLOOKUP(DATOS!$I10277,CONFIG_ASIGNATURAS!$B$2:$J$91,9,FALSE()),""))</f>
      </c>
    </row>
    <row r="10278">
      <c r="F10278">
        <f>IF(DATOS!$A10278="","",DATOS!$A10278&amp;"|"&amp;DATOS!$D10278&amp;"|"&amp;DATOS!$E10278&amp;"|"&amp;DATOS!$I10278)</f>
      </c>
      <c r="G10278">
        <f>IF(DATOS!$A10278="",0,IF(CONFIG_METADATA!$B$4&lt;&gt;"OR+EX",--(DATOS!$G10278=CONFIG_METADATA!$B$4),IF(DATOS!$G10278="EX",1,IF(DATOS!$G10278="OR",--(COUNTIFS(nNIA,DATOS!$A10278,nCURSO,DATOS!$D10278,nESPEC,DATOS!$E10278,nASIG,DATOS!$I10278,nEVAL,"EX")=0),0))))</f>
      </c>
      <c r="H10278">
        <f>IF(DATOS!$G10278&lt;&gt;"EX",0,--(COUNTIFS(nNIA,DATOS!$A10278,nCURSO,DATOS!$D10278,nESPEC,DATOS!$E10278,nASIG,DATOS!$I10278,nEVAL,"OR")=0))</f>
      </c>
      <c r="I10278">
        <f>IF(DATOS!$I10278="","",IFERROR(VLOOKUP(DATOS!$I10278,CONFIG_ASIGNATURAS!$B$2:$J$91,9,FALSE()),""))</f>
      </c>
    </row>
    <row r="10279">
      <c r="F10279">
        <f>IF(DATOS!$A10279="","",DATOS!$A10279&amp;"|"&amp;DATOS!$D10279&amp;"|"&amp;DATOS!$E10279&amp;"|"&amp;DATOS!$I10279)</f>
      </c>
      <c r="G10279">
        <f>IF(DATOS!$A10279="",0,IF(CONFIG_METADATA!$B$4&lt;&gt;"OR+EX",--(DATOS!$G10279=CONFIG_METADATA!$B$4),IF(DATOS!$G10279="EX",1,IF(DATOS!$G10279="OR",--(COUNTIFS(nNIA,DATOS!$A10279,nCURSO,DATOS!$D10279,nESPEC,DATOS!$E10279,nASIG,DATOS!$I10279,nEVAL,"EX")=0),0))))</f>
      </c>
      <c r="H10279">
        <f>IF(DATOS!$G10279&lt;&gt;"EX",0,--(COUNTIFS(nNIA,DATOS!$A10279,nCURSO,DATOS!$D10279,nESPEC,DATOS!$E10279,nASIG,DATOS!$I10279,nEVAL,"OR")=0))</f>
      </c>
      <c r="I10279">
        <f>IF(DATOS!$I10279="","",IFERROR(VLOOKUP(DATOS!$I10279,CONFIG_ASIGNATURAS!$B$2:$J$91,9,FALSE()),""))</f>
      </c>
    </row>
    <row r="10280">
      <c r="F10280">
        <f>IF(DATOS!$A10280="","",DATOS!$A10280&amp;"|"&amp;DATOS!$D10280&amp;"|"&amp;DATOS!$E10280&amp;"|"&amp;DATOS!$I10280)</f>
      </c>
      <c r="G10280">
        <f>IF(DATOS!$A10280="",0,IF(CONFIG_METADATA!$B$4&lt;&gt;"OR+EX",--(DATOS!$G10280=CONFIG_METADATA!$B$4),IF(DATOS!$G10280="EX",1,IF(DATOS!$G10280="OR",--(COUNTIFS(nNIA,DATOS!$A10280,nCURSO,DATOS!$D10280,nESPEC,DATOS!$E10280,nASIG,DATOS!$I10280,nEVAL,"EX")=0),0))))</f>
      </c>
      <c r="H10280">
        <f>IF(DATOS!$G10280&lt;&gt;"EX",0,--(COUNTIFS(nNIA,DATOS!$A10280,nCURSO,DATOS!$D10280,nESPEC,DATOS!$E10280,nASIG,DATOS!$I10280,nEVAL,"OR")=0))</f>
      </c>
      <c r="I10280">
        <f>IF(DATOS!$I10280="","",IFERROR(VLOOKUP(DATOS!$I10280,CONFIG_ASIGNATURAS!$B$2:$J$91,9,FALSE()),""))</f>
      </c>
    </row>
    <row r="10281">
      <c r="F10281">
        <f>IF(DATOS!$A10281="","",DATOS!$A10281&amp;"|"&amp;DATOS!$D10281&amp;"|"&amp;DATOS!$E10281&amp;"|"&amp;DATOS!$I10281)</f>
      </c>
      <c r="G10281">
        <f>IF(DATOS!$A10281="",0,IF(CONFIG_METADATA!$B$4&lt;&gt;"OR+EX",--(DATOS!$G10281=CONFIG_METADATA!$B$4),IF(DATOS!$G10281="EX",1,IF(DATOS!$G10281="OR",--(COUNTIFS(nNIA,DATOS!$A10281,nCURSO,DATOS!$D10281,nESPEC,DATOS!$E10281,nASIG,DATOS!$I10281,nEVAL,"EX")=0),0))))</f>
      </c>
      <c r="H10281">
        <f>IF(DATOS!$G10281&lt;&gt;"EX",0,--(COUNTIFS(nNIA,DATOS!$A10281,nCURSO,DATOS!$D10281,nESPEC,DATOS!$E10281,nASIG,DATOS!$I10281,nEVAL,"OR")=0))</f>
      </c>
      <c r="I10281">
        <f>IF(DATOS!$I10281="","",IFERROR(VLOOKUP(DATOS!$I10281,CONFIG_ASIGNATURAS!$B$2:$J$91,9,FALSE()),""))</f>
      </c>
    </row>
    <row r="10282">
      <c r="F10282">
        <f>IF(DATOS!$A10282="","",DATOS!$A10282&amp;"|"&amp;DATOS!$D10282&amp;"|"&amp;DATOS!$E10282&amp;"|"&amp;DATOS!$I10282)</f>
      </c>
      <c r="G10282">
        <f>IF(DATOS!$A10282="",0,IF(CONFIG_METADATA!$B$4&lt;&gt;"OR+EX",--(DATOS!$G10282=CONFIG_METADATA!$B$4),IF(DATOS!$G10282="EX",1,IF(DATOS!$G10282="OR",--(COUNTIFS(nNIA,DATOS!$A10282,nCURSO,DATOS!$D10282,nESPEC,DATOS!$E10282,nASIG,DATOS!$I10282,nEVAL,"EX")=0),0))))</f>
      </c>
      <c r="H10282">
        <f>IF(DATOS!$G10282&lt;&gt;"EX",0,--(COUNTIFS(nNIA,DATOS!$A10282,nCURSO,DATOS!$D10282,nESPEC,DATOS!$E10282,nASIG,DATOS!$I10282,nEVAL,"OR")=0))</f>
      </c>
      <c r="I10282">
        <f>IF(DATOS!$I10282="","",IFERROR(VLOOKUP(DATOS!$I10282,CONFIG_ASIGNATURAS!$B$2:$J$91,9,FALSE()),""))</f>
      </c>
    </row>
    <row r="10283">
      <c r="F10283">
        <f>IF(DATOS!$A10283="","",DATOS!$A10283&amp;"|"&amp;DATOS!$D10283&amp;"|"&amp;DATOS!$E10283&amp;"|"&amp;DATOS!$I10283)</f>
      </c>
      <c r="G10283">
        <f>IF(DATOS!$A10283="",0,IF(CONFIG_METADATA!$B$4&lt;&gt;"OR+EX",--(DATOS!$G10283=CONFIG_METADATA!$B$4),IF(DATOS!$G10283="EX",1,IF(DATOS!$G10283="OR",--(COUNTIFS(nNIA,DATOS!$A10283,nCURSO,DATOS!$D10283,nESPEC,DATOS!$E10283,nASIG,DATOS!$I10283,nEVAL,"EX")=0),0))))</f>
      </c>
      <c r="H10283">
        <f>IF(DATOS!$G10283&lt;&gt;"EX",0,--(COUNTIFS(nNIA,DATOS!$A10283,nCURSO,DATOS!$D10283,nESPEC,DATOS!$E10283,nASIG,DATOS!$I10283,nEVAL,"OR")=0))</f>
      </c>
      <c r="I10283">
        <f>IF(DATOS!$I10283="","",IFERROR(VLOOKUP(DATOS!$I10283,CONFIG_ASIGNATURAS!$B$2:$J$91,9,FALSE()),""))</f>
      </c>
    </row>
    <row r="10284">
      <c r="F10284">
        <f>IF(DATOS!$A10284="","",DATOS!$A10284&amp;"|"&amp;DATOS!$D10284&amp;"|"&amp;DATOS!$E10284&amp;"|"&amp;DATOS!$I10284)</f>
      </c>
      <c r="G10284">
        <f>IF(DATOS!$A10284="",0,IF(CONFIG_METADATA!$B$4&lt;&gt;"OR+EX",--(DATOS!$G10284=CONFIG_METADATA!$B$4),IF(DATOS!$G10284="EX",1,IF(DATOS!$G10284="OR",--(COUNTIFS(nNIA,DATOS!$A10284,nCURSO,DATOS!$D10284,nESPEC,DATOS!$E10284,nASIG,DATOS!$I10284,nEVAL,"EX")=0),0))))</f>
      </c>
      <c r="H10284">
        <f>IF(DATOS!$G10284&lt;&gt;"EX",0,--(COUNTIFS(nNIA,DATOS!$A10284,nCURSO,DATOS!$D10284,nESPEC,DATOS!$E10284,nASIG,DATOS!$I10284,nEVAL,"OR")=0))</f>
      </c>
      <c r="I10284">
        <f>IF(DATOS!$I10284="","",IFERROR(VLOOKUP(DATOS!$I10284,CONFIG_ASIGNATURAS!$B$2:$J$91,9,FALSE()),""))</f>
      </c>
    </row>
    <row r="10285">
      <c r="F10285">
        <f>IF(DATOS!$A10285="","",DATOS!$A10285&amp;"|"&amp;DATOS!$D10285&amp;"|"&amp;DATOS!$E10285&amp;"|"&amp;DATOS!$I10285)</f>
      </c>
      <c r="G10285">
        <f>IF(DATOS!$A10285="",0,IF(CONFIG_METADATA!$B$4&lt;&gt;"OR+EX",--(DATOS!$G10285=CONFIG_METADATA!$B$4),IF(DATOS!$G10285="EX",1,IF(DATOS!$G10285="OR",--(COUNTIFS(nNIA,DATOS!$A10285,nCURSO,DATOS!$D10285,nESPEC,DATOS!$E10285,nASIG,DATOS!$I10285,nEVAL,"EX")=0),0))))</f>
      </c>
      <c r="H10285">
        <f>IF(DATOS!$G10285&lt;&gt;"EX",0,--(COUNTIFS(nNIA,DATOS!$A10285,nCURSO,DATOS!$D10285,nESPEC,DATOS!$E10285,nASIG,DATOS!$I10285,nEVAL,"OR")=0))</f>
      </c>
      <c r="I10285">
        <f>IF(DATOS!$I10285="","",IFERROR(VLOOKUP(DATOS!$I10285,CONFIG_ASIGNATURAS!$B$2:$J$91,9,FALSE()),""))</f>
      </c>
    </row>
    <row r="10286">
      <c r="F10286">
        <f>IF(DATOS!$A10286="","",DATOS!$A10286&amp;"|"&amp;DATOS!$D10286&amp;"|"&amp;DATOS!$E10286&amp;"|"&amp;DATOS!$I10286)</f>
      </c>
      <c r="G10286">
        <f>IF(DATOS!$A10286="",0,IF(CONFIG_METADATA!$B$4&lt;&gt;"OR+EX",--(DATOS!$G10286=CONFIG_METADATA!$B$4),IF(DATOS!$G10286="EX",1,IF(DATOS!$G10286="OR",--(COUNTIFS(nNIA,DATOS!$A10286,nCURSO,DATOS!$D10286,nESPEC,DATOS!$E10286,nASIG,DATOS!$I10286,nEVAL,"EX")=0),0))))</f>
      </c>
      <c r="H10286">
        <f>IF(DATOS!$G10286&lt;&gt;"EX",0,--(COUNTIFS(nNIA,DATOS!$A10286,nCURSO,DATOS!$D10286,nESPEC,DATOS!$E10286,nASIG,DATOS!$I10286,nEVAL,"OR")=0))</f>
      </c>
      <c r="I10286">
        <f>IF(DATOS!$I10286="","",IFERROR(VLOOKUP(DATOS!$I10286,CONFIG_ASIGNATURAS!$B$2:$J$91,9,FALSE()),""))</f>
      </c>
    </row>
    <row r="10287">
      <c r="F10287">
        <f>IF(DATOS!$A10287="","",DATOS!$A10287&amp;"|"&amp;DATOS!$D10287&amp;"|"&amp;DATOS!$E10287&amp;"|"&amp;DATOS!$I10287)</f>
      </c>
      <c r="G10287">
        <f>IF(DATOS!$A10287="",0,IF(CONFIG_METADATA!$B$4&lt;&gt;"OR+EX",--(DATOS!$G10287=CONFIG_METADATA!$B$4),IF(DATOS!$G10287="EX",1,IF(DATOS!$G10287="OR",--(COUNTIFS(nNIA,DATOS!$A10287,nCURSO,DATOS!$D10287,nESPEC,DATOS!$E10287,nASIG,DATOS!$I10287,nEVAL,"EX")=0),0))))</f>
      </c>
      <c r="H10287">
        <f>IF(DATOS!$G10287&lt;&gt;"EX",0,--(COUNTIFS(nNIA,DATOS!$A10287,nCURSO,DATOS!$D10287,nESPEC,DATOS!$E10287,nASIG,DATOS!$I10287,nEVAL,"OR")=0))</f>
      </c>
      <c r="I10287">
        <f>IF(DATOS!$I10287="","",IFERROR(VLOOKUP(DATOS!$I10287,CONFIG_ASIGNATURAS!$B$2:$J$91,9,FALSE()),""))</f>
      </c>
    </row>
    <row r="10288">
      <c r="F10288">
        <f>IF(DATOS!$A10288="","",DATOS!$A10288&amp;"|"&amp;DATOS!$D10288&amp;"|"&amp;DATOS!$E10288&amp;"|"&amp;DATOS!$I10288)</f>
      </c>
      <c r="G10288">
        <f>IF(DATOS!$A10288="",0,IF(CONFIG_METADATA!$B$4&lt;&gt;"OR+EX",--(DATOS!$G10288=CONFIG_METADATA!$B$4),IF(DATOS!$G10288="EX",1,IF(DATOS!$G10288="OR",--(COUNTIFS(nNIA,DATOS!$A10288,nCURSO,DATOS!$D10288,nESPEC,DATOS!$E10288,nASIG,DATOS!$I10288,nEVAL,"EX")=0),0))))</f>
      </c>
      <c r="H10288">
        <f>IF(DATOS!$G10288&lt;&gt;"EX",0,--(COUNTIFS(nNIA,DATOS!$A10288,nCURSO,DATOS!$D10288,nESPEC,DATOS!$E10288,nASIG,DATOS!$I10288,nEVAL,"OR")=0))</f>
      </c>
      <c r="I10288">
        <f>IF(DATOS!$I10288="","",IFERROR(VLOOKUP(DATOS!$I10288,CONFIG_ASIGNATURAS!$B$2:$J$91,9,FALSE()),""))</f>
      </c>
    </row>
    <row r="10289">
      <c r="F10289">
        <f>IF(DATOS!$A10289="","",DATOS!$A10289&amp;"|"&amp;DATOS!$D10289&amp;"|"&amp;DATOS!$E10289&amp;"|"&amp;DATOS!$I10289)</f>
      </c>
      <c r="G10289">
        <f>IF(DATOS!$A10289="",0,IF(CONFIG_METADATA!$B$4&lt;&gt;"OR+EX",--(DATOS!$G10289=CONFIG_METADATA!$B$4),IF(DATOS!$G10289="EX",1,IF(DATOS!$G10289="OR",--(COUNTIFS(nNIA,DATOS!$A10289,nCURSO,DATOS!$D10289,nESPEC,DATOS!$E10289,nASIG,DATOS!$I10289,nEVAL,"EX")=0),0))))</f>
      </c>
      <c r="H10289">
        <f>IF(DATOS!$G10289&lt;&gt;"EX",0,--(COUNTIFS(nNIA,DATOS!$A10289,nCURSO,DATOS!$D10289,nESPEC,DATOS!$E10289,nASIG,DATOS!$I10289,nEVAL,"OR")=0))</f>
      </c>
      <c r="I10289">
        <f>IF(DATOS!$I10289="","",IFERROR(VLOOKUP(DATOS!$I10289,CONFIG_ASIGNATURAS!$B$2:$J$91,9,FALSE()),""))</f>
      </c>
    </row>
    <row r="10290">
      <c r="F10290">
        <f>IF(DATOS!$A10290="","",DATOS!$A10290&amp;"|"&amp;DATOS!$D10290&amp;"|"&amp;DATOS!$E10290&amp;"|"&amp;DATOS!$I10290)</f>
      </c>
      <c r="G10290">
        <f>IF(DATOS!$A10290="",0,IF(CONFIG_METADATA!$B$4&lt;&gt;"OR+EX",--(DATOS!$G10290=CONFIG_METADATA!$B$4),IF(DATOS!$G10290="EX",1,IF(DATOS!$G10290="OR",--(COUNTIFS(nNIA,DATOS!$A10290,nCURSO,DATOS!$D10290,nESPEC,DATOS!$E10290,nASIG,DATOS!$I10290,nEVAL,"EX")=0),0))))</f>
      </c>
      <c r="H10290">
        <f>IF(DATOS!$G10290&lt;&gt;"EX",0,--(COUNTIFS(nNIA,DATOS!$A10290,nCURSO,DATOS!$D10290,nESPEC,DATOS!$E10290,nASIG,DATOS!$I10290,nEVAL,"OR")=0))</f>
      </c>
      <c r="I10290">
        <f>IF(DATOS!$I10290="","",IFERROR(VLOOKUP(DATOS!$I10290,CONFIG_ASIGNATURAS!$B$2:$J$91,9,FALSE()),""))</f>
      </c>
    </row>
    <row r="10291">
      <c r="F10291">
        <f>IF(DATOS!$A10291="","",DATOS!$A10291&amp;"|"&amp;DATOS!$D10291&amp;"|"&amp;DATOS!$E10291&amp;"|"&amp;DATOS!$I10291)</f>
      </c>
      <c r="G10291">
        <f>IF(DATOS!$A10291="",0,IF(CONFIG_METADATA!$B$4&lt;&gt;"OR+EX",--(DATOS!$G10291=CONFIG_METADATA!$B$4),IF(DATOS!$G10291="EX",1,IF(DATOS!$G10291="OR",--(COUNTIFS(nNIA,DATOS!$A10291,nCURSO,DATOS!$D10291,nESPEC,DATOS!$E10291,nASIG,DATOS!$I10291,nEVAL,"EX")=0),0))))</f>
      </c>
      <c r="H10291">
        <f>IF(DATOS!$G10291&lt;&gt;"EX",0,--(COUNTIFS(nNIA,DATOS!$A10291,nCURSO,DATOS!$D10291,nESPEC,DATOS!$E10291,nASIG,DATOS!$I10291,nEVAL,"OR")=0))</f>
      </c>
      <c r="I10291">
        <f>IF(DATOS!$I10291="","",IFERROR(VLOOKUP(DATOS!$I10291,CONFIG_ASIGNATURAS!$B$2:$J$91,9,FALSE()),""))</f>
      </c>
    </row>
    <row r="10292">
      <c r="F10292">
        <f>IF(DATOS!$A10292="","",DATOS!$A10292&amp;"|"&amp;DATOS!$D10292&amp;"|"&amp;DATOS!$E10292&amp;"|"&amp;DATOS!$I10292)</f>
      </c>
      <c r="G10292">
        <f>IF(DATOS!$A10292="",0,IF(CONFIG_METADATA!$B$4&lt;&gt;"OR+EX",--(DATOS!$G10292=CONFIG_METADATA!$B$4),IF(DATOS!$G10292="EX",1,IF(DATOS!$G10292="OR",--(COUNTIFS(nNIA,DATOS!$A10292,nCURSO,DATOS!$D10292,nESPEC,DATOS!$E10292,nASIG,DATOS!$I10292,nEVAL,"EX")=0),0))))</f>
      </c>
      <c r="H10292">
        <f>IF(DATOS!$G10292&lt;&gt;"EX",0,--(COUNTIFS(nNIA,DATOS!$A10292,nCURSO,DATOS!$D10292,nESPEC,DATOS!$E10292,nASIG,DATOS!$I10292,nEVAL,"OR")=0))</f>
      </c>
      <c r="I10292">
        <f>IF(DATOS!$I10292="","",IFERROR(VLOOKUP(DATOS!$I10292,CONFIG_ASIGNATURAS!$B$2:$J$91,9,FALSE()),""))</f>
      </c>
    </row>
    <row r="10293">
      <c r="F10293">
        <f>IF(DATOS!$A10293="","",DATOS!$A10293&amp;"|"&amp;DATOS!$D10293&amp;"|"&amp;DATOS!$E10293&amp;"|"&amp;DATOS!$I10293)</f>
      </c>
      <c r="G10293">
        <f>IF(DATOS!$A10293="",0,IF(CONFIG_METADATA!$B$4&lt;&gt;"OR+EX",--(DATOS!$G10293=CONFIG_METADATA!$B$4),IF(DATOS!$G10293="EX",1,IF(DATOS!$G10293="OR",--(COUNTIFS(nNIA,DATOS!$A10293,nCURSO,DATOS!$D10293,nESPEC,DATOS!$E10293,nASIG,DATOS!$I10293,nEVAL,"EX")=0),0))))</f>
      </c>
      <c r="H10293">
        <f>IF(DATOS!$G10293&lt;&gt;"EX",0,--(COUNTIFS(nNIA,DATOS!$A10293,nCURSO,DATOS!$D10293,nESPEC,DATOS!$E10293,nASIG,DATOS!$I10293,nEVAL,"OR")=0))</f>
      </c>
      <c r="I10293">
        <f>IF(DATOS!$I10293="","",IFERROR(VLOOKUP(DATOS!$I10293,CONFIG_ASIGNATURAS!$B$2:$J$91,9,FALSE()),""))</f>
      </c>
    </row>
    <row r="10294">
      <c r="F10294">
        <f>IF(DATOS!$A10294="","",DATOS!$A10294&amp;"|"&amp;DATOS!$D10294&amp;"|"&amp;DATOS!$E10294&amp;"|"&amp;DATOS!$I10294)</f>
      </c>
      <c r="G10294">
        <f>IF(DATOS!$A10294="",0,IF(CONFIG_METADATA!$B$4&lt;&gt;"OR+EX",--(DATOS!$G10294=CONFIG_METADATA!$B$4),IF(DATOS!$G10294="EX",1,IF(DATOS!$G10294="OR",--(COUNTIFS(nNIA,DATOS!$A10294,nCURSO,DATOS!$D10294,nESPEC,DATOS!$E10294,nASIG,DATOS!$I10294,nEVAL,"EX")=0),0))))</f>
      </c>
      <c r="H10294">
        <f>IF(DATOS!$G10294&lt;&gt;"EX",0,--(COUNTIFS(nNIA,DATOS!$A10294,nCURSO,DATOS!$D10294,nESPEC,DATOS!$E10294,nASIG,DATOS!$I10294,nEVAL,"OR")=0))</f>
      </c>
      <c r="I10294">
        <f>IF(DATOS!$I10294="","",IFERROR(VLOOKUP(DATOS!$I10294,CONFIG_ASIGNATURAS!$B$2:$J$91,9,FALSE()),""))</f>
      </c>
    </row>
    <row r="10295">
      <c r="F10295">
        <f>IF(DATOS!$A10295="","",DATOS!$A10295&amp;"|"&amp;DATOS!$D10295&amp;"|"&amp;DATOS!$E10295&amp;"|"&amp;DATOS!$I10295)</f>
      </c>
      <c r="G10295">
        <f>IF(DATOS!$A10295="",0,IF(CONFIG_METADATA!$B$4&lt;&gt;"OR+EX",--(DATOS!$G10295=CONFIG_METADATA!$B$4),IF(DATOS!$G10295="EX",1,IF(DATOS!$G10295="OR",--(COUNTIFS(nNIA,DATOS!$A10295,nCURSO,DATOS!$D10295,nESPEC,DATOS!$E10295,nASIG,DATOS!$I10295,nEVAL,"EX")=0),0))))</f>
      </c>
      <c r="H10295">
        <f>IF(DATOS!$G10295&lt;&gt;"EX",0,--(COUNTIFS(nNIA,DATOS!$A10295,nCURSO,DATOS!$D10295,nESPEC,DATOS!$E10295,nASIG,DATOS!$I10295,nEVAL,"OR")=0))</f>
      </c>
      <c r="I10295">
        <f>IF(DATOS!$I10295="","",IFERROR(VLOOKUP(DATOS!$I10295,CONFIG_ASIGNATURAS!$B$2:$J$91,9,FALSE()),""))</f>
      </c>
    </row>
    <row r="10296">
      <c r="F10296">
        <f>IF(DATOS!$A10296="","",DATOS!$A10296&amp;"|"&amp;DATOS!$D10296&amp;"|"&amp;DATOS!$E10296&amp;"|"&amp;DATOS!$I10296)</f>
      </c>
      <c r="G10296">
        <f>IF(DATOS!$A10296="",0,IF(CONFIG_METADATA!$B$4&lt;&gt;"OR+EX",--(DATOS!$G10296=CONFIG_METADATA!$B$4),IF(DATOS!$G10296="EX",1,IF(DATOS!$G10296="OR",--(COUNTIFS(nNIA,DATOS!$A10296,nCURSO,DATOS!$D10296,nESPEC,DATOS!$E10296,nASIG,DATOS!$I10296,nEVAL,"EX")=0),0))))</f>
      </c>
      <c r="H10296">
        <f>IF(DATOS!$G10296&lt;&gt;"EX",0,--(COUNTIFS(nNIA,DATOS!$A10296,nCURSO,DATOS!$D10296,nESPEC,DATOS!$E10296,nASIG,DATOS!$I10296,nEVAL,"OR")=0))</f>
      </c>
      <c r="I10296">
        <f>IF(DATOS!$I10296="","",IFERROR(VLOOKUP(DATOS!$I10296,CONFIG_ASIGNATURAS!$B$2:$J$91,9,FALSE()),""))</f>
      </c>
    </row>
    <row r="10297">
      <c r="F10297">
        <f>IF(DATOS!$A10297="","",DATOS!$A10297&amp;"|"&amp;DATOS!$D10297&amp;"|"&amp;DATOS!$E10297&amp;"|"&amp;DATOS!$I10297)</f>
      </c>
      <c r="G10297">
        <f>IF(DATOS!$A10297="",0,IF(CONFIG_METADATA!$B$4&lt;&gt;"OR+EX",--(DATOS!$G10297=CONFIG_METADATA!$B$4),IF(DATOS!$G10297="EX",1,IF(DATOS!$G10297="OR",--(COUNTIFS(nNIA,DATOS!$A10297,nCURSO,DATOS!$D10297,nESPEC,DATOS!$E10297,nASIG,DATOS!$I10297,nEVAL,"EX")=0),0))))</f>
      </c>
      <c r="H10297">
        <f>IF(DATOS!$G10297&lt;&gt;"EX",0,--(COUNTIFS(nNIA,DATOS!$A10297,nCURSO,DATOS!$D10297,nESPEC,DATOS!$E10297,nASIG,DATOS!$I10297,nEVAL,"OR")=0))</f>
      </c>
      <c r="I10297">
        <f>IF(DATOS!$I10297="","",IFERROR(VLOOKUP(DATOS!$I10297,CONFIG_ASIGNATURAS!$B$2:$J$91,9,FALSE()),""))</f>
      </c>
    </row>
    <row r="10298">
      <c r="F10298">
        <f>IF(DATOS!$A10298="","",DATOS!$A10298&amp;"|"&amp;DATOS!$D10298&amp;"|"&amp;DATOS!$E10298&amp;"|"&amp;DATOS!$I10298)</f>
      </c>
      <c r="G10298">
        <f>IF(DATOS!$A10298="",0,IF(CONFIG_METADATA!$B$4&lt;&gt;"OR+EX",--(DATOS!$G10298=CONFIG_METADATA!$B$4),IF(DATOS!$G10298="EX",1,IF(DATOS!$G10298="OR",--(COUNTIFS(nNIA,DATOS!$A10298,nCURSO,DATOS!$D10298,nESPEC,DATOS!$E10298,nASIG,DATOS!$I10298,nEVAL,"EX")=0),0))))</f>
      </c>
      <c r="H10298">
        <f>IF(DATOS!$G10298&lt;&gt;"EX",0,--(COUNTIFS(nNIA,DATOS!$A10298,nCURSO,DATOS!$D10298,nESPEC,DATOS!$E10298,nASIG,DATOS!$I10298,nEVAL,"OR")=0))</f>
      </c>
      <c r="I10298">
        <f>IF(DATOS!$I10298="","",IFERROR(VLOOKUP(DATOS!$I10298,CONFIG_ASIGNATURAS!$B$2:$J$91,9,FALSE()),""))</f>
      </c>
    </row>
    <row r="10299">
      <c r="F10299">
        <f>IF(DATOS!$A10299="","",DATOS!$A10299&amp;"|"&amp;DATOS!$D10299&amp;"|"&amp;DATOS!$E10299&amp;"|"&amp;DATOS!$I10299)</f>
      </c>
      <c r="G10299">
        <f>IF(DATOS!$A10299="",0,IF(CONFIG_METADATA!$B$4&lt;&gt;"OR+EX",--(DATOS!$G10299=CONFIG_METADATA!$B$4),IF(DATOS!$G10299="EX",1,IF(DATOS!$G10299="OR",--(COUNTIFS(nNIA,DATOS!$A10299,nCURSO,DATOS!$D10299,nESPEC,DATOS!$E10299,nASIG,DATOS!$I10299,nEVAL,"EX")=0),0))))</f>
      </c>
      <c r="H10299">
        <f>IF(DATOS!$G10299&lt;&gt;"EX",0,--(COUNTIFS(nNIA,DATOS!$A10299,nCURSO,DATOS!$D10299,nESPEC,DATOS!$E10299,nASIG,DATOS!$I10299,nEVAL,"OR")=0))</f>
      </c>
      <c r="I10299">
        <f>IF(DATOS!$I10299="","",IFERROR(VLOOKUP(DATOS!$I10299,CONFIG_ASIGNATURAS!$B$2:$J$91,9,FALSE()),""))</f>
      </c>
    </row>
    <row r="10300">
      <c r="F10300">
        <f>IF(DATOS!$A10300="","",DATOS!$A10300&amp;"|"&amp;DATOS!$D10300&amp;"|"&amp;DATOS!$E10300&amp;"|"&amp;DATOS!$I10300)</f>
      </c>
      <c r="G10300">
        <f>IF(DATOS!$A10300="",0,IF(CONFIG_METADATA!$B$4&lt;&gt;"OR+EX",--(DATOS!$G10300=CONFIG_METADATA!$B$4),IF(DATOS!$G10300="EX",1,IF(DATOS!$G10300="OR",--(COUNTIFS(nNIA,DATOS!$A10300,nCURSO,DATOS!$D10300,nESPEC,DATOS!$E10300,nASIG,DATOS!$I10300,nEVAL,"EX")=0),0))))</f>
      </c>
      <c r="H10300">
        <f>IF(DATOS!$G10300&lt;&gt;"EX",0,--(COUNTIFS(nNIA,DATOS!$A10300,nCURSO,DATOS!$D10300,nESPEC,DATOS!$E10300,nASIG,DATOS!$I10300,nEVAL,"OR")=0))</f>
      </c>
      <c r="I10300">
        <f>IF(DATOS!$I10300="","",IFERROR(VLOOKUP(DATOS!$I10300,CONFIG_ASIGNATURAS!$B$2:$J$91,9,FALSE()),""))</f>
      </c>
    </row>
    <row r="10301">
      <c r="F10301">
        <f>IF(DATOS!$A10301="","",DATOS!$A10301&amp;"|"&amp;DATOS!$D10301&amp;"|"&amp;DATOS!$E10301&amp;"|"&amp;DATOS!$I10301)</f>
      </c>
      <c r="G10301">
        <f>IF(DATOS!$A10301="",0,IF(CONFIG_METADATA!$B$4&lt;&gt;"OR+EX",--(DATOS!$G10301=CONFIG_METADATA!$B$4),IF(DATOS!$G10301="EX",1,IF(DATOS!$G10301="OR",--(COUNTIFS(nNIA,DATOS!$A10301,nCURSO,DATOS!$D10301,nESPEC,DATOS!$E10301,nASIG,DATOS!$I10301,nEVAL,"EX")=0),0))))</f>
      </c>
      <c r="H10301">
        <f>IF(DATOS!$G10301&lt;&gt;"EX",0,--(COUNTIFS(nNIA,DATOS!$A10301,nCURSO,DATOS!$D10301,nESPEC,DATOS!$E10301,nASIG,DATOS!$I10301,nEVAL,"OR")=0))</f>
      </c>
      <c r="I10301">
        <f>IF(DATOS!$I10301="","",IFERROR(VLOOKUP(DATOS!$I10301,CONFIG_ASIGNATURAS!$B$2:$J$91,9,FALSE()),""))</f>
      </c>
    </row>
    <row r="10302">
      <c r="F10302">
        <f>IF(DATOS!$A10302="","",DATOS!$A10302&amp;"|"&amp;DATOS!$D10302&amp;"|"&amp;DATOS!$E10302&amp;"|"&amp;DATOS!$I10302)</f>
      </c>
      <c r="G10302">
        <f>IF(DATOS!$A10302="",0,IF(CONFIG_METADATA!$B$4&lt;&gt;"OR+EX",--(DATOS!$G10302=CONFIG_METADATA!$B$4),IF(DATOS!$G10302="EX",1,IF(DATOS!$G10302="OR",--(COUNTIFS(nNIA,DATOS!$A10302,nCURSO,DATOS!$D10302,nESPEC,DATOS!$E10302,nASIG,DATOS!$I10302,nEVAL,"EX")=0),0))))</f>
      </c>
      <c r="H10302">
        <f>IF(DATOS!$G10302&lt;&gt;"EX",0,--(COUNTIFS(nNIA,DATOS!$A10302,nCURSO,DATOS!$D10302,nESPEC,DATOS!$E10302,nASIG,DATOS!$I10302,nEVAL,"OR")=0))</f>
      </c>
      <c r="I10302">
        <f>IF(DATOS!$I10302="","",IFERROR(VLOOKUP(DATOS!$I10302,CONFIG_ASIGNATURAS!$B$2:$J$91,9,FALSE()),""))</f>
      </c>
    </row>
    <row r="10303">
      <c r="F10303">
        <f>IF(DATOS!$A10303="","",DATOS!$A10303&amp;"|"&amp;DATOS!$D10303&amp;"|"&amp;DATOS!$E10303&amp;"|"&amp;DATOS!$I10303)</f>
      </c>
      <c r="G10303">
        <f>IF(DATOS!$A10303="",0,IF(CONFIG_METADATA!$B$4&lt;&gt;"OR+EX",--(DATOS!$G10303=CONFIG_METADATA!$B$4),IF(DATOS!$G10303="EX",1,IF(DATOS!$G10303="OR",--(COUNTIFS(nNIA,DATOS!$A10303,nCURSO,DATOS!$D10303,nESPEC,DATOS!$E10303,nASIG,DATOS!$I10303,nEVAL,"EX")=0),0))))</f>
      </c>
      <c r="H10303">
        <f>IF(DATOS!$G10303&lt;&gt;"EX",0,--(COUNTIFS(nNIA,DATOS!$A10303,nCURSO,DATOS!$D10303,nESPEC,DATOS!$E10303,nASIG,DATOS!$I10303,nEVAL,"OR")=0))</f>
      </c>
      <c r="I10303">
        <f>IF(DATOS!$I10303="","",IFERROR(VLOOKUP(DATOS!$I10303,CONFIG_ASIGNATURAS!$B$2:$J$91,9,FALSE()),""))</f>
      </c>
    </row>
    <row r="10304">
      <c r="F10304">
        <f>IF(DATOS!$A10304="","",DATOS!$A10304&amp;"|"&amp;DATOS!$D10304&amp;"|"&amp;DATOS!$E10304&amp;"|"&amp;DATOS!$I10304)</f>
      </c>
      <c r="G10304">
        <f>IF(DATOS!$A10304="",0,IF(CONFIG_METADATA!$B$4&lt;&gt;"OR+EX",--(DATOS!$G10304=CONFIG_METADATA!$B$4),IF(DATOS!$G10304="EX",1,IF(DATOS!$G10304="OR",--(COUNTIFS(nNIA,DATOS!$A10304,nCURSO,DATOS!$D10304,nESPEC,DATOS!$E10304,nASIG,DATOS!$I10304,nEVAL,"EX")=0),0))))</f>
      </c>
      <c r="H10304">
        <f>IF(DATOS!$G10304&lt;&gt;"EX",0,--(COUNTIFS(nNIA,DATOS!$A10304,nCURSO,DATOS!$D10304,nESPEC,DATOS!$E10304,nASIG,DATOS!$I10304,nEVAL,"OR")=0))</f>
      </c>
      <c r="I10304">
        <f>IF(DATOS!$I10304="","",IFERROR(VLOOKUP(DATOS!$I10304,CONFIG_ASIGNATURAS!$B$2:$J$91,9,FALSE()),""))</f>
      </c>
    </row>
    <row r="10305">
      <c r="F10305">
        <f>IF(DATOS!$A10305="","",DATOS!$A10305&amp;"|"&amp;DATOS!$D10305&amp;"|"&amp;DATOS!$E10305&amp;"|"&amp;DATOS!$I10305)</f>
      </c>
      <c r="G10305">
        <f>IF(DATOS!$A10305="",0,IF(CONFIG_METADATA!$B$4&lt;&gt;"OR+EX",--(DATOS!$G10305=CONFIG_METADATA!$B$4),IF(DATOS!$G10305="EX",1,IF(DATOS!$G10305="OR",--(COUNTIFS(nNIA,DATOS!$A10305,nCURSO,DATOS!$D10305,nESPEC,DATOS!$E10305,nASIG,DATOS!$I10305,nEVAL,"EX")=0),0))))</f>
      </c>
      <c r="H10305">
        <f>IF(DATOS!$G10305&lt;&gt;"EX",0,--(COUNTIFS(nNIA,DATOS!$A10305,nCURSO,DATOS!$D10305,nESPEC,DATOS!$E10305,nASIG,DATOS!$I10305,nEVAL,"OR")=0))</f>
      </c>
      <c r="I10305">
        <f>IF(DATOS!$I10305="","",IFERROR(VLOOKUP(DATOS!$I10305,CONFIG_ASIGNATURAS!$B$2:$J$91,9,FALSE()),""))</f>
      </c>
    </row>
    <row r="10306">
      <c r="F10306">
        <f>IF(DATOS!$A10306="","",DATOS!$A10306&amp;"|"&amp;DATOS!$D10306&amp;"|"&amp;DATOS!$E10306&amp;"|"&amp;DATOS!$I10306)</f>
      </c>
      <c r="G10306">
        <f>IF(DATOS!$A10306="",0,IF(CONFIG_METADATA!$B$4&lt;&gt;"OR+EX",--(DATOS!$G10306=CONFIG_METADATA!$B$4),IF(DATOS!$G10306="EX",1,IF(DATOS!$G10306="OR",--(COUNTIFS(nNIA,DATOS!$A10306,nCURSO,DATOS!$D10306,nESPEC,DATOS!$E10306,nASIG,DATOS!$I10306,nEVAL,"EX")=0),0))))</f>
      </c>
      <c r="H10306">
        <f>IF(DATOS!$G10306&lt;&gt;"EX",0,--(COUNTIFS(nNIA,DATOS!$A10306,nCURSO,DATOS!$D10306,nESPEC,DATOS!$E10306,nASIG,DATOS!$I10306,nEVAL,"OR")=0))</f>
      </c>
      <c r="I10306">
        <f>IF(DATOS!$I10306="","",IFERROR(VLOOKUP(DATOS!$I10306,CONFIG_ASIGNATURAS!$B$2:$J$91,9,FALSE()),""))</f>
      </c>
    </row>
    <row r="10307">
      <c r="F10307">
        <f>IF(DATOS!$A10307="","",DATOS!$A10307&amp;"|"&amp;DATOS!$D10307&amp;"|"&amp;DATOS!$E10307&amp;"|"&amp;DATOS!$I10307)</f>
      </c>
      <c r="G10307">
        <f>IF(DATOS!$A10307="",0,IF(CONFIG_METADATA!$B$4&lt;&gt;"OR+EX",--(DATOS!$G10307=CONFIG_METADATA!$B$4),IF(DATOS!$G10307="EX",1,IF(DATOS!$G10307="OR",--(COUNTIFS(nNIA,DATOS!$A10307,nCURSO,DATOS!$D10307,nESPEC,DATOS!$E10307,nASIG,DATOS!$I10307,nEVAL,"EX")=0),0))))</f>
      </c>
      <c r="H10307">
        <f>IF(DATOS!$G10307&lt;&gt;"EX",0,--(COUNTIFS(nNIA,DATOS!$A10307,nCURSO,DATOS!$D10307,nESPEC,DATOS!$E10307,nASIG,DATOS!$I10307,nEVAL,"OR")=0))</f>
      </c>
      <c r="I10307">
        <f>IF(DATOS!$I10307="","",IFERROR(VLOOKUP(DATOS!$I10307,CONFIG_ASIGNATURAS!$B$2:$J$91,9,FALSE()),""))</f>
      </c>
    </row>
    <row r="10308">
      <c r="F10308">
        <f>IF(DATOS!$A10308="","",DATOS!$A10308&amp;"|"&amp;DATOS!$D10308&amp;"|"&amp;DATOS!$E10308&amp;"|"&amp;DATOS!$I10308)</f>
      </c>
      <c r="G10308">
        <f>IF(DATOS!$A10308="",0,IF(CONFIG_METADATA!$B$4&lt;&gt;"OR+EX",--(DATOS!$G10308=CONFIG_METADATA!$B$4),IF(DATOS!$G10308="EX",1,IF(DATOS!$G10308="OR",--(COUNTIFS(nNIA,DATOS!$A10308,nCURSO,DATOS!$D10308,nESPEC,DATOS!$E10308,nASIG,DATOS!$I10308,nEVAL,"EX")=0),0))))</f>
      </c>
      <c r="H10308">
        <f>IF(DATOS!$G10308&lt;&gt;"EX",0,--(COUNTIFS(nNIA,DATOS!$A10308,nCURSO,DATOS!$D10308,nESPEC,DATOS!$E10308,nASIG,DATOS!$I10308,nEVAL,"OR")=0))</f>
      </c>
      <c r="I10308">
        <f>IF(DATOS!$I10308="","",IFERROR(VLOOKUP(DATOS!$I10308,CONFIG_ASIGNATURAS!$B$2:$J$91,9,FALSE()),""))</f>
      </c>
    </row>
    <row r="10309">
      <c r="F10309">
        <f>IF(DATOS!$A10309="","",DATOS!$A10309&amp;"|"&amp;DATOS!$D10309&amp;"|"&amp;DATOS!$E10309&amp;"|"&amp;DATOS!$I10309)</f>
      </c>
      <c r="G10309">
        <f>IF(DATOS!$A10309="",0,IF(CONFIG_METADATA!$B$4&lt;&gt;"OR+EX",--(DATOS!$G10309=CONFIG_METADATA!$B$4),IF(DATOS!$G10309="EX",1,IF(DATOS!$G10309="OR",--(COUNTIFS(nNIA,DATOS!$A10309,nCURSO,DATOS!$D10309,nESPEC,DATOS!$E10309,nASIG,DATOS!$I10309,nEVAL,"EX")=0),0))))</f>
      </c>
      <c r="H10309">
        <f>IF(DATOS!$G10309&lt;&gt;"EX",0,--(COUNTIFS(nNIA,DATOS!$A10309,nCURSO,DATOS!$D10309,nESPEC,DATOS!$E10309,nASIG,DATOS!$I10309,nEVAL,"OR")=0))</f>
      </c>
      <c r="I10309">
        <f>IF(DATOS!$I10309="","",IFERROR(VLOOKUP(DATOS!$I10309,CONFIG_ASIGNATURAS!$B$2:$J$91,9,FALSE()),""))</f>
      </c>
    </row>
    <row r="10310">
      <c r="F10310">
        <f>IF(DATOS!$A10310="","",DATOS!$A10310&amp;"|"&amp;DATOS!$D10310&amp;"|"&amp;DATOS!$E10310&amp;"|"&amp;DATOS!$I10310)</f>
      </c>
      <c r="G10310">
        <f>IF(DATOS!$A10310="",0,IF(CONFIG_METADATA!$B$4&lt;&gt;"OR+EX",--(DATOS!$G10310=CONFIG_METADATA!$B$4),IF(DATOS!$G10310="EX",1,IF(DATOS!$G10310="OR",--(COUNTIFS(nNIA,DATOS!$A10310,nCURSO,DATOS!$D10310,nESPEC,DATOS!$E10310,nASIG,DATOS!$I10310,nEVAL,"EX")=0),0))))</f>
      </c>
      <c r="H10310">
        <f>IF(DATOS!$G10310&lt;&gt;"EX",0,--(COUNTIFS(nNIA,DATOS!$A10310,nCURSO,DATOS!$D10310,nESPEC,DATOS!$E10310,nASIG,DATOS!$I10310,nEVAL,"OR")=0))</f>
      </c>
      <c r="I10310">
        <f>IF(DATOS!$I10310="","",IFERROR(VLOOKUP(DATOS!$I10310,CONFIG_ASIGNATURAS!$B$2:$J$91,9,FALSE()),""))</f>
      </c>
    </row>
    <row r="10311">
      <c r="F10311">
        <f>IF(DATOS!$A10311="","",DATOS!$A10311&amp;"|"&amp;DATOS!$D10311&amp;"|"&amp;DATOS!$E10311&amp;"|"&amp;DATOS!$I10311)</f>
      </c>
      <c r="G10311">
        <f>IF(DATOS!$A10311="",0,IF(CONFIG_METADATA!$B$4&lt;&gt;"OR+EX",--(DATOS!$G10311=CONFIG_METADATA!$B$4),IF(DATOS!$G10311="EX",1,IF(DATOS!$G10311="OR",--(COUNTIFS(nNIA,DATOS!$A10311,nCURSO,DATOS!$D10311,nESPEC,DATOS!$E10311,nASIG,DATOS!$I10311,nEVAL,"EX")=0),0))))</f>
      </c>
      <c r="H10311">
        <f>IF(DATOS!$G10311&lt;&gt;"EX",0,--(COUNTIFS(nNIA,DATOS!$A10311,nCURSO,DATOS!$D10311,nESPEC,DATOS!$E10311,nASIG,DATOS!$I10311,nEVAL,"OR")=0))</f>
      </c>
      <c r="I10311">
        <f>IF(DATOS!$I10311="","",IFERROR(VLOOKUP(DATOS!$I10311,CONFIG_ASIGNATURAS!$B$2:$J$91,9,FALSE()),""))</f>
      </c>
    </row>
    <row r="10312">
      <c r="F10312">
        <f>IF(DATOS!$A10312="","",DATOS!$A10312&amp;"|"&amp;DATOS!$D10312&amp;"|"&amp;DATOS!$E10312&amp;"|"&amp;DATOS!$I10312)</f>
      </c>
      <c r="G10312">
        <f>IF(DATOS!$A10312="",0,IF(CONFIG_METADATA!$B$4&lt;&gt;"OR+EX",--(DATOS!$G10312=CONFIG_METADATA!$B$4),IF(DATOS!$G10312="EX",1,IF(DATOS!$G10312="OR",--(COUNTIFS(nNIA,DATOS!$A10312,nCURSO,DATOS!$D10312,nESPEC,DATOS!$E10312,nASIG,DATOS!$I10312,nEVAL,"EX")=0),0))))</f>
      </c>
      <c r="H10312">
        <f>IF(DATOS!$G10312&lt;&gt;"EX",0,--(COUNTIFS(nNIA,DATOS!$A10312,nCURSO,DATOS!$D10312,nESPEC,DATOS!$E10312,nASIG,DATOS!$I10312,nEVAL,"OR")=0))</f>
      </c>
      <c r="I10312">
        <f>IF(DATOS!$I10312="","",IFERROR(VLOOKUP(DATOS!$I10312,CONFIG_ASIGNATURAS!$B$2:$J$91,9,FALSE()),""))</f>
      </c>
    </row>
    <row r="10313">
      <c r="F10313">
        <f>IF(DATOS!$A10313="","",DATOS!$A10313&amp;"|"&amp;DATOS!$D10313&amp;"|"&amp;DATOS!$E10313&amp;"|"&amp;DATOS!$I10313)</f>
      </c>
      <c r="G10313">
        <f>IF(DATOS!$A10313="",0,IF(CONFIG_METADATA!$B$4&lt;&gt;"OR+EX",--(DATOS!$G10313=CONFIG_METADATA!$B$4),IF(DATOS!$G10313="EX",1,IF(DATOS!$G10313="OR",--(COUNTIFS(nNIA,DATOS!$A10313,nCURSO,DATOS!$D10313,nESPEC,DATOS!$E10313,nASIG,DATOS!$I10313,nEVAL,"EX")=0),0))))</f>
      </c>
      <c r="H10313">
        <f>IF(DATOS!$G10313&lt;&gt;"EX",0,--(COUNTIFS(nNIA,DATOS!$A10313,nCURSO,DATOS!$D10313,nESPEC,DATOS!$E10313,nASIG,DATOS!$I10313,nEVAL,"OR")=0))</f>
      </c>
      <c r="I10313">
        <f>IF(DATOS!$I10313="","",IFERROR(VLOOKUP(DATOS!$I10313,CONFIG_ASIGNATURAS!$B$2:$J$91,9,FALSE()),""))</f>
      </c>
    </row>
    <row r="10314">
      <c r="F10314">
        <f>IF(DATOS!$A10314="","",DATOS!$A10314&amp;"|"&amp;DATOS!$D10314&amp;"|"&amp;DATOS!$E10314&amp;"|"&amp;DATOS!$I10314)</f>
      </c>
      <c r="G10314">
        <f>IF(DATOS!$A10314="",0,IF(CONFIG_METADATA!$B$4&lt;&gt;"OR+EX",--(DATOS!$G10314=CONFIG_METADATA!$B$4),IF(DATOS!$G10314="EX",1,IF(DATOS!$G10314="OR",--(COUNTIFS(nNIA,DATOS!$A10314,nCURSO,DATOS!$D10314,nESPEC,DATOS!$E10314,nASIG,DATOS!$I10314,nEVAL,"EX")=0),0))))</f>
      </c>
      <c r="H10314">
        <f>IF(DATOS!$G10314&lt;&gt;"EX",0,--(COUNTIFS(nNIA,DATOS!$A10314,nCURSO,DATOS!$D10314,nESPEC,DATOS!$E10314,nASIG,DATOS!$I10314,nEVAL,"OR")=0))</f>
      </c>
      <c r="I10314">
        <f>IF(DATOS!$I10314="","",IFERROR(VLOOKUP(DATOS!$I10314,CONFIG_ASIGNATURAS!$B$2:$J$91,9,FALSE()),""))</f>
      </c>
    </row>
    <row r="10315">
      <c r="F10315">
        <f>IF(DATOS!$A10315="","",DATOS!$A10315&amp;"|"&amp;DATOS!$D10315&amp;"|"&amp;DATOS!$E10315&amp;"|"&amp;DATOS!$I10315)</f>
      </c>
      <c r="G10315">
        <f>IF(DATOS!$A10315="",0,IF(CONFIG_METADATA!$B$4&lt;&gt;"OR+EX",--(DATOS!$G10315=CONFIG_METADATA!$B$4),IF(DATOS!$G10315="EX",1,IF(DATOS!$G10315="OR",--(COUNTIFS(nNIA,DATOS!$A10315,nCURSO,DATOS!$D10315,nESPEC,DATOS!$E10315,nASIG,DATOS!$I10315,nEVAL,"EX")=0),0))))</f>
      </c>
      <c r="H10315">
        <f>IF(DATOS!$G10315&lt;&gt;"EX",0,--(COUNTIFS(nNIA,DATOS!$A10315,nCURSO,DATOS!$D10315,nESPEC,DATOS!$E10315,nASIG,DATOS!$I10315,nEVAL,"OR")=0))</f>
      </c>
      <c r="I10315">
        <f>IF(DATOS!$I10315="","",IFERROR(VLOOKUP(DATOS!$I10315,CONFIG_ASIGNATURAS!$B$2:$J$91,9,FALSE()),""))</f>
      </c>
    </row>
    <row r="10316">
      <c r="F10316">
        <f>IF(DATOS!$A10316="","",DATOS!$A10316&amp;"|"&amp;DATOS!$D10316&amp;"|"&amp;DATOS!$E10316&amp;"|"&amp;DATOS!$I10316)</f>
      </c>
      <c r="G10316">
        <f>IF(DATOS!$A10316="",0,IF(CONFIG_METADATA!$B$4&lt;&gt;"OR+EX",--(DATOS!$G10316=CONFIG_METADATA!$B$4),IF(DATOS!$G10316="EX",1,IF(DATOS!$G10316="OR",--(COUNTIFS(nNIA,DATOS!$A10316,nCURSO,DATOS!$D10316,nESPEC,DATOS!$E10316,nASIG,DATOS!$I10316,nEVAL,"EX")=0),0))))</f>
      </c>
      <c r="H10316">
        <f>IF(DATOS!$G10316&lt;&gt;"EX",0,--(COUNTIFS(nNIA,DATOS!$A10316,nCURSO,DATOS!$D10316,nESPEC,DATOS!$E10316,nASIG,DATOS!$I10316,nEVAL,"OR")=0))</f>
      </c>
      <c r="I10316">
        <f>IF(DATOS!$I10316="","",IFERROR(VLOOKUP(DATOS!$I10316,CONFIG_ASIGNATURAS!$B$2:$J$91,9,FALSE()),""))</f>
      </c>
    </row>
    <row r="10317">
      <c r="F10317">
        <f>IF(DATOS!$A10317="","",DATOS!$A10317&amp;"|"&amp;DATOS!$D10317&amp;"|"&amp;DATOS!$E10317&amp;"|"&amp;DATOS!$I10317)</f>
      </c>
      <c r="G10317">
        <f>IF(DATOS!$A10317="",0,IF(CONFIG_METADATA!$B$4&lt;&gt;"OR+EX",--(DATOS!$G10317=CONFIG_METADATA!$B$4),IF(DATOS!$G10317="EX",1,IF(DATOS!$G10317="OR",--(COUNTIFS(nNIA,DATOS!$A10317,nCURSO,DATOS!$D10317,nESPEC,DATOS!$E10317,nASIG,DATOS!$I10317,nEVAL,"EX")=0),0))))</f>
      </c>
      <c r="H10317">
        <f>IF(DATOS!$G10317&lt;&gt;"EX",0,--(COUNTIFS(nNIA,DATOS!$A10317,nCURSO,DATOS!$D10317,nESPEC,DATOS!$E10317,nASIG,DATOS!$I10317,nEVAL,"OR")=0))</f>
      </c>
      <c r="I10317">
        <f>IF(DATOS!$I10317="","",IFERROR(VLOOKUP(DATOS!$I10317,CONFIG_ASIGNATURAS!$B$2:$J$91,9,FALSE()),""))</f>
      </c>
    </row>
    <row r="10318">
      <c r="F10318">
        <f>IF(DATOS!$A10318="","",DATOS!$A10318&amp;"|"&amp;DATOS!$D10318&amp;"|"&amp;DATOS!$E10318&amp;"|"&amp;DATOS!$I10318)</f>
      </c>
      <c r="G10318">
        <f>IF(DATOS!$A10318="",0,IF(CONFIG_METADATA!$B$4&lt;&gt;"OR+EX",--(DATOS!$G10318=CONFIG_METADATA!$B$4),IF(DATOS!$G10318="EX",1,IF(DATOS!$G10318="OR",--(COUNTIFS(nNIA,DATOS!$A10318,nCURSO,DATOS!$D10318,nESPEC,DATOS!$E10318,nASIG,DATOS!$I10318,nEVAL,"EX")=0),0))))</f>
      </c>
      <c r="H10318">
        <f>IF(DATOS!$G10318&lt;&gt;"EX",0,--(COUNTIFS(nNIA,DATOS!$A10318,nCURSO,DATOS!$D10318,nESPEC,DATOS!$E10318,nASIG,DATOS!$I10318,nEVAL,"OR")=0))</f>
      </c>
      <c r="I10318">
        <f>IF(DATOS!$I10318="","",IFERROR(VLOOKUP(DATOS!$I10318,CONFIG_ASIGNATURAS!$B$2:$J$91,9,FALSE()),""))</f>
      </c>
    </row>
    <row r="10319">
      <c r="F10319">
        <f>IF(DATOS!$A10319="","",DATOS!$A10319&amp;"|"&amp;DATOS!$D10319&amp;"|"&amp;DATOS!$E10319&amp;"|"&amp;DATOS!$I10319)</f>
      </c>
      <c r="G10319">
        <f>IF(DATOS!$A10319="",0,IF(CONFIG_METADATA!$B$4&lt;&gt;"OR+EX",--(DATOS!$G10319=CONFIG_METADATA!$B$4),IF(DATOS!$G10319="EX",1,IF(DATOS!$G10319="OR",--(COUNTIFS(nNIA,DATOS!$A10319,nCURSO,DATOS!$D10319,nESPEC,DATOS!$E10319,nASIG,DATOS!$I10319,nEVAL,"EX")=0),0))))</f>
      </c>
      <c r="H10319">
        <f>IF(DATOS!$G10319&lt;&gt;"EX",0,--(COUNTIFS(nNIA,DATOS!$A10319,nCURSO,DATOS!$D10319,nESPEC,DATOS!$E10319,nASIG,DATOS!$I10319,nEVAL,"OR")=0))</f>
      </c>
      <c r="I10319">
        <f>IF(DATOS!$I10319="","",IFERROR(VLOOKUP(DATOS!$I10319,CONFIG_ASIGNATURAS!$B$2:$J$91,9,FALSE()),""))</f>
      </c>
    </row>
    <row r="10320">
      <c r="F10320">
        <f>IF(DATOS!$A10320="","",DATOS!$A10320&amp;"|"&amp;DATOS!$D10320&amp;"|"&amp;DATOS!$E10320&amp;"|"&amp;DATOS!$I10320)</f>
      </c>
      <c r="G10320">
        <f>IF(DATOS!$A10320="",0,IF(CONFIG_METADATA!$B$4&lt;&gt;"OR+EX",--(DATOS!$G10320=CONFIG_METADATA!$B$4),IF(DATOS!$G10320="EX",1,IF(DATOS!$G10320="OR",--(COUNTIFS(nNIA,DATOS!$A10320,nCURSO,DATOS!$D10320,nESPEC,DATOS!$E10320,nASIG,DATOS!$I10320,nEVAL,"EX")=0),0))))</f>
      </c>
      <c r="H10320">
        <f>IF(DATOS!$G10320&lt;&gt;"EX",0,--(COUNTIFS(nNIA,DATOS!$A10320,nCURSO,DATOS!$D10320,nESPEC,DATOS!$E10320,nASIG,DATOS!$I10320,nEVAL,"OR")=0))</f>
      </c>
      <c r="I10320">
        <f>IF(DATOS!$I10320="","",IFERROR(VLOOKUP(DATOS!$I10320,CONFIG_ASIGNATURAS!$B$2:$J$91,9,FALSE()),""))</f>
      </c>
    </row>
    <row r="10321">
      <c r="F10321">
        <f>IF(DATOS!$A10321="","",DATOS!$A10321&amp;"|"&amp;DATOS!$D10321&amp;"|"&amp;DATOS!$E10321&amp;"|"&amp;DATOS!$I10321)</f>
      </c>
      <c r="G10321">
        <f>IF(DATOS!$A10321="",0,IF(CONFIG_METADATA!$B$4&lt;&gt;"OR+EX",--(DATOS!$G10321=CONFIG_METADATA!$B$4),IF(DATOS!$G10321="EX",1,IF(DATOS!$G10321="OR",--(COUNTIFS(nNIA,DATOS!$A10321,nCURSO,DATOS!$D10321,nESPEC,DATOS!$E10321,nASIG,DATOS!$I10321,nEVAL,"EX")=0),0))))</f>
      </c>
      <c r="H10321">
        <f>IF(DATOS!$G10321&lt;&gt;"EX",0,--(COUNTIFS(nNIA,DATOS!$A10321,nCURSO,DATOS!$D10321,nESPEC,DATOS!$E10321,nASIG,DATOS!$I10321,nEVAL,"OR")=0))</f>
      </c>
      <c r="I10321">
        <f>IF(DATOS!$I10321="","",IFERROR(VLOOKUP(DATOS!$I10321,CONFIG_ASIGNATURAS!$B$2:$J$91,9,FALSE()),""))</f>
      </c>
    </row>
    <row r="10322">
      <c r="F10322">
        <f>IF(DATOS!$A10322="","",DATOS!$A10322&amp;"|"&amp;DATOS!$D10322&amp;"|"&amp;DATOS!$E10322&amp;"|"&amp;DATOS!$I10322)</f>
      </c>
      <c r="G10322">
        <f>IF(DATOS!$A10322="",0,IF(CONFIG_METADATA!$B$4&lt;&gt;"OR+EX",--(DATOS!$G10322=CONFIG_METADATA!$B$4),IF(DATOS!$G10322="EX",1,IF(DATOS!$G10322="OR",--(COUNTIFS(nNIA,DATOS!$A10322,nCURSO,DATOS!$D10322,nESPEC,DATOS!$E10322,nASIG,DATOS!$I10322,nEVAL,"EX")=0),0))))</f>
      </c>
      <c r="H10322">
        <f>IF(DATOS!$G10322&lt;&gt;"EX",0,--(COUNTIFS(nNIA,DATOS!$A10322,nCURSO,DATOS!$D10322,nESPEC,DATOS!$E10322,nASIG,DATOS!$I10322,nEVAL,"OR")=0))</f>
      </c>
      <c r="I10322">
        <f>IF(DATOS!$I10322="","",IFERROR(VLOOKUP(DATOS!$I10322,CONFIG_ASIGNATURAS!$B$2:$J$91,9,FALSE()),""))</f>
      </c>
    </row>
    <row r="10323">
      <c r="F10323">
        <f>IF(DATOS!$A10323="","",DATOS!$A10323&amp;"|"&amp;DATOS!$D10323&amp;"|"&amp;DATOS!$E10323&amp;"|"&amp;DATOS!$I10323)</f>
      </c>
      <c r="G10323">
        <f>IF(DATOS!$A10323="",0,IF(CONFIG_METADATA!$B$4&lt;&gt;"OR+EX",--(DATOS!$G10323=CONFIG_METADATA!$B$4),IF(DATOS!$G10323="EX",1,IF(DATOS!$G10323="OR",--(COUNTIFS(nNIA,DATOS!$A10323,nCURSO,DATOS!$D10323,nESPEC,DATOS!$E10323,nASIG,DATOS!$I10323,nEVAL,"EX")=0),0))))</f>
      </c>
      <c r="H10323">
        <f>IF(DATOS!$G10323&lt;&gt;"EX",0,--(COUNTIFS(nNIA,DATOS!$A10323,nCURSO,DATOS!$D10323,nESPEC,DATOS!$E10323,nASIG,DATOS!$I10323,nEVAL,"OR")=0))</f>
      </c>
      <c r="I10323">
        <f>IF(DATOS!$I10323="","",IFERROR(VLOOKUP(DATOS!$I10323,CONFIG_ASIGNATURAS!$B$2:$J$91,9,FALSE()),""))</f>
      </c>
    </row>
    <row r="10324">
      <c r="F10324">
        <f>IF(DATOS!$A10324="","",DATOS!$A10324&amp;"|"&amp;DATOS!$D10324&amp;"|"&amp;DATOS!$E10324&amp;"|"&amp;DATOS!$I10324)</f>
      </c>
      <c r="G10324">
        <f>IF(DATOS!$A10324="",0,IF(CONFIG_METADATA!$B$4&lt;&gt;"OR+EX",--(DATOS!$G10324=CONFIG_METADATA!$B$4),IF(DATOS!$G10324="EX",1,IF(DATOS!$G10324="OR",--(COUNTIFS(nNIA,DATOS!$A10324,nCURSO,DATOS!$D10324,nESPEC,DATOS!$E10324,nASIG,DATOS!$I10324,nEVAL,"EX")=0),0))))</f>
      </c>
      <c r="H10324">
        <f>IF(DATOS!$G10324&lt;&gt;"EX",0,--(COUNTIFS(nNIA,DATOS!$A10324,nCURSO,DATOS!$D10324,nESPEC,DATOS!$E10324,nASIG,DATOS!$I10324,nEVAL,"OR")=0))</f>
      </c>
      <c r="I10324">
        <f>IF(DATOS!$I10324="","",IFERROR(VLOOKUP(DATOS!$I10324,CONFIG_ASIGNATURAS!$B$2:$J$91,9,FALSE()),""))</f>
      </c>
    </row>
    <row r="10325">
      <c r="F10325">
        <f>IF(DATOS!$A10325="","",DATOS!$A10325&amp;"|"&amp;DATOS!$D10325&amp;"|"&amp;DATOS!$E10325&amp;"|"&amp;DATOS!$I10325)</f>
      </c>
      <c r="G10325">
        <f>IF(DATOS!$A10325="",0,IF(CONFIG_METADATA!$B$4&lt;&gt;"OR+EX",--(DATOS!$G10325=CONFIG_METADATA!$B$4),IF(DATOS!$G10325="EX",1,IF(DATOS!$G10325="OR",--(COUNTIFS(nNIA,DATOS!$A10325,nCURSO,DATOS!$D10325,nESPEC,DATOS!$E10325,nASIG,DATOS!$I10325,nEVAL,"EX")=0),0))))</f>
      </c>
      <c r="H10325">
        <f>IF(DATOS!$G10325&lt;&gt;"EX",0,--(COUNTIFS(nNIA,DATOS!$A10325,nCURSO,DATOS!$D10325,nESPEC,DATOS!$E10325,nASIG,DATOS!$I10325,nEVAL,"OR")=0))</f>
      </c>
      <c r="I10325">
        <f>IF(DATOS!$I10325="","",IFERROR(VLOOKUP(DATOS!$I10325,CONFIG_ASIGNATURAS!$B$2:$J$91,9,FALSE()),""))</f>
      </c>
    </row>
    <row r="10326">
      <c r="F10326">
        <f>IF(DATOS!$A10326="","",DATOS!$A10326&amp;"|"&amp;DATOS!$D10326&amp;"|"&amp;DATOS!$E10326&amp;"|"&amp;DATOS!$I10326)</f>
      </c>
      <c r="G10326">
        <f>IF(DATOS!$A10326="",0,IF(CONFIG_METADATA!$B$4&lt;&gt;"OR+EX",--(DATOS!$G10326=CONFIG_METADATA!$B$4),IF(DATOS!$G10326="EX",1,IF(DATOS!$G10326="OR",--(COUNTIFS(nNIA,DATOS!$A10326,nCURSO,DATOS!$D10326,nESPEC,DATOS!$E10326,nASIG,DATOS!$I10326,nEVAL,"EX")=0),0))))</f>
      </c>
      <c r="H10326">
        <f>IF(DATOS!$G10326&lt;&gt;"EX",0,--(COUNTIFS(nNIA,DATOS!$A10326,nCURSO,DATOS!$D10326,nESPEC,DATOS!$E10326,nASIG,DATOS!$I10326,nEVAL,"OR")=0))</f>
      </c>
      <c r="I10326">
        <f>IF(DATOS!$I10326="","",IFERROR(VLOOKUP(DATOS!$I10326,CONFIG_ASIGNATURAS!$B$2:$J$91,9,FALSE()),""))</f>
      </c>
    </row>
    <row r="10327">
      <c r="F10327">
        <f>IF(DATOS!$A10327="","",DATOS!$A10327&amp;"|"&amp;DATOS!$D10327&amp;"|"&amp;DATOS!$E10327&amp;"|"&amp;DATOS!$I10327)</f>
      </c>
      <c r="G10327">
        <f>IF(DATOS!$A10327="",0,IF(CONFIG_METADATA!$B$4&lt;&gt;"OR+EX",--(DATOS!$G10327=CONFIG_METADATA!$B$4),IF(DATOS!$G10327="EX",1,IF(DATOS!$G10327="OR",--(COUNTIFS(nNIA,DATOS!$A10327,nCURSO,DATOS!$D10327,nESPEC,DATOS!$E10327,nASIG,DATOS!$I10327,nEVAL,"EX")=0),0))))</f>
      </c>
      <c r="H10327">
        <f>IF(DATOS!$G10327&lt;&gt;"EX",0,--(COUNTIFS(nNIA,DATOS!$A10327,nCURSO,DATOS!$D10327,nESPEC,DATOS!$E10327,nASIG,DATOS!$I10327,nEVAL,"OR")=0))</f>
      </c>
      <c r="I10327">
        <f>IF(DATOS!$I10327="","",IFERROR(VLOOKUP(DATOS!$I10327,CONFIG_ASIGNATURAS!$B$2:$J$91,9,FALSE()),""))</f>
      </c>
    </row>
    <row r="10328">
      <c r="F10328">
        <f>IF(DATOS!$A10328="","",DATOS!$A10328&amp;"|"&amp;DATOS!$D10328&amp;"|"&amp;DATOS!$E10328&amp;"|"&amp;DATOS!$I10328)</f>
      </c>
      <c r="G10328">
        <f>IF(DATOS!$A10328="",0,IF(CONFIG_METADATA!$B$4&lt;&gt;"OR+EX",--(DATOS!$G10328=CONFIG_METADATA!$B$4),IF(DATOS!$G10328="EX",1,IF(DATOS!$G10328="OR",--(COUNTIFS(nNIA,DATOS!$A10328,nCURSO,DATOS!$D10328,nESPEC,DATOS!$E10328,nASIG,DATOS!$I10328,nEVAL,"EX")=0),0))))</f>
      </c>
      <c r="H10328">
        <f>IF(DATOS!$G10328&lt;&gt;"EX",0,--(COUNTIFS(nNIA,DATOS!$A10328,nCURSO,DATOS!$D10328,nESPEC,DATOS!$E10328,nASIG,DATOS!$I10328,nEVAL,"OR")=0))</f>
      </c>
      <c r="I10328">
        <f>IF(DATOS!$I10328="","",IFERROR(VLOOKUP(DATOS!$I10328,CONFIG_ASIGNATURAS!$B$2:$J$91,9,FALSE()),""))</f>
      </c>
    </row>
    <row r="10329">
      <c r="F10329">
        <f>IF(DATOS!$A10329="","",DATOS!$A10329&amp;"|"&amp;DATOS!$D10329&amp;"|"&amp;DATOS!$E10329&amp;"|"&amp;DATOS!$I10329)</f>
      </c>
      <c r="G10329">
        <f>IF(DATOS!$A10329="",0,IF(CONFIG_METADATA!$B$4&lt;&gt;"OR+EX",--(DATOS!$G10329=CONFIG_METADATA!$B$4),IF(DATOS!$G10329="EX",1,IF(DATOS!$G10329="OR",--(COUNTIFS(nNIA,DATOS!$A10329,nCURSO,DATOS!$D10329,nESPEC,DATOS!$E10329,nASIG,DATOS!$I10329,nEVAL,"EX")=0),0))))</f>
      </c>
      <c r="H10329">
        <f>IF(DATOS!$G10329&lt;&gt;"EX",0,--(COUNTIFS(nNIA,DATOS!$A10329,nCURSO,DATOS!$D10329,nESPEC,DATOS!$E10329,nASIG,DATOS!$I10329,nEVAL,"OR")=0))</f>
      </c>
      <c r="I10329">
        <f>IF(DATOS!$I10329="","",IFERROR(VLOOKUP(DATOS!$I10329,CONFIG_ASIGNATURAS!$B$2:$J$91,9,FALSE()),""))</f>
      </c>
    </row>
    <row r="10330">
      <c r="F10330">
        <f>IF(DATOS!$A10330="","",DATOS!$A10330&amp;"|"&amp;DATOS!$D10330&amp;"|"&amp;DATOS!$E10330&amp;"|"&amp;DATOS!$I10330)</f>
      </c>
      <c r="G10330">
        <f>IF(DATOS!$A10330="",0,IF(CONFIG_METADATA!$B$4&lt;&gt;"OR+EX",--(DATOS!$G10330=CONFIG_METADATA!$B$4),IF(DATOS!$G10330="EX",1,IF(DATOS!$G10330="OR",--(COUNTIFS(nNIA,DATOS!$A10330,nCURSO,DATOS!$D10330,nESPEC,DATOS!$E10330,nASIG,DATOS!$I10330,nEVAL,"EX")=0),0))))</f>
      </c>
      <c r="H10330">
        <f>IF(DATOS!$G10330&lt;&gt;"EX",0,--(COUNTIFS(nNIA,DATOS!$A10330,nCURSO,DATOS!$D10330,nESPEC,DATOS!$E10330,nASIG,DATOS!$I10330,nEVAL,"OR")=0))</f>
      </c>
      <c r="I10330">
        <f>IF(DATOS!$I10330="","",IFERROR(VLOOKUP(DATOS!$I10330,CONFIG_ASIGNATURAS!$B$2:$J$91,9,FALSE()),""))</f>
      </c>
    </row>
    <row r="10331">
      <c r="F10331">
        <f>IF(DATOS!$A10331="","",DATOS!$A10331&amp;"|"&amp;DATOS!$D10331&amp;"|"&amp;DATOS!$E10331&amp;"|"&amp;DATOS!$I10331)</f>
      </c>
      <c r="G10331">
        <f>IF(DATOS!$A10331="",0,IF(CONFIG_METADATA!$B$4&lt;&gt;"OR+EX",--(DATOS!$G10331=CONFIG_METADATA!$B$4),IF(DATOS!$G10331="EX",1,IF(DATOS!$G10331="OR",--(COUNTIFS(nNIA,DATOS!$A10331,nCURSO,DATOS!$D10331,nESPEC,DATOS!$E10331,nASIG,DATOS!$I10331,nEVAL,"EX")=0),0))))</f>
      </c>
      <c r="H10331">
        <f>IF(DATOS!$G10331&lt;&gt;"EX",0,--(COUNTIFS(nNIA,DATOS!$A10331,nCURSO,DATOS!$D10331,nESPEC,DATOS!$E10331,nASIG,DATOS!$I10331,nEVAL,"OR")=0))</f>
      </c>
      <c r="I10331">
        <f>IF(DATOS!$I10331="","",IFERROR(VLOOKUP(DATOS!$I10331,CONFIG_ASIGNATURAS!$B$2:$J$91,9,FALSE()),""))</f>
      </c>
    </row>
    <row r="10332">
      <c r="F10332">
        <f>IF(DATOS!$A10332="","",DATOS!$A10332&amp;"|"&amp;DATOS!$D10332&amp;"|"&amp;DATOS!$E10332&amp;"|"&amp;DATOS!$I10332)</f>
      </c>
      <c r="G10332">
        <f>IF(DATOS!$A10332="",0,IF(CONFIG_METADATA!$B$4&lt;&gt;"OR+EX",--(DATOS!$G10332=CONFIG_METADATA!$B$4),IF(DATOS!$G10332="EX",1,IF(DATOS!$G10332="OR",--(COUNTIFS(nNIA,DATOS!$A10332,nCURSO,DATOS!$D10332,nESPEC,DATOS!$E10332,nASIG,DATOS!$I10332,nEVAL,"EX")=0),0))))</f>
      </c>
      <c r="H10332">
        <f>IF(DATOS!$G10332&lt;&gt;"EX",0,--(COUNTIFS(nNIA,DATOS!$A10332,nCURSO,DATOS!$D10332,nESPEC,DATOS!$E10332,nASIG,DATOS!$I10332,nEVAL,"OR")=0))</f>
      </c>
      <c r="I10332">
        <f>IF(DATOS!$I10332="","",IFERROR(VLOOKUP(DATOS!$I10332,CONFIG_ASIGNATURAS!$B$2:$J$91,9,FALSE()),""))</f>
      </c>
    </row>
    <row r="10333">
      <c r="F10333">
        <f>IF(DATOS!$A10333="","",DATOS!$A10333&amp;"|"&amp;DATOS!$D10333&amp;"|"&amp;DATOS!$E10333&amp;"|"&amp;DATOS!$I10333)</f>
      </c>
      <c r="G10333">
        <f>IF(DATOS!$A10333="",0,IF(CONFIG_METADATA!$B$4&lt;&gt;"OR+EX",--(DATOS!$G10333=CONFIG_METADATA!$B$4),IF(DATOS!$G10333="EX",1,IF(DATOS!$G10333="OR",--(COUNTIFS(nNIA,DATOS!$A10333,nCURSO,DATOS!$D10333,nESPEC,DATOS!$E10333,nASIG,DATOS!$I10333,nEVAL,"EX")=0),0))))</f>
      </c>
      <c r="H10333">
        <f>IF(DATOS!$G10333&lt;&gt;"EX",0,--(COUNTIFS(nNIA,DATOS!$A10333,nCURSO,DATOS!$D10333,nESPEC,DATOS!$E10333,nASIG,DATOS!$I10333,nEVAL,"OR")=0))</f>
      </c>
      <c r="I10333">
        <f>IF(DATOS!$I10333="","",IFERROR(VLOOKUP(DATOS!$I10333,CONFIG_ASIGNATURAS!$B$2:$J$91,9,FALSE()),""))</f>
      </c>
    </row>
    <row r="10334">
      <c r="F10334">
        <f>IF(DATOS!$A10334="","",DATOS!$A10334&amp;"|"&amp;DATOS!$D10334&amp;"|"&amp;DATOS!$E10334&amp;"|"&amp;DATOS!$I10334)</f>
      </c>
      <c r="G10334">
        <f>IF(DATOS!$A10334="",0,IF(CONFIG_METADATA!$B$4&lt;&gt;"OR+EX",--(DATOS!$G10334=CONFIG_METADATA!$B$4),IF(DATOS!$G10334="EX",1,IF(DATOS!$G10334="OR",--(COUNTIFS(nNIA,DATOS!$A10334,nCURSO,DATOS!$D10334,nESPEC,DATOS!$E10334,nASIG,DATOS!$I10334,nEVAL,"EX")=0),0))))</f>
      </c>
      <c r="H10334">
        <f>IF(DATOS!$G10334&lt;&gt;"EX",0,--(COUNTIFS(nNIA,DATOS!$A10334,nCURSO,DATOS!$D10334,nESPEC,DATOS!$E10334,nASIG,DATOS!$I10334,nEVAL,"OR")=0))</f>
      </c>
      <c r="I10334">
        <f>IF(DATOS!$I10334="","",IFERROR(VLOOKUP(DATOS!$I10334,CONFIG_ASIGNATURAS!$B$2:$J$91,9,FALSE()),""))</f>
      </c>
    </row>
    <row r="10335">
      <c r="F10335">
        <f>IF(DATOS!$A10335="","",DATOS!$A10335&amp;"|"&amp;DATOS!$D10335&amp;"|"&amp;DATOS!$E10335&amp;"|"&amp;DATOS!$I10335)</f>
      </c>
      <c r="G10335">
        <f>IF(DATOS!$A10335="",0,IF(CONFIG_METADATA!$B$4&lt;&gt;"OR+EX",--(DATOS!$G10335=CONFIG_METADATA!$B$4),IF(DATOS!$G10335="EX",1,IF(DATOS!$G10335="OR",--(COUNTIFS(nNIA,DATOS!$A10335,nCURSO,DATOS!$D10335,nESPEC,DATOS!$E10335,nASIG,DATOS!$I10335,nEVAL,"EX")=0),0))))</f>
      </c>
      <c r="H10335">
        <f>IF(DATOS!$G10335&lt;&gt;"EX",0,--(COUNTIFS(nNIA,DATOS!$A10335,nCURSO,DATOS!$D10335,nESPEC,DATOS!$E10335,nASIG,DATOS!$I10335,nEVAL,"OR")=0))</f>
      </c>
      <c r="I10335">
        <f>IF(DATOS!$I10335="","",IFERROR(VLOOKUP(DATOS!$I10335,CONFIG_ASIGNATURAS!$B$2:$J$91,9,FALSE()),""))</f>
      </c>
    </row>
    <row r="10336">
      <c r="F10336">
        <f>IF(DATOS!$A10336="","",DATOS!$A10336&amp;"|"&amp;DATOS!$D10336&amp;"|"&amp;DATOS!$E10336&amp;"|"&amp;DATOS!$I10336)</f>
      </c>
      <c r="G10336">
        <f>IF(DATOS!$A10336="",0,IF(CONFIG_METADATA!$B$4&lt;&gt;"OR+EX",--(DATOS!$G10336=CONFIG_METADATA!$B$4),IF(DATOS!$G10336="EX",1,IF(DATOS!$G10336="OR",--(COUNTIFS(nNIA,DATOS!$A10336,nCURSO,DATOS!$D10336,nESPEC,DATOS!$E10336,nASIG,DATOS!$I10336,nEVAL,"EX")=0),0))))</f>
      </c>
      <c r="H10336">
        <f>IF(DATOS!$G10336&lt;&gt;"EX",0,--(COUNTIFS(nNIA,DATOS!$A10336,nCURSO,DATOS!$D10336,nESPEC,DATOS!$E10336,nASIG,DATOS!$I10336,nEVAL,"OR")=0))</f>
      </c>
      <c r="I10336">
        <f>IF(DATOS!$I10336="","",IFERROR(VLOOKUP(DATOS!$I10336,CONFIG_ASIGNATURAS!$B$2:$J$91,9,FALSE()),""))</f>
      </c>
    </row>
    <row r="10337">
      <c r="F10337">
        <f>IF(DATOS!$A10337="","",DATOS!$A10337&amp;"|"&amp;DATOS!$D10337&amp;"|"&amp;DATOS!$E10337&amp;"|"&amp;DATOS!$I10337)</f>
      </c>
      <c r="G10337">
        <f>IF(DATOS!$A10337="",0,IF(CONFIG_METADATA!$B$4&lt;&gt;"OR+EX",--(DATOS!$G10337=CONFIG_METADATA!$B$4),IF(DATOS!$G10337="EX",1,IF(DATOS!$G10337="OR",--(COUNTIFS(nNIA,DATOS!$A10337,nCURSO,DATOS!$D10337,nESPEC,DATOS!$E10337,nASIG,DATOS!$I10337,nEVAL,"EX")=0),0))))</f>
      </c>
      <c r="H10337">
        <f>IF(DATOS!$G10337&lt;&gt;"EX",0,--(COUNTIFS(nNIA,DATOS!$A10337,nCURSO,DATOS!$D10337,nESPEC,DATOS!$E10337,nASIG,DATOS!$I10337,nEVAL,"OR")=0))</f>
      </c>
      <c r="I10337">
        <f>IF(DATOS!$I10337="","",IFERROR(VLOOKUP(DATOS!$I10337,CONFIG_ASIGNATURAS!$B$2:$J$91,9,FALSE()),""))</f>
      </c>
    </row>
    <row r="10338">
      <c r="F10338">
        <f>IF(DATOS!$A10338="","",DATOS!$A10338&amp;"|"&amp;DATOS!$D10338&amp;"|"&amp;DATOS!$E10338&amp;"|"&amp;DATOS!$I10338)</f>
      </c>
      <c r="G10338">
        <f>IF(DATOS!$A10338="",0,IF(CONFIG_METADATA!$B$4&lt;&gt;"OR+EX",--(DATOS!$G10338=CONFIG_METADATA!$B$4),IF(DATOS!$G10338="EX",1,IF(DATOS!$G10338="OR",--(COUNTIFS(nNIA,DATOS!$A10338,nCURSO,DATOS!$D10338,nESPEC,DATOS!$E10338,nASIG,DATOS!$I10338,nEVAL,"EX")=0),0))))</f>
      </c>
      <c r="H10338">
        <f>IF(DATOS!$G10338&lt;&gt;"EX",0,--(COUNTIFS(nNIA,DATOS!$A10338,nCURSO,DATOS!$D10338,nESPEC,DATOS!$E10338,nASIG,DATOS!$I10338,nEVAL,"OR")=0))</f>
      </c>
      <c r="I10338">
        <f>IF(DATOS!$I10338="","",IFERROR(VLOOKUP(DATOS!$I10338,CONFIG_ASIGNATURAS!$B$2:$J$91,9,FALSE()),""))</f>
      </c>
    </row>
    <row r="10339">
      <c r="F10339">
        <f>IF(DATOS!$A10339="","",DATOS!$A10339&amp;"|"&amp;DATOS!$D10339&amp;"|"&amp;DATOS!$E10339&amp;"|"&amp;DATOS!$I10339)</f>
      </c>
      <c r="G10339">
        <f>IF(DATOS!$A10339="",0,IF(CONFIG_METADATA!$B$4&lt;&gt;"OR+EX",--(DATOS!$G10339=CONFIG_METADATA!$B$4),IF(DATOS!$G10339="EX",1,IF(DATOS!$G10339="OR",--(COUNTIFS(nNIA,DATOS!$A10339,nCURSO,DATOS!$D10339,nESPEC,DATOS!$E10339,nASIG,DATOS!$I10339,nEVAL,"EX")=0),0))))</f>
      </c>
      <c r="H10339">
        <f>IF(DATOS!$G10339&lt;&gt;"EX",0,--(COUNTIFS(nNIA,DATOS!$A10339,nCURSO,DATOS!$D10339,nESPEC,DATOS!$E10339,nASIG,DATOS!$I10339,nEVAL,"OR")=0))</f>
      </c>
      <c r="I10339">
        <f>IF(DATOS!$I10339="","",IFERROR(VLOOKUP(DATOS!$I10339,CONFIG_ASIGNATURAS!$B$2:$J$91,9,FALSE()),""))</f>
      </c>
    </row>
    <row r="10340">
      <c r="F10340">
        <f>IF(DATOS!$A10340="","",DATOS!$A10340&amp;"|"&amp;DATOS!$D10340&amp;"|"&amp;DATOS!$E10340&amp;"|"&amp;DATOS!$I10340)</f>
      </c>
      <c r="G10340">
        <f>IF(DATOS!$A10340="",0,IF(CONFIG_METADATA!$B$4&lt;&gt;"OR+EX",--(DATOS!$G10340=CONFIG_METADATA!$B$4),IF(DATOS!$G10340="EX",1,IF(DATOS!$G10340="OR",--(COUNTIFS(nNIA,DATOS!$A10340,nCURSO,DATOS!$D10340,nESPEC,DATOS!$E10340,nASIG,DATOS!$I10340,nEVAL,"EX")=0),0))))</f>
      </c>
      <c r="H10340">
        <f>IF(DATOS!$G10340&lt;&gt;"EX",0,--(COUNTIFS(nNIA,DATOS!$A10340,nCURSO,DATOS!$D10340,nESPEC,DATOS!$E10340,nASIG,DATOS!$I10340,nEVAL,"OR")=0))</f>
      </c>
      <c r="I10340">
        <f>IF(DATOS!$I10340="","",IFERROR(VLOOKUP(DATOS!$I10340,CONFIG_ASIGNATURAS!$B$2:$J$91,9,FALSE()),""))</f>
      </c>
    </row>
    <row r="10341">
      <c r="F10341">
        <f>IF(DATOS!$A10341="","",DATOS!$A10341&amp;"|"&amp;DATOS!$D10341&amp;"|"&amp;DATOS!$E10341&amp;"|"&amp;DATOS!$I10341)</f>
      </c>
      <c r="G10341">
        <f>IF(DATOS!$A10341="",0,IF(CONFIG_METADATA!$B$4&lt;&gt;"OR+EX",--(DATOS!$G10341=CONFIG_METADATA!$B$4),IF(DATOS!$G10341="EX",1,IF(DATOS!$G10341="OR",--(COUNTIFS(nNIA,DATOS!$A10341,nCURSO,DATOS!$D10341,nESPEC,DATOS!$E10341,nASIG,DATOS!$I10341,nEVAL,"EX")=0),0))))</f>
      </c>
      <c r="H10341">
        <f>IF(DATOS!$G10341&lt;&gt;"EX",0,--(COUNTIFS(nNIA,DATOS!$A10341,nCURSO,DATOS!$D10341,nESPEC,DATOS!$E10341,nASIG,DATOS!$I10341,nEVAL,"OR")=0))</f>
      </c>
      <c r="I10341">
        <f>IF(DATOS!$I10341="","",IFERROR(VLOOKUP(DATOS!$I10341,CONFIG_ASIGNATURAS!$B$2:$J$91,9,FALSE()),""))</f>
      </c>
    </row>
    <row r="10342">
      <c r="F10342">
        <f>IF(DATOS!$A10342="","",DATOS!$A10342&amp;"|"&amp;DATOS!$D10342&amp;"|"&amp;DATOS!$E10342&amp;"|"&amp;DATOS!$I10342)</f>
      </c>
      <c r="G10342">
        <f>IF(DATOS!$A10342="",0,IF(CONFIG_METADATA!$B$4&lt;&gt;"OR+EX",--(DATOS!$G10342=CONFIG_METADATA!$B$4),IF(DATOS!$G10342="EX",1,IF(DATOS!$G10342="OR",--(COUNTIFS(nNIA,DATOS!$A10342,nCURSO,DATOS!$D10342,nESPEC,DATOS!$E10342,nASIG,DATOS!$I10342,nEVAL,"EX")=0),0))))</f>
      </c>
      <c r="H10342">
        <f>IF(DATOS!$G10342&lt;&gt;"EX",0,--(COUNTIFS(nNIA,DATOS!$A10342,nCURSO,DATOS!$D10342,nESPEC,DATOS!$E10342,nASIG,DATOS!$I10342,nEVAL,"OR")=0))</f>
      </c>
      <c r="I10342">
        <f>IF(DATOS!$I10342="","",IFERROR(VLOOKUP(DATOS!$I10342,CONFIG_ASIGNATURAS!$B$2:$J$91,9,FALSE()),""))</f>
      </c>
    </row>
    <row r="10343">
      <c r="F10343">
        <f>IF(DATOS!$A10343="","",DATOS!$A10343&amp;"|"&amp;DATOS!$D10343&amp;"|"&amp;DATOS!$E10343&amp;"|"&amp;DATOS!$I10343)</f>
      </c>
      <c r="G10343">
        <f>IF(DATOS!$A10343="",0,IF(CONFIG_METADATA!$B$4&lt;&gt;"OR+EX",--(DATOS!$G10343=CONFIG_METADATA!$B$4),IF(DATOS!$G10343="EX",1,IF(DATOS!$G10343="OR",--(COUNTIFS(nNIA,DATOS!$A10343,nCURSO,DATOS!$D10343,nESPEC,DATOS!$E10343,nASIG,DATOS!$I10343,nEVAL,"EX")=0),0))))</f>
      </c>
      <c r="H10343">
        <f>IF(DATOS!$G10343&lt;&gt;"EX",0,--(COUNTIFS(nNIA,DATOS!$A10343,nCURSO,DATOS!$D10343,nESPEC,DATOS!$E10343,nASIG,DATOS!$I10343,nEVAL,"OR")=0))</f>
      </c>
      <c r="I10343">
        <f>IF(DATOS!$I10343="","",IFERROR(VLOOKUP(DATOS!$I10343,CONFIG_ASIGNATURAS!$B$2:$J$91,9,FALSE()),""))</f>
      </c>
    </row>
    <row r="10344">
      <c r="F10344">
        <f>IF(DATOS!$A10344="","",DATOS!$A10344&amp;"|"&amp;DATOS!$D10344&amp;"|"&amp;DATOS!$E10344&amp;"|"&amp;DATOS!$I10344)</f>
      </c>
      <c r="G10344">
        <f>IF(DATOS!$A10344="",0,IF(CONFIG_METADATA!$B$4&lt;&gt;"OR+EX",--(DATOS!$G10344=CONFIG_METADATA!$B$4),IF(DATOS!$G10344="EX",1,IF(DATOS!$G10344="OR",--(COUNTIFS(nNIA,DATOS!$A10344,nCURSO,DATOS!$D10344,nESPEC,DATOS!$E10344,nASIG,DATOS!$I10344,nEVAL,"EX")=0),0))))</f>
      </c>
      <c r="H10344">
        <f>IF(DATOS!$G10344&lt;&gt;"EX",0,--(COUNTIFS(nNIA,DATOS!$A10344,nCURSO,DATOS!$D10344,nESPEC,DATOS!$E10344,nASIG,DATOS!$I10344,nEVAL,"OR")=0))</f>
      </c>
      <c r="I10344">
        <f>IF(DATOS!$I10344="","",IFERROR(VLOOKUP(DATOS!$I10344,CONFIG_ASIGNATURAS!$B$2:$J$91,9,FALSE()),""))</f>
      </c>
    </row>
    <row r="10345">
      <c r="F10345">
        <f>IF(DATOS!$A10345="","",DATOS!$A10345&amp;"|"&amp;DATOS!$D10345&amp;"|"&amp;DATOS!$E10345&amp;"|"&amp;DATOS!$I10345)</f>
      </c>
      <c r="G10345">
        <f>IF(DATOS!$A10345="",0,IF(CONFIG_METADATA!$B$4&lt;&gt;"OR+EX",--(DATOS!$G10345=CONFIG_METADATA!$B$4),IF(DATOS!$G10345="EX",1,IF(DATOS!$G10345="OR",--(COUNTIFS(nNIA,DATOS!$A10345,nCURSO,DATOS!$D10345,nESPEC,DATOS!$E10345,nASIG,DATOS!$I10345,nEVAL,"EX")=0),0))))</f>
      </c>
      <c r="H10345">
        <f>IF(DATOS!$G10345&lt;&gt;"EX",0,--(COUNTIFS(nNIA,DATOS!$A10345,nCURSO,DATOS!$D10345,nESPEC,DATOS!$E10345,nASIG,DATOS!$I10345,nEVAL,"OR")=0))</f>
      </c>
      <c r="I10345">
        <f>IF(DATOS!$I10345="","",IFERROR(VLOOKUP(DATOS!$I10345,CONFIG_ASIGNATURAS!$B$2:$J$91,9,FALSE()),""))</f>
      </c>
    </row>
    <row r="10346">
      <c r="F10346">
        <f>IF(DATOS!$A10346="","",DATOS!$A10346&amp;"|"&amp;DATOS!$D10346&amp;"|"&amp;DATOS!$E10346&amp;"|"&amp;DATOS!$I10346)</f>
      </c>
      <c r="G10346">
        <f>IF(DATOS!$A10346="",0,IF(CONFIG_METADATA!$B$4&lt;&gt;"OR+EX",--(DATOS!$G10346=CONFIG_METADATA!$B$4),IF(DATOS!$G10346="EX",1,IF(DATOS!$G10346="OR",--(COUNTIFS(nNIA,DATOS!$A10346,nCURSO,DATOS!$D10346,nESPEC,DATOS!$E10346,nASIG,DATOS!$I10346,nEVAL,"EX")=0),0))))</f>
      </c>
      <c r="H10346">
        <f>IF(DATOS!$G10346&lt;&gt;"EX",0,--(COUNTIFS(nNIA,DATOS!$A10346,nCURSO,DATOS!$D10346,nESPEC,DATOS!$E10346,nASIG,DATOS!$I10346,nEVAL,"OR")=0))</f>
      </c>
      <c r="I10346">
        <f>IF(DATOS!$I10346="","",IFERROR(VLOOKUP(DATOS!$I10346,CONFIG_ASIGNATURAS!$B$2:$J$91,9,FALSE()),""))</f>
      </c>
    </row>
    <row r="10347">
      <c r="F10347">
        <f>IF(DATOS!$A10347="","",DATOS!$A10347&amp;"|"&amp;DATOS!$D10347&amp;"|"&amp;DATOS!$E10347&amp;"|"&amp;DATOS!$I10347)</f>
      </c>
      <c r="G10347">
        <f>IF(DATOS!$A10347="",0,IF(CONFIG_METADATA!$B$4&lt;&gt;"OR+EX",--(DATOS!$G10347=CONFIG_METADATA!$B$4),IF(DATOS!$G10347="EX",1,IF(DATOS!$G10347="OR",--(COUNTIFS(nNIA,DATOS!$A10347,nCURSO,DATOS!$D10347,nESPEC,DATOS!$E10347,nASIG,DATOS!$I10347,nEVAL,"EX")=0),0))))</f>
      </c>
      <c r="H10347">
        <f>IF(DATOS!$G10347&lt;&gt;"EX",0,--(COUNTIFS(nNIA,DATOS!$A10347,nCURSO,DATOS!$D10347,nESPEC,DATOS!$E10347,nASIG,DATOS!$I10347,nEVAL,"OR")=0))</f>
      </c>
      <c r="I10347">
        <f>IF(DATOS!$I10347="","",IFERROR(VLOOKUP(DATOS!$I10347,CONFIG_ASIGNATURAS!$B$2:$J$91,9,FALSE()),""))</f>
      </c>
    </row>
    <row r="10348">
      <c r="F10348">
        <f>IF(DATOS!$A10348="","",DATOS!$A10348&amp;"|"&amp;DATOS!$D10348&amp;"|"&amp;DATOS!$E10348&amp;"|"&amp;DATOS!$I10348)</f>
      </c>
      <c r="G10348">
        <f>IF(DATOS!$A10348="",0,IF(CONFIG_METADATA!$B$4&lt;&gt;"OR+EX",--(DATOS!$G10348=CONFIG_METADATA!$B$4),IF(DATOS!$G10348="EX",1,IF(DATOS!$G10348="OR",--(COUNTIFS(nNIA,DATOS!$A10348,nCURSO,DATOS!$D10348,nESPEC,DATOS!$E10348,nASIG,DATOS!$I10348,nEVAL,"EX")=0),0))))</f>
      </c>
      <c r="H10348">
        <f>IF(DATOS!$G10348&lt;&gt;"EX",0,--(COUNTIFS(nNIA,DATOS!$A10348,nCURSO,DATOS!$D10348,nESPEC,DATOS!$E10348,nASIG,DATOS!$I10348,nEVAL,"OR")=0))</f>
      </c>
      <c r="I10348">
        <f>IF(DATOS!$I10348="","",IFERROR(VLOOKUP(DATOS!$I10348,CONFIG_ASIGNATURAS!$B$2:$J$91,9,FALSE()),""))</f>
      </c>
    </row>
    <row r="10349">
      <c r="F10349">
        <f>IF(DATOS!$A10349="","",DATOS!$A10349&amp;"|"&amp;DATOS!$D10349&amp;"|"&amp;DATOS!$E10349&amp;"|"&amp;DATOS!$I10349)</f>
      </c>
      <c r="G10349">
        <f>IF(DATOS!$A10349="",0,IF(CONFIG_METADATA!$B$4&lt;&gt;"OR+EX",--(DATOS!$G10349=CONFIG_METADATA!$B$4),IF(DATOS!$G10349="EX",1,IF(DATOS!$G10349="OR",--(COUNTIFS(nNIA,DATOS!$A10349,nCURSO,DATOS!$D10349,nESPEC,DATOS!$E10349,nASIG,DATOS!$I10349,nEVAL,"EX")=0),0))))</f>
      </c>
      <c r="H10349">
        <f>IF(DATOS!$G10349&lt;&gt;"EX",0,--(COUNTIFS(nNIA,DATOS!$A10349,nCURSO,DATOS!$D10349,nESPEC,DATOS!$E10349,nASIG,DATOS!$I10349,nEVAL,"OR")=0))</f>
      </c>
      <c r="I10349">
        <f>IF(DATOS!$I10349="","",IFERROR(VLOOKUP(DATOS!$I10349,CONFIG_ASIGNATURAS!$B$2:$J$91,9,FALSE()),""))</f>
      </c>
    </row>
    <row r="10350">
      <c r="F10350">
        <f>IF(DATOS!$A10350="","",DATOS!$A10350&amp;"|"&amp;DATOS!$D10350&amp;"|"&amp;DATOS!$E10350&amp;"|"&amp;DATOS!$I10350)</f>
      </c>
      <c r="G10350">
        <f>IF(DATOS!$A10350="",0,IF(CONFIG_METADATA!$B$4&lt;&gt;"OR+EX",--(DATOS!$G10350=CONFIG_METADATA!$B$4),IF(DATOS!$G10350="EX",1,IF(DATOS!$G10350="OR",--(COUNTIFS(nNIA,DATOS!$A10350,nCURSO,DATOS!$D10350,nESPEC,DATOS!$E10350,nASIG,DATOS!$I10350,nEVAL,"EX")=0),0))))</f>
      </c>
      <c r="H10350">
        <f>IF(DATOS!$G10350&lt;&gt;"EX",0,--(COUNTIFS(nNIA,DATOS!$A10350,nCURSO,DATOS!$D10350,nESPEC,DATOS!$E10350,nASIG,DATOS!$I10350,nEVAL,"OR")=0))</f>
      </c>
      <c r="I10350">
        <f>IF(DATOS!$I10350="","",IFERROR(VLOOKUP(DATOS!$I10350,CONFIG_ASIGNATURAS!$B$2:$J$91,9,FALSE()),""))</f>
      </c>
    </row>
    <row r="10351">
      <c r="F10351">
        <f>IF(DATOS!$A10351="","",DATOS!$A10351&amp;"|"&amp;DATOS!$D10351&amp;"|"&amp;DATOS!$E10351&amp;"|"&amp;DATOS!$I10351)</f>
      </c>
      <c r="G10351">
        <f>IF(DATOS!$A10351="",0,IF(CONFIG_METADATA!$B$4&lt;&gt;"OR+EX",--(DATOS!$G10351=CONFIG_METADATA!$B$4),IF(DATOS!$G10351="EX",1,IF(DATOS!$G10351="OR",--(COUNTIFS(nNIA,DATOS!$A10351,nCURSO,DATOS!$D10351,nESPEC,DATOS!$E10351,nASIG,DATOS!$I10351,nEVAL,"EX")=0),0))))</f>
      </c>
      <c r="H10351">
        <f>IF(DATOS!$G10351&lt;&gt;"EX",0,--(COUNTIFS(nNIA,DATOS!$A10351,nCURSO,DATOS!$D10351,nESPEC,DATOS!$E10351,nASIG,DATOS!$I10351,nEVAL,"OR")=0))</f>
      </c>
      <c r="I10351">
        <f>IF(DATOS!$I10351="","",IFERROR(VLOOKUP(DATOS!$I10351,CONFIG_ASIGNATURAS!$B$2:$J$91,9,FALSE()),""))</f>
      </c>
    </row>
    <row r="10352">
      <c r="F10352">
        <f>IF(DATOS!$A10352="","",DATOS!$A10352&amp;"|"&amp;DATOS!$D10352&amp;"|"&amp;DATOS!$E10352&amp;"|"&amp;DATOS!$I10352)</f>
      </c>
      <c r="G10352">
        <f>IF(DATOS!$A10352="",0,IF(CONFIG_METADATA!$B$4&lt;&gt;"OR+EX",--(DATOS!$G10352=CONFIG_METADATA!$B$4),IF(DATOS!$G10352="EX",1,IF(DATOS!$G10352="OR",--(COUNTIFS(nNIA,DATOS!$A10352,nCURSO,DATOS!$D10352,nESPEC,DATOS!$E10352,nASIG,DATOS!$I10352,nEVAL,"EX")=0),0))))</f>
      </c>
      <c r="H10352">
        <f>IF(DATOS!$G10352&lt;&gt;"EX",0,--(COUNTIFS(nNIA,DATOS!$A10352,nCURSO,DATOS!$D10352,nESPEC,DATOS!$E10352,nASIG,DATOS!$I10352,nEVAL,"OR")=0))</f>
      </c>
      <c r="I10352">
        <f>IF(DATOS!$I10352="","",IFERROR(VLOOKUP(DATOS!$I10352,CONFIG_ASIGNATURAS!$B$2:$J$91,9,FALSE()),""))</f>
      </c>
    </row>
    <row r="10353">
      <c r="F10353">
        <f>IF(DATOS!$A10353="","",DATOS!$A10353&amp;"|"&amp;DATOS!$D10353&amp;"|"&amp;DATOS!$E10353&amp;"|"&amp;DATOS!$I10353)</f>
      </c>
      <c r="G10353">
        <f>IF(DATOS!$A10353="",0,IF(CONFIG_METADATA!$B$4&lt;&gt;"OR+EX",--(DATOS!$G10353=CONFIG_METADATA!$B$4),IF(DATOS!$G10353="EX",1,IF(DATOS!$G10353="OR",--(COUNTIFS(nNIA,DATOS!$A10353,nCURSO,DATOS!$D10353,nESPEC,DATOS!$E10353,nASIG,DATOS!$I10353,nEVAL,"EX")=0),0))))</f>
      </c>
      <c r="H10353">
        <f>IF(DATOS!$G10353&lt;&gt;"EX",0,--(COUNTIFS(nNIA,DATOS!$A10353,nCURSO,DATOS!$D10353,nESPEC,DATOS!$E10353,nASIG,DATOS!$I10353,nEVAL,"OR")=0))</f>
      </c>
      <c r="I10353">
        <f>IF(DATOS!$I10353="","",IFERROR(VLOOKUP(DATOS!$I10353,CONFIG_ASIGNATURAS!$B$2:$J$91,9,FALSE()),""))</f>
      </c>
    </row>
    <row r="10354">
      <c r="F10354">
        <f>IF(DATOS!$A10354="","",DATOS!$A10354&amp;"|"&amp;DATOS!$D10354&amp;"|"&amp;DATOS!$E10354&amp;"|"&amp;DATOS!$I10354)</f>
      </c>
      <c r="G10354">
        <f>IF(DATOS!$A10354="",0,IF(CONFIG_METADATA!$B$4&lt;&gt;"OR+EX",--(DATOS!$G10354=CONFIG_METADATA!$B$4),IF(DATOS!$G10354="EX",1,IF(DATOS!$G10354="OR",--(COUNTIFS(nNIA,DATOS!$A10354,nCURSO,DATOS!$D10354,nESPEC,DATOS!$E10354,nASIG,DATOS!$I10354,nEVAL,"EX")=0),0))))</f>
      </c>
      <c r="H10354">
        <f>IF(DATOS!$G10354&lt;&gt;"EX",0,--(COUNTIFS(nNIA,DATOS!$A10354,nCURSO,DATOS!$D10354,nESPEC,DATOS!$E10354,nASIG,DATOS!$I10354,nEVAL,"OR")=0))</f>
      </c>
      <c r="I10354">
        <f>IF(DATOS!$I10354="","",IFERROR(VLOOKUP(DATOS!$I10354,CONFIG_ASIGNATURAS!$B$2:$J$91,9,FALSE()),""))</f>
      </c>
    </row>
    <row r="10355">
      <c r="F10355">
        <f>IF(DATOS!$A10355="","",DATOS!$A10355&amp;"|"&amp;DATOS!$D10355&amp;"|"&amp;DATOS!$E10355&amp;"|"&amp;DATOS!$I10355)</f>
      </c>
      <c r="G10355">
        <f>IF(DATOS!$A10355="",0,IF(CONFIG_METADATA!$B$4&lt;&gt;"OR+EX",--(DATOS!$G10355=CONFIG_METADATA!$B$4),IF(DATOS!$G10355="EX",1,IF(DATOS!$G10355="OR",--(COUNTIFS(nNIA,DATOS!$A10355,nCURSO,DATOS!$D10355,nESPEC,DATOS!$E10355,nASIG,DATOS!$I10355,nEVAL,"EX")=0),0))))</f>
      </c>
      <c r="H10355">
        <f>IF(DATOS!$G10355&lt;&gt;"EX",0,--(COUNTIFS(nNIA,DATOS!$A10355,nCURSO,DATOS!$D10355,nESPEC,DATOS!$E10355,nASIG,DATOS!$I10355,nEVAL,"OR")=0))</f>
      </c>
      <c r="I10355">
        <f>IF(DATOS!$I10355="","",IFERROR(VLOOKUP(DATOS!$I10355,CONFIG_ASIGNATURAS!$B$2:$J$91,9,FALSE()),""))</f>
      </c>
    </row>
    <row r="10356">
      <c r="F10356">
        <f>IF(DATOS!$A10356="","",DATOS!$A10356&amp;"|"&amp;DATOS!$D10356&amp;"|"&amp;DATOS!$E10356&amp;"|"&amp;DATOS!$I10356)</f>
      </c>
      <c r="G10356">
        <f>IF(DATOS!$A10356="",0,IF(CONFIG_METADATA!$B$4&lt;&gt;"OR+EX",--(DATOS!$G10356=CONFIG_METADATA!$B$4),IF(DATOS!$G10356="EX",1,IF(DATOS!$G10356="OR",--(COUNTIFS(nNIA,DATOS!$A10356,nCURSO,DATOS!$D10356,nESPEC,DATOS!$E10356,nASIG,DATOS!$I10356,nEVAL,"EX")=0),0))))</f>
      </c>
      <c r="H10356">
        <f>IF(DATOS!$G10356&lt;&gt;"EX",0,--(COUNTIFS(nNIA,DATOS!$A10356,nCURSO,DATOS!$D10356,nESPEC,DATOS!$E10356,nASIG,DATOS!$I10356,nEVAL,"OR")=0))</f>
      </c>
      <c r="I10356">
        <f>IF(DATOS!$I10356="","",IFERROR(VLOOKUP(DATOS!$I10356,CONFIG_ASIGNATURAS!$B$2:$J$91,9,FALSE()),""))</f>
      </c>
    </row>
    <row r="10357">
      <c r="F10357">
        <f>IF(DATOS!$A10357="","",DATOS!$A10357&amp;"|"&amp;DATOS!$D10357&amp;"|"&amp;DATOS!$E10357&amp;"|"&amp;DATOS!$I10357)</f>
      </c>
      <c r="G10357">
        <f>IF(DATOS!$A10357="",0,IF(CONFIG_METADATA!$B$4&lt;&gt;"OR+EX",--(DATOS!$G10357=CONFIG_METADATA!$B$4),IF(DATOS!$G10357="EX",1,IF(DATOS!$G10357="OR",--(COUNTIFS(nNIA,DATOS!$A10357,nCURSO,DATOS!$D10357,nESPEC,DATOS!$E10357,nASIG,DATOS!$I10357,nEVAL,"EX")=0),0))))</f>
      </c>
      <c r="H10357">
        <f>IF(DATOS!$G10357&lt;&gt;"EX",0,--(COUNTIFS(nNIA,DATOS!$A10357,nCURSO,DATOS!$D10357,nESPEC,DATOS!$E10357,nASIG,DATOS!$I10357,nEVAL,"OR")=0))</f>
      </c>
      <c r="I10357">
        <f>IF(DATOS!$I10357="","",IFERROR(VLOOKUP(DATOS!$I10357,CONFIG_ASIGNATURAS!$B$2:$J$91,9,FALSE()),""))</f>
      </c>
    </row>
    <row r="10358">
      <c r="F10358">
        <f>IF(DATOS!$A10358="","",DATOS!$A10358&amp;"|"&amp;DATOS!$D10358&amp;"|"&amp;DATOS!$E10358&amp;"|"&amp;DATOS!$I10358)</f>
      </c>
      <c r="G10358">
        <f>IF(DATOS!$A10358="",0,IF(CONFIG_METADATA!$B$4&lt;&gt;"OR+EX",--(DATOS!$G10358=CONFIG_METADATA!$B$4),IF(DATOS!$G10358="EX",1,IF(DATOS!$G10358="OR",--(COUNTIFS(nNIA,DATOS!$A10358,nCURSO,DATOS!$D10358,nESPEC,DATOS!$E10358,nASIG,DATOS!$I10358,nEVAL,"EX")=0),0))))</f>
      </c>
      <c r="H10358">
        <f>IF(DATOS!$G10358&lt;&gt;"EX",0,--(COUNTIFS(nNIA,DATOS!$A10358,nCURSO,DATOS!$D10358,nESPEC,DATOS!$E10358,nASIG,DATOS!$I10358,nEVAL,"OR")=0))</f>
      </c>
      <c r="I10358">
        <f>IF(DATOS!$I10358="","",IFERROR(VLOOKUP(DATOS!$I10358,CONFIG_ASIGNATURAS!$B$2:$J$91,9,FALSE()),""))</f>
      </c>
    </row>
    <row r="10359">
      <c r="F10359">
        <f>IF(DATOS!$A10359="","",DATOS!$A10359&amp;"|"&amp;DATOS!$D10359&amp;"|"&amp;DATOS!$E10359&amp;"|"&amp;DATOS!$I10359)</f>
      </c>
      <c r="G10359">
        <f>IF(DATOS!$A10359="",0,IF(CONFIG_METADATA!$B$4&lt;&gt;"OR+EX",--(DATOS!$G10359=CONFIG_METADATA!$B$4),IF(DATOS!$G10359="EX",1,IF(DATOS!$G10359="OR",--(COUNTIFS(nNIA,DATOS!$A10359,nCURSO,DATOS!$D10359,nESPEC,DATOS!$E10359,nASIG,DATOS!$I10359,nEVAL,"EX")=0),0))))</f>
      </c>
      <c r="H10359">
        <f>IF(DATOS!$G10359&lt;&gt;"EX",0,--(COUNTIFS(nNIA,DATOS!$A10359,nCURSO,DATOS!$D10359,nESPEC,DATOS!$E10359,nASIG,DATOS!$I10359,nEVAL,"OR")=0))</f>
      </c>
      <c r="I10359">
        <f>IF(DATOS!$I10359="","",IFERROR(VLOOKUP(DATOS!$I10359,CONFIG_ASIGNATURAS!$B$2:$J$91,9,FALSE()),""))</f>
      </c>
    </row>
    <row r="10360">
      <c r="F10360">
        <f>IF(DATOS!$A10360="","",DATOS!$A10360&amp;"|"&amp;DATOS!$D10360&amp;"|"&amp;DATOS!$E10360&amp;"|"&amp;DATOS!$I10360)</f>
      </c>
      <c r="G10360">
        <f>IF(DATOS!$A10360="",0,IF(CONFIG_METADATA!$B$4&lt;&gt;"OR+EX",--(DATOS!$G10360=CONFIG_METADATA!$B$4),IF(DATOS!$G10360="EX",1,IF(DATOS!$G10360="OR",--(COUNTIFS(nNIA,DATOS!$A10360,nCURSO,DATOS!$D10360,nESPEC,DATOS!$E10360,nASIG,DATOS!$I10360,nEVAL,"EX")=0),0))))</f>
      </c>
      <c r="H10360">
        <f>IF(DATOS!$G10360&lt;&gt;"EX",0,--(COUNTIFS(nNIA,DATOS!$A10360,nCURSO,DATOS!$D10360,nESPEC,DATOS!$E10360,nASIG,DATOS!$I10360,nEVAL,"OR")=0))</f>
      </c>
      <c r="I10360">
        <f>IF(DATOS!$I10360="","",IFERROR(VLOOKUP(DATOS!$I10360,CONFIG_ASIGNATURAS!$B$2:$J$91,9,FALSE()),""))</f>
      </c>
    </row>
    <row r="10361">
      <c r="F10361">
        <f>IF(DATOS!$A10361="","",DATOS!$A10361&amp;"|"&amp;DATOS!$D10361&amp;"|"&amp;DATOS!$E10361&amp;"|"&amp;DATOS!$I10361)</f>
      </c>
      <c r="G10361">
        <f>IF(DATOS!$A10361="",0,IF(CONFIG_METADATA!$B$4&lt;&gt;"OR+EX",--(DATOS!$G10361=CONFIG_METADATA!$B$4),IF(DATOS!$G10361="EX",1,IF(DATOS!$G10361="OR",--(COUNTIFS(nNIA,DATOS!$A10361,nCURSO,DATOS!$D10361,nESPEC,DATOS!$E10361,nASIG,DATOS!$I10361,nEVAL,"EX")=0),0))))</f>
      </c>
      <c r="H10361">
        <f>IF(DATOS!$G10361&lt;&gt;"EX",0,--(COUNTIFS(nNIA,DATOS!$A10361,nCURSO,DATOS!$D10361,nESPEC,DATOS!$E10361,nASIG,DATOS!$I10361,nEVAL,"OR")=0))</f>
      </c>
      <c r="I10361">
        <f>IF(DATOS!$I10361="","",IFERROR(VLOOKUP(DATOS!$I10361,CONFIG_ASIGNATURAS!$B$2:$J$91,9,FALSE()),""))</f>
      </c>
    </row>
    <row r="10362">
      <c r="F10362">
        <f>IF(DATOS!$A10362="","",DATOS!$A10362&amp;"|"&amp;DATOS!$D10362&amp;"|"&amp;DATOS!$E10362&amp;"|"&amp;DATOS!$I10362)</f>
      </c>
      <c r="G10362">
        <f>IF(DATOS!$A10362="",0,IF(CONFIG_METADATA!$B$4&lt;&gt;"OR+EX",--(DATOS!$G10362=CONFIG_METADATA!$B$4),IF(DATOS!$G10362="EX",1,IF(DATOS!$G10362="OR",--(COUNTIFS(nNIA,DATOS!$A10362,nCURSO,DATOS!$D10362,nESPEC,DATOS!$E10362,nASIG,DATOS!$I10362,nEVAL,"EX")=0),0))))</f>
      </c>
      <c r="H10362">
        <f>IF(DATOS!$G10362&lt;&gt;"EX",0,--(COUNTIFS(nNIA,DATOS!$A10362,nCURSO,DATOS!$D10362,nESPEC,DATOS!$E10362,nASIG,DATOS!$I10362,nEVAL,"OR")=0))</f>
      </c>
      <c r="I10362">
        <f>IF(DATOS!$I10362="","",IFERROR(VLOOKUP(DATOS!$I10362,CONFIG_ASIGNATURAS!$B$2:$J$91,9,FALSE()),""))</f>
      </c>
    </row>
    <row r="10363">
      <c r="F10363">
        <f>IF(DATOS!$A10363="","",DATOS!$A10363&amp;"|"&amp;DATOS!$D10363&amp;"|"&amp;DATOS!$E10363&amp;"|"&amp;DATOS!$I10363)</f>
      </c>
      <c r="G10363">
        <f>IF(DATOS!$A10363="",0,IF(CONFIG_METADATA!$B$4&lt;&gt;"OR+EX",--(DATOS!$G10363=CONFIG_METADATA!$B$4),IF(DATOS!$G10363="EX",1,IF(DATOS!$G10363="OR",--(COUNTIFS(nNIA,DATOS!$A10363,nCURSO,DATOS!$D10363,nESPEC,DATOS!$E10363,nASIG,DATOS!$I10363,nEVAL,"EX")=0),0))))</f>
      </c>
      <c r="H10363">
        <f>IF(DATOS!$G10363&lt;&gt;"EX",0,--(COUNTIFS(nNIA,DATOS!$A10363,nCURSO,DATOS!$D10363,nESPEC,DATOS!$E10363,nASIG,DATOS!$I10363,nEVAL,"OR")=0))</f>
      </c>
      <c r="I10363">
        <f>IF(DATOS!$I10363="","",IFERROR(VLOOKUP(DATOS!$I10363,CONFIG_ASIGNATURAS!$B$2:$J$91,9,FALSE()),""))</f>
      </c>
    </row>
    <row r="10364">
      <c r="F10364">
        <f>IF(DATOS!$A10364="","",DATOS!$A10364&amp;"|"&amp;DATOS!$D10364&amp;"|"&amp;DATOS!$E10364&amp;"|"&amp;DATOS!$I10364)</f>
      </c>
      <c r="G10364">
        <f>IF(DATOS!$A10364="",0,IF(CONFIG_METADATA!$B$4&lt;&gt;"OR+EX",--(DATOS!$G10364=CONFIG_METADATA!$B$4),IF(DATOS!$G10364="EX",1,IF(DATOS!$G10364="OR",--(COUNTIFS(nNIA,DATOS!$A10364,nCURSO,DATOS!$D10364,nESPEC,DATOS!$E10364,nASIG,DATOS!$I10364,nEVAL,"EX")=0),0))))</f>
      </c>
      <c r="H10364">
        <f>IF(DATOS!$G10364&lt;&gt;"EX",0,--(COUNTIFS(nNIA,DATOS!$A10364,nCURSO,DATOS!$D10364,nESPEC,DATOS!$E10364,nASIG,DATOS!$I10364,nEVAL,"OR")=0))</f>
      </c>
      <c r="I10364">
        <f>IF(DATOS!$I10364="","",IFERROR(VLOOKUP(DATOS!$I10364,CONFIG_ASIGNATURAS!$B$2:$J$91,9,FALSE()),""))</f>
      </c>
    </row>
    <row r="10365">
      <c r="F10365">
        <f>IF(DATOS!$A10365="","",DATOS!$A10365&amp;"|"&amp;DATOS!$D10365&amp;"|"&amp;DATOS!$E10365&amp;"|"&amp;DATOS!$I10365)</f>
      </c>
      <c r="G10365">
        <f>IF(DATOS!$A10365="",0,IF(CONFIG_METADATA!$B$4&lt;&gt;"OR+EX",--(DATOS!$G10365=CONFIG_METADATA!$B$4),IF(DATOS!$G10365="EX",1,IF(DATOS!$G10365="OR",--(COUNTIFS(nNIA,DATOS!$A10365,nCURSO,DATOS!$D10365,nESPEC,DATOS!$E10365,nASIG,DATOS!$I10365,nEVAL,"EX")=0),0))))</f>
      </c>
      <c r="H10365">
        <f>IF(DATOS!$G10365&lt;&gt;"EX",0,--(COUNTIFS(nNIA,DATOS!$A10365,nCURSO,DATOS!$D10365,nESPEC,DATOS!$E10365,nASIG,DATOS!$I10365,nEVAL,"OR")=0))</f>
      </c>
      <c r="I10365">
        <f>IF(DATOS!$I10365="","",IFERROR(VLOOKUP(DATOS!$I10365,CONFIG_ASIGNATURAS!$B$2:$J$91,9,FALSE()),""))</f>
      </c>
    </row>
    <row r="10366">
      <c r="F10366">
        <f>IF(DATOS!$A10366="","",DATOS!$A10366&amp;"|"&amp;DATOS!$D10366&amp;"|"&amp;DATOS!$E10366&amp;"|"&amp;DATOS!$I10366)</f>
      </c>
      <c r="G10366">
        <f>IF(DATOS!$A10366="",0,IF(CONFIG_METADATA!$B$4&lt;&gt;"OR+EX",--(DATOS!$G10366=CONFIG_METADATA!$B$4),IF(DATOS!$G10366="EX",1,IF(DATOS!$G10366="OR",--(COUNTIFS(nNIA,DATOS!$A10366,nCURSO,DATOS!$D10366,nESPEC,DATOS!$E10366,nASIG,DATOS!$I10366,nEVAL,"EX")=0),0))))</f>
      </c>
      <c r="H10366">
        <f>IF(DATOS!$G10366&lt;&gt;"EX",0,--(COUNTIFS(nNIA,DATOS!$A10366,nCURSO,DATOS!$D10366,nESPEC,DATOS!$E10366,nASIG,DATOS!$I10366,nEVAL,"OR")=0))</f>
      </c>
      <c r="I10366">
        <f>IF(DATOS!$I10366="","",IFERROR(VLOOKUP(DATOS!$I10366,CONFIG_ASIGNATURAS!$B$2:$J$91,9,FALSE()),""))</f>
      </c>
    </row>
    <row r="10367">
      <c r="F10367">
        <f>IF(DATOS!$A10367="","",DATOS!$A10367&amp;"|"&amp;DATOS!$D10367&amp;"|"&amp;DATOS!$E10367&amp;"|"&amp;DATOS!$I10367)</f>
      </c>
      <c r="G10367">
        <f>IF(DATOS!$A10367="",0,IF(CONFIG_METADATA!$B$4&lt;&gt;"OR+EX",--(DATOS!$G10367=CONFIG_METADATA!$B$4),IF(DATOS!$G10367="EX",1,IF(DATOS!$G10367="OR",--(COUNTIFS(nNIA,DATOS!$A10367,nCURSO,DATOS!$D10367,nESPEC,DATOS!$E10367,nASIG,DATOS!$I10367,nEVAL,"EX")=0),0))))</f>
      </c>
      <c r="H10367">
        <f>IF(DATOS!$G10367&lt;&gt;"EX",0,--(COUNTIFS(nNIA,DATOS!$A10367,nCURSO,DATOS!$D10367,nESPEC,DATOS!$E10367,nASIG,DATOS!$I10367,nEVAL,"OR")=0))</f>
      </c>
      <c r="I10367">
        <f>IF(DATOS!$I10367="","",IFERROR(VLOOKUP(DATOS!$I10367,CONFIG_ASIGNATURAS!$B$2:$J$91,9,FALSE()),""))</f>
      </c>
    </row>
    <row r="10368">
      <c r="F10368">
        <f>IF(DATOS!$A10368="","",DATOS!$A10368&amp;"|"&amp;DATOS!$D10368&amp;"|"&amp;DATOS!$E10368&amp;"|"&amp;DATOS!$I10368)</f>
      </c>
      <c r="G10368">
        <f>IF(DATOS!$A10368="",0,IF(CONFIG_METADATA!$B$4&lt;&gt;"OR+EX",--(DATOS!$G10368=CONFIG_METADATA!$B$4),IF(DATOS!$G10368="EX",1,IF(DATOS!$G10368="OR",--(COUNTIFS(nNIA,DATOS!$A10368,nCURSO,DATOS!$D10368,nESPEC,DATOS!$E10368,nASIG,DATOS!$I10368,nEVAL,"EX")=0),0))))</f>
      </c>
      <c r="H10368">
        <f>IF(DATOS!$G10368&lt;&gt;"EX",0,--(COUNTIFS(nNIA,DATOS!$A10368,nCURSO,DATOS!$D10368,nESPEC,DATOS!$E10368,nASIG,DATOS!$I10368,nEVAL,"OR")=0))</f>
      </c>
      <c r="I10368">
        <f>IF(DATOS!$I10368="","",IFERROR(VLOOKUP(DATOS!$I10368,CONFIG_ASIGNATURAS!$B$2:$J$91,9,FALSE()),""))</f>
      </c>
    </row>
    <row r="10369">
      <c r="F10369">
        <f>IF(DATOS!$A10369="","",DATOS!$A10369&amp;"|"&amp;DATOS!$D10369&amp;"|"&amp;DATOS!$E10369&amp;"|"&amp;DATOS!$I10369)</f>
      </c>
      <c r="G10369">
        <f>IF(DATOS!$A10369="",0,IF(CONFIG_METADATA!$B$4&lt;&gt;"OR+EX",--(DATOS!$G10369=CONFIG_METADATA!$B$4),IF(DATOS!$G10369="EX",1,IF(DATOS!$G10369="OR",--(COUNTIFS(nNIA,DATOS!$A10369,nCURSO,DATOS!$D10369,nESPEC,DATOS!$E10369,nASIG,DATOS!$I10369,nEVAL,"EX")=0),0))))</f>
      </c>
      <c r="H10369">
        <f>IF(DATOS!$G10369&lt;&gt;"EX",0,--(COUNTIFS(nNIA,DATOS!$A10369,nCURSO,DATOS!$D10369,nESPEC,DATOS!$E10369,nASIG,DATOS!$I10369,nEVAL,"OR")=0))</f>
      </c>
      <c r="I10369">
        <f>IF(DATOS!$I10369="","",IFERROR(VLOOKUP(DATOS!$I10369,CONFIG_ASIGNATURAS!$B$2:$J$91,9,FALSE()),""))</f>
      </c>
    </row>
    <row r="10370">
      <c r="F10370">
        <f>IF(DATOS!$A10370="","",DATOS!$A10370&amp;"|"&amp;DATOS!$D10370&amp;"|"&amp;DATOS!$E10370&amp;"|"&amp;DATOS!$I10370)</f>
      </c>
      <c r="G10370">
        <f>IF(DATOS!$A10370="",0,IF(CONFIG_METADATA!$B$4&lt;&gt;"OR+EX",--(DATOS!$G10370=CONFIG_METADATA!$B$4),IF(DATOS!$G10370="EX",1,IF(DATOS!$G10370="OR",--(COUNTIFS(nNIA,DATOS!$A10370,nCURSO,DATOS!$D10370,nESPEC,DATOS!$E10370,nASIG,DATOS!$I10370,nEVAL,"EX")=0),0))))</f>
      </c>
      <c r="H10370">
        <f>IF(DATOS!$G10370&lt;&gt;"EX",0,--(COUNTIFS(nNIA,DATOS!$A10370,nCURSO,DATOS!$D10370,nESPEC,DATOS!$E10370,nASIG,DATOS!$I10370,nEVAL,"OR")=0))</f>
      </c>
      <c r="I10370">
        <f>IF(DATOS!$I10370="","",IFERROR(VLOOKUP(DATOS!$I10370,CONFIG_ASIGNATURAS!$B$2:$J$91,9,FALSE()),""))</f>
      </c>
    </row>
    <row r="10371">
      <c r="F10371">
        <f>IF(DATOS!$A10371="","",DATOS!$A10371&amp;"|"&amp;DATOS!$D10371&amp;"|"&amp;DATOS!$E10371&amp;"|"&amp;DATOS!$I10371)</f>
      </c>
      <c r="G10371">
        <f>IF(DATOS!$A10371="",0,IF(CONFIG_METADATA!$B$4&lt;&gt;"OR+EX",--(DATOS!$G10371=CONFIG_METADATA!$B$4),IF(DATOS!$G10371="EX",1,IF(DATOS!$G10371="OR",--(COUNTIFS(nNIA,DATOS!$A10371,nCURSO,DATOS!$D10371,nESPEC,DATOS!$E10371,nASIG,DATOS!$I10371,nEVAL,"EX")=0),0))))</f>
      </c>
      <c r="H10371">
        <f>IF(DATOS!$G10371&lt;&gt;"EX",0,--(COUNTIFS(nNIA,DATOS!$A10371,nCURSO,DATOS!$D10371,nESPEC,DATOS!$E10371,nASIG,DATOS!$I10371,nEVAL,"OR")=0))</f>
      </c>
      <c r="I10371">
        <f>IF(DATOS!$I10371="","",IFERROR(VLOOKUP(DATOS!$I10371,CONFIG_ASIGNATURAS!$B$2:$J$91,9,FALSE()),""))</f>
      </c>
    </row>
    <row r="10372">
      <c r="F10372">
        <f>IF(DATOS!$A10372="","",DATOS!$A10372&amp;"|"&amp;DATOS!$D10372&amp;"|"&amp;DATOS!$E10372&amp;"|"&amp;DATOS!$I10372)</f>
      </c>
      <c r="G10372">
        <f>IF(DATOS!$A10372="",0,IF(CONFIG_METADATA!$B$4&lt;&gt;"OR+EX",--(DATOS!$G10372=CONFIG_METADATA!$B$4),IF(DATOS!$G10372="EX",1,IF(DATOS!$G10372="OR",--(COUNTIFS(nNIA,DATOS!$A10372,nCURSO,DATOS!$D10372,nESPEC,DATOS!$E10372,nASIG,DATOS!$I10372,nEVAL,"EX")=0),0))))</f>
      </c>
      <c r="H10372">
        <f>IF(DATOS!$G10372&lt;&gt;"EX",0,--(COUNTIFS(nNIA,DATOS!$A10372,nCURSO,DATOS!$D10372,nESPEC,DATOS!$E10372,nASIG,DATOS!$I10372,nEVAL,"OR")=0))</f>
      </c>
      <c r="I10372">
        <f>IF(DATOS!$I10372="","",IFERROR(VLOOKUP(DATOS!$I10372,CONFIG_ASIGNATURAS!$B$2:$J$91,9,FALSE()),""))</f>
      </c>
    </row>
    <row r="10373">
      <c r="F10373">
        <f>IF(DATOS!$A10373="","",DATOS!$A10373&amp;"|"&amp;DATOS!$D10373&amp;"|"&amp;DATOS!$E10373&amp;"|"&amp;DATOS!$I10373)</f>
      </c>
      <c r="G10373">
        <f>IF(DATOS!$A10373="",0,IF(CONFIG_METADATA!$B$4&lt;&gt;"OR+EX",--(DATOS!$G10373=CONFIG_METADATA!$B$4),IF(DATOS!$G10373="EX",1,IF(DATOS!$G10373="OR",--(COUNTIFS(nNIA,DATOS!$A10373,nCURSO,DATOS!$D10373,nESPEC,DATOS!$E10373,nASIG,DATOS!$I10373,nEVAL,"EX")=0),0))))</f>
      </c>
      <c r="H10373">
        <f>IF(DATOS!$G10373&lt;&gt;"EX",0,--(COUNTIFS(nNIA,DATOS!$A10373,nCURSO,DATOS!$D10373,nESPEC,DATOS!$E10373,nASIG,DATOS!$I10373,nEVAL,"OR")=0))</f>
      </c>
      <c r="I10373">
        <f>IF(DATOS!$I10373="","",IFERROR(VLOOKUP(DATOS!$I10373,CONFIG_ASIGNATURAS!$B$2:$J$91,9,FALSE()),""))</f>
      </c>
    </row>
    <row r="10374">
      <c r="F10374">
        <f>IF(DATOS!$A10374="","",DATOS!$A10374&amp;"|"&amp;DATOS!$D10374&amp;"|"&amp;DATOS!$E10374&amp;"|"&amp;DATOS!$I10374)</f>
      </c>
      <c r="G10374">
        <f>IF(DATOS!$A10374="",0,IF(CONFIG_METADATA!$B$4&lt;&gt;"OR+EX",--(DATOS!$G10374=CONFIG_METADATA!$B$4),IF(DATOS!$G10374="EX",1,IF(DATOS!$G10374="OR",--(COUNTIFS(nNIA,DATOS!$A10374,nCURSO,DATOS!$D10374,nESPEC,DATOS!$E10374,nASIG,DATOS!$I10374,nEVAL,"EX")=0),0))))</f>
      </c>
      <c r="H10374">
        <f>IF(DATOS!$G10374&lt;&gt;"EX",0,--(COUNTIFS(nNIA,DATOS!$A10374,nCURSO,DATOS!$D10374,nESPEC,DATOS!$E10374,nASIG,DATOS!$I10374,nEVAL,"OR")=0))</f>
      </c>
      <c r="I10374">
        <f>IF(DATOS!$I10374="","",IFERROR(VLOOKUP(DATOS!$I10374,CONFIG_ASIGNATURAS!$B$2:$J$91,9,FALSE()),""))</f>
      </c>
    </row>
    <row r="10375">
      <c r="F10375">
        <f>IF(DATOS!$A10375="","",DATOS!$A10375&amp;"|"&amp;DATOS!$D10375&amp;"|"&amp;DATOS!$E10375&amp;"|"&amp;DATOS!$I10375)</f>
      </c>
      <c r="G10375">
        <f>IF(DATOS!$A10375="",0,IF(CONFIG_METADATA!$B$4&lt;&gt;"OR+EX",--(DATOS!$G10375=CONFIG_METADATA!$B$4),IF(DATOS!$G10375="EX",1,IF(DATOS!$G10375="OR",--(COUNTIFS(nNIA,DATOS!$A10375,nCURSO,DATOS!$D10375,nESPEC,DATOS!$E10375,nASIG,DATOS!$I10375,nEVAL,"EX")=0),0))))</f>
      </c>
      <c r="H10375">
        <f>IF(DATOS!$G10375&lt;&gt;"EX",0,--(COUNTIFS(nNIA,DATOS!$A10375,nCURSO,DATOS!$D10375,nESPEC,DATOS!$E10375,nASIG,DATOS!$I10375,nEVAL,"OR")=0))</f>
      </c>
      <c r="I10375">
        <f>IF(DATOS!$I10375="","",IFERROR(VLOOKUP(DATOS!$I10375,CONFIG_ASIGNATURAS!$B$2:$J$91,9,FALSE()),""))</f>
      </c>
    </row>
    <row r="10376">
      <c r="F10376">
        <f>IF(DATOS!$A10376="","",DATOS!$A10376&amp;"|"&amp;DATOS!$D10376&amp;"|"&amp;DATOS!$E10376&amp;"|"&amp;DATOS!$I10376)</f>
      </c>
      <c r="G10376">
        <f>IF(DATOS!$A10376="",0,IF(CONFIG_METADATA!$B$4&lt;&gt;"OR+EX",--(DATOS!$G10376=CONFIG_METADATA!$B$4),IF(DATOS!$G10376="EX",1,IF(DATOS!$G10376="OR",--(COUNTIFS(nNIA,DATOS!$A10376,nCURSO,DATOS!$D10376,nESPEC,DATOS!$E10376,nASIG,DATOS!$I10376,nEVAL,"EX")=0),0))))</f>
      </c>
      <c r="H10376">
        <f>IF(DATOS!$G10376&lt;&gt;"EX",0,--(COUNTIFS(nNIA,DATOS!$A10376,nCURSO,DATOS!$D10376,nESPEC,DATOS!$E10376,nASIG,DATOS!$I10376,nEVAL,"OR")=0))</f>
      </c>
      <c r="I10376">
        <f>IF(DATOS!$I10376="","",IFERROR(VLOOKUP(DATOS!$I10376,CONFIG_ASIGNATURAS!$B$2:$J$91,9,FALSE()),""))</f>
      </c>
    </row>
    <row r="10377">
      <c r="F10377">
        <f>IF(DATOS!$A10377="","",DATOS!$A10377&amp;"|"&amp;DATOS!$D10377&amp;"|"&amp;DATOS!$E10377&amp;"|"&amp;DATOS!$I10377)</f>
      </c>
      <c r="G10377">
        <f>IF(DATOS!$A10377="",0,IF(CONFIG_METADATA!$B$4&lt;&gt;"OR+EX",--(DATOS!$G10377=CONFIG_METADATA!$B$4),IF(DATOS!$G10377="EX",1,IF(DATOS!$G10377="OR",--(COUNTIFS(nNIA,DATOS!$A10377,nCURSO,DATOS!$D10377,nESPEC,DATOS!$E10377,nASIG,DATOS!$I10377,nEVAL,"EX")=0),0))))</f>
      </c>
      <c r="H10377">
        <f>IF(DATOS!$G10377&lt;&gt;"EX",0,--(COUNTIFS(nNIA,DATOS!$A10377,nCURSO,DATOS!$D10377,nESPEC,DATOS!$E10377,nASIG,DATOS!$I10377,nEVAL,"OR")=0))</f>
      </c>
      <c r="I10377">
        <f>IF(DATOS!$I10377="","",IFERROR(VLOOKUP(DATOS!$I10377,CONFIG_ASIGNATURAS!$B$2:$J$91,9,FALSE()),""))</f>
      </c>
    </row>
    <row r="10378">
      <c r="F10378">
        <f>IF(DATOS!$A10378="","",DATOS!$A10378&amp;"|"&amp;DATOS!$D10378&amp;"|"&amp;DATOS!$E10378&amp;"|"&amp;DATOS!$I10378)</f>
      </c>
      <c r="G10378">
        <f>IF(DATOS!$A10378="",0,IF(CONFIG_METADATA!$B$4&lt;&gt;"OR+EX",--(DATOS!$G10378=CONFIG_METADATA!$B$4),IF(DATOS!$G10378="EX",1,IF(DATOS!$G10378="OR",--(COUNTIFS(nNIA,DATOS!$A10378,nCURSO,DATOS!$D10378,nESPEC,DATOS!$E10378,nASIG,DATOS!$I10378,nEVAL,"EX")=0),0))))</f>
      </c>
      <c r="H10378">
        <f>IF(DATOS!$G10378&lt;&gt;"EX",0,--(COUNTIFS(nNIA,DATOS!$A10378,nCURSO,DATOS!$D10378,nESPEC,DATOS!$E10378,nASIG,DATOS!$I10378,nEVAL,"OR")=0))</f>
      </c>
      <c r="I10378">
        <f>IF(DATOS!$I10378="","",IFERROR(VLOOKUP(DATOS!$I10378,CONFIG_ASIGNATURAS!$B$2:$J$91,9,FALSE()),""))</f>
      </c>
    </row>
    <row r="10379">
      <c r="F10379">
        <f>IF(DATOS!$A10379="","",DATOS!$A10379&amp;"|"&amp;DATOS!$D10379&amp;"|"&amp;DATOS!$E10379&amp;"|"&amp;DATOS!$I10379)</f>
      </c>
      <c r="G10379">
        <f>IF(DATOS!$A10379="",0,IF(CONFIG_METADATA!$B$4&lt;&gt;"OR+EX",--(DATOS!$G10379=CONFIG_METADATA!$B$4),IF(DATOS!$G10379="EX",1,IF(DATOS!$G10379="OR",--(COUNTIFS(nNIA,DATOS!$A10379,nCURSO,DATOS!$D10379,nESPEC,DATOS!$E10379,nASIG,DATOS!$I10379,nEVAL,"EX")=0),0))))</f>
      </c>
      <c r="H10379">
        <f>IF(DATOS!$G10379&lt;&gt;"EX",0,--(COUNTIFS(nNIA,DATOS!$A10379,nCURSO,DATOS!$D10379,nESPEC,DATOS!$E10379,nASIG,DATOS!$I10379,nEVAL,"OR")=0))</f>
      </c>
      <c r="I10379">
        <f>IF(DATOS!$I10379="","",IFERROR(VLOOKUP(DATOS!$I10379,CONFIG_ASIGNATURAS!$B$2:$J$91,9,FALSE()),""))</f>
      </c>
    </row>
    <row r="10380">
      <c r="F10380">
        <f>IF(DATOS!$A10380="","",DATOS!$A10380&amp;"|"&amp;DATOS!$D10380&amp;"|"&amp;DATOS!$E10380&amp;"|"&amp;DATOS!$I10380)</f>
      </c>
      <c r="G10380">
        <f>IF(DATOS!$A10380="",0,IF(CONFIG_METADATA!$B$4&lt;&gt;"OR+EX",--(DATOS!$G10380=CONFIG_METADATA!$B$4),IF(DATOS!$G10380="EX",1,IF(DATOS!$G10380="OR",--(COUNTIFS(nNIA,DATOS!$A10380,nCURSO,DATOS!$D10380,nESPEC,DATOS!$E10380,nASIG,DATOS!$I10380,nEVAL,"EX")=0),0))))</f>
      </c>
      <c r="H10380">
        <f>IF(DATOS!$G10380&lt;&gt;"EX",0,--(COUNTIFS(nNIA,DATOS!$A10380,nCURSO,DATOS!$D10380,nESPEC,DATOS!$E10380,nASIG,DATOS!$I10380,nEVAL,"OR")=0))</f>
      </c>
      <c r="I10380">
        <f>IF(DATOS!$I10380="","",IFERROR(VLOOKUP(DATOS!$I10380,CONFIG_ASIGNATURAS!$B$2:$J$91,9,FALSE()),""))</f>
      </c>
    </row>
    <row r="10381">
      <c r="F10381">
        <f>IF(DATOS!$A10381="","",DATOS!$A10381&amp;"|"&amp;DATOS!$D10381&amp;"|"&amp;DATOS!$E10381&amp;"|"&amp;DATOS!$I10381)</f>
      </c>
      <c r="G10381">
        <f>IF(DATOS!$A10381="",0,IF(CONFIG_METADATA!$B$4&lt;&gt;"OR+EX",--(DATOS!$G10381=CONFIG_METADATA!$B$4),IF(DATOS!$G10381="EX",1,IF(DATOS!$G10381="OR",--(COUNTIFS(nNIA,DATOS!$A10381,nCURSO,DATOS!$D10381,nESPEC,DATOS!$E10381,nASIG,DATOS!$I10381,nEVAL,"EX")=0),0))))</f>
      </c>
      <c r="H10381">
        <f>IF(DATOS!$G10381&lt;&gt;"EX",0,--(COUNTIFS(nNIA,DATOS!$A10381,nCURSO,DATOS!$D10381,nESPEC,DATOS!$E10381,nASIG,DATOS!$I10381,nEVAL,"OR")=0))</f>
      </c>
      <c r="I10381">
        <f>IF(DATOS!$I10381="","",IFERROR(VLOOKUP(DATOS!$I10381,CONFIG_ASIGNATURAS!$B$2:$J$91,9,FALSE()),""))</f>
      </c>
    </row>
    <row r="10382">
      <c r="F10382">
        <f>IF(DATOS!$A10382="","",DATOS!$A10382&amp;"|"&amp;DATOS!$D10382&amp;"|"&amp;DATOS!$E10382&amp;"|"&amp;DATOS!$I10382)</f>
      </c>
      <c r="G10382">
        <f>IF(DATOS!$A10382="",0,IF(CONFIG_METADATA!$B$4&lt;&gt;"OR+EX",--(DATOS!$G10382=CONFIG_METADATA!$B$4),IF(DATOS!$G10382="EX",1,IF(DATOS!$G10382="OR",--(COUNTIFS(nNIA,DATOS!$A10382,nCURSO,DATOS!$D10382,nESPEC,DATOS!$E10382,nASIG,DATOS!$I10382,nEVAL,"EX")=0),0))))</f>
      </c>
      <c r="H10382">
        <f>IF(DATOS!$G10382&lt;&gt;"EX",0,--(COUNTIFS(nNIA,DATOS!$A10382,nCURSO,DATOS!$D10382,nESPEC,DATOS!$E10382,nASIG,DATOS!$I10382,nEVAL,"OR")=0))</f>
      </c>
      <c r="I10382">
        <f>IF(DATOS!$I10382="","",IFERROR(VLOOKUP(DATOS!$I10382,CONFIG_ASIGNATURAS!$B$2:$J$91,9,FALSE()),""))</f>
      </c>
    </row>
    <row r="10383">
      <c r="F10383">
        <f>IF(DATOS!$A10383="","",DATOS!$A10383&amp;"|"&amp;DATOS!$D10383&amp;"|"&amp;DATOS!$E10383&amp;"|"&amp;DATOS!$I10383)</f>
      </c>
      <c r="G10383">
        <f>IF(DATOS!$A10383="",0,IF(CONFIG_METADATA!$B$4&lt;&gt;"OR+EX",--(DATOS!$G10383=CONFIG_METADATA!$B$4),IF(DATOS!$G10383="EX",1,IF(DATOS!$G10383="OR",--(COUNTIFS(nNIA,DATOS!$A10383,nCURSO,DATOS!$D10383,nESPEC,DATOS!$E10383,nASIG,DATOS!$I10383,nEVAL,"EX")=0),0))))</f>
      </c>
      <c r="H10383">
        <f>IF(DATOS!$G10383&lt;&gt;"EX",0,--(COUNTIFS(nNIA,DATOS!$A10383,nCURSO,DATOS!$D10383,nESPEC,DATOS!$E10383,nASIG,DATOS!$I10383,nEVAL,"OR")=0))</f>
      </c>
      <c r="I10383">
        <f>IF(DATOS!$I10383="","",IFERROR(VLOOKUP(DATOS!$I10383,CONFIG_ASIGNATURAS!$B$2:$J$91,9,FALSE()),""))</f>
      </c>
    </row>
    <row r="10384">
      <c r="F10384">
        <f>IF(DATOS!$A10384="","",DATOS!$A10384&amp;"|"&amp;DATOS!$D10384&amp;"|"&amp;DATOS!$E10384&amp;"|"&amp;DATOS!$I10384)</f>
      </c>
      <c r="G10384">
        <f>IF(DATOS!$A10384="",0,IF(CONFIG_METADATA!$B$4&lt;&gt;"OR+EX",--(DATOS!$G10384=CONFIG_METADATA!$B$4),IF(DATOS!$G10384="EX",1,IF(DATOS!$G10384="OR",--(COUNTIFS(nNIA,DATOS!$A10384,nCURSO,DATOS!$D10384,nESPEC,DATOS!$E10384,nASIG,DATOS!$I10384,nEVAL,"EX")=0),0))))</f>
      </c>
      <c r="H10384">
        <f>IF(DATOS!$G10384&lt;&gt;"EX",0,--(COUNTIFS(nNIA,DATOS!$A10384,nCURSO,DATOS!$D10384,nESPEC,DATOS!$E10384,nASIG,DATOS!$I10384,nEVAL,"OR")=0))</f>
      </c>
      <c r="I10384">
        <f>IF(DATOS!$I10384="","",IFERROR(VLOOKUP(DATOS!$I10384,CONFIG_ASIGNATURAS!$B$2:$J$91,9,FALSE()),""))</f>
      </c>
    </row>
    <row r="10385">
      <c r="F10385">
        <f>IF(DATOS!$A10385="","",DATOS!$A10385&amp;"|"&amp;DATOS!$D10385&amp;"|"&amp;DATOS!$E10385&amp;"|"&amp;DATOS!$I10385)</f>
      </c>
      <c r="G10385">
        <f>IF(DATOS!$A10385="",0,IF(CONFIG_METADATA!$B$4&lt;&gt;"OR+EX",--(DATOS!$G10385=CONFIG_METADATA!$B$4),IF(DATOS!$G10385="EX",1,IF(DATOS!$G10385="OR",--(COUNTIFS(nNIA,DATOS!$A10385,nCURSO,DATOS!$D10385,nESPEC,DATOS!$E10385,nASIG,DATOS!$I10385,nEVAL,"EX")=0),0))))</f>
      </c>
      <c r="H10385">
        <f>IF(DATOS!$G10385&lt;&gt;"EX",0,--(COUNTIFS(nNIA,DATOS!$A10385,nCURSO,DATOS!$D10385,nESPEC,DATOS!$E10385,nASIG,DATOS!$I10385,nEVAL,"OR")=0))</f>
      </c>
      <c r="I10385">
        <f>IF(DATOS!$I10385="","",IFERROR(VLOOKUP(DATOS!$I10385,CONFIG_ASIGNATURAS!$B$2:$J$91,9,FALSE()),""))</f>
      </c>
    </row>
    <row r="10386">
      <c r="F10386">
        <f>IF(DATOS!$A10386="","",DATOS!$A10386&amp;"|"&amp;DATOS!$D10386&amp;"|"&amp;DATOS!$E10386&amp;"|"&amp;DATOS!$I10386)</f>
      </c>
      <c r="G10386">
        <f>IF(DATOS!$A10386="",0,IF(CONFIG_METADATA!$B$4&lt;&gt;"OR+EX",--(DATOS!$G10386=CONFIG_METADATA!$B$4),IF(DATOS!$G10386="EX",1,IF(DATOS!$G10386="OR",--(COUNTIFS(nNIA,DATOS!$A10386,nCURSO,DATOS!$D10386,nESPEC,DATOS!$E10386,nASIG,DATOS!$I10386,nEVAL,"EX")=0),0))))</f>
      </c>
      <c r="H10386">
        <f>IF(DATOS!$G10386&lt;&gt;"EX",0,--(COUNTIFS(nNIA,DATOS!$A10386,nCURSO,DATOS!$D10386,nESPEC,DATOS!$E10386,nASIG,DATOS!$I10386,nEVAL,"OR")=0))</f>
      </c>
      <c r="I10386">
        <f>IF(DATOS!$I10386="","",IFERROR(VLOOKUP(DATOS!$I10386,CONFIG_ASIGNATURAS!$B$2:$J$91,9,FALSE()),""))</f>
      </c>
    </row>
    <row r="10387">
      <c r="F10387">
        <f>IF(DATOS!$A10387="","",DATOS!$A10387&amp;"|"&amp;DATOS!$D10387&amp;"|"&amp;DATOS!$E10387&amp;"|"&amp;DATOS!$I10387)</f>
      </c>
      <c r="G10387">
        <f>IF(DATOS!$A10387="",0,IF(CONFIG_METADATA!$B$4&lt;&gt;"OR+EX",--(DATOS!$G10387=CONFIG_METADATA!$B$4),IF(DATOS!$G10387="EX",1,IF(DATOS!$G10387="OR",--(COUNTIFS(nNIA,DATOS!$A10387,nCURSO,DATOS!$D10387,nESPEC,DATOS!$E10387,nASIG,DATOS!$I10387,nEVAL,"EX")=0),0))))</f>
      </c>
      <c r="H10387">
        <f>IF(DATOS!$G10387&lt;&gt;"EX",0,--(COUNTIFS(nNIA,DATOS!$A10387,nCURSO,DATOS!$D10387,nESPEC,DATOS!$E10387,nASIG,DATOS!$I10387,nEVAL,"OR")=0))</f>
      </c>
      <c r="I10387">
        <f>IF(DATOS!$I10387="","",IFERROR(VLOOKUP(DATOS!$I10387,CONFIG_ASIGNATURAS!$B$2:$J$91,9,FALSE()),""))</f>
      </c>
    </row>
    <row r="10388">
      <c r="F10388">
        <f>IF(DATOS!$A10388="","",DATOS!$A10388&amp;"|"&amp;DATOS!$D10388&amp;"|"&amp;DATOS!$E10388&amp;"|"&amp;DATOS!$I10388)</f>
      </c>
      <c r="G10388">
        <f>IF(DATOS!$A10388="",0,IF(CONFIG_METADATA!$B$4&lt;&gt;"OR+EX",--(DATOS!$G10388=CONFIG_METADATA!$B$4),IF(DATOS!$G10388="EX",1,IF(DATOS!$G10388="OR",--(COUNTIFS(nNIA,DATOS!$A10388,nCURSO,DATOS!$D10388,nESPEC,DATOS!$E10388,nASIG,DATOS!$I10388,nEVAL,"EX")=0),0))))</f>
      </c>
      <c r="H10388">
        <f>IF(DATOS!$G10388&lt;&gt;"EX",0,--(COUNTIFS(nNIA,DATOS!$A10388,nCURSO,DATOS!$D10388,nESPEC,DATOS!$E10388,nASIG,DATOS!$I10388,nEVAL,"OR")=0))</f>
      </c>
      <c r="I10388">
        <f>IF(DATOS!$I10388="","",IFERROR(VLOOKUP(DATOS!$I10388,CONFIG_ASIGNATURAS!$B$2:$J$91,9,FALSE()),""))</f>
      </c>
    </row>
    <row r="10389">
      <c r="F10389">
        <f>IF(DATOS!$A10389="","",DATOS!$A10389&amp;"|"&amp;DATOS!$D10389&amp;"|"&amp;DATOS!$E10389&amp;"|"&amp;DATOS!$I10389)</f>
      </c>
      <c r="G10389">
        <f>IF(DATOS!$A10389="",0,IF(CONFIG_METADATA!$B$4&lt;&gt;"OR+EX",--(DATOS!$G10389=CONFIG_METADATA!$B$4),IF(DATOS!$G10389="EX",1,IF(DATOS!$G10389="OR",--(COUNTIFS(nNIA,DATOS!$A10389,nCURSO,DATOS!$D10389,nESPEC,DATOS!$E10389,nASIG,DATOS!$I10389,nEVAL,"EX")=0),0))))</f>
      </c>
      <c r="H10389">
        <f>IF(DATOS!$G10389&lt;&gt;"EX",0,--(COUNTIFS(nNIA,DATOS!$A10389,nCURSO,DATOS!$D10389,nESPEC,DATOS!$E10389,nASIG,DATOS!$I10389,nEVAL,"OR")=0))</f>
      </c>
      <c r="I10389">
        <f>IF(DATOS!$I10389="","",IFERROR(VLOOKUP(DATOS!$I10389,CONFIG_ASIGNATURAS!$B$2:$J$91,9,FALSE()),""))</f>
      </c>
    </row>
    <row r="10390">
      <c r="F10390">
        <f>IF(DATOS!$A10390="","",DATOS!$A10390&amp;"|"&amp;DATOS!$D10390&amp;"|"&amp;DATOS!$E10390&amp;"|"&amp;DATOS!$I10390)</f>
      </c>
      <c r="G10390">
        <f>IF(DATOS!$A10390="",0,IF(CONFIG_METADATA!$B$4&lt;&gt;"OR+EX",--(DATOS!$G10390=CONFIG_METADATA!$B$4),IF(DATOS!$G10390="EX",1,IF(DATOS!$G10390="OR",--(COUNTIFS(nNIA,DATOS!$A10390,nCURSO,DATOS!$D10390,nESPEC,DATOS!$E10390,nASIG,DATOS!$I10390,nEVAL,"EX")=0),0))))</f>
      </c>
      <c r="H10390">
        <f>IF(DATOS!$G10390&lt;&gt;"EX",0,--(COUNTIFS(nNIA,DATOS!$A10390,nCURSO,DATOS!$D10390,nESPEC,DATOS!$E10390,nASIG,DATOS!$I10390,nEVAL,"OR")=0))</f>
      </c>
      <c r="I10390">
        <f>IF(DATOS!$I10390="","",IFERROR(VLOOKUP(DATOS!$I10390,CONFIG_ASIGNATURAS!$B$2:$J$91,9,FALSE()),""))</f>
      </c>
    </row>
    <row r="10391">
      <c r="F10391">
        <f>IF(DATOS!$A10391="","",DATOS!$A10391&amp;"|"&amp;DATOS!$D10391&amp;"|"&amp;DATOS!$E10391&amp;"|"&amp;DATOS!$I10391)</f>
      </c>
      <c r="G10391">
        <f>IF(DATOS!$A10391="",0,IF(CONFIG_METADATA!$B$4&lt;&gt;"OR+EX",--(DATOS!$G10391=CONFIG_METADATA!$B$4),IF(DATOS!$G10391="EX",1,IF(DATOS!$G10391="OR",--(COUNTIFS(nNIA,DATOS!$A10391,nCURSO,DATOS!$D10391,nESPEC,DATOS!$E10391,nASIG,DATOS!$I10391,nEVAL,"EX")=0),0))))</f>
      </c>
      <c r="H10391">
        <f>IF(DATOS!$G10391&lt;&gt;"EX",0,--(COUNTIFS(nNIA,DATOS!$A10391,nCURSO,DATOS!$D10391,nESPEC,DATOS!$E10391,nASIG,DATOS!$I10391,nEVAL,"OR")=0))</f>
      </c>
      <c r="I10391">
        <f>IF(DATOS!$I10391="","",IFERROR(VLOOKUP(DATOS!$I10391,CONFIG_ASIGNATURAS!$B$2:$J$91,9,FALSE()),""))</f>
      </c>
    </row>
    <row r="10392">
      <c r="F10392">
        <f>IF(DATOS!$A10392="","",DATOS!$A10392&amp;"|"&amp;DATOS!$D10392&amp;"|"&amp;DATOS!$E10392&amp;"|"&amp;DATOS!$I10392)</f>
      </c>
      <c r="G10392">
        <f>IF(DATOS!$A10392="",0,IF(CONFIG_METADATA!$B$4&lt;&gt;"OR+EX",--(DATOS!$G10392=CONFIG_METADATA!$B$4),IF(DATOS!$G10392="EX",1,IF(DATOS!$G10392="OR",--(COUNTIFS(nNIA,DATOS!$A10392,nCURSO,DATOS!$D10392,nESPEC,DATOS!$E10392,nASIG,DATOS!$I10392,nEVAL,"EX")=0),0))))</f>
      </c>
      <c r="H10392">
        <f>IF(DATOS!$G10392&lt;&gt;"EX",0,--(COUNTIFS(nNIA,DATOS!$A10392,nCURSO,DATOS!$D10392,nESPEC,DATOS!$E10392,nASIG,DATOS!$I10392,nEVAL,"OR")=0))</f>
      </c>
      <c r="I10392">
        <f>IF(DATOS!$I10392="","",IFERROR(VLOOKUP(DATOS!$I10392,CONFIG_ASIGNATURAS!$B$2:$J$91,9,FALSE()),""))</f>
      </c>
    </row>
    <row r="10393">
      <c r="F10393">
        <f>IF(DATOS!$A10393="","",DATOS!$A10393&amp;"|"&amp;DATOS!$D10393&amp;"|"&amp;DATOS!$E10393&amp;"|"&amp;DATOS!$I10393)</f>
      </c>
      <c r="G10393">
        <f>IF(DATOS!$A10393="",0,IF(CONFIG_METADATA!$B$4&lt;&gt;"OR+EX",--(DATOS!$G10393=CONFIG_METADATA!$B$4),IF(DATOS!$G10393="EX",1,IF(DATOS!$G10393="OR",--(COUNTIFS(nNIA,DATOS!$A10393,nCURSO,DATOS!$D10393,nESPEC,DATOS!$E10393,nASIG,DATOS!$I10393,nEVAL,"EX")=0),0))))</f>
      </c>
      <c r="H10393">
        <f>IF(DATOS!$G10393&lt;&gt;"EX",0,--(COUNTIFS(nNIA,DATOS!$A10393,nCURSO,DATOS!$D10393,nESPEC,DATOS!$E10393,nASIG,DATOS!$I10393,nEVAL,"OR")=0))</f>
      </c>
      <c r="I10393">
        <f>IF(DATOS!$I10393="","",IFERROR(VLOOKUP(DATOS!$I10393,CONFIG_ASIGNATURAS!$B$2:$J$91,9,FALSE()),""))</f>
      </c>
    </row>
    <row r="10394">
      <c r="F10394">
        <f>IF(DATOS!$A10394="","",DATOS!$A10394&amp;"|"&amp;DATOS!$D10394&amp;"|"&amp;DATOS!$E10394&amp;"|"&amp;DATOS!$I10394)</f>
      </c>
      <c r="G10394">
        <f>IF(DATOS!$A10394="",0,IF(CONFIG_METADATA!$B$4&lt;&gt;"OR+EX",--(DATOS!$G10394=CONFIG_METADATA!$B$4),IF(DATOS!$G10394="EX",1,IF(DATOS!$G10394="OR",--(COUNTIFS(nNIA,DATOS!$A10394,nCURSO,DATOS!$D10394,nESPEC,DATOS!$E10394,nASIG,DATOS!$I10394,nEVAL,"EX")=0),0))))</f>
      </c>
      <c r="H10394">
        <f>IF(DATOS!$G10394&lt;&gt;"EX",0,--(COUNTIFS(nNIA,DATOS!$A10394,nCURSO,DATOS!$D10394,nESPEC,DATOS!$E10394,nASIG,DATOS!$I10394,nEVAL,"OR")=0))</f>
      </c>
      <c r="I10394">
        <f>IF(DATOS!$I10394="","",IFERROR(VLOOKUP(DATOS!$I10394,CONFIG_ASIGNATURAS!$B$2:$J$91,9,FALSE()),""))</f>
      </c>
    </row>
    <row r="10395">
      <c r="F10395">
        <f>IF(DATOS!$A10395="","",DATOS!$A10395&amp;"|"&amp;DATOS!$D10395&amp;"|"&amp;DATOS!$E10395&amp;"|"&amp;DATOS!$I10395)</f>
      </c>
      <c r="G10395">
        <f>IF(DATOS!$A10395="",0,IF(CONFIG_METADATA!$B$4&lt;&gt;"OR+EX",--(DATOS!$G10395=CONFIG_METADATA!$B$4),IF(DATOS!$G10395="EX",1,IF(DATOS!$G10395="OR",--(COUNTIFS(nNIA,DATOS!$A10395,nCURSO,DATOS!$D10395,nESPEC,DATOS!$E10395,nASIG,DATOS!$I10395,nEVAL,"EX")=0),0))))</f>
      </c>
      <c r="H10395">
        <f>IF(DATOS!$G10395&lt;&gt;"EX",0,--(COUNTIFS(nNIA,DATOS!$A10395,nCURSO,DATOS!$D10395,nESPEC,DATOS!$E10395,nASIG,DATOS!$I10395,nEVAL,"OR")=0))</f>
      </c>
      <c r="I10395">
        <f>IF(DATOS!$I10395="","",IFERROR(VLOOKUP(DATOS!$I10395,CONFIG_ASIGNATURAS!$B$2:$J$91,9,FALSE()),""))</f>
      </c>
    </row>
    <row r="10396">
      <c r="F10396">
        <f>IF(DATOS!$A10396="","",DATOS!$A10396&amp;"|"&amp;DATOS!$D10396&amp;"|"&amp;DATOS!$E10396&amp;"|"&amp;DATOS!$I10396)</f>
      </c>
      <c r="G10396">
        <f>IF(DATOS!$A10396="",0,IF(CONFIG_METADATA!$B$4&lt;&gt;"OR+EX",--(DATOS!$G10396=CONFIG_METADATA!$B$4),IF(DATOS!$G10396="EX",1,IF(DATOS!$G10396="OR",--(COUNTIFS(nNIA,DATOS!$A10396,nCURSO,DATOS!$D10396,nESPEC,DATOS!$E10396,nASIG,DATOS!$I10396,nEVAL,"EX")=0),0))))</f>
      </c>
      <c r="H10396">
        <f>IF(DATOS!$G10396&lt;&gt;"EX",0,--(COUNTIFS(nNIA,DATOS!$A10396,nCURSO,DATOS!$D10396,nESPEC,DATOS!$E10396,nASIG,DATOS!$I10396,nEVAL,"OR")=0))</f>
      </c>
      <c r="I10396">
        <f>IF(DATOS!$I10396="","",IFERROR(VLOOKUP(DATOS!$I10396,CONFIG_ASIGNATURAS!$B$2:$J$91,9,FALSE()),""))</f>
      </c>
    </row>
    <row r="10397">
      <c r="F10397">
        <f>IF(DATOS!$A10397="","",DATOS!$A10397&amp;"|"&amp;DATOS!$D10397&amp;"|"&amp;DATOS!$E10397&amp;"|"&amp;DATOS!$I10397)</f>
      </c>
      <c r="G10397">
        <f>IF(DATOS!$A10397="",0,IF(CONFIG_METADATA!$B$4&lt;&gt;"OR+EX",--(DATOS!$G10397=CONFIG_METADATA!$B$4),IF(DATOS!$G10397="EX",1,IF(DATOS!$G10397="OR",--(COUNTIFS(nNIA,DATOS!$A10397,nCURSO,DATOS!$D10397,nESPEC,DATOS!$E10397,nASIG,DATOS!$I10397,nEVAL,"EX")=0),0))))</f>
      </c>
      <c r="H10397">
        <f>IF(DATOS!$G10397&lt;&gt;"EX",0,--(COUNTIFS(nNIA,DATOS!$A10397,nCURSO,DATOS!$D10397,nESPEC,DATOS!$E10397,nASIG,DATOS!$I10397,nEVAL,"OR")=0))</f>
      </c>
      <c r="I10397">
        <f>IF(DATOS!$I10397="","",IFERROR(VLOOKUP(DATOS!$I10397,CONFIG_ASIGNATURAS!$B$2:$J$91,9,FALSE()),""))</f>
      </c>
    </row>
    <row r="10398">
      <c r="F10398">
        <f>IF(DATOS!$A10398="","",DATOS!$A10398&amp;"|"&amp;DATOS!$D10398&amp;"|"&amp;DATOS!$E10398&amp;"|"&amp;DATOS!$I10398)</f>
      </c>
      <c r="G10398">
        <f>IF(DATOS!$A10398="",0,IF(CONFIG_METADATA!$B$4&lt;&gt;"OR+EX",--(DATOS!$G10398=CONFIG_METADATA!$B$4),IF(DATOS!$G10398="EX",1,IF(DATOS!$G10398="OR",--(COUNTIFS(nNIA,DATOS!$A10398,nCURSO,DATOS!$D10398,nESPEC,DATOS!$E10398,nASIG,DATOS!$I10398,nEVAL,"EX")=0),0))))</f>
      </c>
      <c r="H10398">
        <f>IF(DATOS!$G10398&lt;&gt;"EX",0,--(COUNTIFS(nNIA,DATOS!$A10398,nCURSO,DATOS!$D10398,nESPEC,DATOS!$E10398,nASIG,DATOS!$I10398,nEVAL,"OR")=0))</f>
      </c>
      <c r="I10398">
        <f>IF(DATOS!$I10398="","",IFERROR(VLOOKUP(DATOS!$I10398,CONFIG_ASIGNATURAS!$B$2:$J$91,9,FALSE()),""))</f>
      </c>
    </row>
    <row r="10399">
      <c r="F10399">
        <f>IF(DATOS!$A10399="","",DATOS!$A10399&amp;"|"&amp;DATOS!$D10399&amp;"|"&amp;DATOS!$E10399&amp;"|"&amp;DATOS!$I10399)</f>
      </c>
      <c r="G10399">
        <f>IF(DATOS!$A10399="",0,IF(CONFIG_METADATA!$B$4&lt;&gt;"OR+EX",--(DATOS!$G10399=CONFIG_METADATA!$B$4),IF(DATOS!$G10399="EX",1,IF(DATOS!$G10399="OR",--(COUNTIFS(nNIA,DATOS!$A10399,nCURSO,DATOS!$D10399,nESPEC,DATOS!$E10399,nASIG,DATOS!$I10399,nEVAL,"EX")=0),0))))</f>
      </c>
      <c r="H10399">
        <f>IF(DATOS!$G10399&lt;&gt;"EX",0,--(COUNTIFS(nNIA,DATOS!$A10399,nCURSO,DATOS!$D10399,nESPEC,DATOS!$E10399,nASIG,DATOS!$I10399,nEVAL,"OR")=0))</f>
      </c>
      <c r="I10399">
        <f>IF(DATOS!$I10399="","",IFERROR(VLOOKUP(DATOS!$I10399,CONFIG_ASIGNATURAS!$B$2:$J$91,9,FALSE()),""))</f>
      </c>
    </row>
    <row r="10400">
      <c r="F10400">
        <f>IF(DATOS!$A10400="","",DATOS!$A10400&amp;"|"&amp;DATOS!$D10400&amp;"|"&amp;DATOS!$E10400&amp;"|"&amp;DATOS!$I10400)</f>
      </c>
      <c r="G10400">
        <f>IF(DATOS!$A10400="",0,IF(CONFIG_METADATA!$B$4&lt;&gt;"OR+EX",--(DATOS!$G10400=CONFIG_METADATA!$B$4),IF(DATOS!$G10400="EX",1,IF(DATOS!$G10400="OR",--(COUNTIFS(nNIA,DATOS!$A10400,nCURSO,DATOS!$D10400,nESPEC,DATOS!$E10400,nASIG,DATOS!$I10400,nEVAL,"EX")=0),0))))</f>
      </c>
      <c r="H10400">
        <f>IF(DATOS!$G10400&lt;&gt;"EX",0,--(COUNTIFS(nNIA,DATOS!$A10400,nCURSO,DATOS!$D10400,nESPEC,DATOS!$E10400,nASIG,DATOS!$I10400,nEVAL,"OR")=0))</f>
      </c>
      <c r="I10400">
        <f>IF(DATOS!$I10400="","",IFERROR(VLOOKUP(DATOS!$I10400,CONFIG_ASIGNATURAS!$B$2:$J$91,9,FALSE()),""))</f>
      </c>
    </row>
    <row r="10401">
      <c r="F10401">
        <f>IF(DATOS!$A10401="","",DATOS!$A10401&amp;"|"&amp;DATOS!$D10401&amp;"|"&amp;DATOS!$E10401&amp;"|"&amp;DATOS!$I10401)</f>
      </c>
      <c r="G10401">
        <f>IF(DATOS!$A10401="",0,IF(CONFIG_METADATA!$B$4&lt;&gt;"OR+EX",--(DATOS!$G10401=CONFIG_METADATA!$B$4),IF(DATOS!$G10401="EX",1,IF(DATOS!$G10401="OR",--(COUNTIFS(nNIA,DATOS!$A10401,nCURSO,DATOS!$D10401,nESPEC,DATOS!$E10401,nASIG,DATOS!$I10401,nEVAL,"EX")=0),0))))</f>
      </c>
      <c r="H10401">
        <f>IF(DATOS!$G10401&lt;&gt;"EX",0,--(COUNTIFS(nNIA,DATOS!$A10401,nCURSO,DATOS!$D10401,nESPEC,DATOS!$E10401,nASIG,DATOS!$I10401,nEVAL,"OR")=0))</f>
      </c>
      <c r="I10401">
        <f>IF(DATOS!$I10401="","",IFERROR(VLOOKUP(DATOS!$I10401,CONFIG_ASIGNATURAS!$B$2:$J$91,9,FALSE()),""))</f>
      </c>
    </row>
    <row r="10402">
      <c r="F10402">
        <f>IF(DATOS!$A10402="","",DATOS!$A10402&amp;"|"&amp;DATOS!$D10402&amp;"|"&amp;DATOS!$E10402&amp;"|"&amp;DATOS!$I10402)</f>
      </c>
      <c r="G10402">
        <f>IF(DATOS!$A10402="",0,IF(CONFIG_METADATA!$B$4&lt;&gt;"OR+EX",--(DATOS!$G10402=CONFIG_METADATA!$B$4),IF(DATOS!$G10402="EX",1,IF(DATOS!$G10402="OR",--(COUNTIFS(nNIA,DATOS!$A10402,nCURSO,DATOS!$D10402,nESPEC,DATOS!$E10402,nASIG,DATOS!$I10402,nEVAL,"EX")=0),0))))</f>
      </c>
      <c r="H10402">
        <f>IF(DATOS!$G10402&lt;&gt;"EX",0,--(COUNTIFS(nNIA,DATOS!$A10402,nCURSO,DATOS!$D10402,nESPEC,DATOS!$E10402,nASIG,DATOS!$I10402,nEVAL,"OR")=0))</f>
      </c>
      <c r="I10402">
        <f>IF(DATOS!$I10402="","",IFERROR(VLOOKUP(DATOS!$I10402,CONFIG_ASIGNATURAS!$B$2:$J$91,9,FALSE()),""))</f>
      </c>
    </row>
    <row r="10403">
      <c r="F10403">
        <f>IF(DATOS!$A10403="","",DATOS!$A10403&amp;"|"&amp;DATOS!$D10403&amp;"|"&amp;DATOS!$E10403&amp;"|"&amp;DATOS!$I10403)</f>
      </c>
      <c r="G10403">
        <f>IF(DATOS!$A10403="",0,IF(CONFIG_METADATA!$B$4&lt;&gt;"OR+EX",--(DATOS!$G10403=CONFIG_METADATA!$B$4),IF(DATOS!$G10403="EX",1,IF(DATOS!$G10403="OR",--(COUNTIFS(nNIA,DATOS!$A10403,nCURSO,DATOS!$D10403,nESPEC,DATOS!$E10403,nASIG,DATOS!$I10403,nEVAL,"EX")=0),0))))</f>
      </c>
      <c r="H10403">
        <f>IF(DATOS!$G10403&lt;&gt;"EX",0,--(COUNTIFS(nNIA,DATOS!$A10403,nCURSO,DATOS!$D10403,nESPEC,DATOS!$E10403,nASIG,DATOS!$I10403,nEVAL,"OR")=0))</f>
      </c>
      <c r="I10403">
        <f>IF(DATOS!$I10403="","",IFERROR(VLOOKUP(DATOS!$I10403,CONFIG_ASIGNATURAS!$B$2:$J$91,9,FALSE()),""))</f>
      </c>
    </row>
    <row r="10404">
      <c r="F10404">
        <f>IF(DATOS!$A10404="","",DATOS!$A10404&amp;"|"&amp;DATOS!$D10404&amp;"|"&amp;DATOS!$E10404&amp;"|"&amp;DATOS!$I10404)</f>
      </c>
      <c r="G10404">
        <f>IF(DATOS!$A10404="",0,IF(CONFIG_METADATA!$B$4&lt;&gt;"OR+EX",--(DATOS!$G10404=CONFIG_METADATA!$B$4),IF(DATOS!$G10404="EX",1,IF(DATOS!$G10404="OR",--(COUNTIFS(nNIA,DATOS!$A10404,nCURSO,DATOS!$D10404,nESPEC,DATOS!$E10404,nASIG,DATOS!$I10404,nEVAL,"EX")=0),0))))</f>
      </c>
      <c r="H10404">
        <f>IF(DATOS!$G10404&lt;&gt;"EX",0,--(COUNTIFS(nNIA,DATOS!$A10404,nCURSO,DATOS!$D10404,nESPEC,DATOS!$E10404,nASIG,DATOS!$I10404,nEVAL,"OR")=0))</f>
      </c>
      <c r="I10404">
        <f>IF(DATOS!$I10404="","",IFERROR(VLOOKUP(DATOS!$I10404,CONFIG_ASIGNATURAS!$B$2:$J$91,9,FALSE()),""))</f>
      </c>
    </row>
    <row r="10405">
      <c r="F10405">
        <f>IF(DATOS!$A10405="","",DATOS!$A10405&amp;"|"&amp;DATOS!$D10405&amp;"|"&amp;DATOS!$E10405&amp;"|"&amp;DATOS!$I10405)</f>
      </c>
      <c r="G10405">
        <f>IF(DATOS!$A10405="",0,IF(CONFIG_METADATA!$B$4&lt;&gt;"OR+EX",--(DATOS!$G10405=CONFIG_METADATA!$B$4),IF(DATOS!$G10405="EX",1,IF(DATOS!$G10405="OR",--(COUNTIFS(nNIA,DATOS!$A10405,nCURSO,DATOS!$D10405,nESPEC,DATOS!$E10405,nASIG,DATOS!$I10405,nEVAL,"EX")=0),0))))</f>
      </c>
      <c r="H10405">
        <f>IF(DATOS!$G10405&lt;&gt;"EX",0,--(COUNTIFS(nNIA,DATOS!$A10405,nCURSO,DATOS!$D10405,nESPEC,DATOS!$E10405,nASIG,DATOS!$I10405,nEVAL,"OR")=0))</f>
      </c>
      <c r="I10405">
        <f>IF(DATOS!$I10405="","",IFERROR(VLOOKUP(DATOS!$I10405,CONFIG_ASIGNATURAS!$B$2:$J$91,9,FALSE()),""))</f>
      </c>
    </row>
    <row r="10406">
      <c r="F10406">
        <f>IF(DATOS!$A10406="","",DATOS!$A10406&amp;"|"&amp;DATOS!$D10406&amp;"|"&amp;DATOS!$E10406&amp;"|"&amp;DATOS!$I10406)</f>
      </c>
      <c r="G10406">
        <f>IF(DATOS!$A10406="",0,IF(CONFIG_METADATA!$B$4&lt;&gt;"OR+EX",--(DATOS!$G10406=CONFIG_METADATA!$B$4),IF(DATOS!$G10406="EX",1,IF(DATOS!$G10406="OR",--(COUNTIFS(nNIA,DATOS!$A10406,nCURSO,DATOS!$D10406,nESPEC,DATOS!$E10406,nASIG,DATOS!$I10406,nEVAL,"EX")=0),0))))</f>
      </c>
      <c r="H10406">
        <f>IF(DATOS!$G10406&lt;&gt;"EX",0,--(COUNTIFS(nNIA,DATOS!$A10406,nCURSO,DATOS!$D10406,nESPEC,DATOS!$E10406,nASIG,DATOS!$I10406,nEVAL,"OR")=0))</f>
      </c>
      <c r="I10406">
        <f>IF(DATOS!$I10406="","",IFERROR(VLOOKUP(DATOS!$I10406,CONFIG_ASIGNATURAS!$B$2:$J$91,9,FALSE()),""))</f>
      </c>
    </row>
    <row r="10407">
      <c r="F10407">
        <f>IF(DATOS!$A10407="","",DATOS!$A10407&amp;"|"&amp;DATOS!$D10407&amp;"|"&amp;DATOS!$E10407&amp;"|"&amp;DATOS!$I10407)</f>
      </c>
      <c r="G10407">
        <f>IF(DATOS!$A10407="",0,IF(CONFIG_METADATA!$B$4&lt;&gt;"OR+EX",--(DATOS!$G10407=CONFIG_METADATA!$B$4),IF(DATOS!$G10407="EX",1,IF(DATOS!$G10407="OR",--(COUNTIFS(nNIA,DATOS!$A10407,nCURSO,DATOS!$D10407,nESPEC,DATOS!$E10407,nASIG,DATOS!$I10407,nEVAL,"EX")=0),0))))</f>
      </c>
      <c r="H10407">
        <f>IF(DATOS!$G10407&lt;&gt;"EX",0,--(COUNTIFS(nNIA,DATOS!$A10407,nCURSO,DATOS!$D10407,nESPEC,DATOS!$E10407,nASIG,DATOS!$I10407,nEVAL,"OR")=0))</f>
      </c>
      <c r="I10407">
        <f>IF(DATOS!$I10407="","",IFERROR(VLOOKUP(DATOS!$I10407,CONFIG_ASIGNATURAS!$B$2:$J$91,9,FALSE()),""))</f>
      </c>
    </row>
    <row r="10408">
      <c r="F10408">
        <f>IF(DATOS!$A10408="","",DATOS!$A10408&amp;"|"&amp;DATOS!$D10408&amp;"|"&amp;DATOS!$E10408&amp;"|"&amp;DATOS!$I10408)</f>
      </c>
      <c r="G10408">
        <f>IF(DATOS!$A10408="",0,IF(CONFIG_METADATA!$B$4&lt;&gt;"OR+EX",--(DATOS!$G10408=CONFIG_METADATA!$B$4),IF(DATOS!$G10408="EX",1,IF(DATOS!$G10408="OR",--(COUNTIFS(nNIA,DATOS!$A10408,nCURSO,DATOS!$D10408,nESPEC,DATOS!$E10408,nASIG,DATOS!$I10408,nEVAL,"EX")=0),0))))</f>
      </c>
      <c r="H10408">
        <f>IF(DATOS!$G10408&lt;&gt;"EX",0,--(COUNTIFS(nNIA,DATOS!$A10408,nCURSO,DATOS!$D10408,nESPEC,DATOS!$E10408,nASIG,DATOS!$I10408,nEVAL,"OR")=0))</f>
      </c>
      <c r="I10408">
        <f>IF(DATOS!$I10408="","",IFERROR(VLOOKUP(DATOS!$I10408,CONFIG_ASIGNATURAS!$B$2:$J$91,9,FALSE()),""))</f>
      </c>
    </row>
    <row r="10409">
      <c r="F10409">
        <f>IF(DATOS!$A10409="","",DATOS!$A10409&amp;"|"&amp;DATOS!$D10409&amp;"|"&amp;DATOS!$E10409&amp;"|"&amp;DATOS!$I10409)</f>
      </c>
      <c r="G10409">
        <f>IF(DATOS!$A10409="",0,IF(CONFIG_METADATA!$B$4&lt;&gt;"OR+EX",--(DATOS!$G10409=CONFIG_METADATA!$B$4),IF(DATOS!$G10409="EX",1,IF(DATOS!$G10409="OR",--(COUNTIFS(nNIA,DATOS!$A10409,nCURSO,DATOS!$D10409,nESPEC,DATOS!$E10409,nASIG,DATOS!$I10409,nEVAL,"EX")=0),0))))</f>
      </c>
      <c r="H10409">
        <f>IF(DATOS!$G10409&lt;&gt;"EX",0,--(COUNTIFS(nNIA,DATOS!$A10409,nCURSO,DATOS!$D10409,nESPEC,DATOS!$E10409,nASIG,DATOS!$I10409,nEVAL,"OR")=0))</f>
      </c>
      <c r="I10409">
        <f>IF(DATOS!$I10409="","",IFERROR(VLOOKUP(DATOS!$I10409,CONFIG_ASIGNATURAS!$B$2:$J$91,9,FALSE()),""))</f>
      </c>
    </row>
    <row r="10410">
      <c r="F10410">
        <f>IF(DATOS!$A10410="","",DATOS!$A10410&amp;"|"&amp;DATOS!$D10410&amp;"|"&amp;DATOS!$E10410&amp;"|"&amp;DATOS!$I10410)</f>
      </c>
      <c r="G10410">
        <f>IF(DATOS!$A10410="",0,IF(CONFIG_METADATA!$B$4&lt;&gt;"OR+EX",--(DATOS!$G10410=CONFIG_METADATA!$B$4),IF(DATOS!$G10410="EX",1,IF(DATOS!$G10410="OR",--(COUNTIFS(nNIA,DATOS!$A10410,nCURSO,DATOS!$D10410,nESPEC,DATOS!$E10410,nASIG,DATOS!$I10410,nEVAL,"EX")=0),0))))</f>
      </c>
      <c r="H10410">
        <f>IF(DATOS!$G10410&lt;&gt;"EX",0,--(COUNTIFS(nNIA,DATOS!$A10410,nCURSO,DATOS!$D10410,nESPEC,DATOS!$E10410,nASIG,DATOS!$I10410,nEVAL,"OR")=0))</f>
      </c>
      <c r="I10410">
        <f>IF(DATOS!$I10410="","",IFERROR(VLOOKUP(DATOS!$I10410,CONFIG_ASIGNATURAS!$B$2:$J$91,9,FALSE()),""))</f>
      </c>
    </row>
    <row r="10411">
      <c r="F10411">
        <f>IF(DATOS!$A10411="","",DATOS!$A10411&amp;"|"&amp;DATOS!$D10411&amp;"|"&amp;DATOS!$E10411&amp;"|"&amp;DATOS!$I10411)</f>
      </c>
      <c r="G10411">
        <f>IF(DATOS!$A10411="",0,IF(CONFIG_METADATA!$B$4&lt;&gt;"OR+EX",--(DATOS!$G10411=CONFIG_METADATA!$B$4),IF(DATOS!$G10411="EX",1,IF(DATOS!$G10411="OR",--(COUNTIFS(nNIA,DATOS!$A10411,nCURSO,DATOS!$D10411,nESPEC,DATOS!$E10411,nASIG,DATOS!$I10411,nEVAL,"EX")=0),0))))</f>
      </c>
      <c r="H10411">
        <f>IF(DATOS!$G10411&lt;&gt;"EX",0,--(COUNTIFS(nNIA,DATOS!$A10411,nCURSO,DATOS!$D10411,nESPEC,DATOS!$E10411,nASIG,DATOS!$I10411,nEVAL,"OR")=0))</f>
      </c>
      <c r="I10411">
        <f>IF(DATOS!$I10411="","",IFERROR(VLOOKUP(DATOS!$I10411,CONFIG_ASIGNATURAS!$B$2:$J$91,9,FALSE()),""))</f>
      </c>
    </row>
    <row r="10412">
      <c r="F10412">
        <f>IF(DATOS!$A10412="","",DATOS!$A10412&amp;"|"&amp;DATOS!$D10412&amp;"|"&amp;DATOS!$E10412&amp;"|"&amp;DATOS!$I10412)</f>
      </c>
      <c r="G10412">
        <f>IF(DATOS!$A10412="",0,IF(CONFIG_METADATA!$B$4&lt;&gt;"OR+EX",--(DATOS!$G10412=CONFIG_METADATA!$B$4),IF(DATOS!$G10412="EX",1,IF(DATOS!$G10412="OR",--(COUNTIFS(nNIA,DATOS!$A10412,nCURSO,DATOS!$D10412,nESPEC,DATOS!$E10412,nASIG,DATOS!$I10412,nEVAL,"EX")=0),0))))</f>
      </c>
      <c r="H10412">
        <f>IF(DATOS!$G10412&lt;&gt;"EX",0,--(COUNTIFS(nNIA,DATOS!$A10412,nCURSO,DATOS!$D10412,nESPEC,DATOS!$E10412,nASIG,DATOS!$I10412,nEVAL,"OR")=0))</f>
      </c>
      <c r="I10412">
        <f>IF(DATOS!$I10412="","",IFERROR(VLOOKUP(DATOS!$I10412,CONFIG_ASIGNATURAS!$B$2:$J$91,9,FALSE()),""))</f>
      </c>
    </row>
    <row r="10413">
      <c r="F10413">
        <f>IF(DATOS!$A10413="","",DATOS!$A10413&amp;"|"&amp;DATOS!$D10413&amp;"|"&amp;DATOS!$E10413&amp;"|"&amp;DATOS!$I10413)</f>
      </c>
      <c r="G10413">
        <f>IF(DATOS!$A10413="",0,IF(CONFIG_METADATA!$B$4&lt;&gt;"OR+EX",--(DATOS!$G10413=CONFIG_METADATA!$B$4),IF(DATOS!$G10413="EX",1,IF(DATOS!$G10413="OR",--(COUNTIFS(nNIA,DATOS!$A10413,nCURSO,DATOS!$D10413,nESPEC,DATOS!$E10413,nASIG,DATOS!$I10413,nEVAL,"EX")=0),0))))</f>
      </c>
      <c r="H10413">
        <f>IF(DATOS!$G10413&lt;&gt;"EX",0,--(COUNTIFS(nNIA,DATOS!$A10413,nCURSO,DATOS!$D10413,nESPEC,DATOS!$E10413,nASIG,DATOS!$I10413,nEVAL,"OR")=0))</f>
      </c>
      <c r="I10413">
        <f>IF(DATOS!$I10413="","",IFERROR(VLOOKUP(DATOS!$I10413,CONFIG_ASIGNATURAS!$B$2:$J$91,9,FALSE()),""))</f>
      </c>
    </row>
    <row r="10414">
      <c r="F10414">
        <f>IF(DATOS!$A10414="","",DATOS!$A10414&amp;"|"&amp;DATOS!$D10414&amp;"|"&amp;DATOS!$E10414&amp;"|"&amp;DATOS!$I10414)</f>
      </c>
      <c r="G10414">
        <f>IF(DATOS!$A10414="",0,IF(CONFIG_METADATA!$B$4&lt;&gt;"OR+EX",--(DATOS!$G10414=CONFIG_METADATA!$B$4),IF(DATOS!$G10414="EX",1,IF(DATOS!$G10414="OR",--(COUNTIFS(nNIA,DATOS!$A10414,nCURSO,DATOS!$D10414,nESPEC,DATOS!$E10414,nASIG,DATOS!$I10414,nEVAL,"EX")=0),0))))</f>
      </c>
      <c r="H10414">
        <f>IF(DATOS!$G10414&lt;&gt;"EX",0,--(COUNTIFS(nNIA,DATOS!$A10414,nCURSO,DATOS!$D10414,nESPEC,DATOS!$E10414,nASIG,DATOS!$I10414,nEVAL,"OR")=0))</f>
      </c>
      <c r="I10414">
        <f>IF(DATOS!$I10414="","",IFERROR(VLOOKUP(DATOS!$I10414,CONFIG_ASIGNATURAS!$B$2:$J$91,9,FALSE()),""))</f>
      </c>
    </row>
    <row r="10415">
      <c r="F10415">
        <f>IF(DATOS!$A10415="","",DATOS!$A10415&amp;"|"&amp;DATOS!$D10415&amp;"|"&amp;DATOS!$E10415&amp;"|"&amp;DATOS!$I10415)</f>
      </c>
      <c r="G10415">
        <f>IF(DATOS!$A10415="",0,IF(CONFIG_METADATA!$B$4&lt;&gt;"OR+EX",--(DATOS!$G10415=CONFIG_METADATA!$B$4),IF(DATOS!$G10415="EX",1,IF(DATOS!$G10415="OR",--(COUNTIFS(nNIA,DATOS!$A10415,nCURSO,DATOS!$D10415,nESPEC,DATOS!$E10415,nASIG,DATOS!$I10415,nEVAL,"EX")=0),0))))</f>
      </c>
      <c r="H10415">
        <f>IF(DATOS!$G10415&lt;&gt;"EX",0,--(COUNTIFS(nNIA,DATOS!$A10415,nCURSO,DATOS!$D10415,nESPEC,DATOS!$E10415,nASIG,DATOS!$I10415,nEVAL,"OR")=0))</f>
      </c>
      <c r="I10415">
        <f>IF(DATOS!$I10415="","",IFERROR(VLOOKUP(DATOS!$I10415,CONFIG_ASIGNATURAS!$B$2:$J$91,9,FALSE()),""))</f>
      </c>
    </row>
    <row r="10416">
      <c r="F10416">
        <f>IF(DATOS!$A10416="","",DATOS!$A10416&amp;"|"&amp;DATOS!$D10416&amp;"|"&amp;DATOS!$E10416&amp;"|"&amp;DATOS!$I10416)</f>
      </c>
      <c r="G10416">
        <f>IF(DATOS!$A10416="",0,IF(CONFIG_METADATA!$B$4&lt;&gt;"OR+EX",--(DATOS!$G10416=CONFIG_METADATA!$B$4),IF(DATOS!$G10416="EX",1,IF(DATOS!$G10416="OR",--(COUNTIFS(nNIA,DATOS!$A10416,nCURSO,DATOS!$D10416,nESPEC,DATOS!$E10416,nASIG,DATOS!$I10416,nEVAL,"EX")=0),0))))</f>
      </c>
      <c r="H10416">
        <f>IF(DATOS!$G10416&lt;&gt;"EX",0,--(COUNTIFS(nNIA,DATOS!$A10416,nCURSO,DATOS!$D10416,nESPEC,DATOS!$E10416,nASIG,DATOS!$I10416,nEVAL,"OR")=0))</f>
      </c>
      <c r="I10416">
        <f>IF(DATOS!$I10416="","",IFERROR(VLOOKUP(DATOS!$I10416,CONFIG_ASIGNATURAS!$B$2:$J$91,9,FALSE()),""))</f>
      </c>
    </row>
    <row r="10417">
      <c r="F10417">
        <f>IF(DATOS!$A10417="","",DATOS!$A10417&amp;"|"&amp;DATOS!$D10417&amp;"|"&amp;DATOS!$E10417&amp;"|"&amp;DATOS!$I10417)</f>
      </c>
      <c r="G10417">
        <f>IF(DATOS!$A10417="",0,IF(CONFIG_METADATA!$B$4&lt;&gt;"OR+EX",--(DATOS!$G10417=CONFIG_METADATA!$B$4),IF(DATOS!$G10417="EX",1,IF(DATOS!$G10417="OR",--(COUNTIFS(nNIA,DATOS!$A10417,nCURSO,DATOS!$D10417,nESPEC,DATOS!$E10417,nASIG,DATOS!$I10417,nEVAL,"EX")=0),0))))</f>
      </c>
      <c r="H10417">
        <f>IF(DATOS!$G10417&lt;&gt;"EX",0,--(COUNTIFS(nNIA,DATOS!$A10417,nCURSO,DATOS!$D10417,nESPEC,DATOS!$E10417,nASIG,DATOS!$I10417,nEVAL,"OR")=0))</f>
      </c>
      <c r="I10417">
        <f>IF(DATOS!$I10417="","",IFERROR(VLOOKUP(DATOS!$I10417,CONFIG_ASIGNATURAS!$B$2:$J$91,9,FALSE()),""))</f>
      </c>
    </row>
    <row r="10418">
      <c r="F10418">
        <f>IF(DATOS!$A10418="","",DATOS!$A10418&amp;"|"&amp;DATOS!$D10418&amp;"|"&amp;DATOS!$E10418&amp;"|"&amp;DATOS!$I10418)</f>
      </c>
      <c r="G10418">
        <f>IF(DATOS!$A10418="",0,IF(CONFIG_METADATA!$B$4&lt;&gt;"OR+EX",--(DATOS!$G10418=CONFIG_METADATA!$B$4),IF(DATOS!$G10418="EX",1,IF(DATOS!$G10418="OR",--(COUNTIFS(nNIA,DATOS!$A10418,nCURSO,DATOS!$D10418,nESPEC,DATOS!$E10418,nASIG,DATOS!$I10418,nEVAL,"EX")=0),0))))</f>
      </c>
      <c r="H10418">
        <f>IF(DATOS!$G10418&lt;&gt;"EX",0,--(COUNTIFS(nNIA,DATOS!$A10418,nCURSO,DATOS!$D10418,nESPEC,DATOS!$E10418,nASIG,DATOS!$I10418,nEVAL,"OR")=0))</f>
      </c>
      <c r="I10418">
        <f>IF(DATOS!$I10418="","",IFERROR(VLOOKUP(DATOS!$I10418,CONFIG_ASIGNATURAS!$B$2:$J$91,9,FALSE()),""))</f>
      </c>
    </row>
    <row r="10419">
      <c r="F10419">
        <f>IF(DATOS!$A10419="","",DATOS!$A10419&amp;"|"&amp;DATOS!$D10419&amp;"|"&amp;DATOS!$E10419&amp;"|"&amp;DATOS!$I10419)</f>
      </c>
      <c r="G10419">
        <f>IF(DATOS!$A10419="",0,IF(CONFIG_METADATA!$B$4&lt;&gt;"OR+EX",--(DATOS!$G10419=CONFIG_METADATA!$B$4),IF(DATOS!$G10419="EX",1,IF(DATOS!$G10419="OR",--(COUNTIFS(nNIA,DATOS!$A10419,nCURSO,DATOS!$D10419,nESPEC,DATOS!$E10419,nASIG,DATOS!$I10419,nEVAL,"EX")=0),0))))</f>
      </c>
      <c r="H10419">
        <f>IF(DATOS!$G10419&lt;&gt;"EX",0,--(COUNTIFS(nNIA,DATOS!$A10419,nCURSO,DATOS!$D10419,nESPEC,DATOS!$E10419,nASIG,DATOS!$I10419,nEVAL,"OR")=0))</f>
      </c>
      <c r="I10419">
        <f>IF(DATOS!$I10419="","",IFERROR(VLOOKUP(DATOS!$I10419,CONFIG_ASIGNATURAS!$B$2:$J$91,9,FALSE()),""))</f>
      </c>
    </row>
    <row r="10420">
      <c r="F10420">
        <f>IF(DATOS!$A10420="","",DATOS!$A10420&amp;"|"&amp;DATOS!$D10420&amp;"|"&amp;DATOS!$E10420&amp;"|"&amp;DATOS!$I10420)</f>
      </c>
      <c r="G10420">
        <f>IF(DATOS!$A10420="",0,IF(CONFIG_METADATA!$B$4&lt;&gt;"OR+EX",--(DATOS!$G10420=CONFIG_METADATA!$B$4),IF(DATOS!$G10420="EX",1,IF(DATOS!$G10420="OR",--(COUNTIFS(nNIA,DATOS!$A10420,nCURSO,DATOS!$D10420,nESPEC,DATOS!$E10420,nASIG,DATOS!$I10420,nEVAL,"EX")=0),0))))</f>
      </c>
      <c r="H10420">
        <f>IF(DATOS!$G10420&lt;&gt;"EX",0,--(COUNTIFS(nNIA,DATOS!$A10420,nCURSO,DATOS!$D10420,nESPEC,DATOS!$E10420,nASIG,DATOS!$I10420,nEVAL,"OR")=0))</f>
      </c>
      <c r="I10420">
        <f>IF(DATOS!$I10420="","",IFERROR(VLOOKUP(DATOS!$I10420,CONFIG_ASIGNATURAS!$B$2:$J$91,9,FALSE()),""))</f>
      </c>
    </row>
    <row r="10421">
      <c r="F10421">
        <f>IF(DATOS!$A10421="","",DATOS!$A10421&amp;"|"&amp;DATOS!$D10421&amp;"|"&amp;DATOS!$E10421&amp;"|"&amp;DATOS!$I10421)</f>
      </c>
      <c r="G10421">
        <f>IF(DATOS!$A10421="",0,IF(CONFIG_METADATA!$B$4&lt;&gt;"OR+EX",--(DATOS!$G10421=CONFIG_METADATA!$B$4),IF(DATOS!$G10421="EX",1,IF(DATOS!$G10421="OR",--(COUNTIFS(nNIA,DATOS!$A10421,nCURSO,DATOS!$D10421,nESPEC,DATOS!$E10421,nASIG,DATOS!$I10421,nEVAL,"EX")=0),0))))</f>
      </c>
      <c r="H10421">
        <f>IF(DATOS!$G10421&lt;&gt;"EX",0,--(COUNTIFS(nNIA,DATOS!$A10421,nCURSO,DATOS!$D10421,nESPEC,DATOS!$E10421,nASIG,DATOS!$I10421,nEVAL,"OR")=0))</f>
      </c>
      <c r="I10421">
        <f>IF(DATOS!$I10421="","",IFERROR(VLOOKUP(DATOS!$I10421,CONFIG_ASIGNATURAS!$B$2:$J$91,9,FALSE()),""))</f>
      </c>
    </row>
    <row r="10422">
      <c r="F10422">
        <f>IF(DATOS!$A10422="","",DATOS!$A10422&amp;"|"&amp;DATOS!$D10422&amp;"|"&amp;DATOS!$E10422&amp;"|"&amp;DATOS!$I10422)</f>
      </c>
      <c r="G10422">
        <f>IF(DATOS!$A10422="",0,IF(CONFIG_METADATA!$B$4&lt;&gt;"OR+EX",--(DATOS!$G10422=CONFIG_METADATA!$B$4),IF(DATOS!$G10422="EX",1,IF(DATOS!$G10422="OR",--(COUNTIFS(nNIA,DATOS!$A10422,nCURSO,DATOS!$D10422,nESPEC,DATOS!$E10422,nASIG,DATOS!$I10422,nEVAL,"EX")=0),0))))</f>
      </c>
      <c r="H10422">
        <f>IF(DATOS!$G10422&lt;&gt;"EX",0,--(COUNTIFS(nNIA,DATOS!$A10422,nCURSO,DATOS!$D10422,nESPEC,DATOS!$E10422,nASIG,DATOS!$I10422,nEVAL,"OR")=0))</f>
      </c>
      <c r="I10422">
        <f>IF(DATOS!$I10422="","",IFERROR(VLOOKUP(DATOS!$I10422,CONFIG_ASIGNATURAS!$B$2:$J$91,9,FALSE()),""))</f>
      </c>
    </row>
    <row r="10423">
      <c r="F10423">
        <f>IF(DATOS!$A10423="","",DATOS!$A10423&amp;"|"&amp;DATOS!$D10423&amp;"|"&amp;DATOS!$E10423&amp;"|"&amp;DATOS!$I10423)</f>
      </c>
      <c r="G10423">
        <f>IF(DATOS!$A10423="",0,IF(CONFIG_METADATA!$B$4&lt;&gt;"OR+EX",--(DATOS!$G10423=CONFIG_METADATA!$B$4),IF(DATOS!$G10423="EX",1,IF(DATOS!$G10423="OR",--(COUNTIFS(nNIA,DATOS!$A10423,nCURSO,DATOS!$D10423,nESPEC,DATOS!$E10423,nASIG,DATOS!$I10423,nEVAL,"EX")=0),0))))</f>
      </c>
      <c r="H10423">
        <f>IF(DATOS!$G10423&lt;&gt;"EX",0,--(COUNTIFS(nNIA,DATOS!$A10423,nCURSO,DATOS!$D10423,nESPEC,DATOS!$E10423,nASIG,DATOS!$I10423,nEVAL,"OR")=0))</f>
      </c>
      <c r="I10423">
        <f>IF(DATOS!$I10423="","",IFERROR(VLOOKUP(DATOS!$I10423,CONFIG_ASIGNATURAS!$B$2:$J$91,9,FALSE()),""))</f>
      </c>
    </row>
    <row r="10424">
      <c r="F10424">
        <f>IF(DATOS!$A10424="","",DATOS!$A10424&amp;"|"&amp;DATOS!$D10424&amp;"|"&amp;DATOS!$E10424&amp;"|"&amp;DATOS!$I10424)</f>
      </c>
      <c r="G10424">
        <f>IF(DATOS!$A10424="",0,IF(CONFIG_METADATA!$B$4&lt;&gt;"OR+EX",--(DATOS!$G10424=CONFIG_METADATA!$B$4),IF(DATOS!$G10424="EX",1,IF(DATOS!$G10424="OR",--(COUNTIFS(nNIA,DATOS!$A10424,nCURSO,DATOS!$D10424,nESPEC,DATOS!$E10424,nASIG,DATOS!$I10424,nEVAL,"EX")=0),0))))</f>
      </c>
      <c r="H10424">
        <f>IF(DATOS!$G10424&lt;&gt;"EX",0,--(COUNTIFS(nNIA,DATOS!$A10424,nCURSO,DATOS!$D10424,nESPEC,DATOS!$E10424,nASIG,DATOS!$I10424,nEVAL,"OR")=0))</f>
      </c>
      <c r="I10424">
        <f>IF(DATOS!$I10424="","",IFERROR(VLOOKUP(DATOS!$I10424,CONFIG_ASIGNATURAS!$B$2:$J$91,9,FALSE()),""))</f>
      </c>
    </row>
    <row r="10425">
      <c r="F10425">
        <f>IF(DATOS!$A10425="","",DATOS!$A10425&amp;"|"&amp;DATOS!$D10425&amp;"|"&amp;DATOS!$E10425&amp;"|"&amp;DATOS!$I10425)</f>
      </c>
      <c r="G10425">
        <f>IF(DATOS!$A10425="",0,IF(CONFIG_METADATA!$B$4&lt;&gt;"OR+EX",--(DATOS!$G10425=CONFIG_METADATA!$B$4),IF(DATOS!$G10425="EX",1,IF(DATOS!$G10425="OR",--(COUNTIFS(nNIA,DATOS!$A10425,nCURSO,DATOS!$D10425,nESPEC,DATOS!$E10425,nASIG,DATOS!$I10425,nEVAL,"EX")=0),0))))</f>
      </c>
      <c r="H10425">
        <f>IF(DATOS!$G10425&lt;&gt;"EX",0,--(COUNTIFS(nNIA,DATOS!$A10425,nCURSO,DATOS!$D10425,nESPEC,DATOS!$E10425,nASIG,DATOS!$I10425,nEVAL,"OR")=0))</f>
      </c>
      <c r="I10425">
        <f>IF(DATOS!$I10425="","",IFERROR(VLOOKUP(DATOS!$I10425,CONFIG_ASIGNATURAS!$B$2:$J$91,9,FALSE()),""))</f>
      </c>
    </row>
    <row r="10426">
      <c r="F10426">
        <f>IF(DATOS!$A10426="","",DATOS!$A10426&amp;"|"&amp;DATOS!$D10426&amp;"|"&amp;DATOS!$E10426&amp;"|"&amp;DATOS!$I10426)</f>
      </c>
      <c r="G10426">
        <f>IF(DATOS!$A10426="",0,IF(CONFIG_METADATA!$B$4&lt;&gt;"OR+EX",--(DATOS!$G10426=CONFIG_METADATA!$B$4),IF(DATOS!$G10426="EX",1,IF(DATOS!$G10426="OR",--(COUNTIFS(nNIA,DATOS!$A10426,nCURSO,DATOS!$D10426,nESPEC,DATOS!$E10426,nASIG,DATOS!$I10426,nEVAL,"EX")=0),0))))</f>
      </c>
      <c r="H10426">
        <f>IF(DATOS!$G10426&lt;&gt;"EX",0,--(COUNTIFS(nNIA,DATOS!$A10426,nCURSO,DATOS!$D10426,nESPEC,DATOS!$E10426,nASIG,DATOS!$I10426,nEVAL,"OR")=0))</f>
      </c>
      <c r="I10426">
        <f>IF(DATOS!$I10426="","",IFERROR(VLOOKUP(DATOS!$I10426,CONFIG_ASIGNATURAS!$B$2:$J$91,9,FALSE()),""))</f>
      </c>
    </row>
    <row r="10427">
      <c r="F10427">
        <f>IF(DATOS!$A10427="","",DATOS!$A10427&amp;"|"&amp;DATOS!$D10427&amp;"|"&amp;DATOS!$E10427&amp;"|"&amp;DATOS!$I10427)</f>
      </c>
      <c r="G10427">
        <f>IF(DATOS!$A10427="",0,IF(CONFIG_METADATA!$B$4&lt;&gt;"OR+EX",--(DATOS!$G10427=CONFIG_METADATA!$B$4),IF(DATOS!$G10427="EX",1,IF(DATOS!$G10427="OR",--(COUNTIFS(nNIA,DATOS!$A10427,nCURSO,DATOS!$D10427,nESPEC,DATOS!$E10427,nASIG,DATOS!$I10427,nEVAL,"EX")=0),0))))</f>
      </c>
      <c r="H10427">
        <f>IF(DATOS!$G10427&lt;&gt;"EX",0,--(COUNTIFS(nNIA,DATOS!$A10427,nCURSO,DATOS!$D10427,nESPEC,DATOS!$E10427,nASIG,DATOS!$I10427,nEVAL,"OR")=0))</f>
      </c>
      <c r="I10427">
        <f>IF(DATOS!$I10427="","",IFERROR(VLOOKUP(DATOS!$I10427,CONFIG_ASIGNATURAS!$B$2:$J$91,9,FALSE()),""))</f>
      </c>
    </row>
    <row r="10428">
      <c r="F10428">
        <f>IF(DATOS!$A10428="","",DATOS!$A10428&amp;"|"&amp;DATOS!$D10428&amp;"|"&amp;DATOS!$E10428&amp;"|"&amp;DATOS!$I10428)</f>
      </c>
      <c r="G10428">
        <f>IF(DATOS!$A10428="",0,IF(CONFIG_METADATA!$B$4&lt;&gt;"OR+EX",--(DATOS!$G10428=CONFIG_METADATA!$B$4),IF(DATOS!$G10428="EX",1,IF(DATOS!$G10428="OR",--(COUNTIFS(nNIA,DATOS!$A10428,nCURSO,DATOS!$D10428,nESPEC,DATOS!$E10428,nASIG,DATOS!$I10428,nEVAL,"EX")=0),0))))</f>
      </c>
      <c r="H10428">
        <f>IF(DATOS!$G10428&lt;&gt;"EX",0,--(COUNTIFS(nNIA,DATOS!$A10428,nCURSO,DATOS!$D10428,nESPEC,DATOS!$E10428,nASIG,DATOS!$I10428,nEVAL,"OR")=0))</f>
      </c>
      <c r="I10428">
        <f>IF(DATOS!$I10428="","",IFERROR(VLOOKUP(DATOS!$I10428,CONFIG_ASIGNATURAS!$B$2:$J$91,9,FALSE()),""))</f>
      </c>
    </row>
    <row r="10429">
      <c r="F10429">
        <f>IF(DATOS!$A10429="","",DATOS!$A10429&amp;"|"&amp;DATOS!$D10429&amp;"|"&amp;DATOS!$E10429&amp;"|"&amp;DATOS!$I10429)</f>
      </c>
      <c r="G10429">
        <f>IF(DATOS!$A10429="",0,IF(CONFIG_METADATA!$B$4&lt;&gt;"OR+EX",--(DATOS!$G10429=CONFIG_METADATA!$B$4),IF(DATOS!$G10429="EX",1,IF(DATOS!$G10429="OR",--(COUNTIFS(nNIA,DATOS!$A10429,nCURSO,DATOS!$D10429,nESPEC,DATOS!$E10429,nASIG,DATOS!$I10429,nEVAL,"EX")=0),0))))</f>
      </c>
      <c r="H10429">
        <f>IF(DATOS!$G10429&lt;&gt;"EX",0,--(COUNTIFS(nNIA,DATOS!$A10429,nCURSO,DATOS!$D10429,nESPEC,DATOS!$E10429,nASIG,DATOS!$I10429,nEVAL,"OR")=0))</f>
      </c>
      <c r="I10429">
        <f>IF(DATOS!$I10429="","",IFERROR(VLOOKUP(DATOS!$I10429,CONFIG_ASIGNATURAS!$B$2:$J$91,9,FALSE()),""))</f>
      </c>
    </row>
    <row r="10430">
      <c r="F10430">
        <f>IF(DATOS!$A10430="","",DATOS!$A10430&amp;"|"&amp;DATOS!$D10430&amp;"|"&amp;DATOS!$E10430&amp;"|"&amp;DATOS!$I10430)</f>
      </c>
      <c r="G10430">
        <f>IF(DATOS!$A10430="",0,IF(CONFIG_METADATA!$B$4&lt;&gt;"OR+EX",--(DATOS!$G10430=CONFIG_METADATA!$B$4),IF(DATOS!$G10430="EX",1,IF(DATOS!$G10430="OR",--(COUNTIFS(nNIA,DATOS!$A10430,nCURSO,DATOS!$D10430,nESPEC,DATOS!$E10430,nASIG,DATOS!$I10430,nEVAL,"EX")=0),0))))</f>
      </c>
      <c r="H10430">
        <f>IF(DATOS!$G10430&lt;&gt;"EX",0,--(COUNTIFS(nNIA,DATOS!$A10430,nCURSO,DATOS!$D10430,nESPEC,DATOS!$E10430,nASIG,DATOS!$I10430,nEVAL,"OR")=0))</f>
      </c>
      <c r="I10430">
        <f>IF(DATOS!$I10430="","",IFERROR(VLOOKUP(DATOS!$I10430,CONFIG_ASIGNATURAS!$B$2:$J$91,9,FALSE()),""))</f>
      </c>
    </row>
    <row r="10431">
      <c r="F10431">
        <f>IF(DATOS!$A10431="","",DATOS!$A10431&amp;"|"&amp;DATOS!$D10431&amp;"|"&amp;DATOS!$E10431&amp;"|"&amp;DATOS!$I10431)</f>
      </c>
      <c r="G10431">
        <f>IF(DATOS!$A10431="",0,IF(CONFIG_METADATA!$B$4&lt;&gt;"OR+EX",--(DATOS!$G10431=CONFIG_METADATA!$B$4),IF(DATOS!$G10431="EX",1,IF(DATOS!$G10431="OR",--(COUNTIFS(nNIA,DATOS!$A10431,nCURSO,DATOS!$D10431,nESPEC,DATOS!$E10431,nASIG,DATOS!$I10431,nEVAL,"EX")=0),0))))</f>
      </c>
      <c r="H10431">
        <f>IF(DATOS!$G10431&lt;&gt;"EX",0,--(COUNTIFS(nNIA,DATOS!$A10431,nCURSO,DATOS!$D10431,nESPEC,DATOS!$E10431,nASIG,DATOS!$I10431,nEVAL,"OR")=0))</f>
      </c>
      <c r="I10431">
        <f>IF(DATOS!$I10431="","",IFERROR(VLOOKUP(DATOS!$I10431,CONFIG_ASIGNATURAS!$B$2:$J$91,9,FALSE()),""))</f>
      </c>
    </row>
    <row r="10432">
      <c r="F10432">
        <f>IF(DATOS!$A10432="","",DATOS!$A10432&amp;"|"&amp;DATOS!$D10432&amp;"|"&amp;DATOS!$E10432&amp;"|"&amp;DATOS!$I10432)</f>
      </c>
      <c r="G10432">
        <f>IF(DATOS!$A10432="",0,IF(CONFIG_METADATA!$B$4&lt;&gt;"OR+EX",--(DATOS!$G10432=CONFIG_METADATA!$B$4),IF(DATOS!$G10432="EX",1,IF(DATOS!$G10432="OR",--(COUNTIFS(nNIA,DATOS!$A10432,nCURSO,DATOS!$D10432,nESPEC,DATOS!$E10432,nASIG,DATOS!$I10432,nEVAL,"EX")=0),0))))</f>
      </c>
      <c r="H10432">
        <f>IF(DATOS!$G10432&lt;&gt;"EX",0,--(COUNTIFS(nNIA,DATOS!$A10432,nCURSO,DATOS!$D10432,nESPEC,DATOS!$E10432,nASIG,DATOS!$I10432,nEVAL,"OR")=0))</f>
      </c>
      <c r="I10432">
        <f>IF(DATOS!$I10432="","",IFERROR(VLOOKUP(DATOS!$I10432,CONFIG_ASIGNATURAS!$B$2:$J$91,9,FALSE()),""))</f>
      </c>
    </row>
    <row r="10433">
      <c r="F10433">
        <f>IF(DATOS!$A10433="","",DATOS!$A10433&amp;"|"&amp;DATOS!$D10433&amp;"|"&amp;DATOS!$E10433&amp;"|"&amp;DATOS!$I10433)</f>
      </c>
      <c r="G10433">
        <f>IF(DATOS!$A10433="",0,IF(CONFIG_METADATA!$B$4&lt;&gt;"OR+EX",--(DATOS!$G10433=CONFIG_METADATA!$B$4),IF(DATOS!$G10433="EX",1,IF(DATOS!$G10433="OR",--(COUNTIFS(nNIA,DATOS!$A10433,nCURSO,DATOS!$D10433,nESPEC,DATOS!$E10433,nASIG,DATOS!$I10433,nEVAL,"EX")=0),0))))</f>
      </c>
      <c r="H10433">
        <f>IF(DATOS!$G10433&lt;&gt;"EX",0,--(COUNTIFS(nNIA,DATOS!$A10433,nCURSO,DATOS!$D10433,nESPEC,DATOS!$E10433,nASIG,DATOS!$I10433,nEVAL,"OR")=0))</f>
      </c>
      <c r="I10433">
        <f>IF(DATOS!$I10433="","",IFERROR(VLOOKUP(DATOS!$I10433,CONFIG_ASIGNATURAS!$B$2:$J$91,9,FALSE()),""))</f>
      </c>
    </row>
    <row r="10434">
      <c r="F10434">
        <f>IF(DATOS!$A10434="","",DATOS!$A10434&amp;"|"&amp;DATOS!$D10434&amp;"|"&amp;DATOS!$E10434&amp;"|"&amp;DATOS!$I10434)</f>
      </c>
      <c r="G10434">
        <f>IF(DATOS!$A10434="",0,IF(CONFIG_METADATA!$B$4&lt;&gt;"OR+EX",--(DATOS!$G10434=CONFIG_METADATA!$B$4),IF(DATOS!$G10434="EX",1,IF(DATOS!$G10434="OR",--(COUNTIFS(nNIA,DATOS!$A10434,nCURSO,DATOS!$D10434,nESPEC,DATOS!$E10434,nASIG,DATOS!$I10434,nEVAL,"EX")=0),0))))</f>
      </c>
      <c r="H10434">
        <f>IF(DATOS!$G10434&lt;&gt;"EX",0,--(COUNTIFS(nNIA,DATOS!$A10434,nCURSO,DATOS!$D10434,nESPEC,DATOS!$E10434,nASIG,DATOS!$I10434,nEVAL,"OR")=0))</f>
      </c>
      <c r="I10434">
        <f>IF(DATOS!$I10434="","",IFERROR(VLOOKUP(DATOS!$I10434,CONFIG_ASIGNATURAS!$B$2:$J$91,9,FALSE()),""))</f>
      </c>
    </row>
    <row r="10435">
      <c r="F10435">
        <f>IF(DATOS!$A10435="","",DATOS!$A10435&amp;"|"&amp;DATOS!$D10435&amp;"|"&amp;DATOS!$E10435&amp;"|"&amp;DATOS!$I10435)</f>
      </c>
      <c r="G10435">
        <f>IF(DATOS!$A10435="",0,IF(CONFIG_METADATA!$B$4&lt;&gt;"OR+EX",--(DATOS!$G10435=CONFIG_METADATA!$B$4),IF(DATOS!$G10435="EX",1,IF(DATOS!$G10435="OR",--(COUNTIFS(nNIA,DATOS!$A10435,nCURSO,DATOS!$D10435,nESPEC,DATOS!$E10435,nASIG,DATOS!$I10435,nEVAL,"EX")=0),0))))</f>
      </c>
      <c r="H10435">
        <f>IF(DATOS!$G10435&lt;&gt;"EX",0,--(COUNTIFS(nNIA,DATOS!$A10435,nCURSO,DATOS!$D10435,nESPEC,DATOS!$E10435,nASIG,DATOS!$I10435,nEVAL,"OR")=0))</f>
      </c>
      <c r="I10435">
        <f>IF(DATOS!$I10435="","",IFERROR(VLOOKUP(DATOS!$I10435,CONFIG_ASIGNATURAS!$B$2:$J$91,9,FALSE()),""))</f>
      </c>
    </row>
    <row r="10436">
      <c r="F10436">
        <f>IF(DATOS!$A10436="","",DATOS!$A10436&amp;"|"&amp;DATOS!$D10436&amp;"|"&amp;DATOS!$E10436&amp;"|"&amp;DATOS!$I10436)</f>
      </c>
      <c r="G10436">
        <f>IF(DATOS!$A10436="",0,IF(CONFIG_METADATA!$B$4&lt;&gt;"OR+EX",--(DATOS!$G10436=CONFIG_METADATA!$B$4),IF(DATOS!$G10436="EX",1,IF(DATOS!$G10436="OR",--(COUNTIFS(nNIA,DATOS!$A10436,nCURSO,DATOS!$D10436,nESPEC,DATOS!$E10436,nASIG,DATOS!$I10436,nEVAL,"EX")=0),0))))</f>
      </c>
      <c r="H10436">
        <f>IF(DATOS!$G10436&lt;&gt;"EX",0,--(COUNTIFS(nNIA,DATOS!$A10436,nCURSO,DATOS!$D10436,nESPEC,DATOS!$E10436,nASIG,DATOS!$I10436,nEVAL,"OR")=0))</f>
      </c>
      <c r="I10436">
        <f>IF(DATOS!$I10436="","",IFERROR(VLOOKUP(DATOS!$I10436,CONFIG_ASIGNATURAS!$B$2:$J$91,9,FALSE()),""))</f>
      </c>
    </row>
    <row r="10437">
      <c r="F10437">
        <f>IF(DATOS!$A10437="","",DATOS!$A10437&amp;"|"&amp;DATOS!$D10437&amp;"|"&amp;DATOS!$E10437&amp;"|"&amp;DATOS!$I10437)</f>
      </c>
      <c r="G10437">
        <f>IF(DATOS!$A10437="",0,IF(CONFIG_METADATA!$B$4&lt;&gt;"OR+EX",--(DATOS!$G10437=CONFIG_METADATA!$B$4),IF(DATOS!$G10437="EX",1,IF(DATOS!$G10437="OR",--(COUNTIFS(nNIA,DATOS!$A10437,nCURSO,DATOS!$D10437,nESPEC,DATOS!$E10437,nASIG,DATOS!$I10437,nEVAL,"EX")=0),0))))</f>
      </c>
      <c r="H10437">
        <f>IF(DATOS!$G10437&lt;&gt;"EX",0,--(COUNTIFS(nNIA,DATOS!$A10437,nCURSO,DATOS!$D10437,nESPEC,DATOS!$E10437,nASIG,DATOS!$I10437,nEVAL,"OR")=0))</f>
      </c>
      <c r="I10437">
        <f>IF(DATOS!$I10437="","",IFERROR(VLOOKUP(DATOS!$I10437,CONFIG_ASIGNATURAS!$B$2:$J$91,9,FALSE()),""))</f>
      </c>
    </row>
    <row r="10438">
      <c r="F10438">
        <f>IF(DATOS!$A10438="","",DATOS!$A10438&amp;"|"&amp;DATOS!$D10438&amp;"|"&amp;DATOS!$E10438&amp;"|"&amp;DATOS!$I10438)</f>
      </c>
      <c r="G10438">
        <f>IF(DATOS!$A10438="",0,IF(CONFIG_METADATA!$B$4&lt;&gt;"OR+EX",--(DATOS!$G10438=CONFIG_METADATA!$B$4),IF(DATOS!$G10438="EX",1,IF(DATOS!$G10438="OR",--(COUNTIFS(nNIA,DATOS!$A10438,nCURSO,DATOS!$D10438,nESPEC,DATOS!$E10438,nASIG,DATOS!$I10438,nEVAL,"EX")=0),0))))</f>
      </c>
      <c r="H10438">
        <f>IF(DATOS!$G10438&lt;&gt;"EX",0,--(COUNTIFS(nNIA,DATOS!$A10438,nCURSO,DATOS!$D10438,nESPEC,DATOS!$E10438,nASIG,DATOS!$I10438,nEVAL,"OR")=0))</f>
      </c>
      <c r="I10438">
        <f>IF(DATOS!$I10438="","",IFERROR(VLOOKUP(DATOS!$I10438,CONFIG_ASIGNATURAS!$B$2:$J$91,9,FALSE()),""))</f>
      </c>
    </row>
    <row r="10439">
      <c r="F10439">
        <f>IF(DATOS!$A10439="","",DATOS!$A10439&amp;"|"&amp;DATOS!$D10439&amp;"|"&amp;DATOS!$E10439&amp;"|"&amp;DATOS!$I10439)</f>
      </c>
      <c r="G10439">
        <f>IF(DATOS!$A10439="",0,IF(CONFIG_METADATA!$B$4&lt;&gt;"OR+EX",--(DATOS!$G10439=CONFIG_METADATA!$B$4),IF(DATOS!$G10439="EX",1,IF(DATOS!$G10439="OR",--(COUNTIFS(nNIA,DATOS!$A10439,nCURSO,DATOS!$D10439,nESPEC,DATOS!$E10439,nASIG,DATOS!$I10439,nEVAL,"EX")=0),0))))</f>
      </c>
      <c r="H10439">
        <f>IF(DATOS!$G10439&lt;&gt;"EX",0,--(COUNTIFS(nNIA,DATOS!$A10439,nCURSO,DATOS!$D10439,nESPEC,DATOS!$E10439,nASIG,DATOS!$I10439,nEVAL,"OR")=0))</f>
      </c>
      <c r="I10439">
        <f>IF(DATOS!$I10439="","",IFERROR(VLOOKUP(DATOS!$I10439,CONFIG_ASIGNATURAS!$B$2:$J$91,9,FALSE()),""))</f>
      </c>
    </row>
    <row r="10440">
      <c r="F10440">
        <f>IF(DATOS!$A10440="","",DATOS!$A10440&amp;"|"&amp;DATOS!$D10440&amp;"|"&amp;DATOS!$E10440&amp;"|"&amp;DATOS!$I10440)</f>
      </c>
      <c r="G10440">
        <f>IF(DATOS!$A10440="",0,IF(CONFIG_METADATA!$B$4&lt;&gt;"OR+EX",--(DATOS!$G10440=CONFIG_METADATA!$B$4),IF(DATOS!$G10440="EX",1,IF(DATOS!$G10440="OR",--(COUNTIFS(nNIA,DATOS!$A10440,nCURSO,DATOS!$D10440,nESPEC,DATOS!$E10440,nASIG,DATOS!$I10440,nEVAL,"EX")=0),0))))</f>
      </c>
      <c r="H10440">
        <f>IF(DATOS!$G10440&lt;&gt;"EX",0,--(COUNTIFS(nNIA,DATOS!$A10440,nCURSO,DATOS!$D10440,nESPEC,DATOS!$E10440,nASIG,DATOS!$I10440,nEVAL,"OR")=0))</f>
      </c>
      <c r="I10440">
        <f>IF(DATOS!$I10440="","",IFERROR(VLOOKUP(DATOS!$I10440,CONFIG_ASIGNATURAS!$B$2:$J$91,9,FALSE()),""))</f>
      </c>
    </row>
    <row r="10441">
      <c r="F10441">
        <f>IF(DATOS!$A10441="","",DATOS!$A10441&amp;"|"&amp;DATOS!$D10441&amp;"|"&amp;DATOS!$E10441&amp;"|"&amp;DATOS!$I10441)</f>
      </c>
      <c r="G10441">
        <f>IF(DATOS!$A10441="",0,IF(CONFIG_METADATA!$B$4&lt;&gt;"OR+EX",--(DATOS!$G10441=CONFIG_METADATA!$B$4),IF(DATOS!$G10441="EX",1,IF(DATOS!$G10441="OR",--(COUNTIFS(nNIA,DATOS!$A10441,nCURSO,DATOS!$D10441,nESPEC,DATOS!$E10441,nASIG,DATOS!$I10441,nEVAL,"EX")=0),0))))</f>
      </c>
      <c r="H10441">
        <f>IF(DATOS!$G10441&lt;&gt;"EX",0,--(COUNTIFS(nNIA,DATOS!$A10441,nCURSO,DATOS!$D10441,nESPEC,DATOS!$E10441,nASIG,DATOS!$I10441,nEVAL,"OR")=0))</f>
      </c>
      <c r="I10441">
        <f>IF(DATOS!$I10441="","",IFERROR(VLOOKUP(DATOS!$I10441,CONFIG_ASIGNATURAS!$B$2:$J$91,9,FALSE()),""))</f>
      </c>
    </row>
    <row r="10442">
      <c r="F10442">
        <f>IF(DATOS!$A10442="","",DATOS!$A10442&amp;"|"&amp;DATOS!$D10442&amp;"|"&amp;DATOS!$E10442&amp;"|"&amp;DATOS!$I10442)</f>
      </c>
      <c r="G10442">
        <f>IF(DATOS!$A10442="",0,IF(CONFIG_METADATA!$B$4&lt;&gt;"OR+EX",--(DATOS!$G10442=CONFIG_METADATA!$B$4),IF(DATOS!$G10442="EX",1,IF(DATOS!$G10442="OR",--(COUNTIFS(nNIA,DATOS!$A10442,nCURSO,DATOS!$D10442,nESPEC,DATOS!$E10442,nASIG,DATOS!$I10442,nEVAL,"EX")=0),0))))</f>
      </c>
      <c r="H10442">
        <f>IF(DATOS!$G10442&lt;&gt;"EX",0,--(COUNTIFS(nNIA,DATOS!$A10442,nCURSO,DATOS!$D10442,nESPEC,DATOS!$E10442,nASIG,DATOS!$I10442,nEVAL,"OR")=0))</f>
      </c>
      <c r="I10442">
        <f>IF(DATOS!$I10442="","",IFERROR(VLOOKUP(DATOS!$I10442,CONFIG_ASIGNATURAS!$B$2:$J$91,9,FALSE()),""))</f>
      </c>
    </row>
    <row r="10443">
      <c r="F10443">
        <f>IF(DATOS!$A10443="","",DATOS!$A10443&amp;"|"&amp;DATOS!$D10443&amp;"|"&amp;DATOS!$E10443&amp;"|"&amp;DATOS!$I10443)</f>
      </c>
      <c r="G10443">
        <f>IF(DATOS!$A10443="",0,IF(CONFIG_METADATA!$B$4&lt;&gt;"OR+EX",--(DATOS!$G10443=CONFIG_METADATA!$B$4),IF(DATOS!$G10443="EX",1,IF(DATOS!$G10443="OR",--(COUNTIFS(nNIA,DATOS!$A10443,nCURSO,DATOS!$D10443,nESPEC,DATOS!$E10443,nASIG,DATOS!$I10443,nEVAL,"EX")=0),0))))</f>
      </c>
      <c r="H10443">
        <f>IF(DATOS!$G10443&lt;&gt;"EX",0,--(COUNTIFS(nNIA,DATOS!$A10443,nCURSO,DATOS!$D10443,nESPEC,DATOS!$E10443,nASIG,DATOS!$I10443,nEVAL,"OR")=0))</f>
      </c>
      <c r="I10443">
        <f>IF(DATOS!$I10443="","",IFERROR(VLOOKUP(DATOS!$I10443,CONFIG_ASIGNATURAS!$B$2:$J$91,9,FALSE()),""))</f>
      </c>
    </row>
    <row r="10444">
      <c r="F10444">
        <f>IF(DATOS!$A10444="","",DATOS!$A10444&amp;"|"&amp;DATOS!$D10444&amp;"|"&amp;DATOS!$E10444&amp;"|"&amp;DATOS!$I10444)</f>
      </c>
      <c r="G10444">
        <f>IF(DATOS!$A10444="",0,IF(CONFIG_METADATA!$B$4&lt;&gt;"OR+EX",--(DATOS!$G10444=CONFIG_METADATA!$B$4),IF(DATOS!$G10444="EX",1,IF(DATOS!$G10444="OR",--(COUNTIFS(nNIA,DATOS!$A10444,nCURSO,DATOS!$D10444,nESPEC,DATOS!$E10444,nASIG,DATOS!$I10444,nEVAL,"EX")=0),0))))</f>
      </c>
      <c r="H10444">
        <f>IF(DATOS!$G10444&lt;&gt;"EX",0,--(COUNTIFS(nNIA,DATOS!$A10444,nCURSO,DATOS!$D10444,nESPEC,DATOS!$E10444,nASIG,DATOS!$I10444,nEVAL,"OR")=0))</f>
      </c>
      <c r="I10444">
        <f>IF(DATOS!$I10444="","",IFERROR(VLOOKUP(DATOS!$I10444,CONFIG_ASIGNATURAS!$B$2:$J$91,9,FALSE()),""))</f>
      </c>
    </row>
    <row r="10445">
      <c r="F10445">
        <f>IF(DATOS!$A10445="","",DATOS!$A10445&amp;"|"&amp;DATOS!$D10445&amp;"|"&amp;DATOS!$E10445&amp;"|"&amp;DATOS!$I10445)</f>
      </c>
      <c r="G10445">
        <f>IF(DATOS!$A10445="",0,IF(CONFIG_METADATA!$B$4&lt;&gt;"OR+EX",--(DATOS!$G10445=CONFIG_METADATA!$B$4),IF(DATOS!$G10445="EX",1,IF(DATOS!$G10445="OR",--(COUNTIFS(nNIA,DATOS!$A10445,nCURSO,DATOS!$D10445,nESPEC,DATOS!$E10445,nASIG,DATOS!$I10445,nEVAL,"EX")=0),0))))</f>
      </c>
      <c r="H10445">
        <f>IF(DATOS!$G10445&lt;&gt;"EX",0,--(COUNTIFS(nNIA,DATOS!$A10445,nCURSO,DATOS!$D10445,nESPEC,DATOS!$E10445,nASIG,DATOS!$I10445,nEVAL,"OR")=0))</f>
      </c>
      <c r="I10445">
        <f>IF(DATOS!$I10445="","",IFERROR(VLOOKUP(DATOS!$I10445,CONFIG_ASIGNATURAS!$B$2:$J$91,9,FALSE()),""))</f>
      </c>
    </row>
    <row r="10446">
      <c r="F10446">
        <f>IF(DATOS!$A10446="","",DATOS!$A10446&amp;"|"&amp;DATOS!$D10446&amp;"|"&amp;DATOS!$E10446&amp;"|"&amp;DATOS!$I10446)</f>
      </c>
      <c r="G10446">
        <f>IF(DATOS!$A10446="",0,IF(CONFIG_METADATA!$B$4&lt;&gt;"OR+EX",--(DATOS!$G10446=CONFIG_METADATA!$B$4),IF(DATOS!$G10446="EX",1,IF(DATOS!$G10446="OR",--(COUNTIFS(nNIA,DATOS!$A10446,nCURSO,DATOS!$D10446,nESPEC,DATOS!$E10446,nASIG,DATOS!$I10446,nEVAL,"EX")=0),0))))</f>
      </c>
      <c r="H10446">
        <f>IF(DATOS!$G10446&lt;&gt;"EX",0,--(COUNTIFS(nNIA,DATOS!$A10446,nCURSO,DATOS!$D10446,nESPEC,DATOS!$E10446,nASIG,DATOS!$I10446,nEVAL,"OR")=0))</f>
      </c>
      <c r="I10446">
        <f>IF(DATOS!$I10446="","",IFERROR(VLOOKUP(DATOS!$I10446,CONFIG_ASIGNATURAS!$B$2:$J$91,9,FALSE()),""))</f>
      </c>
    </row>
    <row r="10447">
      <c r="F10447">
        <f>IF(DATOS!$A10447="","",DATOS!$A10447&amp;"|"&amp;DATOS!$D10447&amp;"|"&amp;DATOS!$E10447&amp;"|"&amp;DATOS!$I10447)</f>
      </c>
      <c r="G10447">
        <f>IF(DATOS!$A10447="",0,IF(CONFIG_METADATA!$B$4&lt;&gt;"OR+EX",--(DATOS!$G10447=CONFIG_METADATA!$B$4),IF(DATOS!$G10447="EX",1,IF(DATOS!$G10447="OR",--(COUNTIFS(nNIA,DATOS!$A10447,nCURSO,DATOS!$D10447,nESPEC,DATOS!$E10447,nASIG,DATOS!$I10447,nEVAL,"EX")=0),0))))</f>
      </c>
      <c r="H10447">
        <f>IF(DATOS!$G10447&lt;&gt;"EX",0,--(COUNTIFS(nNIA,DATOS!$A10447,nCURSO,DATOS!$D10447,nESPEC,DATOS!$E10447,nASIG,DATOS!$I10447,nEVAL,"OR")=0))</f>
      </c>
      <c r="I10447">
        <f>IF(DATOS!$I10447="","",IFERROR(VLOOKUP(DATOS!$I10447,CONFIG_ASIGNATURAS!$B$2:$J$91,9,FALSE()),""))</f>
      </c>
    </row>
    <row r="10448">
      <c r="F10448">
        <f>IF(DATOS!$A10448="","",DATOS!$A10448&amp;"|"&amp;DATOS!$D10448&amp;"|"&amp;DATOS!$E10448&amp;"|"&amp;DATOS!$I10448)</f>
      </c>
      <c r="G10448">
        <f>IF(DATOS!$A10448="",0,IF(CONFIG_METADATA!$B$4&lt;&gt;"OR+EX",--(DATOS!$G10448=CONFIG_METADATA!$B$4),IF(DATOS!$G10448="EX",1,IF(DATOS!$G10448="OR",--(COUNTIFS(nNIA,DATOS!$A10448,nCURSO,DATOS!$D10448,nESPEC,DATOS!$E10448,nASIG,DATOS!$I10448,nEVAL,"EX")=0),0))))</f>
      </c>
      <c r="H10448">
        <f>IF(DATOS!$G10448&lt;&gt;"EX",0,--(COUNTIFS(nNIA,DATOS!$A10448,nCURSO,DATOS!$D10448,nESPEC,DATOS!$E10448,nASIG,DATOS!$I10448,nEVAL,"OR")=0))</f>
      </c>
      <c r="I10448">
        <f>IF(DATOS!$I10448="","",IFERROR(VLOOKUP(DATOS!$I10448,CONFIG_ASIGNATURAS!$B$2:$J$91,9,FALSE()),""))</f>
      </c>
    </row>
    <row r="10449">
      <c r="F10449">
        <f>IF(DATOS!$A10449="","",DATOS!$A10449&amp;"|"&amp;DATOS!$D10449&amp;"|"&amp;DATOS!$E10449&amp;"|"&amp;DATOS!$I10449)</f>
      </c>
      <c r="G10449">
        <f>IF(DATOS!$A10449="",0,IF(CONFIG_METADATA!$B$4&lt;&gt;"OR+EX",--(DATOS!$G10449=CONFIG_METADATA!$B$4),IF(DATOS!$G10449="EX",1,IF(DATOS!$G10449="OR",--(COUNTIFS(nNIA,DATOS!$A10449,nCURSO,DATOS!$D10449,nESPEC,DATOS!$E10449,nASIG,DATOS!$I10449,nEVAL,"EX")=0),0))))</f>
      </c>
      <c r="H10449">
        <f>IF(DATOS!$G10449&lt;&gt;"EX",0,--(COUNTIFS(nNIA,DATOS!$A10449,nCURSO,DATOS!$D10449,nESPEC,DATOS!$E10449,nASIG,DATOS!$I10449,nEVAL,"OR")=0))</f>
      </c>
      <c r="I10449">
        <f>IF(DATOS!$I10449="","",IFERROR(VLOOKUP(DATOS!$I10449,CONFIG_ASIGNATURAS!$B$2:$J$91,9,FALSE()),""))</f>
      </c>
    </row>
    <row r="10450">
      <c r="F10450">
        <f>IF(DATOS!$A10450="","",DATOS!$A10450&amp;"|"&amp;DATOS!$D10450&amp;"|"&amp;DATOS!$E10450&amp;"|"&amp;DATOS!$I10450)</f>
      </c>
      <c r="G10450">
        <f>IF(DATOS!$A10450="",0,IF(CONFIG_METADATA!$B$4&lt;&gt;"OR+EX",--(DATOS!$G10450=CONFIG_METADATA!$B$4),IF(DATOS!$G10450="EX",1,IF(DATOS!$G10450="OR",--(COUNTIFS(nNIA,DATOS!$A10450,nCURSO,DATOS!$D10450,nESPEC,DATOS!$E10450,nASIG,DATOS!$I10450,nEVAL,"EX")=0),0))))</f>
      </c>
      <c r="H10450">
        <f>IF(DATOS!$G10450&lt;&gt;"EX",0,--(COUNTIFS(nNIA,DATOS!$A10450,nCURSO,DATOS!$D10450,nESPEC,DATOS!$E10450,nASIG,DATOS!$I10450,nEVAL,"OR")=0))</f>
      </c>
      <c r="I10450">
        <f>IF(DATOS!$I10450="","",IFERROR(VLOOKUP(DATOS!$I10450,CONFIG_ASIGNATURAS!$B$2:$J$91,9,FALSE()),""))</f>
      </c>
    </row>
    <row r="10451">
      <c r="F10451">
        <f>IF(DATOS!$A10451="","",DATOS!$A10451&amp;"|"&amp;DATOS!$D10451&amp;"|"&amp;DATOS!$E10451&amp;"|"&amp;DATOS!$I10451)</f>
      </c>
      <c r="G10451">
        <f>IF(DATOS!$A10451="",0,IF(CONFIG_METADATA!$B$4&lt;&gt;"OR+EX",--(DATOS!$G10451=CONFIG_METADATA!$B$4),IF(DATOS!$G10451="EX",1,IF(DATOS!$G10451="OR",--(COUNTIFS(nNIA,DATOS!$A10451,nCURSO,DATOS!$D10451,nESPEC,DATOS!$E10451,nASIG,DATOS!$I10451,nEVAL,"EX")=0),0))))</f>
      </c>
      <c r="H10451">
        <f>IF(DATOS!$G10451&lt;&gt;"EX",0,--(COUNTIFS(nNIA,DATOS!$A10451,nCURSO,DATOS!$D10451,nESPEC,DATOS!$E10451,nASIG,DATOS!$I10451,nEVAL,"OR")=0))</f>
      </c>
      <c r="I10451">
        <f>IF(DATOS!$I10451="","",IFERROR(VLOOKUP(DATOS!$I10451,CONFIG_ASIGNATURAS!$B$2:$J$91,9,FALSE()),""))</f>
      </c>
    </row>
    <row r="10452">
      <c r="F10452">
        <f>IF(DATOS!$A10452="","",DATOS!$A10452&amp;"|"&amp;DATOS!$D10452&amp;"|"&amp;DATOS!$E10452&amp;"|"&amp;DATOS!$I10452)</f>
      </c>
      <c r="G10452">
        <f>IF(DATOS!$A10452="",0,IF(CONFIG_METADATA!$B$4&lt;&gt;"OR+EX",--(DATOS!$G10452=CONFIG_METADATA!$B$4),IF(DATOS!$G10452="EX",1,IF(DATOS!$G10452="OR",--(COUNTIFS(nNIA,DATOS!$A10452,nCURSO,DATOS!$D10452,nESPEC,DATOS!$E10452,nASIG,DATOS!$I10452,nEVAL,"EX")=0),0))))</f>
      </c>
      <c r="H10452">
        <f>IF(DATOS!$G10452&lt;&gt;"EX",0,--(COUNTIFS(nNIA,DATOS!$A10452,nCURSO,DATOS!$D10452,nESPEC,DATOS!$E10452,nASIG,DATOS!$I10452,nEVAL,"OR")=0))</f>
      </c>
      <c r="I10452">
        <f>IF(DATOS!$I10452="","",IFERROR(VLOOKUP(DATOS!$I10452,CONFIG_ASIGNATURAS!$B$2:$J$91,9,FALSE()),""))</f>
      </c>
    </row>
    <row r="10453">
      <c r="F10453">
        <f>IF(DATOS!$A10453="","",DATOS!$A10453&amp;"|"&amp;DATOS!$D10453&amp;"|"&amp;DATOS!$E10453&amp;"|"&amp;DATOS!$I10453)</f>
      </c>
      <c r="G10453">
        <f>IF(DATOS!$A10453="",0,IF(CONFIG_METADATA!$B$4&lt;&gt;"OR+EX",--(DATOS!$G10453=CONFIG_METADATA!$B$4),IF(DATOS!$G10453="EX",1,IF(DATOS!$G10453="OR",--(COUNTIFS(nNIA,DATOS!$A10453,nCURSO,DATOS!$D10453,nESPEC,DATOS!$E10453,nASIG,DATOS!$I10453,nEVAL,"EX")=0),0))))</f>
      </c>
      <c r="H10453">
        <f>IF(DATOS!$G10453&lt;&gt;"EX",0,--(COUNTIFS(nNIA,DATOS!$A10453,nCURSO,DATOS!$D10453,nESPEC,DATOS!$E10453,nASIG,DATOS!$I10453,nEVAL,"OR")=0))</f>
      </c>
      <c r="I10453">
        <f>IF(DATOS!$I10453="","",IFERROR(VLOOKUP(DATOS!$I10453,CONFIG_ASIGNATURAS!$B$2:$J$91,9,FALSE()),""))</f>
      </c>
    </row>
    <row r="10454">
      <c r="F10454">
        <f>IF(DATOS!$A10454="","",DATOS!$A10454&amp;"|"&amp;DATOS!$D10454&amp;"|"&amp;DATOS!$E10454&amp;"|"&amp;DATOS!$I10454)</f>
      </c>
      <c r="G10454">
        <f>IF(DATOS!$A10454="",0,IF(CONFIG_METADATA!$B$4&lt;&gt;"OR+EX",--(DATOS!$G10454=CONFIG_METADATA!$B$4),IF(DATOS!$G10454="EX",1,IF(DATOS!$G10454="OR",--(COUNTIFS(nNIA,DATOS!$A10454,nCURSO,DATOS!$D10454,nESPEC,DATOS!$E10454,nASIG,DATOS!$I10454,nEVAL,"EX")=0),0))))</f>
      </c>
      <c r="H10454">
        <f>IF(DATOS!$G10454&lt;&gt;"EX",0,--(COUNTIFS(nNIA,DATOS!$A10454,nCURSO,DATOS!$D10454,nESPEC,DATOS!$E10454,nASIG,DATOS!$I10454,nEVAL,"OR")=0))</f>
      </c>
      <c r="I10454">
        <f>IF(DATOS!$I10454="","",IFERROR(VLOOKUP(DATOS!$I10454,CONFIG_ASIGNATURAS!$B$2:$J$91,9,FALSE()),""))</f>
      </c>
    </row>
    <row r="10455">
      <c r="F10455">
        <f>IF(DATOS!$A10455="","",DATOS!$A10455&amp;"|"&amp;DATOS!$D10455&amp;"|"&amp;DATOS!$E10455&amp;"|"&amp;DATOS!$I10455)</f>
      </c>
      <c r="G10455">
        <f>IF(DATOS!$A10455="",0,IF(CONFIG_METADATA!$B$4&lt;&gt;"OR+EX",--(DATOS!$G10455=CONFIG_METADATA!$B$4),IF(DATOS!$G10455="EX",1,IF(DATOS!$G10455="OR",--(COUNTIFS(nNIA,DATOS!$A10455,nCURSO,DATOS!$D10455,nESPEC,DATOS!$E10455,nASIG,DATOS!$I10455,nEVAL,"EX")=0),0))))</f>
      </c>
      <c r="H10455">
        <f>IF(DATOS!$G10455&lt;&gt;"EX",0,--(COUNTIFS(nNIA,DATOS!$A10455,nCURSO,DATOS!$D10455,nESPEC,DATOS!$E10455,nASIG,DATOS!$I10455,nEVAL,"OR")=0))</f>
      </c>
      <c r="I10455">
        <f>IF(DATOS!$I10455="","",IFERROR(VLOOKUP(DATOS!$I10455,CONFIG_ASIGNATURAS!$B$2:$J$91,9,FALSE()),""))</f>
      </c>
    </row>
    <row r="10456">
      <c r="F10456">
        <f>IF(DATOS!$A10456="","",DATOS!$A10456&amp;"|"&amp;DATOS!$D10456&amp;"|"&amp;DATOS!$E10456&amp;"|"&amp;DATOS!$I10456)</f>
      </c>
      <c r="G10456">
        <f>IF(DATOS!$A10456="",0,IF(CONFIG_METADATA!$B$4&lt;&gt;"OR+EX",--(DATOS!$G10456=CONFIG_METADATA!$B$4),IF(DATOS!$G10456="EX",1,IF(DATOS!$G10456="OR",--(COUNTIFS(nNIA,DATOS!$A10456,nCURSO,DATOS!$D10456,nESPEC,DATOS!$E10456,nASIG,DATOS!$I10456,nEVAL,"EX")=0),0))))</f>
      </c>
      <c r="H10456">
        <f>IF(DATOS!$G10456&lt;&gt;"EX",0,--(COUNTIFS(nNIA,DATOS!$A10456,nCURSO,DATOS!$D10456,nESPEC,DATOS!$E10456,nASIG,DATOS!$I10456,nEVAL,"OR")=0))</f>
      </c>
      <c r="I10456">
        <f>IF(DATOS!$I10456="","",IFERROR(VLOOKUP(DATOS!$I10456,CONFIG_ASIGNATURAS!$B$2:$J$91,9,FALSE()),""))</f>
      </c>
    </row>
    <row r="10457">
      <c r="F10457">
        <f>IF(DATOS!$A10457="","",DATOS!$A10457&amp;"|"&amp;DATOS!$D10457&amp;"|"&amp;DATOS!$E10457&amp;"|"&amp;DATOS!$I10457)</f>
      </c>
      <c r="G10457">
        <f>IF(DATOS!$A10457="",0,IF(CONFIG_METADATA!$B$4&lt;&gt;"OR+EX",--(DATOS!$G10457=CONFIG_METADATA!$B$4),IF(DATOS!$G10457="EX",1,IF(DATOS!$G10457="OR",--(COUNTIFS(nNIA,DATOS!$A10457,nCURSO,DATOS!$D10457,nESPEC,DATOS!$E10457,nASIG,DATOS!$I10457,nEVAL,"EX")=0),0))))</f>
      </c>
      <c r="H10457">
        <f>IF(DATOS!$G10457&lt;&gt;"EX",0,--(COUNTIFS(nNIA,DATOS!$A10457,nCURSO,DATOS!$D10457,nESPEC,DATOS!$E10457,nASIG,DATOS!$I10457,nEVAL,"OR")=0))</f>
      </c>
      <c r="I10457">
        <f>IF(DATOS!$I10457="","",IFERROR(VLOOKUP(DATOS!$I10457,CONFIG_ASIGNATURAS!$B$2:$J$91,9,FALSE()),""))</f>
      </c>
    </row>
    <row r="10458">
      <c r="F10458">
        <f>IF(DATOS!$A10458="","",DATOS!$A10458&amp;"|"&amp;DATOS!$D10458&amp;"|"&amp;DATOS!$E10458&amp;"|"&amp;DATOS!$I10458)</f>
      </c>
      <c r="G10458">
        <f>IF(DATOS!$A10458="",0,IF(CONFIG_METADATA!$B$4&lt;&gt;"OR+EX",--(DATOS!$G10458=CONFIG_METADATA!$B$4),IF(DATOS!$G10458="EX",1,IF(DATOS!$G10458="OR",--(COUNTIFS(nNIA,DATOS!$A10458,nCURSO,DATOS!$D10458,nESPEC,DATOS!$E10458,nASIG,DATOS!$I10458,nEVAL,"EX")=0),0))))</f>
      </c>
      <c r="H10458">
        <f>IF(DATOS!$G10458&lt;&gt;"EX",0,--(COUNTIFS(nNIA,DATOS!$A10458,nCURSO,DATOS!$D10458,nESPEC,DATOS!$E10458,nASIG,DATOS!$I10458,nEVAL,"OR")=0))</f>
      </c>
      <c r="I10458">
        <f>IF(DATOS!$I10458="","",IFERROR(VLOOKUP(DATOS!$I10458,CONFIG_ASIGNATURAS!$B$2:$J$91,9,FALSE()),""))</f>
      </c>
    </row>
    <row r="10459">
      <c r="F10459">
        <f>IF(DATOS!$A10459="","",DATOS!$A10459&amp;"|"&amp;DATOS!$D10459&amp;"|"&amp;DATOS!$E10459&amp;"|"&amp;DATOS!$I10459)</f>
      </c>
      <c r="G10459">
        <f>IF(DATOS!$A10459="",0,IF(CONFIG_METADATA!$B$4&lt;&gt;"OR+EX",--(DATOS!$G10459=CONFIG_METADATA!$B$4),IF(DATOS!$G10459="EX",1,IF(DATOS!$G10459="OR",--(COUNTIFS(nNIA,DATOS!$A10459,nCURSO,DATOS!$D10459,nESPEC,DATOS!$E10459,nASIG,DATOS!$I10459,nEVAL,"EX")=0),0))))</f>
      </c>
      <c r="H10459">
        <f>IF(DATOS!$G10459&lt;&gt;"EX",0,--(COUNTIFS(nNIA,DATOS!$A10459,nCURSO,DATOS!$D10459,nESPEC,DATOS!$E10459,nASIG,DATOS!$I10459,nEVAL,"OR")=0))</f>
      </c>
      <c r="I10459">
        <f>IF(DATOS!$I10459="","",IFERROR(VLOOKUP(DATOS!$I10459,CONFIG_ASIGNATURAS!$B$2:$J$91,9,FALSE()),""))</f>
      </c>
    </row>
    <row r="10460">
      <c r="F10460">
        <f>IF(DATOS!$A10460="","",DATOS!$A10460&amp;"|"&amp;DATOS!$D10460&amp;"|"&amp;DATOS!$E10460&amp;"|"&amp;DATOS!$I10460)</f>
      </c>
      <c r="G10460">
        <f>IF(DATOS!$A10460="",0,IF(CONFIG_METADATA!$B$4&lt;&gt;"OR+EX",--(DATOS!$G10460=CONFIG_METADATA!$B$4),IF(DATOS!$G10460="EX",1,IF(DATOS!$G10460="OR",--(COUNTIFS(nNIA,DATOS!$A10460,nCURSO,DATOS!$D10460,nESPEC,DATOS!$E10460,nASIG,DATOS!$I10460,nEVAL,"EX")=0),0))))</f>
      </c>
      <c r="H10460">
        <f>IF(DATOS!$G10460&lt;&gt;"EX",0,--(COUNTIFS(nNIA,DATOS!$A10460,nCURSO,DATOS!$D10460,nESPEC,DATOS!$E10460,nASIG,DATOS!$I10460,nEVAL,"OR")=0))</f>
      </c>
      <c r="I10460">
        <f>IF(DATOS!$I10460="","",IFERROR(VLOOKUP(DATOS!$I10460,CONFIG_ASIGNATURAS!$B$2:$J$91,9,FALSE()),""))</f>
      </c>
    </row>
    <row r="10461">
      <c r="F10461">
        <f>IF(DATOS!$A10461="","",DATOS!$A10461&amp;"|"&amp;DATOS!$D10461&amp;"|"&amp;DATOS!$E10461&amp;"|"&amp;DATOS!$I10461)</f>
      </c>
      <c r="G10461">
        <f>IF(DATOS!$A10461="",0,IF(CONFIG_METADATA!$B$4&lt;&gt;"OR+EX",--(DATOS!$G10461=CONFIG_METADATA!$B$4),IF(DATOS!$G10461="EX",1,IF(DATOS!$G10461="OR",--(COUNTIFS(nNIA,DATOS!$A10461,nCURSO,DATOS!$D10461,nESPEC,DATOS!$E10461,nASIG,DATOS!$I10461,nEVAL,"EX")=0),0))))</f>
      </c>
      <c r="H10461">
        <f>IF(DATOS!$G10461&lt;&gt;"EX",0,--(COUNTIFS(nNIA,DATOS!$A10461,nCURSO,DATOS!$D10461,nESPEC,DATOS!$E10461,nASIG,DATOS!$I10461,nEVAL,"OR")=0))</f>
      </c>
      <c r="I10461">
        <f>IF(DATOS!$I10461="","",IFERROR(VLOOKUP(DATOS!$I10461,CONFIG_ASIGNATURAS!$B$2:$J$91,9,FALSE()),""))</f>
      </c>
    </row>
    <row r="10462">
      <c r="F10462">
        <f>IF(DATOS!$A10462="","",DATOS!$A10462&amp;"|"&amp;DATOS!$D10462&amp;"|"&amp;DATOS!$E10462&amp;"|"&amp;DATOS!$I10462)</f>
      </c>
      <c r="G10462">
        <f>IF(DATOS!$A10462="",0,IF(CONFIG_METADATA!$B$4&lt;&gt;"OR+EX",--(DATOS!$G10462=CONFIG_METADATA!$B$4),IF(DATOS!$G10462="EX",1,IF(DATOS!$G10462="OR",--(COUNTIFS(nNIA,DATOS!$A10462,nCURSO,DATOS!$D10462,nESPEC,DATOS!$E10462,nASIG,DATOS!$I10462,nEVAL,"EX")=0),0))))</f>
      </c>
      <c r="H10462">
        <f>IF(DATOS!$G10462&lt;&gt;"EX",0,--(COUNTIFS(nNIA,DATOS!$A10462,nCURSO,DATOS!$D10462,nESPEC,DATOS!$E10462,nASIG,DATOS!$I10462,nEVAL,"OR")=0))</f>
      </c>
      <c r="I10462">
        <f>IF(DATOS!$I10462="","",IFERROR(VLOOKUP(DATOS!$I10462,CONFIG_ASIGNATURAS!$B$2:$J$91,9,FALSE()),""))</f>
      </c>
    </row>
    <row r="10463">
      <c r="F10463">
        <f>IF(DATOS!$A10463="","",DATOS!$A10463&amp;"|"&amp;DATOS!$D10463&amp;"|"&amp;DATOS!$E10463&amp;"|"&amp;DATOS!$I10463)</f>
      </c>
      <c r="G10463">
        <f>IF(DATOS!$A10463="",0,IF(CONFIG_METADATA!$B$4&lt;&gt;"OR+EX",--(DATOS!$G10463=CONFIG_METADATA!$B$4),IF(DATOS!$G10463="EX",1,IF(DATOS!$G10463="OR",--(COUNTIFS(nNIA,DATOS!$A10463,nCURSO,DATOS!$D10463,nESPEC,DATOS!$E10463,nASIG,DATOS!$I10463,nEVAL,"EX")=0),0))))</f>
      </c>
      <c r="H10463">
        <f>IF(DATOS!$G10463&lt;&gt;"EX",0,--(COUNTIFS(nNIA,DATOS!$A10463,nCURSO,DATOS!$D10463,nESPEC,DATOS!$E10463,nASIG,DATOS!$I10463,nEVAL,"OR")=0))</f>
      </c>
      <c r="I10463">
        <f>IF(DATOS!$I10463="","",IFERROR(VLOOKUP(DATOS!$I10463,CONFIG_ASIGNATURAS!$B$2:$J$91,9,FALSE()),""))</f>
      </c>
    </row>
    <row r="10464">
      <c r="F10464">
        <f>IF(DATOS!$A10464="","",DATOS!$A10464&amp;"|"&amp;DATOS!$D10464&amp;"|"&amp;DATOS!$E10464&amp;"|"&amp;DATOS!$I10464)</f>
      </c>
      <c r="G10464">
        <f>IF(DATOS!$A10464="",0,IF(CONFIG_METADATA!$B$4&lt;&gt;"OR+EX",--(DATOS!$G10464=CONFIG_METADATA!$B$4),IF(DATOS!$G10464="EX",1,IF(DATOS!$G10464="OR",--(COUNTIFS(nNIA,DATOS!$A10464,nCURSO,DATOS!$D10464,nESPEC,DATOS!$E10464,nASIG,DATOS!$I10464,nEVAL,"EX")=0),0))))</f>
      </c>
      <c r="H10464">
        <f>IF(DATOS!$G10464&lt;&gt;"EX",0,--(COUNTIFS(nNIA,DATOS!$A10464,nCURSO,DATOS!$D10464,nESPEC,DATOS!$E10464,nASIG,DATOS!$I10464,nEVAL,"OR")=0))</f>
      </c>
      <c r="I10464">
        <f>IF(DATOS!$I10464="","",IFERROR(VLOOKUP(DATOS!$I10464,CONFIG_ASIGNATURAS!$B$2:$J$91,9,FALSE()),""))</f>
      </c>
    </row>
    <row r="10465">
      <c r="F10465">
        <f>IF(DATOS!$A10465="","",DATOS!$A10465&amp;"|"&amp;DATOS!$D10465&amp;"|"&amp;DATOS!$E10465&amp;"|"&amp;DATOS!$I10465)</f>
      </c>
      <c r="G10465">
        <f>IF(DATOS!$A10465="",0,IF(CONFIG_METADATA!$B$4&lt;&gt;"OR+EX",--(DATOS!$G10465=CONFIG_METADATA!$B$4),IF(DATOS!$G10465="EX",1,IF(DATOS!$G10465="OR",--(COUNTIFS(nNIA,DATOS!$A10465,nCURSO,DATOS!$D10465,nESPEC,DATOS!$E10465,nASIG,DATOS!$I10465,nEVAL,"EX")=0),0))))</f>
      </c>
      <c r="H10465">
        <f>IF(DATOS!$G10465&lt;&gt;"EX",0,--(COUNTIFS(nNIA,DATOS!$A10465,nCURSO,DATOS!$D10465,nESPEC,DATOS!$E10465,nASIG,DATOS!$I10465,nEVAL,"OR")=0))</f>
      </c>
      <c r="I10465">
        <f>IF(DATOS!$I10465="","",IFERROR(VLOOKUP(DATOS!$I10465,CONFIG_ASIGNATURAS!$B$2:$J$91,9,FALSE()),""))</f>
      </c>
    </row>
    <row r="10466">
      <c r="F10466">
        <f>IF(DATOS!$A10466="","",DATOS!$A10466&amp;"|"&amp;DATOS!$D10466&amp;"|"&amp;DATOS!$E10466&amp;"|"&amp;DATOS!$I10466)</f>
      </c>
      <c r="G10466">
        <f>IF(DATOS!$A10466="",0,IF(CONFIG_METADATA!$B$4&lt;&gt;"OR+EX",--(DATOS!$G10466=CONFIG_METADATA!$B$4),IF(DATOS!$G10466="EX",1,IF(DATOS!$G10466="OR",--(COUNTIFS(nNIA,DATOS!$A10466,nCURSO,DATOS!$D10466,nESPEC,DATOS!$E10466,nASIG,DATOS!$I10466,nEVAL,"EX")=0),0))))</f>
      </c>
      <c r="H10466">
        <f>IF(DATOS!$G10466&lt;&gt;"EX",0,--(COUNTIFS(nNIA,DATOS!$A10466,nCURSO,DATOS!$D10466,nESPEC,DATOS!$E10466,nASIG,DATOS!$I10466,nEVAL,"OR")=0))</f>
      </c>
      <c r="I10466">
        <f>IF(DATOS!$I10466="","",IFERROR(VLOOKUP(DATOS!$I10466,CONFIG_ASIGNATURAS!$B$2:$J$91,9,FALSE()),""))</f>
      </c>
    </row>
    <row r="10467">
      <c r="F10467">
        <f>IF(DATOS!$A10467="","",DATOS!$A10467&amp;"|"&amp;DATOS!$D10467&amp;"|"&amp;DATOS!$E10467&amp;"|"&amp;DATOS!$I10467)</f>
      </c>
      <c r="G10467">
        <f>IF(DATOS!$A10467="",0,IF(CONFIG_METADATA!$B$4&lt;&gt;"OR+EX",--(DATOS!$G10467=CONFIG_METADATA!$B$4),IF(DATOS!$G10467="EX",1,IF(DATOS!$G10467="OR",--(COUNTIFS(nNIA,DATOS!$A10467,nCURSO,DATOS!$D10467,nESPEC,DATOS!$E10467,nASIG,DATOS!$I10467,nEVAL,"EX")=0),0))))</f>
      </c>
      <c r="H10467">
        <f>IF(DATOS!$G10467&lt;&gt;"EX",0,--(COUNTIFS(nNIA,DATOS!$A10467,nCURSO,DATOS!$D10467,nESPEC,DATOS!$E10467,nASIG,DATOS!$I10467,nEVAL,"OR")=0))</f>
      </c>
      <c r="I10467">
        <f>IF(DATOS!$I10467="","",IFERROR(VLOOKUP(DATOS!$I10467,CONFIG_ASIGNATURAS!$B$2:$J$91,9,FALSE()),""))</f>
      </c>
    </row>
    <row r="10468">
      <c r="F10468">
        <f>IF(DATOS!$A10468="","",DATOS!$A10468&amp;"|"&amp;DATOS!$D10468&amp;"|"&amp;DATOS!$E10468&amp;"|"&amp;DATOS!$I10468)</f>
      </c>
      <c r="G10468">
        <f>IF(DATOS!$A10468="",0,IF(CONFIG_METADATA!$B$4&lt;&gt;"OR+EX",--(DATOS!$G10468=CONFIG_METADATA!$B$4),IF(DATOS!$G10468="EX",1,IF(DATOS!$G10468="OR",--(COUNTIFS(nNIA,DATOS!$A10468,nCURSO,DATOS!$D10468,nESPEC,DATOS!$E10468,nASIG,DATOS!$I10468,nEVAL,"EX")=0),0))))</f>
      </c>
      <c r="H10468">
        <f>IF(DATOS!$G10468&lt;&gt;"EX",0,--(COUNTIFS(nNIA,DATOS!$A10468,nCURSO,DATOS!$D10468,nESPEC,DATOS!$E10468,nASIG,DATOS!$I10468,nEVAL,"OR")=0))</f>
      </c>
      <c r="I10468">
        <f>IF(DATOS!$I10468="","",IFERROR(VLOOKUP(DATOS!$I10468,CONFIG_ASIGNATURAS!$B$2:$J$91,9,FALSE()),""))</f>
      </c>
    </row>
    <row r="10469">
      <c r="F10469">
        <f>IF(DATOS!$A10469="","",DATOS!$A10469&amp;"|"&amp;DATOS!$D10469&amp;"|"&amp;DATOS!$E10469&amp;"|"&amp;DATOS!$I10469)</f>
      </c>
      <c r="G10469">
        <f>IF(DATOS!$A10469="",0,IF(CONFIG_METADATA!$B$4&lt;&gt;"OR+EX",--(DATOS!$G10469=CONFIG_METADATA!$B$4),IF(DATOS!$G10469="EX",1,IF(DATOS!$G10469="OR",--(COUNTIFS(nNIA,DATOS!$A10469,nCURSO,DATOS!$D10469,nESPEC,DATOS!$E10469,nASIG,DATOS!$I10469,nEVAL,"EX")=0),0))))</f>
      </c>
      <c r="H10469">
        <f>IF(DATOS!$G10469&lt;&gt;"EX",0,--(COUNTIFS(nNIA,DATOS!$A10469,nCURSO,DATOS!$D10469,nESPEC,DATOS!$E10469,nASIG,DATOS!$I10469,nEVAL,"OR")=0))</f>
      </c>
      <c r="I10469">
        <f>IF(DATOS!$I10469="","",IFERROR(VLOOKUP(DATOS!$I10469,CONFIG_ASIGNATURAS!$B$2:$J$91,9,FALSE()),""))</f>
      </c>
    </row>
    <row r="10470">
      <c r="F10470">
        <f>IF(DATOS!$A10470="","",DATOS!$A10470&amp;"|"&amp;DATOS!$D10470&amp;"|"&amp;DATOS!$E10470&amp;"|"&amp;DATOS!$I10470)</f>
      </c>
      <c r="G10470">
        <f>IF(DATOS!$A10470="",0,IF(CONFIG_METADATA!$B$4&lt;&gt;"OR+EX",--(DATOS!$G10470=CONFIG_METADATA!$B$4),IF(DATOS!$G10470="EX",1,IF(DATOS!$G10470="OR",--(COUNTIFS(nNIA,DATOS!$A10470,nCURSO,DATOS!$D10470,nESPEC,DATOS!$E10470,nASIG,DATOS!$I10470,nEVAL,"EX")=0),0))))</f>
      </c>
      <c r="H10470">
        <f>IF(DATOS!$G10470&lt;&gt;"EX",0,--(COUNTIFS(nNIA,DATOS!$A10470,nCURSO,DATOS!$D10470,nESPEC,DATOS!$E10470,nASIG,DATOS!$I10470,nEVAL,"OR")=0))</f>
      </c>
      <c r="I10470">
        <f>IF(DATOS!$I10470="","",IFERROR(VLOOKUP(DATOS!$I10470,CONFIG_ASIGNATURAS!$B$2:$J$91,9,FALSE()),""))</f>
      </c>
    </row>
    <row r="10471">
      <c r="F10471">
        <f>IF(DATOS!$A10471="","",DATOS!$A10471&amp;"|"&amp;DATOS!$D10471&amp;"|"&amp;DATOS!$E10471&amp;"|"&amp;DATOS!$I10471)</f>
      </c>
      <c r="G10471">
        <f>IF(DATOS!$A10471="",0,IF(CONFIG_METADATA!$B$4&lt;&gt;"OR+EX",--(DATOS!$G10471=CONFIG_METADATA!$B$4),IF(DATOS!$G10471="EX",1,IF(DATOS!$G10471="OR",--(COUNTIFS(nNIA,DATOS!$A10471,nCURSO,DATOS!$D10471,nESPEC,DATOS!$E10471,nASIG,DATOS!$I10471,nEVAL,"EX")=0),0))))</f>
      </c>
      <c r="H10471">
        <f>IF(DATOS!$G10471&lt;&gt;"EX",0,--(COUNTIFS(nNIA,DATOS!$A10471,nCURSO,DATOS!$D10471,nESPEC,DATOS!$E10471,nASIG,DATOS!$I10471,nEVAL,"OR")=0))</f>
      </c>
      <c r="I10471">
        <f>IF(DATOS!$I10471="","",IFERROR(VLOOKUP(DATOS!$I10471,CONFIG_ASIGNATURAS!$B$2:$J$91,9,FALSE()),""))</f>
      </c>
    </row>
    <row r="10472">
      <c r="F10472">
        <f>IF(DATOS!$A10472="","",DATOS!$A10472&amp;"|"&amp;DATOS!$D10472&amp;"|"&amp;DATOS!$E10472&amp;"|"&amp;DATOS!$I10472)</f>
      </c>
      <c r="G10472">
        <f>IF(DATOS!$A10472="",0,IF(CONFIG_METADATA!$B$4&lt;&gt;"OR+EX",--(DATOS!$G10472=CONFIG_METADATA!$B$4),IF(DATOS!$G10472="EX",1,IF(DATOS!$G10472="OR",--(COUNTIFS(nNIA,DATOS!$A10472,nCURSO,DATOS!$D10472,nESPEC,DATOS!$E10472,nASIG,DATOS!$I10472,nEVAL,"EX")=0),0))))</f>
      </c>
      <c r="H10472">
        <f>IF(DATOS!$G10472&lt;&gt;"EX",0,--(COUNTIFS(nNIA,DATOS!$A10472,nCURSO,DATOS!$D10472,nESPEC,DATOS!$E10472,nASIG,DATOS!$I10472,nEVAL,"OR")=0))</f>
      </c>
      <c r="I10472">
        <f>IF(DATOS!$I10472="","",IFERROR(VLOOKUP(DATOS!$I10472,CONFIG_ASIGNATURAS!$B$2:$J$91,9,FALSE()),""))</f>
      </c>
    </row>
    <row r="10473">
      <c r="F10473">
        <f>IF(DATOS!$A10473="","",DATOS!$A10473&amp;"|"&amp;DATOS!$D10473&amp;"|"&amp;DATOS!$E10473&amp;"|"&amp;DATOS!$I10473)</f>
      </c>
      <c r="G10473">
        <f>IF(DATOS!$A10473="",0,IF(CONFIG_METADATA!$B$4&lt;&gt;"OR+EX",--(DATOS!$G10473=CONFIG_METADATA!$B$4),IF(DATOS!$G10473="EX",1,IF(DATOS!$G10473="OR",--(COUNTIFS(nNIA,DATOS!$A10473,nCURSO,DATOS!$D10473,nESPEC,DATOS!$E10473,nASIG,DATOS!$I10473,nEVAL,"EX")=0),0))))</f>
      </c>
      <c r="H10473">
        <f>IF(DATOS!$G10473&lt;&gt;"EX",0,--(COUNTIFS(nNIA,DATOS!$A10473,nCURSO,DATOS!$D10473,nESPEC,DATOS!$E10473,nASIG,DATOS!$I10473,nEVAL,"OR")=0))</f>
      </c>
      <c r="I10473">
        <f>IF(DATOS!$I10473="","",IFERROR(VLOOKUP(DATOS!$I10473,CONFIG_ASIGNATURAS!$B$2:$J$91,9,FALSE()),""))</f>
      </c>
    </row>
    <row r="10474">
      <c r="F10474">
        <f>IF(DATOS!$A10474="","",DATOS!$A10474&amp;"|"&amp;DATOS!$D10474&amp;"|"&amp;DATOS!$E10474&amp;"|"&amp;DATOS!$I10474)</f>
      </c>
      <c r="G10474">
        <f>IF(DATOS!$A10474="",0,IF(CONFIG_METADATA!$B$4&lt;&gt;"OR+EX",--(DATOS!$G10474=CONFIG_METADATA!$B$4),IF(DATOS!$G10474="EX",1,IF(DATOS!$G10474="OR",--(COUNTIFS(nNIA,DATOS!$A10474,nCURSO,DATOS!$D10474,nESPEC,DATOS!$E10474,nASIG,DATOS!$I10474,nEVAL,"EX")=0),0))))</f>
      </c>
      <c r="H10474">
        <f>IF(DATOS!$G10474&lt;&gt;"EX",0,--(COUNTIFS(nNIA,DATOS!$A10474,nCURSO,DATOS!$D10474,nESPEC,DATOS!$E10474,nASIG,DATOS!$I10474,nEVAL,"OR")=0))</f>
      </c>
      <c r="I10474">
        <f>IF(DATOS!$I10474="","",IFERROR(VLOOKUP(DATOS!$I10474,CONFIG_ASIGNATURAS!$B$2:$J$91,9,FALSE()),""))</f>
      </c>
    </row>
    <row r="10475">
      <c r="F10475">
        <f>IF(DATOS!$A10475="","",DATOS!$A10475&amp;"|"&amp;DATOS!$D10475&amp;"|"&amp;DATOS!$E10475&amp;"|"&amp;DATOS!$I10475)</f>
      </c>
      <c r="G10475">
        <f>IF(DATOS!$A10475="",0,IF(CONFIG_METADATA!$B$4&lt;&gt;"OR+EX",--(DATOS!$G10475=CONFIG_METADATA!$B$4),IF(DATOS!$G10475="EX",1,IF(DATOS!$G10475="OR",--(COUNTIFS(nNIA,DATOS!$A10475,nCURSO,DATOS!$D10475,nESPEC,DATOS!$E10475,nASIG,DATOS!$I10475,nEVAL,"EX")=0),0))))</f>
      </c>
      <c r="H10475">
        <f>IF(DATOS!$G10475&lt;&gt;"EX",0,--(COUNTIFS(nNIA,DATOS!$A10475,nCURSO,DATOS!$D10475,nESPEC,DATOS!$E10475,nASIG,DATOS!$I10475,nEVAL,"OR")=0))</f>
      </c>
      <c r="I10475">
        <f>IF(DATOS!$I10475="","",IFERROR(VLOOKUP(DATOS!$I10475,CONFIG_ASIGNATURAS!$B$2:$J$91,9,FALSE()),""))</f>
      </c>
    </row>
    <row r="10476">
      <c r="F10476">
        <f>IF(DATOS!$A10476="","",DATOS!$A10476&amp;"|"&amp;DATOS!$D10476&amp;"|"&amp;DATOS!$E10476&amp;"|"&amp;DATOS!$I10476)</f>
      </c>
      <c r="G10476">
        <f>IF(DATOS!$A10476="",0,IF(CONFIG_METADATA!$B$4&lt;&gt;"OR+EX",--(DATOS!$G10476=CONFIG_METADATA!$B$4),IF(DATOS!$G10476="EX",1,IF(DATOS!$G10476="OR",--(COUNTIFS(nNIA,DATOS!$A10476,nCURSO,DATOS!$D10476,nESPEC,DATOS!$E10476,nASIG,DATOS!$I10476,nEVAL,"EX")=0),0))))</f>
      </c>
      <c r="H10476">
        <f>IF(DATOS!$G10476&lt;&gt;"EX",0,--(COUNTIFS(nNIA,DATOS!$A10476,nCURSO,DATOS!$D10476,nESPEC,DATOS!$E10476,nASIG,DATOS!$I10476,nEVAL,"OR")=0))</f>
      </c>
      <c r="I10476">
        <f>IF(DATOS!$I10476="","",IFERROR(VLOOKUP(DATOS!$I10476,CONFIG_ASIGNATURAS!$B$2:$J$91,9,FALSE()),""))</f>
      </c>
    </row>
    <row r="10477">
      <c r="F10477">
        <f>IF(DATOS!$A10477="","",DATOS!$A10477&amp;"|"&amp;DATOS!$D10477&amp;"|"&amp;DATOS!$E10477&amp;"|"&amp;DATOS!$I10477)</f>
      </c>
      <c r="G10477">
        <f>IF(DATOS!$A10477="",0,IF(CONFIG_METADATA!$B$4&lt;&gt;"OR+EX",--(DATOS!$G10477=CONFIG_METADATA!$B$4),IF(DATOS!$G10477="EX",1,IF(DATOS!$G10477="OR",--(COUNTIFS(nNIA,DATOS!$A10477,nCURSO,DATOS!$D10477,nESPEC,DATOS!$E10477,nASIG,DATOS!$I10477,nEVAL,"EX")=0),0))))</f>
      </c>
      <c r="H10477">
        <f>IF(DATOS!$G10477&lt;&gt;"EX",0,--(COUNTIFS(nNIA,DATOS!$A10477,nCURSO,DATOS!$D10477,nESPEC,DATOS!$E10477,nASIG,DATOS!$I10477,nEVAL,"OR")=0))</f>
      </c>
      <c r="I10477">
        <f>IF(DATOS!$I10477="","",IFERROR(VLOOKUP(DATOS!$I10477,CONFIG_ASIGNATURAS!$B$2:$J$91,9,FALSE()),""))</f>
      </c>
    </row>
    <row r="10478">
      <c r="F10478">
        <f>IF(DATOS!$A10478="","",DATOS!$A10478&amp;"|"&amp;DATOS!$D10478&amp;"|"&amp;DATOS!$E10478&amp;"|"&amp;DATOS!$I10478)</f>
      </c>
      <c r="G10478">
        <f>IF(DATOS!$A10478="",0,IF(CONFIG_METADATA!$B$4&lt;&gt;"OR+EX",--(DATOS!$G10478=CONFIG_METADATA!$B$4),IF(DATOS!$G10478="EX",1,IF(DATOS!$G10478="OR",--(COUNTIFS(nNIA,DATOS!$A10478,nCURSO,DATOS!$D10478,nESPEC,DATOS!$E10478,nASIG,DATOS!$I10478,nEVAL,"EX")=0),0))))</f>
      </c>
      <c r="H10478">
        <f>IF(DATOS!$G10478&lt;&gt;"EX",0,--(COUNTIFS(nNIA,DATOS!$A10478,nCURSO,DATOS!$D10478,nESPEC,DATOS!$E10478,nASIG,DATOS!$I10478,nEVAL,"OR")=0))</f>
      </c>
      <c r="I10478">
        <f>IF(DATOS!$I10478="","",IFERROR(VLOOKUP(DATOS!$I10478,CONFIG_ASIGNATURAS!$B$2:$J$91,9,FALSE()),""))</f>
      </c>
    </row>
    <row r="10479">
      <c r="F10479">
        <f>IF(DATOS!$A10479="","",DATOS!$A10479&amp;"|"&amp;DATOS!$D10479&amp;"|"&amp;DATOS!$E10479&amp;"|"&amp;DATOS!$I10479)</f>
      </c>
      <c r="G10479">
        <f>IF(DATOS!$A10479="",0,IF(CONFIG_METADATA!$B$4&lt;&gt;"OR+EX",--(DATOS!$G10479=CONFIG_METADATA!$B$4),IF(DATOS!$G10479="EX",1,IF(DATOS!$G10479="OR",--(COUNTIFS(nNIA,DATOS!$A10479,nCURSO,DATOS!$D10479,nESPEC,DATOS!$E10479,nASIG,DATOS!$I10479,nEVAL,"EX")=0),0))))</f>
      </c>
      <c r="H10479">
        <f>IF(DATOS!$G10479&lt;&gt;"EX",0,--(COUNTIFS(nNIA,DATOS!$A10479,nCURSO,DATOS!$D10479,nESPEC,DATOS!$E10479,nASIG,DATOS!$I10479,nEVAL,"OR")=0))</f>
      </c>
      <c r="I10479">
        <f>IF(DATOS!$I10479="","",IFERROR(VLOOKUP(DATOS!$I10479,CONFIG_ASIGNATURAS!$B$2:$J$91,9,FALSE()),""))</f>
      </c>
    </row>
    <row r="10480">
      <c r="F10480">
        <f>IF(DATOS!$A10480="","",DATOS!$A10480&amp;"|"&amp;DATOS!$D10480&amp;"|"&amp;DATOS!$E10480&amp;"|"&amp;DATOS!$I10480)</f>
      </c>
      <c r="G10480">
        <f>IF(DATOS!$A10480="",0,IF(CONFIG_METADATA!$B$4&lt;&gt;"OR+EX",--(DATOS!$G10480=CONFIG_METADATA!$B$4),IF(DATOS!$G10480="EX",1,IF(DATOS!$G10480="OR",--(COUNTIFS(nNIA,DATOS!$A10480,nCURSO,DATOS!$D10480,nESPEC,DATOS!$E10480,nASIG,DATOS!$I10480,nEVAL,"EX")=0),0))))</f>
      </c>
      <c r="H10480">
        <f>IF(DATOS!$G10480&lt;&gt;"EX",0,--(COUNTIFS(nNIA,DATOS!$A10480,nCURSO,DATOS!$D10480,nESPEC,DATOS!$E10480,nASIG,DATOS!$I10480,nEVAL,"OR")=0))</f>
      </c>
      <c r="I10480">
        <f>IF(DATOS!$I10480="","",IFERROR(VLOOKUP(DATOS!$I10480,CONFIG_ASIGNATURAS!$B$2:$J$91,9,FALSE()),""))</f>
      </c>
    </row>
    <row r="10481">
      <c r="F10481">
        <f>IF(DATOS!$A10481="","",DATOS!$A10481&amp;"|"&amp;DATOS!$D10481&amp;"|"&amp;DATOS!$E10481&amp;"|"&amp;DATOS!$I10481)</f>
      </c>
      <c r="G10481">
        <f>IF(DATOS!$A10481="",0,IF(CONFIG_METADATA!$B$4&lt;&gt;"OR+EX",--(DATOS!$G10481=CONFIG_METADATA!$B$4),IF(DATOS!$G10481="EX",1,IF(DATOS!$G10481="OR",--(COUNTIFS(nNIA,DATOS!$A10481,nCURSO,DATOS!$D10481,nESPEC,DATOS!$E10481,nASIG,DATOS!$I10481,nEVAL,"EX")=0),0))))</f>
      </c>
      <c r="H10481">
        <f>IF(DATOS!$G10481&lt;&gt;"EX",0,--(COUNTIFS(nNIA,DATOS!$A10481,nCURSO,DATOS!$D10481,nESPEC,DATOS!$E10481,nASIG,DATOS!$I10481,nEVAL,"OR")=0))</f>
      </c>
      <c r="I10481">
        <f>IF(DATOS!$I10481="","",IFERROR(VLOOKUP(DATOS!$I10481,CONFIG_ASIGNATURAS!$B$2:$J$91,9,FALSE()),""))</f>
      </c>
    </row>
    <row r="10482">
      <c r="F10482">
        <f>IF(DATOS!$A10482="","",DATOS!$A10482&amp;"|"&amp;DATOS!$D10482&amp;"|"&amp;DATOS!$E10482&amp;"|"&amp;DATOS!$I10482)</f>
      </c>
      <c r="G10482">
        <f>IF(DATOS!$A10482="",0,IF(CONFIG_METADATA!$B$4&lt;&gt;"OR+EX",--(DATOS!$G10482=CONFIG_METADATA!$B$4),IF(DATOS!$G10482="EX",1,IF(DATOS!$G10482="OR",--(COUNTIFS(nNIA,DATOS!$A10482,nCURSO,DATOS!$D10482,nESPEC,DATOS!$E10482,nASIG,DATOS!$I10482,nEVAL,"EX")=0),0))))</f>
      </c>
      <c r="H10482">
        <f>IF(DATOS!$G10482&lt;&gt;"EX",0,--(COUNTIFS(nNIA,DATOS!$A10482,nCURSO,DATOS!$D10482,nESPEC,DATOS!$E10482,nASIG,DATOS!$I10482,nEVAL,"OR")=0))</f>
      </c>
      <c r="I10482">
        <f>IF(DATOS!$I10482="","",IFERROR(VLOOKUP(DATOS!$I10482,CONFIG_ASIGNATURAS!$B$2:$J$91,9,FALSE()),""))</f>
      </c>
    </row>
    <row r="10483">
      <c r="F10483">
        <f>IF(DATOS!$A10483="","",DATOS!$A10483&amp;"|"&amp;DATOS!$D10483&amp;"|"&amp;DATOS!$E10483&amp;"|"&amp;DATOS!$I10483)</f>
      </c>
      <c r="G10483">
        <f>IF(DATOS!$A10483="",0,IF(CONFIG_METADATA!$B$4&lt;&gt;"OR+EX",--(DATOS!$G10483=CONFIG_METADATA!$B$4),IF(DATOS!$G10483="EX",1,IF(DATOS!$G10483="OR",--(COUNTIFS(nNIA,DATOS!$A10483,nCURSO,DATOS!$D10483,nESPEC,DATOS!$E10483,nASIG,DATOS!$I10483,nEVAL,"EX")=0),0))))</f>
      </c>
      <c r="H10483">
        <f>IF(DATOS!$G10483&lt;&gt;"EX",0,--(COUNTIFS(nNIA,DATOS!$A10483,nCURSO,DATOS!$D10483,nESPEC,DATOS!$E10483,nASIG,DATOS!$I10483,nEVAL,"OR")=0))</f>
      </c>
      <c r="I10483">
        <f>IF(DATOS!$I10483="","",IFERROR(VLOOKUP(DATOS!$I10483,CONFIG_ASIGNATURAS!$B$2:$J$91,9,FALSE()),""))</f>
      </c>
    </row>
    <row r="10484">
      <c r="F10484">
        <f>IF(DATOS!$A10484="","",DATOS!$A10484&amp;"|"&amp;DATOS!$D10484&amp;"|"&amp;DATOS!$E10484&amp;"|"&amp;DATOS!$I10484)</f>
      </c>
      <c r="G10484">
        <f>IF(DATOS!$A10484="",0,IF(CONFIG_METADATA!$B$4&lt;&gt;"OR+EX",--(DATOS!$G10484=CONFIG_METADATA!$B$4),IF(DATOS!$G10484="EX",1,IF(DATOS!$G10484="OR",--(COUNTIFS(nNIA,DATOS!$A10484,nCURSO,DATOS!$D10484,nESPEC,DATOS!$E10484,nASIG,DATOS!$I10484,nEVAL,"EX")=0),0))))</f>
      </c>
      <c r="H10484">
        <f>IF(DATOS!$G10484&lt;&gt;"EX",0,--(COUNTIFS(nNIA,DATOS!$A10484,nCURSO,DATOS!$D10484,nESPEC,DATOS!$E10484,nASIG,DATOS!$I10484,nEVAL,"OR")=0))</f>
      </c>
      <c r="I10484">
        <f>IF(DATOS!$I10484="","",IFERROR(VLOOKUP(DATOS!$I10484,CONFIG_ASIGNATURAS!$B$2:$J$91,9,FALSE()),""))</f>
      </c>
    </row>
    <row r="10485">
      <c r="F10485">
        <f>IF(DATOS!$A10485="","",DATOS!$A10485&amp;"|"&amp;DATOS!$D10485&amp;"|"&amp;DATOS!$E10485&amp;"|"&amp;DATOS!$I10485)</f>
      </c>
      <c r="G10485">
        <f>IF(DATOS!$A10485="",0,IF(CONFIG_METADATA!$B$4&lt;&gt;"OR+EX",--(DATOS!$G10485=CONFIG_METADATA!$B$4),IF(DATOS!$G10485="EX",1,IF(DATOS!$G10485="OR",--(COUNTIFS(nNIA,DATOS!$A10485,nCURSO,DATOS!$D10485,nESPEC,DATOS!$E10485,nASIG,DATOS!$I10485,nEVAL,"EX")=0),0))))</f>
      </c>
      <c r="H10485">
        <f>IF(DATOS!$G10485&lt;&gt;"EX",0,--(COUNTIFS(nNIA,DATOS!$A10485,nCURSO,DATOS!$D10485,nESPEC,DATOS!$E10485,nASIG,DATOS!$I10485,nEVAL,"OR")=0))</f>
      </c>
      <c r="I10485">
        <f>IF(DATOS!$I10485="","",IFERROR(VLOOKUP(DATOS!$I10485,CONFIG_ASIGNATURAS!$B$2:$J$91,9,FALSE()),""))</f>
      </c>
    </row>
    <row r="10486">
      <c r="F10486">
        <f>IF(DATOS!$A10486="","",DATOS!$A10486&amp;"|"&amp;DATOS!$D10486&amp;"|"&amp;DATOS!$E10486&amp;"|"&amp;DATOS!$I10486)</f>
      </c>
      <c r="G10486">
        <f>IF(DATOS!$A10486="",0,IF(CONFIG_METADATA!$B$4&lt;&gt;"OR+EX",--(DATOS!$G10486=CONFIG_METADATA!$B$4),IF(DATOS!$G10486="EX",1,IF(DATOS!$G10486="OR",--(COUNTIFS(nNIA,DATOS!$A10486,nCURSO,DATOS!$D10486,nESPEC,DATOS!$E10486,nASIG,DATOS!$I10486,nEVAL,"EX")=0),0))))</f>
      </c>
      <c r="H10486">
        <f>IF(DATOS!$G10486&lt;&gt;"EX",0,--(COUNTIFS(nNIA,DATOS!$A10486,nCURSO,DATOS!$D10486,nESPEC,DATOS!$E10486,nASIG,DATOS!$I10486,nEVAL,"OR")=0))</f>
      </c>
      <c r="I10486">
        <f>IF(DATOS!$I10486="","",IFERROR(VLOOKUP(DATOS!$I10486,CONFIG_ASIGNATURAS!$B$2:$J$91,9,FALSE()),""))</f>
      </c>
    </row>
    <row r="10487">
      <c r="F10487">
        <f>IF(DATOS!$A10487="","",DATOS!$A10487&amp;"|"&amp;DATOS!$D10487&amp;"|"&amp;DATOS!$E10487&amp;"|"&amp;DATOS!$I10487)</f>
      </c>
      <c r="G10487">
        <f>IF(DATOS!$A10487="",0,IF(CONFIG_METADATA!$B$4&lt;&gt;"OR+EX",--(DATOS!$G10487=CONFIG_METADATA!$B$4),IF(DATOS!$G10487="EX",1,IF(DATOS!$G10487="OR",--(COUNTIFS(nNIA,DATOS!$A10487,nCURSO,DATOS!$D10487,nESPEC,DATOS!$E10487,nASIG,DATOS!$I10487,nEVAL,"EX")=0),0))))</f>
      </c>
      <c r="H10487">
        <f>IF(DATOS!$G10487&lt;&gt;"EX",0,--(COUNTIFS(nNIA,DATOS!$A10487,nCURSO,DATOS!$D10487,nESPEC,DATOS!$E10487,nASIG,DATOS!$I10487,nEVAL,"OR")=0))</f>
      </c>
      <c r="I10487">
        <f>IF(DATOS!$I10487="","",IFERROR(VLOOKUP(DATOS!$I10487,CONFIG_ASIGNATURAS!$B$2:$J$91,9,FALSE()),""))</f>
      </c>
    </row>
    <row r="10488">
      <c r="F10488">
        <f>IF(DATOS!$A10488="","",DATOS!$A10488&amp;"|"&amp;DATOS!$D10488&amp;"|"&amp;DATOS!$E10488&amp;"|"&amp;DATOS!$I10488)</f>
      </c>
      <c r="G10488">
        <f>IF(DATOS!$A10488="",0,IF(CONFIG_METADATA!$B$4&lt;&gt;"OR+EX",--(DATOS!$G10488=CONFIG_METADATA!$B$4),IF(DATOS!$G10488="EX",1,IF(DATOS!$G10488="OR",--(COUNTIFS(nNIA,DATOS!$A10488,nCURSO,DATOS!$D10488,nESPEC,DATOS!$E10488,nASIG,DATOS!$I10488,nEVAL,"EX")=0),0))))</f>
      </c>
      <c r="H10488">
        <f>IF(DATOS!$G10488&lt;&gt;"EX",0,--(COUNTIFS(nNIA,DATOS!$A10488,nCURSO,DATOS!$D10488,nESPEC,DATOS!$E10488,nASIG,DATOS!$I10488,nEVAL,"OR")=0))</f>
      </c>
      <c r="I10488">
        <f>IF(DATOS!$I10488="","",IFERROR(VLOOKUP(DATOS!$I10488,CONFIG_ASIGNATURAS!$B$2:$J$91,9,FALSE()),""))</f>
      </c>
    </row>
    <row r="10489">
      <c r="F10489">
        <f>IF(DATOS!$A10489="","",DATOS!$A10489&amp;"|"&amp;DATOS!$D10489&amp;"|"&amp;DATOS!$E10489&amp;"|"&amp;DATOS!$I10489)</f>
      </c>
      <c r="G10489">
        <f>IF(DATOS!$A10489="",0,IF(CONFIG_METADATA!$B$4&lt;&gt;"OR+EX",--(DATOS!$G10489=CONFIG_METADATA!$B$4),IF(DATOS!$G10489="EX",1,IF(DATOS!$G10489="OR",--(COUNTIFS(nNIA,DATOS!$A10489,nCURSO,DATOS!$D10489,nESPEC,DATOS!$E10489,nASIG,DATOS!$I10489,nEVAL,"EX")=0),0))))</f>
      </c>
      <c r="H10489">
        <f>IF(DATOS!$G10489&lt;&gt;"EX",0,--(COUNTIFS(nNIA,DATOS!$A10489,nCURSO,DATOS!$D10489,nESPEC,DATOS!$E10489,nASIG,DATOS!$I10489,nEVAL,"OR")=0))</f>
      </c>
      <c r="I10489">
        <f>IF(DATOS!$I10489="","",IFERROR(VLOOKUP(DATOS!$I10489,CONFIG_ASIGNATURAS!$B$2:$J$91,9,FALSE()),""))</f>
      </c>
    </row>
    <row r="10490">
      <c r="F10490">
        <f>IF(DATOS!$A10490="","",DATOS!$A10490&amp;"|"&amp;DATOS!$D10490&amp;"|"&amp;DATOS!$E10490&amp;"|"&amp;DATOS!$I10490)</f>
      </c>
      <c r="G10490">
        <f>IF(DATOS!$A10490="",0,IF(CONFIG_METADATA!$B$4&lt;&gt;"OR+EX",--(DATOS!$G10490=CONFIG_METADATA!$B$4),IF(DATOS!$G10490="EX",1,IF(DATOS!$G10490="OR",--(COUNTIFS(nNIA,DATOS!$A10490,nCURSO,DATOS!$D10490,nESPEC,DATOS!$E10490,nASIG,DATOS!$I10490,nEVAL,"EX")=0),0))))</f>
      </c>
      <c r="H10490">
        <f>IF(DATOS!$G10490&lt;&gt;"EX",0,--(COUNTIFS(nNIA,DATOS!$A10490,nCURSO,DATOS!$D10490,nESPEC,DATOS!$E10490,nASIG,DATOS!$I10490,nEVAL,"OR")=0))</f>
      </c>
      <c r="I10490">
        <f>IF(DATOS!$I10490="","",IFERROR(VLOOKUP(DATOS!$I10490,CONFIG_ASIGNATURAS!$B$2:$J$91,9,FALSE()),""))</f>
      </c>
    </row>
    <row r="10491">
      <c r="F10491">
        <f>IF(DATOS!$A10491="","",DATOS!$A10491&amp;"|"&amp;DATOS!$D10491&amp;"|"&amp;DATOS!$E10491&amp;"|"&amp;DATOS!$I10491)</f>
      </c>
      <c r="G10491">
        <f>IF(DATOS!$A10491="",0,IF(CONFIG_METADATA!$B$4&lt;&gt;"OR+EX",--(DATOS!$G10491=CONFIG_METADATA!$B$4),IF(DATOS!$G10491="EX",1,IF(DATOS!$G10491="OR",--(COUNTIFS(nNIA,DATOS!$A10491,nCURSO,DATOS!$D10491,nESPEC,DATOS!$E10491,nASIG,DATOS!$I10491,nEVAL,"EX")=0),0))))</f>
      </c>
      <c r="H10491">
        <f>IF(DATOS!$G10491&lt;&gt;"EX",0,--(COUNTIFS(nNIA,DATOS!$A10491,nCURSO,DATOS!$D10491,nESPEC,DATOS!$E10491,nASIG,DATOS!$I10491,nEVAL,"OR")=0))</f>
      </c>
      <c r="I10491">
        <f>IF(DATOS!$I10491="","",IFERROR(VLOOKUP(DATOS!$I10491,CONFIG_ASIGNATURAS!$B$2:$J$91,9,FALSE()),""))</f>
      </c>
    </row>
    <row r="10492">
      <c r="F10492">
        <f>IF(DATOS!$A10492="","",DATOS!$A10492&amp;"|"&amp;DATOS!$D10492&amp;"|"&amp;DATOS!$E10492&amp;"|"&amp;DATOS!$I10492)</f>
      </c>
      <c r="G10492">
        <f>IF(DATOS!$A10492="",0,IF(CONFIG_METADATA!$B$4&lt;&gt;"OR+EX",--(DATOS!$G10492=CONFIG_METADATA!$B$4),IF(DATOS!$G10492="EX",1,IF(DATOS!$G10492="OR",--(COUNTIFS(nNIA,DATOS!$A10492,nCURSO,DATOS!$D10492,nESPEC,DATOS!$E10492,nASIG,DATOS!$I10492,nEVAL,"EX")=0),0))))</f>
      </c>
      <c r="H10492">
        <f>IF(DATOS!$G10492&lt;&gt;"EX",0,--(COUNTIFS(nNIA,DATOS!$A10492,nCURSO,DATOS!$D10492,nESPEC,DATOS!$E10492,nASIG,DATOS!$I10492,nEVAL,"OR")=0))</f>
      </c>
      <c r="I10492">
        <f>IF(DATOS!$I10492="","",IFERROR(VLOOKUP(DATOS!$I10492,CONFIG_ASIGNATURAS!$B$2:$J$91,9,FALSE()),""))</f>
      </c>
    </row>
    <row r="10493">
      <c r="F10493">
        <f>IF(DATOS!$A10493="","",DATOS!$A10493&amp;"|"&amp;DATOS!$D10493&amp;"|"&amp;DATOS!$E10493&amp;"|"&amp;DATOS!$I10493)</f>
      </c>
      <c r="G10493">
        <f>IF(DATOS!$A10493="",0,IF(CONFIG_METADATA!$B$4&lt;&gt;"OR+EX",--(DATOS!$G10493=CONFIG_METADATA!$B$4),IF(DATOS!$G10493="EX",1,IF(DATOS!$G10493="OR",--(COUNTIFS(nNIA,DATOS!$A10493,nCURSO,DATOS!$D10493,nESPEC,DATOS!$E10493,nASIG,DATOS!$I10493,nEVAL,"EX")=0),0))))</f>
      </c>
      <c r="H10493">
        <f>IF(DATOS!$G10493&lt;&gt;"EX",0,--(COUNTIFS(nNIA,DATOS!$A10493,nCURSO,DATOS!$D10493,nESPEC,DATOS!$E10493,nASIG,DATOS!$I10493,nEVAL,"OR")=0))</f>
      </c>
      <c r="I10493">
        <f>IF(DATOS!$I10493="","",IFERROR(VLOOKUP(DATOS!$I10493,CONFIG_ASIGNATURAS!$B$2:$J$91,9,FALSE()),""))</f>
      </c>
    </row>
    <row r="10494">
      <c r="F10494">
        <f>IF(DATOS!$A10494="","",DATOS!$A10494&amp;"|"&amp;DATOS!$D10494&amp;"|"&amp;DATOS!$E10494&amp;"|"&amp;DATOS!$I10494)</f>
      </c>
      <c r="G10494">
        <f>IF(DATOS!$A10494="",0,IF(CONFIG_METADATA!$B$4&lt;&gt;"OR+EX",--(DATOS!$G10494=CONFIG_METADATA!$B$4),IF(DATOS!$G10494="EX",1,IF(DATOS!$G10494="OR",--(COUNTIFS(nNIA,DATOS!$A10494,nCURSO,DATOS!$D10494,nESPEC,DATOS!$E10494,nASIG,DATOS!$I10494,nEVAL,"EX")=0),0))))</f>
      </c>
      <c r="H10494">
        <f>IF(DATOS!$G10494&lt;&gt;"EX",0,--(COUNTIFS(nNIA,DATOS!$A10494,nCURSO,DATOS!$D10494,nESPEC,DATOS!$E10494,nASIG,DATOS!$I10494,nEVAL,"OR")=0))</f>
      </c>
      <c r="I10494">
        <f>IF(DATOS!$I10494="","",IFERROR(VLOOKUP(DATOS!$I10494,CONFIG_ASIGNATURAS!$B$2:$J$91,9,FALSE()),""))</f>
      </c>
    </row>
    <row r="10495">
      <c r="F10495">
        <f>IF(DATOS!$A10495="","",DATOS!$A10495&amp;"|"&amp;DATOS!$D10495&amp;"|"&amp;DATOS!$E10495&amp;"|"&amp;DATOS!$I10495)</f>
      </c>
      <c r="G10495">
        <f>IF(DATOS!$A10495="",0,IF(CONFIG_METADATA!$B$4&lt;&gt;"OR+EX",--(DATOS!$G10495=CONFIG_METADATA!$B$4),IF(DATOS!$G10495="EX",1,IF(DATOS!$G10495="OR",--(COUNTIFS(nNIA,DATOS!$A10495,nCURSO,DATOS!$D10495,nESPEC,DATOS!$E10495,nASIG,DATOS!$I10495,nEVAL,"EX")=0),0))))</f>
      </c>
      <c r="H10495">
        <f>IF(DATOS!$G10495&lt;&gt;"EX",0,--(COUNTIFS(nNIA,DATOS!$A10495,nCURSO,DATOS!$D10495,nESPEC,DATOS!$E10495,nASIG,DATOS!$I10495,nEVAL,"OR")=0))</f>
      </c>
      <c r="I10495">
        <f>IF(DATOS!$I10495="","",IFERROR(VLOOKUP(DATOS!$I10495,CONFIG_ASIGNATURAS!$B$2:$J$91,9,FALSE()),""))</f>
      </c>
    </row>
    <row r="10496">
      <c r="F10496">
        <f>IF(DATOS!$A10496="","",DATOS!$A10496&amp;"|"&amp;DATOS!$D10496&amp;"|"&amp;DATOS!$E10496&amp;"|"&amp;DATOS!$I10496)</f>
      </c>
      <c r="G10496">
        <f>IF(DATOS!$A10496="",0,IF(CONFIG_METADATA!$B$4&lt;&gt;"OR+EX",--(DATOS!$G10496=CONFIG_METADATA!$B$4),IF(DATOS!$G10496="EX",1,IF(DATOS!$G10496="OR",--(COUNTIFS(nNIA,DATOS!$A10496,nCURSO,DATOS!$D10496,nESPEC,DATOS!$E10496,nASIG,DATOS!$I10496,nEVAL,"EX")=0),0))))</f>
      </c>
      <c r="H10496">
        <f>IF(DATOS!$G10496&lt;&gt;"EX",0,--(COUNTIFS(nNIA,DATOS!$A10496,nCURSO,DATOS!$D10496,nESPEC,DATOS!$E10496,nASIG,DATOS!$I10496,nEVAL,"OR")=0))</f>
      </c>
      <c r="I10496">
        <f>IF(DATOS!$I10496="","",IFERROR(VLOOKUP(DATOS!$I10496,CONFIG_ASIGNATURAS!$B$2:$J$91,9,FALSE()),""))</f>
      </c>
    </row>
    <row r="10497">
      <c r="F10497">
        <f>IF(DATOS!$A10497="","",DATOS!$A10497&amp;"|"&amp;DATOS!$D10497&amp;"|"&amp;DATOS!$E10497&amp;"|"&amp;DATOS!$I10497)</f>
      </c>
      <c r="G10497">
        <f>IF(DATOS!$A10497="",0,IF(CONFIG_METADATA!$B$4&lt;&gt;"OR+EX",--(DATOS!$G10497=CONFIG_METADATA!$B$4),IF(DATOS!$G10497="EX",1,IF(DATOS!$G10497="OR",--(COUNTIFS(nNIA,DATOS!$A10497,nCURSO,DATOS!$D10497,nESPEC,DATOS!$E10497,nASIG,DATOS!$I10497,nEVAL,"EX")=0),0))))</f>
      </c>
      <c r="H10497">
        <f>IF(DATOS!$G10497&lt;&gt;"EX",0,--(COUNTIFS(nNIA,DATOS!$A10497,nCURSO,DATOS!$D10497,nESPEC,DATOS!$E10497,nASIG,DATOS!$I10497,nEVAL,"OR")=0))</f>
      </c>
      <c r="I10497">
        <f>IF(DATOS!$I10497="","",IFERROR(VLOOKUP(DATOS!$I10497,CONFIG_ASIGNATURAS!$B$2:$J$91,9,FALSE()),""))</f>
      </c>
    </row>
    <row r="10498">
      <c r="F10498">
        <f>IF(DATOS!$A10498="","",DATOS!$A10498&amp;"|"&amp;DATOS!$D10498&amp;"|"&amp;DATOS!$E10498&amp;"|"&amp;DATOS!$I10498)</f>
      </c>
      <c r="G10498">
        <f>IF(DATOS!$A10498="",0,IF(CONFIG_METADATA!$B$4&lt;&gt;"OR+EX",--(DATOS!$G10498=CONFIG_METADATA!$B$4),IF(DATOS!$G10498="EX",1,IF(DATOS!$G10498="OR",--(COUNTIFS(nNIA,DATOS!$A10498,nCURSO,DATOS!$D10498,nESPEC,DATOS!$E10498,nASIG,DATOS!$I10498,nEVAL,"EX")=0),0))))</f>
      </c>
      <c r="H10498">
        <f>IF(DATOS!$G10498&lt;&gt;"EX",0,--(COUNTIFS(nNIA,DATOS!$A10498,nCURSO,DATOS!$D10498,nESPEC,DATOS!$E10498,nASIG,DATOS!$I10498,nEVAL,"OR")=0))</f>
      </c>
      <c r="I10498">
        <f>IF(DATOS!$I10498="","",IFERROR(VLOOKUP(DATOS!$I10498,CONFIG_ASIGNATURAS!$B$2:$J$91,9,FALSE()),""))</f>
      </c>
    </row>
    <row r="10499">
      <c r="F10499">
        <f>IF(DATOS!$A10499="","",DATOS!$A10499&amp;"|"&amp;DATOS!$D10499&amp;"|"&amp;DATOS!$E10499&amp;"|"&amp;DATOS!$I10499)</f>
      </c>
      <c r="G10499">
        <f>IF(DATOS!$A10499="",0,IF(CONFIG_METADATA!$B$4&lt;&gt;"OR+EX",--(DATOS!$G10499=CONFIG_METADATA!$B$4),IF(DATOS!$G10499="EX",1,IF(DATOS!$G10499="OR",--(COUNTIFS(nNIA,DATOS!$A10499,nCURSO,DATOS!$D10499,nESPEC,DATOS!$E10499,nASIG,DATOS!$I10499,nEVAL,"EX")=0),0))))</f>
      </c>
      <c r="H10499">
        <f>IF(DATOS!$G10499&lt;&gt;"EX",0,--(COUNTIFS(nNIA,DATOS!$A10499,nCURSO,DATOS!$D10499,nESPEC,DATOS!$E10499,nASIG,DATOS!$I10499,nEVAL,"OR")=0))</f>
      </c>
      <c r="I10499">
        <f>IF(DATOS!$I10499="","",IFERROR(VLOOKUP(DATOS!$I10499,CONFIG_ASIGNATURAS!$B$2:$J$91,9,FALSE()),""))</f>
      </c>
    </row>
    <row r="10500">
      <c r="F10500">
        <f>IF(DATOS!$A10500="","",DATOS!$A10500&amp;"|"&amp;DATOS!$D10500&amp;"|"&amp;DATOS!$E10500&amp;"|"&amp;DATOS!$I10500)</f>
      </c>
      <c r="G10500">
        <f>IF(DATOS!$A10500="",0,IF(CONFIG_METADATA!$B$4&lt;&gt;"OR+EX",--(DATOS!$G10500=CONFIG_METADATA!$B$4),IF(DATOS!$G10500="EX",1,IF(DATOS!$G10500="OR",--(COUNTIFS(nNIA,DATOS!$A10500,nCURSO,DATOS!$D10500,nESPEC,DATOS!$E10500,nASIG,DATOS!$I10500,nEVAL,"EX")=0),0))))</f>
      </c>
      <c r="H10500">
        <f>IF(DATOS!$G10500&lt;&gt;"EX",0,--(COUNTIFS(nNIA,DATOS!$A10500,nCURSO,DATOS!$D10500,nESPEC,DATOS!$E10500,nASIG,DATOS!$I10500,nEVAL,"OR")=0))</f>
      </c>
      <c r="I10500">
        <f>IF(DATOS!$I10500="","",IFERROR(VLOOKUP(DATOS!$I10500,CONFIG_ASIGNATURAS!$B$2:$J$91,9,FALSE()),""))</f>
      </c>
    </row>
    <row r="10501">
      <c r="F10501">
        <f>IF(DATOS!$A10501="","",DATOS!$A10501&amp;"|"&amp;DATOS!$D10501&amp;"|"&amp;DATOS!$E10501&amp;"|"&amp;DATOS!$I10501)</f>
      </c>
      <c r="G10501">
        <f>IF(DATOS!$A10501="",0,IF(CONFIG_METADATA!$B$4&lt;&gt;"OR+EX",--(DATOS!$G10501=CONFIG_METADATA!$B$4),IF(DATOS!$G10501="EX",1,IF(DATOS!$G10501="OR",--(COUNTIFS(nNIA,DATOS!$A10501,nCURSO,DATOS!$D10501,nESPEC,DATOS!$E10501,nASIG,DATOS!$I10501,nEVAL,"EX")=0),0))))</f>
      </c>
      <c r="H10501">
        <f>IF(DATOS!$G10501&lt;&gt;"EX",0,--(COUNTIFS(nNIA,DATOS!$A10501,nCURSO,DATOS!$D10501,nESPEC,DATOS!$E10501,nASIG,DATOS!$I10501,nEVAL,"OR")=0))</f>
      </c>
      <c r="I10501">
        <f>IF(DATOS!$I10501="","",IFERROR(VLOOKUP(DATOS!$I10501,CONFIG_ASIGNATURAS!$B$2:$J$91,9,FALSE()),""))</f>
      </c>
    </row>
    <row r="10502">
      <c r="F10502">
        <f>IF(DATOS!$A10502="","",DATOS!$A10502&amp;"|"&amp;DATOS!$D10502&amp;"|"&amp;DATOS!$E10502&amp;"|"&amp;DATOS!$I10502)</f>
      </c>
      <c r="G10502">
        <f>IF(DATOS!$A10502="",0,IF(CONFIG_METADATA!$B$4&lt;&gt;"OR+EX",--(DATOS!$G10502=CONFIG_METADATA!$B$4),IF(DATOS!$G10502="EX",1,IF(DATOS!$G10502="OR",--(COUNTIFS(nNIA,DATOS!$A10502,nCURSO,DATOS!$D10502,nESPEC,DATOS!$E10502,nASIG,DATOS!$I10502,nEVAL,"EX")=0),0))))</f>
      </c>
      <c r="H10502">
        <f>IF(DATOS!$G10502&lt;&gt;"EX",0,--(COUNTIFS(nNIA,DATOS!$A10502,nCURSO,DATOS!$D10502,nESPEC,DATOS!$E10502,nASIG,DATOS!$I10502,nEVAL,"OR")=0))</f>
      </c>
      <c r="I10502">
        <f>IF(DATOS!$I10502="","",IFERROR(VLOOKUP(DATOS!$I10502,CONFIG_ASIGNATURAS!$B$2:$J$91,9,FALSE()),""))</f>
      </c>
    </row>
    <row r="10503">
      <c r="F10503">
        <f>IF(DATOS!$A10503="","",DATOS!$A10503&amp;"|"&amp;DATOS!$D10503&amp;"|"&amp;DATOS!$E10503&amp;"|"&amp;DATOS!$I10503)</f>
      </c>
      <c r="G10503">
        <f>IF(DATOS!$A10503="",0,IF(CONFIG_METADATA!$B$4&lt;&gt;"OR+EX",--(DATOS!$G10503=CONFIG_METADATA!$B$4),IF(DATOS!$G10503="EX",1,IF(DATOS!$G10503="OR",--(COUNTIFS(nNIA,DATOS!$A10503,nCURSO,DATOS!$D10503,nESPEC,DATOS!$E10503,nASIG,DATOS!$I10503,nEVAL,"EX")=0),0))))</f>
      </c>
      <c r="H10503">
        <f>IF(DATOS!$G10503&lt;&gt;"EX",0,--(COUNTIFS(nNIA,DATOS!$A10503,nCURSO,DATOS!$D10503,nESPEC,DATOS!$E10503,nASIG,DATOS!$I10503,nEVAL,"OR")=0))</f>
      </c>
      <c r="I10503">
        <f>IF(DATOS!$I10503="","",IFERROR(VLOOKUP(DATOS!$I10503,CONFIG_ASIGNATURAS!$B$2:$J$91,9,FALSE()),""))</f>
      </c>
    </row>
    <row r="10504">
      <c r="F10504">
        <f>IF(DATOS!$A10504="","",DATOS!$A10504&amp;"|"&amp;DATOS!$D10504&amp;"|"&amp;DATOS!$E10504&amp;"|"&amp;DATOS!$I10504)</f>
      </c>
      <c r="G10504">
        <f>IF(DATOS!$A10504="",0,IF(CONFIG_METADATA!$B$4&lt;&gt;"OR+EX",--(DATOS!$G10504=CONFIG_METADATA!$B$4),IF(DATOS!$G10504="EX",1,IF(DATOS!$G10504="OR",--(COUNTIFS(nNIA,DATOS!$A10504,nCURSO,DATOS!$D10504,nESPEC,DATOS!$E10504,nASIG,DATOS!$I10504,nEVAL,"EX")=0),0))))</f>
      </c>
      <c r="H10504">
        <f>IF(DATOS!$G10504&lt;&gt;"EX",0,--(COUNTIFS(nNIA,DATOS!$A10504,nCURSO,DATOS!$D10504,nESPEC,DATOS!$E10504,nASIG,DATOS!$I10504,nEVAL,"OR")=0))</f>
      </c>
      <c r="I10504">
        <f>IF(DATOS!$I10504="","",IFERROR(VLOOKUP(DATOS!$I10504,CONFIG_ASIGNATURAS!$B$2:$J$91,9,FALSE()),""))</f>
      </c>
    </row>
    <row r="10505">
      <c r="F10505">
        <f>IF(DATOS!$A10505="","",DATOS!$A10505&amp;"|"&amp;DATOS!$D10505&amp;"|"&amp;DATOS!$E10505&amp;"|"&amp;DATOS!$I10505)</f>
      </c>
      <c r="G10505">
        <f>IF(DATOS!$A10505="",0,IF(CONFIG_METADATA!$B$4&lt;&gt;"OR+EX",--(DATOS!$G10505=CONFIG_METADATA!$B$4),IF(DATOS!$G10505="EX",1,IF(DATOS!$G10505="OR",--(COUNTIFS(nNIA,DATOS!$A10505,nCURSO,DATOS!$D10505,nESPEC,DATOS!$E10505,nASIG,DATOS!$I10505,nEVAL,"EX")=0),0))))</f>
      </c>
      <c r="H10505">
        <f>IF(DATOS!$G10505&lt;&gt;"EX",0,--(COUNTIFS(nNIA,DATOS!$A10505,nCURSO,DATOS!$D10505,nESPEC,DATOS!$E10505,nASIG,DATOS!$I10505,nEVAL,"OR")=0))</f>
      </c>
      <c r="I10505">
        <f>IF(DATOS!$I10505="","",IFERROR(VLOOKUP(DATOS!$I10505,CONFIG_ASIGNATURAS!$B$2:$J$91,9,FALSE()),""))</f>
      </c>
    </row>
    <row r="10506">
      <c r="F10506">
        <f>IF(DATOS!$A10506="","",DATOS!$A10506&amp;"|"&amp;DATOS!$D10506&amp;"|"&amp;DATOS!$E10506&amp;"|"&amp;DATOS!$I10506)</f>
      </c>
      <c r="G10506">
        <f>IF(DATOS!$A10506="",0,IF(CONFIG_METADATA!$B$4&lt;&gt;"OR+EX",--(DATOS!$G10506=CONFIG_METADATA!$B$4),IF(DATOS!$G10506="EX",1,IF(DATOS!$G10506="OR",--(COUNTIFS(nNIA,DATOS!$A10506,nCURSO,DATOS!$D10506,nESPEC,DATOS!$E10506,nASIG,DATOS!$I10506,nEVAL,"EX")=0),0))))</f>
      </c>
      <c r="H10506">
        <f>IF(DATOS!$G10506&lt;&gt;"EX",0,--(COUNTIFS(nNIA,DATOS!$A10506,nCURSO,DATOS!$D10506,nESPEC,DATOS!$E10506,nASIG,DATOS!$I10506,nEVAL,"OR")=0))</f>
      </c>
      <c r="I10506">
        <f>IF(DATOS!$I10506="","",IFERROR(VLOOKUP(DATOS!$I10506,CONFIG_ASIGNATURAS!$B$2:$J$91,9,FALSE()),""))</f>
      </c>
    </row>
    <row r="10507">
      <c r="F10507">
        <f>IF(DATOS!$A10507="","",DATOS!$A10507&amp;"|"&amp;DATOS!$D10507&amp;"|"&amp;DATOS!$E10507&amp;"|"&amp;DATOS!$I10507)</f>
      </c>
      <c r="G10507">
        <f>IF(DATOS!$A10507="",0,IF(CONFIG_METADATA!$B$4&lt;&gt;"OR+EX",--(DATOS!$G10507=CONFIG_METADATA!$B$4),IF(DATOS!$G10507="EX",1,IF(DATOS!$G10507="OR",--(COUNTIFS(nNIA,DATOS!$A10507,nCURSO,DATOS!$D10507,nESPEC,DATOS!$E10507,nASIG,DATOS!$I10507,nEVAL,"EX")=0),0))))</f>
      </c>
      <c r="H10507">
        <f>IF(DATOS!$G10507&lt;&gt;"EX",0,--(COUNTIFS(nNIA,DATOS!$A10507,nCURSO,DATOS!$D10507,nESPEC,DATOS!$E10507,nASIG,DATOS!$I10507,nEVAL,"OR")=0))</f>
      </c>
      <c r="I10507">
        <f>IF(DATOS!$I10507="","",IFERROR(VLOOKUP(DATOS!$I10507,CONFIG_ASIGNATURAS!$B$2:$J$91,9,FALSE()),""))</f>
      </c>
    </row>
    <row r="10508">
      <c r="F10508">
        <f>IF(DATOS!$A10508="","",DATOS!$A10508&amp;"|"&amp;DATOS!$D10508&amp;"|"&amp;DATOS!$E10508&amp;"|"&amp;DATOS!$I10508)</f>
      </c>
      <c r="G10508">
        <f>IF(DATOS!$A10508="",0,IF(CONFIG_METADATA!$B$4&lt;&gt;"OR+EX",--(DATOS!$G10508=CONFIG_METADATA!$B$4),IF(DATOS!$G10508="EX",1,IF(DATOS!$G10508="OR",--(COUNTIFS(nNIA,DATOS!$A10508,nCURSO,DATOS!$D10508,nESPEC,DATOS!$E10508,nASIG,DATOS!$I10508,nEVAL,"EX")=0),0))))</f>
      </c>
      <c r="H10508">
        <f>IF(DATOS!$G10508&lt;&gt;"EX",0,--(COUNTIFS(nNIA,DATOS!$A10508,nCURSO,DATOS!$D10508,nESPEC,DATOS!$E10508,nASIG,DATOS!$I10508,nEVAL,"OR")=0))</f>
      </c>
      <c r="I10508">
        <f>IF(DATOS!$I10508="","",IFERROR(VLOOKUP(DATOS!$I10508,CONFIG_ASIGNATURAS!$B$2:$J$91,9,FALSE()),""))</f>
      </c>
    </row>
    <row r="10509">
      <c r="F10509">
        <f>IF(DATOS!$A10509="","",DATOS!$A10509&amp;"|"&amp;DATOS!$D10509&amp;"|"&amp;DATOS!$E10509&amp;"|"&amp;DATOS!$I10509)</f>
      </c>
      <c r="G10509">
        <f>IF(DATOS!$A10509="",0,IF(CONFIG_METADATA!$B$4&lt;&gt;"OR+EX",--(DATOS!$G10509=CONFIG_METADATA!$B$4),IF(DATOS!$G10509="EX",1,IF(DATOS!$G10509="OR",--(COUNTIFS(nNIA,DATOS!$A10509,nCURSO,DATOS!$D10509,nESPEC,DATOS!$E10509,nASIG,DATOS!$I10509,nEVAL,"EX")=0),0))))</f>
      </c>
      <c r="H10509">
        <f>IF(DATOS!$G10509&lt;&gt;"EX",0,--(COUNTIFS(nNIA,DATOS!$A10509,nCURSO,DATOS!$D10509,nESPEC,DATOS!$E10509,nASIG,DATOS!$I10509,nEVAL,"OR")=0))</f>
      </c>
      <c r="I10509">
        <f>IF(DATOS!$I10509="","",IFERROR(VLOOKUP(DATOS!$I10509,CONFIG_ASIGNATURAS!$B$2:$J$91,9,FALSE()),""))</f>
      </c>
    </row>
    <row r="10510">
      <c r="F10510">
        <f>IF(DATOS!$A10510="","",DATOS!$A10510&amp;"|"&amp;DATOS!$D10510&amp;"|"&amp;DATOS!$E10510&amp;"|"&amp;DATOS!$I10510)</f>
      </c>
      <c r="G10510">
        <f>IF(DATOS!$A10510="",0,IF(CONFIG_METADATA!$B$4&lt;&gt;"OR+EX",--(DATOS!$G10510=CONFIG_METADATA!$B$4),IF(DATOS!$G10510="EX",1,IF(DATOS!$G10510="OR",--(COUNTIFS(nNIA,DATOS!$A10510,nCURSO,DATOS!$D10510,nESPEC,DATOS!$E10510,nASIG,DATOS!$I10510,nEVAL,"EX")=0),0))))</f>
      </c>
      <c r="H10510">
        <f>IF(DATOS!$G10510&lt;&gt;"EX",0,--(COUNTIFS(nNIA,DATOS!$A10510,nCURSO,DATOS!$D10510,nESPEC,DATOS!$E10510,nASIG,DATOS!$I10510,nEVAL,"OR")=0))</f>
      </c>
      <c r="I10510">
        <f>IF(DATOS!$I10510="","",IFERROR(VLOOKUP(DATOS!$I10510,CONFIG_ASIGNATURAS!$B$2:$J$91,9,FALSE()),""))</f>
      </c>
    </row>
    <row r="10511">
      <c r="F10511">
        <f>IF(DATOS!$A10511="","",DATOS!$A10511&amp;"|"&amp;DATOS!$D10511&amp;"|"&amp;DATOS!$E10511&amp;"|"&amp;DATOS!$I10511)</f>
      </c>
      <c r="G10511">
        <f>IF(DATOS!$A10511="",0,IF(CONFIG_METADATA!$B$4&lt;&gt;"OR+EX",--(DATOS!$G10511=CONFIG_METADATA!$B$4),IF(DATOS!$G10511="EX",1,IF(DATOS!$G10511="OR",--(COUNTIFS(nNIA,DATOS!$A10511,nCURSO,DATOS!$D10511,nESPEC,DATOS!$E10511,nASIG,DATOS!$I10511,nEVAL,"EX")=0),0))))</f>
      </c>
      <c r="H10511">
        <f>IF(DATOS!$G10511&lt;&gt;"EX",0,--(COUNTIFS(nNIA,DATOS!$A10511,nCURSO,DATOS!$D10511,nESPEC,DATOS!$E10511,nASIG,DATOS!$I10511,nEVAL,"OR")=0))</f>
      </c>
      <c r="I10511">
        <f>IF(DATOS!$I10511="","",IFERROR(VLOOKUP(DATOS!$I10511,CONFIG_ASIGNATURAS!$B$2:$J$91,9,FALSE()),""))</f>
      </c>
    </row>
    <row r="10512">
      <c r="F10512">
        <f>IF(DATOS!$A10512="","",DATOS!$A10512&amp;"|"&amp;DATOS!$D10512&amp;"|"&amp;DATOS!$E10512&amp;"|"&amp;DATOS!$I10512)</f>
      </c>
      <c r="G10512">
        <f>IF(DATOS!$A10512="",0,IF(CONFIG_METADATA!$B$4&lt;&gt;"OR+EX",--(DATOS!$G10512=CONFIG_METADATA!$B$4),IF(DATOS!$G10512="EX",1,IF(DATOS!$G10512="OR",--(COUNTIFS(nNIA,DATOS!$A10512,nCURSO,DATOS!$D10512,nESPEC,DATOS!$E10512,nASIG,DATOS!$I10512,nEVAL,"EX")=0),0))))</f>
      </c>
      <c r="H10512">
        <f>IF(DATOS!$G10512&lt;&gt;"EX",0,--(COUNTIFS(nNIA,DATOS!$A10512,nCURSO,DATOS!$D10512,nESPEC,DATOS!$E10512,nASIG,DATOS!$I10512,nEVAL,"OR")=0))</f>
      </c>
      <c r="I10512">
        <f>IF(DATOS!$I10512="","",IFERROR(VLOOKUP(DATOS!$I10512,CONFIG_ASIGNATURAS!$B$2:$J$91,9,FALSE()),""))</f>
      </c>
    </row>
    <row r="10513">
      <c r="F10513">
        <f>IF(DATOS!$A10513="","",DATOS!$A10513&amp;"|"&amp;DATOS!$D10513&amp;"|"&amp;DATOS!$E10513&amp;"|"&amp;DATOS!$I10513)</f>
      </c>
      <c r="G10513">
        <f>IF(DATOS!$A10513="",0,IF(CONFIG_METADATA!$B$4&lt;&gt;"OR+EX",--(DATOS!$G10513=CONFIG_METADATA!$B$4),IF(DATOS!$G10513="EX",1,IF(DATOS!$G10513="OR",--(COUNTIFS(nNIA,DATOS!$A10513,nCURSO,DATOS!$D10513,nESPEC,DATOS!$E10513,nASIG,DATOS!$I10513,nEVAL,"EX")=0),0))))</f>
      </c>
      <c r="H10513">
        <f>IF(DATOS!$G10513&lt;&gt;"EX",0,--(COUNTIFS(nNIA,DATOS!$A10513,nCURSO,DATOS!$D10513,nESPEC,DATOS!$E10513,nASIG,DATOS!$I10513,nEVAL,"OR")=0))</f>
      </c>
      <c r="I10513">
        <f>IF(DATOS!$I10513="","",IFERROR(VLOOKUP(DATOS!$I10513,CONFIG_ASIGNATURAS!$B$2:$J$91,9,FALSE()),""))</f>
      </c>
    </row>
    <row r="10514">
      <c r="F10514">
        <f>IF(DATOS!$A10514="","",DATOS!$A10514&amp;"|"&amp;DATOS!$D10514&amp;"|"&amp;DATOS!$E10514&amp;"|"&amp;DATOS!$I10514)</f>
      </c>
      <c r="G10514">
        <f>IF(DATOS!$A10514="",0,IF(CONFIG_METADATA!$B$4&lt;&gt;"OR+EX",--(DATOS!$G10514=CONFIG_METADATA!$B$4),IF(DATOS!$G10514="EX",1,IF(DATOS!$G10514="OR",--(COUNTIFS(nNIA,DATOS!$A10514,nCURSO,DATOS!$D10514,nESPEC,DATOS!$E10514,nASIG,DATOS!$I10514,nEVAL,"EX")=0),0))))</f>
      </c>
      <c r="H10514">
        <f>IF(DATOS!$G10514&lt;&gt;"EX",0,--(COUNTIFS(nNIA,DATOS!$A10514,nCURSO,DATOS!$D10514,nESPEC,DATOS!$E10514,nASIG,DATOS!$I10514,nEVAL,"OR")=0))</f>
      </c>
      <c r="I10514">
        <f>IF(DATOS!$I10514="","",IFERROR(VLOOKUP(DATOS!$I10514,CONFIG_ASIGNATURAS!$B$2:$J$91,9,FALSE()),""))</f>
      </c>
    </row>
    <row r="10515">
      <c r="F10515">
        <f>IF(DATOS!$A10515="","",DATOS!$A10515&amp;"|"&amp;DATOS!$D10515&amp;"|"&amp;DATOS!$E10515&amp;"|"&amp;DATOS!$I10515)</f>
      </c>
      <c r="G10515">
        <f>IF(DATOS!$A10515="",0,IF(CONFIG_METADATA!$B$4&lt;&gt;"OR+EX",--(DATOS!$G10515=CONFIG_METADATA!$B$4),IF(DATOS!$G10515="EX",1,IF(DATOS!$G10515="OR",--(COUNTIFS(nNIA,DATOS!$A10515,nCURSO,DATOS!$D10515,nESPEC,DATOS!$E10515,nASIG,DATOS!$I10515,nEVAL,"EX")=0),0))))</f>
      </c>
      <c r="H10515">
        <f>IF(DATOS!$G10515&lt;&gt;"EX",0,--(COUNTIFS(nNIA,DATOS!$A10515,nCURSO,DATOS!$D10515,nESPEC,DATOS!$E10515,nASIG,DATOS!$I10515,nEVAL,"OR")=0))</f>
      </c>
      <c r="I10515">
        <f>IF(DATOS!$I10515="","",IFERROR(VLOOKUP(DATOS!$I10515,CONFIG_ASIGNATURAS!$B$2:$J$91,9,FALSE()),""))</f>
      </c>
    </row>
    <row r="10516">
      <c r="F10516">
        <f>IF(DATOS!$A10516="","",DATOS!$A10516&amp;"|"&amp;DATOS!$D10516&amp;"|"&amp;DATOS!$E10516&amp;"|"&amp;DATOS!$I10516)</f>
      </c>
      <c r="G10516">
        <f>IF(DATOS!$A10516="",0,IF(CONFIG_METADATA!$B$4&lt;&gt;"OR+EX",--(DATOS!$G10516=CONFIG_METADATA!$B$4),IF(DATOS!$G10516="EX",1,IF(DATOS!$G10516="OR",--(COUNTIFS(nNIA,DATOS!$A10516,nCURSO,DATOS!$D10516,nESPEC,DATOS!$E10516,nASIG,DATOS!$I10516,nEVAL,"EX")=0),0))))</f>
      </c>
      <c r="H10516">
        <f>IF(DATOS!$G10516&lt;&gt;"EX",0,--(COUNTIFS(nNIA,DATOS!$A10516,nCURSO,DATOS!$D10516,nESPEC,DATOS!$E10516,nASIG,DATOS!$I10516,nEVAL,"OR")=0))</f>
      </c>
      <c r="I10516">
        <f>IF(DATOS!$I10516="","",IFERROR(VLOOKUP(DATOS!$I10516,CONFIG_ASIGNATURAS!$B$2:$J$91,9,FALSE()),""))</f>
      </c>
    </row>
    <row r="10517">
      <c r="F10517">
        <f>IF(DATOS!$A10517="","",DATOS!$A10517&amp;"|"&amp;DATOS!$D10517&amp;"|"&amp;DATOS!$E10517&amp;"|"&amp;DATOS!$I10517)</f>
      </c>
      <c r="G10517">
        <f>IF(DATOS!$A10517="",0,IF(CONFIG_METADATA!$B$4&lt;&gt;"OR+EX",--(DATOS!$G10517=CONFIG_METADATA!$B$4),IF(DATOS!$G10517="EX",1,IF(DATOS!$G10517="OR",--(COUNTIFS(nNIA,DATOS!$A10517,nCURSO,DATOS!$D10517,nESPEC,DATOS!$E10517,nASIG,DATOS!$I10517,nEVAL,"EX")=0),0))))</f>
      </c>
      <c r="H10517">
        <f>IF(DATOS!$G10517&lt;&gt;"EX",0,--(COUNTIFS(nNIA,DATOS!$A10517,nCURSO,DATOS!$D10517,nESPEC,DATOS!$E10517,nASIG,DATOS!$I10517,nEVAL,"OR")=0))</f>
      </c>
      <c r="I10517">
        <f>IF(DATOS!$I10517="","",IFERROR(VLOOKUP(DATOS!$I10517,CONFIG_ASIGNATURAS!$B$2:$J$91,9,FALSE()),""))</f>
      </c>
    </row>
    <row r="10518">
      <c r="F10518">
        <f>IF(DATOS!$A10518="","",DATOS!$A10518&amp;"|"&amp;DATOS!$D10518&amp;"|"&amp;DATOS!$E10518&amp;"|"&amp;DATOS!$I10518)</f>
      </c>
      <c r="G10518">
        <f>IF(DATOS!$A10518="",0,IF(CONFIG_METADATA!$B$4&lt;&gt;"OR+EX",--(DATOS!$G10518=CONFIG_METADATA!$B$4),IF(DATOS!$G10518="EX",1,IF(DATOS!$G10518="OR",--(COUNTIFS(nNIA,DATOS!$A10518,nCURSO,DATOS!$D10518,nESPEC,DATOS!$E10518,nASIG,DATOS!$I10518,nEVAL,"EX")=0),0))))</f>
      </c>
      <c r="H10518">
        <f>IF(DATOS!$G10518&lt;&gt;"EX",0,--(COUNTIFS(nNIA,DATOS!$A10518,nCURSO,DATOS!$D10518,nESPEC,DATOS!$E10518,nASIG,DATOS!$I10518,nEVAL,"OR")=0))</f>
      </c>
      <c r="I10518">
        <f>IF(DATOS!$I10518="","",IFERROR(VLOOKUP(DATOS!$I10518,CONFIG_ASIGNATURAS!$B$2:$J$91,9,FALSE()),""))</f>
      </c>
    </row>
    <row r="10519">
      <c r="F10519">
        <f>IF(DATOS!$A10519="","",DATOS!$A10519&amp;"|"&amp;DATOS!$D10519&amp;"|"&amp;DATOS!$E10519&amp;"|"&amp;DATOS!$I10519)</f>
      </c>
      <c r="G10519">
        <f>IF(DATOS!$A10519="",0,IF(CONFIG_METADATA!$B$4&lt;&gt;"OR+EX",--(DATOS!$G10519=CONFIG_METADATA!$B$4),IF(DATOS!$G10519="EX",1,IF(DATOS!$G10519="OR",--(COUNTIFS(nNIA,DATOS!$A10519,nCURSO,DATOS!$D10519,nESPEC,DATOS!$E10519,nASIG,DATOS!$I10519,nEVAL,"EX")=0),0))))</f>
      </c>
      <c r="H10519">
        <f>IF(DATOS!$G10519&lt;&gt;"EX",0,--(COUNTIFS(nNIA,DATOS!$A10519,nCURSO,DATOS!$D10519,nESPEC,DATOS!$E10519,nASIG,DATOS!$I10519,nEVAL,"OR")=0))</f>
      </c>
      <c r="I10519">
        <f>IF(DATOS!$I10519="","",IFERROR(VLOOKUP(DATOS!$I10519,CONFIG_ASIGNATURAS!$B$2:$J$91,9,FALSE()),""))</f>
      </c>
    </row>
    <row r="10520">
      <c r="F10520">
        <f>IF(DATOS!$A10520="","",DATOS!$A10520&amp;"|"&amp;DATOS!$D10520&amp;"|"&amp;DATOS!$E10520&amp;"|"&amp;DATOS!$I10520)</f>
      </c>
      <c r="G10520">
        <f>IF(DATOS!$A10520="",0,IF(CONFIG_METADATA!$B$4&lt;&gt;"OR+EX",--(DATOS!$G10520=CONFIG_METADATA!$B$4),IF(DATOS!$G10520="EX",1,IF(DATOS!$G10520="OR",--(COUNTIFS(nNIA,DATOS!$A10520,nCURSO,DATOS!$D10520,nESPEC,DATOS!$E10520,nASIG,DATOS!$I10520,nEVAL,"EX")=0),0))))</f>
      </c>
      <c r="H10520">
        <f>IF(DATOS!$G10520&lt;&gt;"EX",0,--(COUNTIFS(nNIA,DATOS!$A10520,nCURSO,DATOS!$D10520,nESPEC,DATOS!$E10520,nASIG,DATOS!$I10520,nEVAL,"OR")=0))</f>
      </c>
      <c r="I10520">
        <f>IF(DATOS!$I10520="","",IFERROR(VLOOKUP(DATOS!$I10520,CONFIG_ASIGNATURAS!$B$2:$J$91,9,FALSE()),""))</f>
      </c>
    </row>
    <row r="10521">
      <c r="F10521">
        <f>IF(DATOS!$A10521="","",DATOS!$A10521&amp;"|"&amp;DATOS!$D10521&amp;"|"&amp;DATOS!$E10521&amp;"|"&amp;DATOS!$I10521)</f>
      </c>
      <c r="G10521">
        <f>IF(DATOS!$A10521="",0,IF(CONFIG_METADATA!$B$4&lt;&gt;"OR+EX",--(DATOS!$G10521=CONFIG_METADATA!$B$4),IF(DATOS!$G10521="EX",1,IF(DATOS!$G10521="OR",--(COUNTIFS(nNIA,DATOS!$A10521,nCURSO,DATOS!$D10521,nESPEC,DATOS!$E10521,nASIG,DATOS!$I10521,nEVAL,"EX")=0),0))))</f>
      </c>
      <c r="H10521">
        <f>IF(DATOS!$G10521&lt;&gt;"EX",0,--(COUNTIFS(nNIA,DATOS!$A10521,nCURSO,DATOS!$D10521,nESPEC,DATOS!$E10521,nASIG,DATOS!$I10521,nEVAL,"OR")=0))</f>
      </c>
      <c r="I10521">
        <f>IF(DATOS!$I10521="","",IFERROR(VLOOKUP(DATOS!$I10521,CONFIG_ASIGNATURAS!$B$2:$J$91,9,FALSE()),""))</f>
      </c>
    </row>
    <row r="10522">
      <c r="F10522">
        <f>IF(DATOS!$A10522="","",DATOS!$A10522&amp;"|"&amp;DATOS!$D10522&amp;"|"&amp;DATOS!$E10522&amp;"|"&amp;DATOS!$I10522)</f>
      </c>
      <c r="G10522">
        <f>IF(DATOS!$A10522="",0,IF(CONFIG_METADATA!$B$4&lt;&gt;"OR+EX",--(DATOS!$G10522=CONFIG_METADATA!$B$4),IF(DATOS!$G10522="EX",1,IF(DATOS!$G10522="OR",--(COUNTIFS(nNIA,DATOS!$A10522,nCURSO,DATOS!$D10522,nESPEC,DATOS!$E10522,nASIG,DATOS!$I10522,nEVAL,"EX")=0),0))))</f>
      </c>
      <c r="H10522">
        <f>IF(DATOS!$G10522&lt;&gt;"EX",0,--(COUNTIFS(nNIA,DATOS!$A10522,nCURSO,DATOS!$D10522,nESPEC,DATOS!$E10522,nASIG,DATOS!$I10522,nEVAL,"OR")=0))</f>
      </c>
      <c r="I10522">
        <f>IF(DATOS!$I10522="","",IFERROR(VLOOKUP(DATOS!$I10522,CONFIG_ASIGNATURAS!$B$2:$J$91,9,FALSE()),""))</f>
      </c>
    </row>
    <row r="10523">
      <c r="F10523">
        <f>IF(DATOS!$A10523="","",DATOS!$A10523&amp;"|"&amp;DATOS!$D10523&amp;"|"&amp;DATOS!$E10523&amp;"|"&amp;DATOS!$I10523)</f>
      </c>
      <c r="G10523">
        <f>IF(DATOS!$A10523="",0,IF(CONFIG_METADATA!$B$4&lt;&gt;"OR+EX",--(DATOS!$G10523=CONFIG_METADATA!$B$4),IF(DATOS!$G10523="EX",1,IF(DATOS!$G10523="OR",--(COUNTIFS(nNIA,DATOS!$A10523,nCURSO,DATOS!$D10523,nESPEC,DATOS!$E10523,nASIG,DATOS!$I10523,nEVAL,"EX")=0),0))))</f>
      </c>
      <c r="H10523">
        <f>IF(DATOS!$G10523&lt;&gt;"EX",0,--(COUNTIFS(nNIA,DATOS!$A10523,nCURSO,DATOS!$D10523,nESPEC,DATOS!$E10523,nASIG,DATOS!$I10523,nEVAL,"OR")=0))</f>
      </c>
      <c r="I10523">
        <f>IF(DATOS!$I10523="","",IFERROR(VLOOKUP(DATOS!$I10523,CONFIG_ASIGNATURAS!$B$2:$J$91,9,FALSE()),""))</f>
      </c>
    </row>
    <row r="10524">
      <c r="F10524">
        <f>IF(DATOS!$A10524="","",DATOS!$A10524&amp;"|"&amp;DATOS!$D10524&amp;"|"&amp;DATOS!$E10524&amp;"|"&amp;DATOS!$I10524)</f>
      </c>
      <c r="G10524">
        <f>IF(DATOS!$A10524="",0,IF(CONFIG_METADATA!$B$4&lt;&gt;"OR+EX",--(DATOS!$G10524=CONFIG_METADATA!$B$4),IF(DATOS!$G10524="EX",1,IF(DATOS!$G10524="OR",--(COUNTIFS(nNIA,DATOS!$A10524,nCURSO,DATOS!$D10524,nESPEC,DATOS!$E10524,nASIG,DATOS!$I10524,nEVAL,"EX")=0),0))))</f>
      </c>
      <c r="H10524">
        <f>IF(DATOS!$G10524&lt;&gt;"EX",0,--(COUNTIFS(nNIA,DATOS!$A10524,nCURSO,DATOS!$D10524,nESPEC,DATOS!$E10524,nASIG,DATOS!$I10524,nEVAL,"OR")=0))</f>
      </c>
      <c r="I10524">
        <f>IF(DATOS!$I10524="","",IFERROR(VLOOKUP(DATOS!$I10524,CONFIG_ASIGNATURAS!$B$2:$J$91,9,FALSE()),""))</f>
      </c>
    </row>
    <row r="10525">
      <c r="F10525">
        <f>IF(DATOS!$A10525="","",DATOS!$A10525&amp;"|"&amp;DATOS!$D10525&amp;"|"&amp;DATOS!$E10525&amp;"|"&amp;DATOS!$I10525)</f>
      </c>
      <c r="G10525">
        <f>IF(DATOS!$A10525="",0,IF(CONFIG_METADATA!$B$4&lt;&gt;"OR+EX",--(DATOS!$G10525=CONFIG_METADATA!$B$4),IF(DATOS!$G10525="EX",1,IF(DATOS!$G10525="OR",--(COUNTIFS(nNIA,DATOS!$A10525,nCURSO,DATOS!$D10525,nESPEC,DATOS!$E10525,nASIG,DATOS!$I10525,nEVAL,"EX")=0),0))))</f>
      </c>
      <c r="H10525">
        <f>IF(DATOS!$G10525&lt;&gt;"EX",0,--(COUNTIFS(nNIA,DATOS!$A10525,nCURSO,DATOS!$D10525,nESPEC,DATOS!$E10525,nASIG,DATOS!$I10525,nEVAL,"OR")=0))</f>
      </c>
      <c r="I10525">
        <f>IF(DATOS!$I10525="","",IFERROR(VLOOKUP(DATOS!$I10525,CONFIG_ASIGNATURAS!$B$2:$J$91,9,FALSE()),""))</f>
      </c>
    </row>
    <row r="10526">
      <c r="F10526">
        <f>IF(DATOS!$A10526="","",DATOS!$A10526&amp;"|"&amp;DATOS!$D10526&amp;"|"&amp;DATOS!$E10526&amp;"|"&amp;DATOS!$I10526)</f>
      </c>
      <c r="G10526">
        <f>IF(DATOS!$A10526="",0,IF(CONFIG_METADATA!$B$4&lt;&gt;"OR+EX",--(DATOS!$G10526=CONFIG_METADATA!$B$4),IF(DATOS!$G10526="EX",1,IF(DATOS!$G10526="OR",--(COUNTIFS(nNIA,DATOS!$A10526,nCURSO,DATOS!$D10526,nESPEC,DATOS!$E10526,nASIG,DATOS!$I10526,nEVAL,"EX")=0),0))))</f>
      </c>
      <c r="H10526">
        <f>IF(DATOS!$G10526&lt;&gt;"EX",0,--(COUNTIFS(nNIA,DATOS!$A10526,nCURSO,DATOS!$D10526,nESPEC,DATOS!$E10526,nASIG,DATOS!$I10526,nEVAL,"OR")=0))</f>
      </c>
      <c r="I10526">
        <f>IF(DATOS!$I10526="","",IFERROR(VLOOKUP(DATOS!$I10526,CONFIG_ASIGNATURAS!$B$2:$J$91,9,FALSE()),""))</f>
      </c>
    </row>
    <row r="10527">
      <c r="F10527">
        <f>IF(DATOS!$A10527="","",DATOS!$A10527&amp;"|"&amp;DATOS!$D10527&amp;"|"&amp;DATOS!$E10527&amp;"|"&amp;DATOS!$I10527)</f>
      </c>
      <c r="G10527">
        <f>IF(DATOS!$A10527="",0,IF(CONFIG_METADATA!$B$4&lt;&gt;"OR+EX",--(DATOS!$G10527=CONFIG_METADATA!$B$4),IF(DATOS!$G10527="EX",1,IF(DATOS!$G10527="OR",--(COUNTIFS(nNIA,DATOS!$A10527,nCURSO,DATOS!$D10527,nESPEC,DATOS!$E10527,nASIG,DATOS!$I10527,nEVAL,"EX")=0),0))))</f>
      </c>
      <c r="H10527">
        <f>IF(DATOS!$G10527&lt;&gt;"EX",0,--(COUNTIFS(nNIA,DATOS!$A10527,nCURSO,DATOS!$D10527,nESPEC,DATOS!$E10527,nASIG,DATOS!$I10527,nEVAL,"OR")=0))</f>
      </c>
      <c r="I10527">
        <f>IF(DATOS!$I10527="","",IFERROR(VLOOKUP(DATOS!$I10527,CONFIG_ASIGNATURAS!$B$2:$J$91,9,FALSE()),""))</f>
      </c>
    </row>
    <row r="10528">
      <c r="F10528">
        <f>IF(DATOS!$A10528="","",DATOS!$A10528&amp;"|"&amp;DATOS!$D10528&amp;"|"&amp;DATOS!$E10528&amp;"|"&amp;DATOS!$I10528)</f>
      </c>
      <c r="G10528">
        <f>IF(DATOS!$A10528="",0,IF(CONFIG_METADATA!$B$4&lt;&gt;"OR+EX",--(DATOS!$G10528=CONFIG_METADATA!$B$4),IF(DATOS!$G10528="EX",1,IF(DATOS!$G10528="OR",--(COUNTIFS(nNIA,DATOS!$A10528,nCURSO,DATOS!$D10528,nESPEC,DATOS!$E10528,nASIG,DATOS!$I10528,nEVAL,"EX")=0),0))))</f>
      </c>
      <c r="H10528">
        <f>IF(DATOS!$G10528&lt;&gt;"EX",0,--(COUNTIFS(nNIA,DATOS!$A10528,nCURSO,DATOS!$D10528,nESPEC,DATOS!$E10528,nASIG,DATOS!$I10528,nEVAL,"OR")=0))</f>
      </c>
      <c r="I10528">
        <f>IF(DATOS!$I10528="","",IFERROR(VLOOKUP(DATOS!$I10528,CONFIG_ASIGNATURAS!$B$2:$J$91,9,FALSE()),""))</f>
      </c>
    </row>
    <row r="10529">
      <c r="F10529">
        <f>IF(DATOS!$A10529="","",DATOS!$A10529&amp;"|"&amp;DATOS!$D10529&amp;"|"&amp;DATOS!$E10529&amp;"|"&amp;DATOS!$I10529)</f>
      </c>
      <c r="G10529">
        <f>IF(DATOS!$A10529="",0,IF(CONFIG_METADATA!$B$4&lt;&gt;"OR+EX",--(DATOS!$G10529=CONFIG_METADATA!$B$4),IF(DATOS!$G10529="EX",1,IF(DATOS!$G10529="OR",--(COUNTIFS(nNIA,DATOS!$A10529,nCURSO,DATOS!$D10529,nESPEC,DATOS!$E10529,nASIG,DATOS!$I10529,nEVAL,"EX")=0),0))))</f>
      </c>
      <c r="H10529">
        <f>IF(DATOS!$G10529&lt;&gt;"EX",0,--(COUNTIFS(nNIA,DATOS!$A10529,nCURSO,DATOS!$D10529,nESPEC,DATOS!$E10529,nASIG,DATOS!$I10529,nEVAL,"OR")=0))</f>
      </c>
      <c r="I10529">
        <f>IF(DATOS!$I10529="","",IFERROR(VLOOKUP(DATOS!$I10529,CONFIG_ASIGNATURAS!$B$2:$J$91,9,FALSE()),""))</f>
      </c>
    </row>
    <row r="10530">
      <c r="F10530">
        <f>IF(DATOS!$A10530="","",DATOS!$A10530&amp;"|"&amp;DATOS!$D10530&amp;"|"&amp;DATOS!$E10530&amp;"|"&amp;DATOS!$I10530)</f>
      </c>
      <c r="G10530">
        <f>IF(DATOS!$A10530="",0,IF(CONFIG_METADATA!$B$4&lt;&gt;"OR+EX",--(DATOS!$G10530=CONFIG_METADATA!$B$4),IF(DATOS!$G10530="EX",1,IF(DATOS!$G10530="OR",--(COUNTIFS(nNIA,DATOS!$A10530,nCURSO,DATOS!$D10530,nESPEC,DATOS!$E10530,nASIG,DATOS!$I10530,nEVAL,"EX")=0),0))))</f>
      </c>
      <c r="H10530">
        <f>IF(DATOS!$G10530&lt;&gt;"EX",0,--(COUNTIFS(nNIA,DATOS!$A10530,nCURSO,DATOS!$D10530,nESPEC,DATOS!$E10530,nASIG,DATOS!$I10530,nEVAL,"OR")=0))</f>
      </c>
      <c r="I10530">
        <f>IF(DATOS!$I10530="","",IFERROR(VLOOKUP(DATOS!$I10530,CONFIG_ASIGNATURAS!$B$2:$J$91,9,FALSE()),""))</f>
      </c>
    </row>
    <row r="10531">
      <c r="F10531">
        <f>IF(DATOS!$A10531="","",DATOS!$A10531&amp;"|"&amp;DATOS!$D10531&amp;"|"&amp;DATOS!$E10531&amp;"|"&amp;DATOS!$I10531)</f>
      </c>
      <c r="G10531">
        <f>IF(DATOS!$A10531="",0,IF(CONFIG_METADATA!$B$4&lt;&gt;"OR+EX",--(DATOS!$G10531=CONFIG_METADATA!$B$4),IF(DATOS!$G10531="EX",1,IF(DATOS!$G10531="OR",--(COUNTIFS(nNIA,DATOS!$A10531,nCURSO,DATOS!$D10531,nESPEC,DATOS!$E10531,nASIG,DATOS!$I10531,nEVAL,"EX")=0),0))))</f>
      </c>
      <c r="H10531">
        <f>IF(DATOS!$G10531&lt;&gt;"EX",0,--(COUNTIFS(nNIA,DATOS!$A10531,nCURSO,DATOS!$D10531,nESPEC,DATOS!$E10531,nASIG,DATOS!$I10531,nEVAL,"OR")=0))</f>
      </c>
      <c r="I10531">
        <f>IF(DATOS!$I10531="","",IFERROR(VLOOKUP(DATOS!$I10531,CONFIG_ASIGNATURAS!$B$2:$J$91,9,FALSE()),""))</f>
      </c>
    </row>
    <row r="10532">
      <c r="F10532">
        <f>IF(DATOS!$A10532="","",DATOS!$A10532&amp;"|"&amp;DATOS!$D10532&amp;"|"&amp;DATOS!$E10532&amp;"|"&amp;DATOS!$I10532)</f>
      </c>
      <c r="G10532">
        <f>IF(DATOS!$A10532="",0,IF(CONFIG_METADATA!$B$4&lt;&gt;"OR+EX",--(DATOS!$G10532=CONFIG_METADATA!$B$4),IF(DATOS!$G10532="EX",1,IF(DATOS!$G10532="OR",--(COUNTIFS(nNIA,DATOS!$A10532,nCURSO,DATOS!$D10532,nESPEC,DATOS!$E10532,nASIG,DATOS!$I10532,nEVAL,"EX")=0),0))))</f>
      </c>
      <c r="H10532">
        <f>IF(DATOS!$G10532&lt;&gt;"EX",0,--(COUNTIFS(nNIA,DATOS!$A10532,nCURSO,DATOS!$D10532,nESPEC,DATOS!$E10532,nASIG,DATOS!$I10532,nEVAL,"OR")=0))</f>
      </c>
      <c r="I10532">
        <f>IF(DATOS!$I10532="","",IFERROR(VLOOKUP(DATOS!$I10532,CONFIG_ASIGNATURAS!$B$2:$J$91,9,FALSE()),""))</f>
      </c>
    </row>
    <row r="10533">
      <c r="F10533">
        <f>IF(DATOS!$A10533="","",DATOS!$A10533&amp;"|"&amp;DATOS!$D10533&amp;"|"&amp;DATOS!$E10533&amp;"|"&amp;DATOS!$I10533)</f>
      </c>
      <c r="G10533">
        <f>IF(DATOS!$A10533="",0,IF(CONFIG_METADATA!$B$4&lt;&gt;"OR+EX",--(DATOS!$G10533=CONFIG_METADATA!$B$4),IF(DATOS!$G10533="EX",1,IF(DATOS!$G10533="OR",--(COUNTIFS(nNIA,DATOS!$A10533,nCURSO,DATOS!$D10533,nESPEC,DATOS!$E10533,nASIG,DATOS!$I10533,nEVAL,"EX")=0),0))))</f>
      </c>
      <c r="H10533">
        <f>IF(DATOS!$G10533&lt;&gt;"EX",0,--(COUNTIFS(nNIA,DATOS!$A10533,nCURSO,DATOS!$D10533,nESPEC,DATOS!$E10533,nASIG,DATOS!$I10533,nEVAL,"OR")=0))</f>
      </c>
      <c r="I10533">
        <f>IF(DATOS!$I10533="","",IFERROR(VLOOKUP(DATOS!$I10533,CONFIG_ASIGNATURAS!$B$2:$J$91,9,FALSE()),""))</f>
      </c>
    </row>
    <row r="10534">
      <c r="F10534">
        <f>IF(DATOS!$A10534="","",DATOS!$A10534&amp;"|"&amp;DATOS!$D10534&amp;"|"&amp;DATOS!$E10534&amp;"|"&amp;DATOS!$I10534)</f>
      </c>
      <c r="G10534">
        <f>IF(DATOS!$A10534="",0,IF(CONFIG_METADATA!$B$4&lt;&gt;"OR+EX",--(DATOS!$G10534=CONFIG_METADATA!$B$4),IF(DATOS!$G10534="EX",1,IF(DATOS!$G10534="OR",--(COUNTIFS(nNIA,DATOS!$A10534,nCURSO,DATOS!$D10534,nESPEC,DATOS!$E10534,nASIG,DATOS!$I10534,nEVAL,"EX")=0),0))))</f>
      </c>
      <c r="H10534">
        <f>IF(DATOS!$G10534&lt;&gt;"EX",0,--(COUNTIFS(nNIA,DATOS!$A10534,nCURSO,DATOS!$D10534,nESPEC,DATOS!$E10534,nASIG,DATOS!$I10534,nEVAL,"OR")=0))</f>
      </c>
      <c r="I10534">
        <f>IF(DATOS!$I10534="","",IFERROR(VLOOKUP(DATOS!$I10534,CONFIG_ASIGNATURAS!$B$2:$J$91,9,FALSE()),""))</f>
      </c>
    </row>
    <row r="10535">
      <c r="F10535">
        <f>IF(DATOS!$A10535="","",DATOS!$A10535&amp;"|"&amp;DATOS!$D10535&amp;"|"&amp;DATOS!$E10535&amp;"|"&amp;DATOS!$I10535)</f>
      </c>
      <c r="G10535">
        <f>IF(DATOS!$A10535="",0,IF(CONFIG_METADATA!$B$4&lt;&gt;"OR+EX",--(DATOS!$G10535=CONFIG_METADATA!$B$4),IF(DATOS!$G10535="EX",1,IF(DATOS!$G10535="OR",--(COUNTIFS(nNIA,DATOS!$A10535,nCURSO,DATOS!$D10535,nESPEC,DATOS!$E10535,nASIG,DATOS!$I10535,nEVAL,"EX")=0),0))))</f>
      </c>
      <c r="H10535">
        <f>IF(DATOS!$G10535&lt;&gt;"EX",0,--(COUNTIFS(nNIA,DATOS!$A10535,nCURSO,DATOS!$D10535,nESPEC,DATOS!$E10535,nASIG,DATOS!$I10535,nEVAL,"OR")=0))</f>
      </c>
      <c r="I10535">
        <f>IF(DATOS!$I10535="","",IFERROR(VLOOKUP(DATOS!$I10535,CONFIG_ASIGNATURAS!$B$2:$J$91,9,FALSE()),""))</f>
      </c>
    </row>
    <row r="10536">
      <c r="F10536">
        <f>IF(DATOS!$A10536="","",DATOS!$A10536&amp;"|"&amp;DATOS!$D10536&amp;"|"&amp;DATOS!$E10536&amp;"|"&amp;DATOS!$I10536)</f>
      </c>
      <c r="G10536">
        <f>IF(DATOS!$A10536="",0,IF(CONFIG_METADATA!$B$4&lt;&gt;"OR+EX",--(DATOS!$G10536=CONFIG_METADATA!$B$4),IF(DATOS!$G10536="EX",1,IF(DATOS!$G10536="OR",--(COUNTIFS(nNIA,DATOS!$A10536,nCURSO,DATOS!$D10536,nESPEC,DATOS!$E10536,nASIG,DATOS!$I10536,nEVAL,"EX")=0),0))))</f>
      </c>
      <c r="H10536">
        <f>IF(DATOS!$G10536&lt;&gt;"EX",0,--(COUNTIFS(nNIA,DATOS!$A10536,nCURSO,DATOS!$D10536,nESPEC,DATOS!$E10536,nASIG,DATOS!$I10536,nEVAL,"OR")=0))</f>
      </c>
      <c r="I10536">
        <f>IF(DATOS!$I10536="","",IFERROR(VLOOKUP(DATOS!$I10536,CONFIG_ASIGNATURAS!$B$2:$J$91,9,FALSE()),""))</f>
      </c>
    </row>
    <row r="10537">
      <c r="F10537">
        <f>IF(DATOS!$A10537="","",DATOS!$A10537&amp;"|"&amp;DATOS!$D10537&amp;"|"&amp;DATOS!$E10537&amp;"|"&amp;DATOS!$I10537)</f>
      </c>
      <c r="G10537">
        <f>IF(DATOS!$A10537="",0,IF(CONFIG_METADATA!$B$4&lt;&gt;"OR+EX",--(DATOS!$G10537=CONFIG_METADATA!$B$4),IF(DATOS!$G10537="EX",1,IF(DATOS!$G10537="OR",--(COUNTIFS(nNIA,DATOS!$A10537,nCURSO,DATOS!$D10537,nESPEC,DATOS!$E10537,nASIG,DATOS!$I10537,nEVAL,"EX")=0),0))))</f>
      </c>
      <c r="H10537">
        <f>IF(DATOS!$G10537&lt;&gt;"EX",0,--(COUNTIFS(nNIA,DATOS!$A10537,nCURSO,DATOS!$D10537,nESPEC,DATOS!$E10537,nASIG,DATOS!$I10537,nEVAL,"OR")=0))</f>
      </c>
      <c r="I10537">
        <f>IF(DATOS!$I10537="","",IFERROR(VLOOKUP(DATOS!$I10537,CONFIG_ASIGNATURAS!$B$2:$J$91,9,FALSE()),""))</f>
      </c>
    </row>
    <row r="10538">
      <c r="F10538">
        <f>IF(DATOS!$A10538="","",DATOS!$A10538&amp;"|"&amp;DATOS!$D10538&amp;"|"&amp;DATOS!$E10538&amp;"|"&amp;DATOS!$I10538)</f>
      </c>
      <c r="G10538">
        <f>IF(DATOS!$A10538="",0,IF(CONFIG_METADATA!$B$4&lt;&gt;"OR+EX",--(DATOS!$G10538=CONFIG_METADATA!$B$4),IF(DATOS!$G10538="EX",1,IF(DATOS!$G10538="OR",--(COUNTIFS(nNIA,DATOS!$A10538,nCURSO,DATOS!$D10538,nESPEC,DATOS!$E10538,nASIG,DATOS!$I10538,nEVAL,"EX")=0),0))))</f>
      </c>
      <c r="H10538">
        <f>IF(DATOS!$G10538&lt;&gt;"EX",0,--(COUNTIFS(nNIA,DATOS!$A10538,nCURSO,DATOS!$D10538,nESPEC,DATOS!$E10538,nASIG,DATOS!$I10538,nEVAL,"OR")=0))</f>
      </c>
      <c r="I10538">
        <f>IF(DATOS!$I10538="","",IFERROR(VLOOKUP(DATOS!$I10538,CONFIG_ASIGNATURAS!$B$2:$J$91,9,FALSE()),""))</f>
      </c>
    </row>
    <row r="10539">
      <c r="F10539">
        <f>IF(DATOS!$A10539="","",DATOS!$A10539&amp;"|"&amp;DATOS!$D10539&amp;"|"&amp;DATOS!$E10539&amp;"|"&amp;DATOS!$I10539)</f>
      </c>
      <c r="G10539">
        <f>IF(DATOS!$A10539="",0,IF(CONFIG_METADATA!$B$4&lt;&gt;"OR+EX",--(DATOS!$G10539=CONFIG_METADATA!$B$4),IF(DATOS!$G10539="EX",1,IF(DATOS!$G10539="OR",--(COUNTIFS(nNIA,DATOS!$A10539,nCURSO,DATOS!$D10539,nESPEC,DATOS!$E10539,nASIG,DATOS!$I10539,nEVAL,"EX")=0),0))))</f>
      </c>
      <c r="H10539">
        <f>IF(DATOS!$G10539&lt;&gt;"EX",0,--(COUNTIFS(nNIA,DATOS!$A10539,nCURSO,DATOS!$D10539,nESPEC,DATOS!$E10539,nASIG,DATOS!$I10539,nEVAL,"OR")=0))</f>
      </c>
      <c r="I10539">
        <f>IF(DATOS!$I10539="","",IFERROR(VLOOKUP(DATOS!$I10539,CONFIG_ASIGNATURAS!$B$2:$J$91,9,FALSE()),""))</f>
      </c>
    </row>
    <row r="10540">
      <c r="F10540">
        <f>IF(DATOS!$A10540="","",DATOS!$A10540&amp;"|"&amp;DATOS!$D10540&amp;"|"&amp;DATOS!$E10540&amp;"|"&amp;DATOS!$I10540)</f>
      </c>
      <c r="G10540">
        <f>IF(DATOS!$A10540="",0,IF(CONFIG_METADATA!$B$4&lt;&gt;"OR+EX",--(DATOS!$G10540=CONFIG_METADATA!$B$4),IF(DATOS!$G10540="EX",1,IF(DATOS!$G10540="OR",--(COUNTIFS(nNIA,DATOS!$A10540,nCURSO,DATOS!$D10540,nESPEC,DATOS!$E10540,nASIG,DATOS!$I10540,nEVAL,"EX")=0),0))))</f>
      </c>
      <c r="H10540">
        <f>IF(DATOS!$G10540&lt;&gt;"EX",0,--(COUNTIFS(nNIA,DATOS!$A10540,nCURSO,DATOS!$D10540,nESPEC,DATOS!$E10540,nASIG,DATOS!$I10540,nEVAL,"OR")=0))</f>
      </c>
      <c r="I10540">
        <f>IF(DATOS!$I10540="","",IFERROR(VLOOKUP(DATOS!$I10540,CONFIG_ASIGNATURAS!$B$2:$J$91,9,FALSE()),""))</f>
      </c>
    </row>
    <row r="10541">
      <c r="F10541">
        <f>IF(DATOS!$A10541="","",DATOS!$A10541&amp;"|"&amp;DATOS!$D10541&amp;"|"&amp;DATOS!$E10541&amp;"|"&amp;DATOS!$I10541)</f>
      </c>
      <c r="G10541">
        <f>IF(DATOS!$A10541="",0,IF(CONFIG_METADATA!$B$4&lt;&gt;"OR+EX",--(DATOS!$G10541=CONFIG_METADATA!$B$4),IF(DATOS!$G10541="EX",1,IF(DATOS!$G10541="OR",--(COUNTIFS(nNIA,DATOS!$A10541,nCURSO,DATOS!$D10541,nESPEC,DATOS!$E10541,nASIG,DATOS!$I10541,nEVAL,"EX")=0),0))))</f>
      </c>
      <c r="H10541">
        <f>IF(DATOS!$G10541&lt;&gt;"EX",0,--(COUNTIFS(nNIA,DATOS!$A10541,nCURSO,DATOS!$D10541,nESPEC,DATOS!$E10541,nASIG,DATOS!$I10541,nEVAL,"OR")=0))</f>
      </c>
      <c r="I10541">
        <f>IF(DATOS!$I10541="","",IFERROR(VLOOKUP(DATOS!$I10541,CONFIG_ASIGNATURAS!$B$2:$J$91,9,FALSE()),""))</f>
      </c>
    </row>
    <row r="10542">
      <c r="F10542">
        <f>IF(DATOS!$A10542="","",DATOS!$A10542&amp;"|"&amp;DATOS!$D10542&amp;"|"&amp;DATOS!$E10542&amp;"|"&amp;DATOS!$I10542)</f>
      </c>
      <c r="G10542">
        <f>IF(DATOS!$A10542="",0,IF(CONFIG_METADATA!$B$4&lt;&gt;"OR+EX",--(DATOS!$G10542=CONFIG_METADATA!$B$4),IF(DATOS!$G10542="EX",1,IF(DATOS!$G10542="OR",--(COUNTIFS(nNIA,DATOS!$A10542,nCURSO,DATOS!$D10542,nESPEC,DATOS!$E10542,nASIG,DATOS!$I10542,nEVAL,"EX")=0),0))))</f>
      </c>
      <c r="H10542">
        <f>IF(DATOS!$G10542&lt;&gt;"EX",0,--(COUNTIFS(nNIA,DATOS!$A10542,nCURSO,DATOS!$D10542,nESPEC,DATOS!$E10542,nASIG,DATOS!$I10542,nEVAL,"OR")=0))</f>
      </c>
      <c r="I10542">
        <f>IF(DATOS!$I10542="","",IFERROR(VLOOKUP(DATOS!$I10542,CONFIG_ASIGNATURAS!$B$2:$J$91,9,FALSE()),""))</f>
      </c>
    </row>
    <row r="10543">
      <c r="F10543">
        <f>IF(DATOS!$A10543="","",DATOS!$A10543&amp;"|"&amp;DATOS!$D10543&amp;"|"&amp;DATOS!$E10543&amp;"|"&amp;DATOS!$I10543)</f>
      </c>
      <c r="G10543">
        <f>IF(DATOS!$A10543="",0,IF(CONFIG_METADATA!$B$4&lt;&gt;"OR+EX",--(DATOS!$G10543=CONFIG_METADATA!$B$4),IF(DATOS!$G10543="EX",1,IF(DATOS!$G10543="OR",--(COUNTIFS(nNIA,DATOS!$A10543,nCURSO,DATOS!$D10543,nESPEC,DATOS!$E10543,nASIG,DATOS!$I10543,nEVAL,"EX")=0),0))))</f>
      </c>
      <c r="H10543">
        <f>IF(DATOS!$G10543&lt;&gt;"EX",0,--(COUNTIFS(nNIA,DATOS!$A10543,nCURSO,DATOS!$D10543,nESPEC,DATOS!$E10543,nASIG,DATOS!$I10543,nEVAL,"OR")=0))</f>
      </c>
      <c r="I10543">
        <f>IF(DATOS!$I10543="","",IFERROR(VLOOKUP(DATOS!$I10543,CONFIG_ASIGNATURAS!$B$2:$J$91,9,FALSE()),""))</f>
      </c>
    </row>
    <row r="10544">
      <c r="F10544">
        <f>IF(DATOS!$A10544="","",DATOS!$A10544&amp;"|"&amp;DATOS!$D10544&amp;"|"&amp;DATOS!$E10544&amp;"|"&amp;DATOS!$I10544)</f>
      </c>
      <c r="G10544">
        <f>IF(DATOS!$A10544="",0,IF(CONFIG_METADATA!$B$4&lt;&gt;"OR+EX",--(DATOS!$G10544=CONFIG_METADATA!$B$4),IF(DATOS!$G10544="EX",1,IF(DATOS!$G10544="OR",--(COUNTIFS(nNIA,DATOS!$A10544,nCURSO,DATOS!$D10544,nESPEC,DATOS!$E10544,nASIG,DATOS!$I10544,nEVAL,"EX")=0),0))))</f>
      </c>
      <c r="H10544">
        <f>IF(DATOS!$G10544&lt;&gt;"EX",0,--(COUNTIFS(nNIA,DATOS!$A10544,nCURSO,DATOS!$D10544,nESPEC,DATOS!$E10544,nASIG,DATOS!$I10544,nEVAL,"OR")=0))</f>
      </c>
      <c r="I10544">
        <f>IF(DATOS!$I10544="","",IFERROR(VLOOKUP(DATOS!$I10544,CONFIG_ASIGNATURAS!$B$2:$J$91,9,FALSE()),""))</f>
      </c>
    </row>
    <row r="10545">
      <c r="F10545">
        <f>IF(DATOS!$A10545="","",DATOS!$A10545&amp;"|"&amp;DATOS!$D10545&amp;"|"&amp;DATOS!$E10545&amp;"|"&amp;DATOS!$I10545)</f>
      </c>
      <c r="G10545">
        <f>IF(DATOS!$A10545="",0,IF(CONFIG_METADATA!$B$4&lt;&gt;"OR+EX",--(DATOS!$G10545=CONFIG_METADATA!$B$4),IF(DATOS!$G10545="EX",1,IF(DATOS!$G10545="OR",--(COUNTIFS(nNIA,DATOS!$A10545,nCURSO,DATOS!$D10545,nESPEC,DATOS!$E10545,nASIG,DATOS!$I10545,nEVAL,"EX")=0),0))))</f>
      </c>
      <c r="H10545">
        <f>IF(DATOS!$G10545&lt;&gt;"EX",0,--(COUNTIFS(nNIA,DATOS!$A10545,nCURSO,DATOS!$D10545,nESPEC,DATOS!$E10545,nASIG,DATOS!$I10545,nEVAL,"OR")=0))</f>
      </c>
      <c r="I10545">
        <f>IF(DATOS!$I10545="","",IFERROR(VLOOKUP(DATOS!$I10545,CONFIG_ASIGNATURAS!$B$2:$J$91,9,FALSE()),""))</f>
      </c>
    </row>
    <row r="10546">
      <c r="F10546">
        <f>IF(DATOS!$A10546="","",DATOS!$A10546&amp;"|"&amp;DATOS!$D10546&amp;"|"&amp;DATOS!$E10546&amp;"|"&amp;DATOS!$I10546)</f>
      </c>
      <c r="G10546">
        <f>IF(DATOS!$A10546="",0,IF(CONFIG_METADATA!$B$4&lt;&gt;"OR+EX",--(DATOS!$G10546=CONFIG_METADATA!$B$4),IF(DATOS!$G10546="EX",1,IF(DATOS!$G10546="OR",--(COUNTIFS(nNIA,DATOS!$A10546,nCURSO,DATOS!$D10546,nESPEC,DATOS!$E10546,nASIG,DATOS!$I10546,nEVAL,"EX")=0),0))))</f>
      </c>
      <c r="H10546">
        <f>IF(DATOS!$G10546&lt;&gt;"EX",0,--(COUNTIFS(nNIA,DATOS!$A10546,nCURSO,DATOS!$D10546,nESPEC,DATOS!$E10546,nASIG,DATOS!$I10546,nEVAL,"OR")=0))</f>
      </c>
      <c r="I10546">
        <f>IF(DATOS!$I10546="","",IFERROR(VLOOKUP(DATOS!$I10546,CONFIG_ASIGNATURAS!$B$2:$J$91,9,FALSE()),""))</f>
      </c>
    </row>
    <row r="10547">
      <c r="F10547">
        <f>IF(DATOS!$A10547="","",DATOS!$A10547&amp;"|"&amp;DATOS!$D10547&amp;"|"&amp;DATOS!$E10547&amp;"|"&amp;DATOS!$I10547)</f>
      </c>
      <c r="G10547">
        <f>IF(DATOS!$A10547="",0,IF(CONFIG_METADATA!$B$4&lt;&gt;"OR+EX",--(DATOS!$G10547=CONFIG_METADATA!$B$4),IF(DATOS!$G10547="EX",1,IF(DATOS!$G10547="OR",--(COUNTIFS(nNIA,DATOS!$A10547,nCURSO,DATOS!$D10547,nESPEC,DATOS!$E10547,nASIG,DATOS!$I10547,nEVAL,"EX")=0),0))))</f>
      </c>
      <c r="H10547">
        <f>IF(DATOS!$G10547&lt;&gt;"EX",0,--(COUNTIFS(nNIA,DATOS!$A10547,nCURSO,DATOS!$D10547,nESPEC,DATOS!$E10547,nASIG,DATOS!$I10547,nEVAL,"OR")=0))</f>
      </c>
      <c r="I10547">
        <f>IF(DATOS!$I10547="","",IFERROR(VLOOKUP(DATOS!$I10547,CONFIG_ASIGNATURAS!$B$2:$J$91,9,FALSE()),""))</f>
      </c>
    </row>
    <row r="10548">
      <c r="F10548">
        <f>IF(DATOS!$A10548="","",DATOS!$A10548&amp;"|"&amp;DATOS!$D10548&amp;"|"&amp;DATOS!$E10548&amp;"|"&amp;DATOS!$I10548)</f>
      </c>
      <c r="G10548">
        <f>IF(DATOS!$A10548="",0,IF(CONFIG_METADATA!$B$4&lt;&gt;"OR+EX",--(DATOS!$G10548=CONFIG_METADATA!$B$4),IF(DATOS!$G10548="EX",1,IF(DATOS!$G10548="OR",--(COUNTIFS(nNIA,DATOS!$A10548,nCURSO,DATOS!$D10548,nESPEC,DATOS!$E10548,nASIG,DATOS!$I10548,nEVAL,"EX")=0),0))))</f>
      </c>
      <c r="H10548">
        <f>IF(DATOS!$G10548&lt;&gt;"EX",0,--(COUNTIFS(nNIA,DATOS!$A10548,nCURSO,DATOS!$D10548,nESPEC,DATOS!$E10548,nASIG,DATOS!$I10548,nEVAL,"OR")=0))</f>
      </c>
      <c r="I10548">
        <f>IF(DATOS!$I10548="","",IFERROR(VLOOKUP(DATOS!$I10548,CONFIG_ASIGNATURAS!$B$2:$J$91,9,FALSE()),""))</f>
      </c>
    </row>
    <row r="10549">
      <c r="F10549">
        <f>IF(DATOS!$A10549="","",DATOS!$A10549&amp;"|"&amp;DATOS!$D10549&amp;"|"&amp;DATOS!$E10549&amp;"|"&amp;DATOS!$I10549)</f>
      </c>
      <c r="G10549">
        <f>IF(DATOS!$A10549="",0,IF(CONFIG_METADATA!$B$4&lt;&gt;"OR+EX",--(DATOS!$G10549=CONFIG_METADATA!$B$4),IF(DATOS!$G10549="EX",1,IF(DATOS!$G10549="OR",--(COUNTIFS(nNIA,DATOS!$A10549,nCURSO,DATOS!$D10549,nESPEC,DATOS!$E10549,nASIG,DATOS!$I10549,nEVAL,"EX")=0),0))))</f>
      </c>
      <c r="H10549">
        <f>IF(DATOS!$G10549&lt;&gt;"EX",0,--(COUNTIFS(nNIA,DATOS!$A10549,nCURSO,DATOS!$D10549,nESPEC,DATOS!$E10549,nASIG,DATOS!$I10549,nEVAL,"OR")=0))</f>
      </c>
      <c r="I10549">
        <f>IF(DATOS!$I10549="","",IFERROR(VLOOKUP(DATOS!$I10549,CONFIG_ASIGNATURAS!$B$2:$J$91,9,FALSE()),""))</f>
      </c>
    </row>
    <row r="10550">
      <c r="F10550">
        <f>IF(DATOS!$A10550="","",DATOS!$A10550&amp;"|"&amp;DATOS!$D10550&amp;"|"&amp;DATOS!$E10550&amp;"|"&amp;DATOS!$I10550)</f>
      </c>
      <c r="G10550">
        <f>IF(DATOS!$A10550="",0,IF(CONFIG_METADATA!$B$4&lt;&gt;"OR+EX",--(DATOS!$G10550=CONFIG_METADATA!$B$4),IF(DATOS!$G10550="EX",1,IF(DATOS!$G10550="OR",--(COUNTIFS(nNIA,DATOS!$A10550,nCURSO,DATOS!$D10550,nESPEC,DATOS!$E10550,nASIG,DATOS!$I10550,nEVAL,"EX")=0),0))))</f>
      </c>
      <c r="H10550">
        <f>IF(DATOS!$G10550&lt;&gt;"EX",0,--(COUNTIFS(nNIA,DATOS!$A10550,nCURSO,DATOS!$D10550,nESPEC,DATOS!$E10550,nASIG,DATOS!$I10550,nEVAL,"OR")=0))</f>
      </c>
      <c r="I10550">
        <f>IF(DATOS!$I10550="","",IFERROR(VLOOKUP(DATOS!$I10550,CONFIG_ASIGNATURAS!$B$2:$J$91,9,FALSE()),""))</f>
      </c>
    </row>
    <row r="10551">
      <c r="F10551">
        <f>IF(DATOS!$A10551="","",DATOS!$A10551&amp;"|"&amp;DATOS!$D10551&amp;"|"&amp;DATOS!$E10551&amp;"|"&amp;DATOS!$I10551)</f>
      </c>
      <c r="G10551">
        <f>IF(DATOS!$A10551="",0,IF(CONFIG_METADATA!$B$4&lt;&gt;"OR+EX",--(DATOS!$G10551=CONFIG_METADATA!$B$4),IF(DATOS!$G10551="EX",1,IF(DATOS!$G10551="OR",--(COUNTIFS(nNIA,DATOS!$A10551,nCURSO,DATOS!$D10551,nESPEC,DATOS!$E10551,nASIG,DATOS!$I10551,nEVAL,"EX")=0),0))))</f>
      </c>
      <c r="H10551">
        <f>IF(DATOS!$G10551&lt;&gt;"EX",0,--(COUNTIFS(nNIA,DATOS!$A10551,nCURSO,DATOS!$D10551,nESPEC,DATOS!$E10551,nASIG,DATOS!$I10551,nEVAL,"OR")=0))</f>
      </c>
      <c r="I10551">
        <f>IF(DATOS!$I10551="","",IFERROR(VLOOKUP(DATOS!$I10551,CONFIG_ASIGNATURAS!$B$2:$J$91,9,FALSE()),""))</f>
      </c>
    </row>
    <row r="10552">
      <c r="F10552">
        <f>IF(DATOS!$A10552="","",DATOS!$A10552&amp;"|"&amp;DATOS!$D10552&amp;"|"&amp;DATOS!$E10552&amp;"|"&amp;DATOS!$I10552)</f>
      </c>
      <c r="G10552">
        <f>IF(DATOS!$A10552="",0,IF(CONFIG_METADATA!$B$4&lt;&gt;"OR+EX",--(DATOS!$G10552=CONFIG_METADATA!$B$4),IF(DATOS!$G10552="EX",1,IF(DATOS!$G10552="OR",--(COUNTIFS(nNIA,DATOS!$A10552,nCURSO,DATOS!$D10552,nESPEC,DATOS!$E10552,nASIG,DATOS!$I10552,nEVAL,"EX")=0),0))))</f>
      </c>
      <c r="H10552">
        <f>IF(DATOS!$G10552&lt;&gt;"EX",0,--(COUNTIFS(nNIA,DATOS!$A10552,nCURSO,DATOS!$D10552,nESPEC,DATOS!$E10552,nASIG,DATOS!$I10552,nEVAL,"OR")=0))</f>
      </c>
      <c r="I10552">
        <f>IF(DATOS!$I10552="","",IFERROR(VLOOKUP(DATOS!$I10552,CONFIG_ASIGNATURAS!$B$2:$J$91,9,FALSE()),""))</f>
      </c>
    </row>
    <row r="10553">
      <c r="F10553">
        <f>IF(DATOS!$A10553="","",DATOS!$A10553&amp;"|"&amp;DATOS!$D10553&amp;"|"&amp;DATOS!$E10553&amp;"|"&amp;DATOS!$I10553)</f>
      </c>
      <c r="G10553">
        <f>IF(DATOS!$A10553="",0,IF(CONFIG_METADATA!$B$4&lt;&gt;"OR+EX",--(DATOS!$G10553=CONFIG_METADATA!$B$4),IF(DATOS!$G10553="EX",1,IF(DATOS!$G10553="OR",--(COUNTIFS(nNIA,DATOS!$A10553,nCURSO,DATOS!$D10553,nESPEC,DATOS!$E10553,nASIG,DATOS!$I10553,nEVAL,"EX")=0),0))))</f>
      </c>
      <c r="H10553">
        <f>IF(DATOS!$G10553&lt;&gt;"EX",0,--(COUNTIFS(nNIA,DATOS!$A10553,nCURSO,DATOS!$D10553,nESPEC,DATOS!$E10553,nASIG,DATOS!$I10553,nEVAL,"OR")=0))</f>
      </c>
      <c r="I10553">
        <f>IF(DATOS!$I10553="","",IFERROR(VLOOKUP(DATOS!$I10553,CONFIG_ASIGNATURAS!$B$2:$J$91,9,FALSE()),""))</f>
      </c>
    </row>
    <row r="10554">
      <c r="F10554">
        <f>IF(DATOS!$A10554="","",DATOS!$A10554&amp;"|"&amp;DATOS!$D10554&amp;"|"&amp;DATOS!$E10554&amp;"|"&amp;DATOS!$I10554)</f>
      </c>
      <c r="G10554">
        <f>IF(DATOS!$A10554="",0,IF(CONFIG_METADATA!$B$4&lt;&gt;"OR+EX",--(DATOS!$G10554=CONFIG_METADATA!$B$4),IF(DATOS!$G10554="EX",1,IF(DATOS!$G10554="OR",--(COUNTIFS(nNIA,DATOS!$A10554,nCURSO,DATOS!$D10554,nESPEC,DATOS!$E10554,nASIG,DATOS!$I10554,nEVAL,"EX")=0),0))))</f>
      </c>
      <c r="H10554">
        <f>IF(DATOS!$G10554&lt;&gt;"EX",0,--(COUNTIFS(nNIA,DATOS!$A10554,nCURSO,DATOS!$D10554,nESPEC,DATOS!$E10554,nASIG,DATOS!$I10554,nEVAL,"OR")=0))</f>
      </c>
      <c r="I10554">
        <f>IF(DATOS!$I10554="","",IFERROR(VLOOKUP(DATOS!$I10554,CONFIG_ASIGNATURAS!$B$2:$J$91,9,FALSE()),""))</f>
      </c>
    </row>
    <row r="10555">
      <c r="F10555">
        <f>IF(DATOS!$A10555="","",DATOS!$A10555&amp;"|"&amp;DATOS!$D10555&amp;"|"&amp;DATOS!$E10555&amp;"|"&amp;DATOS!$I10555)</f>
      </c>
      <c r="G10555">
        <f>IF(DATOS!$A10555="",0,IF(CONFIG_METADATA!$B$4&lt;&gt;"OR+EX",--(DATOS!$G10555=CONFIG_METADATA!$B$4),IF(DATOS!$G10555="EX",1,IF(DATOS!$G10555="OR",--(COUNTIFS(nNIA,DATOS!$A10555,nCURSO,DATOS!$D10555,nESPEC,DATOS!$E10555,nASIG,DATOS!$I10555,nEVAL,"EX")=0),0))))</f>
      </c>
      <c r="H10555">
        <f>IF(DATOS!$G10555&lt;&gt;"EX",0,--(COUNTIFS(nNIA,DATOS!$A10555,nCURSO,DATOS!$D10555,nESPEC,DATOS!$E10555,nASIG,DATOS!$I10555,nEVAL,"OR")=0))</f>
      </c>
      <c r="I10555">
        <f>IF(DATOS!$I10555="","",IFERROR(VLOOKUP(DATOS!$I10555,CONFIG_ASIGNATURAS!$B$2:$J$91,9,FALSE()),""))</f>
      </c>
    </row>
    <row r="10556">
      <c r="F10556">
        <f>IF(DATOS!$A10556="","",DATOS!$A10556&amp;"|"&amp;DATOS!$D10556&amp;"|"&amp;DATOS!$E10556&amp;"|"&amp;DATOS!$I10556)</f>
      </c>
      <c r="G10556">
        <f>IF(DATOS!$A10556="",0,IF(CONFIG_METADATA!$B$4&lt;&gt;"OR+EX",--(DATOS!$G10556=CONFIG_METADATA!$B$4),IF(DATOS!$G10556="EX",1,IF(DATOS!$G10556="OR",--(COUNTIFS(nNIA,DATOS!$A10556,nCURSO,DATOS!$D10556,nESPEC,DATOS!$E10556,nASIG,DATOS!$I10556,nEVAL,"EX")=0),0))))</f>
      </c>
      <c r="H10556">
        <f>IF(DATOS!$G10556&lt;&gt;"EX",0,--(COUNTIFS(nNIA,DATOS!$A10556,nCURSO,DATOS!$D10556,nESPEC,DATOS!$E10556,nASIG,DATOS!$I10556,nEVAL,"OR")=0))</f>
      </c>
      <c r="I10556">
        <f>IF(DATOS!$I10556="","",IFERROR(VLOOKUP(DATOS!$I10556,CONFIG_ASIGNATURAS!$B$2:$J$91,9,FALSE()),""))</f>
      </c>
    </row>
    <row r="10557">
      <c r="F10557">
        <f>IF(DATOS!$A10557="","",DATOS!$A10557&amp;"|"&amp;DATOS!$D10557&amp;"|"&amp;DATOS!$E10557&amp;"|"&amp;DATOS!$I10557)</f>
      </c>
      <c r="G10557">
        <f>IF(DATOS!$A10557="",0,IF(CONFIG_METADATA!$B$4&lt;&gt;"OR+EX",--(DATOS!$G10557=CONFIG_METADATA!$B$4),IF(DATOS!$G10557="EX",1,IF(DATOS!$G10557="OR",--(COUNTIFS(nNIA,DATOS!$A10557,nCURSO,DATOS!$D10557,nESPEC,DATOS!$E10557,nASIG,DATOS!$I10557,nEVAL,"EX")=0),0))))</f>
      </c>
      <c r="H10557">
        <f>IF(DATOS!$G10557&lt;&gt;"EX",0,--(COUNTIFS(nNIA,DATOS!$A10557,nCURSO,DATOS!$D10557,nESPEC,DATOS!$E10557,nASIG,DATOS!$I10557,nEVAL,"OR")=0))</f>
      </c>
      <c r="I10557">
        <f>IF(DATOS!$I10557="","",IFERROR(VLOOKUP(DATOS!$I10557,CONFIG_ASIGNATURAS!$B$2:$J$91,9,FALSE()),""))</f>
      </c>
    </row>
    <row r="10558">
      <c r="F10558">
        <f>IF(DATOS!$A10558="","",DATOS!$A10558&amp;"|"&amp;DATOS!$D10558&amp;"|"&amp;DATOS!$E10558&amp;"|"&amp;DATOS!$I10558)</f>
      </c>
      <c r="G10558">
        <f>IF(DATOS!$A10558="",0,IF(CONFIG_METADATA!$B$4&lt;&gt;"OR+EX",--(DATOS!$G10558=CONFIG_METADATA!$B$4),IF(DATOS!$G10558="EX",1,IF(DATOS!$G10558="OR",--(COUNTIFS(nNIA,DATOS!$A10558,nCURSO,DATOS!$D10558,nESPEC,DATOS!$E10558,nASIG,DATOS!$I10558,nEVAL,"EX")=0),0))))</f>
      </c>
      <c r="H10558">
        <f>IF(DATOS!$G10558&lt;&gt;"EX",0,--(COUNTIFS(nNIA,DATOS!$A10558,nCURSO,DATOS!$D10558,nESPEC,DATOS!$E10558,nASIG,DATOS!$I10558,nEVAL,"OR")=0))</f>
      </c>
      <c r="I10558">
        <f>IF(DATOS!$I10558="","",IFERROR(VLOOKUP(DATOS!$I10558,CONFIG_ASIGNATURAS!$B$2:$J$91,9,FALSE()),""))</f>
      </c>
    </row>
    <row r="10559">
      <c r="F10559">
        <f>IF(DATOS!$A10559="","",DATOS!$A10559&amp;"|"&amp;DATOS!$D10559&amp;"|"&amp;DATOS!$E10559&amp;"|"&amp;DATOS!$I10559)</f>
      </c>
      <c r="G10559">
        <f>IF(DATOS!$A10559="",0,IF(CONFIG_METADATA!$B$4&lt;&gt;"OR+EX",--(DATOS!$G10559=CONFIG_METADATA!$B$4),IF(DATOS!$G10559="EX",1,IF(DATOS!$G10559="OR",--(COUNTIFS(nNIA,DATOS!$A10559,nCURSO,DATOS!$D10559,nESPEC,DATOS!$E10559,nASIG,DATOS!$I10559,nEVAL,"EX")=0),0))))</f>
      </c>
      <c r="H10559">
        <f>IF(DATOS!$G10559&lt;&gt;"EX",0,--(COUNTIFS(nNIA,DATOS!$A10559,nCURSO,DATOS!$D10559,nESPEC,DATOS!$E10559,nASIG,DATOS!$I10559,nEVAL,"OR")=0))</f>
      </c>
      <c r="I10559">
        <f>IF(DATOS!$I10559="","",IFERROR(VLOOKUP(DATOS!$I10559,CONFIG_ASIGNATURAS!$B$2:$J$91,9,FALSE()),""))</f>
      </c>
    </row>
    <row r="10560">
      <c r="F10560">
        <f>IF(DATOS!$A10560="","",DATOS!$A10560&amp;"|"&amp;DATOS!$D10560&amp;"|"&amp;DATOS!$E10560&amp;"|"&amp;DATOS!$I10560)</f>
      </c>
      <c r="G10560">
        <f>IF(DATOS!$A10560="",0,IF(CONFIG_METADATA!$B$4&lt;&gt;"OR+EX",--(DATOS!$G10560=CONFIG_METADATA!$B$4),IF(DATOS!$G10560="EX",1,IF(DATOS!$G10560="OR",--(COUNTIFS(nNIA,DATOS!$A10560,nCURSO,DATOS!$D10560,nESPEC,DATOS!$E10560,nASIG,DATOS!$I10560,nEVAL,"EX")=0),0))))</f>
      </c>
      <c r="H10560">
        <f>IF(DATOS!$G10560&lt;&gt;"EX",0,--(COUNTIFS(nNIA,DATOS!$A10560,nCURSO,DATOS!$D10560,nESPEC,DATOS!$E10560,nASIG,DATOS!$I10560,nEVAL,"OR")=0))</f>
      </c>
      <c r="I10560">
        <f>IF(DATOS!$I10560="","",IFERROR(VLOOKUP(DATOS!$I10560,CONFIG_ASIGNATURAS!$B$2:$J$91,9,FALSE()),""))</f>
      </c>
    </row>
    <row r="10561">
      <c r="F10561">
        <f>IF(DATOS!$A10561="","",DATOS!$A10561&amp;"|"&amp;DATOS!$D10561&amp;"|"&amp;DATOS!$E10561&amp;"|"&amp;DATOS!$I10561)</f>
      </c>
      <c r="G10561">
        <f>IF(DATOS!$A10561="",0,IF(CONFIG_METADATA!$B$4&lt;&gt;"OR+EX",--(DATOS!$G10561=CONFIG_METADATA!$B$4),IF(DATOS!$G10561="EX",1,IF(DATOS!$G10561="OR",--(COUNTIFS(nNIA,DATOS!$A10561,nCURSO,DATOS!$D10561,nESPEC,DATOS!$E10561,nASIG,DATOS!$I10561,nEVAL,"EX")=0),0))))</f>
      </c>
      <c r="H10561">
        <f>IF(DATOS!$G10561&lt;&gt;"EX",0,--(COUNTIFS(nNIA,DATOS!$A10561,nCURSO,DATOS!$D10561,nESPEC,DATOS!$E10561,nASIG,DATOS!$I10561,nEVAL,"OR")=0))</f>
      </c>
      <c r="I10561">
        <f>IF(DATOS!$I10561="","",IFERROR(VLOOKUP(DATOS!$I10561,CONFIG_ASIGNATURAS!$B$2:$J$91,9,FALSE()),""))</f>
      </c>
    </row>
    <row r="10562">
      <c r="F10562">
        <f>IF(DATOS!$A10562="","",DATOS!$A10562&amp;"|"&amp;DATOS!$D10562&amp;"|"&amp;DATOS!$E10562&amp;"|"&amp;DATOS!$I10562)</f>
      </c>
      <c r="G10562">
        <f>IF(DATOS!$A10562="",0,IF(CONFIG_METADATA!$B$4&lt;&gt;"OR+EX",--(DATOS!$G10562=CONFIG_METADATA!$B$4),IF(DATOS!$G10562="EX",1,IF(DATOS!$G10562="OR",--(COUNTIFS(nNIA,DATOS!$A10562,nCURSO,DATOS!$D10562,nESPEC,DATOS!$E10562,nASIG,DATOS!$I10562,nEVAL,"EX")=0),0))))</f>
      </c>
      <c r="H10562">
        <f>IF(DATOS!$G10562&lt;&gt;"EX",0,--(COUNTIFS(nNIA,DATOS!$A10562,nCURSO,DATOS!$D10562,nESPEC,DATOS!$E10562,nASIG,DATOS!$I10562,nEVAL,"OR")=0))</f>
      </c>
      <c r="I10562">
        <f>IF(DATOS!$I10562="","",IFERROR(VLOOKUP(DATOS!$I10562,CONFIG_ASIGNATURAS!$B$2:$J$91,9,FALSE()),""))</f>
      </c>
    </row>
    <row r="10563">
      <c r="F10563">
        <f>IF(DATOS!$A10563="","",DATOS!$A10563&amp;"|"&amp;DATOS!$D10563&amp;"|"&amp;DATOS!$E10563&amp;"|"&amp;DATOS!$I10563)</f>
      </c>
      <c r="G10563">
        <f>IF(DATOS!$A10563="",0,IF(CONFIG_METADATA!$B$4&lt;&gt;"OR+EX",--(DATOS!$G10563=CONFIG_METADATA!$B$4),IF(DATOS!$G10563="EX",1,IF(DATOS!$G10563="OR",--(COUNTIFS(nNIA,DATOS!$A10563,nCURSO,DATOS!$D10563,nESPEC,DATOS!$E10563,nASIG,DATOS!$I10563,nEVAL,"EX")=0),0))))</f>
      </c>
      <c r="H10563">
        <f>IF(DATOS!$G10563&lt;&gt;"EX",0,--(COUNTIFS(nNIA,DATOS!$A10563,nCURSO,DATOS!$D10563,nESPEC,DATOS!$E10563,nASIG,DATOS!$I10563,nEVAL,"OR")=0))</f>
      </c>
      <c r="I10563">
        <f>IF(DATOS!$I10563="","",IFERROR(VLOOKUP(DATOS!$I10563,CONFIG_ASIGNATURAS!$B$2:$J$91,9,FALSE()),""))</f>
      </c>
    </row>
    <row r="10564">
      <c r="F10564">
        <f>IF(DATOS!$A10564="","",DATOS!$A10564&amp;"|"&amp;DATOS!$D10564&amp;"|"&amp;DATOS!$E10564&amp;"|"&amp;DATOS!$I10564)</f>
      </c>
      <c r="G10564">
        <f>IF(DATOS!$A10564="",0,IF(CONFIG_METADATA!$B$4&lt;&gt;"OR+EX",--(DATOS!$G10564=CONFIG_METADATA!$B$4),IF(DATOS!$G10564="EX",1,IF(DATOS!$G10564="OR",--(COUNTIFS(nNIA,DATOS!$A10564,nCURSO,DATOS!$D10564,nESPEC,DATOS!$E10564,nASIG,DATOS!$I10564,nEVAL,"EX")=0),0))))</f>
      </c>
      <c r="H10564">
        <f>IF(DATOS!$G10564&lt;&gt;"EX",0,--(COUNTIFS(nNIA,DATOS!$A10564,nCURSO,DATOS!$D10564,nESPEC,DATOS!$E10564,nASIG,DATOS!$I10564,nEVAL,"OR")=0))</f>
      </c>
      <c r="I10564">
        <f>IF(DATOS!$I10564="","",IFERROR(VLOOKUP(DATOS!$I10564,CONFIG_ASIGNATURAS!$B$2:$J$91,9,FALSE()),""))</f>
      </c>
    </row>
    <row r="10565">
      <c r="F10565">
        <f>IF(DATOS!$A10565="","",DATOS!$A10565&amp;"|"&amp;DATOS!$D10565&amp;"|"&amp;DATOS!$E10565&amp;"|"&amp;DATOS!$I10565)</f>
      </c>
      <c r="G10565">
        <f>IF(DATOS!$A10565="",0,IF(CONFIG_METADATA!$B$4&lt;&gt;"OR+EX",--(DATOS!$G10565=CONFIG_METADATA!$B$4),IF(DATOS!$G10565="EX",1,IF(DATOS!$G10565="OR",--(COUNTIFS(nNIA,DATOS!$A10565,nCURSO,DATOS!$D10565,nESPEC,DATOS!$E10565,nASIG,DATOS!$I10565,nEVAL,"EX")=0),0))))</f>
      </c>
      <c r="H10565">
        <f>IF(DATOS!$G10565&lt;&gt;"EX",0,--(COUNTIFS(nNIA,DATOS!$A10565,nCURSO,DATOS!$D10565,nESPEC,DATOS!$E10565,nASIG,DATOS!$I10565,nEVAL,"OR")=0))</f>
      </c>
      <c r="I10565">
        <f>IF(DATOS!$I10565="","",IFERROR(VLOOKUP(DATOS!$I10565,CONFIG_ASIGNATURAS!$B$2:$J$91,9,FALSE()),""))</f>
      </c>
    </row>
    <row r="10566">
      <c r="F10566">
        <f>IF(DATOS!$A10566="","",DATOS!$A10566&amp;"|"&amp;DATOS!$D10566&amp;"|"&amp;DATOS!$E10566&amp;"|"&amp;DATOS!$I10566)</f>
      </c>
      <c r="G10566">
        <f>IF(DATOS!$A10566="",0,IF(CONFIG_METADATA!$B$4&lt;&gt;"OR+EX",--(DATOS!$G10566=CONFIG_METADATA!$B$4),IF(DATOS!$G10566="EX",1,IF(DATOS!$G10566="OR",--(COUNTIFS(nNIA,DATOS!$A10566,nCURSO,DATOS!$D10566,nESPEC,DATOS!$E10566,nASIG,DATOS!$I10566,nEVAL,"EX")=0),0))))</f>
      </c>
      <c r="H10566">
        <f>IF(DATOS!$G10566&lt;&gt;"EX",0,--(COUNTIFS(nNIA,DATOS!$A10566,nCURSO,DATOS!$D10566,nESPEC,DATOS!$E10566,nASIG,DATOS!$I10566,nEVAL,"OR")=0))</f>
      </c>
      <c r="I10566">
        <f>IF(DATOS!$I10566="","",IFERROR(VLOOKUP(DATOS!$I10566,CONFIG_ASIGNATURAS!$B$2:$J$91,9,FALSE()),""))</f>
      </c>
    </row>
    <row r="10567">
      <c r="F10567">
        <f>IF(DATOS!$A10567="","",DATOS!$A10567&amp;"|"&amp;DATOS!$D10567&amp;"|"&amp;DATOS!$E10567&amp;"|"&amp;DATOS!$I10567)</f>
      </c>
      <c r="G10567">
        <f>IF(DATOS!$A10567="",0,IF(CONFIG_METADATA!$B$4&lt;&gt;"OR+EX",--(DATOS!$G10567=CONFIG_METADATA!$B$4),IF(DATOS!$G10567="EX",1,IF(DATOS!$G10567="OR",--(COUNTIFS(nNIA,DATOS!$A10567,nCURSO,DATOS!$D10567,nESPEC,DATOS!$E10567,nASIG,DATOS!$I10567,nEVAL,"EX")=0),0))))</f>
      </c>
      <c r="H10567">
        <f>IF(DATOS!$G10567&lt;&gt;"EX",0,--(COUNTIFS(nNIA,DATOS!$A10567,nCURSO,DATOS!$D10567,nESPEC,DATOS!$E10567,nASIG,DATOS!$I10567,nEVAL,"OR")=0))</f>
      </c>
      <c r="I10567">
        <f>IF(DATOS!$I10567="","",IFERROR(VLOOKUP(DATOS!$I10567,CONFIG_ASIGNATURAS!$B$2:$J$91,9,FALSE()),""))</f>
      </c>
    </row>
    <row r="10568">
      <c r="F10568">
        <f>IF(DATOS!$A10568="","",DATOS!$A10568&amp;"|"&amp;DATOS!$D10568&amp;"|"&amp;DATOS!$E10568&amp;"|"&amp;DATOS!$I10568)</f>
      </c>
      <c r="G10568">
        <f>IF(DATOS!$A10568="",0,IF(CONFIG_METADATA!$B$4&lt;&gt;"OR+EX",--(DATOS!$G10568=CONFIG_METADATA!$B$4),IF(DATOS!$G10568="EX",1,IF(DATOS!$G10568="OR",--(COUNTIFS(nNIA,DATOS!$A10568,nCURSO,DATOS!$D10568,nESPEC,DATOS!$E10568,nASIG,DATOS!$I10568,nEVAL,"EX")=0),0))))</f>
      </c>
      <c r="H10568">
        <f>IF(DATOS!$G10568&lt;&gt;"EX",0,--(COUNTIFS(nNIA,DATOS!$A10568,nCURSO,DATOS!$D10568,nESPEC,DATOS!$E10568,nASIG,DATOS!$I10568,nEVAL,"OR")=0))</f>
      </c>
      <c r="I10568">
        <f>IF(DATOS!$I10568="","",IFERROR(VLOOKUP(DATOS!$I10568,CONFIG_ASIGNATURAS!$B$2:$J$91,9,FALSE()),""))</f>
      </c>
    </row>
    <row r="10569">
      <c r="F10569">
        <f>IF(DATOS!$A10569="","",DATOS!$A10569&amp;"|"&amp;DATOS!$D10569&amp;"|"&amp;DATOS!$E10569&amp;"|"&amp;DATOS!$I10569)</f>
      </c>
      <c r="G10569">
        <f>IF(DATOS!$A10569="",0,IF(CONFIG_METADATA!$B$4&lt;&gt;"OR+EX",--(DATOS!$G10569=CONFIG_METADATA!$B$4),IF(DATOS!$G10569="EX",1,IF(DATOS!$G10569="OR",--(COUNTIFS(nNIA,DATOS!$A10569,nCURSO,DATOS!$D10569,nESPEC,DATOS!$E10569,nASIG,DATOS!$I10569,nEVAL,"EX")=0),0))))</f>
      </c>
      <c r="H10569">
        <f>IF(DATOS!$G10569&lt;&gt;"EX",0,--(COUNTIFS(nNIA,DATOS!$A10569,nCURSO,DATOS!$D10569,nESPEC,DATOS!$E10569,nASIG,DATOS!$I10569,nEVAL,"OR")=0))</f>
      </c>
      <c r="I10569">
        <f>IF(DATOS!$I10569="","",IFERROR(VLOOKUP(DATOS!$I10569,CONFIG_ASIGNATURAS!$B$2:$J$91,9,FALSE()),""))</f>
      </c>
    </row>
    <row r="10570">
      <c r="F10570">
        <f>IF(DATOS!$A10570="","",DATOS!$A10570&amp;"|"&amp;DATOS!$D10570&amp;"|"&amp;DATOS!$E10570&amp;"|"&amp;DATOS!$I10570)</f>
      </c>
      <c r="G10570">
        <f>IF(DATOS!$A10570="",0,IF(CONFIG_METADATA!$B$4&lt;&gt;"OR+EX",--(DATOS!$G10570=CONFIG_METADATA!$B$4),IF(DATOS!$G10570="EX",1,IF(DATOS!$G10570="OR",--(COUNTIFS(nNIA,DATOS!$A10570,nCURSO,DATOS!$D10570,nESPEC,DATOS!$E10570,nASIG,DATOS!$I10570,nEVAL,"EX")=0),0))))</f>
      </c>
      <c r="H10570">
        <f>IF(DATOS!$G10570&lt;&gt;"EX",0,--(COUNTIFS(nNIA,DATOS!$A10570,nCURSO,DATOS!$D10570,nESPEC,DATOS!$E10570,nASIG,DATOS!$I10570,nEVAL,"OR")=0))</f>
      </c>
      <c r="I10570">
        <f>IF(DATOS!$I10570="","",IFERROR(VLOOKUP(DATOS!$I10570,CONFIG_ASIGNATURAS!$B$2:$J$91,9,FALSE()),""))</f>
      </c>
    </row>
    <row r="10571">
      <c r="F10571">
        <f>IF(DATOS!$A10571="","",DATOS!$A10571&amp;"|"&amp;DATOS!$D10571&amp;"|"&amp;DATOS!$E10571&amp;"|"&amp;DATOS!$I10571)</f>
      </c>
      <c r="G10571">
        <f>IF(DATOS!$A10571="",0,IF(CONFIG_METADATA!$B$4&lt;&gt;"OR+EX",--(DATOS!$G10571=CONFIG_METADATA!$B$4),IF(DATOS!$G10571="EX",1,IF(DATOS!$G10571="OR",--(COUNTIFS(nNIA,DATOS!$A10571,nCURSO,DATOS!$D10571,nESPEC,DATOS!$E10571,nASIG,DATOS!$I10571,nEVAL,"EX")=0),0))))</f>
      </c>
      <c r="H10571">
        <f>IF(DATOS!$G10571&lt;&gt;"EX",0,--(COUNTIFS(nNIA,DATOS!$A10571,nCURSO,DATOS!$D10571,nESPEC,DATOS!$E10571,nASIG,DATOS!$I10571,nEVAL,"OR")=0))</f>
      </c>
      <c r="I10571">
        <f>IF(DATOS!$I10571="","",IFERROR(VLOOKUP(DATOS!$I10571,CONFIG_ASIGNATURAS!$B$2:$J$91,9,FALSE()),""))</f>
      </c>
    </row>
    <row r="10572">
      <c r="F10572">
        <f>IF(DATOS!$A10572="","",DATOS!$A10572&amp;"|"&amp;DATOS!$D10572&amp;"|"&amp;DATOS!$E10572&amp;"|"&amp;DATOS!$I10572)</f>
      </c>
      <c r="G10572">
        <f>IF(DATOS!$A10572="",0,IF(CONFIG_METADATA!$B$4&lt;&gt;"OR+EX",--(DATOS!$G10572=CONFIG_METADATA!$B$4),IF(DATOS!$G10572="EX",1,IF(DATOS!$G10572="OR",--(COUNTIFS(nNIA,DATOS!$A10572,nCURSO,DATOS!$D10572,nESPEC,DATOS!$E10572,nASIG,DATOS!$I10572,nEVAL,"EX")=0),0))))</f>
      </c>
      <c r="H10572">
        <f>IF(DATOS!$G10572&lt;&gt;"EX",0,--(COUNTIFS(nNIA,DATOS!$A10572,nCURSO,DATOS!$D10572,nESPEC,DATOS!$E10572,nASIG,DATOS!$I10572,nEVAL,"OR")=0))</f>
      </c>
      <c r="I10572">
        <f>IF(DATOS!$I10572="","",IFERROR(VLOOKUP(DATOS!$I10572,CONFIG_ASIGNATURAS!$B$2:$J$91,9,FALSE()),""))</f>
      </c>
    </row>
    <row r="10573">
      <c r="F10573">
        <f>IF(DATOS!$A10573="","",DATOS!$A10573&amp;"|"&amp;DATOS!$D10573&amp;"|"&amp;DATOS!$E10573&amp;"|"&amp;DATOS!$I10573)</f>
      </c>
      <c r="G10573">
        <f>IF(DATOS!$A10573="",0,IF(CONFIG_METADATA!$B$4&lt;&gt;"OR+EX",--(DATOS!$G10573=CONFIG_METADATA!$B$4),IF(DATOS!$G10573="EX",1,IF(DATOS!$G10573="OR",--(COUNTIFS(nNIA,DATOS!$A10573,nCURSO,DATOS!$D10573,nESPEC,DATOS!$E10573,nASIG,DATOS!$I10573,nEVAL,"EX")=0),0))))</f>
      </c>
      <c r="H10573">
        <f>IF(DATOS!$G10573&lt;&gt;"EX",0,--(COUNTIFS(nNIA,DATOS!$A10573,nCURSO,DATOS!$D10573,nESPEC,DATOS!$E10573,nASIG,DATOS!$I10573,nEVAL,"OR")=0))</f>
      </c>
      <c r="I10573">
        <f>IF(DATOS!$I10573="","",IFERROR(VLOOKUP(DATOS!$I10573,CONFIG_ASIGNATURAS!$B$2:$J$91,9,FALSE()),""))</f>
      </c>
    </row>
    <row r="10574">
      <c r="F10574">
        <f>IF(DATOS!$A10574="","",DATOS!$A10574&amp;"|"&amp;DATOS!$D10574&amp;"|"&amp;DATOS!$E10574&amp;"|"&amp;DATOS!$I10574)</f>
      </c>
      <c r="G10574">
        <f>IF(DATOS!$A10574="",0,IF(CONFIG_METADATA!$B$4&lt;&gt;"OR+EX",--(DATOS!$G10574=CONFIG_METADATA!$B$4),IF(DATOS!$G10574="EX",1,IF(DATOS!$G10574="OR",--(COUNTIFS(nNIA,DATOS!$A10574,nCURSO,DATOS!$D10574,nESPEC,DATOS!$E10574,nASIG,DATOS!$I10574,nEVAL,"EX")=0),0))))</f>
      </c>
      <c r="H10574">
        <f>IF(DATOS!$G10574&lt;&gt;"EX",0,--(COUNTIFS(nNIA,DATOS!$A10574,nCURSO,DATOS!$D10574,nESPEC,DATOS!$E10574,nASIG,DATOS!$I10574,nEVAL,"OR")=0))</f>
      </c>
      <c r="I10574">
        <f>IF(DATOS!$I10574="","",IFERROR(VLOOKUP(DATOS!$I10574,CONFIG_ASIGNATURAS!$B$2:$J$91,9,FALSE()),""))</f>
      </c>
    </row>
    <row r="10575">
      <c r="F10575">
        <f>IF(DATOS!$A10575="","",DATOS!$A10575&amp;"|"&amp;DATOS!$D10575&amp;"|"&amp;DATOS!$E10575&amp;"|"&amp;DATOS!$I10575)</f>
      </c>
      <c r="G10575">
        <f>IF(DATOS!$A10575="",0,IF(CONFIG_METADATA!$B$4&lt;&gt;"OR+EX",--(DATOS!$G10575=CONFIG_METADATA!$B$4),IF(DATOS!$G10575="EX",1,IF(DATOS!$G10575="OR",--(COUNTIFS(nNIA,DATOS!$A10575,nCURSO,DATOS!$D10575,nESPEC,DATOS!$E10575,nASIG,DATOS!$I10575,nEVAL,"EX")=0),0))))</f>
      </c>
      <c r="H10575">
        <f>IF(DATOS!$G10575&lt;&gt;"EX",0,--(COUNTIFS(nNIA,DATOS!$A10575,nCURSO,DATOS!$D10575,nESPEC,DATOS!$E10575,nASIG,DATOS!$I10575,nEVAL,"OR")=0))</f>
      </c>
      <c r="I10575">
        <f>IF(DATOS!$I10575="","",IFERROR(VLOOKUP(DATOS!$I10575,CONFIG_ASIGNATURAS!$B$2:$J$91,9,FALSE()),""))</f>
      </c>
    </row>
    <row r="10576">
      <c r="F10576">
        <f>IF(DATOS!$A10576="","",DATOS!$A10576&amp;"|"&amp;DATOS!$D10576&amp;"|"&amp;DATOS!$E10576&amp;"|"&amp;DATOS!$I10576)</f>
      </c>
      <c r="G10576">
        <f>IF(DATOS!$A10576="",0,IF(CONFIG_METADATA!$B$4&lt;&gt;"OR+EX",--(DATOS!$G10576=CONFIG_METADATA!$B$4),IF(DATOS!$G10576="EX",1,IF(DATOS!$G10576="OR",--(COUNTIFS(nNIA,DATOS!$A10576,nCURSO,DATOS!$D10576,nESPEC,DATOS!$E10576,nASIG,DATOS!$I10576,nEVAL,"EX")=0),0))))</f>
      </c>
      <c r="H10576">
        <f>IF(DATOS!$G10576&lt;&gt;"EX",0,--(COUNTIFS(nNIA,DATOS!$A10576,nCURSO,DATOS!$D10576,nESPEC,DATOS!$E10576,nASIG,DATOS!$I10576,nEVAL,"OR")=0))</f>
      </c>
      <c r="I10576">
        <f>IF(DATOS!$I10576="","",IFERROR(VLOOKUP(DATOS!$I10576,CONFIG_ASIGNATURAS!$B$2:$J$91,9,FALSE()),""))</f>
      </c>
    </row>
    <row r="10577">
      <c r="F10577">
        <f>IF(DATOS!$A10577="","",DATOS!$A10577&amp;"|"&amp;DATOS!$D10577&amp;"|"&amp;DATOS!$E10577&amp;"|"&amp;DATOS!$I10577)</f>
      </c>
      <c r="G10577">
        <f>IF(DATOS!$A10577="",0,IF(CONFIG_METADATA!$B$4&lt;&gt;"OR+EX",--(DATOS!$G10577=CONFIG_METADATA!$B$4),IF(DATOS!$G10577="EX",1,IF(DATOS!$G10577="OR",--(COUNTIFS(nNIA,DATOS!$A10577,nCURSO,DATOS!$D10577,nESPEC,DATOS!$E10577,nASIG,DATOS!$I10577,nEVAL,"EX")=0),0))))</f>
      </c>
      <c r="H10577">
        <f>IF(DATOS!$G10577&lt;&gt;"EX",0,--(COUNTIFS(nNIA,DATOS!$A10577,nCURSO,DATOS!$D10577,nESPEC,DATOS!$E10577,nASIG,DATOS!$I10577,nEVAL,"OR")=0))</f>
      </c>
      <c r="I10577">
        <f>IF(DATOS!$I10577="","",IFERROR(VLOOKUP(DATOS!$I10577,CONFIG_ASIGNATURAS!$B$2:$J$91,9,FALSE()),""))</f>
      </c>
    </row>
    <row r="10578">
      <c r="F10578">
        <f>IF(DATOS!$A10578="","",DATOS!$A10578&amp;"|"&amp;DATOS!$D10578&amp;"|"&amp;DATOS!$E10578&amp;"|"&amp;DATOS!$I10578)</f>
      </c>
      <c r="G10578">
        <f>IF(DATOS!$A10578="",0,IF(CONFIG_METADATA!$B$4&lt;&gt;"OR+EX",--(DATOS!$G10578=CONFIG_METADATA!$B$4),IF(DATOS!$G10578="EX",1,IF(DATOS!$G10578="OR",--(COUNTIFS(nNIA,DATOS!$A10578,nCURSO,DATOS!$D10578,nESPEC,DATOS!$E10578,nASIG,DATOS!$I10578,nEVAL,"EX")=0),0))))</f>
      </c>
      <c r="H10578">
        <f>IF(DATOS!$G10578&lt;&gt;"EX",0,--(COUNTIFS(nNIA,DATOS!$A10578,nCURSO,DATOS!$D10578,nESPEC,DATOS!$E10578,nASIG,DATOS!$I10578,nEVAL,"OR")=0))</f>
      </c>
      <c r="I10578">
        <f>IF(DATOS!$I10578="","",IFERROR(VLOOKUP(DATOS!$I10578,CONFIG_ASIGNATURAS!$B$2:$J$91,9,FALSE()),""))</f>
      </c>
    </row>
    <row r="10579">
      <c r="F10579">
        <f>IF(DATOS!$A10579="","",DATOS!$A10579&amp;"|"&amp;DATOS!$D10579&amp;"|"&amp;DATOS!$E10579&amp;"|"&amp;DATOS!$I10579)</f>
      </c>
      <c r="G10579">
        <f>IF(DATOS!$A10579="",0,IF(CONFIG_METADATA!$B$4&lt;&gt;"OR+EX",--(DATOS!$G10579=CONFIG_METADATA!$B$4),IF(DATOS!$G10579="EX",1,IF(DATOS!$G10579="OR",--(COUNTIFS(nNIA,DATOS!$A10579,nCURSO,DATOS!$D10579,nESPEC,DATOS!$E10579,nASIG,DATOS!$I10579,nEVAL,"EX")=0),0))))</f>
      </c>
      <c r="H10579">
        <f>IF(DATOS!$G10579&lt;&gt;"EX",0,--(COUNTIFS(nNIA,DATOS!$A10579,nCURSO,DATOS!$D10579,nESPEC,DATOS!$E10579,nASIG,DATOS!$I10579,nEVAL,"OR")=0))</f>
      </c>
      <c r="I10579">
        <f>IF(DATOS!$I10579="","",IFERROR(VLOOKUP(DATOS!$I10579,CONFIG_ASIGNATURAS!$B$2:$J$91,9,FALSE()),""))</f>
      </c>
    </row>
    <row r="10580">
      <c r="F10580">
        <f>IF(DATOS!$A10580="","",DATOS!$A10580&amp;"|"&amp;DATOS!$D10580&amp;"|"&amp;DATOS!$E10580&amp;"|"&amp;DATOS!$I10580)</f>
      </c>
      <c r="G10580">
        <f>IF(DATOS!$A10580="",0,IF(CONFIG_METADATA!$B$4&lt;&gt;"OR+EX",--(DATOS!$G10580=CONFIG_METADATA!$B$4),IF(DATOS!$G10580="EX",1,IF(DATOS!$G10580="OR",--(COUNTIFS(nNIA,DATOS!$A10580,nCURSO,DATOS!$D10580,nESPEC,DATOS!$E10580,nASIG,DATOS!$I10580,nEVAL,"EX")=0),0))))</f>
      </c>
      <c r="H10580">
        <f>IF(DATOS!$G10580&lt;&gt;"EX",0,--(COUNTIFS(nNIA,DATOS!$A10580,nCURSO,DATOS!$D10580,nESPEC,DATOS!$E10580,nASIG,DATOS!$I10580,nEVAL,"OR")=0))</f>
      </c>
      <c r="I10580">
        <f>IF(DATOS!$I10580="","",IFERROR(VLOOKUP(DATOS!$I10580,CONFIG_ASIGNATURAS!$B$2:$J$91,9,FALSE()),""))</f>
      </c>
    </row>
    <row r="10581">
      <c r="F10581">
        <f>IF(DATOS!$A10581="","",DATOS!$A10581&amp;"|"&amp;DATOS!$D10581&amp;"|"&amp;DATOS!$E10581&amp;"|"&amp;DATOS!$I10581)</f>
      </c>
      <c r="G10581">
        <f>IF(DATOS!$A10581="",0,IF(CONFIG_METADATA!$B$4&lt;&gt;"OR+EX",--(DATOS!$G10581=CONFIG_METADATA!$B$4),IF(DATOS!$G10581="EX",1,IF(DATOS!$G10581="OR",--(COUNTIFS(nNIA,DATOS!$A10581,nCURSO,DATOS!$D10581,nESPEC,DATOS!$E10581,nASIG,DATOS!$I10581,nEVAL,"EX")=0),0))))</f>
      </c>
      <c r="H10581">
        <f>IF(DATOS!$G10581&lt;&gt;"EX",0,--(COUNTIFS(nNIA,DATOS!$A10581,nCURSO,DATOS!$D10581,nESPEC,DATOS!$E10581,nASIG,DATOS!$I10581,nEVAL,"OR")=0))</f>
      </c>
      <c r="I10581">
        <f>IF(DATOS!$I10581="","",IFERROR(VLOOKUP(DATOS!$I10581,CONFIG_ASIGNATURAS!$B$2:$J$91,9,FALSE()),""))</f>
      </c>
    </row>
    <row r="10582">
      <c r="F10582">
        <f>IF(DATOS!$A10582="","",DATOS!$A10582&amp;"|"&amp;DATOS!$D10582&amp;"|"&amp;DATOS!$E10582&amp;"|"&amp;DATOS!$I10582)</f>
      </c>
      <c r="G10582">
        <f>IF(DATOS!$A10582="",0,IF(CONFIG_METADATA!$B$4&lt;&gt;"OR+EX",--(DATOS!$G10582=CONFIG_METADATA!$B$4),IF(DATOS!$G10582="EX",1,IF(DATOS!$G10582="OR",--(COUNTIFS(nNIA,DATOS!$A10582,nCURSO,DATOS!$D10582,nESPEC,DATOS!$E10582,nASIG,DATOS!$I10582,nEVAL,"EX")=0),0))))</f>
      </c>
      <c r="H10582">
        <f>IF(DATOS!$G10582&lt;&gt;"EX",0,--(COUNTIFS(nNIA,DATOS!$A10582,nCURSO,DATOS!$D10582,nESPEC,DATOS!$E10582,nASIG,DATOS!$I10582,nEVAL,"OR")=0))</f>
      </c>
      <c r="I10582">
        <f>IF(DATOS!$I10582="","",IFERROR(VLOOKUP(DATOS!$I10582,CONFIG_ASIGNATURAS!$B$2:$J$91,9,FALSE()),""))</f>
      </c>
    </row>
    <row r="10583">
      <c r="F10583">
        <f>IF(DATOS!$A10583="","",DATOS!$A10583&amp;"|"&amp;DATOS!$D10583&amp;"|"&amp;DATOS!$E10583&amp;"|"&amp;DATOS!$I10583)</f>
      </c>
      <c r="G10583">
        <f>IF(DATOS!$A10583="",0,IF(CONFIG_METADATA!$B$4&lt;&gt;"OR+EX",--(DATOS!$G10583=CONFIG_METADATA!$B$4),IF(DATOS!$G10583="EX",1,IF(DATOS!$G10583="OR",--(COUNTIFS(nNIA,DATOS!$A10583,nCURSO,DATOS!$D10583,nESPEC,DATOS!$E10583,nASIG,DATOS!$I10583,nEVAL,"EX")=0),0))))</f>
      </c>
      <c r="H10583">
        <f>IF(DATOS!$G10583&lt;&gt;"EX",0,--(COUNTIFS(nNIA,DATOS!$A10583,nCURSO,DATOS!$D10583,nESPEC,DATOS!$E10583,nASIG,DATOS!$I10583,nEVAL,"OR")=0))</f>
      </c>
      <c r="I10583">
        <f>IF(DATOS!$I10583="","",IFERROR(VLOOKUP(DATOS!$I10583,CONFIG_ASIGNATURAS!$B$2:$J$91,9,FALSE()),""))</f>
      </c>
    </row>
    <row r="10584">
      <c r="F10584">
        <f>IF(DATOS!$A10584="","",DATOS!$A10584&amp;"|"&amp;DATOS!$D10584&amp;"|"&amp;DATOS!$E10584&amp;"|"&amp;DATOS!$I10584)</f>
      </c>
      <c r="G10584">
        <f>IF(DATOS!$A10584="",0,IF(CONFIG_METADATA!$B$4&lt;&gt;"OR+EX",--(DATOS!$G10584=CONFIG_METADATA!$B$4),IF(DATOS!$G10584="EX",1,IF(DATOS!$G10584="OR",--(COUNTIFS(nNIA,DATOS!$A10584,nCURSO,DATOS!$D10584,nESPEC,DATOS!$E10584,nASIG,DATOS!$I10584,nEVAL,"EX")=0),0))))</f>
      </c>
      <c r="H10584">
        <f>IF(DATOS!$G10584&lt;&gt;"EX",0,--(COUNTIFS(nNIA,DATOS!$A10584,nCURSO,DATOS!$D10584,nESPEC,DATOS!$E10584,nASIG,DATOS!$I10584,nEVAL,"OR")=0))</f>
      </c>
      <c r="I10584">
        <f>IF(DATOS!$I10584="","",IFERROR(VLOOKUP(DATOS!$I10584,CONFIG_ASIGNATURAS!$B$2:$J$91,9,FALSE()),""))</f>
      </c>
    </row>
    <row r="10585">
      <c r="F10585">
        <f>IF(DATOS!$A10585="","",DATOS!$A10585&amp;"|"&amp;DATOS!$D10585&amp;"|"&amp;DATOS!$E10585&amp;"|"&amp;DATOS!$I10585)</f>
      </c>
      <c r="G10585">
        <f>IF(DATOS!$A10585="",0,IF(CONFIG_METADATA!$B$4&lt;&gt;"OR+EX",--(DATOS!$G10585=CONFIG_METADATA!$B$4),IF(DATOS!$G10585="EX",1,IF(DATOS!$G10585="OR",--(COUNTIFS(nNIA,DATOS!$A10585,nCURSO,DATOS!$D10585,nESPEC,DATOS!$E10585,nASIG,DATOS!$I10585,nEVAL,"EX")=0),0))))</f>
      </c>
      <c r="H10585">
        <f>IF(DATOS!$G10585&lt;&gt;"EX",0,--(COUNTIFS(nNIA,DATOS!$A10585,nCURSO,DATOS!$D10585,nESPEC,DATOS!$E10585,nASIG,DATOS!$I10585,nEVAL,"OR")=0))</f>
      </c>
      <c r="I10585">
        <f>IF(DATOS!$I10585="","",IFERROR(VLOOKUP(DATOS!$I10585,CONFIG_ASIGNATURAS!$B$2:$J$91,9,FALSE()),""))</f>
      </c>
    </row>
    <row r="10586">
      <c r="F10586">
        <f>IF(DATOS!$A10586="","",DATOS!$A10586&amp;"|"&amp;DATOS!$D10586&amp;"|"&amp;DATOS!$E10586&amp;"|"&amp;DATOS!$I10586)</f>
      </c>
      <c r="G10586">
        <f>IF(DATOS!$A10586="",0,IF(CONFIG_METADATA!$B$4&lt;&gt;"OR+EX",--(DATOS!$G10586=CONFIG_METADATA!$B$4),IF(DATOS!$G10586="EX",1,IF(DATOS!$G10586="OR",--(COUNTIFS(nNIA,DATOS!$A10586,nCURSO,DATOS!$D10586,nESPEC,DATOS!$E10586,nASIG,DATOS!$I10586,nEVAL,"EX")=0),0))))</f>
      </c>
      <c r="H10586">
        <f>IF(DATOS!$G10586&lt;&gt;"EX",0,--(COUNTIFS(nNIA,DATOS!$A10586,nCURSO,DATOS!$D10586,nESPEC,DATOS!$E10586,nASIG,DATOS!$I10586,nEVAL,"OR")=0))</f>
      </c>
      <c r="I10586">
        <f>IF(DATOS!$I10586="","",IFERROR(VLOOKUP(DATOS!$I10586,CONFIG_ASIGNATURAS!$B$2:$J$91,9,FALSE()),""))</f>
      </c>
    </row>
    <row r="10587">
      <c r="F10587">
        <f>IF(DATOS!$A10587="","",DATOS!$A10587&amp;"|"&amp;DATOS!$D10587&amp;"|"&amp;DATOS!$E10587&amp;"|"&amp;DATOS!$I10587)</f>
      </c>
      <c r="G10587">
        <f>IF(DATOS!$A10587="",0,IF(CONFIG_METADATA!$B$4&lt;&gt;"OR+EX",--(DATOS!$G10587=CONFIG_METADATA!$B$4),IF(DATOS!$G10587="EX",1,IF(DATOS!$G10587="OR",--(COUNTIFS(nNIA,DATOS!$A10587,nCURSO,DATOS!$D10587,nESPEC,DATOS!$E10587,nASIG,DATOS!$I10587,nEVAL,"EX")=0),0))))</f>
      </c>
      <c r="H10587">
        <f>IF(DATOS!$G10587&lt;&gt;"EX",0,--(COUNTIFS(nNIA,DATOS!$A10587,nCURSO,DATOS!$D10587,nESPEC,DATOS!$E10587,nASIG,DATOS!$I10587,nEVAL,"OR")=0))</f>
      </c>
      <c r="I10587">
        <f>IF(DATOS!$I10587="","",IFERROR(VLOOKUP(DATOS!$I10587,CONFIG_ASIGNATURAS!$B$2:$J$91,9,FALSE()),""))</f>
      </c>
    </row>
    <row r="10588">
      <c r="F10588">
        <f>IF(DATOS!$A10588="","",DATOS!$A10588&amp;"|"&amp;DATOS!$D10588&amp;"|"&amp;DATOS!$E10588&amp;"|"&amp;DATOS!$I10588)</f>
      </c>
      <c r="G10588">
        <f>IF(DATOS!$A10588="",0,IF(CONFIG_METADATA!$B$4&lt;&gt;"OR+EX",--(DATOS!$G10588=CONFIG_METADATA!$B$4),IF(DATOS!$G10588="EX",1,IF(DATOS!$G10588="OR",--(COUNTIFS(nNIA,DATOS!$A10588,nCURSO,DATOS!$D10588,nESPEC,DATOS!$E10588,nASIG,DATOS!$I10588,nEVAL,"EX")=0),0))))</f>
      </c>
      <c r="H10588">
        <f>IF(DATOS!$G10588&lt;&gt;"EX",0,--(COUNTIFS(nNIA,DATOS!$A10588,nCURSO,DATOS!$D10588,nESPEC,DATOS!$E10588,nASIG,DATOS!$I10588,nEVAL,"OR")=0))</f>
      </c>
      <c r="I10588">
        <f>IF(DATOS!$I10588="","",IFERROR(VLOOKUP(DATOS!$I10588,CONFIG_ASIGNATURAS!$B$2:$J$91,9,FALSE()),""))</f>
      </c>
    </row>
    <row r="10589">
      <c r="F10589">
        <f>IF(DATOS!$A10589="","",DATOS!$A10589&amp;"|"&amp;DATOS!$D10589&amp;"|"&amp;DATOS!$E10589&amp;"|"&amp;DATOS!$I10589)</f>
      </c>
      <c r="G10589">
        <f>IF(DATOS!$A10589="",0,IF(CONFIG_METADATA!$B$4&lt;&gt;"OR+EX",--(DATOS!$G10589=CONFIG_METADATA!$B$4),IF(DATOS!$G10589="EX",1,IF(DATOS!$G10589="OR",--(COUNTIFS(nNIA,DATOS!$A10589,nCURSO,DATOS!$D10589,nESPEC,DATOS!$E10589,nASIG,DATOS!$I10589,nEVAL,"EX")=0),0))))</f>
      </c>
      <c r="H10589">
        <f>IF(DATOS!$G10589&lt;&gt;"EX",0,--(COUNTIFS(nNIA,DATOS!$A10589,nCURSO,DATOS!$D10589,nESPEC,DATOS!$E10589,nASIG,DATOS!$I10589,nEVAL,"OR")=0))</f>
      </c>
      <c r="I10589">
        <f>IF(DATOS!$I10589="","",IFERROR(VLOOKUP(DATOS!$I10589,CONFIG_ASIGNATURAS!$B$2:$J$91,9,FALSE()),""))</f>
      </c>
    </row>
    <row r="10590">
      <c r="F10590">
        <f>IF(DATOS!$A10590="","",DATOS!$A10590&amp;"|"&amp;DATOS!$D10590&amp;"|"&amp;DATOS!$E10590&amp;"|"&amp;DATOS!$I10590)</f>
      </c>
      <c r="G10590">
        <f>IF(DATOS!$A10590="",0,IF(CONFIG_METADATA!$B$4&lt;&gt;"OR+EX",--(DATOS!$G10590=CONFIG_METADATA!$B$4),IF(DATOS!$G10590="EX",1,IF(DATOS!$G10590="OR",--(COUNTIFS(nNIA,DATOS!$A10590,nCURSO,DATOS!$D10590,nESPEC,DATOS!$E10590,nASIG,DATOS!$I10590,nEVAL,"EX")=0),0))))</f>
      </c>
      <c r="H10590">
        <f>IF(DATOS!$G10590&lt;&gt;"EX",0,--(COUNTIFS(nNIA,DATOS!$A10590,nCURSO,DATOS!$D10590,nESPEC,DATOS!$E10590,nASIG,DATOS!$I10590,nEVAL,"OR")=0))</f>
      </c>
      <c r="I10590">
        <f>IF(DATOS!$I10590="","",IFERROR(VLOOKUP(DATOS!$I10590,CONFIG_ASIGNATURAS!$B$2:$J$91,9,FALSE()),""))</f>
      </c>
    </row>
    <row r="10591">
      <c r="F10591">
        <f>IF(DATOS!$A10591="","",DATOS!$A10591&amp;"|"&amp;DATOS!$D10591&amp;"|"&amp;DATOS!$E10591&amp;"|"&amp;DATOS!$I10591)</f>
      </c>
      <c r="G10591">
        <f>IF(DATOS!$A10591="",0,IF(CONFIG_METADATA!$B$4&lt;&gt;"OR+EX",--(DATOS!$G10591=CONFIG_METADATA!$B$4),IF(DATOS!$G10591="EX",1,IF(DATOS!$G10591="OR",--(COUNTIFS(nNIA,DATOS!$A10591,nCURSO,DATOS!$D10591,nESPEC,DATOS!$E10591,nASIG,DATOS!$I10591,nEVAL,"EX")=0),0))))</f>
      </c>
      <c r="H10591">
        <f>IF(DATOS!$G10591&lt;&gt;"EX",0,--(COUNTIFS(nNIA,DATOS!$A10591,nCURSO,DATOS!$D10591,nESPEC,DATOS!$E10591,nASIG,DATOS!$I10591,nEVAL,"OR")=0))</f>
      </c>
      <c r="I10591">
        <f>IF(DATOS!$I10591="","",IFERROR(VLOOKUP(DATOS!$I10591,CONFIG_ASIGNATURAS!$B$2:$J$91,9,FALSE()),""))</f>
      </c>
    </row>
    <row r="10592">
      <c r="F10592">
        <f>IF(DATOS!$A10592="","",DATOS!$A10592&amp;"|"&amp;DATOS!$D10592&amp;"|"&amp;DATOS!$E10592&amp;"|"&amp;DATOS!$I10592)</f>
      </c>
      <c r="G10592">
        <f>IF(DATOS!$A10592="",0,IF(CONFIG_METADATA!$B$4&lt;&gt;"OR+EX",--(DATOS!$G10592=CONFIG_METADATA!$B$4),IF(DATOS!$G10592="EX",1,IF(DATOS!$G10592="OR",--(COUNTIFS(nNIA,DATOS!$A10592,nCURSO,DATOS!$D10592,nESPEC,DATOS!$E10592,nASIG,DATOS!$I10592,nEVAL,"EX")=0),0))))</f>
      </c>
      <c r="H10592">
        <f>IF(DATOS!$G10592&lt;&gt;"EX",0,--(COUNTIFS(nNIA,DATOS!$A10592,nCURSO,DATOS!$D10592,nESPEC,DATOS!$E10592,nASIG,DATOS!$I10592,nEVAL,"OR")=0))</f>
      </c>
      <c r="I10592">
        <f>IF(DATOS!$I10592="","",IFERROR(VLOOKUP(DATOS!$I10592,CONFIG_ASIGNATURAS!$B$2:$J$91,9,FALSE()),""))</f>
      </c>
    </row>
    <row r="10593">
      <c r="F10593">
        <f>IF(DATOS!$A10593="","",DATOS!$A10593&amp;"|"&amp;DATOS!$D10593&amp;"|"&amp;DATOS!$E10593&amp;"|"&amp;DATOS!$I10593)</f>
      </c>
      <c r="G10593">
        <f>IF(DATOS!$A10593="",0,IF(CONFIG_METADATA!$B$4&lt;&gt;"OR+EX",--(DATOS!$G10593=CONFIG_METADATA!$B$4),IF(DATOS!$G10593="EX",1,IF(DATOS!$G10593="OR",--(COUNTIFS(nNIA,DATOS!$A10593,nCURSO,DATOS!$D10593,nESPEC,DATOS!$E10593,nASIG,DATOS!$I10593,nEVAL,"EX")=0),0))))</f>
      </c>
      <c r="H10593">
        <f>IF(DATOS!$G10593&lt;&gt;"EX",0,--(COUNTIFS(nNIA,DATOS!$A10593,nCURSO,DATOS!$D10593,nESPEC,DATOS!$E10593,nASIG,DATOS!$I10593,nEVAL,"OR")=0))</f>
      </c>
      <c r="I10593">
        <f>IF(DATOS!$I10593="","",IFERROR(VLOOKUP(DATOS!$I10593,CONFIG_ASIGNATURAS!$B$2:$J$91,9,FALSE()),""))</f>
      </c>
    </row>
    <row r="10594">
      <c r="F10594">
        <f>IF(DATOS!$A10594="","",DATOS!$A10594&amp;"|"&amp;DATOS!$D10594&amp;"|"&amp;DATOS!$E10594&amp;"|"&amp;DATOS!$I10594)</f>
      </c>
      <c r="G10594">
        <f>IF(DATOS!$A10594="",0,IF(CONFIG_METADATA!$B$4&lt;&gt;"OR+EX",--(DATOS!$G10594=CONFIG_METADATA!$B$4),IF(DATOS!$G10594="EX",1,IF(DATOS!$G10594="OR",--(COUNTIFS(nNIA,DATOS!$A10594,nCURSO,DATOS!$D10594,nESPEC,DATOS!$E10594,nASIG,DATOS!$I10594,nEVAL,"EX")=0),0))))</f>
      </c>
      <c r="H10594">
        <f>IF(DATOS!$G10594&lt;&gt;"EX",0,--(COUNTIFS(nNIA,DATOS!$A10594,nCURSO,DATOS!$D10594,nESPEC,DATOS!$E10594,nASIG,DATOS!$I10594,nEVAL,"OR")=0))</f>
      </c>
      <c r="I10594">
        <f>IF(DATOS!$I10594="","",IFERROR(VLOOKUP(DATOS!$I10594,CONFIG_ASIGNATURAS!$B$2:$J$91,9,FALSE()),""))</f>
      </c>
    </row>
    <row r="10595">
      <c r="F10595">
        <f>IF(DATOS!$A10595="","",DATOS!$A10595&amp;"|"&amp;DATOS!$D10595&amp;"|"&amp;DATOS!$E10595&amp;"|"&amp;DATOS!$I10595)</f>
      </c>
      <c r="G10595">
        <f>IF(DATOS!$A10595="",0,IF(CONFIG_METADATA!$B$4&lt;&gt;"OR+EX",--(DATOS!$G10595=CONFIG_METADATA!$B$4),IF(DATOS!$G10595="EX",1,IF(DATOS!$G10595="OR",--(COUNTIFS(nNIA,DATOS!$A10595,nCURSO,DATOS!$D10595,nESPEC,DATOS!$E10595,nASIG,DATOS!$I10595,nEVAL,"EX")=0),0))))</f>
      </c>
      <c r="H10595">
        <f>IF(DATOS!$G10595&lt;&gt;"EX",0,--(COUNTIFS(nNIA,DATOS!$A10595,nCURSO,DATOS!$D10595,nESPEC,DATOS!$E10595,nASIG,DATOS!$I10595,nEVAL,"OR")=0))</f>
      </c>
      <c r="I10595">
        <f>IF(DATOS!$I10595="","",IFERROR(VLOOKUP(DATOS!$I10595,CONFIG_ASIGNATURAS!$B$2:$J$91,9,FALSE()),""))</f>
      </c>
    </row>
    <row r="10596">
      <c r="F10596">
        <f>IF(DATOS!$A10596="","",DATOS!$A10596&amp;"|"&amp;DATOS!$D10596&amp;"|"&amp;DATOS!$E10596&amp;"|"&amp;DATOS!$I10596)</f>
      </c>
      <c r="G10596">
        <f>IF(DATOS!$A10596="",0,IF(CONFIG_METADATA!$B$4&lt;&gt;"OR+EX",--(DATOS!$G10596=CONFIG_METADATA!$B$4),IF(DATOS!$G10596="EX",1,IF(DATOS!$G10596="OR",--(COUNTIFS(nNIA,DATOS!$A10596,nCURSO,DATOS!$D10596,nESPEC,DATOS!$E10596,nASIG,DATOS!$I10596,nEVAL,"EX")=0),0))))</f>
      </c>
      <c r="H10596">
        <f>IF(DATOS!$G10596&lt;&gt;"EX",0,--(COUNTIFS(nNIA,DATOS!$A10596,nCURSO,DATOS!$D10596,nESPEC,DATOS!$E10596,nASIG,DATOS!$I10596,nEVAL,"OR")=0))</f>
      </c>
      <c r="I10596">
        <f>IF(DATOS!$I10596="","",IFERROR(VLOOKUP(DATOS!$I10596,CONFIG_ASIGNATURAS!$B$2:$J$91,9,FALSE()),""))</f>
      </c>
    </row>
    <row r="10597">
      <c r="F10597">
        <f>IF(DATOS!$A10597="","",DATOS!$A10597&amp;"|"&amp;DATOS!$D10597&amp;"|"&amp;DATOS!$E10597&amp;"|"&amp;DATOS!$I10597)</f>
      </c>
      <c r="G10597">
        <f>IF(DATOS!$A10597="",0,IF(CONFIG_METADATA!$B$4&lt;&gt;"OR+EX",--(DATOS!$G10597=CONFIG_METADATA!$B$4),IF(DATOS!$G10597="EX",1,IF(DATOS!$G10597="OR",--(COUNTIFS(nNIA,DATOS!$A10597,nCURSO,DATOS!$D10597,nESPEC,DATOS!$E10597,nASIG,DATOS!$I10597,nEVAL,"EX")=0),0))))</f>
      </c>
      <c r="H10597">
        <f>IF(DATOS!$G10597&lt;&gt;"EX",0,--(COUNTIFS(nNIA,DATOS!$A10597,nCURSO,DATOS!$D10597,nESPEC,DATOS!$E10597,nASIG,DATOS!$I10597,nEVAL,"OR")=0))</f>
      </c>
      <c r="I10597">
        <f>IF(DATOS!$I10597="","",IFERROR(VLOOKUP(DATOS!$I10597,CONFIG_ASIGNATURAS!$B$2:$J$91,9,FALSE()),""))</f>
      </c>
    </row>
    <row r="10598">
      <c r="F10598">
        <f>IF(DATOS!$A10598="","",DATOS!$A10598&amp;"|"&amp;DATOS!$D10598&amp;"|"&amp;DATOS!$E10598&amp;"|"&amp;DATOS!$I10598)</f>
      </c>
      <c r="G10598">
        <f>IF(DATOS!$A10598="",0,IF(CONFIG_METADATA!$B$4&lt;&gt;"OR+EX",--(DATOS!$G10598=CONFIG_METADATA!$B$4),IF(DATOS!$G10598="EX",1,IF(DATOS!$G10598="OR",--(COUNTIFS(nNIA,DATOS!$A10598,nCURSO,DATOS!$D10598,nESPEC,DATOS!$E10598,nASIG,DATOS!$I10598,nEVAL,"EX")=0),0))))</f>
      </c>
      <c r="H10598">
        <f>IF(DATOS!$G10598&lt;&gt;"EX",0,--(COUNTIFS(nNIA,DATOS!$A10598,nCURSO,DATOS!$D10598,nESPEC,DATOS!$E10598,nASIG,DATOS!$I10598,nEVAL,"OR")=0))</f>
      </c>
      <c r="I10598">
        <f>IF(DATOS!$I10598="","",IFERROR(VLOOKUP(DATOS!$I10598,CONFIG_ASIGNATURAS!$B$2:$J$91,9,FALSE()),""))</f>
      </c>
    </row>
    <row r="10599">
      <c r="F10599">
        <f>IF(DATOS!$A10599="","",DATOS!$A10599&amp;"|"&amp;DATOS!$D10599&amp;"|"&amp;DATOS!$E10599&amp;"|"&amp;DATOS!$I10599)</f>
      </c>
      <c r="G10599">
        <f>IF(DATOS!$A10599="",0,IF(CONFIG_METADATA!$B$4&lt;&gt;"OR+EX",--(DATOS!$G10599=CONFIG_METADATA!$B$4),IF(DATOS!$G10599="EX",1,IF(DATOS!$G10599="OR",--(COUNTIFS(nNIA,DATOS!$A10599,nCURSO,DATOS!$D10599,nESPEC,DATOS!$E10599,nASIG,DATOS!$I10599,nEVAL,"EX")=0),0))))</f>
      </c>
      <c r="H10599">
        <f>IF(DATOS!$G10599&lt;&gt;"EX",0,--(COUNTIFS(nNIA,DATOS!$A10599,nCURSO,DATOS!$D10599,nESPEC,DATOS!$E10599,nASIG,DATOS!$I10599,nEVAL,"OR")=0))</f>
      </c>
      <c r="I10599">
        <f>IF(DATOS!$I10599="","",IFERROR(VLOOKUP(DATOS!$I10599,CONFIG_ASIGNATURAS!$B$2:$J$91,9,FALSE()),""))</f>
      </c>
    </row>
    <row r="10600">
      <c r="F10600">
        <f>IF(DATOS!$A10600="","",DATOS!$A10600&amp;"|"&amp;DATOS!$D10600&amp;"|"&amp;DATOS!$E10600&amp;"|"&amp;DATOS!$I10600)</f>
      </c>
      <c r="G10600">
        <f>IF(DATOS!$A10600="",0,IF(CONFIG_METADATA!$B$4&lt;&gt;"OR+EX",--(DATOS!$G10600=CONFIG_METADATA!$B$4),IF(DATOS!$G10600="EX",1,IF(DATOS!$G10600="OR",--(COUNTIFS(nNIA,DATOS!$A10600,nCURSO,DATOS!$D10600,nESPEC,DATOS!$E10600,nASIG,DATOS!$I10600,nEVAL,"EX")=0),0))))</f>
      </c>
      <c r="H10600">
        <f>IF(DATOS!$G10600&lt;&gt;"EX",0,--(COUNTIFS(nNIA,DATOS!$A10600,nCURSO,DATOS!$D10600,nESPEC,DATOS!$E10600,nASIG,DATOS!$I10600,nEVAL,"OR")=0))</f>
      </c>
      <c r="I10600">
        <f>IF(DATOS!$I10600="","",IFERROR(VLOOKUP(DATOS!$I10600,CONFIG_ASIGNATURAS!$B$2:$J$91,9,FALSE()),""))</f>
      </c>
    </row>
    <row r="10601">
      <c r="F10601">
        <f>IF(DATOS!$A10601="","",DATOS!$A10601&amp;"|"&amp;DATOS!$D10601&amp;"|"&amp;DATOS!$E10601&amp;"|"&amp;DATOS!$I10601)</f>
      </c>
      <c r="G10601">
        <f>IF(DATOS!$A10601="",0,IF(CONFIG_METADATA!$B$4&lt;&gt;"OR+EX",--(DATOS!$G10601=CONFIG_METADATA!$B$4),IF(DATOS!$G10601="EX",1,IF(DATOS!$G10601="OR",--(COUNTIFS(nNIA,DATOS!$A10601,nCURSO,DATOS!$D10601,nESPEC,DATOS!$E10601,nASIG,DATOS!$I10601,nEVAL,"EX")=0),0))))</f>
      </c>
      <c r="H10601">
        <f>IF(DATOS!$G10601&lt;&gt;"EX",0,--(COUNTIFS(nNIA,DATOS!$A10601,nCURSO,DATOS!$D10601,nESPEC,DATOS!$E10601,nASIG,DATOS!$I10601,nEVAL,"OR")=0))</f>
      </c>
      <c r="I10601">
        <f>IF(DATOS!$I10601="","",IFERROR(VLOOKUP(DATOS!$I10601,CONFIG_ASIGNATURAS!$B$2:$J$91,9,FALSE()),""))</f>
      </c>
    </row>
    <row r="10602">
      <c r="F10602">
        <f>IF(DATOS!$A10602="","",DATOS!$A10602&amp;"|"&amp;DATOS!$D10602&amp;"|"&amp;DATOS!$E10602&amp;"|"&amp;DATOS!$I10602)</f>
      </c>
      <c r="G10602">
        <f>IF(DATOS!$A10602="",0,IF(CONFIG_METADATA!$B$4&lt;&gt;"OR+EX",--(DATOS!$G10602=CONFIG_METADATA!$B$4),IF(DATOS!$G10602="EX",1,IF(DATOS!$G10602="OR",--(COUNTIFS(nNIA,DATOS!$A10602,nCURSO,DATOS!$D10602,nESPEC,DATOS!$E10602,nASIG,DATOS!$I10602,nEVAL,"EX")=0),0))))</f>
      </c>
      <c r="H10602">
        <f>IF(DATOS!$G10602&lt;&gt;"EX",0,--(COUNTIFS(nNIA,DATOS!$A10602,nCURSO,DATOS!$D10602,nESPEC,DATOS!$E10602,nASIG,DATOS!$I10602,nEVAL,"OR")=0))</f>
      </c>
      <c r="I10602">
        <f>IF(DATOS!$I10602="","",IFERROR(VLOOKUP(DATOS!$I10602,CONFIG_ASIGNATURAS!$B$2:$J$91,9,FALSE()),""))</f>
      </c>
    </row>
    <row r="10603">
      <c r="F10603">
        <f>IF(DATOS!$A10603="","",DATOS!$A10603&amp;"|"&amp;DATOS!$D10603&amp;"|"&amp;DATOS!$E10603&amp;"|"&amp;DATOS!$I10603)</f>
      </c>
      <c r="G10603">
        <f>IF(DATOS!$A10603="",0,IF(CONFIG_METADATA!$B$4&lt;&gt;"OR+EX",--(DATOS!$G10603=CONFIG_METADATA!$B$4),IF(DATOS!$G10603="EX",1,IF(DATOS!$G10603="OR",--(COUNTIFS(nNIA,DATOS!$A10603,nCURSO,DATOS!$D10603,nESPEC,DATOS!$E10603,nASIG,DATOS!$I10603,nEVAL,"EX")=0),0))))</f>
      </c>
      <c r="H10603">
        <f>IF(DATOS!$G10603&lt;&gt;"EX",0,--(COUNTIFS(nNIA,DATOS!$A10603,nCURSO,DATOS!$D10603,nESPEC,DATOS!$E10603,nASIG,DATOS!$I10603,nEVAL,"OR")=0))</f>
      </c>
      <c r="I10603">
        <f>IF(DATOS!$I10603="","",IFERROR(VLOOKUP(DATOS!$I10603,CONFIG_ASIGNATURAS!$B$2:$J$91,9,FALSE()),""))</f>
      </c>
    </row>
    <row r="10604">
      <c r="F10604">
        <f>IF(DATOS!$A10604="","",DATOS!$A10604&amp;"|"&amp;DATOS!$D10604&amp;"|"&amp;DATOS!$E10604&amp;"|"&amp;DATOS!$I10604)</f>
      </c>
      <c r="G10604">
        <f>IF(DATOS!$A10604="",0,IF(CONFIG_METADATA!$B$4&lt;&gt;"OR+EX",--(DATOS!$G10604=CONFIG_METADATA!$B$4),IF(DATOS!$G10604="EX",1,IF(DATOS!$G10604="OR",--(COUNTIFS(nNIA,DATOS!$A10604,nCURSO,DATOS!$D10604,nESPEC,DATOS!$E10604,nASIG,DATOS!$I10604,nEVAL,"EX")=0),0))))</f>
      </c>
      <c r="H10604">
        <f>IF(DATOS!$G10604&lt;&gt;"EX",0,--(COUNTIFS(nNIA,DATOS!$A10604,nCURSO,DATOS!$D10604,nESPEC,DATOS!$E10604,nASIG,DATOS!$I10604,nEVAL,"OR")=0))</f>
      </c>
      <c r="I10604">
        <f>IF(DATOS!$I10604="","",IFERROR(VLOOKUP(DATOS!$I10604,CONFIG_ASIGNATURAS!$B$2:$J$91,9,FALSE()),""))</f>
      </c>
    </row>
    <row r="10605">
      <c r="F10605">
        <f>IF(DATOS!$A10605="","",DATOS!$A10605&amp;"|"&amp;DATOS!$D10605&amp;"|"&amp;DATOS!$E10605&amp;"|"&amp;DATOS!$I10605)</f>
      </c>
      <c r="G10605">
        <f>IF(DATOS!$A10605="",0,IF(CONFIG_METADATA!$B$4&lt;&gt;"OR+EX",--(DATOS!$G10605=CONFIG_METADATA!$B$4),IF(DATOS!$G10605="EX",1,IF(DATOS!$G10605="OR",--(COUNTIFS(nNIA,DATOS!$A10605,nCURSO,DATOS!$D10605,nESPEC,DATOS!$E10605,nASIG,DATOS!$I10605,nEVAL,"EX")=0),0))))</f>
      </c>
      <c r="H10605">
        <f>IF(DATOS!$G10605&lt;&gt;"EX",0,--(COUNTIFS(nNIA,DATOS!$A10605,nCURSO,DATOS!$D10605,nESPEC,DATOS!$E10605,nASIG,DATOS!$I10605,nEVAL,"OR")=0))</f>
      </c>
      <c r="I10605">
        <f>IF(DATOS!$I10605="","",IFERROR(VLOOKUP(DATOS!$I10605,CONFIG_ASIGNATURAS!$B$2:$J$91,9,FALSE()),""))</f>
      </c>
    </row>
    <row r="10606">
      <c r="F10606">
        <f>IF(DATOS!$A10606="","",DATOS!$A10606&amp;"|"&amp;DATOS!$D10606&amp;"|"&amp;DATOS!$E10606&amp;"|"&amp;DATOS!$I10606)</f>
      </c>
      <c r="G10606">
        <f>IF(DATOS!$A10606="",0,IF(CONFIG_METADATA!$B$4&lt;&gt;"OR+EX",--(DATOS!$G10606=CONFIG_METADATA!$B$4),IF(DATOS!$G10606="EX",1,IF(DATOS!$G10606="OR",--(COUNTIFS(nNIA,DATOS!$A10606,nCURSO,DATOS!$D10606,nESPEC,DATOS!$E10606,nASIG,DATOS!$I10606,nEVAL,"EX")=0),0))))</f>
      </c>
      <c r="H10606">
        <f>IF(DATOS!$G10606&lt;&gt;"EX",0,--(COUNTIFS(nNIA,DATOS!$A10606,nCURSO,DATOS!$D10606,nESPEC,DATOS!$E10606,nASIG,DATOS!$I10606,nEVAL,"OR")=0))</f>
      </c>
      <c r="I10606">
        <f>IF(DATOS!$I10606="","",IFERROR(VLOOKUP(DATOS!$I10606,CONFIG_ASIGNATURAS!$B$2:$J$91,9,FALSE()),""))</f>
      </c>
    </row>
    <row r="10607">
      <c r="F10607">
        <f>IF(DATOS!$A10607="","",DATOS!$A10607&amp;"|"&amp;DATOS!$D10607&amp;"|"&amp;DATOS!$E10607&amp;"|"&amp;DATOS!$I10607)</f>
      </c>
      <c r="G10607">
        <f>IF(DATOS!$A10607="",0,IF(CONFIG_METADATA!$B$4&lt;&gt;"OR+EX",--(DATOS!$G10607=CONFIG_METADATA!$B$4),IF(DATOS!$G10607="EX",1,IF(DATOS!$G10607="OR",--(COUNTIFS(nNIA,DATOS!$A10607,nCURSO,DATOS!$D10607,nESPEC,DATOS!$E10607,nASIG,DATOS!$I10607,nEVAL,"EX")=0),0))))</f>
      </c>
      <c r="H10607">
        <f>IF(DATOS!$G10607&lt;&gt;"EX",0,--(COUNTIFS(nNIA,DATOS!$A10607,nCURSO,DATOS!$D10607,nESPEC,DATOS!$E10607,nASIG,DATOS!$I10607,nEVAL,"OR")=0))</f>
      </c>
      <c r="I10607">
        <f>IF(DATOS!$I10607="","",IFERROR(VLOOKUP(DATOS!$I10607,CONFIG_ASIGNATURAS!$B$2:$J$91,9,FALSE()),""))</f>
      </c>
    </row>
    <row r="10608">
      <c r="F10608">
        <f>IF(DATOS!$A10608="","",DATOS!$A10608&amp;"|"&amp;DATOS!$D10608&amp;"|"&amp;DATOS!$E10608&amp;"|"&amp;DATOS!$I10608)</f>
      </c>
      <c r="G10608">
        <f>IF(DATOS!$A10608="",0,IF(CONFIG_METADATA!$B$4&lt;&gt;"OR+EX",--(DATOS!$G10608=CONFIG_METADATA!$B$4),IF(DATOS!$G10608="EX",1,IF(DATOS!$G10608="OR",--(COUNTIFS(nNIA,DATOS!$A10608,nCURSO,DATOS!$D10608,nESPEC,DATOS!$E10608,nASIG,DATOS!$I10608,nEVAL,"EX")=0),0))))</f>
      </c>
      <c r="H10608">
        <f>IF(DATOS!$G10608&lt;&gt;"EX",0,--(COUNTIFS(nNIA,DATOS!$A10608,nCURSO,DATOS!$D10608,nESPEC,DATOS!$E10608,nASIG,DATOS!$I10608,nEVAL,"OR")=0))</f>
      </c>
      <c r="I10608">
        <f>IF(DATOS!$I10608="","",IFERROR(VLOOKUP(DATOS!$I10608,CONFIG_ASIGNATURAS!$B$2:$J$91,9,FALSE()),""))</f>
      </c>
    </row>
    <row r="10609">
      <c r="F10609">
        <f>IF(DATOS!$A10609="","",DATOS!$A10609&amp;"|"&amp;DATOS!$D10609&amp;"|"&amp;DATOS!$E10609&amp;"|"&amp;DATOS!$I10609)</f>
      </c>
      <c r="G10609">
        <f>IF(DATOS!$A10609="",0,IF(CONFIG_METADATA!$B$4&lt;&gt;"OR+EX",--(DATOS!$G10609=CONFIG_METADATA!$B$4),IF(DATOS!$G10609="EX",1,IF(DATOS!$G10609="OR",--(COUNTIFS(nNIA,DATOS!$A10609,nCURSO,DATOS!$D10609,nESPEC,DATOS!$E10609,nASIG,DATOS!$I10609,nEVAL,"EX")=0),0))))</f>
      </c>
      <c r="H10609">
        <f>IF(DATOS!$G10609&lt;&gt;"EX",0,--(COUNTIFS(nNIA,DATOS!$A10609,nCURSO,DATOS!$D10609,nESPEC,DATOS!$E10609,nASIG,DATOS!$I10609,nEVAL,"OR")=0))</f>
      </c>
      <c r="I10609">
        <f>IF(DATOS!$I10609="","",IFERROR(VLOOKUP(DATOS!$I10609,CONFIG_ASIGNATURAS!$B$2:$J$91,9,FALSE()),""))</f>
      </c>
    </row>
    <row r="10610">
      <c r="F10610">
        <f>IF(DATOS!$A10610="","",DATOS!$A10610&amp;"|"&amp;DATOS!$D10610&amp;"|"&amp;DATOS!$E10610&amp;"|"&amp;DATOS!$I10610)</f>
      </c>
      <c r="G10610">
        <f>IF(DATOS!$A10610="",0,IF(CONFIG_METADATA!$B$4&lt;&gt;"OR+EX",--(DATOS!$G10610=CONFIG_METADATA!$B$4),IF(DATOS!$G10610="EX",1,IF(DATOS!$G10610="OR",--(COUNTIFS(nNIA,DATOS!$A10610,nCURSO,DATOS!$D10610,nESPEC,DATOS!$E10610,nASIG,DATOS!$I10610,nEVAL,"EX")=0),0))))</f>
      </c>
      <c r="H10610">
        <f>IF(DATOS!$G10610&lt;&gt;"EX",0,--(COUNTIFS(nNIA,DATOS!$A10610,nCURSO,DATOS!$D10610,nESPEC,DATOS!$E10610,nASIG,DATOS!$I10610,nEVAL,"OR")=0))</f>
      </c>
      <c r="I10610">
        <f>IF(DATOS!$I10610="","",IFERROR(VLOOKUP(DATOS!$I10610,CONFIG_ASIGNATURAS!$B$2:$J$91,9,FALSE()),""))</f>
      </c>
    </row>
    <row r="10611">
      <c r="F10611">
        <f>IF(DATOS!$A10611="","",DATOS!$A10611&amp;"|"&amp;DATOS!$D10611&amp;"|"&amp;DATOS!$E10611&amp;"|"&amp;DATOS!$I10611)</f>
      </c>
      <c r="G10611">
        <f>IF(DATOS!$A10611="",0,IF(CONFIG_METADATA!$B$4&lt;&gt;"OR+EX",--(DATOS!$G10611=CONFIG_METADATA!$B$4),IF(DATOS!$G10611="EX",1,IF(DATOS!$G10611="OR",--(COUNTIFS(nNIA,DATOS!$A10611,nCURSO,DATOS!$D10611,nESPEC,DATOS!$E10611,nASIG,DATOS!$I10611,nEVAL,"EX")=0),0))))</f>
      </c>
      <c r="H10611">
        <f>IF(DATOS!$G10611&lt;&gt;"EX",0,--(COUNTIFS(nNIA,DATOS!$A10611,nCURSO,DATOS!$D10611,nESPEC,DATOS!$E10611,nASIG,DATOS!$I10611,nEVAL,"OR")=0))</f>
      </c>
      <c r="I10611">
        <f>IF(DATOS!$I10611="","",IFERROR(VLOOKUP(DATOS!$I10611,CONFIG_ASIGNATURAS!$B$2:$J$91,9,FALSE()),""))</f>
      </c>
    </row>
    <row r="10612">
      <c r="F10612">
        <f>IF(DATOS!$A10612="","",DATOS!$A10612&amp;"|"&amp;DATOS!$D10612&amp;"|"&amp;DATOS!$E10612&amp;"|"&amp;DATOS!$I10612)</f>
      </c>
      <c r="G10612">
        <f>IF(DATOS!$A10612="",0,IF(CONFIG_METADATA!$B$4&lt;&gt;"OR+EX",--(DATOS!$G10612=CONFIG_METADATA!$B$4),IF(DATOS!$G10612="EX",1,IF(DATOS!$G10612="OR",--(COUNTIFS(nNIA,DATOS!$A10612,nCURSO,DATOS!$D10612,nESPEC,DATOS!$E10612,nASIG,DATOS!$I10612,nEVAL,"EX")=0),0))))</f>
      </c>
      <c r="H10612">
        <f>IF(DATOS!$G10612&lt;&gt;"EX",0,--(COUNTIFS(nNIA,DATOS!$A10612,nCURSO,DATOS!$D10612,nESPEC,DATOS!$E10612,nASIG,DATOS!$I10612,nEVAL,"OR")=0))</f>
      </c>
      <c r="I10612">
        <f>IF(DATOS!$I10612="","",IFERROR(VLOOKUP(DATOS!$I10612,CONFIG_ASIGNATURAS!$B$2:$J$91,9,FALSE()),""))</f>
      </c>
    </row>
    <row r="10613">
      <c r="F10613">
        <f>IF(DATOS!$A10613="","",DATOS!$A10613&amp;"|"&amp;DATOS!$D10613&amp;"|"&amp;DATOS!$E10613&amp;"|"&amp;DATOS!$I10613)</f>
      </c>
      <c r="G10613">
        <f>IF(DATOS!$A10613="",0,IF(CONFIG_METADATA!$B$4&lt;&gt;"OR+EX",--(DATOS!$G10613=CONFIG_METADATA!$B$4),IF(DATOS!$G10613="EX",1,IF(DATOS!$G10613="OR",--(COUNTIFS(nNIA,DATOS!$A10613,nCURSO,DATOS!$D10613,nESPEC,DATOS!$E10613,nASIG,DATOS!$I10613,nEVAL,"EX")=0),0))))</f>
      </c>
      <c r="H10613">
        <f>IF(DATOS!$G10613&lt;&gt;"EX",0,--(COUNTIFS(nNIA,DATOS!$A10613,nCURSO,DATOS!$D10613,nESPEC,DATOS!$E10613,nASIG,DATOS!$I10613,nEVAL,"OR")=0))</f>
      </c>
      <c r="I10613">
        <f>IF(DATOS!$I10613="","",IFERROR(VLOOKUP(DATOS!$I10613,CONFIG_ASIGNATURAS!$B$2:$J$91,9,FALSE()),""))</f>
      </c>
    </row>
    <row r="10614">
      <c r="F10614">
        <f>IF(DATOS!$A10614="","",DATOS!$A10614&amp;"|"&amp;DATOS!$D10614&amp;"|"&amp;DATOS!$E10614&amp;"|"&amp;DATOS!$I10614)</f>
      </c>
      <c r="G10614">
        <f>IF(DATOS!$A10614="",0,IF(CONFIG_METADATA!$B$4&lt;&gt;"OR+EX",--(DATOS!$G10614=CONFIG_METADATA!$B$4),IF(DATOS!$G10614="EX",1,IF(DATOS!$G10614="OR",--(COUNTIFS(nNIA,DATOS!$A10614,nCURSO,DATOS!$D10614,nESPEC,DATOS!$E10614,nASIG,DATOS!$I10614,nEVAL,"EX")=0),0))))</f>
      </c>
      <c r="H10614">
        <f>IF(DATOS!$G10614&lt;&gt;"EX",0,--(COUNTIFS(nNIA,DATOS!$A10614,nCURSO,DATOS!$D10614,nESPEC,DATOS!$E10614,nASIG,DATOS!$I10614,nEVAL,"OR")=0))</f>
      </c>
      <c r="I10614">
        <f>IF(DATOS!$I10614="","",IFERROR(VLOOKUP(DATOS!$I10614,CONFIG_ASIGNATURAS!$B$2:$J$91,9,FALSE()),""))</f>
      </c>
    </row>
    <row r="10615">
      <c r="F10615">
        <f>IF(DATOS!$A10615="","",DATOS!$A10615&amp;"|"&amp;DATOS!$D10615&amp;"|"&amp;DATOS!$E10615&amp;"|"&amp;DATOS!$I10615)</f>
      </c>
      <c r="G10615">
        <f>IF(DATOS!$A10615="",0,IF(CONFIG_METADATA!$B$4&lt;&gt;"OR+EX",--(DATOS!$G10615=CONFIG_METADATA!$B$4),IF(DATOS!$G10615="EX",1,IF(DATOS!$G10615="OR",--(COUNTIFS(nNIA,DATOS!$A10615,nCURSO,DATOS!$D10615,nESPEC,DATOS!$E10615,nASIG,DATOS!$I10615,nEVAL,"EX")=0),0))))</f>
      </c>
      <c r="H10615">
        <f>IF(DATOS!$G10615&lt;&gt;"EX",0,--(COUNTIFS(nNIA,DATOS!$A10615,nCURSO,DATOS!$D10615,nESPEC,DATOS!$E10615,nASIG,DATOS!$I10615,nEVAL,"OR")=0))</f>
      </c>
      <c r="I10615">
        <f>IF(DATOS!$I10615="","",IFERROR(VLOOKUP(DATOS!$I10615,CONFIG_ASIGNATURAS!$B$2:$J$91,9,FALSE()),""))</f>
      </c>
    </row>
    <row r="10616">
      <c r="F10616">
        <f>IF(DATOS!$A10616="","",DATOS!$A10616&amp;"|"&amp;DATOS!$D10616&amp;"|"&amp;DATOS!$E10616&amp;"|"&amp;DATOS!$I10616)</f>
      </c>
      <c r="G10616">
        <f>IF(DATOS!$A10616="",0,IF(CONFIG_METADATA!$B$4&lt;&gt;"OR+EX",--(DATOS!$G10616=CONFIG_METADATA!$B$4),IF(DATOS!$G10616="EX",1,IF(DATOS!$G10616="OR",--(COUNTIFS(nNIA,DATOS!$A10616,nCURSO,DATOS!$D10616,nESPEC,DATOS!$E10616,nASIG,DATOS!$I10616,nEVAL,"EX")=0),0))))</f>
      </c>
      <c r="H10616">
        <f>IF(DATOS!$G10616&lt;&gt;"EX",0,--(COUNTIFS(nNIA,DATOS!$A10616,nCURSO,DATOS!$D10616,nESPEC,DATOS!$E10616,nASIG,DATOS!$I10616,nEVAL,"OR")=0))</f>
      </c>
      <c r="I10616">
        <f>IF(DATOS!$I10616="","",IFERROR(VLOOKUP(DATOS!$I10616,CONFIG_ASIGNATURAS!$B$2:$J$91,9,FALSE()),""))</f>
      </c>
    </row>
    <row r="10617">
      <c r="F10617">
        <f>IF(DATOS!$A10617="","",DATOS!$A10617&amp;"|"&amp;DATOS!$D10617&amp;"|"&amp;DATOS!$E10617&amp;"|"&amp;DATOS!$I10617)</f>
      </c>
      <c r="G10617">
        <f>IF(DATOS!$A10617="",0,IF(CONFIG_METADATA!$B$4&lt;&gt;"OR+EX",--(DATOS!$G10617=CONFIG_METADATA!$B$4),IF(DATOS!$G10617="EX",1,IF(DATOS!$G10617="OR",--(COUNTIFS(nNIA,DATOS!$A10617,nCURSO,DATOS!$D10617,nESPEC,DATOS!$E10617,nASIG,DATOS!$I10617,nEVAL,"EX")=0),0))))</f>
      </c>
      <c r="H10617">
        <f>IF(DATOS!$G10617&lt;&gt;"EX",0,--(COUNTIFS(nNIA,DATOS!$A10617,nCURSO,DATOS!$D10617,nESPEC,DATOS!$E10617,nASIG,DATOS!$I10617,nEVAL,"OR")=0))</f>
      </c>
      <c r="I10617">
        <f>IF(DATOS!$I10617="","",IFERROR(VLOOKUP(DATOS!$I10617,CONFIG_ASIGNATURAS!$B$2:$J$91,9,FALSE()),""))</f>
      </c>
    </row>
    <row r="10618">
      <c r="F10618">
        <f>IF(DATOS!$A10618="","",DATOS!$A10618&amp;"|"&amp;DATOS!$D10618&amp;"|"&amp;DATOS!$E10618&amp;"|"&amp;DATOS!$I10618)</f>
      </c>
      <c r="G10618">
        <f>IF(DATOS!$A10618="",0,IF(CONFIG_METADATA!$B$4&lt;&gt;"OR+EX",--(DATOS!$G10618=CONFIG_METADATA!$B$4),IF(DATOS!$G10618="EX",1,IF(DATOS!$G10618="OR",--(COUNTIFS(nNIA,DATOS!$A10618,nCURSO,DATOS!$D10618,nESPEC,DATOS!$E10618,nASIG,DATOS!$I10618,nEVAL,"EX")=0),0))))</f>
      </c>
      <c r="H10618">
        <f>IF(DATOS!$G10618&lt;&gt;"EX",0,--(COUNTIFS(nNIA,DATOS!$A10618,nCURSO,DATOS!$D10618,nESPEC,DATOS!$E10618,nASIG,DATOS!$I10618,nEVAL,"OR")=0))</f>
      </c>
      <c r="I10618">
        <f>IF(DATOS!$I10618="","",IFERROR(VLOOKUP(DATOS!$I10618,CONFIG_ASIGNATURAS!$B$2:$J$91,9,FALSE()),""))</f>
      </c>
    </row>
    <row r="10619">
      <c r="F10619">
        <f>IF(DATOS!$A10619="","",DATOS!$A10619&amp;"|"&amp;DATOS!$D10619&amp;"|"&amp;DATOS!$E10619&amp;"|"&amp;DATOS!$I10619)</f>
      </c>
      <c r="G10619">
        <f>IF(DATOS!$A10619="",0,IF(CONFIG_METADATA!$B$4&lt;&gt;"OR+EX",--(DATOS!$G10619=CONFIG_METADATA!$B$4),IF(DATOS!$G10619="EX",1,IF(DATOS!$G10619="OR",--(COUNTIFS(nNIA,DATOS!$A10619,nCURSO,DATOS!$D10619,nESPEC,DATOS!$E10619,nASIG,DATOS!$I10619,nEVAL,"EX")=0),0))))</f>
      </c>
      <c r="H10619">
        <f>IF(DATOS!$G10619&lt;&gt;"EX",0,--(COUNTIFS(nNIA,DATOS!$A10619,nCURSO,DATOS!$D10619,nESPEC,DATOS!$E10619,nASIG,DATOS!$I10619,nEVAL,"OR")=0))</f>
      </c>
      <c r="I10619">
        <f>IF(DATOS!$I10619="","",IFERROR(VLOOKUP(DATOS!$I10619,CONFIG_ASIGNATURAS!$B$2:$J$91,9,FALSE()),""))</f>
      </c>
    </row>
    <row r="10620">
      <c r="F10620">
        <f>IF(DATOS!$A10620="","",DATOS!$A10620&amp;"|"&amp;DATOS!$D10620&amp;"|"&amp;DATOS!$E10620&amp;"|"&amp;DATOS!$I10620)</f>
      </c>
      <c r="G10620">
        <f>IF(DATOS!$A10620="",0,IF(CONFIG_METADATA!$B$4&lt;&gt;"OR+EX",--(DATOS!$G10620=CONFIG_METADATA!$B$4),IF(DATOS!$G10620="EX",1,IF(DATOS!$G10620="OR",--(COUNTIFS(nNIA,DATOS!$A10620,nCURSO,DATOS!$D10620,nESPEC,DATOS!$E10620,nASIG,DATOS!$I10620,nEVAL,"EX")=0),0))))</f>
      </c>
      <c r="H10620">
        <f>IF(DATOS!$G10620&lt;&gt;"EX",0,--(COUNTIFS(nNIA,DATOS!$A10620,nCURSO,DATOS!$D10620,nESPEC,DATOS!$E10620,nASIG,DATOS!$I10620,nEVAL,"OR")=0))</f>
      </c>
      <c r="I10620">
        <f>IF(DATOS!$I10620="","",IFERROR(VLOOKUP(DATOS!$I10620,CONFIG_ASIGNATURAS!$B$2:$J$91,9,FALSE()),""))</f>
      </c>
    </row>
    <row r="10621">
      <c r="F10621">
        <f>IF(DATOS!$A10621="","",DATOS!$A10621&amp;"|"&amp;DATOS!$D10621&amp;"|"&amp;DATOS!$E10621&amp;"|"&amp;DATOS!$I10621)</f>
      </c>
      <c r="G10621">
        <f>IF(DATOS!$A10621="",0,IF(CONFIG_METADATA!$B$4&lt;&gt;"OR+EX",--(DATOS!$G10621=CONFIG_METADATA!$B$4),IF(DATOS!$G10621="EX",1,IF(DATOS!$G10621="OR",--(COUNTIFS(nNIA,DATOS!$A10621,nCURSO,DATOS!$D10621,nESPEC,DATOS!$E10621,nASIG,DATOS!$I10621,nEVAL,"EX")=0),0))))</f>
      </c>
      <c r="H10621">
        <f>IF(DATOS!$G10621&lt;&gt;"EX",0,--(COUNTIFS(nNIA,DATOS!$A10621,nCURSO,DATOS!$D10621,nESPEC,DATOS!$E10621,nASIG,DATOS!$I10621,nEVAL,"OR")=0))</f>
      </c>
      <c r="I10621">
        <f>IF(DATOS!$I10621="","",IFERROR(VLOOKUP(DATOS!$I10621,CONFIG_ASIGNATURAS!$B$2:$J$91,9,FALSE()),""))</f>
      </c>
    </row>
    <row r="10622">
      <c r="F10622">
        <f>IF(DATOS!$A10622="","",DATOS!$A10622&amp;"|"&amp;DATOS!$D10622&amp;"|"&amp;DATOS!$E10622&amp;"|"&amp;DATOS!$I10622)</f>
      </c>
      <c r="G10622">
        <f>IF(DATOS!$A10622="",0,IF(CONFIG_METADATA!$B$4&lt;&gt;"OR+EX",--(DATOS!$G10622=CONFIG_METADATA!$B$4),IF(DATOS!$G10622="EX",1,IF(DATOS!$G10622="OR",--(COUNTIFS(nNIA,DATOS!$A10622,nCURSO,DATOS!$D10622,nESPEC,DATOS!$E10622,nASIG,DATOS!$I10622,nEVAL,"EX")=0),0))))</f>
      </c>
      <c r="H10622">
        <f>IF(DATOS!$G10622&lt;&gt;"EX",0,--(COUNTIFS(nNIA,DATOS!$A10622,nCURSO,DATOS!$D10622,nESPEC,DATOS!$E10622,nASIG,DATOS!$I10622,nEVAL,"OR")=0))</f>
      </c>
      <c r="I10622">
        <f>IF(DATOS!$I10622="","",IFERROR(VLOOKUP(DATOS!$I10622,CONFIG_ASIGNATURAS!$B$2:$J$91,9,FALSE()),""))</f>
      </c>
    </row>
    <row r="10623">
      <c r="F10623">
        <f>IF(DATOS!$A10623="","",DATOS!$A10623&amp;"|"&amp;DATOS!$D10623&amp;"|"&amp;DATOS!$E10623&amp;"|"&amp;DATOS!$I10623)</f>
      </c>
      <c r="G10623">
        <f>IF(DATOS!$A10623="",0,IF(CONFIG_METADATA!$B$4&lt;&gt;"OR+EX",--(DATOS!$G10623=CONFIG_METADATA!$B$4),IF(DATOS!$G10623="EX",1,IF(DATOS!$G10623="OR",--(COUNTIFS(nNIA,DATOS!$A10623,nCURSO,DATOS!$D10623,nESPEC,DATOS!$E10623,nASIG,DATOS!$I10623,nEVAL,"EX")=0),0))))</f>
      </c>
      <c r="H10623">
        <f>IF(DATOS!$G10623&lt;&gt;"EX",0,--(COUNTIFS(nNIA,DATOS!$A10623,nCURSO,DATOS!$D10623,nESPEC,DATOS!$E10623,nASIG,DATOS!$I10623,nEVAL,"OR")=0))</f>
      </c>
      <c r="I10623">
        <f>IF(DATOS!$I10623="","",IFERROR(VLOOKUP(DATOS!$I10623,CONFIG_ASIGNATURAS!$B$2:$J$91,9,FALSE()),""))</f>
      </c>
    </row>
    <row r="10624">
      <c r="F10624">
        <f>IF(DATOS!$A10624="","",DATOS!$A10624&amp;"|"&amp;DATOS!$D10624&amp;"|"&amp;DATOS!$E10624&amp;"|"&amp;DATOS!$I10624)</f>
      </c>
      <c r="G10624">
        <f>IF(DATOS!$A10624="",0,IF(CONFIG_METADATA!$B$4&lt;&gt;"OR+EX",--(DATOS!$G10624=CONFIG_METADATA!$B$4),IF(DATOS!$G10624="EX",1,IF(DATOS!$G10624="OR",--(COUNTIFS(nNIA,DATOS!$A10624,nCURSO,DATOS!$D10624,nESPEC,DATOS!$E10624,nASIG,DATOS!$I10624,nEVAL,"EX")=0),0))))</f>
      </c>
      <c r="H10624">
        <f>IF(DATOS!$G10624&lt;&gt;"EX",0,--(COUNTIFS(nNIA,DATOS!$A10624,nCURSO,DATOS!$D10624,nESPEC,DATOS!$E10624,nASIG,DATOS!$I10624,nEVAL,"OR")=0))</f>
      </c>
      <c r="I10624">
        <f>IF(DATOS!$I10624="","",IFERROR(VLOOKUP(DATOS!$I10624,CONFIG_ASIGNATURAS!$B$2:$J$91,9,FALSE()),""))</f>
      </c>
    </row>
    <row r="10625">
      <c r="F10625">
        <f>IF(DATOS!$A10625="","",DATOS!$A10625&amp;"|"&amp;DATOS!$D10625&amp;"|"&amp;DATOS!$E10625&amp;"|"&amp;DATOS!$I10625)</f>
      </c>
      <c r="G10625">
        <f>IF(DATOS!$A10625="",0,IF(CONFIG_METADATA!$B$4&lt;&gt;"OR+EX",--(DATOS!$G10625=CONFIG_METADATA!$B$4),IF(DATOS!$G10625="EX",1,IF(DATOS!$G10625="OR",--(COUNTIFS(nNIA,DATOS!$A10625,nCURSO,DATOS!$D10625,nESPEC,DATOS!$E10625,nASIG,DATOS!$I10625,nEVAL,"EX")=0),0))))</f>
      </c>
      <c r="H10625">
        <f>IF(DATOS!$G10625&lt;&gt;"EX",0,--(COUNTIFS(nNIA,DATOS!$A10625,nCURSO,DATOS!$D10625,nESPEC,DATOS!$E10625,nASIG,DATOS!$I10625,nEVAL,"OR")=0))</f>
      </c>
      <c r="I10625">
        <f>IF(DATOS!$I10625="","",IFERROR(VLOOKUP(DATOS!$I10625,CONFIG_ASIGNATURAS!$B$2:$J$91,9,FALSE()),""))</f>
      </c>
    </row>
    <row r="10626">
      <c r="F10626">
        <f>IF(DATOS!$A10626="","",DATOS!$A10626&amp;"|"&amp;DATOS!$D10626&amp;"|"&amp;DATOS!$E10626&amp;"|"&amp;DATOS!$I10626)</f>
      </c>
      <c r="G10626">
        <f>IF(DATOS!$A10626="",0,IF(CONFIG_METADATA!$B$4&lt;&gt;"OR+EX",--(DATOS!$G10626=CONFIG_METADATA!$B$4),IF(DATOS!$G10626="EX",1,IF(DATOS!$G10626="OR",--(COUNTIFS(nNIA,DATOS!$A10626,nCURSO,DATOS!$D10626,nESPEC,DATOS!$E10626,nASIG,DATOS!$I10626,nEVAL,"EX")=0),0))))</f>
      </c>
      <c r="H10626">
        <f>IF(DATOS!$G10626&lt;&gt;"EX",0,--(COUNTIFS(nNIA,DATOS!$A10626,nCURSO,DATOS!$D10626,nESPEC,DATOS!$E10626,nASIG,DATOS!$I10626,nEVAL,"OR")=0))</f>
      </c>
      <c r="I10626">
        <f>IF(DATOS!$I10626="","",IFERROR(VLOOKUP(DATOS!$I10626,CONFIG_ASIGNATURAS!$B$2:$J$91,9,FALSE()),""))</f>
      </c>
    </row>
    <row r="10627">
      <c r="F10627">
        <f>IF(DATOS!$A10627="","",DATOS!$A10627&amp;"|"&amp;DATOS!$D10627&amp;"|"&amp;DATOS!$E10627&amp;"|"&amp;DATOS!$I10627)</f>
      </c>
      <c r="G10627">
        <f>IF(DATOS!$A10627="",0,IF(CONFIG_METADATA!$B$4&lt;&gt;"OR+EX",--(DATOS!$G10627=CONFIG_METADATA!$B$4),IF(DATOS!$G10627="EX",1,IF(DATOS!$G10627="OR",--(COUNTIFS(nNIA,DATOS!$A10627,nCURSO,DATOS!$D10627,nESPEC,DATOS!$E10627,nASIG,DATOS!$I10627,nEVAL,"EX")=0),0))))</f>
      </c>
      <c r="H10627">
        <f>IF(DATOS!$G10627&lt;&gt;"EX",0,--(COUNTIFS(nNIA,DATOS!$A10627,nCURSO,DATOS!$D10627,nESPEC,DATOS!$E10627,nASIG,DATOS!$I10627,nEVAL,"OR")=0))</f>
      </c>
      <c r="I10627">
        <f>IF(DATOS!$I10627="","",IFERROR(VLOOKUP(DATOS!$I10627,CONFIG_ASIGNATURAS!$B$2:$J$91,9,FALSE()),""))</f>
      </c>
    </row>
    <row r="10628">
      <c r="F10628">
        <f>IF(DATOS!$A10628="","",DATOS!$A10628&amp;"|"&amp;DATOS!$D10628&amp;"|"&amp;DATOS!$E10628&amp;"|"&amp;DATOS!$I10628)</f>
      </c>
      <c r="G10628">
        <f>IF(DATOS!$A10628="",0,IF(CONFIG_METADATA!$B$4&lt;&gt;"OR+EX",--(DATOS!$G10628=CONFIG_METADATA!$B$4),IF(DATOS!$G10628="EX",1,IF(DATOS!$G10628="OR",--(COUNTIFS(nNIA,DATOS!$A10628,nCURSO,DATOS!$D10628,nESPEC,DATOS!$E10628,nASIG,DATOS!$I10628,nEVAL,"EX")=0),0))))</f>
      </c>
      <c r="H10628">
        <f>IF(DATOS!$G10628&lt;&gt;"EX",0,--(COUNTIFS(nNIA,DATOS!$A10628,nCURSO,DATOS!$D10628,nESPEC,DATOS!$E10628,nASIG,DATOS!$I10628,nEVAL,"OR")=0))</f>
      </c>
      <c r="I10628">
        <f>IF(DATOS!$I10628="","",IFERROR(VLOOKUP(DATOS!$I10628,CONFIG_ASIGNATURAS!$B$2:$J$91,9,FALSE()),""))</f>
      </c>
    </row>
    <row r="10629">
      <c r="F10629">
        <f>IF(DATOS!$A10629="","",DATOS!$A10629&amp;"|"&amp;DATOS!$D10629&amp;"|"&amp;DATOS!$E10629&amp;"|"&amp;DATOS!$I10629)</f>
      </c>
      <c r="G10629">
        <f>IF(DATOS!$A10629="",0,IF(CONFIG_METADATA!$B$4&lt;&gt;"OR+EX",--(DATOS!$G10629=CONFIG_METADATA!$B$4),IF(DATOS!$G10629="EX",1,IF(DATOS!$G10629="OR",--(COUNTIFS(nNIA,DATOS!$A10629,nCURSO,DATOS!$D10629,nESPEC,DATOS!$E10629,nASIG,DATOS!$I10629,nEVAL,"EX")=0),0))))</f>
      </c>
      <c r="H10629">
        <f>IF(DATOS!$G10629&lt;&gt;"EX",0,--(COUNTIFS(nNIA,DATOS!$A10629,nCURSO,DATOS!$D10629,nESPEC,DATOS!$E10629,nASIG,DATOS!$I10629,nEVAL,"OR")=0))</f>
      </c>
      <c r="I10629">
        <f>IF(DATOS!$I10629="","",IFERROR(VLOOKUP(DATOS!$I10629,CONFIG_ASIGNATURAS!$B$2:$J$91,9,FALSE()),""))</f>
      </c>
    </row>
    <row r="10630">
      <c r="F10630">
        <f>IF(DATOS!$A10630="","",DATOS!$A10630&amp;"|"&amp;DATOS!$D10630&amp;"|"&amp;DATOS!$E10630&amp;"|"&amp;DATOS!$I10630)</f>
      </c>
      <c r="G10630">
        <f>IF(DATOS!$A10630="",0,IF(CONFIG_METADATA!$B$4&lt;&gt;"OR+EX",--(DATOS!$G10630=CONFIG_METADATA!$B$4),IF(DATOS!$G10630="EX",1,IF(DATOS!$G10630="OR",--(COUNTIFS(nNIA,DATOS!$A10630,nCURSO,DATOS!$D10630,nESPEC,DATOS!$E10630,nASIG,DATOS!$I10630,nEVAL,"EX")=0),0))))</f>
      </c>
      <c r="H10630">
        <f>IF(DATOS!$G10630&lt;&gt;"EX",0,--(COUNTIFS(nNIA,DATOS!$A10630,nCURSO,DATOS!$D10630,nESPEC,DATOS!$E10630,nASIG,DATOS!$I10630,nEVAL,"OR")=0))</f>
      </c>
      <c r="I10630">
        <f>IF(DATOS!$I10630="","",IFERROR(VLOOKUP(DATOS!$I10630,CONFIG_ASIGNATURAS!$B$2:$J$91,9,FALSE()),""))</f>
      </c>
    </row>
    <row r="10631">
      <c r="F10631">
        <f>IF(DATOS!$A10631="","",DATOS!$A10631&amp;"|"&amp;DATOS!$D10631&amp;"|"&amp;DATOS!$E10631&amp;"|"&amp;DATOS!$I10631)</f>
      </c>
      <c r="G10631">
        <f>IF(DATOS!$A10631="",0,IF(CONFIG_METADATA!$B$4&lt;&gt;"OR+EX",--(DATOS!$G10631=CONFIG_METADATA!$B$4),IF(DATOS!$G10631="EX",1,IF(DATOS!$G10631="OR",--(COUNTIFS(nNIA,DATOS!$A10631,nCURSO,DATOS!$D10631,nESPEC,DATOS!$E10631,nASIG,DATOS!$I10631,nEVAL,"EX")=0),0))))</f>
      </c>
      <c r="H10631">
        <f>IF(DATOS!$G10631&lt;&gt;"EX",0,--(COUNTIFS(nNIA,DATOS!$A10631,nCURSO,DATOS!$D10631,nESPEC,DATOS!$E10631,nASIG,DATOS!$I10631,nEVAL,"OR")=0))</f>
      </c>
      <c r="I10631">
        <f>IF(DATOS!$I10631="","",IFERROR(VLOOKUP(DATOS!$I10631,CONFIG_ASIGNATURAS!$B$2:$J$91,9,FALSE()),""))</f>
      </c>
    </row>
    <row r="10632">
      <c r="F10632">
        <f>IF(DATOS!$A10632="","",DATOS!$A10632&amp;"|"&amp;DATOS!$D10632&amp;"|"&amp;DATOS!$E10632&amp;"|"&amp;DATOS!$I10632)</f>
      </c>
      <c r="G10632">
        <f>IF(DATOS!$A10632="",0,IF(CONFIG_METADATA!$B$4&lt;&gt;"OR+EX",--(DATOS!$G10632=CONFIG_METADATA!$B$4),IF(DATOS!$G10632="EX",1,IF(DATOS!$G10632="OR",--(COUNTIFS(nNIA,DATOS!$A10632,nCURSO,DATOS!$D10632,nESPEC,DATOS!$E10632,nASIG,DATOS!$I10632,nEVAL,"EX")=0),0))))</f>
      </c>
      <c r="H10632">
        <f>IF(DATOS!$G10632&lt;&gt;"EX",0,--(COUNTIFS(nNIA,DATOS!$A10632,nCURSO,DATOS!$D10632,nESPEC,DATOS!$E10632,nASIG,DATOS!$I10632,nEVAL,"OR")=0))</f>
      </c>
      <c r="I10632">
        <f>IF(DATOS!$I10632="","",IFERROR(VLOOKUP(DATOS!$I10632,CONFIG_ASIGNATURAS!$B$2:$J$91,9,FALSE()),""))</f>
      </c>
    </row>
    <row r="10633">
      <c r="F10633">
        <f>IF(DATOS!$A10633="","",DATOS!$A10633&amp;"|"&amp;DATOS!$D10633&amp;"|"&amp;DATOS!$E10633&amp;"|"&amp;DATOS!$I10633)</f>
      </c>
      <c r="G10633">
        <f>IF(DATOS!$A10633="",0,IF(CONFIG_METADATA!$B$4&lt;&gt;"OR+EX",--(DATOS!$G10633=CONFIG_METADATA!$B$4),IF(DATOS!$G10633="EX",1,IF(DATOS!$G10633="OR",--(COUNTIFS(nNIA,DATOS!$A10633,nCURSO,DATOS!$D10633,nESPEC,DATOS!$E10633,nASIG,DATOS!$I10633,nEVAL,"EX")=0),0))))</f>
      </c>
      <c r="H10633">
        <f>IF(DATOS!$G10633&lt;&gt;"EX",0,--(COUNTIFS(nNIA,DATOS!$A10633,nCURSO,DATOS!$D10633,nESPEC,DATOS!$E10633,nASIG,DATOS!$I10633,nEVAL,"OR")=0))</f>
      </c>
      <c r="I10633">
        <f>IF(DATOS!$I10633="","",IFERROR(VLOOKUP(DATOS!$I10633,CONFIG_ASIGNATURAS!$B$2:$J$91,9,FALSE()),""))</f>
      </c>
    </row>
    <row r="10634">
      <c r="F10634">
        <f>IF(DATOS!$A10634="","",DATOS!$A10634&amp;"|"&amp;DATOS!$D10634&amp;"|"&amp;DATOS!$E10634&amp;"|"&amp;DATOS!$I10634)</f>
      </c>
      <c r="G10634">
        <f>IF(DATOS!$A10634="",0,IF(CONFIG_METADATA!$B$4&lt;&gt;"OR+EX",--(DATOS!$G10634=CONFIG_METADATA!$B$4),IF(DATOS!$G10634="EX",1,IF(DATOS!$G10634="OR",--(COUNTIFS(nNIA,DATOS!$A10634,nCURSO,DATOS!$D10634,nESPEC,DATOS!$E10634,nASIG,DATOS!$I10634,nEVAL,"EX")=0),0))))</f>
      </c>
      <c r="H10634">
        <f>IF(DATOS!$G10634&lt;&gt;"EX",0,--(COUNTIFS(nNIA,DATOS!$A10634,nCURSO,DATOS!$D10634,nESPEC,DATOS!$E10634,nASIG,DATOS!$I10634,nEVAL,"OR")=0))</f>
      </c>
      <c r="I10634">
        <f>IF(DATOS!$I10634="","",IFERROR(VLOOKUP(DATOS!$I10634,CONFIG_ASIGNATURAS!$B$2:$J$91,9,FALSE()),""))</f>
      </c>
    </row>
    <row r="10635">
      <c r="F10635">
        <f>IF(DATOS!$A10635="","",DATOS!$A10635&amp;"|"&amp;DATOS!$D10635&amp;"|"&amp;DATOS!$E10635&amp;"|"&amp;DATOS!$I10635)</f>
      </c>
      <c r="G10635">
        <f>IF(DATOS!$A10635="",0,IF(CONFIG_METADATA!$B$4&lt;&gt;"OR+EX",--(DATOS!$G10635=CONFIG_METADATA!$B$4),IF(DATOS!$G10635="EX",1,IF(DATOS!$G10635="OR",--(COUNTIFS(nNIA,DATOS!$A10635,nCURSO,DATOS!$D10635,nESPEC,DATOS!$E10635,nASIG,DATOS!$I10635,nEVAL,"EX")=0),0))))</f>
      </c>
      <c r="H10635">
        <f>IF(DATOS!$G10635&lt;&gt;"EX",0,--(COUNTIFS(nNIA,DATOS!$A10635,nCURSO,DATOS!$D10635,nESPEC,DATOS!$E10635,nASIG,DATOS!$I10635,nEVAL,"OR")=0))</f>
      </c>
      <c r="I10635">
        <f>IF(DATOS!$I10635="","",IFERROR(VLOOKUP(DATOS!$I10635,CONFIG_ASIGNATURAS!$B$2:$J$91,9,FALSE()),""))</f>
      </c>
    </row>
    <row r="10636">
      <c r="F10636">
        <f>IF(DATOS!$A10636="","",DATOS!$A10636&amp;"|"&amp;DATOS!$D10636&amp;"|"&amp;DATOS!$E10636&amp;"|"&amp;DATOS!$I10636)</f>
      </c>
      <c r="G10636">
        <f>IF(DATOS!$A10636="",0,IF(CONFIG_METADATA!$B$4&lt;&gt;"OR+EX",--(DATOS!$G10636=CONFIG_METADATA!$B$4),IF(DATOS!$G10636="EX",1,IF(DATOS!$G10636="OR",--(COUNTIFS(nNIA,DATOS!$A10636,nCURSO,DATOS!$D10636,nESPEC,DATOS!$E10636,nASIG,DATOS!$I10636,nEVAL,"EX")=0),0))))</f>
      </c>
      <c r="H10636">
        <f>IF(DATOS!$G10636&lt;&gt;"EX",0,--(COUNTIFS(nNIA,DATOS!$A10636,nCURSO,DATOS!$D10636,nESPEC,DATOS!$E10636,nASIG,DATOS!$I10636,nEVAL,"OR")=0))</f>
      </c>
      <c r="I10636">
        <f>IF(DATOS!$I10636="","",IFERROR(VLOOKUP(DATOS!$I10636,CONFIG_ASIGNATURAS!$B$2:$J$91,9,FALSE()),""))</f>
      </c>
    </row>
    <row r="10637">
      <c r="F10637">
        <f>IF(DATOS!$A10637="","",DATOS!$A10637&amp;"|"&amp;DATOS!$D10637&amp;"|"&amp;DATOS!$E10637&amp;"|"&amp;DATOS!$I10637)</f>
      </c>
      <c r="G10637">
        <f>IF(DATOS!$A10637="",0,IF(CONFIG_METADATA!$B$4&lt;&gt;"OR+EX",--(DATOS!$G10637=CONFIG_METADATA!$B$4),IF(DATOS!$G10637="EX",1,IF(DATOS!$G10637="OR",--(COUNTIFS(nNIA,DATOS!$A10637,nCURSO,DATOS!$D10637,nESPEC,DATOS!$E10637,nASIG,DATOS!$I10637,nEVAL,"EX")=0),0))))</f>
      </c>
      <c r="H10637">
        <f>IF(DATOS!$G10637&lt;&gt;"EX",0,--(COUNTIFS(nNIA,DATOS!$A10637,nCURSO,DATOS!$D10637,nESPEC,DATOS!$E10637,nASIG,DATOS!$I10637,nEVAL,"OR")=0))</f>
      </c>
      <c r="I10637">
        <f>IF(DATOS!$I10637="","",IFERROR(VLOOKUP(DATOS!$I10637,CONFIG_ASIGNATURAS!$B$2:$J$91,9,FALSE()),""))</f>
      </c>
    </row>
    <row r="10638">
      <c r="F10638">
        <f>IF(DATOS!$A10638="","",DATOS!$A10638&amp;"|"&amp;DATOS!$D10638&amp;"|"&amp;DATOS!$E10638&amp;"|"&amp;DATOS!$I10638)</f>
      </c>
      <c r="G10638">
        <f>IF(DATOS!$A10638="",0,IF(CONFIG_METADATA!$B$4&lt;&gt;"OR+EX",--(DATOS!$G10638=CONFIG_METADATA!$B$4),IF(DATOS!$G10638="EX",1,IF(DATOS!$G10638="OR",--(COUNTIFS(nNIA,DATOS!$A10638,nCURSO,DATOS!$D10638,nESPEC,DATOS!$E10638,nASIG,DATOS!$I10638,nEVAL,"EX")=0),0))))</f>
      </c>
      <c r="H10638">
        <f>IF(DATOS!$G10638&lt;&gt;"EX",0,--(COUNTIFS(nNIA,DATOS!$A10638,nCURSO,DATOS!$D10638,nESPEC,DATOS!$E10638,nASIG,DATOS!$I10638,nEVAL,"OR")=0))</f>
      </c>
      <c r="I10638">
        <f>IF(DATOS!$I10638="","",IFERROR(VLOOKUP(DATOS!$I10638,CONFIG_ASIGNATURAS!$B$2:$J$91,9,FALSE()),""))</f>
      </c>
    </row>
    <row r="10639">
      <c r="F10639">
        <f>IF(DATOS!$A10639="","",DATOS!$A10639&amp;"|"&amp;DATOS!$D10639&amp;"|"&amp;DATOS!$E10639&amp;"|"&amp;DATOS!$I10639)</f>
      </c>
      <c r="G10639">
        <f>IF(DATOS!$A10639="",0,IF(CONFIG_METADATA!$B$4&lt;&gt;"OR+EX",--(DATOS!$G10639=CONFIG_METADATA!$B$4),IF(DATOS!$G10639="EX",1,IF(DATOS!$G10639="OR",--(COUNTIFS(nNIA,DATOS!$A10639,nCURSO,DATOS!$D10639,nESPEC,DATOS!$E10639,nASIG,DATOS!$I10639,nEVAL,"EX")=0),0))))</f>
      </c>
      <c r="H10639">
        <f>IF(DATOS!$G10639&lt;&gt;"EX",0,--(COUNTIFS(nNIA,DATOS!$A10639,nCURSO,DATOS!$D10639,nESPEC,DATOS!$E10639,nASIG,DATOS!$I10639,nEVAL,"OR")=0))</f>
      </c>
      <c r="I10639">
        <f>IF(DATOS!$I10639="","",IFERROR(VLOOKUP(DATOS!$I10639,CONFIG_ASIGNATURAS!$B$2:$J$91,9,FALSE()),""))</f>
      </c>
    </row>
    <row r="10640">
      <c r="F10640">
        <f>IF(DATOS!$A10640="","",DATOS!$A10640&amp;"|"&amp;DATOS!$D10640&amp;"|"&amp;DATOS!$E10640&amp;"|"&amp;DATOS!$I10640)</f>
      </c>
      <c r="G10640">
        <f>IF(DATOS!$A10640="",0,IF(CONFIG_METADATA!$B$4&lt;&gt;"OR+EX",--(DATOS!$G10640=CONFIG_METADATA!$B$4),IF(DATOS!$G10640="EX",1,IF(DATOS!$G10640="OR",--(COUNTIFS(nNIA,DATOS!$A10640,nCURSO,DATOS!$D10640,nESPEC,DATOS!$E10640,nASIG,DATOS!$I10640,nEVAL,"EX")=0),0))))</f>
      </c>
      <c r="H10640">
        <f>IF(DATOS!$G10640&lt;&gt;"EX",0,--(COUNTIFS(nNIA,DATOS!$A10640,nCURSO,DATOS!$D10640,nESPEC,DATOS!$E10640,nASIG,DATOS!$I10640,nEVAL,"OR")=0))</f>
      </c>
      <c r="I10640">
        <f>IF(DATOS!$I10640="","",IFERROR(VLOOKUP(DATOS!$I10640,CONFIG_ASIGNATURAS!$B$2:$J$91,9,FALSE()),""))</f>
      </c>
    </row>
    <row r="10641">
      <c r="F10641">
        <f>IF(DATOS!$A10641="","",DATOS!$A10641&amp;"|"&amp;DATOS!$D10641&amp;"|"&amp;DATOS!$E10641&amp;"|"&amp;DATOS!$I10641)</f>
      </c>
      <c r="G10641">
        <f>IF(DATOS!$A10641="",0,IF(CONFIG_METADATA!$B$4&lt;&gt;"OR+EX",--(DATOS!$G10641=CONFIG_METADATA!$B$4),IF(DATOS!$G10641="EX",1,IF(DATOS!$G10641="OR",--(COUNTIFS(nNIA,DATOS!$A10641,nCURSO,DATOS!$D10641,nESPEC,DATOS!$E10641,nASIG,DATOS!$I10641,nEVAL,"EX")=0),0))))</f>
      </c>
      <c r="H10641">
        <f>IF(DATOS!$G10641&lt;&gt;"EX",0,--(COUNTIFS(nNIA,DATOS!$A10641,nCURSO,DATOS!$D10641,nESPEC,DATOS!$E10641,nASIG,DATOS!$I10641,nEVAL,"OR")=0))</f>
      </c>
      <c r="I10641">
        <f>IF(DATOS!$I10641="","",IFERROR(VLOOKUP(DATOS!$I10641,CONFIG_ASIGNATURAS!$B$2:$J$91,9,FALSE()),""))</f>
      </c>
    </row>
    <row r="10642">
      <c r="F10642">
        <f>IF(DATOS!$A10642="","",DATOS!$A10642&amp;"|"&amp;DATOS!$D10642&amp;"|"&amp;DATOS!$E10642&amp;"|"&amp;DATOS!$I10642)</f>
      </c>
      <c r="G10642">
        <f>IF(DATOS!$A10642="",0,IF(CONFIG_METADATA!$B$4&lt;&gt;"OR+EX",--(DATOS!$G10642=CONFIG_METADATA!$B$4),IF(DATOS!$G10642="EX",1,IF(DATOS!$G10642="OR",--(COUNTIFS(nNIA,DATOS!$A10642,nCURSO,DATOS!$D10642,nESPEC,DATOS!$E10642,nASIG,DATOS!$I10642,nEVAL,"EX")=0),0))))</f>
      </c>
      <c r="H10642">
        <f>IF(DATOS!$G10642&lt;&gt;"EX",0,--(COUNTIFS(nNIA,DATOS!$A10642,nCURSO,DATOS!$D10642,nESPEC,DATOS!$E10642,nASIG,DATOS!$I10642,nEVAL,"OR")=0))</f>
      </c>
      <c r="I10642">
        <f>IF(DATOS!$I10642="","",IFERROR(VLOOKUP(DATOS!$I10642,CONFIG_ASIGNATURAS!$B$2:$J$91,9,FALSE()),""))</f>
      </c>
    </row>
    <row r="10643">
      <c r="F10643">
        <f>IF(DATOS!$A10643="","",DATOS!$A10643&amp;"|"&amp;DATOS!$D10643&amp;"|"&amp;DATOS!$E10643&amp;"|"&amp;DATOS!$I10643)</f>
      </c>
      <c r="G10643">
        <f>IF(DATOS!$A10643="",0,IF(CONFIG_METADATA!$B$4&lt;&gt;"OR+EX",--(DATOS!$G10643=CONFIG_METADATA!$B$4),IF(DATOS!$G10643="EX",1,IF(DATOS!$G10643="OR",--(COUNTIFS(nNIA,DATOS!$A10643,nCURSO,DATOS!$D10643,nESPEC,DATOS!$E10643,nASIG,DATOS!$I10643,nEVAL,"EX")=0),0))))</f>
      </c>
      <c r="H10643">
        <f>IF(DATOS!$G10643&lt;&gt;"EX",0,--(COUNTIFS(nNIA,DATOS!$A10643,nCURSO,DATOS!$D10643,nESPEC,DATOS!$E10643,nASIG,DATOS!$I10643,nEVAL,"OR")=0))</f>
      </c>
      <c r="I10643">
        <f>IF(DATOS!$I10643="","",IFERROR(VLOOKUP(DATOS!$I10643,CONFIG_ASIGNATURAS!$B$2:$J$91,9,FALSE()),""))</f>
      </c>
    </row>
    <row r="10644">
      <c r="F10644">
        <f>IF(DATOS!$A10644="","",DATOS!$A10644&amp;"|"&amp;DATOS!$D10644&amp;"|"&amp;DATOS!$E10644&amp;"|"&amp;DATOS!$I10644)</f>
      </c>
      <c r="G10644">
        <f>IF(DATOS!$A10644="",0,IF(CONFIG_METADATA!$B$4&lt;&gt;"OR+EX",--(DATOS!$G10644=CONFIG_METADATA!$B$4),IF(DATOS!$G10644="EX",1,IF(DATOS!$G10644="OR",--(COUNTIFS(nNIA,DATOS!$A10644,nCURSO,DATOS!$D10644,nESPEC,DATOS!$E10644,nASIG,DATOS!$I10644,nEVAL,"EX")=0),0))))</f>
      </c>
      <c r="H10644">
        <f>IF(DATOS!$G10644&lt;&gt;"EX",0,--(COUNTIFS(nNIA,DATOS!$A10644,nCURSO,DATOS!$D10644,nESPEC,DATOS!$E10644,nASIG,DATOS!$I10644,nEVAL,"OR")=0))</f>
      </c>
      <c r="I10644">
        <f>IF(DATOS!$I10644="","",IFERROR(VLOOKUP(DATOS!$I10644,CONFIG_ASIGNATURAS!$B$2:$J$91,9,FALSE()),""))</f>
      </c>
    </row>
    <row r="10645">
      <c r="F10645">
        <f>IF(DATOS!$A10645="","",DATOS!$A10645&amp;"|"&amp;DATOS!$D10645&amp;"|"&amp;DATOS!$E10645&amp;"|"&amp;DATOS!$I10645)</f>
      </c>
      <c r="G10645">
        <f>IF(DATOS!$A10645="",0,IF(CONFIG_METADATA!$B$4&lt;&gt;"OR+EX",--(DATOS!$G10645=CONFIG_METADATA!$B$4),IF(DATOS!$G10645="EX",1,IF(DATOS!$G10645="OR",--(COUNTIFS(nNIA,DATOS!$A10645,nCURSO,DATOS!$D10645,nESPEC,DATOS!$E10645,nASIG,DATOS!$I10645,nEVAL,"EX")=0),0))))</f>
      </c>
      <c r="H10645">
        <f>IF(DATOS!$G10645&lt;&gt;"EX",0,--(COUNTIFS(nNIA,DATOS!$A10645,nCURSO,DATOS!$D10645,nESPEC,DATOS!$E10645,nASIG,DATOS!$I10645,nEVAL,"OR")=0))</f>
      </c>
      <c r="I10645">
        <f>IF(DATOS!$I10645="","",IFERROR(VLOOKUP(DATOS!$I10645,CONFIG_ASIGNATURAS!$B$2:$J$91,9,FALSE()),""))</f>
      </c>
    </row>
    <row r="10646">
      <c r="F10646">
        <f>IF(DATOS!$A10646="","",DATOS!$A10646&amp;"|"&amp;DATOS!$D10646&amp;"|"&amp;DATOS!$E10646&amp;"|"&amp;DATOS!$I10646)</f>
      </c>
      <c r="G10646">
        <f>IF(DATOS!$A10646="",0,IF(CONFIG_METADATA!$B$4&lt;&gt;"OR+EX",--(DATOS!$G10646=CONFIG_METADATA!$B$4),IF(DATOS!$G10646="EX",1,IF(DATOS!$G10646="OR",--(COUNTIFS(nNIA,DATOS!$A10646,nCURSO,DATOS!$D10646,nESPEC,DATOS!$E10646,nASIG,DATOS!$I10646,nEVAL,"EX")=0),0))))</f>
      </c>
      <c r="H10646">
        <f>IF(DATOS!$G10646&lt;&gt;"EX",0,--(COUNTIFS(nNIA,DATOS!$A10646,nCURSO,DATOS!$D10646,nESPEC,DATOS!$E10646,nASIG,DATOS!$I10646,nEVAL,"OR")=0))</f>
      </c>
      <c r="I10646">
        <f>IF(DATOS!$I10646="","",IFERROR(VLOOKUP(DATOS!$I10646,CONFIG_ASIGNATURAS!$B$2:$J$91,9,FALSE()),""))</f>
      </c>
    </row>
    <row r="10647">
      <c r="F10647">
        <f>IF(DATOS!$A10647="","",DATOS!$A10647&amp;"|"&amp;DATOS!$D10647&amp;"|"&amp;DATOS!$E10647&amp;"|"&amp;DATOS!$I10647)</f>
      </c>
      <c r="G10647">
        <f>IF(DATOS!$A10647="",0,IF(CONFIG_METADATA!$B$4&lt;&gt;"OR+EX",--(DATOS!$G10647=CONFIG_METADATA!$B$4),IF(DATOS!$G10647="EX",1,IF(DATOS!$G10647="OR",--(COUNTIFS(nNIA,DATOS!$A10647,nCURSO,DATOS!$D10647,nESPEC,DATOS!$E10647,nASIG,DATOS!$I10647,nEVAL,"EX")=0),0))))</f>
      </c>
      <c r="H10647">
        <f>IF(DATOS!$G10647&lt;&gt;"EX",0,--(COUNTIFS(nNIA,DATOS!$A10647,nCURSO,DATOS!$D10647,nESPEC,DATOS!$E10647,nASIG,DATOS!$I10647,nEVAL,"OR")=0))</f>
      </c>
      <c r="I10647">
        <f>IF(DATOS!$I10647="","",IFERROR(VLOOKUP(DATOS!$I10647,CONFIG_ASIGNATURAS!$B$2:$J$91,9,FALSE()),""))</f>
      </c>
    </row>
    <row r="10648">
      <c r="F10648">
        <f>IF(DATOS!$A10648="","",DATOS!$A10648&amp;"|"&amp;DATOS!$D10648&amp;"|"&amp;DATOS!$E10648&amp;"|"&amp;DATOS!$I10648)</f>
      </c>
      <c r="G10648">
        <f>IF(DATOS!$A10648="",0,IF(CONFIG_METADATA!$B$4&lt;&gt;"OR+EX",--(DATOS!$G10648=CONFIG_METADATA!$B$4),IF(DATOS!$G10648="EX",1,IF(DATOS!$G10648="OR",--(COUNTIFS(nNIA,DATOS!$A10648,nCURSO,DATOS!$D10648,nESPEC,DATOS!$E10648,nASIG,DATOS!$I10648,nEVAL,"EX")=0),0))))</f>
      </c>
      <c r="H10648">
        <f>IF(DATOS!$G10648&lt;&gt;"EX",0,--(COUNTIFS(nNIA,DATOS!$A10648,nCURSO,DATOS!$D10648,nESPEC,DATOS!$E10648,nASIG,DATOS!$I10648,nEVAL,"OR")=0))</f>
      </c>
      <c r="I10648">
        <f>IF(DATOS!$I10648="","",IFERROR(VLOOKUP(DATOS!$I10648,CONFIG_ASIGNATURAS!$B$2:$J$91,9,FALSE()),""))</f>
      </c>
    </row>
    <row r="10649">
      <c r="F10649">
        <f>IF(DATOS!$A10649="","",DATOS!$A10649&amp;"|"&amp;DATOS!$D10649&amp;"|"&amp;DATOS!$E10649&amp;"|"&amp;DATOS!$I10649)</f>
      </c>
      <c r="G10649">
        <f>IF(DATOS!$A10649="",0,IF(CONFIG_METADATA!$B$4&lt;&gt;"OR+EX",--(DATOS!$G10649=CONFIG_METADATA!$B$4),IF(DATOS!$G10649="EX",1,IF(DATOS!$G10649="OR",--(COUNTIFS(nNIA,DATOS!$A10649,nCURSO,DATOS!$D10649,nESPEC,DATOS!$E10649,nASIG,DATOS!$I10649,nEVAL,"EX")=0),0))))</f>
      </c>
      <c r="H10649">
        <f>IF(DATOS!$G10649&lt;&gt;"EX",0,--(COUNTIFS(nNIA,DATOS!$A10649,nCURSO,DATOS!$D10649,nESPEC,DATOS!$E10649,nASIG,DATOS!$I10649,nEVAL,"OR")=0))</f>
      </c>
      <c r="I10649">
        <f>IF(DATOS!$I10649="","",IFERROR(VLOOKUP(DATOS!$I10649,CONFIG_ASIGNATURAS!$B$2:$J$91,9,FALSE()),""))</f>
      </c>
    </row>
    <row r="10650">
      <c r="F10650">
        <f>IF(DATOS!$A10650="","",DATOS!$A10650&amp;"|"&amp;DATOS!$D10650&amp;"|"&amp;DATOS!$E10650&amp;"|"&amp;DATOS!$I10650)</f>
      </c>
      <c r="G10650">
        <f>IF(DATOS!$A10650="",0,IF(CONFIG_METADATA!$B$4&lt;&gt;"OR+EX",--(DATOS!$G10650=CONFIG_METADATA!$B$4),IF(DATOS!$G10650="EX",1,IF(DATOS!$G10650="OR",--(COUNTIFS(nNIA,DATOS!$A10650,nCURSO,DATOS!$D10650,nESPEC,DATOS!$E10650,nASIG,DATOS!$I10650,nEVAL,"EX")=0),0))))</f>
      </c>
      <c r="H10650">
        <f>IF(DATOS!$G10650&lt;&gt;"EX",0,--(COUNTIFS(nNIA,DATOS!$A10650,nCURSO,DATOS!$D10650,nESPEC,DATOS!$E10650,nASIG,DATOS!$I10650,nEVAL,"OR")=0))</f>
      </c>
      <c r="I10650">
        <f>IF(DATOS!$I10650="","",IFERROR(VLOOKUP(DATOS!$I10650,CONFIG_ASIGNATURAS!$B$2:$J$91,9,FALSE()),""))</f>
      </c>
    </row>
    <row r="10651">
      <c r="F10651">
        <f>IF(DATOS!$A10651="","",DATOS!$A10651&amp;"|"&amp;DATOS!$D10651&amp;"|"&amp;DATOS!$E10651&amp;"|"&amp;DATOS!$I10651)</f>
      </c>
      <c r="G10651">
        <f>IF(DATOS!$A10651="",0,IF(CONFIG_METADATA!$B$4&lt;&gt;"OR+EX",--(DATOS!$G10651=CONFIG_METADATA!$B$4),IF(DATOS!$G10651="EX",1,IF(DATOS!$G10651="OR",--(COUNTIFS(nNIA,DATOS!$A10651,nCURSO,DATOS!$D10651,nESPEC,DATOS!$E10651,nASIG,DATOS!$I10651,nEVAL,"EX")=0),0))))</f>
      </c>
      <c r="H10651">
        <f>IF(DATOS!$G10651&lt;&gt;"EX",0,--(COUNTIFS(nNIA,DATOS!$A10651,nCURSO,DATOS!$D10651,nESPEC,DATOS!$E10651,nASIG,DATOS!$I10651,nEVAL,"OR")=0))</f>
      </c>
      <c r="I10651">
        <f>IF(DATOS!$I10651="","",IFERROR(VLOOKUP(DATOS!$I10651,CONFIG_ASIGNATURAS!$B$2:$J$91,9,FALSE()),""))</f>
      </c>
    </row>
    <row r="10652">
      <c r="F10652">
        <f>IF(DATOS!$A10652="","",DATOS!$A10652&amp;"|"&amp;DATOS!$D10652&amp;"|"&amp;DATOS!$E10652&amp;"|"&amp;DATOS!$I10652)</f>
      </c>
      <c r="G10652">
        <f>IF(DATOS!$A10652="",0,IF(CONFIG_METADATA!$B$4&lt;&gt;"OR+EX",--(DATOS!$G10652=CONFIG_METADATA!$B$4),IF(DATOS!$G10652="EX",1,IF(DATOS!$G10652="OR",--(COUNTIFS(nNIA,DATOS!$A10652,nCURSO,DATOS!$D10652,nESPEC,DATOS!$E10652,nASIG,DATOS!$I10652,nEVAL,"EX")=0),0))))</f>
      </c>
      <c r="H10652">
        <f>IF(DATOS!$G10652&lt;&gt;"EX",0,--(COUNTIFS(nNIA,DATOS!$A10652,nCURSO,DATOS!$D10652,nESPEC,DATOS!$E10652,nASIG,DATOS!$I10652,nEVAL,"OR")=0))</f>
      </c>
      <c r="I10652">
        <f>IF(DATOS!$I10652="","",IFERROR(VLOOKUP(DATOS!$I10652,CONFIG_ASIGNATURAS!$B$2:$J$91,9,FALSE()),""))</f>
      </c>
    </row>
    <row r="10653">
      <c r="F10653">
        <f>IF(DATOS!$A10653="","",DATOS!$A10653&amp;"|"&amp;DATOS!$D10653&amp;"|"&amp;DATOS!$E10653&amp;"|"&amp;DATOS!$I10653)</f>
      </c>
      <c r="G10653">
        <f>IF(DATOS!$A10653="",0,IF(CONFIG_METADATA!$B$4&lt;&gt;"OR+EX",--(DATOS!$G10653=CONFIG_METADATA!$B$4),IF(DATOS!$G10653="EX",1,IF(DATOS!$G10653="OR",--(COUNTIFS(nNIA,DATOS!$A10653,nCURSO,DATOS!$D10653,nESPEC,DATOS!$E10653,nASIG,DATOS!$I10653,nEVAL,"EX")=0),0))))</f>
      </c>
      <c r="H10653">
        <f>IF(DATOS!$G10653&lt;&gt;"EX",0,--(COUNTIFS(nNIA,DATOS!$A10653,nCURSO,DATOS!$D10653,nESPEC,DATOS!$E10653,nASIG,DATOS!$I10653,nEVAL,"OR")=0))</f>
      </c>
      <c r="I10653">
        <f>IF(DATOS!$I10653="","",IFERROR(VLOOKUP(DATOS!$I10653,CONFIG_ASIGNATURAS!$B$2:$J$91,9,FALSE()),""))</f>
      </c>
    </row>
    <row r="10654">
      <c r="F10654">
        <f>IF(DATOS!$A10654="","",DATOS!$A10654&amp;"|"&amp;DATOS!$D10654&amp;"|"&amp;DATOS!$E10654&amp;"|"&amp;DATOS!$I10654)</f>
      </c>
      <c r="G10654">
        <f>IF(DATOS!$A10654="",0,IF(CONFIG_METADATA!$B$4&lt;&gt;"OR+EX",--(DATOS!$G10654=CONFIG_METADATA!$B$4),IF(DATOS!$G10654="EX",1,IF(DATOS!$G10654="OR",--(COUNTIFS(nNIA,DATOS!$A10654,nCURSO,DATOS!$D10654,nESPEC,DATOS!$E10654,nASIG,DATOS!$I10654,nEVAL,"EX")=0),0))))</f>
      </c>
      <c r="H10654">
        <f>IF(DATOS!$G10654&lt;&gt;"EX",0,--(COUNTIFS(nNIA,DATOS!$A10654,nCURSO,DATOS!$D10654,nESPEC,DATOS!$E10654,nASIG,DATOS!$I10654,nEVAL,"OR")=0))</f>
      </c>
      <c r="I10654">
        <f>IF(DATOS!$I10654="","",IFERROR(VLOOKUP(DATOS!$I10654,CONFIG_ASIGNATURAS!$B$2:$J$91,9,FALSE()),""))</f>
      </c>
    </row>
    <row r="10655">
      <c r="F10655">
        <f>IF(DATOS!$A10655="","",DATOS!$A10655&amp;"|"&amp;DATOS!$D10655&amp;"|"&amp;DATOS!$E10655&amp;"|"&amp;DATOS!$I10655)</f>
      </c>
      <c r="G10655">
        <f>IF(DATOS!$A10655="",0,IF(CONFIG_METADATA!$B$4&lt;&gt;"OR+EX",--(DATOS!$G10655=CONFIG_METADATA!$B$4),IF(DATOS!$G10655="EX",1,IF(DATOS!$G10655="OR",--(COUNTIFS(nNIA,DATOS!$A10655,nCURSO,DATOS!$D10655,nESPEC,DATOS!$E10655,nASIG,DATOS!$I10655,nEVAL,"EX")=0),0))))</f>
      </c>
      <c r="H10655">
        <f>IF(DATOS!$G10655&lt;&gt;"EX",0,--(COUNTIFS(nNIA,DATOS!$A10655,nCURSO,DATOS!$D10655,nESPEC,DATOS!$E10655,nASIG,DATOS!$I10655,nEVAL,"OR")=0))</f>
      </c>
      <c r="I10655">
        <f>IF(DATOS!$I10655="","",IFERROR(VLOOKUP(DATOS!$I10655,CONFIG_ASIGNATURAS!$B$2:$J$91,9,FALSE()),""))</f>
      </c>
    </row>
    <row r="10656">
      <c r="F10656">
        <f>IF(DATOS!$A10656="","",DATOS!$A10656&amp;"|"&amp;DATOS!$D10656&amp;"|"&amp;DATOS!$E10656&amp;"|"&amp;DATOS!$I10656)</f>
      </c>
      <c r="G10656">
        <f>IF(DATOS!$A10656="",0,IF(CONFIG_METADATA!$B$4&lt;&gt;"OR+EX",--(DATOS!$G10656=CONFIG_METADATA!$B$4),IF(DATOS!$G10656="EX",1,IF(DATOS!$G10656="OR",--(COUNTIFS(nNIA,DATOS!$A10656,nCURSO,DATOS!$D10656,nESPEC,DATOS!$E10656,nASIG,DATOS!$I10656,nEVAL,"EX")=0),0))))</f>
      </c>
      <c r="H10656">
        <f>IF(DATOS!$G10656&lt;&gt;"EX",0,--(COUNTIFS(nNIA,DATOS!$A10656,nCURSO,DATOS!$D10656,nESPEC,DATOS!$E10656,nASIG,DATOS!$I10656,nEVAL,"OR")=0))</f>
      </c>
      <c r="I10656">
        <f>IF(DATOS!$I10656="","",IFERROR(VLOOKUP(DATOS!$I10656,CONFIG_ASIGNATURAS!$B$2:$J$91,9,FALSE()),""))</f>
      </c>
    </row>
    <row r="10657">
      <c r="F10657">
        <f>IF(DATOS!$A10657="","",DATOS!$A10657&amp;"|"&amp;DATOS!$D10657&amp;"|"&amp;DATOS!$E10657&amp;"|"&amp;DATOS!$I10657)</f>
      </c>
      <c r="G10657">
        <f>IF(DATOS!$A10657="",0,IF(CONFIG_METADATA!$B$4&lt;&gt;"OR+EX",--(DATOS!$G10657=CONFIG_METADATA!$B$4),IF(DATOS!$G10657="EX",1,IF(DATOS!$G10657="OR",--(COUNTIFS(nNIA,DATOS!$A10657,nCURSO,DATOS!$D10657,nESPEC,DATOS!$E10657,nASIG,DATOS!$I10657,nEVAL,"EX")=0),0))))</f>
      </c>
      <c r="H10657">
        <f>IF(DATOS!$G10657&lt;&gt;"EX",0,--(COUNTIFS(nNIA,DATOS!$A10657,nCURSO,DATOS!$D10657,nESPEC,DATOS!$E10657,nASIG,DATOS!$I10657,nEVAL,"OR")=0))</f>
      </c>
      <c r="I10657">
        <f>IF(DATOS!$I10657="","",IFERROR(VLOOKUP(DATOS!$I10657,CONFIG_ASIGNATURAS!$B$2:$J$91,9,FALSE()),""))</f>
      </c>
    </row>
    <row r="10658">
      <c r="F10658">
        <f>IF(DATOS!$A10658="","",DATOS!$A10658&amp;"|"&amp;DATOS!$D10658&amp;"|"&amp;DATOS!$E10658&amp;"|"&amp;DATOS!$I10658)</f>
      </c>
      <c r="G10658">
        <f>IF(DATOS!$A10658="",0,IF(CONFIG_METADATA!$B$4&lt;&gt;"OR+EX",--(DATOS!$G10658=CONFIG_METADATA!$B$4),IF(DATOS!$G10658="EX",1,IF(DATOS!$G10658="OR",--(COUNTIFS(nNIA,DATOS!$A10658,nCURSO,DATOS!$D10658,nESPEC,DATOS!$E10658,nASIG,DATOS!$I10658,nEVAL,"EX")=0),0))))</f>
      </c>
      <c r="H10658">
        <f>IF(DATOS!$G10658&lt;&gt;"EX",0,--(COUNTIFS(nNIA,DATOS!$A10658,nCURSO,DATOS!$D10658,nESPEC,DATOS!$E10658,nASIG,DATOS!$I10658,nEVAL,"OR")=0))</f>
      </c>
      <c r="I10658">
        <f>IF(DATOS!$I10658="","",IFERROR(VLOOKUP(DATOS!$I10658,CONFIG_ASIGNATURAS!$B$2:$J$91,9,FALSE()),""))</f>
      </c>
    </row>
    <row r="10659">
      <c r="F10659">
        <f>IF(DATOS!$A10659="","",DATOS!$A10659&amp;"|"&amp;DATOS!$D10659&amp;"|"&amp;DATOS!$E10659&amp;"|"&amp;DATOS!$I10659)</f>
      </c>
      <c r="G10659">
        <f>IF(DATOS!$A10659="",0,IF(CONFIG_METADATA!$B$4&lt;&gt;"OR+EX",--(DATOS!$G10659=CONFIG_METADATA!$B$4),IF(DATOS!$G10659="EX",1,IF(DATOS!$G10659="OR",--(COUNTIFS(nNIA,DATOS!$A10659,nCURSO,DATOS!$D10659,nESPEC,DATOS!$E10659,nASIG,DATOS!$I10659,nEVAL,"EX")=0),0))))</f>
      </c>
      <c r="H10659">
        <f>IF(DATOS!$G10659&lt;&gt;"EX",0,--(COUNTIFS(nNIA,DATOS!$A10659,nCURSO,DATOS!$D10659,nESPEC,DATOS!$E10659,nASIG,DATOS!$I10659,nEVAL,"OR")=0))</f>
      </c>
      <c r="I10659">
        <f>IF(DATOS!$I10659="","",IFERROR(VLOOKUP(DATOS!$I10659,CONFIG_ASIGNATURAS!$B$2:$J$91,9,FALSE()),""))</f>
      </c>
    </row>
    <row r="10660">
      <c r="F10660">
        <f>IF(DATOS!$A10660="","",DATOS!$A10660&amp;"|"&amp;DATOS!$D10660&amp;"|"&amp;DATOS!$E10660&amp;"|"&amp;DATOS!$I10660)</f>
      </c>
      <c r="G10660">
        <f>IF(DATOS!$A10660="",0,IF(CONFIG_METADATA!$B$4&lt;&gt;"OR+EX",--(DATOS!$G10660=CONFIG_METADATA!$B$4),IF(DATOS!$G10660="EX",1,IF(DATOS!$G10660="OR",--(COUNTIFS(nNIA,DATOS!$A10660,nCURSO,DATOS!$D10660,nESPEC,DATOS!$E10660,nASIG,DATOS!$I10660,nEVAL,"EX")=0),0))))</f>
      </c>
      <c r="H10660">
        <f>IF(DATOS!$G10660&lt;&gt;"EX",0,--(COUNTIFS(nNIA,DATOS!$A10660,nCURSO,DATOS!$D10660,nESPEC,DATOS!$E10660,nASIG,DATOS!$I10660,nEVAL,"OR")=0))</f>
      </c>
      <c r="I10660">
        <f>IF(DATOS!$I10660="","",IFERROR(VLOOKUP(DATOS!$I10660,CONFIG_ASIGNATURAS!$B$2:$J$91,9,FALSE()),""))</f>
      </c>
    </row>
    <row r="10661">
      <c r="F10661">
        <f>IF(DATOS!$A10661="","",DATOS!$A10661&amp;"|"&amp;DATOS!$D10661&amp;"|"&amp;DATOS!$E10661&amp;"|"&amp;DATOS!$I10661)</f>
      </c>
      <c r="G10661">
        <f>IF(DATOS!$A10661="",0,IF(CONFIG_METADATA!$B$4&lt;&gt;"OR+EX",--(DATOS!$G10661=CONFIG_METADATA!$B$4),IF(DATOS!$G10661="EX",1,IF(DATOS!$G10661="OR",--(COUNTIFS(nNIA,DATOS!$A10661,nCURSO,DATOS!$D10661,nESPEC,DATOS!$E10661,nASIG,DATOS!$I10661,nEVAL,"EX")=0),0))))</f>
      </c>
      <c r="H10661">
        <f>IF(DATOS!$G10661&lt;&gt;"EX",0,--(COUNTIFS(nNIA,DATOS!$A10661,nCURSO,DATOS!$D10661,nESPEC,DATOS!$E10661,nASIG,DATOS!$I10661,nEVAL,"OR")=0))</f>
      </c>
      <c r="I10661">
        <f>IF(DATOS!$I10661="","",IFERROR(VLOOKUP(DATOS!$I10661,CONFIG_ASIGNATURAS!$B$2:$J$91,9,FALSE()),""))</f>
      </c>
    </row>
    <row r="10662">
      <c r="F10662">
        <f>IF(DATOS!$A10662="","",DATOS!$A10662&amp;"|"&amp;DATOS!$D10662&amp;"|"&amp;DATOS!$E10662&amp;"|"&amp;DATOS!$I10662)</f>
      </c>
      <c r="G10662">
        <f>IF(DATOS!$A10662="",0,IF(CONFIG_METADATA!$B$4&lt;&gt;"OR+EX",--(DATOS!$G10662=CONFIG_METADATA!$B$4),IF(DATOS!$G10662="EX",1,IF(DATOS!$G10662="OR",--(COUNTIFS(nNIA,DATOS!$A10662,nCURSO,DATOS!$D10662,nESPEC,DATOS!$E10662,nASIG,DATOS!$I10662,nEVAL,"EX")=0),0))))</f>
      </c>
      <c r="H10662">
        <f>IF(DATOS!$G10662&lt;&gt;"EX",0,--(COUNTIFS(nNIA,DATOS!$A10662,nCURSO,DATOS!$D10662,nESPEC,DATOS!$E10662,nASIG,DATOS!$I10662,nEVAL,"OR")=0))</f>
      </c>
      <c r="I10662">
        <f>IF(DATOS!$I10662="","",IFERROR(VLOOKUP(DATOS!$I10662,CONFIG_ASIGNATURAS!$B$2:$J$91,9,FALSE()),""))</f>
      </c>
    </row>
    <row r="10663">
      <c r="F10663">
        <f>IF(DATOS!$A10663="","",DATOS!$A10663&amp;"|"&amp;DATOS!$D10663&amp;"|"&amp;DATOS!$E10663&amp;"|"&amp;DATOS!$I10663)</f>
      </c>
      <c r="G10663">
        <f>IF(DATOS!$A10663="",0,IF(CONFIG_METADATA!$B$4&lt;&gt;"OR+EX",--(DATOS!$G10663=CONFIG_METADATA!$B$4),IF(DATOS!$G10663="EX",1,IF(DATOS!$G10663="OR",--(COUNTIFS(nNIA,DATOS!$A10663,nCURSO,DATOS!$D10663,nESPEC,DATOS!$E10663,nASIG,DATOS!$I10663,nEVAL,"EX")=0),0))))</f>
      </c>
      <c r="H10663">
        <f>IF(DATOS!$G10663&lt;&gt;"EX",0,--(COUNTIFS(nNIA,DATOS!$A10663,nCURSO,DATOS!$D10663,nESPEC,DATOS!$E10663,nASIG,DATOS!$I10663,nEVAL,"OR")=0))</f>
      </c>
      <c r="I10663">
        <f>IF(DATOS!$I10663="","",IFERROR(VLOOKUP(DATOS!$I10663,CONFIG_ASIGNATURAS!$B$2:$J$91,9,FALSE()),""))</f>
      </c>
    </row>
    <row r="10664">
      <c r="F10664">
        <f>IF(DATOS!$A10664="","",DATOS!$A10664&amp;"|"&amp;DATOS!$D10664&amp;"|"&amp;DATOS!$E10664&amp;"|"&amp;DATOS!$I10664)</f>
      </c>
      <c r="G10664">
        <f>IF(DATOS!$A10664="",0,IF(CONFIG_METADATA!$B$4&lt;&gt;"OR+EX",--(DATOS!$G10664=CONFIG_METADATA!$B$4),IF(DATOS!$G10664="EX",1,IF(DATOS!$G10664="OR",--(COUNTIFS(nNIA,DATOS!$A10664,nCURSO,DATOS!$D10664,nESPEC,DATOS!$E10664,nASIG,DATOS!$I10664,nEVAL,"EX")=0),0))))</f>
      </c>
      <c r="H10664">
        <f>IF(DATOS!$G10664&lt;&gt;"EX",0,--(COUNTIFS(nNIA,DATOS!$A10664,nCURSO,DATOS!$D10664,nESPEC,DATOS!$E10664,nASIG,DATOS!$I10664,nEVAL,"OR")=0))</f>
      </c>
      <c r="I10664">
        <f>IF(DATOS!$I10664="","",IFERROR(VLOOKUP(DATOS!$I10664,CONFIG_ASIGNATURAS!$B$2:$J$91,9,FALSE()),""))</f>
      </c>
    </row>
    <row r="10665">
      <c r="F10665">
        <f>IF(DATOS!$A10665="","",DATOS!$A10665&amp;"|"&amp;DATOS!$D10665&amp;"|"&amp;DATOS!$E10665&amp;"|"&amp;DATOS!$I10665)</f>
      </c>
      <c r="G10665">
        <f>IF(DATOS!$A10665="",0,IF(CONFIG_METADATA!$B$4&lt;&gt;"OR+EX",--(DATOS!$G10665=CONFIG_METADATA!$B$4),IF(DATOS!$G10665="EX",1,IF(DATOS!$G10665="OR",--(COUNTIFS(nNIA,DATOS!$A10665,nCURSO,DATOS!$D10665,nESPEC,DATOS!$E10665,nASIG,DATOS!$I10665,nEVAL,"EX")=0),0))))</f>
      </c>
      <c r="H10665">
        <f>IF(DATOS!$G10665&lt;&gt;"EX",0,--(COUNTIFS(nNIA,DATOS!$A10665,nCURSO,DATOS!$D10665,nESPEC,DATOS!$E10665,nASIG,DATOS!$I10665,nEVAL,"OR")=0))</f>
      </c>
      <c r="I10665">
        <f>IF(DATOS!$I10665="","",IFERROR(VLOOKUP(DATOS!$I10665,CONFIG_ASIGNATURAS!$B$2:$J$91,9,FALSE()),""))</f>
      </c>
    </row>
    <row r="10666">
      <c r="F10666">
        <f>IF(DATOS!$A10666="","",DATOS!$A10666&amp;"|"&amp;DATOS!$D10666&amp;"|"&amp;DATOS!$E10666&amp;"|"&amp;DATOS!$I10666)</f>
      </c>
      <c r="G10666">
        <f>IF(DATOS!$A10666="",0,IF(CONFIG_METADATA!$B$4&lt;&gt;"OR+EX",--(DATOS!$G10666=CONFIG_METADATA!$B$4),IF(DATOS!$G10666="EX",1,IF(DATOS!$G10666="OR",--(COUNTIFS(nNIA,DATOS!$A10666,nCURSO,DATOS!$D10666,nESPEC,DATOS!$E10666,nASIG,DATOS!$I10666,nEVAL,"EX")=0),0))))</f>
      </c>
      <c r="H10666">
        <f>IF(DATOS!$G10666&lt;&gt;"EX",0,--(COUNTIFS(nNIA,DATOS!$A10666,nCURSO,DATOS!$D10666,nESPEC,DATOS!$E10666,nASIG,DATOS!$I10666,nEVAL,"OR")=0))</f>
      </c>
      <c r="I10666">
        <f>IF(DATOS!$I10666="","",IFERROR(VLOOKUP(DATOS!$I10666,CONFIG_ASIGNATURAS!$B$2:$J$91,9,FALSE()),""))</f>
      </c>
    </row>
    <row r="10667">
      <c r="F10667">
        <f>IF(DATOS!$A10667="","",DATOS!$A10667&amp;"|"&amp;DATOS!$D10667&amp;"|"&amp;DATOS!$E10667&amp;"|"&amp;DATOS!$I10667)</f>
      </c>
      <c r="G10667">
        <f>IF(DATOS!$A10667="",0,IF(CONFIG_METADATA!$B$4&lt;&gt;"OR+EX",--(DATOS!$G10667=CONFIG_METADATA!$B$4),IF(DATOS!$G10667="EX",1,IF(DATOS!$G10667="OR",--(COUNTIFS(nNIA,DATOS!$A10667,nCURSO,DATOS!$D10667,nESPEC,DATOS!$E10667,nASIG,DATOS!$I10667,nEVAL,"EX")=0),0))))</f>
      </c>
      <c r="H10667">
        <f>IF(DATOS!$G10667&lt;&gt;"EX",0,--(COUNTIFS(nNIA,DATOS!$A10667,nCURSO,DATOS!$D10667,nESPEC,DATOS!$E10667,nASIG,DATOS!$I10667,nEVAL,"OR")=0))</f>
      </c>
      <c r="I10667">
        <f>IF(DATOS!$I10667="","",IFERROR(VLOOKUP(DATOS!$I10667,CONFIG_ASIGNATURAS!$B$2:$J$91,9,FALSE()),""))</f>
      </c>
    </row>
    <row r="10668">
      <c r="F10668">
        <f>IF(DATOS!$A10668="","",DATOS!$A10668&amp;"|"&amp;DATOS!$D10668&amp;"|"&amp;DATOS!$E10668&amp;"|"&amp;DATOS!$I10668)</f>
      </c>
      <c r="G10668">
        <f>IF(DATOS!$A10668="",0,IF(CONFIG_METADATA!$B$4&lt;&gt;"OR+EX",--(DATOS!$G10668=CONFIG_METADATA!$B$4),IF(DATOS!$G10668="EX",1,IF(DATOS!$G10668="OR",--(COUNTIFS(nNIA,DATOS!$A10668,nCURSO,DATOS!$D10668,nESPEC,DATOS!$E10668,nASIG,DATOS!$I10668,nEVAL,"EX")=0),0))))</f>
      </c>
      <c r="H10668">
        <f>IF(DATOS!$G10668&lt;&gt;"EX",0,--(COUNTIFS(nNIA,DATOS!$A10668,nCURSO,DATOS!$D10668,nESPEC,DATOS!$E10668,nASIG,DATOS!$I10668,nEVAL,"OR")=0))</f>
      </c>
      <c r="I10668">
        <f>IF(DATOS!$I10668="","",IFERROR(VLOOKUP(DATOS!$I10668,CONFIG_ASIGNATURAS!$B$2:$J$91,9,FALSE()),""))</f>
      </c>
    </row>
    <row r="10669">
      <c r="F10669">
        <f>IF(DATOS!$A10669="","",DATOS!$A10669&amp;"|"&amp;DATOS!$D10669&amp;"|"&amp;DATOS!$E10669&amp;"|"&amp;DATOS!$I10669)</f>
      </c>
      <c r="G10669">
        <f>IF(DATOS!$A10669="",0,IF(CONFIG_METADATA!$B$4&lt;&gt;"OR+EX",--(DATOS!$G10669=CONFIG_METADATA!$B$4),IF(DATOS!$G10669="EX",1,IF(DATOS!$G10669="OR",--(COUNTIFS(nNIA,DATOS!$A10669,nCURSO,DATOS!$D10669,nESPEC,DATOS!$E10669,nASIG,DATOS!$I10669,nEVAL,"EX")=0),0))))</f>
      </c>
      <c r="H10669">
        <f>IF(DATOS!$G10669&lt;&gt;"EX",0,--(COUNTIFS(nNIA,DATOS!$A10669,nCURSO,DATOS!$D10669,nESPEC,DATOS!$E10669,nASIG,DATOS!$I10669,nEVAL,"OR")=0))</f>
      </c>
      <c r="I10669">
        <f>IF(DATOS!$I10669="","",IFERROR(VLOOKUP(DATOS!$I10669,CONFIG_ASIGNATURAS!$B$2:$J$91,9,FALSE()),""))</f>
      </c>
    </row>
    <row r="10670">
      <c r="F10670">
        <f>IF(DATOS!$A10670="","",DATOS!$A10670&amp;"|"&amp;DATOS!$D10670&amp;"|"&amp;DATOS!$E10670&amp;"|"&amp;DATOS!$I10670)</f>
      </c>
      <c r="G10670">
        <f>IF(DATOS!$A10670="",0,IF(CONFIG_METADATA!$B$4&lt;&gt;"OR+EX",--(DATOS!$G10670=CONFIG_METADATA!$B$4),IF(DATOS!$G10670="EX",1,IF(DATOS!$G10670="OR",--(COUNTIFS(nNIA,DATOS!$A10670,nCURSO,DATOS!$D10670,nESPEC,DATOS!$E10670,nASIG,DATOS!$I10670,nEVAL,"EX")=0),0))))</f>
      </c>
      <c r="H10670">
        <f>IF(DATOS!$G10670&lt;&gt;"EX",0,--(COUNTIFS(nNIA,DATOS!$A10670,nCURSO,DATOS!$D10670,nESPEC,DATOS!$E10670,nASIG,DATOS!$I10670,nEVAL,"OR")=0))</f>
      </c>
      <c r="I10670">
        <f>IF(DATOS!$I10670="","",IFERROR(VLOOKUP(DATOS!$I10670,CONFIG_ASIGNATURAS!$B$2:$J$91,9,FALSE()),""))</f>
      </c>
    </row>
    <row r="10671">
      <c r="F10671">
        <f>IF(DATOS!$A10671="","",DATOS!$A10671&amp;"|"&amp;DATOS!$D10671&amp;"|"&amp;DATOS!$E10671&amp;"|"&amp;DATOS!$I10671)</f>
      </c>
      <c r="G10671">
        <f>IF(DATOS!$A10671="",0,IF(CONFIG_METADATA!$B$4&lt;&gt;"OR+EX",--(DATOS!$G10671=CONFIG_METADATA!$B$4),IF(DATOS!$G10671="EX",1,IF(DATOS!$G10671="OR",--(COUNTIFS(nNIA,DATOS!$A10671,nCURSO,DATOS!$D10671,nESPEC,DATOS!$E10671,nASIG,DATOS!$I10671,nEVAL,"EX")=0),0))))</f>
      </c>
      <c r="H10671">
        <f>IF(DATOS!$G10671&lt;&gt;"EX",0,--(COUNTIFS(nNIA,DATOS!$A10671,nCURSO,DATOS!$D10671,nESPEC,DATOS!$E10671,nASIG,DATOS!$I10671,nEVAL,"OR")=0))</f>
      </c>
      <c r="I10671">
        <f>IF(DATOS!$I10671="","",IFERROR(VLOOKUP(DATOS!$I10671,CONFIG_ASIGNATURAS!$B$2:$J$91,9,FALSE()),""))</f>
      </c>
    </row>
    <row r="10672">
      <c r="F10672">
        <f>IF(DATOS!$A10672="","",DATOS!$A10672&amp;"|"&amp;DATOS!$D10672&amp;"|"&amp;DATOS!$E10672&amp;"|"&amp;DATOS!$I10672)</f>
      </c>
      <c r="G10672">
        <f>IF(DATOS!$A10672="",0,IF(CONFIG_METADATA!$B$4&lt;&gt;"OR+EX",--(DATOS!$G10672=CONFIG_METADATA!$B$4),IF(DATOS!$G10672="EX",1,IF(DATOS!$G10672="OR",--(COUNTIFS(nNIA,DATOS!$A10672,nCURSO,DATOS!$D10672,nESPEC,DATOS!$E10672,nASIG,DATOS!$I10672,nEVAL,"EX")=0),0))))</f>
      </c>
      <c r="H10672">
        <f>IF(DATOS!$G10672&lt;&gt;"EX",0,--(COUNTIFS(nNIA,DATOS!$A10672,nCURSO,DATOS!$D10672,nESPEC,DATOS!$E10672,nASIG,DATOS!$I10672,nEVAL,"OR")=0))</f>
      </c>
      <c r="I10672">
        <f>IF(DATOS!$I10672="","",IFERROR(VLOOKUP(DATOS!$I10672,CONFIG_ASIGNATURAS!$B$2:$J$91,9,FALSE()),""))</f>
      </c>
    </row>
    <row r="10673">
      <c r="F10673">
        <f>IF(DATOS!$A10673="","",DATOS!$A10673&amp;"|"&amp;DATOS!$D10673&amp;"|"&amp;DATOS!$E10673&amp;"|"&amp;DATOS!$I10673)</f>
      </c>
      <c r="G10673">
        <f>IF(DATOS!$A10673="",0,IF(CONFIG_METADATA!$B$4&lt;&gt;"OR+EX",--(DATOS!$G10673=CONFIG_METADATA!$B$4),IF(DATOS!$G10673="EX",1,IF(DATOS!$G10673="OR",--(COUNTIFS(nNIA,DATOS!$A10673,nCURSO,DATOS!$D10673,nESPEC,DATOS!$E10673,nASIG,DATOS!$I10673,nEVAL,"EX")=0),0))))</f>
      </c>
      <c r="H10673">
        <f>IF(DATOS!$G10673&lt;&gt;"EX",0,--(COUNTIFS(nNIA,DATOS!$A10673,nCURSO,DATOS!$D10673,nESPEC,DATOS!$E10673,nASIG,DATOS!$I10673,nEVAL,"OR")=0))</f>
      </c>
      <c r="I10673">
        <f>IF(DATOS!$I10673="","",IFERROR(VLOOKUP(DATOS!$I10673,CONFIG_ASIGNATURAS!$B$2:$J$91,9,FALSE()),""))</f>
      </c>
    </row>
    <row r="10674">
      <c r="F10674">
        <f>IF(DATOS!$A10674="","",DATOS!$A10674&amp;"|"&amp;DATOS!$D10674&amp;"|"&amp;DATOS!$E10674&amp;"|"&amp;DATOS!$I10674)</f>
      </c>
      <c r="G10674">
        <f>IF(DATOS!$A10674="",0,IF(CONFIG_METADATA!$B$4&lt;&gt;"OR+EX",--(DATOS!$G10674=CONFIG_METADATA!$B$4),IF(DATOS!$G10674="EX",1,IF(DATOS!$G10674="OR",--(COUNTIFS(nNIA,DATOS!$A10674,nCURSO,DATOS!$D10674,nESPEC,DATOS!$E10674,nASIG,DATOS!$I10674,nEVAL,"EX")=0),0))))</f>
      </c>
      <c r="H10674">
        <f>IF(DATOS!$G10674&lt;&gt;"EX",0,--(COUNTIFS(nNIA,DATOS!$A10674,nCURSO,DATOS!$D10674,nESPEC,DATOS!$E10674,nASIG,DATOS!$I10674,nEVAL,"OR")=0))</f>
      </c>
      <c r="I10674">
        <f>IF(DATOS!$I10674="","",IFERROR(VLOOKUP(DATOS!$I10674,CONFIG_ASIGNATURAS!$B$2:$J$91,9,FALSE()),""))</f>
      </c>
    </row>
    <row r="10675">
      <c r="F10675">
        <f>IF(DATOS!$A10675="","",DATOS!$A10675&amp;"|"&amp;DATOS!$D10675&amp;"|"&amp;DATOS!$E10675&amp;"|"&amp;DATOS!$I10675)</f>
      </c>
      <c r="G10675">
        <f>IF(DATOS!$A10675="",0,IF(CONFIG_METADATA!$B$4&lt;&gt;"OR+EX",--(DATOS!$G10675=CONFIG_METADATA!$B$4),IF(DATOS!$G10675="EX",1,IF(DATOS!$G10675="OR",--(COUNTIFS(nNIA,DATOS!$A10675,nCURSO,DATOS!$D10675,nESPEC,DATOS!$E10675,nASIG,DATOS!$I10675,nEVAL,"EX")=0),0))))</f>
      </c>
      <c r="H10675">
        <f>IF(DATOS!$G10675&lt;&gt;"EX",0,--(COUNTIFS(nNIA,DATOS!$A10675,nCURSO,DATOS!$D10675,nESPEC,DATOS!$E10675,nASIG,DATOS!$I10675,nEVAL,"OR")=0))</f>
      </c>
      <c r="I10675">
        <f>IF(DATOS!$I10675="","",IFERROR(VLOOKUP(DATOS!$I10675,CONFIG_ASIGNATURAS!$B$2:$J$91,9,FALSE()),""))</f>
      </c>
    </row>
    <row r="10676">
      <c r="F10676">
        <f>IF(DATOS!$A10676="","",DATOS!$A10676&amp;"|"&amp;DATOS!$D10676&amp;"|"&amp;DATOS!$E10676&amp;"|"&amp;DATOS!$I10676)</f>
      </c>
      <c r="G10676">
        <f>IF(DATOS!$A10676="",0,IF(CONFIG_METADATA!$B$4&lt;&gt;"OR+EX",--(DATOS!$G10676=CONFIG_METADATA!$B$4),IF(DATOS!$G10676="EX",1,IF(DATOS!$G10676="OR",--(COUNTIFS(nNIA,DATOS!$A10676,nCURSO,DATOS!$D10676,nESPEC,DATOS!$E10676,nASIG,DATOS!$I10676,nEVAL,"EX")=0),0))))</f>
      </c>
      <c r="H10676">
        <f>IF(DATOS!$G10676&lt;&gt;"EX",0,--(COUNTIFS(nNIA,DATOS!$A10676,nCURSO,DATOS!$D10676,nESPEC,DATOS!$E10676,nASIG,DATOS!$I10676,nEVAL,"OR")=0))</f>
      </c>
      <c r="I10676">
        <f>IF(DATOS!$I10676="","",IFERROR(VLOOKUP(DATOS!$I10676,CONFIG_ASIGNATURAS!$B$2:$J$91,9,FALSE()),""))</f>
      </c>
    </row>
    <row r="10677">
      <c r="F10677">
        <f>IF(DATOS!$A10677="","",DATOS!$A10677&amp;"|"&amp;DATOS!$D10677&amp;"|"&amp;DATOS!$E10677&amp;"|"&amp;DATOS!$I10677)</f>
      </c>
      <c r="G10677">
        <f>IF(DATOS!$A10677="",0,IF(CONFIG_METADATA!$B$4&lt;&gt;"OR+EX",--(DATOS!$G10677=CONFIG_METADATA!$B$4),IF(DATOS!$G10677="EX",1,IF(DATOS!$G10677="OR",--(COUNTIFS(nNIA,DATOS!$A10677,nCURSO,DATOS!$D10677,nESPEC,DATOS!$E10677,nASIG,DATOS!$I10677,nEVAL,"EX")=0),0))))</f>
      </c>
      <c r="H10677">
        <f>IF(DATOS!$G10677&lt;&gt;"EX",0,--(COUNTIFS(nNIA,DATOS!$A10677,nCURSO,DATOS!$D10677,nESPEC,DATOS!$E10677,nASIG,DATOS!$I10677,nEVAL,"OR")=0))</f>
      </c>
      <c r="I10677">
        <f>IF(DATOS!$I10677="","",IFERROR(VLOOKUP(DATOS!$I10677,CONFIG_ASIGNATURAS!$B$2:$J$91,9,FALSE()),""))</f>
      </c>
    </row>
    <row r="10678">
      <c r="F10678">
        <f>IF(DATOS!$A10678="","",DATOS!$A10678&amp;"|"&amp;DATOS!$D10678&amp;"|"&amp;DATOS!$E10678&amp;"|"&amp;DATOS!$I10678)</f>
      </c>
      <c r="G10678">
        <f>IF(DATOS!$A10678="",0,IF(CONFIG_METADATA!$B$4&lt;&gt;"OR+EX",--(DATOS!$G10678=CONFIG_METADATA!$B$4),IF(DATOS!$G10678="EX",1,IF(DATOS!$G10678="OR",--(COUNTIFS(nNIA,DATOS!$A10678,nCURSO,DATOS!$D10678,nESPEC,DATOS!$E10678,nASIG,DATOS!$I10678,nEVAL,"EX")=0),0))))</f>
      </c>
      <c r="H10678">
        <f>IF(DATOS!$G10678&lt;&gt;"EX",0,--(COUNTIFS(nNIA,DATOS!$A10678,nCURSO,DATOS!$D10678,nESPEC,DATOS!$E10678,nASIG,DATOS!$I10678,nEVAL,"OR")=0))</f>
      </c>
      <c r="I10678">
        <f>IF(DATOS!$I10678="","",IFERROR(VLOOKUP(DATOS!$I10678,CONFIG_ASIGNATURAS!$B$2:$J$91,9,FALSE()),""))</f>
      </c>
    </row>
    <row r="10679">
      <c r="F10679">
        <f>IF(DATOS!$A10679="","",DATOS!$A10679&amp;"|"&amp;DATOS!$D10679&amp;"|"&amp;DATOS!$E10679&amp;"|"&amp;DATOS!$I10679)</f>
      </c>
      <c r="G10679">
        <f>IF(DATOS!$A10679="",0,IF(CONFIG_METADATA!$B$4&lt;&gt;"OR+EX",--(DATOS!$G10679=CONFIG_METADATA!$B$4),IF(DATOS!$G10679="EX",1,IF(DATOS!$G10679="OR",--(COUNTIFS(nNIA,DATOS!$A10679,nCURSO,DATOS!$D10679,nESPEC,DATOS!$E10679,nASIG,DATOS!$I10679,nEVAL,"EX")=0),0))))</f>
      </c>
      <c r="H10679">
        <f>IF(DATOS!$G10679&lt;&gt;"EX",0,--(COUNTIFS(nNIA,DATOS!$A10679,nCURSO,DATOS!$D10679,nESPEC,DATOS!$E10679,nASIG,DATOS!$I10679,nEVAL,"OR")=0))</f>
      </c>
      <c r="I10679">
        <f>IF(DATOS!$I10679="","",IFERROR(VLOOKUP(DATOS!$I10679,CONFIG_ASIGNATURAS!$B$2:$J$91,9,FALSE()),""))</f>
      </c>
    </row>
    <row r="10680">
      <c r="F10680">
        <f>IF(DATOS!$A10680="","",DATOS!$A10680&amp;"|"&amp;DATOS!$D10680&amp;"|"&amp;DATOS!$E10680&amp;"|"&amp;DATOS!$I10680)</f>
      </c>
      <c r="G10680">
        <f>IF(DATOS!$A10680="",0,IF(CONFIG_METADATA!$B$4&lt;&gt;"OR+EX",--(DATOS!$G10680=CONFIG_METADATA!$B$4),IF(DATOS!$G10680="EX",1,IF(DATOS!$G10680="OR",--(COUNTIFS(nNIA,DATOS!$A10680,nCURSO,DATOS!$D10680,nESPEC,DATOS!$E10680,nASIG,DATOS!$I10680,nEVAL,"EX")=0),0))))</f>
      </c>
      <c r="H10680">
        <f>IF(DATOS!$G10680&lt;&gt;"EX",0,--(COUNTIFS(nNIA,DATOS!$A10680,nCURSO,DATOS!$D10680,nESPEC,DATOS!$E10680,nASIG,DATOS!$I10680,nEVAL,"OR")=0))</f>
      </c>
      <c r="I10680">
        <f>IF(DATOS!$I10680="","",IFERROR(VLOOKUP(DATOS!$I10680,CONFIG_ASIGNATURAS!$B$2:$J$91,9,FALSE()),""))</f>
      </c>
    </row>
    <row r="10681">
      <c r="F10681">
        <f>IF(DATOS!$A10681="","",DATOS!$A10681&amp;"|"&amp;DATOS!$D10681&amp;"|"&amp;DATOS!$E10681&amp;"|"&amp;DATOS!$I10681)</f>
      </c>
      <c r="G10681">
        <f>IF(DATOS!$A10681="",0,IF(CONFIG_METADATA!$B$4&lt;&gt;"OR+EX",--(DATOS!$G10681=CONFIG_METADATA!$B$4),IF(DATOS!$G10681="EX",1,IF(DATOS!$G10681="OR",--(COUNTIFS(nNIA,DATOS!$A10681,nCURSO,DATOS!$D10681,nESPEC,DATOS!$E10681,nASIG,DATOS!$I10681,nEVAL,"EX")=0),0))))</f>
      </c>
      <c r="H10681">
        <f>IF(DATOS!$G10681&lt;&gt;"EX",0,--(COUNTIFS(nNIA,DATOS!$A10681,nCURSO,DATOS!$D10681,nESPEC,DATOS!$E10681,nASIG,DATOS!$I10681,nEVAL,"OR")=0))</f>
      </c>
      <c r="I10681">
        <f>IF(DATOS!$I10681="","",IFERROR(VLOOKUP(DATOS!$I10681,CONFIG_ASIGNATURAS!$B$2:$J$91,9,FALSE()),""))</f>
      </c>
    </row>
    <row r="10682">
      <c r="F10682">
        <f>IF(DATOS!$A10682="","",DATOS!$A10682&amp;"|"&amp;DATOS!$D10682&amp;"|"&amp;DATOS!$E10682&amp;"|"&amp;DATOS!$I10682)</f>
      </c>
      <c r="G10682">
        <f>IF(DATOS!$A10682="",0,IF(CONFIG_METADATA!$B$4&lt;&gt;"OR+EX",--(DATOS!$G10682=CONFIG_METADATA!$B$4),IF(DATOS!$G10682="EX",1,IF(DATOS!$G10682="OR",--(COUNTIFS(nNIA,DATOS!$A10682,nCURSO,DATOS!$D10682,nESPEC,DATOS!$E10682,nASIG,DATOS!$I10682,nEVAL,"EX")=0),0))))</f>
      </c>
      <c r="H10682">
        <f>IF(DATOS!$G10682&lt;&gt;"EX",0,--(COUNTIFS(nNIA,DATOS!$A10682,nCURSO,DATOS!$D10682,nESPEC,DATOS!$E10682,nASIG,DATOS!$I10682,nEVAL,"OR")=0))</f>
      </c>
      <c r="I10682">
        <f>IF(DATOS!$I10682="","",IFERROR(VLOOKUP(DATOS!$I10682,CONFIG_ASIGNATURAS!$B$2:$J$91,9,FALSE()),""))</f>
      </c>
    </row>
    <row r="10683">
      <c r="F10683">
        <f>IF(DATOS!$A10683="","",DATOS!$A10683&amp;"|"&amp;DATOS!$D10683&amp;"|"&amp;DATOS!$E10683&amp;"|"&amp;DATOS!$I10683)</f>
      </c>
      <c r="G10683">
        <f>IF(DATOS!$A10683="",0,IF(CONFIG_METADATA!$B$4&lt;&gt;"OR+EX",--(DATOS!$G10683=CONFIG_METADATA!$B$4),IF(DATOS!$G10683="EX",1,IF(DATOS!$G10683="OR",--(COUNTIFS(nNIA,DATOS!$A10683,nCURSO,DATOS!$D10683,nESPEC,DATOS!$E10683,nASIG,DATOS!$I10683,nEVAL,"EX")=0),0))))</f>
      </c>
      <c r="H10683">
        <f>IF(DATOS!$G10683&lt;&gt;"EX",0,--(COUNTIFS(nNIA,DATOS!$A10683,nCURSO,DATOS!$D10683,nESPEC,DATOS!$E10683,nASIG,DATOS!$I10683,nEVAL,"OR")=0))</f>
      </c>
      <c r="I10683">
        <f>IF(DATOS!$I10683="","",IFERROR(VLOOKUP(DATOS!$I10683,CONFIG_ASIGNATURAS!$B$2:$J$91,9,FALSE()),""))</f>
      </c>
    </row>
    <row r="10684">
      <c r="F10684">
        <f>IF(DATOS!$A10684="","",DATOS!$A10684&amp;"|"&amp;DATOS!$D10684&amp;"|"&amp;DATOS!$E10684&amp;"|"&amp;DATOS!$I10684)</f>
      </c>
      <c r="G10684">
        <f>IF(DATOS!$A10684="",0,IF(CONFIG_METADATA!$B$4&lt;&gt;"OR+EX",--(DATOS!$G10684=CONFIG_METADATA!$B$4),IF(DATOS!$G10684="EX",1,IF(DATOS!$G10684="OR",--(COUNTIFS(nNIA,DATOS!$A10684,nCURSO,DATOS!$D10684,nESPEC,DATOS!$E10684,nASIG,DATOS!$I10684,nEVAL,"EX")=0),0))))</f>
      </c>
      <c r="H10684">
        <f>IF(DATOS!$G10684&lt;&gt;"EX",0,--(COUNTIFS(nNIA,DATOS!$A10684,nCURSO,DATOS!$D10684,nESPEC,DATOS!$E10684,nASIG,DATOS!$I10684,nEVAL,"OR")=0))</f>
      </c>
      <c r="I10684">
        <f>IF(DATOS!$I10684="","",IFERROR(VLOOKUP(DATOS!$I10684,CONFIG_ASIGNATURAS!$B$2:$J$91,9,FALSE()),""))</f>
      </c>
    </row>
    <row r="10685">
      <c r="F10685">
        <f>IF(DATOS!$A10685="","",DATOS!$A10685&amp;"|"&amp;DATOS!$D10685&amp;"|"&amp;DATOS!$E10685&amp;"|"&amp;DATOS!$I10685)</f>
      </c>
      <c r="G10685">
        <f>IF(DATOS!$A10685="",0,IF(CONFIG_METADATA!$B$4&lt;&gt;"OR+EX",--(DATOS!$G10685=CONFIG_METADATA!$B$4),IF(DATOS!$G10685="EX",1,IF(DATOS!$G10685="OR",--(COUNTIFS(nNIA,DATOS!$A10685,nCURSO,DATOS!$D10685,nESPEC,DATOS!$E10685,nASIG,DATOS!$I10685,nEVAL,"EX")=0),0))))</f>
      </c>
      <c r="H10685">
        <f>IF(DATOS!$G10685&lt;&gt;"EX",0,--(COUNTIFS(nNIA,DATOS!$A10685,nCURSO,DATOS!$D10685,nESPEC,DATOS!$E10685,nASIG,DATOS!$I10685,nEVAL,"OR")=0))</f>
      </c>
      <c r="I10685">
        <f>IF(DATOS!$I10685="","",IFERROR(VLOOKUP(DATOS!$I10685,CONFIG_ASIGNATURAS!$B$2:$J$91,9,FALSE()),""))</f>
      </c>
    </row>
    <row r="10686">
      <c r="F10686">
        <f>IF(DATOS!$A10686="","",DATOS!$A10686&amp;"|"&amp;DATOS!$D10686&amp;"|"&amp;DATOS!$E10686&amp;"|"&amp;DATOS!$I10686)</f>
      </c>
      <c r="G10686">
        <f>IF(DATOS!$A10686="",0,IF(CONFIG_METADATA!$B$4&lt;&gt;"OR+EX",--(DATOS!$G10686=CONFIG_METADATA!$B$4),IF(DATOS!$G10686="EX",1,IF(DATOS!$G10686="OR",--(COUNTIFS(nNIA,DATOS!$A10686,nCURSO,DATOS!$D10686,nESPEC,DATOS!$E10686,nASIG,DATOS!$I10686,nEVAL,"EX")=0),0))))</f>
      </c>
      <c r="H10686">
        <f>IF(DATOS!$G10686&lt;&gt;"EX",0,--(COUNTIFS(nNIA,DATOS!$A10686,nCURSO,DATOS!$D10686,nESPEC,DATOS!$E10686,nASIG,DATOS!$I10686,nEVAL,"OR")=0))</f>
      </c>
      <c r="I10686">
        <f>IF(DATOS!$I10686="","",IFERROR(VLOOKUP(DATOS!$I10686,CONFIG_ASIGNATURAS!$B$2:$J$91,9,FALSE()),""))</f>
      </c>
    </row>
    <row r="10687">
      <c r="F10687">
        <f>IF(DATOS!$A10687="","",DATOS!$A10687&amp;"|"&amp;DATOS!$D10687&amp;"|"&amp;DATOS!$E10687&amp;"|"&amp;DATOS!$I10687)</f>
      </c>
      <c r="G10687">
        <f>IF(DATOS!$A10687="",0,IF(CONFIG_METADATA!$B$4&lt;&gt;"OR+EX",--(DATOS!$G10687=CONFIG_METADATA!$B$4),IF(DATOS!$G10687="EX",1,IF(DATOS!$G10687="OR",--(COUNTIFS(nNIA,DATOS!$A10687,nCURSO,DATOS!$D10687,nESPEC,DATOS!$E10687,nASIG,DATOS!$I10687,nEVAL,"EX")=0),0))))</f>
      </c>
      <c r="H10687">
        <f>IF(DATOS!$G10687&lt;&gt;"EX",0,--(COUNTIFS(nNIA,DATOS!$A10687,nCURSO,DATOS!$D10687,nESPEC,DATOS!$E10687,nASIG,DATOS!$I10687,nEVAL,"OR")=0))</f>
      </c>
      <c r="I10687">
        <f>IF(DATOS!$I10687="","",IFERROR(VLOOKUP(DATOS!$I10687,CONFIG_ASIGNATURAS!$B$2:$J$91,9,FALSE()),""))</f>
      </c>
    </row>
    <row r="10688">
      <c r="F10688">
        <f>IF(DATOS!$A10688="","",DATOS!$A10688&amp;"|"&amp;DATOS!$D10688&amp;"|"&amp;DATOS!$E10688&amp;"|"&amp;DATOS!$I10688)</f>
      </c>
      <c r="G10688">
        <f>IF(DATOS!$A10688="",0,IF(CONFIG_METADATA!$B$4&lt;&gt;"OR+EX",--(DATOS!$G10688=CONFIG_METADATA!$B$4),IF(DATOS!$G10688="EX",1,IF(DATOS!$G10688="OR",--(COUNTIFS(nNIA,DATOS!$A10688,nCURSO,DATOS!$D10688,nESPEC,DATOS!$E10688,nASIG,DATOS!$I10688,nEVAL,"EX")=0),0))))</f>
      </c>
      <c r="H10688">
        <f>IF(DATOS!$G10688&lt;&gt;"EX",0,--(COUNTIFS(nNIA,DATOS!$A10688,nCURSO,DATOS!$D10688,nESPEC,DATOS!$E10688,nASIG,DATOS!$I10688,nEVAL,"OR")=0))</f>
      </c>
      <c r="I10688">
        <f>IF(DATOS!$I10688="","",IFERROR(VLOOKUP(DATOS!$I10688,CONFIG_ASIGNATURAS!$B$2:$J$91,9,FALSE()),""))</f>
      </c>
    </row>
    <row r="10689">
      <c r="F10689">
        <f>IF(DATOS!$A10689="","",DATOS!$A10689&amp;"|"&amp;DATOS!$D10689&amp;"|"&amp;DATOS!$E10689&amp;"|"&amp;DATOS!$I10689)</f>
      </c>
      <c r="G10689">
        <f>IF(DATOS!$A10689="",0,IF(CONFIG_METADATA!$B$4&lt;&gt;"OR+EX",--(DATOS!$G10689=CONFIG_METADATA!$B$4),IF(DATOS!$G10689="EX",1,IF(DATOS!$G10689="OR",--(COUNTIFS(nNIA,DATOS!$A10689,nCURSO,DATOS!$D10689,nESPEC,DATOS!$E10689,nASIG,DATOS!$I10689,nEVAL,"EX")=0),0))))</f>
      </c>
      <c r="H10689">
        <f>IF(DATOS!$G10689&lt;&gt;"EX",0,--(COUNTIFS(nNIA,DATOS!$A10689,nCURSO,DATOS!$D10689,nESPEC,DATOS!$E10689,nASIG,DATOS!$I10689,nEVAL,"OR")=0))</f>
      </c>
      <c r="I10689">
        <f>IF(DATOS!$I10689="","",IFERROR(VLOOKUP(DATOS!$I10689,CONFIG_ASIGNATURAS!$B$2:$J$91,9,FALSE()),""))</f>
      </c>
    </row>
    <row r="10690">
      <c r="F10690">
        <f>IF(DATOS!$A10690="","",DATOS!$A10690&amp;"|"&amp;DATOS!$D10690&amp;"|"&amp;DATOS!$E10690&amp;"|"&amp;DATOS!$I10690)</f>
      </c>
      <c r="G10690">
        <f>IF(DATOS!$A10690="",0,IF(CONFIG_METADATA!$B$4&lt;&gt;"OR+EX",--(DATOS!$G10690=CONFIG_METADATA!$B$4),IF(DATOS!$G10690="EX",1,IF(DATOS!$G10690="OR",--(COUNTIFS(nNIA,DATOS!$A10690,nCURSO,DATOS!$D10690,nESPEC,DATOS!$E10690,nASIG,DATOS!$I10690,nEVAL,"EX")=0),0))))</f>
      </c>
      <c r="H10690">
        <f>IF(DATOS!$G10690&lt;&gt;"EX",0,--(COUNTIFS(nNIA,DATOS!$A10690,nCURSO,DATOS!$D10690,nESPEC,DATOS!$E10690,nASIG,DATOS!$I10690,nEVAL,"OR")=0))</f>
      </c>
      <c r="I10690">
        <f>IF(DATOS!$I10690="","",IFERROR(VLOOKUP(DATOS!$I10690,CONFIG_ASIGNATURAS!$B$2:$J$91,9,FALSE()),""))</f>
      </c>
    </row>
    <row r="10691">
      <c r="F10691">
        <f>IF(DATOS!$A10691="","",DATOS!$A10691&amp;"|"&amp;DATOS!$D10691&amp;"|"&amp;DATOS!$E10691&amp;"|"&amp;DATOS!$I10691)</f>
      </c>
      <c r="G10691">
        <f>IF(DATOS!$A10691="",0,IF(CONFIG_METADATA!$B$4&lt;&gt;"OR+EX",--(DATOS!$G10691=CONFIG_METADATA!$B$4),IF(DATOS!$G10691="EX",1,IF(DATOS!$G10691="OR",--(COUNTIFS(nNIA,DATOS!$A10691,nCURSO,DATOS!$D10691,nESPEC,DATOS!$E10691,nASIG,DATOS!$I10691,nEVAL,"EX")=0),0))))</f>
      </c>
      <c r="H10691">
        <f>IF(DATOS!$G10691&lt;&gt;"EX",0,--(COUNTIFS(nNIA,DATOS!$A10691,nCURSO,DATOS!$D10691,nESPEC,DATOS!$E10691,nASIG,DATOS!$I10691,nEVAL,"OR")=0))</f>
      </c>
      <c r="I10691">
        <f>IF(DATOS!$I10691="","",IFERROR(VLOOKUP(DATOS!$I10691,CONFIG_ASIGNATURAS!$B$2:$J$91,9,FALSE()),""))</f>
      </c>
    </row>
    <row r="10692">
      <c r="F10692">
        <f>IF(DATOS!$A10692="","",DATOS!$A10692&amp;"|"&amp;DATOS!$D10692&amp;"|"&amp;DATOS!$E10692&amp;"|"&amp;DATOS!$I10692)</f>
      </c>
      <c r="G10692">
        <f>IF(DATOS!$A10692="",0,IF(CONFIG_METADATA!$B$4&lt;&gt;"OR+EX",--(DATOS!$G10692=CONFIG_METADATA!$B$4),IF(DATOS!$G10692="EX",1,IF(DATOS!$G10692="OR",--(COUNTIFS(nNIA,DATOS!$A10692,nCURSO,DATOS!$D10692,nESPEC,DATOS!$E10692,nASIG,DATOS!$I10692,nEVAL,"EX")=0),0))))</f>
      </c>
      <c r="H10692">
        <f>IF(DATOS!$G10692&lt;&gt;"EX",0,--(COUNTIFS(nNIA,DATOS!$A10692,nCURSO,DATOS!$D10692,nESPEC,DATOS!$E10692,nASIG,DATOS!$I10692,nEVAL,"OR")=0))</f>
      </c>
      <c r="I10692">
        <f>IF(DATOS!$I10692="","",IFERROR(VLOOKUP(DATOS!$I10692,CONFIG_ASIGNATURAS!$B$2:$J$91,9,FALSE()),""))</f>
      </c>
    </row>
    <row r="10693">
      <c r="F10693">
        <f>IF(DATOS!$A10693="","",DATOS!$A10693&amp;"|"&amp;DATOS!$D10693&amp;"|"&amp;DATOS!$E10693&amp;"|"&amp;DATOS!$I10693)</f>
      </c>
      <c r="G10693">
        <f>IF(DATOS!$A10693="",0,IF(CONFIG_METADATA!$B$4&lt;&gt;"OR+EX",--(DATOS!$G10693=CONFIG_METADATA!$B$4),IF(DATOS!$G10693="EX",1,IF(DATOS!$G10693="OR",--(COUNTIFS(nNIA,DATOS!$A10693,nCURSO,DATOS!$D10693,nESPEC,DATOS!$E10693,nASIG,DATOS!$I10693,nEVAL,"EX")=0),0))))</f>
      </c>
      <c r="H10693">
        <f>IF(DATOS!$G10693&lt;&gt;"EX",0,--(COUNTIFS(nNIA,DATOS!$A10693,nCURSO,DATOS!$D10693,nESPEC,DATOS!$E10693,nASIG,DATOS!$I10693,nEVAL,"OR")=0))</f>
      </c>
      <c r="I10693">
        <f>IF(DATOS!$I10693="","",IFERROR(VLOOKUP(DATOS!$I10693,CONFIG_ASIGNATURAS!$B$2:$J$91,9,FALSE()),""))</f>
      </c>
    </row>
    <row r="10694">
      <c r="F10694">
        <f>IF(DATOS!$A10694="","",DATOS!$A10694&amp;"|"&amp;DATOS!$D10694&amp;"|"&amp;DATOS!$E10694&amp;"|"&amp;DATOS!$I10694)</f>
      </c>
      <c r="G10694">
        <f>IF(DATOS!$A10694="",0,IF(CONFIG_METADATA!$B$4&lt;&gt;"OR+EX",--(DATOS!$G10694=CONFIG_METADATA!$B$4),IF(DATOS!$G10694="EX",1,IF(DATOS!$G10694="OR",--(COUNTIFS(nNIA,DATOS!$A10694,nCURSO,DATOS!$D10694,nESPEC,DATOS!$E10694,nASIG,DATOS!$I10694,nEVAL,"EX")=0),0))))</f>
      </c>
      <c r="H10694">
        <f>IF(DATOS!$G10694&lt;&gt;"EX",0,--(COUNTIFS(nNIA,DATOS!$A10694,nCURSO,DATOS!$D10694,nESPEC,DATOS!$E10694,nASIG,DATOS!$I10694,nEVAL,"OR")=0))</f>
      </c>
      <c r="I10694">
        <f>IF(DATOS!$I10694="","",IFERROR(VLOOKUP(DATOS!$I10694,CONFIG_ASIGNATURAS!$B$2:$J$91,9,FALSE()),""))</f>
      </c>
    </row>
    <row r="10695">
      <c r="F10695">
        <f>IF(DATOS!$A10695="","",DATOS!$A10695&amp;"|"&amp;DATOS!$D10695&amp;"|"&amp;DATOS!$E10695&amp;"|"&amp;DATOS!$I10695)</f>
      </c>
      <c r="G10695">
        <f>IF(DATOS!$A10695="",0,IF(CONFIG_METADATA!$B$4&lt;&gt;"OR+EX",--(DATOS!$G10695=CONFIG_METADATA!$B$4),IF(DATOS!$G10695="EX",1,IF(DATOS!$G10695="OR",--(COUNTIFS(nNIA,DATOS!$A10695,nCURSO,DATOS!$D10695,nESPEC,DATOS!$E10695,nASIG,DATOS!$I10695,nEVAL,"EX")=0),0))))</f>
      </c>
      <c r="H10695">
        <f>IF(DATOS!$G10695&lt;&gt;"EX",0,--(COUNTIFS(nNIA,DATOS!$A10695,nCURSO,DATOS!$D10695,nESPEC,DATOS!$E10695,nASIG,DATOS!$I10695,nEVAL,"OR")=0))</f>
      </c>
      <c r="I10695">
        <f>IF(DATOS!$I10695="","",IFERROR(VLOOKUP(DATOS!$I10695,CONFIG_ASIGNATURAS!$B$2:$J$91,9,FALSE()),""))</f>
      </c>
    </row>
    <row r="10696">
      <c r="F10696">
        <f>IF(DATOS!$A10696="","",DATOS!$A10696&amp;"|"&amp;DATOS!$D10696&amp;"|"&amp;DATOS!$E10696&amp;"|"&amp;DATOS!$I10696)</f>
      </c>
      <c r="G10696">
        <f>IF(DATOS!$A10696="",0,IF(CONFIG_METADATA!$B$4&lt;&gt;"OR+EX",--(DATOS!$G10696=CONFIG_METADATA!$B$4),IF(DATOS!$G10696="EX",1,IF(DATOS!$G10696="OR",--(COUNTIFS(nNIA,DATOS!$A10696,nCURSO,DATOS!$D10696,nESPEC,DATOS!$E10696,nASIG,DATOS!$I10696,nEVAL,"EX")=0),0))))</f>
      </c>
      <c r="H10696">
        <f>IF(DATOS!$G10696&lt;&gt;"EX",0,--(COUNTIFS(nNIA,DATOS!$A10696,nCURSO,DATOS!$D10696,nESPEC,DATOS!$E10696,nASIG,DATOS!$I10696,nEVAL,"OR")=0))</f>
      </c>
      <c r="I10696">
        <f>IF(DATOS!$I10696="","",IFERROR(VLOOKUP(DATOS!$I10696,CONFIG_ASIGNATURAS!$B$2:$J$91,9,FALSE()),""))</f>
      </c>
    </row>
    <row r="10697">
      <c r="F10697">
        <f>IF(DATOS!$A10697="","",DATOS!$A10697&amp;"|"&amp;DATOS!$D10697&amp;"|"&amp;DATOS!$E10697&amp;"|"&amp;DATOS!$I10697)</f>
      </c>
      <c r="G10697">
        <f>IF(DATOS!$A10697="",0,IF(CONFIG_METADATA!$B$4&lt;&gt;"OR+EX",--(DATOS!$G10697=CONFIG_METADATA!$B$4),IF(DATOS!$G10697="EX",1,IF(DATOS!$G10697="OR",--(COUNTIFS(nNIA,DATOS!$A10697,nCURSO,DATOS!$D10697,nESPEC,DATOS!$E10697,nASIG,DATOS!$I10697,nEVAL,"EX")=0),0))))</f>
      </c>
      <c r="H10697">
        <f>IF(DATOS!$G10697&lt;&gt;"EX",0,--(COUNTIFS(nNIA,DATOS!$A10697,nCURSO,DATOS!$D10697,nESPEC,DATOS!$E10697,nASIG,DATOS!$I10697,nEVAL,"OR")=0))</f>
      </c>
      <c r="I10697">
        <f>IF(DATOS!$I10697="","",IFERROR(VLOOKUP(DATOS!$I10697,CONFIG_ASIGNATURAS!$B$2:$J$91,9,FALSE()),""))</f>
      </c>
    </row>
    <row r="10698">
      <c r="F10698">
        <f>IF(DATOS!$A10698="","",DATOS!$A10698&amp;"|"&amp;DATOS!$D10698&amp;"|"&amp;DATOS!$E10698&amp;"|"&amp;DATOS!$I10698)</f>
      </c>
      <c r="G10698">
        <f>IF(DATOS!$A10698="",0,IF(CONFIG_METADATA!$B$4&lt;&gt;"OR+EX",--(DATOS!$G10698=CONFIG_METADATA!$B$4),IF(DATOS!$G10698="EX",1,IF(DATOS!$G10698="OR",--(COUNTIFS(nNIA,DATOS!$A10698,nCURSO,DATOS!$D10698,nESPEC,DATOS!$E10698,nASIG,DATOS!$I10698,nEVAL,"EX")=0),0))))</f>
      </c>
      <c r="H10698">
        <f>IF(DATOS!$G10698&lt;&gt;"EX",0,--(COUNTIFS(nNIA,DATOS!$A10698,nCURSO,DATOS!$D10698,nESPEC,DATOS!$E10698,nASIG,DATOS!$I10698,nEVAL,"OR")=0))</f>
      </c>
      <c r="I10698">
        <f>IF(DATOS!$I10698="","",IFERROR(VLOOKUP(DATOS!$I10698,CONFIG_ASIGNATURAS!$B$2:$J$91,9,FALSE()),""))</f>
      </c>
    </row>
    <row r="10699">
      <c r="F10699">
        <f>IF(DATOS!$A10699="","",DATOS!$A10699&amp;"|"&amp;DATOS!$D10699&amp;"|"&amp;DATOS!$E10699&amp;"|"&amp;DATOS!$I10699)</f>
      </c>
      <c r="G10699">
        <f>IF(DATOS!$A10699="",0,IF(CONFIG_METADATA!$B$4&lt;&gt;"OR+EX",--(DATOS!$G10699=CONFIG_METADATA!$B$4),IF(DATOS!$G10699="EX",1,IF(DATOS!$G10699="OR",--(COUNTIFS(nNIA,DATOS!$A10699,nCURSO,DATOS!$D10699,nESPEC,DATOS!$E10699,nASIG,DATOS!$I10699,nEVAL,"EX")=0),0))))</f>
      </c>
      <c r="H10699">
        <f>IF(DATOS!$G10699&lt;&gt;"EX",0,--(COUNTIFS(nNIA,DATOS!$A10699,nCURSO,DATOS!$D10699,nESPEC,DATOS!$E10699,nASIG,DATOS!$I10699,nEVAL,"OR")=0))</f>
      </c>
      <c r="I10699">
        <f>IF(DATOS!$I10699="","",IFERROR(VLOOKUP(DATOS!$I10699,CONFIG_ASIGNATURAS!$B$2:$J$91,9,FALSE()),""))</f>
      </c>
    </row>
    <row r="10700">
      <c r="F10700">
        <f>IF(DATOS!$A10700="","",DATOS!$A10700&amp;"|"&amp;DATOS!$D10700&amp;"|"&amp;DATOS!$E10700&amp;"|"&amp;DATOS!$I10700)</f>
      </c>
      <c r="G10700">
        <f>IF(DATOS!$A10700="",0,IF(CONFIG_METADATA!$B$4&lt;&gt;"OR+EX",--(DATOS!$G10700=CONFIG_METADATA!$B$4),IF(DATOS!$G10700="EX",1,IF(DATOS!$G10700="OR",--(COUNTIFS(nNIA,DATOS!$A10700,nCURSO,DATOS!$D10700,nESPEC,DATOS!$E10700,nASIG,DATOS!$I10700,nEVAL,"EX")=0),0))))</f>
      </c>
      <c r="H10700">
        <f>IF(DATOS!$G10700&lt;&gt;"EX",0,--(COUNTIFS(nNIA,DATOS!$A10700,nCURSO,DATOS!$D10700,nESPEC,DATOS!$E10700,nASIG,DATOS!$I10700,nEVAL,"OR")=0))</f>
      </c>
      <c r="I10700">
        <f>IF(DATOS!$I10700="","",IFERROR(VLOOKUP(DATOS!$I10700,CONFIG_ASIGNATURAS!$B$2:$J$91,9,FALSE()),""))</f>
      </c>
    </row>
    <row r="10701">
      <c r="F10701">
        <f>IF(DATOS!$A10701="","",DATOS!$A10701&amp;"|"&amp;DATOS!$D10701&amp;"|"&amp;DATOS!$E10701&amp;"|"&amp;DATOS!$I10701)</f>
      </c>
      <c r="G10701">
        <f>IF(DATOS!$A10701="",0,IF(CONFIG_METADATA!$B$4&lt;&gt;"OR+EX",--(DATOS!$G10701=CONFIG_METADATA!$B$4),IF(DATOS!$G10701="EX",1,IF(DATOS!$G10701="OR",--(COUNTIFS(nNIA,DATOS!$A10701,nCURSO,DATOS!$D10701,nESPEC,DATOS!$E10701,nASIG,DATOS!$I10701,nEVAL,"EX")=0),0))))</f>
      </c>
      <c r="H10701">
        <f>IF(DATOS!$G10701&lt;&gt;"EX",0,--(COUNTIFS(nNIA,DATOS!$A10701,nCURSO,DATOS!$D10701,nESPEC,DATOS!$E10701,nASIG,DATOS!$I10701,nEVAL,"OR")=0))</f>
      </c>
      <c r="I10701">
        <f>IF(DATOS!$I10701="","",IFERROR(VLOOKUP(DATOS!$I10701,CONFIG_ASIGNATURAS!$B$2:$J$91,9,FALSE()),""))</f>
      </c>
    </row>
    <row r="10702">
      <c r="F10702">
        <f>IF(DATOS!$A10702="","",DATOS!$A10702&amp;"|"&amp;DATOS!$D10702&amp;"|"&amp;DATOS!$E10702&amp;"|"&amp;DATOS!$I10702)</f>
      </c>
      <c r="G10702">
        <f>IF(DATOS!$A10702="",0,IF(CONFIG_METADATA!$B$4&lt;&gt;"OR+EX",--(DATOS!$G10702=CONFIG_METADATA!$B$4),IF(DATOS!$G10702="EX",1,IF(DATOS!$G10702="OR",--(COUNTIFS(nNIA,DATOS!$A10702,nCURSO,DATOS!$D10702,nESPEC,DATOS!$E10702,nASIG,DATOS!$I10702,nEVAL,"EX")=0),0))))</f>
      </c>
      <c r="H10702">
        <f>IF(DATOS!$G10702&lt;&gt;"EX",0,--(COUNTIFS(nNIA,DATOS!$A10702,nCURSO,DATOS!$D10702,nESPEC,DATOS!$E10702,nASIG,DATOS!$I10702,nEVAL,"OR")=0))</f>
      </c>
      <c r="I10702">
        <f>IF(DATOS!$I10702="","",IFERROR(VLOOKUP(DATOS!$I10702,CONFIG_ASIGNATURAS!$B$2:$J$91,9,FALSE()),""))</f>
      </c>
    </row>
    <row r="10703">
      <c r="F10703">
        <f>IF(DATOS!$A10703="","",DATOS!$A10703&amp;"|"&amp;DATOS!$D10703&amp;"|"&amp;DATOS!$E10703&amp;"|"&amp;DATOS!$I10703)</f>
      </c>
      <c r="G10703">
        <f>IF(DATOS!$A10703="",0,IF(CONFIG_METADATA!$B$4&lt;&gt;"OR+EX",--(DATOS!$G10703=CONFIG_METADATA!$B$4),IF(DATOS!$G10703="EX",1,IF(DATOS!$G10703="OR",--(COUNTIFS(nNIA,DATOS!$A10703,nCURSO,DATOS!$D10703,nESPEC,DATOS!$E10703,nASIG,DATOS!$I10703,nEVAL,"EX")=0),0))))</f>
      </c>
      <c r="H10703">
        <f>IF(DATOS!$G10703&lt;&gt;"EX",0,--(COUNTIFS(nNIA,DATOS!$A10703,nCURSO,DATOS!$D10703,nESPEC,DATOS!$E10703,nASIG,DATOS!$I10703,nEVAL,"OR")=0))</f>
      </c>
      <c r="I10703">
        <f>IF(DATOS!$I10703="","",IFERROR(VLOOKUP(DATOS!$I10703,CONFIG_ASIGNATURAS!$B$2:$J$91,9,FALSE()),""))</f>
      </c>
    </row>
    <row r="10704">
      <c r="F10704">
        <f>IF(DATOS!$A10704="","",DATOS!$A10704&amp;"|"&amp;DATOS!$D10704&amp;"|"&amp;DATOS!$E10704&amp;"|"&amp;DATOS!$I10704)</f>
      </c>
      <c r="G10704">
        <f>IF(DATOS!$A10704="",0,IF(CONFIG_METADATA!$B$4&lt;&gt;"OR+EX",--(DATOS!$G10704=CONFIG_METADATA!$B$4),IF(DATOS!$G10704="EX",1,IF(DATOS!$G10704="OR",--(COUNTIFS(nNIA,DATOS!$A10704,nCURSO,DATOS!$D10704,nESPEC,DATOS!$E10704,nASIG,DATOS!$I10704,nEVAL,"EX")=0),0))))</f>
      </c>
      <c r="H10704">
        <f>IF(DATOS!$G10704&lt;&gt;"EX",0,--(COUNTIFS(nNIA,DATOS!$A10704,nCURSO,DATOS!$D10704,nESPEC,DATOS!$E10704,nASIG,DATOS!$I10704,nEVAL,"OR")=0))</f>
      </c>
      <c r="I10704">
        <f>IF(DATOS!$I10704="","",IFERROR(VLOOKUP(DATOS!$I10704,CONFIG_ASIGNATURAS!$B$2:$J$91,9,FALSE()),""))</f>
      </c>
    </row>
    <row r="10705">
      <c r="F10705">
        <f>IF(DATOS!$A10705="","",DATOS!$A10705&amp;"|"&amp;DATOS!$D10705&amp;"|"&amp;DATOS!$E10705&amp;"|"&amp;DATOS!$I10705)</f>
      </c>
      <c r="G10705">
        <f>IF(DATOS!$A10705="",0,IF(CONFIG_METADATA!$B$4&lt;&gt;"OR+EX",--(DATOS!$G10705=CONFIG_METADATA!$B$4),IF(DATOS!$G10705="EX",1,IF(DATOS!$G10705="OR",--(COUNTIFS(nNIA,DATOS!$A10705,nCURSO,DATOS!$D10705,nESPEC,DATOS!$E10705,nASIG,DATOS!$I10705,nEVAL,"EX")=0),0))))</f>
      </c>
      <c r="H10705">
        <f>IF(DATOS!$G10705&lt;&gt;"EX",0,--(COUNTIFS(nNIA,DATOS!$A10705,nCURSO,DATOS!$D10705,nESPEC,DATOS!$E10705,nASIG,DATOS!$I10705,nEVAL,"OR")=0))</f>
      </c>
      <c r="I10705">
        <f>IF(DATOS!$I10705="","",IFERROR(VLOOKUP(DATOS!$I10705,CONFIG_ASIGNATURAS!$B$2:$J$91,9,FALSE()),""))</f>
      </c>
    </row>
    <row r="10706">
      <c r="F10706">
        <f>IF(DATOS!$A10706="","",DATOS!$A10706&amp;"|"&amp;DATOS!$D10706&amp;"|"&amp;DATOS!$E10706&amp;"|"&amp;DATOS!$I10706)</f>
      </c>
      <c r="G10706">
        <f>IF(DATOS!$A10706="",0,IF(CONFIG_METADATA!$B$4&lt;&gt;"OR+EX",--(DATOS!$G10706=CONFIG_METADATA!$B$4),IF(DATOS!$G10706="EX",1,IF(DATOS!$G10706="OR",--(COUNTIFS(nNIA,DATOS!$A10706,nCURSO,DATOS!$D10706,nESPEC,DATOS!$E10706,nASIG,DATOS!$I10706,nEVAL,"EX")=0),0))))</f>
      </c>
      <c r="H10706">
        <f>IF(DATOS!$G10706&lt;&gt;"EX",0,--(COUNTIFS(nNIA,DATOS!$A10706,nCURSO,DATOS!$D10706,nESPEC,DATOS!$E10706,nASIG,DATOS!$I10706,nEVAL,"OR")=0))</f>
      </c>
      <c r="I10706">
        <f>IF(DATOS!$I10706="","",IFERROR(VLOOKUP(DATOS!$I10706,CONFIG_ASIGNATURAS!$B$2:$J$91,9,FALSE()),""))</f>
      </c>
    </row>
    <row r="10707">
      <c r="F10707">
        <f>IF(DATOS!$A10707="","",DATOS!$A10707&amp;"|"&amp;DATOS!$D10707&amp;"|"&amp;DATOS!$E10707&amp;"|"&amp;DATOS!$I10707)</f>
      </c>
      <c r="G10707">
        <f>IF(DATOS!$A10707="",0,IF(CONFIG_METADATA!$B$4&lt;&gt;"OR+EX",--(DATOS!$G10707=CONFIG_METADATA!$B$4),IF(DATOS!$G10707="EX",1,IF(DATOS!$G10707="OR",--(COUNTIFS(nNIA,DATOS!$A10707,nCURSO,DATOS!$D10707,nESPEC,DATOS!$E10707,nASIG,DATOS!$I10707,nEVAL,"EX")=0),0))))</f>
      </c>
      <c r="H10707">
        <f>IF(DATOS!$G10707&lt;&gt;"EX",0,--(COUNTIFS(nNIA,DATOS!$A10707,nCURSO,DATOS!$D10707,nESPEC,DATOS!$E10707,nASIG,DATOS!$I10707,nEVAL,"OR")=0))</f>
      </c>
      <c r="I10707">
        <f>IF(DATOS!$I10707="","",IFERROR(VLOOKUP(DATOS!$I10707,CONFIG_ASIGNATURAS!$B$2:$J$91,9,FALSE()),""))</f>
      </c>
    </row>
    <row r="10708">
      <c r="F10708">
        <f>IF(DATOS!$A10708="","",DATOS!$A10708&amp;"|"&amp;DATOS!$D10708&amp;"|"&amp;DATOS!$E10708&amp;"|"&amp;DATOS!$I10708)</f>
      </c>
      <c r="G10708">
        <f>IF(DATOS!$A10708="",0,IF(CONFIG_METADATA!$B$4&lt;&gt;"OR+EX",--(DATOS!$G10708=CONFIG_METADATA!$B$4),IF(DATOS!$G10708="EX",1,IF(DATOS!$G10708="OR",--(COUNTIFS(nNIA,DATOS!$A10708,nCURSO,DATOS!$D10708,nESPEC,DATOS!$E10708,nASIG,DATOS!$I10708,nEVAL,"EX")=0),0))))</f>
      </c>
      <c r="H10708">
        <f>IF(DATOS!$G10708&lt;&gt;"EX",0,--(COUNTIFS(nNIA,DATOS!$A10708,nCURSO,DATOS!$D10708,nESPEC,DATOS!$E10708,nASIG,DATOS!$I10708,nEVAL,"OR")=0))</f>
      </c>
      <c r="I10708">
        <f>IF(DATOS!$I10708="","",IFERROR(VLOOKUP(DATOS!$I10708,CONFIG_ASIGNATURAS!$B$2:$J$91,9,FALSE()),""))</f>
      </c>
    </row>
    <row r="10709">
      <c r="F10709">
        <f>IF(DATOS!$A10709="","",DATOS!$A10709&amp;"|"&amp;DATOS!$D10709&amp;"|"&amp;DATOS!$E10709&amp;"|"&amp;DATOS!$I10709)</f>
      </c>
      <c r="G10709">
        <f>IF(DATOS!$A10709="",0,IF(CONFIG_METADATA!$B$4&lt;&gt;"OR+EX",--(DATOS!$G10709=CONFIG_METADATA!$B$4),IF(DATOS!$G10709="EX",1,IF(DATOS!$G10709="OR",--(COUNTIFS(nNIA,DATOS!$A10709,nCURSO,DATOS!$D10709,nESPEC,DATOS!$E10709,nASIG,DATOS!$I10709,nEVAL,"EX")=0),0))))</f>
      </c>
      <c r="H10709">
        <f>IF(DATOS!$G10709&lt;&gt;"EX",0,--(COUNTIFS(nNIA,DATOS!$A10709,nCURSO,DATOS!$D10709,nESPEC,DATOS!$E10709,nASIG,DATOS!$I10709,nEVAL,"OR")=0))</f>
      </c>
      <c r="I10709">
        <f>IF(DATOS!$I10709="","",IFERROR(VLOOKUP(DATOS!$I10709,CONFIG_ASIGNATURAS!$B$2:$J$91,9,FALSE()),""))</f>
      </c>
    </row>
    <row r="10710">
      <c r="F10710">
        <f>IF(DATOS!$A10710="","",DATOS!$A10710&amp;"|"&amp;DATOS!$D10710&amp;"|"&amp;DATOS!$E10710&amp;"|"&amp;DATOS!$I10710)</f>
      </c>
      <c r="G10710">
        <f>IF(DATOS!$A10710="",0,IF(CONFIG_METADATA!$B$4&lt;&gt;"OR+EX",--(DATOS!$G10710=CONFIG_METADATA!$B$4),IF(DATOS!$G10710="EX",1,IF(DATOS!$G10710="OR",--(COUNTIFS(nNIA,DATOS!$A10710,nCURSO,DATOS!$D10710,nESPEC,DATOS!$E10710,nASIG,DATOS!$I10710,nEVAL,"EX")=0),0))))</f>
      </c>
      <c r="H10710">
        <f>IF(DATOS!$G10710&lt;&gt;"EX",0,--(COUNTIFS(nNIA,DATOS!$A10710,nCURSO,DATOS!$D10710,nESPEC,DATOS!$E10710,nASIG,DATOS!$I10710,nEVAL,"OR")=0))</f>
      </c>
      <c r="I10710">
        <f>IF(DATOS!$I10710="","",IFERROR(VLOOKUP(DATOS!$I10710,CONFIG_ASIGNATURAS!$B$2:$J$91,9,FALSE()),""))</f>
      </c>
    </row>
    <row r="10711">
      <c r="F10711">
        <f>IF(DATOS!$A10711="","",DATOS!$A10711&amp;"|"&amp;DATOS!$D10711&amp;"|"&amp;DATOS!$E10711&amp;"|"&amp;DATOS!$I10711)</f>
      </c>
      <c r="G10711">
        <f>IF(DATOS!$A10711="",0,IF(CONFIG_METADATA!$B$4&lt;&gt;"OR+EX",--(DATOS!$G10711=CONFIG_METADATA!$B$4),IF(DATOS!$G10711="EX",1,IF(DATOS!$G10711="OR",--(COUNTIFS(nNIA,DATOS!$A10711,nCURSO,DATOS!$D10711,nESPEC,DATOS!$E10711,nASIG,DATOS!$I10711,nEVAL,"EX")=0),0))))</f>
      </c>
      <c r="H10711">
        <f>IF(DATOS!$G10711&lt;&gt;"EX",0,--(COUNTIFS(nNIA,DATOS!$A10711,nCURSO,DATOS!$D10711,nESPEC,DATOS!$E10711,nASIG,DATOS!$I10711,nEVAL,"OR")=0))</f>
      </c>
      <c r="I10711">
        <f>IF(DATOS!$I10711="","",IFERROR(VLOOKUP(DATOS!$I10711,CONFIG_ASIGNATURAS!$B$2:$J$91,9,FALSE()),""))</f>
      </c>
    </row>
    <row r="10712">
      <c r="F10712">
        <f>IF(DATOS!$A10712="","",DATOS!$A10712&amp;"|"&amp;DATOS!$D10712&amp;"|"&amp;DATOS!$E10712&amp;"|"&amp;DATOS!$I10712)</f>
      </c>
      <c r="G10712">
        <f>IF(DATOS!$A10712="",0,IF(CONFIG_METADATA!$B$4&lt;&gt;"OR+EX",--(DATOS!$G10712=CONFIG_METADATA!$B$4),IF(DATOS!$G10712="EX",1,IF(DATOS!$G10712="OR",--(COUNTIFS(nNIA,DATOS!$A10712,nCURSO,DATOS!$D10712,nESPEC,DATOS!$E10712,nASIG,DATOS!$I10712,nEVAL,"EX")=0),0))))</f>
      </c>
      <c r="H10712">
        <f>IF(DATOS!$G10712&lt;&gt;"EX",0,--(COUNTIFS(nNIA,DATOS!$A10712,nCURSO,DATOS!$D10712,nESPEC,DATOS!$E10712,nASIG,DATOS!$I10712,nEVAL,"OR")=0))</f>
      </c>
      <c r="I10712">
        <f>IF(DATOS!$I10712="","",IFERROR(VLOOKUP(DATOS!$I10712,CONFIG_ASIGNATURAS!$B$2:$J$91,9,FALSE()),""))</f>
      </c>
    </row>
    <row r="10713">
      <c r="F10713">
        <f>IF(DATOS!$A10713="","",DATOS!$A10713&amp;"|"&amp;DATOS!$D10713&amp;"|"&amp;DATOS!$E10713&amp;"|"&amp;DATOS!$I10713)</f>
      </c>
      <c r="G10713">
        <f>IF(DATOS!$A10713="",0,IF(CONFIG_METADATA!$B$4&lt;&gt;"OR+EX",--(DATOS!$G10713=CONFIG_METADATA!$B$4),IF(DATOS!$G10713="EX",1,IF(DATOS!$G10713="OR",--(COUNTIFS(nNIA,DATOS!$A10713,nCURSO,DATOS!$D10713,nESPEC,DATOS!$E10713,nASIG,DATOS!$I10713,nEVAL,"EX")=0),0))))</f>
      </c>
      <c r="H10713">
        <f>IF(DATOS!$G10713&lt;&gt;"EX",0,--(COUNTIFS(nNIA,DATOS!$A10713,nCURSO,DATOS!$D10713,nESPEC,DATOS!$E10713,nASIG,DATOS!$I10713,nEVAL,"OR")=0))</f>
      </c>
      <c r="I10713">
        <f>IF(DATOS!$I10713="","",IFERROR(VLOOKUP(DATOS!$I10713,CONFIG_ASIGNATURAS!$B$2:$J$91,9,FALSE()),""))</f>
      </c>
    </row>
    <row r="10714">
      <c r="F10714">
        <f>IF(DATOS!$A10714="","",DATOS!$A10714&amp;"|"&amp;DATOS!$D10714&amp;"|"&amp;DATOS!$E10714&amp;"|"&amp;DATOS!$I10714)</f>
      </c>
      <c r="G10714">
        <f>IF(DATOS!$A10714="",0,IF(CONFIG_METADATA!$B$4&lt;&gt;"OR+EX",--(DATOS!$G10714=CONFIG_METADATA!$B$4),IF(DATOS!$G10714="EX",1,IF(DATOS!$G10714="OR",--(COUNTIFS(nNIA,DATOS!$A10714,nCURSO,DATOS!$D10714,nESPEC,DATOS!$E10714,nASIG,DATOS!$I10714,nEVAL,"EX")=0),0))))</f>
      </c>
      <c r="H10714">
        <f>IF(DATOS!$G10714&lt;&gt;"EX",0,--(COUNTIFS(nNIA,DATOS!$A10714,nCURSO,DATOS!$D10714,nESPEC,DATOS!$E10714,nASIG,DATOS!$I10714,nEVAL,"OR")=0))</f>
      </c>
      <c r="I10714">
        <f>IF(DATOS!$I10714="","",IFERROR(VLOOKUP(DATOS!$I10714,CONFIG_ASIGNATURAS!$B$2:$J$91,9,FALSE()),""))</f>
      </c>
    </row>
    <row r="10715">
      <c r="F10715">
        <f>IF(DATOS!$A10715="","",DATOS!$A10715&amp;"|"&amp;DATOS!$D10715&amp;"|"&amp;DATOS!$E10715&amp;"|"&amp;DATOS!$I10715)</f>
      </c>
      <c r="G10715">
        <f>IF(DATOS!$A10715="",0,IF(CONFIG_METADATA!$B$4&lt;&gt;"OR+EX",--(DATOS!$G10715=CONFIG_METADATA!$B$4),IF(DATOS!$G10715="EX",1,IF(DATOS!$G10715="OR",--(COUNTIFS(nNIA,DATOS!$A10715,nCURSO,DATOS!$D10715,nESPEC,DATOS!$E10715,nASIG,DATOS!$I10715,nEVAL,"EX")=0),0))))</f>
      </c>
      <c r="H10715">
        <f>IF(DATOS!$G10715&lt;&gt;"EX",0,--(COUNTIFS(nNIA,DATOS!$A10715,nCURSO,DATOS!$D10715,nESPEC,DATOS!$E10715,nASIG,DATOS!$I10715,nEVAL,"OR")=0))</f>
      </c>
      <c r="I10715">
        <f>IF(DATOS!$I10715="","",IFERROR(VLOOKUP(DATOS!$I10715,CONFIG_ASIGNATURAS!$B$2:$J$91,9,FALSE()),""))</f>
      </c>
    </row>
    <row r="10716">
      <c r="F10716">
        <f>IF(DATOS!$A10716="","",DATOS!$A10716&amp;"|"&amp;DATOS!$D10716&amp;"|"&amp;DATOS!$E10716&amp;"|"&amp;DATOS!$I10716)</f>
      </c>
      <c r="G10716">
        <f>IF(DATOS!$A10716="",0,IF(CONFIG_METADATA!$B$4&lt;&gt;"OR+EX",--(DATOS!$G10716=CONFIG_METADATA!$B$4),IF(DATOS!$G10716="EX",1,IF(DATOS!$G10716="OR",--(COUNTIFS(nNIA,DATOS!$A10716,nCURSO,DATOS!$D10716,nESPEC,DATOS!$E10716,nASIG,DATOS!$I10716,nEVAL,"EX")=0),0))))</f>
      </c>
      <c r="H10716">
        <f>IF(DATOS!$G10716&lt;&gt;"EX",0,--(COUNTIFS(nNIA,DATOS!$A10716,nCURSO,DATOS!$D10716,nESPEC,DATOS!$E10716,nASIG,DATOS!$I10716,nEVAL,"OR")=0))</f>
      </c>
      <c r="I10716">
        <f>IF(DATOS!$I10716="","",IFERROR(VLOOKUP(DATOS!$I10716,CONFIG_ASIGNATURAS!$B$2:$J$91,9,FALSE()),""))</f>
      </c>
    </row>
    <row r="10717">
      <c r="F10717">
        <f>IF(DATOS!$A10717="","",DATOS!$A10717&amp;"|"&amp;DATOS!$D10717&amp;"|"&amp;DATOS!$E10717&amp;"|"&amp;DATOS!$I10717)</f>
      </c>
      <c r="G10717">
        <f>IF(DATOS!$A10717="",0,IF(CONFIG_METADATA!$B$4&lt;&gt;"OR+EX",--(DATOS!$G10717=CONFIG_METADATA!$B$4),IF(DATOS!$G10717="EX",1,IF(DATOS!$G10717="OR",--(COUNTIFS(nNIA,DATOS!$A10717,nCURSO,DATOS!$D10717,nESPEC,DATOS!$E10717,nASIG,DATOS!$I10717,nEVAL,"EX")=0),0))))</f>
      </c>
      <c r="H10717">
        <f>IF(DATOS!$G10717&lt;&gt;"EX",0,--(COUNTIFS(nNIA,DATOS!$A10717,nCURSO,DATOS!$D10717,nESPEC,DATOS!$E10717,nASIG,DATOS!$I10717,nEVAL,"OR")=0))</f>
      </c>
      <c r="I10717">
        <f>IF(DATOS!$I10717="","",IFERROR(VLOOKUP(DATOS!$I10717,CONFIG_ASIGNATURAS!$B$2:$J$91,9,FALSE()),""))</f>
      </c>
    </row>
    <row r="10718">
      <c r="F10718">
        <f>IF(DATOS!$A10718="","",DATOS!$A10718&amp;"|"&amp;DATOS!$D10718&amp;"|"&amp;DATOS!$E10718&amp;"|"&amp;DATOS!$I10718)</f>
      </c>
      <c r="G10718">
        <f>IF(DATOS!$A10718="",0,IF(CONFIG_METADATA!$B$4&lt;&gt;"OR+EX",--(DATOS!$G10718=CONFIG_METADATA!$B$4),IF(DATOS!$G10718="EX",1,IF(DATOS!$G10718="OR",--(COUNTIFS(nNIA,DATOS!$A10718,nCURSO,DATOS!$D10718,nESPEC,DATOS!$E10718,nASIG,DATOS!$I10718,nEVAL,"EX")=0),0))))</f>
      </c>
      <c r="H10718">
        <f>IF(DATOS!$G10718&lt;&gt;"EX",0,--(COUNTIFS(nNIA,DATOS!$A10718,nCURSO,DATOS!$D10718,nESPEC,DATOS!$E10718,nASIG,DATOS!$I10718,nEVAL,"OR")=0))</f>
      </c>
      <c r="I10718">
        <f>IF(DATOS!$I10718="","",IFERROR(VLOOKUP(DATOS!$I10718,CONFIG_ASIGNATURAS!$B$2:$J$91,9,FALSE()),""))</f>
      </c>
    </row>
    <row r="10719">
      <c r="F10719">
        <f>IF(DATOS!$A10719="","",DATOS!$A10719&amp;"|"&amp;DATOS!$D10719&amp;"|"&amp;DATOS!$E10719&amp;"|"&amp;DATOS!$I10719)</f>
      </c>
      <c r="G10719">
        <f>IF(DATOS!$A10719="",0,IF(CONFIG_METADATA!$B$4&lt;&gt;"OR+EX",--(DATOS!$G10719=CONFIG_METADATA!$B$4),IF(DATOS!$G10719="EX",1,IF(DATOS!$G10719="OR",--(COUNTIFS(nNIA,DATOS!$A10719,nCURSO,DATOS!$D10719,nESPEC,DATOS!$E10719,nASIG,DATOS!$I10719,nEVAL,"EX")=0),0))))</f>
      </c>
      <c r="H10719">
        <f>IF(DATOS!$G10719&lt;&gt;"EX",0,--(COUNTIFS(nNIA,DATOS!$A10719,nCURSO,DATOS!$D10719,nESPEC,DATOS!$E10719,nASIG,DATOS!$I10719,nEVAL,"OR")=0))</f>
      </c>
      <c r="I10719">
        <f>IF(DATOS!$I10719="","",IFERROR(VLOOKUP(DATOS!$I10719,CONFIG_ASIGNATURAS!$B$2:$J$91,9,FALSE()),""))</f>
      </c>
    </row>
    <row r="10720">
      <c r="F10720">
        <f>IF(DATOS!$A10720="","",DATOS!$A10720&amp;"|"&amp;DATOS!$D10720&amp;"|"&amp;DATOS!$E10720&amp;"|"&amp;DATOS!$I10720)</f>
      </c>
      <c r="G10720">
        <f>IF(DATOS!$A10720="",0,IF(CONFIG_METADATA!$B$4&lt;&gt;"OR+EX",--(DATOS!$G10720=CONFIG_METADATA!$B$4),IF(DATOS!$G10720="EX",1,IF(DATOS!$G10720="OR",--(COUNTIFS(nNIA,DATOS!$A10720,nCURSO,DATOS!$D10720,nESPEC,DATOS!$E10720,nASIG,DATOS!$I10720,nEVAL,"EX")=0),0))))</f>
      </c>
      <c r="H10720">
        <f>IF(DATOS!$G10720&lt;&gt;"EX",0,--(COUNTIFS(nNIA,DATOS!$A10720,nCURSO,DATOS!$D10720,nESPEC,DATOS!$E10720,nASIG,DATOS!$I10720,nEVAL,"OR")=0))</f>
      </c>
      <c r="I10720">
        <f>IF(DATOS!$I10720="","",IFERROR(VLOOKUP(DATOS!$I10720,CONFIG_ASIGNATURAS!$B$2:$J$91,9,FALSE()),""))</f>
      </c>
    </row>
    <row r="10721">
      <c r="F10721">
        <f>IF(DATOS!$A10721="","",DATOS!$A10721&amp;"|"&amp;DATOS!$D10721&amp;"|"&amp;DATOS!$E10721&amp;"|"&amp;DATOS!$I10721)</f>
      </c>
      <c r="G10721">
        <f>IF(DATOS!$A10721="",0,IF(CONFIG_METADATA!$B$4&lt;&gt;"OR+EX",--(DATOS!$G10721=CONFIG_METADATA!$B$4),IF(DATOS!$G10721="EX",1,IF(DATOS!$G10721="OR",--(COUNTIFS(nNIA,DATOS!$A10721,nCURSO,DATOS!$D10721,nESPEC,DATOS!$E10721,nASIG,DATOS!$I10721,nEVAL,"EX")=0),0))))</f>
      </c>
      <c r="H10721">
        <f>IF(DATOS!$G10721&lt;&gt;"EX",0,--(COUNTIFS(nNIA,DATOS!$A10721,nCURSO,DATOS!$D10721,nESPEC,DATOS!$E10721,nASIG,DATOS!$I10721,nEVAL,"OR")=0))</f>
      </c>
      <c r="I10721">
        <f>IF(DATOS!$I10721="","",IFERROR(VLOOKUP(DATOS!$I10721,CONFIG_ASIGNATURAS!$B$2:$J$91,9,FALSE()),""))</f>
      </c>
    </row>
    <row r="10722">
      <c r="F10722">
        <f>IF(DATOS!$A10722="","",DATOS!$A10722&amp;"|"&amp;DATOS!$D10722&amp;"|"&amp;DATOS!$E10722&amp;"|"&amp;DATOS!$I10722)</f>
      </c>
      <c r="G10722">
        <f>IF(DATOS!$A10722="",0,IF(CONFIG_METADATA!$B$4&lt;&gt;"OR+EX",--(DATOS!$G10722=CONFIG_METADATA!$B$4),IF(DATOS!$G10722="EX",1,IF(DATOS!$G10722="OR",--(COUNTIFS(nNIA,DATOS!$A10722,nCURSO,DATOS!$D10722,nESPEC,DATOS!$E10722,nASIG,DATOS!$I10722,nEVAL,"EX")=0),0))))</f>
      </c>
      <c r="H10722">
        <f>IF(DATOS!$G10722&lt;&gt;"EX",0,--(COUNTIFS(nNIA,DATOS!$A10722,nCURSO,DATOS!$D10722,nESPEC,DATOS!$E10722,nASIG,DATOS!$I10722,nEVAL,"OR")=0))</f>
      </c>
      <c r="I10722">
        <f>IF(DATOS!$I10722="","",IFERROR(VLOOKUP(DATOS!$I10722,CONFIG_ASIGNATURAS!$B$2:$J$91,9,FALSE()),""))</f>
      </c>
    </row>
    <row r="10723">
      <c r="F10723">
        <f>IF(DATOS!$A10723="","",DATOS!$A10723&amp;"|"&amp;DATOS!$D10723&amp;"|"&amp;DATOS!$E10723&amp;"|"&amp;DATOS!$I10723)</f>
      </c>
      <c r="G10723">
        <f>IF(DATOS!$A10723="",0,IF(CONFIG_METADATA!$B$4&lt;&gt;"OR+EX",--(DATOS!$G10723=CONFIG_METADATA!$B$4),IF(DATOS!$G10723="EX",1,IF(DATOS!$G10723="OR",--(COUNTIFS(nNIA,DATOS!$A10723,nCURSO,DATOS!$D10723,nESPEC,DATOS!$E10723,nASIG,DATOS!$I10723,nEVAL,"EX")=0),0))))</f>
      </c>
      <c r="H10723">
        <f>IF(DATOS!$G10723&lt;&gt;"EX",0,--(COUNTIFS(nNIA,DATOS!$A10723,nCURSO,DATOS!$D10723,nESPEC,DATOS!$E10723,nASIG,DATOS!$I10723,nEVAL,"OR")=0))</f>
      </c>
      <c r="I10723">
        <f>IF(DATOS!$I10723="","",IFERROR(VLOOKUP(DATOS!$I10723,CONFIG_ASIGNATURAS!$B$2:$J$91,9,FALSE()),""))</f>
      </c>
    </row>
    <row r="10724">
      <c r="F10724">
        <f>IF(DATOS!$A10724="","",DATOS!$A10724&amp;"|"&amp;DATOS!$D10724&amp;"|"&amp;DATOS!$E10724&amp;"|"&amp;DATOS!$I10724)</f>
      </c>
      <c r="G10724">
        <f>IF(DATOS!$A10724="",0,IF(CONFIG_METADATA!$B$4&lt;&gt;"OR+EX",--(DATOS!$G10724=CONFIG_METADATA!$B$4),IF(DATOS!$G10724="EX",1,IF(DATOS!$G10724="OR",--(COUNTIFS(nNIA,DATOS!$A10724,nCURSO,DATOS!$D10724,nESPEC,DATOS!$E10724,nASIG,DATOS!$I10724,nEVAL,"EX")=0),0))))</f>
      </c>
      <c r="H10724">
        <f>IF(DATOS!$G10724&lt;&gt;"EX",0,--(COUNTIFS(nNIA,DATOS!$A10724,nCURSO,DATOS!$D10724,nESPEC,DATOS!$E10724,nASIG,DATOS!$I10724,nEVAL,"OR")=0))</f>
      </c>
      <c r="I10724">
        <f>IF(DATOS!$I10724="","",IFERROR(VLOOKUP(DATOS!$I10724,CONFIG_ASIGNATURAS!$B$2:$J$91,9,FALSE()),""))</f>
      </c>
    </row>
    <row r="10725">
      <c r="F10725">
        <f>IF(DATOS!$A10725="","",DATOS!$A10725&amp;"|"&amp;DATOS!$D10725&amp;"|"&amp;DATOS!$E10725&amp;"|"&amp;DATOS!$I10725)</f>
      </c>
      <c r="G10725">
        <f>IF(DATOS!$A10725="",0,IF(CONFIG_METADATA!$B$4&lt;&gt;"OR+EX",--(DATOS!$G10725=CONFIG_METADATA!$B$4),IF(DATOS!$G10725="EX",1,IF(DATOS!$G10725="OR",--(COUNTIFS(nNIA,DATOS!$A10725,nCURSO,DATOS!$D10725,nESPEC,DATOS!$E10725,nASIG,DATOS!$I10725,nEVAL,"EX")=0),0))))</f>
      </c>
      <c r="H10725">
        <f>IF(DATOS!$G10725&lt;&gt;"EX",0,--(COUNTIFS(nNIA,DATOS!$A10725,nCURSO,DATOS!$D10725,nESPEC,DATOS!$E10725,nASIG,DATOS!$I10725,nEVAL,"OR")=0))</f>
      </c>
      <c r="I10725">
        <f>IF(DATOS!$I10725="","",IFERROR(VLOOKUP(DATOS!$I10725,CONFIG_ASIGNATURAS!$B$2:$J$91,9,FALSE()),""))</f>
      </c>
    </row>
    <row r="10726">
      <c r="F10726">
        <f>IF(DATOS!$A10726="","",DATOS!$A10726&amp;"|"&amp;DATOS!$D10726&amp;"|"&amp;DATOS!$E10726&amp;"|"&amp;DATOS!$I10726)</f>
      </c>
      <c r="G10726">
        <f>IF(DATOS!$A10726="",0,IF(CONFIG_METADATA!$B$4&lt;&gt;"OR+EX",--(DATOS!$G10726=CONFIG_METADATA!$B$4),IF(DATOS!$G10726="EX",1,IF(DATOS!$G10726="OR",--(COUNTIFS(nNIA,DATOS!$A10726,nCURSO,DATOS!$D10726,nESPEC,DATOS!$E10726,nASIG,DATOS!$I10726,nEVAL,"EX")=0),0))))</f>
      </c>
      <c r="H10726">
        <f>IF(DATOS!$G10726&lt;&gt;"EX",0,--(COUNTIFS(nNIA,DATOS!$A10726,nCURSO,DATOS!$D10726,nESPEC,DATOS!$E10726,nASIG,DATOS!$I10726,nEVAL,"OR")=0))</f>
      </c>
      <c r="I10726">
        <f>IF(DATOS!$I10726="","",IFERROR(VLOOKUP(DATOS!$I10726,CONFIG_ASIGNATURAS!$B$2:$J$91,9,FALSE()),""))</f>
      </c>
    </row>
    <row r="10727">
      <c r="F10727">
        <f>IF(DATOS!$A10727="","",DATOS!$A10727&amp;"|"&amp;DATOS!$D10727&amp;"|"&amp;DATOS!$E10727&amp;"|"&amp;DATOS!$I10727)</f>
      </c>
      <c r="G10727">
        <f>IF(DATOS!$A10727="",0,IF(CONFIG_METADATA!$B$4&lt;&gt;"OR+EX",--(DATOS!$G10727=CONFIG_METADATA!$B$4),IF(DATOS!$G10727="EX",1,IF(DATOS!$G10727="OR",--(COUNTIFS(nNIA,DATOS!$A10727,nCURSO,DATOS!$D10727,nESPEC,DATOS!$E10727,nASIG,DATOS!$I10727,nEVAL,"EX")=0),0))))</f>
      </c>
      <c r="H10727">
        <f>IF(DATOS!$G10727&lt;&gt;"EX",0,--(COUNTIFS(nNIA,DATOS!$A10727,nCURSO,DATOS!$D10727,nESPEC,DATOS!$E10727,nASIG,DATOS!$I10727,nEVAL,"OR")=0))</f>
      </c>
      <c r="I10727">
        <f>IF(DATOS!$I10727="","",IFERROR(VLOOKUP(DATOS!$I10727,CONFIG_ASIGNATURAS!$B$2:$J$91,9,FALSE()),""))</f>
      </c>
    </row>
    <row r="10728">
      <c r="F10728">
        <f>IF(DATOS!$A10728="","",DATOS!$A10728&amp;"|"&amp;DATOS!$D10728&amp;"|"&amp;DATOS!$E10728&amp;"|"&amp;DATOS!$I10728)</f>
      </c>
      <c r="G10728">
        <f>IF(DATOS!$A10728="",0,IF(CONFIG_METADATA!$B$4&lt;&gt;"OR+EX",--(DATOS!$G10728=CONFIG_METADATA!$B$4),IF(DATOS!$G10728="EX",1,IF(DATOS!$G10728="OR",--(COUNTIFS(nNIA,DATOS!$A10728,nCURSO,DATOS!$D10728,nESPEC,DATOS!$E10728,nASIG,DATOS!$I10728,nEVAL,"EX")=0),0))))</f>
      </c>
      <c r="H10728">
        <f>IF(DATOS!$G10728&lt;&gt;"EX",0,--(COUNTIFS(nNIA,DATOS!$A10728,nCURSO,DATOS!$D10728,nESPEC,DATOS!$E10728,nASIG,DATOS!$I10728,nEVAL,"OR")=0))</f>
      </c>
      <c r="I10728">
        <f>IF(DATOS!$I10728="","",IFERROR(VLOOKUP(DATOS!$I10728,CONFIG_ASIGNATURAS!$B$2:$J$91,9,FALSE()),""))</f>
      </c>
    </row>
    <row r="10729">
      <c r="F10729">
        <f>IF(DATOS!$A10729="","",DATOS!$A10729&amp;"|"&amp;DATOS!$D10729&amp;"|"&amp;DATOS!$E10729&amp;"|"&amp;DATOS!$I10729)</f>
      </c>
      <c r="G10729">
        <f>IF(DATOS!$A10729="",0,IF(CONFIG_METADATA!$B$4&lt;&gt;"OR+EX",--(DATOS!$G10729=CONFIG_METADATA!$B$4),IF(DATOS!$G10729="EX",1,IF(DATOS!$G10729="OR",--(COUNTIFS(nNIA,DATOS!$A10729,nCURSO,DATOS!$D10729,nESPEC,DATOS!$E10729,nASIG,DATOS!$I10729,nEVAL,"EX")=0),0))))</f>
      </c>
      <c r="H10729">
        <f>IF(DATOS!$G10729&lt;&gt;"EX",0,--(COUNTIFS(nNIA,DATOS!$A10729,nCURSO,DATOS!$D10729,nESPEC,DATOS!$E10729,nASIG,DATOS!$I10729,nEVAL,"OR")=0))</f>
      </c>
      <c r="I10729">
        <f>IF(DATOS!$I10729="","",IFERROR(VLOOKUP(DATOS!$I10729,CONFIG_ASIGNATURAS!$B$2:$J$91,9,FALSE()),""))</f>
      </c>
    </row>
    <row r="10730">
      <c r="F10730">
        <f>IF(DATOS!$A10730="","",DATOS!$A10730&amp;"|"&amp;DATOS!$D10730&amp;"|"&amp;DATOS!$E10730&amp;"|"&amp;DATOS!$I10730)</f>
      </c>
      <c r="G10730">
        <f>IF(DATOS!$A10730="",0,IF(CONFIG_METADATA!$B$4&lt;&gt;"OR+EX",--(DATOS!$G10730=CONFIG_METADATA!$B$4),IF(DATOS!$G10730="EX",1,IF(DATOS!$G10730="OR",--(COUNTIFS(nNIA,DATOS!$A10730,nCURSO,DATOS!$D10730,nESPEC,DATOS!$E10730,nASIG,DATOS!$I10730,nEVAL,"EX")=0),0))))</f>
      </c>
      <c r="H10730">
        <f>IF(DATOS!$G10730&lt;&gt;"EX",0,--(COUNTIFS(nNIA,DATOS!$A10730,nCURSO,DATOS!$D10730,nESPEC,DATOS!$E10730,nASIG,DATOS!$I10730,nEVAL,"OR")=0))</f>
      </c>
      <c r="I10730">
        <f>IF(DATOS!$I10730="","",IFERROR(VLOOKUP(DATOS!$I10730,CONFIG_ASIGNATURAS!$B$2:$J$91,9,FALSE()),""))</f>
      </c>
    </row>
    <row r="10731">
      <c r="F10731">
        <f>IF(DATOS!$A10731="","",DATOS!$A10731&amp;"|"&amp;DATOS!$D10731&amp;"|"&amp;DATOS!$E10731&amp;"|"&amp;DATOS!$I10731)</f>
      </c>
      <c r="G10731">
        <f>IF(DATOS!$A10731="",0,IF(CONFIG_METADATA!$B$4&lt;&gt;"OR+EX",--(DATOS!$G10731=CONFIG_METADATA!$B$4),IF(DATOS!$G10731="EX",1,IF(DATOS!$G10731="OR",--(COUNTIFS(nNIA,DATOS!$A10731,nCURSO,DATOS!$D10731,nESPEC,DATOS!$E10731,nASIG,DATOS!$I10731,nEVAL,"EX")=0),0))))</f>
      </c>
      <c r="H10731">
        <f>IF(DATOS!$G10731&lt;&gt;"EX",0,--(COUNTIFS(nNIA,DATOS!$A10731,nCURSO,DATOS!$D10731,nESPEC,DATOS!$E10731,nASIG,DATOS!$I10731,nEVAL,"OR")=0))</f>
      </c>
      <c r="I10731">
        <f>IF(DATOS!$I10731="","",IFERROR(VLOOKUP(DATOS!$I10731,CONFIG_ASIGNATURAS!$B$2:$J$91,9,FALSE()),""))</f>
      </c>
    </row>
    <row r="10732">
      <c r="F10732">
        <f>IF(DATOS!$A10732="","",DATOS!$A10732&amp;"|"&amp;DATOS!$D10732&amp;"|"&amp;DATOS!$E10732&amp;"|"&amp;DATOS!$I10732)</f>
      </c>
      <c r="G10732">
        <f>IF(DATOS!$A10732="",0,IF(CONFIG_METADATA!$B$4&lt;&gt;"OR+EX",--(DATOS!$G10732=CONFIG_METADATA!$B$4),IF(DATOS!$G10732="EX",1,IF(DATOS!$G10732="OR",--(COUNTIFS(nNIA,DATOS!$A10732,nCURSO,DATOS!$D10732,nESPEC,DATOS!$E10732,nASIG,DATOS!$I10732,nEVAL,"EX")=0),0))))</f>
      </c>
      <c r="H10732">
        <f>IF(DATOS!$G10732&lt;&gt;"EX",0,--(COUNTIFS(nNIA,DATOS!$A10732,nCURSO,DATOS!$D10732,nESPEC,DATOS!$E10732,nASIG,DATOS!$I10732,nEVAL,"OR")=0))</f>
      </c>
      <c r="I10732">
        <f>IF(DATOS!$I10732="","",IFERROR(VLOOKUP(DATOS!$I10732,CONFIG_ASIGNATURAS!$B$2:$J$91,9,FALSE()),""))</f>
      </c>
    </row>
    <row r="10733">
      <c r="F10733">
        <f>IF(DATOS!$A10733="","",DATOS!$A10733&amp;"|"&amp;DATOS!$D10733&amp;"|"&amp;DATOS!$E10733&amp;"|"&amp;DATOS!$I10733)</f>
      </c>
      <c r="G10733">
        <f>IF(DATOS!$A10733="",0,IF(CONFIG_METADATA!$B$4&lt;&gt;"OR+EX",--(DATOS!$G10733=CONFIG_METADATA!$B$4),IF(DATOS!$G10733="EX",1,IF(DATOS!$G10733="OR",--(COUNTIFS(nNIA,DATOS!$A10733,nCURSO,DATOS!$D10733,nESPEC,DATOS!$E10733,nASIG,DATOS!$I10733,nEVAL,"EX")=0),0))))</f>
      </c>
      <c r="H10733">
        <f>IF(DATOS!$G10733&lt;&gt;"EX",0,--(COUNTIFS(nNIA,DATOS!$A10733,nCURSO,DATOS!$D10733,nESPEC,DATOS!$E10733,nASIG,DATOS!$I10733,nEVAL,"OR")=0))</f>
      </c>
      <c r="I10733">
        <f>IF(DATOS!$I10733="","",IFERROR(VLOOKUP(DATOS!$I10733,CONFIG_ASIGNATURAS!$B$2:$J$91,9,FALSE()),""))</f>
      </c>
    </row>
    <row r="10734">
      <c r="F10734">
        <f>IF(DATOS!$A10734="","",DATOS!$A10734&amp;"|"&amp;DATOS!$D10734&amp;"|"&amp;DATOS!$E10734&amp;"|"&amp;DATOS!$I10734)</f>
      </c>
      <c r="G10734">
        <f>IF(DATOS!$A10734="",0,IF(CONFIG_METADATA!$B$4&lt;&gt;"OR+EX",--(DATOS!$G10734=CONFIG_METADATA!$B$4),IF(DATOS!$G10734="EX",1,IF(DATOS!$G10734="OR",--(COUNTIFS(nNIA,DATOS!$A10734,nCURSO,DATOS!$D10734,nESPEC,DATOS!$E10734,nASIG,DATOS!$I10734,nEVAL,"EX")=0),0))))</f>
      </c>
      <c r="H10734">
        <f>IF(DATOS!$G10734&lt;&gt;"EX",0,--(COUNTIFS(nNIA,DATOS!$A10734,nCURSO,DATOS!$D10734,nESPEC,DATOS!$E10734,nASIG,DATOS!$I10734,nEVAL,"OR")=0))</f>
      </c>
      <c r="I10734">
        <f>IF(DATOS!$I10734="","",IFERROR(VLOOKUP(DATOS!$I10734,CONFIG_ASIGNATURAS!$B$2:$J$91,9,FALSE()),""))</f>
      </c>
    </row>
    <row r="10735">
      <c r="F10735">
        <f>IF(DATOS!$A10735="","",DATOS!$A10735&amp;"|"&amp;DATOS!$D10735&amp;"|"&amp;DATOS!$E10735&amp;"|"&amp;DATOS!$I10735)</f>
      </c>
      <c r="G10735">
        <f>IF(DATOS!$A10735="",0,IF(CONFIG_METADATA!$B$4&lt;&gt;"OR+EX",--(DATOS!$G10735=CONFIG_METADATA!$B$4),IF(DATOS!$G10735="EX",1,IF(DATOS!$G10735="OR",--(COUNTIFS(nNIA,DATOS!$A10735,nCURSO,DATOS!$D10735,nESPEC,DATOS!$E10735,nASIG,DATOS!$I10735,nEVAL,"EX")=0),0))))</f>
      </c>
      <c r="H10735">
        <f>IF(DATOS!$G10735&lt;&gt;"EX",0,--(COUNTIFS(nNIA,DATOS!$A10735,nCURSO,DATOS!$D10735,nESPEC,DATOS!$E10735,nASIG,DATOS!$I10735,nEVAL,"OR")=0))</f>
      </c>
      <c r="I10735">
        <f>IF(DATOS!$I10735="","",IFERROR(VLOOKUP(DATOS!$I10735,CONFIG_ASIGNATURAS!$B$2:$J$91,9,FALSE()),""))</f>
      </c>
    </row>
    <row r="10736">
      <c r="F10736">
        <f>IF(DATOS!$A10736="","",DATOS!$A10736&amp;"|"&amp;DATOS!$D10736&amp;"|"&amp;DATOS!$E10736&amp;"|"&amp;DATOS!$I10736)</f>
      </c>
      <c r="G10736">
        <f>IF(DATOS!$A10736="",0,IF(CONFIG_METADATA!$B$4&lt;&gt;"OR+EX",--(DATOS!$G10736=CONFIG_METADATA!$B$4),IF(DATOS!$G10736="EX",1,IF(DATOS!$G10736="OR",--(COUNTIFS(nNIA,DATOS!$A10736,nCURSO,DATOS!$D10736,nESPEC,DATOS!$E10736,nASIG,DATOS!$I10736,nEVAL,"EX")=0),0))))</f>
      </c>
      <c r="H10736">
        <f>IF(DATOS!$G10736&lt;&gt;"EX",0,--(COUNTIFS(nNIA,DATOS!$A10736,nCURSO,DATOS!$D10736,nESPEC,DATOS!$E10736,nASIG,DATOS!$I10736,nEVAL,"OR")=0))</f>
      </c>
      <c r="I10736">
        <f>IF(DATOS!$I10736="","",IFERROR(VLOOKUP(DATOS!$I10736,CONFIG_ASIGNATURAS!$B$2:$J$91,9,FALSE()),""))</f>
      </c>
    </row>
    <row r="10737">
      <c r="F10737">
        <f>IF(DATOS!$A10737="","",DATOS!$A10737&amp;"|"&amp;DATOS!$D10737&amp;"|"&amp;DATOS!$E10737&amp;"|"&amp;DATOS!$I10737)</f>
      </c>
      <c r="G10737">
        <f>IF(DATOS!$A10737="",0,IF(CONFIG_METADATA!$B$4&lt;&gt;"OR+EX",--(DATOS!$G10737=CONFIG_METADATA!$B$4),IF(DATOS!$G10737="EX",1,IF(DATOS!$G10737="OR",--(COUNTIFS(nNIA,DATOS!$A10737,nCURSO,DATOS!$D10737,nESPEC,DATOS!$E10737,nASIG,DATOS!$I10737,nEVAL,"EX")=0),0))))</f>
      </c>
      <c r="H10737">
        <f>IF(DATOS!$G10737&lt;&gt;"EX",0,--(COUNTIFS(nNIA,DATOS!$A10737,nCURSO,DATOS!$D10737,nESPEC,DATOS!$E10737,nASIG,DATOS!$I10737,nEVAL,"OR")=0))</f>
      </c>
      <c r="I10737">
        <f>IF(DATOS!$I10737="","",IFERROR(VLOOKUP(DATOS!$I10737,CONFIG_ASIGNATURAS!$B$2:$J$91,9,FALSE()),""))</f>
      </c>
    </row>
    <row r="10738">
      <c r="F10738">
        <f>IF(DATOS!$A10738="","",DATOS!$A10738&amp;"|"&amp;DATOS!$D10738&amp;"|"&amp;DATOS!$E10738&amp;"|"&amp;DATOS!$I10738)</f>
      </c>
      <c r="G10738">
        <f>IF(DATOS!$A10738="",0,IF(CONFIG_METADATA!$B$4&lt;&gt;"OR+EX",--(DATOS!$G10738=CONFIG_METADATA!$B$4),IF(DATOS!$G10738="EX",1,IF(DATOS!$G10738="OR",--(COUNTIFS(nNIA,DATOS!$A10738,nCURSO,DATOS!$D10738,nESPEC,DATOS!$E10738,nASIG,DATOS!$I10738,nEVAL,"EX")=0),0))))</f>
      </c>
      <c r="H10738">
        <f>IF(DATOS!$G10738&lt;&gt;"EX",0,--(COUNTIFS(nNIA,DATOS!$A10738,nCURSO,DATOS!$D10738,nESPEC,DATOS!$E10738,nASIG,DATOS!$I10738,nEVAL,"OR")=0))</f>
      </c>
      <c r="I10738">
        <f>IF(DATOS!$I10738="","",IFERROR(VLOOKUP(DATOS!$I10738,CONFIG_ASIGNATURAS!$B$2:$J$91,9,FALSE()),""))</f>
      </c>
    </row>
    <row r="10739">
      <c r="F10739">
        <f>IF(DATOS!$A10739="","",DATOS!$A10739&amp;"|"&amp;DATOS!$D10739&amp;"|"&amp;DATOS!$E10739&amp;"|"&amp;DATOS!$I10739)</f>
      </c>
      <c r="G10739">
        <f>IF(DATOS!$A10739="",0,IF(CONFIG_METADATA!$B$4&lt;&gt;"OR+EX",--(DATOS!$G10739=CONFIG_METADATA!$B$4),IF(DATOS!$G10739="EX",1,IF(DATOS!$G10739="OR",--(COUNTIFS(nNIA,DATOS!$A10739,nCURSO,DATOS!$D10739,nESPEC,DATOS!$E10739,nASIG,DATOS!$I10739,nEVAL,"EX")=0),0))))</f>
      </c>
      <c r="H10739">
        <f>IF(DATOS!$G10739&lt;&gt;"EX",0,--(COUNTIFS(nNIA,DATOS!$A10739,nCURSO,DATOS!$D10739,nESPEC,DATOS!$E10739,nASIG,DATOS!$I10739,nEVAL,"OR")=0))</f>
      </c>
      <c r="I10739">
        <f>IF(DATOS!$I10739="","",IFERROR(VLOOKUP(DATOS!$I10739,CONFIG_ASIGNATURAS!$B$2:$J$91,9,FALSE()),""))</f>
      </c>
    </row>
    <row r="10740">
      <c r="F10740">
        <f>IF(DATOS!$A10740="","",DATOS!$A10740&amp;"|"&amp;DATOS!$D10740&amp;"|"&amp;DATOS!$E10740&amp;"|"&amp;DATOS!$I10740)</f>
      </c>
      <c r="G10740">
        <f>IF(DATOS!$A10740="",0,IF(CONFIG_METADATA!$B$4&lt;&gt;"OR+EX",--(DATOS!$G10740=CONFIG_METADATA!$B$4),IF(DATOS!$G10740="EX",1,IF(DATOS!$G10740="OR",--(COUNTIFS(nNIA,DATOS!$A10740,nCURSO,DATOS!$D10740,nESPEC,DATOS!$E10740,nASIG,DATOS!$I10740,nEVAL,"EX")=0),0))))</f>
      </c>
      <c r="H10740">
        <f>IF(DATOS!$G10740&lt;&gt;"EX",0,--(COUNTIFS(nNIA,DATOS!$A10740,nCURSO,DATOS!$D10740,nESPEC,DATOS!$E10740,nASIG,DATOS!$I10740,nEVAL,"OR")=0))</f>
      </c>
      <c r="I10740">
        <f>IF(DATOS!$I10740="","",IFERROR(VLOOKUP(DATOS!$I10740,CONFIG_ASIGNATURAS!$B$2:$J$91,9,FALSE()),""))</f>
      </c>
    </row>
    <row r="10741">
      <c r="F10741">
        <f>IF(DATOS!$A10741="","",DATOS!$A10741&amp;"|"&amp;DATOS!$D10741&amp;"|"&amp;DATOS!$E10741&amp;"|"&amp;DATOS!$I10741)</f>
      </c>
      <c r="G10741">
        <f>IF(DATOS!$A10741="",0,IF(CONFIG_METADATA!$B$4&lt;&gt;"OR+EX",--(DATOS!$G10741=CONFIG_METADATA!$B$4),IF(DATOS!$G10741="EX",1,IF(DATOS!$G10741="OR",--(COUNTIFS(nNIA,DATOS!$A10741,nCURSO,DATOS!$D10741,nESPEC,DATOS!$E10741,nASIG,DATOS!$I10741,nEVAL,"EX")=0),0))))</f>
      </c>
      <c r="H10741">
        <f>IF(DATOS!$G10741&lt;&gt;"EX",0,--(COUNTIFS(nNIA,DATOS!$A10741,nCURSO,DATOS!$D10741,nESPEC,DATOS!$E10741,nASIG,DATOS!$I10741,nEVAL,"OR")=0))</f>
      </c>
      <c r="I10741">
        <f>IF(DATOS!$I10741="","",IFERROR(VLOOKUP(DATOS!$I10741,CONFIG_ASIGNATURAS!$B$2:$J$91,9,FALSE()),""))</f>
      </c>
    </row>
    <row r="10742">
      <c r="F10742">
        <f>IF(DATOS!$A10742="","",DATOS!$A10742&amp;"|"&amp;DATOS!$D10742&amp;"|"&amp;DATOS!$E10742&amp;"|"&amp;DATOS!$I10742)</f>
      </c>
      <c r="G10742">
        <f>IF(DATOS!$A10742="",0,IF(CONFIG_METADATA!$B$4&lt;&gt;"OR+EX",--(DATOS!$G10742=CONFIG_METADATA!$B$4),IF(DATOS!$G10742="EX",1,IF(DATOS!$G10742="OR",--(COUNTIFS(nNIA,DATOS!$A10742,nCURSO,DATOS!$D10742,nESPEC,DATOS!$E10742,nASIG,DATOS!$I10742,nEVAL,"EX")=0),0))))</f>
      </c>
      <c r="H10742">
        <f>IF(DATOS!$G10742&lt;&gt;"EX",0,--(COUNTIFS(nNIA,DATOS!$A10742,nCURSO,DATOS!$D10742,nESPEC,DATOS!$E10742,nASIG,DATOS!$I10742,nEVAL,"OR")=0))</f>
      </c>
      <c r="I10742">
        <f>IF(DATOS!$I10742="","",IFERROR(VLOOKUP(DATOS!$I10742,CONFIG_ASIGNATURAS!$B$2:$J$91,9,FALSE()),""))</f>
      </c>
    </row>
    <row r="10743">
      <c r="F10743">
        <f>IF(DATOS!$A10743="","",DATOS!$A10743&amp;"|"&amp;DATOS!$D10743&amp;"|"&amp;DATOS!$E10743&amp;"|"&amp;DATOS!$I10743)</f>
      </c>
      <c r="G10743">
        <f>IF(DATOS!$A10743="",0,IF(CONFIG_METADATA!$B$4&lt;&gt;"OR+EX",--(DATOS!$G10743=CONFIG_METADATA!$B$4),IF(DATOS!$G10743="EX",1,IF(DATOS!$G10743="OR",--(COUNTIFS(nNIA,DATOS!$A10743,nCURSO,DATOS!$D10743,nESPEC,DATOS!$E10743,nASIG,DATOS!$I10743,nEVAL,"EX")=0),0))))</f>
      </c>
      <c r="H10743">
        <f>IF(DATOS!$G10743&lt;&gt;"EX",0,--(COUNTIFS(nNIA,DATOS!$A10743,nCURSO,DATOS!$D10743,nESPEC,DATOS!$E10743,nASIG,DATOS!$I10743,nEVAL,"OR")=0))</f>
      </c>
      <c r="I10743">
        <f>IF(DATOS!$I10743="","",IFERROR(VLOOKUP(DATOS!$I10743,CONFIG_ASIGNATURAS!$B$2:$J$91,9,FALSE()),""))</f>
      </c>
    </row>
    <row r="10744">
      <c r="F10744">
        <f>IF(DATOS!$A10744="","",DATOS!$A10744&amp;"|"&amp;DATOS!$D10744&amp;"|"&amp;DATOS!$E10744&amp;"|"&amp;DATOS!$I10744)</f>
      </c>
      <c r="G10744">
        <f>IF(DATOS!$A10744="",0,IF(CONFIG_METADATA!$B$4&lt;&gt;"OR+EX",--(DATOS!$G10744=CONFIG_METADATA!$B$4),IF(DATOS!$G10744="EX",1,IF(DATOS!$G10744="OR",--(COUNTIFS(nNIA,DATOS!$A10744,nCURSO,DATOS!$D10744,nESPEC,DATOS!$E10744,nASIG,DATOS!$I10744,nEVAL,"EX")=0),0))))</f>
      </c>
      <c r="H10744">
        <f>IF(DATOS!$G10744&lt;&gt;"EX",0,--(COUNTIFS(nNIA,DATOS!$A10744,nCURSO,DATOS!$D10744,nESPEC,DATOS!$E10744,nASIG,DATOS!$I10744,nEVAL,"OR")=0))</f>
      </c>
      <c r="I10744">
        <f>IF(DATOS!$I10744="","",IFERROR(VLOOKUP(DATOS!$I10744,CONFIG_ASIGNATURAS!$B$2:$J$91,9,FALSE()),""))</f>
      </c>
    </row>
    <row r="10745">
      <c r="F10745">
        <f>IF(DATOS!$A10745="","",DATOS!$A10745&amp;"|"&amp;DATOS!$D10745&amp;"|"&amp;DATOS!$E10745&amp;"|"&amp;DATOS!$I10745)</f>
      </c>
      <c r="G10745">
        <f>IF(DATOS!$A10745="",0,IF(CONFIG_METADATA!$B$4&lt;&gt;"OR+EX",--(DATOS!$G10745=CONFIG_METADATA!$B$4),IF(DATOS!$G10745="EX",1,IF(DATOS!$G10745="OR",--(COUNTIFS(nNIA,DATOS!$A10745,nCURSO,DATOS!$D10745,nESPEC,DATOS!$E10745,nASIG,DATOS!$I10745,nEVAL,"EX")=0),0))))</f>
      </c>
      <c r="H10745">
        <f>IF(DATOS!$G10745&lt;&gt;"EX",0,--(COUNTIFS(nNIA,DATOS!$A10745,nCURSO,DATOS!$D10745,nESPEC,DATOS!$E10745,nASIG,DATOS!$I10745,nEVAL,"OR")=0))</f>
      </c>
      <c r="I10745">
        <f>IF(DATOS!$I10745="","",IFERROR(VLOOKUP(DATOS!$I10745,CONFIG_ASIGNATURAS!$B$2:$J$91,9,FALSE()),""))</f>
      </c>
    </row>
    <row r="10746">
      <c r="F10746">
        <f>IF(DATOS!$A10746="","",DATOS!$A10746&amp;"|"&amp;DATOS!$D10746&amp;"|"&amp;DATOS!$E10746&amp;"|"&amp;DATOS!$I10746)</f>
      </c>
      <c r="G10746">
        <f>IF(DATOS!$A10746="",0,IF(CONFIG_METADATA!$B$4&lt;&gt;"OR+EX",--(DATOS!$G10746=CONFIG_METADATA!$B$4),IF(DATOS!$G10746="EX",1,IF(DATOS!$G10746="OR",--(COUNTIFS(nNIA,DATOS!$A10746,nCURSO,DATOS!$D10746,nESPEC,DATOS!$E10746,nASIG,DATOS!$I10746,nEVAL,"EX")=0),0))))</f>
      </c>
      <c r="H10746">
        <f>IF(DATOS!$G10746&lt;&gt;"EX",0,--(COUNTIFS(nNIA,DATOS!$A10746,nCURSO,DATOS!$D10746,nESPEC,DATOS!$E10746,nASIG,DATOS!$I10746,nEVAL,"OR")=0))</f>
      </c>
      <c r="I10746">
        <f>IF(DATOS!$I10746="","",IFERROR(VLOOKUP(DATOS!$I10746,CONFIG_ASIGNATURAS!$B$2:$J$91,9,FALSE()),""))</f>
      </c>
    </row>
    <row r="10747">
      <c r="F10747">
        <f>IF(DATOS!$A10747="","",DATOS!$A10747&amp;"|"&amp;DATOS!$D10747&amp;"|"&amp;DATOS!$E10747&amp;"|"&amp;DATOS!$I10747)</f>
      </c>
      <c r="G10747">
        <f>IF(DATOS!$A10747="",0,IF(CONFIG_METADATA!$B$4&lt;&gt;"OR+EX",--(DATOS!$G10747=CONFIG_METADATA!$B$4),IF(DATOS!$G10747="EX",1,IF(DATOS!$G10747="OR",--(COUNTIFS(nNIA,DATOS!$A10747,nCURSO,DATOS!$D10747,nESPEC,DATOS!$E10747,nASIG,DATOS!$I10747,nEVAL,"EX")=0),0))))</f>
      </c>
      <c r="H10747">
        <f>IF(DATOS!$G10747&lt;&gt;"EX",0,--(COUNTIFS(nNIA,DATOS!$A10747,nCURSO,DATOS!$D10747,nESPEC,DATOS!$E10747,nASIG,DATOS!$I10747,nEVAL,"OR")=0))</f>
      </c>
      <c r="I10747">
        <f>IF(DATOS!$I10747="","",IFERROR(VLOOKUP(DATOS!$I10747,CONFIG_ASIGNATURAS!$B$2:$J$91,9,FALSE()),""))</f>
      </c>
    </row>
    <row r="10748">
      <c r="F10748">
        <f>IF(DATOS!$A10748="","",DATOS!$A10748&amp;"|"&amp;DATOS!$D10748&amp;"|"&amp;DATOS!$E10748&amp;"|"&amp;DATOS!$I10748)</f>
      </c>
      <c r="G10748">
        <f>IF(DATOS!$A10748="",0,IF(CONFIG_METADATA!$B$4&lt;&gt;"OR+EX",--(DATOS!$G10748=CONFIG_METADATA!$B$4),IF(DATOS!$G10748="EX",1,IF(DATOS!$G10748="OR",--(COUNTIFS(nNIA,DATOS!$A10748,nCURSO,DATOS!$D10748,nESPEC,DATOS!$E10748,nASIG,DATOS!$I10748,nEVAL,"EX")=0),0))))</f>
      </c>
      <c r="H10748">
        <f>IF(DATOS!$G10748&lt;&gt;"EX",0,--(COUNTIFS(nNIA,DATOS!$A10748,nCURSO,DATOS!$D10748,nESPEC,DATOS!$E10748,nASIG,DATOS!$I10748,nEVAL,"OR")=0))</f>
      </c>
      <c r="I10748">
        <f>IF(DATOS!$I10748="","",IFERROR(VLOOKUP(DATOS!$I10748,CONFIG_ASIGNATURAS!$B$2:$J$91,9,FALSE()),""))</f>
      </c>
    </row>
    <row r="10749">
      <c r="F10749">
        <f>IF(DATOS!$A10749="","",DATOS!$A10749&amp;"|"&amp;DATOS!$D10749&amp;"|"&amp;DATOS!$E10749&amp;"|"&amp;DATOS!$I10749)</f>
      </c>
      <c r="G10749">
        <f>IF(DATOS!$A10749="",0,IF(CONFIG_METADATA!$B$4&lt;&gt;"OR+EX",--(DATOS!$G10749=CONFIG_METADATA!$B$4),IF(DATOS!$G10749="EX",1,IF(DATOS!$G10749="OR",--(COUNTIFS(nNIA,DATOS!$A10749,nCURSO,DATOS!$D10749,nESPEC,DATOS!$E10749,nASIG,DATOS!$I10749,nEVAL,"EX")=0),0))))</f>
      </c>
      <c r="H10749">
        <f>IF(DATOS!$G10749&lt;&gt;"EX",0,--(COUNTIFS(nNIA,DATOS!$A10749,nCURSO,DATOS!$D10749,nESPEC,DATOS!$E10749,nASIG,DATOS!$I10749,nEVAL,"OR")=0))</f>
      </c>
      <c r="I10749">
        <f>IF(DATOS!$I10749="","",IFERROR(VLOOKUP(DATOS!$I10749,CONFIG_ASIGNATURAS!$B$2:$J$91,9,FALSE()),""))</f>
      </c>
    </row>
    <row r="10750">
      <c r="F10750">
        <f>IF(DATOS!$A10750="","",DATOS!$A10750&amp;"|"&amp;DATOS!$D10750&amp;"|"&amp;DATOS!$E10750&amp;"|"&amp;DATOS!$I10750)</f>
      </c>
      <c r="G10750">
        <f>IF(DATOS!$A10750="",0,IF(CONFIG_METADATA!$B$4&lt;&gt;"OR+EX",--(DATOS!$G10750=CONFIG_METADATA!$B$4),IF(DATOS!$G10750="EX",1,IF(DATOS!$G10750="OR",--(COUNTIFS(nNIA,DATOS!$A10750,nCURSO,DATOS!$D10750,nESPEC,DATOS!$E10750,nASIG,DATOS!$I10750,nEVAL,"EX")=0),0))))</f>
      </c>
      <c r="H10750">
        <f>IF(DATOS!$G10750&lt;&gt;"EX",0,--(COUNTIFS(nNIA,DATOS!$A10750,nCURSO,DATOS!$D10750,nESPEC,DATOS!$E10750,nASIG,DATOS!$I10750,nEVAL,"OR")=0))</f>
      </c>
      <c r="I10750">
        <f>IF(DATOS!$I10750="","",IFERROR(VLOOKUP(DATOS!$I10750,CONFIG_ASIGNATURAS!$B$2:$J$91,9,FALSE()),""))</f>
      </c>
    </row>
    <row r="10751">
      <c r="F10751">
        <f>IF(DATOS!$A10751="","",DATOS!$A10751&amp;"|"&amp;DATOS!$D10751&amp;"|"&amp;DATOS!$E10751&amp;"|"&amp;DATOS!$I10751)</f>
      </c>
      <c r="G10751">
        <f>IF(DATOS!$A10751="",0,IF(CONFIG_METADATA!$B$4&lt;&gt;"OR+EX",--(DATOS!$G10751=CONFIG_METADATA!$B$4),IF(DATOS!$G10751="EX",1,IF(DATOS!$G10751="OR",--(COUNTIFS(nNIA,DATOS!$A10751,nCURSO,DATOS!$D10751,nESPEC,DATOS!$E10751,nASIG,DATOS!$I10751,nEVAL,"EX")=0),0))))</f>
      </c>
      <c r="H10751">
        <f>IF(DATOS!$G10751&lt;&gt;"EX",0,--(COUNTIFS(nNIA,DATOS!$A10751,nCURSO,DATOS!$D10751,nESPEC,DATOS!$E10751,nASIG,DATOS!$I10751,nEVAL,"OR")=0))</f>
      </c>
      <c r="I10751">
        <f>IF(DATOS!$I10751="","",IFERROR(VLOOKUP(DATOS!$I10751,CONFIG_ASIGNATURAS!$B$2:$J$91,9,FALSE()),""))</f>
      </c>
    </row>
    <row r="10752">
      <c r="F10752">
        <f>IF(DATOS!$A10752="","",DATOS!$A10752&amp;"|"&amp;DATOS!$D10752&amp;"|"&amp;DATOS!$E10752&amp;"|"&amp;DATOS!$I10752)</f>
      </c>
      <c r="G10752">
        <f>IF(DATOS!$A10752="",0,IF(CONFIG_METADATA!$B$4&lt;&gt;"OR+EX",--(DATOS!$G10752=CONFIG_METADATA!$B$4),IF(DATOS!$G10752="EX",1,IF(DATOS!$G10752="OR",--(COUNTIFS(nNIA,DATOS!$A10752,nCURSO,DATOS!$D10752,nESPEC,DATOS!$E10752,nASIG,DATOS!$I10752,nEVAL,"EX")=0),0))))</f>
      </c>
      <c r="H10752">
        <f>IF(DATOS!$G10752&lt;&gt;"EX",0,--(COUNTIFS(nNIA,DATOS!$A10752,nCURSO,DATOS!$D10752,nESPEC,DATOS!$E10752,nASIG,DATOS!$I10752,nEVAL,"OR")=0))</f>
      </c>
      <c r="I10752">
        <f>IF(DATOS!$I10752="","",IFERROR(VLOOKUP(DATOS!$I10752,CONFIG_ASIGNATURAS!$B$2:$J$91,9,FALSE()),""))</f>
      </c>
    </row>
    <row r="10753">
      <c r="F10753">
        <f>IF(DATOS!$A10753="","",DATOS!$A10753&amp;"|"&amp;DATOS!$D10753&amp;"|"&amp;DATOS!$E10753&amp;"|"&amp;DATOS!$I10753)</f>
      </c>
      <c r="G10753">
        <f>IF(DATOS!$A10753="",0,IF(CONFIG_METADATA!$B$4&lt;&gt;"OR+EX",--(DATOS!$G10753=CONFIG_METADATA!$B$4),IF(DATOS!$G10753="EX",1,IF(DATOS!$G10753="OR",--(COUNTIFS(nNIA,DATOS!$A10753,nCURSO,DATOS!$D10753,nESPEC,DATOS!$E10753,nASIG,DATOS!$I10753,nEVAL,"EX")=0),0))))</f>
      </c>
      <c r="H10753">
        <f>IF(DATOS!$G10753&lt;&gt;"EX",0,--(COUNTIFS(nNIA,DATOS!$A10753,nCURSO,DATOS!$D10753,nESPEC,DATOS!$E10753,nASIG,DATOS!$I10753,nEVAL,"OR")=0))</f>
      </c>
      <c r="I10753">
        <f>IF(DATOS!$I10753="","",IFERROR(VLOOKUP(DATOS!$I10753,CONFIG_ASIGNATURAS!$B$2:$J$91,9,FALSE()),""))</f>
      </c>
    </row>
    <row r="10754">
      <c r="F10754">
        <f>IF(DATOS!$A10754="","",DATOS!$A10754&amp;"|"&amp;DATOS!$D10754&amp;"|"&amp;DATOS!$E10754&amp;"|"&amp;DATOS!$I10754)</f>
      </c>
      <c r="G10754">
        <f>IF(DATOS!$A10754="",0,IF(CONFIG_METADATA!$B$4&lt;&gt;"OR+EX",--(DATOS!$G10754=CONFIG_METADATA!$B$4),IF(DATOS!$G10754="EX",1,IF(DATOS!$G10754="OR",--(COUNTIFS(nNIA,DATOS!$A10754,nCURSO,DATOS!$D10754,nESPEC,DATOS!$E10754,nASIG,DATOS!$I10754,nEVAL,"EX")=0),0))))</f>
      </c>
      <c r="H10754">
        <f>IF(DATOS!$G10754&lt;&gt;"EX",0,--(COUNTIFS(nNIA,DATOS!$A10754,nCURSO,DATOS!$D10754,nESPEC,DATOS!$E10754,nASIG,DATOS!$I10754,nEVAL,"OR")=0))</f>
      </c>
      <c r="I10754">
        <f>IF(DATOS!$I10754="","",IFERROR(VLOOKUP(DATOS!$I10754,CONFIG_ASIGNATURAS!$B$2:$J$91,9,FALSE()),""))</f>
      </c>
    </row>
    <row r="10755">
      <c r="F10755">
        <f>IF(DATOS!$A10755="","",DATOS!$A10755&amp;"|"&amp;DATOS!$D10755&amp;"|"&amp;DATOS!$E10755&amp;"|"&amp;DATOS!$I10755)</f>
      </c>
      <c r="G10755">
        <f>IF(DATOS!$A10755="",0,IF(CONFIG_METADATA!$B$4&lt;&gt;"OR+EX",--(DATOS!$G10755=CONFIG_METADATA!$B$4),IF(DATOS!$G10755="EX",1,IF(DATOS!$G10755="OR",--(COUNTIFS(nNIA,DATOS!$A10755,nCURSO,DATOS!$D10755,nESPEC,DATOS!$E10755,nASIG,DATOS!$I10755,nEVAL,"EX")=0),0))))</f>
      </c>
      <c r="H10755">
        <f>IF(DATOS!$G10755&lt;&gt;"EX",0,--(COUNTIFS(nNIA,DATOS!$A10755,nCURSO,DATOS!$D10755,nESPEC,DATOS!$E10755,nASIG,DATOS!$I10755,nEVAL,"OR")=0))</f>
      </c>
      <c r="I10755">
        <f>IF(DATOS!$I10755="","",IFERROR(VLOOKUP(DATOS!$I10755,CONFIG_ASIGNATURAS!$B$2:$J$91,9,FALSE()),""))</f>
      </c>
    </row>
    <row r="10756">
      <c r="F10756">
        <f>IF(DATOS!$A10756="","",DATOS!$A10756&amp;"|"&amp;DATOS!$D10756&amp;"|"&amp;DATOS!$E10756&amp;"|"&amp;DATOS!$I10756)</f>
      </c>
      <c r="G10756">
        <f>IF(DATOS!$A10756="",0,IF(CONFIG_METADATA!$B$4&lt;&gt;"OR+EX",--(DATOS!$G10756=CONFIG_METADATA!$B$4),IF(DATOS!$G10756="EX",1,IF(DATOS!$G10756="OR",--(COUNTIFS(nNIA,DATOS!$A10756,nCURSO,DATOS!$D10756,nESPEC,DATOS!$E10756,nASIG,DATOS!$I10756,nEVAL,"EX")=0),0))))</f>
      </c>
      <c r="H10756">
        <f>IF(DATOS!$G10756&lt;&gt;"EX",0,--(COUNTIFS(nNIA,DATOS!$A10756,nCURSO,DATOS!$D10756,nESPEC,DATOS!$E10756,nASIG,DATOS!$I10756,nEVAL,"OR")=0))</f>
      </c>
      <c r="I10756">
        <f>IF(DATOS!$I10756="","",IFERROR(VLOOKUP(DATOS!$I10756,CONFIG_ASIGNATURAS!$B$2:$J$91,9,FALSE()),""))</f>
      </c>
    </row>
    <row r="10757">
      <c r="F10757">
        <f>IF(DATOS!$A10757="","",DATOS!$A10757&amp;"|"&amp;DATOS!$D10757&amp;"|"&amp;DATOS!$E10757&amp;"|"&amp;DATOS!$I10757)</f>
      </c>
      <c r="G10757">
        <f>IF(DATOS!$A10757="",0,IF(CONFIG_METADATA!$B$4&lt;&gt;"OR+EX",--(DATOS!$G10757=CONFIG_METADATA!$B$4),IF(DATOS!$G10757="EX",1,IF(DATOS!$G10757="OR",--(COUNTIFS(nNIA,DATOS!$A10757,nCURSO,DATOS!$D10757,nESPEC,DATOS!$E10757,nASIG,DATOS!$I10757,nEVAL,"EX")=0),0))))</f>
      </c>
      <c r="H10757">
        <f>IF(DATOS!$G10757&lt;&gt;"EX",0,--(COUNTIFS(nNIA,DATOS!$A10757,nCURSO,DATOS!$D10757,nESPEC,DATOS!$E10757,nASIG,DATOS!$I10757,nEVAL,"OR")=0))</f>
      </c>
      <c r="I10757">
        <f>IF(DATOS!$I10757="","",IFERROR(VLOOKUP(DATOS!$I10757,CONFIG_ASIGNATURAS!$B$2:$J$91,9,FALSE()),""))</f>
      </c>
    </row>
    <row r="10758">
      <c r="F10758">
        <f>IF(DATOS!$A10758="","",DATOS!$A10758&amp;"|"&amp;DATOS!$D10758&amp;"|"&amp;DATOS!$E10758&amp;"|"&amp;DATOS!$I10758)</f>
      </c>
      <c r="G10758">
        <f>IF(DATOS!$A10758="",0,IF(CONFIG_METADATA!$B$4&lt;&gt;"OR+EX",--(DATOS!$G10758=CONFIG_METADATA!$B$4),IF(DATOS!$G10758="EX",1,IF(DATOS!$G10758="OR",--(COUNTIFS(nNIA,DATOS!$A10758,nCURSO,DATOS!$D10758,nESPEC,DATOS!$E10758,nASIG,DATOS!$I10758,nEVAL,"EX")=0),0))))</f>
      </c>
      <c r="H10758">
        <f>IF(DATOS!$G10758&lt;&gt;"EX",0,--(COUNTIFS(nNIA,DATOS!$A10758,nCURSO,DATOS!$D10758,nESPEC,DATOS!$E10758,nASIG,DATOS!$I10758,nEVAL,"OR")=0))</f>
      </c>
      <c r="I10758">
        <f>IF(DATOS!$I10758="","",IFERROR(VLOOKUP(DATOS!$I10758,CONFIG_ASIGNATURAS!$B$2:$J$91,9,FALSE()),""))</f>
      </c>
    </row>
    <row r="10759">
      <c r="F10759">
        <f>IF(DATOS!$A10759="","",DATOS!$A10759&amp;"|"&amp;DATOS!$D10759&amp;"|"&amp;DATOS!$E10759&amp;"|"&amp;DATOS!$I10759)</f>
      </c>
      <c r="G10759">
        <f>IF(DATOS!$A10759="",0,IF(CONFIG_METADATA!$B$4&lt;&gt;"OR+EX",--(DATOS!$G10759=CONFIG_METADATA!$B$4),IF(DATOS!$G10759="EX",1,IF(DATOS!$G10759="OR",--(COUNTIFS(nNIA,DATOS!$A10759,nCURSO,DATOS!$D10759,nESPEC,DATOS!$E10759,nASIG,DATOS!$I10759,nEVAL,"EX")=0),0))))</f>
      </c>
      <c r="H10759">
        <f>IF(DATOS!$G10759&lt;&gt;"EX",0,--(COUNTIFS(nNIA,DATOS!$A10759,nCURSO,DATOS!$D10759,nESPEC,DATOS!$E10759,nASIG,DATOS!$I10759,nEVAL,"OR")=0))</f>
      </c>
      <c r="I10759">
        <f>IF(DATOS!$I10759="","",IFERROR(VLOOKUP(DATOS!$I10759,CONFIG_ASIGNATURAS!$B$2:$J$91,9,FALSE()),""))</f>
      </c>
    </row>
    <row r="10760">
      <c r="F10760">
        <f>IF(DATOS!$A10760="","",DATOS!$A10760&amp;"|"&amp;DATOS!$D10760&amp;"|"&amp;DATOS!$E10760&amp;"|"&amp;DATOS!$I10760)</f>
      </c>
      <c r="G10760">
        <f>IF(DATOS!$A10760="",0,IF(CONFIG_METADATA!$B$4&lt;&gt;"OR+EX",--(DATOS!$G10760=CONFIG_METADATA!$B$4),IF(DATOS!$G10760="EX",1,IF(DATOS!$G10760="OR",--(COUNTIFS(nNIA,DATOS!$A10760,nCURSO,DATOS!$D10760,nESPEC,DATOS!$E10760,nASIG,DATOS!$I10760,nEVAL,"EX")=0),0))))</f>
      </c>
      <c r="H10760">
        <f>IF(DATOS!$G10760&lt;&gt;"EX",0,--(COUNTIFS(nNIA,DATOS!$A10760,nCURSO,DATOS!$D10760,nESPEC,DATOS!$E10760,nASIG,DATOS!$I10760,nEVAL,"OR")=0))</f>
      </c>
      <c r="I10760">
        <f>IF(DATOS!$I10760="","",IFERROR(VLOOKUP(DATOS!$I10760,CONFIG_ASIGNATURAS!$B$2:$J$91,9,FALSE()),""))</f>
      </c>
    </row>
    <row r="10761">
      <c r="F10761">
        <f>IF(DATOS!$A10761="","",DATOS!$A10761&amp;"|"&amp;DATOS!$D10761&amp;"|"&amp;DATOS!$E10761&amp;"|"&amp;DATOS!$I10761)</f>
      </c>
      <c r="G10761">
        <f>IF(DATOS!$A10761="",0,IF(CONFIG_METADATA!$B$4&lt;&gt;"OR+EX",--(DATOS!$G10761=CONFIG_METADATA!$B$4),IF(DATOS!$G10761="EX",1,IF(DATOS!$G10761="OR",--(COUNTIFS(nNIA,DATOS!$A10761,nCURSO,DATOS!$D10761,nESPEC,DATOS!$E10761,nASIG,DATOS!$I10761,nEVAL,"EX")=0),0))))</f>
      </c>
      <c r="H10761">
        <f>IF(DATOS!$G10761&lt;&gt;"EX",0,--(COUNTIFS(nNIA,DATOS!$A10761,nCURSO,DATOS!$D10761,nESPEC,DATOS!$E10761,nASIG,DATOS!$I10761,nEVAL,"OR")=0))</f>
      </c>
      <c r="I10761">
        <f>IF(DATOS!$I10761="","",IFERROR(VLOOKUP(DATOS!$I10761,CONFIG_ASIGNATURAS!$B$2:$J$91,9,FALSE()),""))</f>
      </c>
    </row>
    <row r="10762">
      <c r="F10762">
        <f>IF(DATOS!$A10762="","",DATOS!$A10762&amp;"|"&amp;DATOS!$D10762&amp;"|"&amp;DATOS!$E10762&amp;"|"&amp;DATOS!$I10762)</f>
      </c>
      <c r="G10762">
        <f>IF(DATOS!$A10762="",0,IF(CONFIG_METADATA!$B$4&lt;&gt;"OR+EX",--(DATOS!$G10762=CONFIG_METADATA!$B$4),IF(DATOS!$G10762="EX",1,IF(DATOS!$G10762="OR",--(COUNTIFS(nNIA,DATOS!$A10762,nCURSO,DATOS!$D10762,nESPEC,DATOS!$E10762,nASIG,DATOS!$I10762,nEVAL,"EX")=0),0))))</f>
      </c>
      <c r="H10762">
        <f>IF(DATOS!$G10762&lt;&gt;"EX",0,--(COUNTIFS(nNIA,DATOS!$A10762,nCURSO,DATOS!$D10762,nESPEC,DATOS!$E10762,nASIG,DATOS!$I10762,nEVAL,"OR")=0))</f>
      </c>
      <c r="I10762">
        <f>IF(DATOS!$I10762="","",IFERROR(VLOOKUP(DATOS!$I10762,CONFIG_ASIGNATURAS!$B$2:$J$91,9,FALSE()),""))</f>
      </c>
    </row>
    <row r="10763">
      <c r="F10763">
        <f>IF(DATOS!$A10763="","",DATOS!$A10763&amp;"|"&amp;DATOS!$D10763&amp;"|"&amp;DATOS!$E10763&amp;"|"&amp;DATOS!$I10763)</f>
      </c>
      <c r="G10763">
        <f>IF(DATOS!$A10763="",0,IF(CONFIG_METADATA!$B$4&lt;&gt;"OR+EX",--(DATOS!$G10763=CONFIG_METADATA!$B$4),IF(DATOS!$G10763="EX",1,IF(DATOS!$G10763="OR",--(COUNTIFS(nNIA,DATOS!$A10763,nCURSO,DATOS!$D10763,nESPEC,DATOS!$E10763,nASIG,DATOS!$I10763,nEVAL,"EX")=0),0))))</f>
      </c>
      <c r="H10763">
        <f>IF(DATOS!$G10763&lt;&gt;"EX",0,--(COUNTIFS(nNIA,DATOS!$A10763,nCURSO,DATOS!$D10763,nESPEC,DATOS!$E10763,nASIG,DATOS!$I10763,nEVAL,"OR")=0))</f>
      </c>
      <c r="I10763">
        <f>IF(DATOS!$I10763="","",IFERROR(VLOOKUP(DATOS!$I10763,CONFIG_ASIGNATURAS!$B$2:$J$91,9,FALSE()),""))</f>
      </c>
    </row>
    <row r="10764">
      <c r="F10764">
        <f>IF(DATOS!$A10764="","",DATOS!$A10764&amp;"|"&amp;DATOS!$D10764&amp;"|"&amp;DATOS!$E10764&amp;"|"&amp;DATOS!$I10764)</f>
      </c>
      <c r="G10764">
        <f>IF(DATOS!$A10764="",0,IF(CONFIG_METADATA!$B$4&lt;&gt;"OR+EX",--(DATOS!$G10764=CONFIG_METADATA!$B$4),IF(DATOS!$G10764="EX",1,IF(DATOS!$G10764="OR",--(COUNTIFS(nNIA,DATOS!$A10764,nCURSO,DATOS!$D10764,nESPEC,DATOS!$E10764,nASIG,DATOS!$I10764,nEVAL,"EX")=0),0))))</f>
      </c>
      <c r="H10764">
        <f>IF(DATOS!$G10764&lt;&gt;"EX",0,--(COUNTIFS(nNIA,DATOS!$A10764,nCURSO,DATOS!$D10764,nESPEC,DATOS!$E10764,nASIG,DATOS!$I10764,nEVAL,"OR")=0))</f>
      </c>
      <c r="I10764">
        <f>IF(DATOS!$I10764="","",IFERROR(VLOOKUP(DATOS!$I10764,CONFIG_ASIGNATURAS!$B$2:$J$91,9,FALSE()),""))</f>
      </c>
    </row>
    <row r="10765">
      <c r="F10765">
        <f>IF(DATOS!$A10765="","",DATOS!$A10765&amp;"|"&amp;DATOS!$D10765&amp;"|"&amp;DATOS!$E10765&amp;"|"&amp;DATOS!$I10765)</f>
      </c>
      <c r="G10765">
        <f>IF(DATOS!$A10765="",0,IF(CONFIG_METADATA!$B$4&lt;&gt;"OR+EX",--(DATOS!$G10765=CONFIG_METADATA!$B$4),IF(DATOS!$G10765="EX",1,IF(DATOS!$G10765="OR",--(COUNTIFS(nNIA,DATOS!$A10765,nCURSO,DATOS!$D10765,nESPEC,DATOS!$E10765,nASIG,DATOS!$I10765,nEVAL,"EX")=0),0))))</f>
      </c>
      <c r="H10765">
        <f>IF(DATOS!$G10765&lt;&gt;"EX",0,--(COUNTIFS(nNIA,DATOS!$A10765,nCURSO,DATOS!$D10765,nESPEC,DATOS!$E10765,nASIG,DATOS!$I10765,nEVAL,"OR")=0))</f>
      </c>
      <c r="I10765">
        <f>IF(DATOS!$I10765="","",IFERROR(VLOOKUP(DATOS!$I10765,CONFIG_ASIGNATURAS!$B$2:$J$91,9,FALSE()),""))</f>
      </c>
    </row>
    <row r="10766">
      <c r="F10766">
        <f>IF(DATOS!$A10766="","",DATOS!$A10766&amp;"|"&amp;DATOS!$D10766&amp;"|"&amp;DATOS!$E10766&amp;"|"&amp;DATOS!$I10766)</f>
      </c>
      <c r="G10766">
        <f>IF(DATOS!$A10766="",0,IF(CONFIG_METADATA!$B$4&lt;&gt;"OR+EX",--(DATOS!$G10766=CONFIG_METADATA!$B$4),IF(DATOS!$G10766="EX",1,IF(DATOS!$G10766="OR",--(COUNTIFS(nNIA,DATOS!$A10766,nCURSO,DATOS!$D10766,nESPEC,DATOS!$E10766,nASIG,DATOS!$I10766,nEVAL,"EX")=0),0))))</f>
      </c>
      <c r="H10766">
        <f>IF(DATOS!$G10766&lt;&gt;"EX",0,--(COUNTIFS(nNIA,DATOS!$A10766,nCURSO,DATOS!$D10766,nESPEC,DATOS!$E10766,nASIG,DATOS!$I10766,nEVAL,"OR")=0))</f>
      </c>
      <c r="I10766">
        <f>IF(DATOS!$I10766="","",IFERROR(VLOOKUP(DATOS!$I10766,CONFIG_ASIGNATURAS!$B$2:$J$91,9,FALSE()),""))</f>
      </c>
    </row>
    <row r="10767">
      <c r="F10767">
        <f>IF(DATOS!$A10767="","",DATOS!$A10767&amp;"|"&amp;DATOS!$D10767&amp;"|"&amp;DATOS!$E10767&amp;"|"&amp;DATOS!$I10767)</f>
      </c>
      <c r="G10767">
        <f>IF(DATOS!$A10767="",0,IF(CONFIG_METADATA!$B$4&lt;&gt;"OR+EX",--(DATOS!$G10767=CONFIG_METADATA!$B$4),IF(DATOS!$G10767="EX",1,IF(DATOS!$G10767="OR",--(COUNTIFS(nNIA,DATOS!$A10767,nCURSO,DATOS!$D10767,nESPEC,DATOS!$E10767,nASIG,DATOS!$I10767,nEVAL,"EX")=0),0))))</f>
      </c>
      <c r="H10767">
        <f>IF(DATOS!$G10767&lt;&gt;"EX",0,--(COUNTIFS(nNIA,DATOS!$A10767,nCURSO,DATOS!$D10767,nESPEC,DATOS!$E10767,nASIG,DATOS!$I10767,nEVAL,"OR")=0))</f>
      </c>
      <c r="I10767">
        <f>IF(DATOS!$I10767="","",IFERROR(VLOOKUP(DATOS!$I10767,CONFIG_ASIGNATURAS!$B$2:$J$91,9,FALSE()),""))</f>
      </c>
    </row>
    <row r="10768">
      <c r="F10768">
        <f>IF(DATOS!$A10768="","",DATOS!$A10768&amp;"|"&amp;DATOS!$D10768&amp;"|"&amp;DATOS!$E10768&amp;"|"&amp;DATOS!$I10768)</f>
      </c>
      <c r="G10768">
        <f>IF(DATOS!$A10768="",0,IF(CONFIG_METADATA!$B$4&lt;&gt;"OR+EX",--(DATOS!$G10768=CONFIG_METADATA!$B$4),IF(DATOS!$G10768="EX",1,IF(DATOS!$G10768="OR",--(COUNTIFS(nNIA,DATOS!$A10768,nCURSO,DATOS!$D10768,nESPEC,DATOS!$E10768,nASIG,DATOS!$I10768,nEVAL,"EX")=0),0))))</f>
      </c>
      <c r="H10768">
        <f>IF(DATOS!$G10768&lt;&gt;"EX",0,--(COUNTIFS(nNIA,DATOS!$A10768,nCURSO,DATOS!$D10768,nESPEC,DATOS!$E10768,nASIG,DATOS!$I10768,nEVAL,"OR")=0))</f>
      </c>
      <c r="I10768">
        <f>IF(DATOS!$I10768="","",IFERROR(VLOOKUP(DATOS!$I10768,CONFIG_ASIGNATURAS!$B$2:$J$91,9,FALSE()),""))</f>
      </c>
    </row>
    <row r="10769">
      <c r="F10769">
        <f>IF(DATOS!$A10769="","",DATOS!$A10769&amp;"|"&amp;DATOS!$D10769&amp;"|"&amp;DATOS!$E10769&amp;"|"&amp;DATOS!$I10769)</f>
      </c>
      <c r="G10769">
        <f>IF(DATOS!$A10769="",0,IF(CONFIG_METADATA!$B$4&lt;&gt;"OR+EX",--(DATOS!$G10769=CONFIG_METADATA!$B$4),IF(DATOS!$G10769="EX",1,IF(DATOS!$G10769="OR",--(COUNTIFS(nNIA,DATOS!$A10769,nCURSO,DATOS!$D10769,nESPEC,DATOS!$E10769,nASIG,DATOS!$I10769,nEVAL,"EX")=0),0))))</f>
      </c>
      <c r="H10769">
        <f>IF(DATOS!$G10769&lt;&gt;"EX",0,--(COUNTIFS(nNIA,DATOS!$A10769,nCURSO,DATOS!$D10769,nESPEC,DATOS!$E10769,nASIG,DATOS!$I10769,nEVAL,"OR")=0))</f>
      </c>
      <c r="I10769">
        <f>IF(DATOS!$I10769="","",IFERROR(VLOOKUP(DATOS!$I10769,CONFIG_ASIGNATURAS!$B$2:$J$91,9,FALSE()),""))</f>
      </c>
    </row>
    <row r="10770">
      <c r="F10770">
        <f>IF(DATOS!$A10770="","",DATOS!$A10770&amp;"|"&amp;DATOS!$D10770&amp;"|"&amp;DATOS!$E10770&amp;"|"&amp;DATOS!$I10770)</f>
      </c>
      <c r="G10770">
        <f>IF(DATOS!$A10770="",0,IF(CONFIG_METADATA!$B$4&lt;&gt;"OR+EX",--(DATOS!$G10770=CONFIG_METADATA!$B$4),IF(DATOS!$G10770="EX",1,IF(DATOS!$G10770="OR",--(COUNTIFS(nNIA,DATOS!$A10770,nCURSO,DATOS!$D10770,nESPEC,DATOS!$E10770,nASIG,DATOS!$I10770,nEVAL,"EX")=0),0))))</f>
      </c>
      <c r="H10770">
        <f>IF(DATOS!$G10770&lt;&gt;"EX",0,--(COUNTIFS(nNIA,DATOS!$A10770,nCURSO,DATOS!$D10770,nESPEC,DATOS!$E10770,nASIG,DATOS!$I10770,nEVAL,"OR")=0))</f>
      </c>
      <c r="I10770">
        <f>IF(DATOS!$I10770="","",IFERROR(VLOOKUP(DATOS!$I10770,CONFIG_ASIGNATURAS!$B$2:$J$91,9,FALSE()),""))</f>
      </c>
    </row>
    <row r="10771">
      <c r="F10771">
        <f>IF(DATOS!$A10771="","",DATOS!$A10771&amp;"|"&amp;DATOS!$D10771&amp;"|"&amp;DATOS!$E10771&amp;"|"&amp;DATOS!$I10771)</f>
      </c>
      <c r="G10771">
        <f>IF(DATOS!$A10771="",0,IF(CONFIG_METADATA!$B$4&lt;&gt;"OR+EX",--(DATOS!$G10771=CONFIG_METADATA!$B$4),IF(DATOS!$G10771="EX",1,IF(DATOS!$G10771="OR",--(COUNTIFS(nNIA,DATOS!$A10771,nCURSO,DATOS!$D10771,nESPEC,DATOS!$E10771,nASIG,DATOS!$I10771,nEVAL,"EX")=0),0))))</f>
      </c>
      <c r="H10771">
        <f>IF(DATOS!$G10771&lt;&gt;"EX",0,--(COUNTIFS(nNIA,DATOS!$A10771,nCURSO,DATOS!$D10771,nESPEC,DATOS!$E10771,nASIG,DATOS!$I10771,nEVAL,"OR")=0))</f>
      </c>
      <c r="I10771">
        <f>IF(DATOS!$I10771="","",IFERROR(VLOOKUP(DATOS!$I10771,CONFIG_ASIGNATURAS!$B$2:$J$91,9,FALSE()),""))</f>
      </c>
    </row>
    <row r="10772">
      <c r="F10772">
        <f>IF(DATOS!$A10772="","",DATOS!$A10772&amp;"|"&amp;DATOS!$D10772&amp;"|"&amp;DATOS!$E10772&amp;"|"&amp;DATOS!$I10772)</f>
      </c>
      <c r="G10772">
        <f>IF(DATOS!$A10772="",0,IF(CONFIG_METADATA!$B$4&lt;&gt;"OR+EX",--(DATOS!$G10772=CONFIG_METADATA!$B$4),IF(DATOS!$G10772="EX",1,IF(DATOS!$G10772="OR",--(COUNTIFS(nNIA,DATOS!$A10772,nCURSO,DATOS!$D10772,nESPEC,DATOS!$E10772,nASIG,DATOS!$I10772,nEVAL,"EX")=0),0))))</f>
      </c>
      <c r="H10772">
        <f>IF(DATOS!$G10772&lt;&gt;"EX",0,--(COUNTIFS(nNIA,DATOS!$A10772,nCURSO,DATOS!$D10772,nESPEC,DATOS!$E10772,nASIG,DATOS!$I10772,nEVAL,"OR")=0))</f>
      </c>
      <c r="I10772">
        <f>IF(DATOS!$I10772="","",IFERROR(VLOOKUP(DATOS!$I10772,CONFIG_ASIGNATURAS!$B$2:$J$91,9,FALSE()),""))</f>
      </c>
    </row>
    <row r="10773">
      <c r="F10773">
        <f>IF(DATOS!$A10773="","",DATOS!$A10773&amp;"|"&amp;DATOS!$D10773&amp;"|"&amp;DATOS!$E10773&amp;"|"&amp;DATOS!$I10773)</f>
      </c>
      <c r="G10773">
        <f>IF(DATOS!$A10773="",0,IF(CONFIG_METADATA!$B$4&lt;&gt;"OR+EX",--(DATOS!$G10773=CONFIG_METADATA!$B$4),IF(DATOS!$G10773="EX",1,IF(DATOS!$G10773="OR",--(COUNTIFS(nNIA,DATOS!$A10773,nCURSO,DATOS!$D10773,nESPEC,DATOS!$E10773,nASIG,DATOS!$I10773,nEVAL,"EX")=0),0))))</f>
      </c>
      <c r="H10773">
        <f>IF(DATOS!$G10773&lt;&gt;"EX",0,--(COUNTIFS(nNIA,DATOS!$A10773,nCURSO,DATOS!$D10773,nESPEC,DATOS!$E10773,nASIG,DATOS!$I10773,nEVAL,"OR")=0))</f>
      </c>
      <c r="I10773">
        <f>IF(DATOS!$I10773="","",IFERROR(VLOOKUP(DATOS!$I10773,CONFIG_ASIGNATURAS!$B$2:$J$91,9,FALSE()),""))</f>
      </c>
    </row>
    <row r="10774">
      <c r="F10774">
        <f>IF(DATOS!$A10774="","",DATOS!$A10774&amp;"|"&amp;DATOS!$D10774&amp;"|"&amp;DATOS!$E10774&amp;"|"&amp;DATOS!$I10774)</f>
      </c>
      <c r="G10774">
        <f>IF(DATOS!$A10774="",0,IF(CONFIG_METADATA!$B$4&lt;&gt;"OR+EX",--(DATOS!$G10774=CONFIG_METADATA!$B$4),IF(DATOS!$G10774="EX",1,IF(DATOS!$G10774="OR",--(COUNTIFS(nNIA,DATOS!$A10774,nCURSO,DATOS!$D10774,nESPEC,DATOS!$E10774,nASIG,DATOS!$I10774,nEVAL,"EX")=0),0))))</f>
      </c>
      <c r="H10774">
        <f>IF(DATOS!$G10774&lt;&gt;"EX",0,--(COUNTIFS(nNIA,DATOS!$A10774,nCURSO,DATOS!$D10774,nESPEC,DATOS!$E10774,nASIG,DATOS!$I10774,nEVAL,"OR")=0))</f>
      </c>
      <c r="I10774">
        <f>IF(DATOS!$I10774="","",IFERROR(VLOOKUP(DATOS!$I10774,CONFIG_ASIGNATURAS!$B$2:$J$91,9,FALSE()),""))</f>
      </c>
    </row>
    <row r="10775">
      <c r="F10775">
        <f>IF(DATOS!$A10775="","",DATOS!$A10775&amp;"|"&amp;DATOS!$D10775&amp;"|"&amp;DATOS!$E10775&amp;"|"&amp;DATOS!$I10775)</f>
      </c>
      <c r="G10775">
        <f>IF(DATOS!$A10775="",0,IF(CONFIG_METADATA!$B$4&lt;&gt;"OR+EX",--(DATOS!$G10775=CONFIG_METADATA!$B$4),IF(DATOS!$G10775="EX",1,IF(DATOS!$G10775="OR",--(COUNTIFS(nNIA,DATOS!$A10775,nCURSO,DATOS!$D10775,nESPEC,DATOS!$E10775,nASIG,DATOS!$I10775,nEVAL,"EX")=0),0))))</f>
      </c>
      <c r="H10775">
        <f>IF(DATOS!$G10775&lt;&gt;"EX",0,--(COUNTIFS(nNIA,DATOS!$A10775,nCURSO,DATOS!$D10775,nESPEC,DATOS!$E10775,nASIG,DATOS!$I10775,nEVAL,"OR")=0))</f>
      </c>
      <c r="I10775">
        <f>IF(DATOS!$I10775="","",IFERROR(VLOOKUP(DATOS!$I10775,CONFIG_ASIGNATURAS!$B$2:$J$91,9,FALSE()),""))</f>
      </c>
    </row>
    <row r="10776">
      <c r="F10776">
        <f>IF(DATOS!$A10776="","",DATOS!$A10776&amp;"|"&amp;DATOS!$D10776&amp;"|"&amp;DATOS!$E10776&amp;"|"&amp;DATOS!$I10776)</f>
      </c>
      <c r="G10776">
        <f>IF(DATOS!$A10776="",0,IF(CONFIG_METADATA!$B$4&lt;&gt;"OR+EX",--(DATOS!$G10776=CONFIG_METADATA!$B$4),IF(DATOS!$G10776="EX",1,IF(DATOS!$G10776="OR",--(COUNTIFS(nNIA,DATOS!$A10776,nCURSO,DATOS!$D10776,nESPEC,DATOS!$E10776,nASIG,DATOS!$I10776,nEVAL,"EX")=0),0))))</f>
      </c>
      <c r="H10776">
        <f>IF(DATOS!$G10776&lt;&gt;"EX",0,--(COUNTIFS(nNIA,DATOS!$A10776,nCURSO,DATOS!$D10776,nESPEC,DATOS!$E10776,nASIG,DATOS!$I10776,nEVAL,"OR")=0))</f>
      </c>
      <c r="I10776">
        <f>IF(DATOS!$I10776="","",IFERROR(VLOOKUP(DATOS!$I10776,CONFIG_ASIGNATURAS!$B$2:$J$91,9,FALSE()),""))</f>
      </c>
    </row>
    <row r="10777">
      <c r="F10777">
        <f>IF(DATOS!$A10777="","",DATOS!$A10777&amp;"|"&amp;DATOS!$D10777&amp;"|"&amp;DATOS!$E10777&amp;"|"&amp;DATOS!$I10777)</f>
      </c>
      <c r="G10777">
        <f>IF(DATOS!$A10777="",0,IF(CONFIG_METADATA!$B$4&lt;&gt;"OR+EX",--(DATOS!$G10777=CONFIG_METADATA!$B$4),IF(DATOS!$G10777="EX",1,IF(DATOS!$G10777="OR",--(COUNTIFS(nNIA,DATOS!$A10777,nCURSO,DATOS!$D10777,nESPEC,DATOS!$E10777,nASIG,DATOS!$I10777,nEVAL,"EX")=0),0))))</f>
      </c>
      <c r="H10777">
        <f>IF(DATOS!$G10777&lt;&gt;"EX",0,--(COUNTIFS(nNIA,DATOS!$A10777,nCURSO,DATOS!$D10777,nESPEC,DATOS!$E10777,nASIG,DATOS!$I10777,nEVAL,"OR")=0))</f>
      </c>
      <c r="I10777">
        <f>IF(DATOS!$I10777="","",IFERROR(VLOOKUP(DATOS!$I10777,CONFIG_ASIGNATURAS!$B$2:$J$91,9,FALSE()),""))</f>
      </c>
    </row>
    <row r="10778">
      <c r="F10778">
        <f>IF(DATOS!$A10778="","",DATOS!$A10778&amp;"|"&amp;DATOS!$D10778&amp;"|"&amp;DATOS!$E10778&amp;"|"&amp;DATOS!$I10778)</f>
      </c>
      <c r="G10778">
        <f>IF(DATOS!$A10778="",0,IF(CONFIG_METADATA!$B$4&lt;&gt;"OR+EX",--(DATOS!$G10778=CONFIG_METADATA!$B$4),IF(DATOS!$G10778="EX",1,IF(DATOS!$G10778="OR",--(COUNTIFS(nNIA,DATOS!$A10778,nCURSO,DATOS!$D10778,nESPEC,DATOS!$E10778,nASIG,DATOS!$I10778,nEVAL,"EX")=0),0))))</f>
      </c>
      <c r="H10778">
        <f>IF(DATOS!$G10778&lt;&gt;"EX",0,--(COUNTIFS(nNIA,DATOS!$A10778,nCURSO,DATOS!$D10778,nESPEC,DATOS!$E10778,nASIG,DATOS!$I10778,nEVAL,"OR")=0))</f>
      </c>
      <c r="I10778">
        <f>IF(DATOS!$I10778="","",IFERROR(VLOOKUP(DATOS!$I10778,CONFIG_ASIGNATURAS!$B$2:$J$91,9,FALSE()),""))</f>
      </c>
    </row>
    <row r="10779">
      <c r="F10779">
        <f>IF(DATOS!$A10779="","",DATOS!$A10779&amp;"|"&amp;DATOS!$D10779&amp;"|"&amp;DATOS!$E10779&amp;"|"&amp;DATOS!$I10779)</f>
      </c>
      <c r="G10779">
        <f>IF(DATOS!$A10779="",0,IF(CONFIG_METADATA!$B$4&lt;&gt;"OR+EX",--(DATOS!$G10779=CONFIG_METADATA!$B$4),IF(DATOS!$G10779="EX",1,IF(DATOS!$G10779="OR",--(COUNTIFS(nNIA,DATOS!$A10779,nCURSO,DATOS!$D10779,nESPEC,DATOS!$E10779,nASIG,DATOS!$I10779,nEVAL,"EX")=0),0))))</f>
      </c>
      <c r="H10779">
        <f>IF(DATOS!$G10779&lt;&gt;"EX",0,--(COUNTIFS(nNIA,DATOS!$A10779,nCURSO,DATOS!$D10779,nESPEC,DATOS!$E10779,nASIG,DATOS!$I10779,nEVAL,"OR")=0))</f>
      </c>
      <c r="I10779">
        <f>IF(DATOS!$I10779="","",IFERROR(VLOOKUP(DATOS!$I10779,CONFIG_ASIGNATURAS!$B$2:$J$91,9,FALSE()),""))</f>
      </c>
    </row>
    <row r="10780">
      <c r="F10780">
        <f>IF(DATOS!$A10780="","",DATOS!$A10780&amp;"|"&amp;DATOS!$D10780&amp;"|"&amp;DATOS!$E10780&amp;"|"&amp;DATOS!$I10780)</f>
      </c>
      <c r="G10780">
        <f>IF(DATOS!$A10780="",0,IF(CONFIG_METADATA!$B$4&lt;&gt;"OR+EX",--(DATOS!$G10780=CONFIG_METADATA!$B$4),IF(DATOS!$G10780="EX",1,IF(DATOS!$G10780="OR",--(COUNTIFS(nNIA,DATOS!$A10780,nCURSO,DATOS!$D10780,nESPEC,DATOS!$E10780,nASIG,DATOS!$I10780,nEVAL,"EX")=0),0))))</f>
      </c>
      <c r="H10780">
        <f>IF(DATOS!$G10780&lt;&gt;"EX",0,--(COUNTIFS(nNIA,DATOS!$A10780,nCURSO,DATOS!$D10780,nESPEC,DATOS!$E10780,nASIG,DATOS!$I10780,nEVAL,"OR")=0))</f>
      </c>
      <c r="I10780">
        <f>IF(DATOS!$I10780="","",IFERROR(VLOOKUP(DATOS!$I10780,CONFIG_ASIGNATURAS!$B$2:$J$91,9,FALSE()),""))</f>
      </c>
    </row>
    <row r="10781">
      <c r="F10781">
        <f>IF(DATOS!$A10781="","",DATOS!$A10781&amp;"|"&amp;DATOS!$D10781&amp;"|"&amp;DATOS!$E10781&amp;"|"&amp;DATOS!$I10781)</f>
      </c>
      <c r="G10781">
        <f>IF(DATOS!$A10781="",0,IF(CONFIG_METADATA!$B$4&lt;&gt;"OR+EX",--(DATOS!$G10781=CONFIG_METADATA!$B$4),IF(DATOS!$G10781="EX",1,IF(DATOS!$G10781="OR",--(COUNTIFS(nNIA,DATOS!$A10781,nCURSO,DATOS!$D10781,nESPEC,DATOS!$E10781,nASIG,DATOS!$I10781,nEVAL,"EX")=0),0))))</f>
      </c>
      <c r="H10781">
        <f>IF(DATOS!$G10781&lt;&gt;"EX",0,--(COUNTIFS(nNIA,DATOS!$A10781,nCURSO,DATOS!$D10781,nESPEC,DATOS!$E10781,nASIG,DATOS!$I10781,nEVAL,"OR")=0))</f>
      </c>
      <c r="I10781">
        <f>IF(DATOS!$I10781="","",IFERROR(VLOOKUP(DATOS!$I10781,CONFIG_ASIGNATURAS!$B$2:$J$91,9,FALSE()),""))</f>
      </c>
    </row>
    <row r="10782">
      <c r="F10782">
        <f>IF(DATOS!$A10782="","",DATOS!$A10782&amp;"|"&amp;DATOS!$D10782&amp;"|"&amp;DATOS!$E10782&amp;"|"&amp;DATOS!$I10782)</f>
      </c>
      <c r="G10782">
        <f>IF(DATOS!$A10782="",0,IF(CONFIG_METADATA!$B$4&lt;&gt;"OR+EX",--(DATOS!$G10782=CONFIG_METADATA!$B$4),IF(DATOS!$G10782="EX",1,IF(DATOS!$G10782="OR",--(COUNTIFS(nNIA,DATOS!$A10782,nCURSO,DATOS!$D10782,nESPEC,DATOS!$E10782,nASIG,DATOS!$I10782,nEVAL,"EX")=0),0))))</f>
      </c>
      <c r="H10782">
        <f>IF(DATOS!$G10782&lt;&gt;"EX",0,--(COUNTIFS(nNIA,DATOS!$A10782,nCURSO,DATOS!$D10782,nESPEC,DATOS!$E10782,nASIG,DATOS!$I10782,nEVAL,"OR")=0))</f>
      </c>
      <c r="I10782">
        <f>IF(DATOS!$I10782="","",IFERROR(VLOOKUP(DATOS!$I10782,CONFIG_ASIGNATURAS!$B$2:$J$91,9,FALSE()),""))</f>
      </c>
    </row>
    <row r="10783">
      <c r="F10783">
        <f>IF(DATOS!$A10783="","",DATOS!$A10783&amp;"|"&amp;DATOS!$D10783&amp;"|"&amp;DATOS!$E10783&amp;"|"&amp;DATOS!$I10783)</f>
      </c>
      <c r="G10783">
        <f>IF(DATOS!$A10783="",0,IF(CONFIG_METADATA!$B$4&lt;&gt;"OR+EX",--(DATOS!$G10783=CONFIG_METADATA!$B$4),IF(DATOS!$G10783="EX",1,IF(DATOS!$G10783="OR",--(COUNTIFS(nNIA,DATOS!$A10783,nCURSO,DATOS!$D10783,nESPEC,DATOS!$E10783,nASIG,DATOS!$I10783,nEVAL,"EX")=0),0))))</f>
      </c>
      <c r="H10783">
        <f>IF(DATOS!$G10783&lt;&gt;"EX",0,--(COUNTIFS(nNIA,DATOS!$A10783,nCURSO,DATOS!$D10783,nESPEC,DATOS!$E10783,nASIG,DATOS!$I10783,nEVAL,"OR")=0))</f>
      </c>
      <c r="I10783">
        <f>IF(DATOS!$I10783="","",IFERROR(VLOOKUP(DATOS!$I10783,CONFIG_ASIGNATURAS!$B$2:$J$91,9,FALSE()),""))</f>
      </c>
    </row>
    <row r="10784">
      <c r="F10784">
        <f>IF(DATOS!$A10784="","",DATOS!$A10784&amp;"|"&amp;DATOS!$D10784&amp;"|"&amp;DATOS!$E10784&amp;"|"&amp;DATOS!$I10784)</f>
      </c>
      <c r="G10784">
        <f>IF(DATOS!$A10784="",0,IF(CONFIG_METADATA!$B$4&lt;&gt;"OR+EX",--(DATOS!$G10784=CONFIG_METADATA!$B$4),IF(DATOS!$G10784="EX",1,IF(DATOS!$G10784="OR",--(COUNTIFS(nNIA,DATOS!$A10784,nCURSO,DATOS!$D10784,nESPEC,DATOS!$E10784,nASIG,DATOS!$I10784,nEVAL,"EX")=0),0))))</f>
      </c>
      <c r="H10784">
        <f>IF(DATOS!$G10784&lt;&gt;"EX",0,--(COUNTIFS(nNIA,DATOS!$A10784,nCURSO,DATOS!$D10784,nESPEC,DATOS!$E10784,nASIG,DATOS!$I10784,nEVAL,"OR")=0))</f>
      </c>
      <c r="I10784">
        <f>IF(DATOS!$I10784="","",IFERROR(VLOOKUP(DATOS!$I10784,CONFIG_ASIGNATURAS!$B$2:$J$91,9,FALSE()),""))</f>
      </c>
    </row>
    <row r="10785">
      <c r="F10785">
        <f>IF(DATOS!$A10785="","",DATOS!$A10785&amp;"|"&amp;DATOS!$D10785&amp;"|"&amp;DATOS!$E10785&amp;"|"&amp;DATOS!$I10785)</f>
      </c>
      <c r="G10785">
        <f>IF(DATOS!$A10785="",0,IF(CONFIG_METADATA!$B$4&lt;&gt;"OR+EX",--(DATOS!$G10785=CONFIG_METADATA!$B$4),IF(DATOS!$G10785="EX",1,IF(DATOS!$G10785="OR",--(COUNTIFS(nNIA,DATOS!$A10785,nCURSO,DATOS!$D10785,nESPEC,DATOS!$E10785,nASIG,DATOS!$I10785,nEVAL,"EX")=0),0))))</f>
      </c>
      <c r="H10785">
        <f>IF(DATOS!$G10785&lt;&gt;"EX",0,--(COUNTIFS(nNIA,DATOS!$A10785,nCURSO,DATOS!$D10785,nESPEC,DATOS!$E10785,nASIG,DATOS!$I10785,nEVAL,"OR")=0))</f>
      </c>
      <c r="I10785">
        <f>IF(DATOS!$I10785="","",IFERROR(VLOOKUP(DATOS!$I10785,CONFIG_ASIGNATURAS!$B$2:$J$91,9,FALSE()),""))</f>
      </c>
    </row>
    <row r="10786">
      <c r="F10786">
        <f>IF(DATOS!$A10786="","",DATOS!$A10786&amp;"|"&amp;DATOS!$D10786&amp;"|"&amp;DATOS!$E10786&amp;"|"&amp;DATOS!$I10786)</f>
      </c>
      <c r="G10786">
        <f>IF(DATOS!$A10786="",0,IF(CONFIG_METADATA!$B$4&lt;&gt;"OR+EX",--(DATOS!$G10786=CONFIG_METADATA!$B$4),IF(DATOS!$G10786="EX",1,IF(DATOS!$G10786="OR",--(COUNTIFS(nNIA,DATOS!$A10786,nCURSO,DATOS!$D10786,nESPEC,DATOS!$E10786,nASIG,DATOS!$I10786,nEVAL,"EX")=0),0))))</f>
      </c>
      <c r="H10786">
        <f>IF(DATOS!$G10786&lt;&gt;"EX",0,--(COUNTIFS(nNIA,DATOS!$A10786,nCURSO,DATOS!$D10786,nESPEC,DATOS!$E10786,nASIG,DATOS!$I10786,nEVAL,"OR")=0))</f>
      </c>
      <c r="I10786">
        <f>IF(DATOS!$I10786="","",IFERROR(VLOOKUP(DATOS!$I10786,CONFIG_ASIGNATURAS!$B$2:$J$91,9,FALSE()),""))</f>
      </c>
    </row>
    <row r="10787">
      <c r="F10787">
        <f>IF(DATOS!$A10787="","",DATOS!$A10787&amp;"|"&amp;DATOS!$D10787&amp;"|"&amp;DATOS!$E10787&amp;"|"&amp;DATOS!$I10787)</f>
      </c>
      <c r="G10787">
        <f>IF(DATOS!$A10787="",0,IF(CONFIG_METADATA!$B$4&lt;&gt;"OR+EX",--(DATOS!$G10787=CONFIG_METADATA!$B$4),IF(DATOS!$G10787="EX",1,IF(DATOS!$G10787="OR",--(COUNTIFS(nNIA,DATOS!$A10787,nCURSO,DATOS!$D10787,nESPEC,DATOS!$E10787,nASIG,DATOS!$I10787,nEVAL,"EX")=0),0))))</f>
      </c>
      <c r="H10787">
        <f>IF(DATOS!$G10787&lt;&gt;"EX",0,--(COUNTIFS(nNIA,DATOS!$A10787,nCURSO,DATOS!$D10787,nESPEC,DATOS!$E10787,nASIG,DATOS!$I10787,nEVAL,"OR")=0))</f>
      </c>
      <c r="I10787">
        <f>IF(DATOS!$I10787="","",IFERROR(VLOOKUP(DATOS!$I10787,CONFIG_ASIGNATURAS!$B$2:$J$91,9,FALSE()),""))</f>
      </c>
    </row>
    <row r="10788">
      <c r="F10788">
        <f>IF(DATOS!$A10788="","",DATOS!$A10788&amp;"|"&amp;DATOS!$D10788&amp;"|"&amp;DATOS!$E10788&amp;"|"&amp;DATOS!$I10788)</f>
      </c>
      <c r="G10788">
        <f>IF(DATOS!$A10788="",0,IF(CONFIG_METADATA!$B$4&lt;&gt;"OR+EX",--(DATOS!$G10788=CONFIG_METADATA!$B$4),IF(DATOS!$G10788="EX",1,IF(DATOS!$G10788="OR",--(COUNTIFS(nNIA,DATOS!$A10788,nCURSO,DATOS!$D10788,nESPEC,DATOS!$E10788,nASIG,DATOS!$I10788,nEVAL,"EX")=0),0))))</f>
      </c>
      <c r="H10788">
        <f>IF(DATOS!$G10788&lt;&gt;"EX",0,--(COUNTIFS(nNIA,DATOS!$A10788,nCURSO,DATOS!$D10788,nESPEC,DATOS!$E10788,nASIG,DATOS!$I10788,nEVAL,"OR")=0))</f>
      </c>
      <c r="I10788">
        <f>IF(DATOS!$I10788="","",IFERROR(VLOOKUP(DATOS!$I10788,CONFIG_ASIGNATURAS!$B$2:$J$91,9,FALSE()),""))</f>
      </c>
    </row>
    <row r="10789">
      <c r="F10789">
        <f>IF(DATOS!$A10789="","",DATOS!$A10789&amp;"|"&amp;DATOS!$D10789&amp;"|"&amp;DATOS!$E10789&amp;"|"&amp;DATOS!$I10789)</f>
      </c>
      <c r="G10789">
        <f>IF(DATOS!$A10789="",0,IF(CONFIG_METADATA!$B$4&lt;&gt;"OR+EX",--(DATOS!$G10789=CONFIG_METADATA!$B$4),IF(DATOS!$G10789="EX",1,IF(DATOS!$G10789="OR",--(COUNTIFS(nNIA,DATOS!$A10789,nCURSO,DATOS!$D10789,nESPEC,DATOS!$E10789,nASIG,DATOS!$I10789,nEVAL,"EX")=0),0))))</f>
      </c>
      <c r="H10789">
        <f>IF(DATOS!$G10789&lt;&gt;"EX",0,--(COUNTIFS(nNIA,DATOS!$A10789,nCURSO,DATOS!$D10789,nESPEC,DATOS!$E10789,nASIG,DATOS!$I10789,nEVAL,"OR")=0))</f>
      </c>
      <c r="I10789">
        <f>IF(DATOS!$I10789="","",IFERROR(VLOOKUP(DATOS!$I10789,CONFIG_ASIGNATURAS!$B$2:$J$91,9,FALSE()),""))</f>
      </c>
    </row>
    <row r="10790">
      <c r="F10790">
        <f>IF(DATOS!$A10790="","",DATOS!$A10790&amp;"|"&amp;DATOS!$D10790&amp;"|"&amp;DATOS!$E10790&amp;"|"&amp;DATOS!$I10790)</f>
      </c>
      <c r="G10790">
        <f>IF(DATOS!$A10790="",0,IF(CONFIG_METADATA!$B$4&lt;&gt;"OR+EX",--(DATOS!$G10790=CONFIG_METADATA!$B$4),IF(DATOS!$G10790="EX",1,IF(DATOS!$G10790="OR",--(COUNTIFS(nNIA,DATOS!$A10790,nCURSO,DATOS!$D10790,nESPEC,DATOS!$E10790,nASIG,DATOS!$I10790,nEVAL,"EX")=0),0))))</f>
      </c>
      <c r="H10790">
        <f>IF(DATOS!$G10790&lt;&gt;"EX",0,--(COUNTIFS(nNIA,DATOS!$A10790,nCURSO,DATOS!$D10790,nESPEC,DATOS!$E10790,nASIG,DATOS!$I10790,nEVAL,"OR")=0))</f>
      </c>
      <c r="I10790">
        <f>IF(DATOS!$I10790="","",IFERROR(VLOOKUP(DATOS!$I10790,CONFIG_ASIGNATURAS!$B$2:$J$91,9,FALSE()),""))</f>
      </c>
    </row>
    <row r="10791">
      <c r="F10791">
        <f>IF(DATOS!$A10791="","",DATOS!$A10791&amp;"|"&amp;DATOS!$D10791&amp;"|"&amp;DATOS!$E10791&amp;"|"&amp;DATOS!$I10791)</f>
      </c>
      <c r="G10791">
        <f>IF(DATOS!$A10791="",0,IF(CONFIG_METADATA!$B$4&lt;&gt;"OR+EX",--(DATOS!$G10791=CONFIG_METADATA!$B$4),IF(DATOS!$G10791="EX",1,IF(DATOS!$G10791="OR",--(COUNTIFS(nNIA,DATOS!$A10791,nCURSO,DATOS!$D10791,nESPEC,DATOS!$E10791,nASIG,DATOS!$I10791,nEVAL,"EX")=0),0))))</f>
      </c>
      <c r="H10791">
        <f>IF(DATOS!$G10791&lt;&gt;"EX",0,--(COUNTIFS(nNIA,DATOS!$A10791,nCURSO,DATOS!$D10791,nESPEC,DATOS!$E10791,nASIG,DATOS!$I10791,nEVAL,"OR")=0))</f>
      </c>
      <c r="I10791">
        <f>IF(DATOS!$I10791="","",IFERROR(VLOOKUP(DATOS!$I10791,CONFIG_ASIGNATURAS!$B$2:$J$91,9,FALSE()),""))</f>
      </c>
    </row>
    <row r="10792">
      <c r="F10792">
        <f>IF(DATOS!$A10792="","",DATOS!$A10792&amp;"|"&amp;DATOS!$D10792&amp;"|"&amp;DATOS!$E10792&amp;"|"&amp;DATOS!$I10792)</f>
      </c>
      <c r="G10792">
        <f>IF(DATOS!$A10792="",0,IF(CONFIG_METADATA!$B$4&lt;&gt;"OR+EX",--(DATOS!$G10792=CONFIG_METADATA!$B$4),IF(DATOS!$G10792="EX",1,IF(DATOS!$G10792="OR",--(COUNTIFS(nNIA,DATOS!$A10792,nCURSO,DATOS!$D10792,nESPEC,DATOS!$E10792,nASIG,DATOS!$I10792,nEVAL,"EX")=0),0))))</f>
      </c>
      <c r="H10792">
        <f>IF(DATOS!$G10792&lt;&gt;"EX",0,--(COUNTIFS(nNIA,DATOS!$A10792,nCURSO,DATOS!$D10792,nESPEC,DATOS!$E10792,nASIG,DATOS!$I10792,nEVAL,"OR")=0))</f>
      </c>
      <c r="I10792">
        <f>IF(DATOS!$I10792="","",IFERROR(VLOOKUP(DATOS!$I10792,CONFIG_ASIGNATURAS!$B$2:$J$91,9,FALSE()),""))</f>
      </c>
    </row>
    <row r="10793">
      <c r="F10793">
        <f>IF(DATOS!$A10793="","",DATOS!$A10793&amp;"|"&amp;DATOS!$D10793&amp;"|"&amp;DATOS!$E10793&amp;"|"&amp;DATOS!$I10793)</f>
      </c>
      <c r="G10793">
        <f>IF(DATOS!$A10793="",0,IF(CONFIG_METADATA!$B$4&lt;&gt;"OR+EX",--(DATOS!$G10793=CONFIG_METADATA!$B$4),IF(DATOS!$G10793="EX",1,IF(DATOS!$G10793="OR",--(COUNTIFS(nNIA,DATOS!$A10793,nCURSO,DATOS!$D10793,nESPEC,DATOS!$E10793,nASIG,DATOS!$I10793,nEVAL,"EX")=0),0))))</f>
      </c>
      <c r="H10793">
        <f>IF(DATOS!$G10793&lt;&gt;"EX",0,--(COUNTIFS(nNIA,DATOS!$A10793,nCURSO,DATOS!$D10793,nESPEC,DATOS!$E10793,nASIG,DATOS!$I10793,nEVAL,"OR")=0))</f>
      </c>
      <c r="I10793">
        <f>IF(DATOS!$I10793="","",IFERROR(VLOOKUP(DATOS!$I10793,CONFIG_ASIGNATURAS!$B$2:$J$91,9,FALSE()),""))</f>
      </c>
    </row>
    <row r="10794">
      <c r="F10794">
        <f>IF(DATOS!$A10794="","",DATOS!$A10794&amp;"|"&amp;DATOS!$D10794&amp;"|"&amp;DATOS!$E10794&amp;"|"&amp;DATOS!$I10794)</f>
      </c>
      <c r="G10794">
        <f>IF(DATOS!$A10794="",0,IF(CONFIG_METADATA!$B$4&lt;&gt;"OR+EX",--(DATOS!$G10794=CONFIG_METADATA!$B$4),IF(DATOS!$G10794="EX",1,IF(DATOS!$G10794="OR",--(COUNTIFS(nNIA,DATOS!$A10794,nCURSO,DATOS!$D10794,nESPEC,DATOS!$E10794,nASIG,DATOS!$I10794,nEVAL,"EX")=0),0))))</f>
      </c>
      <c r="H10794">
        <f>IF(DATOS!$G10794&lt;&gt;"EX",0,--(COUNTIFS(nNIA,DATOS!$A10794,nCURSO,DATOS!$D10794,nESPEC,DATOS!$E10794,nASIG,DATOS!$I10794,nEVAL,"OR")=0))</f>
      </c>
      <c r="I10794">
        <f>IF(DATOS!$I10794="","",IFERROR(VLOOKUP(DATOS!$I10794,CONFIG_ASIGNATURAS!$B$2:$J$91,9,FALSE()),""))</f>
      </c>
    </row>
    <row r="10795">
      <c r="F10795">
        <f>IF(DATOS!$A10795="","",DATOS!$A10795&amp;"|"&amp;DATOS!$D10795&amp;"|"&amp;DATOS!$E10795&amp;"|"&amp;DATOS!$I10795)</f>
      </c>
      <c r="G10795">
        <f>IF(DATOS!$A10795="",0,IF(CONFIG_METADATA!$B$4&lt;&gt;"OR+EX",--(DATOS!$G10795=CONFIG_METADATA!$B$4),IF(DATOS!$G10795="EX",1,IF(DATOS!$G10795="OR",--(COUNTIFS(nNIA,DATOS!$A10795,nCURSO,DATOS!$D10795,nESPEC,DATOS!$E10795,nASIG,DATOS!$I10795,nEVAL,"EX")=0),0))))</f>
      </c>
      <c r="H10795">
        <f>IF(DATOS!$G10795&lt;&gt;"EX",0,--(COUNTIFS(nNIA,DATOS!$A10795,nCURSO,DATOS!$D10795,nESPEC,DATOS!$E10795,nASIG,DATOS!$I10795,nEVAL,"OR")=0))</f>
      </c>
      <c r="I10795">
        <f>IF(DATOS!$I10795="","",IFERROR(VLOOKUP(DATOS!$I10795,CONFIG_ASIGNATURAS!$B$2:$J$91,9,FALSE()),""))</f>
      </c>
    </row>
    <row r="10796">
      <c r="F10796">
        <f>IF(DATOS!$A10796="","",DATOS!$A10796&amp;"|"&amp;DATOS!$D10796&amp;"|"&amp;DATOS!$E10796&amp;"|"&amp;DATOS!$I10796)</f>
      </c>
      <c r="G10796">
        <f>IF(DATOS!$A10796="",0,IF(CONFIG_METADATA!$B$4&lt;&gt;"OR+EX",--(DATOS!$G10796=CONFIG_METADATA!$B$4),IF(DATOS!$G10796="EX",1,IF(DATOS!$G10796="OR",--(COUNTIFS(nNIA,DATOS!$A10796,nCURSO,DATOS!$D10796,nESPEC,DATOS!$E10796,nASIG,DATOS!$I10796,nEVAL,"EX")=0),0))))</f>
      </c>
      <c r="H10796">
        <f>IF(DATOS!$G10796&lt;&gt;"EX",0,--(COUNTIFS(nNIA,DATOS!$A10796,nCURSO,DATOS!$D10796,nESPEC,DATOS!$E10796,nASIG,DATOS!$I10796,nEVAL,"OR")=0))</f>
      </c>
      <c r="I10796">
        <f>IF(DATOS!$I10796="","",IFERROR(VLOOKUP(DATOS!$I10796,CONFIG_ASIGNATURAS!$B$2:$J$91,9,FALSE()),""))</f>
      </c>
    </row>
    <row r="10797">
      <c r="F10797">
        <f>IF(DATOS!$A10797="","",DATOS!$A10797&amp;"|"&amp;DATOS!$D10797&amp;"|"&amp;DATOS!$E10797&amp;"|"&amp;DATOS!$I10797)</f>
      </c>
      <c r="G10797">
        <f>IF(DATOS!$A10797="",0,IF(CONFIG_METADATA!$B$4&lt;&gt;"OR+EX",--(DATOS!$G10797=CONFIG_METADATA!$B$4),IF(DATOS!$G10797="EX",1,IF(DATOS!$G10797="OR",--(COUNTIFS(nNIA,DATOS!$A10797,nCURSO,DATOS!$D10797,nESPEC,DATOS!$E10797,nASIG,DATOS!$I10797,nEVAL,"EX")=0),0))))</f>
      </c>
      <c r="H10797">
        <f>IF(DATOS!$G10797&lt;&gt;"EX",0,--(COUNTIFS(nNIA,DATOS!$A10797,nCURSO,DATOS!$D10797,nESPEC,DATOS!$E10797,nASIG,DATOS!$I10797,nEVAL,"OR")=0))</f>
      </c>
      <c r="I10797">
        <f>IF(DATOS!$I10797="","",IFERROR(VLOOKUP(DATOS!$I10797,CONFIG_ASIGNATURAS!$B$2:$J$91,9,FALSE()),""))</f>
      </c>
    </row>
    <row r="10798">
      <c r="F10798">
        <f>IF(DATOS!$A10798="","",DATOS!$A10798&amp;"|"&amp;DATOS!$D10798&amp;"|"&amp;DATOS!$E10798&amp;"|"&amp;DATOS!$I10798)</f>
      </c>
      <c r="G10798">
        <f>IF(DATOS!$A10798="",0,IF(CONFIG_METADATA!$B$4&lt;&gt;"OR+EX",--(DATOS!$G10798=CONFIG_METADATA!$B$4),IF(DATOS!$G10798="EX",1,IF(DATOS!$G10798="OR",--(COUNTIFS(nNIA,DATOS!$A10798,nCURSO,DATOS!$D10798,nESPEC,DATOS!$E10798,nASIG,DATOS!$I10798,nEVAL,"EX")=0),0))))</f>
      </c>
      <c r="H10798">
        <f>IF(DATOS!$G10798&lt;&gt;"EX",0,--(COUNTIFS(nNIA,DATOS!$A10798,nCURSO,DATOS!$D10798,nESPEC,DATOS!$E10798,nASIG,DATOS!$I10798,nEVAL,"OR")=0))</f>
      </c>
      <c r="I10798">
        <f>IF(DATOS!$I10798="","",IFERROR(VLOOKUP(DATOS!$I10798,CONFIG_ASIGNATURAS!$B$2:$J$91,9,FALSE()),""))</f>
      </c>
    </row>
    <row r="10799">
      <c r="F10799">
        <f>IF(DATOS!$A10799="","",DATOS!$A10799&amp;"|"&amp;DATOS!$D10799&amp;"|"&amp;DATOS!$E10799&amp;"|"&amp;DATOS!$I10799)</f>
      </c>
      <c r="G10799">
        <f>IF(DATOS!$A10799="",0,IF(CONFIG_METADATA!$B$4&lt;&gt;"OR+EX",--(DATOS!$G10799=CONFIG_METADATA!$B$4),IF(DATOS!$G10799="EX",1,IF(DATOS!$G10799="OR",--(COUNTIFS(nNIA,DATOS!$A10799,nCURSO,DATOS!$D10799,nESPEC,DATOS!$E10799,nASIG,DATOS!$I10799,nEVAL,"EX")=0),0))))</f>
      </c>
      <c r="H10799">
        <f>IF(DATOS!$G10799&lt;&gt;"EX",0,--(COUNTIFS(nNIA,DATOS!$A10799,nCURSO,DATOS!$D10799,nESPEC,DATOS!$E10799,nASIG,DATOS!$I10799,nEVAL,"OR")=0))</f>
      </c>
      <c r="I10799">
        <f>IF(DATOS!$I10799="","",IFERROR(VLOOKUP(DATOS!$I10799,CONFIG_ASIGNATURAS!$B$2:$J$91,9,FALSE()),""))</f>
      </c>
    </row>
    <row r="10800">
      <c r="F10800">
        <f>IF(DATOS!$A10800="","",DATOS!$A10800&amp;"|"&amp;DATOS!$D10800&amp;"|"&amp;DATOS!$E10800&amp;"|"&amp;DATOS!$I10800)</f>
      </c>
      <c r="G10800">
        <f>IF(DATOS!$A10800="",0,IF(CONFIG_METADATA!$B$4&lt;&gt;"OR+EX",--(DATOS!$G10800=CONFIG_METADATA!$B$4),IF(DATOS!$G10800="EX",1,IF(DATOS!$G10800="OR",--(COUNTIFS(nNIA,DATOS!$A10800,nCURSO,DATOS!$D10800,nESPEC,DATOS!$E10800,nASIG,DATOS!$I10800,nEVAL,"EX")=0),0))))</f>
      </c>
      <c r="H10800">
        <f>IF(DATOS!$G10800&lt;&gt;"EX",0,--(COUNTIFS(nNIA,DATOS!$A10800,nCURSO,DATOS!$D10800,nESPEC,DATOS!$E10800,nASIG,DATOS!$I10800,nEVAL,"OR")=0))</f>
      </c>
      <c r="I10800">
        <f>IF(DATOS!$I10800="","",IFERROR(VLOOKUP(DATOS!$I10800,CONFIG_ASIGNATURAS!$B$2:$J$91,9,FALSE()),""))</f>
      </c>
    </row>
    <row r="10801">
      <c r="F10801">
        <f>IF(DATOS!$A10801="","",DATOS!$A10801&amp;"|"&amp;DATOS!$D10801&amp;"|"&amp;DATOS!$E10801&amp;"|"&amp;DATOS!$I10801)</f>
      </c>
      <c r="G10801">
        <f>IF(DATOS!$A10801="",0,IF(CONFIG_METADATA!$B$4&lt;&gt;"OR+EX",--(DATOS!$G10801=CONFIG_METADATA!$B$4),IF(DATOS!$G10801="EX",1,IF(DATOS!$G10801="OR",--(COUNTIFS(nNIA,DATOS!$A10801,nCURSO,DATOS!$D10801,nESPEC,DATOS!$E10801,nASIG,DATOS!$I10801,nEVAL,"EX")=0),0))))</f>
      </c>
      <c r="H10801">
        <f>IF(DATOS!$G10801&lt;&gt;"EX",0,--(COUNTIFS(nNIA,DATOS!$A10801,nCURSO,DATOS!$D10801,nESPEC,DATOS!$E10801,nASIG,DATOS!$I10801,nEVAL,"OR")=0))</f>
      </c>
      <c r="I10801">
        <f>IF(DATOS!$I10801="","",IFERROR(VLOOKUP(DATOS!$I10801,CONFIG_ASIGNATURAS!$B$2:$J$91,9,FALSE()),""))</f>
      </c>
    </row>
    <row r="10802">
      <c r="F10802">
        <f>IF(DATOS!$A10802="","",DATOS!$A10802&amp;"|"&amp;DATOS!$D10802&amp;"|"&amp;DATOS!$E10802&amp;"|"&amp;DATOS!$I10802)</f>
      </c>
      <c r="G10802">
        <f>IF(DATOS!$A10802="",0,IF(CONFIG_METADATA!$B$4&lt;&gt;"OR+EX",--(DATOS!$G10802=CONFIG_METADATA!$B$4),IF(DATOS!$G10802="EX",1,IF(DATOS!$G10802="OR",--(COUNTIFS(nNIA,DATOS!$A10802,nCURSO,DATOS!$D10802,nESPEC,DATOS!$E10802,nASIG,DATOS!$I10802,nEVAL,"EX")=0),0))))</f>
      </c>
      <c r="H10802">
        <f>IF(DATOS!$G10802&lt;&gt;"EX",0,--(COUNTIFS(nNIA,DATOS!$A10802,nCURSO,DATOS!$D10802,nESPEC,DATOS!$E10802,nASIG,DATOS!$I10802,nEVAL,"OR")=0))</f>
      </c>
      <c r="I10802">
        <f>IF(DATOS!$I10802="","",IFERROR(VLOOKUP(DATOS!$I10802,CONFIG_ASIGNATURAS!$B$2:$J$91,9,FALSE()),""))</f>
      </c>
    </row>
    <row r="10803">
      <c r="F10803">
        <f>IF(DATOS!$A10803="","",DATOS!$A10803&amp;"|"&amp;DATOS!$D10803&amp;"|"&amp;DATOS!$E10803&amp;"|"&amp;DATOS!$I10803)</f>
      </c>
      <c r="G10803">
        <f>IF(DATOS!$A10803="",0,IF(CONFIG_METADATA!$B$4&lt;&gt;"OR+EX",--(DATOS!$G10803=CONFIG_METADATA!$B$4),IF(DATOS!$G10803="EX",1,IF(DATOS!$G10803="OR",--(COUNTIFS(nNIA,DATOS!$A10803,nCURSO,DATOS!$D10803,nESPEC,DATOS!$E10803,nASIG,DATOS!$I10803,nEVAL,"EX")=0),0))))</f>
      </c>
      <c r="H10803">
        <f>IF(DATOS!$G10803&lt;&gt;"EX",0,--(COUNTIFS(nNIA,DATOS!$A10803,nCURSO,DATOS!$D10803,nESPEC,DATOS!$E10803,nASIG,DATOS!$I10803,nEVAL,"OR")=0))</f>
      </c>
      <c r="I10803">
        <f>IF(DATOS!$I10803="","",IFERROR(VLOOKUP(DATOS!$I10803,CONFIG_ASIGNATURAS!$B$2:$J$91,9,FALSE()),""))</f>
      </c>
    </row>
    <row r="10804">
      <c r="F10804">
        <f>IF(DATOS!$A10804="","",DATOS!$A10804&amp;"|"&amp;DATOS!$D10804&amp;"|"&amp;DATOS!$E10804&amp;"|"&amp;DATOS!$I10804)</f>
      </c>
      <c r="G10804">
        <f>IF(DATOS!$A10804="",0,IF(CONFIG_METADATA!$B$4&lt;&gt;"OR+EX",--(DATOS!$G10804=CONFIG_METADATA!$B$4),IF(DATOS!$G10804="EX",1,IF(DATOS!$G10804="OR",--(COUNTIFS(nNIA,DATOS!$A10804,nCURSO,DATOS!$D10804,nESPEC,DATOS!$E10804,nASIG,DATOS!$I10804,nEVAL,"EX")=0),0))))</f>
      </c>
      <c r="H10804">
        <f>IF(DATOS!$G10804&lt;&gt;"EX",0,--(COUNTIFS(nNIA,DATOS!$A10804,nCURSO,DATOS!$D10804,nESPEC,DATOS!$E10804,nASIG,DATOS!$I10804,nEVAL,"OR")=0))</f>
      </c>
      <c r="I10804">
        <f>IF(DATOS!$I10804="","",IFERROR(VLOOKUP(DATOS!$I10804,CONFIG_ASIGNATURAS!$B$2:$J$91,9,FALSE()),""))</f>
      </c>
    </row>
    <row r="10805">
      <c r="F10805">
        <f>IF(DATOS!$A10805="","",DATOS!$A10805&amp;"|"&amp;DATOS!$D10805&amp;"|"&amp;DATOS!$E10805&amp;"|"&amp;DATOS!$I10805)</f>
      </c>
      <c r="G10805">
        <f>IF(DATOS!$A10805="",0,IF(CONFIG_METADATA!$B$4&lt;&gt;"OR+EX",--(DATOS!$G10805=CONFIG_METADATA!$B$4),IF(DATOS!$G10805="EX",1,IF(DATOS!$G10805="OR",--(COUNTIFS(nNIA,DATOS!$A10805,nCURSO,DATOS!$D10805,nESPEC,DATOS!$E10805,nASIG,DATOS!$I10805,nEVAL,"EX")=0),0))))</f>
      </c>
      <c r="H10805">
        <f>IF(DATOS!$G10805&lt;&gt;"EX",0,--(COUNTIFS(nNIA,DATOS!$A10805,nCURSO,DATOS!$D10805,nESPEC,DATOS!$E10805,nASIG,DATOS!$I10805,nEVAL,"OR")=0))</f>
      </c>
      <c r="I10805">
        <f>IF(DATOS!$I10805="","",IFERROR(VLOOKUP(DATOS!$I10805,CONFIG_ASIGNATURAS!$B$2:$J$91,9,FALSE()),""))</f>
      </c>
    </row>
    <row r="10806">
      <c r="F10806">
        <f>IF(DATOS!$A10806="","",DATOS!$A10806&amp;"|"&amp;DATOS!$D10806&amp;"|"&amp;DATOS!$E10806&amp;"|"&amp;DATOS!$I10806)</f>
      </c>
      <c r="G10806">
        <f>IF(DATOS!$A10806="",0,IF(CONFIG_METADATA!$B$4&lt;&gt;"OR+EX",--(DATOS!$G10806=CONFIG_METADATA!$B$4),IF(DATOS!$G10806="EX",1,IF(DATOS!$G10806="OR",--(COUNTIFS(nNIA,DATOS!$A10806,nCURSO,DATOS!$D10806,nESPEC,DATOS!$E10806,nASIG,DATOS!$I10806,nEVAL,"EX")=0),0))))</f>
      </c>
      <c r="H10806">
        <f>IF(DATOS!$G10806&lt;&gt;"EX",0,--(COUNTIFS(nNIA,DATOS!$A10806,nCURSO,DATOS!$D10806,nESPEC,DATOS!$E10806,nASIG,DATOS!$I10806,nEVAL,"OR")=0))</f>
      </c>
      <c r="I10806">
        <f>IF(DATOS!$I10806="","",IFERROR(VLOOKUP(DATOS!$I10806,CONFIG_ASIGNATURAS!$B$2:$J$91,9,FALSE()),""))</f>
      </c>
    </row>
    <row r="10807">
      <c r="F10807">
        <f>IF(DATOS!$A10807="","",DATOS!$A10807&amp;"|"&amp;DATOS!$D10807&amp;"|"&amp;DATOS!$E10807&amp;"|"&amp;DATOS!$I10807)</f>
      </c>
      <c r="G10807">
        <f>IF(DATOS!$A10807="",0,IF(CONFIG_METADATA!$B$4&lt;&gt;"OR+EX",--(DATOS!$G10807=CONFIG_METADATA!$B$4),IF(DATOS!$G10807="EX",1,IF(DATOS!$G10807="OR",--(COUNTIFS(nNIA,DATOS!$A10807,nCURSO,DATOS!$D10807,nESPEC,DATOS!$E10807,nASIG,DATOS!$I10807,nEVAL,"EX")=0),0))))</f>
      </c>
      <c r="H10807">
        <f>IF(DATOS!$G10807&lt;&gt;"EX",0,--(COUNTIFS(nNIA,DATOS!$A10807,nCURSO,DATOS!$D10807,nESPEC,DATOS!$E10807,nASIG,DATOS!$I10807,nEVAL,"OR")=0))</f>
      </c>
      <c r="I10807">
        <f>IF(DATOS!$I10807="","",IFERROR(VLOOKUP(DATOS!$I10807,CONFIG_ASIGNATURAS!$B$2:$J$91,9,FALSE()),""))</f>
      </c>
    </row>
    <row r="10808">
      <c r="F10808">
        <f>IF(DATOS!$A10808="","",DATOS!$A10808&amp;"|"&amp;DATOS!$D10808&amp;"|"&amp;DATOS!$E10808&amp;"|"&amp;DATOS!$I10808)</f>
      </c>
      <c r="G10808">
        <f>IF(DATOS!$A10808="",0,IF(CONFIG_METADATA!$B$4&lt;&gt;"OR+EX",--(DATOS!$G10808=CONFIG_METADATA!$B$4),IF(DATOS!$G10808="EX",1,IF(DATOS!$G10808="OR",--(COUNTIFS(nNIA,DATOS!$A10808,nCURSO,DATOS!$D10808,nESPEC,DATOS!$E10808,nASIG,DATOS!$I10808,nEVAL,"EX")=0),0))))</f>
      </c>
      <c r="H10808">
        <f>IF(DATOS!$G10808&lt;&gt;"EX",0,--(COUNTIFS(nNIA,DATOS!$A10808,nCURSO,DATOS!$D10808,nESPEC,DATOS!$E10808,nASIG,DATOS!$I10808,nEVAL,"OR")=0))</f>
      </c>
      <c r="I10808">
        <f>IF(DATOS!$I10808="","",IFERROR(VLOOKUP(DATOS!$I10808,CONFIG_ASIGNATURAS!$B$2:$J$91,9,FALSE()),""))</f>
      </c>
    </row>
    <row r="10809">
      <c r="F10809">
        <f>IF(DATOS!$A10809="","",DATOS!$A10809&amp;"|"&amp;DATOS!$D10809&amp;"|"&amp;DATOS!$E10809&amp;"|"&amp;DATOS!$I10809)</f>
      </c>
      <c r="G10809">
        <f>IF(DATOS!$A10809="",0,IF(CONFIG_METADATA!$B$4&lt;&gt;"OR+EX",--(DATOS!$G10809=CONFIG_METADATA!$B$4),IF(DATOS!$G10809="EX",1,IF(DATOS!$G10809="OR",--(COUNTIFS(nNIA,DATOS!$A10809,nCURSO,DATOS!$D10809,nESPEC,DATOS!$E10809,nASIG,DATOS!$I10809,nEVAL,"EX")=0),0))))</f>
      </c>
      <c r="H10809">
        <f>IF(DATOS!$G10809&lt;&gt;"EX",0,--(COUNTIFS(nNIA,DATOS!$A10809,nCURSO,DATOS!$D10809,nESPEC,DATOS!$E10809,nASIG,DATOS!$I10809,nEVAL,"OR")=0))</f>
      </c>
      <c r="I10809">
        <f>IF(DATOS!$I10809="","",IFERROR(VLOOKUP(DATOS!$I10809,CONFIG_ASIGNATURAS!$B$2:$J$91,9,FALSE()),""))</f>
      </c>
    </row>
    <row r="10810">
      <c r="F10810">
        <f>IF(DATOS!$A10810="","",DATOS!$A10810&amp;"|"&amp;DATOS!$D10810&amp;"|"&amp;DATOS!$E10810&amp;"|"&amp;DATOS!$I10810)</f>
      </c>
      <c r="G10810">
        <f>IF(DATOS!$A10810="",0,IF(CONFIG_METADATA!$B$4&lt;&gt;"OR+EX",--(DATOS!$G10810=CONFIG_METADATA!$B$4),IF(DATOS!$G10810="EX",1,IF(DATOS!$G10810="OR",--(COUNTIFS(nNIA,DATOS!$A10810,nCURSO,DATOS!$D10810,nESPEC,DATOS!$E10810,nASIG,DATOS!$I10810,nEVAL,"EX")=0),0))))</f>
      </c>
      <c r="H10810">
        <f>IF(DATOS!$G10810&lt;&gt;"EX",0,--(COUNTIFS(nNIA,DATOS!$A10810,nCURSO,DATOS!$D10810,nESPEC,DATOS!$E10810,nASIG,DATOS!$I10810,nEVAL,"OR")=0))</f>
      </c>
      <c r="I10810">
        <f>IF(DATOS!$I10810="","",IFERROR(VLOOKUP(DATOS!$I10810,CONFIG_ASIGNATURAS!$B$2:$J$91,9,FALSE()),""))</f>
      </c>
    </row>
    <row r="10811">
      <c r="F10811">
        <f>IF(DATOS!$A10811="","",DATOS!$A10811&amp;"|"&amp;DATOS!$D10811&amp;"|"&amp;DATOS!$E10811&amp;"|"&amp;DATOS!$I10811)</f>
      </c>
      <c r="G10811">
        <f>IF(DATOS!$A10811="",0,IF(CONFIG_METADATA!$B$4&lt;&gt;"OR+EX",--(DATOS!$G10811=CONFIG_METADATA!$B$4),IF(DATOS!$G10811="EX",1,IF(DATOS!$G10811="OR",--(COUNTIFS(nNIA,DATOS!$A10811,nCURSO,DATOS!$D10811,nESPEC,DATOS!$E10811,nASIG,DATOS!$I10811,nEVAL,"EX")=0),0))))</f>
      </c>
      <c r="H10811">
        <f>IF(DATOS!$G10811&lt;&gt;"EX",0,--(COUNTIFS(nNIA,DATOS!$A10811,nCURSO,DATOS!$D10811,nESPEC,DATOS!$E10811,nASIG,DATOS!$I10811,nEVAL,"OR")=0))</f>
      </c>
      <c r="I10811">
        <f>IF(DATOS!$I10811="","",IFERROR(VLOOKUP(DATOS!$I10811,CONFIG_ASIGNATURAS!$B$2:$J$91,9,FALSE()),""))</f>
      </c>
    </row>
    <row r="10812">
      <c r="F10812">
        <f>IF(DATOS!$A10812="","",DATOS!$A10812&amp;"|"&amp;DATOS!$D10812&amp;"|"&amp;DATOS!$E10812&amp;"|"&amp;DATOS!$I10812)</f>
      </c>
      <c r="G10812">
        <f>IF(DATOS!$A10812="",0,IF(CONFIG_METADATA!$B$4&lt;&gt;"OR+EX",--(DATOS!$G10812=CONFIG_METADATA!$B$4),IF(DATOS!$G10812="EX",1,IF(DATOS!$G10812="OR",--(COUNTIFS(nNIA,DATOS!$A10812,nCURSO,DATOS!$D10812,nESPEC,DATOS!$E10812,nASIG,DATOS!$I10812,nEVAL,"EX")=0),0))))</f>
      </c>
      <c r="H10812">
        <f>IF(DATOS!$G10812&lt;&gt;"EX",0,--(COUNTIFS(nNIA,DATOS!$A10812,nCURSO,DATOS!$D10812,nESPEC,DATOS!$E10812,nASIG,DATOS!$I10812,nEVAL,"OR")=0))</f>
      </c>
      <c r="I10812">
        <f>IF(DATOS!$I10812="","",IFERROR(VLOOKUP(DATOS!$I10812,CONFIG_ASIGNATURAS!$B$2:$J$91,9,FALSE()),""))</f>
      </c>
    </row>
    <row r="10813">
      <c r="F10813">
        <f>IF(DATOS!$A10813="","",DATOS!$A10813&amp;"|"&amp;DATOS!$D10813&amp;"|"&amp;DATOS!$E10813&amp;"|"&amp;DATOS!$I10813)</f>
      </c>
      <c r="G10813">
        <f>IF(DATOS!$A10813="",0,IF(CONFIG_METADATA!$B$4&lt;&gt;"OR+EX",--(DATOS!$G10813=CONFIG_METADATA!$B$4),IF(DATOS!$G10813="EX",1,IF(DATOS!$G10813="OR",--(COUNTIFS(nNIA,DATOS!$A10813,nCURSO,DATOS!$D10813,nESPEC,DATOS!$E10813,nASIG,DATOS!$I10813,nEVAL,"EX")=0),0))))</f>
      </c>
      <c r="H10813">
        <f>IF(DATOS!$G10813&lt;&gt;"EX",0,--(COUNTIFS(nNIA,DATOS!$A10813,nCURSO,DATOS!$D10813,nESPEC,DATOS!$E10813,nASIG,DATOS!$I10813,nEVAL,"OR")=0))</f>
      </c>
      <c r="I10813">
        <f>IF(DATOS!$I10813="","",IFERROR(VLOOKUP(DATOS!$I10813,CONFIG_ASIGNATURAS!$B$2:$J$91,9,FALSE()),""))</f>
      </c>
    </row>
    <row r="10814">
      <c r="F10814">
        <f>IF(DATOS!$A10814="","",DATOS!$A10814&amp;"|"&amp;DATOS!$D10814&amp;"|"&amp;DATOS!$E10814&amp;"|"&amp;DATOS!$I10814)</f>
      </c>
      <c r="G10814">
        <f>IF(DATOS!$A10814="",0,IF(CONFIG_METADATA!$B$4&lt;&gt;"OR+EX",--(DATOS!$G10814=CONFIG_METADATA!$B$4),IF(DATOS!$G10814="EX",1,IF(DATOS!$G10814="OR",--(COUNTIFS(nNIA,DATOS!$A10814,nCURSO,DATOS!$D10814,nESPEC,DATOS!$E10814,nASIG,DATOS!$I10814,nEVAL,"EX")=0),0))))</f>
      </c>
      <c r="H10814">
        <f>IF(DATOS!$G10814&lt;&gt;"EX",0,--(COUNTIFS(nNIA,DATOS!$A10814,nCURSO,DATOS!$D10814,nESPEC,DATOS!$E10814,nASIG,DATOS!$I10814,nEVAL,"OR")=0))</f>
      </c>
      <c r="I10814">
        <f>IF(DATOS!$I10814="","",IFERROR(VLOOKUP(DATOS!$I10814,CONFIG_ASIGNATURAS!$B$2:$J$91,9,FALSE()),""))</f>
      </c>
    </row>
    <row r="10815">
      <c r="F10815">
        <f>IF(DATOS!$A10815="","",DATOS!$A10815&amp;"|"&amp;DATOS!$D10815&amp;"|"&amp;DATOS!$E10815&amp;"|"&amp;DATOS!$I10815)</f>
      </c>
      <c r="G10815">
        <f>IF(DATOS!$A10815="",0,IF(CONFIG_METADATA!$B$4&lt;&gt;"OR+EX",--(DATOS!$G10815=CONFIG_METADATA!$B$4),IF(DATOS!$G10815="EX",1,IF(DATOS!$G10815="OR",--(COUNTIFS(nNIA,DATOS!$A10815,nCURSO,DATOS!$D10815,nESPEC,DATOS!$E10815,nASIG,DATOS!$I10815,nEVAL,"EX")=0),0))))</f>
      </c>
      <c r="H10815">
        <f>IF(DATOS!$G10815&lt;&gt;"EX",0,--(COUNTIFS(nNIA,DATOS!$A10815,nCURSO,DATOS!$D10815,nESPEC,DATOS!$E10815,nASIG,DATOS!$I10815,nEVAL,"OR")=0))</f>
      </c>
      <c r="I10815">
        <f>IF(DATOS!$I10815="","",IFERROR(VLOOKUP(DATOS!$I10815,CONFIG_ASIGNATURAS!$B$2:$J$91,9,FALSE()),""))</f>
      </c>
    </row>
    <row r="10816">
      <c r="F10816">
        <f>IF(DATOS!$A10816="","",DATOS!$A10816&amp;"|"&amp;DATOS!$D10816&amp;"|"&amp;DATOS!$E10816&amp;"|"&amp;DATOS!$I10816)</f>
      </c>
      <c r="G10816">
        <f>IF(DATOS!$A10816="",0,IF(CONFIG_METADATA!$B$4&lt;&gt;"OR+EX",--(DATOS!$G10816=CONFIG_METADATA!$B$4),IF(DATOS!$G10816="EX",1,IF(DATOS!$G10816="OR",--(COUNTIFS(nNIA,DATOS!$A10816,nCURSO,DATOS!$D10816,nESPEC,DATOS!$E10816,nASIG,DATOS!$I10816,nEVAL,"EX")=0),0))))</f>
      </c>
      <c r="H10816">
        <f>IF(DATOS!$G10816&lt;&gt;"EX",0,--(COUNTIFS(nNIA,DATOS!$A10816,nCURSO,DATOS!$D10816,nESPEC,DATOS!$E10816,nASIG,DATOS!$I10816,nEVAL,"OR")=0))</f>
      </c>
      <c r="I10816">
        <f>IF(DATOS!$I10816="","",IFERROR(VLOOKUP(DATOS!$I10816,CONFIG_ASIGNATURAS!$B$2:$J$91,9,FALSE()),""))</f>
      </c>
    </row>
    <row r="10817">
      <c r="F10817">
        <f>IF(DATOS!$A10817="","",DATOS!$A10817&amp;"|"&amp;DATOS!$D10817&amp;"|"&amp;DATOS!$E10817&amp;"|"&amp;DATOS!$I10817)</f>
      </c>
      <c r="G10817">
        <f>IF(DATOS!$A10817="",0,IF(CONFIG_METADATA!$B$4&lt;&gt;"OR+EX",--(DATOS!$G10817=CONFIG_METADATA!$B$4),IF(DATOS!$G10817="EX",1,IF(DATOS!$G10817="OR",--(COUNTIFS(nNIA,DATOS!$A10817,nCURSO,DATOS!$D10817,nESPEC,DATOS!$E10817,nASIG,DATOS!$I10817,nEVAL,"EX")=0),0))))</f>
      </c>
      <c r="H10817">
        <f>IF(DATOS!$G10817&lt;&gt;"EX",0,--(COUNTIFS(nNIA,DATOS!$A10817,nCURSO,DATOS!$D10817,nESPEC,DATOS!$E10817,nASIG,DATOS!$I10817,nEVAL,"OR")=0))</f>
      </c>
      <c r="I10817">
        <f>IF(DATOS!$I10817="","",IFERROR(VLOOKUP(DATOS!$I10817,CONFIG_ASIGNATURAS!$B$2:$J$91,9,FALSE()),""))</f>
      </c>
    </row>
    <row r="10818">
      <c r="F10818">
        <f>IF(DATOS!$A10818="","",DATOS!$A10818&amp;"|"&amp;DATOS!$D10818&amp;"|"&amp;DATOS!$E10818&amp;"|"&amp;DATOS!$I10818)</f>
      </c>
      <c r="G10818">
        <f>IF(DATOS!$A10818="",0,IF(CONFIG_METADATA!$B$4&lt;&gt;"OR+EX",--(DATOS!$G10818=CONFIG_METADATA!$B$4),IF(DATOS!$G10818="EX",1,IF(DATOS!$G10818="OR",--(COUNTIFS(nNIA,DATOS!$A10818,nCURSO,DATOS!$D10818,nESPEC,DATOS!$E10818,nASIG,DATOS!$I10818,nEVAL,"EX")=0),0))))</f>
      </c>
      <c r="H10818">
        <f>IF(DATOS!$G10818&lt;&gt;"EX",0,--(COUNTIFS(nNIA,DATOS!$A10818,nCURSO,DATOS!$D10818,nESPEC,DATOS!$E10818,nASIG,DATOS!$I10818,nEVAL,"OR")=0))</f>
      </c>
      <c r="I10818">
        <f>IF(DATOS!$I10818="","",IFERROR(VLOOKUP(DATOS!$I10818,CONFIG_ASIGNATURAS!$B$2:$J$91,9,FALSE()),""))</f>
      </c>
    </row>
    <row r="10819">
      <c r="F10819">
        <f>IF(DATOS!$A10819="","",DATOS!$A10819&amp;"|"&amp;DATOS!$D10819&amp;"|"&amp;DATOS!$E10819&amp;"|"&amp;DATOS!$I10819)</f>
      </c>
      <c r="G10819">
        <f>IF(DATOS!$A10819="",0,IF(CONFIG_METADATA!$B$4&lt;&gt;"OR+EX",--(DATOS!$G10819=CONFIG_METADATA!$B$4),IF(DATOS!$G10819="EX",1,IF(DATOS!$G10819="OR",--(COUNTIFS(nNIA,DATOS!$A10819,nCURSO,DATOS!$D10819,nESPEC,DATOS!$E10819,nASIG,DATOS!$I10819,nEVAL,"EX")=0),0))))</f>
      </c>
      <c r="H10819">
        <f>IF(DATOS!$G10819&lt;&gt;"EX",0,--(COUNTIFS(nNIA,DATOS!$A10819,nCURSO,DATOS!$D10819,nESPEC,DATOS!$E10819,nASIG,DATOS!$I10819,nEVAL,"OR")=0))</f>
      </c>
      <c r="I10819">
        <f>IF(DATOS!$I10819="","",IFERROR(VLOOKUP(DATOS!$I10819,CONFIG_ASIGNATURAS!$B$2:$J$91,9,FALSE()),""))</f>
      </c>
    </row>
    <row r="10820">
      <c r="F10820">
        <f>IF(DATOS!$A10820="","",DATOS!$A10820&amp;"|"&amp;DATOS!$D10820&amp;"|"&amp;DATOS!$E10820&amp;"|"&amp;DATOS!$I10820)</f>
      </c>
      <c r="G10820">
        <f>IF(DATOS!$A10820="",0,IF(CONFIG_METADATA!$B$4&lt;&gt;"OR+EX",--(DATOS!$G10820=CONFIG_METADATA!$B$4),IF(DATOS!$G10820="EX",1,IF(DATOS!$G10820="OR",--(COUNTIFS(nNIA,DATOS!$A10820,nCURSO,DATOS!$D10820,nESPEC,DATOS!$E10820,nASIG,DATOS!$I10820,nEVAL,"EX")=0),0))))</f>
      </c>
      <c r="H10820">
        <f>IF(DATOS!$G10820&lt;&gt;"EX",0,--(COUNTIFS(nNIA,DATOS!$A10820,nCURSO,DATOS!$D10820,nESPEC,DATOS!$E10820,nASIG,DATOS!$I10820,nEVAL,"OR")=0))</f>
      </c>
      <c r="I10820">
        <f>IF(DATOS!$I10820="","",IFERROR(VLOOKUP(DATOS!$I10820,CONFIG_ASIGNATURAS!$B$2:$J$91,9,FALSE()),""))</f>
      </c>
    </row>
    <row r="10821">
      <c r="F10821">
        <f>IF(DATOS!$A10821="","",DATOS!$A10821&amp;"|"&amp;DATOS!$D10821&amp;"|"&amp;DATOS!$E10821&amp;"|"&amp;DATOS!$I10821)</f>
      </c>
      <c r="G10821">
        <f>IF(DATOS!$A10821="",0,IF(CONFIG_METADATA!$B$4&lt;&gt;"OR+EX",--(DATOS!$G10821=CONFIG_METADATA!$B$4),IF(DATOS!$G10821="EX",1,IF(DATOS!$G10821="OR",--(COUNTIFS(nNIA,DATOS!$A10821,nCURSO,DATOS!$D10821,nESPEC,DATOS!$E10821,nASIG,DATOS!$I10821,nEVAL,"EX")=0),0))))</f>
      </c>
      <c r="H10821">
        <f>IF(DATOS!$G10821&lt;&gt;"EX",0,--(COUNTIFS(nNIA,DATOS!$A10821,nCURSO,DATOS!$D10821,nESPEC,DATOS!$E10821,nASIG,DATOS!$I10821,nEVAL,"OR")=0))</f>
      </c>
      <c r="I10821">
        <f>IF(DATOS!$I10821="","",IFERROR(VLOOKUP(DATOS!$I10821,CONFIG_ASIGNATURAS!$B$2:$J$91,9,FALSE()),""))</f>
      </c>
    </row>
    <row r="10822">
      <c r="F10822">
        <f>IF(DATOS!$A10822="","",DATOS!$A10822&amp;"|"&amp;DATOS!$D10822&amp;"|"&amp;DATOS!$E10822&amp;"|"&amp;DATOS!$I10822)</f>
      </c>
      <c r="G10822">
        <f>IF(DATOS!$A10822="",0,IF(CONFIG_METADATA!$B$4&lt;&gt;"OR+EX",--(DATOS!$G10822=CONFIG_METADATA!$B$4),IF(DATOS!$G10822="EX",1,IF(DATOS!$G10822="OR",--(COUNTIFS(nNIA,DATOS!$A10822,nCURSO,DATOS!$D10822,nESPEC,DATOS!$E10822,nASIG,DATOS!$I10822,nEVAL,"EX")=0),0))))</f>
      </c>
      <c r="H10822">
        <f>IF(DATOS!$G10822&lt;&gt;"EX",0,--(COUNTIFS(nNIA,DATOS!$A10822,nCURSO,DATOS!$D10822,nESPEC,DATOS!$E10822,nASIG,DATOS!$I10822,nEVAL,"OR")=0))</f>
      </c>
      <c r="I10822">
        <f>IF(DATOS!$I10822="","",IFERROR(VLOOKUP(DATOS!$I10822,CONFIG_ASIGNATURAS!$B$2:$J$91,9,FALSE()),""))</f>
      </c>
    </row>
    <row r="10823">
      <c r="F10823">
        <f>IF(DATOS!$A10823="","",DATOS!$A10823&amp;"|"&amp;DATOS!$D10823&amp;"|"&amp;DATOS!$E10823&amp;"|"&amp;DATOS!$I10823)</f>
      </c>
      <c r="G10823">
        <f>IF(DATOS!$A10823="",0,IF(CONFIG_METADATA!$B$4&lt;&gt;"OR+EX",--(DATOS!$G10823=CONFIG_METADATA!$B$4),IF(DATOS!$G10823="EX",1,IF(DATOS!$G10823="OR",--(COUNTIFS(nNIA,DATOS!$A10823,nCURSO,DATOS!$D10823,nESPEC,DATOS!$E10823,nASIG,DATOS!$I10823,nEVAL,"EX")=0),0))))</f>
      </c>
      <c r="H10823">
        <f>IF(DATOS!$G10823&lt;&gt;"EX",0,--(COUNTIFS(nNIA,DATOS!$A10823,nCURSO,DATOS!$D10823,nESPEC,DATOS!$E10823,nASIG,DATOS!$I10823,nEVAL,"OR")=0))</f>
      </c>
      <c r="I10823">
        <f>IF(DATOS!$I10823="","",IFERROR(VLOOKUP(DATOS!$I10823,CONFIG_ASIGNATURAS!$B$2:$J$91,9,FALSE()),""))</f>
      </c>
    </row>
    <row r="10824">
      <c r="F10824">
        <f>IF(DATOS!$A10824="","",DATOS!$A10824&amp;"|"&amp;DATOS!$D10824&amp;"|"&amp;DATOS!$E10824&amp;"|"&amp;DATOS!$I10824)</f>
      </c>
      <c r="G10824">
        <f>IF(DATOS!$A10824="",0,IF(CONFIG_METADATA!$B$4&lt;&gt;"OR+EX",--(DATOS!$G10824=CONFIG_METADATA!$B$4),IF(DATOS!$G10824="EX",1,IF(DATOS!$G10824="OR",--(COUNTIFS(nNIA,DATOS!$A10824,nCURSO,DATOS!$D10824,nESPEC,DATOS!$E10824,nASIG,DATOS!$I10824,nEVAL,"EX")=0),0))))</f>
      </c>
      <c r="H10824">
        <f>IF(DATOS!$G10824&lt;&gt;"EX",0,--(COUNTIFS(nNIA,DATOS!$A10824,nCURSO,DATOS!$D10824,nESPEC,DATOS!$E10824,nASIG,DATOS!$I10824,nEVAL,"OR")=0))</f>
      </c>
      <c r="I10824">
        <f>IF(DATOS!$I10824="","",IFERROR(VLOOKUP(DATOS!$I10824,CONFIG_ASIGNATURAS!$B$2:$J$91,9,FALSE()),""))</f>
      </c>
    </row>
    <row r="10825">
      <c r="F10825">
        <f>IF(DATOS!$A10825="","",DATOS!$A10825&amp;"|"&amp;DATOS!$D10825&amp;"|"&amp;DATOS!$E10825&amp;"|"&amp;DATOS!$I10825)</f>
      </c>
      <c r="G10825">
        <f>IF(DATOS!$A10825="",0,IF(CONFIG_METADATA!$B$4&lt;&gt;"OR+EX",--(DATOS!$G10825=CONFIG_METADATA!$B$4),IF(DATOS!$G10825="EX",1,IF(DATOS!$G10825="OR",--(COUNTIFS(nNIA,DATOS!$A10825,nCURSO,DATOS!$D10825,nESPEC,DATOS!$E10825,nASIG,DATOS!$I10825,nEVAL,"EX")=0),0))))</f>
      </c>
      <c r="H10825">
        <f>IF(DATOS!$G10825&lt;&gt;"EX",0,--(COUNTIFS(nNIA,DATOS!$A10825,nCURSO,DATOS!$D10825,nESPEC,DATOS!$E10825,nASIG,DATOS!$I10825,nEVAL,"OR")=0))</f>
      </c>
      <c r="I10825">
        <f>IF(DATOS!$I10825="","",IFERROR(VLOOKUP(DATOS!$I10825,CONFIG_ASIGNATURAS!$B$2:$J$91,9,FALSE()),""))</f>
      </c>
    </row>
    <row r="10826">
      <c r="F10826">
        <f>IF(DATOS!$A10826="","",DATOS!$A10826&amp;"|"&amp;DATOS!$D10826&amp;"|"&amp;DATOS!$E10826&amp;"|"&amp;DATOS!$I10826)</f>
      </c>
      <c r="G10826">
        <f>IF(DATOS!$A10826="",0,IF(CONFIG_METADATA!$B$4&lt;&gt;"OR+EX",--(DATOS!$G10826=CONFIG_METADATA!$B$4),IF(DATOS!$G10826="EX",1,IF(DATOS!$G10826="OR",--(COUNTIFS(nNIA,DATOS!$A10826,nCURSO,DATOS!$D10826,nESPEC,DATOS!$E10826,nASIG,DATOS!$I10826,nEVAL,"EX")=0),0))))</f>
      </c>
      <c r="H10826">
        <f>IF(DATOS!$G10826&lt;&gt;"EX",0,--(COUNTIFS(nNIA,DATOS!$A10826,nCURSO,DATOS!$D10826,nESPEC,DATOS!$E10826,nASIG,DATOS!$I10826,nEVAL,"OR")=0))</f>
      </c>
      <c r="I10826">
        <f>IF(DATOS!$I10826="","",IFERROR(VLOOKUP(DATOS!$I10826,CONFIG_ASIGNATURAS!$B$2:$J$91,9,FALSE()),""))</f>
      </c>
    </row>
    <row r="10827">
      <c r="F10827">
        <f>IF(DATOS!$A10827="","",DATOS!$A10827&amp;"|"&amp;DATOS!$D10827&amp;"|"&amp;DATOS!$E10827&amp;"|"&amp;DATOS!$I10827)</f>
      </c>
      <c r="G10827">
        <f>IF(DATOS!$A10827="",0,IF(CONFIG_METADATA!$B$4&lt;&gt;"OR+EX",--(DATOS!$G10827=CONFIG_METADATA!$B$4),IF(DATOS!$G10827="EX",1,IF(DATOS!$G10827="OR",--(COUNTIFS(nNIA,DATOS!$A10827,nCURSO,DATOS!$D10827,nESPEC,DATOS!$E10827,nASIG,DATOS!$I10827,nEVAL,"EX")=0),0))))</f>
      </c>
      <c r="H10827">
        <f>IF(DATOS!$G10827&lt;&gt;"EX",0,--(COUNTIFS(nNIA,DATOS!$A10827,nCURSO,DATOS!$D10827,nESPEC,DATOS!$E10827,nASIG,DATOS!$I10827,nEVAL,"OR")=0))</f>
      </c>
      <c r="I10827">
        <f>IF(DATOS!$I10827="","",IFERROR(VLOOKUP(DATOS!$I10827,CONFIG_ASIGNATURAS!$B$2:$J$91,9,FALSE()),""))</f>
      </c>
    </row>
    <row r="10828">
      <c r="F10828">
        <f>IF(DATOS!$A10828="","",DATOS!$A10828&amp;"|"&amp;DATOS!$D10828&amp;"|"&amp;DATOS!$E10828&amp;"|"&amp;DATOS!$I10828)</f>
      </c>
      <c r="G10828">
        <f>IF(DATOS!$A10828="",0,IF(CONFIG_METADATA!$B$4&lt;&gt;"OR+EX",--(DATOS!$G10828=CONFIG_METADATA!$B$4),IF(DATOS!$G10828="EX",1,IF(DATOS!$G10828="OR",--(COUNTIFS(nNIA,DATOS!$A10828,nCURSO,DATOS!$D10828,nESPEC,DATOS!$E10828,nASIG,DATOS!$I10828,nEVAL,"EX")=0),0))))</f>
      </c>
      <c r="H10828">
        <f>IF(DATOS!$G10828&lt;&gt;"EX",0,--(COUNTIFS(nNIA,DATOS!$A10828,nCURSO,DATOS!$D10828,nESPEC,DATOS!$E10828,nASIG,DATOS!$I10828,nEVAL,"OR")=0))</f>
      </c>
      <c r="I10828">
        <f>IF(DATOS!$I10828="","",IFERROR(VLOOKUP(DATOS!$I10828,CONFIG_ASIGNATURAS!$B$2:$J$91,9,FALSE()),""))</f>
      </c>
    </row>
    <row r="10829">
      <c r="F10829">
        <f>IF(DATOS!$A10829="","",DATOS!$A10829&amp;"|"&amp;DATOS!$D10829&amp;"|"&amp;DATOS!$E10829&amp;"|"&amp;DATOS!$I10829)</f>
      </c>
      <c r="G10829">
        <f>IF(DATOS!$A10829="",0,IF(CONFIG_METADATA!$B$4&lt;&gt;"OR+EX",--(DATOS!$G10829=CONFIG_METADATA!$B$4),IF(DATOS!$G10829="EX",1,IF(DATOS!$G10829="OR",--(COUNTIFS(nNIA,DATOS!$A10829,nCURSO,DATOS!$D10829,nESPEC,DATOS!$E10829,nASIG,DATOS!$I10829,nEVAL,"EX")=0),0))))</f>
      </c>
      <c r="H10829">
        <f>IF(DATOS!$G10829&lt;&gt;"EX",0,--(COUNTIFS(nNIA,DATOS!$A10829,nCURSO,DATOS!$D10829,nESPEC,DATOS!$E10829,nASIG,DATOS!$I10829,nEVAL,"OR")=0))</f>
      </c>
      <c r="I10829">
        <f>IF(DATOS!$I10829="","",IFERROR(VLOOKUP(DATOS!$I10829,CONFIG_ASIGNATURAS!$B$2:$J$91,9,FALSE()),""))</f>
      </c>
    </row>
    <row r="10830">
      <c r="F10830">
        <f>IF(DATOS!$A10830="","",DATOS!$A10830&amp;"|"&amp;DATOS!$D10830&amp;"|"&amp;DATOS!$E10830&amp;"|"&amp;DATOS!$I10830)</f>
      </c>
      <c r="G10830">
        <f>IF(DATOS!$A10830="",0,IF(CONFIG_METADATA!$B$4&lt;&gt;"OR+EX",--(DATOS!$G10830=CONFIG_METADATA!$B$4),IF(DATOS!$G10830="EX",1,IF(DATOS!$G10830="OR",--(COUNTIFS(nNIA,DATOS!$A10830,nCURSO,DATOS!$D10830,nESPEC,DATOS!$E10830,nASIG,DATOS!$I10830,nEVAL,"EX")=0),0))))</f>
      </c>
      <c r="H10830">
        <f>IF(DATOS!$G10830&lt;&gt;"EX",0,--(COUNTIFS(nNIA,DATOS!$A10830,nCURSO,DATOS!$D10830,nESPEC,DATOS!$E10830,nASIG,DATOS!$I10830,nEVAL,"OR")=0))</f>
      </c>
      <c r="I10830">
        <f>IF(DATOS!$I10830="","",IFERROR(VLOOKUP(DATOS!$I10830,CONFIG_ASIGNATURAS!$B$2:$J$91,9,FALSE()),""))</f>
      </c>
    </row>
    <row r="10831">
      <c r="F10831">
        <f>IF(DATOS!$A10831="","",DATOS!$A10831&amp;"|"&amp;DATOS!$D10831&amp;"|"&amp;DATOS!$E10831&amp;"|"&amp;DATOS!$I10831)</f>
      </c>
      <c r="G10831">
        <f>IF(DATOS!$A10831="",0,IF(CONFIG_METADATA!$B$4&lt;&gt;"OR+EX",--(DATOS!$G10831=CONFIG_METADATA!$B$4),IF(DATOS!$G10831="EX",1,IF(DATOS!$G10831="OR",--(COUNTIFS(nNIA,DATOS!$A10831,nCURSO,DATOS!$D10831,nESPEC,DATOS!$E10831,nASIG,DATOS!$I10831,nEVAL,"EX")=0),0))))</f>
      </c>
      <c r="H10831">
        <f>IF(DATOS!$G10831&lt;&gt;"EX",0,--(COUNTIFS(nNIA,DATOS!$A10831,nCURSO,DATOS!$D10831,nESPEC,DATOS!$E10831,nASIG,DATOS!$I10831,nEVAL,"OR")=0))</f>
      </c>
      <c r="I10831">
        <f>IF(DATOS!$I10831="","",IFERROR(VLOOKUP(DATOS!$I10831,CONFIG_ASIGNATURAS!$B$2:$J$91,9,FALSE()),""))</f>
      </c>
    </row>
    <row r="10832">
      <c r="F10832">
        <f>IF(DATOS!$A10832="","",DATOS!$A10832&amp;"|"&amp;DATOS!$D10832&amp;"|"&amp;DATOS!$E10832&amp;"|"&amp;DATOS!$I10832)</f>
      </c>
      <c r="G10832">
        <f>IF(DATOS!$A10832="",0,IF(CONFIG_METADATA!$B$4&lt;&gt;"OR+EX",--(DATOS!$G10832=CONFIG_METADATA!$B$4),IF(DATOS!$G10832="EX",1,IF(DATOS!$G10832="OR",--(COUNTIFS(nNIA,DATOS!$A10832,nCURSO,DATOS!$D10832,nESPEC,DATOS!$E10832,nASIG,DATOS!$I10832,nEVAL,"EX")=0),0))))</f>
      </c>
      <c r="H10832">
        <f>IF(DATOS!$G10832&lt;&gt;"EX",0,--(COUNTIFS(nNIA,DATOS!$A10832,nCURSO,DATOS!$D10832,nESPEC,DATOS!$E10832,nASIG,DATOS!$I10832,nEVAL,"OR")=0))</f>
      </c>
      <c r="I10832">
        <f>IF(DATOS!$I10832="","",IFERROR(VLOOKUP(DATOS!$I10832,CONFIG_ASIGNATURAS!$B$2:$J$91,9,FALSE()),""))</f>
      </c>
    </row>
    <row r="10833">
      <c r="F10833">
        <f>IF(DATOS!$A10833="","",DATOS!$A10833&amp;"|"&amp;DATOS!$D10833&amp;"|"&amp;DATOS!$E10833&amp;"|"&amp;DATOS!$I10833)</f>
      </c>
      <c r="G10833">
        <f>IF(DATOS!$A10833="",0,IF(CONFIG_METADATA!$B$4&lt;&gt;"OR+EX",--(DATOS!$G10833=CONFIG_METADATA!$B$4),IF(DATOS!$G10833="EX",1,IF(DATOS!$G10833="OR",--(COUNTIFS(nNIA,DATOS!$A10833,nCURSO,DATOS!$D10833,nESPEC,DATOS!$E10833,nASIG,DATOS!$I10833,nEVAL,"EX")=0),0))))</f>
      </c>
      <c r="H10833">
        <f>IF(DATOS!$G10833&lt;&gt;"EX",0,--(COUNTIFS(nNIA,DATOS!$A10833,nCURSO,DATOS!$D10833,nESPEC,DATOS!$E10833,nASIG,DATOS!$I10833,nEVAL,"OR")=0))</f>
      </c>
      <c r="I10833">
        <f>IF(DATOS!$I10833="","",IFERROR(VLOOKUP(DATOS!$I10833,CONFIG_ASIGNATURAS!$B$2:$J$91,9,FALSE()),""))</f>
      </c>
    </row>
    <row r="10834">
      <c r="F10834">
        <f>IF(DATOS!$A10834="","",DATOS!$A10834&amp;"|"&amp;DATOS!$D10834&amp;"|"&amp;DATOS!$E10834&amp;"|"&amp;DATOS!$I10834)</f>
      </c>
      <c r="G10834">
        <f>IF(DATOS!$A10834="",0,IF(CONFIG_METADATA!$B$4&lt;&gt;"OR+EX",--(DATOS!$G10834=CONFIG_METADATA!$B$4),IF(DATOS!$G10834="EX",1,IF(DATOS!$G10834="OR",--(COUNTIFS(nNIA,DATOS!$A10834,nCURSO,DATOS!$D10834,nESPEC,DATOS!$E10834,nASIG,DATOS!$I10834,nEVAL,"EX")=0),0))))</f>
      </c>
      <c r="H10834">
        <f>IF(DATOS!$G10834&lt;&gt;"EX",0,--(COUNTIFS(nNIA,DATOS!$A10834,nCURSO,DATOS!$D10834,nESPEC,DATOS!$E10834,nASIG,DATOS!$I10834,nEVAL,"OR")=0))</f>
      </c>
      <c r="I10834">
        <f>IF(DATOS!$I10834="","",IFERROR(VLOOKUP(DATOS!$I10834,CONFIG_ASIGNATURAS!$B$2:$J$91,9,FALSE()),""))</f>
      </c>
    </row>
    <row r="10835">
      <c r="F10835">
        <f>IF(DATOS!$A10835="","",DATOS!$A10835&amp;"|"&amp;DATOS!$D10835&amp;"|"&amp;DATOS!$E10835&amp;"|"&amp;DATOS!$I10835)</f>
      </c>
      <c r="G10835">
        <f>IF(DATOS!$A10835="",0,IF(CONFIG_METADATA!$B$4&lt;&gt;"OR+EX",--(DATOS!$G10835=CONFIG_METADATA!$B$4),IF(DATOS!$G10835="EX",1,IF(DATOS!$G10835="OR",--(COUNTIFS(nNIA,DATOS!$A10835,nCURSO,DATOS!$D10835,nESPEC,DATOS!$E10835,nASIG,DATOS!$I10835,nEVAL,"EX")=0),0))))</f>
      </c>
      <c r="H10835">
        <f>IF(DATOS!$G10835&lt;&gt;"EX",0,--(COUNTIFS(nNIA,DATOS!$A10835,nCURSO,DATOS!$D10835,nESPEC,DATOS!$E10835,nASIG,DATOS!$I10835,nEVAL,"OR")=0))</f>
      </c>
      <c r="I10835">
        <f>IF(DATOS!$I10835="","",IFERROR(VLOOKUP(DATOS!$I10835,CONFIG_ASIGNATURAS!$B$2:$J$91,9,FALSE()),""))</f>
      </c>
    </row>
    <row r="10836">
      <c r="F10836">
        <f>IF(DATOS!$A10836="","",DATOS!$A10836&amp;"|"&amp;DATOS!$D10836&amp;"|"&amp;DATOS!$E10836&amp;"|"&amp;DATOS!$I10836)</f>
      </c>
      <c r="G10836">
        <f>IF(DATOS!$A10836="",0,IF(CONFIG_METADATA!$B$4&lt;&gt;"OR+EX",--(DATOS!$G10836=CONFIG_METADATA!$B$4),IF(DATOS!$G10836="EX",1,IF(DATOS!$G10836="OR",--(COUNTIFS(nNIA,DATOS!$A10836,nCURSO,DATOS!$D10836,nESPEC,DATOS!$E10836,nASIG,DATOS!$I10836,nEVAL,"EX")=0),0))))</f>
      </c>
      <c r="H10836">
        <f>IF(DATOS!$G10836&lt;&gt;"EX",0,--(COUNTIFS(nNIA,DATOS!$A10836,nCURSO,DATOS!$D10836,nESPEC,DATOS!$E10836,nASIG,DATOS!$I10836,nEVAL,"OR")=0))</f>
      </c>
      <c r="I10836">
        <f>IF(DATOS!$I10836="","",IFERROR(VLOOKUP(DATOS!$I10836,CONFIG_ASIGNATURAS!$B$2:$J$91,9,FALSE()),""))</f>
      </c>
    </row>
    <row r="10837">
      <c r="F10837">
        <f>IF(DATOS!$A10837="","",DATOS!$A10837&amp;"|"&amp;DATOS!$D10837&amp;"|"&amp;DATOS!$E10837&amp;"|"&amp;DATOS!$I10837)</f>
      </c>
      <c r="G10837">
        <f>IF(DATOS!$A10837="",0,IF(CONFIG_METADATA!$B$4&lt;&gt;"OR+EX",--(DATOS!$G10837=CONFIG_METADATA!$B$4),IF(DATOS!$G10837="EX",1,IF(DATOS!$G10837="OR",--(COUNTIFS(nNIA,DATOS!$A10837,nCURSO,DATOS!$D10837,nESPEC,DATOS!$E10837,nASIG,DATOS!$I10837,nEVAL,"EX")=0),0))))</f>
      </c>
      <c r="H10837">
        <f>IF(DATOS!$G10837&lt;&gt;"EX",0,--(COUNTIFS(nNIA,DATOS!$A10837,nCURSO,DATOS!$D10837,nESPEC,DATOS!$E10837,nASIG,DATOS!$I10837,nEVAL,"OR")=0))</f>
      </c>
      <c r="I10837">
        <f>IF(DATOS!$I10837="","",IFERROR(VLOOKUP(DATOS!$I10837,CONFIG_ASIGNATURAS!$B$2:$J$91,9,FALSE()),""))</f>
      </c>
    </row>
    <row r="10838">
      <c r="F10838">
        <f>IF(DATOS!$A10838="","",DATOS!$A10838&amp;"|"&amp;DATOS!$D10838&amp;"|"&amp;DATOS!$E10838&amp;"|"&amp;DATOS!$I10838)</f>
      </c>
      <c r="G10838">
        <f>IF(DATOS!$A10838="",0,IF(CONFIG_METADATA!$B$4&lt;&gt;"OR+EX",--(DATOS!$G10838=CONFIG_METADATA!$B$4),IF(DATOS!$G10838="EX",1,IF(DATOS!$G10838="OR",--(COUNTIFS(nNIA,DATOS!$A10838,nCURSO,DATOS!$D10838,nESPEC,DATOS!$E10838,nASIG,DATOS!$I10838,nEVAL,"EX")=0),0))))</f>
      </c>
      <c r="H10838">
        <f>IF(DATOS!$G10838&lt;&gt;"EX",0,--(COUNTIFS(nNIA,DATOS!$A10838,nCURSO,DATOS!$D10838,nESPEC,DATOS!$E10838,nASIG,DATOS!$I10838,nEVAL,"OR")=0))</f>
      </c>
      <c r="I10838">
        <f>IF(DATOS!$I10838="","",IFERROR(VLOOKUP(DATOS!$I10838,CONFIG_ASIGNATURAS!$B$2:$J$91,9,FALSE()),""))</f>
      </c>
    </row>
    <row r="10839">
      <c r="F10839">
        <f>IF(DATOS!$A10839="","",DATOS!$A10839&amp;"|"&amp;DATOS!$D10839&amp;"|"&amp;DATOS!$E10839&amp;"|"&amp;DATOS!$I10839)</f>
      </c>
      <c r="G10839">
        <f>IF(DATOS!$A10839="",0,IF(CONFIG_METADATA!$B$4&lt;&gt;"OR+EX",--(DATOS!$G10839=CONFIG_METADATA!$B$4),IF(DATOS!$G10839="EX",1,IF(DATOS!$G10839="OR",--(COUNTIFS(nNIA,DATOS!$A10839,nCURSO,DATOS!$D10839,nESPEC,DATOS!$E10839,nASIG,DATOS!$I10839,nEVAL,"EX")=0),0))))</f>
      </c>
      <c r="H10839">
        <f>IF(DATOS!$G10839&lt;&gt;"EX",0,--(COUNTIFS(nNIA,DATOS!$A10839,nCURSO,DATOS!$D10839,nESPEC,DATOS!$E10839,nASIG,DATOS!$I10839,nEVAL,"OR")=0))</f>
      </c>
      <c r="I10839">
        <f>IF(DATOS!$I10839="","",IFERROR(VLOOKUP(DATOS!$I10839,CONFIG_ASIGNATURAS!$B$2:$J$91,9,FALSE()),""))</f>
      </c>
    </row>
    <row r="10840">
      <c r="F10840">
        <f>IF(DATOS!$A10840="","",DATOS!$A10840&amp;"|"&amp;DATOS!$D10840&amp;"|"&amp;DATOS!$E10840&amp;"|"&amp;DATOS!$I10840)</f>
      </c>
      <c r="G10840">
        <f>IF(DATOS!$A10840="",0,IF(CONFIG_METADATA!$B$4&lt;&gt;"OR+EX",--(DATOS!$G10840=CONFIG_METADATA!$B$4),IF(DATOS!$G10840="EX",1,IF(DATOS!$G10840="OR",--(COUNTIFS(nNIA,DATOS!$A10840,nCURSO,DATOS!$D10840,nESPEC,DATOS!$E10840,nASIG,DATOS!$I10840,nEVAL,"EX")=0),0))))</f>
      </c>
      <c r="H10840">
        <f>IF(DATOS!$G10840&lt;&gt;"EX",0,--(COUNTIFS(nNIA,DATOS!$A10840,nCURSO,DATOS!$D10840,nESPEC,DATOS!$E10840,nASIG,DATOS!$I10840,nEVAL,"OR")=0))</f>
      </c>
      <c r="I10840">
        <f>IF(DATOS!$I10840="","",IFERROR(VLOOKUP(DATOS!$I10840,CONFIG_ASIGNATURAS!$B$2:$J$91,9,FALSE()),""))</f>
      </c>
    </row>
    <row r="10841">
      <c r="F10841">
        <f>IF(DATOS!$A10841="","",DATOS!$A10841&amp;"|"&amp;DATOS!$D10841&amp;"|"&amp;DATOS!$E10841&amp;"|"&amp;DATOS!$I10841)</f>
      </c>
      <c r="G10841">
        <f>IF(DATOS!$A10841="",0,IF(CONFIG_METADATA!$B$4&lt;&gt;"OR+EX",--(DATOS!$G10841=CONFIG_METADATA!$B$4),IF(DATOS!$G10841="EX",1,IF(DATOS!$G10841="OR",--(COUNTIFS(nNIA,DATOS!$A10841,nCURSO,DATOS!$D10841,nESPEC,DATOS!$E10841,nASIG,DATOS!$I10841,nEVAL,"EX")=0),0))))</f>
      </c>
      <c r="H10841">
        <f>IF(DATOS!$G10841&lt;&gt;"EX",0,--(COUNTIFS(nNIA,DATOS!$A10841,nCURSO,DATOS!$D10841,nESPEC,DATOS!$E10841,nASIG,DATOS!$I10841,nEVAL,"OR")=0))</f>
      </c>
      <c r="I10841">
        <f>IF(DATOS!$I10841="","",IFERROR(VLOOKUP(DATOS!$I10841,CONFIG_ASIGNATURAS!$B$2:$J$91,9,FALSE()),""))</f>
      </c>
    </row>
    <row r="10842">
      <c r="F10842">
        <f>IF(DATOS!$A10842="","",DATOS!$A10842&amp;"|"&amp;DATOS!$D10842&amp;"|"&amp;DATOS!$E10842&amp;"|"&amp;DATOS!$I10842)</f>
      </c>
      <c r="G10842">
        <f>IF(DATOS!$A10842="",0,IF(CONFIG_METADATA!$B$4&lt;&gt;"OR+EX",--(DATOS!$G10842=CONFIG_METADATA!$B$4),IF(DATOS!$G10842="EX",1,IF(DATOS!$G10842="OR",--(COUNTIFS(nNIA,DATOS!$A10842,nCURSO,DATOS!$D10842,nESPEC,DATOS!$E10842,nASIG,DATOS!$I10842,nEVAL,"EX")=0),0))))</f>
      </c>
      <c r="H10842">
        <f>IF(DATOS!$G10842&lt;&gt;"EX",0,--(COUNTIFS(nNIA,DATOS!$A10842,nCURSO,DATOS!$D10842,nESPEC,DATOS!$E10842,nASIG,DATOS!$I10842,nEVAL,"OR")=0))</f>
      </c>
      <c r="I10842">
        <f>IF(DATOS!$I10842="","",IFERROR(VLOOKUP(DATOS!$I10842,CONFIG_ASIGNATURAS!$B$2:$J$91,9,FALSE()),""))</f>
      </c>
    </row>
    <row r="10843">
      <c r="F10843">
        <f>IF(DATOS!$A10843="","",DATOS!$A10843&amp;"|"&amp;DATOS!$D10843&amp;"|"&amp;DATOS!$E10843&amp;"|"&amp;DATOS!$I10843)</f>
      </c>
      <c r="G10843">
        <f>IF(DATOS!$A10843="",0,IF(CONFIG_METADATA!$B$4&lt;&gt;"OR+EX",--(DATOS!$G10843=CONFIG_METADATA!$B$4),IF(DATOS!$G10843="EX",1,IF(DATOS!$G10843="OR",--(COUNTIFS(nNIA,DATOS!$A10843,nCURSO,DATOS!$D10843,nESPEC,DATOS!$E10843,nASIG,DATOS!$I10843,nEVAL,"EX")=0),0))))</f>
      </c>
      <c r="H10843">
        <f>IF(DATOS!$G10843&lt;&gt;"EX",0,--(COUNTIFS(nNIA,DATOS!$A10843,nCURSO,DATOS!$D10843,nESPEC,DATOS!$E10843,nASIG,DATOS!$I10843,nEVAL,"OR")=0))</f>
      </c>
      <c r="I10843">
        <f>IF(DATOS!$I10843="","",IFERROR(VLOOKUP(DATOS!$I10843,CONFIG_ASIGNATURAS!$B$2:$J$91,9,FALSE()),""))</f>
      </c>
    </row>
    <row r="10844">
      <c r="F10844">
        <f>IF(DATOS!$A10844="","",DATOS!$A10844&amp;"|"&amp;DATOS!$D10844&amp;"|"&amp;DATOS!$E10844&amp;"|"&amp;DATOS!$I10844)</f>
      </c>
      <c r="G10844">
        <f>IF(DATOS!$A10844="",0,IF(CONFIG_METADATA!$B$4&lt;&gt;"OR+EX",--(DATOS!$G10844=CONFIG_METADATA!$B$4),IF(DATOS!$G10844="EX",1,IF(DATOS!$G10844="OR",--(COUNTIFS(nNIA,DATOS!$A10844,nCURSO,DATOS!$D10844,nESPEC,DATOS!$E10844,nASIG,DATOS!$I10844,nEVAL,"EX")=0),0))))</f>
      </c>
      <c r="H10844">
        <f>IF(DATOS!$G10844&lt;&gt;"EX",0,--(COUNTIFS(nNIA,DATOS!$A10844,nCURSO,DATOS!$D10844,nESPEC,DATOS!$E10844,nASIG,DATOS!$I10844,nEVAL,"OR")=0))</f>
      </c>
      <c r="I10844">
        <f>IF(DATOS!$I10844="","",IFERROR(VLOOKUP(DATOS!$I10844,CONFIG_ASIGNATURAS!$B$2:$J$91,9,FALSE()),""))</f>
      </c>
    </row>
    <row r="10845">
      <c r="F10845">
        <f>IF(DATOS!$A10845="","",DATOS!$A10845&amp;"|"&amp;DATOS!$D10845&amp;"|"&amp;DATOS!$E10845&amp;"|"&amp;DATOS!$I10845)</f>
      </c>
      <c r="G10845">
        <f>IF(DATOS!$A10845="",0,IF(CONFIG_METADATA!$B$4&lt;&gt;"OR+EX",--(DATOS!$G10845=CONFIG_METADATA!$B$4),IF(DATOS!$G10845="EX",1,IF(DATOS!$G10845="OR",--(COUNTIFS(nNIA,DATOS!$A10845,nCURSO,DATOS!$D10845,nESPEC,DATOS!$E10845,nASIG,DATOS!$I10845,nEVAL,"EX")=0),0))))</f>
      </c>
      <c r="H10845">
        <f>IF(DATOS!$G10845&lt;&gt;"EX",0,--(COUNTIFS(nNIA,DATOS!$A10845,nCURSO,DATOS!$D10845,nESPEC,DATOS!$E10845,nASIG,DATOS!$I10845,nEVAL,"OR")=0))</f>
      </c>
      <c r="I10845">
        <f>IF(DATOS!$I10845="","",IFERROR(VLOOKUP(DATOS!$I10845,CONFIG_ASIGNATURAS!$B$2:$J$91,9,FALSE()),""))</f>
      </c>
    </row>
    <row r="10846">
      <c r="F10846">
        <f>IF(DATOS!$A10846="","",DATOS!$A10846&amp;"|"&amp;DATOS!$D10846&amp;"|"&amp;DATOS!$E10846&amp;"|"&amp;DATOS!$I10846)</f>
      </c>
      <c r="G10846">
        <f>IF(DATOS!$A10846="",0,IF(CONFIG_METADATA!$B$4&lt;&gt;"OR+EX",--(DATOS!$G10846=CONFIG_METADATA!$B$4),IF(DATOS!$G10846="EX",1,IF(DATOS!$G10846="OR",--(COUNTIFS(nNIA,DATOS!$A10846,nCURSO,DATOS!$D10846,nESPEC,DATOS!$E10846,nASIG,DATOS!$I10846,nEVAL,"EX")=0),0))))</f>
      </c>
      <c r="H10846">
        <f>IF(DATOS!$G10846&lt;&gt;"EX",0,--(COUNTIFS(nNIA,DATOS!$A10846,nCURSO,DATOS!$D10846,nESPEC,DATOS!$E10846,nASIG,DATOS!$I10846,nEVAL,"OR")=0))</f>
      </c>
      <c r="I10846">
        <f>IF(DATOS!$I10846="","",IFERROR(VLOOKUP(DATOS!$I10846,CONFIG_ASIGNATURAS!$B$2:$J$91,9,FALSE()),""))</f>
      </c>
    </row>
    <row r="10847">
      <c r="F10847">
        <f>IF(DATOS!$A10847="","",DATOS!$A10847&amp;"|"&amp;DATOS!$D10847&amp;"|"&amp;DATOS!$E10847&amp;"|"&amp;DATOS!$I10847)</f>
      </c>
      <c r="G10847">
        <f>IF(DATOS!$A10847="",0,IF(CONFIG_METADATA!$B$4&lt;&gt;"OR+EX",--(DATOS!$G10847=CONFIG_METADATA!$B$4),IF(DATOS!$G10847="EX",1,IF(DATOS!$G10847="OR",--(COUNTIFS(nNIA,DATOS!$A10847,nCURSO,DATOS!$D10847,nESPEC,DATOS!$E10847,nASIG,DATOS!$I10847,nEVAL,"EX")=0),0))))</f>
      </c>
      <c r="H10847">
        <f>IF(DATOS!$G10847&lt;&gt;"EX",0,--(COUNTIFS(nNIA,DATOS!$A10847,nCURSO,DATOS!$D10847,nESPEC,DATOS!$E10847,nASIG,DATOS!$I10847,nEVAL,"OR")=0))</f>
      </c>
      <c r="I10847">
        <f>IF(DATOS!$I10847="","",IFERROR(VLOOKUP(DATOS!$I10847,CONFIG_ASIGNATURAS!$B$2:$J$91,9,FALSE()),""))</f>
      </c>
    </row>
    <row r="10848">
      <c r="F10848">
        <f>IF(DATOS!$A10848="","",DATOS!$A10848&amp;"|"&amp;DATOS!$D10848&amp;"|"&amp;DATOS!$E10848&amp;"|"&amp;DATOS!$I10848)</f>
      </c>
      <c r="G10848">
        <f>IF(DATOS!$A10848="",0,IF(CONFIG_METADATA!$B$4&lt;&gt;"OR+EX",--(DATOS!$G10848=CONFIG_METADATA!$B$4),IF(DATOS!$G10848="EX",1,IF(DATOS!$G10848="OR",--(COUNTIFS(nNIA,DATOS!$A10848,nCURSO,DATOS!$D10848,nESPEC,DATOS!$E10848,nASIG,DATOS!$I10848,nEVAL,"EX")=0),0))))</f>
      </c>
      <c r="H10848">
        <f>IF(DATOS!$G10848&lt;&gt;"EX",0,--(COUNTIFS(nNIA,DATOS!$A10848,nCURSO,DATOS!$D10848,nESPEC,DATOS!$E10848,nASIG,DATOS!$I10848,nEVAL,"OR")=0))</f>
      </c>
      <c r="I10848">
        <f>IF(DATOS!$I10848="","",IFERROR(VLOOKUP(DATOS!$I10848,CONFIG_ASIGNATURAS!$B$2:$J$91,9,FALSE()),""))</f>
      </c>
    </row>
    <row r="10849">
      <c r="F10849">
        <f>IF(DATOS!$A10849="","",DATOS!$A10849&amp;"|"&amp;DATOS!$D10849&amp;"|"&amp;DATOS!$E10849&amp;"|"&amp;DATOS!$I10849)</f>
      </c>
      <c r="G10849">
        <f>IF(DATOS!$A10849="",0,IF(CONFIG_METADATA!$B$4&lt;&gt;"OR+EX",--(DATOS!$G10849=CONFIG_METADATA!$B$4),IF(DATOS!$G10849="EX",1,IF(DATOS!$G10849="OR",--(COUNTIFS(nNIA,DATOS!$A10849,nCURSO,DATOS!$D10849,nESPEC,DATOS!$E10849,nASIG,DATOS!$I10849,nEVAL,"EX")=0),0))))</f>
      </c>
      <c r="H10849">
        <f>IF(DATOS!$G10849&lt;&gt;"EX",0,--(COUNTIFS(nNIA,DATOS!$A10849,nCURSO,DATOS!$D10849,nESPEC,DATOS!$E10849,nASIG,DATOS!$I10849,nEVAL,"OR")=0))</f>
      </c>
      <c r="I10849">
        <f>IF(DATOS!$I10849="","",IFERROR(VLOOKUP(DATOS!$I10849,CONFIG_ASIGNATURAS!$B$2:$J$91,9,FALSE()),""))</f>
      </c>
    </row>
    <row r="10850">
      <c r="F10850">
        <f>IF(DATOS!$A10850="","",DATOS!$A10850&amp;"|"&amp;DATOS!$D10850&amp;"|"&amp;DATOS!$E10850&amp;"|"&amp;DATOS!$I10850)</f>
      </c>
      <c r="G10850">
        <f>IF(DATOS!$A10850="",0,IF(CONFIG_METADATA!$B$4&lt;&gt;"OR+EX",--(DATOS!$G10850=CONFIG_METADATA!$B$4),IF(DATOS!$G10850="EX",1,IF(DATOS!$G10850="OR",--(COUNTIFS(nNIA,DATOS!$A10850,nCURSO,DATOS!$D10850,nESPEC,DATOS!$E10850,nASIG,DATOS!$I10850,nEVAL,"EX")=0),0))))</f>
      </c>
      <c r="H10850">
        <f>IF(DATOS!$G10850&lt;&gt;"EX",0,--(COUNTIFS(nNIA,DATOS!$A10850,nCURSO,DATOS!$D10850,nESPEC,DATOS!$E10850,nASIG,DATOS!$I10850,nEVAL,"OR")=0))</f>
      </c>
      <c r="I10850">
        <f>IF(DATOS!$I10850="","",IFERROR(VLOOKUP(DATOS!$I10850,CONFIG_ASIGNATURAS!$B$2:$J$91,9,FALSE()),""))</f>
      </c>
    </row>
    <row r="10851">
      <c r="F10851">
        <f>IF(DATOS!$A10851="","",DATOS!$A10851&amp;"|"&amp;DATOS!$D10851&amp;"|"&amp;DATOS!$E10851&amp;"|"&amp;DATOS!$I10851)</f>
      </c>
      <c r="G10851">
        <f>IF(DATOS!$A10851="",0,IF(CONFIG_METADATA!$B$4&lt;&gt;"OR+EX",--(DATOS!$G10851=CONFIG_METADATA!$B$4),IF(DATOS!$G10851="EX",1,IF(DATOS!$G10851="OR",--(COUNTIFS(nNIA,DATOS!$A10851,nCURSO,DATOS!$D10851,nESPEC,DATOS!$E10851,nASIG,DATOS!$I10851,nEVAL,"EX")=0),0))))</f>
      </c>
      <c r="H10851">
        <f>IF(DATOS!$G10851&lt;&gt;"EX",0,--(COUNTIFS(nNIA,DATOS!$A10851,nCURSO,DATOS!$D10851,nESPEC,DATOS!$E10851,nASIG,DATOS!$I10851,nEVAL,"OR")=0))</f>
      </c>
      <c r="I10851">
        <f>IF(DATOS!$I10851="","",IFERROR(VLOOKUP(DATOS!$I10851,CONFIG_ASIGNATURAS!$B$2:$J$91,9,FALSE()),""))</f>
      </c>
    </row>
    <row r="10852">
      <c r="F10852">
        <f>IF(DATOS!$A10852="","",DATOS!$A10852&amp;"|"&amp;DATOS!$D10852&amp;"|"&amp;DATOS!$E10852&amp;"|"&amp;DATOS!$I10852)</f>
      </c>
      <c r="G10852">
        <f>IF(DATOS!$A10852="",0,IF(CONFIG_METADATA!$B$4&lt;&gt;"OR+EX",--(DATOS!$G10852=CONFIG_METADATA!$B$4),IF(DATOS!$G10852="EX",1,IF(DATOS!$G10852="OR",--(COUNTIFS(nNIA,DATOS!$A10852,nCURSO,DATOS!$D10852,nESPEC,DATOS!$E10852,nASIG,DATOS!$I10852,nEVAL,"EX")=0),0))))</f>
      </c>
      <c r="H10852">
        <f>IF(DATOS!$G10852&lt;&gt;"EX",0,--(COUNTIFS(nNIA,DATOS!$A10852,nCURSO,DATOS!$D10852,nESPEC,DATOS!$E10852,nASIG,DATOS!$I10852,nEVAL,"OR")=0))</f>
      </c>
      <c r="I10852">
        <f>IF(DATOS!$I10852="","",IFERROR(VLOOKUP(DATOS!$I10852,CONFIG_ASIGNATURAS!$B$2:$J$91,9,FALSE()),""))</f>
      </c>
    </row>
    <row r="10853">
      <c r="F10853">
        <f>IF(DATOS!$A10853="","",DATOS!$A10853&amp;"|"&amp;DATOS!$D10853&amp;"|"&amp;DATOS!$E10853&amp;"|"&amp;DATOS!$I10853)</f>
      </c>
      <c r="G10853">
        <f>IF(DATOS!$A10853="",0,IF(CONFIG_METADATA!$B$4&lt;&gt;"OR+EX",--(DATOS!$G10853=CONFIG_METADATA!$B$4),IF(DATOS!$G10853="EX",1,IF(DATOS!$G10853="OR",--(COUNTIFS(nNIA,DATOS!$A10853,nCURSO,DATOS!$D10853,nESPEC,DATOS!$E10853,nASIG,DATOS!$I10853,nEVAL,"EX")=0),0))))</f>
      </c>
      <c r="H10853">
        <f>IF(DATOS!$G10853&lt;&gt;"EX",0,--(COUNTIFS(nNIA,DATOS!$A10853,nCURSO,DATOS!$D10853,nESPEC,DATOS!$E10853,nASIG,DATOS!$I10853,nEVAL,"OR")=0))</f>
      </c>
      <c r="I10853">
        <f>IF(DATOS!$I10853="","",IFERROR(VLOOKUP(DATOS!$I10853,CONFIG_ASIGNATURAS!$B$2:$J$91,9,FALSE()),""))</f>
      </c>
    </row>
    <row r="10854">
      <c r="F10854">
        <f>IF(DATOS!$A10854="","",DATOS!$A10854&amp;"|"&amp;DATOS!$D10854&amp;"|"&amp;DATOS!$E10854&amp;"|"&amp;DATOS!$I10854)</f>
      </c>
      <c r="G10854">
        <f>IF(DATOS!$A10854="",0,IF(CONFIG_METADATA!$B$4&lt;&gt;"OR+EX",--(DATOS!$G10854=CONFIG_METADATA!$B$4),IF(DATOS!$G10854="EX",1,IF(DATOS!$G10854="OR",--(COUNTIFS(nNIA,DATOS!$A10854,nCURSO,DATOS!$D10854,nESPEC,DATOS!$E10854,nASIG,DATOS!$I10854,nEVAL,"EX")=0),0))))</f>
      </c>
      <c r="H10854">
        <f>IF(DATOS!$G10854&lt;&gt;"EX",0,--(COUNTIFS(nNIA,DATOS!$A10854,nCURSO,DATOS!$D10854,nESPEC,DATOS!$E10854,nASIG,DATOS!$I10854,nEVAL,"OR")=0))</f>
      </c>
      <c r="I10854">
        <f>IF(DATOS!$I10854="","",IFERROR(VLOOKUP(DATOS!$I10854,CONFIG_ASIGNATURAS!$B$2:$J$91,9,FALSE()),""))</f>
      </c>
    </row>
    <row r="10855">
      <c r="F10855">
        <f>IF(DATOS!$A10855="","",DATOS!$A10855&amp;"|"&amp;DATOS!$D10855&amp;"|"&amp;DATOS!$E10855&amp;"|"&amp;DATOS!$I10855)</f>
      </c>
      <c r="G10855">
        <f>IF(DATOS!$A10855="",0,IF(CONFIG_METADATA!$B$4&lt;&gt;"OR+EX",--(DATOS!$G10855=CONFIG_METADATA!$B$4),IF(DATOS!$G10855="EX",1,IF(DATOS!$G10855="OR",--(COUNTIFS(nNIA,DATOS!$A10855,nCURSO,DATOS!$D10855,nESPEC,DATOS!$E10855,nASIG,DATOS!$I10855,nEVAL,"EX")=0),0))))</f>
      </c>
      <c r="H10855">
        <f>IF(DATOS!$G10855&lt;&gt;"EX",0,--(COUNTIFS(nNIA,DATOS!$A10855,nCURSO,DATOS!$D10855,nESPEC,DATOS!$E10855,nASIG,DATOS!$I10855,nEVAL,"OR")=0))</f>
      </c>
      <c r="I10855">
        <f>IF(DATOS!$I10855="","",IFERROR(VLOOKUP(DATOS!$I10855,CONFIG_ASIGNATURAS!$B$2:$J$91,9,FALSE()),""))</f>
      </c>
    </row>
    <row r="10856">
      <c r="F10856">
        <f>IF(DATOS!$A10856="","",DATOS!$A10856&amp;"|"&amp;DATOS!$D10856&amp;"|"&amp;DATOS!$E10856&amp;"|"&amp;DATOS!$I10856)</f>
      </c>
      <c r="G10856">
        <f>IF(DATOS!$A10856="",0,IF(CONFIG_METADATA!$B$4&lt;&gt;"OR+EX",--(DATOS!$G10856=CONFIG_METADATA!$B$4),IF(DATOS!$G10856="EX",1,IF(DATOS!$G10856="OR",--(COUNTIFS(nNIA,DATOS!$A10856,nCURSO,DATOS!$D10856,nESPEC,DATOS!$E10856,nASIG,DATOS!$I10856,nEVAL,"EX")=0),0))))</f>
      </c>
      <c r="H10856">
        <f>IF(DATOS!$G10856&lt;&gt;"EX",0,--(COUNTIFS(nNIA,DATOS!$A10856,nCURSO,DATOS!$D10856,nESPEC,DATOS!$E10856,nASIG,DATOS!$I10856,nEVAL,"OR")=0))</f>
      </c>
      <c r="I10856">
        <f>IF(DATOS!$I10856="","",IFERROR(VLOOKUP(DATOS!$I10856,CONFIG_ASIGNATURAS!$B$2:$J$91,9,FALSE()),""))</f>
      </c>
    </row>
    <row r="10857">
      <c r="F10857">
        <f>IF(DATOS!$A10857="","",DATOS!$A10857&amp;"|"&amp;DATOS!$D10857&amp;"|"&amp;DATOS!$E10857&amp;"|"&amp;DATOS!$I10857)</f>
      </c>
      <c r="G10857">
        <f>IF(DATOS!$A10857="",0,IF(CONFIG_METADATA!$B$4&lt;&gt;"OR+EX",--(DATOS!$G10857=CONFIG_METADATA!$B$4),IF(DATOS!$G10857="EX",1,IF(DATOS!$G10857="OR",--(COUNTIFS(nNIA,DATOS!$A10857,nCURSO,DATOS!$D10857,nESPEC,DATOS!$E10857,nASIG,DATOS!$I10857,nEVAL,"EX")=0),0))))</f>
      </c>
      <c r="H10857">
        <f>IF(DATOS!$G10857&lt;&gt;"EX",0,--(COUNTIFS(nNIA,DATOS!$A10857,nCURSO,DATOS!$D10857,nESPEC,DATOS!$E10857,nASIG,DATOS!$I10857,nEVAL,"OR")=0))</f>
      </c>
      <c r="I10857">
        <f>IF(DATOS!$I10857="","",IFERROR(VLOOKUP(DATOS!$I10857,CONFIG_ASIGNATURAS!$B$2:$J$91,9,FALSE()),""))</f>
      </c>
    </row>
    <row r="10858">
      <c r="F10858">
        <f>IF(DATOS!$A10858="","",DATOS!$A10858&amp;"|"&amp;DATOS!$D10858&amp;"|"&amp;DATOS!$E10858&amp;"|"&amp;DATOS!$I10858)</f>
      </c>
      <c r="G10858">
        <f>IF(DATOS!$A10858="",0,IF(CONFIG_METADATA!$B$4&lt;&gt;"OR+EX",--(DATOS!$G10858=CONFIG_METADATA!$B$4),IF(DATOS!$G10858="EX",1,IF(DATOS!$G10858="OR",--(COUNTIFS(nNIA,DATOS!$A10858,nCURSO,DATOS!$D10858,nESPEC,DATOS!$E10858,nASIG,DATOS!$I10858,nEVAL,"EX")=0),0))))</f>
      </c>
      <c r="H10858">
        <f>IF(DATOS!$G10858&lt;&gt;"EX",0,--(COUNTIFS(nNIA,DATOS!$A10858,nCURSO,DATOS!$D10858,nESPEC,DATOS!$E10858,nASIG,DATOS!$I10858,nEVAL,"OR")=0))</f>
      </c>
      <c r="I10858">
        <f>IF(DATOS!$I10858="","",IFERROR(VLOOKUP(DATOS!$I10858,CONFIG_ASIGNATURAS!$B$2:$J$91,9,FALSE()),""))</f>
      </c>
    </row>
    <row r="10859">
      <c r="F10859">
        <f>IF(DATOS!$A10859="","",DATOS!$A10859&amp;"|"&amp;DATOS!$D10859&amp;"|"&amp;DATOS!$E10859&amp;"|"&amp;DATOS!$I10859)</f>
      </c>
      <c r="G10859">
        <f>IF(DATOS!$A10859="",0,IF(CONFIG_METADATA!$B$4&lt;&gt;"OR+EX",--(DATOS!$G10859=CONFIG_METADATA!$B$4),IF(DATOS!$G10859="EX",1,IF(DATOS!$G10859="OR",--(COUNTIFS(nNIA,DATOS!$A10859,nCURSO,DATOS!$D10859,nESPEC,DATOS!$E10859,nASIG,DATOS!$I10859,nEVAL,"EX")=0),0))))</f>
      </c>
      <c r="H10859">
        <f>IF(DATOS!$G10859&lt;&gt;"EX",0,--(COUNTIFS(nNIA,DATOS!$A10859,nCURSO,DATOS!$D10859,nESPEC,DATOS!$E10859,nASIG,DATOS!$I10859,nEVAL,"OR")=0))</f>
      </c>
      <c r="I10859">
        <f>IF(DATOS!$I10859="","",IFERROR(VLOOKUP(DATOS!$I10859,CONFIG_ASIGNATURAS!$B$2:$J$91,9,FALSE()),""))</f>
      </c>
    </row>
    <row r="10860">
      <c r="F10860">
        <f>IF(DATOS!$A10860="","",DATOS!$A10860&amp;"|"&amp;DATOS!$D10860&amp;"|"&amp;DATOS!$E10860&amp;"|"&amp;DATOS!$I10860)</f>
      </c>
      <c r="G10860">
        <f>IF(DATOS!$A10860="",0,IF(CONFIG_METADATA!$B$4&lt;&gt;"OR+EX",--(DATOS!$G10860=CONFIG_METADATA!$B$4),IF(DATOS!$G10860="EX",1,IF(DATOS!$G10860="OR",--(COUNTIFS(nNIA,DATOS!$A10860,nCURSO,DATOS!$D10860,nESPEC,DATOS!$E10860,nASIG,DATOS!$I10860,nEVAL,"EX")=0),0))))</f>
      </c>
      <c r="H10860">
        <f>IF(DATOS!$G10860&lt;&gt;"EX",0,--(COUNTIFS(nNIA,DATOS!$A10860,nCURSO,DATOS!$D10860,nESPEC,DATOS!$E10860,nASIG,DATOS!$I10860,nEVAL,"OR")=0))</f>
      </c>
      <c r="I10860">
        <f>IF(DATOS!$I10860="","",IFERROR(VLOOKUP(DATOS!$I10860,CONFIG_ASIGNATURAS!$B$2:$J$91,9,FALSE()),""))</f>
      </c>
    </row>
    <row r="10861">
      <c r="F10861">
        <f>IF(DATOS!$A10861="","",DATOS!$A10861&amp;"|"&amp;DATOS!$D10861&amp;"|"&amp;DATOS!$E10861&amp;"|"&amp;DATOS!$I10861)</f>
      </c>
      <c r="G10861">
        <f>IF(DATOS!$A10861="",0,IF(CONFIG_METADATA!$B$4&lt;&gt;"OR+EX",--(DATOS!$G10861=CONFIG_METADATA!$B$4),IF(DATOS!$G10861="EX",1,IF(DATOS!$G10861="OR",--(COUNTIFS(nNIA,DATOS!$A10861,nCURSO,DATOS!$D10861,nESPEC,DATOS!$E10861,nASIG,DATOS!$I10861,nEVAL,"EX")=0),0))))</f>
      </c>
      <c r="H10861">
        <f>IF(DATOS!$G10861&lt;&gt;"EX",0,--(COUNTIFS(nNIA,DATOS!$A10861,nCURSO,DATOS!$D10861,nESPEC,DATOS!$E10861,nASIG,DATOS!$I10861,nEVAL,"OR")=0))</f>
      </c>
      <c r="I10861">
        <f>IF(DATOS!$I10861="","",IFERROR(VLOOKUP(DATOS!$I10861,CONFIG_ASIGNATURAS!$B$2:$J$91,9,FALSE()),""))</f>
      </c>
    </row>
    <row r="10862">
      <c r="F10862">
        <f>IF(DATOS!$A10862="","",DATOS!$A10862&amp;"|"&amp;DATOS!$D10862&amp;"|"&amp;DATOS!$E10862&amp;"|"&amp;DATOS!$I10862)</f>
      </c>
      <c r="G10862">
        <f>IF(DATOS!$A10862="",0,IF(CONFIG_METADATA!$B$4&lt;&gt;"OR+EX",--(DATOS!$G10862=CONFIG_METADATA!$B$4),IF(DATOS!$G10862="EX",1,IF(DATOS!$G10862="OR",--(COUNTIFS(nNIA,DATOS!$A10862,nCURSO,DATOS!$D10862,nESPEC,DATOS!$E10862,nASIG,DATOS!$I10862,nEVAL,"EX")=0),0))))</f>
      </c>
      <c r="H10862">
        <f>IF(DATOS!$G10862&lt;&gt;"EX",0,--(COUNTIFS(nNIA,DATOS!$A10862,nCURSO,DATOS!$D10862,nESPEC,DATOS!$E10862,nASIG,DATOS!$I10862,nEVAL,"OR")=0))</f>
      </c>
      <c r="I10862">
        <f>IF(DATOS!$I10862="","",IFERROR(VLOOKUP(DATOS!$I10862,CONFIG_ASIGNATURAS!$B$2:$J$91,9,FALSE()),""))</f>
      </c>
    </row>
    <row r="10863">
      <c r="F10863">
        <f>IF(DATOS!$A10863="","",DATOS!$A10863&amp;"|"&amp;DATOS!$D10863&amp;"|"&amp;DATOS!$E10863&amp;"|"&amp;DATOS!$I10863)</f>
      </c>
      <c r="G10863">
        <f>IF(DATOS!$A10863="",0,IF(CONFIG_METADATA!$B$4&lt;&gt;"OR+EX",--(DATOS!$G10863=CONFIG_METADATA!$B$4),IF(DATOS!$G10863="EX",1,IF(DATOS!$G10863="OR",--(COUNTIFS(nNIA,DATOS!$A10863,nCURSO,DATOS!$D10863,nESPEC,DATOS!$E10863,nASIG,DATOS!$I10863,nEVAL,"EX")=0),0))))</f>
      </c>
      <c r="H10863">
        <f>IF(DATOS!$G10863&lt;&gt;"EX",0,--(COUNTIFS(nNIA,DATOS!$A10863,nCURSO,DATOS!$D10863,nESPEC,DATOS!$E10863,nASIG,DATOS!$I10863,nEVAL,"OR")=0))</f>
      </c>
      <c r="I10863">
        <f>IF(DATOS!$I10863="","",IFERROR(VLOOKUP(DATOS!$I10863,CONFIG_ASIGNATURAS!$B$2:$J$91,9,FALSE()),""))</f>
      </c>
    </row>
    <row r="10864">
      <c r="F10864">
        <f>IF(DATOS!$A10864="","",DATOS!$A10864&amp;"|"&amp;DATOS!$D10864&amp;"|"&amp;DATOS!$E10864&amp;"|"&amp;DATOS!$I10864)</f>
      </c>
      <c r="G10864">
        <f>IF(DATOS!$A10864="",0,IF(CONFIG_METADATA!$B$4&lt;&gt;"OR+EX",--(DATOS!$G10864=CONFIG_METADATA!$B$4),IF(DATOS!$G10864="EX",1,IF(DATOS!$G10864="OR",--(COUNTIFS(nNIA,DATOS!$A10864,nCURSO,DATOS!$D10864,nESPEC,DATOS!$E10864,nASIG,DATOS!$I10864,nEVAL,"EX")=0),0))))</f>
      </c>
      <c r="H10864">
        <f>IF(DATOS!$G10864&lt;&gt;"EX",0,--(COUNTIFS(nNIA,DATOS!$A10864,nCURSO,DATOS!$D10864,nESPEC,DATOS!$E10864,nASIG,DATOS!$I10864,nEVAL,"OR")=0))</f>
      </c>
      <c r="I10864">
        <f>IF(DATOS!$I10864="","",IFERROR(VLOOKUP(DATOS!$I10864,CONFIG_ASIGNATURAS!$B$2:$J$91,9,FALSE()),""))</f>
      </c>
    </row>
    <row r="10865">
      <c r="F10865">
        <f>IF(DATOS!$A10865="","",DATOS!$A10865&amp;"|"&amp;DATOS!$D10865&amp;"|"&amp;DATOS!$E10865&amp;"|"&amp;DATOS!$I10865)</f>
      </c>
      <c r="G10865">
        <f>IF(DATOS!$A10865="",0,IF(CONFIG_METADATA!$B$4&lt;&gt;"OR+EX",--(DATOS!$G10865=CONFIG_METADATA!$B$4),IF(DATOS!$G10865="EX",1,IF(DATOS!$G10865="OR",--(COUNTIFS(nNIA,DATOS!$A10865,nCURSO,DATOS!$D10865,nESPEC,DATOS!$E10865,nASIG,DATOS!$I10865,nEVAL,"EX")=0),0))))</f>
      </c>
      <c r="H10865">
        <f>IF(DATOS!$G10865&lt;&gt;"EX",0,--(COUNTIFS(nNIA,DATOS!$A10865,nCURSO,DATOS!$D10865,nESPEC,DATOS!$E10865,nASIG,DATOS!$I10865,nEVAL,"OR")=0))</f>
      </c>
      <c r="I10865">
        <f>IF(DATOS!$I10865="","",IFERROR(VLOOKUP(DATOS!$I10865,CONFIG_ASIGNATURAS!$B$2:$J$91,9,FALSE()),""))</f>
      </c>
    </row>
    <row r="10866">
      <c r="F10866">
        <f>IF(DATOS!$A10866="","",DATOS!$A10866&amp;"|"&amp;DATOS!$D10866&amp;"|"&amp;DATOS!$E10866&amp;"|"&amp;DATOS!$I10866)</f>
      </c>
      <c r="G10866">
        <f>IF(DATOS!$A10866="",0,IF(CONFIG_METADATA!$B$4&lt;&gt;"OR+EX",--(DATOS!$G10866=CONFIG_METADATA!$B$4),IF(DATOS!$G10866="EX",1,IF(DATOS!$G10866="OR",--(COUNTIFS(nNIA,DATOS!$A10866,nCURSO,DATOS!$D10866,nESPEC,DATOS!$E10866,nASIG,DATOS!$I10866,nEVAL,"EX")=0),0))))</f>
      </c>
      <c r="H10866">
        <f>IF(DATOS!$G10866&lt;&gt;"EX",0,--(COUNTIFS(nNIA,DATOS!$A10866,nCURSO,DATOS!$D10866,nESPEC,DATOS!$E10866,nASIG,DATOS!$I10866,nEVAL,"OR")=0))</f>
      </c>
      <c r="I10866">
        <f>IF(DATOS!$I10866="","",IFERROR(VLOOKUP(DATOS!$I10866,CONFIG_ASIGNATURAS!$B$2:$J$91,9,FALSE()),""))</f>
      </c>
    </row>
    <row r="10867">
      <c r="F10867">
        <f>IF(DATOS!$A10867="","",DATOS!$A10867&amp;"|"&amp;DATOS!$D10867&amp;"|"&amp;DATOS!$E10867&amp;"|"&amp;DATOS!$I10867)</f>
      </c>
      <c r="G10867">
        <f>IF(DATOS!$A10867="",0,IF(CONFIG_METADATA!$B$4&lt;&gt;"OR+EX",--(DATOS!$G10867=CONFIG_METADATA!$B$4),IF(DATOS!$G10867="EX",1,IF(DATOS!$G10867="OR",--(COUNTIFS(nNIA,DATOS!$A10867,nCURSO,DATOS!$D10867,nESPEC,DATOS!$E10867,nASIG,DATOS!$I10867,nEVAL,"EX")=0),0))))</f>
      </c>
      <c r="H10867">
        <f>IF(DATOS!$G10867&lt;&gt;"EX",0,--(COUNTIFS(nNIA,DATOS!$A10867,nCURSO,DATOS!$D10867,nESPEC,DATOS!$E10867,nASIG,DATOS!$I10867,nEVAL,"OR")=0))</f>
      </c>
      <c r="I10867">
        <f>IF(DATOS!$I10867="","",IFERROR(VLOOKUP(DATOS!$I10867,CONFIG_ASIGNATURAS!$B$2:$J$91,9,FALSE()),""))</f>
      </c>
    </row>
    <row r="10868">
      <c r="F10868">
        <f>IF(DATOS!$A10868="","",DATOS!$A10868&amp;"|"&amp;DATOS!$D10868&amp;"|"&amp;DATOS!$E10868&amp;"|"&amp;DATOS!$I10868)</f>
      </c>
      <c r="G10868">
        <f>IF(DATOS!$A10868="",0,IF(CONFIG_METADATA!$B$4&lt;&gt;"OR+EX",--(DATOS!$G10868=CONFIG_METADATA!$B$4),IF(DATOS!$G10868="EX",1,IF(DATOS!$G10868="OR",--(COUNTIFS(nNIA,DATOS!$A10868,nCURSO,DATOS!$D10868,nESPEC,DATOS!$E10868,nASIG,DATOS!$I10868,nEVAL,"EX")=0),0))))</f>
      </c>
      <c r="H10868">
        <f>IF(DATOS!$G10868&lt;&gt;"EX",0,--(COUNTIFS(nNIA,DATOS!$A10868,nCURSO,DATOS!$D10868,nESPEC,DATOS!$E10868,nASIG,DATOS!$I10868,nEVAL,"OR")=0))</f>
      </c>
      <c r="I10868">
        <f>IF(DATOS!$I10868="","",IFERROR(VLOOKUP(DATOS!$I10868,CONFIG_ASIGNATURAS!$B$2:$J$91,9,FALSE()),""))</f>
      </c>
    </row>
    <row r="10869">
      <c r="F10869">
        <f>IF(DATOS!$A10869="","",DATOS!$A10869&amp;"|"&amp;DATOS!$D10869&amp;"|"&amp;DATOS!$E10869&amp;"|"&amp;DATOS!$I10869)</f>
      </c>
      <c r="G10869">
        <f>IF(DATOS!$A10869="",0,IF(CONFIG_METADATA!$B$4&lt;&gt;"OR+EX",--(DATOS!$G10869=CONFIG_METADATA!$B$4),IF(DATOS!$G10869="EX",1,IF(DATOS!$G10869="OR",--(COUNTIFS(nNIA,DATOS!$A10869,nCURSO,DATOS!$D10869,nESPEC,DATOS!$E10869,nASIG,DATOS!$I10869,nEVAL,"EX")=0),0))))</f>
      </c>
      <c r="H10869">
        <f>IF(DATOS!$G10869&lt;&gt;"EX",0,--(COUNTIFS(nNIA,DATOS!$A10869,nCURSO,DATOS!$D10869,nESPEC,DATOS!$E10869,nASIG,DATOS!$I10869,nEVAL,"OR")=0))</f>
      </c>
      <c r="I10869">
        <f>IF(DATOS!$I10869="","",IFERROR(VLOOKUP(DATOS!$I10869,CONFIG_ASIGNATURAS!$B$2:$J$91,9,FALSE()),""))</f>
      </c>
    </row>
    <row r="10870">
      <c r="F10870">
        <f>IF(DATOS!$A10870="","",DATOS!$A10870&amp;"|"&amp;DATOS!$D10870&amp;"|"&amp;DATOS!$E10870&amp;"|"&amp;DATOS!$I10870)</f>
      </c>
      <c r="G10870">
        <f>IF(DATOS!$A10870="",0,IF(CONFIG_METADATA!$B$4&lt;&gt;"OR+EX",--(DATOS!$G10870=CONFIG_METADATA!$B$4),IF(DATOS!$G10870="EX",1,IF(DATOS!$G10870="OR",--(COUNTIFS(nNIA,DATOS!$A10870,nCURSO,DATOS!$D10870,nESPEC,DATOS!$E10870,nASIG,DATOS!$I10870,nEVAL,"EX")=0),0))))</f>
      </c>
      <c r="H10870">
        <f>IF(DATOS!$G10870&lt;&gt;"EX",0,--(COUNTIFS(nNIA,DATOS!$A10870,nCURSO,DATOS!$D10870,nESPEC,DATOS!$E10870,nASIG,DATOS!$I10870,nEVAL,"OR")=0))</f>
      </c>
      <c r="I10870">
        <f>IF(DATOS!$I10870="","",IFERROR(VLOOKUP(DATOS!$I10870,CONFIG_ASIGNATURAS!$B$2:$J$91,9,FALSE()),""))</f>
      </c>
    </row>
    <row r="10871">
      <c r="F10871">
        <f>IF(DATOS!$A10871="","",DATOS!$A10871&amp;"|"&amp;DATOS!$D10871&amp;"|"&amp;DATOS!$E10871&amp;"|"&amp;DATOS!$I10871)</f>
      </c>
      <c r="G10871">
        <f>IF(DATOS!$A10871="",0,IF(CONFIG_METADATA!$B$4&lt;&gt;"OR+EX",--(DATOS!$G10871=CONFIG_METADATA!$B$4),IF(DATOS!$G10871="EX",1,IF(DATOS!$G10871="OR",--(COUNTIFS(nNIA,DATOS!$A10871,nCURSO,DATOS!$D10871,nESPEC,DATOS!$E10871,nASIG,DATOS!$I10871,nEVAL,"EX")=0),0))))</f>
      </c>
      <c r="H10871">
        <f>IF(DATOS!$G10871&lt;&gt;"EX",0,--(COUNTIFS(nNIA,DATOS!$A10871,nCURSO,DATOS!$D10871,nESPEC,DATOS!$E10871,nASIG,DATOS!$I10871,nEVAL,"OR")=0))</f>
      </c>
      <c r="I10871">
        <f>IF(DATOS!$I10871="","",IFERROR(VLOOKUP(DATOS!$I10871,CONFIG_ASIGNATURAS!$B$2:$J$91,9,FALSE()),""))</f>
      </c>
    </row>
    <row r="10872">
      <c r="F10872">
        <f>IF(DATOS!$A10872="","",DATOS!$A10872&amp;"|"&amp;DATOS!$D10872&amp;"|"&amp;DATOS!$E10872&amp;"|"&amp;DATOS!$I10872)</f>
      </c>
      <c r="G10872">
        <f>IF(DATOS!$A10872="",0,IF(CONFIG_METADATA!$B$4&lt;&gt;"OR+EX",--(DATOS!$G10872=CONFIG_METADATA!$B$4),IF(DATOS!$G10872="EX",1,IF(DATOS!$G10872="OR",--(COUNTIFS(nNIA,DATOS!$A10872,nCURSO,DATOS!$D10872,nESPEC,DATOS!$E10872,nASIG,DATOS!$I10872,nEVAL,"EX")=0),0))))</f>
      </c>
      <c r="H10872">
        <f>IF(DATOS!$G10872&lt;&gt;"EX",0,--(COUNTIFS(nNIA,DATOS!$A10872,nCURSO,DATOS!$D10872,nESPEC,DATOS!$E10872,nASIG,DATOS!$I10872,nEVAL,"OR")=0))</f>
      </c>
      <c r="I10872">
        <f>IF(DATOS!$I10872="","",IFERROR(VLOOKUP(DATOS!$I10872,CONFIG_ASIGNATURAS!$B$2:$J$91,9,FALSE()),""))</f>
      </c>
    </row>
    <row r="10873">
      <c r="F10873">
        <f>IF(DATOS!$A10873="","",DATOS!$A10873&amp;"|"&amp;DATOS!$D10873&amp;"|"&amp;DATOS!$E10873&amp;"|"&amp;DATOS!$I10873)</f>
      </c>
      <c r="G10873">
        <f>IF(DATOS!$A10873="",0,IF(CONFIG_METADATA!$B$4&lt;&gt;"OR+EX",--(DATOS!$G10873=CONFIG_METADATA!$B$4),IF(DATOS!$G10873="EX",1,IF(DATOS!$G10873="OR",--(COUNTIFS(nNIA,DATOS!$A10873,nCURSO,DATOS!$D10873,nESPEC,DATOS!$E10873,nASIG,DATOS!$I10873,nEVAL,"EX")=0),0))))</f>
      </c>
      <c r="H10873">
        <f>IF(DATOS!$G10873&lt;&gt;"EX",0,--(COUNTIFS(nNIA,DATOS!$A10873,nCURSO,DATOS!$D10873,nESPEC,DATOS!$E10873,nASIG,DATOS!$I10873,nEVAL,"OR")=0))</f>
      </c>
      <c r="I10873">
        <f>IF(DATOS!$I10873="","",IFERROR(VLOOKUP(DATOS!$I10873,CONFIG_ASIGNATURAS!$B$2:$J$91,9,FALSE()),""))</f>
      </c>
    </row>
    <row r="10874">
      <c r="F10874">
        <f>IF(DATOS!$A10874="","",DATOS!$A10874&amp;"|"&amp;DATOS!$D10874&amp;"|"&amp;DATOS!$E10874&amp;"|"&amp;DATOS!$I10874)</f>
      </c>
      <c r="G10874">
        <f>IF(DATOS!$A10874="",0,IF(CONFIG_METADATA!$B$4&lt;&gt;"OR+EX",--(DATOS!$G10874=CONFIG_METADATA!$B$4),IF(DATOS!$G10874="EX",1,IF(DATOS!$G10874="OR",--(COUNTIFS(nNIA,DATOS!$A10874,nCURSO,DATOS!$D10874,nESPEC,DATOS!$E10874,nASIG,DATOS!$I10874,nEVAL,"EX")=0),0))))</f>
      </c>
      <c r="H10874">
        <f>IF(DATOS!$G10874&lt;&gt;"EX",0,--(COUNTIFS(nNIA,DATOS!$A10874,nCURSO,DATOS!$D10874,nESPEC,DATOS!$E10874,nASIG,DATOS!$I10874,nEVAL,"OR")=0))</f>
      </c>
      <c r="I10874">
        <f>IF(DATOS!$I10874="","",IFERROR(VLOOKUP(DATOS!$I10874,CONFIG_ASIGNATURAS!$B$2:$J$91,9,FALSE()),""))</f>
      </c>
    </row>
    <row r="10875">
      <c r="F10875">
        <f>IF(DATOS!$A10875="","",DATOS!$A10875&amp;"|"&amp;DATOS!$D10875&amp;"|"&amp;DATOS!$E10875&amp;"|"&amp;DATOS!$I10875)</f>
      </c>
      <c r="G10875">
        <f>IF(DATOS!$A10875="",0,IF(CONFIG_METADATA!$B$4&lt;&gt;"OR+EX",--(DATOS!$G10875=CONFIG_METADATA!$B$4),IF(DATOS!$G10875="EX",1,IF(DATOS!$G10875="OR",--(COUNTIFS(nNIA,DATOS!$A10875,nCURSO,DATOS!$D10875,nESPEC,DATOS!$E10875,nASIG,DATOS!$I10875,nEVAL,"EX")=0),0))))</f>
      </c>
      <c r="H10875">
        <f>IF(DATOS!$G10875&lt;&gt;"EX",0,--(COUNTIFS(nNIA,DATOS!$A10875,nCURSO,DATOS!$D10875,nESPEC,DATOS!$E10875,nASIG,DATOS!$I10875,nEVAL,"OR")=0))</f>
      </c>
      <c r="I10875">
        <f>IF(DATOS!$I10875="","",IFERROR(VLOOKUP(DATOS!$I10875,CONFIG_ASIGNATURAS!$B$2:$J$91,9,FALSE()),""))</f>
      </c>
    </row>
    <row r="10876">
      <c r="F10876">
        <f>IF(DATOS!$A10876="","",DATOS!$A10876&amp;"|"&amp;DATOS!$D10876&amp;"|"&amp;DATOS!$E10876&amp;"|"&amp;DATOS!$I10876)</f>
      </c>
      <c r="G10876">
        <f>IF(DATOS!$A10876="",0,IF(CONFIG_METADATA!$B$4&lt;&gt;"OR+EX",--(DATOS!$G10876=CONFIG_METADATA!$B$4),IF(DATOS!$G10876="EX",1,IF(DATOS!$G10876="OR",--(COUNTIFS(nNIA,DATOS!$A10876,nCURSO,DATOS!$D10876,nESPEC,DATOS!$E10876,nASIG,DATOS!$I10876,nEVAL,"EX")=0),0))))</f>
      </c>
      <c r="H10876">
        <f>IF(DATOS!$G10876&lt;&gt;"EX",0,--(COUNTIFS(nNIA,DATOS!$A10876,nCURSO,DATOS!$D10876,nESPEC,DATOS!$E10876,nASIG,DATOS!$I10876,nEVAL,"OR")=0))</f>
      </c>
      <c r="I10876">
        <f>IF(DATOS!$I10876="","",IFERROR(VLOOKUP(DATOS!$I10876,CONFIG_ASIGNATURAS!$B$2:$J$91,9,FALSE()),""))</f>
      </c>
    </row>
    <row r="10877">
      <c r="F10877">
        <f>IF(DATOS!$A10877="","",DATOS!$A10877&amp;"|"&amp;DATOS!$D10877&amp;"|"&amp;DATOS!$E10877&amp;"|"&amp;DATOS!$I10877)</f>
      </c>
      <c r="G10877">
        <f>IF(DATOS!$A10877="",0,IF(CONFIG_METADATA!$B$4&lt;&gt;"OR+EX",--(DATOS!$G10877=CONFIG_METADATA!$B$4),IF(DATOS!$G10877="EX",1,IF(DATOS!$G10877="OR",--(COUNTIFS(nNIA,DATOS!$A10877,nCURSO,DATOS!$D10877,nESPEC,DATOS!$E10877,nASIG,DATOS!$I10877,nEVAL,"EX")=0),0))))</f>
      </c>
      <c r="H10877">
        <f>IF(DATOS!$G10877&lt;&gt;"EX",0,--(COUNTIFS(nNIA,DATOS!$A10877,nCURSO,DATOS!$D10877,nESPEC,DATOS!$E10877,nASIG,DATOS!$I10877,nEVAL,"OR")=0))</f>
      </c>
      <c r="I10877">
        <f>IF(DATOS!$I10877="","",IFERROR(VLOOKUP(DATOS!$I10877,CONFIG_ASIGNATURAS!$B$2:$J$91,9,FALSE()),""))</f>
      </c>
    </row>
    <row r="10878">
      <c r="F10878">
        <f>IF(DATOS!$A10878="","",DATOS!$A10878&amp;"|"&amp;DATOS!$D10878&amp;"|"&amp;DATOS!$E10878&amp;"|"&amp;DATOS!$I10878)</f>
      </c>
      <c r="G10878">
        <f>IF(DATOS!$A10878="",0,IF(CONFIG_METADATA!$B$4&lt;&gt;"OR+EX",--(DATOS!$G10878=CONFIG_METADATA!$B$4),IF(DATOS!$G10878="EX",1,IF(DATOS!$G10878="OR",--(COUNTIFS(nNIA,DATOS!$A10878,nCURSO,DATOS!$D10878,nESPEC,DATOS!$E10878,nASIG,DATOS!$I10878,nEVAL,"EX")=0),0))))</f>
      </c>
      <c r="H10878">
        <f>IF(DATOS!$G10878&lt;&gt;"EX",0,--(COUNTIFS(nNIA,DATOS!$A10878,nCURSO,DATOS!$D10878,nESPEC,DATOS!$E10878,nASIG,DATOS!$I10878,nEVAL,"OR")=0))</f>
      </c>
      <c r="I10878">
        <f>IF(DATOS!$I10878="","",IFERROR(VLOOKUP(DATOS!$I10878,CONFIG_ASIGNATURAS!$B$2:$J$91,9,FALSE()),""))</f>
      </c>
    </row>
    <row r="10879">
      <c r="F10879">
        <f>IF(DATOS!$A10879="","",DATOS!$A10879&amp;"|"&amp;DATOS!$D10879&amp;"|"&amp;DATOS!$E10879&amp;"|"&amp;DATOS!$I10879)</f>
      </c>
      <c r="G10879">
        <f>IF(DATOS!$A10879="",0,IF(CONFIG_METADATA!$B$4&lt;&gt;"OR+EX",--(DATOS!$G10879=CONFIG_METADATA!$B$4),IF(DATOS!$G10879="EX",1,IF(DATOS!$G10879="OR",--(COUNTIFS(nNIA,DATOS!$A10879,nCURSO,DATOS!$D10879,nESPEC,DATOS!$E10879,nASIG,DATOS!$I10879,nEVAL,"EX")=0),0))))</f>
      </c>
      <c r="H10879">
        <f>IF(DATOS!$G10879&lt;&gt;"EX",0,--(COUNTIFS(nNIA,DATOS!$A10879,nCURSO,DATOS!$D10879,nESPEC,DATOS!$E10879,nASIG,DATOS!$I10879,nEVAL,"OR")=0))</f>
      </c>
      <c r="I10879">
        <f>IF(DATOS!$I10879="","",IFERROR(VLOOKUP(DATOS!$I10879,CONFIG_ASIGNATURAS!$B$2:$J$91,9,FALSE()),""))</f>
      </c>
    </row>
    <row r="10880">
      <c r="F10880">
        <f>IF(DATOS!$A10880="","",DATOS!$A10880&amp;"|"&amp;DATOS!$D10880&amp;"|"&amp;DATOS!$E10880&amp;"|"&amp;DATOS!$I10880)</f>
      </c>
      <c r="G10880">
        <f>IF(DATOS!$A10880="",0,IF(CONFIG_METADATA!$B$4&lt;&gt;"OR+EX",--(DATOS!$G10880=CONFIG_METADATA!$B$4),IF(DATOS!$G10880="EX",1,IF(DATOS!$G10880="OR",--(COUNTIFS(nNIA,DATOS!$A10880,nCURSO,DATOS!$D10880,nESPEC,DATOS!$E10880,nASIG,DATOS!$I10880,nEVAL,"EX")=0),0))))</f>
      </c>
      <c r="H10880">
        <f>IF(DATOS!$G10880&lt;&gt;"EX",0,--(COUNTIFS(nNIA,DATOS!$A10880,nCURSO,DATOS!$D10880,nESPEC,DATOS!$E10880,nASIG,DATOS!$I10880,nEVAL,"OR")=0))</f>
      </c>
      <c r="I10880">
        <f>IF(DATOS!$I10880="","",IFERROR(VLOOKUP(DATOS!$I10880,CONFIG_ASIGNATURAS!$B$2:$J$91,9,FALSE()),""))</f>
      </c>
    </row>
    <row r="10881">
      <c r="F10881">
        <f>IF(DATOS!$A10881="","",DATOS!$A10881&amp;"|"&amp;DATOS!$D10881&amp;"|"&amp;DATOS!$E10881&amp;"|"&amp;DATOS!$I10881)</f>
      </c>
      <c r="G10881">
        <f>IF(DATOS!$A10881="",0,IF(CONFIG_METADATA!$B$4&lt;&gt;"OR+EX",--(DATOS!$G10881=CONFIG_METADATA!$B$4),IF(DATOS!$G10881="EX",1,IF(DATOS!$G10881="OR",--(COUNTIFS(nNIA,DATOS!$A10881,nCURSO,DATOS!$D10881,nESPEC,DATOS!$E10881,nASIG,DATOS!$I10881,nEVAL,"EX")=0),0))))</f>
      </c>
      <c r="H10881">
        <f>IF(DATOS!$G10881&lt;&gt;"EX",0,--(COUNTIFS(nNIA,DATOS!$A10881,nCURSO,DATOS!$D10881,nESPEC,DATOS!$E10881,nASIG,DATOS!$I10881,nEVAL,"OR")=0))</f>
      </c>
      <c r="I10881">
        <f>IF(DATOS!$I10881="","",IFERROR(VLOOKUP(DATOS!$I10881,CONFIG_ASIGNATURAS!$B$2:$J$91,9,FALSE()),""))</f>
      </c>
    </row>
    <row r="10882">
      <c r="F10882">
        <f>IF(DATOS!$A10882="","",DATOS!$A10882&amp;"|"&amp;DATOS!$D10882&amp;"|"&amp;DATOS!$E10882&amp;"|"&amp;DATOS!$I10882)</f>
      </c>
      <c r="G10882">
        <f>IF(DATOS!$A10882="",0,IF(CONFIG_METADATA!$B$4&lt;&gt;"OR+EX",--(DATOS!$G10882=CONFIG_METADATA!$B$4),IF(DATOS!$G10882="EX",1,IF(DATOS!$G10882="OR",--(COUNTIFS(nNIA,DATOS!$A10882,nCURSO,DATOS!$D10882,nESPEC,DATOS!$E10882,nASIG,DATOS!$I10882,nEVAL,"EX")=0),0))))</f>
      </c>
      <c r="H10882">
        <f>IF(DATOS!$G10882&lt;&gt;"EX",0,--(COUNTIFS(nNIA,DATOS!$A10882,nCURSO,DATOS!$D10882,nESPEC,DATOS!$E10882,nASIG,DATOS!$I10882,nEVAL,"OR")=0))</f>
      </c>
      <c r="I10882">
        <f>IF(DATOS!$I10882="","",IFERROR(VLOOKUP(DATOS!$I10882,CONFIG_ASIGNATURAS!$B$2:$J$91,9,FALSE()),""))</f>
      </c>
    </row>
    <row r="10883">
      <c r="F10883">
        <f>IF(DATOS!$A10883="","",DATOS!$A10883&amp;"|"&amp;DATOS!$D10883&amp;"|"&amp;DATOS!$E10883&amp;"|"&amp;DATOS!$I10883)</f>
      </c>
      <c r="G10883">
        <f>IF(DATOS!$A10883="",0,IF(CONFIG_METADATA!$B$4&lt;&gt;"OR+EX",--(DATOS!$G10883=CONFIG_METADATA!$B$4),IF(DATOS!$G10883="EX",1,IF(DATOS!$G10883="OR",--(COUNTIFS(nNIA,DATOS!$A10883,nCURSO,DATOS!$D10883,nESPEC,DATOS!$E10883,nASIG,DATOS!$I10883,nEVAL,"EX")=0),0))))</f>
      </c>
      <c r="H10883">
        <f>IF(DATOS!$G10883&lt;&gt;"EX",0,--(COUNTIFS(nNIA,DATOS!$A10883,nCURSO,DATOS!$D10883,nESPEC,DATOS!$E10883,nASIG,DATOS!$I10883,nEVAL,"OR")=0))</f>
      </c>
      <c r="I10883">
        <f>IF(DATOS!$I10883="","",IFERROR(VLOOKUP(DATOS!$I10883,CONFIG_ASIGNATURAS!$B$2:$J$91,9,FALSE()),""))</f>
      </c>
    </row>
    <row r="10884">
      <c r="F10884">
        <f>IF(DATOS!$A10884="","",DATOS!$A10884&amp;"|"&amp;DATOS!$D10884&amp;"|"&amp;DATOS!$E10884&amp;"|"&amp;DATOS!$I10884)</f>
      </c>
      <c r="G10884">
        <f>IF(DATOS!$A10884="",0,IF(CONFIG_METADATA!$B$4&lt;&gt;"OR+EX",--(DATOS!$G10884=CONFIG_METADATA!$B$4),IF(DATOS!$G10884="EX",1,IF(DATOS!$G10884="OR",--(COUNTIFS(nNIA,DATOS!$A10884,nCURSO,DATOS!$D10884,nESPEC,DATOS!$E10884,nASIG,DATOS!$I10884,nEVAL,"EX")=0),0))))</f>
      </c>
      <c r="H10884">
        <f>IF(DATOS!$G10884&lt;&gt;"EX",0,--(COUNTIFS(nNIA,DATOS!$A10884,nCURSO,DATOS!$D10884,nESPEC,DATOS!$E10884,nASIG,DATOS!$I10884,nEVAL,"OR")=0))</f>
      </c>
      <c r="I10884">
        <f>IF(DATOS!$I10884="","",IFERROR(VLOOKUP(DATOS!$I10884,CONFIG_ASIGNATURAS!$B$2:$J$91,9,FALSE()),""))</f>
      </c>
    </row>
    <row r="10885">
      <c r="F10885">
        <f>IF(DATOS!$A10885="","",DATOS!$A10885&amp;"|"&amp;DATOS!$D10885&amp;"|"&amp;DATOS!$E10885&amp;"|"&amp;DATOS!$I10885)</f>
      </c>
      <c r="G10885">
        <f>IF(DATOS!$A10885="",0,IF(CONFIG_METADATA!$B$4&lt;&gt;"OR+EX",--(DATOS!$G10885=CONFIG_METADATA!$B$4),IF(DATOS!$G10885="EX",1,IF(DATOS!$G10885="OR",--(COUNTIFS(nNIA,DATOS!$A10885,nCURSO,DATOS!$D10885,nESPEC,DATOS!$E10885,nASIG,DATOS!$I10885,nEVAL,"EX")=0),0))))</f>
      </c>
      <c r="H10885">
        <f>IF(DATOS!$G10885&lt;&gt;"EX",0,--(COUNTIFS(nNIA,DATOS!$A10885,nCURSO,DATOS!$D10885,nESPEC,DATOS!$E10885,nASIG,DATOS!$I10885,nEVAL,"OR")=0))</f>
      </c>
      <c r="I10885">
        <f>IF(DATOS!$I10885="","",IFERROR(VLOOKUP(DATOS!$I10885,CONFIG_ASIGNATURAS!$B$2:$J$91,9,FALSE()),""))</f>
      </c>
    </row>
    <row r="10886">
      <c r="F10886">
        <f>IF(DATOS!$A10886="","",DATOS!$A10886&amp;"|"&amp;DATOS!$D10886&amp;"|"&amp;DATOS!$E10886&amp;"|"&amp;DATOS!$I10886)</f>
      </c>
      <c r="G10886">
        <f>IF(DATOS!$A10886="",0,IF(CONFIG_METADATA!$B$4&lt;&gt;"OR+EX",--(DATOS!$G10886=CONFIG_METADATA!$B$4),IF(DATOS!$G10886="EX",1,IF(DATOS!$G10886="OR",--(COUNTIFS(nNIA,DATOS!$A10886,nCURSO,DATOS!$D10886,nESPEC,DATOS!$E10886,nASIG,DATOS!$I10886,nEVAL,"EX")=0),0))))</f>
      </c>
      <c r="H10886">
        <f>IF(DATOS!$G10886&lt;&gt;"EX",0,--(COUNTIFS(nNIA,DATOS!$A10886,nCURSO,DATOS!$D10886,nESPEC,DATOS!$E10886,nASIG,DATOS!$I10886,nEVAL,"OR")=0))</f>
      </c>
      <c r="I10886">
        <f>IF(DATOS!$I10886="","",IFERROR(VLOOKUP(DATOS!$I10886,CONFIG_ASIGNATURAS!$B$2:$J$91,9,FALSE()),""))</f>
      </c>
    </row>
    <row r="10887">
      <c r="F10887">
        <f>IF(DATOS!$A10887="","",DATOS!$A10887&amp;"|"&amp;DATOS!$D10887&amp;"|"&amp;DATOS!$E10887&amp;"|"&amp;DATOS!$I10887)</f>
      </c>
      <c r="G10887">
        <f>IF(DATOS!$A10887="",0,IF(CONFIG_METADATA!$B$4&lt;&gt;"OR+EX",--(DATOS!$G10887=CONFIG_METADATA!$B$4),IF(DATOS!$G10887="EX",1,IF(DATOS!$G10887="OR",--(COUNTIFS(nNIA,DATOS!$A10887,nCURSO,DATOS!$D10887,nESPEC,DATOS!$E10887,nASIG,DATOS!$I10887,nEVAL,"EX")=0),0))))</f>
      </c>
      <c r="H10887">
        <f>IF(DATOS!$G10887&lt;&gt;"EX",0,--(COUNTIFS(nNIA,DATOS!$A10887,nCURSO,DATOS!$D10887,nESPEC,DATOS!$E10887,nASIG,DATOS!$I10887,nEVAL,"OR")=0))</f>
      </c>
      <c r="I10887">
        <f>IF(DATOS!$I10887="","",IFERROR(VLOOKUP(DATOS!$I10887,CONFIG_ASIGNATURAS!$B$2:$J$91,9,FALSE()),""))</f>
      </c>
    </row>
    <row r="10888">
      <c r="F10888">
        <f>IF(DATOS!$A10888="","",DATOS!$A10888&amp;"|"&amp;DATOS!$D10888&amp;"|"&amp;DATOS!$E10888&amp;"|"&amp;DATOS!$I10888)</f>
      </c>
      <c r="G10888">
        <f>IF(DATOS!$A10888="",0,IF(CONFIG_METADATA!$B$4&lt;&gt;"OR+EX",--(DATOS!$G10888=CONFIG_METADATA!$B$4),IF(DATOS!$G10888="EX",1,IF(DATOS!$G10888="OR",--(COUNTIFS(nNIA,DATOS!$A10888,nCURSO,DATOS!$D10888,nESPEC,DATOS!$E10888,nASIG,DATOS!$I10888,nEVAL,"EX")=0),0))))</f>
      </c>
      <c r="H10888">
        <f>IF(DATOS!$G10888&lt;&gt;"EX",0,--(COUNTIFS(nNIA,DATOS!$A10888,nCURSO,DATOS!$D10888,nESPEC,DATOS!$E10888,nASIG,DATOS!$I10888,nEVAL,"OR")=0))</f>
      </c>
      <c r="I10888">
        <f>IF(DATOS!$I10888="","",IFERROR(VLOOKUP(DATOS!$I10888,CONFIG_ASIGNATURAS!$B$2:$J$91,9,FALSE()),""))</f>
      </c>
    </row>
    <row r="10889">
      <c r="F10889">
        <f>IF(DATOS!$A10889="","",DATOS!$A10889&amp;"|"&amp;DATOS!$D10889&amp;"|"&amp;DATOS!$E10889&amp;"|"&amp;DATOS!$I10889)</f>
      </c>
      <c r="G10889">
        <f>IF(DATOS!$A10889="",0,IF(CONFIG_METADATA!$B$4&lt;&gt;"OR+EX",--(DATOS!$G10889=CONFIG_METADATA!$B$4),IF(DATOS!$G10889="EX",1,IF(DATOS!$G10889="OR",--(COUNTIFS(nNIA,DATOS!$A10889,nCURSO,DATOS!$D10889,nESPEC,DATOS!$E10889,nASIG,DATOS!$I10889,nEVAL,"EX")=0),0))))</f>
      </c>
      <c r="H10889">
        <f>IF(DATOS!$G10889&lt;&gt;"EX",0,--(COUNTIFS(nNIA,DATOS!$A10889,nCURSO,DATOS!$D10889,nESPEC,DATOS!$E10889,nASIG,DATOS!$I10889,nEVAL,"OR")=0))</f>
      </c>
      <c r="I10889">
        <f>IF(DATOS!$I10889="","",IFERROR(VLOOKUP(DATOS!$I10889,CONFIG_ASIGNATURAS!$B$2:$J$91,9,FALSE()),""))</f>
      </c>
    </row>
    <row r="10890">
      <c r="F10890">
        <f>IF(DATOS!$A10890="","",DATOS!$A10890&amp;"|"&amp;DATOS!$D10890&amp;"|"&amp;DATOS!$E10890&amp;"|"&amp;DATOS!$I10890)</f>
      </c>
      <c r="G10890">
        <f>IF(DATOS!$A10890="",0,IF(CONFIG_METADATA!$B$4&lt;&gt;"OR+EX",--(DATOS!$G10890=CONFIG_METADATA!$B$4),IF(DATOS!$G10890="EX",1,IF(DATOS!$G10890="OR",--(COUNTIFS(nNIA,DATOS!$A10890,nCURSO,DATOS!$D10890,nESPEC,DATOS!$E10890,nASIG,DATOS!$I10890,nEVAL,"EX")=0),0))))</f>
      </c>
      <c r="H10890">
        <f>IF(DATOS!$G10890&lt;&gt;"EX",0,--(COUNTIFS(nNIA,DATOS!$A10890,nCURSO,DATOS!$D10890,nESPEC,DATOS!$E10890,nASIG,DATOS!$I10890,nEVAL,"OR")=0))</f>
      </c>
      <c r="I10890">
        <f>IF(DATOS!$I10890="","",IFERROR(VLOOKUP(DATOS!$I10890,CONFIG_ASIGNATURAS!$B$2:$J$91,9,FALSE()),""))</f>
      </c>
    </row>
    <row r="10891">
      <c r="F10891">
        <f>IF(DATOS!$A10891="","",DATOS!$A10891&amp;"|"&amp;DATOS!$D10891&amp;"|"&amp;DATOS!$E10891&amp;"|"&amp;DATOS!$I10891)</f>
      </c>
      <c r="G10891">
        <f>IF(DATOS!$A10891="",0,IF(CONFIG_METADATA!$B$4&lt;&gt;"OR+EX",--(DATOS!$G10891=CONFIG_METADATA!$B$4),IF(DATOS!$G10891="EX",1,IF(DATOS!$G10891="OR",--(COUNTIFS(nNIA,DATOS!$A10891,nCURSO,DATOS!$D10891,nESPEC,DATOS!$E10891,nASIG,DATOS!$I10891,nEVAL,"EX")=0),0))))</f>
      </c>
      <c r="H10891">
        <f>IF(DATOS!$G10891&lt;&gt;"EX",0,--(COUNTIFS(nNIA,DATOS!$A10891,nCURSO,DATOS!$D10891,nESPEC,DATOS!$E10891,nASIG,DATOS!$I10891,nEVAL,"OR")=0))</f>
      </c>
      <c r="I10891">
        <f>IF(DATOS!$I10891="","",IFERROR(VLOOKUP(DATOS!$I10891,CONFIG_ASIGNATURAS!$B$2:$J$91,9,FALSE()),""))</f>
      </c>
    </row>
    <row r="10892">
      <c r="F10892">
        <f>IF(DATOS!$A10892="","",DATOS!$A10892&amp;"|"&amp;DATOS!$D10892&amp;"|"&amp;DATOS!$E10892&amp;"|"&amp;DATOS!$I10892)</f>
      </c>
      <c r="G10892">
        <f>IF(DATOS!$A10892="",0,IF(CONFIG_METADATA!$B$4&lt;&gt;"OR+EX",--(DATOS!$G10892=CONFIG_METADATA!$B$4),IF(DATOS!$G10892="EX",1,IF(DATOS!$G10892="OR",--(COUNTIFS(nNIA,DATOS!$A10892,nCURSO,DATOS!$D10892,nESPEC,DATOS!$E10892,nASIG,DATOS!$I10892,nEVAL,"EX")=0),0))))</f>
      </c>
      <c r="H10892">
        <f>IF(DATOS!$G10892&lt;&gt;"EX",0,--(COUNTIFS(nNIA,DATOS!$A10892,nCURSO,DATOS!$D10892,nESPEC,DATOS!$E10892,nASIG,DATOS!$I10892,nEVAL,"OR")=0))</f>
      </c>
      <c r="I10892">
        <f>IF(DATOS!$I10892="","",IFERROR(VLOOKUP(DATOS!$I10892,CONFIG_ASIGNATURAS!$B$2:$J$91,9,FALSE()),""))</f>
      </c>
    </row>
    <row r="10893">
      <c r="F10893">
        <f>IF(DATOS!$A10893="","",DATOS!$A10893&amp;"|"&amp;DATOS!$D10893&amp;"|"&amp;DATOS!$E10893&amp;"|"&amp;DATOS!$I10893)</f>
      </c>
      <c r="G10893">
        <f>IF(DATOS!$A10893="",0,IF(CONFIG_METADATA!$B$4&lt;&gt;"OR+EX",--(DATOS!$G10893=CONFIG_METADATA!$B$4),IF(DATOS!$G10893="EX",1,IF(DATOS!$G10893="OR",--(COUNTIFS(nNIA,DATOS!$A10893,nCURSO,DATOS!$D10893,nESPEC,DATOS!$E10893,nASIG,DATOS!$I10893,nEVAL,"EX")=0),0))))</f>
      </c>
      <c r="H10893">
        <f>IF(DATOS!$G10893&lt;&gt;"EX",0,--(COUNTIFS(nNIA,DATOS!$A10893,nCURSO,DATOS!$D10893,nESPEC,DATOS!$E10893,nASIG,DATOS!$I10893,nEVAL,"OR")=0))</f>
      </c>
      <c r="I10893">
        <f>IF(DATOS!$I10893="","",IFERROR(VLOOKUP(DATOS!$I10893,CONFIG_ASIGNATURAS!$B$2:$J$91,9,FALSE()),""))</f>
      </c>
    </row>
    <row r="10894">
      <c r="F10894">
        <f>IF(DATOS!$A10894="","",DATOS!$A10894&amp;"|"&amp;DATOS!$D10894&amp;"|"&amp;DATOS!$E10894&amp;"|"&amp;DATOS!$I10894)</f>
      </c>
      <c r="G10894">
        <f>IF(DATOS!$A10894="",0,IF(CONFIG_METADATA!$B$4&lt;&gt;"OR+EX",--(DATOS!$G10894=CONFIG_METADATA!$B$4),IF(DATOS!$G10894="EX",1,IF(DATOS!$G10894="OR",--(COUNTIFS(nNIA,DATOS!$A10894,nCURSO,DATOS!$D10894,nESPEC,DATOS!$E10894,nASIG,DATOS!$I10894,nEVAL,"EX")=0),0))))</f>
      </c>
      <c r="H10894">
        <f>IF(DATOS!$G10894&lt;&gt;"EX",0,--(COUNTIFS(nNIA,DATOS!$A10894,nCURSO,DATOS!$D10894,nESPEC,DATOS!$E10894,nASIG,DATOS!$I10894,nEVAL,"OR")=0))</f>
      </c>
      <c r="I10894">
        <f>IF(DATOS!$I10894="","",IFERROR(VLOOKUP(DATOS!$I10894,CONFIG_ASIGNATURAS!$B$2:$J$91,9,FALSE()),""))</f>
      </c>
    </row>
    <row r="10895">
      <c r="F10895">
        <f>IF(DATOS!$A10895="","",DATOS!$A10895&amp;"|"&amp;DATOS!$D10895&amp;"|"&amp;DATOS!$E10895&amp;"|"&amp;DATOS!$I10895)</f>
      </c>
      <c r="G10895">
        <f>IF(DATOS!$A10895="",0,IF(CONFIG_METADATA!$B$4&lt;&gt;"OR+EX",--(DATOS!$G10895=CONFIG_METADATA!$B$4),IF(DATOS!$G10895="EX",1,IF(DATOS!$G10895="OR",--(COUNTIFS(nNIA,DATOS!$A10895,nCURSO,DATOS!$D10895,nESPEC,DATOS!$E10895,nASIG,DATOS!$I10895,nEVAL,"EX")=0),0))))</f>
      </c>
      <c r="H10895">
        <f>IF(DATOS!$G10895&lt;&gt;"EX",0,--(COUNTIFS(nNIA,DATOS!$A10895,nCURSO,DATOS!$D10895,nESPEC,DATOS!$E10895,nASIG,DATOS!$I10895,nEVAL,"OR")=0))</f>
      </c>
      <c r="I10895">
        <f>IF(DATOS!$I10895="","",IFERROR(VLOOKUP(DATOS!$I10895,CONFIG_ASIGNATURAS!$B$2:$J$91,9,FALSE()),""))</f>
      </c>
    </row>
    <row r="10896">
      <c r="F10896">
        <f>IF(DATOS!$A10896="","",DATOS!$A10896&amp;"|"&amp;DATOS!$D10896&amp;"|"&amp;DATOS!$E10896&amp;"|"&amp;DATOS!$I10896)</f>
      </c>
      <c r="G10896">
        <f>IF(DATOS!$A10896="",0,IF(CONFIG_METADATA!$B$4&lt;&gt;"OR+EX",--(DATOS!$G10896=CONFIG_METADATA!$B$4),IF(DATOS!$G10896="EX",1,IF(DATOS!$G10896="OR",--(COUNTIFS(nNIA,DATOS!$A10896,nCURSO,DATOS!$D10896,nESPEC,DATOS!$E10896,nASIG,DATOS!$I10896,nEVAL,"EX")=0),0))))</f>
      </c>
      <c r="H10896">
        <f>IF(DATOS!$G10896&lt;&gt;"EX",0,--(COUNTIFS(nNIA,DATOS!$A10896,nCURSO,DATOS!$D10896,nESPEC,DATOS!$E10896,nASIG,DATOS!$I10896,nEVAL,"OR")=0))</f>
      </c>
      <c r="I10896">
        <f>IF(DATOS!$I10896="","",IFERROR(VLOOKUP(DATOS!$I10896,CONFIG_ASIGNATURAS!$B$2:$J$91,9,FALSE()),""))</f>
      </c>
    </row>
    <row r="10897">
      <c r="F10897">
        <f>IF(DATOS!$A10897="","",DATOS!$A10897&amp;"|"&amp;DATOS!$D10897&amp;"|"&amp;DATOS!$E10897&amp;"|"&amp;DATOS!$I10897)</f>
      </c>
      <c r="G10897">
        <f>IF(DATOS!$A10897="",0,IF(CONFIG_METADATA!$B$4&lt;&gt;"OR+EX",--(DATOS!$G10897=CONFIG_METADATA!$B$4),IF(DATOS!$G10897="EX",1,IF(DATOS!$G10897="OR",--(COUNTIFS(nNIA,DATOS!$A10897,nCURSO,DATOS!$D10897,nESPEC,DATOS!$E10897,nASIG,DATOS!$I10897,nEVAL,"EX")=0),0))))</f>
      </c>
      <c r="H10897">
        <f>IF(DATOS!$G10897&lt;&gt;"EX",0,--(COUNTIFS(nNIA,DATOS!$A10897,nCURSO,DATOS!$D10897,nESPEC,DATOS!$E10897,nASIG,DATOS!$I10897,nEVAL,"OR")=0))</f>
      </c>
      <c r="I10897">
        <f>IF(DATOS!$I10897="","",IFERROR(VLOOKUP(DATOS!$I10897,CONFIG_ASIGNATURAS!$B$2:$J$91,9,FALSE()),""))</f>
      </c>
    </row>
    <row r="10898">
      <c r="F10898">
        <f>IF(DATOS!$A10898="","",DATOS!$A10898&amp;"|"&amp;DATOS!$D10898&amp;"|"&amp;DATOS!$E10898&amp;"|"&amp;DATOS!$I10898)</f>
      </c>
      <c r="G10898">
        <f>IF(DATOS!$A10898="",0,IF(CONFIG_METADATA!$B$4&lt;&gt;"OR+EX",--(DATOS!$G10898=CONFIG_METADATA!$B$4),IF(DATOS!$G10898="EX",1,IF(DATOS!$G10898="OR",--(COUNTIFS(nNIA,DATOS!$A10898,nCURSO,DATOS!$D10898,nESPEC,DATOS!$E10898,nASIG,DATOS!$I10898,nEVAL,"EX")=0),0))))</f>
      </c>
      <c r="H10898">
        <f>IF(DATOS!$G10898&lt;&gt;"EX",0,--(COUNTIFS(nNIA,DATOS!$A10898,nCURSO,DATOS!$D10898,nESPEC,DATOS!$E10898,nASIG,DATOS!$I10898,nEVAL,"OR")=0))</f>
      </c>
      <c r="I10898">
        <f>IF(DATOS!$I10898="","",IFERROR(VLOOKUP(DATOS!$I10898,CONFIG_ASIGNATURAS!$B$2:$J$91,9,FALSE()),""))</f>
      </c>
    </row>
    <row r="10899">
      <c r="F10899">
        <f>IF(DATOS!$A10899="","",DATOS!$A10899&amp;"|"&amp;DATOS!$D10899&amp;"|"&amp;DATOS!$E10899&amp;"|"&amp;DATOS!$I10899)</f>
      </c>
      <c r="G10899">
        <f>IF(DATOS!$A10899="",0,IF(CONFIG_METADATA!$B$4&lt;&gt;"OR+EX",--(DATOS!$G10899=CONFIG_METADATA!$B$4),IF(DATOS!$G10899="EX",1,IF(DATOS!$G10899="OR",--(COUNTIFS(nNIA,DATOS!$A10899,nCURSO,DATOS!$D10899,nESPEC,DATOS!$E10899,nASIG,DATOS!$I10899,nEVAL,"EX")=0),0))))</f>
      </c>
      <c r="H10899">
        <f>IF(DATOS!$G10899&lt;&gt;"EX",0,--(COUNTIFS(nNIA,DATOS!$A10899,nCURSO,DATOS!$D10899,nESPEC,DATOS!$E10899,nASIG,DATOS!$I10899,nEVAL,"OR")=0))</f>
      </c>
      <c r="I10899">
        <f>IF(DATOS!$I10899="","",IFERROR(VLOOKUP(DATOS!$I10899,CONFIG_ASIGNATURAS!$B$2:$J$91,9,FALSE()),""))</f>
      </c>
    </row>
    <row r="10900">
      <c r="F10900">
        <f>IF(DATOS!$A10900="","",DATOS!$A10900&amp;"|"&amp;DATOS!$D10900&amp;"|"&amp;DATOS!$E10900&amp;"|"&amp;DATOS!$I10900)</f>
      </c>
      <c r="G10900">
        <f>IF(DATOS!$A10900="",0,IF(CONFIG_METADATA!$B$4&lt;&gt;"OR+EX",--(DATOS!$G10900=CONFIG_METADATA!$B$4),IF(DATOS!$G10900="EX",1,IF(DATOS!$G10900="OR",--(COUNTIFS(nNIA,DATOS!$A10900,nCURSO,DATOS!$D10900,nESPEC,DATOS!$E10900,nASIG,DATOS!$I10900,nEVAL,"EX")=0),0))))</f>
      </c>
      <c r="H10900">
        <f>IF(DATOS!$G10900&lt;&gt;"EX",0,--(COUNTIFS(nNIA,DATOS!$A10900,nCURSO,DATOS!$D10900,nESPEC,DATOS!$E10900,nASIG,DATOS!$I10900,nEVAL,"OR")=0))</f>
      </c>
      <c r="I10900">
        <f>IF(DATOS!$I10900="","",IFERROR(VLOOKUP(DATOS!$I10900,CONFIG_ASIGNATURAS!$B$2:$J$91,9,FALSE()),""))</f>
      </c>
    </row>
    <row r="10901">
      <c r="F10901">
        <f>IF(DATOS!$A10901="","",DATOS!$A10901&amp;"|"&amp;DATOS!$D10901&amp;"|"&amp;DATOS!$E10901&amp;"|"&amp;DATOS!$I10901)</f>
      </c>
      <c r="G10901">
        <f>IF(DATOS!$A10901="",0,IF(CONFIG_METADATA!$B$4&lt;&gt;"OR+EX",--(DATOS!$G10901=CONFIG_METADATA!$B$4),IF(DATOS!$G10901="EX",1,IF(DATOS!$G10901="OR",--(COUNTIFS(nNIA,DATOS!$A10901,nCURSO,DATOS!$D10901,nESPEC,DATOS!$E10901,nASIG,DATOS!$I10901,nEVAL,"EX")=0),0))))</f>
      </c>
      <c r="H10901">
        <f>IF(DATOS!$G10901&lt;&gt;"EX",0,--(COUNTIFS(nNIA,DATOS!$A10901,nCURSO,DATOS!$D10901,nESPEC,DATOS!$E10901,nASIG,DATOS!$I10901,nEVAL,"OR")=0))</f>
      </c>
      <c r="I10901">
        <f>IF(DATOS!$I10901="","",IFERROR(VLOOKUP(DATOS!$I10901,CONFIG_ASIGNATURAS!$B$2:$J$91,9,FALSE()),""))</f>
      </c>
    </row>
    <row r="10902">
      <c r="F10902">
        <f>IF(DATOS!$A10902="","",DATOS!$A10902&amp;"|"&amp;DATOS!$D10902&amp;"|"&amp;DATOS!$E10902&amp;"|"&amp;DATOS!$I10902)</f>
      </c>
      <c r="G10902">
        <f>IF(DATOS!$A10902="",0,IF(CONFIG_METADATA!$B$4&lt;&gt;"OR+EX",--(DATOS!$G10902=CONFIG_METADATA!$B$4),IF(DATOS!$G10902="EX",1,IF(DATOS!$G10902="OR",--(COUNTIFS(nNIA,DATOS!$A10902,nCURSO,DATOS!$D10902,nESPEC,DATOS!$E10902,nASIG,DATOS!$I10902,nEVAL,"EX")=0),0))))</f>
      </c>
      <c r="H10902">
        <f>IF(DATOS!$G10902&lt;&gt;"EX",0,--(COUNTIFS(nNIA,DATOS!$A10902,nCURSO,DATOS!$D10902,nESPEC,DATOS!$E10902,nASIG,DATOS!$I10902,nEVAL,"OR")=0))</f>
      </c>
      <c r="I10902">
        <f>IF(DATOS!$I10902="","",IFERROR(VLOOKUP(DATOS!$I10902,CONFIG_ASIGNATURAS!$B$2:$J$91,9,FALSE()),""))</f>
      </c>
    </row>
    <row r="10903">
      <c r="F10903">
        <f>IF(DATOS!$A10903="","",DATOS!$A10903&amp;"|"&amp;DATOS!$D10903&amp;"|"&amp;DATOS!$E10903&amp;"|"&amp;DATOS!$I10903)</f>
      </c>
      <c r="G10903">
        <f>IF(DATOS!$A10903="",0,IF(CONFIG_METADATA!$B$4&lt;&gt;"OR+EX",--(DATOS!$G10903=CONFIG_METADATA!$B$4),IF(DATOS!$G10903="EX",1,IF(DATOS!$G10903="OR",--(COUNTIFS(nNIA,DATOS!$A10903,nCURSO,DATOS!$D10903,nESPEC,DATOS!$E10903,nASIG,DATOS!$I10903,nEVAL,"EX")=0),0))))</f>
      </c>
      <c r="H10903">
        <f>IF(DATOS!$G10903&lt;&gt;"EX",0,--(COUNTIFS(nNIA,DATOS!$A10903,nCURSO,DATOS!$D10903,nESPEC,DATOS!$E10903,nASIG,DATOS!$I10903,nEVAL,"OR")=0))</f>
      </c>
      <c r="I10903">
        <f>IF(DATOS!$I10903="","",IFERROR(VLOOKUP(DATOS!$I10903,CONFIG_ASIGNATURAS!$B$2:$J$91,9,FALSE()),""))</f>
      </c>
    </row>
    <row r="10904">
      <c r="F10904">
        <f>IF(DATOS!$A10904="","",DATOS!$A10904&amp;"|"&amp;DATOS!$D10904&amp;"|"&amp;DATOS!$E10904&amp;"|"&amp;DATOS!$I10904)</f>
      </c>
      <c r="G10904">
        <f>IF(DATOS!$A10904="",0,IF(CONFIG_METADATA!$B$4&lt;&gt;"OR+EX",--(DATOS!$G10904=CONFIG_METADATA!$B$4),IF(DATOS!$G10904="EX",1,IF(DATOS!$G10904="OR",--(COUNTIFS(nNIA,DATOS!$A10904,nCURSO,DATOS!$D10904,nESPEC,DATOS!$E10904,nASIG,DATOS!$I10904,nEVAL,"EX")=0),0))))</f>
      </c>
      <c r="H10904">
        <f>IF(DATOS!$G10904&lt;&gt;"EX",0,--(COUNTIFS(nNIA,DATOS!$A10904,nCURSO,DATOS!$D10904,nESPEC,DATOS!$E10904,nASIG,DATOS!$I10904,nEVAL,"OR")=0))</f>
      </c>
      <c r="I10904">
        <f>IF(DATOS!$I10904="","",IFERROR(VLOOKUP(DATOS!$I10904,CONFIG_ASIGNATURAS!$B$2:$J$91,9,FALSE()),""))</f>
      </c>
    </row>
    <row r="10905">
      <c r="F10905">
        <f>IF(DATOS!$A10905="","",DATOS!$A10905&amp;"|"&amp;DATOS!$D10905&amp;"|"&amp;DATOS!$E10905&amp;"|"&amp;DATOS!$I10905)</f>
      </c>
      <c r="G10905">
        <f>IF(DATOS!$A10905="",0,IF(CONFIG_METADATA!$B$4&lt;&gt;"OR+EX",--(DATOS!$G10905=CONFIG_METADATA!$B$4),IF(DATOS!$G10905="EX",1,IF(DATOS!$G10905="OR",--(COUNTIFS(nNIA,DATOS!$A10905,nCURSO,DATOS!$D10905,nESPEC,DATOS!$E10905,nASIG,DATOS!$I10905,nEVAL,"EX")=0),0))))</f>
      </c>
      <c r="H10905">
        <f>IF(DATOS!$G10905&lt;&gt;"EX",0,--(COUNTIFS(nNIA,DATOS!$A10905,nCURSO,DATOS!$D10905,nESPEC,DATOS!$E10905,nASIG,DATOS!$I10905,nEVAL,"OR")=0))</f>
      </c>
      <c r="I10905">
        <f>IF(DATOS!$I10905="","",IFERROR(VLOOKUP(DATOS!$I10905,CONFIG_ASIGNATURAS!$B$2:$J$91,9,FALSE()),""))</f>
      </c>
    </row>
    <row r="10906">
      <c r="F10906">
        <f>IF(DATOS!$A10906="","",DATOS!$A10906&amp;"|"&amp;DATOS!$D10906&amp;"|"&amp;DATOS!$E10906&amp;"|"&amp;DATOS!$I10906)</f>
      </c>
      <c r="G10906">
        <f>IF(DATOS!$A10906="",0,IF(CONFIG_METADATA!$B$4&lt;&gt;"OR+EX",--(DATOS!$G10906=CONFIG_METADATA!$B$4),IF(DATOS!$G10906="EX",1,IF(DATOS!$G10906="OR",--(COUNTIFS(nNIA,DATOS!$A10906,nCURSO,DATOS!$D10906,nESPEC,DATOS!$E10906,nASIG,DATOS!$I10906,nEVAL,"EX")=0),0))))</f>
      </c>
      <c r="H10906">
        <f>IF(DATOS!$G10906&lt;&gt;"EX",0,--(COUNTIFS(nNIA,DATOS!$A10906,nCURSO,DATOS!$D10906,nESPEC,DATOS!$E10906,nASIG,DATOS!$I10906,nEVAL,"OR")=0))</f>
      </c>
      <c r="I10906">
        <f>IF(DATOS!$I10906="","",IFERROR(VLOOKUP(DATOS!$I10906,CONFIG_ASIGNATURAS!$B$2:$J$91,9,FALSE()),""))</f>
      </c>
    </row>
    <row r="10907">
      <c r="F10907">
        <f>IF(DATOS!$A10907="","",DATOS!$A10907&amp;"|"&amp;DATOS!$D10907&amp;"|"&amp;DATOS!$E10907&amp;"|"&amp;DATOS!$I10907)</f>
      </c>
      <c r="G10907">
        <f>IF(DATOS!$A10907="",0,IF(CONFIG_METADATA!$B$4&lt;&gt;"OR+EX",--(DATOS!$G10907=CONFIG_METADATA!$B$4),IF(DATOS!$G10907="EX",1,IF(DATOS!$G10907="OR",--(COUNTIFS(nNIA,DATOS!$A10907,nCURSO,DATOS!$D10907,nESPEC,DATOS!$E10907,nASIG,DATOS!$I10907,nEVAL,"EX")=0),0))))</f>
      </c>
      <c r="H10907">
        <f>IF(DATOS!$G10907&lt;&gt;"EX",0,--(COUNTIFS(nNIA,DATOS!$A10907,nCURSO,DATOS!$D10907,nESPEC,DATOS!$E10907,nASIG,DATOS!$I10907,nEVAL,"OR")=0))</f>
      </c>
      <c r="I10907">
        <f>IF(DATOS!$I10907="","",IFERROR(VLOOKUP(DATOS!$I10907,CONFIG_ASIGNATURAS!$B$2:$J$91,9,FALSE()),""))</f>
      </c>
    </row>
    <row r="10908">
      <c r="F10908">
        <f>IF(DATOS!$A10908="","",DATOS!$A10908&amp;"|"&amp;DATOS!$D10908&amp;"|"&amp;DATOS!$E10908&amp;"|"&amp;DATOS!$I10908)</f>
      </c>
      <c r="G10908">
        <f>IF(DATOS!$A10908="",0,IF(CONFIG_METADATA!$B$4&lt;&gt;"OR+EX",--(DATOS!$G10908=CONFIG_METADATA!$B$4),IF(DATOS!$G10908="EX",1,IF(DATOS!$G10908="OR",--(COUNTIFS(nNIA,DATOS!$A10908,nCURSO,DATOS!$D10908,nESPEC,DATOS!$E10908,nASIG,DATOS!$I10908,nEVAL,"EX")=0),0))))</f>
      </c>
      <c r="H10908">
        <f>IF(DATOS!$G10908&lt;&gt;"EX",0,--(COUNTIFS(nNIA,DATOS!$A10908,nCURSO,DATOS!$D10908,nESPEC,DATOS!$E10908,nASIG,DATOS!$I10908,nEVAL,"OR")=0))</f>
      </c>
      <c r="I10908">
        <f>IF(DATOS!$I10908="","",IFERROR(VLOOKUP(DATOS!$I10908,CONFIG_ASIGNATURAS!$B$2:$J$91,9,FALSE()),""))</f>
      </c>
    </row>
    <row r="10909">
      <c r="F10909">
        <f>IF(DATOS!$A10909="","",DATOS!$A10909&amp;"|"&amp;DATOS!$D10909&amp;"|"&amp;DATOS!$E10909&amp;"|"&amp;DATOS!$I10909)</f>
      </c>
      <c r="G10909">
        <f>IF(DATOS!$A10909="",0,IF(CONFIG_METADATA!$B$4&lt;&gt;"OR+EX",--(DATOS!$G10909=CONFIG_METADATA!$B$4),IF(DATOS!$G10909="EX",1,IF(DATOS!$G10909="OR",--(COUNTIFS(nNIA,DATOS!$A10909,nCURSO,DATOS!$D10909,nESPEC,DATOS!$E10909,nASIG,DATOS!$I10909,nEVAL,"EX")=0),0))))</f>
      </c>
      <c r="H10909">
        <f>IF(DATOS!$G10909&lt;&gt;"EX",0,--(COUNTIFS(nNIA,DATOS!$A10909,nCURSO,DATOS!$D10909,nESPEC,DATOS!$E10909,nASIG,DATOS!$I10909,nEVAL,"OR")=0))</f>
      </c>
      <c r="I10909">
        <f>IF(DATOS!$I10909="","",IFERROR(VLOOKUP(DATOS!$I10909,CONFIG_ASIGNATURAS!$B$2:$J$91,9,FALSE()),""))</f>
      </c>
    </row>
    <row r="10910">
      <c r="F10910">
        <f>IF(DATOS!$A10910="","",DATOS!$A10910&amp;"|"&amp;DATOS!$D10910&amp;"|"&amp;DATOS!$E10910&amp;"|"&amp;DATOS!$I10910)</f>
      </c>
      <c r="G10910">
        <f>IF(DATOS!$A10910="",0,IF(CONFIG_METADATA!$B$4&lt;&gt;"OR+EX",--(DATOS!$G10910=CONFIG_METADATA!$B$4),IF(DATOS!$G10910="EX",1,IF(DATOS!$G10910="OR",--(COUNTIFS(nNIA,DATOS!$A10910,nCURSO,DATOS!$D10910,nESPEC,DATOS!$E10910,nASIG,DATOS!$I10910,nEVAL,"EX")=0),0))))</f>
      </c>
      <c r="H10910">
        <f>IF(DATOS!$G10910&lt;&gt;"EX",0,--(COUNTIFS(nNIA,DATOS!$A10910,nCURSO,DATOS!$D10910,nESPEC,DATOS!$E10910,nASIG,DATOS!$I10910,nEVAL,"OR")=0))</f>
      </c>
      <c r="I10910">
        <f>IF(DATOS!$I10910="","",IFERROR(VLOOKUP(DATOS!$I10910,CONFIG_ASIGNATURAS!$B$2:$J$91,9,FALSE()),""))</f>
      </c>
    </row>
    <row r="10911">
      <c r="F10911">
        <f>IF(DATOS!$A10911="","",DATOS!$A10911&amp;"|"&amp;DATOS!$D10911&amp;"|"&amp;DATOS!$E10911&amp;"|"&amp;DATOS!$I10911)</f>
      </c>
      <c r="G10911">
        <f>IF(DATOS!$A10911="",0,IF(CONFIG_METADATA!$B$4&lt;&gt;"OR+EX",--(DATOS!$G10911=CONFIG_METADATA!$B$4),IF(DATOS!$G10911="EX",1,IF(DATOS!$G10911="OR",--(COUNTIFS(nNIA,DATOS!$A10911,nCURSO,DATOS!$D10911,nESPEC,DATOS!$E10911,nASIG,DATOS!$I10911,nEVAL,"EX")=0),0))))</f>
      </c>
      <c r="H10911">
        <f>IF(DATOS!$G10911&lt;&gt;"EX",0,--(COUNTIFS(nNIA,DATOS!$A10911,nCURSO,DATOS!$D10911,nESPEC,DATOS!$E10911,nASIG,DATOS!$I10911,nEVAL,"OR")=0))</f>
      </c>
      <c r="I10911">
        <f>IF(DATOS!$I10911="","",IFERROR(VLOOKUP(DATOS!$I10911,CONFIG_ASIGNATURAS!$B$2:$J$91,9,FALSE()),""))</f>
      </c>
    </row>
    <row r="10912">
      <c r="F10912">
        <f>IF(DATOS!$A10912="","",DATOS!$A10912&amp;"|"&amp;DATOS!$D10912&amp;"|"&amp;DATOS!$E10912&amp;"|"&amp;DATOS!$I10912)</f>
      </c>
      <c r="G10912">
        <f>IF(DATOS!$A10912="",0,IF(CONFIG_METADATA!$B$4&lt;&gt;"OR+EX",--(DATOS!$G10912=CONFIG_METADATA!$B$4),IF(DATOS!$G10912="EX",1,IF(DATOS!$G10912="OR",--(COUNTIFS(nNIA,DATOS!$A10912,nCURSO,DATOS!$D10912,nESPEC,DATOS!$E10912,nASIG,DATOS!$I10912,nEVAL,"EX")=0),0))))</f>
      </c>
      <c r="H10912">
        <f>IF(DATOS!$G10912&lt;&gt;"EX",0,--(COUNTIFS(nNIA,DATOS!$A10912,nCURSO,DATOS!$D10912,nESPEC,DATOS!$E10912,nASIG,DATOS!$I10912,nEVAL,"OR")=0))</f>
      </c>
      <c r="I10912">
        <f>IF(DATOS!$I10912="","",IFERROR(VLOOKUP(DATOS!$I10912,CONFIG_ASIGNATURAS!$B$2:$J$91,9,FALSE()),""))</f>
      </c>
    </row>
    <row r="10913">
      <c r="F10913">
        <f>IF(DATOS!$A10913="","",DATOS!$A10913&amp;"|"&amp;DATOS!$D10913&amp;"|"&amp;DATOS!$E10913&amp;"|"&amp;DATOS!$I10913)</f>
      </c>
      <c r="G10913">
        <f>IF(DATOS!$A10913="",0,IF(CONFIG_METADATA!$B$4&lt;&gt;"OR+EX",--(DATOS!$G10913=CONFIG_METADATA!$B$4),IF(DATOS!$G10913="EX",1,IF(DATOS!$G10913="OR",--(COUNTIFS(nNIA,DATOS!$A10913,nCURSO,DATOS!$D10913,nESPEC,DATOS!$E10913,nASIG,DATOS!$I10913,nEVAL,"EX")=0),0))))</f>
      </c>
      <c r="H10913">
        <f>IF(DATOS!$G10913&lt;&gt;"EX",0,--(COUNTIFS(nNIA,DATOS!$A10913,nCURSO,DATOS!$D10913,nESPEC,DATOS!$E10913,nASIG,DATOS!$I10913,nEVAL,"OR")=0))</f>
      </c>
      <c r="I10913">
        <f>IF(DATOS!$I10913="","",IFERROR(VLOOKUP(DATOS!$I10913,CONFIG_ASIGNATURAS!$B$2:$J$91,9,FALSE()),""))</f>
      </c>
    </row>
    <row r="10914">
      <c r="F10914">
        <f>IF(DATOS!$A10914="","",DATOS!$A10914&amp;"|"&amp;DATOS!$D10914&amp;"|"&amp;DATOS!$E10914&amp;"|"&amp;DATOS!$I10914)</f>
      </c>
      <c r="G10914">
        <f>IF(DATOS!$A10914="",0,IF(CONFIG_METADATA!$B$4&lt;&gt;"OR+EX",--(DATOS!$G10914=CONFIG_METADATA!$B$4),IF(DATOS!$G10914="EX",1,IF(DATOS!$G10914="OR",--(COUNTIFS(nNIA,DATOS!$A10914,nCURSO,DATOS!$D10914,nESPEC,DATOS!$E10914,nASIG,DATOS!$I10914,nEVAL,"EX")=0),0))))</f>
      </c>
      <c r="H10914">
        <f>IF(DATOS!$G10914&lt;&gt;"EX",0,--(COUNTIFS(nNIA,DATOS!$A10914,nCURSO,DATOS!$D10914,nESPEC,DATOS!$E10914,nASIG,DATOS!$I10914,nEVAL,"OR")=0))</f>
      </c>
      <c r="I10914">
        <f>IF(DATOS!$I10914="","",IFERROR(VLOOKUP(DATOS!$I10914,CONFIG_ASIGNATURAS!$B$2:$J$91,9,FALSE()),""))</f>
      </c>
    </row>
    <row r="10915">
      <c r="F10915">
        <f>IF(DATOS!$A10915="","",DATOS!$A10915&amp;"|"&amp;DATOS!$D10915&amp;"|"&amp;DATOS!$E10915&amp;"|"&amp;DATOS!$I10915)</f>
      </c>
      <c r="G10915">
        <f>IF(DATOS!$A10915="",0,IF(CONFIG_METADATA!$B$4&lt;&gt;"OR+EX",--(DATOS!$G10915=CONFIG_METADATA!$B$4),IF(DATOS!$G10915="EX",1,IF(DATOS!$G10915="OR",--(COUNTIFS(nNIA,DATOS!$A10915,nCURSO,DATOS!$D10915,nESPEC,DATOS!$E10915,nASIG,DATOS!$I10915,nEVAL,"EX")=0),0))))</f>
      </c>
      <c r="H10915">
        <f>IF(DATOS!$G10915&lt;&gt;"EX",0,--(COUNTIFS(nNIA,DATOS!$A10915,nCURSO,DATOS!$D10915,nESPEC,DATOS!$E10915,nASIG,DATOS!$I10915,nEVAL,"OR")=0))</f>
      </c>
      <c r="I10915">
        <f>IF(DATOS!$I10915="","",IFERROR(VLOOKUP(DATOS!$I10915,CONFIG_ASIGNATURAS!$B$2:$J$91,9,FALSE()),""))</f>
      </c>
    </row>
    <row r="10916">
      <c r="F10916">
        <f>IF(DATOS!$A10916="","",DATOS!$A10916&amp;"|"&amp;DATOS!$D10916&amp;"|"&amp;DATOS!$E10916&amp;"|"&amp;DATOS!$I10916)</f>
      </c>
      <c r="G10916">
        <f>IF(DATOS!$A10916="",0,IF(CONFIG_METADATA!$B$4&lt;&gt;"OR+EX",--(DATOS!$G10916=CONFIG_METADATA!$B$4),IF(DATOS!$G10916="EX",1,IF(DATOS!$G10916="OR",--(COUNTIFS(nNIA,DATOS!$A10916,nCURSO,DATOS!$D10916,nESPEC,DATOS!$E10916,nASIG,DATOS!$I10916,nEVAL,"EX")=0),0))))</f>
      </c>
      <c r="H10916">
        <f>IF(DATOS!$G10916&lt;&gt;"EX",0,--(COUNTIFS(nNIA,DATOS!$A10916,nCURSO,DATOS!$D10916,nESPEC,DATOS!$E10916,nASIG,DATOS!$I10916,nEVAL,"OR")=0))</f>
      </c>
      <c r="I10916">
        <f>IF(DATOS!$I10916="","",IFERROR(VLOOKUP(DATOS!$I10916,CONFIG_ASIGNATURAS!$B$2:$J$91,9,FALSE()),""))</f>
      </c>
    </row>
    <row r="10917">
      <c r="F10917">
        <f>IF(DATOS!$A10917="","",DATOS!$A10917&amp;"|"&amp;DATOS!$D10917&amp;"|"&amp;DATOS!$E10917&amp;"|"&amp;DATOS!$I10917)</f>
      </c>
      <c r="G10917">
        <f>IF(DATOS!$A10917="",0,IF(CONFIG_METADATA!$B$4&lt;&gt;"OR+EX",--(DATOS!$G10917=CONFIG_METADATA!$B$4),IF(DATOS!$G10917="EX",1,IF(DATOS!$G10917="OR",--(COUNTIFS(nNIA,DATOS!$A10917,nCURSO,DATOS!$D10917,nESPEC,DATOS!$E10917,nASIG,DATOS!$I10917,nEVAL,"EX")=0),0))))</f>
      </c>
      <c r="H10917">
        <f>IF(DATOS!$G10917&lt;&gt;"EX",0,--(COUNTIFS(nNIA,DATOS!$A10917,nCURSO,DATOS!$D10917,nESPEC,DATOS!$E10917,nASIG,DATOS!$I10917,nEVAL,"OR")=0))</f>
      </c>
      <c r="I10917">
        <f>IF(DATOS!$I10917="","",IFERROR(VLOOKUP(DATOS!$I10917,CONFIG_ASIGNATURAS!$B$2:$J$91,9,FALSE()),""))</f>
      </c>
    </row>
    <row r="10918">
      <c r="F10918">
        <f>IF(DATOS!$A10918="","",DATOS!$A10918&amp;"|"&amp;DATOS!$D10918&amp;"|"&amp;DATOS!$E10918&amp;"|"&amp;DATOS!$I10918)</f>
      </c>
      <c r="G10918">
        <f>IF(DATOS!$A10918="",0,IF(CONFIG_METADATA!$B$4&lt;&gt;"OR+EX",--(DATOS!$G10918=CONFIG_METADATA!$B$4),IF(DATOS!$G10918="EX",1,IF(DATOS!$G10918="OR",--(COUNTIFS(nNIA,DATOS!$A10918,nCURSO,DATOS!$D10918,nESPEC,DATOS!$E10918,nASIG,DATOS!$I10918,nEVAL,"EX")=0),0))))</f>
      </c>
      <c r="H10918">
        <f>IF(DATOS!$G10918&lt;&gt;"EX",0,--(COUNTIFS(nNIA,DATOS!$A10918,nCURSO,DATOS!$D10918,nESPEC,DATOS!$E10918,nASIG,DATOS!$I10918,nEVAL,"OR")=0))</f>
      </c>
      <c r="I10918">
        <f>IF(DATOS!$I10918="","",IFERROR(VLOOKUP(DATOS!$I10918,CONFIG_ASIGNATURAS!$B$2:$J$91,9,FALSE()),""))</f>
      </c>
    </row>
    <row r="10919">
      <c r="F10919">
        <f>IF(DATOS!$A10919="","",DATOS!$A10919&amp;"|"&amp;DATOS!$D10919&amp;"|"&amp;DATOS!$E10919&amp;"|"&amp;DATOS!$I10919)</f>
      </c>
      <c r="G10919">
        <f>IF(DATOS!$A10919="",0,IF(CONFIG_METADATA!$B$4&lt;&gt;"OR+EX",--(DATOS!$G10919=CONFIG_METADATA!$B$4),IF(DATOS!$G10919="EX",1,IF(DATOS!$G10919="OR",--(COUNTIFS(nNIA,DATOS!$A10919,nCURSO,DATOS!$D10919,nESPEC,DATOS!$E10919,nASIG,DATOS!$I10919,nEVAL,"EX")=0),0))))</f>
      </c>
      <c r="H10919">
        <f>IF(DATOS!$G10919&lt;&gt;"EX",0,--(COUNTIFS(nNIA,DATOS!$A10919,nCURSO,DATOS!$D10919,nESPEC,DATOS!$E10919,nASIG,DATOS!$I10919,nEVAL,"OR")=0))</f>
      </c>
      <c r="I10919">
        <f>IF(DATOS!$I10919="","",IFERROR(VLOOKUP(DATOS!$I10919,CONFIG_ASIGNATURAS!$B$2:$J$91,9,FALSE()),""))</f>
      </c>
    </row>
    <row r="10920">
      <c r="F10920">
        <f>IF(DATOS!$A10920="","",DATOS!$A10920&amp;"|"&amp;DATOS!$D10920&amp;"|"&amp;DATOS!$E10920&amp;"|"&amp;DATOS!$I10920)</f>
      </c>
      <c r="G10920">
        <f>IF(DATOS!$A10920="",0,IF(CONFIG_METADATA!$B$4&lt;&gt;"OR+EX",--(DATOS!$G10920=CONFIG_METADATA!$B$4),IF(DATOS!$G10920="EX",1,IF(DATOS!$G10920="OR",--(COUNTIFS(nNIA,DATOS!$A10920,nCURSO,DATOS!$D10920,nESPEC,DATOS!$E10920,nASIG,DATOS!$I10920,nEVAL,"EX")=0),0))))</f>
      </c>
      <c r="H10920">
        <f>IF(DATOS!$G10920&lt;&gt;"EX",0,--(COUNTIFS(nNIA,DATOS!$A10920,nCURSO,DATOS!$D10920,nESPEC,DATOS!$E10920,nASIG,DATOS!$I10920,nEVAL,"OR")=0))</f>
      </c>
      <c r="I10920">
        <f>IF(DATOS!$I10920="","",IFERROR(VLOOKUP(DATOS!$I10920,CONFIG_ASIGNATURAS!$B$2:$J$91,9,FALSE()),""))</f>
      </c>
    </row>
    <row r="10921">
      <c r="F10921">
        <f>IF(DATOS!$A10921="","",DATOS!$A10921&amp;"|"&amp;DATOS!$D10921&amp;"|"&amp;DATOS!$E10921&amp;"|"&amp;DATOS!$I10921)</f>
      </c>
      <c r="G10921">
        <f>IF(DATOS!$A10921="",0,IF(CONFIG_METADATA!$B$4&lt;&gt;"OR+EX",--(DATOS!$G10921=CONFIG_METADATA!$B$4),IF(DATOS!$G10921="EX",1,IF(DATOS!$G10921="OR",--(COUNTIFS(nNIA,DATOS!$A10921,nCURSO,DATOS!$D10921,nESPEC,DATOS!$E10921,nASIG,DATOS!$I10921,nEVAL,"EX")=0),0))))</f>
      </c>
      <c r="H10921">
        <f>IF(DATOS!$G10921&lt;&gt;"EX",0,--(COUNTIFS(nNIA,DATOS!$A10921,nCURSO,DATOS!$D10921,nESPEC,DATOS!$E10921,nASIG,DATOS!$I10921,nEVAL,"OR")=0))</f>
      </c>
      <c r="I10921">
        <f>IF(DATOS!$I10921="","",IFERROR(VLOOKUP(DATOS!$I10921,CONFIG_ASIGNATURAS!$B$2:$J$91,9,FALSE()),""))</f>
      </c>
    </row>
    <row r="10922">
      <c r="F10922">
        <f>IF(DATOS!$A10922="","",DATOS!$A10922&amp;"|"&amp;DATOS!$D10922&amp;"|"&amp;DATOS!$E10922&amp;"|"&amp;DATOS!$I10922)</f>
      </c>
      <c r="G10922">
        <f>IF(DATOS!$A10922="",0,IF(CONFIG_METADATA!$B$4&lt;&gt;"OR+EX",--(DATOS!$G10922=CONFIG_METADATA!$B$4),IF(DATOS!$G10922="EX",1,IF(DATOS!$G10922="OR",--(COUNTIFS(nNIA,DATOS!$A10922,nCURSO,DATOS!$D10922,nESPEC,DATOS!$E10922,nASIG,DATOS!$I10922,nEVAL,"EX")=0),0))))</f>
      </c>
      <c r="H10922">
        <f>IF(DATOS!$G10922&lt;&gt;"EX",0,--(COUNTIFS(nNIA,DATOS!$A10922,nCURSO,DATOS!$D10922,nESPEC,DATOS!$E10922,nASIG,DATOS!$I10922,nEVAL,"OR")=0))</f>
      </c>
      <c r="I10922">
        <f>IF(DATOS!$I10922="","",IFERROR(VLOOKUP(DATOS!$I10922,CONFIG_ASIGNATURAS!$B$2:$J$91,9,FALSE()),""))</f>
      </c>
    </row>
    <row r="10923">
      <c r="F10923">
        <f>IF(DATOS!$A10923="","",DATOS!$A10923&amp;"|"&amp;DATOS!$D10923&amp;"|"&amp;DATOS!$E10923&amp;"|"&amp;DATOS!$I10923)</f>
      </c>
      <c r="G10923">
        <f>IF(DATOS!$A10923="",0,IF(CONFIG_METADATA!$B$4&lt;&gt;"OR+EX",--(DATOS!$G10923=CONFIG_METADATA!$B$4),IF(DATOS!$G10923="EX",1,IF(DATOS!$G10923="OR",--(COUNTIFS(nNIA,DATOS!$A10923,nCURSO,DATOS!$D10923,nESPEC,DATOS!$E10923,nASIG,DATOS!$I10923,nEVAL,"EX")=0),0))))</f>
      </c>
      <c r="H10923">
        <f>IF(DATOS!$G10923&lt;&gt;"EX",0,--(COUNTIFS(nNIA,DATOS!$A10923,nCURSO,DATOS!$D10923,nESPEC,DATOS!$E10923,nASIG,DATOS!$I10923,nEVAL,"OR")=0))</f>
      </c>
      <c r="I10923">
        <f>IF(DATOS!$I10923="","",IFERROR(VLOOKUP(DATOS!$I10923,CONFIG_ASIGNATURAS!$B$2:$J$91,9,FALSE()),""))</f>
      </c>
    </row>
    <row r="10924">
      <c r="F10924">
        <f>IF(DATOS!$A10924="","",DATOS!$A10924&amp;"|"&amp;DATOS!$D10924&amp;"|"&amp;DATOS!$E10924&amp;"|"&amp;DATOS!$I10924)</f>
      </c>
      <c r="G10924">
        <f>IF(DATOS!$A10924="",0,IF(CONFIG_METADATA!$B$4&lt;&gt;"OR+EX",--(DATOS!$G10924=CONFIG_METADATA!$B$4),IF(DATOS!$G10924="EX",1,IF(DATOS!$G10924="OR",--(COUNTIFS(nNIA,DATOS!$A10924,nCURSO,DATOS!$D10924,nESPEC,DATOS!$E10924,nASIG,DATOS!$I10924,nEVAL,"EX")=0),0))))</f>
      </c>
      <c r="H10924">
        <f>IF(DATOS!$G10924&lt;&gt;"EX",0,--(COUNTIFS(nNIA,DATOS!$A10924,nCURSO,DATOS!$D10924,nESPEC,DATOS!$E10924,nASIG,DATOS!$I10924,nEVAL,"OR")=0))</f>
      </c>
      <c r="I10924">
        <f>IF(DATOS!$I10924="","",IFERROR(VLOOKUP(DATOS!$I10924,CONFIG_ASIGNATURAS!$B$2:$J$91,9,FALSE()),""))</f>
      </c>
    </row>
    <row r="10925">
      <c r="F10925">
        <f>IF(DATOS!$A10925="","",DATOS!$A10925&amp;"|"&amp;DATOS!$D10925&amp;"|"&amp;DATOS!$E10925&amp;"|"&amp;DATOS!$I10925)</f>
      </c>
      <c r="G10925">
        <f>IF(DATOS!$A10925="",0,IF(CONFIG_METADATA!$B$4&lt;&gt;"OR+EX",--(DATOS!$G10925=CONFIG_METADATA!$B$4),IF(DATOS!$G10925="EX",1,IF(DATOS!$G10925="OR",--(COUNTIFS(nNIA,DATOS!$A10925,nCURSO,DATOS!$D10925,nESPEC,DATOS!$E10925,nASIG,DATOS!$I10925,nEVAL,"EX")=0),0))))</f>
      </c>
      <c r="H10925">
        <f>IF(DATOS!$G10925&lt;&gt;"EX",0,--(COUNTIFS(nNIA,DATOS!$A10925,nCURSO,DATOS!$D10925,nESPEC,DATOS!$E10925,nASIG,DATOS!$I10925,nEVAL,"OR")=0))</f>
      </c>
      <c r="I10925">
        <f>IF(DATOS!$I10925="","",IFERROR(VLOOKUP(DATOS!$I10925,CONFIG_ASIGNATURAS!$B$2:$J$91,9,FALSE()),""))</f>
      </c>
    </row>
    <row r="10926">
      <c r="F10926">
        <f>IF(DATOS!$A10926="","",DATOS!$A10926&amp;"|"&amp;DATOS!$D10926&amp;"|"&amp;DATOS!$E10926&amp;"|"&amp;DATOS!$I10926)</f>
      </c>
      <c r="G10926">
        <f>IF(DATOS!$A10926="",0,IF(CONFIG_METADATA!$B$4&lt;&gt;"OR+EX",--(DATOS!$G10926=CONFIG_METADATA!$B$4),IF(DATOS!$G10926="EX",1,IF(DATOS!$G10926="OR",--(COUNTIFS(nNIA,DATOS!$A10926,nCURSO,DATOS!$D10926,nESPEC,DATOS!$E10926,nASIG,DATOS!$I10926,nEVAL,"EX")=0),0))))</f>
      </c>
      <c r="H10926">
        <f>IF(DATOS!$G10926&lt;&gt;"EX",0,--(COUNTIFS(nNIA,DATOS!$A10926,nCURSO,DATOS!$D10926,nESPEC,DATOS!$E10926,nASIG,DATOS!$I10926,nEVAL,"OR")=0))</f>
      </c>
      <c r="I10926">
        <f>IF(DATOS!$I10926="","",IFERROR(VLOOKUP(DATOS!$I10926,CONFIG_ASIGNATURAS!$B$2:$J$91,9,FALSE()),""))</f>
      </c>
    </row>
    <row r="10927">
      <c r="F10927">
        <f>IF(DATOS!$A10927="","",DATOS!$A10927&amp;"|"&amp;DATOS!$D10927&amp;"|"&amp;DATOS!$E10927&amp;"|"&amp;DATOS!$I10927)</f>
      </c>
      <c r="G10927">
        <f>IF(DATOS!$A10927="",0,IF(CONFIG_METADATA!$B$4&lt;&gt;"OR+EX",--(DATOS!$G10927=CONFIG_METADATA!$B$4),IF(DATOS!$G10927="EX",1,IF(DATOS!$G10927="OR",--(COUNTIFS(nNIA,DATOS!$A10927,nCURSO,DATOS!$D10927,nESPEC,DATOS!$E10927,nASIG,DATOS!$I10927,nEVAL,"EX")=0),0))))</f>
      </c>
      <c r="H10927">
        <f>IF(DATOS!$G10927&lt;&gt;"EX",0,--(COUNTIFS(nNIA,DATOS!$A10927,nCURSO,DATOS!$D10927,nESPEC,DATOS!$E10927,nASIG,DATOS!$I10927,nEVAL,"OR")=0))</f>
      </c>
      <c r="I10927">
        <f>IF(DATOS!$I10927="","",IFERROR(VLOOKUP(DATOS!$I10927,CONFIG_ASIGNATURAS!$B$2:$J$91,9,FALSE()),""))</f>
      </c>
    </row>
    <row r="10928">
      <c r="F10928">
        <f>IF(DATOS!$A10928="","",DATOS!$A10928&amp;"|"&amp;DATOS!$D10928&amp;"|"&amp;DATOS!$E10928&amp;"|"&amp;DATOS!$I10928)</f>
      </c>
      <c r="G10928">
        <f>IF(DATOS!$A10928="",0,IF(CONFIG_METADATA!$B$4&lt;&gt;"OR+EX",--(DATOS!$G10928=CONFIG_METADATA!$B$4),IF(DATOS!$G10928="EX",1,IF(DATOS!$G10928="OR",--(COUNTIFS(nNIA,DATOS!$A10928,nCURSO,DATOS!$D10928,nESPEC,DATOS!$E10928,nASIG,DATOS!$I10928,nEVAL,"EX")=0),0))))</f>
      </c>
      <c r="H10928">
        <f>IF(DATOS!$G10928&lt;&gt;"EX",0,--(COUNTIFS(nNIA,DATOS!$A10928,nCURSO,DATOS!$D10928,nESPEC,DATOS!$E10928,nASIG,DATOS!$I10928,nEVAL,"OR")=0))</f>
      </c>
      <c r="I10928">
        <f>IF(DATOS!$I10928="","",IFERROR(VLOOKUP(DATOS!$I10928,CONFIG_ASIGNATURAS!$B$2:$J$91,9,FALSE()),""))</f>
      </c>
    </row>
    <row r="10929">
      <c r="F10929">
        <f>IF(DATOS!$A10929="","",DATOS!$A10929&amp;"|"&amp;DATOS!$D10929&amp;"|"&amp;DATOS!$E10929&amp;"|"&amp;DATOS!$I10929)</f>
      </c>
      <c r="G10929">
        <f>IF(DATOS!$A10929="",0,IF(CONFIG_METADATA!$B$4&lt;&gt;"OR+EX",--(DATOS!$G10929=CONFIG_METADATA!$B$4),IF(DATOS!$G10929="EX",1,IF(DATOS!$G10929="OR",--(COUNTIFS(nNIA,DATOS!$A10929,nCURSO,DATOS!$D10929,nESPEC,DATOS!$E10929,nASIG,DATOS!$I10929,nEVAL,"EX")=0),0))))</f>
      </c>
      <c r="H10929">
        <f>IF(DATOS!$G10929&lt;&gt;"EX",0,--(COUNTIFS(nNIA,DATOS!$A10929,nCURSO,DATOS!$D10929,nESPEC,DATOS!$E10929,nASIG,DATOS!$I10929,nEVAL,"OR")=0))</f>
      </c>
      <c r="I10929">
        <f>IF(DATOS!$I10929="","",IFERROR(VLOOKUP(DATOS!$I10929,CONFIG_ASIGNATURAS!$B$2:$J$91,9,FALSE()),""))</f>
      </c>
    </row>
    <row r="10930">
      <c r="F10930">
        <f>IF(DATOS!$A10930="","",DATOS!$A10930&amp;"|"&amp;DATOS!$D10930&amp;"|"&amp;DATOS!$E10930&amp;"|"&amp;DATOS!$I10930)</f>
      </c>
      <c r="G10930">
        <f>IF(DATOS!$A10930="",0,IF(CONFIG_METADATA!$B$4&lt;&gt;"OR+EX",--(DATOS!$G10930=CONFIG_METADATA!$B$4),IF(DATOS!$G10930="EX",1,IF(DATOS!$G10930="OR",--(COUNTIFS(nNIA,DATOS!$A10930,nCURSO,DATOS!$D10930,nESPEC,DATOS!$E10930,nASIG,DATOS!$I10930,nEVAL,"EX")=0),0))))</f>
      </c>
      <c r="H10930">
        <f>IF(DATOS!$G10930&lt;&gt;"EX",0,--(COUNTIFS(nNIA,DATOS!$A10930,nCURSO,DATOS!$D10930,nESPEC,DATOS!$E10930,nASIG,DATOS!$I10930,nEVAL,"OR")=0))</f>
      </c>
      <c r="I10930">
        <f>IF(DATOS!$I10930="","",IFERROR(VLOOKUP(DATOS!$I10930,CONFIG_ASIGNATURAS!$B$2:$J$91,9,FALSE()),""))</f>
      </c>
    </row>
    <row r="10931">
      <c r="F10931">
        <f>IF(DATOS!$A10931="","",DATOS!$A10931&amp;"|"&amp;DATOS!$D10931&amp;"|"&amp;DATOS!$E10931&amp;"|"&amp;DATOS!$I10931)</f>
      </c>
      <c r="G10931">
        <f>IF(DATOS!$A10931="",0,IF(CONFIG_METADATA!$B$4&lt;&gt;"OR+EX",--(DATOS!$G10931=CONFIG_METADATA!$B$4),IF(DATOS!$G10931="EX",1,IF(DATOS!$G10931="OR",--(COUNTIFS(nNIA,DATOS!$A10931,nCURSO,DATOS!$D10931,nESPEC,DATOS!$E10931,nASIG,DATOS!$I10931,nEVAL,"EX")=0),0))))</f>
      </c>
      <c r="H10931">
        <f>IF(DATOS!$G10931&lt;&gt;"EX",0,--(COUNTIFS(nNIA,DATOS!$A10931,nCURSO,DATOS!$D10931,nESPEC,DATOS!$E10931,nASIG,DATOS!$I10931,nEVAL,"OR")=0))</f>
      </c>
      <c r="I10931">
        <f>IF(DATOS!$I10931="","",IFERROR(VLOOKUP(DATOS!$I10931,CONFIG_ASIGNATURAS!$B$2:$J$91,9,FALSE()),""))</f>
      </c>
    </row>
    <row r="10932">
      <c r="F10932">
        <f>IF(DATOS!$A10932="","",DATOS!$A10932&amp;"|"&amp;DATOS!$D10932&amp;"|"&amp;DATOS!$E10932&amp;"|"&amp;DATOS!$I10932)</f>
      </c>
      <c r="G10932">
        <f>IF(DATOS!$A10932="",0,IF(CONFIG_METADATA!$B$4&lt;&gt;"OR+EX",--(DATOS!$G10932=CONFIG_METADATA!$B$4),IF(DATOS!$G10932="EX",1,IF(DATOS!$G10932="OR",--(COUNTIFS(nNIA,DATOS!$A10932,nCURSO,DATOS!$D10932,nESPEC,DATOS!$E10932,nASIG,DATOS!$I10932,nEVAL,"EX")=0),0))))</f>
      </c>
      <c r="H10932">
        <f>IF(DATOS!$G10932&lt;&gt;"EX",0,--(COUNTIFS(nNIA,DATOS!$A10932,nCURSO,DATOS!$D10932,nESPEC,DATOS!$E10932,nASIG,DATOS!$I10932,nEVAL,"OR")=0))</f>
      </c>
      <c r="I10932">
        <f>IF(DATOS!$I10932="","",IFERROR(VLOOKUP(DATOS!$I10932,CONFIG_ASIGNATURAS!$B$2:$J$91,9,FALSE()),""))</f>
      </c>
    </row>
    <row r="10933">
      <c r="F10933">
        <f>IF(DATOS!$A10933="","",DATOS!$A10933&amp;"|"&amp;DATOS!$D10933&amp;"|"&amp;DATOS!$E10933&amp;"|"&amp;DATOS!$I10933)</f>
      </c>
      <c r="G10933">
        <f>IF(DATOS!$A10933="",0,IF(CONFIG_METADATA!$B$4&lt;&gt;"OR+EX",--(DATOS!$G10933=CONFIG_METADATA!$B$4),IF(DATOS!$G10933="EX",1,IF(DATOS!$G10933="OR",--(COUNTIFS(nNIA,DATOS!$A10933,nCURSO,DATOS!$D10933,nESPEC,DATOS!$E10933,nASIG,DATOS!$I10933,nEVAL,"EX")=0),0))))</f>
      </c>
      <c r="H10933">
        <f>IF(DATOS!$G10933&lt;&gt;"EX",0,--(COUNTIFS(nNIA,DATOS!$A10933,nCURSO,DATOS!$D10933,nESPEC,DATOS!$E10933,nASIG,DATOS!$I10933,nEVAL,"OR")=0))</f>
      </c>
      <c r="I10933">
        <f>IF(DATOS!$I10933="","",IFERROR(VLOOKUP(DATOS!$I10933,CONFIG_ASIGNATURAS!$B$2:$J$91,9,FALSE()),""))</f>
      </c>
    </row>
    <row r="10934">
      <c r="F10934">
        <f>IF(DATOS!$A10934="","",DATOS!$A10934&amp;"|"&amp;DATOS!$D10934&amp;"|"&amp;DATOS!$E10934&amp;"|"&amp;DATOS!$I10934)</f>
      </c>
      <c r="G10934">
        <f>IF(DATOS!$A10934="",0,IF(CONFIG_METADATA!$B$4&lt;&gt;"OR+EX",--(DATOS!$G10934=CONFIG_METADATA!$B$4),IF(DATOS!$G10934="EX",1,IF(DATOS!$G10934="OR",--(COUNTIFS(nNIA,DATOS!$A10934,nCURSO,DATOS!$D10934,nESPEC,DATOS!$E10934,nASIG,DATOS!$I10934,nEVAL,"EX")=0),0))))</f>
      </c>
      <c r="H10934">
        <f>IF(DATOS!$G10934&lt;&gt;"EX",0,--(COUNTIFS(nNIA,DATOS!$A10934,nCURSO,DATOS!$D10934,nESPEC,DATOS!$E10934,nASIG,DATOS!$I10934,nEVAL,"OR")=0))</f>
      </c>
      <c r="I10934">
        <f>IF(DATOS!$I10934="","",IFERROR(VLOOKUP(DATOS!$I10934,CONFIG_ASIGNATURAS!$B$2:$J$91,9,FALSE()),""))</f>
      </c>
    </row>
    <row r="10935">
      <c r="F10935">
        <f>IF(DATOS!$A10935="","",DATOS!$A10935&amp;"|"&amp;DATOS!$D10935&amp;"|"&amp;DATOS!$E10935&amp;"|"&amp;DATOS!$I10935)</f>
      </c>
      <c r="G10935">
        <f>IF(DATOS!$A10935="",0,IF(CONFIG_METADATA!$B$4&lt;&gt;"OR+EX",--(DATOS!$G10935=CONFIG_METADATA!$B$4),IF(DATOS!$G10935="EX",1,IF(DATOS!$G10935="OR",--(COUNTIFS(nNIA,DATOS!$A10935,nCURSO,DATOS!$D10935,nESPEC,DATOS!$E10935,nASIG,DATOS!$I10935,nEVAL,"EX")=0),0))))</f>
      </c>
      <c r="H10935">
        <f>IF(DATOS!$G10935&lt;&gt;"EX",0,--(COUNTIFS(nNIA,DATOS!$A10935,nCURSO,DATOS!$D10935,nESPEC,DATOS!$E10935,nASIG,DATOS!$I10935,nEVAL,"OR")=0))</f>
      </c>
      <c r="I10935">
        <f>IF(DATOS!$I10935="","",IFERROR(VLOOKUP(DATOS!$I10935,CONFIG_ASIGNATURAS!$B$2:$J$91,9,FALSE()),""))</f>
      </c>
    </row>
    <row r="10936">
      <c r="F10936">
        <f>IF(DATOS!$A10936="","",DATOS!$A10936&amp;"|"&amp;DATOS!$D10936&amp;"|"&amp;DATOS!$E10936&amp;"|"&amp;DATOS!$I10936)</f>
      </c>
      <c r="G10936">
        <f>IF(DATOS!$A10936="",0,IF(CONFIG_METADATA!$B$4&lt;&gt;"OR+EX",--(DATOS!$G10936=CONFIG_METADATA!$B$4),IF(DATOS!$G10936="EX",1,IF(DATOS!$G10936="OR",--(COUNTIFS(nNIA,DATOS!$A10936,nCURSO,DATOS!$D10936,nESPEC,DATOS!$E10936,nASIG,DATOS!$I10936,nEVAL,"EX")=0),0))))</f>
      </c>
      <c r="H10936">
        <f>IF(DATOS!$G10936&lt;&gt;"EX",0,--(COUNTIFS(nNIA,DATOS!$A10936,nCURSO,DATOS!$D10936,nESPEC,DATOS!$E10936,nASIG,DATOS!$I10936,nEVAL,"OR")=0))</f>
      </c>
      <c r="I10936">
        <f>IF(DATOS!$I10936="","",IFERROR(VLOOKUP(DATOS!$I10936,CONFIG_ASIGNATURAS!$B$2:$J$91,9,FALSE()),""))</f>
      </c>
    </row>
    <row r="10937">
      <c r="F10937">
        <f>IF(DATOS!$A10937="","",DATOS!$A10937&amp;"|"&amp;DATOS!$D10937&amp;"|"&amp;DATOS!$E10937&amp;"|"&amp;DATOS!$I10937)</f>
      </c>
      <c r="G10937">
        <f>IF(DATOS!$A10937="",0,IF(CONFIG_METADATA!$B$4&lt;&gt;"OR+EX",--(DATOS!$G10937=CONFIG_METADATA!$B$4),IF(DATOS!$G10937="EX",1,IF(DATOS!$G10937="OR",--(COUNTIFS(nNIA,DATOS!$A10937,nCURSO,DATOS!$D10937,nESPEC,DATOS!$E10937,nASIG,DATOS!$I10937,nEVAL,"EX")=0),0))))</f>
      </c>
      <c r="H10937">
        <f>IF(DATOS!$G10937&lt;&gt;"EX",0,--(COUNTIFS(nNIA,DATOS!$A10937,nCURSO,DATOS!$D10937,nESPEC,DATOS!$E10937,nASIG,DATOS!$I10937,nEVAL,"OR")=0))</f>
      </c>
      <c r="I10937">
        <f>IF(DATOS!$I10937="","",IFERROR(VLOOKUP(DATOS!$I10937,CONFIG_ASIGNATURAS!$B$2:$J$91,9,FALSE()),""))</f>
      </c>
    </row>
    <row r="10938">
      <c r="F10938">
        <f>IF(DATOS!$A10938="","",DATOS!$A10938&amp;"|"&amp;DATOS!$D10938&amp;"|"&amp;DATOS!$E10938&amp;"|"&amp;DATOS!$I10938)</f>
      </c>
      <c r="G10938">
        <f>IF(DATOS!$A10938="",0,IF(CONFIG_METADATA!$B$4&lt;&gt;"OR+EX",--(DATOS!$G10938=CONFIG_METADATA!$B$4),IF(DATOS!$G10938="EX",1,IF(DATOS!$G10938="OR",--(COUNTIFS(nNIA,DATOS!$A10938,nCURSO,DATOS!$D10938,nESPEC,DATOS!$E10938,nASIG,DATOS!$I10938,nEVAL,"EX")=0),0))))</f>
      </c>
      <c r="H10938">
        <f>IF(DATOS!$G10938&lt;&gt;"EX",0,--(COUNTIFS(nNIA,DATOS!$A10938,nCURSO,DATOS!$D10938,nESPEC,DATOS!$E10938,nASIG,DATOS!$I10938,nEVAL,"OR")=0))</f>
      </c>
      <c r="I10938">
        <f>IF(DATOS!$I10938="","",IFERROR(VLOOKUP(DATOS!$I10938,CONFIG_ASIGNATURAS!$B$2:$J$91,9,FALSE()),""))</f>
      </c>
    </row>
    <row r="10939">
      <c r="F10939">
        <f>IF(DATOS!$A10939="","",DATOS!$A10939&amp;"|"&amp;DATOS!$D10939&amp;"|"&amp;DATOS!$E10939&amp;"|"&amp;DATOS!$I10939)</f>
      </c>
      <c r="G10939">
        <f>IF(DATOS!$A10939="",0,IF(CONFIG_METADATA!$B$4&lt;&gt;"OR+EX",--(DATOS!$G10939=CONFIG_METADATA!$B$4),IF(DATOS!$G10939="EX",1,IF(DATOS!$G10939="OR",--(COUNTIFS(nNIA,DATOS!$A10939,nCURSO,DATOS!$D10939,nESPEC,DATOS!$E10939,nASIG,DATOS!$I10939,nEVAL,"EX")=0),0))))</f>
      </c>
      <c r="H10939">
        <f>IF(DATOS!$G10939&lt;&gt;"EX",0,--(COUNTIFS(nNIA,DATOS!$A10939,nCURSO,DATOS!$D10939,nESPEC,DATOS!$E10939,nASIG,DATOS!$I10939,nEVAL,"OR")=0))</f>
      </c>
      <c r="I10939">
        <f>IF(DATOS!$I10939="","",IFERROR(VLOOKUP(DATOS!$I10939,CONFIG_ASIGNATURAS!$B$2:$J$91,9,FALSE()),""))</f>
      </c>
    </row>
    <row r="10940">
      <c r="F10940">
        <f>IF(DATOS!$A10940="","",DATOS!$A10940&amp;"|"&amp;DATOS!$D10940&amp;"|"&amp;DATOS!$E10940&amp;"|"&amp;DATOS!$I10940)</f>
      </c>
      <c r="G10940">
        <f>IF(DATOS!$A10940="",0,IF(CONFIG_METADATA!$B$4&lt;&gt;"OR+EX",--(DATOS!$G10940=CONFIG_METADATA!$B$4),IF(DATOS!$G10940="EX",1,IF(DATOS!$G10940="OR",--(COUNTIFS(nNIA,DATOS!$A10940,nCURSO,DATOS!$D10940,nESPEC,DATOS!$E10940,nASIG,DATOS!$I10940,nEVAL,"EX")=0),0))))</f>
      </c>
      <c r="H10940">
        <f>IF(DATOS!$G10940&lt;&gt;"EX",0,--(COUNTIFS(nNIA,DATOS!$A10940,nCURSO,DATOS!$D10940,nESPEC,DATOS!$E10940,nASIG,DATOS!$I10940,nEVAL,"OR")=0))</f>
      </c>
      <c r="I10940">
        <f>IF(DATOS!$I10940="","",IFERROR(VLOOKUP(DATOS!$I10940,CONFIG_ASIGNATURAS!$B$2:$J$91,9,FALSE()),""))</f>
      </c>
    </row>
    <row r="10941">
      <c r="F10941">
        <f>IF(DATOS!$A10941="","",DATOS!$A10941&amp;"|"&amp;DATOS!$D10941&amp;"|"&amp;DATOS!$E10941&amp;"|"&amp;DATOS!$I10941)</f>
      </c>
      <c r="G10941">
        <f>IF(DATOS!$A10941="",0,IF(CONFIG_METADATA!$B$4&lt;&gt;"OR+EX",--(DATOS!$G10941=CONFIG_METADATA!$B$4),IF(DATOS!$G10941="EX",1,IF(DATOS!$G10941="OR",--(COUNTIFS(nNIA,DATOS!$A10941,nCURSO,DATOS!$D10941,nESPEC,DATOS!$E10941,nASIG,DATOS!$I10941,nEVAL,"EX")=0),0))))</f>
      </c>
      <c r="H10941">
        <f>IF(DATOS!$G10941&lt;&gt;"EX",0,--(COUNTIFS(nNIA,DATOS!$A10941,nCURSO,DATOS!$D10941,nESPEC,DATOS!$E10941,nASIG,DATOS!$I10941,nEVAL,"OR")=0))</f>
      </c>
      <c r="I10941">
        <f>IF(DATOS!$I10941="","",IFERROR(VLOOKUP(DATOS!$I10941,CONFIG_ASIGNATURAS!$B$2:$J$91,9,FALSE()),""))</f>
      </c>
    </row>
    <row r="10942">
      <c r="F10942">
        <f>IF(DATOS!$A10942="","",DATOS!$A10942&amp;"|"&amp;DATOS!$D10942&amp;"|"&amp;DATOS!$E10942&amp;"|"&amp;DATOS!$I10942)</f>
      </c>
      <c r="G10942">
        <f>IF(DATOS!$A10942="",0,IF(CONFIG_METADATA!$B$4&lt;&gt;"OR+EX",--(DATOS!$G10942=CONFIG_METADATA!$B$4),IF(DATOS!$G10942="EX",1,IF(DATOS!$G10942="OR",--(COUNTIFS(nNIA,DATOS!$A10942,nCURSO,DATOS!$D10942,nESPEC,DATOS!$E10942,nASIG,DATOS!$I10942,nEVAL,"EX")=0),0))))</f>
      </c>
      <c r="H10942">
        <f>IF(DATOS!$G10942&lt;&gt;"EX",0,--(COUNTIFS(nNIA,DATOS!$A10942,nCURSO,DATOS!$D10942,nESPEC,DATOS!$E10942,nASIG,DATOS!$I10942,nEVAL,"OR")=0))</f>
      </c>
      <c r="I10942">
        <f>IF(DATOS!$I10942="","",IFERROR(VLOOKUP(DATOS!$I10942,CONFIG_ASIGNATURAS!$B$2:$J$91,9,FALSE()),""))</f>
      </c>
    </row>
    <row r="10943">
      <c r="F10943">
        <f>IF(DATOS!$A10943="","",DATOS!$A10943&amp;"|"&amp;DATOS!$D10943&amp;"|"&amp;DATOS!$E10943&amp;"|"&amp;DATOS!$I10943)</f>
      </c>
      <c r="G10943">
        <f>IF(DATOS!$A10943="",0,IF(CONFIG_METADATA!$B$4&lt;&gt;"OR+EX",--(DATOS!$G10943=CONFIG_METADATA!$B$4),IF(DATOS!$G10943="EX",1,IF(DATOS!$G10943="OR",--(COUNTIFS(nNIA,DATOS!$A10943,nCURSO,DATOS!$D10943,nESPEC,DATOS!$E10943,nASIG,DATOS!$I10943,nEVAL,"EX")=0),0))))</f>
      </c>
      <c r="H10943">
        <f>IF(DATOS!$G10943&lt;&gt;"EX",0,--(COUNTIFS(nNIA,DATOS!$A10943,nCURSO,DATOS!$D10943,nESPEC,DATOS!$E10943,nASIG,DATOS!$I10943,nEVAL,"OR")=0))</f>
      </c>
      <c r="I10943">
        <f>IF(DATOS!$I10943="","",IFERROR(VLOOKUP(DATOS!$I10943,CONFIG_ASIGNATURAS!$B$2:$J$91,9,FALSE()),""))</f>
      </c>
    </row>
    <row r="10944">
      <c r="F10944">
        <f>IF(DATOS!$A10944="","",DATOS!$A10944&amp;"|"&amp;DATOS!$D10944&amp;"|"&amp;DATOS!$E10944&amp;"|"&amp;DATOS!$I10944)</f>
      </c>
      <c r="G10944">
        <f>IF(DATOS!$A10944="",0,IF(CONFIG_METADATA!$B$4&lt;&gt;"OR+EX",--(DATOS!$G10944=CONFIG_METADATA!$B$4),IF(DATOS!$G10944="EX",1,IF(DATOS!$G10944="OR",--(COUNTIFS(nNIA,DATOS!$A10944,nCURSO,DATOS!$D10944,nESPEC,DATOS!$E10944,nASIG,DATOS!$I10944,nEVAL,"EX")=0),0))))</f>
      </c>
      <c r="H10944">
        <f>IF(DATOS!$G10944&lt;&gt;"EX",0,--(COUNTIFS(nNIA,DATOS!$A10944,nCURSO,DATOS!$D10944,nESPEC,DATOS!$E10944,nASIG,DATOS!$I10944,nEVAL,"OR")=0))</f>
      </c>
      <c r="I10944">
        <f>IF(DATOS!$I10944="","",IFERROR(VLOOKUP(DATOS!$I10944,CONFIG_ASIGNATURAS!$B$2:$J$91,9,FALSE()),""))</f>
      </c>
    </row>
    <row r="10945">
      <c r="F10945">
        <f>IF(DATOS!$A10945="","",DATOS!$A10945&amp;"|"&amp;DATOS!$D10945&amp;"|"&amp;DATOS!$E10945&amp;"|"&amp;DATOS!$I10945)</f>
      </c>
      <c r="G10945">
        <f>IF(DATOS!$A10945="",0,IF(CONFIG_METADATA!$B$4&lt;&gt;"OR+EX",--(DATOS!$G10945=CONFIG_METADATA!$B$4),IF(DATOS!$G10945="EX",1,IF(DATOS!$G10945="OR",--(COUNTIFS(nNIA,DATOS!$A10945,nCURSO,DATOS!$D10945,nESPEC,DATOS!$E10945,nASIG,DATOS!$I10945,nEVAL,"EX")=0),0))))</f>
      </c>
      <c r="H10945">
        <f>IF(DATOS!$G10945&lt;&gt;"EX",0,--(COUNTIFS(nNIA,DATOS!$A10945,nCURSO,DATOS!$D10945,nESPEC,DATOS!$E10945,nASIG,DATOS!$I10945,nEVAL,"OR")=0))</f>
      </c>
      <c r="I10945">
        <f>IF(DATOS!$I10945="","",IFERROR(VLOOKUP(DATOS!$I10945,CONFIG_ASIGNATURAS!$B$2:$J$91,9,FALSE()),""))</f>
      </c>
    </row>
    <row r="10946">
      <c r="F10946">
        <f>IF(DATOS!$A10946="","",DATOS!$A10946&amp;"|"&amp;DATOS!$D10946&amp;"|"&amp;DATOS!$E10946&amp;"|"&amp;DATOS!$I10946)</f>
      </c>
      <c r="G10946">
        <f>IF(DATOS!$A10946="",0,IF(CONFIG_METADATA!$B$4&lt;&gt;"OR+EX",--(DATOS!$G10946=CONFIG_METADATA!$B$4),IF(DATOS!$G10946="EX",1,IF(DATOS!$G10946="OR",--(COUNTIFS(nNIA,DATOS!$A10946,nCURSO,DATOS!$D10946,nESPEC,DATOS!$E10946,nASIG,DATOS!$I10946,nEVAL,"EX")=0),0))))</f>
      </c>
      <c r="H10946">
        <f>IF(DATOS!$G10946&lt;&gt;"EX",0,--(COUNTIFS(nNIA,DATOS!$A10946,nCURSO,DATOS!$D10946,nESPEC,DATOS!$E10946,nASIG,DATOS!$I10946,nEVAL,"OR")=0))</f>
      </c>
      <c r="I10946">
        <f>IF(DATOS!$I10946="","",IFERROR(VLOOKUP(DATOS!$I10946,CONFIG_ASIGNATURAS!$B$2:$J$91,9,FALSE()),""))</f>
      </c>
    </row>
    <row r="10947">
      <c r="F10947">
        <f>IF(DATOS!$A10947="","",DATOS!$A10947&amp;"|"&amp;DATOS!$D10947&amp;"|"&amp;DATOS!$E10947&amp;"|"&amp;DATOS!$I10947)</f>
      </c>
      <c r="G10947">
        <f>IF(DATOS!$A10947="",0,IF(CONFIG_METADATA!$B$4&lt;&gt;"OR+EX",--(DATOS!$G10947=CONFIG_METADATA!$B$4),IF(DATOS!$G10947="EX",1,IF(DATOS!$G10947="OR",--(COUNTIFS(nNIA,DATOS!$A10947,nCURSO,DATOS!$D10947,nESPEC,DATOS!$E10947,nASIG,DATOS!$I10947,nEVAL,"EX")=0),0))))</f>
      </c>
      <c r="H10947">
        <f>IF(DATOS!$G10947&lt;&gt;"EX",0,--(COUNTIFS(nNIA,DATOS!$A10947,nCURSO,DATOS!$D10947,nESPEC,DATOS!$E10947,nASIG,DATOS!$I10947,nEVAL,"OR")=0))</f>
      </c>
      <c r="I10947">
        <f>IF(DATOS!$I10947="","",IFERROR(VLOOKUP(DATOS!$I10947,CONFIG_ASIGNATURAS!$B$2:$J$91,9,FALSE()),""))</f>
      </c>
    </row>
    <row r="10948">
      <c r="F10948">
        <f>IF(DATOS!$A10948="","",DATOS!$A10948&amp;"|"&amp;DATOS!$D10948&amp;"|"&amp;DATOS!$E10948&amp;"|"&amp;DATOS!$I10948)</f>
      </c>
      <c r="G10948">
        <f>IF(DATOS!$A10948="",0,IF(CONFIG_METADATA!$B$4&lt;&gt;"OR+EX",--(DATOS!$G10948=CONFIG_METADATA!$B$4),IF(DATOS!$G10948="EX",1,IF(DATOS!$G10948="OR",--(COUNTIFS(nNIA,DATOS!$A10948,nCURSO,DATOS!$D10948,nESPEC,DATOS!$E10948,nASIG,DATOS!$I10948,nEVAL,"EX")=0),0))))</f>
      </c>
      <c r="H10948">
        <f>IF(DATOS!$G10948&lt;&gt;"EX",0,--(COUNTIFS(nNIA,DATOS!$A10948,nCURSO,DATOS!$D10948,nESPEC,DATOS!$E10948,nASIG,DATOS!$I10948,nEVAL,"OR")=0))</f>
      </c>
      <c r="I10948">
        <f>IF(DATOS!$I10948="","",IFERROR(VLOOKUP(DATOS!$I10948,CONFIG_ASIGNATURAS!$B$2:$J$91,9,FALSE()),""))</f>
      </c>
    </row>
    <row r="10949">
      <c r="F10949">
        <f>IF(DATOS!$A10949="","",DATOS!$A10949&amp;"|"&amp;DATOS!$D10949&amp;"|"&amp;DATOS!$E10949&amp;"|"&amp;DATOS!$I10949)</f>
      </c>
      <c r="G10949">
        <f>IF(DATOS!$A10949="",0,IF(CONFIG_METADATA!$B$4&lt;&gt;"OR+EX",--(DATOS!$G10949=CONFIG_METADATA!$B$4),IF(DATOS!$G10949="EX",1,IF(DATOS!$G10949="OR",--(COUNTIFS(nNIA,DATOS!$A10949,nCURSO,DATOS!$D10949,nESPEC,DATOS!$E10949,nASIG,DATOS!$I10949,nEVAL,"EX")=0),0))))</f>
      </c>
      <c r="H10949">
        <f>IF(DATOS!$G10949&lt;&gt;"EX",0,--(COUNTIFS(nNIA,DATOS!$A10949,nCURSO,DATOS!$D10949,nESPEC,DATOS!$E10949,nASIG,DATOS!$I10949,nEVAL,"OR")=0))</f>
      </c>
      <c r="I10949">
        <f>IF(DATOS!$I10949="","",IFERROR(VLOOKUP(DATOS!$I10949,CONFIG_ASIGNATURAS!$B$2:$J$91,9,FALSE()),""))</f>
      </c>
    </row>
    <row r="10950">
      <c r="F10950">
        <f>IF(DATOS!$A10950="","",DATOS!$A10950&amp;"|"&amp;DATOS!$D10950&amp;"|"&amp;DATOS!$E10950&amp;"|"&amp;DATOS!$I10950)</f>
      </c>
      <c r="G10950">
        <f>IF(DATOS!$A10950="",0,IF(CONFIG_METADATA!$B$4&lt;&gt;"OR+EX",--(DATOS!$G10950=CONFIG_METADATA!$B$4),IF(DATOS!$G10950="EX",1,IF(DATOS!$G10950="OR",--(COUNTIFS(nNIA,DATOS!$A10950,nCURSO,DATOS!$D10950,nESPEC,DATOS!$E10950,nASIG,DATOS!$I10950,nEVAL,"EX")=0),0))))</f>
      </c>
      <c r="H10950">
        <f>IF(DATOS!$G10950&lt;&gt;"EX",0,--(COUNTIFS(nNIA,DATOS!$A10950,nCURSO,DATOS!$D10950,nESPEC,DATOS!$E10950,nASIG,DATOS!$I10950,nEVAL,"OR")=0))</f>
      </c>
      <c r="I10950">
        <f>IF(DATOS!$I10950="","",IFERROR(VLOOKUP(DATOS!$I10950,CONFIG_ASIGNATURAS!$B$2:$J$91,9,FALSE()),""))</f>
      </c>
    </row>
    <row r="10951">
      <c r="F10951">
        <f>IF(DATOS!$A10951="","",DATOS!$A10951&amp;"|"&amp;DATOS!$D10951&amp;"|"&amp;DATOS!$E10951&amp;"|"&amp;DATOS!$I10951)</f>
      </c>
      <c r="G10951">
        <f>IF(DATOS!$A10951="",0,IF(CONFIG_METADATA!$B$4&lt;&gt;"OR+EX",--(DATOS!$G10951=CONFIG_METADATA!$B$4),IF(DATOS!$G10951="EX",1,IF(DATOS!$G10951="OR",--(COUNTIFS(nNIA,DATOS!$A10951,nCURSO,DATOS!$D10951,nESPEC,DATOS!$E10951,nASIG,DATOS!$I10951,nEVAL,"EX")=0),0))))</f>
      </c>
      <c r="H10951">
        <f>IF(DATOS!$G10951&lt;&gt;"EX",0,--(COUNTIFS(nNIA,DATOS!$A10951,nCURSO,DATOS!$D10951,nESPEC,DATOS!$E10951,nASIG,DATOS!$I10951,nEVAL,"OR")=0))</f>
      </c>
      <c r="I10951">
        <f>IF(DATOS!$I10951="","",IFERROR(VLOOKUP(DATOS!$I10951,CONFIG_ASIGNATURAS!$B$2:$J$91,9,FALSE()),""))</f>
      </c>
    </row>
    <row r="10952">
      <c r="F10952">
        <f>IF(DATOS!$A10952="","",DATOS!$A10952&amp;"|"&amp;DATOS!$D10952&amp;"|"&amp;DATOS!$E10952&amp;"|"&amp;DATOS!$I10952)</f>
      </c>
      <c r="G10952">
        <f>IF(DATOS!$A10952="",0,IF(CONFIG_METADATA!$B$4&lt;&gt;"OR+EX",--(DATOS!$G10952=CONFIG_METADATA!$B$4),IF(DATOS!$G10952="EX",1,IF(DATOS!$G10952="OR",--(COUNTIFS(nNIA,DATOS!$A10952,nCURSO,DATOS!$D10952,nESPEC,DATOS!$E10952,nASIG,DATOS!$I10952,nEVAL,"EX")=0),0))))</f>
      </c>
      <c r="H10952">
        <f>IF(DATOS!$G10952&lt;&gt;"EX",0,--(COUNTIFS(nNIA,DATOS!$A10952,nCURSO,DATOS!$D10952,nESPEC,DATOS!$E10952,nASIG,DATOS!$I10952,nEVAL,"OR")=0))</f>
      </c>
      <c r="I10952">
        <f>IF(DATOS!$I10952="","",IFERROR(VLOOKUP(DATOS!$I10952,CONFIG_ASIGNATURAS!$B$2:$J$91,9,FALSE()),""))</f>
      </c>
    </row>
    <row r="10953">
      <c r="F10953">
        <f>IF(DATOS!$A10953="","",DATOS!$A10953&amp;"|"&amp;DATOS!$D10953&amp;"|"&amp;DATOS!$E10953&amp;"|"&amp;DATOS!$I10953)</f>
      </c>
      <c r="G10953">
        <f>IF(DATOS!$A10953="",0,IF(CONFIG_METADATA!$B$4&lt;&gt;"OR+EX",--(DATOS!$G10953=CONFIG_METADATA!$B$4),IF(DATOS!$G10953="EX",1,IF(DATOS!$G10953="OR",--(COUNTIFS(nNIA,DATOS!$A10953,nCURSO,DATOS!$D10953,nESPEC,DATOS!$E10953,nASIG,DATOS!$I10953,nEVAL,"EX")=0),0))))</f>
      </c>
      <c r="H10953">
        <f>IF(DATOS!$G10953&lt;&gt;"EX",0,--(COUNTIFS(nNIA,DATOS!$A10953,nCURSO,DATOS!$D10953,nESPEC,DATOS!$E10953,nASIG,DATOS!$I10953,nEVAL,"OR")=0))</f>
      </c>
      <c r="I10953">
        <f>IF(DATOS!$I10953="","",IFERROR(VLOOKUP(DATOS!$I10953,CONFIG_ASIGNATURAS!$B$2:$J$91,9,FALSE()),""))</f>
      </c>
    </row>
    <row r="10954">
      <c r="F10954">
        <f>IF(DATOS!$A10954="","",DATOS!$A10954&amp;"|"&amp;DATOS!$D10954&amp;"|"&amp;DATOS!$E10954&amp;"|"&amp;DATOS!$I10954)</f>
      </c>
      <c r="G10954">
        <f>IF(DATOS!$A10954="",0,IF(CONFIG_METADATA!$B$4&lt;&gt;"OR+EX",--(DATOS!$G10954=CONFIG_METADATA!$B$4),IF(DATOS!$G10954="EX",1,IF(DATOS!$G10954="OR",--(COUNTIFS(nNIA,DATOS!$A10954,nCURSO,DATOS!$D10954,nESPEC,DATOS!$E10954,nASIG,DATOS!$I10954,nEVAL,"EX")=0),0))))</f>
      </c>
      <c r="H10954">
        <f>IF(DATOS!$G10954&lt;&gt;"EX",0,--(COUNTIFS(nNIA,DATOS!$A10954,nCURSO,DATOS!$D10954,nESPEC,DATOS!$E10954,nASIG,DATOS!$I10954,nEVAL,"OR")=0))</f>
      </c>
      <c r="I10954">
        <f>IF(DATOS!$I10954="","",IFERROR(VLOOKUP(DATOS!$I10954,CONFIG_ASIGNATURAS!$B$2:$J$91,9,FALSE()),""))</f>
      </c>
    </row>
    <row r="10955">
      <c r="F10955">
        <f>IF(DATOS!$A10955="","",DATOS!$A10955&amp;"|"&amp;DATOS!$D10955&amp;"|"&amp;DATOS!$E10955&amp;"|"&amp;DATOS!$I10955)</f>
      </c>
      <c r="G10955">
        <f>IF(DATOS!$A10955="",0,IF(CONFIG_METADATA!$B$4&lt;&gt;"OR+EX",--(DATOS!$G10955=CONFIG_METADATA!$B$4),IF(DATOS!$G10955="EX",1,IF(DATOS!$G10955="OR",--(COUNTIFS(nNIA,DATOS!$A10955,nCURSO,DATOS!$D10955,nESPEC,DATOS!$E10955,nASIG,DATOS!$I10955,nEVAL,"EX")=0),0))))</f>
      </c>
      <c r="H10955">
        <f>IF(DATOS!$G10955&lt;&gt;"EX",0,--(COUNTIFS(nNIA,DATOS!$A10955,nCURSO,DATOS!$D10955,nESPEC,DATOS!$E10955,nASIG,DATOS!$I10955,nEVAL,"OR")=0))</f>
      </c>
      <c r="I10955">
        <f>IF(DATOS!$I10955="","",IFERROR(VLOOKUP(DATOS!$I10955,CONFIG_ASIGNATURAS!$B$2:$J$91,9,FALSE()),""))</f>
      </c>
    </row>
    <row r="10956">
      <c r="F10956">
        <f>IF(DATOS!$A10956="","",DATOS!$A10956&amp;"|"&amp;DATOS!$D10956&amp;"|"&amp;DATOS!$E10956&amp;"|"&amp;DATOS!$I10956)</f>
      </c>
      <c r="G10956">
        <f>IF(DATOS!$A10956="",0,IF(CONFIG_METADATA!$B$4&lt;&gt;"OR+EX",--(DATOS!$G10956=CONFIG_METADATA!$B$4),IF(DATOS!$G10956="EX",1,IF(DATOS!$G10956="OR",--(COUNTIFS(nNIA,DATOS!$A10956,nCURSO,DATOS!$D10956,nESPEC,DATOS!$E10956,nASIG,DATOS!$I10956,nEVAL,"EX")=0),0))))</f>
      </c>
      <c r="H10956">
        <f>IF(DATOS!$G10956&lt;&gt;"EX",0,--(COUNTIFS(nNIA,DATOS!$A10956,nCURSO,DATOS!$D10956,nESPEC,DATOS!$E10956,nASIG,DATOS!$I10956,nEVAL,"OR")=0))</f>
      </c>
      <c r="I10956">
        <f>IF(DATOS!$I10956="","",IFERROR(VLOOKUP(DATOS!$I10956,CONFIG_ASIGNATURAS!$B$2:$J$91,9,FALSE()),""))</f>
      </c>
    </row>
    <row r="10957">
      <c r="F10957">
        <f>IF(DATOS!$A10957="","",DATOS!$A10957&amp;"|"&amp;DATOS!$D10957&amp;"|"&amp;DATOS!$E10957&amp;"|"&amp;DATOS!$I10957)</f>
      </c>
      <c r="G10957">
        <f>IF(DATOS!$A10957="",0,IF(CONFIG_METADATA!$B$4&lt;&gt;"OR+EX",--(DATOS!$G10957=CONFIG_METADATA!$B$4),IF(DATOS!$G10957="EX",1,IF(DATOS!$G10957="OR",--(COUNTIFS(nNIA,DATOS!$A10957,nCURSO,DATOS!$D10957,nESPEC,DATOS!$E10957,nASIG,DATOS!$I10957,nEVAL,"EX")=0),0))))</f>
      </c>
      <c r="H10957">
        <f>IF(DATOS!$G10957&lt;&gt;"EX",0,--(COUNTIFS(nNIA,DATOS!$A10957,nCURSO,DATOS!$D10957,nESPEC,DATOS!$E10957,nASIG,DATOS!$I10957,nEVAL,"OR")=0))</f>
      </c>
      <c r="I10957">
        <f>IF(DATOS!$I10957="","",IFERROR(VLOOKUP(DATOS!$I10957,CONFIG_ASIGNATURAS!$B$2:$J$91,9,FALSE()),""))</f>
      </c>
    </row>
    <row r="10958">
      <c r="F10958">
        <f>IF(DATOS!$A10958="","",DATOS!$A10958&amp;"|"&amp;DATOS!$D10958&amp;"|"&amp;DATOS!$E10958&amp;"|"&amp;DATOS!$I10958)</f>
      </c>
      <c r="G10958">
        <f>IF(DATOS!$A10958="",0,IF(CONFIG_METADATA!$B$4&lt;&gt;"OR+EX",--(DATOS!$G10958=CONFIG_METADATA!$B$4),IF(DATOS!$G10958="EX",1,IF(DATOS!$G10958="OR",--(COUNTIFS(nNIA,DATOS!$A10958,nCURSO,DATOS!$D10958,nESPEC,DATOS!$E10958,nASIG,DATOS!$I10958,nEVAL,"EX")=0),0))))</f>
      </c>
      <c r="H10958">
        <f>IF(DATOS!$G10958&lt;&gt;"EX",0,--(COUNTIFS(nNIA,DATOS!$A10958,nCURSO,DATOS!$D10958,nESPEC,DATOS!$E10958,nASIG,DATOS!$I10958,nEVAL,"OR")=0))</f>
      </c>
      <c r="I10958">
        <f>IF(DATOS!$I10958="","",IFERROR(VLOOKUP(DATOS!$I10958,CONFIG_ASIGNATURAS!$B$2:$J$91,9,FALSE()),""))</f>
      </c>
    </row>
    <row r="10959">
      <c r="F10959">
        <f>IF(DATOS!$A10959="","",DATOS!$A10959&amp;"|"&amp;DATOS!$D10959&amp;"|"&amp;DATOS!$E10959&amp;"|"&amp;DATOS!$I10959)</f>
      </c>
      <c r="G10959">
        <f>IF(DATOS!$A10959="",0,IF(CONFIG_METADATA!$B$4&lt;&gt;"OR+EX",--(DATOS!$G10959=CONFIG_METADATA!$B$4),IF(DATOS!$G10959="EX",1,IF(DATOS!$G10959="OR",--(COUNTIFS(nNIA,DATOS!$A10959,nCURSO,DATOS!$D10959,nESPEC,DATOS!$E10959,nASIG,DATOS!$I10959,nEVAL,"EX")=0),0))))</f>
      </c>
      <c r="H10959">
        <f>IF(DATOS!$G10959&lt;&gt;"EX",0,--(COUNTIFS(nNIA,DATOS!$A10959,nCURSO,DATOS!$D10959,nESPEC,DATOS!$E10959,nASIG,DATOS!$I10959,nEVAL,"OR")=0))</f>
      </c>
      <c r="I10959">
        <f>IF(DATOS!$I10959="","",IFERROR(VLOOKUP(DATOS!$I10959,CONFIG_ASIGNATURAS!$B$2:$J$91,9,FALSE()),""))</f>
      </c>
    </row>
    <row r="10960">
      <c r="F10960">
        <f>IF(DATOS!$A10960="","",DATOS!$A10960&amp;"|"&amp;DATOS!$D10960&amp;"|"&amp;DATOS!$E10960&amp;"|"&amp;DATOS!$I10960)</f>
      </c>
      <c r="G10960">
        <f>IF(DATOS!$A10960="",0,IF(CONFIG_METADATA!$B$4&lt;&gt;"OR+EX",--(DATOS!$G10960=CONFIG_METADATA!$B$4),IF(DATOS!$G10960="EX",1,IF(DATOS!$G10960="OR",--(COUNTIFS(nNIA,DATOS!$A10960,nCURSO,DATOS!$D10960,nESPEC,DATOS!$E10960,nASIG,DATOS!$I10960,nEVAL,"EX")=0),0))))</f>
      </c>
      <c r="H10960">
        <f>IF(DATOS!$G10960&lt;&gt;"EX",0,--(COUNTIFS(nNIA,DATOS!$A10960,nCURSO,DATOS!$D10960,nESPEC,DATOS!$E10960,nASIG,DATOS!$I10960,nEVAL,"OR")=0))</f>
      </c>
      <c r="I10960">
        <f>IF(DATOS!$I10960="","",IFERROR(VLOOKUP(DATOS!$I10960,CONFIG_ASIGNATURAS!$B$2:$J$91,9,FALSE()),""))</f>
      </c>
    </row>
    <row r="10961">
      <c r="F10961">
        <f>IF(DATOS!$A10961="","",DATOS!$A10961&amp;"|"&amp;DATOS!$D10961&amp;"|"&amp;DATOS!$E10961&amp;"|"&amp;DATOS!$I10961)</f>
      </c>
      <c r="G10961">
        <f>IF(DATOS!$A10961="",0,IF(CONFIG_METADATA!$B$4&lt;&gt;"OR+EX",--(DATOS!$G10961=CONFIG_METADATA!$B$4),IF(DATOS!$G10961="EX",1,IF(DATOS!$G10961="OR",--(COUNTIFS(nNIA,DATOS!$A10961,nCURSO,DATOS!$D10961,nESPEC,DATOS!$E10961,nASIG,DATOS!$I10961,nEVAL,"EX")=0),0))))</f>
      </c>
      <c r="H10961">
        <f>IF(DATOS!$G10961&lt;&gt;"EX",0,--(COUNTIFS(nNIA,DATOS!$A10961,nCURSO,DATOS!$D10961,nESPEC,DATOS!$E10961,nASIG,DATOS!$I10961,nEVAL,"OR")=0))</f>
      </c>
      <c r="I10961">
        <f>IF(DATOS!$I10961="","",IFERROR(VLOOKUP(DATOS!$I10961,CONFIG_ASIGNATURAS!$B$2:$J$91,9,FALSE()),""))</f>
      </c>
    </row>
    <row r="10962">
      <c r="F10962">
        <f>IF(DATOS!$A10962="","",DATOS!$A10962&amp;"|"&amp;DATOS!$D10962&amp;"|"&amp;DATOS!$E10962&amp;"|"&amp;DATOS!$I10962)</f>
      </c>
      <c r="G10962">
        <f>IF(DATOS!$A10962="",0,IF(CONFIG_METADATA!$B$4&lt;&gt;"OR+EX",--(DATOS!$G10962=CONFIG_METADATA!$B$4),IF(DATOS!$G10962="EX",1,IF(DATOS!$G10962="OR",--(COUNTIFS(nNIA,DATOS!$A10962,nCURSO,DATOS!$D10962,nESPEC,DATOS!$E10962,nASIG,DATOS!$I10962,nEVAL,"EX")=0),0))))</f>
      </c>
      <c r="H10962">
        <f>IF(DATOS!$G10962&lt;&gt;"EX",0,--(COUNTIFS(nNIA,DATOS!$A10962,nCURSO,DATOS!$D10962,nESPEC,DATOS!$E10962,nASIG,DATOS!$I10962,nEVAL,"OR")=0))</f>
      </c>
      <c r="I10962">
        <f>IF(DATOS!$I10962="","",IFERROR(VLOOKUP(DATOS!$I10962,CONFIG_ASIGNATURAS!$B$2:$J$91,9,FALSE()),""))</f>
      </c>
    </row>
    <row r="10963">
      <c r="F10963">
        <f>IF(DATOS!$A10963="","",DATOS!$A10963&amp;"|"&amp;DATOS!$D10963&amp;"|"&amp;DATOS!$E10963&amp;"|"&amp;DATOS!$I10963)</f>
      </c>
      <c r="G10963">
        <f>IF(DATOS!$A10963="",0,IF(CONFIG_METADATA!$B$4&lt;&gt;"OR+EX",--(DATOS!$G10963=CONFIG_METADATA!$B$4),IF(DATOS!$G10963="EX",1,IF(DATOS!$G10963="OR",--(COUNTIFS(nNIA,DATOS!$A10963,nCURSO,DATOS!$D10963,nESPEC,DATOS!$E10963,nASIG,DATOS!$I10963,nEVAL,"EX")=0),0))))</f>
      </c>
      <c r="H10963">
        <f>IF(DATOS!$G10963&lt;&gt;"EX",0,--(COUNTIFS(nNIA,DATOS!$A10963,nCURSO,DATOS!$D10963,nESPEC,DATOS!$E10963,nASIG,DATOS!$I10963,nEVAL,"OR")=0))</f>
      </c>
      <c r="I10963">
        <f>IF(DATOS!$I10963="","",IFERROR(VLOOKUP(DATOS!$I10963,CONFIG_ASIGNATURAS!$B$2:$J$91,9,FALSE()),""))</f>
      </c>
    </row>
    <row r="10964">
      <c r="F10964">
        <f>IF(DATOS!$A10964="","",DATOS!$A10964&amp;"|"&amp;DATOS!$D10964&amp;"|"&amp;DATOS!$E10964&amp;"|"&amp;DATOS!$I10964)</f>
      </c>
      <c r="G10964">
        <f>IF(DATOS!$A10964="",0,IF(CONFIG_METADATA!$B$4&lt;&gt;"OR+EX",--(DATOS!$G10964=CONFIG_METADATA!$B$4),IF(DATOS!$G10964="EX",1,IF(DATOS!$G10964="OR",--(COUNTIFS(nNIA,DATOS!$A10964,nCURSO,DATOS!$D10964,nESPEC,DATOS!$E10964,nASIG,DATOS!$I10964,nEVAL,"EX")=0),0))))</f>
      </c>
      <c r="H10964">
        <f>IF(DATOS!$G10964&lt;&gt;"EX",0,--(COUNTIFS(nNIA,DATOS!$A10964,nCURSO,DATOS!$D10964,nESPEC,DATOS!$E10964,nASIG,DATOS!$I10964,nEVAL,"OR")=0))</f>
      </c>
      <c r="I10964">
        <f>IF(DATOS!$I10964="","",IFERROR(VLOOKUP(DATOS!$I10964,CONFIG_ASIGNATURAS!$B$2:$J$91,9,FALSE()),""))</f>
      </c>
    </row>
    <row r="10965">
      <c r="F10965">
        <f>IF(DATOS!$A10965="","",DATOS!$A10965&amp;"|"&amp;DATOS!$D10965&amp;"|"&amp;DATOS!$E10965&amp;"|"&amp;DATOS!$I10965)</f>
      </c>
      <c r="G10965">
        <f>IF(DATOS!$A10965="",0,IF(CONFIG_METADATA!$B$4&lt;&gt;"OR+EX",--(DATOS!$G10965=CONFIG_METADATA!$B$4),IF(DATOS!$G10965="EX",1,IF(DATOS!$G10965="OR",--(COUNTIFS(nNIA,DATOS!$A10965,nCURSO,DATOS!$D10965,nESPEC,DATOS!$E10965,nASIG,DATOS!$I10965,nEVAL,"EX")=0),0))))</f>
      </c>
      <c r="H10965">
        <f>IF(DATOS!$G10965&lt;&gt;"EX",0,--(COUNTIFS(nNIA,DATOS!$A10965,nCURSO,DATOS!$D10965,nESPEC,DATOS!$E10965,nASIG,DATOS!$I10965,nEVAL,"OR")=0))</f>
      </c>
      <c r="I10965">
        <f>IF(DATOS!$I10965="","",IFERROR(VLOOKUP(DATOS!$I10965,CONFIG_ASIGNATURAS!$B$2:$J$91,9,FALSE()),""))</f>
      </c>
    </row>
    <row r="10966">
      <c r="F10966">
        <f>IF(DATOS!$A10966="","",DATOS!$A10966&amp;"|"&amp;DATOS!$D10966&amp;"|"&amp;DATOS!$E10966&amp;"|"&amp;DATOS!$I10966)</f>
      </c>
      <c r="G10966">
        <f>IF(DATOS!$A10966="",0,IF(CONFIG_METADATA!$B$4&lt;&gt;"OR+EX",--(DATOS!$G10966=CONFIG_METADATA!$B$4),IF(DATOS!$G10966="EX",1,IF(DATOS!$G10966="OR",--(COUNTIFS(nNIA,DATOS!$A10966,nCURSO,DATOS!$D10966,nESPEC,DATOS!$E10966,nASIG,DATOS!$I10966,nEVAL,"EX")=0),0))))</f>
      </c>
      <c r="H10966">
        <f>IF(DATOS!$G10966&lt;&gt;"EX",0,--(COUNTIFS(nNIA,DATOS!$A10966,nCURSO,DATOS!$D10966,nESPEC,DATOS!$E10966,nASIG,DATOS!$I10966,nEVAL,"OR")=0))</f>
      </c>
      <c r="I10966">
        <f>IF(DATOS!$I10966="","",IFERROR(VLOOKUP(DATOS!$I10966,CONFIG_ASIGNATURAS!$B$2:$J$91,9,FALSE()),""))</f>
      </c>
    </row>
    <row r="10967">
      <c r="F10967">
        <f>IF(DATOS!$A10967="","",DATOS!$A10967&amp;"|"&amp;DATOS!$D10967&amp;"|"&amp;DATOS!$E10967&amp;"|"&amp;DATOS!$I10967)</f>
      </c>
      <c r="G10967">
        <f>IF(DATOS!$A10967="",0,IF(CONFIG_METADATA!$B$4&lt;&gt;"OR+EX",--(DATOS!$G10967=CONFIG_METADATA!$B$4),IF(DATOS!$G10967="EX",1,IF(DATOS!$G10967="OR",--(COUNTIFS(nNIA,DATOS!$A10967,nCURSO,DATOS!$D10967,nESPEC,DATOS!$E10967,nASIG,DATOS!$I10967,nEVAL,"EX")=0),0))))</f>
      </c>
      <c r="H10967">
        <f>IF(DATOS!$G10967&lt;&gt;"EX",0,--(COUNTIFS(nNIA,DATOS!$A10967,nCURSO,DATOS!$D10967,nESPEC,DATOS!$E10967,nASIG,DATOS!$I10967,nEVAL,"OR")=0))</f>
      </c>
      <c r="I10967">
        <f>IF(DATOS!$I10967="","",IFERROR(VLOOKUP(DATOS!$I10967,CONFIG_ASIGNATURAS!$B$2:$J$91,9,FALSE()),""))</f>
      </c>
    </row>
    <row r="10968">
      <c r="F10968">
        <f>IF(DATOS!$A10968="","",DATOS!$A10968&amp;"|"&amp;DATOS!$D10968&amp;"|"&amp;DATOS!$E10968&amp;"|"&amp;DATOS!$I10968)</f>
      </c>
      <c r="G10968">
        <f>IF(DATOS!$A10968="",0,IF(CONFIG_METADATA!$B$4&lt;&gt;"OR+EX",--(DATOS!$G10968=CONFIG_METADATA!$B$4),IF(DATOS!$G10968="EX",1,IF(DATOS!$G10968="OR",--(COUNTIFS(nNIA,DATOS!$A10968,nCURSO,DATOS!$D10968,nESPEC,DATOS!$E10968,nASIG,DATOS!$I10968,nEVAL,"EX")=0),0))))</f>
      </c>
      <c r="H10968">
        <f>IF(DATOS!$G10968&lt;&gt;"EX",0,--(COUNTIFS(nNIA,DATOS!$A10968,nCURSO,DATOS!$D10968,nESPEC,DATOS!$E10968,nASIG,DATOS!$I10968,nEVAL,"OR")=0))</f>
      </c>
      <c r="I10968">
        <f>IF(DATOS!$I10968="","",IFERROR(VLOOKUP(DATOS!$I10968,CONFIG_ASIGNATURAS!$B$2:$J$91,9,FALSE()),""))</f>
      </c>
    </row>
    <row r="10969">
      <c r="F10969">
        <f>IF(DATOS!$A10969="","",DATOS!$A10969&amp;"|"&amp;DATOS!$D10969&amp;"|"&amp;DATOS!$E10969&amp;"|"&amp;DATOS!$I10969)</f>
      </c>
      <c r="G10969">
        <f>IF(DATOS!$A10969="",0,IF(CONFIG_METADATA!$B$4&lt;&gt;"OR+EX",--(DATOS!$G10969=CONFIG_METADATA!$B$4),IF(DATOS!$G10969="EX",1,IF(DATOS!$G10969="OR",--(COUNTIFS(nNIA,DATOS!$A10969,nCURSO,DATOS!$D10969,nESPEC,DATOS!$E10969,nASIG,DATOS!$I10969,nEVAL,"EX")=0),0))))</f>
      </c>
      <c r="H10969">
        <f>IF(DATOS!$G10969&lt;&gt;"EX",0,--(COUNTIFS(nNIA,DATOS!$A10969,nCURSO,DATOS!$D10969,nESPEC,DATOS!$E10969,nASIG,DATOS!$I10969,nEVAL,"OR")=0))</f>
      </c>
      <c r="I10969">
        <f>IF(DATOS!$I10969="","",IFERROR(VLOOKUP(DATOS!$I10969,CONFIG_ASIGNATURAS!$B$2:$J$91,9,FALSE()),""))</f>
      </c>
    </row>
    <row r="10970">
      <c r="F10970">
        <f>IF(DATOS!$A10970="","",DATOS!$A10970&amp;"|"&amp;DATOS!$D10970&amp;"|"&amp;DATOS!$E10970&amp;"|"&amp;DATOS!$I10970)</f>
      </c>
      <c r="G10970">
        <f>IF(DATOS!$A10970="",0,IF(CONFIG_METADATA!$B$4&lt;&gt;"OR+EX",--(DATOS!$G10970=CONFIG_METADATA!$B$4),IF(DATOS!$G10970="EX",1,IF(DATOS!$G10970="OR",--(COUNTIFS(nNIA,DATOS!$A10970,nCURSO,DATOS!$D10970,nESPEC,DATOS!$E10970,nASIG,DATOS!$I10970,nEVAL,"EX")=0),0))))</f>
      </c>
      <c r="H10970">
        <f>IF(DATOS!$G10970&lt;&gt;"EX",0,--(COUNTIFS(nNIA,DATOS!$A10970,nCURSO,DATOS!$D10970,nESPEC,DATOS!$E10970,nASIG,DATOS!$I10970,nEVAL,"OR")=0))</f>
      </c>
      <c r="I10970">
        <f>IF(DATOS!$I10970="","",IFERROR(VLOOKUP(DATOS!$I10970,CONFIG_ASIGNATURAS!$B$2:$J$91,9,FALSE()),""))</f>
      </c>
    </row>
    <row r="10971">
      <c r="F10971">
        <f>IF(DATOS!$A10971="","",DATOS!$A10971&amp;"|"&amp;DATOS!$D10971&amp;"|"&amp;DATOS!$E10971&amp;"|"&amp;DATOS!$I10971)</f>
      </c>
      <c r="G10971">
        <f>IF(DATOS!$A10971="",0,IF(CONFIG_METADATA!$B$4&lt;&gt;"OR+EX",--(DATOS!$G10971=CONFIG_METADATA!$B$4),IF(DATOS!$G10971="EX",1,IF(DATOS!$G10971="OR",--(COUNTIFS(nNIA,DATOS!$A10971,nCURSO,DATOS!$D10971,nESPEC,DATOS!$E10971,nASIG,DATOS!$I10971,nEVAL,"EX")=0),0))))</f>
      </c>
      <c r="H10971">
        <f>IF(DATOS!$G10971&lt;&gt;"EX",0,--(COUNTIFS(nNIA,DATOS!$A10971,nCURSO,DATOS!$D10971,nESPEC,DATOS!$E10971,nASIG,DATOS!$I10971,nEVAL,"OR")=0))</f>
      </c>
      <c r="I10971">
        <f>IF(DATOS!$I10971="","",IFERROR(VLOOKUP(DATOS!$I10971,CONFIG_ASIGNATURAS!$B$2:$J$91,9,FALSE()),""))</f>
      </c>
    </row>
    <row r="10972">
      <c r="F10972">
        <f>IF(DATOS!$A10972="","",DATOS!$A10972&amp;"|"&amp;DATOS!$D10972&amp;"|"&amp;DATOS!$E10972&amp;"|"&amp;DATOS!$I10972)</f>
      </c>
      <c r="G10972">
        <f>IF(DATOS!$A10972="",0,IF(CONFIG_METADATA!$B$4&lt;&gt;"OR+EX",--(DATOS!$G10972=CONFIG_METADATA!$B$4),IF(DATOS!$G10972="EX",1,IF(DATOS!$G10972="OR",--(COUNTIFS(nNIA,DATOS!$A10972,nCURSO,DATOS!$D10972,nESPEC,DATOS!$E10972,nASIG,DATOS!$I10972,nEVAL,"EX")=0),0))))</f>
      </c>
      <c r="H10972">
        <f>IF(DATOS!$G10972&lt;&gt;"EX",0,--(COUNTIFS(nNIA,DATOS!$A10972,nCURSO,DATOS!$D10972,nESPEC,DATOS!$E10972,nASIG,DATOS!$I10972,nEVAL,"OR")=0))</f>
      </c>
      <c r="I10972">
        <f>IF(DATOS!$I10972="","",IFERROR(VLOOKUP(DATOS!$I10972,CONFIG_ASIGNATURAS!$B$2:$J$91,9,FALSE()),""))</f>
      </c>
    </row>
    <row r="10973">
      <c r="F10973">
        <f>IF(DATOS!$A10973="","",DATOS!$A10973&amp;"|"&amp;DATOS!$D10973&amp;"|"&amp;DATOS!$E10973&amp;"|"&amp;DATOS!$I10973)</f>
      </c>
      <c r="G10973">
        <f>IF(DATOS!$A10973="",0,IF(CONFIG_METADATA!$B$4&lt;&gt;"OR+EX",--(DATOS!$G10973=CONFIG_METADATA!$B$4),IF(DATOS!$G10973="EX",1,IF(DATOS!$G10973="OR",--(COUNTIFS(nNIA,DATOS!$A10973,nCURSO,DATOS!$D10973,nESPEC,DATOS!$E10973,nASIG,DATOS!$I10973,nEVAL,"EX")=0),0))))</f>
      </c>
      <c r="H10973">
        <f>IF(DATOS!$G10973&lt;&gt;"EX",0,--(COUNTIFS(nNIA,DATOS!$A10973,nCURSO,DATOS!$D10973,nESPEC,DATOS!$E10973,nASIG,DATOS!$I10973,nEVAL,"OR")=0))</f>
      </c>
      <c r="I10973">
        <f>IF(DATOS!$I10973="","",IFERROR(VLOOKUP(DATOS!$I10973,CONFIG_ASIGNATURAS!$B$2:$J$91,9,FALSE()),""))</f>
      </c>
    </row>
    <row r="10974">
      <c r="F10974">
        <f>IF(DATOS!$A10974="","",DATOS!$A10974&amp;"|"&amp;DATOS!$D10974&amp;"|"&amp;DATOS!$E10974&amp;"|"&amp;DATOS!$I10974)</f>
      </c>
      <c r="G10974">
        <f>IF(DATOS!$A10974="",0,IF(CONFIG_METADATA!$B$4&lt;&gt;"OR+EX",--(DATOS!$G10974=CONFIG_METADATA!$B$4),IF(DATOS!$G10974="EX",1,IF(DATOS!$G10974="OR",--(COUNTIFS(nNIA,DATOS!$A10974,nCURSO,DATOS!$D10974,nESPEC,DATOS!$E10974,nASIG,DATOS!$I10974,nEVAL,"EX")=0),0))))</f>
      </c>
      <c r="H10974">
        <f>IF(DATOS!$G10974&lt;&gt;"EX",0,--(COUNTIFS(nNIA,DATOS!$A10974,nCURSO,DATOS!$D10974,nESPEC,DATOS!$E10974,nASIG,DATOS!$I10974,nEVAL,"OR")=0))</f>
      </c>
      <c r="I10974">
        <f>IF(DATOS!$I10974="","",IFERROR(VLOOKUP(DATOS!$I10974,CONFIG_ASIGNATURAS!$B$2:$J$91,9,FALSE()),""))</f>
      </c>
    </row>
    <row r="10975">
      <c r="F10975">
        <f>IF(DATOS!$A10975="","",DATOS!$A10975&amp;"|"&amp;DATOS!$D10975&amp;"|"&amp;DATOS!$E10975&amp;"|"&amp;DATOS!$I10975)</f>
      </c>
      <c r="G10975">
        <f>IF(DATOS!$A10975="",0,IF(CONFIG_METADATA!$B$4&lt;&gt;"OR+EX",--(DATOS!$G10975=CONFIG_METADATA!$B$4),IF(DATOS!$G10975="EX",1,IF(DATOS!$G10975="OR",--(COUNTIFS(nNIA,DATOS!$A10975,nCURSO,DATOS!$D10975,nESPEC,DATOS!$E10975,nASIG,DATOS!$I10975,nEVAL,"EX")=0),0))))</f>
      </c>
      <c r="H10975">
        <f>IF(DATOS!$G10975&lt;&gt;"EX",0,--(COUNTIFS(nNIA,DATOS!$A10975,nCURSO,DATOS!$D10975,nESPEC,DATOS!$E10975,nASIG,DATOS!$I10975,nEVAL,"OR")=0))</f>
      </c>
      <c r="I10975">
        <f>IF(DATOS!$I10975="","",IFERROR(VLOOKUP(DATOS!$I10975,CONFIG_ASIGNATURAS!$B$2:$J$91,9,FALSE()),""))</f>
      </c>
    </row>
    <row r="10976">
      <c r="F10976">
        <f>IF(DATOS!$A10976="","",DATOS!$A10976&amp;"|"&amp;DATOS!$D10976&amp;"|"&amp;DATOS!$E10976&amp;"|"&amp;DATOS!$I10976)</f>
      </c>
      <c r="G10976">
        <f>IF(DATOS!$A10976="",0,IF(CONFIG_METADATA!$B$4&lt;&gt;"OR+EX",--(DATOS!$G10976=CONFIG_METADATA!$B$4),IF(DATOS!$G10976="EX",1,IF(DATOS!$G10976="OR",--(COUNTIFS(nNIA,DATOS!$A10976,nCURSO,DATOS!$D10976,nESPEC,DATOS!$E10976,nASIG,DATOS!$I10976,nEVAL,"EX")=0),0))))</f>
      </c>
      <c r="H10976">
        <f>IF(DATOS!$G10976&lt;&gt;"EX",0,--(COUNTIFS(nNIA,DATOS!$A10976,nCURSO,DATOS!$D10976,nESPEC,DATOS!$E10976,nASIG,DATOS!$I10976,nEVAL,"OR")=0))</f>
      </c>
      <c r="I10976">
        <f>IF(DATOS!$I10976="","",IFERROR(VLOOKUP(DATOS!$I10976,CONFIG_ASIGNATURAS!$B$2:$J$91,9,FALSE()),""))</f>
      </c>
    </row>
    <row r="10977">
      <c r="F10977">
        <f>IF(DATOS!$A10977="","",DATOS!$A10977&amp;"|"&amp;DATOS!$D10977&amp;"|"&amp;DATOS!$E10977&amp;"|"&amp;DATOS!$I10977)</f>
      </c>
      <c r="G10977">
        <f>IF(DATOS!$A10977="",0,IF(CONFIG_METADATA!$B$4&lt;&gt;"OR+EX",--(DATOS!$G10977=CONFIG_METADATA!$B$4),IF(DATOS!$G10977="EX",1,IF(DATOS!$G10977="OR",--(COUNTIFS(nNIA,DATOS!$A10977,nCURSO,DATOS!$D10977,nESPEC,DATOS!$E10977,nASIG,DATOS!$I10977,nEVAL,"EX")=0),0))))</f>
      </c>
      <c r="H10977">
        <f>IF(DATOS!$G10977&lt;&gt;"EX",0,--(COUNTIFS(nNIA,DATOS!$A10977,nCURSO,DATOS!$D10977,nESPEC,DATOS!$E10977,nASIG,DATOS!$I10977,nEVAL,"OR")=0))</f>
      </c>
      <c r="I10977">
        <f>IF(DATOS!$I10977="","",IFERROR(VLOOKUP(DATOS!$I10977,CONFIG_ASIGNATURAS!$B$2:$J$91,9,FALSE()),""))</f>
      </c>
    </row>
    <row r="10978">
      <c r="F10978">
        <f>IF(DATOS!$A10978="","",DATOS!$A10978&amp;"|"&amp;DATOS!$D10978&amp;"|"&amp;DATOS!$E10978&amp;"|"&amp;DATOS!$I10978)</f>
      </c>
      <c r="G10978">
        <f>IF(DATOS!$A10978="",0,IF(CONFIG_METADATA!$B$4&lt;&gt;"OR+EX",--(DATOS!$G10978=CONFIG_METADATA!$B$4),IF(DATOS!$G10978="EX",1,IF(DATOS!$G10978="OR",--(COUNTIFS(nNIA,DATOS!$A10978,nCURSO,DATOS!$D10978,nESPEC,DATOS!$E10978,nASIG,DATOS!$I10978,nEVAL,"EX")=0),0))))</f>
      </c>
      <c r="H10978">
        <f>IF(DATOS!$G10978&lt;&gt;"EX",0,--(COUNTIFS(nNIA,DATOS!$A10978,nCURSO,DATOS!$D10978,nESPEC,DATOS!$E10978,nASIG,DATOS!$I10978,nEVAL,"OR")=0))</f>
      </c>
      <c r="I10978">
        <f>IF(DATOS!$I10978="","",IFERROR(VLOOKUP(DATOS!$I10978,CONFIG_ASIGNATURAS!$B$2:$J$91,9,FALSE()),""))</f>
      </c>
    </row>
    <row r="10979">
      <c r="F10979">
        <f>IF(DATOS!$A10979="","",DATOS!$A10979&amp;"|"&amp;DATOS!$D10979&amp;"|"&amp;DATOS!$E10979&amp;"|"&amp;DATOS!$I10979)</f>
      </c>
      <c r="G10979">
        <f>IF(DATOS!$A10979="",0,IF(CONFIG_METADATA!$B$4&lt;&gt;"OR+EX",--(DATOS!$G10979=CONFIG_METADATA!$B$4),IF(DATOS!$G10979="EX",1,IF(DATOS!$G10979="OR",--(COUNTIFS(nNIA,DATOS!$A10979,nCURSO,DATOS!$D10979,nESPEC,DATOS!$E10979,nASIG,DATOS!$I10979,nEVAL,"EX")=0),0))))</f>
      </c>
      <c r="H10979">
        <f>IF(DATOS!$G10979&lt;&gt;"EX",0,--(COUNTIFS(nNIA,DATOS!$A10979,nCURSO,DATOS!$D10979,nESPEC,DATOS!$E10979,nASIG,DATOS!$I10979,nEVAL,"OR")=0))</f>
      </c>
      <c r="I10979">
        <f>IF(DATOS!$I10979="","",IFERROR(VLOOKUP(DATOS!$I10979,CONFIG_ASIGNATURAS!$B$2:$J$91,9,FALSE()),""))</f>
      </c>
    </row>
    <row r="10980">
      <c r="F10980">
        <f>IF(DATOS!$A10980="","",DATOS!$A10980&amp;"|"&amp;DATOS!$D10980&amp;"|"&amp;DATOS!$E10980&amp;"|"&amp;DATOS!$I10980)</f>
      </c>
      <c r="G10980">
        <f>IF(DATOS!$A10980="",0,IF(CONFIG_METADATA!$B$4&lt;&gt;"OR+EX",--(DATOS!$G10980=CONFIG_METADATA!$B$4),IF(DATOS!$G10980="EX",1,IF(DATOS!$G10980="OR",--(COUNTIFS(nNIA,DATOS!$A10980,nCURSO,DATOS!$D10980,nESPEC,DATOS!$E10980,nASIG,DATOS!$I10980,nEVAL,"EX")=0),0))))</f>
      </c>
      <c r="H10980">
        <f>IF(DATOS!$G10980&lt;&gt;"EX",0,--(COUNTIFS(nNIA,DATOS!$A10980,nCURSO,DATOS!$D10980,nESPEC,DATOS!$E10980,nASIG,DATOS!$I10980,nEVAL,"OR")=0))</f>
      </c>
      <c r="I10980">
        <f>IF(DATOS!$I10980="","",IFERROR(VLOOKUP(DATOS!$I10980,CONFIG_ASIGNATURAS!$B$2:$J$91,9,FALSE()),""))</f>
      </c>
    </row>
    <row r="10981">
      <c r="F10981">
        <f>IF(DATOS!$A10981="","",DATOS!$A10981&amp;"|"&amp;DATOS!$D10981&amp;"|"&amp;DATOS!$E10981&amp;"|"&amp;DATOS!$I10981)</f>
      </c>
      <c r="G10981">
        <f>IF(DATOS!$A10981="",0,IF(CONFIG_METADATA!$B$4&lt;&gt;"OR+EX",--(DATOS!$G10981=CONFIG_METADATA!$B$4),IF(DATOS!$G10981="EX",1,IF(DATOS!$G10981="OR",--(COUNTIFS(nNIA,DATOS!$A10981,nCURSO,DATOS!$D10981,nESPEC,DATOS!$E10981,nASIG,DATOS!$I10981,nEVAL,"EX")=0),0))))</f>
      </c>
      <c r="H10981">
        <f>IF(DATOS!$G10981&lt;&gt;"EX",0,--(COUNTIFS(nNIA,DATOS!$A10981,nCURSO,DATOS!$D10981,nESPEC,DATOS!$E10981,nASIG,DATOS!$I10981,nEVAL,"OR")=0))</f>
      </c>
      <c r="I10981">
        <f>IF(DATOS!$I10981="","",IFERROR(VLOOKUP(DATOS!$I10981,CONFIG_ASIGNATURAS!$B$2:$J$91,9,FALSE()),""))</f>
      </c>
    </row>
    <row r="10982">
      <c r="F10982">
        <f>IF(DATOS!$A10982="","",DATOS!$A10982&amp;"|"&amp;DATOS!$D10982&amp;"|"&amp;DATOS!$E10982&amp;"|"&amp;DATOS!$I10982)</f>
      </c>
      <c r="G10982">
        <f>IF(DATOS!$A10982="",0,IF(CONFIG_METADATA!$B$4&lt;&gt;"OR+EX",--(DATOS!$G10982=CONFIG_METADATA!$B$4),IF(DATOS!$G10982="EX",1,IF(DATOS!$G10982="OR",--(COUNTIFS(nNIA,DATOS!$A10982,nCURSO,DATOS!$D10982,nESPEC,DATOS!$E10982,nASIG,DATOS!$I10982,nEVAL,"EX")=0),0))))</f>
      </c>
      <c r="H10982">
        <f>IF(DATOS!$G10982&lt;&gt;"EX",0,--(COUNTIFS(nNIA,DATOS!$A10982,nCURSO,DATOS!$D10982,nESPEC,DATOS!$E10982,nASIG,DATOS!$I10982,nEVAL,"OR")=0))</f>
      </c>
      <c r="I10982">
        <f>IF(DATOS!$I10982="","",IFERROR(VLOOKUP(DATOS!$I10982,CONFIG_ASIGNATURAS!$B$2:$J$91,9,FALSE()),""))</f>
      </c>
    </row>
    <row r="10983">
      <c r="F10983">
        <f>IF(DATOS!$A10983="","",DATOS!$A10983&amp;"|"&amp;DATOS!$D10983&amp;"|"&amp;DATOS!$E10983&amp;"|"&amp;DATOS!$I10983)</f>
      </c>
      <c r="G10983">
        <f>IF(DATOS!$A10983="",0,IF(CONFIG_METADATA!$B$4&lt;&gt;"OR+EX",--(DATOS!$G10983=CONFIG_METADATA!$B$4),IF(DATOS!$G10983="EX",1,IF(DATOS!$G10983="OR",--(COUNTIFS(nNIA,DATOS!$A10983,nCURSO,DATOS!$D10983,nESPEC,DATOS!$E10983,nASIG,DATOS!$I10983,nEVAL,"EX")=0),0))))</f>
      </c>
      <c r="H10983">
        <f>IF(DATOS!$G10983&lt;&gt;"EX",0,--(COUNTIFS(nNIA,DATOS!$A10983,nCURSO,DATOS!$D10983,nESPEC,DATOS!$E10983,nASIG,DATOS!$I10983,nEVAL,"OR")=0))</f>
      </c>
      <c r="I10983">
        <f>IF(DATOS!$I10983="","",IFERROR(VLOOKUP(DATOS!$I10983,CONFIG_ASIGNATURAS!$B$2:$J$91,9,FALSE()),""))</f>
      </c>
    </row>
    <row r="10984">
      <c r="F10984">
        <f>IF(DATOS!$A10984="","",DATOS!$A10984&amp;"|"&amp;DATOS!$D10984&amp;"|"&amp;DATOS!$E10984&amp;"|"&amp;DATOS!$I10984)</f>
      </c>
      <c r="G10984">
        <f>IF(DATOS!$A10984="",0,IF(CONFIG_METADATA!$B$4&lt;&gt;"OR+EX",--(DATOS!$G10984=CONFIG_METADATA!$B$4),IF(DATOS!$G10984="EX",1,IF(DATOS!$G10984="OR",--(COUNTIFS(nNIA,DATOS!$A10984,nCURSO,DATOS!$D10984,nESPEC,DATOS!$E10984,nASIG,DATOS!$I10984,nEVAL,"EX")=0),0))))</f>
      </c>
      <c r="H10984">
        <f>IF(DATOS!$G10984&lt;&gt;"EX",0,--(COUNTIFS(nNIA,DATOS!$A10984,nCURSO,DATOS!$D10984,nESPEC,DATOS!$E10984,nASIG,DATOS!$I10984,nEVAL,"OR")=0))</f>
      </c>
      <c r="I10984">
        <f>IF(DATOS!$I10984="","",IFERROR(VLOOKUP(DATOS!$I10984,CONFIG_ASIGNATURAS!$B$2:$J$91,9,FALSE()),""))</f>
      </c>
    </row>
    <row r="10985">
      <c r="F10985">
        <f>IF(DATOS!$A10985="","",DATOS!$A10985&amp;"|"&amp;DATOS!$D10985&amp;"|"&amp;DATOS!$E10985&amp;"|"&amp;DATOS!$I10985)</f>
      </c>
      <c r="G10985">
        <f>IF(DATOS!$A10985="",0,IF(CONFIG_METADATA!$B$4&lt;&gt;"OR+EX",--(DATOS!$G10985=CONFIG_METADATA!$B$4),IF(DATOS!$G10985="EX",1,IF(DATOS!$G10985="OR",--(COUNTIFS(nNIA,DATOS!$A10985,nCURSO,DATOS!$D10985,nESPEC,DATOS!$E10985,nASIG,DATOS!$I10985,nEVAL,"EX")=0),0))))</f>
      </c>
      <c r="H10985">
        <f>IF(DATOS!$G10985&lt;&gt;"EX",0,--(COUNTIFS(nNIA,DATOS!$A10985,nCURSO,DATOS!$D10985,nESPEC,DATOS!$E10985,nASIG,DATOS!$I10985,nEVAL,"OR")=0))</f>
      </c>
      <c r="I10985">
        <f>IF(DATOS!$I10985="","",IFERROR(VLOOKUP(DATOS!$I10985,CONFIG_ASIGNATURAS!$B$2:$J$91,9,FALSE()),""))</f>
      </c>
    </row>
    <row r="10986">
      <c r="F10986">
        <f>IF(DATOS!$A10986="","",DATOS!$A10986&amp;"|"&amp;DATOS!$D10986&amp;"|"&amp;DATOS!$E10986&amp;"|"&amp;DATOS!$I10986)</f>
      </c>
      <c r="G10986">
        <f>IF(DATOS!$A10986="",0,IF(CONFIG_METADATA!$B$4&lt;&gt;"OR+EX",--(DATOS!$G10986=CONFIG_METADATA!$B$4),IF(DATOS!$G10986="EX",1,IF(DATOS!$G10986="OR",--(COUNTIFS(nNIA,DATOS!$A10986,nCURSO,DATOS!$D10986,nESPEC,DATOS!$E10986,nASIG,DATOS!$I10986,nEVAL,"EX")=0),0))))</f>
      </c>
      <c r="H10986">
        <f>IF(DATOS!$G10986&lt;&gt;"EX",0,--(COUNTIFS(nNIA,DATOS!$A10986,nCURSO,DATOS!$D10986,nESPEC,DATOS!$E10986,nASIG,DATOS!$I10986,nEVAL,"OR")=0))</f>
      </c>
      <c r="I10986">
        <f>IF(DATOS!$I10986="","",IFERROR(VLOOKUP(DATOS!$I10986,CONFIG_ASIGNATURAS!$B$2:$J$91,9,FALSE()),""))</f>
      </c>
    </row>
    <row r="10987">
      <c r="F10987">
        <f>IF(DATOS!$A10987="","",DATOS!$A10987&amp;"|"&amp;DATOS!$D10987&amp;"|"&amp;DATOS!$E10987&amp;"|"&amp;DATOS!$I10987)</f>
      </c>
      <c r="G10987">
        <f>IF(DATOS!$A10987="",0,IF(CONFIG_METADATA!$B$4&lt;&gt;"OR+EX",--(DATOS!$G10987=CONFIG_METADATA!$B$4),IF(DATOS!$G10987="EX",1,IF(DATOS!$G10987="OR",--(COUNTIFS(nNIA,DATOS!$A10987,nCURSO,DATOS!$D10987,nESPEC,DATOS!$E10987,nASIG,DATOS!$I10987,nEVAL,"EX")=0),0))))</f>
      </c>
      <c r="H10987">
        <f>IF(DATOS!$G10987&lt;&gt;"EX",0,--(COUNTIFS(nNIA,DATOS!$A10987,nCURSO,DATOS!$D10987,nESPEC,DATOS!$E10987,nASIG,DATOS!$I10987,nEVAL,"OR")=0))</f>
      </c>
      <c r="I10987">
        <f>IF(DATOS!$I10987="","",IFERROR(VLOOKUP(DATOS!$I10987,CONFIG_ASIGNATURAS!$B$2:$J$91,9,FALSE()),""))</f>
      </c>
    </row>
    <row r="10988">
      <c r="F10988">
        <f>IF(DATOS!$A10988="","",DATOS!$A10988&amp;"|"&amp;DATOS!$D10988&amp;"|"&amp;DATOS!$E10988&amp;"|"&amp;DATOS!$I10988)</f>
      </c>
      <c r="G10988">
        <f>IF(DATOS!$A10988="",0,IF(CONFIG_METADATA!$B$4&lt;&gt;"OR+EX",--(DATOS!$G10988=CONFIG_METADATA!$B$4),IF(DATOS!$G10988="EX",1,IF(DATOS!$G10988="OR",--(COUNTIFS(nNIA,DATOS!$A10988,nCURSO,DATOS!$D10988,nESPEC,DATOS!$E10988,nASIG,DATOS!$I10988,nEVAL,"EX")=0),0))))</f>
      </c>
      <c r="H10988">
        <f>IF(DATOS!$G10988&lt;&gt;"EX",0,--(COUNTIFS(nNIA,DATOS!$A10988,nCURSO,DATOS!$D10988,nESPEC,DATOS!$E10988,nASIG,DATOS!$I10988,nEVAL,"OR")=0))</f>
      </c>
      <c r="I10988">
        <f>IF(DATOS!$I10988="","",IFERROR(VLOOKUP(DATOS!$I10988,CONFIG_ASIGNATURAS!$B$2:$J$91,9,FALSE()),""))</f>
      </c>
    </row>
    <row r="10989">
      <c r="F10989">
        <f>IF(DATOS!$A10989="","",DATOS!$A10989&amp;"|"&amp;DATOS!$D10989&amp;"|"&amp;DATOS!$E10989&amp;"|"&amp;DATOS!$I10989)</f>
      </c>
      <c r="G10989">
        <f>IF(DATOS!$A10989="",0,IF(CONFIG_METADATA!$B$4&lt;&gt;"OR+EX",--(DATOS!$G10989=CONFIG_METADATA!$B$4),IF(DATOS!$G10989="EX",1,IF(DATOS!$G10989="OR",--(COUNTIFS(nNIA,DATOS!$A10989,nCURSO,DATOS!$D10989,nESPEC,DATOS!$E10989,nASIG,DATOS!$I10989,nEVAL,"EX")=0),0))))</f>
      </c>
      <c r="H10989">
        <f>IF(DATOS!$G10989&lt;&gt;"EX",0,--(COUNTIFS(nNIA,DATOS!$A10989,nCURSO,DATOS!$D10989,nESPEC,DATOS!$E10989,nASIG,DATOS!$I10989,nEVAL,"OR")=0))</f>
      </c>
      <c r="I10989">
        <f>IF(DATOS!$I10989="","",IFERROR(VLOOKUP(DATOS!$I10989,CONFIG_ASIGNATURAS!$B$2:$J$91,9,FALSE()),""))</f>
      </c>
    </row>
    <row r="10990">
      <c r="F10990">
        <f>IF(DATOS!$A10990="","",DATOS!$A10990&amp;"|"&amp;DATOS!$D10990&amp;"|"&amp;DATOS!$E10990&amp;"|"&amp;DATOS!$I10990)</f>
      </c>
      <c r="G10990">
        <f>IF(DATOS!$A10990="",0,IF(CONFIG_METADATA!$B$4&lt;&gt;"OR+EX",--(DATOS!$G10990=CONFIG_METADATA!$B$4),IF(DATOS!$G10990="EX",1,IF(DATOS!$G10990="OR",--(COUNTIFS(nNIA,DATOS!$A10990,nCURSO,DATOS!$D10990,nESPEC,DATOS!$E10990,nASIG,DATOS!$I10990,nEVAL,"EX")=0),0))))</f>
      </c>
      <c r="H10990">
        <f>IF(DATOS!$G10990&lt;&gt;"EX",0,--(COUNTIFS(nNIA,DATOS!$A10990,nCURSO,DATOS!$D10990,nESPEC,DATOS!$E10990,nASIG,DATOS!$I10990,nEVAL,"OR")=0))</f>
      </c>
      <c r="I10990">
        <f>IF(DATOS!$I10990="","",IFERROR(VLOOKUP(DATOS!$I10990,CONFIG_ASIGNATURAS!$B$2:$J$91,9,FALSE()),""))</f>
      </c>
    </row>
    <row r="10991">
      <c r="F10991">
        <f>IF(DATOS!$A10991="","",DATOS!$A10991&amp;"|"&amp;DATOS!$D10991&amp;"|"&amp;DATOS!$E10991&amp;"|"&amp;DATOS!$I10991)</f>
      </c>
      <c r="G10991">
        <f>IF(DATOS!$A10991="",0,IF(CONFIG_METADATA!$B$4&lt;&gt;"OR+EX",--(DATOS!$G10991=CONFIG_METADATA!$B$4),IF(DATOS!$G10991="EX",1,IF(DATOS!$G10991="OR",--(COUNTIFS(nNIA,DATOS!$A10991,nCURSO,DATOS!$D10991,nESPEC,DATOS!$E10991,nASIG,DATOS!$I10991,nEVAL,"EX")=0),0))))</f>
      </c>
      <c r="H10991">
        <f>IF(DATOS!$G10991&lt;&gt;"EX",0,--(COUNTIFS(nNIA,DATOS!$A10991,nCURSO,DATOS!$D10991,nESPEC,DATOS!$E10991,nASIG,DATOS!$I10991,nEVAL,"OR")=0))</f>
      </c>
      <c r="I10991">
        <f>IF(DATOS!$I10991="","",IFERROR(VLOOKUP(DATOS!$I10991,CONFIG_ASIGNATURAS!$B$2:$J$91,9,FALSE()),""))</f>
      </c>
    </row>
    <row r="10992">
      <c r="F10992">
        <f>IF(DATOS!$A10992="","",DATOS!$A10992&amp;"|"&amp;DATOS!$D10992&amp;"|"&amp;DATOS!$E10992&amp;"|"&amp;DATOS!$I10992)</f>
      </c>
      <c r="G10992">
        <f>IF(DATOS!$A10992="",0,IF(CONFIG_METADATA!$B$4&lt;&gt;"OR+EX",--(DATOS!$G10992=CONFIG_METADATA!$B$4),IF(DATOS!$G10992="EX",1,IF(DATOS!$G10992="OR",--(COUNTIFS(nNIA,DATOS!$A10992,nCURSO,DATOS!$D10992,nESPEC,DATOS!$E10992,nASIG,DATOS!$I10992,nEVAL,"EX")=0),0))))</f>
      </c>
      <c r="H10992">
        <f>IF(DATOS!$G10992&lt;&gt;"EX",0,--(COUNTIFS(nNIA,DATOS!$A10992,nCURSO,DATOS!$D10992,nESPEC,DATOS!$E10992,nASIG,DATOS!$I10992,nEVAL,"OR")=0))</f>
      </c>
      <c r="I10992">
        <f>IF(DATOS!$I10992="","",IFERROR(VLOOKUP(DATOS!$I10992,CONFIG_ASIGNATURAS!$B$2:$J$91,9,FALSE()),""))</f>
      </c>
    </row>
    <row r="10993">
      <c r="F10993">
        <f>IF(DATOS!$A10993="","",DATOS!$A10993&amp;"|"&amp;DATOS!$D10993&amp;"|"&amp;DATOS!$E10993&amp;"|"&amp;DATOS!$I10993)</f>
      </c>
      <c r="G10993">
        <f>IF(DATOS!$A10993="",0,IF(CONFIG_METADATA!$B$4&lt;&gt;"OR+EX",--(DATOS!$G10993=CONFIG_METADATA!$B$4),IF(DATOS!$G10993="EX",1,IF(DATOS!$G10993="OR",--(COUNTIFS(nNIA,DATOS!$A10993,nCURSO,DATOS!$D10993,nESPEC,DATOS!$E10993,nASIG,DATOS!$I10993,nEVAL,"EX")=0),0))))</f>
      </c>
      <c r="H10993">
        <f>IF(DATOS!$G10993&lt;&gt;"EX",0,--(COUNTIFS(nNIA,DATOS!$A10993,nCURSO,DATOS!$D10993,nESPEC,DATOS!$E10993,nASIG,DATOS!$I10993,nEVAL,"OR")=0))</f>
      </c>
      <c r="I10993">
        <f>IF(DATOS!$I10993="","",IFERROR(VLOOKUP(DATOS!$I10993,CONFIG_ASIGNATURAS!$B$2:$J$91,9,FALSE()),""))</f>
      </c>
    </row>
    <row r="10994">
      <c r="F10994">
        <f>IF(DATOS!$A10994="","",DATOS!$A10994&amp;"|"&amp;DATOS!$D10994&amp;"|"&amp;DATOS!$E10994&amp;"|"&amp;DATOS!$I10994)</f>
      </c>
      <c r="G10994">
        <f>IF(DATOS!$A10994="",0,IF(CONFIG_METADATA!$B$4&lt;&gt;"OR+EX",--(DATOS!$G10994=CONFIG_METADATA!$B$4),IF(DATOS!$G10994="EX",1,IF(DATOS!$G10994="OR",--(COUNTIFS(nNIA,DATOS!$A10994,nCURSO,DATOS!$D10994,nESPEC,DATOS!$E10994,nASIG,DATOS!$I10994,nEVAL,"EX")=0),0))))</f>
      </c>
      <c r="H10994">
        <f>IF(DATOS!$G10994&lt;&gt;"EX",0,--(COUNTIFS(nNIA,DATOS!$A10994,nCURSO,DATOS!$D10994,nESPEC,DATOS!$E10994,nASIG,DATOS!$I10994,nEVAL,"OR")=0))</f>
      </c>
      <c r="I10994">
        <f>IF(DATOS!$I10994="","",IFERROR(VLOOKUP(DATOS!$I10994,CONFIG_ASIGNATURAS!$B$2:$J$91,9,FALSE()),""))</f>
      </c>
    </row>
    <row r="10995">
      <c r="F10995">
        <f>IF(DATOS!$A10995="","",DATOS!$A10995&amp;"|"&amp;DATOS!$D10995&amp;"|"&amp;DATOS!$E10995&amp;"|"&amp;DATOS!$I10995)</f>
      </c>
      <c r="G10995">
        <f>IF(DATOS!$A10995="",0,IF(CONFIG_METADATA!$B$4&lt;&gt;"OR+EX",--(DATOS!$G10995=CONFIG_METADATA!$B$4),IF(DATOS!$G10995="EX",1,IF(DATOS!$G10995="OR",--(COUNTIFS(nNIA,DATOS!$A10995,nCURSO,DATOS!$D10995,nESPEC,DATOS!$E10995,nASIG,DATOS!$I10995,nEVAL,"EX")=0),0))))</f>
      </c>
      <c r="H10995">
        <f>IF(DATOS!$G10995&lt;&gt;"EX",0,--(COUNTIFS(nNIA,DATOS!$A10995,nCURSO,DATOS!$D10995,nESPEC,DATOS!$E10995,nASIG,DATOS!$I10995,nEVAL,"OR")=0))</f>
      </c>
      <c r="I10995">
        <f>IF(DATOS!$I10995="","",IFERROR(VLOOKUP(DATOS!$I10995,CONFIG_ASIGNATURAS!$B$2:$J$91,9,FALSE()),""))</f>
      </c>
    </row>
    <row r="10996">
      <c r="F10996">
        <f>IF(DATOS!$A10996="","",DATOS!$A10996&amp;"|"&amp;DATOS!$D10996&amp;"|"&amp;DATOS!$E10996&amp;"|"&amp;DATOS!$I10996)</f>
      </c>
      <c r="G10996">
        <f>IF(DATOS!$A10996="",0,IF(CONFIG_METADATA!$B$4&lt;&gt;"OR+EX",--(DATOS!$G10996=CONFIG_METADATA!$B$4),IF(DATOS!$G10996="EX",1,IF(DATOS!$G10996="OR",--(COUNTIFS(nNIA,DATOS!$A10996,nCURSO,DATOS!$D10996,nESPEC,DATOS!$E10996,nASIG,DATOS!$I10996,nEVAL,"EX")=0),0))))</f>
      </c>
      <c r="H10996">
        <f>IF(DATOS!$G10996&lt;&gt;"EX",0,--(COUNTIFS(nNIA,DATOS!$A10996,nCURSO,DATOS!$D10996,nESPEC,DATOS!$E10996,nASIG,DATOS!$I10996,nEVAL,"OR")=0))</f>
      </c>
      <c r="I10996">
        <f>IF(DATOS!$I10996="","",IFERROR(VLOOKUP(DATOS!$I10996,CONFIG_ASIGNATURAS!$B$2:$J$91,9,FALSE()),""))</f>
      </c>
    </row>
    <row r="10997">
      <c r="F10997">
        <f>IF(DATOS!$A10997="","",DATOS!$A10997&amp;"|"&amp;DATOS!$D10997&amp;"|"&amp;DATOS!$E10997&amp;"|"&amp;DATOS!$I10997)</f>
      </c>
      <c r="G10997">
        <f>IF(DATOS!$A10997="",0,IF(CONFIG_METADATA!$B$4&lt;&gt;"OR+EX",--(DATOS!$G10997=CONFIG_METADATA!$B$4),IF(DATOS!$G10997="EX",1,IF(DATOS!$G10997="OR",--(COUNTIFS(nNIA,DATOS!$A10997,nCURSO,DATOS!$D10997,nESPEC,DATOS!$E10997,nASIG,DATOS!$I10997,nEVAL,"EX")=0),0))))</f>
      </c>
      <c r="H10997">
        <f>IF(DATOS!$G10997&lt;&gt;"EX",0,--(COUNTIFS(nNIA,DATOS!$A10997,nCURSO,DATOS!$D10997,nESPEC,DATOS!$E10997,nASIG,DATOS!$I10997,nEVAL,"OR")=0))</f>
      </c>
      <c r="I10997">
        <f>IF(DATOS!$I10997="","",IFERROR(VLOOKUP(DATOS!$I10997,CONFIG_ASIGNATURAS!$B$2:$J$91,9,FALSE()),""))</f>
      </c>
    </row>
    <row r="10998">
      <c r="F10998">
        <f>IF(DATOS!$A10998="","",DATOS!$A10998&amp;"|"&amp;DATOS!$D10998&amp;"|"&amp;DATOS!$E10998&amp;"|"&amp;DATOS!$I10998)</f>
      </c>
      <c r="G10998">
        <f>IF(DATOS!$A10998="",0,IF(CONFIG_METADATA!$B$4&lt;&gt;"OR+EX",--(DATOS!$G10998=CONFIG_METADATA!$B$4),IF(DATOS!$G10998="EX",1,IF(DATOS!$G10998="OR",--(COUNTIFS(nNIA,DATOS!$A10998,nCURSO,DATOS!$D10998,nESPEC,DATOS!$E10998,nASIG,DATOS!$I10998,nEVAL,"EX")=0),0))))</f>
      </c>
      <c r="H10998">
        <f>IF(DATOS!$G10998&lt;&gt;"EX",0,--(COUNTIFS(nNIA,DATOS!$A10998,nCURSO,DATOS!$D10998,nESPEC,DATOS!$E10998,nASIG,DATOS!$I10998,nEVAL,"OR")=0))</f>
      </c>
      <c r="I10998">
        <f>IF(DATOS!$I10998="","",IFERROR(VLOOKUP(DATOS!$I10998,CONFIG_ASIGNATURAS!$B$2:$J$91,9,FALSE()),""))</f>
      </c>
    </row>
    <row r="10999">
      <c r="F10999">
        <f>IF(DATOS!$A10999="","",DATOS!$A10999&amp;"|"&amp;DATOS!$D10999&amp;"|"&amp;DATOS!$E10999&amp;"|"&amp;DATOS!$I10999)</f>
      </c>
      <c r="G10999">
        <f>IF(DATOS!$A10999="",0,IF(CONFIG_METADATA!$B$4&lt;&gt;"OR+EX",--(DATOS!$G10999=CONFIG_METADATA!$B$4),IF(DATOS!$G10999="EX",1,IF(DATOS!$G10999="OR",--(COUNTIFS(nNIA,DATOS!$A10999,nCURSO,DATOS!$D10999,nESPEC,DATOS!$E10999,nASIG,DATOS!$I10999,nEVAL,"EX")=0),0))))</f>
      </c>
      <c r="H10999">
        <f>IF(DATOS!$G10999&lt;&gt;"EX",0,--(COUNTIFS(nNIA,DATOS!$A10999,nCURSO,DATOS!$D10999,nESPEC,DATOS!$E10999,nASIG,DATOS!$I10999,nEVAL,"OR")=0))</f>
      </c>
      <c r="I10999">
        <f>IF(DATOS!$I10999="","",IFERROR(VLOOKUP(DATOS!$I10999,CONFIG_ASIGNATURAS!$B$2:$J$91,9,FALSE()),""))</f>
      </c>
    </row>
    <row r="11000">
      <c r="F11000">
        <f>IF(DATOS!$A11000="","",DATOS!$A11000&amp;"|"&amp;DATOS!$D11000&amp;"|"&amp;DATOS!$E11000&amp;"|"&amp;DATOS!$I11000)</f>
      </c>
      <c r="G11000">
        <f>IF(DATOS!$A11000="",0,IF(CONFIG_METADATA!$B$4&lt;&gt;"OR+EX",--(DATOS!$G11000=CONFIG_METADATA!$B$4),IF(DATOS!$G11000="EX",1,IF(DATOS!$G11000="OR",--(COUNTIFS(nNIA,DATOS!$A11000,nCURSO,DATOS!$D11000,nESPEC,DATOS!$E11000,nASIG,DATOS!$I11000,nEVAL,"EX")=0),0))))</f>
      </c>
      <c r="H11000">
        <f>IF(DATOS!$G11000&lt;&gt;"EX",0,--(COUNTIFS(nNIA,DATOS!$A11000,nCURSO,DATOS!$D11000,nESPEC,DATOS!$E11000,nASIG,DATOS!$I11000,nEVAL,"OR")=0))</f>
      </c>
      <c r="I11000">
        <f>IF(DATOS!$I11000="","",IFERROR(VLOOKUP(DATOS!$I11000,CONFIG_ASIGNATURAS!$B$2:$J$91,9,FALSE()),""))</f>
      </c>
    </row>
    <row r="11001">
      <c r="F11001">
        <f>IF(DATOS!$A11001="","",DATOS!$A11001&amp;"|"&amp;DATOS!$D11001&amp;"|"&amp;DATOS!$E11001&amp;"|"&amp;DATOS!$I11001)</f>
      </c>
      <c r="G11001">
        <f>IF(DATOS!$A11001="",0,IF(CONFIG_METADATA!$B$4&lt;&gt;"OR+EX",--(DATOS!$G11001=CONFIG_METADATA!$B$4),IF(DATOS!$G11001="EX",1,IF(DATOS!$G11001="OR",--(COUNTIFS(nNIA,DATOS!$A11001,nCURSO,DATOS!$D11001,nESPEC,DATOS!$E11001,nASIG,DATOS!$I11001,nEVAL,"EX")=0),0))))</f>
      </c>
      <c r="H11001">
        <f>IF(DATOS!$G11001&lt;&gt;"EX",0,--(COUNTIFS(nNIA,DATOS!$A11001,nCURSO,DATOS!$D11001,nESPEC,DATOS!$E11001,nASIG,DATOS!$I11001,nEVAL,"OR")=0))</f>
      </c>
      <c r="I11001">
        <f>IF(DATOS!$I11001="","",IFERROR(VLOOKUP(DATOS!$I11001,CONFIG_ASIGNATURAS!$B$2:$J$91,9,FALSE()),""))</f>
      </c>
    </row>
    <row r="11002">
      <c r="F11002">
        <f>IF(DATOS!$A11002="","",DATOS!$A11002&amp;"|"&amp;DATOS!$D11002&amp;"|"&amp;DATOS!$E11002&amp;"|"&amp;DATOS!$I11002)</f>
      </c>
      <c r="G11002">
        <f>IF(DATOS!$A11002="",0,IF(CONFIG_METADATA!$B$4&lt;&gt;"OR+EX",--(DATOS!$G11002=CONFIG_METADATA!$B$4),IF(DATOS!$G11002="EX",1,IF(DATOS!$G11002="OR",--(COUNTIFS(nNIA,DATOS!$A11002,nCURSO,DATOS!$D11002,nESPEC,DATOS!$E11002,nASIG,DATOS!$I11002,nEVAL,"EX")=0),0))))</f>
      </c>
      <c r="H11002">
        <f>IF(DATOS!$G11002&lt;&gt;"EX",0,--(COUNTIFS(nNIA,DATOS!$A11002,nCURSO,DATOS!$D11002,nESPEC,DATOS!$E11002,nASIG,DATOS!$I11002,nEVAL,"OR")=0))</f>
      </c>
      <c r="I11002">
        <f>IF(DATOS!$I11002="","",IFERROR(VLOOKUP(DATOS!$I11002,CONFIG_ASIGNATURAS!$B$2:$J$91,9,FALSE()),""))</f>
      </c>
    </row>
    <row r="11003">
      <c r="F11003">
        <f>IF(DATOS!$A11003="","",DATOS!$A11003&amp;"|"&amp;DATOS!$D11003&amp;"|"&amp;DATOS!$E11003&amp;"|"&amp;DATOS!$I11003)</f>
      </c>
      <c r="G11003">
        <f>IF(DATOS!$A11003="",0,IF(CONFIG_METADATA!$B$4&lt;&gt;"OR+EX",--(DATOS!$G11003=CONFIG_METADATA!$B$4),IF(DATOS!$G11003="EX",1,IF(DATOS!$G11003="OR",--(COUNTIFS(nNIA,DATOS!$A11003,nCURSO,DATOS!$D11003,nESPEC,DATOS!$E11003,nASIG,DATOS!$I11003,nEVAL,"EX")=0),0))))</f>
      </c>
      <c r="H11003">
        <f>IF(DATOS!$G11003&lt;&gt;"EX",0,--(COUNTIFS(nNIA,DATOS!$A11003,nCURSO,DATOS!$D11003,nESPEC,DATOS!$E11003,nASIG,DATOS!$I11003,nEVAL,"OR")=0))</f>
      </c>
      <c r="I11003">
        <f>IF(DATOS!$I11003="","",IFERROR(VLOOKUP(DATOS!$I11003,CONFIG_ASIGNATURAS!$B$2:$J$91,9,FALSE()),""))</f>
      </c>
    </row>
    <row r="11004">
      <c r="F11004">
        <f>IF(DATOS!$A11004="","",DATOS!$A11004&amp;"|"&amp;DATOS!$D11004&amp;"|"&amp;DATOS!$E11004&amp;"|"&amp;DATOS!$I11004)</f>
      </c>
      <c r="G11004">
        <f>IF(DATOS!$A11004="",0,IF(CONFIG_METADATA!$B$4&lt;&gt;"OR+EX",--(DATOS!$G11004=CONFIG_METADATA!$B$4),IF(DATOS!$G11004="EX",1,IF(DATOS!$G11004="OR",--(COUNTIFS(nNIA,DATOS!$A11004,nCURSO,DATOS!$D11004,nESPEC,DATOS!$E11004,nASIG,DATOS!$I11004,nEVAL,"EX")=0),0))))</f>
      </c>
      <c r="H11004">
        <f>IF(DATOS!$G11004&lt;&gt;"EX",0,--(COUNTIFS(nNIA,DATOS!$A11004,nCURSO,DATOS!$D11004,nESPEC,DATOS!$E11004,nASIG,DATOS!$I11004,nEVAL,"OR")=0))</f>
      </c>
      <c r="I11004">
        <f>IF(DATOS!$I11004="","",IFERROR(VLOOKUP(DATOS!$I11004,CONFIG_ASIGNATURAS!$B$2:$J$91,9,FALSE()),""))</f>
      </c>
    </row>
    <row r="11005">
      <c r="F11005">
        <f>IF(DATOS!$A11005="","",DATOS!$A11005&amp;"|"&amp;DATOS!$D11005&amp;"|"&amp;DATOS!$E11005&amp;"|"&amp;DATOS!$I11005)</f>
      </c>
      <c r="G11005">
        <f>IF(DATOS!$A11005="",0,IF(CONFIG_METADATA!$B$4&lt;&gt;"OR+EX",--(DATOS!$G11005=CONFIG_METADATA!$B$4),IF(DATOS!$G11005="EX",1,IF(DATOS!$G11005="OR",--(COUNTIFS(nNIA,DATOS!$A11005,nCURSO,DATOS!$D11005,nESPEC,DATOS!$E11005,nASIG,DATOS!$I11005,nEVAL,"EX")=0),0))))</f>
      </c>
      <c r="H11005">
        <f>IF(DATOS!$G11005&lt;&gt;"EX",0,--(COUNTIFS(nNIA,DATOS!$A11005,nCURSO,DATOS!$D11005,nESPEC,DATOS!$E11005,nASIG,DATOS!$I11005,nEVAL,"OR")=0))</f>
      </c>
      <c r="I11005">
        <f>IF(DATOS!$I11005="","",IFERROR(VLOOKUP(DATOS!$I11005,CONFIG_ASIGNATURAS!$B$2:$J$91,9,FALSE()),""))</f>
      </c>
    </row>
    <row r="11006">
      <c r="F11006">
        <f>IF(DATOS!$A11006="","",DATOS!$A11006&amp;"|"&amp;DATOS!$D11006&amp;"|"&amp;DATOS!$E11006&amp;"|"&amp;DATOS!$I11006)</f>
      </c>
      <c r="G11006">
        <f>IF(DATOS!$A11006="",0,IF(CONFIG_METADATA!$B$4&lt;&gt;"OR+EX",--(DATOS!$G11006=CONFIG_METADATA!$B$4),IF(DATOS!$G11006="EX",1,IF(DATOS!$G11006="OR",--(COUNTIFS(nNIA,DATOS!$A11006,nCURSO,DATOS!$D11006,nESPEC,DATOS!$E11006,nASIG,DATOS!$I11006,nEVAL,"EX")=0),0))))</f>
      </c>
      <c r="H11006">
        <f>IF(DATOS!$G11006&lt;&gt;"EX",0,--(COUNTIFS(nNIA,DATOS!$A11006,nCURSO,DATOS!$D11006,nESPEC,DATOS!$E11006,nASIG,DATOS!$I11006,nEVAL,"OR")=0))</f>
      </c>
      <c r="I11006">
        <f>IF(DATOS!$I11006="","",IFERROR(VLOOKUP(DATOS!$I11006,CONFIG_ASIGNATURAS!$B$2:$J$91,9,FALSE()),""))</f>
      </c>
    </row>
    <row r="11007">
      <c r="F11007">
        <f>IF(DATOS!$A11007="","",DATOS!$A11007&amp;"|"&amp;DATOS!$D11007&amp;"|"&amp;DATOS!$E11007&amp;"|"&amp;DATOS!$I11007)</f>
      </c>
      <c r="G11007">
        <f>IF(DATOS!$A11007="",0,IF(CONFIG_METADATA!$B$4&lt;&gt;"OR+EX",--(DATOS!$G11007=CONFIG_METADATA!$B$4),IF(DATOS!$G11007="EX",1,IF(DATOS!$G11007="OR",--(COUNTIFS(nNIA,DATOS!$A11007,nCURSO,DATOS!$D11007,nESPEC,DATOS!$E11007,nASIG,DATOS!$I11007,nEVAL,"EX")=0),0))))</f>
      </c>
      <c r="H11007">
        <f>IF(DATOS!$G11007&lt;&gt;"EX",0,--(COUNTIFS(nNIA,DATOS!$A11007,nCURSO,DATOS!$D11007,nESPEC,DATOS!$E11007,nASIG,DATOS!$I11007,nEVAL,"OR")=0))</f>
      </c>
      <c r="I11007">
        <f>IF(DATOS!$I11007="","",IFERROR(VLOOKUP(DATOS!$I11007,CONFIG_ASIGNATURAS!$B$2:$J$91,9,FALSE()),""))</f>
      </c>
    </row>
    <row r="11008">
      <c r="F11008">
        <f>IF(DATOS!$A11008="","",DATOS!$A11008&amp;"|"&amp;DATOS!$D11008&amp;"|"&amp;DATOS!$E11008&amp;"|"&amp;DATOS!$I11008)</f>
      </c>
      <c r="G11008">
        <f>IF(DATOS!$A11008="",0,IF(CONFIG_METADATA!$B$4&lt;&gt;"OR+EX",--(DATOS!$G11008=CONFIG_METADATA!$B$4),IF(DATOS!$G11008="EX",1,IF(DATOS!$G11008="OR",--(COUNTIFS(nNIA,DATOS!$A11008,nCURSO,DATOS!$D11008,nESPEC,DATOS!$E11008,nASIG,DATOS!$I11008,nEVAL,"EX")=0),0))))</f>
      </c>
      <c r="H11008">
        <f>IF(DATOS!$G11008&lt;&gt;"EX",0,--(COUNTIFS(nNIA,DATOS!$A11008,nCURSO,DATOS!$D11008,nESPEC,DATOS!$E11008,nASIG,DATOS!$I11008,nEVAL,"OR")=0))</f>
      </c>
      <c r="I11008">
        <f>IF(DATOS!$I11008="","",IFERROR(VLOOKUP(DATOS!$I11008,CONFIG_ASIGNATURAS!$B$2:$J$91,9,FALSE()),""))</f>
      </c>
    </row>
    <row r="11009">
      <c r="F11009">
        <f>IF(DATOS!$A11009="","",DATOS!$A11009&amp;"|"&amp;DATOS!$D11009&amp;"|"&amp;DATOS!$E11009&amp;"|"&amp;DATOS!$I11009)</f>
      </c>
      <c r="G11009">
        <f>IF(DATOS!$A11009="",0,IF(CONFIG_METADATA!$B$4&lt;&gt;"OR+EX",--(DATOS!$G11009=CONFIG_METADATA!$B$4),IF(DATOS!$G11009="EX",1,IF(DATOS!$G11009="OR",--(COUNTIFS(nNIA,DATOS!$A11009,nCURSO,DATOS!$D11009,nESPEC,DATOS!$E11009,nASIG,DATOS!$I11009,nEVAL,"EX")=0),0))))</f>
      </c>
      <c r="H11009">
        <f>IF(DATOS!$G11009&lt;&gt;"EX",0,--(COUNTIFS(nNIA,DATOS!$A11009,nCURSO,DATOS!$D11009,nESPEC,DATOS!$E11009,nASIG,DATOS!$I11009,nEVAL,"OR")=0))</f>
      </c>
      <c r="I11009">
        <f>IF(DATOS!$I11009="","",IFERROR(VLOOKUP(DATOS!$I11009,CONFIG_ASIGNATURAS!$B$2:$J$91,9,FALSE()),""))</f>
      </c>
    </row>
    <row r="11010">
      <c r="F11010">
        <f>IF(DATOS!$A11010="","",DATOS!$A11010&amp;"|"&amp;DATOS!$D11010&amp;"|"&amp;DATOS!$E11010&amp;"|"&amp;DATOS!$I11010)</f>
      </c>
      <c r="G11010">
        <f>IF(DATOS!$A11010="",0,IF(CONFIG_METADATA!$B$4&lt;&gt;"OR+EX",--(DATOS!$G11010=CONFIG_METADATA!$B$4),IF(DATOS!$G11010="EX",1,IF(DATOS!$G11010="OR",--(COUNTIFS(nNIA,DATOS!$A11010,nCURSO,DATOS!$D11010,nESPEC,DATOS!$E11010,nASIG,DATOS!$I11010,nEVAL,"EX")=0),0))))</f>
      </c>
      <c r="H11010">
        <f>IF(DATOS!$G11010&lt;&gt;"EX",0,--(COUNTIFS(nNIA,DATOS!$A11010,nCURSO,DATOS!$D11010,nESPEC,DATOS!$E11010,nASIG,DATOS!$I11010,nEVAL,"OR")=0))</f>
      </c>
      <c r="I11010">
        <f>IF(DATOS!$I11010="","",IFERROR(VLOOKUP(DATOS!$I11010,CONFIG_ASIGNATURAS!$B$2:$J$91,9,FALSE()),""))</f>
      </c>
    </row>
    <row r="11011">
      <c r="F11011">
        <f>IF(DATOS!$A11011="","",DATOS!$A11011&amp;"|"&amp;DATOS!$D11011&amp;"|"&amp;DATOS!$E11011&amp;"|"&amp;DATOS!$I11011)</f>
      </c>
      <c r="G11011">
        <f>IF(DATOS!$A11011="",0,IF(CONFIG_METADATA!$B$4&lt;&gt;"OR+EX",--(DATOS!$G11011=CONFIG_METADATA!$B$4),IF(DATOS!$G11011="EX",1,IF(DATOS!$G11011="OR",--(COUNTIFS(nNIA,DATOS!$A11011,nCURSO,DATOS!$D11011,nESPEC,DATOS!$E11011,nASIG,DATOS!$I11011,nEVAL,"EX")=0),0))))</f>
      </c>
      <c r="H11011">
        <f>IF(DATOS!$G11011&lt;&gt;"EX",0,--(COUNTIFS(nNIA,DATOS!$A11011,nCURSO,DATOS!$D11011,nESPEC,DATOS!$E11011,nASIG,DATOS!$I11011,nEVAL,"OR")=0))</f>
      </c>
      <c r="I11011">
        <f>IF(DATOS!$I11011="","",IFERROR(VLOOKUP(DATOS!$I11011,CONFIG_ASIGNATURAS!$B$2:$J$91,9,FALSE()),""))</f>
      </c>
    </row>
    <row r="11012">
      <c r="F11012">
        <f>IF(DATOS!$A11012="","",DATOS!$A11012&amp;"|"&amp;DATOS!$D11012&amp;"|"&amp;DATOS!$E11012&amp;"|"&amp;DATOS!$I11012)</f>
      </c>
      <c r="G11012">
        <f>IF(DATOS!$A11012="",0,IF(CONFIG_METADATA!$B$4&lt;&gt;"OR+EX",--(DATOS!$G11012=CONFIG_METADATA!$B$4),IF(DATOS!$G11012="EX",1,IF(DATOS!$G11012="OR",--(COUNTIFS(nNIA,DATOS!$A11012,nCURSO,DATOS!$D11012,nESPEC,DATOS!$E11012,nASIG,DATOS!$I11012,nEVAL,"EX")=0),0))))</f>
      </c>
      <c r="H11012">
        <f>IF(DATOS!$G11012&lt;&gt;"EX",0,--(COUNTIFS(nNIA,DATOS!$A11012,nCURSO,DATOS!$D11012,nESPEC,DATOS!$E11012,nASIG,DATOS!$I11012,nEVAL,"OR")=0))</f>
      </c>
      <c r="I11012">
        <f>IF(DATOS!$I11012="","",IFERROR(VLOOKUP(DATOS!$I11012,CONFIG_ASIGNATURAS!$B$2:$J$91,9,FALSE()),""))</f>
      </c>
    </row>
    <row r="11013">
      <c r="F11013">
        <f>IF(DATOS!$A11013="","",DATOS!$A11013&amp;"|"&amp;DATOS!$D11013&amp;"|"&amp;DATOS!$E11013&amp;"|"&amp;DATOS!$I11013)</f>
      </c>
      <c r="G11013">
        <f>IF(DATOS!$A11013="",0,IF(CONFIG_METADATA!$B$4&lt;&gt;"OR+EX",--(DATOS!$G11013=CONFIG_METADATA!$B$4),IF(DATOS!$G11013="EX",1,IF(DATOS!$G11013="OR",--(COUNTIFS(nNIA,DATOS!$A11013,nCURSO,DATOS!$D11013,nESPEC,DATOS!$E11013,nASIG,DATOS!$I11013,nEVAL,"EX")=0),0))))</f>
      </c>
      <c r="H11013">
        <f>IF(DATOS!$G11013&lt;&gt;"EX",0,--(COUNTIFS(nNIA,DATOS!$A11013,nCURSO,DATOS!$D11013,nESPEC,DATOS!$E11013,nASIG,DATOS!$I11013,nEVAL,"OR")=0))</f>
      </c>
      <c r="I11013">
        <f>IF(DATOS!$I11013="","",IFERROR(VLOOKUP(DATOS!$I11013,CONFIG_ASIGNATURAS!$B$2:$J$91,9,FALSE()),""))</f>
      </c>
    </row>
    <row r="11014">
      <c r="F11014">
        <f>IF(DATOS!$A11014="","",DATOS!$A11014&amp;"|"&amp;DATOS!$D11014&amp;"|"&amp;DATOS!$E11014&amp;"|"&amp;DATOS!$I11014)</f>
      </c>
      <c r="G11014">
        <f>IF(DATOS!$A11014="",0,IF(CONFIG_METADATA!$B$4&lt;&gt;"OR+EX",--(DATOS!$G11014=CONFIG_METADATA!$B$4),IF(DATOS!$G11014="EX",1,IF(DATOS!$G11014="OR",--(COUNTIFS(nNIA,DATOS!$A11014,nCURSO,DATOS!$D11014,nESPEC,DATOS!$E11014,nASIG,DATOS!$I11014,nEVAL,"EX")=0),0))))</f>
      </c>
      <c r="H11014">
        <f>IF(DATOS!$G11014&lt;&gt;"EX",0,--(COUNTIFS(nNIA,DATOS!$A11014,nCURSO,DATOS!$D11014,nESPEC,DATOS!$E11014,nASIG,DATOS!$I11014,nEVAL,"OR")=0))</f>
      </c>
      <c r="I11014">
        <f>IF(DATOS!$I11014="","",IFERROR(VLOOKUP(DATOS!$I11014,CONFIG_ASIGNATURAS!$B$2:$J$91,9,FALSE()),""))</f>
      </c>
    </row>
    <row r="11015">
      <c r="F11015">
        <f>IF(DATOS!$A11015="","",DATOS!$A11015&amp;"|"&amp;DATOS!$D11015&amp;"|"&amp;DATOS!$E11015&amp;"|"&amp;DATOS!$I11015)</f>
      </c>
      <c r="G11015">
        <f>IF(DATOS!$A11015="",0,IF(CONFIG_METADATA!$B$4&lt;&gt;"OR+EX",--(DATOS!$G11015=CONFIG_METADATA!$B$4),IF(DATOS!$G11015="EX",1,IF(DATOS!$G11015="OR",--(COUNTIFS(nNIA,DATOS!$A11015,nCURSO,DATOS!$D11015,nESPEC,DATOS!$E11015,nASIG,DATOS!$I11015,nEVAL,"EX")=0),0))))</f>
      </c>
      <c r="H11015">
        <f>IF(DATOS!$G11015&lt;&gt;"EX",0,--(COUNTIFS(nNIA,DATOS!$A11015,nCURSO,DATOS!$D11015,nESPEC,DATOS!$E11015,nASIG,DATOS!$I11015,nEVAL,"OR")=0))</f>
      </c>
      <c r="I11015">
        <f>IF(DATOS!$I11015="","",IFERROR(VLOOKUP(DATOS!$I11015,CONFIG_ASIGNATURAS!$B$2:$J$91,9,FALSE()),""))</f>
      </c>
    </row>
    <row r="11016">
      <c r="F11016">
        <f>IF(DATOS!$A11016="","",DATOS!$A11016&amp;"|"&amp;DATOS!$D11016&amp;"|"&amp;DATOS!$E11016&amp;"|"&amp;DATOS!$I11016)</f>
      </c>
      <c r="G11016">
        <f>IF(DATOS!$A11016="",0,IF(CONFIG_METADATA!$B$4&lt;&gt;"OR+EX",--(DATOS!$G11016=CONFIG_METADATA!$B$4),IF(DATOS!$G11016="EX",1,IF(DATOS!$G11016="OR",--(COUNTIFS(nNIA,DATOS!$A11016,nCURSO,DATOS!$D11016,nESPEC,DATOS!$E11016,nASIG,DATOS!$I11016,nEVAL,"EX")=0),0))))</f>
      </c>
      <c r="H11016">
        <f>IF(DATOS!$G11016&lt;&gt;"EX",0,--(COUNTIFS(nNIA,DATOS!$A11016,nCURSO,DATOS!$D11016,nESPEC,DATOS!$E11016,nASIG,DATOS!$I11016,nEVAL,"OR")=0))</f>
      </c>
      <c r="I11016">
        <f>IF(DATOS!$I11016="","",IFERROR(VLOOKUP(DATOS!$I11016,CONFIG_ASIGNATURAS!$B$2:$J$91,9,FALSE()),""))</f>
      </c>
    </row>
    <row r="11017">
      <c r="F11017">
        <f>IF(DATOS!$A11017="","",DATOS!$A11017&amp;"|"&amp;DATOS!$D11017&amp;"|"&amp;DATOS!$E11017&amp;"|"&amp;DATOS!$I11017)</f>
      </c>
      <c r="G11017">
        <f>IF(DATOS!$A11017="",0,IF(CONFIG_METADATA!$B$4&lt;&gt;"OR+EX",--(DATOS!$G11017=CONFIG_METADATA!$B$4),IF(DATOS!$G11017="EX",1,IF(DATOS!$G11017="OR",--(COUNTIFS(nNIA,DATOS!$A11017,nCURSO,DATOS!$D11017,nESPEC,DATOS!$E11017,nASIG,DATOS!$I11017,nEVAL,"EX")=0),0))))</f>
      </c>
      <c r="H11017">
        <f>IF(DATOS!$G11017&lt;&gt;"EX",0,--(COUNTIFS(nNIA,DATOS!$A11017,nCURSO,DATOS!$D11017,nESPEC,DATOS!$E11017,nASIG,DATOS!$I11017,nEVAL,"OR")=0))</f>
      </c>
      <c r="I11017">
        <f>IF(DATOS!$I11017="","",IFERROR(VLOOKUP(DATOS!$I11017,CONFIG_ASIGNATURAS!$B$2:$J$91,9,FALSE()),""))</f>
      </c>
    </row>
    <row r="11018">
      <c r="F11018">
        <f>IF(DATOS!$A11018="","",DATOS!$A11018&amp;"|"&amp;DATOS!$D11018&amp;"|"&amp;DATOS!$E11018&amp;"|"&amp;DATOS!$I11018)</f>
      </c>
      <c r="G11018">
        <f>IF(DATOS!$A11018="",0,IF(CONFIG_METADATA!$B$4&lt;&gt;"OR+EX",--(DATOS!$G11018=CONFIG_METADATA!$B$4),IF(DATOS!$G11018="EX",1,IF(DATOS!$G11018="OR",--(COUNTIFS(nNIA,DATOS!$A11018,nCURSO,DATOS!$D11018,nESPEC,DATOS!$E11018,nASIG,DATOS!$I11018,nEVAL,"EX")=0),0))))</f>
      </c>
      <c r="H11018">
        <f>IF(DATOS!$G11018&lt;&gt;"EX",0,--(COUNTIFS(nNIA,DATOS!$A11018,nCURSO,DATOS!$D11018,nESPEC,DATOS!$E11018,nASIG,DATOS!$I11018,nEVAL,"OR")=0))</f>
      </c>
      <c r="I11018">
        <f>IF(DATOS!$I11018="","",IFERROR(VLOOKUP(DATOS!$I11018,CONFIG_ASIGNATURAS!$B$2:$J$91,9,FALSE()),""))</f>
      </c>
    </row>
    <row r="11019">
      <c r="F11019">
        <f>IF(DATOS!$A11019="","",DATOS!$A11019&amp;"|"&amp;DATOS!$D11019&amp;"|"&amp;DATOS!$E11019&amp;"|"&amp;DATOS!$I11019)</f>
      </c>
      <c r="G11019">
        <f>IF(DATOS!$A11019="",0,IF(CONFIG_METADATA!$B$4&lt;&gt;"OR+EX",--(DATOS!$G11019=CONFIG_METADATA!$B$4),IF(DATOS!$G11019="EX",1,IF(DATOS!$G11019="OR",--(COUNTIFS(nNIA,DATOS!$A11019,nCURSO,DATOS!$D11019,nESPEC,DATOS!$E11019,nASIG,DATOS!$I11019,nEVAL,"EX")=0),0))))</f>
      </c>
      <c r="H11019">
        <f>IF(DATOS!$G11019&lt;&gt;"EX",0,--(COUNTIFS(nNIA,DATOS!$A11019,nCURSO,DATOS!$D11019,nESPEC,DATOS!$E11019,nASIG,DATOS!$I11019,nEVAL,"OR")=0))</f>
      </c>
      <c r="I11019">
        <f>IF(DATOS!$I11019="","",IFERROR(VLOOKUP(DATOS!$I11019,CONFIG_ASIGNATURAS!$B$2:$J$91,9,FALSE()),""))</f>
      </c>
    </row>
    <row r="11020">
      <c r="F11020">
        <f>IF(DATOS!$A11020="","",DATOS!$A11020&amp;"|"&amp;DATOS!$D11020&amp;"|"&amp;DATOS!$E11020&amp;"|"&amp;DATOS!$I11020)</f>
      </c>
      <c r="G11020">
        <f>IF(DATOS!$A11020="",0,IF(CONFIG_METADATA!$B$4&lt;&gt;"OR+EX",--(DATOS!$G11020=CONFIG_METADATA!$B$4),IF(DATOS!$G11020="EX",1,IF(DATOS!$G11020="OR",--(COUNTIFS(nNIA,DATOS!$A11020,nCURSO,DATOS!$D11020,nESPEC,DATOS!$E11020,nASIG,DATOS!$I11020,nEVAL,"EX")=0),0))))</f>
      </c>
      <c r="H11020">
        <f>IF(DATOS!$G11020&lt;&gt;"EX",0,--(COUNTIFS(nNIA,DATOS!$A11020,nCURSO,DATOS!$D11020,nESPEC,DATOS!$E11020,nASIG,DATOS!$I11020,nEVAL,"OR")=0))</f>
      </c>
      <c r="I11020">
        <f>IF(DATOS!$I11020="","",IFERROR(VLOOKUP(DATOS!$I11020,CONFIG_ASIGNATURAS!$B$2:$J$91,9,FALSE()),""))</f>
      </c>
    </row>
    <row r="11021">
      <c r="F11021">
        <f>IF(DATOS!$A11021="","",DATOS!$A11021&amp;"|"&amp;DATOS!$D11021&amp;"|"&amp;DATOS!$E11021&amp;"|"&amp;DATOS!$I11021)</f>
      </c>
      <c r="G11021">
        <f>IF(DATOS!$A11021="",0,IF(CONFIG_METADATA!$B$4&lt;&gt;"OR+EX",--(DATOS!$G11021=CONFIG_METADATA!$B$4),IF(DATOS!$G11021="EX",1,IF(DATOS!$G11021="OR",--(COUNTIFS(nNIA,DATOS!$A11021,nCURSO,DATOS!$D11021,nESPEC,DATOS!$E11021,nASIG,DATOS!$I11021,nEVAL,"EX")=0),0))))</f>
      </c>
      <c r="H11021">
        <f>IF(DATOS!$G11021&lt;&gt;"EX",0,--(COUNTIFS(nNIA,DATOS!$A11021,nCURSO,DATOS!$D11021,nESPEC,DATOS!$E11021,nASIG,DATOS!$I11021,nEVAL,"OR")=0))</f>
      </c>
      <c r="I11021">
        <f>IF(DATOS!$I11021="","",IFERROR(VLOOKUP(DATOS!$I11021,CONFIG_ASIGNATURAS!$B$2:$J$91,9,FALSE()),""))</f>
      </c>
    </row>
    <row r="11022">
      <c r="F11022">
        <f>IF(DATOS!$A11022="","",DATOS!$A11022&amp;"|"&amp;DATOS!$D11022&amp;"|"&amp;DATOS!$E11022&amp;"|"&amp;DATOS!$I11022)</f>
      </c>
      <c r="G11022">
        <f>IF(DATOS!$A11022="",0,IF(CONFIG_METADATA!$B$4&lt;&gt;"OR+EX",--(DATOS!$G11022=CONFIG_METADATA!$B$4),IF(DATOS!$G11022="EX",1,IF(DATOS!$G11022="OR",--(COUNTIFS(nNIA,DATOS!$A11022,nCURSO,DATOS!$D11022,nESPEC,DATOS!$E11022,nASIG,DATOS!$I11022,nEVAL,"EX")=0),0))))</f>
      </c>
      <c r="H11022">
        <f>IF(DATOS!$G11022&lt;&gt;"EX",0,--(COUNTIFS(nNIA,DATOS!$A11022,nCURSO,DATOS!$D11022,nESPEC,DATOS!$E11022,nASIG,DATOS!$I11022,nEVAL,"OR")=0))</f>
      </c>
      <c r="I11022">
        <f>IF(DATOS!$I11022="","",IFERROR(VLOOKUP(DATOS!$I11022,CONFIG_ASIGNATURAS!$B$2:$J$91,9,FALSE()),""))</f>
      </c>
    </row>
    <row r="11023">
      <c r="F11023">
        <f>IF(DATOS!$A11023="","",DATOS!$A11023&amp;"|"&amp;DATOS!$D11023&amp;"|"&amp;DATOS!$E11023&amp;"|"&amp;DATOS!$I11023)</f>
      </c>
      <c r="G11023">
        <f>IF(DATOS!$A11023="",0,IF(CONFIG_METADATA!$B$4&lt;&gt;"OR+EX",--(DATOS!$G11023=CONFIG_METADATA!$B$4),IF(DATOS!$G11023="EX",1,IF(DATOS!$G11023="OR",--(COUNTIFS(nNIA,DATOS!$A11023,nCURSO,DATOS!$D11023,nESPEC,DATOS!$E11023,nASIG,DATOS!$I11023,nEVAL,"EX")=0),0))))</f>
      </c>
      <c r="H11023">
        <f>IF(DATOS!$G11023&lt;&gt;"EX",0,--(COUNTIFS(nNIA,DATOS!$A11023,nCURSO,DATOS!$D11023,nESPEC,DATOS!$E11023,nASIG,DATOS!$I11023,nEVAL,"OR")=0))</f>
      </c>
      <c r="I11023">
        <f>IF(DATOS!$I11023="","",IFERROR(VLOOKUP(DATOS!$I11023,CONFIG_ASIGNATURAS!$B$2:$J$91,9,FALSE()),""))</f>
      </c>
    </row>
    <row r="11024">
      <c r="F11024">
        <f>IF(DATOS!$A11024="","",DATOS!$A11024&amp;"|"&amp;DATOS!$D11024&amp;"|"&amp;DATOS!$E11024&amp;"|"&amp;DATOS!$I11024)</f>
      </c>
      <c r="G11024">
        <f>IF(DATOS!$A11024="",0,IF(CONFIG_METADATA!$B$4&lt;&gt;"OR+EX",--(DATOS!$G11024=CONFIG_METADATA!$B$4),IF(DATOS!$G11024="EX",1,IF(DATOS!$G11024="OR",--(COUNTIFS(nNIA,DATOS!$A11024,nCURSO,DATOS!$D11024,nESPEC,DATOS!$E11024,nASIG,DATOS!$I11024,nEVAL,"EX")=0),0))))</f>
      </c>
      <c r="H11024">
        <f>IF(DATOS!$G11024&lt;&gt;"EX",0,--(COUNTIFS(nNIA,DATOS!$A11024,nCURSO,DATOS!$D11024,nESPEC,DATOS!$E11024,nASIG,DATOS!$I11024,nEVAL,"OR")=0))</f>
      </c>
      <c r="I11024">
        <f>IF(DATOS!$I11024="","",IFERROR(VLOOKUP(DATOS!$I11024,CONFIG_ASIGNATURAS!$B$2:$J$91,9,FALSE()),""))</f>
      </c>
    </row>
    <row r="11025">
      <c r="F11025">
        <f>IF(DATOS!$A11025="","",DATOS!$A11025&amp;"|"&amp;DATOS!$D11025&amp;"|"&amp;DATOS!$E11025&amp;"|"&amp;DATOS!$I11025)</f>
      </c>
      <c r="G11025">
        <f>IF(DATOS!$A11025="",0,IF(CONFIG_METADATA!$B$4&lt;&gt;"OR+EX",--(DATOS!$G11025=CONFIG_METADATA!$B$4),IF(DATOS!$G11025="EX",1,IF(DATOS!$G11025="OR",--(COUNTIFS(nNIA,DATOS!$A11025,nCURSO,DATOS!$D11025,nESPEC,DATOS!$E11025,nASIG,DATOS!$I11025,nEVAL,"EX")=0),0))))</f>
      </c>
      <c r="H11025">
        <f>IF(DATOS!$G11025&lt;&gt;"EX",0,--(COUNTIFS(nNIA,DATOS!$A11025,nCURSO,DATOS!$D11025,nESPEC,DATOS!$E11025,nASIG,DATOS!$I11025,nEVAL,"OR")=0))</f>
      </c>
      <c r="I11025">
        <f>IF(DATOS!$I11025="","",IFERROR(VLOOKUP(DATOS!$I11025,CONFIG_ASIGNATURAS!$B$2:$J$91,9,FALSE()),""))</f>
      </c>
    </row>
    <row r="11026">
      <c r="F11026">
        <f>IF(DATOS!$A11026="","",DATOS!$A11026&amp;"|"&amp;DATOS!$D11026&amp;"|"&amp;DATOS!$E11026&amp;"|"&amp;DATOS!$I11026)</f>
      </c>
      <c r="G11026">
        <f>IF(DATOS!$A11026="",0,IF(CONFIG_METADATA!$B$4&lt;&gt;"OR+EX",--(DATOS!$G11026=CONFIG_METADATA!$B$4),IF(DATOS!$G11026="EX",1,IF(DATOS!$G11026="OR",--(COUNTIFS(nNIA,DATOS!$A11026,nCURSO,DATOS!$D11026,nESPEC,DATOS!$E11026,nASIG,DATOS!$I11026,nEVAL,"EX")=0),0))))</f>
      </c>
      <c r="H11026">
        <f>IF(DATOS!$G11026&lt;&gt;"EX",0,--(COUNTIFS(nNIA,DATOS!$A11026,nCURSO,DATOS!$D11026,nESPEC,DATOS!$E11026,nASIG,DATOS!$I11026,nEVAL,"OR")=0))</f>
      </c>
      <c r="I11026">
        <f>IF(DATOS!$I11026="","",IFERROR(VLOOKUP(DATOS!$I11026,CONFIG_ASIGNATURAS!$B$2:$J$91,9,FALSE()),""))</f>
      </c>
    </row>
    <row r="11027">
      <c r="F11027">
        <f>IF(DATOS!$A11027="","",DATOS!$A11027&amp;"|"&amp;DATOS!$D11027&amp;"|"&amp;DATOS!$E11027&amp;"|"&amp;DATOS!$I11027)</f>
      </c>
      <c r="G11027">
        <f>IF(DATOS!$A11027="",0,IF(CONFIG_METADATA!$B$4&lt;&gt;"OR+EX",--(DATOS!$G11027=CONFIG_METADATA!$B$4),IF(DATOS!$G11027="EX",1,IF(DATOS!$G11027="OR",--(COUNTIFS(nNIA,DATOS!$A11027,nCURSO,DATOS!$D11027,nESPEC,DATOS!$E11027,nASIG,DATOS!$I11027,nEVAL,"EX")=0),0))))</f>
      </c>
      <c r="H11027">
        <f>IF(DATOS!$G11027&lt;&gt;"EX",0,--(COUNTIFS(nNIA,DATOS!$A11027,nCURSO,DATOS!$D11027,nESPEC,DATOS!$E11027,nASIG,DATOS!$I11027,nEVAL,"OR")=0))</f>
      </c>
      <c r="I11027">
        <f>IF(DATOS!$I11027="","",IFERROR(VLOOKUP(DATOS!$I11027,CONFIG_ASIGNATURAS!$B$2:$J$91,9,FALSE()),""))</f>
      </c>
    </row>
    <row r="11028">
      <c r="F11028">
        <f>IF(DATOS!$A11028="","",DATOS!$A11028&amp;"|"&amp;DATOS!$D11028&amp;"|"&amp;DATOS!$E11028&amp;"|"&amp;DATOS!$I11028)</f>
      </c>
      <c r="G11028">
        <f>IF(DATOS!$A11028="",0,IF(CONFIG_METADATA!$B$4&lt;&gt;"OR+EX",--(DATOS!$G11028=CONFIG_METADATA!$B$4),IF(DATOS!$G11028="EX",1,IF(DATOS!$G11028="OR",--(COUNTIFS(nNIA,DATOS!$A11028,nCURSO,DATOS!$D11028,nESPEC,DATOS!$E11028,nASIG,DATOS!$I11028,nEVAL,"EX")=0),0))))</f>
      </c>
      <c r="H11028">
        <f>IF(DATOS!$G11028&lt;&gt;"EX",0,--(COUNTIFS(nNIA,DATOS!$A11028,nCURSO,DATOS!$D11028,nESPEC,DATOS!$E11028,nASIG,DATOS!$I11028,nEVAL,"OR")=0))</f>
      </c>
      <c r="I11028">
        <f>IF(DATOS!$I11028="","",IFERROR(VLOOKUP(DATOS!$I11028,CONFIG_ASIGNATURAS!$B$2:$J$91,9,FALSE()),""))</f>
      </c>
    </row>
    <row r="11029">
      <c r="F11029">
        <f>IF(DATOS!$A11029="","",DATOS!$A11029&amp;"|"&amp;DATOS!$D11029&amp;"|"&amp;DATOS!$E11029&amp;"|"&amp;DATOS!$I11029)</f>
      </c>
      <c r="G11029">
        <f>IF(DATOS!$A11029="",0,IF(CONFIG_METADATA!$B$4&lt;&gt;"OR+EX",--(DATOS!$G11029=CONFIG_METADATA!$B$4),IF(DATOS!$G11029="EX",1,IF(DATOS!$G11029="OR",--(COUNTIFS(nNIA,DATOS!$A11029,nCURSO,DATOS!$D11029,nESPEC,DATOS!$E11029,nASIG,DATOS!$I11029,nEVAL,"EX")=0),0))))</f>
      </c>
      <c r="H11029">
        <f>IF(DATOS!$G11029&lt;&gt;"EX",0,--(COUNTIFS(nNIA,DATOS!$A11029,nCURSO,DATOS!$D11029,nESPEC,DATOS!$E11029,nASIG,DATOS!$I11029,nEVAL,"OR")=0))</f>
      </c>
      <c r="I11029">
        <f>IF(DATOS!$I11029="","",IFERROR(VLOOKUP(DATOS!$I11029,CONFIG_ASIGNATURAS!$B$2:$J$91,9,FALSE()),""))</f>
      </c>
    </row>
    <row r="11030">
      <c r="F11030">
        <f>IF(DATOS!$A11030="","",DATOS!$A11030&amp;"|"&amp;DATOS!$D11030&amp;"|"&amp;DATOS!$E11030&amp;"|"&amp;DATOS!$I11030)</f>
      </c>
      <c r="G11030">
        <f>IF(DATOS!$A11030="",0,IF(CONFIG_METADATA!$B$4&lt;&gt;"OR+EX",--(DATOS!$G11030=CONFIG_METADATA!$B$4),IF(DATOS!$G11030="EX",1,IF(DATOS!$G11030="OR",--(COUNTIFS(nNIA,DATOS!$A11030,nCURSO,DATOS!$D11030,nESPEC,DATOS!$E11030,nASIG,DATOS!$I11030,nEVAL,"EX")=0),0))))</f>
      </c>
      <c r="H11030">
        <f>IF(DATOS!$G11030&lt;&gt;"EX",0,--(COUNTIFS(nNIA,DATOS!$A11030,nCURSO,DATOS!$D11030,nESPEC,DATOS!$E11030,nASIG,DATOS!$I11030,nEVAL,"OR")=0))</f>
      </c>
      <c r="I11030">
        <f>IF(DATOS!$I11030="","",IFERROR(VLOOKUP(DATOS!$I11030,CONFIG_ASIGNATURAS!$B$2:$J$91,9,FALSE()),""))</f>
      </c>
    </row>
    <row r="11031">
      <c r="F11031">
        <f>IF(DATOS!$A11031="","",DATOS!$A11031&amp;"|"&amp;DATOS!$D11031&amp;"|"&amp;DATOS!$E11031&amp;"|"&amp;DATOS!$I11031)</f>
      </c>
      <c r="G11031">
        <f>IF(DATOS!$A11031="",0,IF(CONFIG_METADATA!$B$4&lt;&gt;"OR+EX",--(DATOS!$G11031=CONFIG_METADATA!$B$4),IF(DATOS!$G11031="EX",1,IF(DATOS!$G11031="OR",--(COUNTIFS(nNIA,DATOS!$A11031,nCURSO,DATOS!$D11031,nESPEC,DATOS!$E11031,nASIG,DATOS!$I11031,nEVAL,"EX")=0),0))))</f>
      </c>
      <c r="H11031">
        <f>IF(DATOS!$G11031&lt;&gt;"EX",0,--(COUNTIFS(nNIA,DATOS!$A11031,nCURSO,DATOS!$D11031,nESPEC,DATOS!$E11031,nASIG,DATOS!$I11031,nEVAL,"OR")=0))</f>
      </c>
      <c r="I11031">
        <f>IF(DATOS!$I11031="","",IFERROR(VLOOKUP(DATOS!$I11031,CONFIG_ASIGNATURAS!$B$2:$J$91,9,FALSE()),""))</f>
      </c>
    </row>
    <row r="11032">
      <c r="F11032">
        <f>IF(DATOS!$A11032="","",DATOS!$A11032&amp;"|"&amp;DATOS!$D11032&amp;"|"&amp;DATOS!$E11032&amp;"|"&amp;DATOS!$I11032)</f>
      </c>
      <c r="G11032">
        <f>IF(DATOS!$A11032="",0,IF(CONFIG_METADATA!$B$4&lt;&gt;"OR+EX",--(DATOS!$G11032=CONFIG_METADATA!$B$4),IF(DATOS!$G11032="EX",1,IF(DATOS!$G11032="OR",--(COUNTIFS(nNIA,DATOS!$A11032,nCURSO,DATOS!$D11032,nESPEC,DATOS!$E11032,nASIG,DATOS!$I11032,nEVAL,"EX")=0),0))))</f>
      </c>
      <c r="H11032">
        <f>IF(DATOS!$G11032&lt;&gt;"EX",0,--(COUNTIFS(nNIA,DATOS!$A11032,nCURSO,DATOS!$D11032,nESPEC,DATOS!$E11032,nASIG,DATOS!$I11032,nEVAL,"OR")=0))</f>
      </c>
      <c r="I11032">
        <f>IF(DATOS!$I11032="","",IFERROR(VLOOKUP(DATOS!$I11032,CONFIG_ASIGNATURAS!$B$2:$J$91,9,FALSE()),""))</f>
      </c>
    </row>
    <row r="11033">
      <c r="F11033">
        <f>IF(DATOS!$A11033="","",DATOS!$A11033&amp;"|"&amp;DATOS!$D11033&amp;"|"&amp;DATOS!$E11033&amp;"|"&amp;DATOS!$I11033)</f>
      </c>
      <c r="G11033">
        <f>IF(DATOS!$A11033="",0,IF(CONFIG_METADATA!$B$4&lt;&gt;"OR+EX",--(DATOS!$G11033=CONFIG_METADATA!$B$4),IF(DATOS!$G11033="EX",1,IF(DATOS!$G11033="OR",--(COUNTIFS(nNIA,DATOS!$A11033,nCURSO,DATOS!$D11033,nESPEC,DATOS!$E11033,nASIG,DATOS!$I11033,nEVAL,"EX")=0),0))))</f>
      </c>
      <c r="H11033">
        <f>IF(DATOS!$G11033&lt;&gt;"EX",0,--(COUNTIFS(nNIA,DATOS!$A11033,nCURSO,DATOS!$D11033,nESPEC,DATOS!$E11033,nASIG,DATOS!$I11033,nEVAL,"OR")=0))</f>
      </c>
      <c r="I11033">
        <f>IF(DATOS!$I11033="","",IFERROR(VLOOKUP(DATOS!$I11033,CONFIG_ASIGNATURAS!$B$2:$J$91,9,FALSE()),""))</f>
      </c>
    </row>
    <row r="11034">
      <c r="F11034">
        <f>IF(DATOS!$A11034="","",DATOS!$A11034&amp;"|"&amp;DATOS!$D11034&amp;"|"&amp;DATOS!$E11034&amp;"|"&amp;DATOS!$I11034)</f>
      </c>
      <c r="G11034">
        <f>IF(DATOS!$A11034="",0,IF(CONFIG_METADATA!$B$4&lt;&gt;"OR+EX",--(DATOS!$G11034=CONFIG_METADATA!$B$4),IF(DATOS!$G11034="EX",1,IF(DATOS!$G11034="OR",--(COUNTIFS(nNIA,DATOS!$A11034,nCURSO,DATOS!$D11034,nESPEC,DATOS!$E11034,nASIG,DATOS!$I11034,nEVAL,"EX")=0),0))))</f>
      </c>
      <c r="H11034">
        <f>IF(DATOS!$G11034&lt;&gt;"EX",0,--(COUNTIFS(nNIA,DATOS!$A11034,nCURSO,DATOS!$D11034,nESPEC,DATOS!$E11034,nASIG,DATOS!$I11034,nEVAL,"OR")=0))</f>
      </c>
      <c r="I11034">
        <f>IF(DATOS!$I11034="","",IFERROR(VLOOKUP(DATOS!$I11034,CONFIG_ASIGNATURAS!$B$2:$J$91,9,FALSE()),""))</f>
      </c>
    </row>
    <row r="11035">
      <c r="F11035">
        <f>IF(DATOS!$A11035="","",DATOS!$A11035&amp;"|"&amp;DATOS!$D11035&amp;"|"&amp;DATOS!$E11035&amp;"|"&amp;DATOS!$I11035)</f>
      </c>
      <c r="G11035">
        <f>IF(DATOS!$A11035="",0,IF(CONFIG_METADATA!$B$4&lt;&gt;"OR+EX",--(DATOS!$G11035=CONFIG_METADATA!$B$4),IF(DATOS!$G11035="EX",1,IF(DATOS!$G11035="OR",--(COUNTIFS(nNIA,DATOS!$A11035,nCURSO,DATOS!$D11035,nESPEC,DATOS!$E11035,nASIG,DATOS!$I11035,nEVAL,"EX")=0),0))))</f>
      </c>
      <c r="H11035">
        <f>IF(DATOS!$G11035&lt;&gt;"EX",0,--(COUNTIFS(nNIA,DATOS!$A11035,nCURSO,DATOS!$D11035,nESPEC,DATOS!$E11035,nASIG,DATOS!$I11035,nEVAL,"OR")=0))</f>
      </c>
      <c r="I11035">
        <f>IF(DATOS!$I11035="","",IFERROR(VLOOKUP(DATOS!$I11035,CONFIG_ASIGNATURAS!$B$2:$J$91,9,FALSE()),""))</f>
      </c>
    </row>
    <row r="11036">
      <c r="F11036">
        <f>IF(DATOS!$A11036="","",DATOS!$A11036&amp;"|"&amp;DATOS!$D11036&amp;"|"&amp;DATOS!$E11036&amp;"|"&amp;DATOS!$I11036)</f>
      </c>
      <c r="G11036">
        <f>IF(DATOS!$A11036="",0,IF(CONFIG_METADATA!$B$4&lt;&gt;"OR+EX",--(DATOS!$G11036=CONFIG_METADATA!$B$4),IF(DATOS!$G11036="EX",1,IF(DATOS!$G11036="OR",--(COUNTIFS(nNIA,DATOS!$A11036,nCURSO,DATOS!$D11036,nESPEC,DATOS!$E11036,nASIG,DATOS!$I11036,nEVAL,"EX")=0),0))))</f>
      </c>
      <c r="H11036">
        <f>IF(DATOS!$G11036&lt;&gt;"EX",0,--(COUNTIFS(nNIA,DATOS!$A11036,nCURSO,DATOS!$D11036,nESPEC,DATOS!$E11036,nASIG,DATOS!$I11036,nEVAL,"OR")=0))</f>
      </c>
      <c r="I11036">
        <f>IF(DATOS!$I11036="","",IFERROR(VLOOKUP(DATOS!$I11036,CONFIG_ASIGNATURAS!$B$2:$J$91,9,FALSE()),""))</f>
      </c>
    </row>
    <row r="11037">
      <c r="F11037">
        <f>IF(DATOS!$A11037="","",DATOS!$A11037&amp;"|"&amp;DATOS!$D11037&amp;"|"&amp;DATOS!$E11037&amp;"|"&amp;DATOS!$I11037)</f>
      </c>
      <c r="G11037">
        <f>IF(DATOS!$A11037="",0,IF(CONFIG_METADATA!$B$4&lt;&gt;"OR+EX",--(DATOS!$G11037=CONFIG_METADATA!$B$4),IF(DATOS!$G11037="EX",1,IF(DATOS!$G11037="OR",--(COUNTIFS(nNIA,DATOS!$A11037,nCURSO,DATOS!$D11037,nESPEC,DATOS!$E11037,nASIG,DATOS!$I11037,nEVAL,"EX")=0),0))))</f>
      </c>
      <c r="H11037">
        <f>IF(DATOS!$G11037&lt;&gt;"EX",0,--(COUNTIFS(nNIA,DATOS!$A11037,nCURSO,DATOS!$D11037,nESPEC,DATOS!$E11037,nASIG,DATOS!$I11037,nEVAL,"OR")=0))</f>
      </c>
      <c r="I11037">
        <f>IF(DATOS!$I11037="","",IFERROR(VLOOKUP(DATOS!$I11037,CONFIG_ASIGNATURAS!$B$2:$J$91,9,FALSE()),""))</f>
      </c>
    </row>
    <row r="11038">
      <c r="F11038">
        <f>IF(DATOS!$A11038="","",DATOS!$A11038&amp;"|"&amp;DATOS!$D11038&amp;"|"&amp;DATOS!$E11038&amp;"|"&amp;DATOS!$I11038)</f>
      </c>
      <c r="G11038">
        <f>IF(DATOS!$A11038="",0,IF(CONFIG_METADATA!$B$4&lt;&gt;"OR+EX",--(DATOS!$G11038=CONFIG_METADATA!$B$4),IF(DATOS!$G11038="EX",1,IF(DATOS!$G11038="OR",--(COUNTIFS(nNIA,DATOS!$A11038,nCURSO,DATOS!$D11038,nESPEC,DATOS!$E11038,nASIG,DATOS!$I11038,nEVAL,"EX")=0),0))))</f>
      </c>
      <c r="H11038">
        <f>IF(DATOS!$G11038&lt;&gt;"EX",0,--(COUNTIFS(nNIA,DATOS!$A11038,nCURSO,DATOS!$D11038,nESPEC,DATOS!$E11038,nASIG,DATOS!$I11038,nEVAL,"OR")=0))</f>
      </c>
      <c r="I11038">
        <f>IF(DATOS!$I11038="","",IFERROR(VLOOKUP(DATOS!$I11038,CONFIG_ASIGNATURAS!$B$2:$J$91,9,FALSE()),""))</f>
      </c>
    </row>
    <row r="11039">
      <c r="F11039">
        <f>IF(DATOS!$A11039="","",DATOS!$A11039&amp;"|"&amp;DATOS!$D11039&amp;"|"&amp;DATOS!$E11039&amp;"|"&amp;DATOS!$I11039)</f>
      </c>
      <c r="G11039">
        <f>IF(DATOS!$A11039="",0,IF(CONFIG_METADATA!$B$4&lt;&gt;"OR+EX",--(DATOS!$G11039=CONFIG_METADATA!$B$4),IF(DATOS!$G11039="EX",1,IF(DATOS!$G11039="OR",--(COUNTIFS(nNIA,DATOS!$A11039,nCURSO,DATOS!$D11039,nESPEC,DATOS!$E11039,nASIG,DATOS!$I11039,nEVAL,"EX")=0),0))))</f>
      </c>
      <c r="H11039">
        <f>IF(DATOS!$G11039&lt;&gt;"EX",0,--(COUNTIFS(nNIA,DATOS!$A11039,nCURSO,DATOS!$D11039,nESPEC,DATOS!$E11039,nASIG,DATOS!$I11039,nEVAL,"OR")=0))</f>
      </c>
      <c r="I11039">
        <f>IF(DATOS!$I11039="","",IFERROR(VLOOKUP(DATOS!$I11039,CONFIG_ASIGNATURAS!$B$2:$J$91,9,FALSE()),""))</f>
      </c>
    </row>
    <row r="11040">
      <c r="F11040">
        <f>IF(DATOS!$A11040="","",DATOS!$A11040&amp;"|"&amp;DATOS!$D11040&amp;"|"&amp;DATOS!$E11040&amp;"|"&amp;DATOS!$I11040)</f>
      </c>
      <c r="G11040">
        <f>IF(DATOS!$A11040="",0,IF(CONFIG_METADATA!$B$4&lt;&gt;"OR+EX",--(DATOS!$G11040=CONFIG_METADATA!$B$4),IF(DATOS!$G11040="EX",1,IF(DATOS!$G11040="OR",--(COUNTIFS(nNIA,DATOS!$A11040,nCURSO,DATOS!$D11040,nESPEC,DATOS!$E11040,nASIG,DATOS!$I11040,nEVAL,"EX")=0),0))))</f>
      </c>
      <c r="H11040">
        <f>IF(DATOS!$G11040&lt;&gt;"EX",0,--(COUNTIFS(nNIA,DATOS!$A11040,nCURSO,DATOS!$D11040,nESPEC,DATOS!$E11040,nASIG,DATOS!$I11040,nEVAL,"OR")=0))</f>
      </c>
      <c r="I11040">
        <f>IF(DATOS!$I11040="","",IFERROR(VLOOKUP(DATOS!$I11040,CONFIG_ASIGNATURAS!$B$2:$J$91,9,FALSE()),""))</f>
      </c>
    </row>
    <row r="11041">
      <c r="F11041">
        <f>IF(DATOS!$A11041="","",DATOS!$A11041&amp;"|"&amp;DATOS!$D11041&amp;"|"&amp;DATOS!$E11041&amp;"|"&amp;DATOS!$I11041)</f>
      </c>
      <c r="G11041">
        <f>IF(DATOS!$A11041="",0,IF(CONFIG_METADATA!$B$4&lt;&gt;"OR+EX",--(DATOS!$G11041=CONFIG_METADATA!$B$4),IF(DATOS!$G11041="EX",1,IF(DATOS!$G11041="OR",--(COUNTIFS(nNIA,DATOS!$A11041,nCURSO,DATOS!$D11041,nESPEC,DATOS!$E11041,nASIG,DATOS!$I11041,nEVAL,"EX")=0),0))))</f>
      </c>
      <c r="H11041">
        <f>IF(DATOS!$G11041&lt;&gt;"EX",0,--(COUNTIFS(nNIA,DATOS!$A11041,nCURSO,DATOS!$D11041,nESPEC,DATOS!$E11041,nASIG,DATOS!$I11041,nEVAL,"OR")=0))</f>
      </c>
      <c r="I11041">
        <f>IF(DATOS!$I11041="","",IFERROR(VLOOKUP(DATOS!$I11041,CONFIG_ASIGNATURAS!$B$2:$J$91,9,FALSE()),""))</f>
      </c>
    </row>
    <row r="11042">
      <c r="F11042">
        <f>IF(DATOS!$A11042="","",DATOS!$A11042&amp;"|"&amp;DATOS!$D11042&amp;"|"&amp;DATOS!$E11042&amp;"|"&amp;DATOS!$I11042)</f>
      </c>
      <c r="G11042">
        <f>IF(DATOS!$A11042="",0,IF(CONFIG_METADATA!$B$4&lt;&gt;"OR+EX",--(DATOS!$G11042=CONFIG_METADATA!$B$4),IF(DATOS!$G11042="EX",1,IF(DATOS!$G11042="OR",--(COUNTIFS(nNIA,DATOS!$A11042,nCURSO,DATOS!$D11042,nESPEC,DATOS!$E11042,nASIG,DATOS!$I11042,nEVAL,"EX")=0),0))))</f>
      </c>
      <c r="H11042">
        <f>IF(DATOS!$G11042&lt;&gt;"EX",0,--(COUNTIFS(nNIA,DATOS!$A11042,nCURSO,DATOS!$D11042,nESPEC,DATOS!$E11042,nASIG,DATOS!$I11042,nEVAL,"OR")=0))</f>
      </c>
      <c r="I11042">
        <f>IF(DATOS!$I11042="","",IFERROR(VLOOKUP(DATOS!$I11042,CONFIG_ASIGNATURAS!$B$2:$J$91,9,FALSE()),""))</f>
      </c>
    </row>
    <row r="11043">
      <c r="F11043">
        <f>IF(DATOS!$A11043="","",DATOS!$A11043&amp;"|"&amp;DATOS!$D11043&amp;"|"&amp;DATOS!$E11043&amp;"|"&amp;DATOS!$I11043)</f>
      </c>
      <c r="G11043">
        <f>IF(DATOS!$A11043="",0,IF(CONFIG_METADATA!$B$4&lt;&gt;"OR+EX",--(DATOS!$G11043=CONFIG_METADATA!$B$4),IF(DATOS!$G11043="EX",1,IF(DATOS!$G11043="OR",--(COUNTIFS(nNIA,DATOS!$A11043,nCURSO,DATOS!$D11043,nESPEC,DATOS!$E11043,nASIG,DATOS!$I11043,nEVAL,"EX")=0),0))))</f>
      </c>
      <c r="H11043">
        <f>IF(DATOS!$G11043&lt;&gt;"EX",0,--(COUNTIFS(nNIA,DATOS!$A11043,nCURSO,DATOS!$D11043,nESPEC,DATOS!$E11043,nASIG,DATOS!$I11043,nEVAL,"OR")=0))</f>
      </c>
      <c r="I11043">
        <f>IF(DATOS!$I11043="","",IFERROR(VLOOKUP(DATOS!$I11043,CONFIG_ASIGNATURAS!$B$2:$J$91,9,FALSE()),""))</f>
      </c>
    </row>
    <row r="11044">
      <c r="F11044">
        <f>IF(DATOS!$A11044="","",DATOS!$A11044&amp;"|"&amp;DATOS!$D11044&amp;"|"&amp;DATOS!$E11044&amp;"|"&amp;DATOS!$I11044)</f>
      </c>
      <c r="G11044">
        <f>IF(DATOS!$A11044="",0,IF(CONFIG_METADATA!$B$4&lt;&gt;"OR+EX",--(DATOS!$G11044=CONFIG_METADATA!$B$4),IF(DATOS!$G11044="EX",1,IF(DATOS!$G11044="OR",--(COUNTIFS(nNIA,DATOS!$A11044,nCURSO,DATOS!$D11044,nESPEC,DATOS!$E11044,nASIG,DATOS!$I11044,nEVAL,"EX")=0),0))))</f>
      </c>
      <c r="H11044">
        <f>IF(DATOS!$G11044&lt;&gt;"EX",0,--(COUNTIFS(nNIA,DATOS!$A11044,nCURSO,DATOS!$D11044,nESPEC,DATOS!$E11044,nASIG,DATOS!$I11044,nEVAL,"OR")=0))</f>
      </c>
      <c r="I11044">
        <f>IF(DATOS!$I11044="","",IFERROR(VLOOKUP(DATOS!$I11044,CONFIG_ASIGNATURAS!$B$2:$J$91,9,FALSE()),""))</f>
      </c>
    </row>
    <row r="11045">
      <c r="F11045">
        <f>IF(DATOS!$A11045="","",DATOS!$A11045&amp;"|"&amp;DATOS!$D11045&amp;"|"&amp;DATOS!$E11045&amp;"|"&amp;DATOS!$I11045)</f>
      </c>
      <c r="G11045">
        <f>IF(DATOS!$A11045="",0,IF(CONFIG_METADATA!$B$4&lt;&gt;"OR+EX",--(DATOS!$G11045=CONFIG_METADATA!$B$4),IF(DATOS!$G11045="EX",1,IF(DATOS!$G11045="OR",--(COUNTIFS(nNIA,DATOS!$A11045,nCURSO,DATOS!$D11045,nESPEC,DATOS!$E11045,nASIG,DATOS!$I11045,nEVAL,"EX")=0),0))))</f>
      </c>
      <c r="H11045">
        <f>IF(DATOS!$G11045&lt;&gt;"EX",0,--(COUNTIFS(nNIA,DATOS!$A11045,nCURSO,DATOS!$D11045,nESPEC,DATOS!$E11045,nASIG,DATOS!$I11045,nEVAL,"OR")=0))</f>
      </c>
      <c r="I11045">
        <f>IF(DATOS!$I11045="","",IFERROR(VLOOKUP(DATOS!$I11045,CONFIG_ASIGNATURAS!$B$2:$J$91,9,FALSE()),""))</f>
      </c>
    </row>
    <row r="11046">
      <c r="F11046">
        <f>IF(DATOS!$A11046="","",DATOS!$A11046&amp;"|"&amp;DATOS!$D11046&amp;"|"&amp;DATOS!$E11046&amp;"|"&amp;DATOS!$I11046)</f>
      </c>
      <c r="G11046">
        <f>IF(DATOS!$A11046="",0,IF(CONFIG_METADATA!$B$4&lt;&gt;"OR+EX",--(DATOS!$G11046=CONFIG_METADATA!$B$4),IF(DATOS!$G11046="EX",1,IF(DATOS!$G11046="OR",--(COUNTIFS(nNIA,DATOS!$A11046,nCURSO,DATOS!$D11046,nESPEC,DATOS!$E11046,nASIG,DATOS!$I11046,nEVAL,"EX")=0),0))))</f>
      </c>
      <c r="H11046">
        <f>IF(DATOS!$G11046&lt;&gt;"EX",0,--(COUNTIFS(nNIA,DATOS!$A11046,nCURSO,DATOS!$D11046,nESPEC,DATOS!$E11046,nASIG,DATOS!$I11046,nEVAL,"OR")=0))</f>
      </c>
      <c r="I11046">
        <f>IF(DATOS!$I11046="","",IFERROR(VLOOKUP(DATOS!$I11046,CONFIG_ASIGNATURAS!$B$2:$J$91,9,FALSE()),""))</f>
      </c>
    </row>
    <row r="11047">
      <c r="F11047">
        <f>IF(DATOS!$A11047="","",DATOS!$A11047&amp;"|"&amp;DATOS!$D11047&amp;"|"&amp;DATOS!$E11047&amp;"|"&amp;DATOS!$I11047)</f>
      </c>
      <c r="G11047">
        <f>IF(DATOS!$A11047="",0,IF(CONFIG_METADATA!$B$4&lt;&gt;"OR+EX",--(DATOS!$G11047=CONFIG_METADATA!$B$4),IF(DATOS!$G11047="EX",1,IF(DATOS!$G11047="OR",--(COUNTIFS(nNIA,DATOS!$A11047,nCURSO,DATOS!$D11047,nESPEC,DATOS!$E11047,nASIG,DATOS!$I11047,nEVAL,"EX")=0),0))))</f>
      </c>
      <c r="H11047">
        <f>IF(DATOS!$G11047&lt;&gt;"EX",0,--(COUNTIFS(nNIA,DATOS!$A11047,nCURSO,DATOS!$D11047,nESPEC,DATOS!$E11047,nASIG,DATOS!$I11047,nEVAL,"OR")=0))</f>
      </c>
      <c r="I11047">
        <f>IF(DATOS!$I11047="","",IFERROR(VLOOKUP(DATOS!$I11047,CONFIG_ASIGNATURAS!$B$2:$J$91,9,FALSE()),""))</f>
      </c>
    </row>
    <row r="11048">
      <c r="F11048">
        <f>IF(DATOS!$A11048="","",DATOS!$A11048&amp;"|"&amp;DATOS!$D11048&amp;"|"&amp;DATOS!$E11048&amp;"|"&amp;DATOS!$I11048)</f>
      </c>
      <c r="G11048">
        <f>IF(DATOS!$A11048="",0,IF(CONFIG_METADATA!$B$4&lt;&gt;"OR+EX",--(DATOS!$G11048=CONFIG_METADATA!$B$4),IF(DATOS!$G11048="EX",1,IF(DATOS!$G11048="OR",--(COUNTIFS(nNIA,DATOS!$A11048,nCURSO,DATOS!$D11048,nESPEC,DATOS!$E11048,nASIG,DATOS!$I11048,nEVAL,"EX")=0),0))))</f>
      </c>
      <c r="H11048">
        <f>IF(DATOS!$G11048&lt;&gt;"EX",0,--(COUNTIFS(nNIA,DATOS!$A11048,nCURSO,DATOS!$D11048,nESPEC,DATOS!$E11048,nASIG,DATOS!$I11048,nEVAL,"OR")=0))</f>
      </c>
      <c r="I11048">
        <f>IF(DATOS!$I11048="","",IFERROR(VLOOKUP(DATOS!$I11048,CONFIG_ASIGNATURAS!$B$2:$J$91,9,FALSE()),""))</f>
      </c>
    </row>
    <row r="11049">
      <c r="F11049">
        <f>IF(DATOS!$A11049="","",DATOS!$A11049&amp;"|"&amp;DATOS!$D11049&amp;"|"&amp;DATOS!$E11049&amp;"|"&amp;DATOS!$I11049)</f>
      </c>
      <c r="G11049">
        <f>IF(DATOS!$A11049="",0,IF(CONFIG_METADATA!$B$4&lt;&gt;"OR+EX",--(DATOS!$G11049=CONFIG_METADATA!$B$4),IF(DATOS!$G11049="EX",1,IF(DATOS!$G11049="OR",--(COUNTIFS(nNIA,DATOS!$A11049,nCURSO,DATOS!$D11049,nESPEC,DATOS!$E11049,nASIG,DATOS!$I11049,nEVAL,"EX")=0),0))))</f>
      </c>
      <c r="H11049">
        <f>IF(DATOS!$G11049&lt;&gt;"EX",0,--(COUNTIFS(nNIA,DATOS!$A11049,nCURSO,DATOS!$D11049,nESPEC,DATOS!$E11049,nASIG,DATOS!$I11049,nEVAL,"OR")=0))</f>
      </c>
      <c r="I11049">
        <f>IF(DATOS!$I11049="","",IFERROR(VLOOKUP(DATOS!$I11049,CONFIG_ASIGNATURAS!$B$2:$J$91,9,FALSE()),""))</f>
      </c>
    </row>
    <row r="11050">
      <c r="F11050">
        <f>IF(DATOS!$A11050="","",DATOS!$A11050&amp;"|"&amp;DATOS!$D11050&amp;"|"&amp;DATOS!$E11050&amp;"|"&amp;DATOS!$I11050)</f>
      </c>
      <c r="G11050">
        <f>IF(DATOS!$A11050="",0,IF(CONFIG_METADATA!$B$4&lt;&gt;"OR+EX",--(DATOS!$G11050=CONFIG_METADATA!$B$4),IF(DATOS!$G11050="EX",1,IF(DATOS!$G11050="OR",--(COUNTIFS(nNIA,DATOS!$A11050,nCURSO,DATOS!$D11050,nESPEC,DATOS!$E11050,nASIG,DATOS!$I11050,nEVAL,"EX")=0),0))))</f>
      </c>
      <c r="H11050">
        <f>IF(DATOS!$G11050&lt;&gt;"EX",0,--(COUNTIFS(nNIA,DATOS!$A11050,nCURSO,DATOS!$D11050,nESPEC,DATOS!$E11050,nASIG,DATOS!$I11050,nEVAL,"OR")=0))</f>
      </c>
      <c r="I11050">
        <f>IF(DATOS!$I11050="","",IFERROR(VLOOKUP(DATOS!$I11050,CONFIG_ASIGNATURAS!$B$2:$J$91,9,FALSE()),""))</f>
      </c>
    </row>
    <row r="11051">
      <c r="F11051">
        <f>IF(DATOS!$A11051="","",DATOS!$A11051&amp;"|"&amp;DATOS!$D11051&amp;"|"&amp;DATOS!$E11051&amp;"|"&amp;DATOS!$I11051)</f>
      </c>
      <c r="G11051">
        <f>IF(DATOS!$A11051="",0,IF(CONFIG_METADATA!$B$4&lt;&gt;"OR+EX",--(DATOS!$G11051=CONFIG_METADATA!$B$4),IF(DATOS!$G11051="EX",1,IF(DATOS!$G11051="OR",--(COUNTIFS(nNIA,DATOS!$A11051,nCURSO,DATOS!$D11051,nESPEC,DATOS!$E11051,nASIG,DATOS!$I11051,nEVAL,"EX")=0),0))))</f>
      </c>
      <c r="H11051">
        <f>IF(DATOS!$G11051&lt;&gt;"EX",0,--(COUNTIFS(nNIA,DATOS!$A11051,nCURSO,DATOS!$D11051,nESPEC,DATOS!$E11051,nASIG,DATOS!$I11051,nEVAL,"OR")=0))</f>
      </c>
      <c r="I11051">
        <f>IF(DATOS!$I11051="","",IFERROR(VLOOKUP(DATOS!$I11051,CONFIG_ASIGNATURAS!$B$2:$J$91,9,FALSE()),""))</f>
      </c>
    </row>
    <row r="11052">
      <c r="F11052">
        <f>IF(DATOS!$A11052="","",DATOS!$A11052&amp;"|"&amp;DATOS!$D11052&amp;"|"&amp;DATOS!$E11052&amp;"|"&amp;DATOS!$I11052)</f>
      </c>
      <c r="G11052">
        <f>IF(DATOS!$A11052="",0,IF(CONFIG_METADATA!$B$4&lt;&gt;"OR+EX",--(DATOS!$G11052=CONFIG_METADATA!$B$4),IF(DATOS!$G11052="EX",1,IF(DATOS!$G11052="OR",--(COUNTIFS(nNIA,DATOS!$A11052,nCURSO,DATOS!$D11052,nESPEC,DATOS!$E11052,nASIG,DATOS!$I11052,nEVAL,"EX")=0),0))))</f>
      </c>
      <c r="H11052">
        <f>IF(DATOS!$G11052&lt;&gt;"EX",0,--(COUNTIFS(nNIA,DATOS!$A11052,nCURSO,DATOS!$D11052,nESPEC,DATOS!$E11052,nASIG,DATOS!$I11052,nEVAL,"OR")=0))</f>
      </c>
      <c r="I11052">
        <f>IF(DATOS!$I11052="","",IFERROR(VLOOKUP(DATOS!$I11052,CONFIG_ASIGNATURAS!$B$2:$J$91,9,FALSE()),""))</f>
      </c>
    </row>
    <row r="11053">
      <c r="F11053">
        <f>IF(DATOS!$A11053="","",DATOS!$A11053&amp;"|"&amp;DATOS!$D11053&amp;"|"&amp;DATOS!$E11053&amp;"|"&amp;DATOS!$I11053)</f>
      </c>
      <c r="G11053">
        <f>IF(DATOS!$A11053="",0,IF(CONFIG_METADATA!$B$4&lt;&gt;"OR+EX",--(DATOS!$G11053=CONFIG_METADATA!$B$4),IF(DATOS!$G11053="EX",1,IF(DATOS!$G11053="OR",--(COUNTIFS(nNIA,DATOS!$A11053,nCURSO,DATOS!$D11053,nESPEC,DATOS!$E11053,nASIG,DATOS!$I11053,nEVAL,"EX")=0),0))))</f>
      </c>
      <c r="H11053">
        <f>IF(DATOS!$G11053&lt;&gt;"EX",0,--(COUNTIFS(nNIA,DATOS!$A11053,nCURSO,DATOS!$D11053,nESPEC,DATOS!$E11053,nASIG,DATOS!$I11053,nEVAL,"OR")=0))</f>
      </c>
      <c r="I11053">
        <f>IF(DATOS!$I11053="","",IFERROR(VLOOKUP(DATOS!$I11053,CONFIG_ASIGNATURAS!$B$2:$J$91,9,FALSE()),""))</f>
      </c>
    </row>
    <row r="11054">
      <c r="F11054">
        <f>IF(DATOS!$A11054="","",DATOS!$A11054&amp;"|"&amp;DATOS!$D11054&amp;"|"&amp;DATOS!$E11054&amp;"|"&amp;DATOS!$I11054)</f>
      </c>
      <c r="G11054">
        <f>IF(DATOS!$A11054="",0,IF(CONFIG_METADATA!$B$4&lt;&gt;"OR+EX",--(DATOS!$G11054=CONFIG_METADATA!$B$4),IF(DATOS!$G11054="EX",1,IF(DATOS!$G11054="OR",--(COUNTIFS(nNIA,DATOS!$A11054,nCURSO,DATOS!$D11054,nESPEC,DATOS!$E11054,nASIG,DATOS!$I11054,nEVAL,"EX")=0),0))))</f>
      </c>
      <c r="H11054">
        <f>IF(DATOS!$G11054&lt;&gt;"EX",0,--(COUNTIFS(nNIA,DATOS!$A11054,nCURSO,DATOS!$D11054,nESPEC,DATOS!$E11054,nASIG,DATOS!$I11054,nEVAL,"OR")=0))</f>
      </c>
      <c r="I11054">
        <f>IF(DATOS!$I11054="","",IFERROR(VLOOKUP(DATOS!$I11054,CONFIG_ASIGNATURAS!$B$2:$J$91,9,FALSE()),""))</f>
      </c>
    </row>
    <row r="11055">
      <c r="F11055">
        <f>IF(DATOS!$A11055="","",DATOS!$A11055&amp;"|"&amp;DATOS!$D11055&amp;"|"&amp;DATOS!$E11055&amp;"|"&amp;DATOS!$I11055)</f>
      </c>
      <c r="G11055">
        <f>IF(DATOS!$A11055="",0,IF(CONFIG_METADATA!$B$4&lt;&gt;"OR+EX",--(DATOS!$G11055=CONFIG_METADATA!$B$4),IF(DATOS!$G11055="EX",1,IF(DATOS!$G11055="OR",--(COUNTIFS(nNIA,DATOS!$A11055,nCURSO,DATOS!$D11055,nESPEC,DATOS!$E11055,nASIG,DATOS!$I11055,nEVAL,"EX")=0),0))))</f>
      </c>
      <c r="H11055">
        <f>IF(DATOS!$G11055&lt;&gt;"EX",0,--(COUNTIFS(nNIA,DATOS!$A11055,nCURSO,DATOS!$D11055,nESPEC,DATOS!$E11055,nASIG,DATOS!$I11055,nEVAL,"OR")=0))</f>
      </c>
      <c r="I11055">
        <f>IF(DATOS!$I11055="","",IFERROR(VLOOKUP(DATOS!$I11055,CONFIG_ASIGNATURAS!$B$2:$J$91,9,FALSE()),""))</f>
      </c>
    </row>
    <row r="11056">
      <c r="F11056">
        <f>IF(DATOS!$A11056="","",DATOS!$A11056&amp;"|"&amp;DATOS!$D11056&amp;"|"&amp;DATOS!$E11056&amp;"|"&amp;DATOS!$I11056)</f>
      </c>
      <c r="G11056">
        <f>IF(DATOS!$A11056="",0,IF(CONFIG_METADATA!$B$4&lt;&gt;"OR+EX",--(DATOS!$G11056=CONFIG_METADATA!$B$4),IF(DATOS!$G11056="EX",1,IF(DATOS!$G11056="OR",--(COUNTIFS(nNIA,DATOS!$A11056,nCURSO,DATOS!$D11056,nESPEC,DATOS!$E11056,nASIG,DATOS!$I11056,nEVAL,"EX")=0),0))))</f>
      </c>
      <c r="H11056">
        <f>IF(DATOS!$G11056&lt;&gt;"EX",0,--(COUNTIFS(nNIA,DATOS!$A11056,nCURSO,DATOS!$D11056,nESPEC,DATOS!$E11056,nASIG,DATOS!$I11056,nEVAL,"OR")=0))</f>
      </c>
      <c r="I11056">
        <f>IF(DATOS!$I11056="","",IFERROR(VLOOKUP(DATOS!$I11056,CONFIG_ASIGNATURAS!$B$2:$J$91,9,FALSE()),""))</f>
      </c>
    </row>
    <row r="11057">
      <c r="F11057">
        <f>IF(DATOS!$A11057="","",DATOS!$A11057&amp;"|"&amp;DATOS!$D11057&amp;"|"&amp;DATOS!$E11057&amp;"|"&amp;DATOS!$I11057)</f>
      </c>
      <c r="G11057">
        <f>IF(DATOS!$A11057="",0,IF(CONFIG_METADATA!$B$4&lt;&gt;"OR+EX",--(DATOS!$G11057=CONFIG_METADATA!$B$4),IF(DATOS!$G11057="EX",1,IF(DATOS!$G11057="OR",--(COUNTIFS(nNIA,DATOS!$A11057,nCURSO,DATOS!$D11057,nESPEC,DATOS!$E11057,nASIG,DATOS!$I11057,nEVAL,"EX")=0),0))))</f>
      </c>
      <c r="H11057">
        <f>IF(DATOS!$G11057&lt;&gt;"EX",0,--(COUNTIFS(nNIA,DATOS!$A11057,nCURSO,DATOS!$D11057,nESPEC,DATOS!$E11057,nASIG,DATOS!$I11057,nEVAL,"OR")=0))</f>
      </c>
      <c r="I11057">
        <f>IF(DATOS!$I11057="","",IFERROR(VLOOKUP(DATOS!$I11057,CONFIG_ASIGNATURAS!$B$2:$J$91,9,FALSE()),""))</f>
      </c>
    </row>
    <row r="11058">
      <c r="F11058">
        <f>IF(DATOS!$A11058="","",DATOS!$A11058&amp;"|"&amp;DATOS!$D11058&amp;"|"&amp;DATOS!$E11058&amp;"|"&amp;DATOS!$I11058)</f>
      </c>
      <c r="G11058">
        <f>IF(DATOS!$A11058="",0,IF(CONFIG_METADATA!$B$4&lt;&gt;"OR+EX",--(DATOS!$G11058=CONFIG_METADATA!$B$4),IF(DATOS!$G11058="EX",1,IF(DATOS!$G11058="OR",--(COUNTIFS(nNIA,DATOS!$A11058,nCURSO,DATOS!$D11058,nESPEC,DATOS!$E11058,nASIG,DATOS!$I11058,nEVAL,"EX")=0),0))))</f>
      </c>
      <c r="H11058">
        <f>IF(DATOS!$G11058&lt;&gt;"EX",0,--(COUNTIFS(nNIA,DATOS!$A11058,nCURSO,DATOS!$D11058,nESPEC,DATOS!$E11058,nASIG,DATOS!$I11058,nEVAL,"OR")=0))</f>
      </c>
      <c r="I11058">
        <f>IF(DATOS!$I11058="","",IFERROR(VLOOKUP(DATOS!$I11058,CONFIG_ASIGNATURAS!$B$2:$J$91,9,FALSE()),""))</f>
      </c>
    </row>
    <row r="11059">
      <c r="F11059">
        <f>IF(DATOS!$A11059="","",DATOS!$A11059&amp;"|"&amp;DATOS!$D11059&amp;"|"&amp;DATOS!$E11059&amp;"|"&amp;DATOS!$I11059)</f>
      </c>
      <c r="G11059">
        <f>IF(DATOS!$A11059="",0,IF(CONFIG_METADATA!$B$4&lt;&gt;"OR+EX",--(DATOS!$G11059=CONFIG_METADATA!$B$4),IF(DATOS!$G11059="EX",1,IF(DATOS!$G11059="OR",--(COUNTIFS(nNIA,DATOS!$A11059,nCURSO,DATOS!$D11059,nESPEC,DATOS!$E11059,nASIG,DATOS!$I11059,nEVAL,"EX")=0),0))))</f>
      </c>
      <c r="H11059">
        <f>IF(DATOS!$G11059&lt;&gt;"EX",0,--(COUNTIFS(nNIA,DATOS!$A11059,nCURSO,DATOS!$D11059,nESPEC,DATOS!$E11059,nASIG,DATOS!$I11059,nEVAL,"OR")=0))</f>
      </c>
      <c r="I11059">
        <f>IF(DATOS!$I11059="","",IFERROR(VLOOKUP(DATOS!$I11059,CONFIG_ASIGNATURAS!$B$2:$J$91,9,FALSE()),""))</f>
      </c>
    </row>
    <row r="11060">
      <c r="F11060">
        <f>IF(DATOS!$A11060="","",DATOS!$A11060&amp;"|"&amp;DATOS!$D11060&amp;"|"&amp;DATOS!$E11060&amp;"|"&amp;DATOS!$I11060)</f>
      </c>
      <c r="G11060">
        <f>IF(DATOS!$A11060="",0,IF(CONFIG_METADATA!$B$4&lt;&gt;"OR+EX",--(DATOS!$G11060=CONFIG_METADATA!$B$4),IF(DATOS!$G11060="EX",1,IF(DATOS!$G11060="OR",--(COUNTIFS(nNIA,DATOS!$A11060,nCURSO,DATOS!$D11060,nESPEC,DATOS!$E11060,nASIG,DATOS!$I11060,nEVAL,"EX")=0),0))))</f>
      </c>
      <c r="H11060">
        <f>IF(DATOS!$G11060&lt;&gt;"EX",0,--(COUNTIFS(nNIA,DATOS!$A11060,nCURSO,DATOS!$D11060,nESPEC,DATOS!$E11060,nASIG,DATOS!$I11060,nEVAL,"OR")=0))</f>
      </c>
      <c r="I11060">
        <f>IF(DATOS!$I11060="","",IFERROR(VLOOKUP(DATOS!$I11060,CONFIG_ASIGNATURAS!$B$2:$J$91,9,FALSE()),""))</f>
      </c>
    </row>
    <row r="11061">
      <c r="F11061">
        <f>IF(DATOS!$A11061="","",DATOS!$A11061&amp;"|"&amp;DATOS!$D11061&amp;"|"&amp;DATOS!$E11061&amp;"|"&amp;DATOS!$I11061)</f>
      </c>
      <c r="G11061">
        <f>IF(DATOS!$A11061="",0,IF(CONFIG_METADATA!$B$4&lt;&gt;"OR+EX",--(DATOS!$G11061=CONFIG_METADATA!$B$4),IF(DATOS!$G11061="EX",1,IF(DATOS!$G11061="OR",--(COUNTIFS(nNIA,DATOS!$A11061,nCURSO,DATOS!$D11061,nESPEC,DATOS!$E11061,nASIG,DATOS!$I11061,nEVAL,"EX")=0),0))))</f>
      </c>
      <c r="H11061">
        <f>IF(DATOS!$G11061&lt;&gt;"EX",0,--(COUNTIFS(nNIA,DATOS!$A11061,nCURSO,DATOS!$D11061,nESPEC,DATOS!$E11061,nASIG,DATOS!$I11061,nEVAL,"OR")=0))</f>
      </c>
      <c r="I11061">
        <f>IF(DATOS!$I11061="","",IFERROR(VLOOKUP(DATOS!$I11061,CONFIG_ASIGNATURAS!$B$2:$J$91,9,FALSE()),""))</f>
      </c>
    </row>
    <row r="11062">
      <c r="F11062">
        <f>IF(DATOS!$A11062="","",DATOS!$A11062&amp;"|"&amp;DATOS!$D11062&amp;"|"&amp;DATOS!$E11062&amp;"|"&amp;DATOS!$I11062)</f>
      </c>
      <c r="G11062">
        <f>IF(DATOS!$A11062="",0,IF(CONFIG_METADATA!$B$4&lt;&gt;"OR+EX",--(DATOS!$G11062=CONFIG_METADATA!$B$4),IF(DATOS!$G11062="EX",1,IF(DATOS!$G11062="OR",--(COUNTIFS(nNIA,DATOS!$A11062,nCURSO,DATOS!$D11062,nESPEC,DATOS!$E11062,nASIG,DATOS!$I11062,nEVAL,"EX")=0),0))))</f>
      </c>
      <c r="H11062">
        <f>IF(DATOS!$G11062&lt;&gt;"EX",0,--(COUNTIFS(nNIA,DATOS!$A11062,nCURSO,DATOS!$D11062,nESPEC,DATOS!$E11062,nASIG,DATOS!$I11062,nEVAL,"OR")=0))</f>
      </c>
      <c r="I11062">
        <f>IF(DATOS!$I11062="","",IFERROR(VLOOKUP(DATOS!$I11062,CONFIG_ASIGNATURAS!$B$2:$J$91,9,FALSE()),""))</f>
      </c>
    </row>
    <row r="11063">
      <c r="F11063">
        <f>IF(DATOS!$A11063="","",DATOS!$A11063&amp;"|"&amp;DATOS!$D11063&amp;"|"&amp;DATOS!$E11063&amp;"|"&amp;DATOS!$I11063)</f>
      </c>
      <c r="G11063">
        <f>IF(DATOS!$A11063="",0,IF(CONFIG_METADATA!$B$4&lt;&gt;"OR+EX",--(DATOS!$G11063=CONFIG_METADATA!$B$4),IF(DATOS!$G11063="EX",1,IF(DATOS!$G11063="OR",--(COUNTIFS(nNIA,DATOS!$A11063,nCURSO,DATOS!$D11063,nESPEC,DATOS!$E11063,nASIG,DATOS!$I11063,nEVAL,"EX")=0),0))))</f>
      </c>
      <c r="H11063">
        <f>IF(DATOS!$G11063&lt;&gt;"EX",0,--(COUNTIFS(nNIA,DATOS!$A11063,nCURSO,DATOS!$D11063,nESPEC,DATOS!$E11063,nASIG,DATOS!$I11063,nEVAL,"OR")=0))</f>
      </c>
      <c r="I11063">
        <f>IF(DATOS!$I11063="","",IFERROR(VLOOKUP(DATOS!$I11063,CONFIG_ASIGNATURAS!$B$2:$J$91,9,FALSE()),""))</f>
      </c>
    </row>
    <row r="11064">
      <c r="F11064">
        <f>IF(DATOS!$A11064="","",DATOS!$A11064&amp;"|"&amp;DATOS!$D11064&amp;"|"&amp;DATOS!$E11064&amp;"|"&amp;DATOS!$I11064)</f>
      </c>
      <c r="G11064">
        <f>IF(DATOS!$A11064="",0,IF(CONFIG_METADATA!$B$4&lt;&gt;"OR+EX",--(DATOS!$G11064=CONFIG_METADATA!$B$4),IF(DATOS!$G11064="EX",1,IF(DATOS!$G11064="OR",--(COUNTIFS(nNIA,DATOS!$A11064,nCURSO,DATOS!$D11064,nESPEC,DATOS!$E11064,nASIG,DATOS!$I11064,nEVAL,"EX")=0),0))))</f>
      </c>
      <c r="H11064">
        <f>IF(DATOS!$G11064&lt;&gt;"EX",0,--(COUNTIFS(nNIA,DATOS!$A11064,nCURSO,DATOS!$D11064,nESPEC,DATOS!$E11064,nASIG,DATOS!$I11064,nEVAL,"OR")=0))</f>
      </c>
      <c r="I11064">
        <f>IF(DATOS!$I11064="","",IFERROR(VLOOKUP(DATOS!$I11064,CONFIG_ASIGNATURAS!$B$2:$J$91,9,FALSE()),""))</f>
      </c>
    </row>
    <row r="11065">
      <c r="F11065">
        <f>IF(DATOS!$A11065="","",DATOS!$A11065&amp;"|"&amp;DATOS!$D11065&amp;"|"&amp;DATOS!$E11065&amp;"|"&amp;DATOS!$I11065)</f>
      </c>
      <c r="G11065">
        <f>IF(DATOS!$A11065="",0,IF(CONFIG_METADATA!$B$4&lt;&gt;"OR+EX",--(DATOS!$G11065=CONFIG_METADATA!$B$4),IF(DATOS!$G11065="EX",1,IF(DATOS!$G11065="OR",--(COUNTIFS(nNIA,DATOS!$A11065,nCURSO,DATOS!$D11065,nESPEC,DATOS!$E11065,nASIG,DATOS!$I11065,nEVAL,"EX")=0),0))))</f>
      </c>
      <c r="H11065">
        <f>IF(DATOS!$G11065&lt;&gt;"EX",0,--(COUNTIFS(nNIA,DATOS!$A11065,nCURSO,DATOS!$D11065,nESPEC,DATOS!$E11065,nASIG,DATOS!$I11065,nEVAL,"OR")=0))</f>
      </c>
      <c r="I11065">
        <f>IF(DATOS!$I11065="","",IFERROR(VLOOKUP(DATOS!$I11065,CONFIG_ASIGNATURAS!$B$2:$J$91,9,FALSE()),""))</f>
      </c>
    </row>
    <row r="11066">
      <c r="F11066">
        <f>IF(DATOS!$A11066="","",DATOS!$A11066&amp;"|"&amp;DATOS!$D11066&amp;"|"&amp;DATOS!$E11066&amp;"|"&amp;DATOS!$I11066)</f>
      </c>
      <c r="G11066">
        <f>IF(DATOS!$A11066="",0,IF(CONFIG_METADATA!$B$4&lt;&gt;"OR+EX",--(DATOS!$G11066=CONFIG_METADATA!$B$4),IF(DATOS!$G11066="EX",1,IF(DATOS!$G11066="OR",--(COUNTIFS(nNIA,DATOS!$A11066,nCURSO,DATOS!$D11066,nESPEC,DATOS!$E11066,nASIG,DATOS!$I11066,nEVAL,"EX")=0),0))))</f>
      </c>
      <c r="H11066">
        <f>IF(DATOS!$G11066&lt;&gt;"EX",0,--(COUNTIFS(nNIA,DATOS!$A11066,nCURSO,DATOS!$D11066,nESPEC,DATOS!$E11066,nASIG,DATOS!$I11066,nEVAL,"OR")=0))</f>
      </c>
      <c r="I11066">
        <f>IF(DATOS!$I11066="","",IFERROR(VLOOKUP(DATOS!$I11066,CONFIG_ASIGNATURAS!$B$2:$J$91,9,FALSE()),""))</f>
      </c>
    </row>
    <row r="11067">
      <c r="F11067">
        <f>IF(DATOS!$A11067="","",DATOS!$A11067&amp;"|"&amp;DATOS!$D11067&amp;"|"&amp;DATOS!$E11067&amp;"|"&amp;DATOS!$I11067)</f>
      </c>
      <c r="G11067">
        <f>IF(DATOS!$A11067="",0,IF(CONFIG_METADATA!$B$4&lt;&gt;"OR+EX",--(DATOS!$G11067=CONFIG_METADATA!$B$4),IF(DATOS!$G11067="EX",1,IF(DATOS!$G11067="OR",--(COUNTIFS(nNIA,DATOS!$A11067,nCURSO,DATOS!$D11067,nESPEC,DATOS!$E11067,nASIG,DATOS!$I11067,nEVAL,"EX")=0),0))))</f>
      </c>
      <c r="H11067">
        <f>IF(DATOS!$G11067&lt;&gt;"EX",0,--(COUNTIFS(nNIA,DATOS!$A11067,nCURSO,DATOS!$D11067,nESPEC,DATOS!$E11067,nASIG,DATOS!$I11067,nEVAL,"OR")=0))</f>
      </c>
      <c r="I11067">
        <f>IF(DATOS!$I11067="","",IFERROR(VLOOKUP(DATOS!$I11067,CONFIG_ASIGNATURAS!$B$2:$J$91,9,FALSE()),""))</f>
      </c>
    </row>
    <row r="11068">
      <c r="F11068">
        <f>IF(DATOS!$A11068="","",DATOS!$A11068&amp;"|"&amp;DATOS!$D11068&amp;"|"&amp;DATOS!$E11068&amp;"|"&amp;DATOS!$I11068)</f>
      </c>
      <c r="G11068">
        <f>IF(DATOS!$A11068="",0,IF(CONFIG_METADATA!$B$4&lt;&gt;"OR+EX",--(DATOS!$G11068=CONFIG_METADATA!$B$4),IF(DATOS!$G11068="EX",1,IF(DATOS!$G11068="OR",--(COUNTIFS(nNIA,DATOS!$A11068,nCURSO,DATOS!$D11068,nESPEC,DATOS!$E11068,nASIG,DATOS!$I11068,nEVAL,"EX")=0),0))))</f>
      </c>
      <c r="H11068">
        <f>IF(DATOS!$G11068&lt;&gt;"EX",0,--(COUNTIFS(nNIA,DATOS!$A11068,nCURSO,DATOS!$D11068,nESPEC,DATOS!$E11068,nASIG,DATOS!$I11068,nEVAL,"OR")=0))</f>
      </c>
      <c r="I11068">
        <f>IF(DATOS!$I11068="","",IFERROR(VLOOKUP(DATOS!$I11068,CONFIG_ASIGNATURAS!$B$2:$J$91,9,FALSE()),""))</f>
      </c>
    </row>
    <row r="11069">
      <c r="F11069">
        <f>IF(DATOS!$A11069="","",DATOS!$A11069&amp;"|"&amp;DATOS!$D11069&amp;"|"&amp;DATOS!$E11069&amp;"|"&amp;DATOS!$I11069)</f>
      </c>
      <c r="G11069">
        <f>IF(DATOS!$A11069="",0,IF(CONFIG_METADATA!$B$4&lt;&gt;"OR+EX",--(DATOS!$G11069=CONFIG_METADATA!$B$4),IF(DATOS!$G11069="EX",1,IF(DATOS!$G11069="OR",--(COUNTIFS(nNIA,DATOS!$A11069,nCURSO,DATOS!$D11069,nESPEC,DATOS!$E11069,nASIG,DATOS!$I11069,nEVAL,"EX")=0),0))))</f>
      </c>
      <c r="H11069">
        <f>IF(DATOS!$G11069&lt;&gt;"EX",0,--(COUNTIFS(nNIA,DATOS!$A11069,nCURSO,DATOS!$D11069,nESPEC,DATOS!$E11069,nASIG,DATOS!$I11069,nEVAL,"OR")=0))</f>
      </c>
      <c r="I11069">
        <f>IF(DATOS!$I11069="","",IFERROR(VLOOKUP(DATOS!$I11069,CONFIG_ASIGNATURAS!$B$2:$J$91,9,FALSE()),""))</f>
      </c>
    </row>
    <row r="11070">
      <c r="F11070">
        <f>IF(DATOS!$A11070="","",DATOS!$A11070&amp;"|"&amp;DATOS!$D11070&amp;"|"&amp;DATOS!$E11070&amp;"|"&amp;DATOS!$I11070)</f>
      </c>
      <c r="G11070">
        <f>IF(DATOS!$A11070="",0,IF(CONFIG_METADATA!$B$4&lt;&gt;"OR+EX",--(DATOS!$G11070=CONFIG_METADATA!$B$4),IF(DATOS!$G11070="EX",1,IF(DATOS!$G11070="OR",--(COUNTIFS(nNIA,DATOS!$A11070,nCURSO,DATOS!$D11070,nESPEC,DATOS!$E11070,nASIG,DATOS!$I11070,nEVAL,"EX")=0),0))))</f>
      </c>
      <c r="H11070">
        <f>IF(DATOS!$G11070&lt;&gt;"EX",0,--(COUNTIFS(nNIA,DATOS!$A11070,nCURSO,DATOS!$D11070,nESPEC,DATOS!$E11070,nASIG,DATOS!$I11070,nEVAL,"OR")=0))</f>
      </c>
      <c r="I11070">
        <f>IF(DATOS!$I11070="","",IFERROR(VLOOKUP(DATOS!$I11070,CONFIG_ASIGNATURAS!$B$2:$J$91,9,FALSE()),""))</f>
      </c>
    </row>
    <row r="11071">
      <c r="F11071">
        <f>IF(DATOS!$A11071="","",DATOS!$A11071&amp;"|"&amp;DATOS!$D11071&amp;"|"&amp;DATOS!$E11071&amp;"|"&amp;DATOS!$I11071)</f>
      </c>
      <c r="G11071">
        <f>IF(DATOS!$A11071="",0,IF(CONFIG_METADATA!$B$4&lt;&gt;"OR+EX",--(DATOS!$G11071=CONFIG_METADATA!$B$4),IF(DATOS!$G11071="EX",1,IF(DATOS!$G11071="OR",--(COUNTIFS(nNIA,DATOS!$A11071,nCURSO,DATOS!$D11071,nESPEC,DATOS!$E11071,nASIG,DATOS!$I11071,nEVAL,"EX")=0),0))))</f>
      </c>
      <c r="H11071">
        <f>IF(DATOS!$G11071&lt;&gt;"EX",0,--(COUNTIFS(nNIA,DATOS!$A11071,nCURSO,DATOS!$D11071,nESPEC,DATOS!$E11071,nASIG,DATOS!$I11071,nEVAL,"OR")=0))</f>
      </c>
      <c r="I11071">
        <f>IF(DATOS!$I11071="","",IFERROR(VLOOKUP(DATOS!$I11071,CONFIG_ASIGNATURAS!$B$2:$J$91,9,FALSE()),""))</f>
      </c>
    </row>
    <row r="11072">
      <c r="F11072">
        <f>IF(DATOS!$A11072="","",DATOS!$A11072&amp;"|"&amp;DATOS!$D11072&amp;"|"&amp;DATOS!$E11072&amp;"|"&amp;DATOS!$I11072)</f>
      </c>
      <c r="G11072">
        <f>IF(DATOS!$A11072="",0,IF(CONFIG_METADATA!$B$4&lt;&gt;"OR+EX",--(DATOS!$G11072=CONFIG_METADATA!$B$4),IF(DATOS!$G11072="EX",1,IF(DATOS!$G11072="OR",--(COUNTIFS(nNIA,DATOS!$A11072,nCURSO,DATOS!$D11072,nESPEC,DATOS!$E11072,nASIG,DATOS!$I11072,nEVAL,"EX")=0),0))))</f>
      </c>
      <c r="H11072">
        <f>IF(DATOS!$G11072&lt;&gt;"EX",0,--(COUNTIFS(nNIA,DATOS!$A11072,nCURSO,DATOS!$D11072,nESPEC,DATOS!$E11072,nASIG,DATOS!$I11072,nEVAL,"OR")=0))</f>
      </c>
      <c r="I11072">
        <f>IF(DATOS!$I11072="","",IFERROR(VLOOKUP(DATOS!$I11072,CONFIG_ASIGNATURAS!$B$2:$J$91,9,FALSE()),""))</f>
      </c>
    </row>
    <row r="11073">
      <c r="F11073">
        <f>IF(DATOS!$A11073="","",DATOS!$A11073&amp;"|"&amp;DATOS!$D11073&amp;"|"&amp;DATOS!$E11073&amp;"|"&amp;DATOS!$I11073)</f>
      </c>
      <c r="G11073">
        <f>IF(DATOS!$A11073="",0,IF(CONFIG_METADATA!$B$4&lt;&gt;"OR+EX",--(DATOS!$G11073=CONFIG_METADATA!$B$4),IF(DATOS!$G11073="EX",1,IF(DATOS!$G11073="OR",--(COUNTIFS(nNIA,DATOS!$A11073,nCURSO,DATOS!$D11073,nESPEC,DATOS!$E11073,nASIG,DATOS!$I11073,nEVAL,"EX")=0),0))))</f>
      </c>
      <c r="H11073">
        <f>IF(DATOS!$G11073&lt;&gt;"EX",0,--(COUNTIFS(nNIA,DATOS!$A11073,nCURSO,DATOS!$D11073,nESPEC,DATOS!$E11073,nASIG,DATOS!$I11073,nEVAL,"OR")=0))</f>
      </c>
      <c r="I11073">
        <f>IF(DATOS!$I11073="","",IFERROR(VLOOKUP(DATOS!$I11073,CONFIG_ASIGNATURAS!$B$2:$J$91,9,FALSE()),""))</f>
      </c>
    </row>
    <row r="11074">
      <c r="F11074">
        <f>IF(DATOS!$A11074="","",DATOS!$A11074&amp;"|"&amp;DATOS!$D11074&amp;"|"&amp;DATOS!$E11074&amp;"|"&amp;DATOS!$I11074)</f>
      </c>
      <c r="G11074">
        <f>IF(DATOS!$A11074="",0,IF(CONFIG_METADATA!$B$4&lt;&gt;"OR+EX",--(DATOS!$G11074=CONFIG_METADATA!$B$4),IF(DATOS!$G11074="EX",1,IF(DATOS!$G11074="OR",--(COUNTIFS(nNIA,DATOS!$A11074,nCURSO,DATOS!$D11074,nESPEC,DATOS!$E11074,nASIG,DATOS!$I11074,nEVAL,"EX")=0),0))))</f>
      </c>
      <c r="H11074">
        <f>IF(DATOS!$G11074&lt;&gt;"EX",0,--(COUNTIFS(nNIA,DATOS!$A11074,nCURSO,DATOS!$D11074,nESPEC,DATOS!$E11074,nASIG,DATOS!$I11074,nEVAL,"OR")=0))</f>
      </c>
      <c r="I11074">
        <f>IF(DATOS!$I11074="","",IFERROR(VLOOKUP(DATOS!$I11074,CONFIG_ASIGNATURAS!$B$2:$J$91,9,FALSE()),""))</f>
      </c>
    </row>
    <row r="11075">
      <c r="F11075">
        <f>IF(DATOS!$A11075="","",DATOS!$A11075&amp;"|"&amp;DATOS!$D11075&amp;"|"&amp;DATOS!$E11075&amp;"|"&amp;DATOS!$I11075)</f>
      </c>
      <c r="G11075">
        <f>IF(DATOS!$A11075="",0,IF(CONFIG_METADATA!$B$4&lt;&gt;"OR+EX",--(DATOS!$G11075=CONFIG_METADATA!$B$4),IF(DATOS!$G11075="EX",1,IF(DATOS!$G11075="OR",--(COUNTIFS(nNIA,DATOS!$A11075,nCURSO,DATOS!$D11075,nESPEC,DATOS!$E11075,nASIG,DATOS!$I11075,nEVAL,"EX")=0),0))))</f>
      </c>
      <c r="H11075">
        <f>IF(DATOS!$G11075&lt;&gt;"EX",0,--(COUNTIFS(nNIA,DATOS!$A11075,nCURSO,DATOS!$D11075,nESPEC,DATOS!$E11075,nASIG,DATOS!$I11075,nEVAL,"OR")=0))</f>
      </c>
      <c r="I11075">
        <f>IF(DATOS!$I11075="","",IFERROR(VLOOKUP(DATOS!$I11075,CONFIG_ASIGNATURAS!$B$2:$J$91,9,FALSE()),""))</f>
      </c>
    </row>
    <row r="11076">
      <c r="F11076">
        <f>IF(DATOS!$A11076="","",DATOS!$A11076&amp;"|"&amp;DATOS!$D11076&amp;"|"&amp;DATOS!$E11076&amp;"|"&amp;DATOS!$I11076)</f>
      </c>
      <c r="G11076">
        <f>IF(DATOS!$A11076="",0,IF(CONFIG_METADATA!$B$4&lt;&gt;"OR+EX",--(DATOS!$G11076=CONFIG_METADATA!$B$4),IF(DATOS!$G11076="EX",1,IF(DATOS!$G11076="OR",--(COUNTIFS(nNIA,DATOS!$A11076,nCURSO,DATOS!$D11076,nESPEC,DATOS!$E11076,nASIG,DATOS!$I11076,nEVAL,"EX")=0),0))))</f>
      </c>
      <c r="H11076">
        <f>IF(DATOS!$G11076&lt;&gt;"EX",0,--(COUNTIFS(nNIA,DATOS!$A11076,nCURSO,DATOS!$D11076,nESPEC,DATOS!$E11076,nASIG,DATOS!$I11076,nEVAL,"OR")=0))</f>
      </c>
      <c r="I11076">
        <f>IF(DATOS!$I11076="","",IFERROR(VLOOKUP(DATOS!$I11076,CONFIG_ASIGNATURAS!$B$2:$J$91,9,FALSE()),""))</f>
      </c>
    </row>
    <row r="11077">
      <c r="F11077">
        <f>IF(DATOS!$A11077="","",DATOS!$A11077&amp;"|"&amp;DATOS!$D11077&amp;"|"&amp;DATOS!$E11077&amp;"|"&amp;DATOS!$I11077)</f>
      </c>
      <c r="G11077">
        <f>IF(DATOS!$A11077="",0,IF(CONFIG_METADATA!$B$4&lt;&gt;"OR+EX",--(DATOS!$G11077=CONFIG_METADATA!$B$4),IF(DATOS!$G11077="EX",1,IF(DATOS!$G11077="OR",--(COUNTIFS(nNIA,DATOS!$A11077,nCURSO,DATOS!$D11077,nESPEC,DATOS!$E11077,nASIG,DATOS!$I11077,nEVAL,"EX")=0),0))))</f>
      </c>
      <c r="H11077">
        <f>IF(DATOS!$G11077&lt;&gt;"EX",0,--(COUNTIFS(nNIA,DATOS!$A11077,nCURSO,DATOS!$D11077,nESPEC,DATOS!$E11077,nASIG,DATOS!$I11077,nEVAL,"OR")=0))</f>
      </c>
      <c r="I11077">
        <f>IF(DATOS!$I11077="","",IFERROR(VLOOKUP(DATOS!$I11077,CONFIG_ASIGNATURAS!$B$2:$J$91,9,FALSE()),""))</f>
      </c>
    </row>
    <row r="11078">
      <c r="F11078">
        <f>IF(DATOS!$A11078="","",DATOS!$A11078&amp;"|"&amp;DATOS!$D11078&amp;"|"&amp;DATOS!$E11078&amp;"|"&amp;DATOS!$I11078)</f>
      </c>
      <c r="G11078">
        <f>IF(DATOS!$A11078="",0,IF(CONFIG_METADATA!$B$4&lt;&gt;"OR+EX",--(DATOS!$G11078=CONFIG_METADATA!$B$4),IF(DATOS!$G11078="EX",1,IF(DATOS!$G11078="OR",--(COUNTIFS(nNIA,DATOS!$A11078,nCURSO,DATOS!$D11078,nESPEC,DATOS!$E11078,nASIG,DATOS!$I11078,nEVAL,"EX")=0),0))))</f>
      </c>
      <c r="H11078">
        <f>IF(DATOS!$G11078&lt;&gt;"EX",0,--(COUNTIFS(nNIA,DATOS!$A11078,nCURSO,DATOS!$D11078,nESPEC,DATOS!$E11078,nASIG,DATOS!$I11078,nEVAL,"OR")=0))</f>
      </c>
      <c r="I11078">
        <f>IF(DATOS!$I11078="","",IFERROR(VLOOKUP(DATOS!$I11078,CONFIG_ASIGNATURAS!$B$2:$J$91,9,FALSE()),""))</f>
      </c>
    </row>
    <row r="11079">
      <c r="F11079">
        <f>IF(DATOS!$A11079="","",DATOS!$A11079&amp;"|"&amp;DATOS!$D11079&amp;"|"&amp;DATOS!$E11079&amp;"|"&amp;DATOS!$I11079)</f>
      </c>
      <c r="G11079">
        <f>IF(DATOS!$A11079="",0,IF(CONFIG_METADATA!$B$4&lt;&gt;"OR+EX",--(DATOS!$G11079=CONFIG_METADATA!$B$4),IF(DATOS!$G11079="EX",1,IF(DATOS!$G11079="OR",--(COUNTIFS(nNIA,DATOS!$A11079,nCURSO,DATOS!$D11079,nESPEC,DATOS!$E11079,nASIG,DATOS!$I11079,nEVAL,"EX")=0),0))))</f>
      </c>
      <c r="H11079">
        <f>IF(DATOS!$G11079&lt;&gt;"EX",0,--(COUNTIFS(nNIA,DATOS!$A11079,nCURSO,DATOS!$D11079,nESPEC,DATOS!$E11079,nASIG,DATOS!$I11079,nEVAL,"OR")=0))</f>
      </c>
      <c r="I11079">
        <f>IF(DATOS!$I11079="","",IFERROR(VLOOKUP(DATOS!$I11079,CONFIG_ASIGNATURAS!$B$2:$J$91,9,FALSE()),""))</f>
      </c>
    </row>
    <row r="11080">
      <c r="F11080">
        <f>IF(DATOS!$A11080="","",DATOS!$A11080&amp;"|"&amp;DATOS!$D11080&amp;"|"&amp;DATOS!$E11080&amp;"|"&amp;DATOS!$I11080)</f>
      </c>
      <c r="G11080">
        <f>IF(DATOS!$A11080="",0,IF(CONFIG_METADATA!$B$4&lt;&gt;"OR+EX",--(DATOS!$G11080=CONFIG_METADATA!$B$4),IF(DATOS!$G11080="EX",1,IF(DATOS!$G11080="OR",--(COUNTIFS(nNIA,DATOS!$A11080,nCURSO,DATOS!$D11080,nESPEC,DATOS!$E11080,nASIG,DATOS!$I11080,nEVAL,"EX")=0),0))))</f>
      </c>
      <c r="H11080">
        <f>IF(DATOS!$G11080&lt;&gt;"EX",0,--(COUNTIFS(nNIA,DATOS!$A11080,nCURSO,DATOS!$D11080,nESPEC,DATOS!$E11080,nASIG,DATOS!$I11080,nEVAL,"OR")=0))</f>
      </c>
      <c r="I11080">
        <f>IF(DATOS!$I11080="","",IFERROR(VLOOKUP(DATOS!$I11080,CONFIG_ASIGNATURAS!$B$2:$J$91,9,FALSE()),""))</f>
      </c>
    </row>
    <row r="11081">
      <c r="F11081">
        <f>IF(DATOS!$A11081="","",DATOS!$A11081&amp;"|"&amp;DATOS!$D11081&amp;"|"&amp;DATOS!$E11081&amp;"|"&amp;DATOS!$I11081)</f>
      </c>
      <c r="G11081">
        <f>IF(DATOS!$A11081="",0,IF(CONFIG_METADATA!$B$4&lt;&gt;"OR+EX",--(DATOS!$G11081=CONFIG_METADATA!$B$4),IF(DATOS!$G11081="EX",1,IF(DATOS!$G11081="OR",--(COUNTIFS(nNIA,DATOS!$A11081,nCURSO,DATOS!$D11081,nESPEC,DATOS!$E11081,nASIG,DATOS!$I11081,nEVAL,"EX")=0),0))))</f>
      </c>
      <c r="H11081">
        <f>IF(DATOS!$G11081&lt;&gt;"EX",0,--(COUNTIFS(nNIA,DATOS!$A11081,nCURSO,DATOS!$D11081,nESPEC,DATOS!$E11081,nASIG,DATOS!$I11081,nEVAL,"OR")=0))</f>
      </c>
      <c r="I11081">
        <f>IF(DATOS!$I11081="","",IFERROR(VLOOKUP(DATOS!$I11081,CONFIG_ASIGNATURAS!$B$2:$J$91,9,FALSE()),""))</f>
      </c>
    </row>
    <row r="11082">
      <c r="F11082">
        <f>IF(DATOS!$A11082="","",DATOS!$A11082&amp;"|"&amp;DATOS!$D11082&amp;"|"&amp;DATOS!$E11082&amp;"|"&amp;DATOS!$I11082)</f>
      </c>
      <c r="G11082">
        <f>IF(DATOS!$A11082="",0,IF(CONFIG_METADATA!$B$4&lt;&gt;"OR+EX",--(DATOS!$G11082=CONFIG_METADATA!$B$4),IF(DATOS!$G11082="EX",1,IF(DATOS!$G11082="OR",--(COUNTIFS(nNIA,DATOS!$A11082,nCURSO,DATOS!$D11082,nESPEC,DATOS!$E11082,nASIG,DATOS!$I11082,nEVAL,"EX")=0),0))))</f>
      </c>
      <c r="H11082">
        <f>IF(DATOS!$G11082&lt;&gt;"EX",0,--(COUNTIFS(nNIA,DATOS!$A11082,nCURSO,DATOS!$D11082,nESPEC,DATOS!$E11082,nASIG,DATOS!$I11082,nEVAL,"OR")=0))</f>
      </c>
      <c r="I11082">
        <f>IF(DATOS!$I11082="","",IFERROR(VLOOKUP(DATOS!$I11082,CONFIG_ASIGNATURAS!$B$2:$J$91,9,FALSE()),""))</f>
      </c>
    </row>
    <row r="11083">
      <c r="F11083">
        <f>IF(DATOS!$A11083="","",DATOS!$A11083&amp;"|"&amp;DATOS!$D11083&amp;"|"&amp;DATOS!$E11083&amp;"|"&amp;DATOS!$I11083)</f>
      </c>
      <c r="G11083">
        <f>IF(DATOS!$A11083="",0,IF(CONFIG_METADATA!$B$4&lt;&gt;"OR+EX",--(DATOS!$G11083=CONFIG_METADATA!$B$4),IF(DATOS!$G11083="EX",1,IF(DATOS!$G11083="OR",--(COUNTIFS(nNIA,DATOS!$A11083,nCURSO,DATOS!$D11083,nESPEC,DATOS!$E11083,nASIG,DATOS!$I11083,nEVAL,"EX")=0),0))))</f>
      </c>
      <c r="H11083">
        <f>IF(DATOS!$G11083&lt;&gt;"EX",0,--(COUNTIFS(nNIA,DATOS!$A11083,nCURSO,DATOS!$D11083,nESPEC,DATOS!$E11083,nASIG,DATOS!$I11083,nEVAL,"OR")=0))</f>
      </c>
      <c r="I11083">
        <f>IF(DATOS!$I11083="","",IFERROR(VLOOKUP(DATOS!$I11083,CONFIG_ASIGNATURAS!$B$2:$J$91,9,FALSE()),""))</f>
      </c>
    </row>
    <row r="11084">
      <c r="F11084">
        <f>IF(DATOS!$A11084="","",DATOS!$A11084&amp;"|"&amp;DATOS!$D11084&amp;"|"&amp;DATOS!$E11084&amp;"|"&amp;DATOS!$I11084)</f>
      </c>
      <c r="G11084">
        <f>IF(DATOS!$A11084="",0,IF(CONFIG_METADATA!$B$4&lt;&gt;"OR+EX",--(DATOS!$G11084=CONFIG_METADATA!$B$4),IF(DATOS!$G11084="EX",1,IF(DATOS!$G11084="OR",--(COUNTIFS(nNIA,DATOS!$A11084,nCURSO,DATOS!$D11084,nESPEC,DATOS!$E11084,nASIG,DATOS!$I11084,nEVAL,"EX")=0),0))))</f>
      </c>
      <c r="H11084">
        <f>IF(DATOS!$G11084&lt;&gt;"EX",0,--(COUNTIFS(nNIA,DATOS!$A11084,nCURSO,DATOS!$D11084,nESPEC,DATOS!$E11084,nASIG,DATOS!$I11084,nEVAL,"OR")=0))</f>
      </c>
      <c r="I11084">
        <f>IF(DATOS!$I11084="","",IFERROR(VLOOKUP(DATOS!$I11084,CONFIG_ASIGNATURAS!$B$2:$J$91,9,FALSE()),""))</f>
      </c>
    </row>
    <row r="11085">
      <c r="F11085">
        <f>IF(DATOS!$A11085="","",DATOS!$A11085&amp;"|"&amp;DATOS!$D11085&amp;"|"&amp;DATOS!$E11085&amp;"|"&amp;DATOS!$I11085)</f>
      </c>
      <c r="G11085">
        <f>IF(DATOS!$A11085="",0,IF(CONFIG_METADATA!$B$4&lt;&gt;"OR+EX",--(DATOS!$G11085=CONFIG_METADATA!$B$4),IF(DATOS!$G11085="EX",1,IF(DATOS!$G11085="OR",--(COUNTIFS(nNIA,DATOS!$A11085,nCURSO,DATOS!$D11085,nESPEC,DATOS!$E11085,nASIG,DATOS!$I11085,nEVAL,"EX")=0),0))))</f>
      </c>
      <c r="H11085">
        <f>IF(DATOS!$G11085&lt;&gt;"EX",0,--(COUNTIFS(nNIA,DATOS!$A11085,nCURSO,DATOS!$D11085,nESPEC,DATOS!$E11085,nASIG,DATOS!$I11085,nEVAL,"OR")=0))</f>
      </c>
      <c r="I11085">
        <f>IF(DATOS!$I11085="","",IFERROR(VLOOKUP(DATOS!$I11085,CONFIG_ASIGNATURAS!$B$2:$J$91,9,FALSE()),""))</f>
      </c>
    </row>
    <row r="11086">
      <c r="F11086">
        <f>IF(DATOS!$A11086="","",DATOS!$A11086&amp;"|"&amp;DATOS!$D11086&amp;"|"&amp;DATOS!$E11086&amp;"|"&amp;DATOS!$I11086)</f>
      </c>
      <c r="G11086">
        <f>IF(DATOS!$A11086="",0,IF(CONFIG_METADATA!$B$4&lt;&gt;"OR+EX",--(DATOS!$G11086=CONFIG_METADATA!$B$4),IF(DATOS!$G11086="EX",1,IF(DATOS!$G11086="OR",--(COUNTIFS(nNIA,DATOS!$A11086,nCURSO,DATOS!$D11086,nESPEC,DATOS!$E11086,nASIG,DATOS!$I11086,nEVAL,"EX")=0),0))))</f>
      </c>
      <c r="H11086">
        <f>IF(DATOS!$G11086&lt;&gt;"EX",0,--(COUNTIFS(nNIA,DATOS!$A11086,nCURSO,DATOS!$D11086,nESPEC,DATOS!$E11086,nASIG,DATOS!$I11086,nEVAL,"OR")=0))</f>
      </c>
      <c r="I11086">
        <f>IF(DATOS!$I11086="","",IFERROR(VLOOKUP(DATOS!$I11086,CONFIG_ASIGNATURAS!$B$2:$J$91,9,FALSE()),""))</f>
      </c>
    </row>
    <row r="11087">
      <c r="F11087">
        <f>IF(DATOS!$A11087="","",DATOS!$A11087&amp;"|"&amp;DATOS!$D11087&amp;"|"&amp;DATOS!$E11087&amp;"|"&amp;DATOS!$I11087)</f>
      </c>
      <c r="G11087">
        <f>IF(DATOS!$A11087="",0,IF(CONFIG_METADATA!$B$4&lt;&gt;"OR+EX",--(DATOS!$G11087=CONFIG_METADATA!$B$4),IF(DATOS!$G11087="EX",1,IF(DATOS!$G11087="OR",--(COUNTIFS(nNIA,DATOS!$A11087,nCURSO,DATOS!$D11087,nESPEC,DATOS!$E11087,nASIG,DATOS!$I11087,nEVAL,"EX")=0),0))))</f>
      </c>
      <c r="H11087">
        <f>IF(DATOS!$G11087&lt;&gt;"EX",0,--(COUNTIFS(nNIA,DATOS!$A11087,nCURSO,DATOS!$D11087,nESPEC,DATOS!$E11087,nASIG,DATOS!$I11087,nEVAL,"OR")=0))</f>
      </c>
      <c r="I11087">
        <f>IF(DATOS!$I11087="","",IFERROR(VLOOKUP(DATOS!$I11087,CONFIG_ASIGNATURAS!$B$2:$J$91,9,FALSE()),""))</f>
      </c>
    </row>
    <row r="11088">
      <c r="F11088">
        <f>IF(DATOS!$A11088="","",DATOS!$A11088&amp;"|"&amp;DATOS!$D11088&amp;"|"&amp;DATOS!$E11088&amp;"|"&amp;DATOS!$I11088)</f>
      </c>
      <c r="G11088">
        <f>IF(DATOS!$A11088="",0,IF(CONFIG_METADATA!$B$4&lt;&gt;"OR+EX",--(DATOS!$G11088=CONFIG_METADATA!$B$4),IF(DATOS!$G11088="EX",1,IF(DATOS!$G11088="OR",--(COUNTIFS(nNIA,DATOS!$A11088,nCURSO,DATOS!$D11088,nESPEC,DATOS!$E11088,nASIG,DATOS!$I11088,nEVAL,"EX")=0),0))))</f>
      </c>
      <c r="H11088">
        <f>IF(DATOS!$G11088&lt;&gt;"EX",0,--(COUNTIFS(nNIA,DATOS!$A11088,nCURSO,DATOS!$D11088,nESPEC,DATOS!$E11088,nASIG,DATOS!$I11088,nEVAL,"OR")=0))</f>
      </c>
      <c r="I11088">
        <f>IF(DATOS!$I11088="","",IFERROR(VLOOKUP(DATOS!$I11088,CONFIG_ASIGNATURAS!$B$2:$J$91,9,FALSE()),""))</f>
      </c>
    </row>
    <row r="11089">
      <c r="F11089">
        <f>IF(DATOS!$A11089="","",DATOS!$A11089&amp;"|"&amp;DATOS!$D11089&amp;"|"&amp;DATOS!$E11089&amp;"|"&amp;DATOS!$I11089)</f>
      </c>
      <c r="G11089">
        <f>IF(DATOS!$A11089="",0,IF(CONFIG_METADATA!$B$4&lt;&gt;"OR+EX",--(DATOS!$G11089=CONFIG_METADATA!$B$4),IF(DATOS!$G11089="EX",1,IF(DATOS!$G11089="OR",--(COUNTIFS(nNIA,DATOS!$A11089,nCURSO,DATOS!$D11089,nESPEC,DATOS!$E11089,nASIG,DATOS!$I11089,nEVAL,"EX")=0),0))))</f>
      </c>
      <c r="H11089">
        <f>IF(DATOS!$G11089&lt;&gt;"EX",0,--(COUNTIFS(nNIA,DATOS!$A11089,nCURSO,DATOS!$D11089,nESPEC,DATOS!$E11089,nASIG,DATOS!$I11089,nEVAL,"OR")=0))</f>
      </c>
      <c r="I11089">
        <f>IF(DATOS!$I11089="","",IFERROR(VLOOKUP(DATOS!$I11089,CONFIG_ASIGNATURAS!$B$2:$J$91,9,FALSE()),""))</f>
      </c>
    </row>
    <row r="11090">
      <c r="F11090">
        <f>IF(DATOS!$A11090="","",DATOS!$A11090&amp;"|"&amp;DATOS!$D11090&amp;"|"&amp;DATOS!$E11090&amp;"|"&amp;DATOS!$I11090)</f>
      </c>
      <c r="G11090">
        <f>IF(DATOS!$A11090="",0,IF(CONFIG_METADATA!$B$4&lt;&gt;"OR+EX",--(DATOS!$G11090=CONFIG_METADATA!$B$4),IF(DATOS!$G11090="EX",1,IF(DATOS!$G11090="OR",--(COUNTIFS(nNIA,DATOS!$A11090,nCURSO,DATOS!$D11090,nESPEC,DATOS!$E11090,nASIG,DATOS!$I11090,nEVAL,"EX")=0),0))))</f>
      </c>
      <c r="H11090">
        <f>IF(DATOS!$G11090&lt;&gt;"EX",0,--(COUNTIFS(nNIA,DATOS!$A11090,nCURSO,DATOS!$D11090,nESPEC,DATOS!$E11090,nASIG,DATOS!$I11090,nEVAL,"OR")=0))</f>
      </c>
      <c r="I11090">
        <f>IF(DATOS!$I11090="","",IFERROR(VLOOKUP(DATOS!$I11090,CONFIG_ASIGNATURAS!$B$2:$J$91,9,FALSE()),""))</f>
      </c>
    </row>
    <row r="11091">
      <c r="F11091">
        <f>IF(DATOS!$A11091="","",DATOS!$A11091&amp;"|"&amp;DATOS!$D11091&amp;"|"&amp;DATOS!$E11091&amp;"|"&amp;DATOS!$I11091)</f>
      </c>
      <c r="G11091">
        <f>IF(DATOS!$A11091="",0,IF(CONFIG_METADATA!$B$4&lt;&gt;"OR+EX",--(DATOS!$G11091=CONFIG_METADATA!$B$4),IF(DATOS!$G11091="EX",1,IF(DATOS!$G11091="OR",--(COUNTIFS(nNIA,DATOS!$A11091,nCURSO,DATOS!$D11091,nESPEC,DATOS!$E11091,nASIG,DATOS!$I11091,nEVAL,"EX")=0),0))))</f>
      </c>
      <c r="H11091">
        <f>IF(DATOS!$G11091&lt;&gt;"EX",0,--(COUNTIFS(nNIA,DATOS!$A11091,nCURSO,DATOS!$D11091,nESPEC,DATOS!$E11091,nASIG,DATOS!$I11091,nEVAL,"OR")=0))</f>
      </c>
      <c r="I11091">
        <f>IF(DATOS!$I11091="","",IFERROR(VLOOKUP(DATOS!$I11091,CONFIG_ASIGNATURAS!$B$2:$J$91,9,FALSE()),""))</f>
      </c>
    </row>
    <row r="11092">
      <c r="F11092">
        <f>IF(DATOS!$A11092="","",DATOS!$A11092&amp;"|"&amp;DATOS!$D11092&amp;"|"&amp;DATOS!$E11092&amp;"|"&amp;DATOS!$I11092)</f>
      </c>
      <c r="G11092">
        <f>IF(DATOS!$A11092="",0,IF(CONFIG_METADATA!$B$4&lt;&gt;"OR+EX",--(DATOS!$G11092=CONFIG_METADATA!$B$4),IF(DATOS!$G11092="EX",1,IF(DATOS!$G11092="OR",--(COUNTIFS(nNIA,DATOS!$A11092,nCURSO,DATOS!$D11092,nESPEC,DATOS!$E11092,nASIG,DATOS!$I11092,nEVAL,"EX")=0),0))))</f>
      </c>
      <c r="H11092">
        <f>IF(DATOS!$G11092&lt;&gt;"EX",0,--(COUNTIFS(nNIA,DATOS!$A11092,nCURSO,DATOS!$D11092,nESPEC,DATOS!$E11092,nASIG,DATOS!$I11092,nEVAL,"OR")=0))</f>
      </c>
      <c r="I11092">
        <f>IF(DATOS!$I11092="","",IFERROR(VLOOKUP(DATOS!$I11092,CONFIG_ASIGNATURAS!$B$2:$J$91,9,FALSE()),""))</f>
      </c>
    </row>
    <row r="11093">
      <c r="F11093">
        <f>IF(DATOS!$A11093="","",DATOS!$A11093&amp;"|"&amp;DATOS!$D11093&amp;"|"&amp;DATOS!$E11093&amp;"|"&amp;DATOS!$I11093)</f>
      </c>
      <c r="G11093">
        <f>IF(DATOS!$A11093="",0,IF(CONFIG_METADATA!$B$4&lt;&gt;"OR+EX",--(DATOS!$G11093=CONFIG_METADATA!$B$4),IF(DATOS!$G11093="EX",1,IF(DATOS!$G11093="OR",--(COUNTIFS(nNIA,DATOS!$A11093,nCURSO,DATOS!$D11093,nESPEC,DATOS!$E11093,nASIG,DATOS!$I11093,nEVAL,"EX")=0),0))))</f>
      </c>
      <c r="H11093">
        <f>IF(DATOS!$G11093&lt;&gt;"EX",0,--(COUNTIFS(nNIA,DATOS!$A11093,nCURSO,DATOS!$D11093,nESPEC,DATOS!$E11093,nASIG,DATOS!$I11093,nEVAL,"OR")=0))</f>
      </c>
      <c r="I11093">
        <f>IF(DATOS!$I11093="","",IFERROR(VLOOKUP(DATOS!$I11093,CONFIG_ASIGNATURAS!$B$2:$J$91,9,FALSE()),""))</f>
      </c>
    </row>
    <row r="11094">
      <c r="F11094">
        <f>IF(DATOS!$A11094="","",DATOS!$A11094&amp;"|"&amp;DATOS!$D11094&amp;"|"&amp;DATOS!$E11094&amp;"|"&amp;DATOS!$I11094)</f>
      </c>
      <c r="G11094">
        <f>IF(DATOS!$A11094="",0,IF(CONFIG_METADATA!$B$4&lt;&gt;"OR+EX",--(DATOS!$G11094=CONFIG_METADATA!$B$4),IF(DATOS!$G11094="EX",1,IF(DATOS!$G11094="OR",--(COUNTIFS(nNIA,DATOS!$A11094,nCURSO,DATOS!$D11094,nESPEC,DATOS!$E11094,nASIG,DATOS!$I11094,nEVAL,"EX")=0),0))))</f>
      </c>
      <c r="H11094">
        <f>IF(DATOS!$G11094&lt;&gt;"EX",0,--(COUNTIFS(nNIA,DATOS!$A11094,nCURSO,DATOS!$D11094,nESPEC,DATOS!$E11094,nASIG,DATOS!$I11094,nEVAL,"OR")=0))</f>
      </c>
      <c r="I11094">
        <f>IF(DATOS!$I11094="","",IFERROR(VLOOKUP(DATOS!$I11094,CONFIG_ASIGNATURAS!$B$2:$J$91,9,FALSE()),""))</f>
      </c>
    </row>
    <row r="11095">
      <c r="F11095">
        <f>IF(DATOS!$A11095="","",DATOS!$A11095&amp;"|"&amp;DATOS!$D11095&amp;"|"&amp;DATOS!$E11095&amp;"|"&amp;DATOS!$I11095)</f>
      </c>
      <c r="G11095">
        <f>IF(DATOS!$A11095="",0,IF(CONFIG_METADATA!$B$4&lt;&gt;"OR+EX",--(DATOS!$G11095=CONFIG_METADATA!$B$4),IF(DATOS!$G11095="EX",1,IF(DATOS!$G11095="OR",--(COUNTIFS(nNIA,DATOS!$A11095,nCURSO,DATOS!$D11095,nESPEC,DATOS!$E11095,nASIG,DATOS!$I11095,nEVAL,"EX")=0),0))))</f>
      </c>
      <c r="H11095">
        <f>IF(DATOS!$G11095&lt;&gt;"EX",0,--(COUNTIFS(nNIA,DATOS!$A11095,nCURSO,DATOS!$D11095,nESPEC,DATOS!$E11095,nASIG,DATOS!$I11095,nEVAL,"OR")=0))</f>
      </c>
      <c r="I11095">
        <f>IF(DATOS!$I11095="","",IFERROR(VLOOKUP(DATOS!$I11095,CONFIG_ASIGNATURAS!$B$2:$J$91,9,FALSE()),""))</f>
      </c>
    </row>
    <row r="11096">
      <c r="F11096">
        <f>IF(DATOS!$A11096="","",DATOS!$A11096&amp;"|"&amp;DATOS!$D11096&amp;"|"&amp;DATOS!$E11096&amp;"|"&amp;DATOS!$I11096)</f>
      </c>
      <c r="G11096">
        <f>IF(DATOS!$A11096="",0,IF(CONFIG_METADATA!$B$4&lt;&gt;"OR+EX",--(DATOS!$G11096=CONFIG_METADATA!$B$4),IF(DATOS!$G11096="EX",1,IF(DATOS!$G11096="OR",--(COUNTIFS(nNIA,DATOS!$A11096,nCURSO,DATOS!$D11096,nESPEC,DATOS!$E11096,nASIG,DATOS!$I11096,nEVAL,"EX")=0),0))))</f>
      </c>
      <c r="H11096">
        <f>IF(DATOS!$G11096&lt;&gt;"EX",0,--(COUNTIFS(nNIA,DATOS!$A11096,nCURSO,DATOS!$D11096,nESPEC,DATOS!$E11096,nASIG,DATOS!$I11096,nEVAL,"OR")=0))</f>
      </c>
      <c r="I11096">
        <f>IF(DATOS!$I11096="","",IFERROR(VLOOKUP(DATOS!$I11096,CONFIG_ASIGNATURAS!$B$2:$J$91,9,FALSE()),""))</f>
      </c>
    </row>
    <row r="11097">
      <c r="F11097">
        <f>IF(DATOS!$A11097="","",DATOS!$A11097&amp;"|"&amp;DATOS!$D11097&amp;"|"&amp;DATOS!$E11097&amp;"|"&amp;DATOS!$I11097)</f>
      </c>
      <c r="G11097">
        <f>IF(DATOS!$A11097="",0,IF(CONFIG_METADATA!$B$4&lt;&gt;"OR+EX",--(DATOS!$G11097=CONFIG_METADATA!$B$4),IF(DATOS!$G11097="EX",1,IF(DATOS!$G11097="OR",--(COUNTIFS(nNIA,DATOS!$A11097,nCURSO,DATOS!$D11097,nESPEC,DATOS!$E11097,nASIG,DATOS!$I11097,nEVAL,"EX")=0),0))))</f>
      </c>
      <c r="H11097">
        <f>IF(DATOS!$G11097&lt;&gt;"EX",0,--(COUNTIFS(nNIA,DATOS!$A11097,nCURSO,DATOS!$D11097,nESPEC,DATOS!$E11097,nASIG,DATOS!$I11097,nEVAL,"OR")=0))</f>
      </c>
      <c r="I11097">
        <f>IF(DATOS!$I11097="","",IFERROR(VLOOKUP(DATOS!$I11097,CONFIG_ASIGNATURAS!$B$2:$J$91,9,FALSE()),""))</f>
      </c>
    </row>
    <row r="11098">
      <c r="F11098">
        <f>IF(DATOS!$A11098="","",DATOS!$A11098&amp;"|"&amp;DATOS!$D11098&amp;"|"&amp;DATOS!$E11098&amp;"|"&amp;DATOS!$I11098)</f>
      </c>
      <c r="G11098">
        <f>IF(DATOS!$A11098="",0,IF(CONFIG_METADATA!$B$4&lt;&gt;"OR+EX",--(DATOS!$G11098=CONFIG_METADATA!$B$4),IF(DATOS!$G11098="EX",1,IF(DATOS!$G11098="OR",--(COUNTIFS(nNIA,DATOS!$A11098,nCURSO,DATOS!$D11098,nESPEC,DATOS!$E11098,nASIG,DATOS!$I11098,nEVAL,"EX")=0),0))))</f>
      </c>
      <c r="H11098">
        <f>IF(DATOS!$G11098&lt;&gt;"EX",0,--(COUNTIFS(nNIA,DATOS!$A11098,nCURSO,DATOS!$D11098,nESPEC,DATOS!$E11098,nASIG,DATOS!$I11098,nEVAL,"OR")=0))</f>
      </c>
      <c r="I11098">
        <f>IF(DATOS!$I11098="","",IFERROR(VLOOKUP(DATOS!$I11098,CONFIG_ASIGNATURAS!$B$2:$J$91,9,FALSE()),""))</f>
      </c>
    </row>
    <row r="11099">
      <c r="F11099">
        <f>IF(DATOS!$A11099="","",DATOS!$A11099&amp;"|"&amp;DATOS!$D11099&amp;"|"&amp;DATOS!$E11099&amp;"|"&amp;DATOS!$I11099)</f>
      </c>
      <c r="G11099">
        <f>IF(DATOS!$A11099="",0,IF(CONFIG_METADATA!$B$4&lt;&gt;"OR+EX",--(DATOS!$G11099=CONFIG_METADATA!$B$4),IF(DATOS!$G11099="EX",1,IF(DATOS!$G11099="OR",--(COUNTIFS(nNIA,DATOS!$A11099,nCURSO,DATOS!$D11099,nESPEC,DATOS!$E11099,nASIG,DATOS!$I11099,nEVAL,"EX")=0),0))))</f>
      </c>
      <c r="H11099">
        <f>IF(DATOS!$G11099&lt;&gt;"EX",0,--(COUNTIFS(nNIA,DATOS!$A11099,nCURSO,DATOS!$D11099,nESPEC,DATOS!$E11099,nASIG,DATOS!$I11099,nEVAL,"OR")=0))</f>
      </c>
      <c r="I11099">
        <f>IF(DATOS!$I11099="","",IFERROR(VLOOKUP(DATOS!$I11099,CONFIG_ASIGNATURAS!$B$2:$J$91,9,FALSE()),""))</f>
      </c>
    </row>
    <row r="11100">
      <c r="F11100">
        <f>IF(DATOS!$A11100="","",DATOS!$A11100&amp;"|"&amp;DATOS!$D11100&amp;"|"&amp;DATOS!$E11100&amp;"|"&amp;DATOS!$I11100)</f>
      </c>
      <c r="G11100">
        <f>IF(DATOS!$A11100="",0,IF(CONFIG_METADATA!$B$4&lt;&gt;"OR+EX",--(DATOS!$G11100=CONFIG_METADATA!$B$4),IF(DATOS!$G11100="EX",1,IF(DATOS!$G11100="OR",--(COUNTIFS(nNIA,DATOS!$A11100,nCURSO,DATOS!$D11100,nESPEC,DATOS!$E11100,nASIG,DATOS!$I11100,nEVAL,"EX")=0),0))))</f>
      </c>
      <c r="H11100">
        <f>IF(DATOS!$G11100&lt;&gt;"EX",0,--(COUNTIFS(nNIA,DATOS!$A11100,nCURSO,DATOS!$D11100,nESPEC,DATOS!$E11100,nASIG,DATOS!$I11100,nEVAL,"OR")=0))</f>
      </c>
      <c r="I11100">
        <f>IF(DATOS!$I11100="","",IFERROR(VLOOKUP(DATOS!$I11100,CONFIG_ASIGNATURAS!$B$2:$J$91,9,FALSE()),""))</f>
      </c>
    </row>
    <row r="11101">
      <c r="F11101">
        <f>IF(DATOS!$A11101="","",DATOS!$A11101&amp;"|"&amp;DATOS!$D11101&amp;"|"&amp;DATOS!$E11101&amp;"|"&amp;DATOS!$I11101)</f>
      </c>
      <c r="G11101">
        <f>IF(DATOS!$A11101="",0,IF(CONFIG_METADATA!$B$4&lt;&gt;"OR+EX",--(DATOS!$G11101=CONFIG_METADATA!$B$4),IF(DATOS!$G11101="EX",1,IF(DATOS!$G11101="OR",--(COUNTIFS(nNIA,DATOS!$A11101,nCURSO,DATOS!$D11101,nESPEC,DATOS!$E11101,nASIG,DATOS!$I11101,nEVAL,"EX")=0),0))))</f>
      </c>
      <c r="H11101">
        <f>IF(DATOS!$G11101&lt;&gt;"EX",0,--(COUNTIFS(nNIA,DATOS!$A11101,nCURSO,DATOS!$D11101,nESPEC,DATOS!$E11101,nASIG,DATOS!$I11101,nEVAL,"OR")=0))</f>
      </c>
      <c r="I11101">
        <f>IF(DATOS!$I11101="","",IFERROR(VLOOKUP(DATOS!$I11101,CONFIG_ASIGNATURAS!$B$2:$J$91,9,FALSE()),""))</f>
      </c>
    </row>
    <row r="11102">
      <c r="F11102">
        <f>IF(DATOS!$A11102="","",DATOS!$A11102&amp;"|"&amp;DATOS!$D11102&amp;"|"&amp;DATOS!$E11102&amp;"|"&amp;DATOS!$I11102)</f>
      </c>
      <c r="G11102">
        <f>IF(DATOS!$A11102="",0,IF(CONFIG_METADATA!$B$4&lt;&gt;"OR+EX",--(DATOS!$G11102=CONFIG_METADATA!$B$4),IF(DATOS!$G11102="EX",1,IF(DATOS!$G11102="OR",--(COUNTIFS(nNIA,DATOS!$A11102,nCURSO,DATOS!$D11102,nESPEC,DATOS!$E11102,nASIG,DATOS!$I11102,nEVAL,"EX")=0),0))))</f>
      </c>
      <c r="H11102">
        <f>IF(DATOS!$G11102&lt;&gt;"EX",0,--(COUNTIFS(nNIA,DATOS!$A11102,nCURSO,DATOS!$D11102,nESPEC,DATOS!$E11102,nASIG,DATOS!$I11102,nEVAL,"OR")=0))</f>
      </c>
      <c r="I11102">
        <f>IF(DATOS!$I11102="","",IFERROR(VLOOKUP(DATOS!$I11102,CONFIG_ASIGNATURAS!$B$2:$J$91,9,FALSE()),""))</f>
      </c>
    </row>
    <row r="11103">
      <c r="F11103">
        <f>IF(DATOS!$A11103="","",DATOS!$A11103&amp;"|"&amp;DATOS!$D11103&amp;"|"&amp;DATOS!$E11103&amp;"|"&amp;DATOS!$I11103)</f>
      </c>
      <c r="G11103">
        <f>IF(DATOS!$A11103="",0,IF(CONFIG_METADATA!$B$4&lt;&gt;"OR+EX",--(DATOS!$G11103=CONFIG_METADATA!$B$4),IF(DATOS!$G11103="EX",1,IF(DATOS!$G11103="OR",--(COUNTIFS(nNIA,DATOS!$A11103,nCURSO,DATOS!$D11103,nESPEC,DATOS!$E11103,nASIG,DATOS!$I11103,nEVAL,"EX")=0),0))))</f>
      </c>
      <c r="H11103">
        <f>IF(DATOS!$G11103&lt;&gt;"EX",0,--(COUNTIFS(nNIA,DATOS!$A11103,nCURSO,DATOS!$D11103,nESPEC,DATOS!$E11103,nASIG,DATOS!$I11103,nEVAL,"OR")=0))</f>
      </c>
      <c r="I11103">
        <f>IF(DATOS!$I11103="","",IFERROR(VLOOKUP(DATOS!$I11103,CONFIG_ASIGNATURAS!$B$2:$J$91,9,FALSE()),""))</f>
      </c>
    </row>
    <row r="11104">
      <c r="F11104">
        <f>IF(DATOS!$A11104="","",DATOS!$A11104&amp;"|"&amp;DATOS!$D11104&amp;"|"&amp;DATOS!$E11104&amp;"|"&amp;DATOS!$I11104)</f>
      </c>
      <c r="G11104">
        <f>IF(DATOS!$A11104="",0,IF(CONFIG_METADATA!$B$4&lt;&gt;"OR+EX",--(DATOS!$G11104=CONFIG_METADATA!$B$4),IF(DATOS!$G11104="EX",1,IF(DATOS!$G11104="OR",--(COUNTIFS(nNIA,DATOS!$A11104,nCURSO,DATOS!$D11104,nESPEC,DATOS!$E11104,nASIG,DATOS!$I11104,nEVAL,"EX")=0),0))))</f>
      </c>
      <c r="H11104">
        <f>IF(DATOS!$G11104&lt;&gt;"EX",0,--(COUNTIFS(nNIA,DATOS!$A11104,nCURSO,DATOS!$D11104,nESPEC,DATOS!$E11104,nASIG,DATOS!$I11104,nEVAL,"OR")=0))</f>
      </c>
      <c r="I11104">
        <f>IF(DATOS!$I11104="","",IFERROR(VLOOKUP(DATOS!$I11104,CONFIG_ASIGNATURAS!$B$2:$J$91,9,FALSE()),""))</f>
      </c>
    </row>
    <row r="11105">
      <c r="F11105">
        <f>IF(DATOS!$A11105="","",DATOS!$A11105&amp;"|"&amp;DATOS!$D11105&amp;"|"&amp;DATOS!$E11105&amp;"|"&amp;DATOS!$I11105)</f>
      </c>
      <c r="G11105">
        <f>IF(DATOS!$A11105="",0,IF(CONFIG_METADATA!$B$4&lt;&gt;"OR+EX",--(DATOS!$G11105=CONFIG_METADATA!$B$4),IF(DATOS!$G11105="EX",1,IF(DATOS!$G11105="OR",--(COUNTIFS(nNIA,DATOS!$A11105,nCURSO,DATOS!$D11105,nESPEC,DATOS!$E11105,nASIG,DATOS!$I11105,nEVAL,"EX")=0),0))))</f>
      </c>
      <c r="H11105">
        <f>IF(DATOS!$G11105&lt;&gt;"EX",0,--(COUNTIFS(nNIA,DATOS!$A11105,nCURSO,DATOS!$D11105,nESPEC,DATOS!$E11105,nASIG,DATOS!$I11105,nEVAL,"OR")=0))</f>
      </c>
      <c r="I11105">
        <f>IF(DATOS!$I11105="","",IFERROR(VLOOKUP(DATOS!$I11105,CONFIG_ASIGNATURAS!$B$2:$J$91,9,FALSE()),""))</f>
      </c>
    </row>
    <row r="11106">
      <c r="F11106">
        <f>IF(DATOS!$A11106="","",DATOS!$A11106&amp;"|"&amp;DATOS!$D11106&amp;"|"&amp;DATOS!$E11106&amp;"|"&amp;DATOS!$I11106)</f>
      </c>
      <c r="G11106">
        <f>IF(DATOS!$A11106="",0,IF(CONFIG_METADATA!$B$4&lt;&gt;"OR+EX",--(DATOS!$G11106=CONFIG_METADATA!$B$4),IF(DATOS!$G11106="EX",1,IF(DATOS!$G11106="OR",--(COUNTIFS(nNIA,DATOS!$A11106,nCURSO,DATOS!$D11106,nESPEC,DATOS!$E11106,nASIG,DATOS!$I11106,nEVAL,"EX")=0),0))))</f>
      </c>
      <c r="H11106">
        <f>IF(DATOS!$G11106&lt;&gt;"EX",0,--(COUNTIFS(nNIA,DATOS!$A11106,nCURSO,DATOS!$D11106,nESPEC,DATOS!$E11106,nASIG,DATOS!$I11106,nEVAL,"OR")=0))</f>
      </c>
      <c r="I11106">
        <f>IF(DATOS!$I11106="","",IFERROR(VLOOKUP(DATOS!$I11106,CONFIG_ASIGNATURAS!$B$2:$J$91,9,FALSE()),""))</f>
      </c>
    </row>
    <row r="11107">
      <c r="F11107">
        <f>IF(DATOS!$A11107="","",DATOS!$A11107&amp;"|"&amp;DATOS!$D11107&amp;"|"&amp;DATOS!$E11107&amp;"|"&amp;DATOS!$I11107)</f>
      </c>
      <c r="G11107">
        <f>IF(DATOS!$A11107="",0,IF(CONFIG_METADATA!$B$4&lt;&gt;"OR+EX",--(DATOS!$G11107=CONFIG_METADATA!$B$4),IF(DATOS!$G11107="EX",1,IF(DATOS!$G11107="OR",--(COUNTIFS(nNIA,DATOS!$A11107,nCURSO,DATOS!$D11107,nESPEC,DATOS!$E11107,nASIG,DATOS!$I11107,nEVAL,"EX")=0),0))))</f>
      </c>
      <c r="H11107">
        <f>IF(DATOS!$G11107&lt;&gt;"EX",0,--(COUNTIFS(nNIA,DATOS!$A11107,nCURSO,DATOS!$D11107,nESPEC,DATOS!$E11107,nASIG,DATOS!$I11107,nEVAL,"OR")=0))</f>
      </c>
      <c r="I11107">
        <f>IF(DATOS!$I11107="","",IFERROR(VLOOKUP(DATOS!$I11107,CONFIG_ASIGNATURAS!$B$2:$J$91,9,FALSE()),""))</f>
      </c>
    </row>
    <row r="11108">
      <c r="F11108">
        <f>IF(DATOS!$A11108="","",DATOS!$A11108&amp;"|"&amp;DATOS!$D11108&amp;"|"&amp;DATOS!$E11108&amp;"|"&amp;DATOS!$I11108)</f>
      </c>
      <c r="G11108">
        <f>IF(DATOS!$A11108="",0,IF(CONFIG_METADATA!$B$4&lt;&gt;"OR+EX",--(DATOS!$G11108=CONFIG_METADATA!$B$4),IF(DATOS!$G11108="EX",1,IF(DATOS!$G11108="OR",--(COUNTIFS(nNIA,DATOS!$A11108,nCURSO,DATOS!$D11108,nESPEC,DATOS!$E11108,nASIG,DATOS!$I11108,nEVAL,"EX")=0),0))))</f>
      </c>
      <c r="H11108">
        <f>IF(DATOS!$G11108&lt;&gt;"EX",0,--(COUNTIFS(nNIA,DATOS!$A11108,nCURSO,DATOS!$D11108,nESPEC,DATOS!$E11108,nASIG,DATOS!$I11108,nEVAL,"OR")=0))</f>
      </c>
      <c r="I11108">
        <f>IF(DATOS!$I11108="","",IFERROR(VLOOKUP(DATOS!$I11108,CONFIG_ASIGNATURAS!$B$2:$J$91,9,FALSE()),""))</f>
      </c>
    </row>
    <row r="11109">
      <c r="F11109">
        <f>IF(DATOS!$A11109="","",DATOS!$A11109&amp;"|"&amp;DATOS!$D11109&amp;"|"&amp;DATOS!$E11109&amp;"|"&amp;DATOS!$I11109)</f>
      </c>
      <c r="G11109">
        <f>IF(DATOS!$A11109="",0,IF(CONFIG_METADATA!$B$4&lt;&gt;"OR+EX",--(DATOS!$G11109=CONFIG_METADATA!$B$4),IF(DATOS!$G11109="EX",1,IF(DATOS!$G11109="OR",--(COUNTIFS(nNIA,DATOS!$A11109,nCURSO,DATOS!$D11109,nESPEC,DATOS!$E11109,nASIG,DATOS!$I11109,nEVAL,"EX")=0),0))))</f>
      </c>
      <c r="H11109">
        <f>IF(DATOS!$G11109&lt;&gt;"EX",0,--(COUNTIFS(nNIA,DATOS!$A11109,nCURSO,DATOS!$D11109,nESPEC,DATOS!$E11109,nASIG,DATOS!$I11109,nEVAL,"OR")=0))</f>
      </c>
      <c r="I11109">
        <f>IF(DATOS!$I11109="","",IFERROR(VLOOKUP(DATOS!$I11109,CONFIG_ASIGNATURAS!$B$2:$J$91,9,FALSE()),""))</f>
      </c>
    </row>
    <row r="11110">
      <c r="F11110">
        <f>IF(DATOS!$A11110="","",DATOS!$A11110&amp;"|"&amp;DATOS!$D11110&amp;"|"&amp;DATOS!$E11110&amp;"|"&amp;DATOS!$I11110)</f>
      </c>
      <c r="G11110">
        <f>IF(DATOS!$A11110="",0,IF(CONFIG_METADATA!$B$4&lt;&gt;"OR+EX",--(DATOS!$G11110=CONFIG_METADATA!$B$4),IF(DATOS!$G11110="EX",1,IF(DATOS!$G11110="OR",--(COUNTIFS(nNIA,DATOS!$A11110,nCURSO,DATOS!$D11110,nESPEC,DATOS!$E11110,nASIG,DATOS!$I11110,nEVAL,"EX")=0),0))))</f>
      </c>
      <c r="H11110">
        <f>IF(DATOS!$G11110&lt;&gt;"EX",0,--(COUNTIFS(nNIA,DATOS!$A11110,nCURSO,DATOS!$D11110,nESPEC,DATOS!$E11110,nASIG,DATOS!$I11110,nEVAL,"OR")=0))</f>
      </c>
      <c r="I11110">
        <f>IF(DATOS!$I11110="","",IFERROR(VLOOKUP(DATOS!$I11110,CONFIG_ASIGNATURAS!$B$2:$J$91,9,FALSE()),""))</f>
      </c>
    </row>
    <row r="11111">
      <c r="F11111">
        <f>IF(DATOS!$A11111="","",DATOS!$A11111&amp;"|"&amp;DATOS!$D11111&amp;"|"&amp;DATOS!$E11111&amp;"|"&amp;DATOS!$I11111)</f>
      </c>
      <c r="G11111">
        <f>IF(DATOS!$A11111="",0,IF(CONFIG_METADATA!$B$4&lt;&gt;"OR+EX",--(DATOS!$G11111=CONFIG_METADATA!$B$4),IF(DATOS!$G11111="EX",1,IF(DATOS!$G11111="OR",--(COUNTIFS(nNIA,DATOS!$A11111,nCURSO,DATOS!$D11111,nESPEC,DATOS!$E11111,nASIG,DATOS!$I11111,nEVAL,"EX")=0),0))))</f>
      </c>
      <c r="H11111">
        <f>IF(DATOS!$G11111&lt;&gt;"EX",0,--(COUNTIFS(nNIA,DATOS!$A11111,nCURSO,DATOS!$D11111,nESPEC,DATOS!$E11111,nASIG,DATOS!$I11111,nEVAL,"OR")=0))</f>
      </c>
      <c r="I11111">
        <f>IF(DATOS!$I11111="","",IFERROR(VLOOKUP(DATOS!$I11111,CONFIG_ASIGNATURAS!$B$2:$J$91,9,FALSE()),""))</f>
      </c>
    </row>
    <row r="11112">
      <c r="F11112">
        <f>IF(DATOS!$A11112="","",DATOS!$A11112&amp;"|"&amp;DATOS!$D11112&amp;"|"&amp;DATOS!$E11112&amp;"|"&amp;DATOS!$I11112)</f>
      </c>
      <c r="G11112">
        <f>IF(DATOS!$A11112="",0,IF(CONFIG_METADATA!$B$4&lt;&gt;"OR+EX",--(DATOS!$G11112=CONFIG_METADATA!$B$4),IF(DATOS!$G11112="EX",1,IF(DATOS!$G11112="OR",--(COUNTIFS(nNIA,DATOS!$A11112,nCURSO,DATOS!$D11112,nESPEC,DATOS!$E11112,nASIG,DATOS!$I11112,nEVAL,"EX")=0),0))))</f>
      </c>
      <c r="H11112">
        <f>IF(DATOS!$G11112&lt;&gt;"EX",0,--(COUNTIFS(nNIA,DATOS!$A11112,nCURSO,DATOS!$D11112,nESPEC,DATOS!$E11112,nASIG,DATOS!$I11112,nEVAL,"OR")=0))</f>
      </c>
      <c r="I11112">
        <f>IF(DATOS!$I11112="","",IFERROR(VLOOKUP(DATOS!$I11112,CONFIG_ASIGNATURAS!$B$2:$J$91,9,FALSE()),""))</f>
      </c>
    </row>
    <row r="11113">
      <c r="F11113">
        <f>IF(DATOS!$A11113="","",DATOS!$A11113&amp;"|"&amp;DATOS!$D11113&amp;"|"&amp;DATOS!$E11113&amp;"|"&amp;DATOS!$I11113)</f>
      </c>
      <c r="G11113">
        <f>IF(DATOS!$A11113="",0,IF(CONFIG_METADATA!$B$4&lt;&gt;"OR+EX",--(DATOS!$G11113=CONFIG_METADATA!$B$4),IF(DATOS!$G11113="EX",1,IF(DATOS!$G11113="OR",--(COUNTIFS(nNIA,DATOS!$A11113,nCURSO,DATOS!$D11113,nESPEC,DATOS!$E11113,nASIG,DATOS!$I11113,nEVAL,"EX")=0),0))))</f>
      </c>
      <c r="H11113">
        <f>IF(DATOS!$G11113&lt;&gt;"EX",0,--(COUNTIFS(nNIA,DATOS!$A11113,nCURSO,DATOS!$D11113,nESPEC,DATOS!$E11113,nASIG,DATOS!$I11113,nEVAL,"OR")=0))</f>
      </c>
      <c r="I11113">
        <f>IF(DATOS!$I11113="","",IFERROR(VLOOKUP(DATOS!$I11113,CONFIG_ASIGNATURAS!$B$2:$J$91,9,FALSE()),""))</f>
      </c>
    </row>
    <row r="11114">
      <c r="F11114">
        <f>IF(DATOS!$A11114="","",DATOS!$A11114&amp;"|"&amp;DATOS!$D11114&amp;"|"&amp;DATOS!$E11114&amp;"|"&amp;DATOS!$I11114)</f>
      </c>
      <c r="G11114">
        <f>IF(DATOS!$A11114="",0,IF(CONFIG_METADATA!$B$4&lt;&gt;"OR+EX",--(DATOS!$G11114=CONFIG_METADATA!$B$4),IF(DATOS!$G11114="EX",1,IF(DATOS!$G11114="OR",--(COUNTIFS(nNIA,DATOS!$A11114,nCURSO,DATOS!$D11114,nESPEC,DATOS!$E11114,nASIG,DATOS!$I11114,nEVAL,"EX")=0),0))))</f>
      </c>
      <c r="H11114">
        <f>IF(DATOS!$G11114&lt;&gt;"EX",0,--(COUNTIFS(nNIA,DATOS!$A11114,nCURSO,DATOS!$D11114,nESPEC,DATOS!$E11114,nASIG,DATOS!$I11114,nEVAL,"OR")=0))</f>
      </c>
      <c r="I11114">
        <f>IF(DATOS!$I11114="","",IFERROR(VLOOKUP(DATOS!$I11114,CONFIG_ASIGNATURAS!$B$2:$J$91,9,FALSE()),""))</f>
      </c>
    </row>
    <row r="11115">
      <c r="F11115">
        <f>IF(DATOS!$A11115="","",DATOS!$A11115&amp;"|"&amp;DATOS!$D11115&amp;"|"&amp;DATOS!$E11115&amp;"|"&amp;DATOS!$I11115)</f>
      </c>
      <c r="G11115">
        <f>IF(DATOS!$A11115="",0,IF(CONFIG_METADATA!$B$4&lt;&gt;"OR+EX",--(DATOS!$G11115=CONFIG_METADATA!$B$4),IF(DATOS!$G11115="EX",1,IF(DATOS!$G11115="OR",--(COUNTIFS(nNIA,DATOS!$A11115,nCURSO,DATOS!$D11115,nESPEC,DATOS!$E11115,nASIG,DATOS!$I11115,nEVAL,"EX")=0),0))))</f>
      </c>
      <c r="H11115">
        <f>IF(DATOS!$G11115&lt;&gt;"EX",0,--(COUNTIFS(nNIA,DATOS!$A11115,nCURSO,DATOS!$D11115,nESPEC,DATOS!$E11115,nASIG,DATOS!$I11115,nEVAL,"OR")=0))</f>
      </c>
      <c r="I11115">
        <f>IF(DATOS!$I11115="","",IFERROR(VLOOKUP(DATOS!$I11115,CONFIG_ASIGNATURAS!$B$2:$J$91,9,FALSE()),""))</f>
      </c>
    </row>
    <row r="11116">
      <c r="F11116">
        <f>IF(DATOS!$A11116="","",DATOS!$A11116&amp;"|"&amp;DATOS!$D11116&amp;"|"&amp;DATOS!$E11116&amp;"|"&amp;DATOS!$I11116)</f>
      </c>
      <c r="G11116">
        <f>IF(DATOS!$A11116="",0,IF(CONFIG_METADATA!$B$4&lt;&gt;"OR+EX",--(DATOS!$G11116=CONFIG_METADATA!$B$4),IF(DATOS!$G11116="EX",1,IF(DATOS!$G11116="OR",--(COUNTIFS(nNIA,DATOS!$A11116,nCURSO,DATOS!$D11116,nESPEC,DATOS!$E11116,nASIG,DATOS!$I11116,nEVAL,"EX")=0),0))))</f>
      </c>
      <c r="H11116">
        <f>IF(DATOS!$G11116&lt;&gt;"EX",0,--(COUNTIFS(nNIA,DATOS!$A11116,nCURSO,DATOS!$D11116,nESPEC,DATOS!$E11116,nASIG,DATOS!$I11116,nEVAL,"OR")=0))</f>
      </c>
      <c r="I11116">
        <f>IF(DATOS!$I11116="","",IFERROR(VLOOKUP(DATOS!$I11116,CONFIG_ASIGNATURAS!$B$2:$J$91,9,FALSE()),""))</f>
      </c>
    </row>
    <row r="11117">
      <c r="F11117">
        <f>IF(DATOS!$A11117="","",DATOS!$A11117&amp;"|"&amp;DATOS!$D11117&amp;"|"&amp;DATOS!$E11117&amp;"|"&amp;DATOS!$I11117)</f>
      </c>
      <c r="G11117">
        <f>IF(DATOS!$A11117="",0,IF(CONFIG_METADATA!$B$4&lt;&gt;"OR+EX",--(DATOS!$G11117=CONFIG_METADATA!$B$4),IF(DATOS!$G11117="EX",1,IF(DATOS!$G11117="OR",--(COUNTIFS(nNIA,DATOS!$A11117,nCURSO,DATOS!$D11117,nESPEC,DATOS!$E11117,nASIG,DATOS!$I11117,nEVAL,"EX")=0),0))))</f>
      </c>
      <c r="H11117">
        <f>IF(DATOS!$G11117&lt;&gt;"EX",0,--(COUNTIFS(nNIA,DATOS!$A11117,nCURSO,DATOS!$D11117,nESPEC,DATOS!$E11117,nASIG,DATOS!$I11117,nEVAL,"OR")=0))</f>
      </c>
      <c r="I11117">
        <f>IF(DATOS!$I11117="","",IFERROR(VLOOKUP(DATOS!$I11117,CONFIG_ASIGNATURAS!$B$2:$J$91,9,FALSE()),""))</f>
      </c>
    </row>
    <row r="11118">
      <c r="F11118">
        <f>IF(DATOS!$A11118="","",DATOS!$A11118&amp;"|"&amp;DATOS!$D11118&amp;"|"&amp;DATOS!$E11118&amp;"|"&amp;DATOS!$I11118)</f>
      </c>
      <c r="G11118">
        <f>IF(DATOS!$A11118="",0,IF(CONFIG_METADATA!$B$4&lt;&gt;"OR+EX",--(DATOS!$G11118=CONFIG_METADATA!$B$4),IF(DATOS!$G11118="EX",1,IF(DATOS!$G11118="OR",--(COUNTIFS(nNIA,DATOS!$A11118,nCURSO,DATOS!$D11118,nESPEC,DATOS!$E11118,nASIG,DATOS!$I11118,nEVAL,"EX")=0),0))))</f>
      </c>
      <c r="H11118">
        <f>IF(DATOS!$G11118&lt;&gt;"EX",0,--(COUNTIFS(nNIA,DATOS!$A11118,nCURSO,DATOS!$D11118,nESPEC,DATOS!$E11118,nASIG,DATOS!$I11118,nEVAL,"OR")=0))</f>
      </c>
      <c r="I11118">
        <f>IF(DATOS!$I11118="","",IFERROR(VLOOKUP(DATOS!$I11118,CONFIG_ASIGNATURAS!$B$2:$J$91,9,FALSE()),""))</f>
      </c>
    </row>
    <row r="11119">
      <c r="F11119">
        <f>IF(DATOS!$A11119="","",DATOS!$A11119&amp;"|"&amp;DATOS!$D11119&amp;"|"&amp;DATOS!$E11119&amp;"|"&amp;DATOS!$I11119)</f>
      </c>
      <c r="G11119">
        <f>IF(DATOS!$A11119="",0,IF(CONFIG_METADATA!$B$4&lt;&gt;"OR+EX",--(DATOS!$G11119=CONFIG_METADATA!$B$4),IF(DATOS!$G11119="EX",1,IF(DATOS!$G11119="OR",--(COUNTIFS(nNIA,DATOS!$A11119,nCURSO,DATOS!$D11119,nESPEC,DATOS!$E11119,nASIG,DATOS!$I11119,nEVAL,"EX")=0),0))))</f>
      </c>
      <c r="H11119">
        <f>IF(DATOS!$G11119&lt;&gt;"EX",0,--(COUNTIFS(nNIA,DATOS!$A11119,nCURSO,DATOS!$D11119,nESPEC,DATOS!$E11119,nASIG,DATOS!$I11119,nEVAL,"OR")=0))</f>
      </c>
      <c r="I11119">
        <f>IF(DATOS!$I11119="","",IFERROR(VLOOKUP(DATOS!$I11119,CONFIG_ASIGNATURAS!$B$2:$J$91,9,FALSE()),""))</f>
      </c>
    </row>
    <row r="11120">
      <c r="F11120">
        <f>IF(DATOS!$A11120="","",DATOS!$A11120&amp;"|"&amp;DATOS!$D11120&amp;"|"&amp;DATOS!$E11120&amp;"|"&amp;DATOS!$I11120)</f>
      </c>
      <c r="G11120">
        <f>IF(DATOS!$A11120="",0,IF(CONFIG_METADATA!$B$4&lt;&gt;"OR+EX",--(DATOS!$G11120=CONFIG_METADATA!$B$4),IF(DATOS!$G11120="EX",1,IF(DATOS!$G11120="OR",--(COUNTIFS(nNIA,DATOS!$A11120,nCURSO,DATOS!$D11120,nESPEC,DATOS!$E11120,nASIG,DATOS!$I11120,nEVAL,"EX")=0),0))))</f>
      </c>
      <c r="H11120">
        <f>IF(DATOS!$G11120&lt;&gt;"EX",0,--(COUNTIFS(nNIA,DATOS!$A11120,nCURSO,DATOS!$D11120,nESPEC,DATOS!$E11120,nASIG,DATOS!$I11120,nEVAL,"OR")=0))</f>
      </c>
      <c r="I11120">
        <f>IF(DATOS!$I11120="","",IFERROR(VLOOKUP(DATOS!$I11120,CONFIG_ASIGNATURAS!$B$2:$J$91,9,FALSE()),""))</f>
      </c>
    </row>
    <row r="11121">
      <c r="F11121">
        <f>IF(DATOS!$A11121="","",DATOS!$A11121&amp;"|"&amp;DATOS!$D11121&amp;"|"&amp;DATOS!$E11121&amp;"|"&amp;DATOS!$I11121)</f>
      </c>
      <c r="G11121">
        <f>IF(DATOS!$A11121="",0,IF(CONFIG_METADATA!$B$4&lt;&gt;"OR+EX",--(DATOS!$G11121=CONFIG_METADATA!$B$4),IF(DATOS!$G11121="EX",1,IF(DATOS!$G11121="OR",--(COUNTIFS(nNIA,DATOS!$A11121,nCURSO,DATOS!$D11121,nESPEC,DATOS!$E11121,nASIG,DATOS!$I11121,nEVAL,"EX")=0),0))))</f>
      </c>
      <c r="H11121">
        <f>IF(DATOS!$G11121&lt;&gt;"EX",0,--(COUNTIFS(nNIA,DATOS!$A11121,nCURSO,DATOS!$D11121,nESPEC,DATOS!$E11121,nASIG,DATOS!$I11121,nEVAL,"OR")=0))</f>
      </c>
      <c r="I11121">
        <f>IF(DATOS!$I11121="","",IFERROR(VLOOKUP(DATOS!$I11121,CONFIG_ASIGNATURAS!$B$2:$J$91,9,FALSE()),""))</f>
      </c>
    </row>
    <row r="11122">
      <c r="F11122">
        <f>IF(DATOS!$A11122="","",DATOS!$A11122&amp;"|"&amp;DATOS!$D11122&amp;"|"&amp;DATOS!$E11122&amp;"|"&amp;DATOS!$I11122)</f>
      </c>
      <c r="G11122">
        <f>IF(DATOS!$A11122="",0,IF(CONFIG_METADATA!$B$4&lt;&gt;"OR+EX",--(DATOS!$G11122=CONFIG_METADATA!$B$4),IF(DATOS!$G11122="EX",1,IF(DATOS!$G11122="OR",--(COUNTIFS(nNIA,DATOS!$A11122,nCURSO,DATOS!$D11122,nESPEC,DATOS!$E11122,nASIG,DATOS!$I11122,nEVAL,"EX")=0),0))))</f>
      </c>
      <c r="H11122">
        <f>IF(DATOS!$G11122&lt;&gt;"EX",0,--(COUNTIFS(nNIA,DATOS!$A11122,nCURSO,DATOS!$D11122,nESPEC,DATOS!$E11122,nASIG,DATOS!$I11122,nEVAL,"OR")=0))</f>
      </c>
      <c r="I11122">
        <f>IF(DATOS!$I11122="","",IFERROR(VLOOKUP(DATOS!$I11122,CONFIG_ASIGNATURAS!$B$2:$J$91,9,FALSE()),""))</f>
      </c>
    </row>
    <row r="11123">
      <c r="F11123">
        <f>IF(DATOS!$A11123="","",DATOS!$A11123&amp;"|"&amp;DATOS!$D11123&amp;"|"&amp;DATOS!$E11123&amp;"|"&amp;DATOS!$I11123)</f>
      </c>
      <c r="G11123">
        <f>IF(DATOS!$A11123="",0,IF(CONFIG_METADATA!$B$4&lt;&gt;"OR+EX",--(DATOS!$G11123=CONFIG_METADATA!$B$4),IF(DATOS!$G11123="EX",1,IF(DATOS!$G11123="OR",--(COUNTIFS(nNIA,DATOS!$A11123,nCURSO,DATOS!$D11123,nESPEC,DATOS!$E11123,nASIG,DATOS!$I11123,nEVAL,"EX")=0),0))))</f>
      </c>
      <c r="H11123">
        <f>IF(DATOS!$G11123&lt;&gt;"EX",0,--(COUNTIFS(nNIA,DATOS!$A11123,nCURSO,DATOS!$D11123,nESPEC,DATOS!$E11123,nASIG,DATOS!$I11123,nEVAL,"OR")=0))</f>
      </c>
      <c r="I11123">
        <f>IF(DATOS!$I11123="","",IFERROR(VLOOKUP(DATOS!$I11123,CONFIG_ASIGNATURAS!$B$2:$J$91,9,FALSE()),""))</f>
      </c>
    </row>
    <row r="11124">
      <c r="F11124">
        <f>IF(DATOS!$A11124="","",DATOS!$A11124&amp;"|"&amp;DATOS!$D11124&amp;"|"&amp;DATOS!$E11124&amp;"|"&amp;DATOS!$I11124)</f>
      </c>
      <c r="G11124">
        <f>IF(DATOS!$A11124="",0,IF(CONFIG_METADATA!$B$4&lt;&gt;"OR+EX",--(DATOS!$G11124=CONFIG_METADATA!$B$4),IF(DATOS!$G11124="EX",1,IF(DATOS!$G11124="OR",--(COUNTIFS(nNIA,DATOS!$A11124,nCURSO,DATOS!$D11124,nESPEC,DATOS!$E11124,nASIG,DATOS!$I11124,nEVAL,"EX")=0),0))))</f>
      </c>
      <c r="H11124">
        <f>IF(DATOS!$G11124&lt;&gt;"EX",0,--(COUNTIFS(nNIA,DATOS!$A11124,nCURSO,DATOS!$D11124,nESPEC,DATOS!$E11124,nASIG,DATOS!$I11124,nEVAL,"OR")=0))</f>
      </c>
      <c r="I11124">
        <f>IF(DATOS!$I11124="","",IFERROR(VLOOKUP(DATOS!$I11124,CONFIG_ASIGNATURAS!$B$2:$J$91,9,FALSE()),""))</f>
      </c>
    </row>
    <row r="11125">
      <c r="F11125">
        <f>IF(DATOS!$A11125="","",DATOS!$A11125&amp;"|"&amp;DATOS!$D11125&amp;"|"&amp;DATOS!$E11125&amp;"|"&amp;DATOS!$I11125)</f>
      </c>
      <c r="G11125">
        <f>IF(DATOS!$A11125="",0,IF(CONFIG_METADATA!$B$4&lt;&gt;"OR+EX",--(DATOS!$G11125=CONFIG_METADATA!$B$4),IF(DATOS!$G11125="EX",1,IF(DATOS!$G11125="OR",--(COUNTIFS(nNIA,DATOS!$A11125,nCURSO,DATOS!$D11125,nESPEC,DATOS!$E11125,nASIG,DATOS!$I11125,nEVAL,"EX")=0),0))))</f>
      </c>
      <c r="H11125">
        <f>IF(DATOS!$G11125&lt;&gt;"EX",0,--(COUNTIFS(nNIA,DATOS!$A11125,nCURSO,DATOS!$D11125,nESPEC,DATOS!$E11125,nASIG,DATOS!$I11125,nEVAL,"OR")=0))</f>
      </c>
      <c r="I11125">
        <f>IF(DATOS!$I11125="","",IFERROR(VLOOKUP(DATOS!$I11125,CONFIG_ASIGNATURAS!$B$2:$J$91,9,FALSE()),""))</f>
      </c>
    </row>
    <row r="11126">
      <c r="F11126">
        <f>IF(DATOS!$A11126="","",DATOS!$A11126&amp;"|"&amp;DATOS!$D11126&amp;"|"&amp;DATOS!$E11126&amp;"|"&amp;DATOS!$I11126)</f>
      </c>
      <c r="G11126">
        <f>IF(DATOS!$A11126="",0,IF(CONFIG_METADATA!$B$4&lt;&gt;"OR+EX",--(DATOS!$G11126=CONFIG_METADATA!$B$4),IF(DATOS!$G11126="EX",1,IF(DATOS!$G11126="OR",--(COUNTIFS(nNIA,DATOS!$A11126,nCURSO,DATOS!$D11126,nESPEC,DATOS!$E11126,nASIG,DATOS!$I11126,nEVAL,"EX")=0),0))))</f>
      </c>
      <c r="H11126">
        <f>IF(DATOS!$G11126&lt;&gt;"EX",0,--(COUNTIFS(nNIA,DATOS!$A11126,nCURSO,DATOS!$D11126,nESPEC,DATOS!$E11126,nASIG,DATOS!$I11126,nEVAL,"OR")=0))</f>
      </c>
      <c r="I11126">
        <f>IF(DATOS!$I11126="","",IFERROR(VLOOKUP(DATOS!$I11126,CONFIG_ASIGNATURAS!$B$2:$J$91,9,FALSE()),""))</f>
      </c>
    </row>
    <row r="11127">
      <c r="F11127">
        <f>IF(DATOS!$A11127="","",DATOS!$A11127&amp;"|"&amp;DATOS!$D11127&amp;"|"&amp;DATOS!$E11127&amp;"|"&amp;DATOS!$I11127)</f>
      </c>
      <c r="G11127">
        <f>IF(DATOS!$A11127="",0,IF(CONFIG_METADATA!$B$4&lt;&gt;"OR+EX",--(DATOS!$G11127=CONFIG_METADATA!$B$4),IF(DATOS!$G11127="EX",1,IF(DATOS!$G11127="OR",--(COUNTIFS(nNIA,DATOS!$A11127,nCURSO,DATOS!$D11127,nESPEC,DATOS!$E11127,nASIG,DATOS!$I11127,nEVAL,"EX")=0),0))))</f>
      </c>
      <c r="H11127">
        <f>IF(DATOS!$G11127&lt;&gt;"EX",0,--(COUNTIFS(nNIA,DATOS!$A11127,nCURSO,DATOS!$D11127,nESPEC,DATOS!$E11127,nASIG,DATOS!$I11127,nEVAL,"OR")=0))</f>
      </c>
      <c r="I11127">
        <f>IF(DATOS!$I11127="","",IFERROR(VLOOKUP(DATOS!$I11127,CONFIG_ASIGNATURAS!$B$2:$J$91,9,FALSE()),""))</f>
      </c>
    </row>
    <row r="11128">
      <c r="F11128">
        <f>IF(DATOS!$A11128="","",DATOS!$A11128&amp;"|"&amp;DATOS!$D11128&amp;"|"&amp;DATOS!$E11128&amp;"|"&amp;DATOS!$I11128)</f>
      </c>
      <c r="G11128">
        <f>IF(DATOS!$A11128="",0,IF(CONFIG_METADATA!$B$4&lt;&gt;"OR+EX",--(DATOS!$G11128=CONFIG_METADATA!$B$4),IF(DATOS!$G11128="EX",1,IF(DATOS!$G11128="OR",--(COUNTIFS(nNIA,DATOS!$A11128,nCURSO,DATOS!$D11128,nESPEC,DATOS!$E11128,nASIG,DATOS!$I11128,nEVAL,"EX")=0),0))))</f>
      </c>
      <c r="H11128">
        <f>IF(DATOS!$G11128&lt;&gt;"EX",0,--(COUNTIFS(nNIA,DATOS!$A11128,nCURSO,DATOS!$D11128,nESPEC,DATOS!$E11128,nASIG,DATOS!$I11128,nEVAL,"OR")=0))</f>
      </c>
      <c r="I11128">
        <f>IF(DATOS!$I11128="","",IFERROR(VLOOKUP(DATOS!$I11128,CONFIG_ASIGNATURAS!$B$2:$J$91,9,FALSE()),""))</f>
      </c>
    </row>
    <row r="11129">
      <c r="F11129">
        <f>IF(DATOS!$A11129="","",DATOS!$A11129&amp;"|"&amp;DATOS!$D11129&amp;"|"&amp;DATOS!$E11129&amp;"|"&amp;DATOS!$I11129)</f>
      </c>
      <c r="G11129">
        <f>IF(DATOS!$A11129="",0,IF(CONFIG_METADATA!$B$4&lt;&gt;"OR+EX",--(DATOS!$G11129=CONFIG_METADATA!$B$4),IF(DATOS!$G11129="EX",1,IF(DATOS!$G11129="OR",--(COUNTIFS(nNIA,DATOS!$A11129,nCURSO,DATOS!$D11129,nESPEC,DATOS!$E11129,nASIG,DATOS!$I11129,nEVAL,"EX")=0),0))))</f>
      </c>
      <c r="H11129">
        <f>IF(DATOS!$G11129&lt;&gt;"EX",0,--(COUNTIFS(nNIA,DATOS!$A11129,nCURSO,DATOS!$D11129,nESPEC,DATOS!$E11129,nASIG,DATOS!$I11129,nEVAL,"OR")=0))</f>
      </c>
      <c r="I11129">
        <f>IF(DATOS!$I11129="","",IFERROR(VLOOKUP(DATOS!$I11129,CONFIG_ASIGNATURAS!$B$2:$J$91,9,FALSE()),""))</f>
      </c>
    </row>
    <row r="11130">
      <c r="F11130">
        <f>IF(DATOS!$A11130="","",DATOS!$A11130&amp;"|"&amp;DATOS!$D11130&amp;"|"&amp;DATOS!$E11130&amp;"|"&amp;DATOS!$I11130)</f>
      </c>
      <c r="G11130">
        <f>IF(DATOS!$A11130="",0,IF(CONFIG_METADATA!$B$4&lt;&gt;"OR+EX",--(DATOS!$G11130=CONFIG_METADATA!$B$4),IF(DATOS!$G11130="EX",1,IF(DATOS!$G11130="OR",--(COUNTIFS(nNIA,DATOS!$A11130,nCURSO,DATOS!$D11130,nESPEC,DATOS!$E11130,nASIG,DATOS!$I11130,nEVAL,"EX")=0),0))))</f>
      </c>
      <c r="H11130">
        <f>IF(DATOS!$G11130&lt;&gt;"EX",0,--(COUNTIFS(nNIA,DATOS!$A11130,nCURSO,DATOS!$D11130,nESPEC,DATOS!$E11130,nASIG,DATOS!$I11130,nEVAL,"OR")=0))</f>
      </c>
      <c r="I11130">
        <f>IF(DATOS!$I11130="","",IFERROR(VLOOKUP(DATOS!$I11130,CONFIG_ASIGNATURAS!$B$2:$J$91,9,FALSE()),""))</f>
      </c>
    </row>
    <row r="11131">
      <c r="F11131">
        <f>IF(DATOS!$A11131="","",DATOS!$A11131&amp;"|"&amp;DATOS!$D11131&amp;"|"&amp;DATOS!$E11131&amp;"|"&amp;DATOS!$I11131)</f>
      </c>
      <c r="G11131">
        <f>IF(DATOS!$A11131="",0,IF(CONFIG_METADATA!$B$4&lt;&gt;"OR+EX",--(DATOS!$G11131=CONFIG_METADATA!$B$4),IF(DATOS!$G11131="EX",1,IF(DATOS!$G11131="OR",--(COUNTIFS(nNIA,DATOS!$A11131,nCURSO,DATOS!$D11131,nESPEC,DATOS!$E11131,nASIG,DATOS!$I11131,nEVAL,"EX")=0),0))))</f>
      </c>
      <c r="H11131">
        <f>IF(DATOS!$G11131&lt;&gt;"EX",0,--(COUNTIFS(nNIA,DATOS!$A11131,nCURSO,DATOS!$D11131,nESPEC,DATOS!$E11131,nASIG,DATOS!$I11131,nEVAL,"OR")=0))</f>
      </c>
      <c r="I11131">
        <f>IF(DATOS!$I11131="","",IFERROR(VLOOKUP(DATOS!$I11131,CONFIG_ASIGNATURAS!$B$2:$J$91,9,FALSE()),""))</f>
      </c>
    </row>
    <row r="11132">
      <c r="F11132">
        <f>IF(DATOS!$A11132="","",DATOS!$A11132&amp;"|"&amp;DATOS!$D11132&amp;"|"&amp;DATOS!$E11132&amp;"|"&amp;DATOS!$I11132)</f>
      </c>
      <c r="G11132">
        <f>IF(DATOS!$A11132="",0,IF(CONFIG_METADATA!$B$4&lt;&gt;"OR+EX",--(DATOS!$G11132=CONFIG_METADATA!$B$4),IF(DATOS!$G11132="EX",1,IF(DATOS!$G11132="OR",--(COUNTIFS(nNIA,DATOS!$A11132,nCURSO,DATOS!$D11132,nESPEC,DATOS!$E11132,nASIG,DATOS!$I11132,nEVAL,"EX")=0),0))))</f>
      </c>
      <c r="H11132">
        <f>IF(DATOS!$G11132&lt;&gt;"EX",0,--(COUNTIFS(nNIA,DATOS!$A11132,nCURSO,DATOS!$D11132,nESPEC,DATOS!$E11132,nASIG,DATOS!$I11132,nEVAL,"OR")=0))</f>
      </c>
      <c r="I11132">
        <f>IF(DATOS!$I11132="","",IFERROR(VLOOKUP(DATOS!$I11132,CONFIG_ASIGNATURAS!$B$2:$J$91,9,FALSE()),""))</f>
      </c>
    </row>
    <row r="11133">
      <c r="F11133">
        <f>IF(DATOS!$A11133="","",DATOS!$A11133&amp;"|"&amp;DATOS!$D11133&amp;"|"&amp;DATOS!$E11133&amp;"|"&amp;DATOS!$I11133)</f>
      </c>
      <c r="G11133">
        <f>IF(DATOS!$A11133="",0,IF(CONFIG_METADATA!$B$4&lt;&gt;"OR+EX",--(DATOS!$G11133=CONFIG_METADATA!$B$4),IF(DATOS!$G11133="EX",1,IF(DATOS!$G11133="OR",--(COUNTIFS(nNIA,DATOS!$A11133,nCURSO,DATOS!$D11133,nESPEC,DATOS!$E11133,nASIG,DATOS!$I11133,nEVAL,"EX")=0),0))))</f>
      </c>
      <c r="H11133">
        <f>IF(DATOS!$G11133&lt;&gt;"EX",0,--(COUNTIFS(nNIA,DATOS!$A11133,nCURSO,DATOS!$D11133,nESPEC,DATOS!$E11133,nASIG,DATOS!$I11133,nEVAL,"OR")=0))</f>
      </c>
      <c r="I11133">
        <f>IF(DATOS!$I11133="","",IFERROR(VLOOKUP(DATOS!$I11133,CONFIG_ASIGNATURAS!$B$2:$J$91,9,FALSE()),""))</f>
      </c>
    </row>
    <row r="11134">
      <c r="F11134">
        <f>IF(DATOS!$A11134="","",DATOS!$A11134&amp;"|"&amp;DATOS!$D11134&amp;"|"&amp;DATOS!$E11134&amp;"|"&amp;DATOS!$I11134)</f>
      </c>
      <c r="G11134">
        <f>IF(DATOS!$A11134="",0,IF(CONFIG_METADATA!$B$4&lt;&gt;"OR+EX",--(DATOS!$G11134=CONFIG_METADATA!$B$4),IF(DATOS!$G11134="EX",1,IF(DATOS!$G11134="OR",--(COUNTIFS(nNIA,DATOS!$A11134,nCURSO,DATOS!$D11134,nESPEC,DATOS!$E11134,nASIG,DATOS!$I11134,nEVAL,"EX")=0),0))))</f>
      </c>
      <c r="H11134">
        <f>IF(DATOS!$G11134&lt;&gt;"EX",0,--(COUNTIFS(nNIA,DATOS!$A11134,nCURSO,DATOS!$D11134,nESPEC,DATOS!$E11134,nASIG,DATOS!$I11134,nEVAL,"OR")=0))</f>
      </c>
      <c r="I11134">
        <f>IF(DATOS!$I11134="","",IFERROR(VLOOKUP(DATOS!$I11134,CONFIG_ASIGNATURAS!$B$2:$J$91,9,FALSE()),""))</f>
      </c>
    </row>
    <row r="11135">
      <c r="F11135">
        <f>IF(DATOS!$A11135="","",DATOS!$A11135&amp;"|"&amp;DATOS!$D11135&amp;"|"&amp;DATOS!$E11135&amp;"|"&amp;DATOS!$I11135)</f>
      </c>
      <c r="G11135">
        <f>IF(DATOS!$A11135="",0,IF(CONFIG_METADATA!$B$4&lt;&gt;"OR+EX",--(DATOS!$G11135=CONFIG_METADATA!$B$4),IF(DATOS!$G11135="EX",1,IF(DATOS!$G11135="OR",--(COUNTIFS(nNIA,DATOS!$A11135,nCURSO,DATOS!$D11135,nESPEC,DATOS!$E11135,nASIG,DATOS!$I11135,nEVAL,"EX")=0),0))))</f>
      </c>
      <c r="H11135">
        <f>IF(DATOS!$G11135&lt;&gt;"EX",0,--(COUNTIFS(nNIA,DATOS!$A11135,nCURSO,DATOS!$D11135,nESPEC,DATOS!$E11135,nASIG,DATOS!$I11135,nEVAL,"OR")=0))</f>
      </c>
      <c r="I11135">
        <f>IF(DATOS!$I11135="","",IFERROR(VLOOKUP(DATOS!$I11135,CONFIG_ASIGNATURAS!$B$2:$J$91,9,FALSE()),""))</f>
      </c>
    </row>
    <row r="11136">
      <c r="F11136">
        <f>IF(DATOS!$A11136="","",DATOS!$A11136&amp;"|"&amp;DATOS!$D11136&amp;"|"&amp;DATOS!$E11136&amp;"|"&amp;DATOS!$I11136)</f>
      </c>
      <c r="G11136">
        <f>IF(DATOS!$A11136="",0,IF(CONFIG_METADATA!$B$4&lt;&gt;"OR+EX",--(DATOS!$G11136=CONFIG_METADATA!$B$4),IF(DATOS!$G11136="EX",1,IF(DATOS!$G11136="OR",--(COUNTIFS(nNIA,DATOS!$A11136,nCURSO,DATOS!$D11136,nESPEC,DATOS!$E11136,nASIG,DATOS!$I11136,nEVAL,"EX")=0),0))))</f>
      </c>
      <c r="H11136">
        <f>IF(DATOS!$G11136&lt;&gt;"EX",0,--(COUNTIFS(nNIA,DATOS!$A11136,nCURSO,DATOS!$D11136,nESPEC,DATOS!$E11136,nASIG,DATOS!$I11136,nEVAL,"OR")=0))</f>
      </c>
      <c r="I11136">
        <f>IF(DATOS!$I11136="","",IFERROR(VLOOKUP(DATOS!$I11136,CONFIG_ASIGNATURAS!$B$2:$J$91,9,FALSE()),""))</f>
      </c>
    </row>
    <row r="11137">
      <c r="F11137">
        <f>IF(DATOS!$A11137="","",DATOS!$A11137&amp;"|"&amp;DATOS!$D11137&amp;"|"&amp;DATOS!$E11137&amp;"|"&amp;DATOS!$I11137)</f>
      </c>
      <c r="G11137">
        <f>IF(DATOS!$A11137="",0,IF(CONFIG_METADATA!$B$4&lt;&gt;"OR+EX",--(DATOS!$G11137=CONFIG_METADATA!$B$4),IF(DATOS!$G11137="EX",1,IF(DATOS!$G11137="OR",--(COUNTIFS(nNIA,DATOS!$A11137,nCURSO,DATOS!$D11137,nESPEC,DATOS!$E11137,nASIG,DATOS!$I11137,nEVAL,"EX")=0),0))))</f>
      </c>
      <c r="H11137">
        <f>IF(DATOS!$G11137&lt;&gt;"EX",0,--(COUNTIFS(nNIA,DATOS!$A11137,nCURSO,DATOS!$D11137,nESPEC,DATOS!$E11137,nASIG,DATOS!$I11137,nEVAL,"OR")=0))</f>
      </c>
      <c r="I11137">
        <f>IF(DATOS!$I11137="","",IFERROR(VLOOKUP(DATOS!$I11137,CONFIG_ASIGNATURAS!$B$2:$J$91,9,FALSE()),""))</f>
      </c>
    </row>
    <row r="11138">
      <c r="F11138">
        <f>IF(DATOS!$A11138="","",DATOS!$A11138&amp;"|"&amp;DATOS!$D11138&amp;"|"&amp;DATOS!$E11138&amp;"|"&amp;DATOS!$I11138)</f>
      </c>
      <c r="G11138">
        <f>IF(DATOS!$A11138="",0,IF(CONFIG_METADATA!$B$4&lt;&gt;"OR+EX",--(DATOS!$G11138=CONFIG_METADATA!$B$4),IF(DATOS!$G11138="EX",1,IF(DATOS!$G11138="OR",--(COUNTIFS(nNIA,DATOS!$A11138,nCURSO,DATOS!$D11138,nESPEC,DATOS!$E11138,nASIG,DATOS!$I11138,nEVAL,"EX")=0),0))))</f>
      </c>
      <c r="H11138">
        <f>IF(DATOS!$G11138&lt;&gt;"EX",0,--(COUNTIFS(nNIA,DATOS!$A11138,nCURSO,DATOS!$D11138,nESPEC,DATOS!$E11138,nASIG,DATOS!$I11138,nEVAL,"OR")=0))</f>
      </c>
      <c r="I11138">
        <f>IF(DATOS!$I11138="","",IFERROR(VLOOKUP(DATOS!$I11138,CONFIG_ASIGNATURAS!$B$2:$J$91,9,FALSE()),""))</f>
      </c>
    </row>
    <row r="11139">
      <c r="F11139">
        <f>IF(DATOS!$A11139="","",DATOS!$A11139&amp;"|"&amp;DATOS!$D11139&amp;"|"&amp;DATOS!$E11139&amp;"|"&amp;DATOS!$I11139)</f>
      </c>
      <c r="G11139">
        <f>IF(DATOS!$A11139="",0,IF(CONFIG_METADATA!$B$4&lt;&gt;"OR+EX",--(DATOS!$G11139=CONFIG_METADATA!$B$4),IF(DATOS!$G11139="EX",1,IF(DATOS!$G11139="OR",--(COUNTIFS(nNIA,DATOS!$A11139,nCURSO,DATOS!$D11139,nESPEC,DATOS!$E11139,nASIG,DATOS!$I11139,nEVAL,"EX")=0),0))))</f>
      </c>
      <c r="H11139">
        <f>IF(DATOS!$G11139&lt;&gt;"EX",0,--(COUNTIFS(nNIA,DATOS!$A11139,nCURSO,DATOS!$D11139,nESPEC,DATOS!$E11139,nASIG,DATOS!$I11139,nEVAL,"OR")=0))</f>
      </c>
      <c r="I11139">
        <f>IF(DATOS!$I11139="","",IFERROR(VLOOKUP(DATOS!$I11139,CONFIG_ASIGNATURAS!$B$2:$J$91,9,FALSE()),""))</f>
      </c>
    </row>
    <row r="11140">
      <c r="F11140">
        <f>IF(DATOS!$A11140="","",DATOS!$A11140&amp;"|"&amp;DATOS!$D11140&amp;"|"&amp;DATOS!$E11140&amp;"|"&amp;DATOS!$I11140)</f>
      </c>
      <c r="G11140">
        <f>IF(DATOS!$A11140="",0,IF(CONFIG_METADATA!$B$4&lt;&gt;"OR+EX",--(DATOS!$G11140=CONFIG_METADATA!$B$4),IF(DATOS!$G11140="EX",1,IF(DATOS!$G11140="OR",--(COUNTIFS(nNIA,DATOS!$A11140,nCURSO,DATOS!$D11140,nESPEC,DATOS!$E11140,nASIG,DATOS!$I11140,nEVAL,"EX")=0),0))))</f>
      </c>
      <c r="H11140">
        <f>IF(DATOS!$G11140&lt;&gt;"EX",0,--(COUNTIFS(nNIA,DATOS!$A11140,nCURSO,DATOS!$D11140,nESPEC,DATOS!$E11140,nASIG,DATOS!$I11140,nEVAL,"OR")=0))</f>
      </c>
      <c r="I11140">
        <f>IF(DATOS!$I11140="","",IFERROR(VLOOKUP(DATOS!$I11140,CONFIG_ASIGNATURAS!$B$2:$J$91,9,FALSE()),""))</f>
      </c>
    </row>
    <row r="11141">
      <c r="F11141">
        <f>IF(DATOS!$A11141="","",DATOS!$A11141&amp;"|"&amp;DATOS!$D11141&amp;"|"&amp;DATOS!$E11141&amp;"|"&amp;DATOS!$I11141)</f>
      </c>
      <c r="G11141">
        <f>IF(DATOS!$A11141="",0,IF(CONFIG_METADATA!$B$4&lt;&gt;"OR+EX",--(DATOS!$G11141=CONFIG_METADATA!$B$4),IF(DATOS!$G11141="EX",1,IF(DATOS!$G11141="OR",--(COUNTIFS(nNIA,DATOS!$A11141,nCURSO,DATOS!$D11141,nESPEC,DATOS!$E11141,nASIG,DATOS!$I11141,nEVAL,"EX")=0),0))))</f>
      </c>
      <c r="H11141">
        <f>IF(DATOS!$G11141&lt;&gt;"EX",0,--(COUNTIFS(nNIA,DATOS!$A11141,nCURSO,DATOS!$D11141,nESPEC,DATOS!$E11141,nASIG,DATOS!$I11141,nEVAL,"OR")=0))</f>
      </c>
      <c r="I11141">
        <f>IF(DATOS!$I11141="","",IFERROR(VLOOKUP(DATOS!$I11141,CONFIG_ASIGNATURAS!$B$2:$J$91,9,FALSE()),""))</f>
      </c>
    </row>
    <row r="11142">
      <c r="F11142">
        <f>IF(DATOS!$A11142="","",DATOS!$A11142&amp;"|"&amp;DATOS!$D11142&amp;"|"&amp;DATOS!$E11142&amp;"|"&amp;DATOS!$I11142)</f>
      </c>
      <c r="G11142">
        <f>IF(DATOS!$A11142="",0,IF(CONFIG_METADATA!$B$4&lt;&gt;"OR+EX",--(DATOS!$G11142=CONFIG_METADATA!$B$4),IF(DATOS!$G11142="EX",1,IF(DATOS!$G11142="OR",--(COUNTIFS(nNIA,DATOS!$A11142,nCURSO,DATOS!$D11142,nESPEC,DATOS!$E11142,nASIG,DATOS!$I11142,nEVAL,"EX")=0),0))))</f>
      </c>
      <c r="H11142">
        <f>IF(DATOS!$G11142&lt;&gt;"EX",0,--(COUNTIFS(nNIA,DATOS!$A11142,nCURSO,DATOS!$D11142,nESPEC,DATOS!$E11142,nASIG,DATOS!$I11142,nEVAL,"OR")=0))</f>
      </c>
      <c r="I11142">
        <f>IF(DATOS!$I11142="","",IFERROR(VLOOKUP(DATOS!$I11142,CONFIG_ASIGNATURAS!$B$2:$J$91,9,FALSE()),""))</f>
      </c>
    </row>
    <row r="11143">
      <c r="F11143">
        <f>IF(DATOS!$A11143="","",DATOS!$A11143&amp;"|"&amp;DATOS!$D11143&amp;"|"&amp;DATOS!$E11143&amp;"|"&amp;DATOS!$I11143)</f>
      </c>
      <c r="G11143">
        <f>IF(DATOS!$A11143="",0,IF(CONFIG_METADATA!$B$4&lt;&gt;"OR+EX",--(DATOS!$G11143=CONFIG_METADATA!$B$4),IF(DATOS!$G11143="EX",1,IF(DATOS!$G11143="OR",--(COUNTIFS(nNIA,DATOS!$A11143,nCURSO,DATOS!$D11143,nESPEC,DATOS!$E11143,nASIG,DATOS!$I11143,nEVAL,"EX")=0),0))))</f>
      </c>
      <c r="H11143">
        <f>IF(DATOS!$G11143&lt;&gt;"EX",0,--(COUNTIFS(nNIA,DATOS!$A11143,nCURSO,DATOS!$D11143,nESPEC,DATOS!$E11143,nASIG,DATOS!$I11143,nEVAL,"OR")=0))</f>
      </c>
      <c r="I11143">
        <f>IF(DATOS!$I11143="","",IFERROR(VLOOKUP(DATOS!$I11143,CONFIG_ASIGNATURAS!$B$2:$J$91,9,FALSE()),""))</f>
      </c>
    </row>
    <row r="11144">
      <c r="F11144">
        <f>IF(DATOS!$A11144="","",DATOS!$A11144&amp;"|"&amp;DATOS!$D11144&amp;"|"&amp;DATOS!$E11144&amp;"|"&amp;DATOS!$I11144)</f>
      </c>
      <c r="G11144">
        <f>IF(DATOS!$A11144="",0,IF(CONFIG_METADATA!$B$4&lt;&gt;"OR+EX",--(DATOS!$G11144=CONFIG_METADATA!$B$4),IF(DATOS!$G11144="EX",1,IF(DATOS!$G11144="OR",--(COUNTIFS(nNIA,DATOS!$A11144,nCURSO,DATOS!$D11144,nESPEC,DATOS!$E11144,nASIG,DATOS!$I11144,nEVAL,"EX")=0),0))))</f>
      </c>
      <c r="H11144">
        <f>IF(DATOS!$G11144&lt;&gt;"EX",0,--(COUNTIFS(nNIA,DATOS!$A11144,nCURSO,DATOS!$D11144,nESPEC,DATOS!$E11144,nASIG,DATOS!$I11144,nEVAL,"OR")=0))</f>
      </c>
      <c r="I11144">
        <f>IF(DATOS!$I11144="","",IFERROR(VLOOKUP(DATOS!$I11144,CONFIG_ASIGNATURAS!$B$2:$J$91,9,FALSE()),""))</f>
      </c>
    </row>
    <row r="11145">
      <c r="F11145">
        <f>IF(DATOS!$A11145="","",DATOS!$A11145&amp;"|"&amp;DATOS!$D11145&amp;"|"&amp;DATOS!$E11145&amp;"|"&amp;DATOS!$I11145)</f>
      </c>
      <c r="G11145">
        <f>IF(DATOS!$A11145="",0,IF(CONFIG_METADATA!$B$4&lt;&gt;"OR+EX",--(DATOS!$G11145=CONFIG_METADATA!$B$4),IF(DATOS!$G11145="EX",1,IF(DATOS!$G11145="OR",--(COUNTIFS(nNIA,DATOS!$A11145,nCURSO,DATOS!$D11145,nESPEC,DATOS!$E11145,nASIG,DATOS!$I11145,nEVAL,"EX")=0),0))))</f>
      </c>
      <c r="H11145">
        <f>IF(DATOS!$G11145&lt;&gt;"EX",0,--(COUNTIFS(nNIA,DATOS!$A11145,nCURSO,DATOS!$D11145,nESPEC,DATOS!$E11145,nASIG,DATOS!$I11145,nEVAL,"OR")=0))</f>
      </c>
      <c r="I11145">
        <f>IF(DATOS!$I11145="","",IFERROR(VLOOKUP(DATOS!$I11145,CONFIG_ASIGNATURAS!$B$2:$J$91,9,FALSE()),""))</f>
      </c>
    </row>
    <row r="11146">
      <c r="F11146">
        <f>IF(DATOS!$A11146="","",DATOS!$A11146&amp;"|"&amp;DATOS!$D11146&amp;"|"&amp;DATOS!$E11146&amp;"|"&amp;DATOS!$I11146)</f>
      </c>
      <c r="G11146">
        <f>IF(DATOS!$A11146="",0,IF(CONFIG_METADATA!$B$4&lt;&gt;"OR+EX",--(DATOS!$G11146=CONFIG_METADATA!$B$4),IF(DATOS!$G11146="EX",1,IF(DATOS!$G11146="OR",--(COUNTIFS(nNIA,DATOS!$A11146,nCURSO,DATOS!$D11146,nESPEC,DATOS!$E11146,nASIG,DATOS!$I11146,nEVAL,"EX")=0),0))))</f>
      </c>
      <c r="H11146">
        <f>IF(DATOS!$G11146&lt;&gt;"EX",0,--(COUNTIFS(nNIA,DATOS!$A11146,nCURSO,DATOS!$D11146,nESPEC,DATOS!$E11146,nASIG,DATOS!$I11146,nEVAL,"OR")=0))</f>
      </c>
      <c r="I11146">
        <f>IF(DATOS!$I11146="","",IFERROR(VLOOKUP(DATOS!$I11146,CONFIG_ASIGNATURAS!$B$2:$J$91,9,FALSE()),""))</f>
      </c>
    </row>
    <row r="11147">
      <c r="F11147">
        <f>IF(DATOS!$A11147="","",DATOS!$A11147&amp;"|"&amp;DATOS!$D11147&amp;"|"&amp;DATOS!$E11147&amp;"|"&amp;DATOS!$I11147)</f>
      </c>
      <c r="G11147">
        <f>IF(DATOS!$A11147="",0,IF(CONFIG_METADATA!$B$4&lt;&gt;"OR+EX",--(DATOS!$G11147=CONFIG_METADATA!$B$4),IF(DATOS!$G11147="EX",1,IF(DATOS!$G11147="OR",--(COUNTIFS(nNIA,DATOS!$A11147,nCURSO,DATOS!$D11147,nESPEC,DATOS!$E11147,nASIG,DATOS!$I11147,nEVAL,"EX")=0),0))))</f>
      </c>
      <c r="H11147">
        <f>IF(DATOS!$G11147&lt;&gt;"EX",0,--(COUNTIFS(nNIA,DATOS!$A11147,nCURSO,DATOS!$D11147,nESPEC,DATOS!$E11147,nASIG,DATOS!$I11147,nEVAL,"OR")=0))</f>
      </c>
      <c r="I11147">
        <f>IF(DATOS!$I11147="","",IFERROR(VLOOKUP(DATOS!$I11147,CONFIG_ASIGNATURAS!$B$2:$J$91,9,FALSE()),""))</f>
      </c>
    </row>
    <row r="11148">
      <c r="F11148">
        <f>IF(DATOS!$A11148="","",DATOS!$A11148&amp;"|"&amp;DATOS!$D11148&amp;"|"&amp;DATOS!$E11148&amp;"|"&amp;DATOS!$I11148)</f>
      </c>
      <c r="G11148">
        <f>IF(DATOS!$A11148="",0,IF(CONFIG_METADATA!$B$4&lt;&gt;"OR+EX",--(DATOS!$G11148=CONFIG_METADATA!$B$4),IF(DATOS!$G11148="EX",1,IF(DATOS!$G11148="OR",--(COUNTIFS(nNIA,DATOS!$A11148,nCURSO,DATOS!$D11148,nESPEC,DATOS!$E11148,nASIG,DATOS!$I11148,nEVAL,"EX")=0),0))))</f>
      </c>
      <c r="H11148">
        <f>IF(DATOS!$G11148&lt;&gt;"EX",0,--(COUNTIFS(nNIA,DATOS!$A11148,nCURSO,DATOS!$D11148,nESPEC,DATOS!$E11148,nASIG,DATOS!$I11148,nEVAL,"OR")=0))</f>
      </c>
      <c r="I11148">
        <f>IF(DATOS!$I11148="","",IFERROR(VLOOKUP(DATOS!$I11148,CONFIG_ASIGNATURAS!$B$2:$J$91,9,FALSE()),""))</f>
      </c>
    </row>
    <row r="11149">
      <c r="F11149">
        <f>IF(DATOS!$A11149="","",DATOS!$A11149&amp;"|"&amp;DATOS!$D11149&amp;"|"&amp;DATOS!$E11149&amp;"|"&amp;DATOS!$I11149)</f>
      </c>
      <c r="G11149">
        <f>IF(DATOS!$A11149="",0,IF(CONFIG_METADATA!$B$4&lt;&gt;"OR+EX",--(DATOS!$G11149=CONFIG_METADATA!$B$4),IF(DATOS!$G11149="EX",1,IF(DATOS!$G11149="OR",--(COUNTIFS(nNIA,DATOS!$A11149,nCURSO,DATOS!$D11149,nESPEC,DATOS!$E11149,nASIG,DATOS!$I11149,nEVAL,"EX")=0),0))))</f>
      </c>
      <c r="H11149">
        <f>IF(DATOS!$G11149&lt;&gt;"EX",0,--(COUNTIFS(nNIA,DATOS!$A11149,nCURSO,DATOS!$D11149,nESPEC,DATOS!$E11149,nASIG,DATOS!$I11149,nEVAL,"OR")=0))</f>
      </c>
      <c r="I11149">
        <f>IF(DATOS!$I11149="","",IFERROR(VLOOKUP(DATOS!$I11149,CONFIG_ASIGNATURAS!$B$2:$J$91,9,FALSE()),""))</f>
      </c>
    </row>
    <row r="11150">
      <c r="F11150">
        <f>IF(DATOS!$A11150="","",DATOS!$A11150&amp;"|"&amp;DATOS!$D11150&amp;"|"&amp;DATOS!$E11150&amp;"|"&amp;DATOS!$I11150)</f>
      </c>
      <c r="G11150">
        <f>IF(DATOS!$A11150="",0,IF(CONFIG_METADATA!$B$4&lt;&gt;"OR+EX",--(DATOS!$G11150=CONFIG_METADATA!$B$4),IF(DATOS!$G11150="EX",1,IF(DATOS!$G11150="OR",--(COUNTIFS(nNIA,DATOS!$A11150,nCURSO,DATOS!$D11150,nESPEC,DATOS!$E11150,nASIG,DATOS!$I11150,nEVAL,"EX")=0),0))))</f>
      </c>
      <c r="H11150">
        <f>IF(DATOS!$G11150&lt;&gt;"EX",0,--(COUNTIFS(nNIA,DATOS!$A11150,nCURSO,DATOS!$D11150,nESPEC,DATOS!$E11150,nASIG,DATOS!$I11150,nEVAL,"OR")=0))</f>
      </c>
      <c r="I11150">
        <f>IF(DATOS!$I11150="","",IFERROR(VLOOKUP(DATOS!$I11150,CONFIG_ASIGNATURAS!$B$2:$J$91,9,FALSE()),""))</f>
      </c>
    </row>
    <row r="11151">
      <c r="F11151">
        <f>IF(DATOS!$A11151="","",DATOS!$A11151&amp;"|"&amp;DATOS!$D11151&amp;"|"&amp;DATOS!$E11151&amp;"|"&amp;DATOS!$I11151)</f>
      </c>
      <c r="G11151">
        <f>IF(DATOS!$A11151="",0,IF(CONFIG_METADATA!$B$4&lt;&gt;"OR+EX",--(DATOS!$G11151=CONFIG_METADATA!$B$4),IF(DATOS!$G11151="EX",1,IF(DATOS!$G11151="OR",--(COUNTIFS(nNIA,DATOS!$A11151,nCURSO,DATOS!$D11151,nESPEC,DATOS!$E11151,nASIG,DATOS!$I11151,nEVAL,"EX")=0),0))))</f>
      </c>
      <c r="H11151">
        <f>IF(DATOS!$G11151&lt;&gt;"EX",0,--(COUNTIFS(nNIA,DATOS!$A11151,nCURSO,DATOS!$D11151,nESPEC,DATOS!$E11151,nASIG,DATOS!$I11151,nEVAL,"OR")=0))</f>
      </c>
      <c r="I11151">
        <f>IF(DATOS!$I11151="","",IFERROR(VLOOKUP(DATOS!$I11151,CONFIG_ASIGNATURAS!$B$2:$J$91,9,FALSE()),""))</f>
      </c>
    </row>
    <row r="11152">
      <c r="F11152">
        <f>IF(DATOS!$A11152="","",DATOS!$A11152&amp;"|"&amp;DATOS!$D11152&amp;"|"&amp;DATOS!$E11152&amp;"|"&amp;DATOS!$I11152)</f>
      </c>
      <c r="G11152">
        <f>IF(DATOS!$A11152="",0,IF(CONFIG_METADATA!$B$4&lt;&gt;"OR+EX",--(DATOS!$G11152=CONFIG_METADATA!$B$4),IF(DATOS!$G11152="EX",1,IF(DATOS!$G11152="OR",--(COUNTIFS(nNIA,DATOS!$A11152,nCURSO,DATOS!$D11152,nESPEC,DATOS!$E11152,nASIG,DATOS!$I11152,nEVAL,"EX")=0),0))))</f>
      </c>
      <c r="H11152">
        <f>IF(DATOS!$G11152&lt;&gt;"EX",0,--(COUNTIFS(nNIA,DATOS!$A11152,nCURSO,DATOS!$D11152,nESPEC,DATOS!$E11152,nASIG,DATOS!$I11152,nEVAL,"OR")=0))</f>
      </c>
      <c r="I11152">
        <f>IF(DATOS!$I11152="","",IFERROR(VLOOKUP(DATOS!$I11152,CONFIG_ASIGNATURAS!$B$2:$J$91,9,FALSE()),""))</f>
      </c>
    </row>
    <row r="11153">
      <c r="F11153">
        <f>IF(DATOS!$A11153="","",DATOS!$A11153&amp;"|"&amp;DATOS!$D11153&amp;"|"&amp;DATOS!$E11153&amp;"|"&amp;DATOS!$I11153)</f>
      </c>
      <c r="G11153">
        <f>IF(DATOS!$A11153="",0,IF(CONFIG_METADATA!$B$4&lt;&gt;"OR+EX",--(DATOS!$G11153=CONFIG_METADATA!$B$4),IF(DATOS!$G11153="EX",1,IF(DATOS!$G11153="OR",--(COUNTIFS(nNIA,DATOS!$A11153,nCURSO,DATOS!$D11153,nESPEC,DATOS!$E11153,nASIG,DATOS!$I11153,nEVAL,"EX")=0),0))))</f>
      </c>
      <c r="H11153">
        <f>IF(DATOS!$G11153&lt;&gt;"EX",0,--(COUNTIFS(nNIA,DATOS!$A11153,nCURSO,DATOS!$D11153,nESPEC,DATOS!$E11153,nASIG,DATOS!$I11153,nEVAL,"OR")=0))</f>
      </c>
      <c r="I11153">
        <f>IF(DATOS!$I11153="","",IFERROR(VLOOKUP(DATOS!$I11153,CONFIG_ASIGNATURAS!$B$2:$J$91,9,FALSE()),""))</f>
      </c>
    </row>
    <row r="11154">
      <c r="F11154">
        <f>IF(DATOS!$A11154="","",DATOS!$A11154&amp;"|"&amp;DATOS!$D11154&amp;"|"&amp;DATOS!$E11154&amp;"|"&amp;DATOS!$I11154)</f>
      </c>
      <c r="G11154">
        <f>IF(DATOS!$A11154="",0,IF(CONFIG_METADATA!$B$4&lt;&gt;"OR+EX",--(DATOS!$G11154=CONFIG_METADATA!$B$4),IF(DATOS!$G11154="EX",1,IF(DATOS!$G11154="OR",--(COUNTIFS(nNIA,DATOS!$A11154,nCURSO,DATOS!$D11154,nESPEC,DATOS!$E11154,nASIG,DATOS!$I11154,nEVAL,"EX")=0),0))))</f>
      </c>
      <c r="H11154">
        <f>IF(DATOS!$G11154&lt;&gt;"EX",0,--(COUNTIFS(nNIA,DATOS!$A11154,nCURSO,DATOS!$D11154,nESPEC,DATOS!$E11154,nASIG,DATOS!$I11154,nEVAL,"OR")=0))</f>
      </c>
      <c r="I11154">
        <f>IF(DATOS!$I11154="","",IFERROR(VLOOKUP(DATOS!$I11154,CONFIG_ASIGNATURAS!$B$2:$J$91,9,FALSE()),""))</f>
      </c>
    </row>
    <row r="11155">
      <c r="F11155">
        <f>IF(DATOS!$A11155="","",DATOS!$A11155&amp;"|"&amp;DATOS!$D11155&amp;"|"&amp;DATOS!$E11155&amp;"|"&amp;DATOS!$I11155)</f>
      </c>
      <c r="G11155">
        <f>IF(DATOS!$A11155="",0,IF(CONFIG_METADATA!$B$4&lt;&gt;"OR+EX",--(DATOS!$G11155=CONFIG_METADATA!$B$4),IF(DATOS!$G11155="EX",1,IF(DATOS!$G11155="OR",--(COUNTIFS(nNIA,DATOS!$A11155,nCURSO,DATOS!$D11155,nESPEC,DATOS!$E11155,nASIG,DATOS!$I11155,nEVAL,"EX")=0),0))))</f>
      </c>
      <c r="H11155">
        <f>IF(DATOS!$G11155&lt;&gt;"EX",0,--(COUNTIFS(nNIA,DATOS!$A11155,nCURSO,DATOS!$D11155,nESPEC,DATOS!$E11155,nASIG,DATOS!$I11155,nEVAL,"OR")=0))</f>
      </c>
      <c r="I11155">
        <f>IF(DATOS!$I11155="","",IFERROR(VLOOKUP(DATOS!$I11155,CONFIG_ASIGNATURAS!$B$2:$J$91,9,FALSE()),""))</f>
      </c>
    </row>
    <row r="11156">
      <c r="F11156">
        <f>IF(DATOS!$A11156="","",DATOS!$A11156&amp;"|"&amp;DATOS!$D11156&amp;"|"&amp;DATOS!$E11156&amp;"|"&amp;DATOS!$I11156)</f>
      </c>
      <c r="G11156">
        <f>IF(DATOS!$A11156="",0,IF(CONFIG_METADATA!$B$4&lt;&gt;"OR+EX",--(DATOS!$G11156=CONFIG_METADATA!$B$4),IF(DATOS!$G11156="EX",1,IF(DATOS!$G11156="OR",--(COUNTIFS(nNIA,DATOS!$A11156,nCURSO,DATOS!$D11156,nESPEC,DATOS!$E11156,nASIG,DATOS!$I11156,nEVAL,"EX")=0),0))))</f>
      </c>
      <c r="H11156">
        <f>IF(DATOS!$G11156&lt;&gt;"EX",0,--(COUNTIFS(nNIA,DATOS!$A11156,nCURSO,DATOS!$D11156,nESPEC,DATOS!$E11156,nASIG,DATOS!$I11156,nEVAL,"OR")=0))</f>
      </c>
      <c r="I11156">
        <f>IF(DATOS!$I11156="","",IFERROR(VLOOKUP(DATOS!$I11156,CONFIG_ASIGNATURAS!$B$2:$J$91,9,FALSE()),""))</f>
      </c>
    </row>
    <row r="11157">
      <c r="F11157">
        <f>IF(DATOS!$A11157="","",DATOS!$A11157&amp;"|"&amp;DATOS!$D11157&amp;"|"&amp;DATOS!$E11157&amp;"|"&amp;DATOS!$I11157)</f>
      </c>
      <c r="G11157">
        <f>IF(DATOS!$A11157="",0,IF(CONFIG_METADATA!$B$4&lt;&gt;"OR+EX",--(DATOS!$G11157=CONFIG_METADATA!$B$4),IF(DATOS!$G11157="EX",1,IF(DATOS!$G11157="OR",--(COUNTIFS(nNIA,DATOS!$A11157,nCURSO,DATOS!$D11157,nESPEC,DATOS!$E11157,nASIG,DATOS!$I11157,nEVAL,"EX")=0),0))))</f>
      </c>
      <c r="H11157">
        <f>IF(DATOS!$G11157&lt;&gt;"EX",0,--(COUNTIFS(nNIA,DATOS!$A11157,nCURSO,DATOS!$D11157,nESPEC,DATOS!$E11157,nASIG,DATOS!$I11157,nEVAL,"OR")=0))</f>
      </c>
      <c r="I11157">
        <f>IF(DATOS!$I11157="","",IFERROR(VLOOKUP(DATOS!$I11157,CONFIG_ASIGNATURAS!$B$2:$J$91,9,FALSE()),""))</f>
      </c>
    </row>
    <row r="11158">
      <c r="F11158">
        <f>IF(DATOS!$A11158="","",DATOS!$A11158&amp;"|"&amp;DATOS!$D11158&amp;"|"&amp;DATOS!$E11158&amp;"|"&amp;DATOS!$I11158)</f>
      </c>
      <c r="G11158">
        <f>IF(DATOS!$A11158="",0,IF(CONFIG_METADATA!$B$4&lt;&gt;"OR+EX",--(DATOS!$G11158=CONFIG_METADATA!$B$4),IF(DATOS!$G11158="EX",1,IF(DATOS!$G11158="OR",--(COUNTIFS(nNIA,DATOS!$A11158,nCURSO,DATOS!$D11158,nESPEC,DATOS!$E11158,nASIG,DATOS!$I11158,nEVAL,"EX")=0),0))))</f>
      </c>
      <c r="H11158">
        <f>IF(DATOS!$G11158&lt;&gt;"EX",0,--(COUNTIFS(nNIA,DATOS!$A11158,nCURSO,DATOS!$D11158,nESPEC,DATOS!$E11158,nASIG,DATOS!$I11158,nEVAL,"OR")=0))</f>
      </c>
      <c r="I11158">
        <f>IF(DATOS!$I11158="","",IFERROR(VLOOKUP(DATOS!$I11158,CONFIG_ASIGNATURAS!$B$2:$J$91,9,FALSE()),""))</f>
      </c>
    </row>
    <row r="11159">
      <c r="F11159">
        <f>IF(DATOS!$A11159="","",DATOS!$A11159&amp;"|"&amp;DATOS!$D11159&amp;"|"&amp;DATOS!$E11159&amp;"|"&amp;DATOS!$I11159)</f>
      </c>
      <c r="G11159">
        <f>IF(DATOS!$A11159="",0,IF(CONFIG_METADATA!$B$4&lt;&gt;"OR+EX",--(DATOS!$G11159=CONFIG_METADATA!$B$4),IF(DATOS!$G11159="EX",1,IF(DATOS!$G11159="OR",--(COUNTIFS(nNIA,DATOS!$A11159,nCURSO,DATOS!$D11159,nESPEC,DATOS!$E11159,nASIG,DATOS!$I11159,nEVAL,"EX")=0),0))))</f>
      </c>
      <c r="H11159">
        <f>IF(DATOS!$G11159&lt;&gt;"EX",0,--(COUNTIFS(nNIA,DATOS!$A11159,nCURSO,DATOS!$D11159,nESPEC,DATOS!$E11159,nASIG,DATOS!$I11159,nEVAL,"OR")=0))</f>
      </c>
      <c r="I11159">
        <f>IF(DATOS!$I11159="","",IFERROR(VLOOKUP(DATOS!$I11159,CONFIG_ASIGNATURAS!$B$2:$J$91,9,FALSE()),""))</f>
      </c>
    </row>
    <row r="11160">
      <c r="F11160">
        <f>IF(DATOS!$A11160="","",DATOS!$A11160&amp;"|"&amp;DATOS!$D11160&amp;"|"&amp;DATOS!$E11160&amp;"|"&amp;DATOS!$I11160)</f>
      </c>
      <c r="G11160">
        <f>IF(DATOS!$A11160="",0,IF(CONFIG_METADATA!$B$4&lt;&gt;"OR+EX",--(DATOS!$G11160=CONFIG_METADATA!$B$4),IF(DATOS!$G11160="EX",1,IF(DATOS!$G11160="OR",--(COUNTIFS(nNIA,DATOS!$A11160,nCURSO,DATOS!$D11160,nESPEC,DATOS!$E11160,nASIG,DATOS!$I11160,nEVAL,"EX")=0),0))))</f>
      </c>
      <c r="H11160">
        <f>IF(DATOS!$G11160&lt;&gt;"EX",0,--(COUNTIFS(nNIA,DATOS!$A11160,nCURSO,DATOS!$D11160,nESPEC,DATOS!$E11160,nASIG,DATOS!$I11160,nEVAL,"OR")=0))</f>
      </c>
      <c r="I11160">
        <f>IF(DATOS!$I11160="","",IFERROR(VLOOKUP(DATOS!$I11160,CONFIG_ASIGNATURAS!$B$2:$J$91,9,FALSE()),""))</f>
      </c>
    </row>
    <row r="11161">
      <c r="F11161">
        <f>IF(DATOS!$A11161="","",DATOS!$A11161&amp;"|"&amp;DATOS!$D11161&amp;"|"&amp;DATOS!$E11161&amp;"|"&amp;DATOS!$I11161)</f>
      </c>
      <c r="G11161">
        <f>IF(DATOS!$A11161="",0,IF(CONFIG_METADATA!$B$4&lt;&gt;"OR+EX",--(DATOS!$G11161=CONFIG_METADATA!$B$4),IF(DATOS!$G11161="EX",1,IF(DATOS!$G11161="OR",--(COUNTIFS(nNIA,DATOS!$A11161,nCURSO,DATOS!$D11161,nESPEC,DATOS!$E11161,nASIG,DATOS!$I11161,nEVAL,"EX")=0),0))))</f>
      </c>
      <c r="H11161">
        <f>IF(DATOS!$G11161&lt;&gt;"EX",0,--(COUNTIFS(nNIA,DATOS!$A11161,nCURSO,DATOS!$D11161,nESPEC,DATOS!$E11161,nASIG,DATOS!$I11161,nEVAL,"OR")=0))</f>
      </c>
      <c r="I11161">
        <f>IF(DATOS!$I11161="","",IFERROR(VLOOKUP(DATOS!$I11161,CONFIG_ASIGNATURAS!$B$2:$J$91,9,FALSE()),""))</f>
      </c>
    </row>
    <row r="11162">
      <c r="F11162">
        <f>IF(DATOS!$A11162="","",DATOS!$A11162&amp;"|"&amp;DATOS!$D11162&amp;"|"&amp;DATOS!$E11162&amp;"|"&amp;DATOS!$I11162)</f>
      </c>
      <c r="G11162">
        <f>IF(DATOS!$A11162="",0,IF(CONFIG_METADATA!$B$4&lt;&gt;"OR+EX",--(DATOS!$G11162=CONFIG_METADATA!$B$4),IF(DATOS!$G11162="EX",1,IF(DATOS!$G11162="OR",--(COUNTIFS(nNIA,DATOS!$A11162,nCURSO,DATOS!$D11162,nESPEC,DATOS!$E11162,nASIG,DATOS!$I11162,nEVAL,"EX")=0),0))))</f>
      </c>
      <c r="H11162">
        <f>IF(DATOS!$G11162&lt;&gt;"EX",0,--(COUNTIFS(nNIA,DATOS!$A11162,nCURSO,DATOS!$D11162,nESPEC,DATOS!$E11162,nASIG,DATOS!$I11162,nEVAL,"OR")=0))</f>
      </c>
      <c r="I11162">
        <f>IF(DATOS!$I11162="","",IFERROR(VLOOKUP(DATOS!$I11162,CONFIG_ASIGNATURAS!$B$2:$J$91,9,FALSE()),""))</f>
      </c>
    </row>
    <row r="11163">
      <c r="F11163">
        <f>IF(DATOS!$A11163="","",DATOS!$A11163&amp;"|"&amp;DATOS!$D11163&amp;"|"&amp;DATOS!$E11163&amp;"|"&amp;DATOS!$I11163)</f>
      </c>
      <c r="G11163">
        <f>IF(DATOS!$A11163="",0,IF(CONFIG_METADATA!$B$4&lt;&gt;"OR+EX",--(DATOS!$G11163=CONFIG_METADATA!$B$4),IF(DATOS!$G11163="EX",1,IF(DATOS!$G11163="OR",--(COUNTIFS(nNIA,DATOS!$A11163,nCURSO,DATOS!$D11163,nESPEC,DATOS!$E11163,nASIG,DATOS!$I11163,nEVAL,"EX")=0),0))))</f>
      </c>
      <c r="H11163">
        <f>IF(DATOS!$G11163&lt;&gt;"EX",0,--(COUNTIFS(nNIA,DATOS!$A11163,nCURSO,DATOS!$D11163,nESPEC,DATOS!$E11163,nASIG,DATOS!$I11163,nEVAL,"OR")=0))</f>
      </c>
      <c r="I11163">
        <f>IF(DATOS!$I11163="","",IFERROR(VLOOKUP(DATOS!$I11163,CONFIG_ASIGNATURAS!$B$2:$J$91,9,FALSE()),""))</f>
      </c>
    </row>
    <row r="11164">
      <c r="F11164">
        <f>IF(DATOS!$A11164="","",DATOS!$A11164&amp;"|"&amp;DATOS!$D11164&amp;"|"&amp;DATOS!$E11164&amp;"|"&amp;DATOS!$I11164)</f>
      </c>
      <c r="G11164">
        <f>IF(DATOS!$A11164="",0,IF(CONFIG_METADATA!$B$4&lt;&gt;"OR+EX",--(DATOS!$G11164=CONFIG_METADATA!$B$4),IF(DATOS!$G11164="EX",1,IF(DATOS!$G11164="OR",--(COUNTIFS(nNIA,DATOS!$A11164,nCURSO,DATOS!$D11164,nESPEC,DATOS!$E11164,nASIG,DATOS!$I11164,nEVAL,"EX")=0),0))))</f>
      </c>
      <c r="H11164">
        <f>IF(DATOS!$G11164&lt;&gt;"EX",0,--(COUNTIFS(nNIA,DATOS!$A11164,nCURSO,DATOS!$D11164,nESPEC,DATOS!$E11164,nASIG,DATOS!$I11164,nEVAL,"OR")=0))</f>
      </c>
      <c r="I11164">
        <f>IF(DATOS!$I11164="","",IFERROR(VLOOKUP(DATOS!$I11164,CONFIG_ASIGNATURAS!$B$2:$J$91,9,FALSE()),""))</f>
      </c>
    </row>
    <row r="11165">
      <c r="F11165">
        <f>IF(DATOS!$A11165="","",DATOS!$A11165&amp;"|"&amp;DATOS!$D11165&amp;"|"&amp;DATOS!$E11165&amp;"|"&amp;DATOS!$I11165)</f>
      </c>
      <c r="G11165">
        <f>IF(DATOS!$A11165="",0,IF(CONFIG_METADATA!$B$4&lt;&gt;"OR+EX",--(DATOS!$G11165=CONFIG_METADATA!$B$4),IF(DATOS!$G11165="EX",1,IF(DATOS!$G11165="OR",--(COUNTIFS(nNIA,DATOS!$A11165,nCURSO,DATOS!$D11165,nESPEC,DATOS!$E11165,nASIG,DATOS!$I11165,nEVAL,"EX")=0),0))))</f>
      </c>
      <c r="H11165">
        <f>IF(DATOS!$G11165&lt;&gt;"EX",0,--(COUNTIFS(nNIA,DATOS!$A11165,nCURSO,DATOS!$D11165,nESPEC,DATOS!$E11165,nASIG,DATOS!$I11165,nEVAL,"OR")=0))</f>
      </c>
      <c r="I11165">
        <f>IF(DATOS!$I11165="","",IFERROR(VLOOKUP(DATOS!$I11165,CONFIG_ASIGNATURAS!$B$2:$J$91,9,FALSE()),""))</f>
      </c>
    </row>
    <row r="11166">
      <c r="F11166">
        <f>IF(DATOS!$A11166="","",DATOS!$A11166&amp;"|"&amp;DATOS!$D11166&amp;"|"&amp;DATOS!$E11166&amp;"|"&amp;DATOS!$I11166)</f>
      </c>
      <c r="G11166">
        <f>IF(DATOS!$A11166="",0,IF(CONFIG_METADATA!$B$4&lt;&gt;"OR+EX",--(DATOS!$G11166=CONFIG_METADATA!$B$4),IF(DATOS!$G11166="EX",1,IF(DATOS!$G11166="OR",--(COUNTIFS(nNIA,DATOS!$A11166,nCURSO,DATOS!$D11166,nESPEC,DATOS!$E11166,nASIG,DATOS!$I11166,nEVAL,"EX")=0),0))))</f>
      </c>
      <c r="H11166">
        <f>IF(DATOS!$G11166&lt;&gt;"EX",0,--(COUNTIFS(nNIA,DATOS!$A11166,nCURSO,DATOS!$D11166,nESPEC,DATOS!$E11166,nASIG,DATOS!$I11166,nEVAL,"OR")=0))</f>
      </c>
      <c r="I11166">
        <f>IF(DATOS!$I11166="","",IFERROR(VLOOKUP(DATOS!$I11166,CONFIG_ASIGNATURAS!$B$2:$J$91,9,FALSE()),""))</f>
      </c>
    </row>
    <row r="11167">
      <c r="F11167">
        <f>IF(DATOS!$A11167="","",DATOS!$A11167&amp;"|"&amp;DATOS!$D11167&amp;"|"&amp;DATOS!$E11167&amp;"|"&amp;DATOS!$I11167)</f>
      </c>
      <c r="G11167">
        <f>IF(DATOS!$A11167="",0,IF(CONFIG_METADATA!$B$4&lt;&gt;"OR+EX",--(DATOS!$G11167=CONFIG_METADATA!$B$4),IF(DATOS!$G11167="EX",1,IF(DATOS!$G11167="OR",--(COUNTIFS(nNIA,DATOS!$A11167,nCURSO,DATOS!$D11167,nESPEC,DATOS!$E11167,nASIG,DATOS!$I11167,nEVAL,"EX")=0),0))))</f>
      </c>
      <c r="H11167">
        <f>IF(DATOS!$G11167&lt;&gt;"EX",0,--(COUNTIFS(nNIA,DATOS!$A11167,nCURSO,DATOS!$D11167,nESPEC,DATOS!$E11167,nASIG,DATOS!$I11167,nEVAL,"OR")=0))</f>
      </c>
      <c r="I11167">
        <f>IF(DATOS!$I11167="","",IFERROR(VLOOKUP(DATOS!$I11167,CONFIG_ASIGNATURAS!$B$2:$J$91,9,FALSE()),""))</f>
      </c>
    </row>
    <row r="11168">
      <c r="F11168">
        <f>IF(DATOS!$A11168="","",DATOS!$A11168&amp;"|"&amp;DATOS!$D11168&amp;"|"&amp;DATOS!$E11168&amp;"|"&amp;DATOS!$I11168)</f>
      </c>
      <c r="G11168">
        <f>IF(DATOS!$A11168="",0,IF(CONFIG_METADATA!$B$4&lt;&gt;"OR+EX",--(DATOS!$G11168=CONFIG_METADATA!$B$4),IF(DATOS!$G11168="EX",1,IF(DATOS!$G11168="OR",--(COUNTIFS(nNIA,DATOS!$A11168,nCURSO,DATOS!$D11168,nESPEC,DATOS!$E11168,nASIG,DATOS!$I11168,nEVAL,"EX")=0),0))))</f>
      </c>
      <c r="H11168">
        <f>IF(DATOS!$G11168&lt;&gt;"EX",0,--(COUNTIFS(nNIA,DATOS!$A11168,nCURSO,DATOS!$D11168,nESPEC,DATOS!$E11168,nASIG,DATOS!$I11168,nEVAL,"OR")=0))</f>
      </c>
      <c r="I11168">
        <f>IF(DATOS!$I11168="","",IFERROR(VLOOKUP(DATOS!$I11168,CONFIG_ASIGNATURAS!$B$2:$J$91,9,FALSE()),""))</f>
      </c>
    </row>
    <row r="11169">
      <c r="F11169">
        <f>IF(DATOS!$A11169="","",DATOS!$A11169&amp;"|"&amp;DATOS!$D11169&amp;"|"&amp;DATOS!$E11169&amp;"|"&amp;DATOS!$I11169)</f>
      </c>
      <c r="G11169">
        <f>IF(DATOS!$A11169="",0,IF(CONFIG_METADATA!$B$4&lt;&gt;"OR+EX",--(DATOS!$G11169=CONFIG_METADATA!$B$4),IF(DATOS!$G11169="EX",1,IF(DATOS!$G11169="OR",--(COUNTIFS(nNIA,DATOS!$A11169,nCURSO,DATOS!$D11169,nESPEC,DATOS!$E11169,nASIG,DATOS!$I11169,nEVAL,"EX")=0),0))))</f>
      </c>
      <c r="H11169">
        <f>IF(DATOS!$G11169&lt;&gt;"EX",0,--(COUNTIFS(nNIA,DATOS!$A11169,nCURSO,DATOS!$D11169,nESPEC,DATOS!$E11169,nASIG,DATOS!$I11169,nEVAL,"OR")=0))</f>
      </c>
      <c r="I11169">
        <f>IF(DATOS!$I11169="","",IFERROR(VLOOKUP(DATOS!$I11169,CONFIG_ASIGNATURAS!$B$2:$J$91,9,FALSE()),""))</f>
      </c>
    </row>
    <row r="11170">
      <c r="F11170">
        <f>IF(DATOS!$A11170="","",DATOS!$A11170&amp;"|"&amp;DATOS!$D11170&amp;"|"&amp;DATOS!$E11170&amp;"|"&amp;DATOS!$I11170)</f>
      </c>
      <c r="G11170">
        <f>IF(DATOS!$A11170="",0,IF(CONFIG_METADATA!$B$4&lt;&gt;"OR+EX",--(DATOS!$G11170=CONFIG_METADATA!$B$4),IF(DATOS!$G11170="EX",1,IF(DATOS!$G11170="OR",--(COUNTIFS(nNIA,DATOS!$A11170,nCURSO,DATOS!$D11170,nESPEC,DATOS!$E11170,nASIG,DATOS!$I11170,nEVAL,"EX")=0),0))))</f>
      </c>
      <c r="H11170">
        <f>IF(DATOS!$G11170&lt;&gt;"EX",0,--(COUNTIFS(nNIA,DATOS!$A11170,nCURSO,DATOS!$D11170,nESPEC,DATOS!$E11170,nASIG,DATOS!$I11170,nEVAL,"OR")=0))</f>
      </c>
      <c r="I11170">
        <f>IF(DATOS!$I11170="","",IFERROR(VLOOKUP(DATOS!$I11170,CONFIG_ASIGNATURAS!$B$2:$J$91,9,FALSE()),""))</f>
      </c>
    </row>
    <row r="11171">
      <c r="F11171">
        <f>IF(DATOS!$A11171="","",DATOS!$A11171&amp;"|"&amp;DATOS!$D11171&amp;"|"&amp;DATOS!$E11171&amp;"|"&amp;DATOS!$I11171)</f>
      </c>
      <c r="G11171">
        <f>IF(DATOS!$A11171="",0,IF(CONFIG_METADATA!$B$4&lt;&gt;"OR+EX",--(DATOS!$G11171=CONFIG_METADATA!$B$4),IF(DATOS!$G11171="EX",1,IF(DATOS!$G11171="OR",--(COUNTIFS(nNIA,DATOS!$A11171,nCURSO,DATOS!$D11171,nESPEC,DATOS!$E11171,nASIG,DATOS!$I11171,nEVAL,"EX")=0),0))))</f>
      </c>
      <c r="H11171">
        <f>IF(DATOS!$G11171&lt;&gt;"EX",0,--(COUNTIFS(nNIA,DATOS!$A11171,nCURSO,DATOS!$D11171,nESPEC,DATOS!$E11171,nASIG,DATOS!$I11171,nEVAL,"OR")=0))</f>
      </c>
      <c r="I11171">
        <f>IF(DATOS!$I11171="","",IFERROR(VLOOKUP(DATOS!$I11171,CONFIG_ASIGNATURAS!$B$2:$J$91,9,FALSE()),""))</f>
      </c>
    </row>
    <row r="11172">
      <c r="F11172">
        <f>IF(DATOS!$A11172="","",DATOS!$A11172&amp;"|"&amp;DATOS!$D11172&amp;"|"&amp;DATOS!$E11172&amp;"|"&amp;DATOS!$I11172)</f>
      </c>
      <c r="G11172">
        <f>IF(DATOS!$A11172="",0,IF(CONFIG_METADATA!$B$4&lt;&gt;"OR+EX",--(DATOS!$G11172=CONFIG_METADATA!$B$4),IF(DATOS!$G11172="EX",1,IF(DATOS!$G11172="OR",--(COUNTIFS(nNIA,DATOS!$A11172,nCURSO,DATOS!$D11172,nESPEC,DATOS!$E11172,nASIG,DATOS!$I11172,nEVAL,"EX")=0),0))))</f>
      </c>
      <c r="H11172">
        <f>IF(DATOS!$G11172&lt;&gt;"EX",0,--(COUNTIFS(nNIA,DATOS!$A11172,nCURSO,DATOS!$D11172,nESPEC,DATOS!$E11172,nASIG,DATOS!$I11172,nEVAL,"OR")=0))</f>
      </c>
      <c r="I11172">
        <f>IF(DATOS!$I11172="","",IFERROR(VLOOKUP(DATOS!$I11172,CONFIG_ASIGNATURAS!$B$2:$J$91,9,FALSE()),""))</f>
      </c>
    </row>
    <row r="11173">
      <c r="F11173">
        <f>IF(DATOS!$A11173="","",DATOS!$A11173&amp;"|"&amp;DATOS!$D11173&amp;"|"&amp;DATOS!$E11173&amp;"|"&amp;DATOS!$I11173)</f>
      </c>
      <c r="G11173">
        <f>IF(DATOS!$A11173="",0,IF(CONFIG_METADATA!$B$4&lt;&gt;"OR+EX",--(DATOS!$G11173=CONFIG_METADATA!$B$4),IF(DATOS!$G11173="EX",1,IF(DATOS!$G11173="OR",--(COUNTIFS(nNIA,DATOS!$A11173,nCURSO,DATOS!$D11173,nESPEC,DATOS!$E11173,nASIG,DATOS!$I11173,nEVAL,"EX")=0),0))))</f>
      </c>
      <c r="H11173">
        <f>IF(DATOS!$G11173&lt;&gt;"EX",0,--(COUNTIFS(nNIA,DATOS!$A11173,nCURSO,DATOS!$D11173,nESPEC,DATOS!$E11173,nASIG,DATOS!$I11173,nEVAL,"OR")=0))</f>
      </c>
      <c r="I11173">
        <f>IF(DATOS!$I11173="","",IFERROR(VLOOKUP(DATOS!$I11173,CONFIG_ASIGNATURAS!$B$2:$J$91,9,FALSE()),""))</f>
      </c>
    </row>
    <row r="11174">
      <c r="F11174">
        <f>IF(DATOS!$A11174="","",DATOS!$A11174&amp;"|"&amp;DATOS!$D11174&amp;"|"&amp;DATOS!$E11174&amp;"|"&amp;DATOS!$I11174)</f>
      </c>
      <c r="G11174">
        <f>IF(DATOS!$A11174="",0,IF(CONFIG_METADATA!$B$4&lt;&gt;"OR+EX",--(DATOS!$G11174=CONFIG_METADATA!$B$4),IF(DATOS!$G11174="EX",1,IF(DATOS!$G11174="OR",--(COUNTIFS(nNIA,DATOS!$A11174,nCURSO,DATOS!$D11174,nESPEC,DATOS!$E11174,nASIG,DATOS!$I11174,nEVAL,"EX")=0),0))))</f>
      </c>
      <c r="H11174">
        <f>IF(DATOS!$G11174&lt;&gt;"EX",0,--(COUNTIFS(nNIA,DATOS!$A11174,nCURSO,DATOS!$D11174,nESPEC,DATOS!$E11174,nASIG,DATOS!$I11174,nEVAL,"OR")=0))</f>
      </c>
      <c r="I11174">
        <f>IF(DATOS!$I11174="","",IFERROR(VLOOKUP(DATOS!$I11174,CONFIG_ASIGNATURAS!$B$2:$J$91,9,FALSE()),""))</f>
      </c>
    </row>
    <row r="11175">
      <c r="F11175">
        <f>IF(DATOS!$A11175="","",DATOS!$A11175&amp;"|"&amp;DATOS!$D11175&amp;"|"&amp;DATOS!$E11175&amp;"|"&amp;DATOS!$I11175)</f>
      </c>
      <c r="G11175">
        <f>IF(DATOS!$A11175="",0,IF(CONFIG_METADATA!$B$4&lt;&gt;"OR+EX",--(DATOS!$G11175=CONFIG_METADATA!$B$4),IF(DATOS!$G11175="EX",1,IF(DATOS!$G11175="OR",--(COUNTIFS(nNIA,DATOS!$A11175,nCURSO,DATOS!$D11175,nESPEC,DATOS!$E11175,nASIG,DATOS!$I11175,nEVAL,"EX")=0),0))))</f>
      </c>
      <c r="H11175">
        <f>IF(DATOS!$G11175&lt;&gt;"EX",0,--(COUNTIFS(nNIA,DATOS!$A11175,nCURSO,DATOS!$D11175,nESPEC,DATOS!$E11175,nASIG,DATOS!$I11175,nEVAL,"OR")=0))</f>
      </c>
      <c r="I11175">
        <f>IF(DATOS!$I11175="","",IFERROR(VLOOKUP(DATOS!$I11175,CONFIG_ASIGNATURAS!$B$2:$J$91,9,FALSE()),""))</f>
      </c>
    </row>
    <row r="11176">
      <c r="F11176">
        <f>IF(DATOS!$A11176="","",DATOS!$A11176&amp;"|"&amp;DATOS!$D11176&amp;"|"&amp;DATOS!$E11176&amp;"|"&amp;DATOS!$I11176)</f>
      </c>
      <c r="G11176">
        <f>IF(DATOS!$A11176="",0,IF(CONFIG_METADATA!$B$4&lt;&gt;"OR+EX",--(DATOS!$G11176=CONFIG_METADATA!$B$4),IF(DATOS!$G11176="EX",1,IF(DATOS!$G11176="OR",--(COUNTIFS(nNIA,DATOS!$A11176,nCURSO,DATOS!$D11176,nESPEC,DATOS!$E11176,nASIG,DATOS!$I11176,nEVAL,"EX")=0),0))))</f>
      </c>
      <c r="H11176">
        <f>IF(DATOS!$G11176&lt;&gt;"EX",0,--(COUNTIFS(nNIA,DATOS!$A11176,nCURSO,DATOS!$D11176,nESPEC,DATOS!$E11176,nASIG,DATOS!$I11176,nEVAL,"OR")=0))</f>
      </c>
      <c r="I11176">
        <f>IF(DATOS!$I11176="","",IFERROR(VLOOKUP(DATOS!$I11176,CONFIG_ASIGNATURAS!$B$2:$J$91,9,FALSE()),""))</f>
      </c>
    </row>
    <row r="11177">
      <c r="F11177">
        <f>IF(DATOS!$A11177="","",DATOS!$A11177&amp;"|"&amp;DATOS!$D11177&amp;"|"&amp;DATOS!$E11177&amp;"|"&amp;DATOS!$I11177)</f>
      </c>
      <c r="G11177">
        <f>IF(DATOS!$A11177="",0,IF(CONFIG_METADATA!$B$4&lt;&gt;"OR+EX",--(DATOS!$G11177=CONFIG_METADATA!$B$4),IF(DATOS!$G11177="EX",1,IF(DATOS!$G11177="OR",--(COUNTIFS(nNIA,DATOS!$A11177,nCURSO,DATOS!$D11177,nESPEC,DATOS!$E11177,nASIG,DATOS!$I11177,nEVAL,"EX")=0),0))))</f>
      </c>
      <c r="H11177">
        <f>IF(DATOS!$G11177&lt;&gt;"EX",0,--(COUNTIFS(nNIA,DATOS!$A11177,nCURSO,DATOS!$D11177,nESPEC,DATOS!$E11177,nASIG,DATOS!$I11177,nEVAL,"OR")=0))</f>
      </c>
      <c r="I11177">
        <f>IF(DATOS!$I11177="","",IFERROR(VLOOKUP(DATOS!$I11177,CONFIG_ASIGNATURAS!$B$2:$J$91,9,FALSE()),""))</f>
      </c>
    </row>
    <row r="11178">
      <c r="F11178">
        <f>IF(DATOS!$A11178="","",DATOS!$A11178&amp;"|"&amp;DATOS!$D11178&amp;"|"&amp;DATOS!$E11178&amp;"|"&amp;DATOS!$I11178)</f>
      </c>
      <c r="G11178">
        <f>IF(DATOS!$A11178="",0,IF(CONFIG_METADATA!$B$4&lt;&gt;"OR+EX",--(DATOS!$G11178=CONFIG_METADATA!$B$4),IF(DATOS!$G11178="EX",1,IF(DATOS!$G11178="OR",--(COUNTIFS(nNIA,DATOS!$A11178,nCURSO,DATOS!$D11178,nESPEC,DATOS!$E11178,nASIG,DATOS!$I11178,nEVAL,"EX")=0),0))))</f>
      </c>
      <c r="H11178">
        <f>IF(DATOS!$G11178&lt;&gt;"EX",0,--(COUNTIFS(nNIA,DATOS!$A11178,nCURSO,DATOS!$D11178,nESPEC,DATOS!$E11178,nASIG,DATOS!$I11178,nEVAL,"OR")=0))</f>
      </c>
      <c r="I11178">
        <f>IF(DATOS!$I11178="","",IFERROR(VLOOKUP(DATOS!$I11178,CONFIG_ASIGNATURAS!$B$2:$J$91,9,FALSE()),""))</f>
      </c>
    </row>
    <row r="11179">
      <c r="F11179">
        <f>IF(DATOS!$A11179="","",DATOS!$A11179&amp;"|"&amp;DATOS!$D11179&amp;"|"&amp;DATOS!$E11179&amp;"|"&amp;DATOS!$I11179)</f>
      </c>
      <c r="G11179">
        <f>IF(DATOS!$A11179="",0,IF(CONFIG_METADATA!$B$4&lt;&gt;"OR+EX",--(DATOS!$G11179=CONFIG_METADATA!$B$4),IF(DATOS!$G11179="EX",1,IF(DATOS!$G11179="OR",--(COUNTIFS(nNIA,DATOS!$A11179,nCURSO,DATOS!$D11179,nESPEC,DATOS!$E11179,nASIG,DATOS!$I11179,nEVAL,"EX")=0),0))))</f>
      </c>
      <c r="H11179">
        <f>IF(DATOS!$G11179&lt;&gt;"EX",0,--(COUNTIFS(nNIA,DATOS!$A11179,nCURSO,DATOS!$D11179,nESPEC,DATOS!$E11179,nASIG,DATOS!$I11179,nEVAL,"OR")=0))</f>
      </c>
      <c r="I11179">
        <f>IF(DATOS!$I11179="","",IFERROR(VLOOKUP(DATOS!$I11179,CONFIG_ASIGNATURAS!$B$2:$J$91,9,FALSE()),""))</f>
      </c>
    </row>
    <row r="11180">
      <c r="F11180">
        <f>IF(DATOS!$A11180="","",DATOS!$A11180&amp;"|"&amp;DATOS!$D11180&amp;"|"&amp;DATOS!$E11180&amp;"|"&amp;DATOS!$I11180)</f>
      </c>
      <c r="G11180">
        <f>IF(DATOS!$A11180="",0,IF(CONFIG_METADATA!$B$4&lt;&gt;"OR+EX",--(DATOS!$G11180=CONFIG_METADATA!$B$4),IF(DATOS!$G11180="EX",1,IF(DATOS!$G11180="OR",--(COUNTIFS(nNIA,DATOS!$A11180,nCURSO,DATOS!$D11180,nESPEC,DATOS!$E11180,nASIG,DATOS!$I11180,nEVAL,"EX")=0),0))))</f>
      </c>
      <c r="H11180">
        <f>IF(DATOS!$G11180&lt;&gt;"EX",0,--(COUNTIFS(nNIA,DATOS!$A11180,nCURSO,DATOS!$D11180,nESPEC,DATOS!$E11180,nASIG,DATOS!$I11180,nEVAL,"OR")=0))</f>
      </c>
      <c r="I11180">
        <f>IF(DATOS!$I11180="","",IFERROR(VLOOKUP(DATOS!$I11180,CONFIG_ASIGNATURAS!$B$2:$J$91,9,FALSE()),""))</f>
      </c>
    </row>
    <row r="11181">
      <c r="F11181">
        <f>IF(DATOS!$A11181="","",DATOS!$A11181&amp;"|"&amp;DATOS!$D11181&amp;"|"&amp;DATOS!$E11181&amp;"|"&amp;DATOS!$I11181)</f>
      </c>
      <c r="G11181">
        <f>IF(DATOS!$A11181="",0,IF(CONFIG_METADATA!$B$4&lt;&gt;"OR+EX",--(DATOS!$G11181=CONFIG_METADATA!$B$4),IF(DATOS!$G11181="EX",1,IF(DATOS!$G11181="OR",--(COUNTIFS(nNIA,DATOS!$A11181,nCURSO,DATOS!$D11181,nESPEC,DATOS!$E11181,nASIG,DATOS!$I11181,nEVAL,"EX")=0),0))))</f>
      </c>
      <c r="H11181">
        <f>IF(DATOS!$G11181&lt;&gt;"EX",0,--(COUNTIFS(nNIA,DATOS!$A11181,nCURSO,DATOS!$D11181,nESPEC,DATOS!$E11181,nASIG,DATOS!$I11181,nEVAL,"OR")=0))</f>
      </c>
      <c r="I11181">
        <f>IF(DATOS!$I11181="","",IFERROR(VLOOKUP(DATOS!$I11181,CONFIG_ASIGNATURAS!$B$2:$J$91,9,FALSE()),""))</f>
      </c>
    </row>
    <row r="11182">
      <c r="F11182">
        <f>IF(DATOS!$A11182="","",DATOS!$A11182&amp;"|"&amp;DATOS!$D11182&amp;"|"&amp;DATOS!$E11182&amp;"|"&amp;DATOS!$I11182)</f>
      </c>
      <c r="G11182">
        <f>IF(DATOS!$A11182="",0,IF(CONFIG_METADATA!$B$4&lt;&gt;"OR+EX",--(DATOS!$G11182=CONFIG_METADATA!$B$4),IF(DATOS!$G11182="EX",1,IF(DATOS!$G11182="OR",--(COUNTIFS(nNIA,DATOS!$A11182,nCURSO,DATOS!$D11182,nESPEC,DATOS!$E11182,nASIG,DATOS!$I11182,nEVAL,"EX")=0),0))))</f>
      </c>
      <c r="H11182">
        <f>IF(DATOS!$G11182&lt;&gt;"EX",0,--(COUNTIFS(nNIA,DATOS!$A11182,nCURSO,DATOS!$D11182,nESPEC,DATOS!$E11182,nASIG,DATOS!$I11182,nEVAL,"OR")=0))</f>
      </c>
      <c r="I11182">
        <f>IF(DATOS!$I11182="","",IFERROR(VLOOKUP(DATOS!$I11182,CONFIG_ASIGNATURAS!$B$2:$J$91,9,FALSE()),""))</f>
      </c>
    </row>
    <row r="11183">
      <c r="F11183">
        <f>IF(DATOS!$A11183="","",DATOS!$A11183&amp;"|"&amp;DATOS!$D11183&amp;"|"&amp;DATOS!$E11183&amp;"|"&amp;DATOS!$I11183)</f>
      </c>
      <c r="G11183">
        <f>IF(DATOS!$A11183="",0,IF(CONFIG_METADATA!$B$4&lt;&gt;"OR+EX",--(DATOS!$G11183=CONFIG_METADATA!$B$4),IF(DATOS!$G11183="EX",1,IF(DATOS!$G11183="OR",--(COUNTIFS(nNIA,DATOS!$A11183,nCURSO,DATOS!$D11183,nESPEC,DATOS!$E11183,nASIG,DATOS!$I11183,nEVAL,"EX")=0),0))))</f>
      </c>
      <c r="H11183">
        <f>IF(DATOS!$G11183&lt;&gt;"EX",0,--(COUNTIFS(nNIA,DATOS!$A11183,nCURSO,DATOS!$D11183,nESPEC,DATOS!$E11183,nASIG,DATOS!$I11183,nEVAL,"OR")=0))</f>
      </c>
      <c r="I11183">
        <f>IF(DATOS!$I11183="","",IFERROR(VLOOKUP(DATOS!$I11183,CONFIG_ASIGNATURAS!$B$2:$J$91,9,FALSE()),""))</f>
      </c>
    </row>
    <row r="11184">
      <c r="F11184">
        <f>IF(DATOS!$A11184="","",DATOS!$A11184&amp;"|"&amp;DATOS!$D11184&amp;"|"&amp;DATOS!$E11184&amp;"|"&amp;DATOS!$I11184)</f>
      </c>
      <c r="G11184">
        <f>IF(DATOS!$A11184="",0,IF(CONFIG_METADATA!$B$4&lt;&gt;"OR+EX",--(DATOS!$G11184=CONFIG_METADATA!$B$4),IF(DATOS!$G11184="EX",1,IF(DATOS!$G11184="OR",--(COUNTIFS(nNIA,DATOS!$A11184,nCURSO,DATOS!$D11184,nESPEC,DATOS!$E11184,nASIG,DATOS!$I11184,nEVAL,"EX")=0),0))))</f>
      </c>
      <c r="H11184">
        <f>IF(DATOS!$G11184&lt;&gt;"EX",0,--(COUNTIFS(nNIA,DATOS!$A11184,nCURSO,DATOS!$D11184,nESPEC,DATOS!$E11184,nASIG,DATOS!$I11184,nEVAL,"OR")=0))</f>
      </c>
      <c r="I11184">
        <f>IF(DATOS!$I11184="","",IFERROR(VLOOKUP(DATOS!$I11184,CONFIG_ASIGNATURAS!$B$2:$J$91,9,FALSE()),""))</f>
      </c>
    </row>
    <row r="11185">
      <c r="F11185">
        <f>IF(DATOS!$A11185="","",DATOS!$A11185&amp;"|"&amp;DATOS!$D11185&amp;"|"&amp;DATOS!$E11185&amp;"|"&amp;DATOS!$I11185)</f>
      </c>
      <c r="G11185">
        <f>IF(DATOS!$A11185="",0,IF(CONFIG_METADATA!$B$4&lt;&gt;"OR+EX",--(DATOS!$G11185=CONFIG_METADATA!$B$4),IF(DATOS!$G11185="EX",1,IF(DATOS!$G11185="OR",--(COUNTIFS(nNIA,DATOS!$A11185,nCURSO,DATOS!$D11185,nESPEC,DATOS!$E11185,nASIG,DATOS!$I11185,nEVAL,"EX")=0),0))))</f>
      </c>
      <c r="H11185">
        <f>IF(DATOS!$G11185&lt;&gt;"EX",0,--(COUNTIFS(nNIA,DATOS!$A11185,nCURSO,DATOS!$D11185,nESPEC,DATOS!$E11185,nASIG,DATOS!$I11185,nEVAL,"OR")=0))</f>
      </c>
      <c r="I11185">
        <f>IF(DATOS!$I11185="","",IFERROR(VLOOKUP(DATOS!$I11185,CONFIG_ASIGNATURAS!$B$2:$J$91,9,FALSE()),""))</f>
      </c>
    </row>
    <row r="11186">
      <c r="F11186">
        <f>IF(DATOS!$A11186="","",DATOS!$A11186&amp;"|"&amp;DATOS!$D11186&amp;"|"&amp;DATOS!$E11186&amp;"|"&amp;DATOS!$I11186)</f>
      </c>
      <c r="G11186">
        <f>IF(DATOS!$A11186="",0,IF(CONFIG_METADATA!$B$4&lt;&gt;"OR+EX",--(DATOS!$G11186=CONFIG_METADATA!$B$4),IF(DATOS!$G11186="EX",1,IF(DATOS!$G11186="OR",--(COUNTIFS(nNIA,DATOS!$A11186,nCURSO,DATOS!$D11186,nESPEC,DATOS!$E11186,nASIG,DATOS!$I11186,nEVAL,"EX")=0),0))))</f>
      </c>
      <c r="H11186">
        <f>IF(DATOS!$G11186&lt;&gt;"EX",0,--(COUNTIFS(nNIA,DATOS!$A11186,nCURSO,DATOS!$D11186,nESPEC,DATOS!$E11186,nASIG,DATOS!$I11186,nEVAL,"OR")=0))</f>
      </c>
      <c r="I11186">
        <f>IF(DATOS!$I11186="","",IFERROR(VLOOKUP(DATOS!$I11186,CONFIG_ASIGNATURAS!$B$2:$J$91,9,FALSE()),""))</f>
      </c>
    </row>
    <row r="11187">
      <c r="F11187">
        <f>IF(DATOS!$A11187="","",DATOS!$A11187&amp;"|"&amp;DATOS!$D11187&amp;"|"&amp;DATOS!$E11187&amp;"|"&amp;DATOS!$I11187)</f>
      </c>
      <c r="G11187">
        <f>IF(DATOS!$A11187="",0,IF(CONFIG_METADATA!$B$4&lt;&gt;"OR+EX",--(DATOS!$G11187=CONFIG_METADATA!$B$4),IF(DATOS!$G11187="EX",1,IF(DATOS!$G11187="OR",--(COUNTIFS(nNIA,DATOS!$A11187,nCURSO,DATOS!$D11187,nESPEC,DATOS!$E11187,nASIG,DATOS!$I11187,nEVAL,"EX")=0),0))))</f>
      </c>
      <c r="H11187">
        <f>IF(DATOS!$G11187&lt;&gt;"EX",0,--(COUNTIFS(nNIA,DATOS!$A11187,nCURSO,DATOS!$D11187,nESPEC,DATOS!$E11187,nASIG,DATOS!$I11187,nEVAL,"OR")=0))</f>
      </c>
      <c r="I11187">
        <f>IF(DATOS!$I11187="","",IFERROR(VLOOKUP(DATOS!$I11187,CONFIG_ASIGNATURAS!$B$2:$J$91,9,FALSE()),""))</f>
      </c>
    </row>
    <row r="11188">
      <c r="F11188">
        <f>IF(DATOS!$A11188="","",DATOS!$A11188&amp;"|"&amp;DATOS!$D11188&amp;"|"&amp;DATOS!$E11188&amp;"|"&amp;DATOS!$I11188)</f>
      </c>
      <c r="G11188">
        <f>IF(DATOS!$A11188="",0,IF(CONFIG_METADATA!$B$4&lt;&gt;"OR+EX",--(DATOS!$G11188=CONFIG_METADATA!$B$4),IF(DATOS!$G11188="EX",1,IF(DATOS!$G11188="OR",--(COUNTIFS(nNIA,DATOS!$A11188,nCURSO,DATOS!$D11188,nESPEC,DATOS!$E11188,nASIG,DATOS!$I11188,nEVAL,"EX")=0),0))))</f>
      </c>
      <c r="H11188">
        <f>IF(DATOS!$G11188&lt;&gt;"EX",0,--(COUNTIFS(nNIA,DATOS!$A11188,nCURSO,DATOS!$D11188,nESPEC,DATOS!$E11188,nASIG,DATOS!$I11188,nEVAL,"OR")=0))</f>
      </c>
      <c r="I11188">
        <f>IF(DATOS!$I11188="","",IFERROR(VLOOKUP(DATOS!$I11188,CONFIG_ASIGNATURAS!$B$2:$J$91,9,FALSE()),""))</f>
      </c>
    </row>
    <row r="11189">
      <c r="F11189">
        <f>IF(DATOS!$A11189="","",DATOS!$A11189&amp;"|"&amp;DATOS!$D11189&amp;"|"&amp;DATOS!$E11189&amp;"|"&amp;DATOS!$I11189)</f>
      </c>
      <c r="G11189">
        <f>IF(DATOS!$A11189="",0,IF(CONFIG_METADATA!$B$4&lt;&gt;"OR+EX",--(DATOS!$G11189=CONFIG_METADATA!$B$4),IF(DATOS!$G11189="EX",1,IF(DATOS!$G11189="OR",--(COUNTIFS(nNIA,DATOS!$A11189,nCURSO,DATOS!$D11189,nESPEC,DATOS!$E11189,nASIG,DATOS!$I11189,nEVAL,"EX")=0),0))))</f>
      </c>
      <c r="H11189">
        <f>IF(DATOS!$G11189&lt;&gt;"EX",0,--(COUNTIFS(nNIA,DATOS!$A11189,nCURSO,DATOS!$D11189,nESPEC,DATOS!$E11189,nASIG,DATOS!$I11189,nEVAL,"OR")=0))</f>
      </c>
      <c r="I11189">
        <f>IF(DATOS!$I11189="","",IFERROR(VLOOKUP(DATOS!$I11189,CONFIG_ASIGNATURAS!$B$2:$J$91,9,FALSE()),""))</f>
      </c>
    </row>
    <row r="11190">
      <c r="F11190">
        <f>IF(DATOS!$A11190="","",DATOS!$A11190&amp;"|"&amp;DATOS!$D11190&amp;"|"&amp;DATOS!$E11190&amp;"|"&amp;DATOS!$I11190)</f>
      </c>
      <c r="G11190">
        <f>IF(DATOS!$A11190="",0,IF(CONFIG_METADATA!$B$4&lt;&gt;"OR+EX",--(DATOS!$G11190=CONFIG_METADATA!$B$4),IF(DATOS!$G11190="EX",1,IF(DATOS!$G11190="OR",--(COUNTIFS(nNIA,DATOS!$A11190,nCURSO,DATOS!$D11190,nESPEC,DATOS!$E11190,nASIG,DATOS!$I11190,nEVAL,"EX")=0),0))))</f>
      </c>
      <c r="H11190">
        <f>IF(DATOS!$G11190&lt;&gt;"EX",0,--(COUNTIFS(nNIA,DATOS!$A11190,nCURSO,DATOS!$D11190,nESPEC,DATOS!$E11190,nASIG,DATOS!$I11190,nEVAL,"OR")=0))</f>
      </c>
      <c r="I11190">
        <f>IF(DATOS!$I11190="","",IFERROR(VLOOKUP(DATOS!$I11190,CONFIG_ASIGNATURAS!$B$2:$J$91,9,FALSE()),""))</f>
      </c>
    </row>
    <row r="11191">
      <c r="F11191">
        <f>IF(DATOS!$A11191="","",DATOS!$A11191&amp;"|"&amp;DATOS!$D11191&amp;"|"&amp;DATOS!$E11191&amp;"|"&amp;DATOS!$I11191)</f>
      </c>
      <c r="G11191">
        <f>IF(DATOS!$A11191="",0,IF(CONFIG_METADATA!$B$4&lt;&gt;"OR+EX",--(DATOS!$G11191=CONFIG_METADATA!$B$4),IF(DATOS!$G11191="EX",1,IF(DATOS!$G11191="OR",--(COUNTIFS(nNIA,DATOS!$A11191,nCURSO,DATOS!$D11191,nESPEC,DATOS!$E11191,nASIG,DATOS!$I11191,nEVAL,"EX")=0),0))))</f>
      </c>
      <c r="H11191">
        <f>IF(DATOS!$G11191&lt;&gt;"EX",0,--(COUNTIFS(nNIA,DATOS!$A11191,nCURSO,DATOS!$D11191,nESPEC,DATOS!$E11191,nASIG,DATOS!$I11191,nEVAL,"OR")=0))</f>
      </c>
      <c r="I11191">
        <f>IF(DATOS!$I11191="","",IFERROR(VLOOKUP(DATOS!$I11191,CONFIG_ASIGNATURAS!$B$2:$J$91,9,FALSE()),""))</f>
      </c>
    </row>
    <row r="11192">
      <c r="F11192">
        <f>IF(DATOS!$A11192="","",DATOS!$A11192&amp;"|"&amp;DATOS!$D11192&amp;"|"&amp;DATOS!$E11192&amp;"|"&amp;DATOS!$I11192)</f>
      </c>
      <c r="G11192">
        <f>IF(DATOS!$A11192="",0,IF(CONFIG_METADATA!$B$4&lt;&gt;"OR+EX",--(DATOS!$G11192=CONFIG_METADATA!$B$4),IF(DATOS!$G11192="EX",1,IF(DATOS!$G11192="OR",--(COUNTIFS(nNIA,DATOS!$A11192,nCURSO,DATOS!$D11192,nESPEC,DATOS!$E11192,nASIG,DATOS!$I11192,nEVAL,"EX")=0),0))))</f>
      </c>
      <c r="H11192">
        <f>IF(DATOS!$G11192&lt;&gt;"EX",0,--(COUNTIFS(nNIA,DATOS!$A11192,nCURSO,DATOS!$D11192,nESPEC,DATOS!$E11192,nASIG,DATOS!$I11192,nEVAL,"OR")=0))</f>
      </c>
      <c r="I11192">
        <f>IF(DATOS!$I11192="","",IFERROR(VLOOKUP(DATOS!$I11192,CONFIG_ASIGNATURAS!$B$2:$J$91,9,FALSE()),""))</f>
      </c>
    </row>
    <row r="11193">
      <c r="F11193">
        <f>IF(DATOS!$A11193="","",DATOS!$A11193&amp;"|"&amp;DATOS!$D11193&amp;"|"&amp;DATOS!$E11193&amp;"|"&amp;DATOS!$I11193)</f>
      </c>
      <c r="G11193">
        <f>IF(DATOS!$A11193="",0,IF(CONFIG_METADATA!$B$4&lt;&gt;"OR+EX",--(DATOS!$G11193=CONFIG_METADATA!$B$4),IF(DATOS!$G11193="EX",1,IF(DATOS!$G11193="OR",--(COUNTIFS(nNIA,DATOS!$A11193,nCURSO,DATOS!$D11193,nESPEC,DATOS!$E11193,nASIG,DATOS!$I11193,nEVAL,"EX")=0),0))))</f>
      </c>
      <c r="H11193">
        <f>IF(DATOS!$G11193&lt;&gt;"EX",0,--(COUNTIFS(nNIA,DATOS!$A11193,nCURSO,DATOS!$D11193,nESPEC,DATOS!$E11193,nASIG,DATOS!$I11193,nEVAL,"OR")=0))</f>
      </c>
      <c r="I11193">
        <f>IF(DATOS!$I11193="","",IFERROR(VLOOKUP(DATOS!$I11193,CONFIG_ASIGNATURAS!$B$2:$J$91,9,FALSE()),""))</f>
      </c>
    </row>
    <row r="11194">
      <c r="F11194">
        <f>IF(DATOS!$A11194="","",DATOS!$A11194&amp;"|"&amp;DATOS!$D11194&amp;"|"&amp;DATOS!$E11194&amp;"|"&amp;DATOS!$I11194)</f>
      </c>
      <c r="G11194">
        <f>IF(DATOS!$A11194="",0,IF(CONFIG_METADATA!$B$4&lt;&gt;"OR+EX",--(DATOS!$G11194=CONFIG_METADATA!$B$4),IF(DATOS!$G11194="EX",1,IF(DATOS!$G11194="OR",--(COUNTIFS(nNIA,DATOS!$A11194,nCURSO,DATOS!$D11194,nESPEC,DATOS!$E11194,nASIG,DATOS!$I11194,nEVAL,"EX")=0),0))))</f>
      </c>
      <c r="H11194">
        <f>IF(DATOS!$G11194&lt;&gt;"EX",0,--(COUNTIFS(nNIA,DATOS!$A11194,nCURSO,DATOS!$D11194,nESPEC,DATOS!$E11194,nASIG,DATOS!$I11194,nEVAL,"OR")=0))</f>
      </c>
      <c r="I11194">
        <f>IF(DATOS!$I11194="","",IFERROR(VLOOKUP(DATOS!$I11194,CONFIG_ASIGNATURAS!$B$2:$J$91,9,FALSE()),""))</f>
      </c>
    </row>
    <row r="11195">
      <c r="F11195">
        <f>IF(DATOS!$A11195="","",DATOS!$A11195&amp;"|"&amp;DATOS!$D11195&amp;"|"&amp;DATOS!$E11195&amp;"|"&amp;DATOS!$I11195)</f>
      </c>
      <c r="G11195">
        <f>IF(DATOS!$A11195="",0,IF(CONFIG_METADATA!$B$4&lt;&gt;"OR+EX",--(DATOS!$G11195=CONFIG_METADATA!$B$4),IF(DATOS!$G11195="EX",1,IF(DATOS!$G11195="OR",--(COUNTIFS(nNIA,DATOS!$A11195,nCURSO,DATOS!$D11195,nESPEC,DATOS!$E11195,nASIG,DATOS!$I11195,nEVAL,"EX")=0),0))))</f>
      </c>
      <c r="H11195">
        <f>IF(DATOS!$G11195&lt;&gt;"EX",0,--(COUNTIFS(nNIA,DATOS!$A11195,nCURSO,DATOS!$D11195,nESPEC,DATOS!$E11195,nASIG,DATOS!$I11195,nEVAL,"OR")=0))</f>
      </c>
      <c r="I11195">
        <f>IF(DATOS!$I11195="","",IFERROR(VLOOKUP(DATOS!$I11195,CONFIG_ASIGNATURAS!$B$2:$J$91,9,FALSE()),""))</f>
      </c>
    </row>
    <row r="11196">
      <c r="F11196">
        <f>IF(DATOS!$A11196="","",DATOS!$A11196&amp;"|"&amp;DATOS!$D11196&amp;"|"&amp;DATOS!$E11196&amp;"|"&amp;DATOS!$I11196)</f>
      </c>
      <c r="G11196">
        <f>IF(DATOS!$A11196="",0,IF(CONFIG_METADATA!$B$4&lt;&gt;"OR+EX",--(DATOS!$G11196=CONFIG_METADATA!$B$4),IF(DATOS!$G11196="EX",1,IF(DATOS!$G11196="OR",--(COUNTIFS(nNIA,DATOS!$A11196,nCURSO,DATOS!$D11196,nESPEC,DATOS!$E11196,nASIG,DATOS!$I11196,nEVAL,"EX")=0),0))))</f>
      </c>
      <c r="H11196">
        <f>IF(DATOS!$G11196&lt;&gt;"EX",0,--(COUNTIFS(nNIA,DATOS!$A11196,nCURSO,DATOS!$D11196,nESPEC,DATOS!$E11196,nASIG,DATOS!$I11196,nEVAL,"OR")=0))</f>
      </c>
      <c r="I11196">
        <f>IF(DATOS!$I11196="","",IFERROR(VLOOKUP(DATOS!$I11196,CONFIG_ASIGNATURAS!$B$2:$J$91,9,FALSE()),""))</f>
      </c>
    </row>
    <row r="11197">
      <c r="F11197">
        <f>IF(DATOS!$A11197="","",DATOS!$A11197&amp;"|"&amp;DATOS!$D11197&amp;"|"&amp;DATOS!$E11197&amp;"|"&amp;DATOS!$I11197)</f>
      </c>
      <c r="G11197">
        <f>IF(DATOS!$A11197="",0,IF(CONFIG_METADATA!$B$4&lt;&gt;"OR+EX",--(DATOS!$G11197=CONFIG_METADATA!$B$4),IF(DATOS!$G11197="EX",1,IF(DATOS!$G11197="OR",--(COUNTIFS(nNIA,DATOS!$A11197,nCURSO,DATOS!$D11197,nESPEC,DATOS!$E11197,nASIG,DATOS!$I11197,nEVAL,"EX")=0),0))))</f>
      </c>
      <c r="H11197">
        <f>IF(DATOS!$G11197&lt;&gt;"EX",0,--(COUNTIFS(nNIA,DATOS!$A11197,nCURSO,DATOS!$D11197,nESPEC,DATOS!$E11197,nASIG,DATOS!$I11197,nEVAL,"OR")=0))</f>
      </c>
      <c r="I11197">
        <f>IF(DATOS!$I11197="","",IFERROR(VLOOKUP(DATOS!$I11197,CONFIG_ASIGNATURAS!$B$2:$J$91,9,FALSE()),""))</f>
      </c>
    </row>
    <row r="11198">
      <c r="F11198">
        <f>IF(DATOS!$A11198="","",DATOS!$A11198&amp;"|"&amp;DATOS!$D11198&amp;"|"&amp;DATOS!$E11198&amp;"|"&amp;DATOS!$I11198)</f>
      </c>
      <c r="G11198">
        <f>IF(DATOS!$A11198="",0,IF(CONFIG_METADATA!$B$4&lt;&gt;"OR+EX",--(DATOS!$G11198=CONFIG_METADATA!$B$4),IF(DATOS!$G11198="EX",1,IF(DATOS!$G11198="OR",--(COUNTIFS(nNIA,DATOS!$A11198,nCURSO,DATOS!$D11198,nESPEC,DATOS!$E11198,nASIG,DATOS!$I11198,nEVAL,"EX")=0),0))))</f>
      </c>
      <c r="H11198">
        <f>IF(DATOS!$G11198&lt;&gt;"EX",0,--(COUNTIFS(nNIA,DATOS!$A11198,nCURSO,DATOS!$D11198,nESPEC,DATOS!$E11198,nASIG,DATOS!$I11198,nEVAL,"OR")=0))</f>
      </c>
      <c r="I11198">
        <f>IF(DATOS!$I11198="","",IFERROR(VLOOKUP(DATOS!$I11198,CONFIG_ASIGNATURAS!$B$2:$J$91,9,FALSE()),""))</f>
      </c>
    </row>
    <row r="11199">
      <c r="F11199">
        <f>IF(DATOS!$A11199="","",DATOS!$A11199&amp;"|"&amp;DATOS!$D11199&amp;"|"&amp;DATOS!$E11199&amp;"|"&amp;DATOS!$I11199)</f>
      </c>
      <c r="G11199">
        <f>IF(DATOS!$A11199="",0,IF(CONFIG_METADATA!$B$4&lt;&gt;"OR+EX",--(DATOS!$G11199=CONFIG_METADATA!$B$4),IF(DATOS!$G11199="EX",1,IF(DATOS!$G11199="OR",--(COUNTIFS(nNIA,DATOS!$A11199,nCURSO,DATOS!$D11199,nESPEC,DATOS!$E11199,nASIG,DATOS!$I11199,nEVAL,"EX")=0),0))))</f>
      </c>
      <c r="H11199">
        <f>IF(DATOS!$G11199&lt;&gt;"EX",0,--(COUNTIFS(nNIA,DATOS!$A11199,nCURSO,DATOS!$D11199,nESPEC,DATOS!$E11199,nASIG,DATOS!$I11199,nEVAL,"OR")=0))</f>
      </c>
      <c r="I11199">
        <f>IF(DATOS!$I11199="","",IFERROR(VLOOKUP(DATOS!$I11199,CONFIG_ASIGNATURAS!$B$2:$J$91,9,FALSE()),""))</f>
      </c>
    </row>
    <row r="11200">
      <c r="F11200">
        <f>IF(DATOS!$A11200="","",DATOS!$A11200&amp;"|"&amp;DATOS!$D11200&amp;"|"&amp;DATOS!$E11200&amp;"|"&amp;DATOS!$I11200)</f>
      </c>
      <c r="G11200">
        <f>IF(DATOS!$A11200="",0,IF(CONFIG_METADATA!$B$4&lt;&gt;"OR+EX",--(DATOS!$G11200=CONFIG_METADATA!$B$4),IF(DATOS!$G11200="EX",1,IF(DATOS!$G11200="OR",--(COUNTIFS(nNIA,DATOS!$A11200,nCURSO,DATOS!$D11200,nESPEC,DATOS!$E11200,nASIG,DATOS!$I11200,nEVAL,"EX")=0),0))))</f>
      </c>
      <c r="H11200">
        <f>IF(DATOS!$G11200&lt;&gt;"EX",0,--(COUNTIFS(nNIA,DATOS!$A11200,nCURSO,DATOS!$D11200,nESPEC,DATOS!$E11200,nASIG,DATOS!$I11200,nEVAL,"OR")=0))</f>
      </c>
      <c r="I11200">
        <f>IF(DATOS!$I11200="","",IFERROR(VLOOKUP(DATOS!$I11200,CONFIG_ASIGNATURAS!$B$2:$J$91,9,FALSE()),""))</f>
      </c>
    </row>
    <row r="11201">
      <c r="F11201">
        <f>IF(DATOS!$A11201="","",DATOS!$A11201&amp;"|"&amp;DATOS!$D11201&amp;"|"&amp;DATOS!$E11201&amp;"|"&amp;DATOS!$I11201)</f>
      </c>
      <c r="G11201">
        <f>IF(DATOS!$A11201="",0,IF(CONFIG_METADATA!$B$4&lt;&gt;"OR+EX",--(DATOS!$G11201=CONFIG_METADATA!$B$4),IF(DATOS!$G11201="EX",1,IF(DATOS!$G11201="OR",--(COUNTIFS(nNIA,DATOS!$A11201,nCURSO,DATOS!$D11201,nESPEC,DATOS!$E11201,nASIG,DATOS!$I11201,nEVAL,"EX")=0),0))))</f>
      </c>
      <c r="H11201">
        <f>IF(DATOS!$G11201&lt;&gt;"EX",0,--(COUNTIFS(nNIA,DATOS!$A11201,nCURSO,DATOS!$D11201,nESPEC,DATOS!$E11201,nASIG,DATOS!$I11201,nEVAL,"OR")=0))</f>
      </c>
      <c r="I11201">
        <f>IF(DATOS!$I11201="","",IFERROR(VLOOKUP(DATOS!$I11201,CONFIG_ASIGNATURAS!$B$2:$J$91,9,FALSE()),""))</f>
      </c>
    </row>
    <row r="11202">
      <c r="F11202">
        <f>IF(DATOS!$A11202="","",DATOS!$A11202&amp;"|"&amp;DATOS!$D11202&amp;"|"&amp;DATOS!$E11202&amp;"|"&amp;DATOS!$I11202)</f>
      </c>
      <c r="G11202">
        <f>IF(DATOS!$A11202="",0,IF(CONFIG_METADATA!$B$4&lt;&gt;"OR+EX",--(DATOS!$G11202=CONFIG_METADATA!$B$4),IF(DATOS!$G11202="EX",1,IF(DATOS!$G11202="OR",--(COUNTIFS(nNIA,DATOS!$A11202,nCURSO,DATOS!$D11202,nESPEC,DATOS!$E11202,nASIG,DATOS!$I11202,nEVAL,"EX")=0),0))))</f>
      </c>
      <c r="H11202">
        <f>IF(DATOS!$G11202&lt;&gt;"EX",0,--(COUNTIFS(nNIA,DATOS!$A11202,nCURSO,DATOS!$D11202,nESPEC,DATOS!$E11202,nASIG,DATOS!$I11202,nEVAL,"OR")=0))</f>
      </c>
      <c r="I11202">
        <f>IF(DATOS!$I11202="","",IFERROR(VLOOKUP(DATOS!$I11202,CONFIG_ASIGNATURAS!$B$2:$J$91,9,FALSE()),""))</f>
      </c>
    </row>
    <row r="11203">
      <c r="F11203">
        <f>IF(DATOS!$A11203="","",DATOS!$A11203&amp;"|"&amp;DATOS!$D11203&amp;"|"&amp;DATOS!$E11203&amp;"|"&amp;DATOS!$I11203)</f>
      </c>
      <c r="G11203">
        <f>IF(DATOS!$A11203="",0,IF(CONFIG_METADATA!$B$4&lt;&gt;"OR+EX",--(DATOS!$G11203=CONFIG_METADATA!$B$4),IF(DATOS!$G11203="EX",1,IF(DATOS!$G11203="OR",--(COUNTIFS(nNIA,DATOS!$A11203,nCURSO,DATOS!$D11203,nESPEC,DATOS!$E11203,nASIG,DATOS!$I11203,nEVAL,"EX")=0),0))))</f>
      </c>
      <c r="H11203">
        <f>IF(DATOS!$G11203&lt;&gt;"EX",0,--(COUNTIFS(nNIA,DATOS!$A11203,nCURSO,DATOS!$D11203,nESPEC,DATOS!$E11203,nASIG,DATOS!$I11203,nEVAL,"OR")=0))</f>
      </c>
      <c r="I11203">
        <f>IF(DATOS!$I11203="","",IFERROR(VLOOKUP(DATOS!$I11203,CONFIG_ASIGNATURAS!$B$2:$J$91,9,FALSE()),""))</f>
      </c>
    </row>
    <row r="11204">
      <c r="F11204">
        <f>IF(DATOS!$A11204="","",DATOS!$A11204&amp;"|"&amp;DATOS!$D11204&amp;"|"&amp;DATOS!$E11204&amp;"|"&amp;DATOS!$I11204)</f>
      </c>
      <c r="G11204">
        <f>IF(DATOS!$A11204="",0,IF(CONFIG_METADATA!$B$4&lt;&gt;"OR+EX",--(DATOS!$G11204=CONFIG_METADATA!$B$4),IF(DATOS!$G11204="EX",1,IF(DATOS!$G11204="OR",--(COUNTIFS(nNIA,DATOS!$A11204,nCURSO,DATOS!$D11204,nESPEC,DATOS!$E11204,nASIG,DATOS!$I11204,nEVAL,"EX")=0),0))))</f>
      </c>
      <c r="H11204">
        <f>IF(DATOS!$G11204&lt;&gt;"EX",0,--(COUNTIFS(nNIA,DATOS!$A11204,nCURSO,DATOS!$D11204,nESPEC,DATOS!$E11204,nASIG,DATOS!$I11204,nEVAL,"OR")=0))</f>
      </c>
      <c r="I11204">
        <f>IF(DATOS!$I11204="","",IFERROR(VLOOKUP(DATOS!$I11204,CONFIG_ASIGNATURAS!$B$2:$J$91,9,FALSE()),""))</f>
      </c>
    </row>
    <row r="11205">
      <c r="F11205">
        <f>IF(DATOS!$A11205="","",DATOS!$A11205&amp;"|"&amp;DATOS!$D11205&amp;"|"&amp;DATOS!$E11205&amp;"|"&amp;DATOS!$I11205)</f>
      </c>
      <c r="G11205">
        <f>IF(DATOS!$A11205="",0,IF(CONFIG_METADATA!$B$4&lt;&gt;"OR+EX",--(DATOS!$G11205=CONFIG_METADATA!$B$4),IF(DATOS!$G11205="EX",1,IF(DATOS!$G11205="OR",--(COUNTIFS(nNIA,DATOS!$A11205,nCURSO,DATOS!$D11205,nESPEC,DATOS!$E11205,nASIG,DATOS!$I11205,nEVAL,"EX")=0),0))))</f>
      </c>
      <c r="H11205">
        <f>IF(DATOS!$G11205&lt;&gt;"EX",0,--(COUNTIFS(nNIA,DATOS!$A11205,nCURSO,DATOS!$D11205,nESPEC,DATOS!$E11205,nASIG,DATOS!$I11205,nEVAL,"OR")=0))</f>
      </c>
      <c r="I11205">
        <f>IF(DATOS!$I11205="","",IFERROR(VLOOKUP(DATOS!$I11205,CONFIG_ASIGNATURAS!$B$2:$J$91,9,FALSE()),""))</f>
      </c>
    </row>
    <row r="11206">
      <c r="F11206">
        <f>IF(DATOS!$A11206="","",DATOS!$A11206&amp;"|"&amp;DATOS!$D11206&amp;"|"&amp;DATOS!$E11206&amp;"|"&amp;DATOS!$I11206)</f>
      </c>
      <c r="G11206">
        <f>IF(DATOS!$A11206="",0,IF(CONFIG_METADATA!$B$4&lt;&gt;"OR+EX",--(DATOS!$G11206=CONFIG_METADATA!$B$4),IF(DATOS!$G11206="EX",1,IF(DATOS!$G11206="OR",--(COUNTIFS(nNIA,DATOS!$A11206,nCURSO,DATOS!$D11206,nESPEC,DATOS!$E11206,nASIG,DATOS!$I11206,nEVAL,"EX")=0),0))))</f>
      </c>
      <c r="H11206">
        <f>IF(DATOS!$G11206&lt;&gt;"EX",0,--(COUNTIFS(nNIA,DATOS!$A11206,nCURSO,DATOS!$D11206,nESPEC,DATOS!$E11206,nASIG,DATOS!$I11206,nEVAL,"OR")=0))</f>
      </c>
      <c r="I11206">
        <f>IF(DATOS!$I11206="","",IFERROR(VLOOKUP(DATOS!$I11206,CONFIG_ASIGNATURAS!$B$2:$J$91,9,FALSE()),""))</f>
      </c>
    </row>
    <row r="11207">
      <c r="F11207">
        <f>IF(DATOS!$A11207="","",DATOS!$A11207&amp;"|"&amp;DATOS!$D11207&amp;"|"&amp;DATOS!$E11207&amp;"|"&amp;DATOS!$I11207)</f>
      </c>
      <c r="G11207">
        <f>IF(DATOS!$A11207="",0,IF(CONFIG_METADATA!$B$4&lt;&gt;"OR+EX",--(DATOS!$G11207=CONFIG_METADATA!$B$4),IF(DATOS!$G11207="EX",1,IF(DATOS!$G11207="OR",--(COUNTIFS(nNIA,DATOS!$A11207,nCURSO,DATOS!$D11207,nESPEC,DATOS!$E11207,nASIG,DATOS!$I11207,nEVAL,"EX")=0),0))))</f>
      </c>
      <c r="H11207">
        <f>IF(DATOS!$G11207&lt;&gt;"EX",0,--(COUNTIFS(nNIA,DATOS!$A11207,nCURSO,DATOS!$D11207,nESPEC,DATOS!$E11207,nASIG,DATOS!$I11207,nEVAL,"OR")=0))</f>
      </c>
      <c r="I11207">
        <f>IF(DATOS!$I11207="","",IFERROR(VLOOKUP(DATOS!$I11207,CONFIG_ASIGNATURAS!$B$2:$J$91,9,FALSE()),""))</f>
      </c>
    </row>
    <row r="11208">
      <c r="F11208">
        <f>IF(DATOS!$A11208="","",DATOS!$A11208&amp;"|"&amp;DATOS!$D11208&amp;"|"&amp;DATOS!$E11208&amp;"|"&amp;DATOS!$I11208)</f>
      </c>
      <c r="G11208">
        <f>IF(DATOS!$A11208="",0,IF(CONFIG_METADATA!$B$4&lt;&gt;"OR+EX",--(DATOS!$G11208=CONFIG_METADATA!$B$4),IF(DATOS!$G11208="EX",1,IF(DATOS!$G11208="OR",--(COUNTIFS(nNIA,DATOS!$A11208,nCURSO,DATOS!$D11208,nESPEC,DATOS!$E11208,nASIG,DATOS!$I11208,nEVAL,"EX")=0),0))))</f>
      </c>
      <c r="H11208">
        <f>IF(DATOS!$G11208&lt;&gt;"EX",0,--(COUNTIFS(nNIA,DATOS!$A11208,nCURSO,DATOS!$D11208,nESPEC,DATOS!$E11208,nASIG,DATOS!$I11208,nEVAL,"OR")=0))</f>
      </c>
      <c r="I11208">
        <f>IF(DATOS!$I11208="","",IFERROR(VLOOKUP(DATOS!$I11208,CONFIG_ASIGNATURAS!$B$2:$J$91,9,FALSE()),""))</f>
      </c>
    </row>
    <row r="11209">
      <c r="F11209">
        <f>IF(DATOS!$A11209="","",DATOS!$A11209&amp;"|"&amp;DATOS!$D11209&amp;"|"&amp;DATOS!$E11209&amp;"|"&amp;DATOS!$I11209)</f>
      </c>
      <c r="G11209">
        <f>IF(DATOS!$A11209="",0,IF(CONFIG_METADATA!$B$4&lt;&gt;"OR+EX",--(DATOS!$G11209=CONFIG_METADATA!$B$4),IF(DATOS!$G11209="EX",1,IF(DATOS!$G11209="OR",--(COUNTIFS(nNIA,DATOS!$A11209,nCURSO,DATOS!$D11209,nESPEC,DATOS!$E11209,nASIG,DATOS!$I11209,nEVAL,"EX")=0),0))))</f>
      </c>
      <c r="H11209">
        <f>IF(DATOS!$G11209&lt;&gt;"EX",0,--(COUNTIFS(nNIA,DATOS!$A11209,nCURSO,DATOS!$D11209,nESPEC,DATOS!$E11209,nASIG,DATOS!$I11209,nEVAL,"OR")=0))</f>
      </c>
      <c r="I11209">
        <f>IF(DATOS!$I11209="","",IFERROR(VLOOKUP(DATOS!$I11209,CONFIG_ASIGNATURAS!$B$2:$J$91,9,FALSE()),""))</f>
      </c>
    </row>
    <row r="11210">
      <c r="F11210">
        <f>IF(DATOS!$A11210="","",DATOS!$A11210&amp;"|"&amp;DATOS!$D11210&amp;"|"&amp;DATOS!$E11210&amp;"|"&amp;DATOS!$I11210)</f>
      </c>
      <c r="G11210">
        <f>IF(DATOS!$A11210="",0,IF(CONFIG_METADATA!$B$4&lt;&gt;"OR+EX",--(DATOS!$G11210=CONFIG_METADATA!$B$4),IF(DATOS!$G11210="EX",1,IF(DATOS!$G11210="OR",--(COUNTIFS(nNIA,DATOS!$A11210,nCURSO,DATOS!$D11210,nESPEC,DATOS!$E11210,nASIG,DATOS!$I11210,nEVAL,"EX")=0),0))))</f>
      </c>
      <c r="H11210">
        <f>IF(DATOS!$G11210&lt;&gt;"EX",0,--(COUNTIFS(nNIA,DATOS!$A11210,nCURSO,DATOS!$D11210,nESPEC,DATOS!$E11210,nASIG,DATOS!$I11210,nEVAL,"OR")=0))</f>
      </c>
      <c r="I11210">
        <f>IF(DATOS!$I11210="","",IFERROR(VLOOKUP(DATOS!$I11210,CONFIG_ASIGNATURAS!$B$2:$J$91,9,FALSE()),""))</f>
      </c>
    </row>
    <row r="11211">
      <c r="F11211">
        <f>IF(DATOS!$A11211="","",DATOS!$A11211&amp;"|"&amp;DATOS!$D11211&amp;"|"&amp;DATOS!$E11211&amp;"|"&amp;DATOS!$I11211)</f>
      </c>
      <c r="G11211">
        <f>IF(DATOS!$A11211="",0,IF(CONFIG_METADATA!$B$4&lt;&gt;"OR+EX",--(DATOS!$G11211=CONFIG_METADATA!$B$4),IF(DATOS!$G11211="EX",1,IF(DATOS!$G11211="OR",--(COUNTIFS(nNIA,DATOS!$A11211,nCURSO,DATOS!$D11211,nESPEC,DATOS!$E11211,nASIG,DATOS!$I11211,nEVAL,"EX")=0),0))))</f>
      </c>
      <c r="H11211">
        <f>IF(DATOS!$G11211&lt;&gt;"EX",0,--(COUNTIFS(nNIA,DATOS!$A11211,nCURSO,DATOS!$D11211,nESPEC,DATOS!$E11211,nASIG,DATOS!$I11211,nEVAL,"OR")=0))</f>
      </c>
      <c r="I11211">
        <f>IF(DATOS!$I11211="","",IFERROR(VLOOKUP(DATOS!$I11211,CONFIG_ASIGNATURAS!$B$2:$J$91,9,FALSE()),""))</f>
      </c>
    </row>
    <row r="11212">
      <c r="F11212">
        <f>IF(DATOS!$A11212="","",DATOS!$A11212&amp;"|"&amp;DATOS!$D11212&amp;"|"&amp;DATOS!$E11212&amp;"|"&amp;DATOS!$I11212)</f>
      </c>
      <c r="G11212">
        <f>IF(DATOS!$A11212="",0,IF(CONFIG_METADATA!$B$4&lt;&gt;"OR+EX",--(DATOS!$G11212=CONFIG_METADATA!$B$4),IF(DATOS!$G11212="EX",1,IF(DATOS!$G11212="OR",--(COUNTIFS(nNIA,DATOS!$A11212,nCURSO,DATOS!$D11212,nESPEC,DATOS!$E11212,nASIG,DATOS!$I11212,nEVAL,"EX")=0),0))))</f>
      </c>
      <c r="H11212">
        <f>IF(DATOS!$G11212&lt;&gt;"EX",0,--(COUNTIFS(nNIA,DATOS!$A11212,nCURSO,DATOS!$D11212,nESPEC,DATOS!$E11212,nASIG,DATOS!$I11212,nEVAL,"OR")=0))</f>
      </c>
      <c r="I11212">
        <f>IF(DATOS!$I11212="","",IFERROR(VLOOKUP(DATOS!$I11212,CONFIG_ASIGNATURAS!$B$2:$J$91,9,FALSE()),""))</f>
      </c>
    </row>
    <row r="11213">
      <c r="F11213">
        <f>IF(DATOS!$A11213="","",DATOS!$A11213&amp;"|"&amp;DATOS!$D11213&amp;"|"&amp;DATOS!$E11213&amp;"|"&amp;DATOS!$I11213)</f>
      </c>
      <c r="G11213">
        <f>IF(DATOS!$A11213="",0,IF(CONFIG_METADATA!$B$4&lt;&gt;"OR+EX",--(DATOS!$G11213=CONFIG_METADATA!$B$4),IF(DATOS!$G11213="EX",1,IF(DATOS!$G11213="OR",--(COUNTIFS(nNIA,DATOS!$A11213,nCURSO,DATOS!$D11213,nESPEC,DATOS!$E11213,nASIG,DATOS!$I11213,nEVAL,"EX")=0),0))))</f>
      </c>
      <c r="H11213">
        <f>IF(DATOS!$G11213&lt;&gt;"EX",0,--(COUNTIFS(nNIA,DATOS!$A11213,nCURSO,DATOS!$D11213,nESPEC,DATOS!$E11213,nASIG,DATOS!$I11213,nEVAL,"OR")=0))</f>
      </c>
      <c r="I11213">
        <f>IF(DATOS!$I11213="","",IFERROR(VLOOKUP(DATOS!$I11213,CONFIG_ASIGNATURAS!$B$2:$J$91,9,FALSE()),""))</f>
      </c>
    </row>
    <row r="11214">
      <c r="F11214">
        <f>IF(DATOS!$A11214="","",DATOS!$A11214&amp;"|"&amp;DATOS!$D11214&amp;"|"&amp;DATOS!$E11214&amp;"|"&amp;DATOS!$I11214)</f>
      </c>
      <c r="G11214">
        <f>IF(DATOS!$A11214="",0,IF(CONFIG_METADATA!$B$4&lt;&gt;"OR+EX",--(DATOS!$G11214=CONFIG_METADATA!$B$4),IF(DATOS!$G11214="EX",1,IF(DATOS!$G11214="OR",--(COUNTIFS(nNIA,DATOS!$A11214,nCURSO,DATOS!$D11214,nESPEC,DATOS!$E11214,nASIG,DATOS!$I11214,nEVAL,"EX")=0),0))))</f>
      </c>
      <c r="H11214">
        <f>IF(DATOS!$G11214&lt;&gt;"EX",0,--(COUNTIFS(nNIA,DATOS!$A11214,nCURSO,DATOS!$D11214,nESPEC,DATOS!$E11214,nASIG,DATOS!$I11214,nEVAL,"OR")=0))</f>
      </c>
      <c r="I11214">
        <f>IF(DATOS!$I11214="","",IFERROR(VLOOKUP(DATOS!$I11214,CONFIG_ASIGNATURAS!$B$2:$J$91,9,FALSE()),""))</f>
      </c>
    </row>
    <row r="11215">
      <c r="F11215">
        <f>IF(DATOS!$A11215="","",DATOS!$A11215&amp;"|"&amp;DATOS!$D11215&amp;"|"&amp;DATOS!$E11215&amp;"|"&amp;DATOS!$I11215)</f>
      </c>
      <c r="G11215">
        <f>IF(DATOS!$A11215="",0,IF(CONFIG_METADATA!$B$4&lt;&gt;"OR+EX",--(DATOS!$G11215=CONFIG_METADATA!$B$4),IF(DATOS!$G11215="EX",1,IF(DATOS!$G11215="OR",--(COUNTIFS(nNIA,DATOS!$A11215,nCURSO,DATOS!$D11215,nESPEC,DATOS!$E11215,nASIG,DATOS!$I11215,nEVAL,"EX")=0),0))))</f>
      </c>
      <c r="H11215">
        <f>IF(DATOS!$G11215&lt;&gt;"EX",0,--(COUNTIFS(nNIA,DATOS!$A11215,nCURSO,DATOS!$D11215,nESPEC,DATOS!$E11215,nASIG,DATOS!$I11215,nEVAL,"OR")=0))</f>
      </c>
      <c r="I11215">
        <f>IF(DATOS!$I11215="","",IFERROR(VLOOKUP(DATOS!$I11215,CONFIG_ASIGNATURAS!$B$2:$J$91,9,FALSE()),""))</f>
      </c>
    </row>
    <row r="11216">
      <c r="F11216">
        <f>IF(DATOS!$A11216="","",DATOS!$A11216&amp;"|"&amp;DATOS!$D11216&amp;"|"&amp;DATOS!$E11216&amp;"|"&amp;DATOS!$I11216)</f>
      </c>
      <c r="G11216">
        <f>IF(DATOS!$A11216="",0,IF(CONFIG_METADATA!$B$4&lt;&gt;"OR+EX",--(DATOS!$G11216=CONFIG_METADATA!$B$4),IF(DATOS!$G11216="EX",1,IF(DATOS!$G11216="OR",--(COUNTIFS(nNIA,DATOS!$A11216,nCURSO,DATOS!$D11216,nESPEC,DATOS!$E11216,nASIG,DATOS!$I11216,nEVAL,"EX")=0),0))))</f>
      </c>
      <c r="H11216">
        <f>IF(DATOS!$G11216&lt;&gt;"EX",0,--(COUNTIFS(nNIA,DATOS!$A11216,nCURSO,DATOS!$D11216,nESPEC,DATOS!$E11216,nASIG,DATOS!$I11216,nEVAL,"OR")=0))</f>
      </c>
      <c r="I11216">
        <f>IF(DATOS!$I11216="","",IFERROR(VLOOKUP(DATOS!$I11216,CONFIG_ASIGNATURAS!$B$2:$J$91,9,FALSE()),""))</f>
      </c>
    </row>
    <row r="11217">
      <c r="F11217">
        <f>IF(DATOS!$A11217="","",DATOS!$A11217&amp;"|"&amp;DATOS!$D11217&amp;"|"&amp;DATOS!$E11217&amp;"|"&amp;DATOS!$I11217)</f>
      </c>
      <c r="G11217">
        <f>IF(DATOS!$A11217="",0,IF(CONFIG_METADATA!$B$4&lt;&gt;"OR+EX",--(DATOS!$G11217=CONFIG_METADATA!$B$4),IF(DATOS!$G11217="EX",1,IF(DATOS!$G11217="OR",--(COUNTIFS(nNIA,DATOS!$A11217,nCURSO,DATOS!$D11217,nESPEC,DATOS!$E11217,nASIG,DATOS!$I11217,nEVAL,"EX")=0),0))))</f>
      </c>
      <c r="H11217">
        <f>IF(DATOS!$G11217&lt;&gt;"EX",0,--(COUNTIFS(nNIA,DATOS!$A11217,nCURSO,DATOS!$D11217,nESPEC,DATOS!$E11217,nASIG,DATOS!$I11217,nEVAL,"OR")=0))</f>
      </c>
      <c r="I11217">
        <f>IF(DATOS!$I11217="","",IFERROR(VLOOKUP(DATOS!$I11217,CONFIG_ASIGNATURAS!$B$2:$J$91,9,FALSE()),""))</f>
      </c>
    </row>
    <row r="11218">
      <c r="F11218">
        <f>IF(DATOS!$A11218="","",DATOS!$A11218&amp;"|"&amp;DATOS!$D11218&amp;"|"&amp;DATOS!$E11218&amp;"|"&amp;DATOS!$I11218)</f>
      </c>
      <c r="G11218">
        <f>IF(DATOS!$A11218="",0,IF(CONFIG_METADATA!$B$4&lt;&gt;"OR+EX",--(DATOS!$G11218=CONFIG_METADATA!$B$4),IF(DATOS!$G11218="EX",1,IF(DATOS!$G11218="OR",--(COUNTIFS(nNIA,DATOS!$A11218,nCURSO,DATOS!$D11218,nESPEC,DATOS!$E11218,nASIG,DATOS!$I11218,nEVAL,"EX")=0),0))))</f>
      </c>
      <c r="H11218">
        <f>IF(DATOS!$G11218&lt;&gt;"EX",0,--(COUNTIFS(nNIA,DATOS!$A11218,nCURSO,DATOS!$D11218,nESPEC,DATOS!$E11218,nASIG,DATOS!$I11218,nEVAL,"OR")=0))</f>
      </c>
      <c r="I11218">
        <f>IF(DATOS!$I11218="","",IFERROR(VLOOKUP(DATOS!$I11218,CONFIG_ASIGNATURAS!$B$2:$J$91,9,FALSE()),""))</f>
      </c>
    </row>
    <row r="11219">
      <c r="F11219">
        <f>IF(DATOS!$A11219="","",DATOS!$A11219&amp;"|"&amp;DATOS!$D11219&amp;"|"&amp;DATOS!$E11219&amp;"|"&amp;DATOS!$I11219)</f>
      </c>
      <c r="G11219">
        <f>IF(DATOS!$A11219="",0,IF(CONFIG_METADATA!$B$4&lt;&gt;"OR+EX",--(DATOS!$G11219=CONFIG_METADATA!$B$4),IF(DATOS!$G11219="EX",1,IF(DATOS!$G11219="OR",--(COUNTIFS(nNIA,DATOS!$A11219,nCURSO,DATOS!$D11219,nESPEC,DATOS!$E11219,nASIG,DATOS!$I11219,nEVAL,"EX")=0),0))))</f>
      </c>
      <c r="H11219">
        <f>IF(DATOS!$G11219&lt;&gt;"EX",0,--(COUNTIFS(nNIA,DATOS!$A11219,nCURSO,DATOS!$D11219,nESPEC,DATOS!$E11219,nASIG,DATOS!$I11219,nEVAL,"OR")=0))</f>
      </c>
      <c r="I11219">
        <f>IF(DATOS!$I11219="","",IFERROR(VLOOKUP(DATOS!$I11219,CONFIG_ASIGNATURAS!$B$2:$J$91,9,FALSE()),""))</f>
      </c>
    </row>
    <row r="11220">
      <c r="F11220">
        <f>IF(DATOS!$A11220="","",DATOS!$A11220&amp;"|"&amp;DATOS!$D11220&amp;"|"&amp;DATOS!$E11220&amp;"|"&amp;DATOS!$I11220)</f>
      </c>
      <c r="G11220">
        <f>IF(DATOS!$A11220="",0,IF(CONFIG_METADATA!$B$4&lt;&gt;"OR+EX",--(DATOS!$G11220=CONFIG_METADATA!$B$4),IF(DATOS!$G11220="EX",1,IF(DATOS!$G11220="OR",--(COUNTIFS(nNIA,DATOS!$A11220,nCURSO,DATOS!$D11220,nESPEC,DATOS!$E11220,nASIG,DATOS!$I11220,nEVAL,"EX")=0),0))))</f>
      </c>
      <c r="H11220">
        <f>IF(DATOS!$G11220&lt;&gt;"EX",0,--(COUNTIFS(nNIA,DATOS!$A11220,nCURSO,DATOS!$D11220,nESPEC,DATOS!$E11220,nASIG,DATOS!$I11220,nEVAL,"OR")=0))</f>
      </c>
      <c r="I11220">
        <f>IF(DATOS!$I11220="","",IFERROR(VLOOKUP(DATOS!$I11220,CONFIG_ASIGNATURAS!$B$2:$J$91,9,FALSE()),""))</f>
      </c>
    </row>
    <row r="11221">
      <c r="F11221">
        <f>IF(DATOS!$A11221="","",DATOS!$A11221&amp;"|"&amp;DATOS!$D11221&amp;"|"&amp;DATOS!$E11221&amp;"|"&amp;DATOS!$I11221)</f>
      </c>
      <c r="G11221">
        <f>IF(DATOS!$A11221="",0,IF(CONFIG_METADATA!$B$4&lt;&gt;"OR+EX",--(DATOS!$G11221=CONFIG_METADATA!$B$4),IF(DATOS!$G11221="EX",1,IF(DATOS!$G11221="OR",--(COUNTIFS(nNIA,DATOS!$A11221,nCURSO,DATOS!$D11221,nESPEC,DATOS!$E11221,nASIG,DATOS!$I11221,nEVAL,"EX")=0),0))))</f>
      </c>
      <c r="H11221">
        <f>IF(DATOS!$G11221&lt;&gt;"EX",0,--(COUNTIFS(nNIA,DATOS!$A11221,nCURSO,DATOS!$D11221,nESPEC,DATOS!$E11221,nASIG,DATOS!$I11221,nEVAL,"OR")=0))</f>
      </c>
      <c r="I11221">
        <f>IF(DATOS!$I11221="","",IFERROR(VLOOKUP(DATOS!$I11221,CONFIG_ASIGNATURAS!$B$2:$J$91,9,FALSE()),""))</f>
      </c>
    </row>
    <row r="11222">
      <c r="F11222">
        <f>IF(DATOS!$A11222="","",DATOS!$A11222&amp;"|"&amp;DATOS!$D11222&amp;"|"&amp;DATOS!$E11222&amp;"|"&amp;DATOS!$I11222)</f>
      </c>
      <c r="G11222">
        <f>IF(DATOS!$A11222="",0,IF(CONFIG_METADATA!$B$4&lt;&gt;"OR+EX",--(DATOS!$G11222=CONFIG_METADATA!$B$4),IF(DATOS!$G11222="EX",1,IF(DATOS!$G11222="OR",--(COUNTIFS(nNIA,DATOS!$A11222,nCURSO,DATOS!$D11222,nESPEC,DATOS!$E11222,nASIG,DATOS!$I11222,nEVAL,"EX")=0),0))))</f>
      </c>
      <c r="H11222">
        <f>IF(DATOS!$G11222&lt;&gt;"EX",0,--(COUNTIFS(nNIA,DATOS!$A11222,nCURSO,DATOS!$D11222,nESPEC,DATOS!$E11222,nASIG,DATOS!$I11222,nEVAL,"OR")=0))</f>
      </c>
      <c r="I11222">
        <f>IF(DATOS!$I11222="","",IFERROR(VLOOKUP(DATOS!$I11222,CONFIG_ASIGNATURAS!$B$2:$J$91,9,FALSE()),""))</f>
      </c>
    </row>
    <row r="11223">
      <c r="F11223">
        <f>IF(DATOS!$A11223="","",DATOS!$A11223&amp;"|"&amp;DATOS!$D11223&amp;"|"&amp;DATOS!$E11223&amp;"|"&amp;DATOS!$I11223)</f>
      </c>
      <c r="G11223">
        <f>IF(DATOS!$A11223="",0,IF(CONFIG_METADATA!$B$4&lt;&gt;"OR+EX",--(DATOS!$G11223=CONFIG_METADATA!$B$4),IF(DATOS!$G11223="EX",1,IF(DATOS!$G11223="OR",--(COUNTIFS(nNIA,DATOS!$A11223,nCURSO,DATOS!$D11223,nESPEC,DATOS!$E11223,nASIG,DATOS!$I11223,nEVAL,"EX")=0),0))))</f>
      </c>
      <c r="H11223">
        <f>IF(DATOS!$G11223&lt;&gt;"EX",0,--(COUNTIFS(nNIA,DATOS!$A11223,nCURSO,DATOS!$D11223,nESPEC,DATOS!$E11223,nASIG,DATOS!$I11223,nEVAL,"OR")=0))</f>
      </c>
      <c r="I11223">
        <f>IF(DATOS!$I11223="","",IFERROR(VLOOKUP(DATOS!$I11223,CONFIG_ASIGNATURAS!$B$2:$J$91,9,FALSE()),""))</f>
      </c>
    </row>
    <row r="11224">
      <c r="F11224">
        <f>IF(DATOS!$A11224="","",DATOS!$A11224&amp;"|"&amp;DATOS!$D11224&amp;"|"&amp;DATOS!$E11224&amp;"|"&amp;DATOS!$I11224)</f>
      </c>
      <c r="G11224">
        <f>IF(DATOS!$A11224="",0,IF(CONFIG_METADATA!$B$4&lt;&gt;"OR+EX",--(DATOS!$G11224=CONFIG_METADATA!$B$4),IF(DATOS!$G11224="EX",1,IF(DATOS!$G11224="OR",--(COUNTIFS(nNIA,DATOS!$A11224,nCURSO,DATOS!$D11224,nESPEC,DATOS!$E11224,nASIG,DATOS!$I11224,nEVAL,"EX")=0),0))))</f>
      </c>
      <c r="H11224">
        <f>IF(DATOS!$G11224&lt;&gt;"EX",0,--(COUNTIFS(nNIA,DATOS!$A11224,nCURSO,DATOS!$D11224,nESPEC,DATOS!$E11224,nASIG,DATOS!$I11224,nEVAL,"OR")=0))</f>
      </c>
      <c r="I11224">
        <f>IF(DATOS!$I11224="","",IFERROR(VLOOKUP(DATOS!$I11224,CONFIG_ASIGNATURAS!$B$2:$J$91,9,FALSE()),""))</f>
      </c>
    </row>
    <row r="11225">
      <c r="F11225">
        <f>IF(DATOS!$A11225="","",DATOS!$A11225&amp;"|"&amp;DATOS!$D11225&amp;"|"&amp;DATOS!$E11225&amp;"|"&amp;DATOS!$I11225)</f>
      </c>
      <c r="G11225">
        <f>IF(DATOS!$A11225="",0,IF(CONFIG_METADATA!$B$4&lt;&gt;"OR+EX",--(DATOS!$G11225=CONFIG_METADATA!$B$4),IF(DATOS!$G11225="EX",1,IF(DATOS!$G11225="OR",--(COUNTIFS(nNIA,DATOS!$A11225,nCURSO,DATOS!$D11225,nESPEC,DATOS!$E11225,nASIG,DATOS!$I11225,nEVAL,"EX")=0),0))))</f>
      </c>
      <c r="H11225">
        <f>IF(DATOS!$G11225&lt;&gt;"EX",0,--(COUNTIFS(nNIA,DATOS!$A11225,nCURSO,DATOS!$D11225,nESPEC,DATOS!$E11225,nASIG,DATOS!$I11225,nEVAL,"OR")=0))</f>
      </c>
      <c r="I11225">
        <f>IF(DATOS!$I11225="","",IFERROR(VLOOKUP(DATOS!$I11225,CONFIG_ASIGNATURAS!$B$2:$J$91,9,FALSE()),""))</f>
      </c>
    </row>
    <row r="11226">
      <c r="F11226">
        <f>IF(DATOS!$A11226="","",DATOS!$A11226&amp;"|"&amp;DATOS!$D11226&amp;"|"&amp;DATOS!$E11226&amp;"|"&amp;DATOS!$I11226)</f>
      </c>
      <c r="G11226">
        <f>IF(DATOS!$A11226="",0,IF(CONFIG_METADATA!$B$4&lt;&gt;"OR+EX",--(DATOS!$G11226=CONFIG_METADATA!$B$4),IF(DATOS!$G11226="EX",1,IF(DATOS!$G11226="OR",--(COUNTIFS(nNIA,DATOS!$A11226,nCURSO,DATOS!$D11226,nESPEC,DATOS!$E11226,nASIG,DATOS!$I11226,nEVAL,"EX")=0),0))))</f>
      </c>
      <c r="H11226">
        <f>IF(DATOS!$G11226&lt;&gt;"EX",0,--(COUNTIFS(nNIA,DATOS!$A11226,nCURSO,DATOS!$D11226,nESPEC,DATOS!$E11226,nASIG,DATOS!$I11226,nEVAL,"OR")=0))</f>
      </c>
      <c r="I11226">
        <f>IF(DATOS!$I11226="","",IFERROR(VLOOKUP(DATOS!$I11226,CONFIG_ASIGNATURAS!$B$2:$J$91,9,FALSE()),""))</f>
      </c>
    </row>
    <row r="11227">
      <c r="F11227">
        <f>IF(DATOS!$A11227="","",DATOS!$A11227&amp;"|"&amp;DATOS!$D11227&amp;"|"&amp;DATOS!$E11227&amp;"|"&amp;DATOS!$I11227)</f>
      </c>
      <c r="G11227">
        <f>IF(DATOS!$A11227="",0,IF(CONFIG_METADATA!$B$4&lt;&gt;"OR+EX",--(DATOS!$G11227=CONFIG_METADATA!$B$4),IF(DATOS!$G11227="EX",1,IF(DATOS!$G11227="OR",--(COUNTIFS(nNIA,DATOS!$A11227,nCURSO,DATOS!$D11227,nESPEC,DATOS!$E11227,nASIG,DATOS!$I11227,nEVAL,"EX")=0),0))))</f>
      </c>
      <c r="H11227">
        <f>IF(DATOS!$G11227&lt;&gt;"EX",0,--(COUNTIFS(nNIA,DATOS!$A11227,nCURSO,DATOS!$D11227,nESPEC,DATOS!$E11227,nASIG,DATOS!$I11227,nEVAL,"OR")=0))</f>
      </c>
      <c r="I11227">
        <f>IF(DATOS!$I11227="","",IFERROR(VLOOKUP(DATOS!$I11227,CONFIG_ASIGNATURAS!$B$2:$J$91,9,FALSE()),""))</f>
      </c>
    </row>
    <row r="11228">
      <c r="F11228">
        <f>IF(DATOS!$A11228="","",DATOS!$A11228&amp;"|"&amp;DATOS!$D11228&amp;"|"&amp;DATOS!$E11228&amp;"|"&amp;DATOS!$I11228)</f>
      </c>
      <c r="G11228">
        <f>IF(DATOS!$A11228="",0,IF(CONFIG_METADATA!$B$4&lt;&gt;"OR+EX",--(DATOS!$G11228=CONFIG_METADATA!$B$4),IF(DATOS!$G11228="EX",1,IF(DATOS!$G11228="OR",--(COUNTIFS(nNIA,DATOS!$A11228,nCURSO,DATOS!$D11228,nESPEC,DATOS!$E11228,nASIG,DATOS!$I11228,nEVAL,"EX")=0),0))))</f>
      </c>
      <c r="H11228">
        <f>IF(DATOS!$G11228&lt;&gt;"EX",0,--(COUNTIFS(nNIA,DATOS!$A11228,nCURSO,DATOS!$D11228,nESPEC,DATOS!$E11228,nASIG,DATOS!$I11228,nEVAL,"OR")=0))</f>
      </c>
      <c r="I11228">
        <f>IF(DATOS!$I11228="","",IFERROR(VLOOKUP(DATOS!$I11228,CONFIG_ASIGNATURAS!$B$2:$J$91,9,FALSE()),""))</f>
      </c>
    </row>
    <row r="11229">
      <c r="F11229">
        <f>IF(DATOS!$A11229="","",DATOS!$A11229&amp;"|"&amp;DATOS!$D11229&amp;"|"&amp;DATOS!$E11229&amp;"|"&amp;DATOS!$I11229)</f>
      </c>
      <c r="G11229">
        <f>IF(DATOS!$A11229="",0,IF(CONFIG_METADATA!$B$4&lt;&gt;"OR+EX",--(DATOS!$G11229=CONFIG_METADATA!$B$4),IF(DATOS!$G11229="EX",1,IF(DATOS!$G11229="OR",--(COUNTIFS(nNIA,DATOS!$A11229,nCURSO,DATOS!$D11229,nESPEC,DATOS!$E11229,nASIG,DATOS!$I11229,nEVAL,"EX")=0),0))))</f>
      </c>
      <c r="H11229">
        <f>IF(DATOS!$G11229&lt;&gt;"EX",0,--(COUNTIFS(nNIA,DATOS!$A11229,nCURSO,DATOS!$D11229,nESPEC,DATOS!$E11229,nASIG,DATOS!$I11229,nEVAL,"OR")=0))</f>
      </c>
      <c r="I11229">
        <f>IF(DATOS!$I11229="","",IFERROR(VLOOKUP(DATOS!$I11229,CONFIG_ASIGNATURAS!$B$2:$J$91,9,FALSE()),""))</f>
      </c>
    </row>
    <row r="11230">
      <c r="F11230">
        <f>IF(DATOS!$A11230="","",DATOS!$A11230&amp;"|"&amp;DATOS!$D11230&amp;"|"&amp;DATOS!$E11230&amp;"|"&amp;DATOS!$I11230)</f>
      </c>
      <c r="G11230">
        <f>IF(DATOS!$A11230="",0,IF(CONFIG_METADATA!$B$4&lt;&gt;"OR+EX",--(DATOS!$G11230=CONFIG_METADATA!$B$4),IF(DATOS!$G11230="EX",1,IF(DATOS!$G11230="OR",--(COUNTIFS(nNIA,DATOS!$A11230,nCURSO,DATOS!$D11230,nESPEC,DATOS!$E11230,nASIG,DATOS!$I11230,nEVAL,"EX")=0),0))))</f>
      </c>
      <c r="H11230">
        <f>IF(DATOS!$G11230&lt;&gt;"EX",0,--(COUNTIFS(nNIA,DATOS!$A11230,nCURSO,DATOS!$D11230,nESPEC,DATOS!$E11230,nASIG,DATOS!$I11230,nEVAL,"OR")=0))</f>
      </c>
      <c r="I11230">
        <f>IF(DATOS!$I11230="","",IFERROR(VLOOKUP(DATOS!$I11230,CONFIG_ASIGNATURAS!$B$2:$J$91,9,FALSE()),""))</f>
      </c>
    </row>
    <row r="11231">
      <c r="F11231">
        <f>IF(DATOS!$A11231="","",DATOS!$A11231&amp;"|"&amp;DATOS!$D11231&amp;"|"&amp;DATOS!$E11231&amp;"|"&amp;DATOS!$I11231)</f>
      </c>
      <c r="G11231">
        <f>IF(DATOS!$A11231="",0,IF(CONFIG_METADATA!$B$4&lt;&gt;"OR+EX",--(DATOS!$G11231=CONFIG_METADATA!$B$4),IF(DATOS!$G11231="EX",1,IF(DATOS!$G11231="OR",--(COUNTIFS(nNIA,DATOS!$A11231,nCURSO,DATOS!$D11231,nESPEC,DATOS!$E11231,nASIG,DATOS!$I11231,nEVAL,"EX")=0),0))))</f>
      </c>
      <c r="H11231">
        <f>IF(DATOS!$G11231&lt;&gt;"EX",0,--(COUNTIFS(nNIA,DATOS!$A11231,nCURSO,DATOS!$D11231,nESPEC,DATOS!$E11231,nASIG,DATOS!$I11231,nEVAL,"OR")=0))</f>
      </c>
      <c r="I11231">
        <f>IF(DATOS!$I11231="","",IFERROR(VLOOKUP(DATOS!$I11231,CONFIG_ASIGNATURAS!$B$2:$J$91,9,FALSE()),""))</f>
      </c>
    </row>
    <row r="11232">
      <c r="F11232">
        <f>IF(DATOS!$A11232="","",DATOS!$A11232&amp;"|"&amp;DATOS!$D11232&amp;"|"&amp;DATOS!$E11232&amp;"|"&amp;DATOS!$I11232)</f>
      </c>
      <c r="G11232">
        <f>IF(DATOS!$A11232="",0,IF(CONFIG_METADATA!$B$4&lt;&gt;"OR+EX",--(DATOS!$G11232=CONFIG_METADATA!$B$4),IF(DATOS!$G11232="EX",1,IF(DATOS!$G11232="OR",--(COUNTIFS(nNIA,DATOS!$A11232,nCURSO,DATOS!$D11232,nESPEC,DATOS!$E11232,nASIG,DATOS!$I11232,nEVAL,"EX")=0),0))))</f>
      </c>
      <c r="H11232">
        <f>IF(DATOS!$G11232&lt;&gt;"EX",0,--(COUNTIFS(nNIA,DATOS!$A11232,nCURSO,DATOS!$D11232,nESPEC,DATOS!$E11232,nASIG,DATOS!$I11232,nEVAL,"OR")=0))</f>
      </c>
      <c r="I11232">
        <f>IF(DATOS!$I11232="","",IFERROR(VLOOKUP(DATOS!$I11232,CONFIG_ASIGNATURAS!$B$2:$J$91,9,FALSE()),""))</f>
      </c>
    </row>
    <row r="11233">
      <c r="F11233">
        <f>IF(DATOS!$A11233="","",DATOS!$A11233&amp;"|"&amp;DATOS!$D11233&amp;"|"&amp;DATOS!$E11233&amp;"|"&amp;DATOS!$I11233)</f>
      </c>
      <c r="G11233">
        <f>IF(DATOS!$A11233="",0,IF(CONFIG_METADATA!$B$4&lt;&gt;"OR+EX",--(DATOS!$G11233=CONFIG_METADATA!$B$4),IF(DATOS!$G11233="EX",1,IF(DATOS!$G11233="OR",--(COUNTIFS(nNIA,DATOS!$A11233,nCURSO,DATOS!$D11233,nESPEC,DATOS!$E11233,nASIG,DATOS!$I11233,nEVAL,"EX")=0),0))))</f>
      </c>
      <c r="H11233">
        <f>IF(DATOS!$G11233&lt;&gt;"EX",0,--(COUNTIFS(nNIA,DATOS!$A11233,nCURSO,DATOS!$D11233,nESPEC,DATOS!$E11233,nASIG,DATOS!$I11233,nEVAL,"OR")=0))</f>
      </c>
      <c r="I11233">
        <f>IF(DATOS!$I11233="","",IFERROR(VLOOKUP(DATOS!$I11233,CONFIG_ASIGNATURAS!$B$2:$J$91,9,FALSE()),""))</f>
      </c>
    </row>
    <row r="11234">
      <c r="F11234">
        <f>IF(DATOS!$A11234="","",DATOS!$A11234&amp;"|"&amp;DATOS!$D11234&amp;"|"&amp;DATOS!$E11234&amp;"|"&amp;DATOS!$I11234)</f>
      </c>
      <c r="G11234">
        <f>IF(DATOS!$A11234="",0,IF(CONFIG_METADATA!$B$4&lt;&gt;"OR+EX",--(DATOS!$G11234=CONFIG_METADATA!$B$4),IF(DATOS!$G11234="EX",1,IF(DATOS!$G11234="OR",--(COUNTIFS(nNIA,DATOS!$A11234,nCURSO,DATOS!$D11234,nESPEC,DATOS!$E11234,nASIG,DATOS!$I11234,nEVAL,"EX")=0),0))))</f>
      </c>
      <c r="H11234">
        <f>IF(DATOS!$G11234&lt;&gt;"EX",0,--(COUNTIFS(nNIA,DATOS!$A11234,nCURSO,DATOS!$D11234,nESPEC,DATOS!$E11234,nASIG,DATOS!$I11234,nEVAL,"OR")=0))</f>
      </c>
      <c r="I11234">
        <f>IF(DATOS!$I11234="","",IFERROR(VLOOKUP(DATOS!$I11234,CONFIG_ASIGNATURAS!$B$2:$J$91,9,FALSE()),""))</f>
      </c>
    </row>
    <row r="11235">
      <c r="F11235">
        <f>IF(DATOS!$A11235="","",DATOS!$A11235&amp;"|"&amp;DATOS!$D11235&amp;"|"&amp;DATOS!$E11235&amp;"|"&amp;DATOS!$I11235)</f>
      </c>
      <c r="G11235">
        <f>IF(DATOS!$A11235="",0,IF(CONFIG_METADATA!$B$4&lt;&gt;"OR+EX",--(DATOS!$G11235=CONFIG_METADATA!$B$4),IF(DATOS!$G11235="EX",1,IF(DATOS!$G11235="OR",--(COUNTIFS(nNIA,DATOS!$A11235,nCURSO,DATOS!$D11235,nESPEC,DATOS!$E11235,nASIG,DATOS!$I11235,nEVAL,"EX")=0),0))))</f>
      </c>
      <c r="H11235">
        <f>IF(DATOS!$G11235&lt;&gt;"EX",0,--(COUNTIFS(nNIA,DATOS!$A11235,nCURSO,DATOS!$D11235,nESPEC,DATOS!$E11235,nASIG,DATOS!$I11235,nEVAL,"OR")=0))</f>
      </c>
      <c r="I11235">
        <f>IF(DATOS!$I11235="","",IFERROR(VLOOKUP(DATOS!$I11235,CONFIG_ASIGNATURAS!$B$2:$J$91,9,FALSE()),""))</f>
      </c>
    </row>
    <row r="11236">
      <c r="F11236">
        <f>IF(DATOS!$A11236="","",DATOS!$A11236&amp;"|"&amp;DATOS!$D11236&amp;"|"&amp;DATOS!$E11236&amp;"|"&amp;DATOS!$I11236)</f>
      </c>
      <c r="G11236">
        <f>IF(DATOS!$A11236="",0,IF(CONFIG_METADATA!$B$4&lt;&gt;"OR+EX",--(DATOS!$G11236=CONFIG_METADATA!$B$4),IF(DATOS!$G11236="EX",1,IF(DATOS!$G11236="OR",--(COUNTIFS(nNIA,DATOS!$A11236,nCURSO,DATOS!$D11236,nESPEC,DATOS!$E11236,nASIG,DATOS!$I11236,nEVAL,"EX")=0),0))))</f>
      </c>
      <c r="H11236">
        <f>IF(DATOS!$G11236&lt;&gt;"EX",0,--(COUNTIFS(nNIA,DATOS!$A11236,nCURSO,DATOS!$D11236,nESPEC,DATOS!$E11236,nASIG,DATOS!$I11236,nEVAL,"OR")=0))</f>
      </c>
      <c r="I11236">
        <f>IF(DATOS!$I11236="","",IFERROR(VLOOKUP(DATOS!$I11236,CONFIG_ASIGNATURAS!$B$2:$J$91,9,FALSE()),""))</f>
      </c>
    </row>
    <row r="11237">
      <c r="F11237">
        <f>IF(DATOS!$A11237="","",DATOS!$A11237&amp;"|"&amp;DATOS!$D11237&amp;"|"&amp;DATOS!$E11237&amp;"|"&amp;DATOS!$I11237)</f>
      </c>
      <c r="G11237">
        <f>IF(DATOS!$A11237="",0,IF(CONFIG_METADATA!$B$4&lt;&gt;"OR+EX",--(DATOS!$G11237=CONFIG_METADATA!$B$4),IF(DATOS!$G11237="EX",1,IF(DATOS!$G11237="OR",--(COUNTIFS(nNIA,DATOS!$A11237,nCURSO,DATOS!$D11237,nESPEC,DATOS!$E11237,nASIG,DATOS!$I11237,nEVAL,"EX")=0),0))))</f>
      </c>
      <c r="H11237">
        <f>IF(DATOS!$G11237&lt;&gt;"EX",0,--(COUNTIFS(nNIA,DATOS!$A11237,nCURSO,DATOS!$D11237,nESPEC,DATOS!$E11237,nASIG,DATOS!$I11237,nEVAL,"OR")=0))</f>
      </c>
      <c r="I11237">
        <f>IF(DATOS!$I11237="","",IFERROR(VLOOKUP(DATOS!$I11237,CONFIG_ASIGNATURAS!$B$2:$J$91,9,FALSE()),""))</f>
      </c>
    </row>
    <row r="11238">
      <c r="F11238">
        <f>IF(DATOS!$A11238="","",DATOS!$A11238&amp;"|"&amp;DATOS!$D11238&amp;"|"&amp;DATOS!$E11238&amp;"|"&amp;DATOS!$I11238)</f>
      </c>
      <c r="G11238">
        <f>IF(DATOS!$A11238="",0,IF(CONFIG_METADATA!$B$4&lt;&gt;"OR+EX",--(DATOS!$G11238=CONFIG_METADATA!$B$4),IF(DATOS!$G11238="EX",1,IF(DATOS!$G11238="OR",--(COUNTIFS(nNIA,DATOS!$A11238,nCURSO,DATOS!$D11238,nESPEC,DATOS!$E11238,nASIG,DATOS!$I11238,nEVAL,"EX")=0),0))))</f>
      </c>
      <c r="H11238">
        <f>IF(DATOS!$G11238&lt;&gt;"EX",0,--(COUNTIFS(nNIA,DATOS!$A11238,nCURSO,DATOS!$D11238,nESPEC,DATOS!$E11238,nASIG,DATOS!$I11238,nEVAL,"OR")=0))</f>
      </c>
      <c r="I11238">
        <f>IF(DATOS!$I11238="","",IFERROR(VLOOKUP(DATOS!$I11238,CONFIG_ASIGNATURAS!$B$2:$J$91,9,FALSE()),""))</f>
      </c>
    </row>
    <row r="11239">
      <c r="F11239">
        <f>IF(DATOS!$A11239="","",DATOS!$A11239&amp;"|"&amp;DATOS!$D11239&amp;"|"&amp;DATOS!$E11239&amp;"|"&amp;DATOS!$I11239)</f>
      </c>
      <c r="G11239">
        <f>IF(DATOS!$A11239="",0,IF(CONFIG_METADATA!$B$4&lt;&gt;"OR+EX",--(DATOS!$G11239=CONFIG_METADATA!$B$4),IF(DATOS!$G11239="EX",1,IF(DATOS!$G11239="OR",--(COUNTIFS(nNIA,DATOS!$A11239,nCURSO,DATOS!$D11239,nESPEC,DATOS!$E11239,nASIG,DATOS!$I11239,nEVAL,"EX")=0),0))))</f>
      </c>
      <c r="H11239">
        <f>IF(DATOS!$G11239&lt;&gt;"EX",0,--(COUNTIFS(nNIA,DATOS!$A11239,nCURSO,DATOS!$D11239,nESPEC,DATOS!$E11239,nASIG,DATOS!$I11239,nEVAL,"OR")=0))</f>
      </c>
      <c r="I11239">
        <f>IF(DATOS!$I11239="","",IFERROR(VLOOKUP(DATOS!$I11239,CONFIG_ASIGNATURAS!$B$2:$J$91,9,FALSE()),""))</f>
      </c>
    </row>
    <row r="11240">
      <c r="F11240">
        <f>IF(DATOS!$A11240="","",DATOS!$A11240&amp;"|"&amp;DATOS!$D11240&amp;"|"&amp;DATOS!$E11240&amp;"|"&amp;DATOS!$I11240)</f>
      </c>
      <c r="G11240">
        <f>IF(DATOS!$A11240="",0,IF(CONFIG_METADATA!$B$4&lt;&gt;"OR+EX",--(DATOS!$G11240=CONFIG_METADATA!$B$4),IF(DATOS!$G11240="EX",1,IF(DATOS!$G11240="OR",--(COUNTIFS(nNIA,DATOS!$A11240,nCURSO,DATOS!$D11240,nESPEC,DATOS!$E11240,nASIG,DATOS!$I11240,nEVAL,"EX")=0),0))))</f>
      </c>
      <c r="H11240">
        <f>IF(DATOS!$G11240&lt;&gt;"EX",0,--(COUNTIFS(nNIA,DATOS!$A11240,nCURSO,DATOS!$D11240,nESPEC,DATOS!$E11240,nASIG,DATOS!$I11240,nEVAL,"OR")=0))</f>
      </c>
      <c r="I11240">
        <f>IF(DATOS!$I11240="","",IFERROR(VLOOKUP(DATOS!$I11240,CONFIG_ASIGNATURAS!$B$2:$J$91,9,FALSE()),""))</f>
      </c>
    </row>
    <row r="11241">
      <c r="F11241">
        <f>IF(DATOS!$A11241="","",DATOS!$A11241&amp;"|"&amp;DATOS!$D11241&amp;"|"&amp;DATOS!$E11241&amp;"|"&amp;DATOS!$I11241)</f>
      </c>
      <c r="G11241">
        <f>IF(DATOS!$A11241="",0,IF(CONFIG_METADATA!$B$4&lt;&gt;"OR+EX",--(DATOS!$G11241=CONFIG_METADATA!$B$4),IF(DATOS!$G11241="EX",1,IF(DATOS!$G11241="OR",--(COUNTIFS(nNIA,DATOS!$A11241,nCURSO,DATOS!$D11241,nESPEC,DATOS!$E11241,nASIG,DATOS!$I11241,nEVAL,"EX")=0),0))))</f>
      </c>
      <c r="H11241">
        <f>IF(DATOS!$G11241&lt;&gt;"EX",0,--(COUNTIFS(nNIA,DATOS!$A11241,nCURSO,DATOS!$D11241,nESPEC,DATOS!$E11241,nASIG,DATOS!$I11241,nEVAL,"OR")=0))</f>
      </c>
      <c r="I11241">
        <f>IF(DATOS!$I11241="","",IFERROR(VLOOKUP(DATOS!$I11241,CONFIG_ASIGNATURAS!$B$2:$J$91,9,FALSE()),""))</f>
      </c>
    </row>
    <row r="11242">
      <c r="F11242">
        <f>IF(DATOS!$A11242="","",DATOS!$A11242&amp;"|"&amp;DATOS!$D11242&amp;"|"&amp;DATOS!$E11242&amp;"|"&amp;DATOS!$I11242)</f>
      </c>
      <c r="G11242">
        <f>IF(DATOS!$A11242="",0,IF(CONFIG_METADATA!$B$4&lt;&gt;"OR+EX",--(DATOS!$G11242=CONFIG_METADATA!$B$4),IF(DATOS!$G11242="EX",1,IF(DATOS!$G11242="OR",--(COUNTIFS(nNIA,DATOS!$A11242,nCURSO,DATOS!$D11242,nESPEC,DATOS!$E11242,nASIG,DATOS!$I11242,nEVAL,"EX")=0),0))))</f>
      </c>
      <c r="H11242">
        <f>IF(DATOS!$G11242&lt;&gt;"EX",0,--(COUNTIFS(nNIA,DATOS!$A11242,nCURSO,DATOS!$D11242,nESPEC,DATOS!$E11242,nASIG,DATOS!$I11242,nEVAL,"OR")=0))</f>
      </c>
      <c r="I11242">
        <f>IF(DATOS!$I11242="","",IFERROR(VLOOKUP(DATOS!$I11242,CONFIG_ASIGNATURAS!$B$2:$J$91,9,FALSE()),""))</f>
      </c>
    </row>
    <row r="11243">
      <c r="F11243">
        <f>IF(DATOS!$A11243="","",DATOS!$A11243&amp;"|"&amp;DATOS!$D11243&amp;"|"&amp;DATOS!$E11243&amp;"|"&amp;DATOS!$I11243)</f>
      </c>
      <c r="G11243">
        <f>IF(DATOS!$A11243="",0,IF(CONFIG_METADATA!$B$4&lt;&gt;"OR+EX",--(DATOS!$G11243=CONFIG_METADATA!$B$4),IF(DATOS!$G11243="EX",1,IF(DATOS!$G11243="OR",--(COUNTIFS(nNIA,DATOS!$A11243,nCURSO,DATOS!$D11243,nESPEC,DATOS!$E11243,nASIG,DATOS!$I11243,nEVAL,"EX")=0),0))))</f>
      </c>
      <c r="H11243">
        <f>IF(DATOS!$G11243&lt;&gt;"EX",0,--(COUNTIFS(nNIA,DATOS!$A11243,nCURSO,DATOS!$D11243,nESPEC,DATOS!$E11243,nASIG,DATOS!$I11243,nEVAL,"OR")=0))</f>
      </c>
      <c r="I11243">
        <f>IF(DATOS!$I11243="","",IFERROR(VLOOKUP(DATOS!$I11243,CONFIG_ASIGNATURAS!$B$2:$J$91,9,FALSE()),""))</f>
      </c>
    </row>
    <row r="11244">
      <c r="F11244">
        <f>IF(DATOS!$A11244="","",DATOS!$A11244&amp;"|"&amp;DATOS!$D11244&amp;"|"&amp;DATOS!$E11244&amp;"|"&amp;DATOS!$I11244)</f>
      </c>
      <c r="G11244">
        <f>IF(DATOS!$A11244="",0,IF(CONFIG_METADATA!$B$4&lt;&gt;"OR+EX",--(DATOS!$G11244=CONFIG_METADATA!$B$4),IF(DATOS!$G11244="EX",1,IF(DATOS!$G11244="OR",--(COUNTIFS(nNIA,DATOS!$A11244,nCURSO,DATOS!$D11244,nESPEC,DATOS!$E11244,nASIG,DATOS!$I11244,nEVAL,"EX")=0),0))))</f>
      </c>
      <c r="H11244">
        <f>IF(DATOS!$G11244&lt;&gt;"EX",0,--(COUNTIFS(nNIA,DATOS!$A11244,nCURSO,DATOS!$D11244,nESPEC,DATOS!$E11244,nASIG,DATOS!$I11244,nEVAL,"OR")=0))</f>
      </c>
      <c r="I11244">
        <f>IF(DATOS!$I11244="","",IFERROR(VLOOKUP(DATOS!$I11244,CONFIG_ASIGNATURAS!$B$2:$J$91,9,FALSE()),""))</f>
      </c>
    </row>
    <row r="11245">
      <c r="F11245">
        <f>IF(DATOS!$A11245="","",DATOS!$A11245&amp;"|"&amp;DATOS!$D11245&amp;"|"&amp;DATOS!$E11245&amp;"|"&amp;DATOS!$I11245)</f>
      </c>
      <c r="G11245">
        <f>IF(DATOS!$A11245="",0,IF(CONFIG_METADATA!$B$4&lt;&gt;"OR+EX",--(DATOS!$G11245=CONFIG_METADATA!$B$4),IF(DATOS!$G11245="EX",1,IF(DATOS!$G11245="OR",--(COUNTIFS(nNIA,DATOS!$A11245,nCURSO,DATOS!$D11245,nESPEC,DATOS!$E11245,nASIG,DATOS!$I11245,nEVAL,"EX")=0),0))))</f>
      </c>
      <c r="H11245">
        <f>IF(DATOS!$G11245&lt;&gt;"EX",0,--(COUNTIFS(nNIA,DATOS!$A11245,nCURSO,DATOS!$D11245,nESPEC,DATOS!$E11245,nASIG,DATOS!$I11245,nEVAL,"OR")=0))</f>
      </c>
      <c r="I11245">
        <f>IF(DATOS!$I11245="","",IFERROR(VLOOKUP(DATOS!$I11245,CONFIG_ASIGNATURAS!$B$2:$J$91,9,FALSE()),""))</f>
      </c>
    </row>
    <row r="11246">
      <c r="F11246">
        <f>IF(DATOS!$A11246="","",DATOS!$A11246&amp;"|"&amp;DATOS!$D11246&amp;"|"&amp;DATOS!$E11246&amp;"|"&amp;DATOS!$I11246)</f>
      </c>
      <c r="G11246">
        <f>IF(DATOS!$A11246="",0,IF(CONFIG_METADATA!$B$4&lt;&gt;"OR+EX",--(DATOS!$G11246=CONFIG_METADATA!$B$4),IF(DATOS!$G11246="EX",1,IF(DATOS!$G11246="OR",--(COUNTIFS(nNIA,DATOS!$A11246,nCURSO,DATOS!$D11246,nESPEC,DATOS!$E11246,nASIG,DATOS!$I11246,nEVAL,"EX")=0),0))))</f>
      </c>
      <c r="H11246">
        <f>IF(DATOS!$G11246&lt;&gt;"EX",0,--(COUNTIFS(nNIA,DATOS!$A11246,nCURSO,DATOS!$D11246,nESPEC,DATOS!$E11246,nASIG,DATOS!$I11246,nEVAL,"OR")=0))</f>
      </c>
      <c r="I11246">
        <f>IF(DATOS!$I11246="","",IFERROR(VLOOKUP(DATOS!$I11246,CONFIG_ASIGNATURAS!$B$2:$J$91,9,FALSE()),""))</f>
      </c>
    </row>
    <row r="11247">
      <c r="F11247">
        <f>IF(DATOS!$A11247="","",DATOS!$A11247&amp;"|"&amp;DATOS!$D11247&amp;"|"&amp;DATOS!$E11247&amp;"|"&amp;DATOS!$I11247)</f>
      </c>
      <c r="G11247">
        <f>IF(DATOS!$A11247="",0,IF(CONFIG_METADATA!$B$4&lt;&gt;"OR+EX",--(DATOS!$G11247=CONFIG_METADATA!$B$4),IF(DATOS!$G11247="EX",1,IF(DATOS!$G11247="OR",--(COUNTIFS(nNIA,DATOS!$A11247,nCURSO,DATOS!$D11247,nESPEC,DATOS!$E11247,nASIG,DATOS!$I11247,nEVAL,"EX")=0),0))))</f>
      </c>
      <c r="H11247">
        <f>IF(DATOS!$G11247&lt;&gt;"EX",0,--(COUNTIFS(nNIA,DATOS!$A11247,nCURSO,DATOS!$D11247,nESPEC,DATOS!$E11247,nASIG,DATOS!$I11247,nEVAL,"OR")=0))</f>
      </c>
      <c r="I11247">
        <f>IF(DATOS!$I11247="","",IFERROR(VLOOKUP(DATOS!$I11247,CONFIG_ASIGNATURAS!$B$2:$J$91,9,FALSE()),""))</f>
      </c>
    </row>
    <row r="11248">
      <c r="F11248">
        <f>IF(DATOS!$A11248="","",DATOS!$A11248&amp;"|"&amp;DATOS!$D11248&amp;"|"&amp;DATOS!$E11248&amp;"|"&amp;DATOS!$I11248)</f>
      </c>
      <c r="G11248">
        <f>IF(DATOS!$A11248="",0,IF(CONFIG_METADATA!$B$4&lt;&gt;"OR+EX",--(DATOS!$G11248=CONFIG_METADATA!$B$4),IF(DATOS!$G11248="EX",1,IF(DATOS!$G11248="OR",--(COUNTIFS(nNIA,DATOS!$A11248,nCURSO,DATOS!$D11248,nESPEC,DATOS!$E11248,nASIG,DATOS!$I11248,nEVAL,"EX")=0),0))))</f>
      </c>
      <c r="H11248">
        <f>IF(DATOS!$G11248&lt;&gt;"EX",0,--(COUNTIFS(nNIA,DATOS!$A11248,nCURSO,DATOS!$D11248,nESPEC,DATOS!$E11248,nASIG,DATOS!$I11248,nEVAL,"OR")=0))</f>
      </c>
      <c r="I11248">
        <f>IF(DATOS!$I11248="","",IFERROR(VLOOKUP(DATOS!$I11248,CONFIG_ASIGNATURAS!$B$2:$J$91,9,FALSE()),""))</f>
      </c>
    </row>
    <row r="11249">
      <c r="F11249">
        <f>IF(DATOS!$A11249="","",DATOS!$A11249&amp;"|"&amp;DATOS!$D11249&amp;"|"&amp;DATOS!$E11249&amp;"|"&amp;DATOS!$I11249)</f>
      </c>
      <c r="G11249">
        <f>IF(DATOS!$A11249="",0,IF(CONFIG_METADATA!$B$4&lt;&gt;"OR+EX",--(DATOS!$G11249=CONFIG_METADATA!$B$4),IF(DATOS!$G11249="EX",1,IF(DATOS!$G11249="OR",--(COUNTIFS(nNIA,DATOS!$A11249,nCURSO,DATOS!$D11249,nESPEC,DATOS!$E11249,nASIG,DATOS!$I11249,nEVAL,"EX")=0),0))))</f>
      </c>
      <c r="H11249">
        <f>IF(DATOS!$G11249&lt;&gt;"EX",0,--(COUNTIFS(nNIA,DATOS!$A11249,nCURSO,DATOS!$D11249,nESPEC,DATOS!$E11249,nASIG,DATOS!$I11249,nEVAL,"OR")=0))</f>
      </c>
      <c r="I11249">
        <f>IF(DATOS!$I11249="","",IFERROR(VLOOKUP(DATOS!$I11249,CONFIG_ASIGNATURAS!$B$2:$J$91,9,FALSE()),""))</f>
      </c>
    </row>
    <row r="11250">
      <c r="F11250">
        <f>IF(DATOS!$A11250="","",DATOS!$A11250&amp;"|"&amp;DATOS!$D11250&amp;"|"&amp;DATOS!$E11250&amp;"|"&amp;DATOS!$I11250)</f>
      </c>
      <c r="G11250">
        <f>IF(DATOS!$A11250="",0,IF(CONFIG_METADATA!$B$4&lt;&gt;"OR+EX",--(DATOS!$G11250=CONFIG_METADATA!$B$4),IF(DATOS!$G11250="EX",1,IF(DATOS!$G11250="OR",--(COUNTIFS(nNIA,DATOS!$A11250,nCURSO,DATOS!$D11250,nESPEC,DATOS!$E11250,nASIG,DATOS!$I11250,nEVAL,"EX")=0),0))))</f>
      </c>
      <c r="H11250">
        <f>IF(DATOS!$G11250&lt;&gt;"EX",0,--(COUNTIFS(nNIA,DATOS!$A11250,nCURSO,DATOS!$D11250,nESPEC,DATOS!$E11250,nASIG,DATOS!$I11250,nEVAL,"OR")=0))</f>
      </c>
      <c r="I11250">
        <f>IF(DATOS!$I11250="","",IFERROR(VLOOKUP(DATOS!$I11250,CONFIG_ASIGNATURAS!$B$2:$J$91,9,FALSE()),""))</f>
      </c>
    </row>
    <row r="11251">
      <c r="F11251">
        <f>IF(DATOS!$A11251="","",DATOS!$A11251&amp;"|"&amp;DATOS!$D11251&amp;"|"&amp;DATOS!$E11251&amp;"|"&amp;DATOS!$I11251)</f>
      </c>
      <c r="G11251">
        <f>IF(DATOS!$A11251="",0,IF(CONFIG_METADATA!$B$4&lt;&gt;"OR+EX",--(DATOS!$G11251=CONFIG_METADATA!$B$4),IF(DATOS!$G11251="EX",1,IF(DATOS!$G11251="OR",--(COUNTIFS(nNIA,DATOS!$A11251,nCURSO,DATOS!$D11251,nESPEC,DATOS!$E11251,nASIG,DATOS!$I11251,nEVAL,"EX")=0),0))))</f>
      </c>
      <c r="H11251">
        <f>IF(DATOS!$G11251&lt;&gt;"EX",0,--(COUNTIFS(nNIA,DATOS!$A11251,nCURSO,DATOS!$D11251,nESPEC,DATOS!$E11251,nASIG,DATOS!$I11251,nEVAL,"OR")=0))</f>
      </c>
      <c r="I11251">
        <f>IF(DATOS!$I11251="","",IFERROR(VLOOKUP(DATOS!$I11251,CONFIG_ASIGNATURAS!$B$2:$J$91,9,FALSE()),""))</f>
      </c>
    </row>
    <row r="11252">
      <c r="F11252">
        <f>IF(DATOS!$A11252="","",DATOS!$A11252&amp;"|"&amp;DATOS!$D11252&amp;"|"&amp;DATOS!$E11252&amp;"|"&amp;DATOS!$I11252)</f>
      </c>
      <c r="G11252">
        <f>IF(DATOS!$A11252="",0,IF(CONFIG_METADATA!$B$4&lt;&gt;"OR+EX",--(DATOS!$G11252=CONFIG_METADATA!$B$4),IF(DATOS!$G11252="EX",1,IF(DATOS!$G11252="OR",--(COUNTIFS(nNIA,DATOS!$A11252,nCURSO,DATOS!$D11252,nESPEC,DATOS!$E11252,nASIG,DATOS!$I11252,nEVAL,"EX")=0),0))))</f>
      </c>
      <c r="H11252">
        <f>IF(DATOS!$G11252&lt;&gt;"EX",0,--(COUNTIFS(nNIA,DATOS!$A11252,nCURSO,DATOS!$D11252,nESPEC,DATOS!$E11252,nASIG,DATOS!$I11252,nEVAL,"OR")=0))</f>
      </c>
      <c r="I11252">
        <f>IF(DATOS!$I11252="","",IFERROR(VLOOKUP(DATOS!$I11252,CONFIG_ASIGNATURAS!$B$2:$J$91,9,FALSE()),""))</f>
      </c>
    </row>
    <row r="11253">
      <c r="F11253">
        <f>IF(DATOS!$A11253="","",DATOS!$A11253&amp;"|"&amp;DATOS!$D11253&amp;"|"&amp;DATOS!$E11253&amp;"|"&amp;DATOS!$I11253)</f>
      </c>
      <c r="G11253">
        <f>IF(DATOS!$A11253="",0,IF(CONFIG_METADATA!$B$4&lt;&gt;"OR+EX",--(DATOS!$G11253=CONFIG_METADATA!$B$4),IF(DATOS!$G11253="EX",1,IF(DATOS!$G11253="OR",--(COUNTIFS(nNIA,DATOS!$A11253,nCURSO,DATOS!$D11253,nESPEC,DATOS!$E11253,nASIG,DATOS!$I11253,nEVAL,"EX")=0),0))))</f>
      </c>
      <c r="H11253">
        <f>IF(DATOS!$G11253&lt;&gt;"EX",0,--(COUNTIFS(nNIA,DATOS!$A11253,nCURSO,DATOS!$D11253,nESPEC,DATOS!$E11253,nASIG,DATOS!$I11253,nEVAL,"OR")=0))</f>
      </c>
      <c r="I11253">
        <f>IF(DATOS!$I11253="","",IFERROR(VLOOKUP(DATOS!$I11253,CONFIG_ASIGNATURAS!$B$2:$J$91,9,FALSE()),""))</f>
      </c>
    </row>
    <row r="11254">
      <c r="F11254">
        <f>IF(DATOS!$A11254="","",DATOS!$A11254&amp;"|"&amp;DATOS!$D11254&amp;"|"&amp;DATOS!$E11254&amp;"|"&amp;DATOS!$I11254)</f>
      </c>
      <c r="G11254">
        <f>IF(DATOS!$A11254="",0,IF(CONFIG_METADATA!$B$4&lt;&gt;"OR+EX",--(DATOS!$G11254=CONFIG_METADATA!$B$4),IF(DATOS!$G11254="EX",1,IF(DATOS!$G11254="OR",--(COUNTIFS(nNIA,DATOS!$A11254,nCURSO,DATOS!$D11254,nESPEC,DATOS!$E11254,nASIG,DATOS!$I11254,nEVAL,"EX")=0),0))))</f>
      </c>
      <c r="H11254">
        <f>IF(DATOS!$G11254&lt;&gt;"EX",0,--(COUNTIFS(nNIA,DATOS!$A11254,nCURSO,DATOS!$D11254,nESPEC,DATOS!$E11254,nASIG,DATOS!$I11254,nEVAL,"OR")=0))</f>
      </c>
      <c r="I11254">
        <f>IF(DATOS!$I11254="","",IFERROR(VLOOKUP(DATOS!$I11254,CONFIG_ASIGNATURAS!$B$2:$J$91,9,FALSE()),""))</f>
      </c>
    </row>
    <row r="11255">
      <c r="F11255">
        <f>IF(DATOS!$A11255="","",DATOS!$A11255&amp;"|"&amp;DATOS!$D11255&amp;"|"&amp;DATOS!$E11255&amp;"|"&amp;DATOS!$I11255)</f>
      </c>
      <c r="G11255">
        <f>IF(DATOS!$A11255="",0,IF(CONFIG_METADATA!$B$4&lt;&gt;"OR+EX",--(DATOS!$G11255=CONFIG_METADATA!$B$4),IF(DATOS!$G11255="EX",1,IF(DATOS!$G11255="OR",--(COUNTIFS(nNIA,DATOS!$A11255,nCURSO,DATOS!$D11255,nESPEC,DATOS!$E11255,nASIG,DATOS!$I11255,nEVAL,"EX")=0),0))))</f>
      </c>
      <c r="H11255">
        <f>IF(DATOS!$G11255&lt;&gt;"EX",0,--(COUNTIFS(nNIA,DATOS!$A11255,nCURSO,DATOS!$D11255,nESPEC,DATOS!$E11255,nASIG,DATOS!$I11255,nEVAL,"OR")=0))</f>
      </c>
      <c r="I11255">
        <f>IF(DATOS!$I11255="","",IFERROR(VLOOKUP(DATOS!$I11255,CONFIG_ASIGNATURAS!$B$2:$J$91,9,FALSE()),""))</f>
      </c>
    </row>
    <row r="11256">
      <c r="F11256">
        <f>IF(DATOS!$A11256="","",DATOS!$A11256&amp;"|"&amp;DATOS!$D11256&amp;"|"&amp;DATOS!$E11256&amp;"|"&amp;DATOS!$I11256)</f>
      </c>
      <c r="G11256">
        <f>IF(DATOS!$A11256="",0,IF(CONFIG_METADATA!$B$4&lt;&gt;"OR+EX",--(DATOS!$G11256=CONFIG_METADATA!$B$4),IF(DATOS!$G11256="EX",1,IF(DATOS!$G11256="OR",--(COUNTIFS(nNIA,DATOS!$A11256,nCURSO,DATOS!$D11256,nESPEC,DATOS!$E11256,nASIG,DATOS!$I11256,nEVAL,"EX")=0),0))))</f>
      </c>
      <c r="H11256">
        <f>IF(DATOS!$G11256&lt;&gt;"EX",0,--(COUNTIFS(nNIA,DATOS!$A11256,nCURSO,DATOS!$D11256,nESPEC,DATOS!$E11256,nASIG,DATOS!$I11256,nEVAL,"OR")=0))</f>
      </c>
      <c r="I11256">
        <f>IF(DATOS!$I11256="","",IFERROR(VLOOKUP(DATOS!$I11256,CONFIG_ASIGNATURAS!$B$2:$J$91,9,FALSE()),""))</f>
      </c>
    </row>
    <row r="11257">
      <c r="F11257">
        <f>IF(DATOS!$A11257="","",DATOS!$A11257&amp;"|"&amp;DATOS!$D11257&amp;"|"&amp;DATOS!$E11257&amp;"|"&amp;DATOS!$I11257)</f>
      </c>
      <c r="G11257">
        <f>IF(DATOS!$A11257="",0,IF(CONFIG_METADATA!$B$4&lt;&gt;"OR+EX",--(DATOS!$G11257=CONFIG_METADATA!$B$4),IF(DATOS!$G11257="EX",1,IF(DATOS!$G11257="OR",--(COUNTIFS(nNIA,DATOS!$A11257,nCURSO,DATOS!$D11257,nESPEC,DATOS!$E11257,nASIG,DATOS!$I11257,nEVAL,"EX")=0),0))))</f>
      </c>
      <c r="H11257">
        <f>IF(DATOS!$G11257&lt;&gt;"EX",0,--(COUNTIFS(nNIA,DATOS!$A11257,nCURSO,DATOS!$D11257,nESPEC,DATOS!$E11257,nASIG,DATOS!$I11257,nEVAL,"OR")=0))</f>
      </c>
      <c r="I11257">
        <f>IF(DATOS!$I11257="","",IFERROR(VLOOKUP(DATOS!$I11257,CONFIG_ASIGNATURAS!$B$2:$J$91,9,FALSE()),""))</f>
      </c>
    </row>
    <row r="11258">
      <c r="F11258">
        <f>IF(DATOS!$A11258="","",DATOS!$A11258&amp;"|"&amp;DATOS!$D11258&amp;"|"&amp;DATOS!$E11258&amp;"|"&amp;DATOS!$I11258)</f>
      </c>
      <c r="G11258">
        <f>IF(DATOS!$A11258="",0,IF(CONFIG_METADATA!$B$4&lt;&gt;"OR+EX",--(DATOS!$G11258=CONFIG_METADATA!$B$4),IF(DATOS!$G11258="EX",1,IF(DATOS!$G11258="OR",--(COUNTIFS(nNIA,DATOS!$A11258,nCURSO,DATOS!$D11258,nESPEC,DATOS!$E11258,nASIG,DATOS!$I11258,nEVAL,"EX")=0),0))))</f>
      </c>
      <c r="H11258">
        <f>IF(DATOS!$G11258&lt;&gt;"EX",0,--(COUNTIFS(nNIA,DATOS!$A11258,nCURSO,DATOS!$D11258,nESPEC,DATOS!$E11258,nASIG,DATOS!$I11258,nEVAL,"OR")=0))</f>
      </c>
      <c r="I11258">
        <f>IF(DATOS!$I11258="","",IFERROR(VLOOKUP(DATOS!$I11258,CONFIG_ASIGNATURAS!$B$2:$J$91,9,FALSE()),""))</f>
      </c>
    </row>
    <row r="11259">
      <c r="F11259">
        <f>IF(DATOS!$A11259="","",DATOS!$A11259&amp;"|"&amp;DATOS!$D11259&amp;"|"&amp;DATOS!$E11259&amp;"|"&amp;DATOS!$I11259)</f>
      </c>
      <c r="G11259">
        <f>IF(DATOS!$A11259="",0,IF(CONFIG_METADATA!$B$4&lt;&gt;"OR+EX",--(DATOS!$G11259=CONFIG_METADATA!$B$4),IF(DATOS!$G11259="EX",1,IF(DATOS!$G11259="OR",--(COUNTIFS(nNIA,DATOS!$A11259,nCURSO,DATOS!$D11259,nESPEC,DATOS!$E11259,nASIG,DATOS!$I11259,nEVAL,"EX")=0),0))))</f>
      </c>
      <c r="H11259">
        <f>IF(DATOS!$G11259&lt;&gt;"EX",0,--(COUNTIFS(nNIA,DATOS!$A11259,nCURSO,DATOS!$D11259,nESPEC,DATOS!$E11259,nASIG,DATOS!$I11259,nEVAL,"OR")=0))</f>
      </c>
      <c r="I11259">
        <f>IF(DATOS!$I11259="","",IFERROR(VLOOKUP(DATOS!$I11259,CONFIG_ASIGNATURAS!$B$2:$J$91,9,FALSE()),""))</f>
      </c>
    </row>
    <row r="11260">
      <c r="F11260">
        <f>IF(DATOS!$A11260="","",DATOS!$A11260&amp;"|"&amp;DATOS!$D11260&amp;"|"&amp;DATOS!$E11260&amp;"|"&amp;DATOS!$I11260)</f>
      </c>
      <c r="G11260">
        <f>IF(DATOS!$A11260="",0,IF(CONFIG_METADATA!$B$4&lt;&gt;"OR+EX",--(DATOS!$G11260=CONFIG_METADATA!$B$4),IF(DATOS!$G11260="EX",1,IF(DATOS!$G11260="OR",--(COUNTIFS(nNIA,DATOS!$A11260,nCURSO,DATOS!$D11260,nESPEC,DATOS!$E11260,nASIG,DATOS!$I11260,nEVAL,"EX")=0),0))))</f>
      </c>
      <c r="H11260">
        <f>IF(DATOS!$G11260&lt;&gt;"EX",0,--(COUNTIFS(nNIA,DATOS!$A11260,nCURSO,DATOS!$D11260,nESPEC,DATOS!$E11260,nASIG,DATOS!$I11260,nEVAL,"OR")=0))</f>
      </c>
      <c r="I11260">
        <f>IF(DATOS!$I11260="","",IFERROR(VLOOKUP(DATOS!$I11260,CONFIG_ASIGNATURAS!$B$2:$J$91,9,FALSE()),""))</f>
      </c>
    </row>
    <row r="11261">
      <c r="F11261">
        <f>IF(DATOS!$A11261="","",DATOS!$A11261&amp;"|"&amp;DATOS!$D11261&amp;"|"&amp;DATOS!$E11261&amp;"|"&amp;DATOS!$I11261)</f>
      </c>
      <c r="G11261">
        <f>IF(DATOS!$A11261="",0,IF(CONFIG_METADATA!$B$4&lt;&gt;"OR+EX",--(DATOS!$G11261=CONFIG_METADATA!$B$4),IF(DATOS!$G11261="EX",1,IF(DATOS!$G11261="OR",--(COUNTIFS(nNIA,DATOS!$A11261,nCURSO,DATOS!$D11261,nESPEC,DATOS!$E11261,nASIG,DATOS!$I11261,nEVAL,"EX")=0),0))))</f>
      </c>
      <c r="H11261">
        <f>IF(DATOS!$G11261&lt;&gt;"EX",0,--(COUNTIFS(nNIA,DATOS!$A11261,nCURSO,DATOS!$D11261,nESPEC,DATOS!$E11261,nASIG,DATOS!$I11261,nEVAL,"OR")=0))</f>
      </c>
      <c r="I11261">
        <f>IF(DATOS!$I11261="","",IFERROR(VLOOKUP(DATOS!$I11261,CONFIG_ASIGNATURAS!$B$2:$J$91,9,FALSE()),""))</f>
      </c>
    </row>
    <row r="11262">
      <c r="F11262">
        <f>IF(DATOS!$A11262="","",DATOS!$A11262&amp;"|"&amp;DATOS!$D11262&amp;"|"&amp;DATOS!$E11262&amp;"|"&amp;DATOS!$I11262)</f>
      </c>
      <c r="G11262">
        <f>IF(DATOS!$A11262="",0,IF(CONFIG_METADATA!$B$4&lt;&gt;"OR+EX",--(DATOS!$G11262=CONFIG_METADATA!$B$4),IF(DATOS!$G11262="EX",1,IF(DATOS!$G11262="OR",--(COUNTIFS(nNIA,DATOS!$A11262,nCURSO,DATOS!$D11262,nESPEC,DATOS!$E11262,nASIG,DATOS!$I11262,nEVAL,"EX")=0),0))))</f>
      </c>
      <c r="H11262">
        <f>IF(DATOS!$G11262&lt;&gt;"EX",0,--(COUNTIFS(nNIA,DATOS!$A11262,nCURSO,DATOS!$D11262,nESPEC,DATOS!$E11262,nASIG,DATOS!$I11262,nEVAL,"OR")=0))</f>
      </c>
      <c r="I11262">
        <f>IF(DATOS!$I11262="","",IFERROR(VLOOKUP(DATOS!$I11262,CONFIG_ASIGNATURAS!$B$2:$J$91,9,FALSE()),""))</f>
      </c>
    </row>
    <row r="11263">
      <c r="F11263">
        <f>IF(DATOS!$A11263="","",DATOS!$A11263&amp;"|"&amp;DATOS!$D11263&amp;"|"&amp;DATOS!$E11263&amp;"|"&amp;DATOS!$I11263)</f>
      </c>
      <c r="G11263">
        <f>IF(DATOS!$A11263="",0,IF(CONFIG_METADATA!$B$4&lt;&gt;"OR+EX",--(DATOS!$G11263=CONFIG_METADATA!$B$4),IF(DATOS!$G11263="EX",1,IF(DATOS!$G11263="OR",--(COUNTIFS(nNIA,DATOS!$A11263,nCURSO,DATOS!$D11263,nESPEC,DATOS!$E11263,nASIG,DATOS!$I11263,nEVAL,"EX")=0),0))))</f>
      </c>
      <c r="H11263">
        <f>IF(DATOS!$G11263&lt;&gt;"EX",0,--(COUNTIFS(nNIA,DATOS!$A11263,nCURSO,DATOS!$D11263,nESPEC,DATOS!$E11263,nASIG,DATOS!$I11263,nEVAL,"OR")=0))</f>
      </c>
      <c r="I11263">
        <f>IF(DATOS!$I11263="","",IFERROR(VLOOKUP(DATOS!$I11263,CONFIG_ASIGNATURAS!$B$2:$J$91,9,FALSE()),""))</f>
      </c>
    </row>
    <row r="11264">
      <c r="F11264">
        <f>IF(DATOS!$A11264="","",DATOS!$A11264&amp;"|"&amp;DATOS!$D11264&amp;"|"&amp;DATOS!$E11264&amp;"|"&amp;DATOS!$I11264)</f>
      </c>
      <c r="G11264">
        <f>IF(DATOS!$A11264="",0,IF(CONFIG_METADATA!$B$4&lt;&gt;"OR+EX",--(DATOS!$G11264=CONFIG_METADATA!$B$4),IF(DATOS!$G11264="EX",1,IF(DATOS!$G11264="OR",--(COUNTIFS(nNIA,DATOS!$A11264,nCURSO,DATOS!$D11264,nESPEC,DATOS!$E11264,nASIG,DATOS!$I11264,nEVAL,"EX")=0),0))))</f>
      </c>
      <c r="H11264">
        <f>IF(DATOS!$G11264&lt;&gt;"EX",0,--(COUNTIFS(nNIA,DATOS!$A11264,nCURSO,DATOS!$D11264,nESPEC,DATOS!$E11264,nASIG,DATOS!$I11264,nEVAL,"OR")=0))</f>
      </c>
      <c r="I11264">
        <f>IF(DATOS!$I11264="","",IFERROR(VLOOKUP(DATOS!$I11264,CONFIG_ASIGNATURAS!$B$2:$J$91,9,FALSE()),""))</f>
      </c>
    </row>
    <row r="11265">
      <c r="F11265">
        <f>IF(DATOS!$A11265="","",DATOS!$A11265&amp;"|"&amp;DATOS!$D11265&amp;"|"&amp;DATOS!$E11265&amp;"|"&amp;DATOS!$I11265)</f>
      </c>
      <c r="G11265">
        <f>IF(DATOS!$A11265="",0,IF(CONFIG_METADATA!$B$4&lt;&gt;"OR+EX",--(DATOS!$G11265=CONFIG_METADATA!$B$4),IF(DATOS!$G11265="EX",1,IF(DATOS!$G11265="OR",--(COUNTIFS(nNIA,DATOS!$A11265,nCURSO,DATOS!$D11265,nESPEC,DATOS!$E11265,nASIG,DATOS!$I11265,nEVAL,"EX")=0),0))))</f>
      </c>
      <c r="H11265">
        <f>IF(DATOS!$G11265&lt;&gt;"EX",0,--(COUNTIFS(nNIA,DATOS!$A11265,nCURSO,DATOS!$D11265,nESPEC,DATOS!$E11265,nASIG,DATOS!$I11265,nEVAL,"OR")=0))</f>
      </c>
      <c r="I11265">
        <f>IF(DATOS!$I11265="","",IFERROR(VLOOKUP(DATOS!$I11265,CONFIG_ASIGNATURAS!$B$2:$J$91,9,FALSE()),""))</f>
      </c>
    </row>
    <row r="11266">
      <c r="F11266">
        <f>IF(DATOS!$A11266="","",DATOS!$A11266&amp;"|"&amp;DATOS!$D11266&amp;"|"&amp;DATOS!$E11266&amp;"|"&amp;DATOS!$I11266)</f>
      </c>
      <c r="G11266">
        <f>IF(DATOS!$A11266="",0,IF(CONFIG_METADATA!$B$4&lt;&gt;"OR+EX",--(DATOS!$G11266=CONFIG_METADATA!$B$4),IF(DATOS!$G11266="EX",1,IF(DATOS!$G11266="OR",--(COUNTIFS(nNIA,DATOS!$A11266,nCURSO,DATOS!$D11266,nESPEC,DATOS!$E11266,nASIG,DATOS!$I11266,nEVAL,"EX")=0),0))))</f>
      </c>
      <c r="H11266">
        <f>IF(DATOS!$G11266&lt;&gt;"EX",0,--(COUNTIFS(nNIA,DATOS!$A11266,nCURSO,DATOS!$D11266,nESPEC,DATOS!$E11266,nASIG,DATOS!$I11266,nEVAL,"OR")=0))</f>
      </c>
      <c r="I11266">
        <f>IF(DATOS!$I11266="","",IFERROR(VLOOKUP(DATOS!$I11266,CONFIG_ASIGNATURAS!$B$2:$J$91,9,FALSE()),""))</f>
      </c>
    </row>
    <row r="11267">
      <c r="F11267">
        <f>IF(DATOS!$A11267="","",DATOS!$A11267&amp;"|"&amp;DATOS!$D11267&amp;"|"&amp;DATOS!$E11267&amp;"|"&amp;DATOS!$I11267)</f>
      </c>
      <c r="G11267">
        <f>IF(DATOS!$A11267="",0,IF(CONFIG_METADATA!$B$4&lt;&gt;"OR+EX",--(DATOS!$G11267=CONFIG_METADATA!$B$4),IF(DATOS!$G11267="EX",1,IF(DATOS!$G11267="OR",--(COUNTIFS(nNIA,DATOS!$A11267,nCURSO,DATOS!$D11267,nESPEC,DATOS!$E11267,nASIG,DATOS!$I11267,nEVAL,"EX")=0),0))))</f>
      </c>
      <c r="H11267">
        <f>IF(DATOS!$G11267&lt;&gt;"EX",0,--(COUNTIFS(nNIA,DATOS!$A11267,nCURSO,DATOS!$D11267,nESPEC,DATOS!$E11267,nASIG,DATOS!$I11267,nEVAL,"OR")=0))</f>
      </c>
      <c r="I11267">
        <f>IF(DATOS!$I11267="","",IFERROR(VLOOKUP(DATOS!$I11267,CONFIG_ASIGNATURAS!$B$2:$J$91,9,FALSE()),""))</f>
      </c>
    </row>
    <row r="11268">
      <c r="F11268">
        <f>IF(DATOS!$A11268="","",DATOS!$A11268&amp;"|"&amp;DATOS!$D11268&amp;"|"&amp;DATOS!$E11268&amp;"|"&amp;DATOS!$I11268)</f>
      </c>
      <c r="G11268">
        <f>IF(DATOS!$A11268="",0,IF(CONFIG_METADATA!$B$4&lt;&gt;"OR+EX",--(DATOS!$G11268=CONFIG_METADATA!$B$4),IF(DATOS!$G11268="EX",1,IF(DATOS!$G11268="OR",--(COUNTIFS(nNIA,DATOS!$A11268,nCURSO,DATOS!$D11268,nESPEC,DATOS!$E11268,nASIG,DATOS!$I11268,nEVAL,"EX")=0),0))))</f>
      </c>
      <c r="H11268">
        <f>IF(DATOS!$G11268&lt;&gt;"EX",0,--(COUNTIFS(nNIA,DATOS!$A11268,nCURSO,DATOS!$D11268,nESPEC,DATOS!$E11268,nASIG,DATOS!$I11268,nEVAL,"OR")=0))</f>
      </c>
      <c r="I11268">
        <f>IF(DATOS!$I11268="","",IFERROR(VLOOKUP(DATOS!$I11268,CONFIG_ASIGNATURAS!$B$2:$J$91,9,FALSE()),""))</f>
      </c>
    </row>
    <row r="11269">
      <c r="F11269">
        <f>IF(DATOS!$A11269="","",DATOS!$A11269&amp;"|"&amp;DATOS!$D11269&amp;"|"&amp;DATOS!$E11269&amp;"|"&amp;DATOS!$I11269)</f>
      </c>
      <c r="G11269">
        <f>IF(DATOS!$A11269="",0,IF(CONFIG_METADATA!$B$4&lt;&gt;"OR+EX",--(DATOS!$G11269=CONFIG_METADATA!$B$4),IF(DATOS!$G11269="EX",1,IF(DATOS!$G11269="OR",--(COUNTIFS(nNIA,DATOS!$A11269,nCURSO,DATOS!$D11269,nESPEC,DATOS!$E11269,nASIG,DATOS!$I11269,nEVAL,"EX")=0),0))))</f>
      </c>
      <c r="H11269">
        <f>IF(DATOS!$G11269&lt;&gt;"EX",0,--(COUNTIFS(nNIA,DATOS!$A11269,nCURSO,DATOS!$D11269,nESPEC,DATOS!$E11269,nASIG,DATOS!$I11269,nEVAL,"OR")=0))</f>
      </c>
      <c r="I11269">
        <f>IF(DATOS!$I11269="","",IFERROR(VLOOKUP(DATOS!$I11269,CONFIG_ASIGNATURAS!$B$2:$J$91,9,FALSE()),""))</f>
      </c>
    </row>
    <row r="11270">
      <c r="F11270">
        <f>IF(DATOS!$A11270="","",DATOS!$A11270&amp;"|"&amp;DATOS!$D11270&amp;"|"&amp;DATOS!$E11270&amp;"|"&amp;DATOS!$I11270)</f>
      </c>
      <c r="G11270">
        <f>IF(DATOS!$A11270="",0,IF(CONFIG_METADATA!$B$4&lt;&gt;"OR+EX",--(DATOS!$G11270=CONFIG_METADATA!$B$4),IF(DATOS!$G11270="EX",1,IF(DATOS!$G11270="OR",--(COUNTIFS(nNIA,DATOS!$A11270,nCURSO,DATOS!$D11270,nESPEC,DATOS!$E11270,nASIG,DATOS!$I11270,nEVAL,"EX")=0),0))))</f>
      </c>
      <c r="H11270">
        <f>IF(DATOS!$G11270&lt;&gt;"EX",0,--(COUNTIFS(nNIA,DATOS!$A11270,nCURSO,DATOS!$D11270,nESPEC,DATOS!$E11270,nASIG,DATOS!$I11270,nEVAL,"OR")=0))</f>
      </c>
      <c r="I11270">
        <f>IF(DATOS!$I11270="","",IFERROR(VLOOKUP(DATOS!$I11270,CONFIG_ASIGNATURAS!$B$2:$J$91,9,FALSE()),""))</f>
      </c>
    </row>
    <row r="11271">
      <c r="F11271">
        <f>IF(DATOS!$A11271="","",DATOS!$A11271&amp;"|"&amp;DATOS!$D11271&amp;"|"&amp;DATOS!$E11271&amp;"|"&amp;DATOS!$I11271)</f>
      </c>
      <c r="G11271">
        <f>IF(DATOS!$A11271="",0,IF(CONFIG_METADATA!$B$4&lt;&gt;"OR+EX",--(DATOS!$G11271=CONFIG_METADATA!$B$4),IF(DATOS!$G11271="EX",1,IF(DATOS!$G11271="OR",--(COUNTIFS(nNIA,DATOS!$A11271,nCURSO,DATOS!$D11271,nESPEC,DATOS!$E11271,nASIG,DATOS!$I11271,nEVAL,"EX")=0),0))))</f>
      </c>
      <c r="H11271">
        <f>IF(DATOS!$G11271&lt;&gt;"EX",0,--(COUNTIFS(nNIA,DATOS!$A11271,nCURSO,DATOS!$D11271,nESPEC,DATOS!$E11271,nASIG,DATOS!$I11271,nEVAL,"OR")=0))</f>
      </c>
      <c r="I11271">
        <f>IF(DATOS!$I11271="","",IFERROR(VLOOKUP(DATOS!$I11271,CONFIG_ASIGNATURAS!$B$2:$J$91,9,FALSE()),""))</f>
      </c>
    </row>
    <row r="11272">
      <c r="F11272">
        <f>IF(DATOS!$A11272="","",DATOS!$A11272&amp;"|"&amp;DATOS!$D11272&amp;"|"&amp;DATOS!$E11272&amp;"|"&amp;DATOS!$I11272)</f>
      </c>
      <c r="G11272">
        <f>IF(DATOS!$A11272="",0,IF(CONFIG_METADATA!$B$4&lt;&gt;"OR+EX",--(DATOS!$G11272=CONFIG_METADATA!$B$4),IF(DATOS!$G11272="EX",1,IF(DATOS!$G11272="OR",--(COUNTIFS(nNIA,DATOS!$A11272,nCURSO,DATOS!$D11272,nESPEC,DATOS!$E11272,nASIG,DATOS!$I11272,nEVAL,"EX")=0),0))))</f>
      </c>
      <c r="H11272">
        <f>IF(DATOS!$G11272&lt;&gt;"EX",0,--(COUNTIFS(nNIA,DATOS!$A11272,nCURSO,DATOS!$D11272,nESPEC,DATOS!$E11272,nASIG,DATOS!$I11272,nEVAL,"OR")=0))</f>
      </c>
      <c r="I11272">
        <f>IF(DATOS!$I11272="","",IFERROR(VLOOKUP(DATOS!$I11272,CONFIG_ASIGNATURAS!$B$2:$J$91,9,FALSE()),""))</f>
      </c>
    </row>
    <row r="11273">
      <c r="F11273">
        <f>IF(DATOS!$A11273="","",DATOS!$A11273&amp;"|"&amp;DATOS!$D11273&amp;"|"&amp;DATOS!$E11273&amp;"|"&amp;DATOS!$I11273)</f>
      </c>
      <c r="G11273">
        <f>IF(DATOS!$A11273="",0,IF(CONFIG_METADATA!$B$4&lt;&gt;"OR+EX",--(DATOS!$G11273=CONFIG_METADATA!$B$4),IF(DATOS!$G11273="EX",1,IF(DATOS!$G11273="OR",--(COUNTIFS(nNIA,DATOS!$A11273,nCURSO,DATOS!$D11273,nESPEC,DATOS!$E11273,nASIG,DATOS!$I11273,nEVAL,"EX")=0),0))))</f>
      </c>
      <c r="H11273">
        <f>IF(DATOS!$G11273&lt;&gt;"EX",0,--(COUNTIFS(nNIA,DATOS!$A11273,nCURSO,DATOS!$D11273,nESPEC,DATOS!$E11273,nASIG,DATOS!$I11273,nEVAL,"OR")=0))</f>
      </c>
      <c r="I11273">
        <f>IF(DATOS!$I11273="","",IFERROR(VLOOKUP(DATOS!$I11273,CONFIG_ASIGNATURAS!$B$2:$J$91,9,FALSE()),""))</f>
      </c>
    </row>
    <row r="11274">
      <c r="F11274">
        <f>IF(DATOS!$A11274="","",DATOS!$A11274&amp;"|"&amp;DATOS!$D11274&amp;"|"&amp;DATOS!$E11274&amp;"|"&amp;DATOS!$I11274)</f>
      </c>
      <c r="G11274">
        <f>IF(DATOS!$A11274="",0,IF(CONFIG_METADATA!$B$4&lt;&gt;"OR+EX",--(DATOS!$G11274=CONFIG_METADATA!$B$4),IF(DATOS!$G11274="EX",1,IF(DATOS!$G11274="OR",--(COUNTIFS(nNIA,DATOS!$A11274,nCURSO,DATOS!$D11274,nESPEC,DATOS!$E11274,nASIG,DATOS!$I11274,nEVAL,"EX")=0),0))))</f>
      </c>
      <c r="H11274">
        <f>IF(DATOS!$G11274&lt;&gt;"EX",0,--(COUNTIFS(nNIA,DATOS!$A11274,nCURSO,DATOS!$D11274,nESPEC,DATOS!$E11274,nASIG,DATOS!$I11274,nEVAL,"OR")=0))</f>
      </c>
      <c r="I11274">
        <f>IF(DATOS!$I11274="","",IFERROR(VLOOKUP(DATOS!$I11274,CONFIG_ASIGNATURAS!$B$2:$J$91,9,FALSE()),""))</f>
      </c>
    </row>
    <row r="11275">
      <c r="F11275">
        <f>IF(DATOS!$A11275="","",DATOS!$A11275&amp;"|"&amp;DATOS!$D11275&amp;"|"&amp;DATOS!$E11275&amp;"|"&amp;DATOS!$I11275)</f>
      </c>
      <c r="G11275">
        <f>IF(DATOS!$A11275="",0,IF(CONFIG_METADATA!$B$4&lt;&gt;"OR+EX",--(DATOS!$G11275=CONFIG_METADATA!$B$4),IF(DATOS!$G11275="EX",1,IF(DATOS!$G11275="OR",--(COUNTIFS(nNIA,DATOS!$A11275,nCURSO,DATOS!$D11275,nESPEC,DATOS!$E11275,nASIG,DATOS!$I11275,nEVAL,"EX")=0),0))))</f>
      </c>
      <c r="H11275">
        <f>IF(DATOS!$G11275&lt;&gt;"EX",0,--(COUNTIFS(nNIA,DATOS!$A11275,nCURSO,DATOS!$D11275,nESPEC,DATOS!$E11275,nASIG,DATOS!$I11275,nEVAL,"OR")=0))</f>
      </c>
      <c r="I11275">
        <f>IF(DATOS!$I11275="","",IFERROR(VLOOKUP(DATOS!$I11275,CONFIG_ASIGNATURAS!$B$2:$J$91,9,FALSE()),""))</f>
      </c>
    </row>
    <row r="11276">
      <c r="F11276">
        <f>IF(DATOS!$A11276="","",DATOS!$A11276&amp;"|"&amp;DATOS!$D11276&amp;"|"&amp;DATOS!$E11276&amp;"|"&amp;DATOS!$I11276)</f>
      </c>
      <c r="G11276">
        <f>IF(DATOS!$A11276="",0,IF(CONFIG_METADATA!$B$4&lt;&gt;"OR+EX",--(DATOS!$G11276=CONFIG_METADATA!$B$4),IF(DATOS!$G11276="EX",1,IF(DATOS!$G11276="OR",--(COUNTIFS(nNIA,DATOS!$A11276,nCURSO,DATOS!$D11276,nESPEC,DATOS!$E11276,nASIG,DATOS!$I11276,nEVAL,"EX")=0),0))))</f>
      </c>
      <c r="H11276">
        <f>IF(DATOS!$G11276&lt;&gt;"EX",0,--(COUNTIFS(nNIA,DATOS!$A11276,nCURSO,DATOS!$D11276,nESPEC,DATOS!$E11276,nASIG,DATOS!$I11276,nEVAL,"OR")=0))</f>
      </c>
      <c r="I11276">
        <f>IF(DATOS!$I11276="","",IFERROR(VLOOKUP(DATOS!$I11276,CONFIG_ASIGNATURAS!$B$2:$J$91,9,FALSE()),""))</f>
      </c>
    </row>
    <row r="11277">
      <c r="F11277">
        <f>IF(DATOS!$A11277="","",DATOS!$A11277&amp;"|"&amp;DATOS!$D11277&amp;"|"&amp;DATOS!$E11277&amp;"|"&amp;DATOS!$I11277)</f>
      </c>
      <c r="G11277">
        <f>IF(DATOS!$A11277="",0,IF(CONFIG_METADATA!$B$4&lt;&gt;"OR+EX",--(DATOS!$G11277=CONFIG_METADATA!$B$4),IF(DATOS!$G11277="EX",1,IF(DATOS!$G11277="OR",--(COUNTIFS(nNIA,DATOS!$A11277,nCURSO,DATOS!$D11277,nESPEC,DATOS!$E11277,nASIG,DATOS!$I11277,nEVAL,"EX")=0),0))))</f>
      </c>
      <c r="H11277">
        <f>IF(DATOS!$G11277&lt;&gt;"EX",0,--(COUNTIFS(nNIA,DATOS!$A11277,nCURSO,DATOS!$D11277,nESPEC,DATOS!$E11277,nASIG,DATOS!$I11277,nEVAL,"OR")=0))</f>
      </c>
      <c r="I11277">
        <f>IF(DATOS!$I11277="","",IFERROR(VLOOKUP(DATOS!$I11277,CONFIG_ASIGNATURAS!$B$2:$J$91,9,FALSE()),""))</f>
      </c>
    </row>
    <row r="11278">
      <c r="F11278">
        <f>IF(DATOS!$A11278="","",DATOS!$A11278&amp;"|"&amp;DATOS!$D11278&amp;"|"&amp;DATOS!$E11278&amp;"|"&amp;DATOS!$I11278)</f>
      </c>
      <c r="G11278">
        <f>IF(DATOS!$A11278="",0,IF(CONFIG_METADATA!$B$4&lt;&gt;"OR+EX",--(DATOS!$G11278=CONFIG_METADATA!$B$4),IF(DATOS!$G11278="EX",1,IF(DATOS!$G11278="OR",--(COUNTIFS(nNIA,DATOS!$A11278,nCURSO,DATOS!$D11278,nESPEC,DATOS!$E11278,nASIG,DATOS!$I11278,nEVAL,"EX")=0),0))))</f>
      </c>
      <c r="H11278">
        <f>IF(DATOS!$G11278&lt;&gt;"EX",0,--(COUNTIFS(nNIA,DATOS!$A11278,nCURSO,DATOS!$D11278,nESPEC,DATOS!$E11278,nASIG,DATOS!$I11278,nEVAL,"OR")=0))</f>
      </c>
      <c r="I11278">
        <f>IF(DATOS!$I11278="","",IFERROR(VLOOKUP(DATOS!$I11278,CONFIG_ASIGNATURAS!$B$2:$J$91,9,FALSE()),""))</f>
      </c>
    </row>
    <row r="11279">
      <c r="F11279">
        <f>IF(DATOS!$A11279="","",DATOS!$A11279&amp;"|"&amp;DATOS!$D11279&amp;"|"&amp;DATOS!$E11279&amp;"|"&amp;DATOS!$I11279)</f>
      </c>
      <c r="G11279">
        <f>IF(DATOS!$A11279="",0,IF(CONFIG_METADATA!$B$4&lt;&gt;"OR+EX",--(DATOS!$G11279=CONFIG_METADATA!$B$4),IF(DATOS!$G11279="EX",1,IF(DATOS!$G11279="OR",--(COUNTIFS(nNIA,DATOS!$A11279,nCURSO,DATOS!$D11279,nESPEC,DATOS!$E11279,nASIG,DATOS!$I11279,nEVAL,"EX")=0),0))))</f>
      </c>
      <c r="H11279">
        <f>IF(DATOS!$G11279&lt;&gt;"EX",0,--(COUNTIFS(nNIA,DATOS!$A11279,nCURSO,DATOS!$D11279,nESPEC,DATOS!$E11279,nASIG,DATOS!$I11279,nEVAL,"OR")=0))</f>
      </c>
      <c r="I11279">
        <f>IF(DATOS!$I11279="","",IFERROR(VLOOKUP(DATOS!$I11279,CONFIG_ASIGNATURAS!$B$2:$J$91,9,FALSE()),""))</f>
      </c>
    </row>
    <row r="11280">
      <c r="F11280">
        <f>IF(DATOS!$A11280="","",DATOS!$A11280&amp;"|"&amp;DATOS!$D11280&amp;"|"&amp;DATOS!$E11280&amp;"|"&amp;DATOS!$I11280)</f>
      </c>
      <c r="G11280">
        <f>IF(DATOS!$A11280="",0,IF(CONFIG_METADATA!$B$4&lt;&gt;"OR+EX",--(DATOS!$G11280=CONFIG_METADATA!$B$4),IF(DATOS!$G11280="EX",1,IF(DATOS!$G11280="OR",--(COUNTIFS(nNIA,DATOS!$A11280,nCURSO,DATOS!$D11280,nESPEC,DATOS!$E11280,nASIG,DATOS!$I11280,nEVAL,"EX")=0),0))))</f>
      </c>
      <c r="H11280">
        <f>IF(DATOS!$G11280&lt;&gt;"EX",0,--(COUNTIFS(nNIA,DATOS!$A11280,nCURSO,DATOS!$D11280,nESPEC,DATOS!$E11280,nASIG,DATOS!$I11280,nEVAL,"OR")=0))</f>
      </c>
      <c r="I11280">
        <f>IF(DATOS!$I11280="","",IFERROR(VLOOKUP(DATOS!$I11280,CONFIG_ASIGNATURAS!$B$2:$J$91,9,FALSE()),""))</f>
      </c>
    </row>
    <row r="11281">
      <c r="F11281">
        <f>IF(DATOS!$A11281="","",DATOS!$A11281&amp;"|"&amp;DATOS!$D11281&amp;"|"&amp;DATOS!$E11281&amp;"|"&amp;DATOS!$I11281)</f>
      </c>
      <c r="G11281">
        <f>IF(DATOS!$A11281="",0,IF(CONFIG_METADATA!$B$4&lt;&gt;"OR+EX",--(DATOS!$G11281=CONFIG_METADATA!$B$4),IF(DATOS!$G11281="EX",1,IF(DATOS!$G11281="OR",--(COUNTIFS(nNIA,DATOS!$A11281,nCURSO,DATOS!$D11281,nESPEC,DATOS!$E11281,nASIG,DATOS!$I11281,nEVAL,"EX")=0),0))))</f>
      </c>
      <c r="H11281">
        <f>IF(DATOS!$G11281&lt;&gt;"EX",0,--(COUNTIFS(nNIA,DATOS!$A11281,nCURSO,DATOS!$D11281,nESPEC,DATOS!$E11281,nASIG,DATOS!$I11281,nEVAL,"OR")=0))</f>
      </c>
      <c r="I11281">
        <f>IF(DATOS!$I11281="","",IFERROR(VLOOKUP(DATOS!$I11281,CONFIG_ASIGNATURAS!$B$2:$J$91,9,FALSE()),""))</f>
      </c>
    </row>
    <row r="11282">
      <c r="F11282">
        <f>IF(DATOS!$A11282="","",DATOS!$A11282&amp;"|"&amp;DATOS!$D11282&amp;"|"&amp;DATOS!$E11282&amp;"|"&amp;DATOS!$I11282)</f>
      </c>
      <c r="G11282">
        <f>IF(DATOS!$A11282="",0,IF(CONFIG_METADATA!$B$4&lt;&gt;"OR+EX",--(DATOS!$G11282=CONFIG_METADATA!$B$4),IF(DATOS!$G11282="EX",1,IF(DATOS!$G11282="OR",--(COUNTIFS(nNIA,DATOS!$A11282,nCURSO,DATOS!$D11282,nESPEC,DATOS!$E11282,nASIG,DATOS!$I11282,nEVAL,"EX")=0),0))))</f>
      </c>
      <c r="H11282">
        <f>IF(DATOS!$G11282&lt;&gt;"EX",0,--(COUNTIFS(nNIA,DATOS!$A11282,nCURSO,DATOS!$D11282,nESPEC,DATOS!$E11282,nASIG,DATOS!$I11282,nEVAL,"OR")=0))</f>
      </c>
      <c r="I11282">
        <f>IF(DATOS!$I11282="","",IFERROR(VLOOKUP(DATOS!$I11282,CONFIG_ASIGNATURAS!$B$2:$J$91,9,FALSE()),""))</f>
      </c>
    </row>
    <row r="11283">
      <c r="F11283">
        <f>IF(DATOS!$A11283="","",DATOS!$A11283&amp;"|"&amp;DATOS!$D11283&amp;"|"&amp;DATOS!$E11283&amp;"|"&amp;DATOS!$I11283)</f>
      </c>
      <c r="G11283">
        <f>IF(DATOS!$A11283="",0,IF(CONFIG_METADATA!$B$4&lt;&gt;"OR+EX",--(DATOS!$G11283=CONFIG_METADATA!$B$4),IF(DATOS!$G11283="EX",1,IF(DATOS!$G11283="OR",--(COUNTIFS(nNIA,DATOS!$A11283,nCURSO,DATOS!$D11283,nESPEC,DATOS!$E11283,nASIG,DATOS!$I11283,nEVAL,"EX")=0),0))))</f>
      </c>
      <c r="H11283">
        <f>IF(DATOS!$G11283&lt;&gt;"EX",0,--(COUNTIFS(nNIA,DATOS!$A11283,nCURSO,DATOS!$D11283,nESPEC,DATOS!$E11283,nASIG,DATOS!$I11283,nEVAL,"OR")=0))</f>
      </c>
      <c r="I11283">
        <f>IF(DATOS!$I11283="","",IFERROR(VLOOKUP(DATOS!$I11283,CONFIG_ASIGNATURAS!$B$2:$J$91,9,FALSE()),""))</f>
      </c>
    </row>
    <row r="11284">
      <c r="F11284">
        <f>IF(DATOS!$A11284="","",DATOS!$A11284&amp;"|"&amp;DATOS!$D11284&amp;"|"&amp;DATOS!$E11284&amp;"|"&amp;DATOS!$I11284)</f>
      </c>
      <c r="G11284">
        <f>IF(DATOS!$A11284="",0,IF(CONFIG_METADATA!$B$4&lt;&gt;"OR+EX",--(DATOS!$G11284=CONFIG_METADATA!$B$4),IF(DATOS!$G11284="EX",1,IF(DATOS!$G11284="OR",--(COUNTIFS(nNIA,DATOS!$A11284,nCURSO,DATOS!$D11284,nESPEC,DATOS!$E11284,nASIG,DATOS!$I11284,nEVAL,"EX")=0),0))))</f>
      </c>
      <c r="H11284">
        <f>IF(DATOS!$G11284&lt;&gt;"EX",0,--(COUNTIFS(nNIA,DATOS!$A11284,nCURSO,DATOS!$D11284,nESPEC,DATOS!$E11284,nASIG,DATOS!$I11284,nEVAL,"OR")=0))</f>
      </c>
      <c r="I11284">
        <f>IF(DATOS!$I11284="","",IFERROR(VLOOKUP(DATOS!$I11284,CONFIG_ASIGNATURAS!$B$2:$J$91,9,FALSE()),""))</f>
      </c>
    </row>
    <row r="11285">
      <c r="F11285">
        <f>IF(DATOS!$A11285="","",DATOS!$A11285&amp;"|"&amp;DATOS!$D11285&amp;"|"&amp;DATOS!$E11285&amp;"|"&amp;DATOS!$I11285)</f>
      </c>
      <c r="G11285">
        <f>IF(DATOS!$A11285="",0,IF(CONFIG_METADATA!$B$4&lt;&gt;"OR+EX",--(DATOS!$G11285=CONFIG_METADATA!$B$4),IF(DATOS!$G11285="EX",1,IF(DATOS!$G11285="OR",--(COUNTIFS(nNIA,DATOS!$A11285,nCURSO,DATOS!$D11285,nESPEC,DATOS!$E11285,nASIG,DATOS!$I11285,nEVAL,"EX")=0),0))))</f>
      </c>
      <c r="H11285">
        <f>IF(DATOS!$G11285&lt;&gt;"EX",0,--(COUNTIFS(nNIA,DATOS!$A11285,nCURSO,DATOS!$D11285,nESPEC,DATOS!$E11285,nASIG,DATOS!$I11285,nEVAL,"OR")=0))</f>
      </c>
      <c r="I11285">
        <f>IF(DATOS!$I11285="","",IFERROR(VLOOKUP(DATOS!$I11285,CONFIG_ASIGNATURAS!$B$2:$J$91,9,FALSE()),""))</f>
      </c>
    </row>
    <row r="11286">
      <c r="F11286">
        <f>IF(DATOS!$A11286="","",DATOS!$A11286&amp;"|"&amp;DATOS!$D11286&amp;"|"&amp;DATOS!$E11286&amp;"|"&amp;DATOS!$I11286)</f>
      </c>
      <c r="G11286">
        <f>IF(DATOS!$A11286="",0,IF(CONFIG_METADATA!$B$4&lt;&gt;"OR+EX",--(DATOS!$G11286=CONFIG_METADATA!$B$4),IF(DATOS!$G11286="EX",1,IF(DATOS!$G11286="OR",--(COUNTIFS(nNIA,DATOS!$A11286,nCURSO,DATOS!$D11286,nESPEC,DATOS!$E11286,nASIG,DATOS!$I11286,nEVAL,"EX")=0),0))))</f>
      </c>
      <c r="H11286">
        <f>IF(DATOS!$G11286&lt;&gt;"EX",0,--(COUNTIFS(nNIA,DATOS!$A11286,nCURSO,DATOS!$D11286,nESPEC,DATOS!$E11286,nASIG,DATOS!$I11286,nEVAL,"OR")=0))</f>
      </c>
      <c r="I11286">
        <f>IF(DATOS!$I11286="","",IFERROR(VLOOKUP(DATOS!$I11286,CONFIG_ASIGNATURAS!$B$2:$J$91,9,FALSE()),""))</f>
      </c>
    </row>
    <row r="11287">
      <c r="F11287">
        <f>IF(DATOS!$A11287="","",DATOS!$A11287&amp;"|"&amp;DATOS!$D11287&amp;"|"&amp;DATOS!$E11287&amp;"|"&amp;DATOS!$I11287)</f>
      </c>
      <c r="G11287">
        <f>IF(DATOS!$A11287="",0,IF(CONFIG_METADATA!$B$4&lt;&gt;"OR+EX",--(DATOS!$G11287=CONFIG_METADATA!$B$4),IF(DATOS!$G11287="EX",1,IF(DATOS!$G11287="OR",--(COUNTIFS(nNIA,DATOS!$A11287,nCURSO,DATOS!$D11287,nESPEC,DATOS!$E11287,nASIG,DATOS!$I11287,nEVAL,"EX")=0),0))))</f>
      </c>
      <c r="H11287">
        <f>IF(DATOS!$G11287&lt;&gt;"EX",0,--(COUNTIFS(nNIA,DATOS!$A11287,nCURSO,DATOS!$D11287,nESPEC,DATOS!$E11287,nASIG,DATOS!$I11287,nEVAL,"OR")=0))</f>
      </c>
      <c r="I11287">
        <f>IF(DATOS!$I11287="","",IFERROR(VLOOKUP(DATOS!$I11287,CONFIG_ASIGNATURAS!$B$2:$J$91,9,FALSE()),""))</f>
      </c>
    </row>
    <row r="11288">
      <c r="F11288">
        <f>IF(DATOS!$A11288="","",DATOS!$A11288&amp;"|"&amp;DATOS!$D11288&amp;"|"&amp;DATOS!$E11288&amp;"|"&amp;DATOS!$I11288)</f>
      </c>
      <c r="G11288">
        <f>IF(DATOS!$A11288="",0,IF(CONFIG_METADATA!$B$4&lt;&gt;"OR+EX",--(DATOS!$G11288=CONFIG_METADATA!$B$4),IF(DATOS!$G11288="EX",1,IF(DATOS!$G11288="OR",--(COUNTIFS(nNIA,DATOS!$A11288,nCURSO,DATOS!$D11288,nESPEC,DATOS!$E11288,nASIG,DATOS!$I11288,nEVAL,"EX")=0),0))))</f>
      </c>
      <c r="H11288">
        <f>IF(DATOS!$G11288&lt;&gt;"EX",0,--(COUNTIFS(nNIA,DATOS!$A11288,nCURSO,DATOS!$D11288,nESPEC,DATOS!$E11288,nASIG,DATOS!$I11288,nEVAL,"OR")=0))</f>
      </c>
      <c r="I11288">
        <f>IF(DATOS!$I11288="","",IFERROR(VLOOKUP(DATOS!$I11288,CONFIG_ASIGNATURAS!$B$2:$J$91,9,FALSE()),""))</f>
      </c>
    </row>
    <row r="11289">
      <c r="F11289">
        <f>IF(DATOS!$A11289="","",DATOS!$A11289&amp;"|"&amp;DATOS!$D11289&amp;"|"&amp;DATOS!$E11289&amp;"|"&amp;DATOS!$I11289)</f>
      </c>
      <c r="G11289">
        <f>IF(DATOS!$A11289="",0,IF(CONFIG_METADATA!$B$4&lt;&gt;"OR+EX",--(DATOS!$G11289=CONFIG_METADATA!$B$4),IF(DATOS!$G11289="EX",1,IF(DATOS!$G11289="OR",--(COUNTIFS(nNIA,DATOS!$A11289,nCURSO,DATOS!$D11289,nESPEC,DATOS!$E11289,nASIG,DATOS!$I11289,nEVAL,"EX")=0),0))))</f>
      </c>
      <c r="H11289">
        <f>IF(DATOS!$G11289&lt;&gt;"EX",0,--(COUNTIFS(nNIA,DATOS!$A11289,nCURSO,DATOS!$D11289,nESPEC,DATOS!$E11289,nASIG,DATOS!$I11289,nEVAL,"OR")=0))</f>
      </c>
      <c r="I11289">
        <f>IF(DATOS!$I11289="","",IFERROR(VLOOKUP(DATOS!$I11289,CONFIG_ASIGNATURAS!$B$2:$J$91,9,FALSE()),""))</f>
      </c>
    </row>
    <row r="11290">
      <c r="F11290">
        <f>IF(DATOS!$A11290="","",DATOS!$A11290&amp;"|"&amp;DATOS!$D11290&amp;"|"&amp;DATOS!$E11290&amp;"|"&amp;DATOS!$I11290)</f>
      </c>
      <c r="G11290">
        <f>IF(DATOS!$A11290="",0,IF(CONFIG_METADATA!$B$4&lt;&gt;"OR+EX",--(DATOS!$G11290=CONFIG_METADATA!$B$4),IF(DATOS!$G11290="EX",1,IF(DATOS!$G11290="OR",--(COUNTIFS(nNIA,DATOS!$A11290,nCURSO,DATOS!$D11290,nESPEC,DATOS!$E11290,nASIG,DATOS!$I11290,nEVAL,"EX")=0),0))))</f>
      </c>
      <c r="H11290">
        <f>IF(DATOS!$G11290&lt;&gt;"EX",0,--(COUNTIFS(nNIA,DATOS!$A11290,nCURSO,DATOS!$D11290,nESPEC,DATOS!$E11290,nASIG,DATOS!$I11290,nEVAL,"OR")=0))</f>
      </c>
      <c r="I11290">
        <f>IF(DATOS!$I11290="","",IFERROR(VLOOKUP(DATOS!$I11290,CONFIG_ASIGNATURAS!$B$2:$J$91,9,FALSE()),""))</f>
      </c>
    </row>
    <row r="11291">
      <c r="F11291">
        <f>IF(DATOS!$A11291="","",DATOS!$A11291&amp;"|"&amp;DATOS!$D11291&amp;"|"&amp;DATOS!$E11291&amp;"|"&amp;DATOS!$I11291)</f>
      </c>
      <c r="G11291">
        <f>IF(DATOS!$A11291="",0,IF(CONFIG_METADATA!$B$4&lt;&gt;"OR+EX",--(DATOS!$G11291=CONFIG_METADATA!$B$4),IF(DATOS!$G11291="EX",1,IF(DATOS!$G11291="OR",--(COUNTIFS(nNIA,DATOS!$A11291,nCURSO,DATOS!$D11291,nESPEC,DATOS!$E11291,nASIG,DATOS!$I11291,nEVAL,"EX")=0),0))))</f>
      </c>
      <c r="H11291">
        <f>IF(DATOS!$G11291&lt;&gt;"EX",0,--(COUNTIFS(nNIA,DATOS!$A11291,nCURSO,DATOS!$D11291,nESPEC,DATOS!$E11291,nASIG,DATOS!$I11291,nEVAL,"OR")=0))</f>
      </c>
      <c r="I11291">
        <f>IF(DATOS!$I11291="","",IFERROR(VLOOKUP(DATOS!$I11291,CONFIG_ASIGNATURAS!$B$2:$J$91,9,FALSE()),""))</f>
      </c>
    </row>
    <row r="11292">
      <c r="F11292">
        <f>IF(DATOS!$A11292="","",DATOS!$A11292&amp;"|"&amp;DATOS!$D11292&amp;"|"&amp;DATOS!$E11292&amp;"|"&amp;DATOS!$I11292)</f>
      </c>
      <c r="G11292">
        <f>IF(DATOS!$A11292="",0,IF(CONFIG_METADATA!$B$4&lt;&gt;"OR+EX",--(DATOS!$G11292=CONFIG_METADATA!$B$4),IF(DATOS!$G11292="EX",1,IF(DATOS!$G11292="OR",--(COUNTIFS(nNIA,DATOS!$A11292,nCURSO,DATOS!$D11292,nESPEC,DATOS!$E11292,nASIG,DATOS!$I11292,nEVAL,"EX")=0),0))))</f>
      </c>
      <c r="H11292">
        <f>IF(DATOS!$G11292&lt;&gt;"EX",0,--(COUNTIFS(nNIA,DATOS!$A11292,nCURSO,DATOS!$D11292,nESPEC,DATOS!$E11292,nASIG,DATOS!$I11292,nEVAL,"OR")=0))</f>
      </c>
      <c r="I11292">
        <f>IF(DATOS!$I11292="","",IFERROR(VLOOKUP(DATOS!$I11292,CONFIG_ASIGNATURAS!$B$2:$J$91,9,FALSE()),""))</f>
      </c>
    </row>
    <row r="11293">
      <c r="F11293">
        <f>IF(DATOS!$A11293="","",DATOS!$A11293&amp;"|"&amp;DATOS!$D11293&amp;"|"&amp;DATOS!$E11293&amp;"|"&amp;DATOS!$I11293)</f>
      </c>
      <c r="G11293">
        <f>IF(DATOS!$A11293="",0,IF(CONFIG_METADATA!$B$4&lt;&gt;"OR+EX",--(DATOS!$G11293=CONFIG_METADATA!$B$4),IF(DATOS!$G11293="EX",1,IF(DATOS!$G11293="OR",--(COUNTIFS(nNIA,DATOS!$A11293,nCURSO,DATOS!$D11293,nESPEC,DATOS!$E11293,nASIG,DATOS!$I11293,nEVAL,"EX")=0),0))))</f>
      </c>
      <c r="H11293">
        <f>IF(DATOS!$G11293&lt;&gt;"EX",0,--(COUNTIFS(nNIA,DATOS!$A11293,nCURSO,DATOS!$D11293,nESPEC,DATOS!$E11293,nASIG,DATOS!$I11293,nEVAL,"OR")=0))</f>
      </c>
      <c r="I11293">
        <f>IF(DATOS!$I11293="","",IFERROR(VLOOKUP(DATOS!$I11293,CONFIG_ASIGNATURAS!$B$2:$J$91,9,FALSE()),""))</f>
      </c>
    </row>
    <row r="11294">
      <c r="F11294">
        <f>IF(DATOS!$A11294="","",DATOS!$A11294&amp;"|"&amp;DATOS!$D11294&amp;"|"&amp;DATOS!$E11294&amp;"|"&amp;DATOS!$I11294)</f>
      </c>
      <c r="G11294">
        <f>IF(DATOS!$A11294="",0,IF(CONFIG_METADATA!$B$4&lt;&gt;"OR+EX",--(DATOS!$G11294=CONFIG_METADATA!$B$4),IF(DATOS!$G11294="EX",1,IF(DATOS!$G11294="OR",--(COUNTIFS(nNIA,DATOS!$A11294,nCURSO,DATOS!$D11294,nESPEC,DATOS!$E11294,nASIG,DATOS!$I11294,nEVAL,"EX")=0),0))))</f>
      </c>
      <c r="H11294">
        <f>IF(DATOS!$G11294&lt;&gt;"EX",0,--(COUNTIFS(nNIA,DATOS!$A11294,nCURSO,DATOS!$D11294,nESPEC,DATOS!$E11294,nASIG,DATOS!$I11294,nEVAL,"OR")=0))</f>
      </c>
      <c r="I11294">
        <f>IF(DATOS!$I11294="","",IFERROR(VLOOKUP(DATOS!$I11294,CONFIG_ASIGNATURAS!$B$2:$J$91,9,FALSE()),""))</f>
      </c>
    </row>
    <row r="11295">
      <c r="F11295">
        <f>IF(DATOS!$A11295="","",DATOS!$A11295&amp;"|"&amp;DATOS!$D11295&amp;"|"&amp;DATOS!$E11295&amp;"|"&amp;DATOS!$I11295)</f>
      </c>
      <c r="G11295">
        <f>IF(DATOS!$A11295="",0,IF(CONFIG_METADATA!$B$4&lt;&gt;"OR+EX",--(DATOS!$G11295=CONFIG_METADATA!$B$4),IF(DATOS!$G11295="EX",1,IF(DATOS!$G11295="OR",--(COUNTIFS(nNIA,DATOS!$A11295,nCURSO,DATOS!$D11295,nESPEC,DATOS!$E11295,nASIG,DATOS!$I11295,nEVAL,"EX")=0),0))))</f>
      </c>
      <c r="H11295">
        <f>IF(DATOS!$G11295&lt;&gt;"EX",0,--(COUNTIFS(nNIA,DATOS!$A11295,nCURSO,DATOS!$D11295,nESPEC,DATOS!$E11295,nASIG,DATOS!$I11295,nEVAL,"OR")=0))</f>
      </c>
      <c r="I11295">
        <f>IF(DATOS!$I11295="","",IFERROR(VLOOKUP(DATOS!$I11295,CONFIG_ASIGNATURAS!$B$2:$J$91,9,FALSE()),""))</f>
      </c>
    </row>
    <row r="11296">
      <c r="F11296">
        <f>IF(DATOS!$A11296="","",DATOS!$A11296&amp;"|"&amp;DATOS!$D11296&amp;"|"&amp;DATOS!$E11296&amp;"|"&amp;DATOS!$I11296)</f>
      </c>
      <c r="G11296">
        <f>IF(DATOS!$A11296="",0,IF(CONFIG_METADATA!$B$4&lt;&gt;"OR+EX",--(DATOS!$G11296=CONFIG_METADATA!$B$4),IF(DATOS!$G11296="EX",1,IF(DATOS!$G11296="OR",--(COUNTIFS(nNIA,DATOS!$A11296,nCURSO,DATOS!$D11296,nESPEC,DATOS!$E11296,nASIG,DATOS!$I11296,nEVAL,"EX")=0),0))))</f>
      </c>
      <c r="H11296">
        <f>IF(DATOS!$G11296&lt;&gt;"EX",0,--(COUNTIFS(nNIA,DATOS!$A11296,nCURSO,DATOS!$D11296,nESPEC,DATOS!$E11296,nASIG,DATOS!$I11296,nEVAL,"OR")=0))</f>
      </c>
      <c r="I11296">
        <f>IF(DATOS!$I11296="","",IFERROR(VLOOKUP(DATOS!$I11296,CONFIG_ASIGNATURAS!$B$2:$J$91,9,FALSE()),""))</f>
      </c>
    </row>
    <row r="11297">
      <c r="F11297">
        <f>IF(DATOS!$A11297="","",DATOS!$A11297&amp;"|"&amp;DATOS!$D11297&amp;"|"&amp;DATOS!$E11297&amp;"|"&amp;DATOS!$I11297)</f>
      </c>
      <c r="G11297">
        <f>IF(DATOS!$A11297="",0,IF(CONFIG_METADATA!$B$4&lt;&gt;"OR+EX",--(DATOS!$G11297=CONFIG_METADATA!$B$4),IF(DATOS!$G11297="EX",1,IF(DATOS!$G11297="OR",--(COUNTIFS(nNIA,DATOS!$A11297,nCURSO,DATOS!$D11297,nESPEC,DATOS!$E11297,nASIG,DATOS!$I11297,nEVAL,"EX")=0),0))))</f>
      </c>
      <c r="H11297">
        <f>IF(DATOS!$G11297&lt;&gt;"EX",0,--(COUNTIFS(nNIA,DATOS!$A11297,nCURSO,DATOS!$D11297,nESPEC,DATOS!$E11297,nASIG,DATOS!$I11297,nEVAL,"OR")=0))</f>
      </c>
      <c r="I11297">
        <f>IF(DATOS!$I11297="","",IFERROR(VLOOKUP(DATOS!$I11297,CONFIG_ASIGNATURAS!$B$2:$J$91,9,FALSE()),""))</f>
      </c>
    </row>
    <row r="11298">
      <c r="F11298">
        <f>IF(DATOS!$A11298="","",DATOS!$A11298&amp;"|"&amp;DATOS!$D11298&amp;"|"&amp;DATOS!$E11298&amp;"|"&amp;DATOS!$I11298)</f>
      </c>
      <c r="G11298">
        <f>IF(DATOS!$A11298="",0,IF(CONFIG_METADATA!$B$4&lt;&gt;"OR+EX",--(DATOS!$G11298=CONFIG_METADATA!$B$4),IF(DATOS!$G11298="EX",1,IF(DATOS!$G11298="OR",--(COUNTIFS(nNIA,DATOS!$A11298,nCURSO,DATOS!$D11298,nESPEC,DATOS!$E11298,nASIG,DATOS!$I11298,nEVAL,"EX")=0),0))))</f>
      </c>
      <c r="H11298">
        <f>IF(DATOS!$G11298&lt;&gt;"EX",0,--(COUNTIFS(nNIA,DATOS!$A11298,nCURSO,DATOS!$D11298,nESPEC,DATOS!$E11298,nASIG,DATOS!$I11298,nEVAL,"OR")=0))</f>
      </c>
      <c r="I11298">
        <f>IF(DATOS!$I11298="","",IFERROR(VLOOKUP(DATOS!$I11298,CONFIG_ASIGNATURAS!$B$2:$J$91,9,FALSE()),""))</f>
      </c>
    </row>
    <row r="11299">
      <c r="F11299">
        <f>IF(DATOS!$A11299="","",DATOS!$A11299&amp;"|"&amp;DATOS!$D11299&amp;"|"&amp;DATOS!$E11299&amp;"|"&amp;DATOS!$I11299)</f>
      </c>
      <c r="G11299">
        <f>IF(DATOS!$A11299="",0,IF(CONFIG_METADATA!$B$4&lt;&gt;"OR+EX",--(DATOS!$G11299=CONFIG_METADATA!$B$4),IF(DATOS!$G11299="EX",1,IF(DATOS!$G11299="OR",--(COUNTIFS(nNIA,DATOS!$A11299,nCURSO,DATOS!$D11299,nESPEC,DATOS!$E11299,nASIG,DATOS!$I11299,nEVAL,"EX")=0),0))))</f>
      </c>
      <c r="H11299">
        <f>IF(DATOS!$G11299&lt;&gt;"EX",0,--(COUNTIFS(nNIA,DATOS!$A11299,nCURSO,DATOS!$D11299,nESPEC,DATOS!$E11299,nASIG,DATOS!$I11299,nEVAL,"OR")=0))</f>
      </c>
      <c r="I11299">
        <f>IF(DATOS!$I11299="","",IFERROR(VLOOKUP(DATOS!$I11299,CONFIG_ASIGNATURAS!$B$2:$J$91,9,FALSE()),""))</f>
      </c>
    </row>
    <row r="11300">
      <c r="F11300">
        <f>IF(DATOS!$A11300="","",DATOS!$A11300&amp;"|"&amp;DATOS!$D11300&amp;"|"&amp;DATOS!$E11300&amp;"|"&amp;DATOS!$I11300)</f>
      </c>
      <c r="G11300">
        <f>IF(DATOS!$A11300="",0,IF(CONFIG_METADATA!$B$4&lt;&gt;"OR+EX",--(DATOS!$G11300=CONFIG_METADATA!$B$4),IF(DATOS!$G11300="EX",1,IF(DATOS!$G11300="OR",--(COUNTIFS(nNIA,DATOS!$A11300,nCURSO,DATOS!$D11300,nESPEC,DATOS!$E11300,nASIG,DATOS!$I11300,nEVAL,"EX")=0),0))))</f>
      </c>
      <c r="H11300">
        <f>IF(DATOS!$G11300&lt;&gt;"EX",0,--(COUNTIFS(nNIA,DATOS!$A11300,nCURSO,DATOS!$D11300,nESPEC,DATOS!$E11300,nASIG,DATOS!$I11300,nEVAL,"OR")=0))</f>
      </c>
      <c r="I11300">
        <f>IF(DATOS!$I11300="","",IFERROR(VLOOKUP(DATOS!$I11300,CONFIG_ASIGNATURAS!$B$2:$J$91,9,FALSE()),""))</f>
      </c>
    </row>
    <row r="11301">
      <c r="F11301">
        <f>IF(DATOS!$A11301="","",DATOS!$A11301&amp;"|"&amp;DATOS!$D11301&amp;"|"&amp;DATOS!$E11301&amp;"|"&amp;DATOS!$I11301)</f>
      </c>
      <c r="G11301">
        <f>IF(DATOS!$A11301="",0,IF(CONFIG_METADATA!$B$4&lt;&gt;"OR+EX",--(DATOS!$G11301=CONFIG_METADATA!$B$4),IF(DATOS!$G11301="EX",1,IF(DATOS!$G11301="OR",--(COUNTIFS(nNIA,DATOS!$A11301,nCURSO,DATOS!$D11301,nESPEC,DATOS!$E11301,nASIG,DATOS!$I11301,nEVAL,"EX")=0),0))))</f>
      </c>
      <c r="H11301">
        <f>IF(DATOS!$G11301&lt;&gt;"EX",0,--(COUNTIFS(nNIA,DATOS!$A11301,nCURSO,DATOS!$D11301,nESPEC,DATOS!$E11301,nASIG,DATOS!$I11301,nEVAL,"OR")=0))</f>
      </c>
      <c r="I11301">
        <f>IF(DATOS!$I11301="","",IFERROR(VLOOKUP(DATOS!$I11301,CONFIG_ASIGNATURAS!$B$2:$J$91,9,FALSE()),""))</f>
      </c>
    </row>
    <row r="11302">
      <c r="F11302">
        <f>IF(DATOS!$A11302="","",DATOS!$A11302&amp;"|"&amp;DATOS!$D11302&amp;"|"&amp;DATOS!$E11302&amp;"|"&amp;DATOS!$I11302)</f>
      </c>
      <c r="G11302">
        <f>IF(DATOS!$A11302="",0,IF(CONFIG_METADATA!$B$4&lt;&gt;"OR+EX",--(DATOS!$G11302=CONFIG_METADATA!$B$4),IF(DATOS!$G11302="EX",1,IF(DATOS!$G11302="OR",--(COUNTIFS(nNIA,DATOS!$A11302,nCURSO,DATOS!$D11302,nESPEC,DATOS!$E11302,nASIG,DATOS!$I11302,nEVAL,"EX")=0),0))))</f>
      </c>
      <c r="H11302">
        <f>IF(DATOS!$G11302&lt;&gt;"EX",0,--(COUNTIFS(nNIA,DATOS!$A11302,nCURSO,DATOS!$D11302,nESPEC,DATOS!$E11302,nASIG,DATOS!$I11302,nEVAL,"OR")=0))</f>
      </c>
      <c r="I11302">
        <f>IF(DATOS!$I11302="","",IFERROR(VLOOKUP(DATOS!$I11302,CONFIG_ASIGNATURAS!$B$2:$J$91,9,FALSE()),""))</f>
      </c>
    </row>
    <row r="11303">
      <c r="F11303">
        <f>IF(DATOS!$A11303="","",DATOS!$A11303&amp;"|"&amp;DATOS!$D11303&amp;"|"&amp;DATOS!$E11303&amp;"|"&amp;DATOS!$I11303)</f>
      </c>
      <c r="G11303">
        <f>IF(DATOS!$A11303="",0,IF(CONFIG_METADATA!$B$4&lt;&gt;"OR+EX",--(DATOS!$G11303=CONFIG_METADATA!$B$4),IF(DATOS!$G11303="EX",1,IF(DATOS!$G11303="OR",--(COUNTIFS(nNIA,DATOS!$A11303,nCURSO,DATOS!$D11303,nESPEC,DATOS!$E11303,nASIG,DATOS!$I11303,nEVAL,"EX")=0),0))))</f>
      </c>
      <c r="H11303">
        <f>IF(DATOS!$G11303&lt;&gt;"EX",0,--(COUNTIFS(nNIA,DATOS!$A11303,nCURSO,DATOS!$D11303,nESPEC,DATOS!$E11303,nASIG,DATOS!$I11303,nEVAL,"OR")=0))</f>
      </c>
      <c r="I11303">
        <f>IF(DATOS!$I11303="","",IFERROR(VLOOKUP(DATOS!$I11303,CONFIG_ASIGNATURAS!$B$2:$J$91,9,FALSE()),""))</f>
      </c>
    </row>
    <row r="11304">
      <c r="F11304">
        <f>IF(DATOS!$A11304="","",DATOS!$A11304&amp;"|"&amp;DATOS!$D11304&amp;"|"&amp;DATOS!$E11304&amp;"|"&amp;DATOS!$I11304)</f>
      </c>
      <c r="G11304">
        <f>IF(DATOS!$A11304="",0,IF(CONFIG_METADATA!$B$4&lt;&gt;"OR+EX",--(DATOS!$G11304=CONFIG_METADATA!$B$4),IF(DATOS!$G11304="EX",1,IF(DATOS!$G11304="OR",--(COUNTIFS(nNIA,DATOS!$A11304,nCURSO,DATOS!$D11304,nESPEC,DATOS!$E11304,nASIG,DATOS!$I11304,nEVAL,"EX")=0),0))))</f>
      </c>
      <c r="H11304">
        <f>IF(DATOS!$G11304&lt;&gt;"EX",0,--(COUNTIFS(nNIA,DATOS!$A11304,nCURSO,DATOS!$D11304,nESPEC,DATOS!$E11304,nASIG,DATOS!$I11304,nEVAL,"OR")=0))</f>
      </c>
      <c r="I11304">
        <f>IF(DATOS!$I11304="","",IFERROR(VLOOKUP(DATOS!$I11304,CONFIG_ASIGNATURAS!$B$2:$J$91,9,FALSE()),""))</f>
      </c>
    </row>
    <row r="11305">
      <c r="F11305">
        <f>IF(DATOS!$A11305="","",DATOS!$A11305&amp;"|"&amp;DATOS!$D11305&amp;"|"&amp;DATOS!$E11305&amp;"|"&amp;DATOS!$I11305)</f>
      </c>
      <c r="G11305">
        <f>IF(DATOS!$A11305="",0,IF(CONFIG_METADATA!$B$4&lt;&gt;"OR+EX",--(DATOS!$G11305=CONFIG_METADATA!$B$4),IF(DATOS!$G11305="EX",1,IF(DATOS!$G11305="OR",--(COUNTIFS(nNIA,DATOS!$A11305,nCURSO,DATOS!$D11305,nESPEC,DATOS!$E11305,nASIG,DATOS!$I11305,nEVAL,"EX")=0),0))))</f>
      </c>
      <c r="H11305">
        <f>IF(DATOS!$G11305&lt;&gt;"EX",0,--(COUNTIFS(nNIA,DATOS!$A11305,nCURSO,DATOS!$D11305,nESPEC,DATOS!$E11305,nASIG,DATOS!$I11305,nEVAL,"OR")=0))</f>
      </c>
      <c r="I11305">
        <f>IF(DATOS!$I11305="","",IFERROR(VLOOKUP(DATOS!$I11305,CONFIG_ASIGNATURAS!$B$2:$J$91,9,FALSE()),""))</f>
      </c>
    </row>
    <row r="11306">
      <c r="F11306">
        <f>IF(DATOS!$A11306="","",DATOS!$A11306&amp;"|"&amp;DATOS!$D11306&amp;"|"&amp;DATOS!$E11306&amp;"|"&amp;DATOS!$I11306)</f>
      </c>
      <c r="G11306">
        <f>IF(DATOS!$A11306="",0,IF(CONFIG_METADATA!$B$4&lt;&gt;"OR+EX",--(DATOS!$G11306=CONFIG_METADATA!$B$4),IF(DATOS!$G11306="EX",1,IF(DATOS!$G11306="OR",--(COUNTIFS(nNIA,DATOS!$A11306,nCURSO,DATOS!$D11306,nESPEC,DATOS!$E11306,nASIG,DATOS!$I11306,nEVAL,"EX")=0),0))))</f>
      </c>
      <c r="H11306">
        <f>IF(DATOS!$G11306&lt;&gt;"EX",0,--(COUNTIFS(nNIA,DATOS!$A11306,nCURSO,DATOS!$D11306,nESPEC,DATOS!$E11306,nASIG,DATOS!$I11306,nEVAL,"OR")=0))</f>
      </c>
      <c r="I11306">
        <f>IF(DATOS!$I11306="","",IFERROR(VLOOKUP(DATOS!$I11306,CONFIG_ASIGNATURAS!$B$2:$J$91,9,FALSE()),""))</f>
      </c>
    </row>
    <row r="11307">
      <c r="F11307">
        <f>IF(DATOS!$A11307="","",DATOS!$A11307&amp;"|"&amp;DATOS!$D11307&amp;"|"&amp;DATOS!$E11307&amp;"|"&amp;DATOS!$I11307)</f>
      </c>
      <c r="G11307">
        <f>IF(DATOS!$A11307="",0,IF(CONFIG_METADATA!$B$4&lt;&gt;"OR+EX",--(DATOS!$G11307=CONFIG_METADATA!$B$4),IF(DATOS!$G11307="EX",1,IF(DATOS!$G11307="OR",--(COUNTIFS(nNIA,DATOS!$A11307,nCURSO,DATOS!$D11307,nESPEC,DATOS!$E11307,nASIG,DATOS!$I11307,nEVAL,"EX")=0),0))))</f>
      </c>
      <c r="H11307">
        <f>IF(DATOS!$G11307&lt;&gt;"EX",0,--(COUNTIFS(nNIA,DATOS!$A11307,nCURSO,DATOS!$D11307,nESPEC,DATOS!$E11307,nASIG,DATOS!$I11307,nEVAL,"OR")=0))</f>
      </c>
      <c r="I11307">
        <f>IF(DATOS!$I11307="","",IFERROR(VLOOKUP(DATOS!$I11307,CONFIG_ASIGNATURAS!$B$2:$J$91,9,FALSE()),""))</f>
      </c>
    </row>
    <row r="11308">
      <c r="F11308">
        <f>IF(DATOS!$A11308="","",DATOS!$A11308&amp;"|"&amp;DATOS!$D11308&amp;"|"&amp;DATOS!$E11308&amp;"|"&amp;DATOS!$I11308)</f>
      </c>
      <c r="G11308">
        <f>IF(DATOS!$A11308="",0,IF(CONFIG_METADATA!$B$4&lt;&gt;"OR+EX",--(DATOS!$G11308=CONFIG_METADATA!$B$4),IF(DATOS!$G11308="EX",1,IF(DATOS!$G11308="OR",--(COUNTIFS(nNIA,DATOS!$A11308,nCURSO,DATOS!$D11308,nESPEC,DATOS!$E11308,nASIG,DATOS!$I11308,nEVAL,"EX")=0),0))))</f>
      </c>
      <c r="H11308">
        <f>IF(DATOS!$G11308&lt;&gt;"EX",0,--(COUNTIFS(nNIA,DATOS!$A11308,nCURSO,DATOS!$D11308,nESPEC,DATOS!$E11308,nASIG,DATOS!$I11308,nEVAL,"OR")=0))</f>
      </c>
      <c r="I11308">
        <f>IF(DATOS!$I11308="","",IFERROR(VLOOKUP(DATOS!$I11308,CONFIG_ASIGNATURAS!$B$2:$J$91,9,FALSE()),""))</f>
      </c>
    </row>
    <row r="11309">
      <c r="F11309">
        <f>IF(DATOS!$A11309="","",DATOS!$A11309&amp;"|"&amp;DATOS!$D11309&amp;"|"&amp;DATOS!$E11309&amp;"|"&amp;DATOS!$I11309)</f>
      </c>
      <c r="G11309">
        <f>IF(DATOS!$A11309="",0,IF(CONFIG_METADATA!$B$4&lt;&gt;"OR+EX",--(DATOS!$G11309=CONFIG_METADATA!$B$4),IF(DATOS!$G11309="EX",1,IF(DATOS!$G11309="OR",--(COUNTIFS(nNIA,DATOS!$A11309,nCURSO,DATOS!$D11309,nESPEC,DATOS!$E11309,nASIG,DATOS!$I11309,nEVAL,"EX")=0),0))))</f>
      </c>
      <c r="H11309">
        <f>IF(DATOS!$G11309&lt;&gt;"EX",0,--(COUNTIFS(nNIA,DATOS!$A11309,nCURSO,DATOS!$D11309,nESPEC,DATOS!$E11309,nASIG,DATOS!$I11309,nEVAL,"OR")=0))</f>
      </c>
      <c r="I11309">
        <f>IF(DATOS!$I11309="","",IFERROR(VLOOKUP(DATOS!$I11309,CONFIG_ASIGNATURAS!$B$2:$J$91,9,FALSE()),""))</f>
      </c>
    </row>
    <row r="11310">
      <c r="F11310">
        <f>IF(DATOS!$A11310="","",DATOS!$A11310&amp;"|"&amp;DATOS!$D11310&amp;"|"&amp;DATOS!$E11310&amp;"|"&amp;DATOS!$I11310)</f>
      </c>
      <c r="G11310">
        <f>IF(DATOS!$A11310="",0,IF(CONFIG_METADATA!$B$4&lt;&gt;"OR+EX",--(DATOS!$G11310=CONFIG_METADATA!$B$4),IF(DATOS!$G11310="EX",1,IF(DATOS!$G11310="OR",--(COUNTIFS(nNIA,DATOS!$A11310,nCURSO,DATOS!$D11310,nESPEC,DATOS!$E11310,nASIG,DATOS!$I11310,nEVAL,"EX")=0),0))))</f>
      </c>
      <c r="H11310">
        <f>IF(DATOS!$G11310&lt;&gt;"EX",0,--(COUNTIFS(nNIA,DATOS!$A11310,nCURSO,DATOS!$D11310,nESPEC,DATOS!$E11310,nASIG,DATOS!$I11310,nEVAL,"OR")=0))</f>
      </c>
      <c r="I11310">
        <f>IF(DATOS!$I11310="","",IFERROR(VLOOKUP(DATOS!$I11310,CONFIG_ASIGNATURAS!$B$2:$J$91,9,FALSE()),""))</f>
      </c>
    </row>
    <row r="11311">
      <c r="F11311">
        <f>IF(DATOS!$A11311="","",DATOS!$A11311&amp;"|"&amp;DATOS!$D11311&amp;"|"&amp;DATOS!$E11311&amp;"|"&amp;DATOS!$I11311)</f>
      </c>
      <c r="G11311">
        <f>IF(DATOS!$A11311="",0,IF(CONFIG_METADATA!$B$4&lt;&gt;"OR+EX",--(DATOS!$G11311=CONFIG_METADATA!$B$4),IF(DATOS!$G11311="EX",1,IF(DATOS!$G11311="OR",--(COUNTIFS(nNIA,DATOS!$A11311,nCURSO,DATOS!$D11311,nESPEC,DATOS!$E11311,nASIG,DATOS!$I11311,nEVAL,"EX")=0),0))))</f>
      </c>
      <c r="H11311">
        <f>IF(DATOS!$G11311&lt;&gt;"EX",0,--(COUNTIFS(nNIA,DATOS!$A11311,nCURSO,DATOS!$D11311,nESPEC,DATOS!$E11311,nASIG,DATOS!$I11311,nEVAL,"OR")=0))</f>
      </c>
      <c r="I11311">
        <f>IF(DATOS!$I11311="","",IFERROR(VLOOKUP(DATOS!$I11311,CONFIG_ASIGNATURAS!$B$2:$J$91,9,FALSE()),""))</f>
      </c>
    </row>
    <row r="11312">
      <c r="F11312">
        <f>IF(DATOS!$A11312="","",DATOS!$A11312&amp;"|"&amp;DATOS!$D11312&amp;"|"&amp;DATOS!$E11312&amp;"|"&amp;DATOS!$I11312)</f>
      </c>
      <c r="G11312">
        <f>IF(DATOS!$A11312="",0,IF(CONFIG_METADATA!$B$4&lt;&gt;"OR+EX",--(DATOS!$G11312=CONFIG_METADATA!$B$4),IF(DATOS!$G11312="EX",1,IF(DATOS!$G11312="OR",--(COUNTIFS(nNIA,DATOS!$A11312,nCURSO,DATOS!$D11312,nESPEC,DATOS!$E11312,nASIG,DATOS!$I11312,nEVAL,"EX")=0),0))))</f>
      </c>
      <c r="H11312">
        <f>IF(DATOS!$G11312&lt;&gt;"EX",0,--(COUNTIFS(nNIA,DATOS!$A11312,nCURSO,DATOS!$D11312,nESPEC,DATOS!$E11312,nASIG,DATOS!$I11312,nEVAL,"OR")=0))</f>
      </c>
      <c r="I11312">
        <f>IF(DATOS!$I11312="","",IFERROR(VLOOKUP(DATOS!$I11312,CONFIG_ASIGNATURAS!$B$2:$J$91,9,FALSE()),""))</f>
      </c>
    </row>
    <row r="11313">
      <c r="F11313">
        <f>IF(DATOS!$A11313="","",DATOS!$A11313&amp;"|"&amp;DATOS!$D11313&amp;"|"&amp;DATOS!$E11313&amp;"|"&amp;DATOS!$I11313)</f>
      </c>
      <c r="G11313">
        <f>IF(DATOS!$A11313="",0,IF(CONFIG_METADATA!$B$4&lt;&gt;"OR+EX",--(DATOS!$G11313=CONFIG_METADATA!$B$4),IF(DATOS!$G11313="EX",1,IF(DATOS!$G11313="OR",--(COUNTIFS(nNIA,DATOS!$A11313,nCURSO,DATOS!$D11313,nESPEC,DATOS!$E11313,nASIG,DATOS!$I11313,nEVAL,"EX")=0),0))))</f>
      </c>
      <c r="H11313">
        <f>IF(DATOS!$G11313&lt;&gt;"EX",0,--(COUNTIFS(nNIA,DATOS!$A11313,nCURSO,DATOS!$D11313,nESPEC,DATOS!$E11313,nASIG,DATOS!$I11313,nEVAL,"OR")=0))</f>
      </c>
      <c r="I11313">
        <f>IF(DATOS!$I11313="","",IFERROR(VLOOKUP(DATOS!$I11313,CONFIG_ASIGNATURAS!$B$2:$J$91,9,FALSE()),""))</f>
      </c>
    </row>
    <row r="11314">
      <c r="F11314">
        <f>IF(DATOS!$A11314="","",DATOS!$A11314&amp;"|"&amp;DATOS!$D11314&amp;"|"&amp;DATOS!$E11314&amp;"|"&amp;DATOS!$I11314)</f>
      </c>
      <c r="G11314">
        <f>IF(DATOS!$A11314="",0,IF(CONFIG_METADATA!$B$4&lt;&gt;"OR+EX",--(DATOS!$G11314=CONFIG_METADATA!$B$4),IF(DATOS!$G11314="EX",1,IF(DATOS!$G11314="OR",--(COUNTIFS(nNIA,DATOS!$A11314,nCURSO,DATOS!$D11314,nESPEC,DATOS!$E11314,nASIG,DATOS!$I11314,nEVAL,"EX")=0),0))))</f>
      </c>
      <c r="H11314">
        <f>IF(DATOS!$G11314&lt;&gt;"EX",0,--(COUNTIFS(nNIA,DATOS!$A11314,nCURSO,DATOS!$D11314,nESPEC,DATOS!$E11314,nASIG,DATOS!$I11314,nEVAL,"OR")=0))</f>
      </c>
      <c r="I11314">
        <f>IF(DATOS!$I11314="","",IFERROR(VLOOKUP(DATOS!$I11314,CONFIG_ASIGNATURAS!$B$2:$J$91,9,FALSE()),""))</f>
      </c>
    </row>
    <row r="11315">
      <c r="F11315">
        <f>IF(DATOS!$A11315="","",DATOS!$A11315&amp;"|"&amp;DATOS!$D11315&amp;"|"&amp;DATOS!$E11315&amp;"|"&amp;DATOS!$I11315)</f>
      </c>
      <c r="G11315">
        <f>IF(DATOS!$A11315="",0,IF(CONFIG_METADATA!$B$4&lt;&gt;"OR+EX",--(DATOS!$G11315=CONFIG_METADATA!$B$4),IF(DATOS!$G11315="EX",1,IF(DATOS!$G11315="OR",--(COUNTIFS(nNIA,DATOS!$A11315,nCURSO,DATOS!$D11315,nESPEC,DATOS!$E11315,nASIG,DATOS!$I11315,nEVAL,"EX")=0),0))))</f>
      </c>
      <c r="H11315">
        <f>IF(DATOS!$G11315&lt;&gt;"EX",0,--(COUNTIFS(nNIA,DATOS!$A11315,nCURSO,DATOS!$D11315,nESPEC,DATOS!$E11315,nASIG,DATOS!$I11315,nEVAL,"OR")=0))</f>
      </c>
      <c r="I11315">
        <f>IF(DATOS!$I11315="","",IFERROR(VLOOKUP(DATOS!$I11315,CONFIG_ASIGNATURAS!$B$2:$J$91,9,FALSE()),""))</f>
      </c>
    </row>
    <row r="11316">
      <c r="F11316">
        <f>IF(DATOS!$A11316="","",DATOS!$A11316&amp;"|"&amp;DATOS!$D11316&amp;"|"&amp;DATOS!$E11316&amp;"|"&amp;DATOS!$I11316)</f>
      </c>
      <c r="G11316">
        <f>IF(DATOS!$A11316="",0,IF(CONFIG_METADATA!$B$4&lt;&gt;"OR+EX",--(DATOS!$G11316=CONFIG_METADATA!$B$4),IF(DATOS!$G11316="EX",1,IF(DATOS!$G11316="OR",--(COUNTIFS(nNIA,DATOS!$A11316,nCURSO,DATOS!$D11316,nESPEC,DATOS!$E11316,nASIG,DATOS!$I11316,nEVAL,"EX")=0),0))))</f>
      </c>
      <c r="H11316">
        <f>IF(DATOS!$G11316&lt;&gt;"EX",0,--(COUNTIFS(nNIA,DATOS!$A11316,nCURSO,DATOS!$D11316,nESPEC,DATOS!$E11316,nASIG,DATOS!$I11316,nEVAL,"OR")=0))</f>
      </c>
      <c r="I11316">
        <f>IF(DATOS!$I11316="","",IFERROR(VLOOKUP(DATOS!$I11316,CONFIG_ASIGNATURAS!$B$2:$J$91,9,FALSE()),""))</f>
      </c>
    </row>
    <row r="11317">
      <c r="F11317">
        <f>IF(DATOS!$A11317="","",DATOS!$A11317&amp;"|"&amp;DATOS!$D11317&amp;"|"&amp;DATOS!$E11317&amp;"|"&amp;DATOS!$I11317)</f>
      </c>
      <c r="G11317">
        <f>IF(DATOS!$A11317="",0,IF(CONFIG_METADATA!$B$4&lt;&gt;"OR+EX",--(DATOS!$G11317=CONFIG_METADATA!$B$4),IF(DATOS!$G11317="EX",1,IF(DATOS!$G11317="OR",--(COUNTIFS(nNIA,DATOS!$A11317,nCURSO,DATOS!$D11317,nESPEC,DATOS!$E11317,nASIG,DATOS!$I11317,nEVAL,"EX")=0),0))))</f>
      </c>
      <c r="H11317">
        <f>IF(DATOS!$G11317&lt;&gt;"EX",0,--(COUNTIFS(nNIA,DATOS!$A11317,nCURSO,DATOS!$D11317,nESPEC,DATOS!$E11317,nASIG,DATOS!$I11317,nEVAL,"OR")=0))</f>
      </c>
      <c r="I11317">
        <f>IF(DATOS!$I11317="","",IFERROR(VLOOKUP(DATOS!$I11317,CONFIG_ASIGNATURAS!$B$2:$J$91,9,FALSE()),""))</f>
      </c>
    </row>
    <row r="11318">
      <c r="F11318">
        <f>IF(DATOS!$A11318="","",DATOS!$A11318&amp;"|"&amp;DATOS!$D11318&amp;"|"&amp;DATOS!$E11318&amp;"|"&amp;DATOS!$I11318)</f>
      </c>
      <c r="G11318">
        <f>IF(DATOS!$A11318="",0,IF(CONFIG_METADATA!$B$4&lt;&gt;"OR+EX",--(DATOS!$G11318=CONFIG_METADATA!$B$4),IF(DATOS!$G11318="EX",1,IF(DATOS!$G11318="OR",--(COUNTIFS(nNIA,DATOS!$A11318,nCURSO,DATOS!$D11318,nESPEC,DATOS!$E11318,nASIG,DATOS!$I11318,nEVAL,"EX")=0),0))))</f>
      </c>
      <c r="H11318">
        <f>IF(DATOS!$G11318&lt;&gt;"EX",0,--(COUNTIFS(nNIA,DATOS!$A11318,nCURSO,DATOS!$D11318,nESPEC,DATOS!$E11318,nASIG,DATOS!$I11318,nEVAL,"OR")=0))</f>
      </c>
      <c r="I11318">
        <f>IF(DATOS!$I11318="","",IFERROR(VLOOKUP(DATOS!$I11318,CONFIG_ASIGNATURAS!$B$2:$J$91,9,FALSE()),""))</f>
      </c>
    </row>
    <row r="11319">
      <c r="F11319">
        <f>IF(DATOS!$A11319="","",DATOS!$A11319&amp;"|"&amp;DATOS!$D11319&amp;"|"&amp;DATOS!$E11319&amp;"|"&amp;DATOS!$I11319)</f>
      </c>
      <c r="G11319">
        <f>IF(DATOS!$A11319="",0,IF(CONFIG_METADATA!$B$4&lt;&gt;"OR+EX",--(DATOS!$G11319=CONFIG_METADATA!$B$4),IF(DATOS!$G11319="EX",1,IF(DATOS!$G11319="OR",--(COUNTIFS(nNIA,DATOS!$A11319,nCURSO,DATOS!$D11319,nESPEC,DATOS!$E11319,nASIG,DATOS!$I11319,nEVAL,"EX")=0),0))))</f>
      </c>
      <c r="H11319">
        <f>IF(DATOS!$G11319&lt;&gt;"EX",0,--(COUNTIFS(nNIA,DATOS!$A11319,nCURSO,DATOS!$D11319,nESPEC,DATOS!$E11319,nASIG,DATOS!$I11319,nEVAL,"OR")=0))</f>
      </c>
      <c r="I11319">
        <f>IF(DATOS!$I11319="","",IFERROR(VLOOKUP(DATOS!$I11319,CONFIG_ASIGNATURAS!$B$2:$J$91,9,FALSE()),""))</f>
      </c>
    </row>
    <row r="11320">
      <c r="F11320">
        <f>IF(DATOS!$A11320="","",DATOS!$A11320&amp;"|"&amp;DATOS!$D11320&amp;"|"&amp;DATOS!$E11320&amp;"|"&amp;DATOS!$I11320)</f>
      </c>
      <c r="G11320">
        <f>IF(DATOS!$A11320="",0,IF(CONFIG_METADATA!$B$4&lt;&gt;"OR+EX",--(DATOS!$G11320=CONFIG_METADATA!$B$4),IF(DATOS!$G11320="EX",1,IF(DATOS!$G11320="OR",--(COUNTIFS(nNIA,DATOS!$A11320,nCURSO,DATOS!$D11320,nESPEC,DATOS!$E11320,nASIG,DATOS!$I11320,nEVAL,"EX")=0),0))))</f>
      </c>
      <c r="H11320">
        <f>IF(DATOS!$G11320&lt;&gt;"EX",0,--(COUNTIFS(nNIA,DATOS!$A11320,nCURSO,DATOS!$D11320,nESPEC,DATOS!$E11320,nASIG,DATOS!$I11320,nEVAL,"OR")=0))</f>
      </c>
      <c r="I11320">
        <f>IF(DATOS!$I11320="","",IFERROR(VLOOKUP(DATOS!$I11320,CONFIG_ASIGNATURAS!$B$2:$J$91,9,FALSE()),""))</f>
      </c>
    </row>
    <row r="11321">
      <c r="F11321">
        <f>IF(DATOS!$A11321="","",DATOS!$A11321&amp;"|"&amp;DATOS!$D11321&amp;"|"&amp;DATOS!$E11321&amp;"|"&amp;DATOS!$I11321)</f>
      </c>
      <c r="G11321">
        <f>IF(DATOS!$A11321="",0,IF(CONFIG_METADATA!$B$4&lt;&gt;"OR+EX",--(DATOS!$G11321=CONFIG_METADATA!$B$4),IF(DATOS!$G11321="EX",1,IF(DATOS!$G11321="OR",--(COUNTIFS(nNIA,DATOS!$A11321,nCURSO,DATOS!$D11321,nESPEC,DATOS!$E11321,nASIG,DATOS!$I11321,nEVAL,"EX")=0),0))))</f>
      </c>
      <c r="H11321">
        <f>IF(DATOS!$G11321&lt;&gt;"EX",0,--(COUNTIFS(nNIA,DATOS!$A11321,nCURSO,DATOS!$D11321,nESPEC,DATOS!$E11321,nASIG,DATOS!$I11321,nEVAL,"OR")=0))</f>
      </c>
      <c r="I11321">
        <f>IF(DATOS!$I11321="","",IFERROR(VLOOKUP(DATOS!$I11321,CONFIG_ASIGNATURAS!$B$2:$J$91,9,FALSE()),""))</f>
      </c>
    </row>
    <row r="11322">
      <c r="F11322">
        <f>IF(DATOS!$A11322="","",DATOS!$A11322&amp;"|"&amp;DATOS!$D11322&amp;"|"&amp;DATOS!$E11322&amp;"|"&amp;DATOS!$I11322)</f>
      </c>
      <c r="G11322">
        <f>IF(DATOS!$A11322="",0,IF(CONFIG_METADATA!$B$4&lt;&gt;"OR+EX",--(DATOS!$G11322=CONFIG_METADATA!$B$4),IF(DATOS!$G11322="EX",1,IF(DATOS!$G11322="OR",--(COUNTIFS(nNIA,DATOS!$A11322,nCURSO,DATOS!$D11322,nESPEC,DATOS!$E11322,nASIG,DATOS!$I11322,nEVAL,"EX")=0),0))))</f>
      </c>
      <c r="H11322">
        <f>IF(DATOS!$G11322&lt;&gt;"EX",0,--(COUNTIFS(nNIA,DATOS!$A11322,nCURSO,DATOS!$D11322,nESPEC,DATOS!$E11322,nASIG,DATOS!$I11322,nEVAL,"OR")=0))</f>
      </c>
      <c r="I11322">
        <f>IF(DATOS!$I11322="","",IFERROR(VLOOKUP(DATOS!$I11322,CONFIG_ASIGNATURAS!$B$2:$J$91,9,FALSE()),""))</f>
      </c>
    </row>
    <row r="11323">
      <c r="F11323">
        <f>IF(DATOS!$A11323="","",DATOS!$A11323&amp;"|"&amp;DATOS!$D11323&amp;"|"&amp;DATOS!$E11323&amp;"|"&amp;DATOS!$I11323)</f>
      </c>
      <c r="G11323">
        <f>IF(DATOS!$A11323="",0,IF(CONFIG_METADATA!$B$4&lt;&gt;"OR+EX",--(DATOS!$G11323=CONFIG_METADATA!$B$4),IF(DATOS!$G11323="EX",1,IF(DATOS!$G11323="OR",--(COUNTIFS(nNIA,DATOS!$A11323,nCURSO,DATOS!$D11323,nESPEC,DATOS!$E11323,nASIG,DATOS!$I11323,nEVAL,"EX")=0),0))))</f>
      </c>
      <c r="H11323">
        <f>IF(DATOS!$G11323&lt;&gt;"EX",0,--(COUNTIFS(nNIA,DATOS!$A11323,nCURSO,DATOS!$D11323,nESPEC,DATOS!$E11323,nASIG,DATOS!$I11323,nEVAL,"OR")=0))</f>
      </c>
      <c r="I11323">
        <f>IF(DATOS!$I11323="","",IFERROR(VLOOKUP(DATOS!$I11323,CONFIG_ASIGNATURAS!$B$2:$J$91,9,FALSE()),""))</f>
      </c>
    </row>
    <row r="11324">
      <c r="F11324">
        <f>IF(DATOS!$A11324="","",DATOS!$A11324&amp;"|"&amp;DATOS!$D11324&amp;"|"&amp;DATOS!$E11324&amp;"|"&amp;DATOS!$I11324)</f>
      </c>
      <c r="G11324">
        <f>IF(DATOS!$A11324="",0,IF(CONFIG_METADATA!$B$4&lt;&gt;"OR+EX",--(DATOS!$G11324=CONFIG_METADATA!$B$4),IF(DATOS!$G11324="EX",1,IF(DATOS!$G11324="OR",--(COUNTIFS(nNIA,DATOS!$A11324,nCURSO,DATOS!$D11324,nESPEC,DATOS!$E11324,nASIG,DATOS!$I11324,nEVAL,"EX")=0),0))))</f>
      </c>
      <c r="H11324">
        <f>IF(DATOS!$G11324&lt;&gt;"EX",0,--(COUNTIFS(nNIA,DATOS!$A11324,nCURSO,DATOS!$D11324,nESPEC,DATOS!$E11324,nASIG,DATOS!$I11324,nEVAL,"OR")=0))</f>
      </c>
      <c r="I11324">
        <f>IF(DATOS!$I11324="","",IFERROR(VLOOKUP(DATOS!$I11324,CONFIG_ASIGNATURAS!$B$2:$J$91,9,FALSE()),""))</f>
      </c>
    </row>
    <row r="11325">
      <c r="F11325">
        <f>IF(DATOS!$A11325="","",DATOS!$A11325&amp;"|"&amp;DATOS!$D11325&amp;"|"&amp;DATOS!$E11325&amp;"|"&amp;DATOS!$I11325)</f>
      </c>
      <c r="G11325">
        <f>IF(DATOS!$A11325="",0,IF(CONFIG_METADATA!$B$4&lt;&gt;"OR+EX",--(DATOS!$G11325=CONFIG_METADATA!$B$4),IF(DATOS!$G11325="EX",1,IF(DATOS!$G11325="OR",--(COUNTIFS(nNIA,DATOS!$A11325,nCURSO,DATOS!$D11325,nESPEC,DATOS!$E11325,nASIG,DATOS!$I11325,nEVAL,"EX")=0),0))))</f>
      </c>
      <c r="H11325">
        <f>IF(DATOS!$G11325&lt;&gt;"EX",0,--(COUNTIFS(nNIA,DATOS!$A11325,nCURSO,DATOS!$D11325,nESPEC,DATOS!$E11325,nASIG,DATOS!$I11325,nEVAL,"OR")=0))</f>
      </c>
      <c r="I11325">
        <f>IF(DATOS!$I11325="","",IFERROR(VLOOKUP(DATOS!$I11325,CONFIG_ASIGNATURAS!$B$2:$J$91,9,FALSE()),""))</f>
      </c>
    </row>
    <row r="11326">
      <c r="F11326">
        <f>IF(DATOS!$A11326="","",DATOS!$A11326&amp;"|"&amp;DATOS!$D11326&amp;"|"&amp;DATOS!$E11326&amp;"|"&amp;DATOS!$I11326)</f>
      </c>
      <c r="G11326">
        <f>IF(DATOS!$A11326="",0,IF(CONFIG_METADATA!$B$4&lt;&gt;"OR+EX",--(DATOS!$G11326=CONFIG_METADATA!$B$4),IF(DATOS!$G11326="EX",1,IF(DATOS!$G11326="OR",--(COUNTIFS(nNIA,DATOS!$A11326,nCURSO,DATOS!$D11326,nESPEC,DATOS!$E11326,nASIG,DATOS!$I11326,nEVAL,"EX")=0),0))))</f>
      </c>
      <c r="H11326">
        <f>IF(DATOS!$G11326&lt;&gt;"EX",0,--(COUNTIFS(nNIA,DATOS!$A11326,nCURSO,DATOS!$D11326,nESPEC,DATOS!$E11326,nASIG,DATOS!$I11326,nEVAL,"OR")=0))</f>
      </c>
      <c r="I11326">
        <f>IF(DATOS!$I11326="","",IFERROR(VLOOKUP(DATOS!$I11326,CONFIG_ASIGNATURAS!$B$2:$J$91,9,FALSE()),""))</f>
      </c>
    </row>
    <row r="11327">
      <c r="F11327">
        <f>IF(DATOS!$A11327="","",DATOS!$A11327&amp;"|"&amp;DATOS!$D11327&amp;"|"&amp;DATOS!$E11327&amp;"|"&amp;DATOS!$I11327)</f>
      </c>
      <c r="G11327">
        <f>IF(DATOS!$A11327="",0,IF(CONFIG_METADATA!$B$4&lt;&gt;"OR+EX",--(DATOS!$G11327=CONFIG_METADATA!$B$4),IF(DATOS!$G11327="EX",1,IF(DATOS!$G11327="OR",--(COUNTIFS(nNIA,DATOS!$A11327,nCURSO,DATOS!$D11327,nESPEC,DATOS!$E11327,nASIG,DATOS!$I11327,nEVAL,"EX")=0),0))))</f>
      </c>
      <c r="H11327">
        <f>IF(DATOS!$G11327&lt;&gt;"EX",0,--(COUNTIFS(nNIA,DATOS!$A11327,nCURSO,DATOS!$D11327,nESPEC,DATOS!$E11327,nASIG,DATOS!$I11327,nEVAL,"OR")=0))</f>
      </c>
      <c r="I11327">
        <f>IF(DATOS!$I11327="","",IFERROR(VLOOKUP(DATOS!$I11327,CONFIG_ASIGNATURAS!$B$2:$J$91,9,FALSE()),""))</f>
      </c>
    </row>
    <row r="11328">
      <c r="F11328">
        <f>IF(DATOS!$A11328="","",DATOS!$A11328&amp;"|"&amp;DATOS!$D11328&amp;"|"&amp;DATOS!$E11328&amp;"|"&amp;DATOS!$I11328)</f>
      </c>
      <c r="G11328">
        <f>IF(DATOS!$A11328="",0,IF(CONFIG_METADATA!$B$4&lt;&gt;"OR+EX",--(DATOS!$G11328=CONFIG_METADATA!$B$4),IF(DATOS!$G11328="EX",1,IF(DATOS!$G11328="OR",--(COUNTIFS(nNIA,DATOS!$A11328,nCURSO,DATOS!$D11328,nESPEC,DATOS!$E11328,nASIG,DATOS!$I11328,nEVAL,"EX")=0),0))))</f>
      </c>
      <c r="H11328">
        <f>IF(DATOS!$G11328&lt;&gt;"EX",0,--(COUNTIFS(nNIA,DATOS!$A11328,nCURSO,DATOS!$D11328,nESPEC,DATOS!$E11328,nASIG,DATOS!$I11328,nEVAL,"OR")=0))</f>
      </c>
      <c r="I11328">
        <f>IF(DATOS!$I11328="","",IFERROR(VLOOKUP(DATOS!$I11328,CONFIG_ASIGNATURAS!$B$2:$J$91,9,FALSE()),""))</f>
      </c>
    </row>
    <row r="11329">
      <c r="F11329">
        <f>IF(DATOS!$A11329="","",DATOS!$A11329&amp;"|"&amp;DATOS!$D11329&amp;"|"&amp;DATOS!$E11329&amp;"|"&amp;DATOS!$I11329)</f>
      </c>
      <c r="G11329">
        <f>IF(DATOS!$A11329="",0,IF(CONFIG_METADATA!$B$4&lt;&gt;"OR+EX",--(DATOS!$G11329=CONFIG_METADATA!$B$4),IF(DATOS!$G11329="EX",1,IF(DATOS!$G11329="OR",--(COUNTIFS(nNIA,DATOS!$A11329,nCURSO,DATOS!$D11329,nESPEC,DATOS!$E11329,nASIG,DATOS!$I11329,nEVAL,"EX")=0),0))))</f>
      </c>
      <c r="H11329">
        <f>IF(DATOS!$G11329&lt;&gt;"EX",0,--(COUNTIFS(nNIA,DATOS!$A11329,nCURSO,DATOS!$D11329,nESPEC,DATOS!$E11329,nASIG,DATOS!$I11329,nEVAL,"OR")=0))</f>
      </c>
      <c r="I11329">
        <f>IF(DATOS!$I11329="","",IFERROR(VLOOKUP(DATOS!$I11329,CONFIG_ASIGNATURAS!$B$2:$J$91,9,FALSE()),""))</f>
      </c>
    </row>
    <row r="11330">
      <c r="F11330">
        <f>IF(DATOS!$A11330="","",DATOS!$A11330&amp;"|"&amp;DATOS!$D11330&amp;"|"&amp;DATOS!$E11330&amp;"|"&amp;DATOS!$I11330)</f>
      </c>
      <c r="G11330">
        <f>IF(DATOS!$A11330="",0,IF(CONFIG_METADATA!$B$4&lt;&gt;"OR+EX",--(DATOS!$G11330=CONFIG_METADATA!$B$4),IF(DATOS!$G11330="EX",1,IF(DATOS!$G11330="OR",--(COUNTIFS(nNIA,DATOS!$A11330,nCURSO,DATOS!$D11330,nESPEC,DATOS!$E11330,nASIG,DATOS!$I11330,nEVAL,"EX")=0),0))))</f>
      </c>
      <c r="H11330">
        <f>IF(DATOS!$G11330&lt;&gt;"EX",0,--(COUNTIFS(nNIA,DATOS!$A11330,nCURSO,DATOS!$D11330,nESPEC,DATOS!$E11330,nASIG,DATOS!$I11330,nEVAL,"OR")=0))</f>
      </c>
      <c r="I11330">
        <f>IF(DATOS!$I11330="","",IFERROR(VLOOKUP(DATOS!$I11330,CONFIG_ASIGNATURAS!$B$2:$J$91,9,FALSE()),""))</f>
      </c>
    </row>
    <row r="11331">
      <c r="F11331">
        <f>IF(DATOS!$A11331="","",DATOS!$A11331&amp;"|"&amp;DATOS!$D11331&amp;"|"&amp;DATOS!$E11331&amp;"|"&amp;DATOS!$I11331)</f>
      </c>
      <c r="G11331">
        <f>IF(DATOS!$A11331="",0,IF(CONFIG_METADATA!$B$4&lt;&gt;"OR+EX",--(DATOS!$G11331=CONFIG_METADATA!$B$4),IF(DATOS!$G11331="EX",1,IF(DATOS!$G11331="OR",--(COUNTIFS(nNIA,DATOS!$A11331,nCURSO,DATOS!$D11331,nESPEC,DATOS!$E11331,nASIG,DATOS!$I11331,nEVAL,"EX")=0),0))))</f>
      </c>
      <c r="H11331">
        <f>IF(DATOS!$G11331&lt;&gt;"EX",0,--(COUNTIFS(nNIA,DATOS!$A11331,nCURSO,DATOS!$D11331,nESPEC,DATOS!$E11331,nASIG,DATOS!$I11331,nEVAL,"OR")=0))</f>
      </c>
      <c r="I11331">
        <f>IF(DATOS!$I11331="","",IFERROR(VLOOKUP(DATOS!$I11331,CONFIG_ASIGNATURAS!$B$2:$J$91,9,FALSE()),""))</f>
      </c>
    </row>
    <row r="11332">
      <c r="F11332">
        <f>IF(DATOS!$A11332="","",DATOS!$A11332&amp;"|"&amp;DATOS!$D11332&amp;"|"&amp;DATOS!$E11332&amp;"|"&amp;DATOS!$I11332)</f>
      </c>
      <c r="G11332">
        <f>IF(DATOS!$A11332="",0,IF(CONFIG_METADATA!$B$4&lt;&gt;"OR+EX",--(DATOS!$G11332=CONFIG_METADATA!$B$4),IF(DATOS!$G11332="EX",1,IF(DATOS!$G11332="OR",--(COUNTIFS(nNIA,DATOS!$A11332,nCURSO,DATOS!$D11332,nESPEC,DATOS!$E11332,nASIG,DATOS!$I11332,nEVAL,"EX")=0),0))))</f>
      </c>
      <c r="H11332">
        <f>IF(DATOS!$G11332&lt;&gt;"EX",0,--(COUNTIFS(nNIA,DATOS!$A11332,nCURSO,DATOS!$D11332,nESPEC,DATOS!$E11332,nASIG,DATOS!$I11332,nEVAL,"OR")=0))</f>
      </c>
      <c r="I11332">
        <f>IF(DATOS!$I11332="","",IFERROR(VLOOKUP(DATOS!$I11332,CONFIG_ASIGNATURAS!$B$2:$J$91,9,FALSE()),""))</f>
      </c>
    </row>
    <row r="11333">
      <c r="F11333">
        <f>IF(DATOS!$A11333="","",DATOS!$A11333&amp;"|"&amp;DATOS!$D11333&amp;"|"&amp;DATOS!$E11333&amp;"|"&amp;DATOS!$I11333)</f>
      </c>
      <c r="G11333">
        <f>IF(DATOS!$A11333="",0,IF(CONFIG_METADATA!$B$4&lt;&gt;"OR+EX",--(DATOS!$G11333=CONFIG_METADATA!$B$4),IF(DATOS!$G11333="EX",1,IF(DATOS!$G11333="OR",--(COUNTIFS(nNIA,DATOS!$A11333,nCURSO,DATOS!$D11333,nESPEC,DATOS!$E11333,nASIG,DATOS!$I11333,nEVAL,"EX")=0),0))))</f>
      </c>
      <c r="H11333">
        <f>IF(DATOS!$G11333&lt;&gt;"EX",0,--(COUNTIFS(nNIA,DATOS!$A11333,nCURSO,DATOS!$D11333,nESPEC,DATOS!$E11333,nASIG,DATOS!$I11333,nEVAL,"OR")=0))</f>
      </c>
      <c r="I11333">
        <f>IF(DATOS!$I11333="","",IFERROR(VLOOKUP(DATOS!$I11333,CONFIG_ASIGNATURAS!$B$2:$J$91,9,FALSE()),""))</f>
      </c>
    </row>
    <row r="11334">
      <c r="F11334">
        <f>IF(DATOS!$A11334="","",DATOS!$A11334&amp;"|"&amp;DATOS!$D11334&amp;"|"&amp;DATOS!$E11334&amp;"|"&amp;DATOS!$I11334)</f>
      </c>
      <c r="G11334">
        <f>IF(DATOS!$A11334="",0,IF(CONFIG_METADATA!$B$4&lt;&gt;"OR+EX",--(DATOS!$G11334=CONFIG_METADATA!$B$4),IF(DATOS!$G11334="EX",1,IF(DATOS!$G11334="OR",--(COUNTIFS(nNIA,DATOS!$A11334,nCURSO,DATOS!$D11334,nESPEC,DATOS!$E11334,nASIG,DATOS!$I11334,nEVAL,"EX")=0),0))))</f>
      </c>
      <c r="H11334">
        <f>IF(DATOS!$G11334&lt;&gt;"EX",0,--(COUNTIFS(nNIA,DATOS!$A11334,nCURSO,DATOS!$D11334,nESPEC,DATOS!$E11334,nASIG,DATOS!$I11334,nEVAL,"OR")=0))</f>
      </c>
      <c r="I11334">
        <f>IF(DATOS!$I11334="","",IFERROR(VLOOKUP(DATOS!$I11334,CONFIG_ASIGNATURAS!$B$2:$J$91,9,FALSE()),""))</f>
      </c>
    </row>
    <row r="11335">
      <c r="F11335">
        <f>IF(DATOS!$A11335="","",DATOS!$A11335&amp;"|"&amp;DATOS!$D11335&amp;"|"&amp;DATOS!$E11335&amp;"|"&amp;DATOS!$I11335)</f>
      </c>
      <c r="G11335">
        <f>IF(DATOS!$A11335="",0,IF(CONFIG_METADATA!$B$4&lt;&gt;"OR+EX",--(DATOS!$G11335=CONFIG_METADATA!$B$4),IF(DATOS!$G11335="EX",1,IF(DATOS!$G11335="OR",--(COUNTIFS(nNIA,DATOS!$A11335,nCURSO,DATOS!$D11335,nESPEC,DATOS!$E11335,nASIG,DATOS!$I11335,nEVAL,"EX")=0),0))))</f>
      </c>
      <c r="H11335">
        <f>IF(DATOS!$G11335&lt;&gt;"EX",0,--(COUNTIFS(nNIA,DATOS!$A11335,nCURSO,DATOS!$D11335,nESPEC,DATOS!$E11335,nASIG,DATOS!$I11335,nEVAL,"OR")=0))</f>
      </c>
      <c r="I11335">
        <f>IF(DATOS!$I11335="","",IFERROR(VLOOKUP(DATOS!$I11335,CONFIG_ASIGNATURAS!$B$2:$J$91,9,FALSE()),""))</f>
      </c>
    </row>
    <row r="11336">
      <c r="F11336">
        <f>IF(DATOS!$A11336="","",DATOS!$A11336&amp;"|"&amp;DATOS!$D11336&amp;"|"&amp;DATOS!$E11336&amp;"|"&amp;DATOS!$I11336)</f>
      </c>
      <c r="G11336">
        <f>IF(DATOS!$A11336="",0,IF(CONFIG_METADATA!$B$4&lt;&gt;"OR+EX",--(DATOS!$G11336=CONFIG_METADATA!$B$4),IF(DATOS!$G11336="EX",1,IF(DATOS!$G11336="OR",--(COUNTIFS(nNIA,DATOS!$A11336,nCURSO,DATOS!$D11336,nESPEC,DATOS!$E11336,nASIG,DATOS!$I11336,nEVAL,"EX")=0),0))))</f>
      </c>
      <c r="H11336">
        <f>IF(DATOS!$G11336&lt;&gt;"EX",0,--(COUNTIFS(nNIA,DATOS!$A11336,nCURSO,DATOS!$D11336,nESPEC,DATOS!$E11336,nASIG,DATOS!$I11336,nEVAL,"OR")=0))</f>
      </c>
      <c r="I11336">
        <f>IF(DATOS!$I11336="","",IFERROR(VLOOKUP(DATOS!$I11336,CONFIG_ASIGNATURAS!$B$2:$J$91,9,FALSE()),""))</f>
      </c>
    </row>
    <row r="11337">
      <c r="F11337">
        <f>IF(DATOS!$A11337="","",DATOS!$A11337&amp;"|"&amp;DATOS!$D11337&amp;"|"&amp;DATOS!$E11337&amp;"|"&amp;DATOS!$I11337)</f>
      </c>
      <c r="G11337">
        <f>IF(DATOS!$A11337="",0,IF(CONFIG_METADATA!$B$4&lt;&gt;"OR+EX",--(DATOS!$G11337=CONFIG_METADATA!$B$4),IF(DATOS!$G11337="EX",1,IF(DATOS!$G11337="OR",--(COUNTIFS(nNIA,DATOS!$A11337,nCURSO,DATOS!$D11337,nESPEC,DATOS!$E11337,nASIG,DATOS!$I11337,nEVAL,"EX")=0),0))))</f>
      </c>
      <c r="H11337">
        <f>IF(DATOS!$G11337&lt;&gt;"EX",0,--(COUNTIFS(nNIA,DATOS!$A11337,nCURSO,DATOS!$D11337,nESPEC,DATOS!$E11337,nASIG,DATOS!$I11337,nEVAL,"OR")=0))</f>
      </c>
      <c r="I11337">
        <f>IF(DATOS!$I11337="","",IFERROR(VLOOKUP(DATOS!$I11337,CONFIG_ASIGNATURAS!$B$2:$J$91,9,FALSE()),""))</f>
      </c>
    </row>
    <row r="11338">
      <c r="F11338">
        <f>IF(DATOS!$A11338="","",DATOS!$A11338&amp;"|"&amp;DATOS!$D11338&amp;"|"&amp;DATOS!$E11338&amp;"|"&amp;DATOS!$I11338)</f>
      </c>
      <c r="G11338">
        <f>IF(DATOS!$A11338="",0,IF(CONFIG_METADATA!$B$4&lt;&gt;"OR+EX",--(DATOS!$G11338=CONFIG_METADATA!$B$4),IF(DATOS!$G11338="EX",1,IF(DATOS!$G11338="OR",--(COUNTIFS(nNIA,DATOS!$A11338,nCURSO,DATOS!$D11338,nESPEC,DATOS!$E11338,nASIG,DATOS!$I11338,nEVAL,"EX")=0),0))))</f>
      </c>
      <c r="H11338">
        <f>IF(DATOS!$G11338&lt;&gt;"EX",0,--(COUNTIFS(nNIA,DATOS!$A11338,nCURSO,DATOS!$D11338,nESPEC,DATOS!$E11338,nASIG,DATOS!$I11338,nEVAL,"OR")=0))</f>
      </c>
      <c r="I11338">
        <f>IF(DATOS!$I11338="","",IFERROR(VLOOKUP(DATOS!$I11338,CONFIG_ASIGNATURAS!$B$2:$J$91,9,FALSE()),""))</f>
      </c>
    </row>
    <row r="11339">
      <c r="F11339">
        <f>IF(DATOS!$A11339="","",DATOS!$A11339&amp;"|"&amp;DATOS!$D11339&amp;"|"&amp;DATOS!$E11339&amp;"|"&amp;DATOS!$I11339)</f>
      </c>
      <c r="G11339">
        <f>IF(DATOS!$A11339="",0,IF(CONFIG_METADATA!$B$4&lt;&gt;"OR+EX",--(DATOS!$G11339=CONFIG_METADATA!$B$4),IF(DATOS!$G11339="EX",1,IF(DATOS!$G11339="OR",--(COUNTIFS(nNIA,DATOS!$A11339,nCURSO,DATOS!$D11339,nESPEC,DATOS!$E11339,nASIG,DATOS!$I11339,nEVAL,"EX")=0),0))))</f>
      </c>
      <c r="H11339">
        <f>IF(DATOS!$G11339&lt;&gt;"EX",0,--(COUNTIFS(nNIA,DATOS!$A11339,nCURSO,DATOS!$D11339,nESPEC,DATOS!$E11339,nASIG,DATOS!$I11339,nEVAL,"OR")=0))</f>
      </c>
      <c r="I11339">
        <f>IF(DATOS!$I11339="","",IFERROR(VLOOKUP(DATOS!$I11339,CONFIG_ASIGNATURAS!$B$2:$J$91,9,FALSE()),""))</f>
      </c>
    </row>
    <row r="11340">
      <c r="F11340">
        <f>IF(DATOS!$A11340="","",DATOS!$A11340&amp;"|"&amp;DATOS!$D11340&amp;"|"&amp;DATOS!$E11340&amp;"|"&amp;DATOS!$I11340)</f>
      </c>
      <c r="G11340">
        <f>IF(DATOS!$A11340="",0,IF(CONFIG_METADATA!$B$4&lt;&gt;"OR+EX",--(DATOS!$G11340=CONFIG_METADATA!$B$4),IF(DATOS!$G11340="EX",1,IF(DATOS!$G11340="OR",--(COUNTIFS(nNIA,DATOS!$A11340,nCURSO,DATOS!$D11340,nESPEC,DATOS!$E11340,nASIG,DATOS!$I11340,nEVAL,"EX")=0),0))))</f>
      </c>
      <c r="H11340">
        <f>IF(DATOS!$G11340&lt;&gt;"EX",0,--(COUNTIFS(nNIA,DATOS!$A11340,nCURSO,DATOS!$D11340,nESPEC,DATOS!$E11340,nASIG,DATOS!$I11340,nEVAL,"OR")=0))</f>
      </c>
      <c r="I11340">
        <f>IF(DATOS!$I11340="","",IFERROR(VLOOKUP(DATOS!$I11340,CONFIG_ASIGNATURAS!$B$2:$J$91,9,FALSE()),""))</f>
      </c>
    </row>
    <row r="11341">
      <c r="F11341">
        <f>IF(DATOS!$A11341="","",DATOS!$A11341&amp;"|"&amp;DATOS!$D11341&amp;"|"&amp;DATOS!$E11341&amp;"|"&amp;DATOS!$I11341)</f>
      </c>
      <c r="G11341">
        <f>IF(DATOS!$A11341="",0,IF(CONFIG_METADATA!$B$4&lt;&gt;"OR+EX",--(DATOS!$G11341=CONFIG_METADATA!$B$4),IF(DATOS!$G11341="EX",1,IF(DATOS!$G11341="OR",--(COUNTIFS(nNIA,DATOS!$A11341,nCURSO,DATOS!$D11341,nESPEC,DATOS!$E11341,nASIG,DATOS!$I11341,nEVAL,"EX")=0),0))))</f>
      </c>
      <c r="H11341">
        <f>IF(DATOS!$G11341&lt;&gt;"EX",0,--(COUNTIFS(nNIA,DATOS!$A11341,nCURSO,DATOS!$D11341,nESPEC,DATOS!$E11341,nASIG,DATOS!$I11341,nEVAL,"OR")=0))</f>
      </c>
      <c r="I11341">
        <f>IF(DATOS!$I11341="","",IFERROR(VLOOKUP(DATOS!$I11341,CONFIG_ASIGNATURAS!$B$2:$J$91,9,FALSE()),""))</f>
      </c>
    </row>
    <row r="11342">
      <c r="F11342">
        <f>IF(DATOS!$A11342="","",DATOS!$A11342&amp;"|"&amp;DATOS!$D11342&amp;"|"&amp;DATOS!$E11342&amp;"|"&amp;DATOS!$I11342)</f>
      </c>
      <c r="G11342">
        <f>IF(DATOS!$A11342="",0,IF(CONFIG_METADATA!$B$4&lt;&gt;"OR+EX",--(DATOS!$G11342=CONFIG_METADATA!$B$4),IF(DATOS!$G11342="EX",1,IF(DATOS!$G11342="OR",--(COUNTIFS(nNIA,DATOS!$A11342,nCURSO,DATOS!$D11342,nESPEC,DATOS!$E11342,nASIG,DATOS!$I11342,nEVAL,"EX")=0),0))))</f>
      </c>
      <c r="H11342">
        <f>IF(DATOS!$G11342&lt;&gt;"EX",0,--(COUNTIFS(nNIA,DATOS!$A11342,nCURSO,DATOS!$D11342,nESPEC,DATOS!$E11342,nASIG,DATOS!$I11342,nEVAL,"OR")=0))</f>
      </c>
      <c r="I11342">
        <f>IF(DATOS!$I11342="","",IFERROR(VLOOKUP(DATOS!$I11342,CONFIG_ASIGNATURAS!$B$2:$J$91,9,FALSE()),""))</f>
      </c>
    </row>
    <row r="11343">
      <c r="F11343">
        <f>IF(DATOS!$A11343="","",DATOS!$A11343&amp;"|"&amp;DATOS!$D11343&amp;"|"&amp;DATOS!$E11343&amp;"|"&amp;DATOS!$I11343)</f>
      </c>
      <c r="G11343">
        <f>IF(DATOS!$A11343="",0,IF(CONFIG_METADATA!$B$4&lt;&gt;"OR+EX",--(DATOS!$G11343=CONFIG_METADATA!$B$4),IF(DATOS!$G11343="EX",1,IF(DATOS!$G11343="OR",--(COUNTIFS(nNIA,DATOS!$A11343,nCURSO,DATOS!$D11343,nESPEC,DATOS!$E11343,nASIG,DATOS!$I11343,nEVAL,"EX")=0),0))))</f>
      </c>
      <c r="H11343">
        <f>IF(DATOS!$G11343&lt;&gt;"EX",0,--(COUNTIFS(nNIA,DATOS!$A11343,nCURSO,DATOS!$D11343,nESPEC,DATOS!$E11343,nASIG,DATOS!$I11343,nEVAL,"OR")=0))</f>
      </c>
      <c r="I11343">
        <f>IF(DATOS!$I11343="","",IFERROR(VLOOKUP(DATOS!$I11343,CONFIG_ASIGNATURAS!$B$2:$J$91,9,FALSE()),""))</f>
      </c>
    </row>
    <row r="11344">
      <c r="F11344">
        <f>IF(DATOS!$A11344="","",DATOS!$A11344&amp;"|"&amp;DATOS!$D11344&amp;"|"&amp;DATOS!$E11344&amp;"|"&amp;DATOS!$I11344)</f>
      </c>
      <c r="G11344">
        <f>IF(DATOS!$A11344="",0,IF(CONFIG_METADATA!$B$4&lt;&gt;"OR+EX",--(DATOS!$G11344=CONFIG_METADATA!$B$4),IF(DATOS!$G11344="EX",1,IF(DATOS!$G11344="OR",--(COUNTIFS(nNIA,DATOS!$A11344,nCURSO,DATOS!$D11344,nESPEC,DATOS!$E11344,nASIG,DATOS!$I11344,nEVAL,"EX")=0),0))))</f>
      </c>
      <c r="H11344">
        <f>IF(DATOS!$G11344&lt;&gt;"EX",0,--(COUNTIFS(nNIA,DATOS!$A11344,nCURSO,DATOS!$D11344,nESPEC,DATOS!$E11344,nASIG,DATOS!$I11344,nEVAL,"OR")=0))</f>
      </c>
      <c r="I11344">
        <f>IF(DATOS!$I11344="","",IFERROR(VLOOKUP(DATOS!$I11344,CONFIG_ASIGNATURAS!$B$2:$J$91,9,FALSE()),""))</f>
      </c>
    </row>
    <row r="11345">
      <c r="F11345">
        <f>IF(DATOS!$A11345="","",DATOS!$A11345&amp;"|"&amp;DATOS!$D11345&amp;"|"&amp;DATOS!$E11345&amp;"|"&amp;DATOS!$I11345)</f>
      </c>
      <c r="G11345">
        <f>IF(DATOS!$A11345="",0,IF(CONFIG_METADATA!$B$4&lt;&gt;"OR+EX",--(DATOS!$G11345=CONFIG_METADATA!$B$4),IF(DATOS!$G11345="EX",1,IF(DATOS!$G11345="OR",--(COUNTIFS(nNIA,DATOS!$A11345,nCURSO,DATOS!$D11345,nESPEC,DATOS!$E11345,nASIG,DATOS!$I11345,nEVAL,"EX")=0),0))))</f>
      </c>
      <c r="H11345">
        <f>IF(DATOS!$G11345&lt;&gt;"EX",0,--(COUNTIFS(nNIA,DATOS!$A11345,nCURSO,DATOS!$D11345,nESPEC,DATOS!$E11345,nASIG,DATOS!$I11345,nEVAL,"OR")=0))</f>
      </c>
      <c r="I11345">
        <f>IF(DATOS!$I11345="","",IFERROR(VLOOKUP(DATOS!$I11345,CONFIG_ASIGNATURAS!$B$2:$J$91,9,FALSE()),""))</f>
      </c>
    </row>
    <row r="11346">
      <c r="F11346">
        <f>IF(DATOS!$A11346="","",DATOS!$A11346&amp;"|"&amp;DATOS!$D11346&amp;"|"&amp;DATOS!$E11346&amp;"|"&amp;DATOS!$I11346)</f>
      </c>
      <c r="G11346">
        <f>IF(DATOS!$A11346="",0,IF(CONFIG_METADATA!$B$4&lt;&gt;"OR+EX",--(DATOS!$G11346=CONFIG_METADATA!$B$4),IF(DATOS!$G11346="EX",1,IF(DATOS!$G11346="OR",--(COUNTIFS(nNIA,DATOS!$A11346,nCURSO,DATOS!$D11346,nESPEC,DATOS!$E11346,nASIG,DATOS!$I11346,nEVAL,"EX")=0),0))))</f>
      </c>
      <c r="H11346">
        <f>IF(DATOS!$G11346&lt;&gt;"EX",0,--(COUNTIFS(nNIA,DATOS!$A11346,nCURSO,DATOS!$D11346,nESPEC,DATOS!$E11346,nASIG,DATOS!$I11346,nEVAL,"OR")=0))</f>
      </c>
      <c r="I11346">
        <f>IF(DATOS!$I11346="","",IFERROR(VLOOKUP(DATOS!$I11346,CONFIG_ASIGNATURAS!$B$2:$J$91,9,FALSE()),""))</f>
      </c>
    </row>
    <row r="11347">
      <c r="F11347">
        <f>IF(DATOS!$A11347="","",DATOS!$A11347&amp;"|"&amp;DATOS!$D11347&amp;"|"&amp;DATOS!$E11347&amp;"|"&amp;DATOS!$I11347)</f>
      </c>
      <c r="G11347">
        <f>IF(DATOS!$A11347="",0,IF(CONFIG_METADATA!$B$4&lt;&gt;"OR+EX",--(DATOS!$G11347=CONFIG_METADATA!$B$4),IF(DATOS!$G11347="EX",1,IF(DATOS!$G11347="OR",--(COUNTIFS(nNIA,DATOS!$A11347,nCURSO,DATOS!$D11347,nESPEC,DATOS!$E11347,nASIG,DATOS!$I11347,nEVAL,"EX")=0),0))))</f>
      </c>
      <c r="H11347">
        <f>IF(DATOS!$G11347&lt;&gt;"EX",0,--(COUNTIFS(nNIA,DATOS!$A11347,nCURSO,DATOS!$D11347,nESPEC,DATOS!$E11347,nASIG,DATOS!$I11347,nEVAL,"OR")=0))</f>
      </c>
      <c r="I11347">
        <f>IF(DATOS!$I11347="","",IFERROR(VLOOKUP(DATOS!$I11347,CONFIG_ASIGNATURAS!$B$2:$J$91,9,FALSE()),""))</f>
      </c>
    </row>
    <row r="11348">
      <c r="F11348">
        <f>IF(DATOS!$A11348="","",DATOS!$A11348&amp;"|"&amp;DATOS!$D11348&amp;"|"&amp;DATOS!$E11348&amp;"|"&amp;DATOS!$I11348)</f>
      </c>
      <c r="G11348">
        <f>IF(DATOS!$A11348="",0,IF(CONFIG_METADATA!$B$4&lt;&gt;"OR+EX",--(DATOS!$G11348=CONFIG_METADATA!$B$4),IF(DATOS!$G11348="EX",1,IF(DATOS!$G11348="OR",--(COUNTIFS(nNIA,DATOS!$A11348,nCURSO,DATOS!$D11348,nESPEC,DATOS!$E11348,nASIG,DATOS!$I11348,nEVAL,"EX")=0),0))))</f>
      </c>
      <c r="H11348">
        <f>IF(DATOS!$G11348&lt;&gt;"EX",0,--(COUNTIFS(nNIA,DATOS!$A11348,nCURSO,DATOS!$D11348,nESPEC,DATOS!$E11348,nASIG,DATOS!$I11348,nEVAL,"OR")=0))</f>
      </c>
      <c r="I11348">
        <f>IF(DATOS!$I11348="","",IFERROR(VLOOKUP(DATOS!$I11348,CONFIG_ASIGNATURAS!$B$2:$J$91,9,FALSE()),""))</f>
      </c>
    </row>
    <row r="11349">
      <c r="F11349">
        <f>IF(DATOS!$A11349="","",DATOS!$A11349&amp;"|"&amp;DATOS!$D11349&amp;"|"&amp;DATOS!$E11349&amp;"|"&amp;DATOS!$I11349)</f>
      </c>
      <c r="G11349">
        <f>IF(DATOS!$A11349="",0,IF(CONFIG_METADATA!$B$4&lt;&gt;"OR+EX",--(DATOS!$G11349=CONFIG_METADATA!$B$4),IF(DATOS!$G11349="EX",1,IF(DATOS!$G11349="OR",--(COUNTIFS(nNIA,DATOS!$A11349,nCURSO,DATOS!$D11349,nESPEC,DATOS!$E11349,nASIG,DATOS!$I11349,nEVAL,"EX")=0),0))))</f>
      </c>
      <c r="H11349">
        <f>IF(DATOS!$G11349&lt;&gt;"EX",0,--(COUNTIFS(nNIA,DATOS!$A11349,nCURSO,DATOS!$D11349,nESPEC,DATOS!$E11349,nASIG,DATOS!$I11349,nEVAL,"OR")=0))</f>
      </c>
      <c r="I11349">
        <f>IF(DATOS!$I11349="","",IFERROR(VLOOKUP(DATOS!$I11349,CONFIG_ASIGNATURAS!$B$2:$J$91,9,FALSE()),""))</f>
      </c>
    </row>
    <row r="11350">
      <c r="F11350">
        <f>IF(DATOS!$A11350="","",DATOS!$A11350&amp;"|"&amp;DATOS!$D11350&amp;"|"&amp;DATOS!$E11350&amp;"|"&amp;DATOS!$I11350)</f>
      </c>
      <c r="G11350">
        <f>IF(DATOS!$A11350="",0,IF(CONFIG_METADATA!$B$4&lt;&gt;"OR+EX",--(DATOS!$G11350=CONFIG_METADATA!$B$4),IF(DATOS!$G11350="EX",1,IF(DATOS!$G11350="OR",--(COUNTIFS(nNIA,DATOS!$A11350,nCURSO,DATOS!$D11350,nESPEC,DATOS!$E11350,nASIG,DATOS!$I11350,nEVAL,"EX")=0),0))))</f>
      </c>
      <c r="H11350">
        <f>IF(DATOS!$G11350&lt;&gt;"EX",0,--(COUNTIFS(nNIA,DATOS!$A11350,nCURSO,DATOS!$D11350,nESPEC,DATOS!$E11350,nASIG,DATOS!$I11350,nEVAL,"OR")=0))</f>
      </c>
      <c r="I11350">
        <f>IF(DATOS!$I11350="","",IFERROR(VLOOKUP(DATOS!$I11350,CONFIG_ASIGNATURAS!$B$2:$J$91,9,FALSE()),""))</f>
      </c>
    </row>
    <row r="11351">
      <c r="F11351">
        <f>IF(DATOS!$A11351="","",DATOS!$A11351&amp;"|"&amp;DATOS!$D11351&amp;"|"&amp;DATOS!$E11351&amp;"|"&amp;DATOS!$I11351)</f>
      </c>
      <c r="G11351">
        <f>IF(DATOS!$A11351="",0,IF(CONFIG_METADATA!$B$4&lt;&gt;"OR+EX",--(DATOS!$G11351=CONFIG_METADATA!$B$4),IF(DATOS!$G11351="EX",1,IF(DATOS!$G11351="OR",--(COUNTIFS(nNIA,DATOS!$A11351,nCURSO,DATOS!$D11351,nESPEC,DATOS!$E11351,nASIG,DATOS!$I11351,nEVAL,"EX")=0),0))))</f>
      </c>
      <c r="H11351">
        <f>IF(DATOS!$G11351&lt;&gt;"EX",0,--(COUNTIFS(nNIA,DATOS!$A11351,nCURSO,DATOS!$D11351,nESPEC,DATOS!$E11351,nASIG,DATOS!$I11351,nEVAL,"OR")=0))</f>
      </c>
      <c r="I11351">
        <f>IF(DATOS!$I11351="","",IFERROR(VLOOKUP(DATOS!$I11351,CONFIG_ASIGNATURAS!$B$2:$J$91,9,FALSE()),""))</f>
      </c>
    </row>
    <row r="11352">
      <c r="F11352">
        <f>IF(DATOS!$A11352="","",DATOS!$A11352&amp;"|"&amp;DATOS!$D11352&amp;"|"&amp;DATOS!$E11352&amp;"|"&amp;DATOS!$I11352)</f>
      </c>
      <c r="G11352">
        <f>IF(DATOS!$A11352="",0,IF(CONFIG_METADATA!$B$4&lt;&gt;"OR+EX",--(DATOS!$G11352=CONFIG_METADATA!$B$4),IF(DATOS!$G11352="EX",1,IF(DATOS!$G11352="OR",--(COUNTIFS(nNIA,DATOS!$A11352,nCURSO,DATOS!$D11352,nESPEC,DATOS!$E11352,nASIG,DATOS!$I11352,nEVAL,"EX")=0),0))))</f>
      </c>
      <c r="H11352">
        <f>IF(DATOS!$G11352&lt;&gt;"EX",0,--(COUNTIFS(nNIA,DATOS!$A11352,nCURSO,DATOS!$D11352,nESPEC,DATOS!$E11352,nASIG,DATOS!$I11352,nEVAL,"OR")=0))</f>
      </c>
      <c r="I11352">
        <f>IF(DATOS!$I11352="","",IFERROR(VLOOKUP(DATOS!$I11352,CONFIG_ASIGNATURAS!$B$2:$J$91,9,FALSE()),""))</f>
      </c>
    </row>
    <row r="11353">
      <c r="F11353">
        <f>IF(DATOS!$A11353="","",DATOS!$A11353&amp;"|"&amp;DATOS!$D11353&amp;"|"&amp;DATOS!$E11353&amp;"|"&amp;DATOS!$I11353)</f>
      </c>
      <c r="G11353">
        <f>IF(DATOS!$A11353="",0,IF(CONFIG_METADATA!$B$4&lt;&gt;"OR+EX",--(DATOS!$G11353=CONFIG_METADATA!$B$4),IF(DATOS!$G11353="EX",1,IF(DATOS!$G11353="OR",--(COUNTIFS(nNIA,DATOS!$A11353,nCURSO,DATOS!$D11353,nESPEC,DATOS!$E11353,nASIG,DATOS!$I11353,nEVAL,"EX")=0),0))))</f>
      </c>
      <c r="H11353">
        <f>IF(DATOS!$G11353&lt;&gt;"EX",0,--(COUNTIFS(nNIA,DATOS!$A11353,nCURSO,DATOS!$D11353,nESPEC,DATOS!$E11353,nASIG,DATOS!$I11353,nEVAL,"OR")=0))</f>
      </c>
      <c r="I11353">
        <f>IF(DATOS!$I11353="","",IFERROR(VLOOKUP(DATOS!$I11353,CONFIG_ASIGNATURAS!$B$2:$J$91,9,FALSE()),""))</f>
      </c>
    </row>
    <row r="11354">
      <c r="F11354">
        <f>IF(DATOS!$A11354="","",DATOS!$A11354&amp;"|"&amp;DATOS!$D11354&amp;"|"&amp;DATOS!$E11354&amp;"|"&amp;DATOS!$I11354)</f>
      </c>
      <c r="G11354">
        <f>IF(DATOS!$A11354="",0,IF(CONFIG_METADATA!$B$4&lt;&gt;"OR+EX",--(DATOS!$G11354=CONFIG_METADATA!$B$4),IF(DATOS!$G11354="EX",1,IF(DATOS!$G11354="OR",--(COUNTIFS(nNIA,DATOS!$A11354,nCURSO,DATOS!$D11354,nESPEC,DATOS!$E11354,nASIG,DATOS!$I11354,nEVAL,"EX")=0),0))))</f>
      </c>
      <c r="H11354">
        <f>IF(DATOS!$G11354&lt;&gt;"EX",0,--(COUNTIFS(nNIA,DATOS!$A11354,nCURSO,DATOS!$D11354,nESPEC,DATOS!$E11354,nASIG,DATOS!$I11354,nEVAL,"OR")=0))</f>
      </c>
      <c r="I11354">
        <f>IF(DATOS!$I11354="","",IFERROR(VLOOKUP(DATOS!$I11354,CONFIG_ASIGNATURAS!$B$2:$J$91,9,FALSE()),""))</f>
      </c>
    </row>
    <row r="11355">
      <c r="F11355">
        <f>IF(DATOS!$A11355="","",DATOS!$A11355&amp;"|"&amp;DATOS!$D11355&amp;"|"&amp;DATOS!$E11355&amp;"|"&amp;DATOS!$I11355)</f>
      </c>
      <c r="G11355">
        <f>IF(DATOS!$A11355="",0,IF(CONFIG_METADATA!$B$4&lt;&gt;"OR+EX",--(DATOS!$G11355=CONFIG_METADATA!$B$4),IF(DATOS!$G11355="EX",1,IF(DATOS!$G11355="OR",--(COUNTIFS(nNIA,DATOS!$A11355,nCURSO,DATOS!$D11355,nESPEC,DATOS!$E11355,nASIG,DATOS!$I11355,nEVAL,"EX")=0),0))))</f>
      </c>
      <c r="H11355">
        <f>IF(DATOS!$G11355&lt;&gt;"EX",0,--(COUNTIFS(nNIA,DATOS!$A11355,nCURSO,DATOS!$D11355,nESPEC,DATOS!$E11355,nASIG,DATOS!$I11355,nEVAL,"OR")=0))</f>
      </c>
      <c r="I11355">
        <f>IF(DATOS!$I11355="","",IFERROR(VLOOKUP(DATOS!$I11355,CONFIG_ASIGNATURAS!$B$2:$J$91,9,FALSE()),""))</f>
      </c>
    </row>
    <row r="11356">
      <c r="F11356">
        <f>IF(DATOS!$A11356="","",DATOS!$A11356&amp;"|"&amp;DATOS!$D11356&amp;"|"&amp;DATOS!$E11356&amp;"|"&amp;DATOS!$I11356)</f>
      </c>
      <c r="G11356">
        <f>IF(DATOS!$A11356="",0,IF(CONFIG_METADATA!$B$4&lt;&gt;"OR+EX",--(DATOS!$G11356=CONFIG_METADATA!$B$4),IF(DATOS!$G11356="EX",1,IF(DATOS!$G11356="OR",--(COUNTIFS(nNIA,DATOS!$A11356,nCURSO,DATOS!$D11356,nESPEC,DATOS!$E11356,nASIG,DATOS!$I11356,nEVAL,"EX")=0),0))))</f>
      </c>
      <c r="H11356">
        <f>IF(DATOS!$G11356&lt;&gt;"EX",0,--(COUNTIFS(nNIA,DATOS!$A11356,nCURSO,DATOS!$D11356,nESPEC,DATOS!$E11356,nASIG,DATOS!$I11356,nEVAL,"OR")=0))</f>
      </c>
      <c r="I11356">
        <f>IF(DATOS!$I11356="","",IFERROR(VLOOKUP(DATOS!$I11356,CONFIG_ASIGNATURAS!$B$2:$J$91,9,FALSE()),""))</f>
      </c>
    </row>
    <row r="11357">
      <c r="F11357">
        <f>IF(DATOS!$A11357="","",DATOS!$A11357&amp;"|"&amp;DATOS!$D11357&amp;"|"&amp;DATOS!$E11357&amp;"|"&amp;DATOS!$I11357)</f>
      </c>
      <c r="G11357">
        <f>IF(DATOS!$A11357="",0,IF(CONFIG_METADATA!$B$4&lt;&gt;"OR+EX",--(DATOS!$G11357=CONFIG_METADATA!$B$4),IF(DATOS!$G11357="EX",1,IF(DATOS!$G11357="OR",--(COUNTIFS(nNIA,DATOS!$A11357,nCURSO,DATOS!$D11357,nESPEC,DATOS!$E11357,nASIG,DATOS!$I11357,nEVAL,"EX")=0),0))))</f>
      </c>
      <c r="H11357">
        <f>IF(DATOS!$G11357&lt;&gt;"EX",0,--(COUNTIFS(nNIA,DATOS!$A11357,nCURSO,DATOS!$D11357,nESPEC,DATOS!$E11357,nASIG,DATOS!$I11357,nEVAL,"OR")=0))</f>
      </c>
      <c r="I11357">
        <f>IF(DATOS!$I11357="","",IFERROR(VLOOKUP(DATOS!$I11357,CONFIG_ASIGNATURAS!$B$2:$J$91,9,FALSE()),""))</f>
      </c>
    </row>
    <row r="11358">
      <c r="F11358">
        <f>IF(DATOS!$A11358="","",DATOS!$A11358&amp;"|"&amp;DATOS!$D11358&amp;"|"&amp;DATOS!$E11358&amp;"|"&amp;DATOS!$I11358)</f>
      </c>
      <c r="G11358">
        <f>IF(DATOS!$A11358="",0,IF(CONFIG_METADATA!$B$4&lt;&gt;"OR+EX",--(DATOS!$G11358=CONFIG_METADATA!$B$4),IF(DATOS!$G11358="EX",1,IF(DATOS!$G11358="OR",--(COUNTIFS(nNIA,DATOS!$A11358,nCURSO,DATOS!$D11358,nESPEC,DATOS!$E11358,nASIG,DATOS!$I11358,nEVAL,"EX")=0),0))))</f>
      </c>
      <c r="H11358">
        <f>IF(DATOS!$G11358&lt;&gt;"EX",0,--(COUNTIFS(nNIA,DATOS!$A11358,nCURSO,DATOS!$D11358,nESPEC,DATOS!$E11358,nASIG,DATOS!$I11358,nEVAL,"OR")=0))</f>
      </c>
      <c r="I11358">
        <f>IF(DATOS!$I11358="","",IFERROR(VLOOKUP(DATOS!$I11358,CONFIG_ASIGNATURAS!$B$2:$J$91,9,FALSE()),""))</f>
      </c>
    </row>
    <row r="11359">
      <c r="F11359">
        <f>IF(DATOS!$A11359="","",DATOS!$A11359&amp;"|"&amp;DATOS!$D11359&amp;"|"&amp;DATOS!$E11359&amp;"|"&amp;DATOS!$I11359)</f>
      </c>
      <c r="G11359">
        <f>IF(DATOS!$A11359="",0,IF(CONFIG_METADATA!$B$4&lt;&gt;"OR+EX",--(DATOS!$G11359=CONFIG_METADATA!$B$4),IF(DATOS!$G11359="EX",1,IF(DATOS!$G11359="OR",--(COUNTIFS(nNIA,DATOS!$A11359,nCURSO,DATOS!$D11359,nESPEC,DATOS!$E11359,nASIG,DATOS!$I11359,nEVAL,"EX")=0),0))))</f>
      </c>
      <c r="H11359">
        <f>IF(DATOS!$G11359&lt;&gt;"EX",0,--(COUNTIFS(nNIA,DATOS!$A11359,nCURSO,DATOS!$D11359,nESPEC,DATOS!$E11359,nASIG,DATOS!$I11359,nEVAL,"OR")=0))</f>
      </c>
      <c r="I11359">
        <f>IF(DATOS!$I11359="","",IFERROR(VLOOKUP(DATOS!$I11359,CONFIG_ASIGNATURAS!$B$2:$J$91,9,FALSE()),""))</f>
      </c>
    </row>
    <row r="11360">
      <c r="F11360">
        <f>IF(DATOS!$A11360="","",DATOS!$A11360&amp;"|"&amp;DATOS!$D11360&amp;"|"&amp;DATOS!$E11360&amp;"|"&amp;DATOS!$I11360)</f>
      </c>
      <c r="G11360">
        <f>IF(DATOS!$A11360="",0,IF(CONFIG_METADATA!$B$4&lt;&gt;"OR+EX",--(DATOS!$G11360=CONFIG_METADATA!$B$4),IF(DATOS!$G11360="EX",1,IF(DATOS!$G11360="OR",--(COUNTIFS(nNIA,DATOS!$A11360,nCURSO,DATOS!$D11360,nESPEC,DATOS!$E11360,nASIG,DATOS!$I11360,nEVAL,"EX")=0),0))))</f>
      </c>
      <c r="H11360">
        <f>IF(DATOS!$G11360&lt;&gt;"EX",0,--(COUNTIFS(nNIA,DATOS!$A11360,nCURSO,DATOS!$D11360,nESPEC,DATOS!$E11360,nASIG,DATOS!$I11360,nEVAL,"OR")=0))</f>
      </c>
      <c r="I11360">
        <f>IF(DATOS!$I11360="","",IFERROR(VLOOKUP(DATOS!$I11360,CONFIG_ASIGNATURAS!$B$2:$J$91,9,FALSE()),""))</f>
      </c>
    </row>
    <row r="11361">
      <c r="F11361">
        <f>IF(DATOS!$A11361="","",DATOS!$A11361&amp;"|"&amp;DATOS!$D11361&amp;"|"&amp;DATOS!$E11361&amp;"|"&amp;DATOS!$I11361)</f>
      </c>
      <c r="G11361">
        <f>IF(DATOS!$A11361="",0,IF(CONFIG_METADATA!$B$4&lt;&gt;"OR+EX",--(DATOS!$G11361=CONFIG_METADATA!$B$4),IF(DATOS!$G11361="EX",1,IF(DATOS!$G11361="OR",--(COUNTIFS(nNIA,DATOS!$A11361,nCURSO,DATOS!$D11361,nESPEC,DATOS!$E11361,nASIG,DATOS!$I11361,nEVAL,"EX")=0),0))))</f>
      </c>
      <c r="H11361">
        <f>IF(DATOS!$G11361&lt;&gt;"EX",0,--(COUNTIFS(nNIA,DATOS!$A11361,nCURSO,DATOS!$D11361,nESPEC,DATOS!$E11361,nASIG,DATOS!$I11361,nEVAL,"OR")=0))</f>
      </c>
      <c r="I11361">
        <f>IF(DATOS!$I11361="","",IFERROR(VLOOKUP(DATOS!$I11361,CONFIG_ASIGNATURAS!$B$2:$J$91,9,FALSE()),""))</f>
      </c>
    </row>
    <row r="11362">
      <c r="F11362">
        <f>IF(DATOS!$A11362="","",DATOS!$A11362&amp;"|"&amp;DATOS!$D11362&amp;"|"&amp;DATOS!$E11362&amp;"|"&amp;DATOS!$I11362)</f>
      </c>
      <c r="G11362">
        <f>IF(DATOS!$A11362="",0,IF(CONFIG_METADATA!$B$4&lt;&gt;"OR+EX",--(DATOS!$G11362=CONFIG_METADATA!$B$4),IF(DATOS!$G11362="EX",1,IF(DATOS!$G11362="OR",--(COUNTIFS(nNIA,DATOS!$A11362,nCURSO,DATOS!$D11362,nESPEC,DATOS!$E11362,nASIG,DATOS!$I11362,nEVAL,"EX")=0),0))))</f>
      </c>
      <c r="H11362">
        <f>IF(DATOS!$G11362&lt;&gt;"EX",0,--(COUNTIFS(nNIA,DATOS!$A11362,nCURSO,DATOS!$D11362,nESPEC,DATOS!$E11362,nASIG,DATOS!$I11362,nEVAL,"OR")=0))</f>
      </c>
      <c r="I11362">
        <f>IF(DATOS!$I11362="","",IFERROR(VLOOKUP(DATOS!$I11362,CONFIG_ASIGNATURAS!$B$2:$J$91,9,FALSE()),""))</f>
      </c>
    </row>
    <row r="11363">
      <c r="F11363">
        <f>IF(DATOS!$A11363="","",DATOS!$A11363&amp;"|"&amp;DATOS!$D11363&amp;"|"&amp;DATOS!$E11363&amp;"|"&amp;DATOS!$I11363)</f>
      </c>
      <c r="G11363">
        <f>IF(DATOS!$A11363="",0,IF(CONFIG_METADATA!$B$4&lt;&gt;"OR+EX",--(DATOS!$G11363=CONFIG_METADATA!$B$4),IF(DATOS!$G11363="EX",1,IF(DATOS!$G11363="OR",--(COUNTIFS(nNIA,DATOS!$A11363,nCURSO,DATOS!$D11363,nESPEC,DATOS!$E11363,nASIG,DATOS!$I11363,nEVAL,"EX")=0),0))))</f>
      </c>
      <c r="H11363">
        <f>IF(DATOS!$G11363&lt;&gt;"EX",0,--(COUNTIFS(nNIA,DATOS!$A11363,nCURSO,DATOS!$D11363,nESPEC,DATOS!$E11363,nASIG,DATOS!$I11363,nEVAL,"OR")=0))</f>
      </c>
      <c r="I11363">
        <f>IF(DATOS!$I11363="","",IFERROR(VLOOKUP(DATOS!$I11363,CONFIG_ASIGNATURAS!$B$2:$J$91,9,FALSE()),""))</f>
      </c>
    </row>
    <row r="11364">
      <c r="F11364">
        <f>IF(DATOS!$A11364="","",DATOS!$A11364&amp;"|"&amp;DATOS!$D11364&amp;"|"&amp;DATOS!$E11364&amp;"|"&amp;DATOS!$I11364)</f>
      </c>
      <c r="G11364">
        <f>IF(DATOS!$A11364="",0,IF(CONFIG_METADATA!$B$4&lt;&gt;"OR+EX",--(DATOS!$G11364=CONFIG_METADATA!$B$4),IF(DATOS!$G11364="EX",1,IF(DATOS!$G11364="OR",--(COUNTIFS(nNIA,DATOS!$A11364,nCURSO,DATOS!$D11364,nESPEC,DATOS!$E11364,nASIG,DATOS!$I11364,nEVAL,"EX")=0),0))))</f>
      </c>
      <c r="H11364">
        <f>IF(DATOS!$G11364&lt;&gt;"EX",0,--(COUNTIFS(nNIA,DATOS!$A11364,nCURSO,DATOS!$D11364,nESPEC,DATOS!$E11364,nASIG,DATOS!$I11364,nEVAL,"OR")=0))</f>
      </c>
      <c r="I11364">
        <f>IF(DATOS!$I11364="","",IFERROR(VLOOKUP(DATOS!$I11364,CONFIG_ASIGNATURAS!$B$2:$J$91,9,FALSE()),""))</f>
      </c>
    </row>
    <row r="11365">
      <c r="F11365">
        <f>IF(DATOS!$A11365="","",DATOS!$A11365&amp;"|"&amp;DATOS!$D11365&amp;"|"&amp;DATOS!$E11365&amp;"|"&amp;DATOS!$I11365)</f>
      </c>
      <c r="G11365">
        <f>IF(DATOS!$A11365="",0,IF(CONFIG_METADATA!$B$4&lt;&gt;"OR+EX",--(DATOS!$G11365=CONFIG_METADATA!$B$4),IF(DATOS!$G11365="EX",1,IF(DATOS!$G11365="OR",--(COUNTIFS(nNIA,DATOS!$A11365,nCURSO,DATOS!$D11365,nESPEC,DATOS!$E11365,nASIG,DATOS!$I11365,nEVAL,"EX")=0),0))))</f>
      </c>
      <c r="H11365">
        <f>IF(DATOS!$G11365&lt;&gt;"EX",0,--(COUNTIFS(nNIA,DATOS!$A11365,nCURSO,DATOS!$D11365,nESPEC,DATOS!$E11365,nASIG,DATOS!$I11365,nEVAL,"OR")=0))</f>
      </c>
      <c r="I11365">
        <f>IF(DATOS!$I11365="","",IFERROR(VLOOKUP(DATOS!$I11365,CONFIG_ASIGNATURAS!$B$2:$J$91,9,FALSE()),""))</f>
      </c>
    </row>
    <row r="11366">
      <c r="F11366">
        <f>IF(DATOS!$A11366="","",DATOS!$A11366&amp;"|"&amp;DATOS!$D11366&amp;"|"&amp;DATOS!$E11366&amp;"|"&amp;DATOS!$I11366)</f>
      </c>
      <c r="G11366">
        <f>IF(DATOS!$A11366="",0,IF(CONFIG_METADATA!$B$4&lt;&gt;"OR+EX",--(DATOS!$G11366=CONFIG_METADATA!$B$4),IF(DATOS!$G11366="EX",1,IF(DATOS!$G11366="OR",--(COUNTIFS(nNIA,DATOS!$A11366,nCURSO,DATOS!$D11366,nESPEC,DATOS!$E11366,nASIG,DATOS!$I11366,nEVAL,"EX")=0),0))))</f>
      </c>
      <c r="H11366">
        <f>IF(DATOS!$G11366&lt;&gt;"EX",0,--(COUNTIFS(nNIA,DATOS!$A11366,nCURSO,DATOS!$D11366,nESPEC,DATOS!$E11366,nASIG,DATOS!$I11366,nEVAL,"OR")=0))</f>
      </c>
      <c r="I11366">
        <f>IF(DATOS!$I11366="","",IFERROR(VLOOKUP(DATOS!$I11366,CONFIG_ASIGNATURAS!$B$2:$J$91,9,FALSE()),""))</f>
      </c>
    </row>
    <row r="11367">
      <c r="F11367">
        <f>IF(DATOS!$A11367="","",DATOS!$A11367&amp;"|"&amp;DATOS!$D11367&amp;"|"&amp;DATOS!$E11367&amp;"|"&amp;DATOS!$I11367)</f>
      </c>
      <c r="G11367">
        <f>IF(DATOS!$A11367="",0,IF(CONFIG_METADATA!$B$4&lt;&gt;"OR+EX",--(DATOS!$G11367=CONFIG_METADATA!$B$4),IF(DATOS!$G11367="EX",1,IF(DATOS!$G11367="OR",--(COUNTIFS(nNIA,DATOS!$A11367,nCURSO,DATOS!$D11367,nESPEC,DATOS!$E11367,nASIG,DATOS!$I11367,nEVAL,"EX")=0),0))))</f>
      </c>
      <c r="H11367">
        <f>IF(DATOS!$G11367&lt;&gt;"EX",0,--(COUNTIFS(nNIA,DATOS!$A11367,nCURSO,DATOS!$D11367,nESPEC,DATOS!$E11367,nASIG,DATOS!$I11367,nEVAL,"OR")=0))</f>
      </c>
      <c r="I11367">
        <f>IF(DATOS!$I11367="","",IFERROR(VLOOKUP(DATOS!$I11367,CONFIG_ASIGNATURAS!$B$2:$J$91,9,FALSE()),""))</f>
      </c>
    </row>
    <row r="11368">
      <c r="F11368">
        <f>IF(DATOS!$A11368="","",DATOS!$A11368&amp;"|"&amp;DATOS!$D11368&amp;"|"&amp;DATOS!$E11368&amp;"|"&amp;DATOS!$I11368)</f>
      </c>
      <c r="G11368">
        <f>IF(DATOS!$A11368="",0,IF(CONFIG_METADATA!$B$4&lt;&gt;"OR+EX",--(DATOS!$G11368=CONFIG_METADATA!$B$4),IF(DATOS!$G11368="EX",1,IF(DATOS!$G11368="OR",--(COUNTIFS(nNIA,DATOS!$A11368,nCURSO,DATOS!$D11368,nESPEC,DATOS!$E11368,nASIG,DATOS!$I11368,nEVAL,"EX")=0),0))))</f>
      </c>
      <c r="H11368">
        <f>IF(DATOS!$G11368&lt;&gt;"EX",0,--(COUNTIFS(nNIA,DATOS!$A11368,nCURSO,DATOS!$D11368,nESPEC,DATOS!$E11368,nASIG,DATOS!$I11368,nEVAL,"OR")=0))</f>
      </c>
      <c r="I11368">
        <f>IF(DATOS!$I11368="","",IFERROR(VLOOKUP(DATOS!$I11368,CONFIG_ASIGNATURAS!$B$2:$J$91,9,FALSE()),""))</f>
      </c>
    </row>
    <row r="11369">
      <c r="F11369">
        <f>IF(DATOS!$A11369="","",DATOS!$A11369&amp;"|"&amp;DATOS!$D11369&amp;"|"&amp;DATOS!$E11369&amp;"|"&amp;DATOS!$I11369)</f>
      </c>
      <c r="G11369">
        <f>IF(DATOS!$A11369="",0,IF(CONFIG_METADATA!$B$4&lt;&gt;"OR+EX",--(DATOS!$G11369=CONFIG_METADATA!$B$4),IF(DATOS!$G11369="EX",1,IF(DATOS!$G11369="OR",--(COUNTIFS(nNIA,DATOS!$A11369,nCURSO,DATOS!$D11369,nESPEC,DATOS!$E11369,nASIG,DATOS!$I11369,nEVAL,"EX")=0),0))))</f>
      </c>
      <c r="H11369">
        <f>IF(DATOS!$G11369&lt;&gt;"EX",0,--(COUNTIFS(nNIA,DATOS!$A11369,nCURSO,DATOS!$D11369,nESPEC,DATOS!$E11369,nASIG,DATOS!$I11369,nEVAL,"OR")=0))</f>
      </c>
      <c r="I11369">
        <f>IF(DATOS!$I11369="","",IFERROR(VLOOKUP(DATOS!$I11369,CONFIG_ASIGNATURAS!$B$2:$J$91,9,FALSE()),""))</f>
      </c>
    </row>
    <row r="11370">
      <c r="F11370">
        <f>IF(DATOS!$A11370="","",DATOS!$A11370&amp;"|"&amp;DATOS!$D11370&amp;"|"&amp;DATOS!$E11370&amp;"|"&amp;DATOS!$I11370)</f>
      </c>
      <c r="G11370">
        <f>IF(DATOS!$A11370="",0,IF(CONFIG_METADATA!$B$4&lt;&gt;"OR+EX",--(DATOS!$G11370=CONFIG_METADATA!$B$4),IF(DATOS!$G11370="EX",1,IF(DATOS!$G11370="OR",--(COUNTIFS(nNIA,DATOS!$A11370,nCURSO,DATOS!$D11370,nESPEC,DATOS!$E11370,nASIG,DATOS!$I11370,nEVAL,"EX")=0),0))))</f>
      </c>
      <c r="H11370">
        <f>IF(DATOS!$G11370&lt;&gt;"EX",0,--(COUNTIFS(nNIA,DATOS!$A11370,nCURSO,DATOS!$D11370,nESPEC,DATOS!$E11370,nASIG,DATOS!$I11370,nEVAL,"OR")=0))</f>
      </c>
      <c r="I11370">
        <f>IF(DATOS!$I11370="","",IFERROR(VLOOKUP(DATOS!$I11370,CONFIG_ASIGNATURAS!$B$2:$J$91,9,FALSE()),""))</f>
      </c>
    </row>
    <row r="11371">
      <c r="F11371">
        <f>IF(DATOS!$A11371="","",DATOS!$A11371&amp;"|"&amp;DATOS!$D11371&amp;"|"&amp;DATOS!$E11371&amp;"|"&amp;DATOS!$I11371)</f>
      </c>
      <c r="G11371">
        <f>IF(DATOS!$A11371="",0,IF(CONFIG_METADATA!$B$4&lt;&gt;"OR+EX",--(DATOS!$G11371=CONFIG_METADATA!$B$4),IF(DATOS!$G11371="EX",1,IF(DATOS!$G11371="OR",--(COUNTIFS(nNIA,DATOS!$A11371,nCURSO,DATOS!$D11371,nESPEC,DATOS!$E11371,nASIG,DATOS!$I11371,nEVAL,"EX")=0),0))))</f>
      </c>
      <c r="H11371">
        <f>IF(DATOS!$G11371&lt;&gt;"EX",0,--(COUNTIFS(nNIA,DATOS!$A11371,nCURSO,DATOS!$D11371,nESPEC,DATOS!$E11371,nASIG,DATOS!$I11371,nEVAL,"OR")=0))</f>
      </c>
      <c r="I11371">
        <f>IF(DATOS!$I11371="","",IFERROR(VLOOKUP(DATOS!$I11371,CONFIG_ASIGNATURAS!$B$2:$J$91,9,FALSE()),""))</f>
      </c>
    </row>
    <row r="11372">
      <c r="F11372">
        <f>IF(DATOS!$A11372="","",DATOS!$A11372&amp;"|"&amp;DATOS!$D11372&amp;"|"&amp;DATOS!$E11372&amp;"|"&amp;DATOS!$I11372)</f>
      </c>
      <c r="G11372">
        <f>IF(DATOS!$A11372="",0,IF(CONFIG_METADATA!$B$4&lt;&gt;"OR+EX",--(DATOS!$G11372=CONFIG_METADATA!$B$4),IF(DATOS!$G11372="EX",1,IF(DATOS!$G11372="OR",--(COUNTIFS(nNIA,DATOS!$A11372,nCURSO,DATOS!$D11372,nESPEC,DATOS!$E11372,nASIG,DATOS!$I11372,nEVAL,"EX")=0),0))))</f>
      </c>
      <c r="H11372">
        <f>IF(DATOS!$G11372&lt;&gt;"EX",0,--(COUNTIFS(nNIA,DATOS!$A11372,nCURSO,DATOS!$D11372,nESPEC,DATOS!$E11372,nASIG,DATOS!$I11372,nEVAL,"OR")=0))</f>
      </c>
      <c r="I11372">
        <f>IF(DATOS!$I11372="","",IFERROR(VLOOKUP(DATOS!$I11372,CONFIG_ASIGNATURAS!$B$2:$J$91,9,FALSE()),""))</f>
      </c>
    </row>
    <row r="11373">
      <c r="F11373">
        <f>IF(DATOS!$A11373="","",DATOS!$A11373&amp;"|"&amp;DATOS!$D11373&amp;"|"&amp;DATOS!$E11373&amp;"|"&amp;DATOS!$I11373)</f>
      </c>
      <c r="G11373">
        <f>IF(DATOS!$A11373="",0,IF(CONFIG_METADATA!$B$4&lt;&gt;"OR+EX",--(DATOS!$G11373=CONFIG_METADATA!$B$4),IF(DATOS!$G11373="EX",1,IF(DATOS!$G11373="OR",--(COUNTIFS(nNIA,DATOS!$A11373,nCURSO,DATOS!$D11373,nESPEC,DATOS!$E11373,nASIG,DATOS!$I11373,nEVAL,"EX")=0),0))))</f>
      </c>
      <c r="H11373">
        <f>IF(DATOS!$G11373&lt;&gt;"EX",0,--(COUNTIFS(nNIA,DATOS!$A11373,nCURSO,DATOS!$D11373,nESPEC,DATOS!$E11373,nASIG,DATOS!$I11373,nEVAL,"OR")=0))</f>
      </c>
      <c r="I11373">
        <f>IF(DATOS!$I11373="","",IFERROR(VLOOKUP(DATOS!$I11373,CONFIG_ASIGNATURAS!$B$2:$J$91,9,FALSE()),""))</f>
      </c>
    </row>
    <row r="11374">
      <c r="F11374">
        <f>IF(DATOS!$A11374="","",DATOS!$A11374&amp;"|"&amp;DATOS!$D11374&amp;"|"&amp;DATOS!$E11374&amp;"|"&amp;DATOS!$I11374)</f>
      </c>
      <c r="G11374">
        <f>IF(DATOS!$A11374="",0,IF(CONFIG_METADATA!$B$4&lt;&gt;"OR+EX",--(DATOS!$G11374=CONFIG_METADATA!$B$4),IF(DATOS!$G11374="EX",1,IF(DATOS!$G11374="OR",--(COUNTIFS(nNIA,DATOS!$A11374,nCURSO,DATOS!$D11374,nESPEC,DATOS!$E11374,nASIG,DATOS!$I11374,nEVAL,"EX")=0),0))))</f>
      </c>
      <c r="H11374">
        <f>IF(DATOS!$G11374&lt;&gt;"EX",0,--(COUNTIFS(nNIA,DATOS!$A11374,nCURSO,DATOS!$D11374,nESPEC,DATOS!$E11374,nASIG,DATOS!$I11374,nEVAL,"OR")=0))</f>
      </c>
      <c r="I11374">
        <f>IF(DATOS!$I11374="","",IFERROR(VLOOKUP(DATOS!$I11374,CONFIG_ASIGNATURAS!$B$2:$J$91,9,FALSE()),""))</f>
      </c>
    </row>
    <row r="11375">
      <c r="F11375">
        <f>IF(DATOS!$A11375="","",DATOS!$A11375&amp;"|"&amp;DATOS!$D11375&amp;"|"&amp;DATOS!$E11375&amp;"|"&amp;DATOS!$I11375)</f>
      </c>
      <c r="G11375">
        <f>IF(DATOS!$A11375="",0,IF(CONFIG_METADATA!$B$4&lt;&gt;"OR+EX",--(DATOS!$G11375=CONFIG_METADATA!$B$4),IF(DATOS!$G11375="EX",1,IF(DATOS!$G11375="OR",--(COUNTIFS(nNIA,DATOS!$A11375,nCURSO,DATOS!$D11375,nESPEC,DATOS!$E11375,nASIG,DATOS!$I11375,nEVAL,"EX")=0),0))))</f>
      </c>
      <c r="H11375">
        <f>IF(DATOS!$G11375&lt;&gt;"EX",0,--(COUNTIFS(nNIA,DATOS!$A11375,nCURSO,DATOS!$D11375,nESPEC,DATOS!$E11375,nASIG,DATOS!$I11375,nEVAL,"OR")=0))</f>
      </c>
      <c r="I11375">
        <f>IF(DATOS!$I11375="","",IFERROR(VLOOKUP(DATOS!$I11375,CONFIG_ASIGNATURAS!$B$2:$J$91,9,FALSE()),""))</f>
      </c>
    </row>
    <row r="11376">
      <c r="F11376">
        <f>IF(DATOS!$A11376="","",DATOS!$A11376&amp;"|"&amp;DATOS!$D11376&amp;"|"&amp;DATOS!$E11376&amp;"|"&amp;DATOS!$I11376)</f>
      </c>
      <c r="G11376">
        <f>IF(DATOS!$A11376="",0,IF(CONFIG_METADATA!$B$4&lt;&gt;"OR+EX",--(DATOS!$G11376=CONFIG_METADATA!$B$4),IF(DATOS!$G11376="EX",1,IF(DATOS!$G11376="OR",--(COUNTIFS(nNIA,DATOS!$A11376,nCURSO,DATOS!$D11376,nESPEC,DATOS!$E11376,nASIG,DATOS!$I11376,nEVAL,"EX")=0),0))))</f>
      </c>
      <c r="H11376">
        <f>IF(DATOS!$G11376&lt;&gt;"EX",0,--(COUNTIFS(nNIA,DATOS!$A11376,nCURSO,DATOS!$D11376,nESPEC,DATOS!$E11376,nASIG,DATOS!$I11376,nEVAL,"OR")=0))</f>
      </c>
      <c r="I11376">
        <f>IF(DATOS!$I11376="","",IFERROR(VLOOKUP(DATOS!$I11376,CONFIG_ASIGNATURAS!$B$2:$J$91,9,FALSE()),""))</f>
      </c>
    </row>
    <row r="11377">
      <c r="F11377">
        <f>IF(DATOS!$A11377="","",DATOS!$A11377&amp;"|"&amp;DATOS!$D11377&amp;"|"&amp;DATOS!$E11377&amp;"|"&amp;DATOS!$I11377)</f>
      </c>
      <c r="G11377">
        <f>IF(DATOS!$A11377="",0,IF(CONFIG_METADATA!$B$4&lt;&gt;"OR+EX",--(DATOS!$G11377=CONFIG_METADATA!$B$4),IF(DATOS!$G11377="EX",1,IF(DATOS!$G11377="OR",--(COUNTIFS(nNIA,DATOS!$A11377,nCURSO,DATOS!$D11377,nESPEC,DATOS!$E11377,nASIG,DATOS!$I11377,nEVAL,"EX")=0),0))))</f>
      </c>
      <c r="H11377">
        <f>IF(DATOS!$G11377&lt;&gt;"EX",0,--(COUNTIFS(nNIA,DATOS!$A11377,nCURSO,DATOS!$D11377,nESPEC,DATOS!$E11377,nASIG,DATOS!$I11377,nEVAL,"OR")=0))</f>
      </c>
      <c r="I11377">
        <f>IF(DATOS!$I11377="","",IFERROR(VLOOKUP(DATOS!$I11377,CONFIG_ASIGNATURAS!$B$2:$J$91,9,FALSE()),""))</f>
      </c>
    </row>
    <row r="11378">
      <c r="F11378">
        <f>IF(DATOS!$A11378="","",DATOS!$A11378&amp;"|"&amp;DATOS!$D11378&amp;"|"&amp;DATOS!$E11378&amp;"|"&amp;DATOS!$I11378)</f>
      </c>
      <c r="G11378">
        <f>IF(DATOS!$A11378="",0,IF(CONFIG_METADATA!$B$4&lt;&gt;"OR+EX",--(DATOS!$G11378=CONFIG_METADATA!$B$4),IF(DATOS!$G11378="EX",1,IF(DATOS!$G11378="OR",--(COUNTIFS(nNIA,DATOS!$A11378,nCURSO,DATOS!$D11378,nESPEC,DATOS!$E11378,nASIG,DATOS!$I11378,nEVAL,"EX")=0),0))))</f>
      </c>
      <c r="H11378">
        <f>IF(DATOS!$G11378&lt;&gt;"EX",0,--(COUNTIFS(nNIA,DATOS!$A11378,nCURSO,DATOS!$D11378,nESPEC,DATOS!$E11378,nASIG,DATOS!$I11378,nEVAL,"OR")=0))</f>
      </c>
      <c r="I11378">
        <f>IF(DATOS!$I11378="","",IFERROR(VLOOKUP(DATOS!$I11378,CONFIG_ASIGNATURAS!$B$2:$J$91,9,FALSE()),""))</f>
      </c>
    </row>
    <row r="11379">
      <c r="F11379">
        <f>IF(DATOS!$A11379="","",DATOS!$A11379&amp;"|"&amp;DATOS!$D11379&amp;"|"&amp;DATOS!$E11379&amp;"|"&amp;DATOS!$I11379)</f>
      </c>
      <c r="G11379">
        <f>IF(DATOS!$A11379="",0,IF(CONFIG_METADATA!$B$4&lt;&gt;"OR+EX",--(DATOS!$G11379=CONFIG_METADATA!$B$4),IF(DATOS!$G11379="EX",1,IF(DATOS!$G11379="OR",--(COUNTIFS(nNIA,DATOS!$A11379,nCURSO,DATOS!$D11379,nESPEC,DATOS!$E11379,nASIG,DATOS!$I11379,nEVAL,"EX")=0),0))))</f>
      </c>
      <c r="H11379">
        <f>IF(DATOS!$G11379&lt;&gt;"EX",0,--(COUNTIFS(nNIA,DATOS!$A11379,nCURSO,DATOS!$D11379,nESPEC,DATOS!$E11379,nASIG,DATOS!$I11379,nEVAL,"OR")=0))</f>
      </c>
      <c r="I11379">
        <f>IF(DATOS!$I11379="","",IFERROR(VLOOKUP(DATOS!$I11379,CONFIG_ASIGNATURAS!$B$2:$J$91,9,FALSE()),""))</f>
      </c>
    </row>
    <row r="11380">
      <c r="F11380">
        <f>IF(DATOS!$A11380="","",DATOS!$A11380&amp;"|"&amp;DATOS!$D11380&amp;"|"&amp;DATOS!$E11380&amp;"|"&amp;DATOS!$I11380)</f>
      </c>
      <c r="G11380">
        <f>IF(DATOS!$A11380="",0,IF(CONFIG_METADATA!$B$4&lt;&gt;"OR+EX",--(DATOS!$G11380=CONFIG_METADATA!$B$4),IF(DATOS!$G11380="EX",1,IF(DATOS!$G11380="OR",--(COUNTIFS(nNIA,DATOS!$A11380,nCURSO,DATOS!$D11380,nESPEC,DATOS!$E11380,nASIG,DATOS!$I11380,nEVAL,"EX")=0),0))))</f>
      </c>
      <c r="H11380">
        <f>IF(DATOS!$G11380&lt;&gt;"EX",0,--(COUNTIFS(nNIA,DATOS!$A11380,nCURSO,DATOS!$D11380,nESPEC,DATOS!$E11380,nASIG,DATOS!$I11380,nEVAL,"OR")=0))</f>
      </c>
      <c r="I11380">
        <f>IF(DATOS!$I11380="","",IFERROR(VLOOKUP(DATOS!$I11380,CONFIG_ASIGNATURAS!$B$2:$J$91,9,FALSE()),""))</f>
      </c>
    </row>
    <row r="11381">
      <c r="F11381">
        <f>IF(DATOS!$A11381="","",DATOS!$A11381&amp;"|"&amp;DATOS!$D11381&amp;"|"&amp;DATOS!$E11381&amp;"|"&amp;DATOS!$I11381)</f>
      </c>
      <c r="G11381">
        <f>IF(DATOS!$A11381="",0,IF(CONFIG_METADATA!$B$4&lt;&gt;"OR+EX",--(DATOS!$G11381=CONFIG_METADATA!$B$4),IF(DATOS!$G11381="EX",1,IF(DATOS!$G11381="OR",--(COUNTIFS(nNIA,DATOS!$A11381,nCURSO,DATOS!$D11381,nESPEC,DATOS!$E11381,nASIG,DATOS!$I11381,nEVAL,"EX")=0),0))))</f>
      </c>
      <c r="H11381">
        <f>IF(DATOS!$G11381&lt;&gt;"EX",0,--(COUNTIFS(nNIA,DATOS!$A11381,nCURSO,DATOS!$D11381,nESPEC,DATOS!$E11381,nASIG,DATOS!$I11381,nEVAL,"OR")=0))</f>
      </c>
      <c r="I11381">
        <f>IF(DATOS!$I11381="","",IFERROR(VLOOKUP(DATOS!$I11381,CONFIG_ASIGNATURAS!$B$2:$J$91,9,FALSE()),""))</f>
      </c>
    </row>
    <row r="11382">
      <c r="F11382">
        <f>IF(DATOS!$A11382="","",DATOS!$A11382&amp;"|"&amp;DATOS!$D11382&amp;"|"&amp;DATOS!$E11382&amp;"|"&amp;DATOS!$I11382)</f>
      </c>
      <c r="G11382">
        <f>IF(DATOS!$A11382="",0,IF(CONFIG_METADATA!$B$4&lt;&gt;"OR+EX",--(DATOS!$G11382=CONFIG_METADATA!$B$4),IF(DATOS!$G11382="EX",1,IF(DATOS!$G11382="OR",--(COUNTIFS(nNIA,DATOS!$A11382,nCURSO,DATOS!$D11382,nESPEC,DATOS!$E11382,nASIG,DATOS!$I11382,nEVAL,"EX")=0),0))))</f>
      </c>
      <c r="H11382">
        <f>IF(DATOS!$G11382&lt;&gt;"EX",0,--(COUNTIFS(nNIA,DATOS!$A11382,nCURSO,DATOS!$D11382,nESPEC,DATOS!$E11382,nASIG,DATOS!$I11382,nEVAL,"OR")=0))</f>
      </c>
      <c r="I11382">
        <f>IF(DATOS!$I11382="","",IFERROR(VLOOKUP(DATOS!$I11382,CONFIG_ASIGNATURAS!$B$2:$J$91,9,FALSE()),""))</f>
      </c>
    </row>
    <row r="11383">
      <c r="F11383">
        <f>IF(DATOS!$A11383="","",DATOS!$A11383&amp;"|"&amp;DATOS!$D11383&amp;"|"&amp;DATOS!$E11383&amp;"|"&amp;DATOS!$I11383)</f>
      </c>
      <c r="G11383">
        <f>IF(DATOS!$A11383="",0,IF(CONFIG_METADATA!$B$4&lt;&gt;"OR+EX",--(DATOS!$G11383=CONFIG_METADATA!$B$4),IF(DATOS!$G11383="EX",1,IF(DATOS!$G11383="OR",--(COUNTIFS(nNIA,DATOS!$A11383,nCURSO,DATOS!$D11383,nESPEC,DATOS!$E11383,nASIG,DATOS!$I11383,nEVAL,"EX")=0),0))))</f>
      </c>
      <c r="H11383">
        <f>IF(DATOS!$G11383&lt;&gt;"EX",0,--(COUNTIFS(nNIA,DATOS!$A11383,nCURSO,DATOS!$D11383,nESPEC,DATOS!$E11383,nASIG,DATOS!$I11383,nEVAL,"OR")=0))</f>
      </c>
      <c r="I11383">
        <f>IF(DATOS!$I11383="","",IFERROR(VLOOKUP(DATOS!$I11383,CONFIG_ASIGNATURAS!$B$2:$J$91,9,FALSE()),""))</f>
      </c>
    </row>
    <row r="11384">
      <c r="F11384">
        <f>IF(DATOS!$A11384="","",DATOS!$A11384&amp;"|"&amp;DATOS!$D11384&amp;"|"&amp;DATOS!$E11384&amp;"|"&amp;DATOS!$I11384)</f>
      </c>
      <c r="G11384">
        <f>IF(DATOS!$A11384="",0,IF(CONFIG_METADATA!$B$4&lt;&gt;"OR+EX",--(DATOS!$G11384=CONFIG_METADATA!$B$4),IF(DATOS!$G11384="EX",1,IF(DATOS!$G11384="OR",--(COUNTIFS(nNIA,DATOS!$A11384,nCURSO,DATOS!$D11384,nESPEC,DATOS!$E11384,nASIG,DATOS!$I11384,nEVAL,"EX")=0),0))))</f>
      </c>
      <c r="H11384">
        <f>IF(DATOS!$G11384&lt;&gt;"EX",0,--(COUNTIFS(nNIA,DATOS!$A11384,nCURSO,DATOS!$D11384,nESPEC,DATOS!$E11384,nASIG,DATOS!$I11384,nEVAL,"OR")=0))</f>
      </c>
      <c r="I11384">
        <f>IF(DATOS!$I11384="","",IFERROR(VLOOKUP(DATOS!$I11384,CONFIG_ASIGNATURAS!$B$2:$J$91,9,FALSE()),""))</f>
      </c>
    </row>
    <row r="11385">
      <c r="F11385">
        <f>IF(DATOS!$A11385="","",DATOS!$A11385&amp;"|"&amp;DATOS!$D11385&amp;"|"&amp;DATOS!$E11385&amp;"|"&amp;DATOS!$I11385)</f>
      </c>
      <c r="G11385">
        <f>IF(DATOS!$A11385="",0,IF(CONFIG_METADATA!$B$4&lt;&gt;"OR+EX",--(DATOS!$G11385=CONFIG_METADATA!$B$4),IF(DATOS!$G11385="EX",1,IF(DATOS!$G11385="OR",--(COUNTIFS(nNIA,DATOS!$A11385,nCURSO,DATOS!$D11385,nESPEC,DATOS!$E11385,nASIG,DATOS!$I11385,nEVAL,"EX")=0),0))))</f>
      </c>
      <c r="H11385">
        <f>IF(DATOS!$G11385&lt;&gt;"EX",0,--(COUNTIFS(nNIA,DATOS!$A11385,nCURSO,DATOS!$D11385,nESPEC,DATOS!$E11385,nASIG,DATOS!$I11385,nEVAL,"OR")=0))</f>
      </c>
      <c r="I11385">
        <f>IF(DATOS!$I11385="","",IFERROR(VLOOKUP(DATOS!$I11385,CONFIG_ASIGNATURAS!$B$2:$J$91,9,FALSE()),""))</f>
      </c>
    </row>
    <row r="11386">
      <c r="F11386">
        <f>IF(DATOS!$A11386="","",DATOS!$A11386&amp;"|"&amp;DATOS!$D11386&amp;"|"&amp;DATOS!$E11386&amp;"|"&amp;DATOS!$I11386)</f>
      </c>
      <c r="G11386">
        <f>IF(DATOS!$A11386="",0,IF(CONFIG_METADATA!$B$4&lt;&gt;"OR+EX",--(DATOS!$G11386=CONFIG_METADATA!$B$4),IF(DATOS!$G11386="EX",1,IF(DATOS!$G11386="OR",--(COUNTIFS(nNIA,DATOS!$A11386,nCURSO,DATOS!$D11386,nESPEC,DATOS!$E11386,nASIG,DATOS!$I11386,nEVAL,"EX")=0),0))))</f>
      </c>
      <c r="H11386">
        <f>IF(DATOS!$G11386&lt;&gt;"EX",0,--(COUNTIFS(nNIA,DATOS!$A11386,nCURSO,DATOS!$D11386,nESPEC,DATOS!$E11386,nASIG,DATOS!$I11386,nEVAL,"OR")=0))</f>
      </c>
      <c r="I11386">
        <f>IF(DATOS!$I11386="","",IFERROR(VLOOKUP(DATOS!$I11386,CONFIG_ASIGNATURAS!$B$2:$J$91,9,FALSE()),""))</f>
      </c>
    </row>
    <row r="11387">
      <c r="F11387">
        <f>IF(DATOS!$A11387="","",DATOS!$A11387&amp;"|"&amp;DATOS!$D11387&amp;"|"&amp;DATOS!$E11387&amp;"|"&amp;DATOS!$I11387)</f>
      </c>
      <c r="G11387">
        <f>IF(DATOS!$A11387="",0,IF(CONFIG_METADATA!$B$4&lt;&gt;"OR+EX",--(DATOS!$G11387=CONFIG_METADATA!$B$4),IF(DATOS!$G11387="EX",1,IF(DATOS!$G11387="OR",--(COUNTIFS(nNIA,DATOS!$A11387,nCURSO,DATOS!$D11387,nESPEC,DATOS!$E11387,nASIG,DATOS!$I11387,nEVAL,"EX")=0),0))))</f>
      </c>
      <c r="H11387">
        <f>IF(DATOS!$G11387&lt;&gt;"EX",0,--(COUNTIFS(nNIA,DATOS!$A11387,nCURSO,DATOS!$D11387,nESPEC,DATOS!$E11387,nASIG,DATOS!$I11387,nEVAL,"OR")=0))</f>
      </c>
      <c r="I11387">
        <f>IF(DATOS!$I11387="","",IFERROR(VLOOKUP(DATOS!$I11387,CONFIG_ASIGNATURAS!$B$2:$J$91,9,FALSE()),""))</f>
      </c>
    </row>
    <row r="11388">
      <c r="F11388">
        <f>IF(DATOS!$A11388="","",DATOS!$A11388&amp;"|"&amp;DATOS!$D11388&amp;"|"&amp;DATOS!$E11388&amp;"|"&amp;DATOS!$I11388)</f>
      </c>
      <c r="G11388">
        <f>IF(DATOS!$A11388="",0,IF(CONFIG_METADATA!$B$4&lt;&gt;"OR+EX",--(DATOS!$G11388=CONFIG_METADATA!$B$4),IF(DATOS!$G11388="EX",1,IF(DATOS!$G11388="OR",--(COUNTIFS(nNIA,DATOS!$A11388,nCURSO,DATOS!$D11388,nESPEC,DATOS!$E11388,nASIG,DATOS!$I11388,nEVAL,"EX")=0),0))))</f>
      </c>
      <c r="H11388">
        <f>IF(DATOS!$G11388&lt;&gt;"EX",0,--(COUNTIFS(nNIA,DATOS!$A11388,nCURSO,DATOS!$D11388,nESPEC,DATOS!$E11388,nASIG,DATOS!$I11388,nEVAL,"OR")=0))</f>
      </c>
      <c r="I11388">
        <f>IF(DATOS!$I11388="","",IFERROR(VLOOKUP(DATOS!$I11388,CONFIG_ASIGNATURAS!$B$2:$J$91,9,FALSE()),""))</f>
      </c>
    </row>
    <row r="11389">
      <c r="F11389">
        <f>IF(DATOS!$A11389="","",DATOS!$A11389&amp;"|"&amp;DATOS!$D11389&amp;"|"&amp;DATOS!$E11389&amp;"|"&amp;DATOS!$I11389)</f>
      </c>
      <c r="G11389">
        <f>IF(DATOS!$A11389="",0,IF(CONFIG_METADATA!$B$4&lt;&gt;"OR+EX",--(DATOS!$G11389=CONFIG_METADATA!$B$4),IF(DATOS!$G11389="EX",1,IF(DATOS!$G11389="OR",--(COUNTIFS(nNIA,DATOS!$A11389,nCURSO,DATOS!$D11389,nESPEC,DATOS!$E11389,nASIG,DATOS!$I11389,nEVAL,"EX")=0),0))))</f>
      </c>
      <c r="H11389">
        <f>IF(DATOS!$G11389&lt;&gt;"EX",0,--(COUNTIFS(nNIA,DATOS!$A11389,nCURSO,DATOS!$D11389,nESPEC,DATOS!$E11389,nASIG,DATOS!$I11389,nEVAL,"OR")=0))</f>
      </c>
      <c r="I11389">
        <f>IF(DATOS!$I11389="","",IFERROR(VLOOKUP(DATOS!$I11389,CONFIG_ASIGNATURAS!$B$2:$J$91,9,FALSE()),""))</f>
      </c>
    </row>
    <row r="11390">
      <c r="F11390">
        <f>IF(DATOS!$A11390="","",DATOS!$A11390&amp;"|"&amp;DATOS!$D11390&amp;"|"&amp;DATOS!$E11390&amp;"|"&amp;DATOS!$I11390)</f>
      </c>
      <c r="G11390">
        <f>IF(DATOS!$A11390="",0,IF(CONFIG_METADATA!$B$4&lt;&gt;"OR+EX",--(DATOS!$G11390=CONFIG_METADATA!$B$4),IF(DATOS!$G11390="EX",1,IF(DATOS!$G11390="OR",--(COUNTIFS(nNIA,DATOS!$A11390,nCURSO,DATOS!$D11390,nESPEC,DATOS!$E11390,nASIG,DATOS!$I11390,nEVAL,"EX")=0),0))))</f>
      </c>
      <c r="H11390">
        <f>IF(DATOS!$G11390&lt;&gt;"EX",0,--(COUNTIFS(nNIA,DATOS!$A11390,nCURSO,DATOS!$D11390,nESPEC,DATOS!$E11390,nASIG,DATOS!$I11390,nEVAL,"OR")=0))</f>
      </c>
      <c r="I11390">
        <f>IF(DATOS!$I11390="","",IFERROR(VLOOKUP(DATOS!$I11390,CONFIG_ASIGNATURAS!$B$2:$J$91,9,FALSE()),""))</f>
      </c>
    </row>
    <row r="11391">
      <c r="F11391">
        <f>IF(DATOS!$A11391="","",DATOS!$A11391&amp;"|"&amp;DATOS!$D11391&amp;"|"&amp;DATOS!$E11391&amp;"|"&amp;DATOS!$I11391)</f>
      </c>
      <c r="G11391">
        <f>IF(DATOS!$A11391="",0,IF(CONFIG_METADATA!$B$4&lt;&gt;"OR+EX",--(DATOS!$G11391=CONFIG_METADATA!$B$4),IF(DATOS!$G11391="EX",1,IF(DATOS!$G11391="OR",--(COUNTIFS(nNIA,DATOS!$A11391,nCURSO,DATOS!$D11391,nESPEC,DATOS!$E11391,nASIG,DATOS!$I11391,nEVAL,"EX")=0),0))))</f>
      </c>
      <c r="H11391">
        <f>IF(DATOS!$G11391&lt;&gt;"EX",0,--(COUNTIFS(nNIA,DATOS!$A11391,nCURSO,DATOS!$D11391,nESPEC,DATOS!$E11391,nASIG,DATOS!$I11391,nEVAL,"OR")=0))</f>
      </c>
      <c r="I11391">
        <f>IF(DATOS!$I11391="","",IFERROR(VLOOKUP(DATOS!$I11391,CONFIG_ASIGNATURAS!$B$2:$J$91,9,FALSE()),""))</f>
      </c>
    </row>
    <row r="11392">
      <c r="F11392">
        <f>IF(DATOS!$A11392="","",DATOS!$A11392&amp;"|"&amp;DATOS!$D11392&amp;"|"&amp;DATOS!$E11392&amp;"|"&amp;DATOS!$I11392)</f>
      </c>
      <c r="G11392">
        <f>IF(DATOS!$A11392="",0,IF(CONFIG_METADATA!$B$4&lt;&gt;"OR+EX",--(DATOS!$G11392=CONFIG_METADATA!$B$4),IF(DATOS!$G11392="EX",1,IF(DATOS!$G11392="OR",--(COUNTIFS(nNIA,DATOS!$A11392,nCURSO,DATOS!$D11392,nESPEC,DATOS!$E11392,nASIG,DATOS!$I11392,nEVAL,"EX")=0),0))))</f>
      </c>
      <c r="H11392">
        <f>IF(DATOS!$G11392&lt;&gt;"EX",0,--(COUNTIFS(nNIA,DATOS!$A11392,nCURSO,DATOS!$D11392,nESPEC,DATOS!$E11392,nASIG,DATOS!$I11392,nEVAL,"OR")=0))</f>
      </c>
      <c r="I11392">
        <f>IF(DATOS!$I11392="","",IFERROR(VLOOKUP(DATOS!$I11392,CONFIG_ASIGNATURAS!$B$2:$J$91,9,FALSE()),""))</f>
      </c>
    </row>
    <row r="11393">
      <c r="F11393">
        <f>IF(DATOS!$A11393="","",DATOS!$A11393&amp;"|"&amp;DATOS!$D11393&amp;"|"&amp;DATOS!$E11393&amp;"|"&amp;DATOS!$I11393)</f>
      </c>
      <c r="G11393">
        <f>IF(DATOS!$A11393="",0,IF(CONFIG_METADATA!$B$4&lt;&gt;"OR+EX",--(DATOS!$G11393=CONFIG_METADATA!$B$4),IF(DATOS!$G11393="EX",1,IF(DATOS!$G11393="OR",--(COUNTIFS(nNIA,DATOS!$A11393,nCURSO,DATOS!$D11393,nESPEC,DATOS!$E11393,nASIG,DATOS!$I11393,nEVAL,"EX")=0),0))))</f>
      </c>
      <c r="H11393">
        <f>IF(DATOS!$G11393&lt;&gt;"EX",0,--(COUNTIFS(nNIA,DATOS!$A11393,nCURSO,DATOS!$D11393,nESPEC,DATOS!$E11393,nASIG,DATOS!$I11393,nEVAL,"OR")=0))</f>
      </c>
      <c r="I11393">
        <f>IF(DATOS!$I11393="","",IFERROR(VLOOKUP(DATOS!$I11393,CONFIG_ASIGNATURAS!$B$2:$J$91,9,FALSE()),""))</f>
      </c>
    </row>
    <row r="11394">
      <c r="F11394">
        <f>IF(DATOS!$A11394="","",DATOS!$A11394&amp;"|"&amp;DATOS!$D11394&amp;"|"&amp;DATOS!$E11394&amp;"|"&amp;DATOS!$I11394)</f>
      </c>
      <c r="G11394">
        <f>IF(DATOS!$A11394="",0,IF(CONFIG_METADATA!$B$4&lt;&gt;"OR+EX",--(DATOS!$G11394=CONFIG_METADATA!$B$4),IF(DATOS!$G11394="EX",1,IF(DATOS!$G11394="OR",--(COUNTIFS(nNIA,DATOS!$A11394,nCURSO,DATOS!$D11394,nESPEC,DATOS!$E11394,nASIG,DATOS!$I11394,nEVAL,"EX")=0),0))))</f>
      </c>
      <c r="H11394">
        <f>IF(DATOS!$G11394&lt;&gt;"EX",0,--(COUNTIFS(nNIA,DATOS!$A11394,nCURSO,DATOS!$D11394,nESPEC,DATOS!$E11394,nASIG,DATOS!$I11394,nEVAL,"OR")=0))</f>
      </c>
      <c r="I11394">
        <f>IF(DATOS!$I11394="","",IFERROR(VLOOKUP(DATOS!$I11394,CONFIG_ASIGNATURAS!$B$2:$J$91,9,FALSE()),""))</f>
      </c>
    </row>
    <row r="11395">
      <c r="F11395">
        <f>IF(DATOS!$A11395="","",DATOS!$A11395&amp;"|"&amp;DATOS!$D11395&amp;"|"&amp;DATOS!$E11395&amp;"|"&amp;DATOS!$I11395)</f>
      </c>
      <c r="G11395">
        <f>IF(DATOS!$A11395="",0,IF(CONFIG_METADATA!$B$4&lt;&gt;"OR+EX",--(DATOS!$G11395=CONFIG_METADATA!$B$4),IF(DATOS!$G11395="EX",1,IF(DATOS!$G11395="OR",--(COUNTIFS(nNIA,DATOS!$A11395,nCURSO,DATOS!$D11395,nESPEC,DATOS!$E11395,nASIG,DATOS!$I11395,nEVAL,"EX")=0),0))))</f>
      </c>
      <c r="H11395">
        <f>IF(DATOS!$G11395&lt;&gt;"EX",0,--(COUNTIFS(nNIA,DATOS!$A11395,nCURSO,DATOS!$D11395,nESPEC,DATOS!$E11395,nASIG,DATOS!$I11395,nEVAL,"OR")=0))</f>
      </c>
      <c r="I11395">
        <f>IF(DATOS!$I11395="","",IFERROR(VLOOKUP(DATOS!$I11395,CONFIG_ASIGNATURAS!$B$2:$J$91,9,FALSE()),""))</f>
      </c>
    </row>
    <row r="11396">
      <c r="F11396">
        <f>IF(DATOS!$A11396="","",DATOS!$A11396&amp;"|"&amp;DATOS!$D11396&amp;"|"&amp;DATOS!$E11396&amp;"|"&amp;DATOS!$I11396)</f>
      </c>
      <c r="G11396">
        <f>IF(DATOS!$A11396="",0,IF(CONFIG_METADATA!$B$4&lt;&gt;"OR+EX",--(DATOS!$G11396=CONFIG_METADATA!$B$4),IF(DATOS!$G11396="EX",1,IF(DATOS!$G11396="OR",--(COUNTIFS(nNIA,DATOS!$A11396,nCURSO,DATOS!$D11396,nESPEC,DATOS!$E11396,nASIG,DATOS!$I11396,nEVAL,"EX")=0),0))))</f>
      </c>
      <c r="H11396">
        <f>IF(DATOS!$G11396&lt;&gt;"EX",0,--(COUNTIFS(nNIA,DATOS!$A11396,nCURSO,DATOS!$D11396,nESPEC,DATOS!$E11396,nASIG,DATOS!$I11396,nEVAL,"OR")=0))</f>
      </c>
      <c r="I11396">
        <f>IF(DATOS!$I11396="","",IFERROR(VLOOKUP(DATOS!$I11396,CONFIG_ASIGNATURAS!$B$2:$J$91,9,FALSE()),""))</f>
      </c>
    </row>
    <row r="11397">
      <c r="F11397">
        <f>IF(DATOS!$A11397="","",DATOS!$A11397&amp;"|"&amp;DATOS!$D11397&amp;"|"&amp;DATOS!$E11397&amp;"|"&amp;DATOS!$I11397)</f>
      </c>
      <c r="G11397">
        <f>IF(DATOS!$A11397="",0,IF(CONFIG_METADATA!$B$4&lt;&gt;"OR+EX",--(DATOS!$G11397=CONFIG_METADATA!$B$4),IF(DATOS!$G11397="EX",1,IF(DATOS!$G11397="OR",--(COUNTIFS(nNIA,DATOS!$A11397,nCURSO,DATOS!$D11397,nESPEC,DATOS!$E11397,nASIG,DATOS!$I11397,nEVAL,"EX")=0),0))))</f>
      </c>
      <c r="H11397">
        <f>IF(DATOS!$G11397&lt;&gt;"EX",0,--(COUNTIFS(nNIA,DATOS!$A11397,nCURSO,DATOS!$D11397,nESPEC,DATOS!$E11397,nASIG,DATOS!$I11397,nEVAL,"OR")=0))</f>
      </c>
      <c r="I11397">
        <f>IF(DATOS!$I11397="","",IFERROR(VLOOKUP(DATOS!$I11397,CONFIG_ASIGNATURAS!$B$2:$J$91,9,FALSE()),""))</f>
      </c>
    </row>
    <row r="11398">
      <c r="F11398">
        <f>IF(DATOS!$A11398="","",DATOS!$A11398&amp;"|"&amp;DATOS!$D11398&amp;"|"&amp;DATOS!$E11398&amp;"|"&amp;DATOS!$I11398)</f>
      </c>
      <c r="G11398">
        <f>IF(DATOS!$A11398="",0,IF(CONFIG_METADATA!$B$4&lt;&gt;"OR+EX",--(DATOS!$G11398=CONFIG_METADATA!$B$4),IF(DATOS!$G11398="EX",1,IF(DATOS!$G11398="OR",--(COUNTIFS(nNIA,DATOS!$A11398,nCURSO,DATOS!$D11398,nESPEC,DATOS!$E11398,nASIG,DATOS!$I11398,nEVAL,"EX")=0),0))))</f>
      </c>
      <c r="H11398">
        <f>IF(DATOS!$G11398&lt;&gt;"EX",0,--(COUNTIFS(nNIA,DATOS!$A11398,nCURSO,DATOS!$D11398,nESPEC,DATOS!$E11398,nASIG,DATOS!$I11398,nEVAL,"OR")=0))</f>
      </c>
      <c r="I11398">
        <f>IF(DATOS!$I11398="","",IFERROR(VLOOKUP(DATOS!$I11398,CONFIG_ASIGNATURAS!$B$2:$J$91,9,FALSE()),""))</f>
      </c>
    </row>
    <row r="11399">
      <c r="F11399">
        <f>IF(DATOS!$A11399="","",DATOS!$A11399&amp;"|"&amp;DATOS!$D11399&amp;"|"&amp;DATOS!$E11399&amp;"|"&amp;DATOS!$I11399)</f>
      </c>
      <c r="G11399">
        <f>IF(DATOS!$A11399="",0,IF(CONFIG_METADATA!$B$4&lt;&gt;"OR+EX",--(DATOS!$G11399=CONFIG_METADATA!$B$4),IF(DATOS!$G11399="EX",1,IF(DATOS!$G11399="OR",--(COUNTIFS(nNIA,DATOS!$A11399,nCURSO,DATOS!$D11399,nESPEC,DATOS!$E11399,nASIG,DATOS!$I11399,nEVAL,"EX")=0),0))))</f>
      </c>
      <c r="H11399">
        <f>IF(DATOS!$G11399&lt;&gt;"EX",0,--(COUNTIFS(nNIA,DATOS!$A11399,nCURSO,DATOS!$D11399,nESPEC,DATOS!$E11399,nASIG,DATOS!$I11399,nEVAL,"OR")=0))</f>
      </c>
      <c r="I11399">
        <f>IF(DATOS!$I11399="","",IFERROR(VLOOKUP(DATOS!$I11399,CONFIG_ASIGNATURAS!$B$2:$J$91,9,FALSE()),""))</f>
      </c>
    </row>
    <row r="11400">
      <c r="F11400">
        <f>IF(DATOS!$A11400="","",DATOS!$A11400&amp;"|"&amp;DATOS!$D11400&amp;"|"&amp;DATOS!$E11400&amp;"|"&amp;DATOS!$I11400)</f>
      </c>
      <c r="G11400">
        <f>IF(DATOS!$A11400="",0,IF(CONFIG_METADATA!$B$4&lt;&gt;"OR+EX",--(DATOS!$G11400=CONFIG_METADATA!$B$4),IF(DATOS!$G11400="EX",1,IF(DATOS!$G11400="OR",--(COUNTIFS(nNIA,DATOS!$A11400,nCURSO,DATOS!$D11400,nESPEC,DATOS!$E11400,nASIG,DATOS!$I11400,nEVAL,"EX")=0),0))))</f>
      </c>
      <c r="H11400">
        <f>IF(DATOS!$G11400&lt;&gt;"EX",0,--(COUNTIFS(nNIA,DATOS!$A11400,nCURSO,DATOS!$D11400,nESPEC,DATOS!$E11400,nASIG,DATOS!$I11400,nEVAL,"OR")=0))</f>
      </c>
      <c r="I11400">
        <f>IF(DATOS!$I11400="","",IFERROR(VLOOKUP(DATOS!$I11400,CONFIG_ASIGNATURAS!$B$2:$J$91,9,FALSE()),""))</f>
      </c>
    </row>
    <row r="11401">
      <c r="F11401">
        <f>IF(DATOS!$A11401="","",DATOS!$A11401&amp;"|"&amp;DATOS!$D11401&amp;"|"&amp;DATOS!$E11401&amp;"|"&amp;DATOS!$I11401)</f>
      </c>
      <c r="G11401">
        <f>IF(DATOS!$A11401="",0,IF(CONFIG_METADATA!$B$4&lt;&gt;"OR+EX",--(DATOS!$G11401=CONFIG_METADATA!$B$4),IF(DATOS!$G11401="EX",1,IF(DATOS!$G11401="OR",--(COUNTIFS(nNIA,DATOS!$A11401,nCURSO,DATOS!$D11401,nESPEC,DATOS!$E11401,nASIG,DATOS!$I11401,nEVAL,"EX")=0),0))))</f>
      </c>
      <c r="H11401">
        <f>IF(DATOS!$G11401&lt;&gt;"EX",0,--(COUNTIFS(nNIA,DATOS!$A11401,nCURSO,DATOS!$D11401,nESPEC,DATOS!$E11401,nASIG,DATOS!$I11401,nEVAL,"OR")=0))</f>
      </c>
      <c r="I11401">
        <f>IF(DATOS!$I11401="","",IFERROR(VLOOKUP(DATOS!$I11401,CONFIG_ASIGNATURAS!$B$2:$J$91,9,FALSE()),""))</f>
      </c>
    </row>
    <row r="11402">
      <c r="F11402">
        <f>IF(DATOS!$A11402="","",DATOS!$A11402&amp;"|"&amp;DATOS!$D11402&amp;"|"&amp;DATOS!$E11402&amp;"|"&amp;DATOS!$I11402)</f>
      </c>
      <c r="G11402">
        <f>IF(DATOS!$A11402="",0,IF(CONFIG_METADATA!$B$4&lt;&gt;"OR+EX",--(DATOS!$G11402=CONFIG_METADATA!$B$4),IF(DATOS!$G11402="EX",1,IF(DATOS!$G11402="OR",--(COUNTIFS(nNIA,DATOS!$A11402,nCURSO,DATOS!$D11402,nESPEC,DATOS!$E11402,nASIG,DATOS!$I11402,nEVAL,"EX")=0),0))))</f>
      </c>
      <c r="H11402">
        <f>IF(DATOS!$G11402&lt;&gt;"EX",0,--(COUNTIFS(nNIA,DATOS!$A11402,nCURSO,DATOS!$D11402,nESPEC,DATOS!$E11402,nASIG,DATOS!$I11402,nEVAL,"OR")=0))</f>
      </c>
      <c r="I11402">
        <f>IF(DATOS!$I11402="","",IFERROR(VLOOKUP(DATOS!$I11402,CONFIG_ASIGNATURAS!$B$2:$J$91,9,FALSE()),""))</f>
      </c>
    </row>
    <row r="11403">
      <c r="F11403">
        <f>IF(DATOS!$A11403="","",DATOS!$A11403&amp;"|"&amp;DATOS!$D11403&amp;"|"&amp;DATOS!$E11403&amp;"|"&amp;DATOS!$I11403)</f>
      </c>
      <c r="G11403">
        <f>IF(DATOS!$A11403="",0,IF(CONFIG_METADATA!$B$4&lt;&gt;"OR+EX",--(DATOS!$G11403=CONFIG_METADATA!$B$4),IF(DATOS!$G11403="EX",1,IF(DATOS!$G11403="OR",--(COUNTIFS(nNIA,DATOS!$A11403,nCURSO,DATOS!$D11403,nESPEC,DATOS!$E11403,nASIG,DATOS!$I11403,nEVAL,"EX")=0),0))))</f>
      </c>
      <c r="H11403">
        <f>IF(DATOS!$G11403&lt;&gt;"EX",0,--(COUNTIFS(nNIA,DATOS!$A11403,nCURSO,DATOS!$D11403,nESPEC,DATOS!$E11403,nASIG,DATOS!$I11403,nEVAL,"OR")=0))</f>
      </c>
      <c r="I11403">
        <f>IF(DATOS!$I11403="","",IFERROR(VLOOKUP(DATOS!$I11403,CONFIG_ASIGNATURAS!$B$2:$J$91,9,FALSE()),""))</f>
      </c>
    </row>
    <row r="11404">
      <c r="F11404">
        <f>IF(DATOS!$A11404="","",DATOS!$A11404&amp;"|"&amp;DATOS!$D11404&amp;"|"&amp;DATOS!$E11404&amp;"|"&amp;DATOS!$I11404)</f>
      </c>
      <c r="G11404">
        <f>IF(DATOS!$A11404="",0,IF(CONFIG_METADATA!$B$4&lt;&gt;"OR+EX",--(DATOS!$G11404=CONFIG_METADATA!$B$4),IF(DATOS!$G11404="EX",1,IF(DATOS!$G11404="OR",--(COUNTIFS(nNIA,DATOS!$A11404,nCURSO,DATOS!$D11404,nESPEC,DATOS!$E11404,nASIG,DATOS!$I11404,nEVAL,"EX")=0),0))))</f>
      </c>
      <c r="H11404">
        <f>IF(DATOS!$G11404&lt;&gt;"EX",0,--(COUNTIFS(nNIA,DATOS!$A11404,nCURSO,DATOS!$D11404,nESPEC,DATOS!$E11404,nASIG,DATOS!$I11404,nEVAL,"OR")=0))</f>
      </c>
      <c r="I11404">
        <f>IF(DATOS!$I11404="","",IFERROR(VLOOKUP(DATOS!$I11404,CONFIG_ASIGNATURAS!$B$2:$J$91,9,FALSE()),""))</f>
      </c>
    </row>
    <row r="11405">
      <c r="F11405">
        <f>IF(DATOS!$A11405="","",DATOS!$A11405&amp;"|"&amp;DATOS!$D11405&amp;"|"&amp;DATOS!$E11405&amp;"|"&amp;DATOS!$I11405)</f>
      </c>
      <c r="G11405">
        <f>IF(DATOS!$A11405="",0,IF(CONFIG_METADATA!$B$4&lt;&gt;"OR+EX",--(DATOS!$G11405=CONFIG_METADATA!$B$4),IF(DATOS!$G11405="EX",1,IF(DATOS!$G11405="OR",--(COUNTIFS(nNIA,DATOS!$A11405,nCURSO,DATOS!$D11405,nESPEC,DATOS!$E11405,nASIG,DATOS!$I11405,nEVAL,"EX")=0),0))))</f>
      </c>
      <c r="H11405">
        <f>IF(DATOS!$G11405&lt;&gt;"EX",0,--(COUNTIFS(nNIA,DATOS!$A11405,nCURSO,DATOS!$D11405,nESPEC,DATOS!$E11405,nASIG,DATOS!$I11405,nEVAL,"OR")=0))</f>
      </c>
      <c r="I11405">
        <f>IF(DATOS!$I11405="","",IFERROR(VLOOKUP(DATOS!$I11405,CONFIG_ASIGNATURAS!$B$2:$J$91,9,FALSE()),""))</f>
      </c>
    </row>
    <row r="11406">
      <c r="F11406">
        <f>IF(DATOS!$A11406="","",DATOS!$A11406&amp;"|"&amp;DATOS!$D11406&amp;"|"&amp;DATOS!$E11406&amp;"|"&amp;DATOS!$I11406)</f>
      </c>
      <c r="G11406">
        <f>IF(DATOS!$A11406="",0,IF(CONFIG_METADATA!$B$4&lt;&gt;"OR+EX",--(DATOS!$G11406=CONFIG_METADATA!$B$4),IF(DATOS!$G11406="EX",1,IF(DATOS!$G11406="OR",--(COUNTIFS(nNIA,DATOS!$A11406,nCURSO,DATOS!$D11406,nESPEC,DATOS!$E11406,nASIG,DATOS!$I11406,nEVAL,"EX")=0),0))))</f>
      </c>
      <c r="H11406">
        <f>IF(DATOS!$G11406&lt;&gt;"EX",0,--(COUNTIFS(nNIA,DATOS!$A11406,nCURSO,DATOS!$D11406,nESPEC,DATOS!$E11406,nASIG,DATOS!$I11406,nEVAL,"OR")=0))</f>
      </c>
      <c r="I11406">
        <f>IF(DATOS!$I11406="","",IFERROR(VLOOKUP(DATOS!$I11406,CONFIG_ASIGNATURAS!$B$2:$J$91,9,FALSE()),""))</f>
      </c>
    </row>
    <row r="11407">
      <c r="F11407">
        <f>IF(DATOS!$A11407="","",DATOS!$A11407&amp;"|"&amp;DATOS!$D11407&amp;"|"&amp;DATOS!$E11407&amp;"|"&amp;DATOS!$I11407)</f>
      </c>
      <c r="G11407">
        <f>IF(DATOS!$A11407="",0,IF(CONFIG_METADATA!$B$4&lt;&gt;"OR+EX",--(DATOS!$G11407=CONFIG_METADATA!$B$4),IF(DATOS!$G11407="EX",1,IF(DATOS!$G11407="OR",--(COUNTIFS(nNIA,DATOS!$A11407,nCURSO,DATOS!$D11407,nESPEC,DATOS!$E11407,nASIG,DATOS!$I11407,nEVAL,"EX")=0),0))))</f>
      </c>
      <c r="H11407">
        <f>IF(DATOS!$G11407&lt;&gt;"EX",0,--(COUNTIFS(nNIA,DATOS!$A11407,nCURSO,DATOS!$D11407,nESPEC,DATOS!$E11407,nASIG,DATOS!$I11407,nEVAL,"OR")=0))</f>
      </c>
      <c r="I11407">
        <f>IF(DATOS!$I11407="","",IFERROR(VLOOKUP(DATOS!$I11407,CONFIG_ASIGNATURAS!$B$2:$J$91,9,FALSE()),""))</f>
      </c>
    </row>
    <row r="11408">
      <c r="F11408">
        <f>IF(DATOS!$A11408="","",DATOS!$A11408&amp;"|"&amp;DATOS!$D11408&amp;"|"&amp;DATOS!$E11408&amp;"|"&amp;DATOS!$I11408)</f>
      </c>
      <c r="G11408">
        <f>IF(DATOS!$A11408="",0,IF(CONFIG_METADATA!$B$4&lt;&gt;"OR+EX",--(DATOS!$G11408=CONFIG_METADATA!$B$4),IF(DATOS!$G11408="EX",1,IF(DATOS!$G11408="OR",--(COUNTIFS(nNIA,DATOS!$A11408,nCURSO,DATOS!$D11408,nESPEC,DATOS!$E11408,nASIG,DATOS!$I11408,nEVAL,"EX")=0),0))))</f>
      </c>
      <c r="H11408">
        <f>IF(DATOS!$G11408&lt;&gt;"EX",0,--(COUNTIFS(nNIA,DATOS!$A11408,nCURSO,DATOS!$D11408,nESPEC,DATOS!$E11408,nASIG,DATOS!$I11408,nEVAL,"OR")=0))</f>
      </c>
      <c r="I11408">
        <f>IF(DATOS!$I11408="","",IFERROR(VLOOKUP(DATOS!$I11408,CONFIG_ASIGNATURAS!$B$2:$J$91,9,FALSE()),""))</f>
      </c>
    </row>
    <row r="11409">
      <c r="F11409">
        <f>IF(DATOS!$A11409="","",DATOS!$A11409&amp;"|"&amp;DATOS!$D11409&amp;"|"&amp;DATOS!$E11409&amp;"|"&amp;DATOS!$I11409)</f>
      </c>
      <c r="G11409">
        <f>IF(DATOS!$A11409="",0,IF(CONFIG_METADATA!$B$4&lt;&gt;"OR+EX",--(DATOS!$G11409=CONFIG_METADATA!$B$4),IF(DATOS!$G11409="EX",1,IF(DATOS!$G11409="OR",--(COUNTIFS(nNIA,DATOS!$A11409,nCURSO,DATOS!$D11409,nESPEC,DATOS!$E11409,nASIG,DATOS!$I11409,nEVAL,"EX")=0),0))))</f>
      </c>
      <c r="H11409">
        <f>IF(DATOS!$G11409&lt;&gt;"EX",0,--(COUNTIFS(nNIA,DATOS!$A11409,nCURSO,DATOS!$D11409,nESPEC,DATOS!$E11409,nASIG,DATOS!$I11409,nEVAL,"OR")=0))</f>
      </c>
      <c r="I11409">
        <f>IF(DATOS!$I11409="","",IFERROR(VLOOKUP(DATOS!$I11409,CONFIG_ASIGNATURAS!$B$2:$J$91,9,FALSE()),""))</f>
      </c>
    </row>
    <row r="11410">
      <c r="F11410">
        <f>IF(DATOS!$A11410="","",DATOS!$A11410&amp;"|"&amp;DATOS!$D11410&amp;"|"&amp;DATOS!$E11410&amp;"|"&amp;DATOS!$I11410)</f>
      </c>
      <c r="G11410">
        <f>IF(DATOS!$A11410="",0,IF(CONFIG_METADATA!$B$4&lt;&gt;"OR+EX",--(DATOS!$G11410=CONFIG_METADATA!$B$4),IF(DATOS!$G11410="EX",1,IF(DATOS!$G11410="OR",--(COUNTIFS(nNIA,DATOS!$A11410,nCURSO,DATOS!$D11410,nESPEC,DATOS!$E11410,nASIG,DATOS!$I11410,nEVAL,"EX")=0),0))))</f>
      </c>
      <c r="H11410">
        <f>IF(DATOS!$G11410&lt;&gt;"EX",0,--(COUNTIFS(nNIA,DATOS!$A11410,nCURSO,DATOS!$D11410,nESPEC,DATOS!$E11410,nASIG,DATOS!$I11410,nEVAL,"OR")=0))</f>
      </c>
      <c r="I11410">
        <f>IF(DATOS!$I11410="","",IFERROR(VLOOKUP(DATOS!$I11410,CONFIG_ASIGNATURAS!$B$2:$J$91,9,FALSE()),""))</f>
      </c>
    </row>
    <row r="11411">
      <c r="F11411">
        <f>IF(DATOS!$A11411="","",DATOS!$A11411&amp;"|"&amp;DATOS!$D11411&amp;"|"&amp;DATOS!$E11411&amp;"|"&amp;DATOS!$I11411)</f>
      </c>
      <c r="G11411">
        <f>IF(DATOS!$A11411="",0,IF(CONFIG_METADATA!$B$4&lt;&gt;"OR+EX",--(DATOS!$G11411=CONFIG_METADATA!$B$4),IF(DATOS!$G11411="EX",1,IF(DATOS!$G11411="OR",--(COUNTIFS(nNIA,DATOS!$A11411,nCURSO,DATOS!$D11411,nESPEC,DATOS!$E11411,nASIG,DATOS!$I11411,nEVAL,"EX")=0),0))))</f>
      </c>
      <c r="H11411">
        <f>IF(DATOS!$G11411&lt;&gt;"EX",0,--(COUNTIFS(nNIA,DATOS!$A11411,nCURSO,DATOS!$D11411,nESPEC,DATOS!$E11411,nASIG,DATOS!$I11411,nEVAL,"OR")=0))</f>
      </c>
      <c r="I11411">
        <f>IF(DATOS!$I11411="","",IFERROR(VLOOKUP(DATOS!$I11411,CONFIG_ASIGNATURAS!$B$2:$J$91,9,FALSE()),""))</f>
      </c>
    </row>
    <row r="11412">
      <c r="F11412">
        <f>IF(DATOS!$A11412="","",DATOS!$A11412&amp;"|"&amp;DATOS!$D11412&amp;"|"&amp;DATOS!$E11412&amp;"|"&amp;DATOS!$I11412)</f>
      </c>
      <c r="G11412">
        <f>IF(DATOS!$A11412="",0,IF(CONFIG_METADATA!$B$4&lt;&gt;"OR+EX",--(DATOS!$G11412=CONFIG_METADATA!$B$4),IF(DATOS!$G11412="EX",1,IF(DATOS!$G11412="OR",--(COUNTIFS(nNIA,DATOS!$A11412,nCURSO,DATOS!$D11412,nESPEC,DATOS!$E11412,nASIG,DATOS!$I11412,nEVAL,"EX")=0),0))))</f>
      </c>
      <c r="H11412">
        <f>IF(DATOS!$G11412&lt;&gt;"EX",0,--(COUNTIFS(nNIA,DATOS!$A11412,nCURSO,DATOS!$D11412,nESPEC,DATOS!$E11412,nASIG,DATOS!$I11412,nEVAL,"OR")=0))</f>
      </c>
      <c r="I11412">
        <f>IF(DATOS!$I11412="","",IFERROR(VLOOKUP(DATOS!$I11412,CONFIG_ASIGNATURAS!$B$2:$J$91,9,FALSE()),""))</f>
      </c>
    </row>
    <row r="11413">
      <c r="F11413">
        <f>IF(DATOS!$A11413="","",DATOS!$A11413&amp;"|"&amp;DATOS!$D11413&amp;"|"&amp;DATOS!$E11413&amp;"|"&amp;DATOS!$I11413)</f>
      </c>
      <c r="G11413">
        <f>IF(DATOS!$A11413="",0,IF(CONFIG_METADATA!$B$4&lt;&gt;"OR+EX",--(DATOS!$G11413=CONFIG_METADATA!$B$4),IF(DATOS!$G11413="EX",1,IF(DATOS!$G11413="OR",--(COUNTIFS(nNIA,DATOS!$A11413,nCURSO,DATOS!$D11413,nESPEC,DATOS!$E11413,nASIG,DATOS!$I11413,nEVAL,"EX")=0),0))))</f>
      </c>
      <c r="H11413">
        <f>IF(DATOS!$G11413&lt;&gt;"EX",0,--(COUNTIFS(nNIA,DATOS!$A11413,nCURSO,DATOS!$D11413,nESPEC,DATOS!$E11413,nASIG,DATOS!$I11413,nEVAL,"OR")=0))</f>
      </c>
      <c r="I11413">
        <f>IF(DATOS!$I11413="","",IFERROR(VLOOKUP(DATOS!$I11413,CONFIG_ASIGNATURAS!$B$2:$J$91,9,FALSE()),""))</f>
      </c>
    </row>
    <row r="11414">
      <c r="F11414">
        <f>IF(DATOS!$A11414="","",DATOS!$A11414&amp;"|"&amp;DATOS!$D11414&amp;"|"&amp;DATOS!$E11414&amp;"|"&amp;DATOS!$I11414)</f>
      </c>
      <c r="G11414">
        <f>IF(DATOS!$A11414="",0,IF(CONFIG_METADATA!$B$4&lt;&gt;"OR+EX",--(DATOS!$G11414=CONFIG_METADATA!$B$4),IF(DATOS!$G11414="EX",1,IF(DATOS!$G11414="OR",--(COUNTIFS(nNIA,DATOS!$A11414,nCURSO,DATOS!$D11414,nESPEC,DATOS!$E11414,nASIG,DATOS!$I11414,nEVAL,"EX")=0),0))))</f>
      </c>
      <c r="H11414">
        <f>IF(DATOS!$G11414&lt;&gt;"EX",0,--(COUNTIFS(nNIA,DATOS!$A11414,nCURSO,DATOS!$D11414,nESPEC,DATOS!$E11414,nASIG,DATOS!$I11414,nEVAL,"OR")=0))</f>
      </c>
      <c r="I11414">
        <f>IF(DATOS!$I11414="","",IFERROR(VLOOKUP(DATOS!$I11414,CONFIG_ASIGNATURAS!$B$2:$J$91,9,FALSE()),""))</f>
      </c>
    </row>
    <row r="11415">
      <c r="F11415">
        <f>IF(DATOS!$A11415="","",DATOS!$A11415&amp;"|"&amp;DATOS!$D11415&amp;"|"&amp;DATOS!$E11415&amp;"|"&amp;DATOS!$I11415)</f>
      </c>
      <c r="G11415">
        <f>IF(DATOS!$A11415="",0,IF(CONFIG_METADATA!$B$4&lt;&gt;"OR+EX",--(DATOS!$G11415=CONFIG_METADATA!$B$4),IF(DATOS!$G11415="EX",1,IF(DATOS!$G11415="OR",--(COUNTIFS(nNIA,DATOS!$A11415,nCURSO,DATOS!$D11415,nESPEC,DATOS!$E11415,nASIG,DATOS!$I11415,nEVAL,"EX")=0),0))))</f>
      </c>
      <c r="H11415">
        <f>IF(DATOS!$G11415&lt;&gt;"EX",0,--(COUNTIFS(nNIA,DATOS!$A11415,nCURSO,DATOS!$D11415,nESPEC,DATOS!$E11415,nASIG,DATOS!$I11415,nEVAL,"OR")=0))</f>
      </c>
      <c r="I11415">
        <f>IF(DATOS!$I11415="","",IFERROR(VLOOKUP(DATOS!$I11415,CONFIG_ASIGNATURAS!$B$2:$J$91,9,FALSE()),""))</f>
      </c>
    </row>
    <row r="11416">
      <c r="F11416">
        <f>IF(DATOS!$A11416="","",DATOS!$A11416&amp;"|"&amp;DATOS!$D11416&amp;"|"&amp;DATOS!$E11416&amp;"|"&amp;DATOS!$I11416)</f>
      </c>
      <c r="G11416">
        <f>IF(DATOS!$A11416="",0,IF(CONFIG_METADATA!$B$4&lt;&gt;"OR+EX",--(DATOS!$G11416=CONFIG_METADATA!$B$4),IF(DATOS!$G11416="EX",1,IF(DATOS!$G11416="OR",--(COUNTIFS(nNIA,DATOS!$A11416,nCURSO,DATOS!$D11416,nESPEC,DATOS!$E11416,nASIG,DATOS!$I11416,nEVAL,"EX")=0),0))))</f>
      </c>
      <c r="H11416">
        <f>IF(DATOS!$G11416&lt;&gt;"EX",0,--(COUNTIFS(nNIA,DATOS!$A11416,nCURSO,DATOS!$D11416,nESPEC,DATOS!$E11416,nASIG,DATOS!$I11416,nEVAL,"OR")=0))</f>
      </c>
      <c r="I11416">
        <f>IF(DATOS!$I11416="","",IFERROR(VLOOKUP(DATOS!$I11416,CONFIG_ASIGNATURAS!$B$2:$J$91,9,FALSE()),""))</f>
      </c>
    </row>
    <row r="11417">
      <c r="F11417">
        <f>IF(DATOS!$A11417="","",DATOS!$A11417&amp;"|"&amp;DATOS!$D11417&amp;"|"&amp;DATOS!$E11417&amp;"|"&amp;DATOS!$I11417)</f>
      </c>
      <c r="G11417">
        <f>IF(DATOS!$A11417="",0,IF(CONFIG_METADATA!$B$4&lt;&gt;"OR+EX",--(DATOS!$G11417=CONFIG_METADATA!$B$4),IF(DATOS!$G11417="EX",1,IF(DATOS!$G11417="OR",--(COUNTIFS(nNIA,DATOS!$A11417,nCURSO,DATOS!$D11417,nESPEC,DATOS!$E11417,nASIG,DATOS!$I11417,nEVAL,"EX")=0),0))))</f>
      </c>
      <c r="H11417">
        <f>IF(DATOS!$G11417&lt;&gt;"EX",0,--(COUNTIFS(nNIA,DATOS!$A11417,nCURSO,DATOS!$D11417,nESPEC,DATOS!$E11417,nASIG,DATOS!$I11417,nEVAL,"OR")=0))</f>
      </c>
      <c r="I11417">
        <f>IF(DATOS!$I11417="","",IFERROR(VLOOKUP(DATOS!$I11417,CONFIG_ASIGNATURAS!$B$2:$J$91,9,FALSE()),""))</f>
      </c>
    </row>
    <row r="11418">
      <c r="F11418">
        <f>IF(DATOS!$A11418="","",DATOS!$A11418&amp;"|"&amp;DATOS!$D11418&amp;"|"&amp;DATOS!$E11418&amp;"|"&amp;DATOS!$I11418)</f>
      </c>
      <c r="G11418">
        <f>IF(DATOS!$A11418="",0,IF(CONFIG_METADATA!$B$4&lt;&gt;"OR+EX",--(DATOS!$G11418=CONFIG_METADATA!$B$4),IF(DATOS!$G11418="EX",1,IF(DATOS!$G11418="OR",--(COUNTIFS(nNIA,DATOS!$A11418,nCURSO,DATOS!$D11418,nESPEC,DATOS!$E11418,nASIG,DATOS!$I11418,nEVAL,"EX")=0),0))))</f>
      </c>
      <c r="H11418">
        <f>IF(DATOS!$G11418&lt;&gt;"EX",0,--(COUNTIFS(nNIA,DATOS!$A11418,nCURSO,DATOS!$D11418,nESPEC,DATOS!$E11418,nASIG,DATOS!$I11418,nEVAL,"OR")=0))</f>
      </c>
      <c r="I11418">
        <f>IF(DATOS!$I11418="","",IFERROR(VLOOKUP(DATOS!$I11418,CONFIG_ASIGNATURAS!$B$2:$J$91,9,FALSE()),""))</f>
      </c>
    </row>
    <row r="11419">
      <c r="F11419">
        <f>IF(DATOS!$A11419="","",DATOS!$A11419&amp;"|"&amp;DATOS!$D11419&amp;"|"&amp;DATOS!$E11419&amp;"|"&amp;DATOS!$I11419)</f>
      </c>
      <c r="G11419">
        <f>IF(DATOS!$A11419="",0,IF(CONFIG_METADATA!$B$4&lt;&gt;"OR+EX",--(DATOS!$G11419=CONFIG_METADATA!$B$4),IF(DATOS!$G11419="EX",1,IF(DATOS!$G11419="OR",--(COUNTIFS(nNIA,DATOS!$A11419,nCURSO,DATOS!$D11419,nESPEC,DATOS!$E11419,nASIG,DATOS!$I11419,nEVAL,"EX")=0),0))))</f>
      </c>
      <c r="H11419">
        <f>IF(DATOS!$G11419&lt;&gt;"EX",0,--(COUNTIFS(nNIA,DATOS!$A11419,nCURSO,DATOS!$D11419,nESPEC,DATOS!$E11419,nASIG,DATOS!$I11419,nEVAL,"OR")=0))</f>
      </c>
      <c r="I11419">
        <f>IF(DATOS!$I11419="","",IFERROR(VLOOKUP(DATOS!$I11419,CONFIG_ASIGNATURAS!$B$2:$J$91,9,FALSE()),""))</f>
      </c>
    </row>
    <row r="11420">
      <c r="F11420">
        <f>IF(DATOS!$A11420="","",DATOS!$A11420&amp;"|"&amp;DATOS!$D11420&amp;"|"&amp;DATOS!$E11420&amp;"|"&amp;DATOS!$I11420)</f>
      </c>
      <c r="G11420">
        <f>IF(DATOS!$A11420="",0,IF(CONFIG_METADATA!$B$4&lt;&gt;"OR+EX",--(DATOS!$G11420=CONFIG_METADATA!$B$4),IF(DATOS!$G11420="EX",1,IF(DATOS!$G11420="OR",--(COUNTIFS(nNIA,DATOS!$A11420,nCURSO,DATOS!$D11420,nESPEC,DATOS!$E11420,nASIG,DATOS!$I11420,nEVAL,"EX")=0),0))))</f>
      </c>
      <c r="H11420">
        <f>IF(DATOS!$G11420&lt;&gt;"EX",0,--(COUNTIFS(nNIA,DATOS!$A11420,nCURSO,DATOS!$D11420,nESPEC,DATOS!$E11420,nASIG,DATOS!$I11420,nEVAL,"OR")=0))</f>
      </c>
      <c r="I11420">
        <f>IF(DATOS!$I11420="","",IFERROR(VLOOKUP(DATOS!$I11420,CONFIG_ASIGNATURAS!$B$2:$J$91,9,FALSE()),""))</f>
      </c>
    </row>
    <row r="11421">
      <c r="F11421">
        <f>IF(DATOS!$A11421="","",DATOS!$A11421&amp;"|"&amp;DATOS!$D11421&amp;"|"&amp;DATOS!$E11421&amp;"|"&amp;DATOS!$I11421)</f>
      </c>
      <c r="G11421">
        <f>IF(DATOS!$A11421="",0,IF(CONFIG_METADATA!$B$4&lt;&gt;"OR+EX",--(DATOS!$G11421=CONFIG_METADATA!$B$4),IF(DATOS!$G11421="EX",1,IF(DATOS!$G11421="OR",--(COUNTIFS(nNIA,DATOS!$A11421,nCURSO,DATOS!$D11421,nESPEC,DATOS!$E11421,nASIG,DATOS!$I11421,nEVAL,"EX")=0),0))))</f>
      </c>
      <c r="H11421">
        <f>IF(DATOS!$G11421&lt;&gt;"EX",0,--(COUNTIFS(nNIA,DATOS!$A11421,nCURSO,DATOS!$D11421,nESPEC,DATOS!$E11421,nASIG,DATOS!$I11421,nEVAL,"OR")=0))</f>
      </c>
      <c r="I11421">
        <f>IF(DATOS!$I11421="","",IFERROR(VLOOKUP(DATOS!$I11421,CONFIG_ASIGNATURAS!$B$2:$J$91,9,FALSE()),""))</f>
      </c>
    </row>
    <row r="11422">
      <c r="F11422">
        <f>IF(DATOS!$A11422="","",DATOS!$A11422&amp;"|"&amp;DATOS!$D11422&amp;"|"&amp;DATOS!$E11422&amp;"|"&amp;DATOS!$I11422)</f>
      </c>
      <c r="G11422">
        <f>IF(DATOS!$A11422="",0,IF(CONFIG_METADATA!$B$4&lt;&gt;"OR+EX",--(DATOS!$G11422=CONFIG_METADATA!$B$4),IF(DATOS!$G11422="EX",1,IF(DATOS!$G11422="OR",--(COUNTIFS(nNIA,DATOS!$A11422,nCURSO,DATOS!$D11422,nESPEC,DATOS!$E11422,nASIG,DATOS!$I11422,nEVAL,"EX")=0),0))))</f>
      </c>
      <c r="H11422">
        <f>IF(DATOS!$G11422&lt;&gt;"EX",0,--(COUNTIFS(nNIA,DATOS!$A11422,nCURSO,DATOS!$D11422,nESPEC,DATOS!$E11422,nASIG,DATOS!$I11422,nEVAL,"OR")=0))</f>
      </c>
      <c r="I11422">
        <f>IF(DATOS!$I11422="","",IFERROR(VLOOKUP(DATOS!$I11422,CONFIG_ASIGNATURAS!$B$2:$J$91,9,FALSE()),""))</f>
      </c>
    </row>
    <row r="11423">
      <c r="F11423">
        <f>IF(DATOS!$A11423="","",DATOS!$A11423&amp;"|"&amp;DATOS!$D11423&amp;"|"&amp;DATOS!$E11423&amp;"|"&amp;DATOS!$I11423)</f>
      </c>
      <c r="G11423">
        <f>IF(DATOS!$A11423="",0,IF(CONFIG_METADATA!$B$4&lt;&gt;"OR+EX",--(DATOS!$G11423=CONFIG_METADATA!$B$4),IF(DATOS!$G11423="EX",1,IF(DATOS!$G11423="OR",--(COUNTIFS(nNIA,DATOS!$A11423,nCURSO,DATOS!$D11423,nESPEC,DATOS!$E11423,nASIG,DATOS!$I11423,nEVAL,"EX")=0),0))))</f>
      </c>
      <c r="H11423">
        <f>IF(DATOS!$G11423&lt;&gt;"EX",0,--(COUNTIFS(nNIA,DATOS!$A11423,nCURSO,DATOS!$D11423,nESPEC,DATOS!$E11423,nASIG,DATOS!$I11423,nEVAL,"OR")=0))</f>
      </c>
      <c r="I11423">
        <f>IF(DATOS!$I11423="","",IFERROR(VLOOKUP(DATOS!$I11423,CONFIG_ASIGNATURAS!$B$2:$J$91,9,FALSE()),""))</f>
      </c>
    </row>
    <row r="11424">
      <c r="F11424">
        <f>IF(DATOS!$A11424="","",DATOS!$A11424&amp;"|"&amp;DATOS!$D11424&amp;"|"&amp;DATOS!$E11424&amp;"|"&amp;DATOS!$I11424)</f>
      </c>
      <c r="G11424">
        <f>IF(DATOS!$A11424="",0,IF(CONFIG_METADATA!$B$4&lt;&gt;"OR+EX",--(DATOS!$G11424=CONFIG_METADATA!$B$4),IF(DATOS!$G11424="EX",1,IF(DATOS!$G11424="OR",--(COUNTIFS(nNIA,DATOS!$A11424,nCURSO,DATOS!$D11424,nESPEC,DATOS!$E11424,nASIG,DATOS!$I11424,nEVAL,"EX")=0),0))))</f>
      </c>
      <c r="H11424">
        <f>IF(DATOS!$G11424&lt;&gt;"EX",0,--(COUNTIFS(nNIA,DATOS!$A11424,nCURSO,DATOS!$D11424,nESPEC,DATOS!$E11424,nASIG,DATOS!$I11424,nEVAL,"OR")=0))</f>
      </c>
      <c r="I11424">
        <f>IF(DATOS!$I11424="","",IFERROR(VLOOKUP(DATOS!$I11424,CONFIG_ASIGNATURAS!$B$2:$J$91,9,FALSE()),""))</f>
      </c>
    </row>
    <row r="11425">
      <c r="F11425">
        <f>IF(DATOS!$A11425="","",DATOS!$A11425&amp;"|"&amp;DATOS!$D11425&amp;"|"&amp;DATOS!$E11425&amp;"|"&amp;DATOS!$I11425)</f>
      </c>
      <c r="G11425">
        <f>IF(DATOS!$A11425="",0,IF(CONFIG_METADATA!$B$4&lt;&gt;"OR+EX",--(DATOS!$G11425=CONFIG_METADATA!$B$4),IF(DATOS!$G11425="EX",1,IF(DATOS!$G11425="OR",--(COUNTIFS(nNIA,DATOS!$A11425,nCURSO,DATOS!$D11425,nESPEC,DATOS!$E11425,nASIG,DATOS!$I11425,nEVAL,"EX")=0),0))))</f>
      </c>
      <c r="H11425">
        <f>IF(DATOS!$G11425&lt;&gt;"EX",0,--(COUNTIFS(nNIA,DATOS!$A11425,nCURSO,DATOS!$D11425,nESPEC,DATOS!$E11425,nASIG,DATOS!$I11425,nEVAL,"OR")=0))</f>
      </c>
      <c r="I11425">
        <f>IF(DATOS!$I11425="","",IFERROR(VLOOKUP(DATOS!$I11425,CONFIG_ASIGNATURAS!$B$2:$J$91,9,FALSE()),""))</f>
      </c>
    </row>
    <row r="11426">
      <c r="F11426">
        <f>IF(DATOS!$A11426="","",DATOS!$A11426&amp;"|"&amp;DATOS!$D11426&amp;"|"&amp;DATOS!$E11426&amp;"|"&amp;DATOS!$I11426)</f>
      </c>
      <c r="G11426">
        <f>IF(DATOS!$A11426="",0,IF(CONFIG_METADATA!$B$4&lt;&gt;"OR+EX",--(DATOS!$G11426=CONFIG_METADATA!$B$4),IF(DATOS!$G11426="EX",1,IF(DATOS!$G11426="OR",--(COUNTIFS(nNIA,DATOS!$A11426,nCURSO,DATOS!$D11426,nESPEC,DATOS!$E11426,nASIG,DATOS!$I11426,nEVAL,"EX")=0),0))))</f>
      </c>
      <c r="H11426">
        <f>IF(DATOS!$G11426&lt;&gt;"EX",0,--(COUNTIFS(nNIA,DATOS!$A11426,nCURSO,DATOS!$D11426,nESPEC,DATOS!$E11426,nASIG,DATOS!$I11426,nEVAL,"OR")=0))</f>
      </c>
      <c r="I11426">
        <f>IF(DATOS!$I11426="","",IFERROR(VLOOKUP(DATOS!$I11426,CONFIG_ASIGNATURAS!$B$2:$J$91,9,FALSE()),""))</f>
      </c>
    </row>
    <row r="11427">
      <c r="F11427">
        <f>IF(DATOS!$A11427="","",DATOS!$A11427&amp;"|"&amp;DATOS!$D11427&amp;"|"&amp;DATOS!$E11427&amp;"|"&amp;DATOS!$I11427)</f>
      </c>
      <c r="G11427">
        <f>IF(DATOS!$A11427="",0,IF(CONFIG_METADATA!$B$4&lt;&gt;"OR+EX",--(DATOS!$G11427=CONFIG_METADATA!$B$4),IF(DATOS!$G11427="EX",1,IF(DATOS!$G11427="OR",--(COUNTIFS(nNIA,DATOS!$A11427,nCURSO,DATOS!$D11427,nESPEC,DATOS!$E11427,nASIG,DATOS!$I11427,nEVAL,"EX")=0),0))))</f>
      </c>
      <c r="H11427">
        <f>IF(DATOS!$G11427&lt;&gt;"EX",0,--(COUNTIFS(nNIA,DATOS!$A11427,nCURSO,DATOS!$D11427,nESPEC,DATOS!$E11427,nASIG,DATOS!$I11427,nEVAL,"OR")=0))</f>
      </c>
      <c r="I11427">
        <f>IF(DATOS!$I11427="","",IFERROR(VLOOKUP(DATOS!$I11427,CONFIG_ASIGNATURAS!$B$2:$J$91,9,FALSE()),""))</f>
      </c>
    </row>
    <row r="11428">
      <c r="F11428">
        <f>IF(DATOS!$A11428="","",DATOS!$A11428&amp;"|"&amp;DATOS!$D11428&amp;"|"&amp;DATOS!$E11428&amp;"|"&amp;DATOS!$I11428)</f>
      </c>
      <c r="G11428">
        <f>IF(DATOS!$A11428="",0,IF(CONFIG_METADATA!$B$4&lt;&gt;"OR+EX",--(DATOS!$G11428=CONFIG_METADATA!$B$4),IF(DATOS!$G11428="EX",1,IF(DATOS!$G11428="OR",--(COUNTIFS(nNIA,DATOS!$A11428,nCURSO,DATOS!$D11428,nESPEC,DATOS!$E11428,nASIG,DATOS!$I11428,nEVAL,"EX")=0),0))))</f>
      </c>
      <c r="H11428">
        <f>IF(DATOS!$G11428&lt;&gt;"EX",0,--(COUNTIFS(nNIA,DATOS!$A11428,nCURSO,DATOS!$D11428,nESPEC,DATOS!$E11428,nASIG,DATOS!$I11428,nEVAL,"OR")=0))</f>
      </c>
      <c r="I11428">
        <f>IF(DATOS!$I11428="","",IFERROR(VLOOKUP(DATOS!$I11428,CONFIG_ASIGNATURAS!$B$2:$J$91,9,FALSE()),""))</f>
      </c>
    </row>
    <row r="11429">
      <c r="F11429">
        <f>IF(DATOS!$A11429="","",DATOS!$A11429&amp;"|"&amp;DATOS!$D11429&amp;"|"&amp;DATOS!$E11429&amp;"|"&amp;DATOS!$I11429)</f>
      </c>
      <c r="G11429">
        <f>IF(DATOS!$A11429="",0,IF(CONFIG_METADATA!$B$4&lt;&gt;"OR+EX",--(DATOS!$G11429=CONFIG_METADATA!$B$4),IF(DATOS!$G11429="EX",1,IF(DATOS!$G11429="OR",--(COUNTIFS(nNIA,DATOS!$A11429,nCURSO,DATOS!$D11429,nESPEC,DATOS!$E11429,nASIG,DATOS!$I11429,nEVAL,"EX")=0),0))))</f>
      </c>
      <c r="H11429">
        <f>IF(DATOS!$G11429&lt;&gt;"EX",0,--(COUNTIFS(nNIA,DATOS!$A11429,nCURSO,DATOS!$D11429,nESPEC,DATOS!$E11429,nASIG,DATOS!$I11429,nEVAL,"OR")=0))</f>
      </c>
      <c r="I11429">
        <f>IF(DATOS!$I11429="","",IFERROR(VLOOKUP(DATOS!$I11429,CONFIG_ASIGNATURAS!$B$2:$J$91,9,FALSE()),""))</f>
      </c>
    </row>
    <row r="11430">
      <c r="F11430">
        <f>IF(DATOS!$A11430="","",DATOS!$A11430&amp;"|"&amp;DATOS!$D11430&amp;"|"&amp;DATOS!$E11430&amp;"|"&amp;DATOS!$I11430)</f>
      </c>
      <c r="G11430">
        <f>IF(DATOS!$A11430="",0,IF(CONFIG_METADATA!$B$4&lt;&gt;"OR+EX",--(DATOS!$G11430=CONFIG_METADATA!$B$4),IF(DATOS!$G11430="EX",1,IF(DATOS!$G11430="OR",--(COUNTIFS(nNIA,DATOS!$A11430,nCURSO,DATOS!$D11430,nESPEC,DATOS!$E11430,nASIG,DATOS!$I11430,nEVAL,"EX")=0),0))))</f>
      </c>
      <c r="H11430">
        <f>IF(DATOS!$G11430&lt;&gt;"EX",0,--(COUNTIFS(nNIA,DATOS!$A11430,nCURSO,DATOS!$D11430,nESPEC,DATOS!$E11430,nASIG,DATOS!$I11430,nEVAL,"OR")=0))</f>
      </c>
      <c r="I11430">
        <f>IF(DATOS!$I11430="","",IFERROR(VLOOKUP(DATOS!$I11430,CONFIG_ASIGNATURAS!$B$2:$J$91,9,FALSE()),""))</f>
      </c>
    </row>
    <row r="11431">
      <c r="F11431">
        <f>IF(DATOS!$A11431="","",DATOS!$A11431&amp;"|"&amp;DATOS!$D11431&amp;"|"&amp;DATOS!$E11431&amp;"|"&amp;DATOS!$I11431)</f>
      </c>
      <c r="G11431">
        <f>IF(DATOS!$A11431="",0,IF(CONFIG_METADATA!$B$4&lt;&gt;"OR+EX",--(DATOS!$G11431=CONFIG_METADATA!$B$4),IF(DATOS!$G11431="EX",1,IF(DATOS!$G11431="OR",--(COUNTIFS(nNIA,DATOS!$A11431,nCURSO,DATOS!$D11431,nESPEC,DATOS!$E11431,nASIG,DATOS!$I11431,nEVAL,"EX")=0),0))))</f>
      </c>
      <c r="H11431">
        <f>IF(DATOS!$G11431&lt;&gt;"EX",0,--(COUNTIFS(nNIA,DATOS!$A11431,nCURSO,DATOS!$D11431,nESPEC,DATOS!$E11431,nASIG,DATOS!$I11431,nEVAL,"OR")=0))</f>
      </c>
      <c r="I11431">
        <f>IF(DATOS!$I11431="","",IFERROR(VLOOKUP(DATOS!$I11431,CONFIG_ASIGNATURAS!$B$2:$J$91,9,FALSE()),""))</f>
      </c>
    </row>
    <row r="11432">
      <c r="F11432">
        <f>IF(DATOS!$A11432="","",DATOS!$A11432&amp;"|"&amp;DATOS!$D11432&amp;"|"&amp;DATOS!$E11432&amp;"|"&amp;DATOS!$I11432)</f>
      </c>
      <c r="G11432">
        <f>IF(DATOS!$A11432="",0,IF(CONFIG_METADATA!$B$4&lt;&gt;"OR+EX",--(DATOS!$G11432=CONFIG_METADATA!$B$4),IF(DATOS!$G11432="EX",1,IF(DATOS!$G11432="OR",--(COUNTIFS(nNIA,DATOS!$A11432,nCURSO,DATOS!$D11432,nESPEC,DATOS!$E11432,nASIG,DATOS!$I11432,nEVAL,"EX")=0),0))))</f>
      </c>
      <c r="H11432">
        <f>IF(DATOS!$G11432&lt;&gt;"EX",0,--(COUNTIFS(nNIA,DATOS!$A11432,nCURSO,DATOS!$D11432,nESPEC,DATOS!$E11432,nASIG,DATOS!$I11432,nEVAL,"OR")=0))</f>
      </c>
      <c r="I11432">
        <f>IF(DATOS!$I11432="","",IFERROR(VLOOKUP(DATOS!$I11432,CONFIG_ASIGNATURAS!$B$2:$J$91,9,FALSE()),""))</f>
      </c>
    </row>
    <row r="11433">
      <c r="F11433">
        <f>IF(DATOS!$A11433="","",DATOS!$A11433&amp;"|"&amp;DATOS!$D11433&amp;"|"&amp;DATOS!$E11433&amp;"|"&amp;DATOS!$I11433)</f>
      </c>
      <c r="G11433">
        <f>IF(DATOS!$A11433="",0,IF(CONFIG_METADATA!$B$4&lt;&gt;"OR+EX",--(DATOS!$G11433=CONFIG_METADATA!$B$4),IF(DATOS!$G11433="EX",1,IF(DATOS!$G11433="OR",--(COUNTIFS(nNIA,DATOS!$A11433,nCURSO,DATOS!$D11433,nESPEC,DATOS!$E11433,nASIG,DATOS!$I11433,nEVAL,"EX")=0),0))))</f>
      </c>
      <c r="H11433">
        <f>IF(DATOS!$G11433&lt;&gt;"EX",0,--(COUNTIFS(nNIA,DATOS!$A11433,nCURSO,DATOS!$D11433,nESPEC,DATOS!$E11433,nASIG,DATOS!$I11433,nEVAL,"OR")=0))</f>
      </c>
      <c r="I11433">
        <f>IF(DATOS!$I11433="","",IFERROR(VLOOKUP(DATOS!$I11433,CONFIG_ASIGNATURAS!$B$2:$J$91,9,FALSE()),""))</f>
      </c>
    </row>
    <row r="11434">
      <c r="F11434">
        <f>IF(DATOS!$A11434="","",DATOS!$A11434&amp;"|"&amp;DATOS!$D11434&amp;"|"&amp;DATOS!$E11434&amp;"|"&amp;DATOS!$I11434)</f>
      </c>
      <c r="G11434">
        <f>IF(DATOS!$A11434="",0,IF(CONFIG_METADATA!$B$4&lt;&gt;"OR+EX",--(DATOS!$G11434=CONFIG_METADATA!$B$4),IF(DATOS!$G11434="EX",1,IF(DATOS!$G11434="OR",--(COUNTIFS(nNIA,DATOS!$A11434,nCURSO,DATOS!$D11434,nESPEC,DATOS!$E11434,nASIG,DATOS!$I11434,nEVAL,"EX")=0),0))))</f>
      </c>
      <c r="H11434">
        <f>IF(DATOS!$G11434&lt;&gt;"EX",0,--(COUNTIFS(nNIA,DATOS!$A11434,nCURSO,DATOS!$D11434,nESPEC,DATOS!$E11434,nASIG,DATOS!$I11434,nEVAL,"OR")=0))</f>
      </c>
      <c r="I11434">
        <f>IF(DATOS!$I11434="","",IFERROR(VLOOKUP(DATOS!$I11434,CONFIG_ASIGNATURAS!$B$2:$J$91,9,FALSE()),""))</f>
      </c>
    </row>
    <row r="11435">
      <c r="F11435">
        <f>IF(DATOS!$A11435="","",DATOS!$A11435&amp;"|"&amp;DATOS!$D11435&amp;"|"&amp;DATOS!$E11435&amp;"|"&amp;DATOS!$I11435)</f>
      </c>
      <c r="G11435">
        <f>IF(DATOS!$A11435="",0,IF(CONFIG_METADATA!$B$4&lt;&gt;"OR+EX",--(DATOS!$G11435=CONFIG_METADATA!$B$4),IF(DATOS!$G11435="EX",1,IF(DATOS!$G11435="OR",--(COUNTIFS(nNIA,DATOS!$A11435,nCURSO,DATOS!$D11435,nESPEC,DATOS!$E11435,nASIG,DATOS!$I11435,nEVAL,"EX")=0),0))))</f>
      </c>
      <c r="H11435">
        <f>IF(DATOS!$G11435&lt;&gt;"EX",0,--(COUNTIFS(nNIA,DATOS!$A11435,nCURSO,DATOS!$D11435,nESPEC,DATOS!$E11435,nASIG,DATOS!$I11435,nEVAL,"OR")=0))</f>
      </c>
      <c r="I11435">
        <f>IF(DATOS!$I11435="","",IFERROR(VLOOKUP(DATOS!$I11435,CONFIG_ASIGNATURAS!$B$2:$J$91,9,FALSE()),""))</f>
      </c>
    </row>
    <row r="11436">
      <c r="F11436">
        <f>IF(DATOS!$A11436="","",DATOS!$A11436&amp;"|"&amp;DATOS!$D11436&amp;"|"&amp;DATOS!$E11436&amp;"|"&amp;DATOS!$I11436)</f>
      </c>
      <c r="G11436">
        <f>IF(DATOS!$A11436="",0,IF(CONFIG_METADATA!$B$4&lt;&gt;"OR+EX",--(DATOS!$G11436=CONFIG_METADATA!$B$4),IF(DATOS!$G11436="EX",1,IF(DATOS!$G11436="OR",--(COUNTIFS(nNIA,DATOS!$A11436,nCURSO,DATOS!$D11436,nESPEC,DATOS!$E11436,nASIG,DATOS!$I11436,nEVAL,"EX")=0),0))))</f>
      </c>
      <c r="H11436">
        <f>IF(DATOS!$G11436&lt;&gt;"EX",0,--(COUNTIFS(nNIA,DATOS!$A11436,nCURSO,DATOS!$D11436,nESPEC,DATOS!$E11436,nASIG,DATOS!$I11436,nEVAL,"OR")=0))</f>
      </c>
      <c r="I11436">
        <f>IF(DATOS!$I11436="","",IFERROR(VLOOKUP(DATOS!$I11436,CONFIG_ASIGNATURAS!$B$2:$J$91,9,FALSE()),""))</f>
      </c>
    </row>
    <row r="11437">
      <c r="F11437">
        <f>IF(DATOS!$A11437="","",DATOS!$A11437&amp;"|"&amp;DATOS!$D11437&amp;"|"&amp;DATOS!$E11437&amp;"|"&amp;DATOS!$I11437)</f>
      </c>
      <c r="G11437">
        <f>IF(DATOS!$A11437="",0,IF(CONFIG_METADATA!$B$4&lt;&gt;"OR+EX",--(DATOS!$G11437=CONFIG_METADATA!$B$4),IF(DATOS!$G11437="EX",1,IF(DATOS!$G11437="OR",--(COUNTIFS(nNIA,DATOS!$A11437,nCURSO,DATOS!$D11437,nESPEC,DATOS!$E11437,nASIG,DATOS!$I11437,nEVAL,"EX")=0),0))))</f>
      </c>
      <c r="H11437">
        <f>IF(DATOS!$G11437&lt;&gt;"EX",0,--(COUNTIFS(nNIA,DATOS!$A11437,nCURSO,DATOS!$D11437,nESPEC,DATOS!$E11437,nASIG,DATOS!$I11437,nEVAL,"OR")=0))</f>
      </c>
      <c r="I11437">
        <f>IF(DATOS!$I11437="","",IFERROR(VLOOKUP(DATOS!$I11437,CONFIG_ASIGNATURAS!$B$2:$J$91,9,FALSE()),""))</f>
      </c>
    </row>
    <row r="11438">
      <c r="F11438">
        <f>IF(DATOS!$A11438="","",DATOS!$A11438&amp;"|"&amp;DATOS!$D11438&amp;"|"&amp;DATOS!$E11438&amp;"|"&amp;DATOS!$I11438)</f>
      </c>
      <c r="G11438">
        <f>IF(DATOS!$A11438="",0,IF(CONFIG_METADATA!$B$4&lt;&gt;"OR+EX",--(DATOS!$G11438=CONFIG_METADATA!$B$4),IF(DATOS!$G11438="EX",1,IF(DATOS!$G11438="OR",--(COUNTIFS(nNIA,DATOS!$A11438,nCURSO,DATOS!$D11438,nESPEC,DATOS!$E11438,nASIG,DATOS!$I11438,nEVAL,"EX")=0),0))))</f>
      </c>
      <c r="H11438">
        <f>IF(DATOS!$G11438&lt;&gt;"EX",0,--(COUNTIFS(nNIA,DATOS!$A11438,nCURSO,DATOS!$D11438,nESPEC,DATOS!$E11438,nASIG,DATOS!$I11438,nEVAL,"OR")=0))</f>
      </c>
      <c r="I11438">
        <f>IF(DATOS!$I11438="","",IFERROR(VLOOKUP(DATOS!$I11438,CONFIG_ASIGNATURAS!$B$2:$J$91,9,FALSE()),""))</f>
      </c>
    </row>
    <row r="11439">
      <c r="F11439">
        <f>IF(DATOS!$A11439="","",DATOS!$A11439&amp;"|"&amp;DATOS!$D11439&amp;"|"&amp;DATOS!$E11439&amp;"|"&amp;DATOS!$I11439)</f>
      </c>
      <c r="G11439">
        <f>IF(DATOS!$A11439="",0,IF(CONFIG_METADATA!$B$4&lt;&gt;"OR+EX",--(DATOS!$G11439=CONFIG_METADATA!$B$4),IF(DATOS!$G11439="EX",1,IF(DATOS!$G11439="OR",--(COUNTIFS(nNIA,DATOS!$A11439,nCURSO,DATOS!$D11439,nESPEC,DATOS!$E11439,nASIG,DATOS!$I11439,nEVAL,"EX")=0),0))))</f>
      </c>
      <c r="H11439">
        <f>IF(DATOS!$G11439&lt;&gt;"EX",0,--(COUNTIFS(nNIA,DATOS!$A11439,nCURSO,DATOS!$D11439,nESPEC,DATOS!$E11439,nASIG,DATOS!$I11439,nEVAL,"OR")=0))</f>
      </c>
      <c r="I11439">
        <f>IF(DATOS!$I11439="","",IFERROR(VLOOKUP(DATOS!$I11439,CONFIG_ASIGNATURAS!$B$2:$J$91,9,FALSE()),""))</f>
      </c>
    </row>
    <row r="11440">
      <c r="F11440">
        <f>IF(DATOS!$A11440="","",DATOS!$A11440&amp;"|"&amp;DATOS!$D11440&amp;"|"&amp;DATOS!$E11440&amp;"|"&amp;DATOS!$I11440)</f>
      </c>
      <c r="G11440">
        <f>IF(DATOS!$A11440="",0,IF(CONFIG_METADATA!$B$4&lt;&gt;"OR+EX",--(DATOS!$G11440=CONFIG_METADATA!$B$4),IF(DATOS!$G11440="EX",1,IF(DATOS!$G11440="OR",--(COUNTIFS(nNIA,DATOS!$A11440,nCURSO,DATOS!$D11440,nESPEC,DATOS!$E11440,nASIG,DATOS!$I11440,nEVAL,"EX")=0),0))))</f>
      </c>
      <c r="H11440">
        <f>IF(DATOS!$G11440&lt;&gt;"EX",0,--(COUNTIFS(nNIA,DATOS!$A11440,nCURSO,DATOS!$D11440,nESPEC,DATOS!$E11440,nASIG,DATOS!$I11440,nEVAL,"OR")=0))</f>
      </c>
      <c r="I11440">
        <f>IF(DATOS!$I11440="","",IFERROR(VLOOKUP(DATOS!$I11440,CONFIG_ASIGNATURAS!$B$2:$J$91,9,FALSE()),""))</f>
      </c>
    </row>
    <row r="11441">
      <c r="F11441">
        <f>IF(DATOS!$A11441="","",DATOS!$A11441&amp;"|"&amp;DATOS!$D11441&amp;"|"&amp;DATOS!$E11441&amp;"|"&amp;DATOS!$I11441)</f>
      </c>
      <c r="G11441">
        <f>IF(DATOS!$A11441="",0,IF(CONFIG_METADATA!$B$4&lt;&gt;"OR+EX",--(DATOS!$G11441=CONFIG_METADATA!$B$4),IF(DATOS!$G11441="EX",1,IF(DATOS!$G11441="OR",--(COUNTIFS(nNIA,DATOS!$A11441,nCURSO,DATOS!$D11441,nESPEC,DATOS!$E11441,nASIG,DATOS!$I11441,nEVAL,"EX")=0),0))))</f>
      </c>
      <c r="H11441">
        <f>IF(DATOS!$G11441&lt;&gt;"EX",0,--(COUNTIFS(nNIA,DATOS!$A11441,nCURSO,DATOS!$D11441,nESPEC,DATOS!$E11441,nASIG,DATOS!$I11441,nEVAL,"OR")=0))</f>
      </c>
      <c r="I11441">
        <f>IF(DATOS!$I11441="","",IFERROR(VLOOKUP(DATOS!$I11441,CONFIG_ASIGNATURAS!$B$2:$J$91,9,FALSE()),""))</f>
      </c>
    </row>
    <row r="11442">
      <c r="F11442">
        <f>IF(DATOS!$A11442="","",DATOS!$A11442&amp;"|"&amp;DATOS!$D11442&amp;"|"&amp;DATOS!$E11442&amp;"|"&amp;DATOS!$I11442)</f>
      </c>
      <c r="G11442">
        <f>IF(DATOS!$A11442="",0,IF(CONFIG_METADATA!$B$4&lt;&gt;"OR+EX",--(DATOS!$G11442=CONFIG_METADATA!$B$4),IF(DATOS!$G11442="EX",1,IF(DATOS!$G11442="OR",--(COUNTIFS(nNIA,DATOS!$A11442,nCURSO,DATOS!$D11442,nESPEC,DATOS!$E11442,nASIG,DATOS!$I11442,nEVAL,"EX")=0),0))))</f>
      </c>
      <c r="H11442">
        <f>IF(DATOS!$G11442&lt;&gt;"EX",0,--(COUNTIFS(nNIA,DATOS!$A11442,nCURSO,DATOS!$D11442,nESPEC,DATOS!$E11442,nASIG,DATOS!$I11442,nEVAL,"OR")=0))</f>
      </c>
      <c r="I11442">
        <f>IF(DATOS!$I11442="","",IFERROR(VLOOKUP(DATOS!$I11442,CONFIG_ASIGNATURAS!$B$2:$J$91,9,FALSE()),""))</f>
      </c>
    </row>
    <row r="11443">
      <c r="F11443">
        <f>IF(DATOS!$A11443="","",DATOS!$A11443&amp;"|"&amp;DATOS!$D11443&amp;"|"&amp;DATOS!$E11443&amp;"|"&amp;DATOS!$I11443)</f>
      </c>
      <c r="G11443">
        <f>IF(DATOS!$A11443="",0,IF(CONFIG_METADATA!$B$4&lt;&gt;"OR+EX",--(DATOS!$G11443=CONFIG_METADATA!$B$4),IF(DATOS!$G11443="EX",1,IF(DATOS!$G11443="OR",--(COUNTIFS(nNIA,DATOS!$A11443,nCURSO,DATOS!$D11443,nESPEC,DATOS!$E11443,nASIG,DATOS!$I11443,nEVAL,"EX")=0),0))))</f>
      </c>
      <c r="H11443">
        <f>IF(DATOS!$G11443&lt;&gt;"EX",0,--(COUNTIFS(nNIA,DATOS!$A11443,nCURSO,DATOS!$D11443,nESPEC,DATOS!$E11443,nASIG,DATOS!$I11443,nEVAL,"OR")=0))</f>
      </c>
      <c r="I11443">
        <f>IF(DATOS!$I11443="","",IFERROR(VLOOKUP(DATOS!$I11443,CONFIG_ASIGNATURAS!$B$2:$J$91,9,FALSE()),""))</f>
      </c>
    </row>
    <row r="11444">
      <c r="F11444">
        <f>IF(DATOS!$A11444="","",DATOS!$A11444&amp;"|"&amp;DATOS!$D11444&amp;"|"&amp;DATOS!$E11444&amp;"|"&amp;DATOS!$I11444)</f>
      </c>
      <c r="G11444">
        <f>IF(DATOS!$A11444="",0,IF(CONFIG_METADATA!$B$4&lt;&gt;"OR+EX",--(DATOS!$G11444=CONFIG_METADATA!$B$4),IF(DATOS!$G11444="EX",1,IF(DATOS!$G11444="OR",--(COUNTIFS(nNIA,DATOS!$A11444,nCURSO,DATOS!$D11444,nESPEC,DATOS!$E11444,nASIG,DATOS!$I11444,nEVAL,"EX")=0),0))))</f>
      </c>
      <c r="H11444">
        <f>IF(DATOS!$G11444&lt;&gt;"EX",0,--(COUNTIFS(nNIA,DATOS!$A11444,nCURSO,DATOS!$D11444,nESPEC,DATOS!$E11444,nASIG,DATOS!$I11444,nEVAL,"OR")=0))</f>
      </c>
      <c r="I11444">
        <f>IF(DATOS!$I11444="","",IFERROR(VLOOKUP(DATOS!$I11444,CONFIG_ASIGNATURAS!$B$2:$J$91,9,FALSE()),""))</f>
      </c>
    </row>
    <row r="11445">
      <c r="F11445">
        <f>IF(DATOS!$A11445="","",DATOS!$A11445&amp;"|"&amp;DATOS!$D11445&amp;"|"&amp;DATOS!$E11445&amp;"|"&amp;DATOS!$I11445)</f>
      </c>
      <c r="G11445">
        <f>IF(DATOS!$A11445="",0,IF(CONFIG_METADATA!$B$4&lt;&gt;"OR+EX",--(DATOS!$G11445=CONFIG_METADATA!$B$4),IF(DATOS!$G11445="EX",1,IF(DATOS!$G11445="OR",--(COUNTIFS(nNIA,DATOS!$A11445,nCURSO,DATOS!$D11445,nESPEC,DATOS!$E11445,nASIG,DATOS!$I11445,nEVAL,"EX")=0),0))))</f>
      </c>
      <c r="H11445">
        <f>IF(DATOS!$G11445&lt;&gt;"EX",0,--(COUNTIFS(nNIA,DATOS!$A11445,nCURSO,DATOS!$D11445,nESPEC,DATOS!$E11445,nASIG,DATOS!$I11445,nEVAL,"OR")=0))</f>
      </c>
      <c r="I11445">
        <f>IF(DATOS!$I11445="","",IFERROR(VLOOKUP(DATOS!$I11445,CONFIG_ASIGNATURAS!$B$2:$J$91,9,FALSE()),""))</f>
      </c>
    </row>
    <row r="11446">
      <c r="F11446">
        <f>IF(DATOS!$A11446="","",DATOS!$A11446&amp;"|"&amp;DATOS!$D11446&amp;"|"&amp;DATOS!$E11446&amp;"|"&amp;DATOS!$I11446)</f>
      </c>
      <c r="G11446">
        <f>IF(DATOS!$A11446="",0,IF(CONFIG_METADATA!$B$4&lt;&gt;"OR+EX",--(DATOS!$G11446=CONFIG_METADATA!$B$4),IF(DATOS!$G11446="EX",1,IF(DATOS!$G11446="OR",--(COUNTIFS(nNIA,DATOS!$A11446,nCURSO,DATOS!$D11446,nESPEC,DATOS!$E11446,nASIG,DATOS!$I11446,nEVAL,"EX")=0),0))))</f>
      </c>
      <c r="H11446">
        <f>IF(DATOS!$G11446&lt;&gt;"EX",0,--(COUNTIFS(nNIA,DATOS!$A11446,nCURSO,DATOS!$D11446,nESPEC,DATOS!$E11446,nASIG,DATOS!$I11446,nEVAL,"OR")=0))</f>
      </c>
      <c r="I11446">
        <f>IF(DATOS!$I11446="","",IFERROR(VLOOKUP(DATOS!$I11446,CONFIG_ASIGNATURAS!$B$2:$J$91,9,FALSE()),""))</f>
      </c>
    </row>
    <row r="11447">
      <c r="F11447">
        <f>IF(DATOS!$A11447="","",DATOS!$A11447&amp;"|"&amp;DATOS!$D11447&amp;"|"&amp;DATOS!$E11447&amp;"|"&amp;DATOS!$I11447)</f>
      </c>
      <c r="G11447">
        <f>IF(DATOS!$A11447="",0,IF(CONFIG_METADATA!$B$4&lt;&gt;"OR+EX",--(DATOS!$G11447=CONFIG_METADATA!$B$4),IF(DATOS!$G11447="EX",1,IF(DATOS!$G11447="OR",--(COUNTIFS(nNIA,DATOS!$A11447,nCURSO,DATOS!$D11447,nESPEC,DATOS!$E11447,nASIG,DATOS!$I11447,nEVAL,"EX")=0),0))))</f>
      </c>
      <c r="H11447">
        <f>IF(DATOS!$G11447&lt;&gt;"EX",0,--(COUNTIFS(nNIA,DATOS!$A11447,nCURSO,DATOS!$D11447,nESPEC,DATOS!$E11447,nASIG,DATOS!$I11447,nEVAL,"OR")=0))</f>
      </c>
      <c r="I11447">
        <f>IF(DATOS!$I11447="","",IFERROR(VLOOKUP(DATOS!$I11447,CONFIG_ASIGNATURAS!$B$2:$J$91,9,FALSE()),""))</f>
      </c>
    </row>
    <row r="11448">
      <c r="F11448">
        <f>IF(DATOS!$A11448="","",DATOS!$A11448&amp;"|"&amp;DATOS!$D11448&amp;"|"&amp;DATOS!$E11448&amp;"|"&amp;DATOS!$I11448)</f>
      </c>
      <c r="G11448">
        <f>IF(DATOS!$A11448="",0,IF(CONFIG_METADATA!$B$4&lt;&gt;"OR+EX",--(DATOS!$G11448=CONFIG_METADATA!$B$4),IF(DATOS!$G11448="EX",1,IF(DATOS!$G11448="OR",--(COUNTIFS(nNIA,DATOS!$A11448,nCURSO,DATOS!$D11448,nESPEC,DATOS!$E11448,nASIG,DATOS!$I11448,nEVAL,"EX")=0),0))))</f>
      </c>
      <c r="H11448">
        <f>IF(DATOS!$G11448&lt;&gt;"EX",0,--(COUNTIFS(nNIA,DATOS!$A11448,nCURSO,DATOS!$D11448,nESPEC,DATOS!$E11448,nASIG,DATOS!$I11448,nEVAL,"OR")=0))</f>
      </c>
      <c r="I11448">
        <f>IF(DATOS!$I11448="","",IFERROR(VLOOKUP(DATOS!$I11448,CONFIG_ASIGNATURAS!$B$2:$J$91,9,FALSE()),""))</f>
      </c>
    </row>
    <row r="11449">
      <c r="F11449">
        <f>IF(DATOS!$A11449="","",DATOS!$A11449&amp;"|"&amp;DATOS!$D11449&amp;"|"&amp;DATOS!$E11449&amp;"|"&amp;DATOS!$I11449)</f>
      </c>
      <c r="G11449">
        <f>IF(DATOS!$A11449="",0,IF(CONFIG_METADATA!$B$4&lt;&gt;"OR+EX",--(DATOS!$G11449=CONFIG_METADATA!$B$4),IF(DATOS!$G11449="EX",1,IF(DATOS!$G11449="OR",--(COUNTIFS(nNIA,DATOS!$A11449,nCURSO,DATOS!$D11449,nESPEC,DATOS!$E11449,nASIG,DATOS!$I11449,nEVAL,"EX")=0),0))))</f>
      </c>
      <c r="H11449">
        <f>IF(DATOS!$G11449&lt;&gt;"EX",0,--(COUNTIFS(nNIA,DATOS!$A11449,nCURSO,DATOS!$D11449,nESPEC,DATOS!$E11449,nASIG,DATOS!$I11449,nEVAL,"OR")=0))</f>
      </c>
      <c r="I11449">
        <f>IF(DATOS!$I11449="","",IFERROR(VLOOKUP(DATOS!$I11449,CONFIG_ASIGNATURAS!$B$2:$J$91,9,FALSE()),""))</f>
      </c>
    </row>
    <row r="11450">
      <c r="F11450">
        <f>IF(DATOS!$A11450="","",DATOS!$A11450&amp;"|"&amp;DATOS!$D11450&amp;"|"&amp;DATOS!$E11450&amp;"|"&amp;DATOS!$I11450)</f>
      </c>
      <c r="G11450">
        <f>IF(DATOS!$A11450="",0,IF(CONFIG_METADATA!$B$4&lt;&gt;"OR+EX",--(DATOS!$G11450=CONFIG_METADATA!$B$4),IF(DATOS!$G11450="EX",1,IF(DATOS!$G11450="OR",--(COUNTIFS(nNIA,DATOS!$A11450,nCURSO,DATOS!$D11450,nESPEC,DATOS!$E11450,nASIG,DATOS!$I11450,nEVAL,"EX")=0),0))))</f>
      </c>
      <c r="H11450">
        <f>IF(DATOS!$G11450&lt;&gt;"EX",0,--(COUNTIFS(nNIA,DATOS!$A11450,nCURSO,DATOS!$D11450,nESPEC,DATOS!$E11450,nASIG,DATOS!$I11450,nEVAL,"OR")=0))</f>
      </c>
      <c r="I11450">
        <f>IF(DATOS!$I11450="","",IFERROR(VLOOKUP(DATOS!$I11450,CONFIG_ASIGNATURAS!$B$2:$J$91,9,FALSE()),""))</f>
      </c>
    </row>
    <row r="11451">
      <c r="F11451">
        <f>IF(DATOS!$A11451="","",DATOS!$A11451&amp;"|"&amp;DATOS!$D11451&amp;"|"&amp;DATOS!$E11451&amp;"|"&amp;DATOS!$I11451)</f>
      </c>
      <c r="G11451">
        <f>IF(DATOS!$A11451="",0,IF(CONFIG_METADATA!$B$4&lt;&gt;"OR+EX",--(DATOS!$G11451=CONFIG_METADATA!$B$4),IF(DATOS!$G11451="EX",1,IF(DATOS!$G11451="OR",--(COUNTIFS(nNIA,DATOS!$A11451,nCURSO,DATOS!$D11451,nESPEC,DATOS!$E11451,nASIG,DATOS!$I11451,nEVAL,"EX")=0),0))))</f>
      </c>
      <c r="H11451">
        <f>IF(DATOS!$G11451&lt;&gt;"EX",0,--(COUNTIFS(nNIA,DATOS!$A11451,nCURSO,DATOS!$D11451,nESPEC,DATOS!$E11451,nASIG,DATOS!$I11451,nEVAL,"OR")=0))</f>
      </c>
      <c r="I11451">
        <f>IF(DATOS!$I11451="","",IFERROR(VLOOKUP(DATOS!$I11451,CONFIG_ASIGNATURAS!$B$2:$J$91,9,FALSE()),""))</f>
      </c>
    </row>
    <row r="11452">
      <c r="F11452">
        <f>IF(DATOS!$A11452="","",DATOS!$A11452&amp;"|"&amp;DATOS!$D11452&amp;"|"&amp;DATOS!$E11452&amp;"|"&amp;DATOS!$I11452)</f>
      </c>
      <c r="G11452">
        <f>IF(DATOS!$A11452="",0,IF(CONFIG_METADATA!$B$4&lt;&gt;"OR+EX",--(DATOS!$G11452=CONFIG_METADATA!$B$4),IF(DATOS!$G11452="EX",1,IF(DATOS!$G11452="OR",--(COUNTIFS(nNIA,DATOS!$A11452,nCURSO,DATOS!$D11452,nESPEC,DATOS!$E11452,nASIG,DATOS!$I11452,nEVAL,"EX")=0),0))))</f>
      </c>
      <c r="H11452">
        <f>IF(DATOS!$G11452&lt;&gt;"EX",0,--(COUNTIFS(nNIA,DATOS!$A11452,nCURSO,DATOS!$D11452,nESPEC,DATOS!$E11452,nASIG,DATOS!$I11452,nEVAL,"OR")=0))</f>
      </c>
      <c r="I11452">
        <f>IF(DATOS!$I11452="","",IFERROR(VLOOKUP(DATOS!$I11452,CONFIG_ASIGNATURAS!$B$2:$J$91,9,FALSE()),""))</f>
      </c>
    </row>
    <row r="11453">
      <c r="F11453">
        <f>IF(DATOS!$A11453="","",DATOS!$A11453&amp;"|"&amp;DATOS!$D11453&amp;"|"&amp;DATOS!$E11453&amp;"|"&amp;DATOS!$I11453)</f>
      </c>
      <c r="G11453">
        <f>IF(DATOS!$A11453="",0,IF(CONFIG_METADATA!$B$4&lt;&gt;"OR+EX",--(DATOS!$G11453=CONFIG_METADATA!$B$4),IF(DATOS!$G11453="EX",1,IF(DATOS!$G11453="OR",--(COUNTIFS(nNIA,DATOS!$A11453,nCURSO,DATOS!$D11453,nESPEC,DATOS!$E11453,nASIG,DATOS!$I11453,nEVAL,"EX")=0),0))))</f>
      </c>
      <c r="H11453">
        <f>IF(DATOS!$G11453&lt;&gt;"EX",0,--(COUNTIFS(nNIA,DATOS!$A11453,nCURSO,DATOS!$D11453,nESPEC,DATOS!$E11453,nASIG,DATOS!$I11453,nEVAL,"OR")=0))</f>
      </c>
      <c r="I11453">
        <f>IF(DATOS!$I11453="","",IFERROR(VLOOKUP(DATOS!$I11453,CONFIG_ASIGNATURAS!$B$2:$J$91,9,FALSE()),""))</f>
      </c>
    </row>
    <row r="11454">
      <c r="F11454">
        <f>IF(DATOS!$A11454="","",DATOS!$A11454&amp;"|"&amp;DATOS!$D11454&amp;"|"&amp;DATOS!$E11454&amp;"|"&amp;DATOS!$I11454)</f>
      </c>
      <c r="G11454">
        <f>IF(DATOS!$A11454="",0,IF(CONFIG_METADATA!$B$4&lt;&gt;"OR+EX",--(DATOS!$G11454=CONFIG_METADATA!$B$4),IF(DATOS!$G11454="EX",1,IF(DATOS!$G11454="OR",--(COUNTIFS(nNIA,DATOS!$A11454,nCURSO,DATOS!$D11454,nESPEC,DATOS!$E11454,nASIG,DATOS!$I11454,nEVAL,"EX")=0),0))))</f>
      </c>
      <c r="H11454">
        <f>IF(DATOS!$G11454&lt;&gt;"EX",0,--(COUNTIFS(nNIA,DATOS!$A11454,nCURSO,DATOS!$D11454,nESPEC,DATOS!$E11454,nASIG,DATOS!$I11454,nEVAL,"OR")=0))</f>
      </c>
      <c r="I11454">
        <f>IF(DATOS!$I11454="","",IFERROR(VLOOKUP(DATOS!$I11454,CONFIG_ASIGNATURAS!$B$2:$J$91,9,FALSE()),""))</f>
      </c>
    </row>
    <row r="11455">
      <c r="F11455">
        <f>IF(DATOS!$A11455="","",DATOS!$A11455&amp;"|"&amp;DATOS!$D11455&amp;"|"&amp;DATOS!$E11455&amp;"|"&amp;DATOS!$I11455)</f>
      </c>
      <c r="G11455">
        <f>IF(DATOS!$A11455="",0,IF(CONFIG_METADATA!$B$4&lt;&gt;"OR+EX",--(DATOS!$G11455=CONFIG_METADATA!$B$4),IF(DATOS!$G11455="EX",1,IF(DATOS!$G11455="OR",--(COUNTIFS(nNIA,DATOS!$A11455,nCURSO,DATOS!$D11455,nESPEC,DATOS!$E11455,nASIG,DATOS!$I11455,nEVAL,"EX")=0),0))))</f>
      </c>
      <c r="H11455">
        <f>IF(DATOS!$G11455&lt;&gt;"EX",0,--(COUNTIFS(nNIA,DATOS!$A11455,nCURSO,DATOS!$D11455,nESPEC,DATOS!$E11455,nASIG,DATOS!$I11455,nEVAL,"OR")=0))</f>
      </c>
      <c r="I11455">
        <f>IF(DATOS!$I11455="","",IFERROR(VLOOKUP(DATOS!$I11455,CONFIG_ASIGNATURAS!$B$2:$J$91,9,FALSE()),""))</f>
      </c>
    </row>
    <row r="11456">
      <c r="F11456">
        <f>IF(DATOS!$A11456="","",DATOS!$A11456&amp;"|"&amp;DATOS!$D11456&amp;"|"&amp;DATOS!$E11456&amp;"|"&amp;DATOS!$I11456)</f>
      </c>
      <c r="G11456">
        <f>IF(DATOS!$A11456="",0,IF(CONFIG_METADATA!$B$4&lt;&gt;"OR+EX",--(DATOS!$G11456=CONFIG_METADATA!$B$4),IF(DATOS!$G11456="EX",1,IF(DATOS!$G11456="OR",--(COUNTIFS(nNIA,DATOS!$A11456,nCURSO,DATOS!$D11456,nESPEC,DATOS!$E11456,nASIG,DATOS!$I11456,nEVAL,"EX")=0),0))))</f>
      </c>
      <c r="H11456">
        <f>IF(DATOS!$G11456&lt;&gt;"EX",0,--(COUNTIFS(nNIA,DATOS!$A11456,nCURSO,DATOS!$D11456,nESPEC,DATOS!$E11456,nASIG,DATOS!$I11456,nEVAL,"OR")=0))</f>
      </c>
      <c r="I11456">
        <f>IF(DATOS!$I11456="","",IFERROR(VLOOKUP(DATOS!$I11456,CONFIG_ASIGNATURAS!$B$2:$J$91,9,FALSE()),""))</f>
      </c>
    </row>
    <row r="11457">
      <c r="F11457">
        <f>IF(DATOS!$A11457="","",DATOS!$A11457&amp;"|"&amp;DATOS!$D11457&amp;"|"&amp;DATOS!$E11457&amp;"|"&amp;DATOS!$I11457)</f>
      </c>
      <c r="G11457">
        <f>IF(DATOS!$A11457="",0,IF(CONFIG_METADATA!$B$4&lt;&gt;"OR+EX",--(DATOS!$G11457=CONFIG_METADATA!$B$4),IF(DATOS!$G11457="EX",1,IF(DATOS!$G11457="OR",--(COUNTIFS(nNIA,DATOS!$A11457,nCURSO,DATOS!$D11457,nESPEC,DATOS!$E11457,nASIG,DATOS!$I11457,nEVAL,"EX")=0),0))))</f>
      </c>
      <c r="H11457">
        <f>IF(DATOS!$G11457&lt;&gt;"EX",0,--(COUNTIFS(nNIA,DATOS!$A11457,nCURSO,DATOS!$D11457,nESPEC,DATOS!$E11457,nASIG,DATOS!$I11457,nEVAL,"OR")=0))</f>
      </c>
      <c r="I11457">
        <f>IF(DATOS!$I11457="","",IFERROR(VLOOKUP(DATOS!$I11457,CONFIG_ASIGNATURAS!$B$2:$J$91,9,FALSE()),""))</f>
      </c>
    </row>
    <row r="11458">
      <c r="F11458">
        <f>IF(DATOS!$A11458="","",DATOS!$A11458&amp;"|"&amp;DATOS!$D11458&amp;"|"&amp;DATOS!$E11458&amp;"|"&amp;DATOS!$I11458)</f>
      </c>
      <c r="G11458">
        <f>IF(DATOS!$A11458="",0,IF(CONFIG_METADATA!$B$4&lt;&gt;"OR+EX",--(DATOS!$G11458=CONFIG_METADATA!$B$4),IF(DATOS!$G11458="EX",1,IF(DATOS!$G11458="OR",--(COUNTIFS(nNIA,DATOS!$A11458,nCURSO,DATOS!$D11458,nESPEC,DATOS!$E11458,nASIG,DATOS!$I11458,nEVAL,"EX")=0),0))))</f>
      </c>
      <c r="H11458">
        <f>IF(DATOS!$G11458&lt;&gt;"EX",0,--(COUNTIFS(nNIA,DATOS!$A11458,nCURSO,DATOS!$D11458,nESPEC,DATOS!$E11458,nASIG,DATOS!$I11458,nEVAL,"OR")=0))</f>
      </c>
      <c r="I11458">
        <f>IF(DATOS!$I11458="","",IFERROR(VLOOKUP(DATOS!$I11458,CONFIG_ASIGNATURAS!$B$2:$J$91,9,FALSE()),""))</f>
      </c>
    </row>
    <row r="11459">
      <c r="F11459">
        <f>IF(DATOS!$A11459="","",DATOS!$A11459&amp;"|"&amp;DATOS!$D11459&amp;"|"&amp;DATOS!$E11459&amp;"|"&amp;DATOS!$I11459)</f>
      </c>
      <c r="G11459">
        <f>IF(DATOS!$A11459="",0,IF(CONFIG_METADATA!$B$4&lt;&gt;"OR+EX",--(DATOS!$G11459=CONFIG_METADATA!$B$4),IF(DATOS!$G11459="EX",1,IF(DATOS!$G11459="OR",--(COUNTIFS(nNIA,DATOS!$A11459,nCURSO,DATOS!$D11459,nESPEC,DATOS!$E11459,nASIG,DATOS!$I11459,nEVAL,"EX")=0),0))))</f>
      </c>
      <c r="H11459">
        <f>IF(DATOS!$G11459&lt;&gt;"EX",0,--(COUNTIFS(nNIA,DATOS!$A11459,nCURSO,DATOS!$D11459,nESPEC,DATOS!$E11459,nASIG,DATOS!$I11459,nEVAL,"OR")=0))</f>
      </c>
      <c r="I11459">
        <f>IF(DATOS!$I11459="","",IFERROR(VLOOKUP(DATOS!$I11459,CONFIG_ASIGNATURAS!$B$2:$J$91,9,FALSE()),""))</f>
      </c>
    </row>
    <row r="11460">
      <c r="F11460">
        <f>IF(DATOS!$A11460="","",DATOS!$A11460&amp;"|"&amp;DATOS!$D11460&amp;"|"&amp;DATOS!$E11460&amp;"|"&amp;DATOS!$I11460)</f>
      </c>
      <c r="G11460">
        <f>IF(DATOS!$A11460="",0,IF(CONFIG_METADATA!$B$4&lt;&gt;"OR+EX",--(DATOS!$G11460=CONFIG_METADATA!$B$4),IF(DATOS!$G11460="EX",1,IF(DATOS!$G11460="OR",--(COUNTIFS(nNIA,DATOS!$A11460,nCURSO,DATOS!$D11460,nESPEC,DATOS!$E11460,nASIG,DATOS!$I11460,nEVAL,"EX")=0),0))))</f>
      </c>
      <c r="H11460">
        <f>IF(DATOS!$G11460&lt;&gt;"EX",0,--(COUNTIFS(nNIA,DATOS!$A11460,nCURSO,DATOS!$D11460,nESPEC,DATOS!$E11460,nASIG,DATOS!$I11460,nEVAL,"OR")=0))</f>
      </c>
      <c r="I11460">
        <f>IF(DATOS!$I11460="","",IFERROR(VLOOKUP(DATOS!$I11460,CONFIG_ASIGNATURAS!$B$2:$J$91,9,FALSE()),""))</f>
      </c>
    </row>
    <row r="11461">
      <c r="F11461">
        <f>IF(DATOS!$A11461="","",DATOS!$A11461&amp;"|"&amp;DATOS!$D11461&amp;"|"&amp;DATOS!$E11461&amp;"|"&amp;DATOS!$I11461)</f>
      </c>
      <c r="G11461">
        <f>IF(DATOS!$A11461="",0,IF(CONFIG_METADATA!$B$4&lt;&gt;"OR+EX",--(DATOS!$G11461=CONFIG_METADATA!$B$4),IF(DATOS!$G11461="EX",1,IF(DATOS!$G11461="OR",--(COUNTIFS(nNIA,DATOS!$A11461,nCURSO,DATOS!$D11461,nESPEC,DATOS!$E11461,nASIG,DATOS!$I11461,nEVAL,"EX")=0),0))))</f>
      </c>
      <c r="H11461">
        <f>IF(DATOS!$G11461&lt;&gt;"EX",0,--(COUNTIFS(nNIA,DATOS!$A11461,nCURSO,DATOS!$D11461,nESPEC,DATOS!$E11461,nASIG,DATOS!$I11461,nEVAL,"OR")=0))</f>
      </c>
      <c r="I11461">
        <f>IF(DATOS!$I11461="","",IFERROR(VLOOKUP(DATOS!$I11461,CONFIG_ASIGNATURAS!$B$2:$J$91,9,FALSE()),""))</f>
      </c>
    </row>
    <row r="11462">
      <c r="F11462">
        <f>IF(DATOS!$A11462="","",DATOS!$A11462&amp;"|"&amp;DATOS!$D11462&amp;"|"&amp;DATOS!$E11462&amp;"|"&amp;DATOS!$I11462)</f>
      </c>
      <c r="G11462">
        <f>IF(DATOS!$A11462="",0,IF(CONFIG_METADATA!$B$4&lt;&gt;"OR+EX",--(DATOS!$G11462=CONFIG_METADATA!$B$4),IF(DATOS!$G11462="EX",1,IF(DATOS!$G11462="OR",--(COUNTIFS(nNIA,DATOS!$A11462,nCURSO,DATOS!$D11462,nESPEC,DATOS!$E11462,nASIG,DATOS!$I11462,nEVAL,"EX")=0),0))))</f>
      </c>
      <c r="H11462">
        <f>IF(DATOS!$G11462&lt;&gt;"EX",0,--(COUNTIFS(nNIA,DATOS!$A11462,nCURSO,DATOS!$D11462,nESPEC,DATOS!$E11462,nASIG,DATOS!$I11462,nEVAL,"OR")=0))</f>
      </c>
      <c r="I11462">
        <f>IF(DATOS!$I11462="","",IFERROR(VLOOKUP(DATOS!$I11462,CONFIG_ASIGNATURAS!$B$2:$J$91,9,FALSE()),""))</f>
      </c>
    </row>
    <row r="11463">
      <c r="F11463">
        <f>IF(DATOS!$A11463="","",DATOS!$A11463&amp;"|"&amp;DATOS!$D11463&amp;"|"&amp;DATOS!$E11463&amp;"|"&amp;DATOS!$I11463)</f>
      </c>
      <c r="G11463">
        <f>IF(DATOS!$A11463="",0,IF(CONFIG_METADATA!$B$4&lt;&gt;"OR+EX",--(DATOS!$G11463=CONFIG_METADATA!$B$4),IF(DATOS!$G11463="EX",1,IF(DATOS!$G11463="OR",--(COUNTIFS(nNIA,DATOS!$A11463,nCURSO,DATOS!$D11463,nESPEC,DATOS!$E11463,nASIG,DATOS!$I11463,nEVAL,"EX")=0),0))))</f>
      </c>
      <c r="H11463">
        <f>IF(DATOS!$G11463&lt;&gt;"EX",0,--(COUNTIFS(nNIA,DATOS!$A11463,nCURSO,DATOS!$D11463,nESPEC,DATOS!$E11463,nASIG,DATOS!$I11463,nEVAL,"OR")=0))</f>
      </c>
      <c r="I11463">
        <f>IF(DATOS!$I11463="","",IFERROR(VLOOKUP(DATOS!$I11463,CONFIG_ASIGNATURAS!$B$2:$J$91,9,FALSE()),""))</f>
      </c>
    </row>
    <row r="11464">
      <c r="F11464">
        <f>IF(DATOS!$A11464="","",DATOS!$A11464&amp;"|"&amp;DATOS!$D11464&amp;"|"&amp;DATOS!$E11464&amp;"|"&amp;DATOS!$I11464)</f>
      </c>
      <c r="G11464">
        <f>IF(DATOS!$A11464="",0,IF(CONFIG_METADATA!$B$4&lt;&gt;"OR+EX",--(DATOS!$G11464=CONFIG_METADATA!$B$4),IF(DATOS!$G11464="EX",1,IF(DATOS!$G11464="OR",--(COUNTIFS(nNIA,DATOS!$A11464,nCURSO,DATOS!$D11464,nESPEC,DATOS!$E11464,nASIG,DATOS!$I11464,nEVAL,"EX")=0),0))))</f>
      </c>
      <c r="H11464">
        <f>IF(DATOS!$G11464&lt;&gt;"EX",0,--(COUNTIFS(nNIA,DATOS!$A11464,nCURSO,DATOS!$D11464,nESPEC,DATOS!$E11464,nASIG,DATOS!$I11464,nEVAL,"OR")=0))</f>
      </c>
      <c r="I11464">
        <f>IF(DATOS!$I11464="","",IFERROR(VLOOKUP(DATOS!$I11464,CONFIG_ASIGNATURAS!$B$2:$J$91,9,FALSE()),""))</f>
      </c>
    </row>
    <row r="11465">
      <c r="F11465">
        <f>IF(DATOS!$A11465="","",DATOS!$A11465&amp;"|"&amp;DATOS!$D11465&amp;"|"&amp;DATOS!$E11465&amp;"|"&amp;DATOS!$I11465)</f>
      </c>
      <c r="G11465">
        <f>IF(DATOS!$A11465="",0,IF(CONFIG_METADATA!$B$4&lt;&gt;"OR+EX",--(DATOS!$G11465=CONFIG_METADATA!$B$4),IF(DATOS!$G11465="EX",1,IF(DATOS!$G11465="OR",--(COUNTIFS(nNIA,DATOS!$A11465,nCURSO,DATOS!$D11465,nESPEC,DATOS!$E11465,nASIG,DATOS!$I11465,nEVAL,"EX")=0),0))))</f>
      </c>
      <c r="H11465">
        <f>IF(DATOS!$G11465&lt;&gt;"EX",0,--(COUNTIFS(nNIA,DATOS!$A11465,nCURSO,DATOS!$D11465,nESPEC,DATOS!$E11465,nASIG,DATOS!$I11465,nEVAL,"OR")=0))</f>
      </c>
      <c r="I11465">
        <f>IF(DATOS!$I11465="","",IFERROR(VLOOKUP(DATOS!$I11465,CONFIG_ASIGNATURAS!$B$2:$J$91,9,FALSE()),""))</f>
      </c>
    </row>
    <row r="11466">
      <c r="F11466">
        <f>IF(DATOS!$A11466="","",DATOS!$A11466&amp;"|"&amp;DATOS!$D11466&amp;"|"&amp;DATOS!$E11466&amp;"|"&amp;DATOS!$I11466)</f>
      </c>
      <c r="G11466">
        <f>IF(DATOS!$A11466="",0,IF(CONFIG_METADATA!$B$4&lt;&gt;"OR+EX",--(DATOS!$G11466=CONFIG_METADATA!$B$4),IF(DATOS!$G11466="EX",1,IF(DATOS!$G11466="OR",--(COUNTIFS(nNIA,DATOS!$A11466,nCURSO,DATOS!$D11466,nESPEC,DATOS!$E11466,nASIG,DATOS!$I11466,nEVAL,"EX")=0),0))))</f>
      </c>
      <c r="H11466">
        <f>IF(DATOS!$G11466&lt;&gt;"EX",0,--(COUNTIFS(nNIA,DATOS!$A11466,nCURSO,DATOS!$D11466,nESPEC,DATOS!$E11466,nASIG,DATOS!$I11466,nEVAL,"OR")=0))</f>
      </c>
      <c r="I11466">
        <f>IF(DATOS!$I11466="","",IFERROR(VLOOKUP(DATOS!$I11466,CONFIG_ASIGNATURAS!$B$2:$J$91,9,FALSE()),""))</f>
      </c>
    </row>
    <row r="11467">
      <c r="F11467">
        <f>IF(DATOS!$A11467="","",DATOS!$A11467&amp;"|"&amp;DATOS!$D11467&amp;"|"&amp;DATOS!$E11467&amp;"|"&amp;DATOS!$I11467)</f>
      </c>
      <c r="G11467">
        <f>IF(DATOS!$A11467="",0,IF(CONFIG_METADATA!$B$4&lt;&gt;"OR+EX",--(DATOS!$G11467=CONFIG_METADATA!$B$4),IF(DATOS!$G11467="EX",1,IF(DATOS!$G11467="OR",--(COUNTIFS(nNIA,DATOS!$A11467,nCURSO,DATOS!$D11467,nESPEC,DATOS!$E11467,nASIG,DATOS!$I11467,nEVAL,"EX")=0),0))))</f>
      </c>
      <c r="H11467">
        <f>IF(DATOS!$G11467&lt;&gt;"EX",0,--(COUNTIFS(nNIA,DATOS!$A11467,nCURSO,DATOS!$D11467,nESPEC,DATOS!$E11467,nASIG,DATOS!$I11467,nEVAL,"OR")=0))</f>
      </c>
      <c r="I11467">
        <f>IF(DATOS!$I11467="","",IFERROR(VLOOKUP(DATOS!$I11467,CONFIG_ASIGNATURAS!$B$2:$J$91,9,FALSE()),""))</f>
      </c>
    </row>
    <row r="11468">
      <c r="F11468">
        <f>IF(DATOS!$A11468="","",DATOS!$A11468&amp;"|"&amp;DATOS!$D11468&amp;"|"&amp;DATOS!$E11468&amp;"|"&amp;DATOS!$I11468)</f>
      </c>
      <c r="G11468">
        <f>IF(DATOS!$A11468="",0,IF(CONFIG_METADATA!$B$4&lt;&gt;"OR+EX",--(DATOS!$G11468=CONFIG_METADATA!$B$4),IF(DATOS!$G11468="EX",1,IF(DATOS!$G11468="OR",--(COUNTIFS(nNIA,DATOS!$A11468,nCURSO,DATOS!$D11468,nESPEC,DATOS!$E11468,nASIG,DATOS!$I11468,nEVAL,"EX")=0),0))))</f>
      </c>
      <c r="H11468">
        <f>IF(DATOS!$G11468&lt;&gt;"EX",0,--(COUNTIFS(nNIA,DATOS!$A11468,nCURSO,DATOS!$D11468,nESPEC,DATOS!$E11468,nASIG,DATOS!$I11468,nEVAL,"OR")=0))</f>
      </c>
      <c r="I11468">
        <f>IF(DATOS!$I11468="","",IFERROR(VLOOKUP(DATOS!$I11468,CONFIG_ASIGNATURAS!$B$2:$J$91,9,FALSE()),""))</f>
      </c>
    </row>
    <row r="11469">
      <c r="F11469">
        <f>IF(DATOS!$A11469="","",DATOS!$A11469&amp;"|"&amp;DATOS!$D11469&amp;"|"&amp;DATOS!$E11469&amp;"|"&amp;DATOS!$I11469)</f>
      </c>
      <c r="G11469">
        <f>IF(DATOS!$A11469="",0,IF(CONFIG_METADATA!$B$4&lt;&gt;"OR+EX",--(DATOS!$G11469=CONFIG_METADATA!$B$4),IF(DATOS!$G11469="EX",1,IF(DATOS!$G11469="OR",--(COUNTIFS(nNIA,DATOS!$A11469,nCURSO,DATOS!$D11469,nESPEC,DATOS!$E11469,nASIG,DATOS!$I11469,nEVAL,"EX")=0),0))))</f>
      </c>
      <c r="H11469">
        <f>IF(DATOS!$G11469&lt;&gt;"EX",0,--(COUNTIFS(nNIA,DATOS!$A11469,nCURSO,DATOS!$D11469,nESPEC,DATOS!$E11469,nASIG,DATOS!$I11469,nEVAL,"OR")=0))</f>
      </c>
      <c r="I11469">
        <f>IF(DATOS!$I11469="","",IFERROR(VLOOKUP(DATOS!$I11469,CONFIG_ASIGNATURAS!$B$2:$J$91,9,FALSE()),""))</f>
      </c>
    </row>
    <row r="11470">
      <c r="F11470">
        <f>IF(DATOS!$A11470="","",DATOS!$A11470&amp;"|"&amp;DATOS!$D11470&amp;"|"&amp;DATOS!$E11470&amp;"|"&amp;DATOS!$I11470)</f>
      </c>
      <c r="G11470">
        <f>IF(DATOS!$A11470="",0,IF(CONFIG_METADATA!$B$4&lt;&gt;"OR+EX",--(DATOS!$G11470=CONFIG_METADATA!$B$4),IF(DATOS!$G11470="EX",1,IF(DATOS!$G11470="OR",--(COUNTIFS(nNIA,DATOS!$A11470,nCURSO,DATOS!$D11470,nESPEC,DATOS!$E11470,nASIG,DATOS!$I11470,nEVAL,"EX")=0),0))))</f>
      </c>
      <c r="H11470">
        <f>IF(DATOS!$G11470&lt;&gt;"EX",0,--(COUNTIFS(nNIA,DATOS!$A11470,nCURSO,DATOS!$D11470,nESPEC,DATOS!$E11470,nASIG,DATOS!$I11470,nEVAL,"OR")=0))</f>
      </c>
      <c r="I11470">
        <f>IF(DATOS!$I11470="","",IFERROR(VLOOKUP(DATOS!$I11470,CONFIG_ASIGNATURAS!$B$2:$J$91,9,FALSE()),""))</f>
      </c>
    </row>
    <row r="11471">
      <c r="F11471">
        <f>IF(DATOS!$A11471="","",DATOS!$A11471&amp;"|"&amp;DATOS!$D11471&amp;"|"&amp;DATOS!$E11471&amp;"|"&amp;DATOS!$I11471)</f>
      </c>
      <c r="G11471">
        <f>IF(DATOS!$A11471="",0,IF(CONFIG_METADATA!$B$4&lt;&gt;"OR+EX",--(DATOS!$G11471=CONFIG_METADATA!$B$4),IF(DATOS!$G11471="EX",1,IF(DATOS!$G11471="OR",--(COUNTIFS(nNIA,DATOS!$A11471,nCURSO,DATOS!$D11471,nESPEC,DATOS!$E11471,nASIG,DATOS!$I11471,nEVAL,"EX")=0),0))))</f>
      </c>
      <c r="H11471">
        <f>IF(DATOS!$G11471&lt;&gt;"EX",0,--(COUNTIFS(nNIA,DATOS!$A11471,nCURSO,DATOS!$D11471,nESPEC,DATOS!$E11471,nASIG,DATOS!$I11471,nEVAL,"OR")=0))</f>
      </c>
      <c r="I11471">
        <f>IF(DATOS!$I11471="","",IFERROR(VLOOKUP(DATOS!$I11471,CONFIG_ASIGNATURAS!$B$2:$J$91,9,FALSE()),""))</f>
      </c>
    </row>
    <row r="11472">
      <c r="F11472">
        <f>IF(DATOS!$A11472="","",DATOS!$A11472&amp;"|"&amp;DATOS!$D11472&amp;"|"&amp;DATOS!$E11472&amp;"|"&amp;DATOS!$I11472)</f>
      </c>
      <c r="G11472">
        <f>IF(DATOS!$A11472="",0,IF(CONFIG_METADATA!$B$4&lt;&gt;"OR+EX",--(DATOS!$G11472=CONFIG_METADATA!$B$4),IF(DATOS!$G11472="EX",1,IF(DATOS!$G11472="OR",--(COUNTIFS(nNIA,DATOS!$A11472,nCURSO,DATOS!$D11472,nESPEC,DATOS!$E11472,nASIG,DATOS!$I11472,nEVAL,"EX")=0),0))))</f>
      </c>
      <c r="H11472">
        <f>IF(DATOS!$G11472&lt;&gt;"EX",0,--(COUNTIFS(nNIA,DATOS!$A11472,nCURSO,DATOS!$D11472,nESPEC,DATOS!$E11472,nASIG,DATOS!$I11472,nEVAL,"OR")=0))</f>
      </c>
      <c r="I11472">
        <f>IF(DATOS!$I11472="","",IFERROR(VLOOKUP(DATOS!$I11472,CONFIG_ASIGNATURAS!$B$2:$J$91,9,FALSE()),""))</f>
      </c>
    </row>
    <row r="11473">
      <c r="F11473">
        <f>IF(DATOS!$A11473="","",DATOS!$A11473&amp;"|"&amp;DATOS!$D11473&amp;"|"&amp;DATOS!$E11473&amp;"|"&amp;DATOS!$I11473)</f>
      </c>
      <c r="G11473">
        <f>IF(DATOS!$A11473="",0,IF(CONFIG_METADATA!$B$4&lt;&gt;"OR+EX",--(DATOS!$G11473=CONFIG_METADATA!$B$4),IF(DATOS!$G11473="EX",1,IF(DATOS!$G11473="OR",--(COUNTIFS(nNIA,DATOS!$A11473,nCURSO,DATOS!$D11473,nESPEC,DATOS!$E11473,nASIG,DATOS!$I11473,nEVAL,"EX")=0),0))))</f>
      </c>
      <c r="H11473">
        <f>IF(DATOS!$G11473&lt;&gt;"EX",0,--(COUNTIFS(nNIA,DATOS!$A11473,nCURSO,DATOS!$D11473,nESPEC,DATOS!$E11473,nASIG,DATOS!$I11473,nEVAL,"OR")=0))</f>
      </c>
      <c r="I11473">
        <f>IF(DATOS!$I11473="","",IFERROR(VLOOKUP(DATOS!$I11473,CONFIG_ASIGNATURAS!$B$2:$J$91,9,FALSE()),""))</f>
      </c>
    </row>
    <row r="11474">
      <c r="F11474">
        <f>IF(DATOS!$A11474="","",DATOS!$A11474&amp;"|"&amp;DATOS!$D11474&amp;"|"&amp;DATOS!$E11474&amp;"|"&amp;DATOS!$I11474)</f>
      </c>
      <c r="G11474">
        <f>IF(DATOS!$A11474="",0,IF(CONFIG_METADATA!$B$4&lt;&gt;"OR+EX",--(DATOS!$G11474=CONFIG_METADATA!$B$4),IF(DATOS!$G11474="EX",1,IF(DATOS!$G11474="OR",--(COUNTIFS(nNIA,DATOS!$A11474,nCURSO,DATOS!$D11474,nESPEC,DATOS!$E11474,nASIG,DATOS!$I11474,nEVAL,"EX")=0),0))))</f>
      </c>
      <c r="H11474">
        <f>IF(DATOS!$G11474&lt;&gt;"EX",0,--(COUNTIFS(nNIA,DATOS!$A11474,nCURSO,DATOS!$D11474,nESPEC,DATOS!$E11474,nASIG,DATOS!$I11474,nEVAL,"OR")=0))</f>
      </c>
      <c r="I11474">
        <f>IF(DATOS!$I11474="","",IFERROR(VLOOKUP(DATOS!$I11474,CONFIG_ASIGNATURAS!$B$2:$J$91,9,FALSE()),""))</f>
      </c>
    </row>
    <row r="11475">
      <c r="F11475">
        <f>IF(DATOS!$A11475="","",DATOS!$A11475&amp;"|"&amp;DATOS!$D11475&amp;"|"&amp;DATOS!$E11475&amp;"|"&amp;DATOS!$I11475)</f>
      </c>
      <c r="G11475">
        <f>IF(DATOS!$A11475="",0,IF(CONFIG_METADATA!$B$4&lt;&gt;"OR+EX",--(DATOS!$G11475=CONFIG_METADATA!$B$4),IF(DATOS!$G11475="EX",1,IF(DATOS!$G11475="OR",--(COUNTIFS(nNIA,DATOS!$A11475,nCURSO,DATOS!$D11475,nESPEC,DATOS!$E11475,nASIG,DATOS!$I11475,nEVAL,"EX")=0),0))))</f>
      </c>
      <c r="H11475">
        <f>IF(DATOS!$G11475&lt;&gt;"EX",0,--(COUNTIFS(nNIA,DATOS!$A11475,nCURSO,DATOS!$D11475,nESPEC,DATOS!$E11475,nASIG,DATOS!$I11475,nEVAL,"OR")=0))</f>
      </c>
      <c r="I11475">
        <f>IF(DATOS!$I11475="","",IFERROR(VLOOKUP(DATOS!$I11475,CONFIG_ASIGNATURAS!$B$2:$J$91,9,FALSE()),""))</f>
      </c>
    </row>
    <row r="11476">
      <c r="F11476">
        <f>IF(DATOS!$A11476="","",DATOS!$A11476&amp;"|"&amp;DATOS!$D11476&amp;"|"&amp;DATOS!$E11476&amp;"|"&amp;DATOS!$I11476)</f>
      </c>
      <c r="G11476">
        <f>IF(DATOS!$A11476="",0,IF(CONFIG_METADATA!$B$4&lt;&gt;"OR+EX",--(DATOS!$G11476=CONFIG_METADATA!$B$4),IF(DATOS!$G11476="EX",1,IF(DATOS!$G11476="OR",--(COUNTIFS(nNIA,DATOS!$A11476,nCURSO,DATOS!$D11476,nESPEC,DATOS!$E11476,nASIG,DATOS!$I11476,nEVAL,"EX")=0),0))))</f>
      </c>
      <c r="H11476">
        <f>IF(DATOS!$G11476&lt;&gt;"EX",0,--(COUNTIFS(nNIA,DATOS!$A11476,nCURSO,DATOS!$D11476,nESPEC,DATOS!$E11476,nASIG,DATOS!$I11476,nEVAL,"OR")=0))</f>
      </c>
      <c r="I11476">
        <f>IF(DATOS!$I11476="","",IFERROR(VLOOKUP(DATOS!$I11476,CONFIG_ASIGNATURAS!$B$2:$J$91,9,FALSE()),""))</f>
      </c>
    </row>
    <row r="11477">
      <c r="F11477">
        <f>IF(DATOS!$A11477="","",DATOS!$A11477&amp;"|"&amp;DATOS!$D11477&amp;"|"&amp;DATOS!$E11477&amp;"|"&amp;DATOS!$I11477)</f>
      </c>
      <c r="G11477">
        <f>IF(DATOS!$A11477="",0,IF(CONFIG_METADATA!$B$4&lt;&gt;"OR+EX",--(DATOS!$G11477=CONFIG_METADATA!$B$4),IF(DATOS!$G11477="EX",1,IF(DATOS!$G11477="OR",--(COUNTIFS(nNIA,DATOS!$A11477,nCURSO,DATOS!$D11477,nESPEC,DATOS!$E11477,nASIG,DATOS!$I11477,nEVAL,"EX")=0),0))))</f>
      </c>
      <c r="H11477">
        <f>IF(DATOS!$G11477&lt;&gt;"EX",0,--(COUNTIFS(nNIA,DATOS!$A11477,nCURSO,DATOS!$D11477,nESPEC,DATOS!$E11477,nASIG,DATOS!$I11477,nEVAL,"OR")=0))</f>
      </c>
      <c r="I11477">
        <f>IF(DATOS!$I11477="","",IFERROR(VLOOKUP(DATOS!$I11477,CONFIG_ASIGNATURAS!$B$2:$J$91,9,FALSE()),""))</f>
      </c>
    </row>
    <row r="11478">
      <c r="F11478">
        <f>IF(DATOS!$A11478="","",DATOS!$A11478&amp;"|"&amp;DATOS!$D11478&amp;"|"&amp;DATOS!$E11478&amp;"|"&amp;DATOS!$I11478)</f>
      </c>
      <c r="G11478">
        <f>IF(DATOS!$A11478="",0,IF(CONFIG_METADATA!$B$4&lt;&gt;"OR+EX",--(DATOS!$G11478=CONFIG_METADATA!$B$4),IF(DATOS!$G11478="EX",1,IF(DATOS!$G11478="OR",--(COUNTIFS(nNIA,DATOS!$A11478,nCURSO,DATOS!$D11478,nESPEC,DATOS!$E11478,nASIG,DATOS!$I11478,nEVAL,"EX")=0),0))))</f>
      </c>
      <c r="H11478">
        <f>IF(DATOS!$G11478&lt;&gt;"EX",0,--(COUNTIFS(nNIA,DATOS!$A11478,nCURSO,DATOS!$D11478,nESPEC,DATOS!$E11478,nASIG,DATOS!$I11478,nEVAL,"OR")=0))</f>
      </c>
      <c r="I11478">
        <f>IF(DATOS!$I11478="","",IFERROR(VLOOKUP(DATOS!$I11478,CONFIG_ASIGNATURAS!$B$2:$J$91,9,FALSE()),""))</f>
      </c>
    </row>
    <row r="11479">
      <c r="F11479">
        <f>IF(DATOS!$A11479="","",DATOS!$A11479&amp;"|"&amp;DATOS!$D11479&amp;"|"&amp;DATOS!$E11479&amp;"|"&amp;DATOS!$I11479)</f>
      </c>
      <c r="G11479">
        <f>IF(DATOS!$A11479="",0,IF(CONFIG_METADATA!$B$4&lt;&gt;"OR+EX",--(DATOS!$G11479=CONFIG_METADATA!$B$4),IF(DATOS!$G11479="EX",1,IF(DATOS!$G11479="OR",--(COUNTIFS(nNIA,DATOS!$A11479,nCURSO,DATOS!$D11479,nESPEC,DATOS!$E11479,nASIG,DATOS!$I11479,nEVAL,"EX")=0),0))))</f>
      </c>
      <c r="H11479">
        <f>IF(DATOS!$G11479&lt;&gt;"EX",0,--(COUNTIFS(nNIA,DATOS!$A11479,nCURSO,DATOS!$D11479,nESPEC,DATOS!$E11479,nASIG,DATOS!$I11479,nEVAL,"OR")=0))</f>
      </c>
      <c r="I11479">
        <f>IF(DATOS!$I11479="","",IFERROR(VLOOKUP(DATOS!$I11479,CONFIG_ASIGNATURAS!$B$2:$J$91,9,FALSE()),""))</f>
      </c>
    </row>
    <row r="11480">
      <c r="F11480">
        <f>IF(DATOS!$A11480="","",DATOS!$A11480&amp;"|"&amp;DATOS!$D11480&amp;"|"&amp;DATOS!$E11480&amp;"|"&amp;DATOS!$I11480)</f>
      </c>
      <c r="G11480">
        <f>IF(DATOS!$A11480="",0,IF(CONFIG_METADATA!$B$4&lt;&gt;"OR+EX",--(DATOS!$G11480=CONFIG_METADATA!$B$4),IF(DATOS!$G11480="EX",1,IF(DATOS!$G11480="OR",--(COUNTIFS(nNIA,DATOS!$A11480,nCURSO,DATOS!$D11480,nESPEC,DATOS!$E11480,nASIG,DATOS!$I11480,nEVAL,"EX")=0),0))))</f>
      </c>
      <c r="H11480">
        <f>IF(DATOS!$G11480&lt;&gt;"EX",0,--(COUNTIFS(nNIA,DATOS!$A11480,nCURSO,DATOS!$D11480,nESPEC,DATOS!$E11480,nASIG,DATOS!$I11480,nEVAL,"OR")=0))</f>
      </c>
      <c r="I11480">
        <f>IF(DATOS!$I11480="","",IFERROR(VLOOKUP(DATOS!$I11480,CONFIG_ASIGNATURAS!$B$2:$J$91,9,FALSE()),""))</f>
      </c>
    </row>
    <row r="11481">
      <c r="F11481">
        <f>IF(DATOS!$A11481="","",DATOS!$A11481&amp;"|"&amp;DATOS!$D11481&amp;"|"&amp;DATOS!$E11481&amp;"|"&amp;DATOS!$I11481)</f>
      </c>
      <c r="G11481">
        <f>IF(DATOS!$A11481="",0,IF(CONFIG_METADATA!$B$4&lt;&gt;"OR+EX",--(DATOS!$G11481=CONFIG_METADATA!$B$4),IF(DATOS!$G11481="EX",1,IF(DATOS!$G11481="OR",--(COUNTIFS(nNIA,DATOS!$A11481,nCURSO,DATOS!$D11481,nESPEC,DATOS!$E11481,nASIG,DATOS!$I11481,nEVAL,"EX")=0),0))))</f>
      </c>
      <c r="H11481">
        <f>IF(DATOS!$G11481&lt;&gt;"EX",0,--(COUNTIFS(nNIA,DATOS!$A11481,nCURSO,DATOS!$D11481,nESPEC,DATOS!$E11481,nASIG,DATOS!$I11481,nEVAL,"OR")=0))</f>
      </c>
      <c r="I11481">
        <f>IF(DATOS!$I11481="","",IFERROR(VLOOKUP(DATOS!$I11481,CONFIG_ASIGNATURAS!$B$2:$J$91,9,FALSE()),""))</f>
      </c>
    </row>
    <row r="11482">
      <c r="F11482">
        <f>IF(DATOS!$A11482="","",DATOS!$A11482&amp;"|"&amp;DATOS!$D11482&amp;"|"&amp;DATOS!$E11482&amp;"|"&amp;DATOS!$I11482)</f>
      </c>
      <c r="G11482">
        <f>IF(DATOS!$A11482="",0,IF(CONFIG_METADATA!$B$4&lt;&gt;"OR+EX",--(DATOS!$G11482=CONFIG_METADATA!$B$4),IF(DATOS!$G11482="EX",1,IF(DATOS!$G11482="OR",--(COUNTIFS(nNIA,DATOS!$A11482,nCURSO,DATOS!$D11482,nESPEC,DATOS!$E11482,nASIG,DATOS!$I11482,nEVAL,"EX")=0),0))))</f>
      </c>
      <c r="H11482">
        <f>IF(DATOS!$G11482&lt;&gt;"EX",0,--(COUNTIFS(nNIA,DATOS!$A11482,nCURSO,DATOS!$D11482,nESPEC,DATOS!$E11482,nASIG,DATOS!$I11482,nEVAL,"OR")=0))</f>
      </c>
      <c r="I11482">
        <f>IF(DATOS!$I11482="","",IFERROR(VLOOKUP(DATOS!$I11482,CONFIG_ASIGNATURAS!$B$2:$J$91,9,FALSE()),""))</f>
      </c>
    </row>
    <row r="11483">
      <c r="F11483">
        <f>IF(DATOS!$A11483="","",DATOS!$A11483&amp;"|"&amp;DATOS!$D11483&amp;"|"&amp;DATOS!$E11483&amp;"|"&amp;DATOS!$I11483)</f>
      </c>
      <c r="G11483">
        <f>IF(DATOS!$A11483="",0,IF(CONFIG_METADATA!$B$4&lt;&gt;"OR+EX",--(DATOS!$G11483=CONFIG_METADATA!$B$4),IF(DATOS!$G11483="EX",1,IF(DATOS!$G11483="OR",--(COUNTIFS(nNIA,DATOS!$A11483,nCURSO,DATOS!$D11483,nESPEC,DATOS!$E11483,nASIG,DATOS!$I11483,nEVAL,"EX")=0),0))))</f>
      </c>
      <c r="H11483">
        <f>IF(DATOS!$G11483&lt;&gt;"EX",0,--(COUNTIFS(nNIA,DATOS!$A11483,nCURSO,DATOS!$D11483,nESPEC,DATOS!$E11483,nASIG,DATOS!$I11483,nEVAL,"OR")=0))</f>
      </c>
      <c r="I11483">
        <f>IF(DATOS!$I11483="","",IFERROR(VLOOKUP(DATOS!$I11483,CONFIG_ASIGNATURAS!$B$2:$J$91,9,FALSE()),""))</f>
      </c>
    </row>
    <row r="11484">
      <c r="F11484">
        <f>IF(DATOS!$A11484="","",DATOS!$A11484&amp;"|"&amp;DATOS!$D11484&amp;"|"&amp;DATOS!$E11484&amp;"|"&amp;DATOS!$I11484)</f>
      </c>
      <c r="G11484">
        <f>IF(DATOS!$A11484="",0,IF(CONFIG_METADATA!$B$4&lt;&gt;"OR+EX",--(DATOS!$G11484=CONFIG_METADATA!$B$4),IF(DATOS!$G11484="EX",1,IF(DATOS!$G11484="OR",--(COUNTIFS(nNIA,DATOS!$A11484,nCURSO,DATOS!$D11484,nESPEC,DATOS!$E11484,nASIG,DATOS!$I11484,nEVAL,"EX")=0),0))))</f>
      </c>
      <c r="H11484">
        <f>IF(DATOS!$G11484&lt;&gt;"EX",0,--(COUNTIFS(nNIA,DATOS!$A11484,nCURSO,DATOS!$D11484,nESPEC,DATOS!$E11484,nASIG,DATOS!$I11484,nEVAL,"OR")=0))</f>
      </c>
      <c r="I11484">
        <f>IF(DATOS!$I11484="","",IFERROR(VLOOKUP(DATOS!$I11484,CONFIG_ASIGNATURAS!$B$2:$J$91,9,FALSE()),""))</f>
      </c>
    </row>
    <row r="11485">
      <c r="F11485">
        <f>IF(DATOS!$A11485="","",DATOS!$A11485&amp;"|"&amp;DATOS!$D11485&amp;"|"&amp;DATOS!$E11485&amp;"|"&amp;DATOS!$I11485)</f>
      </c>
      <c r="G11485">
        <f>IF(DATOS!$A11485="",0,IF(CONFIG_METADATA!$B$4&lt;&gt;"OR+EX",--(DATOS!$G11485=CONFIG_METADATA!$B$4),IF(DATOS!$G11485="EX",1,IF(DATOS!$G11485="OR",--(COUNTIFS(nNIA,DATOS!$A11485,nCURSO,DATOS!$D11485,nESPEC,DATOS!$E11485,nASIG,DATOS!$I11485,nEVAL,"EX")=0),0))))</f>
      </c>
      <c r="H11485">
        <f>IF(DATOS!$G11485&lt;&gt;"EX",0,--(COUNTIFS(nNIA,DATOS!$A11485,nCURSO,DATOS!$D11485,nESPEC,DATOS!$E11485,nASIG,DATOS!$I11485,nEVAL,"OR")=0))</f>
      </c>
      <c r="I11485">
        <f>IF(DATOS!$I11485="","",IFERROR(VLOOKUP(DATOS!$I11485,CONFIG_ASIGNATURAS!$B$2:$J$91,9,FALSE()),""))</f>
      </c>
    </row>
    <row r="11486">
      <c r="F11486">
        <f>IF(DATOS!$A11486="","",DATOS!$A11486&amp;"|"&amp;DATOS!$D11486&amp;"|"&amp;DATOS!$E11486&amp;"|"&amp;DATOS!$I11486)</f>
      </c>
      <c r="G11486">
        <f>IF(DATOS!$A11486="",0,IF(CONFIG_METADATA!$B$4&lt;&gt;"OR+EX",--(DATOS!$G11486=CONFIG_METADATA!$B$4),IF(DATOS!$G11486="EX",1,IF(DATOS!$G11486="OR",--(COUNTIFS(nNIA,DATOS!$A11486,nCURSO,DATOS!$D11486,nESPEC,DATOS!$E11486,nASIG,DATOS!$I11486,nEVAL,"EX")=0),0))))</f>
      </c>
      <c r="H11486">
        <f>IF(DATOS!$G11486&lt;&gt;"EX",0,--(COUNTIFS(nNIA,DATOS!$A11486,nCURSO,DATOS!$D11486,nESPEC,DATOS!$E11486,nASIG,DATOS!$I11486,nEVAL,"OR")=0))</f>
      </c>
      <c r="I11486">
        <f>IF(DATOS!$I11486="","",IFERROR(VLOOKUP(DATOS!$I11486,CONFIG_ASIGNATURAS!$B$2:$J$91,9,FALSE()),""))</f>
      </c>
    </row>
    <row r="11487">
      <c r="F11487">
        <f>IF(DATOS!$A11487="","",DATOS!$A11487&amp;"|"&amp;DATOS!$D11487&amp;"|"&amp;DATOS!$E11487&amp;"|"&amp;DATOS!$I11487)</f>
      </c>
      <c r="G11487">
        <f>IF(DATOS!$A11487="",0,IF(CONFIG_METADATA!$B$4&lt;&gt;"OR+EX",--(DATOS!$G11487=CONFIG_METADATA!$B$4),IF(DATOS!$G11487="EX",1,IF(DATOS!$G11487="OR",--(COUNTIFS(nNIA,DATOS!$A11487,nCURSO,DATOS!$D11487,nESPEC,DATOS!$E11487,nASIG,DATOS!$I11487,nEVAL,"EX")=0),0))))</f>
      </c>
      <c r="H11487">
        <f>IF(DATOS!$G11487&lt;&gt;"EX",0,--(COUNTIFS(nNIA,DATOS!$A11487,nCURSO,DATOS!$D11487,nESPEC,DATOS!$E11487,nASIG,DATOS!$I11487,nEVAL,"OR")=0))</f>
      </c>
      <c r="I11487">
        <f>IF(DATOS!$I11487="","",IFERROR(VLOOKUP(DATOS!$I11487,CONFIG_ASIGNATURAS!$B$2:$J$91,9,FALSE()),""))</f>
      </c>
    </row>
    <row r="11488">
      <c r="F11488">
        <f>IF(DATOS!$A11488="","",DATOS!$A11488&amp;"|"&amp;DATOS!$D11488&amp;"|"&amp;DATOS!$E11488&amp;"|"&amp;DATOS!$I11488)</f>
      </c>
      <c r="G11488">
        <f>IF(DATOS!$A11488="",0,IF(CONFIG_METADATA!$B$4&lt;&gt;"OR+EX",--(DATOS!$G11488=CONFIG_METADATA!$B$4),IF(DATOS!$G11488="EX",1,IF(DATOS!$G11488="OR",--(COUNTIFS(nNIA,DATOS!$A11488,nCURSO,DATOS!$D11488,nESPEC,DATOS!$E11488,nASIG,DATOS!$I11488,nEVAL,"EX")=0),0))))</f>
      </c>
      <c r="H11488">
        <f>IF(DATOS!$G11488&lt;&gt;"EX",0,--(COUNTIFS(nNIA,DATOS!$A11488,nCURSO,DATOS!$D11488,nESPEC,DATOS!$E11488,nASIG,DATOS!$I11488,nEVAL,"OR")=0))</f>
      </c>
      <c r="I11488">
        <f>IF(DATOS!$I11488="","",IFERROR(VLOOKUP(DATOS!$I11488,CONFIG_ASIGNATURAS!$B$2:$J$91,9,FALSE()),""))</f>
      </c>
    </row>
    <row r="11489">
      <c r="F11489">
        <f>IF(DATOS!$A11489="","",DATOS!$A11489&amp;"|"&amp;DATOS!$D11489&amp;"|"&amp;DATOS!$E11489&amp;"|"&amp;DATOS!$I11489)</f>
      </c>
      <c r="G11489">
        <f>IF(DATOS!$A11489="",0,IF(CONFIG_METADATA!$B$4&lt;&gt;"OR+EX",--(DATOS!$G11489=CONFIG_METADATA!$B$4),IF(DATOS!$G11489="EX",1,IF(DATOS!$G11489="OR",--(COUNTIFS(nNIA,DATOS!$A11489,nCURSO,DATOS!$D11489,nESPEC,DATOS!$E11489,nASIG,DATOS!$I11489,nEVAL,"EX")=0),0))))</f>
      </c>
      <c r="H11489">
        <f>IF(DATOS!$G11489&lt;&gt;"EX",0,--(COUNTIFS(nNIA,DATOS!$A11489,nCURSO,DATOS!$D11489,nESPEC,DATOS!$E11489,nASIG,DATOS!$I11489,nEVAL,"OR")=0))</f>
      </c>
      <c r="I11489">
        <f>IF(DATOS!$I11489="","",IFERROR(VLOOKUP(DATOS!$I11489,CONFIG_ASIGNATURAS!$B$2:$J$91,9,FALSE()),""))</f>
      </c>
    </row>
    <row r="11490">
      <c r="F11490">
        <f>IF(DATOS!$A11490="","",DATOS!$A11490&amp;"|"&amp;DATOS!$D11490&amp;"|"&amp;DATOS!$E11490&amp;"|"&amp;DATOS!$I11490)</f>
      </c>
      <c r="G11490">
        <f>IF(DATOS!$A11490="",0,IF(CONFIG_METADATA!$B$4&lt;&gt;"OR+EX",--(DATOS!$G11490=CONFIG_METADATA!$B$4),IF(DATOS!$G11490="EX",1,IF(DATOS!$G11490="OR",--(COUNTIFS(nNIA,DATOS!$A11490,nCURSO,DATOS!$D11490,nESPEC,DATOS!$E11490,nASIG,DATOS!$I11490,nEVAL,"EX")=0),0))))</f>
      </c>
      <c r="H11490">
        <f>IF(DATOS!$G11490&lt;&gt;"EX",0,--(COUNTIFS(nNIA,DATOS!$A11490,nCURSO,DATOS!$D11490,nESPEC,DATOS!$E11490,nASIG,DATOS!$I11490,nEVAL,"OR")=0))</f>
      </c>
      <c r="I11490">
        <f>IF(DATOS!$I11490="","",IFERROR(VLOOKUP(DATOS!$I11490,CONFIG_ASIGNATURAS!$B$2:$J$91,9,FALSE()),""))</f>
      </c>
    </row>
    <row r="11491">
      <c r="F11491">
        <f>IF(DATOS!$A11491="","",DATOS!$A11491&amp;"|"&amp;DATOS!$D11491&amp;"|"&amp;DATOS!$E11491&amp;"|"&amp;DATOS!$I11491)</f>
      </c>
      <c r="G11491">
        <f>IF(DATOS!$A11491="",0,IF(CONFIG_METADATA!$B$4&lt;&gt;"OR+EX",--(DATOS!$G11491=CONFIG_METADATA!$B$4),IF(DATOS!$G11491="EX",1,IF(DATOS!$G11491="OR",--(COUNTIFS(nNIA,DATOS!$A11491,nCURSO,DATOS!$D11491,nESPEC,DATOS!$E11491,nASIG,DATOS!$I11491,nEVAL,"EX")=0),0))))</f>
      </c>
      <c r="H11491">
        <f>IF(DATOS!$G11491&lt;&gt;"EX",0,--(COUNTIFS(nNIA,DATOS!$A11491,nCURSO,DATOS!$D11491,nESPEC,DATOS!$E11491,nASIG,DATOS!$I11491,nEVAL,"OR")=0))</f>
      </c>
      <c r="I11491">
        <f>IF(DATOS!$I11491="","",IFERROR(VLOOKUP(DATOS!$I11491,CONFIG_ASIGNATURAS!$B$2:$J$91,9,FALSE()),""))</f>
      </c>
    </row>
    <row r="11492">
      <c r="F11492">
        <f>IF(DATOS!$A11492="","",DATOS!$A11492&amp;"|"&amp;DATOS!$D11492&amp;"|"&amp;DATOS!$E11492&amp;"|"&amp;DATOS!$I11492)</f>
      </c>
      <c r="G11492">
        <f>IF(DATOS!$A11492="",0,IF(CONFIG_METADATA!$B$4&lt;&gt;"OR+EX",--(DATOS!$G11492=CONFIG_METADATA!$B$4),IF(DATOS!$G11492="EX",1,IF(DATOS!$G11492="OR",--(COUNTIFS(nNIA,DATOS!$A11492,nCURSO,DATOS!$D11492,nESPEC,DATOS!$E11492,nASIG,DATOS!$I11492,nEVAL,"EX")=0),0))))</f>
      </c>
      <c r="H11492">
        <f>IF(DATOS!$G11492&lt;&gt;"EX",0,--(COUNTIFS(nNIA,DATOS!$A11492,nCURSO,DATOS!$D11492,nESPEC,DATOS!$E11492,nASIG,DATOS!$I11492,nEVAL,"OR")=0))</f>
      </c>
      <c r="I11492">
        <f>IF(DATOS!$I11492="","",IFERROR(VLOOKUP(DATOS!$I11492,CONFIG_ASIGNATURAS!$B$2:$J$91,9,FALSE()),""))</f>
      </c>
    </row>
    <row r="11493">
      <c r="F11493">
        <f>IF(DATOS!$A11493="","",DATOS!$A11493&amp;"|"&amp;DATOS!$D11493&amp;"|"&amp;DATOS!$E11493&amp;"|"&amp;DATOS!$I11493)</f>
      </c>
      <c r="G11493">
        <f>IF(DATOS!$A11493="",0,IF(CONFIG_METADATA!$B$4&lt;&gt;"OR+EX",--(DATOS!$G11493=CONFIG_METADATA!$B$4),IF(DATOS!$G11493="EX",1,IF(DATOS!$G11493="OR",--(COUNTIFS(nNIA,DATOS!$A11493,nCURSO,DATOS!$D11493,nESPEC,DATOS!$E11493,nASIG,DATOS!$I11493,nEVAL,"EX")=0),0))))</f>
      </c>
      <c r="H11493">
        <f>IF(DATOS!$G11493&lt;&gt;"EX",0,--(COUNTIFS(nNIA,DATOS!$A11493,nCURSO,DATOS!$D11493,nESPEC,DATOS!$E11493,nASIG,DATOS!$I11493,nEVAL,"OR")=0))</f>
      </c>
      <c r="I11493">
        <f>IF(DATOS!$I11493="","",IFERROR(VLOOKUP(DATOS!$I11493,CONFIG_ASIGNATURAS!$B$2:$J$91,9,FALSE()),""))</f>
      </c>
    </row>
    <row r="11494">
      <c r="F11494">
        <f>IF(DATOS!$A11494="","",DATOS!$A11494&amp;"|"&amp;DATOS!$D11494&amp;"|"&amp;DATOS!$E11494&amp;"|"&amp;DATOS!$I11494)</f>
      </c>
      <c r="G11494">
        <f>IF(DATOS!$A11494="",0,IF(CONFIG_METADATA!$B$4&lt;&gt;"OR+EX",--(DATOS!$G11494=CONFIG_METADATA!$B$4),IF(DATOS!$G11494="EX",1,IF(DATOS!$G11494="OR",--(COUNTIFS(nNIA,DATOS!$A11494,nCURSO,DATOS!$D11494,nESPEC,DATOS!$E11494,nASIG,DATOS!$I11494,nEVAL,"EX")=0),0))))</f>
      </c>
      <c r="H11494">
        <f>IF(DATOS!$G11494&lt;&gt;"EX",0,--(COUNTIFS(nNIA,DATOS!$A11494,nCURSO,DATOS!$D11494,nESPEC,DATOS!$E11494,nASIG,DATOS!$I11494,nEVAL,"OR")=0))</f>
      </c>
      <c r="I11494">
        <f>IF(DATOS!$I11494="","",IFERROR(VLOOKUP(DATOS!$I11494,CONFIG_ASIGNATURAS!$B$2:$J$91,9,FALSE()),""))</f>
      </c>
    </row>
    <row r="11495">
      <c r="F11495">
        <f>IF(DATOS!$A11495="","",DATOS!$A11495&amp;"|"&amp;DATOS!$D11495&amp;"|"&amp;DATOS!$E11495&amp;"|"&amp;DATOS!$I11495)</f>
      </c>
      <c r="G11495">
        <f>IF(DATOS!$A11495="",0,IF(CONFIG_METADATA!$B$4&lt;&gt;"OR+EX",--(DATOS!$G11495=CONFIG_METADATA!$B$4),IF(DATOS!$G11495="EX",1,IF(DATOS!$G11495="OR",--(COUNTIFS(nNIA,DATOS!$A11495,nCURSO,DATOS!$D11495,nESPEC,DATOS!$E11495,nASIG,DATOS!$I11495,nEVAL,"EX")=0),0))))</f>
      </c>
      <c r="H11495">
        <f>IF(DATOS!$G11495&lt;&gt;"EX",0,--(COUNTIFS(nNIA,DATOS!$A11495,nCURSO,DATOS!$D11495,nESPEC,DATOS!$E11495,nASIG,DATOS!$I11495,nEVAL,"OR")=0))</f>
      </c>
      <c r="I11495">
        <f>IF(DATOS!$I11495="","",IFERROR(VLOOKUP(DATOS!$I11495,CONFIG_ASIGNATURAS!$B$2:$J$91,9,FALSE()),""))</f>
      </c>
    </row>
    <row r="11496">
      <c r="F11496">
        <f>IF(DATOS!$A11496="","",DATOS!$A11496&amp;"|"&amp;DATOS!$D11496&amp;"|"&amp;DATOS!$E11496&amp;"|"&amp;DATOS!$I11496)</f>
      </c>
      <c r="G11496">
        <f>IF(DATOS!$A11496="",0,IF(CONFIG_METADATA!$B$4&lt;&gt;"OR+EX",--(DATOS!$G11496=CONFIG_METADATA!$B$4),IF(DATOS!$G11496="EX",1,IF(DATOS!$G11496="OR",--(COUNTIFS(nNIA,DATOS!$A11496,nCURSO,DATOS!$D11496,nESPEC,DATOS!$E11496,nASIG,DATOS!$I11496,nEVAL,"EX")=0),0))))</f>
      </c>
      <c r="H11496">
        <f>IF(DATOS!$G11496&lt;&gt;"EX",0,--(COUNTIFS(nNIA,DATOS!$A11496,nCURSO,DATOS!$D11496,nESPEC,DATOS!$E11496,nASIG,DATOS!$I11496,nEVAL,"OR")=0))</f>
      </c>
      <c r="I11496">
        <f>IF(DATOS!$I11496="","",IFERROR(VLOOKUP(DATOS!$I11496,CONFIG_ASIGNATURAS!$B$2:$J$91,9,FALSE()),""))</f>
      </c>
    </row>
    <row r="11497">
      <c r="F11497">
        <f>IF(DATOS!$A11497="","",DATOS!$A11497&amp;"|"&amp;DATOS!$D11497&amp;"|"&amp;DATOS!$E11497&amp;"|"&amp;DATOS!$I11497)</f>
      </c>
      <c r="G11497">
        <f>IF(DATOS!$A11497="",0,IF(CONFIG_METADATA!$B$4&lt;&gt;"OR+EX",--(DATOS!$G11497=CONFIG_METADATA!$B$4),IF(DATOS!$G11497="EX",1,IF(DATOS!$G11497="OR",--(COUNTIFS(nNIA,DATOS!$A11497,nCURSO,DATOS!$D11497,nESPEC,DATOS!$E11497,nASIG,DATOS!$I11497,nEVAL,"EX")=0),0))))</f>
      </c>
      <c r="H11497">
        <f>IF(DATOS!$G11497&lt;&gt;"EX",0,--(COUNTIFS(nNIA,DATOS!$A11497,nCURSO,DATOS!$D11497,nESPEC,DATOS!$E11497,nASIG,DATOS!$I11497,nEVAL,"OR")=0))</f>
      </c>
      <c r="I11497">
        <f>IF(DATOS!$I11497="","",IFERROR(VLOOKUP(DATOS!$I11497,CONFIG_ASIGNATURAS!$B$2:$J$91,9,FALSE()),""))</f>
      </c>
    </row>
    <row r="11498">
      <c r="F11498">
        <f>IF(DATOS!$A11498="","",DATOS!$A11498&amp;"|"&amp;DATOS!$D11498&amp;"|"&amp;DATOS!$E11498&amp;"|"&amp;DATOS!$I11498)</f>
      </c>
      <c r="G11498">
        <f>IF(DATOS!$A11498="",0,IF(CONFIG_METADATA!$B$4&lt;&gt;"OR+EX",--(DATOS!$G11498=CONFIG_METADATA!$B$4),IF(DATOS!$G11498="EX",1,IF(DATOS!$G11498="OR",--(COUNTIFS(nNIA,DATOS!$A11498,nCURSO,DATOS!$D11498,nESPEC,DATOS!$E11498,nASIG,DATOS!$I11498,nEVAL,"EX")=0),0))))</f>
      </c>
      <c r="H11498">
        <f>IF(DATOS!$G11498&lt;&gt;"EX",0,--(COUNTIFS(nNIA,DATOS!$A11498,nCURSO,DATOS!$D11498,nESPEC,DATOS!$E11498,nASIG,DATOS!$I11498,nEVAL,"OR")=0))</f>
      </c>
      <c r="I11498">
        <f>IF(DATOS!$I11498="","",IFERROR(VLOOKUP(DATOS!$I11498,CONFIG_ASIGNATURAS!$B$2:$J$91,9,FALSE()),""))</f>
      </c>
    </row>
    <row r="11499">
      <c r="F11499">
        <f>IF(DATOS!$A11499="","",DATOS!$A11499&amp;"|"&amp;DATOS!$D11499&amp;"|"&amp;DATOS!$E11499&amp;"|"&amp;DATOS!$I11499)</f>
      </c>
      <c r="G11499">
        <f>IF(DATOS!$A11499="",0,IF(CONFIG_METADATA!$B$4&lt;&gt;"OR+EX",--(DATOS!$G11499=CONFIG_METADATA!$B$4),IF(DATOS!$G11499="EX",1,IF(DATOS!$G11499="OR",--(COUNTIFS(nNIA,DATOS!$A11499,nCURSO,DATOS!$D11499,nESPEC,DATOS!$E11499,nASIG,DATOS!$I11499,nEVAL,"EX")=0),0))))</f>
      </c>
      <c r="H11499">
        <f>IF(DATOS!$G11499&lt;&gt;"EX",0,--(COUNTIFS(nNIA,DATOS!$A11499,nCURSO,DATOS!$D11499,nESPEC,DATOS!$E11499,nASIG,DATOS!$I11499,nEVAL,"OR")=0))</f>
      </c>
      <c r="I11499">
        <f>IF(DATOS!$I11499="","",IFERROR(VLOOKUP(DATOS!$I11499,CONFIG_ASIGNATURAS!$B$2:$J$91,9,FALSE()),""))</f>
      </c>
    </row>
    <row r="11500">
      <c r="F11500">
        <f>IF(DATOS!$A11500="","",DATOS!$A11500&amp;"|"&amp;DATOS!$D11500&amp;"|"&amp;DATOS!$E11500&amp;"|"&amp;DATOS!$I11500)</f>
      </c>
      <c r="G11500">
        <f>IF(DATOS!$A11500="",0,IF(CONFIG_METADATA!$B$4&lt;&gt;"OR+EX",--(DATOS!$G11500=CONFIG_METADATA!$B$4),IF(DATOS!$G11500="EX",1,IF(DATOS!$G11500="OR",--(COUNTIFS(nNIA,DATOS!$A11500,nCURSO,DATOS!$D11500,nESPEC,DATOS!$E11500,nASIG,DATOS!$I11500,nEVAL,"EX")=0),0))))</f>
      </c>
      <c r="H11500">
        <f>IF(DATOS!$G11500&lt;&gt;"EX",0,--(COUNTIFS(nNIA,DATOS!$A11500,nCURSO,DATOS!$D11500,nESPEC,DATOS!$E11500,nASIG,DATOS!$I11500,nEVAL,"OR")=0))</f>
      </c>
      <c r="I11500">
        <f>IF(DATOS!$I11500="","",IFERROR(VLOOKUP(DATOS!$I11500,CONFIG_ASIGNATURAS!$B$2:$J$91,9,FALSE()),""))</f>
      </c>
    </row>
    <row r="11501">
      <c r="F11501">
        <f>IF(DATOS!$A11501="","",DATOS!$A11501&amp;"|"&amp;DATOS!$D11501&amp;"|"&amp;DATOS!$E11501&amp;"|"&amp;DATOS!$I11501)</f>
      </c>
      <c r="G11501">
        <f>IF(DATOS!$A11501="",0,IF(CONFIG_METADATA!$B$4&lt;&gt;"OR+EX",--(DATOS!$G11501=CONFIG_METADATA!$B$4),IF(DATOS!$G11501="EX",1,IF(DATOS!$G11501="OR",--(COUNTIFS(nNIA,DATOS!$A11501,nCURSO,DATOS!$D11501,nESPEC,DATOS!$E11501,nASIG,DATOS!$I11501,nEVAL,"EX")=0),0))))</f>
      </c>
      <c r="H11501">
        <f>IF(DATOS!$G11501&lt;&gt;"EX",0,--(COUNTIFS(nNIA,DATOS!$A11501,nCURSO,DATOS!$D11501,nESPEC,DATOS!$E11501,nASIG,DATOS!$I11501,nEVAL,"OR")=0))</f>
      </c>
      <c r="I11501">
        <f>IF(DATOS!$I11501="","",IFERROR(VLOOKUP(DATOS!$I11501,CONFIG_ASIGNATURAS!$B$2:$J$91,9,FALSE()),""))</f>
      </c>
    </row>
    <row r="11502">
      <c r="F11502">
        <f>IF(DATOS!$A11502="","",DATOS!$A11502&amp;"|"&amp;DATOS!$D11502&amp;"|"&amp;DATOS!$E11502&amp;"|"&amp;DATOS!$I11502)</f>
      </c>
      <c r="G11502">
        <f>IF(DATOS!$A11502="",0,IF(CONFIG_METADATA!$B$4&lt;&gt;"OR+EX",--(DATOS!$G11502=CONFIG_METADATA!$B$4),IF(DATOS!$G11502="EX",1,IF(DATOS!$G11502="OR",--(COUNTIFS(nNIA,DATOS!$A11502,nCURSO,DATOS!$D11502,nESPEC,DATOS!$E11502,nASIG,DATOS!$I11502,nEVAL,"EX")=0),0))))</f>
      </c>
      <c r="H11502">
        <f>IF(DATOS!$G11502&lt;&gt;"EX",0,--(COUNTIFS(nNIA,DATOS!$A11502,nCURSO,DATOS!$D11502,nESPEC,DATOS!$E11502,nASIG,DATOS!$I11502,nEVAL,"OR")=0))</f>
      </c>
      <c r="I11502">
        <f>IF(DATOS!$I11502="","",IFERROR(VLOOKUP(DATOS!$I11502,CONFIG_ASIGNATURAS!$B$2:$J$91,9,FALSE()),""))</f>
      </c>
    </row>
    <row r="11503">
      <c r="F11503">
        <f>IF(DATOS!$A11503="","",DATOS!$A11503&amp;"|"&amp;DATOS!$D11503&amp;"|"&amp;DATOS!$E11503&amp;"|"&amp;DATOS!$I11503)</f>
      </c>
      <c r="G11503">
        <f>IF(DATOS!$A11503="",0,IF(CONFIG_METADATA!$B$4&lt;&gt;"OR+EX",--(DATOS!$G11503=CONFIG_METADATA!$B$4),IF(DATOS!$G11503="EX",1,IF(DATOS!$G11503="OR",--(COUNTIFS(nNIA,DATOS!$A11503,nCURSO,DATOS!$D11503,nESPEC,DATOS!$E11503,nASIG,DATOS!$I11503,nEVAL,"EX")=0),0))))</f>
      </c>
      <c r="H11503">
        <f>IF(DATOS!$G11503&lt;&gt;"EX",0,--(COUNTIFS(nNIA,DATOS!$A11503,nCURSO,DATOS!$D11503,nESPEC,DATOS!$E11503,nASIG,DATOS!$I11503,nEVAL,"OR")=0))</f>
      </c>
      <c r="I11503">
        <f>IF(DATOS!$I11503="","",IFERROR(VLOOKUP(DATOS!$I11503,CONFIG_ASIGNATURAS!$B$2:$J$91,9,FALSE()),""))</f>
      </c>
    </row>
    <row r="11504">
      <c r="F11504">
        <f>IF(DATOS!$A11504="","",DATOS!$A11504&amp;"|"&amp;DATOS!$D11504&amp;"|"&amp;DATOS!$E11504&amp;"|"&amp;DATOS!$I11504)</f>
      </c>
      <c r="G11504">
        <f>IF(DATOS!$A11504="",0,IF(CONFIG_METADATA!$B$4&lt;&gt;"OR+EX",--(DATOS!$G11504=CONFIG_METADATA!$B$4),IF(DATOS!$G11504="EX",1,IF(DATOS!$G11504="OR",--(COUNTIFS(nNIA,DATOS!$A11504,nCURSO,DATOS!$D11504,nESPEC,DATOS!$E11504,nASIG,DATOS!$I11504,nEVAL,"EX")=0),0))))</f>
      </c>
      <c r="H11504">
        <f>IF(DATOS!$G11504&lt;&gt;"EX",0,--(COUNTIFS(nNIA,DATOS!$A11504,nCURSO,DATOS!$D11504,nESPEC,DATOS!$E11504,nASIG,DATOS!$I11504,nEVAL,"OR")=0))</f>
      </c>
      <c r="I11504">
        <f>IF(DATOS!$I11504="","",IFERROR(VLOOKUP(DATOS!$I11504,CONFIG_ASIGNATURAS!$B$2:$J$91,9,FALSE()),""))</f>
      </c>
    </row>
    <row r="11505">
      <c r="F11505">
        <f>IF(DATOS!$A11505="","",DATOS!$A11505&amp;"|"&amp;DATOS!$D11505&amp;"|"&amp;DATOS!$E11505&amp;"|"&amp;DATOS!$I11505)</f>
      </c>
      <c r="G11505">
        <f>IF(DATOS!$A11505="",0,IF(CONFIG_METADATA!$B$4&lt;&gt;"OR+EX",--(DATOS!$G11505=CONFIG_METADATA!$B$4),IF(DATOS!$G11505="EX",1,IF(DATOS!$G11505="OR",--(COUNTIFS(nNIA,DATOS!$A11505,nCURSO,DATOS!$D11505,nESPEC,DATOS!$E11505,nASIG,DATOS!$I11505,nEVAL,"EX")=0),0))))</f>
      </c>
      <c r="H11505">
        <f>IF(DATOS!$G11505&lt;&gt;"EX",0,--(COUNTIFS(nNIA,DATOS!$A11505,nCURSO,DATOS!$D11505,nESPEC,DATOS!$E11505,nASIG,DATOS!$I11505,nEVAL,"OR")=0))</f>
      </c>
      <c r="I11505">
        <f>IF(DATOS!$I11505="","",IFERROR(VLOOKUP(DATOS!$I11505,CONFIG_ASIGNATURAS!$B$2:$J$91,9,FALSE()),""))</f>
      </c>
    </row>
    <row r="11506">
      <c r="F11506">
        <f>IF(DATOS!$A11506="","",DATOS!$A11506&amp;"|"&amp;DATOS!$D11506&amp;"|"&amp;DATOS!$E11506&amp;"|"&amp;DATOS!$I11506)</f>
      </c>
      <c r="G11506">
        <f>IF(DATOS!$A11506="",0,IF(CONFIG_METADATA!$B$4&lt;&gt;"OR+EX",--(DATOS!$G11506=CONFIG_METADATA!$B$4),IF(DATOS!$G11506="EX",1,IF(DATOS!$G11506="OR",--(COUNTIFS(nNIA,DATOS!$A11506,nCURSO,DATOS!$D11506,nESPEC,DATOS!$E11506,nASIG,DATOS!$I11506,nEVAL,"EX")=0),0))))</f>
      </c>
      <c r="H11506">
        <f>IF(DATOS!$G11506&lt;&gt;"EX",0,--(COUNTIFS(nNIA,DATOS!$A11506,nCURSO,DATOS!$D11506,nESPEC,DATOS!$E11506,nASIG,DATOS!$I11506,nEVAL,"OR")=0))</f>
      </c>
      <c r="I11506">
        <f>IF(DATOS!$I11506="","",IFERROR(VLOOKUP(DATOS!$I11506,CONFIG_ASIGNATURAS!$B$2:$J$91,9,FALSE()),""))</f>
      </c>
    </row>
    <row r="11507">
      <c r="F11507">
        <f>IF(DATOS!$A11507="","",DATOS!$A11507&amp;"|"&amp;DATOS!$D11507&amp;"|"&amp;DATOS!$E11507&amp;"|"&amp;DATOS!$I11507)</f>
      </c>
      <c r="G11507">
        <f>IF(DATOS!$A11507="",0,IF(CONFIG_METADATA!$B$4&lt;&gt;"OR+EX",--(DATOS!$G11507=CONFIG_METADATA!$B$4),IF(DATOS!$G11507="EX",1,IF(DATOS!$G11507="OR",--(COUNTIFS(nNIA,DATOS!$A11507,nCURSO,DATOS!$D11507,nESPEC,DATOS!$E11507,nASIG,DATOS!$I11507,nEVAL,"EX")=0),0))))</f>
      </c>
      <c r="H11507">
        <f>IF(DATOS!$G11507&lt;&gt;"EX",0,--(COUNTIFS(nNIA,DATOS!$A11507,nCURSO,DATOS!$D11507,nESPEC,DATOS!$E11507,nASIG,DATOS!$I11507,nEVAL,"OR")=0))</f>
      </c>
      <c r="I11507">
        <f>IF(DATOS!$I11507="","",IFERROR(VLOOKUP(DATOS!$I11507,CONFIG_ASIGNATURAS!$B$2:$J$91,9,FALSE()),""))</f>
      </c>
    </row>
    <row r="11508">
      <c r="F11508">
        <f>IF(DATOS!$A11508="","",DATOS!$A11508&amp;"|"&amp;DATOS!$D11508&amp;"|"&amp;DATOS!$E11508&amp;"|"&amp;DATOS!$I11508)</f>
      </c>
      <c r="G11508">
        <f>IF(DATOS!$A11508="",0,IF(CONFIG_METADATA!$B$4&lt;&gt;"OR+EX",--(DATOS!$G11508=CONFIG_METADATA!$B$4),IF(DATOS!$G11508="EX",1,IF(DATOS!$G11508="OR",--(COUNTIFS(nNIA,DATOS!$A11508,nCURSO,DATOS!$D11508,nESPEC,DATOS!$E11508,nASIG,DATOS!$I11508,nEVAL,"EX")=0),0))))</f>
      </c>
      <c r="H11508">
        <f>IF(DATOS!$G11508&lt;&gt;"EX",0,--(COUNTIFS(nNIA,DATOS!$A11508,nCURSO,DATOS!$D11508,nESPEC,DATOS!$E11508,nASIG,DATOS!$I11508,nEVAL,"OR")=0))</f>
      </c>
      <c r="I11508">
        <f>IF(DATOS!$I11508="","",IFERROR(VLOOKUP(DATOS!$I11508,CONFIG_ASIGNATURAS!$B$2:$J$91,9,FALSE()),""))</f>
      </c>
    </row>
    <row r="11509">
      <c r="F11509">
        <f>IF(DATOS!$A11509="","",DATOS!$A11509&amp;"|"&amp;DATOS!$D11509&amp;"|"&amp;DATOS!$E11509&amp;"|"&amp;DATOS!$I11509)</f>
      </c>
      <c r="G11509">
        <f>IF(DATOS!$A11509="",0,IF(CONFIG_METADATA!$B$4&lt;&gt;"OR+EX",--(DATOS!$G11509=CONFIG_METADATA!$B$4),IF(DATOS!$G11509="EX",1,IF(DATOS!$G11509="OR",--(COUNTIFS(nNIA,DATOS!$A11509,nCURSO,DATOS!$D11509,nESPEC,DATOS!$E11509,nASIG,DATOS!$I11509,nEVAL,"EX")=0),0))))</f>
      </c>
      <c r="H11509">
        <f>IF(DATOS!$G11509&lt;&gt;"EX",0,--(COUNTIFS(nNIA,DATOS!$A11509,nCURSO,DATOS!$D11509,nESPEC,DATOS!$E11509,nASIG,DATOS!$I11509,nEVAL,"OR")=0))</f>
      </c>
      <c r="I11509">
        <f>IF(DATOS!$I11509="","",IFERROR(VLOOKUP(DATOS!$I11509,CONFIG_ASIGNATURAS!$B$2:$J$91,9,FALSE()),""))</f>
      </c>
    </row>
    <row r="11510">
      <c r="F11510">
        <f>IF(DATOS!$A11510="","",DATOS!$A11510&amp;"|"&amp;DATOS!$D11510&amp;"|"&amp;DATOS!$E11510&amp;"|"&amp;DATOS!$I11510)</f>
      </c>
      <c r="G11510">
        <f>IF(DATOS!$A11510="",0,IF(CONFIG_METADATA!$B$4&lt;&gt;"OR+EX",--(DATOS!$G11510=CONFIG_METADATA!$B$4),IF(DATOS!$G11510="EX",1,IF(DATOS!$G11510="OR",--(COUNTIFS(nNIA,DATOS!$A11510,nCURSO,DATOS!$D11510,nESPEC,DATOS!$E11510,nASIG,DATOS!$I11510,nEVAL,"EX")=0),0))))</f>
      </c>
      <c r="H11510">
        <f>IF(DATOS!$G11510&lt;&gt;"EX",0,--(COUNTIFS(nNIA,DATOS!$A11510,nCURSO,DATOS!$D11510,nESPEC,DATOS!$E11510,nASIG,DATOS!$I11510,nEVAL,"OR")=0))</f>
      </c>
      <c r="I11510">
        <f>IF(DATOS!$I11510="","",IFERROR(VLOOKUP(DATOS!$I11510,CONFIG_ASIGNATURAS!$B$2:$J$91,9,FALSE()),""))</f>
      </c>
    </row>
    <row r="11511">
      <c r="F11511">
        <f>IF(DATOS!$A11511="","",DATOS!$A11511&amp;"|"&amp;DATOS!$D11511&amp;"|"&amp;DATOS!$E11511&amp;"|"&amp;DATOS!$I11511)</f>
      </c>
      <c r="G11511">
        <f>IF(DATOS!$A11511="",0,IF(CONFIG_METADATA!$B$4&lt;&gt;"OR+EX",--(DATOS!$G11511=CONFIG_METADATA!$B$4),IF(DATOS!$G11511="EX",1,IF(DATOS!$G11511="OR",--(COUNTIFS(nNIA,DATOS!$A11511,nCURSO,DATOS!$D11511,nESPEC,DATOS!$E11511,nASIG,DATOS!$I11511,nEVAL,"EX")=0),0))))</f>
      </c>
      <c r="H11511">
        <f>IF(DATOS!$G11511&lt;&gt;"EX",0,--(COUNTIFS(nNIA,DATOS!$A11511,nCURSO,DATOS!$D11511,nESPEC,DATOS!$E11511,nASIG,DATOS!$I11511,nEVAL,"OR")=0))</f>
      </c>
      <c r="I11511">
        <f>IF(DATOS!$I11511="","",IFERROR(VLOOKUP(DATOS!$I11511,CONFIG_ASIGNATURAS!$B$2:$J$91,9,FALSE()),""))</f>
      </c>
    </row>
    <row r="11512">
      <c r="F11512">
        <f>IF(DATOS!$A11512="","",DATOS!$A11512&amp;"|"&amp;DATOS!$D11512&amp;"|"&amp;DATOS!$E11512&amp;"|"&amp;DATOS!$I11512)</f>
      </c>
      <c r="G11512">
        <f>IF(DATOS!$A11512="",0,IF(CONFIG_METADATA!$B$4&lt;&gt;"OR+EX",--(DATOS!$G11512=CONFIG_METADATA!$B$4),IF(DATOS!$G11512="EX",1,IF(DATOS!$G11512="OR",--(COUNTIFS(nNIA,DATOS!$A11512,nCURSO,DATOS!$D11512,nESPEC,DATOS!$E11512,nASIG,DATOS!$I11512,nEVAL,"EX")=0),0))))</f>
      </c>
      <c r="H11512">
        <f>IF(DATOS!$G11512&lt;&gt;"EX",0,--(COUNTIFS(nNIA,DATOS!$A11512,nCURSO,DATOS!$D11512,nESPEC,DATOS!$E11512,nASIG,DATOS!$I11512,nEVAL,"OR")=0))</f>
      </c>
      <c r="I11512">
        <f>IF(DATOS!$I11512="","",IFERROR(VLOOKUP(DATOS!$I11512,CONFIG_ASIGNATURAS!$B$2:$J$91,9,FALSE()),""))</f>
      </c>
    </row>
    <row r="11513">
      <c r="F11513">
        <f>IF(DATOS!$A11513="","",DATOS!$A11513&amp;"|"&amp;DATOS!$D11513&amp;"|"&amp;DATOS!$E11513&amp;"|"&amp;DATOS!$I11513)</f>
      </c>
      <c r="G11513">
        <f>IF(DATOS!$A11513="",0,IF(CONFIG_METADATA!$B$4&lt;&gt;"OR+EX",--(DATOS!$G11513=CONFIG_METADATA!$B$4),IF(DATOS!$G11513="EX",1,IF(DATOS!$G11513="OR",--(COUNTIFS(nNIA,DATOS!$A11513,nCURSO,DATOS!$D11513,nESPEC,DATOS!$E11513,nASIG,DATOS!$I11513,nEVAL,"EX")=0),0))))</f>
      </c>
      <c r="H11513">
        <f>IF(DATOS!$G11513&lt;&gt;"EX",0,--(COUNTIFS(nNIA,DATOS!$A11513,nCURSO,DATOS!$D11513,nESPEC,DATOS!$E11513,nASIG,DATOS!$I11513,nEVAL,"OR")=0))</f>
      </c>
      <c r="I11513">
        <f>IF(DATOS!$I11513="","",IFERROR(VLOOKUP(DATOS!$I11513,CONFIG_ASIGNATURAS!$B$2:$J$91,9,FALSE()),""))</f>
      </c>
    </row>
    <row r="11514">
      <c r="F11514">
        <f>IF(DATOS!$A11514="","",DATOS!$A11514&amp;"|"&amp;DATOS!$D11514&amp;"|"&amp;DATOS!$E11514&amp;"|"&amp;DATOS!$I11514)</f>
      </c>
      <c r="G11514">
        <f>IF(DATOS!$A11514="",0,IF(CONFIG_METADATA!$B$4&lt;&gt;"OR+EX",--(DATOS!$G11514=CONFIG_METADATA!$B$4),IF(DATOS!$G11514="EX",1,IF(DATOS!$G11514="OR",--(COUNTIFS(nNIA,DATOS!$A11514,nCURSO,DATOS!$D11514,nESPEC,DATOS!$E11514,nASIG,DATOS!$I11514,nEVAL,"EX")=0),0))))</f>
      </c>
      <c r="H11514">
        <f>IF(DATOS!$G11514&lt;&gt;"EX",0,--(COUNTIFS(nNIA,DATOS!$A11514,nCURSO,DATOS!$D11514,nESPEC,DATOS!$E11514,nASIG,DATOS!$I11514,nEVAL,"OR")=0))</f>
      </c>
      <c r="I11514">
        <f>IF(DATOS!$I11514="","",IFERROR(VLOOKUP(DATOS!$I11514,CONFIG_ASIGNATURAS!$B$2:$J$91,9,FALSE()),""))</f>
      </c>
    </row>
    <row r="11515">
      <c r="F11515">
        <f>IF(DATOS!$A11515="","",DATOS!$A11515&amp;"|"&amp;DATOS!$D11515&amp;"|"&amp;DATOS!$E11515&amp;"|"&amp;DATOS!$I11515)</f>
      </c>
      <c r="G11515">
        <f>IF(DATOS!$A11515="",0,IF(CONFIG_METADATA!$B$4&lt;&gt;"OR+EX",--(DATOS!$G11515=CONFIG_METADATA!$B$4),IF(DATOS!$G11515="EX",1,IF(DATOS!$G11515="OR",--(COUNTIFS(nNIA,DATOS!$A11515,nCURSO,DATOS!$D11515,nESPEC,DATOS!$E11515,nASIG,DATOS!$I11515,nEVAL,"EX")=0),0))))</f>
      </c>
      <c r="H11515">
        <f>IF(DATOS!$G11515&lt;&gt;"EX",0,--(COUNTIFS(nNIA,DATOS!$A11515,nCURSO,DATOS!$D11515,nESPEC,DATOS!$E11515,nASIG,DATOS!$I11515,nEVAL,"OR")=0))</f>
      </c>
      <c r="I11515">
        <f>IF(DATOS!$I11515="","",IFERROR(VLOOKUP(DATOS!$I11515,CONFIG_ASIGNATURAS!$B$2:$J$91,9,FALSE()),""))</f>
      </c>
    </row>
    <row r="11516">
      <c r="F11516">
        <f>IF(DATOS!$A11516="","",DATOS!$A11516&amp;"|"&amp;DATOS!$D11516&amp;"|"&amp;DATOS!$E11516&amp;"|"&amp;DATOS!$I11516)</f>
      </c>
      <c r="G11516">
        <f>IF(DATOS!$A11516="",0,IF(CONFIG_METADATA!$B$4&lt;&gt;"OR+EX",--(DATOS!$G11516=CONFIG_METADATA!$B$4),IF(DATOS!$G11516="EX",1,IF(DATOS!$G11516="OR",--(COUNTIFS(nNIA,DATOS!$A11516,nCURSO,DATOS!$D11516,nESPEC,DATOS!$E11516,nASIG,DATOS!$I11516,nEVAL,"EX")=0),0))))</f>
      </c>
      <c r="H11516">
        <f>IF(DATOS!$G11516&lt;&gt;"EX",0,--(COUNTIFS(nNIA,DATOS!$A11516,nCURSO,DATOS!$D11516,nESPEC,DATOS!$E11516,nASIG,DATOS!$I11516,nEVAL,"OR")=0))</f>
      </c>
      <c r="I11516">
        <f>IF(DATOS!$I11516="","",IFERROR(VLOOKUP(DATOS!$I11516,CONFIG_ASIGNATURAS!$B$2:$J$91,9,FALSE()),""))</f>
      </c>
    </row>
    <row r="11517">
      <c r="F11517">
        <f>IF(DATOS!$A11517="","",DATOS!$A11517&amp;"|"&amp;DATOS!$D11517&amp;"|"&amp;DATOS!$E11517&amp;"|"&amp;DATOS!$I11517)</f>
      </c>
      <c r="G11517">
        <f>IF(DATOS!$A11517="",0,IF(CONFIG_METADATA!$B$4&lt;&gt;"OR+EX",--(DATOS!$G11517=CONFIG_METADATA!$B$4),IF(DATOS!$G11517="EX",1,IF(DATOS!$G11517="OR",--(COUNTIFS(nNIA,DATOS!$A11517,nCURSO,DATOS!$D11517,nESPEC,DATOS!$E11517,nASIG,DATOS!$I11517,nEVAL,"EX")=0),0))))</f>
      </c>
      <c r="H11517">
        <f>IF(DATOS!$G11517&lt;&gt;"EX",0,--(COUNTIFS(nNIA,DATOS!$A11517,nCURSO,DATOS!$D11517,nESPEC,DATOS!$E11517,nASIG,DATOS!$I11517,nEVAL,"OR")=0))</f>
      </c>
      <c r="I11517">
        <f>IF(DATOS!$I11517="","",IFERROR(VLOOKUP(DATOS!$I11517,CONFIG_ASIGNATURAS!$B$2:$J$91,9,FALSE()),""))</f>
      </c>
    </row>
    <row r="11518">
      <c r="F11518">
        <f>IF(DATOS!$A11518="","",DATOS!$A11518&amp;"|"&amp;DATOS!$D11518&amp;"|"&amp;DATOS!$E11518&amp;"|"&amp;DATOS!$I11518)</f>
      </c>
      <c r="G11518">
        <f>IF(DATOS!$A11518="",0,IF(CONFIG_METADATA!$B$4&lt;&gt;"OR+EX",--(DATOS!$G11518=CONFIG_METADATA!$B$4),IF(DATOS!$G11518="EX",1,IF(DATOS!$G11518="OR",--(COUNTIFS(nNIA,DATOS!$A11518,nCURSO,DATOS!$D11518,nESPEC,DATOS!$E11518,nASIG,DATOS!$I11518,nEVAL,"EX")=0),0))))</f>
      </c>
      <c r="H11518">
        <f>IF(DATOS!$G11518&lt;&gt;"EX",0,--(COUNTIFS(nNIA,DATOS!$A11518,nCURSO,DATOS!$D11518,nESPEC,DATOS!$E11518,nASIG,DATOS!$I11518,nEVAL,"OR")=0))</f>
      </c>
      <c r="I11518">
        <f>IF(DATOS!$I11518="","",IFERROR(VLOOKUP(DATOS!$I11518,CONFIG_ASIGNATURAS!$B$2:$J$91,9,FALSE()),""))</f>
      </c>
    </row>
    <row r="11519">
      <c r="F11519">
        <f>IF(DATOS!$A11519="","",DATOS!$A11519&amp;"|"&amp;DATOS!$D11519&amp;"|"&amp;DATOS!$E11519&amp;"|"&amp;DATOS!$I11519)</f>
      </c>
      <c r="G11519">
        <f>IF(DATOS!$A11519="",0,IF(CONFIG_METADATA!$B$4&lt;&gt;"OR+EX",--(DATOS!$G11519=CONFIG_METADATA!$B$4),IF(DATOS!$G11519="EX",1,IF(DATOS!$G11519="OR",--(COUNTIFS(nNIA,DATOS!$A11519,nCURSO,DATOS!$D11519,nESPEC,DATOS!$E11519,nASIG,DATOS!$I11519,nEVAL,"EX")=0),0))))</f>
      </c>
      <c r="H11519">
        <f>IF(DATOS!$G11519&lt;&gt;"EX",0,--(COUNTIFS(nNIA,DATOS!$A11519,nCURSO,DATOS!$D11519,nESPEC,DATOS!$E11519,nASIG,DATOS!$I11519,nEVAL,"OR")=0))</f>
      </c>
      <c r="I11519">
        <f>IF(DATOS!$I11519="","",IFERROR(VLOOKUP(DATOS!$I11519,CONFIG_ASIGNATURAS!$B$2:$J$91,9,FALSE()),""))</f>
      </c>
    </row>
    <row r="11520">
      <c r="F11520">
        <f>IF(DATOS!$A11520="","",DATOS!$A11520&amp;"|"&amp;DATOS!$D11520&amp;"|"&amp;DATOS!$E11520&amp;"|"&amp;DATOS!$I11520)</f>
      </c>
      <c r="G11520">
        <f>IF(DATOS!$A11520="",0,IF(CONFIG_METADATA!$B$4&lt;&gt;"OR+EX",--(DATOS!$G11520=CONFIG_METADATA!$B$4),IF(DATOS!$G11520="EX",1,IF(DATOS!$G11520="OR",--(COUNTIFS(nNIA,DATOS!$A11520,nCURSO,DATOS!$D11520,nESPEC,DATOS!$E11520,nASIG,DATOS!$I11520,nEVAL,"EX")=0),0))))</f>
      </c>
      <c r="H11520">
        <f>IF(DATOS!$G11520&lt;&gt;"EX",0,--(COUNTIFS(nNIA,DATOS!$A11520,nCURSO,DATOS!$D11520,nESPEC,DATOS!$E11520,nASIG,DATOS!$I11520,nEVAL,"OR")=0))</f>
      </c>
      <c r="I11520">
        <f>IF(DATOS!$I11520="","",IFERROR(VLOOKUP(DATOS!$I11520,CONFIG_ASIGNATURAS!$B$2:$J$91,9,FALSE()),""))</f>
      </c>
    </row>
    <row r="11521">
      <c r="F11521">
        <f>IF(DATOS!$A11521="","",DATOS!$A11521&amp;"|"&amp;DATOS!$D11521&amp;"|"&amp;DATOS!$E11521&amp;"|"&amp;DATOS!$I11521)</f>
      </c>
      <c r="G11521">
        <f>IF(DATOS!$A11521="",0,IF(CONFIG_METADATA!$B$4&lt;&gt;"OR+EX",--(DATOS!$G11521=CONFIG_METADATA!$B$4),IF(DATOS!$G11521="EX",1,IF(DATOS!$G11521="OR",--(COUNTIFS(nNIA,DATOS!$A11521,nCURSO,DATOS!$D11521,nESPEC,DATOS!$E11521,nASIG,DATOS!$I11521,nEVAL,"EX")=0),0))))</f>
      </c>
      <c r="H11521">
        <f>IF(DATOS!$G11521&lt;&gt;"EX",0,--(COUNTIFS(nNIA,DATOS!$A11521,nCURSO,DATOS!$D11521,nESPEC,DATOS!$E11521,nASIG,DATOS!$I11521,nEVAL,"OR")=0))</f>
      </c>
      <c r="I11521">
        <f>IF(DATOS!$I11521="","",IFERROR(VLOOKUP(DATOS!$I11521,CONFIG_ASIGNATURAS!$B$2:$J$91,9,FALSE()),""))</f>
      </c>
    </row>
    <row r="11522">
      <c r="F11522">
        <f>IF(DATOS!$A11522="","",DATOS!$A11522&amp;"|"&amp;DATOS!$D11522&amp;"|"&amp;DATOS!$E11522&amp;"|"&amp;DATOS!$I11522)</f>
      </c>
      <c r="G11522">
        <f>IF(DATOS!$A11522="",0,IF(CONFIG_METADATA!$B$4&lt;&gt;"OR+EX",--(DATOS!$G11522=CONFIG_METADATA!$B$4),IF(DATOS!$G11522="EX",1,IF(DATOS!$G11522="OR",--(COUNTIFS(nNIA,DATOS!$A11522,nCURSO,DATOS!$D11522,nESPEC,DATOS!$E11522,nASIG,DATOS!$I11522,nEVAL,"EX")=0),0))))</f>
      </c>
      <c r="H11522">
        <f>IF(DATOS!$G11522&lt;&gt;"EX",0,--(COUNTIFS(nNIA,DATOS!$A11522,nCURSO,DATOS!$D11522,nESPEC,DATOS!$E11522,nASIG,DATOS!$I11522,nEVAL,"OR")=0))</f>
      </c>
      <c r="I11522">
        <f>IF(DATOS!$I11522="","",IFERROR(VLOOKUP(DATOS!$I11522,CONFIG_ASIGNATURAS!$B$2:$J$91,9,FALSE()),""))</f>
      </c>
    </row>
    <row r="11523">
      <c r="F11523">
        <f>IF(DATOS!$A11523="","",DATOS!$A11523&amp;"|"&amp;DATOS!$D11523&amp;"|"&amp;DATOS!$E11523&amp;"|"&amp;DATOS!$I11523)</f>
      </c>
      <c r="G11523">
        <f>IF(DATOS!$A11523="",0,IF(CONFIG_METADATA!$B$4&lt;&gt;"OR+EX",--(DATOS!$G11523=CONFIG_METADATA!$B$4),IF(DATOS!$G11523="EX",1,IF(DATOS!$G11523="OR",--(COUNTIFS(nNIA,DATOS!$A11523,nCURSO,DATOS!$D11523,nESPEC,DATOS!$E11523,nASIG,DATOS!$I11523,nEVAL,"EX")=0),0))))</f>
      </c>
      <c r="H11523">
        <f>IF(DATOS!$G11523&lt;&gt;"EX",0,--(COUNTIFS(nNIA,DATOS!$A11523,nCURSO,DATOS!$D11523,nESPEC,DATOS!$E11523,nASIG,DATOS!$I11523,nEVAL,"OR")=0))</f>
      </c>
      <c r="I11523">
        <f>IF(DATOS!$I11523="","",IFERROR(VLOOKUP(DATOS!$I11523,CONFIG_ASIGNATURAS!$B$2:$J$91,9,FALSE()),""))</f>
      </c>
    </row>
    <row r="11524">
      <c r="F11524">
        <f>IF(DATOS!$A11524="","",DATOS!$A11524&amp;"|"&amp;DATOS!$D11524&amp;"|"&amp;DATOS!$E11524&amp;"|"&amp;DATOS!$I11524)</f>
      </c>
      <c r="G11524">
        <f>IF(DATOS!$A11524="",0,IF(CONFIG_METADATA!$B$4&lt;&gt;"OR+EX",--(DATOS!$G11524=CONFIG_METADATA!$B$4),IF(DATOS!$G11524="EX",1,IF(DATOS!$G11524="OR",--(COUNTIFS(nNIA,DATOS!$A11524,nCURSO,DATOS!$D11524,nESPEC,DATOS!$E11524,nASIG,DATOS!$I11524,nEVAL,"EX")=0),0))))</f>
      </c>
      <c r="H11524">
        <f>IF(DATOS!$G11524&lt;&gt;"EX",0,--(COUNTIFS(nNIA,DATOS!$A11524,nCURSO,DATOS!$D11524,nESPEC,DATOS!$E11524,nASIG,DATOS!$I11524,nEVAL,"OR")=0))</f>
      </c>
      <c r="I11524">
        <f>IF(DATOS!$I11524="","",IFERROR(VLOOKUP(DATOS!$I11524,CONFIG_ASIGNATURAS!$B$2:$J$91,9,FALSE()),""))</f>
      </c>
    </row>
    <row r="11525">
      <c r="F11525">
        <f>IF(DATOS!$A11525="","",DATOS!$A11525&amp;"|"&amp;DATOS!$D11525&amp;"|"&amp;DATOS!$E11525&amp;"|"&amp;DATOS!$I11525)</f>
      </c>
      <c r="G11525">
        <f>IF(DATOS!$A11525="",0,IF(CONFIG_METADATA!$B$4&lt;&gt;"OR+EX",--(DATOS!$G11525=CONFIG_METADATA!$B$4),IF(DATOS!$G11525="EX",1,IF(DATOS!$G11525="OR",--(COUNTIFS(nNIA,DATOS!$A11525,nCURSO,DATOS!$D11525,nESPEC,DATOS!$E11525,nASIG,DATOS!$I11525,nEVAL,"EX")=0),0))))</f>
      </c>
      <c r="H11525">
        <f>IF(DATOS!$G11525&lt;&gt;"EX",0,--(COUNTIFS(nNIA,DATOS!$A11525,nCURSO,DATOS!$D11525,nESPEC,DATOS!$E11525,nASIG,DATOS!$I11525,nEVAL,"OR")=0))</f>
      </c>
      <c r="I11525">
        <f>IF(DATOS!$I11525="","",IFERROR(VLOOKUP(DATOS!$I11525,CONFIG_ASIGNATURAS!$B$2:$J$91,9,FALSE()),""))</f>
      </c>
    </row>
    <row r="11526">
      <c r="F11526">
        <f>IF(DATOS!$A11526="","",DATOS!$A11526&amp;"|"&amp;DATOS!$D11526&amp;"|"&amp;DATOS!$E11526&amp;"|"&amp;DATOS!$I11526)</f>
      </c>
      <c r="G11526">
        <f>IF(DATOS!$A11526="",0,IF(CONFIG_METADATA!$B$4&lt;&gt;"OR+EX",--(DATOS!$G11526=CONFIG_METADATA!$B$4),IF(DATOS!$G11526="EX",1,IF(DATOS!$G11526="OR",--(COUNTIFS(nNIA,DATOS!$A11526,nCURSO,DATOS!$D11526,nESPEC,DATOS!$E11526,nASIG,DATOS!$I11526,nEVAL,"EX")=0),0))))</f>
      </c>
      <c r="H11526">
        <f>IF(DATOS!$G11526&lt;&gt;"EX",0,--(COUNTIFS(nNIA,DATOS!$A11526,nCURSO,DATOS!$D11526,nESPEC,DATOS!$E11526,nASIG,DATOS!$I11526,nEVAL,"OR")=0))</f>
      </c>
      <c r="I11526">
        <f>IF(DATOS!$I11526="","",IFERROR(VLOOKUP(DATOS!$I11526,CONFIG_ASIGNATURAS!$B$2:$J$91,9,FALSE()),""))</f>
      </c>
    </row>
    <row r="11527">
      <c r="F11527">
        <f>IF(DATOS!$A11527="","",DATOS!$A11527&amp;"|"&amp;DATOS!$D11527&amp;"|"&amp;DATOS!$E11527&amp;"|"&amp;DATOS!$I11527)</f>
      </c>
      <c r="G11527">
        <f>IF(DATOS!$A11527="",0,IF(CONFIG_METADATA!$B$4&lt;&gt;"OR+EX",--(DATOS!$G11527=CONFIG_METADATA!$B$4),IF(DATOS!$G11527="EX",1,IF(DATOS!$G11527="OR",--(COUNTIFS(nNIA,DATOS!$A11527,nCURSO,DATOS!$D11527,nESPEC,DATOS!$E11527,nASIG,DATOS!$I11527,nEVAL,"EX")=0),0))))</f>
      </c>
      <c r="H11527">
        <f>IF(DATOS!$G11527&lt;&gt;"EX",0,--(COUNTIFS(nNIA,DATOS!$A11527,nCURSO,DATOS!$D11527,nESPEC,DATOS!$E11527,nASIG,DATOS!$I11527,nEVAL,"OR")=0))</f>
      </c>
      <c r="I11527">
        <f>IF(DATOS!$I11527="","",IFERROR(VLOOKUP(DATOS!$I11527,CONFIG_ASIGNATURAS!$B$2:$J$91,9,FALSE()),""))</f>
      </c>
    </row>
    <row r="11528">
      <c r="F11528">
        <f>IF(DATOS!$A11528="","",DATOS!$A11528&amp;"|"&amp;DATOS!$D11528&amp;"|"&amp;DATOS!$E11528&amp;"|"&amp;DATOS!$I11528)</f>
      </c>
      <c r="G11528">
        <f>IF(DATOS!$A11528="",0,IF(CONFIG_METADATA!$B$4&lt;&gt;"OR+EX",--(DATOS!$G11528=CONFIG_METADATA!$B$4),IF(DATOS!$G11528="EX",1,IF(DATOS!$G11528="OR",--(COUNTIFS(nNIA,DATOS!$A11528,nCURSO,DATOS!$D11528,nESPEC,DATOS!$E11528,nASIG,DATOS!$I11528,nEVAL,"EX")=0),0))))</f>
      </c>
      <c r="H11528">
        <f>IF(DATOS!$G11528&lt;&gt;"EX",0,--(COUNTIFS(nNIA,DATOS!$A11528,nCURSO,DATOS!$D11528,nESPEC,DATOS!$E11528,nASIG,DATOS!$I11528,nEVAL,"OR")=0))</f>
      </c>
      <c r="I11528">
        <f>IF(DATOS!$I11528="","",IFERROR(VLOOKUP(DATOS!$I11528,CONFIG_ASIGNATURAS!$B$2:$J$91,9,FALSE()),""))</f>
      </c>
    </row>
    <row r="11529">
      <c r="F11529">
        <f>IF(DATOS!$A11529="","",DATOS!$A11529&amp;"|"&amp;DATOS!$D11529&amp;"|"&amp;DATOS!$E11529&amp;"|"&amp;DATOS!$I11529)</f>
      </c>
      <c r="G11529">
        <f>IF(DATOS!$A11529="",0,IF(CONFIG_METADATA!$B$4&lt;&gt;"OR+EX",--(DATOS!$G11529=CONFIG_METADATA!$B$4),IF(DATOS!$G11529="EX",1,IF(DATOS!$G11529="OR",--(COUNTIFS(nNIA,DATOS!$A11529,nCURSO,DATOS!$D11529,nESPEC,DATOS!$E11529,nASIG,DATOS!$I11529,nEVAL,"EX")=0),0))))</f>
      </c>
      <c r="H11529">
        <f>IF(DATOS!$G11529&lt;&gt;"EX",0,--(COUNTIFS(nNIA,DATOS!$A11529,nCURSO,DATOS!$D11529,nESPEC,DATOS!$E11529,nASIG,DATOS!$I11529,nEVAL,"OR")=0))</f>
      </c>
      <c r="I11529">
        <f>IF(DATOS!$I11529="","",IFERROR(VLOOKUP(DATOS!$I11529,CONFIG_ASIGNATURAS!$B$2:$J$91,9,FALSE()),""))</f>
      </c>
    </row>
    <row r="11530">
      <c r="F11530">
        <f>IF(DATOS!$A11530="","",DATOS!$A11530&amp;"|"&amp;DATOS!$D11530&amp;"|"&amp;DATOS!$E11530&amp;"|"&amp;DATOS!$I11530)</f>
      </c>
      <c r="G11530">
        <f>IF(DATOS!$A11530="",0,IF(CONFIG_METADATA!$B$4&lt;&gt;"OR+EX",--(DATOS!$G11530=CONFIG_METADATA!$B$4),IF(DATOS!$G11530="EX",1,IF(DATOS!$G11530="OR",--(COUNTIFS(nNIA,DATOS!$A11530,nCURSO,DATOS!$D11530,nESPEC,DATOS!$E11530,nASIG,DATOS!$I11530,nEVAL,"EX")=0),0))))</f>
      </c>
      <c r="H11530">
        <f>IF(DATOS!$G11530&lt;&gt;"EX",0,--(COUNTIFS(nNIA,DATOS!$A11530,nCURSO,DATOS!$D11530,nESPEC,DATOS!$E11530,nASIG,DATOS!$I11530,nEVAL,"OR")=0))</f>
      </c>
      <c r="I11530">
        <f>IF(DATOS!$I11530="","",IFERROR(VLOOKUP(DATOS!$I11530,CONFIG_ASIGNATURAS!$B$2:$J$91,9,FALSE()),""))</f>
      </c>
    </row>
    <row r="11531">
      <c r="F11531">
        <f>IF(DATOS!$A11531="","",DATOS!$A11531&amp;"|"&amp;DATOS!$D11531&amp;"|"&amp;DATOS!$E11531&amp;"|"&amp;DATOS!$I11531)</f>
      </c>
      <c r="G11531">
        <f>IF(DATOS!$A11531="",0,IF(CONFIG_METADATA!$B$4&lt;&gt;"OR+EX",--(DATOS!$G11531=CONFIG_METADATA!$B$4),IF(DATOS!$G11531="EX",1,IF(DATOS!$G11531="OR",--(COUNTIFS(nNIA,DATOS!$A11531,nCURSO,DATOS!$D11531,nESPEC,DATOS!$E11531,nASIG,DATOS!$I11531,nEVAL,"EX")=0),0))))</f>
      </c>
      <c r="H11531">
        <f>IF(DATOS!$G11531&lt;&gt;"EX",0,--(COUNTIFS(nNIA,DATOS!$A11531,nCURSO,DATOS!$D11531,nESPEC,DATOS!$E11531,nASIG,DATOS!$I11531,nEVAL,"OR")=0))</f>
      </c>
      <c r="I11531">
        <f>IF(DATOS!$I11531="","",IFERROR(VLOOKUP(DATOS!$I11531,CONFIG_ASIGNATURAS!$B$2:$J$91,9,FALSE()),""))</f>
      </c>
    </row>
    <row r="11532">
      <c r="F11532">
        <f>IF(DATOS!$A11532="","",DATOS!$A11532&amp;"|"&amp;DATOS!$D11532&amp;"|"&amp;DATOS!$E11532&amp;"|"&amp;DATOS!$I11532)</f>
      </c>
      <c r="G11532">
        <f>IF(DATOS!$A11532="",0,IF(CONFIG_METADATA!$B$4&lt;&gt;"OR+EX",--(DATOS!$G11532=CONFIG_METADATA!$B$4),IF(DATOS!$G11532="EX",1,IF(DATOS!$G11532="OR",--(COUNTIFS(nNIA,DATOS!$A11532,nCURSO,DATOS!$D11532,nESPEC,DATOS!$E11532,nASIG,DATOS!$I11532,nEVAL,"EX")=0),0))))</f>
      </c>
      <c r="H11532">
        <f>IF(DATOS!$G11532&lt;&gt;"EX",0,--(COUNTIFS(nNIA,DATOS!$A11532,nCURSO,DATOS!$D11532,nESPEC,DATOS!$E11532,nASIG,DATOS!$I11532,nEVAL,"OR")=0))</f>
      </c>
      <c r="I11532">
        <f>IF(DATOS!$I11532="","",IFERROR(VLOOKUP(DATOS!$I11532,CONFIG_ASIGNATURAS!$B$2:$J$91,9,FALSE()),""))</f>
      </c>
    </row>
    <row r="11533">
      <c r="F11533">
        <f>IF(DATOS!$A11533="","",DATOS!$A11533&amp;"|"&amp;DATOS!$D11533&amp;"|"&amp;DATOS!$E11533&amp;"|"&amp;DATOS!$I11533)</f>
      </c>
      <c r="G11533">
        <f>IF(DATOS!$A11533="",0,IF(CONFIG_METADATA!$B$4&lt;&gt;"OR+EX",--(DATOS!$G11533=CONFIG_METADATA!$B$4),IF(DATOS!$G11533="EX",1,IF(DATOS!$G11533="OR",--(COUNTIFS(nNIA,DATOS!$A11533,nCURSO,DATOS!$D11533,nESPEC,DATOS!$E11533,nASIG,DATOS!$I11533,nEVAL,"EX")=0),0))))</f>
      </c>
      <c r="H11533">
        <f>IF(DATOS!$G11533&lt;&gt;"EX",0,--(COUNTIFS(nNIA,DATOS!$A11533,nCURSO,DATOS!$D11533,nESPEC,DATOS!$E11533,nASIG,DATOS!$I11533,nEVAL,"OR")=0))</f>
      </c>
      <c r="I11533">
        <f>IF(DATOS!$I11533="","",IFERROR(VLOOKUP(DATOS!$I11533,CONFIG_ASIGNATURAS!$B$2:$J$91,9,FALSE()),""))</f>
      </c>
    </row>
    <row r="11534">
      <c r="F11534">
        <f>IF(DATOS!$A11534="","",DATOS!$A11534&amp;"|"&amp;DATOS!$D11534&amp;"|"&amp;DATOS!$E11534&amp;"|"&amp;DATOS!$I11534)</f>
      </c>
      <c r="G11534">
        <f>IF(DATOS!$A11534="",0,IF(CONFIG_METADATA!$B$4&lt;&gt;"OR+EX",--(DATOS!$G11534=CONFIG_METADATA!$B$4),IF(DATOS!$G11534="EX",1,IF(DATOS!$G11534="OR",--(COUNTIFS(nNIA,DATOS!$A11534,nCURSO,DATOS!$D11534,nESPEC,DATOS!$E11534,nASIG,DATOS!$I11534,nEVAL,"EX")=0),0))))</f>
      </c>
      <c r="H11534">
        <f>IF(DATOS!$G11534&lt;&gt;"EX",0,--(COUNTIFS(nNIA,DATOS!$A11534,nCURSO,DATOS!$D11534,nESPEC,DATOS!$E11534,nASIG,DATOS!$I11534,nEVAL,"OR")=0))</f>
      </c>
      <c r="I11534">
        <f>IF(DATOS!$I11534="","",IFERROR(VLOOKUP(DATOS!$I11534,CONFIG_ASIGNATURAS!$B$2:$J$91,9,FALSE()),""))</f>
      </c>
    </row>
    <row r="11535">
      <c r="F11535">
        <f>IF(DATOS!$A11535="","",DATOS!$A11535&amp;"|"&amp;DATOS!$D11535&amp;"|"&amp;DATOS!$E11535&amp;"|"&amp;DATOS!$I11535)</f>
      </c>
      <c r="G11535">
        <f>IF(DATOS!$A11535="",0,IF(CONFIG_METADATA!$B$4&lt;&gt;"OR+EX",--(DATOS!$G11535=CONFIG_METADATA!$B$4),IF(DATOS!$G11535="EX",1,IF(DATOS!$G11535="OR",--(COUNTIFS(nNIA,DATOS!$A11535,nCURSO,DATOS!$D11535,nESPEC,DATOS!$E11535,nASIG,DATOS!$I11535,nEVAL,"EX")=0),0))))</f>
      </c>
      <c r="H11535">
        <f>IF(DATOS!$G11535&lt;&gt;"EX",0,--(COUNTIFS(nNIA,DATOS!$A11535,nCURSO,DATOS!$D11535,nESPEC,DATOS!$E11535,nASIG,DATOS!$I11535,nEVAL,"OR")=0))</f>
      </c>
      <c r="I11535">
        <f>IF(DATOS!$I11535="","",IFERROR(VLOOKUP(DATOS!$I11535,CONFIG_ASIGNATURAS!$B$2:$J$91,9,FALSE()),""))</f>
      </c>
    </row>
    <row r="11536">
      <c r="F11536">
        <f>IF(DATOS!$A11536="","",DATOS!$A11536&amp;"|"&amp;DATOS!$D11536&amp;"|"&amp;DATOS!$E11536&amp;"|"&amp;DATOS!$I11536)</f>
      </c>
      <c r="G11536">
        <f>IF(DATOS!$A11536="",0,IF(CONFIG_METADATA!$B$4&lt;&gt;"OR+EX",--(DATOS!$G11536=CONFIG_METADATA!$B$4),IF(DATOS!$G11536="EX",1,IF(DATOS!$G11536="OR",--(COUNTIFS(nNIA,DATOS!$A11536,nCURSO,DATOS!$D11536,nESPEC,DATOS!$E11536,nASIG,DATOS!$I11536,nEVAL,"EX")=0),0))))</f>
      </c>
      <c r="H11536">
        <f>IF(DATOS!$G11536&lt;&gt;"EX",0,--(COUNTIFS(nNIA,DATOS!$A11536,nCURSO,DATOS!$D11536,nESPEC,DATOS!$E11536,nASIG,DATOS!$I11536,nEVAL,"OR")=0))</f>
      </c>
      <c r="I11536">
        <f>IF(DATOS!$I11536="","",IFERROR(VLOOKUP(DATOS!$I11536,CONFIG_ASIGNATURAS!$B$2:$J$91,9,FALSE()),""))</f>
      </c>
    </row>
    <row r="11537">
      <c r="F11537">
        <f>IF(DATOS!$A11537="","",DATOS!$A11537&amp;"|"&amp;DATOS!$D11537&amp;"|"&amp;DATOS!$E11537&amp;"|"&amp;DATOS!$I11537)</f>
      </c>
      <c r="G11537">
        <f>IF(DATOS!$A11537="",0,IF(CONFIG_METADATA!$B$4&lt;&gt;"OR+EX",--(DATOS!$G11537=CONFIG_METADATA!$B$4),IF(DATOS!$G11537="EX",1,IF(DATOS!$G11537="OR",--(COUNTIFS(nNIA,DATOS!$A11537,nCURSO,DATOS!$D11537,nESPEC,DATOS!$E11537,nASIG,DATOS!$I11537,nEVAL,"EX")=0),0))))</f>
      </c>
      <c r="H11537">
        <f>IF(DATOS!$G11537&lt;&gt;"EX",0,--(COUNTIFS(nNIA,DATOS!$A11537,nCURSO,DATOS!$D11537,nESPEC,DATOS!$E11537,nASIG,DATOS!$I11537,nEVAL,"OR")=0))</f>
      </c>
      <c r="I11537">
        <f>IF(DATOS!$I11537="","",IFERROR(VLOOKUP(DATOS!$I11537,CONFIG_ASIGNATURAS!$B$2:$J$91,9,FALSE()),""))</f>
      </c>
    </row>
    <row r="11538">
      <c r="F11538">
        <f>IF(DATOS!$A11538="","",DATOS!$A11538&amp;"|"&amp;DATOS!$D11538&amp;"|"&amp;DATOS!$E11538&amp;"|"&amp;DATOS!$I11538)</f>
      </c>
      <c r="G11538">
        <f>IF(DATOS!$A11538="",0,IF(CONFIG_METADATA!$B$4&lt;&gt;"OR+EX",--(DATOS!$G11538=CONFIG_METADATA!$B$4),IF(DATOS!$G11538="EX",1,IF(DATOS!$G11538="OR",--(COUNTIFS(nNIA,DATOS!$A11538,nCURSO,DATOS!$D11538,nESPEC,DATOS!$E11538,nASIG,DATOS!$I11538,nEVAL,"EX")=0),0))))</f>
      </c>
      <c r="H11538">
        <f>IF(DATOS!$G11538&lt;&gt;"EX",0,--(COUNTIFS(nNIA,DATOS!$A11538,nCURSO,DATOS!$D11538,nESPEC,DATOS!$E11538,nASIG,DATOS!$I11538,nEVAL,"OR")=0))</f>
      </c>
      <c r="I11538">
        <f>IF(DATOS!$I11538="","",IFERROR(VLOOKUP(DATOS!$I11538,CONFIG_ASIGNATURAS!$B$2:$J$91,9,FALSE()),""))</f>
      </c>
    </row>
    <row r="11539">
      <c r="F11539">
        <f>IF(DATOS!$A11539="","",DATOS!$A11539&amp;"|"&amp;DATOS!$D11539&amp;"|"&amp;DATOS!$E11539&amp;"|"&amp;DATOS!$I11539)</f>
      </c>
      <c r="G11539">
        <f>IF(DATOS!$A11539="",0,IF(CONFIG_METADATA!$B$4&lt;&gt;"OR+EX",--(DATOS!$G11539=CONFIG_METADATA!$B$4),IF(DATOS!$G11539="EX",1,IF(DATOS!$G11539="OR",--(COUNTIFS(nNIA,DATOS!$A11539,nCURSO,DATOS!$D11539,nESPEC,DATOS!$E11539,nASIG,DATOS!$I11539,nEVAL,"EX")=0),0))))</f>
      </c>
      <c r="H11539">
        <f>IF(DATOS!$G11539&lt;&gt;"EX",0,--(COUNTIFS(nNIA,DATOS!$A11539,nCURSO,DATOS!$D11539,nESPEC,DATOS!$E11539,nASIG,DATOS!$I11539,nEVAL,"OR")=0))</f>
      </c>
      <c r="I11539">
        <f>IF(DATOS!$I11539="","",IFERROR(VLOOKUP(DATOS!$I11539,CONFIG_ASIGNATURAS!$B$2:$J$91,9,FALSE()),""))</f>
      </c>
    </row>
    <row r="11540">
      <c r="F11540">
        <f>IF(DATOS!$A11540="","",DATOS!$A11540&amp;"|"&amp;DATOS!$D11540&amp;"|"&amp;DATOS!$E11540&amp;"|"&amp;DATOS!$I11540)</f>
      </c>
      <c r="G11540">
        <f>IF(DATOS!$A11540="",0,IF(CONFIG_METADATA!$B$4&lt;&gt;"OR+EX",--(DATOS!$G11540=CONFIG_METADATA!$B$4),IF(DATOS!$G11540="EX",1,IF(DATOS!$G11540="OR",--(COUNTIFS(nNIA,DATOS!$A11540,nCURSO,DATOS!$D11540,nESPEC,DATOS!$E11540,nASIG,DATOS!$I11540,nEVAL,"EX")=0),0))))</f>
      </c>
      <c r="H11540">
        <f>IF(DATOS!$G11540&lt;&gt;"EX",0,--(COUNTIFS(nNIA,DATOS!$A11540,nCURSO,DATOS!$D11540,nESPEC,DATOS!$E11540,nASIG,DATOS!$I11540,nEVAL,"OR")=0))</f>
      </c>
      <c r="I11540">
        <f>IF(DATOS!$I11540="","",IFERROR(VLOOKUP(DATOS!$I11540,CONFIG_ASIGNATURAS!$B$2:$J$91,9,FALSE()),""))</f>
      </c>
    </row>
    <row r="11541">
      <c r="F11541">
        <f>IF(DATOS!$A11541="","",DATOS!$A11541&amp;"|"&amp;DATOS!$D11541&amp;"|"&amp;DATOS!$E11541&amp;"|"&amp;DATOS!$I11541)</f>
      </c>
      <c r="G11541">
        <f>IF(DATOS!$A11541="",0,IF(CONFIG_METADATA!$B$4&lt;&gt;"OR+EX",--(DATOS!$G11541=CONFIG_METADATA!$B$4),IF(DATOS!$G11541="EX",1,IF(DATOS!$G11541="OR",--(COUNTIFS(nNIA,DATOS!$A11541,nCURSO,DATOS!$D11541,nESPEC,DATOS!$E11541,nASIG,DATOS!$I11541,nEVAL,"EX")=0),0))))</f>
      </c>
      <c r="H11541">
        <f>IF(DATOS!$G11541&lt;&gt;"EX",0,--(COUNTIFS(nNIA,DATOS!$A11541,nCURSO,DATOS!$D11541,nESPEC,DATOS!$E11541,nASIG,DATOS!$I11541,nEVAL,"OR")=0))</f>
      </c>
      <c r="I11541">
        <f>IF(DATOS!$I11541="","",IFERROR(VLOOKUP(DATOS!$I11541,CONFIG_ASIGNATURAS!$B$2:$J$91,9,FALSE()),""))</f>
      </c>
    </row>
    <row r="11542">
      <c r="F11542">
        <f>IF(DATOS!$A11542="","",DATOS!$A11542&amp;"|"&amp;DATOS!$D11542&amp;"|"&amp;DATOS!$E11542&amp;"|"&amp;DATOS!$I11542)</f>
      </c>
      <c r="G11542">
        <f>IF(DATOS!$A11542="",0,IF(CONFIG_METADATA!$B$4&lt;&gt;"OR+EX",--(DATOS!$G11542=CONFIG_METADATA!$B$4),IF(DATOS!$G11542="EX",1,IF(DATOS!$G11542="OR",--(COUNTIFS(nNIA,DATOS!$A11542,nCURSO,DATOS!$D11542,nESPEC,DATOS!$E11542,nASIG,DATOS!$I11542,nEVAL,"EX")=0),0))))</f>
      </c>
      <c r="H11542">
        <f>IF(DATOS!$G11542&lt;&gt;"EX",0,--(COUNTIFS(nNIA,DATOS!$A11542,nCURSO,DATOS!$D11542,nESPEC,DATOS!$E11542,nASIG,DATOS!$I11542,nEVAL,"OR")=0))</f>
      </c>
      <c r="I11542">
        <f>IF(DATOS!$I11542="","",IFERROR(VLOOKUP(DATOS!$I11542,CONFIG_ASIGNATURAS!$B$2:$J$91,9,FALSE()),""))</f>
      </c>
    </row>
    <row r="11543">
      <c r="F11543">
        <f>IF(DATOS!$A11543="","",DATOS!$A11543&amp;"|"&amp;DATOS!$D11543&amp;"|"&amp;DATOS!$E11543&amp;"|"&amp;DATOS!$I11543)</f>
      </c>
      <c r="G11543">
        <f>IF(DATOS!$A11543="",0,IF(CONFIG_METADATA!$B$4&lt;&gt;"OR+EX",--(DATOS!$G11543=CONFIG_METADATA!$B$4),IF(DATOS!$G11543="EX",1,IF(DATOS!$G11543="OR",--(COUNTIFS(nNIA,DATOS!$A11543,nCURSO,DATOS!$D11543,nESPEC,DATOS!$E11543,nASIG,DATOS!$I11543,nEVAL,"EX")=0),0))))</f>
      </c>
      <c r="H11543">
        <f>IF(DATOS!$G11543&lt;&gt;"EX",0,--(COUNTIFS(nNIA,DATOS!$A11543,nCURSO,DATOS!$D11543,nESPEC,DATOS!$E11543,nASIG,DATOS!$I11543,nEVAL,"OR")=0))</f>
      </c>
      <c r="I11543">
        <f>IF(DATOS!$I11543="","",IFERROR(VLOOKUP(DATOS!$I11543,CONFIG_ASIGNATURAS!$B$2:$J$91,9,FALSE()),""))</f>
      </c>
    </row>
    <row r="11544">
      <c r="F11544">
        <f>IF(DATOS!$A11544="","",DATOS!$A11544&amp;"|"&amp;DATOS!$D11544&amp;"|"&amp;DATOS!$E11544&amp;"|"&amp;DATOS!$I11544)</f>
      </c>
      <c r="G11544">
        <f>IF(DATOS!$A11544="",0,IF(CONFIG_METADATA!$B$4&lt;&gt;"OR+EX",--(DATOS!$G11544=CONFIG_METADATA!$B$4),IF(DATOS!$G11544="EX",1,IF(DATOS!$G11544="OR",--(COUNTIFS(nNIA,DATOS!$A11544,nCURSO,DATOS!$D11544,nESPEC,DATOS!$E11544,nASIG,DATOS!$I11544,nEVAL,"EX")=0),0))))</f>
      </c>
      <c r="H11544">
        <f>IF(DATOS!$G11544&lt;&gt;"EX",0,--(COUNTIFS(nNIA,DATOS!$A11544,nCURSO,DATOS!$D11544,nESPEC,DATOS!$E11544,nASIG,DATOS!$I11544,nEVAL,"OR")=0))</f>
      </c>
      <c r="I11544">
        <f>IF(DATOS!$I11544="","",IFERROR(VLOOKUP(DATOS!$I11544,CONFIG_ASIGNATURAS!$B$2:$J$91,9,FALSE()),""))</f>
      </c>
    </row>
    <row r="11545">
      <c r="F11545">
        <f>IF(DATOS!$A11545="","",DATOS!$A11545&amp;"|"&amp;DATOS!$D11545&amp;"|"&amp;DATOS!$E11545&amp;"|"&amp;DATOS!$I11545)</f>
      </c>
      <c r="G11545">
        <f>IF(DATOS!$A11545="",0,IF(CONFIG_METADATA!$B$4&lt;&gt;"OR+EX",--(DATOS!$G11545=CONFIG_METADATA!$B$4),IF(DATOS!$G11545="EX",1,IF(DATOS!$G11545="OR",--(COUNTIFS(nNIA,DATOS!$A11545,nCURSO,DATOS!$D11545,nESPEC,DATOS!$E11545,nASIG,DATOS!$I11545,nEVAL,"EX")=0),0))))</f>
      </c>
      <c r="H11545">
        <f>IF(DATOS!$G11545&lt;&gt;"EX",0,--(COUNTIFS(nNIA,DATOS!$A11545,nCURSO,DATOS!$D11545,nESPEC,DATOS!$E11545,nASIG,DATOS!$I11545,nEVAL,"OR")=0))</f>
      </c>
      <c r="I11545">
        <f>IF(DATOS!$I11545="","",IFERROR(VLOOKUP(DATOS!$I11545,CONFIG_ASIGNATURAS!$B$2:$J$91,9,FALSE()),""))</f>
      </c>
    </row>
    <row r="11546">
      <c r="F11546">
        <f>IF(DATOS!$A11546="","",DATOS!$A11546&amp;"|"&amp;DATOS!$D11546&amp;"|"&amp;DATOS!$E11546&amp;"|"&amp;DATOS!$I11546)</f>
      </c>
      <c r="G11546">
        <f>IF(DATOS!$A11546="",0,IF(CONFIG_METADATA!$B$4&lt;&gt;"OR+EX",--(DATOS!$G11546=CONFIG_METADATA!$B$4),IF(DATOS!$G11546="EX",1,IF(DATOS!$G11546="OR",--(COUNTIFS(nNIA,DATOS!$A11546,nCURSO,DATOS!$D11546,nESPEC,DATOS!$E11546,nASIG,DATOS!$I11546,nEVAL,"EX")=0),0))))</f>
      </c>
      <c r="H11546">
        <f>IF(DATOS!$G11546&lt;&gt;"EX",0,--(COUNTIFS(nNIA,DATOS!$A11546,nCURSO,DATOS!$D11546,nESPEC,DATOS!$E11546,nASIG,DATOS!$I11546,nEVAL,"OR")=0))</f>
      </c>
      <c r="I11546">
        <f>IF(DATOS!$I11546="","",IFERROR(VLOOKUP(DATOS!$I11546,CONFIG_ASIGNATURAS!$B$2:$J$91,9,FALSE()),""))</f>
      </c>
    </row>
    <row r="11547">
      <c r="F11547">
        <f>IF(DATOS!$A11547="","",DATOS!$A11547&amp;"|"&amp;DATOS!$D11547&amp;"|"&amp;DATOS!$E11547&amp;"|"&amp;DATOS!$I11547)</f>
      </c>
      <c r="G11547">
        <f>IF(DATOS!$A11547="",0,IF(CONFIG_METADATA!$B$4&lt;&gt;"OR+EX",--(DATOS!$G11547=CONFIG_METADATA!$B$4),IF(DATOS!$G11547="EX",1,IF(DATOS!$G11547="OR",--(COUNTIFS(nNIA,DATOS!$A11547,nCURSO,DATOS!$D11547,nESPEC,DATOS!$E11547,nASIG,DATOS!$I11547,nEVAL,"EX")=0),0))))</f>
      </c>
      <c r="H11547">
        <f>IF(DATOS!$G11547&lt;&gt;"EX",0,--(COUNTIFS(nNIA,DATOS!$A11547,nCURSO,DATOS!$D11547,nESPEC,DATOS!$E11547,nASIG,DATOS!$I11547,nEVAL,"OR")=0))</f>
      </c>
      <c r="I11547">
        <f>IF(DATOS!$I11547="","",IFERROR(VLOOKUP(DATOS!$I11547,CONFIG_ASIGNATURAS!$B$2:$J$91,9,FALSE()),""))</f>
      </c>
    </row>
    <row r="11548">
      <c r="F11548">
        <f>IF(DATOS!$A11548="","",DATOS!$A11548&amp;"|"&amp;DATOS!$D11548&amp;"|"&amp;DATOS!$E11548&amp;"|"&amp;DATOS!$I11548)</f>
      </c>
      <c r="G11548">
        <f>IF(DATOS!$A11548="",0,IF(CONFIG_METADATA!$B$4&lt;&gt;"OR+EX",--(DATOS!$G11548=CONFIG_METADATA!$B$4),IF(DATOS!$G11548="EX",1,IF(DATOS!$G11548="OR",--(COUNTIFS(nNIA,DATOS!$A11548,nCURSO,DATOS!$D11548,nESPEC,DATOS!$E11548,nASIG,DATOS!$I11548,nEVAL,"EX")=0),0))))</f>
      </c>
      <c r="H11548">
        <f>IF(DATOS!$G11548&lt;&gt;"EX",0,--(COUNTIFS(nNIA,DATOS!$A11548,nCURSO,DATOS!$D11548,nESPEC,DATOS!$E11548,nASIG,DATOS!$I11548,nEVAL,"OR")=0))</f>
      </c>
      <c r="I11548">
        <f>IF(DATOS!$I11548="","",IFERROR(VLOOKUP(DATOS!$I11548,CONFIG_ASIGNATURAS!$B$2:$J$91,9,FALSE()),""))</f>
      </c>
    </row>
    <row r="11549">
      <c r="F11549">
        <f>IF(DATOS!$A11549="","",DATOS!$A11549&amp;"|"&amp;DATOS!$D11549&amp;"|"&amp;DATOS!$E11549&amp;"|"&amp;DATOS!$I11549)</f>
      </c>
      <c r="G11549">
        <f>IF(DATOS!$A11549="",0,IF(CONFIG_METADATA!$B$4&lt;&gt;"OR+EX",--(DATOS!$G11549=CONFIG_METADATA!$B$4),IF(DATOS!$G11549="EX",1,IF(DATOS!$G11549="OR",--(COUNTIFS(nNIA,DATOS!$A11549,nCURSO,DATOS!$D11549,nESPEC,DATOS!$E11549,nASIG,DATOS!$I11549,nEVAL,"EX")=0),0))))</f>
      </c>
      <c r="H11549">
        <f>IF(DATOS!$G11549&lt;&gt;"EX",0,--(COUNTIFS(nNIA,DATOS!$A11549,nCURSO,DATOS!$D11549,nESPEC,DATOS!$E11549,nASIG,DATOS!$I11549,nEVAL,"OR")=0))</f>
      </c>
      <c r="I11549">
        <f>IF(DATOS!$I11549="","",IFERROR(VLOOKUP(DATOS!$I11549,CONFIG_ASIGNATURAS!$B$2:$J$91,9,FALSE()),""))</f>
      </c>
    </row>
    <row r="11550">
      <c r="F11550">
        <f>IF(DATOS!$A11550="","",DATOS!$A11550&amp;"|"&amp;DATOS!$D11550&amp;"|"&amp;DATOS!$E11550&amp;"|"&amp;DATOS!$I11550)</f>
      </c>
      <c r="G11550">
        <f>IF(DATOS!$A11550="",0,IF(CONFIG_METADATA!$B$4&lt;&gt;"OR+EX",--(DATOS!$G11550=CONFIG_METADATA!$B$4),IF(DATOS!$G11550="EX",1,IF(DATOS!$G11550="OR",--(COUNTIFS(nNIA,DATOS!$A11550,nCURSO,DATOS!$D11550,nESPEC,DATOS!$E11550,nASIG,DATOS!$I11550,nEVAL,"EX")=0),0))))</f>
      </c>
      <c r="H11550">
        <f>IF(DATOS!$G11550&lt;&gt;"EX",0,--(COUNTIFS(nNIA,DATOS!$A11550,nCURSO,DATOS!$D11550,nESPEC,DATOS!$E11550,nASIG,DATOS!$I11550,nEVAL,"OR")=0))</f>
      </c>
      <c r="I11550">
        <f>IF(DATOS!$I11550="","",IFERROR(VLOOKUP(DATOS!$I11550,CONFIG_ASIGNATURAS!$B$2:$J$91,9,FALSE()),""))</f>
      </c>
    </row>
    <row r="11551">
      <c r="F11551">
        <f>IF(DATOS!$A11551="","",DATOS!$A11551&amp;"|"&amp;DATOS!$D11551&amp;"|"&amp;DATOS!$E11551&amp;"|"&amp;DATOS!$I11551)</f>
      </c>
      <c r="G11551">
        <f>IF(DATOS!$A11551="",0,IF(CONFIG_METADATA!$B$4&lt;&gt;"OR+EX",--(DATOS!$G11551=CONFIG_METADATA!$B$4),IF(DATOS!$G11551="EX",1,IF(DATOS!$G11551="OR",--(COUNTIFS(nNIA,DATOS!$A11551,nCURSO,DATOS!$D11551,nESPEC,DATOS!$E11551,nASIG,DATOS!$I11551,nEVAL,"EX")=0),0))))</f>
      </c>
      <c r="H11551">
        <f>IF(DATOS!$G11551&lt;&gt;"EX",0,--(COUNTIFS(nNIA,DATOS!$A11551,nCURSO,DATOS!$D11551,nESPEC,DATOS!$E11551,nASIG,DATOS!$I11551,nEVAL,"OR")=0))</f>
      </c>
      <c r="I11551">
        <f>IF(DATOS!$I11551="","",IFERROR(VLOOKUP(DATOS!$I11551,CONFIG_ASIGNATURAS!$B$2:$J$91,9,FALSE()),""))</f>
      </c>
    </row>
    <row r="11552">
      <c r="F11552">
        <f>IF(DATOS!$A11552="","",DATOS!$A11552&amp;"|"&amp;DATOS!$D11552&amp;"|"&amp;DATOS!$E11552&amp;"|"&amp;DATOS!$I11552)</f>
      </c>
      <c r="G11552">
        <f>IF(DATOS!$A11552="",0,IF(CONFIG_METADATA!$B$4&lt;&gt;"OR+EX",--(DATOS!$G11552=CONFIG_METADATA!$B$4),IF(DATOS!$G11552="EX",1,IF(DATOS!$G11552="OR",--(COUNTIFS(nNIA,DATOS!$A11552,nCURSO,DATOS!$D11552,nESPEC,DATOS!$E11552,nASIG,DATOS!$I11552,nEVAL,"EX")=0),0))))</f>
      </c>
      <c r="H11552">
        <f>IF(DATOS!$G11552&lt;&gt;"EX",0,--(COUNTIFS(nNIA,DATOS!$A11552,nCURSO,DATOS!$D11552,nESPEC,DATOS!$E11552,nASIG,DATOS!$I11552,nEVAL,"OR")=0))</f>
      </c>
      <c r="I11552">
        <f>IF(DATOS!$I11552="","",IFERROR(VLOOKUP(DATOS!$I11552,CONFIG_ASIGNATURAS!$B$2:$J$91,9,FALSE()),""))</f>
      </c>
    </row>
    <row r="11553">
      <c r="F11553">
        <f>IF(DATOS!$A11553="","",DATOS!$A11553&amp;"|"&amp;DATOS!$D11553&amp;"|"&amp;DATOS!$E11553&amp;"|"&amp;DATOS!$I11553)</f>
      </c>
      <c r="G11553">
        <f>IF(DATOS!$A11553="",0,IF(CONFIG_METADATA!$B$4&lt;&gt;"OR+EX",--(DATOS!$G11553=CONFIG_METADATA!$B$4),IF(DATOS!$G11553="EX",1,IF(DATOS!$G11553="OR",--(COUNTIFS(nNIA,DATOS!$A11553,nCURSO,DATOS!$D11553,nESPEC,DATOS!$E11553,nASIG,DATOS!$I11553,nEVAL,"EX")=0),0))))</f>
      </c>
      <c r="H11553">
        <f>IF(DATOS!$G11553&lt;&gt;"EX",0,--(COUNTIFS(nNIA,DATOS!$A11553,nCURSO,DATOS!$D11553,nESPEC,DATOS!$E11553,nASIG,DATOS!$I11553,nEVAL,"OR")=0))</f>
      </c>
      <c r="I11553">
        <f>IF(DATOS!$I11553="","",IFERROR(VLOOKUP(DATOS!$I11553,CONFIG_ASIGNATURAS!$B$2:$J$91,9,FALSE()),""))</f>
      </c>
    </row>
    <row r="11554">
      <c r="F11554">
        <f>IF(DATOS!$A11554="","",DATOS!$A11554&amp;"|"&amp;DATOS!$D11554&amp;"|"&amp;DATOS!$E11554&amp;"|"&amp;DATOS!$I11554)</f>
      </c>
      <c r="G11554">
        <f>IF(DATOS!$A11554="",0,IF(CONFIG_METADATA!$B$4&lt;&gt;"OR+EX",--(DATOS!$G11554=CONFIG_METADATA!$B$4),IF(DATOS!$G11554="EX",1,IF(DATOS!$G11554="OR",--(COUNTIFS(nNIA,DATOS!$A11554,nCURSO,DATOS!$D11554,nESPEC,DATOS!$E11554,nASIG,DATOS!$I11554,nEVAL,"EX")=0),0))))</f>
      </c>
      <c r="H11554">
        <f>IF(DATOS!$G11554&lt;&gt;"EX",0,--(COUNTIFS(nNIA,DATOS!$A11554,nCURSO,DATOS!$D11554,nESPEC,DATOS!$E11554,nASIG,DATOS!$I11554,nEVAL,"OR")=0))</f>
      </c>
      <c r="I11554">
        <f>IF(DATOS!$I11554="","",IFERROR(VLOOKUP(DATOS!$I11554,CONFIG_ASIGNATURAS!$B$2:$J$91,9,FALSE()),""))</f>
      </c>
    </row>
    <row r="11555">
      <c r="F11555">
        <f>IF(DATOS!$A11555="","",DATOS!$A11555&amp;"|"&amp;DATOS!$D11555&amp;"|"&amp;DATOS!$E11555&amp;"|"&amp;DATOS!$I11555)</f>
      </c>
      <c r="G11555">
        <f>IF(DATOS!$A11555="",0,IF(CONFIG_METADATA!$B$4&lt;&gt;"OR+EX",--(DATOS!$G11555=CONFIG_METADATA!$B$4),IF(DATOS!$G11555="EX",1,IF(DATOS!$G11555="OR",--(COUNTIFS(nNIA,DATOS!$A11555,nCURSO,DATOS!$D11555,nESPEC,DATOS!$E11555,nASIG,DATOS!$I11555,nEVAL,"EX")=0),0))))</f>
      </c>
      <c r="H11555">
        <f>IF(DATOS!$G11555&lt;&gt;"EX",0,--(COUNTIFS(nNIA,DATOS!$A11555,nCURSO,DATOS!$D11555,nESPEC,DATOS!$E11555,nASIG,DATOS!$I11555,nEVAL,"OR")=0))</f>
      </c>
      <c r="I11555">
        <f>IF(DATOS!$I11555="","",IFERROR(VLOOKUP(DATOS!$I11555,CONFIG_ASIGNATURAS!$B$2:$J$91,9,FALSE()),""))</f>
      </c>
    </row>
    <row r="11556">
      <c r="F11556">
        <f>IF(DATOS!$A11556="","",DATOS!$A11556&amp;"|"&amp;DATOS!$D11556&amp;"|"&amp;DATOS!$E11556&amp;"|"&amp;DATOS!$I11556)</f>
      </c>
      <c r="G11556">
        <f>IF(DATOS!$A11556="",0,IF(CONFIG_METADATA!$B$4&lt;&gt;"OR+EX",--(DATOS!$G11556=CONFIG_METADATA!$B$4),IF(DATOS!$G11556="EX",1,IF(DATOS!$G11556="OR",--(COUNTIFS(nNIA,DATOS!$A11556,nCURSO,DATOS!$D11556,nESPEC,DATOS!$E11556,nASIG,DATOS!$I11556,nEVAL,"EX")=0),0))))</f>
      </c>
      <c r="H11556">
        <f>IF(DATOS!$G11556&lt;&gt;"EX",0,--(COUNTIFS(nNIA,DATOS!$A11556,nCURSO,DATOS!$D11556,nESPEC,DATOS!$E11556,nASIG,DATOS!$I11556,nEVAL,"OR")=0))</f>
      </c>
      <c r="I11556">
        <f>IF(DATOS!$I11556="","",IFERROR(VLOOKUP(DATOS!$I11556,CONFIG_ASIGNATURAS!$B$2:$J$91,9,FALSE()),""))</f>
      </c>
    </row>
    <row r="11557">
      <c r="F11557">
        <f>IF(DATOS!$A11557="","",DATOS!$A11557&amp;"|"&amp;DATOS!$D11557&amp;"|"&amp;DATOS!$E11557&amp;"|"&amp;DATOS!$I11557)</f>
      </c>
      <c r="G11557">
        <f>IF(DATOS!$A11557="",0,IF(CONFIG_METADATA!$B$4&lt;&gt;"OR+EX",--(DATOS!$G11557=CONFIG_METADATA!$B$4),IF(DATOS!$G11557="EX",1,IF(DATOS!$G11557="OR",--(COUNTIFS(nNIA,DATOS!$A11557,nCURSO,DATOS!$D11557,nESPEC,DATOS!$E11557,nASIG,DATOS!$I11557,nEVAL,"EX")=0),0))))</f>
      </c>
      <c r="H11557">
        <f>IF(DATOS!$G11557&lt;&gt;"EX",0,--(COUNTIFS(nNIA,DATOS!$A11557,nCURSO,DATOS!$D11557,nESPEC,DATOS!$E11557,nASIG,DATOS!$I11557,nEVAL,"OR")=0))</f>
      </c>
      <c r="I11557">
        <f>IF(DATOS!$I11557="","",IFERROR(VLOOKUP(DATOS!$I11557,CONFIG_ASIGNATURAS!$B$2:$J$91,9,FALSE()),""))</f>
      </c>
    </row>
    <row r="11558">
      <c r="F11558">
        <f>IF(DATOS!$A11558="","",DATOS!$A11558&amp;"|"&amp;DATOS!$D11558&amp;"|"&amp;DATOS!$E11558&amp;"|"&amp;DATOS!$I11558)</f>
      </c>
      <c r="G11558">
        <f>IF(DATOS!$A11558="",0,IF(CONFIG_METADATA!$B$4&lt;&gt;"OR+EX",--(DATOS!$G11558=CONFIG_METADATA!$B$4),IF(DATOS!$G11558="EX",1,IF(DATOS!$G11558="OR",--(COUNTIFS(nNIA,DATOS!$A11558,nCURSO,DATOS!$D11558,nESPEC,DATOS!$E11558,nASIG,DATOS!$I11558,nEVAL,"EX")=0),0))))</f>
      </c>
      <c r="H11558">
        <f>IF(DATOS!$G11558&lt;&gt;"EX",0,--(COUNTIFS(nNIA,DATOS!$A11558,nCURSO,DATOS!$D11558,nESPEC,DATOS!$E11558,nASIG,DATOS!$I11558,nEVAL,"OR")=0))</f>
      </c>
      <c r="I11558">
        <f>IF(DATOS!$I11558="","",IFERROR(VLOOKUP(DATOS!$I11558,CONFIG_ASIGNATURAS!$B$2:$J$91,9,FALSE()),""))</f>
      </c>
    </row>
    <row r="11559">
      <c r="F11559">
        <f>IF(DATOS!$A11559="","",DATOS!$A11559&amp;"|"&amp;DATOS!$D11559&amp;"|"&amp;DATOS!$E11559&amp;"|"&amp;DATOS!$I11559)</f>
      </c>
      <c r="G11559">
        <f>IF(DATOS!$A11559="",0,IF(CONFIG_METADATA!$B$4&lt;&gt;"OR+EX",--(DATOS!$G11559=CONFIG_METADATA!$B$4),IF(DATOS!$G11559="EX",1,IF(DATOS!$G11559="OR",--(COUNTIFS(nNIA,DATOS!$A11559,nCURSO,DATOS!$D11559,nESPEC,DATOS!$E11559,nASIG,DATOS!$I11559,nEVAL,"EX")=0),0))))</f>
      </c>
      <c r="H11559">
        <f>IF(DATOS!$G11559&lt;&gt;"EX",0,--(COUNTIFS(nNIA,DATOS!$A11559,nCURSO,DATOS!$D11559,nESPEC,DATOS!$E11559,nASIG,DATOS!$I11559,nEVAL,"OR")=0))</f>
      </c>
      <c r="I11559">
        <f>IF(DATOS!$I11559="","",IFERROR(VLOOKUP(DATOS!$I11559,CONFIG_ASIGNATURAS!$B$2:$J$91,9,FALSE()),""))</f>
      </c>
    </row>
    <row r="11560">
      <c r="F11560">
        <f>IF(DATOS!$A11560="","",DATOS!$A11560&amp;"|"&amp;DATOS!$D11560&amp;"|"&amp;DATOS!$E11560&amp;"|"&amp;DATOS!$I11560)</f>
      </c>
      <c r="G11560">
        <f>IF(DATOS!$A11560="",0,IF(CONFIG_METADATA!$B$4&lt;&gt;"OR+EX",--(DATOS!$G11560=CONFIG_METADATA!$B$4),IF(DATOS!$G11560="EX",1,IF(DATOS!$G11560="OR",--(COUNTIFS(nNIA,DATOS!$A11560,nCURSO,DATOS!$D11560,nESPEC,DATOS!$E11560,nASIG,DATOS!$I11560,nEVAL,"EX")=0),0))))</f>
      </c>
      <c r="H11560">
        <f>IF(DATOS!$G11560&lt;&gt;"EX",0,--(COUNTIFS(nNIA,DATOS!$A11560,nCURSO,DATOS!$D11560,nESPEC,DATOS!$E11560,nASIG,DATOS!$I11560,nEVAL,"OR")=0))</f>
      </c>
      <c r="I11560">
        <f>IF(DATOS!$I11560="","",IFERROR(VLOOKUP(DATOS!$I11560,CONFIG_ASIGNATURAS!$B$2:$J$91,9,FALSE()),""))</f>
      </c>
    </row>
    <row r="11561">
      <c r="F11561">
        <f>IF(DATOS!$A11561="","",DATOS!$A11561&amp;"|"&amp;DATOS!$D11561&amp;"|"&amp;DATOS!$E11561&amp;"|"&amp;DATOS!$I11561)</f>
      </c>
      <c r="G11561">
        <f>IF(DATOS!$A11561="",0,IF(CONFIG_METADATA!$B$4&lt;&gt;"OR+EX",--(DATOS!$G11561=CONFIG_METADATA!$B$4),IF(DATOS!$G11561="EX",1,IF(DATOS!$G11561="OR",--(COUNTIFS(nNIA,DATOS!$A11561,nCURSO,DATOS!$D11561,nESPEC,DATOS!$E11561,nASIG,DATOS!$I11561,nEVAL,"EX")=0),0))))</f>
      </c>
      <c r="H11561">
        <f>IF(DATOS!$G11561&lt;&gt;"EX",0,--(COUNTIFS(nNIA,DATOS!$A11561,nCURSO,DATOS!$D11561,nESPEC,DATOS!$E11561,nASIG,DATOS!$I11561,nEVAL,"OR")=0))</f>
      </c>
      <c r="I11561">
        <f>IF(DATOS!$I11561="","",IFERROR(VLOOKUP(DATOS!$I11561,CONFIG_ASIGNATURAS!$B$2:$J$91,9,FALSE()),""))</f>
      </c>
    </row>
    <row r="11562">
      <c r="F11562">
        <f>IF(DATOS!$A11562="","",DATOS!$A11562&amp;"|"&amp;DATOS!$D11562&amp;"|"&amp;DATOS!$E11562&amp;"|"&amp;DATOS!$I11562)</f>
      </c>
      <c r="G11562">
        <f>IF(DATOS!$A11562="",0,IF(CONFIG_METADATA!$B$4&lt;&gt;"OR+EX",--(DATOS!$G11562=CONFIG_METADATA!$B$4),IF(DATOS!$G11562="EX",1,IF(DATOS!$G11562="OR",--(COUNTIFS(nNIA,DATOS!$A11562,nCURSO,DATOS!$D11562,nESPEC,DATOS!$E11562,nASIG,DATOS!$I11562,nEVAL,"EX")=0),0))))</f>
      </c>
      <c r="H11562">
        <f>IF(DATOS!$G11562&lt;&gt;"EX",0,--(COUNTIFS(nNIA,DATOS!$A11562,nCURSO,DATOS!$D11562,nESPEC,DATOS!$E11562,nASIG,DATOS!$I11562,nEVAL,"OR")=0))</f>
      </c>
      <c r="I11562">
        <f>IF(DATOS!$I11562="","",IFERROR(VLOOKUP(DATOS!$I11562,CONFIG_ASIGNATURAS!$B$2:$J$91,9,FALSE()),""))</f>
      </c>
    </row>
    <row r="11563">
      <c r="F11563">
        <f>IF(DATOS!$A11563="","",DATOS!$A11563&amp;"|"&amp;DATOS!$D11563&amp;"|"&amp;DATOS!$E11563&amp;"|"&amp;DATOS!$I11563)</f>
      </c>
      <c r="G11563">
        <f>IF(DATOS!$A11563="",0,IF(CONFIG_METADATA!$B$4&lt;&gt;"OR+EX",--(DATOS!$G11563=CONFIG_METADATA!$B$4),IF(DATOS!$G11563="EX",1,IF(DATOS!$G11563="OR",--(COUNTIFS(nNIA,DATOS!$A11563,nCURSO,DATOS!$D11563,nESPEC,DATOS!$E11563,nASIG,DATOS!$I11563,nEVAL,"EX")=0),0))))</f>
      </c>
      <c r="H11563">
        <f>IF(DATOS!$G11563&lt;&gt;"EX",0,--(COUNTIFS(nNIA,DATOS!$A11563,nCURSO,DATOS!$D11563,nESPEC,DATOS!$E11563,nASIG,DATOS!$I11563,nEVAL,"OR")=0))</f>
      </c>
      <c r="I11563">
        <f>IF(DATOS!$I11563="","",IFERROR(VLOOKUP(DATOS!$I11563,CONFIG_ASIGNATURAS!$B$2:$J$91,9,FALSE()),""))</f>
      </c>
    </row>
    <row r="11564">
      <c r="F11564">
        <f>IF(DATOS!$A11564="","",DATOS!$A11564&amp;"|"&amp;DATOS!$D11564&amp;"|"&amp;DATOS!$E11564&amp;"|"&amp;DATOS!$I11564)</f>
      </c>
      <c r="G11564">
        <f>IF(DATOS!$A11564="",0,IF(CONFIG_METADATA!$B$4&lt;&gt;"OR+EX",--(DATOS!$G11564=CONFIG_METADATA!$B$4),IF(DATOS!$G11564="EX",1,IF(DATOS!$G11564="OR",--(COUNTIFS(nNIA,DATOS!$A11564,nCURSO,DATOS!$D11564,nESPEC,DATOS!$E11564,nASIG,DATOS!$I11564,nEVAL,"EX")=0),0))))</f>
      </c>
      <c r="H11564">
        <f>IF(DATOS!$G11564&lt;&gt;"EX",0,--(COUNTIFS(nNIA,DATOS!$A11564,nCURSO,DATOS!$D11564,nESPEC,DATOS!$E11564,nASIG,DATOS!$I11564,nEVAL,"OR")=0))</f>
      </c>
      <c r="I11564">
        <f>IF(DATOS!$I11564="","",IFERROR(VLOOKUP(DATOS!$I11564,CONFIG_ASIGNATURAS!$B$2:$J$91,9,FALSE()),""))</f>
      </c>
    </row>
    <row r="11565">
      <c r="F11565">
        <f>IF(DATOS!$A11565="","",DATOS!$A11565&amp;"|"&amp;DATOS!$D11565&amp;"|"&amp;DATOS!$E11565&amp;"|"&amp;DATOS!$I11565)</f>
      </c>
      <c r="G11565">
        <f>IF(DATOS!$A11565="",0,IF(CONFIG_METADATA!$B$4&lt;&gt;"OR+EX",--(DATOS!$G11565=CONFIG_METADATA!$B$4),IF(DATOS!$G11565="EX",1,IF(DATOS!$G11565="OR",--(COUNTIFS(nNIA,DATOS!$A11565,nCURSO,DATOS!$D11565,nESPEC,DATOS!$E11565,nASIG,DATOS!$I11565,nEVAL,"EX")=0),0))))</f>
      </c>
      <c r="H11565">
        <f>IF(DATOS!$G11565&lt;&gt;"EX",0,--(COUNTIFS(nNIA,DATOS!$A11565,nCURSO,DATOS!$D11565,nESPEC,DATOS!$E11565,nASIG,DATOS!$I11565,nEVAL,"OR")=0))</f>
      </c>
      <c r="I11565">
        <f>IF(DATOS!$I11565="","",IFERROR(VLOOKUP(DATOS!$I11565,CONFIG_ASIGNATURAS!$B$2:$J$91,9,FALSE()),""))</f>
      </c>
    </row>
    <row r="11566">
      <c r="F11566">
        <f>IF(DATOS!$A11566="","",DATOS!$A11566&amp;"|"&amp;DATOS!$D11566&amp;"|"&amp;DATOS!$E11566&amp;"|"&amp;DATOS!$I11566)</f>
      </c>
      <c r="G11566">
        <f>IF(DATOS!$A11566="",0,IF(CONFIG_METADATA!$B$4&lt;&gt;"OR+EX",--(DATOS!$G11566=CONFIG_METADATA!$B$4),IF(DATOS!$G11566="EX",1,IF(DATOS!$G11566="OR",--(COUNTIFS(nNIA,DATOS!$A11566,nCURSO,DATOS!$D11566,nESPEC,DATOS!$E11566,nASIG,DATOS!$I11566,nEVAL,"EX")=0),0))))</f>
      </c>
      <c r="H11566">
        <f>IF(DATOS!$G11566&lt;&gt;"EX",0,--(COUNTIFS(nNIA,DATOS!$A11566,nCURSO,DATOS!$D11566,nESPEC,DATOS!$E11566,nASIG,DATOS!$I11566,nEVAL,"OR")=0))</f>
      </c>
      <c r="I11566">
        <f>IF(DATOS!$I11566="","",IFERROR(VLOOKUP(DATOS!$I11566,CONFIG_ASIGNATURAS!$B$2:$J$91,9,FALSE()),""))</f>
      </c>
    </row>
    <row r="11567">
      <c r="F11567">
        <f>IF(DATOS!$A11567="","",DATOS!$A11567&amp;"|"&amp;DATOS!$D11567&amp;"|"&amp;DATOS!$E11567&amp;"|"&amp;DATOS!$I11567)</f>
      </c>
      <c r="G11567">
        <f>IF(DATOS!$A11567="",0,IF(CONFIG_METADATA!$B$4&lt;&gt;"OR+EX",--(DATOS!$G11567=CONFIG_METADATA!$B$4),IF(DATOS!$G11567="EX",1,IF(DATOS!$G11567="OR",--(COUNTIFS(nNIA,DATOS!$A11567,nCURSO,DATOS!$D11567,nESPEC,DATOS!$E11567,nASIG,DATOS!$I11567,nEVAL,"EX")=0),0))))</f>
      </c>
      <c r="H11567">
        <f>IF(DATOS!$G11567&lt;&gt;"EX",0,--(COUNTIFS(nNIA,DATOS!$A11567,nCURSO,DATOS!$D11567,nESPEC,DATOS!$E11567,nASIG,DATOS!$I11567,nEVAL,"OR")=0))</f>
      </c>
      <c r="I11567">
        <f>IF(DATOS!$I11567="","",IFERROR(VLOOKUP(DATOS!$I11567,CONFIG_ASIGNATURAS!$B$2:$J$91,9,FALSE()),""))</f>
      </c>
    </row>
    <row r="11568">
      <c r="F11568">
        <f>IF(DATOS!$A11568="","",DATOS!$A11568&amp;"|"&amp;DATOS!$D11568&amp;"|"&amp;DATOS!$E11568&amp;"|"&amp;DATOS!$I11568)</f>
      </c>
      <c r="G11568">
        <f>IF(DATOS!$A11568="",0,IF(CONFIG_METADATA!$B$4&lt;&gt;"OR+EX",--(DATOS!$G11568=CONFIG_METADATA!$B$4),IF(DATOS!$G11568="EX",1,IF(DATOS!$G11568="OR",--(COUNTIFS(nNIA,DATOS!$A11568,nCURSO,DATOS!$D11568,nESPEC,DATOS!$E11568,nASIG,DATOS!$I11568,nEVAL,"EX")=0),0))))</f>
      </c>
      <c r="H11568">
        <f>IF(DATOS!$G11568&lt;&gt;"EX",0,--(COUNTIFS(nNIA,DATOS!$A11568,nCURSO,DATOS!$D11568,nESPEC,DATOS!$E11568,nASIG,DATOS!$I11568,nEVAL,"OR")=0))</f>
      </c>
      <c r="I11568">
        <f>IF(DATOS!$I11568="","",IFERROR(VLOOKUP(DATOS!$I11568,CONFIG_ASIGNATURAS!$B$2:$J$91,9,FALSE()),""))</f>
      </c>
    </row>
    <row r="11569">
      <c r="F11569">
        <f>IF(DATOS!$A11569="","",DATOS!$A11569&amp;"|"&amp;DATOS!$D11569&amp;"|"&amp;DATOS!$E11569&amp;"|"&amp;DATOS!$I11569)</f>
      </c>
      <c r="G11569">
        <f>IF(DATOS!$A11569="",0,IF(CONFIG_METADATA!$B$4&lt;&gt;"OR+EX",--(DATOS!$G11569=CONFIG_METADATA!$B$4),IF(DATOS!$G11569="EX",1,IF(DATOS!$G11569="OR",--(COUNTIFS(nNIA,DATOS!$A11569,nCURSO,DATOS!$D11569,nESPEC,DATOS!$E11569,nASIG,DATOS!$I11569,nEVAL,"EX")=0),0))))</f>
      </c>
      <c r="H11569">
        <f>IF(DATOS!$G11569&lt;&gt;"EX",0,--(COUNTIFS(nNIA,DATOS!$A11569,nCURSO,DATOS!$D11569,nESPEC,DATOS!$E11569,nASIG,DATOS!$I11569,nEVAL,"OR")=0))</f>
      </c>
      <c r="I11569">
        <f>IF(DATOS!$I11569="","",IFERROR(VLOOKUP(DATOS!$I11569,CONFIG_ASIGNATURAS!$B$2:$J$91,9,FALSE()),""))</f>
      </c>
    </row>
    <row r="11570">
      <c r="F11570">
        <f>IF(DATOS!$A11570="","",DATOS!$A11570&amp;"|"&amp;DATOS!$D11570&amp;"|"&amp;DATOS!$E11570&amp;"|"&amp;DATOS!$I11570)</f>
      </c>
      <c r="G11570">
        <f>IF(DATOS!$A11570="",0,IF(CONFIG_METADATA!$B$4&lt;&gt;"OR+EX",--(DATOS!$G11570=CONFIG_METADATA!$B$4),IF(DATOS!$G11570="EX",1,IF(DATOS!$G11570="OR",--(COUNTIFS(nNIA,DATOS!$A11570,nCURSO,DATOS!$D11570,nESPEC,DATOS!$E11570,nASIG,DATOS!$I11570,nEVAL,"EX")=0),0))))</f>
      </c>
      <c r="H11570">
        <f>IF(DATOS!$G11570&lt;&gt;"EX",0,--(COUNTIFS(nNIA,DATOS!$A11570,nCURSO,DATOS!$D11570,nESPEC,DATOS!$E11570,nASIG,DATOS!$I11570,nEVAL,"OR")=0))</f>
      </c>
      <c r="I11570">
        <f>IF(DATOS!$I11570="","",IFERROR(VLOOKUP(DATOS!$I11570,CONFIG_ASIGNATURAS!$B$2:$J$91,9,FALSE()),""))</f>
      </c>
    </row>
    <row r="11571">
      <c r="F11571">
        <f>IF(DATOS!$A11571="","",DATOS!$A11571&amp;"|"&amp;DATOS!$D11571&amp;"|"&amp;DATOS!$E11571&amp;"|"&amp;DATOS!$I11571)</f>
      </c>
      <c r="G11571">
        <f>IF(DATOS!$A11571="",0,IF(CONFIG_METADATA!$B$4&lt;&gt;"OR+EX",--(DATOS!$G11571=CONFIG_METADATA!$B$4),IF(DATOS!$G11571="EX",1,IF(DATOS!$G11571="OR",--(COUNTIFS(nNIA,DATOS!$A11571,nCURSO,DATOS!$D11571,nESPEC,DATOS!$E11571,nASIG,DATOS!$I11571,nEVAL,"EX")=0),0))))</f>
      </c>
      <c r="H11571">
        <f>IF(DATOS!$G11571&lt;&gt;"EX",0,--(COUNTIFS(nNIA,DATOS!$A11571,nCURSO,DATOS!$D11571,nESPEC,DATOS!$E11571,nASIG,DATOS!$I11571,nEVAL,"OR")=0))</f>
      </c>
      <c r="I11571">
        <f>IF(DATOS!$I11571="","",IFERROR(VLOOKUP(DATOS!$I11571,CONFIG_ASIGNATURAS!$B$2:$J$91,9,FALSE()),""))</f>
      </c>
    </row>
    <row r="11572">
      <c r="F11572">
        <f>IF(DATOS!$A11572="","",DATOS!$A11572&amp;"|"&amp;DATOS!$D11572&amp;"|"&amp;DATOS!$E11572&amp;"|"&amp;DATOS!$I11572)</f>
      </c>
      <c r="G11572">
        <f>IF(DATOS!$A11572="",0,IF(CONFIG_METADATA!$B$4&lt;&gt;"OR+EX",--(DATOS!$G11572=CONFIG_METADATA!$B$4),IF(DATOS!$G11572="EX",1,IF(DATOS!$G11572="OR",--(COUNTIFS(nNIA,DATOS!$A11572,nCURSO,DATOS!$D11572,nESPEC,DATOS!$E11572,nASIG,DATOS!$I11572,nEVAL,"EX")=0),0))))</f>
      </c>
      <c r="H11572">
        <f>IF(DATOS!$G11572&lt;&gt;"EX",0,--(COUNTIFS(nNIA,DATOS!$A11572,nCURSO,DATOS!$D11572,nESPEC,DATOS!$E11572,nASIG,DATOS!$I11572,nEVAL,"OR")=0))</f>
      </c>
      <c r="I11572">
        <f>IF(DATOS!$I11572="","",IFERROR(VLOOKUP(DATOS!$I11572,CONFIG_ASIGNATURAS!$B$2:$J$91,9,FALSE()),""))</f>
      </c>
    </row>
    <row r="11573">
      <c r="F11573">
        <f>IF(DATOS!$A11573="","",DATOS!$A11573&amp;"|"&amp;DATOS!$D11573&amp;"|"&amp;DATOS!$E11573&amp;"|"&amp;DATOS!$I11573)</f>
      </c>
      <c r="G11573">
        <f>IF(DATOS!$A11573="",0,IF(CONFIG_METADATA!$B$4&lt;&gt;"OR+EX",--(DATOS!$G11573=CONFIG_METADATA!$B$4),IF(DATOS!$G11573="EX",1,IF(DATOS!$G11573="OR",--(COUNTIFS(nNIA,DATOS!$A11573,nCURSO,DATOS!$D11573,nESPEC,DATOS!$E11573,nASIG,DATOS!$I11573,nEVAL,"EX")=0),0))))</f>
      </c>
      <c r="H11573">
        <f>IF(DATOS!$G11573&lt;&gt;"EX",0,--(COUNTIFS(nNIA,DATOS!$A11573,nCURSO,DATOS!$D11573,nESPEC,DATOS!$E11573,nASIG,DATOS!$I11573,nEVAL,"OR")=0))</f>
      </c>
      <c r="I11573">
        <f>IF(DATOS!$I11573="","",IFERROR(VLOOKUP(DATOS!$I11573,CONFIG_ASIGNATURAS!$B$2:$J$91,9,FALSE()),""))</f>
      </c>
    </row>
    <row r="11574">
      <c r="F11574">
        <f>IF(DATOS!$A11574="","",DATOS!$A11574&amp;"|"&amp;DATOS!$D11574&amp;"|"&amp;DATOS!$E11574&amp;"|"&amp;DATOS!$I11574)</f>
      </c>
      <c r="G11574">
        <f>IF(DATOS!$A11574="",0,IF(CONFIG_METADATA!$B$4&lt;&gt;"OR+EX",--(DATOS!$G11574=CONFIG_METADATA!$B$4),IF(DATOS!$G11574="EX",1,IF(DATOS!$G11574="OR",--(COUNTIFS(nNIA,DATOS!$A11574,nCURSO,DATOS!$D11574,nESPEC,DATOS!$E11574,nASIG,DATOS!$I11574,nEVAL,"EX")=0),0))))</f>
      </c>
      <c r="H11574">
        <f>IF(DATOS!$G11574&lt;&gt;"EX",0,--(COUNTIFS(nNIA,DATOS!$A11574,nCURSO,DATOS!$D11574,nESPEC,DATOS!$E11574,nASIG,DATOS!$I11574,nEVAL,"OR")=0))</f>
      </c>
      <c r="I11574">
        <f>IF(DATOS!$I11574="","",IFERROR(VLOOKUP(DATOS!$I11574,CONFIG_ASIGNATURAS!$B$2:$J$91,9,FALSE()),""))</f>
      </c>
    </row>
    <row r="11575">
      <c r="F11575">
        <f>IF(DATOS!$A11575="","",DATOS!$A11575&amp;"|"&amp;DATOS!$D11575&amp;"|"&amp;DATOS!$E11575&amp;"|"&amp;DATOS!$I11575)</f>
      </c>
      <c r="G11575">
        <f>IF(DATOS!$A11575="",0,IF(CONFIG_METADATA!$B$4&lt;&gt;"OR+EX",--(DATOS!$G11575=CONFIG_METADATA!$B$4),IF(DATOS!$G11575="EX",1,IF(DATOS!$G11575="OR",--(COUNTIFS(nNIA,DATOS!$A11575,nCURSO,DATOS!$D11575,nESPEC,DATOS!$E11575,nASIG,DATOS!$I11575,nEVAL,"EX")=0),0))))</f>
      </c>
      <c r="H11575">
        <f>IF(DATOS!$G11575&lt;&gt;"EX",0,--(COUNTIFS(nNIA,DATOS!$A11575,nCURSO,DATOS!$D11575,nESPEC,DATOS!$E11575,nASIG,DATOS!$I11575,nEVAL,"OR")=0))</f>
      </c>
      <c r="I11575">
        <f>IF(DATOS!$I11575="","",IFERROR(VLOOKUP(DATOS!$I11575,CONFIG_ASIGNATURAS!$B$2:$J$91,9,FALSE()),""))</f>
      </c>
    </row>
    <row r="11576">
      <c r="F11576">
        <f>IF(DATOS!$A11576="","",DATOS!$A11576&amp;"|"&amp;DATOS!$D11576&amp;"|"&amp;DATOS!$E11576&amp;"|"&amp;DATOS!$I11576)</f>
      </c>
      <c r="G11576">
        <f>IF(DATOS!$A11576="",0,IF(CONFIG_METADATA!$B$4&lt;&gt;"OR+EX",--(DATOS!$G11576=CONFIG_METADATA!$B$4),IF(DATOS!$G11576="EX",1,IF(DATOS!$G11576="OR",--(COUNTIFS(nNIA,DATOS!$A11576,nCURSO,DATOS!$D11576,nESPEC,DATOS!$E11576,nASIG,DATOS!$I11576,nEVAL,"EX")=0),0))))</f>
      </c>
      <c r="H11576">
        <f>IF(DATOS!$G11576&lt;&gt;"EX",0,--(COUNTIFS(nNIA,DATOS!$A11576,nCURSO,DATOS!$D11576,nESPEC,DATOS!$E11576,nASIG,DATOS!$I11576,nEVAL,"OR")=0))</f>
      </c>
      <c r="I11576">
        <f>IF(DATOS!$I11576="","",IFERROR(VLOOKUP(DATOS!$I11576,CONFIG_ASIGNATURAS!$B$2:$J$91,9,FALSE()),""))</f>
      </c>
    </row>
    <row r="11577">
      <c r="F11577">
        <f>IF(DATOS!$A11577="","",DATOS!$A11577&amp;"|"&amp;DATOS!$D11577&amp;"|"&amp;DATOS!$E11577&amp;"|"&amp;DATOS!$I11577)</f>
      </c>
      <c r="G11577">
        <f>IF(DATOS!$A11577="",0,IF(CONFIG_METADATA!$B$4&lt;&gt;"OR+EX",--(DATOS!$G11577=CONFIG_METADATA!$B$4),IF(DATOS!$G11577="EX",1,IF(DATOS!$G11577="OR",--(COUNTIFS(nNIA,DATOS!$A11577,nCURSO,DATOS!$D11577,nESPEC,DATOS!$E11577,nASIG,DATOS!$I11577,nEVAL,"EX")=0),0))))</f>
      </c>
      <c r="H11577">
        <f>IF(DATOS!$G11577&lt;&gt;"EX",0,--(COUNTIFS(nNIA,DATOS!$A11577,nCURSO,DATOS!$D11577,nESPEC,DATOS!$E11577,nASIG,DATOS!$I11577,nEVAL,"OR")=0))</f>
      </c>
      <c r="I11577">
        <f>IF(DATOS!$I11577="","",IFERROR(VLOOKUP(DATOS!$I11577,CONFIG_ASIGNATURAS!$B$2:$J$91,9,FALSE()),""))</f>
      </c>
    </row>
    <row r="11578">
      <c r="F11578">
        <f>IF(DATOS!$A11578="","",DATOS!$A11578&amp;"|"&amp;DATOS!$D11578&amp;"|"&amp;DATOS!$E11578&amp;"|"&amp;DATOS!$I11578)</f>
      </c>
      <c r="G11578">
        <f>IF(DATOS!$A11578="",0,IF(CONFIG_METADATA!$B$4&lt;&gt;"OR+EX",--(DATOS!$G11578=CONFIG_METADATA!$B$4),IF(DATOS!$G11578="EX",1,IF(DATOS!$G11578="OR",--(COUNTIFS(nNIA,DATOS!$A11578,nCURSO,DATOS!$D11578,nESPEC,DATOS!$E11578,nASIG,DATOS!$I11578,nEVAL,"EX")=0),0))))</f>
      </c>
      <c r="H11578">
        <f>IF(DATOS!$G11578&lt;&gt;"EX",0,--(COUNTIFS(nNIA,DATOS!$A11578,nCURSO,DATOS!$D11578,nESPEC,DATOS!$E11578,nASIG,DATOS!$I11578,nEVAL,"OR")=0))</f>
      </c>
      <c r="I11578">
        <f>IF(DATOS!$I11578="","",IFERROR(VLOOKUP(DATOS!$I11578,CONFIG_ASIGNATURAS!$B$2:$J$91,9,FALSE()),""))</f>
      </c>
    </row>
    <row r="11579">
      <c r="F11579">
        <f>IF(DATOS!$A11579="","",DATOS!$A11579&amp;"|"&amp;DATOS!$D11579&amp;"|"&amp;DATOS!$E11579&amp;"|"&amp;DATOS!$I11579)</f>
      </c>
      <c r="G11579">
        <f>IF(DATOS!$A11579="",0,IF(CONFIG_METADATA!$B$4&lt;&gt;"OR+EX",--(DATOS!$G11579=CONFIG_METADATA!$B$4),IF(DATOS!$G11579="EX",1,IF(DATOS!$G11579="OR",--(COUNTIFS(nNIA,DATOS!$A11579,nCURSO,DATOS!$D11579,nESPEC,DATOS!$E11579,nASIG,DATOS!$I11579,nEVAL,"EX")=0),0))))</f>
      </c>
      <c r="H11579">
        <f>IF(DATOS!$G11579&lt;&gt;"EX",0,--(COUNTIFS(nNIA,DATOS!$A11579,nCURSO,DATOS!$D11579,nESPEC,DATOS!$E11579,nASIG,DATOS!$I11579,nEVAL,"OR")=0))</f>
      </c>
      <c r="I11579">
        <f>IF(DATOS!$I11579="","",IFERROR(VLOOKUP(DATOS!$I11579,CONFIG_ASIGNATURAS!$B$2:$J$91,9,FALSE()),""))</f>
      </c>
    </row>
    <row r="11580">
      <c r="F11580">
        <f>IF(DATOS!$A11580="","",DATOS!$A11580&amp;"|"&amp;DATOS!$D11580&amp;"|"&amp;DATOS!$E11580&amp;"|"&amp;DATOS!$I11580)</f>
      </c>
      <c r="G11580">
        <f>IF(DATOS!$A11580="",0,IF(CONFIG_METADATA!$B$4&lt;&gt;"OR+EX",--(DATOS!$G11580=CONFIG_METADATA!$B$4),IF(DATOS!$G11580="EX",1,IF(DATOS!$G11580="OR",--(COUNTIFS(nNIA,DATOS!$A11580,nCURSO,DATOS!$D11580,nESPEC,DATOS!$E11580,nASIG,DATOS!$I11580,nEVAL,"EX")=0),0))))</f>
      </c>
      <c r="H11580">
        <f>IF(DATOS!$G11580&lt;&gt;"EX",0,--(COUNTIFS(nNIA,DATOS!$A11580,nCURSO,DATOS!$D11580,nESPEC,DATOS!$E11580,nASIG,DATOS!$I11580,nEVAL,"OR")=0))</f>
      </c>
      <c r="I11580">
        <f>IF(DATOS!$I11580="","",IFERROR(VLOOKUP(DATOS!$I11580,CONFIG_ASIGNATURAS!$B$2:$J$91,9,FALSE()),""))</f>
      </c>
    </row>
    <row r="11581">
      <c r="F11581">
        <f>IF(DATOS!$A11581="","",DATOS!$A11581&amp;"|"&amp;DATOS!$D11581&amp;"|"&amp;DATOS!$E11581&amp;"|"&amp;DATOS!$I11581)</f>
      </c>
      <c r="G11581">
        <f>IF(DATOS!$A11581="",0,IF(CONFIG_METADATA!$B$4&lt;&gt;"OR+EX",--(DATOS!$G11581=CONFIG_METADATA!$B$4),IF(DATOS!$G11581="EX",1,IF(DATOS!$G11581="OR",--(COUNTIFS(nNIA,DATOS!$A11581,nCURSO,DATOS!$D11581,nESPEC,DATOS!$E11581,nASIG,DATOS!$I11581,nEVAL,"EX")=0),0))))</f>
      </c>
      <c r="H11581">
        <f>IF(DATOS!$G11581&lt;&gt;"EX",0,--(COUNTIFS(nNIA,DATOS!$A11581,nCURSO,DATOS!$D11581,nESPEC,DATOS!$E11581,nASIG,DATOS!$I11581,nEVAL,"OR")=0))</f>
      </c>
      <c r="I11581">
        <f>IF(DATOS!$I11581="","",IFERROR(VLOOKUP(DATOS!$I11581,CONFIG_ASIGNATURAS!$B$2:$J$91,9,FALSE()),""))</f>
      </c>
    </row>
    <row r="11582">
      <c r="F11582">
        <f>IF(DATOS!$A11582="","",DATOS!$A11582&amp;"|"&amp;DATOS!$D11582&amp;"|"&amp;DATOS!$E11582&amp;"|"&amp;DATOS!$I11582)</f>
      </c>
      <c r="G11582">
        <f>IF(DATOS!$A11582="",0,IF(CONFIG_METADATA!$B$4&lt;&gt;"OR+EX",--(DATOS!$G11582=CONFIG_METADATA!$B$4),IF(DATOS!$G11582="EX",1,IF(DATOS!$G11582="OR",--(COUNTIFS(nNIA,DATOS!$A11582,nCURSO,DATOS!$D11582,nESPEC,DATOS!$E11582,nASIG,DATOS!$I11582,nEVAL,"EX")=0),0))))</f>
      </c>
      <c r="H11582">
        <f>IF(DATOS!$G11582&lt;&gt;"EX",0,--(COUNTIFS(nNIA,DATOS!$A11582,nCURSO,DATOS!$D11582,nESPEC,DATOS!$E11582,nASIG,DATOS!$I11582,nEVAL,"OR")=0))</f>
      </c>
      <c r="I11582">
        <f>IF(DATOS!$I11582="","",IFERROR(VLOOKUP(DATOS!$I11582,CONFIG_ASIGNATURAS!$B$2:$J$91,9,FALSE()),""))</f>
      </c>
    </row>
    <row r="11583">
      <c r="F11583">
        <f>IF(DATOS!$A11583="","",DATOS!$A11583&amp;"|"&amp;DATOS!$D11583&amp;"|"&amp;DATOS!$E11583&amp;"|"&amp;DATOS!$I11583)</f>
      </c>
      <c r="G11583">
        <f>IF(DATOS!$A11583="",0,IF(CONFIG_METADATA!$B$4&lt;&gt;"OR+EX",--(DATOS!$G11583=CONFIG_METADATA!$B$4),IF(DATOS!$G11583="EX",1,IF(DATOS!$G11583="OR",--(COUNTIFS(nNIA,DATOS!$A11583,nCURSO,DATOS!$D11583,nESPEC,DATOS!$E11583,nASIG,DATOS!$I11583,nEVAL,"EX")=0),0))))</f>
      </c>
      <c r="H11583">
        <f>IF(DATOS!$G11583&lt;&gt;"EX",0,--(COUNTIFS(nNIA,DATOS!$A11583,nCURSO,DATOS!$D11583,nESPEC,DATOS!$E11583,nASIG,DATOS!$I11583,nEVAL,"OR")=0))</f>
      </c>
      <c r="I11583">
        <f>IF(DATOS!$I11583="","",IFERROR(VLOOKUP(DATOS!$I11583,CONFIG_ASIGNATURAS!$B$2:$J$91,9,FALSE()),""))</f>
      </c>
    </row>
    <row r="11584">
      <c r="F11584">
        <f>IF(DATOS!$A11584="","",DATOS!$A11584&amp;"|"&amp;DATOS!$D11584&amp;"|"&amp;DATOS!$E11584&amp;"|"&amp;DATOS!$I11584)</f>
      </c>
      <c r="G11584">
        <f>IF(DATOS!$A11584="",0,IF(CONFIG_METADATA!$B$4&lt;&gt;"OR+EX",--(DATOS!$G11584=CONFIG_METADATA!$B$4),IF(DATOS!$G11584="EX",1,IF(DATOS!$G11584="OR",--(COUNTIFS(nNIA,DATOS!$A11584,nCURSO,DATOS!$D11584,nESPEC,DATOS!$E11584,nASIG,DATOS!$I11584,nEVAL,"EX")=0),0))))</f>
      </c>
      <c r="H11584">
        <f>IF(DATOS!$G11584&lt;&gt;"EX",0,--(COUNTIFS(nNIA,DATOS!$A11584,nCURSO,DATOS!$D11584,nESPEC,DATOS!$E11584,nASIG,DATOS!$I11584,nEVAL,"OR")=0))</f>
      </c>
      <c r="I11584">
        <f>IF(DATOS!$I11584="","",IFERROR(VLOOKUP(DATOS!$I11584,CONFIG_ASIGNATURAS!$B$2:$J$91,9,FALSE()),""))</f>
      </c>
    </row>
    <row r="11585">
      <c r="F11585">
        <f>IF(DATOS!$A11585="","",DATOS!$A11585&amp;"|"&amp;DATOS!$D11585&amp;"|"&amp;DATOS!$E11585&amp;"|"&amp;DATOS!$I11585)</f>
      </c>
      <c r="G11585">
        <f>IF(DATOS!$A11585="",0,IF(CONFIG_METADATA!$B$4&lt;&gt;"OR+EX",--(DATOS!$G11585=CONFIG_METADATA!$B$4),IF(DATOS!$G11585="EX",1,IF(DATOS!$G11585="OR",--(COUNTIFS(nNIA,DATOS!$A11585,nCURSO,DATOS!$D11585,nESPEC,DATOS!$E11585,nASIG,DATOS!$I11585,nEVAL,"EX")=0),0))))</f>
      </c>
      <c r="H11585">
        <f>IF(DATOS!$G11585&lt;&gt;"EX",0,--(COUNTIFS(nNIA,DATOS!$A11585,nCURSO,DATOS!$D11585,nESPEC,DATOS!$E11585,nASIG,DATOS!$I11585,nEVAL,"OR")=0))</f>
      </c>
      <c r="I11585">
        <f>IF(DATOS!$I11585="","",IFERROR(VLOOKUP(DATOS!$I11585,CONFIG_ASIGNATURAS!$B$2:$J$91,9,FALSE()),""))</f>
      </c>
    </row>
    <row r="11586">
      <c r="F11586">
        <f>IF(DATOS!$A11586="","",DATOS!$A11586&amp;"|"&amp;DATOS!$D11586&amp;"|"&amp;DATOS!$E11586&amp;"|"&amp;DATOS!$I11586)</f>
      </c>
      <c r="G11586">
        <f>IF(DATOS!$A11586="",0,IF(CONFIG_METADATA!$B$4&lt;&gt;"OR+EX",--(DATOS!$G11586=CONFIG_METADATA!$B$4),IF(DATOS!$G11586="EX",1,IF(DATOS!$G11586="OR",--(COUNTIFS(nNIA,DATOS!$A11586,nCURSO,DATOS!$D11586,nESPEC,DATOS!$E11586,nASIG,DATOS!$I11586,nEVAL,"EX")=0),0))))</f>
      </c>
      <c r="H11586">
        <f>IF(DATOS!$G11586&lt;&gt;"EX",0,--(COUNTIFS(nNIA,DATOS!$A11586,nCURSO,DATOS!$D11586,nESPEC,DATOS!$E11586,nASIG,DATOS!$I11586,nEVAL,"OR")=0))</f>
      </c>
      <c r="I11586">
        <f>IF(DATOS!$I11586="","",IFERROR(VLOOKUP(DATOS!$I11586,CONFIG_ASIGNATURAS!$B$2:$J$91,9,FALSE()),""))</f>
      </c>
    </row>
    <row r="11587">
      <c r="F11587">
        <f>IF(DATOS!$A11587="","",DATOS!$A11587&amp;"|"&amp;DATOS!$D11587&amp;"|"&amp;DATOS!$E11587&amp;"|"&amp;DATOS!$I11587)</f>
      </c>
      <c r="G11587">
        <f>IF(DATOS!$A11587="",0,IF(CONFIG_METADATA!$B$4&lt;&gt;"OR+EX",--(DATOS!$G11587=CONFIG_METADATA!$B$4),IF(DATOS!$G11587="EX",1,IF(DATOS!$G11587="OR",--(COUNTIFS(nNIA,DATOS!$A11587,nCURSO,DATOS!$D11587,nESPEC,DATOS!$E11587,nASIG,DATOS!$I11587,nEVAL,"EX")=0),0))))</f>
      </c>
      <c r="H11587">
        <f>IF(DATOS!$G11587&lt;&gt;"EX",0,--(COUNTIFS(nNIA,DATOS!$A11587,nCURSO,DATOS!$D11587,nESPEC,DATOS!$E11587,nASIG,DATOS!$I11587,nEVAL,"OR")=0))</f>
      </c>
      <c r="I11587">
        <f>IF(DATOS!$I11587="","",IFERROR(VLOOKUP(DATOS!$I11587,CONFIG_ASIGNATURAS!$B$2:$J$91,9,FALSE()),""))</f>
      </c>
    </row>
    <row r="11588">
      <c r="F11588">
        <f>IF(DATOS!$A11588="","",DATOS!$A11588&amp;"|"&amp;DATOS!$D11588&amp;"|"&amp;DATOS!$E11588&amp;"|"&amp;DATOS!$I11588)</f>
      </c>
      <c r="G11588">
        <f>IF(DATOS!$A11588="",0,IF(CONFIG_METADATA!$B$4&lt;&gt;"OR+EX",--(DATOS!$G11588=CONFIG_METADATA!$B$4),IF(DATOS!$G11588="EX",1,IF(DATOS!$G11588="OR",--(COUNTIFS(nNIA,DATOS!$A11588,nCURSO,DATOS!$D11588,nESPEC,DATOS!$E11588,nASIG,DATOS!$I11588,nEVAL,"EX")=0),0))))</f>
      </c>
      <c r="H11588">
        <f>IF(DATOS!$G11588&lt;&gt;"EX",0,--(COUNTIFS(nNIA,DATOS!$A11588,nCURSO,DATOS!$D11588,nESPEC,DATOS!$E11588,nASIG,DATOS!$I11588,nEVAL,"OR")=0))</f>
      </c>
      <c r="I11588">
        <f>IF(DATOS!$I11588="","",IFERROR(VLOOKUP(DATOS!$I11588,CONFIG_ASIGNATURAS!$B$2:$J$91,9,FALSE()),""))</f>
      </c>
    </row>
    <row r="11589">
      <c r="F11589">
        <f>IF(DATOS!$A11589="","",DATOS!$A11589&amp;"|"&amp;DATOS!$D11589&amp;"|"&amp;DATOS!$E11589&amp;"|"&amp;DATOS!$I11589)</f>
      </c>
      <c r="G11589">
        <f>IF(DATOS!$A11589="",0,IF(CONFIG_METADATA!$B$4&lt;&gt;"OR+EX",--(DATOS!$G11589=CONFIG_METADATA!$B$4),IF(DATOS!$G11589="EX",1,IF(DATOS!$G11589="OR",--(COUNTIFS(nNIA,DATOS!$A11589,nCURSO,DATOS!$D11589,nESPEC,DATOS!$E11589,nASIG,DATOS!$I11589,nEVAL,"EX")=0),0))))</f>
      </c>
      <c r="H11589">
        <f>IF(DATOS!$G11589&lt;&gt;"EX",0,--(COUNTIFS(nNIA,DATOS!$A11589,nCURSO,DATOS!$D11589,nESPEC,DATOS!$E11589,nASIG,DATOS!$I11589,nEVAL,"OR")=0))</f>
      </c>
      <c r="I11589">
        <f>IF(DATOS!$I11589="","",IFERROR(VLOOKUP(DATOS!$I11589,CONFIG_ASIGNATURAS!$B$2:$J$91,9,FALSE()),""))</f>
      </c>
    </row>
    <row r="11590">
      <c r="F11590">
        <f>IF(DATOS!$A11590="","",DATOS!$A11590&amp;"|"&amp;DATOS!$D11590&amp;"|"&amp;DATOS!$E11590&amp;"|"&amp;DATOS!$I11590)</f>
      </c>
      <c r="G11590">
        <f>IF(DATOS!$A11590="",0,IF(CONFIG_METADATA!$B$4&lt;&gt;"OR+EX",--(DATOS!$G11590=CONFIG_METADATA!$B$4),IF(DATOS!$G11590="EX",1,IF(DATOS!$G11590="OR",--(COUNTIFS(nNIA,DATOS!$A11590,nCURSO,DATOS!$D11590,nESPEC,DATOS!$E11590,nASIG,DATOS!$I11590,nEVAL,"EX")=0),0))))</f>
      </c>
      <c r="H11590">
        <f>IF(DATOS!$G11590&lt;&gt;"EX",0,--(COUNTIFS(nNIA,DATOS!$A11590,nCURSO,DATOS!$D11590,nESPEC,DATOS!$E11590,nASIG,DATOS!$I11590,nEVAL,"OR")=0))</f>
      </c>
      <c r="I11590">
        <f>IF(DATOS!$I11590="","",IFERROR(VLOOKUP(DATOS!$I11590,CONFIG_ASIGNATURAS!$B$2:$J$91,9,FALSE()),""))</f>
      </c>
    </row>
    <row r="11591">
      <c r="F11591">
        <f>IF(DATOS!$A11591="","",DATOS!$A11591&amp;"|"&amp;DATOS!$D11591&amp;"|"&amp;DATOS!$E11591&amp;"|"&amp;DATOS!$I11591)</f>
      </c>
      <c r="G11591">
        <f>IF(DATOS!$A11591="",0,IF(CONFIG_METADATA!$B$4&lt;&gt;"OR+EX",--(DATOS!$G11591=CONFIG_METADATA!$B$4),IF(DATOS!$G11591="EX",1,IF(DATOS!$G11591="OR",--(COUNTIFS(nNIA,DATOS!$A11591,nCURSO,DATOS!$D11591,nESPEC,DATOS!$E11591,nASIG,DATOS!$I11591,nEVAL,"EX")=0),0))))</f>
      </c>
      <c r="H11591">
        <f>IF(DATOS!$G11591&lt;&gt;"EX",0,--(COUNTIFS(nNIA,DATOS!$A11591,nCURSO,DATOS!$D11591,nESPEC,DATOS!$E11591,nASIG,DATOS!$I11591,nEVAL,"OR")=0))</f>
      </c>
      <c r="I11591">
        <f>IF(DATOS!$I11591="","",IFERROR(VLOOKUP(DATOS!$I11591,CONFIG_ASIGNATURAS!$B$2:$J$91,9,FALSE()),""))</f>
      </c>
    </row>
    <row r="11592">
      <c r="F11592">
        <f>IF(DATOS!$A11592="","",DATOS!$A11592&amp;"|"&amp;DATOS!$D11592&amp;"|"&amp;DATOS!$E11592&amp;"|"&amp;DATOS!$I11592)</f>
      </c>
      <c r="G11592">
        <f>IF(DATOS!$A11592="",0,IF(CONFIG_METADATA!$B$4&lt;&gt;"OR+EX",--(DATOS!$G11592=CONFIG_METADATA!$B$4),IF(DATOS!$G11592="EX",1,IF(DATOS!$G11592="OR",--(COUNTIFS(nNIA,DATOS!$A11592,nCURSO,DATOS!$D11592,nESPEC,DATOS!$E11592,nASIG,DATOS!$I11592,nEVAL,"EX")=0),0))))</f>
      </c>
      <c r="H11592">
        <f>IF(DATOS!$G11592&lt;&gt;"EX",0,--(COUNTIFS(nNIA,DATOS!$A11592,nCURSO,DATOS!$D11592,nESPEC,DATOS!$E11592,nASIG,DATOS!$I11592,nEVAL,"OR")=0))</f>
      </c>
      <c r="I11592">
        <f>IF(DATOS!$I11592="","",IFERROR(VLOOKUP(DATOS!$I11592,CONFIG_ASIGNATURAS!$B$2:$J$91,9,FALSE()),""))</f>
      </c>
    </row>
    <row r="11593">
      <c r="F11593">
        <f>IF(DATOS!$A11593="","",DATOS!$A11593&amp;"|"&amp;DATOS!$D11593&amp;"|"&amp;DATOS!$E11593&amp;"|"&amp;DATOS!$I11593)</f>
      </c>
      <c r="G11593">
        <f>IF(DATOS!$A11593="",0,IF(CONFIG_METADATA!$B$4&lt;&gt;"OR+EX",--(DATOS!$G11593=CONFIG_METADATA!$B$4),IF(DATOS!$G11593="EX",1,IF(DATOS!$G11593="OR",--(COUNTIFS(nNIA,DATOS!$A11593,nCURSO,DATOS!$D11593,nESPEC,DATOS!$E11593,nASIG,DATOS!$I11593,nEVAL,"EX")=0),0))))</f>
      </c>
      <c r="H11593">
        <f>IF(DATOS!$G11593&lt;&gt;"EX",0,--(COUNTIFS(nNIA,DATOS!$A11593,nCURSO,DATOS!$D11593,nESPEC,DATOS!$E11593,nASIG,DATOS!$I11593,nEVAL,"OR")=0))</f>
      </c>
      <c r="I11593">
        <f>IF(DATOS!$I11593="","",IFERROR(VLOOKUP(DATOS!$I11593,CONFIG_ASIGNATURAS!$B$2:$J$91,9,FALSE()),""))</f>
      </c>
    </row>
    <row r="11594">
      <c r="F11594">
        <f>IF(DATOS!$A11594="","",DATOS!$A11594&amp;"|"&amp;DATOS!$D11594&amp;"|"&amp;DATOS!$E11594&amp;"|"&amp;DATOS!$I11594)</f>
      </c>
      <c r="G11594">
        <f>IF(DATOS!$A11594="",0,IF(CONFIG_METADATA!$B$4&lt;&gt;"OR+EX",--(DATOS!$G11594=CONFIG_METADATA!$B$4),IF(DATOS!$G11594="EX",1,IF(DATOS!$G11594="OR",--(COUNTIFS(nNIA,DATOS!$A11594,nCURSO,DATOS!$D11594,nESPEC,DATOS!$E11594,nASIG,DATOS!$I11594,nEVAL,"EX")=0),0))))</f>
      </c>
      <c r="H11594">
        <f>IF(DATOS!$G11594&lt;&gt;"EX",0,--(COUNTIFS(nNIA,DATOS!$A11594,nCURSO,DATOS!$D11594,nESPEC,DATOS!$E11594,nASIG,DATOS!$I11594,nEVAL,"OR")=0))</f>
      </c>
      <c r="I11594">
        <f>IF(DATOS!$I11594="","",IFERROR(VLOOKUP(DATOS!$I11594,CONFIG_ASIGNATURAS!$B$2:$J$91,9,FALSE()),""))</f>
      </c>
    </row>
    <row r="11595">
      <c r="F11595">
        <f>IF(DATOS!$A11595="","",DATOS!$A11595&amp;"|"&amp;DATOS!$D11595&amp;"|"&amp;DATOS!$E11595&amp;"|"&amp;DATOS!$I11595)</f>
      </c>
      <c r="G11595">
        <f>IF(DATOS!$A11595="",0,IF(CONFIG_METADATA!$B$4&lt;&gt;"OR+EX",--(DATOS!$G11595=CONFIG_METADATA!$B$4),IF(DATOS!$G11595="EX",1,IF(DATOS!$G11595="OR",--(COUNTIFS(nNIA,DATOS!$A11595,nCURSO,DATOS!$D11595,nESPEC,DATOS!$E11595,nASIG,DATOS!$I11595,nEVAL,"EX")=0),0))))</f>
      </c>
      <c r="H11595">
        <f>IF(DATOS!$G11595&lt;&gt;"EX",0,--(COUNTIFS(nNIA,DATOS!$A11595,nCURSO,DATOS!$D11595,nESPEC,DATOS!$E11595,nASIG,DATOS!$I11595,nEVAL,"OR")=0))</f>
      </c>
      <c r="I11595">
        <f>IF(DATOS!$I11595="","",IFERROR(VLOOKUP(DATOS!$I11595,CONFIG_ASIGNATURAS!$B$2:$J$91,9,FALSE()),""))</f>
      </c>
    </row>
    <row r="11596">
      <c r="F11596">
        <f>IF(DATOS!$A11596="","",DATOS!$A11596&amp;"|"&amp;DATOS!$D11596&amp;"|"&amp;DATOS!$E11596&amp;"|"&amp;DATOS!$I11596)</f>
      </c>
      <c r="G11596">
        <f>IF(DATOS!$A11596="",0,IF(CONFIG_METADATA!$B$4&lt;&gt;"OR+EX",--(DATOS!$G11596=CONFIG_METADATA!$B$4),IF(DATOS!$G11596="EX",1,IF(DATOS!$G11596="OR",--(COUNTIFS(nNIA,DATOS!$A11596,nCURSO,DATOS!$D11596,nESPEC,DATOS!$E11596,nASIG,DATOS!$I11596,nEVAL,"EX")=0),0))))</f>
      </c>
      <c r="H11596">
        <f>IF(DATOS!$G11596&lt;&gt;"EX",0,--(COUNTIFS(nNIA,DATOS!$A11596,nCURSO,DATOS!$D11596,nESPEC,DATOS!$E11596,nASIG,DATOS!$I11596,nEVAL,"OR")=0))</f>
      </c>
      <c r="I11596">
        <f>IF(DATOS!$I11596="","",IFERROR(VLOOKUP(DATOS!$I11596,CONFIG_ASIGNATURAS!$B$2:$J$91,9,FALSE()),""))</f>
      </c>
    </row>
    <row r="11597">
      <c r="F11597">
        <f>IF(DATOS!$A11597="","",DATOS!$A11597&amp;"|"&amp;DATOS!$D11597&amp;"|"&amp;DATOS!$E11597&amp;"|"&amp;DATOS!$I11597)</f>
      </c>
      <c r="G11597">
        <f>IF(DATOS!$A11597="",0,IF(CONFIG_METADATA!$B$4&lt;&gt;"OR+EX",--(DATOS!$G11597=CONFIG_METADATA!$B$4),IF(DATOS!$G11597="EX",1,IF(DATOS!$G11597="OR",--(COUNTIFS(nNIA,DATOS!$A11597,nCURSO,DATOS!$D11597,nESPEC,DATOS!$E11597,nASIG,DATOS!$I11597,nEVAL,"EX")=0),0))))</f>
      </c>
      <c r="H11597">
        <f>IF(DATOS!$G11597&lt;&gt;"EX",0,--(COUNTIFS(nNIA,DATOS!$A11597,nCURSO,DATOS!$D11597,nESPEC,DATOS!$E11597,nASIG,DATOS!$I11597,nEVAL,"OR")=0))</f>
      </c>
      <c r="I11597">
        <f>IF(DATOS!$I11597="","",IFERROR(VLOOKUP(DATOS!$I11597,CONFIG_ASIGNATURAS!$B$2:$J$91,9,FALSE()),""))</f>
      </c>
    </row>
    <row r="11598">
      <c r="F11598">
        <f>IF(DATOS!$A11598="","",DATOS!$A11598&amp;"|"&amp;DATOS!$D11598&amp;"|"&amp;DATOS!$E11598&amp;"|"&amp;DATOS!$I11598)</f>
      </c>
      <c r="G11598">
        <f>IF(DATOS!$A11598="",0,IF(CONFIG_METADATA!$B$4&lt;&gt;"OR+EX",--(DATOS!$G11598=CONFIG_METADATA!$B$4),IF(DATOS!$G11598="EX",1,IF(DATOS!$G11598="OR",--(COUNTIFS(nNIA,DATOS!$A11598,nCURSO,DATOS!$D11598,nESPEC,DATOS!$E11598,nASIG,DATOS!$I11598,nEVAL,"EX")=0),0))))</f>
      </c>
      <c r="H11598">
        <f>IF(DATOS!$G11598&lt;&gt;"EX",0,--(COUNTIFS(nNIA,DATOS!$A11598,nCURSO,DATOS!$D11598,nESPEC,DATOS!$E11598,nASIG,DATOS!$I11598,nEVAL,"OR")=0))</f>
      </c>
      <c r="I11598">
        <f>IF(DATOS!$I11598="","",IFERROR(VLOOKUP(DATOS!$I11598,CONFIG_ASIGNATURAS!$B$2:$J$91,9,FALSE()),""))</f>
      </c>
    </row>
    <row r="11599">
      <c r="F11599">
        <f>IF(DATOS!$A11599="","",DATOS!$A11599&amp;"|"&amp;DATOS!$D11599&amp;"|"&amp;DATOS!$E11599&amp;"|"&amp;DATOS!$I11599)</f>
      </c>
      <c r="G11599">
        <f>IF(DATOS!$A11599="",0,IF(CONFIG_METADATA!$B$4&lt;&gt;"OR+EX",--(DATOS!$G11599=CONFIG_METADATA!$B$4),IF(DATOS!$G11599="EX",1,IF(DATOS!$G11599="OR",--(COUNTIFS(nNIA,DATOS!$A11599,nCURSO,DATOS!$D11599,nESPEC,DATOS!$E11599,nASIG,DATOS!$I11599,nEVAL,"EX")=0),0))))</f>
      </c>
      <c r="H11599">
        <f>IF(DATOS!$G11599&lt;&gt;"EX",0,--(COUNTIFS(nNIA,DATOS!$A11599,nCURSO,DATOS!$D11599,nESPEC,DATOS!$E11599,nASIG,DATOS!$I11599,nEVAL,"OR")=0))</f>
      </c>
      <c r="I11599">
        <f>IF(DATOS!$I11599="","",IFERROR(VLOOKUP(DATOS!$I11599,CONFIG_ASIGNATURAS!$B$2:$J$91,9,FALSE()),""))</f>
      </c>
    </row>
    <row r="11600">
      <c r="F11600">
        <f>IF(DATOS!$A11600="","",DATOS!$A11600&amp;"|"&amp;DATOS!$D11600&amp;"|"&amp;DATOS!$E11600&amp;"|"&amp;DATOS!$I11600)</f>
      </c>
      <c r="G11600">
        <f>IF(DATOS!$A11600="",0,IF(CONFIG_METADATA!$B$4&lt;&gt;"OR+EX",--(DATOS!$G11600=CONFIG_METADATA!$B$4),IF(DATOS!$G11600="EX",1,IF(DATOS!$G11600="OR",--(COUNTIFS(nNIA,DATOS!$A11600,nCURSO,DATOS!$D11600,nESPEC,DATOS!$E11600,nASIG,DATOS!$I11600,nEVAL,"EX")=0),0))))</f>
      </c>
      <c r="H11600">
        <f>IF(DATOS!$G11600&lt;&gt;"EX",0,--(COUNTIFS(nNIA,DATOS!$A11600,nCURSO,DATOS!$D11600,nESPEC,DATOS!$E11600,nASIG,DATOS!$I11600,nEVAL,"OR")=0))</f>
      </c>
      <c r="I11600">
        <f>IF(DATOS!$I11600="","",IFERROR(VLOOKUP(DATOS!$I11600,CONFIG_ASIGNATURAS!$B$2:$J$91,9,FALSE()),""))</f>
      </c>
    </row>
    <row r="11601">
      <c r="F11601">
        <f>IF(DATOS!$A11601="","",DATOS!$A11601&amp;"|"&amp;DATOS!$D11601&amp;"|"&amp;DATOS!$E11601&amp;"|"&amp;DATOS!$I11601)</f>
      </c>
      <c r="G11601">
        <f>IF(DATOS!$A11601="",0,IF(CONFIG_METADATA!$B$4&lt;&gt;"OR+EX",--(DATOS!$G11601=CONFIG_METADATA!$B$4),IF(DATOS!$G11601="EX",1,IF(DATOS!$G11601="OR",--(COUNTIFS(nNIA,DATOS!$A11601,nCURSO,DATOS!$D11601,nESPEC,DATOS!$E11601,nASIG,DATOS!$I11601,nEVAL,"EX")=0),0))))</f>
      </c>
      <c r="H11601">
        <f>IF(DATOS!$G11601&lt;&gt;"EX",0,--(COUNTIFS(nNIA,DATOS!$A11601,nCURSO,DATOS!$D11601,nESPEC,DATOS!$E11601,nASIG,DATOS!$I11601,nEVAL,"OR")=0))</f>
      </c>
      <c r="I11601">
        <f>IF(DATOS!$I11601="","",IFERROR(VLOOKUP(DATOS!$I11601,CONFIG_ASIGNATURAS!$B$2:$J$91,9,FALSE()),""))</f>
      </c>
    </row>
    <row r="11602">
      <c r="F11602">
        <f>IF(DATOS!$A11602="","",DATOS!$A11602&amp;"|"&amp;DATOS!$D11602&amp;"|"&amp;DATOS!$E11602&amp;"|"&amp;DATOS!$I11602)</f>
      </c>
      <c r="G11602">
        <f>IF(DATOS!$A11602="",0,IF(CONFIG_METADATA!$B$4&lt;&gt;"OR+EX",--(DATOS!$G11602=CONFIG_METADATA!$B$4),IF(DATOS!$G11602="EX",1,IF(DATOS!$G11602="OR",--(COUNTIFS(nNIA,DATOS!$A11602,nCURSO,DATOS!$D11602,nESPEC,DATOS!$E11602,nASIG,DATOS!$I11602,nEVAL,"EX")=0),0))))</f>
      </c>
      <c r="H11602">
        <f>IF(DATOS!$G11602&lt;&gt;"EX",0,--(COUNTIFS(nNIA,DATOS!$A11602,nCURSO,DATOS!$D11602,nESPEC,DATOS!$E11602,nASIG,DATOS!$I11602,nEVAL,"OR")=0))</f>
      </c>
      <c r="I11602">
        <f>IF(DATOS!$I11602="","",IFERROR(VLOOKUP(DATOS!$I11602,CONFIG_ASIGNATURAS!$B$2:$J$91,9,FALSE()),""))</f>
      </c>
    </row>
    <row r="11603">
      <c r="F11603">
        <f>IF(DATOS!$A11603="","",DATOS!$A11603&amp;"|"&amp;DATOS!$D11603&amp;"|"&amp;DATOS!$E11603&amp;"|"&amp;DATOS!$I11603)</f>
      </c>
      <c r="G11603">
        <f>IF(DATOS!$A11603="",0,IF(CONFIG_METADATA!$B$4&lt;&gt;"OR+EX",--(DATOS!$G11603=CONFIG_METADATA!$B$4),IF(DATOS!$G11603="EX",1,IF(DATOS!$G11603="OR",--(COUNTIFS(nNIA,DATOS!$A11603,nCURSO,DATOS!$D11603,nESPEC,DATOS!$E11603,nASIG,DATOS!$I11603,nEVAL,"EX")=0),0))))</f>
      </c>
      <c r="H11603">
        <f>IF(DATOS!$G11603&lt;&gt;"EX",0,--(COUNTIFS(nNIA,DATOS!$A11603,nCURSO,DATOS!$D11603,nESPEC,DATOS!$E11603,nASIG,DATOS!$I11603,nEVAL,"OR")=0))</f>
      </c>
      <c r="I11603">
        <f>IF(DATOS!$I11603="","",IFERROR(VLOOKUP(DATOS!$I11603,CONFIG_ASIGNATURAS!$B$2:$J$91,9,FALSE()),""))</f>
      </c>
    </row>
    <row r="11604">
      <c r="F11604">
        <f>IF(DATOS!$A11604="","",DATOS!$A11604&amp;"|"&amp;DATOS!$D11604&amp;"|"&amp;DATOS!$E11604&amp;"|"&amp;DATOS!$I11604)</f>
      </c>
      <c r="G11604">
        <f>IF(DATOS!$A11604="",0,IF(CONFIG_METADATA!$B$4&lt;&gt;"OR+EX",--(DATOS!$G11604=CONFIG_METADATA!$B$4),IF(DATOS!$G11604="EX",1,IF(DATOS!$G11604="OR",--(COUNTIFS(nNIA,DATOS!$A11604,nCURSO,DATOS!$D11604,nESPEC,DATOS!$E11604,nASIG,DATOS!$I11604,nEVAL,"EX")=0),0))))</f>
      </c>
      <c r="H11604">
        <f>IF(DATOS!$G11604&lt;&gt;"EX",0,--(COUNTIFS(nNIA,DATOS!$A11604,nCURSO,DATOS!$D11604,nESPEC,DATOS!$E11604,nASIG,DATOS!$I11604,nEVAL,"OR")=0))</f>
      </c>
      <c r="I11604">
        <f>IF(DATOS!$I11604="","",IFERROR(VLOOKUP(DATOS!$I11604,CONFIG_ASIGNATURAS!$B$2:$J$91,9,FALSE()),""))</f>
      </c>
    </row>
    <row r="11605">
      <c r="F11605">
        <f>IF(DATOS!$A11605="","",DATOS!$A11605&amp;"|"&amp;DATOS!$D11605&amp;"|"&amp;DATOS!$E11605&amp;"|"&amp;DATOS!$I11605)</f>
      </c>
      <c r="G11605">
        <f>IF(DATOS!$A11605="",0,IF(CONFIG_METADATA!$B$4&lt;&gt;"OR+EX",--(DATOS!$G11605=CONFIG_METADATA!$B$4),IF(DATOS!$G11605="EX",1,IF(DATOS!$G11605="OR",--(COUNTIFS(nNIA,DATOS!$A11605,nCURSO,DATOS!$D11605,nESPEC,DATOS!$E11605,nASIG,DATOS!$I11605,nEVAL,"EX")=0),0))))</f>
      </c>
      <c r="H11605">
        <f>IF(DATOS!$G11605&lt;&gt;"EX",0,--(COUNTIFS(nNIA,DATOS!$A11605,nCURSO,DATOS!$D11605,nESPEC,DATOS!$E11605,nASIG,DATOS!$I11605,nEVAL,"OR")=0))</f>
      </c>
      <c r="I11605">
        <f>IF(DATOS!$I11605="","",IFERROR(VLOOKUP(DATOS!$I11605,CONFIG_ASIGNATURAS!$B$2:$J$91,9,FALSE()),""))</f>
      </c>
    </row>
    <row r="11606">
      <c r="F11606">
        <f>IF(DATOS!$A11606="","",DATOS!$A11606&amp;"|"&amp;DATOS!$D11606&amp;"|"&amp;DATOS!$E11606&amp;"|"&amp;DATOS!$I11606)</f>
      </c>
      <c r="G11606">
        <f>IF(DATOS!$A11606="",0,IF(CONFIG_METADATA!$B$4&lt;&gt;"OR+EX",--(DATOS!$G11606=CONFIG_METADATA!$B$4),IF(DATOS!$G11606="EX",1,IF(DATOS!$G11606="OR",--(COUNTIFS(nNIA,DATOS!$A11606,nCURSO,DATOS!$D11606,nESPEC,DATOS!$E11606,nASIG,DATOS!$I11606,nEVAL,"EX")=0),0))))</f>
      </c>
      <c r="H11606">
        <f>IF(DATOS!$G11606&lt;&gt;"EX",0,--(COUNTIFS(nNIA,DATOS!$A11606,nCURSO,DATOS!$D11606,nESPEC,DATOS!$E11606,nASIG,DATOS!$I11606,nEVAL,"OR")=0))</f>
      </c>
      <c r="I11606">
        <f>IF(DATOS!$I11606="","",IFERROR(VLOOKUP(DATOS!$I11606,CONFIG_ASIGNATURAS!$B$2:$J$91,9,FALSE()),""))</f>
      </c>
    </row>
    <row r="11607">
      <c r="F11607">
        <f>IF(DATOS!$A11607="","",DATOS!$A11607&amp;"|"&amp;DATOS!$D11607&amp;"|"&amp;DATOS!$E11607&amp;"|"&amp;DATOS!$I11607)</f>
      </c>
      <c r="G11607">
        <f>IF(DATOS!$A11607="",0,IF(CONFIG_METADATA!$B$4&lt;&gt;"OR+EX",--(DATOS!$G11607=CONFIG_METADATA!$B$4),IF(DATOS!$G11607="EX",1,IF(DATOS!$G11607="OR",--(COUNTIFS(nNIA,DATOS!$A11607,nCURSO,DATOS!$D11607,nESPEC,DATOS!$E11607,nASIG,DATOS!$I11607,nEVAL,"EX")=0),0))))</f>
      </c>
      <c r="H11607">
        <f>IF(DATOS!$G11607&lt;&gt;"EX",0,--(COUNTIFS(nNIA,DATOS!$A11607,nCURSO,DATOS!$D11607,nESPEC,DATOS!$E11607,nASIG,DATOS!$I11607,nEVAL,"OR")=0))</f>
      </c>
      <c r="I11607">
        <f>IF(DATOS!$I11607="","",IFERROR(VLOOKUP(DATOS!$I11607,CONFIG_ASIGNATURAS!$B$2:$J$91,9,FALSE()),""))</f>
      </c>
    </row>
    <row r="11608">
      <c r="F11608">
        <f>IF(DATOS!$A11608="","",DATOS!$A11608&amp;"|"&amp;DATOS!$D11608&amp;"|"&amp;DATOS!$E11608&amp;"|"&amp;DATOS!$I11608)</f>
      </c>
      <c r="G11608">
        <f>IF(DATOS!$A11608="",0,IF(CONFIG_METADATA!$B$4&lt;&gt;"OR+EX",--(DATOS!$G11608=CONFIG_METADATA!$B$4),IF(DATOS!$G11608="EX",1,IF(DATOS!$G11608="OR",--(COUNTIFS(nNIA,DATOS!$A11608,nCURSO,DATOS!$D11608,nESPEC,DATOS!$E11608,nASIG,DATOS!$I11608,nEVAL,"EX")=0),0))))</f>
      </c>
      <c r="H11608">
        <f>IF(DATOS!$G11608&lt;&gt;"EX",0,--(COUNTIFS(nNIA,DATOS!$A11608,nCURSO,DATOS!$D11608,nESPEC,DATOS!$E11608,nASIG,DATOS!$I11608,nEVAL,"OR")=0))</f>
      </c>
      <c r="I11608">
        <f>IF(DATOS!$I11608="","",IFERROR(VLOOKUP(DATOS!$I11608,CONFIG_ASIGNATURAS!$B$2:$J$91,9,FALSE()),""))</f>
      </c>
    </row>
    <row r="11609">
      <c r="F11609">
        <f>IF(DATOS!$A11609="","",DATOS!$A11609&amp;"|"&amp;DATOS!$D11609&amp;"|"&amp;DATOS!$E11609&amp;"|"&amp;DATOS!$I11609)</f>
      </c>
      <c r="G11609">
        <f>IF(DATOS!$A11609="",0,IF(CONFIG_METADATA!$B$4&lt;&gt;"OR+EX",--(DATOS!$G11609=CONFIG_METADATA!$B$4),IF(DATOS!$G11609="EX",1,IF(DATOS!$G11609="OR",--(COUNTIFS(nNIA,DATOS!$A11609,nCURSO,DATOS!$D11609,nESPEC,DATOS!$E11609,nASIG,DATOS!$I11609,nEVAL,"EX")=0),0))))</f>
      </c>
      <c r="H11609">
        <f>IF(DATOS!$G11609&lt;&gt;"EX",0,--(COUNTIFS(nNIA,DATOS!$A11609,nCURSO,DATOS!$D11609,nESPEC,DATOS!$E11609,nASIG,DATOS!$I11609,nEVAL,"OR")=0))</f>
      </c>
      <c r="I11609">
        <f>IF(DATOS!$I11609="","",IFERROR(VLOOKUP(DATOS!$I11609,CONFIG_ASIGNATURAS!$B$2:$J$91,9,FALSE()),""))</f>
      </c>
    </row>
    <row r="11610">
      <c r="F11610">
        <f>IF(DATOS!$A11610="","",DATOS!$A11610&amp;"|"&amp;DATOS!$D11610&amp;"|"&amp;DATOS!$E11610&amp;"|"&amp;DATOS!$I11610)</f>
      </c>
      <c r="G11610">
        <f>IF(DATOS!$A11610="",0,IF(CONFIG_METADATA!$B$4&lt;&gt;"OR+EX",--(DATOS!$G11610=CONFIG_METADATA!$B$4),IF(DATOS!$G11610="EX",1,IF(DATOS!$G11610="OR",--(COUNTIFS(nNIA,DATOS!$A11610,nCURSO,DATOS!$D11610,nESPEC,DATOS!$E11610,nASIG,DATOS!$I11610,nEVAL,"EX")=0),0))))</f>
      </c>
      <c r="H11610">
        <f>IF(DATOS!$G11610&lt;&gt;"EX",0,--(COUNTIFS(nNIA,DATOS!$A11610,nCURSO,DATOS!$D11610,nESPEC,DATOS!$E11610,nASIG,DATOS!$I11610,nEVAL,"OR")=0))</f>
      </c>
      <c r="I11610">
        <f>IF(DATOS!$I11610="","",IFERROR(VLOOKUP(DATOS!$I11610,CONFIG_ASIGNATURAS!$B$2:$J$91,9,FALSE()),""))</f>
      </c>
    </row>
    <row r="11611">
      <c r="F11611">
        <f>IF(DATOS!$A11611="","",DATOS!$A11611&amp;"|"&amp;DATOS!$D11611&amp;"|"&amp;DATOS!$E11611&amp;"|"&amp;DATOS!$I11611)</f>
      </c>
      <c r="G11611">
        <f>IF(DATOS!$A11611="",0,IF(CONFIG_METADATA!$B$4&lt;&gt;"OR+EX",--(DATOS!$G11611=CONFIG_METADATA!$B$4),IF(DATOS!$G11611="EX",1,IF(DATOS!$G11611="OR",--(COUNTIFS(nNIA,DATOS!$A11611,nCURSO,DATOS!$D11611,nESPEC,DATOS!$E11611,nASIG,DATOS!$I11611,nEVAL,"EX")=0),0))))</f>
      </c>
      <c r="H11611">
        <f>IF(DATOS!$G11611&lt;&gt;"EX",0,--(COUNTIFS(nNIA,DATOS!$A11611,nCURSO,DATOS!$D11611,nESPEC,DATOS!$E11611,nASIG,DATOS!$I11611,nEVAL,"OR")=0))</f>
      </c>
      <c r="I11611">
        <f>IF(DATOS!$I11611="","",IFERROR(VLOOKUP(DATOS!$I11611,CONFIG_ASIGNATURAS!$B$2:$J$91,9,FALSE()),""))</f>
      </c>
    </row>
    <row r="11612">
      <c r="F11612">
        <f>IF(DATOS!$A11612="","",DATOS!$A11612&amp;"|"&amp;DATOS!$D11612&amp;"|"&amp;DATOS!$E11612&amp;"|"&amp;DATOS!$I11612)</f>
      </c>
      <c r="G11612">
        <f>IF(DATOS!$A11612="",0,IF(CONFIG_METADATA!$B$4&lt;&gt;"OR+EX",--(DATOS!$G11612=CONFIG_METADATA!$B$4),IF(DATOS!$G11612="EX",1,IF(DATOS!$G11612="OR",--(COUNTIFS(nNIA,DATOS!$A11612,nCURSO,DATOS!$D11612,nESPEC,DATOS!$E11612,nASIG,DATOS!$I11612,nEVAL,"EX")=0),0))))</f>
      </c>
      <c r="H11612">
        <f>IF(DATOS!$G11612&lt;&gt;"EX",0,--(COUNTIFS(nNIA,DATOS!$A11612,nCURSO,DATOS!$D11612,nESPEC,DATOS!$E11612,nASIG,DATOS!$I11612,nEVAL,"OR")=0))</f>
      </c>
      <c r="I11612">
        <f>IF(DATOS!$I11612="","",IFERROR(VLOOKUP(DATOS!$I11612,CONFIG_ASIGNATURAS!$B$2:$J$91,9,FALSE()),""))</f>
      </c>
    </row>
    <row r="11613">
      <c r="F11613">
        <f>IF(DATOS!$A11613="","",DATOS!$A11613&amp;"|"&amp;DATOS!$D11613&amp;"|"&amp;DATOS!$E11613&amp;"|"&amp;DATOS!$I11613)</f>
      </c>
      <c r="G11613">
        <f>IF(DATOS!$A11613="",0,IF(CONFIG_METADATA!$B$4&lt;&gt;"OR+EX",--(DATOS!$G11613=CONFIG_METADATA!$B$4),IF(DATOS!$G11613="EX",1,IF(DATOS!$G11613="OR",--(COUNTIFS(nNIA,DATOS!$A11613,nCURSO,DATOS!$D11613,nESPEC,DATOS!$E11613,nASIG,DATOS!$I11613,nEVAL,"EX")=0),0))))</f>
      </c>
      <c r="H11613">
        <f>IF(DATOS!$G11613&lt;&gt;"EX",0,--(COUNTIFS(nNIA,DATOS!$A11613,nCURSO,DATOS!$D11613,nESPEC,DATOS!$E11613,nASIG,DATOS!$I11613,nEVAL,"OR")=0))</f>
      </c>
      <c r="I11613">
        <f>IF(DATOS!$I11613="","",IFERROR(VLOOKUP(DATOS!$I11613,CONFIG_ASIGNATURAS!$B$2:$J$91,9,FALSE()),""))</f>
      </c>
    </row>
    <row r="11614">
      <c r="F11614">
        <f>IF(DATOS!$A11614="","",DATOS!$A11614&amp;"|"&amp;DATOS!$D11614&amp;"|"&amp;DATOS!$E11614&amp;"|"&amp;DATOS!$I11614)</f>
      </c>
      <c r="G11614">
        <f>IF(DATOS!$A11614="",0,IF(CONFIG_METADATA!$B$4&lt;&gt;"OR+EX",--(DATOS!$G11614=CONFIG_METADATA!$B$4),IF(DATOS!$G11614="EX",1,IF(DATOS!$G11614="OR",--(COUNTIFS(nNIA,DATOS!$A11614,nCURSO,DATOS!$D11614,nESPEC,DATOS!$E11614,nASIG,DATOS!$I11614,nEVAL,"EX")=0),0))))</f>
      </c>
      <c r="H11614">
        <f>IF(DATOS!$G11614&lt;&gt;"EX",0,--(COUNTIFS(nNIA,DATOS!$A11614,nCURSO,DATOS!$D11614,nESPEC,DATOS!$E11614,nASIG,DATOS!$I11614,nEVAL,"OR")=0))</f>
      </c>
      <c r="I11614">
        <f>IF(DATOS!$I11614="","",IFERROR(VLOOKUP(DATOS!$I11614,CONFIG_ASIGNATURAS!$B$2:$J$91,9,FALSE()),""))</f>
      </c>
    </row>
    <row r="11615">
      <c r="F11615">
        <f>IF(DATOS!$A11615="","",DATOS!$A11615&amp;"|"&amp;DATOS!$D11615&amp;"|"&amp;DATOS!$E11615&amp;"|"&amp;DATOS!$I11615)</f>
      </c>
      <c r="G11615">
        <f>IF(DATOS!$A11615="",0,IF(CONFIG_METADATA!$B$4&lt;&gt;"OR+EX",--(DATOS!$G11615=CONFIG_METADATA!$B$4),IF(DATOS!$G11615="EX",1,IF(DATOS!$G11615="OR",--(COUNTIFS(nNIA,DATOS!$A11615,nCURSO,DATOS!$D11615,nESPEC,DATOS!$E11615,nASIG,DATOS!$I11615,nEVAL,"EX")=0),0))))</f>
      </c>
      <c r="H11615">
        <f>IF(DATOS!$G11615&lt;&gt;"EX",0,--(COUNTIFS(nNIA,DATOS!$A11615,nCURSO,DATOS!$D11615,nESPEC,DATOS!$E11615,nASIG,DATOS!$I11615,nEVAL,"OR")=0))</f>
      </c>
      <c r="I11615">
        <f>IF(DATOS!$I11615="","",IFERROR(VLOOKUP(DATOS!$I11615,CONFIG_ASIGNATURAS!$B$2:$J$91,9,FALSE()),""))</f>
      </c>
    </row>
    <row r="11616">
      <c r="F11616">
        <f>IF(DATOS!$A11616="","",DATOS!$A11616&amp;"|"&amp;DATOS!$D11616&amp;"|"&amp;DATOS!$E11616&amp;"|"&amp;DATOS!$I11616)</f>
      </c>
      <c r="G11616">
        <f>IF(DATOS!$A11616="",0,IF(CONFIG_METADATA!$B$4&lt;&gt;"OR+EX",--(DATOS!$G11616=CONFIG_METADATA!$B$4),IF(DATOS!$G11616="EX",1,IF(DATOS!$G11616="OR",--(COUNTIFS(nNIA,DATOS!$A11616,nCURSO,DATOS!$D11616,nESPEC,DATOS!$E11616,nASIG,DATOS!$I11616,nEVAL,"EX")=0),0))))</f>
      </c>
      <c r="H11616">
        <f>IF(DATOS!$G11616&lt;&gt;"EX",0,--(COUNTIFS(nNIA,DATOS!$A11616,nCURSO,DATOS!$D11616,nESPEC,DATOS!$E11616,nASIG,DATOS!$I11616,nEVAL,"OR")=0))</f>
      </c>
      <c r="I11616">
        <f>IF(DATOS!$I11616="","",IFERROR(VLOOKUP(DATOS!$I11616,CONFIG_ASIGNATURAS!$B$2:$J$91,9,FALSE()),""))</f>
      </c>
    </row>
    <row r="11617">
      <c r="F11617">
        <f>IF(DATOS!$A11617="","",DATOS!$A11617&amp;"|"&amp;DATOS!$D11617&amp;"|"&amp;DATOS!$E11617&amp;"|"&amp;DATOS!$I11617)</f>
      </c>
      <c r="G11617">
        <f>IF(DATOS!$A11617="",0,IF(CONFIG_METADATA!$B$4&lt;&gt;"OR+EX",--(DATOS!$G11617=CONFIG_METADATA!$B$4),IF(DATOS!$G11617="EX",1,IF(DATOS!$G11617="OR",--(COUNTIFS(nNIA,DATOS!$A11617,nCURSO,DATOS!$D11617,nESPEC,DATOS!$E11617,nASIG,DATOS!$I11617,nEVAL,"EX")=0),0))))</f>
      </c>
      <c r="H11617">
        <f>IF(DATOS!$G11617&lt;&gt;"EX",0,--(COUNTIFS(nNIA,DATOS!$A11617,nCURSO,DATOS!$D11617,nESPEC,DATOS!$E11617,nASIG,DATOS!$I11617,nEVAL,"OR")=0))</f>
      </c>
      <c r="I11617">
        <f>IF(DATOS!$I11617="","",IFERROR(VLOOKUP(DATOS!$I11617,CONFIG_ASIGNATURAS!$B$2:$J$91,9,FALSE()),""))</f>
      </c>
    </row>
    <row r="11618">
      <c r="F11618">
        <f>IF(DATOS!$A11618="","",DATOS!$A11618&amp;"|"&amp;DATOS!$D11618&amp;"|"&amp;DATOS!$E11618&amp;"|"&amp;DATOS!$I11618)</f>
      </c>
      <c r="G11618">
        <f>IF(DATOS!$A11618="",0,IF(CONFIG_METADATA!$B$4&lt;&gt;"OR+EX",--(DATOS!$G11618=CONFIG_METADATA!$B$4),IF(DATOS!$G11618="EX",1,IF(DATOS!$G11618="OR",--(COUNTIFS(nNIA,DATOS!$A11618,nCURSO,DATOS!$D11618,nESPEC,DATOS!$E11618,nASIG,DATOS!$I11618,nEVAL,"EX")=0),0))))</f>
      </c>
      <c r="H11618">
        <f>IF(DATOS!$G11618&lt;&gt;"EX",0,--(COUNTIFS(nNIA,DATOS!$A11618,nCURSO,DATOS!$D11618,nESPEC,DATOS!$E11618,nASIG,DATOS!$I11618,nEVAL,"OR")=0))</f>
      </c>
      <c r="I11618">
        <f>IF(DATOS!$I11618="","",IFERROR(VLOOKUP(DATOS!$I11618,CONFIG_ASIGNATURAS!$B$2:$J$91,9,FALSE()),""))</f>
      </c>
    </row>
    <row r="11619">
      <c r="F11619">
        <f>IF(DATOS!$A11619="","",DATOS!$A11619&amp;"|"&amp;DATOS!$D11619&amp;"|"&amp;DATOS!$E11619&amp;"|"&amp;DATOS!$I11619)</f>
      </c>
      <c r="G11619">
        <f>IF(DATOS!$A11619="",0,IF(CONFIG_METADATA!$B$4&lt;&gt;"OR+EX",--(DATOS!$G11619=CONFIG_METADATA!$B$4),IF(DATOS!$G11619="EX",1,IF(DATOS!$G11619="OR",--(COUNTIFS(nNIA,DATOS!$A11619,nCURSO,DATOS!$D11619,nESPEC,DATOS!$E11619,nASIG,DATOS!$I11619,nEVAL,"EX")=0),0))))</f>
      </c>
      <c r="H11619">
        <f>IF(DATOS!$G11619&lt;&gt;"EX",0,--(COUNTIFS(nNIA,DATOS!$A11619,nCURSO,DATOS!$D11619,nESPEC,DATOS!$E11619,nASIG,DATOS!$I11619,nEVAL,"OR")=0))</f>
      </c>
      <c r="I11619">
        <f>IF(DATOS!$I11619="","",IFERROR(VLOOKUP(DATOS!$I11619,CONFIG_ASIGNATURAS!$B$2:$J$91,9,FALSE()),""))</f>
      </c>
    </row>
    <row r="11620">
      <c r="F11620">
        <f>IF(DATOS!$A11620="","",DATOS!$A11620&amp;"|"&amp;DATOS!$D11620&amp;"|"&amp;DATOS!$E11620&amp;"|"&amp;DATOS!$I11620)</f>
      </c>
      <c r="G11620">
        <f>IF(DATOS!$A11620="",0,IF(CONFIG_METADATA!$B$4&lt;&gt;"OR+EX",--(DATOS!$G11620=CONFIG_METADATA!$B$4),IF(DATOS!$G11620="EX",1,IF(DATOS!$G11620="OR",--(COUNTIFS(nNIA,DATOS!$A11620,nCURSO,DATOS!$D11620,nESPEC,DATOS!$E11620,nASIG,DATOS!$I11620,nEVAL,"EX")=0),0))))</f>
      </c>
      <c r="H11620">
        <f>IF(DATOS!$G11620&lt;&gt;"EX",0,--(COUNTIFS(nNIA,DATOS!$A11620,nCURSO,DATOS!$D11620,nESPEC,DATOS!$E11620,nASIG,DATOS!$I11620,nEVAL,"OR")=0))</f>
      </c>
      <c r="I11620">
        <f>IF(DATOS!$I11620="","",IFERROR(VLOOKUP(DATOS!$I11620,CONFIG_ASIGNATURAS!$B$2:$J$91,9,FALSE()),""))</f>
      </c>
    </row>
    <row r="11621">
      <c r="F11621">
        <f>IF(DATOS!$A11621="","",DATOS!$A11621&amp;"|"&amp;DATOS!$D11621&amp;"|"&amp;DATOS!$E11621&amp;"|"&amp;DATOS!$I11621)</f>
      </c>
      <c r="G11621">
        <f>IF(DATOS!$A11621="",0,IF(CONFIG_METADATA!$B$4&lt;&gt;"OR+EX",--(DATOS!$G11621=CONFIG_METADATA!$B$4),IF(DATOS!$G11621="EX",1,IF(DATOS!$G11621="OR",--(COUNTIFS(nNIA,DATOS!$A11621,nCURSO,DATOS!$D11621,nESPEC,DATOS!$E11621,nASIG,DATOS!$I11621,nEVAL,"EX")=0),0))))</f>
      </c>
      <c r="H11621">
        <f>IF(DATOS!$G11621&lt;&gt;"EX",0,--(COUNTIFS(nNIA,DATOS!$A11621,nCURSO,DATOS!$D11621,nESPEC,DATOS!$E11621,nASIG,DATOS!$I11621,nEVAL,"OR")=0))</f>
      </c>
      <c r="I11621">
        <f>IF(DATOS!$I11621="","",IFERROR(VLOOKUP(DATOS!$I11621,CONFIG_ASIGNATURAS!$B$2:$J$91,9,FALSE()),""))</f>
      </c>
    </row>
    <row r="11622">
      <c r="F11622">
        <f>IF(DATOS!$A11622="","",DATOS!$A11622&amp;"|"&amp;DATOS!$D11622&amp;"|"&amp;DATOS!$E11622&amp;"|"&amp;DATOS!$I11622)</f>
      </c>
      <c r="G11622">
        <f>IF(DATOS!$A11622="",0,IF(CONFIG_METADATA!$B$4&lt;&gt;"OR+EX",--(DATOS!$G11622=CONFIG_METADATA!$B$4),IF(DATOS!$G11622="EX",1,IF(DATOS!$G11622="OR",--(COUNTIFS(nNIA,DATOS!$A11622,nCURSO,DATOS!$D11622,nESPEC,DATOS!$E11622,nASIG,DATOS!$I11622,nEVAL,"EX")=0),0))))</f>
      </c>
      <c r="H11622">
        <f>IF(DATOS!$G11622&lt;&gt;"EX",0,--(COUNTIFS(nNIA,DATOS!$A11622,nCURSO,DATOS!$D11622,nESPEC,DATOS!$E11622,nASIG,DATOS!$I11622,nEVAL,"OR")=0))</f>
      </c>
      <c r="I11622">
        <f>IF(DATOS!$I11622="","",IFERROR(VLOOKUP(DATOS!$I11622,CONFIG_ASIGNATURAS!$B$2:$J$91,9,FALSE()),""))</f>
      </c>
    </row>
    <row r="11623">
      <c r="F11623">
        <f>IF(DATOS!$A11623="","",DATOS!$A11623&amp;"|"&amp;DATOS!$D11623&amp;"|"&amp;DATOS!$E11623&amp;"|"&amp;DATOS!$I11623)</f>
      </c>
      <c r="G11623">
        <f>IF(DATOS!$A11623="",0,IF(CONFIG_METADATA!$B$4&lt;&gt;"OR+EX",--(DATOS!$G11623=CONFIG_METADATA!$B$4),IF(DATOS!$G11623="EX",1,IF(DATOS!$G11623="OR",--(COUNTIFS(nNIA,DATOS!$A11623,nCURSO,DATOS!$D11623,nESPEC,DATOS!$E11623,nASIG,DATOS!$I11623,nEVAL,"EX")=0),0))))</f>
      </c>
      <c r="H11623">
        <f>IF(DATOS!$G11623&lt;&gt;"EX",0,--(COUNTIFS(nNIA,DATOS!$A11623,nCURSO,DATOS!$D11623,nESPEC,DATOS!$E11623,nASIG,DATOS!$I11623,nEVAL,"OR")=0))</f>
      </c>
      <c r="I11623">
        <f>IF(DATOS!$I11623="","",IFERROR(VLOOKUP(DATOS!$I11623,CONFIG_ASIGNATURAS!$B$2:$J$91,9,FALSE()),""))</f>
      </c>
    </row>
    <row r="11624">
      <c r="F11624">
        <f>IF(DATOS!$A11624="","",DATOS!$A11624&amp;"|"&amp;DATOS!$D11624&amp;"|"&amp;DATOS!$E11624&amp;"|"&amp;DATOS!$I11624)</f>
      </c>
      <c r="G11624">
        <f>IF(DATOS!$A11624="",0,IF(CONFIG_METADATA!$B$4&lt;&gt;"OR+EX",--(DATOS!$G11624=CONFIG_METADATA!$B$4),IF(DATOS!$G11624="EX",1,IF(DATOS!$G11624="OR",--(COUNTIFS(nNIA,DATOS!$A11624,nCURSO,DATOS!$D11624,nESPEC,DATOS!$E11624,nASIG,DATOS!$I11624,nEVAL,"EX")=0),0))))</f>
      </c>
      <c r="H11624">
        <f>IF(DATOS!$G11624&lt;&gt;"EX",0,--(COUNTIFS(nNIA,DATOS!$A11624,nCURSO,DATOS!$D11624,nESPEC,DATOS!$E11624,nASIG,DATOS!$I11624,nEVAL,"OR")=0))</f>
      </c>
      <c r="I11624">
        <f>IF(DATOS!$I11624="","",IFERROR(VLOOKUP(DATOS!$I11624,CONFIG_ASIGNATURAS!$B$2:$J$91,9,FALSE()),""))</f>
      </c>
    </row>
    <row r="11625">
      <c r="F11625">
        <f>IF(DATOS!$A11625="","",DATOS!$A11625&amp;"|"&amp;DATOS!$D11625&amp;"|"&amp;DATOS!$E11625&amp;"|"&amp;DATOS!$I11625)</f>
      </c>
      <c r="G11625">
        <f>IF(DATOS!$A11625="",0,IF(CONFIG_METADATA!$B$4&lt;&gt;"OR+EX",--(DATOS!$G11625=CONFIG_METADATA!$B$4),IF(DATOS!$G11625="EX",1,IF(DATOS!$G11625="OR",--(COUNTIFS(nNIA,DATOS!$A11625,nCURSO,DATOS!$D11625,nESPEC,DATOS!$E11625,nASIG,DATOS!$I11625,nEVAL,"EX")=0),0))))</f>
      </c>
      <c r="H11625">
        <f>IF(DATOS!$G11625&lt;&gt;"EX",0,--(COUNTIFS(nNIA,DATOS!$A11625,nCURSO,DATOS!$D11625,nESPEC,DATOS!$E11625,nASIG,DATOS!$I11625,nEVAL,"OR")=0))</f>
      </c>
      <c r="I11625">
        <f>IF(DATOS!$I11625="","",IFERROR(VLOOKUP(DATOS!$I11625,CONFIG_ASIGNATURAS!$B$2:$J$91,9,FALSE()),""))</f>
      </c>
    </row>
    <row r="11626">
      <c r="F11626">
        <f>IF(DATOS!$A11626="","",DATOS!$A11626&amp;"|"&amp;DATOS!$D11626&amp;"|"&amp;DATOS!$E11626&amp;"|"&amp;DATOS!$I11626)</f>
      </c>
      <c r="G11626">
        <f>IF(DATOS!$A11626="",0,IF(CONFIG_METADATA!$B$4&lt;&gt;"OR+EX",--(DATOS!$G11626=CONFIG_METADATA!$B$4),IF(DATOS!$G11626="EX",1,IF(DATOS!$G11626="OR",--(COUNTIFS(nNIA,DATOS!$A11626,nCURSO,DATOS!$D11626,nESPEC,DATOS!$E11626,nASIG,DATOS!$I11626,nEVAL,"EX")=0),0))))</f>
      </c>
      <c r="H11626">
        <f>IF(DATOS!$G11626&lt;&gt;"EX",0,--(COUNTIFS(nNIA,DATOS!$A11626,nCURSO,DATOS!$D11626,nESPEC,DATOS!$E11626,nASIG,DATOS!$I11626,nEVAL,"OR")=0))</f>
      </c>
      <c r="I11626">
        <f>IF(DATOS!$I11626="","",IFERROR(VLOOKUP(DATOS!$I11626,CONFIG_ASIGNATURAS!$B$2:$J$91,9,FALSE()),""))</f>
      </c>
    </row>
    <row r="11627">
      <c r="F11627">
        <f>IF(DATOS!$A11627="","",DATOS!$A11627&amp;"|"&amp;DATOS!$D11627&amp;"|"&amp;DATOS!$E11627&amp;"|"&amp;DATOS!$I11627)</f>
      </c>
      <c r="G11627">
        <f>IF(DATOS!$A11627="",0,IF(CONFIG_METADATA!$B$4&lt;&gt;"OR+EX",--(DATOS!$G11627=CONFIG_METADATA!$B$4),IF(DATOS!$G11627="EX",1,IF(DATOS!$G11627="OR",--(COUNTIFS(nNIA,DATOS!$A11627,nCURSO,DATOS!$D11627,nESPEC,DATOS!$E11627,nASIG,DATOS!$I11627,nEVAL,"EX")=0),0))))</f>
      </c>
      <c r="H11627">
        <f>IF(DATOS!$G11627&lt;&gt;"EX",0,--(COUNTIFS(nNIA,DATOS!$A11627,nCURSO,DATOS!$D11627,nESPEC,DATOS!$E11627,nASIG,DATOS!$I11627,nEVAL,"OR")=0))</f>
      </c>
      <c r="I11627">
        <f>IF(DATOS!$I11627="","",IFERROR(VLOOKUP(DATOS!$I11627,CONFIG_ASIGNATURAS!$B$2:$J$91,9,FALSE()),""))</f>
      </c>
    </row>
    <row r="11628">
      <c r="F11628">
        <f>IF(DATOS!$A11628="","",DATOS!$A11628&amp;"|"&amp;DATOS!$D11628&amp;"|"&amp;DATOS!$E11628&amp;"|"&amp;DATOS!$I11628)</f>
      </c>
      <c r="G11628">
        <f>IF(DATOS!$A11628="",0,IF(CONFIG_METADATA!$B$4&lt;&gt;"OR+EX",--(DATOS!$G11628=CONFIG_METADATA!$B$4),IF(DATOS!$G11628="EX",1,IF(DATOS!$G11628="OR",--(COUNTIFS(nNIA,DATOS!$A11628,nCURSO,DATOS!$D11628,nESPEC,DATOS!$E11628,nASIG,DATOS!$I11628,nEVAL,"EX")=0),0))))</f>
      </c>
      <c r="H11628">
        <f>IF(DATOS!$G11628&lt;&gt;"EX",0,--(COUNTIFS(nNIA,DATOS!$A11628,nCURSO,DATOS!$D11628,nESPEC,DATOS!$E11628,nASIG,DATOS!$I11628,nEVAL,"OR")=0))</f>
      </c>
      <c r="I11628">
        <f>IF(DATOS!$I11628="","",IFERROR(VLOOKUP(DATOS!$I11628,CONFIG_ASIGNATURAS!$B$2:$J$91,9,FALSE()),""))</f>
      </c>
    </row>
    <row r="11629">
      <c r="F11629">
        <f>IF(DATOS!$A11629="","",DATOS!$A11629&amp;"|"&amp;DATOS!$D11629&amp;"|"&amp;DATOS!$E11629&amp;"|"&amp;DATOS!$I11629)</f>
      </c>
      <c r="G11629">
        <f>IF(DATOS!$A11629="",0,IF(CONFIG_METADATA!$B$4&lt;&gt;"OR+EX",--(DATOS!$G11629=CONFIG_METADATA!$B$4),IF(DATOS!$G11629="EX",1,IF(DATOS!$G11629="OR",--(COUNTIFS(nNIA,DATOS!$A11629,nCURSO,DATOS!$D11629,nESPEC,DATOS!$E11629,nASIG,DATOS!$I11629,nEVAL,"EX")=0),0))))</f>
      </c>
      <c r="H11629">
        <f>IF(DATOS!$G11629&lt;&gt;"EX",0,--(COUNTIFS(nNIA,DATOS!$A11629,nCURSO,DATOS!$D11629,nESPEC,DATOS!$E11629,nASIG,DATOS!$I11629,nEVAL,"OR")=0))</f>
      </c>
      <c r="I11629">
        <f>IF(DATOS!$I11629="","",IFERROR(VLOOKUP(DATOS!$I11629,CONFIG_ASIGNATURAS!$B$2:$J$91,9,FALSE()),""))</f>
      </c>
    </row>
    <row r="11630">
      <c r="F11630">
        <f>IF(DATOS!$A11630="","",DATOS!$A11630&amp;"|"&amp;DATOS!$D11630&amp;"|"&amp;DATOS!$E11630&amp;"|"&amp;DATOS!$I11630)</f>
      </c>
      <c r="G11630">
        <f>IF(DATOS!$A11630="",0,IF(CONFIG_METADATA!$B$4&lt;&gt;"OR+EX",--(DATOS!$G11630=CONFIG_METADATA!$B$4),IF(DATOS!$G11630="EX",1,IF(DATOS!$G11630="OR",--(COUNTIFS(nNIA,DATOS!$A11630,nCURSO,DATOS!$D11630,nESPEC,DATOS!$E11630,nASIG,DATOS!$I11630,nEVAL,"EX")=0),0))))</f>
      </c>
      <c r="H11630">
        <f>IF(DATOS!$G11630&lt;&gt;"EX",0,--(COUNTIFS(nNIA,DATOS!$A11630,nCURSO,DATOS!$D11630,nESPEC,DATOS!$E11630,nASIG,DATOS!$I11630,nEVAL,"OR")=0))</f>
      </c>
      <c r="I11630">
        <f>IF(DATOS!$I11630="","",IFERROR(VLOOKUP(DATOS!$I11630,CONFIG_ASIGNATURAS!$B$2:$J$91,9,FALSE()),""))</f>
      </c>
    </row>
    <row r="11631">
      <c r="F11631">
        <f>IF(DATOS!$A11631="","",DATOS!$A11631&amp;"|"&amp;DATOS!$D11631&amp;"|"&amp;DATOS!$E11631&amp;"|"&amp;DATOS!$I11631)</f>
      </c>
      <c r="G11631">
        <f>IF(DATOS!$A11631="",0,IF(CONFIG_METADATA!$B$4&lt;&gt;"OR+EX",--(DATOS!$G11631=CONFIG_METADATA!$B$4),IF(DATOS!$G11631="EX",1,IF(DATOS!$G11631="OR",--(COUNTIFS(nNIA,DATOS!$A11631,nCURSO,DATOS!$D11631,nESPEC,DATOS!$E11631,nASIG,DATOS!$I11631,nEVAL,"EX")=0),0))))</f>
      </c>
      <c r="H11631">
        <f>IF(DATOS!$G11631&lt;&gt;"EX",0,--(COUNTIFS(nNIA,DATOS!$A11631,nCURSO,DATOS!$D11631,nESPEC,DATOS!$E11631,nASIG,DATOS!$I11631,nEVAL,"OR")=0))</f>
      </c>
      <c r="I11631">
        <f>IF(DATOS!$I11631="","",IFERROR(VLOOKUP(DATOS!$I11631,CONFIG_ASIGNATURAS!$B$2:$J$91,9,FALSE()),""))</f>
      </c>
    </row>
    <row r="11632">
      <c r="F11632">
        <f>IF(DATOS!$A11632="","",DATOS!$A11632&amp;"|"&amp;DATOS!$D11632&amp;"|"&amp;DATOS!$E11632&amp;"|"&amp;DATOS!$I11632)</f>
      </c>
      <c r="G11632">
        <f>IF(DATOS!$A11632="",0,IF(CONFIG_METADATA!$B$4&lt;&gt;"OR+EX",--(DATOS!$G11632=CONFIG_METADATA!$B$4),IF(DATOS!$G11632="EX",1,IF(DATOS!$G11632="OR",--(COUNTIFS(nNIA,DATOS!$A11632,nCURSO,DATOS!$D11632,nESPEC,DATOS!$E11632,nASIG,DATOS!$I11632,nEVAL,"EX")=0),0))))</f>
      </c>
      <c r="H11632">
        <f>IF(DATOS!$G11632&lt;&gt;"EX",0,--(COUNTIFS(nNIA,DATOS!$A11632,nCURSO,DATOS!$D11632,nESPEC,DATOS!$E11632,nASIG,DATOS!$I11632,nEVAL,"OR")=0))</f>
      </c>
      <c r="I11632">
        <f>IF(DATOS!$I11632="","",IFERROR(VLOOKUP(DATOS!$I11632,CONFIG_ASIGNATURAS!$B$2:$J$91,9,FALSE()),""))</f>
      </c>
    </row>
    <row r="11633">
      <c r="F11633">
        <f>IF(DATOS!$A11633="","",DATOS!$A11633&amp;"|"&amp;DATOS!$D11633&amp;"|"&amp;DATOS!$E11633&amp;"|"&amp;DATOS!$I11633)</f>
      </c>
      <c r="G11633">
        <f>IF(DATOS!$A11633="",0,IF(CONFIG_METADATA!$B$4&lt;&gt;"OR+EX",--(DATOS!$G11633=CONFIG_METADATA!$B$4),IF(DATOS!$G11633="EX",1,IF(DATOS!$G11633="OR",--(COUNTIFS(nNIA,DATOS!$A11633,nCURSO,DATOS!$D11633,nESPEC,DATOS!$E11633,nASIG,DATOS!$I11633,nEVAL,"EX")=0),0))))</f>
      </c>
      <c r="H11633">
        <f>IF(DATOS!$G11633&lt;&gt;"EX",0,--(COUNTIFS(nNIA,DATOS!$A11633,nCURSO,DATOS!$D11633,nESPEC,DATOS!$E11633,nASIG,DATOS!$I11633,nEVAL,"OR")=0))</f>
      </c>
      <c r="I11633">
        <f>IF(DATOS!$I11633="","",IFERROR(VLOOKUP(DATOS!$I11633,CONFIG_ASIGNATURAS!$B$2:$J$91,9,FALSE()),""))</f>
      </c>
    </row>
    <row r="11634">
      <c r="F11634">
        <f>IF(DATOS!$A11634="","",DATOS!$A11634&amp;"|"&amp;DATOS!$D11634&amp;"|"&amp;DATOS!$E11634&amp;"|"&amp;DATOS!$I11634)</f>
      </c>
      <c r="G11634">
        <f>IF(DATOS!$A11634="",0,IF(CONFIG_METADATA!$B$4&lt;&gt;"OR+EX",--(DATOS!$G11634=CONFIG_METADATA!$B$4),IF(DATOS!$G11634="EX",1,IF(DATOS!$G11634="OR",--(COUNTIFS(nNIA,DATOS!$A11634,nCURSO,DATOS!$D11634,nESPEC,DATOS!$E11634,nASIG,DATOS!$I11634,nEVAL,"EX")=0),0))))</f>
      </c>
      <c r="H11634">
        <f>IF(DATOS!$G11634&lt;&gt;"EX",0,--(COUNTIFS(nNIA,DATOS!$A11634,nCURSO,DATOS!$D11634,nESPEC,DATOS!$E11634,nASIG,DATOS!$I11634,nEVAL,"OR")=0))</f>
      </c>
      <c r="I11634">
        <f>IF(DATOS!$I11634="","",IFERROR(VLOOKUP(DATOS!$I11634,CONFIG_ASIGNATURAS!$B$2:$J$91,9,FALSE()),""))</f>
      </c>
    </row>
    <row r="11635">
      <c r="F11635">
        <f>IF(DATOS!$A11635="","",DATOS!$A11635&amp;"|"&amp;DATOS!$D11635&amp;"|"&amp;DATOS!$E11635&amp;"|"&amp;DATOS!$I11635)</f>
      </c>
      <c r="G11635">
        <f>IF(DATOS!$A11635="",0,IF(CONFIG_METADATA!$B$4&lt;&gt;"OR+EX",--(DATOS!$G11635=CONFIG_METADATA!$B$4),IF(DATOS!$G11635="EX",1,IF(DATOS!$G11635="OR",--(COUNTIFS(nNIA,DATOS!$A11635,nCURSO,DATOS!$D11635,nESPEC,DATOS!$E11635,nASIG,DATOS!$I11635,nEVAL,"EX")=0),0))))</f>
      </c>
      <c r="H11635">
        <f>IF(DATOS!$G11635&lt;&gt;"EX",0,--(COUNTIFS(nNIA,DATOS!$A11635,nCURSO,DATOS!$D11635,nESPEC,DATOS!$E11635,nASIG,DATOS!$I11635,nEVAL,"OR")=0))</f>
      </c>
      <c r="I11635">
        <f>IF(DATOS!$I11635="","",IFERROR(VLOOKUP(DATOS!$I11635,CONFIG_ASIGNATURAS!$B$2:$J$91,9,FALSE()),""))</f>
      </c>
    </row>
    <row r="11636">
      <c r="F11636">
        <f>IF(DATOS!$A11636="","",DATOS!$A11636&amp;"|"&amp;DATOS!$D11636&amp;"|"&amp;DATOS!$E11636&amp;"|"&amp;DATOS!$I11636)</f>
      </c>
      <c r="G11636">
        <f>IF(DATOS!$A11636="",0,IF(CONFIG_METADATA!$B$4&lt;&gt;"OR+EX",--(DATOS!$G11636=CONFIG_METADATA!$B$4),IF(DATOS!$G11636="EX",1,IF(DATOS!$G11636="OR",--(COUNTIFS(nNIA,DATOS!$A11636,nCURSO,DATOS!$D11636,nESPEC,DATOS!$E11636,nASIG,DATOS!$I11636,nEVAL,"EX")=0),0))))</f>
      </c>
      <c r="H11636">
        <f>IF(DATOS!$G11636&lt;&gt;"EX",0,--(COUNTIFS(nNIA,DATOS!$A11636,nCURSO,DATOS!$D11636,nESPEC,DATOS!$E11636,nASIG,DATOS!$I11636,nEVAL,"OR")=0))</f>
      </c>
      <c r="I11636">
        <f>IF(DATOS!$I11636="","",IFERROR(VLOOKUP(DATOS!$I11636,CONFIG_ASIGNATURAS!$B$2:$J$91,9,FALSE()),""))</f>
      </c>
    </row>
    <row r="11637">
      <c r="F11637">
        <f>IF(DATOS!$A11637="","",DATOS!$A11637&amp;"|"&amp;DATOS!$D11637&amp;"|"&amp;DATOS!$E11637&amp;"|"&amp;DATOS!$I11637)</f>
      </c>
      <c r="G11637">
        <f>IF(DATOS!$A11637="",0,IF(CONFIG_METADATA!$B$4&lt;&gt;"OR+EX",--(DATOS!$G11637=CONFIG_METADATA!$B$4),IF(DATOS!$G11637="EX",1,IF(DATOS!$G11637="OR",--(COUNTIFS(nNIA,DATOS!$A11637,nCURSO,DATOS!$D11637,nESPEC,DATOS!$E11637,nASIG,DATOS!$I11637,nEVAL,"EX")=0),0))))</f>
      </c>
      <c r="H11637">
        <f>IF(DATOS!$G11637&lt;&gt;"EX",0,--(COUNTIFS(nNIA,DATOS!$A11637,nCURSO,DATOS!$D11637,nESPEC,DATOS!$E11637,nASIG,DATOS!$I11637,nEVAL,"OR")=0))</f>
      </c>
      <c r="I11637">
        <f>IF(DATOS!$I11637="","",IFERROR(VLOOKUP(DATOS!$I11637,CONFIG_ASIGNATURAS!$B$2:$J$91,9,FALSE()),""))</f>
      </c>
    </row>
    <row r="11638">
      <c r="F11638">
        <f>IF(DATOS!$A11638="","",DATOS!$A11638&amp;"|"&amp;DATOS!$D11638&amp;"|"&amp;DATOS!$E11638&amp;"|"&amp;DATOS!$I11638)</f>
      </c>
      <c r="G11638">
        <f>IF(DATOS!$A11638="",0,IF(CONFIG_METADATA!$B$4&lt;&gt;"OR+EX",--(DATOS!$G11638=CONFIG_METADATA!$B$4),IF(DATOS!$G11638="EX",1,IF(DATOS!$G11638="OR",--(COUNTIFS(nNIA,DATOS!$A11638,nCURSO,DATOS!$D11638,nESPEC,DATOS!$E11638,nASIG,DATOS!$I11638,nEVAL,"EX")=0),0))))</f>
      </c>
      <c r="H11638">
        <f>IF(DATOS!$G11638&lt;&gt;"EX",0,--(COUNTIFS(nNIA,DATOS!$A11638,nCURSO,DATOS!$D11638,nESPEC,DATOS!$E11638,nASIG,DATOS!$I11638,nEVAL,"OR")=0))</f>
      </c>
      <c r="I11638">
        <f>IF(DATOS!$I11638="","",IFERROR(VLOOKUP(DATOS!$I11638,CONFIG_ASIGNATURAS!$B$2:$J$91,9,FALSE()),""))</f>
      </c>
    </row>
    <row r="11639">
      <c r="F11639">
        <f>IF(DATOS!$A11639="","",DATOS!$A11639&amp;"|"&amp;DATOS!$D11639&amp;"|"&amp;DATOS!$E11639&amp;"|"&amp;DATOS!$I11639)</f>
      </c>
      <c r="G11639">
        <f>IF(DATOS!$A11639="",0,IF(CONFIG_METADATA!$B$4&lt;&gt;"OR+EX",--(DATOS!$G11639=CONFIG_METADATA!$B$4),IF(DATOS!$G11639="EX",1,IF(DATOS!$G11639="OR",--(COUNTIFS(nNIA,DATOS!$A11639,nCURSO,DATOS!$D11639,nESPEC,DATOS!$E11639,nASIG,DATOS!$I11639,nEVAL,"EX")=0),0))))</f>
      </c>
      <c r="H11639">
        <f>IF(DATOS!$G11639&lt;&gt;"EX",0,--(COUNTIFS(nNIA,DATOS!$A11639,nCURSO,DATOS!$D11639,nESPEC,DATOS!$E11639,nASIG,DATOS!$I11639,nEVAL,"OR")=0))</f>
      </c>
      <c r="I11639">
        <f>IF(DATOS!$I11639="","",IFERROR(VLOOKUP(DATOS!$I11639,CONFIG_ASIGNATURAS!$B$2:$J$91,9,FALSE()),""))</f>
      </c>
    </row>
    <row r="11640">
      <c r="F11640">
        <f>IF(DATOS!$A11640="","",DATOS!$A11640&amp;"|"&amp;DATOS!$D11640&amp;"|"&amp;DATOS!$E11640&amp;"|"&amp;DATOS!$I11640)</f>
      </c>
      <c r="G11640">
        <f>IF(DATOS!$A11640="",0,IF(CONFIG_METADATA!$B$4&lt;&gt;"OR+EX",--(DATOS!$G11640=CONFIG_METADATA!$B$4),IF(DATOS!$G11640="EX",1,IF(DATOS!$G11640="OR",--(COUNTIFS(nNIA,DATOS!$A11640,nCURSO,DATOS!$D11640,nESPEC,DATOS!$E11640,nASIG,DATOS!$I11640,nEVAL,"EX")=0),0))))</f>
      </c>
      <c r="H11640">
        <f>IF(DATOS!$G11640&lt;&gt;"EX",0,--(COUNTIFS(nNIA,DATOS!$A11640,nCURSO,DATOS!$D11640,nESPEC,DATOS!$E11640,nASIG,DATOS!$I11640,nEVAL,"OR")=0))</f>
      </c>
      <c r="I11640">
        <f>IF(DATOS!$I11640="","",IFERROR(VLOOKUP(DATOS!$I11640,CONFIG_ASIGNATURAS!$B$2:$J$91,9,FALSE()),""))</f>
      </c>
    </row>
    <row r="11641">
      <c r="F11641">
        <f>IF(DATOS!$A11641="","",DATOS!$A11641&amp;"|"&amp;DATOS!$D11641&amp;"|"&amp;DATOS!$E11641&amp;"|"&amp;DATOS!$I11641)</f>
      </c>
      <c r="G11641">
        <f>IF(DATOS!$A11641="",0,IF(CONFIG_METADATA!$B$4&lt;&gt;"OR+EX",--(DATOS!$G11641=CONFIG_METADATA!$B$4),IF(DATOS!$G11641="EX",1,IF(DATOS!$G11641="OR",--(COUNTIFS(nNIA,DATOS!$A11641,nCURSO,DATOS!$D11641,nESPEC,DATOS!$E11641,nASIG,DATOS!$I11641,nEVAL,"EX")=0),0))))</f>
      </c>
      <c r="H11641">
        <f>IF(DATOS!$G11641&lt;&gt;"EX",0,--(COUNTIFS(nNIA,DATOS!$A11641,nCURSO,DATOS!$D11641,nESPEC,DATOS!$E11641,nASIG,DATOS!$I11641,nEVAL,"OR")=0))</f>
      </c>
      <c r="I11641">
        <f>IF(DATOS!$I11641="","",IFERROR(VLOOKUP(DATOS!$I11641,CONFIG_ASIGNATURAS!$B$2:$J$91,9,FALSE()),""))</f>
      </c>
    </row>
    <row r="11642">
      <c r="F11642">
        <f>IF(DATOS!$A11642="","",DATOS!$A11642&amp;"|"&amp;DATOS!$D11642&amp;"|"&amp;DATOS!$E11642&amp;"|"&amp;DATOS!$I11642)</f>
      </c>
      <c r="G11642">
        <f>IF(DATOS!$A11642="",0,IF(CONFIG_METADATA!$B$4&lt;&gt;"OR+EX",--(DATOS!$G11642=CONFIG_METADATA!$B$4),IF(DATOS!$G11642="EX",1,IF(DATOS!$G11642="OR",--(COUNTIFS(nNIA,DATOS!$A11642,nCURSO,DATOS!$D11642,nESPEC,DATOS!$E11642,nASIG,DATOS!$I11642,nEVAL,"EX")=0),0))))</f>
      </c>
      <c r="H11642">
        <f>IF(DATOS!$G11642&lt;&gt;"EX",0,--(COUNTIFS(nNIA,DATOS!$A11642,nCURSO,DATOS!$D11642,nESPEC,DATOS!$E11642,nASIG,DATOS!$I11642,nEVAL,"OR")=0))</f>
      </c>
      <c r="I11642">
        <f>IF(DATOS!$I11642="","",IFERROR(VLOOKUP(DATOS!$I11642,CONFIG_ASIGNATURAS!$B$2:$J$91,9,FALSE()),""))</f>
      </c>
    </row>
    <row r="11643">
      <c r="F11643">
        <f>IF(DATOS!$A11643="","",DATOS!$A11643&amp;"|"&amp;DATOS!$D11643&amp;"|"&amp;DATOS!$E11643&amp;"|"&amp;DATOS!$I11643)</f>
      </c>
      <c r="G11643">
        <f>IF(DATOS!$A11643="",0,IF(CONFIG_METADATA!$B$4&lt;&gt;"OR+EX",--(DATOS!$G11643=CONFIG_METADATA!$B$4),IF(DATOS!$G11643="EX",1,IF(DATOS!$G11643="OR",--(COUNTIFS(nNIA,DATOS!$A11643,nCURSO,DATOS!$D11643,nESPEC,DATOS!$E11643,nASIG,DATOS!$I11643,nEVAL,"EX")=0),0))))</f>
      </c>
      <c r="H11643">
        <f>IF(DATOS!$G11643&lt;&gt;"EX",0,--(COUNTIFS(nNIA,DATOS!$A11643,nCURSO,DATOS!$D11643,nESPEC,DATOS!$E11643,nASIG,DATOS!$I11643,nEVAL,"OR")=0))</f>
      </c>
      <c r="I11643">
        <f>IF(DATOS!$I11643="","",IFERROR(VLOOKUP(DATOS!$I11643,CONFIG_ASIGNATURAS!$B$2:$J$91,9,FALSE()),""))</f>
      </c>
    </row>
    <row r="11644">
      <c r="F11644">
        <f>IF(DATOS!$A11644="","",DATOS!$A11644&amp;"|"&amp;DATOS!$D11644&amp;"|"&amp;DATOS!$E11644&amp;"|"&amp;DATOS!$I11644)</f>
      </c>
      <c r="G11644">
        <f>IF(DATOS!$A11644="",0,IF(CONFIG_METADATA!$B$4&lt;&gt;"OR+EX",--(DATOS!$G11644=CONFIG_METADATA!$B$4),IF(DATOS!$G11644="EX",1,IF(DATOS!$G11644="OR",--(COUNTIFS(nNIA,DATOS!$A11644,nCURSO,DATOS!$D11644,nESPEC,DATOS!$E11644,nASIG,DATOS!$I11644,nEVAL,"EX")=0),0))))</f>
      </c>
      <c r="H11644">
        <f>IF(DATOS!$G11644&lt;&gt;"EX",0,--(COUNTIFS(nNIA,DATOS!$A11644,nCURSO,DATOS!$D11644,nESPEC,DATOS!$E11644,nASIG,DATOS!$I11644,nEVAL,"OR")=0))</f>
      </c>
      <c r="I11644">
        <f>IF(DATOS!$I11644="","",IFERROR(VLOOKUP(DATOS!$I11644,CONFIG_ASIGNATURAS!$B$2:$J$91,9,FALSE()),""))</f>
      </c>
    </row>
    <row r="11645">
      <c r="F11645">
        <f>IF(DATOS!$A11645="","",DATOS!$A11645&amp;"|"&amp;DATOS!$D11645&amp;"|"&amp;DATOS!$E11645&amp;"|"&amp;DATOS!$I11645)</f>
      </c>
      <c r="G11645">
        <f>IF(DATOS!$A11645="",0,IF(CONFIG_METADATA!$B$4&lt;&gt;"OR+EX",--(DATOS!$G11645=CONFIG_METADATA!$B$4),IF(DATOS!$G11645="EX",1,IF(DATOS!$G11645="OR",--(COUNTIFS(nNIA,DATOS!$A11645,nCURSO,DATOS!$D11645,nESPEC,DATOS!$E11645,nASIG,DATOS!$I11645,nEVAL,"EX")=0),0))))</f>
      </c>
      <c r="H11645">
        <f>IF(DATOS!$G11645&lt;&gt;"EX",0,--(COUNTIFS(nNIA,DATOS!$A11645,nCURSO,DATOS!$D11645,nESPEC,DATOS!$E11645,nASIG,DATOS!$I11645,nEVAL,"OR")=0))</f>
      </c>
      <c r="I11645">
        <f>IF(DATOS!$I11645="","",IFERROR(VLOOKUP(DATOS!$I11645,CONFIG_ASIGNATURAS!$B$2:$J$91,9,FALSE()),""))</f>
      </c>
    </row>
    <row r="11646">
      <c r="F11646">
        <f>IF(DATOS!$A11646="","",DATOS!$A11646&amp;"|"&amp;DATOS!$D11646&amp;"|"&amp;DATOS!$E11646&amp;"|"&amp;DATOS!$I11646)</f>
      </c>
      <c r="G11646">
        <f>IF(DATOS!$A11646="",0,IF(CONFIG_METADATA!$B$4&lt;&gt;"OR+EX",--(DATOS!$G11646=CONFIG_METADATA!$B$4),IF(DATOS!$G11646="EX",1,IF(DATOS!$G11646="OR",--(COUNTIFS(nNIA,DATOS!$A11646,nCURSO,DATOS!$D11646,nESPEC,DATOS!$E11646,nASIG,DATOS!$I11646,nEVAL,"EX")=0),0))))</f>
      </c>
      <c r="H11646">
        <f>IF(DATOS!$G11646&lt;&gt;"EX",0,--(COUNTIFS(nNIA,DATOS!$A11646,nCURSO,DATOS!$D11646,nESPEC,DATOS!$E11646,nASIG,DATOS!$I11646,nEVAL,"OR")=0))</f>
      </c>
      <c r="I11646">
        <f>IF(DATOS!$I11646="","",IFERROR(VLOOKUP(DATOS!$I11646,CONFIG_ASIGNATURAS!$B$2:$J$91,9,FALSE()),""))</f>
      </c>
    </row>
    <row r="11647">
      <c r="F11647">
        <f>IF(DATOS!$A11647="","",DATOS!$A11647&amp;"|"&amp;DATOS!$D11647&amp;"|"&amp;DATOS!$E11647&amp;"|"&amp;DATOS!$I11647)</f>
      </c>
      <c r="G11647">
        <f>IF(DATOS!$A11647="",0,IF(CONFIG_METADATA!$B$4&lt;&gt;"OR+EX",--(DATOS!$G11647=CONFIG_METADATA!$B$4),IF(DATOS!$G11647="EX",1,IF(DATOS!$G11647="OR",--(COUNTIFS(nNIA,DATOS!$A11647,nCURSO,DATOS!$D11647,nESPEC,DATOS!$E11647,nASIG,DATOS!$I11647,nEVAL,"EX")=0),0))))</f>
      </c>
      <c r="H11647">
        <f>IF(DATOS!$G11647&lt;&gt;"EX",0,--(COUNTIFS(nNIA,DATOS!$A11647,nCURSO,DATOS!$D11647,nESPEC,DATOS!$E11647,nASIG,DATOS!$I11647,nEVAL,"OR")=0))</f>
      </c>
      <c r="I11647">
        <f>IF(DATOS!$I11647="","",IFERROR(VLOOKUP(DATOS!$I11647,CONFIG_ASIGNATURAS!$B$2:$J$91,9,FALSE()),""))</f>
      </c>
    </row>
    <row r="11648">
      <c r="F11648">
        <f>IF(DATOS!$A11648="","",DATOS!$A11648&amp;"|"&amp;DATOS!$D11648&amp;"|"&amp;DATOS!$E11648&amp;"|"&amp;DATOS!$I11648)</f>
      </c>
      <c r="G11648">
        <f>IF(DATOS!$A11648="",0,IF(CONFIG_METADATA!$B$4&lt;&gt;"OR+EX",--(DATOS!$G11648=CONFIG_METADATA!$B$4),IF(DATOS!$G11648="EX",1,IF(DATOS!$G11648="OR",--(COUNTIFS(nNIA,DATOS!$A11648,nCURSO,DATOS!$D11648,nESPEC,DATOS!$E11648,nASIG,DATOS!$I11648,nEVAL,"EX")=0),0))))</f>
      </c>
      <c r="H11648">
        <f>IF(DATOS!$G11648&lt;&gt;"EX",0,--(COUNTIFS(nNIA,DATOS!$A11648,nCURSO,DATOS!$D11648,nESPEC,DATOS!$E11648,nASIG,DATOS!$I11648,nEVAL,"OR")=0))</f>
      </c>
      <c r="I11648">
        <f>IF(DATOS!$I11648="","",IFERROR(VLOOKUP(DATOS!$I11648,CONFIG_ASIGNATURAS!$B$2:$J$91,9,FALSE()),""))</f>
      </c>
    </row>
    <row r="11649">
      <c r="F11649">
        <f>IF(DATOS!$A11649="","",DATOS!$A11649&amp;"|"&amp;DATOS!$D11649&amp;"|"&amp;DATOS!$E11649&amp;"|"&amp;DATOS!$I11649)</f>
      </c>
      <c r="G11649">
        <f>IF(DATOS!$A11649="",0,IF(CONFIG_METADATA!$B$4&lt;&gt;"OR+EX",--(DATOS!$G11649=CONFIG_METADATA!$B$4),IF(DATOS!$G11649="EX",1,IF(DATOS!$G11649="OR",--(COUNTIFS(nNIA,DATOS!$A11649,nCURSO,DATOS!$D11649,nESPEC,DATOS!$E11649,nASIG,DATOS!$I11649,nEVAL,"EX")=0),0))))</f>
      </c>
      <c r="H11649">
        <f>IF(DATOS!$G11649&lt;&gt;"EX",0,--(COUNTIFS(nNIA,DATOS!$A11649,nCURSO,DATOS!$D11649,nESPEC,DATOS!$E11649,nASIG,DATOS!$I11649,nEVAL,"OR")=0))</f>
      </c>
      <c r="I11649">
        <f>IF(DATOS!$I11649="","",IFERROR(VLOOKUP(DATOS!$I11649,CONFIG_ASIGNATURAS!$B$2:$J$91,9,FALSE()),""))</f>
      </c>
    </row>
    <row r="11650">
      <c r="F11650">
        <f>IF(DATOS!$A11650="","",DATOS!$A11650&amp;"|"&amp;DATOS!$D11650&amp;"|"&amp;DATOS!$E11650&amp;"|"&amp;DATOS!$I11650)</f>
      </c>
      <c r="G11650">
        <f>IF(DATOS!$A11650="",0,IF(CONFIG_METADATA!$B$4&lt;&gt;"OR+EX",--(DATOS!$G11650=CONFIG_METADATA!$B$4),IF(DATOS!$G11650="EX",1,IF(DATOS!$G11650="OR",--(COUNTIFS(nNIA,DATOS!$A11650,nCURSO,DATOS!$D11650,nESPEC,DATOS!$E11650,nASIG,DATOS!$I11650,nEVAL,"EX")=0),0))))</f>
      </c>
      <c r="H11650">
        <f>IF(DATOS!$G11650&lt;&gt;"EX",0,--(COUNTIFS(nNIA,DATOS!$A11650,nCURSO,DATOS!$D11650,nESPEC,DATOS!$E11650,nASIG,DATOS!$I11650,nEVAL,"OR")=0))</f>
      </c>
      <c r="I11650">
        <f>IF(DATOS!$I11650="","",IFERROR(VLOOKUP(DATOS!$I11650,CONFIG_ASIGNATURAS!$B$2:$J$91,9,FALSE()),""))</f>
      </c>
    </row>
    <row r="11651">
      <c r="F11651">
        <f>IF(DATOS!$A11651="","",DATOS!$A11651&amp;"|"&amp;DATOS!$D11651&amp;"|"&amp;DATOS!$E11651&amp;"|"&amp;DATOS!$I11651)</f>
      </c>
      <c r="G11651">
        <f>IF(DATOS!$A11651="",0,IF(CONFIG_METADATA!$B$4&lt;&gt;"OR+EX",--(DATOS!$G11651=CONFIG_METADATA!$B$4),IF(DATOS!$G11651="EX",1,IF(DATOS!$G11651="OR",--(COUNTIFS(nNIA,DATOS!$A11651,nCURSO,DATOS!$D11651,nESPEC,DATOS!$E11651,nASIG,DATOS!$I11651,nEVAL,"EX")=0),0))))</f>
      </c>
      <c r="H11651">
        <f>IF(DATOS!$G11651&lt;&gt;"EX",0,--(COUNTIFS(nNIA,DATOS!$A11651,nCURSO,DATOS!$D11651,nESPEC,DATOS!$E11651,nASIG,DATOS!$I11651,nEVAL,"OR")=0))</f>
      </c>
      <c r="I11651">
        <f>IF(DATOS!$I11651="","",IFERROR(VLOOKUP(DATOS!$I11651,CONFIG_ASIGNATURAS!$B$2:$J$91,9,FALSE()),""))</f>
      </c>
    </row>
    <row r="11652">
      <c r="F11652">
        <f>IF(DATOS!$A11652="","",DATOS!$A11652&amp;"|"&amp;DATOS!$D11652&amp;"|"&amp;DATOS!$E11652&amp;"|"&amp;DATOS!$I11652)</f>
      </c>
      <c r="G11652">
        <f>IF(DATOS!$A11652="",0,IF(CONFIG_METADATA!$B$4&lt;&gt;"OR+EX",--(DATOS!$G11652=CONFIG_METADATA!$B$4),IF(DATOS!$G11652="EX",1,IF(DATOS!$G11652="OR",--(COUNTIFS(nNIA,DATOS!$A11652,nCURSO,DATOS!$D11652,nESPEC,DATOS!$E11652,nASIG,DATOS!$I11652,nEVAL,"EX")=0),0))))</f>
      </c>
      <c r="H11652">
        <f>IF(DATOS!$G11652&lt;&gt;"EX",0,--(COUNTIFS(nNIA,DATOS!$A11652,nCURSO,DATOS!$D11652,nESPEC,DATOS!$E11652,nASIG,DATOS!$I11652,nEVAL,"OR")=0))</f>
      </c>
      <c r="I11652">
        <f>IF(DATOS!$I11652="","",IFERROR(VLOOKUP(DATOS!$I11652,CONFIG_ASIGNATURAS!$B$2:$J$91,9,FALSE()),""))</f>
      </c>
    </row>
    <row r="11653">
      <c r="F11653">
        <f>IF(DATOS!$A11653="","",DATOS!$A11653&amp;"|"&amp;DATOS!$D11653&amp;"|"&amp;DATOS!$E11653&amp;"|"&amp;DATOS!$I11653)</f>
      </c>
      <c r="G11653">
        <f>IF(DATOS!$A11653="",0,IF(CONFIG_METADATA!$B$4&lt;&gt;"OR+EX",--(DATOS!$G11653=CONFIG_METADATA!$B$4),IF(DATOS!$G11653="EX",1,IF(DATOS!$G11653="OR",--(COUNTIFS(nNIA,DATOS!$A11653,nCURSO,DATOS!$D11653,nESPEC,DATOS!$E11653,nASIG,DATOS!$I11653,nEVAL,"EX")=0),0))))</f>
      </c>
      <c r="H11653">
        <f>IF(DATOS!$G11653&lt;&gt;"EX",0,--(COUNTIFS(nNIA,DATOS!$A11653,nCURSO,DATOS!$D11653,nESPEC,DATOS!$E11653,nASIG,DATOS!$I11653,nEVAL,"OR")=0))</f>
      </c>
      <c r="I11653">
        <f>IF(DATOS!$I11653="","",IFERROR(VLOOKUP(DATOS!$I11653,CONFIG_ASIGNATURAS!$B$2:$J$91,9,FALSE()),""))</f>
      </c>
    </row>
    <row r="11654">
      <c r="F11654">
        <f>IF(DATOS!$A11654="","",DATOS!$A11654&amp;"|"&amp;DATOS!$D11654&amp;"|"&amp;DATOS!$E11654&amp;"|"&amp;DATOS!$I11654)</f>
      </c>
      <c r="G11654">
        <f>IF(DATOS!$A11654="",0,IF(CONFIG_METADATA!$B$4&lt;&gt;"OR+EX",--(DATOS!$G11654=CONFIG_METADATA!$B$4),IF(DATOS!$G11654="EX",1,IF(DATOS!$G11654="OR",--(COUNTIFS(nNIA,DATOS!$A11654,nCURSO,DATOS!$D11654,nESPEC,DATOS!$E11654,nASIG,DATOS!$I11654,nEVAL,"EX")=0),0))))</f>
      </c>
      <c r="H11654">
        <f>IF(DATOS!$G11654&lt;&gt;"EX",0,--(COUNTIFS(nNIA,DATOS!$A11654,nCURSO,DATOS!$D11654,nESPEC,DATOS!$E11654,nASIG,DATOS!$I11654,nEVAL,"OR")=0))</f>
      </c>
      <c r="I11654">
        <f>IF(DATOS!$I11654="","",IFERROR(VLOOKUP(DATOS!$I11654,CONFIG_ASIGNATURAS!$B$2:$J$91,9,FALSE()),""))</f>
      </c>
    </row>
    <row r="11655">
      <c r="F11655">
        <f>IF(DATOS!$A11655="","",DATOS!$A11655&amp;"|"&amp;DATOS!$D11655&amp;"|"&amp;DATOS!$E11655&amp;"|"&amp;DATOS!$I11655)</f>
      </c>
      <c r="G11655">
        <f>IF(DATOS!$A11655="",0,IF(CONFIG_METADATA!$B$4&lt;&gt;"OR+EX",--(DATOS!$G11655=CONFIG_METADATA!$B$4),IF(DATOS!$G11655="EX",1,IF(DATOS!$G11655="OR",--(COUNTIFS(nNIA,DATOS!$A11655,nCURSO,DATOS!$D11655,nESPEC,DATOS!$E11655,nASIG,DATOS!$I11655,nEVAL,"EX")=0),0))))</f>
      </c>
      <c r="H11655">
        <f>IF(DATOS!$G11655&lt;&gt;"EX",0,--(COUNTIFS(nNIA,DATOS!$A11655,nCURSO,DATOS!$D11655,nESPEC,DATOS!$E11655,nASIG,DATOS!$I11655,nEVAL,"OR")=0))</f>
      </c>
      <c r="I11655">
        <f>IF(DATOS!$I11655="","",IFERROR(VLOOKUP(DATOS!$I11655,CONFIG_ASIGNATURAS!$B$2:$J$91,9,FALSE()),""))</f>
      </c>
    </row>
    <row r="11656">
      <c r="F11656">
        <f>IF(DATOS!$A11656="","",DATOS!$A11656&amp;"|"&amp;DATOS!$D11656&amp;"|"&amp;DATOS!$E11656&amp;"|"&amp;DATOS!$I11656)</f>
      </c>
      <c r="G11656">
        <f>IF(DATOS!$A11656="",0,IF(CONFIG_METADATA!$B$4&lt;&gt;"OR+EX",--(DATOS!$G11656=CONFIG_METADATA!$B$4),IF(DATOS!$G11656="EX",1,IF(DATOS!$G11656="OR",--(COUNTIFS(nNIA,DATOS!$A11656,nCURSO,DATOS!$D11656,nESPEC,DATOS!$E11656,nASIG,DATOS!$I11656,nEVAL,"EX")=0),0))))</f>
      </c>
      <c r="H11656">
        <f>IF(DATOS!$G11656&lt;&gt;"EX",0,--(COUNTIFS(nNIA,DATOS!$A11656,nCURSO,DATOS!$D11656,nESPEC,DATOS!$E11656,nASIG,DATOS!$I11656,nEVAL,"OR")=0))</f>
      </c>
      <c r="I11656">
        <f>IF(DATOS!$I11656="","",IFERROR(VLOOKUP(DATOS!$I11656,CONFIG_ASIGNATURAS!$B$2:$J$91,9,FALSE()),""))</f>
      </c>
    </row>
    <row r="11657">
      <c r="F11657">
        <f>IF(DATOS!$A11657="","",DATOS!$A11657&amp;"|"&amp;DATOS!$D11657&amp;"|"&amp;DATOS!$E11657&amp;"|"&amp;DATOS!$I11657)</f>
      </c>
      <c r="G11657">
        <f>IF(DATOS!$A11657="",0,IF(CONFIG_METADATA!$B$4&lt;&gt;"OR+EX",--(DATOS!$G11657=CONFIG_METADATA!$B$4),IF(DATOS!$G11657="EX",1,IF(DATOS!$G11657="OR",--(COUNTIFS(nNIA,DATOS!$A11657,nCURSO,DATOS!$D11657,nESPEC,DATOS!$E11657,nASIG,DATOS!$I11657,nEVAL,"EX")=0),0))))</f>
      </c>
      <c r="H11657">
        <f>IF(DATOS!$G11657&lt;&gt;"EX",0,--(COUNTIFS(nNIA,DATOS!$A11657,nCURSO,DATOS!$D11657,nESPEC,DATOS!$E11657,nASIG,DATOS!$I11657,nEVAL,"OR")=0))</f>
      </c>
      <c r="I11657">
        <f>IF(DATOS!$I11657="","",IFERROR(VLOOKUP(DATOS!$I11657,CONFIG_ASIGNATURAS!$B$2:$J$91,9,FALSE()),""))</f>
      </c>
    </row>
    <row r="11658">
      <c r="F11658">
        <f>IF(DATOS!$A11658="","",DATOS!$A11658&amp;"|"&amp;DATOS!$D11658&amp;"|"&amp;DATOS!$E11658&amp;"|"&amp;DATOS!$I11658)</f>
      </c>
      <c r="G11658">
        <f>IF(DATOS!$A11658="",0,IF(CONFIG_METADATA!$B$4&lt;&gt;"OR+EX",--(DATOS!$G11658=CONFIG_METADATA!$B$4),IF(DATOS!$G11658="EX",1,IF(DATOS!$G11658="OR",--(COUNTIFS(nNIA,DATOS!$A11658,nCURSO,DATOS!$D11658,nESPEC,DATOS!$E11658,nASIG,DATOS!$I11658,nEVAL,"EX")=0),0))))</f>
      </c>
      <c r="H11658">
        <f>IF(DATOS!$G11658&lt;&gt;"EX",0,--(COUNTIFS(nNIA,DATOS!$A11658,nCURSO,DATOS!$D11658,nESPEC,DATOS!$E11658,nASIG,DATOS!$I11658,nEVAL,"OR")=0))</f>
      </c>
      <c r="I11658">
        <f>IF(DATOS!$I11658="","",IFERROR(VLOOKUP(DATOS!$I11658,CONFIG_ASIGNATURAS!$B$2:$J$91,9,FALSE()),""))</f>
      </c>
    </row>
    <row r="11659">
      <c r="F11659">
        <f>IF(DATOS!$A11659="","",DATOS!$A11659&amp;"|"&amp;DATOS!$D11659&amp;"|"&amp;DATOS!$E11659&amp;"|"&amp;DATOS!$I11659)</f>
      </c>
      <c r="G11659">
        <f>IF(DATOS!$A11659="",0,IF(CONFIG_METADATA!$B$4&lt;&gt;"OR+EX",--(DATOS!$G11659=CONFIG_METADATA!$B$4),IF(DATOS!$G11659="EX",1,IF(DATOS!$G11659="OR",--(COUNTIFS(nNIA,DATOS!$A11659,nCURSO,DATOS!$D11659,nESPEC,DATOS!$E11659,nASIG,DATOS!$I11659,nEVAL,"EX")=0),0))))</f>
      </c>
      <c r="H11659">
        <f>IF(DATOS!$G11659&lt;&gt;"EX",0,--(COUNTIFS(nNIA,DATOS!$A11659,nCURSO,DATOS!$D11659,nESPEC,DATOS!$E11659,nASIG,DATOS!$I11659,nEVAL,"OR")=0))</f>
      </c>
      <c r="I11659">
        <f>IF(DATOS!$I11659="","",IFERROR(VLOOKUP(DATOS!$I11659,CONFIG_ASIGNATURAS!$B$2:$J$91,9,FALSE()),""))</f>
      </c>
    </row>
    <row r="11660">
      <c r="F11660">
        <f>IF(DATOS!$A11660="","",DATOS!$A11660&amp;"|"&amp;DATOS!$D11660&amp;"|"&amp;DATOS!$E11660&amp;"|"&amp;DATOS!$I11660)</f>
      </c>
      <c r="G11660">
        <f>IF(DATOS!$A11660="",0,IF(CONFIG_METADATA!$B$4&lt;&gt;"OR+EX",--(DATOS!$G11660=CONFIG_METADATA!$B$4),IF(DATOS!$G11660="EX",1,IF(DATOS!$G11660="OR",--(COUNTIFS(nNIA,DATOS!$A11660,nCURSO,DATOS!$D11660,nESPEC,DATOS!$E11660,nASIG,DATOS!$I11660,nEVAL,"EX")=0),0))))</f>
      </c>
      <c r="H11660">
        <f>IF(DATOS!$G11660&lt;&gt;"EX",0,--(COUNTIFS(nNIA,DATOS!$A11660,nCURSO,DATOS!$D11660,nESPEC,DATOS!$E11660,nASIG,DATOS!$I11660,nEVAL,"OR")=0))</f>
      </c>
      <c r="I11660">
        <f>IF(DATOS!$I11660="","",IFERROR(VLOOKUP(DATOS!$I11660,CONFIG_ASIGNATURAS!$B$2:$J$91,9,FALSE()),""))</f>
      </c>
    </row>
    <row r="11661">
      <c r="F11661">
        <f>IF(DATOS!$A11661="","",DATOS!$A11661&amp;"|"&amp;DATOS!$D11661&amp;"|"&amp;DATOS!$E11661&amp;"|"&amp;DATOS!$I11661)</f>
      </c>
      <c r="G11661">
        <f>IF(DATOS!$A11661="",0,IF(CONFIG_METADATA!$B$4&lt;&gt;"OR+EX",--(DATOS!$G11661=CONFIG_METADATA!$B$4),IF(DATOS!$G11661="EX",1,IF(DATOS!$G11661="OR",--(COUNTIFS(nNIA,DATOS!$A11661,nCURSO,DATOS!$D11661,nESPEC,DATOS!$E11661,nASIG,DATOS!$I11661,nEVAL,"EX")=0),0))))</f>
      </c>
      <c r="H11661">
        <f>IF(DATOS!$G11661&lt;&gt;"EX",0,--(COUNTIFS(nNIA,DATOS!$A11661,nCURSO,DATOS!$D11661,nESPEC,DATOS!$E11661,nASIG,DATOS!$I11661,nEVAL,"OR")=0))</f>
      </c>
      <c r="I11661">
        <f>IF(DATOS!$I11661="","",IFERROR(VLOOKUP(DATOS!$I11661,CONFIG_ASIGNATURAS!$B$2:$J$91,9,FALSE()),""))</f>
      </c>
    </row>
    <row r="11662">
      <c r="F11662">
        <f>IF(DATOS!$A11662="","",DATOS!$A11662&amp;"|"&amp;DATOS!$D11662&amp;"|"&amp;DATOS!$E11662&amp;"|"&amp;DATOS!$I11662)</f>
      </c>
      <c r="G11662">
        <f>IF(DATOS!$A11662="",0,IF(CONFIG_METADATA!$B$4&lt;&gt;"OR+EX",--(DATOS!$G11662=CONFIG_METADATA!$B$4),IF(DATOS!$G11662="EX",1,IF(DATOS!$G11662="OR",--(COUNTIFS(nNIA,DATOS!$A11662,nCURSO,DATOS!$D11662,nESPEC,DATOS!$E11662,nASIG,DATOS!$I11662,nEVAL,"EX")=0),0))))</f>
      </c>
      <c r="H11662">
        <f>IF(DATOS!$G11662&lt;&gt;"EX",0,--(COUNTIFS(nNIA,DATOS!$A11662,nCURSO,DATOS!$D11662,nESPEC,DATOS!$E11662,nASIG,DATOS!$I11662,nEVAL,"OR")=0))</f>
      </c>
      <c r="I11662">
        <f>IF(DATOS!$I11662="","",IFERROR(VLOOKUP(DATOS!$I11662,CONFIG_ASIGNATURAS!$B$2:$J$91,9,FALSE()),""))</f>
      </c>
    </row>
    <row r="11663">
      <c r="F11663">
        <f>IF(DATOS!$A11663="","",DATOS!$A11663&amp;"|"&amp;DATOS!$D11663&amp;"|"&amp;DATOS!$E11663&amp;"|"&amp;DATOS!$I11663)</f>
      </c>
      <c r="G11663">
        <f>IF(DATOS!$A11663="",0,IF(CONFIG_METADATA!$B$4&lt;&gt;"OR+EX",--(DATOS!$G11663=CONFIG_METADATA!$B$4),IF(DATOS!$G11663="EX",1,IF(DATOS!$G11663="OR",--(COUNTIFS(nNIA,DATOS!$A11663,nCURSO,DATOS!$D11663,nESPEC,DATOS!$E11663,nASIG,DATOS!$I11663,nEVAL,"EX")=0),0))))</f>
      </c>
      <c r="H11663">
        <f>IF(DATOS!$G11663&lt;&gt;"EX",0,--(COUNTIFS(nNIA,DATOS!$A11663,nCURSO,DATOS!$D11663,nESPEC,DATOS!$E11663,nASIG,DATOS!$I11663,nEVAL,"OR")=0))</f>
      </c>
      <c r="I11663">
        <f>IF(DATOS!$I11663="","",IFERROR(VLOOKUP(DATOS!$I11663,CONFIG_ASIGNATURAS!$B$2:$J$91,9,FALSE()),""))</f>
      </c>
    </row>
    <row r="11664">
      <c r="F11664">
        <f>IF(DATOS!$A11664="","",DATOS!$A11664&amp;"|"&amp;DATOS!$D11664&amp;"|"&amp;DATOS!$E11664&amp;"|"&amp;DATOS!$I11664)</f>
      </c>
      <c r="G11664">
        <f>IF(DATOS!$A11664="",0,IF(CONFIG_METADATA!$B$4&lt;&gt;"OR+EX",--(DATOS!$G11664=CONFIG_METADATA!$B$4),IF(DATOS!$G11664="EX",1,IF(DATOS!$G11664="OR",--(COUNTIFS(nNIA,DATOS!$A11664,nCURSO,DATOS!$D11664,nESPEC,DATOS!$E11664,nASIG,DATOS!$I11664,nEVAL,"EX")=0),0))))</f>
      </c>
      <c r="H11664">
        <f>IF(DATOS!$G11664&lt;&gt;"EX",0,--(COUNTIFS(nNIA,DATOS!$A11664,nCURSO,DATOS!$D11664,nESPEC,DATOS!$E11664,nASIG,DATOS!$I11664,nEVAL,"OR")=0))</f>
      </c>
      <c r="I11664">
        <f>IF(DATOS!$I11664="","",IFERROR(VLOOKUP(DATOS!$I11664,CONFIG_ASIGNATURAS!$B$2:$J$91,9,FALSE()),""))</f>
      </c>
    </row>
    <row r="11665">
      <c r="F11665">
        <f>IF(DATOS!$A11665="","",DATOS!$A11665&amp;"|"&amp;DATOS!$D11665&amp;"|"&amp;DATOS!$E11665&amp;"|"&amp;DATOS!$I11665)</f>
      </c>
      <c r="G11665">
        <f>IF(DATOS!$A11665="",0,IF(CONFIG_METADATA!$B$4&lt;&gt;"OR+EX",--(DATOS!$G11665=CONFIG_METADATA!$B$4),IF(DATOS!$G11665="EX",1,IF(DATOS!$G11665="OR",--(COUNTIFS(nNIA,DATOS!$A11665,nCURSO,DATOS!$D11665,nESPEC,DATOS!$E11665,nASIG,DATOS!$I11665,nEVAL,"EX")=0),0))))</f>
      </c>
      <c r="H11665">
        <f>IF(DATOS!$G11665&lt;&gt;"EX",0,--(COUNTIFS(nNIA,DATOS!$A11665,nCURSO,DATOS!$D11665,nESPEC,DATOS!$E11665,nASIG,DATOS!$I11665,nEVAL,"OR")=0))</f>
      </c>
      <c r="I11665">
        <f>IF(DATOS!$I11665="","",IFERROR(VLOOKUP(DATOS!$I11665,CONFIG_ASIGNATURAS!$B$2:$J$91,9,FALSE()),""))</f>
      </c>
    </row>
    <row r="11666">
      <c r="F11666">
        <f>IF(DATOS!$A11666="","",DATOS!$A11666&amp;"|"&amp;DATOS!$D11666&amp;"|"&amp;DATOS!$E11666&amp;"|"&amp;DATOS!$I11666)</f>
      </c>
      <c r="G11666">
        <f>IF(DATOS!$A11666="",0,IF(CONFIG_METADATA!$B$4&lt;&gt;"OR+EX",--(DATOS!$G11666=CONFIG_METADATA!$B$4),IF(DATOS!$G11666="EX",1,IF(DATOS!$G11666="OR",--(COUNTIFS(nNIA,DATOS!$A11666,nCURSO,DATOS!$D11666,nESPEC,DATOS!$E11666,nASIG,DATOS!$I11666,nEVAL,"EX")=0),0))))</f>
      </c>
      <c r="H11666">
        <f>IF(DATOS!$G11666&lt;&gt;"EX",0,--(COUNTIFS(nNIA,DATOS!$A11666,nCURSO,DATOS!$D11666,nESPEC,DATOS!$E11666,nASIG,DATOS!$I11666,nEVAL,"OR")=0))</f>
      </c>
      <c r="I11666">
        <f>IF(DATOS!$I11666="","",IFERROR(VLOOKUP(DATOS!$I11666,CONFIG_ASIGNATURAS!$B$2:$J$91,9,FALSE()),""))</f>
      </c>
    </row>
    <row r="11667">
      <c r="F11667">
        <f>IF(DATOS!$A11667="","",DATOS!$A11667&amp;"|"&amp;DATOS!$D11667&amp;"|"&amp;DATOS!$E11667&amp;"|"&amp;DATOS!$I11667)</f>
      </c>
      <c r="G11667">
        <f>IF(DATOS!$A11667="",0,IF(CONFIG_METADATA!$B$4&lt;&gt;"OR+EX",--(DATOS!$G11667=CONFIG_METADATA!$B$4),IF(DATOS!$G11667="EX",1,IF(DATOS!$G11667="OR",--(COUNTIFS(nNIA,DATOS!$A11667,nCURSO,DATOS!$D11667,nESPEC,DATOS!$E11667,nASIG,DATOS!$I11667,nEVAL,"EX")=0),0))))</f>
      </c>
      <c r="H11667">
        <f>IF(DATOS!$G11667&lt;&gt;"EX",0,--(COUNTIFS(nNIA,DATOS!$A11667,nCURSO,DATOS!$D11667,nESPEC,DATOS!$E11667,nASIG,DATOS!$I11667,nEVAL,"OR")=0))</f>
      </c>
      <c r="I11667">
        <f>IF(DATOS!$I11667="","",IFERROR(VLOOKUP(DATOS!$I11667,CONFIG_ASIGNATURAS!$B$2:$J$91,9,FALSE()),""))</f>
      </c>
    </row>
    <row r="11668">
      <c r="F11668">
        <f>IF(DATOS!$A11668="","",DATOS!$A11668&amp;"|"&amp;DATOS!$D11668&amp;"|"&amp;DATOS!$E11668&amp;"|"&amp;DATOS!$I11668)</f>
      </c>
      <c r="G11668">
        <f>IF(DATOS!$A11668="",0,IF(CONFIG_METADATA!$B$4&lt;&gt;"OR+EX",--(DATOS!$G11668=CONFIG_METADATA!$B$4),IF(DATOS!$G11668="EX",1,IF(DATOS!$G11668="OR",--(COUNTIFS(nNIA,DATOS!$A11668,nCURSO,DATOS!$D11668,nESPEC,DATOS!$E11668,nASIG,DATOS!$I11668,nEVAL,"EX")=0),0))))</f>
      </c>
      <c r="H11668">
        <f>IF(DATOS!$G11668&lt;&gt;"EX",0,--(COUNTIFS(nNIA,DATOS!$A11668,nCURSO,DATOS!$D11668,nESPEC,DATOS!$E11668,nASIG,DATOS!$I11668,nEVAL,"OR")=0))</f>
      </c>
      <c r="I11668">
        <f>IF(DATOS!$I11668="","",IFERROR(VLOOKUP(DATOS!$I11668,CONFIG_ASIGNATURAS!$B$2:$J$91,9,FALSE()),""))</f>
      </c>
    </row>
    <row r="11669">
      <c r="F11669">
        <f>IF(DATOS!$A11669="","",DATOS!$A11669&amp;"|"&amp;DATOS!$D11669&amp;"|"&amp;DATOS!$E11669&amp;"|"&amp;DATOS!$I11669)</f>
      </c>
      <c r="G11669">
        <f>IF(DATOS!$A11669="",0,IF(CONFIG_METADATA!$B$4&lt;&gt;"OR+EX",--(DATOS!$G11669=CONFIG_METADATA!$B$4),IF(DATOS!$G11669="EX",1,IF(DATOS!$G11669="OR",--(COUNTIFS(nNIA,DATOS!$A11669,nCURSO,DATOS!$D11669,nESPEC,DATOS!$E11669,nASIG,DATOS!$I11669,nEVAL,"EX")=0),0))))</f>
      </c>
      <c r="H11669">
        <f>IF(DATOS!$G11669&lt;&gt;"EX",0,--(COUNTIFS(nNIA,DATOS!$A11669,nCURSO,DATOS!$D11669,nESPEC,DATOS!$E11669,nASIG,DATOS!$I11669,nEVAL,"OR")=0))</f>
      </c>
      <c r="I11669">
        <f>IF(DATOS!$I11669="","",IFERROR(VLOOKUP(DATOS!$I11669,CONFIG_ASIGNATURAS!$B$2:$J$91,9,FALSE()),""))</f>
      </c>
    </row>
    <row r="11670">
      <c r="F11670">
        <f>IF(DATOS!$A11670="","",DATOS!$A11670&amp;"|"&amp;DATOS!$D11670&amp;"|"&amp;DATOS!$E11670&amp;"|"&amp;DATOS!$I11670)</f>
      </c>
      <c r="G11670">
        <f>IF(DATOS!$A11670="",0,IF(CONFIG_METADATA!$B$4&lt;&gt;"OR+EX",--(DATOS!$G11670=CONFIG_METADATA!$B$4),IF(DATOS!$G11670="EX",1,IF(DATOS!$G11670="OR",--(COUNTIFS(nNIA,DATOS!$A11670,nCURSO,DATOS!$D11670,nESPEC,DATOS!$E11670,nASIG,DATOS!$I11670,nEVAL,"EX")=0),0))))</f>
      </c>
      <c r="H11670">
        <f>IF(DATOS!$G11670&lt;&gt;"EX",0,--(COUNTIFS(nNIA,DATOS!$A11670,nCURSO,DATOS!$D11670,nESPEC,DATOS!$E11670,nASIG,DATOS!$I11670,nEVAL,"OR")=0))</f>
      </c>
      <c r="I11670">
        <f>IF(DATOS!$I11670="","",IFERROR(VLOOKUP(DATOS!$I11670,CONFIG_ASIGNATURAS!$B$2:$J$91,9,FALSE()),""))</f>
      </c>
    </row>
    <row r="11671">
      <c r="F11671">
        <f>IF(DATOS!$A11671="","",DATOS!$A11671&amp;"|"&amp;DATOS!$D11671&amp;"|"&amp;DATOS!$E11671&amp;"|"&amp;DATOS!$I11671)</f>
      </c>
      <c r="G11671">
        <f>IF(DATOS!$A11671="",0,IF(CONFIG_METADATA!$B$4&lt;&gt;"OR+EX",--(DATOS!$G11671=CONFIG_METADATA!$B$4),IF(DATOS!$G11671="EX",1,IF(DATOS!$G11671="OR",--(COUNTIFS(nNIA,DATOS!$A11671,nCURSO,DATOS!$D11671,nESPEC,DATOS!$E11671,nASIG,DATOS!$I11671,nEVAL,"EX")=0),0))))</f>
      </c>
      <c r="H11671">
        <f>IF(DATOS!$G11671&lt;&gt;"EX",0,--(COUNTIFS(nNIA,DATOS!$A11671,nCURSO,DATOS!$D11671,nESPEC,DATOS!$E11671,nASIG,DATOS!$I11671,nEVAL,"OR")=0))</f>
      </c>
      <c r="I11671">
        <f>IF(DATOS!$I11671="","",IFERROR(VLOOKUP(DATOS!$I11671,CONFIG_ASIGNATURAS!$B$2:$J$91,9,FALSE()),""))</f>
      </c>
    </row>
    <row r="11672">
      <c r="F11672">
        <f>IF(DATOS!$A11672="","",DATOS!$A11672&amp;"|"&amp;DATOS!$D11672&amp;"|"&amp;DATOS!$E11672&amp;"|"&amp;DATOS!$I11672)</f>
      </c>
      <c r="G11672">
        <f>IF(DATOS!$A11672="",0,IF(CONFIG_METADATA!$B$4&lt;&gt;"OR+EX",--(DATOS!$G11672=CONFIG_METADATA!$B$4),IF(DATOS!$G11672="EX",1,IF(DATOS!$G11672="OR",--(COUNTIFS(nNIA,DATOS!$A11672,nCURSO,DATOS!$D11672,nESPEC,DATOS!$E11672,nASIG,DATOS!$I11672,nEVAL,"EX")=0),0))))</f>
      </c>
      <c r="H11672">
        <f>IF(DATOS!$G11672&lt;&gt;"EX",0,--(COUNTIFS(nNIA,DATOS!$A11672,nCURSO,DATOS!$D11672,nESPEC,DATOS!$E11672,nASIG,DATOS!$I11672,nEVAL,"OR")=0))</f>
      </c>
      <c r="I11672">
        <f>IF(DATOS!$I11672="","",IFERROR(VLOOKUP(DATOS!$I11672,CONFIG_ASIGNATURAS!$B$2:$J$91,9,FALSE()),""))</f>
      </c>
    </row>
    <row r="11673">
      <c r="F11673">
        <f>IF(DATOS!$A11673="","",DATOS!$A11673&amp;"|"&amp;DATOS!$D11673&amp;"|"&amp;DATOS!$E11673&amp;"|"&amp;DATOS!$I11673)</f>
      </c>
      <c r="G11673">
        <f>IF(DATOS!$A11673="",0,IF(CONFIG_METADATA!$B$4&lt;&gt;"OR+EX",--(DATOS!$G11673=CONFIG_METADATA!$B$4),IF(DATOS!$G11673="EX",1,IF(DATOS!$G11673="OR",--(COUNTIFS(nNIA,DATOS!$A11673,nCURSO,DATOS!$D11673,nESPEC,DATOS!$E11673,nASIG,DATOS!$I11673,nEVAL,"EX")=0),0))))</f>
      </c>
      <c r="H11673">
        <f>IF(DATOS!$G11673&lt;&gt;"EX",0,--(COUNTIFS(nNIA,DATOS!$A11673,nCURSO,DATOS!$D11673,nESPEC,DATOS!$E11673,nASIG,DATOS!$I11673,nEVAL,"OR")=0))</f>
      </c>
      <c r="I11673">
        <f>IF(DATOS!$I11673="","",IFERROR(VLOOKUP(DATOS!$I11673,CONFIG_ASIGNATURAS!$B$2:$J$91,9,FALSE()),""))</f>
      </c>
    </row>
    <row r="11674">
      <c r="F11674">
        <f>IF(DATOS!$A11674="","",DATOS!$A11674&amp;"|"&amp;DATOS!$D11674&amp;"|"&amp;DATOS!$E11674&amp;"|"&amp;DATOS!$I11674)</f>
      </c>
      <c r="G11674">
        <f>IF(DATOS!$A11674="",0,IF(CONFIG_METADATA!$B$4&lt;&gt;"OR+EX",--(DATOS!$G11674=CONFIG_METADATA!$B$4),IF(DATOS!$G11674="EX",1,IF(DATOS!$G11674="OR",--(COUNTIFS(nNIA,DATOS!$A11674,nCURSO,DATOS!$D11674,nESPEC,DATOS!$E11674,nASIG,DATOS!$I11674,nEVAL,"EX")=0),0))))</f>
      </c>
      <c r="H11674">
        <f>IF(DATOS!$G11674&lt;&gt;"EX",0,--(COUNTIFS(nNIA,DATOS!$A11674,nCURSO,DATOS!$D11674,nESPEC,DATOS!$E11674,nASIG,DATOS!$I11674,nEVAL,"OR")=0))</f>
      </c>
      <c r="I11674">
        <f>IF(DATOS!$I11674="","",IFERROR(VLOOKUP(DATOS!$I11674,CONFIG_ASIGNATURAS!$B$2:$J$91,9,FALSE()),""))</f>
      </c>
    </row>
    <row r="11675">
      <c r="F11675">
        <f>IF(DATOS!$A11675="","",DATOS!$A11675&amp;"|"&amp;DATOS!$D11675&amp;"|"&amp;DATOS!$E11675&amp;"|"&amp;DATOS!$I11675)</f>
      </c>
      <c r="G11675">
        <f>IF(DATOS!$A11675="",0,IF(CONFIG_METADATA!$B$4&lt;&gt;"OR+EX",--(DATOS!$G11675=CONFIG_METADATA!$B$4),IF(DATOS!$G11675="EX",1,IF(DATOS!$G11675="OR",--(COUNTIFS(nNIA,DATOS!$A11675,nCURSO,DATOS!$D11675,nESPEC,DATOS!$E11675,nASIG,DATOS!$I11675,nEVAL,"EX")=0),0))))</f>
      </c>
      <c r="H11675">
        <f>IF(DATOS!$G11675&lt;&gt;"EX",0,--(COUNTIFS(nNIA,DATOS!$A11675,nCURSO,DATOS!$D11675,nESPEC,DATOS!$E11675,nASIG,DATOS!$I11675,nEVAL,"OR")=0))</f>
      </c>
      <c r="I11675">
        <f>IF(DATOS!$I11675="","",IFERROR(VLOOKUP(DATOS!$I11675,CONFIG_ASIGNATURAS!$B$2:$J$91,9,FALSE()),""))</f>
      </c>
    </row>
    <row r="11676">
      <c r="F11676">
        <f>IF(DATOS!$A11676="","",DATOS!$A11676&amp;"|"&amp;DATOS!$D11676&amp;"|"&amp;DATOS!$E11676&amp;"|"&amp;DATOS!$I11676)</f>
      </c>
      <c r="G11676">
        <f>IF(DATOS!$A11676="",0,IF(CONFIG_METADATA!$B$4&lt;&gt;"OR+EX",--(DATOS!$G11676=CONFIG_METADATA!$B$4),IF(DATOS!$G11676="EX",1,IF(DATOS!$G11676="OR",--(COUNTIFS(nNIA,DATOS!$A11676,nCURSO,DATOS!$D11676,nESPEC,DATOS!$E11676,nASIG,DATOS!$I11676,nEVAL,"EX")=0),0))))</f>
      </c>
      <c r="H11676">
        <f>IF(DATOS!$G11676&lt;&gt;"EX",0,--(COUNTIFS(nNIA,DATOS!$A11676,nCURSO,DATOS!$D11676,nESPEC,DATOS!$E11676,nASIG,DATOS!$I11676,nEVAL,"OR")=0))</f>
      </c>
      <c r="I11676">
        <f>IF(DATOS!$I11676="","",IFERROR(VLOOKUP(DATOS!$I11676,CONFIG_ASIGNATURAS!$B$2:$J$91,9,FALSE()),""))</f>
      </c>
    </row>
    <row r="11677">
      <c r="F11677">
        <f>IF(DATOS!$A11677="","",DATOS!$A11677&amp;"|"&amp;DATOS!$D11677&amp;"|"&amp;DATOS!$E11677&amp;"|"&amp;DATOS!$I11677)</f>
      </c>
      <c r="G11677">
        <f>IF(DATOS!$A11677="",0,IF(CONFIG_METADATA!$B$4&lt;&gt;"OR+EX",--(DATOS!$G11677=CONFIG_METADATA!$B$4),IF(DATOS!$G11677="EX",1,IF(DATOS!$G11677="OR",--(COUNTIFS(nNIA,DATOS!$A11677,nCURSO,DATOS!$D11677,nESPEC,DATOS!$E11677,nASIG,DATOS!$I11677,nEVAL,"EX")=0),0))))</f>
      </c>
      <c r="H11677">
        <f>IF(DATOS!$G11677&lt;&gt;"EX",0,--(COUNTIFS(nNIA,DATOS!$A11677,nCURSO,DATOS!$D11677,nESPEC,DATOS!$E11677,nASIG,DATOS!$I11677,nEVAL,"OR")=0))</f>
      </c>
      <c r="I11677">
        <f>IF(DATOS!$I11677="","",IFERROR(VLOOKUP(DATOS!$I11677,CONFIG_ASIGNATURAS!$B$2:$J$91,9,FALSE()),""))</f>
      </c>
    </row>
    <row r="11678">
      <c r="F11678">
        <f>IF(DATOS!$A11678="","",DATOS!$A11678&amp;"|"&amp;DATOS!$D11678&amp;"|"&amp;DATOS!$E11678&amp;"|"&amp;DATOS!$I11678)</f>
      </c>
      <c r="G11678">
        <f>IF(DATOS!$A11678="",0,IF(CONFIG_METADATA!$B$4&lt;&gt;"OR+EX",--(DATOS!$G11678=CONFIG_METADATA!$B$4),IF(DATOS!$G11678="EX",1,IF(DATOS!$G11678="OR",--(COUNTIFS(nNIA,DATOS!$A11678,nCURSO,DATOS!$D11678,nESPEC,DATOS!$E11678,nASIG,DATOS!$I11678,nEVAL,"EX")=0),0))))</f>
      </c>
      <c r="H11678">
        <f>IF(DATOS!$G11678&lt;&gt;"EX",0,--(COUNTIFS(nNIA,DATOS!$A11678,nCURSO,DATOS!$D11678,nESPEC,DATOS!$E11678,nASIG,DATOS!$I11678,nEVAL,"OR")=0))</f>
      </c>
      <c r="I11678">
        <f>IF(DATOS!$I11678="","",IFERROR(VLOOKUP(DATOS!$I11678,CONFIG_ASIGNATURAS!$B$2:$J$91,9,FALSE()),""))</f>
      </c>
    </row>
    <row r="11679">
      <c r="F11679">
        <f>IF(DATOS!$A11679="","",DATOS!$A11679&amp;"|"&amp;DATOS!$D11679&amp;"|"&amp;DATOS!$E11679&amp;"|"&amp;DATOS!$I11679)</f>
      </c>
      <c r="G11679">
        <f>IF(DATOS!$A11679="",0,IF(CONFIG_METADATA!$B$4&lt;&gt;"OR+EX",--(DATOS!$G11679=CONFIG_METADATA!$B$4),IF(DATOS!$G11679="EX",1,IF(DATOS!$G11679="OR",--(COUNTIFS(nNIA,DATOS!$A11679,nCURSO,DATOS!$D11679,nESPEC,DATOS!$E11679,nASIG,DATOS!$I11679,nEVAL,"EX")=0),0))))</f>
      </c>
      <c r="H11679">
        <f>IF(DATOS!$G11679&lt;&gt;"EX",0,--(COUNTIFS(nNIA,DATOS!$A11679,nCURSO,DATOS!$D11679,nESPEC,DATOS!$E11679,nASIG,DATOS!$I11679,nEVAL,"OR")=0))</f>
      </c>
      <c r="I11679">
        <f>IF(DATOS!$I11679="","",IFERROR(VLOOKUP(DATOS!$I11679,CONFIG_ASIGNATURAS!$B$2:$J$91,9,FALSE()),""))</f>
      </c>
    </row>
    <row r="11680">
      <c r="F11680">
        <f>IF(DATOS!$A11680="","",DATOS!$A11680&amp;"|"&amp;DATOS!$D11680&amp;"|"&amp;DATOS!$E11680&amp;"|"&amp;DATOS!$I11680)</f>
      </c>
      <c r="G11680">
        <f>IF(DATOS!$A11680="",0,IF(CONFIG_METADATA!$B$4&lt;&gt;"OR+EX",--(DATOS!$G11680=CONFIG_METADATA!$B$4),IF(DATOS!$G11680="EX",1,IF(DATOS!$G11680="OR",--(COUNTIFS(nNIA,DATOS!$A11680,nCURSO,DATOS!$D11680,nESPEC,DATOS!$E11680,nASIG,DATOS!$I11680,nEVAL,"EX")=0),0))))</f>
      </c>
      <c r="H11680">
        <f>IF(DATOS!$G11680&lt;&gt;"EX",0,--(COUNTIFS(nNIA,DATOS!$A11680,nCURSO,DATOS!$D11680,nESPEC,DATOS!$E11680,nASIG,DATOS!$I11680,nEVAL,"OR")=0))</f>
      </c>
      <c r="I11680">
        <f>IF(DATOS!$I11680="","",IFERROR(VLOOKUP(DATOS!$I11680,CONFIG_ASIGNATURAS!$B$2:$J$91,9,FALSE()),""))</f>
      </c>
    </row>
    <row r="11681">
      <c r="F11681">
        <f>IF(DATOS!$A11681="","",DATOS!$A11681&amp;"|"&amp;DATOS!$D11681&amp;"|"&amp;DATOS!$E11681&amp;"|"&amp;DATOS!$I11681)</f>
      </c>
      <c r="G11681">
        <f>IF(DATOS!$A11681="",0,IF(CONFIG_METADATA!$B$4&lt;&gt;"OR+EX",--(DATOS!$G11681=CONFIG_METADATA!$B$4),IF(DATOS!$G11681="EX",1,IF(DATOS!$G11681="OR",--(COUNTIFS(nNIA,DATOS!$A11681,nCURSO,DATOS!$D11681,nESPEC,DATOS!$E11681,nASIG,DATOS!$I11681,nEVAL,"EX")=0),0))))</f>
      </c>
      <c r="H11681">
        <f>IF(DATOS!$G11681&lt;&gt;"EX",0,--(COUNTIFS(nNIA,DATOS!$A11681,nCURSO,DATOS!$D11681,nESPEC,DATOS!$E11681,nASIG,DATOS!$I11681,nEVAL,"OR")=0))</f>
      </c>
      <c r="I11681">
        <f>IF(DATOS!$I11681="","",IFERROR(VLOOKUP(DATOS!$I11681,CONFIG_ASIGNATURAS!$B$2:$J$91,9,FALSE()),""))</f>
      </c>
    </row>
    <row r="11682">
      <c r="F11682">
        <f>IF(DATOS!$A11682="","",DATOS!$A11682&amp;"|"&amp;DATOS!$D11682&amp;"|"&amp;DATOS!$E11682&amp;"|"&amp;DATOS!$I11682)</f>
      </c>
      <c r="G11682">
        <f>IF(DATOS!$A11682="",0,IF(CONFIG_METADATA!$B$4&lt;&gt;"OR+EX",--(DATOS!$G11682=CONFIG_METADATA!$B$4),IF(DATOS!$G11682="EX",1,IF(DATOS!$G11682="OR",--(COUNTIFS(nNIA,DATOS!$A11682,nCURSO,DATOS!$D11682,nESPEC,DATOS!$E11682,nASIG,DATOS!$I11682,nEVAL,"EX")=0),0))))</f>
      </c>
      <c r="H11682">
        <f>IF(DATOS!$G11682&lt;&gt;"EX",0,--(COUNTIFS(nNIA,DATOS!$A11682,nCURSO,DATOS!$D11682,nESPEC,DATOS!$E11682,nASIG,DATOS!$I11682,nEVAL,"OR")=0))</f>
      </c>
      <c r="I11682">
        <f>IF(DATOS!$I11682="","",IFERROR(VLOOKUP(DATOS!$I11682,CONFIG_ASIGNATURAS!$B$2:$J$91,9,FALSE()),""))</f>
      </c>
    </row>
    <row r="11683">
      <c r="F11683">
        <f>IF(DATOS!$A11683="","",DATOS!$A11683&amp;"|"&amp;DATOS!$D11683&amp;"|"&amp;DATOS!$E11683&amp;"|"&amp;DATOS!$I11683)</f>
      </c>
      <c r="G11683">
        <f>IF(DATOS!$A11683="",0,IF(CONFIG_METADATA!$B$4&lt;&gt;"OR+EX",--(DATOS!$G11683=CONFIG_METADATA!$B$4),IF(DATOS!$G11683="EX",1,IF(DATOS!$G11683="OR",--(COUNTIFS(nNIA,DATOS!$A11683,nCURSO,DATOS!$D11683,nESPEC,DATOS!$E11683,nASIG,DATOS!$I11683,nEVAL,"EX")=0),0))))</f>
      </c>
      <c r="H11683">
        <f>IF(DATOS!$G11683&lt;&gt;"EX",0,--(COUNTIFS(nNIA,DATOS!$A11683,nCURSO,DATOS!$D11683,nESPEC,DATOS!$E11683,nASIG,DATOS!$I11683,nEVAL,"OR")=0))</f>
      </c>
      <c r="I11683">
        <f>IF(DATOS!$I11683="","",IFERROR(VLOOKUP(DATOS!$I11683,CONFIG_ASIGNATURAS!$B$2:$J$91,9,FALSE()),""))</f>
      </c>
    </row>
    <row r="11684">
      <c r="F11684">
        <f>IF(DATOS!$A11684="","",DATOS!$A11684&amp;"|"&amp;DATOS!$D11684&amp;"|"&amp;DATOS!$E11684&amp;"|"&amp;DATOS!$I11684)</f>
      </c>
      <c r="G11684">
        <f>IF(DATOS!$A11684="",0,IF(CONFIG_METADATA!$B$4&lt;&gt;"OR+EX",--(DATOS!$G11684=CONFIG_METADATA!$B$4),IF(DATOS!$G11684="EX",1,IF(DATOS!$G11684="OR",--(COUNTIFS(nNIA,DATOS!$A11684,nCURSO,DATOS!$D11684,nESPEC,DATOS!$E11684,nASIG,DATOS!$I11684,nEVAL,"EX")=0),0))))</f>
      </c>
      <c r="H11684">
        <f>IF(DATOS!$G11684&lt;&gt;"EX",0,--(COUNTIFS(nNIA,DATOS!$A11684,nCURSO,DATOS!$D11684,nESPEC,DATOS!$E11684,nASIG,DATOS!$I11684,nEVAL,"OR")=0))</f>
      </c>
      <c r="I11684">
        <f>IF(DATOS!$I11684="","",IFERROR(VLOOKUP(DATOS!$I11684,CONFIG_ASIGNATURAS!$B$2:$J$91,9,FALSE()),""))</f>
      </c>
    </row>
    <row r="11685">
      <c r="F11685">
        <f>IF(DATOS!$A11685="","",DATOS!$A11685&amp;"|"&amp;DATOS!$D11685&amp;"|"&amp;DATOS!$E11685&amp;"|"&amp;DATOS!$I11685)</f>
      </c>
      <c r="G11685">
        <f>IF(DATOS!$A11685="",0,IF(CONFIG_METADATA!$B$4&lt;&gt;"OR+EX",--(DATOS!$G11685=CONFIG_METADATA!$B$4),IF(DATOS!$G11685="EX",1,IF(DATOS!$G11685="OR",--(COUNTIFS(nNIA,DATOS!$A11685,nCURSO,DATOS!$D11685,nESPEC,DATOS!$E11685,nASIG,DATOS!$I11685,nEVAL,"EX")=0),0))))</f>
      </c>
      <c r="H11685">
        <f>IF(DATOS!$G11685&lt;&gt;"EX",0,--(COUNTIFS(nNIA,DATOS!$A11685,nCURSO,DATOS!$D11685,nESPEC,DATOS!$E11685,nASIG,DATOS!$I11685,nEVAL,"OR")=0))</f>
      </c>
      <c r="I11685">
        <f>IF(DATOS!$I11685="","",IFERROR(VLOOKUP(DATOS!$I11685,CONFIG_ASIGNATURAS!$B$2:$J$91,9,FALSE()),""))</f>
      </c>
    </row>
    <row r="11686">
      <c r="F11686">
        <f>IF(DATOS!$A11686="","",DATOS!$A11686&amp;"|"&amp;DATOS!$D11686&amp;"|"&amp;DATOS!$E11686&amp;"|"&amp;DATOS!$I11686)</f>
      </c>
      <c r="G11686">
        <f>IF(DATOS!$A11686="",0,IF(CONFIG_METADATA!$B$4&lt;&gt;"OR+EX",--(DATOS!$G11686=CONFIG_METADATA!$B$4),IF(DATOS!$G11686="EX",1,IF(DATOS!$G11686="OR",--(COUNTIFS(nNIA,DATOS!$A11686,nCURSO,DATOS!$D11686,nESPEC,DATOS!$E11686,nASIG,DATOS!$I11686,nEVAL,"EX")=0),0))))</f>
      </c>
      <c r="H11686">
        <f>IF(DATOS!$G11686&lt;&gt;"EX",0,--(COUNTIFS(nNIA,DATOS!$A11686,nCURSO,DATOS!$D11686,nESPEC,DATOS!$E11686,nASIG,DATOS!$I11686,nEVAL,"OR")=0))</f>
      </c>
      <c r="I11686">
        <f>IF(DATOS!$I11686="","",IFERROR(VLOOKUP(DATOS!$I11686,CONFIG_ASIGNATURAS!$B$2:$J$91,9,FALSE()),""))</f>
      </c>
    </row>
    <row r="11687">
      <c r="F11687">
        <f>IF(DATOS!$A11687="","",DATOS!$A11687&amp;"|"&amp;DATOS!$D11687&amp;"|"&amp;DATOS!$E11687&amp;"|"&amp;DATOS!$I11687)</f>
      </c>
      <c r="G11687">
        <f>IF(DATOS!$A11687="",0,IF(CONFIG_METADATA!$B$4&lt;&gt;"OR+EX",--(DATOS!$G11687=CONFIG_METADATA!$B$4),IF(DATOS!$G11687="EX",1,IF(DATOS!$G11687="OR",--(COUNTIFS(nNIA,DATOS!$A11687,nCURSO,DATOS!$D11687,nESPEC,DATOS!$E11687,nASIG,DATOS!$I11687,nEVAL,"EX")=0),0))))</f>
      </c>
      <c r="H11687">
        <f>IF(DATOS!$G11687&lt;&gt;"EX",0,--(COUNTIFS(nNIA,DATOS!$A11687,nCURSO,DATOS!$D11687,nESPEC,DATOS!$E11687,nASIG,DATOS!$I11687,nEVAL,"OR")=0))</f>
      </c>
      <c r="I11687">
        <f>IF(DATOS!$I11687="","",IFERROR(VLOOKUP(DATOS!$I11687,CONFIG_ASIGNATURAS!$B$2:$J$91,9,FALSE()),""))</f>
      </c>
    </row>
    <row r="11688">
      <c r="F11688">
        <f>IF(DATOS!$A11688="","",DATOS!$A11688&amp;"|"&amp;DATOS!$D11688&amp;"|"&amp;DATOS!$E11688&amp;"|"&amp;DATOS!$I11688)</f>
      </c>
      <c r="G11688">
        <f>IF(DATOS!$A11688="",0,IF(CONFIG_METADATA!$B$4&lt;&gt;"OR+EX",--(DATOS!$G11688=CONFIG_METADATA!$B$4),IF(DATOS!$G11688="EX",1,IF(DATOS!$G11688="OR",--(COUNTIFS(nNIA,DATOS!$A11688,nCURSO,DATOS!$D11688,nESPEC,DATOS!$E11688,nASIG,DATOS!$I11688,nEVAL,"EX")=0),0))))</f>
      </c>
      <c r="H11688">
        <f>IF(DATOS!$G11688&lt;&gt;"EX",0,--(COUNTIFS(nNIA,DATOS!$A11688,nCURSO,DATOS!$D11688,nESPEC,DATOS!$E11688,nASIG,DATOS!$I11688,nEVAL,"OR")=0))</f>
      </c>
      <c r="I11688">
        <f>IF(DATOS!$I11688="","",IFERROR(VLOOKUP(DATOS!$I11688,CONFIG_ASIGNATURAS!$B$2:$J$91,9,FALSE()),""))</f>
      </c>
    </row>
    <row r="11689">
      <c r="F11689">
        <f>IF(DATOS!$A11689="","",DATOS!$A11689&amp;"|"&amp;DATOS!$D11689&amp;"|"&amp;DATOS!$E11689&amp;"|"&amp;DATOS!$I11689)</f>
      </c>
      <c r="G11689">
        <f>IF(DATOS!$A11689="",0,IF(CONFIG_METADATA!$B$4&lt;&gt;"OR+EX",--(DATOS!$G11689=CONFIG_METADATA!$B$4),IF(DATOS!$G11689="EX",1,IF(DATOS!$G11689="OR",--(COUNTIFS(nNIA,DATOS!$A11689,nCURSO,DATOS!$D11689,nESPEC,DATOS!$E11689,nASIG,DATOS!$I11689,nEVAL,"EX")=0),0))))</f>
      </c>
      <c r="H11689">
        <f>IF(DATOS!$G11689&lt;&gt;"EX",0,--(COUNTIFS(nNIA,DATOS!$A11689,nCURSO,DATOS!$D11689,nESPEC,DATOS!$E11689,nASIG,DATOS!$I11689,nEVAL,"OR")=0))</f>
      </c>
      <c r="I11689">
        <f>IF(DATOS!$I11689="","",IFERROR(VLOOKUP(DATOS!$I11689,CONFIG_ASIGNATURAS!$B$2:$J$91,9,FALSE()),""))</f>
      </c>
    </row>
    <row r="11690">
      <c r="F11690">
        <f>IF(DATOS!$A11690="","",DATOS!$A11690&amp;"|"&amp;DATOS!$D11690&amp;"|"&amp;DATOS!$E11690&amp;"|"&amp;DATOS!$I11690)</f>
      </c>
      <c r="G11690">
        <f>IF(DATOS!$A11690="",0,IF(CONFIG_METADATA!$B$4&lt;&gt;"OR+EX",--(DATOS!$G11690=CONFIG_METADATA!$B$4),IF(DATOS!$G11690="EX",1,IF(DATOS!$G11690="OR",--(COUNTIFS(nNIA,DATOS!$A11690,nCURSO,DATOS!$D11690,nESPEC,DATOS!$E11690,nASIG,DATOS!$I11690,nEVAL,"EX")=0),0))))</f>
      </c>
      <c r="H11690">
        <f>IF(DATOS!$G11690&lt;&gt;"EX",0,--(COUNTIFS(nNIA,DATOS!$A11690,nCURSO,DATOS!$D11690,nESPEC,DATOS!$E11690,nASIG,DATOS!$I11690,nEVAL,"OR")=0))</f>
      </c>
      <c r="I11690">
        <f>IF(DATOS!$I11690="","",IFERROR(VLOOKUP(DATOS!$I11690,CONFIG_ASIGNATURAS!$B$2:$J$91,9,FALSE()),""))</f>
      </c>
    </row>
    <row r="11691">
      <c r="F11691">
        <f>IF(DATOS!$A11691="","",DATOS!$A11691&amp;"|"&amp;DATOS!$D11691&amp;"|"&amp;DATOS!$E11691&amp;"|"&amp;DATOS!$I11691)</f>
      </c>
      <c r="G11691">
        <f>IF(DATOS!$A11691="",0,IF(CONFIG_METADATA!$B$4&lt;&gt;"OR+EX",--(DATOS!$G11691=CONFIG_METADATA!$B$4),IF(DATOS!$G11691="EX",1,IF(DATOS!$G11691="OR",--(COUNTIFS(nNIA,DATOS!$A11691,nCURSO,DATOS!$D11691,nESPEC,DATOS!$E11691,nASIG,DATOS!$I11691,nEVAL,"EX")=0),0))))</f>
      </c>
      <c r="H11691">
        <f>IF(DATOS!$G11691&lt;&gt;"EX",0,--(COUNTIFS(nNIA,DATOS!$A11691,nCURSO,DATOS!$D11691,nESPEC,DATOS!$E11691,nASIG,DATOS!$I11691,nEVAL,"OR")=0))</f>
      </c>
      <c r="I11691">
        <f>IF(DATOS!$I11691="","",IFERROR(VLOOKUP(DATOS!$I11691,CONFIG_ASIGNATURAS!$B$2:$J$91,9,FALSE()),""))</f>
      </c>
    </row>
    <row r="11692">
      <c r="F11692">
        <f>IF(DATOS!$A11692="","",DATOS!$A11692&amp;"|"&amp;DATOS!$D11692&amp;"|"&amp;DATOS!$E11692&amp;"|"&amp;DATOS!$I11692)</f>
      </c>
      <c r="G11692">
        <f>IF(DATOS!$A11692="",0,IF(CONFIG_METADATA!$B$4&lt;&gt;"OR+EX",--(DATOS!$G11692=CONFIG_METADATA!$B$4),IF(DATOS!$G11692="EX",1,IF(DATOS!$G11692="OR",--(COUNTIFS(nNIA,DATOS!$A11692,nCURSO,DATOS!$D11692,nESPEC,DATOS!$E11692,nASIG,DATOS!$I11692,nEVAL,"EX")=0),0))))</f>
      </c>
      <c r="H11692">
        <f>IF(DATOS!$G11692&lt;&gt;"EX",0,--(COUNTIFS(nNIA,DATOS!$A11692,nCURSO,DATOS!$D11692,nESPEC,DATOS!$E11692,nASIG,DATOS!$I11692,nEVAL,"OR")=0))</f>
      </c>
      <c r="I11692">
        <f>IF(DATOS!$I11692="","",IFERROR(VLOOKUP(DATOS!$I11692,CONFIG_ASIGNATURAS!$B$2:$J$91,9,FALSE()),""))</f>
      </c>
    </row>
    <row r="11693">
      <c r="F11693">
        <f>IF(DATOS!$A11693="","",DATOS!$A11693&amp;"|"&amp;DATOS!$D11693&amp;"|"&amp;DATOS!$E11693&amp;"|"&amp;DATOS!$I11693)</f>
      </c>
      <c r="G11693">
        <f>IF(DATOS!$A11693="",0,IF(CONFIG_METADATA!$B$4&lt;&gt;"OR+EX",--(DATOS!$G11693=CONFIG_METADATA!$B$4),IF(DATOS!$G11693="EX",1,IF(DATOS!$G11693="OR",--(COUNTIFS(nNIA,DATOS!$A11693,nCURSO,DATOS!$D11693,nESPEC,DATOS!$E11693,nASIG,DATOS!$I11693,nEVAL,"EX")=0),0))))</f>
      </c>
      <c r="H11693">
        <f>IF(DATOS!$G11693&lt;&gt;"EX",0,--(COUNTIFS(nNIA,DATOS!$A11693,nCURSO,DATOS!$D11693,nESPEC,DATOS!$E11693,nASIG,DATOS!$I11693,nEVAL,"OR")=0))</f>
      </c>
      <c r="I11693">
        <f>IF(DATOS!$I11693="","",IFERROR(VLOOKUP(DATOS!$I11693,CONFIG_ASIGNATURAS!$B$2:$J$91,9,FALSE()),""))</f>
      </c>
    </row>
    <row r="11694">
      <c r="F11694">
        <f>IF(DATOS!$A11694="","",DATOS!$A11694&amp;"|"&amp;DATOS!$D11694&amp;"|"&amp;DATOS!$E11694&amp;"|"&amp;DATOS!$I11694)</f>
      </c>
      <c r="G11694">
        <f>IF(DATOS!$A11694="",0,IF(CONFIG_METADATA!$B$4&lt;&gt;"OR+EX",--(DATOS!$G11694=CONFIG_METADATA!$B$4),IF(DATOS!$G11694="EX",1,IF(DATOS!$G11694="OR",--(COUNTIFS(nNIA,DATOS!$A11694,nCURSO,DATOS!$D11694,nESPEC,DATOS!$E11694,nASIG,DATOS!$I11694,nEVAL,"EX")=0),0))))</f>
      </c>
      <c r="H11694">
        <f>IF(DATOS!$G11694&lt;&gt;"EX",0,--(COUNTIFS(nNIA,DATOS!$A11694,nCURSO,DATOS!$D11694,nESPEC,DATOS!$E11694,nASIG,DATOS!$I11694,nEVAL,"OR")=0))</f>
      </c>
      <c r="I11694">
        <f>IF(DATOS!$I11694="","",IFERROR(VLOOKUP(DATOS!$I11694,CONFIG_ASIGNATURAS!$B$2:$J$91,9,FALSE()),""))</f>
      </c>
    </row>
    <row r="11695">
      <c r="F11695">
        <f>IF(DATOS!$A11695="","",DATOS!$A11695&amp;"|"&amp;DATOS!$D11695&amp;"|"&amp;DATOS!$E11695&amp;"|"&amp;DATOS!$I11695)</f>
      </c>
      <c r="G11695">
        <f>IF(DATOS!$A11695="",0,IF(CONFIG_METADATA!$B$4&lt;&gt;"OR+EX",--(DATOS!$G11695=CONFIG_METADATA!$B$4),IF(DATOS!$G11695="EX",1,IF(DATOS!$G11695="OR",--(COUNTIFS(nNIA,DATOS!$A11695,nCURSO,DATOS!$D11695,nESPEC,DATOS!$E11695,nASIG,DATOS!$I11695,nEVAL,"EX")=0),0))))</f>
      </c>
      <c r="H11695">
        <f>IF(DATOS!$G11695&lt;&gt;"EX",0,--(COUNTIFS(nNIA,DATOS!$A11695,nCURSO,DATOS!$D11695,nESPEC,DATOS!$E11695,nASIG,DATOS!$I11695,nEVAL,"OR")=0))</f>
      </c>
      <c r="I11695">
        <f>IF(DATOS!$I11695="","",IFERROR(VLOOKUP(DATOS!$I11695,CONFIG_ASIGNATURAS!$B$2:$J$91,9,FALSE()),""))</f>
      </c>
    </row>
    <row r="11696">
      <c r="F11696">
        <f>IF(DATOS!$A11696="","",DATOS!$A11696&amp;"|"&amp;DATOS!$D11696&amp;"|"&amp;DATOS!$E11696&amp;"|"&amp;DATOS!$I11696)</f>
      </c>
      <c r="G11696">
        <f>IF(DATOS!$A11696="",0,IF(CONFIG_METADATA!$B$4&lt;&gt;"OR+EX",--(DATOS!$G11696=CONFIG_METADATA!$B$4),IF(DATOS!$G11696="EX",1,IF(DATOS!$G11696="OR",--(COUNTIFS(nNIA,DATOS!$A11696,nCURSO,DATOS!$D11696,nESPEC,DATOS!$E11696,nASIG,DATOS!$I11696,nEVAL,"EX")=0),0))))</f>
      </c>
      <c r="H11696">
        <f>IF(DATOS!$G11696&lt;&gt;"EX",0,--(COUNTIFS(nNIA,DATOS!$A11696,nCURSO,DATOS!$D11696,nESPEC,DATOS!$E11696,nASIG,DATOS!$I11696,nEVAL,"OR")=0))</f>
      </c>
      <c r="I11696">
        <f>IF(DATOS!$I11696="","",IFERROR(VLOOKUP(DATOS!$I11696,CONFIG_ASIGNATURAS!$B$2:$J$91,9,FALSE()),""))</f>
      </c>
    </row>
    <row r="11697">
      <c r="F11697">
        <f>IF(DATOS!$A11697="","",DATOS!$A11697&amp;"|"&amp;DATOS!$D11697&amp;"|"&amp;DATOS!$E11697&amp;"|"&amp;DATOS!$I11697)</f>
      </c>
      <c r="G11697">
        <f>IF(DATOS!$A11697="",0,IF(CONFIG_METADATA!$B$4&lt;&gt;"OR+EX",--(DATOS!$G11697=CONFIG_METADATA!$B$4),IF(DATOS!$G11697="EX",1,IF(DATOS!$G11697="OR",--(COUNTIFS(nNIA,DATOS!$A11697,nCURSO,DATOS!$D11697,nESPEC,DATOS!$E11697,nASIG,DATOS!$I11697,nEVAL,"EX")=0),0))))</f>
      </c>
      <c r="H11697">
        <f>IF(DATOS!$G11697&lt;&gt;"EX",0,--(COUNTIFS(nNIA,DATOS!$A11697,nCURSO,DATOS!$D11697,nESPEC,DATOS!$E11697,nASIG,DATOS!$I11697,nEVAL,"OR")=0))</f>
      </c>
      <c r="I11697">
        <f>IF(DATOS!$I11697="","",IFERROR(VLOOKUP(DATOS!$I11697,CONFIG_ASIGNATURAS!$B$2:$J$91,9,FALSE()),""))</f>
      </c>
    </row>
    <row r="11698">
      <c r="F11698">
        <f>IF(DATOS!$A11698="","",DATOS!$A11698&amp;"|"&amp;DATOS!$D11698&amp;"|"&amp;DATOS!$E11698&amp;"|"&amp;DATOS!$I11698)</f>
      </c>
      <c r="G11698">
        <f>IF(DATOS!$A11698="",0,IF(CONFIG_METADATA!$B$4&lt;&gt;"OR+EX",--(DATOS!$G11698=CONFIG_METADATA!$B$4),IF(DATOS!$G11698="EX",1,IF(DATOS!$G11698="OR",--(COUNTIFS(nNIA,DATOS!$A11698,nCURSO,DATOS!$D11698,nESPEC,DATOS!$E11698,nASIG,DATOS!$I11698,nEVAL,"EX")=0),0))))</f>
      </c>
      <c r="H11698">
        <f>IF(DATOS!$G11698&lt;&gt;"EX",0,--(COUNTIFS(nNIA,DATOS!$A11698,nCURSO,DATOS!$D11698,nESPEC,DATOS!$E11698,nASIG,DATOS!$I11698,nEVAL,"OR")=0))</f>
      </c>
      <c r="I11698">
        <f>IF(DATOS!$I11698="","",IFERROR(VLOOKUP(DATOS!$I11698,CONFIG_ASIGNATURAS!$B$2:$J$91,9,FALSE()),""))</f>
      </c>
    </row>
    <row r="11699">
      <c r="F11699">
        <f>IF(DATOS!$A11699="","",DATOS!$A11699&amp;"|"&amp;DATOS!$D11699&amp;"|"&amp;DATOS!$E11699&amp;"|"&amp;DATOS!$I11699)</f>
      </c>
      <c r="G11699">
        <f>IF(DATOS!$A11699="",0,IF(CONFIG_METADATA!$B$4&lt;&gt;"OR+EX",--(DATOS!$G11699=CONFIG_METADATA!$B$4),IF(DATOS!$G11699="EX",1,IF(DATOS!$G11699="OR",--(COUNTIFS(nNIA,DATOS!$A11699,nCURSO,DATOS!$D11699,nESPEC,DATOS!$E11699,nASIG,DATOS!$I11699,nEVAL,"EX")=0),0))))</f>
      </c>
      <c r="H11699">
        <f>IF(DATOS!$G11699&lt;&gt;"EX",0,--(COUNTIFS(nNIA,DATOS!$A11699,nCURSO,DATOS!$D11699,nESPEC,DATOS!$E11699,nASIG,DATOS!$I11699,nEVAL,"OR")=0))</f>
      </c>
      <c r="I11699">
        <f>IF(DATOS!$I11699="","",IFERROR(VLOOKUP(DATOS!$I11699,CONFIG_ASIGNATURAS!$B$2:$J$91,9,FALSE()),""))</f>
      </c>
    </row>
    <row r="11700">
      <c r="F11700">
        <f>IF(DATOS!$A11700="","",DATOS!$A11700&amp;"|"&amp;DATOS!$D11700&amp;"|"&amp;DATOS!$E11700&amp;"|"&amp;DATOS!$I11700)</f>
      </c>
      <c r="G11700">
        <f>IF(DATOS!$A11700="",0,IF(CONFIG_METADATA!$B$4&lt;&gt;"OR+EX",--(DATOS!$G11700=CONFIG_METADATA!$B$4),IF(DATOS!$G11700="EX",1,IF(DATOS!$G11700="OR",--(COUNTIFS(nNIA,DATOS!$A11700,nCURSO,DATOS!$D11700,nESPEC,DATOS!$E11700,nASIG,DATOS!$I11700,nEVAL,"EX")=0),0))))</f>
      </c>
      <c r="H11700">
        <f>IF(DATOS!$G11700&lt;&gt;"EX",0,--(COUNTIFS(nNIA,DATOS!$A11700,nCURSO,DATOS!$D11700,nESPEC,DATOS!$E11700,nASIG,DATOS!$I11700,nEVAL,"OR")=0))</f>
      </c>
      <c r="I11700">
        <f>IF(DATOS!$I11700="","",IFERROR(VLOOKUP(DATOS!$I11700,CONFIG_ASIGNATURAS!$B$2:$J$91,9,FALSE()),""))</f>
      </c>
    </row>
    <row r="11701">
      <c r="F11701">
        <f>IF(DATOS!$A11701="","",DATOS!$A11701&amp;"|"&amp;DATOS!$D11701&amp;"|"&amp;DATOS!$E11701&amp;"|"&amp;DATOS!$I11701)</f>
      </c>
      <c r="G11701">
        <f>IF(DATOS!$A11701="",0,IF(CONFIG_METADATA!$B$4&lt;&gt;"OR+EX",--(DATOS!$G11701=CONFIG_METADATA!$B$4),IF(DATOS!$G11701="EX",1,IF(DATOS!$G11701="OR",--(COUNTIFS(nNIA,DATOS!$A11701,nCURSO,DATOS!$D11701,nESPEC,DATOS!$E11701,nASIG,DATOS!$I11701,nEVAL,"EX")=0),0))))</f>
      </c>
      <c r="H11701">
        <f>IF(DATOS!$G11701&lt;&gt;"EX",0,--(COUNTIFS(nNIA,DATOS!$A11701,nCURSO,DATOS!$D11701,nESPEC,DATOS!$E11701,nASIG,DATOS!$I11701,nEVAL,"OR")=0))</f>
      </c>
      <c r="I11701">
        <f>IF(DATOS!$I11701="","",IFERROR(VLOOKUP(DATOS!$I11701,CONFIG_ASIGNATURAS!$B$2:$J$91,9,FALSE()),""))</f>
      </c>
    </row>
    <row r="11702">
      <c r="F11702">
        <f>IF(DATOS!$A11702="","",DATOS!$A11702&amp;"|"&amp;DATOS!$D11702&amp;"|"&amp;DATOS!$E11702&amp;"|"&amp;DATOS!$I11702)</f>
      </c>
      <c r="G11702">
        <f>IF(DATOS!$A11702="",0,IF(CONFIG_METADATA!$B$4&lt;&gt;"OR+EX",--(DATOS!$G11702=CONFIG_METADATA!$B$4),IF(DATOS!$G11702="EX",1,IF(DATOS!$G11702="OR",--(COUNTIFS(nNIA,DATOS!$A11702,nCURSO,DATOS!$D11702,nESPEC,DATOS!$E11702,nASIG,DATOS!$I11702,nEVAL,"EX")=0),0))))</f>
      </c>
      <c r="H11702">
        <f>IF(DATOS!$G11702&lt;&gt;"EX",0,--(COUNTIFS(nNIA,DATOS!$A11702,nCURSO,DATOS!$D11702,nESPEC,DATOS!$E11702,nASIG,DATOS!$I11702,nEVAL,"OR")=0))</f>
      </c>
      <c r="I11702">
        <f>IF(DATOS!$I11702="","",IFERROR(VLOOKUP(DATOS!$I11702,CONFIG_ASIGNATURAS!$B$2:$J$91,9,FALSE()),""))</f>
      </c>
    </row>
    <row r="11703">
      <c r="F11703">
        <f>IF(DATOS!$A11703="","",DATOS!$A11703&amp;"|"&amp;DATOS!$D11703&amp;"|"&amp;DATOS!$E11703&amp;"|"&amp;DATOS!$I11703)</f>
      </c>
      <c r="G11703">
        <f>IF(DATOS!$A11703="",0,IF(CONFIG_METADATA!$B$4&lt;&gt;"OR+EX",--(DATOS!$G11703=CONFIG_METADATA!$B$4),IF(DATOS!$G11703="EX",1,IF(DATOS!$G11703="OR",--(COUNTIFS(nNIA,DATOS!$A11703,nCURSO,DATOS!$D11703,nESPEC,DATOS!$E11703,nASIG,DATOS!$I11703,nEVAL,"EX")=0),0))))</f>
      </c>
      <c r="H11703">
        <f>IF(DATOS!$G11703&lt;&gt;"EX",0,--(COUNTIFS(nNIA,DATOS!$A11703,nCURSO,DATOS!$D11703,nESPEC,DATOS!$E11703,nASIG,DATOS!$I11703,nEVAL,"OR")=0))</f>
      </c>
      <c r="I11703">
        <f>IF(DATOS!$I11703="","",IFERROR(VLOOKUP(DATOS!$I11703,CONFIG_ASIGNATURAS!$B$2:$J$91,9,FALSE()),""))</f>
      </c>
    </row>
    <row r="11704">
      <c r="F11704">
        <f>IF(DATOS!$A11704="","",DATOS!$A11704&amp;"|"&amp;DATOS!$D11704&amp;"|"&amp;DATOS!$E11704&amp;"|"&amp;DATOS!$I11704)</f>
      </c>
      <c r="G11704">
        <f>IF(DATOS!$A11704="",0,IF(CONFIG_METADATA!$B$4&lt;&gt;"OR+EX",--(DATOS!$G11704=CONFIG_METADATA!$B$4),IF(DATOS!$G11704="EX",1,IF(DATOS!$G11704="OR",--(COUNTIFS(nNIA,DATOS!$A11704,nCURSO,DATOS!$D11704,nESPEC,DATOS!$E11704,nASIG,DATOS!$I11704,nEVAL,"EX")=0),0))))</f>
      </c>
      <c r="H11704">
        <f>IF(DATOS!$G11704&lt;&gt;"EX",0,--(COUNTIFS(nNIA,DATOS!$A11704,nCURSO,DATOS!$D11704,nESPEC,DATOS!$E11704,nASIG,DATOS!$I11704,nEVAL,"OR")=0))</f>
      </c>
      <c r="I11704">
        <f>IF(DATOS!$I11704="","",IFERROR(VLOOKUP(DATOS!$I11704,CONFIG_ASIGNATURAS!$B$2:$J$91,9,FALSE()),""))</f>
      </c>
    </row>
    <row r="11705">
      <c r="F11705">
        <f>IF(DATOS!$A11705="","",DATOS!$A11705&amp;"|"&amp;DATOS!$D11705&amp;"|"&amp;DATOS!$E11705&amp;"|"&amp;DATOS!$I11705)</f>
      </c>
      <c r="G11705">
        <f>IF(DATOS!$A11705="",0,IF(CONFIG_METADATA!$B$4&lt;&gt;"OR+EX",--(DATOS!$G11705=CONFIG_METADATA!$B$4),IF(DATOS!$G11705="EX",1,IF(DATOS!$G11705="OR",--(COUNTIFS(nNIA,DATOS!$A11705,nCURSO,DATOS!$D11705,nESPEC,DATOS!$E11705,nASIG,DATOS!$I11705,nEVAL,"EX")=0),0))))</f>
      </c>
      <c r="H11705">
        <f>IF(DATOS!$G11705&lt;&gt;"EX",0,--(COUNTIFS(nNIA,DATOS!$A11705,nCURSO,DATOS!$D11705,nESPEC,DATOS!$E11705,nASIG,DATOS!$I11705,nEVAL,"OR")=0))</f>
      </c>
      <c r="I11705">
        <f>IF(DATOS!$I11705="","",IFERROR(VLOOKUP(DATOS!$I11705,CONFIG_ASIGNATURAS!$B$2:$J$91,9,FALSE()),""))</f>
      </c>
    </row>
    <row r="11706">
      <c r="F11706">
        <f>IF(DATOS!$A11706="","",DATOS!$A11706&amp;"|"&amp;DATOS!$D11706&amp;"|"&amp;DATOS!$E11706&amp;"|"&amp;DATOS!$I11706)</f>
      </c>
      <c r="G11706">
        <f>IF(DATOS!$A11706="",0,IF(CONFIG_METADATA!$B$4&lt;&gt;"OR+EX",--(DATOS!$G11706=CONFIG_METADATA!$B$4),IF(DATOS!$G11706="EX",1,IF(DATOS!$G11706="OR",--(COUNTIFS(nNIA,DATOS!$A11706,nCURSO,DATOS!$D11706,nESPEC,DATOS!$E11706,nASIG,DATOS!$I11706,nEVAL,"EX")=0),0))))</f>
      </c>
      <c r="H11706">
        <f>IF(DATOS!$G11706&lt;&gt;"EX",0,--(COUNTIFS(nNIA,DATOS!$A11706,nCURSO,DATOS!$D11706,nESPEC,DATOS!$E11706,nASIG,DATOS!$I11706,nEVAL,"OR")=0))</f>
      </c>
      <c r="I11706">
        <f>IF(DATOS!$I11706="","",IFERROR(VLOOKUP(DATOS!$I11706,CONFIG_ASIGNATURAS!$B$2:$J$91,9,FALSE()),""))</f>
      </c>
    </row>
    <row r="11707">
      <c r="F11707">
        <f>IF(DATOS!$A11707="","",DATOS!$A11707&amp;"|"&amp;DATOS!$D11707&amp;"|"&amp;DATOS!$E11707&amp;"|"&amp;DATOS!$I11707)</f>
      </c>
      <c r="G11707">
        <f>IF(DATOS!$A11707="",0,IF(CONFIG_METADATA!$B$4&lt;&gt;"OR+EX",--(DATOS!$G11707=CONFIG_METADATA!$B$4),IF(DATOS!$G11707="EX",1,IF(DATOS!$G11707="OR",--(COUNTIFS(nNIA,DATOS!$A11707,nCURSO,DATOS!$D11707,nESPEC,DATOS!$E11707,nASIG,DATOS!$I11707,nEVAL,"EX")=0),0))))</f>
      </c>
      <c r="H11707">
        <f>IF(DATOS!$G11707&lt;&gt;"EX",0,--(COUNTIFS(nNIA,DATOS!$A11707,nCURSO,DATOS!$D11707,nESPEC,DATOS!$E11707,nASIG,DATOS!$I11707,nEVAL,"OR")=0))</f>
      </c>
      <c r="I11707">
        <f>IF(DATOS!$I11707="","",IFERROR(VLOOKUP(DATOS!$I11707,CONFIG_ASIGNATURAS!$B$2:$J$91,9,FALSE()),""))</f>
      </c>
    </row>
    <row r="11708">
      <c r="F11708">
        <f>IF(DATOS!$A11708="","",DATOS!$A11708&amp;"|"&amp;DATOS!$D11708&amp;"|"&amp;DATOS!$E11708&amp;"|"&amp;DATOS!$I11708)</f>
      </c>
      <c r="G11708">
        <f>IF(DATOS!$A11708="",0,IF(CONFIG_METADATA!$B$4&lt;&gt;"OR+EX",--(DATOS!$G11708=CONFIG_METADATA!$B$4),IF(DATOS!$G11708="EX",1,IF(DATOS!$G11708="OR",--(COUNTIFS(nNIA,DATOS!$A11708,nCURSO,DATOS!$D11708,nESPEC,DATOS!$E11708,nASIG,DATOS!$I11708,nEVAL,"EX")=0),0))))</f>
      </c>
      <c r="H11708">
        <f>IF(DATOS!$G11708&lt;&gt;"EX",0,--(COUNTIFS(nNIA,DATOS!$A11708,nCURSO,DATOS!$D11708,nESPEC,DATOS!$E11708,nASIG,DATOS!$I11708,nEVAL,"OR")=0))</f>
      </c>
      <c r="I11708">
        <f>IF(DATOS!$I11708="","",IFERROR(VLOOKUP(DATOS!$I11708,CONFIG_ASIGNATURAS!$B$2:$J$91,9,FALSE()),""))</f>
      </c>
    </row>
    <row r="11709">
      <c r="F11709">
        <f>IF(DATOS!$A11709="","",DATOS!$A11709&amp;"|"&amp;DATOS!$D11709&amp;"|"&amp;DATOS!$E11709&amp;"|"&amp;DATOS!$I11709)</f>
      </c>
      <c r="G11709">
        <f>IF(DATOS!$A11709="",0,IF(CONFIG_METADATA!$B$4&lt;&gt;"OR+EX",--(DATOS!$G11709=CONFIG_METADATA!$B$4),IF(DATOS!$G11709="EX",1,IF(DATOS!$G11709="OR",--(COUNTIFS(nNIA,DATOS!$A11709,nCURSO,DATOS!$D11709,nESPEC,DATOS!$E11709,nASIG,DATOS!$I11709,nEVAL,"EX")=0),0))))</f>
      </c>
      <c r="H11709">
        <f>IF(DATOS!$G11709&lt;&gt;"EX",0,--(COUNTIFS(nNIA,DATOS!$A11709,nCURSO,DATOS!$D11709,nESPEC,DATOS!$E11709,nASIG,DATOS!$I11709,nEVAL,"OR")=0))</f>
      </c>
      <c r="I11709">
        <f>IF(DATOS!$I11709="","",IFERROR(VLOOKUP(DATOS!$I11709,CONFIG_ASIGNATURAS!$B$2:$J$91,9,FALSE()),""))</f>
      </c>
    </row>
    <row r="11710">
      <c r="F11710">
        <f>IF(DATOS!$A11710="","",DATOS!$A11710&amp;"|"&amp;DATOS!$D11710&amp;"|"&amp;DATOS!$E11710&amp;"|"&amp;DATOS!$I11710)</f>
      </c>
      <c r="G11710">
        <f>IF(DATOS!$A11710="",0,IF(CONFIG_METADATA!$B$4&lt;&gt;"OR+EX",--(DATOS!$G11710=CONFIG_METADATA!$B$4),IF(DATOS!$G11710="EX",1,IF(DATOS!$G11710="OR",--(COUNTIFS(nNIA,DATOS!$A11710,nCURSO,DATOS!$D11710,nESPEC,DATOS!$E11710,nASIG,DATOS!$I11710,nEVAL,"EX")=0),0))))</f>
      </c>
      <c r="H11710">
        <f>IF(DATOS!$G11710&lt;&gt;"EX",0,--(COUNTIFS(nNIA,DATOS!$A11710,nCURSO,DATOS!$D11710,nESPEC,DATOS!$E11710,nASIG,DATOS!$I11710,nEVAL,"OR")=0))</f>
      </c>
      <c r="I11710">
        <f>IF(DATOS!$I11710="","",IFERROR(VLOOKUP(DATOS!$I11710,CONFIG_ASIGNATURAS!$B$2:$J$91,9,FALSE()),""))</f>
      </c>
    </row>
    <row r="11711">
      <c r="F11711">
        <f>IF(DATOS!$A11711="","",DATOS!$A11711&amp;"|"&amp;DATOS!$D11711&amp;"|"&amp;DATOS!$E11711&amp;"|"&amp;DATOS!$I11711)</f>
      </c>
      <c r="G11711">
        <f>IF(DATOS!$A11711="",0,IF(CONFIG_METADATA!$B$4&lt;&gt;"OR+EX",--(DATOS!$G11711=CONFIG_METADATA!$B$4),IF(DATOS!$G11711="EX",1,IF(DATOS!$G11711="OR",--(COUNTIFS(nNIA,DATOS!$A11711,nCURSO,DATOS!$D11711,nESPEC,DATOS!$E11711,nASIG,DATOS!$I11711,nEVAL,"EX")=0),0))))</f>
      </c>
      <c r="H11711">
        <f>IF(DATOS!$G11711&lt;&gt;"EX",0,--(COUNTIFS(nNIA,DATOS!$A11711,nCURSO,DATOS!$D11711,nESPEC,DATOS!$E11711,nASIG,DATOS!$I11711,nEVAL,"OR")=0))</f>
      </c>
      <c r="I11711">
        <f>IF(DATOS!$I11711="","",IFERROR(VLOOKUP(DATOS!$I11711,CONFIG_ASIGNATURAS!$B$2:$J$91,9,FALSE()),""))</f>
      </c>
    </row>
    <row r="11712">
      <c r="F11712">
        <f>IF(DATOS!$A11712="","",DATOS!$A11712&amp;"|"&amp;DATOS!$D11712&amp;"|"&amp;DATOS!$E11712&amp;"|"&amp;DATOS!$I11712)</f>
      </c>
      <c r="G11712">
        <f>IF(DATOS!$A11712="",0,IF(CONFIG_METADATA!$B$4&lt;&gt;"OR+EX",--(DATOS!$G11712=CONFIG_METADATA!$B$4),IF(DATOS!$G11712="EX",1,IF(DATOS!$G11712="OR",--(COUNTIFS(nNIA,DATOS!$A11712,nCURSO,DATOS!$D11712,nESPEC,DATOS!$E11712,nASIG,DATOS!$I11712,nEVAL,"EX")=0),0))))</f>
      </c>
      <c r="H11712">
        <f>IF(DATOS!$G11712&lt;&gt;"EX",0,--(COUNTIFS(nNIA,DATOS!$A11712,nCURSO,DATOS!$D11712,nESPEC,DATOS!$E11712,nASIG,DATOS!$I11712,nEVAL,"OR")=0))</f>
      </c>
      <c r="I11712">
        <f>IF(DATOS!$I11712="","",IFERROR(VLOOKUP(DATOS!$I11712,CONFIG_ASIGNATURAS!$B$2:$J$91,9,FALSE()),""))</f>
      </c>
    </row>
    <row r="11713">
      <c r="F11713">
        <f>IF(DATOS!$A11713="","",DATOS!$A11713&amp;"|"&amp;DATOS!$D11713&amp;"|"&amp;DATOS!$E11713&amp;"|"&amp;DATOS!$I11713)</f>
      </c>
      <c r="G11713">
        <f>IF(DATOS!$A11713="",0,IF(CONFIG_METADATA!$B$4&lt;&gt;"OR+EX",--(DATOS!$G11713=CONFIG_METADATA!$B$4),IF(DATOS!$G11713="EX",1,IF(DATOS!$G11713="OR",--(COUNTIFS(nNIA,DATOS!$A11713,nCURSO,DATOS!$D11713,nESPEC,DATOS!$E11713,nASIG,DATOS!$I11713,nEVAL,"EX")=0),0))))</f>
      </c>
      <c r="H11713">
        <f>IF(DATOS!$G11713&lt;&gt;"EX",0,--(COUNTIFS(nNIA,DATOS!$A11713,nCURSO,DATOS!$D11713,nESPEC,DATOS!$E11713,nASIG,DATOS!$I11713,nEVAL,"OR")=0))</f>
      </c>
      <c r="I11713">
        <f>IF(DATOS!$I11713="","",IFERROR(VLOOKUP(DATOS!$I11713,CONFIG_ASIGNATURAS!$B$2:$J$91,9,FALSE()),""))</f>
      </c>
    </row>
    <row r="11714">
      <c r="F11714">
        <f>IF(DATOS!$A11714="","",DATOS!$A11714&amp;"|"&amp;DATOS!$D11714&amp;"|"&amp;DATOS!$E11714&amp;"|"&amp;DATOS!$I11714)</f>
      </c>
      <c r="G11714">
        <f>IF(DATOS!$A11714="",0,IF(CONFIG_METADATA!$B$4&lt;&gt;"OR+EX",--(DATOS!$G11714=CONFIG_METADATA!$B$4),IF(DATOS!$G11714="EX",1,IF(DATOS!$G11714="OR",--(COUNTIFS(nNIA,DATOS!$A11714,nCURSO,DATOS!$D11714,nESPEC,DATOS!$E11714,nASIG,DATOS!$I11714,nEVAL,"EX")=0),0))))</f>
      </c>
      <c r="H11714">
        <f>IF(DATOS!$G11714&lt;&gt;"EX",0,--(COUNTIFS(nNIA,DATOS!$A11714,nCURSO,DATOS!$D11714,nESPEC,DATOS!$E11714,nASIG,DATOS!$I11714,nEVAL,"OR")=0))</f>
      </c>
      <c r="I11714">
        <f>IF(DATOS!$I11714="","",IFERROR(VLOOKUP(DATOS!$I11714,CONFIG_ASIGNATURAS!$B$2:$J$91,9,FALSE()),""))</f>
      </c>
    </row>
    <row r="11715">
      <c r="F11715">
        <f>IF(DATOS!$A11715="","",DATOS!$A11715&amp;"|"&amp;DATOS!$D11715&amp;"|"&amp;DATOS!$E11715&amp;"|"&amp;DATOS!$I11715)</f>
      </c>
      <c r="G11715">
        <f>IF(DATOS!$A11715="",0,IF(CONFIG_METADATA!$B$4&lt;&gt;"OR+EX",--(DATOS!$G11715=CONFIG_METADATA!$B$4),IF(DATOS!$G11715="EX",1,IF(DATOS!$G11715="OR",--(COUNTIFS(nNIA,DATOS!$A11715,nCURSO,DATOS!$D11715,nESPEC,DATOS!$E11715,nASIG,DATOS!$I11715,nEVAL,"EX")=0),0))))</f>
      </c>
      <c r="H11715">
        <f>IF(DATOS!$G11715&lt;&gt;"EX",0,--(COUNTIFS(nNIA,DATOS!$A11715,nCURSO,DATOS!$D11715,nESPEC,DATOS!$E11715,nASIG,DATOS!$I11715,nEVAL,"OR")=0))</f>
      </c>
      <c r="I11715">
        <f>IF(DATOS!$I11715="","",IFERROR(VLOOKUP(DATOS!$I11715,CONFIG_ASIGNATURAS!$B$2:$J$91,9,FALSE()),""))</f>
      </c>
    </row>
    <row r="11716">
      <c r="F11716">
        <f>IF(DATOS!$A11716="","",DATOS!$A11716&amp;"|"&amp;DATOS!$D11716&amp;"|"&amp;DATOS!$E11716&amp;"|"&amp;DATOS!$I11716)</f>
      </c>
      <c r="G11716">
        <f>IF(DATOS!$A11716="",0,IF(CONFIG_METADATA!$B$4&lt;&gt;"OR+EX",--(DATOS!$G11716=CONFIG_METADATA!$B$4),IF(DATOS!$G11716="EX",1,IF(DATOS!$G11716="OR",--(COUNTIFS(nNIA,DATOS!$A11716,nCURSO,DATOS!$D11716,nESPEC,DATOS!$E11716,nASIG,DATOS!$I11716,nEVAL,"EX")=0),0))))</f>
      </c>
      <c r="H11716">
        <f>IF(DATOS!$G11716&lt;&gt;"EX",0,--(COUNTIFS(nNIA,DATOS!$A11716,nCURSO,DATOS!$D11716,nESPEC,DATOS!$E11716,nASIG,DATOS!$I11716,nEVAL,"OR")=0))</f>
      </c>
      <c r="I11716">
        <f>IF(DATOS!$I11716="","",IFERROR(VLOOKUP(DATOS!$I11716,CONFIG_ASIGNATURAS!$B$2:$J$91,9,FALSE()),""))</f>
      </c>
    </row>
    <row r="11717">
      <c r="F11717">
        <f>IF(DATOS!$A11717="","",DATOS!$A11717&amp;"|"&amp;DATOS!$D11717&amp;"|"&amp;DATOS!$E11717&amp;"|"&amp;DATOS!$I11717)</f>
      </c>
      <c r="G11717">
        <f>IF(DATOS!$A11717="",0,IF(CONFIG_METADATA!$B$4&lt;&gt;"OR+EX",--(DATOS!$G11717=CONFIG_METADATA!$B$4),IF(DATOS!$G11717="EX",1,IF(DATOS!$G11717="OR",--(COUNTIFS(nNIA,DATOS!$A11717,nCURSO,DATOS!$D11717,nESPEC,DATOS!$E11717,nASIG,DATOS!$I11717,nEVAL,"EX")=0),0))))</f>
      </c>
      <c r="H11717">
        <f>IF(DATOS!$G11717&lt;&gt;"EX",0,--(COUNTIFS(nNIA,DATOS!$A11717,nCURSO,DATOS!$D11717,nESPEC,DATOS!$E11717,nASIG,DATOS!$I11717,nEVAL,"OR")=0))</f>
      </c>
      <c r="I11717">
        <f>IF(DATOS!$I11717="","",IFERROR(VLOOKUP(DATOS!$I11717,CONFIG_ASIGNATURAS!$B$2:$J$91,9,FALSE()),""))</f>
      </c>
    </row>
    <row r="11718">
      <c r="F11718">
        <f>IF(DATOS!$A11718="","",DATOS!$A11718&amp;"|"&amp;DATOS!$D11718&amp;"|"&amp;DATOS!$E11718&amp;"|"&amp;DATOS!$I11718)</f>
      </c>
      <c r="G11718">
        <f>IF(DATOS!$A11718="",0,IF(CONFIG_METADATA!$B$4&lt;&gt;"OR+EX",--(DATOS!$G11718=CONFIG_METADATA!$B$4),IF(DATOS!$G11718="EX",1,IF(DATOS!$G11718="OR",--(COUNTIFS(nNIA,DATOS!$A11718,nCURSO,DATOS!$D11718,nESPEC,DATOS!$E11718,nASIG,DATOS!$I11718,nEVAL,"EX")=0),0))))</f>
      </c>
      <c r="H11718">
        <f>IF(DATOS!$G11718&lt;&gt;"EX",0,--(COUNTIFS(nNIA,DATOS!$A11718,nCURSO,DATOS!$D11718,nESPEC,DATOS!$E11718,nASIG,DATOS!$I11718,nEVAL,"OR")=0))</f>
      </c>
      <c r="I11718">
        <f>IF(DATOS!$I11718="","",IFERROR(VLOOKUP(DATOS!$I11718,CONFIG_ASIGNATURAS!$B$2:$J$91,9,FALSE()),""))</f>
      </c>
    </row>
    <row r="11719">
      <c r="F11719">
        <f>IF(DATOS!$A11719="","",DATOS!$A11719&amp;"|"&amp;DATOS!$D11719&amp;"|"&amp;DATOS!$E11719&amp;"|"&amp;DATOS!$I11719)</f>
      </c>
      <c r="G11719">
        <f>IF(DATOS!$A11719="",0,IF(CONFIG_METADATA!$B$4&lt;&gt;"OR+EX",--(DATOS!$G11719=CONFIG_METADATA!$B$4),IF(DATOS!$G11719="EX",1,IF(DATOS!$G11719="OR",--(COUNTIFS(nNIA,DATOS!$A11719,nCURSO,DATOS!$D11719,nESPEC,DATOS!$E11719,nASIG,DATOS!$I11719,nEVAL,"EX")=0),0))))</f>
      </c>
      <c r="H11719">
        <f>IF(DATOS!$G11719&lt;&gt;"EX",0,--(COUNTIFS(nNIA,DATOS!$A11719,nCURSO,DATOS!$D11719,nESPEC,DATOS!$E11719,nASIG,DATOS!$I11719,nEVAL,"OR")=0))</f>
      </c>
      <c r="I11719">
        <f>IF(DATOS!$I11719="","",IFERROR(VLOOKUP(DATOS!$I11719,CONFIG_ASIGNATURAS!$B$2:$J$91,9,FALSE()),""))</f>
      </c>
    </row>
    <row r="11720">
      <c r="F11720">
        <f>IF(DATOS!$A11720="","",DATOS!$A11720&amp;"|"&amp;DATOS!$D11720&amp;"|"&amp;DATOS!$E11720&amp;"|"&amp;DATOS!$I11720)</f>
      </c>
      <c r="G11720">
        <f>IF(DATOS!$A11720="",0,IF(CONFIG_METADATA!$B$4&lt;&gt;"OR+EX",--(DATOS!$G11720=CONFIG_METADATA!$B$4),IF(DATOS!$G11720="EX",1,IF(DATOS!$G11720="OR",--(COUNTIFS(nNIA,DATOS!$A11720,nCURSO,DATOS!$D11720,nESPEC,DATOS!$E11720,nASIG,DATOS!$I11720,nEVAL,"EX")=0),0))))</f>
      </c>
      <c r="H11720">
        <f>IF(DATOS!$G11720&lt;&gt;"EX",0,--(COUNTIFS(nNIA,DATOS!$A11720,nCURSO,DATOS!$D11720,nESPEC,DATOS!$E11720,nASIG,DATOS!$I11720,nEVAL,"OR")=0))</f>
      </c>
      <c r="I11720">
        <f>IF(DATOS!$I11720="","",IFERROR(VLOOKUP(DATOS!$I11720,CONFIG_ASIGNATURAS!$B$2:$J$91,9,FALSE()),""))</f>
      </c>
    </row>
    <row r="11721">
      <c r="F11721">
        <f>IF(DATOS!$A11721="","",DATOS!$A11721&amp;"|"&amp;DATOS!$D11721&amp;"|"&amp;DATOS!$E11721&amp;"|"&amp;DATOS!$I11721)</f>
      </c>
      <c r="G11721">
        <f>IF(DATOS!$A11721="",0,IF(CONFIG_METADATA!$B$4&lt;&gt;"OR+EX",--(DATOS!$G11721=CONFIG_METADATA!$B$4),IF(DATOS!$G11721="EX",1,IF(DATOS!$G11721="OR",--(COUNTIFS(nNIA,DATOS!$A11721,nCURSO,DATOS!$D11721,nESPEC,DATOS!$E11721,nASIG,DATOS!$I11721,nEVAL,"EX")=0),0))))</f>
      </c>
      <c r="H11721">
        <f>IF(DATOS!$G11721&lt;&gt;"EX",0,--(COUNTIFS(nNIA,DATOS!$A11721,nCURSO,DATOS!$D11721,nESPEC,DATOS!$E11721,nASIG,DATOS!$I11721,nEVAL,"OR")=0))</f>
      </c>
      <c r="I11721">
        <f>IF(DATOS!$I11721="","",IFERROR(VLOOKUP(DATOS!$I11721,CONFIG_ASIGNATURAS!$B$2:$J$91,9,FALSE()),""))</f>
      </c>
    </row>
    <row r="11722">
      <c r="F11722">
        <f>IF(DATOS!$A11722="","",DATOS!$A11722&amp;"|"&amp;DATOS!$D11722&amp;"|"&amp;DATOS!$E11722&amp;"|"&amp;DATOS!$I11722)</f>
      </c>
      <c r="G11722">
        <f>IF(DATOS!$A11722="",0,IF(CONFIG_METADATA!$B$4&lt;&gt;"OR+EX",--(DATOS!$G11722=CONFIG_METADATA!$B$4),IF(DATOS!$G11722="EX",1,IF(DATOS!$G11722="OR",--(COUNTIFS(nNIA,DATOS!$A11722,nCURSO,DATOS!$D11722,nESPEC,DATOS!$E11722,nASIG,DATOS!$I11722,nEVAL,"EX")=0),0))))</f>
      </c>
      <c r="H11722">
        <f>IF(DATOS!$G11722&lt;&gt;"EX",0,--(COUNTIFS(nNIA,DATOS!$A11722,nCURSO,DATOS!$D11722,nESPEC,DATOS!$E11722,nASIG,DATOS!$I11722,nEVAL,"OR")=0))</f>
      </c>
      <c r="I11722">
        <f>IF(DATOS!$I11722="","",IFERROR(VLOOKUP(DATOS!$I11722,CONFIG_ASIGNATURAS!$B$2:$J$91,9,FALSE()),""))</f>
      </c>
    </row>
    <row r="11723">
      <c r="F11723">
        <f>IF(DATOS!$A11723="","",DATOS!$A11723&amp;"|"&amp;DATOS!$D11723&amp;"|"&amp;DATOS!$E11723&amp;"|"&amp;DATOS!$I11723)</f>
      </c>
      <c r="G11723">
        <f>IF(DATOS!$A11723="",0,IF(CONFIG_METADATA!$B$4&lt;&gt;"OR+EX",--(DATOS!$G11723=CONFIG_METADATA!$B$4),IF(DATOS!$G11723="EX",1,IF(DATOS!$G11723="OR",--(COUNTIFS(nNIA,DATOS!$A11723,nCURSO,DATOS!$D11723,nESPEC,DATOS!$E11723,nASIG,DATOS!$I11723,nEVAL,"EX")=0),0))))</f>
      </c>
      <c r="H11723">
        <f>IF(DATOS!$G11723&lt;&gt;"EX",0,--(COUNTIFS(nNIA,DATOS!$A11723,nCURSO,DATOS!$D11723,nESPEC,DATOS!$E11723,nASIG,DATOS!$I11723,nEVAL,"OR")=0))</f>
      </c>
      <c r="I11723">
        <f>IF(DATOS!$I11723="","",IFERROR(VLOOKUP(DATOS!$I11723,CONFIG_ASIGNATURAS!$B$2:$J$91,9,FALSE()),""))</f>
      </c>
    </row>
    <row r="11724">
      <c r="F11724">
        <f>IF(DATOS!$A11724="","",DATOS!$A11724&amp;"|"&amp;DATOS!$D11724&amp;"|"&amp;DATOS!$E11724&amp;"|"&amp;DATOS!$I11724)</f>
      </c>
      <c r="G11724">
        <f>IF(DATOS!$A11724="",0,IF(CONFIG_METADATA!$B$4&lt;&gt;"OR+EX",--(DATOS!$G11724=CONFIG_METADATA!$B$4),IF(DATOS!$G11724="EX",1,IF(DATOS!$G11724="OR",--(COUNTIFS(nNIA,DATOS!$A11724,nCURSO,DATOS!$D11724,nESPEC,DATOS!$E11724,nASIG,DATOS!$I11724,nEVAL,"EX")=0),0))))</f>
      </c>
      <c r="H11724">
        <f>IF(DATOS!$G11724&lt;&gt;"EX",0,--(COUNTIFS(nNIA,DATOS!$A11724,nCURSO,DATOS!$D11724,nESPEC,DATOS!$E11724,nASIG,DATOS!$I11724,nEVAL,"OR")=0))</f>
      </c>
      <c r="I11724">
        <f>IF(DATOS!$I11724="","",IFERROR(VLOOKUP(DATOS!$I11724,CONFIG_ASIGNATURAS!$B$2:$J$91,9,FALSE()),""))</f>
      </c>
    </row>
    <row r="11725">
      <c r="F11725">
        <f>IF(DATOS!$A11725="","",DATOS!$A11725&amp;"|"&amp;DATOS!$D11725&amp;"|"&amp;DATOS!$E11725&amp;"|"&amp;DATOS!$I11725)</f>
      </c>
      <c r="G11725">
        <f>IF(DATOS!$A11725="",0,IF(CONFIG_METADATA!$B$4&lt;&gt;"OR+EX",--(DATOS!$G11725=CONFIG_METADATA!$B$4),IF(DATOS!$G11725="EX",1,IF(DATOS!$G11725="OR",--(COUNTIFS(nNIA,DATOS!$A11725,nCURSO,DATOS!$D11725,nESPEC,DATOS!$E11725,nASIG,DATOS!$I11725,nEVAL,"EX")=0),0))))</f>
      </c>
      <c r="H11725">
        <f>IF(DATOS!$G11725&lt;&gt;"EX",0,--(COUNTIFS(nNIA,DATOS!$A11725,nCURSO,DATOS!$D11725,nESPEC,DATOS!$E11725,nASIG,DATOS!$I11725,nEVAL,"OR")=0))</f>
      </c>
      <c r="I11725">
        <f>IF(DATOS!$I11725="","",IFERROR(VLOOKUP(DATOS!$I11725,CONFIG_ASIGNATURAS!$B$2:$J$91,9,FALSE()),""))</f>
      </c>
    </row>
    <row r="11726">
      <c r="F11726">
        <f>IF(DATOS!$A11726="","",DATOS!$A11726&amp;"|"&amp;DATOS!$D11726&amp;"|"&amp;DATOS!$E11726&amp;"|"&amp;DATOS!$I11726)</f>
      </c>
      <c r="G11726">
        <f>IF(DATOS!$A11726="",0,IF(CONFIG_METADATA!$B$4&lt;&gt;"OR+EX",--(DATOS!$G11726=CONFIG_METADATA!$B$4),IF(DATOS!$G11726="EX",1,IF(DATOS!$G11726="OR",--(COUNTIFS(nNIA,DATOS!$A11726,nCURSO,DATOS!$D11726,nESPEC,DATOS!$E11726,nASIG,DATOS!$I11726,nEVAL,"EX")=0),0))))</f>
      </c>
      <c r="H11726">
        <f>IF(DATOS!$G11726&lt;&gt;"EX",0,--(COUNTIFS(nNIA,DATOS!$A11726,nCURSO,DATOS!$D11726,nESPEC,DATOS!$E11726,nASIG,DATOS!$I11726,nEVAL,"OR")=0))</f>
      </c>
      <c r="I11726">
        <f>IF(DATOS!$I11726="","",IFERROR(VLOOKUP(DATOS!$I11726,CONFIG_ASIGNATURAS!$B$2:$J$91,9,FALSE()),""))</f>
      </c>
    </row>
    <row r="11727">
      <c r="F11727">
        <f>IF(DATOS!$A11727="","",DATOS!$A11727&amp;"|"&amp;DATOS!$D11727&amp;"|"&amp;DATOS!$E11727&amp;"|"&amp;DATOS!$I11727)</f>
      </c>
      <c r="G11727">
        <f>IF(DATOS!$A11727="",0,IF(CONFIG_METADATA!$B$4&lt;&gt;"OR+EX",--(DATOS!$G11727=CONFIG_METADATA!$B$4),IF(DATOS!$G11727="EX",1,IF(DATOS!$G11727="OR",--(COUNTIFS(nNIA,DATOS!$A11727,nCURSO,DATOS!$D11727,nESPEC,DATOS!$E11727,nASIG,DATOS!$I11727,nEVAL,"EX")=0),0))))</f>
      </c>
      <c r="H11727">
        <f>IF(DATOS!$G11727&lt;&gt;"EX",0,--(COUNTIFS(nNIA,DATOS!$A11727,nCURSO,DATOS!$D11727,nESPEC,DATOS!$E11727,nASIG,DATOS!$I11727,nEVAL,"OR")=0))</f>
      </c>
      <c r="I11727">
        <f>IF(DATOS!$I11727="","",IFERROR(VLOOKUP(DATOS!$I11727,CONFIG_ASIGNATURAS!$B$2:$J$91,9,FALSE()),""))</f>
      </c>
    </row>
    <row r="11728">
      <c r="F11728">
        <f>IF(DATOS!$A11728="","",DATOS!$A11728&amp;"|"&amp;DATOS!$D11728&amp;"|"&amp;DATOS!$E11728&amp;"|"&amp;DATOS!$I11728)</f>
      </c>
      <c r="G11728">
        <f>IF(DATOS!$A11728="",0,IF(CONFIG_METADATA!$B$4&lt;&gt;"OR+EX",--(DATOS!$G11728=CONFIG_METADATA!$B$4),IF(DATOS!$G11728="EX",1,IF(DATOS!$G11728="OR",--(COUNTIFS(nNIA,DATOS!$A11728,nCURSO,DATOS!$D11728,nESPEC,DATOS!$E11728,nASIG,DATOS!$I11728,nEVAL,"EX")=0),0))))</f>
      </c>
      <c r="H11728">
        <f>IF(DATOS!$G11728&lt;&gt;"EX",0,--(COUNTIFS(nNIA,DATOS!$A11728,nCURSO,DATOS!$D11728,nESPEC,DATOS!$E11728,nASIG,DATOS!$I11728,nEVAL,"OR")=0))</f>
      </c>
      <c r="I11728">
        <f>IF(DATOS!$I11728="","",IFERROR(VLOOKUP(DATOS!$I11728,CONFIG_ASIGNATURAS!$B$2:$J$91,9,FALSE()),""))</f>
      </c>
    </row>
    <row r="11729">
      <c r="F11729">
        <f>IF(DATOS!$A11729="","",DATOS!$A11729&amp;"|"&amp;DATOS!$D11729&amp;"|"&amp;DATOS!$E11729&amp;"|"&amp;DATOS!$I11729)</f>
      </c>
      <c r="G11729">
        <f>IF(DATOS!$A11729="",0,IF(CONFIG_METADATA!$B$4&lt;&gt;"OR+EX",--(DATOS!$G11729=CONFIG_METADATA!$B$4),IF(DATOS!$G11729="EX",1,IF(DATOS!$G11729="OR",--(COUNTIFS(nNIA,DATOS!$A11729,nCURSO,DATOS!$D11729,nESPEC,DATOS!$E11729,nASIG,DATOS!$I11729,nEVAL,"EX")=0),0))))</f>
      </c>
      <c r="H11729">
        <f>IF(DATOS!$G11729&lt;&gt;"EX",0,--(COUNTIFS(nNIA,DATOS!$A11729,nCURSO,DATOS!$D11729,nESPEC,DATOS!$E11729,nASIG,DATOS!$I11729,nEVAL,"OR")=0))</f>
      </c>
      <c r="I11729">
        <f>IF(DATOS!$I11729="","",IFERROR(VLOOKUP(DATOS!$I11729,CONFIG_ASIGNATURAS!$B$2:$J$91,9,FALSE()),""))</f>
      </c>
    </row>
    <row r="11730">
      <c r="F11730">
        <f>IF(DATOS!$A11730="","",DATOS!$A11730&amp;"|"&amp;DATOS!$D11730&amp;"|"&amp;DATOS!$E11730&amp;"|"&amp;DATOS!$I11730)</f>
      </c>
      <c r="G11730">
        <f>IF(DATOS!$A11730="",0,IF(CONFIG_METADATA!$B$4&lt;&gt;"OR+EX",--(DATOS!$G11730=CONFIG_METADATA!$B$4),IF(DATOS!$G11730="EX",1,IF(DATOS!$G11730="OR",--(COUNTIFS(nNIA,DATOS!$A11730,nCURSO,DATOS!$D11730,nESPEC,DATOS!$E11730,nASIG,DATOS!$I11730,nEVAL,"EX")=0),0))))</f>
      </c>
      <c r="H11730">
        <f>IF(DATOS!$G11730&lt;&gt;"EX",0,--(COUNTIFS(nNIA,DATOS!$A11730,nCURSO,DATOS!$D11730,nESPEC,DATOS!$E11730,nASIG,DATOS!$I11730,nEVAL,"OR")=0))</f>
      </c>
      <c r="I11730">
        <f>IF(DATOS!$I11730="","",IFERROR(VLOOKUP(DATOS!$I11730,CONFIG_ASIGNATURAS!$B$2:$J$91,9,FALSE()),""))</f>
      </c>
    </row>
    <row r="11731">
      <c r="F11731">
        <f>IF(DATOS!$A11731="","",DATOS!$A11731&amp;"|"&amp;DATOS!$D11731&amp;"|"&amp;DATOS!$E11731&amp;"|"&amp;DATOS!$I11731)</f>
      </c>
      <c r="G11731">
        <f>IF(DATOS!$A11731="",0,IF(CONFIG_METADATA!$B$4&lt;&gt;"OR+EX",--(DATOS!$G11731=CONFIG_METADATA!$B$4),IF(DATOS!$G11731="EX",1,IF(DATOS!$G11731="OR",--(COUNTIFS(nNIA,DATOS!$A11731,nCURSO,DATOS!$D11731,nESPEC,DATOS!$E11731,nASIG,DATOS!$I11731,nEVAL,"EX")=0),0))))</f>
      </c>
      <c r="H11731">
        <f>IF(DATOS!$G11731&lt;&gt;"EX",0,--(COUNTIFS(nNIA,DATOS!$A11731,nCURSO,DATOS!$D11731,nESPEC,DATOS!$E11731,nASIG,DATOS!$I11731,nEVAL,"OR")=0))</f>
      </c>
      <c r="I11731">
        <f>IF(DATOS!$I11731="","",IFERROR(VLOOKUP(DATOS!$I11731,CONFIG_ASIGNATURAS!$B$2:$J$91,9,FALSE()),""))</f>
      </c>
    </row>
    <row r="11732">
      <c r="F11732">
        <f>IF(DATOS!$A11732="","",DATOS!$A11732&amp;"|"&amp;DATOS!$D11732&amp;"|"&amp;DATOS!$E11732&amp;"|"&amp;DATOS!$I11732)</f>
      </c>
      <c r="G11732">
        <f>IF(DATOS!$A11732="",0,IF(CONFIG_METADATA!$B$4&lt;&gt;"OR+EX",--(DATOS!$G11732=CONFIG_METADATA!$B$4),IF(DATOS!$G11732="EX",1,IF(DATOS!$G11732="OR",--(COUNTIFS(nNIA,DATOS!$A11732,nCURSO,DATOS!$D11732,nESPEC,DATOS!$E11732,nASIG,DATOS!$I11732,nEVAL,"EX")=0),0))))</f>
      </c>
      <c r="H11732">
        <f>IF(DATOS!$G11732&lt;&gt;"EX",0,--(COUNTIFS(nNIA,DATOS!$A11732,nCURSO,DATOS!$D11732,nESPEC,DATOS!$E11732,nASIG,DATOS!$I11732,nEVAL,"OR")=0))</f>
      </c>
      <c r="I11732">
        <f>IF(DATOS!$I11732="","",IFERROR(VLOOKUP(DATOS!$I11732,CONFIG_ASIGNATURAS!$B$2:$J$91,9,FALSE()),""))</f>
      </c>
    </row>
    <row r="11733">
      <c r="F11733">
        <f>IF(DATOS!$A11733="","",DATOS!$A11733&amp;"|"&amp;DATOS!$D11733&amp;"|"&amp;DATOS!$E11733&amp;"|"&amp;DATOS!$I11733)</f>
      </c>
      <c r="G11733">
        <f>IF(DATOS!$A11733="",0,IF(CONFIG_METADATA!$B$4&lt;&gt;"OR+EX",--(DATOS!$G11733=CONFIG_METADATA!$B$4),IF(DATOS!$G11733="EX",1,IF(DATOS!$G11733="OR",--(COUNTIFS(nNIA,DATOS!$A11733,nCURSO,DATOS!$D11733,nESPEC,DATOS!$E11733,nASIG,DATOS!$I11733,nEVAL,"EX")=0),0))))</f>
      </c>
      <c r="H11733">
        <f>IF(DATOS!$G11733&lt;&gt;"EX",0,--(COUNTIFS(nNIA,DATOS!$A11733,nCURSO,DATOS!$D11733,nESPEC,DATOS!$E11733,nASIG,DATOS!$I11733,nEVAL,"OR")=0))</f>
      </c>
      <c r="I11733">
        <f>IF(DATOS!$I11733="","",IFERROR(VLOOKUP(DATOS!$I11733,CONFIG_ASIGNATURAS!$B$2:$J$91,9,FALSE()),""))</f>
      </c>
    </row>
    <row r="11734">
      <c r="F11734">
        <f>IF(DATOS!$A11734="","",DATOS!$A11734&amp;"|"&amp;DATOS!$D11734&amp;"|"&amp;DATOS!$E11734&amp;"|"&amp;DATOS!$I11734)</f>
      </c>
      <c r="G11734">
        <f>IF(DATOS!$A11734="",0,IF(CONFIG_METADATA!$B$4&lt;&gt;"OR+EX",--(DATOS!$G11734=CONFIG_METADATA!$B$4),IF(DATOS!$G11734="EX",1,IF(DATOS!$G11734="OR",--(COUNTIFS(nNIA,DATOS!$A11734,nCURSO,DATOS!$D11734,nESPEC,DATOS!$E11734,nASIG,DATOS!$I11734,nEVAL,"EX")=0),0))))</f>
      </c>
      <c r="H11734">
        <f>IF(DATOS!$G11734&lt;&gt;"EX",0,--(COUNTIFS(nNIA,DATOS!$A11734,nCURSO,DATOS!$D11734,nESPEC,DATOS!$E11734,nASIG,DATOS!$I11734,nEVAL,"OR")=0))</f>
      </c>
      <c r="I11734">
        <f>IF(DATOS!$I11734="","",IFERROR(VLOOKUP(DATOS!$I11734,CONFIG_ASIGNATURAS!$B$2:$J$91,9,FALSE()),""))</f>
      </c>
    </row>
    <row r="11735">
      <c r="F11735">
        <f>IF(DATOS!$A11735="","",DATOS!$A11735&amp;"|"&amp;DATOS!$D11735&amp;"|"&amp;DATOS!$E11735&amp;"|"&amp;DATOS!$I11735)</f>
      </c>
      <c r="G11735">
        <f>IF(DATOS!$A11735="",0,IF(CONFIG_METADATA!$B$4&lt;&gt;"OR+EX",--(DATOS!$G11735=CONFIG_METADATA!$B$4),IF(DATOS!$G11735="EX",1,IF(DATOS!$G11735="OR",--(COUNTIFS(nNIA,DATOS!$A11735,nCURSO,DATOS!$D11735,nESPEC,DATOS!$E11735,nASIG,DATOS!$I11735,nEVAL,"EX")=0),0))))</f>
      </c>
      <c r="H11735">
        <f>IF(DATOS!$G11735&lt;&gt;"EX",0,--(COUNTIFS(nNIA,DATOS!$A11735,nCURSO,DATOS!$D11735,nESPEC,DATOS!$E11735,nASIG,DATOS!$I11735,nEVAL,"OR")=0))</f>
      </c>
      <c r="I11735">
        <f>IF(DATOS!$I11735="","",IFERROR(VLOOKUP(DATOS!$I11735,CONFIG_ASIGNATURAS!$B$2:$J$91,9,FALSE()),""))</f>
      </c>
    </row>
    <row r="11736">
      <c r="F11736">
        <f>IF(DATOS!$A11736="","",DATOS!$A11736&amp;"|"&amp;DATOS!$D11736&amp;"|"&amp;DATOS!$E11736&amp;"|"&amp;DATOS!$I11736)</f>
      </c>
      <c r="G11736">
        <f>IF(DATOS!$A11736="",0,IF(CONFIG_METADATA!$B$4&lt;&gt;"OR+EX",--(DATOS!$G11736=CONFIG_METADATA!$B$4),IF(DATOS!$G11736="EX",1,IF(DATOS!$G11736="OR",--(COUNTIFS(nNIA,DATOS!$A11736,nCURSO,DATOS!$D11736,nESPEC,DATOS!$E11736,nASIG,DATOS!$I11736,nEVAL,"EX")=0),0))))</f>
      </c>
      <c r="H11736">
        <f>IF(DATOS!$G11736&lt;&gt;"EX",0,--(COUNTIFS(nNIA,DATOS!$A11736,nCURSO,DATOS!$D11736,nESPEC,DATOS!$E11736,nASIG,DATOS!$I11736,nEVAL,"OR")=0))</f>
      </c>
      <c r="I11736">
        <f>IF(DATOS!$I11736="","",IFERROR(VLOOKUP(DATOS!$I11736,CONFIG_ASIGNATURAS!$B$2:$J$91,9,FALSE()),""))</f>
      </c>
    </row>
    <row r="11737">
      <c r="F11737">
        <f>IF(DATOS!$A11737="","",DATOS!$A11737&amp;"|"&amp;DATOS!$D11737&amp;"|"&amp;DATOS!$E11737&amp;"|"&amp;DATOS!$I11737)</f>
      </c>
      <c r="G11737">
        <f>IF(DATOS!$A11737="",0,IF(CONFIG_METADATA!$B$4&lt;&gt;"OR+EX",--(DATOS!$G11737=CONFIG_METADATA!$B$4),IF(DATOS!$G11737="EX",1,IF(DATOS!$G11737="OR",--(COUNTIFS(nNIA,DATOS!$A11737,nCURSO,DATOS!$D11737,nESPEC,DATOS!$E11737,nASIG,DATOS!$I11737,nEVAL,"EX")=0),0))))</f>
      </c>
      <c r="H11737">
        <f>IF(DATOS!$G11737&lt;&gt;"EX",0,--(COUNTIFS(nNIA,DATOS!$A11737,nCURSO,DATOS!$D11737,nESPEC,DATOS!$E11737,nASIG,DATOS!$I11737,nEVAL,"OR")=0))</f>
      </c>
      <c r="I11737">
        <f>IF(DATOS!$I11737="","",IFERROR(VLOOKUP(DATOS!$I11737,CONFIG_ASIGNATURAS!$B$2:$J$91,9,FALSE()),""))</f>
      </c>
    </row>
    <row r="11738">
      <c r="F11738">
        <f>IF(DATOS!$A11738="","",DATOS!$A11738&amp;"|"&amp;DATOS!$D11738&amp;"|"&amp;DATOS!$E11738&amp;"|"&amp;DATOS!$I11738)</f>
      </c>
      <c r="G11738">
        <f>IF(DATOS!$A11738="",0,IF(CONFIG_METADATA!$B$4&lt;&gt;"OR+EX",--(DATOS!$G11738=CONFIG_METADATA!$B$4),IF(DATOS!$G11738="EX",1,IF(DATOS!$G11738="OR",--(COUNTIFS(nNIA,DATOS!$A11738,nCURSO,DATOS!$D11738,nESPEC,DATOS!$E11738,nASIG,DATOS!$I11738,nEVAL,"EX")=0),0))))</f>
      </c>
      <c r="H11738">
        <f>IF(DATOS!$G11738&lt;&gt;"EX",0,--(COUNTIFS(nNIA,DATOS!$A11738,nCURSO,DATOS!$D11738,nESPEC,DATOS!$E11738,nASIG,DATOS!$I11738,nEVAL,"OR")=0))</f>
      </c>
      <c r="I11738">
        <f>IF(DATOS!$I11738="","",IFERROR(VLOOKUP(DATOS!$I11738,CONFIG_ASIGNATURAS!$B$2:$J$91,9,FALSE()),""))</f>
      </c>
    </row>
    <row r="11739">
      <c r="F11739">
        <f>IF(DATOS!$A11739="","",DATOS!$A11739&amp;"|"&amp;DATOS!$D11739&amp;"|"&amp;DATOS!$E11739&amp;"|"&amp;DATOS!$I11739)</f>
      </c>
      <c r="G11739">
        <f>IF(DATOS!$A11739="",0,IF(CONFIG_METADATA!$B$4&lt;&gt;"OR+EX",--(DATOS!$G11739=CONFIG_METADATA!$B$4),IF(DATOS!$G11739="EX",1,IF(DATOS!$G11739="OR",--(COUNTIFS(nNIA,DATOS!$A11739,nCURSO,DATOS!$D11739,nESPEC,DATOS!$E11739,nASIG,DATOS!$I11739,nEVAL,"EX")=0),0))))</f>
      </c>
      <c r="H11739">
        <f>IF(DATOS!$G11739&lt;&gt;"EX",0,--(COUNTIFS(nNIA,DATOS!$A11739,nCURSO,DATOS!$D11739,nESPEC,DATOS!$E11739,nASIG,DATOS!$I11739,nEVAL,"OR")=0))</f>
      </c>
      <c r="I11739">
        <f>IF(DATOS!$I11739="","",IFERROR(VLOOKUP(DATOS!$I11739,CONFIG_ASIGNATURAS!$B$2:$J$91,9,FALSE()),""))</f>
      </c>
    </row>
    <row r="11740">
      <c r="F11740">
        <f>IF(DATOS!$A11740="","",DATOS!$A11740&amp;"|"&amp;DATOS!$D11740&amp;"|"&amp;DATOS!$E11740&amp;"|"&amp;DATOS!$I11740)</f>
      </c>
      <c r="G11740">
        <f>IF(DATOS!$A11740="",0,IF(CONFIG_METADATA!$B$4&lt;&gt;"OR+EX",--(DATOS!$G11740=CONFIG_METADATA!$B$4),IF(DATOS!$G11740="EX",1,IF(DATOS!$G11740="OR",--(COUNTIFS(nNIA,DATOS!$A11740,nCURSO,DATOS!$D11740,nESPEC,DATOS!$E11740,nASIG,DATOS!$I11740,nEVAL,"EX")=0),0))))</f>
      </c>
      <c r="H11740">
        <f>IF(DATOS!$G11740&lt;&gt;"EX",0,--(COUNTIFS(nNIA,DATOS!$A11740,nCURSO,DATOS!$D11740,nESPEC,DATOS!$E11740,nASIG,DATOS!$I11740,nEVAL,"OR")=0))</f>
      </c>
      <c r="I11740">
        <f>IF(DATOS!$I11740="","",IFERROR(VLOOKUP(DATOS!$I11740,CONFIG_ASIGNATURAS!$B$2:$J$91,9,FALSE()),""))</f>
      </c>
    </row>
    <row r="11741">
      <c r="F11741">
        <f>IF(DATOS!$A11741="","",DATOS!$A11741&amp;"|"&amp;DATOS!$D11741&amp;"|"&amp;DATOS!$E11741&amp;"|"&amp;DATOS!$I11741)</f>
      </c>
      <c r="G11741">
        <f>IF(DATOS!$A11741="",0,IF(CONFIG_METADATA!$B$4&lt;&gt;"OR+EX",--(DATOS!$G11741=CONFIG_METADATA!$B$4),IF(DATOS!$G11741="EX",1,IF(DATOS!$G11741="OR",--(COUNTIFS(nNIA,DATOS!$A11741,nCURSO,DATOS!$D11741,nESPEC,DATOS!$E11741,nASIG,DATOS!$I11741,nEVAL,"EX")=0),0))))</f>
      </c>
      <c r="H11741">
        <f>IF(DATOS!$G11741&lt;&gt;"EX",0,--(COUNTIFS(nNIA,DATOS!$A11741,nCURSO,DATOS!$D11741,nESPEC,DATOS!$E11741,nASIG,DATOS!$I11741,nEVAL,"OR")=0))</f>
      </c>
      <c r="I11741">
        <f>IF(DATOS!$I11741="","",IFERROR(VLOOKUP(DATOS!$I11741,CONFIG_ASIGNATURAS!$B$2:$J$91,9,FALSE()),""))</f>
      </c>
    </row>
    <row r="11742">
      <c r="F11742">
        <f>IF(DATOS!$A11742="","",DATOS!$A11742&amp;"|"&amp;DATOS!$D11742&amp;"|"&amp;DATOS!$E11742&amp;"|"&amp;DATOS!$I11742)</f>
      </c>
      <c r="G11742">
        <f>IF(DATOS!$A11742="",0,IF(CONFIG_METADATA!$B$4&lt;&gt;"OR+EX",--(DATOS!$G11742=CONFIG_METADATA!$B$4),IF(DATOS!$G11742="EX",1,IF(DATOS!$G11742="OR",--(COUNTIFS(nNIA,DATOS!$A11742,nCURSO,DATOS!$D11742,nESPEC,DATOS!$E11742,nASIG,DATOS!$I11742,nEVAL,"EX")=0),0))))</f>
      </c>
      <c r="H11742">
        <f>IF(DATOS!$G11742&lt;&gt;"EX",0,--(COUNTIFS(nNIA,DATOS!$A11742,nCURSO,DATOS!$D11742,nESPEC,DATOS!$E11742,nASIG,DATOS!$I11742,nEVAL,"OR")=0))</f>
      </c>
      <c r="I11742">
        <f>IF(DATOS!$I11742="","",IFERROR(VLOOKUP(DATOS!$I11742,CONFIG_ASIGNATURAS!$B$2:$J$91,9,FALSE()),""))</f>
      </c>
    </row>
    <row r="11743">
      <c r="F11743">
        <f>IF(DATOS!$A11743="","",DATOS!$A11743&amp;"|"&amp;DATOS!$D11743&amp;"|"&amp;DATOS!$E11743&amp;"|"&amp;DATOS!$I11743)</f>
      </c>
      <c r="G11743">
        <f>IF(DATOS!$A11743="",0,IF(CONFIG_METADATA!$B$4&lt;&gt;"OR+EX",--(DATOS!$G11743=CONFIG_METADATA!$B$4),IF(DATOS!$G11743="EX",1,IF(DATOS!$G11743="OR",--(COUNTIFS(nNIA,DATOS!$A11743,nCURSO,DATOS!$D11743,nESPEC,DATOS!$E11743,nASIG,DATOS!$I11743,nEVAL,"EX")=0),0))))</f>
      </c>
      <c r="H11743">
        <f>IF(DATOS!$G11743&lt;&gt;"EX",0,--(COUNTIFS(nNIA,DATOS!$A11743,nCURSO,DATOS!$D11743,nESPEC,DATOS!$E11743,nASIG,DATOS!$I11743,nEVAL,"OR")=0))</f>
      </c>
      <c r="I11743">
        <f>IF(DATOS!$I11743="","",IFERROR(VLOOKUP(DATOS!$I11743,CONFIG_ASIGNATURAS!$B$2:$J$91,9,FALSE()),""))</f>
      </c>
    </row>
    <row r="11744">
      <c r="F11744">
        <f>IF(DATOS!$A11744="","",DATOS!$A11744&amp;"|"&amp;DATOS!$D11744&amp;"|"&amp;DATOS!$E11744&amp;"|"&amp;DATOS!$I11744)</f>
      </c>
      <c r="G11744">
        <f>IF(DATOS!$A11744="",0,IF(CONFIG_METADATA!$B$4&lt;&gt;"OR+EX",--(DATOS!$G11744=CONFIG_METADATA!$B$4),IF(DATOS!$G11744="EX",1,IF(DATOS!$G11744="OR",--(COUNTIFS(nNIA,DATOS!$A11744,nCURSO,DATOS!$D11744,nESPEC,DATOS!$E11744,nASIG,DATOS!$I11744,nEVAL,"EX")=0),0))))</f>
      </c>
      <c r="H11744">
        <f>IF(DATOS!$G11744&lt;&gt;"EX",0,--(COUNTIFS(nNIA,DATOS!$A11744,nCURSO,DATOS!$D11744,nESPEC,DATOS!$E11744,nASIG,DATOS!$I11744,nEVAL,"OR")=0))</f>
      </c>
      <c r="I11744">
        <f>IF(DATOS!$I11744="","",IFERROR(VLOOKUP(DATOS!$I11744,CONFIG_ASIGNATURAS!$B$2:$J$91,9,FALSE()),""))</f>
      </c>
    </row>
    <row r="11745">
      <c r="F11745">
        <f>IF(DATOS!$A11745="","",DATOS!$A11745&amp;"|"&amp;DATOS!$D11745&amp;"|"&amp;DATOS!$E11745&amp;"|"&amp;DATOS!$I11745)</f>
      </c>
      <c r="G11745">
        <f>IF(DATOS!$A11745="",0,IF(CONFIG_METADATA!$B$4&lt;&gt;"OR+EX",--(DATOS!$G11745=CONFIG_METADATA!$B$4),IF(DATOS!$G11745="EX",1,IF(DATOS!$G11745="OR",--(COUNTIFS(nNIA,DATOS!$A11745,nCURSO,DATOS!$D11745,nESPEC,DATOS!$E11745,nASIG,DATOS!$I11745,nEVAL,"EX")=0),0))))</f>
      </c>
      <c r="H11745">
        <f>IF(DATOS!$G11745&lt;&gt;"EX",0,--(COUNTIFS(nNIA,DATOS!$A11745,nCURSO,DATOS!$D11745,nESPEC,DATOS!$E11745,nASIG,DATOS!$I11745,nEVAL,"OR")=0))</f>
      </c>
      <c r="I11745">
        <f>IF(DATOS!$I11745="","",IFERROR(VLOOKUP(DATOS!$I11745,CONFIG_ASIGNATURAS!$B$2:$J$91,9,FALSE()),""))</f>
      </c>
    </row>
    <row r="11746">
      <c r="F11746">
        <f>IF(DATOS!$A11746="","",DATOS!$A11746&amp;"|"&amp;DATOS!$D11746&amp;"|"&amp;DATOS!$E11746&amp;"|"&amp;DATOS!$I11746)</f>
      </c>
      <c r="G11746">
        <f>IF(DATOS!$A11746="",0,IF(CONFIG_METADATA!$B$4&lt;&gt;"OR+EX",--(DATOS!$G11746=CONFIG_METADATA!$B$4),IF(DATOS!$G11746="EX",1,IF(DATOS!$G11746="OR",--(COUNTIFS(nNIA,DATOS!$A11746,nCURSO,DATOS!$D11746,nESPEC,DATOS!$E11746,nASIG,DATOS!$I11746,nEVAL,"EX")=0),0))))</f>
      </c>
      <c r="H11746">
        <f>IF(DATOS!$G11746&lt;&gt;"EX",0,--(COUNTIFS(nNIA,DATOS!$A11746,nCURSO,DATOS!$D11746,nESPEC,DATOS!$E11746,nASIG,DATOS!$I11746,nEVAL,"OR")=0))</f>
      </c>
      <c r="I11746">
        <f>IF(DATOS!$I11746="","",IFERROR(VLOOKUP(DATOS!$I11746,CONFIG_ASIGNATURAS!$B$2:$J$91,9,FALSE()),""))</f>
      </c>
    </row>
    <row r="11747">
      <c r="F11747">
        <f>IF(DATOS!$A11747="","",DATOS!$A11747&amp;"|"&amp;DATOS!$D11747&amp;"|"&amp;DATOS!$E11747&amp;"|"&amp;DATOS!$I11747)</f>
      </c>
      <c r="G11747">
        <f>IF(DATOS!$A11747="",0,IF(CONFIG_METADATA!$B$4&lt;&gt;"OR+EX",--(DATOS!$G11747=CONFIG_METADATA!$B$4),IF(DATOS!$G11747="EX",1,IF(DATOS!$G11747="OR",--(COUNTIFS(nNIA,DATOS!$A11747,nCURSO,DATOS!$D11747,nESPEC,DATOS!$E11747,nASIG,DATOS!$I11747,nEVAL,"EX")=0),0))))</f>
      </c>
      <c r="H11747">
        <f>IF(DATOS!$G11747&lt;&gt;"EX",0,--(COUNTIFS(nNIA,DATOS!$A11747,nCURSO,DATOS!$D11747,nESPEC,DATOS!$E11747,nASIG,DATOS!$I11747,nEVAL,"OR")=0))</f>
      </c>
      <c r="I11747">
        <f>IF(DATOS!$I11747="","",IFERROR(VLOOKUP(DATOS!$I11747,CONFIG_ASIGNATURAS!$B$2:$J$91,9,FALSE()),""))</f>
      </c>
    </row>
    <row r="11748">
      <c r="F11748">
        <f>IF(DATOS!$A11748="","",DATOS!$A11748&amp;"|"&amp;DATOS!$D11748&amp;"|"&amp;DATOS!$E11748&amp;"|"&amp;DATOS!$I11748)</f>
      </c>
      <c r="G11748">
        <f>IF(DATOS!$A11748="",0,IF(CONFIG_METADATA!$B$4&lt;&gt;"OR+EX",--(DATOS!$G11748=CONFIG_METADATA!$B$4),IF(DATOS!$G11748="EX",1,IF(DATOS!$G11748="OR",--(COUNTIFS(nNIA,DATOS!$A11748,nCURSO,DATOS!$D11748,nESPEC,DATOS!$E11748,nASIG,DATOS!$I11748,nEVAL,"EX")=0),0))))</f>
      </c>
      <c r="H11748">
        <f>IF(DATOS!$G11748&lt;&gt;"EX",0,--(COUNTIFS(nNIA,DATOS!$A11748,nCURSO,DATOS!$D11748,nESPEC,DATOS!$E11748,nASIG,DATOS!$I11748,nEVAL,"OR")=0))</f>
      </c>
      <c r="I11748">
        <f>IF(DATOS!$I11748="","",IFERROR(VLOOKUP(DATOS!$I11748,CONFIG_ASIGNATURAS!$B$2:$J$91,9,FALSE()),""))</f>
      </c>
    </row>
    <row r="11749">
      <c r="F11749">
        <f>IF(DATOS!$A11749="","",DATOS!$A11749&amp;"|"&amp;DATOS!$D11749&amp;"|"&amp;DATOS!$E11749&amp;"|"&amp;DATOS!$I11749)</f>
      </c>
      <c r="G11749">
        <f>IF(DATOS!$A11749="",0,IF(CONFIG_METADATA!$B$4&lt;&gt;"OR+EX",--(DATOS!$G11749=CONFIG_METADATA!$B$4),IF(DATOS!$G11749="EX",1,IF(DATOS!$G11749="OR",--(COUNTIFS(nNIA,DATOS!$A11749,nCURSO,DATOS!$D11749,nESPEC,DATOS!$E11749,nASIG,DATOS!$I11749,nEVAL,"EX")=0),0))))</f>
      </c>
      <c r="H11749">
        <f>IF(DATOS!$G11749&lt;&gt;"EX",0,--(COUNTIFS(nNIA,DATOS!$A11749,nCURSO,DATOS!$D11749,nESPEC,DATOS!$E11749,nASIG,DATOS!$I11749,nEVAL,"OR")=0))</f>
      </c>
      <c r="I11749">
        <f>IF(DATOS!$I11749="","",IFERROR(VLOOKUP(DATOS!$I11749,CONFIG_ASIGNATURAS!$B$2:$J$91,9,FALSE()),""))</f>
      </c>
    </row>
    <row r="11750">
      <c r="F11750">
        <f>IF(DATOS!$A11750="","",DATOS!$A11750&amp;"|"&amp;DATOS!$D11750&amp;"|"&amp;DATOS!$E11750&amp;"|"&amp;DATOS!$I11750)</f>
      </c>
      <c r="G11750">
        <f>IF(DATOS!$A11750="",0,IF(CONFIG_METADATA!$B$4&lt;&gt;"OR+EX",--(DATOS!$G11750=CONFIG_METADATA!$B$4),IF(DATOS!$G11750="EX",1,IF(DATOS!$G11750="OR",--(COUNTIFS(nNIA,DATOS!$A11750,nCURSO,DATOS!$D11750,nESPEC,DATOS!$E11750,nASIG,DATOS!$I11750,nEVAL,"EX")=0),0))))</f>
      </c>
      <c r="H11750">
        <f>IF(DATOS!$G11750&lt;&gt;"EX",0,--(COUNTIFS(nNIA,DATOS!$A11750,nCURSO,DATOS!$D11750,nESPEC,DATOS!$E11750,nASIG,DATOS!$I11750,nEVAL,"OR")=0))</f>
      </c>
      <c r="I11750">
        <f>IF(DATOS!$I11750="","",IFERROR(VLOOKUP(DATOS!$I11750,CONFIG_ASIGNATURAS!$B$2:$J$91,9,FALSE()),""))</f>
      </c>
    </row>
    <row r="11751">
      <c r="F11751">
        <f>IF(DATOS!$A11751="","",DATOS!$A11751&amp;"|"&amp;DATOS!$D11751&amp;"|"&amp;DATOS!$E11751&amp;"|"&amp;DATOS!$I11751)</f>
      </c>
      <c r="G11751">
        <f>IF(DATOS!$A11751="",0,IF(CONFIG_METADATA!$B$4&lt;&gt;"OR+EX",--(DATOS!$G11751=CONFIG_METADATA!$B$4),IF(DATOS!$G11751="EX",1,IF(DATOS!$G11751="OR",--(COUNTIFS(nNIA,DATOS!$A11751,nCURSO,DATOS!$D11751,nESPEC,DATOS!$E11751,nASIG,DATOS!$I11751,nEVAL,"EX")=0),0))))</f>
      </c>
      <c r="H11751">
        <f>IF(DATOS!$G11751&lt;&gt;"EX",0,--(COUNTIFS(nNIA,DATOS!$A11751,nCURSO,DATOS!$D11751,nESPEC,DATOS!$E11751,nASIG,DATOS!$I11751,nEVAL,"OR")=0))</f>
      </c>
      <c r="I11751">
        <f>IF(DATOS!$I11751="","",IFERROR(VLOOKUP(DATOS!$I11751,CONFIG_ASIGNATURAS!$B$2:$J$91,9,FALSE()),""))</f>
      </c>
    </row>
    <row r="11752">
      <c r="F11752">
        <f>IF(DATOS!$A11752="","",DATOS!$A11752&amp;"|"&amp;DATOS!$D11752&amp;"|"&amp;DATOS!$E11752&amp;"|"&amp;DATOS!$I11752)</f>
      </c>
      <c r="G11752">
        <f>IF(DATOS!$A11752="",0,IF(CONFIG_METADATA!$B$4&lt;&gt;"OR+EX",--(DATOS!$G11752=CONFIG_METADATA!$B$4),IF(DATOS!$G11752="EX",1,IF(DATOS!$G11752="OR",--(COUNTIFS(nNIA,DATOS!$A11752,nCURSO,DATOS!$D11752,nESPEC,DATOS!$E11752,nASIG,DATOS!$I11752,nEVAL,"EX")=0),0))))</f>
      </c>
      <c r="H11752">
        <f>IF(DATOS!$G11752&lt;&gt;"EX",0,--(COUNTIFS(nNIA,DATOS!$A11752,nCURSO,DATOS!$D11752,nESPEC,DATOS!$E11752,nASIG,DATOS!$I11752,nEVAL,"OR")=0))</f>
      </c>
      <c r="I11752">
        <f>IF(DATOS!$I11752="","",IFERROR(VLOOKUP(DATOS!$I11752,CONFIG_ASIGNATURAS!$B$2:$J$91,9,FALSE()),""))</f>
      </c>
    </row>
    <row r="11753">
      <c r="F11753">
        <f>IF(DATOS!$A11753="","",DATOS!$A11753&amp;"|"&amp;DATOS!$D11753&amp;"|"&amp;DATOS!$E11753&amp;"|"&amp;DATOS!$I11753)</f>
      </c>
      <c r="G11753">
        <f>IF(DATOS!$A11753="",0,IF(CONFIG_METADATA!$B$4&lt;&gt;"OR+EX",--(DATOS!$G11753=CONFIG_METADATA!$B$4),IF(DATOS!$G11753="EX",1,IF(DATOS!$G11753="OR",--(COUNTIFS(nNIA,DATOS!$A11753,nCURSO,DATOS!$D11753,nESPEC,DATOS!$E11753,nASIG,DATOS!$I11753,nEVAL,"EX")=0),0))))</f>
      </c>
      <c r="H11753">
        <f>IF(DATOS!$G11753&lt;&gt;"EX",0,--(COUNTIFS(nNIA,DATOS!$A11753,nCURSO,DATOS!$D11753,nESPEC,DATOS!$E11753,nASIG,DATOS!$I11753,nEVAL,"OR")=0))</f>
      </c>
      <c r="I11753">
        <f>IF(DATOS!$I11753="","",IFERROR(VLOOKUP(DATOS!$I11753,CONFIG_ASIGNATURAS!$B$2:$J$91,9,FALSE()),""))</f>
      </c>
    </row>
    <row r="11754">
      <c r="F11754">
        <f>IF(DATOS!$A11754="","",DATOS!$A11754&amp;"|"&amp;DATOS!$D11754&amp;"|"&amp;DATOS!$E11754&amp;"|"&amp;DATOS!$I11754)</f>
      </c>
      <c r="G11754">
        <f>IF(DATOS!$A11754="",0,IF(CONFIG_METADATA!$B$4&lt;&gt;"OR+EX",--(DATOS!$G11754=CONFIG_METADATA!$B$4),IF(DATOS!$G11754="EX",1,IF(DATOS!$G11754="OR",--(COUNTIFS(nNIA,DATOS!$A11754,nCURSO,DATOS!$D11754,nESPEC,DATOS!$E11754,nASIG,DATOS!$I11754,nEVAL,"EX")=0),0))))</f>
      </c>
      <c r="H11754">
        <f>IF(DATOS!$G11754&lt;&gt;"EX",0,--(COUNTIFS(nNIA,DATOS!$A11754,nCURSO,DATOS!$D11754,nESPEC,DATOS!$E11754,nASIG,DATOS!$I11754,nEVAL,"OR")=0))</f>
      </c>
      <c r="I11754">
        <f>IF(DATOS!$I11754="","",IFERROR(VLOOKUP(DATOS!$I11754,CONFIG_ASIGNATURAS!$B$2:$J$91,9,FALSE()),""))</f>
      </c>
    </row>
    <row r="11755">
      <c r="F11755">
        <f>IF(DATOS!$A11755="","",DATOS!$A11755&amp;"|"&amp;DATOS!$D11755&amp;"|"&amp;DATOS!$E11755&amp;"|"&amp;DATOS!$I11755)</f>
      </c>
      <c r="G11755">
        <f>IF(DATOS!$A11755="",0,IF(CONFIG_METADATA!$B$4&lt;&gt;"OR+EX",--(DATOS!$G11755=CONFIG_METADATA!$B$4),IF(DATOS!$G11755="EX",1,IF(DATOS!$G11755="OR",--(COUNTIFS(nNIA,DATOS!$A11755,nCURSO,DATOS!$D11755,nESPEC,DATOS!$E11755,nASIG,DATOS!$I11755,nEVAL,"EX")=0),0))))</f>
      </c>
      <c r="H11755">
        <f>IF(DATOS!$G11755&lt;&gt;"EX",0,--(COUNTIFS(nNIA,DATOS!$A11755,nCURSO,DATOS!$D11755,nESPEC,DATOS!$E11755,nASIG,DATOS!$I11755,nEVAL,"OR")=0))</f>
      </c>
      <c r="I11755">
        <f>IF(DATOS!$I11755="","",IFERROR(VLOOKUP(DATOS!$I11755,CONFIG_ASIGNATURAS!$B$2:$J$91,9,FALSE()),""))</f>
      </c>
    </row>
    <row r="11756">
      <c r="F11756">
        <f>IF(DATOS!$A11756="","",DATOS!$A11756&amp;"|"&amp;DATOS!$D11756&amp;"|"&amp;DATOS!$E11756&amp;"|"&amp;DATOS!$I11756)</f>
      </c>
      <c r="G11756">
        <f>IF(DATOS!$A11756="",0,IF(CONFIG_METADATA!$B$4&lt;&gt;"OR+EX",--(DATOS!$G11756=CONFIG_METADATA!$B$4),IF(DATOS!$G11756="EX",1,IF(DATOS!$G11756="OR",--(COUNTIFS(nNIA,DATOS!$A11756,nCURSO,DATOS!$D11756,nESPEC,DATOS!$E11756,nASIG,DATOS!$I11756,nEVAL,"EX")=0),0))))</f>
      </c>
      <c r="H11756">
        <f>IF(DATOS!$G11756&lt;&gt;"EX",0,--(COUNTIFS(nNIA,DATOS!$A11756,nCURSO,DATOS!$D11756,nESPEC,DATOS!$E11756,nASIG,DATOS!$I11756,nEVAL,"OR")=0))</f>
      </c>
      <c r="I11756">
        <f>IF(DATOS!$I11756="","",IFERROR(VLOOKUP(DATOS!$I11756,CONFIG_ASIGNATURAS!$B$2:$J$91,9,FALSE()),""))</f>
      </c>
    </row>
    <row r="11757">
      <c r="F11757">
        <f>IF(DATOS!$A11757="","",DATOS!$A11757&amp;"|"&amp;DATOS!$D11757&amp;"|"&amp;DATOS!$E11757&amp;"|"&amp;DATOS!$I11757)</f>
      </c>
      <c r="G11757">
        <f>IF(DATOS!$A11757="",0,IF(CONFIG_METADATA!$B$4&lt;&gt;"OR+EX",--(DATOS!$G11757=CONFIG_METADATA!$B$4),IF(DATOS!$G11757="EX",1,IF(DATOS!$G11757="OR",--(COUNTIFS(nNIA,DATOS!$A11757,nCURSO,DATOS!$D11757,nESPEC,DATOS!$E11757,nASIG,DATOS!$I11757,nEVAL,"EX")=0),0))))</f>
      </c>
      <c r="H11757">
        <f>IF(DATOS!$G11757&lt;&gt;"EX",0,--(COUNTIFS(nNIA,DATOS!$A11757,nCURSO,DATOS!$D11757,nESPEC,DATOS!$E11757,nASIG,DATOS!$I11757,nEVAL,"OR")=0))</f>
      </c>
      <c r="I11757">
        <f>IF(DATOS!$I11757="","",IFERROR(VLOOKUP(DATOS!$I11757,CONFIG_ASIGNATURAS!$B$2:$J$91,9,FALSE()),""))</f>
      </c>
    </row>
    <row r="11758">
      <c r="F11758">
        <f>IF(DATOS!$A11758="","",DATOS!$A11758&amp;"|"&amp;DATOS!$D11758&amp;"|"&amp;DATOS!$E11758&amp;"|"&amp;DATOS!$I11758)</f>
      </c>
      <c r="G11758">
        <f>IF(DATOS!$A11758="",0,IF(CONFIG_METADATA!$B$4&lt;&gt;"OR+EX",--(DATOS!$G11758=CONFIG_METADATA!$B$4),IF(DATOS!$G11758="EX",1,IF(DATOS!$G11758="OR",--(COUNTIFS(nNIA,DATOS!$A11758,nCURSO,DATOS!$D11758,nESPEC,DATOS!$E11758,nASIG,DATOS!$I11758,nEVAL,"EX")=0),0))))</f>
      </c>
      <c r="H11758">
        <f>IF(DATOS!$G11758&lt;&gt;"EX",0,--(COUNTIFS(nNIA,DATOS!$A11758,nCURSO,DATOS!$D11758,nESPEC,DATOS!$E11758,nASIG,DATOS!$I11758,nEVAL,"OR")=0))</f>
      </c>
      <c r="I11758">
        <f>IF(DATOS!$I11758="","",IFERROR(VLOOKUP(DATOS!$I11758,CONFIG_ASIGNATURAS!$B$2:$J$91,9,FALSE()),""))</f>
      </c>
    </row>
    <row r="11759">
      <c r="F11759">
        <f>IF(DATOS!$A11759="","",DATOS!$A11759&amp;"|"&amp;DATOS!$D11759&amp;"|"&amp;DATOS!$E11759&amp;"|"&amp;DATOS!$I11759)</f>
      </c>
      <c r="G11759">
        <f>IF(DATOS!$A11759="",0,IF(CONFIG_METADATA!$B$4&lt;&gt;"OR+EX",--(DATOS!$G11759=CONFIG_METADATA!$B$4),IF(DATOS!$G11759="EX",1,IF(DATOS!$G11759="OR",--(COUNTIFS(nNIA,DATOS!$A11759,nCURSO,DATOS!$D11759,nESPEC,DATOS!$E11759,nASIG,DATOS!$I11759,nEVAL,"EX")=0),0))))</f>
      </c>
      <c r="H11759">
        <f>IF(DATOS!$G11759&lt;&gt;"EX",0,--(COUNTIFS(nNIA,DATOS!$A11759,nCURSO,DATOS!$D11759,nESPEC,DATOS!$E11759,nASIG,DATOS!$I11759,nEVAL,"OR")=0))</f>
      </c>
      <c r="I11759">
        <f>IF(DATOS!$I11759="","",IFERROR(VLOOKUP(DATOS!$I11759,CONFIG_ASIGNATURAS!$B$2:$J$91,9,FALSE()),""))</f>
      </c>
    </row>
    <row r="11760">
      <c r="F11760">
        <f>IF(DATOS!$A11760="","",DATOS!$A11760&amp;"|"&amp;DATOS!$D11760&amp;"|"&amp;DATOS!$E11760&amp;"|"&amp;DATOS!$I11760)</f>
      </c>
      <c r="G11760">
        <f>IF(DATOS!$A11760="",0,IF(CONFIG_METADATA!$B$4&lt;&gt;"OR+EX",--(DATOS!$G11760=CONFIG_METADATA!$B$4),IF(DATOS!$G11760="EX",1,IF(DATOS!$G11760="OR",--(COUNTIFS(nNIA,DATOS!$A11760,nCURSO,DATOS!$D11760,nESPEC,DATOS!$E11760,nASIG,DATOS!$I11760,nEVAL,"EX")=0),0))))</f>
      </c>
      <c r="H11760">
        <f>IF(DATOS!$G11760&lt;&gt;"EX",0,--(COUNTIFS(nNIA,DATOS!$A11760,nCURSO,DATOS!$D11760,nESPEC,DATOS!$E11760,nASIG,DATOS!$I11760,nEVAL,"OR")=0))</f>
      </c>
      <c r="I11760">
        <f>IF(DATOS!$I11760="","",IFERROR(VLOOKUP(DATOS!$I11760,CONFIG_ASIGNATURAS!$B$2:$J$91,9,FALSE()),""))</f>
      </c>
    </row>
    <row r="11761">
      <c r="F11761">
        <f>IF(DATOS!$A11761="","",DATOS!$A11761&amp;"|"&amp;DATOS!$D11761&amp;"|"&amp;DATOS!$E11761&amp;"|"&amp;DATOS!$I11761)</f>
      </c>
      <c r="G11761">
        <f>IF(DATOS!$A11761="",0,IF(CONFIG_METADATA!$B$4&lt;&gt;"OR+EX",--(DATOS!$G11761=CONFIG_METADATA!$B$4),IF(DATOS!$G11761="EX",1,IF(DATOS!$G11761="OR",--(COUNTIFS(nNIA,DATOS!$A11761,nCURSO,DATOS!$D11761,nESPEC,DATOS!$E11761,nASIG,DATOS!$I11761,nEVAL,"EX")=0),0))))</f>
      </c>
      <c r="H11761">
        <f>IF(DATOS!$G11761&lt;&gt;"EX",0,--(COUNTIFS(nNIA,DATOS!$A11761,nCURSO,DATOS!$D11761,nESPEC,DATOS!$E11761,nASIG,DATOS!$I11761,nEVAL,"OR")=0))</f>
      </c>
      <c r="I11761">
        <f>IF(DATOS!$I11761="","",IFERROR(VLOOKUP(DATOS!$I11761,CONFIG_ASIGNATURAS!$B$2:$J$91,9,FALSE()),""))</f>
      </c>
    </row>
    <row r="11762">
      <c r="F11762">
        <f>IF(DATOS!$A11762="","",DATOS!$A11762&amp;"|"&amp;DATOS!$D11762&amp;"|"&amp;DATOS!$E11762&amp;"|"&amp;DATOS!$I11762)</f>
      </c>
      <c r="G11762">
        <f>IF(DATOS!$A11762="",0,IF(CONFIG_METADATA!$B$4&lt;&gt;"OR+EX",--(DATOS!$G11762=CONFIG_METADATA!$B$4),IF(DATOS!$G11762="EX",1,IF(DATOS!$G11762="OR",--(COUNTIFS(nNIA,DATOS!$A11762,nCURSO,DATOS!$D11762,nESPEC,DATOS!$E11762,nASIG,DATOS!$I11762,nEVAL,"EX")=0),0))))</f>
      </c>
      <c r="H11762">
        <f>IF(DATOS!$G11762&lt;&gt;"EX",0,--(COUNTIFS(nNIA,DATOS!$A11762,nCURSO,DATOS!$D11762,nESPEC,DATOS!$E11762,nASIG,DATOS!$I11762,nEVAL,"OR")=0))</f>
      </c>
      <c r="I11762">
        <f>IF(DATOS!$I11762="","",IFERROR(VLOOKUP(DATOS!$I11762,CONFIG_ASIGNATURAS!$B$2:$J$91,9,FALSE()),""))</f>
      </c>
    </row>
    <row r="11763">
      <c r="F11763">
        <f>IF(DATOS!$A11763="","",DATOS!$A11763&amp;"|"&amp;DATOS!$D11763&amp;"|"&amp;DATOS!$E11763&amp;"|"&amp;DATOS!$I11763)</f>
      </c>
      <c r="G11763">
        <f>IF(DATOS!$A11763="",0,IF(CONFIG_METADATA!$B$4&lt;&gt;"OR+EX",--(DATOS!$G11763=CONFIG_METADATA!$B$4),IF(DATOS!$G11763="EX",1,IF(DATOS!$G11763="OR",--(COUNTIFS(nNIA,DATOS!$A11763,nCURSO,DATOS!$D11763,nESPEC,DATOS!$E11763,nASIG,DATOS!$I11763,nEVAL,"EX")=0),0))))</f>
      </c>
      <c r="H11763">
        <f>IF(DATOS!$G11763&lt;&gt;"EX",0,--(COUNTIFS(nNIA,DATOS!$A11763,nCURSO,DATOS!$D11763,nESPEC,DATOS!$E11763,nASIG,DATOS!$I11763,nEVAL,"OR")=0))</f>
      </c>
      <c r="I11763">
        <f>IF(DATOS!$I11763="","",IFERROR(VLOOKUP(DATOS!$I11763,CONFIG_ASIGNATURAS!$B$2:$J$91,9,FALSE()),""))</f>
      </c>
    </row>
    <row r="11764">
      <c r="F11764">
        <f>IF(DATOS!$A11764="","",DATOS!$A11764&amp;"|"&amp;DATOS!$D11764&amp;"|"&amp;DATOS!$E11764&amp;"|"&amp;DATOS!$I11764)</f>
      </c>
      <c r="G11764">
        <f>IF(DATOS!$A11764="",0,IF(CONFIG_METADATA!$B$4&lt;&gt;"OR+EX",--(DATOS!$G11764=CONFIG_METADATA!$B$4),IF(DATOS!$G11764="EX",1,IF(DATOS!$G11764="OR",--(COUNTIFS(nNIA,DATOS!$A11764,nCURSO,DATOS!$D11764,nESPEC,DATOS!$E11764,nASIG,DATOS!$I11764,nEVAL,"EX")=0),0))))</f>
      </c>
      <c r="H11764">
        <f>IF(DATOS!$G11764&lt;&gt;"EX",0,--(COUNTIFS(nNIA,DATOS!$A11764,nCURSO,DATOS!$D11764,nESPEC,DATOS!$E11764,nASIG,DATOS!$I11764,nEVAL,"OR")=0))</f>
      </c>
      <c r="I11764">
        <f>IF(DATOS!$I11764="","",IFERROR(VLOOKUP(DATOS!$I11764,CONFIG_ASIGNATURAS!$B$2:$J$91,9,FALSE()),""))</f>
      </c>
    </row>
    <row r="11765">
      <c r="F11765">
        <f>IF(DATOS!$A11765="","",DATOS!$A11765&amp;"|"&amp;DATOS!$D11765&amp;"|"&amp;DATOS!$E11765&amp;"|"&amp;DATOS!$I11765)</f>
      </c>
      <c r="G11765">
        <f>IF(DATOS!$A11765="",0,IF(CONFIG_METADATA!$B$4&lt;&gt;"OR+EX",--(DATOS!$G11765=CONFIG_METADATA!$B$4),IF(DATOS!$G11765="EX",1,IF(DATOS!$G11765="OR",--(COUNTIFS(nNIA,DATOS!$A11765,nCURSO,DATOS!$D11765,nESPEC,DATOS!$E11765,nASIG,DATOS!$I11765,nEVAL,"EX")=0),0))))</f>
      </c>
      <c r="H11765">
        <f>IF(DATOS!$G11765&lt;&gt;"EX",0,--(COUNTIFS(nNIA,DATOS!$A11765,nCURSO,DATOS!$D11765,nESPEC,DATOS!$E11765,nASIG,DATOS!$I11765,nEVAL,"OR")=0))</f>
      </c>
      <c r="I11765">
        <f>IF(DATOS!$I11765="","",IFERROR(VLOOKUP(DATOS!$I11765,CONFIG_ASIGNATURAS!$B$2:$J$91,9,FALSE()),""))</f>
      </c>
    </row>
    <row r="11766">
      <c r="F11766">
        <f>IF(DATOS!$A11766="","",DATOS!$A11766&amp;"|"&amp;DATOS!$D11766&amp;"|"&amp;DATOS!$E11766&amp;"|"&amp;DATOS!$I11766)</f>
      </c>
      <c r="G11766">
        <f>IF(DATOS!$A11766="",0,IF(CONFIG_METADATA!$B$4&lt;&gt;"OR+EX",--(DATOS!$G11766=CONFIG_METADATA!$B$4),IF(DATOS!$G11766="EX",1,IF(DATOS!$G11766="OR",--(COUNTIFS(nNIA,DATOS!$A11766,nCURSO,DATOS!$D11766,nESPEC,DATOS!$E11766,nASIG,DATOS!$I11766,nEVAL,"EX")=0),0))))</f>
      </c>
      <c r="H11766">
        <f>IF(DATOS!$G11766&lt;&gt;"EX",0,--(COUNTIFS(nNIA,DATOS!$A11766,nCURSO,DATOS!$D11766,nESPEC,DATOS!$E11766,nASIG,DATOS!$I11766,nEVAL,"OR")=0))</f>
      </c>
      <c r="I11766">
        <f>IF(DATOS!$I11766="","",IFERROR(VLOOKUP(DATOS!$I11766,CONFIG_ASIGNATURAS!$B$2:$J$91,9,FALSE()),""))</f>
      </c>
    </row>
    <row r="11767">
      <c r="F11767">
        <f>IF(DATOS!$A11767="","",DATOS!$A11767&amp;"|"&amp;DATOS!$D11767&amp;"|"&amp;DATOS!$E11767&amp;"|"&amp;DATOS!$I11767)</f>
      </c>
      <c r="G11767">
        <f>IF(DATOS!$A11767="",0,IF(CONFIG_METADATA!$B$4&lt;&gt;"OR+EX",--(DATOS!$G11767=CONFIG_METADATA!$B$4),IF(DATOS!$G11767="EX",1,IF(DATOS!$G11767="OR",--(COUNTIFS(nNIA,DATOS!$A11767,nCURSO,DATOS!$D11767,nESPEC,DATOS!$E11767,nASIG,DATOS!$I11767,nEVAL,"EX")=0),0))))</f>
      </c>
      <c r="H11767">
        <f>IF(DATOS!$G11767&lt;&gt;"EX",0,--(COUNTIFS(nNIA,DATOS!$A11767,nCURSO,DATOS!$D11767,nESPEC,DATOS!$E11767,nASIG,DATOS!$I11767,nEVAL,"OR")=0))</f>
      </c>
      <c r="I11767">
        <f>IF(DATOS!$I11767="","",IFERROR(VLOOKUP(DATOS!$I11767,CONFIG_ASIGNATURAS!$B$2:$J$91,9,FALSE()),""))</f>
      </c>
    </row>
    <row r="11768">
      <c r="F11768">
        <f>IF(DATOS!$A11768="","",DATOS!$A11768&amp;"|"&amp;DATOS!$D11768&amp;"|"&amp;DATOS!$E11768&amp;"|"&amp;DATOS!$I11768)</f>
      </c>
      <c r="G11768">
        <f>IF(DATOS!$A11768="",0,IF(CONFIG_METADATA!$B$4&lt;&gt;"OR+EX",--(DATOS!$G11768=CONFIG_METADATA!$B$4),IF(DATOS!$G11768="EX",1,IF(DATOS!$G11768="OR",--(COUNTIFS(nNIA,DATOS!$A11768,nCURSO,DATOS!$D11768,nESPEC,DATOS!$E11768,nASIG,DATOS!$I11768,nEVAL,"EX")=0),0))))</f>
      </c>
      <c r="H11768">
        <f>IF(DATOS!$G11768&lt;&gt;"EX",0,--(COUNTIFS(nNIA,DATOS!$A11768,nCURSO,DATOS!$D11768,nESPEC,DATOS!$E11768,nASIG,DATOS!$I11768,nEVAL,"OR")=0))</f>
      </c>
      <c r="I11768">
        <f>IF(DATOS!$I11768="","",IFERROR(VLOOKUP(DATOS!$I11768,CONFIG_ASIGNATURAS!$B$2:$J$91,9,FALSE()),""))</f>
      </c>
    </row>
    <row r="11769">
      <c r="F11769">
        <f>IF(DATOS!$A11769="","",DATOS!$A11769&amp;"|"&amp;DATOS!$D11769&amp;"|"&amp;DATOS!$E11769&amp;"|"&amp;DATOS!$I11769)</f>
      </c>
      <c r="G11769">
        <f>IF(DATOS!$A11769="",0,IF(CONFIG_METADATA!$B$4&lt;&gt;"OR+EX",--(DATOS!$G11769=CONFIG_METADATA!$B$4),IF(DATOS!$G11769="EX",1,IF(DATOS!$G11769="OR",--(COUNTIFS(nNIA,DATOS!$A11769,nCURSO,DATOS!$D11769,nESPEC,DATOS!$E11769,nASIG,DATOS!$I11769,nEVAL,"EX")=0),0))))</f>
      </c>
      <c r="H11769">
        <f>IF(DATOS!$G11769&lt;&gt;"EX",0,--(COUNTIFS(nNIA,DATOS!$A11769,nCURSO,DATOS!$D11769,nESPEC,DATOS!$E11769,nASIG,DATOS!$I11769,nEVAL,"OR")=0))</f>
      </c>
      <c r="I11769">
        <f>IF(DATOS!$I11769="","",IFERROR(VLOOKUP(DATOS!$I11769,CONFIG_ASIGNATURAS!$B$2:$J$91,9,FALSE()),""))</f>
      </c>
    </row>
    <row r="11770">
      <c r="F11770">
        <f>IF(DATOS!$A11770="","",DATOS!$A11770&amp;"|"&amp;DATOS!$D11770&amp;"|"&amp;DATOS!$E11770&amp;"|"&amp;DATOS!$I11770)</f>
      </c>
      <c r="G11770">
        <f>IF(DATOS!$A11770="",0,IF(CONFIG_METADATA!$B$4&lt;&gt;"OR+EX",--(DATOS!$G11770=CONFIG_METADATA!$B$4),IF(DATOS!$G11770="EX",1,IF(DATOS!$G11770="OR",--(COUNTIFS(nNIA,DATOS!$A11770,nCURSO,DATOS!$D11770,nESPEC,DATOS!$E11770,nASIG,DATOS!$I11770,nEVAL,"EX")=0),0))))</f>
      </c>
      <c r="H11770">
        <f>IF(DATOS!$G11770&lt;&gt;"EX",0,--(COUNTIFS(nNIA,DATOS!$A11770,nCURSO,DATOS!$D11770,nESPEC,DATOS!$E11770,nASIG,DATOS!$I11770,nEVAL,"OR")=0))</f>
      </c>
      <c r="I11770">
        <f>IF(DATOS!$I11770="","",IFERROR(VLOOKUP(DATOS!$I11770,CONFIG_ASIGNATURAS!$B$2:$J$91,9,FALSE()),""))</f>
      </c>
    </row>
    <row r="11771">
      <c r="F11771">
        <f>IF(DATOS!$A11771="","",DATOS!$A11771&amp;"|"&amp;DATOS!$D11771&amp;"|"&amp;DATOS!$E11771&amp;"|"&amp;DATOS!$I11771)</f>
      </c>
      <c r="G11771">
        <f>IF(DATOS!$A11771="",0,IF(CONFIG_METADATA!$B$4&lt;&gt;"OR+EX",--(DATOS!$G11771=CONFIG_METADATA!$B$4),IF(DATOS!$G11771="EX",1,IF(DATOS!$G11771="OR",--(COUNTIFS(nNIA,DATOS!$A11771,nCURSO,DATOS!$D11771,nESPEC,DATOS!$E11771,nASIG,DATOS!$I11771,nEVAL,"EX")=0),0))))</f>
      </c>
      <c r="H11771">
        <f>IF(DATOS!$G11771&lt;&gt;"EX",0,--(COUNTIFS(nNIA,DATOS!$A11771,nCURSO,DATOS!$D11771,nESPEC,DATOS!$E11771,nASIG,DATOS!$I11771,nEVAL,"OR")=0))</f>
      </c>
      <c r="I11771">
        <f>IF(DATOS!$I11771="","",IFERROR(VLOOKUP(DATOS!$I11771,CONFIG_ASIGNATURAS!$B$2:$J$91,9,FALSE()),""))</f>
      </c>
    </row>
    <row r="11772">
      <c r="F11772">
        <f>IF(DATOS!$A11772="","",DATOS!$A11772&amp;"|"&amp;DATOS!$D11772&amp;"|"&amp;DATOS!$E11772&amp;"|"&amp;DATOS!$I11772)</f>
      </c>
      <c r="G11772">
        <f>IF(DATOS!$A11772="",0,IF(CONFIG_METADATA!$B$4&lt;&gt;"OR+EX",--(DATOS!$G11772=CONFIG_METADATA!$B$4),IF(DATOS!$G11772="EX",1,IF(DATOS!$G11772="OR",--(COUNTIFS(nNIA,DATOS!$A11772,nCURSO,DATOS!$D11772,nESPEC,DATOS!$E11772,nASIG,DATOS!$I11772,nEVAL,"EX")=0),0))))</f>
      </c>
      <c r="H11772">
        <f>IF(DATOS!$G11772&lt;&gt;"EX",0,--(COUNTIFS(nNIA,DATOS!$A11772,nCURSO,DATOS!$D11772,nESPEC,DATOS!$E11772,nASIG,DATOS!$I11772,nEVAL,"OR")=0))</f>
      </c>
      <c r="I11772">
        <f>IF(DATOS!$I11772="","",IFERROR(VLOOKUP(DATOS!$I11772,CONFIG_ASIGNATURAS!$B$2:$J$91,9,FALSE()),""))</f>
      </c>
    </row>
    <row r="11773">
      <c r="F11773">
        <f>IF(DATOS!$A11773="","",DATOS!$A11773&amp;"|"&amp;DATOS!$D11773&amp;"|"&amp;DATOS!$E11773&amp;"|"&amp;DATOS!$I11773)</f>
      </c>
      <c r="G11773">
        <f>IF(DATOS!$A11773="",0,IF(CONFIG_METADATA!$B$4&lt;&gt;"OR+EX",--(DATOS!$G11773=CONFIG_METADATA!$B$4),IF(DATOS!$G11773="EX",1,IF(DATOS!$G11773="OR",--(COUNTIFS(nNIA,DATOS!$A11773,nCURSO,DATOS!$D11773,nESPEC,DATOS!$E11773,nASIG,DATOS!$I11773,nEVAL,"EX")=0),0))))</f>
      </c>
      <c r="H11773">
        <f>IF(DATOS!$G11773&lt;&gt;"EX",0,--(COUNTIFS(nNIA,DATOS!$A11773,nCURSO,DATOS!$D11773,nESPEC,DATOS!$E11773,nASIG,DATOS!$I11773,nEVAL,"OR")=0))</f>
      </c>
      <c r="I11773">
        <f>IF(DATOS!$I11773="","",IFERROR(VLOOKUP(DATOS!$I11773,CONFIG_ASIGNATURAS!$B$2:$J$91,9,FALSE()),""))</f>
      </c>
    </row>
    <row r="11774">
      <c r="F11774">
        <f>IF(DATOS!$A11774="","",DATOS!$A11774&amp;"|"&amp;DATOS!$D11774&amp;"|"&amp;DATOS!$E11774&amp;"|"&amp;DATOS!$I11774)</f>
      </c>
      <c r="G11774">
        <f>IF(DATOS!$A11774="",0,IF(CONFIG_METADATA!$B$4&lt;&gt;"OR+EX",--(DATOS!$G11774=CONFIG_METADATA!$B$4),IF(DATOS!$G11774="EX",1,IF(DATOS!$G11774="OR",--(COUNTIFS(nNIA,DATOS!$A11774,nCURSO,DATOS!$D11774,nESPEC,DATOS!$E11774,nASIG,DATOS!$I11774,nEVAL,"EX")=0),0))))</f>
      </c>
      <c r="H11774">
        <f>IF(DATOS!$G11774&lt;&gt;"EX",0,--(COUNTIFS(nNIA,DATOS!$A11774,nCURSO,DATOS!$D11774,nESPEC,DATOS!$E11774,nASIG,DATOS!$I11774,nEVAL,"OR")=0))</f>
      </c>
      <c r="I11774">
        <f>IF(DATOS!$I11774="","",IFERROR(VLOOKUP(DATOS!$I11774,CONFIG_ASIGNATURAS!$B$2:$J$91,9,FALSE()),""))</f>
      </c>
    </row>
    <row r="11775">
      <c r="F11775">
        <f>IF(DATOS!$A11775="","",DATOS!$A11775&amp;"|"&amp;DATOS!$D11775&amp;"|"&amp;DATOS!$E11775&amp;"|"&amp;DATOS!$I11775)</f>
      </c>
      <c r="G11775">
        <f>IF(DATOS!$A11775="",0,IF(CONFIG_METADATA!$B$4&lt;&gt;"OR+EX",--(DATOS!$G11775=CONFIG_METADATA!$B$4),IF(DATOS!$G11775="EX",1,IF(DATOS!$G11775="OR",--(COUNTIFS(nNIA,DATOS!$A11775,nCURSO,DATOS!$D11775,nESPEC,DATOS!$E11775,nASIG,DATOS!$I11775,nEVAL,"EX")=0),0))))</f>
      </c>
      <c r="H11775">
        <f>IF(DATOS!$G11775&lt;&gt;"EX",0,--(COUNTIFS(nNIA,DATOS!$A11775,nCURSO,DATOS!$D11775,nESPEC,DATOS!$E11775,nASIG,DATOS!$I11775,nEVAL,"OR")=0))</f>
      </c>
      <c r="I11775">
        <f>IF(DATOS!$I11775="","",IFERROR(VLOOKUP(DATOS!$I11775,CONFIG_ASIGNATURAS!$B$2:$J$91,9,FALSE()),""))</f>
      </c>
    </row>
    <row r="11776">
      <c r="F11776">
        <f>IF(DATOS!$A11776="","",DATOS!$A11776&amp;"|"&amp;DATOS!$D11776&amp;"|"&amp;DATOS!$E11776&amp;"|"&amp;DATOS!$I11776)</f>
      </c>
      <c r="G11776">
        <f>IF(DATOS!$A11776="",0,IF(CONFIG_METADATA!$B$4&lt;&gt;"OR+EX",--(DATOS!$G11776=CONFIG_METADATA!$B$4),IF(DATOS!$G11776="EX",1,IF(DATOS!$G11776="OR",--(COUNTIFS(nNIA,DATOS!$A11776,nCURSO,DATOS!$D11776,nESPEC,DATOS!$E11776,nASIG,DATOS!$I11776,nEVAL,"EX")=0),0))))</f>
      </c>
      <c r="H11776">
        <f>IF(DATOS!$G11776&lt;&gt;"EX",0,--(COUNTIFS(nNIA,DATOS!$A11776,nCURSO,DATOS!$D11776,nESPEC,DATOS!$E11776,nASIG,DATOS!$I11776,nEVAL,"OR")=0))</f>
      </c>
      <c r="I11776">
        <f>IF(DATOS!$I11776="","",IFERROR(VLOOKUP(DATOS!$I11776,CONFIG_ASIGNATURAS!$B$2:$J$91,9,FALSE()),""))</f>
      </c>
    </row>
    <row r="11777">
      <c r="F11777">
        <f>IF(DATOS!$A11777="","",DATOS!$A11777&amp;"|"&amp;DATOS!$D11777&amp;"|"&amp;DATOS!$E11777&amp;"|"&amp;DATOS!$I11777)</f>
      </c>
      <c r="G11777">
        <f>IF(DATOS!$A11777="",0,IF(CONFIG_METADATA!$B$4&lt;&gt;"OR+EX",--(DATOS!$G11777=CONFIG_METADATA!$B$4),IF(DATOS!$G11777="EX",1,IF(DATOS!$G11777="OR",--(COUNTIFS(nNIA,DATOS!$A11777,nCURSO,DATOS!$D11777,nESPEC,DATOS!$E11777,nASIG,DATOS!$I11777,nEVAL,"EX")=0),0))))</f>
      </c>
      <c r="H11777">
        <f>IF(DATOS!$G11777&lt;&gt;"EX",0,--(COUNTIFS(nNIA,DATOS!$A11777,nCURSO,DATOS!$D11777,nESPEC,DATOS!$E11777,nASIG,DATOS!$I11777,nEVAL,"OR")=0))</f>
      </c>
      <c r="I11777">
        <f>IF(DATOS!$I11777="","",IFERROR(VLOOKUP(DATOS!$I11777,CONFIG_ASIGNATURAS!$B$2:$J$91,9,FALSE()),""))</f>
      </c>
    </row>
    <row r="11778">
      <c r="F11778">
        <f>IF(DATOS!$A11778="","",DATOS!$A11778&amp;"|"&amp;DATOS!$D11778&amp;"|"&amp;DATOS!$E11778&amp;"|"&amp;DATOS!$I11778)</f>
      </c>
      <c r="G11778">
        <f>IF(DATOS!$A11778="",0,IF(CONFIG_METADATA!$B$4&lt;&gt;"OR+EX",--(DATOS!$G11778=CONFIG_METADATA!$B$4),IF(DATOS!$G11778="EX",1,IF(DATOS!$G11778="OR",--(COUNTIFS(nNIA,DATOS!$A11778,nCURSO,DATOS!$D11778,nESPEC,DATOS!$E11778,nASIG,DATOS!$I11778,nEVAL,"EX")=0),0))))</f>
      </c>
      <c r="H11778">
        <f>IF(DATOS!$G11778&lt;&gt;"EX",0,--(COUNTIFS(nNIA,DATOS!$A11778,nCURSO,DATOS!$D11778,nESPEC,DATOS!$E11778,nASIG,DATOS!$I11778,nEVAL,"OR")=0))</f>
      </c>
      <c r="I11778">
        <f>IF(DATOS!$I11778="","",IFERROR(VLOOKUP(DATOS!$I11778,CONFIG_ASIGNATURAS!$B$2:$J$91,9,FALSE()),""))</f>
      </c>
    </row>
    <row r="11779">
      <c r="F11779">
        <f>IF(DATOS!$A11779="","",DATOS!$A11779&amp;"|"&amp;DATOS!$D11779&amp;"|"&amp;DATOS!$E11779&amp;"|"&amp;DATOS!$I11779)</f>
      </c>
      <c r="G11779">
        <f>IF(DATOS!$A11779="",0,IF(CONFIG_METADATA!$B$4&lt;&gt;"OR+EX",--(DATOS!$G11779=CONFIG_METADATA!$B$4),IF(DATOS!$G11779="EX",1,IF(DATOS!$G11779="OR",--(COUNTIFS(nNIA,DATOS!$A11779,nCURSO,DATOS!$D11779,nESPEC,DATOS!$E11779,nASIG,DATOS!$I11779,nEVAL,"EX")=0),0))))</f>
      </c>
      <c r="H11779">
        <f>IF(DATOS!$G11779&lt;&gt;"EX",0,--(COUNTIFS(nNIA,DATOS!$A11779,nCURSO,DATOS!$D11779,nESPEC,DATOS!$E11779,nASIG,DATOS!$I11779,nEVAL,"OR")=0))</f>
      </c>
      <c r="I11779">
        <f>IF(DATOS!$I11779="","",IFERROR(VLOOKUP(DATOS!$I11779,CONFIG_ASIGNATURAS!$B$2:$J$91,9,FALSE()),""))</f>
      </c>
    </row>
    <row r="11780">
      <c r="F11780">
        <f>IF(DATOS!$A11780="","",DATOS!$A11780&amp;"|"&amp;DATOS!$D11780&amp;"|"&amp;DATOS!$E11780&amp;"|"&amp;DATOS!$I11780)</f>
      </c>
      <c r="G11780">
        <f>IF(DATOS!$A11780="",0,IF(CONFIG_METADATA!$B$4&lt;&gt;"OR+EX",--(DATOS!$G11780=CONFIG_METADATA!$B$4),IF(DATOS!$G11780="EX",1,IF(DATOS!$G11780="OR",--(COUNTIFS(nNIA,DATOS!$A11780,nCURSO,DATOS!$D11780,nESPEC,DATOS!$E11780,nASIG,DATOS!$I11780,nEVAL,"EX")=0),0))))</f>
      </c>
      <c r="H11780">
        <f>IF(DATOS!$G11780&lt;&gt;"EX",0,--(COUNTIFS(nNIA,DATOS!$A11780,nCURSO,DATOS!$D11780,nESPEC,DATOS!$E11780,nASIG,DATOS!$I11780,nEVAL,"OR")=0))</f>
      </c>
      <c r="I11780">
        <f>IF(DATOS!$I11780="","",IFERROR(VLOOKUP(DATOS!$I11780,CONFIG_ASIGNATURAS!$B$2:$J$91,9,FALSE()),""))</f>
      </c>
    </row>
    <row r="11781">
      <c r="F11781">
        <f>IF(DATOS!$A11781="","",DATOS!$A11781&amp;"|"&amp;DATOS!$D11781&amp;"|"&amp;DATOS!$E11781&amp;"|"&amp;DATOS!$I11781)</f>
      </c>
      <c r="G11781">
        <f>IF(DATOS!$A11781="",0,IF(CONFIG_METADATA!$B$4&lt;&gt;"OR+EX",--(DATOS!$G11781=CONFIG_METADATA!$B$4),IF(DATOS!$G11781="EX",1,IF(DATOS!$G11781="OR",--(COUNTIFS(nNIA,DATOS!$A11781,nCURSO,DATOS!$D11781,nESPEC,DATOS!$E11781,nASIG,DATOS!$I11781,nEVAL,"EX")=0),0))))</f>
      </c>
      <c r="H11781">
        <f>IF(DATOS!$G11781&lt;&gt;"EX",0,--(COUNTIFS(nNIA,DATOS!$A11781,nCURSO,DATOS!$D11781,nESPEC,DATOS!$E11781,nASIG,DATOS!$I11781,nEVAL,"OR")=0))</f>
      </c>
      <c r="I11781">
        <f>IF(DATOS!$I11781="","",IFERROR(VLOOKUP(DATOS!$I11781,CONFIG_ASIGNATURAS!$B$2:$J$91,9,FALSE()),""))</f>
      </c>
    </row>
    <row r="11782">
      <c r="F11782">
        <f>IF(DATOS!$A11782="","",DATOS!$A11782&amp;"|"&amp;DATOS!$D11782&amp;"|"&amp;DATOS!$E11782&amp;"|"&amp;DATOS!$I11782)</f>
      </c>
      <c r="G11782">
        <f>IF(DATOS!$A11782="",0,IF(CONFIG_METADATA!$B$4&lt;&gt;"OR+EX",--(DATOS!$G11782=CONFIG_METADATA!$B$4),IF(DATOS!$G11782="EX",1,IF(DATOS!$G11782="OR",--(COUNTIFS(nNIA,DATOS!$A11782,nCURSO,DATOS!$D11782,nESPEC,DATOS!$E11782,nASIG,DATOS!$I11782,nEVAL,"EX")=0),0))))</f>
      </c>
      <c r="H11782">
        <f>IF(DATOS!$G11782&lt;&gt;"EX",0,--(COUNTIFS(nNIA,DATOS!$A11782,nCURSO,DATOS!$D11782,nESPEC,DATOS!$E11782,nASIG,DATOS!$I11782,nEVAL,"OR")=0))</f>
      </c>
      <c r="I11782">
        <f>IF(DATOS!$I11782="","",IFERROR(VLOOKUP(DATOS!$I11782,CONFIG_ASIGNATURAS!$B$2:$J$91,9,FALSE()),""))</f>
      </c>
    </row>
    <row r="11783">
      <c r="F11783">
        <f>IF(DATOS!$A11783="","",DATOS!$A11783&amp;"|"&amp;DATOS!$D11783&amp;"|"&amp;DATOS!$E11783&amp;"|"&amp;DATOS!$I11783)</f>
      </c>
      <c r="G11783">
        <f>IF(DATOS!$A11783="",0,IF(CONFIG_METADATA!$B$4&lt;&gt;"OR+EX",--(DATOS!$G11783=CONFIG_METADATA!$B$4),IF(DATOS!$G11783="EX",1,IF(DATOS!$G11783="OR",--(COUNTIFS(nNIA,DATOS!$A11783,nCURSO,DATOS!$D11783,nESPEC,DATOS!$E11783,nASIG,DATOS!$I11783,nEVAL,"EX")=0),0))))</f>
      </c>
      <c r="H11783">
        <f>IF(DATOS!$G11783&lt;&gt;"EX",0,--(COUNTIFS(nNIA,DATOS!$A11783,nCURSO,DATOS!$D11783,nESPEC,DATOS!$E11783,nASIG,DATOS!$I11783,nEVAL,"OR")=0))</f>
      </c>
      <c r="I11783">
        <f>IF(DATOS!$I11783="","",IFERROR(VLOOKUP(DATOS!$I11783,CONFIG_ASIGNATURAS!$B$2:$J$91,9,FALSE()),""))</f>
      </c>
    </row>
    <row r="11784">
      <c r="F11784">
        <f>IF(DATOS!$A11784="","",DATOS!$A11784&amp;"|"&amp;DATOS!$D11784&amp;"|"&amp;DATOS!$E11784&amp;"|"&amp;DATOS!$I11784)</f>
      </c>
      <c r="G11784">
        <f>IF(DATOS!$A11784="",0,IF(CONFIG_METADATA!$B$4&lt;&gt;"OR+EX",--(DATOS!$G11784=CONFIG_METADATA!$B$4),IF(DATOS!$G11784="EX",1,IF(DATOS!$G11784="OR",--(COUNTIFS(nNIA,DATOS!$A11784,nCURSO,DATOS!$D11784,nESPEC,DATOS!$E11784,nASIG,DATOS!$I11784,nEVAL,"EX")=0),0))))</f>
      </c>
      <c r="H11784">
        <f>IF(DATOS!$G11784&lt;&gt;"EX",0,--(COUNTIFS(nNIA,DATOS!$A11784,nCURSO,DATOS!$D11784,nESPEC,DATOS!$E11784,nASIG,DATOS!$I11784,nEVAL,"OR")=0))</f>
      </c>
      <c r="I11784">
        <f>IF(DATOS!$I11784="","",IFERROR(VLOOKUP(DATOS!$I11784,CONFIG_ASIGNATURAS!$B$2:$J$91,9,FALSE()),""))</f>
      </c>
    </row>
    <row r="11785">
      <c r="F11785">
        <f>IF(DATOS!$A11785="","",DATOS!$A11785&amp;"|"&amp;DATOS!$D11785&amp;"|"&amp;DATOS!$E11785&amp;"|"&amp;DATOS!$I11785)</f>
      </c>
      <c r="G11785">
        <f>IF(DATOS!$A11785="",0,IF(CONFIG_METADATA!$B$4&lt;&gt;"OR+EX",--(DATOS!$G11785=CONFIG_METADATA!$B$4),IF(DATOS!$G11785="EX",1,IF(DATOS!$G11785="OR",--(COUNTIFS(nNIA,DATOS!$A11785,nCURSO,DATOS!$D11785,nESPEC,DATOS!$E11785,nASIG,DATOS!$I11785,nEVAL,"EX")=0),0))))</f>
      </c>
      <c r="H11785">
        <f>IF(DATOS!$G11785&lt;&gt;"EX",0,--(COUNTIFS(nNIA,DATOS!$A11785,nCURSO,DATOS!$D11785,nESPEC,DATOS!$E11785,nASIG,DATOS!$I11785,nEVAL,"OR")=0))</f>
      </c>
      <c r="I11785">
        <f>IF(DATOS!$I11785="","",IFERROR(VLOOKUP(DATOS!$I11785,CONFIG_ASIGNATURAS!$B$2:$J$91,9,FALSE()),""))</f>
      </c>
    </row>
    <row r="11786">
      <c r="F11786">
        <f>IF(DATOS!$A11786="","",DATOS!$A11786&amp;"|"&amp;DATOS!$D11786&amp;"|"&amp;DATOS!$E11786&amp;"|"&amp;DATOS!$I11786)</f>
      </c>
      <c r="G11786">
        <f>IF(DATOS!$A11786="",0,IF(CONFIG_METADATA!$B$4&lt;&gt;"OR+EX",--(DATOS!$G11786=CONFIG_METADATA!$B$4),IF(DATOS!$G11786="EX",1,IF(DATOS!$G11786="OR",--(COUNTIFS(nNIA,DATOS!$A11786,nCURSO,DATOS!$D11786,nESPEC,DATOS!$E11786,nASIG,DATOS!$I11786,nEVAL,"EX")=0),0))))</f>
      </c>
      <c r="H11786">
        <f>IF(DATOS!$G11786&lt;&gt;"EX",0,--(COUNTIFS(nNIA,DATOS!$A11786,nCURSO,DATOS!$D11786,nESPEC,DATOS!$E11786,nASIG,DATOS!$I11786,nEVAL,"OR")=0))</f>
      </c>
      <c r="I11786">
        <f>IF(DATOS!$I11786="","",IFERROR(VLOOKUP(DATOS!$I11786,CONFIG_ASIGNATURAS!$B$2:$J$91,9,FALSE()),""))</f>
      </c>
    </row>
    <row r="11787">
      <c r="F11787">
        <f>IF(DATOS!$A11787="","",DATOS!$A11787&amp;"|"&amp;DATOS!$D11787&amp;"|"&amp;DATOS!$E11787&amp;"|"&amp;DATOS!$I11787)</f>
      </c>
      <c r="G11787">
        <f>IF(DATOS!$A11787="",0,IF(CONFIG_METADATA!$B$4&lt;&gt;"OR+EX",--(DATOS!$G11787=CONFIG_METADATA!$B$4),IF(DATOS!$G11787="EX",1,IF(DATOS!$G11787="OR",--(COUNTIFS(nNIA,DATOS!$A11787,nCURSO,DATOS!$D11787,nESPEC,DATOS!$E11787,nASIG,DATOS!$I11787,nEVAL,"EX")=0),0))))</f>
      </c>
      <c r="H11787">
        <f>IF(DATOS!$G11787&lt;&gt;"EX",0,--(COUNTIFS(nNIA,DATOS!$A11787,nCURSO,DATOS!$D11787,nESPEC,DATOS!$E11787,nASIG,DATOS!$I11787,nEVAL,"OR")=0))</f>
      </c>
      <c r="I11787">
        <f>IF(DATOS!$I11787="","",IFERROR(VLOOKUP(DATOS!$I11787,CONFIG_ASIGNATURAS!$B$2:$J$91,9,FALSE()),""))</f>
      </c>
    </row>
    <row r="11788">
      <c r="F11788">
        <f>IF(DATOS!$A11788="","",DATOS!$A11788&amp;"|"&amp;DATOS!$D11788&amp;"|"&amp;DATOS!$E11788&amp;"|"&amp;DATOS!$I11788)</f>
      </c>
      <c r="G11788">
        <f>IF(DATOS!$A11788="",0,IF(CONFIG_METADATA!$B$4&lt;&gt;"OR+EX",--(DATOS!$G11788=CONFIG_METADATA!$B$4),IF(DATOS!$G11788="EX",1,IF(DATOS!$G11788="OR",--(COUNTIFS(nNIA,DATOS!$A11788,nCURSO,DATOS!$D11788,nESPEC,DATOS!$E11788,nASIG,DATOS!$I11788,nEVAL,"EX")=0),0))))</f>
      </c>
      <c r="H11788">
        <f>IF(DATOS!$G11788&lt;&gt;"EX",0,--(COUNTIFS(nNIA,DATOS!$A11788,nCURSO,DATOS!$D11788,nESPEC,DATOS!$E11788,nASIG,DATOS!$I11788,nEVAL,"OR")=0))</f>
      </c>
      <c r="I11788">
        <f>IF(DATOS!$I11788="","",IFERROR(VLOOKUP(DATOS!$I11788,CONFIG_ASIGNATURAS!$B$2:$J$91,9,FALSE()),""))</f>
      </c>
    </row>
    <row r="11789">
      <c r="F11789">
        <f>IF(DATOS!$A11789="","",DATOS!$A11789&amp;"|"&amp;DATOS!$D11789&amp;"|"&amp;DATOS!$E11789&amp;"|"&amp;DATOS!$I11789)</f>
      </c>
      <c r="G11789">
        <f>IF(DATOS!$A11789="",0,IF(CONFIG_METADATA!$B$4&lt;&gt;"OR+EX",--(DATOS!$G11789=CONFIG_METADATA!$B$4),IF(DATOS!$G11789="EX",1,IF(DATOS!$G11789="OR",--(COUNTIFS(nNIA,DATOS!$A11789,nCURSO,DATOS!$D11789,nESPEC,DATOS!$E11789,nASIG,DATOS!$I11789,nEVAL,"EX")=0),0))))</f>
      </c>
      <c r="H11789">
        <f>IF(DATOS!$G11789&lt;&gt;"EX",0,--(COUNTIFS(nNIA,DATOS!$A11789,nCURSO,DATOS!$D11789,nESPEC,DATOS!$E11789,nASIG,DATOS!$I11789,nEVAL,"OR")=0))</f>
      </c>
      <c r="I11789">
        <f>IF(DATOS!$I11789="","",IFERROR(VLOOKUP(DATOS!$I11789,CONFIG_ASIGNATURAS!$B$2:$J$91,9,FALSE()),""))</f>
      </c>
    </row>
    <row r="11790">
      <c r="F11790">
        <f>IF(DATOS!$A11790="","",DATOS!$A11790&amp;"|"&amp;DATOS!$D11790&amp;"|"&amp;DATOS!$E11790&amp;"|"&amp;DATOS!$I11790)</f>
      </c>
      <c r="G11790">
        <f>IF(DATOS!$A11790="",0,IF(CONFIG_METADATA!$B$4&lt;&gt;"OR+EX",--(DATOS!$G11790=CONFIG_METADATA!$B$4),IF(DATOS!$G11790="EX",1,IF(DATOS!$G11790="OR",--(COUNTIFS(nNIA,DATOS!$A11790,nCURSO,DATOS!$D11790,nESPEC,DATOS!$E11790,nASIG,DATOS!$I11790,nEVAL,"EX")=0),0))))</f>
      </c>
      <c r="H11790">
        <f>IF(DATOS!$G11790&lt;&gt;"EX",0,--(COUNTIFS(nNIA,DATOS!$A11790,nCURSO,DATOS!$D11790,nESPEC,DATOS!$E11790,nASIG,DATOS!$I11790,nEVAL,"OR")=0))</f>
      </c>
      <c r="I11790">
        <f>IF(DATOS!$I11790="","",IFERROR(VLOOKUP(DATOS!$I11790,CONFIG_ASIGNATURAS!$B$2:$J$91,9,FALSE()),""))</f>
      </c>
    </row>
    <row r="11791">
      <c r="F11791">
        <f>IF(DATOS!$A11791="","",DATOS!$A11791&amp;"|"&amp;DATOS!$D11791&amp;"|"&amp;DATOS!$E11791&amp;"|"&amp;DATOS!$I11791)</f>
      </c>
      <c r="G11791">
        <f>IF(DATOS!$A11791="",0,IF(CONFIG_METADATA!$B$4&lt;&gt;"OR+EX",--(DATOS!$G11791=CONFIG_METADATA!$B$4),IF(DATOS!$G11791="EX",1,IF(DATOS!$G11791="OR",--(COUNTIFS(nNIA,DATOS!$A11791,nCURSO,DATOS!$D11791,nESPEC,DATOS!$E11791,nASIG,DATOS!$I11791,nEVAL,"EX")=0),0))))</f>
      </c>
      <c r="H11791">
        <f>IF(DATOS!$G11791&lt;&gt;"EX",0,--(COUNTIFS(nNIA,DATOS!$A11791,nCURSO,DATOS!$D11791,nESPEC,DATOS!$E11791,nASIG,DATOS!$I11791,nEVAL,"OR")=0))</f>
      </c>
      <c r="I11791">
        <f>IF(DATOS!$I11791="","",IFERROR(VLOOKUP(DATOS!$I11791,CONFIG_ASIGNATURAS!$B$2:$J$91,9,FALSE()),""))</f>
      </c>
    </row>
    <row r="11792">
      <c r="F11792">
        <f>IF(DATOS!$A11792="","",DATOS!$A11792&amp;"|"&amp;DATOS!$D11792&amp;"|"&amp;DATOS!$E11792&amp;"|"&amp;DATOS!$I11792)</f>
      </c>
      <c r="G11792">
        <f>IF(DATOS!$A11792="",0,IF(CONFIG_METADATA!$B$4&lt;&gt;"OR+EX",--(DATOS!$G11792=CONFIG_METADATA!$B$4),IF(DATOS!$G11792="EX",1,IF(DATOS!$G11792="OR",--(COUNTIFS(nNIA,DATOS!$A11792,nCURSO,DATOS!$D11792,nESPEC,DATOS!$E11792,nASIG,DATOS!$I11792,nEVAL,"EX")=0),0))))</f>
      </c>
      <c r="H11792">
        <f>IF(DATOS!$G11792&lt;&gt;"EX",0,--(COUNTIFS(nNIA,DATOS!$A11792,nCURSO,DATOS!$D11792,nESPEC,DATOS!$E11792,nASIG,DATOS!$I11792,nEVAL,"OR")=0))</f>
      </c>
      <c r="I11792">
        <f>IF(DATOS!$I11792="","",IFERROR(VLOOKUP(DATOS!$I11792,CONFIG_ASIGNATURAS!$B$2:$J$91,9,FALSE()),""))</f>
      </c>
    </row>
    <row r="11793">
      <c r="F11793">
        <f>IF(DATOS!$A11793="","",DATOS!$A11793&amp;"|"&amp;DATOS!$D11793&amp;"|"&amp;DATOS!$E11793&amp;"|"&amp;DATOS!$I11793)</f>
      </c>
      <c r="G11793">
        <f>IF(DATOS!$A11793="",0,IF(CONFIG_METADATA!$B$4&lt;&gt;"OR+EX",--(DATOS!$G11793=CONFIG_METADATA!$B$4),IF(DATOS!$G11793="EX",1,IF(DATOS!$G11793="OR",--(COUNTIFS(nNIA,DATOS!$A11793,nCURSO,DATOS!$D11793,nESPEC,DATOS!$E11793,nASIG,DATOS!$I11793,nEVAL,"EX")=0),0))))</f>
      </c>
      <c r="H11793">
        <f>IF(DATOS!$G11793&lt;&gt;"EX",0,--(COUNTIFS(nNIA,DATOS!$A11793,nCURSO,DATOS!$D11793,nESPEC,DATOS!$E11793,nASIG,DATOS!$I11793,nEVAL,"OR")=0))</f>
      </c>
      <c r="I11793">
        <f>IF(DATOS!$I11793="","",IFERROR(VLOOKUP(DATOS!$I11793,CONFIG_ASIGNATURAS!$B$2:$J$91,9,FALSE()),""))</f>
      </c>
    </row>
    <row r="11794">
      <c r="F11794">
        <f>IF(DATOS!$A11794="","",DATOS!$A11794&amp;"|"&amp;DATOS!$D11794&amp;"|"&amp;DATOS!$E11794&amp;"|"&amp;DATOS!$I11794)</f>
      </c>
      <c r="G11794">
        <f>IF(DATOS!$A11794="",0,IF(CONFIG_METADATA!$B$4&lt;&gt;"OR+EX",--(DATOS!$G11794=CONFIG_METADATA!$B$4),IF(DATOS!$G11794="EX",1,IF(DATOS!$G11794="OR",--(COUNTIFS(nNIA,DATOS!$A11794,nCURSO,DATOS!$D11794,nESPEC,DATOS!$E11794,nASIG,DATOS!$I11794,nEVAL,"EX")=0),0))))</f>
      </c>
      <c r="H11794">
        <f>IF(DATOS!$G11794&lt;&gt;"EX",0,--(COUNTIFS(nNIA,DATOS!$A11794,nCURSO,DATOS!$D11794,nESPEC,DATOS!$E11794,nASIG,DATOS!$I11794,nEVAL,"OR")=0))</f>
      </c>
      <c r="I11794">
        <f>IF(DATOS!$I11794="","",IFERROR(VLOOKUP(DATOS!$I11794,CONFIG_ASIGNATURAS!$B$2:$J$91,9,FALSE()),""))</f>
      </c>
    </row>
    <row r="11795">
      <c r="F11795">
        <f>IF(DATOS!$A11795="","",DATOS!$A11795&amp;"|"&amp;DATOS!$D11795&amp;"|"&amp;DATOS!$E11795&amp;"|"&amp;DATOS!$I11795)</f>
      </c>
      <c r="G11795">
        <f>IF(DATOS!$A11795="",0,IF(CONFIG_METADATA!$B$4&lt;&gt;"OR+EX",--(DATOS!$G11795=CONFIG_METADATA!$B$4),IF(DATOS!$G11795="EX",1,IF(DATOS!$G11795="OR",--(COUNTIFS(nNIA,DATOS!$A11795,nCURSO,DATOS!$D11795,nESPEC,DATOS!$E11795,nASIG,DATOS!$I11795,nEVAL,"EX")=0),0))))</f>
      </c>
      <c r="H11795">
        <f>IF(DATOS!$G11795&lt;&gt;"EX",0,--(COUNTIFS(nNIA,DATOS!$A11795,nCURSO,DATOS!$D11795,nESPEC,DATOS!$E11795,nASIG,DATOS!$I11795,nEVAL,"OR")=0))</f>
      </c>
      <c r="I11795">
        <f>IF(DATOS!$I11795="","",IFERROR(VLOOKUP(DATOS!$I11795,CONFIG_ASIGNATURAS!$B$2:$J$91,9,FALSE()),""))</f>
      </c>
    </row>
    <row r="11796">
      <c r="F11796">
        <f>IF(DATOS!$A11796="","",DATOS!$A11796&amp;"|"&amp;DATOS!$D11796&amp;"|"&amp;DATOS!$E11796&amp;"|"&amp;DATOS!$I11796)</f>
      </c>
      <c r="G11796">
        <f>IF(DATOS!$A11796="",0,IF(CONFIG_METADATA!$B$4&lt;&gt;"OR+EX",--(DATOS!$G11796=CONFIG_METADATA!$B$4),IF(DATOS!$G11796="EX",1,IF(DATOS!$G11796="OR",--(COUNTIFS(nNIA,DATOS!$A11796,nCURSO,DATOS!$D11796,nESPEC,DATOS!$E11796,nASIG,DATOS!$I11796,nEVAL,"EX")=0),0))))</f>
      </c>
      <c r="H11796">
        <f>IF(DATOS!$G11796&lt;&gt;"EX",0,--(COUNTIFS(nNIA,DATOS!$A11796,nCURSO,DATOS!$D11796,nESPEC,DATOS!$E11796,nASIG,DATOS!$I11796,nEVAL,"OR")=0))</f>
      </c>
      <c r="I11796">
        <f>IF(DATOS!$I11796="","",IFERROR(VLOOKUP(DATOS!$I11796,CONFIG_ASIGNATURAS!$B$2:$J$91,9,FALSE()),""))</f>
      </c>
    </row>
    <row r="11797">
      <c r="F11797">
        <f>IF(DATOS!$A11797="","",DATOS!$A11797&amp;"|"&amp;DATOS!$D11797&amp;"|"&amp;DATOS!$E11797&amp;"|"&amp;DATOS!$I11797)</f>
      </c>
      <c r="G11797">
        <f>IF(DATOS!$A11797="",0,IF(CONFIG_METADATA!$B$4&lt;&gt;"OR+EX",--(DATOS!$G11797=CONFIG_METADATA!$B$4),IF(DATOS!$G11797="EX",1,IF(DATOS!$G11797="OR",--(COUNTIFS(nNIA,DATOS!$A11797,nCURSO,DATOS!$D11797,nESPEC,DATOS!$E11797,nASIG,DATOS!$I11797,nEVAL,"EX")=0),0))))</f>
      </c>
      <c r="H11797">
        <f>IF(DATOS!$G11797&lt;&gt;"EX",0,--(COUNTIFS(nNIA,DATOS!$A11797,nCURSO,DATOS!$D11797,nESPEC,DATOS!$E11797,nASIG,DATOS!$I11797,nEVAL,"OR")=0))</f>
      </c>
      <c r="I11797">
        <f>IF(DATOS!$I11797="","",IFERROR(VLOOKUP(DATOS!$I11797,CONFIG_ASIGNATURAS!$B$2:$J$91,9,FALSE()),""))</f>
      </c>
    </row>
    <row r="11798">
      <c r="F11798">
        <f>IF(DATOS!$A11798="","",DATOS!$A11798&amp;"|"&amp;DATOS!$D11798&amp;"|"&amp;DATOS!$E11798&amp;"|"&amp;DATOS!$I11798)</f>
      </c>
      <c r="G11798">
        <f>IF(DATOS!$A11798="",0,IF(CONFIG_METADATA!$B$4&lt;&gt;"OR+EX",--(DATOS!$G11798=CONFIG_METADATA!$B$4),IF(DATOS!$G11798="EX",1,IF(DATOS!$G11798="OR",--(COUNTIFS(nNIA,DATOS!$A11798,nCURSO,DATOS!$D11798,nESPEC,DATOS!$E11798,nASIG,DATOS!$I11798,nEVAL,"EX")=0),0))))</f>
      </c>
      <c r="H11798">
        <f>IF(DATOS!$G11798&lt;&gt;"EX",0,--(COUNTIFS(nNIA,DATOS!$A11798,nCURSO,DATOS!$D11798,nESPEC,DATOS!$E11798,nASIG,DATOS!$I11798,nEVAL,"OR")=0))</f>
      </c>
      <c r="I11798">
        <f>IF(DATOS!$I11798="","",IFERROR(VLOOKUP(DATOS!$I11798,CONFIG_ASIGNATURAS!$B$2:$J$91,9,FALSE()),""))</f>
      </c>
    </row>
    <row r="11799">
      <c r="F11799">
        <f>IF(DATOS!$A11799="","",DATOS!$A11799&amp;"|"&amp;DATOS!$D11799&amp;"|"&amp;DATOS!$E11799&amp;"|"&amp;DATOS!$I11799)</f>
      </c>
      <c r="G11799">
        <f>IF(DATOS!$A11799="",0,IF(CONFIG_METADATA!$B$4&lt;&gt;"OR+EX",--(DATOS!$G11799=CONFIG_METADATA!$B$4),IF(DATOS!$G11799="EX",1,IF(DATOS!$G11799="OR",--(COUNTIFS(nNIA,DATOS!$A11799,nCURSO,DATOS!$D11799,nESPEC,DATOS!$E11799,nASIG,DATOS!$I11799,nEVAL,"EX")=0),0))))</f>
      </c>
      <c r="H11799">
        <f>IF(DATOS!$G11799&lt;&gt;"EX",0,--(COUNTIFS(nNIA,DATOS!$A11799,nCURSO,DATOS!$D11799,nESPEC,DATOS!$E11799,nASIG,DATOS!$I11799,nEVAL,"OR")=0))</f>
      </c>
      <c r="I11799">
        <f>IF(DATOS!$I11799="","",IFERROR(VLOOKUP(DATOS!$I11799,CONFIG_ASIGNATURAS!$B$2:$J$91,9,FALSE()),""))</f>
      </c>
    </row>
    <row r="11800">
      <c r="F11800">
        <f>IF(DATOS!$A11800="","",DATOS!$A11800&amp;"|"&amp;DATOS!$D11800&amp;"|"&amp;DATOS!$E11800&amp;"|"&amp;DATOS!$I11800)</f>
      </c>
      <c r="G11800">
        <f>IF(DATOS!$A11800="",0,IF(CONFIG_METADATA!$B$4&lt;&gt;"OR+EX",--(DATOS!$G11800=CONFIG_METADATA!$B$4),IF(DATOS!$G11800="EX",1,IF(DATOS!$G11800="OR",--(COUNTIFS(nNIA,DATOS!$A11800,nCURSO,DATOS!$D11800,nESPEC,DATOS!$E11800,nASIG,DATOS!$I11800,nEVAL,"EX")=0),0))))</f>
      </c>
      <c r="H11800">
        <f>IF(DATOS!$G11800&lt;&gt;"EX",0,--(COUNTIFS(nNIA,DATOS!$A11800,nCURSO,DATOS!$D11800,nESPEC,DATOS!$E11800,nASIG,DATOS!$I11800,nEVAL,"OR")=0))</f>
      </c>
      <c r="I11800">
        <f>IF(DATOS!$I11800="","",IFERROR(VLOOKUP(DATOS!$I11800,CONFIG_ASIGNATURAS!$B$2:$J$91,9,FALSE()),""))</f>
      </c>
    </row>
    <row r="11801">
      <c r="F11801">
        <f>IF(DATOS!$A11801="","",DATOS!$A11801&amp;"|"&amp;DATOS!$D11801&amp;"|"&amp;DATOS!$E11801&amp;"|"&amp;DATOS!$I11801)</f>
      </c>
      <c r="G11801">
        <f>IF(DATOS!$A11801="",0,IF(CONFIG_METADATA!$B$4&lt;&gt;"OR+EX",--(DATOS!$G11801=CONFIG_METADATA!$B$4),IF(DATOS!$G11801="EX",1,IF(DATOS!$G11801="OR",--(COUNTIFS(nNIA,DATOS!$A11801,nCURSO,DATOS!$D11801,nESPEC,DATOS!$E11801,nASIG,DATOS!$I11801,nEVAL,"EX")=0),0))))</f>
      </c>
      <c r="H11801">
        <f>IF(DATOS!$G11801&lt;&gt;"EX",0,--(COUNTIFS(nNIA,DATOS!$A11801,nCURSO,DATOS!$D11801,nESPEC,DATOS!$E11801,nASIG,DATOS!$I11801,nEVAL,"OR")=0))</f>
      </c>
      <c r="I11801">
        <f>IF(DATOS!$I11801="","",IFERROR(VLOOKUP(DATOS!$I11801,CONFIG_ASIGNATURAS!$B$2:$J$91,9,FALSE()),""))</f>
      </c>
    </row>
    <row r="11802">
      <c r="F11802">
        <f>IF(DATOS!$A11802="","",DATOS!$A11802&amp;"|"&amp;DATOS!$D11802&amp;"|"&amp;DATOS!$E11802&amp;"|"&amp;DATOS!$I11802)</f>
      </c>
      <c r="G11802">
        <f>IF(DATOS!$A11802="",0,IF(CONFIG_METADATA!$B$4&lt;&gt;"OR+EX",--(DATOS!$G11802=CONFIG_METADATA!$B$4),IF(DATOS!$G11802="EX",1,IF(DATOS!$G11802="OR",--(COUNTIFS(nNIA,DATOS!$A11802,nCURSO,DATOS!$D11802,nESPEC,DATOS!$E11802,nASIG,DATOS!$I11802,nEVAL,"EX")=0),0))))</f>
      </c>
      <c r="H11802">
        <f>IF(DATOS!$G11802&lt;&gt;"EX",0,--(COUNTIFS(nNIA,DATOS!$A11802,nCURSO,DATOS!$D11802,nESPEC,DATOS!$E11802,nASIG,DATOS!$I11802,nEVAL,"OR")=0))</f>
      </c>
      <c r="I11802">
        <f>IF(DATOS!$I11802="","",IFERROR(VLOOKUP(DATOS!$I11802,CONFIG_ASIGNATURAS!$B$2:$J$91,9,FALSE()),""))</f>
      </c>
    </row>
    <row r="11803">
      <c r="F11803">
        <f>IF(DATOS!$A11803="","",DATOS!$A11803&amp;"|"&amp;DATOS!$D11803&amp;"|"&amp;DATOS!$E11803&amp;"|"&amp;DATOS!$I11803)</f>
      </c>
      <c r="G11803">
        <f>IF(DATOS!$A11803="",0,IF(CONFIG_METADATA!$B$4&lt;&gt;"OR+EX",--(DATOS!$G11803=CONFIG_METADATA!$B$4),IF(DATOS!$G11803="EX",1,IF(DATOS!$G11803="OR",--(COUNTIFS(nNIA,DATOS!$A11803,nCURSO,DATOS!$D11803,nESPEC,DATOS!$E11803,nASIG,DATOS!$I11803,nEVAL,"EX")=0),0))))</f>
      </c>
      <c r="H11803">
        <f>IF(DATOS!$G11803&lt;&gt;"EX",0,--(COUNTIFS(nNIA,DATOS!$A11803,nCURSO,DATOS!$D11803,nESPEC,DATOS!$E11803,nASIG,DATOS!$I11803,nEVAL,"OR")=0))</f>
      </c>
      <c r="I11803">
        <f>IF(DATOS!$I11803="","",IFERROR(VLOOKUP(DATOS!$I11803,CONFIG_ASIGNATURAS!$B$2:$J$91,9,FALSE()),""))</f>
      </c>
    </row>
    <row r="11804">
      <c r="F11804">
        <f>IF(DATOS!$A11804="","",DATOS!$A11804&amp;"|"&amp;DATOS!$D11804&amp;"|"&amp;DATOS!$E11804&amp;"|"&amp;DATOS!$I11804)</f>
      </c>
      <c r="G11804">
        <f>IF(DATOS!$A11804="",0,IF(CONFIG_METADATA!$B$4&lt;&gt;"OR+EX",--(DATOS!$G11804=CONFIG_METADATA!$B$4),IF(DATOS!$G11804="EX",1,IF(DATOS!$G11804="OR",--(COUNTIFS(nNIA,DATOS!$A11804,nCURSO,DATOS!$D11804,nESPEC,DATOS!$E11804,nASIG,DATOS!$I11804,nEVAL,"EX")=0),0))))</f>
      </c>
      <c r="H11804">
        <f>IF(DATOS!$G11804&lt;&gt;"EX",0,--(COUNTIFS(nNIA,DATOS!$A11804,nCURSO,DATOS!$D11804,nESPEC,DATOS!$E11804,nASIG,DATOS!$I11804,nEVAL,"OR")=0))</f>
      </c>
      <c r="I11804">
        <f>IF(DATOS!$I11804="","",IFERROR(VLOOKUP(DATOS!$I11804,CONFIG_ASIGNATURAS!$B$2:$J$91,9,FALSE()),""))</f>
      </c>
    </row>
    <row r="11805">
      <c r="F11805">
        <f>IF(DATOS!$A11805="","",DATOS!$A11805&amp;"|"&amp;DATOS!$D11805&amp;"|"&amp;DATOS!$E11805&amp;"|"&amp;DATOS!$I11805)</f>
      </c>
      <c r="G11805">
        <f>IF(DATOS!$A11805="",0,IF(CONFIG_METADATA!$B$4&lt;&gt;"OR+EX",--(DATOS!$G11805=CONFIG_METADATA!$B$4),IF(DATOS!$G11805="EX",1,IF(DATOS!$G11805="OR",--(COUNTIFS(nNIA,DATOS!$A11805,nCURSO,DATOS!$D11805,nESPEC,DATOS!$E11805,nASIG,DATOS!$I11805,nEVAL,"EX")=0),0))))</f>
      </c>
      <c r="H11805">
        <f>IF(DATOS!$G11805&lt;&gt;"EX",0,--(COUNTIFS(nNIA,DATOS!$A11805,nCURSO,DATOS!$D11805,nESPEC,DATOS!$E11805,nASIG,DATOS!$I11805,nEVAL,"OR")=0))</f>
      </c>
      <c r="I11805">
        <f>IF(DATOS!$I11805="","",IFERROR(VLOOKUP(DATOS!$I11805,CONFIG_ASIGNATURAS!$B$2:$J$91,9,FALSE()),""))</f>
      </c>
    </row>
    <row r="11806">
      <c r="F11806">
        <f>IF(DATOS!$A11806="","",DATOS!$A11806&amp;"|"&amp;DATOS!$D11806&amp;"|"&amp;DATOS!$E11806&amp;"|"&amp;DATOS!$I11806)</f>
      </c>
      <c r="G11806">
        <f>IF(DATOS!$A11806="",0,IF(CONFIG_METADATA!$B$4&lt;&gt;"OR+EX",--(DATOS!$G11806=CONFIG_METADATA!$B$4),IF(DATOS!$G11806="EX",1,IF(DATOS!$G11806="OR",--(COUNTIFS(nNIA,DATOS!$A11806,nCURSO,DATOS!$D11806,nESPEC,DATOS!$E11806,nASIG,DATOS!$I11806,nEVAL,"EX")=0),0))))</f>
      </c>
      <c r="H11806">
        <f>IF(DATOS!$G11806&lt;&gt;"EX",0,--(COUNTIFS(nNIA,DATOS!$A11806,nCURSO,DATOS!$D11806,nESPEC,DATOS!$E11806,nASIG,DATOS!$I11806,nEVAL,"OR")=0))</f>
      </c>
      <c r="I11806">
        <f>IF(DATOS!$I11806="","",IFERROR(VLOOKUP(DATOS!$I11806,CONFIG_ASIGNATURAS!$B$2:$J$91,9,FALSE()),""))</f>
      </c>
    </row>
    <row r="11807">
      <c r="F11807">
        <f>IF(DATOS!$A11807="","",DATOS!$A11807&amp;"|"&amp;DATOS!$D11807&amp;"|"&amp;DATOS!$E11807&amp;"|"&amp;DATOS!$I11807)</f>
      </c>
      <c r="G11807">
        <f>IF(DATOS!$A11807="",0,IF(CONFIG_METADATA!$B$4&lt;&gt;"OR+EX",--(DATOS!$G11807=CONFIG_METADATA!$B$4),IF(DATOS!$G11807="EX",1,IF(DATOS!$G11807="OR",--(COUNTIFS(nNIA,DATOS!$A11807,nCURSO,DATOS!$D11807,nESPEC,DATOS!$E11807,nASIG,DATOS!$I11807,nEVAL,"EX")=0),0))))</f>
      </c>
      <c r="H11807">
        <f>IF(DATOS!$G11807&lt;&gt;"EX",0,--(COUNTIFS(nNIA,DATOS!$A11807,nCURSO,DATOS!$D11807,nESPEC,DATOS!$E11807,nASIG,DATOS!$I11807,nEVAL,"OR")=0))</f>
      </c>
      <c r="I11807">
        <f>IF(DATOS!$I11807="","",IFERROR(VLOOKUP(DATOS!$I11807,CONFIG_ASIGNATURAS!$B$2:$J$91,9,FALSE()),""))</f>
      </c>
    </row>
    <row r="11808">
      <c r="F11808">
        <f>IF(DATOS!$A11808="","",DATOS!$A11808&amp;"|"&amp;DATOS!$D11808&amp;"|"&amp;DATOS!$E11808&amp;"|"&amp;DATOS!$I11808)</f>
      </c>
      <c r="G11808">
        <f>IF(DATOS!$A11808="",0,IF(CONFIG_METADATA!$B$4&lt;&gt;"OR+EX",--(DATOS!$G11808=CONFIG_METADATA!$B$4),IF(DATOS!$G11808="EX",1,IF(DATOS!$G11808="OR",--(COUNTIFS(nNIA,DATOS!$A11808,nCURSO,DATOS!$D11808,nESPEC,DATOS!$E11808,nASIG,DATOS!$I11808,nEVAL,"EX")=0),0))))</f>
      </c>
      <c r="H11808">
        <f>IF(DATOS!$G11808&lt;&gt;"EX",0,--(COUNTIFS(nNIA,DATOS!$A11808,nCURSO,DATOS!$D11808,nESPEC,DATOS!$E11808,nASIG,DATOS!$I11808,nEVAL,"OR")=0))</f>
      </c>
      <c r="I11808">
        <f>IF(DATOS!$I11808="","",IFERROR(VLOOKUP(DATOS!$I11808,CONFIG_ASIGNATURAS!$B$2:$J$91,9,FALSE()),""))</f>
      </c>
    </row>
    <row r="11809">
      <c r="F11809">
        <f>IF(DATOS!$A11809="","",DATOS!$A11809&amp;"|"&amp;DATOS!$D11809&amp;"|"&amp;DATOS!$E11809&amp;"|"&amp;DATOS!$I11809)</f>
      </c>
      <c r="G11809">
        <f>IF(DATOS!$A11809="",0,IF(CONFIG_METADATA!$B$4&lt;&gt;"OR+EX",--(DATOS!$G11809=CONFIG_METADATA!$B$4),IF(DATOS!$G11809="EX",1,IF(DATOS!$G11809="OR",--(COUNTIFS(nNIA,DATOS!$A11809,nCURSO,DATOS!$D11809,nESPEC,DATOS!$E11809,nASIG,DATOS!$I11809,nEVAL,"EX")=0),0))))</f>
      </c>
      <c r="H11809">
        <f>IF(DATOS!$G11809&lt;&gt;"EX",0,--(COUNTIFS(nNIA,DATOS!$A11809,nCURSO,DATOS!$D11809,nESPEC,DATOS!$E11809,nASIG,DATOS!$I11809,nEVAL,"OR")=0))</f>
      </c>
      <c r="I11809">
        <f>IF(DATOS!$I11809="","",IFERROR(VLOOKUP(DATOS!$I11809,CONFIG_ASIGNATURAS!$B$2:$J$91,9,FALSE()),""))</f>
      </c>
    </row>
    <row r="11810">
      <c r="F11810">
        <f>IF(DATOS!$A11810="","",DATOS!$A11810&amp;"|"&amp;DATOS!$D11810&amp;"|"&amp;DATOS!$E11810&amp;"|"&amp;DATOS!$I11810)</f>
      </c>
      <c r="G11810">
        <f>IF(DATOS!$A11810="",0,IF(CONFIG_METADATA!$B$4&lt;&gt;"OR+EX",--(DATOS!$G11810=CONFIG_METADATA!$B$4),IF(DATOS!$G11810="EX",1,IF(DATOS!$G11810="OR",--(COUNTIFS(nNIA,DATOS!$A11810,nCURSO,DATOS!$D11810,nESPEC,DATOS!$E11810,nASIG,DATOS!$I11810,nEVAL,"EX")=0),0))))</f>
      </c>
      <c r="H11810">
        <f>IF(DATOS!$G11810&lt;&gt;"EX",0,--(COUNTIFS(nNIA,DATOS!$A11810,nCURSO,DATOS!$D11810,nESPEC,DATOS!$E11810,nASIG,DATOS!$I11810,nEVAL,"OR")=0))</f>
      </c>
      <c r="I11810">
        <f>IF(DATOS!$I11810="","",IFERROR(VLOOKUP(DATOS!$I11810,CONFIG_ASIGNATURAS!$B$2:$J$91,9,FALSE()),""))</f>
      </c>
    </row>
    <row r="11811">
      <c r="F11811">
        <f>IF(DATOS!$A11811="","",DATOS!$A11811&amp;"|"&amp;DATOS!$D11811&amp;"|"&amp;DATOS!$E11811&amp;"|"&amp;DATOS!$I11811)</f>
      </c>
      <c r="G11811">
        <f>IF(DATOS!$A11811="",0,IF(CONFIG_METADATA!$B$4&lt;&gt;"OR+EX",--(DATOS!$G11811=CONFIG_METADATA!$B$4),IF(DATOS!$G11811="EX",1,IF(DATOS!$G11811="OR",--(COUNTIFS(nNIA,DATOS!$A11811,nCURSO,DATOS!$D11811,nESPEC,DATOS!$E11811,nASIG,DATOS!$I11811,nEVAL,"EX")=0),0))))</f>
      </c>
      <c r="H11811">
        <f>IF(DATOS!$G11811&lt;&gt;"EX",0,--(COUNTIFS(nNIA,DATOS!$A11811,nCURSO,DATOS!$D11811,nESPEC,DATOS!$E11811,nASIG,DATOS!$I11811,nEVAL,"OR")=0))</f>
      </c>
      <c r="I11811">
        <f>IF(DATOS!$I11811="","",IFERROR(VLOOKUP(DATOS!$I11811,CONFIG_ASIGNATURAS!$B$2:$J$91,9,FALSE()),""))</f>
      </c>
    </row>
    <row r="11812">
      <c r="F11812">
        <f>IF(DATOS!$A11812="","",DATOS!$A11812&amp;"|"&amp;DATOS!$D11812&amp;"|"&amp;DATOS!$E11812&amp;"|"&amp;DATOS!$I11812)</f>
      </c>
      <c r="G11812">
        <f>IF(DATOS!$A11812="",0,IF(CONFIG_METADATA!$B$4&lt;&gt;"OR+EX",--(DATOS!$G11812=CONFIG_METADATA!$B$4),IF(DATOS!$G11812="EX",1,IF(DATOS!$G11812="OR",--(COUNTIFS(nNIA,DATOS!$A11812,nCURSO,DATOS!$D11812,nESPEC,DATOS!$E11812,nASIG,DATOS!$I11812,nEVAL,"EX")=0),0))))</f>
      </c>
      <c r="H11812">
        <f>IF(DATOS!$G11812&lt;&gt;"EX",0,--(COUNTIFS(nNIA,DATOS!$A11812,nCURSO,DATOS!$D11812,nESPEC,DATOS!$E11812,nASIG,DATOS!$I11812,nEVAL,"OR")=0))</f>
      </c>
      <c r="I11812">
        <f>IF(DATOS!$I11812="","",IFERROR(VLOOKUP(DATOS!$I11812,CONFIG_ASIGNATURAS!$B$2:$J$91,9,FALSE()),""))</f>
      </c>
    </row>
    <row r="11813">
      <c r="F11813">
        <f>IF(DATOS!$A11813="","",DATOS!$A11813&amp;"|"&amp;DATOS!$D11813&amp;"|"&amp;DATOS!$E11813&amp;"|"&amp;DATOS!$I11813)</f>
      </c>
      <c r="G11813">
        <f>IF(DATOS!$A11813="",0,IF(CONFIG_METADATA!$B$4&lt;&gt;"OR+EX",--(DATOS!$G11813=CONFIG_METADATA!$B$4),IF(DATOS!$G11813="EX",1,IF(DATOS!$G11813="OR",--(COUNTIFS(nNIA,DATOS!$A11813,nCURSO,DATOS!$D11813,nESPEC,DATOS!$E11813,nASIG,DATOS!$I11813,nEVAL,"EX")=0),0))))</f>
      </c>
      <c r="H11813">
        <f>IF(DATOS!$G11813&lt;&gt;"EX",0,--(COUNTIFS(nNIA,DATOS!$A11813,nCURSO,DATOS!$D11813,nESPEC,DATOS!$E11813,nASIG,DATOS!$I11813,nEVAL,"OR")=0))</f>
      </c>
      <c r="I11813">
        <f>IF(DATOS!$I11813="","",IFERROR(VLOOKUP(DATOS!$I11813,CONFIG_ASIGNATURAS!$B$2:$J$91,9,FALSE()),""))</f>
      </c>
    </row>
    <row r="11814">
      <c r="F11814">
        <f>IF(DATOS!$A11814="","",DATOS!$A11814&amp;"|"&amp;DATOS!$D11814&amp;"|"&amp;DATOS!$E11814&amp;"|"&amp;DATOS!$I11814)</f>
      </c>
      <c r="G11814">
        <f>IF(DATOS!$A11814="",0,IF(CONFIG_METADATA!$B$4&lt;&gt;"OR+EX",--(DATOS!$G11814=CONFIG_METADATA!$B$4),IF(DATOS!$G11814="EX",1,IF(DATOS!$G11814="OR",--(COUNTIFS(nNIA,DATOS!$A11814,nCURSO,DATOS!$D11814,nESPEC,DATOS!$E11814,nASIG,DATOS!$I11814,nEVAL,"EX")=0),0))))</f>
      </c>
      <c r="H11814">
        <f>IF(DATOS!$G11814&lt;&gt;"EX",0,--(COUNTIFS(nNIA,DATOS!$A11814,nCURSO,DATOS!$D11814,nESPEC,DATOS!$E11814,nASIG,DATOS!$I11814,nEVAL,"OR")=0))</f>
      </c>
      <c r="I11814">
        <f>IF(DATOS!$I11814="","",IFERROR(VLOOKUP(DATOS!$I11814,CONFIG_ASIGNATURAS!$B$2:$J$91,9,FALSE()),""))</f>
      </c>
    </row>
    <row r="11815">
      <c r="F11815">
        <f>IF(DATOS!$A11815="","",DATOS!$A11815&amp;"|"&amp;DATOS!$D11815&amp;"|"&amp;DATOS!$E11815&amp;"|"&amp;DATOS!$I11815)</f>
      </c>
      <c r="G11815">
        <f>IF(DATOS!$A11815="",0,IF(CONFIG_METADATA!$B$4&lt;&gt;"OR+EX",--(DATOS!$G11815=CONFIG_METADATA!$B$4),IF(DATOS!$G11815="EX",1,IF(DATOS!$G11815="OR",--(COUNTIFS(nNIA,DATOS!$A11815,nCURSO,DATOS!$D11815,nESPEC,DATOS!$E11815,nASIG,DATOS!$I11815,nEVAL,"EX")=0),0))))</f>
      </c>
      <c r="H11815">
        <f>IF(DATOS!$G11815&lt;&gt;"EX",0,--(COUNTIFS(nNIA,DATOS!$A11815,nCURSO,DATOS!$D11815,nESPEC,DATOS!$E11815,nASIG,DATOS!$I11815,nEVAL,"OR")=0))</f>
      </c>
      <c r="I11815">
        <f>IF(DATOS!$I11815="","",IFERROR(VLOOKUP(DATOS!$I11815,CONFIG_ASIGNATURAS!$B$2:$J$91,9,FALSE()),""))</f>
      </c>
    </row>
    <row r="11816">
      <c r="F11816">
        <f>IF(DATOS!$A11816="","",DATOS!$A11816&amp;"|"&amp;DATOS!$D11816&amp;"|"&amp;DATOS!$E11816&amp;"|"&amp;DATOS!$I11816)</f>
      </c>
      <c r="G11816">
        <f>IF(DATOS!$A11816="",0,IF(CONFIG_METADATA!$B$4&lt;&gt;"OR+EX",--(DATOS!$G11816=CONFIG_METADATA!$B$4),IF(DATOS!$G11816="EX",1,IF(DATOS!$G11816="OR",--(COUNTIFS(nNIA,DATOS!$A11816,nCURSO,DATOS!$D11816,nESPEC,DATOS!$E11816,nASIG,DATOS!$I11816,nEVAL,"EX")=0),0))))</f>
      </c>
      <c r="H11816">
        <f>IF(DATOS!$G11816&lt;&gt;"EX",0,--(COUNTIFS(nNIA,DATOS!$A11816,nCURSO,DATOS!$D11816,nESPEC,DATOS!$E11816,nASIG,DATOS!$I11816,nEVAL,"OR")=0))</f>
      </c>
      <c r="I11816">
        <f>IF(DATOS!$I11816="","",IFERROR(VLOOKUP(DATOS!$I11816,CONFIG_ASIGNATURAS!$B$2:$J$91,9,FALSE()),""))</f>
      </c>
    </row>
    <row r="11817">
      <c r="F11817">
        <f>IF(DATOS!$A11817="","",DATOS!$A11817&amp;"|"&amp;DATOS!$D11817&amp;"|"&amp;DATOS!$E11817&amp;"|"&amp;DATOS!$I11817)</f>
      </c>
      <c r="G11817">
        <f>IF(DATOS!$A11817="",0,IF(CONFIG_METADATA!$B$4&lt;&gt;"OR+EX",--(DATOS!$G11817=CONFIG_METADATA!$B$4),IF(DATOS!$G11817="EX",1,IF(DATOS!$G11817="OR",--(COUNTIFS(nNIA,DATOS!$A11817,nCURSO,DATOS!$D11817,nESPEC,DATOS!$E11817,nASIG,DATOS!$I11817,nEVAL,"EX")=0),0))))</f>
      </c>
      <c r="H11817">
        <f>IF(DATOS!$G11817&lt;&gt;"EX",0,--(COUNTIFS(nNIA,DATOS!$A11817,nCURSO,DATOS!$D11817,nESPEC,DATOS!$E11817,nASIG,DATOS!$I11817,nEVAL,"OR")=0))</f>
      </c>
      <c r="I11817">
        <f>IF(DATOS!$I11817="","",IFERROR(VLOOKUP(DATOS!$I11817,CONFIG_ASIGNATURAS!$B$2:$J$91,9,FALSE()),""))</f>
      </c>
    </row>
    <row r="11818">
      <c r="F11818">
        <f>IF(DATOS!$A11818="","",DATOS!$A11818&amp;"|"&amp;DATOS!$D11818&amp;"|"&amp;DATOS!$E11818&amp;"|"&amp;DATOS!$I11818)</f>
      </c>
      <c r="G11818">
        <f>IF(DATOS!$A11818="",0,IF(CONFIG_METADATA!$B$4&lt;&gt;"OR+EX",--(DATOS!$G11818=CONFIG_METADATA!$B$4),IF(DATOS!$G11818="EX",1,IF(DATOS!$G11818="OR",--(COUNTIFS(nNIA,DATOS!$A11818,nCURSO,DATOS!$D11818,nESPEC,DATOS!$E11818,nASIG,DATOS!$I11818,nEVAL,"EX")=0),0))))</f>
      </c>
      <c r="H11818">
        <f>IF(DATOS!$G11818&lt;&gt;"EX",0,--(COUNTIFS(nNIA,DATOS!$A11818,nCURSO,DATOS!$D11818,nESPEC,DATOS!$E11818,nASIG,DATOS!$I11818,nEVAL,"OR")=0))</f>
      </c>
      <c r="I11818">
        <f>IF(DATOS!$I11818="","",IFERROR(VLOOKUP(DATOS!$I11818,CONFIG_ASIGNATURAS!$B$2:$J$91,9,FALSE()),""))</f>
      </c>
    </row>
    <row r="11819">
      <c r="F11819">
        <f>IF(DATOS!$A11819="","",DATOS!$A11819&amp;"|"&amp;DATOS!$D11819&amp;"|"&amp;DATOS!$E11819&amp;"|"&amp;DATOS!$I11819)</f>
      </c>
      <c r="G11819">
        <f>IF(DATOS!$A11819="",0,IF(CONFIG_METADATA!$B$4&lt;&gt;"OR+EX",--(DATOS!$G11819=CONFIG_METADATA!$B$4),IF(DATOS!$G11819="EX",1,IF(DATOS!$G11819="OR",--(COUNTIFS(nNIA,DATOS!$A11819,nCURSO,DATOS!$D11819,nESPEC,DATOS!$E11819,nASIG,DATOS!$I11819,nEVAL,"EX")=0),0))))</f>
      </c>
      <c r="H11819">
        <f>IF(DATOS!$G11819&lt;&gt;"EX",0,--(COUNTIFS(nNIA,DATOS!$A11819,nCURSO,DATOS!$D11819,nESPEC,DATOS!$E11819,nASIG,DATOS!$I11819,nEVAL,"OR")=0))</f>
      </c>
      <c r="I11819">
        <f>IF(DATOS!$I11819="","",IFERROR(VLOOKUP(DATOS!$I11819,CONFIG_ASIGNATURAS!$B$2:$J$91,9,FALSE()),""))</f>
      </c>
    </row>
    <row r="11820">
      <c r="F11820">
        <f>IF(DATOS!$A11820="","",DATOS!$A11820&amp;"|"&amp;DATOS!$D11820&amp;"|"&amp;DATOS!$E11820&amp;"|"&amp;DATOS!$I11820)</f>
      </c>
      <c r="G11820">
        <f>IF(DATOS!$A11820="",0,IF(CONFIG_METADATA!$B$4&lt;&gt;"OR+EX",--(DATOS!$G11820=CONFIG_METADATA!$B$4),IF(DATOS!$G11820="EX",1,IF(DATOS!$G11820="OR",--(COUNTIFS(nNIA,DATOS!$A11820,nCURSO,DATOS!$D11820,nESPEC,DATOS!$E11820,nASIG,DATOS!$I11820,nEVAL,"EX")=0),0))))</f>
      </c>
      <c r="H11820">
        <f>IF(DATOS!$G11820&lt;&gt;"EX",0,--(COUNTIFS(nNIA,DATOS!$A11820,nCURSO,DATOS!$D11820,nESPEC,DATOS!$E11820,nASIG,DATOS!$I11820,nEVAL,"OR")=0))</f>
      </c>
      <c r="I11820">
        <f>IF(DATOS!$I11820="","",IFERROR(VLOOKUP(DATOS!$I11820,CONFIG_ASIGNATURAS!$B$2:$J$91,9,FALSE()),""))</f>
      </c>
    </row>
    <row r="11821">
      <c r="F11821">
        <f>IF(DATOS!$A11821="","",DATOS!$A11821&amp;"|"&amp;DATOS!$D11821&amp;"|"&amp;DATOS!$E11821&amp;"|"&amp;DATOS!$I11821)</f>
      </c>
      <c r="G11821">
        <f>IF(DATOS!$A11821="",0,IF(CONFIG_METADATA!$B$4&lt;&gt;"OR+EX",--(DATOS!$G11821=CONFIG_METADATA!$B$4),IF(DATOS!$G11821="EX",1,IF(DATOS!$G11821="OR",--(COUNTIFS(nNIA,DATOS!$A11821,nCURSO,DATOS!$D11821,nESPEC,DATOS!$E11821,nASIG,DATOS!$I11821,nEVAL,"EX")=0),0))))</f>
      </c>
      <c r="H11821">
        <f>IF(DATOS!$G11821&lt;&gt;"EX",0,--(COUNTIFS(nNIA,DATOS!$A11821,nCURSO,DATOS!$D11821,nESPEC,DATOS!$E11821,nASIG,DATOS!$I11821,nEVAL,"OR")=0))</f>
      </c>
      <c r="I11821">
        <f>IF(DATOS!$I11821="","",IFERROR(VLOOKUP(DATOS!$I11821,CONFIG_ASIGNATURAS!$B$2:$J$91,9,FALSE()),""))</f>
      </c>
    </row>
    <row r="11822">
      <c r="F11822">
        <f>IF(DATOS!$A11822="","",DATOS!$A11822&amp;"|"&amp;DATOS!$D11822&amp;"|"&amp;DATOS!$E11822&amp;"|"&amp;DATOS!$I11822)</f>
      </c>
      <c r="G11822">
        <f>IF(DATOS!$A11822="",0,IF(CONFIG_METADATA!$B$4&lt;&gt;"OR+EX",--(DATOS!$G11822=CONFIG_METADATA!$B$4),IF(DATOS!$G11822="EX",1,IF(DATOS!$G11822="OR",--(COUNTIFS(nNIA,DATOS!$A11822,nCURSO,DATOS!$D11822,nESPEC,DATOS!$E11822,nASIG,DATOS!$I11822,nEVAL,"EX")=0),0))))</f>
      </c>
      <c r="H11822">
        <f>IF(DATOS!$G11822&lt;&gt;"EX",0,--(COUNTIFS(nNIA,DATOS!$A11822,nCURSO,DATOS!$D11822,nESPEC,DATOS!$E11822,nASIG,DATOS!$I11822,nEVAL,"OR")=0))</f>
      </c>
      <c r="I11822">
        <f>IF(DATOS!$I11822="","",IFERROR(VLOOKUP(DATOS!$I11822,CONFIG_ASIGNATURAS!$B$2:$J$91,9,FALSE()),""))</f>
      </c>
    </row>
    <row r="11823">
      <c r="F11823">
        <f>IF(DATOS!$A11823="","",DATOS!$A11823&amp;"|"&amp;DATOS!$D11823&amp;"|"&amp;DATOS!$E11823&amp;"|"&amp;DATOS!$I11823)</f>
      </c>
      <c r="G11823">
        <f>IF(DATOS!$A11823="",0,IF(CONFIG_METADATA!$B$4&lt;&gt;"OR+EX",--(DATOS!$G11823=CONFIG_METADATA!$B$4),IF(DATOS!$G11823="EX",1,IF(DATOS!$G11823="OR",--(COUNTIFS(nNIA,DATOS!$A11823,nCURSO,DATOS!$D11823,nESPEC,DATOS!$E11823,nASIG,DATOS!$I11823,nEVAL,"EX")=0),0))))</f>
      </c>
      <c r="H11823">
        <f>IF(DATOS!$G11823&lt;&gt;"EX",0,--(COUNTIFS(nNIA,DATOS!$A11823,nCURSO,DATOS!$D11823,nESPEC,DATOS!$E11823,nASIG,DATOS!$I11823,nEVAL,"OR")=0))</f>
      </c>
      <c r="I11823">
        <f>IF(DATOS!$I11823="","",IFERROR(VLOOKUP(DATOS!$I11823,CONFIG_ASIGNATURAS!$B$2:$J$91,9,FALSE()),""))</f>
      </c>
    </row>
    <row r="11824">
      <c r="F11824">
        <f>IF(DATOS!$A11824="","",DATOS!$A11824&amp;"|"&amp;DATOS!$D11824&amp;"|"&amp;DATOS!$E11824&amp;"|"&amp;DATOS!$I11824)</f>
      </c>
      <c r="G11824">
        <f>IF(DATOS!$A11824="",0,IF(CONFIG_METADATA!$B$4&lt;&gt;"OR+EX",--(DATOS!$G11824=CONFIG_METADATA!$B$4),IF(DATOS!$G11824="EX",1,IF(DATOS!$G11824="OR",--(COUNTIFS(nNIA,DATOS!$A11824,nCURSO,DATOS!$D11824,nESPEC,DATOS!$E11824,nASIG,DATOS!$I11824,nEVAL,"EX")=0),0))))</f>
      </c>
      <c r="H11824">
        <f>IF(DATOS!$G11824&lt;&gt;"EX",0,--(COUNTIFS(nNIA,DATOS!$A11824,nCURSO,DATOS!$D11824,nESPEC,DATOS!$E11824,nASIG,DATOS!$I11824,nEVAL,"OR")=0))</f>
      </c>
      <c r="I11824">
        <f>IF(DATOS!$I11824="","",IFERROR(VLOOKUP(DATOS!$I11824,CONFIG_ASIGNATURAS!$B$2:$J$91,9,FALSE()),""))</f>
      </c>
    </row>
    <row r="11825">
      <c r="F11825">
        <f>IF(DATOS!$A11825="","",DATOS!$A11825&amp;"|"&amp;DATOS!$D11825&amp;"|"&amp;DATOS!$E11825&amp;"|"&amp;DATOS!$I11825)</f>
      </c>
      <c r="G11825">
        <f>IF(DATOS!$A11825="",0,IF(CONFIG_METADATA!$B$4&lt;&gt;"OR+EX",--(DATOS!$G11825=CONFIG_METADATA!$B$4),IF(DATOS!$G11825="EX",1,IF(DATOS!$G11825="OR",--(COUNTIFS(nNIA,DATOS!$A11825,nCURSO,DATOS!$D11825,nESPEC,DATOS!$E11825,nASIG,DATOS!$I11825,nEVAL,"EX")=0),0))))</f>
      </c>
      <c r="H11825">
        <f>IF(DATOS!$G11825&lt;&gt;"EX",0,--(COUNTIFS(nNIA,DATOS!$A11825,nCURSO,DATOS!$D11825,nESPEC,DATOS!$E11825,nASIG,DATOS!$I11825,nEVAL,"OR")=0))</f>
      </c>
      <c r="I11825">
        <f>IF(DATOS!$I11825="","",IFERROR(VLOOKUP(DATOS!$I11825,CONFIG_ASIGNATURAS!$B$2:$J$91,9,FALSE()),""))</f>
      </c>
    </row>
    <row r="11826">
      <c r="F11826">
        <f>IF(DATOS!$A11826="","",DATOS!$A11826&amp;"|"&amp;DATOS!$D11826&amp;"|"&amp;DATOS!$E11826&amp;"|"&amp;DATOS!$I11826)</f>
      </c>
      <c r="G11826">
        <f>IF(DATOS!$A11826="",0,IF(CONFIG_METADATA!$B$4&lt;&gt;"OR+EX",--(DATOS!$G11826=CONFIG_METADATA!$B$4),IF(DATOS!$G11826="EX",1,IF(DATOS!$G11826="OR",--(COUNTIFS(nNIA,DATOS!$A11826,nCURSO,DATOS!$D11826,nESPEC,DATOS!$E11826,nASIG,DATOS!$I11826,nEVAL,"EX")=0),0))))</f>
      </c>
      <c r="H11826">
        <f>IF(DATOS!$G11826&lt;&gt;"EX",0,--(COUNTIFS(nNIA,DATOS!$A11826,nCURSO,DATOS!$D11826,nESPEC,DATOS!$E11826,nASIG,DATOS!$I11826,nEVAL,"OR")=0))</f>
      </c>
      <c r="I11826">
        <f>IF(DATOS!$I11826="","",IFERROR(VLOOKUP(DATOS!$I11826,CONFIG_ASIGNATURAS!$B$2:$J$91,9,FALSE()),""))</f>
      </c>
    </row>
    <row r="11827">
      <c r="F11827">
        <f>IF(DATOS!$A11827="","",DATOS!$A11827&amp;"|"&amp;DATOS!$D11827&amp;"|"&amp;DATOS!$E11827&amp;"|"&amp;DATOS!$I11827)</f>
      </c>
      <c r="G11827">
        <f>IF(DATOS!$A11827="",0,IF(CONFIG_METADATA!$B$4&lt;&gt;"OR+EX",--(DATOS!$G11827=CONFIG_METADATA!$B$4),IF(DATOS!$G11827="EX",1,IF(DATOS!$G11827="OR",--(COUNTIFS(nNIA,DATOS!$A11827,nCURSO,DATOS!$D11827,nESPEC,DATOS!$E11827,nASIG,DATOS!$I11827,nEVAL,"EX")=0),0))))</f>
      </c>
      <c r="H11827">
        <f>IF(DATOS!$G11827&lt;&gt;"EX",0,--(COUNTIFS(nNIA,DATOS!$A11827,nCURSO,DATOS!$D11827,nESPEC,DATOS!$E11827,nASIG,DATOS!$I11827,nEVAL,"OR")=0))</f>
      </c>
      <c r="I11827">
        <f>IF(DATOS!$I11827="","",IFERROR(VLOOKUP(DATOS!$I11827,CONFIG_ASIGNATURAS!$B$2:$J$91,9,FALSE()),""))</f>
      </c>
    </row>
    <row r="11828">
      <c r="F11828">
        <f>IF(DATOS!$A11828="","",DATOS!$A11828&amp;"|"&amp;DATOS!$D11828&amp;"|"&amp;DATOS!$E11828&amp;"|"&amp;DATOS!$I11828)</f>
      </c>
      <c r="G11828">
        <f>IF(DATOS!$A11828="",0,IF(CONFIG_METADATA!$B$4&lt;&gt;"OR+EX",--(DATOS!$G11828=CONFIG_METADATA!$B$4),IF(DATOS!$G11828="EX",1,IF(DATOS!$G11828="OR",--(COUNTIFS(nNIA,DATOS!$A11828,nCURSO,DATOS!$D11828,nESPEC,DATOS!$E11828,nASIG,DATOS!$I11828,nEVAL,"EX")=0),0))))</f>
      </c>
      <c r="H11828">
        <f>IF(DATOS!$G11828&lt;&gt;"EX",0,--(COUNTIFS(nNIA,DATOS!$A11828,nCURSO,DATOS!$D11828,nESPEC,DATOS!$E11828,nASIG,DATOS!$I11828,nEVAL,"OR")=0))</f>
      </c>
      <c r="I11828">
        <f>IF(DATOS!$I11828="","",IFERROR(VLOOKUP(DATOS!$I11828,CONFIG_ASIGNATURAS!$B$2:$J$91,9,FALSE()),""))</f>
      </c>
    </row>
    <row r="11829">
      <c r="F11829">
        <f>IF(DATOS!$A11829="","",DATOS!$A11829&amp;"|"&amp;DATOS!$D11829&amp;"|"&amp;DATOS!$E11829&amp;"|"&amp;DATOS!$I11829)</f>
      </c>
      <c r="G11829">
        <f>IF(DATOS!$A11829="",0,IF(CONFIG_METADATA!$B$4&lt;&gt;"OR+EX",--(DATOS!$G11829=CONFIG_METADATA!$B$4),IF(DATOS!$G11829="EX",1,IF(DATOS!$G11829="OR",--(COUNTIFS(nNIA,DATOS!$A11829,nCURSO,DATOS!$D11829,nESPEC,DATOS!$E11829,nASIG,DATOS!$I11829,nEVAL,"EX")=0),0))))</f>
      </c>
      <c r="H11829">
        <f>IF(DATOS!$G11829&lt;&gt;"EX",0,--(COUNTIFS(nNIA,DATOS!$A11829,nCURSO,DATOS!$D11829,nESPEC,DATOS!$E11829,nASIG,DATOS!$I11829,nEVAL,"OR")=0))</f>
      </c>
      <c r="I11829">
        <f>IF(DATOS!$I11829="","",IFERROR(VLOOKUP(DATOS!$I11829,CONFIG_ASIGNATURAS!$B$2:$J$91,9,FALSE()),""))</f>
      </c>
    </row>
    <row r="11830">
      <c r="F11830">
        <f>IF(DATOS!$A11830="","",DATOS!$A11830&amp;"|"&amp;DATOS!$D11830&amp;"|"&amp;DATOS!$E11830&amp;"|"&amp;DATOS!$I11830)</f>
      </c>
      <c r="G11830">
        <f>IF(DATOS!$A11830="",0,IF(CONFIG_METADATA!$B$4&lt;&gt;"OR+EX",--(DATOS!$G11830=CONFIG_METADATA!$B$4),IF(DATOS!$G11830="EX",1,IF(DATOS!$G11830="OR",--(COUNTIFS(nNIA,DATOS!$A11830,nCURSO,DATOS!$D11830,nESPEC,DATOS!$E11830,nASIG,DATOS!$I11830,nEVAL,"EX")=0),0))))</f>
      </c>
      <c r="H11830">
        <f>IF(DATOS!$G11830&lt;&gt;"EX",0,--(COUNTIFS(nNIA,DATOS!$A11830,nCURSO,DATOS!$D11830,nESPEC,DATOS!$E11830,nASIG,DATOS!$I11830,nEVAL,"OR")=0))</f>
      </c>
      <c r="I11830">
        <f>IF(DATOS!$I11830="","",IFERROR(VLOOKUP(DATOS!$I11830,CONFIG_ASIGNATURAS!$B$2:$J$91,9,FALSE()),""))</f>
      </c>
    </row>
    <row r="11831">
      <c r="F11831">
        <f>IF(DATOS!$A11831="","",DATOS!$A11831&amp;"|"&amp;DATOS!$D11831&amp;"|"&amp;DATOS!$E11831&amp;"|"&amp;DATOS!$I11831)</f>
      </c>
      <c r="G11831">
        <f>IF(DATOS!$A11831="",0,IF(CONFIG_METADATA!$B$4&lt;&gt;"OR+EX",--(DATOS!$G11831=CONFIG_METADATA!$B$4),IF(DATOS!$G11831="EX",1,IF(DATOS!$G11831="OR",--(COUNTIFS(nNIA,DATOS!$A11831,nCURSO,DATOS!$D11831,nESPEC,DATOS!$E11831,nASIG,DATOS!$I11831,nEVAL,"EX")=0),0))))</f>
      </c>
      <c r="H11831">
        <f>IF(DATOS!$G11831&lt;&gt;"EX",0,--(COUNTIFS(nNIA,DATOS!$A11831,nCURSO,DATOS!$D11831,nESPEC,DATOS!$E11831,nASIG,DATOS!$I11831,nEVAL,"OR")=0))</f>
      </c>
      <c r="I11831">
        <f>IF(DATOS!$I11831="","",IFERROR(VLOOKUP(DATOS!$I11831,CONFIG_ASIGNATURAS!$B$2:$J$91,9,FALSE()),""))</f>
      </c>
    </row>
    <row r="11832">
      <c r="F11832">
        <f>IF(DATOS!$A11832="","",DATOS!$A11832&amp;"|"&amp;DATOS!$D11832&amp;"|"&amp;DATOS!$E11832&amp;"|"&amp;DATOS!$I11832)</f>
      </c>
      <c r="G11832">
        <f>IF(DATOS!$A11832="",0,IF(CONFIG_METADATA!$B$4&lt;&gt;"OR+EX",--(DATOS!$G11832=CONFIG_METADATA!$B$4),IF(DATOS!$G11832="EX",1,IF(DATOS!$G11832="OR",--(COUNTIFS(nNIA,DATOS!$A11832,nCURSO,DATOS!$D11832,nESPEC,DATOS!$E11832,nASIG,DATOS!$I11832,nEVAL,"EX")=0),0))))</f>
      </c>
      <c r="H11832">
        <f>IF(DATOS!$G11832&lt;&gt;"EX",0,--(COUNTIFS(nNIA,DATOS!$A11832,nCURSO,DATOS!$D11832,nESPEC,DATOS!$E11832,nASIG,DATOS!$I11832,nEVAL,"OR")=0))</f>
      </c>
      <c r="I11832">
        <f>IF(DATOS!$I11832="","",IFERROR(VLOOKUP(DATOS!$I11832,CONFIG_ASIGNATURAS!$B$2:$J$91,9,FALSE()),""))</f>
      </c>
    </row>
    <row r="11833">
      <c r="F11833">
        <f>IF(DATOS!$A11833="","",DATOS!$A11833&amp;"|"&amp;DATOS!$D11833&amp;"|"&amp;DATOS!$E11833&amp;"|"&amp;DATOS!$I11833)</f>
      </c>
      <c r="G11833">
        <f>IF(DATOS!$A11833="",0,IF(CONFIG_METADATA!$B$4&lt;&gt;"OR+EX",--(DATOS!$G11833=CONFIG_METADATA!$B$4),IF(DATOS!$G11833="EX",1,IF(DATOS!$G11833="OR",--(COUNTIFS(nNIA,DATOS!$A11833,nCURSO,DATOS!$D11833,nESPEC,DATOS!$E11833,nASIG,DATOS!$I11833,nEVAL,"EX")=0),0))))</f>
      </c>
      <c r="H11833">
        <f>IF(DATOS!$G11833&lt;&gt;"EX",0,--(COUNTIFS(nNIA,DATOS!$A11833,nCURSO,DATOS!$D11833,nESPEC,DATOS!$E11833,nASIG,DATOS!$I11833,nEVAL,"OR")=0))</f>
      </c>
      <c r="I11833">
        <f>IF(DATOS!$I11833="","",IFERROR(VLOOKUP(DATOS!$I11833,CONFIG_ASIGNATURAS!$B$2:$J$91,9,FALSE()),""))</f>
      </c>
    </row>
    <row r="11834">
      <c r="F11834">
        <f>IF(DATOS!$A11834="","",DATOS!$A11834&amp;"|"&amp;DATOS!$D11834&amp;"|"&amp;DATOS!$E11834&amp;"|"&amp;DATOS!$I11834)</f>
      </c>
      <c r="G11834">
        <f>IF(DATOS!$A11834="",0,IF(CONFIG_METADATA!$B$4&lt;&gt;"OR+EX",--(DATOS!$G11834=CONFIG_METADATA!$B$4),IF(DATOS!$G11834="EX",1,IF(DATOS!$G11834="OR",--(COUNTIFS(nNIA,DATOS!$A11834,nCURSO,DATOS!$D11834,nESPEC,DATOS!$E11834,nASIG,DATOS!$I11834,nEVAL,"EX")=0),0))))</f>
      </c>
      <c r="H11834">
        <f>IF(DATOS!$G11834&lt;&gt;"EX",0,--(COUNTIFS(nNIA,DATOS!$A11834,nCURSO,DATOS!$D11834,nESPEC,DATOS!$E11834,nASIG,DATOS!$I11834,nEVAL,"OR")=0))</f>
      </c>
      <c r="I11834">
        <f>IF(DATOS!$I11834="","",IFERROR(VLOOKUP(DATOS!$I11834,CONFIG_ASIGNATURAS!$B$2:$J$91,9,FALSE()),""))</f>
      </c>
    </row>
    <row r="11835">
      <c r="F11835">
        <f>IF(DATOS!$A11835="","",DATOS!$A11835&amp;"|"&amp;DATOS!$D11835&amp;"|"&amp;DATOS!$E11835&amp;"|"&amp;DATOS!$I11835)</f>
      </c>
      <c r="G11835">
        <f>IF(DATOS!$A11835="",0,IF(CONFIG_METADATA!$B$4&lt;&gt;"OR+EX",--(DATOS!$G11835=CONFIG_METADATA!$B$4),IF(DATOS!$G11835="EX",1,IF(DATOS!$G11835="OR",--(COUNTIFS(nNIA,DATOS!$A11835,nCURSO,DATOS!$D11835,nESPEC,DATOS!$E11835,nASIG,DATOS!$I11835,nEVAL,"EX")=0),0))))</f>
      </c>
      <c r="H11835">
        <f>IF(DATOS!$G11835&lt;&gt;"EX",0,--(COUNTIFS(nNIA,DATOS!$A11835,nCURSO,DATOS!$D11835,nESPEC,DATOS!$E11835,nASIG,DATOS!$I11835,nEVAL,"OR")=0))</f>
      </c>
      <c r="I11835">
        <f>IF(DATOS!$I11835="","",IFERROR(VLOOKUP(DATOS!$I11835,CONFIG_ASIGNATURAS!$B$2:$J$91,9,FALSE()),""))</f>
      </c>
    </row>
    <row r="11836">
      <c r="F11836">
        <f>IF(DATOS!$A11836="","",DATOS!$A11836&amp;"|"&amp;DATOS!$D11836&amp;"|"&amp;DATOS!$E11836&amp;"|"&amp;DATOS!$I11836)</f>
      </c>
      <c r="G11836">
        <f>IF(DATOS!$A11836="",0,IF(CONFIG_METADATA!$B$4&lt;&gt;"OR+EX",--(DATOS!$G11836=CONFIG_METADATA!$B$4),IF(DATOS!$G11836="EX",1,IF(DATOS!$G11836="OR",--(COUNTIFS(nNIA,DATOS!$A11836,nCURSO,DATOS!$D11836,nESPEC,DATOS!$E11836,nASIG,DATOS!$I11836,nEVAL,"EX")=0),0))))</f>
      </c>
      <c r="H11836">
        <f>IF(DATOS!$G11836&lt;&gt;"EX",0,--(COUNTIFS(nNIA,DATOS!$A11836,nCURSO,DATOS!$D11836,nESPEC,DATOS!$E11836,nASIG,DATOS!$I11836,nEVAL,"OR")=0))</f>
      </c>
      <c r="I11836">
        <f>IF(DATOS!$I11836="","",IFERROR(VLOOKUP(DATOS!$I11836,CONFIG_ASIGNATURAS!$B$2:$J$91,9,FALSE()),""))</f>
      </c>
    </row>
    <row r="11837">
      <c r="F11837">
        <f>IF(DATOS!$A11837="","",DATOS!$A11837&amp;"|"&amp;DATOS!$D11837&amp;"|"&amp;DATOS!$E11837&amp;"|"&amp;DATOS!$I11837)</f>
      </c>
      <c r="G11837">
        <f>IF(DATOS!$A11837="",0,IF(CONFIG_METADATA!$B$4&lt;&gt;"OR+EX",--(DATOS!$G11837=CONFIG_METADATA!$B$4),IF(DATOS!$G11837="EX",1,IF(DATOS!$G11837="OR",--(COUNTIFS(nNIA,DATOS!$A11837,nCURSO,DATOS!$D11837,nESPEC,DATOS!$E11837,nASIG,DATOS!$I11837,nEVAL,"EX")=0),0))))</f>
      </c>
      <c r="H11837">
        <f>IF(DATOS!$G11837&lt;&gt;"EX",0,--(COUNTIFS(nNIA,DATOS!$A11837,nCURSO,DATOS!$D11837,nESPEC,DATOS!$E11837,nASIG,DATOS!$I11837,nEVAL,"OR")=0))</f>
      </c>
      <c r="I11837">
        <f>IF(DATOS!$I11837="","",IFERROR(VLOOKUP(DATOS!$I11837,CONFIG_ASIGNATURAS!$B$2:$J$91,9,FALSE()),""))</f>
      </c>
    </row>
    <row r="11838">
      <c r="F11838">
        <f>IF(DATOS!$A11838="","",DATOS!$A11838&amp;"|"&amp;DATOS!$D11838&amp;"|"&amp;DATOS!$E11838&amp;"|"&amp;DATOS!$I11838)</f>
      </c>
      <c r="G11838">
        <f>IF(DATOS!$A11838="",0,IF(CONFIG_METADATA!$B$4&lt;&gt;"OR+EX",--(DATOS!$G11838=CONFIG_METADATA!$B$4),IF(DATOS!$G11838="EX",1,IF(DATOS!$G11838="OR",--(COUNTIFS(nNIA,DATOS!$A11838,nCURSO,DATOS!$D11838,nESPEC,DATOS!$E11838,nASIG,DATOS!$I11838,nEVAL,"EX")=0),0))))</f>
      </c>
      <c r="H11838">
        <f>IF(DATOS!$G11838&lt;&gt;"EX",0,--(COUNTIFS(nNIA,DATOS!$A11838,nCURSO,DATOS!$D11838,nESPEC,DATOS!$E11838,nASIG,DATOS!$I11838,nEVAL,"OR")=0))</f>
      </c>
      <c r="I11838">
        <f>IF(DATOS!$I11838="","",IFERROR(VLOOKUP(DATOS!$I11838,CONFIG_ASIGNATURAS!$B$2:$J$91,9,FALSE()),""))</f>
      </c>
    </row>
    <row r="11839">
      <c r="F11839">
        <f>IF(DATOS!$A11839="","",DATOS!$A11839&amp;"|"&amp;DATOS!$D11839&amp;"|"&amp;DATOS!$E11839&amp;"|"&amp;DATOS!$I11839)</f>
      </c>
      <c r="G11839">
        <f>IF(DATOS!$A11839="",0,IF(CONFIG_METADATA!$B$4&lt;&gt;"OR+EX",--(DATOS!$G11839=CONFIG_METADATA!$B$4),IF(DATOS!$G11839="EX",1,IF(DATOS!$G11839="OR",--(COUNTIFS(nNIA,DATOS!$A11839,nCURSO,DATOS!$D11839,nESPEC,DATOS!$E11839,nASIG,DATOS!$I11839,nEVAL,"EX")=0),0))))</f>
      </c>
      <c r="H11839">
        <f>IF(DATOS!$G11839&lt;&gt;"EX",0,--(COUNTIFS(nNIA,DATOS!$A11839,nCURSO,DATOS!$D11839,nESPEC,DATOS!$E11839,nASIG,DATOS!$I11839,nEVAL,"OR")=0))</f>
      </c>
      <c r="I11839">
        <f>IF(DATOS!$I11839="","",IFERROR(VLOOKUP(DATOS!$I11839,CONFIG_ASIGNATURAS!$B$2:$J$91,9,FALSE()),""))</f>
      </c>
    </row>
    <row r="11840">
      <c r="F11840">
        <f>IF(DATOS!$A11840="","",DATOS!$A11840&amp;"|"&amp;DATOS!$D11840&amp;"|"&amp;DATOS!$E11840&amp;"|"&amp;DATOS!$I11840)</f>
      </c>
      <c r="G11840">
        <f>IF(DATOS!$A11840="",0,IF(CONFIG_METADATA!$B$4&lt;&gt;"OR+EX",--(DATOS!$G11840=CONFIG_METADATA!$B$4),IF(DATOS!$G11840="EX",1,IF(DATOS!$G11840="OR",--(COUNTIFS(nNIA,DATOS!$A11840,nCURSO,DATOS!$D11840,nESPEC,DATOS!$E11840,nASIG,DATOS!$I11840,nEVAL,"EX")=0),0))))</f>
      </c>
      <c r="H11840">
        <f>IF(DATOS!$G11840&lt;&gt;"EX",0,--(COUNTIFS(nNIA,DATOS!$A11840,nCURSO,DATOS!$D11840,nESPEC,DATOS!$E11840,nASIG,DATOS!$I11840,nEVAL,"OR")=0))</f>
      </c>
      <c r="I11840">
        <f>IF(DATOS!$I11840="","",IFERROR(VLOOKUP(DATOS!$I11840,CONFIG_ASIGNATURAS!$B$2:$J$91,9,FALSE()),""))</f>
      </c>
    </row>
    <row r="11841">
      <c r="F11841">
        <f>IF(DATOS!$A11841="","",DATOS!$A11841&amp;"|"&amp;DATOS!$D11841&amp;"|"&amp;DATOS!$E11841&amp;"|"&amp;DATOS!$I11841)</f>
      </c>
      <c r="G11841">
        <f>IF(DATOS!$A11841="",0,IF(CONFIG_METADATA!$B$4&lt;&gt;"OR+EX",--(DATOS!$G11841=CONFIG_METADATA!$B$4),IF(DATOS!$G11841="EX",1,IF(DATOS!$G11841="OR",--(COUNTIFS(nNIA,DATOS!$A11841,nCURSO,DATOS!$D11841,nESPEC,DATOS!$E11841,nASIG,DATOS!$I11841,nEVAL,"EX")=0),0))))</f>
      </c>
      <c r="H11841">
        <f>IF(DATOS!$G11841&lt;&gt;"EX",0,--(COUNTIFS(nNIA,DATOS!$A11841,nCURSO,DATOS!$D11841,nESPEC,DATOS!$E11841,nASIG,DATOS!$I11841,nEVAL,"OR")=0))</f>
      </c>
      <c r="I11841">
        <f>IF(DATOS!$I11841="","",IFERROR(VLOOKUP(DATOS!$I11841,CONFIG_ASIGNATURAS!$B$2:$J$91,9,FALSE()),""))</f>
      </c>
    </row>
    <row r="11842">
      <c r="F11842">
        <f>IF(DATOS!$A11842="","",DATOS!$A11842&amp;"|"&amp;DATOS!$D11842&amp;"|"&amp;DATOS!$E11842&amp;"|"&amp;DATOS!$I11842)</f>
      </c>
      <c r="G11842">
        <f>IF(DATOS!$A11842="",0,IF(CONFIG_METADATA!$B$4&lt;&gt;"OR+EX",--(DATOS!$G11842=CONFIG_METADATA!$B$4),IF(DATOS!$G11842="EX",1,IF(DATOS!$G11842="OR",--(COUNTIFS(nNIA,DATOS!$A11842,nCURSO,DATOS!$D11842,nESPEC,DATOS!$E11842,nASIG,DATOS!$I11842,nEVAL,"EX")=0),0))))</f>
      </c>
      <c r="H11842">
        <f>IF(DATOS!$G11842&lt;&gt;"EX",0,--(COUNTIFS(nNIA,DATOS!$A11842,nCURSO,DATOS!$D11842,nESPEC,DATOS!$E11842,nASIG,DATOS!$I11842,nEVAL,"OR")=0))</f>
      </c>
      <c r="I11842">
        <f>IF(DATOS!$I11842="","",IFERROR(VLOOKUP(DATOS!$I11842,CONFIG_ASIGNATURAS!$B$2:$J$91,9,FALSE()),""))</f>
      </c>
    </row>
    <row r="11843">
      <c r="F11843">
        <f>IF(DATOS!$A11843="","",DATOS!$A11843&amp;"|"&amp;DATOS!$D11843&amp;"|"&amp;DATOS!$E11843&amp;"|"&amp;DATOS!$I11843)</f>
      </c>
      <c r="G11843">
        <f>IF(DATOS!$A11843="",0,IF(CONFIG_METADATA!$B$4&lt;&gt;"OR+EX",--(DATOS!$G11843=CONFIG_METADATA!$B$4),IF(DATOS!$G11843="EX",1,IF(DATOS!$G11843="OR",--(COUNTIFS(nNIA,DATOS!$A11843,nCURSO,DATOS!$D11843,nESPEC,DATOS!$E11843,nASIG,DATOS!$I11843,nEVAL,"EX")=0),0))))</f>
      </c>
      <c r="H11843">
        <f>IF(DATOS!$G11843&lt;&gt;"EX",0,--(COUNTIFS(nNIA,DATOS!$A11843,nCURSO,DATOS!$D11843,nESPEC,DATOS!$E11843,nASIG,DATOS!$I11843,nEVAL,"OR")=0))</f>
      </c>
      <c r="I11843">
        <f>IF(DATOS!$I11843="","",IFERROR(VLOOKUP(DATOS!$I11843,CONFIG_ASIGNATURAS!$B$2:$J$91,9,FALSE()),""))</f>
      </c>
    </row>
    <row r="11844">
      <c r="F11844">
        <f>IF(DATOS!$A11844="","",DATOS!$A11844&amp;"|"&amp;DATOS!$D11844&amp;"|"&amp;DATOS!$E11844&amp;"|"&amp;DATOS!$I11844)</f>
      </c>
      <c r="G11844">
        <f>IF(DATOS!$A11844="",0,IF(CONFIG_METADATA!$B$4&lt;&gt;"OR+EX",--(DATOS!$G11844=CONFIG_METADATA!$B$4),IF(DATOS!$G11844="EX",1,IF(DATOS!$G11844="OR",--(COUNTIFS(nNIA,DATOS!$A11844,nCURSO,DATOS!$D11844,nESPEC,DATOS!$E11844,nASIG,DATOS!$I11844,nEVAL,"EX")=0),0))))</f>
      </c>
      <c r="H11844">
        <f>IF(DATOS!$G11844&lt;&gt;"EX",0,--(COUNTIFS(nNIA,DATOS!$A11844,nCURSO,DATOS!$D11844,nESPEC,DATOS!$E11844,nASIG,DATOS!$I11844,nEVAL,"OR")=0))</f>
      </c>
      <c r="I11844">
        <f>IF(DATOS!$I11844="","",IFERROR(VLOOKUP(DATOS!$I11844,CONFIG_ASIGNATURAS!$B$2:$J$91,9,FALSE()),""))</f>
      </c>
    </row>
    <row r="11845">
      <c r="F11845">
        <f>IF(DATOS!$A11845="","",DATOS!$A11845&amp;"|"&amp;DATOS!$D11845&amp;"|"&amp;DATOS!$E11845&amp;"|"&amp;DATOS!$I11845)</f>
      </c>
      <c r="G11845">
        <f>IF(DATOS!$A11845="",0,IF(CONFIG_METADATA!$B$4&lt;&gt;"OR+EX",--(DATOS!$G11845=CONFIG_METADATA!$B$4),IF(DATOS!$G11845="EX",1,IF(DATOS!$G11845="OR",--(COUNTIFS(nNIA,DATOS!$A11845,nCURSO,DATOS!$D11845,nESPEC,DATOS!$E11845,nASIG,DATOS!$I11845,nEVAL,"EX")=0),0))))</f>
      </c>
      <c r="H11845">
        <f>IF(DATOS!$G11845&lt;&gt;"EX",0,--(COUNTIFS(nNIA,DATOS!$A11845,nCURSO,DATOS!$D11845,nESPEC,DATOS!$E11845,nASIG,DATOS!$I11845,nEVAL,"OR")=0))</f>
      </c>
      <c r="I11845">
        <f>IF(DATOS!$I11845="","",IFERROR(VLOOKUP(DATOS!$I11845,CONFIG_ASIGNATURAS!$B$2:$J$91,9,FALSE()),""))</f>
      </c>
    </row>
    <row r="11846">
      <c r="F11846">
        <f>IF(DATOS!$A11846="","",DATOS!$A11846&amp;"|"&amp;DATOS!$D11846&amp;"|"&amp;DATOS!$E11846&amp;"|"&amp;DATOS!$I11846)</f>
      </c>
      <c r="G11846">
        <f>IF(DATOS!$A11846="",0,IF(CONFIG_METADATA!$B$4&lt;&gt;"OR+EX",--(DATOS!$G11846=CONFIG_METADATA!$B$4),IF(DATOS!$G11846="EX",1,IF(DATOS!$G11846="OR",--(COUNTIFS(nNIA,DATOS!$A11846,nCURSO,DATOS!$D11846,nESPEC,DATOS!$E11846,nASIG,DATOS!$I11846,nEVAL,"EX")=0),0))))</f>
      </c>
      <c r="H11846">
        <f>IF(DATOS!$G11846&lt;&gt;"EX",0,--(COUNTIFS(nNIA,DATOS!$A11846,nCURSO,DATOS!$D11846,nESPEC,DATOS!$E11846,nASIG,DATOS!$I11846,nEVAL,"OR")=0))</f>
      </c>
      <c r="I11846">
        <f>IF(DATOS!$I11846="","",IFERROR(VLOOKUP(DATOS!$I11846,CONFIG_ASIGNATURAS!$B$2:$J$91,9,FALSE()),""))</f>
      </c>
    </row>
    <row r="11847">
      <c r="F11847">
        <f>IF(DATOS!$A11847="","",DATOS!$A11847&amp;"|"&amp;DATOS!$D11847&amp;"|"&amp;DATOS!$E11847&amp;"|"&amp;DATOS!$I11847)</f>
      </c>
      <c r="G11847">
        <f>IF(DATOS!$A11847="",0,IF(CONFIG_METADATA!$B$4&lt;&gt;"OR+EX",--(DATOS!$G11847=CONFIG_METADATA!$B$4),IF(DATOS!$G11847="EX",1,IF(DATOS!$G11847="OR",--(COUNTIFS(nNIA,DATOS!$A11847,nCURSO,DATOS!$D11847,nESPEC,DATOS!$E11847,nASIG,DATOS!$I11847,nEVAL,"EX")=0),0))))</f>
      </c>
      <c r="H11847">
        <f>IF(DATOS!$G11847&lt;&gt;"EX",0,--(COUNTIFS(nNIA,DATOS!$A11847,nCURSO,DATOS!$D11847,nESPEC,DATOS!$E11847,nASIG,DATOS!$I11847,nEVAL,"OR")=0))</f>
      </c>
      <c r="I11847">
        <f>IF(DATOS!$I11847="","",IFERROR(VLOOKUP(DATOS!$I11847,CONFIG_ASIGNATURAS!$B$2:$J$91,9,FALSE()),""))</f>
      </c>
    </row>
    <row r="11848">
      <c r="F11848">
        <f>IF(DATOS!$A11848="","",DATOS!$A11848&amp;"|"&amp;DATOS!$D11848&amp;"|"&amp;DATOS!$E11848&amp;"|"&amp;DATOS!$I11848)</f>
      </c>
      <c r="G11848">
        <f>IF(DATOS!$A11848="",0,IF(CONFIG_METADATA!$B$4&lt;&gt;"OR+EX",--(DATOS!$G11848=CONFIG_METADATA!$B$4),IF(DATOS!$G11848="EX",1,IF(DATOS!$G11848="OR",--(COUNTIFS(nNIA,DATOS!$A11848,nCURSO,DATOS!$D11848,nESPEC,DATOS!$E11848,nASIG,DATOS!$I11848,nEVAL,"EX")=0),0))))</f>
      </c>
      <c r="H11848">
        <f>IF(DATOS!$G11848&lt;&gt;"EX",0,--(COUNTIFS(nNIA,DATOS!$A11848,nCURSO,DATOS!$D11848,nESPEC,DATOS!$E11848,nASIG,DATOS!$I11848,nEVAL,"OR")=0))</f>
      </c>
      <c r="I11848">
        <f>IF(DATOS!$I11848="","",IFERROR(VLOOKUP(DATOS!$I11848,CONFIG_ASIGNATURAS!$B$2:$J$91,9,FALSE()),""))</f>
      </c>
    </row>
    <row r="11849">
      <c r="F11849">
        <f>IF(DATOS!$A11849="","",DATOS!$A11849&amp;"|"&amp;DATOS!$D11849&amp;"|"&amp;DATOS!$E11849&amp;"|"&amp;DATOS!$I11849)</f>
      </c>
      <c r="G11849">
        <f>IF(DATOS!$A11849="",0,IF(CONFIG_METADATA!$B$4&lt;&gt;"OR+EX",--(DATOS!$G11849=CONFIG_METADATA!$B$4),IF(DATOS!$G11849="EX",1,IF(DATOS!$G11849="OR",--(COUNTIFS(nNIA,DATOS!$A11849,nCURSO,DATOS!$D11849,nESPEC,DATOS!$E11849,nASIG,DATOS!$I11849,nEVAL,"EX")=0),0))))</f>
      </c>
      <c r="H11849">
        <f>IF(DATOS!$G11849&lt;&gt;"EX",0,--(COUNTIFS(nNIA,DATOS!$A11849,nCURSO,DATOS!$D11849,nESPEC,DATOS!$E11849,nASIG,DATOS!$I11849,nEVAL,"OR")=0))</f>
      </c>
      <c r="I11849">
        <f>IF(DATOS!$I11849="","",IFERROR(VLOOKUP(DATOS!$I11849,CONFIG_ASIGNATURAS!$B$2:$J$91,9,FALSE()),""))</f>
      </c>
    </row>
    <row r="11850">
      <c r="F11850">
        <f>IF(DATOS!$A11850="","",DATOS!$A11850&amp;"|"&amp;DATOS!$D11850&amp;"|"&amp;DATOS!$E11850&amp;"|"&amp;DATOS!$I11850)</f>
      </c>
      <c r="G11850">
        <f>IF(DATOS!$A11850="",0,IF(CONFIG_METADATA!$B$4&lt;&gt;"OR+EX",--(DATOS!$G11850=CONFIG_METADATA!$B$4),IF(DATOS!$G11850="EX",1,IF(DATOS!$G11850="OR",--(COUNTIFS(nNIA,DATOS!$A11850,nCURSO,DATOS!$D11850,nESPEC,DATOS!$E11850,nASIG,DATOS!$I11850,nEVAL,"EX")=0),0))))</f>
      </c>
      <c r="H11850">
        <f>IF(DATOS!$G11850&lt;&gt;"EX",0,--(COUNTIFS(nNIA,DATOS!$A11850,nCURSO,DATOS!$D11850,nESPEC,DATOS!$E11850,nASIG,DATOS!$I11850,nEVAL,"OR")=0))</f>
      </c>
      <c r="I11850">
        <f>IF(DATOS!$I11850="","",IFERROR(VLOOKUP(DATOS!$I11850,CONFIG_ASIGNATURAS!$B$2:$J$91,9,FALSE()),""))</f>
      </c>
    </row>
    <row r="11851">
      <c r="F11851">
        <f>IF(DATOS!$A11851="","",DATOS!$A11851&amp;"|"&amp;DATOS!$D11851&amp;"|"&amp;DATOS!$E11851&amp;"|"&amp;DATOS!$I11851)</f>
      </c>
      <c r="G11851">
        <f>IF(DATOS!$A11851="",0,IF(CONFIG_METADATA!$B$4&lt;&gt;"OR+EX",--(DATOS!$G11851=CONFIG_METADATA!$B$4),IF(DATOS!$G11851="EX",1,IF(DATOS!$G11851="OR",--(COUNTIFS(nNIA,DATOS!$A11851,nCURSO,DATOS!$D11851,nESPEC,DATOS!$E11851,nASIG,DATOS!$I11851,nEVAL,"EX")=0),0))))</f>
      </c>
      <c r="H11851">
        <f>IF(DATOS!$G11851&lt;&gt;"EX",0,--(COUNTIFS(nNIA,DATOS!$A11851,nCURSO,DATOS!$D11851,nESPEC,DATOS!$E11851,nASIG,DATOS!$I11851,nEVAL,"OR")=0))</f>
      </c>
      <c r="I11851">
        <f>IF(DATOS!$I11851="","",IFERROR(VLOOKUP(DATOS!$I11851,CONFIG_ASIGNATURAS!$B$2:$J$91,9,FALSE()),""))</f>
      </c>
    </row>
    <row r="11852">
      <c r="F11852">
        <f>IF(DATOS!$A11852="","",DATOS!$A11852&amp;"|"&amp;DATOS!$D11852&amp;"|"&amp;DATOS!$E11852&amp;"|"&amp;DATOS!$I11852)</f>
      </c>
      <c r="G11852">
        <f>IF(DATOS!$A11852="",0,IF(CONFIG_METADATA!$B$4&lt;&gt;"OR+EX",--(DATOS!$G11852=CONFIG_METADATA!$B$4),IF(DATOS!$G11852="EX",1,IF(DATOS!$G11852="OR",--(COUNTIFS(nNIA,DATOS!$A11852,nCURSO,DATOS!$D11852,nESPEC,DATOS!$E11852,nASIG,DATOS!$I11852,nEVAL,"EX")=0),0))))</f>
      </c>
      <c r="H11852">
        <f>IF(DATOS!$G11852&lt;&gt;"EX",0,--(COUNTIFS(nNIA,DATOS!$A11852,nCURSO,DATOS!$D11852,nESPEC,DATOS!$E11852,nASIG,DATOS!$I11852,nEVAL,"OR")=0))</f>
      </c>
      <c r="I11852">
        <f>IF(DATOS!$I11852="","",IFERROR(VLOOKUP(DATOS!$I11852,CONFIG_ASIGNATURAS!$B$2:$J$91,9,FALSE()),""))</f>
      </c>
    </row>
    <row r="11853">
      <c r="F11853">
        <f>IF(DATOS!$A11853="","",DATOS!$A11853&amp;"|"&amp;DATOS!$D11853&amp;"|"&amp;DATOS!$E11853&amp;"|"&amp;DATOS!$I11853)</f>
      </c>
      <c r="G11853">
        <f>IF(DATOS!$A11853="",0,IF(CONFIG_METADATA!$B$4&lt;&gt;"OR+EX",--(DATOS!$G11853=CONFIG_METADATA!$B$4),IF(DATOS!$G11853="EX",1,IF(DATOS!$G11853="OR",--(COUNTIFS(nNIA,DATOS!$A11853,nCURSO,DATOS!$D11853,nESPEC,DATOS!$E11853,nASIG,DATOS!$I11853,nEVAL,"EX")=0),0))))</f>
      </c>
      <c r="H11853">
        <f>IF(DATOS!$G11853&lt;&gt;"EX",0,--(COUNTIFS(nNIA,DATOS!$A11853,nCURSO,DATOS!$D11853,nESPEC,DATOS!$E11853,nASIG,DATOS!$I11853,nEVAL,"OR")=0))</f>
      </c>
      <c r="I11853">
        <f>IF(DATOS!$I11853="","",IFERROR(VLOOKUP(DATOS!$I11853,CONFIG_ASIGNATURAS!$B$2:$J$91,9,FALSE()),""))</f>
      </c>
    </row>
    <row r="11854">
      <c r="F11854">
        <f>IF(DATOS!$A11854="","",DATOS!$A11854&amp;"|"&amp;DATOS!$D11854&amp;"|"&amp;DATOS!$E11854&amp;"|"&amp;DATOS!$I11854)</f>
      </c>
      <c r="G11854">
        <f>IF(DATOS!$A11854="",0,IF(CONFIG_METADATA!$B$4&lt;&gt;"OR+EX",--(DATOS!$G11854=CONFIG_METADATA!$B$4),IF(DATOS!$G11854="EX",1,IF(DATOS!$G11854="OR",--(COUNTIFS(nNIA,DATOS!$A11854,nCURSO,DATOS!$D11854,nESPEC,DATOS!$E11854,nASIG,DATOS!$I11854,nEVAL,"EX")=0),0))))</f>
      </c>
      <c r="H11854">
        <f>IF(DATOS!$G11854&lt;&gt;"EX",0,--(COUNTIFS(nNIA,DATOS!$A11854,nCURSO,DATOS!$D11854,nESPEC,DATOS!$E11854,nASIG,DATOS!$I11854,nEVAL,"OR")=0))</f>
      </c>
      <c r="I11854">
        <f>IF(DATOS!$I11854="","",IFERROR(VLOOKUP(DATOS!$I11854,CONFIG_ASIGNATURAS!$B$2:$J$91,9,FALSE()),""))</f>
      </c>
    </row>
    <row r="11855">
      <c r="F11855">
        <f>IF(DATOS!$A11855="","",DATOS!$A11855&amp;"|"&amp;DATOS!$D11855&amp;"|"&amp;DATOS!$E11855&amp;"|"&amp;DATOS!$I11855)</f>
      </c>
      <c r="G11855">
        <f>IF(DATOS!$A11855="",0,IF(CONFIG_METADATA!$B$4&lt;&gt;"OR+EX",--(DATOS!$G11855=CONFIG_METADATA!$B$4),IF(DATOS!$G11855="EX",1,IF(DATOS!$G11855="OR",--(COUNTIFS(nNIA,DATOS!$A11855,nCURSO,DATOS!$D11855,nESPEC,DATOS!$E11855,nASIG,DATOS!$I11855,nEVAL,"EX")=0),0))))</f>
      </c>
      <c r="H11855">
        <f>IF(DATOS!$G11855&lt;&gt;"EX",0,--(COUNTIFS(nNIA,DATOS!$A11855,nCURSO,DATOS!$D11855,nESPEC,DATOS!$E11855,nASIG,DATOS!$I11855,nEVAL,"OR")=0))</f>
      </c>
      <c r="I11855">
        <f>IF(DATOS!$I11855="","",IFERROR(VLOOKUP(DATOS!$I11855,CONFIG_ASIGNATURAS!$B$2:$J$91,9,FALSE()),""))</f>
      </c>
    </row>
    <row r="11856">
      <c r="F11856">
        <f>IF(DATOS!$A11856="","",DATOS!$A11856&amp;"|"&amp;DATOS!$D11856&amp;"|"&amp;DATOS!$E11856&amp;"|"&amp;DATOS!$I11856)</f>
      </c>
      <c r="G11856">
        <f>IF(DATOS!$A11856="",0,IF(CONFIG_METADATA!$B$4&lt;&gt;"OR+EX",--(DATOS!$G11856=CONFIG_METADATA!$B$4),IF(DATOS!$G11856="EX",1,IF(DATOS!$G11856="OR",--(COUNTIFS(nNIA,DATOS!$A11856,nCURSO,DATOS!$D11856,nESPEC,DATOS!$E11856,nASIG,DATOS!$I11856,nEVAL,"EX")=0),0))))</f>
      </c>
      <c r="H11856">
        <f>IF(DATOS!$G11856&lt;&gt;"EX",0,--(COUNTIFS(nNIA,DATOS!$A11856,nCURSO,DATOS!$D11856,nESPEC,DATOS!$E11856,nASIG,DATOS!$I11856,nEVAL,"OR")=0))</f>
      </c>
      <c r="I11856">
        <f>IF(DATOS!$I11856="","",IFERROR(VLOOKUP(DATOS!$I11856,CONFIG_ASIGNATURAS!$B$2:$J$91,9,FALSE()),""))</f>
      </c>
    </row>
    <row r="11857">
      <c r="F11857">
        <f>IF(DATOS!$A11857="","",DATOS!$A11857&amp;"|"&amp;DATOS!$D11857&amp;"|"&amp;DATOS!$E11857&amp;"|"&amp;DATOS!$I11857)</f>
      </c>
      <c r="G11857">
        <f>IF(DATOS!$A11857="",0,IF(CONFIG_METADATA!$B$4&lt;&gt;"OR+EX",--(DATOS!$G11857=CONFIG_METADATA!$B$4),IF(DATOS!$G11857="EX",1,IF(DATOS!$G11857="OR",--(COUNTIFS(nNIA,DATOS!$A11857,nCURSO,DATOS!$D11857,nESPEC,DATOS!$E11857,nASIG,DATOS!$I11857,nEVAL,"EX")=0),0))))</f>
      </c>
      <c r="H11857">
        <f>IF(DATOS!$G11857&lt;&gt;"EX",0,--(COUNTIFS(nNIA,DATOS!$A11857,nCURSO,DATOS!$D11857,nESPEC,DATOS!$E11857,nASIG,DATOS!$I11857,nEVAL,"OR")=0))</f>
      </c>
      <c r="I11857">
        <f>IF(DATOS!$I11857="","",IFERROR(VLOOKUP(DATOS!$I11857,CONFIG_ASIGNATURAS!$B$2:$J$91,9,FALSE()),""))</f>
      </c>
    </row>
    <row r="11858">
      <c r="F11858">
        <f>IF(DATOS!$A11858="","",DATOS!$A11858&amp;"|"&amp;DATOS!$D11858&amp;"|"&amp;DATOS!$E11858&amp;"|"&amp;DATOS!$I11858)</f>
      </c>
      <c r="G11858">
        <f>IF(DATOS!$A11858="",0,IF(CONFIG_METADATA!$B$4&lt;&gt;"OR+EX",--(DATOS!$G11858=CONFIG_METADATA!$B$4),IF(DATOS!$G11858="EX",1,IF(DATOS!$G11858="OR",--(COUNTIFS(nNIA,DATOS!$A11858,nCURSO,DATOS!$D11858,nESPEC,DATOS!$E11858,nASIG,DATOS!$I11858,nEVAL,"EX")=0),0))))</f>
      </c>
      <c r="H11858">
        <f>IF(DATOS!$G11858&lt;&gt;"EX",0,--(COUNTIFS(nNIA,DATOS!$A11858,nCURSO,DATOS!$D11858,nESPEC,DATOS!$E11858,nASIG,DATOS!$I11858,nEVAL,"OR")=0))</f>
      </c>
      <c r="I11858">
        <f>IF(DATOS!$I11858="","",IFERROR(VLOOKUP(DATOS!$I11858,CONFIG_ASIGNATURAS!$B$2:$J$91,9,FALSE()),""))</f>
      </c>
    </row>
    <row r="11859">
      <c r="F11859">
        <f>IF(DATOS!$A11859="","",DATOS!$A11859&amp;"|"&amp;DATOS!$D11859&amp;"|"&amp;DATOS!$E11859&amp;"|"&amp;DATOS!$I11859)</f>
      </c>
      <c r="G11859">
        <f>IF(DATOS!$A11859="",0,IF(CONFIG_METADATA!$B$4&lt;&gt;"OR+EX",--(DATOS!$G11859=CONFIG_METADATA!$B$4),IF(DATOS!$G11859="EX",1,IF(DATOS!$G11859="OR",--(COUNTIFS(nNIA,DATOS!$A11859,nCURSO,DATOS!$D11859,nESPEC,DATOS!$E11859,nASIG,DATOS!$I11859,nEVAL,"EX")=0),0))))</f>
      </c>
      <c r="H11859">
        <f>IF(DATOS!$G11859&lt;&gt;"EX",0,--(COUNTIFS(nNIA,DATOS!$A11859,nCURSO,DATOS!$D11859,nESPEC,DATOS!$E11859,nASIG,DATOS!$I11859,nEVAL,"OR")=0))</f>
      </c>
      <c r="I11859">
        <f>IF(DATOS!$I11859="","",IFERROR(VLOOKUP(DATOS!$I11859,CONFIG_ASIGNATURAS!$B$2:$J$91,9,FALSE()),""))</f>
      </c>
    </row>
    <row r="11860">
      <c r="F11860">
        <f>IF(DATOS!$A11860="","",DATOS!$A11860&amp;"|"&amp;DATOS!$D11860&amp;"|"&amp;DATOS!$E11860&amp;"|"&amp;DATOS!$I11860)</f>
      </c>
      <c r="G11860">
        <f>IF(DATOS!$A11860="",0,IF(CONFIG_METADATA!$B$4&lt;&gt;"OR+EX",--(DATOS!$G11860=CONFIG_METADATA!$B$4),IF(DATOS!$G11860="EX",1,IF(DATOS!$G11860="OR",--(COUNTIFS(nNIA,DATOS!$A11860,nCURSO,DATOS!$D11860,nESPEC,DATOS!$E11860,nASIG,DATOS!$I11860,nEVAL,"EX")=0),0))))</f>
      </c>
      <c r="H11860">
        <f>IF(DATOS!$G11860&lt;&gt;"EX",0,--(COUNTIFS(nNIA,DATOS!$A11860,nCURSO,DATOS!$D11860,nESPEC,DATOS!$E11860,nASIG,DATOS!$I11860,nEVAL,"OR")=0))</f>
      </c>
      <c r="I11860">
        <f>IF(DATOS!$I11860="","",IFERROR(VLOOKUP(DATOS!$I11860,CONFIG_ASIGNATURAS!$B$2:$J$91,9,FALSE()),""))</f>
      </c>
    </row>
    <row r="11861">
      <c r="F11861">
        <f>IF(DATOS!$A11861="","",DATOS!$A11861&amp;"|"&amp;DATOS!$D11861&amp;"|"&amp;DATOS!$E11861&amp;"|"&amp;DATOS!$I11861)</f>
      </c>
      <c r="G11861">
        <f>IF(DATOS!$A11861="",0,IF(CONFIG_METADATA!$B$4&lt;&gt;"OR+EX",--(DATOS!$G11861=CONFIG_METADATA!$B$4),IF(DATOS!$G11861="EX",1,IF(DATOS!$G11861="OR",--(COUNTIFS(nNIA,DATOS!$A11861,nCURSO,DATOS!$D11861,nESPEC,DATOS!$E11861,nASIG,DATOS!$I11861,nEVAL,"EX")=0),0))))</f>
      </c>
      <c r="H11861">
        <f>IF(DATOS!$G11861&lt;&gt;"EX",0,--(COUNTIFS(nNIA,DATOS!$A11861,nCURSO,DATOS!$D11861,nESPEC,DATOS!$E11861,nASIG,DATOS!$I11861,nEVAL,"OR")=0))</f>
      </c>
      <c r="I11861">
        <f>IF(DATOS!$I11861="","",IFERROR(VLOOKUP(DATOS!$I11861,CONFIG_ASIGNATURAS!$B$2:$J$91,9,FALSE()),""))</f>
      </c>
    </row>
    <row r="11862">
      <c r="F11862">
        <f>IF(DATOS!$A11862="","",DATOS!$A11862&amp;"|"&amp;DATOS!$D11862&amp;"|"&amp;DATOS!$E11862&amp;"|"&amp;DATOS!$I11862)</f>
      </c>
      <c r="G11862">
        <f>IF(DATOS!$A11862="",0,IF(CONFIG_METADATA!$B$4&lt;&gt;"OR+EX",--(DATOS!$G11862=CONFIG_METADATA!$B$4),IF(DATOS!$G11862="EX",1,IF(DATOS!$G11862="OR",--(COUNTIFS(nNIA,DATOS!$A11862,nCURSO,DATOS!$D11862,nESPEC,DATOS!$E11862,nASIG,DATOS!$I11862,nEVAL,"EX")=0),0))))</f>
      </c>
      <c r="H11862">
        <f>IF(DATOS!$G11862&lt;&gt;"EX",0,--(COUNTIFS(nNIA,DATOS!$A11862,nCURSO,DATOS!$D11862,nESPEC,DATOS!$E11862,nASIG,DATOS!$I11862,nEVAL,"OR")=0))</f>
      </c>
      <c r="I11862">
        <f>IF(DATOS!$I11862="","",IFERROR(VLOOKUP(DATOS!$I11862,CONFIG_ASIGNATURAS!$B$2:$J$91,9,FALSE()),""))</f>
      </c>
    </row>
    <row r="11863">
      <c r="F11863">
        <f>IF(DATOS!$A11863="","",DATOS!$A11863&amp;"|"&amp;DATOS!$D11863&amp;"|"&amp;DATOS!$E11863&amp;"|"&amp;DATOS!$I11863)</f>
      </c>
      <c r="G11863">
        <f>IF(DATOS!$A11863="",0,IF(CONFIG_METADATA!$B$4&lt;&gt;"OR+EX",--(DATOS!$G11863=CONFIG_METADATA!$B$4),IF(DATOS!$G11863="EX",1,IF(DATOS!$G11863="OR",--(COUNTIFS(nNIA,DATOS!$A11863,nCURSO,DATOS!$D11863,nESPEC,DATOS!$E11863,nASIG,DATOS!$I11863,nEVAL,"EX")=0),0))))</f>
      </c>
      <c r="H11863">
        <f>IF(DATOS!$G11863&lt;&gt;"EX",0,--(COUNTIFS(nNIA,DATOS!$A11863,nCURSO,DATOS!$D11863,nESPEC,DATOS!$E11863,nASIG,DATOS!$I11863,nEVAL,"OR")=0))</f>
      </c>
      <c r="I11863">
        <f>IF(DATOS!$I11863="","",IFERROR(VLOOKUP(DATOS!$I11863,CONFIG_ASIGNATURAS!$B$2:$J$91,9,FALSE()),""))</f>
      </c>
    </row>
    <row r="11864">
      <c r="F11864">
        <f>IF(DATOS!$A11864="","",DATOS!$A11864&amp;"|"&amp;DATOS!$D11864&amp;"|"&amp;DATOS!$E11864&amp;"|"&amp;DATOS!$I11864)</f>
      </c>
      <c r="G11864">
        <f>IF(DATOS!$A11864="",0,IF(CONFIG_METADATA!$B$4&lt;&gt;"OR+EX",--(DATOS!$G11864=CONFIG_METADATA!$B$4),IF(DATOS!$G11864="EX",1,IF(DATOS!$G11864="OR",--(COUNTIFS(nNIA,DATOS!$A11864,nCURSO,DATOS!$D11864,nESPEC,DATOS!$E11864,nASIG,DATOS!$I11864,nEVAL,"EX")=0),0))))</f>
      </c>
      <c r="H11864">
        <f>IF(DATOS!$G11864&lt;&gt;"EX",0,--(COUNTIFS(nNIA,DATOS!$A11864,nCURSO,DATOS!$D11864,nESPEC,DATOS!$E11864,nASIG,DATOS!$I11864,nEVAL,"OR")=0))</f>
      </c>
      <c r="I11864">
        <f>IF(DATOS!$I11864="","",IFERROR(VLOOKUP(DATOS!$I11864,CONFIG_ASIGNATURAS!$B$2:$J$91,9,FALSE()),""))</f>
      </c>
    </row>
    <row r="11865">
      <c r="F11865">
        <f>IF(DATOS!$A11865="","",DATOS!$A11865&amp;"|"&amp;DATOS!$D11865&amp;"|"&amp;DATOS!$E11865&amp;"|"&amp;DATOS!$I11865)</f>
      </c>
      <c r="G11865">
        <f>IF(DATOS!$A11865="",0,IF(CONFIG_METADATA!$B$4&lt;&gt;"OR+EX",--(DATOS!$G11865=CONFIG_METADATA!$B$4),IF(DATOS!$G11865="EX",1,IF(DATOS!$G11865="OR",--(COUNTIFS(nNIA,DATOS!$A11865,nCURSO,DATOS!$D11865,nESPEC,DATOS!$E11865,nASIG,DATOS!$I11865,nEVAL,"EX")=0),0))))</f>
      </c>
      <c r="H11865">
        <f>IF(DATOS!$G11865&lt;&gt;"EX",0,--(COUNTIFS(nNIA,DATOS!$A11865,nCURSO,DATOS!$D11865,nESPEC,DATOS!$E11865,nASIG,DATOS!$I11865,nEVAL,"OR")=0))</f>
      </c>
      <c r="I11865">
        <f>IF(DATOS!$I11865="","",IFERROR(VLOOKUP(DATOS!$I11865,CONFIG_ASIGNATURAS!$B$2:$J$91,9,FALSE()),""))</f>
      </c>
    </row>
    <row r="11866">
      <c r="F11866">
        <f>IF(DATOS!$A11866="","",DATOS!$A11866&amp;"|"&amp;DATOS!$D11866&amp;"|"&amp;DATOS!$E11866&amp;"|"&amp;DATOS!$I11866)</f>
      </c>
      <c r="G11866">
        <f>IF(DATOS!$A11866="",0,IF(CONFIG_METADATA!$B$4&lt;&gt;"OR+EX",--(DATOS!$G11866=CONFIG_METADATA!$B$4),IF(DATOS!$G11866="EX",1,IF(DATOS!$G11866="OR",--(COUNTIFS(nNIA,DATOS!$A11866,nCURSO,DATOS!$D11866,nESPEC,DATOS!$E11866,nASIG,DATOS!$I11866,nEVAL,"EX")=0),0))))</f>
      </c>
      <c r="H11866">
        <f>IF(DATOS!$G11866&lt;&gt;"EX",0,--(COUNTIFS(nNIA,DATOS!$A11866,nCURSO,DATOS!$D11866,nESPEC,DATOS!$E11866,nASIG,DATOS!$I11866,nEVAL,"OR")=0))</f>
      </c>
      <c r="I11866">
        <f>IF(DATOS!$I11866="","",IFERROR(VLOOKUP(DATOS!$I11866,CONFIG_ASIGNATURAS!$B$2:$J$91,9,FALSE()),""))</f>
      </c>
    </row>
    <row r="11867">
      <c r="F11867">
        <f>IF(DATOS!$A11867="","",DATOS!$A11867&amp;"|"&amp;DATOS!$D11867&amp;"|"&amp;DATOS!$E11867&amp;"|"&amp;DATOS!$I11867)</f>
      </c>
      <c r="G11867">
        <f>IF(DATOS!$A11867="",0,IF(CONFIG_METADATA!$B$4&lt;&gt;"OR+EX",--(DATOS!$G11867=CONFIG_METADATA!$B$4),IF(DATOS!$G11867="EX",1,IF(DATOS!$G11867="OR",--(COUNTIFS(nNIA,DATOS!$A11867,nCURSO,DATOS!$D11867,nESPEC,DATOS!$E11867,nASIG,DATOS!$I11867,nEVAL,"EX")=0),0))))</f>
      </c>
      <c r="H11867">
        <f>IF(DATOS!$G11867&lt;&gt;"EX",0,--(COUNTIFS(nNIA,DATOS!$A11867,nCURSO,DATOS!$D11867,nESPEC,DATOS!$E11867,nASIG,DATOS!$I11867,nEVAL,"OR")=0))</f>
      </c>
      <c r="I11867">
        <f>IF(DATOS!$I11867="","",IFERROR(VLOOKUP(DATOS!$I11867,CONFIG_ASIGNATURAS!$B$2:$J$91,9,FALSE()),""))</f>
      </c>
    </row>
    <row r="11868">
      <c r="F11868">
        <f>IF(DATOS!$A11868="","",DATOS!$A11868&amp;"|"&amp;DATOS!$D11868&amp;"|"&amp;DATOS!$E11868&amp;"|"&amp;DATOS!$I11868)</f>
      </c>
      <c r="G11868">
        <f>IF(DATOS!$A11868="",0,IF(CONFIG_METADATA!$B$4&lt;&gt;"OR+EX",--(DATOS!$G11868=CONFIG_METADATA!$B$4),IF(DATOS!$G11868="EX",1,IF(DATOS!$G11868="OR",--(COUNTIFS(nNIA,DATOS!$A11868,nCURSO,DATOS!$D11868,nESPEC,DATOS!$E11868,nASIG,DATOS!$I11868,nEVAL,"EX")=0),0))))</f>
      </c>
      <c r="H11868">
        <f>IF(DATOS!$G11868&lt;&gt;"EX",0,--(COUNTIFS(nNIA,DATOS!$A11868,nCURSO,DATOS!$D11868,nESPEC,DATOS!$E11868,nASIG,DATOS!$I11868,nEVAL,"OR")=0))</f>
      </c>
      <c r="I11868">
        <f>IF(DATOS!$I11868="","",IFERROR(VLOOKUP(DATOS!$I11868,CONFIG_ASIGNATURAS!$B$2:$J$91,9,FALSE()),""))</f>
      </c>
    </row>
    <row r="11869">
      <c r="F11869">
        <f>IF(DATOS!$A11869="","",DATOS!$A11869&amp;"|"&amp;DATOS!$D11869&amp;"|"&amp;DATOS!$E11869&amp;"|"&amp;DATOS!$I11869)</f>
      </c>
      <c r="G11869">
        <f>IF(DATOS!$A11869="",0,IF(CONFIG_METADATA!$B$4&lt;&gt;"OR+EX",--(DATOS!$G11869=CONFIG_METADATA!$B$4),IF(DATOS!$G11869="EX",1,IF(DATOS!$G11869="OR",--(COUNTIFS(nNIA,DATOS!$A11869,nCURSO,DATOS!$D11869,nESPEC,DATOS!$E11869,nASIG,DATOS!$I11869,nEVAL,"EX")=0),0))))</f>
      </c>
      <c r="H11869">
        <f>IF(DATOS!$G11869&lt;&gt;"EX",0,--(COUNTIFS(nNIA,DATOS!$A11869,nCURSO,DATOS!$D11869,nESPEC,DATOS!$E11869,nASIG,DATOS!$I11869,nEVAL,"OR")=0))</f>
      </c>
      <c r="I11869">
        <f>IF(DATOS!$I11869="","",IFERROR(VLOOKUP(DATOS!$I11869,CONFIG_ASIGNATURAS!$B$2:$J$91,9,FALSE()),""))</f>
      </c>
    </row>
    <row r="11870">
      <c r="F11870">
        <f>IF(DATOS!$A11870="","",DATOS!$A11870&amp;"|"&amp;DATOS!$D11870&amp;"|"&amp;DATOS!$E11870&amp;"|"&amp;DATOS!$I11870)</f>
      </c>
      <c r="G11870">
        <f>IF(DATOS!$A11870="",0,IF(CONFIG_METADATA!$B$4&lt;&gt;"OR+EX",--(DATOS!$G11870=CONFIG_METADATA!$B$4),IF(DATOS!$G11870="EX",1,IF(DATOS!$G11870="OR",--(COUNTIFS(nNIA,DATOS!$A11870,nCURSO,DATOS!$D11870,nESPEC,DATOS!$E11870,nASIG,DATOS!$I11870,nEVAL,"EX")=0),0))))</f>
      </c>
      <c r="H11870">
        <f>IF(DATOS!$G11870&lt;&gt;"EX",0,--(COUNTIFS(nNIA,DATOS!$A11870,nCURSO,DATOS!$D11870,nESPEC,DATOS!$E11870,nASIG,DATOS!$I11870,nEVAL,"OR")=0))</f>
      </c>
      <c r="I11870">
        <f>IF(DATOS!$I11870="","",IFERROR(VLOOKUP(DATOS!$I11870,CONFIG_ASIGNATURAS!$B$2:$J$91,9,FALSE()),""))</f>
      </c>
    </row>
    <row r="11871">
      <c r="F11871">
        <f>IF(DATOS!$A11871="","",DATOS!$A11871&amp;"|"&amp;DATOS!$D11871&amp;"|"&amp;DATOS!$E11871&amp;"|"&amp;DATOS!$I11871)</f>
      </c>
      <c r="G11871">
        <f>IF(DATOS!$A11871="",0,IF(CONFIG_METADATA!$B$4&lt;&gt;"OR+EX",--(DATOS!$G11871=CONFIG_METADATA!$B$4),IF(DATOS!$G11871="EX",1,IF(DATOS!$G11871="OR",--(COUNTIFS(nNIA,DATOS!$A11871,nCURSO,DATOS!$D11871,nESPEC,DATOS!$E11871,nASIG,DATOS!$I11871,nEVAL,"EX")=0),0))))</f>
      </c>
      <c r="H11871">
        <f>IF(DATOS!$G11871&lt;&gt;"EX",0,--(COUNTIFS(nNIA,DATOS!$A11871,nCURSO,DATOS!$D11871,nESPEC,DATOS!$E11871,nASIG,DATOS!$I11871,nEVAL,"OR")=0))</f>
      </c>
      <c r="I11871">
        <f>IF(DATOS!$I11871="","",IFERROR(VLOOKUP(DATOS!$I11871,CONFIG_ASIGNATURAS!$B$2:$J$91,9,FALSE()),""))</f>
      </c>
    </row>
    <row r="11872">
      <c r="F11872">
        <f>IF(DATOS!$A11872="","",DATOS!$A11872&amp;"|"&amp;DATOS!$D11872&amp;"|"&amp;DATOS!$E11872&amp;"|"&amp;DATOS!$I11872)</f>
      </c>
      <c r="G11872">
        <f>IF(DATOS!$A11872="",0,IF(CONFIG_METADATA!$B$4&lt;&gt;"OR+EX",--(DATOS!$G11872=CONFIG_METADATA!$B$4),IF(DATOS!$G11872="EX",1,IF(DATOS!$G11872="OR",--(COUNTIFS(nNIA,DATOS!$A11872,nCURSO,DATOS!$D11872,nESPEC,DATOS!$E11872,nASIG,DATOS!$I11872,nEVAL,"EX")=0),0))))</f>
      </c>
      <c r="H11872">
        <f>IF(DATOS!$G11872&lt;&gt;"EX",0,--(COUNTIFS(nNIA,DATOS!$A11872,nCURSO,DATOS!$D11872,nESPEC,DATOS!$E11872,nASIG,DATOS!$I11872,nEVAL,"OR")=0))</f>
      </c>
      <c r="I11872">
        <f>IF(DATOS!$I11872="","",IFERROR(VLOOKUP(DATOS!$I11872,CONFIG_ASIGNATURAS!$B$2:$J$91,9,FALSE()),""))</f>
      </c>
    </row>
    <row r="11873">
      <c r="F11873">
        <f>IF(DATOS!$A11873="","",DATOS!$A11873&amp;"|"&amp;DATOS!$D11873&amp;"|"&amp;DATOS!$E11873&amp;"|"&amp;DATOS!$I11873)</f>
      </c>
      <c r="G11873">
        <f>IF(DATOS!$A11873="",0,IF(CONFIG_METADATA!$B$4&lt;&gt;"OR+EX",--(DATOS!$G11873=CONFIG_METADATA!$B$4),IF(DATOS!$G11873="EX",1,IF(DATOS!$G11873="OR",--(COUNTIFS(nNIA,DATOS!$A11873,nCURSO,DATOS!$D11873,nESPEC,DATOS!$E11873,nASIG,DATOS!$I11873,nEVAL,"EX")=0),0))))</f>
      </c>
      <c r="H11873">
        <f>IF(DATOS!$G11873&lt;&gt;"EX",0,--(COUNTIFS(nNIA,DATOS!$A11873,nCURSO,DATOS!$D11873,nESPEC,DATOS!$E11873,nASIG,DATOS!$I11873,nEVAL,"OR")=0))</f>
      </c>
      <c r="I11873">
        <f>IF(DATOS!$I11873="","",IFERROR(VLOOKUP(DATOS!$I11873,CONFIG_ASIGNATURAS!$B$2:$J$91,9,FALSE()),""))</f>
      </c>
    </row>
    <row r="11874">
      <c r="F11874">
        <f>IF(DATOS!$A11874="","",DATOS!$A11874&amp;"|"&amp;DATOS!$D11874&amp;"|"&amp;DATOS!$E11874&amp;"|"&amp;DATOS!$I11874)</f>
      </c>
      <c r="G11874">
        <f>IF(DATOS!$A11874="",0,IF(CONFIG_METADATA!$B$4&lt;&gt;"OR+EX",--(DATOS!$G11874=CONFIG_METADATA!$B$4),IF(DATOS!$G11874="EX",1,IF(DATOS!$G11874="OR",--(COUNTIFS(nNIA,DATOS!$A11874,nCURSO,DATOS!$D11874,nESPEC,DATOS!$E11874,nASIG,DATOS!$I11874,nEVAL,"EX")=0),0))))</f>
      </c>
      <c r="H11874">
        <f>IF(DATOS!$G11874&lt;&gt;"EX",0,--(COUNTIFS(nNIA,DATOS!$A11874,nCURSO,DATOS!$D11874,nESPEC,DATOS!$E11874,nASIG,DATOS!$I11874,nEVAL,"OR")=0))</f>
      </c>
      <c r="I11874">
        <f>IF(DATOS!$I11874="","",IFERROR(VLOOKUP(DATOS!$I11874,CONFIG_ASIGNATURAS!$B$2:$J$91,9,FALSE()),""))</f>
      </c>
    </row>
    <row r="11875">
      <c r="F11875">
        <f>IF(DATOS!$A11875="","",DATOS!$A11875&amp;"|"&amp;DATOS!$D11875&amp;"|"&amp;DATOS!$E11875&amp;"|"&amp;DATOS!$I11875)</f>
      </c>
      <c r="G11875">
        <f>IF(DATOS!$A11875="",0,IF(CONFIG_METADATA!$B$4&lt;&gt;"OR+EX",--(DATOS!$G11875=CONFIG_METADATA!$B$4),IF(DATOS!$G11875="EX",1,IF(DATOS!$G11875="OR",--(COUNTIFS(nNIA,DATOS!$A11875,nCURSO,DATOS!$D11875,nESPEC,DATOS!$E11875,nASIG,DATOS!$I11875,nEVAL,"EX")=0),0))))</f>
      </c>
      <c r="H11875">
        <f>IF(DATOS!$G11875&lt;&gt;"EX",0,--(COUNTIFS(nNIA,DATOS!$A11875,nCURSO,DATOS!$D11875,nESPEC,DATOS!$E11875,nASIG,DATOS!$I11875,nEVAL,"OR")=0))</f>
      </c>
      <c r="I11875">
        <f>IF(DATOS!$I11875="","",IFERROR(VLOOKUP(DATOS!$I11875,CONFIG_ASIGNATURAS!$B$2:$J$91,9,FALSE()),""))</f>
      </c>
    </row>
    <row r="11876">
      <c r="F11876">
        <f>IF(DATOS!$A11876="","",DATOS!$A11876&amp;"|"&amp;DATOS!$D11876&amp;"|"&amp;DATOS!$E11876&amp;"|"&amp;DATOS!$I11876)</f>
      </c>
      <c r="G11876">
        <f>IF(DATOS!$A11876="",0,IF(CONFIG_METADATA!$B$4&lt;&gt;"OR+EX",--(DATOS!$G11876=CONFIG_METADATA!$B$4),IF(DATOS!$G11876="EX",1,IF(DATOS!$G11876="OR",--(COUNTIFS(nNIA,DATOS!$A11876,nCURSO,DATOS!$D11876,nESPEC,DATOS!$E11876,nASIG,DATOS!$I11876,nEVAL,"EX")=0),0))))</f>
      </c>
      <c r="H11876">
        <f>IF(DATOS!$G11876&lt;&gt;"EX",0,--(COUNTIFS(nNIA,DATOS!$A11876,nCURSO,DATOS!$D11876,nESPEC,DATOS!$E11876,nASIG,DATOS!$I11876,nEVAL,"OR")=0))</f>
      </c>
      <c r="I11876">
        <f>IF(DATOS!$I11876="","",IFERROR(VLOOKUP(DATOS!$I11876,CONFIG_ASIGNATURAS!$B$2:$J$91,9,FALSE()),""))</f>
      </c>
    </row>
    <row r="11877">
      <c r="F11877">
        <f>IF(DATOS!$A11877="","",DATOS!$A11877&amp;"|"&amp;DATOS!$D11877&amp;"|"&amp;DATOS!$E11877&amp;"|"&amp;DATOS!$I11877)</f>
      </c>
      <c r="G11877">
        <f>IF(DATOS!$A11877="",0,IF(CONFIG_METADATA!$B$4&lt;&gt;"OR+EX",--(DATOS!$G11877=CONFIG_METADATA!$B$4),IF(DATOS!$G11877="EX",1,IF(DATOS!$G11877="OR",--(COUNTIFS(nNIA,DATOS!$A11877,nCURSO,DATOS!$D11877,nESPEC,DATOS!$E11877,nASIG,DATOS!$I11877,nEVAL,"EX")=0),0))))</f>
      </c>
      <c r="H11877">
        <f>IF(DATOS!$G11877&lt;&gt;"EX",0,--(COUNTIFS(nNIA,DATOS!$A11877,nCURSO,DATOS!$D11877,nESPEC,DATOS!$E11877,nASIG,DATOS!$I11877,nEVAL,"OR")=0))</f>
      </c>
      <c r="I11877">
        <f>IF(DATOS!$I11877="","",IFERROR(VLOOKUP(DATOS!$I11877,CONFIG_ASIGNATURAS!$B$2:$J$91,9,FALSE()),""))</f>
      </c>
    </row>
    <row r="11878">
      <c r="F11878">
        <f>IF(DATOS!$A11878="","",DATOS!$A11878&amp;"|"&amp;DATOS!$D11878&amp;"|"&amp;DATOS!$E11878&amp;"|"&amp;DATOS!$I11878)</f>
      </c>
      <c r="G11878">
        <f>IF(DATOS!$A11878="",0,IF(CONFIG_METADATA!$B$4&lt;&gt;"OR+EX",--(DATOS!$G11878=CONFIG_METADATA!$B$4),IF(DATOS!$G11878="EX",1,IF(DATOS!$G11878="OR",--(COUNTIFS(nNIA,DATOS!$A11878,nCURSO,DATOS!$D11878,nESPEC,DATOS!$E11878,nASIG,DATOS!$I11878,nEVAL,"EX")=0),0))))</f>
      </c>
      <c r="H11878">
        <f>IF(DATOS!$G11878&lt;&gt;"EX",0,--(COUNTIFS(nNIA,DATOS!$A11878,nCURSO,DATOS!$D11878,nESPEC,DATOS!$E11878,nASIG,DATOS!$I11878,nEVAL,"OR")=0))</f>
      </c>
      <c r="I11878">
        <f>IF(DATOS!$I11878="","",IFERROR(VLOOKUP(DATOS!$I11878,CONFIG_ASIGNATURAS!$B$2:$J$91,9,FALSE()),""))</f>
      </c>
    </row>
    <row r="11879">
      <c r="F11879">
        <f>IF(DATOS!$A11879="","",DATOS!$A11879&amp;"|"&amp;DATOS!$D11879&amp;"|"&amp;DATOS!$E11879&amp;"|"&amp;DATOS!$I11879)</f>
      </c>
      <c r="G11879">
        <f>IF(DATOS!$A11879="",0,IF(CONFIG_METADATA!$B$4&lt;&gt;"OR+EX",--(DATOS!$G11879=CONFIG_METADATA!$B$4),IF(DATOS!$G11879="EX",1,IF(DATOS!$G11879="OR",--(COUNTIFS(nNIA,DATOS!$A11879,nCURSO,DATOS!$D11879,nESPEC,DATOS!$E11879,nASIG,DATOS!$I11879,nEVAL,"EX")=0),0))))</f>
      </c>
      <c r="H11879">
        <f>IF(DATOS!$G11879&lt;&gt;"EX",0,--(COUNTIFS(nNIA,DATOS!$A11879,nCURSO,DATOS!$D11879,nESPEC,DATOS!$E11879,nASIG,DATOS!$I11879,nEVAL,"OR")=0))</f>
      </c>
      <c r="I11879">
        <f>IF(DATOS!$I11879="","",IFERROR(VLOOKUP(DATOS!$I11879,CONFIG_ASIGNATURAS!$B$2:$J$91,9,FALSE()),""))</f>
      </c>
    </row>
    <row r="11880">
      <c r="F11880">
        <f>IF(DATOS!$A11880="","",DATOS!$A11880&amp;"|"&amp;DATOS!$D11880&amp;"|"&amp;DATOS!$E11880&amp;"|"&amp;DATOS!$I11880)</f>
      </c>
      <c r="G11880">
        <f>IF(DATOS!$A11880="",0,IF(CONFIG_METADATA!$B$4&lt;&gt;"OR+EX",--(DATOS!$G11880=CONFIG_METADATA!$B$4),IF(DATOS!$G11880="EX",1,IF(DATOS!$G11880="OR",--(COUNTIFS(nNIA,DATOS!$A11880,nCURSO,DATOS!$D11880,nESPEC,DATOS!$E11880,nASIG,DATOS!$I11880,nEVAL,"EX")=0),0))))</f>
      </c>
      <c r="H11880">
        <f>IF(DATOS!$G11880&lt;&gt;"EX",0,--(COUNTIFS(nNIA,DATOS!$A11880,nCURSO,DATOS!$D11880,nESPEC,DATOS!$E11880,nASIG,DATOS!$I11880,nEVAL,"OR")=0))</f>
      </c>
      <c r="I11880">
        <f>IF(DATOS!$I11880="","",IFERROR(VLOOKUP(DATOS!$I11880,CONFIG_ASIGNATURAS!$B$2:$J$91,9,FALSE()),""))</f>
      </c>
    </row>
    <row r="11881">
      <c r="F11881">
        <f>IF(DATOS!$A11881="","",DATOS!$A11881&amp;"|"&amp;DATOS!$D11881&amp;"|"&amp;DATOS!$E11881&amp;"|"&amp;DATOS!$I11881)</f>
      </c>
      <c r="G11881">
        <f>IF(DATOS!$A11881="",0,IF(CONFIG_METADATA!$B$4&lt;&gt;"OR+EX",--(DATOS!$G11881=CONFIG_METADATA!$B$4),IF(DATOS!$G11881="EX",1,IF(DATOS!$G11881="OR",--(COUNTIFS(nNIA,DATOS!$A11881,nCURSO,DATOS!$D11881,nESPEC,DATOS!$E11881,nASIG,DATOS!$I11881,nEVAL,"EX")=0),0))))</f>
      </c>
      <c r="H11881">
        <f>IF(DATOS!$G11881&lt;&gt;"EX",0,--(COUNTIFS(nNIA,DATOS!$A11881,nCURSO,DATOS!$D11881,nESPEC,DATOS!$E11881,nASIG,DATOS!$I11881,nEVAL,"OR")=0))</f>
      </c>
      <c r="I11881">
        <f>IF(DATOS!$I11881="","",IFERROR(VLOOKUP(DATOS!$I11881,CONFIG_ASIGNATURAS!$B$2:$J$91,9,FALSE()),""))</f>
      </c>
    </row>
    <row r="11882">
      <c r="F11882">
        <f>IF(DATOS!$A11882="","",DATOS!$A11882&amp;"|"&amp;DATOS!$D11882&amp;"|"&amp;DATOS!$E11882&amp;"|"&amp;DATOS!$I11882)</f>
      </c>
      <c r="G11882">
        <f>IF(DATOS!$A11882="",0,IF(CONFIG_METADATA!$B$4&lt;&gt;"OR+EX",--(DATOS!$G11882=CONFIG_METADATA!$B$4),IF(DATOS!$G11882="EX",1,IF(DATOS!$G11882="OR",--(COUNTIFS(nNIA,DATOS!$A11882,nCURSO,DATOS!$D11882,nESPEC,DATOS!$E11882,nASIG,DATOS!$I11882,nEVAL,"EX")=0),0))))</f>
      </c>
      <c r="H11882">
        <f>IF(DATOS!$G11882&lt;&gt;"EX",0,--(COUNTIFS(nNIA,DATOS!$A11882,nCURSO,DATOS!$D11882,nESPEC,DATOS!$E11882,nASIG,DATOS!$I11882,nEVAL,"OR")=0))</f>
      </c>
      <c r="I11882">
        <f>IF(DATOS!$I11882="","",IFERROR(VLOOKUP(DATOS!$I11882,CONFIG_ASIGNATURAS!$B$2:$J$91,9,FALSE()),""))</f>
      </c>
    </row>
    <row r="11883">
      <c r="F11883">
        <f>IF(DATOS!$A11883="","",DATOS!$A11883&amp;"|"&amp;DATOS!$D11883&amp;"|"&amp;DATOS!$E11883&amp;"|"&amp;DATOS!$I11883)</f>
      </c>
      <c r="G11883">
        <f>IF(DATOS!$A11883="",0,IF(CONFIG_METADATA!$B$4&lt;&gt;"OR+EX",--(DATOS!$G11883=CONFIG_METADATA!$B$4),IF(DATOS!$G11883="EX",1,IF(DATOS!$G11883="OR",--(COUNTIFS(nNIA,DATOS!$A11883,nCURSO,DATOS!$D11883,nESPEC,DATOS!$E11883,nASIG,DATOS!$I11883,nEVAL,"EX")=0),0))))</f>
      </c>
      <c r="H11883">
        <f>IF(DATOS!$G11883&lt;&gt;"EX",0,--(COUNTIFS(nNIA,DATOS!$A11883,nCURSO,DATOS!$D11883,nESPEC,DATOS!$E11883,nASIG,DATOS!$I11883,nEVAL,"OR")=0))</f>
      </c>
      <c r="I11883">
        <f>IF(DATOS!$I11883="","",IFERROR(VLOOKUP(DATOS!$I11883,CONFIG_ASIGNATURAS!$B$2:$J$91,9,FALSE()),""))</f>
      </c>
    </row>
    <row r="11884">
      <c r="F11884">
        <f>IF(DATOS!$A11884="","",DATOS!$A11884&amp;"|"&amp;DATOS!$D11884&amp;"|"&amp;DATOS!$E11884&amp;"|"&amp;DATOS!$I11884)</f>
      </c>
      <c r="G11884">
        <f>IF(DATOS!$A11884="",0,IF(CONFIG_METADATA!$B$4&lt;&gt;"OR+EX",--(DATOS!$G11884=CONFIG_METADATA!$B$4),IF(DATOS!$G11884="EX",1,IF(DATOS!$G11884="OR",--(COUNTIFS(nNIA,DATOS!$A11884,nCURSO,DATOS!$D11884,nESPEC,DATOS!$E11884,nASIG,DATOS!$I11884,nEVAL,"EX")=0),0))))</f>
      </c>
      <c r="H11884">
        <f>IF(DATOS!$G11884&lt;&gt;"EX",0,--(COUNTIFS(nNIA,DATOS!$A11884,nCURSO,DATOS!$D11884,nESPEC,DATOS!$E11884,nASIG,DATOS!$I11884,nEVAL,"OR")=0))</f>
      </c>
      <c r="I11884">
        <f>IF(DATOS!$I11884="","",IFERROR(VLOOKUP(DATOS!$I11884,CONFIG_ASIGNATURAS!$B$2:$J$91,9,FALSE()),""))</f>
      </c>
    </row>
    <row r="11885">
      <c r="F11885">
        <f>IF(DATOS!$A11885="","",DATOS!$A11885&amp;"|"&amp;DATOS!$D11885&amp;"|"&amp;DATOS!$E11885&amp;"|"&amp;DATOS!$I11885)</f>
      </c>
      <c r="G11885">
        <f>IF(DATOS!$A11885="",0,IF(CONFIG_METADATA!$B$4&lt;&gt;"OR+EX",--(DATOS!$G11885=CONFIG_METADATA!$B$4),IF(DATOS!$G11885="EX",1,IF(DATOS!$G11885="OR",--(COUNTIFS(nNIA,DATOS!$A11885,nCURSO,DATOS!$D11885,nESPEC,DATOS!$E11885,nASIG,DATOS!$I11885,nEVAL,"EX")=0),0))))</f>
      </c>
      <c r="H11885">
        <f>IF(DATOS!$G11885&lt;&gt;"EX",0,--(COUNTIFS(nNIA,DATOS!$A11885,nCURSO,DATOS!$D11885,nESPEC,DATOS!$E11885,nASIG,DATOS!$I11885,nEVAL,"OR")=0))</f>
      </c>
      <c r="I11885">
        <f>IF(DATOS!$I11885="","",IFERROR(VLOOKUP(DATOS!$I11885,CONFIG_ASIGNATURAS!$B$2:$J$91,9,FALSE()),""))</f>
      </c>
    </row>
    <row r="11886">
      <c r="F11886">
        <f>IF(DATOS!$A11886="","",DATOS!$A11886&amp;"|"&amp;DATOS!$D11886&amp;"|"&amp;DATOS!$E11886&amp;"|"&amp;DATOS!$I11886)</f>
      </c>
      <c r="G11886">
        <f>IF(DATOS!$A11886="",0,IF(CONFIG_METADATA!$B$4&lt;&gt;"OR+EX",--(DATOS!$G11886=CONFIG_METADATA!$B$4),IF(DATOS!$G11886="EX",1,IF(DATOS!$G11886="OR",--(COUNTIFS(nNIA,DATOS!$A11886,nCURSO,DATOS!$D11886,nESPEC,DATOS!$E11886,nASIG,DATOS!$I11886,nEVAL,"EX")=0),0))))</f>
      </c>
      <c r="H11886">
        <f>IF(DATOS!$G11886&lt;&gt;"EX",0,--(COUNTIFS(nNIA,DATOS!$A11886,nCURSO,DATOS!$D11886,nESPEC,DATOS!$E11886,nASIG,DATOS!$I11886,nEVAL,"OR")=0))</f>
      </c>
      <c r="I11886">
        <f>IF(DATOS!$I11886="","",IFERROR(VLOOKUP(DATOS!$I11886,CONFIG_ASIGNATURAS!$B$2:$J$91,9,FALSE()),""))</f>
      </c>
    </row>
    <row r="11887">
      <c r="F11887">
        <f>IF(DATOS!$A11887="","",DATOS!$A11887&amp;"|"&amp;DATOS!$D11887&amp;"|"&amp;DATOS!$E11887&amp;"|"&amp;DATOS!$I11887)</f>
      </c>
      <c r="G11887">
        <f>IF(DATOS!$A11887="",0,IF(CONFIG_METADATA!$B$4&lt;&gt;"OR+EX",--(DATOS!$G11887=CONFIG_METADATA!$B$4),IF(DATOS!$G11887="EX",1,IF(DATOS!$G11887="OR",--(COUNTIFS(nNIA,DATOS!$A11887,nCURSO,DATOS!$D11887,nESPEC,DATOS!$E11887,nASIG,DATOS!$I11887,nEVAL,"EX")=0),0))))</f>
      </c>
      <c r="H11887">
        <f>IF(DATOS!$G11887&lt;&gt;"EX",0,--(COUNTIFS(nNIA,DATOS!$A11887,nCURSO,DATOS!$D11887,nESPEC,DATOS!$E11887,nASIG,DATOS!$I11887,nEVAL,"OR")=0))</f>
      </c>
      <c r="I11887">
        <f>IF(DATOS!$I11887="","",IFERROR(VLOOKUP(DATOS!$I11887,CONFIG_ASIGNATURAS!$B$2:$J$91,9,FALSE()),""))</f>
      </c>
    </row>
    <row r="11888">
      <c r="F11888">
        <f>IF(DATOS!$A11888="","",DATOS!$A11888&amp;"|"&amp;DATOS!$D11888&amp;"|"&amp;DATOS!$E11888&amp;"|"&amp;DATOS!$I11888)</f>
      </c>
      <c r="G11888">
        <f>IF(DATOS!$A11888="",0,IF(CONFIG_METADATA!$B$4&lt;&gt;"OR+EX",--(DATOS!$G11888=CONFIG_METADATA!$B$4),IF(DATOS!$G11888="EX",1,IF(DATOS!$G11888="OR",--(COUNTIFS(nNIA,DATOS!$A11888,nCURSO,DATOS!$D11888,nESPEC,DATOS!$E11888,nASIG,DATOS!$I11888,nEVAL,"EX")=0),0))))</f>
      </c>
      <c r="H11888">
        <f>IF(DATOS!$G11888&lt;&gt;"EX",0,--(COUNTIFS(nNIA,DATOS!$A11888,nCURSO,DATOS!$D11888,nESPEC,DATOS!$E11888,nASIG,DATOS!$I11888,nEVAL,"OR")=0))</f>
      </c>
      <c r="I11888">
        <f>IF(DATOS!$I11888="","",IFERROR(VLOOKUP(DATOS!$I11888,CONFIG_ASIGNATURAS!$B$2:$J$91,9,FALSE()),""))</f>
      </c>
    </row>
    <row r="11889">
      <c r="F11889">
        <f>IF(DATOS!$A11889="","",DATOS!$A11889&amp;"|"&amp;DATOS!$D11889&amp;"|"&amp;DATOS!$E11889&amp;"|"&amp;DATOS!$I11889)</f>
      </c>
      <c r="G11889">
        <f>IF(DATOS!$A11889="",0,IF(CONFIG_METADATA!$B$4&lt;&gt;"OR+EX",--(DATOS!$G11889=CONFIG_METADATA!$B$4),IF(DATOS!$G11889="EX",1,IF(DATOS!$G11889="OR",--(COUNTIFS(nNIA,DATOS!$A11889,nCURSO,DATOS!$D11889,nESPEC,DATOS!$E11889,nASIG,DATOS!$I11889,nEVAL,"EX")=0),0))))</f>
      </c>
      <c r="H11889">
        <f>IF(DATOS!$G11889&lt;&gt;"EX",0,--(COUNTIFS(nNIA,DATOS!$A11889,nCURSO,DATOS!$D11889,nESPEC,DATOS!$E11889,nASIG,DATOS!$I11889,nEVAL,"OR")=0))</f>
      </c>
      <c r="I11889">
        <f>IF(DATOS!$I11889="","",IFERROR(VLOOKUP(DATOS!$I11889,CONFIG_ASIGNATURAS!$B$2:$J$91,9,FALSE()),""))</f>
      </c>
    </row>
    <row r="11890">
      <c r="F11890">
        <f>IF(DATOS!$A11890="","",DATOS!$A11890&amp;"|"&amp;DATOS!$D11890&amp;"|"&amp;DATOS!$E11890&amp;"|"&amp;DATOS!$I11890)</f>
      </c>
      <c r="G11890">
        <f>IF(DATOS!$A11890="",0,IF(CONFIG_METADATA!$B$4&lt;&gt;"OR+EX",--(DATOS!$G11890=CONFIG_METADATA!$B$4),IF(DATOS!$G11890="EX",1,IF(DATOS!$G11890="OR",--(COUNTIFS(nNIA,DATOS!$A11890,nCURSO,DATOS!$D11890,nESPEC,DATOS!$E11890,nASIG,DATOS!$I11890,nEVAL,"EX")=0),0))))</f>
      </c>
      <c r="H11890">
        <f>IF(DATOS!$G11890&lt;&gt;"EX",0,--(COUNTIFS(nNIA,DATOS!$A11890,nCURSO,DATOS!$D11890,nESPEC,DATOS!$E11890,nASIG,DATOS!$I11890,nEVAL,"OR")=0))</f>
      </c>
      <c r="I11890">
        <f>IF(DATOS!$I11890="","",IFERROR(VLOOKUP(DATOS!$I11890,CONFIG_ASIGNATURAS!$B$2:$J$91,9,FALSE()),""))</f>
      </c>
    </row>
    <row r="11891">
      <c r="F11891">
        <f>IF(DATOS!$A11891="","",DATOS!$A11891&amp;"|"&amp;DATOS!$D11891&amp;"|"&amp;DATOS!$E11891&amp;"|"&amp;DATOS!$I11891)</f>
      </c>
      <c r="G11891">
        <f>IF(DATOS!$A11891="",0,IF(CONFIG_METADATA!$B$4&lt;&gt;"OR+EX",--(DATOS!$G11891=CONFIG_METADATA!$B$4),IF(DATOS!$G11891="EX",1,IF(DATOS!$G11891="OR",--(COUNTIFS(nNIA,DATOS!$A11891,nCURSO,DATOS!$D11891,nESPEC,DATOS!$E11891,nASIG,DATOS!$I11891,nEVAL,"EX")=0),0))))</f>
      </c>
      <c r="H11891">
        <f>IF(DATOS!$G11891&lt;&gt;"EX",0,--(COUNTIFS(nNIA,DATOS!$A11891,nCURSO,DATOS!$D11891,nESPEC,DATOS!$E11891,nASIG,DATOS!$I11891,nEVAL,"OR")=0))</f>
      </c>
      <c r="I11891">
        <f>IF(DATOS!$I11891="","",IFERROR(VLOOKUP(DATOS!$I11891,CONFIG_ASIGNATURAS!$B$2:$J$91,9,FALSE()),""))</f>
      </c>
    </row>
    <row r="11892">
      <c r="F11892">
        <f>IF(DATOS!$A11892="","",DATOS!$A11892&amp;"|"&amp;DATOS!$D11892&amp;"|"&amp;DATOS!$E11892&amp;"|"&amp;DATOS!$I11892)</f>
      </c>
      <c r="G11892">
        <f>IF(DATOS!$A11892="",0,IF(CONFIG_METADATA!$B$4&lt;&gt;"OR+EX",--(DATOS!$G11892=CONFIG_METADATA!$B$4),IF(DATOS!$G11892="EX",1,IF(DATOS!$G11892="OR",--(COUNTIFS(nNIA,DATOS!$A11892,nCURSO,DATOS!$D11892,nESPEC,DATOS!$E11892,nASIG,DATOS!$I11892,nEVAL,"EX")=0),0))))</f>
      </c>
      <c r="H11892">
        <f>IF(DATOS!$G11892&lt;&gt;"EX",0,--(COUNTIFS(nNIA,DATOS!$A11892,nCURSO,DATOS!$D11892,nESPEC,DATOS!$E11892,nASIG,DATOS!$I11892,nEVAL,"OR")=0))</f>
      </c>
      <c r="I11892">
        <f>IF(DATOS!$I11892="","",IFERROR(VLOOKUP(DATOS!$I11892,CONFIG_ASIGNATURAS!$B$2:$J$91,9,FALSE()),""))</f>
      </c>
    </row>
    <row r="11893">
      <c r="F11893">
        <f>IF(DATOS!$A11893="","",DATOS!$A11893&amp;"|"&amp;DATOS!$D11893&amp;"|"&amp;DATOS!$E11893&amp;"|"&amp;DATOS!$I11893)</f>
      </c>
      <c r="G11893">
        <f>IF(DATOS!$A11893="",0,IF(CONFIG_METADATA!$B$4&lt;&gt;"OR+EX",--(DATOS!$G11893=CONFIG_METADATA!$B$4),IF(DATOS!$G11893="EX",1,IF(DATOS!$G11893="OR",--(COUNTIFS(nNIA,DATOS!$A11893,nCURSO,DATOS!$D11893,nESPEC,DATOS!$E11893,nASIG,DATOS!$I11893,nEVAL,"EX")=0),0))))</f>
      </c>
      <c r="H11893">
        <f>IF(DATOS!$G11893&lt;&gt;"EX",0,--(COUNTIFS(nNIA,DATOS!$A11893,nCURSO,DATOS!$D11893,nESPEC,DATOS!$E11893,nASIG,DATOS!$I11893,nEVAL,"OR")=0))</f>
      </c>
      <c r="I11893">
        <f>IF(DATOS!$I11893="","",IFERROR(VLOOKUP(DATOS!$I11893,CONFIG_ASIGNATURAS!$B$2:$J$91,9,FALSE()),""))</f>
      </c>
    </row>
    <row r="11894">
      <c r="F11894">
        <f>IF(DATOS!$A11894="","",DATOS!$A11894&amp;"|"&amp;DATOS!$D11894&amp;"|"&amp;DATOS!$E11894&amp;"|"&amp;DATOS!$I11894)</f>
      </c>
      <c r="G11894">
        <f>IF(DATOS!$A11894="",0,IF(CONFIG_METADATA!$B$4&lt;&gt;"OR+EX",--(DATOS!$G11894=CONFIG_METADATA!$B$4),IF(DATOS!$G11894="EX",1,IF(DATOS!$G11894="OR",--(COUNTIFS(nNIA,DATOS!$A11894,nCURSO,DATOS!$D11894,nESPEC,DATOS!$E11894,nASIG,DATOS!$I11894,nEVAL,"EX")=0),0))))</f>
      </c>
      <c r="H11894">
        <f>IF(DATOS!$G11894&lt;&gt;"EX",0,--(COUNTIFS(nNIA,DATOS!$A11894,nCURSO,DATOS!$D11894,nESPEC,DATOS!$E11894,nASIG,DATOS!$I11894,nEVAL,"OR")=0))</f>
      </c>
      <c r="I11894">
        <f>IF(DATOS!$I11894="","",IFERROR(VLOOKUP(DATOS!$I11894,CONFIG_ASIGNATURAS!$B$2:$J$91,9,FALSE()),""))</f>
      </c>
    </row>
    <row r="11895">
      <c r="F11895">
        <f>IF(DATOS!$A11895="","",DATOS!$A11895&amp;"|"&amp;DATOS!$D11895&amp;"|"&amp;DATOS!$E11895&amp;"|"&amp;DATOS!$I11895)</f>
      </c>
      <c r="G11895">
        <f>IF(DATOS!$A11895="",0,IF(CONFIG_METADATA!$B$4&lt;&gt;"OR+EX",--(DATOS!$G11895=CONFIG_METADATA!$B$4),IF(DATOS!$G11895="EX",1,IF(DATOS!$G11895="OR",--(COUNTIFS(nNIA,DATOS!$A11895,nCURSO,DATOS!$D11895,nESPEC,DATOS!$E11895,nASIG,DATOS!$I11895,nEVAL,"EX")=0),0))))</f>
      </c>
      <c r="H11895">
        <f>IF(DATOS!$G11895&lt;&gt;"EX",0,--(COUNTIFS(nNIA,DATOS!$A11895,nCURSO,DATOS!$D11895,nESPEC,DATOS!$E11895,nASIG,DATOS!$I11895,nEVAL,"OR")=0))</f>
      </c>
      <c r="I11895">
        <f>IF(DATOS!$I11895="","",IFERROR(VLOOKUP(DATOS!$I11895,CONFIG_ASIGNATURAS!$B$2:$J$91,9,FALSE()),""))</f>
      </c>
    </row>
    <row r="11896">
      <c r="F11896">
        <f>IF(DATOS!$A11896="","",DATOS!$A11896&amp;"|"&amp;DATOS!$D11896&amp;"|"&amp;DATOS!$E11896&amp;"|"&amp;DATOS!$I11896)</f>
      </c>
      <c r="G11896">
        <f>IF(DATOS!$A11896="",0,IF(CONFIG_METADATA!$B$4&lt;&gt;"OR+EX",--(DATOS!$G11896=CONFIG_METADATA!$B$4),IF(DATOS!$G11896="EX",1,IF(DATOS!$G11896="OR",--(COUNTIFS(nNIA,DATOS!$A11896,nCURSO,DATOS!$D11896,nESPEC,DATOS!$E11896,nASIG,DATOS!$I11896,nEVAL,"EX")=0),0))))</f>
      </c>
      <c r="H11896">
        <f>IF(DATOS!$G11896&lt;&gt;"EX",0,--(COUNTIFS(nNIA,DATOS!$A11896,nCURSO,DATOS!$D11896,nESPEC,DATOS!$E11896,nASIG,DATOS!$I11896,nEVAL,"OR")=0))</f>
      </c>
      <c r="I11896">
        <f>IF(DATOS!$I11896="","",IFERROR(VLOOKUP(DATOS!$I11896,CONFIG_ASIGNATURAS!$B$2:$J$91,9,FALSE()),""))</f>
      </c>
    </row>
    <row r="11897">
      <c r="F11897">
        <f>IF(DATOS!$A11897="","",DATOS!$A11897&amp;"|"&amp;DATOS!$D11897&amp;"|"&amp;DATOS!$E11897&amp;"|"&amp;DATOS!$I11897)</f>
      </c>
      <c r="G11897">
        <f>IF(DATOS!$A11897="",0,IF(CONFIG_METADATA!$B$4&lt;&gt;"OR+EX",--(DATOS!$G11897=CONFIG_METADATA!$B$4),IF(DATOS!$G11897="EX",1,IF(DATOS!$G11897="OR",--(COUNTIFS(nNIA,DATOS!$A11897,nCURSO,DATOS!$D11897,nESPEC,DATOS!$E11897,nASIG,DATOS!$I11897,nEVAL,"EX")=0),0))))</f>
      </c>
      <c r="H11897">
        <f>IF(DATOS!$G11897&lt;&gt;"EX",0,--(COUNTIFS(nNIA,DATOS!$A11897,nCURSO,DATOS!$D11897,nESPEC,DATOS!$E11897,nASIG,DATOS!$I11897,nEVAL,"OR")=0))</f>
      </c>
      <c r="I11897">
        <f>IF(DATOS!$I11897="","",IFERROR(VLOOKUP(DATOS!$I11897,CONFIG_ASIGNATURAS!$B$2:$J$91,9,FALSE()),""))</f>
      </c>
    </row>
    <row r="11898">
      <c r="F11898">
        <f>IF(DATOS!$A11898="","",DATOS!$A11898&amp;"|"&amp;DATOS!$D11898&amp;"|"&amp;DATOS!$E11898&amp;"|"&amp;DATOS!$I11898)</f>
      </c>
      <c r="G11898">
        <f>IF(DATOS!$A11898="",0,IF(CONFIG_METADATA!$B$4&lt;&gt;"OR+EX",--(DATOS!$G11898=CONFIG_METADATA!$B$4),IF(DATOS!$G11898="EX",1,IF(DATOS!$G11898="OR",--(COUNTIFS(nNIA,DATOS!$A11898,nCURSO,DATOS!$D11898,nESPEC,DATOS!$E11898,nASIG,DATOS!$I11898,nEVAL,"EX")=0),0))))</f>
      </c>
      <c r="H11898">
        <f>IF(DATOS!$G11898&lt;&gt;"EX",0,--(COUNTIFS(nNIA,DATOS!$A11898,nCURSO,DATOS!$D11898,nESPEC,DATOS!$E11898,nASIG,DATOS!$I11898,nEVAL,"OR")=0))</f>
      </c>
      <c r="I11898">
        <f>IF(DATOS!$I11898="","",IFERROR(VLOOKUP(DATOS!$I11898,CONFIG_ASIGNATURAS!$B$2:$J$91,9,FALSE()),""))</f>
      </c>
    </row>
    <row r="11899">
      <c r="F11899">
        <f>IF(DATOS!$A11899="","",DATOS!$A11899&amp;"|"&amp;DATOS!$D11899&amp;"|"&amp;DATOS!$E11899&amp;"|"&amp;DATOS!$I11899)</f>
      </c>
      <c r="G11899">
        <f>IF(DATOS!$A11899="",0,IF(CONFIG_METADATA!$B$4&lt;&gt;"OR+EX",--(DATOS!$G11899=CONFIG_METADATA!$B$4),IF(DATOS!$G11899="EX",1,IF(DATOS!$G11899="OR",--(COUNTIFS(nNIA,DATOS!$A11899,nCURSO,DATOS!$D11899,nESPEC,DATOS!$E11899,nASIG,DATOS!$I11899,nEVAL,"EX")=0),0))))</f>
      </c>
      <c r="H11899">
        <f>IF(DATOS!$G11899&lt;&gt;"EX",0,--(COUNTIFS(nNIA,DATOS!$A11899,nCURSO,DATOS!$D11899,nESPEC,DATOS!$E11899,nASIG,DATOS!$I11899,nEVAL,"OR")=0))</f>
      </c>
      <c r="I11899">
        <f>IF(DATOS!$I11899="","",IFERROR(VLOOKUP(DATOS!$I11899,CONFIG_ASIGNATURAS!$B$2:$J$91,9,FALSE()),""))</f>
      </c>
    </row>
    <row r="11900">
      <c r="F11900">
        <f>IF(DATOS!$A11900="","",DATOS!$A11900&amp;"|"&amp;DATOS!$D11900&amp;"|"&amp;DATOS!$E11900&amp;"|"&amp;DATOS!$I11900)</f>
      </c>
      <c r="G11900">
        <f>IF(DATOS!$A11900="",0,IF(CONFIG_METADATA!$B$4&lt;&gt;"OR+EX",--(DATOS!$G11900=CONFIG_METADATA!$B$4),IF(DATOS!$G11900="EX",1,IF(DATOS!$G11900="OR",--(COUNTIFS(nNIA,DATOS!$A11900,nCURSO,DATOS!$D11900,nESPEC,DATOS!$E11900,nASIG,DATOS!$I11900,nEVAL,"EX")=0),0))))</f>
      </c>
      <c r="H11900">
        <f>IF(DATOS!$G11900&lt;&gt;"EX",0,--(COUNTIFS(nNIA,DATOS!$A11900,nCURSO,DATOS!$D11900,nESPEC,DATOS!$E11900,nASIG,DATOS!$I11900,nEVAL,"OR")=0))</f>
      </c>
      <c r="I11900">
        <f>IF(DATOS!$I11900="","",IFERROR(VLOOKUP(DATOS!$I11900,CONFIG_ASIGNATURAS!$B$2:$J$91,9,FALSE()),""))</f>
      </c>
    </row>
    <row r="11901">
      <c r="F11901">
        <f>IF(DATOS!$A11901="","",DATOS!$A11901&amp;"|"&amp;DATOS!$D11901&amp;"|"&amp;DATOS!$E11901&amp;"|"&amp;DATOS!$I11901)</f>
      </c>
      <c r="G11901">
        <f>IF(DATOS!$A11901="",0,IF(CONFIG_METADATA!$B$4&lt;&gt;"OR+EX",--(DATOS!$G11901=CONFIG_METADATA!$B$4),IF(DATOS!$G11901="EX",1,IF(DATOS!$G11901="OR",--(COUNTIFS(nNIA,DATOS!$A11901,nCURSO,DATOS!$D11901,nESPEC,DATOS!$E11901,nASIG,DATOS!$I11901,nEVAL,"EX")=0),0))))</f>
      </c>
      <c r="H11901">
        <f>IF(DATOS!$G11901&lt;&gt;"EX",0,--(COUNTIFS(nNIA,DATOS!$A11901,nCURSO,DATOS!$D11901,nESPEC,DATOS!$E11901,nASIG,DATOS!$I11901,nEVAL,"OR")=0))</f>
      </c>
      <c r="I11901">
        <f>IF(DATOS!$I11901="","",IFERROR(VLOOKUP(DATOS!$I11901,CONFIG_ASIGNATURAS!$B$2:$J$91,9,FALSE()),""))</f>
      </c>
    </row>
    <row r="11902">
      <c r="F11902">
        <f>IF(DATOS!$A11902="","",DATOS!$A11902&amp;"|"&amp;DATOS!$D11902&amp;"|"&amp;DATOS!$E11902&amp;"|"&amp;DATOS!$I11902)</f>
      </c>
      <c r="G11902">
        <f>IF(DATOS!$A11902="",0,IF(CONFIG_METADATA!$B$4&lt;&gt;"OR+EX",--(DATOS!$G11902=CONFIG_METADATA!$B$4),IF(DATOS!$G11902="EX",1,IF(DATOS!$G11902="OR",--(COUNTIFS(nNIA,DATOS!$A11902,nCURSO,DATOS!$D11902,nESPEC,DATOS!$E11902,nASIG,DATOS!$I11902,nEVAL,"EX")=0),0))))</f>
      </c>
      <c r="H11902">
        <f>IF(DATOS!$G11902&lt;&gt;"EX",0,--(COUNTIFS(nNIA,DATOS!$A11902,nCURSO,DATOS!$D11902,nESPEC,DATOS!$E11902,nASIG,DATOS!$I11902,nEVAL,"OR")=0))</f>
      </c>
      <c r="I11902">
        <f>IF(DATOS!$I11902="","",IFERROR(VLOOKUP(DATOS!$I11902,CONFIG_ASIGNATURAS!$B$2:$J$91,9,FALSE()),""))</f>
      </c>
    </row>
    <row r="11903">
      <c r="F11903">
        <f>IF(DATOS!$A11903="","",DATOS!$A11903&amp;"|"&amp;DATOS!$D11903&amp;"|"&amp;DATOS!$E11903&amp;"|"&amp;DATOS!$I11903)</f>
      </c>
      <c r="G11903">
        <f>IF(DATOS!$A11903="",0,IF(CONFIG_METADATA!$B$4&lt;&gt;"OR+EX",--(DATOS!$G11903=CONFIG_METADATA!$B$4),IF(DATOS!$G11903="EX",1,IF(DATOS!$G11903="OR",--(COUNTIFS(nNIA,DATOS!$A11903,nCURSO,DATOS!$D11903,nESPEC,DATOS!$E11903,nASIG,DATOS!$I11903,nEVAL,"EX")=0),0))))</f>
      </c>
      <c r="H11903">
        <f>IF(DATOS!$G11903&lt;&gt;"EX",0,--(COUNTIFS(nNIA,DATOS!$A11903,nCURSO,DATOS!$D11903,nESPEC,DATOS!$E11903,nASIG,DATOS!$I11903,nEVAL,"OR")=0))</f>
      </c>
      <c r="I11903">
        <f>IF(DATOS!$I11903="","",IFERROR(VLOOKUP(DATOS!$I11903,CONFIG_ASIGNATURAS!$B$2:$J$91,9,FALSE()),""))</f>
      </c>
    </row>
    <row r="11904">
      <c r="F11904">
        <f>IF(DATOS!$A11904="","",DATOS!$A11904&amp;"|"&amp;DATOS!$D11904&amp;"|"&amp;DATOS!$E11904&amp;"|"&amp;DATOS!$I11904)</f>
      </c>
      <c r="G11904">
        <f>IF(DATOS!$A11904="",0,IF(CONFIG_METADATA!$B$4&lt;&gt;"OR+EX",--(DATOS!$G11904=CONFIG_METADATA!$B$4),IF(DATOS!$G11904="EX",1,IF(DATOS!$G11904="OR",--(COUNTIFS(nNIA,DATOS!$A11904,nCURSO,DATOS!$D11904,nESPEC,DATOS!$E11904,nASIG,DATOS!$I11904,nEVAL,"EX")=0),0))))</f>
      </c>
      <c r="H11904">
        <f>IF(DATOS!$G11904&lt;&gt;"EX",0,--(COUNTIFS(nNIA,DATOS!$A11904,nCURSO,DATOS!$D11904,nESPEC,DATOS!$E11904,nASIG,DATOS!$I11904,nEVAL,"OR")=0))</f>
      </c>
      <c r="I11904">
        <f>IF(DATOS!$I11904="","",IFERROR(VLOOKUP(DATOS!$I11904,CONFIG_ASIGNATURAS!$B$2:$J$91,9,FALSE()),""))</f>
      </c>
    </row>
    <row r="11905">
      <c r="F11905">
        <f>IF(DATOS!$A11905="","",DATOS!$A11905&amp;"|"&amp;DATOS!$D11905&amp;"|"&amp;DATOS!$E11905&amp;"|"&amp;DATOS!$I11905)</f>
      </c>
      <c r="G11905">
        <f>IF(DATOS!$A11905="",0,IF(CONFIG_METADATA!$B$4&lt;&gt;"OR+EX",--(DATOS!$G11905=CONFIG_METADATA!$B$4),IF(DATOS!$G11905="EX",1,IF(DATOS!$G11905="OR",--(COUNTIFS(nNIA,DATOS!$A11905,nCURSO,DATOS!$D11905,nESPEC,DATOS!$E11905,nASIG,DATOS!$I11905,nEVAL,"EX")=0),0))))</f>
      </c>
      <c r="H11905">
        <f>IF(DATOS!$G11905&lt;&gt;"EX",0,--(COUNTIFS(nNIA,DATOS!$A11905,nCURSO,DATOS!$D11905,nESPEC,DATOS!$E11905,nASIG,DATOS!$I11905,nEVAL,"OR")=0))</f>
      </c>
      <c r="I11905">
        <f>IF(DATOS!$I11905="","",IFERROR(VLOOKUP(DATOS!$I11905,CONFIG_ASIGNATURAS!$B$2:$J$91,9,FALSE()),""))</f>
      </c>
    </row>
    <row r="11906">
      <c r="F11906">
        <f>IF(DATOS!$A11906="","",DATOS!$A11906&amp;"|"&amp;DATOS!$D11906&amp;"|"&amp;DATOS!$E11906&amp;"|"&amp;DATOS!$I11906)</f>
      </c>
      <c r="G11906">
        <f>IF(DATOS!$A11906="",0,IF(CONFIG_METADATA!$B$4&lt;&gt;"OR+EX",--(DATOS!$G11906=CONFIG_METADATA!$B$4),IF(DATOS!$G11906="EX",1,IF(DATOS!$G11906="OR",--(COUNTIFS(nNIA,DATOS!$A11906,nCURSO,DATOS!$D11906,nESPEC,DATOS!$E11906,nASIG,DATOS!$I11906,nEVAL,"EX")=0),0))))</f>
      </c>
      <c r="H11906">
        <f>IF(DATOS!$G11906&lt;&gt;"EX",0,--(COUNTIFS(nNIA,DATOS!$A11906,nCURSO,DATOS!$D11906,nESPEC,DATOS!$E11906,nASIG,DATOS!$I11906,nEVAL,"OR")=0))</f>
      </c>
      <c r="I11906">
        <f>IF(DATOS!$I11906="","",IFERROR(VLOOKUP(DATOS!$I11906,CONFIG_ASIGNATURAS!$B$2:$J$91,9,FALSE()),""))</f>
      </c>
    </row>
    <row r="11907">
      <c r="F11907">
        <f>IF(DATOS!$A11907="","",DATOS!$A11907&amp;"|"&amp;DATOS!$D11907&amp;"|"&amp;DATOS!$E11907&amp;"|"&amp;DATOS!$I11907)</f>
      </c>
      <c r="G11907">
        <f>IF(DATOS!$A11907="",0,IF(CONFIG_METADATA!$B$4&lt;&gt;"OR+EX",--(DATOS!$G11907=CONFIG_METADATA!$B$4),IF(DATOS!$G11907="EX",1,IF(DATOS!$G11907="OR",--(COUNTIFS(nNIA,DATOS!$A11907,nCURSO,DATOS!$D11907,nESPEC,DATOS!$E11907,nASIG,DATOS!$I11907,nEVAL,"EX")=0),0))))</f>
      </c>
      <c r="H11907">
        <f>IF(DATOS!$G11907&lt;&gt;"EX",0,--(COUNTIFS(nNIA,DATOS!$A11907,nCURSO,DATOS!$D11907,nESPEC,DATOS!$E11907,nASIG,DATOS!$I11907,nEVAL,"OR")=0))</f>
      </c>
      <c r="I11907">
        <f>IF(DATOS!$I11907="","",IFERROR(VLOOKUP(DATOS!$I11907,CONFIG_ASIGNATURAS!$B$2:$J$91,9,FALSE()),""))</f>
      </c>
    </row>
    <row r="11908">
      <c r="F11908">
        <f>IF(DATOS!$A11908="","",DATOS!$A11908&amp;"|"&amp;DATOS!$D11908&amp;"|"&amp;DATOS!$E11908&amp;"|"&amp;DATOS!$I11908)</f>
      </c>
      <c r="G11908">
        <f>IF(DATOS!$A11908="",0,IF(CONFIG_METADATA!$B$4&lt;&gt;"OR+EX",--(DATOS!$G11908=CONFIG_METADATA!$B$4),IF(DATOS!$G11908="EX",1,IF(DATOS!$G11908="OR",--(COUNTIFS(nNIA,DATOS!$A11908,nCURSO,DATOS!$D11908,nESPEC,DATOS!$E11908,nASIG,DATOS!$I11908,nEVAL,"EX")=0),0))))</f>
      </c>
      <c r="H11908">
        <f>IF(DATOS!$G11908&lt;&gt;"EX",0,--(COUNTIFS(nNIA,DATOS!$A11908,nCURSO,DATOS!$D11908,nESPEC,DATOS!$E11908,nASIG,DATOS!$I11908,nEVAL,"OR")=0))</f>
      </c>
      <c r="I11908">
        <f>IF(DATOS!$I11908="","",IFERROR(VLOOKUP(DATOS!$I11908,CONFIG_ASIGNATURAS!$B$2:$J$91,9,FALSE()),""))</f>
      </c>
    </row>
    <row r="11909">
      <c r="F11909">
        <f>IF(DATOS!$A11909="","",DATOS!$A11909&amp;"|"&amp;DATOS!$D11909&amp;"|"&amp;DATOS!$E11909&amp;"|"&amp;DATOS!$I11909)</f>
      </c>
      <c r="G11909">
        <f>IF(DATOS!$A11909="",0,IF(CONFIG_METADATA!$B$4&lt;&gt;"OR+EX",--(DATOS!$G11909=CONFIG_METADATA!$B$4),IF(DATOS!$G11909="EX",1,IF(DATOS!$G11909="OR",--(COUNTIFS(nNIA,DATOS!$A11909,nCURSO,DATOS!$D11909,nESPEC,DATOS!$E11909,nASIG,DATOS!$I11909,nEVAL,"EX")=0),0))))</f>
      </c>
      <c r="H11909">
        <f>IF(DATOS!$G11909&lt;&gt;"EX",0,--(COUNTIFS(nNIA,DATOS!$A11909,nCURSO,DATOS!$D11909,nESPEC,DATOS!$E11909,nASIG,DATOS!$I11909,nEVAL,"OR")=0))</f>
      </c>
      <c r="I11909">
        <f>IF(DATOS!$I11909="","",IFERROR(VLOOKUP(DATOS!$I11909,CONFIG_ASIGNATURAS!$B$2:$J$91,9,FALSE()),""))</f>
      </c>
    </row>
    <row r="11910">
      <c r="F11910">
        <f>IF(DATOS!$A11910="","",DATOS!$A11910&amp;"|"&amp;DATOS!$D11910&amp;"|"&amp;DATOS!$E11910&amp;"|"&amp;DATOS!$I11910)</f>
      </c>
      <c r="G11910">
        <f>IF(DATOS!$A11910="",0,IF(CONFIG_METADATA!$B$4&lt;&gt;"OR+EX",--(DATOS!$G11910=CONFIG_METADATA!$B$4),IF(DATOS!$G11910="EX",1,IF(DATOS!$G11910="OR",--(COUNTIFS(nNIA,DATOS!$A11910,nCURSO,DATOS!$D11910,nESPEC,DATOS!$E11910,nASIG,DATOS!$I11910,nEVAL,"EX")=0),0))))</f>
      </c>
      <c r="H11910">
        <f>IF(DATOS!$G11910&lt;&gt;"EX",0,--(COUNTIFS(nNIA,DATOS!$A11910,nCURSO,DATOS!$D11910,nESPEC,DATOS!$E11910,nASIG,DATOS!$I11910,nEVAL,"OR")=0))</f>
      </c>
      <c r="I11910">
        <f>IF(DATOS!$I11910="","",IFERROR(VLOOKUP(DATOS!$I11910,CONFIG_ASIGNATURAS!$B$2:$J$91,9,FALSE()),""))</f>
      </c>
    </row>
    <row r="11911">
      <c r="F11911">
        <f>IF(DATOS!$A11911="","",DATOS!$A11911&amp;"|"&amp;DATOS!$D11911&amp;"|"&amp;DATOS!$E11911&amp;"|"&amp;DATOS!$I11911)</f>
      </c>
      <c r="G11911">
        <f>IF(DATOS!$A11911="",0,IF(CONFIG_METADATA!$B$4&lt;&gt;"OR+EX",--(DATOS!$G11911=CONFIG_METADATA!$B$4),IF(DATOS!$G11911="EX",1,IF(DATOS!$G11911="OR",--(COUNTIFS(nNIA,DATOS!$A11911,nCURSO,DATOS!$D11911,nESPEC,DATOS!$E11911,nASIG,DATOS!$I11911,nEVAL,"EX")=0),0))))</f>
      </c>
      <c r="H11911">
        <f>IF(DATOS!$G11911&lt;&gt;"EX",0,--(COUNTIFS(nNIA,DATOS!$A11911,nCURSO,DATOS!$D11911,nESPEC,DATOS!$E11911,nASIG,DATOS!$I11911,nEVAL,"OR")=0))</f>
      </c>
      <c r="I11911">
        <f>IF(DATOS!$I11911="","",IFERROR(VLOOKUP(DATOS!$I11911,CONFIG_ASIGNATURAS!$B$2:$J$91,9,FALSE()),""))</f>
      </c>
    </row>
    <row r="11912">
      <c r="F11912">
        <f>IF(DATOS!$A11912="","",DATOS!$A11912&amp;"|"&amp;DATOS!$D11912&amp;"|"&amp;DATOS!$E11912&amp;"|"&amp;DATOS!$I11912)</f>
      </c>
      <c r="G11912">
        <f>IF(DATOS!$A11912="",0,IF(CONFIG_METADATA!$B$4&lt;&gt;"OR+EX",--(DATOS!$G11912=CONFIG_METADATA!$B$4),IF(DATOS!$G11912="EX",1,IF(DATOS!$G11912="OR",--(COUNTIFS(nNIA,DATOS!$A11912,nCURSO,DATOS!$D11912,nESPEC,DATOS!$E11912,nASIG,DATOS!$I11912,nEVAL,"EX")=0),0))))</f>
      </c>
      <c r="H11912">
        <f>IF(DATOS!$G11912&lt;&gt;"EX",0,--(COUNTIFS(nNIA,DATOS!$A11912,nCURSO,DATOS!$D11912,nESPEC,DATOS!$E11912,nASIG,DATOS!$I11912,nEVAL,"OR")=0))</f>
      </c>
      <c r="I11912">
        <f>IF(DATOS!$I11912="","",IFERROR(VLOOKUP(DATOS!$I11912,CONFIG_ASIGNATURAS!$B$2:$J$91,9,FALSE()),""))</f>
      </c>
    </row>
    <row r="11913">
      <c r="F11913">
        <f>IF(DATOS!$A11913="","",DATOS!$A11913&amp;"|"&amp;DATOS!$D11913&amp;"|"&amp;DATOS!$E11913&amp;"|"&amp;DATOS!$I11913)</f>
      </c>
      <c r="G11913">
        <f>IF(DATOS!$A11913="",0,IF(CONFIG_METADATA!$B$4&lt;&gt;"OR+EX",--(DATOS!$G11913=CONFIG_METADATA!$B$4),IF(DATOS!$G11913="EX",1,IF(DATOS!$G11913="OR",--(COUNTIFS(nNIA,DATOS!$A11913,nCURSO,DATOS!$D11913,nESPEC,DATOS!$E11913,nASIG,DATOS!$I11913,nEVAL,"EX")=0),0))))</f>
      </c>
      <c r="H11913">
        <f>IF(DATOS!$G11913&lt;&gt;"EX",0,--(COUNTIFS(nNIA,DATOS!$A11913,nCURSO,DATOS!$D11913,nESPEC,DATOS!$E11913,nASIG,DATOS!$I11913,nEVAL,"OR")=0))</f>
      </c>
      <c r="I11913">
        <f>IF(DATOS!$I11913="","",IFERROR(VLOOKUP(DATOS!$I11913,CONFIG_ASIGNATURAS!$B$2:$J$91,9,FALSE()),""))</f>
      </c>
    </row>
    <row r="11914">
      <c r="F11914">
        <f>IF(DATOS!$A11914="","",DATOS!$A11914&amp;"|"&amp;DATOS!$D11914&amp;"|"&amp;DATOS!$E11914&amp;"|"&amp;DATOS!$I11914)</f>
      </c>
      <c r="G11914">
        <f>IF(DATOS!$A11914="",0,IF(CONFIG_METADATA!$B$4&lt;&gt;"OR+EX",--(DATOS!$G11914=CONFIG_METADATA!$B$4),IF(DATOS!$G11914="EX",1,IF(DATOS!$G11914="OR",--(COUNTIFS(nNIA,DATOS!$A11914,nCURSO,DATOS!$D11914,nESPEC,DATOS!$E11914,nASIG,DATOS!$I11914,nEVAL,"EX")=0),0))))</f>
      </c>
      <c r="H11914">
        <f>IF(DATOS!$G11914&lt;&gt;"EX",0,--(COUNTIFS(nNIA,DATOS!$A11914,nCURSO,DATOS!$D11914,nESPEC,DATOS!$E11914,nASIG,DATOS!$I11914,nEVAL,"OR")=0))</f>
      </c>
      <c r="I11914">
        <f>IF(DATOS!$I11914="","",IFERROR(VLOOKUP(DATOS!$I11914,CONFIG_ASIGNATURAS!$B$2:$J$91,9,FALSE()),""))</f>
      </c>
    </row>
    <row r="11915">
      <c r="F11915">
        <f>IF(DATOS!$A11915="","",DATOS!$A11915&amp;"|"&amp;DATOS!$D11915&amp;"|"&amp;DATOS!$E11915&amp;"|"&amp;DATOS!$I11915)</f>
      </c>
      <c r="G11915">
        <f>IF(DATOS!$A11915="",0,IF(CONFIG_METADATA!$B$4&lt;&gt;"OR+EX",--(DATOS!$G11915=CONFIG_METADATA!$B$4),IF(DATOS!$G11915="EX",1,IF(DATOS!$G11915="OR",--(COUNTIFS(nNIA,DATOS!$A11915,nCURSO,DATOS!$D11915,nESPEC,DATOS!$E11915,nASIG,DATOS!$I11915,nEVAL,"EX")=0),0))))</f>
      </c>
      <c r="H11915">
        <f>IF(DATOS!$G11915&lt;&gt;"EX",0,--(COUNTIFS(nNIA,DATOS!$A11915,nCURSO,DATOS!$D11915,nESPEC,DATOS!$E11915,nASIG,DATOS!$I11915,nEVAL,"OR")=0))</f>
      </c>
      <c r="I11915">
        <f>IF(DATOS!$I11915="","",IFERROR(VLOOKUP(DATOS!$I11915,CONFIG_ASIGNATURAS!$B$2:$J$91,9,FALSE()),""))</f>
      </c>
    </row>
    <row r="11916">
      <c r="F11916">
        <f>IF(DATOS!$A11916="","",DATOS!$A11916&amp;"|"&amp;DATOS!$D11916&amp;"|"&amp;DATOS!$E11916&amp;"|"&amp;DATOS!$I11916)</f>
      </c>
      <c r="G11916">
        <f>IF(DATOS!$A11916="",0,IF(CONFIG_METADATA!$B$4&lt;&gt;"OR+EX",--(DATOS!$G11916=CONFIG_METADATA!$B$4),IF(DATOS!$G11916="EX",1,IF(DATOS!$G11916="OR",--(COUNTIFS(nNIA,DATOS!$A11916,nCURSO,DATOS!$D11916,nESPEC,DATOS!$E11916,nASIG,DATOS!$I11916,nEVAL,"EX")=0),0))))</f>
      </c>
      <c r="H11916">
        <f>IF(DATOS!$G11916&lt;&gt;"EX",0,--(COUNTIFS(nNIA,DATOS!$A11916,nCURSO,DATOS!$D11916,nESPEC,DATOS!$E11916,nASIG,DATOS!$I11916,nEVAL,"OR")=0))</f>
      </c>
      <c r="I11916">
        <f>IF(DATOS!$I11916="","",IFERROR(VLOOKUP(DATOS!$I11916,CONFIG_ASIGNATURAS!$B$2:$J$91,9,FALSE()),""))</f>
      </c>
    </row>
    <row r="11917">
      <c r="F11917">
        <f>IF(DATOS!$A11917="","",DATOS!$A11917&amp;"|"&amp;DATOS!$D11917&amp;"|"&amp;DATOS!$E11917&amp;"|"&amp;DATOS!$I11917)</f>
      </c>
      <c r="G11917">
        <f>IF(DATOS!$A11917="",0,IF(CONFIG_METADATA!$B$4&lt;&gt;"OR+EX",--(DATOS!$G11917=CONFIG_METADATA!$B$4),IF(DATOS!$G11917="EX",1,IF(DATOS!$G11917="OR",--(COUNTIFS(nNIA,DATOS!$A11917,nCURSO,DATOS!$D11917,nESPEC,DATOS!$E11917,nASIG,DATOS!$I11917,nEVAL,"EX")=0),0))))</f>
      </c>
      <c r="H11917">
        <f>IF(DATOS!$G11917&lt;&gt;"EX",0,--(COUNTIFS(nNIA,DATOS!$A11917,nCURSO,DATOS!$D11917,nESPEC,DATOS!$E11917,nASIG,DATOS!$I11917,nEVAL,"OR")=0))</f>
      </c>
      <c r="I11917">
        <f>IF(DATOS!$I11917="","",IFERROR(VLOOKUP(DATOS!$I11917,CONFIG_ASIGNATURAS!$B$2:$J$91,9,FALSE()),""))</f>
      </c>
    </row>
    <row r="11918">
      <c r="F11918">
        <f>IF(DATOS!$A11918="","",DATOS!$A11918&amp;"|"&amp;DATOS!$D11918&amp;"|"&amp;DATOS!$E11918&amp;"|"&amp;DATOS!$I11918)</f>
      </c>
      <c r="G11918">
        <f>IF(DATOS!$A11918="",0,IF(CONFIG_METADATA!$B$4&lt;&gt;"OR+EX",--(DATOS!$G11918=CONFIG_METADATA!$B$4),IF(DATOS!$G11918="EX",1,IF(DATOS!$G11918="OR",--(COUNTIFS(nNIA,DATOS!$A11918,nCURSO,DATOS!$D11918,nESPEC,DATOS!$E11918,nASIG,DATOS!$I11918,nEVAL,"EX")=0),0))))</f>
      </c>
      <c r="H11918">
        <f>IF(DATOS!$G11918&lt;&gt;"EX",0,--(COUNTIFS(nNIA,DATOS!$A11918,nCURSO,DATOS!$D11918,nESPEC,DATOS!$E11918,nASIG,DATOS!$I11918,nEVAL,"OR")=0))</f>
      </c>
      <c r="I11918">
        <f>IF(DATOS!$I11918="","",IFERROR(VLOOKUP(DATOS!$I11918,CONFIG_ASIGNATURAS!$B$2:$J$91,9,FALSE()),""))</f>
      </c>
    </row>
    <row r="11919">
      <c r="F11919">
        <f>IF(DATOS!$A11919="","",DATOS!$A11919&amp;"|"&amp;DATOS!$D11919&amp;"|"&amp;DATOS!$E11919&amp;"|"&amp;DATOS!$I11919)</f>
      </c>
      <c r="G11919">
        <f>IF(DATOS!$A11919="",0,IF(CONFIG_METADATA!$B$4&lt;&gt;"OR+EX",--(DATOS!$G11919=CONFIG_METADATA!$B$4),IF(DATOS!$G11919="EX",1,IF(DATOS!$G11919="OR",--(COUNTIFS(nNIA,DATOS!$A11919,nCURSO,DATOS!$D11919,nESPEC,DATOS!$E11919,nASIG,DATOS!$I11919,nEVAL,"EX")=0),0))))</f>
      </c>
      <c r="H11919">
        <f>IF(DATOS!$G11919&lt;&gt;"EX",0,--(COUNTIFS(nNIA,DATOS!$A11919,nCURSO,DATOS!$D11919,nESPEC,DATOS!$E11919,nASIG,DATOS!$I11919,nEVAL,"OR")=0))</f>
      </c>
      <c r="I11919">
        <f>IF(DATOS!$I11919="","",IFERROR(VLOOKUP(DATOS!$I11919,CONFIG_ASIGNATURAS!$B$2:$J$91,9,FALSE()),""))</f>
      </c>
    </row>
    <row r="11920">
      <c r="F11920">
        <f>IF(DATOS!$A11920="","",DATOS!$A11920&amp;"|"&amp;DATOS!$D11920&amp;"|"&amp;DATOS!$E11920&amp;"|"&amp;DATOS!$I11920)</f>
      </c>
      <c r="G11920">
        <f>IF(DATOS!$A11920="",0,IF(CONFIG_METADATA!$B$4&lt;&gt;"OR+EX",--(DATOS!$G11920=CONFIG_METADATA!$B$4),IF(DATOS!$G11920="EX",1,IF(DATOS!$G11920="OR",--(COUNTIFS(nNIA,DATOS!$A11920,nCURSO,DATOS!$D11920,nESPEC,DATOS!$E11920,nASIG,DATOS!$I11920,nEVAL,"EX")=0),0))))</f>
      </c>
      <c r="H11920">
        <f>IF(DATOS!$G11920&lt;&gt;"EX",0,--(COUNTIFS(nNIA,DATOS!$A11920,nCURSO,DATOS!$D11920,nESPEC,DATOS!$E11920,nASIG,DATOS!$I11920,nEVAL,"OR")=0))</f>
      </c>
      <c r="I11920">
        <f>IF(DATOS!$I11920="","",IFERROR(VLOOKUP(DATOS!$I11920,CONFIG_ASIGNATURAS!$B$2:$J$91,9,FALSE()),""))</f>
      </c>
    </row>
    <row r="11921">
      <c r="F11921">
        <f>IF(DATOS!$A11921="","",DATOS!$A11921&amp;"|"&amp;DATOS!$D11921&amp;"|"&amp;DATOS!$E11921&amp;"|"&amp;DATOS!$I11921)</f>
      </c>
      <c r="G11921">
        <f>IF(DATOS!$A11921="",0,IF(CONFIG_METADATA!$B$4&lt;&gt;"OR+EX",--(DATOS!$G11921=CONFIG_METADATA!$B$4),IF(DATOS!$G11921="EX",1,IF(DATOS!$G11921="OR",--(COUNTIFS(nNIA,DATOS!$A11921,nCURSO,DATOS!$D11921,nESPEC,DATOS!$E11921,nASIG,DATOS!$I11921,nEVAL,"EX")=0),0))))</f>
      </c>
      <c r="H11921">
        <f>IF(DATOS!$G11921&lt;&gt;"EX",0,--(COUNTIFS(nNIA,DATOS!$A11921,nCURSO,DATOS!$D11921,nESPEC,DATOS!$E11921,nASIG,DATOS!$I11921,nEVAL,"OR")=0))</f>
      </c>
      <c r="I11921">
        <f>IF(DATOS!$I11921="","",IFERROR(VLOOKUP(DATOS!$I11921,CONFIG_ASIGNATURAS!$B$2:$J$91,9,FALSE()),""))</f>
      </c>
    </row>
    <row r="11922">
      <c r="F11922">
        <f>IF(DATOS!$A11922="","",DATOS!$A11922&amp;"|"&amp;DATOS!$D11922&amp;"|"&amp;DATOS!$E11922&amp;"|"&amp;DATOS!$I11922)</f>
      </c>
      <c r="G11922">
        <f>IF(DATOS!$A11922="",0,IF(CONFIG_METADATA!$B$4&lt;&gt;"OR+EX",--(DATOS!$G11922=CONFIG_METADATA!$B$4),IF(DATOS!$G11922="EX",1,IF(DATOS!$G11922="OR",--(COUNTIFS(nNIA,DATOS!$A11922,nCURSO,DATOS!$D11922,nESPEC,DATOS!$E11922,nASIG,DATOS!$I11922,nEVAL,"EX")=0),0))))</f>
      </c>
      <c r="H11922">
        <f>IF(DATOS!$G11922&lt;&gt;"EX",0,--(COUNTIFS(nNIA,DATOS!$A11922,nCURSO,DATOS!$D11922,nESPEC,DATOS!$E11922,nASIG,DATOS!$I11922,nEVAL,"OR")=0))</f>
      </c>
      <c r="I11922">
        <f>IF(DATOS!$I11922="","",IFERROR(VLOOKUP(DATOS!$I11922,CONFIG_ASIGNATURAS!$B$2:$J$91,9,FALSE()),""))</f>
      </c>
    </row>
    <row r="11923">
      <c r="F11923">
        <f>IF(DATOS!$A11923="","",DATOS!$A11923&amp;"|"&amp;DATOS!$D11923&amp;"|"&amp;DATOS!$E11923&amp;"|"&amp;DATOS!$I11923)</f>
      </c>
      <c r="G11923">
        <f>IF(DATOS!$A11923="",0,IF(CONFIG_METADATA!$B$4&lt;&gt;"OR+EX",--(DATOS!$G11923=CONFIG_METADATA!$B$4),IF(DATOS!$G11923="EX",1,IF(DATOS!$G11923="OR",--(COUNTIFS(nNIA,DATOS!$A11923,nCURSO,DATOS!$D11923,nESPEC,DATOS!$E11923,nASIG,DATOS!$I11923,nEVAL,"EX")=0),0))))</f>
      </c>
      <c r="H11923">
        <f>IF(DATOS!$G11923&lt;&gt;"EX",0,--(COUNTIFS(nNIA,DATOS!$A11923,nCURSO,DATOS!$D11923,nESPEC,DATOS!$E11923,nASIG,DATOS!$I11923,nEVAL,"OR")=0))</f>
      </c>
      <c r="I11923">
        <f>IF(DATOS!$I11923="","",IFERROR(VLOOKUP(DATOS!$I11923,CONFIG_ASIGNATURAS!$B$2:$J$91,9,FALSE()),""))</f>
      </c>
    </row>
    <row r="11924">
      <c r="F11924">
        <f>IF(DATOS!$A11924="","",DATOS!$A11924&amp;"|"&amp;DATOS!$D11924&amp;"|"&amp;DATOS!$E11924&amp;"|"&amp;DATOS!$I11924)</f>
      </c>
      <c r="G11924">
        <f>IF(DATOS!$A11924="",0,IF(CONFIG_METADATA!$B$4&lt;&gt;"OR+EX",--(DATOS!$G11924=CONFIG_METADATA!$B$4),IF(DATOS!$G11924="EX",1,IF(DATOS!$G11924="OR",--(COUNTIFS(nNIA,DATOS!$A11924,nCURSO,DATOS!$D11924,nESPEC,DATOS!$E11924,nASIG,DATOS!$I11924,nEVAL,"EX")=0),0))))</f>
      </c>
      <c r="H11924">
        <f>IF(DATOS!$G11924&lt;&gt;"EX",0,--(COUNTIFS(nNIA,DATOS!$A11924,nCURSO,DATOS!$D11924,nESPEC,DATOS!$E11924,nASIG,DATOS!$I11924,nEVAL,"OR")=0))</f>
      </c>
      <c r="I11924">
        <f>IF(DATOS!$I11924="","",IFERROR(VLOOKUP(DATOS!$I11924,CONFIG_ASIGNATURAS!$B$2:$J$91,9,FALSE()),""))</f>
      </c>
    </row>
    <row r="11925">
      <c r="F11925">
        <f>IF(DATOS!$A11925="","",DATOS!$A11925&amp;"|"&amp;DATOS!$D11925&amp;"|"&amp;DATOS!$E11925&amp;"|"&amp;DATOS!$I11925)</f>
      </c>
      <c r="G11925">
        <f>IF(DATOS!$A11925="",0,IF(CONFIG_METADATA!$B$4&lt;&gt;"OR+EX",--(DATOS!$G11925=CONFIG_METADATA!$B$4),IF(DATOS!$G11925="EX",1,IF(DATOS!$G11925="OR",--(COUNTIFS(nNIA,DATOS!$A11925,nCURSO,DATOS!$D11925,nESPEC,DATOS!$E11925,nASIG,DATOS!$I11925,nEVAL,"EX")=0),0))))</f>
      </c>
      <c r="H11925">
        <f>IF(DATOS!$G11925&lt;&gt;"EX",0,--(COUNTIFS(nNIA,DATOS!$A11925,nCURSO,DATOS!$D11925,nESPEC,DATOS!$E11925,nASIG,DATOS!$I11925,nEVAL,"OR")=0))</f>
      </c>
      <c r="I11925">
        <f>IF(DATOS!$I11925="","",IFERROR(VLOOKUP(DATOS!$I11925,CONFIG_ASIGNATURAS!$B$2:$J$91,9,FALSE()),""))</f>
      </c>
    </row>
    <row r="11926">
      <c r="F11926">
        <f>IF(DATOS!$A11926="","",DATOS!$A11926&amp;"|"&amp;DATOS!$D11926&amp;"|"&amp;DATOS!$E11926&amp;"|"&amp;DATOS!$I11926)</f>
      </c>
      <c r="G11926">
        <f>IF(DATOS!$A11926="",0,IF(CONFIG_METADATA!$B$4&lt;&gt;"OR+EX",--(DATOS!$G11926=CONFIG_METADATA!$B$4),IF(DATOS!$G11926="EX",1,IF(DATOS!$G11926="OR",--(COUNTIFS(nNIA,DATOS!$A11926,nCURSO,DATOS!$D11926,nESPEC,DATOS!$E11926,nASIG,DATOS!$I11926,nEVAL,"EX")=0),0))))</f>
      </c>
      <c r="H11926">
        <f>IF(DATOS!$G11926&lt;&gt;"EX",0,--(COUNTIFS(nNIA,DATOS!$A11926,nCURSO,DATOS!$D11926,nESPEC,DATOS!$E11926,nASIG,DATOS!$I11926,nEVAL,"OR")=0))</f>
      </c>
      <c r="I11926">
        <f>IF(DATOS!$I11926="","",IFERROR(VLOOKUP(DATOS!$I11926,CONFIG_ASIGNATURAS!$B$2:$J$91,9,FALSE()),""))</f>
      </c>
    </row>
    <row r="11927">
      <c r="F11927">
        <f>IF(DATOS!$A11927="","",DATOS!$A11927&amp;"|"&amp;DATOS!$D11927&amp;"|"&amp;DATOS!$E11927&amp;"|"&amp;DATOS!$I11927)</f>
      </c>
      <c r="G11927">
        <f>IF(DATOS!$A11927="",0,IF(CONFIG_METADATA!$B$4&lt;&gt;"OR+EX",--(DATOS!$G11927=CONFIG_METADATA!$B$4),IF(DATOS!$G11927="EX",1,IF(DATOS!$G11927="OR",--(COUNTIFS(nNIA,DATOS!$A11927,nCURSO,DATOS!$D11927,nESPEC,DATOS!$E11927,nASIG,DATOS!$I11927,nEVAL,"EX")=0),0))))</f>
      </c>
      <c r="H11927">
        <f>IF(DATOS!$G11927&lt;&gt;"EX",0,--(COUNTIFS(nNIA,DATOS!$A11927,nCURSO,DATOS!$D11927,nESPEC,DATOS!$E11927,nASIG,DATOS!$I11927,nEVAL,"OR")=0))</f>
      </c>
      <c r="I11927">
        <f>IF(DATOS!$I11927="","",IFERROR(VLOOKUP(DATOS!$I11927,CONFIG_ASIGNATURAS!$B$2:$J$91,9,FALSE()),""))</f>
      </c>
    </row>
    <row r="11928">
      <c r="F11928">
        <f>IF(DATOS!$A11928="","",DATOS!$A11928&amp;"|"&amp;DATOS!$D11928&amp;"|"&amp;DATOS!$E11928&amp;"|"&amp;DATOS!$I11928)</f>
      </c>
      <c r="G11928">
        <f>IF(DATOS!$A11928="",0,IF(CONFIG_METADATA!$B$4&lt;&gt;"OR+EX",--(DATOS!$G11928=CONFIG_METADATA!$B$4),IF(DATOS!$G11928="EX",1,IF(DATOS!$G11928="OR",--(COUNTIFS(nNIA,DATOS!$A11928,nCURSO,DATOS!$D11928,nESPEC,DATOS!$E11928,nASIG,DATOS!$I11928,nEVAL,"EX")=0),0))))</f>
      </c>
      <c r="H11928">
        <f>IF(DATOS!$G11928&lt;&gt;"EX",0,--(COUNTIFS(nNIA,DATOS!$A11928,nCURSO,DATOS!$D11928,nESPEC,DATOS!$E11928,nASIG,DATOS!$I11928,nEVAL,"OR")=0))</f>
      </c>
      <c r="I11928">
        <f>IF(DATOS!$I11928="","",IFERROR(VLOOKUP(DATOS!$I11928,CONFIG_ASIGNATURAS!$B$2:$J$91,9,FALSE()),""))</f>
      </c>
    </row>
    <row r="11929">
      <c r="F11929">
        <f>IF(DATOS!$A11929="","",DATOS!$A11929&amp;"|"&amp;DATOS!$D11929&amp;"|"&amp;DATOS!$E11929&amp;"|"&amp;DATOS!$I11929)</f>
      </c>
      <c r="G11929">
        <f>IF(DATOS!$A11929="",0,IF(CONFIG_METADATA!$B$4&lt;&gt;"OR+EX",--(DATOS!$G11929=CONFIG_METADATA!$B$4),IF(DATOS!$G11929="EX",1,IF(DATOS!$G11929="OR",--(COUNTIFS(nNIA,DATOS!$A11929,nCURSO,DATOS!$D11929,nESPEC,DATOS!$E11929,nASIG,DATOS!$I11929,nEVAL,"EX")=0),0))))</f>
      </c>
      <c r="H11929">
        <f>IF(DATOS!$G11929&lt;&gt;"EX",0,--(COUNTIFS(nNIA,DATOS!$A11929,nCURSO,DATOS!$D11929,nESPEC,DATOS!$E11929,nASIG,DATOS!$I11929,nEVAL,"OR")=0))</f>
      </c>
      <c r="I11929">
        <f>IF(DATOS!$I11929="","",IFERROR(VLOOKUP(DATOS!$I11929,CONFIG_ASIGNATURAS!$B$2:$J$91,9,FALSE()),""))</f>
      </c>
    </row>
    <row r="11930">
      <c r="F11930">
        <f>IF(DATOS!$A11930="","",DATOS!$A11930&amp;"|"&amp;DATOS!$D11930&amp;"|"&amp;DATOS!$E11930&amp;"|"&amp;DATOS!$I11930)</f>
      </c>
      <c r="G11930">
        <f>IF(DATOS!$A11930="",0,IF(CONFIG_METADATA!$B$4&lt;&gt;"OR+EX",--(DATOS!$G11930=CONFIG_METADATA!$B$4),IF(DATOS!$G11930="EX",1,IF(DATOS!$G11930="OR",--(COUNTIFS(nNIA,DATOS!$A11930,nCURSO,DATOS!$D11930,nESPEC,DATOS!$E11930,nASIG,DATOS!$I11930,nEVAL,"EX")=0),0))))</f>
      </c>
      <c r="H11930">
        <f>IF(DATOS!$G11930&lt;&gt;"EX",0,--(COUNTIFS(nNIA,DATOS!$A11930,nCURSO,DATOS!$D11930,nESPEC,DATOS!$E11930,nASIG,DATOS!$I11930,nEVAL,"OR")=0))</f>
      </c>
      <c r="I11930">
        <f>IF(DATOS!$I11930="","",IFERROR(VLOOKUP(DATOS!$I11930,CONFIG_ASIGNATURAS!$B$2:$J$91,9,FALSE()),""))</f>
      </c>
    </row>
    <row r="11931">
      <c r="F11931">
        <f>IF(DATOS!$A11931="","",DATOS!$A11931&amp;"|"&amp;DATOS!$D11931&amp;"|"&amp;DATOS!$E11931&amp;"|"&amp;DATOS!$I11931)</f>
      </c>
      <c r="G11931">
        <f>IF(DATOS!$A11931="",0,IF(CONFIG_METADATA!$B$4&lt;&gt;"OR+EX",--(DATOS!$G11931=CONFIG_METADATA!$B$4),IF(DATOS!$G11931="EX",1,IF(DATOS!$G11931="OR",--(COUNTIFS(nNIA,DATOS!$A11931,nCURSO,DATOS!$D11931,nESPEC,DATOS!$E11931,nASIG,DATOS!$I11931,nEVAL,"EX")=0),0))))</f>
      </c>
      <c r="H11931">
        <f>IF(DATOS!$G11931&lt;&gt;"EX",0,--(COUNTIFS(nNIA,DATOS!$A11931,nCURSO,DATOS!$D11931,nESPEC,DATOS!$E11931,nASIG,DATOS!$I11931,nEVAL,"OR")=0))</f>
      </c>
      <c r="I11931">
        <f>IF(DATOS!$I11931="","",IFERROR(VLOOKUP(DATOS!$I11931,CONFIG_ASIGNATURAS!$B$2:$J$91,9,FALSE()),""))</f>
      </c>
    </row>
    <row r="11932">
      <c r="F11932">
        <f>IF(DATOS!$A11932="","",DATOS!$A11932&amp;"|"&amp;DATOS!$D11932&amp;"|"&amp;DATOS!$E11932&amp;"|"&amp;DATOS!$I11932)</f>
      </c>
      <c r="G11932">
        <f>IF(DATOS!$A11932="",0,IF(CONFIG_METADATA!$B$4&lt;&gt;"OR+EX",--(DATOS!$G11932=CONFIG_METADATA!$B$4),IF(DATOS!$G11932="EX",1,IF(DATOS!$G11932="OR",--(COUNTIFS(nNIA,DATOS!$A11932,nCURSO,DATOS!$D11932,nESPEC,DATOS!$E11932,nASIG,DATOS!$I11932,nEVAL,"EX")=0),0))))</f>
      </c>
      <c r="H11932">
        <f>IF(DATOS!$G11932&lt;&gt;"EX",0,--(COUNTIFS(nNIA,DATOS!$A11932,nCURSO,DATOS!$D11932,nESPEC,DATOS!$E11932,nASIG,DATOS!$I11932,nEVAL,"OR")=0))</f>
      </c>
      <c r="I11932">
        <f>IF(DATOS!$I11932="","",IFERROR(VLOOKUP(DATOS!$I11932,CONFIG_ASIGNATURAS!$B$2:$J$91,9,FALSE()),""))</f>
      </c>
    </row>
    <row r="11933">
      <c r="F11933">
        <f>IF(DATOS!$A11933="","",DATOS!$A11933&amp;"|"&amp;DATOS!$D11933&amp;"|"&amp;DATOS!$E11933&amp;"|"&amp;DATOS!$I11933)</f>
      </c>
      <c r="G11933">
        <f>IF(DATOS!$A11933="",0,IF(CONFIG_METADATA!$B$4&lt;&gt;"OR+EX",--(DATOS!$G11933=CONFIG_METADATA!$B$4),IF(DATOS!$G11933="EX",1,IF(DATOS!$G11933="OR",--(COUNTIFS(nNIA,DATOS!$A11933,nCURSO,DATOS!$D11933,nESPEC,DATOS!$E11933,nASIG,DATOS!$I11933,nEVAL,"EX")=0),0))))</f>
      </c>
      <c r="H11933">
        <f>IF(DATOS!$G11933&lt;&gt;"EX",0,--(COUNTIFS(nNIA,DATOS!$A11933,nCURSO,DATOS!$D11933,nESPEC,DATOS!$E11933,nASIG,DATOS!$I11933,nEVAL,"OR")=0))</f>
      </c>
      <c r="I11933">
        <f>IF(DATOS!$I11933="","",IFERROR(VLOOKUP(DATOS!$I11933,CONFIG_ASIGNATURAS!$B$2:$J$91,9,FALSE()),""))</f>
      </c>
    </row>
    <row r="11934">
      <c r="F11934">
        <f>IF(DATOS!$A11934="","",DATOS!$A11934&amp;"|"&amp;DATOS!$D11934&amp;"|"&amp;DATOS!$E11934&amp;"|"&amp;DATOS!$I11934)</f>
      </c>
      <c r="G11934">
        <f>IF(DATOS!$A11934="",0,IF(CONFIG_METADATA!$B$4&lt;&gt;"OR+EX",--(DATOS!$G11934=CONFIG_METADATA!$B$4),IF(DATOS!$G11934="EX",1,IF(DATOS!$G11934="OR",--(COUNTIFS(nNIA,DATOS!$A11934,nCURSO,DATOS!$D11934,nESPEC,DATOS!$E11934,nASIG,DATOS!$I11934,nEVAL,"EX")=0),0))))</f>
      </c>
      <c r="H11934">
        <f>IF(DATOS!$G11934&lt;&gt;"EX",0,--(COUNTIFS(nNIA,DATOS!$A11934,nCURSO,DATOS!$D11934,nESPEC,DATOS!$E11934,nASIG,DATOS!$I11934,nEVAL,"OR")=0))</f>
      </c>
      <c r="I11934">
        <f>IF(DATOS!$I11934="","",IFERROR(VLOOKUP(DATOS!$I11934,CONFIG_ASIGNATURAS!$B$2:$J$91,9,FALSE()),""))</f>
      </c>
    </row>
    <row r="11935">
      <c r="F11935">
        <f>IF(DATOS!$A11935="","",DATOS!$A11935&amp;"|"&amp;DATOS!$D11935&amp;"|"&amp;DATOS!$E11935&amp;"|"&amp;DATOS!$I11935)</f>
      </c>
      <c r="G11935">
        <f>IF(DATOS!$A11935="",0,IF(CONFIG_METADATA!$B$4&lt;&gt;"OR+EX",--(DATOS!$G11935=CONFIG_METADATA!$B$4),IF(DATOS!$G11935="EX",1,IF(DATOS!$G11935="OR",--(COUNTIFS(nNIA,DATOS!$A11935,nCURSO,DATOS!$D11935,nESPEC,DATOS!$E11935,nASIG,DATOS!$I11935,nEVAL,"EX")=0),0))))</f>
      </c>
      <c r="H11935">
        <f>IF(DATOS!$G11935&lt;&gt;"EX",0,--(COUNTIFS(nNIA,DATOS!$A11935,nCURSO,DATOS!$D11935,nESPEC,DATOS!$E11935,nASIG,DATOS!$I11935,nEVAL,"OR")=0))</f>
      </c>
      <c r="I11935">
        <f>IF(DATOS!$I11935="","",IFERROR(VLOOKUP(DATOS!$I11935,CONFIG_ASIGNATURAS!$B$2:$J$91,9,FALSE()),""))</f>
      </c>
    </row>
    <row r="11936">
      <c r="F11936">
        <f>IF(DATOS!$A11936="","",DATOS!$A11936&amp;"|"&amp;DATOS!$D11936&amp;"|"&amp;DATOS!$E11936&amp;"|"&amp;DATOS!$I11936)</f>
      </c>
      <c r="G11936">
        <f>IF(DATOS!$A11936="",0,IF(CONFIG_METADATA!$B$4&lt;&gt;"OR+EX",--(DATOS!$G11936=CONFIG_METADATA!$B$4),IF(DATOS!$G11936="EX",1,IF(DATOS!$G11936="OR",--(COUNTIFS(nNIA,DATOS!$A11936,nCURSO,DATOS!$D11936,nESPEC,DATOS!$E11936,nASIG,DATOS!$I11936,nEVAL,"EX")=0),0))))</f>
      </c>
      <c r="H11936">
        <f>IF(DATOS!$G11936&lt;&gt;"EX",0,--(COUNTIFS(nNIA,DATOS!$A11936,nCURSO,DATOS!$D11936,nESPEC,DATOS!$E11936,nASIG,DATOS!$I11936,nEVAL,"OR")=0))</f>
      </c>
      <c r="I11936">
        <f>IF(DATOS!$I11936="","",IFERROR(VLOOKUP(DATOS!$I11936,CONFIG_ASIGNATURAS!$B$2:$J$91,9,FALSE()),""))</f>
      </c>
    </row>
    <row r="11937">
      <c r="F11937">
        <f>IF(DATOS!$A11937="","",DATOS!$A11937&amp;"|"&amp;DATOS!$D11937&amp;"|"&amp;DATOS!$E11937&amp;"|"&amp;DATOS!$I11937)</f>
      </c>
      <c r="G11937">
        <f>IF(DATOS!$A11937="",0,IF(CONFIG_METADATA!$B$4&lt;&gt;"OR+EX",--(DATOS!$G11937=CONFIG_METADATA!$B$4),IF(DATOS!$G11937="EX",1,IF(DATOS!$G11937="OR",--(COUNTIFS(nNIA,DATOS!$A11937,nCURSO,DATOS!$D11937,nESPEC,DATOS!$E11937,nASIG,DATOS!$I11937,nEVAL,"EX")=0),0))))</f>
      </c>
      <c r="H11937">
        <f>IF(DATOS!$G11937&lt;&gt;"EX",0,--(COUNTIFS(nNIA,DATOS!$A11937,nCURSO,DATOS!$D11937,nESPEC,DATOS!$E11937,nASIG,DATOS!$I11937,nEVAL,"OR")=0))</f>
      </c>
      <c r="I11937">
        <f>IF(DATOS!$I11937="","",IFERROR(VLOOKUP(DATOS!$I11937,CONFIG_ASIGNATURAS!$B$2:$J$91,9,FALSE()),""))</f>
      </c>
    </row>
    <row r="11938">
      <c r="F11938">
        <f>IF(DATOS!$A11938="","",DATOS!$A11938&amp;"|"&amp;DATOS!$D11938&amp;"|"&amp;DATOS!$E11938&amp;"|"&amp;DATOS!$I11938)</f>
      </c>
      <c r="G11938">
        <f>IF(DATOS!$A11938="",0,IF(CONFIG_METADATA!$B$4&lt;&gt;"OR+EX",--(DATOS!$G11938=CONFIG_METADATA!$B$4),IF(DATOS!$G11938="EX",1,IF(DATOS!$G11938="OR",--(COUNTIFS(nNIA,DATOS!$A11938,nCURSO,DATOS!$D11938,nESPEC,DATOS!$E11938,nASIG,DATOS!$I11938,nEVAL,"EX")=0),0))))</f>
      </c>
      <c r="H11938">
        <f>IF(DATOS!$G11938&lt;&gt;"EX",0,--(COUNTIFS(nNIA,DATOS!$A11938,nCURSO,DATOS!$D11938,nESPEC,DATOS!$E11938,nASIG,DATOS!$I11938,nEVAL,"OR")=0))</f>
      </c>
      <c r="I11938">
        <f>IF(DATOS!$I11938="","",IFERROR(VLOOKUP(DATOS!$I11938,CONFIG_ASIGNATURAS!$B$2:$J$91,9,FALSE()),""))</f>
      </c>
    </row>
    <row r="11939">
      <c r="F11939">
        <f>IF(DATOS!$A11939="","",DATOS!$A11939&amp;"|"&amp;DATOS!$D11939&amp;"|"&amp;DATOS!$E11939&amp;"|"&amp;DATOS!$I11939)</f>
      </c>
      <c r="G11939">
        <f>IF(DATOS!$A11939="",0,IF(CONFIG_METADATA!$B$4&lt;&gt;"OR+EX",--(DATOS!$G11939=CONFIG_METADATA!$B$4),IF(DATOS!$G11939="EX",1,IF(DATOS!$G11939="OR",--(COUNTIFS(nNIA,DATOS!$A11939,nCURSO,DATOS!$D11939,nESPEC,DATOS!$E11939,nASIG,DATOS!$I11939,nEVAL,"EX")=0),0))))</f>
      </c>
      <c r="H11939">
        <f>IF(DATOS!$G11939&lt;&gt;"EX",0,--(COUNTIFS(nNIA,DATOS!$A11939,nCURSO,DATOS!$D11939,nESPEC,DATOS!$E11939,nASIG,DATOS!$I11939,nEVAL,"OR")=0))</f>
      </c>
      <c r="I11939">
        <f>IF(DATOS!$I11939="","",IFERROR(VLOOKUP(DATOS!$I11939,CONFIG_ASIGNATURAS!$B$2:$J$91,9,FALSE()),""))</f>
      </c>
    </row>
    <row r="11940">
      <c r="F11940">
        <f>IF(DATOS!$A11940="","",DATOS!$A11940&amp;"|"&amp;DATOS!$D11940&amp;"|"&amp;DATOS!$E11940&amp;"|"&amp;DATOS!$I11940)</f>
      </c>
      <c r="G11940">
        <f>IF(DATOS!$A11940="",0,IF(CONFIG_METADATA!$B$4&lt;&gt;"OR+EX",--(DATOS!$G11940=CONFIG_METADATA!$B$4),IF(DATOS!$G11940="EX",1,IF(DATOS!$G11940="OR",--(COUNTIFS(nNIA,DATOS!$A11940,nCURSO,DATOS!$D11940,nESPEC,DATOS!$E11940,nASIG,DATOS!$I11940,nEVAL,"EX")=0),0))))</f>
      </c>
      <c r="H11940">
        <f>IF(DATOS!$G11940&lt;&gt;"EX",0,--(COUNTIFS(nNIA,DATOS!$A11940,nCURSO,DATOS!$D11940,nESPEC,DATOS!$E11940,nASIG,DATOS!$I11940,nEVAL,"OR")=0))</f>
      </c>
      <c r="I11940">
        <f>IF(DATOS!$I11940="","",IFERROR(VLOOKUP(DATOS!$I11940,CONFIG_ASIGNATURAS!$B$2:$J$91,9,FALSE()),""))</f>
      </c>
    </row>
    <row r="11941">
      <c r="F11941">
        <f>IF(DATOS!$A11941="","",DATOS!$A11941&amp;"|"&amp;DATOS!$D11941&amp;"|"&amp;DATOS!$E11941&amp;"|"&amp;DATOS!$I11941)</f>
      </c>
      <c r="G11941">
        <f>IF(DATOS!$A11941="",0,IF(CONFIG_METADATA!$B$4&lt;&gt;"OR+EX",--(DATOS!$G11941=CONFIG_METADATA!$B$4),IF(DATOS!$G11941="EX",1,IF(DATOS!$G11941="OR",--(COUNTIFS(nNIA,DATOS!$A11941,nCURSO,DATOS!$D11941,nESPEC,DATOS!$E11941,nASIG,DATOS!$I11941,nEVAL,"EX")=0),0))))</f>
      </c>
      <c r="H11941">
        <f>IF(DATOS!$G11941&lt;&gt;"EX",0,--(COUNTIFS(nNIA,DATOS!$A11941,nCURSO,DATOS!$D11941,nESPEC,DATOS!$E11941,nASIG,DATOS!$I11941,nEVAL,"OR")=0))</f>
      </c>
      <c r="I11941">
        <f>IF(DATOS!$I11941="","",IFERROR(VLOOKUP(DATOS!$I11941,CONFIG_ASIGNATURAS!$B$2:$J$91,9,FALSE()),""))</f>
      </c>
    </row>
    <row r="11942">
      <c r="F11942">
        <f>IF(DATOS!$A11942="","",DATOS!$A11942&amp;"|"&amp;DATOS!$D11942&amp;"|"&amp;DATOS!$E11942&amp;"|"&amp;DATOS!$I11942)</f>
      </c>
      <c r="G11942">
        <f>IF(DATOS!$A11942="",0,IF(CONFIG_METADATA!$B$4&lt;&gt;"OR+EX",--(DATOS!$G11942=CONFIG_METADATA!$B$4),IF(DATOS!$G11942="EX",1,IF(DATOS!$G11942="OR",--(COUNTIFS(nNIA,DATOS!$A11942,nCURSO,DATOS!$D11942,nESPEC,DATOS!$E11942,nASIG,DATOS!$I11942,nEVAL,"EX")=0),0))))</f>
      </c>
      <c r="H11942">
        <f>IF(DATOS!$G11942&lt;&gt;"EX",0,--(COUNTIFS(nNIA,DATOS!$A11942,nCURSO,DATOS!$D11942,nESPEC,DATOS!$E11942,nASIG,DATOS!$I11942,nEVAL,"OR")=0))</f>
      </c>
      <c r="I11942">
        <f>IF(DATOS!$I11942="","",IFERROR(VLOOKUP(DATOS!$I11942,CONFIG_ASIGNATURAS!$B$2:$J$91,9,FALSE()),""))</f>
      </c>
    </row>
    <row r="11943">
      <c r="F11943">
        <f>IF(DATOS!$A11943="","",DATOS!$A11943&amp;"|"&amp;DATOS!$D11943&amp;"|"&amp;DATOS!$E11943&amp;"|"&amp;DATOS!$I11943)</f>
      </c>
      <c r="G11943">
        <f>IF(DATOS!$A11943="",0,IF(CONFIG_METADATA!$B$4&lt;&gt;"OR+EX",--(DATOS!$G11943=CONFIG_METADATA!$B$4),IF(DATOS!$G11943="EX",1,IF(DATOS!$G11943="OR",--(COUNTIFS(nNIA,DATOS!$A11943,nCURSO,DATOS!$D11943,nESPEC,DATOS!$E11943,nASIG,DATOS!$I11943,nEVAL,"EX")=0),0))))</f>
      </c>
      <c r="H11943">
        <f>IF(DATOS!$G11943&lt;&gt;"EX",0,--(COUNTIFS(nNIA,DATOS!$A11943,nCURSO,DATOS!$D11943,nESPEC,DATOS!$E11943,nASIG,DATOS!$I11943,nEVAL,"OR")=0))</f>
      </c>
      <c r="I11943">
        <f>IF(DATOS!$I11943="","",IFERROR(VLOOKUP(DATOS!$I11943,CONFIG_ASIGNATURAS!$B$2:$J$91,9,FALSE()),""))</f>
      </c>
    </row>
    <row r="11944">
      <c r="F11944">
        <f>IF(DATOS!$A11944="","",DATOS!$A11944&amp;"|"&amp;DATOS!$D11944&amp;"|"&amp;DATOS!$E11944&amp;"|"&amp;DATOS!$I11944)</f>
      </c>
      <c r="G11944">
        <f>IF(DATOS!$A11944="",0,IF(CONFIG_METADATA!$B$4&lt;&gt;"OR+EX",--(DATOS!$G11944=CONFIG_METADATA!$B$4),IF(DATOS!$G11944="EX",1,IF(DATOS!$G11944="OR",--(COUNTIFS(nNIA,DATOS!$A11944,nCURSO,DATOS!$D11944,nESPEC,DATOS!$E11944,nASIG,DATOS!$I11944,nEVAL,"EX")=0),0))))</f>
      </c>
      <c r="H11944">
        <f>IF(DATOS!$G11944&lt;&gt;"EX",0,--(COUNTIFS(nNIA,DATOS!$A11944,nCURSO,DATOS!$D11944,nESPEC,DATOS!$E11944,nASIG,DATOS!$I11944,nEVAL,"OR")=0))</f>
      </c>
      <c r="I11944">
        <f>IF(DATOS!$I11944="","",IFERROR(VLOOKUP(DATOS!$I11944,CONFIG_ASIGNATURAS!$B$2:$J$91,9,FALSE()),""))</f>
      </c>
    </row>
    <row r="11945">
      <c r="F11945">
        <f>IF(DATOS!$A11945="","",DATOS!$A11945&amp;"|"&amp;DATOS!$D11945&amp;"|"&amp;DATOS!$E11945&amp;"|"&amp;DATOS!$I11945)</f>
      </c>
      <c r="G11945">
        <f>IF(DATOS!$A11945="",0,IF(CONFIG_METADATA!$B$4&lt;&gt;"OR+EX",--(DATOS!$G11945=CONFIG_METADATA!$B$4),IF(DATOS!$G11945="EX",1,IF(DATOS!$G11945="OR",--(COUNTIFS(nNIA,DATOS!$A11945,nCURSO,DATOS!$D11945,nESPEC,DATOS!$E11945,nASIG,DATOS!$I11945,nEVAL,"EX")=0),0))))</f>
      </c>
      <c r="H11945">
        <f>IF(DATOS!$G11945&lt;&gt;"EX",0,--(COUNTIFS(nNIA,DATOS!$A11945,nCURSO,DATOS!$D11945,nESPEC,DATOS!$E11945,nASIG,DATOS!$I11945,nEVAL,"OR")=0))</f>
      </c>
      <c r="I11945">
        <f>IF(DATOS!$I11945="","",IFERROR(VLOOKUP(DATOS!$I11945,CONFIG_ASIGNATURAS!$B$2:$J$91,9,FALSE()),""))</f>
      </c>
    </row>
    <row r="11946">
      <c r="F11946">
        <f>IF(DATOS!$A11946="","",DATOS!$A11946&amp;"|"&amp;DATOS!$D11946&amp;"|"&amp;DATOS!$E11946&amp;"|"&amp;DATOS!$I11946)</f>
      </c>
      <c r="G11946">
        <f>IF(DATOS!$A11946="",0,IF(CONFIG_METADATA!$B$4&lt;&gt;"OR+EX",--(DATOS!$G11946=CONFIG_METADATA!$B$4),IF(DATOS!$G11946="EX",1,IF(DATOS!$G11946="OR",--(COUNTIFS(nNIA,DATOS!$A11946,nCURSO,DATOS!$D11946,nESPEC,DATOS!$E11946,nASIG,DATOS!$I11946,nEVAL,"EX")=0),0))))</f>
      </c>
      <c r="H11946">
        <f>IF(DATOS!$G11946&lt;&gt;"EX",0,--(COUNTIFS(nNIA,DATOS!$A11946,nCURSO,DATOS!$D11946,nESPEC,DATOS!$E11946,nASIG,DATOS!$I11946,nEVAL,"OR")=0))</f>
      </c>
      <c r="I11946">
        <f>IF(DATOS!$I11946="","",IFERROR(VLOOKUP(DATOS!$I11946,CONFIG_ASIGNATURAS!$B$2:$J$91,9,FALSE()),""))</f>
      </c>
    </row>
    <row r="11947">
      <c r="F11947">
        <f>IF(DATOS!$A11947="","",DATOS!$A11947&amp;"|"&amp;DATOS!$D11947&amp;"|"&amp;DATOS!$E11947&amp;"|"&amp;DATOS!$I11947)</f>
      </c>
      <c r="G11947">
        <f>IF(DATOS!$A11947="",0,IF(CONFIG_METADATA!$B$4&lt;&gt;"OR+EX",--(DATOS!$G11947=CONFIG_METADATA!$B$4),IF(DATOS!$G11947="EX",1,IF(DATOS!$G11947="OR",--(COUNTIFS(nNIA,DATOS!$A11947,nCURSO,DATOS!$D11947,nESPEC,DATOS!$E11947,nASIG,DATOS!$I11947,nEVAL,"EX")=0),0))))</f>
      </c>
      <c r="H11947">
        <f>IF(DATOS!$G11947&lt;&gt;"EX",0,--(COUNTIFS(nNIA,DATOS!$A11947,nCURSO,DATOS!$D11947,nESPEC,DATOS!$E11947,nASIG,DATOS!$I11947,nEVAL,"OR")=0))</f>
      </c>
      <c r="I11947">
        <f>IF(DATOS!$I11947="","",IFERROR(VLOOKUP(DATOS!$I11947,CONFIG_ASIGNATURAS!$B$2:$J$91,9,FALSE()),""))</f>
      </c>
    </row>
    <row r="11948">
      <c r="F11948">
        <f>IF(DATOS!$A11948="","",DATOS!$A11948&amp;"|"&amp;DATOS!$D11948&amp;"|"&amp;DATOS!$E11948&amp;"|"&amp;DATOS!$I11948)</f>
      </c>
      <c r="G11948">
        <f>IF(DATOS!$A11948="",0,IF(CONFIG_METADATA!$B$4&lt;&gt;"OR+EX",--(DATOS!$G11948=CONFIG_METADATA!$B$4),IF(DATOS!$G11948="EX",1,IF(DATOS!$G11948="OR",--(COUNTIFS(nNIA,DATOS!$A11948,nCURSO,DATOS!$D11948,nESPEC,DATOS!$E11948,nASIG,DATOS!$I11948,nEVAL,"EX")=0),0))))</f>
      </c>
      <c r="H11948">
        <f>IF(DATOS!$G11948&lt;&gt;"EX",0,--(COUNTIFS(nNIA,DATOS!$A11948,nCURSO,DATOS!$D11948,nESPEC,DATOS!$E11948,nASIG,DATOS!$I11948,nEVAL,"OR")=0))</f>
      </c>
      <c r="I11948">
        <f>IF(DATOS!$I11948="","",IFERROR(VLOOKUP(DATOS!$I11948,CONFIG_ASIGNATURAS!$B$2:$J$91,9,FALSE()),""))</f>
      </c>
    </row>
    <row r="11949">
      <c r="F11949">
        <f>IF(DATOS!$A11949="","",DATOS!$A11949&amp;"|"&amp;DATOS!$D11949&amp;"|"&amp;DATOS!$E11949&amp;"|"&amp;DATOS!$I11949)</f>
      </c>
      <c r="G11949">
        <f>IF(DATOS!$A11949="",0,IF(CONFIG_METADATA!$B$4&lt;&gt;"OR+EX",--(DATOS!$G11949=CONFIG_METADATA!$B$4),IF(DATOS!$G11949="EX",1,IF(DATOS!$G11949="OR",--(COUNTIFS(nNIA,DATOS!$A11949,nCURSO,DATOS!$D11949,nESPEC,DATOS!$E11949,nASIG,DATOS!$I11949,nEVAL,"EX")=0),0))))</f>
      </c>
      <c r="H11949">
        <f>IF(DATOS!$G11949&lt;&gt;"EX",0,--(COUNTIFS(nNIA,DATOS!$A11949,nCURSO,DATOS!$D11949,nESPEC,DATOS!$E11949,nASIG,DATOS!$I11949,nEVAL,"OR")=0))</f>
      </c>
      <c r="I11949">
        <f>IF(DATOS!$I11949="","",IFERROR(VLOOKUP(DATOS!$I11949,CONFIG_ASIGNATURAS!$B$2:$J$91,9,FALSE()),""))</f>
      </c>
    </row>
    <row r="11950">
      <c r="F11950">
        <f>IF(DATOS!$A11950="","",DATOS!$A11950&amp;"|"&amp;DATOS!$D11950&amp;"|"&amp;DATOS!$E11950&amp;"|"&amp;DATOS!$I11950)</f>
      </c>
      <c r="G11950">
        <f>IF(DATOS!$A11950="",0,IF(CONFIG_METADATA!$B$4&lt;&gt;"OR+EX",--(DATOS!$G11950=CONFIG_METADATA!$B$4),IF(DATOS!$G11950="EX",1,IF(DATOS!$G11950="OR",--(COUNTIFS(nNIA,DATOS!$A11950,nCURSO,DATOS!$D11950,nESPEC,DATOS!$E11950,nASIG,DATOS!$I11950,nEVAL,"EX")=0),0))))</f>
      </c>
      <c r="H11950">
        <f>IF(DATOS!$G11950&lt;&gt;"EX",0,--(COUNTIFS(nNIA,DATOS!$A11950,nCURSO,DATOS!$D11950,nESPEC,DATOS!$E11950,nASIG,DATOS!$I11950,nEVAL,"OR")=0))</f>
      </c>
      <c r="I11950">
        <f>IF(DATOS!$I11950="","",IFERROR(VLOOKUP(DATOS!$I11950,CONFIG_ASIGNATURAS!$B$2:$J$91,9,FALSE()),""))</f>
      </c>
    </row>
    <row r="11951">
      <c r="F11951">
        <f>IF(DATOS!$A11951="","",DATOS!$A11951&amp;"|"&amp;DATOS!$D11951&amp;"|"&amp;DATOS!$E11951&amp;"|"&amp;DATOS!$I11951)</f>
      </c>
      <c r="G11951">
        <f>IF(DATOS!$A11951="",0,IF(CONFIG_METADATA!$B$4&lt;&gt;"OR+EX",--(DATOS!$G11951=CONFIG_METADATA!$B$4),IF(DATOS!$G11951="EX",1,IF(DATOS!$G11951="OR",--(COUNTIFS(nNIA,DATOS!$A11951,nCURSO,DATOS!$D11951,nESPEC,DATOS!$E11951,nASIG,DATOS!$I11951,nEVAL,"EX")=0),0))))</f>
      </c>
      <c r="H11951">
        <f>IF(DATOS!$G11951&lt;&gt;"EX",0,--(COUNTIFS(nNIA,DATOS!$A11951,nCURSO,DATOS!$D11951,nESPEC,DATOS!$E11951,nASIG,DATOS!$I11951,nEVAL,"OR")=0))</f>
      </c>
      <c r="I11951">
        <f>IF(DATOS!$I11951="","",IFERROR(VLOOKUP(DATOS!$I11951,CONFIG_ASIGNATURAS!$B$2:$J$91,9,FALSE()),""))</f>
      </c>
    </row>
    <row r="11952">
      <c r="F11952">
        <f>IF(DATOS!$A11952="","",DATOS!$A11952&amp;"|"&amp;DATOS!$D11952&amp;"|"&amp;DATOS!$E11952&amp;"|"&amp;DATOS!$I11952)</f>
      </c>
      <c r="G11952">
        <f>IF(DATOS!$A11952="",0,IF(CONFIG_METADATA!$B$4&lt;&gt;"OR+EX",--(DATOS!$G11952=CONFIG_METADATA!$B$4),IF(DATOS!$G11952="EX",1,IF(DATOS!$G11952="OR",--(COUNTIFS(nNIA,DATOS!$A11952,nCURSO,DATOS!$D11952,nESPEC,DATOS!$E11952,nASIG,DATOS!$I11952,nEVAL,"EX")=0),0))))</f>
      </c>
      <c r="H11952">
        <f>IF(DATOS!$G11952&lt;&gt;"EX",0,--(COUNTIFS(nNIA,DATOS!$A11952,nCURSO,DATOS!$D11952,nESPEC,DATOS!$E11952,nASIG,DATOS!$I11952,nEVAL,"OR")=0))</f>
      </c>
      <c r="I11952">
        <f>IF(DATOS!$I11952="","",IFERROR(VLOOKUP(DATOS!$I11952,CONFIG_ASIGNATURAS!$B$2:$J$91,9,FALSE()),""))</f>
      </c>
    </row>
    <row r="11953">
      <c r="F11953">
        <f>IF(DATOS!$A11953="","",DATOS!$A11953&amp;"|"&amp;DATOS!$D11953&amp;"|"&amp;DATOS!$E11953&amp;"|"&amp;DATOS!$I11953)</f>
      </c>
      <c r="G11953">
        <f>IF(DATOS!$A11953="",0,IF(CONFIG_METADATA!$B$4&lt;&gt;"OR+EX",--(DATOS!$G11953=CONFIG_METADATA!$B$4),IF(DATOS!$G11953="EX",1,IF(DATOS!$G11953="OR",--(COUNTIFS(nNIA,DATOS!$A11953,nCURSO,DATOS!$D11953,nESPEC,DATOS!$E11953,nASIG,DATOS!$I11953,nEVAL,"EX")=0),0))))</f>
      </c>
      <c r="H11953">
        <f>IF(DATOS!$G11953&lt;&gt;"EX",0,--(COUNTIFS(nNIA,DATOS!$A11953,nCURSO,DATOS!$D11953,nESPEC,DATOS!$E11953,nASIG,DATOS!$I11953,nEVAL,"OR")=0))</f>
      </c>
      <c r="I11953">
        <f>IF(DATOS!$I11953="","",IFERROR(VLOOKUP(DATOS!$I11953,CONFIG_ASIGNATURAS!$B$2:$J$91,9,FALSE()),""))</f>
      </c>
    </row>
    <row r="11954">
      <c r="F11954">
        <f>IF(DATOS!$A11954="","",DATOS!$A11954&amp;"|"&amp;DATOS!$D11954&amp;"|"&amp;DATOS!$E11954&amp;"|"&amp;DATOS!$I11954)</f>
      </c>
      <c r="G11954">
        <f>IF(DATOS!$A11954="",0,IF(CONFIG_METADATA!$B$4&lt;&gt;"OR+EX",--(DATOS!$G11954=CONFIG_METADATA!$B$4),IF(DATOS!$G11954="EX",1,IF(DATOS!$G11954="OR",--(COUNTIFS(nNIA,DATOS!$A11954,nCURSO,DATOS!$D11954,nESPEC,DATOS!$E11954,nASIG,DATOS!$I11954,nEVAL,"EX")=0),0))))</f>
      </c>
      <c r="H11954">
        <f>IF(DATOS!$G11954&lt;&gt;"EX",0,--(COUNTIFS(nNIA,DATOS!$A11954,nCURSO,DATOS!$D11954,nESPEC,DATOS!$E11954,nASIG,DATOS!$I11954,nEVAL,"OR")=0))</f>
      </c>
      <c r="I11954">
        <f>IF(DATOS!$I11954="","",IFERROR(VLOOKUP(DATOS!$I11954,CONFIG_ASIGNATURAS!$B$2:$J$91,9,FALSE()),""))</f>
      </c>
    </row>
    <row r="11955">
      <c r="F11955">
        <f>IF(DATOS!$A11955="","",DATOS!$A11955&amp;"|"&amp;DATOS!$D11955&amp;"|"&amp;DATOS!$E11955&amp;"|"&amp;DATOS!$I11955)</f>
      </c>
      <c r="G11955">
        <f>IF(DATOS!$A11955="",0,IF(CONFIG_METADATA!$B$4&lt;&gt;"OR+EX",--(DATOS!$G11955=CONFIG_METADATA!$B$4),IF(DATOS!$G11955="EX",1,IF(DATOS!$G11955="OR",--(COUNTIFS(nNIA,DATOS!$A11955,nCURSO,DATOS!$D11955,nESPEC,DATOS!$E11955,nASIG,DATOS!$I11955,nEVAL,"EX")=0),0))))</f>
      </c>
      <c r="H11955">
        <f>IF(DATOS!$G11955&lt;&gt;"EX",0,--(COUNTIFS(nNIA,DATOS!$A11955,nCURSO,DATOS!$D11955,nESPEC,DATOS!$E11955,nASIG,DATOS!$I11955,nEVAL,"OR")=0))</f>
      </c>
      <c r="I11955">
        <f>IF(DATOS!$I11955="","",IFERROR(VLOOKUP(DATOS!$I11955,CONFIG_ASIGNATURAS!$B$2:$J$91,9,FALSE()),""))</f>
      </c>
    </row>
    <row r="11956">
      <c r="F11956">
        <f>IF(DATOS!$A11956="","",DATOS!$A11956&amp;"|"&amp;DATOS!$D11956&amp;"|"&amp;DATOS!$E11956&amp;"|"&amp;DATOS!$I11956)</f>
      </c>
      <c r="G11956">
        <f>IF(DATOS!$A11956="",0,IF(CONFIG_METADATA!$B$4&lt;&gt;"OR+EX",--(DATOS!$G11956=CONFIG_METADATA!$B$4),IF(DATOS!$G11956="EX",1,IF(DATOS!$G11956="OR",--(COUNTIFS(nNIA,DATOS!$A11956,nCURSO,DATOS!$D11956,nESPEC,DATOS!$E11956,nASIG,DATOS!$I11956,nEVAL,"EX")=0),0))))</f>
      </c>
      <c r="H11956">
        <f>IF(DATOS!$G11956&lt;&gt;"EX",0,--(COUNTIFS(nNIA,DATOS!$A11956,nCURSO,DATOS!$D11956,nESPEC,DATOS!$E11956,nASIG,DATOS!$I11956,nEVAL,"OR")=0))</f>
      </c>
      <c r="I11956">
        <f>IF(DATOS!$I11956="","",IFERROR(VLOOKUP(DATOS!$I11956,CONFIG_ASIGNATURAS!$B$2:$J$91,9,FALSE()),""))</f>
      </c>
    </row>
    <row r="11957">
      <c r="F11957">
        <f>IF(DATOS!$A11957="","",DATOS!$A11957&amp;"|"&amp;DATOS!$D11957&amp;"|"&amp;DATOS!$E11957&amp;"|"&amp;DATOS!$I11957)</f>
      </c>
      <c r="G11957">
        <f>IF(DATOS!$A11957="",0,IF(CONFIG_METADATA!$B$4&lt;&gt;"OR+EX",--(DATOS!$G11957=CONFIG_METADATA!$B$4),IF(DATOS!$G11957="EX",1,IF(DATOS!$G11957="OR",--(COUNTIFS(nNIA,DATOS!$A11957,nCURSO,DATOS!$D11957,nESPEC,DATOS!$E11957,nASIG,DATOS!$I11957,nEVAL,"EX")=0),0))))</f>
      </c>
      <c r="H11957">
        <f>IF(DATOS!$G11957&lt;&gt;"EX",0,--(COUNTIFS(nNIA,DATOS!$A11957,nCURSO,DATOS!$D11957,nESPEC,DATOS!$E11957,nASIG,DATOS!$I11957,nEVAL,"OR")=0))</f>
      </c>
      <c r="I11957">
        <f>IF(DATOS!$I11957="","",IFERROR(VLOOKUP(DATOS!$I11957,CONFIG_ASIGNATURAS!$B$2:$J$91,9,FALSE()),""))</f>
      </c>
    </row>
    <row r="11958">
      <c r="F11958">
        <f>IF(DATOS!$A11958="","",DATOS!$A11958&amp;"|"&amp;DATOS!$D11958&amp;"|"&amp;DATOS!$E11958&amp;"|"&amp;DATOS!$I11958)</f>
      </c>
      <c r="G11958">
        <f>IF(DATOS!$A11958="",0,IF(CONFIG_METADATA!$B$4&lt;&gt;"OR+EX",--(DATOS!$G11958=CONFIG_METADATA!$B$4),IF(DATOS!$G11958="EX",1,IF(DATOS!$G11958="OR",--(COUNTIFS(nNIA,DATOS!$A11958,nCURSO,DATOS!$D11958,nESPEC,DATOS!$E11958,nASIG,DATOS!$I11958,nEVAL,"EX")=0),0))))</f>
      </c>
      <c r="H11958">
        <f>IF(DATOS!$G11958&lt;&gt;"EX",0,--(COUNTIFS(nNIA,DATOS!$A11958,nCURSO,DATOS!$D11958,nESPEC,DATOS!$E11958,nASIG,DATOS!$I11958,nEVAL,"OR")=0))</f>
      </c>
      <c r="I11958">
        <f>IF(DATOS!$I11958="","",IFERROR(VLOOKUP(DATOS!$I11958,CONFIG_ASIGNATURAS!$B$2:$J$91,9,FALSE()),""))</f>
      </c>
    </row>
    <row r="11959">
      <c r="F11959">
        <f>IF(DATOS!$A11959="","",DATOS!$A11959&amp;"|"&amp;DATOS!$D11959&amp;"|"&amp;DATOS!$E11959&amp;"|"&amp;DATOS!$I11959)</f>
      </c>
      <c r="G11959">
        <f>IF(DATOS!$A11959="",0,IF(CONFIG_METADATA!$B$4&lt;&gt;"OR+EX",--(DATOS!$G11959=CONFIG_METADATA!$B$4),IF(DATOS!$G11959="EX",1,IF(DATOS!$G11959="OR",--(COUNTIFS(nNIA,DATOS!$A11959,nCURSO,DATOS!$D11959,nESPEC,DATOS!$E11959,nASIG,DATOS!$I11959,nEVAL,"EX")=0),0))))</f>
      </c>
      <c r="H11959">
        <f>IF(DATOS!$G11959&lt;&gt;"EX",0,--(COUNTIFS(nNIA,DATOS!$A11959,nCURSO,DATOS!$D11959,nESPEC,DATOS!$E11959,nASIG,DATOS!$I11959,nEVAL,"OR")=0))</f>
      </c>
      <c r="I11959">
        <f>IF(DATOS!$I11959="","",IFERROR(VLOOKUP(DATOS!$I11959,CONFIG_ASIGNATURAS!$B$2:$J$91,9,FALSE()),""))</f>
      </c>
    </row>
    <row r="11960">
      <c r="F11960">
        <f>IF(DATOS!$A11960="","",DATOS!$A11960&amp;"|"&amp;DATOS!$D11960&amp;"|"&amp;DATOS!$E11960&amp;"|"&amp;DATOS!$I11960)</f>
      </c>
      <c r="G11960">
        <f>IF(DATOS!$A11960="",0,IF(CONFIG_METADATA!$B$4&lt;&gt;"OR+EX",--(DATOS!$G11960=CONFIG_METADATA!$B$4),IF(DATOS!$G11960="EX",1,IF(DATOS!$G11960="OR",--(COUNTIFS(nNIA,DATOS!$A11960,nCURSO,DATOS!$D11960,nESPEC,DATOS!$E11960,nASIG,DATOS!$I11960,nEVAL,"EX")=0),0))))</f>
      </c>
      <c r="H11960">
        <f>IF(DATOS!$G11960&lt;&gt;"EX",0,--(COUNTIFS(nNIA,DATOS!$A11960,nCURSO,DATOS!$D11960,nESPEC,DATOS!$E11960,nASIG,DATOS!$I11960,nEVAL,"OR")=0))</f>
      </c>
      <c r="I11960">
        <f>IF(DATOS!$I11960="","",IFERROR(VLOOKUP(DATOS!$I11960,CONFIG_ASIGNATURAS!$B$2:$J$91,9,FALSE()),""))</f>
      </c>
    </row>
    <row r="11961">
      <c r="F11961">
        <f>IF(DATOS!$A11961="","",DATOS!$A11961&amp;"|"&amp;DATOS!$D11961&amp;"|"&amp;DATOS!$E11961&amp;"|"&amp;DATOS!$I11961)</f>
      </c>
      <c r="G11961">
        <f>IF(DATOS!$A11961="",0,IF(CONFIG_METADATA!$B$4&lt;&gt;"OR+EX",--(DATOS!$G11961=CONFIG_METADATA!$B$4),IF(DATOS!$G11961="EX",1,IF(DATOS!$G11961="OR",--(COUNTIFS(nNIA,DATOS!$A11961,nCURSO,DATOS!$D11961,nESPEC,DATOS!$E11961,nASIG,DATOS!$I11961,nEVAL,"EX")=0),0))))</f>
      </c>
      <c r="H11961">
        <f>IF(DATOS!$G11961&lt;&gt;"EX",0,--(COUNTIFS(nNIA,DATOS!$A11961,nCURSO,DATOS!$D11961,nESPEC,DATOS!$E11961,nASIG,DATOS!$I11961,nEVAL,"OR")=0))</f>
      </c>
      <c r="I11961">
        <f>IF(DATOS!$I11961="","",IFERROR(VLOOKUP(DATOS!$I11961,CONFIG_ASIGNATURAS!$B$2:$J$91,9,FALSE()),""))</f>
      </c>
    </row>
    <row r="11962">
      <c r="F11962">
        <f>IF(DATOS!$A11962="","",DATOS!$A11962&amp;"|"&amp;DATOS!$D11962&amp;"|"&amp;DATOS!$E11962&amp;"|"&amp;DATOS!$I11962)</f>
      </c>
      <c r="G11962">
        <f>IF(DATOS!$A11962="",0,IF(CONFIG_METADATA!$B$4&lt;&gt;"OR+EX",--(DATOS!$G11962=CONFIG_METADATA!$B$4),IF(DATOS!$G11962="EX",1,IF(DATOS!$G11962="OR",--(COUNTIFS(nNIA,DATOS!$A11962,nCURSO,DATOS!$D11962,nESPEC,DATOS!$E11962,nASIG,DATOS!$I11962,nEVAL,"EX")=0),0))))</f>
      </c>
      <c r="H11962">
        <f>IF(DATOS!$G11962&lt;&gt;"EX",0,--(COUNTIFS(nNIA,DATOS!$A11962,nCURSO,DATOS!$D11962,nESPEC,DATOS!$E11962,nASIG,DATOS!$I11962,nEVAL,"OR")=0))</f>
      </c>
      <c r="I11962">
        <f>IF(DATOS!$I11962="","",IFERROR(VLOOKUP(DATOS!$I11962,CONFIG_ASIGNATURAS!$B$2:$J$91,9,FALSE()),""))</f>
      </c>
    </row>
    <row r="11963">
      <c r="F11963">
        <f>IF(DATOS!$A11963="","",DATOS!$A11963&amp;"|"&amp;DATOS!$D11963&amp;"|"&amp;DATOS!$E11963&amp;"|"&amp;DATOS!$I11963)</f>
      </c>
      <c r="G11963">
        <f>IF(DATOS!$A11963="",0,IF(CONFIG_METADATA!$B$4&lt;&gt;"OR+EX",--(DATOS!$G11963=CONFIG_METADATA!$B$4),IF(DATOS!$G11963="EX",1,IF(DATOS!$G11963="OR",--(COUNTIFS(nNIA,DATOS!$A11963,nCURSO,DATOS!$D11963,nESPEC,DATOS!$E11963,nASIG,DATOS!$I11963,nEVAL,"EX")=0),0))))</f>
      </c>
      <c r="H11963">
        <f>IF(DATOS!$G11963&lt;&gt;"EX",0,--(COUNTIFS(nNIA,DATOS!$A11963,nCURSO,DATOS!$D11963,nESPEC,DATOS!$E11963,nASIG,DATOS!$I11963,nEVAL,"OR")=0))</f>
      </c>
      <c r="I11963">
        <f>IF(DATOS!$I11963="","",IFERROR(VLOOKUP(DATOS!$I11963,CONFIG_ASIGNATURAS!$B$2:$J$91,9,FALSE()),""))</f>
      </c>
    </row>
    <row r="11964">
      <c r="F11964">
        <f>IF(DATOS!$A11964="","",DATOS!$A11964&amp;"|"&amp;DATOS!$D11964&amp;"|"&amp;DATOS!$E11964&amp;"|"&amp;DATOS!$I11964)</f>
      </c>
      <c r="G11964">
        <f>IF(DATOS!$A11964="",0,IF(CONFIG_METADATA!$B$4&lt;&gt;"OR+EX",--(DATOS!$G11964=CONFIG_METADATA!$B$4),IF(DATOS!$G11964="EX",1,IF(DATOS!$G11964="OR",--(COUNTIFS(nNIA,DATOS!$A11964,nCURSO,DATOS!$D11964,nESPEC,DATOS!$E11964,nASIG,DATOS!$I11964,nEVAL,"EX")=0),0))))</f>
      </c>
      <c r="H11964">
        <f>IF(DATOS!$G11964&lt;&gt;"EX",0,--(COUNTIFS(nNIA,DATOS!$A11964,nCURSO,DATOS!$D11964,nESPEC,DATOS!$E11964,nASIG,DATOS!$I11964,nEVAL,"OR")=0))</f>
      </c>
      <c r="I11964">
        <f>IF(DATOS!$I11964="","",IFERROR(VLOOKUP(DATOS!$I11964,CONFIG_ASIGNATURAS!$B$2:$J$91,9,FALSE()),""))</f>
      </c>
    </row>
    <row r="11965">
      <c r="F11965">
        <f>IF(DATOS!$A11965="","",DATOS!$A11965&amp;"|"&amp;DATOS!$D11965&amp;"|"&amp;DATOS!$E11965&amp;"|"&amp;DATOS!$I11965)</f>
      </c>
      <c r="G11965">
        <f>IF(DATOS!$A11965="",0,IF(CONFIG_METADATA!$B$4&lt;&gt;"OR+EX",--(DATOS!$G11965=CONFIG_METADATA!$B$4),IF(DATOS!$G11965="EX",1,IF(DATOS!$G11965="OR",--(COUNTIFS(nNIA,DATOS!$A11965,nCURSO,DATOS!$D11965,nESPEC,DATOS!$E11965,nASIG,DATOS!$I11965,nEVAL,"EX")=0),0))))</f>
      </c>
      <c r="H11965">
        <f>IF(DATOS!$G11965&lt;&gt;"EX",0,--(COUNTIFS(nNIA,DATOS!$A11965,nCURSO,DATOS!$D11965,nESPEC,DATOS!$E11965,nASIG,DATOS!$I11965,nEVAL,"OR")=0))</f>
      </c>
      <c r="I11965">
        <f>IF(DATOS!$I11965="","",IFERROR(VLOOKUP(DATOS!$I11965,CONFIG_ASIGNATURAS!$B$2:$J$91,9,FALSE()),""))</f>
      </c>
    </row>
    <row r="11966">
      <c r="F11966">
        <f>IF(DATOS!$A11966="","",DATOS!$A11966&amp;"|"&amp;DATOS!$D11966&amp;"|"&amp;DATOS!$E11966&amp;"|"&amp;DATOS!$I11966)</f>
      </c>
      <c r="G11966">
        <f>IF(DATOS!$A11966="",0,IF(CONFIG_METADATA!$B$4&lt;&gt;"OR+EX",--(DATOS!$G11966=CONFIG_METADATA!$B$4),IF(DATOS!$G11966="EX",1,IF(DATOS!$G11966="OR",--(COUNTIFS(nNIA,DATOS!$A11966,nCURSO,DATOS!$D11966,nESPEC,DATOS!$E11966,nASIG,DATOS!$I11966,nEVAL,"EX")=0),0))))</f>
      </c>
      <c r="H11966">
        <f>IF(DATOS!$G11966&lt;&gt;"EX",0,--(COUNTIFS(nNIA,DATOS!$A11966,nCURSO,DATOS!$D11966,nESPEC,DATOS!$E11966,nASIG,DATOS!$I11966,nEVAL,"OR")=0))</f>
      </c>
      <c r="I11966">
        <f>IF(DATOS!$I11966="","",IFERROR(VLOOKUP(DATOS!$I11966,CONFIG_ASIGNATURAS!$B$2:$J$91,9,FALSE()),""))</f>
      </c>
    </row>
    <row r="11967">
      <c r="F11967">
        <f>IF(DATOS!$A11967="","",DATOS!$A11967&amp;"|"&amp;DATOS!$D11967&amp;"|"&amp;DATOS!$E11967&amp;"|"&amp;DATOS!$I11967)</f>
      </c>
      <c r="G11967">
        <f>IF(DATOS!$A11967="",0,IF(CONFIG_METADATA!$B$4&lt;&gt;"OR+EX",--(DATOS!$G11967=CONFIG_METADATA!$B$4),IF(DATOS!$G11967="EX",1,IF(DATOS!$G11967="OR",--(COUNTIFS(nNIA,DATOS!$A11967,nCURSO,DATOS!$D11967,nESPEC,DATOS!$E11967,nASIG,DATOS!$I11967,nEVAL,"EX")=0),0))))</f>
      </c>
      <c r="H11967">
        <f>IF(DATOS!$G11967&lt;&gt;"EX",0,--(COUNTIFS(nNIA,DATOS!$A11967,nCURSO,DATOS!$D11967,nESPEC,DATOS!$E11967,nASIG,DATOS!$I11967,nEVAL,"OR")=0))</f>
      </c>
      <c r="I11967">
        <f>IF(DATOS!$I11967="","",IFERROR(VLOOKUP(DATOS!$I11967,CONFIG_ASIGNATURAS!$B$2:$J$91,9,FALSE()),""))</f>
      </c>
    </row>
    <row r="11968">
      <c r="F11968">
        <f>IF(DATOS!$A11968="","",DATOS!$A11968&amp;"|"&amp;DATOS!$D11968&amp;"|"&amp;DATOS!$E11968&amp;"|"&amp;DATOS!$I11968)</f>
      </c>
      <c r="G11968">
        <f>IF(DATOS!$A11968="",0,IF(CONFIG_METADATA!$B$4&lt;&gt;"OR+EX",--(DATOS!$G11968=CONFIG_METADATA!$B$4),IF(DATOS!$G11968="EX",1,IF(DATOS!$G11968="OR",--(COUNTIFS(nNIA,DATOS!$A11968,nCURSO,DATOS!$D11968,nESPEC,DATOS!$E11968,nASIG,DATOS!$I11968,nEVAL,"EX")=0),0))))</f>
      </c>
      <c r="H11968">
        <f>IF(DATOS!$G11968&lt;&gt;"EX",0,--(COUNTIFS(nNIA,DATOS!$A11968,nCURSO,DATOS!$D11968,nESPEC,DATOS!$E11968,nASIG,DATOS!$I11968,nEVAL,"OR")=0))</f>
      </c>
      <c r="I11968">
        <f>IF(DATOS!$I11968="","",IFERROR(VLOOKUP(DATOS!$I11968,CONFIG_ASIGNATURAS!$B$2:$J$91,9,FALSE()),""))</f>
      </c>
    </row>
    <row r="11969">
      <c r="F11969">
        <f>IF(DATOS!$A11969="","",DATOS!$A11969&amp;"|"&amp;DATOS!$D11969&amp;"|"&amp;DATOS!$E11969&amp;"|"&amp;DATOS!$I11969)</f>
      </c>
      <c r="G11969">
        <f>IF(DATOS!$A11969="",0,IF(CONFIG_METADATA!$B$4&lt;&gt;"OR+EX",--(DATOS!$G11969=CONFIG_METADATA!$B$4),IF(DATOS!$G11969="EX",1,IF(DATOS!$G11969="OR",--(COUNTIFS(nNIA,DATOS!$A11969,nCURSO,DATOS!$D11969,nESPEC,DATOS!$E11969,nASIG,DATOS!$I11969,nEVAL,"EX")=0),0))))</f>
      </c>
      <c r="H11969">
        <f>IF(DATOS!$G11969&lt;&gt;"EX",0,--(COUNTIFS(nNIA,DATOS!$A11969,nCURSO,DATOS!$D11969,nESPEC,DATOS!$E11969,nASIG,DATOS!$I11969,nEVAL,"OR")=0))</f>
      </c>
      <c r="I11969">
        <f>IF(DATOS!$I11969="","",IFERROR(VLOOKUP(DATOS!$I11969,CONFIG_ASIGNATURAS!$B$2:$J$91,9,FALSE()),""))</f>
      </c>
    </row>
    <row r="11970">
      <c r="F11970">
        <f>IF(DATOS!$A11970="","",DATOS!$A11970&amp;"|"&amp;DATOS!$D11970&amp;"|"&amp;DATOS!$E11970&amp;"|"&amp;DATOS!$I11970)</f>
      </c>
      <c r="G11970">
        <f>IF(DATOS!$A11970="",0,IF(CONFIG_METADATA!$B$4&lt;&gt;"OR+EX",--(DATOS!$G11970=CONFIG_METADATA!$B$4),IF(DATOS!$G11970="EX",1,IF(DATOS!$G11970="OR",--(COUNTIFS(nNIA,DATOS!$A11970,nCURSO,DATOS!$D11970,nESPEC,DATOS!$E11970,nASIG,DATOS!$I11970,nEVAL,"EX")=0),0))))</f>
      </c>
      <c r="H11970">
        <f>IF(DATOS!$G11970&lt;&gt;"EX",0,--(COUNTIFS(nNIA,DATOS!$A11970,nCURSO,DATOS!$D11970,nESPEC,DATOS!$E11970,nASIG,DATOS!$I11970,nEVAL,"OR")=0))</f>
      </c>
      <c r="I11970">
        <f>IF(DATOS!$I11970="","",IFERROR(VLOOKUP(DATOS!$I11970,CONFIG_ASIGNATURAS!$B$2:$J$91,9,FALSE()),""))</f>
      </c>
    </row>
    <row r="11971">
      <c r="F11971">
        <f>IF(DATOS!$A11971="","",DATOS!$A11971&amp;"|"&amp;DATOS!$D11971&amp;"|"&amp;DATOS!$E11971&amp;"|"&amp;DATOS!$I11971)</f>
      </c>
      <c r="G11971">
        <f>IF(DATOS!$A11971="",0,IF(CONFIG_METADATA!$B$4&lt;&gt;"OR+EX",--(DATOS!$G11971=CONFIG_METADATA!$B$4),IF(DATOS!$G11971="EX",1,IF(DATOS!$G11971="OR",--(COUNTIFS(nNIA,DATOS!$A11971,nCURSO,DATOS!$D11971,nESPEC,DATOS!$E11971,nASIG,DATOS!$I11971,nEVAL,"EX")=0),0))))</f>
      </c>
      <c r="H11971">
        <f>IF(DATOS!$G11971&lt;&gt;"EX",0,--(COUNTIFS(nNIA,DATOS!$A11971,nCURSO,DATOS!$D11971,nESPEC,DATOS!$E11971,nASIG,DATOS!$I11971,nEVAL,"OR")=0))</f>
      </c>
      <c r="I11971">
        <f>IF(DATOS!$I11971="","",IFERROR(VLOOKUP(DATOS!$I11971,CONFIG_ASIGNATURAS!$B$2:$J$91,9,FALSE()),""))</f>
      </c>
    </row>
    <row r="11972">
      <c r="F11972">
        <f>IF(DATOS!$A11972="","",DATOS!$A11972&amp;"|"&amp;DATOS!$D11972&amp;"|"&amp;DATOS!$E11972&amp;"|"&amp;DATOS!$I11972)</f>
      </c>
      <c r="G11972">
        <f>IF(DATOS!$A11972="",0,IF(CONFIG_METADATA!$B$4&lt;&gt;"OR+EX",--(DATOS!$G11972=CONFIG_METADATA!$B$4),IF(DATOS!$G11972="EX",1,IF(DATOS!$G11972="OR",--(COUNTIFS(nNIA,DATOS!$A11972,nCURSO,DATOS!$D11972,nESPEC,DATOS!$E11972,nASIG,DATOS!$I11972,nEVAL,"EX")=0),0))))</f>
      </c>
      <c r="H11972">
        <f>IF(DATOS!$G11972&lt;&gt;"EX",0,--(COUNTIFS(nNIA,DATOS!$A11972,nCURSO,DATOS!$D11972,nESPEC,DATOS!$E11972,nASIG,DATOS!$I11972,nEVAL,"OR")=0))</f>
      </c>
      <c r="I11972">
        <f>IF(DATOS!$I11972="","",IFERROR(VLOOKUP(DATOS!$I11972,CONFIG_ASIGNATURAS!$B$2:$J$91,9,FALSE()),""))</f>
      </c>
    </row>
    <row r="11973">
      <c r="F11973">
        <f>IF(DATOS!$A11973="","",DATOS!$A11973&amp;"|"&amp;DATOS!$D11973&amp;"|"&amp;DATOS!$E11973&amp;"|"&amp;DATOS!$I11973)</f>
      </c>
      <c r="G11973">
        <f>IF(DATOS!$A11973="",0,IF(CONFIG_METADATA!$B$4&lt;&gt;"OR+EX",--(DATOS!$G11973=CONFIG_METADATA!$B$4),IF(DATOS!$G11973="EX",1,IF(DATOS!$G11973="OR",--(COUNTIFS(nNIA,DATOS!$A11973,nCURSO,DATOS!$D11973,nESPEC,DATOS!$E11973,nASIG,DATOS!$I11973,nEVAL,"EX")=0),0))))</f>
      </c>
      <c r="H11973">
        <f>IF(DATOS!$G11973&lt;&gt;"EX",0,--(COUNTIFS(nNIA,DATOS!$A11973,nCURSO,DATOS!$D11973,nESPEC,DATOS!$E11973,nASIG,DATOS!$I11973,nEVAL,"OR")=0))</f>
      </c>
      <c r="I11973">
        <f>IF(DATOS!$I11973="","",IFERROR(VLOOKUP(DATOS!$I11973,CONFIG_ASIGNATURAS!$B$2:$J$91,9,FALSE()),""))</f>
      </c>
    </row>
    <row r="11974">
      <c r="F11974">
        <f>IF(DATOS!$A11974="","",DATOS!$A11974&amp;"|"&amp;DATOS!$D11974&amp;"|"&amp;DATOS!$E11974&amp;"|"&amp;DATOS!$I11974)</f>
      </c>
      <c r="G11974">
        <f>IF(DATOS!$A11974="",0,IF(CONFIG_METADATA!$B$4&lt;&gt;"OR+EX",--(DATOS!$G11974=CONFIG_METADATA!$B$4),IF(DATOS!$G11974="EX",1,IF(DATOS!$G11974="OR",--(COUNTIFS(nNIA,DATOS!$A11974,nCURSO,DATOS!$D11974,nESPEC,DATOS!$E11974,nASIG,DATOS!$I11974,nEVAL,"EX")=0),0))))</f>
      </c>
      <c r="H11974">
        <f>IF(DATOS!$G11974&lt;&gt;"EX",0,--(COUNTIFS(nNIA,DATOS!$A11974,nCURSO,DATOS!$D11974,nESPEC,DATOS!$E11974,nASIG,DATOS!$I11974,nEVAL,"OR")=0))</f>
      </c>
      <c r="I11974">
        <f>IF(DATOS!$I11974="","",IFERROR(VLOOKUP(DATOS!$I11974,CONFIG_ASIGNATURAS!$B$2:$J$91,9,FALSE()),""))</f>
      </c>
    </row>
    <row r="11975">
      <c r="F11975">
        <f>IF(DATOS!$A11975="","",DATOS!$A11975&amp;"|"&amp;DATOS!$D11975&amp;"|"&amp;DATOS!$E11975&amp;"|"&amp;DATOS!$I11975)</f>
      </c>
      <c r="G11975">
        <f>IF(DATOS!$A11975="",0,IF(CONFIG_METADATA!$B$4&lt;&gt;"OR+EX",--(DATOS!$G11975=CONFIG_METADATA!$B$4),IF(DATOS!$G11975="EX",1,IF(DATOS!$G11975="OR",--(COUNTIFS(nNIA,DATOS!$A11975,nCURSO,DATOS!$D11975,nESPEC,DATOS!$E11975,nASIG,DATOS!$I11975,nEVAL,"EX")=0),0))))</f>
      </c>
      <c r="H11975">
        <f>IF(DATOS!$G11975&lt;&gt;"EX",0,--(COUNTIFS(nNIA,DATOS!$A11975,nCURSO,DATOS!$D11975,nESPEC,DATOS!$E11975,nASIG,DATOS!$I11975,nEVAL,"OR")=0))</f>
      </c>
      <c r="I11975">
        <f>IF(DATOS!$I11975="","",IFERROR(VLOOKUP(DATOS!$I11975,CONFIG_ASIGNATURAS!$B$2:$J$91,9,FALSE()),""))</f>
      </c>
    </row>
    <row r="11976">
      <c r="F11976">
        <f>IF(DATOS!$A11976="","",DATOS!$A11976&amp;"|"&amp;DATOS!$D11976&amp;"|"&amp;DATOS!$E11976&amp;"|"&amp;DATOS!$I11976)</f>
      </c>
      <c r="G11976">
        <f>IF(DATOS!$A11976="",0,IF(CONFIG_METADATA!$B$4&lt;&gt;"OR+EX",--(DATOS!$G11976=CONFIG_METADATA!$B$4),IF(DATOS!$G11976="EX",1,IF(DATOS!$G11976="OR",--(COUNTIFS(nNIA,DATOS!$A11976,nCURSO,DATOS!$D11976,nESPEC,DATOS!$E11976,nASIG,DATOS!$I11976,nEVAL,"EX")=0),0))))</f>
      </c>
      <c r="H11976">
        <f>IF(DATOS!$G11976&lt;&gt;"EX",0,--(COUNTIFS(nNIA,DATOS!$A11976,nCURSO,DATOS!$D11976,nESPEC,DATOS!$E11976,nASIG,DATOS!$I11976,nEVAL,"OR")=0))</f>
      </c>
      <c r="I11976">
        <f>IF(DATOS!$I11976="","",IFERROR(VLOOKUP(DATOS!$I11976,CONFIG_ASIGNATURAS!$B$2:$J$91,9,FALSE()),""))</f>
      </c>
    </row>
    <row r="11977">
      <c r="F11977">
        <f>IF(DATOS!$A11977="","",DATOS!$A11977&amp;"|"&amp;DATOS!$D11977&amp;"|"&amp;DATOS!$E11977&amp;"|"&amp;DATOS!$I11977)</f>
      </c>
      <c r="G11977">
        <f>IF(DATOS!$A11977="",0,IF(CONFIG_METADATA!$B$4&lt;&gt;"OR+EX",--(DATOS!$G11977=CONFIG_METADATA!$B$4),IF(DATOS!$G11977="EX",1,IF(DATOS!$G11977="OR",--(COUNTIFS(nNIA,DATOS!$A11977,nCURSO,DATOS!$D11977,nESPEC,DATOS!$E11977,nASIG,DATOS!$I11977,nEVAL,"EX")=0),0))))</f>
      </c>
      <c r="H11977">
        <f>IF(DATOS!$G11977&lt;&gt;"EX",0,--(COUNTIFS(nNIA,DATOS!$A11977,nCURSO,DATOS!$D11977,nESPEC,DATOS!$E11977,nASIG,DATOS!$I11977,nEVAL,"OR")=0))</f>
      </c>
      <c r="I11977">
        <f>IF(DATOS!$I11977="","",IFERROR(VLOOKUP(DATOS!$I11977,CONFIG_ASIGNATURAS!$B$2:$J$91,9,FALSE()),""))</f>
      </c>
    </row>
    <row r="11978">
      <c r="F11978">
        <f>IF(DATOS!$A11978="","",DATOS!$A11978&amp;"|"&amp;DATOS!$D11978&amp;"|"&amp;DATOS!$E11978&amp;"|"&amp;DATOS!$I11978)</f>
      </c>
      <c r="G11978">
        <f>IF(DATOS!$A11978="",0,IF(CONFIG_METADATA!$B$4&lt;&gt;"OR+EX",--(DATOS!$G11978=CONFIG_METADATA!$B$4),IF(DATOS!$G11978="EX",1,IF(DATOS!$G11978="OR",--(COUNTIFS(nNIA,DATOS!$A11978,nCURSO,DATOS!$D11978,nESPEC,DATOS!$E11978,nASIG,DATOS!$I11978,nEVAL,"EX")=0),0))))</f>
      </c>
      <c r="H11978">
        <f>IF(DATOS!$G11978&lt;&gt;"EX",0,--(COUNTIFS(nNIA,DATOS!$A11978,nCURSO,DATOS!$D11978,nESPEC,DATOS!$E11978,nASIG,DATOS!$I11978,nEVAL,"OR")=0))</f>
      </c>
      <c r="I11978">
        <f>IF(DATOS!$I11978="","",IFERROR(VLOOKUP(DATOS!$I11978,CONFIG_ASIGNATURAS!$B$2:$J$91,9,FALSE()),""))</f>
      </c>
    </row>
    <row r="11979">
      <c r="F11979">
        <f>IF(DATOS!$A11979="","",DATOS!$A11979&amp;"|"&amp;DATOS!$D11979&amp;"|"&amp;DATOS!$E11979&amp;"|"&amp;DATOS!$I11979)</f>
      </c>
      <c r="G11979">
        <f>IF(DATOS!$A11979="",0,IF(CONFIG_METADATA!$B$4&lt;&gt;"OR+EX",--(DATOS!$G11979=CONFIG_METADATA!$B$4),IF(DATOS!$G11979="EX",1,IF(DATOS!$G11979="OR",--(COUNTIFS(nNIA,DATOS!$A11979,nCURSO,DATOS!$D11979,nESPEC,DATOS!$E11979,nASIG,DATOS!$I11979,nEVAL,"EX")=0),0))))</f>
      </c>
      <c r="H11979">
        <f>IF(DATOS!$G11979&lt;&gt;"EX",0,--(COUNTIFS(nNIA,DATOS!$A11979,nCURSO,DATOS!$D11979,nESPEC,DATOS!$E11979,nASIG,DATOS!$I11979,nEVAL,"OR")=0))</f>
      </c>
      <c r="I11979">
        <f>IF(DATOS!$I11979="","",IFERROR(VLOOKUP(DATOS!$I11979,CONFIG_ASIGNATURAS!$B$2:$J$91,9,FALSE()),""))</f>
      </c>
    </row>
    <row r="11980">
      <c r="F11980">
        <f>IF(DATOS!$A11980="","",DATOS!$A11980&amp;"|"&amp;DATOS!$D11980&amp;"|"&amp;DATOS!$E11980&amp;"|"&amp;DATOS!$I11980)</f>
      </c>
      <c r="G11980">
        <f>IF(DATOS!$A11980="",0,IF(CONFIG_METADATA!$B$4&lt;&gt;"OR+EX",--(DATOS!$G11980=CONFIG_METADATA!$B$4),IF(DATOS!$G11980="EX",1,IF(DATOS!$G11980="OR",--(COUNTIFS(nNIA,DATOS!$A11980,nCURSO,DATOS!$D11980,nESPEC,DATOS!$E11980,nASIG,DATOS!$I11980,nEVAL,"EX")=0),0))))</f>
      </c>
      <c r="H11980">
        <f>IF(DATOS!$G11980&lt;&gt;"EX",0,--(COUNTIFS(nNIA,DATOS!$A11980,nCURSO,DATOS!$D11980,nESPEC,DATOS!$E11980,nASIG,DATOS!$I11980,nEVAL,"OR")=0))</f>
      </c>
      <c r="I11980">
        <f>IF(DATOS!$I11980="","",IFERROR(VLOOKUP(DATOS!$I11980,CONFIG_ASIGNATURAS!$B$2:$J$91,9,FALSE()),""))</f>
      </c>
    </row>
    <row r="11981">
      <c r="F11981">
        <f>IF(DATOS!$A11981="","",DATOS!$A11981&amp;"|"&amp;DATOS!$D11981&amp;"|"&amp;DATOS!$E11981&amp;"|"&amp;DATOS!$I11981)</f>
      </c>
      <c r="G11981">
        <f>IF(DATOS!$A11981="",0,IF(CONFIG_METADATA!$B$4&lt;&gt;"OR+EX",--(DATOS!$G11981=CONFIG_METADATA!$B$4),IF(DATOS!$G11981="EX",1,IF(DATOS!$G11981="OR",--(COUNTIFS(nNIA,DATOS!$A11981,nCURSO,DATOS!$D11981,nESPEC,DATOS!$E11981,nASIG,DATOS!$I11981,nEVAL,"EX")=0),0))))</f>
      </c>
      <c r="H11981">
        <f>IF(DATOS!$G11981&lt;&gt;"EX",0,--(COUNTIFS(nNIA,DATOS!$A11981,nCURSO,DATOS!$D11981,nESPEC,DATOS!$E11981,nASIG,DATOS!$I11981,nEVAL,"OR")=0))</f>
      </c>
      <c r="I11981">
        <f>IF(DATOS!$I11981="","",IFERROR(VLOOKUP(DATOS!$I11981,CONFIG_ASIGNATURAS!$B$2:$J$91,9,FALSE()),""))</f>
      </c>
    </row>
    <row r="11982">
      <c r="F11982">
        <f>IF(DATOS!$A11982="","",DATOS!$A11982&amp;"|"&amp;DATOS!$D11982&amp;"|"&amp;DATOS!$E11982&amp;"|"&amp;DATOS!$I11982)</f>
      </c>
      <c r="G11982">
        <f>IF(DATOS!$A11982="",0,IF(CONFIG_METADATA!$B$4&lt;&gt;"OR+EX",--(DATOS!$G11982=CONFIG_METADATA!$B$4),IF(DATOS!$G11982="EX",1,IF(DATOS!$G11982="OR",--(COUNTIFS(nNIA,DATOS!$A11982,nCURSO,DATOS!$D11982,nESPEC,DATOS!$E11982,nASIG,DATOS!$I11982,nEVAL,"EX")=0),0))))</f>
      </c>
      <c r="H11982">
        <f>IF(DATOS!$G11982&lt;&gt;"EX",0,--(COUNTIFS(nNIA,DATOS!$A11982,nCURSO,DATOS!$D11982,nESPEC,DATOS!$E11982,nASIG,DATOS!$I11982,nEVAL,"OR")=0))</f>
      </c>
      <c r="I11982">
        <f>IF(DATOS!$I11982="","",IFERROR(VLOOKUP(DATOS!$I11982,CONFIG_ASIGNATURAS!$B$2:$J$91,9,FALSE()),""))</f>
      </c>
    </row>
    <row r="11983">
      <c r="F11983">
        <f>IF(DATOS!$A11983="","",DATOS!$A11983&amp;"|"&amp;DATOS!$D11983&amp;"|"&amp;DATOS!$E11983&amp;"|"&amp;DATOS!$I11983)</f>
      </c>
      <c r="G11983">
        <f>IF(DATOS!$A11983="",0,IF(CONFIG_METADATA!$B$4&lt;&gt;"OR+EX",--(DATOS!$G11983=CONFIG_METADATA!$B$4),IF(DATOS!$G11983="EX",1,IF(DATOS!$G11983="OR",--(COUNTIFS(nNIA,DATOS!$A11983,nCURSO,DATOS!$D11983,nESPEC,DATOS!$E11983,nASIG,DATOS!$I11983,nEVAL,"EX")=0),0))))</f>
      </c>
      <c r="H11983">
        <f>IF(DATOS!$G11983&lt;&gt;"EX",0,--(COUNTIFS(nNIA,DATOS!$A11983,nCURSO,DATOS!$D11983,nESPEC,DATOS!$E11983,nASIG,DATOS!$I11983,nEVAL,"OR")=0))</f>
      </c>
      <c r="I11983">
        <f>IF(DATOS!$I11983="","",IFERROR(VLOOKUP(DATOS!$I11983,CONFIG_ASIGNATURAS!$B$2:$J$91,9,FALSE()),""))</f>
      </c>
    </row>
    <row r="11984">
      <c r="F11984">
        <f>IF(DATOS!$A11984="","",DATOS!$A11984&amp;"|"&amp;DATOS!$D11984&amp;"|"&amp;DATOS!$E11984&amp;"|"&amp;DATOS!$I11984)</f>
      </c>
      <c r="G11984">
        <f>IF(DATOS!$A11984="",0,IF(CONFIG_METADATA!$B$4&lt;&gt;"OR+EX",--(DATOS!$G11984=CONFIG_METADATA!$B$4),IF(DATOS!$G11984="EX",1,IF(DATOS!$G11984="OR",--(COUNTIFS(nNIA,DATOS!$A11984,nCURSO,DATOS!$D11984,nESPEC,DATOS!$E11984,nASIG,DATOS!$I11984,nEVAL,"EX")=0),0))))</f>
      </c>
      <c r="H11984">
        <f>IF(DATOS!$G11984&lt;&gt;"EX",0,--(COUNTIFS(nNIA,DATOS!$A11984,nCURSO,DATOS!$D11984,nESPEC,DATOS!$E11984,nASIG,DATOS!$I11984,nEVAL,"OR")=0))</f>
      </c>
      <c r="I11984">
        <f>IF(DATOS!$I11984="","",IFERROR(VLOOKUP(DATOS!$I11984,CONFIG_ASIGNATURAS!$B$2:$J$91,9,FALSE()),""))</f>
      </c>
    </row>
    <row r="11985">
      <c r="F11985">
        <f>IF(DATOS!$A11985="","",DATOS!$A11985&amp;"|"&amp;DATOS!$D11985&amp;"|"&amp;DATOS!$E11985&amp;"|"&amp;DATOS!$I11985)</f>
      </c>
      <c r="G11985">
        <f>IF(DATOS!$A11985="",0,IF(CONFIG_METADATA!$B$4&lt;&gt;"OR+EX",--(DATOS!$G11985=CONFIG_METADATA!$B$4),IF(DATOS!$G11985="EX",1,IF(DATOS!$G11985="OR",--(COUNTIFS(nNIA,DATOS!$A11985,nCURSO,DATOS!$D11985,nESPEC,DATOS!$E11985,nASIG,DATOS!$I11985,nEVAL,"EX")=0),0))))</f>
      </c>
      <c r="H11985">
        <f>IF(DATOS!$G11985&lt;&gt;"EX",0,--(COUNTIFS(nNIA,DATOS!$A11985,nCURSO,DATOS!$D11985,nESPEC,DATOS!$E11985,nASIG,DATOS!$I11985,nEVAL,"OR")=0))</f>
      </c>
      <c r="I11985">
        <f>IF(DATOS!$I11985="","",IFERROR(VLOOKUP(DATOS!$I11985,CONFIG_ASIGNATURAS!$B$2:$J$91,9,FALSE()),""))</f>
      </c>
    </row>
    <row r="11986">
      <c r="F11986">
        <f>IF(DATOS!$A11986="","",DATOS!$A11986&amp;"|"&amp;DATOS!$D11986&amp;"|"&amp;DATOS!$E11986&amp;"|"&amp;DATOS!$I11986)</f>
      </c>
      <c r="G11986">
        <f>IF(DATOS!$A11986="",0,IF(CONFIG_METADATA!$B$4&lt;&gt;"OR+EX",--(DATOS!$G11986=CONFIG_METADATA!$B$4),IF(DATOS!$G11986="EX",1,IF(DATOS!$G11986="OR",--(COUNTIFS(nNIA,DATOS!$A11986,nCURSO,DATOS!$D11986,nESPEC,DATOS!$E11986,nASIG,DATOS!$I11986,nEVAL,"EX")=0),0))))</f>
      </c>
      <c r="H11986">
        <f>IF(DATOS!$G11986&lt;&gt;"EX",0,--(COUNTIFS(nNIA,DATOS!$A11986,nCURSO,DATOS!$D11986,nESPEC,DATOS!$E11986,nASIG,DATOS!$I11986,nEVAL,"OR")=0))</f>
      </c>
      <c r="I11986">
        <f>IF(DATOS!$I11986="","",IFERROR(VLOOKUP(DATOS!$I11986,CONFIG_ASIGNATURAS!$B$2:$J$91,9,FALSE()),""))</f>
      </c>
    </row>
    <row r="11987">
      <c r="F11987">
        <f>IF(DATOS!$A11987="","",DATOS!$A11987&amp;"|"&amp;DATOS!$D11987&amp;"|"&amp;DATOS!$E11987&amp;"|"&amp;DATOS!$I11987)</f>
      </c>
      <c r="G11987">
        <f>IF(DATOS!$A11987="",0,IF(CONFIG_METADATA!$B$4&lt;&gt;"OR+EX",--(DATOS!$G11987=CONFIG_METADATA!$B$4),IF(DATOS!$G11987="EX",1,IF(DATOS!$G11987="OR",--(COUNTIFS(nNIA,DATOS!$A11987,nCURSO,DATOS!$D11987,nESPEC,DATOS!$E11987,nASIG,DATOS!$I11987,nEVAL,"EX")=0),0))))</f>
      </c>
      <c r="H11987">
        <f>IF(DATOS!$G11987&lt;&gt;"EX",0,--(COUNTIFS(nNIA,DATOS!$A11987,nCURSO,DATOS!$D11987,nESPEC,DATOS!$E11987,nASIG,DATOS!$I11987,nEVAL,"OR")=0))</f>
      </c>
      <c r="I11987">
        <f>IF(DATOS!$I11987="","",IFERROR(VLOOKUP(DATOS!$I11987,CONFIG_ASIGNATURAS!$B$2:$J$91,9,FALSE()),""))</f>
      </c>
    </row>
    <row r="11988">
      <c r="F11988">
        <f>IF(DATOS!$A11988="","",DATOS!$A11988&amp;"|"&amp;DATOS!$D11988&amp;"|"&amp;DATOS!$E11988&amp;"|"&amp;DATOS!$I11988)</f>
      </c>
      <c r="G11988">
        <f>IF(DATOS!$A11988="",0,IF(CONFIG_METADATA!$B$4&lt;&gt;"OR+EX",--(DATOS!$G11988=CONFIG_METADATA!$B$4),IF(DATOS!$G11988="EX",1,IF(DATOS!$G11988="OR",--(COUNTIFS(nNIA,DATOS!$A11988,nCURSO,DATOS!$D11988,nESPEC,DATOS!$E11988,nASIG,DATOS!$I11988,nEVAL,"EX")=0),0))))</f>
      </c>
      <c r="H11988">
        <f>IF(DATOS!$G11988&lt;&gt;"EX",0,--(COUNTIFS(nNIA,DATOS!$A11988,nCURSO,DATOS!$D11988,nESPEC,DATOS!$E11988,nASIG,DATOS!$I11988,nEVAL,"OR")=0))</f>
      </c>
      <c r="I11988">
        <f>IF(DATOS!$I11988="","",IFERROR(VLOOKUP(DATOS!$I11988,CONFIG_ASIGNATURAS!$B$2:$J$91,9,FALSE()),""))</f>
      </c>
    </row>
    <row r="11989">
      <c r="F11989">
        <f>IF(DATOS!$A11989="","",DATOS!$A11989&amp;"|"&amp;DATOS!$D11989&amp;"|"&amp;DATOS!$E11989&amp;"|"&amp;DATOS!$I11989)</f>
      </c>
      <c r="G11989">
        <f>IF(DATOS!$A11989="",0,IF(CONFIG_METADATA!$B$4&lt;&gt;"OR+EX",--(DATOS!$G11989=CONFIG_METADATA!$B$4),IF(DATOS!$G11989="EX",1,IF(DATOS!$G11989="OR",--(COUNTIFS(nNIA,DATOS!$A11989,nCURSO,DATOS!$D11989,nESPEC,DATOS!$E11989,nASIG,DATOS!$I11989,nEVAL,"EX")=0),0))))</f>
      </c>
      <c r="H11989">
        <f>IF(DATOS!$G11989&lt;&gt;"EX",0,--(COUNTIFS(nNIA,DATOS!$A11989,nCURSO,DATOS!$D11989,nESPEC,DATOS!$E11989,nASIG,DATOS!$I11989,nEVAL,"OR")=0))</f>
      </c>
      <c r="I11989">
        <f>IF(DATOS!$I11989="","",IFERROR(VLOOKUP(DATOS!$I11989,CONFIG_ASIGNATURAS!$B$2:$J$91,9,FALSE()),""))</f>
      </c>
    </row>
    <row r="11990">
      <c r="F11990">
        <f>IF(DATOS!$A11990="","",DATOS!$A11990&amp;"|"&amp;DATOS!$D11990&amp;"|"&amp;DATOS!$E11990&amp;"|"&amp;DATOS!$I11990)</f>
      </c>
      <c r="G11990">
        <f>IF(DATOS!$A11990="",0,IF(CONFIG_METADATA!$B$4&lt;&gt;"OR+EX",--(DATOS!$G11990=CONFIG_METADATA!$B$4),IF(DATOS!$G11990="EX",1,IF(DATOS!$G11990="OR",--(COUNTIFS(nNIA,DATOS!$A11990,nCURSO,DATOS!$D11990,nESPEC,DATOS!$E11990,nASIG,DATOS!$I11990,nEVAL,"EX")=0),0))))</f>
      </c>
      <c r="H11990">
        <f>IF(DATOS!$G11990&lt;&gt;"EX",0,--(COUNTIFS(nNIA,DATOS!$A11990,nCURSO,DATOS!$D11990,nESPEC,DATOS!$E11990,nASIG,DATOS!$I11990,nEVAL,"OR")=0))</f>
      </c>
      <c r="I11990">
        <f>IF(DATOS!$I11990="","",IFERROR(VLOOKUP(DATOS!$I11990,CONFIG_ASIGNATURAS!$B$2:$J$91,9,FALSE()),""))</f>
      </c>
    </row>
    <row r="11991">
      <c r="F11991">
        <f>IF(DATOS!$A11991="","",DATOS!$A11991&amp;"|"&amp;DATOS!$D11991&amp;"|"&amp;DATOS!$E11991&amp;"|"&amp;DATOS!$I11991)</f>
      </c>
      <c r="G11991">
        <f>IF(DATOS!$A11991="",0,IF(CONFIG_METADATA!$B$4&lt;&gt;"OR+EX",--(DATOS!$G11991=CONFIG_METADATA!$B$4),IF(DATOS!$G11991="EX",1,IF(DATOS!$G11991="OR",--(COUNTIFS(nNIA,DATOS!$A11991,nCURSO,DATOS!$D11991,nESPEC,DATOS!$E11991,nASIG,DATOS!$I11991,nEVAL,"EX")=0),0))))</f>
      </c>
      <c r="H11991">
        <f>IF(DATOS!$G11991&lt;&gt;"EX",0,--(COUNTIFS(nNIA,DATOS!$A11991,nCURSO,DATOS!$D11991,nESPEC,DATOS!$E11991,nASIG,DATOS!$I11991,nEVAL,"OR")=0))</f>
      </c>
      <c r="I11991">
        <f>IF(DATOS!$I11991="","",IFERROR(VLOOKUP(DATOS!$I11991,CONFIG_ASIGNATURAS!$B$2:$J$91,9,FALSE()),""))</f>
      </c>
    </row>
    <row r="11992">
      <c r="F11992">
        <f>IF(DATOS!$A11992="","",DATOS!$A11992&amp;"|"&amp;DATOS!$D11992&amp;"|"&amp;DATOS!$E11992&amp;"|"&amp;DATOS!$I11992)</f>
      </c>
      <c r="G11992">
        <f>IF(DATOS!$A11992="",0,IF(CONFIG_METADATA!$B$4&lt;&gt;"OR+EX",--(DATOS!$G11992=CONFIG_METADATA!$B$4),IF(DATOS!$G11992="EX",1,IF(DATOS!$G11992="OR",--(COUNTIFS(nNIA,DATOS!$A11992,nCURSO,DATOS!$D11992,nESPEC,DATOS!$E11992,nASIG,DATOS!$I11992,nEVAL,"EX")=0),0))))</f>
      </c>
      <c r="H11992">
        <f>IF(DATOS!$G11992&lt;&gt;"EX",0,--(COUNTIFS(nNIA,DATOS!$A11992,nCURSO,DATOS!$D11992,nESPEC,DATOS!$E11992,nASIG,DATOS!$I11992,nEVAL,"OR")=0))</f>
      </c>
      <c r="I11992">
        <f>IF(DATOS!$I11992="","",IFERROR(VLOOKUP(DATOS!$I11992,CONFIG_ASIGNATURAS!$B$2:$J$91,9,FALSE()),""))</f>
      </c>
    </row>
    <row r="11993">
      <c r="F11993">
        <f>IF(DATOS!$A11993="","",DATOS!$A11993&amp;"|"&amp;DATOS!$D11993&amp;"|"&amp;DATOS!$E11993&amp;"|"&amp;DATOS!$I11993)</f>
      </c>
      <c r="G11993">
        <f>IF(DATOS!$A11993="",0,IF(CONFIG_METADATA!$B$4&lt;&gt;"OR+EX",--(DATOS!$G11993=CONFIG_METADATA!$B$4),IF(DATOS!$G11993="EX",1,IF(DATOS!$G11993="OR",--(COUNTIFS(nNIA,DATOS!$A11993,nCURSO,DATOS!$D11993,nESPEC,DATOS!$E11993,nASIG,DATOS!$I11993,nEVAL,"EX")=0),0))))</f>
      </c>
      <c r="H11993">
        <f>IF(DATOS!$G11993&lt;&gt;"EX",0,--(COUNTIFS(nNIA,DATOS!$A11993,nCURSO,DATOS!$D11993,nESPEC,DATOS!$E11993,nASIG,DATOS!$I11993,nEVAL,"OR")=0))</f>
      </c>
      <c r="I11993">
        <f>IF(DATOS!$I11993="","",IFERROR(VLOOKUP(DATOS!$I11993,CONFIG_ASIGNATURAS!$B$2:$J$91,9,FALSE()),""))</f>
      </c>
    </row>
    <row r="11994">
      <c r="F11994">
        <f>IF(DATOS!$A11994="","",DATOS!$A11994&amp;"|"&amp;DATOS!$D11994&amp;"|"&amp;DATOS!$E11994&amp;"|"&amp;DATOS!$I11994)</f>
      </c>
      <c r="G11994">
        <f>IF(DATOS!$A11994="",0,IF(CONFIG_METADATA!$B$4&lt;&gt;"OR+EX",--(DATOS!$G11994=CONFIG_METADATA!$B$4),IF(DATOS!$G11994="EX",1,IF(DATOS!$G11994="OR",--(COUNTIFS(nNIA,DATOS!$A11994,nCURSO,DATOS!$D11994,nESPEC,DATOS!$E11994,nASIG,DATOS!$I11994,nEVAL,"EX")=0),0))))</f>
      </c>
      <c r="H11994">
        <f>IF(DATOS!$G11994&lt;&gt;"EX",0,--(COUNTIFS(nNIA,DATOS!$A11994,nCURSO,DATOS!$D11994,nESPEC,DATOS!$E11994,nASIG,DATOS!$I11994,nEVAL,"OR")=0))</f>
      </c>
      <c r="I11994">
        <f>IF(DATOS!$I11994="","",IFERROR(VLOOKUP(DATOS!$I11994,CONFIG_ASIGNATURAS!$B$2:$J$91,9,FALSE()),""))</f>
      </c>
    </row>
    <row r="11995">
      <c r="F11995">
        <f>IF(DATOS!$A11995="","",DATOS!$A11995&amp;"|"&amp;DATOS!$D11995&amp;"|"&amp;DATOS!$E11995&amp;"|"&amp;DATOS!$I11995)</f>
      </c>
      <c r="G11995">
        <f>IF(DATOS!$A11995="",0,IF(CONFIG_METADATA!$B$4&lt;&gt;"OR+EX",--(DATOS!$G11995=CONFIG_METADATA!$B$4),IF(DATOS!$G11995="EX",1,IF(DATOS!$G11995="OR",--(COUNTIFS(nNIA,DATOS!$A11995,nCURSO,DATOS!$D11995,nESPEC,DATOS!$E11995,nASIG,DATOS!$I11995,nEVAL,"EX")=0),0))))</f>
      </c>
      <c r="H11995">
        <f>IF(DATOS!$G11995&lt;&gt;"EX",0,--(COUNTIFS(nNIA,DATOS!$A11995,nCURSO,DATOS!$D11995,nESPEC,DATOS!$E11995,nASIG,DATOS!$I11995,nEVAL,"OR")=0))</f>
      </c>
      <c r="I11995">
        <f>IF(DATOS!$I11995="","",IFERROR(VLOOKUP(DATOS!$I11995,CONFIG_ASIGNATURAS!$B$2:$J$91,9,FALSE()),""))</f>
      </c>
    </row>
    <row r="11996">
      <c r="F11996">
        <f>IF(DATOS!$A11996="","",DATOS!$A11996&amp;"|"&amp;DATOS!$D11996&amp;"|"&amp;DATOS!$E11996&amp;"|"&amp;DATOS!$I11996)</f>
      </c>
      <c r="G11996">
        <f>IF(DATOS!$A11996="",0,IF(CONFIG_METADATA!$B$4&lt;&gt;"OR+EX",--(DATOS!$G11996=CONFIG_METADATA!$B$4),IF(DATOS!$G11996="EX",1,IF(DATOS!$G11996="OR",--(COUNTIFS(nNIA,DATOS!$A11996,nCURSO,DATOS!$D11996,nESPEC,DATOS!$E11996,nASIG,DATOS!$I11996,nEVAL,"EX")=0),0))))</f>
      </c>
      <c r="H11996">
        <f>IF(DATOS!$G11996&lt;&gt;"EX",0,--(COUNTIFS(nNIA,DATOS!$A11996,nCURSO,DATOS!$D11996,nESPEC,DATOS!$E11996,nASIG,DATOS!$I11996,nEVAL,"OR")=0))</f>
      </c>
      <c r="I11996">
        <f>IF(DATOS!$I11996="","",IFERROR(VLOOKUP(DATOS!$I11996,CONFIG_ASIGNATURAS!$B$2:$J$91,9,FALSE()),""))</f>
      </c>
    </row>
    <row r="11997">
      <c r="F11997">
        <f>IF(DATOS!$A11997="","",DATOS!$A11997&amp;"|"&amp;DATOS!$D11997&amp;"|"&amp;DATOS!$E11997&amp;"|"&amp;DATOS!$I11997)</f>
      </c>
      <c r="G11997">
        <f>IF(DATOS!$A11997="",0,IF(CONFIG_METADATA!$B$4&lt;&gt;"OR+EX",--(DATOS!$G11997=CONFIG_METADATA!$B$4),IF(DATOS!$G11997="EX",1,IF(DATOS!$G11997="OR",--(COUNTIFS(nNIA,DATOS!$A11997,nCURSO,DATOS!$D11997,nESPEC,DATOS!$E11997,nASIG,DATOS!$I11997,nEVAL,"EX")=0),0))))</f>
      </c>
      <c r="H11997">
        <f>IF(DATOS!$G11997&lt;&gt;"EX",0,--(COUNTIFS(nNIA,DATOS!$A11997,nCURSO,DATOS!$D11997,nESPEC,DATOS!$E11997,nASIG,DATOS!$I11997,nEVAL,"OR")=0))</f>
      </c>
      <c r="I11997">
        <f>IF(DATOS!$I11997="","",IFERROR(VLOOKUP(DATOS!$I11997,CONFIG_ASIGNATURAS!$B$2:$J$91,9,FALSE()),""))</f>
      </c>
    </row>
    <row r="11998">
      <c r="F11998">
        <f>IF(DATOS!$A11998="","",DATOS!$A11998&amp;"|"&amp;DATOS!$D11998&amp;"|"&amp;DATOS!$E11998&amp;"|"&amp;DATOS!$I11998)</f>
      </c>
      <c r="G11998">
        <f>IF(DATOS!$A11998="",0,IF(CONFIG_METADATA!$B$4&lt;&gt;"OR+EX",--(DATOS!$G11998=CONFIG_METADATA!$B$4),IF(DATOS!$G11998="EX",1,IF(DATOS!$G11998="OR",--(COUNTIFS(nNIA,DATOS!$A11998,nCURSO,DATOS!$D11998,nESPEC,DATOS!$E11998,nASIG,DATOS!$I11998,nEVAL,"EX")=0),0))))</f>
      </c>
      <c r="H11998">
        <f>IF(DATOS!$G11998&lt;&gt;"EX",0,--(COUNTIFS(nNIA,DATOS!$A11998,nCURSO,DATOS!$D11998,nESPEC,DATOS!$E11998,nASIG,DATOS!$I11998,nEVAL,"OR")=0))</f>
      </c>
      <c r="I11998">
        <f>IF(DATOS!$I11998="","",IFERROR(VLOOKUP(DATOS!$I11998,CONFIG_ASIGNATURAS!$B$2:$J$91,9,FALSE()),""))</f>
      </c>
    </row>
    <row r="11999">
      <c r="F11999">
        <f>IF(DATOS!$A11999="","",DATOS!$A11999&amp;"|"&amp;DATOS!$D11999&amp;"|"&amp;DATOS!$E11999&amp;"|"&amp;DATOS!$I11999)</f>
      </c>
      <c r="G11999">
        <f>IF(DATOS!$A11999="",0,IF(CONFIG_METADATA!$B$4&lt;&gt;"OR+EX",--(DATOS!$G11999=CONFIG_METADATA!$B$4),IF(DATOS!$G11999="EX",1,IF(DATOS!$G11999="OR",--(COUNTIFS(nNIA,DATOS!$A11999,nCURSO,DATOS!$D11999,nESPEC,DATOS!$E11999,nASIG,DATOS!$I11999,nEVAL,"EX")=0),0))))</f>
      </c>
      <c r="H11999">
        <f>IF(DATOS!$G11999&lt;&gt;"EX",0,--(COUNTIFS(nNIA,DATOS!$A11999,nCURSO,DATOS!$D11999,nESPEC,DATOS!$E11999,nASIG,DATOS!$I11999,nEVAL,"OR")=0))</f>
      </c>
      <c r="I11999">
        <f>IF(DATOS!$I11999="","",IFERROR(VLOOKUP(DATOS!$I11999,CONFIG_ASIGNATURAS!$B$2:$J$91,9,FALSE()),""))</f>
      </c>
    </row>
    <row r="12000">
      <c r="F12000">
        <f>IF(DATOS!$A12000="","",DATOS!$A12000&amp;"|"&amp;DATOS!$D12000&amp;"|"&amp;DATOS!$E12000&amp;"|"&amp;DATOS!$I12000)</f>
      </c>
      <c r="G12000">
        <f>IF(DATOS!$A12000="",0,IF(CONFIG_METADATA!$B$4&lt;&gt;"OR+EX",--(DATOS!$G12000=CONFIG_METADATA!$B$4),IF(DATOS!$G12000="EX",1,IF(DATOS!$G12000="OR",--(COUNTIFS(nNIA,DATOS!$A12000,nCURSO,DATOS!$D12000,nESPEC,DATOS!$E12000,nASIG,DATOS!$I12000,nEVAL,"EX")=0),0))))</f>
      </c>
      <c r="H12000">
        <f>IF(DATOS!$G12000&lt;&gt;"EX",0,--(COUNTIFS(nNIA,DATOS!$A12000,nCURSO,DATOS!$D12000,nESPEC,DATOS!$E12000,nASIG,DATOS!$I12000,nEVAL,"OR")=0))</f>
      </c>
      <c r="I12000">
        <f>IF(DATOS!$I12000="","",IFERROR(VLOOKUP(DATOS!$I12000,CONFIG_ASIGNATURAS!$B$2:$J$91,9,FALSE()),""))</f>
      </c>
    </row>
    <row r="12001">
      <c r="F12001">
        <f>IF(DATOS!$A12001="","",DATOS!$A12001&amp;"|"&amp;DATOS!$D12001&amp;"|"&amp;DATOS!$E12001&amp;"|"&amp;DATOS!$I12001)</f>
      </c>
      <c r="G12001">
        <f>IF(DATOS!$A12001="",0,IF(CONFIG_METADATA!$B$4&lt;&gt;"OR+EX",--(DATOS!$G12001=CONFIG_METADATA!$B$4),IF(DATOS!$G12001="EX",1,IF(DATOS!$G12001="OR",--(COUNTIFS(nNIA,DATOS!$A12001,nCURSO,DATOS!$D12001,nESPEC,DATOS!$E12001,nASIG,DATOS!$I12001,nEVAL,"EX")=0),0))))</f>
      </c>
      <c r="H12001">
        <f>IF(DATOS!$G12001&lt;&gt;"EX",0,--(COUNTIFS(nNIA,DATOS!$A12001,nCURSO,DATOS!$D12001,nESPEC,DATOS!$E12001,nASIG,DATOS!$I12001,nEVAL,"OR")=0))</f>
      </c>
      <c r="I12001">
        <f>IF(DATOS!$I12001="","",IFERROR(VLOOKUP(DATOS!$I12001,CONFIG_ASIGNATURAS!$B$2:$J$91,9,FALSE()),""))</f>
      </c>
    </row>
    <row r="12002">
      <c r="F12002">
        <f>IF(DATOS!$A12002="","",DATOS!$A12002&amp;"|"&amp;DATOS!$D12002&amp;"|"&amp;DATOS!$E12002&amp;"|"&amp;DATOS!$I12002)</f>
      </c>
      <c r="G12002">
        <f>IF(DATOS!$A12002="",0,IF(CONFIG_METADATA!$B$4&lt;&gt;"OR+EX",--(DATOS!$G12002=CONFIG_METADATA!$B$4),IF(DATOS!$G12002="EX",1,IF(DATOS!$G12002="OR",--(COUNTIFS(nNIA,DATOS!$A12002,nCURSO,DATOS!$D12002,nESPEC,DATOS!$E12002,nASIG,DATOS!$I12002,nEVAL,"EX")=0),0))))</f>
      </c>
      <c r="H12002">
        <f>IF(DATOS!$G12002&lt;&gt;"EX",0,--(COUNTIFS(nNIA,DATOS!$A12002,nCURSO,DATOS!$D12002,nESPEC,DATOS!$E12002,nASIG,DATOS!$I12002,nEVAL,"OR")=0))</f>
      </c>
      <c r="I12002">
        <f>IF(DATOS!$I12002="","",IFERROR(VLOOKUP(DATOS!$I12002,CONFIG_ASIGNATURAS!$B$2:$J$91,9,FALSE()),""))</f>
      </c>
    </row>
    <row r="12003">
      <c r="F12003">
        <f>IF(DATOS!$A12003="","",DATOS!$A12003&amp;"|"&amp;DATOS!$D12003&amp;"|"&amp;DATOS!$E12003&amp;"|"&amp;DATOS!$I12003)</f>
      </c>
      <c r="G12003">
        <f>IF(DATOS!$A12003="",0,IF(CONFIG_METADATA!$B$4&lt;&gt;"OR+EX",--(DATOS!$G12003=CONFIG_METADATA!$B$4),IF(DATOS!$G12003="EX",1,IF(DATOS!$G12003="OR",--(COUNTIFS(nNIA,DATOS!$A12003,nCURSO,DATOS!$D12003,nESPEC,DATOS!$E12003,nASIG,DATOS!$I12003,nEVAL,"EX")=0),0))))</f>
      </c>
      <c r="H12003">
        <f>IF(DATOS!$G12003&lt;&gt;"EX",0,--(COUNTIFS(nNIA,DATOS!$A12003,nCURSO,DATOS!$D12003,nESPEC,DATOS!$E12003,nASIG,DATOS!$I12003,nEVAL,"OR")=0))</f>
      </c>
      <c r="I12003">
        <f>IF(DATOS!$I12003="","",IFERROR(VLOOKUP(DATOS!$I12003,CONFIG_ASIGNATURAS!$B$2:$J$91,9,FALSE()),""))</f>
      </c>
    </row>
    <row r="12004">
      <c r="F12004">
        <f>IF(DATOS!$A12004="","",DATOS!$A12004&amp;"|"&amp;DATOS!$D12004&amp;"|"&amp;DATOS!$E12004&amp;"|"&amp;DATOS!$I12004)</f>
      </c>
      <c r="G12004">
        <f>IF(DATOS!$A12004="",0,IF(CONFIG_METADATA!$B$4&lt;&gt;"OR+EX",--(DATOS!$G12004=CONFIG_METADATA!$B$4),IF(DATOS!$G12004="EX",1,IF(DATOS!$G12004="OR",--(COUNTIFS(nNIA,DATOS!$A12004,nCURSO,DATOS!$D12004,nESPEC,DATOS!$E12004,nASIG,DATOS!$I12004,nEVAL,"EX")=0),0))))</f>
      </c>
      <c r="H12004">
        <f>IF(DATOS!$G12004&lt;&gt;"EX",0,--(COUNTIFS(nNIA,DATOS!$A12004,nCURSO,DATOS!$D12004,nESPEC,DATOS!$E12004,nASIG,DATOS!$I12004,nEVAL,"OR")=0))</f>
      </c>
      <c r="I12004">
        <f>IF(DATOS!$I12004="","",IFERROR(VLOOKUP(DATOS!$I12004,CONFIG_ASIGNATURAS!$B$2:$J$91,9,FALSE()),""))</f>
      </c>
    </row>
    <row r="12005">
      <c r="F12005">
        <f>IF(DATOS!$A12005="","",DATOS!$A12005&amp;"|"&amp;DATOS!$D12005&amp;"|"&amp;DATOS!$E12005&amp;"|"&amp;DATOS!$I12005)</f>
      </c>
      <c r="G12005">
        <f>IF(DATOS!$A12005="",0,IF(CONFIG_METADATA!$B$4&lt;&gt;"OR+EX",--(DATOS!$G12005=CONFIG_METADATA!$B$4),IF(DATOS!$G12005="EX",1,IF(DATOS!$G12005="OR",--(COUNTIFS(nNIA,DATOS!$A12005,nCURSO,DATOS!$D12005,nESPEC,DATOS!$E12005,nASIG,DATOS!$I12005,nEVAL,"EX")=0),0))))</f>
      </c>
      <c r="H12005">
        <f>IF(DATOS!$G12005&lt;&gt;"EX",0,--(COUNTIFS(nNIA,DATOS!$A12005,nCURSO,DATOS!$D12005,nESPEC,DATOS!$E12005,nASIG,DATOS!$I12005,nEVAL,"OR")=0))</f>
      </c>
      <c r="I12005">
        <f>IF(DATOS!$I12005="","",IFERROR(VLOOKUP(DATOS!$I12005,CONFIG_ASIGNATURAS!$B$2:$J$91,9,FALSE()),""))</f>
      </c>
    </row>
    <row r="12006">
      <c r="F12006">
        <f>IF(DATOS!$A12006="","",DATOS!$A12006&amp;"|"&amp;DATOS!$D12006&amp;"|"&amp;DATOS!$E12006&amp;"|"&amp;DATOS!$I12006)</f>
      </c>
      <c r="G12006">
        <f>IF(DATOS!$A12006="",0,IF(CONFIG_METADATA!$B$4&lt;&gt;"OR+EX",--(DATOS!$G12006=CONFIG_METADATA!$B$4),IF(DATOS!$G12006="EX",1,IF(DATOS!$G12006="OR",--(COUNTIFS(nNIA,DATOS!$A12006,nCURSO,DATOS!$D12006,nESPEC,DATOS!$E12006,nASIG,DATOS!$I12006,nEVAL,"EX")=0),0))))</f>
      </c>
      <c r="H12006">
        <f>IF(DATOS!$G12006&lt;&gt;"EX",0,--(COUNTIFS(nNIA,DATOS!$A12006,nCURSO,DATOS!$D12006,nESPEC,DATOS!$E12006,nASIG,DATOS!$I12006,nEVAL,"OR")=0))</f>
      </c>
      <c r="I12006">
        <f>IF(DATOS!$I12006="","",IFERROR(VLOOKUP(DATOS!$I12006,CONFIG_ASIGNATURAS!$B$2:$J$91,9,FALSE()),""))</f>
      </c>
    </row>
    <row r="12007">
      <c r="F12007">
        <f>IF(DATOS!$A12007="","",DATOS!$A12007&amp;"|"&amp;DATOS!$D12007&amp;"|"&amp;DATOS!$E12007&amp;"|"&amp;DATOS!$I12007)</f>
      </c>
      <c r="G12007">
        <f>IF(DATOS!$A12007="",0,IF(CONFIG_METADATA!$B$4&lt;&gt;"OR+EX",--(DATOS!$G12007=CONFIG_METADATA!$B$4),IF(DATOS!$G12007="EX",1,IF(DATOS!$G12007="OR",--(COUNTIFS(nNIA,DATOS!$A12007,nCURSO,DATOS!$D12007,nESPEC,DATOS!$E12007,nASIG,DATOS!$I12007,nEVAL,"EX")=0),0))))</f>
      </c>
      <c r="H12007">
        <f>IF(DATOS!$G12007&lt;&gt;"EX",0,--(COUNTIFS(nNIA,DATOS!$A12007,nCURSO,DATOS!$D12007,nESPEC,DATOS!$E12007,nASIG,DATOS!$I12007,nEVAL,"OR")=0))</f>
      </c>
      <c r="I12007">
        <f>IF(DATOS!$I12007="","",IFERROR(VLOOKUP(DATOS!$I12007,CONFIG_ASIGNATURAS!$B$2:$J$91,9,FALSE()),""))</f>
      </c>
    </row>
    <row r="12008">
      <c r="F12008">
        <f>IF(DATOS!$A12008="","",DATOS!$A12008&amp;"|"&amp;DATOS!$D12008&amp;"|"&amp;DATOS!$E12008&amp;"|"&amp;DATOS!$I12008)</f>
      </c>
      <c r="G12008">
        <f>IF(DATOS!$A12008="",0,IF(CONFIG_METADATA!$B$4&lt;&gt;"OR+EX",--(DATOS!$G12008=CONFIG_METADATA!$B$4),IF(DATOS!$G12008="EX",1,IF(DATOS!$G12008="OR",--(COUNTIFS(nNIA,DATOS!$A12008,nCURSO,DATOS!$D12008,nESPEC,DATOS!$E12008,nASIG,DATOS!$I12008,nEVAL,"EX")=0),0))))</f>
      </c>
      <c r="H12008">
        <f>IF(DATOS!$G12008&lt;&gt;"EX",0,--(COUNTIFS(nNIA,DATOS!$A12008,nCURSO,DATOS!$D12008,nESPEC,DATOS!$E12008,nASIG,DATOS!$I12008,nEVAL,"OR")=0))</f>
      </c>
      <c r="I12008">
        <f>IF(DATOS!$I12008="","",IFERROR(VLOOKUP(DATOS!$I12008,CONFIG_ASIGNATURAS!$B$2:$J$91,9,FALSE()),""))</f>
      </c>
    </row>
    <row r="12009">
      <c r="F12009">
        <f>IF(DATOS!$A12009="","",DATOS!$A12009&amp;"|"&amp;DATOS!$D12009&amp;"|"&amp;DATOS!$E12009&amp;"|"&amp;DATOS!$I12009)</f>
      </c>
      <c r="G12009">
        <f>IF(DATOS!$A12009="",0,IF(CONFIG_METADATA!$B$4&lt;&gt;"OR+EX",--(DATOS!$G12009=CONFIG_METADATA!$B$4),IF(DATOS!$G12009="EX",1,IF(DATOS!$G12009="OR",--(COUNTIFS(nNIA,DATOS!$A12009,nCURSO,DATOS!$D12009,nESPEC,DATOS!$E12009,nASIG,DATOS!$I12009,nEVAL,"EX")=0),0))))</f>
      </c>
      <c r="H12009">
        <f>IF(DATOS!$G12009&lt;&gt;"EX",0,--(COUNTIFS(nNIA,DATOS!$A12009,nCURSO,DATOS!$D12009,nESPEC,DATOS!$E12009,nASIG,DATOS!$I12009,nEVAL,"OR")=0))</f>
      </c>
      <c r="I12009">
        <f>IF(DATOS!$I12009="","",IFERROR(VLOOKUP(DATOS!$I12009,CONFIG_ASIGNATURAS!$B$2:$J$91,9,FALSE()),""))</f>
      </c>
    </row>
    <row r="12010">
      <c r="F12010">
        <f>IF(DATOS!$A12010="","",DATOS!$A12010&amp;"|"&amp;DATOS!$D12010&amp;"|"&amp;DATOS!$E12010&amp;"|"&amp;DATOS!$I12010)</f>
      </c>
      <c r="G12010">
        <f>IF(DATOS!$A12010="",0,IF(CONFIG_METADATA!$B$4&lt;&gt;"OR+EX",--(DATOS!$G12010=CONFIG_METADATA!$B$4),IF(DATOS!$G12010="EX",1,IF(DATOS!$G12010="OR",--(COUNTIFS(nNIA,DATOS!$A12010,nCURSO,DATOS!$D12010,nESPEC,DATOS!$E12010,nASIG,DATOS!$I12010,nEVAL,"EX")=0),0))))</f>
      </c>
      <c r="H12010">
        <f>IF(DATOS!$G12010&lt;&gt;"EX",0,--(COUNTIFS(nNIA,DATOS!$A12010,nCURSO,DATOS!$D12010,nESPEC,DATOS!$E12010,nASIG,DATOS!$I12010,nEVAL,"OR")=0))</f>
      </c>
      <c r="I12010">
        <f>IF(DATOS!$I12010="","",IFERROR(VLOOKUP(DATOS!$I12010,CONFIG_ASIGNATURAS!$B$2:$J$91,9,FALSE()),""))</f>
      </c>
    </row>
    <row r="12011">
      <c r="F12011">
        <f>IF(DATOS!$A12011="","",DATOS!$A12011&amp;"|"&amp;DATOS!$D12011&amp;"|"&amp;DATOS!$E12011&amp;"|"&amp;DATOS!$I12011)</f>
      </c>
      <c r="G12011">
        <f>IF(DATOS!$A12011="",0,IF(CONFIG_METADATA!$B$4&lt;&gt;"OR+EX",--(DATOS!$G12011=CONFIG_METADATA!$B$4),IF(DATOS!$G12011="EX",1,IF(DATOS!$G12011="OR",--(COUNTIFS(nNIA,DATOS!$A12011,nCURSO,DATOS!$D12011,nESPEC,DATOS!$E12011,nASIG,DATOS!$I12011,nEVAL,"EX")=0),0))))</f>
      </c>
      <c r="H12011">
        <f>IF(DATOS!$G12011&lt;&gt;"EX",0,--(COUNTIFS(nNIA,DATOS!$A12011,nCURSO,DATOS!$D12011,nESPEC,DATOS!$E12011,nASIG,DATOS!$I12011,nEVAL,"OR")=0))</f>
      </c>
      <c r="I12011">
        <f>IF(DATOS!$I12011="","",IFERROR(VLOOKUP(DATOS!$I12011,CONFIG_ASIGNATURAS!$B$2:$J$91,9,FALSE()),""))</f>
      </c>
    </row>
    <row r="12012">
      <c r="F12012">
        <f>IF(DATOS!$A12012="","",DATOS!$A12012&amp;"|"&amp;DATOS!$D12012&amp;"|"&amp;DATOS!$E12012&amp;"|"&amp;DATOS!$I12012)</f>
      </c>
      <c r="G12012">
        <f>IF(DATOS!$A12012="",0,IF(CONFIG_METADATA!$B$4&lt;&gt;"OR+EX",--(DATOS!$G12012=CONFIG_METADATA!$B$4),IF(DATOS!$G12012="EX",1,IF(DATOS!$G12012="OR",--(COUNTIFS(nNIA,DATOS!$A12012,nCURSO,DATOS!$D12012,nESPEC,DATOS!$E12012,nASIG,DATOS!$I12012,nEVAL,"EX")=0),0))))</f>
      </c>
      <c r="H12012">
        <f>IF(DATOS!$G12012&lt;&gt;"EX",0,--(COUNTIFS(nNIA,DATOS!$A12012,nCURSO,DATOS!$D12012,nESPEC,DATOS!$E12012,nASIG,DATOS!$I12012,nEVAL,"OR")=0))</f>
      </c>
      <c r="I12012">
        <f>IF(DATOS!$I12012="","",IFERROR(VLOOKUP(DATOS!$I12012,CONFIG_ASIGNATURAS!$B$2:$J$91,9,FALSE()),""))</f>
      </c>
    </row>
    <row r="12013">
      <c r="F12013">
        <f>IF(DATOS!$A12013="","",DATOS!$A12013&amp;"|"&amp;DATOS!$D12013&amp;"|"&amp;DATOS!$E12013&amp;"|"&amp;DATOS!$I12013)</f>
      </c>
      <c r="G12013">
        <f>IF(DATOS!$A12013="",0,IF(CONFIG_METADATA!$B$4&lt;&gt;"OR+EX",--(DATOS!$G12013=CONFIG_METADATA!$B$4),IF(DATOS!$G12013="EX",1,IF(DATOS!$G12013="OR",--(COUNTIFS(nNIA,DATOS!$A12013,nCURSO,DATOS!$D12013,nESPEC,DATOS!$E12013,nASIG,DATOS!$I12013,nEVAL,"EX")=0),0))))</f>
      </c>
      <c r="H12013">
        <f>IF(DATOS!$G12013&lt;&gt;"EX",0,--(COUNTIFS(nNIA,DATOS!$A12013,nCURSO,DATOS!$D12013,nESPEC,DATOS!$E12013,nASIG,DATOS!$I12013,nEVAL,"OR")=0))</f>
      </c>
      <c r="I12013">
        <f>IF(DATOS!$I12013="","",IFERROR(VLOOKUP(DATOS!$I12013,CONFIG_ASIGNATURAS!$B$2:$J$91,9,FALSE()),""))</f>
      </c>
    </row>
    <row r="12014">
      <c r="F12014">
        <f>IF(DATOS!$A12014="","",DATOS!$A12014&amp;"|"&amp;DATOS!$D12014&amp;"|"&amp;DATOS!$E12014&amp;"|"&amp;DATOS!$I12014)</f>
      </c>
      <c r="G12014">
        <f>IF(DATOS!$A12014="",0,IF(CONFIG_METADATA!$B$4&lt;&gt;"OR+EX",--(DATOS!$G12014=CONFIG_METADATA!$B$4),IF(DATOS!$G12014="EX",1,IF(DATOS!$G12014="OR",--(COUNTIFS(nNIA,DATOS!$A12014,nCURSO,DATOS!$D12014,nESPEC,DATOS!$E12014,nASIG,DATOS!$I12014,nEVAL,"EX")=0),0))))</f>
      </c>
      <c r="H12014">
        <f>IF(DATOS!$G12014&lt;&gt;"EX",0,--(COUNTIFS(nNIA,DATOS!$A12014,nCURSO,DATOS!$D12014,nESPEC,DATOS!$E12014,nASIG,DATOS!$I12014,nEVAL,"OR")=0))</f>
      </c>
      <c r="I12014">
        <f>IF(DATOS!$I12014="","",IFERROR(VLOOKUP(DATOS!$I12014,CONFIG_ASIGNATURAS!$B$2:$J$91,9,FALSE()),""))</f>
      </c>
    </row>
    <row r="12015">
      <c r="F12015">
        <f>IF(DATOS!$A12015="","",DATOS!$A12015&amp;"|"&amp;DATOS!$D12015&amp;"|"&amp;DATOS!$E12015&amp;"|"&amp;DATOS!$I12015)</f>
      </c>
      <c r="G12015">
        <f>IF(DATOS!$A12015="",0,IF(CONFIG_METADATA!$B$4&lt;&gt;"OR+EX",--(DATOS!$G12015=CONFIG_METADATA!$B$4),IF(DATOS!$G12015="EX",1,IF(DATOS!$G12015="OR",--(COUNTIFS(nNIA,DATOS!$A12015,nCURSO,DATOS!$D12015,nESPEC,DATOS!$E12015,nASIG,DATOS!$I12015,nEVAL,"EX")=0),0))))</f>
      </c>
      <c r="H12015">
        <f>IF(DATOS!$G12015&lt;&gt;"EX",0,--(COUNTIFS(nNIA,DATOS!$A12015,nCURSO,DATOS!$D12015,nESPEC,DATOS!$E12015,nASIG,DATOS!$I12015,nEVAL,"OR")=0))</f>
      </c>
      <c r="I12015">
        <f>IF(DATOS!$I12015="","",IFERROR(VLOOKUP(DATOS!$I12015,CONFIG_ASIGNATURAS!$B$2:$J$91,9,FALSE()),""))</f>
      </c>
    </row>
    <row r="12016">
      <c r="F12016">
        <f>IF(DATOS!$A12016="","",DATOS!$A12016&amp;"|"&amp;DATOS!$D12016&amp;"|"&amp;DATOS!$E12016&amp;"|"&amp;DATOS!$I12016)</f>
      </c>
      <c r="G12016">
        <f>IF(DATOS!$A12016="",0,IF(CONFIG_METADATA!$B$4&lt;&gt;"OR+EX",--(DATOS!$G12016=CONFIG_METADATA!$B$4),IF(DATOS!$G12016="EX",1,IF(DATOS!$G12016="OR",--(COUNTIFS(nNIA,DATOS!$A12016,nCURSO,DATOS!$D12016,nESPEC,DATOS!$E12016,nASIG,DATOS!$I12016,nEVAL,"EX")=0),0))))</f>
      </c>
      <c r="H12016">
        <f>IF(DATOS!$G12016&lt;&gt;"EX",0,--(COUNTIFS(nNIA,DATOS!$A12016,nCURSO,DATOS!$D12016,nESPEC,DATOS!$E12016,nASIG,DATOS!$I12016,nEVAL,"OR")=0))</f>
      </c>
      <c r="I12016">
        <f>IF(DATOS!$I12016="","",IFERROR(VLOOKUP(DATOS!$I12016,CONFIG_ASIGNATURAS!$B$2:$J$91,9,FALSE()),""))</f>
      </c>
    </row>
    <row r="12017">
      <c r="F12017">
        <f>IF(DATOS!$A12017="","",DATOS!$A12017&amp;"|"&amp;DATOS!$D12017&amp;"|"&amp;DATOS!$E12017&amp;"|"&amp;DATOS!$I12017)</f>
      </c>
      <c r="G12017">
        <f>IF(DATOS!$A12017="",0,IF(CONFIG_METADATA!$B$4&lt;&gt;"OR+EX",--(DATOS!$G12017=CONFIG_METADATA!$B$4),IF(DATOS!$G12017="EX",1,IF(DATOS!$G12017="OR",--(COUNTIFS(nNIA,DATOS!$A12017,nCURSO,DATOS!$D12017,nESPEC,DATOS!$E12017,nASIG,DATOS!$I12017,nEVAL,"EX")=0),0))))</f>
      </c>
      <c r="H12017">
        <f>IF(DATOS!$G12017&lt;&gt;"EX",0,--(COUNTIFS(nNIA,DATOS!$A12017,nCURSO,DATOS!$D12017,nESPEC,DATOS!$E12017,nASIG,DATOS!$I12017,nEVAL,"OR")=0))</f>
      </c>
      <c r="I12017">
        <f>IF(DATOS!$I12017="","",IFERROR(VLOOKUP(DATOS!$I12017,CONFIG_ASIGNATURAS!$B$2:$J$91,9,FALSE()),""))</f>
      </c>
    </row>
    <row r="12018">
      <c r="F12018">
        <f>IF(DATOS!$A12018="","",DATOS!$A12018&amp;"|"&amp;DATOS!$D12018&amp;"|"&amp;DATOS!$E12018&amp;"|"&amp;DATOS!$I12018)</f>
      </c>
      <c r="G12018">
        <f>IF(DATOS!$A12018="",0,IF(CONFIG_METADATA!$B$4&lt;&gt;"OR+EX",--(DATOS!$G12018=CONFIG_METADATA!$B$4),IF(DATOS!$G12018="EX",1,IF(DATOS!$G12018="OR",--(COUNTIFS(nNIA,DATOS!$A12018,nCURSO,DATOS!$D12018,nESPEC,DATOS!$E12018,nASIG,DATOS!$I12018,nEVAL,"EX")=0),0))))</f>
      </c>
      <c r="H12018">
        <f>IF(DATOS!$G12018&lt;&gt;"EX",0,--(COUNTIFS(nNIA,DATOS!$A12018,nCURSO,DATOS!$D12018,nESPEC,DATOS!$E12018,nASIG,DATOS!$I12018,nEVAL,"OR")=0))</f>
      </c>
      <c r="I12018">
        <f>IF(DATOS!$I12018="","",IFERROR(VLOOKUP(DATOS!$I12018,CONFIG_ASIGNATURAS!$B$2:$J$91,9,FALSE()),""))</f>
      </c>
    </row>
    <row r="12019">
      <c r="F12019">
        <f>IF(DATOS!$A12019="","",DATOS!$A12019&amp;"|"&amp;DATOS!$D12019&amp;"|"&amp;DATOS!$E12019&amp;"|"&amp;DATOS!$I12019)</f>
      </c>
      <c r="G12019">
        <f>IF(DATOS!$A12019="",0,IF(CONFIG_METADATA!$B$4&lt;&gt;"OR+EX",--(DATOS!$G12019=CONFIG_METADATA!$B$4),IF(DATOS!$G12019="EX",1,IF(DATOS!$G12019="OR",--(COUNTIFS(nNIA,DATOS!$A12019,nCURSO,DATOS!$D12019,nESPEC,DATOS!$E12019,nASIG,DATOS!$I12019,nEVAL,"EX")=0),0))))</f>
      </c>
      <c r="H12019">
        <f>IF(DATOS!$G12019&lt;&gt;"EX",0,--(COUNTIFS(nNIA,DATOS!$A12019,nCURSO,DATOS!$D12019,nESPEC,DATOS!$E12019,nASIG,DATOS!$I12019,nEVAL,"OR")=0))</f>
      </c>
      <c r="I12019">
        <f>IF(DATOS!$I12019="","",IFERROR(VLOOKUP(DATOS!$I12019,CONFIG_ASIGNATURAS!$B$2:$J$91,9,FALSE()),""))</f>
      </c>
    </row>
    <row r="12020">
      <c r="F12020">
        <f>IF(DATOS!$A12020="","",DATOS!$A12020&amp;"|"&amp;DATOS!$D12020&amp;"|"&amp;DATOS!$E12020&amp;"|"&amp;DATOS!$I12020)</f>
      </c>
      <c r="G12020">
        <f>IF(DATOS!$A12020="",0,IF(CONFIG_METADATA!$B$4&lt;&gt;"OR+EX",--(DATOS!$G12020=CONFIG_METADATA!$B$4),IF(DATOS!$G12020="EX",1,IF(DATOS!$G12020="OR",--(COUNTIFS(nNIA,DATOS!$A12020,nCURSO,DATOS!$D12020,nESPEC,DATOS!$E12020,nASIG,DATOS!$I12020,nEVAL,"EX")=0),0))))</f>
      </c>
      <c r="H12020">
        <f>IF(DATOS!$G12020&lt;&gt;"EX",0,--(COUNTIFS(nNIA,DATOS!$A12020,nCURSO,DATOS!$D12020,nESPEC,DATOS!$E12020,nASIG,DATOS!$I12020,nEVAL,"OR")=0))</f>
      </c>
      <c r="I12020">
        <f>IF(DATOS!$I12020="","",IFERROR(VLOOKUP(DATOS!$I12020,CONFIG_ASIGNATURAS!$B$2:$J$91,9,FALSE()),""))</f>
      </c>
    </row>
    <row r="12021">
      <c r="F12021">
        <f>IF(DATOS!$A12021="","",DATOS!$A12021&amp;"|"&amp;DATOS!$D12021&amp;"|"&amp;DATOS!$E12021&amp;"|"&amp;DATOS!$I12021)</f>
      </c>
      <c r="G12021">
        <f>IF(DATOS!$A12021="",0,IF(CONFIG_METADATA!$B$4&lt;&gt;"OR+EX",--(DATOS!$G12021=CONFIG_METADATA!$B$4),IF(DATOS!$G12021="EX",1,IF(DATOS!$G12021="OR",--(COUNTIFS(nNIA,DATOS!$A12021,nCURSO,DATOS!$D12021,nESPEC,DATOS!$E12021,nASIG,DATOS!$I12021,nEVAL,"EX")=0),0))))</f>
      </c>
      <c r="H12021">
        <f>IF(DATOS!$G12021&lt;&gt;"EX",0,--(COUNTIFS(nNIA,DATOS!$A12021,nCURSO,DATOS!$D12021,nESPEC,DATOS!$E12021,nASIG,DATOS!$I12021,nEVAL,"OR")=0))</f>
      </c>
      <c r="I12021">
        <f>IF(DATOS!$I12021="","",IFERROR(VLOOKUP(DATOS!$I12021,CONFIG_ASIGNATURAS!$B$2:$J$91,9,FALSE()),""))</f>
      </c>
    </row>
    <row r="12022">
      <c r="F12022">
        <f>IF(DATOS!$A12022="","",DATOS!$A12022&amp;"|"&amp;DATOS!$D12022&amp;"|"&amp;DATOS!$E12022&amp;"|"&amp;DATOS!$I12022)</f>
      </c>
      <c r="G12022">
        <f>IF(DATOS!$A12022="",0,IF(CONFIG_METADATA!$B$4&lt;&gt;"OR+EX",--(DATOS!$G12022=CONFIG_METADATA!$B$4),IF(DATOS!$G12022="EX",1,IF(DATOS!$G12022="OR",--(COUNTIFS(nNIA,DATOS!$A12022,nCURSO,DATOS!$D12022,nESPEC,DATOS!$E12022,nASIG,DATOS!$I12022,nEVAL,"EX")=0),0))))</f>
      </c>
      <c r="H12022">
        <f>IF(DATOS!$G12022&lt;&gt;"EX",0,--(COUNTIFS(nNIA,DATOS!$A12022,nCURSO,DATOS!$D12022,nESPEC,DATOS!$E12022,nASIG,DATOS!$I12022,nEVAL,"OR")=0))</f>
      </c>
      <c r="I12022">
        <f>IF(DATOS!$I12022="","",IFERROR(VLOOKUP(DATOS!$I12022,CONFIG_ASIGNATURAS!$B$2:$J$91,9,FALSE()),""))</f>
      </c>
    </row>
    <row r="12023">
      <c r="F12023">
        <f>IF(DATOS!$A12023="","",DATOS!$A12023&amp;"|"&amp;DATOS!$D12023&amp;"|"&amp;DATOS!$E12023&amp;"|"&amp;DATOS!$I12023)</f>
      </c>
      <c r="G12023">
        <f>IF(DATOS!$A12023="",0,IF(CONFIG_METADATA!$B$4&lt;&gt;"OR+EX",--(DATOS!$G12023=CONFIG_METADATA!$B$4),IF(DATOS!$G12023="EX",1,IF(DATOS!$G12023="OR",--(COUNTIFS(nNIA,DATOS!$A12023,nCURSO,DATOS!$D12023,nESPEC,DATOS!$E12023,nASIG,DATOS!$I12023,nEVAL,"EX")=0),0))))</f>
      </c>
      <c r="H12023">
        <f>IF(DATOS!$G12023&lt;&gt;"EX",0,--(COUNTIFS(nNIA,DATOS!$A12023,nCURSO,DATOS!$D12023,nESPEC,DATOS!$E12023,nASIG,DATOS!$I12023,nEVAL,"OR")=0))</f>
      </c>
      <c r="I12023">
        <f>IF(DATOS!$I12023="","",IFERROR(VLOOKUP(DATOS!$I12023,CONFIG_ASIGNATURAS!$B$2:$J$91,9,FALSE()),""))</f>
      </c>
    </row>
    <row r="12024">
      <c r="F12024">
        <f>IF(DATOS!$A12024="","",DATOS!$A12024&amp;"|"&amp;DATOS!$D12024&amp;"|"&amp;DATOS!$E12024&amp;"|"&amp;DATOS!$I12024)</f>
      </c>
      <c r="G12024">
        <f>IF(DATOS!$A12024="",0,IF(CONFIG_METADATA!$B$4&lt;&gt;"OR+EX",--(DATOS!$G12024=CONFIG_METADATA!$B$4),IF(DATOS!$G12024="EX",1,IF(DATOS!$G12024="OR",--(COUNTIFS(nNIA,DATOS!$A12024,nCURSO,DATOS!$D12024,nESPEC,DATOS!$E12024,nASIG,DATOS!$I12024,nEVAL,"EX")=0),0))))</f>
      </c>
      <c r="H12024">
        <f>IF(DATOS!$G12024&lt;&gt;"EX",0,--(COUNTIFS(nNIA,DATOS!$A12024,nCURSO,DATOS!$D12024,nESPEC,DATOS!$E12024,nASIG,DATOS!$I12024,nEVAL,"OR")=0))</f>
      </c>
      <c r="I12024">
        <f>IF(DATOS!$I12024="","",IFERROR(VLOOKUP(DATOS!$I12024,CONFIG_ASIGNATURAS!$B$2:$J$91,9,FALSE()),""))</f>
      </c>
    </row>
    <row r="12025">
      <c r="F12025">
        <f>IF(DATOS!$A12025="","",DATOS!$A12025&amp;"|"&amp;DATOS!$D12025&amp;"|"&amp;DATOS!$E12025&amp;"|"&amp;DATOS!$I12025)</f>
      </c>
      <c r="G12025">
        <f>IF(DATOS!$A12025="",0,IF(CONFIG_METADATA!$B$4&lt;&gt;"OR+EX",--(DATOS!$G12025=CONFIG_METADATA!$B$4),IF(DATOS!$G12025="EX",1,IF(DATOS!$G12025="OR",--(COUNTIFS(nNIA,DATOS!$A12025,nCURSO,DATOS!$D12025,nESPEC,DATOS!$E12025,nASIG,DATOS!$I12025,nEVAL,"EX")=0),0))))</f>
      </c>
      <c r="H12025">
        <f>IF(DATOS!$G12025&lt;&gt;"EX",0,--(COUNTIFS(nNIA,DATOS!$A12025,nCURSO,DATOS!$D12025,nESPEC,DATOS!$E12025,nASIG,DATOS!$I12025,nEVAL,"OR")=0))</f>
      </c>
      <c r="I12025">
        <f>IF(DATOS!$I12025="","",IFERROR(VLOOKUP(DATOS!$I12025,CONFIG_ASIGNATURAS!$B$2:$J$91,9,FALSE()),""))</f>
      </c>
    </row>
    <row r="12026">
      <c r="F12026">
        <f>IF(DATOS!$A12026="","",DATOS!$A12026&amp;"|"&amp;DATOS!$D12026&amp;"|"&amp;DATOS!$E12026&amp;"|"&amp;DATOS!$I12026)</f>
      </c>
      <c r="G12026">
        <f>IF(DATOS!$A12026="",0,IF(CONFIG_METADATA!$B$4&lt;&gt;"OR+EX",--(DATOS!$G12026=CONFIG_METADATA!$B$4),IF(DATOS!$G12026="EX",1,IF(DATOS!$G12026="OR",--(COUNTIFS(nNIA,DATOS!$A12026,nCURSO,DATOS!$D12026,nESPEC,DATOS!$E12026,nASIG,DATOS!$I12026,nEVAL,"EX")=0),0))))</f>
      </c>
      <c r="H12026">
        <f>IF(DATOS!$G12026&lt;&gt;"EX",0,--(COUNTIFS(nNIA,DATOS!$A12026,nCURSO,DATOS!$D12026,nESPEC,DATOS!$E12026,nASIG,DATOS!$I12026,nEVAL,"OR")=0))</f>
      </c>
      <c r="I12026">
        <f>IF(DATOS!$I12026="","",IFERROR(VLOOKUP(DATOS!$I12026,CONFIG_ASIGNATURAS!$B$2:$J$91,9,FALSE()),""))</f>
      </c>
    </row>
    <row r="12027">
      <c r="F12027">
        <f>IF(DATOS!$A12027="","",DATOS!$A12027&amp;"|"&amp;DATOS!$D12027&amp;"|"&amp;DATOS!$E12027&amp;"|"&amp;DATOS!$I12027)</f>
      </c>
      <c r="G12027">
        <f>IF(DATOS!$A12027="",0,IF(CONFIG_METADATA!$B$4&lt;&gt;"OR+EX",--(DATOS!$G12027=CONFIG_METADATA!$B$4),IF(DATOS!$G12027="EX",1,IF(DATOS!$G12027="OR",--(COUNTIFS(nNIA,DATOS!$A12027,nCURSO,DATOS!$D12027,nESPEC,DATOS!$E12027,nASIG,DATOS!$I12027,nEVAL,"EX")=0),0))))</f>
      </c>
      <c r="H12027">
        <f>IF(DATOS!$G12027&lt;&gt;"EX",0,--(COUNTIFS(nNIA,DATOS!$A12027,nCURSO,DATOS!$D12027,nESPEC,DATOS!$E12027,nASIG,DATOS!$I12027,nEVAL,"OR")=0))</f>
      </c>
      <c r="I12027">
        <f>IF(DATOS!$I12027="","",IFERROR(VLOOKUP(DATOS!$I12027,CONFIG_ASIGNATURAS!$B$2:$J$91,9,FALSE()),""))</f>
      </c>
    </row>
    <row r="12028">
      <c r="F12028">
        <f>IF(DATOS!$A12028="","",DATOS!$A12028&amp;"|"&amp;DATOS!$D12028&amp;"|"&amp;DATOS!$E12028&amp;"|"&amp;DATOS!$I12028)</f>
      </c>
      <c r="G12028">
        <f>IF(DATOS!$A12028="",0,IF(CONFIG_METADATA!$B$4&lt;&gt;"OR+EX",--(DATOS!$G12028=CONFIG_METADATA!$B$4),IF(DATOS!$G12028="EX",1,IF(DATOS!$G12028="OR",--(COUNTIFS(nNIA,DATOS!$A12028,nCURSO,DATOS!$D12028,nESPEC,DATOS!$E12028,nASIG,DATOS!$I12028,nEVAL,"EX")=0),0))))</f>
      </c>
      <c r="H12028">
        <f>IF(DATOS!$G12028&lt;&gt;"EX",0,--(COUNTIFS(nNIA,DATOS!$A12028,nCURSO,DATOS!$D12028,nESPEC,DATOS!$E12028,nASIG,DATOS!$I12028,nEVAL,"OR")=0))</f>
      </c>
      <c r="I12028">
        <f>IF(DATOS!$I12028="","",IFERROR(VLOOKUP(DATOS!$I12028,CONFIG_ASIGNATURAS!$B$2:$J$91,9,FALSE()),""))</f>
      </c>
    </row>
    <row r="12029">
      <c r="F12029">
        <f>IF(DATOS!$A12029="","",DATOS!$A12029&amp;"|"&amp;DATOS!$D12029&amp;"|"&amp;DATOS!$E12029&amp;"|"&amp;DATOS!$I12029)</f>
      </c>
      <c r="G12029">
        <f>IF(DATOS!$A12029="",0,IF(CONFIG_METADATA!$B$4&lt;&gt;"OR+EX",--(DATOS!$G12029=CONFIG_METADATA!$B$4),IF(DATOS!$G12029="EX",1,IF(DATOS!$G12029="OR",--(COUNTIFS(nNIA,DATOS!$A12029,nCURSO,DATOS!$D12029,nESPEC,DATOS!$E12029,nASIG,DATOS!$I12029,nEVAL,"EX")=0),0))))</f>
      </c>
      <c r="H12029">
        <f>IF(DATOS!$G12029&lt;&gt;"EX",0,--(COUNTIFS(nNIA,DATOS!$A12029,nCURSO,DATOS!$D12029,nESPEC,DATOS!$E12029,nASIG,DATOS!$I12029,nEVAL,"OR")=0))</f>
      </c>
      <c r="I12029">
        <f>IF(DATOS!$I12029="","",IFERROR(VLOOKUP(DATOS!$I12029,CONFIG_ASIGNATURAS!$B$2:$J$91,9,FALSE()),""))</f>
      </c>
    </row>
    <row r="12030">
      <c r="F12030">
        <f>IF(DATOS!$A12030="","",DATOS!$A12030&amp;"|"&amp;DATOS!$D12030&amp;"|"&amp;DATOS!$E12030&amp;"|"&amp;DATOS!$I12030)</f>
      </c>
      <c r="G12030">
        <f>IF(DATOS!$A12030="",0,IF(CONFIG_METADATA!$B$4&lt;&gt;"OR+EX",--(DATOS!$G12030=CONFIG_METADATA!$B$4),IF(DATOS!$G12030="EX",1,IF(DATOS!$G12030="OR",--(COUNTIFS(nNIA,DATOS!$A12030,nCURSO,DATOS!$D12030,nESPEC,DATOS!$E12030,nASIG,DATOS!$I12030,nEVAL,"EX")=0),0))))</f>
      </c>
      <c r="H12030">
        <f>IF(DATOS!$G12030&lt;&gt;"EX",0,--(COUNTIFS(nNIA,DATOS!$A12030,nCURSO,DATOS!$D12030,nESPEC,DATOS!$E12030,nASIG,DATOS!$I12030,nEVAL,"OR")=0))</f>
      </c>
      <c r="I12030">
        <f>IF(DATOS!$I12030="","",IFERROR(VLOOKUP(DATOS!$I12030,CONFIG_ASIGNATURAS!$B$2:$J$91,9,FALSE()),""))</f>
      </c>
    </row>
    <row r="12031">
      <c r="F12031">
        <f>IF(DATOS!$A12031="","",DATOS!$A12031&amp;"|"&amp;DATOS!$D12031&amp;"|"&amp;DATOS!$E12031&amp;"|"&amp;DATOS!$I12031)</f>
      </c>
      <c r="G12031">
        <f>IF(DATOS!$A12031="",0,IF(CONFIG_METADATA!$B$4&lt;&gt;"OR+EX",--(DATOS!$G12031=CONFIG_METADATA!$B$4),IF(DATOS!$G12031="EX",1,IF(DATOS!$G12031="OR",--(COUNTIFS(nNIA,DATOS!$A12031,nCURSO,DATOS!$D12031,nESPEC,DATOS!$E12031,nASIG,DATOS!$I12031,nEVAL,"EX")=0),0))))</f>
      </c>
      <c r="H12031">
        <f>IF(DATOS!$G12031&lt;&gt;"EX",0,--(COUNTIFS(nNIA,DATOS!$A12031,nCURSO,DATOS!$D12031,nESPEC,DATOS!$E12031,nASIG,DATOS!$I12031,nEVAL,"OR")=0))</f>
      </c>
      <c r="I12031">
        <f>IF(DATOS!$I12031="","",IFERROR(VLOOKUP(DATOS!$I12031,CONFIG_ASIGNATURAS!$B$2:$J$91,9,FALSE()),""))</f>
      </c>
    </row>
    <row r="12032">
      <c r="F12032">
        <f>IF(DATOS!$A12032="","",DATOS!$A12032&amp;"|"&amp;DATOS!$D12032&amp;"|"&amp;DATOS!$E12032&amp;"|"&amp;DATOS!$I12032)</f>
      </c>
      <c r="G12032">
        <f>IF(DATOS!$A12032="",0,IF(CONFIG_METADATA!$B$4&lt;&gt;"OR+EX",--(DATOS!$G12032=CONFIG_METADATA!$B$4),IF(DATOS!$G12032="EX",1,IF(DATOS!$G12032="OR",--(COUNTIFS(nNIA,DATOS!$A12032,nCURSO,DATOS!$D12032,nESPEC,DATOS!$E12032,nASIG,DATOS!$I12032,nEVAL,"EX")=0),0))))</f>
      </c>
      <c r="H12032">
        <f>IF(DATOS!$G12032&lt;&gt;"EX",0,--(COUNTIFS(nNIA,DATOS!$A12032,nCURSO,DATOS!$D12032,nESPEC,DATOS!$E12032,nASIG,DATOS!$I12032,nEVAL,"OR")=0))</f>
      </c>
      <c r="I12032">
        <f>IF(DATOS!$I12032="","",IFERROR(VLOOKUP(DATOS!$I12032,CONFIG_ASIGNATURAS!$B$2:$J$91,9,FALSE()),""))</f>
      </c>
    </row>
    <row r="12033">
      <c r="F12033">
        <f>IF(DATOS!$A12033="","",DATOS!$A12033&amp;"|"&amp;DATOS!$D12033&amp;"|"&amp;DATOS!$E12033&amp;"|"&amp;DATOS!$I12033)</f>
      </c>
      <c r="G12033">
        <f>IF(DATOS!$A12033="",0,IF(CONFIG_METADATA!$B$4&lt;&gt;"OR+EX",--(DATOS!$G12033=CONFIG_METADATA!$B$4),IF(DATOS!$G12033="EX",1,IF(DATOS!$G12033="OR",--(COUNTIFS(nNIA,DATOS!$A12033,nCURSO,DATOS!$D12033,nESPEC,DATOS!$E12033,nASIG,DATOS!$I12033,nEVAL,"EX")=0),0))))</f>
      </c>
      <c r="H12033">
        <f>IF(DATOS!$G12033&lt;&gt;"EX",0,--(COUNTIFS(nNIA,DATOS!$A12033,nCURSO,DATOS!$D12033,nESPEC,DATOS!$E12033,nASIG,DATOS!$I12033,nEVAL,"OR")=0))</f>
      </c>
      <c r="I12033">
        <f>IF(DATOS!$I12033="","",IFERROR(VLOOKUP(DATOS!$I12033,CONFIG_ASIGNATURAS!$B$2:$J$91,9,FALSE()),""))</f>
      </c>
    </row>
    <row r="12034">
      <c r="F12034">
        <f>IF(DATOS!$A12034="","",DATOS!$A12034&amp;"|"&amp;DATOS!$D12034&amp;"|"&amp;DATOS!$E12034&amp;"|"&amp;DATOS!$I12034)</f>
      </c>
      <c r="G12034">
        <f>IF(DATOS!$A12034="",0,IF(CONFIG_METADATA!$B$4&lt;&gt;"OR+EX",--(DATOS!$G12034=CONFIG_METADATA!$B$4),IF(DATOS!$G12034="EX",1,IF(DATOS!$G12034="OR",--(COUNTIFS(nNIA,DATOS!$A12034,nCURSO,DATOS!$D12034,nESPEC,DATOS!$E12034,nASIG,DATOS!$I12034,nEVAL,"EX")=0),0))))</f>
      </c>
      <c r="H12034">
        <f>IF(DATOS!$G12034&lt;&gt;"EX",0,--(COUNTIFS(nNIA,DATOS!$A12034,nCURSO,DATOS!$D12034,nESPEC,DATOS!$E12034,nASIG,DATOS!$I12034,nEVAL,"OR")=0))</f>
      </c>
      <c r="I12034">
        <f>IF(DATOS!$I12034="","",IFERROR(VLOOKUP(DATOS!$I12034,CONFIG_ASIGNATURAS!$B$2:$J$91,9,FALSE()),""))</f>
      </c>
    </row>
    <row r="12035">
      <c r="F12035">
        <f>IF(DATOS!$A12035="","",DATOS!$A12035&amp;"|"&amp;DATOS!$D12035&amp;"|"&amp;DATOS!$E12035&amp;"|"&amp;DATOS!$I12035)</f>
      </c>
      <c r="G12035">
        <f>IF(DATOS!$A12035="",0,IF(CONFIG_METADATA!$B$4&lt;&gt;"OR+EX",--(DATOS!$G12035=CONFIG_METADATA!$B$4),IF(DATOS!$G12035="EX",1,IF(DATOS!$G12035="OR",--(COUNTIFS(nNIA,DATOS!$A12035,nCURSO,DATOS!$D12035,nESPEC,DATOS!$E12035,nASIG,DATOS!$I12035,nEVAL,"EX")=0),0))))</f>
      </c>
      <c r="H12035">
        <f>IF(DATOS!$G12035&lt;&gt;"EX",0,--(COUNTIFS(nNIA,DATOS!$A12035,nCURSO,DATOS!$D12035,nESPEC,DATOS!$E12035,nASIG,DATOS!$I12035,nEVAL,"OR")=0))</f>
      </c>
      <c r="I12035">
        <f>IF(DATOS!$I12035="","",IFERROR(VLOOKUP(DATOS!$I12035,CONFIG_ASIGNATURAS!$B$2:$J$91,9,FALSE()),""))</f>
      </c>
    </row>
    <row r="12036">
      <c r="F12036">
        <f>IF(DATOS!$A12036="","",DATOS!$A12036&amp;"|"&amp;DATOS!$D12036&amp;"|"&amp;DATOS!$E12036&amp;"|"&amp;DATOS!$I12036)</f>
      </c>
      <c r="G12036">
        <f>IF(DATOS!$A12036="",0,IF(CONFIG_METADATA!$B$4&lt;&gt;"OR+EX",--(DATOS!$G12036=CONFIG_METADATA!$B$4),IF(DATOS!$G12036="EX",1,IF(DATOS!$G12036="OR",--(COUNTIFS(nNIA,DATOS!$A12036,nCURSO,DATOS!$D12036,nESPEC,DATOS!$E12036,nASIG,DATOS!$I12036,nEVAL,"EX")=0),0))))</f>
      </c>
      <c r="H12036">
        <f>IF(DATOS!$G12036&lt;&gt;"EX",0,--(COUNTIFS(nNIA,DATOS!$A12036,nCURSO,DATOS!$D12036,nESPEC,DATOS!$E12036,nASIG,DATOS!$I12036,nEVAL,"OR")=0))</f>
      </c>
      <c r="I12036">
        <f>IF(DATOS!$I12036="","",IFERROR(VLOOKUP(DATOS!$I12036,CONFIG_ASIGNATURAS!$B$2:$J$91,9,FALSE()),""))</f>
      </c>
    </row>
    <row r="12037">
      <c r="F12037">
        <f>IF(DATOS!$A12037="","",DATOS!$A12037&amp;"|"&amp;DATOS!$D12037&amp;"|"&amp;DATOS!$E12037&amp;"|"&amp;DATOS!$I12037)</f>
      </c>
      <c r="G12037">
        <f>IF(DATOS!$A12037="",0,IF(CONFIG_METADATA!$B$4&lt;&gt;"OR+EX",--(DATOS!$G12037=CONFIG_METADATA!$B$4),IF(DATOS!$G12037="EX",1,IF(DATOS!$G12037="OR",--(COUNTIFS(nNIA,DATOS!$A12037,nCURSO,DATOS!$D12037,nESPEC,DATOS!$E12037,nASIG,DATOS!$I12037,nEVAL,"EX")=0),0))))</f>
      </c>
      <c r="H12037">
        <f>IF(DATOS!$G12037&lt;&gt;"EX",0,--(COUNTIFS(nNIA,DATOS!$A12037,nCURSO,DATOS!$D12037,nESPEC,DATOS!$E12037,nASIG,DATOS!$I12037,nEVAL,"OR")=0))</f>
      </c>
      <c r="I12037">
        <f>IF(DATOS!$I12037="","",IFERROR(VLOOKUP(DATOS!$I12037,CONFIG_ASIGNATURAS!$B$2:$J$91,9,FALSE()),""))</f>
      </c>
    </row>
    <row r="12038">
      <c r="F12038">
        <f>IF(DATOS!$A12038="","",DATOS!$A12038&amp;"|"&amp;DATOS!$D12038&amp;"|"&amp;DATOS!$E12038&amp;"|"&amp;DATOS!$I12038)</f>
      </c>
      <c r="G12038">
        <f>IF(DATOS!$A12038="",0,IF(CONFIG_METADATA!$B$4&lt;&gt;"OR+EX",--(DATOS!$G12038=CONFIG_METADATA!$B$4),IF(DATOS!$G12038="EX",1,IF(DATOS!$G12038="OR",--(COUNTIFS(nNIA,DATOS!$A12038,nCURSO,DATOS!$D12038,nESPEC,DATOS!$E12038,nASIG,DATOS!$I12038,nEVAL,"EX")=0),0))))</f>
      </c>
      <c r="H12038">
        <f>IF(DATOS!$G12038&lt;&gt;"EX",0,--(COUNTIFS(nNIA,DATOS!$A12038,nCURSO,DATOS!$D12038,nESPEC,DATOS!$E12038,nASIG,DATOS!$I12038,nEVAL,"OR")=0))</f>
      </c>
      <c r="I12038">
        <f>IF(DATOS!$I12038="","",IFERROR(VLOOKUP(DATOS!$I12038,CONFIG_ASIGNATURAS!$B$2:$J$91,9,FALSE()),""))</f>
      </c>
    </row>
    <row r="12039">
      <c r="F12039">
        <f>IF(DATOS!$A12039="","",DATOS!$A12039&amp;"|"&amp;DATOS!$D12039&amp;"|"&amp;DATOS!$E12039&amp;"|"&amp;DATOS!$I12039)</f>
      </c>
      <c r="G12039">
        <f>IF(DATOS!$A12039="",0,IF(CONFIG_METADATA!$B$4&lt;&gt;"OR+EX",--(DATOS!$G12039=CONFIG_METADATA!$B$4),IF(DATOS!$G12039="EX",1,IF(DATOS!$G12039="OR",--(COUNTIFS(nNIA,DATOS!$A12039,nCURSO,DATOS!$D12039,nESPEC,DATOS!$E12039,nASIG,DATOS!$I12039,nEVAL,"EX")=0),0))))</f>
      </c>
      <c r="H12039">
        <f>IF(DATOS!$G12039&lt;&gt;"EX",0,--(COUNTIFS(nNIA,DATOS!$A12039,nCURSO,DATOS!$D12039,nESPEC,DATOS!$E12039,nASIG,DATOS!$I12039,nEVAL,"OR")=0))</f>
      </c>
      <c r="I12039">
        <f>IF(DATOS!$I12039="","",IFERROR(VLOOKUP(DATOS!$I12039,CONFIG_ASIGNATURAS!$B$2:$J$91,9,FALSE()),""))</f>
      </c>
    </row>
    <row r="12040">
      <c r="F12040">
        <f>IF(DATOS!$A12040="","",DATOS!$A12040&amp;"|"&amp;DATOS!$D12040&amp;"|"&amp;DATOS!$E12040&amp;"|"&amp;DATOS!$I12040)</f>
      </c>
      <c r="G12040">
        <f>IF(DATOS!$A12040="",0,IF(CONFIG_METADATA!$B$4&lt;&gt;"OR+EX",--(DATOS!$G12040=CONFIG_METADATA!$B$4),IF(DATOS!$G12040="EX",1,IF(DATOS!$G12040="OR",--(COUNTIFS(nNIA,DATOS!$A12040,nCURSO,DATOS!$D12040,nESPEC,DATOS!$E12040,nASIG,DATOS!$I12040,nEVAL,"EX")=0),0))))</f>
      </c>
      <c r="H12040">
        <f>IF(DATOS!$G12040&lt;&gt;"EX",0,--(COUNTIFS(nNIA,DATOS!$A12040,nCURSO,DATOS!$D12040,nESPEC,DATOS!$E12040,nASIG,DATOS!$I12040,nEVAL,"OR")=0))</f>
      </c>
      <c r="I12040">
        <f>IF(DATOS!$I12040="","",IFERROR(VLOOKUP(DATOS!$I12040,CONFIG_ASIGNATURAS!$B$2:$J$91,9,FALSE()),""))</f>
      </c>
    </row>
    <row r="12041">
      <c r="F12041">
        <f>IF(DATOS!$A12041="","",DATOS!$A12041&amp;"|"&amp;DATOS!$D12041&amp;"|"&amp;DATOS!$E12041&amp;"|"&amp;DATOS!$I12041)</f>
      </c>
      <c r="G12041">
        <f>IF(DATOS!$A12041="",0,IF(CONFIG_METADATA!$B$4&lt;&gt;"OR+EX",--(DATOS!$G12041=CONFIG_METADATA!$B$4),IF(DATOS!$G12041="EX",1,IF(DATOS!$G12041="OR",--(COUNTIFS(nNIA,DATOS!$A12041,nCURSO,DATOS!$D12041,nESPEC,DATOS!$E12041,nASIG,DATOS!$I12041,nEVAL,"EX")=0),0))))</f>
      </c>
      <c r="H12041">
        <f>IF(DATOS!$G12041&lt;&gt;"EX",0,--(COUNTIFS(nNIA,DATOS!$A12041,nCURSO,DATOS!$D12041,nESPEC,DATOS!$E12041,nASIG,DATOS!$I12041,nEVAL,"OR")=0))</f>
      </c>
      <c r="I12041">
        <f>IF(DATOS!$I12041="","",IFERROR(VLOOKUP(DATOS!$I12041,CONFIG_ASIGNATURAS!$B$2:$J$91,9,FALSE()),""))</f>
      </c>
    </row>
    <row r="12042">
      <c r="F12042">
        <f>IF(DATOS!$A12042="","",DATOS!$A12042&amp;"|"&amp;DATOS!$D12042&amp;"|"&amp;DATOS!$E12042&amp;"|"&amp;DATOS!$I12042)</f>
      </c>
      <c r="G12042">
        <f>IF(DATOS!$A12042="",0,IF(CONFIG_METADATA!$B$4&lt;&gt;"OR+EX",--(DATOS!$G12042=CONFIG_METADATA!$B$4),IF(DATOS!$G12042="EX",1,IF(DATOS!$G12042="OR",--(COUNTIFS(nNIA,DATOS!$A12042,nCURSO,DATOS!$D12042,nESPEC,DATOS!$E12042,nASIG,DATOS!$I12042,nEVAL,"EX")=0),0))))</f>
      </c>
      <c r="H12042">
        <f>IF(DATOS!$G12042&lt;&gt;"EX",0,--(COUNTIFS(nNIA,DATOS!$A12042,nCURSO,DATOS!$D12042,nESPEC,DATOS!$E12042,nASIG,DATOS!$I12042,nEVAL,"OR")=0))</f>
      </c>
      <c r="I12042">
        <f>IF(DATOS!$I12042="","",IFERROR(VLOOKUP(DATOS!$I12042,CONFIG_ASIGNATURAS!$B$2:$J$91,9,FALSE()),""))</f>
      </c>
    </row>
    <row r="12043">
      <c r="F12043">
        <f>IF(DATOS!$A12043="","",DATOS!$A12043&amp;"|"&amp;DATOS!$D12043&amp;"|"&amp;DATOS!$E12043&amp;"|"&amp;DATOS!$I12043)</f>
      </c>
      <c r="G12043">
        <f>IF(DATOS!$A12043="",0,IF(CONFIG_METADATA!$B$4&lt;&gt;"OR+EX",--(DATOS!$G12043=CONFIG_METADATA!$B$4),IF(DATOS!$G12043="EX",1,IF(DATOS!$G12043="OR",--(COUNTIFS(nNIA,DATOS!$A12043,nCURSO,DATOS!$D12043,nESPEC,DATOS!$E12043,nASIG,DATOS!$I12043,nEVAL,"EX")=0),0))))</f>
      </c>
      <c r="H12043">
        <f>IF(DATOS!$G12043&lt;&gt;"EX",0,--(COUNTIFS(nNIA,DATOS!$A12043,nCURSO,DATOS!$D12043,nESPEC,DATOS!$E12043,nASIG,DATOS!$I12043,nEVAL,"OR")=0))</f>
      </c>
      <c r="I12043">
        <f>IF(DATOS!$I12043="","",IFERROR(VLOOKUP(DATOS!$I12043,CONFIG_ASIGNATURAS!$B$2:$J$91,9,FALSE()),""))</f>
      </c>
    </row>
    <row r="12044">
      <c r="F12044">
        <f>IF(DATOS!$A12044="","",DATOS!$A12044&amp;"|"&amp;DATOS!$D12044&amp;"|"&amp;DATOS!$E12044&amp;"|"&amp;DATOS!$I12044)</f>
      </c>
      <c r="G12044">
        <f>IF(DATOS!$A12044="",0,IF(CONFIG_METADATA!$B$4&lt;&gt;"OR+EX",--(DATOS!$G12044=CONFIG_METADATA!$B$4),IF(DATOS!$G12044="EX",1,IF(DATOS!$G12044="OR",--(COUNTIFS(nNIA,DATOS!$A12044,nCURSO,DATOS!$D12044,nESPEC,DATOS!$E12044,nASIG,DATOS!$I12044,nEVAL,"EX")=0),0))))</f>
      </c>
      <c r="H12044">
        <f>IF(DATOS!$G12044&lt;&gt;"EX",0,--(COUNTIFS(nNIA,DATOS!$A12044,nCURSO,DATOS!$D12044,nESPEC,DATOS!$E12044,nASIG,DATOS!$I12044,nEVAL,"OR")=0))</f>
      </c>
      <c r="I12044">
        <f>IF(DATOS!$I12044="","",IFERROR(VLOOKUP(DATOS!$I12044,CONFIG_ASIGNATURAS!$B$2:$J$91,9,FALSE()),""))</f>
      </c>
    </row>
    <row r="12045">
      <c r="F12045">
        <f>IF(DATOS!$A12045="","",DATOS!$A12045&amp;"|"&amp;DATOS!$D12045&amp;"|"&amp;DATOS!$E12045&amp;"|"&amp;DATOS!$I12045)</f>
      </c>
      <c r="G12045">
        <f>IF(DATOS!$A12045="",0,IF(CONFIG_METADATA!$B$4&lt;&gt;"OR+EX",--(DATOS!$G12045=CONFIG_METADATA!$B$4),IF(DATOS!$G12045="EX",1,IF(DATOS!$G12045="OR",--(COUNTIFS(nNIA,DATOS!$A12045,nCURSO,DATOS!$D12045,nESPEC,DATOS!$E12045,nASIG,DATOS!$I12045,nEVAL,"EX")=0),0))))</f>
      </c>
      <c r="H12045">
        <f>IF(DATOS!$G12045&lt;&gt;"EX",0,--(COUNTIFS(nNIA,DATOS!$A12045,nCURSO,DATOS!$D12045,nESPEC,DATOS!$E12045,nASIG,DATOS!$I12045,nEVAL,"OR")=0))</f>
      </c>
      <c r="I12045">
        <f>IF(DATOS!$I12045="","",IFERROR(VLOOKUP(DATOS!$I12045,CONFIG_ASIGNATURAS!$B$2:$J$91,9,FALSE()),""))</f>
      </c>
    </row>
    <row r="12046">
      <c r="F12046">
        <f>IF(DATOS!$A12046="","",DATOS!$A12046&amp;"|"&amp;DATOS!$D12046&amp;"|"&amp;DATOS!$E12046&amp;"|"&amp;DATOS!$I12046)</f>
      </c>
      <c r="G12046">
        <f>IF(DATOS!$A12046="",0,IF(CONFIG_METADATA!$B$4&lt;&gt;"OR+EX",--(DATOS!$G12046=CONFIG_METADATA!$B$4),IF(DATOS!$G12046="EX",1,IF(DATOS!$G12046="OR",--(COUNTIFS(nNIA,DATOS!$A12046,nCURSO,DATOS!$D12046,nESPEC,DATOS!$E12046,nASIG,DATOS!$I12046,nEVAL,"EX")=0),0))))</f>
      </c>
      <c r="H12046">
        <f>IF(DATOS!$G12046&lt;&gt;"EX",0,--(COUNTIFS(nNIA,DATOS!$A12046,nCURSO,DATOS!$D12046,nESPEC,DATOS!$E12046,nASIG,DATOS!$I12046,nEVAL,"OR")=0))</f>
      </c>
      <c r="I12046">
        <f>IF(DATOS!$I12046="","",IFERROR(VLOOKUP(DATOS!$I12046,CONFIG_ASIGNATURAS!$B$2:$J$91,9,FALSE()),""))</f>
      </c>
    </row>
    <row r="12047">
      <c r="F12047">
        <f>IF(DATOS!$A12047="","",DATOS!$A12047&amp;"|"&amp;DATOS!$D12047&amp;"|"&amp;DATOS!$E12047&amp;"|"&amp;DATOS!$I12047)</f>
      </c>
      <c r="G12047">
        <f>IF(DATOS!$A12047="",0,IF(CONFIG_METADATA!$B$4&lt;&gt;"OR+EX",--(DATOS!$G12047=CONFIG_METADATA!$B$4),IF(DATOS!$G12047="EX",1,IF(DATOS!$G12047="OR",--(COUNTIFS(nNIA,DATOS!$A12047,nCURSO,DATOS!$D12047,nESPEC,DATOS!$E12047,nASIG,DATOS!$I12047,nEVAL,"EX")=0),0))))</f>
      </c>
      <c r="H12047">
        <f>IF(DATOS!$G12047&lt;&gt;"EX",0,--(COUNTIFS(nNIA,DATOS!$A12047,nCURSO,DATOS!$D12047,nESPEC,DATOS!$E12047,nASIG,DATOS!$I12047,nEVAL,"OR")=0))</f>
      </c>
      <c r="I12047">
        <f>IF(DATOS!$I12047="","",IFERROR(VLOOKUP(DATOS!$I12047,CONFIG_ASIGNATURAS!$B$2:$J$91,9,FALSE()),""))</f>
      </c>
    </row>
    <row r="12048">
      <c r="F12048">
        <f>IF(DATOS!$A12048="","",DATOS!$A12048&amp;"|"&amp;DATOS!$D12048&amp;"|"&amp;DATOS!$E12048&amp;"|"&amp;DATOS!$I12048)</f>
      </c>
      <c r="G12048">
        <f>IF(DATOS!$A12048="",0,IF(CONFIG_METADATA!$B$4&lt;&gt;"OR+EX",--(DATOS!$G12048=CONFIG_METADATA!$B$4),IF(DATOS!$G12048="EX",1,IF(DATOS!$G12048="OR",--(COUNTIFS(nNIA,DATOS!$A12048,nCURSO,DATOS!$D12048,nESPEC,DATOS!$E12048,nASIG,DATOS!$I12048,nEVAL,"EX")=0),0))))</f>
      </c>
      <c r="H12048">
        <f>IF(DATOS!$G12048&lt;&gt;"EX",0,--(COUNTIFS(nNIA,DATOS!$A12048,nCURSO,DATOS!$D12048,nESPEC,DATOS!$E12048,nASIG,DATOS!$I12048,nEVAL,"OR")=0))</f>
      </c>
      <c r="I12048">
        <f>IF(DATOS!$I12048="","",IFERROR(VLOOKUP(DATOS!$I12048,CONFIG_ASIGNATURAS!$B$2:$J$91,9,FALSE()),""))</f>
      </c>
    </row>
    <row r="12049">
      <c r="F12049">
        <f>IF(DATOS!$A12049="","",DATOS!$A12049&amp;"|"&amp;DATOS!$D12049&amp;"|"&amp;DATOS!$E12049&amp;"|"&amp;DATOS!$I12049)</f>
      </c>
      <c r="G12049">
        <f>IF(DATOS!$A12049="",0,IF(CONFIG_METADATA!$B$4&lt;&gt;"OR+EX",--(DATOS!$G12049=CONFIG_METADATA!$B$4),IF(DATOS!$G12049="EX",1,IF(DATOS!$G12049="OR",--(COUNTIFS(nNIA,DATOS!$A12049,nCURSO,DATOS!$D12049,nESPEC,DATOS!$E12049,nASIG,DATOS!$I12049,nEVAL,"EX")=0),0))))</f>
      </c>
      <c r="H12049">
        <f>IF(DATOS!$G12049&lt;&gt;"EX",0,--(COUNTIFS(nNIA,DATOS!$A12049,nCURSO,DATOS!$D12049,nESPEC,DATOS!$E12049,nASIG,DATOS!$I12049,nEVAL,"OR")=0))</f>
      </c>
      <c r="I12049">
        <f>IF(DATOS!$I12049="","",IFERROR(VLOOKUP(DATOS!$I12049,CONFIG_ASIGNATURAS!$B$2:$J$91,9,FALSE()),""))</f>
      </c>
    </row>
    <row r="12050">
      <c r="F12050">
        <f>IF(DATOS!$A12050="","",DATOS!$A12050&amp;"|"&amp;DATOS!$D12050&amp;"|"&amp;DATOS!$E12050&amp;"|"&amp;DATOS!$I12050)</f>
      </c>
      <c r="G12050">
        <f>IF(DATOS!$A12050="",0,IF(CONFIG_METADATA!$B$4&lt;&gt;"OR+EX",--(DATOS!$G12050=CONFIG_METADATA!$B$4),IF(DATOS!$G12050="EX",1,IF(DATOS!$G12050="OR",--(COUNTIFS(nNIA,DATOS!$A12050,nCURSO,DATOS!$D12050,nESPEC,DATOS!$E12050,nASIG,DATOS!$I12050,nEVAL,"EX")=0),0))))</f>
      </c>
      <c r="H12050">
        <f>IF(DATOS!$G12050&lt;&gt;"EX",0,--(COUNTIFS(nNIA,DATOS!$A12050,nCURSO,DATOS!$D12050,nESPEC,DATOS!$E12050,nASIG,DATOS!$I12050,nEVAL,"OR")=0))</f>
      </c>
      <c r="I12050">
        <f>IF(DATOS!$I12050="","",IFERROR(VLOOKUP(DATOS!$I12050,CONFIG_ASIGNATURAS!$B$2:$J$91,9,FALSE()),""))</f>
      </c>
    </row>
    <row r="12051">
      <c r="F12051">
        <f>IF(DATOS!$A12051="","",DATOS!$A12051&amp;"|"&amp;DATOS!$D12051&amp;"|"&amp;DATOS!$E12051&amp;"|"&amp;DATOS!$I12051)</f>
      </c>
      <c r="G12051">
        <f>IF(DATOS!$A12051="",0,IF(CONFIG_METADATA!$B$4&lt;&gt;"OR+EX",--(DATOS!$G12051=CONFIG_METADATA!$B$4),IF(DATOS!$G12051="EX",1,IF(DATOS!$G12051="OR",--(COUNTIFS(nNIA,DATOS!$A12051,nCURSO,DATOS!$D12051,nESPEC,DATOS!$E12051,nASIG,DATOS!$I12051,nEVAL,"EX")=0),0))))</f>
      </c>
      <c r="H12051">
        <f>IF(DATOS!$G12051&lt;&gt;"EX",0,--(COUNTIFS(nNIA,DATOS!$A12051,nCURSO,DATOS!$D12051,nESPEC,DATOS!$E12051,nASIG,DATOS!$I12051,nEVAL,"OR")=0))</f>
      </c>
      <c r="I12051">
        <f>IF(DATOS!$I12051="","",IFERROR(VLOOKUP(DATOS!$I12051,CONFIG_ASIGNATURAS!$B$2:$J$91,9,FALSE()),""))</f>
      </c>
    </row>
    <row r="12052">
      <c r="F12052">
        <f>IF(DATOS!$A12052="","",DATOS!$A12052&amp;"|"&amp;DATOS!$D12052&amp;"|"&amp;DATOS!$E12052&amp;"|"&amp;DATOS!$I12052)</f>
      </c>
      <c r="G12052">
        <f>IF(DATOS!$A12052="",0,IF(CONFIG_METADATA!$B$4&lt;&gt;"OR+EX",--(DATOS!$G12052=CONFIG_METADATA!$B$4),IF(DATOS!$G12052="EX",1,IF(DATOS!$G12052="OR",--(COUNTIFS(nNIA,DATOS!$A12052,nCURSO,DATOS!$D12052,nESPEC,DATOS!$E12052,nASIG,DATOS!$I12052,nEVAL,"EX")=0),0))))</f>
      </c>
      <c r="H12052">
        <f>IF(DATOS!$G12052&lt;&gt;"EX",0,--(COUNTIFS(nNIA,DATOS!$A12052,nCURSO,DATOS!$D12052,nESPEC,DATOS!$E12052,nASIG,DATOS!$I12052,nEVAL,"OR")=0))</f>
      </c>
      <c r="I12052">
        <f>IF(DATOS!$I12052="","",IFERROR(VLOOKUP(DATOS!$I12052,CONFIG_ASIGNATURAS!$B$2:$J$91,9,FALSE()),""))</f>
      </c>
    </row>
    <row r="12053">
      <c r="F12053">
        <f>IF(DATOS!$A12053="","",DATOS!$A12053&amp;"|"&amp;DATOS!$D12053&amp;"|"&amp;DATOS!$E12053&amp;"|"&amp;DATOS!$I12053)</f>
      </c>
      <c r="G12053">
        <f>IF(DATOS!$A12053="",0,IF(CONFIG_METADATA!$B$4&lt;&gt;"OR+EX",--(DATOS!$G12053=CONFIG_METADATA!$B$4),IF(DATOS!$G12053="EX",1,IF(DATOS!$G12053="OR",--(COUNTIFS(nNIA,DATOS!$A12053,nCURSO,DATOS!$D12053,nESPEC,DATOS!$E12053,nASIG,DATOS!$I12053,nEVAL,"EX")=0),0))))</f>
      </c>
      <c r="H12053">
        <f>IF(DATOS!$G12053&lt;&gt;"EX",0,--(COUNTIFS(nNIA,DATOS!$A12053,nCURSO,DATOS!$D12053,nESPEC,DATOS!$E12053,nASIG,DATOS!$I12053,nEVAL,"OR")=0))</f>
      </c>
      <c r="I12053">
        <f>IF(DATOS!$I12053="","",IFERROR(VLOOKUP(DATOS!$I12053,CONFIG_ASIGNATURAS!$B$2:$J$91,9,FALSE()),""))</f>
      </c>
    </row>
    <row r="12054">
      <c r="F12054">
        <f>IF(DATOS!$A12054="","",DATOS!$A12054&amp;"|"&amp;DATOS!$D12054&amp;"|"&amp;DATOS!$E12054&amp;"|"&amp;DATOS!$I12054)</f>
      </c>
      <c r="G12054">
        <f>IF(DATOS!$A12054="",0,IF(CONFIG_METADATA!$B$4&lt;&gt;"OR+EX",--(DATOS!$G12054=CONFIG_METADATA!$B$4),IF(DATOS!$G12054="EX",1,IF(DATOS!$G12054="OR",--(COUNTIFS(nNIA,DATOS!$A12054,nCURSO,DATOS!$D12054,nESPEC,DATOS!$E12054,nASIG,DATOS!$I12054,nEVAL,"EX")=0),0))))</f>
      </c>
      <c r="H12054">
        <f>IF(DATOS!$G12054&lt;&gt;"EX",0,--(COUNTIFS(nNIA,DATOS!$A12054,nCURSO,DATOS!$D12054,nESPEC,DATOS!$E12054,nASIG,DATOS!$I12054,nEVAL,"OR")=0))</f>
      </c>
      <c r="I12054">
        <f>IF(DATOS!$I12054="","",IFERROR(VLOOKUP(DATOS!$I12054,CONFIG_ASIGNATURAS!$B$2:$J$91,9,FALSE()),""))</f>
      </c>
    </row>
    <row r="12055">
      <c r="F12055">
        <f>IF(DATOS!$A12055="","",DATOS!$A12055&amp;"|"&amp;DATOS!$D12055&amp;"|"&amp;DATOS!$E12055&amp;"|"&amp;DATOS!$I12055)</f>
      </c>
      <c r="G12055">
        <f>IF(DATOS!$A12055="",0,IF(CONFIG_METADATA!$B$4&lt;&gt;"OR+EX",--(DATOS!$G12055=CONFIG_METADATA!$B$4),IF(DATOS!$G12055="EX",1,IF(DATOS!$G12055="OR",--(COUNTIFS(nNIA,DATOS!$A12055,nCURSO,DATOS!$D12055,nESPEC,DATOS!$E12055,nASIG,DATOS!$I12055,nEVAL,"EX")=0),0))))</f>
      </c>
      <c r="H12055">
        <f>IF(DATOS!$G12055&lt;&gt;"EX",0,--(COUNTIFS(nNIA,DATOS!$A12055,nCURSO,DATOS!$D12055,nESPEC,DATOS!$E12055,nASIG,DATOS!$I12055,nEVAL,"OR")=0))</f>
      </c>
      <c r="I12055">
        <f>IF(DATOS!$I12055="","",IFERROR(VLOOKUP(DATOS!$I12055,CONFIG_ASIGNATURAS!$B$2:$J$91,9,FALSE()),""))</f>
      </c>
    </row>
    <row r="12056">
      <c r="F12056">
        <f>IF(DATOS!$A12056="","",DATOS!$A12056&amp;"|"&amp;DATOS!$D12056&amp;"|"&amp;DATOS!$E12056&amp;"|"&amp;DATOS!$I12056)</f>
      </c>
      <c r="G12056">
        <f>IF(DATOS!$A12056="",0,IF(CONFIG_METADATA!$B$4&lt;&gt;"OR+EX",--(DATOS!$G12056=CONFIG_METADATA!$B$4),IF(DATOS!$G12056="EX",1,IF(DATOS!$G12056="OR",--(COUNTIFS(nNIA,DATOS!$A12056,nCURSO,DATOS!$D12056,nESPEC,DATOS!$E12056,nASIG,DATOS!$I12056,nEVAL,"EX")=0),0))))</f>
      </c>
      <c r="H12056">
        <f>IF(DATOS!$G12056&lt;&gt;"EX",0,--(COUNTIFS(nNIA,DATOS!$A12056,nCURSO,DATOS!$D12056,nESPEC,DATOS!$E12056,nASIG,DATOS!$I12056,nEVAL,"OR")=0))</f>
      </c>
      <c r="I12056">
        <f>IF(DATOS!$I12056="","",IFERROR(VLOOKUP(DATOS!$I12056,CONFIG_ASIGNATURAS!$B$2:$J$91,9,FALSE()),""))</f>
      </c>
    </row>
    <row r="12057">
      <c r="F12057">
        <f>IF(DATOS!$A12057="","",DATOS!$A12057&amp;"|"&amp;DATOS!$D12057&amp;"|"&amp;DATOS!$E12057&amp;"|"&amp;DATOS!$I12057)</f>
      </c>
      <c r="G12057">
        <f>IF(DATOS!$A12057="",0,IF(CONFIG_METADATA!$B$4&lt;&gt;"OR+EX",--(DATOS!$G12057=CONFIG_METADATA!$B$4),IF(DATOS!$G12057="EX",1,IF(DATOS!$G12057="OR",--(COUNTIFS(nNIA,DATOS!$A12057,nCURSO,DATOS!$D12057,nESPEC,DATOS!$E12057,nASIG,DATOS!$I12057,nEVAL,"EX")=0),0))))</f>
      </c>
      <c r="H12057">
        <f>IF(DATOS!$G12057&lt;&gt;"EX",0,--(COUNTIFS(nNIA,DATOS!$A12057,nCURSO,DATOS!$D12057,nESPEC,DATOS!$E12057,nASIG,DATOS!$I12057,nEVAL,"OR")=0))</f>
      </c>
      <c r="I12057">
        <f>IF(DATOS!$I12057="","",IFERROR(VLOOKUP(DATOS!$I12057,CONFIG_ASIGNATURAS!$B$2:$J$91,9,FALSE()),""))</f>
      </c>
    </row>
    <row r="12058">
      <c r="F12058">
        <f>IF(DATOS!$A12058="","",DATOS!$A12058&amp;"|"&amp;DATOS!$D12058&amp;"|"&amp;DATOS!$E12058&amp;"|"&amp;DATOS!$I12058)</f>
      </c>
      <c r="G12058">
        <f>IF(DATOS!$A12058="",0,IF(CONFIG_METADATA!$B$4&lt;&gt;"OR+EX",--(DATOS!$G12058=CONFIG_METADATA!$B$4),IF(DATOS!$G12058="EX",1,IF(DATOS!$G12058="OR",--(COUNTIFS(nNIA,DATOS!$A12058,nCURSO,DATOS!$D12058,nESPEC,DATOS!$E12058,nASIG,DATOS!$I12058,nEVAL,"EX")=0),0))))</f>
      </c>
      <c r="H12058">
        <f>IF(DATOS!$G12058&lt;&gt;"EX",0,--(COUNTIFS(nNIA,DATOS!$A12058,nCURSO,DATOS!$D12058,nESPEC,DATOS!$E12058,nASIG,DATOS!$I12058,nEVAL,"OR")=0))</f>
      </c>
      <c r="I12058">
        <f>IF(DATOS!$I12058="","",IFERROR(VLOOKUP(DATOS!$I12058,CONFIG_ASIGNATURAS!$B$2:$J$91,9,FALSE()),""))</f>
      </c>
    </row>
    <row r="12059">
      <c r="F12059">
        <f>IF(DATOS!$A12059="","",DATOS!$A12059&amp;"|"&amp;DATOS!$D12059&amp;"|"&amp;DATOS!$E12059&amp;"|"&amp;DATOS!$I12059)</f>
      </c>
      <c r="G12059">
        <f>IF(DATOS!$A12059="",0,IF(CONFIG_METADATA!$B$4&lt;&gt;"OR+EX",--(DATOS!$G12059=CONFIG_METADATA!$B$4),IF(DATOS!$G12059="EX",1,IF(DATOS!$G12059="OR",--(COUNTIFS(nNIA,DATOS!$A12059,nCURSO,DATOS!$D12059,nESPEC,DATOS!$E12059,nASIG,DATOS!$I12059,nEVAL,"EX")=0),0))))</f>
      </c>
      <c r="H12059">
        <f>IF(DATOS!$G12059&lt;&gt;"EX",0,--(COUNTIFS(nNIA,DATOS!$A12059,nCURSO,DATOS!$D12059,nESPEC,DATOS!$E12059,nASIG,DATOS!$I12059,nEVAL,"OR")=0))</f>
      </c>
      <c r="I12059">
        <f>IF(DATOS!$I12059="","",IFERROR(VLOOKUP(DATOS!$I12059,CONFIG_ASIGNATURAS!$B$2:$J$91,9,FALSE()),""))</f>
      </c>
    </row>
    <row r="12060">
      <c r="F12060">
        <f>IF(DATOS!$A12060="","",DATOS!$A12060&amp;"|"&amp;DATOS!$D12060&amp;"|"&amp;DATOS!$E12060&amp;"|"&amp;DATOS!$I12060)</f>
      </c>
      <c r="G12060">
        <f>IF(DATOS!$A12060="",0,IF(CONFIG_METADATA!$B$4&lt;&gt;"OR+EX",--(DATOS!$G12060=CONFIG_METADATA!$B$4),IF(DATOS!$G12060="EX",1,IF(DATOS!$G12060="OR",--(COUNTIFS(nNIA,DATOS!$A12060,nCURSO,DATOS!$D12060,nESPEC,DATOS!$E12060,nASIG,DATOS!$I12060,nEVAL,"EX")=0),0))))</f>
      </c>
      <c r="H12060">
        <f>IF(DATOS!$G12060&lt;&gt;"EX",0,--(COUNTIFS(nNIA,DATOS!$A12060,nCURSO,DATOS!$D12060,nESPEC,DATOS!$E12060,nASIG,DATOS!$I12060,nEVAL,"OR")=0))</f>
      </c>
      <c r="I12060">
        <f>IF(DATOS!$I12060="","",IFERROR(VLOOKUP(DATOS!$I12060,CONFIG_ASIGNATURAS!$B$2:$J$91,9,FALSE()),""))</f>
      </c>
    </row>
    <row r="12061">
      <c r="F12061">
        <f>IF(DATOS!$A12061="","",DATOS!$A12061&amp;"|"&amp;DATOS!$D12061&amp;"|"&amp;DATOS!$E12061&amp;"|"&amp;DATOS!$I12061)</f>
      </c>
      <c r="G12061">
        <f>IF(DATOS!$A12061="",0,IF(CONFIG_METADATA!$B$4&lt;&gt;"OR+EX",--(DATOS!$G12061=CONFIG_METADATA!$B$4),IF(DATOS!$G12061="EX",1,IF(DATOS!$G12061="OR",--(COUNTIFS(nNIA,DATOS!$A12061,nCURSO,DATOS!$D12061,nESPEC,DATOS!$E12061,nASIG,DATOS!$I12061,nEVAL,"EX")=0),0))))</f>
      </c>
      <c r="H12061">
        <f>IF(DATOS!$G12061&lt;&gt;"EX",0,--(COUNTIFS(nNIA,DATOS!$A12061,nCURSO,DATOS!$D12061,nESPEC,DATOS!$E12061,nASIG,DATOS!$I12061,nEVAL,"OR")=0))</f>
      </c>
      <c r="I12061">
        <f>IF(DATOS!$I12061="","",IFERROR(VLOOKUP(DATOS!$I12061,CONFIG_ASIGNATURAS!$B$2:$J$91,9,FALSE()),""))</f>
      </c>
    </row>
    <row r="12062">
      <c r="F12062">
        <f>IF(DATOS!$A12062="","",DATOS!$A12062&amp;"|"&amp;DATOS!$D12062&amp;"|"&amp;DATOS!$E12062&amp;"|"&amp;DATOS!$I12062)</f>
      </c>
      <c r="G12062">
        <f>IF(DATOS!$A12062="",0,IF(CONFIG_METADATA!$B$4&lt;&gt;"OR+EX",--(DATOS!$G12062=CONFIG_METADATA!$B$4),IF(DATOS!$G12062="EX",1,IF(DATOS!$G12062="OR",--(COUNTIFS(nNIA,DATOS!$A12062,nCURSO,DATOS!$D12062,nESPEC,DATOS!$E12062,nASIG,DATOS!$I12062,nEVAL,"EX")=0),0))))</f>
      </c>
      <c r="H12062">
        <f>IF(DATOS!$G12062&lt;&gt;"EX",0,--(COUNTIFS(nNIA,DATOS!$A12062,nCURSO,DATOS!$D12062,nESPEC,DATOS!$E12062,nASIG,DATOS!$I12062,nEVAL,"OR")=0))</f>
      </c>
      <c r="I12062">
        <f>IF(DATOS!$I12062="","",IFERROR(VLOOKUP(DATOS!$I12062,CONFIG_ASIGNATURAS!$B$2:$J$91,9,FALSE()),""))</f>
      </c>
    </row>
    <row r="12063">
      <c r="F12063">
        <f>IF(DATOS!$A12063="","",DATOS!$A12063&amp;"|"&amp;DATOS!$D12063&amp;"|"&amp;DATOS!$E12063&amp;"|"&amp;DATOS!$I12063)</f>
      </c>
      <c r="G12063">
        <f>IF(DATOS!$A12063="",0,IF(CONFIG_METADATA!$B$4&lt;&gt;"OR+EX",--(DATOS!$G12063=CONFIG_METADATA!$B$4),IF(DATOS!$G12063="EX",1,IF(DATOS!$G12063="OR",--(COUNTIFS(nNIA,DATOS!$A12063,nCURSO,DATOS!$D12063,nESPEC,DATOS!$E12063,nASIG,DATOS!$I12063,nEVAL,"EX")=0),0))))</f>
      </c>
      <c r="H12063">
        <f>IF(DATOS!$G12063&lt;&gt;"EX",0,--(COUNTIFS(nNIA,DATOS!$A12063,nCURSO,DATOS!$D12063,nESPEC,DATOS!$E12063,nASIG,DATOS!$I12063,nEVAL,"OR")=0))</f>
      </c>
      <c r="I12063">
        <f>IF(DATOS!$I12063="","",IFERROR(VLOOKUP(DATOS!$I12063,CONFIG_ASIGNATURAS!$B$2:$J$91,9,FALSE()),""))</f>
      </c>
    </row>
    <row r="12064">
      <c r="F12064">
        <f>IF(DATOS!$A12064="","",DATOS!$A12064&amp;"|"&amp;DATOS!$D12064&amp;"|"&amp;DATOS!$E12064&amp;"|"&amp;DATOS!$I12064)</f>
      </c>
      <c r="G12064">
        <f>IF(DATOS!$A12064="",0,IF(CONFIG_METADATA!$B$4&lt;&gt;"OR+EX",--(DATOS!$G12064=CONFIG_METADATA!$B$4),IF(DATOS!$G12064="EX",1,IF(DATOS!$G12064="OR",--(COUNTIFS(nNIA,DATOS!$A12064,nCURSO,DATOS!$D12064,nESPEC,DATOS!$E12064,nASIG,DATOS!$I12064,nEVAL,"EX")=0),0))))</f>
      </c>
      <c r="H12064">
        <f>IF(DATOS!$G12064&lt;&gt;"EX",0,--(COUNTIFS(nNIA,DATOS!$A12064,nCURSO,DATOS!$D12064,nESPEC,DATOS!$E12064,nASIG,DATOS!$I12064,nEVAL,"OR")=0))</f>
      </c>
      <c r="I12064">
        <f>IF(DATOS!$I12064="","",IFERROR(VLOOKUP(DATOS!$I12064,CONFIG_ASIGNATURAS!$B$2:$J$91,9,FALSE()),""))</f>
      </c>
    </row>
    <row r="12065">
      <c r="F12065">
        <f>IF(DATOS!$A12065="","",DATOS!$A12065&amp;"|"&amp;DATOS!$D12065&amp;"|"&amp;DATOS!$E12065&amp;"|"&amp;DATOS!$I12065)</f>
      </c>
      <c r="G12065">
        <f>IF(DATOS!$A12065="",0,IF(CONFIG_METADATA!$B$4&lt;&gt;"OR+EX",--(DATOS!$G12065=CONFIG_METADATA!$B$4),IF(DATOS!$G12065="EX",1,IF(DATOS!$G12065="OR",--(COUNTIFS(nNIA,DATOS!$A12065,nCURSO,DATOS!$D12065,nESPEC,DATOS!$E12065,nASIG,DATOS!$I12065,nEVAL,"EX")=0),0))))</f>
      </c>
      <c r="H12065">
        <f>IF(DATOS!$G12065&lt;&gt;"EX",0,--(COUNTIFS(nNIA,DATOS!$A12065,nCURSO,DATOS!$D12065,nESPEC,DATOS!$E12065,nASIG,DATOS!$I12065,nEVAL,"OR")=0))</f>
      </c>
      <c r="I12065">
        <f>IF(DATOS!$I12065="","",IFERROR(VLOOKUP(DATOS!$I12065,CONFIG_ASIGNATURAS!$B$2:$J$91,9,FALSE()),""))</f>
      </c>
    </row>
    <row r="12066">
      <c r="F12066">
        <f>IF(DATOS!$A12066="","",DATOS!$A12066&amp;"|"&amp;DATOS!$D12066&amp;"|"&amp;DATOS!$E12066&amp;"|"&amp;DATOS!$I12066)</f>
      </c>
      <c r="G12066">
        <f>IF(DATOS!$A12066="",0,IF(CONFIG_METADATA!$B$4&lt;&gt;"OR+EX",--(DATOS!$G12066=CONFIG_METADATA!$B$4),IF(DATOS!$G12066="EX",1,IF(DATOS!$G12066="OR",--(COUNTIFS(nNIA,DATOS!$A12066,nCURSO,DATOS!$D12066,nESPEC,DATOS!$E12066,nASIG,DATOS!$I12066,nEVAL,"EX")=0),0))))</f>
      </c>
      <c r="H12066">
        <f>IF(DATOS!$G12066&lt;&gt;"EX",0,--(COUNTIFS(nNIA,DATOS!$A12066,nCURSO,DATOS!$D12066,nESPEC,DATOS!$E12066,nASIG,DATOS!$I12066,nEVAL,"OR")=0))</f>
      </c>
      <c r="I12066">
        <f>IF(DATOS!$I12066="","",IFERROR(VLOOKUP(DATOS!$I12066,CONFIG_ASIGNATURAS!$B$2:$J$91,9,FALSE()),""))</f>
      </c>
    </row>
    <row r="12067">
      <c r="F12067">
        <f>IF(DATOS!$A12067="","",DATOS!$A12067&amp;"|"&amp;DATOS!$D12067&amp;"|"&amp;DATOS!$E12067&amp;"|"&amp;DATOS!$I12067)</f>
      </c>
      <c r="G12067">
        <f>IF(DATOS!$A12067="",0,IF(CONFIG_METADATA!$B$4&lt;&gt;"OR+EX",--(DATOS!$G12067=CONFIG_METADATA!$B$4),IF(DATOS!$G12067="EX",1,IF(DATOS!$G12067="OR",--(COUNTIFS(nNIA,DATOS!$A12067,nCURSO,DATOS!$D12067,nESPEC,DATOS!$E12067,nASIG,DATOS!$I12067,nEVAL,"EX")=0),0))))</f>
      </c>
      <c r="H12067">
        <f>IF(DATOS!$G12067&lt;&gt;"EX",0,--(COUNTIFS(nNIA,DATOS!$A12067,nCURSO,DATOS!$D12067,nESPEC,DATOS!$E12067,nASIG,DATOS!$I12067,nEVAL,"OR")=0))</f>
      </c>
      <c r="I12067">
        <f>IF(DATOS!$I12067="","",IFERROR(VLOOKUP(DATOS!$I12067,CONFIG_ASIGNATURAS!$B$2:$J$91,9,FALSE()),""))</f>
      </c>
    </row>
    <row r="12068">
      <c r="F12068">
        <f>IF(DATOS!$A12068="","",DATOS!$A12068&amp;"|"&amp;DATOS!$D12068&amp;"|"&amp;DATOS!$E12068&amp;"|"&amp;DATOS!$I12068)</f>
      </c>
      <c r="G12068">
        <f>IF(DATOS!$A12068="",0,IF(CONFIG_METADATA!$B$4&lt;&gt;"OR+EX",--(DATOS!$G12068=CONFIG_METADATA!$B$4),IF(DATOS!$G12068="EX",1,IF(DATOS!$G12068="OR",--(COUNTIFS(nNIA,DATOS!$A12068,nCURSO,DATOS!$D12068,nESPEC,DATOS!$E12068,nASIG,DATOS!$I12068,nEVAL,"EX")=0),0))))</f>
      </c>
      <c r="H12068">
        <f>IF(DATOS!$G12068&lt;&gt;"EX",0,--(COUNTIFS(nNIA,DATOS!$A12068,nCURSO,DATOS!$D12068,nESPEC,DATOS!$E12068,nASIG,DATOS!$I12068,nEVAL,"OR")=0))</f>
      </c>
      <c r="I12068">
        <f>IF(DATOS!$I12068="","",IFERROR(VLOOKUP(DATOS!$I12068,CONFIG_ASIGNATURAS!$B$2:$J$91,9,FALSE()),""))</f>
      </c>
    </row>
    <row r="12069">
      <c r="F12069">
        <f>IF(DATOS!$A12069="","",DATOS!$A12069&amp;"|"&amp;DATOS!$D12069&amp;"|"&amp;DATOS!$E12069&amp;"|"&amp;DATOS!$I12069)</f>
      </c>
      <c r="G12069">
        <f>IF(DATOS!$A12069="",0,IF(CONFIG_METADATA!$B$4&lt;&gt;"OR+EX",--(DATOS!$G12069=CONFIG_METADATA!$B$4),IF(DATOS!$G12069="EX",1,IF(DATOS!$G12069="OR",--(COUNTIFS(nNIA,DATOS!$A12069,nCURSO,DATOS!$D12069,nESPEC,DATOS!$E12069,nASIG,DATOS!$I12069,nEVAL,"EX")=0),0))))</f>
      </c>
      <c r="H12069">
        <f>IF(DATOS!$G12069&lt;&gt;"EX",0,--(COUNTIFS(nNIA,DATOS!$A12069,nCURSO,DATOS!$D12069,nESPEC,DATOS!$E12069,nASIG,DATOS!$I12069,nEVAL,"OR")=0))</f>
      </c>
      <c r="I12069">
        <f>IF(DATOS!$I12069="","",IFERROR(VLOOKUP(DATOS!$I12069,CONFIG_ASIGNATURAS!$B$2:$J$91,9,FALSE()),""))</f>
      </c>
    </row>
    <row r="12070">
      <c r="F12070">
        <f>IF(DATOS!$A12070="","",DATOS!$A12070&amp;"|"&amp;DATOS!$D12070&amp;"|"&amp;DATOS!$E12070&amp;"|"&amp;DATOS!$I12070)</f>
      </c>
      <c r="G12070">
        <f>IF(DATOS!$A12070="",0,IF(CONFIG_METADATA!$B$4&lt;&gt;"OR+EX",--(DATOS!$G12070=CONFIG_METADATA!$B$4),IF(DATOS!$G12070="EX",1,IF(DATOS!$G12070="OR",--(COUNTIFS(nNIA,DATOS!$A12070,nCURSO,DATOS!$D12070,nESPEC,DATOS!$E12070,nASIG,DATOS!$I12070,nEVAL,"EX")=0),0))))</f>
      </c>
      <c r="H12070">
        <f>IF(DATOS!$G12070&lt;&gt;"EX",0,--(COUNTIFS(nNIA,DATOS!$A12070,nCURSO,DATOS!$D12070,nESPEC,DATOS!$E12070,nASIG,DATOS!$I12070,nEVAL,"OR")=0))</f>
      </c>
      <c r="I12070">
        <f>IF(DATOS!$I12070="","",IFERROR(VLOOKUP(DATOS!$I12070,CONFIG_ASIGNATURAS!$B$2:$J$91,9,FALSE()),""))</f>
      </c>
    </row>
    <row r="12071">
      <c r="F12071">
        <f>IF(DATOS!$A12071="","",DATOS!$A12071&amp;"|"&amp;DATOS!$D12071&amp;"|"&amp;DATOS!$E12071&amp;"|"&amp;DATOS!$I12071)</f>
      </c>
      <c r="G12071">
        <f>IF(DATOS!$A12071="",0,IF(CONFIG_METADATA!$B$4&lt;&gt;"OR+EX",--(DATOS!$G12071=CONFIG_METADATA!$B$4),IF(DATOS!$G12071="EX",1,IF(DATOS!$G12071="OR",--(COUNTIFS(nNIA,DATOS!$A12071,nCURSO,DATOS!$D12071,nESPEC,DATOS!$E12071,nASIG,DATOS!$I12071,nEVAL,"EX")=0),0))))</f>
      </c>
      <c r="H12071">
        <f>IF(DATOS!$G12071&lt;&gt;"EX",0,--(COUNTIFS(nNIA,DATOS!$A12071,nCURSO,DATOS!$D12071,nESPEC,DATOS!$E12071,nASIG,DATOS!$I12071,nEVAL,"OR")=0))</f>
      </c>
      <c r="I12071">
        <f>IF(DATOS!$I12071="","",IFERROR(VLOOKUP(DATOS!$I12071,CONFIG_ASIGNATURAS!$B$2:$J$91,9,FALSE()),""))</f>
      </c>
    </row>
    <row r="12072">
      <c r="F12072">
        <f>IF(DATOS!$A12072="","",DATOS!$A12072&amp;"|"&amp;DATOS!$D12072&amp;"|"&amp;DATOS!$E12072&amp;"|"&amp;DATOS!$I12072)</f>
      </c>
      <c r="G12072">
        <f>IF(DATOS!$A12072="",0,IF(CONFIG_METADATA!$B$4&lt;&gt;"OR+EX",--(DATOS!$G12072=CONFIG_METADATA!$B$4),IF(DATOS!$G12072="EX",1,IF(DATOS!$G12072="OR",--(COUNTIFS(nNIA,DATOS!$A12072,nCURSO,DATOS!$D12072,nESPEC,DATOS!$E12072,nASIG,DATOS!$I12072,nEVAL,"EX")=0),0))))</f>
      </c>
      <c r="H12072">
        <f>IF(DATOS!$G12072&lt;&gt;"EX",0,--(COUNTIFS(nNIA,DATOS!$A12072,nCURSO,DATOS!$D12072,nESPEC,DATOS!$E12072,nASIG,DATOS!$I12072,nEVAL,"OR")=0))</f>
      </c>
      <c r="I12072">
        <f>IF(DATOS!$I12072="","",IFERROR(VLOOKUP(DATOS!$I12072,CONFIG_ASIGNATURAS!$B$2:$J$91,9,FALSE()),""))</f>
      </c>
    </row>
    <row r="12073">
      <c r="F12073">
        <f>IF(DATOS!$A12073="","",DATOS!$A12073&amp;"|"&amp;DATOS!$D12073&amp;"|"&amp;DATOS!$E12073&amp;"|"&amp;DATOS!$I12073)</f>
      </c>
      <c r="G12073">
        <f>IF(DATOS!$A12073="",0,IF(CONFIG_METADATA!$B$4&lt;&gt;"OR+EX",--(DATOS!$G12073=CONFIG_METADATA!$B$4),IF(DATOS!$G12073="EX",1,IF(DATOS!$G12073="OR",--(COUNTIFS(nNIA,DATOS!$A12073,nCURSO,DATOS!$D12073,nESPEC,DATOS!$E12073,nASIG,DATOS!$I12073,nEVAL,"EX")=0),0))))</f>
      </c>
      <c r="H12073">
        <f>IF(DATOS!$G12073&lt;&gt;"EX",0,--(COUNTIFS(nNIA,DATOS!$A12073,nCURSO,DATOS!$D12073,nESPEC,DATOS!$E12073,nASIG,DATOS!$I12073,nEVAL,"OR")=0))</f>
      </c>
      <c r="I12073">
        <f>IF(DATOS!$I12073="","",IFERROR(VLOOKUP(DATOS!$I12073,CONFIG_ASIGNATURAS!$B$2:$J$91,9,FALSE()),""))</f>
      </c>
    </row>
    <row r="12074">
      <c r="F12074">
        <f>IF(DATOS!$A12074="","",DATOS!$A12074&amp;"|"&amp;DATOS!$D12074&amp;"|"&amp;DATOS!$E12074&amp;"|"&amp;DATOS!$I12074)</f>
      </c>
      <c r="G12074">
        <f>IF(DATOS!$A12074="",0,IF(CONFIG_METADATA!$B$4&lt;&gt;"OR+EX",--(DATOS!$G12074=CONFIG_METADATA!$B$4),IF(DATOS!$G12074="EX",1,IF(DATOS!$G12074="OR",--(COUNTIFS(nNIA,DATOS!$A12074,nCURSO,DATOS!$D12074,nESPEC,DATOS!$E12074,nASIG,DATOS!$I12074,nEVAL,"EX")=0),0))))</f>
      </c>
      <c r="H12074">
        <f>IF(DATOS!$G12074&lt;&gt;"EX",0,--(COUNTIFS(nNIA,DATOS!$A12074,nCURSO,DATOS!$D12074,nESPEC,DATOS!$E12074,nASIG,DATOS!$I12074,nEVAL,"OR")=0))</f>
      </c>
      <c r="I12074">
        <f>IF(DATOS!$I12074="","",IFERROR(VLOOKUP(DATOS!$I12074,CONFIG_ASIGNATURAS!$B$2:$J$91,9,FALSE()),""))</f>
      </c>
    </row>
    <row r="12075">
      <c r="F12075">
        <f>IF(DATOS!$A12075="","",DATOS!$A12075&amp;"|"&amp;DATOS!$D12075&amp;"|"&amp;DATOS!$E12075&amp;"|"&amp;DATOS!$I12075)</f>
      </c>
      <c r="G12075">
        <f>IF(DATOS!$A12075="",0,IF(CONFIG_METADATA!$B$4&lt;&gt;"OR+EX",--(DATOS!$G12075=CONFIG_METADATA!$B$4),IF(DATOS!$G12075="EX",1,IF(DATOS!$G12075="OR",--(COUNTIFS(nNIA,DATOS!$A12075,nCURSO,DATOS!$D12075,nESPEC,DATOS!$E12075,nASIG,DATOS!$I12075,nEVAL,"EX")=0),0))))</f>
      </c>
      <c r="H12075">
        <f>IF(DATOS!$G12075&lt;&gt;"EX",0,--(COUNTIFS(nNIA,DATOS!$A12075,nCURSO,DATOS!$D12075,nESPEC,DATOS!$E12075,nASIG,DATOS!$I12075,nEVAL,"OR")=0))</f>
      </c>
      <c r="I12075">
        <f>IF(DATOS!$I12075="","",IFERROR(VLOOKUP(DATOS!$I12075,CONFIG_ASIGNATURAS!$B$2:$J$91,9,FALSE()),""))</f>
      </c>
    </row>
    <row r="12076">
      <c r="F12076">
        <f>IF(DATOS!$A12076="","",DATOS!$A12076&amp;"|"&amp;DATOS!$D12076&amp;"|"&amp;DATOS!$E12076&amp;"|"&amp;DATOS!$I12076)</f>
      </c>
      <c r="G12076">
        <f>IF(DATOS!$A12076="",0,IF(CONFIG_METADATA!$B$4&lt;&gt;"OR+EX",--(DATOS!$G12076=CONFIG_METADATA!$B$4),IF(DATOS!$G12076="EX",1,IF(DATOS!$G12076="OR",--(COUNTIFS(nNIA,DATOS!$A12076,nCURSO,DATOS!$D12076,nESPEC,DATOS!$E12076,nASIG,DATOS!$I12076,nEVAL,"EX")=0),0))))</f>
      </c>
      <c r="H12076">
        <f>IF(DATOS!$G12076&lt;&gt;"EX",0,--(COUNTIFS(nNIA,DATOS!$A12076,nCURSO,DATOS!$D12076,nESPEC,DATOS!$E12076,nASIG,DATOS!$I12076,nEVAL,"OR")=0))</f>
      </c>
      <c r="I12076">
        <f>IF(DATOS!$I12076="","",IFERROR(VLOOKUP(DATOS!$I12076,CONFIG_ASIGNATURAS!$B$2:$J$91,9,FALSE()),""))</f>
      </c>
    </row>
    <row r="12077">
      <c r="F12077">
        <f>IF(DATOS!$A12077="","",DATOS!$A12077&amp;"|"&amp;DATOS!$D12077&amp;"|"&amp;DATOS!$E12077&amp;"|"&amp;DATOS!$I12077)</f>
      </c>
      <c r="G12077">
        <f>IF(DATOS!$A12077="",0,IF(CONFIG_METADATA!$B$4&lt;&gt;"OR+EX",--(DATOS!$G12077=CONFIG_METADATA!$B$4),IF(DATOS!$G12077="EX",1,IF(DATOS!$G12077="OR",--(COUNTIFS(nNIA,DATOS!$A12077,nCURSO,DATOS!$D12077,nESPEC,DATOS!$E12077,nASIG,DATOS!$I12077,nEVAL,"EX")=0),0))))</f>
      </c>
      <c r="H12077">
        <f>IF(DATOS!$G12077&lt;&gt;"EX",0,--(COUNTIFS(nNIA,DATOS!$A12077,nCURSO,DATOS!$D12077,nESPEC,DATOS!$E12077,nASIG,DATOS!$I12077,nEVAL,"OR")=0))</f>
      </c>
      <c r="I12077">
        <f>IF(DATOS!$I12077="","",IFERROR(VLOOKUP(DATOS!$I12077,CONFIG_ASIGNATURAS!$B$2:$J$91,9,FALSE()),""))</f>
      </c>
    </row>
    <row r="12078">
      <c r="F12078">
        <f>IF(DATOS!$A12078="","",DATOS!$A12078&amp;"|"&amp;DATOS!$D12078&amp;"|"&amp;DATOS!$E12078&amp;"|"&amp;DATOS!$I12078)</f>
      </c>
      <c r="G12078">
        <f>IF(DATOS!$A12078="",0,IF(CONFIG_METADATA!$B$4&lt;&gt;"OR+EX",--(DATOS!$G12078=CONFIG_METADATA!$B$4),IF(DATOS!$G12078="EX",1,IF(DATOS!$G12078="OR",--(COUNTIFS(nNIA,DATOS!$A12078,nCURSO,DATOS!$D12078,nESPEC,DATOS!$E12078,nASIG,DATOS!$I12078,nEVAL,"EX")=0),0))))</f>
      </c>
      <c r="H12078">
        <f>IF(DATOS!$G12078&lt;&gt;"EX",0,--(COUNTIFS(nNIA,DATOS!$A12078,nCURSO,DATOS!$D12078,nESPEC,DATOS!$E12078,nASIG,DATOS!$I12078,nEVAL,"OR")=0))</f>
      </c>
      <c r="I12078">
        <f>IF(DATOS!$I12078="","",IFERROR(VLOOKUP(DATOS!$I12078,CONFIG_ASIGNATURAS!$B$2:$J$91,9,FALSE()),""))</f>
      </c>
    </row>
    <row r="12079">
      <c r="F12079">
        <f>IF(DATOS!$A12079="","",DATOS!$A12079&amp;"|"&amp;DATOS!$D12079&amp;"|"&amp;DATOS!$E12079&amp;"|"&amp;DATOS!$I12079)</f>
      </c>
      <c r="G12079">
        <f>IF(DATOS!$A12079="",0,IF(CONFIG_METADATA!$B$4&lt;&gt;"OR+EX",--(DATOS!$G12079=CONFIG_METADATA!$B$4),IF(DATOS!$G12079="EX",1,IF(DATOS!$G12079="OR",--(COUNTIFS(nNIA,DATOS!$A12079,nCURSO,DATOS!$D12079,nESPEC,DATOS!$E12079,nASIG,DATOS!$I12079,nEVAL,"EX")=0),0))))</f>
      </c>
      <c r="H12079">
        <f>IF(DATOS!$G12079&lt;&gt;"EX",0,--(COUNTIFS(nNIA,DATOS!$A12079,nCURSO,DATOS!$D12079,nESPEC,DATOS!$E12079,nASIG,DATOS!$I12079,nEVAL,"OR")=0))</f>
      </c>
      <c r="I12079">
        <f>IF(DATOS!$I12079="","",IFERROR(VLOOKUP(DATOS!$I12079,CONFIG_ASIGNATURAS!$B$2:$J$91,9,FALSE()),""))</f>
      </c>
    </row>
    <row r="12080">
      <c r="F12080">
        <f>IF(DATOS!$A12080="","",DATOS!$A12080&amp;"|"&amp;DATOS!$D12080&amp;"|"&amp;DATOS!$E12080&amp;"|"&amp;DATOS!$I12080)</f>
      </c>
      <c r="G12080">
        <f>IF(DATOS!$A12080="",0,IF(CONFIG_METADATA!$B$4&lt;&gt;"OR+EX",--(DATOS!$G12080=CONFIG_METADATA!$B$4),IF(DATOS!$G12080="EX",1,IF(DATOS!$G12080="OR",--(COUNTIFS(nNIA,DATOS!$A12080,nCURSO,DATOS!$D12080,nESPEC,DATOS!$E12080,nASIG,DATOS!$I12080,nEVAL,"EX")=0),0))))</f>
      </c>
      <c r="H12080">
        <f>IF(DATOS!$G12080&lt;&gt;"EX",0,--(COUNTIFS(nNIA,DATOS!$A12080,nCURSO,DATOS!$D12080,nESPEC,DATOS!$E12080,nASIG,DATOS!$I12080,nEVAL,"OR")=0))</f>
      </c>
      <c r="I12080">
        <f>IF(DATOS!$I12080="","",IFERROR(VLOOKUP(DATOS!$I12080,CONFIG_ASIGNATURAS!$B$2:$J$91,9,FALSE()),""))</f>
      </c>
    </row>
    <row r="12081">
      <c r="F12081">
        <f>IF(DATOS!$A12081="","",DATOS!$A12081&amp;"|"&amp;DATOS!$D12081&amp;"|"&amp;DATOS!$E12081&amp;"|"&amp;DATOS!$I12081)</f>
      </c>
      <c r="G12081">
        <f>IF(DATOS!$A12081="",0,IF(CONFIG_METADATA!$B$4&lt;&gt;"OR+EX",--(DATOS!$G12081=CONFIG_METADATA!$B$4),IF(DATOS!$G12081="EX",1,IF(DATOS!$G12081="OR",--(COUNTIFS(nNIA,DATOS!$A12081,nCURSO,DATOS!$D12081,nESPEC,DATOS!$E12081,nASIG,DATOS!$I12081,nEVAL,"EX")=0),0))))</f>
      </c>
      <c r="H12081">
        <f>IF(DATOS!$G12081&lt;&gt;"EX",0,--(COUNTIFS(nNIA,DATOS!$A12081,nCURSO,DATOS!$D12081,nESPEC,DATOS!$E12081,nASIG,DATOS!$I12081,nEVAL,"OR")=0))</f>
      </c>
      <c r="I12081">
        <f>IF(DATOS!$I12081="","",IFERROR(VLOOKUP(DATOS!$I12081,CONFIG_ASIGNATURAS!$B$2:$J$91,9,FALSE()),""))</f>
      </c>
    </row>
    <row r="12082">
      <c r="F12082">
        <f>IF(DATOS!$A12082="","",DATOS!$A12082&amp;"|"&amp;DATOS!$D12082&amp;"|"&amp;DATOS!$E12082&amp;"|"&amp;DATOS!$I12082)</f>
      </c>
      <c r="G12082">
        <f>IF(DATOS!$A12082="",0,IF(CONFIG_METADATA!$B$4&lt;&gt;"OR+EX",--(DATOS!$G12082=CONFIG_METADATA!$B$4),IF(DATOS!$G12082="EX",1,IF(DATOS!$G12082="OR",--(COUNTIFS(nNIA,DATOS!$A12082,nCURSO,DATOS!$D12082,nESPEC,DATOS!$E12082,nASIG,DATOS!$I12082,nEVAL,"EX")=0),0))))</f>
      </c>
      <c r="H12082">
        <f>IF(DATOS!$G12082&lt;&gt;"EX",0,--(COUNTIFS(nNIA,DATOS!$A12082,nCURSO,DATOS!$D12082,nESPEC,DATOS!$E12082,nASIG,DATOS!$I12082,nEVAL,"OR")=0))</f>
      </c>
      <c r="I12082">
        <f>IF(DATOS!$I12082="","",IFERROR(VLOOKUP(DATOS!$I12082,CONFIG_ASIGNATURAS!$B$2:$J$91,9,FALSE()),""))</f>
      </c>
    </row>
    <row r="12083">
      <c r="F12083">
        <f>IF(DATOS!$A12083="","",DATOS!$A12083&amp;"|"&amp;DATOS!$D12083&amp;"|"&amp;DATOS!$E12083&amp;"|"&amp;DATOS!$I12083)</f>
      </c>
      <c r="G12083">
        <f>IF(DATOS!$A12083="",0,IF(CONFIG_METADATA!$B$4&lt;&gt;"OR+EX",--(DATOS!$G12083=CONFIG_METADATA!$B$4),IF(DATOS!$G12083="EX",1,IF(DATOS!$G12083="OR",--(COUNTIFS(nNIA,DATOS!$A12083,nCURSO,DATOS!$D12083,nESPEC,DATOS!$E12083,nASIG,DATOS!$I12083,nEVAL,"EX")=0),0))))</f>
      </c>
      <c r="H12083">
        <f>IF(DATOS!$G12083&lt;&gt;"EX",0,--(COUNTIFS(nNIA,DATOS!$A12083,nCURSO,DATOS!$D12083,nESPEC,DATOS!$E12083,nASIG,DATOS!$I12083,nEVAL,"OR")=0))</f>
      </c>
      <c r="I12083">
        <f>IF(DATOS!$I12083="","",IFERROR(VLOOKUP(DATOS!$I12083,CONFIG_ASIGNATURAS!$B$2:$J$91,9,FALSE()),""))</f>
      </c>
    </row>
    <row r="12084">
      <c r="F12084">
        <f>IF(DATOS!$A12084="","",DATOS!$A12084&amp;"|"&amp;DATOS!$D12084&amp;"|"&amp;DATOS!$E12084&amp;"|"&amp;DATOS!$I12084)</f>
      </c>
      <c r="G12084">
        <f>IF(DATOS!$A12084="",0,IF(CONFIG_METADATA!$B$4&lt;&gt;"OR+EX",--(DATOS!$G12084=CONFIG_METADATA!$B$4),IF(DATOS!$G12084="EX",1,IF(DATOS!$G12084="OR",--(COUNTIFS(nNIA,DATOS!$A12084,nCURSO,DATOS!$D12084,nESPEC,DATOS!$E12084,nASIG,DATOS!$I12084,nEVAL,"EX")=0),0))))</f>
      </c>
      <c r="H12084">
        <f>IF(DATOS!$G12084&lt;&gt;"EX",0,--(COUNTIFS(nNIA,DATOS!$A12084,nCURSO,DATOS!$D12084,nESPEC,DATOS!$E12084,nASIG,DATOS!$I12084,nEVAL,"OR")=0))</f>
      </c>
      <c r="I12084">
        <f>IF(DATOS!$I12084="","",IFERROR(VLOOKUP(DATOS!$I12084,CONFIG_ASIGNATURAS!$B$2:$J$91,9,FALSE()),""))</f>
      </c>
    </row>
    <row r="12085">
      <c r="F12085">
        <f>IF(DATOS!$A12085="","",DATOS!$A12085&amp;"|"&amp;DATOS!$D12085&amp;"|"&amp;DATOS!$E12085&amp;"|"&amp;DATOS!$I12085)</f>
      </c>
      <c r="G12085">
        <f>IF(DATOS!$A12085="",0,IF(CONFIG_METADATA!$B$4&lt;&gt;"OR+EX",--(DATOS!$G12085=CONFIG_METADATA!$B$4),IF(DATOS!$G12085="EX",1,IF(DATOS!$G12085="OR",--(COUNTIFS(nNIA,DATOS!$A12085,nCURSO,DATOS!$D12085,nESPEC,DATOS!$E12085,nASIG,DATOS!$I12085,nEVAL,"EX")=0),0))))</f>
      </c>
      <c r="H12085">
        <f>IF(DATOS!$G12085&lt;&gt;"EX",0,--(COUNTIFS(nNIA,DATOS!$A12085,nCURSO,DATOS!$D12085,nESPEC,DATOS!$E12085,nASIG,DATOS!$I12085,nEVAL,"OR")=0))</f>
      </c>
      <c r="I12085">
        <f>IF(DATOS!$I12085="","",IFERROR(VLOOKUP(DATOS!$I12085,CONFIG_ASIGNATURAS!$B$2:$J$91,9,FALSE()),""))</f>
      </c>
    </row>
    <row r="12086">
      <c r="F12086">
        <f>IF(DATOS!$A12086="","",DATOS!$A12086&amp;"|"&amp;DATOS!$D12086&amp;"|"&amp;DATOS!$E12086&amp;"|"&amp;DATOS!$I12086)</f>
      </c>
      <c r="G12086">
        <f>IF(DATOS!$A12086="",0,IF(CONFIG_METADATA!$B$4&lt;&gt;"OR+EX",--(DATOS!$G12086=CONFIG_METADATA!$B$4),IF(DATOS!$G12086="EX",1,IF(DATOS!$G12086="OR",--(COUNTIFS(nNIA,DATOS!$A12086,nCURSO,DATOS!$D12086,nESPEC,DATOS!$E12086,nASIG,DATOS!$I12086,nEVAL,"EX")=0),0))))</f>
      </c>
      <c r="H12086">
        <f>IF(DATOS!$G12086&lt;&gt;"EX",0,--(COUNTIFS(nNIA,DATOS!$A12086,nCURSO,DATOS!$D12086,nESPEC,DATOS!$E12086,nASIG,DATOS!$I12086,nEVAL,"OR")=0))</f>
      </c>
      <c r="I12086">
        <f>IF(DATOS!$I12086="","",IFERROR(VLOOKUP(DATOS!$I12086,CONFIG_ASIGNATURAS!$B$2:$J$91,9,FALSE()),""))</f>
      </c>
    </row>
    <row r="12087">
      <c r="F12087">
        <f>IF(DATOS!$A12087="","",DATOS!$A12087&amp;"|"&amp;DATOS!$D12087&amp;"|"&amp;DATOS!$E12087&amp;"|"&amp;DATOS!$I12087)</f>
      </c>
      <c r="G12087">
        <f>IF(DATOS!$A12087="",0,IF(CONFIG_METADATA!$B$4&lt;&gt;"OR+EX",--(DATOS!$G12087=CONFIG_METADATA!$B$4),IF(DATOS!$G12087="EX",1,IF(DATOS!$G12087="OR",--(COUNTIFS(nNIA,DATOS!$A12087,nCURSO,DATOS!$D12087,nESPEC,DATOS!$E12087,nASIG,DATOS!$I12087,nEVAL,"EX")=0),0))))</f>
      </c>
      <c r="H12087">
        <f>IF(DATOS!$G12087&lt;&gt;"EX",0,--(COUNTIFS(nNIA,DATOS!$A12087,nCURSO,DATOS!$D12087,nESPEC,DATOS!$E12087,nASIG,DATOS!$I12087,nEVAL,"OR")=0))</f>
      </c>
      <c r="I12087">
        <f>IF(DATOS!$I12087="","",IFERROR(VLOOKUP(DATOS!$I12087,CONFIG_ASIGNATURAS!$B$2:$J$91,9,FALSE()),""))</f>
      </c>
    </row>
    <row r="12088">
      <c r="F12088">
        <f>IF(DATOS!$A12088="","",DATOS!$A12088&amp;"|"&amp;DATOS!$D12088&amp;"|"&amp;DATOS!$E12088&amp;"|"&amp;DATOS!$I12088)</f>
      </c>
      <c r="G12088">
        <f>IF(DATOS!$A12088="",0,IF(CONFIG_METADATA!$B$4&lt;&gt;"OR+EX",--(DATOS!$G12088=CONFIG_METADATA!$B$4),IF(DATOS!$G12088="EX",1,IF(DATOS!$G12088="OR",--(COUNTIFS(nNIA,DATOS!$A12088,nCURSO,DATOS!$D12088,nESPEC,DATOS!$E12088,nASIG,DATOS!$I12088,nEVAL,"EX")=0),0))))</f>
      </c>
      <c r="H12088">
        <f>IF(DATOS!$G12088&lt;&gt;"EX",0,--(COUNTIFS(nNIA,DATOS!$A12088,nCURSO,DATOS!$D12088,nESPEC,DATOS!$E12088,nASIG,DATOS!$I12088,nEVAL,"OR")=0))</f>
      </c>
      <c r="I12088">
        <f>IF(DATOS!$I12088="","",IFERROR(VLOOKUP(DATOS!$I12088,CONFIG_ASIGNATURAS!$B$2:$J$91,9,FALSE()),""))</f>
      </c>
    </row>
    <row r="12089">
      <c r="F12089">
        <f>IF(DATOS!$A12089="","",DATOS!$A12089&amp;"|"&amp;DATOS!$D12089&amp;"|"&amp;DATOS!$E12089&amp;"|"&amp;DATOS!$I12089)</f>
      </c>
      <c r="G12089">
        <f>IF(DATOS!$A12089="",0,IF(CONFIG_METADATA!$B$4&lt;&gt;"OR+EX",--(DATOS!$G12089=CONFIG_METADATA!$B$4),IF(DATOS!$G12089="EX",1,IF(DATOS!$G12089="OR",--(COUNTIFS(nNIA,DATOS!$A12089,nCURSO,DATOS!$D12089,nESPEC,DATOS!$E12089,nASIG,DATOS!$I12089,nEVAL,"EX")=0),0))))</f>
      </c>
      <c r="H12089">
        <f>IF(DATOS!$G12089&lt;&gt;"EX",0,--(COUNTIFS(nNIA,DATOS!$A12089,nCURSO,DATOS!$D12089,nESPEC,DATOS!$E12089,nASIG,DATOS!$I12089,nEVAL,"OR")=0))</f>
      </c>
      <c r="I12089">
        <f>IF(DATOS!$I12089="","",IFERROR(VLOOKUP(DATOS!$I12089,CONFIG_ASIGNATURAS!$B$2:$J$91,9,FALSE()),""))</f>
      </c>
    </row>
    <row r="12090">
      <c r="F12090">
        <f>IF(DATOS!$A12090="","",DATOS!$A12090&amp;"|"&amp;DATOS!$D12090&amp;"|"&amp;DATOS!$E12090&amp;"|"&amp;DATOS!$I12090)</f>
      </c>
      <c r="G12090">
        <f>IF(DATOS!$A12090="",0,IF(CONFIG_METADATA!$B$4&lt;&gt;"OR+EX",--(DATOS!$G12090=CONFIG_METADATA!$B$4),IF(DATOS!$G12090="EX",1,IF(DATOS!$G12090="OR",--(COUNTIFS(nNIA,DATOS!$A12090,nCURSO,DATOS!$D12090,nESPEC,DATOS!$E12090,nASIG,DATOS!$I12090,nEVAL,"EX")=0),0))))</f>
      </c>
      <c r="H12090">
        <f>IF(DATOS!$G12090&lt;&gt;"EX",0,--(COUNTIFS(nNIA,DATOS!$A12090,nCURSO,DATOS!$D12090,nESPEC,DATOS!$E12090,nASIG,DATOS!$I12090,nEVAL,"OR")=0))</f>
      </c>
      <c r="I12090">
        <f>IF(DATOS!$I12090="","",IFERROR(VLOOKUP(DATOS!$I12090,CONFIG_ASIGNATURAS!$B$2:$J$91,9,FALSE()),""))</f>
      </c>
    </row>
    <row r="12091">
      <c r="F12091">
        <f>IF(DATOS!$A12091="","",DATOS!$A12091&amp;"|"&amp;DATOS!$D12091&amp;"|"&amp;DATOS!$E12091&amp;"|"&amp;DATOS!$I12091)</f>
      </c>
      <c r="G12091">
        <f>IF(DATOS!$A12091="",0,IF(CONFIG_METADATA!$B$4&lt;&gt;"OR+EX",--(DATOS!$G12091=CONFIG_METADATA!$B$4),IF(DATOS!$G12091="EX",1,IF(DATOS!$G12091="OR",--(COUNTIFS(nNIA,DATOS!$A12091,nCURSO,DATOS!$D12091,nESPEC,DATOS!$E12091,nASIG,DATOS!$I12091,nEVAL,"EX")=0),0))))</f>
      </c>
      <c r="H12091">
        <f>IF(DATOS!$G12091&lt;&gt;"EX",0,--(COUNTIFS(nNIA,DATOS!$A12091,nCURSO,DATOS!$D12091,nESPEC,DATOS!$E12091,nASIG,DATOS!$I12091,nEVAL,"OR")=0))</f>
      </c>
      <c r="I12091">
        <f>IF(DATOS!$I12091="","",IFERROR(VLOOKUP(DATOS!$I12091,CONFIG_ASIGNATURAS!$B$2:$J$91,9,FALSE()),""))</f>
      </c>
    </row>
    <row r="12092">
      <c r="F12092">
        <f>IF(DATOS!$A12092="","",DATOS!$A12092&amp;"|"&amp;DATOS!$D12092&amp;"|"&amp;DATOS!$E12092&amp;"|"&amp;DATOS!$I12092)</f>
      </c>
      <c r="G12092">
        <f>IF(DATOS!$A12092="",0,IF(CONFIG_METADATA!$B$4&lt;&gt;"OR+EX",--(DATOS!$G12092=CONFIG_METADATA!$B$4),IF(DATOS!$G12092="EX",1,IF(DATOS!$G12092="OR",--(COUNTIFS(nNIA,DATOS!$A12092,nCURSO,DATOS!$D12092,nESPEC,DATOS!$E12092,nASIG,DATOS!$I12092,nEVAL,"EX")=0),0))))</f>
      </c>
      <c r="H12092">
        <f>IF(DATOS!$G12092&lt;&gt;"EX",0,--(COUNTIFS(nNIA,DATOS!$A12092,nCURSO,DATOS!$D12092,nESPEC,DATOS!$E12092,nASIG,DATOS!$I12092,nEVAL,"OR")=0))</f>
      </c>
      <c r="I12092">
        <f>IF(DATOS!$I12092="","",IFERROR(VLOOKUP(DATOS!$I12092,CONFIG_ASIGNATURAS!$B$2:$J$91,9,FALSE()),""))</f>
      </c>
    </row>
    <row r="12093">
      <c r="F12093">
        <f>IF(DATOS!$A12093="","",DATOS!$A12093&amp;"|"&amp;DATOS!$D12093&amp;"|"&amp;DATOS!$E12093&amp;"|"&amp;DATOS!$I12093)</f>
      </c>
      <c r="G12093">
        <f>IF(DATOS!$A12093="",0,IF(CONFIG_METADATA!$B$4&lt;&gt;"OR+EX",--(DATOS!$G12093=CONFIG_METADATA!$B$4),IF(DATOS!$G12093="EX",1,IF(DATOS!$G12093="OR",--(COUNTIFS(nNIA,DATOS!$A12093,nCURSO,DATOS!$D12093,nESPEC,DATOS!$E12093,nASIG,DATOS!$I12093,nEVAL,"EX")=0),0))))</f>
      </c>
      <c r="H12093">
        <f>IF(DATOS!$G12093&lt;&gt;"EX",0,--(COUNTIFS(nNIA,DATOS!$A12093,nCURSO,DATOS!$D12093,nESPEC,DATOS!$E12093,nASIG,DATOS!$I12093,nEVAL,"OR")=0))</f>
      </c>
      <c r="I12093">
        <f>IF(DATOS!$I12093="","",IFERROR(VLOOKUP(DATOS!$I12093,CONFIG_ASIGNATURAS!$B$2:$J$91,9,FALSE()),""))</f>
      </c>
    </row>
    <row r="12094">
      <c r="F12094">
        <f>IF(DATOS!$A12094="","",DATOS!$A12094&amp;"|"&amp;DATOS!$D12094&amp;"|"&amp;DATOS!$E12094&amp;"|"&amp;DATOS!$I12094)</f>
      </c>
      <c r="G12094">
        <f>IF(DATOS!$A12094="",0,IF(CONFIG_METADATA!$B$4&lt;&gt;"OR+EX",--(DATOS!$G12094=CONFIG_METADATA!$B$4),IF(DATOS!$G12094="EX",1,IF(DATOS!$G12094="OR",--(COUNTIFS(nNIA,DATOS!$A12094,nCURSO,DATOS!$D12094,nESPEC,DATOS!$E12094,nASIG,DATOS!$I12094,nEVAL,"EX")=0),0))))</f>
      </c>
      <c r="H12094">
        <f>IF(DATOS!$G12094&lt;&gt;"EX",0,--(COUNTIFS(nNIA,DATOS!$A12094,nCURSO,DATOS!$D12094,nESPEC,DATOS!$E12094,nASIG,DATOS!$I12094,nEVAL,"OR")=0))</f>
      </c>
      <c r="I12094">
        <f>IF(DATOS!$I12094="","",IFERROR(VLOOKUP(DATOS!$I12094,CONFIG_ASIGNATURAS!$B$2:$J$91,9,FALSE()),""))</f>
      </c>
    </row>
    <row r="12095">
      <c r="F12095">
        <f>IF(DATOS!$A12095="","",DATOS!$A12095&amp;"|"&amp;DATOS!$D12095&amp;"|"&amp;DATOS!$E12095&amp;"|"&amp;DATOS!$I12095)</f>
      </c>
      <c r="G12095">
        <f>IF(DATOS!$A12095="",0,IF(CONFIG_METADATA!$B$4&lt;&gt;"OR+EX",--(DATOS!$G12095=CONFIG_METADATA!$B$4),IF(DATOS!$G12095="EX",1,IF(DATOS!$G12095="OR",--(COUNTIFS(nNIA,DATOS!$A12095,nCURSO,DATOS!$D12095,nESPEC,DATOS!$E12095,nASIG,DATOS!$I12095,nEVAL,"EX")=0),0))))</f>
      </c>
      <c r="H12095">
        <f>IF(DATOS!$G12095&lt;&gt;"EX",0,--(COUNTIFS(nNIA,DATOS!$A12095,nCURSO,DATOS!$D12095,nESPEC,DATOS!$E12095,nASIG,DATOS!$I12095,nEVAL,"OR")=0))</f>
      </c>
      <c r="I12095">
        <f>IF(DATOS!$I12095="","",IFERROR(VLOOKUP(DATOS!$I12095,CONFIG_ASIGNATURAS!$B$2:$J$91,9,FALSE()),""))</f>
      </c>
    </row>
    <row r="12096">
      <c r="F12096">
        <f>IF(DATOS!$A12096="","",DATOS!$A12096&amp;"|"&amp;DATOS!$D12096&amp;"|"&amp;DATOS!$E12096&amp;"|"&amp;DATOS!$I12096)</f>
      </c>
      <c r="G12096">
        <f>IF(DATOS!$A12096="",0,IF(CONFIG_METADATA!$B$4&lt;&gt;"OR+EX",--(DATOS!$G12096=CONFIG_METADATA!$B$4),IF(DATOS!$G12096="EX",1,IF(DATOS!$G12096="OR",--(COUNTIFS(nNIA,DATOS!$A12096,nCURSO,DATOS!$D12096,nESPEC,DATOS!$E12096,nASIG,DATOS!$I12096,nEVAL,"EX")=0),0))))</f>
      </c>
      <c r="H12096">
        <f>IF(DATOS!$G12096&lt;&gt;"EX",0,--(COUNTIFS(nNIA,DATOS!$A12096,nCURSO,DATOS!$D12096,nESPEC,DATOS!$E12096,nASIG,DATOS!$I12096,nEVAL,"OR")=0))</f>
      </c>
      <c r="I12096">
        <f>IF(DATOS!$I12096="","",IFERROR(VLOOKUP(DATOS!$I12096,CONFIG_ASIGNATURAS!$B$2:$J$91,9,FALSE()),""))</f>
      </c>
    </row>
    <row r="12097">
      <c r="F12097">
        <f>IF(DATOS!$A12097="","",DATOS!$A12097&amp;"|"&amp;DATOS!$D12097&amp;"|"&amp;DATOS!$E12097&amp;"|"&amp;DATOS!$I12097)</f>
      </c>
      <c r="G12097">
        <f>IF(DATOS!$A12097="",0,IF(CONFIG_METADATA!$B$4&lt;&gt;"OR+EX",--(DATOS!$G12097=CONFIG_METADATA!$B$4),IF(DATOS!$G12097="EX",1,IF(DATOS!$G12097="OR",--(COUNTIFS(nNIA,DATOS!$A12097,nCURSO,DATOS!$D12097,nESPEC,DATOS!$E12097,nASIG,DATOS!$I12097,nEVAL,"EX")=0),0))))</f>
      </c>
      <c r="H12097">
        <f>IF(DATOS!$G12097&lt;&gt;"EX",0,--(COUNTIFS(nNIA,DATOS!$A12097,nCURSO,DATOS!$D12097,nESPEC,DATOS!$E12097,nASIG,DATOS!$I12097,nEVAL,"OR")=0))</f>
      </c>
      <c r="I12097">
        <f>IF(DATOS!$I12097="","",IFERROR(VLOOKUP(DATOS!$I12097,CONFIG_ASIGNATURAS!$B$2:$J$91,9,FALSE()),""))</f>
      </c>
    </row>
    <row r="12098">
      <c r="F12098">
        <f>IF(DATOS!$A12098="","",DATOS!$A12098&amp;"|"&amp;DATOS!$D12098&amp;"|"&amp;DATOS!$E12098&amp;"|"&amp;DATOS!$I12098)</f>
      </c>
      <c r="G12098">
        <f>IF(DATOS!$A12098="",0,IF(CONFIG_METADATA!$B$4&lt;&gt;"OR+EX",--(DATOS!$G12098=CONFIG_METADATA!$B$4),IF(DATOS!$G12098="EX",1,IF(DATOS!$G12098="OR",--(COUNTIFS(nNIA,DATOS!$A12098,nCURSO,DATOS!$D12098,nESPEC,DATOS!$E12098,nASIG,DATOS!$I12098,nEVAL,"EX")=0),0))))</f>
      </c>
      <c r="H12098">
        <f>IF(DATOS!$G12098&lt;&gt;"EX",0,--(COUNTIFS(nNIA,DATOS!$A12098,nCURSO,DATOS!$D12098,nESPEC,DATOS!$E12098,nASIG,DATOS!$I12098,nEVAL,"OR")=0))</f>
      </c>
      <c r="I12098">
        <f>IF(DATOS!$I12098="","",IFERROR(VLOOKUP(DATOS!$I12098,CONFIG_ASIGNATURAS!$B$2:$J$91,9,FALSE()),""))</f>
      </c>
    </row>
    <row r="12099">
      <c r="F12099">
        <f>IF(DATOS!$A12099="","",DATOS!$A12099&amp;"|"&amp;DATOS!$D12099&amp;"|"&amp;DATOS!$E12099&amp;"|"&amp;DATOS!$I12099)</f>
      </c>
      <c r="G12099">
        <f>IF(DATOS!$A12099="",0,IF(CONFIG_METADATA!$B$4&lt;&gt;"OR+EX",--(DATOS!$G12099=CONFIG_METADATA!$B$4),IF(DATOS!$G12099="EX",1,IF(DATOS!$G12099="OR",--(COUNTIFS(nNIA,DATOS!$A12099,nCURSO,DATOS!$D12099,nESPEC,DATOS!$E12099,nASIG,DATOS!$I12099,nEVAL,"EX")=0),0))))</f>
      </c>
      <c r="H12099">
        <f>IF(DATOS!$G12099&lt;&gt;"EX",0,--(COUNTIFS(nNIA,DATOS!$A12099,nCURSO,DATOS!$D12099,nESPEC,DATOS!$E12099,nASIG,DATOS!$I12099,nEVAL,"OR")=0))</f>
      </c>
      <c r="I12099">
        <f>IF(DATOS!$I12099="","",IFERROR(VLOOKUP(DATOS!$I12099,CONFIG_ASIGNATURAS!$B$2:$J$91,9,FALSE()),""))</f>
      </c>
    </row>
    <row r="12100">
      <c r="F12100">
        <f>IF(DATOS!$A12100="","",DATOS!$A12100&amp;"|"&amp;DATOS!$D12100&amp;"|"&amp;DATOS!$E12100&amp;"|"&amp;DATOS!$I12100)</f>
      </c>
      <c r="G12100">
        <f>IF(DATOS!$A12100="",0,IF(CONFIG_METADATA!$B$4&lt;&gt;"OR+EX",--(DATOS!$G12100=CONFIG_METADATA!$B$4),IF(DATOS!$G12100="EX",1,IF(DATOS!$G12100="OR",--(COUNTIFS(nNIA,DATOS!$A12100,nCURSO,DATOS!$D12100,nESPEC,DATOS!$E12100,nASIG,DATOS!$I12100,nEVAL,"EX")=0),0))))</f>
      </c>
      <c r="H12100">
        <f>IF(DATOS!$G12100&lt;&gt;"EX",0,--(COUNTIFS(nNIA,DATOS!$A12100,nCURSO,DATOS!$D12100,nESPEC,DATOS!$E12100,nASIG,DATOS!$I12100,nEVAL,"OR")=0))</f>
      </c>
      <c r="I12100">
        <f>IF(DATOS!$I12100="","",IFERROR(VLOOKUP(DATOS!$I12100,CONFIG_ASIGNATURAS!$B$2:$J$91,9,FALSE()),""))</f>
      </c>
    </row>
    <row r="12101">
      <c r="F12101">
        <f>IF(DATOS!$A12101="","",DATOS!$A12101&amp;"|"&amp;DATOS!$D12101&amp;"|"&amp;DATOS!$E12101&amp;"|"&amp;DATOS!$I12101)</f>
      </c>
      <c r="G12101">
        <f>IF(DATOS!$A12101="",0,IF(CONFIG_METADATA!$B$4&lt;&gt;"OR+EX",--(DATOS!$G12101=CONFIG_METADATA!$B$4),IF(DATOS!$G12101="EX",1,IF(DATOS!$G12101="OR",--(COUNTIFS(nNIA,DATOS!$A12101,nCURSO,DATOS!$D12101,nESPEC,DATOS!$E12101,nASIG,DATOS!$I12101,nEVAL,"EX")=0),0))))</f>
      </c>
      <c r="H12101">
        <f>IF(DATOS!$G12101&lt;&gt;"EX",0,--(COUNTIFS(nNIA,DATOS!$A12101,nCURSO,DATOS!$D12101,nESPEC,DATOS!$E12101,nASIG,DATOS!$I12101,nEVAL,"OR")=0))</f>
      </c>
      <c r="I12101">
        <f>IF(DATOS!$I12101="","",IFERROR(VLOOKUP(DATOS!$I12101,CONFIG_ASIGNATURAS!$B$2:$J$91,9,FALSE()),""))</f>
      </c>
    </row>
    <row r="12102">
      <c r="F12102">
        <f>IF(DATOS!$A12102="","",DATOS!$A12102&amp;"|"&amp;DATOS!$D12102&amp;"|"&amp;DATOS!$E12102&amp;"|"&amp;DATOS!$I12102)</f>
      </c>
      <c r="G12102">
        <f>IF(DATOS!$A12102="",0,IF(CONFIG_METADATA!$B$4&lt;&gt;"OR+EX",--(DATOS!$G12102=CONFIG_METADATA!$B$4),IF(DATOS!$G12102="EX",1,IF(DATOS!$G12102="OR",--(COUNTIFS(nNIA,DATOS!$A12102,nCURSO,DATOS!$D12102,nESPEC,DATOS!$E12102,nASIG,DATOS!$I12102,nEVAL,"EX")=0),0))))</f>
      </c>
      <c r="H12102">
        <f>IF(DATOS!$G12102&lt;&gt;"EX",0,--(COUNTIFS(nNIA,DATOS!$A12102,nCURSO,DATOS!$D12102,nESPEC,DATOS!$E12102,nASIG,DATOS!$I12102,nEVAL,"OR")=0))</f>
      </c>
      <c r="I12102">
        <f>IF(DATOS!$I12102="","",IFERROR(VLOOKUP(DATOS!$I12102,CONFIG_ASIGNATURAS!$B$2:$J$91,9,FALSE()),""))</f>
      </c>
    </row>
    <row r="12103">
      <c r="F12103">
        <f>IF(DATOS!$A12103="","",DATOS!$A12103&amp;"|"&amp;DATOS!$D12103&amp;"|"&amp;DATOS!$E12103&amp;"|"&amp;DATOS!$I12103)</f>
      </c>
      <c r="G12103">
        <f>IF(DATOS!$A12103="",0,IF(CONFIG_METADATA!$B$4&lt;&gt;"OR+EX",--(DATOS!$G12103=CONFIG_METADATA!$B$4),IF(DATOS!$G12103="EX",1,IF(DATOS!$G12103="OR",--(COUNTIFS(nNIA,DATOS!$A12103,nCURSO,DATOS!$D12103,nESPEC,DATOS!$E12103,nASIG,DATOS!$I12103,nEVAL,"EX")=0),0))))</f>
      </c>
      <c r="H12103">
        <f>IF(DATOS!$G12103&lt;&gt;"EX",0,--(COUNTIFS(nNIA,DATOS!$A12103,nCURSO,DATOS!$D12103,nESPEC,DATOS!$E12103,nASIG,DATOS!$I12103,nEVAL,"OR")=0))</f>
      </c>
      <c r="I12103">
        <f>IF(DATOS!$I12103="","",IFERROR(VLOOKUP(DATOS!$I12103,CONFIG_ASIGNATURAS!$B$2:$J$91,9,FALSE()),""))</f>
      </c>
    </row>
    <row r="12104">
      <c r="F12104">
        <f>IF(DATOS!$A12104="","",DATOS!$A12104&amp;"|"&amp;DATOS!$D12104&amp;"|"&amp;DATOS!$E12104&amp;"|"&amp;DATOS!$I12104)</f>
      </c>
      <c r="G12104">
        <f>IF(DATOS!$A12104="",0,IF(CONFIG_METADATA!$B$4&lt;&gt;"OR+EX",--(DATOS!$G12104=CONFIG_METADATA!$B$4),IF(DATOS!$G12104="EX",1,IF(DATOS!$G12104="OR",--(COUNTIFS(nNIA,DATOS!$A12104,nCURSO,DATOS!$D12104,nESPEC,DATOS!$E12104,nASIG,DATOS!$I12104,nEVAL,"EX")=0),0))))</f>
      </c>
      <c r="H12104">
        <f>IF(DATOS!$G12104&lt;&gt;"EX",0,--(COUNTIFS(nNIA,DATOS!$A12104,nCURSO,DATOS!$D12104,nESPEC,DATOS!$E12104,nASIG,DATOS!$I12104,nEVAL,"OR")=0))</f>
      </c>
      <c r="I12104">
        <f>IF(DATOS!$I12104="","",IFERROR(VLOOKUP(DATOS!$I12104,CONFIG_ASIGNATURAS!$B$2:$J$91,9,FALSE()),""))</f>
      </c>
    </row>
    <row r="12105">
      <c r="F12105">
        <f>IF(DATOS!$A12105="","",DATOS!$A12105&amp;"|"&amp;DATOS!$D12105&amp;"|"&amp;DATOS!$E12105&amp;"|"&amp;DATOS!$I12105)</f>
      </c>
      <c r="G12105">
        <f>IF(DATOS!$A12105="",0,IF(CONFIG_METADATA!$B$4&lt;&gt;"OR+EX",--(DATOS!$G12105=CONFIG_METADATA!$B$4),IF(DATOS!$G12105="EX",1,IF(DATOS!$G12105="OR",--(COUNTIFS(nNIA,DATOS!$A12105,nCURSO,DATOS!$D12105,nESPEC,DATOS!$E12105,nASIG,DATOS!$I12105,nEVAL,"EX")=0),0))))</f>
      </c>
      <c r="H12105">
        <f>IF(DATOS!$G12105&lt;&gt;"EX",0,--(COUNTIFS(nNIA,DATOS!$A12105,nCURSO,DATOS!$D12105,nESPEC,DATOS!$E12105,nASIG,DATOS!$I12105,nEVAL,"OR")=0))</f>
      </c>
      <c r="I12105">
        <f>IF(DATOS!$I12105="","",IFERROR(VLOOKUP(DATOS!$I12105,CONFIG_ASIGNATURAS!$B$2:$J$91,9,FALSE()),""))</f>
      </c>
    </row>
    <row r="12106">
      <c r="F12106">
        <f>IF(DATOS!$A12106="","",DATOS!$A12106&amp;"|"&amp;DATOS!$D12106&amp;"|"&amp;DATOS!$E12106&amp;"|"&amp;DATOS!$I12106)</f>
      </c>
      <c r="G12106">
        <f>IF(DATOS!$A12106="",0,IF(CONFIG_METADATA!$B$4&lt;&gt;"OR+EX",--(DATOS!$G12106=CONFIG_METADATA!$B$4),IF(DATOS!$G12106="EX",1,IF(DATOS!$G12106="OR",--(COUNTIFS(nNIA,DATOS!$A12106,nCURSO,DATOS!$D12106,nESPEC,DATOS!$E12106,nASIG,DATOS!$I12106,nEVAL,"EX")=0),0))))</f>
      </c>
      <c r="H12106">
        <f>IF(DATOS!$G12106&lt;&gt;"EX",0,--(COUNTIFS(nNIA,DATOS!$A12106,nCURSO,DATOS!$D12106,nESPEC,DATOS!$E12106,nASIG,DATOS!$I12106,nEVAL,"OR")=0))</f>
      </c>
      <c r="I12106">
        <f>IF(DATOS!$I12106="","",IFERROR(VLOOKUP(DATOS!$I12106,CONFIG_ASIGNATURAS!$B$2:$J$91,9,FALSE()),""))</f>
      </c>
    </row>
    <row r="12107">
      <c r="F12107">
        <f>IF(DATOS!$A12107="","",DATOS!$A12107&amp;"|"&amp;DATOS!$D12107&amp;"|"&amp;DATOS!$E12107&amp;"|"&amp;DATOS!$I12107)</f>
      </c>
      <c r="G12107">
        <f>IF(DATOS!$A12107="",0,IF(CONFIG_METADATA!$B$4&lt;&gt;"OR+EX",--(DATOS!$G12107=CONFIG_METADATA!$B$4),IF(DATOS!$G12107="EX",1,IF(DATOS!$G12107="OR",--(COUNTIFS(nNIA,DATOS!$A12107,nCURSO,DATOS!$D12107,nESPEC,DATOS!$E12107,nASIG,DATOS!$I12107,nEVAL,"EX")=0),0))))</f>
      </c>
      <c r="H12107">
        <f>IF(DATOS!$G12107&lt;&gt;"EX",0,--(COUNTIFS(nNIA,DATOS!$A12107,nCURSO,DATOS!$D12107,nESPEC,DATOS!$E12107,nASIG,DATOS!$I12107,nEVAL,"OR")=0))</f>
      </c>
      <c r="I12107">
        <f>IF(DATOS!$I12107="","",IFERROR(VLOOKUP(DATOS!$I12107,CONFIG_ASIGNATURAS!$B$2:$J$91,9,FALSE()),""))</f>
      </c>
    </row>
    <row r="12108">
      <c r="F12108">
        <f>IF(DATOS!$A12108="","",DATOS!$A12108&amp;"|"&amp;DATOS!$D12108&amp;"|"&amp;DATOS!$E12108&amp;"|"&amp;DATOS!$I12108)</f>
      </c>
      <c r="G12108">
        <f>IF(DATOS!$A12108="",0,IF(CONFIG_METADATA!$B$4&lt;&gt;"OR+EX",--(DATOS!$G12108=CONFIG_METADATA!$B$4),IF(DATOS!$G12108="EX",1,IF(DATOS!$G12108="OR",--(COUNTIFS(nNIA,DATOS!$A12108,nCURSO,DATOS!$D12108,nESPEC,DATOS!$E12108,nASIG,DATOS!$I12108,nEVAL,"EX")=0),0))))</f>
      </c>
      <c r="H12108">
        <f>IF(DATOS!$G12108&lt;&gt;"EX",0,--(COUNTIFS(nNIA,DATOS!$A12108,nCURSO,DATOS!$D12108,nESPEC,DATOS!$E12108,nASIG,DATOS!$I12108,nEVAL,"OR")=0))</f>
      </c>
      <c r="I12108">
        <f>IF(DATOS!$I12108="","",IFERROR(VLOOKUP(DATOS!$I12108,CONFIG_ASIGNATURAS!$B$2:$J$91,9,FALSE()),""))</f>
      </c>
    </row>
    <row r="12109">
      <c r="F12109">
        <f>IF(DATOS!$A12109="","",DATOS!$A12109&amp;"|"&amp;DATOS!$D12109&amp;"|"&amp;DATOS!$E12109&amp;"|"&amp;DATOS!$I12109)</f>
      </c>
      <c r="G12109">
        <f>IF(DATOS!$A12109="",0,IF(CONFIG_METADATA!$B$4&lt;&gt;"OR+EX",--(DATOS!$G12109=CONFIG_METADATA!$B$4),IF(DATOS!$G12109="EX",1,IF(DATOS!$G12109="OR",--(COUNTIFS(nNIA,DATOS!$A12109,nCURSO,DATOS!$D12109,nESPEC,DATOS!$E12109,nASIG,DATOS!$I12109,nEVAL,"EX")=0),0))))</f>
      </c>
      <c r="H12109">
        <f>IF(DATOS!$G12109&lt;&gt;"EX",0,--(COUNTIFS(nNIA,DATOS!$A12109,nCURSO,DATOS!$D12109,nESPEC,DATOS!$E12109,nASIG,DATOS!$I12109,nEVAL,"OR")=0))</f>
      </c>
      <c r="I12109">
        <f>IF(DATOS!$I12109="","",IFERROR(VLOOKUP(DATOS!$I12109,CONFIG_ASIGNATURAS!$B$2:$J$91,9,FALSE()),""))</f>
      </c>
    </row>
    <row r="12110">
      <c r="F12110">
        <f>IF(DATOS!$A12110="","",DATOS!$A12110&amp;"|"&amp;DATOS!$D12110&amp;"|"&amp;DATOS!$E12110&amp;"|"&amp;DATOS!$I12110)</f>
      </c>
      <c r="G12110">
        <f>IF(DATOS!$A12110="",0,IF(CONFIG_METADATA!$B$4&lt;&gt;"OR+EX",--(DATOS!$G12110=CONFIG_METADATA!$B$4),IF(DATOS!$G12110="EX",1,IF(DATOS!$G12110="OR",--(COUNTIFS(nNIA,DATOS!$A12110,nCURSO,DATOS!$D12110,nESPEC,DATOS!$E12110,nASIG,DATOS!$I12110,nEVAL,"EX")=0),0))))</f>
      </c>
      <c r="H12110">
        <f>IF(DATOS!$G12110&lt;&gt;"EX",0,--(COUNTIFS(nNIA,DATOS!$A12110,nCURSO,DATOS!$D12110,nESPEC,DATOS!$E12110,nASIG,DATOS!$I12110,nEVAL,"OR")=0))</f>
      </c>
      <c r="I12110">
        <f>IF(DATOS!$I12110="","",IFERROR(VLOOKUP(DATOS!$I12110,CONFIG_ASIGNATURAS!$B$2:$J$91,9,FALSE()),""))</f>
      </c>
    </row>
    <row r="12111">
      <c r="F12111">
        <f>IF(DATOS!$A12111="","",DATOS!$A12111&amp;"|"&amp;DATOS!$D12111&amp;"|"&amp;DATOS!$E12111&amp;"|"&amp;DATOS!$I12111)</f>
      </c>
      <c r="G12111">
        <f>IF(DATOS!$A12111="",0,IF(CONFIG_METADATA!$B$4&lt;&gt;"OR+EX",--(DATOS!$G12111=CONFIG_METADATA!$B$4),IF(DATOS!$G12111="EX",1,IF(DATOS!$G12111="OR",--(COUNTIFS(nNIA,DATOS!$A12111,nCURSO,DATOS!$D12111,nESPEC,DATOS!$E12111,nASIG,DATOS!$I12111,nEVAL,"EX")=0),0))))</f>
      </c>
      <c r="H12111">
        <f>IF(DATOS!$G12111&lt;&gt;"EX",0,--(COUNTIFS(nNIA,DATOS!$A12111,nCURSO,DATOS!$D12111,nESPEC,DATOS!$E12111,nASIG,DATOS!$I12111,nEVAL,"OR")=0))</f>
      </c>
      <c r="I12111">
        <f>IF(DATOS!$I12111="","",IFERROR(VLOOKUP(DATOS!$I12111,CONFIG_ASIGNATURAS!$B$2:$J$91,9,FALSE()),""))</f>
      </c>
    </row>
    <row r="12112">
      <c r="F12112">
        <f>IF(DATOS!$A12112="","",DATOS!$A12112&amp;"|"&amp;DATOS!$D12112&amp;"|"&amp;DATOS!$E12112&amp;"|"&amp;DATOS!$I12112)</f>
      </c>
      <c r="G12112">
        <f>IF(DATOS!$A12112="",0,IF(CONFIG_METADATA!$B$4&lt;&gt;"OR+EX",--(DATOS!$G12112=CONFIG_METADATA!$B$4),IF(DATOS!$G12112="EX",1,IF(DATOS!$G12112="OR",--(COUNTIFS(nNIA,DATOS!$A12112,nCURSO,DATOS!$D12112,nESPEC,DATOS!$E12112,nASIG,DATOS!$I12112,nEVAL,"EX")=0),0))))</f>
      </c>
      <c r="H12112">
        <f>IF(DATOS!$G12112&lt;&gt;"EX",0,--(COUNTIFS(nNIA,DATOS!$A12112,nCURSO,DATOS!$D12112,nESPEC,DATOS!$E12112,nASIG,DATOS!$I12112,nEVAL,"OR")=0))</f>
      </c>
      <c r="I12112">
        <f>IF(DATOS!$I12112="","",IFERROR(VLOOKUP(DATOS!$I12112,CONFIG_ASIGNATURAS!$B$2:$J$91,9,FALSE()),""))</f>
      </c>
    </row>
    <row r="12113">
      <c r="F12113">
        <f>IF(DATOS!$A12113="","",DATOS!$A12113&amp;"|"&amp;DATOS!$D12113&amp;"|"&amp;DATOS!$E12113&amp;"|"&amp;DATOS!$I12113)</f>
      </c>
      <c r="G12113">
        <f>IF(DATOS!$A12113="",0,IF(CONFIG_METADATA!$B$4&lt;&gt;"OR+EX",--(DATOS!$G12113=CONFIG_METADATA!$B$4),IF(DATOS!$G12113="EX",1,IF(DATOS!$G12113="OR",--(COUNTIFS(nNIA,DATOS!$A12113,nCURSO,DATOS!$D12113,nESPEC,DATOS!$E12113,nASIG,DATOS!$I12113,nEVAL,"EX")=0),0))))</f>
      </c>
      <c r="H12113">
        <f>IF(DATOS!$G12113&lt;&gt;"EX",0,--(COUNTIFS(nNIA,DATOS!$A12113,nCURSO,DATOS!$D12113,nESPEC,DATOS!$E12113,nASIG,DATOS!$I12113,nEVAL,"OR")=0))</f>
      </c>
      <c r="I12113">
        <f>IF(DATOS!$I12113="","",IFERROR(VLOOKUP(DATOS!$I12113,CONFIG_ASIGNATURAS!$B$2:$J$91,9,FALSE()),""))</f>
      </c>
    </row>
    <row r="12114">
      <c r="F12114">
        <f>IF(DATOS!$A12114="","",DATOS!$A12114&amp;"|"&amp;DATOS!$D12114&amp;"|"&amp;DATOS!$E12114&amp;"|"&amp;DATOS!$I12114)</f>
      </c>
      <c r="G12114">
        <f>IF(DATOS!$A12114="",0,IF(CONFIG_METADATA!$B$4&lt;&gt;"OR+EX",--(DATOS!$G12114=CONFIG_METADATA!$B$4),IF(DATOS!$G12114="EX",1,IF(DATOS!$G12114="OR",--(COUNTIFS(nNIA,DATOS!$A12114,nCURSO,DATOS!$D12114,nESPEC,DATOS!$E12114,nASIG,DATOS!$I12114,nEVAL,"EX")=0),0))))</f>
      </c>
      <c r="H12114">
        <f>IF(DATOS!$G12114&lt;&gt;"EX",0,--(COUNTIFS(nNIA,DATOS!$A12114,nCURSO,DATOS!$D12114,nESPEC,DATOS!$E12114,nASIG,DATOS!$I12114,nEVAL,"OR")=0))</f>
      </c>
      <c r="I12114">
        <f>IF(DATOS!$I12114="","",IFERROR(VLOOKUP(DATOS!$I12114,CONFIG_ASIGNATURAS!$B$2:$J$91,9,FALSE()),""))</f>
      </c>
    </row>
    <row r="12115">
      <c r="F12115">
        <f>IF(DATOS!$A12115="","",DATOS!$A12115&amp;"|"&amp;DATOS!$D12115&amp;"|"&amp;DATOS!$E12115&amp;"|"&amp;DATOS!$I12115)</f>
      </c>
      <c r="G12115">
        <f>IF(DATOS!$A12115="",0,IF(CONFIG_METADATA!$B$4&lt;&gt;"OR+EX",--(DATOS!$G12115=CONFIG_METADATA!$B$4),IF(DATOS!$G12115="EX",1,IF(DATOS!$G12115="OR",--(COUNTIFS(nNIA,DATOS!$A12115,nCURSO,DATOS!$D12115,nESPEC,DATOS!$E12115,nASIG,DATOS!$I12115,nEVAL,"EX")=0),0))))</f>
      </c>
      <c r="H12115">
        <f>IF(DATOS!$G12115&lt;&gt;"EX",0,--(COUNTIFS(nNIA,DATOS!$A12115,nCURSO,DATOS!$D12115,nESPEC,DATOS!$E12115,nASIG,DATOS!$I12115,nEVAL,"OR")=0))</f>
      </c>
      <c r="I12115">
        <f>IF(DATOS!$I12115="","",IFERROR(VLOOKUP(DATOS!$I12115,CONFIG_ASIGNATURAS!$B$2:$J$91,9,FALSE()),""))</f>
      </c>
    </row>
    <row r="12116">
      <c r="F12116">
        <f>IF(DATOS!$A12116="","",DATOS!$A12116&amp;"|"&amp;DATOS!$D12116&amp;"|"&amp;DATOS!$E12116&amp;"|"&amp;DATOS!$I12116)</f>
      </c>
      <c r="G12116">
        <f>IF(DATOS!$A12116="",0,IF(CONFIG_METADATA!$B$4&lt;&gt;"OR+EX",--(DATOS!$G12116=CONFIG_METADATA!$B$4),IF(DATOS!$G12116="EX",1,IF(DATOS!$G12116="OR",--(COUNTIFS(nNIA,DATOS!$A12116,nCURSO,DATOS!$D12116,nESPEC,DATOS!$E12116,nASIG,DATOS!$I12116,nEVAL,"EX")=0),0))))</f>
      </c>
      <c r="H12116">
        <f>IF(DATOS!$G12116&lt;&gt;"EX",0,--(COUNTIFS(nNIA,DATOS!$A12116,nCURSO,DATOS!$D12116,nESPEC,DATOS!$E12116,nASIG,DATOS!$I12116,nEVAL,"OR")=0))</f>
      </c>
      <c r="I12116">
        <f>IF(DATOS!$I12116="","",IFERROR(VLOOKUP(DATOS!$I12116,CONFIG_ASIGNATURAS!$B$2:$J$91,9,FALSE()),""))</f>
      </c>
    </row>
    <row r="12117">
      <c r="F12117">
        <f>IF(DATOS!$A12117="","",DATOS!$A12117&amp;"|"&amp;DATOS!$D12117&amp;"|"&amp;DATOS!$E12117&amp;"|"&amp;DATOS!$I12117)</f>
      </c>
      <c r="G12117">
        <f>IF(DATOS!$A12117="",0,IF(CONFIG_METADATA!$B$4&lt;&gt;"OR+EX",--(DATOS!$G12117=CONFIG_METADATA!$B$4),IF(DATOS!$G12117="EX",1,IF(DATOS!$G12117="OR",--(COUNTIFS(nNIA,DATOS!$A12117,nCURSO,DATOS!$D12117,nESPEC,DATOS!$E12117,nASIG,DATOS!$I12117,nEVAL,"EX")=0),0))))</f>
      </c>
      <c r="H12117">
        <f>IF(DATOS!$G12117&lt;&gt;"EX",0,--(COUNTIFS(nNIA,DATOS!$A12117,nCURSO,DATOS!$D12117,nESPEC,DATOS!$E12117,nASIG,DATOS!$I12117,nEVAL,"OR")=0))</f>
      </c>
      <c r="I12117">
        <f>IF(DATOS!$I12117="","",IFERROR(VLOOKUP(DATOS!$I12117,CONFIG_ASIGNATURAS!$B$2:$J$91,9,FALSE()),""))</f>
      </c>
    </row>
    <row r="12118">
      <c r="F12118">
        <f>IF(DATOS!$A12118="","",DATOS!$A12118&amp;"|"&amp;DATOS!$D12118&amp;"|"&amp;DATOS!$E12118&amp;"|"&amp;DATOS!$I12118)</f>
      </c>
      <c r="G12118">
        <f>IF(DATOS!$A12118="",0,IF(CONFIG_METADATA!$B$4&lt;&gt;"OR+EX",--(DATOS!$G12118=CONFIG_METADATA!$B$4),IF(DATOS!$G12118="EX",1,IF(DATOS!$G12118="OR",--(COUNTIFS(nNIA,DATOS!$A12118,nCURSO,DATOS!$D12118,nESPEC,DATOS!$E12118,nASIG,DATOS!$I12118,nEVAL,"EX")=0),0))))</f>
      </c>
      <c r="H12118">
        <f>IF(DATOS!$G12118&lt;&gt;"EX",0,--(COUNTIFS(nNIA,DATOS!$A12118,nCURSO,DATOS!$D12118,nESPEC,DATOS!$E12118,nASIG,DATOS!$I12118,nEVAL,"OR")=0))</f>
      </c>
      <c r="I12118">
        <f>IF(DATOS!$I12118="","",IFERROR(VLOOKUP(DATOS!$I12118,CONFIG_ASIGNATURAS!$B$2:$J$91,9,FALSE()),""))</f>
      </c>
    </row>
    <row r="12119">
      <c r="F12119">
        <f>IF(DATOS!$A12119="","",DATOS!$A12119&amp;"|"&amp;DATOS!$D12119&amp;"|"&amp;DATOS!$E12119&amp;"|"&amp;DATOS!$I12119)</f>
      </c>
      <c r="G12119">
        <f>IF(DATOS!$A12119="",0,IF(CONFIG_METADATA!$B$4&lt;&gt;"OR+EX",--(DATOS!$G12119=CONFIG_METADATA!$B$4),IF(DATOS!$G12119="EX",1,IF(DATOS!$G12119="OR",--(COUNTIFS(nNIA,DATOS!$A12119,nCURSO,DATOS!$D12119,nESPEC,DATOS!$E12119,nASIG,DATOS!$I12119,nEVAL,"EX")=0),0))))</f>
      </c>
      <c r="H12119">
        <f>IF(DATOS!$G12119&lt;&gt;"EX",0,--(COUNTIFS(nNIA,DATOS!$A12119,nCURSO,DATOS!$D12119,nESPEC,DATOS!$E12119,nASIG,DATOS!$I12119,nEVAL,"OR")=0))</f>
      </c>
      <c r="I12119">
        <f>IF(DATOS!$I12119="","",IFERROR(VLOOKUP(DATOS!$I12119,CONFIG_ASIGNATURAS!$B$2:$J$91,9,FALSE()),""))</f>
      </c>
    </row>
    <row r="12120">
      <c r="F12120">
        <f>IF(DATOS!$A12120="","",DATOS!$A12120&amp;"|"&amp;DATOS!$D12120&amp;"|"&amp;DATOS!$E12120&amp;"|"&amp;DATOS!$I12120)</f>
      </c>
      <c r="G12120">
        <f>IF(DATOS!$A12120="",0,IF(CONFIG_METADATA!$B$4&lt;&gt;"OR+EX",--(DATOS!$G12120=CONFIG_METADATA!$B$4),IF(DATOS!$G12120="EX",1,IF(DATOS!$G12120="OR",--(COUNTIFS(nNIA,DATOS!$A12120,nCURSO,DATOS!$D12120,nESPEC,DATOS!$E12120,nASIG,DATOS!$I12120,nEVAL,"EX")=0),0))))</f>
      </c>
      <c r="H12120">
        <f>IF(DATOS!$G12120&lt;&gt;"EX",0,--(COUNTIFS(nNIA,DATOS!$A12120,nCURSO,DATOS!$D12120,nESPEC,DATOS!$E12120,nASIG,DATOS!$I12120,nEVAL,"OR")=0))</f>
      </c>
      <c r="I12120">
        <f>IF(DATOS!$I12120="","",IFERROR(VLOOKUP(DATOS!$I12120,CONFIG_ASIGNATURAS!$B$2:$J$91,9,FALSE()),""))</f>
      </c>
    </row>
    <row r="12121">
      <c r="F12121">
        <f>IF(DATOS!$A12121="","",DATOS!$A12121&amp;"|"&amp;DATOS!$D12121&amp;"|"&amp;DATOS!$E12121&amp;"|"&amp;DATOS!$I12121)</f>
      </c>
      <c r="G12121">
        <f>IF(DATOS!$A12121="",0,IF(CONFIG_METADATA!$B$4&lt;&gt;"OR+EX",--(DATOS!$G12121=CONFIG_METADATA!$B$4),IF(DATOS!$G12121="EX",1,IF(DATOS!$G12121="OR",--(COUNTIFS(nNIA,DATOS!$A12121,nCURSO,DATOS!$D12121,nESPEC,DATOS!$E12121,nASIG,DATOS!$I12121,nEVAL,"EX")=0),0))))</f>
      </c>
      <c r="H12121">
        <f>IF(DATOS!$G12121&lt;&gt;"EX",0,--(COUNTIFS(nNIA,DATOS!$A12121,nCURSO,DATOS!$D12121,nESPEC,DATOS!$E12121,nASIG,DATOS!$I12121,nEVAL,"OR")=0))</f>
      </c>
      <c r="I12121">
        <f>IF(DATOS!$I12121="","",IFERROR(VLOOKUP(DATOS!$I12121,CONFIG_ASIGNATURAS!$B$2:$J$91,9,FALSE()),""))</f>
      </c>
    </row>
    <row r="12122">
      <c r="F12122">
        <f>IF(DATOS!$A12122="","",DATOS!$A12122&amp;"|"&amp;DATOS!$D12122&amp;"|"&amp;DATOS!$E12122&amp;"|"&amp;DATOS!$I12122)</f>
      </c>
      <c r="G12122">
        <f>IF(DATOS!$A12122="",0,IF(CONFIG_METADATA!$B$4&lt;&gt;"OR+EX",--(DATOS!$G12122=CONFIG_METADATA!$B$4),IF(DATOS!$G12122="EX",1,IF(DATOS!$G12122="OR",--(COUNTIFS(nNIA,DATOS!$A12122,nCURSO,DATOS!$D12122,nESPEC,DATOS!$E12122,nASIG,DATOS!$I12122,nEVAL,"EX")=0),0))))</f>
      </c>
      <c r="H12122">
        <f>IF(DATOS!$G12122&lt;&gt;"EX",0,--(COUNTIFS(nNIA,DATOS!$A12122,nCURSO,DATOS!$D12122,nESPEC,DATOS!$E12122,nASIG,DATOS!$I12122,nEVAL,"OR")=0))</f>
      </c>
      <c r="I12122">
        <f>IF(DATOS!$I12122="","",IFERROR(VLOOKUP(DATOS!$I12122,CONFIG_ASIGNATURAS!$B$2:$J$91,9,FALSE()),""))</f>
      </c>
    </row>
    <row r="12123">
      <c r="F12123">
        <f>IF(DATOS!$A12123="","",DATOS!$A12123&amp;"|"&amp;DATOS!$D12123&amp;"|"&amp;DATOS!$E12123&amp;"|"&amp;DATOS!$I12123)</f>
      </c>
      <c r="G12123">
        <f>IF(DATOS!$A12123="",0,IF(CONFIG_METADATA!$B$4&lt;&gt;"OR+EX",--(DATOS!$G12123=CONFIG_METADATA!$B$4),IF(DATOS!$G12123="EX",1,IF(DATOS!$G12123="OR",--(COUNTIFS(nNIA,DATOS!$A12123,nCURSO,DATOS!$D12123,nESPEC,DATOS!$E12123,nASIG,DATOS!$I12123,nEVAL,"EX")=0),0))))</f>
      </c>
      <c r="H12123">
        <f>IF(DATOS!$G12123&lt;&gt;"EX",0,--(COUNTIFS(nNIA,DATOS!$A12123,nCURSO,DATOS!$D12123,nESPEC,DATOS!$E12123,nASIG,DATOS!$I12123,nEVAL,"OR")=0))</f>
      </c>
      <c r="I12123">
        <f>IF(DATOS!$I12123="","",IFERROR(VLOOKUP(DATOS!$I12123,CONFIG_ASIGNATURAS!$B$2:$J$91,9,FALSE()),""))</f>
      </c>
    </row>
    <row r="12124">
      <c r="F12124">
        <f>IF(DATOS!$A12124="","",DATOS!$A12124&amp;"|"&amp;DATOS!$D12124&amp;"|"&amp;DATOS!$E12124&amp;"|"&amp;DATOS!$I12124)</f>
      </c>
      <c r="G12124">
        <f>IF(DATOS!$A12124="",0,IF(CONFIG_METADATA!$B$4&lt;&gt;"OR+EX",--(DATOS!$G12124=CONFIG_METADATA!$B$4),IF(DATOS!$G12124="EX",1,IF(DATOS!$G12124="OR",--(COUNTIFS(nNIA,DATOS!$A12124,nCURSO,DATOS!$D12124,nESPEC,DATOS!$E12124,nASIG,DATOS!$I12124,nEVAL,"EX")=0),0))))</f>
      </c>
      <c r="H12124">
        <f>IF(DATOS!$G12124&lt;&gt;"EX",0,--(COUNTIFS(nNIA,DATOS!$A12124,nCURSO,DATOS!$D12124,nESPEC,DATOS!$E12124,nASIG,DATOS!$I12124,nEVAL,"OR")=0))</f>
      </c>
      <c r="I12124">
        <f>IF(DATOS!$I12124="","",IFERROR(VLOOKUP(DATOS!$I12124,CONFIG_ASIGNATURAS!$B$2:$J$91,9,FALSE()),""))</f>
      </c>
    </row>
    <row r="12125">
      <c r="F12125">
        <f>IF(DATOS!$A12125="","",DATOS!$A12125&amp;"|"&amp;DATOS!$D12125&amp;"|"&amp;DATOS!$E12125&amp;"|"&amp;DATOS!$I12125)</f>
      </c>
      <c r="G12125">
        <f>IF(DATOS!$A12125="",0,IF(CONFIG_METADATA!$B$4&lt;&gt;"OR+EX",--(DATOS!$G12125=CONFIG_METADATA!$B$4),IF(DATOS!$G12125="EX",1,IF(DATOS!$G12125="OR",--(COUNTIFS(nNIA,DATOS!$A12125,nCURSO,DATOS!$D12125,nESPEC,DATOS!$E12125,nASIG,DATOS!$I12125,nEVAL,"EX")=0),0))))</f>
      </c>
      <c r="H12125">
        <f>IF(DATOS!$G12125&lt;&gt;"EX",0,--(COUNTIFS(nNIA,DATOS!$A12125,nCURSO,DATOS!$D12125,nESPEC,DATOS!$E12125,nASIG,DATOS!$I12125,nEVAL,"OR")=0))</f>
      </c>
      <c r="I12125">
        <f>IF(DATOS!$I12125="","",IFERROR(VLOOKUP(DATOS!$I12125,CONFIG_ASIGNATURAS!$B$2:$J$91,9,FALSE()),""))</f>
      </c>
    </row>
    <row r="12126">
      <c r="F12126">
        <f>IF(DATOS!$A12126="","",DATOS!$A12126&amp;"|"&amp;DATOS!$D12126&amp;"|"&amp;DATOS!$E12126&amp;"|"&amp;DATOS!$I12126)</f>
      </c>
      <c r="G12126">
        <f>IF(DATOS!$A12126="",0,IF(CONFIG_METADATA!$B$4&lt;&gt;"OR+EX",--(DATOS!$G12126=CONFIG_METADATA!$B$4),IF(DATOS!$G12126="EX",1,IF(DATOS!$G12126="OR",--(COUNTIFS(nNIA,DATOS!$A12126,nCURSO,DATOS!$D12126,nESPEC,DATOS!$E12126,nASIG,DATOS!$I12126,nEVAL,"EX")=0),0))))</f>
      </c>
      <c r="H12126">
        <f>IF(DATOS!$G12126&lt;&gt;"EX",0,--(COUNTIFS(nNIA,DATOS!$A12126,nCURSO,DATOS!$D12126,nESPEC,DATOS!$E12126,nASIG,DATOS!$I12126,nEVAL,"OR")=0))</f>
      </c>
      <c r="I12126">
        <f>IF(DATOS!$I12126="","",IFERROR(VLOOKUP(DATOS!$I12126,CONFIG_ASIGNATURAS!$B$2:$J$91,9,FALSE()),""))</f>
      </c>
    </row>
    <row r="12127">
      <c r="F12127">
        <f>IF(DATOS!$A12127="","",DATOS!$A12127&amp;"|"&amp;DATOS!$D12127&amp;"|"&amp;DATOS!$E12127&amp;"|"&amp;DATOS!$I12127)</f>
      </c>
      <c r="G12127">
        <f>IF(DATOS!$A12127="",0,IF(CONFIG_METADATA!$B$4&lt;&gt;"OR+EX",--(DATOS!$G12127=CONFIG_METADATA!$B$4),IF(DATOS!$G12127="EX",1,IF(DATOS!$G12127="OR",--(COUNTIFS(nNIA,DATOS!$A12127,nCURSO,DATOS!$D12127,nESPEC,DATOS!$E12127,nASIG,DATOS!$I12127,nEVAL,"EX")=0),0))))</f>
      </c>
      <c r="H12127">
        <f>IF(DATOS!$G12127&lt;&gt;"EX",0,--(COUNTIFS(nNIA,DATOS!$A12127,nCURSO,DATOS!$D12127,nESPEC,DATOS!$E12127,nASIG,DATOS!$I12127,nEVAL,"OR")=0))</f>
      </c>
      <c r="I12127">
        <f>IF(DATOS!$I12127="","",IFERROR(VLOOKUP(DATOS!$I12127,CONFIG_ASIGNATURAS!$B$2:$J$91,9,FALSE()),""))</f>
      </c>
    </row>
    <row r="12128">
      <c r="F12128">
        <f>IF(DATOS!$A12128="","",DATOS!$A12128&amp;"|"&amp;DATOS!$D12128&amp;"|"&amp;DATOS!$E12128&amp;"|"&amp;DATOS!$I12128)</f>
      </c>
      <c r="G12128">
        <f>IF(DATOS!$A12128="",0,IF(CONFIG_METADATA!$B$4&lt;&gt;"OR+EX",--(DATOS!$G12128=CONFIG_METADATA!$B$4),IF(DATOS!$G12128="EX",1,IF(DATOS!$G12128="OR",--(COUNTIFS(nNIA,DATOS!$A12128,nCURSO,DATOS!$D12128,nESPEC,DATOS!$E12128,nASIG,DATOS!$I12128,nEVAL,"EX")=0),0))))</f>
      </c>
      <c r="H12128">
        <f>IF(DATOS!$G12128&lt;&gt;"EX",0,--(COUNTIFS(nNIA,DATOS!$A12128,nCURSO,DATOS!$D12128,nESPEC,DATOS!$E12128,nASIG,DATOS!$I12128,nEVAL,"OR")=0))</f>
      </c>
      <c r="I12128">
        <f>IF(DATOS!$I12128="","",IFERROR(VLOOKUP(DATOS!$I12128,CONFIG_ASIGNATURAS!$B$2:$J$91,9,FALSE()),""))</f>
      </c>
    </row>
    <row r="12129">
      <c r="F12129">
        <f>IF(DATOS!$A12129="","",DATOS!$A12129&amp;"|"&amp;DATOS!$D12129&amp;"|"&amp;DATOS!$E12129&amp;"|"&amp;DATOS!$I12129)</f>
      </c>
      <c r="G12129">
        <f>IF(DATOS!$A12129="",0,IF(CONFIG_METADATA!$B$4&lt;&gt;"OR+EX",--(DATOS!$G12129=CONFIG_METADATA!$B$4),IF(DATOS!$G12129="EX",1,IF(DATOS!$G12129="OR",--(COUNTIFS(nNIA,DATOS!$A12129,nCURSO,DATOS!$D12129,nESPEC,DATOS!$E12129,nASIG,DATOS!$I12129,nEVAL,"EX")=0),0))))</f>
      </c>
      <c r="H12129">
        <f>IF(DATOS!$G12129&lt;&gt;"EX",0,--(COUNTIFS(nNIA,DATOS!$A12129,nCURSO,DATOS!$D12129,nESPEC,DATOS!$E12129,nASIG,DATOS!$I12129,nEVAL,"OR")=0))</f>
      </c>
      <c r="I12129">
        <f>IF(DATOS!$I12129="","",IFERROR(VLOOKUP(DATOS!$I12129,CONFIG_ASIGNATURAS!$B$2:$J$91,9,FALSE()),""))</f>
      </c>
    </row>
    <row r="12130">
      <c r="F12130">
        <f>IF(DATOS!$A12130="","",DATOS!$A12130&amp;"|"&amp;DATOS!$D12130&amp;"|"&amp;DATOS!$E12130&amp;"|"&amp;DATOS!$I12130)</f>
      </c>
      <c r="G12130">
        <f>IF(DATOS!$A12130="",0,IF(CONFIG_METADATA!$B$4&lt;&gt;"OR+EX",--(DATOS!$G12130=CONFIG_METADATA!$B$4),IF(DATOS!$G12130="EX",1,IF(DATOS!$G12130="OR",--(COUNTIFS(nNIA,DATOS!$A12130,nCURSO,DATOS!$D12130,nESPEC,DATOS!$E12130,nASIG,DATOS!$I12130,nEVAL,"EX")=0),0))))</f>
      </c>
      <c r="H12130">
        <f>IF(DATOS!$G12130&lt;&gt;"EX",0,--(COUNTIFS(nNIA,DATOS!$A12130,nCURSO,DATOS!$D12130,nESPEC,DATOS!$E12130,nASIG,DATOS!$I12130,nEVAL,"OR")=0))</f>
      </c>
      <c r="I12130">
        <f>IF(DATOS!$I12130="","",IFERROR(VLOOKUP(DATOS!$I12130,CONFIG_ASIGNATURAS!$B$2:$J$91,9,FALSE()),""))</f>
      </c>
    </row>
    <row r="12131">
      <c r="F12131">
        <f>IF(DATOS!$A12131="","",DATOS!$A12131&amp;"|"&amp;DATOS!$D12131&amp;"|"&amp;DATOS!$E12131&amp;"|"&amp;DATOS!$I12131)</f>
      </c>
      <c r="G12131">
        <f>IF(DATOS!$A12131="",0,IF(CONFIG_METADATA!$B$4&lt;&gt;"OR+EX",--(DATOS!$G12131=CONFIG_METADATA!$B$4),IF(DATOS!$G12131="EX",1,IF(DATOS!$G12131="OR",--(COUNTIFS(nNIA,DATOS!$A12131,nCURSO,DATOS!$D12131,nESPEC,DATOS!$E12131,nASIG,DATOS!$I12131,nEVAL,"EX")=0),0))))</f>
      </c>
      <c r="H12131">
        <f>IF(DATOS!$G12131&lt;&gt;"EX",0,--(COUNTIFS(nNIA,DATOS!$A12131,nCURSO,DATOS!$D12131,nESPEC,DATOS!$E12131,nASIG,DATOS!$I12131,nEVAL,"OR")=0))</f>
      </c>
      <c r="I12131">
        <f>IF(DATOS!$I12131="","",IFERROR(VLOOKUP(DATOS!$I12131,CONFIG_ASIGNATURAS!$B$2:$J$91,9,FALSE()),""))</f>
      </c>
    </row>
    <row r="12132">
      <c r="F12132">
        <f>IF(DATOS!$A12132="","",DATOS!$A12132&amp;"|"&amp;DATOS!$D12132&amp;"|"&amp;DATOS!$E12132&amp;"|"&amp;DATOS!$I12132)</f>
      </c>
      <c r="G12132">
        <f>IF(DATOS!$A12132="",0,IF(CONFIG_METADATA!$B$4&lt;&gt;"OR+EX",--(DATOS!$G12132=CONFIG_METADATA!$B$4),IF(DATOS!$G12132="EX",1,IF(DATOS!$G12132="OR",--(COUNTIFS(nNIA,DATOS!$A12132,nCURSO,DATOS!$D12132,nESPEC,DATOS!$E12132,nASIG,DATOS!$I12132,nEVAL,"EX")=0),0))))</f>
      </c>
      <c r="H12132">
        <f>IF(DATOS!$G12132&lt;&gt;"EX",0,--(COUNTIFS(nNIA,DATOS!$A12132,nCURSO,DATOS!$D12132,nESPEC,DATOS!$E12132,nASIG,DATOS!$I12132,nEVAL,"OR")=0))</f>
      </c>
      <c r="I12132">
        <f>IF(DATOS!$I12132="","",IFERROR(VLOOKUP(DATOS!$I12132,CONFIG_ASIGNATURAS!$B$2:$J$91,9,FALSE()),""))</f>
      </c>
    </row>
    <row r="12133">
      <c r="F12133">
        <f>IF(DATOS!$A12133="","",DATOS!$A12133&amp;"|"&amp;DATOS!$D12133&amp;"|"&amp;DATOS!$E12133&amp;"|"&amp;DATOS!$I12133)</f>
      </c>
      <c r="G12133">
        <f>IF(DATOS!$A12133="",0,IF(CONFIG_METADATA!$B$4&lt;&gt;"OR+EX",--(DATOS!$G12133=CONFIG_METADATA!$B$4),IF(DATOS!$G12133="EX",1,IF(DATOS!$G12133="OR",--(COUNTIFS(nNIA,DATOS!$A12133,nCURSO,DATOS!$D12133,nESPEC,DATOS!$E12133,nASIG,DATOS!$I12133,nEVAL,"EX")=0),0))))</f>
      </c>
      <c r="H12133">
        <f>IF(DATOS!$G12133&lt;&gt;"EX",0,--(COUNTIFS(nNIA,DATOS!$A12133,nCURSO,DATOS!$D12133,nESPEC,DATOS!$E12133,nASIG,DATOS!$I12133,nEVAL,"OR")=0))</f>
      </c>
      <c r="I12133">
        <f>IF(DATOS!$I12133="","",IFERROR(VLOOKUP(DATOS!$I12133,CONFIG_ASIGNATURAS!$B$2:$J$91,9,FALSE()),""))</f>
      </c>
    </row>
    <row r="12134">
      <c r="F12134">
        <f>IF(DATOS!$A12134="","",DATOS!$A12134&amp;"|"&amp;DATOS!$D12134&amp;"|"&amp;DATOS!$E12134&amp;"|"&amp;DATOS!$I12134)</f>
      </c>
      <c r="G12134">
        <f>IF(DATOS!$A12134="",0,IF(CONFIG_METADATA!$B$4&lt;&gt;"OR+EX",--(DATOS!$G12134=CONFIG_METADATA!$B$4),IF(DATOS!$G12134="EX",1,IF(DATOS!$G12134="OR",--(COUNTIFS(nNIA,DATOS!$A12134,nCURSO,DATOS!$D12134,nESPEC,DATOS!$E12134,nASIG,DATOS!$I12134,nEVAL,"EX")=0),0))))</f>
      </c>
      <c r="H12134">
        <f>IF(DATOS!$G12134&lt;&gt;"EX",0,--(COUNTIFS(nNIA,DATOS!$A12134,nCURSO,DATOS!$D12134,nESPEC,DATOS!$E12134,nASIG,DATOS!$I12134,nEVAL,"OR")=0))</f>
      </c>
      <c r="I12134">
        <f>IF(DATOS!$I12134="","",IFERROR(VLOOKUP(DATOS!$I12134,CONFIG_ASIGNATURAS!$B$2:$J$91,9,FALSE()),""))</f>
      </c>
    </row>
    <row r="12135">
      <c r="F12135">
        <f>IF(DATOS!$A12135="","",DATOS!$A12135&amp;"|"&amp;DATOS!$D12135&amp;"|"&amp;DATOS!$E12135&amp;"|"&amp;DATOS!$I12135)</f>
      </c>
      <c r="G12135">
        <f>IF(DATOS!$A12135="",0,IF(CONFIG_METADATA!$B$4&lt;&gt;"OR+EX",--(DATOS!$G12135=CONFIG_METADATA!$B$4),IF(DATOS!$G12135="EX",1,IF(DATOS!$G12135="OR",--(COUNTIFS(nNIA,DATOS!$A12135,nCURSO,DATOS!$D12135,nESPEC,DATOS!$E12135,nASIG,DATOS!$I12135,nEVAL,"EX")=0),0))))</f>
      </c>
      <c r="H12135">
        <f>IF(DATOS!$G12135&lt;&gt;"EX",0,--(COUNTIFS(nNIA,DATOS!$A12135,nCURSO,DATOS!$D12135,nESPEC,DATOS!$E12135,nASIG,DATOS!$I12135,nEVAL,"OR")=0))</f>
      </c>
      <c r="I12135">
        <f>IF(DATOS!$I12135="","",IFERROR(VLOOKUP(DATOS!$I12135,CONFIG_ASIGNATURAS!$B$2:$J$91,9,FALSE()),""))</f>
      </c>
    </row>
    <row r="12136">
      <c r="F12136">
        <f>IF(DATOS!$A12136="","",DATOS!$A12136&amp;"|"&amp;DATOS!$D12136&amp;"|"&amp;DATOS!$E12136&amp;"|"&amp;DATOS!$I12136)</f>
      </c>
      <c r="G12136">
        <f>IF(DATOS!$A12136="",0,IF(CONFIG_METADATA!$B$4&lt;&gt;"OR+EX",--(DATOS!$G12136=CONFIG_METADATA!$B$4),IF(DATOS!$G12136="EX",1,IF(DATOS!$G12136="OR",--(COUNTIFS(nNIA,DATOS!$A12136,nCURSO,DATOS!$D12136,nESPEC,DATOS!$E12136,nASIG,DATOS!$I12136,nEVAL,"EX")=0),0))))</f>
      </c>
      <c r="H12136">
        <f>IF(DATOS!$G12136&lt;&gt;"EX",0,--(COUNTIFS(nNIA,DATOS!$A12136,nCURSO,DATOS!$D12136,nESPEC,DATOS!$E12136,nASIG,DATOS!$I12136,nEVAL,"OR")=0))</f>
      </c>
      <c r="I12136">
        <f>IF(DATOS!$I12136="","",IFERROR(VLOOKUP(DATOS!$I12136,CONFIG_ASIGNATURAS!$B$2:$J$91,9,FALSE()),""))</f>
      </c>
    </row>
    <row r="12137">
      <c r="F12137">
        <f>IF(DATOS!$A12137="","",DATOS!$A12137&amp;"|"&amp;DATOS!$D12137&amp;"|"&amp;DATOS!$E12137&amp;"|"&amp;DATOS!$I12137)</f>
      </c>
      <c r="G12137">
        <f>IF(DATOS!$A12137="",0,IF(CONFIG_METADATA!$B$4&lt;&gt;"OR+EX",--(DATOS!$G12137=CONFIG_METADATA!$B$4),IF(DATOS!$G12137="EX",1,IF(DATOS!$G12137="OR",--(COUNTIFS(nNIA,DATOS!$A12137,nCURSO,DATOS!$D12137,nESPEC,DATOS!$E12137,nASIG,DATOS!$I12137,nEVAL,"EX")=0),0))))</f>
      </c>
      <c r="H12137">
        <f>IF(DATOS!$G12137&lt;&gt;"EX",0,--(COUNTIFS(nNIA,DATOS!$A12137,nCURSO,DATOS!$D12137,nESPEC,DATOS!$E12137,nASIG,DATOS!$I12137,nEVAL,"OR")=0))</f>
      </c>
      <c r="I12137">
        <f>IF(DATOS!$I12137="","",IFERROR(VLOOKUP(DATOS!$I12137,CONFIG_ASIGNATURAS!$B$2:$J$91,9,FALSE()),""))</f>
      </c>
    </row>
    <row r="12138">
      <c r="F12138">
        <f>IF(DATOS!$A12138="","",DATOS!$A12138&amp;"|"&amp;DATOS!$D12138&amp;"|"&amp;DATOS!$E12138&amp;"|"&amp;DATOS!$I12138)</f>
      </c>
      <c r="G12138">
        <f>IF(DATOS!$A12138="",0,IF(CONFIG_METADATA!$B$4&lt;&gt;"OR+EX",--(DATOS!$G12138=CONFIG_METADATA!$B$4),IF(DATOS!$G12138="EX",1,IF(DATOS!$G12138="OR",--(COUNTIFS(nNIA,DATOS!$A12138,nCURSO,DATOS!$D12138,nESPEC,DATOS!$E12138,nASIG,DATOS!$I12138,nEVAL,"EX")=0),0))))</f>
      </c>
      <c r="H12138">
        <f>IF(DATOS!$G12138&lt;&gt;"EX",0,--(COUNTIFS(nNIA,DATOS!$A12138,nCURSO,DATOS!$D12138,nESPEC,DATOS!$E12138,nASIG,DATOS!$I12138,nEVAL,"OR")=0))</f>
      </c>
      <c r="I12138">
        <f>IF(DATOS!$I12138="","",IFERROR(VLOOKUP(DATOS!$I12138,CONFIG_ASIGNATURAS!$B$2:$J$91,9,FALSE()),""))</f>
      </c>
    </row>
    <row r="12139">
      <c r="F12139">
        <f>IF(DATOS!$A12139="","",DATOS!$A12139&amp;"|"&amp;DATOS!$D12139&amp;"|"&amp;DATOS!$E12139&amp;"|"&amp;DATOS!$I12139)</f>
      </c>
      <c r="G12139">
        <f>IF(DATOS!$A12139="",0,IF(CONFIG_METADATA!$B$4&lt;&gt;"OR+EX",--(DATOS!$G12139=CONFIG_METADATA!$B$4),IF(DATOS!$G12139="EX",1,IF(DATOS!$G12139="OR",--(COUNTIFS(nNIA,DATOS!$A12139,nCURSO,DATOS!$D12139,nESPEC,DATOS!$E12139,nASIG,DATOS!$I12139,nEVAL,"EX")=0),0))))</f>
      </c>
      <c r="H12139">
        <f>IF(DATOS!$G12139&lt;&gt;"EX",0,--(COUNTIFS(nNIA,DATOS!$A12139,nCURSO,DATOS!$D12139,nESPEC,DATOS!$E12139,nASIG,DATOS!$I12139,nEVAL,"OR")=0))</f>
      </c>
      <c r="I12139">
        <f>IF(DATOS!$I12139="","",IFERROR(VLOOKUP(DATOS!$I12139,CONFIG_ASIGNATURAS!$B$2:$J$91,9,FALSE()),""))</f>
      </c>
    </row>
    <row r="12140">
      <c r="F12140">
        <f>IF(DATOS!$A12140="","",DATOS!$A12140&amp;"|"&amp;DATOS!$D12140&amp;"|"&amp;DATOS!$E12140&amp;"|"&amp;DATOS!$I12140)</f>
      </c>
      <c r="G12140">
        <f>IF(DATOS!$A12140="",0,IF(CONFIG_METADATA!$B$4&lt;&gt;"OR+EX",--(DATOS!$G12140=CONFIG_METADATA!$B$4),IF(DATOS!$G12140="EX",1,IF(DATOS!$G12140="OR",--(COUNTIFS(nNIA,DATOS!$A12140,nCURSO,DATOS!$D12140,nESPEC,DATOS!$E12140,nASIG,DATOS!$I12140,nEVAL,"EX")=0),0))))</f>
      </c>
      <c r="H12140">
        <f>IF(DATOS!$G12140&lt;&gt;"EX",0,--(COUNTIFS(nNIA,DATOS!$A12140,nCURSO,DATOS!$D12140,nESPEC,DATOS!$E12140,nASIG,DATOS!$I12140,nEVAL,"OR")=0))</f>
      </c>
      <c r="I12140">
        <f>IF(DATOS!$I12140="","",IFERROR(VLOOKUP(DATOS!$I12140,CONFIG_ASIGNATURAS!$B$2:$J$91,9,FALSE()),""))</f>
      </c>
    </row>
    <row r="12141">
      <c r="F12141">
        <f>IF(DATOS!$A12141="","",DATOS!$A12141&amp;"|"&amp;DATOS!$D12141&amp;"|"&amp;DATOS!$E12141&amp;"|"&amp;DATOS!$I12141)</f>
      </c>
      <c r="G12141">
        <f>IF(DATOS!$A12141="",0,IF(CONFIG_METADATA!$B$4&lt;&gt;"OR+EX",--(DATOS!$G12141=CONFIG_METADATA!$B$4),IF(DATOS!$G12141="EX",1,IF(DATOS!$G12141="OR",--(COUNTIFS(nNIA,DATOS!$A12141,nCURSO,DATOS!$D12141,nESPEC,DATOS!$E12141,nASIG,DATOS!$I12141,nEVAL,"EX")=0),0))))</f>
      </c>
      <c r="H12141">
        <f>IF(DATOS!$G12141&lt;&gt;"EX",0,--(COUNTIFS(nNIA,DATOS!$A12141,nCURSO,DATOS!$D12141,nESPEC,DATOS!$E12141,nASIG,DATOS!$I12141,nEVAL,"OR")=0))</f>
      </c>
      <c r="I12141">
        <f>IF(DATOS!$I12141="","",IFERROR(VLOOKUP(DATOS!$I12141,CONFIG_ASIGNATURAS!$B$2:$J$91,9,FALSE()),""))</f>
      </c>
    </row>
    <row r="12142">
      <c r="F12142">
        <f>IF(DATOS!$A12142="","",DATOS!$A12142&amp;"|"&amp;DATOS!$D12142&amp;"|"&amp;DATOS!$E12142&amp;"|"&amp;DATOS!$I12142)</f>
      </c>
      <c r="G12142">
        <f>IF(DATOS!$A12142="",0,IF(CONFIG_METADATA!$B$4&lt;&gt;"OR+EX",--(DATOS!$G12142=CONFIG_METADATA!$B$4),IF(DATOS!$G12142="EX",1,IF(DATOS!$G12142="OR",--(COUNTIFS(nNIA,DATOS!$A12142,nCURSO,DATOS!$D12142,nESPEC,DATOS!$E12142,nASIG,DATOS!$I12142,nEVAL,"EX")=0),0))))</f>
      </c>
      <c r="H12142">
        <f>IF(DATOS!$G12142&lt;&gt;"EX",0,--(COUNTIFS(nNIA,DATOS!$A12142,nCURSO,DATOS!$D12142,nESPEC,DATOS!$E12142,nASIG,DATOS!$I12142,nEVAL,"OR")=0))</f>
      </c>
      <c r="I12142">
        <f>IF(DATOS!$I12142="","",IFERROR(VLOOKUP(DATOS!$I12142,CONFIG_ASIGNATURAS!$B$2:$J$91,9,FALSE()),""))</f>
      </c>
    </row>
    <row r="12143">
      <c r="F12143">
        <f>IF(DATOS!$A12143="","",DATOS!$A12143&amp;"|"&amp;DATOS!$D12143&amp;"|"&amp;DATOS!$E12143&amp;"|"&amp;DATOS!$I12143)</f>
      </c>
      <c r="G12143">
        <f>IF(DATOS!$A12143="",0,IF(CONFIG_METADATA!$B$4&lt;&gt;"OR+EX",--(DATOS!$G12143=CONFIG_METADATA!$B$4),IF(DATOS!$G12143="EX",1,IF(DATOS!$G12143="OR",--(COUNTIFS(nNIA,DATOS!$A12143,nCURSO,DATOS!$D12143,nESPEC,DATOS!$E12143,nASIG,DATOS!$I12143,nEVAL,"EX")=0),0))))</f>
      </c>
      <c r="H12143">
        <f>IF(DATOS!$G12143&lt;&gt;"EX",0,--(COUNTIFS(nNIA,DATOS!$A12143,nCURSO,DATOS!$D12143,nESPEC,DATOS!$E12143,nASIG,DATOS!$I12143,nEVAL,"OR")=0))</f>
      </c>
      <c r="I12143">
        <f>IF(DATOS!$I12143="","",IFERROR(VLOOKUP(DATOS!$I12143,CONFIG_ASIGNATURAS!$B$2:$J$91,9,FALSE()),""))</f>
      </c>
    </row>
    <row r="12144">
      <c r="F12144">
        <f>IF(DATOS!$A12144="","",DATOS!$A12144&amp;"|"&amp;DATOS!$D12144&amp;"|"&amp;DATOS!$E12144&amp;"|"&amp;DATOS!$I12144)</f>
      </c>
      <c r="G12144">
        <f>IF(DATOS!$A12144="",0,IF(CONFIG_METADATA!$B$4&lt;&gt;"OR+EX",--(DATOS!$G12144=CONFIG_METADATA!$B$4),IF(DATOS!$G12144="EX",1,IF(DATOS!$G12144="OR",--(COUNTIFS(nNIA,DATOS!$A12144,nCURSO,DATOS!$D12144,nESPEC,DATOS!$E12144,nASIG,DATOS!$I12144,nEVAL,"EX")=0),0))))</f>
      </c>
      <c r="H12144">
        <f>IF(DATOS!$G12144&lt;&gt;"EX",0,--(COUNTIFS(nNIA,DATOS!$A12144,nCURSO,DATOS!$D12144,nESPEC,DATOS!$E12144,nASIG,DATOS!$I12144,nEVAL,"OR")=0))</f>
      </c>
      <c r="I12144">
        <f>IF(DATOS!$I12144="","",IFERROR(VLOOKUP(DATOS!$I12144,CONFIG_ASIGNATURAS!$B$2:$J$91,9,FALSE()),""))</f>
      </c>
    </row>
    <row r="12145">
      <c r="F12145">
        <f>IF(DATOS!$A12145="","",DATOS!$A12145&amp;"|"&amp;DATOS!$D12145&amp;"|"&amp;DATOS!$E12145&amp;"|"&amp;DATOS!$I12145)</f>
      </c>
      <c r="G12145">
        <f>IF(DATOS!$A12145="",0,IF(CONFIG_METADATA!$B$4&lt;&gt;"OR+EX",--(DATOS!$G12145=CONFIG_METADATA!$B$4),IF(DATOS!$G12145="EX",1,IF(DATOS!$G12145="OR",--(COUNTIFS(nNIA,DATOS!$A12145,nCURSO,DATOS!$D12145,nESPEC,DATOS!$E12145,nASIG,DATOS!$I12145,nEVAL,"EX")=0),0))))</f>
      </c>
      <c r="H12145">
        <f>IF(DATOS!$G12145&lt;&gt;"EX",0,--(COUNTIFS(nNIA,DATOS!$A12145,nCURSO,DATOS!$D12145,nESPEC,DATOS!$E12145,nASIG,DATOS!$I12145,nEVAL,"OR")=0))</f>
      </c>
      <c r="I12145">
        <f>IF(DATOS!$I12145="","",IFERROR(VLOOKUP(DATOS!$I12145,CONFIG_ASIGNATURAS!$B$2:$J$91,9,FALSE()),""))</f>
      </c>
    </row>
    <row r="12146">
      <c r="F12146">
        <f>IF(DATOS!$A12146="","",DATOS!$A12146&amp;"|"&amp;DATOS!$D12146&amp;"|"&amp;DATOS!$E12146&amp;"|"&amp;DATOS!$I12146)</f>
      </c>
      <c r="G12146">
        <f>IF(DATOS!$A12146="",0,IF(CONFIG_METADATA!$B$4&lt;&gt;"OR+EX",--(DATOS!$G12146=CONFIG_METADATA!$B$4),IF(DATOS!$G12146="EX",1,IF(DATOS!$G12146="OR",--(COUNTIFS(nNIA,DATOS!$A12146,nCURSO,DATOS!$D12146,nESPEC,DATOS!$E12146,nASIG,DATOS!$I12146,nEVAL,"EX")=0),0))))</f>
      </c>
      <c r="H12146">
        <f>IF(DATOS!$G12146&lt;&gt;"EX",0,--(COUNTIFS(nNIA,DATOS!$A12146,nCURSO,DATOS!$D12146,nESPEC,DATOS!$E12146,nASIG,DATOS!$I12146,nEVAL,"OR")=0))</f>
      </c>
      <c r="I12146">
        <f>IF(DATOS!$I12146="","",IFERROR(VLOOKUP(DATOS!$I12146,CONFIG_ASIGNATURAS!$B$2:$J$91,9,FALSE()),""))</f>
      </c>
    </row>
    <row r="12147">
      <c r="F12147">
        <f>IF(DATOS!$A12147="","",DATOS!$A12147&amp;"|"&amp;DATOS!$D12147&amp;"|"&amp;DATOS!$E12147&amp;"|"&amp;DATOS!$I12147)</f>
      </c>
      <c r="G12147">
        <f>IF(DATOS!$A12147="",0,IF(CONFIG_METADATA!$B$4&lt;&gt;"OR+EX",--(DATOS!$G12147=CONFIG_METADATA!$B$4),IF(DATOS!$G12147="EX",1,IF(DATOS!$G12147="OR",--(COUNTIFS(nNIA,DATOS!$A12147,nCURSO,DATOS!$D12147,nESPEC,DATOS!$E12147,nASIG,DATOS!$I12147,nEVAL,"EX")=0),0))))</f>
      </c>
      <c r="H12147">
        <f>IF(DATOS!$G12147&lt;&gt;"EX",0,--(COUNTIFS(nNIA,DATOS!$A12147,nCURSO,DATOS!$D12147,nESPEC,DATOS!$E12147,nASIG,DATOS!$I12147,nEVAL,"OR")=0))</f>
      </c>
      <c r="I12147">
        <f>IF(DATOS!$I12147="","",IFERROR(VLOOKUP(DATOS!$I12147,CONFIG_ASIGNATURAS!$B$2:$J$91,9,FALSE()),""))</f>
      </c>
    </row>
    <row r="12148">
      <c r="F12148">
        <f>IF(DATOS!$A12148="","",DATOS!$A12148&amp;"|"&amp;DATOS!$D12148&amp;"|"&amp;DATOS!$E12148&amp;"|"&amp;DATOS!$I12148)</f>
      </c>
      <c r="G12148">
        <f>IF(DATOS!$A12148="",0,IF(CONFIG_METADATA!$B$4&lt;&gt;"OR+EX",--(DATOS!$G12148=CONFIG_METADATA!$B$4),IF(DATOS!$G12148="EX",1,IF(DATOS!$G12148="OR",--(COUNTIFS(nNIA,DATOS!$A12148,nCURSO,DATOS!$D12148,nESPEC,DATOS!$E12148,nASIG,DATOS!$I12148,nEVAL,"EX")=0),0))))</f>
      </c>
      <c r="H12148">
        <f>IF(DATOS!$G12148&lt;&gt;"EX",0,--(COUNTIFS(nNIA,DATOS!$A12148,nCURSO,DATOS!$D12148,nESPEC,DATOS!$E12148,nASIG,DATOS!$I12148,nEVAL,"OR")=0))</f>
      </c>
      <c r="I12148">
        <f>IF(DATOS!$I12148="","",IFERROR(VLOOKUP(DATOS!$I12148,CONFIG_ASIGNATURAS!$B$2:$J$91,9,FALSE()),""))</f>
      </c>
    </row>
    <row r="12149">
      <c r="F12149">
        <f>IF(DATOS!$A12149="","",DATOS!$A12149&amp;"|"&amp;DATOS!$D12149&amp;"|"&amp;DATOS!$E12149&amp;"|"&amp;DATOS!$I12149)</f>
      </c>
      <c r="G12149">
        <f>IF(DATOS!$A12149="",0,IF(CONFIG_METADATA!$B$4&lt;&gt;"OR+EX",--(DATOS!$G12149=CONFIG_METADATA!$B$4),IF(DATOS!$G12149="EX",1,IF(DATOS!$G12149="OR",--(COUNTIFS(nNIA,DATOS!$A12149,nCURSO,DATOS!$D12149,nESPEC,DATOS!$E12149,nASIG,DATOS!$I12149,nEVAL,"EX")=0),0))))</f>
      </c>
      <c r="H12149">
        <f>IF(DATOS!$G12149&lt;&gt;"EX",0,--(COUNTIFS(nNIA,DATOS!$A12149,nCURSO,DATOS!$D12149,nESPEC,DATOS!$E12149,nASIG,DATOS!$I12149,nEVAL,"OR")=0))</f>
      </c>
      <c r="I12149">
        <f>IF(DATOS!$I12149="","",IFERROR(VLOOKUP(DATOS!$I12149,CONFIG_ASIGNATURAS!$B$2:$J$91,9,FALSE()),""))</f>
      </c>
    </row>
    <row r="12150">
      <c r="F12150">
        <f>IF(DATOS!$A12150="","",DATOS!$A12150&amp;"|"&amp;DATOS!$D12150&amp;"|"&amp;DATOS!$E12150&amp;"|"&amp;DATOS!$I12150)</f>
      </c>
      <c r="G12150">
        <f>IF(DATOS!$A12150="",0,IF(CONFIG_METADATA!$B$4&lt;&gt;"OR+EX",--(DATOS!$G12150=CONFIG_METADATA!$B$4),IF(DATOS!$G12150="EX",1,IF(DATOS!$G12150="OR",--(COUNTIFS(nNIA,DATOS!$A12150,nCURSO,DATOS!$D12150,nESPEC,DATOS!$E12150,nASIG,DATOS!$I12150,nEVAL,"EX")=0),0))))</f>
      </c>
      <c r="H12150">
        <f>IF(DATOS!$G12150&lt;&gt;"EX",0,--(COUNTIFS(nNIA,DATOS!$A12150,nCURSO,DATOS!$D12150,nESPEC,DATOS!$E12150,nASIG,DATOS!$I12150,nEVAL,"OR")=0))</f>
      </c>
      <c r="I12150">
        <f>IF(DATOS!$I12150="","",IFERROR(VLOOKUP(DATOS!$I12150,CONFIG_ASIGNATURAS!$B$2:$J$91,9,FALSE()),""))</f>
      </c>
    </row>
    <row r="12151">
      <c r="F12151">
        <f>IF(DATOS!$A12151="","",DATOS!$A12151&amp;"|"&amp;DATOS!$D12151&amp;"|"&amp;DATOS!$E12151&amp;"|"&amp;DATOS!$I12151)</f>
      </c>
      <c r="G12151">
        <f>IF(DATOS!$A12151="",0,IF(CONFIG_METADATA!$B$4&lt;&gt;"OR+EX",--(DATOS!$G12151=CONFIG_METADATA!$B$4),IF(DATOS!$G12151="EX",1,IF(DATOS!$G12151="OR",--(COUNTIFS(nNIA,DATOS!$A12151,nCURSO,DATOS!$D12151,nESPEC,DATOS!$E12151,nASIG,DATOS!$I12151,nEVAL,"EX")=0),0))))</f>
      </c>
      <c r="H12151">
        <f>IF(DATOS!$G12151&lt;&gt;"EX",0,--(COUNTIFS(nNIA,DATOS!$A12151,nCURSO,DATOS!$D12151,nESPEC,DATOS!$E12151,nASIG,DATOS!$I12151,nEVAL,"OR")=0))</f>
      </c>
      <c r="I12151">
        <f>IF(DATOS!$I12151="","",IFERROR(VLOOKUP(DATOS!$I12151,CONFIG_ASIGNATURAS!$B$2:$J$91,9,FALSE()),""))</f>
      </c>
    </row>
    <row r="12152">
      <c r="F12152">
        <f>IF(DATOS!$A12152="","",DATOS!$A12152&amp;"|"&amp;DATOS!$D12152&amp;"|"&amp;DATOS!$E12152&amp;"|"&amp;DATOS!$I12152)</f>
      </c>
      <c r="G12152">
        <f>IF(DATOS!$A12152="",0,IF(CONFIG_METADATA!$B$4&lt;&gt;"OR+EX",--(DATOS!$G12152=CONFIG_METADATA!$B$4),IF(DATOS!$G12152="EX",1,IF(DATOS!$G12152="OR",--(COUNTIFS(nNIA,DATOS!$A12152,nCURSO,DATOS!$D12152,nESPEC,DATOS!$E12152,nASIG,DATOS!$I12152,nEVAL,"EX")=0),0))))</f>
      </c>
      <c r="H12152">
        <f>IF(DATOS!$G12152&lt;&gt;"EX",0,--(COUNTIFS(nNIA,DATOS!$A12152,nCURSO,DATOS!$D12152,nESPEC,DATOS!$E12152,nASIG,DATOS!$I12152,nEVAL,"OR")=0))</f>
      </c>
      <c r="I12152">
        <f>IF(DATOS!$I12152="","",IFERROR(VLOOKUP(DATOS!$I12152,CONFIG_ASIGNATURAS!$B$2:$J$91,9,FALSE()),""))</f>
      </c>
    </row>
    <row r="12153">
      <c r="F12153">
        <f>IF(DATOS!$A12153="","",DATOS!$A12153&amp;"|"&amp;DATOS!$D12153&amp;"|"&amp;DATOS!$E12153&amp;"|"&amp;DATOS!$I12153)</f>
      </c>
      <c r="G12153">
        <f>IF(DATOS!$A12153="",0,IF(CONFIG_METADATA!$B$4&lt;&gt;"OR+EX",--(DATOS!$G12153=CONFIG_METADATA!$B$4),IF(DATOS!$G12153="EX",1,IF(DATOS!$G12153="OR",--(COUNTIFS(nNIA,DATOS!$A12153,nCURSO,DATOS!$D12153,nESPEC,DATOS!$E12153,nASIG,DATOS!$I12153,nEVAL,"EX")=0),0))))</f>
      </c>
      <c r="H12153">
        <f>IF(DATOS!$G12153&lt;&gt;"EX",0,--(COUNTIFS(nNIA,DATOS!$A12153,nCURSO,DATOS!$D12153,nESPEC,DATOS!$E12153,nASIG,DATOS!$I12153,nEVAL,"OR")=0))</f>
      </c>
      <c r="I12153">
        <f>IF(DATOS!$I12153="","",IFERROR(VLOOKUP(DATOS!$I12153,CONFIG_ASIGNATURAS!$B$2:$J$91,9,FALSE()),""))</f>
      </c>
    </row>
    <row r="12154">
      <c r="F12154">
        <f>IF(DATOS!$A12154="","",DATOS!$A12154&amp;"|"&amp;DATOS!$D12154&amp;"|"&amp;DATOS!$E12154&amp;"|"&amp;DATOS!$I12154)</f>
      </c>
      <c r="G12154">
        <f>IF(DATOS!$A12154="",0,IF(CONFIG_METADATA!$B$4&lt;&gt;"OR+EX",--(DATOS!$G12154=CONFIG_METADATA!$B$4),IF(DATOS!$G12154="EX",1,IF(DATOS!$G12154="OR",--(COUNTIFS(nNIA,DATOS!$A12154,nCURSO,DATOS!$D12154,nESPEC,DATOS!$E12154,nASIG,DATOS!$I12154,nEVAL,"EX")=0),0))))</f>
      </c>
      <c r="H12154">
        <f>IF(DATOS!$G12154&lt;&gt;"EX",0,--(COUNTIFS(nNIA,DATOS!$A12154,nCURSO,DATOS!$D12154,nESPEC,DATOS!$E12154,nASIG,DATOS!$I12154,nEVAL,"OR")=0))</f>
      </c>
      <c r="I12154">
        <f>IF(DATOS!$I12154="","",IFERROR(VLOOKUP(DATOS!$I12154,CONFIG_ASIGNATURAS!$B$2:$J$91,9,FALSE()),""))</f>
      </c>
    </row>
    <row r="12155">
      <c r="F12155">
        <f>IF(DATOS!$A12155="","",DATOS!$A12155&amp;"|"&amp;DATOS!$D12155&amp;"|"&amp;DATOS!$E12155&amp;"|"&amp;DATOS!$I12155)</f>
      </c>
      <c r="G12155">
        <f>IF(DATOS!$A12155="",0,IF(CONFIG_METADATA!$B$4&lt;&gt;"OR+EX",--(DATOS!$G12155=CONFIG_METADATA!$B$4),IF(DATOS!$G12155="EX",1,IF(DATOS!$G12155="OR",--(COUNTIFS(nNIA,DATOS!$A12155,nCURSO,DATOS!$D12155,nESPEC,DATOS!$E12155,nASIG,DATOS!$I12155,nEVAL,"EX")=0),0))))</f>
      </c>
      <c r="H12155">
        <f>IF(DATOS!$G12155&lt;&gt;"EX",0,--(COUNTIFS(nNIA,DATOS!$A12155,nCURSO,DATOS!$D12155,nESPEC,DATOS!$E12155,nASIG,DATOS!$I12155,nEVAL,"OR")=0))</f>
      </c>
      <c r="I12155">
        <f>IF(DATOS!$I12155="","",IFERROR(VLOOKUP(DATOS!$I12155,CONFIG_ASIGNATURAS!$B$2:$J$91,9,FALSE()),""))</f>
      </c>
    </row>
    <row r="12156">
      <c r="F12156">
        <f>IF(DATOS!$A12156="","",DATOS!$A12156&amp;"|"&amp;DATOS!$D12156&amp;"|"&amp;DATOS!$E12156&amp;"|"&amp;DATOS!$I12156)</f>
      </c>
      <c r="G12156">
        <f>IF(DATOS!$A12156="",0,IF(CONFIG_METADATA!$B$4&lt;&gt;"OR+EX",--(DATOS!$G12156=CONFIG_METADATA!$B$4),IF(DATOS!$G12156="EX",1,IF(DATOS!$G12156="OR",--(COUNTIFS(nNIA,DATOS!$A12156,nCURSO,DATOS!$D12156,nESPEC,DATOS!$E12156,nASIG,DATOS!$I12156,nEVAL,"EX")=0),0))))</f>
      </c>
      <c r="H12156">
        <f>IF(DATOS!$G12156&lt;&gt;"EX",0,--(COUNTIFS(nNIA,DATOS!$A12156,nCURSO,DATOS!$D12156,nESPEC,DATOS!$E12156,nASIG,DATOS!$I12156,nEVAL,"OR")=0))</f>
      </c>
      <c r="I12156">
        <f>IF(DATOS!$I12156="","",IFERROR(VLOOKUP(DATOS!$I12156,CONFIG_ASIGNATURAS!$B$2:$J$91,9,FALSE()),""))</f>
      </c>
    </row>
    <row r="12157">
      <c r="F12157">
        <f>IF(DATOS!$A12157="","",DATOS!$A12157&amp;"|"&amp;DATOS!$D12157&amp;"|"&amp;DATOS!$E12157&amp;"|"&amp;DATOS!$I12157)</f>
      </c>
      <c r="G12157">
        <f>IF(DATOS!$A12157="",0,IF(CONFIG_METADATA!$B$4&lt;&gt;"OR+EX",--(DATOS!$G12157=CONFIG_METADATA!$B$4),IF(DATOS!$G12157="EX",1,IF(DATOS!$G12157="OR",--(COUNTIFS(nNIA,DATOS!$A12157,nCURSO,DATOS!$D12157,nESPEC,DATOS!$E12157,nASIG,DATOS!$I12157,nEVAL,"EX")=0),0))))</f>
      </c>
      <c r="H12157">
        <f>IF(DATOS!$G12157&lt;&gt;"EX",0,--(COUNTIFS(nNIA,DATOS!$A12157,nCURSO,DATOS!$D12157,nESPEC,DATOS!$E12157,nASIG,DATOS!$I12157,nEVAL,"OR")=0))</f>
      </c>
      <c r="I12157">
        <f>IF(DATOS!$I12157="","",IFERROR(VLOOKUP(DATOS!$I12157,CONFIG_ASIGNATURAS!$B$2:$J$91,9,FALSE()),""))</f>
      </c>
    </row>
    <row r="12158">
      <c r="F12158">
        <f>IF(DATOS!$A12158="","",DATOS!$A12158&amp;"|"&amp;DATOS!$D12158&amp;"|"&amp;DATOS!$E12158&amp;"|"&amp;DATOS!$I12158)</f>
      </c>
      <c r="G12158">
        <f>IF(DATOS!$A12158="",0,IF(CONFIG_METADATA!$B$4&lt;&gt;"OR+EX",--(DATOS!$G12158=CONFIG_METADATA!$B$4),IF(DATOS!$G12158="EX",1,IF(DATOS!$G12158="OR",--(COUNTIFS(nNIA,DATOS!$A12158,nCURSO,DATOS!$D12158,nESPEC,DATOS!$E12158,nASIG,DATOS!$I12158,nEVAL,"EX")=0),0))))</f>
      </c>
      <c r="H12158">
        <f>IF(DATOS!$G12158&lt;&gt;"EX",0,--(COUNTIFS(nNIA,DATOS!$A12158,nCURSO,DATOS!$D12158,nESPEC,DATOS!$E12158,nASIG,DATOS!$I12158,nEVAL,"OR")=0))</f>
      </c>
      <c r="I12158">
        <f>IF(DATOS!$I12158="","",IFERROR(VLOOKUP(DATOS!$I12158,CONFIG_ASIGNATURAS!$B$2:$J$91,9,FALSE()),""))</f>
      </c>
    </row>
    <row r="12159">
      <c r="F12159">
        <f>IF(DATOS!$A12159="","",DATOS!$A12159&amp;"|"&amp;DATOS!$D12159&amp;"|"&amp;DATOS!$E12159&amp;"|"&amp;DATOS!$I12159)</f>
      </c>
      <c r="G12159">
        <f>IF(DATOS!$A12159="",0,IF(CONFIG_METADATA!$B$4&lt;&gt;"OR+EX",--(DATOS!$G12159=CONFIG_METADATA!$B$4),IF(DATOS!$G12159="EX",1,IF(DATOS!$G12159="OR",--(COUNTIFS(nNIA,DATOS!$A12159,nCURSO,DATOS!$D12159,nESPEC,DATOS!$E12159,nASIG,DATOS!$I12159,nEVAL,"EX")=0),0))))</f>
      </c>
      <c r="H12159">
        <f>IF(DATOS!$G12159&lt;&gt;"EX",0,--(COUNTIFS(nNIA,DATOS!$A12159,nCURSO,DATOS!$D12159,nESPEC,DATOS!$E12159,nASIG,DATOS!$I12159,nEVAL,"OR")=0))</f>
      </c>
      <c r="I12159">
        <f>IF(DATOS!$I12159="","",IFERROR(VLOOKUP(DATOS!$I12159,CONFIG_ASIGNATURAS!$B$2:$J$91,9,FALSE()),""))</f>
      </c>
    </row>
    <row r="12160">
      <c r="F12160">
        <f>IF(DATOS!$A12160="","",DATOS!$A12160&amp;"|"&amp;DATOS!$D12160&amp;"|"&amp;DATOS!$E12160&amp;"|"&amp;DATOS!$I12160)</f>
      </c>
      <c r="G12160">
        <f>IF(DATOS!$A12160="",0,IF(CONFIG_METADATA!$B$4&lt;&gt;"OR+EX",--(DATOS!$G12160=CONFIG_METADATA!$B$4),IF(DATOS!$G12160="EX",1,IF(DATOS!$G12160="OR",--(COUNTIFS(nNIA,DATOS!$A12160,nCURSO,DATOS!$D12160,nESPEC,DATOS!$E12160,nASIG,DATOS!$I12160,nEVAL,"EX")=0),0))))</f>
      </c>
      <c r="H12160">
        <f>IF(DATOS!$G12160&lt;&gt;"EX",0,--(COUNTIFS(nNIA,DATOS!$A12160,nCURSO,DATOS!$D12160,nESPEC,DATOS!$E12160,nASIG,DATOS!$I12160,nEVAL,"OR")=0))</f>
      </c>
      <c r="I12160">
        <f>IF(DATOS!$I12160="","",IFERROR(VLOOKUP(DATOS!$I12160,CONFIG_ASIGNATURAS!$B$2:$J$91,9,FALSE()),""))</f>
      </c>
    </row>
    <row r="12161">
      <c r="F12161">
        <f>IF(DATOS!$A12161="","",DATOS!$A12161&amp;"|"&amp;DATOS!$D12161&amp;"|"&amp;DATOS!$E12161&amp;"|"&amp;DATOS!$I12161)</f>
      </c>
      <c r="G12161">
        <f>IF(DATOS!$A12161="",0,IF(CONFIG_METADATA!$B$4&lt;&gt;"OR+EX",--(DATOS!$G12161=CONFIG_METADATA!$B$4),IF(DATOS!$G12161="EX",1,IF(DATOS!$G12161="OR",--(COUNTIFS(nNIA,DATOS!$A12161,nCURSO,DATOS!$D12161,nESPEC,DATOS!$E12161,nASIG,DATOS!$I12161,nEVAL,"EX")=0),0))))</f>
      </c>
      <c r="H12161">
        <f>IF(DATOS!$G12161&lt;&gt;"EX",0,--(COUNTIFS(nNIA,DATOS!$A12161,nCURSO,DATOS!$D12161,nESPEC,DATOS!$E12161,nASIG,DATOS!$I12161,nEVAL,"OR")=0))</f>
      </c>
      <c r="I12161">
        <f>IF(DATOS!$I12161="","",IFERROR(VLOOKUP(DATOS!$I12161,CONFIG_ASIGNATURAS!$B$2:$J$91,9,FALSE()),""))</f>
      </c>
    </row>
    <row r="12162">
      <c r="F12162">
        <f>IF(DATOS!$A12162="","",DATOS!$A12162&amp;"|"&amp;DATOS!$D12162&amp;"|"&amp;DATOS!$E12162&amp;"|"&amp;DATOS!$I12162)</f>
      </c>
      <c r="G12162">
        <f>IF(DATOS!$A12162="",0,IF(CONFIG_METADATA!$B$4&lt;&gt;"OR+EX",--(DATOS!$G12162=CONFIG_METADATA!$B$4),IF(DATOS!$G12162="EX",1,IF(DATOS!$G12162="OR",--(COUNTIFS(nNIA,DATOS!$A12162,nCURSO,DATOS!$D12162,nESPEC,DATOS!$E12162,nASIG,DATOS!$I12162,nEVAL,"EX")=0),0))))</f>
      </c>
      <c r="H12162">
        <f>IF(DATOS!$G12162&lt;&gt;"EX",0,--(COUNTIFS(nNIA,DATOS!$A12162,nCURSO,DATOS!$D12162,nESPEC,DATOS!$E12162,nASIG,DATOS!$I12162,nEVAL,"OR")=0))</f>
      </c>
      <c r="I12162">
        <f>IF(DATOS!$I12162="","",IFERROR(VLOOKUP(DATOS!$I12162,CONFIG_ASIGNATURAS!$B$2:$J$91,9,FALSE()),""))</f>
      </c>
    </row>
    <row r="12163">
      <c r="F12163">
        <f>IF(DATOS!$A12163="","",DATOS!$A12163&amp;"|"&amp;DATOS!$D12163&amp;"|"&amp;DATOS!$E12163&amp;"|"&amp;DATOS!$I12163)</f>
      </c>
      <c r="G12163">
        <f>IF(DATOS!$A12163="",0,IF(CONFIG_METADATA!$B$4&lt;&gt;"OR+EX",--(DATOS!$G12163=CONFIG_METADATA!$B$4),IF(DATOS!$G12163="EX",1,IF(DATOS!$G12163="OR",--(COUNTIFS(nNIA,DATOS!$A12163,nCURSO,DATOS!$D12163,nESPEC,DATOS!$E12163,nASIG,DATOS!$I12163,nEVAL,"EX")=0),0))))</f>
      </c>
      <c r="H12163">
        <f>IF(DATOS!$G12163&lt;&gt;"EX",0,--(COUNTIFS(nNIA,DATOS!$A12163,nCURSO,DATOS!$D12163,nESPEC,DATOS!$E12163,nASIG,DATOS!$I12163,nEVAL,"OR")=0))</f>
      </c>
      <c r="I12163">
        <f>IF(DATOS!$I12163="","",IFERROR(VLOOKUP(DATOS!$I12163,CONFIG_ASIGNATURAS!$B$2:$J$91,9,FALSE()),""))</f>
      </c>
    </row>
    <row r="12164">
      <c r="F12164">
        <f>IF(DATOS!$A12164="","",DATOS!$A12164&amp;"|"&amp;DATOS!$D12164&amp;"|"&amp;DATOS!$E12164&amp;"|"&amp;DATOS!$I12164)</f>
      </c>
      <c r="G12164">
        <f>IF(DATOS!$A12164="",0,IF(CONFIG_METADATA!$B$4&lt;&gt;"OR+EX",--(DATOS!$G12164=CONFIG_METADATA!$B$4),IF(DATOS!$G12164="EX",1,IF(DATOS!$G12164="OR",--(COUNTIFS(nNIA,DATOS!$A12164,nCURSO,DATOS!$D12164,nESPEC,DATOS!$E12164,nASIG,DATOS!$I12164,nEVAL,"EX")=0),0))))</f>
      </c>
      <c r="H12164">
        <f>IF(DATOS!$G12164&lt;&gt;"EX",0,--(COUNTIFS(nNIA,DATOS!$A12164,nCURSO,DATOS!$D12164,nESPEC,DATOS!$E12164,nASIG,DATOS!$I12164,nEVAL,"OR")=0))</f>
      </c>
      <c r="I12164">
        <f>IF(DATOS!$I12164="","",IFERROR(VLOOKUP(DATOS!$I12164,CONFIG_ASIGNATURAS!$B$2:$J$91,9,FALSE()),""))</f>
      </c>
    </row>
    <row r="12165">
      <c r="F12165">
        <f>IF(DATOS!$A12165="","",DATOS!$A12165&amp;"|"&amp;DATOS!$D12165&amp;"|"&amp;DATOS!$E12165&amp;"|"&amp;DATOS!$I12165)</f>
      </c>
      <c r="G12165">
        <f>IF(DATOS!$A12165="",0,IF(CONFIG_METADATA!$B$4&lt;&gt;"OR+EX",--(DATOS!$G12165=CONFIG_METADATA!$B$4),IF(DATOS!$G12165="EX",1,IF(DATOS!$G12165="OR",--(COUNTIFS(nNIA,DATOS!$A12165,nCURSO,DATOS!$D12165,nESPEC,DATOS!$E12165,nASIG,DATOS!$I12165,nEVAL,"EX")=0),0))))</f>
      </c>
      <c r="H12165">
        <f>IF(DATOS!$G12165&lt;&gt;"EX",0,--(COUNTIFS(nNIA,DATOS!$A12165,nCURSO,DATOS!$D12165,nESPEC,DATOS!$E12165,nASIG,DATOS!$I12165,nEVAL,"OR")=0))</f>
      </c>
      <c r="I12165">
        <f>IF(DATOS!$I12165="","",IFERROR(VLOOKUP(DATOS!$I12165,CONFIG_ASIGNATURAS!$B$2:$J$91,9,FALSE()),""))</f>
      </c>
    </row>
    <row r="12166">
      <c r="F12166">
        <f>IF(DATOS!$A12166="","",DATOS!$A12166&amp;"|"&amp;DATOS!$D12166&amp;"|"&amp;DATOS!$E12166&amp;"|"&amp;DATOS!$I12166)</f>
      </c>
      <c r="G12166">
        <f>IF(DATOS!$A12166="",0,IF(CONFIG_METADATA!$B$4&lt;&gt;"OR+EX",--(DATOS!$G12166=CONFIG_METADATA!$B$4),IF(DATOS!$G12166="EX",1,IF(DATOS!$G12166="OR",--(COUNTIFS(nNIA,DATOS!$A12166,nCURSO,DATOS!$D12166,nESPEC,DATOS!$E12166,nASIG,DATOS!$I12166,nEVAL,"EX")=0),0))))</f>
      </c>
      <c r="H12166">
        <f>IF(DATOS!$G12166&lt;&gt;"EX",0,--(COUNTIFS(nNIA,DATOS!$A12166,nCURSO,DATOS!$D12166,nESPEC,DATOS!$E12166,nASIG,DATOS!$I12166,nEVAL,"OR")=0))</f>
      </c>
      <c r="I12166">
        <f>IF(DATOS!$I12166="","",IFERROR(VLOOKUP(DATOS!$I12166,CONFIG_ASIGNATURAS!$B$2:$J$91,9,FALSE()),""))</f>
      </c>
    </row>
    <row r="12167">
      <c r="F12167">
        <f>IF(DATOS!$A12167="","",DATOS!$A12167&amp;"|"&amp;DATOS!$D12167&amp;"|"&amp;DATOS!$E12167&amp;"|"&amp;DATOS!$I12167)</f>
      </c>
      <c r="G12167">
        <f>IF(DATOS!$A12167="",0,IF(CONFIG_METADATA!$B$4&lt;&gt;"OR+EX",--(DATOS!$G12167=CONFIG_METADATA!$B$4),IF(DATOS!$G12167="EX",1,IF(DATOS!$G12167="OR",--(COUNTIFS(nNIA,DATOS!$A12167,nCURSO,DATOS!$D12167,nESPEC,DATOS!$E12167,nASIG,DATOS!$I12167,nEVAL,"EX")=0),0))))</f>
      </c>
      <c r="H12167">
        <f>IF(DATOS!$G12167&lt;&gt;"EX",0,--(COUNTIFS(nNIA,DATOS!$A12167,nCURSO,DATOS!$D12167,nESPEC,DATOS!$E12167,nASIG,DATOS!$I12167,nEVAL,"OR")=0))</f>
      </c>
      <c r="I12167">
        <f>IF(DATOS!$I12167="","",IFERROR(VLOOKUP(DATOS!$I12167,CONFIG_ASIGNATURAS!$B$2:$J$91,9,FALSE()),""))</f>
      </c>
    </row>
    <row r="12168">
      <c r="F12168">
        <f>IF(DATOS!$A12168="","",DATOS!$A12168&amp;"|"&amp;DATOS!$D12168&amp;"|"&amp;DATOS!$E12168&amp;"|"&amp;DATOS!$I12168)</f>
      </c>
      <c r="G12168">
        <f>IF(DATOS!$A12168="",0,IF(CONFIG_METADATA!$B$4&lt;&gt;"OR+EX",--(DATOS!$G12168=CONFIG_METADATA!$B$4),IF(DATOS!$G12168="EX",1,IF(DATOS!$G12168="OR",--(COUNTIFS(nNIA,DATOS!$A12168,nCURSO,DATOS!$D12168,nESPEC,DATOS!$E12168,nASIG,DATOS!$I12168,nEVAL,"EX")=0),0))))</f>
      </c>
      <c r="H12168">
        <f>IF(DATOS!$G12168&lt;&gt;"EX",0,--(COUNTIFS(nNIA,DATOS!$A12168,nCURSO,DATOS!$D12168,nESPEC,DATOS!$E12168,nASIG,DATOS!$I12168,nEVAL,"OR")=0))</f>
      </c>
      <c r="I12168">
        <f>IF(DATOS!$I12168="","",IFERROR(VLOOKUP(DATOS!$I12168,CONFIG_ASIGNATURAS!$B$2:$J$91,9,FALSE()),""))</f>
      </c>
    </row>
    <row r="12169">
      <c r="F12169">
        <f>IF(DATOS!$A12169="","",DATOS!$A12169&amp;"|"&amp;DATOS!$D12169&amp;"|"&amp;DATOS!$E12169&amp;"|"&amp;DATOS!$I12169)</f>
      </c>
      <c r="G12169">
        <f>IF(DATOS!$A12169="",0,IF(CONFIG_METADATA!$B$4&lt;&gt;"OR+EX",--(DATOS!$G12169=CONFIG_METADATA!$B$4),IF(DATOS!$G12169="EX",1,IF(DATOS!$G12169="OR",--(COUNTIFS(nNIA,DATOS!$A12169,nCURSO,DATOS!$D12169,nESPEC,DATOS!$E12169,nASIG,DATOS!$I12169,nEVAL,"EX")=0),0))))</f>
      </c>
      <c r="H12169">
        <f>IF(DATOS!$G12169&lt;&gt;"EX",0,--(COUNTIFS(nNIA,DATOS!$A12169,nCURSO,DATOS!$D12169,nESPEC,DATOS!$E12169,nASIG,DATOS!$I12169,nEVAL,"OR")=0))</f>
      </c>
      <c r="I12169">
        <f>IF(DATOS!$I12169="","",IFERROR(VLOOKUP(DATOS!$I12169,CONFIG_ASIGNATURAS!$B$2:$J$91,9,FALSE()),""))</f>
      </c>
    </row>
    <row r="12170">
      <c r="F12170">
        <f>IF(DATOS!$A12170="","",DATOS!$A12170&amp;"|"&amp;DATOS!$D12170&amp;"|"&amp;DATOS!$E12170&amp;"|"&amp;DATOS!$I12170)</f>
      </c>
      <c r="G12170">
        <f>IF(DATOS!$A12170="",0,IF(CONFIG_METADATA!$B$4&lt;&gt;"OR+EX",--(DATOS!$G12170=CONFIG_METADATA!$B$4),IF(DATOS!$G12170="EX",1,IF(DATOS!$G12170="OR",--(COUNTIFS(nNIA,DATOS!$A12170,nCURSO,DATOS!$D12170,nESPEC,DATOS!$E12170,nASIG,DATOS!$I12170,nEVAL,"EX")=0),0))))</f>
      </c>
      <c r="H12170">
        <f>IF(DATOS!$G12170&lt;&gt;"EX",0,--(COUNTIFS(nNIA,DATOS!$A12170,nCURSO,DATOS!$D12170,nESPEC,DATOS!$E12170,nASIG,DATOS!$I12170,nEVAL,"OR")=0))</f>
      </c>
      <c r="I12170">
        <f>IF(DATOS!$I12170="","",IFERROR(VLOOKUP(DATOS!$I12170,CONFIG_ASIGNATURAS!$B$2:$J$91,9,FALSE()),""))</f>
      </c>
    </row>
    <row r="12171">
      <c r="F12171">
        <f>IF(DATOS!$A12171="","",DATOS!$A12171&amp;"|"&amp;DATOS!$D12171&amp;"|"&amp;DATOS!$E12171&amp;"|"&amp;DATOS!$I12171)</f>
      </c>
      <c r="G12171">
        <f>IF(DATOS!$A12171="",0,IF(CONFIG_METADATA!$B$4&lt;&gt;"OR+EX",--(DATOS!$G12171=CONFIG_METADATA!$B$4),IF(DATOS!$G12171="EX",1,IF(DATOS!$G12171="OR",--(COUNTIFS(nNIA,DATOS!$A12171,nCURSO,DATOS!$D12171,nESPEC,DATOS!$E12171,nASIG,DATOS!$I12171,nEVAL,"EX")=0),0))))</f>
      </c>
      <c r="H12171">
        <f>IF(DATOS!$G12171&lt;&gt;"EX",0,--(COUNTIFS(nNIA,DATOS!$A12171,nCURSO,DATOS!$D12171,nESPEC,DATOS!$E12171,nASIG,DATOS!$I12171,nEVAL,"OR")=0))</f>
      </c>
      <c r="I12171">
        <f>IF(DATOS!$I12171="","",IFERROR(VLOOKUP(DATOS!$I12171,CONFIG_ASIGNATURAS!$B$2:$J$91,9,FALSE()),""))</f>
      </c>
    </row>
    <row r="12172">
      <c r="F12172">
        <f>IF(DATOS!$A12172="","",DATOS!$A12172&amp;"|"&amp;DATOS!$D12172&amp;"|"&amp;DATOS!$E12172&amp;"|"&amp;DATOS!$I12172)</f>
      </c>
      <c r="G12172">
        <f>IF(DATOS!$A12172="",0,IF(CONFIG_METADATA!$B$4&lt;&gt;"OR+EX",--(DATOS!$G12172=CONFIG_METADATA!$B$4),IF(DATOS!$G12172="EX",1,IF(DATOS!$G12172="OR",--(COUNTIFS(nNIA,DATOS!$A12172,nCURSO,DATOS!$D12172,nESPEC,DATOS!$E12172,nASIG,DATOS!$I12172,nEVAL,"EX")=0),0))))</f>
      </c>
      <c r="H12172">
        <f>IF(DATOS!$G12172&lt;&gt;"EX",0,--(COUNTIFS(nNIA,DATOS!$A12172,nCURSO,DATOS!$D12172,nESPEC,DATOS!$E12172,nASIG,DATOS!$I12172,nEVAL,"OR")=0))</f>
      </c>
      <c r="I12172">
        <f>IF(DATOS!$I12172="","",IFERROR(VLOOKUP(DATOS!$I12172,CONFIG_ASIGNATURAS!$B$2:$J$91,9,FALSE()),""))</f>
      </c>
    </row>
    <row r="12173">
      <c r="F12173">
        <f>IF(DATOS!$A12173="","",DATOS!$A12173&amp;"|"&amp;DATOS!$D12173&amp;"|"&amp;DATOS!$E12173&amp;"|"&amp;DATOS!$I12173)</f>
      </c>
      <c r="G12173">
        <f>IF(DATOS!$A12173="",0,IF(CONFIG_METADATA!$B$4&lt;&gt;"OR+EX",--(DATOS!$G12173=CONFIG_METADATA!$B$4),IF(DATOS!$G12173="EX",1,IF(DATOS!$G12173="OR",--(COUNTIFS(nNIA,DATOS!$A12173,nCURSO,DATOS!$D12173,nESPEC,DATOS!$E12173,nASIG,DATOS!$I12173,nEVAL,"EX")=0),0))))</f>
      </c>
      <c r="H12173">
        <f>IF(DATOS!$G12173&lt;&gt;"EX",0,--(COUNTIFS(nNIA,DATOS!$A12173,nCURSO,DATOS!$D12173,nESPEC,DATOS!$E12173,nASIG,DATOS!$I12173,nEVAL,"OR")=0))</f>
      </c>
      <c r="I12173">
        <f>IF(DATOS!$I12173="","",IFERROR(VLOOKUP(DATOS!$I12173,CONFIG_ASIGNATURAS!$B$2:$J$91,9,FALSE()),""))</f>
      </c>
    </row>
    <row r="12174">
      <c r="F12174">
        <f>IF(DATOS!$A12174="","",DATOS!$A12174&amp;"|"&amp;DATOS!$D12174&amp;"|"&amp;DATOS!$E12174&amp;"|"&amp;DATOS!$I12174)</f>
      </c>
      <c r="G12174">
        <f>IF(DATOS!$A12174="",0,IF(CONFIG_METADATA!$B$4&lt;&gt;"OR+EX",--(DATOS!$G12174=CONFIG_METADATA!$B$4),IF(DATOS!$G12174="EX",1,IF(DATOS!$G12174="OR",--(COUNTIFS(nNIA,DATOS!$A12174,nCURSO,DATOS!$D12174,nESPEC,DATOS!$E12174,nASIG,DATOS!$I12174,nEVAL,"EX")=0),0))))</f>
      </c>
      <c r="H12174">
        <f>IF(DATOS!$G12174&lt;&gt;"EX",0,--(COUNTIFS(nNIA,DATOS!$A12174,nCURSO,DATOS!$D12174,nESPEC,DATOS!$E12174,nASIG,DATOS!$I12174,nEVAL,"OR")=0))</f>
      </c>
      <c r="I12174">
        <f>IF(DATOS!$I12174="","",IFERROR(VLOOKUP(DATOS!$I12174,CONFIG_ASIGNATURAS!$B$2:$J$91,9,FALSE()),""))</f>
      </c>
    </row>
    <row r="12175">
      <c r="F12175">
        <f>IF(DATOS!$A12175="","",DATOS!$A12175&amp;"|"&amp;DATOS!$D12175&amp;"|"&amp;DATOS!$E12175&amp;"|"&amp;DATOS!$I12175)</f>
      </c>
      <c r="G12175">
        <f>IF(DATOS!$A12175="",0,IF(CONFIG_METADATA!$B$4&lt;&gt;"OR+EX",--(DATOS!$G12175=CONFIG_METADATA!$B$4),IF(DATOS!$G12175="EX",1,IF(DATOS!$G12175="OR",--(COUNTIFS(nNIA,DATOS!$A12175,nCURSO,DATOS!$D12175,nESPEC,DATOS!$E12175,nASIG,DATOS!$I12175,nEVAL,"EX")=0),0))))</f>
      </c>
      <c r="H12175">
        <f>IF(DATOS!$G12175&lt;&gt;"EX",0,--(COUNTIFS(nNIA,DATOS!$A12175,nCURSO,DATOS!$D12175,nESPEC,DATOS!$E12175,nASIG,DATOS!$I12175,nEVAL,"OR")=0))</f>
      </c>
      <c r="I12175">
        <f>IF(DATOS!$I12175="","",IFERROR(VLOOKUP(DATOS!$I12175,CONFIG_ASIGNATURAS!$B$2:$J$91,9,FALSE()),""))</f>
      </c>
    </row>
    <row r="12176">
      <c r="F12176">
        <f>IF(DATOS!$A12176="","",DATOS!$A12176&amp;"|"&amp;DATOS!$D12176&amp;"|"&amp;DATOS!$E12176&amp;"|"&amp;DATOS!$I12176)</f>
      </c>
      <c r="G12176">
        <f>IF(DATOS!$A12176="",0,IF(CONFIG_METADATA!$B$4&lt;&gt;"OR+EX",--(DATOS!$G12176=CONFIG_METADATA!$B$4),IF(DATOS!$G12176="EX",1,IF(DATOS!$G12176="OR",--(COUNTIFS(nNIA,DATOS!$A12176,nCURSO,DATOS!$D12176,nESPEC,DATOS!$E12176,nASIG,DATOS!$I12176,nEVAL,"EX")=0),0))))</f>
      </c>
      <c r="H12176">
        <f>IF(DATOS!$G12176&lt;&gt;"EX",0,--(COUNTIFS(nNIA,DATOS!$A12176,nCURSO,DATOS!$D12176,nESPEC,DATOS!$E12176,nASIG,DATOS!$I12176,nEVAL,"OR")=0))</f>
      </c>
      <c r="I12176">
        <f>IF(DATOS!$I12176="","",IFERROR(VLOOKUP(DATOS!$I12176,CONFIG_ASIGNATURAS!$B$2:$J$91,9,FALSE()),""))</f>
      </c>
    </row>
    <row r="12177">
      <c r="F12177">
        <f>IF(DATOS!$A12177="","",DATOS!$A12177&amp;"|"&amp;DATOS!$D12177&amp;"|"&amp;DATOS!$E12177&amp;"|"&amp;DATOS!$I12177)</f>
      </c>
      <c r="G12177">
        <f>IF(DATOS!$A12177="",0,IF(CONFIG_METADATA!$B$4&lt;&gt;"OR+EX",--(DATOS!$G12177=CONFIG_METADATA!$B$4),IF(DATOS!$G12177="EX",1,IF(DATOS!$G12177="OR",--(COUNTIFS(nNIA,DATOS!$A12177,nCURSO,DATOS!$D12177,nESPEC,DATOS!$E12177,nASIG,DATOS!$I12177,nEVAL,"EX")=0),0))))</f>
      </c>
      <c r="H12177">
        <f>IF(DATOS!$G12177&lt;&gt;"EX",0,--(COUNTIFS(nNIA,DATOS!$A12177,nCURSO,DATOS!$D12177,nESPEC,DATOS!$E12177,nASIG,DATOS!$I12177,nEVAL,"OR")=0))</f>
      </c>
      <c r="I12177">
        <f>IF(DATOS!$I12177="","",IFERROR(VLOOKUP(DATOS!$I12177,CONFIG_ASIGNATURAS!$B$2:$J$91,9,FALSE()),""))</f>
      </c>
    </row>
    <row r="12178">
      <c r="F12178">
        <f>IF(DATOS!$A12178="","",DATOS!$A12178&amp;"|"&amp;DATOS!$D12178&amp;"|"&amp;DATOS!$E12178&amp;"|"&amp;DATOS!$I12178)</f>
      </c>
      <c r="G12178">
        <f>IF(DATOS!$A12178="",0,IF(CONFIG_METADATA!$B$4&lt;&gt;"OR+EX",--(DATOS!$G12178=CONFIG_METADATA!$B$4),IF(DATOS!$G12178="EX",1,IF(DATOS!$G12178="OR",--(COUNTIFS(nNIA,DATOS!$A12178,nCURSO,DATOS!$D12178,nESPEC,DATOS!$E12178,nASIG,DATOS!$I12178,nEVAL,"EX")=0),0))))</f>
      </c>
      <c r="H12178">
        <f>IF(DATOS!$G12178&lt;&gt;"EX",0,--(COUNTIFS(nNIA,DATOS!$A12178,nCURSO,DATOS!$D12178,nESPEC,DATOS!$E12178,nASIG,DATOS!$I12178,nEVAL,"OR")=0))</f>
      </c>
      <c r="I12178">
        <f>IF(DATOS!$I12178="","",IFERROR(VLOOKUP(DATOS!$I12178,CONFIG_ASIGNATURAS!$B$2:$J$91,9,FALSE()),""))</f>
      </c>
    </row>
    <row r="12179">
      <c r="F12179">
        <f>IF(DATOS!$A12179="","",DATOS!$A12179&amp;"|"&amp;DATOS!$D12179&amp;"|"&amp;DATOS!$E12179&amp;"|"&amp;DATOS!$I12179)</f>
      </c>
      <c r="G12179">
        <f>IF(DATOS!$A12179="",0,IF(CONFIG_METADATA!$B$4&lt;&gt;"OR+EX",--(DATOS!$G12179=CONFIG_METADATA!$B$4),IF(DATOS!$G12179="EX",1,IF(DATOS!$G12179="OR",--(COUNTIFS(nNIA,DATOS!$A12179,nCURSO,DATOS!$D12179,nESPEC,DATOS!$E12179,nASIG,DATOS!$I12179,nEVAL,"EX")=0),0))))</f>
      </c>
      <c r="H12179">
        <f>IF(DATOS!$G12179&lt;&gt;"EX",0,--(COUNTIFS(nNIA,DATOS!$A12179,nCURSO,DATOS!$D12179,nESPEC,DATOS!$E12179,nASIG,DATOS!$I12179,nEVAL,"OR")=0))</f>
      </c>
      <c r="I12179">
        <f>IF(DATOS!$I12179="","",IFERROR(VLOOKUP(DATOS!$I12179,CONFIG_ASIGNATURAS!$B$2:$J$91,9,FALSE()),""))</f>
      </c>
    </row>
    <row r="12180">
      <c r="F12180">
        <f>IF(DATOS!$A12180="","",DATOS!$A12180&amp;"|"&amp;DATOS!$D12180&amp;"|"&amp;DATOS!$E12180&amp;"|"&amp;DATOS!$I12180)</f>
      </c>
      <c r="G12180">
        <f>IF(DATOS!$A12180="",0,IF(CONFIG_METADATA!$B$4&lt;&gt;"OR+EX",--(DATOS!$G12180=CONFIG_METADATA!$B$4),IF(DATOS!$G12180="EX",1,IF(DATOS!$G12180="OR",--(COUNTIFS(nNIA,DATOS!$A12180,nCURSO,DATOS!$D12180,nESPEC,DATOS!$E12180,nASIG,DATOS!$I12180,nEVAL,"EX")=0),0))))</f>
      </c>
      <c r="H12180">
        <f>IF(DATOS!$G12180&lt;&gt;"EX",0,--(COUNTIFS(nNIA,DATOS!$A12180,nCURSO,DATOS!$D12180,nESPEC,DATOS!$E12180,nASIG,DATOS!$I12180,nEVAL,"OR")=0))</f>
      </c>
      <c r="I12180">
        <f>IF(DATOS!$I12180="","",IFERROR(VLOOKUP(DATOS!$I12180,CONFIG_ASIGNATURAS!$B$2:$J$91,9,FALSE()),""))</f>
      </c>
    </row>
    <row r="12181">
      <c r="F12181">
        <f>IF(DATOS!$A12181="","",DATOS!$A12181&amp;"|"&amp;DATOS!$D12181&amp;"|"&amp;DATOS!$E12181&amp;"|"&amp;DATOS!$I12181)</f>
      </c>
      <c r="G12181">
        <f>IF(DATOS!$A12181="",0,IF(CONFIG_METADATA!$B$4&lt;&gt;"OR+EX",--(DATOS!$G12181=CONFIG_METADATA!$B$4),IF(DATOS!$G12181="EX",1,IF(DATOS!$G12181="OR",--(COUNTIFS(nNIA,DATOS!$A12181,nCURSO,DATOS!$D12181,nESPEC,DATOS!$E12181,nASIG,DATOS!$I12181,nEVAL,"EX")=0),0))))</f>
      </c>
      <c r="H12181">
        <f>IF(DATOS!$G12181&lt;&gt;"EX",0,--(COUNTIFS(nNIA,DATOS!$A12181,nCURSO,DATOS!$D12181,nESPEC,DATOS!$E12181,nASIG,DATOS!$I12181,nEVAL,"OR")=0))</f>
      </c>
      <c r="I12181">
        <f>IF(DATOS!$I12181="","",IFERROR(VLOOKUP(DATOS!$I12181,CONFIG_ASIGNATURAS!$B$2:$J$91,9,FALSE()),""))</f>
      </c>
    </row>
    <row r="12182">
      <c r="F12182">
        <f>IF(DATOS!$A12182="","",DATOS!$A12182&amp;"|"&amp;DATOS!$D12182&amp;"|"&amp;DATOS!$E12182&amp;"|"&amp;DATOS!$I12182)</f>
      </c>
      <c r="G12182">
        <f>IF(DATOS!$A12182="",0,IF(CONFIG_METADATA!$B$4&lt;&gt;"OR+EX",--(DATOS!$G12182=CONFIG_METADATA!$B$4),IF(DATOS!$G12182="EX",1,IF(DATOS!$G12182="OR",--(COUNTIFS(nNIA,DATOS!$A12182,nCURSO,DATOS!$D12182,nESPEC,DATOS!$E12182,nASIG,DATOS!$I12182,nEVAL,"EX")=0),0))))</f>
      </c>
      <c r="H12182">
        <f>IF(DATOS!$G12182&lt;&gt;"EX",0,--(COUNTIFS(nNIA,DATOS!$A12182,nCURSO,DATOS!$D12182,nESPEC,DATOS!$E12182,nASIG,DATOS!$I12182,nEVAL,"OR")=0))</f>
      </c>
      <c r="I12182">
        <f>IF(DATOS!$I12182="","",IFERROR(VLOOKUP(DATOS!$I12182,CONFIG_ASIGNATURAS!$B$2:$J$91,9,FALSE()),""))</f>
      </c>
    </row>
    <row r="12183">
      <c r="F12183">
        <f>IF(DATOS!$A12183="","",DATOS!$A12183&amp;"|"&amp;DATOS!$D12183&amp;"|"&amp;DATOS!$E12183&amp;"|"&amp;DATOS!$I12183)</f>
      </c>
      <c r="G12183">
        <f>IF(DATOS!$A12183="",0,IF(CONFIG_METADATA!$B$4&lt;&gt;"OR+EX",--(DATOS!$G12183=CONFIG_METADATA!$B$4),IF(DATOS!$G12183="EX",1,IF(DATOS!$G12183="OR",--(COUNTIFS(nNIA,DATOS!$A12183,nCURSO,DATOS!$D12183,nESPEC,DATOS!$E12183,nASIG,DATOS!$I12183,nEVAL,"EX")=0),0))))</f>
      </c>
      <c r="H12183">
        <f>IF(DATOS!$G12183&lt;&gt;"EX",0,--(COUNTIFS(nNIA,DATOS!$A12183,nCURSO,DATOS!$D12183,nESPEC,DATOS!$E12183,nASIG,DATOS!$I12183,nEVAL,"OR")=0))</f>
      </c>
      <c r="I12183">
        <f>IF(DATOS!$I12183="","",IFERROR(VLOOKUP(DATOS!$I12183,CONFIG_ASIGNATURAS!$B$2:$J$91,9,FALSE()),""))</f>
      </c>
    </row>
    <row r="12184">
      <c r="F12184">
        <f>IF(DATOS!$A12184="","",DATOS!$A12184&amp;"|"&amp;DATOS!$D12184&amp;"|"&amp;DATOS!$E12184&amp;"|"&amp;DATOS!$I12184)</f>
      </c>
      <c r="G12184">
        <f>IF(DATOS!$A12184="",0,IF(CONFIG_METADATA!$B$4&lt;&gt;"OR+EX",--(DATOS!$G12184=CONFIG_METADATA!$B$4),IF(DATOS!$G12184="EX",1,IF(DATOS!$G12184="OR",--(COUNTIFS(nNIA,DATOS!$A12184,nCURSO,DATOS!$D12184,nESPEC,DATOS!$E12184,nASIG,DATOS!$I12184,nEVAL,"EX")=0),0))))</f>
      </c>
      <c r="H12184">
        <f>IF(DATOS!$G12184&lt;&gt;"EX",0,--(COUNTIFS(nNIA,DATOS!$A12184,nCURSO,DATOS!$D12184,nESPEC,DATOS!$E12184,nASIG,DATOS!$I12184,nEVAL,"OR")=0))</f>
      </c>
      <c r="I12184">
        <f>IF(DATOS!$I12184="","",IFERROR(VLOOKUP(DATOS!$I12184,CONFIG_ASIGNATURAS!$B$2:$J$91,9,FALSE()),""))</f>
      </c>
    </row>
    <row r="12185">
      <c r="F12185">
        <f>IF(DATOS!$A12185="","",DATOS!$A12185&amp;"|"&amp;DATOS!$D12185&amp;"|"&amp;DATOS!$E12185&amp;"|"&amp;DATOS!$I12185)</f>
      </c>
      <c r="G12185">
        <f>IF(DATOS!$A12185="",0,IF(CONFIG_METADATA!$B$4&lt;&gt;"OR+EX",--(DATOS!$G12185=CONFIG_METADATA!$B$4),IF(DATOS!$G12185="EX",1,IF(DATOS!$G12185="OR",--(COUNTIFS(nNIA,DATOS!$A12185,nCURSO,DATOS!$D12185,nESPEC,DATOS!$E12185,nASIG,DATOS!$I12185,nEVAL,"EX")=0),0))))</f>
      </c>
      <c r="H12185">
        <f>IF(DATOS!$G12185&lt;&gt;"EX",0,--(COUNTIFS(nNIA,DATOS!$A12185,nCURSO,DATOS!$D12185,nESPEC,DATOS!$E12185,nASIG,DATOS!$I12185,nEVAL,"OR")=0))</f>
      </c>
      <c r="I12185">
        <f>IF(DATOS!$I12185="","",IFERROR(VLOOKUP(DATOS!$I12185,CONFIG_ASIGNATURAS!$B$2:$J$91,9,FALSE()),""))</f>
      </c>
    </row>
    <row r="12186">
      <c r="F12186">
        <f>IF(DATOS!$A12186="","",DATOS!$A12186&amp;"|"&amp;DATOS!$D12186&amp;"|"&amp;DATOS!$E12186&amp;"|"&amp;DATOS!$I12186)</f>
      </c>
      <c r="G12186">
        <f>IF(DATOS!$A12186="",0,IF(CONFIG_METADATA!$B$4&lt;&gt;"OR+EX",--(DATOS!$G12186=CONFIG_METADATA!$B$4),IF(DATOS!$G12186="EX",1,IF(DATOS!$G12186="OR",--(COUNTIFS(nNIA,DATOS!$A12186,nCURSO,DATOS!$D12186,nESPEC,DATOS!$E12186,nASIG,DATOS!$I12186,nEVAL,"EX")=0),0))))</f>
      </c>
      <c r="H12186">
        <f>IF(DATOS!$G12186&lt;&gt;"EX",0,--(COUNTIFS(nNIA,DATOS!$A12186,nCURSO,DATOS!$D12186,nESPEC,DATOS!$E12186,nASIG,DATOS!$I12186,nEVAL,"OR")=0))</f>
      </c>
      <c r="I12186">
        <f>IF(DATOS!$I12186="","",IFERROR(VLOOKUP(DATOS!$I12186,CONFIG_ASIGNATURAS!$B$2:$J$91,9,FALSE()),""))</f>
      </c>
    </row>
    <row r="12187">
      <c r="F12187">
        <f>IF(DATOS!$A12187="","",DATOS!$A12187&amp;"|"&amp;DATOS!$D12187&amp;"|"&amp;DATOS!$E12187&amp;"|"&amp;DATOS!$I12187)</f>
      </c>
      <c r="G12187">
        <f>IF(DATOS!$A12187="",0,IF(CONFIG_METADATA!$B$4&lt;&gt;"OR+EX",--(DATOS!$G12187=CONFIG_METADATA!$B$4),IF(DATOS!$G12187="EX",1,IF(DATOS!$G12187="OR",--(COUNTIFS(nNIA,DATOS!$A12187,nCURSO,DATOS!$D12187,nESPEC,DATOS!$E12187,nASIG,DATOS!$I12187,nEVAL,"EX")=0),0))))</f>
      </c>
      <c r="H12187">
        <f>IF(DATOS!$G12187&lt;&gt;"EX",0,--(COUNTIFS(nNIA,DATOS!$A12187,nCURSO,DATOS!$D12187,nESPEC,DATOS!$E12187,nASIG,DATOS!$I12187,nEVAL,"OR")=0))</f>
      </c>
      <c r="I12187">
        <f>IF(DATOS!$I12187="","",IFERROR(VLOOKUP(DATOS!$I12187,CONFIG_ASIGNATURAS!$B$2:$J$91,9,FALSE()),""))</f>
      </c>
    </row>
    <row r="12188">
      <c r="F12188">
        <f>IF(DATOS!$A12188="","",DATOS!$A12188&amp;"|"&amp;DATOS!$D12188&amp;"|"&amp;DATOS!$E12188&amp;"|"&amp;DATOS!$I12188)</f>
      </c>
      <c r="G12188">
        <f>IF(DATOS!$A12188="",0,IF(CONFIG_METADATA!$B$4&lt;&gt;"OR+EX",--(DATOS!$G12188=CONFIG_METADATA!$B$4),IF(DATOS!$G12188="EX",1,IF(DATOS!$G12188="OR",--(COUNTIFS(nNIA,DATOS!$A12188,nCURSO,DATOS!$D12188,nESPEC,DATOS!$E12188,nASIG,DATOS!$I12188,nEVAL,"EX")=0),0))))</f>
      </c>
      <c r="H12188">
        <f>IF(DATOS!$G12188&lt;&gt;"EX",0,--(COUNTIFS(nNIA,DATOS!$A12188,nCURSO,DATOS!$D12188,nESPEC,DATOS!$E12188,nASIG,DATOS!$I12188,nEVAL,"OR")=0))</f>
      </c>
      <c r="I12188">
        <f>IF(DATOS!$I12188="","",IFERROR(VLOOKUP(DATOS!$I12188,CONFIG_ASIGNATURAS!$B$2:$J$91,9,FALSE()),""))</f>
      </c>
    </row>
    <row r="12189">
      <c r="F12189">
        <f>IF(DATOS!$A12189="","",DATOS!$A12189&amp;"|"&amp;DATOS!$D12189&amp;"|"&amp;DATOS!$E12189&amp;"|"&amp;DATOS!$I12189)</f>
      </c>
      <c r="G12189">
        <f>IF(DATOS!$A12189="",0,IF(CONFIG_METADATA!$B$4&lt;&gt;"OR+EX",--(DATOS!$G12189=CONFIG_METADATA!$B$4),IF(DATOS!$G12189="EX",1,IF(DATOS!$G12189="OR",--(COUNTIFS(nNIA,DATOS!$A12189,nCURSO,DATOS!$D12189,nESPEC,DATOS!$E12189,nASIG,DATOS!$I12189,nEVAL,"EX")=0),0))))</f>
      </c>
      <c r="H12189">
        <f>IF(DATOS!$G12189&lt;&gt;"EX",0,--(COUNTIFS(nNIA,DATOS!$A12189,nCURSO,DATOS!$D12189,nESPEC,DATOS!$E12189,nASIG,DATOS!$I12189,nEVAL,"OR")=0))</f>
      </c>
      <c r="I12189">
        <f>IF(DATOS!$I12189="","",IFERROR(VLOOKUP(DATOS!$I12189,CONFIG_ASIGNATURAS!$B$2:$J$91,9,FALSE()),""))</f>
      </c>
    </row>
    <row r="12190">
      <c r="F12190">
        <f>IF(DATOS!$A12190="","",DATOS!$A12190&amp;"|"&amp;DATOS!$D12190&amp;"|"&amp;DATOS!$E12190&amp;"|"&amp;DATOS!$I12190)</f>
      </c>
      <c r="G12190">
        <f>IF(DATOS!$A12190="",0,IF(CONFIG_METADATA!$B$4&lt;&gt;"OR+EX",--(DATOS!$G12190=CONFIG_METADATA!$B$4),IF(DATOS!$G12190="EX",1,IF(DATOS!$G12190="OR",--(COUNTIFS(nNIA,DATOS!$A12190,nCURSO,DATOS!$D12190,nESPEC,DATOS!$E12190,nASIG,DATOS!$I12190,nEVAL,"EX")=0),0))))</f>
      </c>
      <c r="H12190">
        <f>IF(DATOS!$G12190&lt;&gt;"EX",0,--(COUNTIFS(nNIA,DATOS!$A12190,nCURSO,DATOS!$D12190,nESPEC,DATOS!$E12190,nASIG,DATOS!$I12190,nEVAL,"OR")=0))</f>
      </c>
      <c r="I12190">
        <f>IF(DATOS!$I12190="","",IFERROR(VLOOKUP(DATOS!$I12190,CONFIG_ASIGNATURAS!$B$2:$J$91,9,FALSE()),""))</f>
      </c>
    </row>
    <row r="12191">
      <c r="F12191">
        <f>IF(DATOS!$A12191="","",DATOS!$A12191&amp;"|"&amp;DATOS!$D12191&amp;"|"&amp;DATOS!$E12191&amp;"|"&amp;DATOS!$I12191)</f>
      </c>
      <c r="G12191">
        <f>IF(DATOS!$A12191="",0,IF(CONFIG_METADATA!$B$4&lt;&gt;"OR+EX",--(DATOS!$G12191=CONFIG_METADATA!$B$4),IF(DATOS!$G12191="EX",1,IF(DATOS!$G12191="OR",--(COUNTIFS(nNIA,DATOS!$A12191,nCURSO,DATOS!$D12191,nESPEC,DATOS!$E12191,nASIG,DATOS!$I12191,nEVAL,"EX")=0),0))))</f>
      </c>
      <c r="H12191">
        <f>IF(DATOS!$G12191&lt;&gt;"EX",0,--(COUNTIFS(nNIA,DATOS!$A12191,nCURSO,DATOS!$D12191,nESPEC,DATOS!$E12191,nASIG,DATOS!$I12191,nEVAL,"OR")=0))</f>
      </c>
      <c r="I12191">
        <f>IF(DATOS!$I12191="","",IFERROR(VLOOKUP(DATOS!$I12191,CONFIG_ASIGNATURAS!$B$2:$J$91,9,FALSE()),""))</f>
      </c>
    </row>
    <row r="12192">
      <c r="F12192">
        <f>IF(DATOS!$A12192="","",DATOS!$A12192&amp;"|"&amp;DATOS!$D12192&amp;"|"&amp;DATOS!$E12192&amp;"|"&amp;DATOS!$I12192)</f>
      </c>
      <c r="G12192">
        <f>IF(DATOS!$A12192="",0,IF(CONFIG_METADATA!$B$4&lt;&gt;"OR+EX",--(DATOS!$G12192=CONFIG_METADATA!$B$4),IF(DATOS!$G12192="EX",1,IF(DATOS!$G12192="OR",--(COUNTIFS(nNIA,DATOS!$A12192,nCURSO,DATOS!$D12192,nESPEC,DATOS!$E12192,nASIG,DATOS!$I12192,nEVAL,"EX")=0),0))))</f>
      </c>
      <c r="H12192">
        <f>IF(DATOS!$G12192&lt;&gt;"EX",0,--(COUNTIFS(nNIA,DATOS!$A12192,nCURSO,DATOS!$D12192,nESPEC,DATOS!$E12192,nASIG,DATOS!$I12192,nEVAL,"OR")=0))</f>
      </c>
      <c r="I12192">
        <f>IF(DATOS!$I12192="","",IFERROR(VLOOKUP(DATOS!$I12192,CONFIG_ASIGNATURAS!$B$2:$J$91,9,FALSE()),""))</f>
      </c>
    </row>
    <row r="12193">
      <c r="F12193">
        <f>IF(DATOS!$A12193="","",DATOS!$A12193&amp;"|"&amp;DATOS!$D12193&amp;"|"&amp;DATOS!$E12193&amp;"|"&amp;DATOS!$I12193)</f>
      </c>
      <c r="G12193">
        <f>IF(DATOS!$A12193="",0,IF(CONFIG_METADATA!$B$4&lt;&gt;"OR+EX",--(DATOS!$G12193=CONFIG_METADATA!$B$4),IF(DATOS!$G12193="EX",1,IF(DATOS!$G12193="OR",--(COUNTIFS(nNIA,DATOS!$A12193,nCURSO,DATOS!$D12193,nESPEC,DATOS!$E12193,nASIG,DATOS!$I12193,nEVAL,"EX")=0),0))))</f>
      </c>
      <c r="H12193">
        <f>IF(DATOS!$G12193&lt;&gt;"EX",0,--(COUNTIFS(nNIA,DATOS!$A12193,nCURSO,DATOS!$D12193,nESPEC,DATOS!$E12193,nASIG,DATOS!$I12193,nEVAL,"OR")=0))</f>
      </c>
      <c r="I12193">
        <f>IF(DATOS!$I12193="","",IFERROR(VLOOKUP(DATOS!$I12193,CONFIG_ASIGNATURAS!$B$2:$J$91,9,FALSE()),""))</f>
      </c>
    </row>
    <row r="12194">
      <c r="F12194">
        <f>IF(DATOS!$A12194="","",DATOS!$A12194&amp;"|"&amp;DATOS!$D12194&amp;"|"&amp;DATOS!$E12194&amp;"|"&amp;DATOS!$I12194)</f>
      </c>
      <c r="G12194">
        <f>IF(DATOS!$A12194="",0,IF(CONFIG_METADATA!$B$4&lt;&gt;"OR+EX",--(DATOS!$G12194=CONFIG_METADATA!$B$4),IF(DATOS!$G12194="EX",1,IF(DATOS!$G12194="OR",--(COUNTIFS(nNIA,DATOS!$A12194,nCURSO,DATOS!$D12194,nESPEC,DATOS!$E12194,nASIG,DATOS!$I12194,nEVAL,"EX")=0),0))))</f>
      </c>
      <c r="H12194">
        <f>IF(DATOS!$G12194&lt;&gt;"EX",0,--(COUNTIFS(nNIA,DATOS!$A12194,nCURSO,DATOS!$D12194,nESPEC,DATOS!$E12194,nASIG,DATOS!$I12194,nEVAL,"OR")=0))</f>
      </c>
      <c r="I12194">
        <f>IF(DATOS!$I12194="","",IFERROR(VLOOKUP(DATOS!$I12194,CONFIG_ASIGNATURAS!$B$2:$J$91,9,FALSE()),""))</f>
      </c>
    </row>
    <row r="12195">
      <c r="F12195">
        <f>IF(DATOS!$A12195="","",DATOS!$A12195&amp;"|"&amp;DATOS!$D12195&amp;"|"&amp;DATOS!$E12195&amp;"|"&amp;DATOS!$I12195)</f>
      </c>
      <c r="G12195">
        <f>IF(DATOS!$A12195="",0,IF(CONFIG_METADATA!$B$4&lt;&gt;"OR+EX",--(DATOS!$G12195=CONFIG_METADATA!$B$4),IF(DATOS!$G12195="EX",1,IF(DATOS!$G12195="OR",--(COUNTIFS(nNIA,DATOS!$A12195,nCURSO,DATOS!$D12195,nESPEC,DATOS!$E12195,nASIG,DATOS!$I12195,nEVAL,"EX")=0),0))))</f>
      </c>
      <c r="H12195">
        <f>IF(DATOS!$G12195&lt;&gt;"EX",0,--(COUNTIFS(nNIA,DATOS!$A12195,nCURSO,DATOS!$D12195,nESPEC,DATOS!$E12195,nASIG,DATOS!$I12195,nEVAL,"OR")=0))</f>
      </c>
      <c r="I12195">
        <f>IF(DATOS!$I12195="","",IFERROR(VLOOKUP(DATOS!$I12195,CONFIG_ASIGNATURAS!$B$2:$J$91,9,FALSE()),""))</f>
      </c>
    </row>
    <row r="12196">
      <c r="F12196">
        <f>IF(DATOS!$A12196="","",DATOS!$A12196&amp;"|"&amp;DATOS!$D12196&amp;"|"&amp;DATOS!$E12196&amp;"|"&amp;DATOS!$I12196)</f>
      </c>
      <c r="G12196">
        <f>IF(DATOS!$A12196="",0,IF(CONFIG_METADATA!$B$4&lt;&gt;"OR+EX",--(DATOS!$G12196=CONFIG_METADATA!$B$4),IF(DATOS!$G12196="EX",1,IF(DATOS!$G12196="OR",--(COUNTIFS(nNIA,DATOS!$A12196,nCURSO,DATOS!$D12196,nESPEC,DATOS!$E12196,nASIG,DATOS!$I12196,nEVAL,"EX")=0),0))))</f>
      </c>
      <c r="H12196">
        <f>IF(DATOS!$G12196&lt;&gt;"EX",0,--(COUNTIFS(nNIA,DATOS!$A12196,nCURSO,DATOS!$D12196,nESPEC,DATOS!$E12196,nASIG,DATOS!$I12196,nEVAL,"OR")=0))</f>
      </c>
      <c r="I12196">
        <f>IF(DATOS!$I12196="","",IFERROR(VLOOKUP(DATOS!$I12196,CONFIG_ASIGNATURAS!$B$2:$J$91,9,FALSE()),""))</f>
      </c>
    </row>
    <row r="12197">
      <c r="F12197">
        <f>IF(DATOS!$A12197="","",DATOS!$A12197&amp;"|"&amp;DATOS!$D12197&amp;"|"&amp;DATOS!$E12197&amp;"|"&amp;DATOS!$I12197)</f>
      </c>
      <c r="G12197">
        <f>IF(DATOS!$A12197="",0,IF(CONFIG_METADATA!$B$4&lt;&gt;"OR+EX",--(DATOS!$G12197=CONFIG_METADATA!$B$4),IF(DATOS!$G12197="EX",1,IF(DATOS!$G12197="OR",--(COUNTIFS(nNIA,DATOS!$A12197,nCURSO,DATOS!$D12197,nESPEC,DATOS!$E12197,nASIG,DATOS!$I12197,nEVAL,"EX")=0),0))))</f>
      </c>
      <c r="H12197">
        <f>IF(DATOS!$G12197&lt;&gt;"EX",0,--(COUNTIFS(nNIA,DATOS!$A12197,nCURSO,DATOS!$D12197,nESPEC,DATOS!$E12197,nASIG,DATOS!$I12197,nEVAL,"OR")=0))</f>
      </c>
      <c r="I12197">
        <f>IF(DATOS!$I12197="","",IFERROR(VLOOKUP(DATOS!$I12197,CONFIG_ASIGNATURAS!$B$2:$J$91,9,FALSE()),""))</f>
      </c>
    </row>
    <row r="12198">
      <c r="F12198">
        <f>IF(DATOS!$A12198="","",DATOS!$A12198&amp;"|"&amp;DATOS!$D12198&amp;"|"&amp;DATOS!$E12198&amp;"|"&amp;DATOS!$I12198)</f>
      </c>
      <c r="G12198">
        <f>IF(DATOS!$A12198="",0,IF(CONFIG_METADATA!$B$4&lt;&gt;"OR+EX",--(DATOS!$G12198=CONFIG_METADATA!$B$4),IF(DATOS!$G12198="EX",1,IF(DATOS!$G12198="OR",--(COUNTIFS(nNIA,DATOS!$A12198,nCURSO,DATOS!$D12198,nESPEC,DATOS!$E12198,nASIG,DATOS!$I12198,nEVAL,"EX")=0),0))))</f>
      </c>
      <c r="H12198">
        <f>IF(DATOS!$G12198&lt;&gt;"EX",0,--(COUNTIFS(nNIA,DATOS!$A12198,nCURSO,DATOS!$D12198,nESPEC,DATOS!$E12198,nASIG,DATOS!$I12198,nEVAL,"OR")=0))</f>
      </c>
      <c r="I12198">
        <f>IF(DATOS!$I12198="","",IFERROR(VLOOKUP(DATOS!$I12198,CONFIG_ASIGNATURAS!$B$2:$J$91,9,FALSE()),""))</f>
      </c>
    </row>
    <row r="12199">
      <c r="F12199">
        <f>IF(DATOS!$A12199="","",DATOS!$A12199&amp;"|"&amp;DATOS!$D12199&amp;"|"&amp;DATOS!$E12199&amp;"|"&amp;DATOS!$I12199)</f>
      </c>
      <c r="G12199">
        <f>IF(DATOS!$A12199="",0,IF(CONFIG_METADATA!$B$4&lt;&gt;"OR+EX",--(DATOS!$G12199=CONFIG_METADATA!$B$4),IF(DATOS!$G12199="EX",1,IF(DATOS!$G12199="OR",--(COUNTIFS(nNIA,DATOS!$A12199,nCURSO,DATOS!$D12199,nESPEC,DATOS!$E12199,nASIG,DATOS!$I12199,nEVAL,"EX")=0),0))))</f>
      </c>
      <c r="H12199">
        <f>IF(DATOS!$G12199&lt;&gt;"EX",0,--(COUNTIFS(nNIA,DATOS!$A12199,nCURSO,DATOS!$D12199,nESPEC,DATOS!$E12199,nASIG,DATOS!$I12199,nEVAL,"OR")=0))</f>
      </c>
      <c r="I12199">
        <f>IF(DATOS!$I12199="","",IFERROR(VLOOKUP(DATOS!$I12199,CONFIG_ASIGNATURAS!$B$2:$J$91,9,FALSE()),""))</f>
      </c>
    </row>
    <row r="12200">
      <c r="F12200">
        <f>IF(DATOS!$A12200="","",DATOS!$A12200&amp;"|"&amp;DATOS!$D12200&amp;"|"&amp;DATOS!$E12200&amp;"|"&amp;DATOS!$I12200)</f>
      </c>
      <c r="G12200">
        <f>IF(DATOS!$A12200="",0,IF(CONFIG_METADATA!$B$4&lt;&gt;"OR+EX",--(DATOS!$G12200=CONFIG_METADATA!$B$4),IF(DATOS!$G12200="EX",1,IF(DATOS!$G12200="OR",--(COUNTIFS(nNIA,DATOS!$A12200,nCURSO,DATOS!$D12200,nESPEC,DATOS!$E12200,nASIG,DATOS!$I12200,nEVAL,"EX")=0),0))))</f>
      </c>
      <c r="H12200">
        <f>IF(DATOS!$G12200&lt;&gt;"EX",0,--(COUNTIFS(nNIA,DATOS!$A12200,nCURSO,DATOS!$D12200,nESPEC,DATOS!$E12200,nASIG,DATOS!$I12200,nEVAL,"OR")=0))</f>
      </c>
      <c r="I12200">
        <f>IF(DATOS!$I12200="","",IFERROR(VLOOKUP(DATOS!$I12200,CONFIG_ASIGNATURAS!$B$2:$J$91,9,FALSE()),""))</f>
      </c>
    </row>
    <row r="12201">
      <c r="F12201">
        <f>IF(DATOS!$A12201="","",DATOS!$A12201&amp;"|"&amp;DATOS!$D12201&amp;"|"&amp;DATOS!$E12201&amp;"|"&amp;DATOS!$I12201)</f>
      </c>
      <c r="G12201">
        <f>IF(DATOS!$A12201="",0,IF(CONFIG_METADATA!$B$4&lt;&gt;"OR+EX",--(DATOS!$G12201=CONFIG_METADATA!$B$4),IF(DATOS!$G12201="EX",1,IF(DATOS!$G12201="OR",--(COUNTIFS(nNIA,DATOS!$A12201,nCURSO,DATOS!$D12201,nESPEC,DATOS!$E12201,nASIG,DATOS!$I12201,nEVAL,"EX")=0),0))))</f>
      </c>
      <c r="H12201">
        <f>IF(DATOS!$G12201&lt;&gt;"EX",0,--(COUNTIFS(nNIA,DATOS!$A12201,nCURSO,DATOS!$D12201,nESPEC,DATOS!$E12201,nASIG,DATOS!$I12201,nEVAL,"OR")=0))</f>
      </c>
      <c r="I12201">
        <f>IF(DATOS!$I12201="","",IFERROR(VLOOKUP(DATOS!$I12201,CONFIG_ASIGNATURAS!$B$2:$J$91,9,FALSE()),""))</f>
      </c>
    </row>
    <row r="12202">
      <c r="F12202">
        <f>IF(DATOS!$A12202="","",DATOS!$A12202&amp;"|"&amp;DATOS!$D12202&amp;"|"&amp;DATOS!$E12202&amp;"|"&amp;DATOS!$I12202)</f>
      </c>
      <c r="G12202">
        <f>IF(DATOS!$A12202="",0,IF(CONFIG_METADATA!$B$4&lt;&gt;"OR+EX",--(DATOS!$G12202=CONFIG_METADATA!$B$4),IF(DATOS!$G12202="EX",1,IF(DATOS!$G12202="OR",--(COUNTIFS(nNIA,DATOS!$A12202,nCURSO,DATOS!$D12202,nESPEC,DATOS!$E12202,nASIG,DATOS!$I12202,nEVAL,"EX")=0),0))))</f>
      </c>
      <c r="H12202">
        <f>IF(DATOS!$G12202&lt;&gt;"EX",0,--(COUNTIFS(nNIA,DATOS!$A12202,nCURSO,DATOS!$D12202,nESPEC,DATOS!$E12202,nASIG,DATOS!$I12202,nEVAL,"OR")=0))</f>
      </c>
      <c r="I12202">
        <f>IF(DATOS!$I12202="","",IFERROR(VLOOKUP(DATOS!$I12202,CONFIG_ASIGNATURAS!$B$2:$J$91,9,FALSE()),""))</f>
      </c>
    </row>
    <row r="12203">
      <c r="F12203">
        <f>IF(DATOS!$A12203="","",DATOS!$A12203&amp;"|"&amp;DATOS!$D12203&amp;"|"&amp;DATOS!$E12203&amp;"|"&amp;DATOS!$I12203)</f>
      </c>
      <c r="G12203">
        <f>IF(DATOS!$A12203="",0,IF(CONFIG_METADATA!$B$4&lt;&gt;"OR+EX",--(DATOS!$G12203=CONFIG_METADATA!$B$4),IF(DATOS!$G12203="EX",1,IF(DATOS!$G12203="OR",--(COUNTIFS(nNIA,DATOS!$A12203,nCURSO,DATOS!$D12203,nESPEC,DATOS!$E12203,nASIG,DATOS!$I12203,nEVAL,"EX")=0),0))))</f>
      </c>
      <c r="H12203">
        <f>IF(DATOS!$G12203&lt;&gt;"EX",0,--(COUNTIFS(nNIA,DATOS!$A12203,nCURSO,DATOS!$D12203,nESPEC,DATOS!$E12203,nASIG,DATOS!$I12203,nEVAL,"OR")=0))</f>
      </c>
      <c r="I12203">
        <f>IF(DATOS!$I12203="","",IFERROR(VLOOKUP(DATOS!$I12203,CONFIG_ASIGNATURAS!$B$2:$J$91,9,FALSE()),""))</f>
      </c>
    </row>
    <row r="12204">
      <c r="F12204">
        <f>IF(DATOS!$A12204="","",DATOS!$A12204&amp;"|"&amp;DATOS!$D12204&amp;"|"&amp;DATOS!$E12204&amp;"|"&amp;DATOS!$I12204)</f>
      </c>
      <c r="G12204">
        <f>IF(DATOS!$A12204="",0,IF(CONFIG_METADATA!$B$4&lt;&gt;"OR+EX",--(DATOS!$G12204=CONFIG_METADATA!$B$4),IF(DATOS!$G12204="EX",1,IF(DATOS!$G12204="OR",--(COUNTIFS(nNIA,DATOS!$A12204,nCURSO,DATOS!$D12204,nESPEC,DATOS!$E12204,nASIG,DATOS!$I12204,nEVAL,"EX")=0),0))))</f>
      </c>
      <c r="H12204">
        <f>IF(DATOS!$G12204&lt;&gt;"EX",0,--(COUNTIFS(nNIA,DATOS!$A12204,nCURSO,DATOS!$D12204,nESPEC,DATOS!$E12204,nASIG,DATOS!$I12204,nEVAL,"OR")=0))</f>
      </c>
      <c r="I12204">
        <f>IF(DATOS!$I12204="","",IFERROR(VLOOKUP(DATOS!$I12204,CONFIG_ASIGNATURAS!$B$2:$J$91,9,FALSE()),""))</f>
      </c>
    </row>
    <row r="12205">
      <c r="F12205">
        <f>IF(DATOS!$A12205="","",DATOS!$A12205&amp;"|"&amp;DATOS!$D12205&amp;"|"&amp;DATOS!$E12205&amp;"|"&amp;DATOS!$I12205)</f>
      </c>
      <c r="G12205">
        <f>IF(DATOS!$A12205="",0,IF(CONFIG_METADATA!$B$4&lt;&gt;"OR+EX",--(DATOS!$G12205=CONFIG_METADATA!$B$4),IF(DATOS!$G12205="EX",1,IF(DATOS!$G12205="OR",--(COUNTIFS(nNIA,DATOS!$A12205,nCURSO,DATOS!$D12205,nESPEC,DATOS!$E12205,nASIG,DATOS!$I12205,nEVAL,"EX")=0),0))))</f>
      </c>
      <c r="H12205">
        <f>IF(DATOS!$G12205&lt;&gt;"EX",0,--(COUNTIFS(nNIA,DATOS!$A12205,nCURSO,DATOS!$D12205,nESPEC,DATOS!$E12205,nASIG,DATOS!$I12205,nEVAL,"OR")=0))</f>
      </c>
      <c r="I12205">
        <f>IF(DATOS!$I12205="","",IFERROR(VLOOKUP(DATOS!$I12205,CONFIG_ASIGNATURAS!$B$2:$J$91,9,FALSE()),""))</f>
      </c>
    </row>
    <row r="12206">
      <c r="F12206">
        <f>IF(DATOS!$A12206="","",DATOS!$A12206&amp;"|"&amp;DATOS!$D12206&amp;"|"&amp;DATOS!$E12206&amp;"|"&amp;DATOS!$I12206)</f>
      </c>
      <c r="G12206">
        <f>IF(DATOS!$A12206="",0,IF(CONFIG_METADATA!$B$4&lt;&gt;"OR+EX",--(DATOS!$G12206=CONFIG_METADATA!$B$4),IF(DATOS!$G12206="EX",1,IF(DATOS!$G12206="OR",--(COUNTIFS(nNIA,DATOS!$A12206,nCURSO,DATOS!$D12206,nESPEC,DATOS!$E12206,nASIG,DATOS!$I12206,nEVAL,"EX")=0),0))))</f>
      </c>
      <c r="H12206">
        <f>IF(DATOS!$G12206&lt;&gt;"EX",0,--(COUNTIFS(nNIA,DATOS!$A12206,nCURSO,DATOS!$D12206,nESPEC,DATOS!$E12206,nASIG,DATOS!$I12206,nEVAL,"OR")=0))</f>
      </c>
      <c r="I12206">
        <f>IF(DATOS!$I12206="","",IFERROR(VLOOKUP(DATOS!$I12206,CONFIG_ASIGNATURAS!$B$2:$J$91,9,FALSE()),""))</f>
      </c>
    </row>
    <row r="12207">
      <c r="F12207">
        <f>IF(DATOS!$A12207="","",DATOS!$A12207&amp;"|"&amp;DATOS!$D12207&amp;"|"&amp;DATOS!$E12207&amp;"|"&amp;DATOS!$I12207)</f>
      </c>
      <c r="G12207">
        <f>IF(DATOS!$A12207="",0,IF(CONFIG_METADATA!$B$4&lt;&gt;"OR+EX",--(DATOS!$G12207=CONFIG_METADATA!$B$4),IF(DATOS!$G12207="EX",1,IF(DATOS!$G12207="OR",--(COUNTIFS(nNIA,DATOS!$A12207,nCURSO,DATOS!$D12207,nESPEC,DATOS!$E12207,nASIG,DATOS!$I12207,nEVAL,"EX")=0),0))))</f>
      </c>
      <c r="H12207">
        <f>IF(DATOS!$G12207&lt;&gt;"EX",0,--(COUNTIFS(nNIA,DATOS!$A12207,nCURSO,DATOS!$D12207,nESPEC,DATOS!$E12207,nASIG,DATOS!$I12207,nEVAL,"OR")=0))</f>
      </c>
      <c r="I12207">
        <f>IF(DATOS!$I12207="","",IFERROR(VLOOKUP(DATOS!$I12207,CONFIG_ASIGNATURAS!$B$2:$J$91,9,FALSE()),""))</f>
      </c>
    </row>
    <row r="12208">
      <c r="F12208">
        <f>IF(DATOS!$A12208="","",DATOS!$A12208&amp;"|"&amp;DATOS!$D12208&amp;"|"&amp;DATOS!$E12208&amp;"|"&amp;DATOS!$I12208)</f>
      </c>
      <c r="G12208">
        <f>IF(DATOS!$A12208="",0,IF(CONFIG_METADATA!$B$4&lt;&gt;"OR+EX",--(DATOS!$G12208=CONFIG_METADATA!$B$4),IF(DATOS!$G12208="EX",1,IF(DATOS!$G12208="OR",--(COUNTIFS(nNIA,DATOS!$A12208,nCURSO,DATOS!$D12208,nESPEC,DATOS!$E12208,nASIG,DATOS!$I12208,nEVAL,"EX")=0),0))))</f>
      </c>
      <c r="H12208">
        <f>IF(DATOS!$G12208&lt;&gt;"EX",0,--(COUNTIFS(nNIA,DATOS!$A12208,nCURSO,DATOS!$D12208,nESPEC,DATOS!$E12208,nASIG,DATOS!$I12208,nEVAL,"OR")=0))</f>
      </c>
      <c r="I12208">
        <f>IF(DATOS!$I12208="","",IFERROR(VLOOKUP(DATOS!$I12208,CONFIG_ASIGNATURAS!$B$2:$J$91,9,FALSE()),""))</f>
      </c>
    </row>
    <row r="12209">
      <c r="F12209">
        <f>IF(DATOS!$A12209="","",DATOS!$A12209&amp;"|"&amp;DATOS!$D12209&amp;"|"&amp;DATOS!$E12209&amp;"|"&amp;DATOS!$I12209)</f>
      </c>
      <c r="G12209">
        <f>IF(DATOS!$A12209="",0,IF(CONFIG_METADATA!$B$4&lt;&gt;"OR+EX",--(DATOS!$G12209=CONFIG_METADATA!$B$4),IF(DATOS!$G12209="EX",1,IF(DATOS!$G12209="OR",--(COUNTIFS(nNIA,DATOS!$A12209,nCURSO,DATOS!$D12209,nESPEC,DATOS!$E12209,nASIG,DATOS!$I12209,nEVAL,"EX")=0),0))))</f>
      </c>
      <c r="H12209">
        <f>IF(DATOS!$G12209&lt;&gt;"EX",0,--(COUNTIFS(nNIA,DATOS!$A12209,nCURSO,DATOS!$D12209,nESPEC,DATOS!$E12209,nASIG,DATOS!$I12209,nEVAL,"OR")=0))</f>
      </c>
      <c r="I12209">
        <f>IF(DATOS!$I12209="","",IFERROR(VLOOKUP(DATOS!$I12209,CONFIG_ASIGNATURAS!$B$2:$J$91,9,FALSE()),""))</f>
      </c>
    </row>
    <row r="12210">
      <c r="F12210">
        <f>IF(DATOS!$A12210="","",DATOS!$A12210&amp;"|"&amp;DATOS!$D12210&amp;"|"&amp;DATOS!$E12210&amp;"|"&amp;DATOS!$I12210)</f>
      </c>
      <c r="G12210">
        <f>IF(DATOS!$A12210="",0,IF(CONFIG_METADATA!$B$4&lt;&gt;"OR+EX",--(DATOS!$G12210=CONFIG_METADATA!$B$4),IF(DATOS!$G12210="EX",1,IF(DATOS!$G12210="OR",--(COUNTIFS(nNIA,DATOS!$A12210,nCURSO,DATOS!$D12210,nESPEC,DATOS!$E12210,nASIG,DATOS!$I12210,nEVAL,"EX")=0),0))))</f>
      </c>
      <c r="H12210">
        <f>IF(DATOS!$G12210&lt;&gt;"EX",0,--(COUNTIFS(nNIA,DATOS!$A12210,nCURSO,DATOS!$D12210,nESPEC,DATOS!$E12210,nASIG,DATOS!$I12210,nEVAL,"OR")=0))</f>
      </c>
      <c r="I12210">
        <f>IF(DATOS!$I12210="","",IFERROR(VLOOKUP(DATOS!$I12210,CONFIG_ASIGNATURAS!$B$2:$J$91,9,FALSE()),""))</f>
      </c>
    </row>
    <row r="12211">
      <c r="F12211">
        <f>IF(DATOS!$A12211="","",DATOS!$A12211&amp;"|"&amp;DATOS!$D12211&amp;"|"&amp;DATOS!$E12211&amp;"|"&amp;DATOS!$I12211)</f>
      </c>
      <c r="G12211">
        <f>IF(DATOS!$A12211="",0,IF(CONFIG_METADATA!$B$4&lt;&gt;"OR+EX",--(DATOS!$G12211=CONFIG_METADATA!$B$4),IF(DATOS!$G12211="EX",1,IF(DATOS!$G12211="OR",--(COUNTIFS(nNIA,DATOS!$A12211,nCURSO,DATOS!$D12211,nESPEC,DATOS!$E12211,nASIG,DATOS!$I12211,nEVAL,"EX")=0),0))))</f>
      </c>
      <c r="H12211">
        <f>IF(DATOS!$G12211&lt;&gt;"EX",0,--(COUNTIFS(nNIA,DATOS!$A12211,nCURSO,DATOS!$D12211,nESPEC,DATOS!$E12211,nASIG,DATOS!$I12211,nEVAL,"OR")=0))</f>
      </c>
      <c r="I12211">
        <f>IF(DATOS!$I12211="","",IFERROR(VLOOKUP(DATOS!$I12211,CONFIG_ASIGNATURAS!$B$2:$J$91,9,FALSE()),""))</f>
      </c>
    </row>
    <row r="12212">
      <c r="F12212">
        <f>IF(DATOS!$A12212="","",DATOS!$A12212&amp;"|"&amp;DATOS!$D12212&amp;"|"&amp;DATOS!$E12212&amp;"|"&amp;DATOS!$I12212)</f>
      </c>
      <c r="G12212">
        <f>IF(DATOS!$A12212="",0,IF(CONFIG_METADATA!$B$4&lt;&gt;"OR+EX",--(DATOS!$G12212=CONFIG_METADATA!$B$4),IF(DATOS!$G12212="EX",1,IF(DATOS!$G12212="OR",--(COUNTIFS(nNIA,DATOS!$A12212,nCURSO,DATOS!$D12212,nESPEC,DATOS!$E12212,nASIG,DATOS!$I12212,nEVAL,"EX")=0),0))))</f>
      </c>
      <c r="H12212">
        <f>IF(DATOS!$G12212&lt;&gt;"EX",0,--(COUNTIFS(nNIA,DATOS!$A12212,nCURSO,DATOS!$D12212,nESPEC,DATOS!$E12212,nASIG,DATOS!$I12212,nEVAL,"OR")=0))</f>
      </c>
      <c r="I12212">
        <f>IF(DATOS!$I12212="","",IFERROR(VLOOKUP(DATOS!$I12212,CONFIG_ASIGNATURAS!$B$2:$J$91,9,FALSE()),""))</f>
      </c>
    </row>
    <row r="12213">
      <c r="F12213">
        <f>IF(DATOS!$A12213="","",DATOS!$A12213&amp;"|"&amp;DATOS!$D12213&amp;"|"&amp;DATOS!$E12213&amp;"|"&amp;DATOS!$I12213)</f>
      </c>
      <c r="G12213">
        <f>IF(DATOS!$A12213="",0,IF(CONFIG_METADATA!$B$4&lt;&gt;"OR+EX",--(DATOS!$G12213=CONFIG_METADATA!$B$4),IF(DATOS!$G12213="EX",1,IF(DATOS!$G12213="OR",--(COUNTIFS(nNIA,DATOS!$A12213,nCURSO,DATOS!$D12213,nESPEC,DATOS!$E12213,nASIG,DATOS!$I12213,nEVAL,"EX")=0),0))))</f>
      </c>
      <c r="H12213">
        <f>IF(DATOS!$G12213&lt;&gt;"EX",0,--(COUNTIFS(nNIA,DATOS!$A12213,nCURSO,DATOS!$D12213,nESPEC,DATOS!$E12213,nASIG,DATOS!$I12213,nEVAL,"OR")=0))</f>
      </c>
      <c r="I12213">
        <f>IF(DATOS!$I12213="","",IFERROR(VLOOKUP(DATOS!$I12213,CONFIG_ASIGNATURAS!$B$2:$J$91,9,FALSE()),""))</f>
      </c>
    </row>
    <row r="12214">
      <c r="F12214">
        <f>IF(DATOS!$A12214="","",DATOS!$A12214&amp;"|"&amp;DATOS!$D12214&amp;"|"&amp;DATOS!$E12214&amp;"|"&amp;DATOS!$I12214)</f>
      </c>
      <c r="G12214">
        <f>IF(DATOS!$A12214="",0,IF(CONFIG_METADATA!$B$4&lt;&gt;"OR+EX",--(DATOS!$G12214=CONFIG_METADATA!$B$4),IF(DATOS!$G12214="EX",1,IF(DATOS!$G12214="OR",--(COUNTIFS(nNIA,DATOS!$A12214,nCURSO,DATOS!$D12214,nESPEC,DATOS!$E12214,nASIG,DATOS!$I12214,nEVAL,"EX")=0),0))))</f>
      </c>
      <c r="H12214">
        <f>IF(DATOS!$G12214&lt;&gt;"EX",0,--(COUNTIFS(nNIA,DATOS!$A12214,nCURSO,DATOS!$D12214,nESPEC,DATOS!$E12214,nASIG,DATOS!$I12214,nEVAL,"OR")=0))</f>
      </c>
      <c r="I12214">
        <f>IF(DATOS!$I12214="","",IFERROR(VLOOKUP(DATOS!$I12214,CONFIG_ASIGNATURAS!$B$2:$J$91,9,FALSE()),""))</f>
      </c>
    </row>
    <row r="12215">
      <c r="F12215">
        <f>IF(DATOS!$A12215="","",DATOS!$A12215&amp;"|"&amp;DATOS!$D12215&amp;"|"&amp;DATOS!$E12215&amp;"|"&amp;DATOS!$I12215)</f>
      </c>
      <c r="G12215">
        <f>IF(DATOS!$A12215="",0,IF(CONFIG_METADATA!$B$4&lt;&gt;"OR+EX",--(DATOS!$G12215=CONFIG_METADATA!$B$4),IF(DATOS!$G12215="EX",1,IF(DATOS!$G12215="OR",--(COUNTIFS(nNIA,DATOS!$A12215,nCURSO,DATOS!$D12215,nESPEC,DATOS!$E12215,nASIG,DATOS!$I12215,nEVAL,"EX")=0),0))))</f>
      </c>
      <c r="H12215">
        <f>IF(DATOS!$G12215&lt;&gt;"EX",0,--(COUNTIFS(nNIA,DATOS!$A12215,nCURSO,DATOS!$D12215,nESPEC,DATOS!$E12215,nASIG,DATOS!$I12215,nEVAL,"OR")=0))</f>
      </c>
      <c r="I12215">
        <f>IF(DATOS!$I12215="","",IFERROR(VLOOKUP(DATOS!$I12215,CONFIG_ASIGNATURAS!$B$2:$J$91,9,FALSE()),""))</f>
      </c>
    </row>
    <row r="12216">
      <c r="F12216">
        <f>IF(DATOS!$A12216="","",DATOS!$A12216&amp;"|"&amp;DATOS!$D12216&amp;"|"&amp;DATOS!$E12216&amp;"|"&amp;DATOS!$I12216)</f>
      </c>
      <c r="G12216">
        <f>IF(DATOS!$A12216="",0,IF(CONFIG_METADATA!$B$4&lt;&gt;"OR+EX",--(DATOS!$G12216=CONFIG_METADATA!$B$4),IF(DATOS!$G12216="EX",1,IF(DATOS!$G12216="OR",--(COUNTIFS(nNIA,DATOS!$A12216,nCURSO,DATOS!$D12216,nESPEC,DATOS!$E12216,nASIG,DATOS!$I12216,nEVAL,"EX")=0),0))))</f>
      </c>
      <c r="H12216">
        <f>IF(DATOS!$G12216&lt;&gt;"EX",0,--(COUNTIFS(nNIA,DATOS!$A12216,nCURSO,DATOS!$D12216,nESPEC,DATOS!$E12216,nASIG,DATOS!$I12216,nEVAL,"OR")=0))</f>
      </c>
      <c r="I12216">
        <f>IF(DATOS!$I12216="","",IFERROR(VLOOKUP(DATOS!$I12216,CONFIG_ASIGNATURAS!$B$2:$J$91,9,FALSE()),""))</f>
      </c>
    </row>
    <row r="12217">
      <c r="F12217">
        <f>IF(DATOS!$A12217="","",DATOS!$A12217&amp;"|"&amp;DATOS!$D12217&amp;"|"&amp;DATOS!$E12217&amp;"|"&amp;DATOS!$I12217)</f>
      </c>
      <c r="G12217">
        <f>IF(DATOS!$A12217="",0,IF(CONFIG_METADATA!$B$4&lt;&gt;"OR+EX",--(DATOS!$G12217=CONFIG_METADATA!$B$4),IF(DATOS!$G12217="EX",1,IF(DATOS!$G12217="OR",--(COUNTIFS(nNIA,DATOS!$A12217,nCURSO,DATOS!$D12217,nESPEC,DATOS!$E12217,nASIG,DATOS!$I12217,nEVAL,"EX")=0),0))))</f>
      </c>
      <c r="H12217">
        <f>IF(DATOS!$G12217&lt;&gt;"EX",0,--(COUNTIFS(nNIA,DATOS!$A12217,nCURSO,DATOS!$D12217,nESPEC,DATOS!$E12217,nASIG,DATOS!$I12217,nEVAL,"OR")=0))</f>
      </c>
      <c r="I12217">
        <f>IF(DATOS!$I12217="","",IFERROR(VLOOKUP(DATOS!$I12217,CONFIG_ASIGNATURAS!$B$2:$J$91,9,FALSE()),""))</f>
      </c>
    </row>
    <row r="12218">
      <c r="F12218">
        <f>IF(DATOS!$A12218="","",DATOS!$A12218&amp;"|"&amp;DATOS!$D12218&amp;"|"&amp;DATOS!$E12218&amp;"|"&amp;DATOS!$I12218)</f>
      </c>
      <c r="G12218">
        <f>IF(DATOS!$A12218="",0,IF(CONFIG_METADATA!$B$4&lt;&gt;"OR+EX",--(DATOS!$G12218=CONFIG_METADATA!$B$4),IF(DATOS!$G12218="EX",1,IF(DATOS!$G12218="OR",--(COUNTIFS(nNIA,DATOS!$A12218,nCURSO,DATOS!$D12218,nESPEC,DATOS!$E12218,nASIG,DATOS!$I12218,nEVAL,"EX")=0),0))))</f>
      </c>
      <c r="H12218">
        <f>IF(DATOS!$G12218&lt;&gt;"EX",0,--(COUNTIFS(nNIA,DATOS!$A12218,nCURSO,DATOS!$D12218,nESPEC,DATOS!$E12218,nASIG,DATOS!$I12218,nEVAL,"OR")=0))</f>
      </c>
      <c r="I12218">
        <f>IF(DATOS!$I12218="","",IFERROR(VLOOKUP(DATOS!$I12218,CONFIG_ASIGNATURAS!$B$2:$J$91,9,FALSE()),""))</f>
      </c>
    </row>
    <row r="12219">
      <c r="F12219">
        <f>IF(DATOS!$A12219="","",DATOS!$A12219&amp;"|"&amp;DATOS!$D12219&amp;"|"&amp;DATOS!$E12219&amp;"|"&amp;DATOS!$I12219)</f>
      </c>
      <c r="G12219">
        <f>IF(DATOS!$A12219="",0,IF(CONFIG_METADATA!$B$4&lt;&gt;"OR+EX",--(DATOS!$G12219=CONFIG_METADATA!$B$4),IF(DATOS!$G12219="EX",1,IF(DATOS!$G12219="OR",--(COUNTIFS(nNIA,DATOS!$A12219,nCURSO,DATOS!$D12219,nESPEC,DATOS!$E12219,nASIG,DATOS!$I12219,nEVAL,"EX")=0),0))))</f>
      </c>
      <c r="H12219">
        <f>IF(DATOS!$G12219&lt;&gt;"EX",0,--(COUNTIFS(nNIA,DATOS!$A12219,nCURSO,DATOS!$D12219,nESPEC,DATOS!$E12219,nASIG,DATOS!$I12219,nEVAL,"OR")=0))</f>
      </c>
      <c r="I12219">
        <f>IF(DATOS!$I12219="","",IFERROR(VLOOKUP(DATOS!$I12219,CONFIG_ASIGNATURAS!$B$2:$J$91,9,FALSE()),""))</f>
      </c>
    </row>
    <row r="12220">
      <c r="F12220">
        <f>IF(DATOS!$A12220="","",DATOS!$A12220&amp;"|"&amp;DATOS!$D12220&amp;"|"&amp;DATOS!$E12220&amp;"|"&amp;DATOS!$I12220)</f>
      </c>
      <c r="G12220">
        <f>IF(DATOS!$A12220="",0,IF(CONFIG_METADATA!$B$4&lt;&gt;"OR+EX",--(DATOS!$G12220=CONFIG_METADATA!$B$4),IF(DATOS!$G12220="EX",1,IF(DATOS!$G12220="OR",--(COUNTIFS(nNIA,DATOS!$A12220,nCURSO,DATOS!$D12220,nESPEC,DATOS!$E12220,nASIG,DATOS!$I12220,nEVAL,"EX")=0),0))))</f>
      </c>
      <c r="H12220">
        <f>IF(DATOS!$G12220&lt;&gt;"EX",0,--(COUNTIFS(nNIA,DATOS!$A12220,nCURSO,DATOS!$D12220,nESPEC,DATOS!$E12220,nASIG,DATOS!$I12220,nEVAL,"OR")=0))</f>
      </c>
      <c r="I12220">
        <f>IF(DATOS!$I12220="","",IFERROR(VLOOKUP(DATOS!$I12220,CONFIG_ASIGNATURAS!$B$2:$J$91,9,FALSE()),""))</f>
      </c>
    </row>
    <row r="12221">
      <c r="F12221">
        <f>IF(DATOS!$A12221="","",DATOS!$A12221&amp;"|"&amp;DATOS!$D12221&amp;"|"&amp;DATOS!$E12221&amp;"|"&amp;DATOS!$I12221)</f>
      </c>
      <c r="G12221">
        <f>IF(DATOS!$A12221="",0,IF(CONFIG_METADATA!$B$4&lt;&gt;"OR+EX",--(DATOS!$G12221=CONFIG_METADATA!$B$4),IF(DATOS!$G12221="EX",1,IF(DATOS!$G12221="OR",--(COUNTIFS(nNIA,DATOS!$A12221,nCURSO,DATOS!$D12221,nESPEC,DATOS!$E12221,nASIG,DATOS!$I12221,nEVAL,"EX")=0),0))))</f>
      </c>
      <c r="H12221">
        <f>IF(DATOS!$G12221&lt;&gt;"EX",0,--(COUNTIFS(nNIA,DATOS!$A12221,nCURSO,DATOS!$D12221,nESPEC,DATOS!$E12221,nASIG,DATOS!$I12221,nEVAL,"OR")=0))</f>
      </c>
      <c r="I12221">
        <f>IF(DATOS!$I12221="","",IFERROR(VLOOKUP(DATOS!$I12221,CONFIG_ASIGNATURAS!$B$2:$J$91,9,FALSE()),""))</f>
      </c>
    </row>
    <row r="12222">
      <c r="F12222">
        <f>IF(DATOS!$A12222="","",DATOS!$A12222&amp;"|"&amp;DATOS!$D12222&amp;"|"&amp;DATOS!$E12222&amp;"|"&amp;DATOS!$I12222)</f>
      </c>
      <c r="G12222">
        <f>IF(DATOS!$A12222="",0,IF(CONFIG_METADATA!$B$4&lt;&gt;"OR+EX",--(DATOS!$G12222=CONFIG_METADATA!$B$4),IF(DATOS!$G12222="EX",1,IF(DATOS!$G12222="OR",--(COUNTIFS(nNIA,DATOS!$A12222,nCURSO,DATOS!$D12222,nESPEC,DATOS!$E12222,nASIG,DATOS!$I12222,nEVAL,"EX")=0),0))))</f>
      </c>
      <c r="H12222">
        <f>IF(DATOS!$G12222&lt;&gt;"EX",0,--(COUNTIFS(nNIA,DATOS!$A12222,nCURSO,DATOS!$D12222,nESPEC,DATOS!$E12222,nASIG,DATOS!$I12222,nEVAL,"OR")=0))</f>
      </c>
      <c r="I12222">
        <f>IF(DATOS!$I12222="","",IFERROR(VLOOKUP(DATOS!$I12222,CONFIG_ASIGNATURAS!$B$2:$J$91,9,FALSE()),""))</f>
      </c>
    </row>
    <row r="12223">
      <c r="F12223">
        <f>IF(DATOS!$A12223="","",DATOS!$A12223&amp;"|"&amp;DATOS!$D12223&amp;"|"&amp;DATOS!$E12223&amp;"|"&amp;DATOS!$I12223)</f>
      </c>
      <c r="G12223">
        <f>IF(DATOS!$A12223="",0,IF(CONFIG_METADATA!$B$4&lt;&gt;"OR+EX",--(DATOS!$G12223=CONFIG_METADATA!$B$4),IF(DATOS!$G12223="EX",1,IF(DATOS!$G12223="OR",--(COUNTIFS(nNIA,DATOS!$A12223,nCURSO,DATOS!$D12223,nESPEC,DATOS!$E12223,nASIG,DATOS!$I12223,nEVAL,"EX")=0),0))))</f>
      </c>
      <c r="H12223">
        <f>IF(DATOS!$G12223&lt;&gt;"EX",0,--(COUNTIFS(nNIA,DATOS!$A12223,nCURSO,DATOS!$D12223,nESPEC,DATOS!$E12223,nASIG,DATOS!$I12223,nEVAL,"OR")=0))</f>
      </c>
      <c r="I12223">
        <f>IF(DATOS!$I12223="","",IFERROR(VLOOKUP(DATOS!$I12223,CONFIG_ASIGNATURAS!$B$2:$J$91,9,FALSE()),""))</f>
      </c>
    </row>
    <row r="12224">
      <c r="F12224">
        <f>IF(DATOS!$A12224="","",DATOS!$A12224&amp;"|"&amp;DATOS!$D12224&amp;"|"&amp;DATOS!$E12224&amp;"|"&amp;DATOS!$I12224)</f>
      </c>
      <c r="G12224">
        <f>IF(DATOS!$A12224="",0,IF(CONFIG_METADATA!$B$4&lt;&gt;"OR+EX",--(DATOS!$G12224=CONFIG_METADATA!$B$4),IF(DATOS!$G12224="EX",1,IF(DATOS!$G12224="OR",--(COUNTIFS(nNIA,DATOS!$A12224,nCURSO,DATOS!$D12224,nESPEC,DATOS!$E12224,nASIG,DATOS!$I12224,nEVAL,"EX")=0),0))))</f>
      </c>
      <c r="H12224">
        <f>IF(DATOS!$G12224&lt;&gt;"EX",0,--(COUNTIFS(nNIA,DATOS!$A12224,nCURSO,DATOS!$D12224,nESPEC,DATOS!$E12224,nASIG,DATOS!$I12224,nEVAL,"OR")=0))</f>
      </c>
      <c r="I12224">
        <f>IF(DATOS!$I12224="","",IFERROR(VLOOKUP(DATOS!$I12224,CONFIG_ASIGNATURAS!$B$2:$J$91,9,FALSE()),""))</f>
      </c>
    </row>
    <row r="12225">
      <c r="F12225">
        <f>IF(DATOS!$A12225="","",DATOS!$A12225&amp;"|"&amp;DATOS!$D12225&amp;"|"&amp;DATOS!$E12225&amp;"|"&amp;DATOS!$I12225)</f>
      </c>
      <c r="G12225">
        <f>IF(DATOS!$A12225="",0,IF(CONFIG_METADATA!$B$4&lt;&gt;"OR+EX",--(DATOS!$G12225=CONFIG_METADATA!$B$4),IF(DATOS!$G12225="EX",1,IF(DATOS!$G12225="OR",--(COUNTIFS(nNIA,DATOS!$A12225,nCURSO,DATOS!$D12225,nESPEC,DATOS!$E12225,nASIG,DATOS!$I12225,nEVAL,"EX")=0),0))))</f>
      </c>
      <c r="H12225">
        <f>IF(DATOS!$G12225&lt;&gt;"EX",0,--(COUNTIFS(nNIA,DATOS!$A12225,nCURSO,DATOS!$D12225,nESPEC,DATOS!$E12225,nASIG,DATOS!$I12225,nEVAL,"OR")=0))</f>
      </c>
      <c r="I12225">
        <f>IF(DATOS!$I12225="","",IFERROR(VLOOKUP(DATOS!$I12225,CONFIG_ASIGNATURAS!$B$2:$J$91,9,FALSE()),""))</f>
      </c>
    </row>
    <row r="12226">
      <c r="F12226">
        <f>IF(DATOS!$A12226="","",DATOS!$A12226&amp;"|"&amp;DATOS!$D12226&amp;"|"&amp;DATOS!$E12226&amp;"|"&amp;DATOS!$I12226)</f>
      </c>
      <c r="G12226">
        <f>IF(DATOS!$A12226="",0,IF(CONFIG_METADATA!$B$4&lt;&gt;"OR+EX",--(DATOS!$G12226=CONFIG_METADATA!$B$4),IF(DATOS!$G12226="EX",1,IF(DATOS!$G12226="OR",--(COUNTIFS(nNIA,DATOS!$A12226,nCURSO,DATOS!$D12226,nESPEC,DATOS!$E12226,nASIG,DATOS!$I12226,nEVAL,"EX")=0),0))))</f>
      </c>
      <c r="H12226">
        <f>IF(DATOS!$G12226&lt;&gt;"EX",0,--(COUNTIFS(nNIA,DATOS!$A12226,nCURSO,DATOS!$D12226,nESPEC,DATOS!$E12226,nASIG,DATOS!$I12226,nEVAL,"OR")=0))</f>
      </c>
      <c r="I12226">
        <f>IF(DATOS!$I12226="","",IFERROR(VLOOKUP(DATOS!$I12226,CONFIG_ASIGNATURAS!$B$2:$J$91,9,FALSE()),""))</f>
      </c>
    </row>
    <row r="12227">
      <c r="F12227">
        <f>IF(DATOS!$A12227="","",DATOS!$A12227&amp;"|"&amp;DATOS!$D12227&amp;"|"&amp;DATOS!$E12227&amp;"|"&amp;DATOS!$I12227)</f>
      </c>
      <c r="G12227">
        <f>IF(DATOS!$A12227="",0,IF(CONFIG_METADATA!$B$4&lt;&gt;"OR+EX",--(DATOS!$G12227=CONFIG_METADATA!$B$4),IF(DATOS!$G12227="EX",1,IF(DATOS!$G12227="OR",--(COUNTIFS(nNIA,DATOS!$A12227,nCURSO,DATOS!$D12227,nESPEC,DATOS!$E12227,nASIG,DATOS!$I12227,nEVAL,"EX")=0),0))))</f>
      </c>
      <c r="H12227">
        <f>IF(DATOS!$G12227&lt;&gt;"EX",0,--(COUNTIFS(nNIA,DATOS!$A12227,nCURSO,DATOS!$D12227,nESPEC,DATOS!$E12227,nASIG,DATOS!$I12227,nEVAL,"OR")=0))</f>
      </c>
      <c r="I12227">
        <f>IF(DATOS!$I12227="","",IFERROR(VLOOKUP(DATOS!$I12227,CONFIG_ASIGNATURAS!$B$2:$J$91,9,FALSE()),""))</f>
      </c>
    </row>
    <row r="12228">
      <c r="F12228">
        <f>IF(DATOS!$A12228="","",DATOS!$A12228&amp;"|"&amp;DATOS!$D12228&amp;"|"&amp;DATOS!$E12228&amp;"|"&amp;DATOS!$I12228)</f>
      </c>
      <c r="G12228">
        <f>IF(DATOS!$A12228="",0,IF(CONFIG_METADATA!$B$4&lt;&gt;"OR+EX",--(DATOS!$G12228=CONFIG_METADATA!$B$4),IF(DATOS!$G12228="EX",1,IF(DATOS!$G12228="OR",--(COUNTIFS(nNIA,DATOS!$A12228,nCURSO,DATOS!$D12228,nESPEC,DATOS!$E12228,nASIG,DATOS!$I12228,nEVAL,"EX")=0),0))))</f>
      </c>
      <c r="H12228">
        <f>IF(DATOS!$G12228&lt;&gt;"EX",0,--(COUNTIFS(nNIA,DATOS!$A12228,nCURSO,DATOS!$D12228,nESPEC,DATOS!$E12228,nASIG,DATOS!$I12228,nEVAL,"OR")=0))</f>
      </c>
      <c r="I12228">
        <f>IF(DATOS!$I12228="","",IFERROR(VLOOKUP(DATOS!$I12228,CONFIG_ASIGNATURAS!$B$2:$J$91,9,FALSE()),""))</f>
      </c>
    </row>
    <row r="12229">
      <c r="F12229">
        <f>IF(DATOS!$A12229="","",DATOS!$A12229&amp;"|"&amp;DATOS!$D12229&amp;"|"&amp;DATOS!$E12229&amp;"|"&amp;DATOS!$I12229)</f>
      </c>
      <c r="G12229">
        <f>IF(DATOS!$A12229="",0,IF(CONFIG_METADATA!$B$4&lt;&gt;"OR+EX",--(DATOS!$G12229=CONFIG_METADATA!$B$4),IF(DATOS!$G12229="EX",1,IF(DATOS!$G12229="OR",--(COUNTIFS(nNIA,DATOS!$A12229,nCURSO,DATOS!$D12229,nESPEC,DATOS!$E12229,nASIG,DATOS!$I12229,nEVAL,"EX")=0),0))))</f>
      </c>
      <c r="H12229">
        <f>IF(DATOS!$G12229&lt;&gt;"EX",0,--(COUNTIFS(nNIA,DATOS!$A12229,nCURSO,DATOS!$D12229,nESPEC,DATOS!$E12229,nASIG,DATOS!$I12229,nEVAL,"OR")=0))</f>
      </c>
      <c r="I12229">
        <f>IF(DATOS!$I12229="","",IFERROR(VLOOKUP(DATOS!$I12229,CONFIG_ASIGNATURAS!$B$2:$J$91,9,FALSE()),""))</f>
      </c>
    </row>
    <row r="12230">
      <c r="F12230">
        <f>IF(DATOS!$A12230="","",DATOS!$A12230&amp;"|"&amp;DATOS!$D12230&amp;"|"&amp;DATOS!$E12230&amp;"|"&amp;DATOS!$I12230)</f>
      </c>
      <c r="G12230">
        <f>IF(DATOS!$A12230="",0,IF(CONFIG_METADATA!$B$4&lt;&gt;"OR+EX",--(DATOS!$G12230=CONFIG_METADATA!$B$4),IF(DATOS!$G12230="EX",1,IF(DATOS!$G12230="OR",--(COUNTIFS(nNIA,DATOS!$A12230,nCURSO,DATOS!$D12230,nESPEC,DATOS!$E12230,nASIG,DATOS!$I12230,nEVAL,"EX")=0),0))))</f>
      </c>
      <c r="H12230">
        <f>IF(DATOS!$G12230&lt;&gt;"EX",0,--(COUNTIFS(nNIA,DATOS!$A12230,nCURSO,DATOS!$D12230,nESPEC,DATOS!$E12230,nASIG,DATOS!$I12230,nEVAL,"OR")=0))</f>
      </c>
      <c r="I12230">
        <f>IF(DATOS!$I12230="","",IFERROR(VLOOKUP(DATOS!$I12230,CONFIG_ASIGNATURAS!$B$2:$J$91,9,FALSE()),""))</f>
      </c>
    </row>
    <row r="12231">
      <c r="F12231">
        <f>IF(DATOS!$A12231="","",DATOS!$A12231&amp;"|"&amp;DATOS!$D12231&amp;"|"&amp;DATOS!$E12231&amp;"|"&amp;DATOS!$I12231)</f>
      </c>
      <c r="G12231">
        <f>IF(DATOS!$A12231="",0,IF(CONFIG_METADATA!$B$4&lt;&gt;"OR+EX",--(DATOS!$G12231=CONFIG_METADATA!$B$4),IF(DATOS!$G12231="EX",1,IF(DATOS!$G12231="OR",--(COUNTIFS(nNIA,DATOS!$A12231,nCURSO,DATOS!$D12231,nESPEC,DATOS!$E12231,nASIG,DATOS!$I12231,nEVAL,"EX")=0),0))))</f>
      </c>
      <c r="H12231">
        <f>IF(DATOS!$G12231&lt;&gt;"EX",0,--(COUNTIFS(nNIA,DATOS!$A12231,nCURSO,DATOS!$D12231,nESPEC,DATOS!$E12231,nASIG,DATOS!$I12231,nEVAL,"OR")=0))</f>
      </c>
      <c r="I12231">
        <f>IF(DATOS!$I12231="","",IFERROR(VLOOKUP(DATOS!$I12231,CONFIG_ASIGNATURAS!$B$2:$J$91,9,FALSE()),""))</f>
      </c>
    </row>
    <row r="12232">
      <c r="F12232">
        <f>IF(DATOS!$A12232="","",DATOS!$A12232&amp;"|"&amp;DATOS!$D12232&amp;"|"&amp;DATOS!$E12232&amp;"|"&amp;DATOS!$I12232)</f>
      </c>
      <c r="G12232">
        <f>IF(DATOS!$A12232="",0,IF(CONFIG_METADATA!$B$4&lt;&gt;"OR+EX",--(DATOS!$G12232=CONFIG_METADATA!$B$4),IF(DATOS!$G12232="EX",1,IF(DATOS!$G12232="OR",--(COUNTIFS(nNIA,DATOS!$A12232,nCURSO,DATOS!$D12232,nESPEC,DATOS!$E12232,nASIG,DATOS!$I12232,nEVAL,"EX")=0),0))))</f>
      </c>
      <c r="H12232">
        <f>IF(DATOS!$G12232&lt;&gt;"EX",0,--(COUNTIFS(nNIA,DATOS!$A12232,nCURSO,DATOS!$D12232,nESPEC,DATOS!$E12232,nASIG,DATOS!$I12232,nEVAL,"OR")=0))</f>
      </c>
      <c r="I12232">
        <f>IF(DATOS!$I12232="","",IFERROR(VLOOKUP(DATOS!$I12232,CONFIG_ASIGNATURAS!$B$2:$J$91,9,FALSE()),""))</f>
      </c>
    </row>
    <row r="12233">
      <c r="F12233">
        <f>IF(DATOS!$A12233="","",DATOS!$A12233&amp;"|"&amp;DATOS!$D12233&amp;"|"&amp;DATOS!$E12233&amp;"|"&amp;DATOS!$I12233)</f>
      </c>
      <c r="G12233">
        <f>IF(DATOS!$A12233="",0,IF(CONFIG_METADATA!$B$4&lt;&gt;"OR+EX",--(DATOS!$G12233=CONFIG_METADATA!$B$4),IF(DATOS!$G12233="EX",1,IF(DATOS!$G12233="OR",--(COUNTIFS(nNIA,DATOS!$A12233,nCURSO,DATOS!$D12233,nESPEC,DATOS!$E12233,nASIG,DATOS!$I12233,nEVAL,"EX")=0),0))))</f>
      </c>
      <c r="H12233">
        <f>IF(DATOS!$G12233&lt;&gt;"EX",0,--(COUNTIFS(nNIA,DATOS!$A12233,nCURSO,DATOS!$D12233,nESPEC,DATOS!$E12233,nASIG,DATOS!$I12233,nEVAL,"OR")=0))</f>
      </c>
      <c r="I12233">
        <f>IF(DATOS!$I12233="","",IFERROR(VLOOKUP(DATOS!$I12233,CONFIG_ASIGNATURAS!$B$2:$J$91,9,FALSE()),""))</f>
      </c>
    </row>
    <row r="12234">
      <c r="F12234">
        <f>IF(DATOS!$A12234="","",DATOS!$A12234&amp;"|"&amp;DATOS!$D12234&amp;"|"&amp;DATOS!$E12234&amp;"|"&amp;DATOS!$I12234)</f>
      </c>
      <c r="G12234">
        <f>IF(DATOS!$A12234="",0,IF(CONFIG_METADATA!$B$4&lt;&gt;"OR+EX",--(DATOS!$G12234=CONFIG_METADATA!$B$4),IF(DATOS!$G12234="EX",1,IF(DATOS!$G12234="OR",--(COUNTIFS(nNIA,DATOS!$A12234,nCURSO,DATOS!$D12234,nESPEC,DATOS!$E12234,nASIG,DATOS!$I12234,nEVAL,"EX")=0),0))))</f>
      </c>
      <c r="H12234">
        <f>IF(DATOS!$G12234&lt;&gt;"EX",0,--(COUNTIFS(nNIA,DATOS!$A12234,nCURSO,DATOS!$D12234,nESPEC,DATOS!$E12234,nASIG,DATOS!$I12234,nEVAL,"OR")=0))</f>
      </c>
      <c r="I12234">
        <f>IF(DATOS!$I12234="","",IFERROR(VLOOKUP(DATOS!$I12234,CONFIG_ASIGNATURAS!$B$2:$J$91,9,FALSE()),""))</f>
      </c>
    </row>
    <row r="12235">
      <c r="F12235">
        <f>IF(DATOS!$A12235="","",DATOS!$A12235&amp;"|"&amp;DATOS!$D12235&amp;"|"&amp;DATOS!$E12235&amp;"|"&amp;DATOS!$I12235)</f>
      </c>
      <c r="G12235">
        <f>IF(DATOS!$A12235="",0,IF(CONFIG_METADATA!$B$4&lt;&gt;"OR+EX",--(DATOS!$G12235=CONFIG_METADATA!$B$4),IF(DATOS!$G12235="EX",1,IF(DATOS!$G12235="OR",--(COUNTIFS(nNIA,DATOS!$A12235,nCURSO,DATOS!$D12235,nESPEC,DATOS!$E12235,nASIG,DATOS!$I12235,nEVAL,"EX")=0),0))))</f>
      </c>
      <c r="H12235">
        <f>IF(DATOS!$G12235&lt;&gt;"EX",0,--(COUNTIFS(nNIA,DATOS!$A12235,nCURSO,DATOS!$D12235,nESPEC,DATOS!$E12235,nASIG,DATOS!$I12235,nEVAL,"OR")=0))</f>
      </c>
      <c r="I12235">
        <f>IF(DATOS!$I12235="","",IFERROR(VLOOKUP(DATOS!$I12235,CONFIG_ASIGNATURAS!$B$2:$J$91,9,FALSE()),""))</f>
      </c>
    </row>
    <row r="12236">
      <c r="F12236">
        <f>IF(DATOS!$A12236="","",DATOS!$A12236&amp;"|"&amp;DATOS!$D12236&amp;"|"&amp;DATOS!$E12236&amp;"|"&amp;DATOS!$I12236)</f>
      </c>
      <c r="G12236">
        <f>IF(DATOS!$A12236="",0,IF(CONFIG_METADATA!$B$4&lt;&gt;"OR+EX",--(DATOS!$G12236=CONFIG_METADATA!$B$4),IF(DATOS!$G12236="EX",1,IF(DATOS!$G12236="OR",--(COUNTIFS(nNIA,DATOS!$A12236,nCURSO,DATOS!$D12236,nESPEC,DATOS!$E12236,nASIG,DATOS!$I12236,nEVAL,"EX")=0),0))))</f>
      </c>
      <c r="H12236">
        <f>IF(DATOS!$G12236&lt;&gt;"EX",0,--(COUNTIFS(nNIA,DATOS!$A12236,nCURSO,DATOS!$D12236,nESPEC,DATOS!$E12236,nASIG,DATOS!$I12236,nEVAL,"OR")=0))</f>
      </c>
      <c r="I12236">
        <f>IF(DATOS!$I12236="","",IFERROR(VLOOKUP(DATOS!$I12236,CONFIG_ASIGNATURAS!$B$2:$J$91,9,FALSE()),""))</f>
      </c>
    </row>
    <row r="12237">
      <c r="F12237">
        <f>IF(DATOS!$A12237="","",DATOS!$A12237&amp;"|"&amp;DATOS!$D12237&amp;"|"&amp;DATOS!$E12237&amp;"|"&amp;DATOS!$I12237)</f>
      </c>
      <c r="G12237">
        <f>IF(DATOS!$A12237="",0,IF(CONFIG_METADATA!$B$4&lt;&gt;"OR+EX",--(DATOS!$G12237=CONFIG_METADATA!$B$4),IF(DATOS!$G12237="EX",1,IF(DATOS!$G12237="OR",--(COUNTIFS(nNIA,DATOS!$A12237,nCURSO,DATOS!$D12237,nESPEC,DATOS!$E12237,nASIG,DATOS!$I12237,nEVAL,"EX")=0),0))))</f>
      </c>
      <c r="H12237">
        <f>IF(DATOS!$G12237&lt;&gt;"EX",0,--(COUNTIFS(nNIA,DATOS!$A12237,nCURSO,DATOS!$D12237,nESPEC,DATOS!$E12237,nASIG,DATOS!$I12237,nEVAL,"OR")=0))</f>
      </c>
      <c r="I12237">
        <f>IF(DATOS!$I12237="","",IFERROR(VLOOKUP(DATOS!$I12237,CONFIG_ASIGNATURAS!$B$2:$J$91,9,FALSE()),""))</f>
      </c>
    </row>
    <row r="12238">
      <c r="F12238">
        <f>IF(DATOS!$A12238="","",DATOS!$A12238&amp;"|"&amp;DATOS!$D12238&amp;"|"&amp;DATOS!$E12238&amp;"|"&amp;DATOS!$I12238)</f>
      </c>
      <c r="G12238">
        <f>IF(DATOS!$A12238="",0,IF(CONFIG_METADATA!$B$4&lt;&gt;"OR+EX",--(DATOS!$G12238=CONFIG_METADATA!$B$4),IF(DATOS!$G12238="EX",1,IF(DATOS!$G12238="OR",--(COUNTIFS(nNIA,DATOS!$A12238,nCURSO,DATOS!$D12238,nESPEC,DATOS!$E12238,nASIG,DATOS!$I12238,nEVAL,"EX")=0),0))))</f>
      </c>
      <c r="H12238">
        <f>IF(DATOS!$G12238&lt;&gt;"EX",0,--(COUNTIFS(nNIA,DATOS!$A12238,nCURSO,DATOS!$D12238,nESPEC,DATOS!$E12238,nASIG,DATOS!$I12238,nEVAL,"OR")=0))</f>
      </c>
      <c r="I12238">
        <f>IF(DATOS!$I12238="","",IFERROR(VLOOKUP(DATOS!$I12238,CONFIG_ASIGNATURAS!$B$2:$J$91,9,FALSE()),""))</f>
      </c>
    </row>
    <row r="12239">
      <c r="F12239">
        <f>IF(DATOS!$A12239="","",DATOS!$A12239&amp;"|"&amp;DATOS!$D12239&amp;"|"&amp;DATOS!$E12239&amp;"|"&amp;DATOS!$I12239)</f>
      </c>
      <c r="G12239">
        <f>IF(DATOS!$A12239="",0,IF(CONFIG_METADATA!$B$4&lt;&gt;"OR+EX",--(DATOS!$G12239=CONFIG_METADATA!$B$4),IF(DATOS!$G12239="EX",1,IF(DATOS!$G12239="OR",--(COUNTIFS(nNIA,DATOS!$A12239,nCURSO,DATOS!$D12239,nESPEC,DATOS!$E12239,nASIG,DATOS!$I12239,nEVAL,"EX")=0),0))))</f>
      </c>
      <c r="H12239">
        <f>IF(DATOS!$G12239&lt;&gt;"EX",0,--(COUNTIFS(nNIA,DATOS!$A12239,nCURSO,DATOS!$D12239,nESPEC,DATOS!$E12239,nASIG,DATOS!$I12239,nEVAL,"OR")=0))</f>
      </c>
      <c r="I12239">
        <f>IF(DATOS!$I12239="","",IFERROR(VLOOKUP(DATOS!$I12239,CONFIG_ASIGNATURAS!$B$2:$J$91,9,FALSE()),""))</f>
      </c>
    </row>
    <row r="12240">
      <c r="F12240">
        <f>IF(DATOS!$A12240="","",DATOS!$A12240&amp;"|"&amp;DATOS!$D12240&amp;"|"&amp;DATOS!$E12240&amp;"|"&amp;DATOS!$I12240)</f>
      </c>
      <c r="G12240">
        <f>IF(DATOS!$A12240="",0,IF(CONFIG_METADATA!$B$4&lt;&gt;"OR+EX",--(DATOS!$G12240=CONFIG_METADATA!$B$4),IF(DATOS!$G12240="EX",1,IF(DATOS!$G12240="OR",--(COUNTIFS(nNIA,DATOS!$A12240,nCURSO,DATOS!$D12240,nESPEC,DATOS!$E12240,nASIG,DATOS!$I12240,nEVAL,"EX")=0),0))))</f>
      </c>
      <c r="H12240">
        <f>IF(DATOS!$G12240&lt;&gt;"EX",0,--(COUNTIFS(nNIA,DATOS!$A12240,nCURSO,DATOS!$D12240,nESPEC,DATOS!$E12240,nASIG,DATOS!$I12240,nEVAL,"OR")=0))</f>
      </c>
      <c r="I12240">
        <f>IF(DATOS!$I12240="","",IFERROR(VLOOKUP(DATOS!$I12240,CONFIG_ASIGNATURAS!$B$2:$J$91,9,FALSE()),""))</f>
      </c>
    </row>
    <row r="12241">
      <c r="F12241">
        <f>IF(DATOS!$A12241="","",DATOS!$A12241&amp;"|"&amp;DATOS!$D12241&amp;"|"&amp;DATOS!$E12241&amp;"|"&amp;DATOS!$I12241)</f>
      </c>
      <c r="G12241">
        <f>IF(DATOS!$A12241="",0,IF(CONFIG_METADATA!$B$4&lt;&gt;"OR+EX",--(DATOS!$G12241=CONFIG_METADATA!$B$4),IF(DATOS!$G12241="EX",1,IF(DATOS!$G12241="OR",--(COUNTIFS(nNIA,DATOS!$A12241,nCURSO,DATOS!$D12241,nESPEC,DATOS!$E12241,nASIG,DATOS!$I12241,nEVAL,"EX")=0),0))))</f>
      </c>
      <c r="H12241">
        <f>IF(DATOS!$G12241&lt;&gt;"EX",0,--(COUNTIFS(nNIA,DATOS!$A12241,nCURSO,DATOS!$D12241,nESPEC,DATOS!$E12241,nASIG,DATOS!$I12241,nEVAL,"OR")=0))</f>
      </c>
      <c r="I12241">
        <f>IF(DATOS!$I12241="","",IFERROR(VLOOKUP(DATOS!$I12241,CONFIG_ASIGNATURAS!$B$2:$J$91,9,FALSE()),""))</f>
      </c>
    </row>
    <row r="12242">
      <c r="F12242">
        <f>IF(DATOS!$A12242="","",DATOS!$A12242&amp;"|"&amp;DATOS!$D12242&amp;"|"&amp;DATOS!$E12242&amp;"|"&amp;DATOS!$I12242)</f>
      </c>
      <c r="G12242">
        <f>IF(DATOS!$A12242="",0,IF(CONFIG_METADATA!$B$4&lt;&gt;"OR+EX",--(DATOS!$G12242=CONFIG_METADATA!$B$4),IF(DATOS!$G12242="EX",1,IF(DATOS!$G12242="OR",--(COUNTIFS(nNIA,DATOS!$A12242,nCURSO,DATOS!$D12242,nESPEC,DATOS!$E12242,nASIG,DATOS!$I12242,nEVAL,"EX")=0),0))))</f>
      </c>
      <c r="H12242">
        <f>IF(DATOS!$G12242&lt;&gt;"EX",0,--(COUNTIFS(nNIA,DATOS!$A12242,nCURSO,DATOS!$D12242,nESPEC,DATOS!$E12242,nASIG,DATOS!$I12242,nEVAL,"OR")=0))</f>
      </c>
      <c r="I12242">
        <f>IF(DATOS!$I12242="","",IFERROR(VLOOKUP(DATOS!$I12242,CONFIG_ASIGNATURAS!$B$2:$J$91,9,FALSE()),""))</f>
      </c>
    </row>
    <row r="12243">
      <c r="F12243">
        <f>IF(DATOS!$A12243="","",DATOS!$A12243&amp;"|"&amp;DATOS!$D12243&amp;"|"&amp;DATOS!$E12243&amp;"|"&amp;DATOS!$I12243)</f>
      </c>
      <c r="G12243">
        <f>IF(DATOS!$A12243="",0,IF(CONFIG_METADATA!$B$4&lt;&gt;"OR+EX",--(DATOS!$G12243=CONFIG_METADATA!$B$4),IF(DATOS!$G12243="EX",1,IF(DATOS!$G12243="OR",--(COUNTIFS(nNIA,DATOS!$A12243,nCURSO,DATOS!$D12243,nESPEC,DATOS!$E12243,nASIG,DATOS!$I12243,nEVAL,"EX")=0),0))))</f>
      </c>
      <c r="H12243">
        <f>IF(DATOS!$G12243&lt;&gt;"EX",0,--(COUNTIFS(nNIA,DATOS!$A12243,nCURSO,DATOS!$D12243,nESPEC,DATOS!$E12243,nASIG,DATOS!$I12243,nEVAL,"OR")=0))</f>
      </c>
      <c r="I12243">
        <f>IF(DATOS!$I12243="","",IFERROR(VLOOKUP(DATOS!$I12243,CONFIG_ASIGNATURAS!$B$2:$J$91,9,FALSE()),""))</f>
      </c>
    </row>
    <row r="12244">
      <c r="F12244">
        <f>IF(DATOS!$A12244="","",DATOS!$A12244&amp;"|"&amp;DATOS!$D12244&amp;"|"&amp;DATOS!$E12244&amp;"|"&amp;DATOS!$I12244)</f>
      </c>
      <c r="G12244">
        <f>IF(DATOS!$A12244="",0,IF(CONFIG_METADATA!$B$4&lt;&gt;"OR+EX",--(DATOS!$G12244=CONFIG_METADATA!$B$4),IF(DATOS!$G12244="EX",1,IF(DATOS!$G12244="OR",--(COUNTIFS(nNIA,DATOS!$A12244,nCURSO,DATOS!$D12244,nESPEC,DATOS!$E12244,nASIG,DATOS!$I12244,nEVAL,"EX")=0),0))))</f>
      </c>
      <c r="H12244">
        <f>IF(DATOS!$G12244&lt;&gt;"EX",0,--(COUNTIFS(nNIA,DATOS!$A12244,nCURSO,DATOS!$D12244,nESPEC,DATOS!$E12244,nASIG,DATOS!$I12244,nEVAL,"OR")=0))</f>
      </c>
      <c r="I12244">
        <f>IF(DATOS!$I12244="","",IFERROR(VLOOKUP(DATOS!$I12244,CONFIG_ASIGNATURAS!$B$2:$J$91,9,FALSE()),""))</f>
      </c>
    </row>
    <row r="12245">
      <c r="F12245">
        <f>IF(DATOS!$A12245="","",DATOS!$A12245&amp;"|"&amp;DATOS!$D12245&amp;"|"&amp;DATOS!$E12245&amp;"|"&amp;DATOS!$I12245)</f>
      </c>
      <c r="G12245">
        <f>IF(DATOS!$A12245="",0,IF(CONFIG_METADATA!$B$4&lt;&gt;"OR+EX",--(DATOS!$G12245=CONFIG_METADATA!$B$4),IF(DATOS!$G12245="EX",1,IF(DATOS!$G12245="OR",--(COUNTIFS(nNIA,DATOS!$A12245,nCURSO,DATOS!$D12245,nESPEC,DATOS!$E12245,nASIG,DATOS!$I12245,nEVAL,"EX")=0),0))))</f>
      </c>
      <c r="H12245">
        <f>IF(DATOS!$G12245&lt;&gt;"EX",0,--(COUNTIFS(nNIA,DATOS!$A12245,nCURSO,DATOS!$D12245,nESPEC,DATOS!$E12245,nASIG,DATOS!$I12245,nEVAL,"OR")=0))</f>
      </c>
      <c r="I12245">
        <f>IF(DATOS!$I12245="","",IFERROR(VLOOKUP(DATOS!$I12245,CONFIG_ASIGNATURAS!$B$2:$J$91,9,FALSE()),""))</f>
      </c>
    </row>
    <row r="12246">
      <c r="F12246">
        <f>IF(DATOS!$A12246="","",DATOS!$A12246&amp;"|"&amp;DATOS!$D12246&amp;"|"&amp;DATOS!$E12246&amp;"|"&amp;DATOS!$I12246)</f>
      </c>
      <c r="G12246">
        <f>IF(DATOS!$A12246="",0,IF(CONFIG_METADATA!$B$4&lt;&gt;"OR+EX",--(DATOS!$G12246=CONFIG_METADATA!$B$4),IF(DATOS!$G12246="EX",1,IF(DATOS!$G12246="OR",--(COUNTIFS(nNIA,DATOS!$A12246,nCURSO,DATOS!$D12246,nESPEC,DATOS!$E12246,nASIG,DATOS!$I12246,nEVAL,"EX")=0),0))))</f>
      </c>
      <c r="H12246">
        <f>IF(DATOS!$G12246&lt;&gt;"EX",0,--(COUNTIFS(nNIA,DATOS!$A12246,nCURSO,DATOS!$D12246,nESPEC,DATOS!$E12246,nASIG,DATOS!$I12246,nEVAL,"OR")=0))</f>
      </c>
      <c r="I12246">
        <f>IF(DATOS!$I12246="","",IFERROR(VLOOKUP(DATOS!$I12246,CONFIG_ASIGNATURAS!$B$2:$J$91,9,FALSE()),""))</f>
      </c>
    </row>
    <row r="12247">
      <c r="F12247">
        <f>IF(DATOS!$A12247="","",DATOS!$A12247&amp;"|"&amp;DATOS!$D12247&amp;"|"&amp;DATOS!$E12247&amp;"|"&amp;DATOS!$I12247)</f>
      </c>
      <c r="G12247">
        <f>IF(DATOS!$A12247="",0,IF(CONFIG_METADATA!$B$4&lt;&gt;"OR+EX",--(DATOS!$G12247=CONFIG_METADATA!$B$4),IF(DATOS!$G12247="EX",1,IF(DATOS!$G12247="OR",--(COUNTIFS(nNIA,DATOS!$A12247,nCURSO,DATOS!$D12247,nESPEC,DATOS!$E12247,nASIG,DATOS!$I12247,nEVAL,"EX")=0),0))))</f>
      </c>
      <c r="H12247">
        <f>IF(DATOS!$G12247&lt;&gt;"EX",0,--(COUNTIFS(nNIA,DATOS!$A12247,nCURSO,DATOS!$D12247,nESPEC,DATOS!$E12247,nASIG,DATOS!$I12247,nEVAL,"OR")=0))</f>
      </c>
      <c r="I12247">
        <f>IF(DATOS!$I12247="","",IFERROR(VLOOKUP(DATOS!$I12247,CONFIG_ASIGNATURAS!$B$2:$J$91,9,FALSE()),""))</f>
      </c>
    </row>
    <row r="12248">
      <c r="F12248">
        <f>IF(DATOS!$A12248="","",DATOS!$A12248&amp;"|"&amp;DATOS!$D12248&amp;"|"&amp;DATOS!$E12248&amp;"|"&amp;DATOS!$I12248)</f>
      </c>
      <c r="G12248">
        <f>IF(DATOS!$A12248="",0,IF(CONFIG_METADATA!$B$4&lt;&gt;"OR+EX",--(DATOS!$G12248=CONFIG_METADATA!$B$4),IF(DATOS!$G12248="EX",1,IF(DATOS!$G12248="OR",--(COUNTIFS(nNIA,DATOS!$A12248,nCURSO,DATOS!$D12248,nESPEC,DATOS!$E12248,nASIG,DATOS!$I12248,nEVAL,"EX")=0),0))))</f>
      </c>
      <c r="H12248">
        <f>IF(DATOS!$G12248&lt;&gt;"EX",0,--(COUNTIFS(nNIA,DATOS!$A12248,nCURSO,DATOS!$D12248,nESPEC,DATOS!$E12248,nASIG,DATOS!$I12248,nEVAL,"OR")=0))</f>
      </c>
      <c r="I12248">
        <f>IF(DATOS!$I12248="","",IFERROR(VLOOKUP(DATOS!$I12248,CONFIG_ASIGNATURAS!$B$2:$J$91,9,FALSE()),""))</f>
      </c>
    </row>
    <row r="12249">
      <c r="F12249">
        <f>IF(DATOS!$A12249="","",DATOS!$A12249&amp;"|"&amp;DATOS!$D12249&amp;"|"&amp;DATOS!$E12249&amp;"|"&amp;DATOS!$I12249)</f>
      </c>
      <c r="G12249">
        <f>IF(DATOS!$A12249="",0,IF(CONFIG_METADATA!$B$4&lt;&gt;"OR+EX",--(DATOS!$G12249=CONFIG_METADATA!$B$4),IF(DATOS!$G12249="EX",1,IF(DATOS!$G12249="OR",--(COUNTIFS(nNIA,DATOS!$A12249,nCURSO,DATOS!$D12249,nESPEC,DATOS!$E12249,nASIG,DATOS!$I12249,nEVAL,"EX")=0),0))))</f>
      </c>
      <c r="H12249">
        <f>IF(DATOS!$G12249&lt;&gt;"EX",0,--(COUNTIFS(nNIA,DATOS!$A12249,nCURSO,DATOS!$D12249,nESPEC,DATOS!$E12249,nASIG,DATOS!$I12249,nEVAL,"OR")=0))</f>
      </c>
      <c r="I12249">
        <f>IF(DATOS!$I12249="","",IFERROR(VLOOKUP(DATOS!$I12249,CONFIG_ASIGNATURAS!$B$2:$J$91,9,FALSE()),""))</f>
      </c>
    </row>
    <row r="12250">
      <c r="F12250">
        <f>IF(DATOS!$A12250="","",DATOS!$A12250&amp;"|"&amp;DATOS!$D12250&amp;"|"&amp;DATOS!$E12250&amp;"|"&amp;DATOS!$I12250)</f>
      </c>
      <c r="G12250">
        <f>IF(DATOS!$A12250="",0,IF(CONFIG_METADATA!$B$4&lt;&gt;"OR+EX",--(DATOS!$G12250=CONFIG_METADATA!$B$4),IF(DATOS!$G12250="EX",1,IF(DATOS!$G12250="OR",--(COUNTIFS(nNIA,DATOS!$A12250,nCURSO,DATOS!$D12250,nESPEC,DATOS!$E12250,nASIG,DATOS!$I12250,nEVAL,"EX")=0),0))))</f>
      </c>
      <c r="H12250">
        <f>IF(DATOS!$G12250&lt;&gt;"EX",0,--(COUNTIFS(nNIA,DATOS!$A12250,nCURSO,DATOS!$D12250,nESPEC,DATOS!$E12250,nASIG,DATOS!$I12250,nEVAL,"OR")=0))</f>
      </c>
      <c r="I12250">
        <f>IF(DATOS!$I12250="","",IFERROR(VLOOKUP(DATOS!$I12250,CONFIG_ASIGNATURAS!$B$2:$J$91,9,FALSE()),""))</f>
      </c>
    </row>
    <row r="12251">
      <c r="F12251">
        <f>IF(DATOS!$A12251="","",DATOS!$A12251&amp;"|"&amp;DATOS!$D12251&amp;"|"&amp;DATOS!$E12251&amp;"|"&amp;DATOS!$I12251)</f>
      </c>
      <c r="G12251">
        <f>IF(DATOS!$A12251="",0,IF(CONFIG_METADATA!$B$4&lt;&gt;"OR+EX",--(DATOS!$G12251=CONFIG_METADATA!$B$4),IF(DATOS!$G12251="EX",1,IF(DATOS!$G12251="OR",--(COUNTIFS(nNIA,DATOS!$A12251,nCURSO,DATOS!$D12251,nESPEC,DATOS!$E12251,nASIG,DATOS!$I12251,nEVAL,"EX")=0),0))))</f>
      </c>
      <c r="H12251">
        <f>IF(DATOS!$G12251&lt;&gt;"EX",0,--(COUNTIFS(nNIA,DATOS!$A12251,nCURSO,DATOS!$D12251,nESPEC,DATOS!$E12251,nASIG,DATOS!$I12251,nEVAL,"OR")=0))</f>
      </c>
      <c r="I12251">
        <f>IF(DATOS!$I12251="","",IFERROR(VLOOKUP(DATOS!$I12251,CONFIG_ASIGNATURAS!$B$2:$J$91,9,FALSE()),""))</f>
      </c>
    </row>
    <row r="12252">
      <c r="F12252">
        <f>IF(DATOS!$A12252="","",DATOS!$A12252&amp;"|"&amp;DATOS!$D12252&amp;"|"&amp;DATOS!$E12252&amp;"|"&amp;DATOS!$I12252)</f>
      </c>
      <c r="G12252">
        <f>IF(DATOS!$A12252="",0,IF(CONFIG_METADATA!$B$4&lt;&gt;"OR+EX",--(DATOS!$G12252=CONFIG_METADATA!$B$4),IF(DATOS!$G12252="EX",1,IF(DATOS!$G12252="OR",--(COUNTIFS(nNIA,DATOS!$A12252,nCURSO,DATOS!$D12252,nESPEC,DATOS!$E12252,nASIG,DATOS!$I12252,nEVAL,"EX")=0),0))))</f>
      </c>
      <c r="H12252">
        <f>IF(DATOS!$G12252&lt;&gt;"EX",0,--(COUNTIFS(nNIA,DATOS!$A12252,nCURSO,DATOS!$D12252,nESPEC,DATOS!$E12252,nASIG,DATOS!$I12252,nEVAL,"OR")=0))</f>
      </c>
      <c r="I12252">
        <f>IF(DATOS!$I12252="","",IFERROR(VLOOKUP(DATOS!$I12252,CONFIG_ASIGNATURAS!$B$2:$J$91,9,FALSE()),""))</f>
      </c>
    </row>
    <row r="12253">
      <c r="F12253">
        <f>IF(DATOS!$A12253="","",DATOS!$A12253&amp;"|"&amp;DATOS!$D12253&amp;"|"&amp;DATOS!$E12253&amp;"|"&amp;DATOS!$I12253)</f>
      </c>
      <c r="G12253">
        <f>IF(DATOS!$A12253="",0,IF(CONFIG_METADATA!$B$4&lt;&gt;"OR+EX",--(DATOS!$G12253=CONFIG_METADATA!$B$4),IF(DATOS!$G12253="EX",1,IF(DATOS!$G12253="OR",--(COUNTIFS(nNIA,DATOS!$A12253,nCURSO,DATOS!$D12253,nESPEC,DATOS!$E12253,nASIG,DATOS!$I12253,nEVAL,"EX")=0),0))))</f>
      </c>
      <c r="H12253">
        <f>IF(DATOS!$G12253&lt;&gt;"EX",0,--(COUNTIFS(nNIA,DATOS!$A12253,nCURSO,DATOS!$D12253,nESPEC,DATOS!$E12253,nASIG,DATOS!$I12253,nEVAL,"OR")=0))</f>
      </c>
      <c r="I12253">
        <f>IF(DATOS!$I12253="","",IFERROR(VLOOKUP(DATOS!$I12253,CONFIG_ASIGNATURAS!$B$2:$J$91,9,FALSE()),""))</f>
      </c>
    </row>
    <row r="12254">
      <c r="F12254">
        <f>IF(DATOS!$A12254="","",DATOS!$A12254&amp;"|"&amp;DATOS!$D12254&amp;"|"&amp;DATOS!$E12254&amp;"|"&amp;DATOS!$I12254)</f>
      </c>
      <c r="G12254">
        <f>IF(DATOS!$A12254="",0,IF(CONFIG_METADATA!$B$4&lt;&gt;"OR+EX",--(DATOS!$G12254=CONFIG_METADATA!$B$4),IF(DATOS!$G12254="EX",1,IF(DATOS!$G12254="OR",--(COUNTIFS(nNIA,DATOS!$A12254,nCURSO,DATOS!$D12254,nESPEC,DATOS!$E12254,nASIG,DATOS!$I12254,nEVAL,"EX")=0),0))))</f>
      </c>
      <c r="H12254">
        <f>IF(DATOS!$G12254&lt;&gt;"EX",0,--(COUNTIFS(nNIA,DATOS!$A12254,nCURSO,DATOS!$D12254,nESPEC,DATOS!$E12254,nASIG,DATOS!$I12254,nEVAL,"OR")=0))</f>
      </c>
      <c r="I12254">
        <f>IF(DATOS!$I12254="","",IFERROR(VLOOKUP(DATOS!$I12254,CONFIG_ASIGNATURAS!$B$2:$J$91,9,FALSE()),""))</f>
      </c>
    </row>
    <row r="12255">
      <c r="F12255">
        <f>IF(DATOS!$A12255="","",DATOS!$A12255&amp;"|"&amp;DATOS!$D12255&amp;"|"&amp;DATOS!$E12255&amp;"|"&amp;DATOS!$I12255)</f>
      </c>
      <c r="G12255">
        <f>IF(DATOS!$A12255="",0,IF(CONFIG_METADATA!$B$4&lt;&gt;"OR+EX",--(DATOS!$G12255=CONFIG_METADATA!$B$4),IF(DATOS!$G12255="EX",1,IF(DATOS!$G12255="OR",--(COUNTIFS(nNIA,DATOS!$A12255,nCURSO,DATOS!$D12255,nESPEC,DATOS!$E12255,nASIG,DATOS!$I12255,nEVAL,"EX")=0),0))))</f>
      </c>
      <c r="H12255">
        <f>IF(DATOS!$G12255&lt;&gt;"EX",0,--(COUNTIFS(nNIA,DATOS!$A12255,nCURSO,DATOS!$D12255,nESPEC,DATOS!$E12255,nASIG,DATOS!$I12255,nEVAL,"OR")=0))</f>
      </c>
      <c r="I12255">
        <f>IF(DATOS!$I12255="","",IFERROR(VLOOKUP(DATOS!$I12255,CONFIG_ASIGNATURAS!$B$2:$J$91,9,FALSE()),""))</f>
      </c>
    </row>
    <row r="12256">
      <c r="F12256">
        <f>IF(DATOS!$A12256="","",DATOS!$A12256&amp;"|"&amp;DATOS!$D12256&amp;"|"&amp;DATOS!$E12256&amp;"|"&amp;DATOS!$I12256)</f>
      </c>
      <c r="G12256">
        <f>IF(DATOS!$A12256="",0,IF(CONFIG_METADATA!$B$4&lt;&gt;"OR+EX",--(DATOS!$G12256=CONFIG_METADATA!$B$4),IF(DATOS!$G12256="EX",1,IF(DATOS!$G12256="OR",--(COUNTIFS(nNIA,DATOS!$A12256,nCURSO,DATOS!$D12256,nESPEC,DATOS!$E12256,nASIG,DATOS!$I12256,nEVAL,"EX")=0),0))))</f>
      </c>
      <c r="H12256">
        <f>IF(DATOS!$G12256&lt;&gt;"EX",0,--(COUNTIFS(nNIA,DATOS!$A12256,nCURSO,DATOS!$D12256,nESPEC,DATOS!$E12256,nASIG,DATOS!$I12256,nEVAL,"OR")=0))</f>
      </c>
      <c r="I12256">
        <f>IF(DATOS!$I12256="","",IFERROR(VLOOKUP(DATOS!$I12256,CONFIG_ASIGNATURAS!$B$2:$J$91,9,FALSE()),""))</f>
      </c>
    </row>
    <row r="12257">
      <c r="F12257">
        <f>IF(DATOS!$A12257="","",DATOS!$A12257&amp;"|"&amp;DATOS!$D12257&amp;"|"&amp;DATOS!$E12257&amp;"|"&amp;DATOS!$I12257)</f>
      </c>
      <c r="G12257">
        <f>IF(DATOS!$A12257="",0,IF(CONFIG_METADATA!$B$4&lt;&gt;"OR+EX",--(DATOS!$G12257=CONFIG_METADATA!$B$4),IF(DATOS!$G12257="EX",1,IF(DATOS!$G12257="OR",--(COUNTIFS(nNIA,DATOS!$A12257,nCURSO,DATOS!$D12257,nESPEC,DATOS!$E12257,nASIG,DATOS!$I12257,nEVAL,"EX")=0),0))))</f>
      </c>
      <c r="H12257">
        <f>IF(DATOS!$G12257&lt;&gt;"EX",0,--(COUNTIFS(nNIA,DATOS!$A12257,nCURSO,DATOS!$D12257,nESPEC,DATOS!$E12257,nASIG,DATOS!$I12257,nEVAL,"OR")=0))</f>
      </c>
      <c r="I12257">
        <f>IF(DATOS!$I12257="","",IFERROR(VLOOKUP(DATOS!$I12257,CONFIG_ASIGNATURAS!$B$2:$J$91,9,FALSE()),""))</f>
      </c>
    </row>
    <row r="12258">
      <c r="F12258">
        <f>IF(DATOS!$A12258="","",DATOS!$A12258&amp;"|"&amp;DATOS!$D12258&amp;"|"&amp;DATOS!$E12258&amp;"|"&amp;DATOS!$I12258)</f>
      </c>
      <c r="G12258">
        <f>IF(DATOS!$A12258="",0,IF(CONFIG_METADATA!$B$4&lt;&gt;"OR+EX",--(DATOS!$G12258=CONFIG_METADATA!$B$4),IF(DATOS!$G12258="EX",1,IF(DATOS!$G12258="OR",--(COUNTIFS(nNIA,DATOS!$A12258,nCURSO,DATOS!$D12258,nESPEC,DATOS!$E12258,nASIG,DATOS!$I12258,nEVAL,"EX")=0),0))))</f>
      </c>
      <c r="H12258">
        <f>IF(DATOS!$G12258&lt;&gt;"EX",0,--(COUNTIFS(nNIA,DATOS!$A12258,nCURSO,DATOS!$D12258,nESPEC,DATOS!$E12258,nASIG,DATOS!$I12258,nEVAL,"OR")=0))</f>
      </c>
      <c r="I12258">
        <f>IF(DATOS!$I12258="","",IFERROR(VLOOKUP(DATOS!$I12258,CONFIG_ASIGNATURAS!$B$2:$J$91,9,FALSE()),""))</f>
      </c>
    </row>
    <row r="12259">
      <c r="F12259">
        <f>IF(DATOS!$A12259="","",DATOS!$A12259&amp;"|"&amp;DATOS!$D12259&amp;"|"&amp;DATOS!$E12259&amp;"|"&amp;DATOS!$I12259)</f>
      </c>
      <c r="G12259">
        <f>IF(DATOS!$A12259="",0,IF(CONFIG_METADATA!$B$4&lt;&gt;"OR+EX",--(DATOS!$G12259=CONFIG_METADATA!$B$4),IF(DATOS!$G12259="EX",1,IF(DATOS!$G12259="OR",--(COUNTIFS(nNIA,DATOS!$A12259,nCURSO,DATOS!$D12259,nESPEC,DATOS!$E12259,nASIG,DATOS!$I12259,nEVAL,"EX")=0),0))))</f>
      </c>
      <c r="H12259">
        <f>IF(DATOS!$G12259&lt;&gt;"EX",0,--(COUNTIFS(nNIA,DATOS!$A12259,nCURSO,DATOS!$D12259,nESPEC,DATOS!$E12259,nASIG,DATOS!$I12259,nEVAL,"OR")=0))</f>
      </c>
      <c r="I12259">
        <f>IF(DATOS!$I12259="","",IFERROR(VLOOKUP(DATOS!$I12259,CONFIG_ASIGNATURAS!$B$2:$J$91,9,FALSE()),""))</f>
      </c>
    </row>
    <row r="12260">
      <c r="F12260">
        <f>IF(DATOS!$A12260="","",DATOS!$A12260&amp;"|"&amp;DATOS!$D12260&amp;"|"&amp;DATOS!$E12260&amp;"|"&amp;DATOS!$I12260)</f>
      </c>
      <c r="G12260">
        <f>IF(DATOS!$A12260="",0,IF(CONFIG_METADATA!$B$4&lt;&gt;"OR+EX",--(DATOS!$G12260=CONFIG_METADATA!$B$4),IF(DATOS!$G12260="EX",1,IF(DATOS!$G12260="OR",--(COUNTIFS(nNIA,DATOS!$A12260,nCURSO,DATOS!$D12260,nESPEC,DATOS!$E12260,nASIG,DATOS!$I12260,nEVAL,"EX")=0),0))))</f>
      </c>
      <c r="H12260">
        <f>IF(DATOS!$G12260&lt;&gt;"EX",0,--(COUNTIFS(nNIA,DATOS!$A12260,nCURSO,DATOS!$D12260,nESPEC,DATOS!$E12260,nASIG,DATOS!$I12260,nEVAL,"OR")=0))</f>
      </c>
      <c r="I12260">
        <f>IF(DATOS!$I12260="","",IFERROR(VLOOKUP(DATOS!$I12260,CONFIG_ASIGNATURAS!$B$2:$J$91,9,FALSE()),""))</f>
      </c>
    </row>
    <row r="12261">
      <c r="F12261">
        <f>IF(DATOS!$A12261="","",DATOS!$A12261&amp;"|"&amp;DATOS!$D12261&amp;"|"&amp;DATOS!$E12261&amp;"|"&amp;DATOS!$I12261)</f>
      </c>
      <c r="G12261">
        <f>IF(DATOS!$A12261="",0,IF(CONFIG_METADATA!$B$4&lt;&gt;"OR+EX",--(DATOS!$G12261=CONFIG_METADATA!$B$4),IF(DATOS!$G12261="EX",1,IF(DATOS!$G12261="OR",--(COUNTIFS(nNIA,DATOS!$A12261,nCURSO,DATOS!$D12261,nESPEC,DATOS!$E12261,nASIG,DATOS!$I12261,nEVAL,"EX")=0),0))))</f>
      </c>
      <c r="H12261">
        <f>IF(DATOS!$G12261&lt;&gt;"EX",0,--(COUNTIFS(nNIA,DATOS!$A12261,nCURSO,DATOS!$D12261,nESPEC,DATOS!$E12261,nASIG,DATOS!$I12261,nEVAL,"OR")=0))</f>
      </c>
      <c r="I12261">
        <f>IF(DATOS!$I12261="","",IFERROR(VLOOKUP(DATOS!$I12261,CONFIG_ASIGNATURAS!$B$2:$J$91,9,FALSE()),""))</f>
      </c>
    </row>
    <row r="12262">
      <c r="F12262">
        <f>IF(DATOS!$A12262="","",DATOS!$A12262&amp;"|"&amp;DATOS!$D12262&amp;"|"&amp;DATOS!$E12262&amp;"|"&amp;DATOS!$I12262)</f>
      </c>
      <c r="G12262">
        <f>IF(DATOS!$A12262="",0,IF(CONFIG_METADATA!$B$4&lt;&gt;"OR+EX",--(DATOS!$G12262=CONFIG_METADATA!$B$4),IF(DATOS!$G12262="EX",1,IF(DATOS!$G12262="OR",--(COUNTIFS(nNIA,DATOS!$A12262,nCURSO,DATOS!$D12262,nESPEC,DATOS!$E12262,nASIG,DATOS!$I12262,nEVAL,"EX")=0),0))))</f>
      </c>
      <c r="H12262">
        <f>IF(DATOS!$G12262&lt;&gt;"EX",0,--(COUNTIFS(nNIA,DATOS!$A12262,nCURSO,DATOS!$D12262,nESPEC,DATOS!$E12262,nASIG,DATOS!$I12262,nEVAL,"OR")=0))</f>
      </c>
      <c r="I12262">
        <f>IF(DATOS!$I12262="","",IFERROR(VLOOKUP(DATOS!$I12262,CONFIG_ASIGNATURAS!$B$2:$J$91,9,FALSE()),""))</f>
      </c>
    </row>
    <row r="12263">
      <c r="F12263">
        <f>IF(DATOS!$A12263="","",DATOS!$A12263&amp;"|"&amp;DATOS!$D12263&amp;"|"&amp;DATOS!$E12263&amp;"|"&amp;DATOS!$I12263)</f>
      </c>
      <c r="G12263">
        <f>IF(DATOS!$A12263="",0,IF(CONFIG_METADATA!$B$4&lt;&gt;"OR+EX",--(DATOS!$G12263=CONFIG_METADATA!$B$4),IF(DATOS!$G12263="EX",1,IF(DATOS!$G12263="OR",--(COUNTIFS(nNIA,DATOS!$A12263,nCURSO,DATOS!$D12263,nESPEC,DATOS!$E12263,nASIG,DATOS!$I12263,nEVAL,"EX")=0),0))))</f>
      </c>
      <c r="H12263">
        <f>IF(DATOS!$G12263&lt;&gt;"EX",0,--(COUNTIFS(nNIA,DATOS!$A12263,nCURSO,DATOS!$D12263,nESPEC,DATOS!$E12263,nASIG,DATOS!$I12263,nEVAL,"OR")=0))</f>
      </c>
      <c r="I12263">
        <f>IF(DATOS!$I12263="","",IFERROR(VLOOKUP(DATOS!$I12263,CONFIG_ASIGNATURAS!$B$2:$J$91,9,FALSE()),""))</f>
      </c>
    </row>
    <row r="12264">
      <c r="F12264">
        <f>IF(DATOS!$A12264="","",DATOS!$A12264&amp;"|"&amp;DATOS!$D12264&amp;"|"&amp;DATOS!$E12264&amp;"|"&amp;DATOS!$I12264)</f>
      </c>
      <c r="G12264">
        <f>IF(DATOS!$A12264="",0,IF(CONFIG_METADATA!$B$4&lt;&gt;"OR+EX",--(DATOS!$G12264=CONFIG_METADATA!$B$4),IF(DATOS!$G12264="EX",1,IF(DATOS!$G12264="OR",--(COUNTIFS(nNIA,DATOS!$A12264,nCURSO,DATOS!$D12264,nESPEC,DATOS!$E12264,nASIG,DATOS!$I12264,nEVAL,"EX")=0),0))))</f>
      </c>
      <c r="H12264">
        <f>IF(DATOS!$G12264&lt;&gt;"EX",0,--(COUNTIFS(nNIA,DATOS!$A12264,nCURSO,DATOS!$D12264,nESPEC,DATOS!$E12264,nASIG,DATOS!$I12264,nEVAL,"OR")=0))</f>
      </c>
      <c r="I12264">
        <f>IF(DATOS!$I12264="","",IFERROR(VLOOKUP(DATOS!$I12264,CONFIG_ASIGNATURAS!$B$2:$J$91,9,FALSE()),""))</f>
      </c>
    </row>
    <row r="12265">
      <c r="F12265">
        <f>IF(DATOS!$A12265="","",DATOS!$A12265&amp;"|"&amp;DATOS!$D12265&amp;"|"&amp;DATOS!$E12265&amp;"|"&amp;DATOS!$I12265)</f>
      </c>
      <c r="G12265">
        <f>IF(DATOS!$A12265="",0,IF(CONFIG_METADATA!$B$4&lt;&gt;"OR+EX",--(DATOS!$G12265=CONFIG_METADATA!$B$4),IF(DATOS!$G12265="EX",1,IF(DATOS!$G12265="OR",--(COUNTIFS(nNIA,DATOS!$A12265,nCURSO,DATOS!$D12265,nESPEC,DATOS!$E12265,nASIG,DATOS!$I12265,nEVAL,"EX")=0),0))))</f>
      </c>
      <c r="H12265">
        <f>IF(DATOS!$G12265&lt;&gt;"EX",0,--(COUNTIFS(nNIA,DATOS!$A12265,nCURSO,DATOS!$D12265,nESPEC,DATOS!$E12265,nASIG,DATOS!$I12265,nEVAL,"OR")=0))</f>
      </c>
      <c r="I12265">
        <f>IF(DATOS!$I12265="","",IFERROR(VLOOKUP(DATOS!$I12265,CONFIG_ASIGNATURAS!$B$2:$J$91,9,FALSE()),""))</f>
      </c>
    </row>
    <row r="12266">
      <c r="F12266">
        <f>IF(DATOS!$A12266="","",DATOS!$A12266&amp;"|"&amp;DATOS!$D12266&amp;"|"&amp;DATOS!$E12266&amp;"|"&amp;DATOS!$I12266)</f>
      </c>
      <c r="G12266">
        <f>IF(DATOS!$A12266="",0,IF(CONFIG_METADATA!$B$4&lt;&gt;"OR+EX",--(DATOS!$G12266=CONFIG_METADATA!$B$4),IF(DATOS!$G12266="EX",1,IF(DATOS!$G12266="OR",--(COUNTIFS(nNIA,DATOS!$A12266,nCURSO,DATOS!$D12266,nESPEC,DATOS!$E12266,nASIG,DATOS!$I12266,nEVAL,"EX")=0),0))))</f>
      </c>
      <c r="H12266">
        <f>IF(DATOS!$G12266&lt;&gt;"EX",0,--(COUNTIFS(nNIA,DATOS!$A12266,nCURSO,DATOS!$D12266,nESPEC,DATOS!$E12266,nASIG,DATOS!$I12266,nEVAL,"OR")=0))</f>
      </c>
      <c r="I12266">
        <f>IF(DATOS!$I12266="","",IFERROR(VLOOKUP(DATOS!$I12266,CONFIG_ASIGNATURAS!$B$2:$J$91,9,FALSE()),""))</f>
      </c>
    </row>
    <row r="12267">
      <c r="F12267">
        <f>IF(DATOS!$A12267="","",DATOS!$A12267&amp;"|"&amp;DATOS!$D12267&amp;"|"&amp;DATOS!$E12267&amp;"|"&amp;DATOS!$I12267)</f>
      </c>
      <c r="G12267">
        <f>IF(DATOS!$A12267="",0,IF(CONFIG_METADATA!$B$4&lt;&gt;"OR+EX",--(DATOS!$G12267=CONFIG_METADATA!$B$4),IF(DATOS!$G12267="EX",1,IF(DATOS!$G12267="OR",--(COUNTIFS(nNIA,DATOS!$A12267,nCURSO,DATOS!$D12267,nESPEC,DATOS!$E12267,nASIG,DATOS!$I12267,nEVAL,"EX")=0),0))))</f>
      </c>
      <c r="H12267">
        <f>IF(DATOS!$G12267&lt;&gt;"EX",0,--(COUNTIFS(nNIA,DATOS!$A12267,nCURSO,DATOS!$D12267,nESPEC,DATOS!$E12267,nASIG,DATOS!$I12267,nEVAL,"OR")=0))</f>
      </c>
      <c r="I12267">
        <f>IF(DATOS!$I12267="","",IFERROR(VLOOKUP(DATOS!$I12267,CONFIG_ASIGNATURAS!$B$2:$J$91,9,FALSE()),""))</f>
      </c>
    </row>
    <row r="12268">
      <c r="F12268">
        <f>IF(DATOS!$A12268="","",DATOS!$A12268&amp;"|"&amp;DATOS!$D12268&amp;"|"&amp;DATOS!$E12268&amp;"|"&amp;DATOS!$I12268)</f>
      </c>
      <c r="G12268">
        <f>IF(DATOS!$A12268="",0,IF(CONFIG_METADATA!$B$4&lt;&gt;"OR+EX",--(DATOS!$G12268=CONFIG_METADATA!$B$4),IF(DATOS!$G12268="EX",1,IF(DATOS!$G12268="OR",--(COUNTIFS(nNIA,DATOS!$A12268,nCURSO,DATOS!$D12268,nESPEC,DATOS!$E12268,nASIG,DATOS!$I12268,nEVAL,"EX")=0),0))))</f>
      </c>
      <c r="H12268">
        <f>IF(DATOS!$G12268&lt;&gt;"EX",0,--(COUNTIFS(nNIA,DATOS!$A12268,nCURSO,DATOS!$D12268,nESPEC,DATOS!$E12268,nASIG,DATOS!$I12268,nEVAL,"OR")=0))</f>
      </c>
      <c r="I12268">
        <f>IF(DATOS!$I12268="","",IFERROR(VLOOKUP(DATOS!$I12268,CONFIG_ASIGNATURAS!$B$2:$J$91,9,FALSE()),""))</f>
      </c>
    </row>
    <row r="12269">
      <c r="F12269">
        <f>IF(DATOS!$A12269="","",DATOS!$A12269&amp;"|"&amp;DATOS!$D12269&amp;"|"&amp;DATOS!$E12269&amp;"|"&amp;DATOS!$I12269)</f>
      </c>
      <c r="G12269">
        <f>IF(DATOS!$A12269="",0,IF(CONFIG_METADATA!$B$4&lt;&gt;"OR+EX",--(DATOS!$G12269=CONFIG_METADATA!$B$4),IF(DATOS!$G12269="EX",1,IF(DATOS!$G12269="OR",--(COUNTIFS(nNIA,DATOS!$A12269,nCURSO,DATOS!$D12269,nESPEC,DATOS!$E12269,nASIG,DATOS!$I12269,nEVAL,"EX")=0),0))))</f>
      </c>
      <c r="H12269">
        <f>IF(DATOS!$G12269&lt;&gt;"EX",0,--(COUNTIFS(nNIA,DATOS!$A12269,nCURSO,DATOS!$D12269,nESPEC,DATOS!$E12269,nASIG,DATOS!$I12269,nEVAL,"OR")=0))</f>
      </c>
      <c r="I12269">
        <f>IF(DATOS!$I12269="","",IFERROR(VLOOKUP(DATOS!$I12269,CONFIG_ASIGNATURAS!$B$2:$J$91,9,FALSE()),""))</f>
      </c>
    </row>
    <row r="12270">
      <c r="F12270">
        <f>IF(DATOS!$A12270="","",DATOS!$A12270&amp;"|"&amp;DATOS!$D12270&amp;"|"&amp;DATOS!$E12270&amp;"|"&amp;DATOS!$I12270)</f>
      </c>
      <c r="G12270">
        <f>IF(DATOS!$A12270="",0,IF(CONFIG_METADATA!$B$4&lt;&gt;"OR+EX",--(DATOS!$G12270=CONFIG_METADATA!$B$4),IF(DATOS!$G12270="EX",1,IF(DATOS!$G12270="OR",--(COUNTIFS(nNIA,DATOS!$A12270,nCURSO,DATOS!$D12270,nESPEC,DATOS!$E12270,nASIG,DATOS!$I12270,nEVAL,"EX")=0),0))))</f>
      </c>
      <c r="H12270">
        <f>IF(DATOS!$G12270&lt;&gt;"EX",0,--(COUNTIFS(nNIA,DATOS!$A12270,nCURSO,DATOS!$D12270,nESPEC,DATOS!$E12270,nASIG,DATOS!$I12270,nEVAL,"OR")=0))</f>
      </c>
      <c r="I12270">
        <f>IF(DATOS!$I12270="","",IFERROR(VLOOKUP(DATOS!$I12270,CONFIG_ASIGNATURAS!$B$2:$J$91,9,FALSE()),""))</f>
      </c>
    </row>
    <row r="12271">
      <c r="F12271">
        <f>IF(DATOS!$A12271="","",DATOS!$A12271&amp;"|"&amp;DATOS!$D12271&amp;"|"&amp;DATOS!$E12271&amp;"|"&amp;DATOS!$I12271)</f>
      </c>
      <c r="G12271">
        <f>IF(DATOS!$A12271="",0,IF(CONFIG_METADATA!$B$4&lt;&gt;"OR+EX",--(DATOS!$G12271=CONFIG_METADATA!$B$4),IF(DATOS!$G12271="EX",1,IF(DATOS!$G12271="OR",--(COUNTIFS(nNIA,DATOS!$A12271,nCURSO,DATOS!$D12271,nESPEC,DATOS!$E12271,nASIG,DATOS!$I12271,nEVAL,"EX")=0),0))))</f>
      </c>
      <c r="H12271">
        <f>IF(DATOS!$G12271&lt;&gt;"EX",0,--(COUNTIFS(nNIA,DATOS!$A12271,nCURSO,DATOS!$D12271,nESPEC,DATOS!$E12271,nASIG,DATOS!$I12271,nEVAL,"OR")=0))</f>
      </c>
      <c r="I12271">
        <f>IF(DATOS!$I12271="","",IFERROR(VLOOKUP(DATOS!$I12271,CONFIG_ASIGNATURAS!$B$2:$J$91,9,FALSE()),""))</f>
      </c>
    </row>
    <row r="12272">
      <c r="F12272">
        <f>IF(DATOS!$A12272="","",DATOS!$A12272&amp;"|"&amp;DATOS!$D12272&amp;"|"&amp;DATOS!$E12272&amp;"|"&amp;DATOS!$I12272)</f>
      </c>
      <c r="G12272">
        <f>IF(DATOS!$A12272="",0,IF(CONFIG_METADATA!$B$4&lt;&gt;"OR+EX",--(DATOS!$G12272=CONFIG_METADATA!$B$4),IF(DATOS!$G12272="EX",1,IF(DATOS!$G12272="OR",--(COUNTIFS(nNIA,DATOS!$A12272,nCURSO,DATOS!$D12272,nESPEC,DATOS!$E12272,nASIG,DATOS!$I12272,nEVAL,"EX")=0),0))))</f>
      </c>
      <c r="H12272">
        <f>IF(DATOS!$G12272&lt;&gt;"EX",0,--(COUNTIFS(nNIA,DATOS!$A12272,nCURSO,DATOS!$D12272,nESPEC,DATOS!$E12272,nASIG,DATOS!$I12272,nEVAL,"OR")=0))</f>
      </c>
      <c r="I12272">
        <f>IF(DATOS!$I12272="","",IFERROR(VLOOKUP(DATOS!$I12272,CONFIG_ASIGNATURAS!$B$2:$J$91,9,FALSE()),""))</f>
      </c>
    </row>
    <row r="12273">
      <c r="F12273">
        <f>IF(DATOS!$A12273="","",DATOS!$A12273&amp;"|"&amp;DATOS!$D12273&amp;"|"&amp;DATOS!$E12273&amp;"|"&amp;DATOS!$I12273)</f>
      </c>
      <c r="G12273">
        <f>IF(DATOS!$A12273="",0,IF(CONFIG_METADATA!$B$4&lt;&gt;"OR+EX",--(DATOS!$G12273=CONFIG_METADATA!$B$4),IF(DATOS!$G12273="EX",1,IF(DATOS!$G12273="OR",--(COUNTIFS(nNIA,DATOS!$A12273,nCURSO,DATOS!$D12273,nESPEC,DATOS!$E12273,nASIG,DATOS!$I12273,nEVAL,"EX")=0),0))))</f>
      </c>
      <c r="H12273">
        <f>IF(DATOS!$G12273&lt;&gt;"EX",0,--(COUNTIFS(nNIA,DATOS!$A12273,nCURSO,DATOS!$D12273,nESPEC,DATOS!$E12273,nASIG,DATOS!$I12273,nEVAL,"OR")=0))</f>
      </c>
      <c r="I12273">
        <f>IF(DATOS!$I12273="","",IFERROR(VLOOKUP(DATOS!$I12273,CONFIG_ASIGNATURAS!$B$2:$J$91,9,FALSE()),""))</f>
      </c>
    </row>
    <row r="12274">
      <c r="F12274">
        <f>IF(DATOS!$A12274="","",DATOS!$A12274&amp;"|"&amp;DATOS!$D12274&amp;"|"&amp;DATOS!$E12274&amp;"|"&amp;DATOS!$I12274)</f>
      </c>
      <c r="G12274">
        <f>IF(DATOS!$A12274="",0,IF(CONFIG_METADATA!$B$4&lt;&gt;"OR+EX",--(DATOS!$G12274=CONFIG_METADATA!$B$4),IF(DATOS!$G12274="EX",1,IF(DATOS!$G12274="OR",--(COUNTIFS(nNIA,DATOS!$A12274,nCURSO,DATOS!$D12274,nESPEC,DATOS!$E12274,nASIG,DATOS!$I12274,nEVAL,"EX")=0),0))))</f>
      </c>
      <c r="H12274">
        <f>IF(DATOS!$G12274&lt;&gt;"EX",0,--(COUNTIFS(nNIA,DATOS!$A12274,nCURSO,DATOS!$D12274,nESPEC,DATOS!$E12274,nASIG,DATOS!$I12274,nEVAL,"OR")=0))</f>
      </c>
      <c r="I12274">
        <f>IF(DATOS!$I12274="","",IFERROR(VLOOKUP(DATOS!$I12274,CONFIG_ASIGNATURAS!$B$2:$J$91,9,FALSE()),""))</f>
      </c>
    </row>
    <row r="12275">
      <c r="F12275">
        <f>IF(DATOS!$A12275="","",DATOS!$A12275&amp;"|"&amp;DATOS!$D12275&amp;"|"&amp;DATOS!$E12275&amp;"|"&amp;DATOS!$I12275)</f>
      </c>
      <c r="G12275">
        <f>IF(DATOS!$A12275="",0,IF(CONFIG_METADATA!$B$4&lt;&gt;"OR+EX",--(DATOS!$G12275=CONFIG_METADATA!$B$4),IF(DATOS!$G12275="EX",1,IF(DATOS!$G12275="OR",--(COUNTIFS(nNIA,DATOS!$A12275,nCURSO,DATOS!$D12275,nESPEC,DATOS!$E12275,nASIG,DATOS!$I12275,nEVAL,"EX")=0),0))))</f>
      </c>
      <c r="H12275">
        <f>IF(DATOS!$G12275&lt;&gt;"EX",0,--(COUNTIFS(nNIA,DATOS!$A12275,nCURSO,DATOS!$D12275,nESPEC,DATOS!$E12275,nASIG,DATOS!$I12275,nEVAL,"OR")=0))</f>
      </c>
      <c r="I12275">
        <f>IF(DATOS!$I12275="","",IFERROR(VLOOKUP(DATOS!$I12275,CONFIG_ASIGNATURAS!$B$2:$J$91,9,FALSE()),""))</f>
      </c>
    </row>
    <row r="12276">
      <c r="F12276">
        <f>IF(DATOS!$A12276="","",DATOS!$A12276&amp;"|"&amp;DATOS!$D12276&amp;"|"&amp;DATOS!$E12276&amp;"|"&amp;DATOS!$I12276)</f>
      </c>
      <c r="G12276">
        <f>IF(DATOS!$A12276="",0,IF(CONFIG_METADATA!$B$4&lt;&gt;"OR+EX",--(DATOS!$G12276=CONFIG_METADATA!$B$4),IF(DATOS!$G12276="EX",1,IF(DATOS!$G12276="OR",--(COUNTIFS(nNIA,DATOS!$A12276,nCURSO,DATOS!$D12276,nESPEC,DATOS!$E12276,nASIG,DATOS!$I12276,nEVAL,"EX")=0),0))))</f>
      </c>
      <c r="H12276">
        <f>IF(DATOS!$G12276&lt;&gt;"EX",0,--(COUNTIFS(nNIA,DATOS!$A12276,nCURSO,DATOS!$D12276,nESPEC,DATOS!$E12276,nASIG,DATOS!$I12276,nEVAL,"OR")=0))</f>
      </c>
      <c r="I12276">
        <f>IF(DATOS!$I12276="","",IFERROR(VLOOKUP(DATOS!$I12276,CONFIG_ASIGNATURAS!$B$2:$J$91,9,FALSE()),""))</f>
      </c>
    </row>
    <row r="12277">
      <c r="F12277">
        <f>IF(DATOS!$A12277="","",DATOS!$A12277&amp;"|"&amp;DATOS!$D12277&amp;"|"&amp;DATOS!$E12277&amp;"|"&amp;DATOS!$I12277)</f>
      </c>
      <c r="G12277">
        <f>IF(DATOS!$A12277="",0,IF(CONFIG_METADATA!$B$4&lt;&gt;"OR+EX",--(DATOS!$G12277=CONFIG_METADATA!$B$4),IF(DATOS!$G12277="EX",1,IF(DATOS!$G12277="OR",--(COUNTIFS(nNIA,DATOS!$A12277,nCURSO,DATOS!$D12277,nESPEC,DATOS!$E12277,nASIG,DATOS!$I12277,nEVAL,"EX")=0),0))))</f>
      </c>
      <c r="H12277">
        <f>IF(DATOS!$G12277&lt;&gt;"EX",0,--(COUNTIFS(nNIA,DATOS!$A12277,nCURSO,DATOS!$D12277,nESPEC,DATOS!$E12277,nASIG,DATOS!$I12277,nEVAL,"OR")=0))</f>
      </c>
      <c r="I12277">
        <f>IF(DATOS!$I12277="","",IFERROR(VLOOKUP(DATOS!$I12277,CONFIG_ASIGNATURAS!$B$2:$J$91,9,FALSE()),""))</f>
      </c>
    </row>
    <row r="12278">
      <c r="F12278">
        <f>IF(DATOS!$A12278="","",DATOS!$A12278&amp;"|"&amp;DATOS!$D12278&amp;"|"&amp;DATOS!$E12278&amp;"|"&amp;DATOS!$I12278)</f>
      </c>
      <c r="G12278">
        <f>IF(DATOS!$A12278="",0,IF(CONFIG_METADATA!$B$4&lt;&gt;"OR+EX",--(DATOS!$G12278=CONFIG_METADATA!$B$4),IF(DATOS!$G12278="EX",1,IF(DATOS!$G12278="OR",--(COUNTIFS(nNIA,DATOS!$A12278,nCURSO,DATOS!$D12278,nESPEC,DATOS!$E12278,nASIG,DATOS!$I12278,nEVAL,"EX")=0),0))))</f>
      </c>
      <c r="H12278">
        <f>IF(DATOS!$G12278&lt;&gt;"EX",0,--(COUNTIFS(nNIA,DATOS!$A12278,nCURSO,DATOS!$D12278,nESPEC,DATOS!$E12278,nASIG,DATOS!$I12278,nEVAL,"OR")=0))</f>
      </c>
      <c r="I12278">
        <f>IF(DATOS!$I12278="","",IFERROR(VLOOKUP(DATOS!$I12278,CONFIG_ASIGNATURAS!$B$2:$J$91,9,FALSE()),""))</f>
      </c>
    </row>
    <row r="12279">
      <c r="F12279">
        <f>IF(DATOS!$A12279="","",DATOS!$A12279&amp;"|"&amp;DATOS!$D12279&amp;"|"&amp;DATOS!$E12279&amp;"|"&amp;DATOS!$I12279)</f>
      </c>
      <c r="G12279">
        <f>IF(DATOS!$A12279="",0,IF(CONFIG_METADATA!$B$4&lt;&gt;"OR+EX",--(DATOS!$G12279=CONFIG_METADATA!$B$4),IF(DATOS!$G12279="EX",1,IF(DATOS!$G12279="OR",--(COUNTIFS(nNIA,DATOS!$A12279,nCURSO,DATOS!$D12279,nESPEC,DATOS!$E12279,nASIG,DATOS!$I12279,nEVAL,"EX")=0),0))))</f>
      </c>
      <c r="H12279">
        <f>IF(DATOS!$G12279&lt;&gt;"EX",0,--(COUNTIFS(nNIA,DATOS!$A12279,nCURSO,DATOS!$D12279,nESPEC,DATOS!$E12279,nASIG,DATOS!$I12279,nEVAL,"OR")=0))</f>
      </c>
      <c r="I12279">
        <f>IF(DATOS!$I12279="","",IFERROR(VLOOKUP(DATOS!$I12279,CONFIG_ASIGNATURAS!$B$2:$J$91,9,FALSE()),""))</f>
      </c>
    </row>
    <row r="12280">
      <c r="F12280">
        <f>IF(DATOS!$A12280="","",DATOS!$A12280&amp;"|"&amp;DATOS!$D12280&amp;"|"&amp;DATOS!$E12280&amp;"|"&amp;DATOS!$I12280)</f>
      </c>
      <c r="G12280">
        <f>IF(DATOS!$A12280="",0,IF(CONFIG_METADATA!$B$4&lt;&gt;"OR+EX",--(DATOS!$G12280=CONFIG_METADATA!$B$4),IF(DATOS!$G12280="EX",1,IF(DATOS!$G12280="OR",--(COUNTIFS(nNIA,DATOS!$A12280,nCURSO,DATOS!$D12280,nESPEC,DATOS!$E12280,nASIG,DATOS!$I12280,nEVAL,"EX")=0),0))))</f>
      </c>
      <c r="H12280">
        <f>IF(DATOS!$G12280&lt;&gt;"EX",0,--(COUNTIFS(nNIA,DATOS!$A12280,nCURSO,DATOS!$D12280,nESPEC,DATOS!$E12280,nASIG,DATOS!$I12280,nEVAL,"OR")=0))</f>
      </c>
      <c r="I12280">
        <f>IF(DATOS!$I12280="","",IFERROR(VLOOKUP(DATOS!$I12280,CONFIG_ASIGNATURAS!$B$2:$J$91,9,FALSE()),""))</f>
      </c>
    </row>
    <row r="12281">
      <c r="F12281">
        <f>IF(DATOS!$A12281="","",DATOS!$A12281&amp;"|"&amp;DATOS!$D12281&amp;"|"&amp;DATOS!$E12281&amp;"|"&amp;DATOS!$I12281)</f>
      </c>
      <c r="G12281">
        <f>IF(DATOS!$A12281="",0,IF(CONFIG_METADATA!$B$4&lt;&gt;"OR+EX",--(DATOS!$G12281=CONFIG_METADATA!$B$4),IF(DATOS!$G12281="EX",1,IF(DATOS!$G12281="OR",--(COUNTIFS(nNIA,DATOS!$A12281,nCURSO,DATOS!$D12281,nESPEC,DATOS!$E12281,nASIG,DATOS!$I12281,nEVAL,"EX")=0),0))))</f>
      </c>
      <c r="H12281">
        <f>IF(DATOS!$G12281&lt;&gt;"EX",0,--(COUNTIFS(nNIA,DATOS!$A12281,nCURSO,DATOS!$D12281,nESPEC,DATOS!$E12281,nASIG,DATOS!$I12281,nEVAL,"OR")=0))</f>
      </c>
      <c r="I12281">
        <f>IF(DATOS!$I12281="","",IFERROR(VLOOKUP(DATOS!$I12281,CONFIG_ASIGNATURAS!$B$2:$J$91,9,FALSE()),""))</f>
      </c>
    </row>
    <row r="12282">
      <c r="F12282">
        <f>IF(DATOS!$A12282="","",DATOS!$A12282&amp;"|"&amp;DATOS!$D12282&amp;"|"&amp;DATOS!$E12282&amp;"|"&amp;DATOS!$I12282)</f>
      </c>
      <c r="G12282">
        <f>IF(DATOS!$A12282="",0,IF(CONFIG_METADATA!$B$4&lt;&gt;"OR+EX",--(DATOS!$G12282=CONFIG_METADATA!$B$4),IF(DATOS!$G12282="EX",1,IF(DATOS!$G12282="OR",--(COUNTIFS(nNIA,DATOS!$A12282,nCURSO,DATOS!$D12282,nESPEC,DATOS!$E12282,nASIG,DATOS!$I12282,nEVAL,"EX")=0),0))))</f>
      </c>
      <c r="H12282">
        <f>IF(DATOS!$G12282&lt;&gt;"EX",0,--(COUNTIFS(nNIA,DATOS!$A12282,nCURSO,DATOS!$D12282,nESPEC,DATOS!$E12282,nASIG,DATOS!$I12282,nEVAL,"OR")=0))</f>
      </c>
      <c r="I12282">
        <f>IF(DATOS!$I12282="","",IFERROR(VLOOKUP(DATOS!$I12282,CONFIG_ASIGNATURAS!$B$2:$J$91,9,FALSE()),""))</f>
      </c>
    </row>
    <row r="12283">
      <c r="F12283">
        <f>IF(DATOS!$A12283="","",DATOS!$A12283&amp;"|"&amp;DATOS!$D12283&amp;"|"&amp;DATOS!$E12283&amp;"|"&amp;DATOS!$I12283)</f>
      </c>
      <c r="G12283">
        <f>IF(DATOS!$A12283="",0,IF(CONFIG_METADATA!$B$4&lt;&gt;"OR+EX",--(DATOS!$G12283=CONFIG_METADATA!$B$4),IF(DATOS!$G12283="EX",1,IF(DATOS!$G12283="OR",--(COUNTIFS(nNIA,DATOS!$A12283,nCURSO,DATOS!$D12283,nESPEC,DATOS!$E12283,nASIG,DATOS!$I12283,nEVAL,"EX")=0),0))))</f>
      </c>
      <c r="H12283">
        <f>IF(DATOS!$G12283&lt;&gt;"EX",0,--(COUNTIFS(nNIA,DATOS!$A12283,nCURSO,DATOS!$D12283,nESPEC,DATOS!$E12283,nASIG,DATOS!$I12283,nEVAL,"OR")=0))</f>
      </c>
      <c r="I12283">
        <f>IF(DATOS!$I12283="","",IFERROR(VLOOKUP(DATOS!$I12283,CONFIG_ASIGNATURAS!$B$2:$J$91,9,FALSE()),""))</f>
      </c>
    </row>
    <row r="12284">
      <c r="F12284">
        <f>IF(DATOS!$A12284="","",DATOS!$A12284&amp;"|"&amp;DATOS!$D12284&amp;"|"&amp;DATOS!$E12284&amp;"|"&amp;DATOS!$I12284)</f>
      </c>
      <c r="G12284">
        <f>IF(DATOS!$A12284="",0,IF(CONFIG_METADATA!$B$4&lt;&gt;"OR+EX",--(DATOS!$G12284=CONFIG_METADATA!$B$4),IF(DATOS!$G12284="EX",1,IF(DATOS!$G12284="OR",--(COUNTIFS(nNIA,DATOS!$A12284,nCURSO,DATOS!$D12284,nESPEC,DATOS!$E12284,nASIG,DATOS!$I12284,nEVAL,"EX")=0),0))))</f>
      </c>
      <c r="H12284">
        <f>IF(DATOS!$G12284&lt;&gt;"EX",0,--(COUNTIFS(nNIA,DATOS!$A12284,nCURSO,DATOS!$D12284,nESPEC,DATOS!$E12284,nASIG,DATOS!$I12284,nEVAL,"OR")=0))</f>
      </c>
      <c r="I12284">
        <f>IF(DATOS!$I12284="","",IFERROR(VLOOKUP(DATOS!$I12284,CONFIG_ASIGNATURAS!$B$2:$J$91,9,FALSE()),""))</f>
      </c>
    </row>
    <row r="12285">
      <c r="F12285">
        <f>IF(DATOS!$A12285="","",DATOS!$A12285&amp;"|"&amp;DATOS!$D12285&amp;"|"&amp;DATOS!$E12285&amp;"|"&amp;DATOS!$I12285)</f>
      </c>
      <c r="G12285">
        <f>IF(DATOS!$A12285="",0,IF(CONFIG_METADATA!$B$4&lt;&gt;"OR+EX",--(DATOS!$G12285=CONFIG_METADATA!$B$4),IF(DATOS!$G12285="EX",1,IF(DATOS!$G12285="OR",--(COUNTIFS(nNIA,DATOS!$A12285,nCURSO,DATOS!$D12285,nESPEC,DATOS!$E12285,nASIG,DATOS!$I12285,nEVAL,"EX")=0),0))))</f>
      </c>
      <c r="H12285">
        <f>IF(DATOS!$G12285&lt;&gt;"EX",0,--(COUNTIFS(nNIA,DATOS!$A12285,nCURSO,DATOS!$D12285,nESPEC,DATOS!$E12285,nASIG,DATOS!$I12285,nEVAL,"OR")=0))</f>
      </c>
      <c r="I12285">
        <f>IF(DATOS!$I12285="","",IFERROR(VLOOKUP(DATOS!$I12285,CONFIG_ASIGNATURAS!$B$2:$J$91,9,FALSE()),""))</f>
      </c>
    </row>
    <row r="12286">
      <c r="F12286">
        <f>IF(DATOS!$A12286="","",DATOS!$A12286&amp;"|"&amp;DATOS!$D12286&amp;"|"&amp;DATOS!$E12286&amp;"|"&amp;DATOS!$I12286)</f>
      </c>
      <c r="G12286">
        <f>IF(DATOS!$A12286="",0,IF(CONFIG_METADATA!$B$4&lt;&gt;"OR+EX",--(DATOS!$G12286=CONFIG_METADATA!$B$4),IF(DATOS!$G12286="EX",1,IF(DATOS!$G12286="OR",--(COUNTIFS(nNIA,DATOS!$A12286,nCURSO,DATOS!$D12286,nESPEC,DATOS!$E12286,nASIG,DATOS!$I12286,nEVAL,"EX")=0),0))))</f>
      </c>
      <c r="H12286">
        <f>IF(DATOS!$G12286&lt;&gt;"EX",0,--(COUNTIFS(nNIA,DATOS!$A12286,nCURSO,DATOS!$D12286,nESPEC,DATOS!$E12286,nASIG,DATOS!$I12286,nEVAL,"OR")=0))</f>
      </c>
      <c r="I12286">
        <f>IF(DATOS!$I12286="","",IFERROR(VLOOKUP(DATOS!$I12286,CONFIG_ASIGNATURAS!$B$2:$J$91,9,FALSE()),""))</f>
      </c>
    </row>
    <row r="12287">
      <c r="F12287">
        <f>IF(DATOS!$A12287="","",DATOS!$A12287&amp;"|"&amp;DATOS!$D12287&amp;"|"&amp;DATOS!$E12287&amp;"|"&amp;DATOS!$I12287)</f>
      </c>
      <c r="G12287">
        <f>IF(DATOS!$A12287="",0,IF(CONFIG_METADATA!$B$4&lt;&gt;"OR+EX",--(DATOS!$G12287=CONFIG_METADATA!$B$4),IF(DATOS!$G12287="EX",1,IF(DATOS!$G12287="OR",--(COUNTIFS(nNIA,DATOS!$A12287,nCURSO,DATOS!$D12287,nESPEC,DATOS!$E12287,nASIG,DATOS!$I12287,nEVAL,"EX")=0),0))))</f>
      </c>
      <c r="H12287">
        <f>IF(DATOS!$G12287&lt;&gt;"EX",0,--(COUNTIFS(nNIA,DATOS!$A12287,nCURSO,DATOS!$D12287,nESPEC,DATOS!$E12287,nASIG,DATOS!$I12287,nEVAL,"OR")=0))</f>
      </c>
      <c r="I12287">
        <f>IF(DATOS!$I12287="","",IFERROR(VLOOKUP(DATOS!$I12287,CONFIG_ASIGNATURAS!$B$2:$J$91,9,FALSE()),""))</f>
      </c>
    </row>
    <row r="12288">
      <c r="F12288">
        <f>IF(DATOS!$A12288="","",DATOS!$A12288&amp;"|"&amp;DATOS!$D12288&amp;"|"&amp;DATOS!$E12288&amp;"|"&amp;DATOS!$I12288)</f>
      </c>
      <c r="G12288">
        <f>IF(DATOS!$A12288="",0,IF(CONFIG_METADATA!$B$4&lt;&gt;"OR+EX",--(DATOS!$G12288=CONFIG_METADATA!$B$4),IF(DATOS!$G12288="EX",1,IF(DATOS!$G12288="OR",--(COUNTIFS(nNIA,DATOS!$A12288,nCURSO,DATOS!$D12288,nESPEC,DATOS!$E12288,nASIG,DATOS!$I12288,nEVAL,"EX")=0),0))))</f>
      </c>
      <c r="H12288">
        <f>IF(DATOS!$G12288&lt;&gt;"EX",0,--(COUNTIFS(nNIA,DATOS!$A12288,nCURSO,DATOS!$D12288,nESPEC,DATOS!$E12288,nASIG,DATOS!$I12288,nEVAL,"OR")=0))</f>
      </c>
      <c r="I12288">
        <f>IF(DATOS!$I12288="","",IFERROR(VLOOKUP(DATOS!$I12288,CONFIG_ASIGNATURAS!$B$2:$J$91,9,FALSE()),""))</f>
      </c>
    </row>
    <row r="12289">
      <c r="F12289">
        <f>IF(DATOS!$A12289="","",DATOS!$A12289&amp;"|"&amp;DATOS!$D12289&amp;"|"&amp;DATOS!$E12289&amp;"|"&amp;DATOS!$I12289)</f>
      </c>
      <c r="G12289">
        <f>IF(DATOS!$A12289="",0,IF(CONFIG_METADATA!$B$4&lt;&gt;"OR+EX",--(DATOS!$G12289=CONFIG_METADATA!$B$4),IF(DATOS!$G12289="EX",1,IF(DATOS!$G12289="OR",--(COUNTIFS(nNIA,DATOS!$A12289,nCURSO,DATOS!$D12289,nESPEC,DATOS!$E12289,nASIG,DATOS!$I12289,nEVAL,"EX")=0),0))))</f>
      </c>
      <c r="H12289">
        <f>IF(DATOS!$G12289&lt;&gt;"EX",0,--(COUNTIFS(nNIA,DATOS!$A12289,nCURSO,DATOS!$D12289,nESPEC,DATOS!$E12289,nASIG,DATOS!$I12289,nEVAL,"OR")=0))</f>
      </c>
      <c r="I12289">
        <f>IF(DATOS!$I12289="","",IFERROR(VLOOKUP(DATOS!$I12289,CONFIG_ASIGNATURAS!$B$2:$J$91,9,FALSE()),""))</f>
      </c>
    </row>
    <row r="12290">
      <c r="F12290">
        <f>IF(DATOS!$A12290="","",DATOS!$A12290&amp;"|"&amp;DATOS!$D12290&amp;"|"&amp;DATOS!$E12290&amp;"|"&amp;DATOS!$I12290)</f>
      </c>
      <c r="G12290">
        <f>IF(DATOS!$A12290="",0,IF(CONFIG_METADATA!$B$4&lt;&gt;"OR+EX",--(DATOS!$G12290=CONFIG_METADATA!$B$4),IF(DATOS!$G12290="EX",1,IF(DATOS!$G12290="OR",--(COUNTIFS(nNIA,DATOS!$A12290,nCURSO,DATOS!$D12290,nESPEC,DATOS!$E12290,nASIG,DATOS!$I12290,nEVAL,"EX")=0),0))))</f>
      </c>
      <c r="H12290">
        <f>IF(DATOS!$G12290&lt;&gt;"EX",0,--(COUNTIFS(nNIA,DATOS!$A12290,nCURSO,DATOS!$D12290,nESPEC,DATOS!$E12290,nASIG,DATOS!$I12290,nEVAL,"OR")=0))</f>
      </c>
      <c r="I12290">
        <f>IF(DATOS!$I12290="","",IFERROR(VLOOKUP(DATOS!$I12290,CONFIG_ASIGNATURAS!$B$2:$J$91,9,FALSE()),""))</f>
      </c>
    </row>
    <row r="12291">
      <c r="F12291">
        <f>IF(DATOS!$A12291="","",DATOS!$A12291&amp;"|"&amp;DATOS!$D12291&amp;"|"&amp;DATOS!$E12291&amp;"|"&amp;DATOS!$I12291)</f>
      </c>
      <c r="G12291">
        <f>IF(DATOS!$A12291="",0,IF(CONFIG_METADATA!$B$4&lt;&gt;"OR+EX",--(DATOS!$G12291=CONFIG_METADATA!$B$4),IF(DATOS!$G12291="EX",1,IF(DATOS!$G12291="OR",--(COUNTIFS(nNIA,DATOS!$A12291,nCURSO,DATOS!$D12291,nESPEC,DATOS!$E12291,nASIG,DATOS!$I12291,nEVAL,"EX")=0),0))))</f>
      </c>
      <c r="H12291">
        <f>IF(DATOS!$G12291&lt;&gt;"EX",0,--(COUNTIFS(nNIA,DATOS!$A12291,nCURSO,DATOS!$D12291,nESPEC,DATOS!$E12291,nASIG,DATOS!$I12291,nEVAL,"OR")=0))</f>
      </c>
      <c r="I12291">
        <f>IF(DATOS!$I12291="","",IFERROR(VLOOKUP(DATOS!$I12291,CONFIG_ASIGNATURAS!$B$2:$J$91,9,FALSE()),""))</f>
      </c>
    </row>
    <row r="12292">
      <c r="F12292">
        <f>IF(DATOS!$A12292="","",DATOS!$A12292&amp;"|"&amp;DATOS!$D12292&amp;"|"&amp;DATOS!$E12292&amp;"|"&amp;DATOS!$I12292)</f>
      </c>
      <c r="G12292">
        <f>IF(DATOS!$A12292="",0,IF(CONFIG_METADATA!$B$4&lt;&gt;"OR+EX",--(DATOS!$G12292=CONFIG_METADATA!$B$4),IF(DATOS!$G12292="EX",1,IF(DATOS!$G12292="OR",--(COUNTIFS(nNIA,DATOS!$A12292,nCURSO,DATOS!$D12292,nESPEC,DATOS!$E12292,nASIG,DATOS!$I12292,nEVAL,"EX")=0),0))))</f>
      </c>
      <c r="H12292">
        <f>IF(DATOS!$G12292&lt;&gt;"EX",0,--(COUNTIFS(nNIA,DATOS!$A12292,nCURSO,DATOS!$D12292,nESPEC,DATOS!$E12292,nASIG,DATOS!$I12292,nEVAL,"OR")=0))</f>
      </c>
      <c r="I12292">
        <f>IF(DATOS!$I12292="","",IFERROR(VLOOKUP(DATOS!$I12292,CONFIG_ASIGNATURAS!$B$2:$J$91,9,FALSE()),""))</f>
      </c>
    </row>
    <row r="12293">
      <c r="F12293">
        <f>IF(DATOS!$A12293="","",DATOS!$A12293&amp;"|"&amp;DATOS!$D12293&amp;"|"&amp;DATOS!$E12293&amp;"|"&amp;DATOS!$I12293)</f>
      </c>
      <c r="G12293">
        <f>IF(DATOS!$A12293="",0,IF(CONFIG_METADATA!$B$4&lt;&gt;"OR+EX",--(DATOS!$G12293=CONFIG_METADATA!$B$4),IF(DATOS!$G12293="EX",1,IF(DATOS!$G12293="OR",--(COUNTIFS(nNIA,DATOS!$A12293,nCURSO,DATOS!$D12293,nESPEC,DATOS!$E12293,nASIG,DATOS!$I12293,nEVAL,"EX")=0),0))))</f>
      </c>
      <c r="H12293">
        <f>IF(DATOS!$G12293&lt;&gt;"EX",0,--(COUNTIFS(nNIA,DATOS!$A12293,nCURSO,DATOS!$D12293,nESPEC,DATOS!$E12293,nASIG,DATOS!$I12293,nEVAL,"OR")=0))</f>
      </c>
      <c r="I12293">
        <f>IF(DATOS!$I12293="","",IFERROR(VLOOKUP(DATOS!$I12293,CONFIG_ASIGNATURAS!$B$2:$J$91,9,FALSE()),""))</f>
      </c>
    </row>
    <row r="12294">
      <c r="F12294">
        <f>IF(DATOS!$A12294="","",DATOS!$A12294&amp;"|"&amp;DATOS!$D12294&amp;"|"&amp;DATOS!$E12294&amp;"|"&amp;DATOS!$I12294)</f>
      </c>
      <c r="G12294">
        <f>IF(DATOS!$A12294="",0,IF(CONFIG_METADATA!$B$4&lt;&gt;"OR+EX",--(DATOS!$G12294=CONFIG_METADATA!$B$4),IF(DATOS!$G12294="EX",1,IF(DATOS!$G12294="OR",--(COUNTIFS(nNIA,DATOS!$A12294,nCURSO,DATOS!$D12294,nESPEC,DATOS!$E12294,nASIG,DATOS!$I12294,nEVAL,"EX")=0),0))))</f>
      </c>
      <c r="H12294">
        <f>IF(DATOS!$G12294&lt;&gt;"EX",0,--(COUNTIFS(nNIA,DATOS!$A12294,nCURSO,DATOS!$D12294,nESPEC,DATOS!$E12294,nASIG,DATOS!$I12294,nEVAL,"OR")=0))</f>
      </c>
      <c r="I12294">
        <f>IF(DATOS!$I12294="","",IFERROR(VLOOKUP(DATOS!$I12294,CONFIG_ASIGNATURAS!$B$2:$J$91,9,FALSE()),""))</f>
      </c>
    </row>
    <row r="12295">
      <c r="F12295">
        <f>IF(DATOS!$A12295="","",DATOS!$A12295&amp;"|"&amp;DATOS!$D12295&amp;"|"&amp;DATOS!$E12295&amp;"|"&amp;DATOS!$I12295)</f>
      </c>
      <c r="G12295">
        <f>IF(DATOS!$A12295="",0,IF(CONFIG_METADATA!$B$4&lt;&gt;"OR+EX",--(DATOS!$G12295=CONFIG_METADATA!$B$4),IF(DATOS!$G12295="EX",1,IF(DATOS!$G12295="OR",--(COUNTIFS(nNIA,DATOS!$A12295,nCURSO,DATOS!$D12295,nESPEC,DATOS!$E12295,nASIG,DATOS!$I12295,nEVAL,"EX")=0),0))))</f>
      </c>
      <c r="H12295">
        <f>IF(DATOS!$G12295&lt;&gt;"EX",0,--(COUNTIFS(nNIA,DATOS!$A12295,nCURSO,DATOS!$D12295,nESPEC,DATOS!$E12295,nASIG,DATOS!$I12295,nEVAL,"OR")=0))</f>
      </c>
      <c r="I12295">
        <f>IF(DATOS!$I12295="","",IFERROR(VLOOKUP(DATOS!$I12295,CONFIG_ASIGNATURAS!$B$2:$J$91,9,FALSE()),""))</f>
      </c>
    </row>
    <row r="12296">
      <c r="F12296">
        <f>IF(DATOS!$A12296="","",DATOS!$A12296&amp;"|"&amp;DATOS!$D12296&amp;"|"&amp;DATOS!$E12296&amp;"|"&amp;DATOS!$I12296)</f>
      </c>
      <c r="G12296">
        <f>IF(DATOS!$A12296="",0,IF(CONFIG_METADATA!$B$4&lt;&gt;"OR+EX",--(DATOS!$G12296=CONFIG_METADATA!$B$4),IF(DATOS!$G12296="EX",1,IF(DATOS!$G12296="OR",--(COUNTIFS(nNIA,DATOS!$A12296,nCURSO,DATOS!$D12296,nESPEC,DATOS!$E12296,nASIG,DATOS!$I12296,nEVAL,"EX")=0),0))))</f>
      </c>
      <c r="H12296">
        <f>IF(DATOS!$G12296&lt;&gt;"EX",0,--(COUNTIFS(nNIA,DATOS!$A12296,nCURSO,DATOS!$D12296,nESPEC,DATOS!$E12296,nASIG,DATOS!$I12296,nEVAL,"OR")=0))</f>
      </c>
      <c r="I12296">
        <f>IF(DATOS!$I12296="","",IFERROR(VLOOKUP(DATOS!$I12296,CONFIG_ASIGNATURAS!$B$2:$J$91,9,FALSE()),""))</f>
      </c>
    </row>
    <row r="12297">
      <c r="F12297">
        <f>IF(DATOS!$A12297="","",DATOS!$A12297&amp;"|"&amp;DATOS!$D12297&amp;"|"&amp;DATOS!$E12297&amp;"|"&amp;DATOS!$I12297)</f>
      </c>
      <c r="G12297">
        <f>IF(DATOS!$A12297="",0,IF(CONFIG_METADATA!$B$4&lt;&gt;"OR+EX",--(DATOS!$G12297=CONFIG_METADATA!$B$4),IF(DATOS!$G12297="EX",1,IF(DATOS!$G12297="OR",--(COUNTIFS(nNIA,DATOS!$A12297,nCURSO,DATOS!$D12297,nESPEC,DATOS!$E12297,nASIG,DATOS!$I12297,nEVAL,"EX")=0),0))))</f>
      </c>
      <c r="H12297">
        <f>IF(DATOS!$G12297&lt;&gt;"EX",0,--(COUNTIFS(nNIA,DATOS!$A12297,nCURSO,DATOS!$D12297,nESPEC,DATOS!$E12297,nASIG,DATOS!$I12297,nEVAL,"OR")=0))</f>
      </c>
      <c r="I12297">
        <f>IF(DATOS!$I12297="","",IFERROR(VLOOKUP(DATOS!$I12297,CONFIG_ASIGNATURAS!$B$2:$J$91,9,FALSE()),""))</f>
      </c>
    </row>
    <row r="12298">
      <c r="F12298">
        <f>IF(DATOS!$A12298="","",DATOS!$A12298&amp;"|"&amp;DATOS!$D12298&amp;"|"&amp;DATOS!$E12298&amp;"|"&amp;DATOS!$I12298)</f>
      </c>
      <c r="G12298">
        <f>IF(DATOS!$A12298="",0,IF(CONFIG_METADATA!$B$4&lt;&gt;"OR+EX",--(DATOS!$G12298=CONFIG_METADATA!$B$4),IF(DATOS!$G12298="EX",1,IF(DATOS!$G12298="OR",--(COUNTIFS(nNIA,DATOS!$A12298,nCURSO,DATOS!$D12298,nESPEC,DATOS!$E12298,nASIG,DATOS!$I12298,nEVAL,"EX")=0),0))))</f>
      </c>
      <c r="H12298">
        <f>IF(DATOS!$G12298&lt;&gt;"EX",0,--(COUNTIFS(nNIA,DATOS!$A12298,nCURSO,DATOS!$D12298,nESPEC,DATOS!$E12298,nASIG,DATOS!$I12298,nEVAL,"OR")=0))</f>
      </c>
      <c r="I12298">
        <f>IF(DATOS!$I12298="","",IFERROR(VLOOKUP(DATOS!$I12298,CONFIG_ASIGNATURAS!$B$2:$J$91,9,FALSE()),""))</f>
      </c>
    </row>
    <row r="12299">
      <c r="F12299">
        <f>IF(DATOS!$A12299="","",DATOS!$A12299&amp;"|"&amp;DATOS!$D12299&amp;"|"&amp;DATOS!$E12299&amp;"|"&amp;DATOS!$I12299)</f>
      </c>
      <c r="G12299">
        <f>IF(DATOS!$A12299="",0,IF(CONFIG_METADATA!$B$4&lt;&gt;"OR+EX",--(DATOS!$G12299=CONFIG_METADATA!$B$4),IF(DATOS!$G12299="EX",1,IF(DATOS!$G12299="OR",--(COUNTIFS(nNIA,DATOS!$A12299,nCURSO,DATOS!$D12299,nESPEC,DATOS!$E12299,nASIG,DATOS!$I12299,nEVAL,"EX")=0),0))))</f>
      </c>
      <c r="H12299">
        <f>IF(DATOS!$G12299&lt;&gt;"EX",0,--(COUNTIFS(nNIA,DATOS!$A12299,nCURSO,DATOS!$D12299,nESPEC,DATOS!$E12299,nASIG,DATOS!$I12299,nEVAL,"OR")=0))</f>
      </c>
      <c r="I12299">
        <f>IF(DATOS!$I12299="","",IFERROR(VLOOKUP(DATOS!$I12299,CONFIG_ASIGNATURAS!$B$2:$J$91,9,FALSE()),""))</f>
      </c>
    </row>
    <row r="12300">
      <c r="F12300">
        <f>IF(DATOS!$A12300="","",DATOS!$A12300&amp;"|"&amp;DATOS!$D12300&amp;"|"&amp;DATOS!$E12300&amp;"|"&amp;DATOS!$I12300)</f>
      </c>
      <c r="G12300">
        <f>IF(DATOS!$A12300="",0,IF(CONFIG_METADATA!$B$4&lt;&gt;"OR+EX",--(DATOS!$G12300=CONFIG_METADATA!$B$4),IF(DATOS!$G12300="EX",1,IF(DATOS!$G12300="OR",--(COUNTIFS(nNIA,DATOS!$A12300,nCURSO,DATOS!$D12300,nESPEC,DATOS!$E12300,nASIG,DATOS!$I12300,nEVAL,"EX")=0),0))))</f>
      </c>
      <c r="H12300">
        <f>IF(DATOS!$G12300&lt;&gt;"EX",0,--(COUNTIFS(nNIA,DATOS!$A12300,nCURSO,DATOS!$D12300,nESPEC,DATOS!$E12300,nASIG,DATOS!$I12300,nEVAL,"OR")=0))</f>
      </c>
      <c r="I12300">
        <f>IF(DATOS!$I12300="","",IFERROR(VLOOKUP(DATOS!$I12300,CONFIG_ASIGNATURAS!$B$2:$J$91,9,FALSE()),""))</f>
      </c>
    </row>
    <row r="12301">
      <c r="F12301">
        <f>IF(DATOS!$A12301="","",DATOS!$A12301&amp;"|"&amp;DATOS!$D12301&amp;"|"&amp;DATOS!$E12301&amp;"|"&amp;DATOS!$I12301)</f>
      </c>
      <c r="G12301">
        <f>IF(DATOS!$A12301="",0,IF(CONFIG_METADATA!$B$4&lt;&gt;"OR+EX",--(DATOS!$G12301=CONFIG_METADATA!$B$4),IF(DATOS!$G12301="EX",1,IF(DATOS!$G12301="OR",--(COUNTIFS(nNIA,DATOS!$A12301,nCURSO,DATOS!$D12301,nESPEC,DATOS!$E12301,nASIG,DATOS!$I12301,nEVAL,"EX")=0),0))))</f>
      </c>
      <c r="H12301">
        <f>IF(DATOS!$G12301&lt;&gt;"EX",0,--(COUNTIFS(nNIA,DATOS!$A12301,nCURSO,DATOS!$D12301,nESPEC,DATOS!$E12301,nASIG,DATOS!$I12301,nEVAL,"OR")=0))</f>
      </c>
      <c r="I12301">
        <f>IF(DATOS!$I12301="","",IFERROR(VLOOKUP(DATOS!$I12301,CONFIG_ASIGNATURAS!$B$2:$J$91,9,FALSE()),""))</f>
      </c>
    </row>
    <row r="12302">
      <c r="F12302">
        <f>IF(DATOS!$A12302="","",DATOS!$A12302&amp;"|"&amp;DATOS!$D12302&amp;"|"&amp;DATOS!$E12302&amp;"|"&amp;DATOS!$I12302)</f>
      </c>
      <c r="G12302">
        <f>IF(DATOS!$A12302="",0,IF(CONFIG_METADATA!$B$4&lt;&gt;"OR+EX",--(DATOS!$G12302=CONFIG_METADATA!$B$4),IF(DATOS!$G12302="EX",1,IF(DATOS!$G12302="OR",--(COUNTIFS(nNIA,DATOS!$A12302,nCURSO,DATOS!$D12302,nESPEC,DATOS!$E12302,nASIG,DATOS!$I12302,nEVAL,"EX")=0),0))))</f>
      </c>
      <c r="H12302">
        <f>IF(DATOS!$G12302&lt;&gt;"EX",0,--(COUNTIFS(nNIA,DATOS!$A12302,nCURSO,DATOS!$D12302,nESPEC,DATOS!$E12302,nASIG,DATOS!$I12302,nEVAL,"OR")=0))</f>
      </c>
      <c r="I12302">
        <f>IF(DATOS!$I12302="","",IFERROR(VLOOKUP(DATOS!$I12302,CONFIG_ASIGNATURAS!$B$2:$J$91,9,FALSE()),""))</f>
      </c>
    </row>
    <row r="12303">
      <c r="F12303">
        <f>IF(DATOS!$A12303="","",DATOS!$A12303&amp;"|"&amp;DATOS!$D12303&amp;"|"&amp;DATOS!$E12303&amp;"|"&amp;DATOS!$I12303)</f>
      </c>
      <c r="G12303">
        <f>IF(DATOS!$A12303="",0,IF(CONFIG_METADATA!$B$4&lt;&gt;"OR+EX",--(DATOS!$G12303=CONFIG_METADATA!$B$4),IF(DATOS!$G12303="EX",1,IF(DATOS!$G12303="OR",--(COUNTIFS(nNIA,DATOS!$A12303,nCURSO,DATOS!$D12303,nESPEC,DATOS!$E12303,nASIG,DATOS!$I12303,nEVAL,"EX")=0),0))))</f>
      </c>
      <c r="H12303">
        <f>IF(DATOS!$G12303&lt;&gt;"EX",0,--(COUNTIFS(nNIA,DATOS!$A12303,nCURSO,DATOS!$D12303,nESPEC,DATOS!$E12303,nASIG,DATOS!$I12303,nEVAL,"OR")=0))</f>
      </c>
      <c r="I12303">
        <f>IF(DATOS!$I12303="","",IFERROR(VLOOKUP(DATOS!$I12303,CONFIG_ASIGNATURAS!$B$2:$J$91,9,FALSE()),""))</f>
      </c>
    </row>
    <row r="12304">
      <c r="F12304">
        <f>IF(DATOS!$A12304="","",DATOS!$A12304&amp;"|"&amp;DATOS!$D12304&amp;"|"&amp;DATOS!$E12304&amp;"|"&amp;DATOS!$I12304)</f>
      </c>
      <c r="G12304">
        <f>IF(DATOS!$A12304="",0,IF(CONFIG_METADATA!$B$4&lt;&gt;"OR+EX",--(DATOS!$G12304=CONFIG_METADATA!$B$4),IF(DATOS!$G12304="EX",1,IF(DATOS!$G12304="OR",--(COUNTIFS(nNIA,DATOS!$A12304,nCURSO,DATOS!$D12304,nESPEC,DATOS!$E12304,nASIG,DATOS!$I12304,nEVAL,"EX")=0),0))))</f>
      </c>
      <c r="H12304">
        <f>IF(DATOS!$G12304&lt;&gt;"EX",0,--(COUNTIFS(nNIA,DATOS!$A12304,nCURSO,DATOS!$D12304,nESPEC,DATOS!$E12304,nASIG,DATOS!$I12304,nEVAL,"OR")=0))</f>
      </c>
      <c r="I12304">
        <f>IF(DATOS!$I12304="","",IFERROR(VLOOKUP(DATOS!$I12304,CONFIG_ASIGNATURAS!$B$2:$J$91,9,FALSE()),""))</f>
      </c>
    </row>
    <row r="12305">
      <c r="F12305">
        <f>IF(DATOS!$A12305="","",DATOS!$A12305&amp;"|"&amp;DATOS!$D12305&amp;"|"&amp;DATOS!$E12305&amp;"|"&amp;DATOS!$I12305)</f>
      </c>
      <c r="G12305">
        <f>IF(DATOS!$A12305="",0,IF(CONFIG_METADATA!$B$4&lt;&gt;"OR+EX",--(DATOS!$G12305=CONFIG_METADATA!$B$4),IF(DATOS!$G12305="EX",1,IF(DATOS!$G12305="OR",--(COUNTIFS(nNIA,DATOS!$A12305,nCURSO,DATOS!$D12305,nESPEC,DATOS!$E12305,nASIG,DATOS!$I12305,nEVAL,"EX")=0),0))))</f>
      </c>
      <c r="H12305">
        <f>IF(DATOS!$G12305&lt;&gt;"EX",0,--(COUNTIFS(nNIA,DATOS!$A12305,nCURSO,DATOS!$D12305,nESPEC,DATOS!$E12305,nASIG,DATOS!$I12305,nEVAL,"OR")=0))</f>
      </c>
      <c r="I12305">
        <f>IF(DATOS!$I12305="","",IFERROR(VLOOKUP(DATOS!$I12305,CONFIG_ASIGNATURAS!$B$2:$J$91,9,FALSE()),""))</f>
      </c>
    </row>
    <row r="12306">
      <c r="F12306">
        <f>IF(DATOS!$A12306="","",DATOS!$A12306&amp;"|"&amp;DATOS!$D12306&amp;"|"&amp;DATOS!$E12306&amp;"|"&amp;DATOS!$I12306)</f>
      </c>
      <c r="G12306">
        <f>IF(DATOS!$A12306="",0,IF(CONFIG_METADATA!$B$4&lt;&gt;"OR+EX",--(DATOS!$G12306=CONFIG_METADATA!$B$4),IF(DATOS!$G12306="EX",1,IF(DATOS!$G12306="OR",--(COUNTIFS(nNIA,DATOS!$A12306,nCURSO,DATOS!$D12306,nESPEC,DATOS!$E12306,nASIG,DATOS!$I12306,nEVAL,"EX")=0),0))))</f>
      </c>
      <c r="H12306">
        <f>IF(DATOS!$G12306&lt;&gt;"EX",0,--(COUNTIFS(nNIA,DATOS!$A12306,nCURSO,DATOS!$D12306,nESPEC,DATOS!$E12306,nASIG,DATOS!$I12306,nEVAL,"OR")=0))</f>
      </c>
      <c r="I12306">
        <f>IF(DATOS!$I12306="","",IFERROR(VLOOKUP(DATOS!$I12306,CONFIG_ASIGNATURAS!$B$2:$J$91,9,FALSE()),""))</f>
      </c>
    </row>
    <row r="12307">
      <c r="F12307">
        <f>IF(DATOS!$A12307="","",DATOS!$A12307&amp;"|"&amp;DATOS!$D12307&amp;"|"&amp;DATOS!$E12307&amp;"|"&amp;DATOS!$I12307)</f>
      </c>
      <c r="G12307">
        <f>IF(DATOS!$A12307="",0,IF(CONFIG_METADATA!$B$4&lt;&gt;"OR+EX",--(DATOS!$G12307=CONFIG_METADATA!$B$4),IF(DATOS!$G12307="EX",1,IF(DATOS!$G12307="OR",--(COUNTIFS(nNIA,DATOS!$A12307,nCURSO,DATOS!$D12307,nESPEC,DATOS!$E12307,nASIG,DATOS!$I12307,nEVAL,"EX")=0),0))))</f>
      </c>
      <c r="H12307">
        <f>IF(DATOS!$G12307&lt;&gt;"EX",0,--(COUNTIFS(nNIA,DATOS!$A12307,nCURSO,DATOS!$D12307,nESPEC,DATOS!$E12307,nASIG,DATOS!$I12307,nEVAL,"OR")=0))</f>
      </c>
      <c r="I12307">
        <f>IF(DATOS!$I12307="","",IFERROR(VLOOKUP(DATOS!$I12307,CONFIG_ASIGNATURAS!$B$2:$J$91,9,FALSE()),""))</f>
      </c>
    </row>
    <row r="12308">
      <c r="F12308">
        <f>IF(DATOS!$A12308="","",DATOS!$A12308&amp;"|"&amp;DATOS!$D12308&amp;"|"&amp;DATOS!$E12308&amp;"|"&amp;DATOS!$I12308)</f>
      </c>
      <c r="G12308">
        <f>IF(DATOS!$A12308="",0,IF(CONFIG_METADATA!$B$4&lt;&gt;"OR+EX",--(DATOS!$G12308=CONFIG_METADATA!$B$4),IF(DATOS!$G12308="EX",1,IF(DATOS!$G12308="OR",--(COUNTIFS(nNIA,DATOS!$A12308,nCURSO,DATOS!$D12308,nESPEC,DATOS!$E12308,nASIG,DATOS!$I12308,nEVAL,"EX")=0),0))))</f>
      </c>
      <c r="H12308">
        <f>IF(DATOS!$G12308&lt;&gt;"EX",0,--(COUNTIFS(nNIA,DATOS!$A12308,nCURSO,DATOS!$D12308,nESPEC,DATOS!$E12308,nASIG,DATOS!$I12308,nEVAL,"OR")=0))</f>
      </c>
      <c r="I12308">
        <f>IF(DATOS!$I12308="","",IFERROR(VLOOKUP(DATOS!$I12308,CONFIG_ASIGNATURAS!$B$2:$J$91,9,FALSE()),""))</f>
      </c>
    </row>
    <row r="12309">
      <c r="F12309">
        <f>IF(DATOS!$A12309="","",DATOS!$A12309&amp;"|"&amp;DATOS!$D12309&amp;"|"&amp;DATOS!$E12309&amp;"|"&amp;DATOS!$I12309)</f>
      </c>
      <c r="G12309">
        <f>IF(DATOS!$A12309="",0,IF(CONFIG_METADATA!$B$4&lt;&gt;"OR+EX",--(DATOS!$G12309=CONFIG_METADATA!$B$4),IF(DATOS!$G12309="EX",1,IF(DATOS!$G12309="OR",--(COUNTIFS(nNIA,DATOS!$A12309,nCURSO,DATOS!$D12309,nESPEC,DATOS!$E12309,nASIG,DATOS!$I12309,nEVAL,"EX")=0),0))))</f>
      </c>
      <c r="H12309">
        <f>IF(DATOS!$G12309&lt;&gt;"EX",0,--(COUNTIFS(nNIA,DATOS!$A12309,nCURSO,DATOS!$D12309,nESPEC,DATOS!$E12309,nASIG,DATOS!$I12309,nEVAL,"OR")=0))</f>
      </c>
      <c r="I12309">
        <f>IF(DATOS!$I12309="","",IFERROR(VLOOKUP(DATOS!$I12309,CONFIG_ASIGNATURAS!$B$2:$J$91,9,FALSE()),""))</f>
      </c>
    </row>
    <row r="12310">
      <c r="F12310">
        <f>IF(DATOS!$A12310="","",DATOS!$A12310&amp;"|"&amp;DATOS!$D12310&amp;"|"&amp;DATOS!$E12310&amp;"|"&amp;DATOS!$I12310)</f>
      </c>
      <c r="G12310">
        <f>IF(DATOS!$A12310="",0,IF(CONFIG_METADATA!$B$4&lt;&gt;"OR+EX",--(DATOS!$G12310=CONFIG_METADATA!$B$4),IF(DATOS!$G12310="EX",1,IF(DATOS!$G12310="OR",--(COUNTIFS(nNIA,DATOS!$A12310,nCURSO,DATOS!$D12310,nESPEC,DATOS!$E12310,nASIG,DATOS!$I12310,nEVAL,"EX")=0),0))))</f>
      </c>
      <c r="H12310">
        <f>IF(DATOS!$G12310&lt;&gt;"EX",0,--(COUNTIFS(nNIA,DATOS!$A12310,nCURSO,DATOS!$D12310,nESPEC,DATOS!$E12310,nASIG,DATOS!$I12310,nEVAL,"OR")=0))</f>
      </c>
      <c r="I12310">
        <f>IF(DATOS!$I12310="","",IFERROR(VLOOKUP(DATOS!$I12310,CONFIG_ASIGNATURAS!$B$2:$J$91,9,FALSE()),""))</f>
      </c>
    </row>
    <row r="12311">
      <c r="F12311">
        <f>IF(DATOS!$A12311="","",DATOS!$A12311&amp;"|"&amp;DATOS!$D12311&amp;"|"&amp;DATOS!$E12311&amp;"|"&amp;DATOS!$I12311)</f>
      </c>
      <c r="G12311">
        <f>IF(DATOS!$A12311="",0,IF(CONFIG_METADATA!$B$4&lt;&gt;"OR+EX",--(DATOS!$G12311=CONFIG_METADATA!$B$4),IF(DATOS!$G12311="EX",1,IF(DATOS!$G12311="OR",--(COUNTIFS(nNIA,DATOS!$A12311,nCURSO,DATOS!$D12311,nESPEC,DATOS!$E12311,nASIG,DATOS!$I12311,nEVAL,"EX")=0),0))))</f>
      </c>
      <c r="H12311">
        <f>IF(DATOS!$G12311&lt;&gt;"EX",0,--(COUNTIFS(nNIA,DATOS!$A12311,nCURSO,DATOS!$D12311,nESPEC,DATOS!$E12311,nASIG,DATOS!$I12311,nEVAL,"OR")=0))</f>
      </c>
      <c r="I12311">
        <f>IF(DATOS!$I12311="","",IFERROR(VLOOKUP(DATOS!$I12311,CONFIG_ASIGNATURAS!$B$2:$J$91,9,FALSE()),""))</f>
      </c>
    </row>
    <row r="12312">
      <c r="F12312">
        <f>IF(DATOS!$A12312="","",DATOS!$A12312&amp;"|"&amp;DATOS!$D12312&amp;"|"&amp;DATOS!$E12312&amp;"|"&amp;DATOS!$I12312)</f>
      </c>
      <c r="G12312">
        <f>IF(DATOS!$A12312="",0,IF(CONFIG_METADATA!$B$4&lt;&gt;"OR+EX",--(DATOS!$G12312=CONFIG_METADATA!$B$4),IF(DATOS!$G12312="EX",1,IF(DATOS!$G12312="OR",--(COUNTIFS(nNIA,DATOS!$A12312,nCURSO,DATOS!$D12312,nESPEC,DATOS!$E12312,nASIG,DATOS!$I12312,nEVAL,"EX")=0),0))))</f>
      </c>
      <c r="H12312">
        <f>IF(DATOS!$G12312&lt;&gt;"EX",0,--(COUNTIFS(nNIA,DATOS!$A12312,nCURSO,DATOS!$D12312,nESPEC,DATOS!$E12312,nASIG,DATOS!$I12312,nEVAL,"OR")=0))</f>
      </c>
      <c r="I12312">
        <f>IF(DATOS!$I12312="","",IFERROR(VLOOKUP(DATOS!$I12312,CONFIG_ASIGNATURAS!$B$2:$J$91,9,FALSE()),""))</f>
      </c>
    </row>
    <row r="12313">
      <c r="F12313">
        <f>IF(DATOS!$A12313="","",DATOS!$A12313&amp;"|"&amp;DATOS!$D12313&amp;"|"&amp;DATOS!$E12313&amp;"|"&amp;DATOS!$I12313)</f>
      </c>
      <c r="G12313">
        <f>IF(DATOS!$A12313="",0,IF(CONFIG_METADATA!$B$4&lt;&gt;"OR+EX",--(DATOS!$G12313=CONFIG_METADATA!$B$4),IF(DATOS!$G12313="EX",1,IF(DATOS!$G12313="OR",--(COUNTIFS(nNIA,DATOS!$A12313,nCURSO,DATOS!$D12313,nESPEC,DATOS!$E12313,nASIG,DATOS!$I12313,nEVAL,"EX")=0),0))))</f>
      </c>
      <c r="H12313">
        <f>IF(DATOS!$G12313&lt;&gt;"EX",0,--(COUNTIFS(nNIA,DATOS!$A12313,nCURSO,DATOS!$D12313,nESPEC,DATOS!$E12313,nASIG,DATOS!$I12313,nEVAL,"OR")=0))</f>
      </c>
      <c r="I12313">
        <f>IF(DATOS!$I12313="","",IFERROR(VLOOKUP(DATOS!$I12313,CONFIG_ASIGNATURAS!$B$2:$J$91,9,FALSE()),""))</f>
      </c>
    </row>
    <row r="12314">
      <c r="F12314">
        <f>IF(DATOS!$A12314="","",DATOS!$A12314&amp;"|"&amp;DATOS!$D12314&amp;"|"&amp;DATOS!$E12314&amp;"|"&amp;DATOS!$I12314)</f>
      </c>
      <c r="G12314">
        <f>IF(DATOS!$A12314="",0,IF(CONFIG_METADATA!$B$4&lt;&gt;"OR+EX",--(DATOS!$G12314=CONFIG_METADATA!$B$4),IF(DATOS!$G12314="EX",1,IF(DATOS!$G12314="OR",--(COUNTIFS(nNIA,DATOS!$A12314,nCURSO,DATOS!$D12314,nESPEC,DATOS!$E12314,nASIG,DATOS!$I12314,nEVAL,"EX")=0),0))))</f>
      </c>
      <c r="H12314">
        <f>IF(DATOS!$G12314&lt;&gt;"EX",0,--(COUNTIFS(nNIA,DATOS!$A12314,nCURSO,DATOS!$D12314,nESPEC,DATOS!$E12314,nASIG,DATOS!$I12314,nEVAL,"OR")=0))</f>
      </c>
      <c r="I12314">
        <f>IF(DATOS!$I12314="","",IFERROR(VLOOKUP(DATOS!$I12314,CONFIG_ASIGNATURAS!$B$2:$J$91,9,FALSE()),""))</f>
      </c>
    </row>
    <row r="12315">
      <c r="F12315">
        <f>IF(DATOS!$A12315="","",DATOS!$A12315&amp;"|"&amp;DATOS!$D12315&amp;"|"&amp;DATOS!$E12315&amp;"|"&amp;DATOS!$I12315)</f>
      </c>
      <c r="G12315">
        <f>IF(DATOS!$A12315="",0,IF(CONFIG_METADATA!$B$4&lt;&gt;"OR+EX",--(DATOS!$G12315=CONFIG_METADATA!$B$4),IF(DATOS!$G12315="EX",1,IF(DATOS!$G12315="OR",--(COUNTIFS(nNIA,DATOS!$A12315,nCURSO,DATOS!$D12315,nESPEC,DATOS!$E12315,nASIG,DATOS!$I12315,nEVAL,"EX")=0),0))))</f>
      </c>
      <c r="H12315">
        <f>IF(DATOS!$G12315&lt;&gt;"EX",0,--(COUNTIFS(nNIA,DATOS!$A12315,nCURSO,DATOS!$D12315,nESPEC,DATOS!$E12315,nASIG,DATOS!$I12315,nEVAL,"OR")=0))</f>
      </c>
      <c r="I12315">
        <f>IF(DATOS!$I12315="","",IFERROR(VLOOKUP(DATOS!$I12315,CONFIG_ASIGNATURAS!$B$2:$J$91,9,FALSE()),""))</f>
      </c>
    </row>
    <row r="12316">
      <c r="F12316">
        <f>IF(DATOS!$A12316="","",DATOS!$A12316&amp;"|"&amp;DATOS!$D12316&amp;"|"&amp;DATOS!$E12316&amp;"|"&amp;DATOS!$I12316)</f>
      </c>
      <c r="G12316">
        <f>IF(DATOS!$A12316="",0,IF(CONFIG_METADATA!$B$4&lt;&gt;"OR+EX",--(DATOS!$G12316=CONFIG_METADATA!$B$4),IF(DATOS!$G12316="EX",1,IF(DATOS!$G12316="OR",--(COUNTIFS(nNIA,DATOS!$A12316,nCURSO,DATOS!$D12316,nESPEC,DATOS!$E12316,nASIG,DATOS!$I12316,nEVAL,"EX")=0),0))))</f>
      </c>
      <c r="H12316">
        <f>IF(DATOS!$G12316&lt;&gt;"EX",0,--(COUNTIFS(nNIA,DATOS!$A12316,nCURSO,DATOS!$D12316,nESPEC,DATOS!$E12316,nASIG,DATOS!$I12316,nEVAL,"OR")=0))</f>
      </c>
      <c r="I12316">
        <f>IF(DATOS!$I12316="","",IFERROR(VLOOKUP(DATOS!$I12316,CONFIG_ASIGNATURAS!$B$2:$J$91,9,FALSE()),""))</f>
      </c>
    </row>
    <row r="12317">
      <c r="F12317">
        <f>IF(DATOS!$A12317="","",DATOS!$A12317&amp;"|"&amp;DATOS!$D12317&amp;"|"&amp;DATOS!$E12317&amp;"|"&amp;DATOS!$I12317)</f>
      </c>
      <c r="G12317">
        <f>IF(DATOS!$A12317="",0,IF(CONFIG_METADATA!$B$4&lt;&gt;"OR+EX",--(DATOS!$G12317=CONFIG_METADATA!$B$4),IF(DATOS!$G12317="EX",1,IF(DATOS!$G12317="OR",--(COUNTIFS(nNIA,DATOS!$A12317,nCURSO,DATOS!$D12317,nESPEC,DATOS!$E12317,nASIG,DATOS!$I12317,nEVAL,"EX")=0),0))))</f>
      </c>
      <c r="H12317">
        <f>IF(DATOS!$G12317&lt;&gt;"EX",0,--(COUNTIFS(nNIA,DATOS!$A12317,nCURSO,DATOS!$D12317,nESPEC,DATOS!$E12317,nASIG,DATOS!$I12317,nEVAL,"OR")=0))</f>
      </c>
      <c r="I12317">
        <f>IF(DATOS!$I12317="","",IFERROR(VLOOKUP(DATOS!$I12317,CONFIG_ASIGNATURAS!$B$2:$J$91,9,FALSE()),""))</f>
      </c>
    </row>
    <row r="12318">
      <c r="F12318">
        <f>IF(DATOS!$A12318="","",DATOS!$A12318&amp;"|"&amp;DATOS!$D12318&amp;"|"&amp;DATOS!$E12318&amp;"|"&amp;DATOS!$I12318)</f>
      </c>
      <c r="G12318">
        <f>IF(DATOS!$A12318="",0,IF(CONFIG_METADATA!$B$4&lt;&gt;"OR+EX",--(DATOS!$G12318=CONFIG_METADATA!$B$4),IF(DATOS!$G12318="EX",1,IF(DATOS!$G12318="OR",--(COUNTIFS(nNIA,DATOS!$A12318,nCURSO,DATOS!$D12318,nESPEC,DATOS!$E12318,nASIG,DATOS!$I12318,nEVAL,"EX")=0),0))))</f>
      </c>
      <c r="H12318">
        <f>IF(DATOS!$G12318&lt;&gt;"EX",0,--(COUNTIFS(nNIA,DATOS!$A12318,nCURSO,DATOS!$D12318,nESPEC,DATOS!$E12318,nASIG,DATOS!$I12318,nEVAL,"OR")=0))</f>
      </c>
      <c r="I12318">
        <f>IF(DATOS!$I12318="","",IFERROR(VLOOKUP(DATOS!$I12318,CONFIG_ASIGNATURAS!$B$2:$J$91,9,FALSE()),""))</f>
      </c>
    </row>
    <row r="12319">
      <c r="F12319">
        <f>IF(DATOS!$A12319="","",DATOS!$A12319&amp;"|"&amp;DATOS!$D12319&amp;"|"&amp;DATOS!$E12319&amp;"|"&amp;DATOS!$I12319)</f>
      </c>
      <c r="G12319">
        <f>IF(DATOS!$A12319="",0,IF(CONFIG_METADATA!$B$4&lt;&gt;"OR+EX",--(DATOS!$G12319=CONFIG_METADATA!$B$4),IF(DATOS!$G12319="EX",1,IF(DATOS!$G12319="OR",--(COUNTIFS(nNIA,DATOS!$A12319,nCURSO,DATOS!$D12319,nESPEC,DATOS!$E12319,nASIG,DATOS!$I12319,nEVAL,"EX")=0),0))))</f>
      </c>
      <c r="H12319">
        <f>IF(DATOS!$G12319&lt;&gt;"EX",0,--(COUNTIFS(nNIA,DATOS!$A12319,nCURSO,DATOS!$D12319,nESPEC,DATOS!$E12319,nASIG,DATOS!$I12319,nEVAL,"OR")=0))</f>
      </c>
      <c r="I12319">
        <f>IF(DATOS!$I12319="","",IFERROR(VLOOKUP(DATOS!$I12319,CONFIG_ASIGNATURAS!$B$2:$J$91,9,FALSE()),""))</f>
      </c>
    </row>
    <row r="12320">
      <c r="F12320">
        <f>IF(DATOS!$A12320="","",DATOS!$A12320&amp;"|"&amp;DATOS!$D12320&amp;"|"&amp;DATOS!$E12320&amp;"|"&amp;DATOS!$I12320)</f>
      </c>
      <c r="G12320">
        <f>IF(DATOS!$A12320="",0,IF(CONFIG_METADATA!$B$4&lt;&gt;"OR+EX",--(DATOS!$G12320=CONFIG_METADATA!$B$4),IF(DATOS!$G12320="EX",1,IF(DATOS!$G12320="OR",--(COUNTIFS(nNIA,DATOS!$A12320,nCURSO,DATOS!$D12320,nESPEC,DATOS!$E12320,nASIG,DATOS!$I12320,nEVAL,"EX")=0),0))))</f>
      </c>
      <c r="H12320">
        <f>IF(DATOS!$G12320&lt;&gt;"EX",0,--(COUNTIFS(nNIA,DATOS!$A12320,nCURSO,DATOS!$D12320,nESPEC,DATOS!$E12320,nASIG,DATOS!$I12320,nEVAL,"OR")=0))</f>
      </c>
      <c r="I12320">
        <f>IF(DATOS!$I12320="","",IFERROR(VLOOKUP(DATOS!$I12320,CONFIG_ASIGNATURAS!$B$2:$J$91,9,FALSE()),""))</f>
      </c>
    </row>
    <row r="12321">
      <c r="F12321">
        <f>IF(DATOS!$A12321="","",DATOS!$A12321&amp;"|"&amp;DATOS!$D12321&amp;"|"&amp;DATOS!$E12321&amp;"|"&amp;DATOS!$I12321)</f>
      </c>
      <c r="G12321">
        <f>IF(DATOS!$A12321="",0,IF(CONFIG_METADATA!$B$4&lt;&gt;"OR+EX",--(DATOS!$G12321=CONFIG_METADATA!$B$4),IF(DATOS!$G12321="EX",1,IF(DATOS!$G12321="OR",--(COUNTIFS(nNIA,DATOS!$A12321,nCURSO,DATOS!$D12321,nESPEC,DATOS!$E12321,nASIG,DATOS!$I12321,nEVAL,"EX")=0),0))))</f>
      </c>
      <c r="H12321">
        <f>IF(DATOS!$G12321&lt;&gt;"EX",0,--(COUNTIFS(nNIA,DATOS!$A12321,nCURSO,DATOS!$D12321,nESPEC,DATOS!$E12321,nASIG,DATOS!$I12321,nEVAL,"OR")=0))</f>
      </c>
      <c r="I12321">
        <f>IF(DATOS!$I12321="","",IFERROR(VLOOKUP(DATOS!$I12321,CONFIG_ASIGNATURAS!$B$2:$J$91,9,FALSE()),""))</f>
      </c>
    </row>
    <row r="12322">
      <c r="F12322">
        <f>IF(DATOS!$A12322="","",DATOS!$A12322&amp;"|"&amp;DATOS!$D12322&amp;"|"&amp;DATOS!$E12322&amp;"|"&amp;DATOS!$I12322)</f>
      </c>
      <c r="G12322">
        <f>IF(DATOS!$A12322="",0,IF(CONFIG_METADATA!$B$4&lt;&gt;"OR+EX",--(DATOS!$G12322=CONFIG_METADATA!$B$4),IF(DATOS!$G12322="EX",1,IF(DATOS!$G12322="OR",--(COUNTIFS(nNIA,DATOS!$A12322,nCURSO,DATOS!$D12322,nESPEC,DATOS!$E12322,nASIG,DATOS!$I12322,nEVAL,"EX")=0),0))))</f>
      </c>
      <c r="H12322">
        <f>IF(DATOS!$G12322&lt;&gt;"EX",0,--(COUNTIFS(nNIA,DATOS!$A12322,nCURSO,DATOS!$D12322,nESPEC,DATOS!$E12322,nASIG,DATOS!$I12322,nEVAL,"OR")=0))</f>
      </c>
      <c r="I12322">
        <f>IF(DATOS!$I12322="","",IFERROR(VLOOKUP(DATOS!$I12322,CONFIG_ASIGNATURAS!$B$2:$J$91,9,FALSE()),""))</f>
      </c>
    </row>
    <row r="12323">
      <c r="F12323">
        <f>IF(DATOS!$A12323="","",DATOS!$A12323&amp;"|"&amp;DATOS!$D12323&amp;"|"&amp;DATOS!$E12323&amp;"|"&amp;DATOS!$I12323)</f>
      </c>
      <c r="G12323">
        <f>IF(DATOS!$A12323="",0,IF(CONFIG_METADATA!$B$4&lt;&gt;"OR+EX",--(DATOS!$G12323=CONFIG_METADATA!$B$4),IF(DATOS!$G12323="EX",1,IF(DATOS!$G12323="OR",--(COUNTIFS(nNIA,DATOS!$A12323,nCURSO,DATOS!$D12323,nESPEC,DATOS!$E12323,nASIG,DATOS!$I12323,nEVAL,"EX")=0),0))))</f>
      </c>
      <c r="H12323">
        <f>IF(DATOS!$G12323&lt;&gt;"EX",0,--(COUNTIFS(nNIA,DATOS!$A12323,nCURSO,DATOS!$D12323,nESPEC,DATOS!$E12323,nASIG,DATOS!$I12323,nEVAL,"OR")=0))</f>
      </c>
      <c r="I12323">
        <f>IF(DATOS!$I12323="","",IFERROR(VLOOKUP(DATOS!$I12323,CONFIG_ASIGNATURAS!$B$2:$J$91,9,FALSE()),""))</f>
      </c>
    </row>
    <row r="12324">
      <c r="F12324">
        <f>IF(DATOS!$A12324="","",DATOS!$A12324&amp;"|"&amp;DATOS!$D12324&amp;"|"&amp;DATOS!$E12324&amp;"|"&amp;DATOS!$I12324)</f>
      </c>
      <c r="G12324">
        <f>IF(DATOS!$A12324="",0,IF(CONFIG_METADATA!$B$4&lt;&gt;"OR+EX",--(DATOS!$G12324=CONFIG_METADATA!$B$4),IF(DATOS!$G12324="EX",1,IF(DATOS!$G12324="OR",--(COUNTIFS(nNIA,DATOS!$A12324,nCURSO,DATOS!$D12324,nESPEC,DATOS!$E12324,nASIG,DATOS!$I12324,nEVAL,"EX")=0),0))))</f>
      </c>
      <c r="H12324">
        <f>IF(DATOS!$G12324&lt;&gt;"EX",0,--(COUNTIFS(nNIA,DATOS!$A12324,nCURSO,DATOS!$D12324,nESPEC,DATOS!$E12324,nASIG,DATOS!$I12324,nEVAL,"OR")=0))</f>
      </c>
      <c r="I12324">
        <f>IF(DATOS!$I12324="","",IFERROR(VLOOKUP(DATOS!$I12324,CONFIG_ASIGNATURAS!$B$2:$J$91,9,FALSE()),""))</f>
      </c>
    </row>
    <row r="12325">
      <c r="F12325">
        <f>IF(DATOS!$A12325="","",DATOS!$A12325&amp;"|"&amp;DATOS!$D12325&amp;"|"&amp;DATOS!$E12325&amp;"|"&amp;DATOS!$I12325)</f>
      </c>
      <c r="G12325">
        <f>IF(DATOS!$A12325="",0,IF(CONFIG_METADATA!$B$4&lt;&gt;"OR+EX",--(DATOS!$G12325=CONFIG_METADATA!$B$4),IF(DATOS!$G12325="EX",1,IF(DATOS!$G12325="OR",--(COUNTIFS(nNIA,DATOS!$A12325,nCURSO,DATOS!$D12325,nESPEC,DATOS!$E12325,nASIG,DATOS!$I12325,nEVAL,"EX")=0),0))))</f>
      </c>
      <c r="H12325">
        <f>IF(DATOS!$G12325&lt;&gt;"EX",0,--(COUNTIFS(nNIA,DATOS!$A12325,nCURSO,DATOS!$D12325,nESPEC,DATOS!$E12325,nASIG,DATOS!$I12325,nEVAL,"OR")=0))</f>
      </c>
      <c r="I12325">
        <f>IF(DATOS!$I12325="","",IFERROR(VLOOKUP(DATOS!$I12325,CONFIG_ASIGNATURAS!$B$2:$J$91,9,FALSE()),""))</f>
      </c>
    </row>
    <row r="12326">
      <c r="F12326">
        <f>IF(DATOS!$A12326="","",DATOS!$A12326&amp;"|"&amp;DATOS!$D12326&amp;"|"&amp;DATOS!$E12326&amp;"|"&amp;DATOS!$I12326)</f>
      </c>
      <c r="G12326">
        <f>IF(DATOS!$A12326="",0,IF(CONFIG_METADATA!$B$4&lt;&gt;"OR+EX",--(DATOS!$G12326=CONFIG_METADATA!$B$4),IF(DATOS!$G12326="EX",1,IF(DATOS!$G12326="OR",--(COUNTIFS(nNIA,DATOS!$A12326,nCURSO,DATOS!$D12326,nESPEC,DATOS!$E12326,nASIG,DATOS!$I12326,nEVAL,"EX")=0),0))))</f>
      </c>
      <c r="H12326">
        <f>IF(DATOS!$G12326&lt;&gt;"EX",0,--(COUNTIFS(nNIA,DATOS!$A12326,nCURSO,DATOS!$D12326,nESPEC,DATOS!$E12326,nASIG,DATOS!$I12326,nEVAL,"OR")=0))</f>
      </c>
      <c r="I12326">
        <f>IF(DATOS!$I12326="","",IFERROR(VLOOKUP(DATOS!$I12326,CONFIG_ASIGNATURAS!$B$2:$J$91,9,FALSE()),""))</f>
      </c>
    </row>
    <row r="12327">
      <c r="F12327">
        <f>IF(DATOS!$A12327="","",DATOS!$A12327&amp;"|"&amp;DATOS!$D12327&amp;"|"&amp;DATOS!$E12327&amp;"|"&amp;DATOS!$I12327)</f>
      </c>
      <c r="G12327">
        <f>IF(DATOS!$A12327="",0,IF(CONFIG_METADATA!$B$4&lt;&gt;"OR+EX",--(DATOS!$G12327=CONFIG_METADATA!$B$4),IF(DATOS!$G12327="EX",1,IF(DATOS!$G12327="OR",--(COUNTIFS(nNIA,DATOS!$A12327,nCURSO,DATOS!$D12327,nESPEC,DATOS!$E12327,nASIG,DATOS!$I12327,nEVAL,"EX")=0),0))))</f>
      </c>
      <c r="H12327">
        <f>IF(DATOS!$G12327&lt;&gt;"EX",0,--(COUNTIFS(nNIA,DATOS!$A12327,nCURSO,DATOS!$D12327,nESPEC,DATOS!$E12327,nASIG,DATOS!$I12327,nEVAL,"OR")=0))</f>
      </c>
      <c r="I12327">
        <f>IF(DATOS!$I12327="","",IFERROR(VLOOKUP(DATOS!$I12327,CONFIG_ASIGNATURAS!$B$2:$J$91,9,FALSE()),""))</f>
      </c>
    </row>
    <row r="12328">
      <c r="F12328">
        <f>IF(DATOS!$A12328="","",DATOS!$A12328&amp;"|"&amp;DATOS!$D12328&amp;"|"&amp;DATOS!$E12328&amp;"|"&amp;DATOS!$I12328)</f>
      </c>
      <c r="G12328">
        <f>IF(DATOS!$A12328="",0,IF(CONFIG_METADATA!$B$4&lt;&gt;"OR+EX",--(DATOS!$G12328=CONFIG_METADATA!$B$4),IF(DATOS!$G12328="EX",1,IF(DATOS!$G12328="OR",--(COUNTIFS(nNIA,DATOS!$A12328,nCURSO,DATOS!$D12328,nESPEC,DATOS!$E12328,nASIG,DATOS!$I12328,nEVAL,"EX")=0),0))))</f>
      </c>
      <c r="H12328">
        <f>IF(DATOS!$G12328&lt;&gt;"EX",0,--(COUNTIFS(nNIA,DATOS!$A12328,nCURSO,DATOS!$D12328,nESPEC,DATOS!$E12328,nASIG,DATOS!$I12328,nEVAL,"OR")=0))</f>
      </c>
      <c r="I12328">
        <f>IF(DATOS!$I12328="","",IFERROR(VLOOKUP(DATOS!$I12328,CONFIG_ASIGNATURAS!$B$2:$J$91,9,FALSE()),""))</f>
      </c>
    </row>
    <row r="12329">
      <c r="F12329">
        <f>IF(DATOS!$A12329="","",DATOS!$A12329&amp;"|"&amp;DATOS!$D12329&amp;"|"&amp;DATOS!$E12329&amp;"|"&amp;DATOS!$I12329)</f>
      </c>
      <c r="G12329">
        <f>IF(DATOS!$A12329="",0,IF(CONFIG_METADATA!$B$4&lt;&gt;"OR+EX",--(DATOS!$G12329=CONFIG_METADATA!$B$4),IF(DATOS!$G12329="EX",1,IF(DATOS!$G12329="OR",--(COUNTIFS(nNIA,DATOS!$A12329,nCURSO,DATOS!$D12329,nESPEC,DATOS!$E12329,nASIG,DATOS!$I12329,nEVAL,"EX")=0),0))))</f>
      </c>
      <c r="H12329">
        <f>IF(DATOS!$G12329&lt;&gt;"EX",0,--(COUNTIFS(nNIA,DATOS!$A12329,nCURSO,DATOS!$D12329,nESPEC,DATOS!$E12329,nASIG,DATOS!$I12329,nEVAL,"OR")=0))</f>
      </c>
      <c r="I12329">
        <f>IF(DATOS!$I12329="","",IFERROR(VLOOKUP(DATOS!$I12329,CONFIG_ASIGNATURAS!$B$2:$J$91,9,FALSE()),""))</f>
      </c>
    </row>
    <row r="12330">
      <c r="F12330">
        <f>IF(DATOS!$A12330="","",DATOS!$A12330&amp;"|"&amp;DATOS!$D12330&amp;"|"&amp;DATOS!$E12330&amp;"|"&amp;DATOS!$I12330)</f>
      </c>
      <c r="G12330">
        <f>IF(DATOS!$A12330="",0,IF(CONFIG_METADATA!$B$4&lt;&gt;"OR+EX",--(DATOS!$G12330=CONFIG_METADATA!$B$4),IF(DATOS!$G12330="EX",1,IF(DATOS!$G12330="OR",--(COUNTIFS(nNIA,DATOS!$A12330,nCURSO,DATOS!$D12330,nESPEC,DATOS!$E12330,nASIG,DATOS!$I12330,nEVAL,"EX")=0),0))))</f>
      </c>
      <c r="H12330">
        <f>IF(DATOS!$G12330&lt;&gt;"EX",0,--(COUNTIFS(nNIA,DATOS!$A12330,nCURSO,DATOS!$D12330,nESPEC,DATOS!$E12330,nASIG,DATOS!$I12330,nEVAL,"OR")=0))</f>
      </c>
      <c r="I12330">
        <f>IF(DATOS!$I12330="","",IFERROR(VLOOKUP(DATOS!$I12330,CONFIG_ASIGNATURAS!$B$2:$J$91,9,FALSE()),""))</f>
      </c>
    </row>
    <row r="12331">
      <c r="F12331">
        <f>IF(DATOS!$A12331="","",DATOS!$A12331&amp;"|"&amp;DATOS!$D12331&amp;"|"&amp;DATOS!$E12331&amp;"|"&amp;DATOS!$I12331)</f>
      </c>
      <c r="G12331">
        <f>IF(DATOS!$A12331="",0,IF(CONFIG_METADATA!$B$4&lt;&gt;"OR+EX",--(DATOS!$G12331=CONFIG_METADATA!$B$4),IF(DATOS!$G12331="EX",1,IF(DATOS!$G12331="OR",--(COUNTIFS(nNIA,DATOS!$A12331,nCURSO,DATOS!$D12331,nESPEC,DATOS!$E12331,nASIG,DATOS!$I12331,nEVAL,"EX")=0),0))))</f>
      </c>
      <c r="H12331">
        <f>IF(DATOS!$G12331&lt;&gt;"EX",0,--(COUNTIFS(nNIA,DATOS!$A12331,nCURSO,DATOS!$D12331,nESPEC,DATOS!$E12331,nASIG,DATOS!$I12331,nEVAL,"OR")=0))</f>
      </c>
      <c r="I12331">
        <f>IF(DATOS!$I12331="","",IFERROR(VLOOKUP(DATOS!$I12331,CONFIG_ASIGNATURAS!$B$2:$J$91,9,FALSE()),""))</f>
      </c>
    </row>
    <row r="12332">
      <c r="F12332">
        <f>IF(DATOS!$A12332="","",DATOS!$A12332&amp;"|"&amp;DATOS!$D12332&amp;"|"&amp;DATOS!$E12332&amp;"|"&amp;DATOS!$I12332)</f>
      </c>
      <c r="G12332">
        <f>IF(DATOS!$A12332="",0,IF(CONFIG_METADATA!$B$4&lt;&gt;"OR+EX",--(DATOS!$G12332=CONFIG_METADATA!$B$4),IF(DATOS!$G12332="EX",1,IF(DATOS!$G12332="OR",--(COUNTIFS(nNIA,DATOS!$A12332,nCURSO,DATOS!$D12332,nESPEC,DATOS!$E12332,nASIG,DATOS!$I12332,nEVAL,"EX")=0),0))))</f>
      </c>
      <c r="H12332">
        <f>IF(DATOS!$G12332&lt;&gt;"EX",0,--(COUNTIFS(nNIA,DATOS!$A12332,nCURSO,DATOS!$D12332,nESPEC,DATOS!$E12332,nASIG,DATOS!$I12332,nEVAL,"OR")=0))</f>
      </c>
      <c r="I12332">
        <f>IF(DATOS!$I12332="","",IFERROR(VLOOKUP(DATOS!$I12332,CONFIG_ASIGNATURAS!$B$2:$J$91,9,FALSE()),""))</f>
      </c>
    </row>
    <row r="12333">
      <c r="F12333">
        <f>IF(DATOS!$A12333="","",DATOS!$A12333&amp;"|"&amp;DATOS!$D12333&amp;"|"&amp;DATOS!$E12333&amp;"|"&amp;DATOS!$I12333)</f>
      </c>
      <c r="G12333">
        <f>IF(DATOS!$A12333="",0,IF(CONFIG_METADATA!$B$4&lt;&gt;"OR+EX",--(DATOS!$G12333=CONFIG_METADATA!$B$4),IF(DATOS!$G12333="EX",1,IF(DATOS!$G12333="OR",--(COUNTIFS(nNIA,DATOS!$A12333,nCURSO,DATOS!$D12333,nESPEC,DATOS!$E12333,nASIG,DATOS!$I12333,nEVAL,"EX")=0),0))))</f>
      </c>
      <c r="H12333">
        <f>IF(DATOS!$G12333&lt;&gt;"EX",0,--(COUNTIFS(nNIA,DATOS!$A12333,nCURSO,DATOS!$D12333,nESPEC,DATOS!$E12333,nASIG,DATOS!$I12333,nEVAL,"OR")=0))</f>
      </c>
      <c r="I12333">
        <f>IF(DATOS!$I12333="","",IFERROR(VLOOKUP(DATOS!$I12333,CONFIG_ASIGNATURAS!$B$2:$J$91,9,FALSE()),""))</f>
      </c>
    </row>
    <row r="12334">
      <c r="F12334">
        <f>IF(DATOS!$A12334="","",DATOS!$A12334&amp;"|"&amp;DATOS!$D12334&amp;"|"&amp;DATOS!$E12334&amp;"|"&amp;DATOS!$I12334)</f>
      </c>
      <c r="G12334">
        <f>IF(DATOS!$A12334="",0,IF(CONFIG_METADATA!$B$4&lt;&gt;"OR+EX",--(DATOS!$G12334=CONFIG_METADATA!$B$4),IF(DATOS!$G12334="EX",1,IF(DATOS!$G12334="OR",--(COUNTIFS(nNIA,DATOS!$A12334,nCURSO,DATOS!$D12334,nESPEC,DATOS!$E12334,nASIG,DATOS!$I12334,nEVAL,"EX")=0),0))))</f>
      </c>
      <c r="H12334">
        <f>IF(DATOS!$G12334&lt;&gt;"EX",0,--(COUNTIFS(nNIA,DATOS!$A12334,nCURSO,DATOS!$D12334,nESPEC,DATOS!$E12334,nASIG,DATOS!$I12334,nEVAL,"OR")=0))</f>
      </c>
      <c r="I12334">
        <f>IF(DATOS!$I12334="","",IFERROR(VLOOKUP(DATOS!$I12334,CONFIG_ASIGNATURAS!$B$2:$J$91,9,FALSE()),""))</f>
      </c>
    </row>
    <row r="12335">
      <c r="F12335">
        <f>IF(DATOS!$A12335="","",DATOS!$A12335&amp;"|"&amp;DATOS!$D12335&amp;"|"&amp;DATOS!$E12335&amp;"|"&amp;DATOS!$I12335)</f>
      </c>
      <c r="G12335">
        <f>IF(DATOS!$A12335="",0,IF(CONFIG_METADATA!$B$4&lt;&gt;"OR+EX",--(DATOS!$G12335=CONFIG_METADATA!$B$4),IF(DATOS!$G12335="EX",1,IF(DATOS!$G12335="OR",--(COUNTIFS(nNIA,DATOS!$A12335,nCURSO,DATOS!$D12335,nESPEC,DATOS!$E12335,nASIG,DATOS!$I12335,nEVAL,"EX")=0),0))))</f>
      </c>
      <c r="H12335">
        <f>IF(DATOS!$G12335&lt;&gt;"EX",0,--(COUNTIFS(nNIA,DATOS!$A12335,nCURSO,DATOS!$D12335,nESPEC,DATOS!$E12335,nASIG,DATOS!$I12335,nEVAL,"OR")=0))</f>
      </c>
      <c r="I12335">
        <f>IF(DATOS!$I12335="","",IFERROR(VLOOKUP(DATOS!$I12335,CONFIG_ASIGNATURAS!$B$2:$J$91,9,FALSE()),""))</f>
      </c>
    </row>
    <row r="12336">
      <c r="F12336">
        <f>IF(DATOS!$A12336="","",DATOS!$A12336&amp;"|"&amp;DATOS!$D12336&amp;"|"&amp;DATOS!$E12336&amp;"|"&amp;DATOS!$I12336)</f>
      </c>
      <c r="G12336">
        <f>IF(DATOS!$A12336="",0,IF(CONFIG_METADATA!$B$4&lt;&gt;"OR+EX",--(DATOS!$G12336=CONFIG_METADATA!$B$4),IF(DATOS!$G12336="EX",1,IF(DATOS!$G12336="OR",--(COUNTIFS(nNIA,DATOS!$A12336,nCURSO,DATOS!$D12336,nESPEC,DATOS!$E12336,nASIG,DATOS!$I12336,nEVAL,"EX")=0),0))))</f>
      </c>
      <c r="H12336">
        <f>IF(DATOS!$G12336&lt;&gt;"EX",0,--(COUNTIFS(nNIA,DATOS!$A12336,nCURSO,DATOS!$D12336,nESPEC,DATOS!$E12336,nASIG,DATOS!$I12336,nEVAL,"OR")=0))</f>
      </c>
      <c r="I12336">
        <f>IF(DATOS!$I12336="","",IFERROR(VLOOKUP(DATOS!$I12336,CONFIG_ASIGNATURAS!$B$2:$J$91,9,FALSE()),""))</f>
      </c>
    </row>
    <row r="12337">
      <c r="F12337">
        <f>IF(DATOS!$A12337="","",DATOS!$A12337&amp;"|"&amp;DATOS!$D12337&amp;"|"&amp;DATOS!$E12337&amp;"|"&amp;DATOS!$I12337)</f>
      </c>
      <c r="G12337">
        <f>IF(DATOS!$A12337="",0,IF(CONFIG_METADATA!$B$4&lt;&gt;"OR+EX",--(DATOS!$G12337=CONFIG_METADATA!$B$4),IF(DATOS!$G12337="EX",1,IF(DATOS!$G12337="OR",--(COUNTIFS(nNIA,DATOS!$A12337,nCURSO,DATOS!$D12337,nESPEC,DATOS!$E12337,nASIG,DATOS!$I12337,nEVAL,"EX")=0),0))))</f>
      </c>
      <c r="H12337">
        <f>IF(DATOS!$G12337&lt;&gt;"EX",0,--(COUNTIFS(nNIA,DATOS!$A12337,nCURSO,DATOS!$D12337,nESPEC,DATOS!$E12337,nASIG,DATOS!$I12337,nEVAL,"OR")=0))</f>
      </c>
      <c r="I12337">
        <f>IF(DATOS!$I12337="","",IFERROR(VLOOKUP(DATOS!$I12337,CONFIG_ASIGNATURAS!$B$2:$J$91,9,FALSE()),""))</f>
      </c>
    </row>
    <row r="12338">
      <c r="F12338">
        <f>IF(DATOS!$A12338="","",DATOS!$A12338&amp;"|"&amp;DATOS!$D12338&amp;"|"&amp;DATOS!$E12338&amp;"|"&amp;DATOS!$I12338)</f>
      </c>
      <c r="G12338">
        <f>IF(DATOS!$A12338="",0,IF(CONFIG_METADATA!$B$4&lt;&gt;"OR+EX",--(DATOS!$G12338=CONFIG_METADATA!$B$4),IF(DATOS!$G12338="EX",1,IF(DATOS!$G12338="OR",--(COUNTIFS(nNIA,DATOS!$A12338,nCURSO,DATOS!$D12338,nESPEC,DATOS!$E12338,nASIG,DATOS!$I12338,nEVAL,"EX")=0),0))))</f>
      </c>
      <c r="H12338">
        <f>IF(DATOS!$G12338&lt;&gt;"EX",0,--(COUNTIFS(nNIA,DATOS!$A12338,nCURSO,DATOS!$D12338,nESPEC,DATOS!$E12338,nASIG,DATOS!$I12338,nEVAL,"OR")=0))</f>
      </c>
      <c r="I12338">
        <f>IF(DATOS!$I12338="","",IFERROR(VLOOKUP(DATOS!$I12338,CONFIG_ASIGNATURAS!$B$2:$J$91,9,FALSE()),""))</f>
      </c>
    </row>
    <row r="12339">
      <c r="F12339">
        <f>IF(DATOS!$A12339="","",DATOS!$A12339&amp;"|"&amp;DATOS!$D12339&amp;"|"&amp;DATOS!$E12339&amp;"|"&amp;DATOS!$I12339)</f>
      </c>
      <c r="G12339">
        <f>IF(DATOS!$A12339="",0,IF(CONFIG_METADATA!$B$4&lt;&gt;"OR+EX",--(DATOS!$G12339=CONFIG_METADATA!$B$4),IF(DATOS!$G12339="EX",1,IF(DATOS!$G12339="OR",--(COUNTIFS(nNIA,DATOS!$A12339,nCURSO,DATOS!$D12339,nESPEC,DATOS!$E12339,nASIG,DATOS!$I12339,nEVAL,"EX")=0),0))))</f>
      </c>
      <c r="H12339">
        <f>IF(DATOS!$G12339&lt;&gt;"EX",0,--(COUNTIFS(nNIA,DATOS!$A12339,nCURSO,DATOS!$D12339,nESPEC,DATOS!$E12339,nASIG,DATOS!$I12339,nEVAL,"OR")=0))</f>
      </c>
      <c r="I12339">
        <f>IF(DATOS!$I12339="","",IFERROR(VLOOKUP(DATOS!$I12339,CONFIG_ASIGNATURAS!$B$2:$J$91,9,FALSE()),""))</f>
      </c>
    </row>
    <row r="12340">
      <c r="F12340">
        <f>IF(DATOS!$A12340="","",DATOS!$A12340&amp;"|"&amp;DATOS!$D12340&amp;"|"&amp;DATOS!$E12340&amp;"|"&amp;DATOS!$I12340)</f>
      </c>
      <c r="G12340">
        <f>IF(DATOS!$A12340="",0,IF(CONFIG_METADATA!$B$4&lt;&gt;"OR+EX",--(DATOS!$G12340=CONFIG_METADATA!$B$4),IF(DATOS!$G12340="EX",1,IF(DATOS!$G12340="OR",--(COUNTIFS(nNIA,DATOS!$A12340,nCURSO,DATOS!$D12340,nESPEC,DATOS!$E12340,nASIG,DATOS!$I12340,nEVAL,"EX")=0),0))))</f>
      </c>
      <c r="H12340">
        <f>IF(DATOS!$G12340&lt;&gt;"EX",0,--(COUNTIFS(nNIA,DATOS!$A12340,nCURSO,DATOS!$D12340,nESPEC,DATOS!$E12340,nASIG,DATOS!$I12340,nEVAL,"OR")=0))</f>
      </c>
      <c r="I12340">
        <f>IF(DATOS!$I12340="","",IFERROR(VLOOKUP(DATOS!$I12340,CONFIG_ASIGNATURAS!$B$2:$J$91,9,FALSE()),""))</f>
      </c>
    </row>
    <row r="12341">
      <c r="F12341">
        <f>IF(DATOS!$A12341="","",DATOS!$A12341&amp;"|"&amp;DATOS!$D12341&amp;"|"&amp;DATOS!$E12341&amp;"|"&amp;DATOS!$I12341)</f>
      </c>
      <c r="G12341">
        <f>IF(DATOS!$A12341="",0,IF(CONFIG_METADATA!$B$4&lt;&gt;"OR+EX",--(DATOS!$G12341=CONFIG_METADATA!$B$4),IF(DATOS!$G12341="EX",1,IF(DATOS!$G12341="OR",--(COUNTIFS(nNIA,DATOS!$A12341,nCURSO,DATOS!$D12341,nESPEC,DATOS!$E12341,nASIG,DATOS!$I12341,nEVAL,"EX")=0),0))))</f>
      </c>
      <c r="H12341">
        <f>IF(DATOS!$G12341&lt;&gt;"EX",0,--(COUNTIFS(nNIA,DATOS!$A12341,nCURSO,DATOS!$D12341,nESPEC,DATOS!$E12341,nASIG,DATOS!$I12341,nEVAL,"OR")=0))</f>
      </c>
      <c r="I12341">
        <f>IF(DATOS!$I12341="","",IFERROR(VLOOKUP(DATOS!$I12341,CONFIG_ASIGNATURAS!$B$2:$J$91,9,FALSE()),""))</f>
      </c>
    </row>
    <row r="12342">
      <c r="F12342">
        <f>IF(DATOS!$A12342="","",DATOS!$A12342&amp;"|"&amp;DATOS!$D12342&amp;"|"&amp;DATOS!$E12342&amp;"|"&amp;DATOS!$I12342)</f>
      </c>
      <c r="G12342">
        <f>IF(DATOS!$A12342="",0,IF(CONFIG_METADATA!$B$4&lt;&gt;"OR+EX",--(DATOS!$G12342=CONFIG_METADATA!$B$4),IF(DATOS!$G12342="EX",1,IF(DATOS!$G12342="OR",--(COUNTIFS(nNIA,DATOS!$A12342,nCURSO,DATOS!$D12342,nESPEC,DATOS!$E12342,nASIG,DATOS!$I12342,nEVAL,"EX")=0),0))))</f>
      </c>
      <c r="H12342">
        <f>IF(DATOS!$G12342&lt;&gt;"EX",0,--(COUNTIFS(nNIA,DATOS!$A12342,nCURSO,DATOS!$D12342,nESPEC,DATOS!$E12342,nASIG,DATOS!$I12342,nEVAL,"OR")=0))</f>
      </c>
      <c r="I12342">
        <f>IF(DATOS!$I12342="","",IFERROR(VLOOKUP(DATOS!$I12342,CONFIG_ASIGNATURAS!$B$2:$J$91,9,FALSE()),""))</f>
      </c>
    </row>
    <row r="12343">
      <c r="F12343">
        <f>IF(DATOS!$A12343="","",DATOS!$A12343&amp;"|"&amp;DATOS!$D12343&amp;"|"&amp;DATOS!$E12343&amp;"|"&amp;DATOS!$I12343)</f>
      </c>
      <c r="G12343">
        <f>IF(DATOS!$A12343="",0,IF(CONFIG_METADATA!$B$4&lt;&gt;"OR+EX",--(DATOS!$G12343=CONFIG_METADATA!$B$4),IF(DATOS!$G12343="EX",1,IF(DATOS!$G12343="OR",--(COUNTIFS(nNIA,DATOS!$A12343,nCURSO,DATOS!$D12343,nESPEC,DATOS!$E12343,nASIG,DATOS!$I12343,nEVAL,"EX")=0),0))))</f>
      </c>
      <c r="H12343">
        <f>IF(DATOS!$G12343&lt;&gt;"EX",0,--(COUNTIFS(nNIA,DATOS!$A12343,nCURSO,DATOS!$D12343,nESPEC,DATOS!$E12343,nASIG,DATOS!$I12343,nEVAL,"OR")=0))</f>
      </c>
      <c r="I12343">
        <f>IF(DATOS!$I12343="","",IFERROR(VLOOKUP(DATOS!$I12343,CONFIG_ASIGNATURAS!$B$2:$J$91,9,FALSE()),""))</f>
      </c>
    </row>
    <row r="12344">
      <c r="F12344">
        <f>IF(DATOS!$A12344="","",DATOS!$A12344&amp;"|"&amp;DATOS!$D12344&amp;"|"&amp;DATOS!$E12344&amp;"|"&amp;DATOS!$I12344)</f>
      </c>
      <c r="G12344">
        <f>IF(DATOS!$A12344="",0,IF(CONFIG_METADATA!$B$4&lt;&gt;"OR+EX",--(DATOS!$G12344=CONFIG_METADATA!$B$4),IF(DATOS!$G12344="EX",1,IF(DATOS!$G12344="OR",--(COUNTIFS(nNIA,DATOS!$A12344,nCURSO,DATOS!$D12344,nESPEC,DATOS!$E12344,nASIG,DATOS!$I12344,nEVAL,"EX")=0),0))))</f>
      </c>
      <c r="H12344">
        <f>IF(DATOS!$G12344&lt;&gt;"EX",0,--(COUNTIFS(nNIA,DATOS!$A12344,nCURSO,DATOS!$D12344,nESPEC,DATOS!$E12344,nASIG,DATOS!$I12344,nEVAL,"OR")=0))</f>
      </c>
      <c r="I12344">
        <f>IF(DATOS!$I12344="","",IFERROR(VLOOKUP(DATOS!$I12344,CONFIG_ASIGNATURAS!$B$2:$J$91,9,FALSE()),""))</f>
      </c>
    </row>
    <row r="12345">
      <c r="F12345">
        <f>IF(DATOS!$A12345="","",DATOS!$A12345&amp;"|"&amp;DATOS!$D12345&amp;"|"&amp;DATOS!$E12345&amp;"|"&amp;DATOS!$I12345)</f>
      </c>
      <c r="G12345">
        <f>IF(DATOS!$A12345="",0,IF(CONFIG_METADATA!$B$4&lt;&gt;"OR+EX",--(DATOS!$G12345=CONFIG_METADATA!$B$4),IF(DATOS!$G12345="EX",1,IF(DATOS!$G12345="OR",--(COUNTIFS(nNIA,DATOS!$A12345,nCURSO,DATOS!$D12345,nESPEC,DATOS!$E12345,nASIG,DATOS!$I12345,nEVAL,"EX")=0),0))))</f>
      </c>
      <c r="H12345">
        <f>IF(DATOS!$G12345&lt;&gt;"EX",0,--(COUNTIFS(nNIA,DATOS!$A12345,nCURSO,DATOS!$D12345,nESPEC,DATOS!$E12345,nASIG,DATOS!$I12345,nEVAL,"OR")=0))</f>
      </c>
      <c r="I12345">
        <f>IF(DATOS!$I12345="","",IFERROR(VLOOKUP(DATOS!$I12345,CONFIG_ASIGNATURAS!$B$2:$J$91,9,FALSE()),""))</f>
      </c>
    </row>
    <row r="12346">
      <c r="F12346">
        <f>IF(DATOS!$A12346="","",DATOS!$A12346&amp;"|"&amp;DATOS!$D12346&amp;"|"&amp;DATOS!$E12346&amp;"|"&amp;DATOS!$I12346)</f>
      </c>
      <c r="G12346">
        <f>IF(DATOS!$A12346="",0,IF(CONFIG_METADATA!$B$4&lt;&gt;"OR+EX",--(DATOS!$G12346=CONFIG_METADATA!$B$4),IF(DATOS!$G12346="EX",1,IF(DATOS!$G12346="OR",--(COUNTIFS(nNIA,DATOS!$A12346,nCURSO,DATOS!$D12346,nESPEC,DATOS!$E12346,nASIG,DATOS!$I12346,nEVAL,"EX")=0),0))))</f>
      </c>
      <c r="H12346">
        <f>IF(DATOS!$G12346&lt;&gt;"EX",0,--(COUNTIFS(nNIA,DATOS!$A12346,nCURSO,DATOS!$D12346,nESPEC,DATOS!$E12346,nASIG,DATOS!$I12346,nEVAL,"OR")=0))</f>
      </c>
      <c r="I12346">
        <f>IF(DATOS!$I12346="","",IFERROR(VLOOKUP(DATOS!$I12346,CONFIG_ASIGNATURAS!$B$2:$J$91,9,FALSE()),""))</f>
      </c>
    </row>
    <row r="12347">
      <c r="F12347">
        <f>IF(DATOS!$A12347="","",DATOS!$A12347&amp;"|"&amp;DATOS!$D12347&amp;"|"&amp;DATOS!$E12347&amp;"|"&amp;DATOS!$I12347)</f>
      </c>
      <c r="G12347">
        <f>IF(DATOS!$A12347="",0,IF(CONFIG_METADATA!$B$4&lt;&gt;"OR+EX",--(DATOS!$G12347=CONFIG_METADATA!$B$4),IF(DATOS!$G12347="EX",1,IF(DATOS!$G12347="OR",--(COUNTIFS(nNIA,DATOS!$A12347,nCURSO,DATOS!$D12347,nESPEC,DATOS!$E12347,nASIG,DATOS!$I12347,nEVAL,"EX")=0),0))))</f>
      </c>
      <c r="H12347">
        <f>IF(DATOS!$G12347&lt;&gt;"EX",0,--(COUNTIFS(nNIA,DATOS!$A12347,nCURSO,DATOS!$D12347,nESPEC,DATOS!$E12347,nASIG,DATOS!$I12347,nEVAL,"OR")=0))</f>
      </c>
      <c r="I12347">
        <f>IF(DATOS!$I12347="","",IFERROR(VLOOKUP(DATOS!$I12347,CONFIG_ASIGNATURAS!$B$2:$J$91,9,FALSE()),""))</f>
      </c>
    </row>
    <row r="12348">
      <c r="F12348">
        <f>IF(DATOS!$A12348="","",DATOS!$A12348&amp;"|"&amp;DATOS!$D12348&amp;"|"&amp;DATOS!$E12348&amp;"|"&amp;DATOS!$I12348)</f>
      </c>
      <c r="G12348">
        <f>IF(DATOS!$A12348="",0,IF(CONFIG_METADATA!$B$4&lt;&gt;"OR+EX",--(DATOS!$G12348=CONFIG_METADATA!$B$4),IF(DATOS!$G12348="EX",1,IF(DATOS!$G12348="OR",--(COUNTIFS(nNIA,DATOS!$A12348,nCURSO,DATOS!$D12348,nESPEC,DATOS!$E12348,nASIG,DATOS!$I12348,nEVAL,"EX")=0),0))))</f>
      </c>
      <c r="H12348">
        <f>IF(DATOS!$G12348&lt;&gt;"EX",0,--(COUNTIFS(nNIA,DATOS!$A12348,nCURSO,DATOS!$D12348,nESPEC,DATOS!$E12348,nASIG,DATOS!$I12348,nEVAL,"OR")=0))</f>
      </c>
      <c r="I12348">
        <f>IF(DATOS!$I12348="","",IFERROR(VLOOKUP(DATOS!$I12348,CONFIG_ASIGNATURAS!$B$2:$J$91,9,FALSE()),""))</f>
      </c>
    </row>
    <row r="12349">
      <c r="F12349">
        <f>IF(DATOS!$A12349="","",DATOS!$A12349&amp;"|"&amp;DATOS!$D12349&amp;"|"&amp;DATOS!$E12349&amp;"|"&amp;DATOS!$I12349)</f>
      </c>
      <c r="G12349">
        <f>IF(DATOS!$A12349="",0,IF(CONFIG_METADATA!$B$4&lt;&gt;"OR+EX",--(DATOS!$G12349=CONFIG_METADATA!$B$4),IF(DATOS!$G12349="EX",1,IF(DATOS!$G12349="OR",--(COUNTIFS(nNIA,DATOS!$A12349,nCURSO,DATOS!$D12349,nESPEC,DATOS!$E12349,nASIG,DATOS!$I12349,nEVAL,"EX")=0),0))))</f>
      </c>
      <c r="H12349">
        <f>IF(DATOS!$G12349&lt;&gt;"EX",0,--(COUNTIFS(nNIA,DATOS!$A12349,nCURSO,DATOS!$D12349,nESPEC,DATOS!$E12349,nASIG,DATOS!$I12349,nEVAL,"OR")=0))</f>
      </c>
      <c r="I12349">
        <f>IF(DATOS!$I12349="","",IFERROR(VLOOKUP(DATOS!$I12349,CONFIG_ASIGNATURAS!$B$2:$J$91,9,FALSE()),""))</f>
      </c>
    </row>
    <row r="12350">
      <c r="F12350">
        <f>IF(DATOS!$A12350="","",DATOS!$A12350&amp;"|"&amp;DATOS!$D12350&amp;"|"&amp;DATOS!$E12350&amp;"|"&amp;DATOS!$I12350)</f>
      </c>
      <c r="G12350">
        <f>IF(DATOS!$A12350="",0,IF(CONFIG_METADATA!$B$4&lt;&gt;"OR+EX",--(DATOS!$G12350=CONFIG_METADATA!$B$4),IF(DATOS!$G12350="EX",1,IF(DATOS!$G12350="OR",--(COUNTIFS(nNIA,DATOS!$A12350,nCURSO,DATOS!$D12350,nESPEC,DATOS!$E12350,nASIG,DATOS!$I12350,nEVAL,"EX")=0),0))))</f>
      </c>
      <c r="H12350">
        <f>IF(DATOS!$G12350&lt;&gt;"EX",0,--(COUNTIFS(nNIA,DATOS!$A12350,nCURSO,DATOS!$D12350,nESPEC,DATOS!$E12350,nASIG,DATOS!$I12350,nEVAL,"OR")=0))</f>
      </c>
      <c r="I12350">
        <f>IF(DATOS!$I12350="","",IFERROR(VLOOKUP(DATOS!$I12350,CONFIG_ASIGNATURAS!$B$2:$J$91,9,FALSE()),""))</f>
      </c>
    </row>
    <row r="12351">
      <c r="F12351">
        <f>IF(DATOS!$A12351="","",DATOS!$A12351&amp;"|"&amp;DATOS!$D12351&amp;"|"&amp;DATOS!$E12351&amp;"|"&amp;DATOS!$I12351)</f>
      </c>
      <c r="G12351">
        <f>IF(DATOS!$A12351="",0,IF(CONFIG_METADATA!$B$4&lt;&gt;"OR+EX",--(DATOS!$G12351=CONFIG_METADATA!$B$4),IF(DATOS!$G12351="EX",1,IF(DATOS!$G12351="OR",--(COUNTIFS(nNIA,DATOS!$A12351,nCURSO,DATOS!$D12351,nESPEC,DATOS!$E12351,nASIG,DATOS!$I12351,nEVAL,"EX")=0),0))))</f>
      </c>
      <c r="H12351">
        <f>IF(DATOS!$G12351&lt;&gt;"EX",0,--(COUNTIFS(nNIA,DATOS!$A12351,nCURSO,DATOS!$D12351,nESPEC,DATOS!$E12351,nASIG,DATOS!$I12351,nEVAL,"OR")=0))</f>
      </c>
      <c r="I12351">
        <f>IF(DATOS!$I12351="","",IFERROR(VLOOKUP(DATOS!$I12351,CONFIG_ASIGNATURAS!$B$2:$J$91,9,FALSE()),""))</f>
      </c>
    </row>
    <row r="12352">
      <c r="F12352">
        <f>IF(DATOS!$A12352="","",DATOS!$A12352&amp;"|"&amp;DATOS!$D12352&amp;"|"&amp;DATOS!$E12352&amp;"|"&amp;DATOS!$I12352)</f>
      </c>
      <c r="G12352">
        <f>IF(DATOS!$A12352="",0,IF(CONFIG_METADATA!$B$4&lt;&gt;"OR+EX",--(DATOS!$G12352=CONFIG_METADATA!$B$4),IF(DATOS!$G12352="EX",1,IF(DATOS!$G12352="OR",--(COUNTIFS(nNIA,DATOS!$A12352,nCURSO,DATOS!$D12352,nESPEC,DATOS!$E12352,nASIG,DATOS!$I12352,nEVAL,"EX")=0),0))))</f>
      </c>
      <c r="H12352">
        <f>IF(DATOS!$G12352&lt;&gt;"EX",0,--(COUNTIFS(nNIA,DATOS!$A12352,nCURSO,DATOS!$D12352,nESPEC,DATOS!$E12352,nASIG,DATOS!$I12352,nEVAL,"OR")=0))</f>
      </c>
      <c r="I12352">
        <f>IF(DATOS!$I12352="","",IFERROR(VLOOKUP(DATOS!$I12352,CONFIG_ASIGNATURAS!$B$2:$J$91,9,FALSE()),""))</f>
      </c>
    </row>
    <row r="12353">
      <c r="F12353">
        <f>IF(DATOS!$A12353="","",DATOS!$A12353&amp;"|"&amp;DATOS!$D12353&amp;"|"&amp;DATOS!$E12353&amp;"|"&amp;DATOS!$I12353)</f>
      </c>
      <c r="G12353">
        <f>IF(DATOS!$A12353="",0,IF(CONFIG_METADATA!$B$4&lt;&gt;"OR+EX",--(DATOS!$G12353=CONFIG_METADATA!$B$4),IF(DATOS!$G12353="EX",1,IF(DATOS!$G12353="OR",--(COUNTIFS(nNIA,DATOS!$A12353,nCURSO,DATOS!$D12353,nESPEC,DATOS!$E12353,nASIG,DATOS!$I12353,nEVAL,"EX")=0),0))))</f>
      </c>
      <c r="H12353">
        <f>IF(DATOS!$G12353&lt;&gt;"EX",0,--(COUNTIFS(nNIA,DATOS!$A12353,nCURSO,DATOS!$D12353,nESPEC,DATOS!$E12353,nASIG,DATOS!$I12353,nEVAL,"OR")=0))</f>
      </c>
      <c r="I12353">
        <f>IF(DATOS!$I12353="","",IFERROR(VLOOKUP(DATOS!$I12353,CONFIG_ASIGNATURAS!$B$2:$J$91,9,FALSE()),""))</f>
      </c>
    </row>
    <row r="12354">
      <c r="F12354">
        <f>IF(DATOS!$A12354="","",DATOS!$A12354&amp;"|"&amp;DATOS!$D12354&amp;"|"&amp;DATOS!$E12354&amp;"|"&amp;DATOS!$I12354)</f>
      </c>
      <c r="G12354">
        <f>IF(DATOS!$A12354="",0,IF(CONFIG_METADATA!$B$4&lt;&gt;"OR+EX",--(DATOS!$G12354=CONFIG_METADATA!$B$4),IF(DATOS!$G12354="EX",1,IF(DATOS!$G12354="OR",--(COUNTIFS(nNIA,DATOS!$A12354,nCURSO,DATOS!$D12354,nESPEC,DATOS!$E12354,nASIG,DATOS!$I12354,nEVAL,"EX")=0),0))))</f>
      </c>
      <c r="H12354">
        <f>IF(DATOS!$G12354&lt;&gt;"EX",0,--(COUNTIFS(nNIA,DATOS!$A12354,nCURSO,DATOS!$D12354,nESPEC,DATOS!$E12354,nASIG,DATOS!$I12354,nEVAL,"OR")=0))</f>
      </c>
      <c r="I12354">
        <f>IF(DATOS!$I12354="","",IFERROR(VLOOKUP(DATOS!$I12354,CONFIG_ASIGNATURAS!$B$2:$J$91,9,FALSE()),""))</f>
      </c>
    </row>
    <row r="12355">
      <c r="F12355">
        <f>IF(DATOS!$A12355="","",DATOS!$A12355&amp;"|"&amp;DATOS!$D12355&amp;"|"&amp;DATOS!$E12355&amp;"|"&amp;DATOS!$I12355)</f>
      </c>
      <c r="G12355">
        <f>IF(DATOS!$A12355="",0,IF(CONFIG_METADATA!$B$4&lt;&gt;"OR+EX",--(DATOS!$G12355=CONFIG_METADATA!$B$4),IF(DATOS!$G12355="EX",1,IF(DATOS!$G12355="OR",--(COUNTIFS(nNIA,DATOS!$A12355,nCURSO,DATOS!$D12355,nESPEC,DATOS!$E12355,nASIG,DATOS!$I12355,nEVAL,"EX")=0),0))))</f>
      </c>
      <c r="H12355">
        <f>IF(DATOS!$G12355&lt;&gt;"EX",0,--(COUNTIFS(nNIA,DATOS!$A12355,nCURSO,DATOS!$D12355,nESPEC,DATOS!$E12355,nASIG,DATOS!$I12355,nEVAL,"OR")=0))</f>
      </c>
      <c r="I12355">
        <f>IF(DATOS!$I12355="","",IFERROR(VLOOKUP(DATOS!$I12355,CONFIG_ASIGNATURAS!$B$2:$J$91,9,FALSE()),""))</f>
      </c>
    </row>
    <row r="12356">
      <c r="F12356">
        <f>IF(DATOS!$A12356="","",DATOS!$A12356&amp;"|"&amp;DATOS!$D12356&amp;"|"&amp;DATOS!$E12356&amp;"|"&amp;DATOS!$I12356)</f>
      </c>
      <c r="G12356">
        <f>IF(DATOS!$A12356="",0,IF(CONFIG_METADATA!$B$4&lt;&gt;"OR+EX",--(DATOS!$G12356=CONFIG_METADATA!$B$4),IF(DATOS!$G12356="EX",1,IF(DATOS!$G12356="OR",--(COUNTIFS(nNIA,DATOS!$A12356,nCURSO,DATOS!$D12356,nESPEC,DATOS!$E12356,nASIG,DATOS!$I12356,nEVAL,"EX")=0),0))))</f>
      </c>
      <c r="H12356">
        <f>IF(DATOS!$G12356&lt;&gt;"EX",0,--(COUNTIFS(nNIA,DATOS!$A12356,nCURSO,DATOS!$D12356,nESPEC,DATOS!$E12356,nASIG,DATOS!$I12356,nEVAL,"OR")=0))</f>
      </c>
      <c r="I12356">
        <f>IF(DATOS!$I12356="","",IFERROR(VLOOKUP(DATOS!$I12356,CONFIG_ASIGNATURAS!$B$2:$J$91,9,FALSE()),""))</f>
      </c>
    </row>
    <row r="12357">
      <c r="F12357">
        <f>IF(DATOS!$A12357="","",DATOS!$A12357&amp;"|"&amp;DATOS!$D12357&amp;"|"&amp;DATOS!$E12357&amp;"|"&amp;DATOS!$I12357)</f>
      </c>
      <c r="G12357">
        <f>IF(DATOS!$A12357="",0,IF(CONFIG_METADATA!$B$4&lt;&gt;"OR+EX",--(DATOS!$G12357=CONFIG_METADATA!$B$4),IF(DATOS!$G12357="EX",1,IF(DATOS!$G12357="OR",--(COUNTIFS(nNIA,DATOS!$A12357,nCURSO,DATOS!$D12357,nESPEC,DATOS!$E12357,nASIG,DATOS!$I12357,nEVAL,"EX")=0),0))))</f>
      </c>
      <c r="H12357">
        <f>IF(DATOS!$G12357&lt;&gt;"EX",0,--(COUNTIFS(nNIA,DATOS!$A12357,nCURSO,DATOS!$D12357,nESPEC,DATOS!$E12357,nASIG,DATOS!$I12357,nEVAL,"OR")=0))</f>
      </c>
      <c r="I12357">
        <f>IF(DATOS!$I12357="","",IFERROR(VLOOKUP(DATOS!$I12357,CONFIG_ASIGNATURAS!$B$2:$J$91,9,FALSE()),""))</f>
      </c>
    </row>
    <row r="12358">
      <c r="F12358">
        <f>IF(DATOS!$A12358="","",DATOS!$A12358&amp;"|"&amp;DATOS!$D12358&amp;"|"&amp;DATOS!$E12358&amp;"|"&amp;DATOS!$I12358)</f>
      </c>
      <c r="G12358">
        <f>IF(DATOS!$A12358="",0,IF(CONFIG_METADATA!$B$4&lt;&gt;"OR+EX",--(DATOS!$G12358=CONFIG_METADATA!$B$4),IF(DATOS!$G12358="EX",1,IF(DATOS!$G12358="OR",--(COUNTIFS(nNIA,DATOS!$A12358,nCURSO,DATOS!$D12358,nESPEC,DATOS!$E12358,nASIG,DATOS!$I12358,nEVAL,"EX")=0),0))))</f>
      </c>
      <c r="H12358">
        <f>IF(DATOS!$G12358&lt;&gt;"EX",0,--(COUNTIFS(nNIA,DATOS!$A12358,nCURSO,DATOS!$D12358,nESPEC,DATOS!$E12358,nASIG,DATOS!$I12358,nEVAL,"OR")=0))</f>
      </c>
      <c r="I12358">
        <f>IF(DATOS!$I12358="","",IFERROR(VLOOKUP(DATOS!$I12358,CONFIG_ASIGNATURAS!$B$2:$J$91,9,FALSE()),""))</f>
      </c>
    </row>
    <row r="12359">
      <c r="F12359">
        <f>IF(DATOS!$A12359="","",DATOS!$A12359&amp;"|"&amp;DATOS!$D12359&amp;"|"&amp;DATOS!$E12359&amp;"|"&amp;DATOS!$I12359)</f>
      </c>
      <c r="G12359">
        <f>IF(DATOS!$A12359="",0,IF(CONFIG_METADATA!$B$4&lt;&gt;"OR+EX",--(DATOS!$G12359=CONFIG_METADATA!$B$4),IF(DATOS!$G12359="EX",1,IF(DATOS!$G12359="OR",--(COUNTIFS(nNIA,DATOS!$A12359,nCURSO,DATOS!$D12359,nESPEC,DATOS!$E12359,nASIG,DATOS!$I12359,nEVAL,"EX")=0),0))))</f>
      </c>
      <c r="H12359">
        <f>IF(DATOS!$G12359&lt;&gt;"EX",0,--(COUNTIFS(nNIA,DATOS!$A12359,nCURSO,DATOS!$D12359,nESPEC,DATOS!$E12359,nASIG,DATOS!$I12359,nEVAL,"OR")=0))</f>
      </c>
      <c r="I12359">
        <f>IF(DATOS!$I12359="","",IFERROR(VLOOKUP(DATOS!$I12359,CONFIG_ASIGNATURAS!$B$2:$J$91,9,FALSE()),""))</f>
      </c>
    </row>
    <row r="12360">
      <c r="F12360">
        <f>IF(DATOS!$A12360="","",DATOS!$A12360&amp;"|"&amp;DATOS!$D12360&amp;"|"&amp;DATOS!$E12360&amp;"|"&amp;DATOS!$I12360)</f>
      </c>
      <c r="G12360">
        <f>IF(DATOS!$A12360="",0,IF(CONFIG_METADATA!$B$4&lt;&gt;"OR+EX",--(DATOS!$G12360=CONFIG_METADATA!$B$4),IF(DATOS!$G12360="EX",1,IF(DATOS!$G12360="OR",--(COUNTIFS(nNIA,DATOS!$A12360,nCURSO,DATOS!$D12360,nESPEC,DATOS!$E12360,nASIG,DATOS!$I12360,nEVAL,"EX")=0),0))))</f>
      </c>
      <c r="H12360">
        <f>IF(DATOS!$G12360&lt;&gt;"EX",0,--(COUNTIFS(nNIA,DATOS!$A12360,nCURSO,DATOS!$D12360,nESPEC,DATOS!$E12360,nASIG,DATOS!$I12360,nEVAL,"OR")=0))</f>
      </c>
      <c r="I12360">
        <f>IF(DATOS!$I12360="","",IFERROR(VLOOKUP(DATOS!$I12360,CONFIG_ASIGNATURAS!$B$2:$J$91,9,FALSE()),""))</f>
      </c>
    </row>
    <row r="12361">
      <c r="F12361">
        <f>IF(DATOS!$A12361="","",DATOS!$A12361&amp;"|"&amp;DATOS!$D12361&amp;"|"&amp;DATOS!$E12361&amp;"|"&amp;DATOS!$I12361)</f>
      </c>
      <c r="G12361">
        <f>IF(DATOS!$A12361="",0,IF(CONFIG_METADATA!$B$4&lt;&gt;"OR+EX",--(DATOS!$G12361=CONFIG_METADATA!$B$4),IF(DATOS!$G12361="EX",1,IF(DATOS!$G12361="OR",--(COUNTIFS(nNIA,DATOS!$A12361,nCURSO,DATOS!$D12361,nESPEC,DATOS!$E12361,nASIG,DATOS!$I12361,nEVAL,"EX")=0),0))))</f>
      </c>
      <c r="H12361">
        <f>IF(DATOS!$G12361&lt;&gt;"EX",0,--(COUNTIFS(nNIA,DATOS!$A12361,nCURSO,DATOS!$D12361,nESPEC,DATOS!$E12361,nASIG,DATOS!$I12361,nEVAL,"OR")=0))</f>
      </c>
      <c r="I12361">
        <f>IF(DATOS!$I12361="","",IFERROR(VLOOKUP(DATOS!$I12361,CONFIG_ASIGNATURAS!$B$2:$J$91,9,FALSE()),""))</f>
      </c>
    </row>
    <row r="12362">
      <c r="F12362">
        <f>IF(DATOS!$A12362="","",DATOS!$A12362&amp;"|"&amp;DATOS!$D12362&amp;"|"&amp;DATOS!$E12362&amp;"|"&amp;DATOS!$I12362)</f>
      </c>
      <c r="G12362">
        <f>IF(DATOS!$A12362="",0,IF(CONFIG_METADATA!$B$4&lt;&gt;"OR+EX",--(DATOS!$G12362=CONFIG_METADATA!$B$4),IF(DATOS!$G12362="EX",1,IF(DATOS!$G12362="OR",--(COUNTIFS(nNIA,DATOS!$A12362,nCURSO,DATOS!$D12362,nESPEC,DATOS!$E12362,nASIG,DATOS!$I12362,nEVAL,"EX")=0),0))))</f>
      </c>
      <c r="H12362">
        <f>IF(DATOS!$G12362&lt;&gt;"EX",0,--(COUNTIFS(nNIA,DATOS!$A12362,nCURSO,DATOS!$D12362,nESPEC,DATOS!$E12362,nASIG,DATOS!$I12362,nEVAL,"OR")=0))</f>
      </c>
      <c r="I12362">
        <f>IF(DATOS!$I12362="","",IFERROR(VLOOKUP(DATOS!$I12362,CONFIG_ASIGNATURAS!$B$2:$J$91,9,FALSE()),""))</f>
      </c>
    </row>
    <row r="12363">
      <c r="F12363">
        <f>IF(DATOS!$A12363="","",DATOS!$A12363&amp;"|"&amp;DATOS!$D12363&amp;"|"&amp;DATOS!$E12363&amp;"|"&amp;DATOS!$I12363)</f>
      </c>
      <c r="G12363">
        <f>IF(DATOS!$A12363="",0,IF(CONFIG_METADATA!$B$4&lt;&gt;"OR+EX",--(DATOS!$G12363=CONFIG_METADATA!$B$4),IF(DATOS!$G12363="EX",1,IF(DATOS!$G12363="OR",--(COUNTIFS(nNIA,DATOS!$A12363,nCURSO,DATOS!$D12363,nESPEC,DATOS!$E12363,nASIG,DATOS!$I12363,nEVAL,"EX")=0),0))))</f>
      </c>
      <c r="H12363">
        <f>IF(DATOS!$G12363&lt;&gt;"EX",0,--(COUNTIFS(nNIA,DATOS!$A12363,nCURSO,DATOS!$D12363,nESPEC,DATOS!$E12363,nASIG,DATOS!$I12363,nEVAL,"OR")=0))</f>
      </c>
      <c r="I12363">
        <f>IF(DATOS!$I12363="","",IFERROR(VLOOKUP(DATOS!$I12363,CONFIG_ASIGNATURAS!$B$2:$J$91,9,FALSE()),""))</f>
      </c>
    </row>
    <row r="12364">
      <c r="F12364">
        <f>IF(DATOS!$A12364="","",DATOS!$A12364&amp;"|"&amp;DATOS!$D12364&amp;"|"&amp;DATOS!$E12364&amp;"|"&amp;DATOS!$I12364)</f>
      </c>
      <c r="G12364">
        <f>IF(DATOS!$A12364="",0,IF(CONFIG_METADATA!$B$4&lt;&gt;"OR+EX",--(DATOS!$G12364=CONFIG_METADATA!$B$4),IF(DATOS!$G12364="EX",1,IF(DATOS!$G12364="OR",--(COUNTIFS(nNIA,DATOS!$A12364,nCURSO,DATOS!$D12364,nESPEC,DATOS!$E12364,nASIG,DATOS!$I12364,nEVAL,"EX")=0),0))))</f>
      </c>
      <c r="H12364">
        <f>IF(DATOS!$G12364&lt;&gt;"EX",0,--(COUNTIFS(nNIA,DATOS!$A12364,nCURSO,DATOS!$D12364,nESPEC,DATOS!$E12364,nASIG,DATOS!$I12364,nEVAL,"OR")=0))</f>
      </c>
      <c r="I12364">
        <f>IF(DATOS!$I12364="","",IFERROR(VLOOKUP(DATOS!$I12364,CONFIG_ASIGNATURAS!$B$2:$J$91,9,FALSE()),""))</f>
      </c>
    </row>
    <row r="12365">
      <c r="F12365">
        <f>IF(DATOS!$A12365="","",DATOS!$A12365&amp;"|"&amp;DATOS!$D12365&amp;"|"&amp;DATOS!$E12365&amp;"|"&amp;DATOS!$I12365)</f>
      </c>
      <c r="G12365">
        <f>IF(DATOS!$A12365="",0,IF(CONFIG_METADATA!$B$4&lt;&gt;"OR+EX",--(DATOS!$G12365=CONFIG_METADATA!$B$4),IF(DATOS!$G12365="EX",1,IF(DATOS!$G12365="OR",--(COUNTIFS(nNIA,DATOS!$A12365,nCURSO,DATOS!$D12365,nESPEC,DATOS!$E12365,nASIG,DATOS!$I12365,nEVAL,"EX")=0),0))))</f>
      </c>
      <c r="H12365">
        <f>IF(DATOS!$G12365&lt;&gt;"EX",0,--(COUNTIFS(nNIA,DATOS!$A12365,nCURSO,DATOS!$D12365,nESPEC,DATOS!$E12365,nASIG,DATOS!$I12365,nEVAL,"OR")=0))</f>
      </c>
      <c r="I12365">
        <f>IF(DATOS!$I12365="","",IFERROR(VLOOKUP(DATOS!$I12365,CONFIG_ASIGNATURAS!$B$2:$J$91,9,FALSE()),""))</f>
      </c>
    </row>
    <row r="12366">
      <c r="F12366">
        <f>IF(DATOS!$A12366="","",DATOS!$A12366&amp;"|"&amp;DATOS!$D12366&amp;"|"&amp;DATOS!$E12366&amp;"|"&amp;DATOS!$I12366)</f>
      </c>
      <c r="G12366">
        <f>IF(DATOS!$A12366="",0,IF(CONFIG_METADATA!$B$4&lt;&gt;"OR+EX",--(DATOS!$G12366=CONFIG_METADATA!$B$4),IF(DATOS!$G12366="EX",1,IF(DATOS!$G12366="OR",--(COUNTIFS(nNIA,DATOS!$A12366,nCURSO,DATOS!$D12366,nESPEC,DATOS!$E12366,nASIG,DATOS!$I12366,nEVAL,"EX")=0),0))))</f>
      </c>
      <c r="H12366">
        <f>IF(DATOS!$G12366&lt;&gt;"EX",0,--(COUNTIFS(nNIA,DATOS!$A12366,nCURSO,DATOS!$D12366,nESPEC,DATOS!$E12366,nASIG,DATOS!$I12366,nEVAL,"OR")=0))</f>
      </c>
      <c r="I12366">
        <f>IF(DATOS!$I12366="","",IFERROR(VLOOKUP(DATOS!$I12366,CONFIG_ASIGNATURAS!$B$2:$J$91,9,FALSE()),""))</f>
      </c>
    </row>
    <row r="12367">
      <c r="F12367">
        <f>IF(DATOS!$A12367="","",DATOS!$A12367&amp;"|"&amp;DATOS!$D12367&amp;"|"&amp;DATOS!$E12367&amp;"|"&amp;DATOS!$I12367)</f>
      </c>
      <c r="G12367">
        <f>IF(DATOS!$A12367="",0,IF(CONFIG_METADATA!$B$4&lt;&gt;"OR+EX",--(DATOS!$G12367=CONFIG_METADATA!$B$4),IF(DATOS!$G12367="EX",1,IF(DATOS!$G12367="OR",--(COUNTIFS(nNIA,DATOS!$A12367,nCURSO,DATOS!$D12367,nESPEC,DATOS!$E12367,nASIG,DATOS!$I12367,nEVAL,"EX")=0),0))))</f>
      </c>
      <c r="H12367">
        <f>IF(DATOS!$G12367&lt;&gt;"EX",0,--(COUNTIFS(nNIA,DATOS!$A12367,nCURSO,DATOS!$D12367,nESPEC,DATOS!$E12367,nASIG,DATOS!$I12367,nEVAL,"OR")=0))</f>
      </c>
      <c r="I12367">
        <f>IF(DATOS!$I12367="","",IFERROR(VLOOKUP(DATOS!$I12367,CONFIG_ASIGNATURAS!$B$2:$J$91,9,FALSE()),""))</f>
      </c>
    </row>
    <row r="12368">
      <c r="F12368">
        <f>IF(DATOS!$A12368="","",DATOS!$A12368&amp;"|"&amp;DATOS!$D12368&amp;"|"&amp;DATOS!$E12368&amp;"|"&amp;DATOS!$I12368)</f>
      </c>
      <c r="G12368">
        <f>IF(DATOS!$A12368="",0,IF(CONFIG_METADATA!$B$4&lt;&gt;"OR+EX",--(DATOS!$G12368=CONFIG_METADATA!$B$4),IF(DATOS!$G12368="EX",1,IF(DATOS!$G12368="OR",--(COUNTIFS(nNIA,DATOS!$A12368,nCURSO,DATOS!$D12368,nESPEC,DATOS!$E12368,nASIG,DATOS!$I12368,nEVAL,"EX")=0),0))))</f>
      </c>
      <c r="H12368">
        <f>IF(DATOS!$G12368&lt;&gt;"EX",0,--(COUNTIFS(nNIA,DATOS!$A12368,nCURSO,DATOS!$D12368,nESPEC,DATOS!$E12368,nASIG,DATOS!$I12368,nEVAL,"OR")=0))</f>
      </c>
      <c r="I12368">
        <f>IF(DATOS!$I12368="","",IFERROR(VLOOKUP(DATOS!$I12368,CONFIG_ASIGNATURAS!$B$2:$J$91,9,FALSE()),""))</f>
      </c>
    </row>
    <row r="12369">
      <c r="F12369">
        <f>IF(DATOS!$A12369="","",DATOS!$A12369&amp;"|"&amp;DATOS!$D12369&amp;"|"&amp;DATOS!$E12369&amp;"|"&amp;DATOS!$I12369)</f>
      </c>
      <c r="G12369">
        <f>IF(DATOS!$A12369="",0,IF(CONFIG_METADATA!$B$4&lt;&gt;"OR+EX",--(DATOS!$G12369=CONFIG_METADATA!$B$4),IF(DATOS!$G12369="EX",1,IF(DATOS!$G12369="OR",--(COUNTIFS(nNIA,DATOS!$A12369,nCURSO,DATOS!$D12369,nESPEC,DATOS!$E12369,nASIG,DATOS!$I12369,nEVAL,"EX")=0),0))))</f>
      </c>
      <c r="H12369">
        <f>IF(DATOS!$G12369&lt;&gt;"EX",0,--(COUNTIFS(nNIA,DATOS!$A12369,nCURSO,DATOS!$D12369,nESPEC,DATOS!$E12369,nASIG,DATOS!$I12369,nEVAL,"OR")=0))</f>
      </c>
      <c r="I12369">
        <f>IF(DATOS!$I12369="","",IFERROR(VLOOKUP(DATOS!$I12369,CONFIG_ASIGNATURAS!$B$2:$J$91,9,FALSE()),""))</f>
      </c>
    </row>
    <row r="12370">
      <c r="F12370">
        <f>IF(DATOS!$A12370="","",DATOS!$A12370&amp;"|"&amp;DATOS!$D12370&amp;"|"&amp;DATOS!$E12370&amp;"|"&amp;DATOS!$I12370)</f>
      </c>
      <c r="G12370">
        <f>IF(DATOS!$A12370="",0,IF(CONFIG_METADATA!$B$4&lt;&gt;"OR+EX",--(DATOS!$G12370=CONFIG_METADATA!$B$4),IF(DATOS!$G12370="EX",1,IF(DATOS!$G12370="OR",--(COUNTIFS(nNIA,DATOS!$A12370,nCURSO,DATOS!$D12370,nESPEC,DATOS!$E12370,nASIG,DATOS!$I12370,nEVAL,"EX")=0),0))))</f>
      </c>
      <c r="H12370">
        <f>IF(DATOS!$G12370&lt;&gt;"EX",0,--(COUNTIFS(nNIA,DATOS!$A12370,nCURSO,DATOS!$D12370,nESPEC,DATOS!$E12370,nASIG,DATOS!$I12370,nEVAL,"OR")=0))</f>
      </c>
      <c r="I12370">
        <f>IF(DATOS!$I12370="","",IFERROR(VLOOKUP(DATOS!$I12370,CONFIG_ASIGNATURAS!$B$2:$J$91,9,FALSE()),""))</f>
      </c>
    </row>
    <row r="12371">
      <c r="F12371">
        <f>IF(DATOS!$A12371="","",DATOS!$A12371&amp;"|"&amp;DATOS!$D12371&amp;"|"&amp;DATOS!$E12371&amp;"|"&amp;DATOS!$I12371)</f>
      </c>
      <c r="G12371">
        <f>IF(DATOS!$A12371="",0,IF(CONFIG_METADATA!$B$4&lt;&gt;"OR+EX",--(DATOS!$G12371=CONFIG_METADATA!$B$4),IF(DATOS!$G12371="EX",1,IF(DATOS!$G12371="OR",--(COUNTIFS(nNIA,DATOS!$A12371,nCURSO,DATOS!$D12371,nESPEC,DATOS!$E12371,nASIG,DATOS!$I12371,nEVAL,"EX")=0),0))))</f>
      </c>
      <c r="H12371">
        <f>IF(DATOS!$G12371&lt;&gt;"EX",0,--(COUNTIFS(nNIA,DATOS!$A12371,nCURSO,DATOS!$D12371,nESPEC,DATOS!$E12371,nASIG,DATOS!$I12371,nEVAL,"OR")=0))</f>
      </c>
      <c r="I12371">
        <f>IF(DATOS!$I12371="","",IFERROR(VLOOKUP(DATOS!$I12371,CONFIG_ASIGNATURAS!$B$2:$J$91,9,FALSE()),""))</f>
      </c>
    </row>
    <row r="12372">
      <c r="F12372">
        <f>IF(DATOS!$A12372="","",DATOS!$A12372&amp;"|"&amp;DATOS!$D12372&amp;"|"&amp;DATOS!$E12372&amp;"|"&amp;DATOS!$I12372)</f>
      </c>
      <c r="G12372">
        <f>IF(DATOS!$A12372="",0,IF(CONFIG_METADATA!$B$4&lt;&gt;"OR+EX",--(DATOS!$G12372=CONFIG_METADATA!$B$4),IF(DATOS!$G12372="EX",1,IF(DATOS!$G12372="OR",--(COUNTIFS(nNIA,DATOS!$A12372,nCURSO,DATOS!$D12372,nESPEC,DATOS!$E12372,nASIG,DATOS!$I12372,nEVAL,"EX")=0),0))))</f>
      </c>
      <c r="H12372">
        <f>IF(DATOS!$G12372&lt;&gt;"EX",0,--(COUNTIFS(nNIA,DATOS!$A12372,nCURSO,DATOS!$D12372,nESPEC,DATOS!$E12372,nASIG,DATOS!$I12372,nEVAL,"OR")=0))</f>
      </c>
      <c r="I12372">
        <f>IF(DATOS!$I12372="","",IFERROR(VLOOKUP(DATOS!$I12372,CONFIG_ASIGNATURAS!$B$2:$J$91,9,FALSE()),""))</f>
      </c>
    </row>
    <row r="12373">
      <c r="F12373">
        <f>IF(DATOS!$A12373="","",DATOS!$A12373&amp;"|"&amp;DATOS!$D12373&amp;"|"&amp;DATOS!$E12373&amp;"|"&amp;DATOS!$I12373)</f>
      </c>
      <c r="G12373">
        <f>IF(DATOS!$A12373="",0,IF(CONFIG_METADATA!$B$4&lt;&gt;"OR+EX",--(DATOS!$G12373=CONFIG_METADATA!$B$4),IF(DATOS!$G12373="EX",1,IF(DATOS!$G12373="OR",--(COUNTIFS(nNIA,DATOS!$A12373,nCURSO,DATOS!$D12373,nESPEC,DATOS!$E12373,nASIG,DATOS!$I12373,nEVAL,"EX")=0),0))))</f>
      </c>
      <c r="H12373">
        <f>IF(DATOS!$G12373&lt;&gt;"EX",0,--(COUNTIFS(nNIA,DATOS!$A12373,nCURSO,DATOS!$D12373,nESPEC,DATOS!$E12373,nASIG,DATOS!$I12373,nEVAL,"OR")=0))</f>
      </c>
      <c r="I12373">
        <f>IF(DATOS!$I12373="","",IFERROR(VLOOKUP(DATOS!$I12373,CONFIG_ASIGNATURAS!$B$2:$J$91,9,FALSE()),""))</f>
      </c>
    </row>
    <row r="12374">
      <c r="F12374">
        <f>IF(DATOS!$A12374="","",DATOS!$A12374&amp;"|"&amp;DATOS!$D12374&amp;"|"&amp;DATOS!$E12374&amp;"|"&amp;DATOS!$I12374)</f>
      </c>
      <c r="G12374">
        <f>IF(DATOS!$A12374="",0,IF(CONFIG_METADATA!$B$4&lt;&gt;"OR+EX",--(DATOS!$G12374=CONFIG_METADATA!$B$4),IF(DATOS!$G12374="EX",1,IF(DATOS!$G12374="OR",--(COUNTIFS(nNIA,DATOS!$A12374,nCURSO,DATOS!$D12374,nESPEC,DATOS!$E12374,nASIG,DATOS!$I12374,nEVAL,"EX")=0),0))))</f>
      </c>
      <c r="H12374">
        <f>IF(DATOS!$G12374&lt;&gt;"EX",0,--(COUNTIFS(nNIA,DATOS!$A12374,nCURSO,DATOS!$D12374,nESPEC,DATOS!$E12374,nASIG,DATOS!$I12374,nEVAL,"OR")=0))</f>
      </c>
      <c r="I12374">
        <f>IF(DATOS!$I12374="","",IFERROR(VLOOKUP(DATOS!$I12374,CONFIG_ASIGNATURAS!$B$2:$J$91,9,FALSE()),""))</f>
      </c>
    </row>
    <row r="12375">
      <c r="F12375">
        <f>IF(DATOS!$A12375="","",DATOS!$A12375&amp;"|"&amp;DATOS!$D12375&amp;"|"&amp;DATOS!$E12375&amp;"|"&amp;DATOS!$I12375)</f>
      </c>
      <c r="G12375">
        <f>IF(DATOS!$A12375="",0,IF(CONFIG_METADATA!$B$4&lt;&gt;"OR+EX",--(DATOS!$G12375=CONFIG_METADATA!$B$4),IF(DATOS!$G12375="EX",1,IF(DATOS!$G12375="OR",--(COUNTIFS(nNIA,DATOS!$A12375,nCURSO,DATOS!$D12375,nESPEC,DATOS!$E12375,nASIG,DATOS!$I12375,nEVAL,"EX")=0),0))))</f>
      </c>
      <c r="H12375">
        <f>IF(DATOS!$G12375&lt;&gt;"EX",0,--(COUNTIFS(nNIA,DATOS!$A12375,nCURSO,DATOS!$D12375,nESPEC,DATOS!$E12375,nASIG,DATOS!$I12375,nEVAL,"OR")=0))</f>
      </c>
      <c r="I12375">
        <f>IF(DATOS!$I12375="","",IFERROR(VLOOKUP(DATOS!$I12375,CONFIG_ASIGNATURAS!$B$2:$J$91,9,FALSE()),""))</f>
      </c>
    </row>
    <row r="12376">
      <c r="F12376">
        <f>IF(DATOS!$A12376="","",DATOS!$A12376&amp;"|"&amp;DATOS!$D12376&amp;"|"&amp;DATOS!$E12376&amp;"|"&amp;DATOS!$I12376)</f>
      </c>
      <c r="G12376">
        <f>IF(DATOS!$A12376="",0,IF(CONFIG_METADATA!$B$4&lt;&gt;"OR+EX",--(DATOS!$G12376=CONFIG_METADATA!$B$4),IF(DATOS!$G12376="EX",1,IF(DATOS!$G12376="OR",--(COUNTIFS(nNIA,DATOS!$A12376,nCURSO,DATOS!$D12376,nESPEC,DATOS!$E12376,nASIG,DATOS!$I12376,nEVAL,"EX")=0),0))))</f>
      </c>
      <c r="H12376">
        <f>IF(DATOS!$G12376&lt;&gt;"EX",0,--(COUNTIFS(nNIA,DATOS!$A12376,nCURSO,DATOS!$D12376,nESPEC,DATOS!$E12376,nASIG,DATOS!$I12376,nEVAL,"OR")=0))</f>
      </c>
      <c r="I12376">
        <f>IF(DATOS!$I12376="","",IFERROR(VLOOKUP(DATOS!$I12376,CONFIG_ASIGNATURAS!$B$2:$J$91,9,FALSE()),""))</f>
      </c>
    </row>
    <row r="12377">
      <c r="F12377">
        <f>IF(DATOS!$A12377="","",DATOS!$A12377&amp;"|"&amp;DATOS!$D12377&amp;"|"&amp;DATOS!$E12377&amp;"|"&amp;DATOS!$I12377)</f>
      </c>
      <c r="G12377">
        <f>IF(DATOS!$A12377="",0,IF(CONFIG_METADATA!$B$4&lt;&gt;"OR+EX",--(DATOS!$G12377=CONFIG_METADATA!$B$4),IF(DATOS!$G12377="EX",1,IF(DATOS!$G12377="OR",--(COUNTIFS(nNIA,DATOS!$A12377,nCURSO,DATOS!$D12377,nESPEC,DATOS!$E12377,nASIG,DATOS!$I12377,nEVAL,"EX")=0),0))))</f>
      </c>
      <c r="H12377">
        <f>IF(DATOS!$G12377&lt;&gt;"EX",0,--(COUNTIFS(nNIA,DATOS!$A12377,nCURSO,DATOS!$D12377,nESPEC,DATOS!$E12377,nASIG,DATOS!$I12377,nEVAL,"OR")=0))</f>
      </c>
      <c r="I12377">
        <f>IF(DATOS!$I12377="","",IFERROR(VLOOKUP(DATOS!$I12377,CONFIG_ASIGNATURAS!$B$2:$J$91,9,FALSE()),""))</f>
      </c>
    </row>
    <row r="12378">
      <c r="F12378">
        <f>IF(DATOS!$A12378="","",DATOS!$A12378&amp;"|"&amp;DATOS!$D12378&amp;"|"&amp;DATOS!$E12378&amp;"|"&amp;DATOS!$I12378)</f>
      </c>
      <c r="G12378">
        <f>IF(DATOS!$A12378="",0,IF(CONFIG_METADATA!$B$4&lt;&gt;"OR+EX",--(DATOS!$G12378=CONFIG_METADATA!$B$4),IF(DATOS!$G12378="EX",1,IF(DATOS!$G12378="OR",--(COUNTIFS(nNIA,DATOS!$A12378,nCURSO,DATOS!$D12378,nESPEC,DATOS!$E12378,nASIG,DATOS!$I12378,nEVAL,"EX")=0),0))))</f>
      </c>
      <c r="H12378">
        <f>IF(DATOS!$G12378&lt;&gt;"EX",0,--(COUNTIFS(nNIA,DATOS!$A12378,nCURSO,DATOS!$D12378,nESPEC,DATOS!$E12378,nASIG,DATOS!$I12378,nEVAL,"OR")=0))</f>
      </c>
      <c r="I12378">
        <f>IF(DATOS!$I12378="","",IFERROR(VLOOKUP(DATOS!$I12378,CONFIG_ASIGNATURAS!$B$2:$J$91,9,FALSE()),""))</f>
      </c>
    </row>
    <row r="12379">
      <c r="F12379">
        <f>IF(DATOS!$A12379="","",DATOS!$A12379&amp;"|"&amp;DATOS!$D12379&amp;"|"&amp;DATOS!$E12379&amp;"|"&amp;DATOS!$I12379)</f>
      </c>
      <c r="G12379">
        <f>IF(DATOS!$A12379="",0,IF(CONFIG_METADATA!$B$4&lt;&gt;"OR+EX",--(DATOS!$G12379=CONFIG_METADATA!$B$4),IF(DATOS!$G12379="EX",1,IF(DATOS!$G12379="OR",--(COUNTIFS(nNIA,DATOS!$A12379,nCURSO,DATOS!$D12379,nESPEC,DATOS!$E12379,nASIG,DATOS!$I12379,nEVAL,"EX")=0),0))))</f>
      </c>
      <c r="H12379">
        <f>IF(DATOS!$G12379&lt;&gt;"EX",0,--(COUNTIFS(nNIA,DATOS!$A12379,nCURSO,DATOS!$D12379,nESPEC,DATOS!$E12379,nASIG,DATOS!$I12379,nEVAL,"OR")=0))</f>
      </c>
      <c r="I12379">
        <f>IF(DATOS!$I12379="","",IFERROR(VLOOKUP(DATOS!$I12379,CONFIG_ASIGNATURAS!$B$2:$J$91,9,FALSE()),""))</f>
      </c>
    </row>
    <row r="12380">
      <c r="F12380">
        <f>IF(DATOS!$A12380="","",DATOS!$A12380&amp;"|"&amp;DATOS!$D12380&amp;"|"&amp;DATOS!$E12380&amp;"|"&amp;DATOS!$I12380)</f>
      </c>
      <c r="G12380">
        <f>IF(DATOS!$A12380="",0,IF(CONFIG_METADATA!$B$4&lt;&gt;"OR+EX",--(DATOS!$G12380=CONFIG_METADATA!$B$4),IF(DATOS!$G12380="EX",1,IF(DATOS!$G12380="OR",--(COUNTIFS(nNIA,DATOS!$A12380,nCURSO,DATOS!$D12380,nESPEC,DATOS!$E12380,nASIG,DATOS!$I12380,nEVAL,"EX")=0),0))))</f>
      </c>
      <c r="H12380">
        <f>IF(DATOS!$G12380&lt;&gt;"EX",0,--(COUNTIFS(nNIA,DATOS!$A12380,nCURSO,DATOS!$D12380,nESPEC,DATOS!$E12380,nASIG,DATOS!$I12380,nEVAL,"OR")=0))</f>
      </c>
      <c r="I12380">
        <f>IF(DATOS!$I12380="","",IFERROR(VLOOKUP(DATOS!$I12380,CONFIG_ASIGNATURAS!$B$2:$J$91,9,FALSE()),""))</f>
      </c>
    </row>
    <row r="12381">
      <c r="F12381">
        <f>IF(DATOS!$A12381="","",DATOS!$A12381&amp;"|"&amp;DATOS!$D12381&amp;"|"&amp;DATOS!$E12381&amp;"|"&amp;DATOS!$I12381)</f>
      </c>
      <c r="G12381">
        <f>IF(DATOS!$A12381="",0,IF(CONFIG_METADATA!$B$4&lt;&gt;"OR+EX",--(DATOS!$G12381=CONFIG_METADATA!$B$4),IF(DATOS!$G12381="EX",1,IF(DATOS!$G12381="OR",--(COUNTIFS(nNIA,DATOS!$A12381,nCURSO,DATOS!$D12381,nESPEC,DATOS!$E12381,nASIG,DATOS!$I12381,nEVAL,"EX")=0),0))))</f>
      </c>
      <c r="H12381">
        <f>IF(DATOS!$G12381&lt;&gt;"EX",0,--(COUNTIFS(nNIA,DATOS!$A12381,nCURSO,DATOS!$D12381,nESPEC,DATOS!$E12381,nASIG,DATOS!$I12381,nEVAL,"OR")=0))</f>
      </c>
      <c r="I12381">
        <f>IF(DATOS!$I12381="","",IFERROR(VLOOKUP(DATOS!$I12381,CONFIG_ASIGNATURAS!$B$2:$J$91,9,FALSE()),""))</f>
      </c>
    </row>
    <row r="12382">
      <c r="F12382">
        <f>IF(DATOS!$A12382="","",DATOS!$A12382&amp;"|"&amp;DATOS!$D12382&amp;"|"&amp;DATOS!$E12382&amp;"|"&amp;DATOS!$I12382)</f>
      </c>
      <c r="G12382">
        <f>IF(DATOS!$A12382="",0,IF(CONFIG_METADATA!$B$4&lt;&gt;"OR+EX",--(DATOS!$G12382=CONFIG_METADATA!$B$4),IF(DATOS!$G12382="EX",1,IF(DATOS!$G12382="OR",--(COUNTIFS(nNIA,DATOS!$A12382,nCURSO,DATOS!$D12382,nESPEC,DATOS!$E12382,nASIG,DATOS!$I12382,nEVAL,"EX")=0),0))))</f>
      </c>
      <c r="H12382">
        <f>IF(DATOS!$G12382&lt;&gt;"EX",0,--(COUNTIFS(nNIA,DATOS!$A12382,nCURSO,DATOS!$D12382,nESPEC,DATOS!$E12382,nASIG,DATOS!$I12382,nEVAL,"OR")=0))</f>
      </c>
      <c r="I12382">
        <f>IF(DATOS!$I12382="","",IFERROR(VLOOKUP(DATOS!$I12382,CONFIG_ASIGNATURAS!$B$2:$J$91,9,FALSE()),""))</f>
      </c>
    </row>
    <row r="12383">
      <c r="F12383">
        <f>IF(DATOS!$A12383="","",DATOS!$A12383&amp;"|"&amp;DATOS!$D12383&amp;"|"&amp;DATOS!$E12383&amp;"|"&amp;DATOS!$I12383)</f>
      </c>
      <c r="G12383">
        <f>IF(DATOS!$A12383="",0,IF(CONFIG_METADATA!$B$4&lt;&gt;"OR+EX",--(DATOS!$G12383=CONFIG_METADATA!$B$4),IF(DATOS!$G12383="EX",1,IF(DATOS!$G12383="OR",--(COUNTIFS(nNIA,DATOS!$A12383,nCURSO,DATOS!$D12383,nESPEC,DATOS!$E12383,nASIG,DATOS!$I12383,nEVAL,"EX")=0),0))))</f>
      </c>
      <c r="H12383">
        <f>IF(DATOS!$G12383&lt;&gt;"EX",0,--(COUNTIFS(nNIA,DATOS!$A12383,nCURSO,DATOS!$D12383,nESPEC,DATOS!$E12383,nASIG,DATOS!$I12383,nEVAL,"OR")=0))</f>
      </c>
      <c r="I12383">
        <f>IF(DATOS!$I12383="","",IFERROR(VLOOKUP(DATOS!$I12383,CONFIG_ASIGNATURAS!$B$2:$J$91,9,FALSE()),""))</f>
      </c>
    </row>
    <row r="12384">
      <c r="F12384">
        <f>IF(DATOS!$A12384="","",DATOS!$A12384&amp;"|"&amp;DATOS!$D12384&amp;"|"&amp;DATOS!$E12384&amp;"|"&amp;DATOS!$I12384)</f>
      </c>
      <c r="G12384">
        <f>IF(DATOS!$A12384="",0,IF(CONFIG_METADATA!$B$4&lt;&gt;"OR+EX",--(DATOS!$G12384=CONFIG_METADATA!$B$4),IF(DATOS!$G12384="EX",1,IF(DATOS!$G12384="OR",--(COUNTIFS(nNIA,DATOS!$A12384,nCURSO,DATOS!$D12384,nESPEC,DATOS!$E12384,nASIG,DATOS!$I12384,nEVAL,"EX")=0),0))))</f>
      </c>
      <c r="H12384">
        <f>IF(DATOS!$G12384&lt;&gt;"EX",0,--(COUNTIFS(nNIA,DATOS!$A12384,nCURSO,DATOS!$D12384,nESPEC,DATOS!$E12384,nASIG,DATOS!$I12384,nEVAL,"OR")=0))</f>
      </c>
      <c r="I12384">
        <f>IF(DATOS!$I12384="","",IFERROR(VLOOKUP(DATOS!$I12384,CONFIG_ASIGNATURAS!$B$2:$J$91,9,FALSE()),""))</f>
      </c>
    </row>
    <row r="12385">
      <c r="F12385">
        <f>IF(DATOS!$A12385="","",DATOS!$A12385&amp;"|"&amp;DATOS!$D12385&amp;"|"&amp;DATOS!$E12385&amp;"|"&amp;DATOS!$I12385)</f>
      </c>
      <c r="G12385">
        <f>IF(DATOS!$A12385="",0,IF(CONFIG_METADATA!$B$4&lt;&gt;"OR+EX",--(DATOS!$G12385=CONFIG_METADATA!$B$4),IF(DATOS!$G12385="EX",1,IF(DATOS!$G12385="OR",--(COUNTIFS(nNIA,DATOS!$A12385,nCURSO,DATOS!$D12385,nESPEC,DATOS!$E12385,nASIG,DATOS!$I12385,nEVAL,"EX")=0),0))))</f>
      </c>
      <c r="H12385">
        <f>IF(DATOS!$G12385&lt;&gt;"EX",0,--(COUNTIFS(nNIA,DATOS!$A12385,nCURSO,DATOS!$D12385,nESPEC,DATOS!$E12385,nASIG,DATOS!$I12385,nEVAL,"OR")=0))</f>
      </c>
      <c r="I12385">
        <f>IF(DATOS!$I12385="","",IFERROR(VLOOKUP(DATOS!$I12385,CONFIG_ASIGNATURAS!$B$2:$J$91,9,FALSE()),""))</f>
      </c>
    </row>
    <row r="12386">
      <c r="F12386">
        <f>IF(DATOS!$A12386="","",DATOS!$A12386&amp;"|"&amp;DATOS!$D12386&amp;"|"&amp;DATOS!$E12386&amp;"|"&amp;DATOS!$I12386)</f>
      </c>
      <c r="G12386">
        <f>IF(DATOS!$A12386="",0,IF(CONFIG_METADATA!$B$4&lt;&gt;"OR+EX",--(DATOS!$G12386=CONFIG_METADATA!$B$4),IF(DATOS!$G12386="EX",1,IF(DATOS!$G12386="OR",--(COUNTIFS(nNIA,DATOS!$A12386,nCURSO,DATOS!$D12386,nESPEC,DATOS!$E12386,nASIG,DATOS!$I12386,nEVAL,"EX")=0),0))))</f>
      </c>
      <c r="H12386">
        <f>IF(DATOS!$G12386&lt;&gt;"EX",0,--(COUNTIFS(nNIA,DATOS!$A12386,nCURSO,DATOS!$D12386,nESPEC,DATOS!$E12386,nASIG,DATOS!$I12386,nEVAL,"OR")=0))</f>
      </c>
      <c r="I12386">
        <f>IF(DATOS!$I12386="","",IFERROR(VLOOKUP(DATOS!$I12386,CONFIG_ASIGNATURAS!$B$2:$J$91,9,FALSE()),""))</f>
      </c>
    </row>
    <row r="12387">
      <c r="F12387">
        <f>IF(DATOS!$A12387="","",DATOS!$A12387&amp;"|"&amp;DATOS!$D12387&amp;"|"&amp;DATOS!$E12387&amp;"|"&amp;DATOS!$I12387)</f>
      </c>
      <c r="G12387">
        <f>IF(DATOS!$A12387="",0,IF(CONFIG_METADATA!$B$4&lt;&gt;"OR+EX",--(DATOS!$G12387=CONFIG_METADATA!$B$4),IF(DATOS!$G12387="EX",1,IF(DATOS!$G12387="OR",--(COUNTIFS(nNIA,DATOS!$A12387,nCURSO,DATOS!$D12387,nESPEC,DATOS!$E12387,nASIG,DATOS!$I12387,nEVAL,"EX")=0),0))))</f>
      </c>
      <c r="H12387">
        <f>IF(DATOS!$G12387&lt;&gt;"EX",0,--(COUNTIFS(nNIA,DATOS!$A12387,nCURSO,DATOS!$D12387,nESPEC,DATOS!$E12387,nASIG,DATOS!$I12387,nEVAL,"OR")=0))</f>
      </c>
      <c r="I12387">
        <f>IF(DATOS!$I12387="","",IFERROR(VLOOKUP(DATOS!$I12387,CONFIG_ASIGNATURAS!$B$2:$J$91,9,FALSE()),""))</f>
      </c>
    </row>
    <row r="12388">
      <c r="F12388">
        <f>IF(DATOS!$A12388="","",DATOS!$A12388&amp;"|"&amp;DATOS!$D12388&amp;"|"&amp;DATOS!$E12388&amp;"|"&amp;DATOS!$I12388)</f>
      </c>
      <c r="G12388">
        <f>IF(DATOS!$A12388="",0,IF(CONFIG_METADATA!$B$4&lt;&gt;"OR+EX",--(DATOS!$G12388=CONFIG_METADATA!$B$4),IF(DATOS!$G12388="EX",1,IF(DATOS!$G12388="OR",--(COUNTIFS(nNIA,DATOS!$A12388,nCURSO,DATOS!$D12388,nESPEC,DATOS!$E12388,nASIG,DATOS!$I12388,nEVAL,"EX")=0),0))))</f>
      </c>
      <c r="H12388">
        <f>IF(DATOS!$G12388&lt;&gt;"EX",0,--(COUNTIFS(nNIA,DATOS!$A12388,nCURSO,DATOS!$D12388,nESPEC,DATOS!$E12388,nASIG,DATOS!$I12388,nEVAL,"OR")=0))</f>
      </c>
      <c r="I12388">
        <f>IF(DATOS!$I12388="","",IFERROR(VLOOKUP(DATOS!$I12388,CONFIG_ASIGNATURAS!$B$2:$J$91,9,FALSE()),""))</f>
      </c>
    </row>
    <row r="12389">
      <c r="F12389">
        <f>IF(DATOS!$A12389="","",DATOS!$A12389&amp;"|"&amp;DATOS!$D12389&amp;"|"&amp;DATOS!$E12389&amp;"|"&amp;DATOS!$I12389)</f>
      </c>
      <c r="G12389">
        <f>IF(DATOS!$A12389="",0,IF(CONFIG_METADATA!$B$4&lt;&gt;"OR+EX",--(DATOS!$G12389=CONFIG_METADATA!$B$4),IF(DATOS!$G12389="EX",1,IF(DATOS!$G12389="OR",--(COUNTIFS(nNIA,DATOS!$A12389,nCURSO,DATOS!$D12389,nESPEC,DATOS!$E12389,nASIG,DATOS!$I12389,nEVAL,"EX")=0),0))))</f>
      </c>
      <c r="H12389">
        <f>IF(DATOS!$G12389&lt;&gt;"EX",0,--(COUNTIFS(nNIA,DATOS!$A12389,nCURSO,DATOS!$D12389,nESPEC,DATOS!$E12389,nASIG,DATOS!$I12389,nEVAL,"OR")=0))</f>
      </c>
      <c r="I12389">
        <f>IF(DATOS!$I12389="","",IFERROR(VLOOKUP(DATOS!$I12389,CONFIG_ASIGNATURAS!$B$2:$J$91,9,FALSE()),""))</f>
      </c>
    </row>
    <row r="12390">
      <c r="F12390">
        <f>IF(DATOS!$A12390="","",DATOS!$A12390&amp;"|"&amp;DATOS!$D12390&amp;"|"&amp;DATOS!$E12390&amp;"|"&amp;DATOS!$I12390)</f>
      </c>
      <c r="G12390">
        <f>IF(DATOS!$A12390="",0,IF(CONFIG_METADATA!$B$4&lt;&gt;"OR+EX",--(DATOS!$G12390=CONFIG_METADATA!$B$4),IF(DATOS!$G12390="EX",1,IF(DATOS!$G12390="OR",--(COUNTIFS(nNIA,DATOS!$A12390,nCURSO,DATOS!$D12390,nESPEC,DATOS!$E12390,nASIG,DATOS!$I12390,nEVAL,"EX")=0),0))))</f>
      </c>
      <c r="H12390">
        <f>IF(DATOS!$G12390&lt;&gt;"EX",0,--(COUNTIFS(nNIA,DATOS!$A12390,nCURSO,DATOS!$D12390,nESPEC,DATOS!$E12390,nASIG,DATOS!$I12390,nEVAL,"OR")=0))</f>
      </c>
      <c r="I12390">
        <f>IF(DATOS!$I12390="","",IFERROR(VLOOKUP(DATOS!$I12390,CONFIG_ASIGNATURAS!$B$2:$J$91,9,FALSE()),""))</f>
      </c>
    </row>
    <row r="12391">
      <c r="F12391">
        <f>IF(DATOS!$A12391="","",DATOS!$A12391&amp;"|"&amp;DATOS!$D12391&amp;"|"&amp;DATOS!$E12391&amp;"|"&amp;DATOS!$I12391)</f>
      </c>
      <c r="G12391">
        <f>IF(DATOS!$A12391="",0,IF(CONFIG_METADATA!$B$4&lt;&gt;"OR+EX",--(DATOS!$G12391=CONFIG_METADATA!$B$4),IF(DATOS!$G12391="EX",1,IF(DATOS!$G12391="OR",--(COUNTIFS(nNIA,DATOS!$A12391,nCURSO,DATOS!$D12391,nESPEC,DATOS!$E12391,nASIG,DATOS!$I12391,nEVAL,"EX")=0),0))))</f>
      </c>
      <c r="H12391">
        <f>IF(DATOS!$G12391&lt;&gt;"EX",0,--(COUNTIFS(nNIA,DATOS!$A12391,nCURSO,DATOS!$D12391,nESPEC,DATOS!$E12391,nASIG,DATOS!$I12391,nEVAL,"OR")=0))</f>
      </c>
      <c r="I12391">
        <f>IF(DATOS!$I12391="","",IFERROR(VLOOKUP(DATOS!$I12391,CONFIG_ASIGNATURAS!$B$2:$J$91,9,FALSE()),""))</f>
      </c>
    </row>
    <row r="12392">
      <c r="F12392">
        <f>IF(DATOS!$A12392="","",DATOS!$A12392&amp;"|"&amp;DATOS!$D12392&amp;"|"&amp;DATOS!$E12392&amp;"|"&amp;DATOS!$I12392)</f>
      </c>
      <c r="G12392">
        <f>IF(DATOS!$A12392="",0,IF(CONFIG_METADATA!$B$4&lt;&gt;"OR+EX",--(DATOS!$G12392=CONFIG_METADATA!$B$4),IF(DATOS!$G12392="EX",1,IF(DATOS!$G12392="OR",--(COUNTIFS(nNIA,DATOS!$A12392,nCURSO,DATOS!$D12392,nESPEC,DATOS!$E12392,nASIG,DATOS!$I12392,nEVAL,"EX")=0),0))))</f>
      </c>
      <c r="H12392">
        <f>IF(DATOS!$G12392&lt;&gt;"EX",0,--(COUNTIFS(nNIA,DATOS!$A12392,nCURSO,DATOS!$D12392,nESPEC,DATOS!$E12392,nASIG,DATOS!$I12392,nEVAL,"OR")=0))</f>
      </c>
      <c r="I12392">
        <f>IF(DATOS!$I12392="","",IFERROR(VLOOKUP(DATOS!$I12392,CONFIG_ASIGNATURAS!$B$2:$J$91,9,FALSE()),""))</f>
      </c>
    </row>
    <row r="12393">
      <c r="F12393">
        <f>IF(DATOS!$A12393="","",DATOS!$A12393&amp;"|"&amp;DATOS!$D12393&amp;"|"&amp;DATOS!$E12393&amp;"|"&amp;DATOS!$I12393)</f>
      </c>
      <c r="G12393">
        <f>IF(DATOS!$A12393="",0,IF(CONFIG_METADATA!$B$4&lt;&gt;"OR+EX",--(DATOS!$G12393=CONFIG_METADATA!$B$4),IF(DATOS!$G12393="EX",1,IF(DATOS!$G12393="OR",--(COUNTIFS(nNIA,DATOS!$A12393,nCURSO,DATOS!$D12393,nESPEC,DATOS!$E12393,nASIG,DATOS!$I12393,nEVAL,"EX")=0),0))))</f>
      </c>
      <c r="H12393">
        <f>IF(DATOS!$G12393&lt;&gt;"EX",0,--(COUNTIFS(nNIA,DATOS!$A12393,nCURSO,DATOS!$D12393,nESPEC,DATOS!$E12393,nASIG,DATOS!$I12393,nEVAL,"OR")=0))</f>
      </c>
      <c r="I12393">
        <f>IF(DATOS!$I12393="","",IFERROR(VLOOKUP(DATOS!$I12393,CONFIG_ASIGNATURAS!$B$2:$J$91,9,FALSE()),""))</f>
      </c>
    </row>
    <row r="12394">
      <c r="F12394">
        <f>IF(DATOS!$A12394="","",DATOS!$A12394&amp;"|"&amp;DATOS!$D12394&amp;"|"&amp;DATOS!$E12394&amp;"|"&amp;DATOS!$I12394)</f>
      </c>
      <c r="G12394">
        <f>IF(DATOS!$A12394="",0,IF(CONFIG_METADATA!$B$4&lt;&gt;"OR+EX",--(DATOS!$G12394=CONFIG_METADATA!$B$4),IF(DATOS!$G12394="EX",1,IF(DATOS!$G12394="OR",--(COUNTIFS(nNIA,DATOS!$A12394,nCURSO,DATOS!$D12394,nESPEC,DATOS!$E12394,nASIG,DATOS!$I12394,nEVAL,"EX")=0),0))))</f>
      </c>
      <c r="H12394">
        <f>IF(DATOS!$G12394&lt;&gt;"EX",0,--(COUNTIFS(nNIA,DATOS!$A12394,nCURSO,DATOS!$D12394,nESPEC,DATOS!$E12394,nASIG,DATOS!$I12394,nEVAL,"OR")=0))</f>
      </c>
      <c r="I12394">
        <f>IF(DATOS!$I12394="","",IFERROR(VLOOKUP(DATOS!$I12394,CONFIG_ASIGNATURAS!$B$2:$J$91,9,FALSE()),""))</f>
      </c>
    </row>
    <row r="12395">
      <c r="F12395">
        <f>IF(DATOS!$A12395="","",DATOS!$A12395&amp;"|"&amp;DATOS!$D12395&amp;"|"&amp;DATOS!$E12395&amp;"|"&amp;DATOS!$I12395)</f>
      </c>
      <c r="G12395">
        <f>IF(DATOS!$A12395="",0,IF(CONFIG_METADATA!$B$4&lt;&gt;"OR+EX",--(DATOS!$G12395=CONFIG_METADATA!$B$4),IF(DATOS!$G12395="EX",1,IF(DATOS!$G12395="OR",--(COUNTIFS(nNIA,DATOS!$A12395,nCURSO,DATOS!$D12395,nESPEC,DATOS!$E12395,nASIG,DATOS!$I12395,nEVAL,"EX")=0),0))))</f>
      </c>
      <c r="H12395">
        <f>IF(DATOS!$G12395&lt;&gt;"EX",0,--(COUNTIFS(nNIA,DATOS!$A12395,nCURSO,DATOS!$D12395,nESPEC,DATOS!$E12395,nASIG,DATOS!$I12395,nEVAL,"OR")=0))</f>
      </c>
      <c r="I12395">
        <f>IF(DATOS!$I12395="","",IFERROR(VLOOKUP(DATOS!$I12395,CONFIG_ASIGNATURAS!$B$2:$J$91,9,FALSE()),""))</f>
      </c>
    </row>
    <row r="12396">
      <c r="F12396">
        <f>IF(DATOS!$A12396="","",DATOS!$A12396&amp;"|"&amp;DATOS!$D12396&amp;"|"&amp;DATOS!$E12396&amp;"|"&amp;DATOS!$I12396)</f>
      </c>
      <c r="G12396">
        <f>IF(DATOS!$A12396="",0,IF(CONFIG_METADATA!$B$4&lt;&gt;"OR+EX",--(DATOS!$G12396=CONFIG_METADATA!$B$4),IF(DATOS!$G12396="EX",1,IF(DATOS!$G12396="OR",--(COUNTIFS(nNIA,DATOS!$A12396,nCURSO,DATOS!$D12396,nESPEC,DATOS!$E12396,nASIG,DATOS!$I12396,nEVAL,"EX")=0),0))))</f>
      </c>
      <c r="H12396">
        <f>IF(DATOS!$G12396&lt;&gt;"EX",0,--(COUNTIFS(nNIA,DATOS!$A12396,nCURSO,DATOS!$D12396,nESPEC,DATOS!$E12396,nASIG,DATOS!$I12396,nEVAL,"OR")=0))</f>
      </c>
      <c r="I12396">
        <f>IF(DATOS!$I12396="","",IFERROR(VLOOKUP(DATOS!$I12396,CONFIG_ASIGNATURAS!$B$2:$J$91,9,FALSE()),""))</f>
      </c>
    </row>
    <row r="12397">
      <c r="F12397">
        <f>IF(DATOS!$A12397="","",DATOS!$A12397&amp;"|"&amp;DATOS!$D12397&amp;"|"&amp;DATOS!$E12397&amp;"|"&amp;DATOS!$I12397)</f>
      </c>
      <c r="G12397">
        <f>IF(DATOS!$A12397="",0,IF(CONFIG_METADATA!$B$4&lt;&gt;"OR+EX",--(DATOS!$G12397=CONFIG_METADATA!$B$4),IF(DATOS!$G12397="EX",1,IF(DATOS!$G12397="OR",--(COUNTIFS(nNIA,DATOS!$A12397,nCURSO,DATOS!$D12397,nESPEC,DATOS!$E12397,nASIG,DATOS!$I12397,nEVAL,"EX")=0),0))))</f>
      </c>
      <c r="H12397">
        <f>IF(DATOS!$G12397&lt;&gt;"EX",0,--(COUNTIFS(nNIA,DATOS!$A12397,nCURSO,DATOS!$D12397,nESPEC,DATOS!$E12397,nASIG,DATOS!$I12397,nEVAL,"OR")=0))</f>
      </c>
      <c r="I12397">
        <f>IF(DATOS!$I12397="","",IFERROR(VLOOKUP(DATOS!$I12397,CONFIG_ASIGNATURAS!$B$2:$J$91,9,FALSE()),""))</f>
      </c>
    </row>
    <row r="12398">
      <c r="F12398">
        <f>IF(DATOS!$A12398="","",DATOS!$A12398&amp;"|"&amp;DATOS!$D12398&amp;"|"&amp;DATOS!$E12398&amp;"|"&amp;DATOS!$I12398)</f>
      </c>
      <c r="G12398">
        <f>IF(DATOS!$A12398="",0,IF(CONFIG_METADATA!$B$4&lt;&gt;"OR+EX",--(DATOS!$G12398=CONFIG_METADATA!$B$4),IF(DATOS!$G12398="EX",1,IF(DATOS!$G12398="OR",--(COUNTIFS(nNIA,DATOS!$A12398,nCURSO,DATOS!$D12398,nESPEC,DATOS!$E12398,nASIG,DATOS!$I12398,nEVAL,"EX")=0),0))))</f>
      </c>
      <c r="H12398">
        <f>IF(DATOS!$G12398&lt;&gt;"EX",0,--(COUNTIFS(nNIA,DATOS!$A12398,nCURSO,DATOS!$D12398,nESPEC,DATOS!$E12398,nASIG,DATOS!$I12398,nEVAL,"OR")=0))</f>
      </c>
      <c r="I12398">
        <f>IF(DATOS!$I12398="","",IFERROR(VLOOKUP(DATOS!$I12398,CONFIG_ASIGNATURAS!$B$2:$J$91,9,FALSE()),""))</f>
      </c>
    </row>
    <row r="12399">
      <c r="F12399">
        <f>IF(DATOS!$A12399="","",DATOS!$A12399&amp;"|"&amp;DATOS!$D12399&amp;"|"&amp;DATOS!$E12399&amp;"|"&amp;DATOS!$I12399)</f>
      </c>
      <c r="G12399">
        <f>IF(DATOS!$A12399="",0,IF(CONFIG_METADATA!$B$4&lt;&gt;"OR+EX",--(DATOS!$G12399=CONFIG_METADATA!$B$4),IF(DATOS!$G12399="EX",1,IF(DATOS!$G12399="OR",--(COUNTIFS(nNIA,DATOS!$A12399,nCURSO,DATOS!$D12399,nESPEC,DATOS!$E12399,nASIG,DATOS!$I12399,nEVAL,"EX")=0),0))))</f>
      </c>
      <c r="H12399">
        <f>IF(DATOS!$G12399&lt;&gt;"EX",0,--(COUNTIFS(nNIA,DATOS!$A12399,nCURSO,DATOS!$D12399,nESPEC,DATOS!$E12399,nASIG,DATOS!$I12399,nEVAL,"OR")=0))</f>
      </c>
      <c r="I12399">
        <f>IF(DATOS!$I12399="","",IFERROR(VLOOKUP(DATOS!$I12399,CONFIG_ASIGNATURAS!$B$2:$J$91,9,FALSE()),""))</f>
      </c>
    </row>
    <row r="12400">
      <c r="F12400">
        <f>IF(DATOS!$A12400="","",DATOS!$A12400&amp;"|"&amp;DATOS!$D12400&amp;"|"&amp;DATOS!$E12400&amp;"|"&amp;DATOS!$I12400)</f>
      </c>
      <c r="G12400">
        <f>IF(DATOS!$A12400="",0,IF(CONFIG_METADATA!$B$4&lt;&gt;"OR+EX",--(DATOS!$G12400=CONFIG_METADATA!$B$4),IF(DATOS!$G12400="EX",1,IF(DATOS!$G12400="OR",--(COUNTIFS(nNIA,DATOS!$A12400,nCURSO,DATOS!$D12400,nESPEC,DATOS!$E12400,nASIG,DATOS!$I12400,nEVAL,"EX")=0),0))))</f>
      </c>
      <c r="H12400">
        <f>IF(DATOS!$G12400&lt;&gt;"EX",0,--(COUNTIFS(nNIA,DATOS!$A12400,nCURSO,DATOS!$D12400,nESPEC,DATOS!$E12400,nASIG,DATOS!$I12400,nEVAL,"OR")=0))</f>
      </c>
      <c r="I12400">
        <f>IF(DATOS!$I12400="","",IFERROR(VLOOKUP(DATOS!$I12400,CONFIG_ASIGNATURAS!$B$2:$J$91,9,FALSE()),""))</f>
      </c>
    </row>
    <row r="12401">
      <c r="F12401">
        <f>IF(DATOS!$A12401="","",DATOS!$A12401&amp;"|"&amp;DATOS!$D12401&amp;"|"&amp;DATOS!$E12401&amp;"|"&amp;DATOS!$I12401)</f>
      </c>
      <c r="G12401">
        <f>IF(DATOS!$A12401="",0,IF(CONFIG_METADATA!$B$4&lt;&gt;"OR+EX",--(DATOS!$G12401=CONFIG_METADATA!$B$4),IF(DATOS!$G12401="EX",1,IF(DATOS!$G12401="OR",--(COUNTIFS(nNIA,DATOS!$A12401,nCURSO,DATOS!$D12401,nESPEC,DATOS!$E12401,nASIG,DATOS!$I12401,nEVAL,"EX")=0),0))))</f>
      </c>
      <c r="H12401">
        <f>IF(DATOS!$G12401&lt;&gt;"EX",0,--(COUNTIFS(nNIA,DATOS!$A12401,nCURSO,DATOS!$D12401,nESPEC,DATOS!$E12401,nASIG,DATOS!$I12401,nEVAL,"OR")=0))</f>
      </c>
      <c r="I12401">
        <f>IF(DATOS!$I12401="","",IFERROR(VLOOKUP(DATOS!$I12401,CONFIG_ASIGNATURAS!$B$2:$J$91,9,FALSE()),""))</f>
      </c>
    </row>
    <row r="12402">
      <c r="F12402">
        <f>IF(DATOS!$A12402="","",DATOS!$A12402&amp;"|"&amp;DATOS!$D12402&amp;"|"&amp;DATOS!$E12402&amp;"|"&amp;DATOS!$I12402)</f>
      </c>
      <c r="G12402">
        <f>IF(DATOS!$A12402="",0,IF(CONFIG_METADATA!$B$4&lt;&gt;"OR+EX",--(DATOS!$G12402=CONFIG_METADATA!$B$4),IF(DATOS!$G12402="EX",1,IF(DATOS!$G12402="OR",--(COUNTIFS(nNIA,DATOS!$A12402,nCURSO,DATOS!$D12402,nESPEC,DATOS!$E12402,nASIG,DATOS!$I12402,nEVAL,"EX")=0),0))))</f>
      </c>
      <c r="H12402">
        <f>IF(DATOS!$G12402&lt;&gt;"EX",0,--(COUNTIFS(nNIA,DATOS!$A12402,nCURSO,DATOS!$D12402,nESPEC,DATOS!$E12402,nASIG,DATOS!$I12402,nEVAL,"OR")=0))</f>
      </c>
      <c r="I12402">
        <f>IF(DATOS!$I12402="","",IFERROR(VLOOKUP(DATOS!$I12402,CONFIG_ASIGNATURAS!$B$2:$J$91,9,FALSE()),""))</f>
      </c>
    </row>
    <row r="12403">
      <c r="F12403">
        <f>IF(DATOS!$A12403="","",DATOS!$A12403&amp;"|"&amp;DATOS!$D12403&amp;"|"&amp;DATOS!$E12403&amp;"|"&amp;DATOS!$I12403)</f>
      </c>
      <c r="G12403">
        <f>IF(DATOS!$A12403="",0,IF(CONFIG_METADATA!$B$4&lt;&gt;"OR+EX",--(DATOS!$G12403=CONFIG_METADATA!$B$4),IF(DATOS!$G12403="EX",1,IF(DATOS!$G12403="OR",--(COUNTIFS(nNIA,DATOS!$A12403,nCURSO,DATOS!$D12403,nESPEC,DATOS!$E12403,nASIG,DATOS!$I12403,nEVAL,"EX")=0),0))))</f>
      </c>
      <c r="H12403">
        <f>IF(DATOS!$G12403&lt;&gt;"EX",0,--(COUNTIFS(nNIA,DATOS!$A12403,nCURSO,DATOS!$D12403,nESPEC,DATOS!$E12403,nASIG,DATOS!$I12403,nEVAL,"OR")=0))</f>
      </c>
      <c r="I12403">
        <f>IF(DATOS!$I12403="","",IFERROR(VLOOKUP(DATOS!$I12403,CONFIG_ASIGNATURAS!$B$2:$J$91,9,FALSE()),""))</f>
      </c>
    </row>
    <row r="12404">
      <c r="F12404">
        <f>IF(DATOS!$A12404="","",DATOS!$A12404&amp;"|"&amp;DATOS!$D12404&amp;"|"&amp;DATOS!$E12404&amp;"|"&amp;DATOS!$I12404)</f>
      </c>
      <c r="G12404">
        <f>IF(DATOS!$A12404="",0,IF(CONFIG_METADATA!$B$4&lt;&gt;"OR+EX",--(DATOS!$G12404=CONFIG_METADATA!$B$4),IF(DATOS!$G12404="EX",1,IF(DATOS!$G12404="OR",--(COUNTIFS(nNIA,DATOS!$A12404,nCURSO,DATOS!$D12404,nESPEC,DATOS!$E12404,nASIG,DATOS!$I12404,nEVAL,"EX")=0),0))))</f>
      </c>
      <c r="H12404">
        <f>IF(DATOS!$G12404&lt;&gt;"EX",0,--(COUNTIFS(nNIA,DATOS!$A12404,nCURSO,DATOS!$D12404,nESPEC,DATOS!$E12404,nASIG,DATOS!$I12404,nEVAL,"OR")=0))</f>
      </c>
      <c r="I12404">
        <f>IF(DATOS!$I12404="","",IFERROR(VLOOKUP(DATOS!$I12404,CONFIG_ASIGNATURAS!$B$2:$J$91,9,FALSE()),""))</f>
      </c>
    </row>
    <row r="12405">
      <c r="F12405">
        <f>IF(DATOS!$A12405="","",DATOS!$A12405&amp;"|"&amp;DATOS!$D12405&amp;"|"&amp;DATOS!$E12405&amp;"|"&amp;DATOS!$I12405)</f>
      </c>
      <c r="G12405">
        <f>IF(DATOS!$A12405="",0,IF(CONFIG_METADATA!$B$4&lt;&gt;"OR+EX",--(DATOS!$G12405=CONFIG_METADATA!$B$4),IF(DATOS!$G12405="EX",1,IF(DATOS!$G12405="OR",--(COUNTIFS(nNIA,DATOS!$A12405,nCURSO,DATOS!$D12405,nESPEC,DATOS!$E12405,nASIG,DATOS!$I12405,nEVAL,"EX")=0),0))))</f>
      </c>
      <c r="H12405">
        <f>IF(DATOS!$G12405&lt;&gt;"EX",0,--(COUNTIFS(nNIA,DATOS!$A12405,nCURSO,DATOS!$D12405,nESPEC,DATOS!$E12405,nASIG,DATOS!$I12405,nEVAL,"OR")=0))</f>
      </c>
      <c r="I12405">
        <f>IF(DATOS!$I12405="","",IFERROR(VLOOKUP(DATOS!$I12405,CONFIG_ASIGNATURAS!$B$2:$J$91,9,FALSE()),""))</f>
      </c>
    </row>
    <row r="12406">
      <c r="F12406">
        <f>IF(DATOS!$A12406="","",DATOS!$A12406&amp;"|"&amp;DATOS!$D12406&amp;"|"&amp;DATOS!$E12406&amp;"|"&amp;DATOS!$I12406)</f>
      </c>
      <c r="G12406">
        <f>IF(DATOS!$A12406="",0,IF(CONFIG_METADATA!$B$4&lt;&gt;"OR+EX",--(DATOS!$G12406=CONFIG_METADATA!$B$4),IF(DATOS!$G12406="EX",1,IF(DATOS!$G12406="OR",--(COUNTIFS(nNIA,DATOS!$A12406,nCURSO,DATOS!$D12406,nESPEC,DATOS!$E12406,nASIG,DATOS!$I12406,nEVAL,"EX")=0),0))))</f>
      </c>
      <c r="H12406">
        <f>IF(DATOS!$G12406&lt;&gt;"EX",0,--(COUNTIFS(nNIA,DATOS!$A12406,nCURSO,DATOS!$D12406,nESPEC,DATOS!$E12406,nASIG,DATOS!$I12406,nEVAL,"OR")=0))</f>
      </c>
      <c r="I12406">
        <f>IF(DATOS!$I12406="","",IFERROR(VLOOKUP(DATOS!$I12406,CONFIG_ASIGNATURAS!$B$2:$J$91,9,FALSE()),""))</f>
      </c>
    </row>
    <row r="12407">
      <c r="F12407">
        <f>IF(DATOS!$A12407="","",DATOS!$A12407&amp;"|"&amp;DATOS!$D12407&amp;"|"&amp;DATOS!$E12407&amp;"|"&amp;DATOS!$I12407)</f>
      </c>
      <c r="G12407">
        <f>IF(DATOS!$A12407="",0,IF(CONFIG_METADATA!$B$4&lt;&gt;"OR+EX",--(DATOS!$G12407=CONFIG_METADATA!$B$4),IF(DATOS!$G12407="EX",1,IF(DATOS!$G12407="OR",--(COUNTIFS(nNIA,DATOS!$A12407,nCURSO,DATOS!$D12407,nESPEC,DATOS!$E12407,nASIG,DATOS!$I12407,nEVAL,"EX")=0),0))))</f>
      </c>
      <c r="H12407">
        <f>IF(DATOS!$G12407&lt;&gt;"EX",0,--(COUNTIFS(nNIA,DATOS!$A12407,nCURSO,DATOS!$D12407,nESPEC,DATOS!$E12407,nASIG,DATOS!$I12407,nEVAL,"OR")=0))</f>
      </c>
      <c r="I12407">
        <f>IF(DATOS!$I12407="","",IFERROR(VLOOKUP(DATOS!$I12407,CONFIG_ASIGNATURAS!$B$2:$J$91,9,FALSE()),""))</f>
      </c>
    </row>
    <row r="12408">
      <c r="F12408">
        <f>IF(DATOS!$A12408="","",DATOS!$A12408&amp;"|"&amp;DATOS!$D12408&amp;"|"&amp;DATOS!$E12408&amp;"|"&amp;DATOS!$I12408)</f>
      </c>
      <c r="G12408">
        <f>IF(DATOS!$A12408="",0,IF(CONFIG_METADATA!$B$4&lt;&gt;"OR+EX",--(DATOS!$G12408=CONFIG_METADATA!$B$4),IF(DATOS!$G12408="EX",1,IF(DATOS!$G12408="OR",--(COUNTIFS(nNIA,DATOS!$A12408,nCURSO,DATOS!$D12408,nESPEC,DATOS!$E12408,nASIG,DATOS!$I12408,nEVAL,"EX")=0),0))))</f>
      </c>
      <c r="H12408">
        <f>IF(DATOS!$G12408&lt;&gt;"EX",0,--(COUNTIFS(nNIA,DATOS!$A12408,nCURSO,DATOS!$D12408,nESPEC,DATOS!$E12408,nASIG,DATOS!$I12408,nEVAL,"OR")=0))</f>
      </c>
      <c r="I12408">
        <f>IF(DATOS!$I12408="","",IFERROR(VLOOKUP(DATOS!$I12408,CONFIG_ASIGNATURAS!$B$2:$J$91,9,FALSE()),""))</f>
      </c>
    </row>
    <row r="12409">
      <c r="F12409">
        <f>IF(DATOS!$A12409="","",DATOS!$A12409&amp;"|"&amp;DATOS!$D12409&amp;"|"&amp;DATOS!$E12409&amp;"|"&amp;DATOS!$I12409)</f>
      </c>
      <c r="G12409">
        <f>IF(DATOS!$A12409="",0,IF(CONFIG_METADATA!$B$4&lt;&gt;"OR+EX",--(DATOS!$G12409=CONFIG_METADATA!$B$4),IF(DATOS!$G12409="EX",1,IF(DATOS!$G12409="OR",--(COUNTIFS(nNIA,DATOS!$A12409,nCURSO,DATOS!$D12409,nESPEC,DATOS!$E12409,nASIG,DATOS!$I12409,nEVAL,"EX")=0),0))))</f>
      </c>
      <c r="H12409">
        <f>IF(DATOS!$G12409&lt;&gt;"EX",0,--(COUNTIFS(nNIA,DATOS!$A12409,nCURSO,DATOS!$D12409,nESPEC,DATOS!$E12409,nASIG,DATOS!$I12409,nEVAL,"OR")=0))</f>
      </c>
      <c r="I12409">
        <f>IF(DATOS!$I12409="","",IFERROR(VLOOKUP(DATOS!$I12409,CONFIG_ASIGNATURAS!$B$2:$J$91,9,FALSE()),""))</f>
      </c>
    </row>
    <row r="12410">
      <c r="F12410">
        <f>IF(DATOS!$A12410="","",DATOS!$A12410&amp;"|"&amp;DATOS!$D12410&amp;"|"&amp;DATOS!$E12410&amp;"|"&amp;DATOS!$I12410)</f>
      </c>
      <c r="G12410">
        <f>IF(DATOS!$A12410="",0,IF(CONFIG_METADATA!$B$4&lt;&gt;"OR+EX",--(DATOS!$G12410=CONFIG_METADATA!$B$4),IF(DATOS!$G12410="EX",1,IF(DATOS!$G12410="OR",--(COUNTIFS(nNIA,DATOS!$A12410,nCURSO,DATOS!$D12410,nESPEC,DATOS!$E12410,nASIG,DATOS!$I12410,nEVAL,"EX")=0),0))))</f>
      </c>
      <c r="H12410">
        <f>IF(DATOS!$G12410&lt;&gt;"EX",0,--(COUNTIFS(nNIA,DATOS!$A12410,nCURSO,DATOS!$D12410,nESPEC,DATOS!$E12410,nASIG,DATOS!$I12410,nEVAL,"OR")=0))</f>
      </c>
      <c r="I12410">
        <f>IF(DATOS!$I12410="","",IFERROR(VLOOKUP(DATOS!$I12410,CONFIG_ASIGNATURAS!$B$2:$J$91,9,FALSE()),""))</f>
      </c>
    </row>
    <row r="12411">
      <c r="F12411">
        <f>IF(DATOS!$A12411="","",DATOS!$A12411&amp;"|"&amp;DATOS!$D12411&amp;"|"&amp;DATOS!$E12411&amp;"|"&amp;DATOS!$I12411)</f>
      </c>
      <c r="G12411">
        <f>IF(DATOS!$A12411="",0,IF(CONFIG_METADATA!$B$4&lt;&gt;"OR+EX",--(DATOS!$G12411=CONFIG_METADATA!$B$4),IF(DATOS!$G12411="EX",1,IF(DATOS!$G12411="OR",--(COUNTIFS(nNIA,DATOS!$A12411,nCURSO,DATOS!$D12411,nESPEC,DATOS!$E12411,nASIG,DATOS!$I12411,nEVAL,"EX")=0),0))))</f>
      </c>
      <c r="H12411">
        <f>IF(DATOS!$G12411&lt;&gt;"EX",0,--(COUNTIFS(nNIA,DATOS!$A12411,nCURSO,DATOS!$D12411,nESPEC,DATOS!$E12411,nASIG,DATOS!$I12411,nEVAL,"OR")=0))</f>
      </c>
      <c r="I12411">
        <f>IF(DATOS!$I12411="","",IFERROR(VLOOKUP(DATOS!$I12411,CONFIG_ASIGNATURAS!$B$2:$J$91,9,FALSE()),""))</f>
      </c>
    </row>
    <row r="12412">
      <c r="F12412">
        <f>IF(DATOS!$A12412="","",DATOS!$A12412&amp;"|"&amp;DATOS!$D12412&amp;"|"&amp;DATOS!$E12412&amp;"|"&amp;DATOS!$I12412)</f>
      </c>
      <c r="G12412">
        <f>IF(DATOS!$A12412="",0,IF(CONFIG_METADATA!$B$4&lt;&gt;"OR+EX",--(DATOS!$G12412=CONFIG_METADATA!$B$4),IF(DATOS!$G12412="EX",1,IF(DATOS!$G12412="OR",--(COUNTIFS(nNIA,DATOS!$A12412,nCURSO,DATOS!$D12412,nESPEC,DATOS!$E12412,nASIG,DATOS!$I12412,nEVAL,"EX")=0),0))))</f>
      </c>
      <c r="H12412">
        <f>IF(DATOS!$G12412&lt;&gt;"EX",0,--(COUNTIFS(nNIA,DATOS!$A12412,nCURSO,DATOS!$D12412,nESPEC,DATOS!$E12412,nASIG,DATOS!$I12412,nEVAL,"OR")=0))</f>
      </c>
      <c r="I12412">
        <f>IF(DATOS!$I12412="","",IFERROR(VLOOKUP(DATOS!$I12412,CONFIG_ASIGNATURAS!$B$2:$J$91,9,FALSE()),""))</f>
      </c>
    </row>
    <row r="12413">
      <c r="F12413">
        <f>IF(DATOS!$A12413="","",DATOS!$A12413&amp;"|"&amp;DATOS!$D12413&amp;"|"&amp;DATOS!$E12413&amp;"|"&amp;DATOS!$I12413)</f>
      </c>
      <c r="G12413">
        <f>IF(DATOS!$A12413="",0,IF(CONFIG_METADATA!$B$4&lt;&gt;"OR+EX",--(DATOS!$G12413=CONFIG_METADATA!$B$4),IF(DATOS!$G12413="EX",1,IF(DATOS!$G12413="OR",--(COUNTIFS(nNIA,DATOS!$A12413,nCURSO,DATOS!$D12413,nESPEC,DATOS!$E12413,nASIG,DATOS!$I12413,nEVAL,"EX")=0),0))))</f>
      </c>
      <c r="H12413">
        <f>IF(DATOS!$G12413&lt;&gt;"EX",0,--(COUNTIFS(nNIA,DATOS!$A12413,nCURSO,DATOS!$D12413,nESPEC,DATOS!$E12413,nASIG,DATOS!$I12413,nEVAL,"OR")=0))</f>
      </c>
      <c r="I12413">
        <f>IF(DATOS!$I12413="","",IFERROR(VLOOKUP(DATOS!$I12413,CONFIG_ASIGNATURAS!$B$2:$J$91,9,FALSE()),""))</f>
      </c>
    </row>
    <row r="12414">
      <c r="F12414">
        <f>IF(DATOS!$A12414="","",DATOS!$A12414&amp;"|"&amp;DATOS!$D12414&amp;"|"&amp;DATOS!$E12414&amp;"|"&amp;DATOS!$I12414)</f>
      </c>
      <c r="G12414">
        <f>IF(DATOS!$A12414="",0,IF(CONFIG_METADATA!$B$4&lt;&gt;"OR+EX",--(DATOS!$G12414=CONFIG_METADATA!$B$4),IF(DATOS!$G12414="EX",1,IF(DATOS!$G12414="OR",--(COUNTIFS(nNIA,DATOS!$A12414,nCURSO,DATOS!$D12414,nESPEC,DATOS!$E12414,nASIG,DATOS!$I12414,nEVAL,"EX")=0),0))))</f>
      </c>
      <c r="H12414">
        <f>IF(DATOS!$G12414&lt;&gt;"EX",0,--(COUNTIFS(nNIA,DATOS!$A12414,nCURSO,DATOS!$D12414,nESPEC,DATOS!$E12414,nASIG,DATOS!$I12414,nEVAL,"OR")=0))</f>
      </c>
      <c r="I12414">
        <f>IF(DATOS!$I12414="","",IFERROR(VLOOKUP(DATOS!$I12414,CONFIG_ASIGNATURAS!$B$2:$J$91,9,FALSE()),""))</f>
      </c>
    </row>
    <row r="12415">
      <c r="F12415">
        <f>IF(DATOS!$A12415="","",DATOS!$A12415&amp;"|"&amp;DATOS!$D12415&amp;"|"&amp;DATOS!$E12415&amp;"|"&amp;DATOS!$I12415)</f>
      </c>
      <c r="G12415">
        <f>IF(DATOS!$A12415="",0,IF(CONFIG_METADATA!$B$4&lt;&gt;"OR+EX",--(DATOS!$G12415=CONFIG_METADATA!$B$4),IF(DATOS!$G12415="EX",1,IF(DATOS!$G12415="OR",--(COUNTIFS(nNIA,DATOS!$A12415,nCURSO,DATOS!$D12415,nESPEC,DATOS!$E12415,nASIG,DATOS!$I12415,nEVAL,"EX")=0),0))))</f>
      </c>
      <c r="H12415">
        <f>IF(DATOS!$G12415&lt;&gt;"EX",0,--(COUNTIFS(nNIA,DATOS!$A12415,nCURSO,DATOS!$D12415,nESPEC,DATOS!$E12415,nASIG,DATOS!$I12415,nEVAL,"OR")=0))</f>
      </c>
      <c r="I12415">
        <f>IF(DATOS!$I12415="","",IFERROR(VLOOKUP(DATOS!$I12415,CONFIG_ASIGNATURAS!$B$2:$J$91,9,FALSE()),""))</f>
      </c>
    </row>
    <row r="12416">
      <c r="F12416">
        <f>IF(DATOS!$A12416="","",DATOS!$A12416&amp;"|"&amp;DATOS!$D12416&amp;"|"&amp;DATOS!$E12416&amp;"|"&amp;DATOS!$I12416)</f>
      </c>
      <c r="G12416">
        <f>IF(DATOS!$A12416="",0,IF(CONFIG_METADATA!$B$4&lt;&gt;"OR+EX",--(DATOS!$G12416=CONFIG_METADATA!$B$4),IF(DATOS!$G12416="EX",1,IF(DATOS!$G12416="OR",--(COUNTIFS(nNIA,DATOS!$A12416,nCURSO,DATOS!$D12416,nESPEC,DATOS!$E12416,nASIG,DATOS!$I12416,nEVAL,"EX")=0),0))))</f>
      </c>
      <c r="H12416">
        <f>IF(DATOS!$G12416&lt;&gt;"EX",0,--(COUNTIFS(nNIA,DATOS!$A12416,nCURSO,DATOS!$D12416,nESPEC,DATOS!$E12416,nASIG,DATOS!$I12416,nEVAL,"OR")=0))</f>
      </c>
      <c r="I12416">
        <f>IF(DATOS!$I12416="","",IFERROR(VLOOKUP(DATOS!$I12416,CONFIG_ASIGNATURAS!$B$2:$J$91,9,FALSE()),""))</f>
      </c>
    </row>
    <row r="12417">
      <c r="F12417">
        <f>IF(DATOS!$A12417="","",DATOS!$A12417&amp;"|"&amp;DATOS!$D12417&amp;"|"&amp;DATOS!$E12417&amp;"|"&amp;DATOS!$I12417)</f>
      </c>
      <c r="G12417">
        <f>IF(DATOS!$A12417="",0,IF(CONFIG_METADATA!$B$4&lt;&gt;"OR+EX",--(DATOS!$G12417=CONFIG_METADATA!$B$4),IF(DATOS!$G12417="EX",1,IF(DATOS!$G12417="OR",--(COUNTIFS(nNIA,DATOS!$A12417,nCURSO,DATOS!$D12417,nESPEC,DATOS!$E12417,nASIG,DATOS!$I12417,nEVAL,"EX")=0),0))))</f>
      </c>
      <c r="H12417">
        <f>IF(DATOS!$G12417&lt;&gt;"EX",0,--(COUNTIFS(nNIA,DATOS!$A12417,nCURSO,DATOS!$D12417,nESPEC,DATOS!$E12417,nASIG,DATOS!$I12417,nEVAL,"OR")=0))</f>
      </c>
      <c r="I12417">
        <f>IF(DATOS!$I12417="","",IFERROR(VLOOKUP(DATOS!$I12417,CONFIG_ASIGNATURAS!$B$2:$J$91,9,FALSE()),""))</f>
      </c>
    </row>
    <row r="12418">
      <c r="F12418">
        <f>IF(DATOS!$A12418="","",DATOS!$A12418&amp;"|"&amp;DATOS!$D12418&amp;"|"&amp;DATOS!$E12418&amp;"|"&amp;DATOS!$I12418)</f>
      </c>
      <c r="G12418">
        <f>IF(DATOS!$A12418="",0,IF(CONFIG_METADATA!$B$4&lt;&gt;"OR+EX",--(DATOS!$G12418=CONFIG_METADATA!$B$4),IF(DATOS!$G12418="EX",1,IF(DATOS!$G12418="OR",--(COUNTIFS(nNIA,DATOS!$A12418,nCURSO,DATOS!$D12418,nESPEC,DATOS!$E12418,nASIG,DATOS!$I12418,nEVAL,"EX")=0),0))))</f>
      </c>
      <c r="H12418">
        <f>IF(DATOS!$G12418&lt;&gt;"EX",0,--(COUNTIFS(nNIA,DATOS!$A12418,nCURSO,DATOS!$D12418,nESPEC,DATOS!$E12418,nASIG,DATOS!$I12418,nEVAL,"OR")=0))</f>
      </c>
      <c r="I12418">
        <f>IF(DATOS!$I12418="","",IFERROR(VLOOKUP(DATOS!$I12418,CONFIG_ASIGNATURAS!$B$2:$J$91,9,FALSE()),""))</f>
      </c>
    </row>
    <row r="12419">
      <c r="F12419">
        <f>IF(DATOS!$A12419="","",DATOS!$A12419&amp;"|"&amp;DATOS!$D12419&amp;"|"&amp;DATOS!$E12419&amp;"|"&amp;DATOS!$I12419)</f>
      </c>
      <c r="G12419">
        <f>IF(DATOS!$A12419="",0,IF(CONFIG_METADATA!$B$4&lt;&gt;"OR+EX",--(DATOS!$G12419=CONFIG_METADATA!$B$4),IF(DATOS!$G12419="EX",1,IF(DATOS!$G12419="OR",--(COUNTIFS(nNIA,DATOS!$A12419,nCURSO,DATOS!$D12419,nESPEC,DATOS!$E12419,nASIG,DATOS!$I12419,nEVAL,"EX")=0),0))))</f>
      </c>
      <c r="H12419">
        <f>IF(DATOS!$G12419&lt;&gt;"EX",0,--(COUNTIFS(nNIA,DATOS!$A12419,nCURSO,DATOS!$D12419,nESPEC,DATOS!$E12419,nASIG,DATOS!$I12419,nEVAL,"OR")=0))</f>
      </c>
      <c r="I12419">
        <f>IF(DATOS!$I12419="","",IFERROR(VLOOKUP(DATOS!$I12419,CONFIG_ASIGNATURAS!$B$2:$J$91,9,FALSE()),""))</f>
      </c>
    </row>
    <row r="12420">
      <c r="F12420">
        <f>IF(DATOS!$A12420="","",DATOS!$A12420&amp;"|"&amp;DATOS!$D12420&amp;"|"&amp;DATOS!$E12420&amp;"|"&amp;DATOS!$I12420)</f>
      </c>
      <c r="G12420">
        <f>IF(DATOS!$A12420="",0,IF(CONFIG_METADATA!$B$4&lt;&gt;"OR+EX",--(DATOS!$G12420=CONFIG_METADATA!$B$4),IF(DATOS!$G12420="EX",1,IF(DATOS!$G12420="OR",--(COUNTIFS(nNIA,DATOS!$A12420,nCURSO,DATOS!$D12420,nESPEC,DATOS!$E12420,nASIG,DATOS!$I12420,nEVAL,"EX")=0),0))))</f>
      </c>
      <c r="H12420">
        <f>IF(DATOS!$G12420&lt;&gt;"EX",0,--(COUNTIFS(nNIA,DATOS!$A12420,nCURSO,DATOS!$D12420,nESPEC,DATOS!$E12420,nASIG,DATOS!$I12420,nEVAL,"OR")=0))</f>
      </c>
      <c r="I12420">
        <f>IF(DATOS!$I12420="","",IFERROR(VLOOKUP(DATOS!$I12420,CONFIG_ASIGNATURAS!$B$2:$J$91,9,FALSE()),""))</f>
      </c>
    </row>
    <row r="12421">
      <c r="F12421">
        <f>IF(DATOS!$A12421="","",DATOS!$A12421&amp;"|"&amp;DATOS!$D12421&amp;"|"&amp;DATOS!$E12421&amp;"|"&amp;DATOS!$I12421)</f>
      </c>
      <c r="G12421">
        <f>IF(DATOS!$A12421="",0,IF(CONFIG_METADATA!$B$4&lt;&gt;"OR+EX",--(DATOS!$G12421=CONFIG_METADATA!$B$4),IF(DATOS!$G12421="EX",1,IF(DATOS!$G12421="OR",--(COUNTIFS(nNIA,DATOS!$A12421,nCURSO,DATOS!$D12421,nESPEC,DATOS!$E12421,nASIG,DATOS!$I12421,nEVAL,"EX")=0),0))))</f>
      </c>
      <c r="H12421">
        <f>IF(DATOS!$G12421&lt;&gt;"EX",0,--(COUNTIFS(nNIA,DATOS!$A12421,nCURSO,DATOS!$D12421,nESPEC,DATOS!$E12421,nASIG,DATOS!$I12421,nEVAL,"OR")=0))</f>
      </c>
      <c r="I12421">
        <f>IF(DATOS!$I12421="","",IFERROR(VLOOKUP(DATOS!$I12421,CONFIG_ASIGNATURAS!$B$2:$J$91,9,FALSE()),""))</f>
      </c>
    </row>
    <row r="12422">
      <c r="F12422">
        <f>IF(DATOS!$A12422="","",DATOS!$A12422&amp;"|"&amp;DATOS!$D12422&amp;"|"&amp;DATOS!$E12422&amp;"|"&amp;DATOS!$I12422)</f>
      </c>
      <c r="G12422">
        <f>IF(DATOS!$A12422="",0,IF(CONFIG_METADATA!$B$4&lt;&gt;"OR+EX",--(DATOS!$G12422=CONFIG_METADATA!$B$4),IF(DATOS!$G12422="EX",1,IF(DATOS!$G12422="OR",--(COUNTIFS(nNIA,DATOS!$A12422,nCURSO,DATOS!$D12422,nESPEC,DATOS!$E12422,nASIG,DATOS!$I12422,nEVAL,"EX")=0),0))))</f>
      </c>
      <c r="H12422">
        <f>IF(DATOS!$G12422&lt;&gt;"EX",0,--(COUNTIFS(nNIA,DATOS!$A12422,nCURSO,DATOS!$D12422,nESPEC,DATOS!$E12422,nASIG,DATOS!$I12422,nEVAL,"OR")=0))</f>
      </c>
      <c r="I12422">
        <f>IF(DATOS!$I12422="","",IFERROR(VLOOKUP(DATOS!$I12422,CONFIG_ASIGNATURAS!$B$2:$J$91,9,FALSE()),""))</f>
      </c>
    </row>
    <row r="12423">
      <c r="F12423">
        <f>IF(DATOS!$A12423="","",DATOS!$A12423&amp;"|"&amp;DATOS!$D12423&amp;"|"&amp;DATOS!$E12423&amp;"|"&amp;DATOS!$I12423)</f>
      </c>
      <c r="G12423">
        <f>IF(DATOS!$A12423="",0,IF(CONFIG_METADATA!$B$4&lt;&gt;"OR+EX",--(DATOS!$G12423=CONFIG_METADATA!$B$4),IF(DATOS!$G12423="EX",1,IF(DATOS!$G12423="OR",--(COUNTIFS(nNIA,DATOS!$A12423,nCURSO,DATOS!$D12423,nESPEC,DATOS!$E12423,nASIG,DATOS!$I12423,nEVAL,"EX")=0),0))))</f>
      </c>
      <c r="H12423">
        <f>IF(DATOS!$G12423&lt;&gt;"EX",0,--(COUNTIFS(nNIA,DATOS!$A12423,nCURSO,DATOS!$D12423,nESPEC,DATOS!$E12423,nASIG,DATOS!$I12423,nEVAL,"OR")=0))</f>
      </c>
      <c r="I12423">
        <f>IF(DATOS!$I12423="","",IFERROR(VLOOKUP(DATOS!$I12423,CONFIG_ASIGNATURAS!$B$2:$J$91,9,FALSE()),""))</f>
      </c>
    </row>
    <row r="12424">
      <c r="F12424">
        <f>IF(DATOS!$A12424="","",DATOS!$A12424&amp;"|"&amp;DATOS!$D12424&amp;"|"&amp;DATOS!$E12424&amp;"|"&amp;DATOS!$I12424)</f>
      </c>
      <c r="G12424">
        <f>IF(DATOS!$A12424="",0,IF(CONFIG_METADATA!$B$4&lt;&gt;"OR+EX",--(DATOS!$G12424=CONFIG_METADATA!$B$4),IF(DATOS!$G12424="EX",1,IF(DATOS!$G12424="OR",--(COUNTIFS(nNIA,DATOS!$A12424,nCURSO,DATOS!$D12424,nESPEC,DATOS!$E12424,nASIG,DATOS!$I12424,nEVAL,"EX")=0),0))))</f>
      </c>
      <c r="H12424">
        <f>IF(DATOS!$G12424&lt;&gt;"EX",0,--(COUNTIFS(nNIA,DATOS!$A12424,nCURSO,DATOS!$D12424,nESPEC,DATOS!$E12424,nASIG,DATOS!$I12424,nEVAL,"OR")=0))</f>
      </c>
      <c r="I12424">
        <f>IF(DATOS!$I12424="","",IFERROR(VLOOKUP(DATOS!$I12424,CONFIG_ASIGNATURAS!$B$2:$J$91,9,FALSE()),""))</f>
      </c>
    </row>
    <row r="12425">
      <c r="F12425">
        <f>IF(DATOS!$A12425="","",DATOS!$A12425&amp;"|"&amp;DATOS!$D12425&amp;"|"&amp;DATOS!$E12425&amp;"|"&amp;DATOS!$I12425)</f>
      </c>
      <c r="G12425">
        <f>IF(DATOS!$A12425="",0,IF(CONFIG_METADATA!$B$4&lt;&gt;"OR+EX",--(DATOS!$G12425=CONFIG_METADATA!$B$4),IF(DATOS!$G12425="EX",1,IF(DATOS!$G12425="OR",--(COUNTIFS(nNIA,DATOS!$A12425,nCURSO,DATOS!$D12425,nESPEC,DATOS!$E12425,nASIG,DATOS!$I12425,nEVAL,"EX")=0),0))))</f>
      </c>
      <c r="H12425">
        <f>IF(DATOS!$G12425&lt;&gt;"EX",0,--(COUNTIFS(nNIA,DATOS!$A12425,nCURSO,DATOS!$D12425,nESPEC,DATOS!$E12425,nASIG,DATOS!$I12425,nEVAL,"OR")=0))</f>
      </c>
      <c r="I12425">
        <f>IF(DATOS!$I12425="","",IFERROR(VLOOKUP(DATOS!$I12425,CONFIG_ASIGNATURAS!$B$2:$J$91,9,FALSE()),""))</f>
      </c>
    </row>
    <row r="12426">
      <c r="F12426">
        <f>IF(DATOS!$A12426="","",DATOS!$A12426&amp;"|"&amp;DATOS!$D12426&amp;"|"&amp;DATOS!$E12426&amp;"|"&amp;DATOS!$I12426)</f>
      </c>
      <c r="G12426">
        <f>IF(DATOS!$A12426="",0,IF(CONFIG_METADATA!$B$4&lt;&gt;"OR+EX",--(DATOS!$G12426=CONFIG_METADATA!$B$4),IF(DATOS!$G12426="EX",1,IF(DATOS!$G12426="OR",--(COUNTIFS(nNIA,DATOS!$A12426,nCURSO,DATOS!$D12426,nESPEC,DATOS!$E12426,nASIG,DATOS!$I12426,nEVAL,"EX")=0),0))))</f>
      </c>
      <c r="H12426">
        <f>IF(DATOS!$G12426&lt;&gt;"EX",0,--(COUNTIFS(nNIA,DATOS!$A12426,nCURSO,DATOS!$D12426,nESPEC,DATOS!$E12426,nASIG,DATOS!$I12426,nEVAL,"OR")=0))</f>
      </c>
      <c r="I12426">
        <f>IF(DATOS!$I12426="","",IFERROR(VLOOKUP(DATOS!$I12426,CONFIG_ASIGNATURAS!$B$2:$J$91,9,FALSE()),""))</f>
      </c>
    </row>
    <row r="12427">
      <c r="F12427">
        <f>IF(DATOS!$A12427="","",DATOS!$A12427&amp;"|"&amp;DATOS!$D12427&amp;"|"&amp;DATOS!$E12427&amp;"|"&amp;DATOS!$I12427)</f>
      </c>
      <c r="G12427">
        <f>IF(DATOS!$A12427="",0,IF(CONFIG_METADATA!$B$4&lt;&gt;"OR+EX",--(DATOS!$G12427=CONFIG_METADATA!$B$4),IF(DATOS!$G12427="EX",1,IF(DATOS!$G12427="OR",--(COUNTIFS(nNIA,DATOS!$A12427,nCURSO,DATOS!$D12427,nESPEC,DATOS!$E12427,nASIG,DATOS!$I12427,nEVAL,"EX")=0),0))))</f>
      </c>
      <c r="H12427">
        <f>IF(DATOS!$G12427&lt;&gt;"EX",0,--(COUNTIFS(nNIA,DATOS!$A12427,nCURSO,DATOS!$D12427,nESPEC,DATOS!$E12427,nASIG,DATOS!$I12427,nEVAL,"OR")=0))</f>
      </c>
      <c r="I12427">
        <f>IF(DATOS!$I12427="","",IFERROR(VLOOKUP(DATOS!$I12427,CONFIG_ASIGNATURAS!$B$2:$J$91,9,FALSE()),""))</f>
      </c>
    </row>
    <row r="12428">
      <c r="F12428">
        <f>IF(DATOS!$A12428="","",DATOS!$A12428&amp;"|"&amp;DATOS!$D12428&amp;"|"&amp;DATOS!$E12428&amp;"|"&amp;DATOS!$I12428)</f>
      </c>
      <c r="G12428">
        <f>IF(DATOS!$A12428="",0,IF(CONFIG_METADATA!$B$4&lt;&gt;"OR+EX",--(DATOS!$G12428=CONFIG_METADATA!$B$4),IF(DATOS!$G12428="EX",1,IF(DATOS!$G12428="OR",--(COUNTIFS(nNIA,DATOS!$A12428,nCURSO,DATOS!$D12428,nESPEC,DATOS!$E12428,nASIG,DATOS!$I12428,nEVAL,"EX")=0),0))))</f>
      </c>
      <c r="H12428">
        <f>IF(DATOS!$G12428&lt;&gt;"EX",0,--(COUNTIFS(nNIA,DATOS!$A12428,nCURSO,DATOS!$D12428,nESPEC,DATOS!$E12428,nASIG,DATOS!$I12428,nEVAL,"OR")=0))</f>
      </c>
      <c r="I12428">
        <f>IF(DATOS!$I12428="","",IFERROR(VLOOKUP(DATOS!$I12428,CONFIG_ASIGNATURAS!$B$2:$J$91,9,FALSE()),""))</f>
      </c>
    </row>
    <row r="12429">
      <c r="F12429">
        <f>IF(DATOS!$A12429="","",DATOS!$A12429&amp;"|"&amp;DATOS!$D12429&amp;"|"&amp;DATOS!$E12429&amp;"|"&amp;DATOS!$I12429)</f>
      </c>
      <c r="G12429">
        <f>IF(DATOS!$A12429="",0,IF(CONFIG_METADATA!$B$4&lt;&gt;"OR+EX",--(DATOS!$G12429=CONFIG_METADATA!$B$4),IF(DATOS!$G12429="EX",1,IF(DATOS!$G12429="OR",--(COUNTIFS(nNIA,DATOS!$A12429,nCURSO,DATOS!$D12429,nESPEC,DATOS!$E12429,nASIG,DATOS!$I12429,nEVAL,"EX")=0),0))))</f>
      </c>
      <c r="H12429">
        <f>IF(DATOS!$G12429&lt;&gt;"EX",0,--(COUNTIFS(nNIA,DATOS!$A12429,nCURSO,DATOS!$D12429,nESPEC,DATOS!$E12429,nASIG,DATOS!$I12429,nEVAL,"OR")=0))</f>
      </c>
      <c r="I12429">
        <f>IF(DATOS!$I12429="","",IFERROR(VLOOKUP(DATOS!$I12429,CONFIG_ASIGNATURAS!$B$2:$J$91,9,FALSE()),""))</f>
      </c>
    </row>
    <row r="12430">
      <c r="F12430">
        <f>IF(DATOS!$A12430="","",DATOS!$A12430&amp;"|"&amp;DATOS!$D12430&amp;"|"&amp;DATOS!$E12430&amp;"|"&amp;DATOS!$I12430)</f>
      </c>
      <c r="G12430">
        <f>IF(DATOS!$A12430="",0,IF(CONFIG_METADATA!$B$4&lt;&gt;"OR+EX",--(DATOS!$G12430=CONFIG_METADATA!$B$4),IF(DATOS!$G12430="EX",1,IF(DATOS!$G12430="OR",--(COUNTIFS(nNIA,DATOS!$A12430,nCURSO,DATOS!$D12430,nESPEC,DATOS!$E12430,nASIG,DATOS!$I12430,nEVAL,"EX")=0),0))))</f>
      </c>
      <c r="H12430">
        <f>IF(DATOS!$G12430&lt;&gt;"EX",0,--(COUNTIFS(nNIA,DATOS!$A12430,nCURSO,DATOS!$D12430,nESPEC,DATOS!$E12430,nASIG,DATOS!$I12430,nEVAL,"OR")=0))</f>
      </c>
      <c r="I12430">
        <f>IF(DATOS!$I12430="","",IFERROR(VLOOKUP(DATOS!$I12430,CONFIG_ASIGNATURAS!$B$2:$J$91,9,FALSE()),""))</f>
      </c>
    </row>
    <row r="12431">
      <c r="F12431">
        <f>IF(DATOS!$A12431="","",DATOS!$A12431&amp;"|"&amp;DATOS!$D12431&amp;"|"&amp;DATOS!$E12431&amp;"|"&amp;DATOS!$I12431)</f>
      </c>
      <c r="G12431">
        <f>IF(DATOS!$A12431="",0,IF(CONFIG_METADATA!$B$4&lt;&gt;"OR+EX",--(DATOS!$G12431=CONFIG_METADATA!$B$4),IF(DATOS!$G12431="EX",1,IF(DATOS!$G12431="OR",--(COUNTIFS(nNIA,DATOS!$A12431,nCURSO,DATOS!$D12431,nESPEC,DATOS!$E12431,nASIG,DATOS!$I12431,nEVAL,"EX")=0),0))))</f>
      </c>
      <c r="H12431">
        <f>IF(DATOS!$G12431&lt;&gt;"EX",0,--(COUNTIFS(nNIA,DATOS!$A12431,nCURSO,DATOS!$D12431,nESPEC,DATOS!$E12431,nASIG,DATOS!$I12431,nEVAL,"OR")=0))</f>
      </c>
      <c r="I12431">
        <f>IF(DATOS!$I12431="","",IFERROR(VLOOKUP(DATOS!$I12431,CONFIG_ASIGNATURAS!$B$2:$J$91,9,FALSE()),""))</f>
      </c>
    </row>
    <row r="12432">
      <c r="F12432">
        <f>IF(DATOS!$A12432="","",DATOS!$A12432&amp;"|"&amp;DATOS!$D12432&amp;"|"&amp;DATOS!$E12432&amp;"|"&amp;DATOS!$I12432)</f>
      </c>
      <c r="G12432">
        <f>IF(DATOS!$A12432="",0,IF(CONFIG_METADATA!$B$4&lt;&gt;"OR+EX",--(DATOS!$G12432=CONFIG_METADATA!$B$4),IF(DATOS!$G12432="EX",1,IF(DATOS!$G12432="OR",--(COUNTIFS(nNIA,DATOS!$A12432,nCURSO,DATOS!$D12432,nESPEC,DATOS!$E12432,nASIG,DATOS!$I12432,nEVAL,"EX")=0),0))))</f>
      </c>
      <c r="H12432">
        <f>IF(DATOS!$G12432&lt;&gt;"EX",0,--(COUNTIFS(nNIA,DATOS!$A12432,nCURSO,DATOS!$D12432,nESPEC,DATOS!$E12432,nASIG,DATOS!$I12432,nEVAL,"OR")=0))</f>
      </c>
      <c r="I12432">
        <f>IF(DATOS!$I12432="","",IFERROR(VLOOKUP(DATOS!$I12432,CONFIG_ASIGNATURAS!$B$2:$J$91,9,FALSE()),""))</f>
      </c>
    </row>
    <row r="12433">
      <c r="F12433">
        <f>IF(DATOS!$A12433="","",DATOS!$A12433&amp;"|"&amp;DATOS!$D12433&amp;"|"&amp;DATOS!$E12433&amp;"|"&amp;DATOS!$I12433)</f>
      </c>
      <c r="G12433">
        <f>IF(DATOS!$A12433="",0,IF(CONFIG_METADATA!$B$4&lt;&gt;"OR+EX",--(DATOS!$G12433=CONFIG_METADATA!$B$4),IF(DATOS!$G12433="EX",1,IF(DATOS!$G12433="OR",--(COUNTIFS(nNIA,DATOS!$A12433,nCURSO,DATOS!$D12433,nESPEC,DATOS!$E12433,nASIG,DATOS!$I12433,nEVAL,"EX")=0),0))))</f>
      </c>
      <c r="H12433">
        <f>IF(DATOS!$G12433&lt;&gt;"EX",0,--(COUNTIFS(nNIA,DATOS!$A12433,nCURSO,DATOS!$D12433,nESPEC,DATOS!$E12433,nASIG,DATOS!$I12433,nEVAL,"OR")=0))</f>
      </c>
      <c r="I12433">
        <f>IF(DATOS!$I12433="","",IFERROR(VLOOKUP(DATOS!$I12433,CONFIG_ASIGNATURAS!$B$2:$J$91,9,FALSE()),""))</f>
      </c>
    </row>
    <row r="12434">
      <c r="F12434">
        <f>IF(DATOS!$A12434="","",DATOS!$A12434&amp;"|"&amp;DATOS!$D12434&amp;"|"&amp;DATOS!$E12434&amp;"|"&amp;DATOS!$I12434)</f>
      </c>
      <c r="G12434">
        <f>IF(DATOS!$A12434="",0,IF(CONFIG_METADATA!$B$4&lt;&gt;"OR+EX",--(DATOS!$G12434=CONFIG_METADATA!$B$4),IF(DATOS!$G12434="EX",1,IF(DATOS!$G12434="OR",--(COUNTIFS(nNIA,DATOS!$A12434,nCURSO,DATOS!$D12434,nESPEC,DATOS!$E12434,nASIG,DATOS!$I12434,nEVAL,"EX")=0),0))))</f>
      </c>
      <c r="H12434">
        <f>IF(DATOS!$G12434&lt;&gt;"EX",0,--(COUNTIFS(nNIA,DATOS!$A12434,nCURSO,DATOS!$D12434,nESPEC,DATOS!$E12434,nASIG,DATOS!$I12434,nEVAL,"OR")=0))</f>
      </c>
      <c r="I12434">
        <f>IF(DATOS!$I12434="","",IFERROR(VLOOKUP(DATOS!$I12434,CONFIG_ASIGNATURAS!$B$2:$J$91,9,FALSE()),""))</f>
      </c>
    </row>
    <row r="12435">
      <c r="F12435">
        <f>IF(DATOS!$A12435="","",DATOS!$A12435&amp;"|"&amp;DATOS!$D12435&amp;"|"&amp;DATOS!$E12435&amp;"|"&amp;DATOS!$I12435)</f>
      </c>
      <c r="G12435">
        <f>IF(DATOS!$A12435="",0,IF(CONFIG_METADATA!$B$4&lt;&gt;"OR+EX",--(DATOS!$G12435=CONFIG_METADATA!$B$4),IF(DATOS!$G12435="EX",1,IF(DATOS!$G12435="OR",--(COUNTIFS(nNIA,DATOS!$A12435,nCURSO,DATOS!$D12435,nESPEC,DATOS!$E12435,nASIG,DATOS!$I12435,nEVAL,"EX")=0),0))))</f>
      </c>
      <c r="H12435">
        <f>IF(DATOS!$G12435&lt;&gt;"EX",0,--(COUNTIFS(nNIA,DATOS!$A12435,nCURSO,DATOS!$D12435,nESPEC,DATOS!$E12435,nASIG,DATOS!$I12435,nEVAL,"OR")=0))</f>
      </c>
      <c r="I12435">
        <f>IF(DATOS!$I12435="","",IFERROR(VLOOKUP(DATOS!$I12435,CONFIG_ASIGNATURAS!$B$2:$J$91,9,FALSE()),""))</f>
      </c>
    </row>
    <row r="12436">
      <c r="F12436">
        <f>IF(DATOS!$A12436="","",DATOS!$A12436&amp;"|"&amp;DATOS!$D12436&amp;"|"&amp;DATOS!$E12436&amp;"|"&amp;DATOS!$I12436)</f>
      </c>
      <c r="G12436">
        <f>IF(DATOS!$A12436="",0,IF(CONFIG_METADATA!$B$4&lt;&gt;"OR+EX",--(DATOS!$G12436=CONFIG_METADATA!$B$4),IF(DATOS!$G12436="EX",1,IF(DATOS!$G12436="OR",--(COUNTIFS(nNIA,DATOS!$A12436,nCURSO,DATOS!$D12436,nESPEC,DATOS!$E12436,nASIG,DATOS!$I12436,nEVAL,"EX")=0),0))))</f>
      </c>
      <c r="H12436">
        <f>IF(DATOS!$G12436&lt;&gt;"EX",0,--(COUNTIFS(nNIA,DATOS!$A12436,nCURSO,DATOS!$D12436,nESPEC,DATOS!$E12436,nASIG,DATOS!$I12436,nEVAL,"OR")=0))</f>
      </c>
      <c r="I12436">
        <f>IF(DATOS!$I12436="","",IFERROR(VLOOKUP(DATOS!$I12436,CONFIG_ASIGNATURAS!$B$2:$J$91,9,FALSE()),""))</f>
      </c>
    </row>
    <row r="12437">
      <c r="F12437">
        <f>IF(DATOS!$A12437="","",DATOS!$A12437&amp;"|"&amp;DATOS!$D12437&amp;"|"&amp;DATOS!$E12437&amp;"|"&amp;DATOS!$I12437)</f>
      </c>
      <c r="G12437">
        <f>IF(DATOS!$A12437="",0,IF(CONFIG_METADATA!$B$4&lt;&gt;"OR+EX",--(DATOS!$G12437=CONFIG_METADATA!$B$4),IF(DATOS!$G12437="EX",1,IF(DATOS!$G12437="OR",--(COUNTIFS(nNIA,DATOS!$A12437,nCURSO,DATOS!$D12437,nESPEC,DATOS!$E12437,nASIG,DATOS!$I12437,nEVAL,"EX")=0),0))))</f>
      </c>
      <c r="H12437">
        <f>IF(DATOS!$G12437&lt;&gt;"EX",0,--(COUNTIFS(nNIA,DATOS!$A12437,nCURSO,DATOS!$D12437,nESPEC,DATOS!$E12437,nASIG,DATOS!$I12437,nEVAL,"OR")=0))</f>
      </c>
      <c r="I12437">
        <f>IF(DATOS!$I12437="","",IFERROR(VLOOKUP(DATOS!$I12437,CONFIG_ASIGNATURAS!$B$2:$J$91,9,FALSE()),""))</f>
      </c>
    </row>
    <row r="12438">
      <c r="F12438">
        <f>IF(DATOS!$A12438="","",DATOS!$A12438&amp;"|"&amp;DATOS!$D12438&amp;"|"&amp;DATOS!$E12438&amp;"|"&amp;DATOS!$I12438)</f>
      </c>
      <c r="G12438">
        <f>IF(DATOS!$A12438="",0,IF(CONFIG_METADATA!$B$4&lt;&gt;"OR+EX",--(DATOS!$G12438=CONFIG_METADATA!$B$4),IF(DATOS!$G12438="EX",1,IF(DATOS!$G12438="OR",--(COUNTIFS(nNIA,DATOS!$A12438,nCURSO,DATOS!$D12438,nESPEC,DATOS!$E12438,nASIG,DATOS!$I12438,nEVAL,"EX")=0),0))))</f>
      </c>
      <c r="H12438">
        <f>IF(DATOS!$G12438&lt;&gt;"EX",0,--(COUNTIFS(nNIA,DATOS!$A12438,nCURSO,DATOS!$D12438,nESPEC,DATOS!$E12438,nASIG,DATOS!$I12438,nEVAL,"OR")=0))</f>
      </c>
      <c r="I12438">
        <f>IF(DATOS!$I12438="","",IFERROR(VLOOKUP(DATOS!$I12438,CONFIG_ASIGNATURAS!$B$2:$J$91,9,FALSE()),""))</f>
      </c>
    </row>
    <row r="12439">
      <c r="F12439">
        <f>IF(DATOS!$A12439="","",DATOS!$A12439&amp;"|"&amp;DATOS!$D12439&amp;"|"&amp;DATOS!$E12439&amp;"|"&amp;DATOS!$I12439)</f>
      </c>
      <c r="G12439">
        <f>IF(DATOS!$A12439="",0,IF(CONFIG_METADATA!$B$4&lt;&gt;"OR+EX",--(DATOS!$G12439=CONFIG_METADATA!$B$4),IF(DATOS!$G12439="EX",1,IF(DATOS!$G12439="OR",--(COUNTIFS(nNIA,DATOS!$A12439,nCURSO,DATOS!$D12439,nESPEC,DATOS!$E12439,nASIG,DATOS!$I12439,nEVAL,"EX")=0),0))))</f>
      </c>
      <c r="H12439">
        <f>IF(DATOS!$G12439&lt;&gt;"EX",0,--(COUNTIFS(nNIA,DATOS!$A12439,nCURSO,DATOS!$D12439,nESPEC,DATOS!$E12439,nASIG,DATOS!$I12439,nEVAL,"OR")=0))</f>
      </c>
      <c r="I12439">
        <f>IF(DATOS!$I12439="","",IFERROR(VLOOKUP(DATOS!$I12439,CONFIG_ASIGNATURAS!$B$2:$J$91,9,FALSE()),""))</f>
      </c>
    </row>
    <row r="12440">
      <c r="F12440">
        <f>IF(DATOS!$A12440="","",DATOS!$A12440&amp;"|"&amp;DATOS!$D12440&amp;"|"&amp;DATOS!$E12440&amp;"|"&amp;DATOS!$I12440)</f>
      </c>
      <c r="G12440">
        <f>IF(DATOS!$A12440="",0,IF(CONFIG_METADATA!$B$4&lt;&gt;"OR+EX",--(DATOS!$G12440=CONFIG_METADATA!$B$4),IF(DATOS!$G12440="EX",1,IF(DATOS!$G12440="OR",--(COUNTIFS(nNIA,DATOS!$A12440,nCURSO,DATOS!$D12440,nESPEC,DATOS!$E12440,nASIG,DATOS!$I12440,nEVAL,"EX")=0),0))))</f>
      </c>
      <c r="H12440">
        <f>IF(DATOS!$G12440&lt;&gt;"EX",0,--(COUNTIFS(nNIA,DATOS!$A12440,nCURSO,DATOS!$D12440,nESPEC,DATOS!$E12440,nASIG,DATOS!$I12440,nEVAL,"OR")=0))</f>
      </c>
      <c r="I12440">
        <f>IF(DATOS!$I12440="","",IFERROR(VLOOKUP(DATOS!$I12440,CONFIG_ASIGNATURAS!$B$2:$J$91,9,FALSE()),""))</f>
      </c>
    </row>
    <row r="12441">
      <c r="F12441">
        <f>IF(DATOS!$A12441="","",DATOS!$A12441&amp;"|"&amp;DATOS!$D12441&amp;"|"&amp;DATOS!$E12441&amp;"|"&amp;DATOS!$I12441)</f>
      </c>
      <c r="G12441">
        <f>IF(DATOS!$A12441="",0,IF(CONFIG_METADATA!$B$4&lt;&gt;"OR+EX",--(DATOS!$G12441=CONFIG_METADATA!$B$4),IF(DATOS!$G12441="EX",1,IF(DATOS!$G12441="OR",--(COUNTIFS(nNIA,DATOS!$A12441,nCURSO,DATOS!$D12441,nESPEC,DATOS!$E12441,nASIG,DATOS!$I12441,nEVAL,"EX")=0),0))))</f>
      </c>
      <c r="H12441">
        <f>IF(DATOS!$G12441&lt;&gt;"EX",0,--(COUNTIFS(nNIA,DATOS!$A12441,nCURSO,DATOS!$D12441,nESPEC,DATOS!$E12441,nASIG,DATOS!$I12441,nEVAL,"OR")=0))</f>
      </c>
      <c r="I12441">
        <f>IF(DATOS!$I12441="","",IFERROR(VLOOKUP(DATOS!$I12441,CONFIG_ASIGNATURAS!$B$2:$J$91,9,FALSE()),""))</f>
      </c>
    </row>
    <row r="12442">
      <c r="F12442">
        <f>IF(DATOS!$A12442="","",DATOS!$A12442&amp;"|"&amp;DATOS!$D12442&amp;"|"&amp;DATOS!$E12442&amp;"|"&amp;DATOS!$I12442)</f>
      </c>
      <c r="G12442">
        <f>IF(DATOS!$A12442="",0,IF(CONFIG_METADATA!$B$4&lt;&gt;"OR+EX",--(DATOS!$G12442=CONFIG_METADATA!$B$4),IF(DATOS!$G12442="EX",1,IF(DATOS!$G12442="OR",--(COUNTIFS(nNIA,DATOS!$A12442,nCURSO,DATOS!$D12442,nESPEC,DATOS!$E12442,nASIG,DATOS!$I12442,nEVAL,"EX")=0),0))))</f>
      </c>
      <c r="H12442">
        <f>IF(DATOS!$G12442&lt;&gt;"EX",0,--(COUNTIFS(nNIA,DATOS!$A12442,nCURSO,DATOS!$D12442,nESPEC,DATOS!$E12442,nASIG,DATOS!$I12442,nEVAL,"OR")=0))</f>
      </c>
      <c r="I12442">
        <f>IF(DATOS!$I12442="","",IFERROR(VLOOKUP(DATOS!$I12442,CONFIG_ASIGNATURAS!$B$2:$J$91,9,FALSE()),""))</f>
      </c>
    </row>
    <row r="12443">
      <c r="F12443">
        <f>IF(DATOS!$A12443="","",DATOS!$A12443&amp;"|"&amp;DATOS!$D12443&amp;"|"&amp;DATOS!$E12443&amp;"|"&amp;DATOS!$I12443)</f>
      </c>
      <c r="G12443">
        <f>IF(DATOS!$A12443="",0,IF(CONFIG_METADATA!$B$4&lt;&gt;"OR+EX",--(DATOS!$G12443=CONFIG_METADATA!$B$4),IF(DATOS!$G12443="EX",1,IF(DATOS!$G12443="OR",--(COUNTIFS(nNIA,DATOS!$A12443,nCURSO,DATOS!$D12443,nESPEC,DATOS!$E12443,nASIG,DATOS!$I12443,nEVAL,"EX")=0),0))))</f>
      </c>
      <c r="H12443">
        <f>IF(DATOS!$G12443&lt;&gt;"EX",0,--(COUNTIFS(nNIA,DATOS!$A12443,nCURSO,DATOS!$D12443,nESPEC,DATOS!$E12443,nASIG,DATOS!$I12443,nEVAL,"OR")=0))</f>
      </c>
      <c r="I12443">
        <f>IF(DATOS!$I12443="","",IFERROR(VLOOKUP(DATOS!$I12443,CONFIG_ASIGNATURAS!$B$2:$J$91,9,FALSE()),""))</f>
      </c>
    </row>
    <row r="12444">
      <c r="F12444">
        <f>IF(DATOS!$A12444="","",DATOS!$A12444&amp;"|"&amp;DATOS!$D12444&amp;"|"&amp;DATOS!$E12444&amp;"|"&amp;DATOS!$I12444)</f>
      </c>
      <c r="G12444">
        <f>IF(DATOS!$A12444="",0,IF(CONFIG_METADATA!$B$4&lt;&gt;"OR+EX",--(DATOS!$G12444=CONFIG_METADATA!$B$4),IF(DATOS!$G12444="EX",1,IF(DATOS!$G12444="OR",--(COUNTIFS(nNIA,DATOS!$A12444,nCURSO,DATOS!$D12444,nESPEC,DATOS!$E12444,nASIG,DATOS!$I12444,nEVAL,"EX")=0),0))))</f>
      </c>
      <c r="H12444">
        <f>IF(DATOS!$G12444&lt;&gt;"EX",0,--(COUNTIFS(nNIA,DATOS!$A12444,nCURSO,DATOS!$D12444,nESPEC,DATOS!$E12444,nASIG,DATOS!$I12444,nEVAL,"OR")=0))</f>
      </c>
      <c r="I12444">
        <f>IF(DATOS!$I12444="","",IFERROR(VLOOKUP(DATOS!$I12444,CONFIG_ASIGNATURAS!$B$2:$J$91,9,FALSE()),""))</f>
      </c>
    </row>
    <row r="12445">
      <c r="F12445">
        <f>IF(DATOS!$A12445="","",DATOS!$A12445&amp;"|"&amp;DATOS!$D12445&amp;"|"&amp;DATOS!$E12445&amp;"|"&amp;DATOS!$I12445)</f>
      </c>
      <c r="G12445">
        <f>IF(DATOS!$A12445="",0,IF(CONFIG_METADATA!$B$4&lt;&gt;"OR+EX",--(DATOS!$G12445=CONFIG_METADATA!$B$4),IF(DATOS!$G12445="EX",1,IF(DATOS!$G12445="OR",--(COUNTIFS(nNIA,DATOS!$A12445,nCURSO,DATOS!$D12445,nESPEC,DATOS!$E12445,nASIG,DATOS!$I12445,nEVAL,"EX")=0),0))))</f>
      </c>
      <c r="H12445">
        <f>IF(DATOS!$G12445&lt;&gt;"EX",0,--(COUNTIFS(nNIA,DATOS!$A12445,nCURSO,DATOS!$D12445,nESPEC,DATOS!$E12445,nASIG,DATOS!$I12445,nEVAL,"OR")=0))</f>
      </c>
      <c r="I12445">
        <f>IF(DATOS!$I12445="","",IFERROR(VLOOKUP(DATOS!$I12445,CONFIG_ASIGNATURAS!$B$2:$J$91,9,FALSE()),""))</f>
      </c>
    </row>
    <row r="12446">
      <c r="F12446">
        <f>IF(DATOS!$A12446="","",DATOS!$A12446&amp;"|"&amp;DATOS!$D12446&amp;"|"&amp;DATOS!$E12446&amp;"|"&amp;DATOS!$I12446)</f>
      </c>
      <c r="G12446">
        <f>IF(DATOS!$A12446="",0,IF(CONFIG_METADATA!$B$4&lt;&gt;"OR+EX",--(DATOS!$G12446=CONFIG_METADATA!$B$4),IF(DATOS!$G12446="EX",1,IF(DATOS!$G12446="OR",--(COUNTIFS(nNIA,DATOS!$A12446,nCURSO,DATOS!$D12446,nESPEC,DATOS!$E12446,nASIG,DATOS!$I12446,nEVAL,"EX")=0),0))))</f>
      </c>
      <c r="H12446">
        <f>IF(DATOS!$G12446&lt;&gt;"EX",0,--(COUNTIFS(nNIA,DATOS!$A12446,nCURSO,DATOS!$D12446,nESPEC,DATOS!$E12446,nASIG,DATOS!$I12446,nEVAL,"OR")=0))</f>
      </c>
      <c r="I12446">
        <f>IF(DATOS!$I12446="","",IFERROR(VLOOKUP(DATOS!$I12446,CONFIG_ASIGNATURAS!$B$2:$J$91,9,FALSE()),""))</f>
      </c>
    </row>
    <row r="12447">
      <c r="F12447">
        <f>IF(DATOS!$A12447="","",DATOS!$A12447&amp;"|"&amp;DATOS!$D12447&amp;"|"&amp;DATOS!$E12447&amp;"|"&amp;DATOS!$I12447)</f>
      </c>
      <c r="G12447">
        <f>IF(DATOS!$A12447="",0,IF(CONFIG_METADATA!$B$4&lt;&gt;"OR+EX",--(DATOS!$G12447=CONFIG_METADATA!$B$4),IF(DATOS!$G12447="EX",1,IF(DATOS!$G12447="OR",--(COUNTIFS(nNIA,DATOS!$A12447,nCURSO,DATOS!$D12447,nESPEC,DATOS!$E12447,nASIG,DATOS!$I12447,nEVAL,"EX")=0),0))))</f>
      </c>
      <c r="H12447">
        <f>IF(DATOS!$G12447&lt;&gt;"EX",0,--(COUNTIFS(nNIA,DATOS!$A12447,nCURSO,DATOS!$D12447,nESPEC,DATOS!$E12447,nASIG,DATOS!$I12447,nEVAL,"OR")=0))</f>
      </c>
      <c r="I12447">
        <f>IF(DATOS!$I12447="","",IFERROR(VLOOKUP(DATOS!$I12447,CONFIG_ASIGNATURAS!$B$2:$J$91,9,FALSE()),""))</f>
      </c>
    </row>
    <row r="12448">
      <c r="F12448">
        <f>IF(DATOS!$A12448="","",DATOS!$A12448&amp;"|"&amp;DATOS!$D12448&amp;"|"&amp;DATOS!$E12448&amp;"|"&amp;DATOS!$I12448)</f>
      </c>
      <c r="G12448">
        <f>IF(DATOS!$A12448="",0,IF(CONFIG_METADATA!$B$4&lt;&gt;"OR+EX",--(DATOS!$G12448=CONFIG_METADATA!$B$4),IF(DATOS!$G12448="EX",1,IF(DATOS!$G12448="OR",--(COUNTIFS(nNIA,DATOS!$A12448,nCURSO,DATOS!$D12448,nESPEC,DATOS!$E12448,nASIG,DATOS!$I12448,nEVAL,"EX")=0),0))))</f>
      </c>
      <c r="H12448">
        <f>IF(DATOS!$G12448&lt;&gt;"EX",0,--(COUNTIFS(nNIA,DATOS!$A12448,nCURSO,DATOS!$D12448,nESPEC,DATOS!$E12448,nASIG,DATOS!$I12448,nEVAL,"OR")=0))</f>
      </c>
      <c r="I12448">
        <f>IF(DATOS!$I12448="","",IFERROR(VLOOKUP(DATOS!$I12448,CONFIG_ASIGNATURAS!$B$2:$J$91,9,FALSE()),""))</f>
      </c>
    </row>
    <row r="12449">
      <c r="F12449">
        <f>IF(DATOS!$A12449="","",DATOS!$A12449&amp;"|"&amp;DATOS!$D12449&amp;"|"&amp;DATOS!$E12449&amp;"|"&amp;DATOS!$I12449)</f>
      </c>
      <c r="G12449">
        <f>IF(DATOS!$A12449="",0,IF(CONFIG_METADATA!$B$4&lt;&gt;"OR+EX",--(DATOS!$G12449=CONFIG_METADATA!$B$4),IF(DATOS!$G12449="EX",1,IF(DATOS!$G12449="OR",--(COUNTIFS(nNIA,DATOS!$A12449,nCURSO,DATOS!$D12449,nESPEC,DATOS!$E12449,nASIG,DATOS!$I12449,nEVAL,"EX")=0),0))))</f>
      </c>
      <c r="H12449">
        <f>IF(DATOS!$G12449&lt;&gt;"EX",0,--(COUNTIFS(nNIA,DATOS!$A12449,nCURSO,DATOS!$D12449,nESPEC,DATOS!$E12449,nASIG,DATOS!$I12449,nEVAL,"OR")=0))</f>
      </c>
      <c r="I12449">
        <f>IF(DATOS!$I12449="","",IFERROR(VLOOKUP(DATOS!$I12449,CONFIG_ASIGNATURAS!$B$2:$J$91,9,FALSE()),""))</f>
      </c>
    </row>
    <row r="12450">
      <c r="F12450">
        <f>IF(DATOS!$A12450="","",DATOS!$A12450&amp;"|"&amp;DATOS!$D12450&amp;"|"&amp;DATOS!$E12450&amp;"|"&amp;DATOS!$I12450)</f>
      </c>
      <c r="G12450">
        <f>IF(DATOS!$A12450="",0,IF(CONFIG_METADATA!$B$4&lt;&gt;"OR+EX",--(DATOS!$G12450=CONFIG_METADATA!$B$4),IF(DATOS!$G12450="EX",1,IF(DATOS!$G12450="OR",--(COUNTIFS(nNIA,DATOS!$A12450,nCURSO,DATOS!$D12450,nESPEC,DATOS!$E12450,nASIG,DATOS!$I12450,nEVAL,"EX")=0),0))))</f>
      </c>
      <c r="H12450">
        <f>IF(DATOS!$G12450&lt;&gt;"EX",0,--(COUNTIFS(nNIA,DATOS!$A12450,nCURSO,DATOS!$D12450,nESPEC,DATOS!$E12450,nASIG,DATOS!$I12450,nEVAL,"OR")=0))</f>
      </c>
      <c r="I12450">
        <f>IF(DATOS!$I12450="","",IFERROR(VLOOKUP(DATOS!$I12450,CONFIG_ASIGNATURAS!$B$2:$J$91,9,FALSE()),""))</f>
      </c>
    </row>
    <row r="12451">
      <c r="F12451">
        <f>IF(DATOS!$A12451="","",DATOS!$A12451&amp;"|"&amp;DATOS!$D12451&amp;"|"&amp;DATOS!$E12451&amp;"|"&amp;DATOS!$I12451)</f>
      </c>
      <c r="G12451">
        <f>IF(DATOS!$A12451="",0,IF(CONFIG_METADATA!$B$4&lt;&gt;"OR+EX",--(DATOS!$G12451=CONFIG_METADATA!$B$4),IF(DATOS!$G12451="EX",1,IF(DATOS!$G12451="OR",--(COUNTIFS(nNIA,DATOS!$A12451,nCURSO,DATOS!$D12451,nESPEC,DATOS!$E12451,nASIG,DATOS!$I12451,nEVAL,"EX")=0),0))))</f>
      </c>
      <c r="H12451">
        <f>IF(DATOS!$G12451&lt;&gt;"EX",0,--(COUNTIFS(nNIA,DATOS!$A12451,nCURSO,DATOS!$D12451,nESPEC,DATOS!$E12451,nASIG,DATOS!$I12451,nEVAL,"OR")=0))</f>
      </c>
      <c r="I12451">
        <f>IF(DATOS!$I12451="","",IFERROR(VLOOKUP(DATOS!$I12451,CONFIG_ASIGNATURAS!$B$2:$J$91,9,FALSE()),""))</f>
      </c>
    </row>
    <row r="12452">
      <c r="F12452">
        <f>IF(DATOS!$A12452="","",DATOS!$A12452&amp;"|"&amp;DATOS!$D12452&amp;"|"&amp;DATOS!$E12452&amp;"|"&amp;DATOS!$I12452)</f>
      </c>
      <c r="G12452">
        <f>IF(DATOS!$A12452="",0,IF(CONFIG_METADATA!$B$4&lt;&gt;"OR+EX",--(DATOS!$G12452=CONFIG_METADATA!$B$4),IF(DATOS!$G12452="EX",1,IF(DATOS!$G12452="OR",--(COUNTIFS(nNIA,DATOS!$A12452,nCURSO,DATOS!$D12452,nESPEC,DATOS!$E12452,nASIG,DATOS!$I12452,nEVAL,"EX")=0),0))))</f>
      </c>
      <c r="H12452">
        <f>IF(DATOS!$G12452&lt;&gt;"EX",0,--(COUNTIFS(nNIA,DATOS!$A12452,nCURSO,DATOS!$D12452,nESPEC,DATOS!$E12452,nASIG,DATOS!$I12452,nEVAL,"OR")=0))</f>
      </c>
      <c r="I12452">
        <f>IF(DATOS!$I12452="","",IFERROR(VLOOKUP(DATOS!$I12452,CONFIG_ASIGNATURAS!$B$2:$J$91,9,FALSE()),""))</f>
      </c>
    </row>
    <row r="12453">
      <c r="F12453">
        <f>IF(DATOS!$A12453="","",DATOS!$A12453&amp;"|"&amp;DATOS!$D12453&amp;"|"&amp;DATOS!$E12453&amp;"|"&amp;DATOS!$I12453)</f>
      </c>
      <c r="G12453">
        <f>IF(DATOS!$A12453="",0,IF(CONFIG_METADATA!$B$4&lt;&gt;"OR+EX",--(DATOS!$G12453=CONFIG_METADATA!$B$4),IF(DATOS!$G12453="EX",1,IF(DATOS!$G12453="OR",--(COUNTIFS(nNIA,DATOS!$A12453,nCURSO,DATOS!$D12453,nESPEC,DATOS!$E12453,nASIG,DATOS!$I12453,nEVAL,"EX")=0),0))))</f>
      </c>
      <c r="H12453">
        <f>IF(DATOS!$G12453&lt;&gt;"EX",0,--(COUNTIFS(nNIA,DATOS!$A12453,nCURSO,DATOS!$D12453,nESPEC,DATOS!$E12453,nASIG,DATOS!$I12453,nEVAL,"OR")=0))</f>
      </c>
      <c r="I12453">
        <f>IF(DATOS!$I12453="","",IFERROR(VLOOKUP(DATOS!$I12453,CONFIG_ASIGNATURAS!$B$2:$J$91,9,FALSE()),""))</f>
      </c>
    </row>
    <row r="12454">
      <c r="F12454">
        <f>IF(DATOS!$A12454="","",DATOS!$A12454&amp;"|"&amp;DATOS!$D12454&amp;"|"&amp;DATOS!$E12454&amp;"|"&amp;DATOS!$I12454)</f>
      </c>
      <c r="G12454">
        <f>IF(DATOS!$A12454="",0,IF(CONFIG_METADATA!$B$4&lt;&gt;"OR+EX",--(DATOS!$G12454=CONFIG_METADATA!$B$4),IF(DATOS!$G12454="EX",1,IF(DATOS!$G12454="OR",--(COUNTIFS(nNIA,DATOS!$A12454,nCURSO,DATOS!$D12454,nESPEC,DATOS!$E12454,nASIG,DATOS!$I12454,nEVAL,"EX")=0),0))))</f>
      </c>
      <c r="H12454">
        <f>IF(DATOS!$G12454&lt;&gt;"EX",0,--(COUNTIFS(nNIA,DATOS!$A12454,nCURSO,DATOS!$D12454,nESPEC,DATOS!$E12454,nASIG,DATOS!$I12454,nEVAL,"OR")=0))</f>
      </c>
      <c r="I12454">
        <f>IF(DATOS!$I12454="","",IFERROR(VLOOKUP(DATOS!$I12454,CONFIG_ASIGNATURAS!$B$2:$J$91,9,FALSE()),""))</f>
      </c>
    </row>
    <row r="12455">
      <c r="F12455">
        <f>IF(DATOS!$A12455="","",DATOS!$A12455&amp;"|"&amp;DATOS!$D12455&amp;"|"&amp;DATOS!$E12455&amp;"|"&amp;DATOS!$I12455)</f>
      </c>
      <c r="G12455">
        <f>IF(DATOS!$A12455="",0,IF(CONFIG_METADATA!$B$4&lt;&gt;"OR+EX",--(DATOS!$G12455=CONFIG_METADATA!$B$4),IF(DATOS!$G12455="EX",1,IF(DATOS!$G12455="OR",--(COUNTIFS(nNIA,DATOS!$A12455,nCURSO,DATOS!$D12455,nESPEC,DATOS!$E12455,nASIG,DATOS!$I12455,nEVAL,"EX")=0),0))))</f>
      </c>
      <c r="H12455">
        <f>IF(DATOS!$G12455&lt;&gt;"EX",0,--(COUNTIFS(nNIA,DATOS!$A12455,nCURSO,DATOS!$D12455,nESPEC,DATOS!$E12455,nASIG,DATOS!$I12455,nEVAL,"OR")=0))</f>
      </c>
      <c r="I12455">
        <f>IF(DATOS!$I12455="","",IFERROR(VLOOKUP(DATOS!$I12455,CONFIG_ASIGNATURAS!$B$2:$J$91,9,FALSE()),""))</f>
      </c>
    </row>
    <row r="12456">
      <c r="F12456">
        <f>IF(DATOS!$A12456="","",DATOS!$A12456&amp;"|"&amp;DATOS!$D12456&amp;"|"&amp;DATOS!$E12456&amp;"|"&amp;DATOS!$I12456)</f>
      </c>
      <c r="G12456">
        <f>IF(DATOS!$A12456="",0,IF(CONFIG_METADATA!$B$4&lt;&gt;"OR+EX",--(DATOS!$G12456=CONFIG_METADATA!$B$4),IF(DATOS!$G12456="EX",1,IF(DATOS!$G12456="OR",--(COUNTIFS(nNIA,DATOS!$A12456,nCURSO,DATOS!$D12456,nESPEC,DATOS!$E12456,nASIG,DATOS!$I12456,nEVAL,"EX")=0),0))))</f>
      </c>
      <c r="H12456">
        <f>IF(DATOS!$G12456&lt;&gt;"EX",0,--(COUNTIFS(nNIA,DATOS!$A12456,nCURSO,DATOS!$D12456,nESPEC,DATOS!$E12456,nASIG,DATOS!$I12456,nEVAL,"OR")=0))</f>
      </c>
      <c r="I12456">
        <f>IF(DATOS!$I12456="","",IFERROR(VLOOKUP(DATOS!$I12456,CONFIG_ASIGNATURAS!$B$2:$J$91,9,FALSE()),""))</f>
      </c>
    </row>
    <row r="12457">
      <c r="F12457">
        <f>IF(DATOS!$A12457="","",DATOS!$A12457&amp;"|"&amp;DATOS!$D12457&amp;"|"&amp;DATOS!$E12457&amp;"|"&amp;DATOS!$I12457)</f>
      </c>
      <c r="G12457">
        <f>IF(DATOS!$A12457="",0,IF(CONFIG_METADATA!$B$4&lt;&gt;"OR+EX",--(DATOS!$G12457=CONFIG_METADATA!$B$4),IF(DATOS!$G12457="EX",1,IF(DATOS!$G12457="OR",--(COUNTIFS(nNIA,DATOS!$A12457,nCURSO,DATOS!$D12457,nESPEC,DATOS!$E12457,nASIG,DATOS!$I12457,nEVAL,"EX")=0),0))))</f>
      </c>
      <c r="H12457">
        <f>IF(DATOS!$G12457&lt;&gt;"EX",0,--(COUNTIFS(nNIA,DATOS!$A12457,nCURSO,DATOS!$D12457,nESPEC,DATOS!$E12457,nASIG,DATOS!$I12457,nEVAL,"OR")=0))</f>
      </c>
      <c r="I12457">
        <f>IF(DATOS!$I12457="","",IFERROR(VLOOKUP(DATOS!$I12457,CONFIG_ASIGNATURAS!$B$2:$J$91,9,FALSE()),""))</f>
      </c>
    </row>
    <row r="12458">
      <c r="F12458">
        <f>IF(DATOS!$A12458="","",DATOS!$A12458&amp;"|"&amp;DATOS!$D12458&amp;"|"&amp;DATOS!$E12458&amp;"|"&amp;DATOS!$I12458)</f>
      </c>
      <c r="G12458">
        <f>IF(DATOS!$A12458="",0,IF(CONFIG_METADATA!$B$4&lt;&gt;"OR+EX",--(DATOS!$G12458=CONFIG_METADATA!$B$4),IF(DATOS!$G12458="EX",1,IF(DATOS!$G12458="OR",--(COUNTIFS(nNIA,DATOS!$A12458,nCURSO,DATOS!$D12458,nESPEC,DATOS!$E12458,nASIG,DATOS!$I12458,nEVAL,"EX")=0),0))))</f>
      </c>
      <c r="H12458">
        <f>IF(DATOS!$G12458&lt;&gt;"EX",0,--(COUNTIFS(nNIA,DATOS!$A12458,nCURSO,DATOS!$D12458,nESPEC,DATOS!$E12458,nASIG,DATOS!$I12458,nEVAL,"OR")=0))</f>
      </c>
      <c r="I12458">
        <f>IF(DATOS!$I12458="","",IFERROR(VLOOKUP(DATOS!$I12458,CONFIG_ASIGNATURAS!$B$2:$J$91,9,FALSE()),""))</f>
      </c>
    </row>
    <row r="12459">
      <c r="F12459">
        <f>IF(DATOS!$A12459="","",DATOS!$A12459&amp;"|"&amp;DATOS!$D12459&amp;"|"&amp;DATOS!$E12459&amp;"|"&amp;DATOS!$I12459)</f>
      </c>
      <c r="G12459">
        <f>IF(DATOS!$A12459="",0,IF(CONFIG_METADATA!$B$4&lt;&gt;"OR+EX",--(DATOS!$G12459=CONFIG_METADATA!$B$4),IF(DATOS!$G12459="EX",1,IF(DATOS!$G12459="OR",--(COUNTIFS(nNIA,DATOS!$A12459,nCURSO,DATOS!$D12459,nESPEC,DATOS!$E12459,nASIG,DATOS!$I12459,nEVAL,"EX")=0),0))))</f>
      </c>
      <c r="H12459">
        <f>IF(DATOS!$G12459&lt;&gt;"EX",0,--(COUNTIFS(nNIA,DATOS!$A12459,nCURSO,DATOS!$D12459,nESPEC,DATOS!$E12459,nASIG,DATOS!$I12459,nEVAL,"OR")=0))</f>
      </c>
      <c r="I12459">
        <f>IF(DATOS!$I12459="","",IFERROR(VLOOKUP(DATOS!$I12459,CONFIG_ASIGNATURAS!$B$2:$J$91,9,FALSE()),""))</f>
      </c>
    </row>
    <row r="12460">
      <c r="F12460">
        <f>IF(DATOS!$A12460="","",DATOS!$A12460&amp;"|"&amp;DATOS!$D12460&amp;"|"&amp;DATOS!$E12460&amp;"|"&amp;DATOS!$I12460)</f>
      </c>
      <c r="G12460">
        <f>IF(DATOS!$A12460="",0,IF(CONFIG_METADATA!$B$4&lt;&gt;"OR+EX",--(DATOS!$G12460=CONFIG_METADATA!$B$4),IF(DATOS!$G12460="EX",1,IF(DATOS!$G12460="OR",--(COUNTIFS(nNIA,DATOS!$A12460,nCURSO,DATOS!$D12460,nESPEC,DATOS!$E12460,nASIG,DATOS!$I12460,nEVAL,"EX")=0),0))))</f>
      </c>
      <c r="H12460">
        <f>IF(DATOS!$G12460&lt;&gt;"EX",0,--(COUNTIFS(nNIA,DATOS!$A12460,nCURSO,DATOS!$D12460,nESPEC,DATOS!$E12460,nASIG,DATOS!$I12460,nEVAL,"OR")=0))</f>
      </c>
      <c r="I12460">
        <f>IF(DATOS!$I12460="","",IFERROR(VLOOKUP(DATOS!$I12460,CONFIG_ASIGNATURAS!$B$2:$J$91,9,FALSE()),""))</f>
      </c>
    </row>
    <row r="12461">
      <c r="F12461">
        <f>IF(DATOS!$A12461="","",DATOS!$A12461&amp;"|"&amp;DATOS!$D12461&amp;"|"&amp;DATOS!$E12461&amp;"|"&amp;DATOS!$I12461)</f>
      </c>
      <c r="G12461">
        <f>IF(DATOS!$A12461="",0,IF(CONFIG_METADATA!$B$4&lt;&gt;"OR+EX",--(DATOS!$G12461=CONFIG_METADATA!$B$4),IF(DATOS!$G12461="EX",1,IF(DATOS!$G12461="OR",--(COUNTIFS(nNIA,DATOS!$A12461,nCURSO,DATOS!$D12461,nESPEC,DATOS!$E12461,nASIG,DATOS!$I12461,nEVAL,"EX")=0),0))))</f>
      </c>
      <c r="H12461">
        <f>IF(DATOS!$G12461&lt;&gt;"EX",0,--(COUNTIFS(nNIA,DATOS!$A12461,nCURSO,DATOS!$D12461,nESPEC,DATOS!$E12461,nASIG,DATOS!$I12461,nEVAL,"OR")=0))</f>
      </c>
      <c r="I12461">
        <f>IF(DATOS!$I12461="","",IFERROR(VLOOKUP(DATOS!$I12461,CONFIG_ASIGNATURAS!$B$2:$J$91,9,FALSE()),""))</f>
      </c>
    </row>
    <row r="12462">
      <c r="F12462">
        <f>IF(DATOS!$A12462="","",DATOS!$A12462&amp;"|"&amp;DATOS!$D12462&amp;"|"&amp;DATOS!$E12462&amp;"|"&amp;DATOS!$I12462)</f>
      </c>
      <c r="G12462">
        <f>IF(DATOS!$A12462="",0,IF(CONFIG_METADATA!$B$4&lt;&gt;"OR+EX",--(DATOS!$G12462=CONFIG_METADATA!$B$4),IF(DATOS!$G12462="EX",1,IF(DATOS!$G12462="OR",--(COUNTIFS(nNIA,DATOS!$A12462,nCURSO,DATOS!$D12462,nESPEC,DATOS!$E12462,nASIG,DATOS!$I12462,nEVAL,"EX")=0),0))))</f>
      </c>
      <c r="H12462">
        <f>IF(DATOS!$G12462&lt;&gt;"EX",0,--(COUNTIFS(nNIA,DATOS!$A12462,nCURSO,DATOS!$D12462,nESPEC,DATOS!$E12462,nASIG,DATOS!$I12462,nEVAL,"OR")=0))</f>
      </c>
      <c r="I12462">
        <f>IF(DATOS!$I12462="","",IFERROR(VLOOKUP(DATOS!$I12462,CONFIG_ASIGNATURAS!$B$2:$J$91,9,FALSE()),""))</f>
      </c>
    </row>
    <row r="12463">
      <c r="F12463">
        <f>IF(DATOS!$A12463="","",DATOS!$A12463&amp;"|"&amp;DATOS!$D12463&amp;"|"&amp;DATOS!$E12463&amp;"|"&amp;DATOS!$I12463)</f>
      </c>
      <c r="G12463">
        <f>IF(DATOS!$A12463="",0,IF(CONFIG_METADATA!$B$4&lt;&gt;"OR+EX",--(DATOS!$G12463=CONFIG_METADATA!$B$4),IF(DATOS!$G12463="EX",1,IF(DATOS!$G12463="OR",--(COUNTIFS(nNIA,DATOS!$A12463,nCURSO,DATOS!$D12463,nESPEC,DATOS!$E12463,nASIG,DATOS!$I12463,nEVAL,"EX")=0),0))))</f>
      </c>
      <c r="H12463">
        <f>IF(DATOS!$G12463&lt;&gt;"EX",0,--(COUNTIFS(nNIA,DATOS!$A12463,nCURSO,DATOS!$D12463,nESPEC,DATOS!$E12463,nASIG,DATOS!$I12463,nEVAL,"OR")=0))</f>
      </c>
      <c r="I12463">
        <f>IF(DATOS!$I12463="","",IFERROR(VLOOKUP(DATOS!$I12463,CONFIG_ASIGNATURAS!$B$2:$J$91,9,FALSE()),""))</f>
      </c>
    </row>
    <row r="12464">
      <c r="F12464">
        <f>IF(DATOS!$A12464="","",DATOS!$A12464&amp;"|"&amp;DATOS!$D12464&amp;"|"&amp;DATOS!$E12464&amp;"|"&amp;DATOS!$I12464)</f>
      </c>
      <c r="G12464">
        <f>IF(DATOS!$A12464="",0,IF(CONFIG_METADATA!$B$4&lt;&gt;"OR+EX",--(DATOS!$G12464=CONFIG_METADATA!$B$4),IF(DATOS!$G12464="EX",1,IF(DATOS!$G12464="OR",--(COUNTIFS(nNIA,DATOS!$A12464,nCURSO,DATOS!$D12464,nESPEC,DATOS!$E12464,nASIG,DATOS!$I12464,nEVAL,"EX")=0),0))))</f>
      </c>
      <c r="H12464">
        <f>IF(DATOS!$G12464&lt;&gt;"EX",0,--(COUNTIFS(nNIA,DATOS!$A12464,nCURSO,DATOS!$D12464,nESPEC,DATOS!$E12464,nASIG,DATOS!$I12464,nEVAL,"OR")=0))</f>
      </c>
      <c r="I12464">
        <f>IF(DATOS!$I12464="","",IFERROR(VLOOKUP(DATOS!$I12464,CONFIG_ASIGNATURAS!$B$2:$J$91,9,FALSE()),""))</f>
      </c>
    </row>
    <row r="12465">
      <c r="F12465">
        <f>IF(DATOS!$A12465="","",DATOS!$A12465&amp;"|"&amp;DATOS!$D12465&amp;"|"&amp;DATOS!$E12465&amp;"|"&amp;DATOS!$I12465)</f>
      </c>
      <c r="G12465">
        <f>IF(DATOS!$A12465="",0,IF(CONFIG_METADATA!$B$4&lt;&gt;"OR+EX",--(DATOS!$G12465=CONFIG_METADATA!$B$4),IF(DATOS!$G12465="EX",1,IF(DATOS!$G12465="OR",--(COUNTIFS(nNIA,DATOS!$A12465,nCURSO,DATOS!$D12465,nESPEC,DATOS!$E12465,nASIG,DATOS!$I12465,nEVAL,"EX")=0),0))))</f>
      </c>
      <c r="H12465">
        <f>IF(DATOS!$G12465&lt;&gt;"EX",0,--(COUNTIFS(nNIA,DATOS!$A12465,nCURSO,DATOS!$D12465,nESPEC,DATOS!$E12465,nASIG,DATOS!$I12465,nEVAL,"OR")=0))</f>
      </c>
      <c r="I12465">
        <f>IF(DATOS!$I12465="","",IFERROR(VLOOKUP(DATOS!$I12465,CONFIG_ASIGNATURAS!$B$2:$J$91,9,FALSE()),""))</f>
      </c>
    </row>
    <row r="12466">
      <c r="F12466">
        <f>IF(DATOS!$A12466="","",DATOS!$A12466&amp;"|"&amp;DATOS!$D12466&amp;"|"&amp;DATOS!$E12466&amp;"|"&amp;DATOS!$I12466)</f>
      </c>
      <c r="G12466">
        <f>IF(DATOS!$A12466="",0,IF(CONFIG_METADATA!$B$4&lt;&gt;"OR+EX",--(DATOS!$G12466=CONFIG_METADATA!$B$4),IF(DATOS!$G12466="EX",1,IF(DATOS!$G12466="OR",--(COUNTIFS(nNIA,DATOS!$A12466,nCURSO,DATOS!$D12466,nESPEC,DATOS!$E12466,nASIG,DATOS!$I12466,nEVAL,"EX")=0),0))))</f>
      </c>
      <c r="H12466">
        <f>IF(DATOS!$G12466&lt;&gt;"EX",0,--(COUNTIFS(nNIA,DATOS!$A12466,nCURSO,DATOS!$D12466,nESPEC,DATOS!$E12466,nASIG,DATOS!$I12466,nEVAL,"OR")=0))</f>
      </c>
      <c r="I12466">
        <f>IF(DATOS!$I12466="","",IFERROR(VLOOKUP(DATOS!$I12466,CONFIG_ASIGNATURAS!$B$2:$J$91,9,FALSE()),""))</f>
      </c>
    </row>
    <row r="12467">
      <c r="F12467">
        <f>IF(DATOS!$A12467="","",DATOS!$A12467&amp;"|"&amp;DATOS!$D12467&amp;"|"&amp;DATOS!$E12467&amp;"|"&amp;DATOS!$I12467)</f>
      </c>
      <c r="G12467">
        <f>IF(DATOS!$A12467="",0,IF(CONFIG_METADATA!$B$4&lt;&gt;"OR+EX",--(DATOS!$G12467=CONFIG_METADATA!$B$4),IF(DATOS!$G12467="EX",1,IF(DATOS!$G12467="OR",--(COUNTIFS(nNIA,DATOS!$A12467,nCURSO,DATOS!$D12467,nESPEC,DATOS!$E12467,nASIG,DATOS!$I12467,nEVAL,"EX")=0),0))))</f>
      </c>
      <c r="H12467">
        <f>IF(DATOS!$G12467&lt;&gt;"EX",0,--(COUNTIFS(nNIA,DATOS!$A12467,nCURSO,DATOS!$D12467,nESPEC,DATOS!$E12467,nASIG,DATOS!$I12467,nEVAL,"OR")=0))</f>
      </c>
      <c r="I12467">
        <f>IF(DATOS!$I12467="","",IFERROR(VLOOKUP(DATOS!$I12467,CONFIG_ASIGNATURAS!$B$2:$J$91,9,FALSE()),""))</f>
      </c>
    </row>
    <row r="12468">
      <c r="F12468">
        <f>IF(DATOS!$A12468="","",DATOS!$A12468&amp;"|"&amp;DATOS!$D12468&amp;"|"&amp;DATOS!$E12468&amp;"|"&amp;DATOS!$I12468)</f>
      </c>
      <c r="G12468">
        <f>IF(DATOS!$A12468="",0,IF(CONFIG_METADATA!$B$4&lt;&gt;"OR+EX",--(DATOS!$G12468=CONFIG_METADATA!$B$4),IF(DATOS!$G12468="EX",1,IF(DATOS!$G12468="OR",--(COUNTIFS(nNIA,DATOS!$A12468,nCURSO,DATOS!$D12468,nESPEC,DATOS!$E12468,nASIG,DATOS!$I12468,nEVAL,"EX")=0),0))))</f>
      </c>
      <c r="H12468">
        <f>IF(DATOS!$G12468&lt;&gt;"EX",0,--(COUNTIFS(nNIA,DATOS!$A12468,nCURSO,DATOS!$D12468,nESPEC,DATOS!$E12468,nASIG,DATOS!$I12468,nEVAL,"OR")=0))</f>
      </c>
      <c r="I12468">
        <f>IF(DATOS!$I12468="","",IFERROR(VLOOKUP(DATOS!$I12468,CONFIG_ASIGNATURAS!$B$2:$J$91,9,FALSE()),""))</f>
      </c>
    </row>
    <row r="12469">
      <c r="F12469">
        <f>IF(DATOS!$A12469="","",DATOS!$A12469&amp;"|"&amp;DATOS!$D12469&amp;"|"&amp;DATOS!$E12469&amp;"|"&amp;DATOS!$I12469)</f>
      </c>
      <c r="G12469">
        <f>IF(DATOS!$A12469="",0,IF(CONFIG_METADATA!$B$4&lt;&gt;"OR+EX",--(DATOS!$G12469=CONFIG_METADATA!$B$4),IF(DATOS!$G12469="EX",1,IF(DATOS!$G12469="OR",--(COUNTIFS(nNIA,DATOS!$A12469,nCURSO,DATOS!$D12469,nESPEC,DATOS!$E12469,nASIG,DATOS!$I12469,nEVAL,"EX")=0),0))))</f>
      </c>
      <c r="H12469">
        <f>IF(DATOS!$G12469&lt;&gt;"EX",0,--(COUNTIFS(nNIA,DATOS!$A12469,nCURSO,DATOS!$D12469,nESPEC,DATOS!$E12469,nASIG,DATOS!$I12469,nEVAL,"OR")=0))</f>
      </c>
      <c r="I12469">
        <f>IF(DATOS!$I12469="","",IFERROR(VLOOKUP(DATOS!$I12469,CONFIG_ASIGNATURAS!$B$2:$J$91,9,FALSE()),""))</f>
      </c>
    </row>
    <row r="12470">
      <c r="F12470">
        <f>IF(DATOS!$A12470="","",DATOS!$A12470&amp;"|"&amp;DATOS!$D12470&amp;"|"&amp;DATOS!$E12470&amp;"|"&amp;DATOS!$I12470)</f>
      </c>
      <c r="G12470">
        <f>IF(DATOS!$A12470="",0,IF(CONFIG_METADATA!$B$4&lt;&gt;"OR+EX",--(DATOS!$G12470=CONFIG_METADATA!$B$4),IF(DATOS!$G12470="EX",1,IF(DATOS!$G12470="OR",--(COUNTIFS(nNIA,DATOS!$A12470,nCURSO,DATOS!$D12470,nESPEC,DATOS!$E12470,nASIG,DATOS!$I12470,nEVAL,"EX")=0),0))))</f>
      </c>
      <c r="H12470">
        <f>IF(DATOS!$G12470&lt;&gt;"EX",0,--(COUNTIFS(nNIA,DATOS!$A12470,nCURSO,DATOS!$D12470,nESPEC,DATOS!$E12470,nASIG,DATOS!$I12470,nEVAL,"OR")=0))</f>
      </c>
      <c r="I12470">
        <f>IF(DATOS!$I12470="","",IFERROR(VLOOKUP(DATOS!$I12470,CONFIG_ASIGNATURAS!$B$2:$J$91,9,FALSE()),""))</f>
      </c>
    </row>
    <row r="12471">
      <c r="F12471">
        <f>IF(DATOS!$A12471="","",DATOS!$A12471&amp;"|"&amp;DATOS!$D12471&amp;"|"&amp;DATOS!$E12471&amp;"|"&amp;DATOS!$I12471)</f>
      </c>
      <c r="G12471">
        <f>IF(DATOS!$A12471="",0,IF(CONFIG_METADATA!$B$4&lt;&gt;"OR+EX",--(DATOS!$G12471=CONFIG_METADATA!$B$4),IF(DATOS!$G12471="EX",1,IF(DATOS!$G12471="OR",--(COUNTIFS(nNIA,DATOS!$A12471,nCURSO,DATOS!$D12471,nESPEC,DATOS!$E12471,nASIG,DATOS!$I12471,nEVAL,"EX")=0),0))))</f>
      </c>
      <c r="H12471">
        <f>IF(DATOS!$G12471&lt;&gt;"EX",0,--(COUNTIFS(nNIA,DATOS!$A12471,nCURSO,DATOS!$D12471,nESPEC,DATOS!$E12471,nASIG,DATOS!$I12471,nEVAL,"OR")=0))</f>
      </c>
      <c r="I12471">
        <f>IF(DATOS!$I12471="","",IFERROR(VLOOKUP(DATOS!$I12471,CONFIG_ASIGNATURAS!$B$2:$J$91,9,FALSE()),""))</f>
      </c>
    </row>
    <row r="12472">
      <c r="F12472">
        <f>IF(DATOS!$A12472="","",DATOS!$A12472&amp;"|"&amp;DATOS!$D12472&amp;"|"&amp;DATOS!$E12472&amp;"|"&amp;DATOS!$I12472)</f>
      </c>
      <c r="G12472">
        <f>IF(DATOS!$A12472="",0,IF(CONFIG_METADATA!$B$4&lt;&gt;"OR+EX",--(DATOS!$G12472=CONFIG_METADATA!$B$4),IF(DATOS!$G12472="EX",1,IF(DATOS!$G12472="OR",--(COUNTIFS(nNIA,DATOS!$A12472,nCURSO,DATOS!$D12472,nESPEC,DATOS!$E12472,nASIG,DATOS!$I12472,nEVAL,"EX")=0),0))))</f>
      </c>
      <c r="H12472">
        <f>IF(DATOS!$G12472&lt;&gt;"EX",0,--(COUNTIFS(nNIA,DATOS!$A12472,nCURSO,DATOS!$D12472,nESPEC,DATOS!$E12472,nASIG,DATOS!$I12472,nEVAL,"OR")=0))</f>
      </c>
      <c r="I12472">
        <f>IF(DATOS!$I12472="","",IFERROR(VLOOKUP(DATOS!$I12472,CONFIG_ASIGNATURAS!$B$2:$J$91,9,FALSE()),""))</f>
      </c>
    </row>
    <row r="12473">
      <c r="F12473">
        <f>IF(DATOS!$A12473="","",DATOS!$A12473&amp;"|"&amp;DATOS!$D12473&amp;"|"&amp;DATOS!$E12473&amp;"|"&amp;DATOS!$I12473)</f>
      </c>
      <c r="G12473">
        <f>IF(DATOS!$A12473="",0,IF(CONFIG_METADATA!$B$4&lt;&gt;"OR+EX",--(DATOS!$G12473=CONFIG_METADATA!$B$4),IF(DATOS!$G12473="EX",1,IF(DATOS!$G12473="OR",--(COUNTIFS(nNIA,DATOS!$A12473,nCURSO,DATOS!$D12473,nESPEC,DATOS!$E12473,nASIG,DATOS!$I12473,nEVAL,"EX")=0),0))))</f>
      </c>
      <c r="H12473">
        <f>IF(DATOS!$G12473&lt;&gt;"EX",0,--(COUNTIFS(nNIA,DATOS!$A12473,nCURSO,DATOS!$D12473,nESPEC,DATOS!$E12473,nASIG,DATOS!$I12473,nEVAL,"OR")=0))</f>
      </c>
      <c r="I12473">
        <f>IF(DATOS!$I12473="","",IFERROR(VLOOKUP(DATOS!$I12473,CONFIG_ASIGNATURAS!$B$2:$J$91,9,FALSE()),""))</f>
      </c>
    </row>
    <row r="12474">
      <c r="F12474">
        <f>IF(DATOS!$A12474="","",DATOS!$A12474&amp;"|"&amp;DATOS!$D12474&amp;"|"&amp;DATOS!$E12474&amp;"|"&amp;DATOS!$I12474)</f>
      </c>
      <c r="G12474">
        <f>IF(DATOS!$A12474="",0,IF(CONFIG_METADATA!$B$4&lt;&gt;"OR+EX",--(DATOS!$G12474=CONFIG_METADATA!$B$4),IF(DATOS!$G12474="EX",1,IF(DATOS!$G12474="OR",--(COUNTIFS(nNIA,DATOS!$A12474,nCURSO,DATOS!$D12474,nESPEC,DATOS!$E12474,nASIG,DATOS!$I12474,nEVAL,"EX")=0),0))))</f>
      </c>
      <c r="H12474">
        <f>IF(DATOS!$G12474&lt;&gt;"EX",0,--(COUNTIFS(nNIA,DATOS!$A12474,nCURSO,DATOS!$D12474,nESPEC,DATOS!$E12474,nASIG,DATOS!$I12474,nEVAL,"OR")=0))</f>
      </c>
      <c r="I12474">
        <f>IF(DATOS!$I12474="","",IFERROR(VLOOKUP(DATOS!$I12474,CONFIG_ASIGNATURAS!$B$2:$J$91,9,FALSE()),""))</f>
      </c>
    </row>
    <row r="12475">
      <c r="F12475">
        <f>IF(DATOS!$A12475="","",DATOS!$A12475&amp;"|"&amp;DATOS!$D12475&amp;"|"&amp;DATOS!$E12475&amp;"|"&amp;DATOS!$I12475)</f>
      </c>
      <c r="G12475">
        <f>IF(DATOS!$A12475="",0,IF(CONFIG_METADATA!$B$4&lt;&gt;"OR+EX",--(DATOS!$G12475=CONFIG_METADATA!$B$4),IF(DATOS!$G12475="EX",1,IF(DATOS!$G12475="OR",--(COUNTIFS(nNIA,DATOS!$A12475,nCURSO,DATOS!$D12475,nESPEC,DATOS!$E12475,nASIG,DATOS!$I12475,nEVAL,"EX")=0),0))))</f>
      </c>
      <c r="H12475">
        <f>IF(DATOS!$G12475&lt;&gt;"EX",0,--(COUNTIFS(nNIA,DATOS!$A12475,nCURSO,DATOS!$D12475,nESPEC,DATOS!$E12475,nASIG,DATOS!$I12475,nEVAL,"OR")=0))</f>
      </c>
      <c r="I12475">
        <f>IF(DATOS!$I12475="","",IFERROR(VLOOKUP(DATOS!$I12475,CONFIG_ASIGNATURAS!$B$2:$J$91,9,FALSE()),""))</f>
      </c>
    </row>
    <row r="12476">
      <c r="F12476">
        <f>IF(DATOS!$A12476="","",DATOS!$A12476&amp;"|"&amp;DATOS!$D12476&amp;"|"&amp;DATOS!$E12476&amp;"|"&amp;DATOS!$I12476)</f>
      </c>
      <c r="G12476">
        <f>IF(DATOS!$A12476="",0,IF(CONFIG_METADATA!$B$4&lt;&gt;"OR+EX",--(DATOS!$G12476=CONFIG_METADATA!$B$4),IF(DATOS!$G12476="EX",1,IF(DATOS!$G12476="OR",--(COUNTIFS(nNIA,DATOS!$A12476,nCURSO,DATOS!$D12476,nESPEC,DATOS!$E12476,nASIG,DATOS!$I12476,nEVAL,"EX")=0),0))))</f>
      </c>
      <c r="H12476">
        <f>IF(DATOS!$G12476&lt;&gt;"EX",0,--(COUNTIFS(nNIA,DATOS!$A12476,nCURSO,DATOS!$D12476,nESPEC,DATOS!$E12476,nASIG,DATOS!$I12476,nEVAL,"OR")=0))</f>
      </c>
      <c r="I12476">
        <f>IF(DATOS!$I12476="","",IFERROR(VLOOKUP(DATOS!$I12476,CONFIG_ASIGNATURAS!$B$2:$J$91,9,FALSE()),""))</f>
      </c>
    </row>
    <row r="12477">
      <c r="F12477">
        <f>IF(DATOS!$A12477="","",DATOS!$A12477&amp;"|"&amp;DATOS!$D12477&amp;"|"&amp;DATOS!$E12477&amp;"|"&amp;DATOS!$I12477)</f>
      </c>
      <c r="G12477">
        <f>IF(DATOS!$A12477="",0,IF(CONFIG_METADATA!$B$4&lt;&gt;"OR+EX",--(DATOS!$G12477=CONFIG_METADATA!$B$4),IF(DATOS!$G12477="EX",1,IF(DATOS!$G12477="OR",--(COUNTIFS(nNIA,DATOS!$A12477,nCURSO,DATOS!$D12477,nESPEC,DATOS!$E12477,nASIG,DATOS!$I12477,nEVAL,"EX")=0),0))))</f>
      </c>
      <c r="H12477">
        <f>IF(DATOS!$G12477&lt;&gt;"EX",0,--(COUNTIFS(nNIA,DATOS!$A12477,nCURSO,DATOS!$D12477,nESPEC,DATOS!$E12477,nASIG,DATOS!$I12477,nEVAL,"OR")=0))</f>
      </c>
      <c r="I12477">
        <f>IF(DATOS!$I12477="","",IFERROR(VLOOKUP(DATOS!$I12477,CONFIG_ASIGNATURAS!$B$2:$J$91,9,FALSE()),""))</f>
      </c>
    </row>
    <row r="12478">
      <c r="F12478">
        <f>IF(DATOS!$A12478="","",DATOS!$A12478&amp;"|"&amp;DATOS!$D12478&amp;"|"&amp;DATOS!$E12478&amp;"|"&amp;DATOS!$I12478)</f>
      </c>
      <c r="G12478">
        <f>IF(DATOS!$A12478="",0,IF(CONFIG_METADATA!$B$4&lt;&gt;"OR+EX",--(DATOS!$G12478=CONFIG_METADATA!$B$4),IF(DATOS!$G12478="EX",1,IF(DATOS!$G12478="OR",--(COUNTIFS(nNIA,DATOS!$A12478,nCURSO,DATOS!$D12478,nESPEC,DATOS!$E12478,nASIG,DATOS!$I12478,nEVAL,"EX")=0),0))))</f>
      </c>
      <c r="H12478">
        <f>IF(DATOS!$G12478&lt;&gt;"EX",0,--(COUNTIFS(nNIA,DATOS!$A12478,nCURSO,DATOS!$D12478,nESPEC,DATOS!$E12478,nASIG,DATOS!$I12478,nEVAL,"OR")=0))</f>
      </c>
      <c r="I12478">
        <f>IF(DATOS!$I12478="","",IFERROR(VLOOKUP(DATOS!$I12478,CONFIG_ASIGNATURAS!$B$2:$J$91,9,FALSE()),""))</f>
      </c>
    </row>
    <row r="12479">
      <c r="F12479">
        <f>IF(DATOS!$A12479="","",DATOS!$A12479&amp;"|"&amp;DATOS!$D12479&amp;"|"&amp;DATOS!$E12479&amp;"|"&amp;DATOS!$I12479)</f>
      </c>
      <c r="G12479">
        <f>IF(DATOS!$A12479="",0,IF(CONFIG_METADATA!$B$4&lt;&gt;"OR+EX",--(DATOS!$G12479=CONFIG_METADATA!$B$4),IF(DATOS!$G12479="EX",1,IF(DATOS!$G12479="OR",--(COUNTIFS(nNIA,DATOS!$A12479,nCURSO,DATOS!$D12479,nESPEC,DATOS!$E12479,nASIG,DATOS!$I12479,nEVAL,"EX")=0),0))))</f>
      </c>
      <c r="H12479">
        <f>IF(DATOS!$G12479&lt;&gt;"EX",0,--(COUNTIFS(nNIA,DATOS!$A12479,nCURSO,DATOS!$D12479,nESPEC,DATOS!$E12479,nASIG,DATOS!$I12479,nEVAL,"OR")=0))</f>
      </c>
      <c r="I12479">
        <f>IF(DATOS!$I12479="","",IFERROR(VLOOKUP(DATOS!$I12479,CONFIG_ASIGNATURAS!$B$2:$J$91,9,FALSE()),""))</f>
      </c>
    </row>
    <row r="12480">
      <c r="F12480">
        <f>IF(DATOS!$A12480="","",DATOS!$A12480&amp;"|"&amp;DATOS!$D12480&amp;"|"&amp;DATOS!$E12480&amp;"|"&amp;DATOS!$I12480)</f>
      </c>
      <c r="G12480">
        <f>IF(DATOS!$A12480="",0,IF(CONFIG_METADATA!$B$4&lt;&gt;"OR+EX",--(DATOS!$G12480=CONFIG_METADATA!$B$4),IF(DATOS!$G12480="EX",1,IF(DATOS!$G12480="OR",--(COUNTIFS(nNIA,DATOS!$A12480,nCURSO,DATOS!$D12480,nESPEC,DATOS!$E12480,nASIG,DATOS!$I12480,nEVAL,"EX")=0),0))))</f>
      </c>
      <c r="H12480">
        <f>IF(DATOS!$G12480&lt;&gt;"EX",0,--(COUNTIFS(nNIA,DATOS!$A12480,nCURSO,DATOS!$D12480,nESPEC,DATOS!$E12480,nASIG,DATOS!$I12480,nEVAL,"OR")=0))</f>
      </c>
      <c r="I12480">
        <f>IF(DATOS!$I12480="","",IFERROR(VLOOKUP(DATOS!$I12480,CONFIG_ASIGNATURAS!$B$2:$J$91,9,FALSE()),""))</f>
      </c>
    </row>
    <row r="12481">
      <c r="F12481">
        <f>IF(DATOS!$A12481="","",DATOS!$A12481&amp;"|"&amp;DATOS!$D12481&amp;"|"&amp;DATOS!$E12481&amp;"|"&amp;DATOS!$I12481)</f>
      </c>
      <c r="G12481">
        <f>IF(DATOS!$A12481="",0,IF(CONFIG_METADATA!$B$4&lt;&gt;"OR+EX",--(DATOS!$G12481=CONFIG_METADATA!$B$4),IF(DATOS!$G12481="EX",1,IF(DATOS!$G12481="OR",--(COUNTIFS(nNIA,DATOS!$A12481,nCURSO,DATOS!$D12481,nESPEC,DATOS!$E12481,nASIG,DATOS!$I12481,nEVAL,"EX")=0),0))))</f>
      </c>
      <c r="H12481">
        <f>IF(DATOS!$G12481&lt;&gt;"EX",0,--(COUNTIFS(nNIA,DATOS!$A12481,nCURSO,DATOS!$D12481,nESPEC,DATOS!$E12481,nASIG,DATOS!$I12481,nEVAL,"OR")=0))</f>
      </c>
      <c r="I12481">
        <f>IF(DATOS!$I12481="","",IFERROR(VLOOKUP(DATOS!$I12481,CONFIG_ASIGNATURAS!$B$2:$J$91,9,FALSE()),""))</f>
      </c>
    </row>
    <row r="12482">
      <c r="F12482">
        <f>IF(DATOS!$A12482="","",DATOS!$A12482&amp;"|"&amp;DATOS!$D12482&amp;"|"&amp;DATOS!$E12482&amp;"|"&amp;DATOS!$I12482)</f>
      </c>
      <c r="G12482">
        <f>IF(DATOS!$A12482="",0,IF(CONFIG_METADATA!$B$4&lt;&gt;"OR+EX",--(DATOS!$G12482=CONFIG_METADATA!$B$4),IF(DATOS!$G12482="EX",1,IF(DATOS!$G12482="OR",--(COUNTIFS(nNIA,DATOS!$A12482,nCURSO,DATOS!$D12482,nESPEC,DATOS!$E12482,nASIG,DATOS!$I12482,nEVAL,"EX")=0),0))))</f>
      </c>
      <c r="H12482">
        <f>IF(DATOS!$G12482&lt;&gt;"EX",0,--(COUNTIFS(nNIA,DATOS!$A12482,nCURSO,DATOS!$D12482,nESPEC,DATOS!$E12482,nASIG,DATOS!$I12482,nEVAL,"OR")=0))</f>
      </c>
      <c r="I12482">
        <f>IF(DATOS!$I12482="","",IFERROR(VLOOKUP(DATOS!$I12482,CONFIG_ASIGNATURAS!$B$2:$J$91,9,FALSE()),""))</f>
      </c>
    </row>
    <row r="12483">
      <c r="F12483">
        <f>IF(DATOS!$A12483="","",DATOS!$A12483&amp;"|"&amp;DATOS!$D12483&amp;"|"&amp;DATOS!$E12483&amp;"|"&amp;DATOS!$I12483)</f>
      </c>
      <c r="G12483">
        <f>IF(DATOS!$A12483="",0,IF(CONFIG_METADATA!$B$4&lt;&gt;"OR+EX",--(DATOS!$G12483=CONFIG_METADATA!$B$4),IF(DATOS!$G12483="EX",1,IF(DATOS!$G12483="OR",--(COUNTIFS(nNIA,DATOS!$A12483,nCURSO,DATOS!$D12483,nESPEC,DATOS!$E12483,nASIG,DATOS!$I12483,nEVAL,"EX")=0),0))))</f>
      </c>
      <c r="H12483">
        <f>IF(DATOS!$G12483&lt;&gt;"EX",0,--(COUNTIFS(nNIA,DATOS!$A12483,nCURSO,DATOS!$D12483,nESPEC,DATOS!$E12483,nASIG,DATOS!$I12483,nEVAL,"OR")=0))</f>
      </c>
      <c r="I12483">
        <f>IF(DATOS!$I12483="","",IFERROR(VLOOKUP(DATOS!$I12483,CONFIG_ASIGNATURAS!$B$2:$J$91,9,FALSE()),""))</f>
      </c>
    </row>
    <row r="12484">
      <c r="F12484">
        <f>IF(DATOS!$A12484="","",DATOS!$A12484&amp;"|"&amp;DATOS!$D12484&amp;"|"&amp;DATOS!$E12484&amp;"|"&amp;DATOS!$I12484)</f>
      </c>
      <c r="G12484">
        <f>IF(DATOS!$A12484="",0,IF(CONFIG_METADATA!$B$4&lt;&gt;"OR+EX",--(DATOS!$G12484=CONFIG_METADATA!$B$4),IF(DATOS!$G12484="EX",1,IF(DATOS!$G12484="OR",--(COUNTIFS(nNIA,DATOS!$A12484,nCURSO,DATOS!$D12484,nESPEC,DATOS!$E12484,nASIG,DATOS!$I12484,nEVAL,"EX")=0),0))))</f>
      </c>
      <c r="H12484">
        <f>IF(DATOS!$G12484&lt;&gt;"EX",0,--(COUNTIFS(nNIA,DATOS!$A12484,nCURSO,DATOS!$D12484,nESPEC,DATOS!$E12484,nASIG,DATOS!$I12484,nEVAL,"OR")=0))</f>
      </c>
      <c r="I12484">
        <f>IF(DATOS!$I12484="","",IFERROR(VLOOKUP(DATOS!$I12484,CONFIG_ASIGNATURAS!$B$2:$J$91,9,FALSE()),""))</f>
      </c>
    </row>
    <row r="12485">
      <c r="F12485">
        <f>IF(DATOS!$A12485="","",DATOS!$A12485&amp;"|"&amp;DATOS!$D12485&amp;"|"&amp;DATOS!$E12485&amp;"|"&amp;DATOS!$I12485)</f>
      </c>
      <c r="G12485">
        <f>IF(DATOS!$A12485="",0,IF(CONFIG_METADATA!$B$4&lt;&gt;"OR+EX",--(DATOS!$G12485=CONFIG_METADATA!$B$4),IF(DATOS!$G12485="EX",1,IF(DATOS!$G12485="OR",--(COUNTIFS(nNIA,DATOS!$A12485,nCURSO,DATOS!$D12485,nESPEC,DATOS!$E12485,nASIG,DATOS!$I12485,nEVAL,"EX")=0),0))))</f>
      </c>
      <c r="H12485">
        <f>IF(DATOS!$G12485&lt;&gt;"EX",0,--(COUNTIFS(nNIA,DATOS!$A12485,nCURSO,DATOS!$D12485,nESPEC,DATOS!$E12485,nASIG,DATOS!$I12485,nEVAL,"OR")=0))</f>
      </c>
      <c r="I12485">
        <f>IF(DATOS!$I12485="","",IFERROR(VLOOKUP(DATOS!$I12485,CONFIG_ASIGNATURAS!$B$2:$J$91,9,FALSE()),""))</f>
      </c>
    </row>
    <row r="12486">
      <c r="F12486">
        <f>IF(DATOS!$A12486="","",DATOS!$A12486&amp;"|"&amp;DATOS!$D12486&amp;"|"&amp;DATOS!$E12486&amp;"|"&amp;DATOS!$I12486)</f>
      </c>
      <c r="G12486">
        <f>IF(DATOS!$A12486="",0,IF(CONFIG_METADATA!$B$4&lt;&gt;"OR+EX",--(DATOS!$G12486=CONFIG_METADATA!$B$4),IF(DATOS!$G12486="EX",1,IF(DATOS!$G12486="OR",--(COUNTIFS(nNIA,DATOS!$A12486,nCURSO,DATOS!$D12486,nESPEC,DATOS!$E12486,nASIG,DATOS!$I12486,nEVAL,"EX")=0),0))))</f>
      </c>
      <c r="H12486">
        <f>IF(DATOS!$G12486&lt;&gt;"EX",0,--(COUNTIFS(nNIA,DATOS!$A12486,nCURSO,DATOS!$D12486,nESPEC,DATOS!$E12486,nASIG,DATOS!$I12486,nEVAL,"OR")=0))</f>
      </c>
      <c r="I12486">
        <f>IF(DATOS!$I12486="","",IFERROR(VLOOKUP(DATOS!$I12486,CONFIG_ASIGNATURAS!$B$2:$J$91,9,FALSE()),""))</f>
      </c>
    </row>
    <row r="12487">
      <c r="F12487">
        <f>IF(DATOS!$A12487="","",DATOS!$A12487&amp;"|"&amp;DATOS!$D12487&amp;"|"&amp;DATOS!$E12487&amp;"|"&amp;DATOS!$I12487)</f>
      </c>
      <c r="G12487">
        <f>IF(DATOS!$A12487="",0,IF(CONFIG_METADATA!$B$4&lt;&gt;"OR+EX",--(DATOS!$G12487=CONFIG_METADATA!$B$4),IF(DATOS!$G12487="EX",1,IF(DATOS!$G12487="OR",--(COUNTIFS(nNIA,DATOS!$A12487,nCURSO,DATOS!$D12487,nESPEC,DATOS!$E12487,nASIG,DATOS!$I12487,nEVAL,"EX")=0),0))))</f>
      </c>
      <c r="H12487">
        <f>IF(DATOS!$G12487&lt;&gt;"EX",0,--(COUNTIFS(nNIA,DATOS!$A12487,nCURSO,DATOS!$D12487,nESPEC,DATOS!$E12487,nASIG,DATOS!$I12487,nEVAL,"OR")=0))</f>
      </c>
      <c r="I12487">
        <f>IF(DATOS!$I12487="","",IFERROR(VLOOKUP(DATOS!$I12487,CONFIG_ASIGNATURAS!$B$2:$J$91,9,FALSE()),""))</f>
      </c>
    </row>
    <row r="12488">
      <c r="F12488">
        <f>IF(DATOS!$A12488="","",DATOS!$A12488&amp;"|"&amp;DATOS!$D12488&amp;"|"&amp;DATOS!$E12488&amp;"|"&amp;DATOS!$I12488)</f>
      </c>
      <c r="G12488">
        <f>IF(DATOS!$A12488="",0,IF(CONFIG_METADATA!$B$4&lt;&gt;"OR+EX",--(DATOS!$G12488=CONFIG_METADATA!$B$4),IF(DATOS!$G12488="EX",1,IF(DATOS!$G12488="OR",--(COUNTIFS(nNIA,DATOS!$A12488,nCURSO,DATOS!$D12488,nESPEC,DATOS!$E12488,nASIG,DATOS!$I12488,nEVAL,"EX")=0),0))))</f>
      </c>
      <c r="H12488">
        <f>IF(DATOS!$G12488&lt;&gt;"EX",0,--(COUNTIFS(nNIA,DATOS!$A12488,nCURSO,DATOS!$D12488,nESPEC,DATOS!$E12488,nASIG,DATOS!$I12488,nEVAL,"OR")=0))</f>
      </c>
      <c r="I12488">
        <f>IF(DATOS!$I12488="","",IFERROR(VLOOKUP(DATOS!$I12488,CONFIG_ASIGNATURAS!$B$2:$J$91,9,FALSE()),""))</f>
      </c>
    </row>
    <row r="12489">
      <c r="F12489">
        <f>IF(DATOS!$A12489="","",DATOS!$A12489&amp;"|"&amp;DATOS!$D12489&amp;"|"&amp;DATOS!$E12489&amp;"|"&amp;DATOS!$I12489)</f>
      </c>
      <c r="G12489">
        <f>IF(DATOS!$A12489="",0,IF(CONFIG_METADATA!$B$4&lt;&gt;"OR+EX",--(DATOS!$G12489=CONFIG_METADATA!$B$4),IF(DATOS!$G12489="EX",1,IF(DATOS!$G12489="OR",--(COUNTIFS(nNIA,DATOS!$A12489,nCURSO,DATOS!$D12489,nESPEC,DATOS!$E12489,nASIG,DATOS!$I12489,nEVAL,"EX")=0),0))))</f>
      </c>
      <c r="H12489">
        <f>IF(DATOS!$G12489&lt;&gt;"EX",0,--(COUNTIFS(nNIA,DATOS!$A12489,nCURSO,DATOS!$D12489,nESPEC,DATOS!$E12489,nASIG,DATOS!$I12489,nEVAL,"OR")=0))</f>
      </c>
      <c r="I12489">
        <f>IF(DATOS!$I12489="","",IFERROR(VLOOKUP(DATOS!$I12489,CONFIG_ASIGNATURAS!$B$2:$J$91,9,FALSE()),""))</f>
      </c>
    </row>
    <row r="12490">
      <c r="F12490">
        <f>IF(DATOS!$A12490="","",DATOS!$A12490&amp;"|"&amp;DATOS!$D12490&amp;"|"&amp;DATOS!$E12490&amp;"|"&amp;DATOS!$I12490)</f>
      </c>
      <c r="G12490">
        <f>IF(DATOS!$A12490="",0,IF(CONFIG_METADATA!$B$4&lt;&gt;"OR+EX",--(DATOS!$G12490=CONFIG_METADATA!$B$4),IF(DATOS!$G12490="EX",1,IF(DATOS!$G12490="OR",--(COUNTIFS(nNIA,DATOS!$A12490,nCURSO,DATOS!$D12490,nESPEC,DATOS!$E12490,nASIG,DATOS!$I12490,nEVAL,"EX")=0),0))))</f>
      </c>
      <c r="H12490">
        <f>IF(DATOS!$G12490&lt;&gt;"EX",0,--(COUNTIFS(nNIA,DATOS!$A12490,nCURSO,DATOS!$D12490,nESPEC,DATOS!$E12490,nASIG,DATOS!$I12490,nEVAL,"OR")=0))</f>
      </c>
      <c r="I12490">
        <f>IF(DATOS!$I12490="","",IFERROR(VLOOKUP(DATOS!$I12490,CONFIG_ASIGNATURAS!$B$2:$J$91,9,FALSE()),""))</f>
      </c>
    </row>
    <row r="12491">
      <c r="F12491">
        <f>IF(DATOS!$A12491="","",DATOS!$A12491&amp;"|"&amp;DATOS!$D12491&amp;"|"&amp;DATOS!$E12491&amp;"|"&amp;DATOS!$I12491)</f>
      </c>
      <c r="G12491">
        <f>IF(DATOS!$A12491="",0,IF(CONFIG_METADATA!$B$4&lt;&gt;"OR+EX",--(DATOS!$G12491=CONFIG_METADATA!$B$4),IF(DATOS!$G12491="EX",1,IF(DATOS!$G12491="OR",--(COUNTIFS(nNIA,DATOS!$A12491,nCURSO,DATOS!$D12491,nESPEC,DATOS!$E12491,nASIG,DATOS!$I12491,nEVAL,"EX")=0),0))))</f>
      </c>
      <c r="H12491">
        <f>IF(DATOS!$G12491&lt;&gt;"EX",0,--(COUNTIFS(nNIA,DATOS!$A12491,nCURSO,DATOS!$D12491,nESPEC,DATOS!$E12491,nASIG,DATOS!$I12491,nEVAL,"OR")=0))</f>
      </c>
      <c r="I12491">
        <f>IF(DATOS!$I12491="","",IFERROR(VLOOKUP(DATOS!$I12491,CONFIG_ASIGNATURAS!$B$2:$J$91,9,FALSE()),""))</f>
      </c>
    </row>
    <row r="12492">
      <c r="F12492">
        <f>IF(DATOS!$A12492="","",DATOS!$A12492&amp;"|"&amp;DATOS!$D12492&amp;"|"&amp;DATOS!$E12492&amp;"|"&amp;DATOS!$I12492)</f>
      </c>
      <c r="G12492">
        <f>IF(DATOS!$A12492="",0,IF(CONFIG_METADATA!$B$4&lt;&gt;"OR+EX",--(DATOS!$G12492=CONFIG_METADATA!$B$4),IF(DATOS!$G12492="EX",1,IF(DATOS!$G12492="OR",--(COUNTIFS(nNIA,DATOS!$A12492,nCURSO,DATOS!$D12492,nESPEC,DATOS!$E12492,nASIG,DATOS!$I12492,nEVAL,"EX")=0),0))))</f>
      </c>
      <c r="H12492">
        <f>IF(DATOS!$G12492&lt;&gt;"EX",0,--(COUNTIFS(nNIA,DATOS!$A12492,nCURSO,DATOS!$D12492,nESPEC,DATOS!$E12492,nASIG,DATOS!$I12492,nEVAL,"OR")=0))</f>
      </c>
      <c r="I12492">
        <f>IF(DATOS!$I12492="","",IFERROR(VLOOKUP(DATOS!$I12492,CONFIG_ASIGNATURAS!$B$2:$J$91,9,FALSE()),""))</f>
      </c>
    </row>
    <row r="12493">
      <c r="F12493">
        <f>IF(DATOS!$A12493="","",DATOS!$A12493&amp;"|"&amp;DATOS!$D12493&amp;"|"&amp;DATOS!$E12493&amp;"|"&amp;DATOS!$I12493)</f>
      </c>
      <c r="G12493">
        <f>IF(DATOS!$A12493="",0,IF(CONFIG_METADATA!$B$4&lt;&gt;"OR+EX",--(DATOS!$G12493=CONFIG_METADATA!$B$4),IF(DATOS!$G12493="EX",1,IF(DATOS!$G12493="OR",--(COUNTIFS(nNIA,DATOS!$A12493,nCURSO,DATOS!$D12493,nESPEC,DATOS!$E12493,nASIG,DATOS!$I12493,nEVAL,"EX")=0),0))))</f>
      </c>
      <c r="H12493">
        <f>IF(DATOS!$G12493&lt;&gt;"EX",0,--(COUNTIFS(nNIA,DATOS!$A12493,nCURSO,DATOS!$D12493,nESPEC,DATOS!$E12493,nASIG,DATOS!$I12493,nEVAL,"OR")=0))</f>
      </c>
      <c r="I12493">
        <f>IF(DATOS!$I12493="","",IFERROR(VLOOKUP(DATOS!$I12493,CONFIG_ASIGNATURAS!$B$2:$J$91,9,FALSE()),""))</f>
      </c>
    </row>
    <row r="12494">
      <c r="F12494">
        <f>IF(DATOS!$A12494="","",DATOS!$A12494&amp;"|"&amp;DATOS!$D12494&amp;"|"&amp;DATOS!$E12494&amp;"|"&amp;DATOS!$I12494)</f>
      </c>
      <c r="G12494">
        <f>IF(DATOS!$A12494="",0,IF(CONFIG_METADATA!$B$4&lt;&gt;"OR+EX",--(DATOS!$G12494=CONFIG_METADATA!$B$4),IF(DATOS!$G12494="EX",1,IF(DATOS!$G12494="OR",--(COUNTIFS(nNIA,DATOS!$A12494,nCURSO,DATOS!$D12494,nESPEC,DATOS!$E12494,nASIG,DATOS!$I12494,nEVAL,"EX")=0),0))))</f>
      </c>
      <c r="H12494">
        <f>IF(DATOS!$G12494&lt;&gt;"EX",0,--(COUNTIFS(nNIA,DATOS!$A12494,nCURSO,DATOS!$D12494,nESPEC,DATOS!$E12494,nASIG,DATOS!$I12494,nEVAL,"OR")=0))</f>
      </c>
      <c r="I12494">
        <f>IF(DATOS!$I12494="","",IFERROR(VLOOKUP(DATOS!$I12494,CONFIG_ASIGNATURAS!$B$2:$J$91,9,FALSE()),""))</f>
      </c>
    </row>
    <row r="12495">
      <c r="F12495">
        <f>IF(DATOS!$A12495="","",DATOS!$A12495&amp;"|"&amp;DATOS!$D12495&amp;"|"&amp;DATOS!$E12495&amp;"|"&amp;DATOS!$I12495)</f>
      </c>
      <c r="G12495">
        <f>IF(DATOS!$A12495="",0,IF(CONFIG_METADATA!$B$4&lt;&gt;"OR+EX",--(DATOS!$G12495=CONFIG_METADATA!$B$4),IF(DATOS!$G12495="EX",1,IF(DATOS!$G12495="OR",--(COUNTIFS(nNIA,DATOS!$A12495,nCURSO,DATOS!$D12495,nESPEC,DATOS!$E12495,nASIG,DATOS!$I12495,nEVAL,"EX")=0),0))))</f>
      </c>
      <c r="H12495">
        <f>IF(DATOS!$G12495&lt;&gt;"EX",0,--(COUNTIFS(nNIA,DATOS!$A12495,nCURSO,DATOS!$D12495,nESPEC,DATOS!$E12495,nASIG,DATOS!$I12495,nEVAL,"OR")=0))</f>
      </c>
      <c r="I12495">
        <f>IF(DATOS!$I12495="","",IFERROR(VLOOKUP(DATOS!$I12495,CONFIG_ASIGNATURAS!$B$2:$J$91,9,FALSE()),""))</f>
      </c>
    </row>
    <row r="12496">
      <c r="F12496">
        <f>IF(DATOS!$A12496="","",DATOS!$A12496&amp;"|"&amp;DATOS!$D12496&amp;"|"&amp;DATOS!$E12496&amp;"|"&amp;DATOS!$I12496)</f>
      </c>
      <c r="G12496">
        <f>IF(DATOS!$A12496="",0,IF(CONFIG_METADATA!$B$4&lt;&gt;"OR+EX",--(DATOS!$G12496=CONFIG_METADATA!$B$4),IF(DATOS!$G12496="EX",1,IF(DATOS!$G12496="OR",--(COUNTIFS(nNIA,DATOS!$A12496,nCURSO,DATOS!$D12496,nESPEC,DATOS!$E12496,nASIG,DATOS!$I12496,nEVAL,"EX")=0),0))))</f>
      </c>
      <c r="H12496">
        <f>IF(DATOS!$G12496&lt;&gt;"EX",0,--(COUNTIFS(nNIA,DATOS!$A12496,nCURSO,DATOS!$D12496,nESPEC,DATOS!$E12496,nASIG,DATOS!$I12496,nEVAL,"OR")=0))</f>
      </c>
      <c r="I12496">
        <f>IF(DATOS!$I12496="","",IFERROR(VLOOKUP(DATOS!$I12496,CONFIG_ASIGNATURAS!$B$2:$J$91,9,FALSE()),""))</f>
      </c>
    </row>
    <row r="12497">
      <c r="F12497">
        <f>IF(DATOS!$A12497="","",DATOS!$A12497&amp;"|"&amp;DATOS!$D12497&amp;"|"&amp;DATOS!$E12497&amp;"|"&amp;DATOS!$I12497)</f>
      </c>
      <c r="G12497">
        <f>IF(DATOS!$A12497="",0,IF(CONFIG_METADATA!$B$4&lt;&gt;"OR+EX",--(DATOS!$G12497=CONFIG_METADATA!$B$4),IF(DATOS!$G12497="EX",1,IF(DATOS!$G12497="OR",--(COUNTIFS(nNIA,DATOS!$A12497,nCURSO,DATOS!$D12497,nESPEC,DATOS!$E12497,nASIG,DATOS!$I12497,nEVAL,"EX")=0),0))))</f>
      </c>
      <c r="H12497">
        <f>IF(DATOS!$G12497&lt;&gt;"EX",0,--(COUNTIFS(nNIA,DATOS!$A12497,nCURSO,DATOS!$D12497,nESPEC,DATOS!$E12497,nASIG,DATOS!$I12497,nEVAL,"OR")=0))</f>
      </c>
      <c r="I12497">
        <f>IF(DATOS!$I12497="","",IFERROR(VLOOKUP(DATOS!$I12497,CONFIG_ASIGNATURAS!$B$2:$J$91,9,FALSE()),""))</f>
      </c>
    </row>
    <row r="12498">
      <c r="F12498">
        <f>IF(DATOS!$A12498="","",DATOS!$A12498&amp;"|"&amp;DATOS!$D12498&amp;"|"&amp;DATOS!$E12498&amp;"|"&amp;DATOS!$I12498)</f>
      </c>
      <c r="G12498">
        <f>IF(DATOS!$A12498="",0,IF(CONFIG_METADATA!$B$4&lt;&gt;"OR+EX",--(DATOS!$G12498=CONFIG_METADATA!$B$4),IF(DATOS!$G12498="EX",1,IF(DATOS!$G12498="OR",--(COUNTIFS(nNIA,DATOS!$A12498,nCURSO,DATOS!$D12498,nESPEC,DATOS!$E12498,nASIG,DATOS!$I12498,nEVAL,"EX")=0),0))))</f>
      </c>
      <c r="H12498">
        <f>IF(DATOS!$G12498&lt;&gt;"EX",0,--(COUNTIFS(nNIA,DATOS!$A12498,nCURSO,DATOS!$D12498,nESPEC,DATOS!$E12498,nASIG,DATOS!$I12498,nEVAL,"OR")=0))</f>
      </c>
      <c r="I12498">
        <f>IF(DATOS!$I12498="","",IFERROR(VLOOKUP(DATOS!$I12498,CONFIG_ASIGNATURAS!$B$2:$J$91,9,FALSE()),""))</f>
      </c>
    </row>
    <row r="12499">
      <c r="F12499">
        <f>IF(DATOS!$A12499="","",DATOS!$A12499&amp;"|"&amp;DATOS!$D12499&amp;"|"&amp;DATOS!$E12499&amp;"|"&amp;DATOS!$I12499)</f>
      </c>
      <c r="G12499">
        <f>IF(DATOS!$A12499="",0,IF(CONFIG_METADATA!$B$4&lt;&gt;"OR+EX",--(DATOS!$G12499=CONFIG_METADATA!$B$4),IF(DATOS!$G12499="EX",1,IF(DATOS!$G12499="OR",--(COUNTIFS(nNIA,DATOS!$A12499,nCURSO,DATOS!$D12499,nESPEC,DATOS!$E12499,nASIG,DATOS!$I12499,nEVAL,"EX")=0),0))))</f>
      </c>
      <c r="H12499">
        <f>IF(DATOS!$G12499&lt;&gt;"EX",0,--(COUNTIFS(nNIA,DATOS!$A12499,nCURSO,DATOS!$D12499,nESPEC,DATOS!$E12499,nASIG,DATOS!$I12499,nEVAL,"OR")=0))</f>
      </c>
      <c r="I12499">
        <f>IF(DATOS!$I12499="","",IFERROR(VLOOKUP(DATOS!$I12499,CONFIG_ASIGNATURAS!$B$2:$J$91,9,FALSE()),""))</f>
      </c>
    </row>
    <row r="12500">
      <c r="F12500">
        <f>IF(DATOS!$A12500="","",DATOS!$A12500&amp;"|"&amp;DATOS!$D12500&amp;"|"&amp;DATOS!$E12500&amp;"|"&amp;DATOS!$I12500)</f>
      </c>
      <c r="G12500">
        <f>IF(DATOS!$A12500="",0,IF(CONFIG_METADATA!$B$4&lt;&gt;"OR+EX",--(DATOS!$G12500=CONFIG_METADATA!$B$4),IF(DATOS!$G12500="EX",1,IF(DATOS!$G12500="OR",--(COUNTIFS(nNIA,DATOS!$A12500,nCURSO,DATOS!$D12500,nESPEC,DATOS!$E12500,nASIG,DATOS!$I12500,nEVAL,"EX")=0),0))))</f>
      </c>
      <c r="H12500">
        <f>IF(DATOS!$G12500&lt;&gt;"EX",0,--(COUNTIFS(nNIA,DATOS!$A12500,nCURSO,DATOS!$D12500,nESPEC,DATOS!$E12500,nASIG,DATOS!$I12500,nEVAL,"OR")=0))</f>
      </c>
      <c r="I12500">
        <f>IF(DATOS!$I12500="","",IFERROR(VLOOKUP(DATOS!$I12500,CONFIG_ASIGNATURAS!$B$2:$J$91,9,FALSE()),""))</f>
      </c>
    </row>
    <row r="12501">
      <c r="F12501">
        <f>IF(DATOS!$A12501="","",DATOS!$A12501&amp;"|"&amp;DATOS!$D12501&amp;"|"&amp;DATOS!$E12501&amp;"|"&amp;DATOS!$I12501)</f>
      </c>
      <c r="G12501">
        <f>IF(DATOS!$A12501="",0,IF(CONFIG_METADATA!$B$4&lt;&gt;"OR+EX",--(DATOS!$G12501=CONFIG_METADATA!$B$4),IF(DATOS!$G12501="EX",1,IF(DATOS!$G12501="OR",--(COUNTIFS(nNIA,DATOS!$A12501,nCURSO,DATOS!$D12501,nESPEC,DATOS!$E12501,nASIG,DATOS!$I12501,nEVAL,"EX")=0),0))))</f>
      </c>
      <c r="H12501">
        <f>IF(DATOS!$G12501&lt;&gt;"EX",0,--(COUNTIFS(nNIA,DATOS!$A12501,nCURSO,DATOS!$D12501,nESPEC,DATOS!$E12501,nASIG,DATOS!$I12501,nEVAL,"OR")=0))</f>
      </c>
      <c r="I12501">
        <f>IF(DATOS!$I12501="","",IFERROR(VLOOKUP(DATOS!$I12501,CONFIG_ASIGNATURAS!$B$2:$J$91,9,FALSE()),""))</f>
      </c>
    </row>
    <row r="12502">
      <c r="F12502">
        <f>IF(DATOS!$A12502="","",DATOS!$A12502&amp;"|"&amp;DATOS!$D12502&amp;"|"&amp;DATOS!$E12502&amp;"|"&amp;DATOS!$I12502)</f>
      </c>
      <c r="G12502">
        <f>IF(DATOS!$A12502="",0,IF(CONFIG_METADATA!$B$4&lt;&gt;"OR+EX",--(DATOS!$G12502=CONFIG_METADATA!$B$4),IF(DATOS!$G12502="EX",1,IF(DATOS!$G12502="OR",--(COUNTIFS(nNIA,DATOS!$A12502,nCURSO,DATOS!$D12502,nESPEC,DATOS!$E12502,nASIG,DATOS!$I12502,nEVAL,"EX")=0),0))))</f>
      </c>
      <c r="H12502">
        <f>IF(DATOS!$G12502&lt;&gt;"EX",0,--(COUNTIFS(nNIA,DATOS!$A12502,nCURSO,DATOS!$D12502,nESPEC,DATOS!$E12502,nASIG,DATOS!$I12502,nEVAL,"OR")=0))</f>
      </c>
      <c r="I12502">
        <f>IF(DATOS!$I12502="","",IFERROR(VLOOKUP(DATOS!$I12502,CONFIG_ASIGNATURAS!$B$2:$J$91,9,FALSE()),""))</f>
      </c>
    </row>
    <row r="12503">
      <c r="F12503">
        <f>IF(DATOS!$A12503="","",DATOS!$A12503&amp;"|"&amp;DATOS!$D12503&amp;"|"&amp;DATOS!$E12503&amp;"|"&amp;DATOS!$I12503)</f>
      </c>
      <c r="G12503">
        <f>IF(DATOS!$A12503="",0,IF(CONFIG_METADATA!$B$4&lt;&gt;"OR+EX",--(DATOS!$G12503=CONFIG_METADATA!$B$4),IF(DATOS!$G12503="EX",1,IF(DATOS!$G12503="OR",--(COUNTIFS(nNIA,DATOS!$A12503,nCURSO,DATOS!$D12503,nESPEC,DATOS!$E12503,nASIG,DATOS!$I12503,nEVAL,"EX")=0),0))))</f>
      </c>
      <c r="H12503">
        <f>IF(DATOS!$G12503&lt;&gt;"EX",0,--(COUNTIFS(nNIA,DATOS!$A12503,nCURSO,DATOS!$D12503,nESPEC,DATOS!$E12503,nASIG,DATOS!$I12503,nEVAL,"OR")=0))</f>
      </c>
      <c r="I12503">
        <f>IF(DATOS!$I12503="","",IFERROR(VLOOKUP(DATOS!$I12503,CONFIG_ASIGNATURAS!$B$2:$J$91,9,FALSE()),""))</f>
      </c>
    </row>
    <row r="12504">
      <c r="F12504">
        <f>IF(DATOS!$A12504="","",DATOS!$A12504&amp;"|"&amp;DATOS!$D12504&amp;"|"&amp;DATOS!$E12504&amp;"|"&amp;DATOS!$I12504)</f>
      </c>
      <c r="G12504">
        <f>IF(DATOS!$A12504="",0,IF(CONFIG_METADATA!$B$4&lt;&gt;"OR+EX",--(DATOS!$G12504=CONFIG_METADATA!$B$4),IF(DATOS!$G12504="EX",1,IF(DATOS!$G12504="OR",--(COUNTIFS(nNIA,DATOS!$A12504,nCURSO,DATOS!$D12504,nESPEC,DATOS!$E12504,nASIG,DATOS!$I12504,nEVAL,"EX")=0),0))))</f>
      </c>
      <c r="H12504">
        <f>IF(DATOS!$G12504&lt;&gt;"EX",0,--(COUNTIFS(nNIA,DATOS!$A12504,nCURSO,DATOS!$D12504,nESPEC,DATOS!$E12504,nASIG,DATOS!$I12504,nEVAL,"OR")=0))</f>
      </c>
      <c r="I12504">
        <f>IF(DATOS!$I12504="","",IFERROR(VLOOKUP(DATOS!$I12504,CONFIG_ASIGNATURAS!$B$2:$J$91,9,FALSE()),""))</f>
      </c>
    </row>
    <row r="12505">
      <c r="F12505">
        <f>IF(DATOS!$A12505="","",DATOS!$A12505&amp;"|"&amp;DATOS!$D12505&amp;"|"&amp;DATOS!$E12505&amp;"|"&amp;DATOS!$I12505)</f>
      </c>
      <c r="G12505">
        <f>IF(DATOS!$A12505="",0,IF(CONFIG_METADATA!$B$4&lt;&gt;"OR+EX",--(DATOS!$G12505=CONFIG_METADATA!$B$4),IF(DATOS!$G12505="EX",1,IF(DATOS!$G12505="OR",--(COUNTIFS(nNIA,DATOS!$A12505,nCURSO,DATOS!$D12505,nESPEC,DATOS!$E12505,nASIG,DATOS!$I12505,nEVAL,"EX")=0),0))))</f>
      </c>
      <c r="H12505">
        <f>IF(DATOS!$G12505&lt;&gt;"EX",0,--(COUNTIFS(nNIA,DATOS!$A12505,nCURSO,DATOS!$D12505,nESPEC,DATOS!$E12505,nASIG,DATOS!$I12505,nEVAL,"OR")=0))</f>
      </c>
      <c r="I12505">
        <f>IF(DATOS!$I12505="","",IFERROR(VLOOKUP(DATOS!$I12505,CONFIG_ASIGNATURAS!$B$2:$J$91,9,FALSE()),""))</f>
      </c>
    </row>
    <row r="12506">
      <c r="F12506">
        <f>IF(DATOS!$A12506="","",DATOS!$A12506&amp;"|"&amp;DATOS!$D12506&amp;"|"&amp;DATOS!$E12506&amp;"|"&amp;DATOS!$I12506)</f>
      </c>
      <c r="G12506">
        <f>IF(DATOS!$A12506="",0,IF(CONFIG_METADATA!$B$4&lt;&gt;"OR+EX",--(DATOS!$G12506=CONFIG_METADATA!$B$4),IF(DATOS!$G12506="EX",1,IF(DATOS!$G12506="OR",--(COUNTIFS(nNIA,DATOS!$A12506,nCURSO,DATOS!$D12506,nESPEC,DATOS!$E12506,nASIG,DATOS!$I12506,nEVAL,"EX")=0),0))))</f>
      </c>
      <c r="H12506">
        <f>IF(DATOS!$G12506&lt;&gt;"EX",0,--(COUNTIFS(nNIA,DATOS!$A12506,nCURSO,DATOS!$D12506,nESPEC,DATOS!$E12506,nASIG,DATOS!$I12506,nEVAL,"OR")=0))</f>
      </c>
      <c r="I12506">
        <f>IF(DATOS!$I12506="","",IFERROR(VLOOKUP(DATOS!$I12506,CONFIG_ASIGNATURAS!$B$2:$J$91,9,FALSE()),""))</f>
      </c>
    </row>
    <row r="12507">
      <c r="F12507">
        <f>IF(DATOS!$A12507="","",DATOS!$A12507&amp;"|"&amp;DATOS!$D12507&amp;"|"&amp;DATOS!$E12507&amp;"|"&amp;DATOS!$I12507)</f>
      </c>
      <c r="G12507">
        <f>IF(DATOS!$A12507="",0,IF(CONFIG_METADATA!$B$4&lt;&gt;"OR+EX",--(DATOS!$G12507=CONFIG_METADATA!$B$4),IF(DATOS!$G12507="EX",1,IF(DATOS!$G12507="OR",--(COUNTIFS(nNIA,DATOS!$A12507,nCURSO,DATOS!$D12507,nESPEC,DATOS!$E12507,nASIG,DATOS!$I12507,nEVAL,"EX")=0),0))))</f>
      </c>
      <c r="H12507">
        <f>IF(DATOS!$G12507&lt;&gt;"EX",0,--(COUNTIFS(nNIA,DATOS!$A12507,nCURSO,DATOS!$D12507,nESPEC,DATOS!$E12507,nASIG,DATOS!$I12507,nEVAL,"OR")=0))</f>
      </c>
      <c r="I12507">
        <f>IF(DATOS!$I12507="","",IFERROR(VLOOKUP(DATOS!$I12507,CONFIG_ASIGNATURAS!$B$2:$J$91,9,FALSE()),""))</f>
      </c>
    </row>
    <row r="12508">
      <c r="F12508">
        <f>IF(DATOS!$A12508="","",DATOS!$A12508&amp;"|"&amp;DATOS!$D12508&amp;"|"&amp;DATOS!$E12508&amp;"|"&amp;DATOS!$I12508)</f>
      </c>
      <c r="G12508">
        <f>IF(DATOS!$A12508="",0,IF(CONFIG_METADATA!$B$4&lt;&gt;"OR+EX",--(DATOS!$G12508=CONFIG_METADATA!$B$4),IF(DATOS!$G12508="EX",1,IF(DATOS!$G12508="OR",--(COUNTIFS(nNIA,DATOS!$A12508,nCURSO,DATOS!$D12508,nESPEC,DATOS!$E12508,nASIG,DATOS!$I12508,nEVAL,"EX")=0),0))))</f>
      </c>
      <c r="H12508">
        <f>IF(DATOS!$G12508&lt;&gt;"EX",0,--(COUNTIFS(nNIA,DATOS!$A12508,nCURSO,DATOS!$D12508,nESPEC,DATOS!$E12508,nASIG,DATOS!$I12508,nEVAL,"OR")=0))</f>
      </c>
      <c r="I12508">
        <f>IF(DATOS!$I12508="","",IFERROR(VLOOKUP(DATOS!$I12508,CONFIG_ASIGNATURAS!$B$2:$J$91,9,FALSE()),""))</f>
      </c>
    </row>
    <row r="12509">
      <c r="F12509">
        <f>IF(DATOS!$A12509="","",DATOS!$A12509&amp;"|"&amp;DATOS!$D12509&amp;"|"&amp;DATOS!$E12509&amp;"|"&amp;DATOS!$I12509)</f>
      </c>
      <c r="G12509">
        <f>IF(DATOS!$A12509="",0,IF(CONFIG_METADATA!$B$4&lt;&gt;"OR+EX",--(DATOS!$G12509=CONFIG_METADATA!$B$4),IF(DATOS!$G12509="EX",1,IF(DATOS!$G12509="OR",--(COUNTIFS(nNIA,DATOS!$A12509,nCURSO,DATOS!$D12509,nESPEC,DATOS!$E12509,nASIG,DATOS!$I12509,nEVAL,"EX")=0),0))))</f>
      </c>
      <c r="H12509">
        <f>IF(DATOS!$G12509&lt;&gt;"EX",0,--(COUNTIFS(nNIA,DATOS!$A12509,nCURSO,DATOS!$D12509,nESPEC,DATOS!$E12509,nASIG,DATOS!$I12509,nEVAL,"OR")=0))</f>
      </c>
      <c r="I12509">
        <f>IF(DATOS!$I12509="","",IFERROR(VLOOKUP(DATOS!$I12509,CONFIG_ASIGNATURAS!$B$2:$J$91,9,FALSE()),""))</f>
      </c>
    </row>
    <row r="12510">
      <c r="F12510">
        <f>IF(DATOS!$A12510="","",DATOS!$A12510&amp;"|"&amp;DATOS!$D12510&amp;"|"&amp;DATOS!$E12510&amp;"|"&amp;DATOS!$I12510)</f>
      </c>
      <c r="G12510">
        <f>IF(DATOS!$A12510="",0,IF(CONFIG_METADATA!$B$4&lt;&gt;"OR+EX",--(DATOS!$G12510=CONFIG_METADATA!$B$4),IF(DATOS!$G12510="EX",1,IF(DATOS!$G12510="OR",--(COUNTIFS(nNIA,DATOS!$A12510,nCURSO,DATOS!$D12510,nESPEC,DATOS!$E12510,nASIG,DATOS!$I12510,nEVAL,"EX")=0),0))))</f>
      </c>
      <c r="H12510">
        <f>IF(DATOS!$G12510&lt;&gt;"EX",0,--(COUNTIFS(nNIA,DATOS!$A12510,nCURSO,DATOS!$D12510,nESPEC,DATOS!$E12510,nASIG,DATOS!$I12510,nEVAL,"OR")=0))</f>
      </c>
      <c r="I12510">
        <f>IF(DATOS!$I12510="","",IFERROR(VLOOKUP(DATOS!$I12510,CONFIG_ASIGNATURAS!$B$2:$J$91,9,FALSE()),""))</f>
      </c>
    </row>
    <row r="12511">
      <c r="F12511">
        <f>IF(DATOS!$A12511="","",DATOS!$A12511&amp;"|"&amp;DATOS!$D12511&amp;"|"&amp;DATOS!$E12511&amp;"|"&amp;DATOS!$I12511)</f>
      </c>
      <c r="G12511">
        <f>IF(DATOS!$A12511="",0,IF(CONFIG_METADATA!$B$4&lt;&gt;"OR+EX",--(DATOS!$G12511=CONFIG_METADATA!$B$4),IF(DATOS!$G12511="EX",1,IF(DATOS!$G12511="OR",--(COUNTIFS(nNIA,DATOS!$A12511,nCURSO,DATOS!$D12511,nESPEC,DATOS!$E12511,nASIG,DATOS!$I12511,nEVAL,"EX")=0),0))))</f>
      </c>
      <c r="H12511">
        <f>IF(DATOS!$G12511&lt;&gt;"EX",0,--(COUNTIFS(nNIA,DATOS!$A12511,nCURSO,DATOS!$D12511,nESPEC,DATOS!$E12511,nASIG,DATOS!$I12511,nEVAL,"OR")=0))</f>
      </c>
      <c r="I12511">
        <f>IF(DATOS!$I12511="","",IFERROR(VLOOKUP(DATOS!$I12511,CONFIG_ASIGNATURAS!$B$2:$J$91,9,FALSE()),""))</f>
      </c>
    </row>
    <row r="12512">
      <c r="F12512">
        <f>IF(DATOS!$A12512="","",DATOS!$A12512&amp;"|"&amp;DATOS!$D12512&amp;"|"&amp;DATOS!$E12512&amp;"|"&amp;DATOS!$I12512)</f>
      </c>
      <c r="G12512">
        <f>IF(DATOS!$A12512="",0,IF(CONFIG_METADATA!$B$4&lt;&gt;"OR+EX",--(DATOS!$G12512=CONFIG_METADATA!$B$4),IF(DATOS!$G12512="EX",1,IF(DATOS!$G12512="OR",--(COUNTIFS(nNIA,DATOS!$A12512,nCURSO,DATOS!$D12512,nESPEC,DATOS!$E12512,nASIG,DATOS!$I12512,nEVAL,"EX")=0),0))))</f>
      </c>
      <c r="H12512">
        <f>IF(DATOS!$G12512&lt;&gt;"EX",0,--(COUNTIFS(nNIA,DATOS!$A12512,nCURSO,DATOS!$D12512,nESPEC,DATOS!$E12512,nASIG,DATOS!$I12512,nEVAL,"OR")=0))</f>
      </c>
      <c r="I12512">
        <f>IF(DATOS!$I12512="","",IFERROR(VLOOKUP(DATOS!$I12512,CONFIG_ASIGNATURAS!$B$2:$J$91,9,FALSE()),""))</f>
      </c>
    </row>
    <row r="12513">
      <c r="F12513">
        <f>IF(DATOS!$A12513="","",DATOS!$A12513&amp;"|"&amp;DATOS!$D12513&amp;"|"&amp;DATOS!$E12513&amp;"|"&amp;DATOS!$I12513)</f>
      </c>
      <c r="G12513">
        <f>IF(DATOS!$A12513="",0,IF(CONFIG_METADATA!$B$4&lt;&gt;"OR+EX",--(DATOS!$G12513=CONFIG_METADATA!$B$4),IF(DATOS!$G12513="EX",1,IF(DATOS!$G12513="OR",--(COUNTIFS(nNIA,DATOS!$A12513,nCURSO,DATOS!$D12513,nESPEC,DATOS!$E12513,nASIG,DATOS!$I12513,nEVAL,"EX")=0),0))))</f>
      </c>
      <c r="H12513">
        <f>IF(DATOS!$G12513&lt;&gt;"EX",0,--(COUNTIFS(nNIA,DATOS!$A12513,nCURSO,DATOS!$D12513,nESPEC,DATOS!$E12513,nASIG,DATOS!$I12513,nEVAL,"OR")=0))</f>
      </c>
      <c r="I12513">
        <f>IF(DATOS!$I12513="","",IFERROR(VLOOKUP(DATOS!$I12513,CONFIG_ASIGNATURAS!$B$2:$J$91,9,FALSE()),""))</f>
      </c>
    </row>
    <row r="12514">
      <c r="F12514">
        <f>IF(DATOS!$A12514="","",DATOS!$A12514&amp;"|"&amp;DATOS!$D12514&amp;"|"&amp;DATOS!$E12514&amp;"|"&amp;DATOS!$I12514)</f>
      </c>
      <c r="G12514">
        <f>IF(DATOS!$A12514="",0,IF(CONFIG_METADATA!$B$4&lt;&gt;"OR+EX",--(DATOS!$G12514=CONFIG_METADATA!$B$4),IF(DATOS!$G12514="EX",1,IF(DATOS!$G12514="OR",--(COUNTIFS(nNIA,DATOS!$A12514,nCURSO,DATOS!$D12514,nESPEC,DATOS!$E12514,nASIG,DATOS!$I12514,nEVAL,"EX")=0),0))))</f>
      </c>
      <c r="H12514">
        <f>IF(DATOS!$G12514&lt;&gt;"EX",0,--(COUNTIFS(nNIA,DATOS!$A12514,nCURSO,DATOS!$D12514,nESPEC,DATOS!$E12514,nASIG,DATOS!$I12514,nEVAL,"OR")=0))</f>
      </c>
      <c r="I12514">
        <f>IF(DATOS!$I12514="","",IFERROR(VLOOKUP(DATOS!$I12514,CONFIG_ASIGNATURAS!$B$2:$J$91,9,FALSE()),""))</f>
      </c>
    </row>
    <row r="12515">
      <c r="F12515">
        <f>IF(DATOS!$A12515="","",DATOS!$A12515&amp;"|"&amp;DATOS!$D12515&amp;"|"&amp;DATOS!$E12515&amp;"|"&amp;DATOS!$I12515)</f>
      </c>
      <c r="G12515">
        <f>IF(DATOS!$A12515="",0,IF(CONFIG_METADATA!$B$4&lt;&gt;"OR+EX",--(DATOS!$G12515=CONFIG_METADATA!$B$4),IF(DATOS!$G12515="EX",1,IF(DATOS!$G12515="OR",--(COUNTIFS(nNIA,DATOS!$A12515,nCURSO,DATOS!$D12515,nESPEC,DATOS!$E12515,nASIG,DATOS!$I12515,nEVAL,"EX")=0),0))))</f>
      </c>
      <c r="H12515">
        <f>IF(DATOS!$G12515&lt;&gt;"EX",0,--(COUNTIFS(nNIA,DATOS!$A12515,nCURSO,DATOS!$D12515,nESPEC,DATOS!$E12515,nASIG,DATOS!$I12515,nEVAL,"OR")=0))</f>
      </c>
      <c r="I12515">
        <f>IF(DATOS!$I12515="","",IFERROR(VLOOKUP(DATOS!$I12515,CONFIG_ASIGNATURAS!$B$2:$J$91,9,FALSE()),""))</f>
      </c>
    </row>
    <row r="12516">
      <c r="F12516">
        <f>IF(DATOS!$A12516="","",DATOS!$A12516&amp;"|"&amp;DATOS!$D12516&amp;"|"&amp;DATOS!$E12516&amp;"|"&amp;DATOS!$I12516)</f>
      </c>
      <c r="G12516">
        <f>IF(DATOS!$A12516="",0,IF(CONFIG_METADATA!$B$4&lt;&gt;"OR+EX",--(DATOS!$G12516=CONFIG_METADATA!$B$4),IF(DATOS!$G12516="EX",1,IF(DATOS!$G12516="OR",--(COUNTIFS(nNIA,DATOS!$A12516,nCURSO,DATOS!$D12516,nESPEC,DATOS!$E12516,nASIG,DATOS!$I12516,nEVAL,"EX")=0),0))))</f>
      </c>
      <c r="H12516">
        <f>IF(DATOS!$G12516&lt;&gt;"EX",0,--(COUNTIFS(nNIA,DATOS!$A12516,nCURSO,DATOS!$D12516,nESPEC,DATOS!$E12516,nASIG,DATOS!$I12516,nEVAL,"OR")=0))</f>
      </c>
      <c r="I12516">
        <f>IF(DATOS!$I12516="","",IFERROR(VLOOKUP(DATOS!$I12516,CONFIG_ASIGNATURAS!$B$2:$J$91,9,FALSE()),""))</f>
      </c>
    </row>
    <row r="12517">
      <c r="F12517">
        <f>IF(DATOS!$A12517="","",DATOS!$A12517&amp;"|"&amp;DATOS!$D12517&amp;"|"&amp;DATOS!$E12517&amp;"|"&amp;DATOS!$I12517)</f>
      </c>
      <c r="G12517">
        <f>IF(DATOS!$A12517="",0,IF(CONFIG_METADATA!$B$4&lt;&gt;"OR+EX",--(DATOS!$G12517=CONFIG_METADATA!$B$4),IF(DATOS!$G12517="EX",1,IF(DATOS!$G12517="OR",--(COUNTIFS(nNIA,DATOS!$A12517,nCURSO,DATOS!$D12517,nESPEC,DATOS!$E12517,nASIG,DATOS!$I12517,nEVAL,"EX")=0),0))))</f>
      </c>
      <c r="H12517">
        <f>IF(DATOS!$G12517&lt;&gt;"EX",0,--(COUNTIFS(nNIA,DATOS!$A12517,nCURSO,DATOS!$D12517,nESPEC,DATOS!$E12517,nASIG,DATOS!$I12517,nEVAL,"OR")=0))</f>
      </c>
      <c r="I12517">
        <f>IF(DATOS!$I12517="","",IFERROR(VLOOKUP(DATOS!$I12517,CONFIG_ASIGNATURAS!$B$2:$J$91,9,FALSE()),""))</f>
      </c>
    </row>
    <row r="12518">
      <c r="F12518">
        <f>IF(DATOS!$A12518="","",DATOS!$A12518&amp;"|"&amp;DATOS!$D12518&amp;"|"&amp;DATOS!$E12518&amp;"|"&amp;DATOS!$I12518)</f>
      </c>
      <c r="G12518">
        <f>IF(DATOS!$A12518="",0,IF(CONFIG_METADATA!$B$4&lt;&gt;"OR+EX",--(DATOS!$G12518=CONFIG_METADATA!$B$4),IF(DATOS!$G12518="EX",1,IF(DATOS!$G12518="OR",--(COUNTIFS(nNIA,DATOS!$A12518,nCURSO,DATOS!$D12518,nESPEC,DATOS!$E12518,nASIG,DATOS!$I12518,nEVAL,"EX")=0),0))))</f>
      </c>
      <c r="H12518">
        <f>IF(DATOS!$G12518&lt;&gt;"EX",0,--(COUNTIFS(nNIA,DATOS!$A12518,nCURSO,DATOS!$D12518,nESPEC,DATOS!$E12518,nASIG,DATOS!$I12518,nEVAL,"OR")=0))</f>
      </c>
      <c r="I12518">
        <f>IF(DATOS!$I12518="","",IFERROR(VLOOKUP(DATOS!$I12518,CONFIG_ASIGNATURAS!$B$2:$J$91,9,FALSE()),""))</f>
      </c>
    </row>
    <row r="12519">
      <c r="F12519">
        <f>IF(DATOS!$A12519="","",DATOS!$A12519&amp;"|"&amp;DATOS!$D12519&amp;"|"&amp;DATOS!$E12519&amp;"|"&amp;DATOS!$I12519)</f>
      </c>
      <c r="G12519">
        <f>IF(DATOS!$A12519="",0,IF(CONFIG_METADATA!$B$4&lt;&gt;"OR+EX",--(DATOS!$G12519=CONFIG_METADATA!$B$4),IF(DATOS!$G12519="EX",1,IF(DATOS!$G12519="OR",--(COUNTIFS(nNIA,DATOS!$A12519,nCURSO,DATOS!$D12519,nESPEC,DATOS!$E12519,nASIG,DATOS!$I12519,nEVAL,"EX")=0),0))))</f>
      </c>
      <c r="H12519">
        <f>IF(DATOS!$G12519&lt;&gt;"EX",0,--(COUNTIFS(nNIA,DATOS!$A12519,nCURSO,DATOS!$D12519,nESPEC,DATOS!$E12519,nASIG,DATOS!$I12519,nEVAL,"OR")=0))</f>
      </c>
      <c r="I12519">
        <f>IF(DATOS!$I12519="","",IFERROR(VLOOKUP(DATOS!$I12519,CONFIG_ASIGNATURAS!$B$2:$J$91,9,FALSE()),""))</f>
      </c>
    </row>
    <row r="12520">
      <c r="F12520">
        <f>IF(DATOS!$A12520="","",DATOS!$A12520&amp;"|"&amp;DATOS!$D12520&amp;"|"&amp;DATOS!$E12520&amp;"|"&amp;DATOS!$I12520)</f>
      </c>
      <c r="G12520">
        <f>IF(DATOS!$A12520="",0,IF(CONFIG_METADATA!$B$4&lt;&gt;"OR+EX",--(DATOS!$G12520=CONFIG_METADATA!$B$4),IF(DATOS!$G12520="EX",1,IF(DATOS!$G12520="OR",--(COUNTIFS(nNIA,DATOS!$A12520,nCURSO,DATOS!$D12520,nESPEC,DATOS!$E12520,nASIG,DATOS!$I12520,nEVAL,"EX")=0),0))))</f>
      </c>
      <c r="H12520">
        <f>IF(DATOS!$G12520&lt;&gt;"EX",0,--(COUNTIFS(nNIA,DATOS!$A12520,nCURSO,DATOS!$D12520,nESPEC,DATOS!$E12520,nASIG,DATOS!$I12520,nEVAL,"OR")=0))</f>
      </c>
      <c r="I12520">
        <f>IF(DATOS!$I12520="","",IFERROR(VLOOKUP(DATOS!$I12520,CONFIG_ASIGNATURAS!$B$2:$J$91,9,FALSE()),""))</f>
      </c>
    </row>
    <row r="12521">
      <c r="F12521">
        <f>IF(DATOS!$A12521="","",DATOS!$A12521&amp;"|"&amp;DATOS!$D12521&amp;"|"&amp;DATOS!$E12521&amp;"|"&amp;DATOS!$I12521)</f>
      </c>
      <c r="G12521">
        <f>IF(DATOS!$A12521="",0,IF(CONFIG_METADATA!$B$4&lt;&gt;"OR+EX",--(DATOS!$G12521=CONFIG_METADATA!$B$4),IF(DATOS!$G12521="EX",1,IF(DATOS!$G12521="OR",--(COUNTIFS(nNIA,DATOS!$A12521,nCURSO,DATOS!$D12521,nESPEC,DATOS!$E12521,nASIG,DATOS!$I12521,nEVAL,"EX")=0),0))))</f>
      </c>
      <c r="H12521">
        <f>IF(DATOS!$G12521&lt;&gt;"EX",0,--(COUNTIFS(nNIA,DATOS!$A12521,nCURSO,DATOS!$D12521,nESPEC,DATOS!$E12521,nASIG,DATOS!$I12521,nEVAL,"OR")=0))</f>
      </c>
      <c r="I12521">
        <f>IF(DATOS!$I12521="","",IFERROR(VLOOKUP(DATOS!$I12521,CONFIG_ASIGNATURAS!$B$2:$J$91,9,FALSE()),""))</f>
      </c>
    </row>
    <row r="12522">
      <c r="F12522">
        <f>IF(DATOS!$A12522="","",DATOS!$A12522&amp;"|"&amp;DATOS!$D12522&amp;"|"&amp;DATOS!$E12522&amp;"|"&amp;DATOS!$I12522)</f>
      </c>
      <c r="G12522">
        <f>IF(DATOS!$A12522="",0,IF(CONFIG_METADATA!$B$4&lt;&gt;"OR+EX",--(DATOS!$G12522=CONFIG_METADATA!$B$4),IF(DATOS!$G12522="EX",1,IF(DATOS!$G12522="OR",--(COUNTIFS(nNIA,DATOS!$A12522,nCURSO,DATOS!$D12522,nESPEC,DATOS!$E12522,nASIG,DATOS!$I12522,nEVAL,"EX")=0),0))))</f>
      </c>
      <c r="H12522">
        <f>IF(DATOS!$G12522&lt;&gt;"EX",0,--(COUNTIFS(nNIA,DATOS!$A12522,nCURSO,DATOS!$D12522,nESPEC,DATOS!$E12522,nASIG,DATOS!$I12522,nEVAL,"OR")=0))</f>
      </c>
      <c r="I12522">
        <f>IF(DATOS!$I12522="","",IFERROR(VLOOKUP(DATOS!$I12522,CONFIG_ASIGNATURAS!$B$2:$J$91,9,FALSE()),""))</f>
      </c>
    </row>
    <row r="12523">
      <c r="F12523">
        <f>IF(DATOS!$A12523="","",DATOS!$A12523&amp;"|"&amp;DATOS!$D12523&amp;"|"&amp;DATOS!$E12523&amp;"|"&amp;DATOS!$I12523)</f>
      </c>
      <c r="G12523">
        <f>IF(DATOS!$A12523="",0,IF(CONFIG_METADATA!$B$4&lt;&gt;"OR+EX",--(DATOS!$G12523=CONFIG_METADATA!$B$4),IF(DATOS!$G12523="EX",1,IF(DATOS!$G12523="OR",--(COUNTIFS(nNIA,DATOS!$A12523,nCURSO,DATOS!$D12523,nESPEC,DATOS!$E12523,nASIG,DATOS!$I12523,nEVAL,"EX")=0),0))))</f>
      </c>
      <c r="H12523">
        <f>IF(DATOS!$G12523&lt;&gt;"EX",0,--(COUNTIFS(nNIA,DATOS!$A12523,nCURSO,DATOS!$D12523,nESPEC,DATOS!$E12523,nASIG,DATOS!$I12523,nEVAL,"OR")=0))</f>
      </c>
      <c r="I12523">
        <f>IF(DATOS!$I12523="","",IFERROR(VLOOKUP(DATOS!$I12523,CONFIG_ASIGNATURAS!$B$2:$J$91,9,FALSE()),""))</f>
      </c>
    </row>
    <row r="12524">
      <c r="F12524">
        <f>IF(DATOS!$A12524="","",DATOS!$A12524&amp;"|"&amp;DATOS!$D12524&amp;"|"&amp;DATOS!$E12524&amp;"|"&amp;DATOS!$I12524)</f>
      </c>
      <c r="G12524">
        <f>IF(DATOS!$A12524="",0,IF(CONFIG_METADATA!$B$4&lt;&gt;"OR+EX",--(DATOS!$G12524=CONFIG_METADATA!$B$4),IF(DATOS!$G12524="EX",1,IF(DATOS!$G12524="OR",--(COUNTIFS(nNIA,DATOS!$A12524,nCURSO,DATOS!$D12524,nESPEC,DATOS!$E12524,nASIG,DATOS!$I12524,nEVAL,"EX")=0),0))))</f>
      </c>
      <c r="H12524">
        <f>IF(DATOS!$G12524&lt;&gt;"EX",0,--(COUNTIFS(nNIA,DATOS!$A12524,nCURSO,DATOS!$D12524,nESPEC,DATOS!$E12524,nASIG,DATOS!$I12524,nEVAL,"OR")=0))</f>
      </c>
      <c r="I12524">
        <f>IF(DATOS!$I12524="","",IFERROR(VLOOKUP(DATOS!$I12524,CONFIG_ASIGNATURAS!$B$2:$J$91,9,FALSE()),""))</f>
      </c>
    </row>
    <row r="12525">
      <c r="F12525">
        <f>IF(DATOS!$A12525="","",DATOS!$A12525&amp;"|"&amp;DATOS!$D12525&amp;"|"&amp;DATOS!$E12525&amp;"|"&amp;DATOS!$I12525)</f>
      </c>
      <c r="G12525">
        <f>IF(DATOS!$A12525="",0,IF(CONFIG_METADATA!$B$4&lt;&gt;"OR+EX",--(DATOS!$G12525=CONFIG_METADATA!$B$4),IF(DATOS!$G12525="EX",1,IF(DATOS!$G12525="OR",--(COUNTIFS(nNIA,DATOS!$A12525,nCURSO,DATOS!$D12525,nESPEC,DATOS!$E12525,nASIG,DATOS!$I12525,nEVAL,"EX")=0),0))))</f>
      </c>
      <c r="H12525">
        <f>IF(DATOS!$G12525&lt;&gt;"EX",0,--(COUNTIFS(nNIA,DATOS!$A12525,nCURSO,DATOS!$D12525,nESPEC,DATOS!$E12525,nASIG,DATOS!$I12525,nEVAL,"OR")=0))</f>
      </c>
      <c r="I12525">
        <f>IF(DATOS!$I12525="","",IFERROR(VLOOKUP(DATOS!$I12525,CONFIG_ASIGNATURAS!$B$2:$J$91,9,FALSE()),""))</f>
      </c>
    </row>
    <row r="12526">
      <c r="F12526">
        <f>IF(DATOS!$A12526="","",DATOS!$A12526&amp;"|"&amp;DATOS!$D12526&amp;"|"&amp;DATOS!$E12526&amp;"|"&amp;DATOS!$I12526)</f>
      </c>
      <c r="G12526">
        <f>IF(DATOS!$A12526="",0,IF(CONFIG_METADATA!$B$4&lt;&gt;"OR+EX",--(DATOS!$G12526=CONFIG_METADATA!$B$4),IF(DATOS!$G12526="EX",1,IF(DATOS!$G12526="OR",--(COUNTIFS(nNIA,DATOS!$A12526,nCURSO,DATOS!$D12526,nESPEC,DATOS!$E12526,nASIG,DATOS!$I12526,nEVAL,"EX")=0),0))))</f>
      </c>
      <c r="H12526">
        <f>IF(DATOS!$G12526&lt;&gt;"EX",0,--(COUNTIFS(nNIA,DATOS!$A12526,nCURSO,DATOS!$D12526,nESPEC,DATOS!$E12526,nASIG,DATOS!$I12526,nEVAL,"OR")=0))</f>
      </c>
      <c r="I12526">
        <f>IF(DATOS!$I12526="","",IFERROR(VLOOKUP(DATOS!$I12526,CONFIG_ASIGNATURAS!$B$2:$J$91,9,FALSE()),""))</f>
      </c>
    </row>
    <row r="12527">
      <c r="F12527">
        <f>IF(DATOS!$A12527="","",DATOS!$A12527&amp;"|"&amp;DATOS!$D12527&amp;"|"&amp;DATOS!$E12527&amp;"|"&amp;DATOS!$I12527)</f>
      </c>
      <c r="G12527">
        <f>IF(DATOS!$A12527="",0,IF(CONFIG_METADATA!$B$4&lt;&gt;"OR+EX",--(DATOS!$G12527=CONFIG_METADATA!$B$4),IF(DATOS!$G12527="EX",1,IF(DATOS!$G12527="OR",--(COUNTIFS(nNIA,DATOS!$A12527,nCURSO,DATOS!$D12527,nESPEC,DATOS!$E12527,nASIG,DATOS!$I12527,nEVAL,"EX")=0),0))))</f>
      </c>
      <c r="H12527">
        <f>IF(DATOS!$G12527&lt;&gt;"EX",0,--(COUNTIFS(nNIA,DATOS!$A12527,nCURSO,DATOS!$D12527,nESPEC,DATOS!$E12527,nASIG,DATOS!$I12527,nEVAL,"OR")=0))</f>
      </c>
      <c r="I12527">
        <f>IF(DATOS!$I12527="","",IFERROR(VLOOKUP(DATOS!$I12527,CONFIG_ASIGNATURAS!$B$2:$J$91,9,FALSE()),""))</f>
      </c>
    </row>
    <row r="12528">
      <c r="F12528">
        <f>IF(DATOS!$A12528="","",DATOS!$A12528&amp;"|"&amp;DATOS!$D12528&amp;"|"&amp;DATOS!$E12528&amp;"|"&amp;DATOS!$I12528)</f>
      </c>
      <c r="G12528">
        <f>IF(DATOS!$A12528="",0,IF(CONFIG_METADATA!$B$4&lt;&gt;"OR+EX",--(DATOS!$G12528=CONFIG_METADATA!$B$4),IF(DATOS!$G12528="EX",1,IF(DATOS!$G12528="OR",--(COUNTIFS(nNIA,DATOS!$A12528,nCURSO,DATOS!$D12528,nESPEC,DATOS!$E12528,nASIG,DATOS!$I12528,nEVAL,"EX")=0),0))))</f>
      </c>
      <c r="H12528">
        <f>IF(DATOS!$G12528&lt;&gt;"EX",0,--(COUNTIFS(nNIA,DATOS!$A12528,nCURSO,DATOS!$D12528,nESPEC,DATOS!$E12528,nASIG,DATOS!$I12528,nEVAL,"OR")=0))</f>
      </c>
      <c r="I12528">
        <f>IF(DATOS!$I12528="","",IFERROR(VLOOKUP(DATOS!$I12528,CONFIG_ASIGNATURAS!$B$2:$J$91,9,FALSE()),""))</f>
      </c>
    </row>
    <row r="12529">
      <c r="F12529">
        <f>IF(DATOS!$A12529="","",DATOS!$A12529&amp;"|"&amp;DATOS!$D12529&amp;"|"&amp;DATOS!$E12529&amp;"|"&amp;DATOS!$I12529)</f>
      </c>
      <c r="G12529">
        <f>IF(DATOS!$A12529="",0,IF(CONFIG_METADATA!$B$4&lt;&gt;"OR+EX",--(DATOS!$G12529=CONFIG_METADATA!$B$4),IF(DATOS!$G12529="EX",1,IF(DATOS!$G12529="OR",--(COUNTIFS(nNIA,DATOS!$A12529,nCURSO,DATOS!$D12529,nESPEC,DATOS!$E12529,nASIG,DATOS!$I12529,nEVAL,"EX")=0),0))))</f>
      </c>
      <c r="H12529">
        <f>IF(DATOS!$G12529&lt;&gt;"EX",0,--(COUNTIFS(nNIA,DATOS!$A12529,nCURSO,DATOS!$D12529,nESPEC,DATOS!$E12529,nASIG,DATOS!$I12529,nEVAL,"OR")=0))</f>
      </c>
      <c r="I12529">
        <f>IF(DATOS!$I12529="","",IFERROR(VLOOKUP(DATOS!$I12529,CONFIG_ASIGNATURAS!$B$2:$J$91,9,FALSE()),""))</f>
      </c>
    </row>
    <row r="12530">
      <c r="F12530">
        <f>IF(DATOS!$A12530="","",DATOS!$A12530&amp;"|"&amp;DATOS!$D12530&amp;"|"&amp;DATOS!$E12530&amp;"|"&amp;DATOS!$I12530)</f>
      </c>
      <c r="G12530">
        <f>IF(DATOS!$A12530="",0,IF(CONFIG_METADATA!$B$4&lt;&gt;"OR+EX",--(DATOS!$G12530=CONFIG_METADATA!$B$4),IF(DATOS!$G12530="EX",1,IF(DATOS!$G12530="OR",--(COUNTIFS(nNIA,DATOS!$A12530,nCURSO,DATOS!$D12530,nESPEC,DATOS!$E12530,nASIG,DATOS!$I12530,nEVAL,"EX")=0),0))))</f>
      </c>
      <c r="H12530">
        <f>IF(DATOS!$G12530&lt;&gt;"EX",0,--(COUNTIFS(nNIA,DATOS!$A12530,nCURSO,DATOS!$D12530,nESPEC,DATOS!$E12530,nASIG,DATOS!$I12530,nEVAL,"OR")=0))</f>
      </c>
      <c r="I12530">
        <f>IF(DATOS!$I12530="","",IFERROR(VLOOKUP(DATOS!$I12530,CONFIG_ASIGNATURAS!$B$2:$J$91,9,FALSE()),""))</f>
      </c>
    </row>
    <row r="12531">
      <c r="F12531">
        <f>IF(DATOS!$A12531="","",DATOS!$A12531&amp;"|"&amp;DATOS!$D12531&amp;"|"&amp;DATOS!$E12531&amp;"|"&amp;DATOS!$I12531)</f>
      </c>
      <c r="G12531">
        <f>IF(DATOS!$A12531="",0,IF(CONFIG_METADATA!$B$4&lt;&gt;"OR+EX",--(DATOS!$G12531=CONFIG_METADATA!$B$4),IF(DATOS!$G12531="EX",1,IF(DATOS!$G12531="OR",--(COUNTIFS(nNIA,DATOS!$A12531,nCURSO,DATOS!$D12531,nESPEC,DATOS!$E12531,nASIG,DATOS!$I12531,nEVAL,"EX")=0),0))))</f>
      </c>
      <c r="H12531">
        <f>IF(DATOS!$G12531&lt;&gt;"EX",0,--(COUNTIFS(nNIA,DATOS!$A12531,nCURSO,DATOS!$D12531,nESPEC,DATOS!$E12531,nASIG,DATOS!$I12531,nEVAL,"OR")=0))</f>
      </c>
      <c r="I12531">
        <f>IF(DATOS!$I12531="","",IFERROR(VLOOKUP(DATOS!$I12531,CONFIG_ASIGNATURAS!$B$2:$J$91,9,FALSE()),""))</f>
      </c>
    </row>
    <row r="12532">
      <c r="F12532">
        <f>IF(DATOS!$A12532="","",DATOS!$A12532&amp;"|"&amp;DATOS!$D12532&amp;"|"&amp;DATOS!$E12532&amp;"|"&amp;DATOS!$I12532)</f>
      </c>
      <c r="G12532">
        <f>IF(DATOS!$A12532="",0,IF(CONFIG_METADATA!$B$4&lt;&gt;"OR+EX",--(DATOS!$G12532=CONFIG_METADATA!$B$4),IF(DATOS!$G12532="EX",1,IF(DATOS!$G12532="OR",--(COUNTIFS(nNIA,DATOS!$A12532,nCURSO,DATOS!$D12532,nESPEC,DATOS!$E12532,nASIG,DATOS!$I12532,nEVAL,"EX")=0),0))))</f>
      </c>
      <c r="H12532">
        <f>IF(DATOS!$G12532&lt;&gt;"EX",0,--(COUNTIFS(nNIA,DATOS!$A12532,nCURSO,DATOS!$D12532,nESPEC,DATOS!$E12532,nASIG,DATOS!$I12532,nEVAL,"OR")=0))</f>
      </c>
      <c r="I12532">
        <f>IF(DATOS!$I12532="","",IFERROR(VLOOKUP(DATOS!$I12532,CONFIG_ASIGNATURAS!$B$2:$J$91,9,FALSE()),""))</f>
      </c>
    </row>
    <row r="12533">
      <c r="F12533">
        <f>IF(DATOS!$A12533="","",DATOS!$A12533&amp;"|"&amp;DATOS!$D12533&amp;"|"&amp;DATOS!$E12533&amp;"|"&amp;DATOS!$I12533)</f>
      </c>
      <c r="G12533">
        <f>IF(DATOS!$A12533="",0,IF(CONFIG_METADATA!$B$4&lt;&gt;"OR+EX",--(DATOS!$G12533=CONFIG_METADATA!$B$4),IF(DATOS!$G12533="EX",1,IF(DATOS!$G12533="OR",--(COUNTIFS(nNIA,DATOS!$A12533,nCURSO,DATOS!$D12533,nESPEC,DATOS!$E12533,nASIG,DATOS!$I12533,nEVAL,"EX")=0),0))))</f>
      </c>
      <c r="H12533">
        <f>IF(DATOS!$G12533&lt;&gt;"EX",0,--(COUNTIFS(nNIA,DATOS!$A12533,nCURSO,DATOS!$D12533,nESPEC,DATOS!$E12533,nASIG,DATOS!$I12533,nEVAL,"OR")=0))</f>
      </c>
      <c r="I12533">
        <f>IF(DATOS!$I12533="","",IFERROR(VLOOKUP(DATOS!$I12533,CONFIG_ASIGNATURAS!$B$2:$J$91,9,FALSE()),""))</f>
      </c>
    </row>
    <row r="12534">
      <c r="F12534">
        <f>IF(DATOS!$A12534="","",DATOS!$A12534&amp;"|"&amp;DATOS!$D12534&amp;"|"&amp;DATOS!$E12534&amp;"|"&amp;DATOS!$I12534)</f>
      </c>
      <c r="G12534">
        <f>IF(DATOS!$A12534="",0,IF(CONFIG_METADATA!$B$4&lt;&gt;"OR+EX",--(DATOS!$G12534=CONFIG_METADATA!$B$4),IF(DATOS!$G12534="EX",1,IF(DATOS!$G12534="OR",--(COUNTIFS(nNIA,DATOS!$A12534,nCURSO,DATOS!$D12534,nESPEC,DATOS!$E12534,nASIG,DATOS!$I12534,nEVAL,"EX")=0),0))))</f>
      </c>
      <c r="H12534">
        <f>IF(DATOS!$G12534&lt;&gt;"EX",0,--(COUNTIFS(nNIA,DATOS!$A12534,nCURSO,DATOS!$D12534,nESPEC,DATOS!$E12534,nASIG,DATOS!$I12534,nEVAL,"OR")=0))</f>
      </c>
      <c r="I12534">
        <f>IF(DATOS!$I12534="","",IFERROR(VLOOKUP(DATOS!$I12534,CONFIG_ASIGNATURAS!$B$2:$J$91,9,FALSE()),""))</f>
      </c>
    </row>
    <row r="12535">
      <c r="F12535">
        <f>IF(DATOS!$A12535="","",DATOS!$A12535&amp;"|"&amp;DATOS!$D12535&amp;"|"&amp;DATOS!$E12535&amp;"|"&amp;DATOS!$I12535)</f>
      </c>
      <c r="G12535">
        <f>IF(DATOS!$A12535="",0,IF(CONFIG_METADATA!$B$4&lt;&gt;"OR+EX",--(DATOS!$G12535=CONFIG_METADATA!$B$4),IF(DATOS!$G12535="EX",1,IF(DATOS!$G12535="OR",--(COUNTIFS(nNIA,DATOS!$A12535,nCURSO,DATOS!$D12535,nESPEC,DATOS!$E12535,nASIG,DATOS!$I12535,nEVAL,"EX")=0),0))))</f>
      </c>
      <c r="H12535">
        <f>IF(DATOS!$G12535&lt;&gt;"EX",0,--(COUNTIFS(nNIA,DATOS!$A12535,nCURSO,DATOS!$D12535,nESPEC,DATOS!$E12535,nASIG,DATOS!$I12535,nEVAL,"OR")=0))</f>
      </c>
      <c r="I12535">
        <f>IF(DATOS!$I12535="","",IFERROR(VLOOKUP(DATOS!$I12535,CONFIG_ASIGNATURAS!$B$2:$J$91,9,FALSE()),""))</f>
      </c>
    </row>
    <row r="12536">
      <c r="F12536">
        <f>IF(DATOS!$A12536="","",DATOS!$A12536&amp;"|"&amp;DATOS!$D12536&amp;"|"&amp;DATOS!$E12536&amp;"|"&amp;DATOS!$I12536)</f>
      </c>
      <c r="G12536">
        <f>IF(DATOS!$A12536="",0,IF(CONFIG_METADATA!$B$4&lt;&gt;"OR+EX",--(DATOS!$G12536=CONFIG_METADATA!$B$4),IF(DATOS!$G12536="EX",1,IF(DATOS!$G12536="OR",--(COUNTIFS(nNIA,DATOS!$A12536,nCURSO,DATOS!$D12536,nESPEC,DATOS!$E12536,nASIG,DATOS!$I12536,nEVAL,"EX")=0),0))))</f>
      </c>
      <c r="H12536">
        <f>IF(DATOS!$G12536&lt;&gt;"EX",0,--(COUNTIFS(nNIA,DATOS!$A12536,nCURSO,DATOS!$D12536,nESPEC,DATOS!$E12536,nASIG,DATOS!$I12536,nEVAL,"OR")=0))</f>
      </c>
      <c r="I12536">
        <f>IF(DATOS!$I12536="","",IFERROR(VLOOKUP(DATOS!$I12536,CONFIG_ASIGNATURAS!$B$2:$J$91,9,FALSE()),""))</f>
      </c>
    </row>
    <row r="12537">
      <c r="F12537">
        <f>IF(DATOS!$A12537="","",DATOS!$A12537&amp;"|"&amp;DATOS!$D12537&amp;"|"&amp;DATOS!$E12537&amp;"|"&amp;DATOS!$I12537)</f>
      </c>
      <c r="G12537">
        <f>IF(DATOS!$A12537="",0,IF(CONFIG_METADATA!$B$4&lt;&gt;"OR+EX",--(DATOS!$G12537=CONFIG_METADATA!$B$4),IF(DATOS!$G12537="EX",1,IF(DATOS!$G12537="OR",--(COUNTIFS(nNIA,DATOS!$A12537,nCURSO,DATOS!$D12537,nESPEC,DATOS!$E12537,nASIG,DATOS!$I12537,nEVAL,"EX")=0),0))))</f>
      </c>
      <c r="H12537">
        <f>IF(DATOS!$G12537&lt;&gt;"EX",0,--(COUNTIFS(nNIA,DATOS!$A12537,nCURSO,DATOS!$D12537,nESPEC,DATOS!$E12537,nASIG,DATOS!$I12537,nEVAL,"OR")=0))</f>
      </c>
      <c r="I12537">
        <f>IF(DATOS!$I12537="","",IFERROR(VLOOKUP(DATOS!$I12537,CONFIG_ASIGNATURAS!$B$2:$J$91,9,FALSE()),""))</f>
      </c>
    </row>
    <row r="12538">
      <c r="F12538">
        <f>IF(DATOS!$A12538="","",DATOS!$A12538&amp;"|"&amp;DATOS!$D12538&amp;"|"&amp;DATOS!$E12538&amp;"|"&amp;DATOS!$I12538)</f>
      </c>
      <c r="G12538">
        <f>IF(DATOS!$A12538="",0,IF(CONFIG_METADATA!$B$4&lt;&gt;"OR+EX",--(DATOS!$G12538=CONFIG_METADATA!$B$4),IF(DATOS!$G12538="EX",1,IF(DATOS!$G12538="OR",--(COUNTIFS(nNIA,DATOS!$A12538,nCURSO,DATOS!$D12538,nESPEC,DATOS!$E12538,nASIG,DATOS!$I12538,nEVAL,"EX")=0),0))))</f>
      </c>
      <c r="H12538">
        <f>IF(DATOS!$G12538&lt;&gt;"EX",0,--(COUNTIFS(nNIA,DATOS!$A12538,nCURSO,DATOS!$D12538,nESPEC,DATOS!$E12538,nASIG,DATOS!$I12538,nEVAL,"OR")=0))</f>
      </c>
      <c r="I12538">
        <f>IF(DATOS!$I12538="","",IFERROR(VLOOKUP(DATOS!$I12538,CONFIG_ASIGNATURAS!$B$2:$J$91,9,FALSE()),""))</f>
      </c>
    </row>
    <row r="12539">
      <c r="F12539">
        <f>IF(DATOS!$A12539="","",DATOS!$A12539&amp;"|"&amp;DATOS!$D12539&amp;"|"&amp;DATOS!$E12539&amp;"|"&amp;DATOS!$I12539)</f>
      </c>
      <c r="G12539">
        <f>IF(DATOS!$A12539="",0,IF(CONFIG_METADATA!$B$4&lt;&gt;"OR+EX",--(DATOS!$G12539=CONFIG_METADATA!$B$4),IF(DATOS!$G12539="EX",1,IF(DATOS!$G12539="OR",--(COUNTIFS(nNIA,DATOS!$A12539,nCURSO,DATOS!$D12539,nESPEC,DATOS!$E12539,nASIG,DATOS!$I12539,nEVAL,"EX")=0),0))))</f>
      </c>
      <c r="H12539">
        <f>IF(DATOS!$G12539&lt;&gt;"EX",0,--(COUNTIFS(nNIA,DATOS!$A12539,nCURSO,DATOS!$D12539,nESPEC,DATOS!$E12539,nASIG,DATOS!$I12539,nEVAL,"OR")=0))</f>
      </c>
      <c r="I12539">
        <f>IF(DATOS!$I12539="","",IFERROR(VLOOKUP(DATOS!$I12539,CONFIG_ASIGNATURAS!$B$2:$J$91,9,FALSE()),""))</f>
      </c>
    </row>
    <row r="12540">
      <c r="F12540">
        <f>IF(DATOS!$A12540="","",DATOS!$A12540&amp;"|"&amp;DATOS!$D12540&amp;"|"&amp;DATOS!$E12540&amp;"|"&amp;DATOS!$I12540)</f>
      </c>
      <c r="G12540">
        <f>IF(DATOS!$A12540="",0,IF(CONFIG_METADATA!$B$4&lt;&gt;"OR+EX",--(DATOS!$G12540=CONFIG_METADATA!$B$4),IF(DATOS!$G12540="EX",1,IF(DATOS!$G12540="OR",--(COUNTIFS(nNIA,DATOS!$A12540,nCURSO,DATOS!$D12540,nESPEC,DATOS!$E12540,nASIG,DATOS!$I12540,nEVAL,"EX")=0),0))))</f>
      </c>
      <c r="H12540">
        <f>IF(DATOS!$G12540&lt;&gt;"EX",0,--(COUNTIFS(nNIA,DATOS!$A12540,nCURSO,DATOS!$D12540,nESPEC,DATOS!$E12540,nASIG,DATOS!$I12540,nEVAL,"OR")=0))</f>
      </c>
      <c r="I12540">
        <f>IF(DATOS!$I12540="","",IFERROR(VLOOKUP(DATOS!$I12540,CONFIG_ASIGNATURAS!$B$2:$J$91,9,FALSE()),""))</f>
      </c>
    </row>
    <row r="12541">
      <c r="F12541">
        <f>IF(DATOS!$A12541="","",DATOS!$A12541&amp;"|"&amp;DATOS!$D12541&amp;"|"&amp;DATOS!$E12541&amp;"|"&amp;DATOS!$I12541)</f>
      </c>
      <c r="G12541">
        <f>IF(DATOS!$A12541="",0,IF(CONFIG_METADATA!$B$4&lt;&gt;"OR+EX",--(DATOS!$G12541=CONFIG_METADATA!$B$4),IF(DATOS!$G12541="EX",1,IF(DATOS!$G12541="OR",--(COUNTIFS(nNIA,DATOS!$A12541,nCURSO,DATOS!$D12541,nESPEC,DATOS!$E12541,nASIG,DATOS!$I12541,nEVAL,"EX")=0),0))))</f>
      </c>
      <c r="H12541">
        <f>IF(DATOS!$G12541&lt;&gt;"EX",0,--(COUNTIFS(nNIA,DATOS!$A12541,nCURSO,DATOS!$D12541,nESPEC,DATOS!$E12541,nASIG,DATOS!$I12541,nEVAL,"OR")=0))</f>
      </c>
      <c r="I12541">
        <f>IF(DATOS!$I12541="","",IFERROR(VLOOKUP(DATOS!$I12541,CONFIG_ASIGNATURAS!$B$2:$J$91,9,FALSE()),""))</f>
      </c>
    </row>
    <row r="12542">
      <c r="F12542">
        <f>IF(DATOS!$A12542="","",DATOS!$A12542&amp;"|"&amp;DATOS!$D12542&amp;"|"&amp;DATOS!$E12542&amp;"|"&amp;DATOS!$I12542)</f>
      </c>
      <c r="G12542">
        <f>IF(DATOS!$A12542="",0,IF(CONFIG_METADATA!$B$4&lt;&gt;"OR+EX",--(DATOS!$G12542=CONFIG_METADATA!$B$4),IF(DATOS!$G12542="EX",1,IF(DATOS!$G12542="OR",--(COUNTIFS(nNIA,DATOS!$A12542,nCURSO,DATOS!$D12542,nESPEC,DATOS!$E12542,nASIG,DATOS!$I12542,nEVAL,"EX")=0),0))))</f>
      </c>
      <c r="H12542">
        <f>IF(DATOS!$G12542&lt;&gt;"EX",0,--(COUNTIFS(nNIA,DATOS!$A12542,nCURSO,DATOS!$D12542,nESPEC,DATOS!$E12542,nASIG,DATOS!$I12542,nEVAL,"OR")=0))</f>
      </c>
      <c r="I12542">
        <f>IF(DATOS!$I12542="","",IFERROR(VLOOKUP(DATOS!$I12542,CONFIG_ASIGNATURAS!$B$2:$J$91,9,FALSE()),""))</f>
      </c>
    </row>
    <row r="12543">
      <c r="F12543">
        <f>IF(DATOS!$A12543="","",DATOS!$A12543&amp;"|"&amp;DATOS!$D12543&amp;"|"&amp;DATOS!$E12543&amp;"|"&amp;DATOS!$I12543)</f>
      </c>
      <c r="G12543">
        <f>IF(DATOS!$A12543="",0,IF(CONFIG_METADATA!$B$4&lt;&gt;"OR+EX",--(DATOS!$G12543=CONFIG_METADATA!$B$4),IF(DATOS!$G12543="EX",1,IF(DATOS!$G12543="OR",--(COUNTIFS(nNIA,DATOS!$A12543,nCURSO,DATOS!$D12543,nESPEC,DATOS!$E12543,nASIG,DATOS!$I12543,nEVAL,"EX")=0),0))))</f>
      </c>
      <c r="H12543">
        <f>IF(DATOS!$G12543&lt;&gt;"EX",0,--(COUNTIFS(nNIA,DATOS!$A12543,nCURSO,DATOS!$D12543,nESPEC,DATOS!$E12543,nASIG,DATOS!$I12543,nEVAL,"OR")=0))</f>
      </c>
      <c r="I12543">
        <f>IF(DATOS!$I12543="","",IFERROR(VLOOKUP(DATOS!$I12543,CONFIG_ASIGNATURAS!$B$2:$J$91,9,FALSE()),""))</f>
      </c>
    </row>
    <row r="12544">
      <c r="F12544">
        <f>IF(DATOS!$A12544="","",DATOS!$A12544&amp;"|"&amp;DATOS!$D12544&amp;"|"&amp;DATOS!$E12544&amp;"|"&amp;DATOS!$I12544)</f>
      </c>
      <c r="G12544">
        <f>IF(DATOS!$A12544="",0,IF(CONFIG_METADATA!$B$4&lt;&gt;"OR+EX",--(DATOS!$G12544=CONFIG_METADATA!$B$4),IF(DATOS!$G12544="EX",1,IF(DATOS!$G12544="OR",--(COUNTIFS(nNIA,DATOS!$A12544,nCURSO,DATOS!$D12544,nESPEC,DATOS!$E12544,nASIG,DATOS!$I12544,nEVAL,"EX")=0),0))))</f>
      </c>
      <c r="H12544">
        <f>IF(DATOS!$G12544&lt;&gt;"EX",0,--(COUNTIFS(nNIA,DATOS!$A12544,nCURSO,DATOS!$D12544,nESPEC,DATOS!$E12544,nASIG,DATOS!$I12544,nEVAL,"OR")=0))</f>
      </c>
      <c r="I12544">
        <f>IF(DATOS!$I12544="","",IFERROR(VLOOKUP(DATOS!$I12544,CONFIG_ASIGNATURAS!$B$2:$J$91,9,FALSE()),""))</f>
      </c>
    </row>
    <row r="12545">
      <c r="F12545">
        <f>IF(DATOS!$A12545="","",DATOS!$A12545&amp;"|"&amp;DATOS!$D12545&amp;"|"&amp;DATOS!$E12545&amp;"|"&amp;DATOS!$I12545)</f>
      </c>
      <c r="G12545">
        <f>IF(DATOS!$A12545="",0,IF(CONFIG_METADATA!$B$4&lt;&gt;"OR+EX",--(DATOS!$G12545=CONFIG_METADATA!$B$4),IF(DATOS!$G12545="EX",1,IF(DATOS!$G12545="OR",--(COUNTIFS(nNIA,DATOS!$A12545,nCURSO,DATOS!$D12545,nESPEC,DATOS!$E12545,nASIG,DATOS!$I12545,nEVAL,"EX")=0),0))))</f>
      </c>
      <c r="H12545">
        <f>IF(DATOS!$G12545&lt;&gt;"EX",0,--(COUNTIFS(nNIA,DATOS!$A12545,nCURSO,DATOS!$D12545,nESPEC,DATOS!$E12545,nASIG,DATOS!$I12545,nEVAL,"OR")=0))</f>
      </c>
      <c r="I12545">
        <f>IF(DATOS!$I12545="","",IFERROR(VLOOKUP(DATOS!$I12545,CONFIG_ASIGNATURAS!$B$2:$J$91,9,FALSE()),""))</f>
      </c>
    </row>
    <row r="12546">
      <c r="F12546">
        <f>IF(DATOS!$A12546="","",DATOS!$A12546&amp;"|"&amp;DATOS!$D12546&amp;"|"&amp;DATOS!$E12546&amp;"|"&amp;DATOS!$I12546)</f>
      </c>
      <c r="G12546">
        <f>IF(DATOS!$A12546="",0,IF(CONFIG_METADATA!$B$4&lt;&gt;"OR+EX",--(DATOS!$G12546=CONFIG_METADATA!$B$4),IF(DATOS!$G12546="EX",1,IF(DATOS!$G12546="OR",--(COUNTIFS(nNIA,DATOS!$A12546,nCURSO,DATOS!$D12546,nESPEC,DATOS!$E12546,nASIG,DATOS!$I12546,nEVAL,"EX")=0),0))))</f>
      </c>
      <c r="H12546">
        <f>IF(DATOS!$G12546&lt;&gt;"EX",0,--(COUNTIFS(nNIA,DATOS!$A12546,nCURSO,DATOS!$D12546,nESPEC,DATOS!$E12546,nASIG,DATOS!$I12546,nEVAL,"OR")=0))</f>
      </c>
      <c r="I12546">
        <f>IF(DATOS!$I12546="","",IFERROR(VLOOKUP(DATOS!$I12546,CONFIG_ASIGNATURAS!$B$2:$J$91,9,FALSE()),""))</f>
      </c>
    </row>
    <row r="12547">
      <c r="F12547">
        <f>IF(DATOS!$A12547="","",DATOS!$A12547&amp;"|"&amp;DATOS!$D12547&amp;"|"&amp;DATOS!$E12547&amp;"|"&amp;DATOS!$I12547)</f>
      </c>
      <c r="G12547">
        <f>IF(DATOS!$A12547="",0,IF(CONFIG_METADATA!$B$4&lt;&gt;"OR+EX",--(DATOS!$G12547=CONFIG_METADATA!$B$4),IF(DATOS!$G12547="EX",1,IF(DATOS!$G12547="OR",--(COUNTIFS(nNIA,DATOS!$A12547,nCURSO,DATOS!$D12547,nESPEC,DATOS!$E12547,nASIG,DATOS!$I12547,nEVAL,"EX")=0),0))))</f>
      </c>
      <c r="H12547">
        <f>IF(DATOS!$G12547&lt;&gt;"EX",0,--(COUNTIFS(nNIA,DATOS!$A12547,nCURSO,DATOS!$D12547,nESPEC,DATOS!$E12547,nASIG,DATOS!$I12547,nEVAL,"OR")=0))</f>
      </c>
      <c r="I12547">
        <f>IF(DATOS!$I12547="","",IFERROR(VLOOKUP(DATOS!$I12547,CONFIG_ASIGNATURAS!$B$2:$J$91,9,FALSE()),""))</f>
      </c>
    </row>
    <row r="12548">
      <c r="F12548">
        <f>IF(DATOS!$A12548="","",DATOS!$A12548&amp;"|"&amp;DATOS!$D12548&amp;"|"&amp;DATOS!$E12548&amp;"|"&amp;DATOS!$I12548)</f>
      </c>
      <c r="G12548">
        <f>IF(DATOS!$A12548="",0,IF(CONFIG_METADATA!$B$4&lt;&gt;"OR+EX",--(DATOS!$G12548=CONFIG_METADATA!$B$4),IF(DATOS!$G12548="EX",1,IF(DATOS!$G12548="OR",--(COUNTIFS(nNIA,DATOS!$A12548,nCURSO,DATOS!$D12548,nESPEC,DATOS!$E12548,nASIG,DATOS!$I12548,nEVAL,"EX")=0),0))))</f>
      </c>
      <c r="H12548">
        <f>IF(DATOS!$G12548&lt;&gt;"EX",0,--(COUNTIFS(nNIA,DATOS!$A12548,nCURSO,DATOS!$D12548,nESPEC,DATOS!$E12548,nASIG,DATOS!$I12548,nEVAL,"OR")=0))</f>
      </c>
      <c r="I12548">
        <f>IF(DATOS!$I12548="","",IFERROR(VLOOKUP(DATOS!$I12548,CONFIG_ASIGNATURAS!$B$2:$J$91,9,FALSE()),""))</f>
      </c>
    </row>
    <row r="12549">
      <c r="F12549">
        <f>IF(DATOS!$A12549="","",DATOS!$A12549&amp;"|"&amp;DATOS!$D12549&amp;"|"&amp;DATOS!$E12549&amp;"|"&amp;DATOS!$I12549)</f>
      </c>
      <c r="G12549">
        <f>IF(DATOS!$A12549="",0,IF(CONFIG_METADATA!$B$4&lt;&gt;"OR+EX",--(DATOS!$G12549=CONFIG_METADATA!$B$4),IF(DATOS!$G12549="EX",1,IF(DATOS!$G12549="OR",--(COUNTIFS(nNIA,DATOS!$A12549,nCURSO,DATOS!$D12549,nESPEC,DATOS!$E12549,nASIG,DATOS!$I12549,nEVAL,"EX")=0),0))))</f>
      </c>
      <c r="H12549">
        <f>IF(DATOS!$G12549&lt;&gt;"EX",0,--(COUNTIFS(nNIA,DATOS!$A12549,nCURSO,DATOS!$D12549,nESPEC,DATOS!$E12549,nASIG,DATOS!$I12549,nEVAL,"OR")=0))</f>
      </c>
      <c r="I12549">
        <f>IF(DATOS!$I12549="","",IFERROR(VLOOKUP(DATOS!$I12549,CONFIG_ASIGNATURAS!$B$2:$J$91,9,FALSE()),""))</f>
      </c>
    </row>
    <row r="12550">
      <c r="F12550">
        <f>IF(DATOS!$A12550="","",DATOS!$A12550&amp;"|"&amp;DATOS!$D12550&amp;"|"&amp;DATOS!$E12550&amp;"|"&amp;DATOS!$I12550)</f>
      </c>
      <c r="G12550">
        <f>IF(DATOS!$A12550="",0,IF(CONFIG_METADATA!$B$4&lt;&gt;"OR+EX",--(DATOS!$G12550=CONFIG_METADATA!$B$4),IF(DATOS!$G12550="EX",1,IF(DATOS!$G12550="OR",--(COUNTIFS(nNIA,DATOS!$A12550,nCURSO,DATOS!$D12550,nESPEC,DATOS!$E12550,nASIG,DATOS!$I12550,nEVAL,"EX")=0),0))))</f>
      </c>
      <c r="H12550">
        <f>IF(DATOS!$G12550&lt;&gt;"EX",0,--(COUNTIFS(nNIA,DATOS!$A12550,nCURSO,DATOS!$D12550,nESPEC,DATOS!$E12550,nASIG,DATOS!$I12550,nEVAL,"OR")=0))</f>
      </c>
      <c r="I12550">
        <f>IF(DATOS!$I12550="","",IFERROR(VLOOKUP(DATOS!$I12550,CONFIG_ASIGNATURAS!$B$2:$J$91,9,FALSE()),""))</f>
      </c>
    </row>
    <row r="12551">
      <c r="F12551">
        <f>IF(DATOS!$A12551="","",DATOS!$A12551&amp;"|"&amp;DATOS!$D12551&amp;"|"&amp;DATOS!$E12551&amp;"|"&amp;DATOS!$I12551)</f>
      </c>
      <c r="G12551">
        <f>IF(DATOS!$A12551="",0,IF(CONFIG_METADATA!$B$4&lt;&gt;"OR+EX",--(DATOS!$G12551=CONFIG_METADATA!$B$4),IF(DATOS!$G12551="EX",1,IF(DATOS!$G12551="OR",--(COUNTIFS(nNIA,DATOS!$A12551,nCURSO,DATOS!$D12551,nESPEC,DATOS!$E12551,nASIG,DATOS!$I12551,nEVAL,"EX")=0),0))))</f>
      </c>
      <c r="H12551">
        <f>IF(DATOS!$G12551&lt;&gt;"EX",0,--(COUNTIFS(nNIA,DATOS!$A12551,nCURSO,DATOS!$D12551,nESPEC,DATOS!$E12551,nASIG,DATOS!$I12551,nEVAL,"OR")=0))</f>
      </c>
      <c r="I12551">
        <f>IF(DATOS!$I12551="","",IFERROR(VLOOKUP(DATOS!$I12551,CONFIG_ASIGNATURAS!$B$2:$J$91,9,FALSE()),""))</f>
      </c>
    </row>
    <row r="12552">
      <c r="F12552">
        <f>IF(DATOS!$A12552="","",DATOS!$A12552&amp;"|"&amp;DATOS!$D12552&amp;"|"&amp;DATOS!$E12552&amp;"|"&amp;DATOS!$I12552)</f>
      </c>
      <c r="G12552">
        <f>IF(DATOS!$A12552="",0,IF(CONFIG_METADATA!$B$4&lt;&gt;"OR+EX",--(DATOS!$G12552=CONFIG_METADATA!$B$4),IF(DATOS!$G12552="EX",1,IF(DATOS!$G12552="OR",--(COUNTIFS(nNIA,DATOS!$A12552,nCURSO,DATOS!$D12552,nESPEC,DATOS!$E12552,nASIG,DATOS!$I12552,nEVAL,"EX")=0),0))))</f>
      </c>
      <c r="H12552">
        <f>IF(DATOS!$G12552&lt;&gt;"EX",0,--(COUNTIFS(nNIA,DATOS!$A12552,nCURSO,DATOS!$D12552,nESPEC,DATOS!$E12552,nASIG,DATOS!$I12552,nEVAL,"OR")=0))</f>
      </c>
      <c r="I12552">
        <f>IF(DATOS!$I12552="","",IFERROR(VLOOKUP(DATOS!$I12552,CONFIG_ASIGNATURAS!$B$2:$J$91,9,FALSE()),""))</f>
      </c>
    </row>
    <row r="12553">
      <c r="F12553">
        <f>IF(DATOS!$A12553="","",DATOS!$A12553&amp;"|"&amp;DATOS!$D12553&amp;"|"&amp;DATOS!$E12553&amp;"|"&amp;DATOS!$I12553)</f>
      </c>
      <c r="G12553">
        <f>IF(DATOS!$A12553="",0,IF(CONFIG_METADATA!$B$4&lt;&gt;"OR+EX",--(DATOS!$G12553=CONFIG_METADATA!$B$4),IF(DATOS!$G12553="EX",1,IF(DATOS!$G12553="OR",--(COUNTIFS(nNIA,DATOS!$A12553,nCURSO,DATOS!$D12553,nESPEC,DATOS!$E12553,nASIG,DATOS!$I12553,nEVAL,"EX")=0),0))))</f>
      </c>
      <c r="H12553">
        <f>IF(DATOS!$G12553&lt;&gt;"EX",0,--(COUNTIFS(nNIA,DATOS!$A12553,nCURSO,DATOS!$D12553,nESPEC,DATOS!$E12553,nASIG,DATOS!$I12553,nEVAL,"OR")=0))</f>
      </c>
      <c r="I12553">
        <f>IF(DATOS!$I12553="","",IFERROR(VLOOKUP(DATOS!$I12553,CONFIG_ASIGNATURAS!$B$2:$J$91,9,FALSE()),""))</f>
      </c>
    </row>
    <row r="12554">
      <c r="F12554">
        <f>IF(DATOS!$A12554="","",DATOS!$A12554&amp;"|"&amp;DATOS!$D12554&amp;"|"&amp;DATOS!$E12554&amp;"|"&amp;DATOS!$I12554)</f>
      </c>
      <c r="G12554">
        <f>IF(DATOS!$A12554="",0,IF(CONFIG_METADATA!$B$4&lt;&gt;"OR+EX",--(DATOS!$G12554=CONFIG_METADATA!$B$4),IF(DATOS!$G12554="EX",1,IF(DATOS!$G12554="OR",--(COUNTIFS(nNIA,DATOS!$A12554,nCURSO,DATOS!$D12554,nESPEC,DATOS!$E12554,nASIG,DATOS!$I12554,nEVAL,"EX")=0),0))))</f>
      </c>
      <c r="H12554">
        <f>IF(DATOS!$G12554&lt;&gt;"EX",0,--(COUNTIFS(nNIA,DATOS!$A12554,nCURSO,DATOS!$D12554,nESPEC,DATOS!$E12554,nASIG,DATOS!$I12554,nEVAL,"OR")=0))</f>
      </c>
      <c r="I12554">
        <f>IF(DATOS!$I12554="","",IFERROR(VLOOKUP(DATOS!$I12554,CONFIG_ASIGNATURAS!$B$2:$J$91,9,FALSE()),""))</f>
      </c>
    </row>
    <row r="12555">
      <c r="F12555">
        <f>IF(DATOS!$A12555="","",DATOS!$A12555&amp;"|"&amp;DATOS!$D12555&amp;"|"&amp;DATOS!$E12555&amp;"|"&amp;DATOS!$I12555)</f>
      </c>
      <c r="G12555">
        <f>IF(DATOS!$A12555="",0,IF(CONFIG_METADATA!$B$4&lt;&gt;"OR+EX",--(DATOS!$G12555=CONFIG_METADATA!$B$4),IF(DATOS!$G12555="EX",1,IF(DATOS!$G12555="OR",--(COUNTIFS(nNIA,DATOS!$A12555,nCURSO,DATOS!$D12555,nESPEC,DATOS!$E12555,nASIG,DATOS!$I12555,nEVAL,"EX")=0),0))))</f>
      </c>
      <c r="H12555">
        <f>IF(DATOS!$G12555&lt;&gt;"EX",0,--(COUNTIFS(nNIA,DATOS!$A12555,nCURSO,DATOS!$D12555,nESPEC,DATOS!$E12555,nASIG,DATOS!$I12555,nEVAL,"OR")=0))</f>
      </c>
      <c r="I12555">
        <f>IF(DATOS!$I12555="","",IFERROR(VLOOKUP(DATOS!$I12555,CONFIG_ASIGNATURAS!$B$2:$J$91,9,FALSE()),""))</f>
      </c>
    </row>
    <row r="12556">
      <c r="F12556">
        <f>IF(DATOS!$A12556="","",DATOS!$A12556&amp;"|"&amp;DATOS!$D12556&amp;"|"&amp;DATOS!$E12556&amp;"|"&amp;DATOS!$I12556)</f>
      </c>
      <c r="G12556">
        <f>IF(DATOS!$A12556="",0,IF(CONFIG_METADATA!$B$4&lt;&gt;"OR+EX",--(DATOS!$G12556=CONFIG_METADATA!$B$4),IF(DATOS!$G12556="EX",1,IF(DATOS!$G12556="OR",--(COUNTIFS(nNIA,DATOS!$A12556,nCURSO,DATOS!$D12556,nESPEC,DATOS!$E12556,nASIG,DATOS!$I12556,nEVAL,"EX")=0),0))))</f>
      </c>
      <c r="H12556">
        <f>IF(DATOS!$G12556&lt;&gt;"EX",0,--(COUNTIFS(nNIA,DATOS!$A12556,nCURSO,DATOS!$D12556,nESPEC,DATOS!$E12556,nASIG,DATOS!$I12556,nEVAL,"OR")=0))</f>
      </c>
      <c r="I12556">
        <f>IF(DATOS!$I12556="","",IFERROR(VLOOKUP(DATOS!$I12556,CONFIG_ASIGNATURAS!$B$2:$J$91,9,FALSE()),""))</f>
      </c>
    </row>
    <row r="12557">
      <c r="F12557">
        <f>IF(DATOS!$A12557="","",DATOS!$A12557&amp;"|"&amp;DATOS!$D12557&amp;"|"&amp;DATOS!$E12557&amp;"|"&amp;DATOS!$I12557)</f>
      </c>
      <c r="G12557">
        <f>IF(DATOS!$A12557="",0,IF(CONFIG_METADATA!$B$4&lt;&gt;"OR+EX",--(DATOS!$G12557=CONFIG_METADATA!$B$4),IF(DATOS!$G12557="EX",1,IF(DATOS!$G12557="OR",--(COUNTIFS(nNIA,DATOS!$A12557,nCURSO,DATOS!$D12557,nESPEC,DATOS!$E12557,nASIG,DATOS!$I12557,nEVAL,"EX")=0),0))))</f>
      </c>
      <c r="H12557">
        <f>IF(DATOS!$G12557&lt;&gt;"EX",0,--(COUNTIFS(nNIA,DATOS!$A12557,nCURSO,DATOS!$D12557,nESPEC,DATOS!$E12557,nASIG,DATOS!$I12557,nEVAL,"OR")=0))</f>
      </c>
      <c r="I12557">
        <f>IF(DATOS!$I12557="","",IFERROR(VLOOKUP(DATOS!$I12557,CONFIG_ASIGNATURAS!$B$2:$J$91,9,FALSE()),""))</f>
      </c>
    </row>
    <row r="12558">
      <c r="F12558">
        <f>IF(DATOS!$A12558="","",DATOS!$A12558&amp;"|"&amp;DATOS!$D12558&amp;"|"&amp;DATOS!$E12558&amp;"|"&amp;DATOS!$I12558)</f>
      </c>
      <c r="G12558">
        <f>IF(DATOS!$A12558="",0,IF(CONFIG_METADATA!$B$4&lt;&gt;"OR+EX",--(DATOS!$G12558=CONFIG_METADATA!$B$4),IF(DATOS!$G12558="EX",1,IF(DATOS!$G12558="OR",--(COUNTIFS(nNIA,DATOS!$A12558,nCURSO,DATOS!$D12558,nESPEC,DATOS!$E12558,nASIG,DATOS!$I12558,nEVAL,"EX")=0),0))))</f>
      </c>
      <c r="H12558">
        <f>IF(DATOS!$G12558&lt;&gt;"EX",0,--(COUNTIFS(nNIA,DATOS!$A12558,nCURSO,DATOS!$D12558,nESPEC,DATOS!$E12558,nASIG,DATOS!$I12558,nEVAL,"OR")=0))</f>
      </c>
      <c r="I12558">
        <f>IF(DATOS!$I12558="","",IFERROR(VLOOKUP(DATOS!$I12558,CONFIG_ASIGNATURAS!$B$2:$J$91,9,FALSE()),""))</f>
      </c>
    </row>
    <row r="12559">
      <c r="F12559">
        <f>IF(DATOS!$A12559="","",DATOS!$A12559&amp;"|"&amp;DATOS!$D12559&amp;"|"&amp;DATOS!$E12559&amp;"|"&amp;DATOS!$I12559)</f>
      </c>
      <c r="G12559">
        <f>IF(DATOS!$A12559="",0,IF(CONFIG_METADATA!$B$4&lt;&gt;"OR+EX",--(DATOS!$G12559=CONFIG_METADATA!$B$4),IF(DATOS!$G12559="EX",1,IF(DATOS!$G12559="OR",--(COUNTIFS(nNIA,DATOS!$A12559,nCURSO,DATOS!$D12559,nESPEC,DATOS!$E12559,nASIG,DATOS!$I12559,nEVAL,"EX")=0),0))))</f>
      </c>
      <c r="H12559">
        <f>IF(DATOS!$G12559&lt;&gt;"EX",0,--(COUNTIFS(nNIA,DATOS!$A12559,nCURSO,DATOS!$D12559,nESPEC,DATOS!$E12559,nASIG,DATOS!$I12559,nEVAL,"OR")=0))</f>
      </c>
      <c r="I12559">
        <f>IF(DATOS!$I12559="","",IFERROR(VLOOKUP(DATOS!$I12559,CONFIG_ASIGNATURAS!$B$2:$J$91,9,FALSE()),""))</f>
      </c>
    </row>
    <row r="12560">
      <c r="F12560">
        <f>IF(DATOS!$A12560="","",DATOS!$A12560&amp;"|"&amp;DATOS!$D12560&amp;"|"&amp;DATOS!$E12560&amp;"|"&amp;DATOS!$I12560)</f>
      </c>
      <c r="G12560">
        <f>IF(DATOS!$A12560="",0,IF(CONFIG_METADATA!$B$4&lt;&gt;"OR+EX",--(DATOS!$G12560=CONFIG_METADATA!$B$4),IF(DATOS!$G12560="EX",1,IF(DATOS!$G12560="OR",--(COUNTIFS(nNIA,DATOS!$A12560,nCURSO,DATOS!$D12560,nESPEC,DATOS!$E12560,nASIG,DATOS!$I12560,nEVAL,"EX")=0),0))))</f>
      </c>
      <c r="H12560">
        <f>IF(DATOS!$G12560&lt;&gt;"EX",0,--(COUNTIFS(nNIA,DATOS!$A12560,nCURSO,DATOS!$D12560,nESPEC,DATOS!$E12560,nASIG,DATOS!$I12560,nEVAL,"OR")=0))</f>
      </c>
      <c r="I12560">
        <f>IF(DATOS!$I12560="","",IFERROR(VLOOKUP(DATOS!$I12560,CONFIG_ASIGNATURAS!$B$2:$J$91,9,FALSE()),""))</f>
      </c>
    </row>
    <row r="12561">
      <c r="F12561">
        <f>IF(DATOS!$A12561="","",DATOS!$A12561&amp;"|"&amp;DATOS!$D12561&amp;"|"&amp;DATOS!$E12561&amp;"|"&amp;DATOS!$I12561)</f>
      </c>
      <c r="G12561">
        <f>IF(DATOS!$A12561="",0,IF(CONFIG_METADATA!$B$4&lt;&gt;"OR+EX",--(DATOS!$G12561=CONFIG_METADATA!$B$4),IF(DATOS!$G12561="EX",1,IF(DATOS!$G12561="OR",--(COUNTIFS(nNIA,DATOS!$A12561,nCURSO,DATOS!$D12561,nESPEC,DATOS!$E12561,nASIG,DATOS!$I12561,nEVAL,"EX")=0),0))))</f>
      </c>
      <c r="H12561">
        <f>IF(DATOS!$G12561&lt;&gt;"EX",0,--(COUNTIFS(nNIA,DATOS!$A12561,nCURSO,DATOS!$D12561,nESPEC,DATOS!$E12561,nASIG,DATOS!$I12561,nEVAL,"OR")=0))</f>
      </c>
      <c r="I12561">
        <f>IF(DATOS!$I12561="","",IFERROR(VLOOKUP(DATOS!$I12561,CONFIG_ASIGNATURAS!$B$2:$J$91,9,FALSE()),""))</f>
      </c>
    </row>
    <row r="12562">
      <c r="F12562">
        <f>IF(DATOS!$A12562="","",DATOS!$A12562&amp;"|"&amp;DATOS!$D12562&amp;"|"&amp;DATOS!$E12562&amp;"|"&amp;DATOS!$I12562)</f>
      </c>
      <c r="G12562">
        <f>IF(DATOS!$A12562="",0,IF(CONFIG_METADATA!$B$4&lt;&gt;"OR+EX",--(DATOS!$G12562=CONFIG_METADATA!$B$4),IF(DATOS!$G12562="EX",1,IF(DATOS!$G12562="OR",--(COUNTIFS(nNIA,DATOS!$A12562,nCURSO,DATOS!$D12562,nESPEC,DATOS!$E12562,nASIG,DATOS!$I12562,nEVAL,"EX")=0),0))))</f>
      </c>
      <c r="H12562">
        <f>IF(DATOS!$G12562&lt;&gt;"EX",0,--(COUNTIFS(nNIA,DATOS!$A12562,nCURSO,DATOS!$D12562,nESPEC,DATOS!$E12562,nASIG,DATOS!$I12562,nEVAL,"OR")=0))</f>
      </c>
      <c r="I12562">
        <f>IF(DATOS!$I12562="","",IFERROR(VLOOKUP(DATOS!$I12562,CONFIG_ASIGNATURAS!$B$2:$J$91,9,FALSE()),""))</f>
      </c>
    </row>
    <row r="12563">
      <c r="F12563">
        <f>IF(DATOS!$A12563="","",DATOS!$A12563&amp;"|"&amp;DATOS!$D12563&amp;"|"&amp;DATOS!$E12563&amp;"|"&amp;DATOS!$I12563)</f>
      </c>
      <c r="G12563">
        <f>IF(DATOS!$A12563="",0,IF(CONFIG_METADATA!$B$4&lt;&gt;"OR+EX",--(DATOS!$G12563=CONFIG_METADATA!$B$4),IF(DATOS!$G12563="EX",1,IF(DATOS!$G12563="OR",--(COUNTIFS(nNIA,DATOS!$A12563,nCURSO,DATOS!$D12563,nESPEC,DATOS!$E12563,nASIG,DATOS!$I12563,nEVAL,"EX")=0),0))))</f>
      </c>
      <c r="H12563">
        <f>IF(DATOS!$G12563&lt;&gt;"EX",0,--(COUNTIFS(nNIA,DATOS!$A12563,nCURSO,DATOS!$D12563,nESPEC,DATOS!$E12563,nASIG,DATOS!$I12563,nEVAL,"OR")=0))</f>
      </c>
      <c r="I12563">
        <f>IF(DATOS!$I12563="","",IFERROR(VLOOKUP(DATOS!$I12563,CONFIG_ASIGNATURAS!$B$2:$J$91,9,FALSE()),""))</f>
      </c>
    </row>
    <row r="12564">
      <c r="F12564">
        <f>IF(DATOS!$A12564="","",DATOS!$A12564&amp;"|"&amp;DATOS!$D12564&amp;"|"&amp;DATOS!$E12564&amp;"|"&amp;DATOS!$I12564)</f>
      </c>
      <c r="G12564">
        <f>IF(DATOS!$A12564="",0,IF(CONFIG_METADATA!$B$4&lt;&gt;"OR+EX",--(DATOS!$G12564=CONFIG_METADATA!$B$4),IF(DATOS!$G12564="EX",1,IF(DATOS!$G12564="OR",--(COUNTIFS(nNIA,DATOS!$A12564,nCURSO,DATOS!$D12564,nESPEC,DATOS!$E12564,nASIG,DATOS!$I12564,nEVAL,"EX")=0),0))))</f>
      </c>
      <c r="H12564">
        <f>IF(DATOS!$G12564&lt;&gt;"EX",0,--(COUNTIFS(nNIA,DATOS!$A12564,nCURSO,DATOS!$D12564,nESPEC,DATOS!$E12564,nASIG,DATOS!$I12564,nEVAL,"OR")=0))</f>
      </c>
      <c r="I12564">
        <f>IF(DATOS!$I12564="","",IFERROR(VLOOKUP(DATOS!$I12564,CONFIG_ASIGNATURAS!$B$2:$J$91,9,FALSE()),""))</f>
      </c>
    </row>
    <row r="12565">
      <c r="F12565">
        <f>IF(DATOS!$A12565="","",DATOS!$A12565&amp;"|"&amp;DATOS!$D12565&amp;"|"&amp;DATOS!$E12565&amp;"|"&amp;DATOS!$I12565)</f>
      </c>
      <c r="G12565">
        <f>IF(DATOS!$A12565="",0,IF(CONFIG_METADATA!$B$4&lt;&gt;"OR+EX",--(DATOS!$G12565=CONFIG_METADATA!$B$4),IF(DATOS!$G12565="EX",1,IF(DATOS!$G12565="OR",--(COUNTIFS(nNIA,DATOS!$A12565,nCURSO,DATOS!$D12565,nESPEC,DATOS!$E12565,nASIG,DATOS!$I12565,nEVAL,"EX")=0),0))))</f>
      </c>
      <c r="H12565">
        <f>IF(DATOS!$G12565&lt;&gt;"EX",0,--(COUNTIFS(nNIA,DATOS!$A12565,nCURSO,DATOS!$D12565,nESPEC,DATOS!$E12565,nASIG,DATOS!$I12565,nEVAL,"OR")=0))</f>
      </c>
      <c r="I12565">
        <f>IF(DATOS!$I12565="","",IFERROR(VLOOKUP(DATOS!$I12565,CONFIG_ASIGNATURAS!$B$2:$J$91,9,FALSE()),""))</f>
      </c>
    </row>
    <row r="12566">
      <c r="F12566">
        <f>IF(DATOS!$A12566="","",DATOS!$A12566&amp;"|"&amp;DATOS!$D12566&amp;"|"&amp;DATOS!$E12566&amp;"|"&amp;DATOS!$I12566)</f>
      </c>
      <c r="G12566">
        <f>IF(DATOS!$A12566="",0,IF(CONFIG_METADATA!$B$4&lt;&gt;"OR+EX",--(DATOS!$G12566=CONFIG_METADATA!$B$4),IF(DATOS!$G12566="EX",1,IF(DATOS!$G12566="OR",--(COUNTIFS(nNIA,DATOS!$A12566,nCURSO,DATOS!$D12566,nESPEC,DATOS!$E12566,nASIG,DATOS!$I12566,nEVAL,"EX")=0),0))))</f>
      </c>
      <c r="H12566">
        <f>IF(DATOS!$G12566&lt;&gt;"EX",0,--(COUNTIFS(nNIA,DATOS!$A12566,nCURSO,DATOS!$D12566,nESPEC,DATOS!$E12566,nASIG,DATOS!$I12566,nEVAL,"OR")=0))</f>
      </c>
      <c r="I12566">
        <f>IF(DATOS!$I12566="","",IFERROR(VLOOKUP(DATOS!$I12566,CONFIG_ASIGNATURAS!$B$2:$J$91,9,FALSE()),""))</f>
      </c>
    </row>
    <row r="12567">
      <c r="F12567">
        <f>IF(DATOS!$A12567="","",DATOS!$A12567&amp;"|"&amp;DATOS!$D12567&amp;"|"&amp;DATOS!$E12567&amp;"|"&amp;DATOS!$I12567)</f>
      </c>
      <c r="G12567">
        <f>IF(DATOS!$A12567="",0,IF(CONFIG_METADATA!$B$4&lt;&gt;"OR+EX",--(DATOS!$G12567=CONFIG_METADATA!$B$4),IF(DATOS!$G12567="EX",1,IF(DATOS!$G12567="OR",--(COUNTIFS(nNIA,DATOS!$A12567,nCURSO,DATOS!$D12567,nESPEC,DATOS!$E12567,nASIG,DATOS!$I12567,nEVAL,"EX")=0),0))))</f>
      </c>
      <c r="H12567">
        <f>IF(DATOS!$G12567&lt;&gt;"EX",0,--(COUNTIFS(nNIA,DATOS!$A12567,nCURSO,DATOS!$D12567,nESPEC,DATOS!$E12567,nASIG,DATOS!$I12567,nEVAL,"OR")=0))</f>
      </c>
      <c r="I12567">
        <f>IF(DATOS!$I12567="","",IFERROR(VLOOKUP(DATOS!$I12567,CONFIG_ASIGNATURAS!$B$2:$J$91,9,FALSE()),""))</f>
      </c>
    </row>
    <row r="12568">
      <c r="F12568">
        <f>IF(DATOS!$A12568="","",DATOS!$A12568&amp;"|"&amp;DATOS!$D12568&amp;"|"&amp;DATOS!$E12568&amp;"|"&amp;DATOS!$I12568)</f>
      </c>
      <c r="G12568">
        <f>IF(DATOS!$A12568="",0,IF(CONFIG_METADATA!$B$4&lt;&gt;"OR+EX",--(DATOS!$G12568=CONFIG_METADATA!$B$4),IF(DATOS!$G12568="EX",1,IF(DATOS!$G12568="OR",--(COUNTIFS(nNIA,DATOS!$A12568,nCURSO,DATOS!$D12568,nESPEC,DATOS!$E12568,nASIG,DATOS!$I12568,nEVAL,"EX")=0),0))))</f>
      </c>
      <c r="H12568">
        <f>IF(DATOS!$G12568&lt;&gt;"EX",0,--(COUNTIFS(nNIA,DATOS!$A12568,nCURSO,DATOS!$D12568,nESPEC,DATOS!$E12568,nASIG,DATOS!$I12568,nEVAL,"OR")=0))</f>
      </c>
      <c r="I12568">
        <f>IF(DATOS!$I12568="","",IFERROR(VLOOKUP(DATOS!$I12568,CONFIG_ASIGNATURAS!$B$2:$J$91,9,FALSE()),""))</f>
      </c>
    </row>
    <row r="12569">
      <c r="F12569">
        <f>IF(DATOS!$A12569="","",DATOS!$A12569&amp;"|"&amp;DATOS!$D12569&amp;"|"&amp;DATOS!$E12569&amp;"|"&amp;DATOS!$I12569)</f>
      </c>
      <c r="G12569">
        <f>IF(DATOS!$A12569="",0,IF(CONFIG_METADATA!$B$4&lt;&gt;"OR+EX",--(DATOS!$G12569=CONFIG_METADATA!$B$4),IF(DATOS!$G12569="EX",1,IF(DATOS!$G12569="OR",--(COUNTIFS(nNIA,DATOS!$A12569,nCURSO,DATOS!$D12569,nESPEC,DATOS!$E12569,nASIG,DATOS!$I12569,nEVAL,"EX")=0),0))))</f>
      </c>
      <c r="H12569">
        <f>IF(DATOS!$G12569&lt;&gt;"EX",0,--(COUNTIFS(nNIA,DATOS!$A12569,nCURSO,DATOS!$D12569,nESPEC,DATOS!$E12569,nASIG,DATOS!$I12569,nEVAL,"OR")=0))</f>
      </c>
      <c r="I12569">
        <f>IF(DATOS!$I12569="","",IFERROR(VLOOKUP(DATOS!$I12569,CONFIG_ASIGNATURAS!$B$2:$J$91,9,FALSE()),""))</f>
      </c>
    </row>
    <row r="12570">
      <c r="F12570">
        <f>IF(DATOS!$A12570="","",DATOS!$A12570&amp;"|"&amp;DATOS!$D12570&amp;"|"&amp;DATOS!$E12570&amp;"|"&amp;DATOS!$I12570)</f>
      </c>
      <c r="G12570">
        <f>IF(DATOS!$A12570="",0,IF(CONFIG_METADATA!$B$4&lt;&gt;"OR+EX",--(DATOS!$G12570=CONFIG_METADATA!$B$4),IF(DATOS!$G12570="EX",1,IF(DATOS!$G12570="OR",--(COUNTIFS(nNIA,DATOS!$A12570,nCURSO,DATOS!$D12570,nESPEC,DATOS!$E12570,nASIG,DATOS!$I12570,nEVAL,"EX")=0),0))))</f>
      </c>
      <c r="H12570">
        <f>IF(DATOS!$G12570&lt;&gt;"EX",0,--(COUNTIFS(nNIA,DATOS!$A12570,nCURSO,DATOS!$D12570,nESPEC,DATOS!$E12570,nASIG,DATOS!$I12570,nEVAL,"OR")=0))</f>
      </c>
      <c r="I12570">
        <f>IF(DATOS!$I12570="","",IFERROR(VLOOKUP(DATOS!$I12570,CONFIG_ASIGNATURAS!$B$2:$J$91,9,FALSE()),""))</f>
      </c>
    </row>
    <row r="12571">
      <c r="F12571">
        <f>IF(DATOS!$A12571="","",DATOS!$A12571&amp;"|"&amp;DATOS!$D12571&amp;"|"&amp;DATOS!$E12571&amp;"|"&amp;DATOS!$I12571)</f>
      </c>
      <c r="G12571">
        <f>IF(DATOS!$A12571="",0,IF(CONFIG_METADATA!$B$4&lt;&gt;"OR+EX",--(DATOS!$G12571=CONFIG_METADATA!$B$4),IF(DATOS!$G12571="EX",1,IF(DATOS!$G12571="OR",--(COUNTIFS(nNIA,DATOS!$A12571,nCURSO,DATOS!$D12571,nESPEC,DATOS!$E12571,nASIG,DATOS!$I12571,nEVAL,"EX")=0),0))))</f>
      </c>
      <c r="H12571">
        <f>IF(DATOS!$G12571&lt;&gt;"EX",0,--(COUNTIFS(nNIA,DATOS!$A12571,nCURSO,DATOS!$D12571,nESPEC,DATOS!$E12571,nASIG,DATOS!$I12571,nEVAL,"OR")=0))</f>
      </c>
      <c r="I12571">
        <f>IF(DATOS!$I12571="","",IFERROR(VLOOKUP(DATOS!$I12571,CONFIG_ASIGNATURAS!$B$2:$J$91,9,FALSE()),""))</f>
      </c>
    </row>
    <row r="12572">
      <c r="F12572">
        <f>IF(DATOS!$A12572="","",DATOS!$A12572&amp;"|"&amp;DATOS!$D12572&amp;"|"&amp;DATOS!$E12572&amp;"|"&amp;DATOS!$I12572)</f>
      </c>
      <c r="G12572">
        <f>IF(DATOS!$A12572="",0,IF(CONFIG_METADATA!$B$4&lt;&gt;"OR+EX",--(DATOS!$G12572=CONFIG_METADATA!$B$4),IF(DATOS!$G12572="EX",1,IF(DATOS!$G12572="OR",--(COUNTIFS(nNIA,DATOS!$A12572,nCURSO,DATOS!$D12572,nESPEC,DATOS!$E12572,nASIG,DATOS!$I12572,nEVAL,"EX")=0),0))))</f>
      </c>
      <c r="H12572">
        <f>IF(DATOS!$G12572&lt;&gt;"EX",0,--(COUNTIFS(nNIA,DATOS!$A12572,nCURSO,DATOS!$D12572,nESPEC,DATOS!$E12572,nASIG,DATOS!$I12572,nEVAL,"OR")=0))</f>
      </c>
      <c r="I12572">
        <f>IF(DATOS!$I12572="","",IFERROR(VLOOKUP(DATOS!$I12572,CONFIG_ASIGNATURAS!$B$2:$J$91,9,FALSE()),""))</f>
      </c>
    </row>
    <row r="12573">
      <c r="F12573">
        <f>IF(DATOS!$A12573="","",DATOS!$A12573&amp;"|"&amp;DATOS!$D12573&amp;"|"&amp;DATOS!$E12573&amp;"|"&amp;DATOS!$I12573)</f>
      </c>
      <c r="G12573">
        <f>IF(DATOS!$A12573="",0,IF(CONFIG_METADATA!$B$4&lt;&gt;"OR+EX",--(DATOS!$G12573=CONFIG_METADATA!$B$4),IF(DATOS!$G12573="EX",1,IF(DATOS!$G12573="OR",--(COUNTIFS(nNIA,DATOS!$A12573,nCURSO,DATOS!$D12573,nESPEC,DATOS!$E12573,nASIG,DATOS!$I12573,nEVAL,"EX")=0),0))))</f>
      </c>
      <c r="H12573">
        <f>IF(DATOS!$G12573&lt;&gt;"EX",0,--(COUNTIFS(nNIA,DATOS!$A12573,nCURSO,DATOS!$D12573,nESPEC,DATOS!$E12573,nASIG,DATOS!$I12573,nEVAL,"OR")=0))</f>
      </c>
      <c r="I12573">
        <f>IF(DATOS!$I12573="","",IFERROR(VLOOKUP(DATOS!$I12573,CONFIG_ASIGNATURAS!$B$2:$J$91,9,FALSE()),""))</f>
      </c>
    </row>
    <row r="12574">
      <c r="F12574">
        <f>IF(DATOS!$A12574="","",DATOS!$A12574&amp;"|"&amp;DATOS!$D12574&amp;"|"&amp;DATOS!$E12574&amp;"|"&amp;DATOS!$I12574)</f>
      </c>
      <c r="G12574">
        <f>IF(DATOS!$A12574="",0,IF(CONFIG_METADATA!$B$4&lt;&gt;"OR+EX",--(DATOS!$G12574=CONFIG_METADATA!$B$4),IF(DATOS!$G12574="EX",1,IF(DATOS!$G12574="OR",--(COUNTIFS(nNIA,DATOS!$A12574,nCURSO,DATOS!$D12574,nESPEC,DATOS!$E12574,nASIG,DATOS!$I12574,nEVAL,"EX")=0),0))))</f>
      </c>
      <c r="H12574">
        <f>IF(DATOS!$G12574&lt;&gt;"EX",0,--(COUNTIFS(nNIA,DATOS!$A12574,nCURSO,DATOS!$D12574,nESPEC,DATOS!$E12574,nASIG,DATOS!$I12574,nEVAL,"OR")=0))</f>
      </c>
      <c r="I12574">
        <f>IF(DATOS!$I12574="","",IFERROR(VLOOKUP(DATOS!$I12574,CONFIG_ASIGNATURAS!$B$2:$J$91,9,FALSE()),""))</f>
      </c>
    </row>
    <row r="12575">
      <c r="F12575">
        <f>IF(DATOS!$A12575="","",DATOS!$A12575&amp;"|"&amp;DATOS!$D12575&amp;"|"&amp;DATOS!$E12575&amp;"|"&amp;DATOS!$I12575)</f>
      </c>
      <c r="G12575">
        <f>IF(DATOS!$A12575="",0,IF(CONFIG_METADATA!$B$4&lt;&gt;"OR+EX",--(DATOS!$G12575=CONFIG_METADATA!$B$4),IF(DATOS!$G12575="EX",1,IF(DATOS!$G12575="OR",--(COUNTIFS(nNIA,DATOS!$A12575,nCURSO,DATOS!$D12575,nESPEC,DATOS!$E12575,nASIG,DATOS!$I12575,nEVAL,"EX")=0),0))))</f>
      </c>
      <c r="H12575">
        <f>IF(DATOS!$G12575&lt;&gt;"EX",0,--(COUNTIFS(nNIA,DATOS!$A12575,nCURSO,DATOS!$D12575,nESPEC,DATOS!$E12575,nASIG,DATOS!$I12575,nEVAL,"OR")=0))</f>
      </c>
      <c r="I12575">
        <f>IF(DATOS!$I12575="","",IFERROR(VLOOKUP(DATOS!$I12575,CONFIG_ASIGNATURAS!$B$2:$J$91,9,FALSE()),""))</f>
      </c>
    </row>
    <row r="12576">
      <c r="F12576">
        <f>IF(DATOS!$A12576="","",DATOS!$A12576&amp;"|"&amp;DATOS!$D12576&amp;"|"&amp;DATOS!$E12576&amp;"|"&amp;DATOS!$I12576)</f>
      </c>
      <c r="G12576">
        <f>IF(DATOS!$A12576="",0,IF(CONFIG_METADATA!$B$4&lt;&gt;"OR+EX",--(DATOS!$G12576=CONFIG_METADATA!$B$4),IF(DATOS!$G12576="EX",1,IF(DATOS!$G12576="OR",--(COUNTIFS(nNIA,DATOS!$A12576,nCURSO,DATOS!$D12576,nESPEC,DATOS!$E12576,nASIG,DATOS!$I12576,nEVAL,"EX")=0),0))))</f>
      </c>
      <c r="H12576">
        <f>IF(DATOS!$G12576&lt;&gt;"EX",0,--(COUNTIFS(nNIA,DATOS!$A12576,nCURSO,DATOS!$D12576,nESPEC,DATOS!$E12576,nASIG,DATOS!$I12576,nEVAL,"OR")=0))</f>
      </c>
      <c r="I12576">
        <f>IF(DATOS!$I12576="","",IFERROR(VLOOKUP(DATOS!$I12576,CONFIG_ASIGNATURAS!$B$2:$J$91,9,FALSE()),""))</f>
      </c>
    </row>
    <row r="12577">
      <c r="F12577">
        <f>IF(DATOS!$A12577="","",DATOS!$A12577&amp;"|"&amp;DATOS!$D12577&amp;"|"&amp;DATOS!$E12577&amp;"|"&amp;DATOS!$I12577)</f>
      </c>
      <c r="G12577">
        <f>IF(DATOS!$A12577="",0,IF(CONFIG_METADATA!$B$4&lt;&gt;"OR+EX",--(DATOS!$G12577=CONFIG_METADATA!$B$4),IF(DATOS!$G12577="EX",1,IF(DATOS!$G12577="OR",--(COUNTIFS(nNIA,DATOS!$A12577,nCURSO,DATOS!$D12577,nESPEC,DATOS!$E12577,nASIG,DATOS!$I12577,nEVAL,"EX")=0),0))))</f>
      </c>
      <c r="H12577">
        <f>IF(DATOS!$G12577&lt;&gt;"EX",0,--(COUNTIFS(nNIA,DATOS!$A12577,nCURSO,DATOS!$D12577,nESPEC,DATOS!$E12577,nASIG,DATOS!$I12577,nEVAL,"OR")=0))</f>
      </c>
      <c r="I12577">
        <f>IF(DATOS!$I12577="","",IFERROR(VLOOKUP(DATOS!$I12577,CONFIG_ASIGNATURAS!$B$2:$J$91,9,FALSE()),""))</f>
      </c>
    </row>
    <row r="12578">
      <c r="F12578">
        <f>IF(DATOS!$A12578="","",DATOS!$A12578&amp;"|"&amp;DATOS!$D12578&amp;"|"&amp;DATOS!$E12578&amp;"|"&amp;DATOS!$I12578)</f>
      </c>
      <c r="G12578">
        <f>IF(DATOS!$A12578="",0,IF(CONFIG_METADATA!$B$4&lt;&gt;"OR+EX",--(DATOS!$G12578=CONFIG_METADATA!$B$4),IF(DATOS!$G12578="EX",1,IF(DATOS!$G12578="OR",--(COUNTIFS(nNIA,DATOS!$A12578,nCURSO,DATOS!$D12578,nESPEC,DATOS!$E12578,nASIG,DATOS!$I12578,nEVAL,"EX")=0),0))))</f>
      </c>
      <c r="H12578">
        <f>IF(DATOS!$G12578&lt;&gt;"EX",0,--(COUNTIFS(nNIA,DATOS!$A12578,nCURSO,DATOS!$D12578,nESPEC,DATOS!$E12578,nASIG,DATOS!$I12578,nEVAL,"OR")=0))</f>
      </c>
      <c r="I12578">
        <f>IF(DATOS!$I12578="","",IFERROR(VLOOKUP(DATOS!$I12578,CONFIG_ASIGNATURAS!$B$2:$J$91,9,FALSE()),""))</f>
      </c>
    </row>
    <row r="12579">
      <c r="F12579">
        <f>IF(DATOS!$A12579="","",DATOS!$A12579&amp;"|"&amp;DATOS!$D12579&amp;"|"&amp;DATOS!$E12579&amp;"|"&amp;DATOS!$I12579)</f>
      </c>
      <c r="G12579">
        <f>IF(DATOS!$A12579="",0,IF(CONFIG_METADATA!$B$4&lt;&gt;"OR+EX",--(DATOS!$G12579=CONFIG_METADATA!$B$4),IF(DATOS!$G12579="EX",1,IF(DATOS!$G12579="OR",--(COUNTIFS(nNIA,DATOS!$A12579,nCURSO,DATOS!$D12579,nESPEC,DATOS!$E12579,nASIG,DATOS!$I12579,nEVAL,"EX")=0),0))))</f>
      </c>
      <c r="H12579">
        <f>IF(DATOS!$G12579&lt;&gt;"EX",0,--(COUNTIFS(nNIA,DATOS!$A12579,nCURSO,DATOS!$D12579,nESPEC,DATOS!$E12579,nASIG,DATOS!$I12579,nEVAL,"OR")=0))</f>
      </c>
      <c r="I12579">
        <f>IF(DATOS!$I12579="","",IFERROR(VLOOKUP(DATOS!$I12579,CONFIG_ASIGNATURAS!$B$2:$J$91,9,FALSE()),""))</f>
      </c>
    </row>
    <row r="12580">
      <c r="F12580">
        <f>IF(DATOS!$A12580="","",DATOS!$A12580&amp;"|"&amp;DATOS!$D12580&amp;"|"&amp;DATOS!$E12580&amp;"|"&amp;DATOS!$I12580)</f>
      </c>
      <c r="G12580">
        <f>IF(DATOS!$A12580="",0,IF(CONFIG_METADATA!$B$4&lt;&gt;"OR+EX",--(DATOS!$G12580=CONFIG_METADATA!$B$4),IF(DATOS!$G12580="EX",1,IF(DATOS!$G12580="OR",--(COUNTIFS(nNIA,DATOS!$A12580,nCURSO,DATOS!$D12580,nESPEC,DATOS!$E12580,nASIG,DATOS!$I12580,nEVAL,"EX")=0),0))))</f>
      </c>
      <c r="H12580">
        <f>IF(DATOS!$G12580&lt;&gt;"EX",0,--(COUNTIFS(nNIA,DATOS!$A12580,nCURSO,DATOS!$D12580,nESPEC,DATOS!$E12580,nASIG,DATOS!$I12580,nEVAL,"OR")=0))</f>
      </c>
      <c r="I12580">
        <f>IF(DATOS!$I12580="","",IFERROR(VLOOKUP(DATOS!$I12580,CONFIG_ASIGNATURAS!$B$2:$J$91,9,FALSE()),""))</f>
      </c>
    </row>
    <row r="12581">
      <c r="F12581">
        <f>IF(DATOS!$A12581="","",DATOS!$A12581&amp;"|"&amp;DATOS!$D12581&amp;"|"&amp;DATOS!$E12581&amp;"|"&amp;DATOS!$I12581)</f>
      </c>
      <c r="G12581">
        <f>IF(DATOS!$A12581="",0,IF(CONFIG_METADATA!$B$4&lt;&gt;"OR+EX",--(DATOS!$G12581=CONFIG_METADATA!$B$4),IF(DATOS!$G12581="EX",1,IF(DATOS!$G12581="OR",--(COUNTIFS(nNIA,DATOS!$A12581,nCURSO,DATOS!$D12581,nESPEC,DATOS!$E12581,nASIG,DATOS!$I12581,nEVAL,"EX")=0),0))))</f>
      </c>
      <c r="H12581">
        <f>IF(DATOS!$G12581&lt;&gt;"EX",0,--(COUNTIFS(nNIA,DATOS!$A12581,nCURSO,DATOS!$D12581,nESPEC,DATOS!$E12581,nASIG,DATOS!$I12581,nEVAL,"OR")=0))</f>
      </c>
      <c r="I12581">
        <f>IF(DATOS!$I12581="","",IFERROR(VLOOKUP(DATOS!$I12581,CONFIG_ASIGNATURAS!$B$2:$J$91,9,FALSE()),""))</f>
      </c>
    </row>
    <row r="12582">
      <c r="F12582">
        <f>IF(DATOS!$A12582="","",DATOS!$A12582&amp;"|"&amp;DATOS!$D12582&amp;"|"&amp;DATOS!$E12582&amp;"|"&amp;DATOS!$I12582)</f>
      </c>
      <c r="G12582">
        <f>IF(DATOS!$A12582="",0,IF(CONFIG_METADATA!$B$4&lt;&gt;"OR+EX",--(DATOS!$G12582=CONFIG_METADATA!$B$4),IF(DATOS!$G12582="EX",1,IF(DATOS!$G12582="OR",--(COUNTIFS(nNIA,DATOS!$A12582,nCURSO,DATOS!$D12582,nESPEC,DATOS!$E12582,nASIG,DATOS!$I12582,nEVAL,"EX")=0),0))))</f>
      </c>
      <c r="H12582">
        <f>IF(DATOS!$G12582&lt;&gt;"EX",0,--(COUNTIFS(nNIA,DATOS!$A12582,nCURSO,DATOS!$D12582,nESPEC,DATOS!$E12582,nASIG,DATOS!$I12582,nEVAL,"OR")=0))</f>
      </c>
      <c r="I12582">
        <f>IF(DATOS!$I12582="","",IFERROR(VLOOKUP(DATOS!$I12582,CONFIG_ASIGNATURAS!$B$2:$J$91,9,FALSE()),""))</f>
      </c>
    </row>
    <row r="12583">
      <c r="F12583">
        <f>IF(DATOS!$A12583="","",DATOS!$A12583&amp;"|"&amp;DATOS!$D12583&amp;"|"&amp;DATOS!$E12583&amp;"|"&amp;DATOS!$I12583)</f>
      </c>
      <c r="G12583">
        <f>IF(DATOS!$A12583="",0,IF(CONFIG_METADATA!$B$4&lt;&gt;"OR+EX",--(DATOS!$G12583=CONFIG_METADATA!$B$4),IF(DATOS!$G12583="EX",1,IF(DATOS!$G12583="OR",--(COUNTIFS(nNIA,DATOS!$A12583,nCURSO,DATOS!$D12583,nESPEC,DATOS!$E12583,nASIG,DATOS!$I12583,nEVAL,"EX")=0),0))))</f>
      </c>
      <c r="H12583">
        <f>IF(DATOS!$G12583&lt;&gt;"EX",0,--(COUNTIFS(nNIA,DATOS!$A12583,nCURSO,DATOS!$D12583,nESPEC,DATOS!$E12583,nASIG,DATOS!$I12583,nEVAL,"OR")=0))</f>
      </c>
      <c r="I12583">
        <f>IF(DATOS!$I12583="","",IFERROR(VLOOKUP(DATOS!$I12583,CONFIG_ASIGNATURAS!$B$2:$J$91,9,FALSE()),""))</f>
      </c>
    </row>
    <row r="12584">
      <c r="F12584">
        <f>IF(DATOS!$A12584="","",DATOS!$A12584&amp;"|"&amp;DATOS!$D12584&amp;"|"&amp;DATOS!$E12584&amp;"|"&amp;DATOS!$I12584)</f>
      </c>
      <c r="G12584">
        <f>IF(DATOS!$A12584="",0,IF(CONFIG_METADATA!$B$4&lt;&gt;"OR+EX",--(DATOS!$G12584=CONFIG_METADATA!$B$4),IF(DATOS!$G12584="EX",1,IF(DATOS!$G12584="OR",--(COUNTIFS(nNIA,DATOS!$A12584,nCURSO,DATOS!$D12584,nESPEC,DATOS!$E12584,nASIG,DATOS!$I12584,nEVAL,"EX")=0),0))))</f>
      </c>
      <c r="H12584">
        <f>IF(DATOS!$G12584&lt;&gt;"EX",0,--(COUNTIFS(nNIA,DATOS!$A12584,nCURSO,DATOS!$D12584,nESPEC,DATOS!$E12584,nASIG,DATOS!$I12584,nEVAL,"OR")=0))</f>
      </c>
      <c r="I12584">
        <f>IF(DATOS!$I12584="","",IFERROR(VLOOKUP(DATOS!$I12584,CONFIG_ASIGNATURAS!$B$2:$J$91,9,FALSE()),""))</f>
      </c>
    </row>
    <row r="12585">
      <c r="F12585">
        <f>IF(DATOS!$A12585="","",DATOS!$A12585&amp;"|"&amp;DATOS!$D12585&amp;"|"&amp;DATOS!$E12585&amp;"|"&amp;DATOS!$I12585)</f>
      </c>
      <c r="G12585">
        <f>IF(DATOS!$A12585="",0,IF(CONFIG_METADATA!$B$4&lt;&gt;"OR+EX",--(DATOS!$G12585=CONFIG_METADATA!$B$4),IF(DATOS!$G12585="EX",1,IF(DATOS!$G12585="OR",--(COUNTIFS(nNIA,DATOS!$A12585,nCURSO,DATOS!$D12585,nESPEC,DATOS!$E12585,nASIG,DATOS!$I12585,nEVAL,"EX")=0),0))))</f>
      </c>
      <c r="H12585">
        <f>IF(DATOS!$G12585&lt;&gt;"EX",0,--(COUNTIFS(nNIA,DATOS!$A12585,nCURSO,DATOS!$D12585,nESPEC,DATOS!$E12585,nASIG,DATOS!$I12585,nEVAL,"OR")=0))</f>
      </c>
      <c r="I12585">
        <f>IF(DATOS!$I12585="","",IFERROR(VLOOKUP(DATOS!$I12585,CONFIG_ASIGNATURAS!$B$2:$J$91,9,FALSE()),""))</f>
      </c>
    </row>
    <row r="12586">
      <c r="F12586">
        <f>IF(DATOS!$A12586="","",DATOS!$A12586&amp;"|"&amp;DATOS!$D12586&amp;"|"&amp;DATOS!$E12586&amp;"|"&amp;DATOS!$I12586)</f>
      </c>
      <c r="G12586">
        <f>IF(DATOS!$A12586="",0,IF(CONFIG_METADATA!$B$4&lt;&gt;"OR+EX",--(DATOS!$G12586=CONFIG_METADATA!$B$4),IF(DATOS!$G12586="EX",1,IF(DATOS!$G12586="OR",--(COUNTIFS(nNIA,DATOS!$A12586,nCURSO,DATOS!$D12586,nESPEC,DATOS!$E12586,nASIG,DATOS!$I12586,nEVAL,"EX")=0),0))))</f>
      </c>
      <c r="H12586">
        <f>IF(DATOS!$G12586&lt;&gt;"EX",0,--(COUNTIFS(nNIA,DATOS!$A12586,nCURSO,DATOS!$D12586,nESPEC,DATOS!$E12586,nASIG,DATOS!$I12586,nEVAL,"OR")=0))</f>
      </c>
      <c r="I12586">
        <f>IF(DATOS!$I12586="","",IFERROR(VLOOKUP(DATOS!$I12586,CONFIG_ASIGNATURAS!$B$2:$J$91,9,FALSE()),""))</f>
      </c>
    </row>
    <row r="12587">
      <c r="F12587">
        <f>IF(DATOS!$A12587="","",DATOS!$A12587&amp;"|"&amp;DATOS!$D12587&amp;"|"&amp;DATOS!$E12587&amp;"|"&amp;DATOS!$I12587)</f>
      </c>
      <c r="G12587">
        <f>IF(DATOS!$A12587="",0,IF(CONFIG_METADATA!$B$4&lt;&gt;"OR+EX",--(DATOS!$G12587=CONFIG_METADATA!$B$4),IF(DATOS!$G12587="EX",1,IF(DATOS!$G12587="OR",--(COUNTIFS(nNIA,DATOS!$A12587,nCURSO,DATOS!$D12587,nESPEC,DATOS!$E12587,nASIG,DATOS!$I12587,nEVAL,"EX")=0),0))))</f>
      </c>
      <c r="H12587">
        <f>IF(DATOS!$G12587&lt;&gt;"EX",0,--(COUNTIFS(nNIA,DATOS!$A12587,nCURSO,DATOS!$D12587,nESPEC,DATOS!$E12587,nASIG,DATOS!$I12587,nEVAL,"OR")=0))</f>
      </c>
      <c r="I12587">
        <f>IF(DATOS!$I12587="","",IFERROR(VLOOKUP(DATOS!$I12587,CONFIG_ASIGNATURAS!$B$2:$J$91,9,FALSE()),""))</f>
      </c>
    </row>
    <row r="12588">
      <c r="F12588">
        <f>IF(DATOS!$A12588="","",DATOS!$A12588&amp;"|"&amp;DATOS!$D12588&amp;"|"&amp;DATOS!$E12588&amp;"|"&amp;DATOS!$I12588)</f>
      </c>
      <c r="G12588">
        <f>IF(DATOS!$A12588="",0,IF(CONFIG_METADATA!$B$4&lt;&gt;"OR+EX",--(DATOS!$G12588=CONFIG_METADATA!$B$4),IF(DATOS!$G12588="EX",1,IF(DATOS!$G12588="OR",--(COUNTIFS(nNIA,DATOS!$A12588,nCURSO,DATOS!$D12588,nESPEC,DATOS!$E12588,nASIG,DATOS!$I12588,nEVAL,"EX")=0),0))))</f>
      </c>
      <c r="H12588">
        <f>IF(DATOS!$G12588&lt;&gt;"EX",0,--(COUNTIFS(nNIA,DATOS!$A12588,nCURSO,DATOS!$D12588,nESPEC,DATOS!$E12588,nASIG,DATOS!$I12588,nEVAL,"OR")=0))</f>
      </c>
      <c r="I12588">
        <f>IF(DATOS!$I12588="","",IFERROR(VLOOKUP(DATOS!$I12588,CONFIG_ASIGNATURAS!$B$2:$J$91,9,FALSE()),""))</f>
      </c>
    </row>
    <row r="12589">
      <c r="F12589">
        <f>IF(DATOS!$A12589="","",DATOS!$A12589&amp;"|"&amp;DATOS!$D12589&amp;"|"&amp;DATOS!$E12589&amp;"|"&amp;DATOS!$I12589)</f>
      </c>
      <c r="G12589">
        <f>IF(DATOS!$A12589="",0,IF(CONFIG_METADATA!$B$4&lt;&gt;"OR+EX",--(DATOS!$G12589=CONFIG_METADATA!$B$4),IF(DATOS!$G12589="EX",1,IF(DATOS!$G12589="OR",--(COUNTIFS(nNIA,DATOS!$A12589,nCURSO,DATOS!$D12589,nESPEC,DATOS!$E12589,nASIG,DATOS!$I12589,nEVAL,"EX")=0),0))))</f>
      </c>
      <c r="H12589">
        <f>IF(DATOS!$G12589&lt;&gt;"EX",0,--(COUNTIFS(nNIA,DATOS!$A12589,nCURSO,DATOS!$D12589,nESPEC,DATOS!$E12589,nASIG,DATOS!$I12589,nEVAL,"OR")=0))</f>
      </c>
      <c r="I12589">
        <f>IF(DATOS!$I12589="","",IFERROR(VLOOKUP(DATOS!$I12589,CONFIG_ASIGNATURAS!$B$2:$J$91,9,FALSE()),""))</f>
      </c>
    </row>
    <row r="12590">
      <c r="F12590">
        <f>IF(DATOS!$A12590="","",DATOS!$A12590&amp;"|"&amp;DATOS!$D12590&amp;"|"&amp;DATOS!$E12590&amp;"|"&amp;DATOS!$I12590)</f>
      </c>
      <c r="G12590">
        <f>IF(DATOS!$A12590="",0,IF(CONFIG_METADATA!$B$4&lt;&gt;"OR+EX",--(DATOS!$G12590=CONFIG_METADATA!$B$4),IF(DATOS!$G12590="EX",1,IF(DATOS!$G12590="OR",--(COUNTIFS(nNIA,DATOS!$A12590,nCURSO,DATOS!$D12590,nESPEC,DATOS!$E12590,nASIG,DATOS!$I12590,nEVAL,"EX")=0),0))))</f>
      </c>
      <c r="H12590">
        <f>IF(DATOS!$G12590&lt;&gt;"EX",0,--(COUNTIFS(nNIA,DATOS!$A12590,nCURSO,DATOS!$D12590,nESPEC,DATOS!$E12590,nASIG,DATOS!$I12590,nEVAL,"OR")=0))</f>
      </c>
      <c r="I12590">
        <f>IF(DATOS!$I12590="","",IFERROR(VLOOKUP(DATOS!$I12590,CONFIG_ASIGNATURAS!$B$2:$J$91,9,FALSE()),""))</f>
      </c>
    </row>
    <row r="12591">
      <c r="F12591">
        <f>IF(DATOS!$A12591="","",DATOS!$A12591&amp;"|"&amp;DATOS!$D12591&amp;"|"&amp;DATOS!$E12591&amp;"|"&amp;DATOS!$I12591)</f>
      </c>
      <c r="G12591">
        <f>IF(DATOS!$A12591="",0,IF(CONFIG_METADATA!$B$4&lt;&gt;"OR+EX",--(DATOS!$G12591=CONFIG_METADATA!$B$4),IF(DATOS!$G12591="EX",1,IF(DATOS!$G12591="OR",--(COUNTIFS(nNIA,DATOS!$A12591,nCURSO,DATOS!$D12591,nESPEC,DATOS!$E12591,nASIG,DATOS!$I12591,nEVAL,"EX")=0),0))))</f>
      </c>
      <c r="H12591">
        <f>IF(DATOS!$G12591&lt;&gt;"EX",0,--(COUNTIFS(nNIA,DATOS!$A12591,nCURSO,DATOS!$D12591,nESPEC,DATOS!$E12591,nASIG,DATOS!$I12591,nEVAL,"OR")=0))</f>
      </c>
      <c r="I12591">
        <f>IF(DATOS!$I12591="","",IFERROR(VLOOKUP(DATOS!$I12591,CONFIG_ASIGNATURAS!$B$2:$J$91,9,FALSE()),""))</f>
      </c>
    </row>
    <row r="12592">
      <c r="F12592">
        <f>IF(DATOS!$A12592="","",DATOS!$A12592&amp;"|"&amp;DATOS!$D12592&amp;"|"&amp;DATOS!$E12592&amp;"|"&amp;DATOS!$I12592)</f>
      </c>
      <c r="G12592">
        <f>IF(DATOS!$A12592="",0,IF(CONFIG_METADATA!$B$4&lt;&gt;"OR+EX",--(DATOS!$G12592=CONFIG_METADATA!$B$4),IF(DATOS!$G12592="EX",1,IF(DATOS!$G12592="OR",--(COUNTIFS(nNIA,DATOS!$A12592,nCURSO,DATOS!$D12592,nESPEC,DATOS!$E12592,nASIG,DATOS!$I12592,nEVAL,"EX")=0),0))))</f>
      </c>
      <c r="H12592">
        <f>IF(DATOS!$G12592&lt;&gt;"EX",0,--(COUNTIFS(nNIA,DATOS!$A12592,nCURSO,DATOS!$D12592,nESPEC,DATOS!$E12592,nASIG,DATOS!$I12592,nEVAL,"OR")=0))</f>
      </c>
      <c r="I12592">
        <f>IF(DATOS!$I12592="","",IFERROR(VLOOKUP(DATOS!$I12592,CONFIG_ASIGNATURAS!$B$2:$J$91,9,FALSE()),""))</f>
      </c>
    </row>
    <row r="12593">
      <c r="F12593">
        <f>IF(DATOS!$A12593="","",DATOS!$A12593&amp;"|"&amp;DATOS!$D12593&amp;"|"&amp;DATOS!$E12593&amp;"|"&amp;DATOS!$I12593)</f>
      </c>
      <c r="G12593">
        <f>IF(DATOS!$A12593="",0,IF(CONFIG_METADATA!$B$4&lt;&gt;"OR+EX",--(DATOS!$G12593=CONFIG_METADATA!$B$4),IF(DATOS!$G12593="EX",1,IF(DATOS!$G12593="OR",--(COUNTIFS(nNIA,DATOS!$A12593,nCURSO,DATOS!$D12593,nESPEC,DATOS!$E12593,nASIG,DATOS!$I12593,nEVAL,"EX")=0),0))))</f>
      </c>
      <c r="H12593">
        <f>IF(DATOS!$G12593&lt;&gt;"EX",0,--(COUNTIFS(nNIA,DATOS!$A12593,nCURSO,DATOS!$D12593,nESPEC,DATOS!$E12593,nASIG,DATOS!$I12593,nEVAL,"OR")=0))</f>
      </c>
      <c r="I12593">
        <f>IF(DATOS!$I12593="","",IFERROR(VLOOKUP(DATOS!$I12593,CONFIG_ASIGNATURAS!$B$2:$J$91,9,FALSE()),""))</f>
      </c>
    </row>
    <row r="12594">
      <c r="F12594">
        <f>IF(DATOS!$A12594="","",DATOS!$A12594&amp;"|"&amp;DATOS!$D12594&amp;"|"&amp;DATOS!$E12594&amp;"|"&amp;DATOS!$I12594)</f>
      </c>
      <c r="G12594">
        <f>IF(DATOS!$A12594="",0,IF(CONFIG_METADATA!$B$4&lt;&gt;"OR+EX",--(DATOS!$G12594=CONFIG_METADATA!$B$4),IF(DATOS!$G12594="EX",1,IF(DATOS!$G12594="OR",--(COUNTIFS(nNIA,DATOS!$A12594,nCURSO,DATOS!$D12594,nESPEC,DATOS!$E12594,nASIG,DATOS!$I12594,nEVAL,"EX")=0),0))))</f>
      </c>
      <c r="H12594">
        <f>IF(DATOS!$G12594&lt;&gt;"EX",0,--(COUNTIFS(nNIA,DATOS!$A12594,nCURSO,DATOS!$D12594,nESPEC,DATOS!$E12594,nASIG,DATOS!$I12594,nEVAL,"OR")=0))</f>
      </c>
      <c r="I12594">
        <f>IF(DATOS!$I12594="","",IFERROR(VLOOKUP(DATOS!$I12594,CONFIG_ASIGNATURAS!$B$2:$J$91,9,FALSE()),""))</f>
      </c>
    </row>
    <row r="12595">
      <c r="F12595">
        <f>IF(DATOS!$A12595="","",DATOS!$A12595&amp;"|"&amp;DATOS!$D12595&amp;"|"&amp;DATOS!$E12595&amp;"|"&amp;DATOS!$I12595)</f>
      </c>
      <c r="G12595">
        <f>IF(DATOS!$A12595="",0,IF(CONFIG_METADATA!$B$4&lt;&gt;"OR+EX",--(DATOS!$G12595=CONFIG_METADATA!$B$4),IF(DATOS!$G12595="EX",1,IF(DATOS!$G12595="OR",--(COUNTIFS(nNIA,DATOS!$A12595,nCURSO,DATOS!$D12595,nESPEC,DATOS!$E12595,nASIG,DATOS!$I12595,nEVAL,"EX")=0),0))))</f>
      </c>
      <c r="H12595">
        <f>IF(DATOS!$G12595&lt;&gt;"EX",0,--(COUNTIFS(nNIA,DATOS!$A12595,nCURSO,DATOS!$D12595,nESPEC,DATOS!$E12595,nASIG,DATOS!$I12595,nEVAL,"OR")=0))</f>
      </c>
      <c r="I12595">
        <f>IF(DATOS!$I12595="","",IFERROR(VLOOKUP(DATOS!$I12595,CONFIG_ASIGNATURAS!$B$2:$J$91,9,FALSE()),""))</f>
      </c>
    </row>
    <row r="12596">
      <c r="F12596">
        <f>IF(DATOS!$A12596="","",DATOS!$A12596&amp;"|"&amp;DATOS!$D12596&amp;"|"&amp;DATOS!$E12596&amp;"|"&amp;DATOS!$I12596)</f>
      </c>
      <c r="G12596">
        <f>IF(DATOS!$A12596="",0,IF(CONFIG_METADATA!$B$4&lt;&gt;"OR+EX",--(DATOS!$G12596=CONFIG_METADATA!$B$4),IF(DATOS!$G12596="EX",1,IF(DATOS!$G12596="OR",--(COUNTIFS(nNIA,DATOS!$A12596,nCURSO,DATOS!$D12596,nESPEC,DATOS!$E12596,nASIG,DATOS!$I12596,nEVAL,"EX")=0),0))))</f>
      </c>
      <c r="H12596">
        <f>IF(DATOS!$G12596&lt;&gt;"EX",0,--(COUNTIFS(nNIA,DATOS!$A12596,nCURSO,DATOS!$D12596,nESPEC,DATOS!$E12596,nASIG,DATOS!$I12596,nEVAL,"OR")=0))</f>
      </c>
      <c r="I12596">
        <f>IF(DATOS!$I12596="","",IFERROR(VLOOKUP(DATOS!$I12596,CONFIG_ASIGNATURAS!$B$2:$J$91,9,FALSE()),""))</f>
      </c>
    </row>
    <row r="12597">
      <c r="F12597">
        <f>IF(DATOS!$A12597="","",DATOS!$A12597&amp;"|"&amp;DATOS!$D12597&amp;"|"&amp;DATOS!$E12597&amp;"|"&amp;DATOS!$I12597)</f>
      </c>
      <c r="G12597">
        <f>IF(DATOS!$A12597="",0,IF(CONFIG_METADATA!$B$4&lt;&gt;"OR+EX",--(DATOS!$G12597=CONFIG_METADATA!$B$4),IF(DATOS!$G12597="EX",1,IF(DATOS!$G12597="OR",--(COUNTIFS(nNIA,DATOS!$A12597,nCURSO,DATOS!$D12597,nESPEC,DATOS!$E12597,nASIG,DATOS!$I12597,nEVAL,"EX")=0),0))))</f>
      </c>
      <c r="H12597">
        <f>IF(DATOS!$G12597&lt;&gt;"EX",0,--(COUNTIFS(nNIA,DATOS!$A12597,nCURSO,DATOS!$D12597,nESPEC,DATOS!$E12597,nASIG,DATOS!$I12597,nEVAL,"OR")=0))</f>
      </c>
      <c r="I12597">
        <f>IF(DATOS!$I12597="","",IFERROR(VLOOKUP(DATOS!$I12597,CONFIG_ASIGNATURAS!$B$2:$J$91,9,FALSE()),""))</f>
      </c>
    </row>
    <row r="12598">
      <c r="F12598">
        <f>IF(DATOS!$A12598="","",DATOS!$A12598&amp;"|"&amp;DATOS!$D12598&amp;"|"&amp;DATOS!$E12598&amp;"|"&amp;DATOS!$I12598)</f>
      </c>
      <c r="G12598">
        <f>IF(DATOS!$A12598="",0,IF(CONFIG_METADATA!$B$4&lt;&gt;"OR+EX",--(DATOS!$G12598=CONFIG_METADATA!$B$4),IF(DATOS!$G12598="EX",1,IF(DATOS!$G12598="OR",--(COUNTIFS(nNIA,DATOS!$A12598,nCURSO,DATOS!$D12598,nESPEC,DATOS!$E12598,nASIG,DATOS!$I12598,nEVAL,"EX")=0),0))))</f>
      </c>
      <c r="H12598">
        <f>IF(DATOS!$G12598&lt;&gt;"EX",0,--(COUNTIFS(nNIA,DATOS!$A12598,nCURSO,DATOS!$D12598,nESPEC,DATOS!$E12598,nASIG,DATOS!$I12598,nEVAL,"OR")=0))</f>
      </c>
      <c r="I12598">
        <f>IF(DATOS!$I12598="","",IFERROR(VLOOKUP(DATOS!$I12598,CONFIG_ASIGNATURAS!$B$2:$J$91,9,FALSE()),""))</f>
      </c>
    </row>
    <row r="12599">
      <c r="F12599">
        <f>IF(DATOS!$A12599="","",DATOS!$A12599&amp;"|"&amp;DATOS!$D12599&amp;"|"&amp;DATOS!$E12599&amp;"|"&amp;DATOS!$I12599)</f>
      </c>
      <c r="G12599">
        <f>IF(DATOS!$A12599="",0,IF(CONFIG_METADATA!$B$4&lt;&gt;"OR+EX",--(DATOS!$G12599=CONFIG_METADATA!$B$4),IF(DATOS!$G12599="EX",1,IF(DATOS!$G12599="OR",--(COUNTIFS(nNIA,DATOS!$A12599,nCURSO,DATOS!$D12599,nESPEC,DATOS!$E12599,nASIG,DATOS!$I12599,nEVAL,"EX")=0),0))))</f>
      </c>
      <c r="H12599">
        <f>IF(DATOS!$G12599&lt;&gt;"EX",0,--(COUNTIFS(nNIA,DATOS!$A12599,nCURSO,DATOS!$D12599,nESPEC,DATOS!$E12599,nASIG,DATOS!$I12599,nEVAL,"OR")=0))</f>
      </c>
      <c r="I12599">
        <f>IF(DATOS!$I12599="","",IFERROR(VLOOKUP(DATOS!$I12599,CONFIG_ASIGNATURAS!$B$2:$J$91,9,FALSE()),""))</f>
      </c>
    </row>
    <row r="12600">
      <c r="F12600">
        <f>IF(DATOS!$A12600="","",DATOS!$A12600&amp;"|"&amp;DATOS!$D12600&amp;"|"&amp;DATOS!$E12600&amp;"|"&amp;DATOS!$I12600)</f>
      </c>
      <c r="G12600">
        <f>IF(DATOS!$A12600="",0,IF(CONFIG_METADATA!$B$4&lt;&gt;"OR+EX",--(DATOS!$G12600=CONFIG_METADATA!$B$4),IF(DATOS!$G12600="EX",1,IF(DATOS!$G12600="OR",--(COUNTIFS(nNIA,DATOS!$A12600,nCURSO,DATOS!$D12600,nESPEC,DATOS!$E12600,nASIG,DATOS!$I12600,nEVAL,"EX")=0),0))))</f>
      </c>
      <c r="H12600">
        <f>IF(DATOS!$G12600&lt;&gt;"EX",0,--(COUNTIFS(nNIA,DATOS!$A12600,nCURSO,DATOS!$D12600,nESPEC,DATOS!$E12600,nASIG,DATOS!$I12600,nEVAL,"OR")=0))</f>
      </c>
      <c r="I12600">
        <f>IF(DATOS!$I12600="","",IFERROR(VLOOKUP(DATOS!$I12600,CONFIG_ASIGNATURAS!$B$2:$J$91,9,FALSE()),""))</f>
      </c>
    </row>
    <row r="12601">
      <c r="F12601">
        <f>IF(DATOS!$A12601="","",DATOS!$A12601&amp;"|"&amp;DATOS!$D12601&amp;"|"&amp;DATOS!$E12601&amp;"|"&amp;DATOS!$I12601)</f>
      </c>
      <c r="G12601">
        <f>IF(DATOS!$A12601="",0,IF(CONFIG_METADATA!$B$4&lt;&gt;"OR+EX",--(DATOS!$G12601=CONFIG_METADATA!$B$4),IF(DATOS!$G12601="EX",1,IF(DATOS!$G12601="OR",--(COUNTIFS(nNIA,DATOS!$A12601,nCURSO,DATOS!$D12601,nESPEC,DATOS!$E12601,nASIG,DATOS!$I12601,nEVAL,"EX")=0),0))))</f>
      </c>
      <c r="H12601">
        <f>IF(DATOS!$G12601&lt;&gt;"EX",0,--(COUNTIFS(nNIA,DATOS!$A12601,nCURSO,DATOS!$D12601,nESPEC,DATOS!$E12601,nASIG,DATOS!$I12601,nEVAL,"OR")=0))</f>
      </c>
      <c r="I12601">
        <f>IF(DATOS!$I12601="","",IFERROR(VLOOKUP(DATOS!$I12601,CONFIG_ASIGNATURAS!$B$2:$J$91,9,FALSE()),""))</f>
      </c>
    </row>
    <row r="12602">
      <c r="F12602">
        <f>IF(DATOS!$A12602="","",DATOS!$A12602&amp;"|"&amp;DATOS!$D12602&amp;"|"&amp;DATOS!$E12602&amp;"|"&amp;DATOS!$I12602)</f>
      </c>
      <c r="G12602">
        <f>IF(DATOS!$A12602="",0,IF(CONFIG_METADATA!$B$4&lt;&gt;"OR+EX",--(DATOS!$G12602=CONFIG_METADATA!$B$4),IF(DATOS!$G12602="EX",1,IF(DATOS!$G12602="OR",--(COUNTIFS(nNIA,DATOS!$A12602,nCURSO,DATOS!$D12602,nESPEC,DATOS!$E12602,nASIG,DATOS!$I12602,nEVAL,"EX")=0),0))))</f>
      </c>
      <c r="H12602">
        <f>IF(DATOS!$G12602&lt;&gt;"EX",0,--(COUNTIFS(nNIA,DATOS!$A12602,nCURSO,DATOS!$D12602,nESPEC,DATOS!$E12602,nASIG,DATOS!$I12602,nEVAL,"OR")=0))</f>
      </c>
      <c r="I12602">
        <f>IF(DATOS!$I12602="","",IFERROR(VLOOKUP(DATOS!$I12602,CONFIG_ASIGNATURAS!$B$2:$J$91,9,FALSE()),""))</f>
      </c>
    </row>
    <row r="12603">
      <c r="F12603">
        <f>IF(DATOS!$A12603="","",DATOS!$A12603&amp;"|"&amp;DATOS!$D12603&amp;"|"&amp;DATOS!$E12603&amp;"|"&amp;DATOS!$I12603)</f>
      </c>
      <c r="G12603">
        <f>IF(DATOS!$A12603="",0,IF(CONFIG_METADATA!$B$4&lt;&gt;"OR+EX",--(DATOS!$G12603=CONFIG_METADATA!$B$4),IF(DATOS!$G12603="EX",1,IF(DATOS!$G12603="OR",--(COUNTIFS(nNIA,DATOS!$A12603,nCURSO,DATOS!$D12603,nESPEC,DATOS!$E12603,nASIG,DATOS!$I12603,nEVAL,"EX")=0),0))))</f>
      </c>
      <c r="H12603">
        <f>IF(DATOS!$G12603&lt;&gt;"EX",0,--(COUNTIFS(nNIA,DATOS!$A12603,nCURSO,DATOS!$D12603,nESPEC,DATOS!$E12603,nASIG,DATOS!$I12603,nEVAL,"OR")=0))</f>
      </c>
      <c r="I12603">
        <f>IF(DATOS!$I12603="","",IFERROR(VLOOKUP(DATOS!$I12603,CONFIG_ASIGNATURAS!$B$2:$J$91,9,FALSE()),""))</f>
      </c>
    </row>
    <row r="12604">
      <c r="F12604">
        <f>IF(DATOS!$A12604="","",DATOS!$A12604&amp;"|"&amp;DATOS!$D12604&amp;"|"&amp;DATOS!$E12604&amp;"|"&amp;DATOS!$I12604)</f>
      </c>
      <c r="G12604">
        <f>IF(DATOS!$A12604="",0,IF(CONFIG_METADATA!$B$4&lt;&gt;"OR+EX",--(DATOS!$G12604=CONFIG_METADATA!$B$4),IF(DATOS!$G12604="EX",1,IF(DATOS!$G12604="OR",--(COUNTIFS(nNIA,DATOS!$A12604,nCURSO,DATOS!$D12604,nESPEC,DATOS!$E12604,nASIG,DATOS!$I12604,nEVAL,"EX")=0),0))))</f>
      </c>
      <c r="H12604">
        <f>IF(DATOS!$G12604&lt;&gt;"EX",0,--(COUNTIFS(nNIA,DATOS!$A12604,nCURSO,DATOS!$D12604,nESPEC,DATOS!$E12604,nASIG,DATOS!$I12604,nEVAL,"OR")=0))</f>
      </c>
      <c r="I12604">
        <f>IF(DATOS!$I12604="","",IFERROR(VLOOKUP(DATOS!$I12604,CONFIG_ASIGNATURAS!$B$2:$J$91,9,FALSE()),""))</f>
      </c>
    </row>
    <row r="12605">
      <c r="F12605">
        <f>IF(DATOS!$A12605="","",DATOS!$A12605&amp;"|"&amp;DATOS!$D12605&amp;"|"&amp;DATOS!$E12605&amp;"|"&amp;DATOS!$I12605)</f>
      </c>
      <c r="G12605">
        <f>IF(DATOS!$A12605="",0,IF(CONFIG_METADATA!$B$4&lt;&gt;"OR+EX",--(DATOS!$G12605=CONFIG_METADATA!$B$4),IF(DATOS!$G12605="EX",1,IF(DATOS!$G12605="OR",--(COUNTIFS(nNIA,DATOS!$A12605,nCURSO,DATOS!$D12605,nESPEC,DATOS!$E12605,nASIG,DATOS!$I12605,nEVAL,"EX")=0),0))))</f>
      </c>
      <c r="H12605">
        <f>IF(DATOS!$G12605&lt;&gt;"EX",0,--(COUNTIFS(nNIA,DATOS!$A12605,nCURSO,DATOS!$D12605,nESPEC,DATOS!$E12605,nASIG,DATOS!$I12605,nEVAL,"OR")=0))</f>
      </c>
      <c r="I12605">
        <f>IF(DATOS!$I12605="","",IFERROR(VLOOKUP(DATOS!$I12605,CONFIG_ASIGNATURAS!$B$2:$J$91,9,FALSE()),""))</f>
      </c>
    </row>
    <row r="12606">
      <c r="F12606">
        <f>IF(DATOS!$A12606="","",DATOS!$A12606&amp;"|"&amp;DATOS!$D12606&amp;"|"&amp;DATOS!$E12606&amp;"|"&amp;DATOS!$I12606)</f>
      </c>
      <c r="G12606">
        <f>IF(DATOS!$A12606="",0,IF(CONFIG_METADATA!$B$4&lt;&gt;"OR+EX",--(DATOS!$G12606=CONFIG_METADATA!$B$4),IF(DATOS!$G12606="EX",1,IF(DATOS!$G12606="OR",--(COUNTIFS(nNIA,DATOS!$A12606,nCURSO,DATOS!$D12606,nESPEC,DATOS!$E12606,nASIG,DATOS!$I12606,nEVAL,"EX")=0),0))))</f>
      </c>
      <c r="H12606">
        <f>IF(DATOS!$G12606&lt;&gt;"EX",0,--(COUNTIFS(nNIA,DATOS!$A12606,nCURSO,DATOS!$D12606,nESPEC,DATOS!$E12606,nASIG,DATOS!$I12606,nEVAL,"OR")=0))</f>
      </c>
      <c r="I12606">
        <f>IF(DATOS!$I12606="","",IFERROR(VLOOKUP(DATOS!$I12606,CONFIG_ASIGNATURAS!$B$2:$J$91,9,FALSE()),""))</f>
      </c>
    </row>
    <row r="12607">
      <c r="F12607">
        <f>IF(DATOS!$A12607="","",DATOS!$A12607&amp;"|"&amp;DATOS!$D12607&amp;"|"&amp;DATOS!$E12607&amp;"|"&amp;DATOS!$I12607)</f>
      </c>
      <c r="G12607">
        <f>IF(DATOS!$A12607="",0,IF(CONFIG_METADATA!$B$4&lt;&gt;"OR+EX",--(DATOS!$G12607=CONFIG_METADATA!$B$4),IF(DATOS!$G12607="EX",1,IF(DATOS!$G12607="OR",--(COUNTIFS(nNIA,DATOS!$A12607,nCURSO,DATOS!$D12607,nESPEC,DATOS!$E12607,nASIG,DATOS!$I12607,nEVAL,"EX")=0),0))))</f>
      </c>
      <c r="H12607">
        <f>IF(DATOS!$G12607&lt;&gt;"EX",0,--(COUNTIFS(nNIA,DATOS!$A12607,nCURSO,DATOS!$D12607,nESPEC,DATOS!$E12607,nASIG,DATOS!$I12607,nEVAL,"OR")=0))</f>
      </c>
      <c r="I12607">
        <f>IF(DATOS!$I12607="","",IFERROR(VLOOKUP(DATOS!$I12607,CONFIG_ASIGNATURAS!$B$2:$J$91,9,FALSE()),""))</f>
      </c>
    </row>
    <row r="12608">
      <c r="F12608">
        <f>IF(DATOS!$A12608="","",DATOS!$A12608&amp;"|"&amp;DATOS!$D12608&amp;"|"&amp;DATOS!$E12608&amp;"|"&amp;DATOS!$I12608)</f>
      </c>
      <c r="G12608">
        <f>IF(DATOS!$A12608="",0,IF(CONFIG_METADATA!$B$4&lt;&gt;"OR+EX",--(DATOS!$G12608=CONFIG_METADATA!$B$4),IF(DATOS!$G12608="EX",1,IF(DATOS!$G12608="OR",--(COUNTIFS(nNIA,DATOS!$A12608,nCURSO,DATOS!$D12608,nESPEC,DATOS!$E12608,nASIG,DATOS!$I12608,nEVAL,"EX")=0),0))))</f>
      </c>
      <c r="H12608">
        <f>IF(DATOS!$G12608&lt;&gt;"EX",0,--(COUNTIFS(nNIA,DATOS!$A12608,nCURSO,DATOS!$D12608,nESPEC,DATOS!$E12608,nASIG,DATOS!$I12608,nEVAL,"OR")=0))</f>
      </c>
      <c r="I12608">
        <f>IF(DATOS!$I12608="","",IFERROR(VLOOKUP(DATOS!$I12608,CONFIG_ASIGNATURAS!$B$2:$J$91,9,FALSE()),""))</f>
      </c>
    </row>
    <row r="12609">
      <c r="F12609">
        <f>IF(DATOS!$A12609="","",DATOS!$A12609&amp;"|"&amp;DATOS!$D12609&amp;"|"&amp;DATOS!$E12609&amp;"|"&amp;DATOS!$I12609)</f>
      </c>
      <c r="G12609">
        <f>IF(DATOS!$A12609="",0,IF(CONFIG_METADATA!$B$4&lt;&gt;"OR+EX",--(DATOS!$G12609=CONFIG_METADATA!$B$4),IF(DATOS!$G12609="EX",1,IF(DATOS!$G12609="OR",--(COUNTIFS(nNIA,DATOS!$A12609,nCURSO,DATOS!$D12609,nESPEC,DATOS!$E12609,nASIG,DATOS!$I12609,nEVAL,"EX")=0),0))))</f>
      </c>
      <c r="H12609">
        <f>IF(DATOS!$G12609&lt;&gt;"EX",0,--(COUNTIFS(nNIA,DATOS!$A12609,nCURSO,DATOS!$D12609,nESPEC,DATOS!$E12609,nASIG,DATOS!$I12609,nEVAL,"OR")=0))</f>
      </c>
      <c r="I12609">
        <f>IF(DATOS!$I12609="","",IFERROR(VLOOKUP(DATOS!$I12609,CONFIG_ASIGNATURAS!$B$2:$J$91,9,FALSE()),""))</f>
      </c>
    </row>
    <row r="12610">
      <c r="F12610">
        <f>IF(DATOS!$A12610="","",DATOS!$A12610&amp;"|"&amp;DATOS!$D12610&amp;"|"&amp;DATOS!$E12610&amp;"|"&amp;DATOS!$I12610)</f>
      </c>
      <c r="G12610">
        <f>IF(DATOS!$A12610="",0,IF(CONFIG_METADATA!$B$4&lt;&gt;"OR+EX",--(DATOS!$G12610=CONFIG_METADATA!$B$4),IF(DATOS!$G12610="EX",1,IF(DATOS!$G12610="OR",--(COUNTIFS(nNIA,DATOS!$A12610,nCURSO,DATOS!$D12610,nESPEC,DATOS!$E12610,nASIG,DATOS!$I12610,nEVAL,"EX")=0),0))))</f>
      </c>
      <c r="H12610">
        <f>IF(DATOS!$G12610&lt;&gt;"EX",0,--(COUNTIFS(nNIA,DATOS!$A12610,nCURSO,DATOS!$D12610,nESPEC,DATOS!$E12610,nASIG,DATOS!$I12610,nEVAL,"OR")=0))</f>
      </c>
      <c r="I12610">
        <f>IF(DATOS!$I12610="","",IFERROR(VLOOKUP(DATOS!$I12610,CONFIG_ASIGNATURAS!$B$2:$J$91,9,FALSE()),""))</f>
      </c>
    </row>
    <row r="12611">
      <c r="F12611">
        <f>IF(DATOS!$A12611="","",DATOS!$A12611&amp;"|"&amp;DATOS!$D12611&amp;"|"&amp;DATOS!$E12611&amp;"|"&amp;DATOS!$I12611)</f>
      </c>
      <c r="G12611">
        <f>IF(DATOS!$A12611="",0,IF(CONFIG_METADATA!$B$4&lt;&gt;"OR+EX",--(DATOS!$G12611=CONFIG_METADATA!$B$4),IF(DATOS!$G12611="EX",1,IF(DATOS!$G12611="OR",--(COUNTIFS(nNIA,DATOS!$A12611,nCURSO,DATOS!$D12611,nESPEC,DATOS!$E12611,nASIG,DATOS!$I12611,nEVAL,"EX")=0),0))))</f>
      </c>
      <c r="H12611">
        <f>IF(DATOS!$G12611&lt;&gt;"EX",0,--(COUNTIFS(nNIA,DATOS!$A12611,nCURSO,DATOS!$D12611,nESPEC,DATOS!$E12611,nASIG,DATOS!$I12611,nEVAL,"OR")=0))</f>
      </c>
      <c r="I12611">
        <f>IF(DATOS!$I12611="","",IFERROR(VLOOKUP(DATOS!$I12611,CONFIG_ASIGNATURAS!$B$2:$J$91,9,FALSE()),""))</f>
      </c>
    </row>
    <row r="12612">
      <c r="F12612">
        <f>IF(DATOS!$A12612="","",DATOS!$A12612&amp;"|"&amp;DATOS!$D12612&amp;"|"&amp;DATOS!$E12612&amp;"|"&amp;DATOS!$I12612)</f>
      </c>
      <c r="G12612">
        <f>IF(DATOS!$A12612="",0,IF(CONFIG_METADATA!$B$4&lt;&gt;"OR+EX",--(DATOS!$G12612=CONFIG_METADATA!$B$4),IF(DATOS!$G12612="EX",1,IF(DATOS!$G12612="OR",--(COUNTIFS(nNIA,DATOS!$A12612,nCURSO,DATOS!$D12612,nESPEC,DATOS!$E12612,nASIG,DATOS!$I12612,nEVAL,"EX")=0),0))))</f>
      </c>
      <c r="H12612">
        <f>IF(DATOS!$G12612&lt;&gt;"EX",0,--(COUNTIFS(nNIA,DATOS!$A12612,nCURSO,DATOS!$D12612,nESPEC,DATOS!$E12612,nASIG,DATOS!$I12612,nEVAL,"OR")=0))</f>
      </c>
      <c r="I12612">
        <f>IF(DATOS!$I12612="","",IFERROR(VLOOKUP(DATOS!$I12612,CONFIG_ASIGNATURAS!$B$2:$J$91,9,FALSE()),""))</f>
      </c>
    </row>
    <row r="12613">
      <c r="F12613">
        <f>IF(DATOS!$A12613="","",DATOS!$A12613&amp;"|"&amp;DATOS!$D12613&amp;"|"&amp;DATOS!$E12613&amp;"|"&amp;DATOS!$I12613)</f>
      </c>
      <c r="G12613">
        <f>IF(DATOS!$A12613="",0,IF(CONFIG_METADATA!$B$4&lt;&gt;"OR+EX",--(DATOS!$G12613=CONFIG_METADATA!$B$4),IF(DATOS!$G12613="EX",1,IF(DATOS!$G12613="OR",--(COUNTIFS(nNIA,DATOS!$A12613,nCURSO,DATOS!$D12613,nESPEC,DATOS!$E12613,nASIG,DATOS!$I12613,nEVAL,"EX")=0),0))))</f>
      </c>
      <c r="H12613">
        <f>IF(DATOS!$G12613&lt;&gt;"EX",0,--(COUNTIFS(nNIA,DATOS!$A12613,nCURSO,DATOS!$D12613,nESPEC,DATOS!$E12613,nASIG,DATOS!$I12613,nEVAL,"OR")=0))</f>
      </c>
      <c r="I12613">
        <f>IF(DATOS!$I12613="","",IFERROR(VLOOKUP(DATOS!$I12613,CONFIG_ASIGNATURAS!$B$2:$J$91,9,FALSE()),""))</f>
      </c>
    </row>
    <row r="12614">
      <c r="F12614">
        <f>IF(DATOS!$A12614="","",DATOS!$A12614&amp;"|"&amp;DATOS!$D12614&amp;"|"&amp;DATOS!$E12614&amp;"|"&amp;DATOS!$I12614)</f>
      </c>
      <c r="G12614">
        <f>IF(DATOS!$A12614="",0,IF(CONFIG_METADATA!$B$4&lt;&gt;"OR+EX",--(DATOS!$G12614=CONFIG_METADATA!$B$4),IF(DATOS!$G12614="EX",1,IF(DATOS!$G12614="OR",--(COUNTIFS(nNIA,DATOS!$A12614,nCURSO,DATOS!$D12614,nESPEC,DATOS!$E12614,nASIG,DATOS!$I12614,nEVAL,"EX")=0),0))))</f>
      </c>
      <c r="H12614">
        <f>IF(DATOS!$G12614&lt;&gt;"EX",0,--(COUNTIFS(nNIA,DATOS!$A12614,nCURSO,DATOS!$D12614,nESPEC,DATOS!$E12614,nASIG,DATOS!$I12614,nEVAL,"OR")=0))</f>
      </c>
      <c r="I12614">
        <f>IF(DATOS!$I12614="","",IFERROR(VLOOKUP(DATOS!$I12614,CONFIG_ASIGNATURAS!$B$2:$J$91,9,FALSE()),""))</f>
      </c>
    </row>
    <row r="12615">
      <c r="F12615">
        <f>IF(DATOS!$A12615="","",DATOS!$A12615&amp;"|"&amp;DATOS!$D12615&amp;"|"&amp;DATOS!$E12615&amp;"|"&amp;DATOS!$I12615)</f>
      </c>
      <c r="G12615">
        <f>IF(DATOS!$A12615="",0,IF(CONFIG_METADATA!$B$4&lt;&gt;"OR+EX",--(DATOS!$G12615=CONFIG_METADATA!$B$4),IF(DATOS!$G12615="EX",1,IF(DATOS!$G12615="OR",--(COUNTIFS(nNIA,DATOS!$A12615,nCURSO,DATOS!$D12615,nESPEC,DATOS!$E12615,nASIG,DATOS!$I12615,nEVAL,"EX")=0),0))))</f>
      </c>
      <c r="H12615">
        <f>IF(DATOS!$G12615&lt;&gt;"EX",0,--(COUNTIFS(nNIA,DATOS!$A12615,nCURSO,DATOS!$D12615,nESPEC,DATOS!$E12615,nASIG,DATOS!$I12615,nEVAL,"OR")=0))</f>
      </c>
      <c r="I12615">
        <f>IF(DATOS!$I12615="","",IFERROR(VLOOKUP(DATOS!$I12615,CONFIG_ASIGNATURAS!$B$2:$J$91,9,FALSE()),""))</f>
      </c>
    </row>
    <row r="12616">
      <c r="F12616">
        <f>IF(DATOS!$A12616="","",DATOS!$A12616&amp;"|"&amp;DATOS!$D12616&amp;"|"&amp;DATOS!$E12616&amp;"|"&amp;DATOS!$I12616)</f>
      </c>
      <c r="G12616">
        <f>IF(DATOS!$A12616="",0,IF(CONFIG_METADATA!$B$4&lt;&gt;"OR+EX",--(DATOS!$G12616=CONFIG_METADATA!$B$4),IF(DATOS!$G12616="EX",1,IF(DATOS!$G12616="OR",--(COUNTIFS(nNIA,DATOS!$A12616,nCURSO,DATOS!$D12616,nESPEC,DATOS!$E12616,nASIG,DATOS!$I12616,nEVAL,"EX")=0),0))))</f>
      </c>
      <c r="H12616">
        <f>IF(DATOS!$G12616&lt;&gt;"EX",0,--(COUNTIFS(nNIA,DATOS!$A12616,nCURSO,DATOS!$D12616,nESPEC,DATOS!$E12616,nASIG,DATOS!$I12616,nEVAL,"OR")=0))</f>
      </c>
      <c r="I12616">
        <f>IF(DATOS!$I12616="","",IFERROR(VLOOKUP(DATOS!$I12616,CONFIG_ASIGNATURAS!$B$2:$J$91,9,FALSE()),""))</f>
      </c>
    </row>
    <row r="12617">
      <c r="F12617">
        <f>IF(DATOS!$A12617="","",DATOS!$A12617&amp;"|"&amp;DATOS!$D12617&amp;"|"&amp;DATOS!$E12617&amp;"|"&amp;DATOS!$I12617)</f>
      </c>
      <c r="G12617">
        <f>IF(DATOS!$A12617="",0,IF(CONFIG_METADATA!$B$4&lt;&gt;"OR+EX",--(DATOS!$G12617=CONFIG_METADATA!$B$4),IF(DATOS!$G12617="EX",1,IF(DATOS!$G12617="OR",--(COUNTIFS(nNIA,DATOS!$A12617,nCURSO,DATOS!$D12617,nESPEC,DATOS!$E12617,nASIG,DATOS!$I12617,nEVAL,"EX")=0),0))))</f>
      </c>
      <c r="H12617">
        <f>IF(DATOS!$G12617&lt;&gt;"EX",0,--(COUNTIFS(nNIA,DATOS!$A12617,nCURSO,DATOS!$D12617,nESPEC,DATOS!$E12617,nASIG,DATOS!$I12617,nEVAL,"OR")=0))</f>
      </c>
      <c r="I12617">
        <f>IF(DATOS!$I12617="","",IFERROR(VLOOKUP(DATOS!$I12617,CONFIG_ASIGNATURAS!$B$2:$J$91,9,FALSE()),""))</f>
      </c>
    </row>
    <row r="12618">
      <c r="F12618">
        <f>IF(DATOS!$A12618="","",DATOS!$A12618&amp;"|"&amp;DATOS!$D12618&amp;"|"&amp;DATOS!$E12618&amp;"|"&amp;DATOS!$I12618)</f>
      </c>
      <c r="G12618">
        <f>IF(DATOS!$A12618="",0,IF(CONFIG_METADATA!$B$4&lt;&gt;"OR+EX",--(DATOS!$G12618=CONFIG_METADATA!$B$4),IF(DATOS!$G12618="EX",1,IF(DATOS!$G12618="OR",--(COUNTIFS(nNIA,DATOS!$A12618,nCURSO,DATOS!$D12618,nESPEC,DATOS!$E12618,nASIG,DATOS!$I12618,nEVAL,"EX")=0),0))))</f>
      </c>
      <c r="H12618">
        <f>IF(DATOS!$G12618&lt;&gt;"EX",0,--(COUNTIFS(nNIA,DATOS!$A12618,nCURSO,DATOS!$D12618,nESPEC,DATOS!$E12618,nASIG,DATOS!$I12618,nEVAL,"OR")=0))</f>
      </c>
      <c r="I12618">
        <f>IF(DATOS!$I12618="","",IFERROR(VLOOKUP(DATOS!$I12618,CONFIG_ASIGNATURAS!$B$2:$J$91,9,FALSE()),""))</f>
      </c>
    </row>
    <row r="12619">
      <c r="F12619">
        <f>IF(DATOS!$A12619="","",DATOS!$A12619&amp;"|"&amp;DATOS!$D12619&amp;"|"&amp;DATOS!$E12619&amp;"|"&amp;DATOS!$I12619)</f>
      </c>
      <c r="G12619">
        <f>IF(DATOS!$A12619="",0,IF(CONFIG_METADATA!$B$4&lt;&gt;"OR+EX",--(DATOS!$G12619=CONFIG_METADATA!$B$4),IF(DATOS!$G12619="EX",1,IF(DATOS!$G12619="OR",--(COUNTIFS(nNIA,DATOS!$A12619,nCURSO,DATOS!$D12619,nESPEC,DATOS!$E12619,nASIG,DATOS!$I12619,nEVAL,"EX")=0),0))))</f>
      </c>
      <c r="H12619">
        <f>IF(DATOS!$G12619&lt;&gt;"EX",0,--(COUNTIFS(nNIA,DATOS!$A12619,nCURSO,DATOS!$D12619,nESPEC,DATOS!$E12619,nASIG,DATOS!$I12619,nEVAL,"OR")=0))</f>
      </c>
      <c r="I12619">
        <f>IF(DATOS!$I12619="","",IFERROR(VLOOKUP(DATOS!$I12619,CONFIG_ASIGNATURAS!$B$2:$J$91,9,FALSE()),""))</f>
      </c>
    </row>
    <row r="12620">
      <c r="F12620">
        <f>IF(DATOS!$A12620="","",DATOS!$A12620&amp;"|"&amp;DATOS!$D12620&amp;"|"&amp;DATOS!$E12620&amp;"|"&amp;DATOS!$I12620)</f>
      </c>
      <c r="G12620">
        <f>IF(DATOS!$A12620="",0,IF(CONFIG_METADATA!$B$4&lt;&gt;"OR+EX",--(DATOS!$G12620=CONFIG_METADATA!$B$4),IF(DATOS!$G12620="EX",1,IF(DATOS!$G12620="OR",--(COUNTIFS(nNIA,DATOS!$A12620,nCURSO,DATOS!$D12620,nESPEC,DATOS!$E12620,nASIG,DATOS!$I12620,nEVAL,"EX")=0),0))))</f>
      </c>
      <c r="H12620">
        <f>IF(DATOS!$G12620&lt;&gt;"EX",0,--(COUNTIFS(nNIA,DATOS!$A12620,nCURSO,DATOS!$D12620,nESPEC,DATOS!$E12620,nASIG,DATOS!$I12620,nEVAL,"OR")=0))</f>
      </c>
      <c r="I12620">
        <f>IF(DATOS!$I12620="","",IFERROR(VLOOKUP(DATOS!$I12620,CONFIG_ASIGNATURAS!$B$2:$J$91,9,FALSE()),""))</f>
      </c>
    </row>
    <row r="12621">
      <c r="F12621">
        <f>IF(DATOS!$A12621="","",DATOS!$A12621&amp;"|"&amp;DATOS!$D12621&amp;"|"&amp;DATOS!$E12621&amp;"|"&amp;DATOS!$I12621)</f>
      </c>
      <c r="G12621">
        <f>IF(DATOS!$A12621="",0,IF(CONFIG_METADATA!$B$4&lt;&gt;"OR+EX",--(DATOS!$G12621=CONFIG_METADATA!$B$4),IF(DATOS!$G12621="EX",1,IF(DATOS!$G12621="OR",--(COUNTIFS(nNIA,DATOS!$A12621,nCURSO,DATOS!$D12621,nESPEC,DATOS!$E12621,nASIG,DATOS!$I12621,nEVAL,"EX")=0),0))))</f>
      </c>
      <c r="H12621">
        <f>IF(DATOS!$G12621&lt;&gt;"EX",0,--(COUNTIFS(nNIA,DATOS!$A12621,nCURSO,DATOS!$D12621,nESPEC,DATOS!$E12621,nASIG,DATOS!$I12621,nEVAL,"OR")=0))</f>
      </c>
      <c r="I12621">
        <f>IF(DATOS!$I12621="","",IFERROR(VLOOKUP(DATOS!$I12621,CONFIG_ASIGNATURAS!$B$2:$J$91,9,FALSE()),""))</f>
      </c>
    </row>
    <row r="12622">
      <c r="F12622">
        <f>IF(DATOS!$A12622="","",DATOS!$A12622&amp;"|"&amp;DATOS!$D12622&amp;"|"&amp;DATOS!$E12622&amp;"|"&amp;DATOS!$I12622)</f>
      </c>
      <c r="G12622">
        <f>IF(DATOS!$A12622="",0,IF(CONFIG_METADATA!$B$4&lt;&gt;"OR+EX",--(DATOS!$G12622=CONFIG_METADATA!$B$4),IF(DATOS!$G12622="EX",1,IF(DATOS!$G12622="OR",--(COUNTIFS(nNIA,DATOS!$A12622,nCURSO,DATOS!$D12622,nESPEC,DATOS!$E12622,nASIG,DATOS!$I12622,nEVAL,"EX")=0),0))))</f>
      </c>
      <c r="H12622">
        <f>IF(DATOS!$G12622&lt;&gt;"EX",0,--(COUNTIFS(nNIA,DATOS!$A12622,nCURSO,DATOS!$D12622,nESPEC,DATOS!$E12622,nASIG,DATOS!$I12622,nEVAL,"OR")=0))</f>
      </c>
      <c r="I12622">
        <f>IF(DATOS!$I12622="","",IFERROR(VLOOKUP(DATOS!$I12622,CONFIG_ASIGNATURAS!$B$2:$J$91,9,FALSE()),""))</f>
      </c>
    </row>
    <row r="12623">
      <c r="F12623">
        <f>IF(DATOS!$A12623="","",DATOS!$A12623&amp;"|"&amp;DATOS!$D12623&amp;"|"&amp;DATOS!$E12623&amp;"|"&amp;DATOS!$I12623)</f>
      </c>
      <c r="G12623">
        <f>IF(DATOS!$A12623="",0,IF(CONFIG_METADATA!$B$4&lt;&gt;"OR+EX",--(DATOS!$G12623=CONFIG_METADATA!$B$4),IF(DATOS!$G12623="EX",1,IF(DATOS!$G12623="OR",--(COUNTIFS(nNIA,DATOS!$A12623,nCURSO,DATOS!$D12623,nESPEC,DATOS!$E12623,nASIG,DATOS!$I12623,nEVAL,"EX")=0),0))))</f>
      </c>
      <c r="H12623">
        <f>IF(DATOS!$G12623&lt;&gt;"EX",0,--(COUNTIFS(nNIA,DATOS!$A12623,nCURSO,DATOS!$D12623,nESPEC,DATOS!$E12623,nASIG,DATOS!$I12623,nEVAL,"OR")=0))</f>
      </c>
      <c r="I12623">
        <f>IF(DATOS!$I12623="","",IFERROR(VLOOKUP(DATOS!$I12623,CONFIG_ASIGNATURAS!$B$2:$J$91,9,FALSE()),""))</f>
      </c>
    </row>
    <row r="12624">
      <c r="F12624">
        <f>IF(DATOS!$A12624="","",DATOS!$A12624&amp;"|"&amp;DATOS!$D12624&amp;"|"&amp;DATOS!$E12624&amp;"|"&amp;DATOS!$I12624)</f>
      </c>
      <c r="G12624">
        <f>IF(DATOS!$A12624="",0,IF(CONFIG_METADATA!$B$4&lt;&gt;"OR+EX",--(DATOS!$G12624=CONFIG_METADATA!$B$4),IF(DATOS!$G12624="EX",1,IF(DATOS!$G12624="OR",--(COUNTIFS(nNIA,DATOS!$A12624,nCURSO,DATOS!$D12624,nESPEC,DATOS!$E12624,nASIG,DATOS!$I12624,nEVAL,"EX")=0),0))))</f>
      </c>
      <c r="H12624">
        <f>IF(DATOS!$G12624&lt;&gt;"EX",0,--(COUNTIFS(nNIA,DATOS!$A12624,nCURSO,DATOS!$D12624,nESPEC,DATOS!$E12624,nASIG,DATOS!$I12624,nEVAL,"OR")=0))</f>
      </c>
      <c r="I12624">
        <f>IF(DATOS!$I12624="","",IFERROR(VLOOKUP(DATOS!$I12624,CONFIG_ASIGNATURAS!$B$2:$J$91,9,FALSE()),""))</f>
      </c>
    </row>
    <row r="12625">
      <c r="F12625">
        <f>IF(DATOS!$A12625="","",DATOS!$A12625&amp;"|"&amp;DATOS!$D12625&amp;"|"&amp;DATOS!$E12625&amp;"|"&amp;DATOS!$I12625)</f>
      </c>
      <c r="G12625">
        <f>IF(DATOS!$A12625="",0,IF(CONFIG_METADATA!$B$4&lt;&gt;"OR+EX",--(DATOS!$G12625=CONFIG_METADATA!$B$4),IF(DATOS!$G12625="EX",1,IF(DATOS!$G12625="OR",--(COUNTIFS(nNIA,DATOS!$A12625,nCURSO,DATOS!$D12625,nESPEC,DATOS!$E12625,nASIG,DATOS!$I12625,nEVAL,"EX")=0),0))))</f>
      </c>
      <c r="H12625">
        <f>IF(DATOS!$G12625&lt;&gt;"EX",0,--(COUNTIFS(nNIA,DATOS!$A12625,nCURSO,DATOS!$D12625,nESPEC,DATOS!$E12625,nASIG,DATOS!$I12625,nEVAL,"OR")=0))</f>
      </c>
      <c r="I12625">
        <f>IF(DATOS!$I12625="","",IFERROR(VLOOKUP(DATOS!$I12625,CONFIG_ASIGNATURAS!$B$2:$J$91,9,FALSE()),""))</f>
      </c>
    </row>
    <row r="12626">
      <c r="F12626">
        <f>IF(DATOS!$A12626="","",DATOS!$A12626&amp;"|"&amp;DATOS!$D12626&amp;"|"&amp;DATOS!$E12626&amp;"|"&amp;DATOS!$I12626)</f>
      </c>
      <c r="G12626">
        <f>IF(DATOS!$A12626="",0,IF(CONFIG_METADATA!$B$4&lt;&gt;"OR+EX",--(DATOS!$G12626=CONFIG_METADATA!$B$4),IF(DATOS!$G12626="EX",1,IF(DATOS!$G12626="OR",--(COUNTIFS(nNIA,DATOS!$A12626,nCURSO,DATOS!$D12626,nESPEC,DATOS!$E12626,nASIG,DATOS!$I12626,nEVAL,"EX")=0),0))))</f>
      </c>
      <c r="H12626">
        <f>IF(DATOS!$G12626&lt;&gt;"EX",0,--(COUNTIFS(nNIA,DATOS!$A12626,nCURSO,DATOS!$D12626,nESPEC,DATOS!$E12626,nASIG,DATOS!$I12626,nEVAL,"OR")=0))</f>
      </c>
      <c r="I12626">
        <f>IF(DATOS!$I12626="","",IFERROR(VLOOKUP(DATOS!$I12626,CONFIG_ASIGNATURAS!$B$2:$J$91,9,FALSE()),""))</f>
      </c>
    </row>
    <row r="12627">
      <c r="F12627">
        <f>IF(DATOS!$A12627="","",DATOS!$A12627&amp;"|"&amp;DATOS!$D12627&amp;"|"&amp;DATOS!$E12627&amp;"|"&amp;DATOS!$I12627)</f>
      </c>
      <c r="G12627">
        <f>IF(DATOS!$A12627="",0,IF(CONFIG_METADATA!$B$4&lt;&gt;"OR+EX",--(DATOS!$G12627=CONFIG_METADATA!$B$4),IF(DATOS!$G12627="EX",1,IF(DATOS!$G12627="OR",--(COUNTIFS(nNIA,DATOS!$A12627,nCURSO,DATOS!$D12627,nESPEC,DATOS!$E12627,nASIG,DATOS!$I12627,nEVAL,"EX")=0),0))))</f>
      </c>
      <c r="H12627">
        <f>IF(DATOS!$G12627&lt;&gt;"EX",0,--(COUNTIFS(nNIA,DATOS!$A12627,nCURSO,DATOS!$D12627,nESPEC,DATOS!$E12627,nASIG,DATOS!$I12627,nEVAL,"OR")=0))</f>
      </c>
      <c r="I12627">
        <f>IF(DATOS!$I12627="","",IFERROR(VLOOKUP(DATOS!$I12627,CONFIG_ASIGNATURAS!$B$2:$J$91,9,FALSE()),""))</f>
      </c>
    </row>
    <row r="12628">
      <c r="F12628">
        <f>IF(DATOS!$A12628="","",DATOS!$A12628&amp;"|"&amp;DATOS!$D12628&amp;"|"&amp;DATOS!$E12628&amp;"|"&amp;DATOS!$I12628)</f>
      </c>
      <c r="G12628">
        <f>IF(DATOS!$A12628="",0,IF(CONFIG_METADATA!$B$4&lt;&gt;"OR+EX",--(DATOS!$G12628=CONFIG_METADATA!$B$4),IF(DATOS!$G12628="EX",1,IF(DATOS!$G12628="OR",--(COUNTIFS(nNIA,DATOS!$A12628,nCURSO,DATOS!$D12628,nESPEC,DATOS!$E12628,nASIG,DATOS!$I12628,nEVAL,"EX")=0),0))))</f>
      </c>
      <c r="H12628">
        <f>IF(DATOS!$G12628&lt;&gt;"EX",0,--(COUNTIFS(nNIA,DATOS!$A12628,nCURSO,DATOS!$D12628,nESPEC,DATOS!$E12628,nASIG,DATOS!$I12628,nEVAL,"OR")=0))</f>
      </c>
      <c r="I12628">
        <f>IF(DATOS!$I12628="","",IFERROR(VLOOKUP(DATOS!$I12628,CONFIG_ASIGNATURAS!$B$2:$J$91,9,FALSE()),""))</f>
      </c>
    </row>
    <row r="12629">
      <c r="F12629">
        <f>IF(DATOS!$A12629="","",DATOS!$A12629&amp;"|"&amp;DATOS!$D12629&amp;"|"&amp;DATOS!$E12629&amp;"|"&amp;DATOS!$I12629)</f>
      </c>
      <c r="G12629">
        <f>IF(DATOS!$A12629="",0,IF(CONFIG_METADATA!$B$4&lt;&gt;"OR+EX",--(DATOS!$G12629=CONFIG_METADATA!$B$4),IF(DATOS!$G12629="EX",1,IF(DATOS!$G12629="OR",--(COUNTIFS(nNIA,DATOS!$A12629,nCURSO,DATOS!$D12629,nESPEC,DATOS!$E12629,nASIG,DATOS!$I12629,nEVAL,"EX")=0),0))))</f>
      </c>
      <c r="H12629">
        <f>IF(DATOS!$G12629&lt;&gt;"EX",0,--(COUNTIFS(nNIA,DATOS!$A12629,nCURSO,DATOS!$D12629,nESPEC,DATOS!$E12629,nASIG,DATOS!$I12629,nEVAL,"OR")=0))</f>
      </c>
      <c r="I12629">
        <f>IF(DATOS!$I12629="","",IFERROR(VLOOKUP(DATOS!$I12629,CONFIG_ASIGNATURAS!$B$2:$J$91,9,FALSE()),""))</f>
      </c>
    </row>
    <row r="12630">
      <c r="F12630">
        <f>IF(DATOS!$A12630="","",DATOS!$A12630&amp;"|"&amp;DATOS!$D12630&amp;"|"&amp;DATOS!$E12630&amp;"|"&amp;DATOS!$I12630)</f>
      </c>
      <c r="G12630">
        <f>IF(DATOS!$A12630="",0,IF(CONFIG_METADATA!$B$4&lt;&gt;"OR+EX",--(DATOS!$G12630=CONFIG_METADATA!$B$4),IF(DATOS!$G12630="EX",1,IF(DATOS!$G12630="OR",--(COUNTIFS(nNIA,DATOS!$A12630,nCURSO,DATOS!$D12630,nESPEC,DATOS!$E12630,nASIG,DATOS!$I12630,nEVAL,"EX")=0),0))))</f>
      </c>
      <c r="H12630">
        <f>IF(DATOS!$G12630&lt;&gt;"EX",0,--(COUNTIFS(nNIA,DATOS!$A12630,nCURSO,DATOS!$D12630,nESPEC,DATOS!$E12630,nASIG,DATOS!$I12630,nEVAL,"OR")=0))</f>
      </c>
      <c r="I12630">
        <f>IF(DATOS!$I12630="","",IFERROR(VLOOKUP(DATOS!$I12630,CONFIG_ASIGNATURAS!$B$2:$J$91,9,FALSE()),""))</f>
      </c>
    </row>
    <row r="12631">
      <c r="F12631">
        <f>IF(DATOS!$A12631="","",DATOS!$A12631&amp;"|"&amp;DATOS!$D12631&amp;"|"&amp;DATOS!$E12631&amp;"|"&amp;DATOS!$I12631)</f>
      </c>
      <c r="G12631">
        <f>IF(DATOS!$A12631="",0,IF(CONFIG_METADATA!$B$4&lt;&gt;"OR+EX",--(DATOS!$G12631=CONFIG_METADATA!$B$4),IF(DATOS!$G12631="EX",1,IF(DATOS!$G12631="OR",--(COUNTIFS(nNIA,DATOS!$A12631,nCURSO,DATOS!$D12631,nESPEC,DATOS!$E12631,nASIG,DATOS!$I12631,nEVAL,"EX")=0),0))))</f>
      </c>
      <c r="H12631">
        <f>IF(DATOS!$G12631&lt;&gt;"EX",0,--(COUNTIFS(nNIA,DATOS!$A12631,nCURSO,DATOS!$D12631,nESPEC,DATOS!$E12631,nASIG,DATOS!$I12631,nEVAL,"OR")=0))</f>
      </c>
      <c r="I12631">
        <f>IF(DATOS!$I12631="","",IFERROR(VLOOKUP(DATOS!$I12631,CONFIG_ASIGNATURAS!$B$2:$J$91,9,FALSE()),""))</f>
      </c>
    </row>
    <row r="12632">
      <c r="F12632">
        <f>IF(DATOS!$A12632="","",DATOS!$A12632&amp;"|"&amp;DATOS!$D12632&amp;"|"&amp;DATOS!$E12632&amp;"|"&amp;DATOS!$I12632)</f>
      </c>
      <c r="G12632">
        <f>IF(DATOS!$A12632="",0,IF(CONFIG_METADATA!$B$4&lt;&gt;"OR+EX",--(DATOS!$G12632=CONFIG_METADATA!$B$4),IF(DATOS!$G12632="EX",1,IF(DATOS!$G12632="OR",--(COUNTIFS(nNIA,DATOS!$A12632,nCURSO,DATOS!$D12632,nESPEC,DATOS!$E12632,nASIG,DATOS!$I12632,nEVAL,"EX")=0),0))))</f>
      </c>
      <c r="H12632">
        <f>IF(DATOS!$G12632&lt;&gt;"EX",0,--(COUNTIFS(nNIA,DATOS!$A12632,nCURSO,DATOS!$D12632,nESPEC,DATOS!$E12632,nASIG,DATOS!$I12632,nEVAL,"OR")=0))</f>
      </c>
      <c r="I12632">
        <f>IF(DATOS!$I12632="","",IFERROR(VLOOKUP(DATOS!$I12632,CONFIG_ASIGNATURAS!$B$2:$J$91,9,FALSE()),""))</f>
      </c>
    </row>
    <row r="12633">
      <c r="F12633">
        <f>IF(DATOS!$A12633="","",DATOS!$A12633&amp;"|"&amp;DATOS!$D12633&amp;"|"&amp;DATOS!$E12633&amp;"|"&amp;DATOS!$I12633)</f>
      </c>
      <c r="G12633">
        <f>IF(DATOS!$A12633="",0,IF(CONFIG_METADATA!$B$4&lt;&gt;"OR+EX",--(DATOS!$G12633=CONFIG_METADATA!$B$4),IF(DATOS!$G12633="EX",1,IF(DATOS!$G12633="OR",--(COUNTIFS(nNIA,DATOS!$A12633,nCURSO,DATOS!$D12633,nESPEC,DATOS!$E12633,nASIG,DATOS!$I12633,nEVAL,"EX")=0),0))))</f>
      </c>
      <c r="H12633">
        <f>IF(DATOS!$G12633&lt;&gt;"EX",0,--(COUNTIFS(nNIA,DATOS!$A12633,nCURSO,DATOS!$D12633,nESPEC,DATOS!$E12633,nASIG,DATOS!$I12633,nEVAL,"OR")=0))</f>
      </c>
      <c r="I12633">
        <f>IF(DATOS!$I12633="","",IFERROR(VLOOKUP(DATOS!$I12633,CONFIG_ASIGNATURAS!$B$2:$J$91,9,FALSE()),""))</f>
      </c>
    </row>
    <row r="12634">
      <c r="F12634">
        <f>IF(DATOS!$A12634="","",DATOS!$A12634&amp;"|"&amp;DATOS!$D12634&amp;"|"&amp;DATOS!$E12634&amp;"|"&amp;DATOS!$I12634)</f>
      </c>
      <c r="G12634">
        <f>IF(DATOS!$A12634="",0,IF(CONFIG_METADATA!$B$4&lt;&gt;"OR+EX",--(DATOS!$G12634=CONFIG_METADATA!$B$4),IF(DATOS!$G12634="EX",1,IF(DATOS!$G12634="OR",--(COUNTIFS(nNIA,DATOS!$A12634,nCURSO,DATOS!$D12634,nESPEC,DATOS!$E12634,nASIG,DATOS!$I12634,nEVAL,"EX")=0),0))))</f>
      </c>
      <c r="H12634">
        <f>IF(DATOS!$G12634&lt;&gt;"EX",0,--(COUNTIFS(nNIA,DATOS!$A12634,nCURSO,DATOS!$D12634,nESPEC,DATOS!$E12634,nASIG,DATOS!$I12634,nEVAL,"OR")=0))</f>
      </c>
      <c r="I12634">
        <f>IF(DATOS!$I12634="","",IFERROR(VLOOKUP(DATOS!$I12634,CONFIG_ASIGNATURAS!$B$2:$J$91,9,FALSE()),""))</f>
      </c>
    </row>
    <row r="12635">
      <c r="F12635">
        <f>IF(DATOS!$A12635="","",DATOS!$A12635&amp;"|"&amp;DATOS!$D12635&amp;"|"&amp;DATOS!$E12635&amp;"|"&amp;DATOS!$I12635)</f>
      </c>
      <c r="G12635">
        <f>IF(DATOS!$A12635="",0,IF(CONFIG_METADATA!$B$4&lt;&gt;"OR+EX",--(DATOS!$G12635=CONFIG_METADATA!$B$4),IF(DATOS!$G12635="EX",1,IF(DATOS!$G12635="OR",--(COUNTIFS(nNIA,DATOS!$A12635,nCURSO,DATOS!$D12635,nESPEC,DATOS!$E12635,nASIG,DATOS!$I12635,nEVAL,"EX")=0),0))))</f>
      </c>
      <c r="H12635">
        <f>IF(DATOS!$G12635&lt;&gt;"EX",0,--(COUNTIFS(nNIA,DATOS!$A12635,nCURSO,DATOS!$D12635,nESPEC,DATOS!$E12635,nASIG,DATOS!$I12635,nEVAL,"OR")=0))</f>
      </c>
      <c r="I12635">
        <f>IF(DATOS!$I12635="","",IFERROR(VLOOKUP(DATOS!$I12635,CONFIG_ASIGNATURAS!$B$2:$J$91,9,FALSE()),""))</f>
      </c>
    </row>
    <row r="12636">
      <c r="F12636">
        <f>IF(DATOS!$A12636="","",DATOS!$A12636&amp;"|"&amp;DATOS!$D12636&amp;"|"&amp;DATOS!$E12636&amp;"|"&amp;DATOS!$I12636)</f>
      </c>
      <c r="G12636">
        <f>IF(DATOS!$A12636="",0,IF(CONFIG_METADATA!$B$4&lt;&gt;"OR+EX",--(DATOS!$G12636=CONFIG_METADATA!$B$4),IF(DATOS!$G12636="EX",1,IF(DATOS!$G12636="OR",--(COUNTIFS(nNIA,DATOS!$A12636,nCURSO,DATOS!$D12636,nESPEC,DATOS!$E12636,nASIG,DATOS!$I12636,nEVAL,"EX")=0),0))))</f>
      </c>
      <c r="H12636">
        <f>IF(DATOS!$G12636&lt;&gt;"EX",0,--(COUNTIFS(nNIA,DATOS!$A12636,nCURSO,DATOS!$D12636,nESPEC,DATOS!$E12636,nASIG,DATOS!$I12636,nEVAL,"OR")=0))</f>
      </c>
      <c r="I12636">
        <f>IF(DATOS!$I12636="","",IFERROR(VLOOKUP(DATOS!$I12636,CONFIG_ASIGNATURAS!$B$2:$J$91,9,FALSE()),""))</f>
      </c>
    </row>
    <row r="12637">
      <c r="F12637">
        <f>IF(DATOS!$A12637="","",DATOS!$A12637&amp;"|"&amp;DATOS!$D12637&amp;"|"&amp;DATOS!$E12637&amp;"|"&amp;DATOS!$I12637)</f>
      </c>
      <c r="G12637">
        <f>IF(DATOS!$A12637="",0,IF(CONFIG_METADATA!$B$4&lt;&gt;"OR+EX",--(DATOS!$G12637=CONFIG_METADATA!$B$4),IF(DATOS!$G12637="EX",1,IF(DATOS!$G12637="OR",--(COUNTIFS(nNIA,DATOS!$A12637,nCURSO,DATOS!$D12637,nESPEC,DATOS!$E12637,nASIG,DATOS!$I12637,nEVAL,"EX")=0),0))))</f>
      </c>
      <c r="H12637">
        <f>IF(DATOS!$G12637&lt;&gt;"EX",0,--(COUNTIFS(nNIA,DATOS!$A12637,nCURSO,DATOS!$D12637,nESPEC,DATOS!$E12637,nASIG,DATOS!$I12637,nEVAL,"OR")=0))</f>
      </c>
      <c r="I12637">
        <f>IF(DATOS!$I12637="","",IFERROR(VLOOKUP(DATOS!$I12637,CONFIG_ASIGNATURAS!$B$2:$J$91,9,FALSE()),""))</f>
      </c>
    </row>
    <row r="12638">
      <c r="F12638">
        <f>IF(DATOS!$A12638="","",DATOS!$A12638&amp;"|"&amp;DATOS!$D12638&amp;"|"&amp;DATOS!$E12638&amp;"|"&amp;DATOS!$I12638)</f>
      </c>
      <c r="G12638">
        <f>IF(DATOS!$A12638="",0,IF(CONFIG_METADATA!$B$4&lt;&gt;"OR+EX",--(DATOS!$G12638=CONFIG_METADATA!$B$4),IF(DATOS!$G12638="EX",1,IF(DATOS!$G12638="OR",--(COUNTIFS(nNIA,DATOS!$A12638,nCURSO,DATOS!$D12638,nESPEC,DATOS!$E12638,nASIG,DATOS!$I12638,nEVAL,"EX")=0),0))))</f>
      </c>
      <c r="H12638">
        <f>IF(DATOS!$G12638&lt;&gt;"EX",0,--(COUNTIFS(nNIA,DATOS!$A12638,nCURSO,DATOS!$D12638,nESPEC,DATOS!$E12638,nASIG,DATOS!$I12638,nEVAL,"OR")=0))</f>
      </c>
      <c r="I12638">
        <f>IF(DATOS!$I12638="","",IFERROR(VLOOKUP(DATOS!$I12638,CONFIG_ASIGNATURAS!$B$2:$J$91,9,FALSE()),""))</f>
      </c>
    </row>
    <row r="12639">
      <c r="F12639">
        <f>IF(DATOS!$A12639="","",DATOS!$A12639&amp;"|"&amp;DATOS!$D12639&amp;"|"&amp;DATOS!$E12639&amp;"|"&amp;DATOS!$I12639)</f>
      </c>
      <c r="G12639">
        <f>IF(DATOS!$A12639="",0,IF(CONFIG_METADATA!$B$4&lt;&gt;"OR+EX",--(DATOS!$G12639=CONFIG_METADATA!$B$4),IF(DATOS!$G12639="EX",1,IF(DATOS!$G12639="OR",--(COUNTIFS(nNIA,DATOS!$A12639,nCURSO,DATOS!$D12639,nESPEC,DATOS!$E12639,nASIG,DATOS!$I12639,nEVAL,"EX")=0),0))))</f>
      </c>
      <c r="H12639">
        <f>IF(DATOS!$G12639&lt;&gt;"EX",0,--(COUNTIFS(nNIA,DATOS!$A12639,nCURSO,DATOS!$D12639,nESPEC,DATOS!$E12639,nASIG,DATOS!$I12639,nEVAL,"OR")=0))</f>
      </c>
      <c r="I12639">
        <f>IF(DATOS!$I12639="","",IFERROR(VLOOKUP(DATOS!$I12639,CONFIG_ASIGNATURAS!$B$2:$J$91,9,FALSE()),""))</f>
      </c>
    </row>
    <row r="12640">
      <c r="F12640">
        <f>IF(DATOS!$A12640="","",DATOS!$A12640&amp;"|"&amp;DATOS!$D12640&amp;"|"&amp;DATOS!$E12640&amp;"|"&amp;DATOS!$I12640)</f>
      </c>
      <c r="G12640">
        <f>IF(DATOS!$A12640="",0,IF(CONFIG_METADATA!$B$4&lt;&gt;"OR+EX",--(DATOS!$G12640=CONFIG_METADATA!$B$4),IF(DATOS!$G12640="EX",1,IF(DATOS!$G12640="OR",--(COUNTIFS(nNIA,DATOS!$A12640,nCURSO,DATOS!$D12640,nESPEC,DATOS!$E12640,nASIG,DATOS!$I12640,nEVAL,"EX")=0),0))))</f>
      </c>
      <c r="H12640">
        <f>IF(DATOS!$G12640&lt;&gt;"EX",0,--(COUNTIFS(nNIA,DATOS!$A12640,nCURSO,DATOS!$D12640,nESPEC,DATOS!$E12640,nASIG,DATOS!$I12640,nEVAL,"OR")=0))</f>
      </c>
      <c r="I12640">
        <f>IF(DATOS!$I12640="","",IFERROR(VLOOKUP(DATOS!$I12640,CONFIG_ASIGNATURAS!$B$2:$J$91,9,FALSE()),""))</f>
      </c>
    </row>
    <row r="12641">
      <c r="F12641">
        <f>IF(DATOS!$A12641="","",DATOS!$A12641&amp;"|"&amp;DATOS!$D12641&amp;"|"&amp;DATOS!$E12641&amp;"|"&amp;DATOS!$I12641)</f>
      </c>
      <c r="G12641">
        <f>IF(DATOS!$A12641="",0,IF(CONFIG_METADATA!$B$4&lt;&gt;"OR+EX",--(DATOS!$G12641=CONFIG_METADATA!$B$4),IF(DATOS!$G12641="EX",1,IF(DATOS!$G12641="OR",--(COUNTIFS(nNIA,DATOS!$A12641,nCURSO,DATOS!$D12641,nESPEC,DATOS!$E12641,nASIG,DATOS!$I12641,nEVAL,"EX")=0),0))))</f>
      </c>
      <c r="H12641">
        <f>IF(DATOS!$G12641&lt;&gt;"EX",0,--(COUNTIFS(nNIA,DATOS!$A12641,nCURSO,DATOS!$D12641,nESPEC,DATOS!$E12641,nASIG,DATOS!$I12641,nEVAL,"OR")=0))</f>
      </c>
      <c r="I12641">
        <f>IF(DATOS!$I12641="","",IFERROR(VLOOKUP(DATOS!$I12641,CONFIG_ASIGNATURAS!$B$2:$J$91,9,FALSE()),""))</f>
      </c>
    </row>
    <row r="12642">
      <c r="F12642">
        <f>IF(DATOS!$A12642="","",DATOS!$A12642&amp;"|"&amp;DATOS!$D12642&amp;"|"&amp;DATOS!$E12642&amp;"|"&amp;DATOS!$I12642)</f>
      </c>
      <c r="G12642">
        <f>IF(DATOS!$A12642="",0,IF(CONFIG_METADATA!$B$4&lt;&gt;"OR+EX",--(DATOS!$G12642=CONFIG_METADATA!$B$4),IF(DATOS!$G12642="EX",1,IF(DATOS!$G12642="OR",--(COUNTIFS(nNIA,DATOS!$A12642,nCURSO,DATOS!$D12642,nESPEC,DATOS!$E12642,nASIG,DATOS!$I12642,nEVAL,"EX")=0),0))))</f>
      </c>
      <c r="H12642">
        <f>IF(DATOS!$G12642&lt;&gt;"EX",0,--(COUNTIFS(nNIA,DATOS!$A12642,nCURSO,DATOS!$D12642,nESPEC,DATOS!$E12642,nASIG,DATOS!$I12642,nEVAL,"OR")=0))</f>
      </c>
      <c r="I12642">
        <f>IF(DATOS!$I12642="","",IFERROR(VLOOKUP(DATOS!$I12642,CONFIG_ASIGNATURAS!$B$2:$J$91,9,FALSE()),""))</f>
      </c>
    </row>
    <row r="12643">
      <c r="F12643">
        <f>IF(DATOS!$A12643="","",DATOS!$A12643&amp;"|"&amp;DATOS!$D12643&amp;"|"&amp;DATOS!$E12643&amp;"|"&amp;DATOS!$I12643)</f>
      </c>
      <c r="G12643">
        <f>IF(DATOS!$A12643="",0,IF(CONFIG_METADATA!$B$4&lt;&gt;"OR+EX",--(DATOS!$G12643=CONFIG_METADATA!$B$4),IF(DATOS!$G12643="EX",1,IF(DATOS!$G12643="OR",--(COUNTIFS(nNIA,DATOS!$A12643,nCURSO,DATOS!$D12643,nESPEC,DATOS!$E12643,nASIG,DATOS!$I12643,nEVAL,"EX")=0),0))))</f>
      </c>
      <c r="H12643">
        <f>IF(DATOS!$G12643&lt;&gt;"EX",0,--(COUNTIFS(nNIA,DATOS!$A12643,nCURSO,DATOS!$D12643,nESPEC,DATOS!$E12643,nASIG,DATOS!$I12643,nEVAL,"OR")=0))</f>
      </c>
      <c r="I12643">
        <f>IF(DATOS!$I12643="","",IFERROR(VLOOKUP(DATOS!$I12643,CONFIG_ASIGNATURAS!$B$2:$J$91,9,FALSE()),""))</f>
      </c>
    </row>
    <row r="12644">
      <c r="F12644">
        <f>IF(DATOS!$A12644="","",DATOS!$A12644&amp;"|"&amp;DATOS!$D12644&amp;"|"&amp;DATOS!$E12644&amp;"|"&amp;DATOS!$I12644)</f>
      </c>
      <c r="G12644">
        <f>IF(DATOS!$A12644="",0,IF(CONFIG_METADATA!$B$4&lt;&gt;"OR+EX",--(DATOS!$G12644=CONFIG_METADATA!$B$4),IF(DATOS!$G12644="EX",1,IF(DATOS!$G12644="OR",--(COUNTIFS(nNIA,DATOS!$A12644,nCURSO,DATOS!$D12644,nESPEC,DATOS!$E12644,nASIG,DATOS!$I12644,nEVAL,"EX")=0),0))))</f>
      </c>
      <c r="H12644">
        <f>IF(DATOS!$G12644&lt;&gt;"EX",0,--(COUNTIFS(nNIA,DATOS!$A12644,nCURSO,DATOS!$D12644,nESPEC,DATOS!$E12644,nASIG,DATOS!$I12644,nEVAL,"OR")=0))</f>
      </c>
      <c r="I12644">
        <f>IF(DATOS!$I12644="","",IFERROR(VLOOKUP(DATOS!$I12644,CONFIG_ASIGNATURAS!$B$2:$J$91,9,FALSE()),""))</f>
      </c>
    </row>
    <row r="12645">
      <c r="F12645">
        <f>IF(DATOS!$A12645="","",DATOS!$A12645&amp;"|"&amp;DATOS!$D12645&amp;"|"&amp;DATOS!$E12645&amp;"|"&amp;DATOS!$I12645)</f>
      </c>
      <c r="G12645">
        <f>IF(DATOS!$A12645="",0,IF(CONFIG_METADATA!$B$4&lt;&gt;"OR+EX",--(DATOS!$G12645=CONFIG_METADATA!$B$4),IF(DATOS!$G12645="EX",1,IF(DATOS!$G12645="OR",--(COUNTIFS(nNIA,DATOS!$A12645,nCURSO,DATOS!$D12645,nESPEC,DATOS!$E12645,nASIG,DATOS!$I12645,nEVAL,"EX")=0),0))))</f>
      </c>
      <c r="H12645">
        <f>IF(DATOS!$G12645&lt;&gt;"EX",0,--(COUNTIFS(nNIA,DATOS!$A12645,nCURSO,DATOS!$D12645,nESPEC,DATOS!$E12645,nASIG,DATOS!$I12645,nEVAL,"OR")=0))</f>
      </c>
      <c r="I12645">
        <f>IF(DATOS!$I12645="","",IFERROR(VLOOKUP(DATOS!$I12645,CONFIG_ASIGNATURAS!$B$2:$J$91,9,FALSE()),""))</f>
      </c>
    </row>
    <row r="12646">
      <c r="F12646">
        <f>IF(DATOS!$A12646="","",DATOS!$A12646&amp;"|"&amp;DATOS!$D12646&amp;"|"&amp;DATOS!$E12646&amp;"|"&amp;DATOS!$I12646)</f>
      </c>
      <c r="G12646">
        <f>IF(DATOS!$A12646="",0,IF(CONFIG_METADATA!$B$4&lt;&gt;"OR+EX",--(DATOS!$G12646=CONFIG_METADATA!$B$4),IF(DATOS!$G12646="EX",1,IF(DATOS!$G12646="OR",--(COUNTIFS(nNIA,DATOS!$A12646,nCURSO,DATOS!$D12646,nESPEC,DATOS!$E12646,nASIG,DATOS!$I12646,nEVAL,"EX")=0),0))))</f>
      </c>
      <c r="H12646">
        <f>IF(DATOS!$G12646&lt;&gt;"EX",0,--(COUNTIFS(nNIA,DATOS!$A12646,nCURSO,DATOS!$D12646,nESPEC,DATOS!$E12646,nASIG,DATOS!$I12646,nEVAL,"OR")=0))</f>
      </c>
      <c r="I12646">
        <f>IF(DATOS!$I12646="","",IFERROR(VLOOKUP(DATOS!$I12646,CONFIG_ASIGNATURAS!$B$2:$J$91,9,FALSE()),""))</f>
      </c>
    </row>
    <row r="12647">
      <c r="F12647">
        <f>IF(DATOS!$A12647="","",DATOS!$A12647&amp;"|"&amp;DATOS!$D12647&amp;"|"&amp;DATOS!$E12647&amp;"|"&amp;DATOS!$I12647)</f>
      </c>
      <c r="G12647">
        <f>IF(DATOS!$A12647="",0,IF(CONFIG_METADATA!$B$4&lt;&gt;"OR+EX",--(DATOS!$G12647=CONFIG_METADATA!$B$4),IF(DATOS!$G12647="EX",1,IF(DATOS!$G12647="OR",--(COUNTIFS(nNIA,DATOS!$A12647,nCURSO,DATOS!$D12647,nESPEC,DATOS!$E12647,nASIG,DATOS!$I12647,nEVAL,"EX")=0),0))))</f>
      </c>
      <c r="H12647">
        <f>IF(DATOS!$G12647&lt;&gt;"EX",0,--(COUNTIFS(nNIA,DATOS!$A12647,nCURSO,DATOS!$D12647,nESPEC,DATOS!$E12647,nASIG,DATOS!$I12647,nEVAL,"OR")=0))</f>
      </c>
      <c r="I12647">
        <f>IF(DATOS!$I12647="","",IFERROR(VLOOKUP(DATOS!$I12647,CONFIG_ASIGNATURAS!$B$2:$J$91,9,FALSE()),""))</f>
      </c>
    </row>
    <row r="12648">
      <c r="F12648">
        <f>IF(DATOS!$A12648="","",DATOS!$A12648&amp;"|"&amp;DATOS!$D12648&amp;"|"&amp;DATOS!$E12648&amp;"|"&amp;DATOS!$I12648)</f>
      </c>
      <c r="G12648">
        <f>IF(DATOS!$A12648="",0,IF(CONFIG_METADATA!$B$4&lt;&gt;"OR+EX",--(DATOS!$G12648=CONFIG_METADATA!$B$4),IF(DATOS!$G12648="EX",1,IF(DATOS!$G12648="OR",--(COUNTIFS(nNIA,DATOS!$A12648,nCURSO,DATOS!$D12648,nESPEC,DATOS!$E12648,nASIG,DATOS!$I12648,nEVAL,"EX")=0),0))))</f>
      </c>
      <c r="H12648">
        <f>IF(DATOS!$G12648&lt;&gt;"EX",0,--(COUNTIFS(nNIA,DATOS!$A12648,nCURSO,DATOS!$D12648,nESPEC,DATOS!$E12648,nASIG,DATOS!$I12648,nEVAL,"OR")=0))</f>
      </c>
      <c r="I12648">
        <f>IF(DATOS!$I12648="","",IFERROR(VLOOKUP(DATOS!$I12648,CONFIG_ASIGNATURAS!$B$2:$J$91,9,FALSE()),""))</f>
      </c>
    </row>
    <row r="12649">
      <c r="F12649">
        <f>IF(DATOS!$A12649="","",DATOS!$A12649&amp;"|"&amp;DATOS!$D12649&amp;"|"&amp;DATOS!$E12649&amp;"|"&amp;DATOS!$I12649)</f>
      </c>
      <c r="G12649">
        <f>IF(DATOS!$A12649="",0,IF(CONFIG_METADATA!$B$4&lt;&gt;"OR+EX",--(DATOS!$G12649=CONFIG_METADATA!$B$4),IF(DATOS!$G12649="EX",1,IF(DATOS!$G12649="OR",--(COUNTIFS(nNIA,DATOS!$A12649,nCURSO,DATOS!$D12649,nESPEC,DATOS!$E12649,nASIG,DATOS!$I12649,nEVAL,"EX")=0),0))))</f>
      </c>
      <c r="H12649">
        <f>IF(DATOS!$G12649&lt;&gt;"EX",0,--(COUNTIFS(nNIA,DATOS!$A12649,nCURSO,DATOS!$D12649,nESPEC,DATOS!$E12649,nASIG,DATOS!$I12649,nEVAL,"OR")=0))</f>
      </c>
      <c r="I12649">
        <f>IF(DATOS!$I12649="","",IFERROR(VLOOKUP(DATOS!$I12649,CONFIG_ASIGNATURAS!$B$2:$J$91,9,FALSE()),""))</f>
      </c>
    </row>
    <row r="12650">
      <c r="F12650">
        <f>IF(DATOS!$A12650="","",DATOS!$A12650&amp;"|"&amp;DATOS!$D12650&amp;"|"&amp;DATOS!$E12650&amp;"|"&amp;DATOS!$I12650)</f>
      </c>
      <c r="G12650">
        <f>IF(DATOS!$A12650="",0,IF(CONFIG_METADATA!$B$4&lt;&gt;"OR+EX",--(DATOS!$G12650=CONFIG_METADATA!$B$4),IF(DATOS!$G12650="EX",1,IF(DATOS!$G12650="OR",--(COUNTIFS(nNIA,DATOS!$A12650,nCURSO,DATOS!$D12650,nESPEC,DATOS!$E12650,nASIG,DATOS!$I12650,nEVAL,"EX")=0),0))))</f>
      </c>
      <c r="H12650">
        <f>IF(DATOS!$G12650&lt;&gt;"EX",0,--(COUNTIFS(nNIA,DATOS!$A12650,nCURSO,DATOS!$D12650,nESPEC,DATOS!$E12650,nASIG,DATOS!$I12650,nEVAL,"OR")=0))</f>
      </c>
      <c r="I12650">
        <f>IF(DATOS!$I12650="","",IFERROR(VLOOKUP(DATOS!$I12650,CONFIG_ASIGNATURAS!$B$2:$J$91,9,FALSE()),""))</f>
      </c>
    </row>
    <row r="12651">
      <c r="F12651">
        <f>IF(DATOS!$A12651="","",DATOS!$A12651&amp;"|"&amp;DATOS!$D12651&amp;"|"&amp;DATOS!$E12651&amp;"|"&amp;DATOS!$I12651)</f>
      </c>
      <c r="G12651">
        <f>IF(DATOS!$A12651="",0,IF(CONFIG_METADATA!$B$4&lt;&gt;"OR+EX",--(DATOS!$G12651=CONFIG_METADATA!$B$4),IF(DATOS!$G12651="EX",1,IF(DATOS!$G12651="OR",--(COUNTIFS(nNIA,DATOS!$A12651,nCURSO,DATOS!$D12651,nESPEC,DATOS!$E12651,nASIG,DATOS!$I12651,nEVAL,"EX")=0),0))))</f>
      </c>
      <c r="H12651">
        <f>IF(DATOS!$G12651&lt;&gt;"EX",0,--(COUNTIFS(nNIA,DATOS!$A12651,nCURSO,DATOS!$D12651,nESPEC,DATOS!$E12651,nASIG,DATOS!$I12651,nEVAL,"OR")=0))</f>
      </c>
      <c r="I12651">
        <f>IF(DATOS!$I12651="","",IFERROR(VLOOKUP(DATOS!$I12651,CONFIG_ASIGNATURAS!$B$2:$J$91,9,FALSE()),""))</f>
      </c>
    </row>
    <row r="12652">
      <c r="F12652">
        <f>IF(DATOS!$A12652="","",DATOS!$A12652&amp;"|"&amp;DATOS!$D12652&amp;"|"&amp;DATOS!$E12652&amp;"|"&amp;DATOS!$I12652)</f>
      </c>
      <c r="G12652">
        <f>IF(DATOS!$A12652="",0,IF(CONFIG_METADATA!$B$4&lt;&gt;"OR+EX",--(DATOS!$G12652=CONFIG_METADATA!$B$4),IF(DATOS!$G12652="EX",1,IF(DATOS!$G12652="OR",--(COUNTIFS(nNIA,DATOS!$A12652,nCURSO,DATOS!$D12652,nESPEC,DATOS!$E12652,nASIG,DATOS!$I12652,nEVAL,"EX")=0),0))))</f>
      </c>
      <c r="H12652">
        <f>IF(DATOS!$G12652&lt;&gt;"EX",0,--(COUNTIFS(nNIA,DATOS!$A12652,nCURSO,DATOS!$D12652,nESPEC,DATOS!$E12652,nASIG,DATOS!$I12652,nEVAL,"OR")=0))</f>
      </c>
      <c r="I12652">
        <f>IF(DATOS!$I12652="","",IFERROR(VLOOKUP(DATOS!$I12652,CONFIG_ASIGNATURAS!$B$2:$J$91,9,FALSE()),""))</f>
      </c>
    </row>
    <row r="12653">
      <c r="F12653">
        <f>IF(DATOS!$A12653="","",DATOS!$A12653&amp;"|"&amp;DATOS!$D12653&amp;"|"&amp;DATOS!$E12653&amp;"|"&amp;DATOS!$I12653)</f>
      </c>
      <c r="G12653">
        <f>IF(DATOS!$A12653="",0,IF(CONFIG_METADATA!$B$4&lt;&gt;"OR+EX",--(DATOS!$G12653=CONFIG_METADATA!$B$4),IF(DATOS!$G12653="EX",1,IF(DATOS!$G12653="OR",--(COUNTIFS(nNIA,DATOS!$A12653,nCURSO,DATOS!$D12653,nESPEC,DATOS!$E12653,nASIG,DATOS!$I12653,nEVAL,"EX")=0),0))))</f>
      </c>
      <c r="H12653">
        <f>IF(DATOS!$G12653&lt;&gt;"EX",0,--(COUNTIFS(nNIA,DATOS!$A12653,nCURSO,DATOS!$D12653,nESPEC,DATOS!$E12653,nASIG,DATOS!$I12653,nEVAL,"OR")=0))</f>
      </c>
      <c r="I12653">
        <f>IF(DATOS!$I12653="","",IFERROR(VLOOKUP(DATOS!$I12653,CONFIG_ASIGNATURAS!$B$2:$J$91,9,FALSE()),""))</f>
      </c>
    </row>
    <row r="12654">
      <c r="F12654">
        <f>IF(DATOS!$A12654="","",DATOS!$A12654&amp;"|"&amp;DATOS!$D12654&amp;"|"&amp;DATOS!$E12654&amp;"|"&amp;DATOS!$I12654)</f>
      </c>
      <c r="G12654">
        <f>IF(DATOS!$A12654="",0,IF(CONFIG_METADATA!$B$4&lt;&gt;"OR+EX",--(DATOS!$G12654=CONFIG_METADATA!$B$4),IF(DATOS!$G12654="EX",1,IF(DATOS!$G12654="OR",--(COUNTIFS(nNIA,DATOS!$A12654,nCURSO,DATOS!$D12654,nESPEC,DATOS!$E12654,nASIG,DATOS!$I12654,nEVAL,"EX")=0),0))))</f>
      </c>
      <c r="H12654">
        <f>IF(DATOS!$G12654&lt;&gt;"EX",0,--(COUNTIFS(nNIA,DATOS!$A12654,nCURSO,DATOS!$D12654,nESPEC,DATOS!$E12654,nASIG,DATOS!$I12654,nEVAL,"OR")=0))</f>
      </c>
      <c r="I12654">
        <f>IF(DATOS!$I12654="","",IFERROR(VLOOKUP(DATOS!$I12654,CONFIG_ASIGNATURAS!$B$2:$J$91,9,FALSE()),""))</f>
      </c>
    </row>
    <row r="12655">
      <c r="F12655">
        <f>IF(DATOS!$A12655="","",DATOS!$A12655&amp;"|"&amp;DATOS!$D12655&amp;"|"&amp;DATOS!$E12655&amp;"|"&amp;DATOS!$I12655)</f>
      </c>
      <c r="G12655">
        <f>IF(DATOS!$A12655="",0,IF(CONFIG_METADATA!$B$4&lt;&gt;"OR+EX",--(DATOS!$G12655=CONFIG_METADATA!$B$4),IF(DATOS!$G12655="EX",1,IF(DATOS!$G12655="OR",--(COUNTIFS(nNIA,DATOS!$A12655,nCURSO,DATOS!$D12655,nESPEC,DATOS!$E12655,nASIG,DATOS!$I12655,nEVAL,"EX")=0),0))))</f>
      </c>
      <c r="H12655">
        <f>IF(DATOS!$G12655&lt;&gt;"EX",0,--(COUNTIFS(nNIA,DATOS!$A12655,nCURSO,DATOS!$D12655,nESPEC,DATOS!$E12655,nASIG,DATOS!$I12655,nEVAL,"OR")=0))</f>
      </c>
      <c r="I12655">
        <f>IF(DATOS!$I12655="","",IFERROR(VLOOKUP(DATOS!$I12655,CONFIG_ASIGNATURAS!$B$2:$J$91,9,FALSE()),""))</f>
      </c>
    </row>
    <row r="12656">
      <c r="F12656">
        <f>IF(DATOS!$A12656="","",DATOS!$A12656&amp;"|"&amp;DATOS!$D12656&amp;"|"&amp;DATOS!$E12656&amp;"|"&amp;DATOS!$I12656)</f>
      </c>
      <c r="G12656">
        <f>IF(DATOS!$A12656="",0,IF(CONFIG_METADATA!$B$4&lt;&gt;"OR+EX",--(DATOS!$G12656=CONFIG_METADATA!$B$4),IF(DATOS!$G12656="EX",1,IF(DATOS!$G12656="OR",--(COUNTIFS(nNIA,DATOS!$A12656,nCURSO,DATOS!$D12656,nESPEC,DATOS!$E12656,nASIG,DATOS!$I12656,nEVAL,"EX")=0),0))))</f>
      </c>
      <c r="H12656">
        <f>IF(DATOS!$G12656&lt;&gt;"EX",0,--(COUNTIFS(nNIA,DATOS!$A12656,nCURSO,DATOS!$D12656,nESPEC,DATOS!$E12656,nASIG,DATOS!$I12656,nEVAL,"OR")=0))</f>
      </c>
      <c r="I12656">
        <f>IF(DATOS!$I12656="","",IFERROR(VLOOKUP(DATOS!$I12656,CONFIG_ASIGNATURAS!$B$2:$J$91,9,FALSE()),""))</f>
      </c>
    </row>
    <row r="12657">
      <c r="F12657">
        <f>IF(DATOS!$A12657="","",DATOS!$A12657&amp;"|"&amp;DATOS!$D12657&amp;"|"&amp;DATOS!$E12657&amp;"|"&amp;DATOS!$I12657)</f>
      </c>
      <c r="G12657">
        <f>IF(DATOS!$A12657="",0,IF(CONFIG_METADATA!$B$4&lt;&gt;"OR+EX",--(DATOS!$G12657=CONFIG_METADATA!$B$4),IF(DATOS!$G12657="EX",1,IF(DATOS!$G12657="OR",--(COUNTIFS(nNIA,DATOS!$A12657,nCURSO,DATOS!$D12657,nESPEC,DATOS!$E12657,nASIG,DATOS!$I12657,nEVAL,"EX")=0),0))))</f>
      </c>
      <c r="H12657">
        <f>IF(DATOS!$G12657&lt;&gt;"EX",0,--(COUNTIFS(nNIA,DATOS!$A12657,nCURSO,DATOS!$D12657,nESPEC,DATOS!$E12657,nASIG,DATOS!$I12657,nEVAL,"OR")=0))</f>
      </c>
      <c r="I12657">
        <f>IF(DATOS!$I12657="","",IFERROR(VLOOKUP(DATOS!$I12657,CONFIG_ASIGNATURAS!$B$2:$J$91,9,FALSE()),""))</f>
      </c>
    </row>
    <row r="12658">
      <c r="F12658">
        <f>IF(DATOS!$A12658="","",DATOS!$A12658&amp;"|"&amp;DATOS!$D12658&amp;"|"&amp;DATOS!$E12658&amp;"|"&amp;DATOS!$I12658)</f>
      </c>
      <c r="G12658">
        <f>IF(DATOS!$A12658="",0,IF(CONFIG_METADATA!$B$4&lt;&gt;"OR+EX",--(DATOS!$G12658=CONFIG_METADATA!$B$4),IF(DATOS!$G12658="EX",1,IF(DATOS!$G12658="OR",--(COUNTIFS(nNIA,DATOS!$A12658,nCURSO,DATOS!$D12658,nESPEC,DATOS!$E12658,nASIG,DATOS!$I12658,nEVAL,"EX")=0),0))))</f>
      </c>
      <c r="H12658">
        <f>IF(DATOS!$G12658&lt;&gt;"EX",0,--(COUNTIFS(nNIA,DATOS!$A12658,nCURSO,DATOS!$D12658,nESPEC,DATOS!$E12658,nASIG,DATOS!$I12658,nEVAL,"OR")=0))</f>
      </c>
      <c r="I12658">
        <f>IF(DATOS!$I12658="","",IFERROR(VLOOKUP(DATOS!$I12658,CONFIG_ASIGNATURAS!$B$2:$J$91,9,FALSE()),""))</f>
      </c>
    </row>
    <row r="12659">
      <c r="F12659">
        <f>IF(DATOS!$A12659="","",DATOS!$A12659&amp;"|"&amp;DATOS!$D12659&amp;"|"&amp;DATOS!$E12659&amp;"|"&amp;DATOS!$I12659)</f>
      </c>
      <c r="G12659">
        <f>IF(DATOS!$A12659="",0,IF(CONFIG_METADATA!$B$4&lt;&gt;"OR+EX",--(DATOS!$G12659=CONFIG_METADATA!$B$4),IF(DATOS!$G12659="EX",1,IF(DATOS!$G12659="OR",--(COUNTIFS(nNIA,DATOS!$A12659,nCURSO,DATOS!$D12659,nESPEC,DATOS!$E12659,nASIG,DATOS!$I12659,nEVAL,"EX")=0),0))))</f>
      </c>
      <c r="H12659">
        <f>IF(DATOS!$G12659&lt;&gt;"EX",0,--(COUNTIFS(nNIA,DATOS!$A12659,nCURSO,DATOS!$D12659,nESPEC,DATOS!$E12659,nASIG,DATOS!$I12659,nEVAL,"OR")=0))</f>
      </c>
      <c r="I12659">
        <f>IF(DATOS!$I12659="","",IFERROR(VLOOKUP(DATOS!$I12659,CONFIG_ASIGNATURAS!$B$2:$J$91,9,FALSE()),""))</f>
      </c>
    </row>
    <row r="12660">
      <c r="F12660">
        <f>IF(DATOS!$A12660="","",DATOS!$A12660&amp;"|"&amp;DATOS!$D12660&amp;"|"&amp;DATOS!$E12660&amp;"|"&amp;DATOS!$I12660)</f>
      </c>
      <c r="G12660">
        <f>IF(DATOS!$A12660="",0,IF(CONFIG_METADATA!$B$4&lt;&gt;"OR+EX",--(DATOS!$G12660=CONFIG_METADATA!$B$4),IF(DATOS!$G12660="EX",1,IF(DATOS!$G12660="OR",--(COUNTIFS(nNIA,DATOS!$A12660,nCURSO,DATOS!$D12660,nESPEC,DATOS!$E12660,nASIG,DATOS!$I12660,nEVAL,"EX")=0),0))))</f>
      </c>
      <c r="H12660">
        <f>IF(DATOS!$G12660&lt;&gt;"EX",0,--(COUNTIFS(nNIA,DATOS!$A12660,nCURSO,DATOS!$D12660,nESPEC,DATOS!$E12660,nASIG,DATOS!$I12660,nEVAL,"OR")=0))</f>
      </c>
      <c r="I12660">
        <f>IF(DATOS!$I12660="","",IFERROR(VLOOKUP(DATOS!$I12660,CONFIG_ASIGNATURAS!$B$2:$J$91,9,FALSE()),""))</f>
      </c>
    </row>
    <row r="12661">
      <c r="F12661">
        <f>IF(DATOS!$A12661="","",DATOS!$A12661&amp;"|"&amp;DATOS!$D12661&amp;"|"&amp;DATOS!$E12661&amp;"|"&amp;DATOS!$I12661)</f>
      </c>
      <c r="G12661">
        <f>IF(DATOS!$A12661="",0,IF(CONFIG_METADATA!$B$4&lt;&gt;"OR+EX",--(DATOS!$G12661=CONFIG_METADATA!$B$4),IF(DATOS!$G12661="EX",1,IF(DATOS!$G12661="OR",--(COUNTIFS(nNIA,DATOS!$A12661,nCURSO,DATOS!$D12661,nESPEC,DATOS!$E12661,nASIG,DATOS!$I12661,nEVAL,"EX")=0),0))))</f>
      </c>
      <c r="H12661">
        <f>IF(DATOS!$G12661&lt;&gt;"EX",0,--(COUNTIFS(nNIA,DATOS!$A12661,nCURSO,DATOS!$D12661,nESPEC,DATOS!$E12661,nASIG,DATOS!$I12661,nEVAL,"OR")=0))</f>
      </c>
      <c r="I12661">
        <f>IF(DATOS!$I12661="","",IFERROR(VLOOKUP(DATOS!$I12661,CONFIG_ASIGNATURAS!$B$2:$J$91,9,FALSE()),""))</f>
      </c>
    </row>
    <row r="12662">
      <c r="F12662">
        <f>IF(DATOS!$A12662="","",DATOS!$A12662&amp;"|"&amp;DATOS!$D12662&amp;"|"&amp;DATOS!$E12662&amp;"|"&amp;DATOS!$I12662)</f>
      </c>
      <c r="G12662">
        <f>IF(DATOS!$A12662="",0,IF(CONFIG_METADATA!$B$4&lt;&gt;"OR+EX",--(DATOS!$G12662=CONFIG_METADATA!$B$4),IF(DATOS!$G12662="EX",1,IF(DATOS!$G12662="OR",--(COUNTIFS(nNIA,DATOS!$A12662,nCURSO,DATOS!$D12662,nESPEC,DATOS!$E12662,nASIG,DATOS!$I12662,nEVAL,"EX")=0),0))))</f>
      </c>
      <c r="H12662">
        <f>IF(DATOS!$G12662&lt;&gt;"EX",0,--(COUNTIFS(nNIA,DATOS!$A12662,nCURSO,DATOS!$D12662,nESPEC,DATOS!$E12662,nASIG,DATOS!$I12662,nEVAL,"OR")=0))</f>
      </c>
      <c r="I12662">
        <f>IF(DATOS!$I12662="","",IFERROR(VLOOKUP(DATOS!$I12662,CONFIG_ASIGNATURAS!$B$2:$J$91,9,FALSE()),""))</f>
      </c>
    </row>
    <row r="12663">
      <c r="F12663">
        <f>IF(DATOS!$A12663="","",DATOS!$A12663&amp;"|"&amp;DATOS!$D12663&amp;"|"&amp;DATOS!$E12663&amp;"|"&amp;DATOS!$I12663)</f>
      </c>
      <c r="G12663">
        <f>IF(DATOS!$A12663="",0,IF(CONFIG_METADATA!$B$4&lt;&gt;"OR+EX",--(DATOS!$G12663=CONFIG_METADATA!$B$4),IF(DATOS!$G12663="EX",1,IF(DATOS!$G12663="OR",--(COUNTIFS(nNIA,DATOS!$A12663,nCURSO,DATOS!$D12663,nESPEC,DATOS!$E12663,nASIG,DATOS!$I12663,nEVAL,"EX")=0),0))))</f>
      </c>
      <c r="H12663">
        <f>IF(DATOS!$G12663&lt;&gt;"EX",0,--(COUNTIFS(nNIA,DATOS!$A12663,nCURSO,DATOS!$D12663,nESPEC,DATOS!$E12663,nASIG,DATOS!$I12663,nEVAL,"OR")=0))</f>
      </c>
      <c r="I12663">
        <f>IF(DATOS!$I12663="","",IFERROR(VLOOKUP(DATOS!$I12663,CONFIG_ASIGNATURAS!$B$2:$J$91,9,FALSE()),""))</f>
      </c>
    </row>
    <row r="12664">
      <c r="F12664">
        <f>IF(DATOS!$A12664="","",DATOS!$A12664&amp;"|"&amp;DATOS!$D12664&amp;"|"&amp;DATOS!$E12664&amp;"|"&amp;DATOS!$I12664)</f>
      </c>
      <c r="G12664">
        <f>IF(DATOS!$A12664="",0,IF(CONFIG_METADATA!$B$4&lt;&gt;"OR+EX",--(DATOS!$G12664=CONFIG_METADATA!$B$4),IF(DATOS!$G12664="EX",1,IF(DATOS!$G12664="OR",--(COUNTIFS(nNIA,DATOS!$A12664,nCURSO,DATOS!$D12664,nESPEC,DATOS!$E12664,nASIG,DATOS!$I12664,nEVAL,"EX")=0),0))))</f>
      </c>
      <c r="H12664">
        <f>IF(DATOS!$G12664&lt;&gt;"EX",0,--(COUNTIFS(nNIA,DATOS!$A12664,nCURSO,DATOS!$D12664,nESPEC,DATOS!$E12664,nASIG,DATOS!$I12664,nEVAL,"OR")=0))</f>
      </c>
      <c r="I12664">
        <f>IF(DATOS!$I12664="","",IFERROR(VLOOKUP(DATOS!$I12664,CONFIG_ASIGNATURAS!$B$2:$J$91,9,FALSE()),""))</f>
      </c>
    </row>
    <row r="12665">
      <c r="F12665">
        <f>IF(DATOS!$A12665="","",DATOS!$A12665&amp;"|"&amp;DATOS!$D12665&amp;"|"&amp;DATOS!$E12665&amp;"|"&amp;DATOS!$I12665)</f>
      </c>
      <c r="G12665">
        <f>IF(DATOS!$A12665="",0,IF(CONFIG_METADATA!$B$4&lt;&gt;"OR+EX",--(DATOS!$G12665=CONFIG_METADATA!$B$4),IF(DATOS!$G12665="EX",1,IF(DATOS!$G12665="OR",--(COUNTIFS(nNIA,DATOS!$A12665,nCURSO,DATOS!$D12665,nESPEC,DATOS!$E12665,nASIG,DATOS!$I12665,nEVAL,"EX")=0),0))))</f>
      </c>
      <c r="H12665">
        <f>IF(DATOS!$G12665&lt;&gt;"EX",0,--(COUNTIFS(nNIA,DATOS!$A12665,nCURSO,DATOS!$D12665,nESPEC,DATOS!$E12665,nASIG,DATOS!$I12665,nEVAL,"OR")=0))</f>
      </c>
      <c r="I12665">
        <f>IF(DATOS!$I12665="","",IFERROR(VLOOKUP(DATOS!$I12665,CONFIG_ASIGNATURAS!$B$2:$J$91,9,FALSE()),""))</f>
      </c>
    </row>
    <row r="12666">
      <c r="F12666">
        <f>IF(DATOS!$A12666="","",DATOS!$A12666&amp;"|"&amp;DATOS!$D12666&amp;"|"&amp;DATOS!$E12666&amp;"|"&amp;DATOS!$I12666)</f>
      </c>
      <c r="G12666">
        <f>IF(DATOS!$A12666="",0,IF(CONFIG_METADATA!$B$4&lt;&gt;"OR+EX",--(DATOS!$G12666=CONFIG_METADATA!$B$4),IF(DATOS!$G12666="EX",1,IF(DATOS!$G12666="OR",--(COUNTIFS(nNIA,DATOS!$A12666,nCURSO,DATOS!$D12666,nESPEC,DATOS!$E12666,nASIG,DATOS!$I12666,nEVAL,"EX")=0),0))))</f>
      </c>
      <c r="H12666">
        <f>IF(DATOS!$G12666&lt;&gt;"EX",0,--(COUNTIFS(nNIA,DATOS!$A12666,nCURSO,DATOS!$D12666,nESPEC,DATOS!$E12666,nASIG,DATOS!$I12666,nEVAL,"OR")=0))</f>
      </c>
      <c r="I12666">
        <f>IF(DATOS!$I12666="","",IFERROR(VLOOKUP(DATOS!$I12666,CONFIG_ASIGNATURAS!$B$2:$J$91,9,FALSE()),""))</f>
      </c>
    </row>
    <row r="12667">
      <c r="F12667">
        <f>IF(DATOS!$A12667="","",DATOS!$A12667&amp;"|"&amp;DATOS!$D12667&amp;"|"&amp;DATOS!$E12667&amp;"|"&amp;DATOS!$I12667)</f>
      </c>
      <c r="G12667">
        <f>IF(DATOS!$A12667="",0,IF(CONFIG_METADATA!$B$4&lt;&gt;"OR+EX",--(DATOS!$G12667=CONFIG_METADATA!$B$4),IF(DATOS!$G12667="EX",1,IF(DATOS!$G12667="OR",--(COUNTIFS(nNIA,DATOS!$A12667,nCURSO,DATOS!$D12667,nESPEC,DATOS!$E12667,nASIG,DATOS!$I12667,nEVAL,"EX")=0),0))))</f>
      </c>
      <c r="H12667">
        <f>IF(DATOS!$G12667&lt;&gt;"EX",0,--(COUNTIFS(nNIA,DATOS!$A12667,nCURSO,DATOS!$D12667,nESPEC,DATOS!$E12667,nASIG,DATOS!$I12667,nEVAL,"OR")=0))</f>
      </c>
      <c r="I12667">
        <f>IF(DATOS!$I12667="","",IFERROR(VLOOKUP(DATOS!$I12667,CONFIG_ASIGNATURAS!$B$2:$J$91,9,FALSE()),""))</f>
      </c>
    </row>
    <row r="12668">
      <c r="F12668">
        <f>IF(DATOS!$A12668="","",DATOS!$A12668&amp;"|"&amp;DATOS!$D12668&amp;"|"&amp;DATOS!$E12668&amp;"|"&amp;DATOS!$I12668)</f>
      </c>
      <c r="G12668">
        <f>IF(DATOS!$A12668="",0,IF(CONFIG_METADATA!$B$4&lt;&gt;"OR+EX",--(DATOS!$G12668=CONFIG_METADATA!$B$4),IF(DATOS!$G12668="EX",1,IF(DATOS!$G12668="OR",--(COUNTIFS(nNIA,DATOS!$A12668,nCURSO,DATOS!$D12668,nESPEC,DATOS!$E12668,nASIG,DATOS!$I12668,nEVAL,"EX")=0),0))))</f>
      </c>
      <c r="H12668">
        <f>IF(DATOS!$G12668&lt;&gt;"EX",0,--(COUNTIFS(nNIA,DATOS!$A12668,nCURSO,DATOS!$D12668,nESPEC,DATOS!$E12668,nASIG,DATOS!$I12668,nEVAL,"OR")=0))</f>
      </c>
      <c r="I12668">
        <f>IF(DATOS!$I12668="","",IFERROR(VLOOKUP(DATOS!$I12668,CONFIG_ASIGNATURAS!$B$2:$J$91,9,FALSE()),""))</f>
      </c>
    </row>
    <row r="12669">
      <c r="F12669">
        <f>IF(DATOS!$A12669="","",DATOS!$A12669&amp;"|"&amp;DATOS!$D12669&amp;"|"&amp;DATOS!$E12669&amp;"|"&amp;DATOS!$I12669)</f>
      </c>
      <c r="G12669">
        <f>IF(DATOS!$A12669="",0,IF(CONFIG_METADATA!$B$4&lt;&gt;"OR+EX",--(DATOS!$G12669=CONFIG_METADATA!$B$4),IF(DATOS!$G12669="EX",1,IF(DATOS!$G12669="OR",--(COUNTIFS(nNIA,DATOS!$A12669,nCURSO,DATOS!$D12669,nESPEC,DATOS!$E12669,nASIG,DATOS!$I12669,nEVAL,"EX")=0),0))))</f>
      </c>
      <c r="H12669">
        <f>IF(DATOS!$G12669&lt;&gt;"EX",0,--(COUNTIFS(nNIA,DATOS!$A12669,nCURSO,DATOS!$D12669,nESPEC,DATOS!$E12669,nASIG,DATOS!$I12669,nEVAL,"OR")=0))</f>
      </c>
      <c r="I12669">
        <f>IF(DATOS!$I12669="","",IFERROR(VLOOKUP(DATOS!$I12669,CONFIG_ASIGNATURAS!$B$2:$J$91,9,FALSE()),""))</f>
      </c>
    </row>
    <row r="12670">
      <c r="F12670">
        <f>IF(DATOS!$A12670="","",DATOS!$A12670&amp;"|"&amp;DATOS!$D12670&amp;"|"&amp;DATOS!$E12670&amp;"|"&amp;DATOS!$I12670)</f>
      </c>
      <c r="G12670">
        <f>IF(DATOS!$A12670="",0,IF(CONFIG_METADATA!$B$4&lt;&gt;"OR+EX",--(DATOS!$G12670=CONFIG_METADATA!$B$4),IF(DATOS!$G12670="EX",1,IF(DATOS!$G12670="OR",--(COUNTIFS(nNIA,DATOS!$A12670,nCURSO,DATOS!$D12670,nESPEC,DATOS!$E12670,nASIG,DATOS!$I12670,nEVAL,"EX")=0),0))))</f>
      </c>
      <c r="H12670">
        <f>IF(DATOS!$G12670&lt;&gt;"EX",0,--(COUNTIFS(nNIA,DATOS!$A12670,nCURSO,DATOS!$D12670,nESPEC,DATOS!$E12670,nASIG,DATOS!$I12670,nEVAL,"OR")=0))</f>
      </c>
      <c r="I12670">
        <f>IF(DATOS!$I12670="","",IFERROR(VLOOKUP(DATOS!$I12670,CONFIG_ASIGNATURAS!$B$2:$J$91,9,FALSE()),""))</f>
      </c>
    </row>
    <row r="12671">
      <c r="F12671">
        <f>IF(DATOS!$A12671="","",DATOS!$A12671&amp;"|"&amp;DATOS!$D12671&amp;"|"&amp;DATOS!$E12671&amp;"|"&amp;DATOS!$I12671)</f>
      </c>
      <c r="G12671">
        <f>IF(DATOS!$A12671="",0,IF(CONFIG_METADATA!$B$4&lt;&gt;"OR+EX",--(DATOS!$G12671=CONFIG_METADATA!$B$4),IF(DATOS!$G12671="EX",1,IF(DATOS!$G12671="OR",--(COUNTIFS(nNIA,DATOS!$A12671,nCURSO,DATOS!$D12671,nESPEC,DATOS!$E12671,nASIG,DATOS!$I12671,nEVAL,"EX")=0),0))))</f>
      </c>
      <c r="H12671">
        <f>IF(DATOS!$G12671&lt;&gt;"EX",0,--(COUNTIFS(nNIA,DATOS!$A12671,nCURSO,DATOS!$D12671,nESPEC,DATOS!$E12671,nASIG,DATOS!$I12671,nEVAL,"OR")=0))</f>
      </c>
      <c r="I12671">
        <f>IF(DATOS!$I12671="","",IFERROR(VLOOKUP(DATOS!$I12671,CONFIG_ASIGNATURAS!$B$2:$J$91,9,FALSE()),""))</f>
      </c>
    </row>
    <row r="12672">
      <c r="F12672">
        <f>IF(DATOS!$A12672="","",DATOS!$A12672&amp;"|"&amp;DATOS!$D12672&amp;"|"&amp;DATOS!$E12672&amp;"|"&amp;DATOS!$I12672)</f>
      </c>
      <c r="G12672">
        <f>IF(DATOS!$A12672="",0,IF(CONFIG_METADATA!$B$4&lt;&gt;"OR+EX",--(DATOS!$G12672=CONFIG_METADATA!$B$4),IF(DATOS!$G12672="EX",1,IF(DATOS!$G12672="OR",--(COUNTIFS(nNIA,DATOS!$A12672,nCURSO,DATOS!$D12672,nESPEC,DATOS!$E12672,nASIG,DATOS!$I12672,nEVAL,"EX")=0),0))))</f>
      </c>
      <c r="H12672">
        <f>IF(DATOS!$G12672&lt;&gt;"EX",0,--(COUNTIFS(nNIA,DATOS!$A12672,nCURSO,DATOS!$D12672,nESPEC,DATOS!$E12672,nASIG,DATOS!$I12672,nEVAL,"OR")=0))</f>
      </c>
      <c r="I12672">
        <f>IF(DATOS!$I12672="","",IFERROR(VLOOKUP(DATOS!$I12672,CONFIG_ASIGNATURAS!$B$2:$J$91,9,FALSE()),""))</f>
      </c>
    </row>
    <row r="12673">
      <c r="F12673">
        <f>IF(DATOS!$A12673="","",DATOS!$A12673&amp;"|"&amp;DATOS!$D12673&amp;"|"&amp;DATOS!$E12673&amp;"|"&amp;DATOS!$I12673)</f>
      </c>
      <c r="G12673">
        <f>IF(DATOS!$A12673="",0,IF(CONFIG_METADATA!$B$4&lt;&gt;"OR+EX",--(DATOS!$G12673=CONFIG_METADATA!$B$4),IF(DATOS!$G12673="EX",1,IF(DATOS!$G12673="OR",--(COUNTIFS(nNIA,DATOS!$A12673,nCURSO,DATOS!$D12673,nESPEC,DATOS!$E12673,nASIG,DATOS!$I12673,nEVAL,"EX")=0),0))))</f>
      </c>
      <c r="H12673">
        <f>IF(DATOS!$G12673&lt;&gt;"EX",0,--(COUNTIFS(nNIA,DATOS!$A12673,nCURSO,DATOS!$D12673,nESPEC,DATOS!$E12673,nASIG,DATOS!$I12673,nEVAL,"OR")=0))</f>
      </c>
      <c r="I12673">
        <f>IF(DATOS!$I12673="","",IFERROR(VLOOKUP(DATOS!$I12673,CONFIG_ASIGNATURAS!$B$2:$J$91,9,FALSE()),""))</f>
      </c>
    </row>
    <row r="12674">
      <c r="F12674">
        <f>IF(DATOS!$A12674="","",DATOS!$A12674&amp;"|"&amp;DATOS!$D12674&amp;"|"&amp;DATOS!$E12674&amp;"|"&amp;DATOS!$I12674)</f>
      </c>
      <c r="G12674">
        <f>IF(DATOS!$A12674="",0,IF(CONFIG_METADATA!$B$4&lt;&gt;"OR+EX",--(DATOS!$G12674=CONFIG_METADATA!$B$4),IF(DATOS!$G12674="EX",1,IF(DATOS!$G12674="OR",--(COUNTIFS(nNIA,DATOS!$A12674,nCURSO,DATOS!$D12674,nESPEC,DATOS!$E12674,nASIG,DATOS!$I12674,nEVAL,"EX")=0),0))))</f>
      </c>
      <c r="H12674">
        <f>IF(DATOS!$G12674&lt;&gt;"EX",0,--(COUNTIFS(nNIA,DATOS!$A12674,nCURSO,DATOS!$D12674,nESPEC,DATOS!$E12674,nASIG,DATOS!$I12674,nEVAL,"OR")=0))</f>
      </c>
      <c r="I12674">
        <f>IF(DATOS!$I12674="","",IFERROR(VLOOKUP(DATOS!$I12674,CONFIG_ASIGNATURAS!$B$2:$J$91,9,FALSE()),""))</f>
      </c>
    </row>
    <row r="12675">
      <c r="F12675">
        <f>IF(DATOS!$A12675="","",DATOS!$A12675&amp;"|"&amp;DATOS!$D12675&amp;"|"&amp;DATOS!$E12675&amp;"|"&amp;DATOS!$I12675)</f>
      </c>
      <c r="G12675">
        <f>IF(DATOS!$A12675="",0,IF(CONFIG_METADATA!$B$4&lt;&gt;"OR+EX",--(DATOS!$G12675=CONFIG_METADATA!$B$4),IF(DATOS!$G12675="EX",1,IF(DATOS!$G12675="OR",--(COUNTIFS(nNIA,DATOS!$A12675,nCURSO,DATOS!$D12675,nESPEC,DATOS!$E12675,nASIG,DATOS!$I12675,nEVAL,"EX")=0),0))))</f>
      </c>
      <c r="H12675">
        <f>IF(DATOS!$G12675&lt;&gt;"EX",0,--(COUNTIFS(nNIA,DATOS!$A12675,nCURSO,DATOS!$D12675,nESPEC,DATOS!$E12675,nASIG,DATOS!$I12675,nEVAL,"OR")=0))</f>
      </c>
      <c r="I12675">
        <f>IF(DATOS!$I12675="","",IFERROR(VLOOKUP(DATOS!$I12675,CONFIG_ASIGNATURAS!$B$2:$J$91,9,FALSE()),""))</f>
      </c>
    </row>
    <row r="12676">
      <c r="F12676">
        <f>IF(DATOS!$A12676="","",DATOS!$A12676&amp;"|"&amp;DATOS!$D12676&amp;"|"&amp;DATOS!$E12676&amp;"|"&amp;DATOS!$I12676)</f>
      </c>
      <c r="G12676">
        <f>IF(DATOS!$A12676="",0,IF(CONFIG_METADATA!$B$4&lt;&gt;"OR+EX",--(DATOS!$G12676=CONFIG_METADATA!$B$4),IF(DATOS!$G12676="EX",1,IF(DATOS!$G12676="OR",--(COUNTIFS(nNIA,DATOS!$A12676,nCURSO,DATOS!$D12676,nESPEC,DATOS!$E12676,nASIG,DATOS!$I12676,nEVAL,"EX")=0),0))))</f>
      </c>
      <c r="H12676">
        <f>IF(DATOS!$G12676&lt;&gt;"EX",0,--(COUNTIFS(nNIA,DATOS!$A12676,nCURSO,DATOS!$D12676,nESPEC,DATOS!$E12676,nASIG,DATOS!$I12676,nEVAL,"OR")=0))</f>
      </c>
      <c r="I12676">
        <f>IF(DATOS!$I12676="","",IFERROR(VLOOKUP(DATOS!$I12676,CONFIG_ASIGNATURAS!$B$2:$J$91,9,FALSE()),""))</f>
      </c>
    </row>
    <row r="12677">
      <c r="F12677">
        <f>IF(DATOS!$A12677="","",DATOS!$A12677&amp;"|"&amp;DATOS!$D12677&amp;"|"&amp;DATOS!$E12677&amp;"|"&amp;DATOS!$I12677)</f>
      </c>
      <c r="G12677">
        <f>IF(DATOS!$A12677="",0,IF(CONFIG_METADATA!$B$4&lt;&gt;"OR+EX",--(DATOS!$G12677=CONFIG_METADATA!$B$4),IF(DATOS!$G12677="EX",1,IF(DATOS!$G12677="OR",--(COUNTIFS(nNIA,DATOS!$A12677,nCURSO,DATOS!$D12677,nESPEC,DATOS!$E12677,nASIG,DATOS!$I12677,nEVAL,"EX")=0),0))))</f>
      </c>
      <c r="H12677">
        <f>IF(DATOS!$G12677&lt;&gt;"EX",0,--(COUNTIFS(nNIA,DATOS!$A12677,nCURSO,DATOS!$D12677,nESPEC,DATOS!$E12677,nASIG,DATOS!$I12677,nEVAL,"OR")=0))</f>
      </c>
      <c r="I12677">
        <f>IF(DATOS!$I12677="","",IFERROR(VLOOKUP(DATOS!$I12677,CONFIG_ASIGNATURAS!$B$2:$J$91,9,FALSE()),""))</f>
      </c>
    </row>
    <row r="12678">
      <c r="F12678">
        <f>IF(DATOS!$A12678="","",DATOS!$A12678&amp;"|"&amp;DATOS!$D12678&amp;"|"&amp;DATOS!$E12678&amp;"|"&amp;DATOS!$I12678)</f>
      </c>
      <c r="G12678">
        <f>IF(DATOS!$A12678="",0,IF(CONFIG_METADATA!$B$4&lt;&gt;"OR+EX",--(DATOS!$G12678=CONFIG_METADATA!$B$4),IF(DATOS!$G12678="EX",1,IF(DATOS!$G12678="OR",--(COUNTIFS(nNIA,DATOS!$A12678,nCURSO,DATOS!$D12678,nESPEC,DATOS!$E12678,nASIG,DATOS!$I12678,nEVAL,"EX")=0),0))))</f>
      </c>
      <c r="H12678">
        <f>IF(DATOS!$G12678&lt;&gt;"EX",0,--(COUNTIFS(nNIA,DATOS!$A12678,nCURSO,DATOS!$D12678,nESPEC,DATOS!$E12678,nASIG,DATOS!$I12678,nEVAL,"OR")=0))</f>
      </c>
      <c r="I12678">
        <f>IF(DATOS!$I12678="","",IFERROR(VLOOKUP(DATOS!$I12678,CONFIG_ASIGNATURAS!$B$2:$J$91,9,FALSE()),""))</f>
      </c>
    </row>
    <row r="12679">
      <c r="F12679">
        <f>IF(DATOS!$A12679="","",DATOS!$A12679&amp;"|"&amp;DATOS!$D12679&amp;"|"&amp;DATOS!$E12679&amp;"|"&amp;DATOS!$I12679)</f>
      </c>
      <c r="G12679">
        <f>IF(DATOS!$A12679="",0,IF(CONFIG_METADATA!$B$4&lt;&gt;"OR+EX",--(DATOS!$G12679=CONFIG_METADATA!$B$4),IF(DATOS!$G12679="EX",1,IF(DATOS!$G12679="OR",--(COUNTIFS(nNIA,DATOS!$A12679,nCURSO,DATOS!$D12679,nESPEC,DATOS!$E12679,nASIG,DATOS!$I12679,nEVAL,"EX")=0),0))))</f>
      </c>
      <c r="H12679">
        <f>IF(DATOS!$G12679&lt;&gt;"EX",0,--(COUNTIFS(nNIA,DATOS!$A12679,nCURSO,DATOS!$D12679,nESPEC,DATOS!$E12679,nASIG,DATOS!$I12679,nEVAL,"OR")=0))</f>
      </c>
      <c r="I12679">
        <f>IF(DATOS!$I12679="","",IFERROR(VLOOKUP(DATOS!$I12679,CONFIG_ASIGNATURAS!$B$2:$J$91,9,FALSE()),""))</f>
      </c>
    </row>
    <row r="12680">
      <c r="F12680">
        <f>IF(DATOS!$A12680="","",DATOS!$A12680&amp;"|"&amp;DATOS!$D12680&amp;"|"&amp;DATOS!$E12680&amp;"|"&amp;DATOS!$I12680)</f>
      </c>
      <c r="G12680">
        <f>IF(DATOS!$A12680="",0,IF(CONFIG_METADATA!$B$4&lt;&gt;"OR+EX",--(DATOS!$G12680=CONFIG_METADATA!$B$4),IF(DATOS!$G12680="EX",1,IF(DATOS!$G12680="OR",--(COUNTIFS(nNIA,DATOS!$A12680,nCURSO,DATOS!$D12680,nESPEC,DATOS!$E12680,nASIG,DATOS!$I12680,nEVAL,"EX")=0),0))))</f>
      </c>
      <c r="H12680">
        <f>IF(DATOS!$G12680&lt;&gt;"EX",0,--(COUNTIFS(nNIA,DATOS!$A12680,nCURSO,DATOS!$D12680,nESPEC,DATOS!$E12680,nASIG,DATOS!$I12680,nEVAL,"OR")=0))</f>
      </c>
      <c r="I12680">
        <f>IF(DATOS!$I12680="","",IFERROR(VLOOKUP(DATOS!$I12680,CONFIG_ASIGNATURAS!$B$2:$J$91,9,FALSE()),""))</f>
      </c>
    </row>
    <row r="12681">
      <c r="F12681">
        <f>IF(DATOS!$A12681="","",DATOS!$A12681&amp;"|"&amp;DATOS!$D12681&amp;"|"&amp;DATOS!$E12681&amp;"|"&amp;DATOS!$I12681)</f>
      </c>
      <c r="G12681">
        <f>IF(DATOS!$A12681="",0,IF(CONFIG_METADATA!$B$4&lt;&gt;"OR+EX",--(DATOS!$G12681=CONFIG_METADATA!$B$4),IF(DATOS!$G12681="EX",1,IF(DATOS!$G12681="OR",--(COUNTIFS(nNIA,DATOS!$A12681,nCURSO,DATOS!$D12681,nESPEC,DATOS!$E12681,nASIG,DATOS!$I12681,nEVAL,"EX")=0),0))))</f>
      </c>
      <c r="H12681">
        <f>IF(DATOS!$G12681&lt;&gt;"EX",0,--(COUNTIFS(nNIA,DATOS!$A12681,nCURSO,DATOS!$D12681,nESPEC,DATOS!$E12681,nASIG,DATOS!$I12681,nEVAL,"OR")=0))</f>
      </c>
      <c r="I12681">
        <f>IF(DATOS!$I12681="","",IFERROR(VLOOKUP(DATOS!$I12681,CONFIG_ASIGNATURAS!$B$2:$J$91,9,FALSE()),""))</f>
      </c>
    </row>
    <row r="12682">
      <c r="F12682">
        <f>IF(DATOS!$A12682="","",DATOS!$A12682&amp;"|"&amp;DATOS!$D12682&amp;"|"&amp;DATOS!$E12682&amp;"|"&amp;DATOS!$I12682)</f>
      </c>
      <c r="G12682">
        <f>IF(DATOS!$A12682="",0,IF(CONFIG_METADATA!$B$4&lt;&gt;"OR+EX",--(DATOS!$G12682=CONFIG_METADATA!$B$4),IF(DATOS!$G12682="EX",1,IF(DATOS!$G12682="OR",--(COUNTIFS(nNIA,DATOS!$A12682,nCURSO,DATOS!$D12682,nESPEC,DATOS!$E12682,nASIG,DATOS!$I12682,nEVAL,"EX")=0),0))))</f>
      </c>
      <c r="H12682">
        <f>IF(DATOS!$G12682&lt;&gt;"EX",0,--(COUNTIFS(nNIA,DATOS!$A12682,nCURSO,DATOS!$D12682,nESPEC,DATOS!$E12682,nASIG,DATOS!$I12682,nEVAL,"OR")=0))</f>
      </c>
      <c r="I12682">
        <f>IF(DATOS!$I12682="","",IFERROR(VLOOKUP(DATOS!$I12682,CONFIG_ASIGNATURAS!$B$2:$J$91,9,FALSE()),""))</f>
      </c>
    </row>
    <row r="12683">
      <c r="F12683">
        <f>IF(DATOS!$A12683="","",DATOS!$A12683&amp;"|"&amp;DATOS!$D12683&amp;"|"&amp;DATOS!$E12683&amp;"|"&amp;DATOS!$I12683)</f>
      </c>
      <c r="G12683">
        <f>IF(DATOS!$A12683="",0,IF(CONFIG_METADATA!$B$4&lt;&gt;"OR+EX",--(DATOS!$G12683=CONFIG_METADATA!$B$4),IF(DATOS!$G12683="EX",1,IF(DATOS!$G12683="OR",--(COUNTIFS(nNIA,DATOS!$A12683,nCURSO,DATOS!$D12683,nESPEC,DATOS!$E12683,nASIG,DATOS!$I12683,nEVAL,"EX")=0),0))))</f>
      </c>
      <c r="H12683">
        <f>IF(DATOS!$G12683&lt;&gt;"EX",0,--(COUNTIFS(nNIA,DATOS!$A12683,nCURSO,DATOS!$D12683,nESPEC,DATOS!$E12683,nASIG,DATOS!$I12683,nEVAL,"OR")=0))</f>
      </c>
      <c r="I12683">
        <f>IF(DATOS!$I12683="","",IFERROR(VLOOKUP(DATOS!$I12683,CONFIG_ASIGNATURAS!$B$2:$J$91,9,FALSE()),""))</f>
      </c>
    </row>
    <row r="12684">
      <c r="F12684">
        <f>IF(DATOS!$A12684="","",DATOS!$A12684&amp;"|"&amp;DATOS!$D12684&amp;"|"&amp;DATOS!$E12684&amp;"|"&amp;DATOS!$I12684)</f>
      </c>
      <c r="G12684">
        <f>IF(DATOS!$A12684="",0,IF(CONFIG_METADATA!$B$4&lt;&gt;"OR+EX",--(DATOS!$G12684=CONFIG_METADATA!$B$4),IF(DATOS!$G12684="EX",1,IF(DATOS!$G12684="OR",--(COUNTIFS(nNIA,DATOS!$A12684,nCURSO,DATOS!$D12684,nESPEC,DATOS!$E12684,nASIG,DATOS!$I12684,nEVAL,"EX")=0),0))))</f>
      </c>
      <c r="H12684">
        <f>IF(DATOS!$G12684&lt;&gt;"EX",0,--(COUNTIFS(nNIA,DATOS!$A12684,nCURSO,DATOS!$D12684,nESPEC,DATOS!$E12684,nASIG,DATOS!$I12684,nEVAL,"OR")=0))</f>
      </c>
      <c r="I12684">
        <f>IF(DATOS!$I12684="","",IFERROR(VLOOKUP(DATOS!$I12684,CONFIG_ASIGNATURAS!$B$2:$J$91,9,FALSE()),""))</f>
      </c>
    </row>
    <row r="12685">
      <c r="F12685">
        <f>IF(DATOS!$A12685="","",DATOS!$A12685&amp;"|"&amp;DATOS!$D12685&amp;"|"&amp;DATOS!$E12685&amp;"|"&amp;DATOS!$I12685)</f>
      </c>
      <c r="G12685">
        <f>IF(DATOS!$A12685="",0,IF(CONFIG_METADATA!$B$4&lt;&gt;"OR+EX",--(DATOS!$G12685=CONFIG_METADATA!$B$4),IF(DATOS!$G12685="EX",1,IF(DATOS!$G12685="OR",--(COUNTIFS(nNIA,DATOS!$A12685,nCURSO,DATOS!$D12685,nESPEC,DATOS!$E12685,nASIG,DATOS!$I12685,nEVAL,"EX")=0),0))))</f>
      </c>
      <c r="H12685">
        <f>IF(DATOS!$G12685&lt;&gt;"EX",0,--(COUNTIFS(nNIA,DATOS!$A12685,nCURSO,DATOS!$D12685,nESPEC,DATOS!$E12685,nASIG,DATOS!$I12685,nEVAL,"OR")=0))</f>
      </c>
      <c r="I12685">
        <f>IF(DATOS!$I12685="","",IFERROR(VLOOKUP(DATOS!$I12685,CONFIG_ASIGNATURAS!$B$2:$J$91,9,FALSE()),""))</f>
      </c>
    </row>
    <row r="12686">
      <c r="F12686">
        <f>IF(DATOS!$A12686="","",DATOS!$A12686&amp;"|"&amp;DATOS!$D12686&amp;"|"&amp;DATOS!$E12686&amp;"|"&amp;DATOS!$I12686)</f>
      </c>
      <c r="G12686">
        <f>IF(DATOS!$A12686="",0,IF(CONFIG_METADATA!$B$4&lt;&gt;"OR+EX",--(DATOS!$G12686=CONFIG_METADATA!$B$4),IF(DATOS!$G12686="EX",1,IF(DATOS!$G12686="OR",--(COUNTIFS(nNIA,DATOS!$A12686,nCURSO,DATOS!$D12686,nESPEC,DATOS!$E12686,nASIG,DATOS!$I12686,nEVAL,"EX")=0),0))))</f>
      </c>
      <c r="H12686">
        <f>IF(DATOS!$G12686&lt;&gt;"EX",0,--(COUNTIFS(nNIA,DATOS!$A12686,nCURSO,DATOS!$D12686,nESPEC,DATOS!$E12686,nASIG,DATOS!$I12686,nEVAL,"OR")=0))</f>
      </c>
      <c r="I12686">
        <f>IF(DATOS!$I12686="","",IFERROR(VLOOKUP(DATOS!$I12686,CONFIG_ASIGNATURAS!$B$2:$J$91,9,FALSE()),""))</f>
      </c>
    </row>
    <row r="12687">
      <c r="F12687">
        <f>IF(DATOS!$A12687="","",DATOS!$A12687&amp;"|"&amp;DATOS!$D12687&amp;"|"&amp;DATOS!$E12687&amp;"|"&amp;DATOS!$I12687)</f>
      </c>
      <c r="G12687">
        <f>IF(DATOS!$A12687="",0,IF(CONFIG_METADATA!$B$4&lt;&gt;"OR+EX",--(DATOS!$G12687=CONFIG_METADATA!$B$4),IF(DATOS!$G12687="EX",1,IF(DATOS!$G12687="OR",--(COUNTIFS(nNIA,DATOS!$A12687,nCURSO,DATOS!$D12687,nESPEC,DATOS!$E12687,nASIG,DATOS!$I12687,nEVAL,"EX")=0),0))))</f>
      </c>
      <c r="H12687">
        <f>IF(DATOS!$G12687&lt;&gt;"EX",0,--(COUNTIFS(nNIA,DATOS!$A12687,nCURSO,DATOS!$D12687,nESPEC,DATOS!$E12687,nASIG,DATOS!$I12687,nEVAL,"OR")=0))</f>
      </c>
      <c r="I12687">
        <f>IF(DATOS!$I12687="","",IFERROR(VLOOKUP(DATOS!$I12687,CONFIG_ASIGNATURAS!$B$2:$J$91,9,FALSE()),""))</f>
      </c>
    </row>
    <row r="12688">
      <c r="F12688">
        <f>IF(DATOS!$A12688="","",DATOS!$A12688&amp;"|"&amp;DATOS!$D12688&amp;"|"&amp;DATOS!$E12688&amp;"|"&amp;DATOS!$I12688)</f>
      </c>
      <c r="G12688">
        <f>IF(DATOS!$A12688="",0,IF(CONFIG_METADATA!$B$4&lt;&gt;"OR+EX",--(DATOS!$G12688=CONFIG_METADATA!$B$4),IF(DATOS!$G12688="EX",1,IF(DATOS!$G12688="OR",--(COUNTIFS(nNIA,DATOS!$A12688,nCURSO,DATOS!$D12688,nESPEC,DATOS!$E12688,nASIG,DATOS!$I12688,nEVAL,"EX")=0),0))))</f>
      </c>
      <c r="H12688">
        <f>IF(DATOS!$G12688&lt;&gt;"EX",0,--(COUNTIFS(nNIA,DATOS!$A12688,nCURSO,DATOS!$D12688,nESPEC,DATOS!$E12688,nASIG,DATOS!$I12688,nEVAL,"OR")=0))</f>
      </c>
      <c r="I12688">
        <f>IF(DATOS!$I12688="","",IFERROR(VLOOKUP(DATOS!$I12688,CONFIG_ASIGNATURAS!$B$2:$J$91,9,FALSE()),""))</f>
      </c>
    </row>
    <row r="12689">
      <c r="F12689">
        <f>IF(DATOS!$A12689="","",DATOS!$A12689&amp;"|"&amp;DATOS!$D12689&amp;"|"&amp;DATOS!$E12689&amp;"|"&amp;DATOS!$I12689)</f>
      </c>
      <c r="G12689">
        <f>IF(DATOS!$A12689="",0,IF(CONFIG_METADATA!$B$4&lt;&gt;"OR+EX",--(DATOS!$G12689=CONFIG_METADATA!$B$4),IF(DATOS!$G12689="EX",1,IF(DATOS!$G12689="OR",--(COUNTIFS(nNIA,DATOS!$A12689,nCURSO,DATOS!$D12689,nESPEC,DATOS!$E12689,nASIG,DATOS!$I12689,nEVAL,"EX")=0),0))))</f>
      </c>
      <c r="H12689">
        <f>IF(DATOS!$G12689&lt;&gt;"EX",0,--(COUNTIFS(nNIA,DATOS!$A12689,nCURSO,DATOS!$D12689,nESPEC,DATOS!$E12689,nASIG,DATOS!$I12689,nEVAL,"OR")=0))</f>
      </c>
      <c r="I12689">
        <f>IF(DATOS!$I12689="","",IFERROR(VLOOKUP(DATOS!$I12689,CONFIG_ASIGNATURAS!$B$2:$J$91,9,FALSE()),""))</f>
      </c>
    </row>
    <row r="12690">
      <c r="F12690">
        <f>IF(DATOS!$A12690="","",DATOS!$A12690&amp;"|"&amp;DATOS!$D12690&amp;"|"&amp;DATOS!$E12690&amp;"|"&amp;DATOS!$I12690)</f>
      </c>
      <c r="G12690">
        <f>IF(DATOS!$A12690="",0,IF(CONFIG_METADATA!$B$4&lt;&gt;"OR+EX",--(DATOS!$G12690=CONFIG_METADATA!$B$4),IF(DATOS!$G12690="EX",1,IF(DATOS!$G12690="OR",--(COUNTIFS(nNIA,DATOS!$A12690,nCURSO,DATOS!$D12690,nESPEC,DATOS!$E12690,nASIG,DATOS!$I12690,nEVAL,"EX")=0),0))))</f>
      </c>
      <c r="H12690">
        <f>IF(DATOS!$G12690&lt;&gt;"EX",0,--(COUNTIFS(nNIA,DATOS!$A12690,nCURSO,DATOS!$D12690,nESPEC,DATOS!$E12690,nASIG,DATOS!$I12690,nEVAL,"OR")=0))</f>
      </c>
      <c r="I12690">
        <f>IF(DATOS!$I12690="","",IFERROR(VLOOKUP(DATOS!$I12690,CONFIG_ASIGNATURAS!$B$2:$J$91,9,FALSE()),""))</f>
      </c>
    </row>
    <row r="12691">
      <c r="F12691">
        <f>IF(DATOS!$A12691="","",DATOS!$A12691&amp;"|"&amp;DATOS!$D12691&amp;"|"&amp;DATOS!$E12691&amp;"|"&amp;DATOS!$I12691)</f>
      </c>
      <c r="G12691">
        <f>IF(DATOS!$A12691="",0,IF(CONFIG_METADATA!$B$4&lt;&gt;"OR+EX",--(DATOS!$G12691=CONFIG_METADATA!$B$4),IF(DATOS!$G12691="EX",1,IF(DATOS!$G12691="OR",--(COUNTIFS(nNIA,DATOS!$A12691,nCURSO,DATOS!$D12691,nESPEC,DATOS!$E12691,nASIG,DATOS!$I12691,nEVAL,"EX")=0),0))))</f>
      </c>
      <c r="H12691">
        <f>IF(DATOS!$G12691&lt;&gt;"EX",0,--(COUNTIFS(nNIA,DATOS!$A12691,nCURSO,DATOS!$D12691,nESPEC,DATOS!$E12691,nASIG,DATOS!$I12691,nEVAL,"OR")=0))</f>
      </c>
      <c r="I12691">
        <f>IF(DATOS!$I12691="","",IFERROR(VLOOKUP(DATOS!$I12691,CONFIG_ASIGNATURAS!$B$2:$J$91,9,FALSE()),""))</f>
      </c>
    </row>
    <row r="12692">
      <c r="F12692">
        <f>IF(DATOS!$A12692="","",DATOS!$A12692&amp;"|"&amp;DATOS!$D12692&amp;"|"&amp;DATOS!$E12692&amp;"|"&amp;DATOS!$I12692)</f>
      </c>
      <c r="G12692">
        <f>IF(DATOS!$A12692="",0,IF(CONFIG_METADATA!$B$4&lt;&gt;"OR+EX",--(DATOS!$G12692=CONFIG_METADATA!$B$4),IF(DATOS!$G12692="EX",1,IF(DATOS!$G12692="OR",--(COUNTIFS(nNIA,DATOS!$A12692,nCURSO,DATOS!$D12692,nESPEC,DATOS!$E12692,nASIG,DATOS!$I12692,nEVAL,"EX")=0),0))))</f>
      </c>
      <c r="H12692">
        <f>IF(DATOS!$G12692&lt;&gt;"EX",0,--(COUNTIFS(nNIA,DATOS!$A12692,nCURSO,DATOS!$D12692,nESPEC,DATOS!$E12692,nASIG,DATOS!$I12692,nEVAL,"OR")=0))</f>
      </c>
      <c r="I12692">
        <f>IF(DATOS!$I12692="","",IFERROR(VLOOKUP(DATOS!$I12692,CONFIG_ASIGNATURAS!$B$2:$J$91,9,FALSE()),""))</f>
      </c>
    </row>
    <row r="12693">
      <c r="F12693">
        <f>IF(DATOS!$A12693="","",DATOS!$A12693&amp;"|"&amp;DATOS!$D12693&amp;"|"&amp;DATOS!$E12693&amp;"|"&amp;DATOS!$I12693)</f>
      </c>
      <c r="G12693">
        <f>IF(DATOS!$A12693="",0,IF(CONFIG_METADATA!$B$4&lt;&gt;"OR+EX",--(DATOS!$G12693=CONFIG_METADATA!$B$4),IF(DATOS!$G12693="EX",1,IF(DATOS!$G12693="OR",--(COUNTIFS(nNIA,DATOS!$A12693,nCURSO,DATOS!$D12693,nESPEC,DATOS!$E12693,nASIG,DATOS!$I12693,nEVAL,"EX")=0),0))))</f>
      </c>
      <c r="H12693">
        <f>IF(DATOS!$G12693&lt;&gt;"EX",0,--(COUNTIFS(nNIA,DATOS!$A12693,nCURSO,DATOS!$D12693,nESPEC,DATOS!$E12693,nASIG,DATOS!$I12693,nEVAL,"OR")=0))</f>
      </c>
      <c r="I12693">
        <f>IF(DATOS!$I12693="","",IFERROR(VLOOKUP(DATOS!$I12693,CONFIG_ASIGNATURAS!$B$2:$J$91,9,FALSE()),""))</f>
      </c>
    </row>
    <row r="12694">
      <c r="F12694">
        <f>IF(DATOS!$A12694="","",DATOS!$A12694&amp;"|"&amp;DATOS!$D12694&amp;"|"&amp;DATOS!$E12694&amp;"|"&amp;DATOS!$I12694)</f>
      </c>
      <c r="G12694">
        <f>IF(DATOS!$A12694="",0,IF(CONFIG_METADATA!$B$4&lt;&gt;"OR+EX",--(DATOS!$G12694=CONFIG_METADATA!$B$4),IF(DATOS!$G12694="EX",1,IF(DATOS!$G12694="OR",--(COUNTIFS(nNIA,DATOS!$A12694,nCURSO,DATOS!$D12694,nESPEC,DATOS!$E12694,nASIG,DATOS!$I12694,nEVAL,"EX")=0),0))))</f>
      </c>
      <c r="H12694">
        <f>IF(DATOS!$G12694&lt;&gt;"EX",0,--(COUNTIFS(nNIA,DATOS!$A12694,nCURSO,DATOS!$D12694,nESPEC,DATOS!$E12694,nASIG,DATOS!$I12694,nEVAL,"OR")=0))</f>
      </c>
      <c r="I12694">
        <f>IF(DATOS!$I12694="","",IFERROR(VLOOKUP(DATOS!$I12694,CONFIG_ASIGNATURAS!$B$2:$J$91,9,FALSE()),""))</f>
      </c>
    </row>
    <row r="12695">
      <c r="F12695">
        <f>IF(DATOS!$A12695="","",DATOS!$A12695&amp;"|"&amp;DATOS!$D12695&amp;"|"&amp;DATOS!$E12695&amp;"|"&amp;DATOS!$I12695)</f>
      </c>
      <c r="G12695">
        <f>IF(DATOS!$A12695="",0,IF(CONFIG_METADATA!$B$4&lt;&gt;"OR+EX",--(DATOS!$G12695=CONFIG_METADATA!$B$4),IF(DATOS!$G12695="EX",1,IF(DATOS!$G12695="OR",--(COUNTIFS(nNIA,DATOS!$A12695,nCURSO,DATOS!$D12695,nESPEC,DATOS!$E12695,nASIG,DATOS!$I12695,nEVAL,"EX")=0),0))))</f>
      </c>
      <c r="H12695">
        <f>IF(DATOS!$G12695&lt;&gt;"EX",0,--(COUNTIFS(nNIA,DATOS!$A12695,nCURSO,DATOS!$D12695,nESPEC,DATOS!$E12695,nASIG,DATOS!$I12695,nEVAL,"OR")=0))</f>
      </c>
      <c r="I12695">
        <f>IF(DATOS!$I12695="","",IFERROR(VLOOKUP(DATOS!$I12695,CONFIG_ASIGNATURAS!$B$2:$J$91,9,FALSE()),""))</f>
      </c>
    </row>
    <row r="12696">
      <c r="F12696">
        <f>IF(DATOS!$A12696="","",DATOS!$A12696&amp;"|"&amp;DATOS!$D12696&amp;"|"&amp;DATOS!$E12696&amp;"|"&amp;DATOS!$I12696)</f>
      </c>
      <c r="G12696">
        <f>IF(DATOS!$A12696="",0,IF(CONFIG_METADATA!$B$4&lt;&gt;"OR+EX",--(DATOS!$G12696=CONFIG_METADATA!$B$4),IF(DATOS!$G12696="EX",1,IF(DATOS!$G12696="OR",--(COUNTIFS(nNIA,DATOS!$A12696,nCURSO,DATOS!$D12696,nESPEC,DATOS!$E12696,nASIG,DATOS!$I12696,nEVAL,"EX")=0),0))))</f>
      </c>
      <c r="H12696">
        <f>IF(DATOS!$G12696&lt;&gt;"EX",0,--(COUNTIFS(nNIA,DATOS!$A12696,nCURSO,DATOS!$D12696,nESPEC,DATOS!$E12696,nASIG,DATOS!$I12696,nEVAL,"OR")=0))</f>
      </c>
      <c r="I12696">
        <f>IF(DATOS!$I12696="","",IFERROR(VLOOKUP(DATOS!$I12696,CONFIG_ASIGNATURAS!$B$2:$J$91,9,FALSE()),""))</f>
      </c>
    </row>
    <row r="12697">
      <c r="F12697">
        <f>IF(DATOS!$A12697="","",DATOS!$A12697&amp;"|"&amp;DATOS!$D12697&amp;"|"&amp;DATOS!$E12697&amp;"|"&amp;DATOS!$I12697)</f>
      </c>
      <c r="G12697">
        <f>IF(DATOS!$A12697="",0,IF(CONFIG_METADATA!$B$4&lt;&gt;"OR+EX",--(DATOS!$G12697=CONFIG_METADATA!$B$4),IF(DATOS!$G12697="EX",1,IF(DATOS!$G12697="OR",--(COUNTIFS(nNIA,DATOS!$A12697,nCURSO,DATOS!$D12697,nESPEC,DATOS!$E12697,nASIG,DATOS!$I12697,nEVAL,"EX")=0),0))))</f>
      </c>
      <c r="H12697">
        <f>IF(DATOS!$G12697&lt;&gt;"EX",0,--(COUNTIFS(nNIA,DATOS!$A12697,nCURSO,DATOS!$D12697,nESPEC,DATOS!$E12697,nASIG,DATOS!$I12697,nEVAL,"OR")=0))</f>
      </c>
      <c r="I12697">
        <f>IF(DATOS!$I12697="","",IFERROR(VLOOKUP(DATOS!$I12697,CONFIG_ASIGNATURAS!$B$2:$J$91,9,FALSE()),""))</f>
      </c>
    </row>
    <row r="12698">
      <c r="F12698">
        <f>IF(DATOS!$A12698="","",DATOS!$A12698&amp;"|"&amp;DATOS!$D12698&amp;"|"&amp;DATOS!$E12698&amp;"|"&amp;DATOS!$I12698)</f>
      </c>
      <c r="G12698">
        <f>IF(DATOS!$A12698="",0,IF(CONFIG_METADATA!$B$4&lt;&gt;"OR+EX",--(DATOS!$G12698=CONFIG_METADATA!$B$4),IF(DATOS!$G12698="EX",1,IF(DATOS!$G12698="OR",--(COUNTIFS(nNIA,DATOS!$A12698,nCURSO,DATOS!$D12698,nESPEC,DATOS!$E12698,nASIG,DATOS!$I12698,nEVAL,"EX")=0),0))))</f>
      </c>
      <c r="H12698">
        <f>IF(DATOS!$G12698&lt;&gt;"EX",0,--(COUNTIFS(nNIA,DATOS!$A12698,nCURSO,DATOS!$D12698,nESPEC,DATOS!$E12698,nASIG,DATOS!$I12698,nEVAL,"OR")=0))</f>
      </c>
      <c r="I12698">
        <f>IF(DATOS!$I12698="","",IFERROR(VLOOKUP(DATOS!$I12698,CONFIG_ASIGNATURAS!$B$2:$J$91,9,FALSE()),""))</f>
      </c>
    </row>
    <row r="12699">
      <c r="F12699">
        <f>IF(DATOS!$A12699="","",DATOS!$A12699&amp;"|"&amp;DATOS!$D12699&amp;"|"&amp;DATOS!$E12699&amp;"|"&amp;DATOS!$I12699)</f>
      </c>
      <c r="G12699">
        <f>IF(DATOS!$A12699="",0,IF(CONFIG_METADATA!$B$4&lt;&gt;"OR+EX",--(DATOS!$G12699=CONFIG_METADATA!$B$4),IF(DATOS!$G12699="EX",1,IF(DATOS!$G12699="OR",--(COUNTIFS(nNIA,DATOS!$A12699,nCURSO,DATOS!$D12699,nESPEC,DATOS!$E12699,nASIG,DATOS!$I12699,nEVAL,"EX")=0),0))))</f>
      </c>
      <c r="H12699">
        <f>IF(DATOS!$G12699&lt;&gt;"EX",0,--(COUNTIFS(nNIA,DATOS!$A12699,nCURSO,DATOS!$D12699,nESPEC,DATOS!$E12699,nASIG,DATOS!$I12699,nEVAL,"OR")=0))</f>
      </c>
      <c r="I12699">
        <f>IF(DATOS!$I12699="","",IFERROR(VLOOKUP(DATOS!$I12699,CONFIG_ASIGNATURAS!$B$2:$J$91,9,FALSE()),""))</f>
      </c>
    </row>
    <row r="12700">
      <c r="F12700">
        <f>IF(DATOS!$A12700="","",DATOS!$A12700&amp;"|"&amp;DATOS!$D12700&amp;"|"&amp;DATOS!$E12700&amp;"|"&amp;DATOS!$I12700)</f>
      </c>
      <c r="G12700">
        <f>IF(DATOS!$A12700="",0,IF(CONFIG_METADATA!$B$4&lt;&gt;"OR+EX",--(DATOS!$G12700=CONFIG_METADATA!$B$4),IF(DATOS!$G12700="EX",1,IF(DATOS!$G12700="OR",--(COUNTIFS(nNIA,DATOS!$A12700,nCURSO,DATOS!$D12700,nESPEC,DATOS!$E12700,nASIG,DATOS!$I12700,nEVAL,"EX")=0),0))))</f>
      </c>
      <c r="H12700">
        <f>IF(DATOS!$G12700&lt;&gt;"EX",0,--(COUNTIFS(nNIA,DATOS!$A12700,nCURSO,DATOS!$D12700,nESPEC,DATOS!$E12700,nASIG,DATOS!$I12700,nEVAL,"OR")=0))</f>
      </c>
      <c r="I12700">
        <f>IF(DATOS!$I12700="","",IFERROR(VLOOKUP(DATOS!$I12700,CONFIG_ASIGNATURAS!$B$2:$J$91,9,FALSE()),""))</f>
      </c>
    </row>
    <row r="12701">
      <c r="F12701">
        <f>IF(DATOS!$A12701="","",DATOS!$A12701&amp;"|"&amp;DATOS!$D12701&amp;"|"&amp;DATOS!$E12701&amp;"|"&amp;DATOS!$I12701)</f>
      </c>
      <c r="G12701">
        <f>IF(DATOS!$A12701="",0,IF(CONFIG_METADATA!$B$4&lt;&gt;"OR+EX",--(DATOS!$G12701=CONFIG_METADATA!$B$4),IF(DATOS!$G12701="EX",1,IF(DATOS!$G12701="OR",--(COUNTIFS(nNIA,DATOS!$A12701,nCURSO,DATOS!$D12701,nESPEC,DATOS!$E12701,nASIG,DATOS!$I12701,nEVAL,"EX")=0),0))))</f>
      </c>
      <c r="H12701">
        <f>IF(DATOS!$G12701&lt;&gt;"EX",0,--(COUNTIFS(nNIA,DATOS!$A12701,nCURSO,DATOS!$D12701,nESPEC,DATOS!$E12701,nASIG,DATOS!$I12701,nEVAL,"OR")=0))</f>
      </c>
      <c r="I12701">
        <f>IF(DATOS!$I12701="","",IFERROR(VLOOKUP(DATOS!$I12701,CONFIG_ASIGNATURAS!$B$2:$J$91,9,FALSE()),""))</f>
      </c>
    </row>
    <row r="12702">
      <c r="F12702">
        <f>IF(DATOS!$A12702="","",DATOS!$A12702&amp;"|"&amp;DATOS!$D12702&amp;"|"&amp;DATOS!$E12702&amp;"|"&amp;DATOS!$I12702)</f>
      </c>
      <c r="G12702">
        <f>IF(DATOS!$A12702="",0,IF(CONFIG_METADATA!$B$4&lt;&gt;"OR+EX",--(DATOS!$G12702=CONFIG_METADATA!$B$4),IF(DATOS!$G12702="EX",1,IF(DATOS!$G12702="OR",--(COUNTIFS(nNIA,DATOS!$A12702,nCURSO,DATOS!$D12702,nESPEC,DATOS!$E12702,nASIG,DATOS!$I12702,nEVAL,"EX")=0),0))))</f>
      </c>
      <c r="H12702">
        <f>IF(DATOS!$G12702&lt;&gt;"EX",0,--(COUNTIFS(nNIA,DATOS!$A12702,nCURSO,DATOS!$D12702,nESPEC,DATOS!$E12702,nASIG,DATOS!$I12702,nEVAL,"OR")=0))</f>
      </c>
      <c r="I12702">
        <f>IF(DATOS!$I12702="","",IFERROR(VLOOKUP(DATOS!$I12702,CONFIG_ASIGNATURAS!$B$2:$J$91,9,FALSE()),""))</f>
      </c>
    </row>
    <row r="12703">
      <c r="F12703">
        <f>IF(DATOS!$A12703="","",DATOS!$A12703&amp;"|"&amp;DATOS!$D12703&amp;"|"&amp;DATOS!$E12703&amp;"|"&amp;DATOS!$I12703)</f>
      </c>
      <c r="G12703">
        <f>IF(DATOS!$A12703="",0,IF(CONFIG_METADATA!$B$4&lt;&gt;"OR+EX",--(DATOS!$G12703=CONFIG_METADATA!$B$4),IF(DATOS!$G12703="EX",1,IF(DATOS!$G12703="OR",--(COUNTIFS(nNIA,DATOS!$A12703,nCURSO,DATOS!$D12703,nESPEC,DATOS!$E12703,nASIG,DATOS!$I12703,nEVAL,"EX")=0),0))))</f>
      </c>
      <c r="H12703">
        <f>IF(DATOS!$G12703&lt;&gt;"EX",0,--(COUNTIFS(nNIA,DATOS!$A12703,nCURSO,DATOS!$D12703,nESPEC,DATOS!$E12703,nASIG,DATOS!$I12703,nEVAL,"OR")=0))</f>
      </c>
      <c r="I12703">
        <f>IF(DATOS!$I12703="","",IFERROR(VLOOKUP(DATOS!$I12703,CONFIG_ASIGNATURAS!$B$2:$J$91,9,FALSE()),""))</f>
      </c>
    </row>
    <row r="12704">
      <c r="F12704">
        <f>IF(DATOS!$A12704="","",DATOS!$A12704&amp;"|"&amp;DATOS!$D12704&amp;"|"&amp;DATOS!$E12704&amp;"|"&amp;DATOS!$I12704)</f>
      </c>
      <c r="G12704">
        <f>IF(DATOS!$A12704="",0,IF(CONFIG_METADATA!$B$4&lt;&gt;"OR+EX",--(DATOS!$G12704=CONFIG_METADATA!$B$4),IF(DATOS!$G12704="EX",1,IF(DATOS!$G12704="OR",--(COUNTIFS(nNIA,DATOS!$A12704,nCURSO,DATOS!$D12704,nESPEC,DATOS!$E12704,nASIG,DATOS!$I12704,nEVAL,"EX")=0),0))))</f>
      </c>
      <c r="H12704">
        <f>IF(DATOS!$G12704&lt;&gt;"EX",0,--(COUNTIFS(nNIA,DATOS!$A12704,nCURSO,DATOS!$D12704,nESPEC,DATOS!$E12704,nASIG,DATOS!$I12704,nEVAL,"OR")=0))</f>
      </c>
      <c r="I12704">
        <f>IF(DATOS!$I12704="","",IFERROR(VLOOKUP(DATOS!$I12704,CONFIG_ASIGNATURAS!$B$2:$J$91,9,FALSE()),""))</f>
      </c>
    </row>
    <row r="12705">
      <c r="F12705">
        <f>IF(DATOS!$A12705="","",DATOS!$A12705&amp;"|"&amp;DATOS!$D12705&amp;"|"&amp;DATOS!$E12705&amp;"|"&amp;DATOS!$I12705)</f>
      </c>
      <c r="G12705">
        <f>IF(DATOS!$A12705="",0,IF(CONFIG_METADATA!$B$4&lt;&gt;"OR+EX",--(DATOS!$G12705=CONFIG_METADATA!$B$4),IF(DATOS!$G12705="EX",1,IF(DATOS!$G12705="OR",--(COUNTIFS(nNIA,DATOS!$A12705,nCURSO,DATOS!$D12705,nESPEC,DATOS!$E12705,nASIG,DATOS!$I12705,nEVAL,"EX")=0),0))))</f>
      </c>
      <c r="H12705">
        <f>IF(DATOS!$G12705&lt;&gt;"EX",0,--(COUNTIFS(nNIA,DATOS!$A12705,nCURSO,DATOS!$D12705,nESPEC,DATOS!$E12705,nASIG,DATOS!$I12705,nEVAL,"OR")=0))</f>
      </c>
      <c r="I12705">
        <f>IF(DATOS!$I12705="","",IFERROR(VLOOKUP(DATOS!$I12705,CONFIG_ASIGNATURAS!$B$2:$J$91,9,FALSE()),""))</f>
      </c>
    </row>
    <row r="12706">
      <c r="F12706">
        <f>IF(DATOS!$A12706="","",DATOS!$A12706&amp;"|"&amp;DATOS!$D12706&amp;"|"&amp;DATOS!$E12706&amp;"|"&amp;DATOS!$I12706)</f>
      </c>
      <c r="G12706">
        <f>IF(DATOS!$A12706="",0,IF(CONFIG_METADATA!$B$4&lt;&gt;"OR+EX",--(DATOS!$G12706=CONFIG_METADATA!$B$4),IF(DATOS!$G12706="EX",1,IF(DATOS!$G12706="OR",--(COUNTIFS(nNIA,DATOS!$A12706,nCURSO,DATOS!$D12706,nESPEC,DATOS!$E12706,nASIG,DATOS!$I12706,nEVAL,"EX")=0),0))))</f>
      </c>
      <c r="H12706">
        <f>IF(DATOS!$G12706&lt;&gt;"EX",0,--(COUNTIFS(nNIA,DATOS!$A12706,nCURSO,DATOS!$D12706,nESPEC,DATOS!$E12706,nASIG,DATOS!$I12706,nEVAL,"OR")=0))</f>
      </c>
      <c r="I12706">
        <f>IF(DATOS!$I12706="","",IFERROR(VLOOKUP(DATOS!$I12706,CONFIG_ASIGNATURAS!$B$2:$J$91,9,FALSE()),""))</f>
      </c>
    </row>
    <row r="12707">
      <c r="F12707">
        <f>IF(DATOS!$A12707="","",DATOS!$A12707&amp;"|"&amp;DATOS!$D12707&amp;"|"&amp;DATOS!$E12707&amp;"|"&amp;DATOS!$I12707)</f>
      </c>
      <c r="G12707">
        <f>IF(DATOS!$A12707="",0,IF(CONFIG_METADATA!$B$4&lt;&gt;"OR+EX",--(DATOS!$G12707=CONFIG_METADATA!$B$4),IF(DATOS!$G12707="EX",1,IF(DATOS!$G12707="OR",--(COUNTIFS(nNIA,DATOS!$A12707,nCURSO,DATOS!$D12707,nESPEC,DATOS!$E12707,nASIG,DATOS!$I12707,nEVAL,"EX")=0),0))))</f>
      </c>
      <c r="H12707">
        <f>IF(DATOS!$G12707&lt;&gt;"EX",0,--(COUNTIFS(nNIA,DATOS!$A12707,nCURSO,DATOS!$D12707,nESPEC,DATOS!$E12707,nASIG,DATOS!$I12707,nEVAL,"OR")=0))</f>
      </c>
      <c r="I12707">
        <f>IF(DATOS!$I12707="","",IFERROR(VLOOKUP(DATOS!$I12707,CONFIG_ASIGNATURAS!$B$2:$J$91,9,FALSE()),""))</f>
      </c>
    </row>
    <row r="12708">
      <c r="F12708">
        <f>IF(DATOS!$A12708="","",DATOS!$A12708&amp;"|"&amp;DATOS!$D12708&amp;"|"&amp;DATOS!$E12708&amp;"|"&amp;DATOS!$I12708)</f>
      </c>
      <c r="G12708">
        <f>IF(DATOS!$A12708="",0,IF(CONFIG_METADATA!$B$4&lt;&gt;"OR+EX",--(DATOS!$G12708=CONFIG_METADATA!$B$4),IF(DATOS!$G12708="EX",1,IF(DATOS!$G12708="OR",--(COUNTIFS(nNIA,DATOS!$A12708,nCURSO,DATOS!$D12708,nESPEC,DATOS!$E12708,nASIG,DATOS!$I12708,nEVAL,"EX")=0),0))))</f>
      </c>
      <c r="H12708">
        <f>IF(DATOS!$G12708&lt;&gt;"EX",0,--(COUNTIFS(nNIA,DATOS!$A12708,nCURSO,DATOS!$D12708,nESPEC,DATOS!$E12708,nASIG,DATOS!$I12708,nEVAL,"OR")=0))</f>
      </c>
      <c r="I12708">
        <f>IF(DATOS!$I12708="","",IFERROR(VLOOKUP(DATOS!$I12708,CONFIG_ASIGNATURAS!$B$2:$J$91,9,FALSE()),""))</f>
      </c>
    </row>
    <row r="12709">
      <c r="F12709">
        <f>IF(DATOS!$A12709="","",DATOS!$A12709&amp;"|"&amp;DATOS!$D12709&amp;"|"&amp;DATOS!$E12709&amp;"|"&amp;DATOS!$I12709)</f>
      </c>
      <c r="G12709">
        <f>IF(DATOS!$A12709="",0,IF(CONFIG_METADATA!$B$4&lt;&gt;"OR+EX",--(DATOS!$G12709=CONFIG_METADATA!$B$4),IF(DATOS!$G12709="EX",1,IF(DATOS!$G12709="OR",--(COUNTIFS(nNIA,DATOS!$A12709,nCURSO,DATOS!$D12709,nESPEC,DATOS!$E12709,nASIG,DATOS!$I12709,nEVAL,"EX")=0),0))))</f>
      </c>
      <c r="H12709">
        <f>IF(DATOS!$G12709&lt;&gt;"EX",0,--(COUNTIFS(nNIA,DATOS!$A12709,nCURSO,DATOS!$D12709,nESPEC,DATOS!$E12709,nASIG,DATOS!$I12709,nEVAL,"OR")=0))</f>
      </c>
      <c r="I12709">
        <f>IF(DATOS!$I12709="","",IFERROR(VLOOKUP(DATOS!$I12709,CONFIG_ASIGNATURAS!$B$2:$J$91,9,FALSE()),""))</f>
      </c>
    </row>
    <row r="12710">
      <c r="F12710">
        <f>IF(DATOS!$A12710="","",DATOS!$A12710&amp;"|"&amp;DATOS!$D12710&amp;"|"&amp;DATOS!$E12710&amp;"|"&amp;DATOS!$I12710)</f>
      </c>
      <c r="G12710">
        <f>IF(DATOS!$A12710="",0,IF(CONFIG_METADATA!$B$4&lt;&gt;"OR+EX",--(DATOS!$G12710=CONFIG_METADATA!$B$4),IF(DATOS!$G12710="EX",1,IF(DATOS!$G12710="OR",--(COUNTIFS(nNIA,DATOS!$A12710,nCURSO,DATOS!$D12710,nESPEC,DATOS!$E12710,nASIG,DATOS!$I12710,nEVAL,"EX")=0),0))))</f>
      </c>
      <c r="H12710">
        <f>IF(DATOS!$G12710&lt;&gt;"EX",0,--(COUNTIFS(nNIA,DATOS!$A12710,nCURSO,DATOS!$D12710,nESPEC,DATOS!$E12710,nASIG,DATOS!$I12710,nEVAL,"OR")=0))</f>
      </c>
      <c r="I12710">
        <f>IF(DATOS!$I12710="","",IFERROR(VLOOKUP(DATOS!$I12710,CONFIG_ASIGNATURAS!$B$2:$J$91,9,FALSE()),""))</f>
      </c>
    </row>
    <row r="12711">
      <c r="F12711">
        <f>IF(DATOS!$A12711="","",DATOS!$A12711&amp;"|"&amp;DATOS!$D12711&amp;"|"&amp;DATOS!$E12711&amp;"|"&amp;DATOS!$I12711)</f>
      </c>
      <c r="G12711">
        <f>IF(DATOS!$A12711="",0,IF(CONFIG_METADATA!$B$4&lt;&gt;"OR+EX",--(DATOS!$G12711=CONFIG_METADATA!$B$4),IF(DATOS!$G12711="EX",1,IF(DATOS!$G12711="OR",--(COUNTIFS(nNIA,DATOS!$A12711,nCURSO,DATOS!$D12711,nESPEC,DATOS!$E12711,nASIG,DATOS!$I12711,nEVAL,"EX")=0),0))))</f>
      </c>
      <c r="H12711">
        <f>IF(DATOS!$G12711&lt;&gt;"EX",0,--(COUNTIFS(nNIA,DATOS!$A12711,nCURSO,DATOS!$D12711,nESPEC,DATOS!$E12711,nASIG,DATOS!$I12711,nEVAL,"OR")=0))</f>
      </c>
      <c r="I12711">
        <f>IF(DATOS!$I12711="","",IFERROR(VLOOKUP(DATOS!$I12711,CONFIG_ASIGNATURAS!$B$2:$J$91,9,FALSE()),""))</f>
      </c>
    </row>
    <row r="12712">
      <c r="F12712">
        <f>IF(DATOS!$A12712="","",DATOS!$A12712&amp;"|"&amp;DATOS!$D12712&amp;"|"&amp;DATOS!$E12712&amp;"|"&amp;DATOS!$I12712)</f>
      </c>
      <c r="G12712">
        <f>IF(DATOS!$A12712="",0,IF(CONFIG_METADATA!$B$4&lt;&gt;"OR+EX",--(DATOS!$G12712=CONFIG_METADATA!$B$4),IF(DATOS!$G12712="EX",1,IF(DATOS!$G12712="OR",--(COUNTIFS(nNIA,DATOS!$A12712,nCURSO,DATOS!$D12712,nESPEC,DATOS!$E12712,nASIG,DATOS!$I12712,nEVAL,"EX")=0),0))))</f>
      </c>
      <c r="H12712">
        <f>IF(DATOS!$G12712&lt;&gt;"EX",0,--(COUNTIFS(nNIA,DATOS!$A12712,nCURSO,DATOS!$D12712,nESPEC,DATOS!$E12712,nASIG,DATOS!$I12712,nEVAL,"OR")=0))</f>
      </c>
      <c r="I12712">
        <f>IF(DATOS!$I12712="","",IFERROR(VLOOKUP(DATOS!$I12712,CONFIG_ASIGNATURAS!$B$2:$J$91,9,FALSE()),""))</f>
      </c>
    </row>
    <row r="12713">
      <c r="F12713">
        <f>IF(DATOS!$A12713="","",DATOS!$A12713&amp;"|"&amp;DATOS!$D12713&amp;"|"&amp;DATOS!$E12713&amp;"|"&amp;DATOS!$I12713)</f>
      </c>
      <c r="G12713">
        <f>IF(DATOS!$A12713="",0,IF(CONFIG_METADATA!$B$4&lt;&gt;"OR+EX",--(DATOS!$G12713=CONFIG_METADATA!$B$4),IF(DATOS!$G12713="EX",1,IF(DATOS!$G12713="OR",--(COUNTIFS(nNIA,DATOS!$A12713,nCURSO,DATOS!$D12713,nESPEC,DATOS!$E12713,nASIG,DATOS!$I12713,nEVAL,"EX")=0),0))))</f>
      </c>
      <c r="H12713">
        <f>IF(DATOS!$G12713&lt;&gt;"EX",0,--(COUNTIFS(nNIA,DATOS!$A12713,nCURSO,DATOS!$D12713,nESPEC,DATOS!$E12713,nASIG,DATOS!$I12713,nEVAL,"OR")=0))</f>
      </c>
      <c r="I12713">
        <f>IF(DATOS!$I12713="","",IFERROR(VLOOKUP(DATOS!$I12713,CONFIG_ASIGNATURAS!$B$2:$J$91,9,FALSE()),""))</f>
      </c>
    </row>
    <row r="12714">
      <c r="F12714">
        <f>IF(DATOS!$A12714="","",DATOS!$A12714&amp;"|"&amp;DATOS!$D12714&amp;"|"&amp;DATOS!$E12714&amp;"|"&amp;DATOS!$I12714)</f>
      </c>
      <c r="G12714">
        <f>IF(DATOS!$A12714="",0,IF(CONFIG_METADATA!$B$4&lt;&gt;"OR+EX",--(DATOS!$G12714=CONFIG_METADATA!$B$4),IF(DATOS!$G12714="EX",1,IF(DATOS!$G12714="OR",--(COUNTIFS(nNIA,DATOS!$A12714,nCURSO,DATOS!$D12714,nESPEC,DATOS!$E12714,nASIG,DATOS!$I12714,nEVAL,"EX")=0),0))))</f>
      </c>
      <c r="H12714">
        <f>IF(DATOS!$G12714&lt;&gt;"EX",0,--(COUNTIFS(nNIA,DATOS!$A12714,nCURSO,DATOS!$D12714,nESPEC,DATOS!$E12714,nASIG,DATOS!$I12714,nEVAL,"OR")=0))</f>
      </c>
      <c r="I12714">
        <f>IF(DATOS!$I12714="","",IFERROR(VLOOKUP(DATOS!$I12714,CONFIG_ASIGNATURAS!$B$2:$J$91,9,FALSE()),""))</f>
      </c>
    </row>
    <row r="12715">
      <c r="F12715">
        <f>IF(DATOS!$A12715="","",DATOS!$A12715&amp;"|"&amp;DATOS!$D12715&amp;"|"&amp;DATOS!$E12715&amp;"|"&amp;DATOS!$I12715)</f>
      </c>
      <c r="G12715">
        <f>IF(DATOS!$A12715="",0,IF(CONFIG_METADATA!$B$4&lt;&gt;"OR+EX",--(DATOS!$G12715=CONFIG_METADATA!$B$4),IF(DATOS!$G12715="EX",1,IF(DATOS!$G12715="OR",--(COUNTIFS(nNIA,DATOS!$A12715,nCURSO,DATOS!$D12715,nESPEC,DATOS!$E12715,nASIG,DATOS!$I12715,nEVAL,"EX")=0),0))))</f>
      </c>
      <c r="H12715">
        <f>IF(DATOS!$G12715&lt;&gt;"EX",0,--(COUNTIFS(nNIA,DATOS!$A12715,nCURSO,DATOS!$D12715,nESPEC,DATOS!$E12715,nASIG,DATOS!$I12715,nEVAL,"OR")=0))</f>
      </c>
      <c r="I12715">
        <f>IF(DATOS!$I12715="","",IFERROR(VLOOKUP(DATOS!$I12715,CONFIG_ASIGNATURAS!$B$2:$J$91,9,FALSE()),""))</f>
      </c>
    </row>
    <row r="12716">
      <c r="F12716">
        <f>IF(DATOS!$A12716="","",DATOS!$A12716&amp;"|"&amp;DATOS!$D12716&amp;"|"&amp;DATOS!$E12716&amp;"|"&amp;DATOS!$I12716)</f>
      </c>
      <c r="G12716">
        <f>IF(DATOS!$A12716="",0,IF(CONFIG_METADATA!$B$4&lt;&gt;"OR+EX",--(DATOS!$G12716=CONFIG_METADATA!$B$4),IF(DATOS!$G12716="EX",1,IF(DATOS!$G12716="OR",--(COUNTIFS(nNIA,DATOS!$A12716,nCURSO,DATOS!$D12716,nESPEC,DATOS!$E12716,nASIG,DATOS!$I12716,nEVAL,"EX")=0),0))))</f>
      </c>
      <c r="H12716">
        <f>IF(DATOS!$G12716&lt;&gt;"EX",0,--(COUNTIFS(nNIA,DATOS!$A12716,nCURSO,DATOS!$D12716,nESPEC,DATOS!$E12716,nASIG,DATOS!$I12716,nEVAL,"OR")=0))</f>
      </c>
      <c r="I12716">
        <f>IF(DATOS!$I12716="","",IFERROR(VLOOKUP(DATOS!$I12716,CONFIG_ASIGNATURAS!$B$2:$J$91,9,FALSE()),""))</f>
      </c>
    </row>
    <row r="12717">
      <c r="F12717">
        <f>IF(DATOS!$A12717="","",DATOS!$A12717&amp;"|"&amp;DATOS!$D12717&amp;"|"&amp;DATOS!$E12717&amp;"|"&amp;DATOS!$I12717)</f>
      </c>
      <c r="G12717">
        <f>IF(DATOS!$A12717="",0,IF(CONFIG_METADATA!$B$4&lt;&gt;"OR+EX",--(DATOS!$G12717=CONFIG_METADATA!$B$4),IF(DATOS!$G12717="EX",1,IF(DATOS!$G12717="OR",--(COUNTIFS(nNIA,DATOS!$A12717,nCURSO,DATOS!$D12717,nESPEC,DATOS!$E12717,nASIG,DATOS!$I12717,nEVAL,"EX")=0),0))))</f>
      </c>
      <c r="H12717">
        <f>IF(DATOS!$G12717&lt;&gt;"EX",0,--(COUNTIFS(nNIA,DATOS!$A12717,nCURSO,DATOS!$D12717,nESPEC,DATOS!$E12717,nASIG,DATOS!$I12717,nEVAL,"OR")=0))</f>
      </c>
      <c r="I12717">
        <f>IF(DATOS!$I12717="","",IFERROR(VLOOKUP(DATOS!$I12717,CONFIG_ASIGNATURAS!$B$2:$J$91,9,FALSE()),""))</f>
      </c>
    </row>
    <row r="12718">
      <c r="F12718">
        <f>IF(DATOS!$A12718="","",DATOS!$A12718&amp;"|"&amp;DATOS!$D12718&amp;"|"&amp;DATOS!$E12718&amp;"|"&amp;DATOS!$I12718)</f>
      </c>
      <c r="G12718">
        <f>IF(DATOS!$A12718="",0,IF(CONFIG_METADATA!$B$4&lt;&gt;"OR+EX",--(DATOS!$G12718=CONFIG_METADATA!$B$4),IF(DATOS!$G12718="EX",1,IF(DATOS!$G12718="OR",--(COUNTIFS(nNIA,DATOS!$A12718,nCURSO,DATOS!$D12718,nESPEC,DATOS!$E12718,nASIG,DATOS!$I12718,nEVAL,"EX")=0),0))))</f>
      </c>
      <c r="H12718">
        <f>IF(DATOS!$G12718&lt;&gt;"EX",0,--(COUNTIFS(nNIA,DATOS!$A12718,nCURSO,DATOS!$D12718,nESPEC,DATOS!$E12718,nASIG,DATOS!$I12718,nEVAL,"OR")=0))</f>
      </c>
      <c r="I12718">
        <f>IF(DATOS!$I12718="","",IFERROR(VLOOKUP(DATOS!$I12718,CONFIG_ASIGNATURAS!$B$2:$J$91,9,FALSE()),""))</f>
      </c>
    </row>
    <row r="12719">
      <c r="F12719">
        <f>IF(DATOS!$A12719="","",DATOS!$A12719&amp;"|"&amp;DATOS!$D12719&amp;"|"&amp;DATOS!$E12719&amp;"|"&amp;DATOS!$I12719)</f>
      </c>
      <c r="G12719">
        <f>IF(DATOS!$A12719="",0,IF(CONFIG_METADATA!$B$4&lt;&gt;"OR+EX",--(DATOS!$G12719=CONFIG_METADATA!$B$4),IF(DATOS!$G12719="EX",1,IF(DATOS!$G12719="OR",--(COUNTIFS(nNIA,DATOS!$A12719,nCURSO,DATOS!$D12719,nESPEC,DATOS!$E12719,nASIG,DATOS!$I12719,nEVAL,"EX")=0),0))))</f>
      </c>
      <c r="H12719">
        <f>IF(DATOS!$G12719&lt;&gt;"EX",0,--(COUNTIFS(nNIA,DATOS!$A12719,nCURSO,DATOS!$D12719,nESPEC,DATOS!$E12719,nASIG,DATOS!$I12719,nEVAL,"OR")=0))</f>
      </c>
      <c r="I12719">
        <f>IF(DATOS!$I12719="","",IFERROR(VLOOKUP(DATOS!$I12719,CONFIG_ASIGNATURAS!$B$2:$J$91,9,FALSE()),""))</f>
      </c>
    </row>
    <row r="12720">
      <c r="F12720">
        <f>IF(DATOS!$A12720="","",DATOS!$A12720&amp;"|"&amp;DATOS!$D12720&amp;"|"&amp;DATOS!$E12720&amp;"|"&amp;DATOS!$I12720)</f>
      </c>
      <c r="G12720">
        <f>IF(DATOS!$A12720="",0,IF(CONFIG_METADATA!$B$4&lt;&gt;"OR+EX",--(DATOS!$G12720=CONFIG_METADATA!$B$4),IF(DATOS!$G12720="EX",1,IF(DATOS!$G12720="OR",--(COUNTIFS(nNIA,DATOS!$A12720,nCURSO,DATOS!$D12720,nESPEC,DATOS!$E12720,nASIG,DATOS!$I12720,nEVAL,"EX")=0),0))))</f>
      </c>
      <c r="H12720">
        <f>IF(DATOS!$G12720&lt;&gt;"EX",0,--(COUNTIFS(nNIA,DATOS!$A12720,nCURSO,DATOS!$D12720,nESPEC,DATOS!$E12720,nASIG,DATOS!$I12720,nEVAL,"OR")=0))</f>
      </c>
      <c r="I12720">
        <f>IF(DATOS!$I12720="","",IFERROR(VLOOKUP(DATOS!$I12720,CONFIG_ASIGNATURAS!$B$2:$J$91,9,FALSE()),""))</f>
      </c>
    </row>
    <row r="12721">
      <c r="F12721">
        <f>IF(DATOS!$A12721="","",DATOS!$A12721&amp;"|"&amp;DATOS!$D12721&amp;"|"&amp;DATOS!$E12721&amp;"|"&amp;DATOS!$I12721)</f>
      </c>
      <c r="G12721">
        <f>IF(DATOS!$A12721="",0,IF(CONFIG_METADATA!$B$4&lt;&gt;"OR+EX",--(DATOS!$G12721=CONFIG_METADATA!$B$4),IF(DATOS!$G12721="EX",1,IF(DATOS!$G12721="OR",--(COUNTIFS(nNIA,DATOS!$A12721,nCURSO,DATOS!$D12721,nESPEC,DATOS!$E12721,nASIG,DATOS!$I12721,nEVAL,"EX")=0),0))))</f>
      </c>
      <c r="H12721">
        <f>IF(DATOS!$G12721&lt;&gt;"EX",0,--(COUNTIFS(nNIA,DATOS!$A12721,nCURSO,DATOS!$D12721,nESPEC,DATOS!$E12721,nASIG,DATOS!$I12721,nEVAL,"OR")=0))</f>
      </c>
      <c r="I12721">
        <f>IF(DATOS!$I12721="","",IFERROR(VLOOKUP(DATOS!$I12721,CONFIG_ASIGNATURAS!$B$2:$J$91,9,FALSE()),""))</f>
      </c>
    </row>
    <row r="12722">
      <c r="F12722">
        <f>IF(DATOS!$A12722="","",DATOS!$A12722&amp;"|"&amp;DATOS!$D12722&amp;"|"&amp;DATOS!$E12722&amp;"|"&amp;DATOS!$I12722)</f>
      </c>
      <c r="G12722">
        <f>IF(DATOS!$A12722="",0,IF(CONFIG_METADATA!$B$4&lt;&gt;"OR+EX",--(DATOS!$G12722=CONFIG_METADATA!$B$4),IF(DATOS!$G12722="EX",1,IF(DATOS!$G12722="OR",--(COUNTIFS(nNIA,DATOS!$A12722,nCURSO,DATOS!$D12722,nESPEC,DATOS!$E12722,nASIG,DATOS!$I12722,nEVAL,"EX")=0),0))))</f>
      </c>
      <c r="H12722">
        <f>IF(DATOS!$G12722&lt;&gt;"EX",0,--(COUNTIFS(nNIA,DATOS!$A12722,nCURSO,DATOS!$D12722,nESPEC,DATOS!$E12722,nASIG,DATOS!$I12722,nEVAL,"OR")=0))</f>
      </c>
      <c r="I12722">
        <f>IF(DATOS!$I12722="","",IFERROR(VLOOKUP(DATOS!$I12722,CONFIG_ASIGNATURAS!$B$2:$J$91,9,FALSE()),""))</f>
      </c>
    </row>
    <row r="12723">
      <c r="F12723">
        <f>IF(DATOS!$A12723="","",DATOS!$A12723&amp;"|"&amp;DATOS!$D12723&amp;"|"&amp;DATOS!$E12723&amp;"|"&amp;DATOS!$I12723)</f>
      </c>
      <c r="G12723">
        <f>IF(DATOS!$A12723="",0,IF(CONFIG_METADATA!$B$4&lt;&gt;"OR+EX",--(DATOS!$G12723=CONFIG_METADATA!$B$4),IF(DATOS!$G12723="EX",1,IF(DATOS!$G12723="OR",--(COUNTIFS(nNIA,DATOS!$A12723,nCURSO,DATOS!$D12723,nESPEC,DATOS!$E12723,nASIG,DATOS!$I12723,nEVAL,"EX")=0),0))))</f>
      </c>
      <c r="H12723">
        <f>IF(DATOS!$G12723&lt;&gt;"EX",0,--(COUNTIFS(nNIA,DATOS!$A12723,nCURSO,DATOS!$D12723,nESPEC,DATOS!$E12723,nASIG,DATOS!$I12723,nEVAL,"OR")=0))</f>
      </c>
      <c r="I12723">
        <f>IF(DATOS!$I12723="","",IFERROR(VLOOKUP(DATOS!$I12723,CONFIG_ASIGNATURAS!$B$2:$J$91,9,FALSE()),""))</f>
      </c>
    </row>
    <row r="12724">
      <c r="F12724">
        <f>IF(DATOS!$A12724="","",DATOS!$A12724&amp;"|"&amp;DATOS!$D12724&amp;"|"&amp;DATOS!$E12724&amp;"|"&amp;DATOS!$I12724)</f>
      </c>
      <c r="G12724">
        <f>IF(DATOS!$A12724="",0,IF(CONFIG_METADATA!$B$4&lt;&gt;"OR+EX",--(DATOS!$G12724=CONFIG_METADATA!$B$4),IF(DATOS!$G12724="EX",1,IF(DATOS!$G12724="OR",--(COUNTIFS(nNIA,DATOS!$A12724,nCURSO,DATOS!$D12724,nESPEC,DATOS!$E12724,nASIG,DATOS!$I12724,nEVAL,"EX")=0),0))))</f>
      </c>
      <c r="H12724">
        <f>IF(DATOS!$G12724&lt;&gt;"EX",0,--(COUNTIFS(nNIA,DATOS!$A12724,nCURSO,DATOS!$D12724,nESPEC,DATOS!$E12724,nASIG,DATOS!$I12724,nEVAL,"OR")=0))</f>
      </c>
      <c r="I12724">
        <f>IF(DATOS!$I12724="","",IFERROR(VLOOKUP(DATOS!$I12724,CONFIG_ASIGNATURAS!$B$2:$J$91,9,FALSE()),""))</f>
      </c>
    </row>
    <row r="12725">
      <c r="F12725">
        <f>IF(DATOS!$A12725="","",DATOS!$A12725&amp;"|"&amp;DATOS!$D12725&amp;"|"&amp;DATOS!$E12725&amp;"|"&amp;DATOS!$I12725)</f>
      </c>
      <c r="G12725">
        <f>IF(DATOS!$A12725="",0,IF(CONFIG_METADATA!$B$4&lt;&gt;"OR+EX",--(DATOS!$G12725=CONFIG_METADATA!$B$4),IF(DATOS!$G12725="EX",1,IF(DATOS!$G12725="OR",--(COUNTIFS(nNIA,DATOS!$A12725,nCURSO,DATOS!$D12725,nESPEC,DATOS!$E12725,nASIG,DATOS!$I12725,nEVAL,"EX")=0),0))))</f>
      </c>
      <c r="H12725">
        <f>IF(DATOS!$G12725&lt;&gt;"EX",0,--(COUNTIFS(nNIA,DATOS!$A12725,nCURSO,DATOS!$D12725,nESPEC,DATOS!$E12725,nASIG,DATOS!$I12725,nEVAL,"OR")=0))</f>
      </c>
      <c r="I12725">
        <f>IF(DATOS!$I12725="","",IFERROR(VLOOKUP(DATOS!$I12725,CONFIG_ASIGNATURAS!$B$2:$J$91,9,FALSE()),""))</f>
      </c>
    </row>
    <row r="12726">
      <c r="F12726">
        <f>IF(DATOS!$A12726="","",DATOS!$A12726&amp;"|"&amp;DATOS!$D12726&amp;"|"&amp;DATOS!$E12726&amp;"|"&amp;DATOS!$I12726)</f>
      </c>
      <c r="G12726">
        <f>IF(DATOS!$A12726="",0,IF(CONFIG_METADATA!$B$4&lt;&gt;"OR+EX",--(DATOS!$G12726=CONFIG_METADATA!$B$4),IF(DATOS!$G12726="EX",1,IF(DATOS!$G12726="OR",--(COUNTIFS(nNIA,DATOS!$A12726,nCURSO,DATOS!$D12726,nESPEC,DATOS!$E12726,nASIG,DATOS!$I12726,nEVAL,"EX")=0),0))))</f>
      </c>
      <c r="H12726">
        <f>IF(DATOS!$G12726&lt;&gt;"EX",0,--(COUNTIFS(nNIA,DATOS!$A12726,nCURSO,DATOS!$D12726,nESPEC,DATOS!$E12726,nASIG,DATOS!$I12726,nEVAL,"OR")=0))</f>
      </c>
      <c r="I12726">
        <f>IF(DATOS!$I12726="","",IFERROR(VLOOKUP(DATOS!$I12726,CONFIG_ASIGNATURAS!$B$2:$J$91,9,FALSE()),""))</f>
      </c>
    </row>
    <row r="12727">
      <c r="F12727">
        <f>IF(DATOS!$A12727="","",DATOS!$A12727&amp;"|"&amp;DATOS!$D12727&amp;"|"&amp;DATOS!$E12727&amp;"|"&amp;DATOS!$I12727)</f>
      </c>
      <c r="G12727">
        <f>IF(DATOS!$A12727="",0,IF(CONFIG_METADATA!$B$4&lt;&gt;"OR+EX",--(DATOS!$G12727=CONFIG_METADATA!$B$4),IF(DATOS!$G12727="EX",1,IF(DATOS!$G12727="OR",--(COUNTIFS(nNIA,DATOS!$A12727,nCURSO,DATOS!$D12727,nESPEC,DATOS!$E12727,nASIG,DATOS!$I12727,nEVAL,"EX")=0),0))))</f>
      </c>
      <c r="H12727">
        <f>IF(DATOS!$G12727&lt;&gt;"EX",0,--(COUNTIFS(nNIA,DATOS!$A12727,nCURSO,DATOS!$D12727,nESPEC,DATOS!$E12727,nASIG,DATOS!$I12727,nEVAL,"OR")=0))</f>
      </c>
      <c r="I12727">
        <f>IF(DATOS!$I12727="","",IFERROR(VLOOKUP(DATOS!$I12727,CONFIG_ASIGNATURAS!$B$2:$J$91,9,FALSE()),""))</f>
      </c>
    </row>
    <row r="12728">
      <c r="F12728">
        <f>IF(DATOS!$A12728="","",DATOS!$A12728&amp;"|"&amp;DATOS!$D12728&amp;"|"&amp;DATOS!$E12728&amp;"|"&amp;DATOS!$I12728)</f>
      </c>
      <c r="G12728">
        <f>IF(DATOS!$A12728="",0,IF(CONFIG_METADATA!$B$4&lt;&gt;"OR+EX",--(DATOS!$G12728=CONFIG_METADATA!$B$4),IF(DATOS!$G12728="EX",1,IF(DATOS!$G12728="OR",--(COUNTIFS(nNIA,DATOS!$A12728,nCURSO,DATOS!$D12728,nESPEC,DATOS!$E12728,nASIG,DATOS!$I12728,nEVAL,"EX")=0),0))))</f>
      </c>
      <c r="H12728">
        <f>IF(DATOS!$G12728&lt;&gt;"EX",0,--(COUNTIFS(nNIA,DATOS!$A12728,nCURSO,DATOS!$D12728,nESPEC,DATOS!$E12728,nASIG,DATOS!$I12728,nEVAL,"OR")=0))</f>
      </c>
      <c r="I12728">
        <f>IF(DATOS!$I12728="","",IFERROR(VLOOKUP(DATOS!$I12728,CONFIG_ASIGNATURAS!$B$2:$J$91,9,FALSE()),""))</f>
      </c>
    </row>
    <row r="12729">
      <c r="F12729">
        <f>IF(DATOS!$A12729="","",DATOS!$A12729&amp;"|"&amp;DATOS!$D12729&amp;"|"&amp;DATOS!$E12729&amp;"|"&amp;DATOS!$I12729)</f>
      </c>
      <c r="G12729">
        <f>IF(DATOS!$A12729="",0,IF(CONFIG_METADATA!$B$4&lt;&gt;"OR+EX",--(DATOS!$G12729=CONFIG_METADATA!$B$4),IF(DATOS!$G12729="EX",1,IF(DATOS!$G12729="OR",--(COUNTIFS(nNIA,DATOS!$A12729,nCURSO,DATOS!$D12729,nESPEC,DATOS!$E12729,nASIG,DATOS!$I12729,nEVAL,"EX")=0),0))))</f>
      </c>
      <c r="H12729">
        <f>IF(DATOS!$G12729&lt;&gt;"EX",0,--(COUNTIFS(nNIA,DATOS!$A12729,nCURSO,DATOS!$D12729,nESPEC,DATOS!$E12729,nASIG,DATOS!$I12729,nEVAL,"OR")=0))</f>
      </c>
      <c r="I12729">
        <f>IF(DATOS!$I12729="","",IFERROR(VLOOKUP(DATOS!$I12729,CONFIG_ASIGNATURAS!$B$2:$J$91,9,FALSE()),""))</f>
      </c>
    </row>
    <row r="12730">
      <c r="F12730">
        <f>IF(DATOS!$A12730="","",DATOS!$A12730&amp;"|"&amp;DATOS!$D12730&amp;"|"&amp;DATOS!$E12730&amp;"|"&amp;DATOS!$I12730)</f>
      </c>
      <c r="G12730">
        <f>IF(DATOS!$A12730="",0,IF(CONFIG_METADATA!$B$4&lt;&gt;"OR+EX",--(DATOS!$G12730=CONFIG_METADATA!$B$4),IF(DATOS!$G12730="EX",1,IF(DATOS!$G12730="OR",--(COUNTIFS(nNIA,DATOS!$A12730,nCURSO,DATOS!$D12730,nESPEC,DATOS!$E12730,nASIG,DATOS!$I12730,nEVAL,"EX")=0),0))))</f>
      </c>
      <c r="H12730">
        <f>IF(DATOS!$G12730&lt;&gt;"EX",0,--(COUNTIFS(nNIA,DATOS!$A12730,nCURSO,DATOS!$D12730,nESPEC,DATOS!$E12730,nASIG,DATOS!$I12730,nEVAL,"OR")=0))</f>
      </c>
      <c r="I12730">
        <f>IF(DATOS!$I12730="","",IFERROR(VLOOKUP(DATOS!$I12730,CONFIG_ASIGNATURAS!$B$2:$J$91,9,FALSE()),""))</f>
      </c>
    </row>
    <row r="12731">
      <c r="F12731">
        <f>IF(DATOS!$A12731="","",DATOS!$A12731&amp;"|"&amp;DATOS!$D12731&amp;"|"&amp;DATOS!$E12731&amp;"|"&amp;DATOS!$I12731)</f>
      </c>
      <c r="G12731">
        <f>IF(DATOS!$A12731="",0,IF(CONFIG_METADATA!$B$4&lt;&gt;"OR+EX",--(DATOS!$G12731=CONFIG_METADATA!$B$4),IF(DATOS!$G12731="EX",1,IF(DATOS!$G12731="OR",--(COUNTIFS(nNIA,DATOS!$A12731,nCURSO,DATOS!$D12731,nESPEC,DATOS!$E12731,nASIG,DATOS!$I12731,nEVAL,"EX")=0),0))))</f>
      </c>
      <c r="H12731">
        <f>IF(DATOS!$G12731&lt;&gt;"EX",0,--(COUNTIFS(nNIA,DATOS!$A12731,nCURSO,DATOS!$D12731,nESPEC,DATOS!$E12731,nASIG,DATOS!$I12731,nEVAL,"OR")=0))</f>
      </c>
      <c r="I12731">
        <f>IF(DATOS!$I12731="","",IFERROR(VLOOKUP(DATOS!$I12731,CONFIG_ASIGNATURAS!$B$2:$J$91,9,FALSE()),""))</f>
      </c>
    </row>
    <row r="12732">
      <c r="F12732">
        <f>IF(DATOS!$A12732="","",DATOS!$A12732&amp;"|"&amp;DATOS!$D12732&amp;"|"&amp;DATOS!$E12732&amp;"|"&amp;DATOS!$I12732)</f>
      </c>
      <c r="G12732">
        <f>IF(DATOS!$A12732="",0,IF(CONFIG_METADATA!$B$4&lt;&gt;"OR+EX",--(DATOS!$G12732=CONFIG_METADATA!$B$4),IF(DATOS!$G12732="EX",1,IF(DATOS!$G12732="OR",--(COUNTIFS(nNIA,DATOS!$A12732,nCURSO,DATOS!$D12732,nESPEC,DATOS!$E12732,nASIG,DATOS!$I12732,nEVAL,"EX")=0),0))))</f>
      </c>
      <c r="H12732">
        <f>IF(DATOS!$G12732&lt;&gt;"EX",0,--(COUNTIFS(nNIA,DATOS!$A12732,nCURSO,DATOS!$D12732,nESPEC,DATOS!$E12732,nASIG,DATOS!$I12732,nEVAL,"OR")=0))</f>
      </c>
      <c r="I12732">
        <f>IF(DATOS!$I12732="","",IFERROR(VLOOKUP(DATOS!$I12732,CONFIG_ASIGNATURAS!$B$2:$J$91,9,FALSE()),""))</f>
      </c>
    </row>
    <row r="12733">
      <c r="F12733">
        <f>IF(DATOS!$A12733="","",DATOS!$A12733&amp;"|"&amp;DATOS!$D12733&amp;"|"&amp;DATOS!$E12733&amp;"|"&amp;DATOS!$I12733)</f>
      </c>
      <c r="G12733">
        <f>IF(DATOS!$A12733="",0,IF(CONFIG_METADATA!$B$4&lt;&gt;"OR+EX",--(DATOS!$G12733=CONFIG_METADATA!$B$4),IF(DATOS!$G12733="EX",1,IF(DATOS!$G12733="OR",--(COUNTIFS(nNIA,DATOS!$A12733,nCURSO,DATOS!$D12733,nESPEC,DATOS!$E12733,nASIG,DATOS!$I12733,nEVAL,"EX")=0),0))))</f>
      </c>
      <c r="H12733">
        <f>IF(DATOS!$G12733&lt;&gt;"EX",0,--(COUNTIFS(nNIA,DATOS!$A12733,nCURSO,DATOS!$D12733,nESPEC,DATOS!$E12733,nASIG,DATOS!$I12733,nEVAL,"OR")=0))</f>
      </c>
      <c r="I12733">
        <f>IF(DATOS!$I12733="","",IFERROR(VLOOKUP(DATOS!$I12733,CONFIG_ASIGNATURAS!$B$2:$J$91,9,FALSE()),""))</f>
      </c>
    </row>
    <row r="12734">
      <c r="F12734">
        <f>IF(DATOS!$A12734="","",DATOS!$A12734&amp;"|"&amp;DATOS!$D12734&amp;"|"&amp;DATOS!$E12734&amp;"|"&amp;DATOS!$I12734)</f>
      </c>
      <c r="G12734">
        <f>IF(DATOS!$A12734="",0,IF(CONFIG_METADATA!$B$4&lt;&gt;"OR+EX",--(DATOS!$G12734=CONFIG_METADATA!$B$4),IF(DATOS!$G12734="EX",1,IF(DATOS!$G12734="OR",--(COUNTIFS(nNIA,DATOS!$A12734,nCURSO,DATOS!$D12734,nESPEC,DATOS!$E12734,nASIG,DATOS!$I12734,nEVAL,"EX")=0),0))))</f>
      </c>
      <c r="H12734">
        <f>IF(DATOS!$G12734&lt;&gt;"EX",0,--(COUNTIFS(nNIA,DATOS!$A12734,nCURSO,DATOS!$D12734,nESPEC,DATOS!$E12734,nASIG,DATOS!$I12734,nEVAL,"OR")=0))</f>
      </c>
      <c r="I12734">
        <f>IF(DATOS!$I12734="","",IFERROR(VLOOKUP(DATOS!$I12734,CONFIG_ASIGNATURAS!$B$2:$J$91,9,FALSE()),""))</f>
      </c>
    </row>
    <row r="12735">
      <c r="F12735">
        <f>IF(DATOS!$A12735="","",DATOS!$A12735&amp;"|"&amp;DATOS!$D12735&amp;"|"&amp;DATOS!$E12735&amp;"|"&amp;DATOS!$I12735)</f>
      </c>
      <c r="G12735">
        <f>IF(DATOS!$A12735="",0,IF(CONFIG_METADATA!$B$4&lt;&gt;"OR+EX",--(DATOS!$G12735=CONFIG_METADATA!$B$4),IF(DATOS!$G12735="EX",1,IF(DATOS!$G12735="OR",--(COUNTIFS(nNIA,DATOS!$A12735,nCURSO,DATOS!$D12735,nESPEC,DATOS!$E12735,nASIG,DATOS!$I12735,nEVAL,"EX")=0),0))))</f>
      </c>
      <c r="H12735">
        <f>IF(DATOS!$G12735&lt;&gt;"EX",0,--(COUNTIFS(nNIA,DATOS!$A12735,nCURSO,DATOS!$D12735,nESPEC,DATOS!$E12735,nASIG,DATOS!$I12735,nEVAL,"OR")=0))</f>
      </c>
      <c r="I12735">
        <f>IF(DATOS!$I12735="","",IFERROR(VLOOKUP(DATOS!$I12735,CONFIG_ASIGNATURAS!$B$2:$J$91,9,FALSE()),""))</f>
      </c>
    </row>
    <row r="12736">
      <c r="F12736">
        <f>IF(DATOS!$A12736="","",DATOS!$A12736&amp;"|"&amp;DATOS!$D12736&amp;"|"&amp;DATOS!$E12736&amp;"|"&amp;DATOS!$I12736)</f>
      </c>
      <c r="G12736">
        <f>IF(DATOS!$A12736="",0,IF(CONFIG_METADATA!$B$4&lt;&gt;"OR+EX",--(DATOS!$G12736=CONFIG_METADATA!$B$4),IF(DATOS!$G12736="EX",1,IF(DATOS!$G12736="OR",--(COUNTIFS(nNIA,DATOS!$A12736,nCURSO,DATOS!$D12736,nESPEC,DATOS!$E12736,nASIG,DATOS!$I12736,nEVAL,"EX")=0),0))))</f>
      </c>
      <c r="H12736">
        <f>IF(DATOS!$G12736&lt;&gt;"EX",0,--(COUNTIFS(nNIA,DATOS!$A12736,nCURSO,DATOS!$D12736,nESPEC,DATOS!$E12736,nASIG,DATOS!$I12736,nEVAL,"OR")=0))</f>
      </c>
      <c r="I12736">
        <f>IF(DATOS!$I12736="","",IFERROR(VLOOKUP(DATOS!$I12736,CONFIG_ASIGNATURAS!$B$2:$J$91,9,FALSE()),""))</f>
      </c>
    </row>
    <row r="12737">
      <c r="F12737">
        <f>IF(DATOS!$A12737="","",DATOS!$A12737&amp;"|"&amp;DATOS!$D12737&amp;"|"&amp;DATOS!$E12737&amp;"|"&amp;DATOS!$I12737)</f>
      </c>
      <c r="G12737">
        <f>IF(DATOS!$A12737="",0,IF(CONFIG_METADATA!$B$4&lt;&gt;"OR+EX",--(DATOS!$G12737=CONFIG_METADATA!$B$4),IF(DATOS!$G12737="EX",1,IF(DATOS!$G12737="OR",--(COUNTIFS(nNIA,DATOS!$A12737,nCURSO,DATOS!$D12737,nESPEC,DATOS!$E12737,nASIG,DATOS!$I12737,nEVAL,"EX")=0),0))))</f>
      </c>
      <c r="H12737">
        <f>IF(DATOS!$G12737&lt;&gt;"EX",0,--(COUNTIFS(nNIA,DATOS!$A12737,nCURSO,DATOS!$D12737,nESPEC,DATOS!$E12737,nASIG,DATOS!$I12737,nEVAL,"OR")=0))</f>
      </c>
      <c r="I12737">
        <f>IF(DATOS!$I12737="","",IFERROR(VLOOKUP(DATOS!$I12737,CONFIG_ASIGNATURAS!$B$2:$J$91,9,FALSE()),""))</f>
      </c>
    </row>
    <row r="12738">
      <c r="F12738">
        <f>IF(DATOS!$A12738="","",DATOS!$A12738&amp;"|"&amp;DATOS!$D12738&amp;"|"&amp;DATOS!$E12738&amp;"|"&amp;DATOS!$I12738)</f>
      </c>
      <c r="G12738">
        <f>IF(DATOS!$A12738="",0,IF(CONFIG_METADATA!$B$4&lt;&gt;"OR+EX",--(DATOS!$G12738=CONFIG_METADATA!$B$4),IF(DATOS!$G12738="EX",1,IF(DATOS!$G12738="OR",--(COUNTIFS(nNIA,DATOS!$A12738,nCURSO,DATOS!$D12738,nESPEC,DATOS!$E12738,nASIG,DATOS!$I12738,nEVAL,"EX")=0),0))))</f>
      </c>
      <c r="H12738">
        <f>IF(DATOS!$G12738&lt;&gt;"EX",0,--(COUNTIFS(nNIA,DATOS!$A12738,nCURSO,DATOS!$D12738,nESPEC,DATOS!$E12738,nASIG,DATOS!$I12738,nEVAL,"OR")=0))</f>
      </c>
      <c r="I12738">
        <f>IF(DATOS!$I12738="","",IFERROR(VLOOKUP(DATOS!$I12738,CONFIG_ASIGNATURAS!$B$2:$J$91,9,FALSE()),""))</f>
      </c>
    </row>
    <row r="12739">
      <c r="F12739">
        <f>IF(DATOS!$A12739="","",DATOS!$A12739&amp;"|"&amp;DATOS!$D12739&amp;"|"&amp;DATOS!$E12739&amp;"|"&amp;DATOS!$I12739)</f>
      </c>
      <c r="G12739">
        <f>IF(DATOS!$A12739="",0,IF(CONFIG_METADATA!$B$4&lt;&gt;"OR+EX",--(DATOS!$G12739=CONFIG_METADATA!$B$4),IF(DATOS!$G12739="EX",1,IF(DATOS!$G12739="OR",--(COUNTIFS(nNIA,DATOS!$A12739,nCURSO,DATOS!$D12739,nESPEC,DATOS!$E12739,nASIG,DATOS!$I12739,nEVAL,"EX")=0),0))))</f>
      </c>
      <c r="H12739">
        <f>IF(DATOS!$G12739&lt;&gt;"EX",0,--(COUNTIFS(nNIA,DATOS!$A12739,nCURSO,DATOS!$D12739,nESPEC,DATOS!$E12739,nASIG,DATOS!$I12739,nEVAL,"OR")=0))</f>
      </c>
      <c r="I12739">
        <f>IF(DATOS!$I12739="","",IFERROR(VLOOKUP(DATOS!$I12739,CONFIG_ASIGNATURAS!$B$2:$J$91,9,FALSE()),""))</f>
      </c>
    </row>
    <row r="12740">
      <c r="F12740">
        <f>IF(DATOS!$A12740="","",DATOS!$A12740&amp;"|"&amp;DATOS!$D12740&amp;"|"&amp;DATOS!$E12740&amp;"|"&amp;DATOS!$I12740)</f>
      </c>
      <c r="G12740">
        <f>IF(DATOS!$A12740="",0,IF(CONFIG_METADATA!$B$4&lt;&gt;"OR+EX",--(DATOS!$G12740=CONFIG_METADATA!$B$4),IF(DATOS!$G12740="EX",1,IF(DATOS!$G12740="OR",--(COUNTIFS(nNIA,DATOS!$A12740,nCURSO,DATOS!$D12740,nESPEC,DATOS!$E12740,nASIG,DATOS!$I12740,nEVAL,"EX")=0),0))))</f>
      </c>
      <c r="H12740">
        <f>IF(DATOS!$G12740&lt;&gt;"EX",0,--(COUNTIFS(nNIA,DATOS!$A12740,nCURSO,DATOS!$D12740,nESPEC,DATOS!$E12740,nASIG,DATOS!$I12740,nEVAL,"OR")=0))</f>
      </c>
      <c r="I12740">
        <f>IF(DATOS!$I12740="","",IFERROR(VLOOKUP(DATOS!$I12740,CONFIG_ASIGNATURAS!$B$2:$J$91,9,FALSE()),""))</f>
      </c>
    </row>
    <row r="12741">
      <c r="F12741">
        <f>IF(DATOS!$A12741="","",DATOS!$A12741&amp;"|"&amp;DATOS!$D12741&amp;"|"&amp;DATOS!$E12741&amp;"|"&amp;DATOS!$I12741)</f>
      </c>
      <c r="G12741">
        <f>IF(DATOS!$A12741="",0,IF(CONFIG_METADATA!$B$4&lt;&gt;"OR+EX",--(DATOS!$G12741=CONFIG_METADATA!$B$4),IF(DATOS!$G12741="EX",1,IF(DATOS!$G12741="OR",--(COUNTIFS(nNIA,DATOS!$A12741,nCURSO,DATOS!$D12741,nESPEC,DATOS!$E12741,nASIG,DATOS!$I12741,nEVAL,"EX")=0),0))))</f>
      </c>
      <c r="H12741">
        <f>IF(DATOS!$G12741&lt;&gt;"EX",0,--(COUNTIFS(nNIA,DATOS!$A12741,nCURSO,DATOS!$D12741,nESPEC,DATOS!$E12741,nASIG,DATOS!$I12741,nEVAL,"OR")=0))</f>
      </c>
      <c r="I12741">
        <f>IF(DATOS!$I12741="","",IFERROR(VLOOKUP(DATOS!$I12741,CONFIG_ASIGNATURAS!$B$2:$J$91,9,FALSE()),""))</f>
      </c>
    </row>
    <row r="12742">
      <c r="F12742">
        <f>IF(DATOS!$A12742="","",DATOS!$A12742&amp;"|"&amp;DATOS!$D12742&amp;"|"&amp;DATOS!$E12742&amp;"|"&amp;DATOS!$I12742)</f>
      </c>
      <c r="G12742">
        <f>IF(DATOS!$A12742="",0,IF(CONFIG_METADATA!$B$4&lt;&gt;"OR+EX",--(DATOS!$G12742=CONFIG_METADATA!$B$4),IF(DATOS!$G12742="EX",1,IF(DATOS!$G12742="OR",--(COUNTIFS(nNIA,DATOS!$A12742,nCURSO,DATOS!$D12742,nESPEC,DATOS!$E12742,nASIG,DATOS!$I12742,nEVAL,"EX")=0),0))))</f>
      </c>
      <c r="H12742">
        <f>IF(DATOS!$G12742&lt;&gt;"EX",0,--(COUNTIFS(nNIA,DATOS!$A12742,nCURSO,DATOS!$D12742,nESPEC,DATOS!$E12742,nASIG,DATOS!$I12742,nEVAL,"OR")=0))</f>
      </c>
      <c r="I12742">
        <f>IF(DATOS!$I12742="","",IFERROR(VLOOKUP(DATOS!$I12742,CONFIG_ASIGNATURAS!$B$2:$J$91,9,FALSE()),""))</f>
      </c>
    </row>
    <row r="12743">
      <c r="F12743">
        <f>IF(DATOS!$A12743="","",DATOS!$A12743&amp;"|"&amp;DATOS!$D12743&amp;"|"&amp;DATOS!$E12743&amp;"|"&amp;DATOS!$I12743)</f>
      </c>
      <c r="G12743">
        <f>IF(DATOS!$A12743="",0,IF(CONFIG_METADATA!$B$4&lt;&gt;"OR+EX",--(DATOS!$G12743=CONFIG_METADATA!$B$4),IF(DATOS!$G12743="EX",1,IF(DATOS!$G12743="OR",--(COUNTIFS(nNIA,DATOS!$A12743,nCURSO,DATOS!$D12743,nESPEC,DATOS!$E12743,nASIG,DATOS!$I12743,nEVAL,"EX")=0),0))))</f>
      </c>
      <c r="H12743">
        <f>IF(DATOS!$G12743&lt;&gt;"EX",0,--(COUNTIFS(nNIA,DATOS!$A12743,nCURSO,DATOS!$D12743,nESPEC,DATOS!$E12743,nASIG,DATOS!$I12743,nEVAL,"OR")=0))</f>
      </c>
      <c r="I12743">
        <f>IF(DATOS!$I12743="","",IFERROR(VLOOKUP(DATOS!$I12743,CONFIG_ASIGNATURAS!$B$2:$J$91,9,FALSE()),""))</f>
      </c>
    </row>
    <row r="12744">
      <c r="F12744">
        <f>IF(DATOS!$A12744="","",DATOS!$A12744&amp;"|"&amp;DATOS!$D12744&amp;"|"&amp;DATOS!$E12744&amp;"|"&amp;DATOS!$I12744)</f>
      </c>
      <c r="G12744">
        <f>IF(DATOS!$A12744="",0,IF(CONFIG_METADATA!$B$4&lt;&gt;"OR+EX",--(DATOS!$G12744=CONFIG_METADATA!$B$4),IF(DATOS!$G12744="EX",1,IF(DATOS!$G12744="OR",--(COUNTIFS(nNIA,DATOS!$A12744,nCURSO,DATOS!$D12744,nESPEC,DATOS!$E12744,nASIG,DATOS!$I12744,nEVAL,"EX")=0),0))))</f>
      </c>
      <c r="H12744">
        <f>IF(DATOS!$G12744&lt;&gt;"EX",0,--(COUNTIFS(nNIA,DATOS!$A12744,nCURSO,DATOS!$D12744,nESPEC,DATOS!$E12744,nASIG,DATOS!$I12744,nEVAL,"OR")=0))</f>
      </c>
      <c r="I12744">
        <f>IF(DATOS!$I12744="","",IFERROR(VLOOKUP(DATOS!$I12744,CONFIG_ASIGNATURAS!$B$2:$J$91,9,FALSE()),""))</f>
      </c>
    </row>
    <row r="12745">
      <c r="F12745">
        <f>IF(DATOS!$A12745="","",DATOS!$A12745&amp;"|"&amp;DATOS!$D12745&amp;"|"&amp;DATOS!$E12745&amp;"|"&amp;DATOS!$I12745)</f>
      </c>
      <c r="G12745">
        <f>IF(DATOS!$A12745="",0,IF(CONFIG_METADATA!$B$4&lt;&gt;"OR+EX",--(DATOS!$G12745=CONFIG_METADATA!$B$4),IF(DATOS!$G12745="EX",1,IF(DATOS!$G12745="OR",--(COUNTIFS(nNIA,DATOS!$A12745,nCURSO,DATOS!$D12745,nESPEC,DATOS!$E12745,nASIG,DATOS!$I12745,nEVAL,"EX")=0),0))))</f>
      </c>
      <c r="H12745">
        <f>IF(DATOS!$G12745&lt;&gt;"EX",0,--(COUNTIFS(nNIA,DATOS!$A12745,nCURSO,DATOS!$D12745,nESPEC,DATOS!$E12745,nASIG,DATOS!$I12745,nEVAL,"OR")=0))</f>
      </c>
      <c r="I12745">
        <f>IF(DATOS!$I12745="","",IFERROR(VLOOKUP(DATOS!$I12745,CONFIG_ASIGNATURAS!$B$2:$J$91,9,FALSE()),""))</f>
      </c>
    </row>
    <row r="12746">
      <c r="F12746">
        <f>IF(DATOS!$A12746="","",DATOS!$A12746&amp;"|"&amp;DATOS!$D12746&amp;"|"&amp;DATOS!$E12746&amp;"|"&amp;DATOS!$I12746)</f>
      </c>
      <c r="G12746">
        <f>IF(DATOS!$A12746="",0,IF(CONFIG_METADATA!$B$4&lt;&gt;"OR+EX",--(DATOS!$G12746=CONFIG_METADATA!$B$4),IF(DATOS!$G12746="EX",1,IF(DATOS!$G12746="OR",--(COUNTIFS(nNIA,DATOS!$A12746,nCURSO,DATOS!$D12746,nESPEC,DATOS!$E12746,nASIG,DATOS!$I12746,nEVAL,"EX")=0),0))))</f>
      </c>
      <c r="H12746">
        <f>IF(DATOS!$G12746&lt;&gt;"EX",0,--(COUNTIFS(nNIA,DATOS!$A12746,nCURSO,DATOS!$D12746,nESPEC,DATOS!$E12746,nASIG,DATOS!$I12746,nEVAL,"OR")=0))</f>
      </c>
      <c r="I12746">
        <f>IF(DATOS!$I12746="","",IFERROR(VLOOKUP(DATOS!$I12746,CONFIG_ASIGNATURAS!$B$2:$J$91,9,FALSE()),""))</f>
      </c>
    </row>
    <row r="12747">
      <c r="F12747">
        <f>IF(DATOS!$A12747="","",DATOS!$A12747&amp;"|"&amp;DATOS!$D12747&amp;"|"&amp;DATOS!$E12747&amp;"|"&amp;DATOS!$I12747)</f>
      </c>
      <c r="G12747">
        <f>IF(DATOS!$A12747="",0,IF(CONFIG_METADATA!$B$4&lt;&gt;"OR+EX",--(DATOS!$G12747=CONFIG_METADATA!$B$4),IF(DATOS!$G12747="EX",1,IF(DATOS!$G12747="OR",--(COUNTIFS(nNIA,DATOS!$A12747,nCURSO,DATOS!$D12747,nESPEC,DATOS!$E12747,nASIG,DATOS!$I12747,nEVAL,"EX")=0),0))))</f>
      </c>
      <c r="H12747">
        <f>IF(DATOS!$G12747&lt;&gt;"EX",0,--(COUNTIFS(nNIA,DATOS!$A12747,nCURSO,DATOS!$D12747,nESPEC,DATOS!$E12747,nASIG,DATOS!$I12747,nEVAL,"OR")=0))</f>
      </c>
      <c r="I12747">
        <f>IF(DATOS!$I12747="","",IFERROR(VLOOKUP(DATOS!$I12747,CONFIG_ASIGNATURAS!$B$2:$J$91,9,FALSE()),""))</f>
      </c>
    </row>
    <row r="12748">
      <c r="F12748">
        <f>IF(DATOS!$A12748="","",DATOS!$A12748&amp;"|"&amp;DATOS!$D12748&amp;"|"&amp;DATOS!$E12748&amp;"|"&amp;DATOS!$I12748)</f>
      </c>
      <c r="G12748">
        <f>IF(DATOS!$A12748="",0,IF(CONFIG_METADATA!$B$4&lt;&gt;"OR+EX",--(DATOS!$G12748=CONFIG_METADATA!$B$4),IF(DATOS!$G12748="EX",1,IF(DATOS!$G12748="OR",--(COUNTIFS(nNIA,DATOS!$A12748,nCURSO,DATOS!$D12748,nESPEC,DATOS!$E12748,nASIG,DATOS!$I12748,nEVAL,"EX")=0),0))))</f>
      </c>
      <c r="H12748">
        <f>IF(DATOS!$G12748&lt;&gt;"EX",0,--(COUNTIFS(nNIA,DATOS!$A12748,nCURSO,DATOS!$D12748,nESPEC,DATOS!$E12748,nASIG,DATOS!$I12748,nEVAL,"OR")=0))</f>
      </c>
      <c r="I12748">
        <f>IF(DATOS!$I12748="","",IFERROR(VLOOKUP(DATOS!$I12748,CONFIG_ASIGNATURAS!$B$2:$J$91,9,FALSE()),""))</f>
      </c>
    </row>
    <row r="12749">
      <c r="F12749">
        <f>IF(DATOS!$A12749="","",DATOS!$A12749&amp;"|"&amp;DATOS!$D12749&amp;"|"&amp;DATOS!$E12749&amp;"|"&amp;DATOS!$I12749)</f>
      </c>
      <c r="G12749">
        <f>IF(DATOS!$A12749="",0,IF(CONFIG_METADATA!$B$4&lt;&gt;"OR+EX",--(DATOS!$G12749=CONFIG_METADATA!$B$4),IF(DATOS!$G12749="EX",1,IF(DATOS!$G12749="OR",--(COUNTIFS(nNIA,DATOS!$A12749,nCURSO,DATOS!$D12749,nESPEC,DATOS!$E12749,nASIG,DATOS!$I12749,nEVAL,"EX")=0),0))))</f>
      </c>
      <c r="H12749">
        <f>IF(DATOS!$G12749&lt;&gt;"EX",0,--(COUNTIFS(nNIA,DATOS!$A12749,nCURSO,DATOS!$D12749,nESPEC,DATOS!$E12749,nASIG,DATOS!$I12749,nEVAL,"OR")=0))</f>
      </c>
      <c r="I12749">
        <f>IF(DATOS!$I12749="","",IFERROR(VLOOKUP(DATOS!$I12749,CONFIG_ASIGNATURAS!$B$2:$J$91,9,FALSE()),""))</f>
      </c>
    </row>
    <row r="12750">
      <c r="F12750">
        <f>IF(DATOS!$A12750="","",DATOS!$A12750&amp;"|"&amp;DATOS!$D12750&amp;"|"&amp;DATOS!$E12750&amp;"|"&amp;DATOS!$I12750)</f>
      </c>
      <c r="G12750">
        <f>IF(DATOS!$A12750="",0,IF(CONFIG_METADATA!$B$4&lt;&gt;"OR+EX",--(DATOS!$G12750=CONFIG_METADATA!$B$4),IF(DATOS!$G12750="EX",1,IF(DATOS!$G12750="OR",--(COUNTIFS(nNIA,DATOS!$A12750,nCURSO,DATOS!$D12750,nESPEC,DATOS!$E12750,nASIG,DATOS!$I12750,nEVAL,"EX")=0),0))))</f>
      </c>
      <c r="H12750">
        <f>IF(DATOS!$G12750&lt;&gt;"EX",0,--(COUNTIFS(nNIA,DATOS!$A12750,nCURSO,DATOS!$D12750,nESPEC,DATOS!$E12750,nASIG,DATOS!$I12750,nEVAL,"OR")=0))</f>
      </c>
      <c r="I12750">
        <f>IF(DATOS!$I12750="","",IFERROR(VLOOKUP(DATOS!$I12750,CONFIG_ASIGNATURAS!$B$2:$J$91,9,FALSE()),""))</f>
      </c>
    </row>
    <row r="12751">
      <c r="F12751">
        <f>IF(DATOS!$A12751="","",DATOS!$A12751&amp;"|"&amp;DATOS!$D12751&amp;"|"&amp;DATOS!$E12751&amp;"|"&amp;DATOS!$I12751)</f>
      </c>
      <c r="G12751">
        <f>IF(DATOS!$A12751="",0,IF(CONFIG_METADATA!$B$4&lt;&gt;"OR+EX",--(DATOS!$G12751=CONFIG_METADATA!$B$4),IF(DATOS!$G12751="EX",1,IF(DATOS!$G12751="OR",--(COUNTIFS(nNIA,DATOS!$A12751,nCURSO,DATOS!$D12751,nESPEC,DATOS!$E12751,nASIG,DATOS!$I12751,nEVAL,"EX")=0),0))))</f>
      </c>
      <c r="H12751">
        <f>IF(DATOS!$G12751&lt;&gt;"EX",0,--(COUNTIFS(nNIA,DATOS!$A12751,nCURSO,DATOS!$D12751,nESPEC,DATOS!$E12751,nASIG,DATOS!$I12751,nEVAL,"OR")=0))</f>
      </c>
      <c r="I12751">
        <f>IF(DATOS!$I12751="","",IFERROR(VLOOKUP(DATOS!$I12751,CONFIG_ASIGNATURAS!$B$2:$J$91,9,FALSE()),""))</f>
      </c>
    </row>
    <row r="12752">
      <c r="F12752">
        <f>IF(DATOS!$A12752="","",DATOS!$A12752&amp;"|"&amp;DATOS!$D12752&amp;"|"&amp;DATOS!$E12752&amp;"|"&amp;DATOS!$I12752)</f>
      </c>
      <c r="G12752">
        <f>IF(DATOS!$A12752="",0,IF(CONFIG_METADATA!$B$4&lt;&gt;"OR+EX",--(DATOS!$G12752=CONFIG_METADATA!$B$4),IF(DATOS!$G12752="EX",1,IF(DATOS!$G12752="OR",--(COUNTIFS(nNIA,DATOS!$A12752,nCURSO,DATOS!$D12752,nESPEC,DATOS!$E12752,nASIG,DATOS!$I12752,nEVAL,"EX")=0),0))))</f>
      </c>
      <c r="H12752">
        <f>IF(DATOS!$G12752&lt;&gt;"EX",0,--(COUNTIFS(nNIA,DATOS!$A12752,nCURSO,DATOS!$D12752,nESPEC,DATOS!$E12752,nASIG,DATOS!$I12752,nEVAL,"OR")=0))</f>
      </c>
      <c r="I12752">
        <f>IF(DATOS!$I12752="","",IFERROR(VLOOKUP(DATOS!$I12752,CONFIG_ASIGNATURAS!$B$2:$J$91,9,FALSE()),""))</f>
      </c>
    </row>
    <row r="12753">
      <c r="F12753">
        <f>IF(DATOS!$A12753="","",DATOS!$A12753&amp;"|"&amp;DATOS!$D12753&amp;"|"&amp;DATOS!$E12753&amp;"|"&amp;DATOS!$I12753)</f>
      </c>
      <c r="G12753">
        <f>IF(DATOS!$A12753="",0,IF(CONFIG_METADATA!$B$4&lt;&gt;"OR+EX",--(DATOS!$G12753=CONFIG_METADATA!$B$4),IF(DATOS!$G12753="EX",1,IF(DATOS!$G12753="OR",--(COUNTIFS(nNIA,DATOS!$A12753,nCURSO,DATOS!$D12753,nESPEC,DATOS!$E12753,nASIG,DATOS!$I12753,nEVAL,"EX")=0),0))))</f>
      </c>
      <c r="H12753">
        <f>IF(DATOS!$G12753&lt;&gt;"EX",0,--(COUNTIFS(nNIA,DATOS!$A12753,nCURSO,DATOS!$D12753,nESPEC,DATOS!$E12753,nASIG,DATOS!$I12753,nEVAL,"OR")=0))</f>
      </c>
      <c r="I12753">
        <f>IF(DATOS!$I12753="","",IFERROR(VLOOKUP(DATOS!$I12753,CONFIG_ASIGNATURAS!$B$2:$J$91,9,FALSE()),""))</f>
      </c>
    </row>
    <row r="12754">
      <c r="F12754">
        <f>IF(DATOS!$A12754="","",DATOS!$A12754&amp;"|"&amp;DATOS!$D12754&amp;"|"&amp;DATOS!$E12754&amp;"|"&amp;DATOS!$I12754)</f>
      </c>
      <c r="G12754">
        <f>IF(DATOS!$A12754="",0,IF(CONFIG_METADATA!$B$4&lt;&gt;"OR+EX",--(DATOS!$G12754=CONFIG_METADATA!$B$4),IF(DATOS!$G12754="EX",1,IF(DATOS!$G12754="OR",--(COUNTIFS(nNIA,DATOS!$A12754,nCURSO,DATOS!$D12754,nESPEC,DATOS!$E12754,nASIG,DATOS!$I12754,nEVAL,"EX")=0),0))))</f>
      </c>
      <c r="H12754">
        <f>IF(DATOS!$G12754&lt;&gt;"EX",0,--(COUNTIFS(nNIA,DATOS!$A12754,nCURSO,DATOS!$D12754,nESPEC,DATOS!$E12754,nASIG,DATOS!$I12754,nEVAL,"OR")=0))</f>
      </c>
      <c r="I12754">
        <f>IF(DATOS!$I12754="","",IFERROR(VLOOKUP(DATOS!$I12754,CONFIG_ASIGNATURAS!$B$2:$J$91,9,FALSE()),""))</f>
      </c>
    </row>
    <row r="12755">
      <c r="F12755">
        <f>IF(DATOS!$A12755="","",DATOS!$A12755&amp;"|"&amp;DATOS!$D12755&amp;"|"&amp;DATOS!$E12755&amp;"|"&amp;DATOS!$I12755)</f>
      </c>
      <c r="G12755">
        <f>IF(DATOS!$A12755="",0,IF(CONFIG_METADATA!$B$4&lt;&gt;"OR+EX",--(DATOS!$G12755=CONFIG_METADATA!$B$4),IF(DATOS!$G12755="EX",1,IF(DATOS!$G12755="OR",--(COUNTIFS(nNIA,DATOS!$A12755,nCURSO,DATOS!$D12755,nESPEC,DATOS!$E12755,nASIG,DATOS!$I12755,nEVAL,"EX")=0),0))))</f>
      </c>
      <c r="H12755">
        <f>IF(DATOS!$G12755&lt;&gt;"EX",0,--(COUNTIFS(nNIA,DATOS!$A12755,nCURSO,DATOS!$D12755,nESPEC,DATOS!$E12755,nASIG,DATOS!$I12755,nEVAL,"OR")=0))</f>
      </c>
      <c r="I12755">
        <f>IF(DATOS!$I12755="","",IFERROR(VLOOKUP(DATOS!$I12755,CONFIG_ASIGNATURAS!$B$2:$J$91,9,FALSE()),""))</f>
      </c>
    </row>
    <row r="12756">
      <c r="F12756">
        <f>IF(DATOS!$A12756="","",DATOS!$A12756&amp;"|"&amp;DATOS!$D12756&amp;"|"&amp;DATOS!$E12756&amp;"|"&amp;DATOS!$I12756)</f>
      </c>
      <c r="G12756">
        <f>IF(DATOS!$A12756="",0,IF(CONFIG_METADATA!$B$4&lt;&gt;"OR+EX",--(DATOS!$G12756=CONFIG_METADATA!$B$4),IF(DATOS!$G12756="EX",1,IF(DATOS!$G12756="OR",--(COUNTIFS(nNIA,DATOS!$A12756,nCURSO,DATOS!$D12756,nESPEC,DATOS!$E12756,nASIG,DATOS!$I12756,nEVAL,"EX")=0),0))))</f>
      </c>
      <c r="H12756">
        <f>IF(DATOS!$G12756&lt;&gt;"EX",0,--(COUNTIFS(nNIA,DATOS!$A12756,nCURSO,DATOS!$D12756,nESPEC,DATOS!$E12756,nASIG,DATOS!$I12756,nEVAL,"OR")=0))</f>
      </c>
      <c r="I12756">
        <f>IF(DATOS!$I12756="","",IFERROR(VLOOKUP(DATOS!$I12756,CONFIG_ASIGNATURAS!$B$2:$J$91,9,FALSE()),""))</f>
      </c>
    </row>
    <row r="12757">
      <c r="F12757">
        <f>IF(DATOS!$A12757="","",DATOS!$A12757&amp;"|"&amp;DATOS!$D12757&amp;"|"&amp;DATOS!$E12757&amp;"|"&amp;DATOS!$I12757)</f>
      </c>
      <c r="G12757">
        <f>IF(DATOS!$A12757="",0,IF(CONFIG_METADATA!$B$4&lt;&gt;"OR+EX",--(DATOS!$G12757=CONFIG_METADATA!$B$4),IF(DATOS!$G12757="EX",1,IF(DATOS!$G12757="OR",--(COUNTIFS(nNIA,DATOS!$A12757,nCURSO,DATOS!$D12757,nESPEC,DATOS!$E12757,nASIG,DATOS!$I12757,nEVAL,"EX")=0),0))))</f>
      </c>
      <c r="H12757">
        <f>IF(DATOS!$G12757&lt;&gt;"EX",0,--(COUNTIFS(nNIA,DATOS!$A12757,nCURSO,DATOS!$D12757,nESPEC,DATOS!$E12757,nASIG,DATOS!$I12757,nEVAL,"OR")=0))</f>
      </c>
      <c r="I12757">
        <f>IF(DATOS!$I12757="","",IFERROR(VLOOKUP(DATOS!$I12757,CONFIG_ASIGNATURAS!$B$2:$J$91,9,FALSE()),""))</f>
      </c>
    </row>
    <row r="12758">
      <c r="F12758">
        <f>IF(DATOS!$A12758="","",DATOS!$A12758&amp;"|"&amp;DATOS!$D12758&amp;"|"&amp;DATOS!$E12758&amp;"|"&amp;DATOS!$I12758)</f>
      </c>
      <c r="G12758">
        <f>IF(DATOS!$A12758="",0,IF(CONFIG_METADATA!$B$4&lt;&gt;"OR+EX",--(DATOS!$G12758=CONFIG_METADATA!$B$4),IF(DATOS!$G12758="EX",1,IF(DATOS!$G12758="OR",--(COUNTIFS(nNIA,DATOS!$A12758,nCURSO,DATOS!$D12758,nESPEC,DATOS!$E12758,nASIG,DATOS!$I12758,nEVAL,"EX")=0),0))))</f>
      </c>
      <c r="H12758">
        <f>IF(DATOS!$G12758&lt;&gt;"EX",0,--(COUNTIFS(nNIA,DATOS!$A12758,nCURSO,DATOS!$D12758,nESPEC,DATOS!$E12758,nASIG,DATOS!$I12758,nEVAL,"OR")=0))</f>
      </c>
      <c r="I12758">
        <f>IF(DATOS!$I12758="","",IFERROR(VLOOKUP(DATOS!$I12758,CONFIG_ASIGNATURAS!$B$2:$J$91,9,FALSE()),""))</f>
      </c>
    </row>
    <row r="12759">
      <c r="F12759">
        <f>IF(DATOS!$A12759="","",DATOS!$A12759&amp;"|"&amp;DATOS!$D12759&amp;"|"&amp;DATOS!$E12759&amp;"|"&amp;DATOS!$I12759)</f>
      </c>
      <c r="G12759">
        <f>IF(DATOS!$A12759="",0,IF(CONFIG_METADATA!$B$4&lt;&gt;"OR+EX",--(DATOS!$G12759=CONFIG_METADATA!$B$4),IF(DATOS!$G12759="EX",1,IF(DATOS!$G12759="OR",--(COUNTIFS(nNIA,DATOS!$A12759,nCURSO,DATOS!$D12759,nESPEC,DATOS!$E12759,nASIG,DATOS!$I12759,nEVAL,"EX")=0),0))))</f>
      </c>
      <c r="H12759">
        <f>IF(DATOS!$G12759&lt;&gt;"EX",0,--(COUNTIFS(nNIA,DATOS!$A12759,nCURSO,DATOS!$D12759,nESPEC,DATOS!$E12759,nASIG,DATOS!$I12759,nEVAL,"OR")=0))</f>
      </c>
      <c r="I12759">
        <f>IF(DATOS!$I12759="","",IFERROR(VLOOKUP(DATOS!$I12759,CONFIG_ASIGNATURAS!$B$2:$J$91,9,FALSE()),""))</f>
      </c>
    </row>
    <row r="12760">
      <c r="F12760">
        <f>IF(DATOS!$A12760="","",DATOS!$A12760&amp;"|"&amp;DATOS!$D12760&amp;"|"&amp;DATOS!$E12760&amp;"|"&amp;DATOS!$I12760)</f>
      </c>
      <c r="G12760">
        <f>IF(DATOS!$A12760="",0,IF(CONFIG_METADATA!$B$4&lt;&gt;"OR+EX",--(DATOS!$G12760=CONFIG_METADATA!$B$4),IF(DATOS!$G12760="EX",1,IF(DATOS!$G12760="OR",--(COUNTIFS(nNIA,DATOS!$A12760,nCURSO,DATOS!$D12760,nESPEC,DATOS!$E12760,nASIG,DATOS!$I12760,nEVAL,"EX")=0),0))))</f>
      </c>
      <c r="H12760">
        <f>IF(DATOS!$G12760&lt;&gt;"EX",0,--(COUNTIFS(nNIA,DATOS!$A12760,nCURSO,DATOS!$D12760,nESPEC,DATOS!$E12760,nASIG,DATOS!$I12760,nEVAL,"OR")=0))</f>
      </c>
      <c r="I12760">
        <f>IF(DATOS!$I12760="","",IFERROR(VLOOKUP(DATOS!$I12760,CONFIG_ASIGNATURAS!$B$2:$J$91,9,FALSE()),""))</f>
      </c>
    </row>
    <row r="12761">
      <c r="F12761">
        <f>IF(DATOS!$A12761="","",DATOS!$A12761&amp;"|"&amp;DATOS!$D12761&amp;"|"&amp;DATOS!$E12761&amp;"|"&amp;DATOS!$I12761)</f>
      </c>
      <c r="G12761">
        <f>IF(DATOS!$A12761="",0,IF(CONFIG_METADATA!$B$4&lt;&gt;"OR+EX",--(DATOS!$G12761=CONFIG_METADATA!$B$4),IF(DATOS!$G12761="EX",1,IF(DATOS!$G12761="OR",--(COUNTIFS(nNIA,DATOS!$A12761,nCURSO,DATOS!$D12761,nESPEC,DATOS!$E12761,nASIG,DATOS!$I12761,nEVAL,"EX")=0),0))))</f>
      </c>
      <c r="H12761">
        <f>IF(DATOS!$G12761&lt;&gt;"EX",0,--(COUNTIFS(nNIA,DATOS!$A12761,nCURSO,DATOS!$D12761,nESPEC,DATOS!$E12761,nASIG,DATOS!$I12761,nEVAL,"OR")=0))</f>
      </c>
      <c r="I12761">
        <f>IF(DATOS!$I12761="","",IFERROR(VLOOKUP(DATOS!$I12761,CONFIG_ASIGNATURAS!$B$2:$J$91,9,FALSE()),""))</f>
      </c>
    </row>
    <row r="12762">
      <c r="F12762">
        <f>IF(DATOS!$A12762="","",DATOS!$A12762&amp;"|"&amp;DATOS!$D12762&amp;"|"&amp;DATOS!$E12762&amp;"|"&amp;DATOS!$I12762)</f>
      </c>
      <c r="G12762">
        <f>IF(DATOS!$A12762="",0,IF(CONFIG_METADATA!$B$4&lt;&gt;"OR+EX",--(DATOS!$G12762=CONFIG_METADATA!$B$4),IF(DATOS!$G12762="EX",1,IF(DATOS!$G12762="OR",--(COUNTIFS(nNIA,DATOS!$A12762,nCURSO,DATOS!$D12762,nESPEC,DATOS!$E12762,nASIG,DATOS!$I12762,nEVAL,"EX")=0),0))))</f>
      </c>
      <c r="H12762">
        <f>IF(DATOS!$G12762&lt;&gt;"EX",0,--(COUNTIFS(nNIA,DATOS!$A12762,nCURSO,DATOS!$D12762,nESPEC,DATOS!$E12762,nASIG,DATOS!$I12762,nEVAL,"OR")=0))</f>
      </c>
      <c r="I12762">
        <f>IF(DATOS!$I12762="","",IFERROR(VLOOKUP(DATOS!$I12762,CONFIG_ASIGNATURAS!$B$2:$J$91,9,FALSE()),""))</f>
      </c>
    </row>
    <row r="12763">
      <c r="F12763">
        <f>IF(DATOS!$A12763="","",DATOS!$A12763&amp;"|"&amp;DATOS!$D12763&amp;"|"&amp;DATOS!$E12763&amp;"|"&amp;DATOS!$I12763)</f>
      </c>
      <c r="G12763">
        <f>IF(DATOS!$A12763="",0,IF(CONFIG_METADATA!$B$4&lt;&gt;"OR+EX",--(DATOS!$G12763=CONFIG_METADATA!$B$4),IF(DATOS!$G12763="EX",1,IF(DATOS!$G12763="OR",--(COUNTIFS(nNIA,DATOS!$A12763,nCURSO,DATOS!$D12763,nESPEC,DATOS!$E12763,nASIG,DATOS!$I12763,nEVAL,"EX")=0),0))))</f>
      </c>
      <c r="H12763">
        <f>IF(DATOS!$G12763&lt;&gt;"EX",0,--(COUNTIFS(nNIA,DATOS!$A12763,nCURSO,DATOS!$D12763,nESPEC,DATOS!$E12763,nASIG,DATOS!$I12763,nEVAL,"OR")=0))</f>
      </c>
      <c r="I12763">
        <f>IF(DATOS!$I12763="","",IFERROR(VLOOKUP(DATOS!$I12763,CONFIG_ASIGNATURAS!$B$2:$J$91,9,FALSE()),""))</f>
      </c>
    </row>
    <row r="12764">
      <c r="F12764">
        <f>IF(DATOS!$A12764="","",DATOS!$A12764&amp;"|"&amp;DATOS!$D12764&amp;"|"&amp;DATOS!$E12764&amp;"|"&amp;DATOS!$I12764)</f>
      </c>
      <c r="G12764">
        <f>IF(DATOS!$A12764="",0,IF(CONFIG_METADATA!$B$4&lt;&gt;"OR+EX",--(DATOS!$G12764=CONFIG_METADATA!$B$4),IF(DATOS!$G12764="EX",1,IF(DATOS!$G12764="OR",--(COUNTIFS(nNIA,DATOS!$A12764,nCURSO,DATOS!$D12764,nESPEC,DATOS!$E12764,nASIG,DATOS!$I12764,nEVAL,"EX")=0),0))))</f>
      </c>
      <c r="H12764">
        <f>IF(DATOS!$G12764&lt;&gt;"EX",0,--(COUNTIFS(nNIA,DATOS!$A12764,nCURSO,DATOS!$D12764,nESPEC,DATOS!$E12764,nASIG,DATOS!$I12764,nEVAL,"OR")=0))</f>
      </c>
      <c r="I12764">
        <f>IF(DATOS!$I12764="","",IFERROR(VLOOKUP(DATOS!$I12764,CONFIG_ASIGNATURAS!$B$2:$J$91,9,FALSE()),""))</f>
      </c>
    </row>
    <row r="12765">
      <c r="F12765">
        <f>IF(DATOS!$A12765="","",DATOS!$A12765&amp;"|"&amp;DATOS!$D12765&amp;"|"&amp;DATOS!$E12765&amp;"|"&amp;DATOS!$I12765)</f>
      </c>
      <c r="G12765">
        <f>IF(DATOS!$A12765="",0,IF(CONFIG_METADATA!$B$4&lt;&gt;"OR+EX",--(DATOS!$G12765=CONFIG_METADATA!$B$4),IF(DATOS!$G12765="EX",1,IF(DATOS!$G12765="OR",--(COUNTIFS(nNIA,DATOS!$A12765,nCURSO,DATOS!$D12765,nESPEC,DATOS!$E12765,nASIG,DATOS!$I12765,nEVAL,"EX")=0),0))))</f>
      </c>
      <c r="H12765">
        <f>IF(DATOS!$G12765&lt;&gt;"EX",0,--(COUNTIFS(nNIA,DATOS!$A12765,nCURSO,DATOS!$D12765,nESPEC,DATOS!$E12765,nASIG,DATOS!$I12765,nEVAL,"OR")=0))</f>
      </c>
      <c r="I12765">
        <f>IF(DATOS!$I12765="","",IFERROR(VLOOKUP(DATOS!$I12765,CONFIG_ASIGNATURAS!$B$2:$J$91,9,FALSE()),""))</f>
      </c>
    </row>
    <row r="12766">
      <c r="F12766">
        <f>IF(DATOS!$A12766="","",DATOS!$A12766&amp;"|"&amp;DATOS!$D12766&amp;"|"&amp;DATOS!$E12766&amp;"|"&amp;DATOS!$I12766)</f>
      </c>
      <c r="G12766">
        <f>IF(DATOS!$A12766="",0,IF(CONFIG_METADATA!$B$4&lt;&gt;"OR+EX",--(DATOS!$G12766=CONFIG_METADATA!$B$4),IF(DATOS!$G12766="EX",1,IF(DATOS!$G12766="OR",--(COUNTIFS(nNIA,DATOS!$A12766,nCURSO,DATOS!$D12766,nESPEC,DATOS!$E12766,nASIG,DATOS!$I12766,nEVAL,"EX")=0),0))))</f>
      </c>
      <c r="H12766">
        <f>IF(DATOS!$G12766&lt;&gt;"EX",0,--(COUNTIFS(nNIA,DATOS!$A12766,nCURSO,DATOS!$D12766,nESPEC,DATOS!$E12766,nASIG,DATOS!$I12766,nEVAL,"OR")=0))</f>
      </c>
      <c r="I12766">
        <f>IF(DATOS!$I12766="","",IFERROR(VLOOKUP(DATOS!$I12766,CONFIG_ASIGNATURAS!$B$2:$J$91,9,FALSE()),""))</f>
      </c>
    </row>
    <row r="12767">
      <c r="F12767">
        <f>IF(DATOS!$A12767="","",DATOS!$A12767&amp;"|"&amp;DATOS!$D12767&amp;"|"&amp;DATOS!$E12767&amp;"|"&amp;DATOS!$I12767)</f>
      </c>
      <c r="G12767">
        <f>IF(DATOS!$A12767="",0,IF(CONFIG_METADATA!$B$4&lt;&gt;"OR+EX",--(DATOS!$G12767=CONFIG_METADATA!$B$4),IF(DATOS!$G12767="EX",1,IF(DATOS!$G12767="OR",--(COUNTIFS(nNIA,DATOS!$A12767,nCURSO,DATOS!$D12767,nESPEC,DATOS!$E12767,nASIG,DATOS!$I12767,nEVAL,"EX")=0),0))))</f>
      </c>
      <c r="H12767">
        <f>IF(DATOS!$G12767&lt;&gt;"EX",0,--(COUNTIFS(nNIA,DATOS!$A12767,nCURSO,DATOS!$D12767,nESPEC,DATOS!$E12767,nASIG,DATOS!$I12767,nEVAL,"OR")=0))</f>
      </c>
      <c r="I12767">
        <f>IF(DATOS!$I12767="","",IFERROR(VLOOKUP(DATOS!$I12767,CONFIG_ASIGNATURAS!$B$2:$J$91,9,FALSE()),""))</f>
      </c>
    </row>
    <row r="12768">
      <c r="F12768">
        <f>IF(DATOS!$A12768="","",DATOS!$A12768&amp;"|"&amp;DATOS!$D12768&amp;"|"&amp;DATOS!$E12768&amp;"|"&amp;DATOS!$I12768)</f>
      </c>
      <c r="G12768">
        <f>IF(DATOS!$A12768="",0,IF(CONFIG_METADATA!$B$4&lt;&gt;"OR+EX",--(DATOS!$G12768=CONFIG_METADATA!$B$4),IF(DATOS!$G12768="EX",1,IF(DATOS!$G12768="OR",--(COUNTIFS(nNIA,DATOS!$A12768,nCURSO,DATOS!$D12768,nESPEC,DATOS!$E12768,nASIG,DATOS!$I12768,nEVAL,"EX")=0),0))))</f>
      </c>
      <c r="H12768">
        <f>IF(DATOS!$G12768&lt;&gt;"EX",0,--(COUNTIFS(nNIA,DATOS!$A12768,nCURSO,DATOS!$D12768,nESPEC,DATOS!$E12768,nASIG,DATOS!$I12768,nEVAL,"OR")=0))</f>
      </c>
      <c r="I12768">
        <f>IF(DATOS!$I12768="","",IFERROR(VLOOKUP(DATOS!$I12768,CONFIG_ASIGNATURAS!$B$2:$J$91,9,FALSE()),""))</f>
      </c>
    </row>
    <row r="12769">
      <c r="F12769">
        <f>IF(DATOS!$A12769="","",DATOS!$A12769&amp;"|"&amp;DATOS!$D12769&amp;"|"&amp;DATOS!$E12769&amp;"|"&amp;DATOS!$I12769)</f>
      </c>
      <c r="G12769">
        <f>IF(DATOS!$A12769="",0,IF(CONFIG_METADATA!$B$4&lt;&gt;"OR+EX",--(DATOS!$G12769=CONFIG_METADATA!$B$4),IF(DATOS!$G12769="EX",1,IF(DATOS!$G12769="OR",--(COUNTIFS(nNIA,DATOS!$A12769,nCURSO,DATOS!$D12769,nESPEC,DATOS!$E12769,nASIG,DATOS!$I12769,nEVAL,"EX")=0),0))))</f>
      </c>
      <c r="H12769">
        <f>IF(DATOS!$G12769&lt;&gt;"EX",0,--(COUNTIFS(nNIA,DATOS!$A12769,nCURSO,DATOS!$D12769,nESPEC,DATOS!$E12769,nASIG,DATOS!$I12769,nEVAL,"OR")=0))</f>
      </c>
      <c r="I12769">
        <f>IF(DATOS!$I12769="","",IFERROR(VLOOKUP(DATOS!$I12769,CONFIG_ASIGNATURAS!$B$2:$J$91,9,FALSE()),""))</f>
      </c>
    </row>
    <row r="12770">
      <c r="F12770">
        <f>IF(DATOS!$A12770="","",DATOS!$A12770&amp;"|"&amp;DATOS!$D12770&amp;"|"&amp;DATOS!$E12770&amp;"|"&amp;DATOS!$I12770)</f>
      </c>
      <c r="G12770">
        <f>IF(DATOS!$A12770="",0,IF(CONFIG_METADATA!$B$4&lt;&gt;"OR+EX",--(DATOS!$G12770=CONFIG_METADATA!$B$4),IF(DATOS!$G12770="EX",1,IF(DATOS!$G12770="OR",--(COUNTIFS(nNIA,DATOS!$A12770,nCURSO,DATOS!$D12770,nESPEC,DATOS!$E12770,nASIG,DATOS!$I12770,nEVAL,"EX")=0),0))))</f>
      </c>
      <c r="H12770">
        <f>IF(DATOS!$G12770&lt;&gt;"EX",0,--(COUNTIFS(nNIA,DATOS!$A12770,nCURSO,DATOS!$D12770,nESPEC,DATOS!$E12770,nASIG,DATOS!$I12770,nEVAL,"OR")=0))</f>
      </c>
      <c r="I12770">
        <f>IF(DATOS!$I12770="","",IFERROR(VLOOKUP(DATOS!$I12770,CONFIG_ASIGNATURAS!$B$2:$J$91,9,FALSE()),""))</f>
      </c>
    </row>
    <row r="12771">
      <c r="F12771">
        <f>IF(DATOS!$A12771="","",DATOS!$A12771&amp;"|"&amp;DATOS!$D12771&amp;"|"&amp;DATOS!$E12771&amp;"|"&amp;DATOS!$I12771)</f>
      </c>
      <c r="G12771">
        <f>IF(DATOS!$A12771="",0,IF(CONFIG_METADATA!$B$4&lt;&gt;"OR+EX",--(DATOS!$G12771=CONFIG_METADATA!$B$4),IF(DATOS!$G12771="EX",1,IF(DATOS!$G12771="OR",--(COUNTIFS(nNIA,DATOS!$A12771,nCURSO,DATOS!$D12771,nESPEC,DATOS!$E12771,nASIG,DATOS!$I12771,nEVAL,"EX")=0),0))))</f>
      </c>
      <c r="H12771">
        <f>IF(DATOS!$G12771&lt;&gt;"EX",0,--(COUNTIFS(nNIA,DATOS!$A12771,nCURSO,DATOS!$D12771,nESPEC,DATOS!$E12771,nASIG,DATOS!$I12771,nEVAL,"OR")=0))</f>
      </c>
      <c r="I12771">
        <f>IF(DATOS!$I12771="","",IFERROR(VLOOKUP(DATOS!$I12771,CONFIG_ASIGNATURAS!$B$2:$J$91,9,FALSE()),""))</f>
      </c>
    </row>
    <row r="12772">
      <c r="F12772">
        <f>IF(DATOS!$A12772="","",DATOS!$A12772&amp;"|"&amp;DATOS!$D12772&amp;"|"&amp;DATOS!$E12772&amp;"|"&amp;DATOS!$I12772)</f>
      </c>
      <c r="G12772">
        <f>IF(DATOS!$A12772="",0,IF(CONFIG_METADATA!$B$4&lt;&gt;"OR+EX",--(DATOS!$G12772=CONFIG_METADATA!$B$4),IF(DATOS!$G12772="EX",1,IF(DATOS!$G12772="OR",--(COUNTIFS(nNIA,DATOS!$A12772,nCURSO,DATOS!$D12772,nESPEC,DATOS!$E12772,nASIG,DATOS!$I12772,nEVAL,"EX")=0),0))))</f>
      </c>
      <c r="H12772">
        <f>IF(DATOS!$G12772&lt;&gt;"EX",0,--(COUNTIFS(nNIA,DATOS!$A12772,nCURSO,DATOS!$D12772,nESPEC,DATOS!$E12772,nASIG,DATOS!$I12772,nEVAL,"OR")=0))</f>
      </c>
      <c r="I12772">
        <f>IF(DATOS!$I12772="","",IFERROR(VLOOKUP(DATOS!$I12772,CONFIG_ASIGNATURAS!$B$2:$J$91,9,FALSE()),""))</f>
      </c>
    </row>
    <row r="12773">
      <c r="F12773">
        <f>IF(DATOS!$A12773="","",DATOS!$A12773&amp;"|"&amp;DATOS!$D12773&amp;"|"&amp;DATOS!$E12773&amp;"|"&amp;DATOS!$I12773)</f>
      </c>
      <c r="G12773">
        <f>IF(DATOS!$A12773="",0,IF(CONFIG_METADATA!$B$4&lt;&gt;"OR+EX",--(DATOS!$G12773=CONFIG_METADATA!$B$4),IF(DATOS!$G12773="EX",1,IF(DATOS!$G12773="OR",--(COUNTIFS(nNIA,DATOS!$A12773,nCURSO,DATOS!$D12773,nESPEC,DATOS!$E12773,nASIG,DATOS!$I12773,nEVAL,"EX")=0),0))))</f>
      </c>
      <c r="H12773">
        <f>IF(DATOS!$G12773&lt;&gt;"EX",0,--(COUNTIFS(nNIA,DATOS!$A12773,nCURSO,DATOS!$D12773,nESPEC,DATOS!$E12773,nASIG,DATOS!$I12773,nEVAL,"OR")=0))</f>
      </c>
      <c r="I12773">
        <f>IF(DATOS!$I12773="","",IFERROR(VLOOKUP(DATOS!$I12773,CONFIG_ASIGNATURAS!$B$2:$J$91,9,FALSE()),""))</f>
      </c>
    </row>
    <row r="12774">
      <c r="F12774">
        <f>IF(DATOS!$A12774="","",DATOS!$A12774&amp;"|"&amp;DATOS!$D12774&amp;"|"&amp;DATOS!$E12774&amp;"|"&amp;DATOS!$I12774)</f>
      </c>
      <c r="G12774">
        <f>IF(DATOS!$A12774="",0,IF(CONFIG_METADATA!$B$4&lt;&gt;"OR+EX",--(DATOS!$G12774=CONFIG_METADATA!$B$4),IF(DATOS!$G12774="EX",1,IF(DATOS!$G12774="OR",--(COUNTIFS(nNIA,DATOS!$A12774,nCURSO,DATOS!$D12774,nESPEC,DATOS!$E12774,nASIG,DATOS!$I12774,nEVAL,"EX")=0),0))))</f>
      </c>
      <c r="H12774">
        <f>IF(DATOS!$G12774&lt;&gt;"EX",0,--(COUNTIFS(nNIA,DATOS!$A12774,nCURSO,DATOS!$D12774,nESPEC,DATOS!$E12774,nASIG,DATOS!$I12774,nEVAL,"OR")=0))</f>
      </c>
      <c r="I12774">
        <f>IF(DATOS!$I12774="","",IFERROR(VLOOKUP(DATOS!$I12774,CONFIG_ASIGNATURAS!$B$2:$J$91,9,FALSE()),""))</f>
      </c>
    </row>
    <row r="12775">
      <c r="F12775">
        <f>IF(DATOS!$A12775="","",DATOS!$A12775&amp;"|"&amp;DATOS!$D12775&amp;"|"&amp;DATOS!$E12775&amp;"|"&amp;DATOS!$I12775)</f>
      </c>
      <c r="G12775">
        <f>IF(DATOS!$A12775="",0,IF(CONFIG_METADATA!$B$4&lt;&gt;"OR+EX",--(DATOS!$G12775=CONFIG_METADATA!$B$4),IF(DATOS!$G12775="EX",1,IF(DATOS!$G12775="OR",--(COUNTIFS(nNIA,DATOS!$A12775,nCURSO,DATOS!$D12775,nESPEC,DATOS!$E12775,nASIG,DATOS!$I12775,nEVAL,"EX")=0),0))))</f>
      </c>
      <c r="H12775">
        <f>IF(DATOS!$G12775&lt;&gt;"EX",0,--(COUNTIFS(nNIA,DATOS!$A12775,nCURSO,DATOS!$D12775,nESPEC,DATOS!$E12775,nASIG,DATOS!$I12775,nEVAL,"OR")=0))</f>
      </c>
      <c r="I12775">
        <f>IF(DATOS!$I12775="","",IFERROR(VLOOKUP(DATOS!$I12775,CONFIG_ASIGNATURAS!$B$2:$J$91,9,FALSE()),""))</f>
      </c>
    </row>
    <row r="12776">
      <c r="F12776">
        <f>IF(DATOS!$A12776="","",DATOS!$A12776&amp;"|"&amp;DATOS!$D12776&amp;"|"&amp;DATOS!$E12776&amp;"|"&amp;DATOS!$I12776)</f>
      </c>
      <c r="G12776">
        <f>IF(DATOS!$A12776="",0,IF(CONFIG_METADATA!$B$4&lt;&gt;"OR+EX",--(DATOS!$G12776=CONFIG_METADATA!$B$4),IF(DATOS!$G12776="EX",1,IF(DATOS!$G12776="OR",--(COUNTIFS(nNIA,DATOS!$A12776,nCURSO,DATOS!$D12776,nESPEC,DATOS!$E12776,nASIG,DATOS!$I12776,nEVAL,"EX")=0),0))))</f>
      </c>
      <c r="H12776">
        <f>IF(DATOS!$G12776&lt;&gt;"EX",0,--(COUNTIFS(nNIA,DATOS!$A12776,nCURSO,DATOS!$D12776,nESPEC,DATOS!$E12776,nASIG,DATOS!$I12776,nEVAL,"OR")=0))</f>
      </c>
      <c r="I12776">
        <f>IF(DATOS!$I12776="","",IFERROR(VLOOKUP(DATOS!$I12776,CONFIG_ASIGNATURAS!$B$2:$J$91,9,FALSE()),""))</f>
      </c>
    </row>
    <row r="12777">
      <c r="F12777">
        <f>IF(DATOS!$A12777="","",DATOS!$A12777&amp;"|"&amp;DATOS!$D12777&amp;"|"&amp;DATOS!$E12777&amp;"|"&amp;DATOS!$I12777)</f>
      </c>
      <c r="G12777">
        <f>IF(DATOS!$A12777="",0,IF(CONFIG_METADATA!$B$4&lt;&gt;"OR+EX",--(DATOS!$G12777=CONFIG_METADATA!$B$4),IF(DATOS!$G12777="EX",1,IF(DATOS!$G12777="OR",--(COUNTIFS(nNIA,DATOS!$A12777,nCURSO,DATOS!$D12777,nESPEC,DATOS!$E12777,nASIG,DATOS!$I12777,nEVAL,"EX")=0),0))))</f>
      </c>
      <c r="H12777">
        <f>IF(DATOS!$G12777&lt;&gt;"EX",0,--(COUNTIFS(nNIA,DATOS!$A12777,nCURSO,DATOS!$D12777,nESPEC,DATOS!$E12777,nASIG,DATOS!$I12777,nEVAL,"OR")=0))</f>
      </c>
      <c r="I12777">
        <f>IF(DATOS!$I12777="","",IFERROR(VLOOKUP(DATOS!$I12777,CONFIG_ASIGNATURAS!$B$2:$J$91,9,FALSE()),""))</f>
      </c>
    </row>
    <row r="12778">
      <c r="F12778">
        <f>IF(DATOS!$A12778="","",DATOS!$A12778&amp;"|"&amp;DATOS!$D12778&amp;"|"&amp;DATOS!$E12778&amp;"|"&amp;DATOS!$I12778)</f>
      </c>
      <c r="G12778">
        <f>IF(DATOS!$A12778="",0,IF(CONFIG_METADATA!$B$4&lt;&gt;"OR+EX",--(DATOS!$G12778=CONFIG_METADATA!$B$4),IF(DATOS!$G12778="EX",1,IF(DATOS!$G12778="OR",--(COUNTIFS(nNIA,DATOS!$A12778,nCURSO,DATOS!$D12778,nESPEC,DATOS!$E12778,nASIG,DATOS!$I12778,nEVAL,"EX")=0),0))))</f>
      </c>
      <c r="H12778">
        <f>IF(DATOS!$G12778&lt;&gt;"EX",0,--(COUNTIFS(nNIA,DATOS!$A12778,nCURSO,DATOS!$D12778,nESPEC,DATOS!$E12778,nASIG,DATOS!$I12778,nEVAL,"OR")=0))</f>
      </c>
      <c r="I12778">
        <f>IF(DATOS!$I12778="","",IFERROR(VLOOKUP(DATOS!$I12778,CONFIG_ASIGNATURAS!$B$2:$J$91,9,FALSE()),""))</f>
      </c>
    </row>
    <row r="12779">
      <c r="F12779">
        <f>IF(DATOS!$A12779="","",DATOS!$A12779&amp;"|"&amp;DATOS!$D12779&amp;"|"&amp;DATOS!$E12779&amp;"|"&amp;DATOS!$I12779)</f>
      </c>
      <c r="G12779">
        <f>IF(DATOS!$A12779="",0,IF(CONFIG_METADATA!$B$4&lt;&gt;"OR+EX",--(DATOS!$G12779=CONFIG_METADATA!$B$4),IF(DATOS!$G12779="EX",1,IF(DATOS!$G12779="OR",--(COUNTIFS(nNIA,DATOS!$A12779,nCURSO,DATOS!$D12779,nESPEC,DATOS!$E12779,nASIG,DATOS!$I12779,nEVAL,"EX")=0),0))))</f>
      </c>
      <c r="H12779">
        <f>IF(DATOS!$G12779&lt;&gt;"EX",0,--(COUNTIFS(nNIA,DATOS!$A12779,nCURSO,DATOS!$D12779,nESPEC,DATOS!$E12779,nASIG,DATOS!$I12779,nEVAL,"OR")=0))</f>
      </c>
      <c r="I12779">
        <f>IF(DATOS!$I12779="","",IFERROR(VLOOKUP(DATOS!$I12779,CONFIG_ASIGNATURAS!$B$2:$J$91,9,FALSE()),""))</f>
      </c>
    </row>
    <row r="12780">
      <c r="F12780">
        <f>IF(DATOS!$A12780="","",DATOS!$A12780&amp;"|"&amp;DATOS!$D12780&amp;"|"&amp;DATOS!$E12780&amp;"|"&amp;DATOS!$I12780)</f>
      </c>
      <c r="G12780">
        <f>IF(DATOS!$A12780="",0,IF(CONFIG_METADATA!$B$4&lt;&gt;"OR+EX",--(DATOS!$G12780=CONFIG_METADATA!$B$4),IF(DATOS!$G12780="EX",1,IF(DATOS!$G12780="OR",--(COUNTIFS(nNIA,DATOS!$A12780,nCURSO,DATOS!$D12780,nESPEC,DATOS!$E12780,nASIG,DATOS!$I12780,nEVAL,"EX")=0),0))))</f>
      </c>
      <c r="H12780">
        <f>IF(DATOS!$G12780&lt;&gt;"EX",0,--(COUNTIFS(nNIA,DATOS!$A12780,nCURSO,DATOS!$D12780,nESPEC,DATOS!$E12780,nASIG,DATOS!$I12780,nEVAL,"OR")=0))</f>
      </c>
      <c r="I12780">
        <f>IF(DATOS!$I12780="","",IFERROR(VLOOKUP(DATOS!$I12780,CONFIG_ASIGNATURAS!$B$2:$J$91,9,FALSE()),""))</f>
      </c>
    </row>
    <row r="12781">
      <c r="F12781">
        <f>IF(DATOS!$A12781="","",DATOS!$A12781&amp;"|"&amp;DATOS!$D12781&amp;"|"&amp;DATOS!$E12781&amp;"|"&amp;DATOS!$I12781)</f>
      </c>
      <c r="G12781">
        <f>IF(DATOS!$A12781="",0,IF(CONFIG_METADATA!$B$4&lt;&gt;"OR+EX",--(DATOS!$G12781=CONFIG_METADATA!$B$4),IF(DATOS!$G12781="EX",1,IF(DATOS!$G12781="OR",--(COUNTIFS(nNIA,DATOS!$A12781,nCURSO,DATOS!$D12781,nESPEC,DATOS!$E12781,nASIG,DATOS!$I12781,nEVAL,"EX")=0),0))))</f>
      </c>
      <c r="H12781">
        <f>IF(DATOS!$G12781&lt;&gt;"EX",0,--(COUNTIFS(nNIA,DATOS!$A12781,nCURSO,DATOS!$D12781,nESPEC,DATOS!$E12781,nASIG,DATOS!$I12781,nEVAL,"OR")=0))</f>
      </c>
      <c r="I12781">
        <f>IF(DATOS!$I12781="","",IFERROR(VLOOKUP(DATOS!$I12781,CONFIG_ASIGNATURAS!$B$2:$J$91,9,FALSE()),""))</f>
      </c>
    </row>
    <row r="12782">
      <c r="F12782">
        <f>IF(DATOS!$A12782="","",DATOS!$A12782&amp;"|"&amp;DATOS!$D12782&amp;"|"&amp;DATOS!$E12782&amp;"|"&amp;DATOS!$I12782)</f>
      </c>
      <c r="G12782">
        <f>IF(DATOS!$A12782="",0,IF(CONFIG_METADATA!$B$4&lt;&gt;"OR+EX",--(DATOS!$G12782=CONFIG_METADATA!$B$4),IF(DATOS!$G12782="EX",1,IF(DATOS!$G12782="OR",--(COUNTIFS(nNIA,DATOS!$A12782,nCURSO,DATOS!$D12782,nESPEC,DATOS!$E12782,nASIG,DATOS!$I12782,nEVAL,"EX")=0),0))))</f>
      </c>
      <c r="H12782">
        <f>IF(DATOS!$G12782&lt;&gt;"EX",0,--(COUNTIFS(nNIA,DATOS!$A12782,nCURSO,DATOS!$D12782,nESPEC,DATOS!$E12782,nASIG,DATOS!$I12782,nEVAL,"OR")=0))</f>
      </c>
      <c r="I12782">
        <f>IF(DATOS!$I12782="","",IFERROR(VLOOKUP(DATOS!$I12782,CONFIG_ASIGNATURAS!$B$2:$J$91,9,FALSE()),""))</f>
      </c>
    </row>
    <row r="12783">
      <c r="F12783">
        <f>IF(DATOS!$A12783="","",DATOS!$A12783&amp;"|"&amp;DATOS!$D12783&amp;"|"&amp;DATOS!$E12783&amp;"|"&amp;DATOS!$I12783)</f>
      </c>
      <c r="G12783">
        <f>IF(DATOS!$A12783="",0,IF(CONFIG_METADATA!$B$4&lt;&gt;"OR+EX",--(DATOS!$G12783=CONFIG_METADATA!$B$4),IF(DATOS!$G12783="EX",1,IF(DATOS!$G12783="OR",--(COUNTIFS(nNIA,DATOS!$A12783,nCURSO,DATOS!$D12783,nESPEC,DATOS!$E12783,nASIG,DATOS!$I12783,nEVAL,"EX")=0),0))))</f>
      </c>
      <c r="H12783">
        <f>IF(DATOS!$G12783&lt;&gt;"EX",0,--(COUNTIFS(nNIA,DATOS!$A12783,nCURSO,DATOS!$D12783,nESPEC,DATOS!$E12783,nASIG,DATOS!$I12783,nEVAL,"OR")=0))</f>
      </c>
      <c r="I12783">
        <f>IF(DATOS!$I12783="","",IFERROR(VLOOKUP(DATOS!$I12783,CONFIG_ASIGNATURAS!$B$2:$J$91,9,FALSE()),""))</f>
      </c>
    </row>
    <row r="12784">
      <c r="F12784">
        <f>IF(DATOS!$A12784="","",DATOS!$A12784&amp;"|"&amp;DATOS!$D12784&amp;"|"&amp;DATOS!$E12784&amp;"|"&amp;DATOS!$I12784)</f>
      </c>
      <c r="G12784">
        <f>IF(DATOS!$A12784="",0,IF(CONFIG_METADATA!$B$4&lt;&gt;"OR+EX",--(DATOS!$G12784=CONFIG_METADATA!$B$4),IF(DATOS!$G12784="EX",1,IF(DATOS!$G12784="OR",--(COUNTIFS(nNIA,DATOS!$A12784,nCURSO,DATOS!$D12784,nESPEC,DATOS!$E12784,nASIG,DATOS!$I12784,nEVAL,"EX")=0),0))))</f>
      </c>
      <c r="H12784">
        <f>IF(DATOS!$G12784&lt;&gt;"EX",0,--(COUNTIFS(nNIA,DATOS!$A12784,nCURSO,DATOS!$D12784,nESPEC,DATOS!$E12784,nASIG,DATOS!$I12784,nEVAL,"OR")=0))</f>
      </c>
      <c r="I12784">
        <f>IF(DATOS!$I12784="","",IFERROR(VLOOKUP(DATOS!$I12784,CONFIG_ASIGNATURAS!$B$2:$J$91,9,FALSE()),""))</f>
      </c>
    </row>
    <row r="12785">
      <c r="F12785">
        <f>IF(DATOS!$A12785="","",DATOS!$A12785&amp;"|"&amp;DATOS!$D12785&amp;"|"&amp;DATOS!$E12785&amp;"|"&amp;DATOS!$I12785)</f>
      </c>
      <c r="G12785">
        <f>IF(DATOS!$A12785="",0,IF(CONFIG_METADATA!$B$4&lt;&gt;"OR+EX",--(DATOS!$G12785=CONFIG_METADATA!$B$4),IF(DATOS!$G12785="EX",1,IF(DATOS!$G12785="OR",--(COUNTIFS(nNIA,DATOS!$A12785,nCURSO,DATOS!$D12785,nESPEC,DATOS!$E12785,nASIG,DATOS!$I12785,nEVAL,"EX")=0),0))))</f>
      </c>
      <c r="H12785">
        <f>IF(DATOS!$G12785&lt;&gt;"EX",0,--(COUNTIFS(nNIA,DATOS!$A12785,nCURSO,DATOS!$D12785,nESPEC,DATOS!$E12785,nASIG,DATOS!$I12785,nEVAL,"OR")=0))</f>
      </c>
      <c r="I12785">
        <f>IF(DATOS!$I12785="","",IFERROR(VLOOKUP(DATOS!$I12785,CONFIG_ASIGNATURAS!$B$2:$J$91,9,FALSE()),""))</f>
      </c>
    </row>
    <row r="12786">
      <c r="F12786">
        <f>IF(DATOS!$A12786="","",DATOS!$A12786&amp;"|"&amp;DATOS!$D12786&amp;"|"&amp;DATOS!$E12786&amp;"|"&amp;DATOS!$I12786)</f>
      </c>
      <c r="G12786">
        <f>IF(DATOS!$A12786="",0,IF(CONFIG_METADATA!$B$4&lt;&gt;"OR+EX",--(DATOS!$G12786=CONFIG_METADATA!$B$4),IF(DATOS!$G12786="EX",1,IF(DATOS!$G12786="OR",--(COUNTIFS(nNIA,DATOS!$A12786,nCURSO,DATOS!$D12786,nESPEC,DATOS!$E12786,nASIG,DATOS!$I12786,nEVAL,"EX")=0),0))))</f>
      </c>
      <c r="H12786">
        <f>IF(DATOS!$G12786&lt;&gt;"EX",0,--(COUNTIFS(nNIA,DATOS!$A12786,nCURSO,DATOS!$D12786,nESPEC,DATOS!$E12786,nASIG,DATOS!$I12786,nEVAL,"OR")=0))</f>
      </c>
      <c r="I12786">
        <f>IF(DATOS!$I12786="","",IFERROR(VLOOKUP(DATOS!$I12786,CONFIG_ASIGNATURAS!$B$2:$J$91,9,FALSE()),""))</f>
      </c>
    </row>
    <row r="12787">
      <c r="F12787">
        <f>IF(DATOS!$A12787="","",DATOS!$A12787&amp;"|"&amp;DATOS!$D12787&amp;"|"&amp;DATOS!$E12787&amp;"|"&amp;DATOS!$I12787)</f>
      </c>
      <c r="G12787">
        <f>IF(DATOS!$A12787="",0,IF(CONFIG_METADATA!$B$4&lt;&gt;"OR+EX",--(DATOS!$G12787=CONFIG_METADATA!$B$4),IF(DATOS!$G12787="EX",1,IF(DATOS!$G12787="OR",--(COUNTIFS(nNIA,DATOS!$A12787,nCURSO,DATOS!$D12787,nESPEC,DATOS!$E12787,nASIG,DATOS!$I12787,nEVAL,"EX")=0),0))))</f>
      </c>
      <c r="H12787">
        <f>IF(DATOS!$G12787&lt;&gt;"EX",0,--(COUNTIFS(nNIA,DATOS!$A12787,nCURSO,DATOS!$D12787,nESPEC,DATOS!$E12787,nASIG,DATOS!$I12787,nEVAL,"OR")=0))</f>
      </c>
      <c r="I12787">
        <f>IF(DATOS!$I12787="","",IFERROR(VLOOKUP(DATOS!$I12787,CONFIG_ASIGNATURAS!$B$2:$J$91,9,FALSE()),""))</f>
      </c>
    </row>
    <row r="12788">
      <c r="F12788">
        <f>IF(DATOS!$A12788="","",DATOS!$A12788&amp;"|"&amp;DATOS!$D12788&amp;"|"&amp;DATOS!$E12788&amp;"|"&amp;DATOS!$I12788)</f>
      </c>
      <c r="G12788">
        <f>IF(DATOS!$A12788="",0,IF(CONFIG_METADATA!$B$4&lt;&gt;"OR+EX",--(DATOS!$G12788=CONFIG_METADATA!$B$4),IF(DATOS!$G12788="EX",1,IF(DATOS!$G12788="OR",--(COUNTIFS(nNIA,DATOS!$A12788,nCURSO,DATOS!$D12788,nESPEC,DATOS!$E12788,nASIG,DATOS!$I12788,nEVAL,"EX")=0),0))))</f>
      </c>
      <c r="H12788">
        <f>IF(DATOS!$G12788&lt;&gt;"EX",0,--(COUNTIFS(nNIA,DATOS!$A12788,nCURSO,DATOS!$D12788,nESPEC,DATOS!$E12788,nASIG,DATOS!$I12788,nEVAL,"OR")=0))</f>
      </c>
      <c r="I12788">
        <f>IF(DATOS!$I12788="","",IFERROR(VLOOKUP(DATOS!$I12788,CONFIG_ASIGNATURAS!$B$2:$J$91,9,FALSE()),""))</f>
      </c>
    </row>
    <row r="12789">
      <c r="F12789">
        <f>IF(DATOS!$A12789="","",DATOS!$A12789&amp;"|"&amp;DATOS!$D12789&amp;"|"&amp;DATOS!$E12789&amp;"|"&amp;DATOS!$I12789)</f>
      </c>
      <c r="G12789">
        <f>IF(DATOS!$A12789="",0,IF(CONFIG_METADATA!$B$4&lt;&gt;"OR+EX",--(DATOS!$G12789=CONFIG_METADATA!$B$4),IF(DATOS!$G12789="EX",1,IF(DATOS!$G12789="OR",--(COUNTIFS(nNIA,DATOS!$A12789,nCURSO,DATOS!$D12789,nESPEC,DATOS!$E12789,nASIG,DATOS!$I12789,nEVAL,"EX")=0),0))))</f>
      </c>
      <c r="H12789">
        <f>IF(DATOS!$G12789&lt;&gt;"EX",0,--(COUNTIFS(nNIA,DATOS!$A12789,nCURSO,DATOS!$D12789,nESPEC,DATOS!$E12789,nASIG,DATOS!$I12789,nEVAL,"OR")=0))</f>
      </c>
      <c r="I12789">
        <f>IF(DATOS!$I12789="","",IFERROR(VLOOKUP(DATOS!$I12789,CONFIG_ASIGNATURAS!$B$2:$J$91,9,FALSE()),""))</f>
      </c>
    </row>
    <row r="12790">
      <c r="F12790">
        <f>IF(DATOS!$A12790="","",DATOS!$A12790&amp;"|"&amp;DATOS!$D12790&amp;"|"&amp;DATOS!$E12790&amp;"|"&amp;DATOS!$I12790)</f>
      </c>
      <c r="G12790">
        <f>IF(DATOS!$A12790="",0,IF(CONFIG_METADATA!$B$4&lt;&gt;"OR+EX",--(DATOS!$G12790=CONFIG_METADATA!$B$4),IF(DATOS!$G12790="EX",1,IF(DATOS!$G12790="OR",--(COUNTIFS(nNIA,DATOS!$A12790,nCURSO,DATOS!$D12790,nESPEC,DATOS!$E12790,nASIG,DATOS!$I12790,nEVAL,"EX")=0),0))))</f>
      </c>
      <c r="H12790">
        <f>IF(DATOS!$G12790&lt;&gt;"EX",0,--(COUNTIFS(nNIA,DATOS!$A12790,nCURSO,DATOS!$D12790,nESPEC,DATOS!$E12790,nASIG,DATOS!$I12790,nEVAL,"OR")=0))</f>
      </c>
      <c r="I12790">
        <f>IF(DATOS!$I12790="","",IFERROR(VLOOKUP(DATOS!$I12790,CONFIG_ASIGNATURAS!$B$2:$J$91,9,FALSE()),""))</f>
      </c>
    </row>
    <row r="12791">
      <c r="F12791">
        <f>IF(DATOS!$A12791="","",DATOS!$A12791&amp;"|"&amp;DATOS!$D12791&amp;"|"&amp;DATOS!$E12791&amp;"|"&amp;DATOS!$I12791)</f>
      </c>
      <c r="G12791">
        <f>IF(DATOS!$A12791="",0,IF(CONFIG_METADATA!$B$4&lt;&gt;"OR+EX",--(DATOS!$G12791=CONFIG_METADATA!$B$4),IF(DATOS!$G12791="EX",1,IF(DATOS!$G12791="OR",--(COUNTIFS(nNIA,DATOS!$A12791,nCURSO,DATOS!$D12791,nESPEC,DATOS!$E12791,nASIG,DATOS!$I12791,nEVAL,"EX")=0),0))))</f>
      </c>
      <c r="H12791">
        <f>IF(DATOS!$G12791&lt;&gt;"EX",0,--(COUNTIFS(nNIA,DATOS!$A12791,nCURSO,DATOS!$D12791,nESPEC,DATOS!$E12791,nASIG,DATOS!$I12791,nEVAL,"OR")=0))</f>
      </c>
      <c r="I12791">
        <f>IF(DATOS!$I12791="","",IFERROR(VLOOKUP(DATOS!$I12791,CONFIG_ASIGNATURAS!$B$2:$J$91,9,FALSE()),""))</f>
      </c>
    </row>
    <row r="12792">
      <c r="F12792">
        <f>IF(DATOS!$A12792="","",DATOS!$A12792&amp;"|"&amp;DATOS!$D12792&amp;"|"&amp;DATOS!$E12792&amp;"|"&amp;DATOS!$I12792)</f>
      </c>
      <c r="G12792">
        <f>IF(DATOS!$A12792="",0,IF(CONFIG_METADATA!$B$4&lt;&gt;"OR+EX",--(DATOS!$G12792=CONFIG_METADATA!$B$4),IF(DATOS!$G12792="EX",1,IF(DATOS!$G12792="OR",--(COUNTIFS(nNIA,DATOS!$A12792,nCURSO,DATOS!$D12792,nESPEC,DATOS!$E12792,nASIG,DATOS!$I12792,nEVAL,"EX")=0),0))))</f>
      </c>
      <c r="H12792">
        <f>IF(DATOS!$G12792&lt;&gt;"EX",0,--(COUNTIFS(nNIA,DATOS!$A12792,nCURSO,DATOS!$D12792,nESPEC,DATOS!$E12792,nASIG,DATOS!$I12792,nEVAL,"OR")=0))</f>
      </c>
      <c r="I12792">
        <f>IF(DATOS!$I12792="","",IFERROR(VLOOKUP(DATOS!$I12792,CONFIG_ASIGNATURAS!$B$2:$J$91,9,FALSE()),""))</f>
      </c>
    </row>
    <row r="12793">
      <c r="F12793">
        <f>IF(DATOS!$A12793="","",DATOS!$A12793&amp;"|"&amp;DATOS!$D12793&amp;"|"&amp;DATOS!$E12793&amp;"|"&amp;DATOS!$I12793)</f>
      </c>
      <c r="G12793">
        <f>IF(DATOS!$A12793="",0,IF(CONFIG_METADATA!$B$4&lt;&gt;"OR+EX",--(DATOS!$G12793=CONFIG_METADATA!$B$4),IF(DATOS!$G12793="EX",1,IF(DATOS!$G12793="OR",--(COUNTIFS(nNIA,DATOS!$A12793,nCURSO,DATOS!$D12793,nESPEC,DATOS!$E12793,nASIG,DATOS!$I12793,nEVAL,"EX")=0),0))))</f>
      </c>
      <c r="H12793">
        <f>IF(DATOS!$G12793&lt;&gt;"EX",0,--(COUNTIFS(nNIA,DATOS!$A12793,nCURSO,DATOS!$D12793,nESPEC,DATOS!$E12793,nASIG,DATOS!$I12793,nEVAL,"OR")=0))</f>
      </c>
      <c r="I12793">
        <f>IF(DATOS!$I12793="","",IFERROR(VLOOKUP(DATOS!$I12793,CONFIG_ASIGNATURAS!$B$2:$J$91,9,FALSE()),""))</f>
      </c>
    </row>
    <row r="12794">
      <c r="F12794">
        <f>IF(DATOS!$A12794="","",DATOS!$A12794&amp;"|"&amp;DATOS!$D12794&amp;"|"&amp;DATOS!$E12794&amp;"|"&amp;DATOS!$I12794)</f>
      </c>
      <c r="G12794">
        <f>IF(DATOS!$A12794="",0,IF(CONFIG_METADATA!$B$4&lt;&gt;"OR+EX",--(DATOS!$G12794=CONFIG_METADATA!$B$4),IF(DATOS!$G12794="EX",1,IF(DATOS!$G12794="OR",--(COUNTIFS(nNIA,DATOS!$A12794,nCURSO,DATOS!$D12794,nESPEC,DATOS!$E12794,nASIG,DATOS!$I12794,nEVAL,"EX")=0),0))))</f>
      </c>
      <c r="H12794">
        <f>IF(DATOS!$G12794&lt;&gt;"EX",0,--(COUNTIFS(nNIA,DATOS!$A12794,nCURSO,DATOS!$D12794,nESPEC,DATOS!$E12794,nASIG,DATOS!$I12794,nEVAL,"OR")=0))</f>
      </c>
      <c r="I12794">
        <f>IF(DATOS!$I12794="","",IFERROR(VLOOKUP(DATOS!$I12794,CONFIG_ASIGNATURAS!$B$2:$J$91,9,FALSE()),""))</f>
      </c>
    </row>
    <row r="12795">
      <c r="F12795">
        <f>IF(DATOS!$A12795="","",DATOS!$A12795&amp;"|"&amp;DATOS!$D12795&amp;"|"&amp;DATOS!$E12795&amp;"|"&amp;DATOS!$I12795)</f>
      </c>
      <c r="G12795">
        <f>IF(DATOS!$A12795="",0,IF(CONFIG_METADATA!$B$4&lt;&gt;"OR+EX",--(DATOS!$G12795=CONFIG_METADATA!$B$4),IF(DATOS!$G12795="EX",1,IF(DATOS!$G12795="OR",--(COUNTIFS(nNIA,DATOS!$A12795,nCURSO,DATOS!$D12795,nESPEC,DATOS!$E12795,nASIG,DATOS!$I12795,nEVAL,"EX")=0),0))))</f>
      </c>
      <c r="H12795">
        <f>IF(DATOS!$G12795&lt;&gt;"EX",0,--(COUNTIFS(nNIA,DATOS!$A12795,nCURSO,DATOS!$D12795,nESPEC,DATOS!$E12795,nASIG,DATOS!$I12795,nEVAL,"OR")=0))</f>
      </c>
      <c r="I12795">
        <f>IF(DATOS!$I12795="","",IFERROR(VLOOKUP(DATOS!$I12795,CONFIG_ASIGNATURAS!$B$2:$J$91,9,FALSE()),""))</f>
      </c>
    </row>
    <row r="12796">
      <c r="F12796">
        <f>IF(DATOS!$A12796="","",DATOS!$A12796&amp;"|"&amp;DATOS!$D12796&amp;"|"&amp;DATOS!$E12796&amp;"|"&amp;DATOS!$I12796)</f>
      </c>
      <c r="G12796">
        <f>IF(DATOS!$A12796="",0,IF(CONFIG_METADATA!$B$4&lt;&gt;"OR+EX",--(DATOS!$G12796=CONFIG_METADATA!$B$4),IF(DATOS!$G12796="EX",1,IF(DATOS!$G12796="OR",--(COUNTIFS(nNIA,DATOS!$A12796,nCURSO,DATOS!$D12796,nESPEC,DATOS!$E12796,nASIG,DATOS!$I12796,nEVAL,"EX")=0),0))))</f>
      </c>
      <c r="H12796">
        <f>IF(DATOS!$G12796&lt;&gt;"EX",0,--(COUNTIFS(nNIA,DATOS!$A12796,nCURSO,DATOS!$D12796,nESPEC,DATOS!$E12796,nASIG,DATOS!$I12796,nEVAL,"OR")=0))</f>
      </c>
      <c r="I12796">
        <f>IF(DATOS!$I12796="","",IFERROR(VLOOKUP(DATOS!$I12796,CONFIG_ASIGNATURAS!$B$2:$J$91,9,FALSE()),""))</f>
      </c>
    </row>
    <row r="12797">
      <c r="F12797">
        <f>IF(DATOS!$A12797="","",DATOS!$A12797&amp;"|"&amp;DATOS!$D12797&amp;"|"&amp;DATOS!$E12797&amp;"|"&amp;DATOS!$I12797)</f>
      </c>
      <c r="G12797">
        <f>IF(DATOS!$A12797="",0,IF(CONFIG_METADATA!$B$4&lt;&gt;"OR+EX",--(DATOS!$G12797=CONFIG_METADATA!$B$4),IF(DATOS!$G12797="EX",1,IF(DATOS!$G12797="OR",--(COUNTIFS(nNIA,DATOS!$A12797,nCURSO,DATOS!$D12797,nESPEC,DATOS!$E12797,nASIG,DATOS!$I12797,nEVAL,"EX")=0),0))))</f>
      </c>
      <c r="H12797">
        <f>IF(DATOS!$G12797&lt;&gt;"EX",0,--(COUNTIFS(nNIA,DATOS!$A12797,nCURSO,DATOS!$D12797,nESPEC,DATOS!$E12797,nASIG,DATOS!$I12797,nEVAL,"OR")=0))</f>
      </c>
      <c r="I12797">
        <f>IF(DATOS!$I12797="","",IFERROR(VLOOKUP(DATOS!$I12797,CONFIG_ASIGNATURAS!$B$2:$J$91,9,FALSE()),""))</f>
      </c>
    </row>
    <row r="12798">
      <c r="F12798">
        <f>IF(DATOS!$A12798="","",DATOS!$A12798&amp;"|"&amp;DATOS!$D12798&amp;"|"&amp;DATOS!$E12798&amp;"|"&amp;DATOS!$I12798)</f>
      </c>
      <c r="G12798">
        <f>IF(DATOS!$A12798="",0,IF(CONFIG_METADATA!$B$4&lt;&gt;"OR+EX",--(DATOS!$G12798=CONFIG_METADATA!$B$4),IF(DATOS!$G12798="EX",1,IF(DATOS!$G12798="OR",--(COUNTIFS(nNIA,DATOS!$A12798,nCURSO,DATOS!$D12798,nESPEC,DATOS!$E12798,nASIG,DATOS!$I12798,nEVAL,"EX")=0),0))))</f>
      </c>
      <c r="H12798">
        <f>IF(DATOS!$G12798&lt;&gt;"EX",0,--(COUNTIFS(nNIA,DATOS!$A12798,nCURSO,DATOS!$D12798,nESPEC,DATOS!$E12798,nASIG,DATOS!$I12798,nEVAL,"OR")=0))</f>
      </c>
      <c r="I12798">
        <f>IF(DATOS!$I12798="","",IFERROR(VLOOKUP(DATOS!$I12798,CONFIG_ASIGNATURAS!$B$2:$J$91,9,FALSE()),""))</f>
      </c>
    </row>
    <row r="12799">
      <c r="F12799">
        <f>IF(DATOS!$A12799="","",DATOS!$A12799&amp;"|"&amp;DATOS!$D12799&amp;"|"&amp;DATOS!$E12799&amp;"|"&amp;DATOS!$I12799)</f>
      </c>
      <c r="G12799">
        <f>IF(DATOS!$A12799="",0,IF(CONFIG_METADATA!$B$4&lt;&gt;"OR+EX",--(DATOS!$G12799=CONFIG_METADATA!$B$4),IF(DATOS!$G12799="EX",1,IF(DATOS!$G12799="OR",--(COUNTIFS(nNIA,DATOS!$A12799,nCURSO,DATOS!$D12799,nESPEC,DATOS!$E12799,nASIG,DATOS!$I12799,nEVAL,"EX")=0),0))))</f>
      </c>
      <c r="H12799">
        <f>IF(DATOS!$G12799&lt;&gt;"EX",0,--(COUNTIFS(nNIA,DATOS!$A12799,nCURSO,DATOS!$D12799,nESPEC,DATOS!$E12799,nASIG,DATOS!$I12799,nEVAL,"OR")=0))</f>
      </c>
      <c r="I12799">
        <f>IF(DATOS!$I12799="","",IFERROR(VLOOKUP(DATOS!$I12799,CONFIG_ASIGNATURAS!$B$2:$J$91,9,FALSE()),""))</f>
      </c>
    </row>
    <row r="12800">
      <c r="F12800">
        <f>IF(DATOS!$A12800="","",DATOS!$A12800&amp;"|"&amp;DATOS!$D12800&amp;"|"&amp;DATOS!$E12800&amp;"|"&amp;DATOS!$I12800)</f>
      </c>
      <c r="G12800">
        <f>IF(DATOS!$A12800="",0,IF(CONFIG_METADATA!$B$4&lt;&gt;"OR+EX",--(DATOS!$G12800=CONFIG_METADATA!$B$4),IF(DATOS!$G12800="EX",1,IF(DATOS!$G12800="OR",--(COUNTIFS(nNIA,DATOS!$A12800,nCURSO,DATOS!$D12800,nESPEC,DATOS!$E12800,nASIG,DATOS!$I12800,nEVAL,"EX")=0),0))))</f>
      </c>
      <c r="H12800">
        <f>IF(DATOS!$G12800&lt;&gt;"EX",0,--(COUNTIFS(nNIA,DATOS!$A12800,nCURSO,DATOS!$D12800,nESPEC,DATOS!$E12800,nASIG,DATOS!$I12800,nEVAL,"OR")=0))</f>
      </c>
      <c r="I12800">
        <f>IF(DATOS!$I12800="","",IFERROR(VLOOKUP(DATOS!$I12800,CONFIG_ASIGNATURAS!$B$2:$J$91,9,FALSE()),""))</f>
      </c>
    </row>
    <row r="12801">
      <c r="F12801">
        <f>IF(DATOS!$A12801="","",DATOS!$A12801&amp;"|"&amp;DATOS!$D12801&amp;"|"&amp;DATOS!$E12801&amp;"|"&amp;DATOS!$I12801)</f>
      </c>
      <c r="G12801">
        <f>IF(DATOS!$A12801="",0,IF(CONFIG_METADATA!$B$4&lt;&gt;"OR+EX",--(DATOS!$G12801=CONFIG_METADATA!$B$4),IF(DATOS!$G12801="EX",1,IF(DATOS!$G12801="OR",--(COUNTIFS(nNIA,DATOS!$A12801,nCURSO,DATOS!$D12801,nESPEC,DATOS!$E12801,nASIG,DATOS!$I12801,nEVAL,"EX")=0),0))))</f>
      </c>
      <c r="H12801">
        <f>IF(DATOS!$G12801&lt;&gt;"EX",0,--(COUNTIFS(nNIA,DATOS!$A12801,nCURSO,DATOS!$D12801,nESPEC,DATOS!$E12801,nASIG,DATOS!$I12801,nEVAL,"OR")=0))</f>
      </c>
      <c r="I12801">
        <f>IF(DATOS!$I12801="","",IFERROR(VLOOKUP(DATOS!$I12801,CONFIG_ASIGNATURAS!$B$2:$J$91,9,FALSE()),""))</f>
      </c>
    </row>
    <row r="12802">
      <c r="F12802">
        <f>IF(DATOS!$A12802="","",DATOS!$A12802&amp;"|"&amp;DATOS!$D12802&amp;"|"&amp;DATOS!$E12802&amp;"|"&amp;DATOS!$I12802)</f>
      </c>
      <c r="G12802">
        <f>IF(DATOS!$A12802="",0,IF(CONFIG_METADATA!$B$4&lt;&gt;"OR+EX",--(DATOS!$G12802=CONFIG_METADATA!$B$4),IF(DATOS!$G12802="EX",1,IF(DATOS!$G12802="OR",--(COUNTIFS(nNIA,DATOS!$A12802,nCURSO,DATOS!$D12802,nESPEC,DATOS!$E12802,nASIG,DATOS!$I12802,nEVAL,"EX")=0),0))))</f>
      </c>
      <c r="H12802">
        <f>IF(DATOS!$G12802&lt;&gt;"EX",0,--(COUNTIFS(nNIA,DATOS!$A12802,nCURSO,DATOS!$D12802,nESPEC,DATOS!$E12802,nASIG,DATOS!$I12802,nEVAL,"OR")=0))</f>
      </c>
      <c r="I12802">
        <f>IF(DATOS!$I12802="","",IFERROR(VLOOKUP(DATOS!$I12802,CONFIG_ASIGNATURAS!$B$2:$J$91,9,FALSE()),""))</f>
      </c>
    </row>
    <row r="12803">
      <c r="F12803">
        <f>IF(DATOS!$A12803="","",DATOS!$A12803&amp;"|"&amp;DATOS!$D12803&amp;"|"&amp;DATOS!$E12803&amp;"|"&amp;DATOS!$I12803)</f>
      </c>
      <c r="G12803">
        <f>IF(DATOS!$A12803="",0,IF(CONFIG_METADATA!$B$4&lt;&gt;"OR+EX",--(DATOS!$G12803=CONFIG_METADATA!$B$4),IF(DATOS!$G12803="EX",1,IF(DATOS!$G12803="OR",--(COUNTIFS(nNIA,DATOS!$A12803,nCURSO,DATOS!$D12803,nESPEC,DATOS!$E12803,nASIG,DATOS!$I12803,nEVAL,"EX")=0),0))))</f>
      </c>
      <c r="H12803">
        <f>IF(DATOS!$G12803&lt;&gt;"EX",0,--(COUNTIFS(nNIA,DATOS!$A12803,nCURSO,DATOS!$D12803,nESPEC,DATOS!$E12803,nASIG,DATOS!$I12803,nEVAL,"OR")=0))</f>
      </c>
      <c r="I12803">
        <f>IF(DATOS!$I12803="","",IFERROR(VLOOKUP(DATOS!$I12803,CONFIG_ASIGNATURAS!$B$2:$J$91,9,FALSE()),""))</f>
      </c>
    </row>
    <row r="12804">
      <c r="F12804">
        <f>IF(DATOS!$A12804="","",DATOS!$A12804&amp;"|"&amp;DATOS!$D12804&amp;"|"&amp;DATOS!$E12804&amp;"|"&amp;DATOS!$I12804)</f>
      </c>
      <c r="G12804">
        <f>IF(DATOS!$A12804="",0,IF(CONFIG_METADATA!$B$4&lt;&gt;"OR+EX",--(DATOS!$G12804=CONFIG_METADATA!$B$4),IF(DATOS!$G12804="EX",1,IF(DATOS!$G12804="OR",--(COUNTIFS(nNIA,DATOS!$A12804,nCURSO,DATOS!$D12804,nESPEC,DATOS!$E12804,nASIG,DATOS!$I12804,nEVAL,"EX")=0),0))))</f>
      </c>
      <c r="H12804">
        <f>IF(DATOS!$G12804&lt;&gt;"EX",0,--(COUNTIFS(nNIA,DATOS!$A12804,nCURSO,DATOS!$D12804,nESPEC,DATOS!$E12804,nASIG,DATOS!$I12804,nEVAL,"OR")=0))</f>
      </c>
      <c r="I12804">
        <f>IF(DATOS!$I12804="","",IFERROR(VLOOKUP(DATOS!$I12804,CONFIG_ASIGNATURAS!$B$2:$J$91,9,FALSE()),""))</f>
      </c>
    </row>
    <row r="12805">
      <c r="F12805">
        <f>IF(DATOS!$A12805="","",DATOS!$A12805&amp;"|"&amp;DATOS!$D12805&amp;"|"&amp;DATOS!$E12805&amp;"|"&amp;DATOS!$I12805)</f>
      </c>
      <c r="G12805">
        <f>IF(DATOS!$A12805="",0,IF(CONFIG_METADATA!$B$4&lt;&gt;"OR+EX",--(DATOS!$G12805=CONFIG_METADATA!$B$4),IF(DATOS!$G12805="EX",1,IF(DATOS!$G12805="OR",--(COUNTIFS(nNIA,DATOS!$A12805,nCURSO,DATOS!$D12805,nESPEC,DATOS!$E12805,nASIG,DATOS!$I12805,nEVAL,"EX")=0),0))))</f>
      </c>
      <c r="H12805">
        <f>IF(DATOS!$G12805&lt;&gt;"EX",0,--(COUNTIFS(nNIA,DATOS!$A12805,nCURSO,DATOS!$D12805,nESPEC,DATOS!$E12805,nASIG,DATOS!$I12805,nEVAL,"OR")=0))</f>
      </c>
      <c r="I12805">
        <f>IF(DATOS!$I12805="","",IFERROR(VLOOKUP(DATOS!$I12805,CONFIG_ASIGNATURAS!$B$2:$J$91,9,FALSE()),""))</f>
      </c>
    </row>
    <row r="12806">
      <c r="F12806">
        <f>IF(DATOS!$A12806="","",DATOS!$A12806&amp;"|"&amp;DATOS!$D12806&amp;"|"&amp;DATOS!$E12806&amp;"|"&amp;DATOS!$I12806)</f>
      </c>
      <c r="G12806">
        <f>IF(DATOS!$A12806="",0,IF(CONFIG_METADATA!$B$4&lt;&gt;"OR+EX",--(DATOS!$G12806=CONFIG_METADATA!$B$4),IF(DATOS!$G12806="EX",1,IF(DATOS!$G12806="OR",--(COUNTIFS(nNIA,DATOS!$A12806,nCURSO,DATOS!$D12806,nESPEC,DATOS!$E12806,nASIG,DATOS!$I12806,nEVAL,"EX")=0),0))))</f>
      </c>
      <c r="H12806">
        <f>IF(DATOS!$G12806&lt;&gt;"EX",0,--(COUNTIFS(nNIA,DATOS!$A12806,nCURSO,DATOS!$D12806,nESPEC,DATOS!$E12806,nASIG,DATOS!$I12806,nEVAL,"OR")=0))</f>
      </c>
      <c r="I12806">
        <f>IF(DATOS!$I12806="","",IFERROR(VLOOKUP(DATOS!$I12806,CONFIG_ASIGNATURAS!$B$2:$J$91,9,FALSE()),""))</f>
      </c>
    </row>
    <row r="12807">
      <c r="F12807">
        <f>IF(DATOS!$A12807="","",DATOS!$A12807&amp;"|"&amp;DATOS!$D12807&amp;"|"&amp;DATOS!$E12807&amp;"|"&amp;DATOS!$I12807)</f>
      </c>
      <c r="G12807">
        <f>IF(DATOS!$A12807="",0,IF(CONFIG_METADATA!$B$4&lt;&gt;"OR+EX",--(DATOS!$G12807=CONFIG_METADATA!$B$4),IF(DATOS!$G12807="EX",1,IF(DATOS!$G12807="OR",--(COUNTIFS(nNIA,DATOS!$A12807,nCURSO,DATOS!$D12807,nESPEC,DATOS!$E12807,nASIG,DATOS!$I12807,nEVAL,"EX")=0),0))))</f>
      </c>
      <c r="H12807">
        <f>IF(DATOS!$G12807&lt;&gt;"EX",0,--(COUNTIFS(nNIA,DATOS!$A12807,nCURSO,DATOS!$D12807,nESPEC,DATOS!$E12807,nASIG,DATOS!$I12807,nEVAL,"OR")=0))</f>
      </c>
      <c r="I12807">
        <f>IF(DATOS!$I12807="","",IFERROR(VLOOKUP(DATOS!$I12807,CONFIG_ASIGNATURAS!$B$2:$J$91,9,FALSE()),""))</f>
      </c>
    </row>
    <row r="12808">
      <c r="F12808">
        <f>IF(DATOS!$A12808="","",DATOS!$A12808&amp;"|"&amp;DATOS!$D12808&amp;"|"&amp;DATOS!$E12808&amp;"|"&amp;DATOS!$I12808)</f>
      </c>
      <c r="G12808">
        <f>IF(DATOS!$A12808="",0,IF(CONFIG_METADATA!$B$4&lt;&gt;"OR+EX",--(DATOS!$G12808=CONFIG_METADATA!$B$4),IF(DATOS!$G12808="EX",1,IF(DATOS!$G12808="OR",--(COUNTIFS(nNIA,DATOS!$A12808,nCURSO,DATOS!$D12808,nESPEC,DATOS!$E12808,nASIG,DATOS!$I12808,nEVAL,"EX")=0),0))))</f>
      </c>
      <c r="H12808">
        <f>IF(DATOS!$G12808&lt;&gt;"EX",0,--(COUNTIFS(nNIA,DATOS!$A12808,nCURSO,DATOS!$D12808,nESPEC,DATOS!$E12808,nASIG,DATOS!$I12808,nEVAL,"OR")=0))</f>
      </c>
      <c r="I12808">
        <f>IF(DATOS!$I12808="","",IFERROR(VLOOKUP(DATOS!$I12808,CONFIG_ASIGNATURAS!$B$2:$J$91,9,FALSE()),""))</f>
      </c>
    </row>
    <row r="12809">
      <c r="F12809">
        <f>IF(DATOS!$A12809="","",DATOS!$A12809&amp;"|"&amp;DATOS!$D12809&amp;"|"&amp;DATOS!$E12809&amp;"|"&amp;DATOS!$I12809)</f>
      </c>
      <c r="G12809">
        <f>IF(DATOS!$A12809="",0,IF(CONFIG_METADATA!$B$4&lt;&gt;"OR+EX",--(DATOS!$G12809=CONFIG_METADATA!$B$4),IF(DATOS!$G12809="EX",1,IF(DATOS!$G12809="OR",--(COUNTIFS(nNIA,DATOS!$A12809,nCURSO,DATOS!$D12809,nESPEC,DATOS!$E12809,nASIG,DATOS!$I12809,nEVAL,"EX")=0),0))))</f>
      </c>
      <c r="H12809">
        <f>IF(DATOS!$G12809&lt;&gt;"EX",0,--(COUNTIFS(nNIA,DATOS!$A12809,nCURSO,DATOS!$D12809,nESPEC,DATOS!$E12809,nASIG,DATOS!$I12809,nEVAL,"OR")=0))</f>
      </c>
      <c r="I12809">
        <f>IF(DATOS!$I12809="","",IFERROR(VLOOKUP(DATOS!$I12809,CONFIG_ASIGNATURAS!$B$2:$J$91,9,FALSE()),""))</f>
      </c>
    </row>
    <row r="12810">
      <c r="F12810">
        <f>IF(DATOS!$A12810="","",DATOS!$A12810&amp;"|"&amp;DATOS!$D12810&amp;"|"&amp;DATOS!$E12810&amp;"|"&amp;DATOS!$I12810)</f>
      </c>
      <c r="G12810">
        <f>IF(DATOS!$A12810="",0,IF(CONFIG_METADATA!$B$4&lt;&gt;"OR+EX",--(DATOS!$G12810=CONFIG_METADATA!$B$4),IF(DATOS!$G12810="EX",1,IF(DATOS!$G12810="OR",--(COUNTIFS(nNIA,DATOS!$A12810,nCURSO,DATOS!$D12810,nESPEC,DATOS!$E12810,nASIG,DATOS!$I12810,nEVAL,"EX")=0),0))))</f>
      </c>
      <c r="H12810">
        <f>IF(DATOS!$G12810&lt;&gt;"EX",0,--(COUNTIFS(nNIA,DATOS!$A12810,nCURSO,DATOS!$D12810,nESPEC,DATOS!$E12810,nASIG,DATOS!$I12810,nEVAL,"OR")=0))</f>
      </c>
      <c r="I12810">
        <f>IF(DATOS!$I12810="","",IFERROR(VLOOKUP(DATOS!$I12810,CONFIG_ASIGNATURAS!$B$2:$J$91,9,FALSE()),""))</f>
      </c>
    </row>
    <row r="12811">
      <c r="F12811">
        <f>IF(DATOS!$A12811="","",DATOS!$A12811&amp;"|"&amp;DATOS!$D12811&amp;"|"&amp;DATOS!$E12811&amp;"|"&amp;DATOS!$I12811)</f>
      </c>
      <c r="G12811">
        <f>IF(DATOS!$A12811="",0,IF(CONFIG_METADATA!$B$4&lt;&gt;"OR+EX",--(DATOS!$G12811=CONFIG_METADATA!$B$4),IF(DATOS!$G12811="EX",1,IF(DATOS!$G12811="OR",--(COUNTIFS(nNIA,DATOS!$A12811,nCURSO,DATOS!$D12811,nESPEC,DATOS!$E12811,nASIG,DATOS!$I12811,nEVAL,"EX")=0),0))))</f>
      </c>
      <c r="H12811">
        <f>IF(DATOS!$G12811&lt;&gt;"EX",0,--(COUNTIFS(nNIA,DATOS!$A12811,nCURSO,DATOS!$D12811,nESPEC,DATOS!$E12811,nASIG,DATOS!$I12811,nEVAL,"OR")=0))</f>
      </c>
      <c r="I12811">
        <f>IF(DATOS!$I12811="","",IFERROR(VLOOKUP(DATOS!$I12811,CONFIG_ASIGNATURAS!$B$2:$J$91,9,FALSE()),""))</f>
      </c>
    </row>
    <row r="12812">
      <c r="F12812">
        <f>IF(DATOS!$A12812="","",DATOS!$A12812&amp;"|"&amp;DATOS!$D12812&amp;"|"&amp;DATOS!$E12812&amp;"|"&amp;DATOS!$I12812)</f>
      </c>
      <c r="G12812">
        <f>IF(DATOS!$A12812="",0,IF(CONFIG_METADATA!$B$4&lt;&gt;"OR+EX",--(DATOS!$G12812=CONFIG_METADATA!$B$4),IF(DATOS!$G12812="EX",1,IF(DATOS!$G12812="OR",--(COUNTIFS(nNIA,DATOS!$A12812,nCURSO,DATOS!$D12812,nESPEC,DATOS!$E12812,nASIG,DATOS!$I12812,nEVAL,"EX")=0),0))))</f>
      </c>
      <c r="H12812">
        <f>IF(DATOS!$G12812&lt;&gt;"EX",0,--(COUNTIFS(nNIA,DATOS!$A12812,nCURSO,DATOS!$D12812,nESPEC,DATOS!$E12812,nASIG,DATOS!$I12812,nEVAL,"OR")=0))</f>
      </c>
      <c r="I12812">
        <f>IF(DATOS!$I12812="","",IFERROR(VLOOKUP(DATOS!$I12812,CONFIG_ASIGNATURAS!$B$2:$J$91,9,FALSE()),""))</f>
      </c>
    </row>
    <row r="12813">
      <c r="F12813">
        <f>IF(DATOS!$A12813="","",DATOS!$A12813&amp;"|"&amp;DATOS!$D12813&amp;"|"&amp;DATOS!$E12813&amp;"|"&amp;DATOS!$I12813)</f>
      </c>
      <c r="G12813">
        <f>IF(DATOS!$A12813="",0,IF(CONFIG_METADATA!$B$4&lt;&gt;"OR+EX",--(DATOS!$G12813=CONFIG_METADATA!$B$4),IF(DATOS!$G12813="EX",1,IF(DATOS!$G12813="OR",--(COUNTIFS(nNIA,DATOS!$A12813,nCURSO,DATOS!$D12813,nESPEC,DATOS!$E12813,nASIG,DATOS!$I12813,nEVAL,"EX")=0),0))))</f>
      </c>
      <c r="H12813">
        <f>IF(DATOS!$G12813&lt;&gt;"EX",0,--(COUNTIFS(nNIA,DATOS!$A12813,nCURSO,DATOS!$D12813,nESPEC,DATOS!$E12813,nASIG,DATOS!$I12813,nEVAL,"OR")=0))</f>
      </c>
      <c r="I12813">
        <f>IF(DATOS!$I12813="","",IFERROR(VLOOKUP(DATOS!$I12813,CONFIG_ASIGNATURAS!$B$2:$J$91,9,FALSE()),""))</f>
      </c>
    </row>
    <row r="12814">
      <c r="F12814">
        <f>IF(DATOS!$A12814="","",DATOS!$A12814&amp;"|"&amp;DATOS!$D12814&amp;"|"&amp;DATOS!$E12814&amp;"|"&amp;DATOS!$I12814)</f>
      </c>
      <c r="G12814">
        <f>IF(DATOS!$A12814="",0,IF(CONFIG_METADATA!$B$4&lt;&gt;"OR+EX",--(DATOS!$G12814=CONFIG_METADATA!$B$4),IF(DATOS!$G12814="EX",1,IF(DATOS!$G12814="OR",--(COUNTIFS(nNIA,DATOS!$A12814,nCURSO,DATOS!$D12814,nESPEC,DATOS!$E12814,nASIG,DATOS!$I12814,nEVAL,"EX")=0),0))))</f>
      </c>
      <c r="H12814">
        <f>IF(DATOS!$G12814&lt;&gt;"EX",0,--(COUNTIFS(nNIA,DATOS!$A12814,nCURSO,DATOS!$D12814,nESPEC,DATOS!$E12814,nASIG,DATOS!$I12814,nEVAL,"OR")=0))</f>
      </c>
      <c r="I12814">
        <f>IF(DATOS!$I12814="","",IFERROR(VLOOKUP(DATOS!$I12814,CONFIG_ASIGNATURAS!$B$2:$J$91,9,FALSE()),""))</f>
      </c>
    </row>
    <row r="12815">
      <c r="F12815">
        <f>IF(DATOS!$A12815="","",DATOS!$A12815&amp;"|"&amp;DATOS!$D12815&amp;"|"&amp;DATOS!$E12815&amp;"|"&amp;DATOS!$I12815)</f>
      </c>
      <c r="G12815">
        <f>IF(DATOS!$A12815="",0,IF(CONFIG_METADATA!$B$4&lt;&gt;"OR+EX",--(DATOS!$G12815=CONFIG_METADATA!$B$4),IF(DATOS!$G12815="EX",1,IF(DATOS!$G12815="OR",--(COUNTIFS(nNIA,DATOS!$A12815,nCURSO,DATOS!$D12815,nESPEC,DATOS!$E12815,nASIG,DATOS!$I12815,nEVAL,"EX")=0),0))))</f>
      </c>
      <c r="H12815">
        <f>IF(DATOS!$G12815&lt;&gt;"EX",0,--(COUNTIFS(nNIA,DATOS!$A12815,nCURSO,DATOS!$D12815,nESPEC,DATOS!$E12815,nASIG,DATOS!$I12815,nEVAL,"OR")=0))</f>
      </c>
      <c r="I12815">
        <f>IF(DATOS!$I12815="","",IFERROR(VLOOKUP(DATOS!$I12815,CONFIG_ASIGNATURAS!$B$2:$J$91,9,FALSE()),""))</f>
      </c>
    </row>
    <row r="12816">
      <c r="F12816">
        <f>IF(DATOS!$A12816="","",DATOS!$A12816&amp;"|"&amp;DATOS!$D12816&amp;"|"&amp;DATOS!$E12816&amp;"|"&amp;DATOS!$I12816)</f>
      </c>
      <c r="G12816">
        <f>IF(DATOS!$A12816="",0,IF(CONFIG_METADATA!$B$4&lt;&gt;"OR+EX",--(DATOS!$G12816=CONFIG_METADATA!$B$4),IF(DATOS!$G12816="EX",1,IF(DATOS!$G12816="OR",--(COUNTIFS(nNIA,DATOS!$A12816,nCURSO,DATOS!$D12816,nESPEC,DATOS!$E12816,nASIG,DATOS!$I12816,nEVAL,"EX")=0),0))))</f>
      </c>
      <c r="H12816">
        <f>IF(DATOS!$G12816&lt;&gt;"EX",0,--(COUNTIFS(nNIA,DATOS!$A12816,nCURSO,DATOS!$D12816,nESPEC,DATOS!$E12816,nASIG,DATOS!$I12816,nEVAL,"OR")=0))</f>
      </c>
      <c r="I12816">
        <f>IF(DATOS!$I12816="","",IFERROR(VLOOKUP(DATOS!$I12816,CONFIG_ASIGNATURAS!$B$2:$J$91,9,FALSE()),""))</f>
      </c>
    </row>
    <row r="12817">
      <c r="F12817">
        <f>IF(DATOS!$A12817="","",DATOS!$A12817&amp;"|"&amp;DATOS!$D12817&amp;"|"&amp;DATOS!$E12817&amp;"|"&amp;DATOS!$I12817)</f>
      </c>
      <c r="G12817">
        <f>IF(DATOS!$A12817="",0,IF(CONFIG_METADATA!$B$4&lt;&gt;"OR+EX",--(DATOS!$G12817=CONFIG_METADATA!$B$4),IF(DATOS!$G12817="EX",1,IF(DATOS!$G12817="OR",--(COUNTIFS(nNIA,DATOS!$A12817,nCURSO,DATOS!$D12817,nESPEC,DATOS!$E12817,nASIG,DATOS!$I12817,nEVAL,"EX")=0),0))))</f>
      </c>
      <c r="H12817">
        <f>IF(DATOS!$G12817&lt;&gt;"EX",0,--(COUNTIFS(nNIA,DATOS!$A12817,nCURSO,DATOS!$D12817,nESPEC,DATOS!$E12817,nASIG,DATOS!$I12817,nEVAL,"OR")=0))</f>
      </c>
      <c r="I12817">
        <f>IF(DATOS!$I12817="","",IFERROR(VLOOKUP(DATOS!$I12817,CONFIG_ASIGNATURAS!$B$2:$J$91,9,FALSE()),""))</f>
      </c>
    </row>
    <row r="12818">
      <c r="F12818">
        <f>IF(DATOS!$A12818="","",DATOS!$A12818&amp;"|"&amp;DATOS!$D12818&amp;"|"&amp;DATOS!$E12818&amp;"|"&amp;DATOS!$I12818)</f>
      </c>
      <c r="G12818">
        <f>IF(DATOS!$A12818="",0,IF(CONFIG_METADATA!$B$4&lt;&gt;"OR+EX",--(DATOS!$G12818=CONFIG_METADATA!$B$4),IF(DATOS!$G12818="EX",1,IF(DATOS!$G12818="OR",--(COUNTIFS(nNIA,DATOS!$A12818,nCURSO,DATOS!$D12818,nESPEC,DATOS!$E12818,nASIG,DATOS!$I12818,nEVAL,"EX")=0),0))))</f>
      </c>
      <c r="H12818">
        <f>IF(DATOS!$G12818&lt;&gt;"EX",0,--(COUNTIFS(nNIA,DATOS!$A12818,nCURSO,DATOS!$D12818,nESPEC,DATOS!$E12818,nASIG,DATOS!$I12818,nEVAL,"OR")=0))</f>
      </c>
      <c r="I12818">
        <f>IF(DATOS!$I12818="","",IFERROR(VLOOKUP(DATOS!$I12818,CONFIG_ASIGNATURAS!$B$2:$J$91,9,FALSE()),""))</f>
      </c>
    </row>
    <row r="12819">
      <c r="F12819">
        <f>IF(DATOS!$A12819="","",DATOS!$A12819&amp;"|"&amp;DATOS!$D12819&amp;"|"&amp;DATOS!$E12819&amp;"|"&amp;DATOS!$I12819)</f>
      </c>
      <c r="G12819">
        <f>IF(DATOS!$A12819="",0,IF(CONFIG_METADATA!$B$4&lt;&gt;"OR+EX",--(DATOS!$G12819=CONFIG_METADATA!$B$4),IF(DATOS!$G12819="EX",1,IF(DATOS!$G12819="OR",--(COUNTIFS(nNIA,DATOS!$A12819,nCURSO,DATOS!$D12819,nESPEC,DATOS!$E12819,nASIG,DATOS!$I12819,nEVAL,"EX")=0),0))))</f>
      </c>
      <c r="H12819">
        <f>IF(DATOS!$G12819&lt;&gt;"EX",0,--(COUNTIFS(nNIA,DATOS!$A12819,nCURSO,DATOS!$D12819,nESPEC,DATOS!$E12819,nASIG,DATOS!$I12819,nEVAL,"OR")=0))</f>
      </c>
      <c r="I12819">
        <f>IF(DATOS!$I12819="","",IFERROR(VLOOKUP(DATOS!$I12819,CONFIG_ASIGNATURAS!$B$2:$J$91,9,FALSE()),""))</f>
      </c>
    </row>
    <row r="12820">
      <c r="F12820">
        <f>IF(DATOS!$A12820="","",DATOS!$A12820&amp;"|"&amp;DATOS!$D12820&amp;"|"&amp;DATOS!$E12820&amp;"|"&amp;DATOS!$I12820)</f>
      </c>
      <c r="G12820">
        <f>IF(DATOS!$A12820="",0,IF(CONFIG_METADATA!$B$4&lt;&gt;"OR+EX",--(DATOS!$G12820=CONFIG_METADATA!$B$4),IF(DATOS!$G12820="EX",1,IF(DATOS!$G12820="OR",--(COUNTIFS(nNIA,DATOS!$A12820,nCURSO,DATOS!$D12820,nESPEC,DATOS!$E12820,nASIG,DATOS!$I12820,nEVAL,"EX")=0),0))))</f>
      </c>
      <c r="H12820">
        <f>IF(DATOS!$G12820&lt;&gt;"EX",0,--(COUNTIFS(nNIA,DATOS!$A12820,nCURSO,DATOS!$D12820,nESPEC,DATOS!$E12820,nASIG,DATOS!$I12820,nEVAL,"OR")=0))</f>
      </c>
      <c r="I12820">
        <f>IF(DATOS!$I12820="","",IFERROR(VLOOKUP(DATOS!$I12820,CONFIG_ASIGNATURAS!$B$2:$J$91,9,FALSE()),""))</f>
      </c>
    </row>
    <row r="12821">
      <c r="F12821">
        <f>IF(DATOS!$A12821="","",DATOS!$A12821&amp;"|"&amp;DATOS!$D12821&amp;"|"&amp;DATOS!$E12821&amp;"|"&amp;DATOS!$I12821)</f>
      </c>
      <c r="G12821">
        <f>IF(DATOS!$A12821="",0,IF(CONFIG_METADATA!$B$4&lt;&gt;"OR+EX",--(DATOS!$G12821=CONFIG_METADATA!$B$4),IF(DATOS!$G12821="EX",1,IF(DATOS!$G12821="OR",--(COUNTIFS(nNIA,DATOS!$A12821,nCURSO,DATOS!$D12821,nESPEC,DATOS!$E12821,nASIG,DATOS!$I12821,nEVAL,"EX")=0),0))))</f>
      </c>
      <c r="H12821">
        <f>IF(DATOS!$G12821&lt;&gt;"EX",0,--(COUNTIFS(nNIA,DATOS!$A12821,nCURSO,DATOS!$D12821,nESPEC,DATOS!$E12821,nASIG,DATOS!$I12821,nEVAL,"OR")=0))</f>
      </c>
      <c r="I12821">
        <f>IF(DATOS!$I12821="","",IFERROR(VLOOKUP(DATOS!$I12821,CONFIG_ASIGNATURAS!$B$2:$J$91,9,FALSE()),""))</f>
      </c>
    </row>
    <row r="12822">
      <c r="F12822">
        <f>IF(DATOS!$A12822="","",DATOS!$A12822&amp;"|"&amp;DATOS!$D12822&amp;"|"&amp;DATOS!$E12822&amp;"|"&amp;DATOS!$I12822)</f>
      </c>
      <c r="G12822">
        <f>IF(DATOS!$A12822="",0,IF(CONFIG_METADATA!$B$4&lt;&gt;"OR+EX",--(DATOS!$G12822=CONFIG_METADATA!$B$4),IF(DATOS!$G12822="EX",1,IF(DATOS!$G12822="OR",--(COUNTIFS(nNIA,DATOS!$A12822,nCURSO,DATOS!$D12822,nESPEC,DATOS!$E12822,nASIG,DATOS!$I12822,nEVAL,"EX")=0),0))))</f>
      </c>
      <c r="H12822">
        <f>IF(DATOS!$G12822&lt;&gt;"EX",0,--(COUNTIFS(nNIA,DATOS!$A12822,nCURSO,DATOS!$D12822,nESPEC,DATOS!$E12822,nASIG,DATOS!$I12822,nEVAL,"OR")=0))</f>
      </c>
      <c r="I12822">
        <f>IF(DATOS!$I12822="","",IFERROR(VLOOKUP(DATOS!$I12822,CONFIG_ASIGNATURAS!$B$2:$J$91,9,FALSE()),""))</f>
      </c>
    </row>
    <row r="12823">
      <c r="F12823">
        <f>IF(DATOS!$A12823="","",DATOS!$A12823&amp;"|"&amp;DATOS!$D12823&amp;"|"&amp;DATOS!$E12823&amp;"|"&amp;DATOS!$I12823)</f>
      </c>
      <c r="G12823">
        <f>IF(DATOS!$A12823="",0,IF(CONFIG_METADATA!$B$4&lt;&gt;"OR+EX",--(DATOS!$G12823=CONFIG_METADATA!$B$4),IF(DATOS!$G12823="EX",1,IF(DATOS!$G12823="OR",--(COUNTIFS(nNIA,DATOS!$A12823,nCURSO,DATOS!$D12823,nESPEC,DATOS!$E12823,nASIG,DATOS!$I12823,nEVAL,"EX")=0),0))))</f>
      </c>
      <c r="H12823">
        <f>IF(DATOS!$G12823&lt;&gt;"EX",0,--(COUNTIFS(nNIA,DATOS!$A12823,nCURSO,DATOS!$D12823,nESPEC,DATOS!$E12823,nASIG,DATOS!$I12823,nEVAL,"OR")=0))</f>
      </c>
      <c r="I12823">
        <f>IF(DATOS!$I12823="","",IFERROR(VLOOKUP(DATOS!$I12823,CONFIG_ASIGNATURAS!$B$2:$J$91,9,FALSE()),""))</f>
      </c>
    </row>
    <row r="12824">
      <c r="F12824">
        <f>IF(DATOS!$A12824="","",DATOS!$A12824&amp;"|"&amp;DATOS!$D12824&amp;"|"&amp;DATOS!$E12824&amp;"|"&amp;DATOS!$I12824)</f>
      </c>
      <c r="G12824">
        <f>IF(DATOS!$A12824="",0,IF(CONFIG_METADATA!$B$4&lt;&gt;"OR+EX",--(DATOS!$G12824=CONFIG_METADATA!$B$4),IF(DATOS!$G12824="EX",1,IF(DATOS!$G12824="OR",--(COUNTIFS(nNIA,DATOS!$A12824,nCURSO,DATOS!$D12824,nESPEC,DATOS!$E12824,nASIG,DATOS!$I12824,nEVAL,"EX")=0),0))))</f>
      </c>
      <c r="H12824">
        <f>IF(DATOS!$G12824&lt;&gt;"EX",0,--(COUNTIFS(nNIA,DATOS!$A12824,nCURSO,DATOS!$D12824,nESPEC,DATOS!$E12824,nASIG,DATOS!$I12824,nEVAL,"OR")=0))</f>
      </c>
      <c r="I12824">
        <f>IF(DATOS!$I12824="","",IFERROR(VLOOKUP(DATOS!$I12824,CONFIG_ASIGNATURAS!$B$2:$J$91,9,FALSE()),""))</f>
      </c>
    </row>
    <row r="12825">
      <c r="F12825">
        <f>IF(DATOS!$A12825="","",DATOS!$A12825&amp;"|"&amp;DATOS!$D12825&amp;"|"&amp;DATOS!$E12825&amp;"|"&amp;DATOS!$I12825)</f>
      </c>
      <c r="G12825">
        <f>IF(DATOS!$A12825="",0,IF(CONFIG_METADATA!$B$4&lt;&gt;"OR+EX",--(DATOS!$G12825=CONFIG_METADATA!$B$4),IF(DATOS!$G12825="EX",1,IF(DATOS!$G12825="OR",--(COUNTIFS(nNIA,DATOS!$A12825,nCURSO,DATOS!$D12825,nESPEC,DATOS!$E12825,nASIG,DATOS!$I12825,nEVAL,"EX")=0),0))))</f>
      </c>
      <c r="H12825">
        <f>IF(DATOS!$G12825&lt;&gt;"EX",0,--(COUNTIFS(nNIA,DATOS!$A12825,nCURSO,DATOS!$D12825,nESPEC,DATOS!$E12825,nASIG,DATOS!$I12825,nEVAL,"OR")=0))</f>
      </c>
      <c r="I12825">
        <f>IF(DATOS!$I12825="","",IFERROR(VLOOKUP(DATOS!$I12825,CONFIG_ASIGNATURAS!$B$2:$J$91,9,FALSE()),""))</f>
      </c>
    </row>
    <row r="12826">
      <c r="F12826">
        <f>IF(DATOS!$A12826="","",DATOS!$A12826&amp;"|"&amp;DATOS!$D12826&amp;"|"&amp;DATOS!$E12826&amp;"|"&amp;DATOS!$I12826)</f>
      </c>
      <c r="G12826">
        <f>IF(DATOS!$A12826="",0,IF(CONFIG_METADATA!$B$4&lt;&gt;"OR+EX",--(DATOS!$G12826=CONFIG_METADATA!$B$4),IF(DATOS!$G12826="EX",1,IF(DATOS!$G12826="OR",--(COUNTIFS(nNIA,DATOS!$A12826,nCURSO,DATOS!$D12826,nESPEC,DATOS!$E12826,nASIG,DATOS!$I12826,nEVAL,"EX")=0),0))))</f>
      </c>
      <c r="H12826">
        <f>IF(DATOS!$G12826&lt;&gt;"EX",0,--(COUNTIFS(nNIA,DATOS!$A12826,nCURSO,DATOS!$D12826,nESPEC,DATOS!$E12826,nASIG,DATOS!$I12826,nEVAL,"OR")=0))</f>
      </c>
      <c r="I12826">
        <f>IF(DATOS!$I12826="","",IFERROR(VLOOKUP(DATOS!$I12826,CONFIG_ASIGNATURAS!$B$2:$J$91,9,FALSE()),""))</f>
      </c>
    </row>
    <row r="12827">
      <c r="F12827">
        <f>IF(DATOS!$A12827="","",DATOS!$A12827&amp;"|"&amp;DATOS!$D12827&amp;"|"&amp;DATOS!$E12827&amp;"|"&amp;DATOS!$I12827)</f>
      </c>
      <c r="G12827">
        <f>IF(DATOS!$A12827="",0,IF(CONFIG_METADATA!$B$4&lt;&gt;"OR+EX",--(DATOS!$G12827=CONFIG_METADATA!$B$4),IF(DATOS!$G12827="EX",1,IF(DATOS!$G12827="OR",--(COUNTIFS(nNIA,DATOS!$A12827,nCURSO,DATOS!$D12827,nESPEC,DATOS!$E12827,nASIG,DATOS!$I12827,nEVAL,"EX")=0),0))))</f>
      </c>
      <c r="H12827">
        <f>IF(DATOS!$G12827&lt;&gt;"EX",0,--(COUNTIFS(nNIA,DATOS!$A12827,nCURSO,DATOS!$D12827,nESPEC,DATOS!$E12827,nASIG,DATOS!$I12827,nEVAL,"OR")=0))</f>
      </c>
      <c r="I12827">
        <f>IF(DATOS!$I12827="","",IFERROR(VLOOKUP(DATOS!$I12827,CONFIG_ASIGNATURAS!$B$2:$J$91,9,FALSE()),""))</f>
      </c>
    </row>
    <row r="12828">
      <c r="F12828">
        <f>IF(DATOS!$A12828="","",DATOS!$A12828&amp;"|"&amp;DATOS!$D12828&amp;"|"&amp;DATOS!$E12828&amp;"|"&amp;DATOS!$I12828)</f>
      </c>
      <c r="G12828">
        <f>IF(DATOS!$A12828="",0,IF(CONFIG_METADATA!$B$4&lt;&gt;"OR+EX",--(DATOS!$G12828=CONFIG_METADATA!$B$4),IF(DATOS!$G12828="EX",1,IF(DATOS!$G12828="OR",--(COUNTIFS(nNIA,DATOS!$A12828,nCURSO,DATOS!$D12828,nESPEC,DATOS!$E12828,nASIG,DATOS!$I12828,nEVAL,"EX")=0),0))))</f>
      </c>
      <c r="H12828">
        <f>IF(DATOS!$G12828&lt;&gt;"EX",0,--(COUNTIFS(nNIA,DATOS!$A12828,nCURSO,DATOS!$D12828,nESPEC,DATOS!$E12828,nASIG,DATOS!$I12828,nEVAL,"OR")=0))</f>
      </c>
      <c r="I12828">
        <f>IF(DATOS!$I12828="","",IFERROR(VLOOKUP(DATOS!$I12828,CONFIG_ASIGNATURAS!$B$2:$J$91,9,FALSE()),""))</f>
      </c>
    </row>
    <row r="12829">
      <c r="F12829">
        <f>IF(DATOS!$A12829="","",DATOS!$A12829&amp;"|"&amp;DATOS!$D12829&amp;"|"&amp;DATOS!$E12829&amp;"|"&amp;DATOS!$I12829)</f>
      </c>
      <c r="G12829">
        <f>IF(DATOS!$A12829="",0,IF(CONFIG_METADATA!$B$4&lt;&gt;"OR+EX",--(DATOS!$G12829=CONFIG_METADATA!$B$4),IF(DATOS!$G12829="EX",1,IF(DATOS!$G12829="OR",--(COUNTIFS(nNIA,DATOS!$A12829,nCURSO,DATOS!$D12829,nESPEC,DATOS!$E12829,nASIG,DATOS!$I12829,nEVAL,"EX")=0),0))))</f>
      </c>
      <c r="H12829">
        <f>IF(DATOS!$G12829&lt;&gt;"EX",0,--(COUNTIFS(nNIA,DATOS!$A12829,nCURSO,DATOS!$D12829,nESPEC,DATOS!$E12829,nASIG,DATOS!$I12829,nEVAL,"OR")=0))</f>
      </c>
      <c r="I12829">
        <f>IF(DATOS!$I12829="","",IFERROR(VLOOKUP(DATOS!$I12829,CONFIG_ASIGNATURAS!$B$2:$J$91,9,FALSE()),""))</f>
      </c>
    </row>
    <row r="12830">
      <c r="F12830">
        <f>IF(DATOS!$A12830="","",DATOS!$A12830&amp;"|"&amp;DATOS!$D12830&amp;"|"&amp;DATOS!$E12830&amp;"|"&amp;DATOS!$I12830)</f>
      </c>
      <c r="G12830">
        <f>IF(DATOS!$A12830="",0,IF(CONFIG_METADATA!$B$4&lt;&gt;"OR+EX",--(DATOS!$G12830=CONFIG_METADATA!$B$4),IF(DATOS!$G12830="EX",1,IF(DATOS!$G12830="OR",--(COUNTIFS(nNIA,DATOS!$A12830,nCURSO,DATOS!$D12830,nESPEC,DATOS!$E12830,nASIG,DATOS!$I12830,nEVAL,"EX")=0),0))))</f>
      </c>
      <c r="H12830">
        <f>IF(DATOS!$G12830&lt;&gt;"EX",0,--(COUNTIFS(nNIA,DATOS!$A12830,nCURSO,DATOS!$D12830,nESPEC,DATOS!$E12830,nASIG,DATOS!$I12830,nEVAL,"OR")=0))</f>
      </c>
      <c r="I12830">
        <f>IF(DATOS!$I12830="","",IFERROR(VLOOKUP(DATOS!$I12830,CONFIG_ASIGNATURAS!$B$2:$J$91,9,FALSE()),""))</f>
      </c>
    </row>
    <row r="12831">
      <c r="F12831">
        <f>IF(DATOS!$A12831="","",DATOS!$A12831&amp;"|"&amp;DATOS!$D12831&amp;"|"&amp;DATOS!$E12831&amp;"|"&amp;DATOS!$I12831)</f>
      </c>
      <c r="G12831">
        <f>IF(DATOS!$A12831="",0,IF(CONFIG_METADATA!$B$4&lt;&gt;"OR+EX",--(DATOS!$G12831=CONFIG_METADATA!$B$4),IF(DATOS!$G12831="EX",1,IF(DATOS!$G12831="OR",--(COUNTIFS(nNIA,DATOS!$A12831,nCURSO,DATOS!$D12831,nESPEC,DATOS!$E12831,nASIG,DATOS!$I12831,nEVAL,"EX")=0),0))))</f>
      </c>
      <c r="H12831">
        <f>IF(DATOS!$G12831&lt;&gt;"EX",0,--(COUNTIFS(nNIA,DATOS!$A12831,nCURSO,DATOS!$D12831,nESPEC,DATOS!$E12831,nASIG,DATOS!$I12831,nEVAL,"OR")=0))</f>
      </c>
      <c r="I12831">
        <f>IF(DATOS!$I12831="","",IFERROR(VLOOKUP(DATOS!$I12831,CONFIG_ASIGNATURAS!$B$2:$J$91,9,FALSE()),""))</f>
      </c>
    </row>
    <row r="12832">
      <c r="F12832">
        <f>IF(DATOS!$A12832="","",DATOS!$A12832&amp;"|"&amp;DATOS!$D12832&amp;"|"&amp;DATOS!$E12832&amp;"|"&amp;DATOS!$I12832)</f>
      </c>
      <c r="G12832">
        <f>IF(DATOS!$A12832="",0,IF(CONFIG_METADATA!$B$4&lt;&gt;"OR+EX",--(DATOS!$G12832=CONFIG_METADATA!$B$4),IF(DATOS!$G12832="EX",1,IF(DATOS!$G12832="OR",--(COUNTIFS(nNIA,DATOS!$A12832,nCURSO,DATOS!$D12832,nESPEC,DATOS!$E12832,nASIG,DATOS!$I12832,nEVAL,"EX")=0),0))))</f>
      </c>
      <c r="H12832">
        <f>IF(DATOS!$G12832&lt;&gt;"EX",0,--(COUNTIFS(nNIA,DATOS!$A12832,nCURSO,DATOS!$D12832,nESPEC,DATOS!$E12832,nASIG,DATOS!$I12832,nEVAL,"OR")=0))</f>
      </c>
      <c r="I12832">
        <f>IF(DATOS!$I12832="","",IFERROR(VLOOKUP(DATOS!$I12832,CONFIG_ASIGNATURAS!$B$2:$J$91,9,FALSE()),""))</f>
      </c>
    </row>
    <row r="12833">
      <c r="F12833">
        <f>IF(DATOS!$A12833="","",DATOS!$A12833&amp;"|"&amp;DATOS!$D12833&amp;"|"&amp;DATOS!$E12833&amp;"|"&amp;DATOS!$I12833)</f>
      </c>
      <c r="G12833">
        <f>IF(DATOS!$A12833="",0,IF(CONFIG_METADATA!$B$4&lt;&gt;"OR+EX",--(DATOS!$G12833=CONFIG_METADATA!$B$4),IF(DATOS!$G12833="EX",1,IF(DATOS!$G12833="OR",--(COUNTIFS(nNIA,DATOS!$A12833,nCURSO,DATOS!$D12833,nESPEC,DATOS!$E12833,nASIG,DATOS!$I12833,nEVAL,"EX")=0),0))))</f>
      </c>
      <c r="H12833">
        <f>IF(DATOS!$G12833&lt;&gt;"EX",0,--(COUNTIFS(nNIA,DATOS!$A12833,nCURSO,DATOS!$D12833,nESPEC,DATOS!$E12833,nASIG,DATOS!$I12833,nEVAL,"OR")=0))</f>
      </c>
      <c r="I12833">
        <f>IF(DATOS!$I12833="","",IFERROR(VLOOKUP(DATOS!$I12833,CONFIG_ASIGNATURAS!$B$2:$J$91,9,FALSE()),""))</f>
      </c>
    </row>
    <row r="12834">
      <c r="F12834">
        <f>IF(DATOS!$A12834="","",DATOS!$A12834&amp;"|"&amp;DATOS!$D12834&amp;"|"&amp;DATOS!$E12834&amp;"|"&amp;DATOS!$I12834)</f>
      </c>
      <c r="G12834">
        <f>IF(DATOS!$A12834="",0,IF(CONFIG_METADATA!$B$4&lt;&gt;"OR+EX",--(DATOS!$G12834=CONFIG_METADATA!$B$4),IF(DATOS!$G12834="EX",1,IF(DATOS!$G12834="OR",--(COUNTIFS(nNIA,DATOS!$A12834,nCURSO,DATOS!$D12834,nESPEC,DATOS!$E12834,nASIG,DATOS!$I12834,nEVAL,"EX")=0),0))))</f>
      </c>
      <c r="H12834">
        <f>IF(DATOS!$G12834&lt;&gt;"EX",0,--(COUNTIFS(nNIA,DATOS!$A12834,nCURSO,DATOS!$D12834,nESPEC,DATOS!$E12834,nASIG,DATOS!$I12834,nEVAL,"OR")=0))</f>
      </c>
      <c r="I12834">
        <f>IF(DATOS!$I12834="","",IFERROR(VLOOKUP(DATOS!$I12834,CONFIG_ASIGNATURAS!$B$2:$J$91,9,FALSE()),""))</f>
      </c>
    </row>
    <row r="12835">
      <c r="F12835">
        <f>IF(DATOS!$A12835="","",DATOS!$A12835&amp;"|"&amp;DATOS!$D12835&amp;"|"&amp;DATOS!$E12835&amp;"|"&amp;DATOS!$I12835)</f>
      </c>
      <c r="G12835">
        <f>IF(DATOS!$A12835="",0,IF(CONFIG_METADATA!$B$4&lt;&gt;"OR+EX",--(DATOS!$G12835=CONFIG_METADATA!$B$4),IF(DATOS!$G12835="EX",1,IF(DATOS!$G12835="OR",--(COUNTIFS(nNIA,DATOS!$A12835,nCURSO,DATOS!$D12835,nESPEC,DATOS!$E12835,nASIG,DATOS!$I12835,nEVAL,"EX")=0),0))))</f>
      </c>
      <c r="H12835">
        <f>IF(DATOS!$G12835&lt;&gt;"EX",0,--(COUNTIFS(nNIA,DATOS!$A12835,nCURSO,DATOS!$D12835,nESPEC,DATOS!$E12835,nASIG,DATOS!$I12835,nEVAL,"OR")=0))</f>
      </c>
      <c r="I12835">
        <f>IF(DATOS!$I12835="","",IFERROR(VLOOKUP(DATOS!$I12835,CONFIG_ASIGNATURAS!$B$2:$J$91,9,FALSE()),""))</f>
      </c>
    </row>
    <row r="12836">
      <c r="F12836">
        <f>IF(DATOS!$A12836="","",DATOS!$A12836&amp;"|"&amp;DATOS!$D12836&amp;"|"&amp;DATOS!$E12836&amp;"|"&amp;DATOS!$I12836)</f>
      </c>
      <c r="G12836">
        <f>IF(DATOS!$A12836="",0,IF(CONFIG_METADATA!$B$4&lt;&gt;"OR+EX",--(DATOS!$G12836=CONFIG_METADATA!$B$4),IF(DATOS!$G12836="EX",1,IF(DATOS!$G12836="OR",--(COUNTIFS(nNIA,DATOS!$A12836,nCURSO,DATOS!$D12836,nESPEC,DATOS!$E12836,nASIG,DATOS!$I12836,nEVAL,"EX")=0),0))))</f>
      </c>
      <c r="H12836">
        <f>IF(DATOS!$G12836&lt;&gt;"EX",0,--(COUNTIFS(nNIA,DATOS!$A12836,nCURSO,DATOS!$D12836,nESPEC,DATOS!$E12836,nASIG,DATOS!$I12836,nEVAL,"OR")=0))</f>
      </c>
      <c r="I12836">
        <f>IF(DATOS!$I12836="","",IFERROR(VLOOKUP(DATOS!$I12836,CONFIG_ASIGNATURAS!$B$2:$J$91,9,FALSE()),""))</f>
      </c>
    </row>
    <row r="12837">
      <c r="F12837">
        <f>IF(DATOS!$A12837="","",DATOS!$A12837&amp;"|"&amp;DATOS!$D12837&amp;"|"&amp;DATOS!$E12837&amp;"|"&amp;DATOS!$I12837)</f>
      </c>
      <c r="G12837">
        <f>IF(DATOS!$A12837="",0,IF(CONFIG_METADATA!$B$4&lt;&gt;"OR+EX",--(DATOS!$G12837=CONFIG_METADATA!$B$4),IF(DATOS!$G12837="EX",1,IF(DATOS!$G12837="OR",--(COUNTIFS(nNIA,DATOS!$A12837,nCURSO,DATOS!$D12837,nESPEC,DATOS!$E12837,nASIG,DATOS!$I12837,nEVAL,"EX")=0),0))))</f>
      </c>
      <c r="H12837">
        <f>IF(DATOS!$G12837&lt;&gt;"EX",0,--(COUNTIFS(nNIA,DATOS!$A12837,nCURSO,DATOS!$D12837,nESPEC,DATOS!$E12837,nASIG,DATOS!$I12837,nEVAL,"OR")=0))</f>
      </c>
      <c r="I12837">
        <f>IF(DATOS!$I12837="","",IFERROR(VLOOKUP(DATOS!$I12837,CONFIG_ASIGNATURAS!$B$2:$J$91,9,FALSE()),""))</f>
      </c>
    </row>
    <row r="12838">
      <c r="F12838">
        <f>IF(DATOS!$A12838="","",DATOS!$A12838&amp;"|"&amp;DATOS!$D12838&amp;"|"&amp;DATOS!$E12838&amp;"|"&amp;DATOS!$I12838)</f>
      </c>
      <c r="G12838">
        <f>IF(DATOS!$A12838="",0,IF(CONFIG_METADATA!$B$4&lt;&gt;"OR+EX",--(DATOS!$G12838=CONFIG_METADATA!$B$4),IF(DATOS!$G12838="EX",1,IF(DATOS!$G12838="OR",--(COUNTIFS(nNIA,DATOS!$A12838,nCURSO,DATOS!$D12838,nESPEC,DATOS!$E12838,nASIG,DATOS!$I12838,nEVAL,"EX")=0),0))))</f>
      </c>
      <c r="H12838">
        <f>IF(DATOS!$G12838&lt;&gt;"EX",0,--(COUNTIFS(nNIA,DATOS!$A12838,nCURSO,DATOS!$D12838,nESPEC,DATOS!$E12838,nASIG,DATOS!$I12838,nEVAL,"OR")=0))</f>
      </c>
      <c r="I12838">
        <f>IF(DATOS!$I12838="","",IFERROR(VLOOKUP(DATOS!$I12838,CONFIG_ASIGNATURAS!$B$2:$J$91,9,FALSE()),""))</f>
      </c>
    </row>
    <row r="12839">
      <c r="F12839">
        <f>IF(DATOS!$A12839="","",DATOS!$A12839&amp;"|"&amp;DATOS!$D12839&amp;"|"&amp;DATOS!$E12839&amp;"|"&amp;DATOS!$I12839)</f>
      </c>
      <c r="G12839">
        <f>IF(DATOS!$A12839="",0,IF(CONFIG_METADATA!$B$4&lt;&gt;"OR+EX",--(DATOS!$G12839=CONFIG_METADATA!$B$4),IF(DATOS!$G12839="EX",1,IF(DATOS!$G12839="OR",--(COUNTIFS(nNIA,DATOS!$A12839,nCURSO,DATOS!$D12839,nESPEC,DATOS!$E12839,nASIG,DATOS!$I12839,nEVAL,"EX")=0),0))))</f>
      </c>
      <c r="H12839">
        <f>IF(DATOS!$G12839&lt;&gt;"EX",0,--(COUNTIFS(nNIA,DATOS!$A12839,nCURSO,DATOS!$D12839,nESPEC,DATOS!$E12839,nASIG,DATOS!$I12839,nEVAL,"OR")=0))</f>
      </c>
      <c r="I12839">
        <f>IF(DATOS!$I12839="","",IFERROR(VLOOKUP(DATOS!$I12839,CONFIG_ASIGNATURAS!$B$2:$J$91,9,FALSE()),""))</f>
      </c>
    </row>
    <row r="12840">
      <c r="F12840">
        <f>IF(DATOS!$A12840="","",DATOS!$A12840&amp;"|"&amp;DATOS!$D12840&amp;"|"&amp;DATOS!$E12840&amp;"|"&amp;DATOS!$I12840)</f>
      </c>
      <c r="G12840">
        <f>IF(DATOS!$A12840="",0,IF(CONFIG_METADATA!$B$4&lt;&gt;"OR+EX",--(DATOS!$G12840=CONFIG_METADATA!$B$4),IF(DATOS!$G12840="EX",1,IF(DATOS!$G12840="OR",--(COUNTIFS(nNIA,DATOS!$A12840,nCURSO,DATOS!$D12840,nESPEC,DATOS!$E12840,nASIG,DATOS!$I12840,nEVAL,"EX")=0),0))))</f>
      </c>
      <c r="H12840">
        <f>IF(DATOS!$G12840&lt;&gt;"EX",0,--(COUNTIFS(nNIA,DATOS!$A12840,nCURSO,DATOS!$D12840,nESPEC,DATOS!$E12840,nASIG,DATOS!$I12840,nEVAL,"OR")=0))</f>
      </c>
      <c r="I12840">
        <f>IF(DATOS!$I12840="","",IFERROR(VLOOKUP(DATOS!$I12840,CONFIG_ASIGNATURAS!$B$2:$J$91,9,FALSE()),""))</f>
      </c>
    </row>
    <row r="12841">
      <c r="F12841">
        <f>IF(DATOS!$A12841="","",DATOS!$A12841&amp;"|"&amp;DATOS!$D12841&amp;"|"&amp;DATOS!$E12841&amp;"|"&amp;DATOS!$I12841)</f>
      </c>
      <c r="G12841">
        <f>IF(DATOS!$A12841="",0,IF(CONFIG_METADATA!$B$4&lt;&gt;"OR+EX",--(DATOS!$G12841=CONFIG_METADATA!$B$4),IF(DATOS!$G12841="EX",1,IF(DATOS!$G12841="OR",--(COUNTIFS(nNIA,DATOS!$A12841,nCURSO,DATOS!$D12841,nESPEC,DATOS!$E12841,nASIG,DATOS!$I12841,nEVAL,"EX")=0),0))))</f>
      </c>
      <c r="H12841">
        <f>IF(DATOS!$G12841&lt;&gt;"EX",0,--(COUNTIFS(nNIA,DATOS!$A12841,nCURSO,DATOS!$D12841,nESPEC,DATOS!$E12841,nASIG,DATOS!$I12841,nEVAL,"OR")=0))</f>
      </c>
      <c r="I12841">
        <f>IF(DATOS!$I12841="","",IFERROR(VLOOKUP(DATOS!$I12841,CONFIG_ASIGNATURAS!$B$2:$J$91,9,FALSE()),""))</f>
      </c>
    </row>
    <row r="12842">
      <c r="F12842">
        <f>IF(DATOS!$A12842="","",DATOS!$A12842&amp;"|"&amp;DATOS!$D12842&amp;"|"&amp;DATOS!$E12842&amp;"|"&amp;DATOS!$I12842)</f>
      </c>
      <c r="G12842">
        <f>IF(DATOS!$A12842="",0,IF(CONFIG_METADATA!$B$4&lt;&gt;"OR+EX",--(DATOS!$G12842=CONFIG_METADATA!$B$4),IF(DATOS!$G12842="EX",1,IF(DATOS!$G12842="OR",--(COUNTIFS(nNIA,DATOS!$A12842,nCURSO,DATOS!$D12842,nESPEC,DATOS!$E12842,nASIG,DATOS!$I12842,nEVAL,"EX")=0),0))))</f>
      </c>
      <c r="H12842">
        <f>IF(DATOS!$G12842&lt;&gt;"EX",0,--(COUNTIFS(nNIA,DATOS!$A12842,nCURSO,DATOS!$D12842,nESPEC,DATOS!$E12842,nASIG,DATOS!$I12842,nEVAL,"OR")=0))</f>
      </c>
      <c r="I12842">
        <f>IF(DATOS!$I12842="","",IFERROR(VLOOKUP(DATOS!$I12842,CONFIG_ASIGNATURAS!$B$2:$J$91,9,FALSE()),""))</f>
      </c>
    </row>
    <row r="12843">
      <c r="F12843">
        <f>IF(DATOS!$A12843="","",DATOS!$A12843&amp;"|"&amp;DATOS!$D12843&amp;"|"&amp;DATOS!$E12843&amp;"|"&amp;DATOS!$I12843)</f>
      </c>
      <c r="G12843">
        <f>IF(DATOS!$A12843="",0,IF(CONFIG_METADATA!$B$4&lt;&gt;"OR+EX",--(DATOS!$G12843=CONFIG_METADATA!$B$4),IF(DATOS!$G12843="EX",1,IF(DATOS!$G12843="OR",--(COUNTIFS(nNIA,DATOS!$A12843,nCURSO,DATOS!$D12843,nESPEC,DATOS!$E12843,nASIG,DATOS!$I12843,nEVAL,"EX")=0),0))))</f>
      </c>
      <c r="H12843">
        <f>IF(DATOS!$G12843&lt;&gt;"EX",0,--(COUNTIFS(nNIA,DATOS!$A12843,nCURSO,DATOS!$D12843,nESPEC,DATOS!$E12843,nASIG,DATOS!$I12843,nEVAL,"OR")=0))</f>
      </c>
      <c r="I12843">
        <f>IF(DATOS!$I12843="","",IFERROR(VLOOKUP(DATOS!$I12843,CONFIG_ASIGNATURAS!$B$2:$J$91,9,FALSE()),""))</f>
      </c>
    </row>
    <row r="12844">
      <c r="F12844">
        <f>IF(DATOS!$A12844="","",DATOS!$A12844&amp;"|"&amp;DATOS!$D12844&amp;"|"&amp;DATOS!$E12844&amp;"|"&amp;DATOS!$I12844)</f>
      </c>
      <c r="G12844">
        <f>IF(DATOS!$A12844="",0,IF(CONFIG_METADATA!$B$4&lt;&gt;"OR+EX",--(DATOS!$G12844=CONFIG_METADATA!$B$4),IF(DATOS!$G12844="EX",1,IF(DATOS!$G12844="OR",--(COUNTIFS(nNIA,DATOS!$A12844,nCURSO,DATOS!$D12844,nESPEC,DATOS!$E12844,nASIG,DATOS!$I12844,nEVAL,"EX")=0),0))))</f>
      </c>
      <c r="H12844">
        <f>IF(DATOS!$G12844&lt;&gt;"EX",0,--(COUNTIFS(nNIA,DATOS!$A12844,nCURSO,DATOS!$D12844,nESPEC,DATOS!$E12844,nASIG,DATOS!$I12844,nEVAL,"OR")=0))</f>
      </c>
      <c r="I12844">
        <f>IF(DATOS!$I12844="","",IFERROR(VLOOKUP(DATOS!$I12844,CONFIG_ASIGNATURAS!$B$2:$J$91,9,FALSE()),""))</f>
      </c>
    </row>
    <row r="12845">
      <c r="F12845">
        <f>IF(DATOS!$A12845="","",DATOS!$A12845&amp;"|"&amp;DATOS!$D12845&amp;"|"&amp;DATOS!$E12845&amp;"|"&amp;DATOS!$I12845)</f>
      </c>
      <c r="G12845">
        <f>IF(DATOS!$A12845="",0,IF(CONFIG_METADATA!$B$4&lt;&gt;"OR+EX",--(DATOS!$G12845=CONFIG_METADATA!$B$4),IF(DATOS!$G12845="EX",1,IF(DATOS!$G12845="OR",--(COUNTIFS(nNIA,DATOS!$A12845,nCURSO,DATOS!$D12845,nESPEC,DATOS!$E12845,nASIG,DATOS!$I12845,nEVAL,"EX")=0),0))))</f>
      </c>
      <c r="H12845">
        <f>IF(DATOS!$G12845&lt;&gt;"EX",0,--(COUNTIFS(nNIA,DATOS!$A12845,nCURSO,DATOS!$D12845,nESPEC,DATOS!$E12845,nASIG,DATOS!$I12845,nEVAL,"OR")=0))</f>
      </c>
      <c r="I12845">
        <f>IF(DATOS!$I12845="","",IFERROR(VLOOKUP(DATOS!$I12845,CONFIG_ASIGNATURAS!$B$2:$J$91,9,FALSE()),""))</f>
      </c>
    </row>
    <row r="12846">
      <c r="F12846">
        <f>IF(DATOS!$A12846="","",DATOS!$A12846&amp;"|"&amp;DATOS!$D12846&amp;"|"&amp;DATOS!$E12846&amp;"|"&amp;DATOS!$I12846)</f>
      </c>
      <c r="G12846">
        <f>IF(DATOS!$A12846="",0,IF(CONFIG_METADATA!$B$4&lt;&gt;"OR+EX",--(DATOS!$G12846=CONFIG_METADATA!$B$4),IF(DATOS!$G12846="EX",1,IF(DATOS!$G12846="OR",--(COUNTIFS(nNIA,DATOS!$A12846,nCURSO,DATOS!$D12846,nESPEC,DATOS!$E12846,nASIG,DATOS!$I12846,nEVAL,"EX")=0),0))))</f>
      </c>
      <c r="H12846">
        <f>IF(DATOS!$G12846&lt;&gt;"EX",0,--(COUNTIFS(nNIA,DATOS!$A12846,nCURSO,DATOS!$D12846,nESPEC,DATOS!$E12846,nASIG,DATOS!$I12846,nEVAL,"OR")=0))</f>
      </c>
      <c r="I12846">
        <f>IF(DATOS!$I12846="","",IFERROR(VLOOKUP(DATOS!$I12846,CONFIG_ASIGNATURAS!$B$2:$J$91,9,FALSE()),""))</f>
      </c>
    </row>
    <row r="12847">
      <c r="F12847">
        <f>IF(DATOS!$A12847="","",DATOS!$A12847&amp;"|"&amp;DATOS!$D12847&amp;"|"&amp;DATOS!$E12847&amp;"|"&amp;DATOS!$I12847)</f>
      </c>
      <c r="G12847">
        <f>IF(DATOS!$A12847="",0,IF(CONFIG_METADATA!$B$4&lt;&gt;"OR+EX",--(DATOS!$G12847=CONFIG_METADATA!$B$4),IF(DATOS!$G12847="EX",1,IF(DATOS!$G12847="OR",--(COUNTIFS(nNIA,DATOS!$A12847,nCURSO,DATOS!$D12847,nESPEC,DATOS!$E12847,nASIG,DATOS!$I12847,nEVAL,"EX")=0),0))))</f>
      </c>
      <c r="H12847">
        <f>IF(DATOS!$G12847&lt;&gt;"EX",0,--(COUNTIFS(nNIA,DATOS!$A12847,nCURSO,DATOS!$D12847,nESPEC,DATOS!$E12847,nASIG,DATOS!$I12847,nEVAL,"OR")=0))</f>
      </c>
      <c r="I12847">
        <f>IF(DATOS!$I12847="","",IFERROR(VLOOKUP(DATOS!$I12847,CONFIG_ASIGNATURAS!$B$2:$J$91,9,FALSE()),""))</f>
      </c>
    </row>
    <row r="12848">
      <c r="F12848">
        <f>IF(DATOS!$A12848="","",DATOS!$A12848&amp;"|"&amp;DATOS!$D12848&amp;"|"&amp;DATOS!$E12848&amp;"|"&amp;DATOS!$I12848)</f>
      </c>
      <c r="G12848">
        <f>IF(DATOS!$A12848="",0,IF(CONFIG_METADATA!$B$4&lt;&gt;"OR+EX",--(DATOS!$G12848=CONFIG_METADATA!$B$4),IF(DATOS!$G12848="EX",1,IF(DATOS!$G12848="OR",--(COUNTIFS(nNIA,DATOS!$A12848,nCURSO,DATOS!$D12848,nESPEC,DATOS!$E12848,nASIG,DATOS!$I12848,nEVAL,"EX")=0),0))))</f>
      </c>
      <c r="H12848">
        <f>IF(DATOS!$G12848&lt;&gt;"EX",0,--(COUNTIFS(nNIA,DATOS!$A12848,nCURSO,DATOS!$D12848,nESPEC,DATOS!$E12848,nASIG,DATOS!$I12848,nEVAL,"OR")=0))</f>
      </c>
      <c r="I12848">
        <f>IF(DATOS!$I12848="","",IFERROR(VLOOKUP(DATOS!$I12848,CONFIG_ASIGNATURAS!$B$2:$J$91,9,FALSE()),""))</f>
      </c>
    </row>
    <row r="12849">
      <c r="F12849">
        <f>IF(DATOS!$A12849="","",DATOS!$A12849&amp;"|"&amp;DATOS!$D12849&amp;"|"&amp;DATOS!$E12849&amp;"|"&amp;DATOS!$I12849)</f>
      </c>
      <c r="G12849">
        <f>IF(DATOS!$A12849="",0,IF(CONFIG_METADATA!$B$4&lt;&gt;"OR+EX",--(DATOS!$G12849=CONFIG_METADATA!$B$4),IF(DATOS!$G12849="EX",1,IF(DATOS!$G12849="OR",--(COUNTIFS(nNIA,DATOS!$A12849,nCURSO,DATOS!$D12849,nESPEC,DATOS!$E12849,nASIG,DATOS!$I12849,nEVAL,"EX")=0),0))))</f>
      </c>
      <c r="H12849">
        <f>IF(DATOS!$G12849&lt;&gt;"EX",0,--(COUNTIFS(nNIA,DATOS!$A12849,nCURSO,DATOS!$D12849,nESPEC,DATOS!$E12849,nASIG,DATOS!$I12849,nEVAL,"OR")=0))</f>
      </c>
      <c r="I12849">
        <f>IF(DATOS!$I12849="","",IFERROR(VLOOKUP(DATOS!$I12849,CONFIG_ASIGNATURAS!$B$2:$J$91,9,FALSE()),""))</f>
      </c>
    </row>
    <row r="12850">
      <c r="F12850">
        <f>IF(DATOS!$A12850="","",DATOS!$A12850&amp;"|"&amp;DATOS!$D12850&amp;"|"&amp;DATOS!$E12850&amp;"|"&amp;DATOS!$I12850)</f>
      </c>
      <c r="G12850">
        <f>IF(DATOS!$A12850="",0,IF(CONFIG_METADATA!$B$4&lt;&gt;"OR+EX",--(DATOS!$G12850=CONFIG_METADATA!$B$4),IF(DATOS!$G12850="EX",1,IF(DATOS!$G12850="OR",--(COUNTIFS(nNIA,DATOS!$A12850,nCURSO,DATOS!$D12850,nESPEC,DATOS!$E12850,nASIG,DATOS!$I12850,nEVAL,"EX")=0),0))))</f>
      </c>
      <c r="H12850">
        <f>IF(DATOS!$G12850&lt;&gt;"EX",0,--(COUNTIFS(nNIA,DATOS!$A12850,nCURSO,DATOS!$D12850,nESPEC,DATOS!$E12850,nASIG,DATOS!$I12850,nEVAL,"OR")=0))</f>
      </c>
      <c r="I12850">
        <f>IF(DATOS!$I12850="","",IFERROR(VLOOKUP(DATOS!$I12850,CONFIG_ASIGNATURAS!$B$2:$J$91,9,FALSE()),""))</f>
      </c>
    </row>
    <row r="12851">
      <c r="F12851">
        <f>IF(DATOS!$A12851="","",DATOS!$A12851&amp;"|"&amp;DATOS!$D12851&amp;"|"&amp;DATOS!$E12851&amp;"|"&amp;DATOS!$I12851)</f>
      </c>
      <c r="G12851">
        <f>IF(DATOS!$A12851="",0,IF(CONFIG_METADATA!$B$4&lt;&gt;"OR+EX",--(DATOS!$G12851=CONFIG_METADATA!$B$4),IF(DATOS!$G12851="EX",1,IF(DATOS!$G12851="OR",--(COUNTIFS(nNIA,DATOS!$A12851,nCURSO,DATOS!$D12851,nESPEC,DATOS!$E12851,nASIG,DATOS!$I12851,nEVAL,"EX")=0),0))))</f>
      </c>
      <c r="H12851">
        <f>IF(DATOS!$G12851&lt;&gt;"EX",0,--(COUNTIFS(nNIA,DATOS!$A12851,nCURSO,DATOS!$D12851,nESPEC,DATOS!$E12851,nASIG,DATOS!$I12851,nEVAL,"OR")=0))</f>
      </c>
      <c r="I12851">
        <f>IF(DATOS!$I12851="","",IFERROR(VLOOKUP(DATOS!$I12851,CONFIG_ASIGNATURAS!$B$2:$J$91,9,FALSE()),""))</f>
      </c>
    </row>
    <row r="12852">
      <c r="F12852">
        <f>IF(DATOS!$A12852="","",DATOS!$A12852&amp;"|"&amp;DATOS!$D12852&amp;"|"&amp;DATOS!$E12852&amp;"|"&amp;DATOS!$I12852)</f>
      </c>
      <c r="G12852">
        <f>IF(DATOS!$A12852="",0,IF(CONFIG_METADATA!$B$4&lt;&gt;"OR+EX",--(DATOS!$G12852=CONFIG_METADATA!$B$4),IF(DATOS!$G12852="EX",1,IF(DATOS!$G12852="OR",--(COUNTIFS(nNIA,DATOS!$A12852,nCURSO,DATOS!$D12852,nESPEC,DATOS!$E12852,nASIG,DATOS!$I12852,nEVAL,"EX")=0),0))))</f>
      </c>
      <c r="H12852">
        <f>IF(DATOS!$G12852&lt;&gt;"EX",0,--(COUNTIFS(nNIA,DATOS!$A12852,nCURSO,DATOS!$D12852,nESPEC,DATOS!$E12852,nASIG,DATOS!$I12852,nEVAL,"OR")=0))</f>
      </c>
      <c r="I12852">
        <f>IF(DATOS!$I12852="","",IFERROR(VLOOKUP(DATOS!$I12852,CONFIG_ASIGNATURAS!$B$2:$J$91,9,FALSE()),""))</f>
      </c>
    </row>
    <row r="12853">
      <c r="F12853">
        <f>IF(DATOS!$A12853="","",DATOS!$A12853&amp;"|"&amp;DATOS!$D12853&amp;"|"&amp;DATOS!$E12853&amp;"|"&amp;DATOS!$I12853)</f>
      </c>
      <c r="G12853">
        <f>IF(DATOS!$A12853="",0,IF(CONFIG_METADATA!$B$4&lt;&gt;"OR+EX",--(DATOS!$G12853=CONFIG_METADATA!$B$4),IF(DATOS!$G12853="EX",1,IF(DATOS!$G12853="OR",--(COUNTIFS(nNIA,DATOS!$A12853,nCURSO,DATOS!$D12853,nESPEC,DATOS!$E12853,nASIG,DATOS!$I12853,nEVAL,"EX")=0),0))))</f>
      </c>
      <c r="H12853">
        <f>IF(DATOS!$G12853&lt;&gt;"EX",0,--(COUNTIFS(nNIA,DATOS!$A12853,nCURSO,DATOS!$D12853,nESPEC,DATOS!$E12853,nASIG,DATOS!$I12853,nEVAL,"OR")=0))</f>
      </c>
      <c r="I12853">
        <f>IF(DATOS!$I12853="","",IFERROR(VLOOKUP(DATOS!$I12853,CONFIG_ASIGNATURAS!$B$2:$J$91,9,FALSE()),""))</f>
      </c>
    </row>
    <row r="12854">
      <c r="F12854">
        <f>IF(DATOS!$A12854="","",DATOS!$A12854&amp;"|"&amp;DATOS!$D12854&amp;"|"&amp;DATOS!$E12854&amp;"|"&amp;DATOS!$I12854)</f>
      </c>
      <c r="G12854">
        <f>IF(DATOS!$A12854="",0,IF(CONFIG_METADATA!$B$4&lt;&gt;"OR+EX",--(DATOS!$G12854=CONFIG_METADATA!$B$4),IF(DATOS!$G12854="EX",1,IF(DATOS!$G12854="OR",--(COUNTIFS(nNIA,DATOS!$A12854,nCURSO,DATOS!$D12854,nESPEC,DATOS!$E12854,nASIG,DATOS!$I12854,nEVAL,"EX")=0),0))))</f>
      </c>
      <c r="H12854">
        <f>IF(DATOS!$G12854&lt;&gt;"EX",0,--(COUNTIFS(nNIA,DATOS!$A12854,nCURSO,DATOS!$D12854,nESPEC,DATOS!$E12854,nASIG,DATOS!$I12854,nEVAL,"OR")=0))</f>
      </c>
      <c r="I12854">
        <f>IF(DATOS!$I12854="","",IFERROR(VLOOKUP(DATOS!$I12854,CONFIG_ASIGNATURAS!$B$2:$J$91,9,FALSE()),""))</f>
      </c>
    </row>
    <row r="12855">
      <c r="F12855">
        <f>IF(DATOS!$A12855="","",DATOS!$A12855&amp;"|"&amp;DATOS!$D12855&amp;"|"&amp;DATOS!$E12855&amp;"|"&amp;DATOS!$I12855)</f>
      </c>
      <c r="G12855">
        <f>IF(DATOS!$A12855="",0,IF(CONFIG_METADATA!$B$4&lt;&gt;"OR+EX",--(DATOS!$G12855=CONFIG_METADATA!$B$4),IF(DATOS!$G12855="EX",1,IF(DATOS!$G12855="OR",--(COUNTIFS(nNIA,DATOS!$A12855,nCURSO,DATOS!$D12855,nESPEC,DATOS!$E12855,nASIG,DATOS!$I12855,nEVAL,"EX")=0),0))))</f>
      </c>
      <c r="H12855">
        <f>IF(DATOS!$G12855&lt;&gt;"EX",0,--(COUNTIFS(nNIA,DATOS!$A12855,nCURSO,DATOS!$D12855,nESPEC,DATOS!$E12855,nASIG,DATOS!$I12855,nEVAL,"OR")=0))</f>
      </c>
      <c r="I12855">
        <f>IF(DATOS!$I12855="","",IFERROR(VLOOKUP(DATOS!$I12855,CONFIG_ASIGNATURAS!$B$2:$J$91,9,FALSE()),""))</f>
      </c>
    </row>
    <row r="12856">
      <c r="F12856">
        <f>IF(DATOS!$A12856="","",DATOS!$A12856&amp;"|"&amp;DATOS!$D12856&amp;"|"&amp;DATOS!$E12856&amp;"|"&amp;DATOS!$I12856)</f>
      </c>
      <c r="G12856">
        <f>IF(DATOS!$A12856="",0,IF(CONFIG_METADATA!$B$4&lt;&gt;"OR+EX",--(DATOS!$G12856=CONFIG_METADATA!$B$4),IF(DATOS!$G12856="EX",1,IF(DATOS!$G12856="OR",--(COUNTIFS(nNIA,DATOS!$A12856,nCURSO,DATOS!$D12856,nESPEC,DATOS!$E12856,nASIG,DATOS!$I12856,nEVAL,"EX")=0),0))))</f>
      </c>
      <c r="H12856">
        <f>IF(DATOS!$G12856&lt;&gt;"EX",0,--(COUNTIFS(nNIA,DATOS!$A12856,nCURSO,DATOS!$D12856,nESPEC,DATOS!$E12856,nASIG,DATOS!$I12856,nEVAL,"OR")=0))</f>
      </c>
      <c r="I12856">
        <f>IF(DATOS!$I12856="","",IFERROR(VLOOKUP(DATOS!$I12856,CONFIG_ASIGNATURAS!$B$2:$J$91,9,FALSE()),""))</f>
      </c>
    </row>
    <row r="12857">
      <c r="F12857">
        <f>IF(DATOS!$A12857="","",DATOS!$A12857&amp;"|"&amp;DATOS!$D12857&amp;"|"&amp;DATOS!$E12857&amp;"|"&amp;DATOS!$I12857)</f>
      </c>
      <c r="G12857">
        <f>IF(DATOS!$A12857="",0,IF(CONFIG_METADATA!$B$4&lt;&gt;"OR+EX",--(DATOS!$G12857=CONFIG_METADATA!$B$4),IF(DATOS!$G12857="EX",1,IF(DATOS!$G12857="OR",--(COUNTIFS(nNIA,DATOS!$A12857,nCURSO,DATOS!$D12857,nESPEC,DATOS!$E12857,nASIG,DATOS!$I12857,nEVAL,"EX")=0),0))))</f>
      </c>
      <c r="H12857">
        <f>IF(DATOS!$G12857&lt;&gt;"EX",0,--(COUNTIFS(nNIA,DATOS!$A12857,nCURSO,DATOS!$D12857,nESPEC,DATOS!$E12857,nASIG,DATOS!$I12857,nEVAL,"OR")=0))</f>
      </c>
      <c r="I12857">
        <f>IF(DATOS!$I12857="","",IFERROR(VLOOKUP(DATOS!$I12857,CONFIG_ASIGNATURAS!$B$2:$J$91,9,FALSE()),""))</f>
      </c>
    </row>
    <row r="12858">
      <c r="F12858">
        <f>IF(DATOS!$A12858="","",DATOS!$A12858&amp;"|"&amp;DATOS!$D12858&amp;"|"&amp;DATOS!$E12858&amp;"|"&amp;DATOS!$I12858)</f>
      </c>
      <c r="G12858">
        <f>IF(DATOS!$A12858="",0,IF(CONFIG_METADATA!$B$4&lt;&gt;"OR+EX",--(DATOS!$G12858=CONFIG_METADATA!$B$4),IF(DATOS!$G12858="EX",1,IF(DATOS!$G12858="OR",--(COUNTIFS(nNIA,DATOS!$A12858,nCURSO,DATOS!$D12858,nESPEC,DATOS!$E12858,nASIG,DATOS!$I12858,nEVAL,"EX")=0),0))))</f>
      </c>
      <c r="H12858">
        <f>IF(DATOS!$G12858&lt;&gt;"EX",0,--(COUNTIFS(nNIA,DATOS!$A12858,nCURSO,DATOS!$D12858,nESPEC,DATOS!$E12858,nASIG,DATOS!$I12858,nEVAL,"OR")=0))</f>
      </c>
      <c r="I12858">
        <f>IF(DATOS!$I12858="","",IFERROR(VLOOKUP(DATOS!$I12858,CONFIG_ASIGNATURAS!$B$2:$J$91,9,FALSE()),""))</f>
      </c>
    </row>
    <row r="12859">
      <c r="F12859">
        <f>IF(DATOS!$A12859="","",DATOS!$A12859&amp;"|"&amp;DATOS!$D12859&amp;"|"&amp;DATOS!$E12859&amp;"|"&amp;DATOS!$I12859)</f>
      </c>
      <c r="G12859">
        <f>IF(DATOS!$A12859="",0,IF(CONFIG_METADATA!$B$4&lt;&gt;"OR+EX",--(DATOS!$G12859=CONFIG_METADATA!$B$4),IF(DATOS!$G12859="EX",1,IF(DATOS!$G12859="OR",--(COUNTIFS(nNIA,DATOS!$A12859,nCURSO,DATOS!$D12859,nESPEC,DATOS!$E12859,nASIG,DATOS!$I12859,nEVAL,"EX")=0),0))))</f>
      </c>
      <c r="H12859">
        <f>IF(DATOS!$G12859&lt;&gt;"EX",0,--(COUNTIFS(nNIA,DATOS!$A12859,nCURSO,DATOS!$D12859,nESPEC,DATOS!$E12859,nASIG,DATOS!$I12859,nEVAL,"OR")=0))</f>
      </c>
      <c r="I12859">
        <f>IF(DATOS!$I12859="","",IFERROR(VLOOKUP(DATOS!$I12859,CONFIG_ASIGNATURAS!$B$2:$J$91,9,FALSE()),""))</f>
      </c>
    </row>
    <row r="12860">
      <c r="F12860">
        <f>IF(DATOS!$A12860="","",DATOS!$A12860&amp;"|"&amp;DATOS!$D12860&amp;"|"&amp;DATOS!$E12860&amp;"|"&amp;DATOS!$I12860)</f>
      </c>
      <c r="G12860">
        <f>IF(DATOS!$A12860="",0,IF(CONFIG_METADATA!$B$4&lt;&gt;"OR+EX",--(DATOS!$G12860=CONFIG_METADATA!$B$4),IF(DATOS!$G12860="EX",1,IF(DATOS!$G12860="OR",--(COUNTIFS(nNIA,DATOS!$A12860,nCURSO,DATOS!$D12860,nESPEC,DATOS!$E12860,nASIG,DATOS!$I12860,nEVAL,"EX")=0),0))))</f>
      </c>
      <c r="H12860">
        <f>IF(DATOS!$G12860&lt;&gt;"EX",0,--(COUNTIFS(nNIA,DATOS!$A12860,nCURSO,DATOS!$D12860,nESPEC,DATOS!$E12860,nASIG,DATOS!$I12860,nEVAL,"OR")=0))</f>
      </c>
      <c r="I12860">
        <f>IF(DATOS!$I12860="","",IFERROR(VLOOKUP(DATOS!$I12860,CONFIG_ASIGNATURAS!$B$2:$J$91,9,FALSE()),""))</f>
      </c>
    </row>
    <row r="12861">
      <c r="F12861">
        <f>IF(DATOS!$A12861="","",DATOS!$A12861&amp;"|"&amp;DATOS!$D12861&amp;"|"&amp;DATOS!$E12861&amp;"|"&amp;DATOS!$I12861)</f>
      </c>
      <c r="G12861">
        <f>IF(DATOS!$A12861="",0,IF(CONFIG_METADATA!$B$4&lt;&gt;"OR+EX",--(DATOS!$G12861=CONFIG_METADATA!$B$4),IF(DATOS!$G12861="EX",1,IF(DATOS!$G12861="OR",--(COUNTIFS(nNIA,DATOS!$A12861,nCURSO,DATOS!$D12861,nESPEC,DATOS!$E12861,nASIG,DATOS!$I12861,nEVAL,"EX")=0),0))))</f>
      </c>
      <c r="H12861">
        <f>IF(DATOS!$G12861&lt;&gt;"EX",0,--(COUNTIFS(nNIA,DATOS!$A12861,nCURSO,DATOS!$D12861,nESPEC,DATOS!$E12861,nASIG,DATOS!$I12861,nEVAL,"OR")=0))</f>
      </c>
      <c r="I12861">
        <f>IF(DATOS!$I12861="","",IFERROR(VLOOKUP(DATOS!$I12861,CONFIG_ASIGNATURAS!$B$2:$J$91,9,FALSE()),""))</f>
      </c>
    </row>
    <row r="12862">
      <c r="F12862">
        <f>IF(DATOS!$A12862="","",DATOS!$A12862&amp;"|"&amp;DATOS!$D12862&amp;"|"&amp;DATOS!$E12862&amp;"|"&amp;DATOS!$I12862)</f>
      </c>
      <c r="G12862">
        <f>IF(DATOS!$A12862="",0,IF(CONFIG_METADATA!$B$4&lt;&gt;"OR+EX",--(DATOS!$G12862=CONFIG_METADATA!$B$4),IF(DATOS!$G12862="EX",1,IF(DATOS!$G12862="OR",--(COUNTIFS(nNIA,DATOS!$A12862,nCURSO,DATOS!$D12862,nESPEC,DATOS!$E12862,nASIG,DATOS!$I12862,nEVAL,"EX")=0),0))))</f>
      </c>
      <c r="H12862">
        <f>IF(DATOS!$G12862&lt;&gt;"EX",0,--(COUNTIFS(nNIA,DATOS!$A12862,nCURSO,DATOS!$D12862,nESPEC,DATOS!$E12862,nASIG,DATOS!$I12862,nEVAL,"OR")=0))</f>
      </c>
      <c r="I12862">
        <f>IF(DATOS!$I12862="","",IFERROR(VLOOKUP(DATOS!$I12862,CONFIG_ASIGNATURAS!$B$2:$J$91,9,FALSE()),""))</f>
      </c>
    </row>
    <row r="12863">
      <c r="F12863">
        <f>IF(DATOS!$A12863="","",DATOS!$A12863&amp;"|"&amp;DATOS!$D12863&amp;"|"&amp;DATOS!$E12863&amp;"|"&amp;DATOS!$I12863)</f>
      </c>
      <c r="G12863">
        <f>IF(DATOS!$A12863="",0,IF(CONFIG_METADATA!$B$4&lt;&gt;"OR+EX",--(DATOS!$G12863=CONFIG_METADATA!$B$4),IF(DATOS!$G12863="EX",1,IF(DATOS!$G12863="OR",--(COUNTIFS(nNIA,DATOS!$A12863,nCURSO,DATOS!$D12863,nESPEC,DATOS!$E12863,nASIG,DATOS!$I12863,nEVAL,"EX")=0),0))))</f>
      </c>
      <c r="H12863">
        <f>IF(DATOS!$G12863&lt;&gt;"EX",0,--(COUNTIFS(nNIA,DATOS!$A12863,nCURSO,DATOS!$D12863,nESPEC,DATOS!$E12863,nASIG,DATOS!$I12863,nEVAL,"OR")=0))</f>
      </c>
      <c r="I12863">
        <f>IF(DATOS!$I12863="","",IFERROR(VLOOKUP(DATOS!$I12863,CONFIG_ASIGNATURAS!$B$2:$J$91,9,FALSE()),""))</f>
      </c>
    </row>
    <row r="12864">
      <c r="F12864">
        <f>IF(DATOS!$A12864="","",DATOS!$A12864&amp;"|"&amp;DATOS!$D12864&amp;"|"&amp;DATOS!$E12864&amp;"|"&amp;DATOS!$I12864)</f>
      </c>
      <c r="G12864">
        <f>IF(DATOS!$A12864="",0,IF(CONFIG_METADATA!$B$4&lt;&gt;"OR+EX",--(DATOS!$G12864=CONFIG_METADATA!$B$4),IF(DATOS!$G12864="EX",1,IF(DATOS!$G12864="OR",--(COUNTIFS(nNIA,DATOS!$A12864,nCURSO,DATOS!$D12864,nESPEC,DATOS!$E12864,nASIG,DATOS!$I12864,nEVAL,"EX")=0),0))))</f>
      </c>
      <c r="H12864">
        <f>IF(DATOS!$G12864&lt;&gt;"EX",0,--(COUNTIFS(nNIA,DATOS!$A12864,nCURSO,DATOS!$D12864,nESPEC,DATOS!$E12864,nASIG,DATOS!$I12864,nEVAL,"OR")=0))</f>
      </c>
      <c r="I12864">
        <f>IF(DATOS!$I12864="","",IFERROR(VLOOKUP(DATOS!$I12864,CONFIG_ASIGNATURAS!$B$2:$J$91,9,FALSE()),""))</f>
      </c>
    </row>
    <row r="12865">
      <c r="F12865">
        <f>IF(DATOS!$A12865="","",DATOS!$A12865&amp;"|"&amp;DATOS!$D12865&amp;"|"&amp;DATOS!$E12865&amp;"|"&amp;DATOS!$I12865)</f>
      </c>
      <c r="G12865">
        <f>IF(DATOS!$A12865="",0,IF(CONFIG_METADATA!$B$4&lt;&gt;"OR+EX",--(DATOS!$G12865=CONFIG_METADATA!$B$4),IF(DATOS!$G12865="EX",1,IF(DATOS!$G12865="OR",--(COUNTIFS(nNIA,DATOS!$A12865,nCURSO,DATOS!$D12865,nESPEC,DATOS!$E12865,nASIG,DATOS!$I12865,nEVAL,"EX")=0),0))))</f>
      </c>
      <c r="H12865">
        <f>IF(DATOS!$G12865&lt;&gt;"EX",0,--(COUNTIFS(nNIA,DATOS!$A12865,nCURSO,DATOS!$D12865,nESPEC,DATOS!$E12865,nASIG,DATOS!$I12865,nEVAL,"OR")=0))</f>
      </c>
      <c r="I12865">
        <f>IF(DATOS!$I12865="","",IFERROR(VLOOKUP(DATOS!$I12865,CONFIG_ASIGNATURAS!$B$2:$J$91,9,FALSE()),""))</f>
      </c>
    </row>
    <row r="12866">
      <c r="F12866">
        <f>IF(DATOS!$A12866="","",DATOS!$A12866&amp;"|"&amp;DATOS!$D12866&amp;"|"&amp;DATOS!$E12866&amp;"|"&amp;DATOS!$I12866)</f>
      </c>
      <c r="G12866">
        <f>IF(DATOS!$A12866="",0,IF(CONFIG_METADATA!$B$4&lt;&gt;"OR+EX",--(DATOS!$G12866=CONFIG_METADATA!$B$4),IF(DATOS!$G12866="EX",1,IF(DATOS!$G12866="OR",--(COUNTIFS(nNIA,DATOS!$A12866,nCURSO,DATOS!$D12866,nESPEC,DATOS!$E12866,nASIG,DATOS!$I12866,nEVAL,"EX")=0),0))))</f>
      </c>
      <c r="H12866">
        <f>IF(DATOS!$G12866&lt;&gt;"EX",0,--(COUNTIFS(nNIA,DATOS!$A12866,nCURSO,DATOS!$D12866,nESPEC,DATOS!$E12866,nASIG,DATOS!$I12866,nEVAL,"OR")=0))</f>
      </c>
      <c r="I12866">
        <f>IF(DATOS!$I12866="","",IFERROR(VLOOKUP(DATOS!$I12866,CONFIG_ASIGNATURAS!$B$2:$J$91,9,FALSE()),""))</f>
      </c>
    </row>
    <row r="12867">
      <c r="F12867">
        <f>IF(DATOS!$A12867="","",DATOS!$A12867&amp;"|"&amp;DATOS!$D12867&amp;"|"&amp;DATOS!$E12867&amp;"|"&amp;DATOS!$I12867)</f>
      </c>
      <c r="G12867">
        <f>IF(DATOS!$A12867="",0,IF(CONFIG_METADATA!$B$4&lt;&gt;"OR+EX",--(DATOS!$G12867=CONFIG_METADATA!$B$4),IF(DATOS!$G12867="EX",1,IF(DATOS!$G12867="OR",--(COUNTIFS(nNIA,DATOS!$A12867,nCURSO,DATOS!$D12867,nESPEC,DATOS!$E12867,nASIG,DATOS!$I12867,nEVAL,"EX")=0),0))))</f>
      </c>
      <c r="H12867">
        <f>IF(DATOS!$G12867&lt;&gt;"EX",0,--(COUNTIFS(nNIA,DATOS!$A12867,nCURSO,DATOS!$D12867,nESPEC,DATOS!$E12867,nASIG,DATOS!$I12867,nEVAL,"OR")=0))</f>
      </c>
      <c r="I12867">
        <f>IF(DATOS!$I12867="","",IFERROR(VLOOKUP(DATOS!$I12867,CONFIG_ASIGNATURAS!$B$2:$J$91,9,FALSE()),""))</f>
      </c>
    </row>
    <row r="12868">
      <c r="F12868">
        <f>IF(DATOS!$A12868="","",DATOS!$A12868&amp;"|"&amp;DATOS!$D12868&amp;"|"&amp;DATOS!$E12868&amp;"|"&amp;DATOS!$I12868)</f>
      </c>
      <c r="G12868">
        <f>IF(DATOS!$A12868="",0,IF(CONFIG_METADATA!$B$4&lt;&gt;"OR+EX",--(DATOS!$G12868=CONFIG_METADATA!$B$4),IF(DATOS!$G12868="EX",1,IF(DATOS!$G12868="OR",--(COUNTIFS(nNIA,DATOS!$A12868,nCURSO,DATOS!$D12868,nESPEC,DATOS!$E12868,nASIG,DATOS!$I12868,nEVAL,"EX")=0),0))))</f>
      </c>
      <c r="H12868">
        <f>IF(DATOS!$G12868&lt;&gt;"EX",0,--(COUNTIFS(nNIA,DATOS!$A12868,nCURSO,DATOS!$D12868,nESPEC,DATOS!$E12868,nASIG,DATOS!$I12868,nEVAL,"OR")=0))</f>
      </c>
      <c r="I12868">
        <f>IF(DATOS!$I12868="","",IFERROR(VLOOKUP(DATOS!$I12868,CONFIG_ASIGNATURAS!$B$2:$J$91,9,FALSE()),""))</f>
      </c>
    </row>
    <row r="12869">
      <c r="F12869">
        <f>IF(DATOS!$A12869="","",DATOS!$A12869&amp;"|"&amp;DATOS!$D12869&amp;"|"&amp;DATOS!$E12869&amp;"|"&amp;DATOS!$I12869)</f>
      </c>
      <c r="G12869">
        <f>IF(DATOS!$A12869="",0,IF(CONFIG_METADATA!$B$4&lt;&gt;"OR+EX",--(DATOS!$G12869=CONFIG_METADATA!$B$4),IF(DATOS!$G12869="EX",1,IF(DATOS!$G12869="OR",--(COUNTIFS(nNIA,DATOS!$A12869,nCURSO,DATOS!$D12869,nESPEC,DATOS!$E12869,nASIG,DATOS!$I12869,nEVAL,"EX")=0),0))))</f>
      </c>
      <c r="H12869">
        <f>IF(DATOS!$G12869&lt;&gt;"EX",0,--(COUNTIFS(nNIA,DATOS!$A12869,nCURSO,DATOS!$D12869,nESPEC,DATOS!$E12869,nASIG,DATOS!$I12869,nEVAL,"OR")=0))</f>
      </c>
      <c r="I12869">
        <f>IF(DATOS!$I12869="","",IFERROR(VLOOKUP(DATOS!$I12869,CONFIG_ASIGNATURAS!$B$2:$J$91,9,FALSE()),""))</f>
      </c>
    </row>
    <row r="12870">
      <c r="F12870">
        <f>IF(DATOS!$A12870="","",DATOS!$A12870&amp;"|"&amp;DATOS!$D12870&amp;"|"&amp;DATOS!$E12870&amp;"|"&amp;DATOS!$I12870)</f>
      </c>
      <c r="G12870">
        <f>IF(DATOS!$A12870="",0,IF(CONFIG_METADATA!$B$4&lt;&gt;"OR+EX",--(DATOS!$G12870=CONFIG_METADATA!$B$4),IF(DATOS!$G12870="EX",1,IF(DATOS!$G12870="OR",--(COUNTIFS(nNIA,DATOS!$A12870,nCURSO,DATOS!$D12870,nESPEC,DATOS!$E12870,nASIG,DATOS!$I12870,nEVAL,"EX")=0),0))))</f>
      </c>
      <c r="H12870">
        <f>IF(DATOS!$G12870&lt;&gt;"EX",0,--(COUNTIFS(nNIA,DATOS!$A12870,nCURSO,DATOS!$D12870,nESPEC,DATOS!$E12870,nASIG,DATOS!$I12870,nEVAL,"OR")=0))</f>
      </c>
      <c r="I12870">
        <f>IF(DATOS!$I12870="","",IFERROR(VLOOKUP(DATOS!$I12870,CONFIG_ASIGNATURAS!$B$2:$J$91,9,FALSE()),""))</f>
      </c>
    </row>
    <row r="12871">
      <c r="F12871">
        <f>IF(DATOS!$A12871="","",DATOS!$A12871&amp;"|"&amp;DATOS!$D12871&amp;"|"&amp;DATOS!$E12871&amp;"|"&amp;DATOS!$I12871)</f>
      </c>
      <c r="G12871">
        <f>IF(DATOS!$A12871="",0,IF(CONFIG_METADATA!$B$4&lt;&gt;"OR+EX",--(DATOS!$G12871=CONFIG_METADATA!$B$4),IF(DATOS!$G12871="EX",1,IF(DATOS!$G12871="OR",--(COUNTIFS(nNIA,DATOS!$A12871,nCURSO,DATOS!$D12871,nESPEC,DATOS!$E12871,nASIG,DATOS!$I12871,nEVAL,"EX")=0),0))))</f>
      </c>
      <c r="H12871">
        <f>IF(DATOS!$G12871&lt;&gt;"EX",0,--(COUNTIFS(nNIA,DATOS!$A12871,nCURSO,DATOS!$D12871,nESPEC,DATOS!$E12871,nASIG,DATOS!$I12871,nEVAL,"OR")=0))</f>
      </c>
      <c r="I12871">
        <f>IF(DATOS!$I12871="","",IFERROR(VLOOKUP(DATOS!$I12871,CONFIG_ASIGNATURAS!$B$2:$J$91,9,FALSE()),""))</f>
      </c>
    </row>
    <row r="12872">
      <c r="F12872">
        <f>IF(DATOS!$A12872="","",DATOS!$A12872&amp;"|"&amp;DATOS!$D12872&amp;"|"&amp;DATOS!$E12872&amp;"|"&amp;DATOS!$I12872)</f>
      </c>
      <c r="G12872">
        <f>IF(DATOS!$A12872="",0,IF(CONFIG_METADATA!$B$4&lt;&gt;"OR+EX",--(DATOS!$G12872=CONFIG_METADATA!$B$4),IF(DATOS!$G12872="EX",1,IF(DATOS!$G12872="OR",--(COUNTIFS(nNIA,DATOS!$A12872,nCURSO,DATOS!$D12872,nESPEC,DATOS!$E12872,nASIG,DATOS!$I12872,nEVAL,"EX")=0),0))))</f>
      </c>
      <c r="H12872">
        <f>IF(DATOS!$G12872&lt;&gt;"EX",0,--(COUNTIFS(nNIA,DATOS!$A12872,nCURSO,DATOS!$D12872,nESPEC,DATOS!$E12872,nASIG,DATOS!$I12872,nEVAL,"OR")=0))</f>
      </c>
      <c r="I12872">
        <f>IF(DATOS!$I12872="","",IFERROR(VLOOKUP(DATOS!$I12872,CONFIG_ASIGNATURAS!$B$2:$J$91,9,FALSE()),""))</f>
      </c>
    </row>
    <row r="12873">
      <c r="F12873">
        <f>IF(DATOS!$A12873="","",DATOS!$A12873&amp;"|"&amp;DATOS!$D12873&amp;"|"&amp;DATOS!$E12873&amp;"|"&amp;DATOS!$I12873)</f>
      </c>
      <c r="G12873">
        <f>IF(DATOS!$A12873="",0,IF(CONFIG_METADATA!$B$4&lt;&gt;"OR+EX",--(DATOS!$G12873=CONFIG_METADATA!$B$4),IF(DATOS!$G12873="EX",1,IF(DATOS!$G12873="OR",--(COUNTIFS(nNIA,DATOS!$A12873,nCURSO,DATOS!$D12873,nESPEC,DATOS!$E12873,nASIG,DATOS!$I12873,nEVAL,"EX")=0),0))))</f>
      </c>
      <c r="H12873">
        <f>IF(DATOS!$G12873&lt;&gt;"EX",0,--(COUNTIFS(nNIA,DATOS!$A12873,nCURSO,DATOS!$D12873,nESPEC,DATOS!$E12873,nASIG,DATOS!$I12873,nEVAL,"OR")=0))</f>
      </c>
      <c r="I12873">
        <f>IF(DATOS!$I12873="","",IFERROR(VLOOKUP(DATOS!$I12873,CONFIG_ASIGNATURAS!$B$2:$J$91,9,FALSE()),""))</f>
      </c>
    </row>
    <row r="12874">
      <c r="F12874">
        <f>IF(DATOS!$A12874="","",DATOS!$A12874&amp;"|"&amp;DATOS!$D12874&amp;"|"&amp;DATOS!$E12874&amp;"|"&amp;DATOS!$I12874)</f>
      </c>
      <c r="G12874">
        <f>IF(DATOS!$A12874="",0,IF(CONFIG_METADATA!$B$4&lt;&gt;"OR+EX",--(DATOS!$G12874=CONFIG_METADATA!$B$4),IF(DATOS!$G12874="EX",1,IF(DATOS!$G12874="OR",--(COUNTIFS(nNIA,DATOS!$A12874,nCURSO,DATOS!$D12874,nESPEC,DATOS!$E12874,nASIG,DATOS!$I12874,nEVAL,"EX")=0),0))))</f>
      </c>
      <c r="H12874">
        <f>IF(DATOS!$G12874&lt;&gt;"EX",0,--(COUNTIFS(nNIA,DATOS!$A12874,nCURSO,DATOS!$D12874,nESPEC,DATOS!$E12874,nASIG,DATOS!$I12874,nEVAL,"OR")=0))</f>
      </c>
      <c r="I12874">
        <f>IF(DATOS!$I12874="","",IFERROR(VLOOKUP(DATOS!$I12874,CONFIG_ASIGNATURAS!$B$2:$J$91,9,FALSE()),""))</f>
      </c>
    </row>
    <row r="12875">
      <c r="F12875">
        <f>IF(DATOS!$A12875="","",DATOS!$A12875&amp;"|"&amp;DATOS!$D12875&amp;"|"&amp;DATOS!$E12875&amp;"|"&amp;DATOS!$I12875)</f>
      </c>
      <c r="G12875">
        <f>IF(DATOS!$A12875="",0,IF(CONFIG_METADATA!$B$4&lt;&gt;"OR+EX",--(DATOS!$G12875=CONFIG_METADATA!$B$4),IF(DATOS!$G12875="EX",1,IF(DATOS!$G12875="OR",--(COUNTIFS(nNIA,DATOS!$A12875,nCURSO,DATOS!$D12875,nESPEC,DATOS!$E12875,nASIG,DATOS!$I12875,nEVAL,"EX")=0),0))))</f>
      </c>
      <c r="H12875">
        <f>IF(DATOS!$G12875&lt;&gt;"EX",0,--(COUNTIFS(nNIA,DATOS!$A12875,nCURSO,DATOS!$D12875,nESPEC,DATOS!$E12875,nASIG,DATOS!$I12875,nEVAL,"OR")=0))</f>
      </c>
      <c r="I12875">
        <f>IF(DATOS!$I12875="","",IFERROR(VLOOKUP(DATOS!$I12875,CONFIG_ASIGNATURAS!$B$2:$J$91,9,FALSE()),""))</f>
      </c>
    </row>
    <row r="12876">
      <c r="F12876">
        <f>IF(DATOS!$A12876="","",DATOS!$A12876&amp;"|"&amp;DATOS!$D12876&amp;"|"&amp;DATOS!$E12876&amp;"|"&amp;DATOS!$I12876)</f>
      </c>
      <c r="G12876">
        <f>IF(DATOS!$A12876="",0,IF(CONFIG_METADATA!$B$4&lt;&gt;"OR+EX",--(DATOS!$G12876=CONFIG_METADATA!$B$4),IF(DATOS!$G12876="EX",1,IF(DATOS!$G12876="OR",--(COUNTIFS(nNIA,DATOS!$A12876,nCURSO,DATOS!$D12876,nESPEC,DATOS!$E12876,nASIG,DATOS!$I12876,nEVAL,"EX")=0),0))))</f>
      </c>
      <c r="H12876">
        <f>IF(DATOS!$G12876&lt;&gt;"EX",0,--(COUNTIFS(nNIA,DATOS!$A12876,nCURSO,DATOS!$D12876,nESPEC,DATOS!$E12876,nASIG,DATOS!$I12876,nEVAL,"OR")=0))</f>
      </c>
      <c r="I12876">
        <f>IF(DATOS!$I12876="","",IFERROR(VLOOKUP(DATOS!$I12876,CONFIG_ASIGNATURAS!$B$2:$J$91,9,FALSE()),""))</f>
      </c>
    </row>
    <row r="12877">
      <c r="F12877">
        <f>IF(DATOS!$A12877="","",DATOS!$A12877&amp;"|"&amp;DATOS!$D12877&amp;"|"&amp;DATOS!$E12877&amp;"|"&amp;DATOS!$I12877)</f>
      </c>
      <c r="G12877">
        <f>IF(DATOS!$A12877="",0,IF(CONFIG_METADATA!$B$4&lt;&gt;"OR+EX",--(DATOS!$G12877=CONFIG_METADATA!$B$4),IF(DATOS!$G12877="EX",1,IF(DATOS!$G12877="OR",--(COUNTIFS(nNIA,DATOS!$A12877,nCURSO,DATOS!$D12877,nESPEC,DATOS!$E12877,nASIG,DATOS!$I12877,nEVAL,"EX")=0),0))))</f>
      </c>
      <c r="H12877">
        <f>IF(DATOS!$G12877&lt;&gt;"EX",0,--(COUNTIFS(nNIA,DATOS!$A12877,nCURSO,DATOS!$D12877,nESPEC,DATOS!$E12877,nASIG,DATOS!$I12877,nEVAL,"OR")=0))</f>
      </c>
      <c r="I12877">
        <f>IF(DATOS!$I12877="","",IFERROR(VLOOKUP(DATOS!$I12877,CONFIG_ASIGNATURAS!$B$2:$J$91,9,FALSE()),""))</f>
      </c>
    </row>
    <row r="12878">
      <c r="F12878">
        <f>IF(DATOS!$A12878="","",DATOS!$A12878&amp;"|"&amp;DATOS!$D12878&amp;"|"&amp;DATOS!$E12878&amp;"|"&amp;DATOS!$I12878)</f>
      </c>
      <c r="G12878">
        <f>IF(DATOS!$A12878="",0,IF(CONFIG_METADATA!$B$4&lt;&gt;"OR+EX",--(DATOS!$G12878=CONFIG_METADATA!$B$4),IF(DATOS!$G12878="EX",1,IF(DATOS!$G12878="OR",--(COUNTIFS(nNIA,DATOS!$A12878,nCURSO,DATOS!$D12878,nESPEC,DATOS!$E12878,nASIG,DATOS!$I12878,nEVAL,"EX")=0),0))))</f>
      </c>
      <c r="H12878">
        <f>IF(DATOS!$G12878&lt;&gt;"EX",0,--(COUNTIFS(nNIA,DATOS!$A12878,nCURSO,DATOS!$D12878,nESPEC,DATOS!$E12878,nASIG,DATOS!$I12878,nEVAL,"OR")=0))</f>
      </c>
      <c r="I12878">
        <f>IF(DATOS!$I12878="","",IFERROR(VLOOKUP(DATOS!$I12878,CONFIG_ASIGNATURAS!$B$2:$J$91,9,FALSE()),""))</f>
      </c>
    </row>
    <row r="12879">
      <c r="F12879">
        <f>IF(DATOS!$A12879="","",DATOS!$A12879&amp;"|"&amp;DATOS!$D12879&amp;"|"&amp;DATOS!$E12879&amp;"|"&amp;DATOS!$I12879)</f>
      </c>
      <c r="G12879">
        <f>IF(DATOS!$A12879="",0,IF(CONFIG_METADATA!$B$4&lt;&gt;"OR+EX",--(DATOS!$G12879=CONFIG_METADATA!$B$4),IF(DATOS!$G12879="EX",1,IF(DATOS!$G12879="OR",--(COUNTIFS(nNIA,DATOS!$A12879,nCURSO,DATOS!$D12879,nESPEC,DATOS!$E12879,nASIG,DATOS!$I12879,nEVAL,"EX")=0),0))))</f>
      </c>
      <c r="H12879">
        <f>IF(DATOS!$G12879&lt;&gt;"EX",0,--(COUNTIFS(nNIA,DATOS!$A12879,nCURSO,DATOS!$D12879,nESPEC,DATOS!$E12879,nASIG,DATOS!$I12879,nEVAL,"OR")=0))</f>
      </c>
      <c r="I12879">
        <f>IF(DATOS!$I12879="","",IFERROR(VLOOKUP(DATOS!$I12879,CONFIG_ASIGNATURAS!$B$2:$J$91,9,FALSE()),""))</f>
      </c>
    </row>
    <row r="12880">
      <c r="F12880">
        <f>IF(DATOS!$A12880="","",DATOS!$A12880&amp;"|"&amp;DATOS!$D12880&amp;"|"&amp;DATOS!$E12880&amp;"|"&amp;DATOS!$I12880)</f>
      </c>
      <c r="G12880">
        <f>IF(DATOS!$A12880="",0,IF(CONFIG_METADATA!$B$4&lt;&gt;"OR+EX",--(DATOS!$G12880=CONFIG_METADATA!$B$4),IF(DATOS!$G12880="EX",1,IF(DATOS!$G12880="OR",--(COUNTIFS(nNIA,DATOS!$A12880,nCURSO,DATOS!$D12880,nESPEC,DATOS!$E12880,nASIG,DATOS!$I12880,nEVAL,"EX")=0),0))))</f>
      </c>
      <c r="H12880">
        <f>IF(DATOS!$G12880&lt;&gt;"EX",0,--(COUNTIFS(nNIA,DATOS!$A12880,nCURSO,DATOS!$D12880,nESPEC,DATOS!$E12880,nASIG,DATOS!$I12880,nEVAL,"OR")=0))</f>
      </c>
      <c r="I12880">
        <f>IF(DATOS!$I12880="","",IFERROR(VLOOKUP(DATOS!$I12880,CONFIG_ASIGNATURAS!$B$2:$J$91,9,FALSE()),""))</f>
      </c>
    </row>
    <row r="12881">
      <c r="F12881">
        <f>IF(DATOS!$A12881="","",DATOS!$A12881&amp;"|"&amp;DATOS!$D12881&amp;"|"&amp;DATOS!$E12881&amp;"|"&amp;DATOS!$I12881)</f>
      </c>
      <c r="G12881">
        <f>IF(DATOS!$A12881="",0,IF(CONFIG_METADATA!$B$4&lt;&gt;"OR+EX",--(DATOS!$G12881=CONFIG_METADATA!$B$4),IF(DATOS!$G12881="EX",1,IF(DATOS!$G12881="OR",--(COUNTIFS(nNIA,DATOS!$A12881,nCURSO,DATOS!$D12881,nESPEC,DATOS!$E12881,nASIG,DATOS!$I12881,nEVAL,"EX")=0),0))))</f>
      </c>
      <c r="H12881">
        <f>IF(DATOS!$G12881&lt;&gt;"EX",0,--(COUNTIFS(nNIA,DATOS!$A12881,nCURSO,DATOS!$D12881,nESPEC,DATOS!$E12881,nASIG,DATOS!$I12881,nEVAL,"OR")=0))</f>
      </c>
      <c r="I12881">
        <f>IF(DATOS!$I12881="","",IFERROR(VLOOKUP(DATOS!$I12881,CONFIG_ASIGNATURAS!$B$2:$J$91,9,FALSE()),""))</f>
      </c>
    </row>
    <row r="12882">
      <c r="F12882">
        <f>IF(DATOS!$A12882="","",DATOS!$A12882&amp;"|"&amp;DATOS!$D12882&amp;"|"&amp;DATOS!$E12882&amp;"|"&amp;DATOS!$I12882)</f>
      </c>
      <c r="G12882">
        <f>IF(DATOS!$A12882="",0,IF(CONFIG_METADATA!$B$4&lt;&gt;"OR+EX",--(DATOS!$G12882=CONFIG_METADATA!$B$4),IF(DATOS!$G12882="EX",1,IF(DATOS!$G12882="OR",--(COUNTIFS(nNIA,DATOS!$A12882,nCURSO,DATOS!$D12882,nESPEC,DATOS!$E12882,nASIG,DATOS!$I12882,nEVAL,"EX")=0),0))))</f>
      </c>
      <c r="H12882">
        <f>IF(DATOS!$G12882&lt;&gt;"EX",0,--(COUNTIFS(nNIA,DATOS!$A12882,nCURSO,DATOS!$D12882,nESPEC,DATOS!$E12882,nASIG,DATOS!$I12882,nEVAL,"OR")=0))</f>
      </c>
      <c r="I12882">
        <f>IF(DATOS!$I12882="","",IFERROR(VLOOKUP(DATOS!$I12882,CONFIG_ASIGNATURAS!$B$2:$J$91,9,FALSE()),""))</f>
      </c>
    </row>
    <row r="12883">
      <c r="F12883">
        <f>IF(DATOS!$A12883="","",DATOS!$A12883&amp;"|"&amp;DATOS!$D12883&amp;"|"&amp;DATOS!$E12883&amp;"|"&amp;DATOS!$I12883)</f>
      </c>
      <c r="G12883">
        <f>IF(DATOS!$A12883="",0,IF(CONFIG_METADATA!$B$4&lt;&gt;"OR+EX",--(DATOS!$G12883=CONFIG_METADATA!$B$4),IF(DATOS!$G12883="EX",1,IF(DATOS!$G12883="OR",--(COUNTIFS(nNIA,DATOS!$A12883,nCURSO,DATOS!$D12883,nESPEC,DATOS!$E12883,nASIG,DATOS!$I12883,nEVAL,"EX")=0),0))))</f>
      </c>
      <c r="H12883">
        <f>IF(DATOS!$G12883&lt;&gt;"EX",0,--(COUNTIFS(nNIA,DATOS!$A12883,nCURSO,DATOS!$D12883,nESPEC,DATOS!$E12883,nASIG,DATOS!$I12883,nEVAL,"OR")=0))</f>
      </c>
      <c r="I12883">
        <f>IF(DATOS!$I12883="","",IFERROR(VLOOKUP(DATOS!$I12883,CONFIG_ASIGNATURAS!$B$2:$J$91,9,FALSE()),""))</f>
      </c>
    </row>
    <row r="12884">
      <c r="F12884">
        <f>IF(DATOS!$A12884="","",DATOS!$A12884&amp;"|"&amp;DATOS!$D12884&amp;"|"&amp;DATOS!$E12884&amp;"|"&amp;DATOS!$I12884)</f>
      </c>
      <c r="G12884">
        <f>IF(DATOS!$A12884="",0,IF(CONFIG_METADATA!$B$4&lt;&gt;"OR+EX",--(DATOS!$G12884=CONFIG_METADATA!$B$4),IF(DATOS!$G12884="EX",1,IF(DATOS!$G12884="OR",--(COUNTIFS(nNIA,DATOS!$A12884,nCURSO,DATOS!$D12884,nESPEC,DATOS!$E12884,nASIG,DATOS!$I12884,nEVAL,"EX")=0),0))))</f>
      </c>
      <c r="H12884">
        <f>IF(DATOS!$G12884&lt;&gt;"EX",0,--(COUNTIFS(nNIA,DATOS!$A12884,nCURSO,DATOS!$D12884,nESPEC,DATOS!$E12884,nASIG,DATOS!$I12884,nEVAL,"OR")=0))</f>
      </c>
      <c r="I12884">
        <f>IF(DATOS!$I12884="","",IFERROR(VLOOKUP(DATOS!$I12884,CONFIG_ASIGNATURAS!$B$2:$J$91,9,FALSE()),""))</f>
      </c>
    </row>
    <row r="12885">
      <c r="F12885">
        <f>IF(DATOS!$A12885="","",DATOS!$A12885&amp;"|"&amp;DATOS!$D12885&amp;"|"&amp;DATOS!$E12885&amp;"|"&amp;DATOS!$I12885)</f>
      </c>
      <c r="G12885">
        <f>IF(DATOS!$A12885="",0,IF(CONFIG_METADATA!$B$4&lt;&gt;"OR+EX",--(DATOS!$G12885=CONFIG_METADATA!$B$4),IF(DATOS!$G12885="EX",1,IF(DATOS!$G12885="OR",--(COUNTIFS(nNIA,DATOS!$A12885,nCURSO,DATOS!$D12885,nESPEC,DATOS!$E12885,nASIG,DATOS!$I12885,nEVAL,"EX")=0),0))))</f>
      </c>
      <c r="H12885">
        <f>IF(DATOS!$G12885&lt;&gt;"EX",0,--(COUNTIFS(nNIA,DATOS!$A12885,nCURSO,DATOS!$D12885,nESPEC,DATOS!$E12885,nASIG,DATOS!$I12885,nEVAL,"OR")=0))</f>
      </c>
      <c r="I12885">
        <f>IF(DATOS!$I12885="","",IFERROR(VLOOKUP(DATOS!$I12885,CONFIG_ASIGNATURAS!$B$2:$J$91,9,FALSE()),""))</f>
      </c>
    </row>
    <row r="12886">
      <c r="F12886">
        <f>IF(DATOS!$A12886="","",DATOS!$A12886&amp;"|"&amp;DATOS!$D12886&amp;"|"&amp;DATOS!$E12886&amp;"|"&amp;DATOS!$I12886)</f>
      </c>
      <c r="G12886">
        <f>IF(DATOS!$A12886="",0,IF(CONFIG_METADATA!$B$4&lt;&gt;"OR+EX",--(DATOS!$G12886=CONFIG_METADATA!$B$4),IF(DATOS!$G12886="EX",1,IF(DATOS!$G12886="OR",--(COUNTIFS(nNIA,DATOS!$A12886,nCURSO,DATOS!$D12886,nESPEC,DATOS!$E12886,nASIG,DATOS!$I12886,nEVAL,"EX")=0),0))))</f>
      </c>
      <c r="H12886">
        <f>IF(DATOS!$G12886&lt;&gt;"EX",0,--(COUNTIFS(nNIA,DATOS!$A12886,nCURSO,DATOS!$D12886,nESPEC,DATOS!$E12886,nASIG,DATOS!$I12886,nEVAL,"OR")=0))</f>
      </c>
      <c r="I12886">
        <f>IF(DATOS!$I12886="","",IFERROR(VLOOKUP(DATOS!$I12886,CONFIG_ASIGNATURAS!$B$2:$J$91,9,FALSE()),""))</f>
      </c>
    </row>
    <row r="12887">
      <c r="F12887">
        <f>IF(DATOS!$A12887="","",DATOS!$A12887&amp;"|"&amp;DATOS!$D12887&amp;"|"&amp;DATOS!$E12887&amp;"|"&amp;DATOS!$I12887)</f>
      </c>
      <c r="G12887">
        <f>IF(DATOS!$A12887="",0,IF(CONFIG_METADATA!$B$4&lt;&gt;"OR+EX",--(DATOS!$G12887=CONFIG_METADATA!$B$4),IF(DATOS!$G12887="EX",1,IF(DATOS!$G12887="OR",--(COUNTIFS(nNIA,DATOS!$A12887,nCURSO,DATOS!$D12887,nESPEC,DATOS!$E12887,nASIG,DATOS!$I12887,nEVAL,"EX")=0),0))))</f>
      </c>
      <c r="H12887">
        <f>IF(DATOS!$G12887&lt;&gt;"EX",0,--(COUNTIFS(nNIA,DATOS!$A12887,nCURSO,DATOS!$D12887,nESPEC,DATOS!$E12887,nASIG,DATOS!$I12887,nEVAL,"OR")=0))</f>
      </c>
      <c r="I12887">
        <f>IF(DATOS!$I12887="","",IFERROR(VLOOKUP(DATOS!$I12887,CONFIG_ASIGNATURAS!$B$2:$J$91,9,FALSE()),""))</f>
      </c>
    </row>
    <row r="12888">
      <c r="F12888">
        <f>IF(DATOS!$A12888="","",DATOS!$A12888&amp;"|"&amp;DATOS!$D12888&amp;"|"&amp;DATOS!$E12888&amp;"|"&amp;DATOS!$I12888)</f>
      </c>
      <c r="G12888">
        <f>IF(DATOS!$A12888="",0,IF(CONFIG_METADATA!$B$4&lt;&gt;"OR+EX",--(DATOS!$G12888=CONFIG_METADATA!$B$4),IF(DATOS!$G12888="EX",1,IF(DATOS!$G12888="OR",--(COUNTIFS(nNIA,DATOS!$A12888,nCURSO,DATOS!$D12888,nESPEC,DATOS!$E12888,nASIG,DATOS!$I12888,nEVAL,"EX")=0),0))))</f>
      </c>
      <c r="H12888">
        <f>IF(DATOS!$G12888&lt;&gt;"EX",0,--(COUNTIFS(nNIA,DATOS!$A12888,nCURSO,DATOS!$D12888,nESPEC,DATOS!$E12888,nASIG,DATOS!$I12888,nEVAL,"OR")=0))</f>
      </c>
      <c r="I12888">
        <f>IF(DATOS!$I12888="","",IFERROR(VLOOKUP(DATOS!$I12888,CONFIG_ASIGNATURAS!$B$2:$J$91,9,FALSE()),""))</f>
      </c>
    </row>
    <row r="12889">
      <c r="F12889">
        <f>IF(DATOS!$A12889="","",DATOS!$A12889&amp;"|"&amp;DATOS!$D12889&amp;"|"&amp;DATOS!$E12889&amp;"|"&amp;DATOS!$I12889)</f>
      </c>
      <c r="G12889">
        <f>IF(DATOS!$A12889="",0,IF(CONFIG_METADATA!$B$4&lt;&gt;"OR+EX",--(DATOS!$G12889=CONFIG_METADATA!$B$4),IF(DATOS!$G12889="EX",1,IF(DATOS!$G12889="OR",--(COUNTIFS(nNIA,DATOS!$A12889,nCURSO,DATOS!$D12889,nESPEC,DATOS!$E12889,nASIG,DATOS!$I12889,nEVAL,"EX")=0),0))))</f>
      </c>
      <c r="H12889">
        <f>IF(DATOS!$G12889&lt;&gt;"EX",0,--(COUNTIFS(nNIA,DATOS!$A12889,nCURSO,DATOS!$D12889,nESPEC,DATOS!$E12889,nASIG,DATOS!$I12889,nEVAL,"OR")=0))</f>
      </c>
      <c r="I12889">
        <f>IF(DATOS!$I12889="","",IFERROR(VLOOKUP(DATOS!$I12889,CONFIG_ASIGNATURAS!$B$2:$J$91,9,FALSE()),""))</f>
      </c>
    </row>
    <row r="12890">
      <c r="F12890">
        <f>IF(DATOS!$A12890="","",DATOS!$A12890&amp;"|"&amp;DATOS!$D12890&amp;"|"&amp;DATOS!$E12890&amp;"|"&amp;DATOS!$I12890)</f>
      </c>
      <c r="G12890">
        <f>IF(DATOS!$A12890="",0,IF(CONFIG_METADATA!$B$4&lt;&gt;"OR+EX",--(DATOS!$G12890=CONFIG_METADATA!$B$4),IF(DATOS!$G12890="EX",1,IF(DATOS!$G12890="OR",--(COUNTIFS(nNIA,DATOS!$A12890,nCURSO,DATOS!$D12890,nESPEC,DATOS!$E12890,nASIG,DATOS!$I12890,nEVAL,"EX")=0),0))))</f>
      </c>
      <c r="H12890">
        <f>IF(DATOS!$G12890&lt;&gt;"EX",0,--(COUNTIFS(nNIA,DATOS!$A12890,nCURSO,DATOS!$D12890,nESPEC,DATOS!$E12890,nASIG,DATOS!$I12890,nEVAL,"OR")=0))</f>
      </c>
      <c r="I12890">
        <f>IF(DATOS!$I12890="","",IFERROR(VLOOKUP(DATOS!$I12890,CONFIG_ASIGNATURAS!$B$2:$J$91,9,FALSE()),""))</f>
      </c>
    </row>
    <row r="12891">
      <c r="F12891">
        <f>IF(DATOS!$A12891="","",DATOS!$A12891&amp;"|"&amp;DATOS!$D12891&amp;"|"&amp;DATOS!$E12891&amp;"|"&amp;DATOS!$I12891)</f>
      </c>
      <c r="G12891">
        <f>IF(DATOS!$A12891="",0,IF(CONFIG_METADATA!$B$4&lt;&gt;"OR+EX",--(DATOS!$G12891=CONFIG_METADATA!$B$4),IF(DATOS!$G12891="EX",1,IF(DATOS!$G12891="OR",--(COUNTIFS(nNIA,DATOS!$A12891,nCURSO,DATOS!$D12891,nESPEC,DATOS!$E12891,nASIG,DATOS!$I12891,nEVAL,"EX")=0),0))))</f>
      </c>
      <c r="H12891">
        <f>IF(DATOS!$G12891&lt;&gt;"EX",0,--(COUNTIFS(nNIA,DATOS!$A12891,nCURSO,DATOS!$D12891,nESPEC,DATOS!$E12891,nASIG,DATOS!$I12891,nEVAL,"OR")=0))</f>
      </c>
      <c r="I12891">
        <f>IF(DATOS!$I12891="","",IFERROR(VLOOKUP(DATOS!$I12891,CONFIG_ASIGNATURAS!$B$2:$J$91,9,FALSE()),""))</f>
      </c>
    </row>
    <row r="12892">
      <c r="F12892">
        <f>IF(DATOS!$A12892="","",DATOS!$A12892&amp;"|"&amp;DATOS!$D12892&amp;"|"&amp;DATOS!$E12892&amp;"|"&amp;DATOS!$I12892)</f>
      </c>
      <c r="G12892">
        <f>IF(DATOS!$A12892="",0,IF(CONFIG_METADATA!$B$4&lt;&gt;"OR+EX",--(DATOS!$G12892=CONFIG_METADATA!$B$4),IF(DATOS!$G12892="EX",1,IF(DATOS!$G12892="OR",--(COUNTIFS(nNIA,DATOS!$A12892,nCURSO,DATOS!$D12892,nESPEC,DATOS!$E12892,nASIG,DATOS!$I12892,nEVAL,"EX")=0),0))))</f>
      </c>
      <c r="H12892">
        <f>IF(DATOS!$G12892&lt;&gt;"EX",0,--(COUNTIFS(nNIA,DATOS!$A12892,nCURSO,DATOS!$D12892,nESPEC,DATOS!$E12892,nASIG,DATOS!$I12892,nEVAL,"OR")=0))</f>
      </c>
      <c r="I12892">
        <f>IF(DATOS!$I12892="","",IFERROR(VLOOKUP(DATOS!$I12892,CONFIG_ASIGNATURAS!$B$2:$J$91,9,FALSE()),""))</f>
      </c>
    </row>
    <row r="12893">
      <c r="F12893">
        <f>IF(DATOS!$A12893="","",DATOS!$A12893&amp;"|"&amp;DATOS!$D12893&amp;"|"&amp;DATOS!$E12893&amp;"|"&amp;DATOS!$I12893)</f>
      </c>
      <c r="G12893">
        <f>IF(DATOS!$A12893="",0,IF(CONFIG_METADATA!$B$4&lt;&gt;"OR+EX",--(DATOS!$G12893=CONFIG_METADATA!$B$4),IF(DATOS!$G12893="EX",1,IF(DATOS!$G12893="OR",--(COUNTIFS(nNIA,DATOS!$A12893,nCURSO,DATOS!$D12893,nESPEC,DATOS!$E12893,nASIG,DATOS!$I12893,nEVAL,"EX")=0),0))))</f>
      </c>
      <c r="H12893">
        <f>IF(DATOS!$G12893&lt;&gt;"EX",0,--(COUNTIFS(nNIA,DATOS!$A12893,nCURSO,DATOS!$D12893,nESPEC,DATOS!$E12893,nASIG,DATOS!$I12893,nEVAL,"OR")=0))</f>
      </c>
      <c r="I12893">
        <f>IF(DATOS!$I12893="","",IFERROR(VLOOKUP(DATOS!$I12893,CONFIG_ASIGNATURAS!$B$2:$J$91,9,FALSE()),""))</f>
      </c>
    </row>
    <row r="12894">
      <c r="F12894">
        <f>IF(DATOS!$A12894="","",DATOS!$A12894&amp;"|"&amp;DATOS!$D12894&amp;"|"&amp;DATOS!$E12894&amp;"|"&amp;DATOS!$I12894)</f>
      </c>
      <c r="G12894">
        <f>IF(DATOS!$A12894="",0,IF(CONFIG_METADATA!$B$4&lt;&gt;"OR+EX",--(DATOS!$G12894=CONFIG_METADATA!$B$4),IF(DATOS!$G12894="EX",1,IF(DATOS!$G12894="OR",--(COUNTIFS(nNIA,DATOS!$A12894,nCURSO,DATOS!$D12894,nESPEC,DATOS!$E12894,nASIG,DATOS!$I12894,nEVAL,"EX")=0),0))))</f>
      </c>
      <c r="H12894">
        <f>IF(DATOS!$G12894&lt;&gt;"EX",0,--(COUNTIFS(nNIA,DATOS!$A12894,nCURSO,DATOS!$D12894,nESPEC,DATOS!$E12894,nASIG,DATOS!$I12894,nEVAL,"OR")=0))</f>
      </c>
      <c r="I12894">
        <f>IF(DATOS!$I12894="","",IFERROR(VLOOKUP(DATOS!$I12894,CONFIG_ASIGNATURAS!$B$2:$J$91,9,FALSE()),""))</f>
      </c>
    </row>
    <row r="12895">
      <c r="F12895">
        <f>IF(DATOS!$A12895="","",DATOS!$A12895&amp;"|"&amp;DATOS!$D12895&amp;"|"&amp;DATOS!$E12895&amp;"|"&amp;DATOS!$I12895)</f>
      </c>
      <c r="G12895">
        <f>IF(DATOS!$A12895="",0,IF(CONFIG_METADATA!$B$4&lt;&gt;"OR+EX",--(DATOS!$G12895=CONFIG_METADATA!$B$4),IF(DATOS!$G12895="EX",1,IF(DATOS!$G12895="OR",--(COUNTIFS(nNIA,DATOS!$A12895,nCURSO,DATOS!$D12895,nESPEC,DATOS!$E12895,nASIG,DATOS!$I12895,nEVAL,"EX")=0),0))))</f>
      </c>
      <c r="H12895">
        <f>IF(DATOS!$G12895&lt;&gt;"EX",0,--(COUNTIFS(nNIA,DATOS!$A12895,nCURSO,DATOS!$D12895,nESPEC,DATOS!$E12895,nASIG,DATOS!$I12895,nEVAL,"OR")=0))</f>
      </c>
      <c r="I12895">
        <f>IF(DATOS!$I12895="","",IFERROR(VLOOKUP(DATOS!$I12895,CONFIG_ASIGNATURAS!$B$2:$J$91,9,FALSE()),""))</f>
      </c>
    </row>
    <row r="12896">
      <c r="F12896">
        <f>IF(DATOS!$A12896="","",DATOS!$A12896&amp;"|"&amp;DATOS!$D12896&amp;"|"&amp;DATOS!$E12896&amp;"|"&amp;DATOS!$I12896)</f>
      </c>
      <c r="G12896">
        <f>IF(DATOS!$A12896="",0,IF(CONFIG_METADATA!$B$4&lt;&gt;"OR+EX",--(DATOS!$G12896=CONFIG_METADATA!$B$4),IF(DATOS!$G12896="EX",1,IF(DATOS!$G12896="OR",--(COUNTIFS(nNIA,DATOS!$A12896,nCURSO,DATOS!$D12896,nESPEC,DATOS!$E12896,nASIG,DATOS!$I12896,nEVAL,"EX")=0),0))))</f>
      </c>
      <c r="H12896">
        <f>IF(DATOS!$G12896&lt;&gt;"EX",0,--(COUNTIFS(nNIA,DATOS!$A12896,nCURSO,DATOS!$D12896,nESPEC,DATOS!$E12896,nASIG,DATOS!$I12896,nEVAL,"OR")=0))</f>
      </c>
      <c r="I12896">
        <f>IF(DATOS!$I12896="","",IFERROR(VLOOKUP(DATOS!$I12896,CONFIG_ASIGNATURAS!$B$2:$J$91,9,FALSE()),""))</f>
      </c>
    </row>
    <row r="12897">
      <c r="F12897">
        <f>IF(DATOS!$A12897="","",DATOS!$A12897&amp;"|"&amp;DATOS!$D12897&amp;"|"&amp;DATOS!$E12897&amp;"|"&amp;DATOS!$I12897)</f>
      </c>
      <c r="G12897">
        <f>IF(DATOS!$A12897="",0,IF(CONFIG_METADATA!$B$4&lt;&gt;"OR+EX",--(DATOS!$G12897=CONFIG_METADATA!$B$4),IF(DATOS!$G12897="EX",1,IF(DATOS!$G12897="OR",--(COUNTIFS(nNIA,DATOS!$A12897,nCURSO,DATOS!$D12897,nESPEC,DATOS!$E12897,nASIG,DATOS!$I12897,nEVAL,"EX")=0),0))))</f>
      </c>
      <c r="H12897">
        <f>IF(DATOS!$G12897&lt;&gt;"EX",0,--(COUNTIFS(nNIA,DATOS!$A12897,nCURSO,DATOS!$D12897,nESPEC,DATOS!$E12897,nASIG,DATOS!$I12897,nEVAL,"OR")=0))</f>
      </c>
      <c r="I12897">
        <f>IF(DATOS!$I12897="","",IFERROR(VLOOKUP(DATOS!$I12897,CONFIG_ASIGNATURAS!$B$2:$J$91,9,FALSE()),""))</f>
      </c>
    </row>
    <row r="12898">
      <c r="F12898">
        <f>IF(DATOS!$A12898="","",DATOS!$A12898&amp;"|"&amp;DATOS!$D12898&amp;"|"&amp;DATOS!$E12898&amp;"|"&amp;DATOS!$I12898)</f>
      </c>
      <c r="G12898">
        <f>IF(DATOS!$A12898="",0,IF(CONFIG_METADATA!$B$4&lt;&gt;"OR+EX",--(DATOS!$G12898=CONFIG_METADATA!$B$4),IF(DATOS!$G12898="EX",1,IF(DATOS!$G12898="OR",--(COUNTIFS(nNIA,DATOS!$A12898,nCURSO,DATOS!$D12898,nESPEC,DATOS!$E12898,nASIG,DATOS!$I12898,nEVAL,"EX")=0),0))))</f>
      </c>
      <c r="H12898">
        <f>IF(DATOS!$G12898&lt;&gt;"EX",0,--(COUNTIFS(nNIA,DATOS!$A12898,nCURSO,DATOS!$D12898,nESPEC,DATOS!$E12898,nASIG,DATOS!$I12898,nEVAL,"OR")=0))</f>
      </c>
      <c r="I12898">
        <f>IF(DATOS!$I12898="","",IFERROR(VLOOKUP(DATOS!$I12898,CONFIG_ASIGNATURAS!$B$2:$J$91,9,FALSE()),""))</f>
      </c>
    </row>
    <row r="12899">
      <c r="F12899">
        <f>IF(DATOS!$A12899="","",DATOS!$A12899&amp;"|"&amp;DATOS!$D12899&amp;"|"&amp;DATOS!$E12899&amp;"|"&amp;DATOS!$I12899)</f>
      </c>
      <c r="G12899">
        <f>IF(DATOS!$A12899="",0,IF(CONFIG_METADATA!$B$4&lt;&gt;"OR+EX",--(DATOS!$G12899=CONFIG_METADATA!$B$4),IF(DATOS!$G12899="EX",1,IF(DATOS!$G12899="OR",--(COUNTIFS(nNIA,DATOS!$A12899,nCURSO,DATOS!$D12899,nESPEC,DATOS!$E12899,nASIG,DATOS!$I12899,nEVAL,"EX")=0),0))))</f>
      </c>
      <c r="H12899">
        <f>IF(DATOS!$G12899&lt;&gt;"EX",0,--(COUNTIFS(nNIA,DATOS!$A12899,nCURSO,DATOS!$D12899,nESPEC,DATOS!$E12899,nASIG,DATOS!$I12899,nEVAL,"OR")=0))</f>
      </c>
      <c r="I12899">
        <f>IF(DATOS!$I12899="","",IFERROR(VLOOKUP(DATOS!$I12899,CONFIG_ASIGNATURAS!$B$2:$J$91,9,FALSE()),""))</f>
      </c>
    </row>
    <row r="12900">
      <c r="F12900">
        <f>IF(DATOS!$A12900="","",DATOS!$A12900&amp;"|"&amp;DATOS!$D12900&amp;"|"&amp;DATOS!$E12900&amp;"|"&amp;DATOS!$I12900)</f>
      </c>
      <c r="G12900">
        <f>IF(DATOS!$A12900="",0,IF(CONFIG_METADATA!$B$4&lt;&gt;"OR+EX",--(DATOS!$G12900=CONFIG_METADATA!$B$4),IF(DATOS!$G12900="EX",1,IF(DATOS!$G12900="OR",--(COUNTIFS(nNIA,DATOS!$A12900,nCURSO,DATOS!$D12900,nESPEC,DATOS!$E12900,nASIG,DATOS!$I12900,nEVAL,"EX")=0),0))))</f>
      </c>
      <c r="H12900">
        <f>IF(DATOS!$G12900&lt;&gt;"EX",0,--(COUNTIFS(nNIA,DATOS!$A12900,nCURSO,DATOS!$D12900,nESPEC,DATOS!$E12900,nASIG,DATOS!$I12900,nEVAL,"OR")=0))</f>
      </c>
      <c r="I12900">
        <f>IF(DATOS!$I12900="","",IFERROR(VLOOKUP(DATOS!$I12900,CONFIG_ASIGNATURAS!$B$2:$J$91,9,FALSE()),""))</f>
      </c>
    </row>
    <row r="12901">
      <c r="F12901">
        <f>IF(DATOS!$A12901="","",DATOS!$A12901&amp;"|"&amp;DATOS!$D12901&amp;"|"&amp;DATOS!$E12901&amp;"|"&amp;DATOS!$I12901)</f>
      </c>
      <c r="G12901">
        <f>IF(DATOS!$A12901="",0,IF(CONFIG_METADATA!$B$4&lt;&gt;"OR+EX",--(DATOS!$G12901=CONFIG_METADATA!$B$4),IF(DATOS!$G12901="EX",1,IF(DATOS!$G12901="OR",--(COUNTIFS(nNIA,DATOS!$A12901,nCURSO,DATOS!$D12901,nESPEC,DATOS!$E12901,nASIG,DATOS!$I12901,nEVAL,"EX")=0),0))))</f>
      </c>
      <c r="H12901">
        <f>IF(DATOS!$G12901&lt;&gt;"EX",0,--(COUNTIFS(nNIA,DATOS!$A12901,nCURSO,DATOS!$D12901,nESPEC,DATOS!$E12901,nASIG,DATOS!$I12901,nEVAL,"OR")=0))</f>
      </c>
      <c r="I12901">
        <f>IF(DATOS!$I12901="","",IFERROR(VLOOKUP(DATOS!$I12901,CONFIG_ASIGNATURAS!$B$2:$J$91,9,FALSE()),""))</f>
      </c>
    </row>
    <row r="12902">
      <c r="F12902">
        <f>IF(DATOS!$A12902="","",DATOS!$A12902&amp;"|"&amp;DATOS!$D12902&amp;"|"&amp;DATOS!$E12902&amp;"|"&amp;DATOS!$I12902)</f>
      </c>
      <c r="G12902">
        <f>IF(DATOS!$A12902="",0,IF(CONFIG_METADATA!$B$4&lt;&gt;"OR+EX",--(DATOS!$G12902=CONFIG_METADATA!$B$4),IF(DATOS!$G12902="EX",1,IF(DATOS!$G12902="OR",--(COUNTIFS(nNIA,DATOS!$A12902,nCURSO,DATOS!$D12902,nESPEC,DATOS!$E12902,nASIG,DATOS!$I12902,nEVAL,"EX")=0),0))))</f>
      </c>
      <c r="H12902">
        <f>IF(DATOS!$G12902&lt;&gt;"EX",0,--(COUNTIFS(nNIA,DATOS!$A12902,nCURSO,DATOS!$D12902,nESPEC,DATOS!$E12902,nASIG,DATOS!$I12902,nEVAL,"OR")=0))</f>
      </c>
      <c r="I12902">
        <f>IF(DATOS!$I12902="","",IFERROR(VLOOKUP(DATOS!$I12902,CONFIG_ASIGNATURAS!$B$2:$J$91,9,FALSE()),""))</f>
      </c>
    </row>
    <row r="12903">
      <c r="F12903">
        <f>IF(DATOS!$A12903="","",DATOS!$A12903&amp;"|"&amp;DATOS!$D12903&amp;"|"&amp;DATOS!$E12903&amp;"|"&amp;DATOS!$I12903)</f>
      </c>
      <c r="G12903">
        <f>IF(DATOS!$A12903="",0,IF(CONFIG_METADATA!$B$4&lt;&gt;"OR+EX",--(DATOS!$G12903=CONFIG_METADATA!$B$4),IF(DATOS!$G12903="EX",1,IF(DATOS!$G12903="OR",--(COUNTIFS(nNIA,DATOS!$A12903,nCURSO,DATOS!$D12903,nESPEC,DATOS!$E12903,nASIG,DATOS!$I12903,nEVAL,"EX")=0),0))))</f>
      </c>
      <c r="H12903">
        <f>IF(DATOS!$G12903&lt;&gt;"EX",0,--(COUNTIFS(nNIA,DATOS!$A12903,nCURSO,DATOS!$D12903,nESPEC,DATOS!$E12903,nASIG,DATOS!$I12903,nEVAL,"OR")=0))</f>
      </c>
      <c r="I12903">
        <f>IF(DATOS!$I12903="","",IFERROR(VLOOKUP(DATOS!$I12903,CONFIG_ASIGNATURAS!$B$2:$J$91,9,FALSE()),""))</f>
      </c>
    </row>
    <row r="12904">
      <c r="F12904">
        <f>IF(DATOS!$A12904="","",DATOS!$A12904&amp;"|"&amp;DATOS!$D12904&amp;"|"&amp;DATOS!$E12904&amp;"|"&amp;DATOS!$I12904)</f>
      </c>
      <c r="G12904">
        <f>IF(DATOS!$A12904="",0,IF(CONFIG_METADATA!$B$4&lt;&gt;"OR+EX",--(DATOS!$G12904=CONFIG_METADATA!$B$4),IF(DATOS!$G12904="EX",1,IF(DATOS!$G12904="OR",--(COUNTIFS(nNIA,DATOS!$A12904,nCURSO,DATOS!$D12904,nESPEC,DATOS!$E12904,nASIG,DATOS!$I12904,nEVAL,"EX")=0),0))))</f>
      </c>
      <c r="H12904">
        <f>IF(DATOS!$G12904&lt;&gt;"EX",0,--(COUNTIFS(nNIA,DATOS!$A12904,nCURSO,DATOS!$D12904,nESPEC,DATOS!$E12904,nASIG,DATOS!$I12904,nEVAL,"OR")=0))</f>
      </c>
      <c r="I12904">
        <f>IF(DATOS!$I12904="","",IFERROR(VLOOKUP(DATOS!$I12904,CONFIG_ASIGNATURAS!$B$2:$J$91,9,FALSE()),""))</f>
      </c>
    </row>
    <row r="12905">
      <c r="F12905">
        <f>IF(DATOS!$A12905="","",DATOS!$A12905&amp;"|"&amp;DATOS!$D12905&amp;"|"&amp;DATOS!$E12905&amp;"|"&amp;DATOS!$I12905)</f>
      </c>
      <c r="G12905">
        <f>IF(DATOS!$A12905="",0,IF(CONFIG_METADATA!$B$4&lt;&gt;"OR+EX",--(DATOS!$G12905=CONFIG_METADATA!$B$4),IF(DATOS!$G12905="EX",1,IF(DATOS!$G12905="OR",--(COUNTIFS(nNIA,DATOS!$A12905,nCURSO,DATOS!$D12905,nESPEC,DATOS!$E12905,nASIG,DATOS!$I12905,nEVAL,"EX")=0),0))))</f>
      </c>
      <c r="H12905">
        <f>IF(DATOS!$G12905&lt;&gt;"EX",0,--(COUNTIFS(nNIA,DATOS!$A12905,nCURSO,DATOS!$D12905,nESPEC,DATOS!$E12905,nASIG,DATOS!$I12905,nEVAL,"OR")=0))</f>
      </c>
      <c r="I12905">
        <f>IF(DATOS!$I12905="","",IFERROR(VLOOKUP(DATOS!$I12905,CONFIG_ASIGNATURAS!$B$2:$J$91,9,FALSE()),""))</f>
      </c>
    </row>
    <row r="12906">
      <c r="F12906">
        <f>IF(DATOS!$A12906="","",DATOS!$A12906&amp;"|"&amp;DATOS!$D12906&amp;"|"&amp;DATOS!$E12906&amp;"|"&amp;DATOS!$I12906)</f>
      </c>
      <c r="G12906">
        <f>IF(DATOS!$A12906="",0,IF(CONFIG_METADATA!$B$4&lt;&gt;"OR+EX",--(DATOS!$G12906=CONFIG_METADATA!$B$4),IF(DATOS!$G12906="EX",1,IF(DATOS!$G12906="OR",--(COUNTIFS(nNIA,DATOS!$A12906,nCURSO,DATOS!$D12906,nESPEC,DATOS!$E12906,nASIG,DATOS!$I12906,nEVAL,"EX")=0),0))))</f>
      </c>
      <c r="H12906">
        <f>IF(DATOS!$G12906&lt;&gt;"EX",0,--(COUNTIFS(nNIA,DATOS!$A12906,nCURSO,DATOS!$D12906,nESPEC,DATOS!$E12906,nASIG,DATOS!$I12906,nEVAL,"OR")=0))</f>
      </c>
      <c r="I12906">
        <f>IF(DATOS!$I12906="","",IFERROR(VLOOKUP(DATOS!$I12906,CONFIG_ASIGNATURAS!$B$2:$J$91,9,FALSE()),""))</f>
      </c>
    </row>
    <row r="12907">
      <c r="F12907">
        <f>IF(DATOS!$A12907="","",DATOS!$A12907&amp;"|"&amp;DATOS!$D12907&amp;"|"&amp;DATOS!$E12907&amp;"|"&amp;DATOS!$I12907)</f>
      </c>
      <c r="G12907">
        <f>IF(DATOS!$A12907="",0,IF(CONFIG_METADATA!$B$4&lt;&gt;"OR+EX",--(DATOS!$G12907=CONFIG_METADATA!$B$4),IF(DATOS!$G12907="EX",1,IF(DATOS!$G12907="OR",--(COUNTIFS(nNIA,DATOS!$A12907,nCURSO,DATOS!$D12907,nESPEC,DATOS!$E12907,nASIG,DATOS!$I12907,nEVAL,"EX")=0),0))))</f>
      </c>
      <c r="H12907">
        <f>IF(DATOS!$G12907&lt;&gt;"EX",0,--(COUNTIFS(nNIA,DATOS!$A12907,nCURSO,DATOS!$D12907,nESPEC,DATOS!$E12907,nASIG,DATOS!$I12907,nEVAL,"OR")=0))</f>
      </c>
      <c r="I12907">
        <f>IF(DATOS!$I12907="","",IFERROR(VLOOKUP(DATOS!$I12907,CONFIG_ASIGNATURAS!$B$2:$J$91,9,FALSE()),""))</f>
      </c>
    </row>
    <row r="12908">
      <c r="F12908">
        <f>IF(DATOS!$A12908="","",DATOS!$A12908&amp;"|"&amp;DATOS!$D12908&amp;"|"&amp;DATOS!$E12908&amp;"|"&amp;DATOS!$I12908)</f>
      </c>
      <c r="G12908">
        <f>IF(DATOS!$A12908="",0,IF(CONFIG_METADATA!$B$4&lt;&gt;"OR+EX",--(DATOS!$G12908=CONFIG_METADATA!$B$4),IF(DATOS!$G12908="EX",1,IF(DATOS!$G12908="OR",--(COUNTIFS(nNIA,DATOS!$A12908,nCURSO,DATOS!$D12908,nESPEC,DATOS!$E12908,nASIG,DATOS!$I12908,nEVAL,"EX")=0),0))))</f>
      </c>
      <c r="H12908">
        <f>IF(DATOS!$G12908&lt;&gt;"EX",0,--(COUNTIFS(nNIA,DATOS!$A12908,nCURSO,DATOS!$D12908,nESPEC,DATOS!$E12908,nASIG,DATOS!$I12908,nEVAL,"OR")=0))</f>
      </c>
      <c r="I12908">
        <f>IF(DATOS!$I12908="","",IFERROR(VLOOKUP(DATOS!$I12908,CONFIG_ASIGNATURAS!$B$2:$J$91,9,FALSE()),""))</f>
      </c>
    </row>
    <row r="12909">
      <c r="F12909">
        <f>IF(DATOS!$A12909="","",DATOS!$A12909&amp;"|"&amp;DATOS!$D12909&amp;"|"&amp;DATOS!$E12909&amp;"|"&amp;DATOS!$I12909)</f>
      </c>
      <c r="G12909">
        <f>IF(DATOS!$A12909="",0,IF(CONFIG_METADATA!$B$4&lt;&gt;"OR+EX",--(DATOS!$G12909=CONFIG_METADATA!$B$4),IF(DATOS!$G12909="EX",1,IF(DATOS!$G12909="OR",--(COUNTIFS(nNIA,DATOS!$A12909,nCURSO,DATOS!$D12909,nESPEC,DATOS!$E12909,nASIG,DATOS!$I12909,nEVAL,"EX")=0),0))))</f>
      </c>
      <c r="H12909">
        <f>IF(DATOS!$G12909&lt;&gt;"EX",0,--(COUNTIFS(nNIA,DATOS!$A12909,nCURSO,DATOS!$D12909,nESPEC,DATOS!$E12909,nASIG,DATOS!$I12909,nEVAL,"OR")=0))</f>
      </c>
      <c r="I12909">
        <f>IF(DATOS!$I12909="","",IFERROR(VLOOKUP(DATOS!$I12909,CONFIG_ASIGNATURAS!$B$2:$J$91,9,FALSE()),""))</f>
      </c>
    </row>
    <row r="12910">
      <c r="F12910">
        <f>IF(DATOS!$A12910="","",DATOS!$A12910&amp;"|"&amp;DATOS!$D12910&amp;"|"&amp;DATOS!$E12910&amp;"|"&amp;DATOS!$I12910)</f>
      </c>
      <c r="G12910">
        <f>IF(DATOS!$A12910="",0,IF(CONFIG_METADATA!$B$4&lt;&gt;"OR+EX",--(DATOS!$G12910=CONFIG_METADATA!$B$4),IF(DATOS!$G12910="EX",1,IF(DATOS!$G12910="OR",--(COUNTIFS(nNIA,DATOS!$A12910,nCURSO,DATOS!$D12910,nESPEC,DATOS!$E12910,nASIG,DATOS!$I12910,nEVAL,"EX")=0),0))))</f>
      </c>
      <c r="H12910">
        <f>IF(DATOS!$G12910&lt;&gt;"EX",0,--(COUNTIFS(nNIA,DATOS!$A12910,nCURSO,DATOS!$D12910,nESPEC,DATOS!$E12910,nASIG,DATOS!$I12910,nEVAL,"OR")=0))</f>
      </c>
      <c r="I12910">
        <f>IF(DATOS!$I12910="","",IFERROR(VLOOKUP(DATOS!$I12910,CONFIG_ASIGNATURAS!$B$2:$J$91,9,FALSE()),""))</f>
      </c>
    </row>
    <row r="12911">
      <c r="F12911">
        <f>IF(DATOS!$A12911="","",DATOS!$A12911&amp;"|"&amp;DATOS!$D12911&amp;"|"&amp;DATOS!$E12911&amp;"|"&amp;DATOS!$I12911)</f>
      </c>
      <c r="G12911">
        <f>IF(DATOS!$A12911="",0,IF(CONFIG_METADATA!$B$4&lt;&gt;"OR+EX",--(DATOS!$G12911=CONFIG_METADATA!$B$4),IF(DATOS!$G12911="EX",1,IF(DATOS!$G12911="OR",--(COUNTIFS(nNIA,DATOS!$A12911,nCURSO,DATOS!$D12911,nESPEC,DATOS!$E12911,nASIG,DATOS!$I12911,nEVAL,"EX")=0),0))))</f>
      </c>
      <c r="H12911">
        <f>IF(DATOS!$G12911&lt;&gt;"EX",0,--(COUNTIFS(nNIA,DATOS!$A12911,nCURSO,DATOS!$D12911,nESPEC,DATOS!$E12911,nASIG,DATOS!$I12911,nEVAL,"OR")=0))</f>
      </c>
      <c r="I12911">
        <f>IF(DATOS!$I12911="","",IFERROR(VLOOKUP(DATOS!$I12911,CONFIG_ASIGNATURAS!$B$2:$J$91,9,FALSE()),""))</f>
      </c>
    </row>
    <row r="12912">
      <c r="F12912">
        <f>IF(DATOS!$A12912="","",DATOS!$A12912&amp;"|"&amp;DATOS!$D12912&amp;"|"&amp;DATOS!$E12912&amp;"|"&amp;DATOS!$I12912)</f>
      </c>
      <c r="G12912">
        <f>IF(DATOS!$A12912="",0,IF(CONFIG_METADATA!$B$4&lt;&gt;"OR+EX",--(DATOS!$G12912=CONFIG_METADATA!$B$4),IF(DATOS!$G12912="EX",1,IF(DATOS!$G12912="OR",--(COUNTIFS(nNIA,DATOS!$A12912,nCURSO,DATOS!$D12912,nESPEC,DATOS!$E12912,nASIG,DATOS!$I12912,nEVAL,"EX")=0),0))))</f>
      </c>
      <c r="H12912">
        <f>IF(DATOS!$G12912&lt;&gt;"EX",0,--(COUNTIFS(nNIA,DATOS!$A12912,nCURSO,DATOS!$D12912,nESPEC,DATOS!$E12912,nASIG,DATOS!$I12912,nEVAL,"OR")=0))</f>
      </c>
      <c r="I12912">
        <f>IF(DATOS!$I12912="","",IFERROR(VLOOKUP(DATOS!$I12912,CONFIG_ASIGNATURAS!$B$2:$J$91,9,FALSE()),""))</f>
      </c>
    </row>
    <row r="12913">
      <c r="F12913">
        <f>IF(DATOS!$A12913="","",DATOS!$A12913&amp;"|"&amp;DATOS!$D12913&amp;"|"&amp;DATOS!$E12913&amp;"|"&amp;DATOS!$I12913)</f>
      </c>
      <c r="G12913">
        <f>IF(DATOS!$A12913="",0,IF(CONFIG_METADATA!$B$4&lt;&gt;"OR+EX",--(DATOS!$G12913=CONFIG_METADATA!$B$4),IF(DATOS!$G12913="EX",1,IF(DATOS!$G12913="OR",--(COUNTIFS(nNIA,DATOS!$A12913,nCURSO,DATOS!$D12913,nESPEC,DATOS!$E12913,nASIG,DATOS!$I12913,nEVAL,"EX")=0),0))))</f>
      </c>
      <c r="H12913">
        <f>IF(DATOS!$G12913&lt;&gt;"EX",0,--(COUNTIFS(nNIA,DATOS!$A12913,nCURSO,DATOS!$D12913,nESPEC,DATOS!$E12913,nASIG,DATOS!$I12913,nEVAL,"OR")=0))</f>
      </c>
      <c r="I12913">
        <f>IF(DATOS!$I12913="","",IFERROR(VLOOKUP(DATOS!$I12913,CONFIG_ASIGNATURAS!$B$2:$J$91,9,FALSE()),""))</f>
      </c>
    </row>
    <row r="12914">
      <c r="F12914">
        <f>IF(DATOS!$A12914="","",DATOS!$A12914&amp;"|"&amp;DATOS!$D12914&amp;"|"&amp;DATOS!$E12914&amp;"|"&amp;DATOS!$I12914)</f>
      </c>
      <c r="G12914">
        <f>IF(DATOS!$A12914="",0,IF(CONFIG_METADATA!$B$4&lt;&gt;"OR+EX",--(DATOS!$G12914=CONFIG_METADATA!$B$4),IF(DATOS!$G12914="EX",1,IF(DATOS!$G12914="OR",--(COUNTIFS(nNIA,DATOS!$A12914,nCURSO,DATOS!$D12914,nESPEC,DATOS!$E12914,nASIG,DATOS!$I12914,nEVAL,"EX")=0),0))))</f>
      </c>
      <c r="H12914">
        <f>IF(DATOS!$G12914&lt;&gt;"EX",0,--(COUNTIFS(nNIA,DATOS!$A12914,nCURSO,DATOS!$D12914,nESPEC,DATOS!$E12914,nASIG,DATOS!$I12914,nEVAL,"OR")=0))</f>
      </c>
      <c r="I12914">
        <f>IF(DATOS!$I12914="","",IFERROR(VLOOKUP(DATOS!$I12914,CONFIG_ASIGNATURAS!$B$2:$J$91,9,FALSE()),""))</f>
      </c>
    </row>
    <row r="12915">
      <c r="F12915">
        <f>IF(DATOS!$A12915="","",DATOS!$A12915&amp;"|"&amp;DATOS!$D12915&amp;"|"&amp;DATOS!$E12915&amp;"|"&amp;DATOS!$I12915)</f>
      </c>
      <c r="G12915">
        <f>IF(DATOS!$A12915="",0,IF(CONFIG_METADATA!$B$4&lt;&gt;"OR+EX",--(DATOS!$G12915=CONFIG_METADATA!$B$4),IF(DATOS!$G12915="EX",1,IF(DATOS!$G12915="OR",--(COUNTIFS(nNIA,DATOS!$A12915,nCURSO,DATOS!$D12915,nESPEC,DATOS!$E12915,nASIG,DATOS!$I12915,nEVAL,"EX")=0),0))))</f>
      </c>
      <c r="H12915">
        <f>IF(DATOS!$G12915&lt;&gt;"EX",0,--(COUNTIFS(nNIA,DATOS!$A12915,nCURSO,DATOS!$D12915,nESPEC,DATOS!$E12915,nASIG,DATOS!$I12915,nEVAL,"OR")=0))</f>
      </c>
      <c r="I12915">
        <f>IF(DATOS!$I12915="","",IFERROR(VLOOKUP(DATOS!$I12915,CONFIG_ASIGNATURAS!$B$2:$J$91,9,FALSE()),""))</f>
      </c>
    </row>
    <row r="12916">
      <c r="F12916">
        <f>IF(DATOS!$A12916="","",DATOS!$A12916&amp;"|"&amp;DATOS!$D12916&amp;"|"&amp;DATOS!$E12916&amp;"|"&amp;DATOS!$I12916)</f>
      </c>
      <c r="G12916">
        <f>IF(DATOS!$A12916="",0,IF(CONFIG_METADATA!$B$4&lt;&gt;"OR+EX",--(DATOS!$G12916=CONFIG_METADATA!$B$4),IF(DATOS!$G12916="EX",1,IF(DATOS!$G12916="OR",--(COUNTIFS(nNIA,DATOS!$A12916,nCURSO,DATOS!$D12916,nESPEC,DATOS!$E12916,nASIG,DATOS!$I12916,nEVAL,"EX")=0),0))))</f>
      </c>
      <c r="H12916">
        <f>IF(DATOS!$G12916&lt;&gt;"EX",0,--(COUNTIFS(nNIA,DATOS!$A12916,nCURSO,DATOS!$D12916,nESPEC,DATOS!$E12916,nASIG,DATOS!$I12916,nEVAL,"OR")=0))</f>
      </c>
      <c r="I12916">
        <f>IF(DATOS!$I12916="","",IFERROR(VLOOKUP(DATOS!$I12916,CONFIG_ASIGNATURAS!$B$2:$J$91,9,FALSE()),""))</f>
      </c>
    </row>
    <row r="12917">
      <c r="F12917">
        <f>IF(DATOS!$A12917="","",DATOS!$A12917&amp;"|"&amp;DATOS!$D12917&amp;"|"&amp;DATOS!$E12917&amp;"|"&amp;DATOS!$I12917)</f>
      </c>
      <c r="G12917">
        <f>IF(DATOS!$A12917="",0,IF(CONFIG_METADATA!$B$4&lt;&gt;"OR+EX",--(DATOS!$G12917=CONFIG_METADATA!$B$4),IF(DATOS!$G12917="EX",1,IF(DATOS!$G12917="OR",--(COUNTIFS(nNIA,DATOS!$A12917,nCURSO,DATOS!$D12917,nESPEC,DATOS!$E12917,nASIG,DATOS!$I12917,nEVAL,"EX")=0),0))))</f>
      </c>
      <c r="H12917">
        <f>IF(DATOS!$G12917&lt;&gt;"EX",0,--(COUNTIFS(nNIA,DATOS!$A12917,nCURSO,DATOS!$D12917,nESPEC,DATOS!$E12917,nASIG,DATOS!$I12917,nEVAL,"OR")=0))</f>
      </c>
      <c r="I12917">
        <f>IF(DATOS!$I12917="","",IFERROR(VLOOKUP(DATOS!$I12917,CONFIG_ASIGNATURAS!$B$2:$J$91,9,FALSE()),""))</f>
      </c>
    </row>
    <row r="12918">
      <c r="F12918">
        <f>IF(DATOS!$A12918="","",DATOS!$A12918&amp;"|"&amp;DATOS!$D12918&amp;"|"&amp;DATOS!$E12918&amp;"|"&amp;DATOS!$I12918)</f>
      </c>
      <c r="G12918">
        <f>IF(DATOS!$A12918="",0,IF(CONFIG_METADATA!$B$4&lt;&gt;"OR+EX",--(DATOS!$G12918=CONFIG_METADATA!$B$4),IF(DATOS!$G12918="EX",1,IF(DATOS!$G12918="OR",--(COUNTIFS(nNIA,DATOS!$A12918,nCURSO,DATOS!$D12918,nESPEC,DATOS!$E12918,nASIG,DATOS!$I12918,nEVAL,"EX")=0),0))))</f>
      </c>
      <c r="H12918">
        <f>IF(DATOS!$G12918&lt;&gt;"EX",0,--(COUNTIFS(nNIA,DATOS!$A12918,nCURSO,DATOS!$D12918,nESPEC,DATOS!$E12918,nASIG,DATOS!$I12918,nEVAL,"OR")=0))</f>
      </c>
      <c r="I12918">
        <f>IF(DATOS!$I12918="","",IFERROR(VLOOKUP(DATOS!$I12918,CONFIG_ASIGNATURAS!$B$2:$J$91,9,FALSE()),""))</f>
      </c>
    </row>
    <row r="12919">
      <c r="F12919">
        <f>IF(DATOS!$A12919="","",DATOS!$A12919&amp;"|"&amp;DATOS!$D12919&amp;"|"&amp;DATOS!$E12919&amp;"|"&amp;DATOS!$I12919)</f>
      </c>
      <c r="G12919">
        <f>IF(DATOS!$A12919="",0,IF(CONFIG_METADATA!$B$4&lt;&gt;"OR+EX",--(DATOS!$G12919=CONFIG_METADATA!$B$4),IF(DATOS!$G12919="EX",1,IF(DATOS!$G12919="OR",--(COUNTIFS(nNIA,DATOS!$A12919,nCURSO,DATOS!$D12919,nESPEC,DATOS!$E12919,nASIG,DATOS!$I12919,nEVAL,"EX")=0),0))))</f>
      </c>
      <c r="H12919">
        <f>IF(DATOS!$G12919&lt;&gt;"EX",0,--(COUNTIFS(nNIA,DATOS!$A12919,nCURSO,DATOS!$D12919,nESPEC,DATOS!$E12919,nASIG,DATOS!$I12919,nEVAL,"OR")=0))</f>
      </c>
      <c r="I12919">
        <f>IF(DATOS!$I12919="","",IFERROR(VLOOKUP(DATOS!$I12919,CONFIG_ASIGNATURAS!$B$2:$J$91,9,FALSE()),""))</f>
      </c>
    </row>
    <row r="12920">
      <c r="F12920">
        <f>IF(DATOS!$A12920="","",DATOS!$A12920&amp;"|"&amp;DATOS!$D12920&amp;"|"&amp;DATOS!$E12920&amp;"|"&amp;DATOS!$I12920)</f>
      </c>
      <c r="G12920">
        <f>IF(DATOS!$A12920="",0,IF(CONFIG_METADATA!$B$4&lt;&gt;"OR+EX",--(DATOS!$G12920=CONFIG_METADATA!$B$4),IF(DATOS!$G12920="EX",1,IF(DATOS!$G12920="OR",--(COUNTIFS(nNIA,DATOS!$A12920,nCURSO,DATOS!$D12920,nESPEC,DATOS!$E12920,nASIG,DATOS!$I12920,nEVAL,"EX")=0),0))))</f>
      </c>
      <c r="H12920">
        <f>IF(DATOS!$G12920&lt;&gt;"EX",0,--(COUNTIFS(nNIA,DATOS!$A12920,nCURSO,DATOS!$D12920,nESPEC,DATOS!$E12920,nASIG,DATOS!$I12920,nEVAL,"OR")=0))</f>
      </c>
      <c r="I12920">
        <f>IF(DATOS!$I12920="","",IFERROR(VLOOKUP(DATOS!$I12920,CONFIG_ASIGNATURAS!$B$2:$J$91,9,FALSE()),""))</f>
      </c>
    </row>
    <row r="12921">
      <c r="F12921">
        <f>IF(DATOS!$A12921="","",DATOS!$A12921&amp;"|"&amp;DATOS!$D12921&amp;"|"&amp;DATOS!$E12921&amp;"|"&amp;DATOS!$I12921)</f>
      </c>
      <c r="G12921">
        <f>IF(DATOS!$A12921="",0,IF(CONFIG_METADATA!$B$4&lt;&gt;"OR+EX",--(DATOS!$G12921=CONFIG_METADATA!$B$4),IF(DATOS!$G12921="EX",1,IF(DATOS!$G12921="OR",--(COUNTIFS(nNIA,DATOS!$A12921,nCURSO,DATOS!$D12921,nESPEC,DATOS!$E12921,nASIG,DATOS!$I12921,nEVAL,"EX")=0),0))))</f>
      </c>
      <c r="H12921">
        <f>IF(DATOS!$G12921&lt;&gt;"EX",0,--(COUNTIFS(nNIA,DATOS!$A12921,nCURSO,DATOS!$D12921,nESPEC,DATOS!$E12921,nASIG,DATOS!$I12921,nEVAL,"OR")=0))</f>
      </c>
      <c r="I12921">
        <f>IF(DATOS!$I12921="","",IFERROR(VLOOKUP(DATOS!$I12921,CONFIG_ASIGNATURAS!$B$2:$J$91,9,FALSE()),""))</f>
      </c>
    </row>
    <row r="12922">
      <c r="F12922">
        <f>IF(DATOS!$A12922="","",DATOS!$A12922&amp;"|"&amp;DATOS!$D12922&amp;"|"&amp;DATOS!$E12922&amp;"|"&amp;DATOS!$I12922)</f>
      </c>
      <c r="G12922">
        <f>IF(DATOS!$A12922="",0,IF(CONFIG_METADATA!$B$4&lt;&gt;"OR+EX",--(DATOS!$G12922=CONFIG_METADATA!$B$4),IF(DATOS!$G12922="EX",1,IF(DATOS!$G12922="OR",--(COUNTIFS(nNIA,DATOS!$A12922,nCURSO,DATOS!$D12922,nESPEC,DATOS!$E12922,nASIG,DATOS!$I12922,nEVAL,"EX")=0),0))))</f>
      </c>
      <c r="H12922">
        <f>IF(DATOS!$G12922&lt;&gt;"EX",0,--(COUNTIFS(nNIA,DATOS!$A12922,nCURSO,DATOS!$D12922,nESPEC,DATOS!$E12922,nASIG,DATOS!$I12922,nEVAL,"OR")=0))</f>
      </c>
      <c r="I12922">
        <f>IF(DATOS!$I12922="","",IFERROR(VLOOKUP(DATOS!$I12922,CONFIG_ASIGNATURAS!$B$2:$J$91,9,FALSE()),""))</f>
      </c>
    </row>
    <row r="12923">
      <c r="F12923">
        <f>IF(DATOS!$A12923="","",DATOS!$A12923&amp;"|"&amp;DATOS!$D12923&amp;"|"&amp;DATOS!$E12923&amp;"|"&amp;DATOS!$I12923)</f>
      </c>
      <c r="G12923">
        <f>IF(DATOS!$A12923="",0,IF(CONFIG_METADATA!$B$4&lt;&gt;"OR+EX",--(DATOS!$G12923=CONFIG_METADATA!$B$4),IF(DATOS!$G12923="EX",1,IF(DATOS!$G12923="OR",--(COUNTIFS(nNIA,DATOS!$A12923,nCURSO,DATOS!$D12923,nESPEC,DATOS!$E12923,nASIG,DATOS!$I12923,nEVAL,"EX")=0),0))))</f>
      </c>
      <c r="H12923">
        <f>IF(DATOS!$G12923&lt;&gt;"EX",0,--(COUNTIFS(nNIA,DATOS!$A12923,nCURSO,DATOS!$D12923,nESPEC,DATOS!$E12923,nASIG,DATOS!$I12923,nEVAL,"OR")=0))</f>
      </c>
      <c r="I12923">
        <f>IF(DATOS!$I12923="","",IFERROR(VLOOKUP(DATOS!$I12923,CONFIG_ASIGNATURAS!$B$2:$J$91,9,FALSE()),""))</f>
      </c>
    </row>
    <row r="12924">
      <c r="F12924">
        <f>IF(DATOS!$A12924="","",DATOS!$A12924&amp;"|"&amp;DATOS!$D12924&amp;"|"&amp;DATOS!$E12924&amp;"|"&amp;DATOS!$I12924)</f>
      </c>
      <c r="G12924">
        <f>IF(DATOS!$A12924="",0,IF(CONFIG_METADATA!$B$4&lt;&gt;"OR+EX",--(DATOS!$G12924=CONFIG_METADATA!$B$4),IF(DATOS!$G12924="EX",1,IF(DATOS!$G12924="OR",--(COUNTIFS(nNIA,DATOS!$A12924,nCURSO,DATOS!$D12924,nESPEC,DATOS!$E12924,nASIG,DATOS!$I12924,nEVAL,"EX")=0),0))))</f>
      </c>
      <c r="H12924">
        <f>IF(DATOS!$G12924&lt;&gt;"EX",0,--(COUNTIFS(nNIA,DATOS!$A12924,nCURSO,DATOS!$D12924,nESPEC,DATOS!$E12924,nASIG,DATOS!$I12924,nEVAL,"OR")=0))</f>
      </c>
      <c r="I12924">
        <f>IF(DATOS!$I12924="","",IFERROR(VLOOKUP(DATOS!$I12924,CONFIG_ASIGNATURAS!$B$2:$J$91,9,FALSE()),""))</f>
      </c>
    </row>
    <row r="12925">
      <c r="F12925">
        <f>IF(DATOS!$A12925="","",DATOS!$A12925&amp;"|"&amp;DATOS!$D12925&amp;"|"&amp;DATOS!$E12925&amp;"|"&amp;DATOS!$I12925)</f>
      </c>
      <c r="G12925">
        <f>IF(DATOS!$A12925="",0,IF(CONFIG_METADATA!$B$4&lt;&gt;"OR+EX",--(DATOS!$G12925=CONFIG_METADATA!$B$4),IF(DATOS!$G12925="EX",1,IF(DATOS!$G12925="OR",--(COUNTIFS(nNIA,DATOS!$A12925,nCURSO,DATOS!$D12925,nESPEC,DATOS!$E12925,nASIG,DATOS!$I12925,nEVAL,"EX")=0),0))))</f>
      </c>
      <c r="H12925">
        <f>IF(DATOS!$G12925&lt;&gt;"EX",0,--(COUNTIFS(nNIA,DATOS!$A12925,nCURSO,DATOS!$D12925,nESPEC,DATOS!$E12925,nASIG,DATOS!$I12925,nEVAL,"OR")=0))</f>
      </c>
      <c r="I12925">
        <f>IF(DATOS!$I12925="","",IFERROR(VLOOKUP(DATOS!$I12925,CONFIG_ASIGNATURAS!$B$2:$J$91,9,FALSE()),""))</f>
      </c>
    </row>
    <row r="12926">
      <c r="F12926">
        <f>IF(DATOS!$A12926="","",DATOS!$A12926&amp;"|"&amp;DATOS!$D12926&amp;"|"&amp;DATOS!$E12926&amp;"|"&amp;DATOS!$I12926)</f>
      </c>
      <c r="G12926">
        <f>IF(DATOS!$A12926="",0,IF(CONFIG_METADATA!$B$4&lt;&gt;"OR+EX",--(DATOS!$G12926=CONFIG_METADATA!$B$4),IF(DATOS!$G12926="EX",1,IF(DATOS!$G12926="OR",--(COUNTIFS(nNIA,DATOS!$A12926,nCURSO,DATOS!$D12926,nESPEC,DATOS!$E12926,nASIG,DATOS!$I12926,nEVAL,"EX")=0),0))))</f>
      </c>
      <c r="H12926">
        <f>IF(DATOS!$G12926&lt;&gt;"EX",0,--(COUNTIFS(nNIA,DATOS!$A12926,nCURSO,DATOS!$D12926,nESPEC,DATOS!$E12926,nASIG,DATOS!$I12926,nEVAL,"OR")=0))</f>
      </c>
      <c r="I12926">
        <f>IF(DATOS!$I12926="","",IFERROR(VLOOKUP(DATOS!$I12926,CONFIG_ASIGNATURAS!$B$2:$J$91,9,FALSE()),""))</f>
      </c>
    </row>
    <row r="12927">
      <c r="F12927">
        <f>IF(DATOS!$A12927="","",DATOS!$A12927&amp;"|"&amp;DATOS!$D12927&amp;"|"&amp;DATOS!$E12927&amp;"|"&amp;DATOS!$I12927)</f>
      </c>
      <c r="G12927">
        <f>IF(DATOS!$A12927="",0,IF(CONFIG_METADATA!$B$4&lt;&gt;"OR+EX",--(DATOS!$G12927=CONFIG_METADATA!$B$4),IF(DATOS!$G12927="EX",1,IF(DATOS!$G12927="OR",--(COUNTIFS(nNIA,DATOS!$A12927,nCURSO,DATOS!$D12927,nESPEC,DATOS!$E12927,nASIG,DATOS!$I12927,nEVAL,"EX")=0),0))))</f>
      </c>
      <c r="H12927">
        <f>IF(DATOS!$G12927&lt;&gt;"EX",0,--(COUNTIFS(nNIA,DATOS!$A12927,nCURSO,DATOS!$D12927,nESPEC,DATOS!$E12927,nASIG,DATOS!$I12927,nEVAL,"OR")=0))</f>
      </c>
      <c r="I12927">
        <f>IF(DATOS!$I12927="","",IFERROR(VLOOKUP(DATOS!$I12927,CONFIG_ASIGNATURAS!$B$2:$J$91,9,FALSE()),""))</f>
      </c>
    </row>
    <row r="12928">
      <c r="F12928">
        <f>IF(DATOS!$A12928="","",DATOS!$A12928&amp;"|"&amp;DATOS!$D12928&amp;"|"&amp;DATOS!$E12928&amp;"|"&amp;DATOS!$I12928)</f>
      </c>
      <c r="G12928">
        <f>IF(DATOS!$A12928="",0,IF(CONFIG_METADATA!$B$4&lt;&gt;"OR+EX",--(DATOS!$G12928=CONFIG_METADATA!$B$4),IF(DATOS!$G12928="EX",1,IF(DATOS!$G12928="OR",--(COUNTIFS(nNIA,DATOS!$A12928,nCURSO,DATOS!$D12928,nESPEC,DATOS!$E12928,nASIG,DATOS!$I12928,nEVAL,"EX")=0),0))))</f>
      </c>
      <c r="H12928">
        <f>IF(DATOS!$G12928&lt;&gt;"EX",0,--(COUNTIFS(nNIA,DATOS!$A12928,nCURSO,DATOS!$D12928,nESPEC,DATOS!$E12928,nASIG,DATOS!$I12928,nEVAL,"OR")=0))</f>
      </c>
      <c r="I12928">
        <f>IF(DATOS!$I12928="","",IFERROR(VLOOKUP(DATOS!$I12928,CONFIG_ASIGNATURAS!$B$2:$J$91,9,FALSE()),""))</f>
      </c>
    </row>
    <row r="12929">
      <c r="F12929">
        <f>IF(DATOS!$A12929="","",DATOS!$A12929&amp;"|"&amp;DATOS!$D12929&amp;"|"&amp;DATOS!$E12929&amp;"|"&amp;DATOS!$I12929)</f>
      </c>
      <c r="G12929">
        <f>IF(DATOS!$A12929="",0,IF(CONFIG_METADATA!$B$4&lt;&gt;"OR+EX",--(DATOS!$G12929=CONFIG_METADATA!$B$4),IF(DATOS!$G12929="EX",1,IF(DATOS!$G12929="OR",--(COUNTIFS(nNIA,DATOS!$A12929,nCURSO,DATOS!$D12929,nESPEC,DATOS!$E12929,nASIG,DATOS!$I12929,nEVAL,"EX")=0),0))))</f>
      </c>
      <c r="H12929">
        <f>IF(DATOS!$G12929&lt;&gt;"EX",0,--(COUNTIFS(nNIA,DATOS!$A12929,nCURSO,DATOS!$D12929,nESPEC,DATOS!$E12929,nASIG,DATOS!$I12929,nEVAL,"OR")=0))</f>
      </c>
      <c r="I12929">
        <f>IF(DATOS!$I12929="","",IFERROR(VLOOKUP(DATOS!$I12929,CONFIG_ASIGNATURAS!$B$2:$J$91,9,FALSE()),""))</f>
      </c>
    </row>
    <row r="12930">
      <c r="F12930">
        <f>IF(DATOS!$A12930="","",DATOS!$A12930&amp;"|"&amp;DATOS!$D12930&amp;"|"&amp;DATOS!$E12930&amp;"|"&amp;DATOS!$I12930)</f>
      </c>
      <c r="G12930">
        <f>IF(DATOS!$A12930="",0,IF(CONFIG_METADATA!$B$4&lt;&gt;"OR+EX",--(DATOS!$G12930=CONFIG_METADATA!$B$4),IF(DATOS!$G12930="EX",1,IF(DATOS!$G12930="OR",--(COUNTIFS(nNIA,DATOS!$A12930,nCURSO,DATOS!$D12930,nESPEC,DATOS!$E12930,nASIG,DATOS!$I12930,nEVAL,"EX")=0),0))))</f>
      </c>
      <c r="H12930">
        <f>IF(DATOS!$G12930&lt;&gt;"EX",0,--(COUNTIFS(nNIA,DATOS!$A12930,nCURSO,DATOS!$D12930,nESPEC,DATOS!$E12930,nASIG,DATOS!$I12930,nEVAL,"OR")=0))</f>
      </c>
      <c r="I12930">
        <f>IF(DATOS!$I12930="","",IFERROR(VLOOKUP(DATOS!$I12930,CONFIG_ASIGNATURAS!$B$2:$J$91,9,FALSE()),""))</f>
      </c>
    </row>
    <row r="12931">
      <c r="F12931">
        <f>IF(DATOS!$A12931="","",DATOS!$A12931&amp;"|"&amp;DATOS!$D12931&amp;"|"&amp;DATOS!$E12931&amp;"|"&amp;DATOS!$I12931)</f>
      </c>
      <c r="G12931">
        <f>IF(DATOS!$A12931="",0,IF(CONFIG_METADATA!$B$4&lt;&gt;"OR+EX",--(DATOS!$G12931=CONFIG_METADATA!$B$4),IF(DATOS!$G12931="EX",1,IF(DATOS!$G12931="OR",--(COUNTIFS(nNIA,DATOS!$A12931,nCURSO,DATOS!$D12931,nESPEC,DATOS!$E12931,nASIG,DATOS!$I12931,nEVAL,"EX")=0),0))))</f>
      </c>
      <c r="H12931">
        <f>IF(DATOS!$G12931&lt;&gt;"EX",0,--(COUNTIFS(nNIA,DATOS!$A12931,nCURSO,DATOS!$D12931,nESPEC,DATOS!$E12931,nASIG,DATOS!$I12931,nEVAL,"OR")=0))</f>
      </c>
      <c r="I12931">
        <f>IF(DATOS!$I12931="","",IFERROR(VLOOKUP(DATOS!$I12931,CONFIG_ASIGNATURAS!$B$2:$J$91,9,FALSE()),""))</f>
      </c>
    </row>
    <row r="12932">
      <c r="F12932">
        <f>IF(DATOS!$A12932="","",DATOS!$A12932&amp;"|"&amp;DATOS!$D12932&amp;"|"&amp;DATOS!$E12932&amp;"|"&amp;DATOS!$I12932)</f>
      </c>
      <c r="G12932">
        <f>IF(DATOS!$A12932="",0,IF(CONFIG_METADATA!$B$4&lt;&gt;"OR+EX",--(DATOS!$G12932=CONFIG_METADATA!$B$4),IF(DATOS!$G12932="EX",1,IF(DATOS!$G12932="OR",--(COUNTIFS(nNIA,DATOS!$A12932,nCURSO,DATOS!$D12932,nESPEC,DATOS!$E12932,nASIG,DATOS!$I12932,nEVAL,"EX")=0),0))))</f>
      </c>
      <c r="H12932">
        <f>IF(DATOS!$G12932&lt;&gt;"EX",0,--(COUNTIFS(nNIA,DATOS!$A12932,nCURSO,DATOS!$D12932,nESPEC,DATOS!$E12932,nASIG,DATOS!$I12932,nEVAL,"OR")=0))</f>
      </c>
      <c r="I12932">
        <f>IF(DATOS!$I12932="","",IFERROR(VLOOKUP(DATOS!$I12932,CONFIG_ASIGNATURAS!$B$2:$J$91,9,FALSE()),""))</f>
      </c>
    </row>
    <row r="12933">
      <c r="F12933">
        <f>IF(DATOS!$A12933="","",DATOS!$A12933&amp;"|"&amp;DATOS!$D12933&amp;"|"&amp;DATOS!$E12933&amp;"|"&amp;DATOS!$I12933)</f>
      </c>
      <c r="G12933">
        <f>IF(DATOS!$A12933="",0,IF(CONFIG_METADATA!$B$4&lt;&gt;"OR+EX",--(DATOS!$G12933=CONFIG_METADATA!$B$4),IF(DATOS!$G12933="EX",1,IF(DATOS!$G12933="OR",--(COUNTIFS(nNIA,DATOS!$A12933,nCURSO,DATOS!$D12933,nESPEC,DATOS!$E12933,nASIG,DATOS!$I12933,nEVAL,"EX")=0),0))))</f>
      </c>
      <c r="H12933">
        <f>IF(DATOS!$G12933&lt;&gt;"EX",0,--(COUNTIFS(nNIA,DATOS!$A12933,nCURSO,DATOS!$D12933,nESPEC,DATOS!$E12933,nASIG,DATOS!$I12933,nEVAL,"OR")=0))</f>
      </c>
      <c r="I12933">
        <f>IF(DATOS!$I12933="","",IFERROR(VLOOKUP(DATOS!$I12933,CONFIG_ASIGNATURAS!$B$2:$J$91,9,FALSE()),""))</f>
      </c>
    </row>
    <row r="12934">
      <c r="F12934">
        <f>IF(DATOS!$A12934="","",DATOS!$A12934&amp;"|"&amp;DATOS!$D12934&amp;"|"&amp;DATOS!$E12934&amp;"|"&amp;DATOS!$I12934)</f>
      </c>
      <c r="G12934">
        <f>IF(DATOS!$A12934="",0,IF(CONFIG_METADATA!$B$4&lt;&gt;"OR+EX",--(DATOS!$G12934=CONFIG_METADATA!$B$4),IF(DATOS!$G12934="EX",1,IF(DATOS!$G12934="OR",--(COUNTIFS(nNIA,DATOS!$A12934,nCURSO,DATOS!$D12934,nESPEC,DATOS!$E12934,nASIG,DATOS!$I12934,nEVAL,"EX")=0),0))))</f>
      </c>
      <c r="H12934">
        <f>IF(DATOS!$G12934&lt;&gt;"EX",0,--(COUNTIFS(nNIA,DATOS!$A12934,nCURSO,DATOS!$D12934,nESPEC,DATOS!$E12934,nASIG,DATOS!$I12934,nEVAL,"OR")=0))</f>
      </c>
      <c r="I12934">
        <f>IF(DATOS!$I12934="","",IFERROR(VLOOKUP(DATOS!$I12934,CONFIG_ASIGNATURAS!$B$2:$J$91,9,FALSE()),""))</f>
      </c>
    </row>
    <row r="12935">
      <c r="F12935">
        <f>IF(DATOS!$A12935="","",DATOS!$A12935&amp;"|"&amp;DATOS!$D12935&amp;"|"&amp;DATOS!$E12935&amp;"|"&amp;DATOS!$I12935)</f>
      </c>
      <c r="G12935">
        <f>IF(DATOS!$A12935="",0,IF(CONFIG_METADATA!$B$4&lt;&gt;"OR+EX",--(DATOS!$G12935=CONFIG_METADATA!$B$4),IF(DATOS!$G12935="EX",1,IF(DATOS!$G12935="OR",--(COUNTIFS(nNIA,DATOS!$A12935,nCURSO,DATOS!$D12935,nESPEC,DATOS!$E12935,nASIG,DATOS!$I12935,nEVAL,"EX")=0),0))))</f>
      </c>
      <c r="H12935">
        <f>IF(DATOS!$G12935&lt;&gt;"EX",0,--(COUNTIFS(nNIA,DATOS!$A12935,nCURSO,DATOS!$D12935,nESPEC,DATOS!$E12935,nASIG,DATOS!$I12935,nEVAL,"OR")=0))</f>
      </c>
      <c r="I12935">
        <f>IF(DATOS!$I12935="","",IFERROR(VLOOKUP(DATOS!$I12935,CONFIG_ASIGNATURAS!$B$2:$J$91,9,FALSE()),""))</f>
      </c>
    </row>
    <row r="12936">
      <c r="F12936">
        <f>IF(DATOS!$A12936="","",DATOS!$A12936&amp;"|"&amp;DATOS!$D12936&amp;"|"&amp;DATOS!$E12936&amp;"|"&amp;DATOS!$I12936)</f>
      </c>
      <c r="G12936">
        <f>IF(DATOS!$A12936="",0,IF(CONFIG_METADATA!$B$4&lt;&gt;"OR+EX",--(DATOS!$G12936=CONFIG_METADATA!$B$4),IF(DATOS!$G12936="EX",1,IF(DATOS!$G12936="OR",--(COUNTIFS(nNIA,DATOS!$A12936,nCURSO,DATOS!$D12936,nESPEC,DATOS!$E12936,nASIG,DATOS!$I12936,nEVAL,"EX")=0),0))))</f>
      </c>
      <c r="H12936">
        <f>IF(DATOS!$G12936&lt;&gt;"EX",0,--(COUNTIFS(nNIA,DATOS!$A12936,nCURSO,DATOS!$D12936,nESPEC,DATOS!$E12936,nASIG,DATOS!$I12936,nEVAL,"OR")=0))</f>
      </c>
      <c r="I12936">
        <f>IF(DATOS!$I12936="","",IFERROR(VLOOKUP(DATOS!$I12936,CONFIG_ASIGNATURAS!$B$2:$J$91,9,FALSE()),""))</f>
      </c>
    </row>
    <row r="12937">
      <c r="F12937">
        <f>IF(DATOS!$A12937="","",DATOS!$A12937&amp;"|"&amp;DATOS!$D12937&amp;"|"&amp;DATOS!$E12937&amp;"|"&amp;DATOS!$I12937)</f>
      </c>
      <c r="G12937">
        <f>IF(DATOS!$A12937="",0,IF(CONFIG_METADATA!$B$4&lt;&gt;"OR+EX",--(DATOS!$G12937=CONFIG_METADATA!$B$4),IF(DATOS!$G12937="EX",1,IF(DATOS!$G12937="OR",--(COUNTIFS(nNIA,DATOS!$A12937,nCURSO,DATOS!$D12937,nESPEC,DATOS!$E12937,nASIG,DATOS!$I12937,nEVAL,"EX")=0),0))))</f>
      </c>
      <c r="H12937">
        <f>IF(DATOS!$G12937&lt;&gt;"EX",0,--(COUNTIFS(nNIA,DATOS!$A12937,nCURSO,DATOS!$D12937,nESPEC,DATOS!$E12937,nASIG,DATOS!$I12937,nEVAL,"OR")=0))</f>
      </c>
      <c r="I12937">
        <f>IF(DATOS!$I12937="","",IFERROR(VLOOKUP(DATOS!$I12937,CONFIG_ASIGNATURAS!$B$2:$J$91,9,FALSE()),""))</f>
      </c>
    </row>
    <row r="12938">
      <c r="F12938">
        <f>IF(DATOS!$A12938="","",DATOS!$A12938&amp;"|"&amp;DATOS!$D12938&amp;"|"&amp;DATOS!$E12938&amp;"|"&amp;DATOS!$I12938)</f>
      </c>
      <c r="G12938">
        <f>IF(DATOS!$A12938="",0,IF(CONFIG_METADATA!$B$4&lt;&gt;"OR+EX",--(DATOS!$G12938=CONFIG_METADATA!$B$4),IF(DATOS!$G12938="EX",1,IF(DATOS!$G12938="OR",--(COUNTIFS(nNIA,DATOS!$A12938,nCURSO,DATOS!$D12938,nESPEC,DATOS!$E12938,nASIG,DATOS!$I12938,nEVAL,"EX")=0),0))))</f>
      </c>
      <c r="H12938">
        <f>IF(DATOS!$G12938&lt;&gt;"EX",0,--(COUNTIFS(nNIA,DATOS!$A12938,nCURSO,DATOS!$D12938,nESPEC,DATOS!$E12938,nASIG,DATOS!$I12938,nEVAL,"OR")=0))</f>
      </c>
      <c r="I12938">
        <f>IF(DATOS!$I12938="","",IFERROR(VLOOKUP(DATOS!$I12938,CONFIG_ASIGNATURAS!$B$2:$J$91,9,FALSE()),""))</f>
      </c>
    </row>
    <row r="12939">
      <c r="F12939">
        <f>IF(DATOS!$A12939="","",DATOS!$A12939&amp;"|"&amp;DATOS!$D12939&amp;"|"&amp;DATOS!$E12939&amp;"|"&amp;DATOS!$I12939)</f>
      </c>
      <c r="G12939">
        <f>IF(DATOS!$A12939="",0,IF(CONFIG_METADATA!$B$4&lt;&gt;"OR+EX",--(DATOS!$G12939=CONFIG_METADATA!$B$4),IF(DATOS!$G12939="EX",1,IF(DATOS!$G12939="OR",--(COUNTIFS(nNIA,DATOS!$A12939,nCURSO,DATOS!$D12939,nESPEC,DATOS!$E12939,nASIG,DATOS!$I12939,nEVAL,"EX")=0),0))))</f>
      </c>
      <c r="H12939">
        <f>IF(DATOS!$G12939&lt;&gt;"EX",0,--(COUNTIFS(nNIA,DATOS!$A12939,nCURSO,DATOS!$D12939,nESPEC,DATOS!$E12939,nASIG,DATOS!$I12939,nEVAL,"OR")=0))</f>
      </c>
      <c r="I12939">
        <f>IF(DATOS!$I12939="","",IFERROR(VLOOKUP(DATOS!$I12939,CONFIG_ASIGNATURAS!$B$2:$J$91,9,FALSE()),""))</f>
      </c>
    </row>
    <row r="12940">
      <c r="F12940">
        <f>IF(DATOS!$A12940="","",DATOS!$A12940&amp;"|"&amp;DATOS!$D12940&amp;"|"&amp;DATOS!$E12940&amp;"|"&amp;DATOS!$I12940)</f>
      </c>
      <c r="G12940">
        <f>IF(DATOS!$A12940="",0,IF(CONFIG_METADATA!$B$4&lt;&gt;"OR+EX",--(DATOS!$G12940=CONFIG_METADATA!$B$4),IF(DATOS!$G12940="EX",1,IF(DATOS!$G12940="OR",--(COUNTIFS(nNIA,DATOS!$A12940,nCURSO,DATOS!$D12940,nESPEC,DATOS!$E12940,nASIG,DATOS!$I12940,nEVAL,"EX")=0),0))))</f>
      </c>
      <c r="H12940">
        <f>IF(DATOS!$G12940&lt;&gt;"EX",0,--(COUNTIFS(nNIA,DATOS!$A12940,nCURSO,DATOS!$D12940,nESPEC,DATOS!$E12940,nASIG,DATOS!$I12940,nEVAL,"OR")=0))</f>
      </c>
      <c r="I12940">
        <f>IF(DATOS!$I12940="","",IFERROR(VLOOKUP(DATOS!$I12940,CONFIG_ASIGNATURAS!$B$2:$J$91,9,FALSE()),""))</f>
      </c>
    </row>
    <row r="12941">
      <c r="F12941">
        <f>IF(DATOS!$A12941="","",DATOS!$A12941&amp;"|"&amp;DATOS!$D12941&amp;"|"&amp;DATOS!$E12941&amp;"|"&amp;DATOS!$I12941)</f>
      </c>
      <c r="G12941">
        <f>IF(DATOS!$A12941="",0,IF(CONFIG_METADATA!$B$4&lt;&gt;"OR+EX",--(DATOS!$G12941=CONFIG_METADATA!$B$4),IF(DATOS!$G12941="EX",1,IF(DATOS!$G12941="OR",--(COUNTIFS(nNIA,DATOS!$A12941,nCURSO,DATOS!$D12941,nESPEC,DATOS!$E12941,nASIG,DATOS!$I12941,nEVAL,"EX")=0),0))))</f>
      </c>
      <c r="H12941">
        <f>IF(DATOS!$G12941&lt;&gt;"EX",0,--(COUNTIFS(nNIA,DATOS!$A12941,nCURSO,DATOS!$D12941,nESPEC,DATOS!$E12941,nASIG,DATOS!$I12941,nEVAL,"OR")=0))</f>
      </c>
      <c r="I12941">
        <f>IF(DATOS!$I12941="","",IFERROR(VLOOKUP(DATOS!$I12941,CONFIG_ASIGNATURAS!$B$2:$J$91,9,FALSE()),""))</f>
      </c>
    </row>
    <row r="12942">
      <c r="F12942">
        <f>IF(DATOS!$A12942="","",DATOS!$A12942&amp;"|"&amp;DATOS!$D12942&amp;"|"&amp;DATOS!$E12942&amp;"|"&amp;DATOS!$I12942)</f>
      </c>
      <c r="G12942">
        <f>IF(DATOS!$A12942="",0,IF(CONFIG_METADATA!$B$4&lt;&gt;"OR+EX",--(DATOS!$G12942=CONFIG_METADATA!$B$4),IF(DATOS!$G12942="EX",1,IF(DATOS!$G12942="OR",--(COUNTIFS(nNIA,DATOS!$A12942,nCURSO,DATOS!$D12942,nESPEC,DATOS!$E12942,nASIG,DATOS!$I12942,nEVAL,"EX")=0),0))))</f>
      </c>
      <c r="H12942">
        <f>IF(DATOS!$G12942&lt;&gt;"EX",0,--(COUNTIFS(nNIA,DATOS!$A12942,nCURSO,DATOS!$D12942,nESPEC,DATOS!$E12942,nASIG,DATOS!$I12942,nEVAL,"OR")=0))</f>
      </c>
      <c r="I12942">
        <f>IF(DATOS!$I12942="","",IFERROR(VLOOKUP(DATOS!$I12942,CONFIG_ASIGNATURAS!$B$2:$J$91,9,FALSE()),""))</f>
      </c>
    </row>
    <row r="12943">
      <c r="F12943">
        <f>IF(DATOS!$A12943="","",DATOS!$A12943&amp;"|"&amp;DATOS!$D12943&amp;"|"&amp;DATOS!$E12943&amp;"|"&amp;DATOS!$I12943)</f>
      </c>
      <c r="G12943">
        <f>IF(DATOS!$A12943="",0,IF(CONFIG_METADATA!$B$4&lt;&gt;"OR+EX",--(DATOS!$G12943=CONFIG_METADATA!$B$4),IF(DATOS!$G12943="EX",1,IF(DATOS!$G12943="OR",--(COUNTIFS(nNIA,DATOS!$A12943,nCURSO,DATOS!$D12943,nESPEC,DATOS!$E12943,nASIG,DATOS!$I12943,nEVAL,"EX")=0),0))))</f>
      </c>
      <c r="H12943">
        <f>IF(DATOS!$G12943&lt;&gt;"EX",0,--(COUNTIFS(nNIA,DATOS!$A12943,nCURSO,DATOS!$D12943,nESPEC,DATOS!$E12943,nASIG,DATOS!$I12943,nEVAL,"OR")=0))</f>
      </c>
      <c r="I12943">
        <f>IF(DATOS!$I12943="","",IFERROR(VLOOKUP(DATOS!$I12943,CONFIG_ASIGNATURAS!$B$2:$J$91,9,FALSE()),""))</f>
      </c>
    </row>
    <row r="12944">
      <c r="F12944">
        <f>IF(DATOS!$A12944="","",DATOS!$A12944&amp;"|"&amp;DATOS!$D12944&amp;"|"&amp;DATOS!$E12944&amp;"|"&amp;DATOS!$I12944)</f>
      </c>
      <c r="G12944">
        <f>IF(DATOS!$A12944="",0,IF(CONFIG_METADATA!$B$4&lt;&gt;"OR+EX",--(DATOS!$G12944=CONFIG_METADATA!$B$4),IF(DATOS!$G12944="EX",1,IF(DATOS!$G12944="OR",--(COUNTIFS(nNIA,DATOS!$A12944,nCURSO,DATOS!$D12944,nESPEC,DATOS!$E12944,nASIG,DATOS!$I12944,nEVAL,"EX")=0),0))))</f>
      </c>
      <c r="H12944">
        <f>IF(DATOS!$G12944&lt;&gt;"EX",0,--(COUNTIFS(nNIA,DATOS!$A12944,nCURSO,DATOS!$D12944,nESPEC,DATOS!$E12944,nASIG,DATOS!$I12944,nEVAL,"OR")=0))</f>
      </c>
      <c r="I12944">
        <f>IF(DATOS!$I12944="","",IFERROR(VLOOKUP(DATOS!$I12944,CONFIG_ASIGNATURAS!$B$2:$J$91,9,FALSE()),""))</f>
      </c>
    </row>
    <row r="12945">
      <c r="F12945">
        <f>IF(DATOS!$A12945="","",DATOS!$A12945&amp;"|"&amp;DATOS!$D12945&amp;"|"&amp;DATOS!$E12945&amp;"|"&amp;DATOS!$I12945)</f>
      </c>
      <c r="G12945">
        <f>IF(DATOS!$A12945="",0,IF(CONFIG_METADATA!$B$4&lt;&gt;"OR+EX",--(DATOS!$G12945=CONFIG_METADATA!$B$4),IF(DATOS!$G12945="EX",1,IF(DATOS!$G12945="OR",--(COUNTIFS(nNIA,DATOS!$A12945,nCURSO,DATOS!$D12945,nESPEC,DATOS!$E12945,nASIG,DATOS!$I12945,nEVAL,"EX")=0),0))))</f>
      </c>
      <c r="H12945">
        <f>IF(DATOS!$G12945&lt;&gt;"EX",0,--(COUNTIFS(nNIA,DATOS!$A12945,nCURSO,DATOS!$D12945,nESPEC,DATOS!$E12945,nASIG,DATOS!$I12945,nEVAL,"OR")=0))</f>
      </c>
      <c r="I12945">
        <f>IF(DATOS!$I12945="","",IFERROR(VLOOKUP(DATOS!$I12945,CONFIG_ASIGNATURAS!$B$2:$J$91,9,FALSE()),""))</f>
      </c>
    </row>
    <row r="12946">
      <c r="F12946">
        <f>IF(DATOS!$A12946="","",DATOS!$A12946&amp;"|"&amp;DATOS!$D12946&amp;"|"&amp;DATOS!$E12946&amp;"|"&amp;DATOS!$I12946)</f>
      </c>
      <c r="G12946">
        <f>IF(DATOS!$A12946="",0,IF(CONFIG_METADATA!$B$4&lt;&gt;"OR+EX",--(DATOS!$G12946=CONFIG_METADATA!$B$4),IF(DATOS!$G12946="EX",1,IF(DATOS!$G12946="OR",--(COUNTIFS(nNIA,DATOS!$A12946,nCURSO,DATOS!$D12946,nESPEC,DATOS!$E12946,nASIG,DATOS!$I12946,nEVAL,"EX")=0),0))))</f>
      </c>
      <c r="H12946">
        <f>IF(DATOS!$G12946&lt;&gt;"EX",0,--(COUNTIFS(nNIA,DATOS!$A12946,nCURSO,DATOS!$D12946,nESPEC,DATOS!$E12946,nASIG,DATOS!$I12946,nEVAL,"OR")=0))</f>
      </c>
      <c r="I12946">
        <f>IF(DATOS!$I12946="","",IFERROR(VLOOKUP(DATOS!$I12946,CONFIG_ASIGNATURAS!$B$2:$J$91,9,FALSE()),""))</f>
      </c>
    </row>
    <row r="12947">
      <c r="F12947">
        <f>IF(DATOS!$A12947="","",DATOS!$A12947&amp;"|"&amp;DATOS!$D12947&amp;"|"&amp;DATOS!$E12947&amp;"|"&amp;DATOS!$I12947)</f>
      </c>
      <c r="G12947">
        <f>IF(DATOS!$A12947="",0,IF(CONFIG_METADATA!$B$4&lt;&gt;"OR+EX",--(DATOS!$G12947=CONFIG_METADATA!$B$4),IF(DATOS!$G12947="EX",1,IF(DATOS!$G12947="OR",--(COUNTIFS(nNIA,DATOS!$A12947,nCURSO,DATOS!$D12947,nESPEC,DATOS!$E12947,nASIG,DATOS!$I12947,nEVAL,"EX")=0),0))))</f>
      </c>
      <c r="H12947">
        <f>IF(DATOS!$G12947&lt;&gt;"EX",0,--(COUNTIFS(nNIA,DATOS!$A12947,nCURSO,DATOS!$D12947,nESPEC,DATOS!$E12947,nASIG,DATOS!$I12947,nEVAL,"OR")=0))</f>
      </c>
      <c r="I12947">
        <f>IF(DATOS!$I12947="","",IFERROR(VLOOKUP(DATOS!$I12947,CONFIG_ASIGNATURAS!$B$2:$J$91,9,FALSE()),""))</f>
      </c>
    </row>
    <row r="12948">
      <c r="F12948">
        <f>IF(DATOS!$A12948="","",DATOS!$A12948&amp;"|"&amp;DATOS!$D12948&amp;"|"&amp;DATOS!$E12948&amp;"|"&amp;DATOS!$I12948)</f>
      </c>
      <c r="G12948">
        <f>IF(DATOS!$A12948="",0,IF(CONFIG_METADATA!$B$4&lt;&gt;"OR+EX",--(DATOS!$G12948=CONFIG_METADATA!$B$4),IF(DATOS!$G12948="EX",1,IF(DATOS!$G12948="OR",--(COUNTIFS(nNIA,DATOS!$A12948,nCURSO,DATOS!$D12948,nESPEC,DATOS!$E12948,nASIG,DATOS!$I12948,nEVAL,"EX")=0),0))))</f>
      </c>
      <c r="H12948">
        <f>IF(DATOS!$G12948&lt;&gt;"EX",0,--(COUNTIFS(nNIA,DATOS!$A12948,nCURSO,DATOS!$D12948,nESPEC,DATOS!$E12948,nASIG,DATOS!$I12948,nEVAL,"OR")=0))</f>
      </c>
      <c r="I12948">
        <f>IF(DATOS!$I12948="","",IFERROR(VLOOKUP(DATOS!$I12948,CONFIG_ASIGNATURAS!$B$2:$J$91,9,FALSE()),""))</f>
      </c>
    </row>
    <row r="12949">
      <c r="F12949">
        <f>IF(DATOS!$A12949="","",DATOS!$A12949&amp;"|"&amp;DATOS!$D12949&amp;"|"&amp;DATOS!$E12949&amp;"|"&amp;DATOS!$I12949)</f>
      </c>
      <c r="G12949">
        <f>IF(DATOS!$A12949="",0,IF(CONFIG_METADATA!$B$4&lt;&gt;"OR+EX",--(DATOS!$G12949=CONFIG_METADATA!$B$4),IF(DATOS!$G12949="EX",1,IF(DATOS!$G12949="OR",--(COUNTIFS(nNIA,DATOS!$A12949,nCURSO,DATOS!$D12949,nESPEC,DATOS!$E12949,nASIG,DATOS!$I12949,nEVAL,"EX")=0),0))))</f>
      </c>
      <c r="H12949">
        <f>IF(DATOS!$G12949&lt;&gt;"EX",0,--(COUNTIFS(nNIA,DATOS!$A12949,nCURSO,DATOS!$D12949,nESPEC,DATOS!$E12949,nASIG,DATOS!$I12949,nEVAL,"OR")=0))</f>
      </c>
      <c r="I12949">
        <f>IF(DATOS!$I12949="","",IFERROR(VLOOKUP(DATOS!$I12949,CONFIG_ASIGNATURAS!$B$2:$J$91,9,FALSE()),""))</f>
      </c>
    </row>
    <row r="12950">
      <c r="F12950">
        <f>IF(DATOS!$A12950="","",DATOS!$A12950&amp;"|"&amp;DATOS!$D12950&amp;"|"&amp;DATOS!$E12950&amp;"|"&amp;DATOS!$I12950)</f>
      </c>
      <c r="G12950">
        <f>IF(DATOS!$A12950="",0,IF(CONFIG_METADATA!$B$4&lt;&gt;"OR+EX",--(DATOS!$G12950=CONFIG_METADATA!$B$4),IF(DATOS!$G12950="EX",1,IF(DATOS!$G12950="OR",--(COUNTIFS(nNIA,DATOS!$A12950,nCURSO,DATOS!$D12950,nESPEC,DATOS!$E12950,nASIG,DATOS!$I12950,nEVAL,"EX")=0),0))))</f>
      </c>
      <c r="H12950">
        <f>IF(DATOS!$G12950&lt;&gt;"EX",0,--(COUNTIFS(nNIA,DATOS!$A12950,nCURSO,DATOS!$D12950,nESPEC,DATOS!$E12950,nASIG,DATOS!$I12950,nEVAL,"OR")=0))</f>
      </c>
      <c r="I12950">
        <f>IF(DATOS!$I12950="","",IFERROR(VLOOKUP(DATOS!$I12950,CONFIG_ASIGNATURAS!$B$2:$J$91,9,FALSE()),""))</f>
      </c>
    </row>
    <row r="12951">
      <c r="F12951">
        <f>IF(DATOS!$A12951="","",DATOS!$A12951&amp;"|"&amp;DATOS!$D12951&amp;"|"&amp;DATOS!$E12951&amp;"|"&amp;DATOS!$I12951)</f>
      </c>
      <c r="G12951">
        <f>IF(DATOS!$A12951="",0,IF(CONFIG_METADATA!$B$4&lt;&gt;"OR+EX",--(DATOS!$G12951=CONFIG_METADATA!$B$4),IF(DATOS!$G12951="EX",1,IF(DATOS!$G12951="OR",--(COUNTIFS(nNIA,DATOS!$A12951,nCURSO,DATOS!$D12951,nESPEC,DATOS!$E12951,nASIG,DATOS!$I12951,nEVAL,"EX")=0),0))))</f>
      </c>
      <c r="H12951">
        <f>IF(DATOS!$G12951&lt;&gt;"EX",0,--(COUNTIFS(nNIA,DATOS!$A12951,nCURSO,DATOS!$D12951,nESPEC,DATOS!$E12951,nASIG,DATOS!$I12951,nEVAL,"OR")=0))</f>
      </c>
      <c r="I12951">
        <f>IF(DATOS!$I12951="","",IFERROR(VLOOKUP(DATOS!$I12951,CONFIG_ASIGNATURAS!$B$2:$J$91,9,FALSE()),""))</f>
      </c>
    </row>
    <row r="12952">
      <c r="F12952">
        <f>IF(DATOS!$A12952="","",DATOS!$A12952&amp;"|"&amp;DATOS!$D12952&amp;"|"&amp;DATOS!$E12952&amp;"|"&amp;DATOS!$I12952)</f>
      </c>
      <c r="G12952">
        <f>IF(DATOS!$A12952="",0,IF(CONFIG_METADATA!$B$4&lt;&gt;"OR+EX",--(DATOS!$G12952=CONFIG_METADATA!$B$4),IF(DATOS!$G12952="EX",1,IF(DATOS!$G12952="OR",--(COUNTIFS(nNIA,DATOS!$A12952,nCURSO,DATOS!$D12952,nESPEC,DATOS!$E12952,nASIG,DATOS!$I12952,nEVAL,"EX")=0),0))))</f>
      </c>
      <c r="H12952">
        <f>IF(DATOS!$G12952&lt;&gt;"EX",0,--(COUNTIFS(nNIA,DATOS!$A12952,nCURSO,DATOS!$D12952,nESPEC,DATOS!$E12952,nASIG,DATOS!$I12952,nEVAL,"OR")=0))</f>
      </c>
      <c r="I12952">
        <f>IF(DATOS!$I12952="","",IFERROR(VLOOKUP(DATOS!$I12952,CONFIG_ASIGNATURAS!$B$2:$J$91,9,FALSE()),""))</f>
      </c>
    </row>
    <row r="12953">
      <c r="F12953">
        <f>IF(DATOS!$A12953="","",DATOS!$A12953&amp;"|"&amp;DATOS!$D12953&amp;"|"&amp;DATOS!$E12953&amp;"|"&amp;DATOS!$I12953)</f>
      </c>
      <c r="G12953">
        <f>IF(DATOS!$A12953="",0,IF(CONFIG_METADATA!$B$4&lt;&gt;"OR+EX",--(DATOS!$G12953=CONFIG_METADATA!$B$4),IF(DATOS!$G12953="EX",1,IF(DATOS!$G12953="OR",--(COUNTIFS(nNIA,DATOS!$A12953,nCURSO,DATOS!$D12953,nESPEC,DATOS!$E12953,nASIG,DATOS!$I12953,nEVAL,"EX")=0),0))))</f>
      </c>
      <c r="H12953">
        <f>IF(DATOS!$G12953&lt;&gt;"EX",0,--(COUNTIFS(nNIA,DATOS!$A12953,nCURSO,DATOS!$D12953,nESPEC,DATOS!$E12953,nASIG,DATOS!$I12953,nEVAL,"OR")=0))</f>
      </c>
      <c r="I12953">
        <f>IF(DATOS!$I12953="","",IFERROR(VLOOKUP(DATOS!$I12953,CONFIG_ASIGNATURAS!$B$2:$J$91,9,FALSE()),""))</f>
      </c>
    </row>
    <row r="12954">
      <c r="F12954">
        <f>IF(DATOS!$A12954="","",DATOS!$A12954&amp;"|"&amp;DATOS!$D12954&amp;"|"&amp;DATOS!$E12954&amp;"|"&amp;DATOS!$I12954)</f>
      </c>
      <c r="G12954">
        <f>IF(DATOS!$A12954="",0,IF(CONFIG_METADATA!$B$4&lt;&gt;"OR+EX",--(DATOS!$G12954=CONFIG_METADATA!$B$4),IF(DATOS!$G12954="EX",1,IF(DATOS!$G12954="OR",--(COUNTIFS(nNIA,DATOS!$A12954,nCURSO,DATOS!$D12954,nESPEC,DATOS!$E12954,nASIG,DATOS!$I12954,nEVAL,"EX")=0),0))))</f>
      </c>
      <c r="H12954">
        <f>IF(DATOS!$G12954&lt;&gt;"EX",0,--(COUNTIFS(nNIA,DATOS!$A12954,nCURSO,DATOS!$D12954,nESPEC,DATOS!$E12954,nASIG,DATOS!$I12954,nEVAL,"OR")=0))</f>
      </c>
      <c r="I12954">
        <f>IF(DATOS!$I12954="","",IFERROR(VLOOKUP(DATOS!$I12954,CONFIG_ASIGNATURAS!$B$2:$J$91,9,FALSE()),""))</f>
      </c>
    </row>
    <row r="12955">
      <c r="F12955">
        <f>IF(DATOS!$A12955="","",DATOS!$A12955&amp;"|"&amp;DATOS!$D12955&amp;"|"&amp;DATOS!$E12955&amp;"|"&amp;DATOS!$I12955)</f>
      </c>
      <c r="G12955">
        <f>IF(DATOS!$A12955="",0,IF(CONFIG_METADATA!$B$4&lt;&gt;"OR+EX",--(DATOS!$G12955=CONFIG_METADATA!$B$4),IF(DATOS!$G12955="EX",1,IF(DATOS!$G12955="OR",--(COUNTIFS(nNIA,DATOS!$A12955,nCURSO,DATOS!$D12955,nESPEC,DATOS!$E12955,nASIG,DATOS!$I12955,nEVAL,"EX")=0),0))))</f>
      </c>
      <c r="H12955">
        <f>IF(DATOS!$G12955&lt;&gt;"EX",0,--(COUNTIFS(nNIA,DATOS!$A12955,nCURSO,DATOS!$D12955,nESPEC,DATOS!$E12955,nASIG,DATOS!$I12955,nEVAL,"OR")=0))</f>
      </c>
      <c r="I12955">
        <f>IF(DATOS!$I12955="","",IFERROR(VLOOKUP(DATOS!$I12955,CONFIG_ASIGNATURAS!$B$2:$J$91,9,FALSE()),""))</f>
      </c>
    </row>
    <row r="12956">
      <c r="F12956">
        <f>IF(DATOS!$A12956="","",DATOS!$A12956&amp;"|"&amp;DATOS!$D12956&amp;"|"&amp;DATOS!$E12956&amp;"|"&amp;DATOS!$I12956)</f>
      </c>
      <c r="G12956">
        <f>IF(DATOS!$A12956="",0,IF(CONFIG_METADATA!$B$4&lt;&gt;"OR+EX",--(DATOS!$G12956=CONFIG_METADATA!$B$4),IF(DATOS!$G12956="EX",1,IF(DATOS!$G12956="OR",--(COUNTIFS(nNIA,DATOS!$A12956,nCURSO,DATOS!$D12956,nESPEC,DATOS!$E12956,nASIG,DATOS!$I12956,nEVAL,"EX")=0),0))))</f>
      </c>
      <c r="H12956">
        <f>IF(DATOS!$G12956&lt;&gt;"EX",0,--(COUNTIFS(nNIA,DATOS!$A12956,nCURSO,DATOS!$D12956,nESPEC,DATOS!$E12956,nASIG,DATOS!$I12956,nEVAL,"OR")=0))</f>
      </c>
      <c r="I12956">
        <f>IF(DATOS!$I12956="","",IFERROR(VLOOKUP(DATOS!$I12956,CONFIG_ASIGNATURAS!$B$2:$J$91,9,FALSE()),""))</f>
      </c>
    </row>
    <row r="12957">
      <c r="F12957">
        <f>IF(DATOS!$A12957="","",DATOS!$A12957&amp;"|"&amp;DATOS!$D12957&amp;"|"&amp;DATOS!$E12957&amp;"|"&amp;DATOS!$I12957)</f>
      </c>
      <c r="G12957">
        <f>IF(DATOS!$A12957="",0,IF(CONFIG_METADATA!$B$4&lt;&gt;"OR+EX",--(DATOS!$G12957=CONFIG_METADATA!$B$4),IF(DATOS!$G12957="EX",1,IF(DATOS!$G12957="OR",--(COUNTIFS(nNIA,DATOS!$A12957,nCURSO,DATOS!$D12957,nESPEC,DATOS!$E12957,nASIG,DATOS!$I12957,nEVAL,"EX")=0),0))))</f>
      </c>
      <c r="H12957">
        <f>IF(DATOS!$G12957&lt;&gt;"EX",0,--(COUNTIFS(nNIA,DATOS!$A12957,nCURSO,DATOS!$D12957,nESPEC,DATOS!$E12957,nASIG,DATOS!$I12957,nEVAL,"OR")=0))</f>
      </c>
      <c r="I12957">
        <f>IF(DATOS!$I12957="","",IFERROR(VLOOKUP(DATOS!$I12957,CONFIG_ASIGNATURAS!$B$2:$J$91,9,FALSE()),""))</f>
      </c>
    </row>
    <row r="12958">
      <c r="F12958">
        <f>IF(DATOS!$A12958="","",DATOS!$A12958&amp;"|"&amp;DATOS!$D12958&amp;"|"&amp;DATOS!$E12958&amp;"|"&amp;DATOS!$I12958)</f>
      </c>
      <c r="G12958">
        <f>IF(DATOS!$A12958="",0,IF(CONFIG_METADATA!$B$4&lt;&gt;"OR+EX",--(DATOS!$G12958=CONFIG_METADATA!$B$4),IF(DATOS!$G12958="EX",1,IF(DATOS!$G12958="OR",--(COUNTIFS(nNIA,DATOS!$A12958,nCURSO,DATOS!$D12958,nESPEC,DATOS!$E12958,nASIG,DATOS!$I12958,nEVAL,"EX")=0),0))))</f>
      </c>
      <c r="H12958">
        <f>IF(DATOS!$G12958&lt;&gt;"EX",0,--(COUNTIFS(nNIA,DATOS!$A12958,nCURSO,DATOS!$D12958,nESPEC,DATOS!$E12958,nASIG,DATOS!$I12958,nEVAL,"OR")=0))</f>
      </c>
      <c r="I12958">
        <f>IF(DATOS!$I12958="","",IFERROR(VLOOKUP(DATOS!$I12958,CONFIG_ASIGNATURAS!$B$2:$J$91,9,FALSE()),""))</f>
      </c>
    </row>
    <row r="12959">
      <c r="F12959">
        <f>IF(DATOS!$A12959="","",DATOS!$A12959&amp;"|"&amp;DATOS!$D12959&amp;"|"&amp;DATOS!$E12959&amp;"|"&amp;DATOS!$I12959)</f>
      </c>
      <c r="G12959">
        <f>IF(DATOS!$A12959="",0,IF(CONFIG_METADATA!$B$4&lt;&gt;"OR+EX",--(DATOS!$G12959=CONFIG_METADATA!$B$4),IF(DATOS!$G12959="EX",1,IF(DATOS!$G12959="OR",--(COUNTIFS(nNIA,DATOS!$A12959,nCURSO,DATOS!$D12959,nESPEC,DATOS!$E12959,nASIG,DATOS!$I12959,nEVAL,"EX")=0),0))))</f>
      </c>
      <c r="H12959">
        <f>IF(DATOS!$G12959&lt;&gt;"EX",0,--(COUNTIFS(nNIA,DATOS!$A12959,nCURSO,DATOS!$D12959,nESPEC,DATOS!$E12959,nASIG,DATOS!$I12959,nEVAL,"OR")=0))</f>
      </c>
      <c r="I12959">
        <f>IF(DATOS!$I12959="","",IFERROR(VLOOKUP(DATOS!$I12959,CONFIG_ASIGNATURAS!$B$2:$J$91,9,FALSE()),""))</f>
      </c>
    </row>
    <row r="12960">
      <c r="F12960">
        <f>IF(DATOS!$A12960="","",DATOS!$A12960&amp;"|"&amp;DATOS!$D12960&amp;"|"&amp;DATOS!$E12960&amp;"|"&amp;DATOS!$I12960)</f>
      </c>
      <c r="G12960">
        <f>IF(DATOS!$A12960="",0,IF(CONFIG_METADATA!$B$4&lt;&gt;"OR+EX",--(DATOS!$G12960=CONFIG_METADATA!$B$4),IF(DATOS!$G12960="EX",1,IF(DATOS!$G12960="OR",--(COUNTIFS(nNIA,DATOS!$A12960,nCURSO,DATOS!$D12960,nESPEC,DATOS!$E12960,nASIG,DATOS!$I12960,nEVAL,"EX")=0),0))))</f>
      </c>
      <c r="H12960">
        <f>IF(DATOS!$G12960&lt;&gt;"EX",0,--(COUNTIFS(nNIA,DATOS!$A12960,nCURSO,DATOS!$D12960,nESPEC,DATOS!$E12960,nASIG,DATOS!$I12960,nEVAL,"OR")=0))</f>
      </c>
      <c r="I12960">
        <f>IF(DATOS!$I12960="","",IFERROR(VLOOKUP(DATOS!$I12960,CONFIG_ASIGNATURAS!$B$2:$J$91,9,FALSE()),""))</f>
      </c>
    </row>
    <row r="12961">
      <c r="F12961">
        <f>IF(DATOS!$A12961="","",DATOS!$A12961&amp;"|"&amp;DATOS!$D12961&amp;"|"&amp;DATOS!$E12961&amp;"|"&amp;DATOS!$I12961)</f>
      </c>
      <c r="G12961">
        <f>IF(DATOS!$A12961="",0,IF(CONFIG_METADATA!$B$4&lt;&gt;"OR+EX",--(DATOS!$G12961=CONFIG_METADATA!$B$4),IF(DATOS!$G12961="EX",1,IF(DATOS!$G12961="OR",--(COUNTIFS(nNIA,DATOS!$A12961,nCURSO,DATOS!$D12961,nESPEC,DATOS!$E12961,nASIG,DATOS!$I12961,nEVAL,"EX")=0),0))))</f>
      </c>
      <c r="H12961">
        <f>IF(DATOS!$G12961&lt;&gt;"EX",0,--(COUNTIFS(nNIA,DATOS!$A12961,nCURSO,DATOS!$D12961,nESPEC,DATOS!$E12961,nASIG,DATOS!$I12961,nEVAL,"OR")=0))</f>
      </c>
      <c r="I12961">
        <f>IF(DATOS!$I12961="","",IFERROR(VLOOKUP(DATOS!$I12961,CONFIG_ASIGNATURAS!$B$2:$J$91,9,FALSE()),""))</f>
      </c>
    </row>
    <row r="12962">
      <c r="F12962">
        <f>IF(DATOS!$A12962="","",DATOS!$A12962&amp;"|"&amp;DATOS!$D12962&amp;"|"&amp;DATOS!$E12962&amp;"|"&amp;DATOS!$I12962)</f>
      </c>
      <c r="G12962">
        <f>IF(DATOS!$A12962="",0,IF(CONFIG_METADATA!$B$4&lt;&gt;"OR+EX",--(DATOS!$G12962=CONFIG_METADATA!$B$4),IF(DATOS!$G12962="EX",1,IF(DATOS!$G12962="OR",--(COUNTIFS(nNIA,DATOS!$A12962,nCURSO,DATOS!$D12962,nESPEC,DATOS!$E12962,nASIG,DATOS!$I12962,nEVAL,"EX")=0),0))))</f>
      </c>
      <c r="H12962">
        <f>IF(DATOS!$G12962&lt;&gt;"EX",0,--(COUNTIFS(nNIA,DATOS!$A12962,nCURSO,DATOS!$D12962,nESPEC,DATOS!$E12962,nASIG,DATOS!$I12962,nEVAL,"OR")=0))</f>
      </c>
      <c r="I12962">
        <f>IF(DATOS!$I12962="","",IFERROR(VLOOKUP(DATOS!$I12962,CONFIG_ASIGNATURAS!$B$2:$J$91,9,FALSE()),""))</f>
      </c>
    </row>
    <row r="12963">
      <c r="F12963">
        <f>IF(DATOS!$A12963="","",DATOS!$A12963&amp;"|"&amp;DATOS!$D12963&amp;"|"&amp;DATOS!$E12963&amp;"|"&amp;DATOS!$I12963)</f>
      </c>
      <c r="G12963">
        <f>IF(DATOS!$A12963="",0,IF(CONFIG_METADATA!$B$4&lt;&gt;"OR+EX",--(DATOS!$G12963=CONFIG_METADATA!$B$4),IF(DATOS!$G12963="EX",1,IF(DATOS!$G12963="OR",--(COUNTIFS(nNIA,DATOS!$A12963,nCURSO,DATOS!$D12963,nESPEC,DATOS!$E12963,nASIG,DATOS!$I12963,nEVAL,"EX")=0),0))))</f>
      </c>
      <c r="H12963">
        <f>IF(DATOS!$G12963&lt;&gt;"EX",0,--(COUNTIFS(nNIA,DATOS!$A12963,nCURSO,DATOS!$D12963,nESPEC,DATOS!$E12963,nASIG,DATOS!$I12963,nEVAL,"OR")=0))</f>
      </c>
      <c r="I12963">
        <f>IF(DATOS!$I12963="","",IFERROR(VLOOKUP(DATOS!$I12963,CONFIG_ASIGNATURAS!$B$2:$J$91,9,FALSE()),""))</f>
      </c>
    </row>
    <row r="12964">
      <c r="F12964">
        <f>IF(DATOS!$A12964="","",DATOS!$A12964&amp;"|"&amp;DATOS!$D12964&amp;"|"&amp;DATOS!$E12964&amp;"|"&amp;DATOS!$I12964)</f>
      </c>
      <c r="G12964">
        <f>IF(DATOS!$A12964="",0,IF(CONFIG_METADATA!$B$4&lt;&gt;"OR+EX",--(DATOS!$G12964=CONFIG_METADATA!$B$4),IF(DATOS!$G12964="EX",1,IF(DATOS!$G12964="OR",--(COUNTIFS(nNIA,DATOS!$A12964,nCURSO,DATOS!$D12964,nESPEC,DATOS!$E12964,nASIG,DATOS!$I12964,nEVAL,"EX")=0),0))))</f>
      </c>
      <c r="H12964">
        <f>IF(DATOS!$G12964&lt;&gt;"EX",0,--(COUNTIFS(nNIA,DATOS!$A12964,nCURSO,DATOS!$D12964,nESPEC,DATOS!$E12964,nASIG,DATOS!$I12964,nEVAL,"OR")=0))</f>
      </c>
      <c r="I12964">
        <f>IF(DATOS!$I12964="","",IFERROR(VLOOKUP(DATOS!$I12964,CONFIG_ASIGNATURAS!$B$2:$J$91,9,FALSE()),""))</f>
      </c>
    </row>
    <row r="12965">
      <c r="F12965">
        <f>IF(DATOS!$A12965="","",DATOS!$A12965&amp;"|"&amp;DATOS!$D12965&amp;"|"&amp;DATOS!$E12965&amp;"|"&amp;DATOS!$I12965)</f>
      </c>
      <c r="G12965">
        <f>IF(DATOS!$A12965="",0,IF(CONFIG_METADATA!$B$4&lt;&gt;"OR+EX",--(DATOS!$G12965=CONFIG_METADATA!$B$4),IF(DATOS!$G12965="EX",1,IF(DATOS!$G12965="OR",--(COUNTIFS(nNIA,DATOS!$A12965,nCURSO,DATOS!$D12965,nESPEC,DATOS!$E12965,nASIG,DATOS!$I12965,nEVAL,"EX")=0),0))))</f>
      </c>
      <c r="H12965">
        <f>IF(DATOS!$G12965&lt;&gt;"EX",0,--(COUNTIFS(nNIA,DATOS!$A12965,nCURSO,DATOS!$D12965,nESPEC,DATOS!$E12965,nASIG,DATOS!$I12965,nEVAL,"OR")=0))</f>
      </c>
      <c r="I12965">
        <f>IF(DATOS!$I12965="","",IFERROR(VLOOKUP(DATOS!$I12965,CONFIG_ASIGNATURAS!$B$2:$J$91,9,FALSE()),""))</f>
      </c>
    </row>
    <row r="12966">
      <c r="F12966">
        <f>IF(DATOS!$A12966="","",DATOS!$A12966&amp;"|"&amp;DATOS!$D12966&amp;"|"&amp;DATOS!$E12966&amp;"|"&amp;DATOS!$I12966)</f>
      </c>
      <c r="G12966">
        <f>IF(DATOS!$A12966="",0,IF(CONFIG_METADATA!$B$4&lt;&gt;"OR+EX",--(DATOS!$G12966=CONFIG_METADATA!$B$4),IF(DATOS!$G12966="EX",1,IF(DATOS!$G12966="OR",--(COUNTIFS(nNIA,DATOS!$A12966,nCURSO,DATOS!$D12966,nESPEC,DATOS!$E12966,nASIG,DATOS!$I12966,nEVAL,"EX")=0),0))))</f>
      </c>
      <c r="H12966">
        <f>IF(DATOS!$G12966&lt;&gt;"EX",0,--(COUNTIFS(nNIA,DATOS!$A12966,nCURSO,DATOS!$D12966,nESPEC,DATOS!$E12966,nASIG,DATOS!$I12966,nEVAL,"OR")=0))</f>
      </c>
      <c r="I12966">
        <f>IF(DATOS!$I12966="","",IFERROR(VLOOKUP(DATOS!$I12966,CONFIG_ASIGNATURAS!$B$2:$J$91,9,FALSE()),""))</f>
      </c>
    </row>
    <row r="12967">
      <c r="F12967">
        <f>IF(DATOS!$A12967="","",DATOS!$A12967&amp;"|"&amp;DATOS!$D12967&amp;"|"&amp;DATOS!$E12967&amp;"|"&amp;DATOS!$I12967)</f>
      </c>
      <c r="G12967">
        <f>IF(DATOS!$A12967="",0,IF(CONFIG_METADATA!$B$4&lt;&gt;"OR+EX",--(DATOS!$G12967=CONFIG_METADATA!$B$4),IF(DATOS!$G12967="EX",1,IF(DATOS!$G12967="OR",--(COUNTIFS(nNIA,DATOS!$A12967,nCURSO,DATOS!$D12967,nESPEC,DATOS!$E12967,nASIG,DATOS!$I12967,nEVAL,"EX")=0),0))))</f>
      </c>
      <c r="H12967">
        <f>IF(DATOS!$G12967&lt;&gt;"EX",0,--(COUNTIFS(nNIA,DATOS!$A12967,nCURSO,DATOS!$D12967,nESPEC,DATOS!$E12967,nASIG,DATOS!$I12967,nEVAL,"OR")=0))</f>
      </c>
      <c r="I12967">
        <f>IF(DATOS!$I12967="","",IFERROR(VLOOKUP(DATOS!$I12967,CONFIG_ASIGNATURAS!$B$2:$J$91,9,FALSE()),""))</f>
      </c>
    </row>
    <row r="12968">
      <c r="F12968">
        <f>IF(DATOS!$A12968="","",DATOS!$A12968&amp;"|"&amp;DATOS!$D12968&amp;"|"&amp;DATOS!$E12968&amp;"|"&amp;DATOS!$I12968)</f>
      </c>
      <c r="G12968">
        <f>IF(DATOS!$A12968="",0,IF(CONFIG_METADATA!$B$4&lt;&gt;"OR+EX",--(DATOS!$G12968=CONFIG_METADATA!$B$4),IF(DATOS!$G12968="EX",1,IF(DATOS!$G12968="OR",--(COUNTIFS(nNIA,DATOS!$A12968,nCURSO,DATOS!$D12968,nESPEC,DATOS!$E12968,nASIG,DATOS!$I12968,nEVAL,"EX")=0),0))))</f>
      </c>
      <c r="H12968">
        <f>IF(DATOS!$G12968&lt;&gt;"EX",0,--(COUNTIFS(nNIA,DATOS!$A12968,nCURSO,DATOS!$D12968,nESPEC,DATOS!$E12968,nASIG,DATOS!$I12968,nEVAL,"OR")=0))</f>
      </c>
      <c r="I12968">
        <f>IF(DATOS!$I12968="","",IFERROR(VLOOKUP(DATOS!$I12968,CONFIG_ASIGNATURAS!$B$2:$J$91,9,FALSE()),""))</f>
      </c>
    </row>
    <row r="12969">
      <c r="F12969">
        <f>IF(DATOS!$A12969="","",DATOS!$A12969&amp;"|"&amp;DATOS!$D12969&amp;"|"&amp;DATOS!$E12969&amp;"|"&amp;DATOS!$I12969)</f>
      </c>
      <c r="G12969">
        <f>IF(DATOS!$A12969="",0,IF(CONFIG_METADATA!$B$4&lt;&gt;"OR+EX",--(DATOS!$G12969=CONFIG_METADATA!$B$4),IF(DATOS!$G12969="EX",1,IF(DATOS!$G12969="OR",--(COUNTIFS(nNIA,DATOS!$A12969,nCURSO,DATOS!$D12969,nESPEC,DATOS!$E12969,nASIG,DATOS!$I12969,nEVAL,"EX")=0),0))))</f>
      </c>
      <c r="H12969">
        <f>IF(DATOS!$G12969&lt;&gt;"EX",0,--(COUNTIFS(nNIA,DATOS!$A12969,nCURSO,DATOS!$D12969,nESPEC,DATOS!$E12969,nASIG,DATOS!$I12969,nEVAL,"OR")=0))</f>
      </c>
      <c r="I12969">
        <f>IF(DATOS!$I12969="","",IFERROR(VLOOKUP(DATOS!$I12969,CONFIG_ASIGNATURAS!$B$2:$J$91,9,FALSE()),""))</f>
      </c>
    </row>
    <row r="12970">
      <c r="F12970">
        <f>IF(DATOS!$A12970="","",DATOS!$A12970&amp;"|"&amp;DATOS!$D12970&amp;"|"&amp;DATOS!$E12970&amp;"|"&amp;DATOS!$I12970)</f>
      </c>
      <c r="G12970">
        <f>IF(DATOS!$A12970="",0,IF(CONFIG_METADATA!$B$4&lt;&gt;"OR+EX",--(DATOS!$G12970=CONFIG_METADATA!$B$4),IF(DATOS!$G12970="EX",1,IF(DATOS!$G12970="OR",--(COUNTIFS(nNIA,DATOS!$A12970,nCURSO,DATOS!$D12970,nESPEC,DATOS!$E12970,nASIG,DATOS!$I12970,nEVAL,"EX")=0),0))))</f>
      </c>
      <c r="H12970">
        <f>IF(DATOS!$G12970&lt;&gt;"EX",0,--(COUNTIFS(nNIA,DATOS!$A12970,nCURSO,DATOS!$D12970,nESPEC,DATOS!$E12970,nASIG,DATOS!$I12970,nEVAL,"OR")=0))</f>
      </c>
      <c r="I12970">
        <f>IF(DATOS!$I12970="","",IFERROR(VLOOKUP(DATOS!$I12970,CONFIG_ASIGNATURAS!$B$2:$J$91,9,FALSE()),""))</f>
      </c>
    </row>
    <row r="12971">
      <c r="F12971">
        <f>IF(DATOS!$A12971="","",DATOS!$A12971&amp;"|"&amp;DATOS!$D12971&amp;"|"&amp;DATOS!$E12971&amp;"|"&amp;DATOS!$I12971)</f>
      </c>
      <c r="G12971">
        <f>IF(DATOS!$A12971="",0,IF(CONFIG_METADATA!$B$4&lt;&gt;"OR+EX",--(DATOS!$G12971=CONFIG_METADATA!$B$4),IF(DATOS!$G12971="EX",1,IF(DATOS!$G12971="OR",--(COUNTIFS(nNIA,DATOS!$A12971,nCURSO,DATOS!$D12971,nESPEC,DATOS!$E12971,nASIG,DATOS!$I12971,nEVAL,"EX")=0),0))))</f>
      </c>
      <c r="H12971">
        <f>IF(DATOS!$G12971&lt;&gt;"EX",0,--(COUNTIFS(nNIA,DATOS!$A12971,nCURSO,DATOS!$D12971,nESPEC,DATOS!$E12971,nASIG,DATOS!$I12971,nEVAL,"OR")=0))</f>
      </c>
      <c r="I12971">
        <f>IF(DATOS!$I12971="","",IFERROR(VLOOKUP(DATOS!$I12971,CONFIG_ASIGNATURAS!$B$2:$J$91,9,FALSE()),""))</f>
      </c>
    </row>
    <row r="12972">
      <c r="F12972">
        <f>IF(DATOS!$A12972="","",DATOS!$A12972&amp;"|"&amp;DATOS!$D12972&amp;"|"&amp;DATOS!$E12972&amp;"|"&amp;DATOS!$I12972)</f>
      </c>
      <c r="G12972">
        <f>IF(DATOS!$A12972="",0,IF(CONFIG_METADATA!$B$4&lt;&gt;"OR+EX",--(DATOS!$G12972=CONFIG_METADATA!$B$4),IF(DATOS!$G12972="EX",1,IF(DATOS!$G12972="OR",--(COUNTIFS(nNIA,DATOS!$A12972,nCURSO,DATOS!$D12972,nESPEC,DATOS!$E12972,nASIG,DATOS!$I12972,nEVAL,"EX")=0),0))))</f>
      </c>
      <c r="H12972">
        <f>IF(DATOS!$G12972&lt;&gt;"EX",0,--(COUNTIFS(nNIA,DATOS!$A12972,nCURSO,DATOS!$D12972,nESPEC,DATOS!$E12972,nASIG,DATOS!$I12972,nEVAL,"OR")=0))</f>
      </c>
      <c r="I12972">
        <f>IF(DATOS!$I12972="","",IFERROR(VLOOKUP(DATOS!$I12972,CONFIG_ASIGNATURAS!$B$2:$J$91,9,FALSE()),""))</f>
      </c>
    </row>
    <row r="12973">
      <c r="F12973">
        <f>IF(DATOS!$A12973="","",DATOS!$A12973&amp;"|"&amp;DATOS!$D12973&amp;"|"&amp;DATOS!$E12973&amp;"|"&amp;DATOS!$I12973)</f>
      </c>
      <c r="G12973">
        <f>IF(DATOS!$A12973="",0,IF(CONFIG_METADATA!$B$4&lt;&gt;"OR+EX",--(DATOS!$G12973=CONFIG_METADATA!$B$4),IF(DATOS!$G12973="EX",1,IF(DATOS!$G12973="OR",--(COUNTIFS(nNIA,DATOS!$A12973,nCURSO,DATOS!$D12973,nESPEC,DATOS!$E12973,nASIG,DATOS!$I12973,nEVAL,"EX")=0),0))))</f>
      </c>
      <c r="H12973">
        <f>IF(DATOS!$G12973&lt;&gt;"EX",0,--(COUNTIFS(nNIA,DATOS!$A12973,nCURSO,DATOS!$D12973,nESPEC,DATOS!$E12973,nASIG,DATOS!$I12973,nEVAL,"OR")=0))</f>
      </c>
      <c r="I12973">
        <f>IF(DATOS!$I12973="","",IFERROR(VLOOKUP(DATOS!$I12973,CONFIG_ASIGNATURAS!$B$2:$J$91,9,FALSE()),""))</f>
      </c>
    </row>
    <row r="12974">
      <c r="F12974">
        <f>IF(DATOS!$A12974="","",DATOS!$A12974&amp;"|"&amp;DATOS!$D12974&amp;"|"&amp;DATOS!$E12974&amp;"|"&amp;DATOS!$I12974)</f>
      </c>
      <c r="G12974">
        <f>IF(DATOS!$A12974="",0,IF(CONFIG_METADATA!$B$4&lt;&gt;"OR+EX",--(DATOS!$G12974=CONFIG_METADATA!$B$4),IF(DATOS!$G12974="EX",1,IF(DATOS!$G12974="OR",--(COUNTIFS(nNIA,DATOS!$A12974,nCURSO,DATOS!$D12974,nESPEC,DATOS!$E12974,nASIG,DATOS!$I12974,nEVAL,"EX")=0),0))))</f>
      </c>
      <c r="H12974">
        <f>IF(DATOS!$G12974&lt;&gt;"EX",0,--(COUNTIFS(nNIA,DATOS!$A12974,nCURSO,DATOS!$D12974,nESPEC,DATOS!$E12974,nASIG,DATOS!$I12974,nEVAL,"OR")=0))</f>
      </c>
      <c r="I12974">
        <f>IF(DATOS!$I12974="","",IFERROR(VLOOKUP(DATOS!$I12974,CONFIG_ASIGNATURAS!$B$2:$J$91,9,FALSE()),""))</f>
      </c>
    </row>
    <row r="12975">
      <c r="F12975">
        <f>IF(DATOS!$A12975="","",DATOS!$A12975&amp;"|"&amp;DATOS!$D12975&amp;"|"&amp;DATOS!$E12975&amp;"|"&amp;DATOS!$I12975)</f>
      </c>
      <c r="G12975">
        <f>IF(DATOS!$A12975="",0,IF(CONFIG_METADATA!$B$4&lt;&gt;"OR+EX",--(DATOS!$G12975=CONFIG_METADATA!$B$4),IF(DATOS!$G12975="EX",1,IF(DATOS!$G12975="OR",--(COUNTIFS(nNIA,DATOS!$A12975,nCURSO,DATOS!$D12975,nESPEC,DATOS!$E12975,nASIG,DATOS!$I12975,nEVAL,"EX")=0),0))))</f>
      </c>
      <c r="H12975">
        <f>IF(DATOS!$G12975&lt;&gt;"EX",0,--(COUNTIFS(nNIA,DATOS!$A12975,nCURSO,DATOS!$D12975,nESPEC,DATOS!$E12975,nASIG,DATOS!$I12975,nEVAL,"OR")=0))</f>
      </c>
      <c r="I12975">
        <f>IF(DATOS!$I12975="","",IFERROR(VLOOKUP(DATOS!$I12975,CONFIG_ASIGNATURAS!$B$2:$J$91,9,FALSE()),""))</f>
      </c>
    </row>
    <row r="12976">
      <c r="F12976">
        <f>IF(DATOS!$A12976="","",DATOS!$A12976&amp;"|"&amp;DATOS!$D12976&amp;"|"&amp;DATOS!$E12976&amp;"|"&amp;DATOS!$I12976)</f>
      </c>
      <c r="G12976">
        <f>IF(DATOS!$A12976="",0,IF(CONFIG_METADATA!$B$4&lt;&gt;"OR+EX",--(DATOS!$G12976=CONFIG_METADATA!$B$4),IF(DATOS!$G12976="EX",1,IF(DATOS!$G12976="OR",--(COUNTIFS(nNIA,DATOS!$A12976,nCURSO,DATOS!$D12976,nESPEC,DATOS!$E12976,nASIG,DATOS!$I12976,nEVAL,"EX")=0),0))))</f>
      </c>
      <c r="H12976">
        <f>IF(DATOS!$G12976&lt;&gt;"EX",0,--(COUNTIFS(nNIA,DATOS!$A12976,nCURSO,DATOS!$D12976,nESPEC,DATOS!$E12976,nASIG,DATOS!$I12976,nEVAL,"OR")=0))</f>
      </c>
      <c r="I12976">
        <f>IF(DATOS!$I12976="","",IFERROR(VLOOKUP(DATOS!$I12976,CONFIG_ASIGNATURAS!$B$2:$J$91,9,FALSE()),""))</f>
      </c>
    </row>
    <row r="12977">
      <c r="F12977">
        <f>IF(DATOS!$A12977="","",DATOS!$A12977&amp;"|"&amp;DATOS!$D12977&amp;"|"&amp;DATOS!$E12977&amp;"|"&amp;DATOS!$I12977)</f>
      </c>
      <c r="G12977">
        <f>IF(DATOS!$A12977="",0,IF(CONFIG_METADATA!$B$4&lt;&gt;"OR+EX",--(DATOS!$G12977=CONFIG_METADATA!$B$4),IF(DATOS!$G12977="EX",1,IF(DATOS!$G12977="OR",--(COUNTIFS(nNIA,DATOS!$A12977,nCURSO,DATOS!$D12977,nESPEC,DATOS!$E12977,nASIG,DATOS!$I12977,nEVAL,"EX")=0),0))))</f>
      </c>
      <c r="H12977">
        <f>IF(DATOS!$G12977&lt;&gt;"EX",0,--(COUNTIFS(nNIA,DATOS!$A12977,nCURSO,DATOS!$D12977,nESPEC,DATOS!$E12977,nASIG,DATOS!$I12977,nEVAL,"OR")=0))</f>
      </c>
      <c r="I12977">
        <f>IF(DATOS!$I12977="","",IFERROR(VLOOKUP(DATOS!$I12977,CONFIG_ASIGNATURAS!$B$2:$J$91,9,FALSE()),""))</f>
      </c>
    </row>
    <row r="12978">
      <c r="F12978">
        <f>IF(DATOS!$A12978="","",DATOS!$A12978&amp;"|"&amp;DATOS!$D12978&amp;"|"&amp;DATOS!$E12978&amp;"|"&amp;DATOS!$I12978)</f>
      </c>
      <c r="G12978">
        <f>IF(DATOS!$A12978="",0,IF(CONFIG_METADATA!$B$4&lt;&gt;"OR+EX",--(DATOS!$G12978=CONFIG_METADATA!$B$4),IF(DATOS!$G12978="EX",1,IF(DATOS!$G12978="OR",--(COUNTIFS(nNIA,DATOS!$A12978,nCURSO,DATOS!$D12978,nESPEC,DATOS!$E12978,nASIG,DATOS!$I12978,nEVAL,"EX")=0),0))))</f>
      </c>
      <c r="H12978">
        <f>IF(DATOS!$G12978&lt;&gt;"EX",0,--(COUNTIFS(nNIA,DATOS!$A12978,nCURSO,DATOS!$D12978,nESPEC,DATOS!$E12978,nASIG,DATOS!$I12978,nEVAL,"OR")=0))</f>
      </c>
      <c r="I12978">
        <f>IF(DATOS!$I12978="","",IFERROR(VLOOKUP(DATOS!$I12978,CONFIG_ASIGNATURAS!$B$2:$J$91,9,FALSE()),""))</f>
      </c>
    </row>
    <row r="12979">
      <c r="F12979">
        <f>IF(DATOS!$A12979="","",DATOS!$A12979&amp;"|"&amp;DATOS!$D12979&amp;"|"&amp;DATOS!$E12979&amp;"|"&amp;DATOS!$I12979)</f>
      </c>
      <c r="G12979">
        <f>IF(DATOS!$A12979="",0,IF(CONFIG_METADATA!$B$4&lt;&gt;"OR+EX",--(DATOS!$G12979=CONFIG_METADATA!$B$4),IF(DATOS!$G12979="EX",1,IF(DATOS!$G12979="OR",--(COUNTIFS(nNIA,DATOS!$A12979,nCURSO,DATOS!$D12979,nESPEC,DATOS!$E12979,nASIG,DATOS!$I12979,nEVAL,"EX")=0),0))))</f>
      </c>
      <c r="H12979">
        <f>IF(DATOS!$G12979&lt;&gt;"EX",0,--(COUNTIFS(nNIA,DATOS!$A12979,nCURSO,DATOS!$D12979,nESPEC,DATOS!$E12979,nASIG,DATOS!$I12979,nEVAL,"OR")=0))</f>
      </c>
      <c r="I12979">
        <f>IF(DATOS!$I12979="","",IFERROR(VLOOKUP(DATOS!$I12979,CONFIG_ASIGNATURAS!$B$2:$J$91,9,FALSE()),""))</f>
      </c>
    </row>
    <row r="12980">
      <c r="F12980">
        <f>IF(DATOS!$A12980="","",DATOS!$A12980&amp;"|"&amp;DATOS!$D12980&amp;"|"&amp;DATOS!$E12980&amp;"|"&amp;DATOS!$I12980)</f>
      </c>
      <c r="G12980">
        <f>IF(DATOS!$A12980="",0,IF(CONFIG_METADATA!$B$4&lt;&gt;"OR+EX",--(DATOS!$G12980=CONFIG_METADATA!$B$4),IF(DATOS!$G12980="EX",1,IF(DATOS!$G12980="OR",--(COUNTIFS(nNIA,DATOS!$A12980,nCURSO,DATOS!$D12980,nESPEC,DATOS!$E12980,nASIG,DATOS!$I12980,nEVAL,"EX")=0),0))))</f>
      </c>
      <c r="H12980">
        <f>IF(DATOS!$G12980&lt;&gt;"EX",0,--(COUNTIFS(nNIA,DATOS!$A12980,nCURSO,DATOS!$D12980,nESPEC,DATOS!$E12980,nASIG,DATOS!$I12980,nEVAL,"OR")=0))</f>
      </c>
      <c r="I12980">
        <f>IF(DATOS!$I12980="","",IFERROR(VLOOKUP(DATOS!$I12980,CONFIG_ASIGNATURAS!$B$2:$J$91,9,FALSE()),""))</f>
      </c>
    </row>
    <row r="12981">
      <c r="F12981">
        <f>IF(DATOS!$A12981="","",DATOS!$A12981&amp;"|"&amp;DATOS!$D12981&amp;"|"&amp;DATOS!$E12981&amp;"|"&amp;DATOS!$I12981)</f>
      </c>
      <c r="G12981">
        <f>IF(DATOS!$A12981="",0,IF(CONFIG_METADATA!$B$4&lt;&gt;"OR+EX",--(DATOS!$G12981=CONFIG_METADATA!$B$4),IF(DATOS!$G12981="EX",1,IF(DATOS!$G12981="OR",--(COUNTIFS(nNIA,DATOS!$A12981,nCURSO,DATOS!$D12981,nESPEC,DATOS!$E12981,nASIG,DATOS!$I12981,nEVAL,"EX")=0),0))))</f>
      </c>
      <c r="H12981">
        <f>IF(DATOS!$G12981&lt;&gt;"EX",0,--(COUNTIFS(nNIA,DATOS!$A12981,nCURSO,DATOS!$D12981,nESPEC,DATOS!$E12981,nASIG,DATOS!$I12981,nEVAL,"OR")=0))</f>
      </c>
      <c r="I12981">
        <f>IF(DATOS!$I12981="","",IFERROR(VLOOKUP(DATOS!$I12981,CONFIG_ASIGNATURAS!$B$2:$J$91,9,FALSE()),""))</f>
      </c>
    </row>
    <row r="12982">
      <c r="F12982">
        <f>IF(DATOS!$A12982="","",DATOS!$A12982&amp;"|"&amp;DATOS!$D12982&amp;"|"&amp;DATOS!$E12982&amp;"|"&amp;DATOS!$I12982)</f>
      </c>
      <c r="G12982">
        <f>IF(DATOS!$A12982="",0,IF(CONFIG_METADATA!$B$4&lt;&gt;"OR+EX",--(DATOS!$G12982=CONFIG_METADATA!$B$4),IF(DATOS!$G12982="EX",1,IF(DATOS!$G12982="OR",--(COUNTIFS(nNIA,DATOS!$A12982,nCURSO,DATOS!$D12982,nESPEC,DATOS!$E12982,nASIG,DATOS!$I12982,nEVAL,"EX")=0),0))))</f>
      </c>
      <c r="H12982">
        <f>IF(DATOS!$G12982&lt;&gt;"EX",0,--(COUNTIFS(nNIA,DATOS!$A12982,nCURSO,DATOS!$D12982,nESPEC,DATOS!$E12982,nASIG,DATOS!$I12982,nEVAL,"OR")=0))</f>
      </c>
      <c r="I12982">
        <f>IF(DATOS!$I12982="","",IFERROR(VLOOKUP(DATOS!$I12982,CONFIG_ASIGNATURAS!$B$2:$J$91,9,FALSE()),""))</f>
      </c>
    </row>
    <row r="12983">
      <c r="F12983">
        <f>IF(DATOS!$A12983="","",DATOS!$A12983&amp;"|"&amp;DATOS!$D12983&amp;"|"&amp;DATOS!$E12983&amp;"|"&amp;DATOS!$I12983)</f>
      </c>
      <c r="G12983">
        <f>IF(DATOS!$A12983="",0,IF(CONFIG_METADATA!$B$4&lt;&gt;"OR+EX",--(DATOS!$G12983=CONFIG_METADATA!$B$4),IF(DATOS!$G12983="EX",1,IF(DATOS!$G12983="OR",--(COUNTIFS(nNIA,DATOS!$A12983,nCURSO,DATOS!$D12983,nESPEC,DATOS!$E12983,nASIG,DATOS!$I12983,nEVAL,"EX")=0),0))))</f>
      </c>
      <c r="H12983">
        <f>IF(DATOS!$G12983&lt;&gt;"EX",0,--(COUNTIFS(nNIA,DATOS!$A12983,nCURSO,DATOS!$D12983,nESPEC,DATOS!$E12983,nASIG,DATOS!$I12983,nEVAL,"OR")=0))</f>
      </c>
      <c r="I12983">
        <f>IF(DATOS!$I12983="","",IFERROR(VLOOKUP(DATOS!$I12983,CONFIG_ASIGNATURAS!$B$2:$J$91,9,FALSE()),""))</f>
      </c>
    </row>
    <row r="12984">
      <c r="F12984">
        <f>IF(DATOS!$A12984="","",DATOS!$A12984&amp;"|"&amp;DATOS!$D12984&amp;"|"&amp;DATOS!$E12984&amp;"|"&amp;DATOS!$I12984)</f>
      </c>
      <c r="G12984">
        <f>IF(DATOS!$A12984="",0,IF(CONFIG_METADATA!$B$4&lt;&gt;"OR+EX",--(DATOS!$G12984=CONFIG_METADATA!$B$4),IF(DATOS!$G12984="EX",1,IF(DATOS!$G12984="OR",--(COUNTIFS(nNIA,DATOS!$A12984,nCURSO,DATOS!$D12984,nESPEC,DATOS!$E12984,nASIG,DATOS!$I12984,nEVAL,"EX")=0),0))))</f>
      </c>
      <c r="H12984">
        <f>IF(DATOS!$G12984&lt;&gt;"EX",0,--(COUNTIFS(nNIA,DATOS!$A12984,nCURSO,DATOS!$D12984,nESPEC,DATOS!$E12984,nASIG,DATOS!$I12984,nEVAL,"OR")=0))</f>
      </c>
      <c r="I12984">
        <f>IF(DATOS!$I12984="","",IFERROR(VLOOKUP(DATOS!$I12984,CONFIG_ASIGNATURAS!$B$2:$J$91,9,FALSE()),""))</f>
      </c>
    </row>
    <row r="12985">
      <c r="F12985">
        <f>IF(DATOS!$A12985="","",DATOS!$A12985&amp;"|"&amp;DATOS!$D12985&amp;"|"&amp;DATOS!$E12985&amp;"|"&amp;DATOS!$I12985)</f>
      </c>
      <c r="G12985">
        <f>IF(DATOS!$A12985="",0,IF(CONFIG_METADATA!$B$4&lt;&gt;"OR+EX",--(DATOS!$G12985=CONFIG_METADATA!$B$4),IF(DATOS!$G12985="EX",1,IF(DATOS!$G12985="OR",--(COUNTIFS(nNIA,DATOS!$A12985,nCURSO,DATOS!$D12985,nESPEC,DATOS!$E12985,nASIG,DATOS!$I12985,nEVAL,"EX")=0),0))))</f>
      </c>
      <c r="H12985">
        <f>IF(DATOS!$G12985&lt;&gt;"EX",0,--(COUNTIFS(nNIA,DATOS!$A12985,nCURSO,DATOS!$D12985,nESPEC,DATOS!$E12985,nASIG,DATOS!$I12985,nEVAL,"OR")=0))</f>
      </c>
      <c r="I12985">
        <f>IF(DATOS!$I12985="","",IFERROR(VLOOKUP(DATOS!$I12985,CONFIG_ASIGNATURAS!$B$2:$J$91,9,FALSE()),""))</f>
      </c>
    </row>
    <row r="12986">
      <c r="F12986">
        <f>IF(DATOS!$A12986="","",DATOS!$A12986&amp;"|"&amp;DATOS!$D12986&amp;"|"&amp;DATOS!$E12986&amp;"|"&amp;DATOS!$I12986)</f>
      </c>
      <c r="G12986">
        <f>IF(DATOS!$A12986="",0,IF(CONFIG_METADATA!$B$4&lt;&gt;"OR+EX",--(DATOS!$G12986=CONFIG_METADATA!$B$4),IF(DATOS!$G12986="EX",1,IF(DATOS!$G12986="OR",--(COUNTIFS(nNIA,DATOS!$A12986,nCURSO,DATOS!$D12986,nESPEC,DATOS!$E12986,nASIG,DATOS!$I12986,nEVAL,"EX")=0),0))))</f>
      </c>
      <c r="H12986">
        <f>IF(DATOS!$G12986&lt;&gt;"EX",0,--(COUNTIFS(nNIA,DATOS!$A12986,nCURSO,DATOS!$D12986,nESPEC,DATOS!$E12986,nASIG,DATOS!$I12986,nEVAL,"OR")=0))</f>
      </c>
      <c r="I12986">
        <f>IF(DATOS!$I12986="","",IFERROR(VLOOKUP(DATOS!$I12986,CONFIG_ASIGNATURAS!$B$2:$J$91,9,FALSE()),""))</f>
      </c>
    </row>
    <row r="12987">
      <c r="F12987">
        <f>IF(DATOS!$A12987="","",DATOS!$A12987&amp;"|"&amp;DATOS!$D12987&amp;"|"&amp;DATOS!$E12987&amp;"|"&amp;DATOS!$I12987)</f>
      </c>
      <c r="G12987">
        <f>IF(DATOS!$A12987="",0,IF(CONFIG_METADATA!$B$4&lt;&gt;"OR+EX",--(DATOS!$G12987=CONFIG_METADATA!$B$4),IF(DATOS!$G12987="EX",1,IF(DATOS!$G12987="OR",--(COUNTIFS(nNIA,DATOS!$A12987,nCURSO,DATOS!$D12987,nESPEC,DATOS!$E12987,nASIG,DATOS!$I12987,nEVAL,"EX")=0),0))))</f>
      </c>
      <c r="H12987">
        <f>IF(DATOS!$G12987&lt;&gt;"EX",0,--(COUNTIFS(nNIA,DATOS!$A12987,nCURSO,DATOS!$D12987,nESPEC,DATOS!$E12987,nASIG,DATOS!$I12987,nEVAL,"OR")=0))</f>
      </c>
      <c r="I12987">
        <f>IF(DATOS!$I12987="","",IFERROR(VLOOKUP(DATOS!$I12987,CONFIG_ASIGNATURAS!$B$2:$J$91,9,FALSE()),""))</f>
      </c>
    </row>
    <row r="12988">
      <c r="F12988">
        <f>IF(DATOS!$A12988="","",DATOS!$A12988&amp;"|"&amp;DATOS!$D12988&amp;"|"&amp;DATOS!$E12988&amp;"|"&amp;DATOS!$I12988)</f>
      </c>
      <c r="G12988">
        <f>IF(DATOS!$A12988="",0,IF(CONFIG_METADATA!$B$4&lt;&gt;"OR+EX",--(DATOS!$G12988=CONFIG_METADATA!$B$4),IF(DATOS!$G12988="EX",1,IF(DATOS!$G12988="OR",--(COUNTIFS(nNIA,DATOS!$A12988,nCURSO,DATOS!$D12988,nESPEC,DATOS!$E12988,nASIG,DATOS!$I12988,nEVAL,"EX")=0),0))))</f>
      </c>
      <c r="H12988">
        <f>IF(DATOS!$G12988&lt;&gt;"EX",0,--(COUNTIFS(nNIA,DATOS!$A12988,nCURSO,DATOS!$D12988,nESPEC,DATOS!$E12988,nASIG,DATOS!$I12988,nEVAL,"OR")=0))</f>
      </c>
      <c r="I12988">
        <f>IF(DATOS!$I12988="","",IFERROR(VLOOKUP(DATOS!$I12988,CONFIG_ASIGNATURAS!$B$2:$J$91,9,FALSE()),""))</f>
      </c>
    </row>
    <row r="12989">
      <c r="F12989">
        <f>IF(DATOS!$A12989="","",DATOS!$A12989&amp;"|"&amp;DATOS!$D12989&amp;"|"&amp;DATOS!$E12989&amp;"|"&amp;DATOS!$I12989)</f>
      </c>
      <c r="G12989">
        <f>IF(DATOS!$A12989="",0,IF(CONFIG_METADATA!$B$4&lt;&gt;"OR+EX",--(DATOS!$G12989=CONFIG_METADATA!$B$4),IF(DATOS!$G12989="EX",1,IF(DATOS!$G12989="OR",--(COUNTIFS(nNIA,DATOS!$A12989,nCURSO,DATOS!$D12989,nESPEC,DATOS!$E12989,nASIG,DATOS!$I12989,nEVAL,"EX")=0),0))))</f>
      </c>
      <c r="H12989">
        <f>IF(DATOS!$G12989&lt;&gt;"EX",0,--(COUNTIFS(nNIA,DATOS!$A12989,nCURSO,DATOS!$D12989,nESPEC,DATOS!$E12989,nASIG,DATOS!$I12989,nEVAL,"OR")=0))</f>
      </c>
      <c r="I12989">
        <f>IF(DATOS!$I12989="","",IFERROR(VLOOKUP(DATOS!$I12989,CONFIG_ASIGNATURAS!$B$2:$J$91,9,FALSE()),""))</f>
      </c>
    </row>
    <row r="12990">
      <c r="F12990">
        <f>IF(DATOS!$A12990="","",DATOS!$A12990&amp;"|"&amp;DATOS!$D12990&amp;"|"&amp;DATOS!$E12990&amp;"|"&amp;DATOS!$I12990)</f>
      </c>
      <c r="G12990">
        <f>IF(DATOS!$A12990="",0,IF(CONFIG_METADATA!$B$4&lt;&gt;"OR+EX",--(DATOS!$G12990=CONFIG_METADATA!$B$4),IF(DATOS!$G12990="EX",1,IF(DATOS!$G12990="OR",--(COUNTIFS(nNIA,DATOS!$A12990,nCURSO,DATOS!$D12990,nESPEC,DATOS!$E12990,nASIG,DATOS!$I12990,nEVAL,"EX")=0),0))))</f>
      </c>
      <c r="H12990">
        <f>IF(DATOS!$G12990&lt;&gt;"EX",0,--(COUNTIFS(nNIA,DATOS!$A12990,nCURSO,DATOS!$D12990,nESPEC,DATOS!$E12990,nASIG,DATOS!$I12990,nEVAL,"OR")=0))</f>
      </c>
      <c r="I12990">
        <f>IF(DATOS!$I12990="","",IFERROR(VLOOKUP(DATOS!$I12990,CONFIG_ASIGNATURAS!$B$2:$J$91,9,FALSE()),""))</f>
      </c>
    </row>
    <row r="12991">
      <c r="F12991">
        <f>IF(DATOS!$A12991="","",DATOS!$A12991&amp;"|"&amp;DATOS!$D12991&amp;"|"&amp;DATOS!$E12991&amp;"|"&amp;DATOS!$I12991)</f>
      </c>
      <c r="G12991">
        <f>IF(DATOS!$A12991="",0,IF(CONFIG_METADATA!$B$4&lt;&gt;"OR+EX",--(DATOS!$G12991=CONFIG_METADATA!$B$4),IF(DATOS!$G12991="EX",1,IF(DATOS!$G12991="OR",--(COUNTIFS(nNIA,DATOS!$A12991,nCURSO,DATOS!$D12991,nESPEC,DATOS!$E12991,nASIG,DATOS!$I12991,nEVAL,"EX")=0),0))))</f>
      </c>
      <c r="H12991">
        <f>IF(DATOS!$G12991&lt;&gt;"EX",0,--(COUNTIFS(nNIA,DATOS!$A12991,nCURSO,DATOS!$D12991,nESPEC,DATOS!$E12991,nASIG,DATOS!$I12991,nEVAL,"OR")=0))</f>
      </c>
      <c r="I12991">
        <f>IF(DATOS!$I12991="","",IFERROR(VLOOKUP(DATOS!$I12991,CONFIG_ASIGNATURAS!$B$2:$J$91,9,FALSE()),""))</f>
      </c>
    </row>
    <row r="12992">
      <c r="F12992">
        <f>IF(DATOS!$A12992="","",DATOS!$A12992&amp;"|"&amp;DATOS!$D12992&amp;"|"&amp;DATOS!$E12992&amp;"|"&amp;DATOS!$I12992)</f>
      </c>
      <c r="G12992">
        <f>IF(DATOS!$A12992="",0,IF(CONFIG_METADATA!$B$4&lt;&gt;"OR+EX",--(DATOS!$G12992=CONFIG_METADATA!$B$4),IF(DATOS!$G12992="EX",1,IF(DATOS!$G12992="OR",--(COUNTIFS(nNIA,DATOS!$A12992,nCURSO,DATOS!$D12992,nESPEC,DATOS!$E12992,nASIG,DATOS!$I12992,nEVAL,"EX")=0),0))))</f>
      </c>
      <c r="H12992">
        <f>IF(DATOS!$G12992&lt;&gt;"EX",0,--(COUNTIFS(nNIA,DATOS!$A12992,nCURSO,DATOS!$D12992,nESPEC,DATOS!$E12992,nASIG,DATOS!$I12992,nEVAL,"OR")=0))</f>
      </c>
      <c r="I12992">
        <f>IF(DATOS!$I12992="","",IFERROR(VLOOKUP(DATOS!$I12992,CONFIG_ASIGNATURAS!$B$2:$J$91,9,FALSE()),""))</f>
      </c>
    </row>
    <row r="12993">
      <c r="F12993">
        <f>IF(DATOS!$A12993="","",DATOS!$A12993&amp;"|"&amp;DATOS!$D12993&amp;"|"&amp;DATOS!$E12993&amp;"|"&amp;DATOS!$I12993)</f>
      </c>
      <c r="G12993">
        <f>IF(DATOS!$A12993="",0,IF(CONFIG_METADATA!$B$4&lt;&gt;"OR+EX",--(DATOS!$G12993=CONFIG_METADATA!$B$4),IF(DATOS!$G12993="EX",1,IF(DATOS!$G12993="OR",--(COUNTIFS(nNIA,DATOS!$A12993,nCURSO,DATOS!$D12993,nESPEC,DATOS!$E12993,nASIG,DATOS!$I12993,nEVAL,"EX")=0),0))))</f>
      </c>
      <c r="H12993">
        <f>IF(DATOS!$G12993&lt;&gt;"EX",0,--(COUNTIFS(nNIA,DATOS!$A12993,nCURSO,DATOS!$D12993,nESPEC,DATOS!$E12993,nASIG,DATOS!$I12993,nEVAL,"OR")=0))</f>
      </c>
      <c r="I12993">
        <f>IF(DATOS!$I12993="","",IFERROR(VLOOKUP(DATOS!$I12993,CONFIG_ASIGNATURAS!$B$2:$J$91,9,FALSE()),""))</f>
      </c>
    </row>
    <row r="12994">
      <c r="F12994">
        <f>IF(DATOS!$A12994="","",DATOS!$A12994&amp;"|"&amp;DATOS!$D12994&amp;"|"&amp;DATOS!$E12994&amp;"|"&amp;DATOS!$I12994)</f>
      </c>
      <c r="G12994">
        <f>IF(DATOS!$A12994="",0,IF(CONFIG_METADATA!$B$4&lt;&gt;"OR+EX",--(DATOS!$G12994=CONFIG_METADATA!$B$4),IF(DATOS!$G12994="EX",1,IF(DATOS!$G12994="OR",--(COUNTIFS(nNIA,DATOS!$A12994,nCURSO,DATOS!$D12994,nESPEC,DATOS!$E12994,nASIG,DATOS!$I12994,nEVAL,"EX")=0),0))))</f>
      </c>
      <c r="H12994">
        <f>IF(DATOS!$G12994&lt;&gt;"EX",0,--(COUNTIFS(nNIA,DATOS!$A12994,nCURSO,DATOS!$D12994,nESPEC,DATOS!$E12994,nASIG,DATOS!$I12994,nEVAL,"OR")=0))</f>
      </c>
      <c r="I12994">
        <f>IF(DATOS!$I12994="","",IFERROR(VLOOKUP(DATOS!$I12994,CONFIG_ASIGNATURAS!$B$2:$J$91,9,FALSE()),""))</f>
      </c>
    </row>
    <row r="12995">
      <c r="F12995">
        <f>IF(DATOS!$A12995="","",DATOS!$A12995&amp;"|"&amp;DATOS!$D12995&amp;"|"&amp;DATOS!$E12995&amp;"|"&amp;DATOS!$I12995)</f>
      </c>
      <c r="G12995">
        <f>IF(DATOS!$A12995="",0,IF(CONFIG_METADATA!$B$4&lt;&gt;"OR+EX",--(DATOS!$G12995=CONFIG_METADATA!$B$4),IF(DATOS!$G12995="EX",1,IF(DATOS!$G12995="OR",--(COUNTIFS(nNIA,DATOS!$A12995,nCURSO,DATOS!$D12995,nESPEC,DATOS!$E12995,nASIG,DATOS!$I12995,nEVAL,"EX")=0),0))))</f>
      </c>
      <c r="H12995">
        <f>IF(DATOS!$G12995&lt;&gt;"EX",0,--(COUNTIFS(nNIA,DATOS!$A12995,nCURSO,DATOS!$D12995,nESPEC,DATOS!$E12995,nASIG,DATOS!$I12995,nEVAL,"OR")=0))</f>
      </c>
      <c r="I12995">
        <f>IF(DATOS!$I12995="","",IFERROR(VLOOKUP(DATOS!$I12995,CONFIG_ASIGNATURAS!$B$2:$J$91,9,FALSE()),""))</f>
      </c>
    </row>
    <row r="12996">
      <c r="F12996">
        <f>IF(DATOS!$A12996="","",DATOS!$A12996&amp;"|"&amp;DATOS!$D12996&amp;"|"&amp;DATOS!$E12996&amp;"|"&amp;DATOS!$I12996)</f>
      </c>
      <c r="G12996">
        <f>IF(DATOS!$A12996="",0,IF(CONFIG_METADATA!$B$4&lt;&gt;"OR+EX",--(DATOS!$G12996=CONFIG_METADATA!$B$4),IF(DATOS!$G12996="EX",1,IF(DATOS!$G12996="OR",--(COUNTIFS(nNIA,DATOS!$A12996,nCURSO,DATOS!$D12996,nESPEC,DATOS!$E12996,nASIG,DATOS!$I12996,nEVAL,"EX")=0),0))))</f>
      </c>
      <c r="H12996">
        <f>IF(DATOS!$G12996&lt;&gt;"EX",0,--(COUNTIFS(nNIA,DATOS!$A12996,nCURSO,DATOS!$D12996,nESPEC,DATOS!$E12996,nASIG,DATOS!$I12996,nEVAL,"OR")=0))</f>
      </c>
      <c r="I12996">
        <f>IF(DATOS!$I12996="","",IFERROR(VLOOKUP(DATOS!$I12996,CONFIG_ASIGNATURAS!$B$2:$J$91,9,FALSE()),""))</f>
      </c>
    </row>
    <row r="12997">
      <c r="F12997">
        <f>IF(DATOS!$A12997="","",DATOS!$A12997&amp;"|"&amp;DATOS!$D12997&amp;"|"&amp;DATOS!$E12997&amp;"|"&amp;DATOS!$I12997)</f>
      </c>
      <c r="G12997">
        <f>IF(DATOS!$A12997="",0,IF(CONFIG_METADATA!$B$4&lt;&gt;"OR+EX",--(DATOS!$G12997=CONFIG_METADATA!$B$4),IF(DATOS!$G12997="EX",1,IF(DATOS!$G12997="OR",--(COUNTIFS(nNIA,DATOS!$A12997,nCURSO,DATOS!$D12997,nESPEC,DATOS!$E12997,nASIG,DATOS!$I12997,nEVAL,"EX")=0),0))))</f>
      </c>
      <c r="H12997">
        <f>IF(DATOS!$G12997&lt;&gt;"EX",0,--(COUNTIFS(nNIA,DATOS!$A12997,nCURSO,DATOS!$D12997,nESPEC,DATOS!$E12997,nASIG,DATOS!$I12997,nEVAL,"OR")=0))</f>
      </c>
      <c r="I12997">
        <f>IF(DATOS!$I12997="","",IFERROR(VLOOKUP(DATOS!$I12997,CONFIG_ASIGNATURAS!$B$2:$J$91,9,FALSE()),""))</f>
      </c>
    </row>
    <row r="12998">
      <c r="F12998">
        <f>IF(DATOS!$A12998="","",DATOS!$A12998&amp;"|"&amp;DATOS!$D12998&amp;"|"&amp;DATOS!$E12998&amp;"|"&amp;DATOS!$I12998)</f>
      </c>
      <c r="G12998">
        <f>IF(DATOS!$A12998="",0,IF(CONFIG_METADATA!$B$4&lt;&gt;"OR+EX",--(DATOS!$G12998=CONFIG_METADATA!$B$4),IF(DATOS!$G12998="EX",1,IF(DATOS!$G12998="OR",--(COUNTIFS(nNIA,DATOS!$A12998,nCURSO,DATOS!$D12998,nESPEC,DATOS!$E12998,nASIG,DATOS!$I12998,nEVAL,"EX")=0),0))))</f>
      </c>
      <c r="H12998">
        <f>IF(DATOS!$G12998&lt;&gt;"EX",0,--(COUNTIFS(nNIA,DATOS!$A12998,nCURSO,DATOS!$D12998,nESPEC,DATOS!$E12998,nASIG,DATOS!$I12998,nEVAL,"OR")=0))</f>
      </c>
      <c r="I12998">
        <f>IF(DATOS!$I12998="","",IFERROR(VLOOKUP(DATOS!$I12998,CONFIG_ASIGNATURAS!$B$2:$J$91,9,FALSE()),""))</f>
      </c>
    </row>
    <row r="12999">
      <c r="F12999">
        <f>IF(DATOS!$A12999="","",DATOS!$A12999&amp;"|"&amp;DATOS!$D12999&amp;"|"&amp;DATOS!$E12999&amp;"|"&amp;DATOS!$I12999)</f>
      </c>
      <c r="G12999">
        <f>IF(DATOS!$A12999="",0,IF(CONFIG_METADATA!$B$4&lt;&gt;"OR+EX",--(DATOS!$G12999=CONFIG_METADATA!$B$4),IF(DATOS!$G12999="EX",1,IF(DATOS!$G12999="OR",--(COUNTIFS(nNIA,DATOS!$A12999,nCURSO,DATOS!$D12999,nESPEC,DATOS!$E12999,nASIG,DATOS!$I12999,nEVAL,"EX")=0),0))))</f>
      </c>
      <c r="H12999">
        <f>IF(DATOS!$G12999&lt;&gt;"EX",0,--(COUNTIFS(nNIA,DATOS!$A12999,nCURSO,DATOS!$D12999,nESPEC,DATOS!$E12999,nASIG,DATOS!$I12999,nEVAL,"OR")=0))</f>
      </c>
      <c r="I12999">
        <f>IF(DATOS!$I12999="","",IFERROR(VLOOKUP(DATOS!$I12999,CONFIG_ASIGNATURAS!$B$2:$J$91,9,FALSE()),""))</f>
      </c>
    </row>
    <row r="13000">
      <c r="F13000">
        <f>IF(DATOS!$A13000="","",DATOS!$A13000&amp;"|"&amp;DATOS!$D13000&amp;"|"&amp;DATOS!$E13000&amp;"|"&amp;DATOS!$I13000)</f>
      </c>
      <c r="G13000">
        <f>IF(DATOS!$A13000="",0,IF(CONFIG_METADATA!$B$4&lt;&gt;"OR+EX",--(DATOS!$G13000=CONFIG_METADATA!$B$4),IF(DATOS!$G13000="EX",1,IF(DATOS!$G13000="OR",--(COUNTIFS(nNIA,DATOS!$A13000,nCURSO,DATOS!$D13000,nESPEC,DATOS!$E13000,nASIG,DATOS!$I13000,nEVAL,"EX")=0),0))))</f>
      </c>
      <c r="H13000">
        <f>IF(DATOS!$G13000&lt;&gt;"EX",0,--(COUNTIFS(nNIA,DATOS!$A13000,nCURSO,DATOS!$D13000,nESPEC,DATOS!$E13000,nASIG,DATOS!$I13000,nEVAL,"OR")=0))</f>
      </c>
      <c r="I13000">
        <f>IF(DATOS!$I13000="","",IFERROR(VLOOKUP(DATOS!$I13000,CONFIG_ASIGNATURAS!$B$2:$J$91,9,FALSE()),""))</f>
      </c>
    </row>
    <row r="13001">
      <c r="F13001">
        <f>IF(DATOS!$A13001="","",DATOS!$A13001&amp;"|"&amp;DATOS!$D13001&amp;"|"&amp;DATOS!$E13001&amp;"|"&amp;DATOS!$I13001)</f>
      </c>
      <c r="G13001">
        <f>IF(DATOS!$A13001="",0,IF(CONFIG_METADATA!$B$4&lt;&gt;"OR+EX",--(DATOS!$G13001=CONFIG_METADATA!$B$4),IF(DATOS!$G13001="EX",1,IF(DATOS!$G13001="OR",--(COUNTIFS(nNIA,DATOS!$A13001,nCURSO,DATOS!$D13001,nESPEC,DATOS!$E13001,nASIG,DATOS!$I13001,nEVAL,"EX")=0),0))))</f>
      </c>
      <c r="H13001">
        <f>IF(DATOS!$G13001&lt;&gt;"EX",0,--(COUNTIFS(nNIA,DATOS!$A13001,nCURSO,DATOS!$D13001,nESPEC,DATOS!$E13001,nASIG,DATOS!$I13001,nEVAL,"OR")=0))</f>
      </c>
      <c r="I13001">
        <f>IF(DATOS!$I13001="","",IFERROR(VLOOKUP(DATOS!$I13001,CONFIG_ASIGNATURAS!$B$2:$J$91,9,FALSE()),""))</f>
      </c>
    </row>
    <row r="13002">
      <c r="F13002">
        <f>IF(DATOS!$A13002="","",DATOS!$A13002&amp;"|"&amp;DATOS!$D13002&amp;"|"&amp;DATOS!$E13002&amp;"|"&amp;DATOS!$I13002)</f>
      </c>
      <c r="G13002">
        <f>IF(DATOS!$A13002="",0,IF(CONFIG_METADATA!$B$4&lt;&gt;"OR+EX",--(DATOS!$G13002=CONFIG_METADATA!$B$4),IF(DATOS!$G13002="EX",1,IF(DATOS!$G13002="OR",--(COUNTIFS(nNIA,DATOS!$A13002,nCURSO,DATOS!$D13002,nESPEC,DATOS!$E13002,nASIG,DATOS!$I13002,nEVAL,"EX")=0),0))))</f>
      </c>
      <c r="H13002">
        <f>IF(DATOS!$G13002&lt;&gt;"EX",0,--(COUNTIFS(nNIA,DATOS!$A13002,nCURSO,DATOS!$D13002,nESPEC,DATOS!$E13002,nASIG,DATOS!$I13002,nEVAL,"OR")=0))</f>
      </c>
      <c r="I13002">
        <f>IF(DATOS!$I13002="","",IFERROR(VLOOKUP(DATOS!$I13002,CONFIG_ASIGNATURAS!$B$2:$J$91,9,FALSE()),""))</f>
      </c>
    </row>
    <row r="13003">
      <c r="F13003">
        <f>IF(DATOS!$A13003="","",DATOS!$A13003&amp;"|"&amp;DATOS!$D13003&amp;"|"&amp;DATOS!$E13003&amp;"|"&amp;DATOS!$I13003)</f>
      </c>
      <c r="G13003">
        <f>IF(DATOS!$A13003="",0,IF(CONFIG_METADATA!$B$4&lt;&gt;"OR+EX",--(DATOS!$G13003=CONFIG_METADATA!$B$4),IF(DATOS!$G13003="EX",1,IF(DATOS!$G13003="OR",--(COUNTIFS(nNIA,DATOS!$A13003,nCURSO,DATOS!$D13003,nESPEC,DATOS!$E13003,nASIG,DATOS!$I13003,nEVAL,"EX")=0),0))))</f>
      </c>
      <c r="H13003">
        <f>IF(DATOS!$G13003&lt;&gt;"EX",0,--(COUNTIFS(nNIA,DATOS!$A13003,nCURSO,DATOS!$D13003,nESPEC,DATOS!$E13003,nASIG,DATOS!$I13003,nEVAL,"OR")=0))</f>
      </c>
      <c r="I13003">
        <f>IF(DATOS!$I13003="","",IFERROR(VLOOKUP(DATOS!$I13003,CONFIG_ASIGNATURAS!$B$2:$J$91,9,FALSE()),""))</f>
      </c>
    </row>
    <row r="13004">
      <c r="F13004">
        <f>IF(DATOS!$A13004="","",DATOS!$A13004&amp;"|"&amp;DATOS!$D13004&amp;"|"&amp;DATOS!$E13004&amp;"|"&amp;DATOS!$I13004)</f>
      </c>
      <c r="G13004">
        <f>IF(DATOS!$A13004="",0,IF(CONFIG_METADATA!$B$4&lt;&gt;"OR+EX",--(DATOS!$G13004=CONFIG_METADATA!$B$4),IF(DATOS!$G13004="EX",1,IF(DATOS!$G13004="OR",--(COUNTIFS(nNIA,DATOS!$A13004,nCURSO,DATOS!$D13004,nESPEC,DATOS!$E13004,nASIG,DATOS!$I13004,nEVAL,"EX")=0),0))))</f>
      </c>
      <c r="H13004">
        <f>IF(DATOS!$G13004&lt;&gt;"EX",0,--(COUNTIFS(nNIA,DATOS!$A13004,nCURSO,DATOS!$D13004,nESPEC,DATOS!$E13004,nASIG,DATOS!$I13004,nEVAL,"OR")=0))</f>
      </c>
      <c r="I13004">
        <f>IF(DATOS!$I13004="","",IFERROR(VLOOKUP(DATOS!$I13004,CONFIG_ASIGNATURAS!$B$2:$J$91,9,FALSE()),""))</f>
      </c>
    </row>
    <row r="13005">
      <c r="F13005">
        <f>IF(DATOS!$A13005="","",DATOS!$A13005&amp;"|"&amp;DATOS!$D13005&amp;"|"&amp;DATOS!$E13005&amp;"|"&amp;DATOS!$I13005)</f>
      </c>
      <c r="G13005">
        <f>IF(DATOS!$A13005="",0,IF(CONFIG_METADATA!$B$4&lt;&gt;"OR+EX",--(DATOS!$G13005=CONFIG_METADATA!$B$4),IF(DATOS!$G13005="EX",1,IF(DATOS!$G13005="OR",--(COUNTIFS(nNIA,DATOS!$A13005,nCURSO,DATOS!$D13005,nESPEC,DATOS!$E13005,nASIG,DATOS!$I13005,nEVAL,"EX")=0),0))))</f>
      </c>
      <c r="H13005">
        <f>IF(DATOS!$G13005&lt;&gt;"EX",0,--(COUNTIFS(nNIA,DATOS!$A13005,nCURSO,DATOS!$D13005,nESPEC,DATOS!$E13005,nASIG,DATOS!$I13005,nEVAL,"OR")=0))</f>
      </c>
      <c r="I13005">
        <f>IF(DATOS!$I13005="","",IFERROR(VLOOKUP(DATOS!$I13005,CONFIG_ASIGNATURAS!$B$2:$J$91,9,FALSE()),""))</f>
      </c>
    </row>
    <row r="13006">
      <c r="F13006">
        <f>IF(DATOS!$A13006="","",DATOS!$A13006&amp;"|"&amp;DATOS!$D13006&amp;"|"&amp;DATOS!$E13006&amp;"|"&amp;DATOS!$I13006)</f>
      </c>
      <c r="G13006">
        <f>IF(DATOS!$A13006="",0,IF(CONFIG_METADATA!$B$4&lt;&gt;"OR+EX",--(DATOS!$G13006=CONFIG_METADATA!$B$4),IF(DATOS!$G13006="EX",1,IF(DATOS!$G13006="OR",--(COUNTIFS(nNIA,DATOS!$A13006,nCURSO,DATOS!$D13006,nESPEC,DATOS!$E13006,nASIG,DATOS!$I13006,nEVAL,"EX")=0),0))))</f>
      </c>
      <c r="H13006">
        <f>IF(DATOS!$G13006&lt;&gt;"EX",0,--(COUNTIFS(nNIA,DATOS!$A13006,nCURSO,DATOS!$D13006,nESPEC,DATOS!$E13006,nASIG,DATOS!$I13006,nEVAL,"OR")=0))</f>
      </c>
      <c r="I13006">
        <f>IF(DATOS!$I13006="","",IFERROR(VLOOKUP(DATOS!$I13006,CONFIG_ASIGNATURAS!$B$2:$J$91,9,FALSE()),""))</f>
      </c>
    </row>
    <row r="13007">
      <c r="F13007">
        <f>IF(DATOS!$A13007="","",DATOS!$A13007&amp;"|"&amp;DATOS!$D13007&amp;"|"&amp;DATOS!$E13007&amp;"|"&amp;DATOS!$I13007)</f>
      </c>
      <c r="G13007">
        <f>IF(DATOS!$A13007="",0,IF(CONFIG_METADATA!$B$4&lt;&gt;"OR+EX",--(DATOS!$G13007=CONFIG_METADATA!$B$4),IF(DATOS!$G13007="EX",1,IF(DATOS!$G13007="OR",--(COUNTIFS(nNIA,DATOS!$A13007,nCURSO,DATOS!$D13007,nESPEC,DATOS!$E13007,nASIG,DATOS!$I13007,nEVAL,"EX")=0),0))))</f>
      </c>
      <c r="H13007">
        <f>IF(DATOS!$G13007&lt;&gt;"EX",0,--(COUNTIFS(nNIA,DATOS!$A13007,nCURSO,DATOS!$D13007,nESPEC,DATOS!$E13007,nASIG,DATOS!$I13007,nEVAL,"OR")=0))</f>
      </c>
      <c r="I13007">
        <f>IF(DATOS!$I13007="","",IFERROR(VLOOKUP(DATOS!$I13007,CONFIG_ASIGNATURAS!$B$2:$J$91,9,FALSE()),""))</f>
      </c>
    </row>
    <row r="13008">
      <c r="F13008">
        <f>IF(DATOS!$A13008="","",DATOS!$A13008&amp;"|"&amp;DATOS!$D13008&amp;"|"&amp;DATOS!$E13008&amp;"|"&amp;DATOS!$I13008)</f>
      </c>
      <c r="G13008">
        <f>IF(DATOS!$A13008="",0,IF(CONFIG_METADATA!$B$4&lt;&gt;"OR+EX",--(DATOS!$G13008=CONFIG_METADATA!$B$4),IF(DATOS!$G13008="EX",1,IF(DATOS!$G13008="OR",--(COUNTIFS(nNIA,DATOS!$A13008,nCURSO,DATOS!$D13008,nESPEC,DATOS!$E13008,nASIG,DATOS!$I13008,nEVAL,"EX")=0),0))))</f>
      </c>
      <c r="H13008">
        <f>IF(DATOS!$G13008&lt;&gt;"EX",0,--(COUNTIFS(nNIA,DATOS!$A13008,nCURSO,DATOS!$D13008,nESPEC,DATOS!$E13008,nASIG,DATOS!$I13008,nEVAL,"OR")=0))</f>
      </c>
      <c r="I13008">
        <f>IF(DATOS!$I13008="","",IFERROR(VLOOKUP(DATOS!$I13008,CONFIG_ASIGNATURAS!$B$2:$J$91,9,FALSE()),""))</f>
      </c>
    </row>
    <row r="13009">
      <c r="F13009">
        <f>IF(DATOS!$A13009="","",DATOS!$A13009&amp;"|"&amp;DATOS!$D13009&amp;"|"&amp;DATOS!$E13009&amp;"|"&amp;DATOS!$I13009)</f>
      </c>
      <c r="G13009">
        <f>IF(DATOS!$A13009="",0,IF(CONFIG_METADATA!$B$4&lt;&gt;"OR+EX",--(DATOS!$G13009=CONFIG_METADATA!$B$4),IF(DATOS!$G13009="EX",1,IF(DATOS!$G13009="OR",--(COUNTIFS(nNIA,DATOS!$A13009,nCURSO,DATOS!$D13009,nESPEC,DATOS!$E13009,nASIG,DATOS!$I13009,nEVAL,"EX")=0),0))))</f>
      </c>
      <c r="H13009">
        <f>IF(DATOS!$G13009&lt;&gt;"EX",0,--(COUNTIFS(nNIA,DATOS!$A13009,nCURSO,DATOS!$D13009,nESPEC,DATOS!$E13009,nASIG,DATOS!$I13009,nEVAL,"OR")=0))</f>
      </c>
      <c r="I13009">
        <f>IF(DATOS!$I13009="","",IFERROR(VLOOKUP(DATOS!$I13009,CONFIG_ASIGNATURAS!$B$2:$J$91,9,FALSE()),""))</f>
      </c>
    </row>
    <row r="13010">
      <c r="F13010">
        <f>IF(DATOS!$A13010="","",DATOS!$A13010&amp;"|"&amp;DATOS!$D13010&amp;"|"&amp;DATOS!$E13010&amp;"|"&amp;DATOS!$I13010)</f>
      </c>
      <c r="G13010">
        <f>IF(DATOS!$A13010="",0,IF(CONFIG_METADATA!$B$4&lt;&gt;"OR+EX",--(DATOS!$G13010=CONFIG_METADATA!$B$4),IF(DATOS!$G13010="EX",1,IF(DATOS!$G13010="OR",--(COUNTIFS(nNIA,DATOS!$A13010,nCURSO,DATOS!$D13010,nESPEC,DATOS!$E13010,nASIG,DATOS!$I13010,nEVAL,"EX")=0),0))))</f>
      </c>
      <c r="H13010">
        <f>IF(DATOS!$G13010&lt;&gt;"EX",0,--(COUNTIFS(nNIA,DATOS!$A13010,nCURSO,DATOS!$D13010,nESPEC,DATOS!$E13010,nASIG,DATOS!$I13010,nEVAL,"OR")=0))</f>
      </c>
      <c r="I13010">
        <f>IF(DATOS!$I13010="","",IFERROR(VLOOKUP(DATOS!$I13010,CONFIG_ASIGNATURAS!$B$2:$J$91,9,FALSE()),""))</f>
      </c>
    </row>
    <row r="13011">
      <c r="F13011">
        <f>IF(DATOS!$A13011="","",DATOS!$A13011&amp;"|"&amp;DATOS!$D13011&amp;"|"&amp;DATOS!$E13011&amp;"|"&amp;DATOS!$I13011)</f>
      </c>
      <c r="G13011">
        <f>IF(DATOS!$A13011="",0,IF(CONFIG_METADATA!$B$4&lt;&gt;"OR+EX",--(DATOS!$G13011=CONFIG_METADATA!$B$4),IF(DATOS!$G13011="EX",1,IF(DATOS!$G13011="OR",--(COUNTIFS(nNIA,DATOS!$A13011,nCURSO,DATOS!$D13011,nESPEC,DATOS!$E13011,nASIG,DATOS!$I13011,nEVAL,"EX")=0),0))))</f>
      </c>
      <c r="H13011">
        <f>IF(DATOS!$G13011&lt;&gt;"EX",0,--(COUNTIFS(nNIA,DATOS!$A13011,nCURSO,DATOS!$D13011,nESPEC,DATOS!$E13011,nASIG,DATOS!$I13011,nEVAL,"OR")=0))</f>
      </c>
      <c r="I13011">
        <f>IF(DATOS!$I13011="","",IFERROR(VLOOKUP(DATOS!$I13011,CONFIG_ASIGNATURAS!$B$2:$J$91,9,FALSE()),""))</f>
      </c>
    </row>
    <row r="13012">
      <c r="F13012">
        <f>IF(DATOS!$A13012="","",DATOS!$A13012&amp;"|"&amp;DATOS!$D13012&amp;"|"&amp;DATOS!$E13012&amp;"|"&amp;DATOS!$I13012)</f>
      </c>
      <c r="G13012">
        <f>IF(DATOS!$A13012="",0,IF(CONFIG_METADATA!$B$4&lt;&gt;"OR+EX",--(DATOS!$G13012=CONFIG_METADATA!$B$4),IF(DATOS!$G13012="EX",1,IF(DATOS!$G13012="OR",--(COUNTIFS(nNIA,DATOS!$A13012,nCURSO,DATOS!$D13012,nESPEC,DATOS!$E13012,nASIG,DATOS!$I13012,nEVAL,"EX")=0),0))))</f>
      </c>
      <c r="H13012">
        <f>IF(DATOS!$G13012&lt;&gt;"EX",0,--(COUNTIFS(nNIA,DATOS!$A13012,nCURSO,DATOS!$D13012,nESPEC,DATOS!$E13012,nASIG,DATOS!$I13012,nEVAL,"OR")=0))</f>
      </c>
      <c r="I13012">
        <f>IF(DATOS!$I13012="","",IFERROR(VLOOKUP(DATOS!$I13012,CONFIG_ASIGNATURAS!$B$2:$J$91,9,FALSE()),""))</f>
      </c>
    </row>
    <row r="13013">
      <c r="F13013">
        <f>IF(DATOS!$A13013="","",DATOS!$A13013&amp;"|"&amp;DATOS!$D13013&amp;"|"&amp;DATOS!$E13013&amp;"|"&amp;DATOS!$I13013)</f>
      </c>
      <c r="G13013">
        <f>IF(DATOS!$A13013="",0,IF(CONFIG_METADATA!$B$4&lt;&gt;"OR+EX",--(DATOS!$G13013=CONFIG_METADATA!$B$4),IF(DATOS!$G13013="EX",1,IF(DATOS!$G13013="OR",--(COUNTIFS(nNIA,DATOS!$A13013,nCURSO,DATOS!$D13013,nESPEC,DATOS!$E13013,nASIG,DATOS!$I13013,nEVAL,"EX")=0),0))))</f>
      </c>
      <c r="H13013">
        <f>IF(DATOS!$G13013&lt;&gt;"EX",0,--(COUNTIFS(nNIA,DATOS!$A13013,nCURSO,DATOS!$D13013,nESPEC,DATOS!$E13013,nASIG,DATOS!$I13013,nEVAL,"OR")=0))</f>
      </c>
      <c r="I13013">
        <f>IF(DATOS!$I13013="","",IFERROR(VLOOKUP(DATOS!$I13013,CONFIG_ASIGNATURAS!$B$2:$J$91,9,FALSE()),""))</f>
      </c>
    </row>
    <row r="13014">
      <c r="F13014">
        <f>IF(DATOS!$A13014="","",DATOS!$A13014&amp;"|"&amp;DATOS!$D13014&amp;"|"&amp;DATOS!$E13014&amp;"|"&amp;DATOS!$I13014)</f>
      </c>
      <c r="G13014">
        <f>IF(DATOS!$A13014="",0,IF(CONFIG_METADATA!$B$4&lt;&gt;"OR+EX",--(DATOS!$G13014=CONFIG_METADATA!$B$4),IF(DATOS!$G13014="EX",1,IF(DATOS!$G13014="OR",--(COUNTIFS(nNIA,DATOS!$A13014,nCURSO,DATOS!$D13014,nESPEC,DATOS!$E13014,nASIG,DATOS!$I13014,nEVAL,"EX")=0),0))))</f>
      </c>
      <c r="H13014">
        <f>IF(DATOS!$G13014&lt;&gt;"EX",0,--(COUNTIFS(nNIA,DATOS!$A13014,nCURSO,DATOS!$D13014,nESPEC,DATOS!$E13014,nASIG,DATOS!$I13014,nEVAL,"OR")=0))</f>
      </c>
      <c r="I13014">
        <f>IF(DATOS!$I13014="","",IFERROR(VLOOKUP(DATOS!$I13014,CONFIG_ASIGNATURAS!$B$2:$J$91,9,FALSE()),""))</f>
      </c>
    </row>
    <row r="13015">
      <c r="F13015">
        <f>IF(DATOS!$A13015="","",DATOS!$A13015&amp;"|"&amp;DATOS!$D13015&amp;"|"&amp;DATOS!$E13015&amp;"|"&amp;DATOS!$I13015)</f>
      </c>
      <c r="G13015">
        <f>IF(DATOS!$A13015="",0,IF(CONFIG_METADATA!$B$4&lt;&gt;"OR+EX",--(DATOS!$G13015=CONFIG_METADATA!$B$4),IF(DATOS!$G13015="EX",1,IF(DATOS!$G13015="OR",--(COUNTIFS(nNIA,DATOS!$A13015,nCURSO,DATOS!$D13015,nESPEC,DATOS!$E13015,nASIG,DATOS!$I13015,nEVAL,"EX")=0),0))))</f>
      </c>
      <c r="H13015">
        <f>IF(DATOS!$G13015&lt;&gt;"EX",0,--(COUNTIFS(nNIA,DATOS!$A13015,nCURSO,DATOS!$D13015,nESPEC,DATOS!$E13015,nASIG,DATOS!$I13015,nEVAL,"OR")=0))</f>
      </c>
      <c r="I13015">
        <f>IF(DATOS!$I13015="","",IFERROR(VLOOKUP(DATOS!$I13015,CONFIG_ASIGNATURAS!$B$2:$J$91,9,FALSE()),""))</f>
      </c>
    </row>
    <row r="13016">
      <c r="F13016">
        <f>IF(DATOS!$A13016="","",DATOS!$A13016&amp;"|"&amp;DATOS!$D13016&amp;"|"&amp;DATOS!$E13016&amp;"|"&amp;DATOS!$I13016)</f>
      </c>
      <c r="G13016">
        <f>IF(DATOS!$A13016="",0,IF(CONFIG_METADATA!$B$4&lt;&gt;"OR+EX",--(DATOS!$G13016=CONFIG_METADATA!$B$4),IF(DATOS!$G13016="EX",1,IF(DATOS!$G13016="OR",--(COUNTIFS(nNIA,DATOS!$A13016,nCURSO,DATOS!$D13016,nESPEC,DATOS!$E13016,nASIG,DATOS!$I13016,nEVAL,"EX")=0),0))))</f>
      </c>
      <c r="H13016">
        <f>IF(DATOS!$G13016&lt;&gt;"EX",0,--(COUNTIFS(nNIA,DATOS!$A13016,nCURSO,DATOS!$D13016,nESPEC,DATOS!$E13016,nASIG,DATOS!$I13016,nEVAL,"OR")=0))</f>
      </c>
      <c r="I13016">
        <f>IF(DATOS!$I13016="","",IFERROR(VLOOKUP(DATOS!$I13016,CONFIG_ASIGNATURAS!$B$2:$J$91,9,FALSE()),""))</f>
      </c>
    </row>
    <row r="13017">
      <c r="F13017">
        <f>IF(DATOS!$A13017="","",DATOS!$A13017&amp;"|"&amp;DATOS!$D13017&amp;"|"&amp;DATOS!$E13017&amp;"|"&amp;DATOS!$I13017)</f>
      </c>
      <c r="G13017">
        <f>IF(DATOS!$A13017="",0,IF(CONFIG_METADATA!$B$4&lt;&gt;"OR+EX",--(DATOS!$G13017=CONFIG_METADATA!$B$4),IF(DATOS!$G13017="EX",1,IF(DATOS!$G13017="OR",--(COUNTIFS(nNIA,DATOS!$A13017,nCURSO,DATOS!$D13017,nESPEC,DATOS!$E13017,nASIG,DATOS!$I13017,nEVAL,"EX")=0),0))))</f>
      </c>
      <c r="H13017">
        <f>IF(DATOS!$G13017&lt;&gt;"EX",0,--(COUNTIFS(nNIA,DATOS!$A13017,nCURSO,DATOS!$D13017,nESPEC,DATOS!$E13017,nASIG,DATOS!$I13017,nEVAL,"OR")=0))</f>
      </c>
      <c r="I13017">
        <f>IF(DATOS!$I13017="","",IFERROR(VLOOKUP(DATOS!$I13017,CONFIG_ASIGNATURAS!$B$2:$J$91,9,FALSE()),""))</f>
      </c>
    </row>
    <row r="13018">
      <c r="F13018">
        <f>IF(DATOS!$A13018="","",DATOS!$A13018&amp;"|"&amp;DATOS!$D13018&amp;"|"&amp;DATOS!$E13018&amp;"|"&amp;DATOS!$I13018)</f>
      </c>
      <c r="G13018">
        <f>IF(DATOS!$A13018="",0,IF(CONFIG_METADATA!$B$4&lt;&gt;"OR+EX",--(DATOS!$G13018=CONFIG_METADATA!$B$4),IF(DATOS!$G13018="EX",1,IF(DATOS!$G13018="OR",--(COUNTIFS(nNIA,DATOS!$A13018,nCURSO,DATOS!$D13018,nESPEC,DATOS!$E13018,nASIG,DATOS!$I13018,nEVAL,"EX")=0),0))))</f>
      </c>
      <c r="H13018">
        <f>IF(DATOS!$G13018&lt;&gt;"EX",0,--(COUNTIFS(nNIA,DATOS!$A13018,nCURSO,DATOS!$D13018,nESPEC,DATOS!$E13018,nASIG,DATOS!$I13018,nEVAL,"OR")=0))</f>
      </c>
      <c r="I13018">
        <f>IF(DATOS!$I13018="","",IFERROR(VLOOKUP(DATOS!$I13018,CONFIG_ASIGNATURAS!$B$2:$J$91,9,FALSE()),""))</f>
      </c>
    </row>
    <row r="13019">
      <c r="F13019">
        <f>IF(DATOS!$A13019="","",DATOS!$A13019&amp;"|"&amp;DATOS!$D13019&amp;"|"&amp;DATOS!$E13019&amp;"|"&amp;DATOS!$I13019)</f>
      </c>
      <c r="G13019">
        <f>IF(DATOS!$A13019="",0,IF(CONFIG_METADATA!$B$4&lt;&gt;"OR+EX",--(DATOS!$G13019=CONFIG_METADATA!$B$4),IF(DATOS!$G13019="EX",1,IF(DATOS!$G13019="OR",--(COUNTIFS(nNIA,DATOS!$A13019,nCURSO,DATOS!$D13019,nESPEC,DATOS!$E13019,nASIG,DATOS!$I13019,nEVAL,"EX")=0),0))))</f>
      </c>
      <c r="H13019">
        <f>IF(DATOS!$G13019&lt;&gt;"EX",0,--(COUNTIFS(nNIA,DATOS!$A13019,nCURSO,DATOS!$D13019,nESPEC,DATOS!$E13019,nASIG,DATOS!$I13019,nEVAL,"OR")=0))</f>
      </c>
      <c r="I13019">
        <f>IF(DATOS!$I13019="","",IFERROR(VLOOKUP(DATOS!$I13019,CONFIG_ASIGNATURAS!$B$2:$J$91,9,FALSE()),""))</f>
      </c>
    </row>
    <row r="13020">
      <c r="F13020">
        <f>IF(DATOS!$A13020="","",DATOS!$A13020&amp;"|"&amp;DATOS!$D13020&amp;"|"&amp;DATOS!$E13020&amp;"|"&amp;DATOS!$I13020)</f>
      </c>
      <c r="G13020">
        <f>IF(DATOS!$A13020="",0,IF(CONFIG_METADATA!$B$4&lt;&gt;"OR+EX",--(DATOS!$G13020=CONFIG_METADATA!$B$4),IF(DATOS!$G13020="EX",1,IF(DATOS!$G13020="OR",--(COUNTIFS(nNIA,DATOS!$A13020,nCURSO,DATOS!$D13020,nESPEC,DATOS!$E13020,nASIG,DATOS!$I13020,nEVAL,"EX")=0),0))))</f>
      </c>
      <c r="H13020">
        <f>IF(DATOS!$G13020&lt;&gt;"EX",0,--(COUNTIFS(nNIA,DATOS!$A13020,nCURSO,DATOS!$D13020,nESPEC,DATOS!$E13020,nASIG,DATOS!$I13020,nEVAL,"OR")=0))</f>
      </c>
      <c r="I13020">
        <f>IF(DATOS!$I13020="","",IFERROR(VLOOKUP(DATOS!$I13020,CONFIG_ASIGNATURAS!$B$2:$J$91,9,FALSE()),""))</f>
      </c>
    </row>
    <row r="13021">
      <c r="F13021">
        <f>IF(DATOS!$A13021="","",DATOS!$A13021&amp;"|"&amp;DATOS!$D13021&amp;"|"&amp;DATOS!$E13021&amp;"|"&amp;DATOS!$I13021)</f>
      </c>
      <c r="G13021">
        <f>IF(DATOS!$A13021="",0,IF(CONFIG_METADATA!$B$4&lt;&gt;"OR+EX",--(DATOS!$G13021=CONFIG_METADATA!$B$4),IF(DATOS!$G13021="EX",1,IF(DATOS!$G13021="OR",--(COUNTIFS(nNIA,DATOS!$A13021,nCURSO,DATOS!$D13021,nESPEC,DATOS!$E13021,nASIG,DATOS!$I13021,nEVAL,"EX")=0),0))))</f>
      </c>
      <c r="H13021">
        <f>IF(DATOS!$G13021&lt;&gt;"EX",0,--(COUNTIFS(nNIA,DATOS!$A13021,nCURSO,DATOS!$D13021,nESPEC,DATOS!$E13021,nASIG,DATOS!$I13021,nEVAL,"OR")=0))</f>
      </c>
      <c r="I13021">
        <f>IF(DATOS!$I13021="","",IFERROR(VLOOKUP(DATOS!$I13021,CONFIG_ASIGNATURAS!$B$2:$J$91,9,FALSE()),""))</f>
      </c>
    </row>
    <row r="13022">
      <c r="F13022">
        <f>IF(DATOS!$A13022="","",DATOS!$A13022&amp;"|"&amp;DATOS!$D13022&amp;"|"&amp;DATOS!$E13022&amp;"|"&amp;DATOS!$I13022)</f>
      </c>
      <c r="G13022">
        <f>IF(DATOS!$A13022="",0,IF(CONFIG_METADATA!$B$4&lt;&gt;"OR+EX",--(DATOS!$G13022=CONFIG_METADATA!$B$4),IF(DATOS!$G13022="EX",1,IF(DATOS!$G13022="OR",--(COUNTIFS(nNIA,DATOS!$A13022,nCURSO,DATOS!$D13022,nESPEC,DATOS!$E13022,nASIG,DATOS!$I13022,nEVAL,"EX")=0),0))))</f>
      </c>
      <c r="H13022">
        <f>IF(DATOS!$G13022&lt;&gt;"EX",0,--(COUNTIFS(nNIA,DATOS!$A13022,nCURSO,DATOS!$D13022,nESPEC,DATOS!$E13022,nASIG,DATOS!$I13022,nEVAL,"OR")=0))</f>
      </c>
      <c r="I13022">
        <f>IF(DATOS!$I13022="","",IFERROR(VLOOKUP(DATOS!$I13022,CONFIG_ASIGNATURAS!$B$2:$J$91,9,FALSE()),""))</f>
      </c>
    </row>
    <row r="13023">
      <c r="F13023">
        <f>IF(DATOS!$A13023="","",DATOS!$A13023&amp;"|"&amp;DATOS!$D13023&amp;"|"&amp;DATOS!$E13023&amp;"|"&amp;DATOS!$I13023)</f>
      </c>
      <c r="G13023">
        <f>IF(DATOS!$A13023="",0,IF(CONFIG_METADATA!$B$4&lt;&gt;"OR+EX",--(DATOS!$G13023=CONFIG_METADATA!$B$4),IF(DATOS!$G13023="EX",1,IF(DATOS!$G13023="OR",--(COUNTIFS(nNIA,DATOS!$A13023,nCURSO,DATOS!$D13023,nESPEC,DATOS!$E13023,nASIG,DATOS!$I13023,nEVAL,"EX")=0),0))))</f>
      </c>
      <c r="H13023">
        <f>IF(DATOS!$G13023&lt;&gt;"EX",0,--(COUNTIFS(nNIA,DATOS!$A13023,nCURSO,DATOS!$D13023,nESPEC,DATOS!$E13023,nASIG,DATOS!$I13023,nEVAL,"OR")=0))</f>
      </c>
      <c r="I13023">
        <f>IF(DATOS!$I13023="","",IFERROR(VLOOKUP(DATOS!$I13023,CONFIG_ASIGNATURAS!$B$2:$J$91,9,FALSE()),""))</f>
      </c>
    </row>
    <row r="13024">
      <c r="F13024">
        <f>IF(DATOS!$A13024="","",DATOS!$A13024&amp;"|"&amp;DATOS!$D13024&amp;"|"&amp;DATOS!$E13024&amp;"|"&amp;DATOS!$I13024)</f>
      </c>
      <c r="G13024">
        <f>IF(DATOS!$A13024="",0,IF(CONFIG_METADATA!$B$4&lt;&gt;"OR+EX",--(DATOS!$G13024=CONFIG_METADATA!$B$4),IF(DATOS!$G13024="EX",1,IF(DATOS!$G13024="OR",--(COUNTIFS(nNIA,DATOS!$A13024,nCURSO,DATOS!$D13024,nESPEC,DATOS!$E13024,nASIG,DATOS!$I13024,nEVAL,"EX")=0),0))))</f>
      </c>
      <c r="H13024">
        <f>IF(DATOS!$G13024&lt;&gt;"EX",0,--(COUNTIFS(nNIA,DATOS!$A13024,nCURSO,DATOS!$D13024,nESPEC,DATOS!$E13024,nASIG,DATOS!$I13024,nEVAL,"OR")=0))</f>
      </c>
      <c r="I13024">
        <f>IF(DATOS!$I13024="","",IFERROR(VLOOKUP(DATOS!$I13024,CONFIG_ASIGNATURAS!$B$2:$J$91,9,FALSE()),""))</f>
      </c>
    </row>
    <row r="13025">
      <c r="F13025">
        <f>IF(DATOS!$A13025="","",DATOS!$A13025&amp;"|"&amp;DATOS!$D13025&amp;"|"&amp;DATOS!$E13025&amp;"|"&amp;DATOS!$I13025)</f>
      </c>
      <c r="G13025">
        <f>IF(DATOS!$A13025="",0,IF(CONFIG_METADATA!$B$4&lt;&gt;"OR+EX",--(DATOS!$G13025=CONFIG_METADATA!$B$4),IF(DATOS!$G13025="EX",1,IF(DATOS!$G13025="OR",--(COUNTIFS(nNIA,DATOS!$A13025,nCURSO,DATOS!$D13025,nESPEC,DATOS!$E13025,nASIG,DATOS!$I13025,nEVAL,"EX")=0),0))))</f>
      </c>
      <c r="H13025">
        <f>IF(DATOS!$G13025&lt;&gt;"EX",0,--(COUNTIFS(nNIA,DATOS!$A13025,nCURSO,DATOS!$D13025,nESPEC,DATOS!$E13025,nASIG,DATOS!$I13025,nEVAL,"OR")=0))</f>
      </c>
      <c r="I13025">
        <f>IF(DATOS!$I13025="","",IFERROR(VLOOKUP(DATOS!$I13025,CONFIG_ASIGNATURAS!$B$2:$J$91,9,FALSE()),""))</f>
      </c>
    </row>
    <row r="13026">
      <c r="F13026">
        <f>IF(DATOS!$A13026="","",DATOS!$A13026&amp;"|"&amp;DATOS!$D13026&amp;"|"&amp;DATOS!$E13026&amp;"|"&amp;DATOS!$I13026)</f>
      </c>
      <c r="G13026">
        <f>IF(DATOS!$A13026="",0,IF(CONFIG_METADATA!$B$4&lt;&gt;"OR+EX",--(DATOS!$G13026=CONFIG_METADATA!$B$4),IF(DATOS!$G13026="EX",1,IF(DATOS!$G13026="OR",--(COUNTIFS(nNIA,DATOS!$A13026,nCURSO,DATOS!$D13026,nESPEC,DATOS!$E13026,nASIG,DATOS!$I13026,nEVAL,"EX")=0),0))))</f>
      </c>
      <c r="H13026">
        <f>IF(DATOS!$G13026&lt;&gt;"EX",0,--(COUNTIFS(nNIA,DATOS!$A13026,nCURSO,DATOS!$D13026,nESPEC,DATOS!$E13026,nASIG,DATOS!$I13026,nEVAL,"OR")=0))</f>
      </c>
      <c r="I13026">
        <f>IF(DATOS!$I13026="","",IFERROR(VLOOKUP(DATOS!$I13026,CONFIG_ASIGNATURAS!$B$2:$J$91,9,FALSE()),""))</f>
      </c>
    </row>
    <row r="13027">
      <c r="F13027">
        <f>IF(DATOS!$A13027="","",DATOS!$A13027&amp;"|"&amp;DATOS!$D13027&amp;"|"&amp;DATOS!$E13027&amp;"|"&amp;DATOS!$I13027)</f>
      </c>
      <c r="G13027">
        <f>IF(DATOS!$A13027="",0,IF(CONFIG_METADATA!$B$4&lt;&gt;"OR+EX",--(DATOS!$G13027=CONFIG_METADATA!$B$4),IF(DATOS!$G13027="EX",1,IF(DATOS!$G13027="OR",--(COUNTIFS(nNIA,DATOS!$A13027,nCURSO,DATOS!$D13027,nESPEC,DATOS!$E13027,nASIG,DATOS!$I13027,nEVAL,"EX")=0),0))))</f>
      </c>
      <c r="H13027">
        <f>IF(DATOS!$G13027&lt;&gt;"EX",0,--(COUNTIFS(nNIA,DATOS!$A13027,nCURSO,DATOS!$D13027,nESPEC,DATOS!$E13027,nASIG,DATOS!$I13027,nEVAL,"OR")=0))</f>
      </c>
      <c r="I13027">
        <f>IF(DATOS!$I13027="","",IFERROR(VLOOKUP(DATOS!$I13027,CONFIG_ASIGNATURAS!$B$2:$J$91,9,FALSE()),""))</f>
      </c>
    </row>
    <row r="13028">
      <c r="F13028">
        <f>IF(DATOS!$A13028="","",DATOS!$A13028&amp;"|"&amp;DATOS!$D13028&amp;"|"&amp;DATOS!$E13028&amp;"|"&amp;DATOS!$I13028)</f>
      </c>
      <c r="G13028">
        <f>IF(DATOS!$A13028="",0,IF(CONFIG_METADATA!$B$4&lt;&gt;"OR+EX",--(DATOS!$G13028=CONFIG_METADATA!$B$4),IF(DATOS!$G13028="EX",1,IF(DATOS!$G13028="OR",--(COUNTIFS(nNIA,DATOS!$A13028,nCURSO,DATOS!$D13028,nESPEC,DATOS!$E13028,nASIG,DATOS!$I13028,nEVAL,"EX")=0),0))))</f>
      </c>
      <c r="H13028">
        <f>IF(DATOS!$G13028&lt;&gt;"EX",0,--(COUNTIFS(nNIA,DATOS!$A13028,nCURSO,DATOS!$D13028,nESPEC,DATOS!$E13028,nASIG,DATOS!$I13028,nEVAL,"OR")=0))</f>
      </c>
      <c r="I13028">
        <f>IF(DATOS!$I13028="","",IFERROR(VLOOKUP(DATOS!$I13028,CONFIG_ASIGNATURAS!$B$2:$J$91,9,FALSE()),""))</f>
      </c>
    </row>
    <row r="13029">
      <c r="F13029">
        <f>IF(DATOS!$A13029="","",DATOS!$A13029&amp;"|"&amp;DATOS!$D13029&amp;"|"&amp;DATOS!$E13029&amp;"|"&amp;DATOS!$I13029)</f>
      </c>
      <c r="G13029">
        <f>IF(DATOS!$A13029="",0,IF(CONFIG_METADATA!$B$4&lt;&gt;"OR+EX",--(DATOS!$G13029=CONFIG_METADATA!$B$4),IF(DATOS!$G13029="EX",1,IF(DATOS!$G13029="OR",--(COUNTIFS(nNIA,DATOS!$A13029,nCURSO,DATOS!$D13029,nESPEC,DATOS!$E13029,nASIG,DATOS!$I13029,nEVAL,"EX")=0),0))))</f>
      </c>
      <c r="H13029">
        <f>IF(DATOS!$G13029&lt;&gt;"EX",0,--(COUNTIFS(nNIA,DATOS!$A13029,nCURSO,DATOS!$D13029,nESPEC,DATOS!$E13029,nASIG,DATOS!$I13029,nEVAL,"OR")=0))</f>
      </c>
      <c r="I13029">
        <f>IF(DATOS!$I13029="","",IFERROR(VLOOKUP(DATOS!$I13029,CONFIG_ASIGNATURAS!$B$2:$J$91,9,FALSE()),""))</f>
      </c>
    </row>
    <row r="13030">
      <c r="F13030">
        <f>IF(DATOS!$A13030="","",DATOS!$A13030&amp;"|"&amp;DATOS!$D13030&amp;"|"&amp;DATOS!$E13030&amp;"|"&amp;DATOS!$I13030)</f>
      </c>
      <c r="G13030">
        <f>IF(DATOS!$A13030="",0,IF(CONFIG_METADATA!$B$4&lt;&gt;"OR+EX",--(DATOS!$G13030=CONFIG_METADATA!$B$4),IF(DATOS!$G13030="EX",1,IF(DATOS!$G13030="OR",--(COUNTIFS(nNIA,DATOS!$A13030,nCURSO,DATOS!$D13030,nESPEC,DATOS!$E13030,nASIG,DATOS!$I13030,nEVAL,"EX")=0),0))))</f>
      </c>
      <c r="H13030">
        <f>IF(DATOS!$G13030&lt;&gt;"EX",0,--(COUNTIFS(nNIA,DATOS!$A13030,nCURSO,DATOS!$D13030,nESPEC,DATOS!$E13030,nASIG,DATOS!$I13030,nEVAL,"OR")=0))</f>
      </c>
      <c r="I13030">
        <f>IF(DATOS!$I13030="","",IFERROR(VLOOKUP(DATOS!$I13030,CONFIG_ASIGNATURAS!$B$2:$J$91,9,FALSE()),""))</f>
      </c>
    </row>
    <row r="13031">
      <c r="F13031">
        <f>IF(DATOS!$A13031="","",DATOS!$A13031&amp;"|"&amp;DATOS!$D13031&amp;"|"&amp;DATOS!$E13031&amp;"|"&amp;DATOS!$I13031)</f>
      </c>
      <c r="G13031">
        <f>IF(DATOS!$A13031="",0,IF(CONFIG_METADATA!$B$4&lt;&gt;"OR+EX",--(DATOS!$G13031=CONFIG_METADATA!$B$4),IF(DATOS!$G13031="EX",1,IF(DATOS!$G13031="OR",--(COUNTIFS(nNIA,DATOS!$A13031,nCURSO,DATOS!$D13031,nESPEC,DATOS!$E13031,nASIG,DATOS!$I13031,nEVAL,"EX")=0),0))))</f>
      </c>
      <c r="H13031">
        <f>IF(DATOS!$G13031&lt;&gt;"EX",0,--(COUNTIFS(nNIA,DATOS!$A13031,nCURSO,DATOS!$D13031,nESPEC,DATOS!$E13031,nASIG,DATOS!$I13031,nEVAL,"OR")=0))</f>
      </c>
      <c r="I13031">
        <f>IF(DATOS!$I13031="","",IFERROR(VLOOKUP(DATOS!$I13031,CONFIG_ASIGNATURAS!$B$2:$J$91,9,FALSE()),""))</f>
      </c>
    </row>
    <row r="13032">
      <c r="F13032">
        <f>IF(DATOS!$A13032="","",DATOS!$A13032&amp;"|"&amp;DATOS!$D13032&amp;"|"&amp;DATOS!$E13032&amp;"|"&amp;DATOS!$I13032)</f>
      </c>
      <c r="G13032">
        <f>IF(DATOS!$A13032="",0,IF(CONFIG_METADATA!$B$4&lt;&gt;"OR+EX",--(DATOS!$G13032=CONFIG_METADATA!$B$4),IF(DATOS!$G13032="EX",1,IF(DATOS!$G13032="OR",--(COUNTIFS(nNIA,DATOS!$A13032,nCURSO,DATOS!$D13032,nESPEC,DATOS!$E13032,nASIG,DATOS!$I13032,nEVAL,"EX")=0),0))))</f>
      </c>
      <c r="H13032">
        <f>IF(DATOS!$G13032&lt;&gt;"EX",0,--(COUNTIFS(nNIA,DATOS!$A13032,nCURSO,DATOS!$D13032,nESPEC,DATOS!$E13032,nASIG,DATOS!$I13032,nEVAL,"OR")=0))</f>
      </c>
      <c r="I13032">
        <f>IF(DATOS!$I13032="","",IFERROR(VLOOKUP(DATOS!$I13032,CONFIG_ASIGNATURAS!$B$2:$J$91,9,FALSE()),""))</f>
      </c>
    </row>
    <row r="13033">
      <c r="F13033">
        <f>IF(DATOS!$A13033="","",DATOS!$A13033&amp;"|"&amp;DATOS!$D13033&amp;"|"&amp;DATOS!$E13033&amp;"|"&amp;DATOS!$I13033)</f>
      </c>
      <c r="G13033">
        <f>IF(DATOS!$A13033="",0,IF(CONFIG_METADATA!$B$4&lt;&gt;"OR+EX",--(DATOS!$G13033=CONFIG_METADATA!$B$4),IF(DATOS!$G13033="EX",1,IF(DATOS!$G13033="OR",--(COUNTIFS(nNIA,DATOS!$A13033,nCURSO,DATOS!$D13033,nESPEC,DATOS!$E13033,nASIG,DATOS!$I13033,nEVAL,"EX")=0),0))))</f>
      </c>
      <c r="H13033">
        <f>IF(DATOS!$G13033&lt;&gt;"EX",0,--(COUNTIFS(nNIA,DATOS!$A13033,nCURSO,DATOS!$D13033,nESPEC,DATOS!$E13033,nASIG,DATOS!$I13033,nEVAL,"OR")=0))</f>
      </c>
      <c r="I13033">
        <f>IF(DATOS!$I13033="","",IFERROR(VLOOKUP(DATOS!$I13033,CONFIG_ASIGNATURAS!$B$2:$J$91,9,FALSE()),""))</f>
      </c>
    </row>
    <row r="13034">
      <c r="F13034">
        <f>IF(DATOS!$A13034="","",DATOS!$A13034&amp;"|"&amp;DATOS!$D13034&amp;"|"&amp;DATOS!$E13034&amp;"|"&amp;DATOS!$I13034)</f>
      </c>
      <c r="G13034">
        <f>IF(DATOS!$A13034="",0,IF(CONFIG_METADATA!$B$4&lt;&gt;"OR+EX",--(DATOS!$G13034=CONFIG_METADATA!$B$4),IF(DATOS!$G13034="EX",1,IF(DATOS!$G13034="OR",--(COUNTIFS(nNIA,DATOS!$A13034,nCURSO,DATOS!$D13034,nESPEC,DATOS!$E13034,nASIG,DATOS!$I13034,nEVAL,"EX")=0),0))))</f>
      </c>
      <c r="H13034">
        <f>IF(DATOS!$G13034&lt;&gt;"EX",0,--(COUNTIFS(nNIA,DATOS!$A13034,nCURSO,DATOS!$D13034,nESPEC,DATOS!$E13034,nASIG,DATOS!$I13034,nEVAL,"OR")=0))</f>
      </c>
      <c r="I13034">
        <f>IF(DATOS!$I13034="","",IFERROR(VLOOKUP(DATOS!$I13034,CONFIG_ASIGNATURAS!$B$2:$J$91,9,FALSE()),""))</f>
      </c>
    </row>
    <row r="13035">
      <c r="F13035">
        <f>IF(DATOS!$A13035="","",DATOS!$A13035&amp;"|"&amp;DATOS!$D13035&amp;"|"&amp;DATOS!$E13035&amp;"|"&amp;DATOS!$I13035)</f>
      </c>
      <c r="G13035">
        <f>IF(DATOS!$A13035="",0,IF(CONFIG_METADATA!$B$4&lt;&gt;"OR+EX",--(DATOS!$G13035=CONFIG_METADATA!$B$4),IF(DATOS!$G13035="EX",1,IF(DATOS!$G13035="OR",--(COUNTIFS(nNIA,DATOS!$A13035,nCURSO,DATOS!$D13035,nESPEC,DATOS!$E13035,nASIG,DATOS!$I13035,nEVAL,"EX")=0),0))))</f>
      </c>
      <c r="H13035">
        <f>IF(DATOS!$G13035&lt;&gt;"EX",0,--(COUNTIFS(nNIA,DATOS!$A13035,nCURSO,DATOS!$D13035,nESPEC,DATOS!$E13035,nASIG,DATOS!$I13035,nEVAL,"OR")=0))</f>
      </c>
      <c r="I13035">
        <f>IF(DATOS!$I13035="","",IFERROR(VLOOKUP(DATOS!$I13035,CONFIG_ASIGNATURAS!$B$2:$J$91,9,FALSE()),""))</f>
      </c>
    </row>
    <row r="13036">
      <c r="F13036">
        <f>IF(DATOS!$A13036="","",DATOS!$A13036&amp;"|"&amp;DATOS!$D13036&amp;"|"&amp;DATOS!$E13036&amp;"|"&amp;DATOS!$I13036)</f>
      </c>
      <c r="G13036">
        <f>IF(DATOS!$A13036="",0,IF(CONFIG_METADATA!$B$4&lt;&gt;"OR+EX",--(DATOS!$G13036=CONFIG_METADATA!$B$4),IF(DATOS!$G13036="EX",1,IF(DATOS!$G13036="OR",--(COUNTIFS(nNIA,DATOS!$A13036,nCURSO,DATOS!$D13036,nESPEC,DATOS!$E13036,nASIG,DATOS!$I13036,nEVAL,"EX")=0),0))))</f>
      </c>
      <c r="H13036">
        <f>IF(DATOS!$G13036&lt;&gt;"EX",0,--(COUNTIFS(nNIA,DATOS!$A13036,nCURSO,DATOS!$D13036,nESPEC,DATOS!$E13036,nASIG,DATOS!$I13036,nEVAL,"OR")=0))</f>
      </c>
      <c r="I13036">
        <f>IF(DATOS!$I13036="","",IFERROR(VLOOKUP(DATOS!$I13036,CONFIG_ASIGNATURAS!$B$2:$J$91,9,FALSE()),""))</f>
      </c>
    </row>
    <row r="13037">
      <c r="F13037">
        <f>IF(DATOS!$A13037="","",DATOS!$A13037&amp;"|"&amp;DATOS!$D13037&amp;"|"&amp;DATOS!$E13037&amp;"|"&amp;DATOS!$I13037)</f>
      </c>
      <c r="G13037">
        <f>IF(DATOS!$A13037="",0,IF(CONFIG_METADATA!$B$4&lt;&gt;"OR+EX",--(DATOS!$G13037=CONFIG_METADATA!$B$4),IF(DATOS!$G13037="EX",1,IF(DATOS!$G13037="OR",--(COUNTIFS(nNIA,DATOS!$A13037,nCURSO,DATOS!$D13037,nESPEC,DATOS!$E13037,nASIG,DATOS!$I13037,nEVAL,"EX")=0),0))))</f>
      </c>
      <c r="H13037">
        <f>IF(DATOS!$G13037&lt;&gt;"EX",0,--(COUNTIFS(nNIA,DATOS!$A13037,nCURSO,DATOS!$D13037,nESPEC,DATOS!$E13037,nASIG,DATOS!$I13037,nEVAL,"OR")=0))</f>
      </c>
      <c r="I13037">
        <f>IF(DATOS!$I13037="","",IFERROR(VLOOKUP(DATOS!$I13037,CONFIG_ASIGNATURAS!$B$2:$J$91,9,FALSE()),""))</f>
      </c>
    </row>
    <row r="13038">
      <c r="F13038">
        <f>IF(DATOS!$A13038="","",DATOS!$A13038&amp;"|"&amp;DATOS!$D13038&amp;"|"&amp;DATOS!$E13038&amp;"|"&amp;DATOS!$I13038)</f>
      </c>
      <c r="G13038">
        <f>IF(DATOS!$A13038="",0,IF(CONFIG_METADATA!$B$4&lt;&gt;"OR+EX",--(DATOS!$G13038=CONFIG_METADATA!$B$4),IF(DATOS!$G13038="EX",1,IF(DATOS!$G13038="OR",--(COUNTIFS(nNIA,DATOS!$A13038,nCURSO,DATOS!$D13038,nESPEC,DATOS!$E13038,nASIG,DATOS!$I13038,nEVAL,"EX")=0),0))))</f>
      </c>
      <c r="H13038">
        <f>IF(DATOS!$G13038&lt;&gt;"EX",0,--(COUNTIFS(nNIA,DATOS!$A13038,nCURSO,DATOS!$D13038,nESPEC,DATOS!$E13038,nASIG,DATOS!$I13038,nEVAL,"OR")=0))</f>
      </c>
      <c r="I13038">
        <f>IF(DATOS!$I13038="","",IFERROR(VLOOKUP(DATOS!$I13038,CONFIG_ASIGNATURAS!$B$2:$J$91,9,FALSE()),""))</f>
      </c>
    </row>
    <row r="13039">
      <c r="F13039">
        <f>IF(DATOS!$A13039="","",DATOS!$A13039&amp;"|"&amp;DATOS!$D13039&amp;"|"&amp;DATOS!$E13039&amp;"|"&amp;DATOS!$I13039)</f>
      </c>
      <c r="G13039">
        <f>IF(DATOS!$A13039="",0,IF(CONFIG_METADATA!$B$4&lt;&gt;"OR+EX",--(DATOS!$G13039=CONFIG_METADATA!$B$4),IF(DATOS!$G13039="EX",1,IF(DATOS!$G13039="OR",--(COUNTIFS(nNIA,DATOS!$A13039,nCURSO,DATOS!$D13039,nESPEC,DATOS!$E13039,nASIG,DATOS!$I13039,nEVAL,"EX")=0),0))))</f>
      </c>
      <c r="H13039">
        <f>IF(DATOS!$G13039&lt;&gt;"EX",0,--(COUNTIFS(nNIA,DATOS!$A13039,nCURSO,DATOS!$D13039,nESPEC,DATOS!$E13039,nASIG,DATOS!$I13039,nEVAL,"OR")=0))</f>
      </c>
      <c r="I13039">
        <f>IF(DATOS!$I13039="","",IFERROR(VLOOKUP(DATOS!$I13039,CONFIG_ASIGNATURAS!$B$2:$J$91,9,FALSE()),""))</f>
      </c>
    </row>
    <row r="13040">
      <c r="F13040">
        <f>IF(DATOS!$A13040="","",DATOS!$A13040&amp;"|"&amp;DATOS!$D13040&amp;"|"&amp;DATOS!$E13040&amp;"|"&amp;DATOS!$I13040)</f>
      </c>
      <c r="G13040">
        <f>IF(DATOS!$A13040="",0,IF(CONFIG_METADATA!$B$4&lt;&gt;"OR+EX",--(DATOS!$G13040=CONFIG_METADATA!$B$4),IF(DATOS!$G13040="EX",1,IF(DATOS!$G13040="OR",--(COUNTIFS(nNIA,DATOS!$A13040,nCURSO,DATOS!$D13040,nESPEC,DATOS!$E13040,nASIG,DATOS!$I13040,nEVAL,"EX")=0),0))))</f>
      </c>
      <c r="H13040">
        <f>IF(DATOS!$G13040&lt;&gt;"EX",0,--(COUNTIFS(nNIA,DATOS!$A13040,nCURSO,DATOS!$D13040,nESPEC,DATOS!$E13040,nASIG,DATOS!$I13040,nEVAL,"OR")=0))</f>
      </c>
      <c r="I13040">
        <f>IF(DATOS!$I13040="","",IFERROR(VLOOKUP(DATOS!$I13040,CONFIG_ASIGNATURAS!$B$2:$J$91,9,FALSE()),""))</f>
      </c>
    </row>
    <row r="13041">
      <c r="F13041">
        <f>IF(DATOS!$A13041="","",DATOS!$A13041&amp;"|"&amp;DATOS!$D13041&amp;"|"&amp;DATOS!$E13041&amp;"|"&amp;DATOS!$I13041)</f>
      </c>
      <c r="G13041">
        <f>IF(DATOS!$A13041="",0,IF(CONFIG_METADATA!$B$4&lt;&gt;"OR+EX",--(DATOS!$G13041=CONFIG_METADATA!$B$4),IF(DATOS!$G13041="EX",1,IF(DATOS!$G13041="OR",--(COUNTIFS(nNIA,DATOS!$A13041,nCURSO,DATOS!$D13041,nESPEC,DATOS!$E13041,nASIG,DATOS!$I13041,nEVAL,"EX")=0),0))))</f>
      </c>
      <c r="H13041">
        <f>IF(DATOS!$G13041&lt;&gt;"EX",0,--(COUNTIFS(nNIA,DATOS!$A13041,nCURSO,DATOS!$D13041,nESPEC,DATOS!$E13041,nASIG,DATOS!$I13041,nEVAL,"OR")=0))</f>
      </c>
      <c r="I13041">
        <f>IF(DATOS!$I13041="","",IFERROR(VLOOKUP(DATOS!$I13041,CONFIG_ASIGNATURAS!$B$2:$J$91,9,FALSE()),""))</f>
      </c>
    </row>
    <row r="13042">
      <c r="F13042">
        <f>IF(DATOS!$A13042="","",DATOS!$A13042&amp;"|"&amp;DATOS!$D13042&amp;"|"&amp;DATOS!$E13042&amp;"|"&amp;DATOS!$I13042)</f>
      </c>
      <c r="G13042">
        <f>IF(DATOS!$A13042="",0,IF(CONFIG_METADATA!$B$4&lt;&gt;"OR+EX",--(DATOS!$G13042=CONFIG_METADATA!$B$4),IF(DATOS!$G13042="EX",1,IF(DATOS!$G13042="OR",--(COUNTIFS(nNIA,DATOS!$A13042,nCURSO,DATOS!$D13042,nESPEC,DATOS!$E13042,nASIG,DATOS!$I13042,nEVAL,"EX")=0),0))))</f>
      </c>
      <c r="H13042">
        <f>IF(DATOS!$G13042&lt;&gt;"EX",0,--(COUNTIFS(nNIA,DATOS!$A13042,nCURSO,DATOS!$D13042,nESPEC,DATOS!$E13042,nASIG,DATOS!$I13042,nEVAL,"OR")=0))</f>
      </c>
      <c r="I13042">
        <f>IF(DATOS!$I13042="","",IFERROR(VLOOKUP(DATOS!$I13042,CONFIG_ASIGNATURAS!$B$2:$J$91,9,FALSE()),""))</f>
      </c>
    </row>
    <row r="13043">
      <c r="F13043">
        <f>IF(DATOS!$A13043="","",DATOS!$A13043&amp;"|"&amp;DATOS!$D13043&amp;"|"&amp;DATOS!$E13043&amp;"|"&amp;DATOS!$I13043)</f>
      </c>
      <c r="G13043">
        <f>IF(DATOS!$A13043="",0,IF(CONFIG_METADATA!$B$4&lt;&gt;"OR+EX",--(DATOS!$G13043=CONFIG_METADATA!$B$4),IF(DATOS!$G13043="EX",1,IF(DATOS!$G13043="OR",--(COUNTIFS(nNIA,DATOS!$A13043,nCURSO,DATOS!$D13043,nESPEC,DATOS!$E13043,nASIG,DATOS!$I13043,nEVAL,"EX")=0),0))))</f>
      </c>
      <c r="H13043">
        <f>IF(DATOS!$G13043&lt;&gt;"EX",0,--(COUNTIFS(nNIA,DATOS!$A13043,nCURSO,DATOS!$D13043,nESPEC,DATOS!$E13043,nASIG,DATOS!$I13043,nEVAL,"OR")=0))</f>
      </c>
      <c r="I13043">
        <f>IF(DATOS!$I13043="","",IFERROR(VLOOKUP(DATOS!$I13043,CONFIG_ASIGNATURAS!$B$2:$J$91,9,FALSE()),""))</f>
      </c>
    </row>
    <row r="13044">
      <c r="F13044">
        <f>IF(DATOS!$A13044="","",DATOS!$A13044&amp;"|"&amp;DATOS!$D13044&amp;"|"&amp;DATOS!$E13044&amp;"|"&amp;DATOS!$I13044)</f>
      </c>
      <c r="G13044">
        <f>IF(DATOS!$A13044="",0,IF(CONFIG_METADATA!$B$4&lt;&gt;"OR+EX",--(DATOS!$G13044=CONFIG_METADATA!$B$4),IF(DATOS!$G13044="EX",1,IF(DATOS!$G13044="OR",--(COUNTIFS(nNIA,DATOS!$A13044,nCURSO,DATOS!$D13044,nESPEC,DATOS!$E13044,nASIG,DATOS!$I13044,nEVAL,"EX")=0),0))))</f>
      </c>
      <c r="H13044">
        <f>IF(DATOS!$G13044&lt;&gt;"EX",0,--(COUNTIFS(nNIA,DATOS!$A13044,nCURSO,DATOS!$D13044,nESPEC,DATOS!$E13044,nASIG,DATOS!$I13044,nEVAL,"OR")=0))</f>
      </c>
      <c r="I13044">
        <f>IF(DATOS!$I13044="","",IFERROR(VLOOKUP(DATOS!$I13044,CONFIG_ASIGNATURAS!$B$2:$J$91,9,FALSE()),""))</f>
      </c>
    </row>
    <row r="13045">
      <c r="F13045">
        <f>IF(DATOS!$A13045="","",DATOS!$A13045&amp;"|"&amp;DATOS!$D13045&amp;"|"&amp;DATOS!$E13045&amp;"|"&amp;DATOS!$I13045)</f>
      </c>
      <c r="G13045">
        <f>IF(DATOS!$A13045="",0,IF(CONFIG_METADATA!$B$4&lt;&gt;"OR+EX",--(DATOS!$G13045=CONFIG_METADATA!$B$4),IF(DATOS!$G13045="EX",1,IF(DATOS!$G13045="OR",--(COUNTIFS(nNIA,DATOS!$A13045,nCURSO,DATOS!$D13045,nESPEC,DATOS!$E13045,nASIG,DATOS!$I13045,nEVAL,"EX")=0),0))))</f>
      </c>
      <c r="H13045">
        <f>IF(DATOS!$G13045&lt;&gt;"EX",0,--(COUNTIFS(nNIA,DATOS!$A13045,nCURSO,DATOS!$D13045,nESPEC,DATOS!$E13045,nASIG,DATOS!$I13045,nEVAL,"OR")=0))</f>
      </c>
      <c r="I13045">
        <f>IF(DATOS!$I13045="","",IFERROR(VLOOKUP(DATOS!$I13045,CONFIG_ASIGNATURAS!$B$2:$J$91,9,FALSE()),""))</f>
      </c>
    </row>
    <row r="13046">
      <c r="F13046">
        <f>IF(DATOS!$A13046="","",DATOS!$A13046&amp;"|"&amp;DATOS!$D13046&amp;"|"&amp;DATOS!$E13046&amp;"|"&amp;DATOS!$I13046)</f>
      </c>
      <c r="G13046">
        <f>IF(DATOS!$A13046="",0,IF(CONFIG_METADATA!$B$4&lt;&gt;"OR+EX",--(DATOS!$G13046=CONFIG_METADATA!$B$4),IF(DATOS!$G13046="EX",1,IF(DATOS!$G13046="OR",--(COUNTIFS(nNIA,DATOS!$A13046,nCURSO,DATOS!$D13046,nESPEC,DATOS!$E13046,nASIG,DATOS!$I13046,nEVAL,"EX")=0),0))))</f>
      </c>
      <c r="H13046">
        <f>IF(DATOS!$G13046&lt;&gt;"EX",0,--(COUNTIFS(nNIA,DATOS!$A13046,nCURSO,DATOS!$D13046,nESPEC,DATOS!$E13046,nASIG,DATOS!$I13046,nEVAL,"OR")=0))</f>
      </c>
      <c r="I13046">
        <f>IF(DATOS!$I13046="","",IFERROR(VLOOKUP(DATOS!$I13046,CONFIG_ASIGNATURAS!$B$2:$J$91,9,FALSE()),""))</f>
      </c>
    </row>
    <row r="13047">
      <c r="F13047">
        <f>IF(DATOS!$A13047="","",DATOS!$A13047&amp;"|"&amp;DATOS!$D13047&amp;"|"&amp;DATOS!$E13047&amp;"|"&amp;DATOS!$I13047)</f>
      </c>
      <c r="G13047">
        <f>IF(DATOS!$A13047="",0,IF(CONFIG_METADATA!$B$4&lt;&gt;"OR+EX",--(DATOS!$G13047=CONFIG_METADATA!$B$4),IF(DATOS!$G13047="EX",1,IF(DATOS!$G13047="OR",--(COUNTIFS(nNIA,DATOS!$A13047,nCURSO,DATOS!$D13047,nESPEC,DATOS!$E13047,nASIG,DATOS!$I13047,nEVAL,"EX")=0),0))))</f>
      </c>
      <c r="H13047">
        <f>IF(DATOS!$G13047&lt;&gt;"EX",0,--(COUNTIFS(nNIA,DATOS!$A13047,nCURSO,DATOS!$D13047,nESPEC,DATOS!$E13047,nASIG,DATOS!$I13047,nEVAL,"OR")=0))</f>
      </c>
      <c r="I13047">
        <f>IF(DATOS!$I13047="","",IFERROR(VLOOKUP(DATOS!$I13047,CONFIG_ASIGNATURAS!$B$2:$J$91,9,FALSE()),""))</f>
      </c>
    </row>
    <row r="13048">
      <c r="F13048">
        <f>IF(DATOS!$A13048="","",DATOS!$A13048&amp;"|"&amp;DATOS!$D13048&amp;"|"&amp;DATOS!$E13048&amp;"|"&amp;DATOS!$I13048)</f>
      </c>
      <c r="G13048">
        <f>IF(DATOS!$A13048="",0,IF(CONFIG_METADATA!$B$4&lt;&gt;"OR+EX",--(DATOS!$G13048=CONFIG_METADATA!$B$4),IF(DATOS!$G13048="EX",1,IF(DATOS!$G13048="OR",--(COUNTIFS(nNIA,DATOS!$A13048,nCURSO,DATOS!$D13048,nESPEC,DATOS!$E13048,nASIG,DATOS!$I13048,nEVAL,"EX")=0),0))))</f>
      </c>
      <c r="H13048">
        <f>IF(DATOS!$G13048&lt;&gt;"EX",0,--(COUNTIFS(nNIA,DATOS!$A13048,nCURSO,DATOS!$D13048,nESPEC,DATOS!$E13048,nASIG,DATOS!$I13048,nEVAL,"OR")=0))</f>
      </c>
      <c r="I13048">
        <f>IF(DATOS!$I13048="","",IFERROR(VLOOKUP(DATOS!$I13048,CONFIG_ASIGNATURAS!$B$2:$J$91,9,FALSE()),""))</f>
      </c>
    </row>
    <row r="13049">
      <c r="F13049">
        <f>IF(DATOS!$A13049="","",DATOS!$A13049&amp;"|"&amp;DATOS!$D13049&amp;"|"&amp;DATOS!$E13049&amp;"|"&amp;DATOS!$I13049)</f>
      </c>
      <c r="G13049">
        <f>IF(DATOS!$A13049="",0,IF(CONFIG_METADATA!$B$4&lt;&gt;"OR+EX",--(DATOS!$G13049=CONFIG_METADATA!$B$4),IF(DATOS!$G13049="EX",1,IF(DATOS!$G13049="OR",--(COUNTIFS(nNIA,DATOS!$A13049,nCURSO,DATOS!$D13049,nESPEC,DATOS!$E13049,nASIG,DATOS!$I13049,nEVAL,"EX")=0),0))))</f>
      </c>
      <c r="H13049">
        <f>IF(DATOS!$G13049&lt;&gt;"EX",0,--(COUNTIFS(nNIA,DATOS!$A13049,nCURSO,DATOS!$D13049,nESPEC,DATOS!$E13049,nASIG,DATOS!$I13049,nEVAL,"OR")=0))</f>
      </c>
      <c r="I13049">
        <f>IF(DATOS!$I13049="","",IFERROR(VLOOKUP(DATOS!$I13049,CONFIG_ASIGNATURAS!$B$2:$J$91,9,FALSE()),""))</f>
      </c>
    </row>
    <row r="13050">
      <c r="F13050">
        <f>IF(DATOS!$A13050="","",DATOS!$A13050&amp;"|"&amp;DATOS!$D13050&amp;"|"&amp;DATOS!$E13050&amp;"|"&amp;DATOS!$I13050)</f>
      </c>
      <c r="G13050">
        <f>IF(DATOS!$A13050="",0,IF(CONFIG_METADATA!$B$4&lt;&gt;"OR+EX",--(DATOS!$G13050=CONFIG_METADATA!$B$4),IF(DATOS!$G13050="EX",1,IF(DATOS!$G13050="OR",--(COUNTIFS(nNIA,DATOS!$A13050,nCURSO,DATOS!$D13050,nESPEC,DATOS!$E13050,nASIG,DATOS!$I13050,nEVAL,"EX")=0),0))))</f>
      </c>
      <c r="H13050">
        <f>IF(DATOS!$G13050&lt;&gt;"EX",0,--(COUNTIFS(nNIA,DATOS!$A13050,nCURSO,DATOS!$D13050,nESPEC,DATOS!$E13050,nASIG,DATOS!$I13050,nEVAL,"OR")=0))</f>
      </c>
      <c r="I13050">
        <f>IF(DATOS!$I13050="","",IFERROR(VLOOKUP(DATOS!$I13050,CONFIG_ASIGNATURAS!$B$2:$J$91,9,FALSE()),""))</f>
      </c>
    </row>
    <row r="13051">
      <c r="F13051">
        <f>IF(DATOS!$A13051="","",DATOS!$A13051&amp;"|"&amp;DATOS!$D13051&amp;"|"&amp;DATOS!$E13051&amp;"|"&amp;DATOS!$I13051)</f>
      </c>
      <c r="G13051">
        <f>IF(DATOS!$A13051="",0,IF(CONFIG_METADATA!$B$4&lt;&gt;"OR+EX",--(DATOS!$G13051=CONFIG_METADATA!$B$4),IF(DATOS!$G13051="EX",1,IF(DATOS!$G13051="OR",--(COUNTIFS(nNIA,DATOS!$A13051,nCURSO,DATOS!$D13051,nESPEC,DATOS!$E13051,nASIG,DATOS!$I13051,nEVAL,"EX")=0),0))))</f>
      </c>
      <c r="H13051">
        <f>IF(DATOS!$G13051&lt;&gt;"EX",0,--(COUNTIFS(nNIA,DATOS!$A13051,nCURSO,DATOS!$D13051,nESPEC,DATOS!$E13051,nASIG,DATOS!$I13051,nEVAL,"OR")=0))</f>
      </c>
      <c r="I13051">
        <f>IF(DATOS!$I13051="","",IFERROR(VLOOKUP(DATOS!$I13051,CONFIG_ASIGNATURAS!$B$2:$J$91,9,FALSE()),""))</f>
      </c>
    </row>
    <row r="13052">
      <c r="F13052">
        <f>IF(DATOS!$A13052="","",DATOS!$A13052&amp;"|"&amp;DATOS!$D13052&amp;"|"&amp;DATOS!$E13052&amp;"|"&amp;DATOS!$I13052)</f>
      </c>
      <c r="G13052">
        <f>IF(DATOS!$A13052="",0,IF(CONFIG_METADATA!$B$4&lt;&gt;"OR+EX",--(DATOS!$G13052=CONFIG_METADATA!$B$4),IF(DATOS!$G13052="EX",1,IF(DATOS!$G13052="OR",--(COUNTIFS(nNIA,DATOS!$A13052,nCURSO,DATOS!$D13052,nESPEC,DATOS!$E13052,nASIG,DATOS!$I13052,nEVAL,"EX")=0),0))))</f>
      </c>
      <c r="H13052">
        <f>IF(DATOS!$G13052&lt;&gt;"EX",0,--(COUNTIFS(nNIA,DATOS!$A13052,nCURSO,DATOS!$D13052,nESPEC,DATOS!$E13052,nASIG,DATOS!$I13052,nEVAL,"OR")=0))</f>
      </c>
      <c r="I13052">
        <f>IF(DATOS!$I13052="","",IFERROR(VLOOKUP(DATOS!$I13052,CONFIG_ASIGNATURAS!$B$2:$J$91,9,FALSE()),""))</f>
      </c>
    </row>
    <row r="13053">
      <c r="F13053">
        <f>IF(DATOS!$A13053="","",DATOS!$A13053&amp;"|"&amp;DATOS!$D13053&amp;"|"&amp;DATOS!$E13053&amp;"|"&amp;DATOS!$I13053)</f>
      </c>
      <c r="G13053">
        <f>IF(DATOS!$A13053="",0,IF(CONFIG_METADATA!$B$4&lt;&gt;"OR+EX",--(DATOS!$G13053=CONFIG_METADATA!$B$4),IF(DATOS!$G13053="EX",1,IF(DATOS!$G13053="OR",--(COUNTIFS(nNIA,DATOS!$A13053,nCURSO,DATOS!$D13053,nESPEC,DATOS!$E13053,nASIG,DATOS!$I13053,nEVAL,"EX")=0),0))))</f>
      </c>
      <c r="H13053">
        <f>IF(DATOS!$G13053&lt;&gt;"EX",0,--(COUNTIFS(nNIA,DATOS!$A13053,nCURSO,DATOS!$D13053,nESPEC,DATOS!$E13053,nASIG,DATOS!$I13053,nEVAL,"OR")=0))</f>
      </c>
      <c r="I13053">
        <f>IF(DATOS!$I13053="","",IFERROR(VLOOKUP(DATOS!$I13053,CONFIG_ASIGNATURAS!$B$2:$J$91,9,FALSE()),""))</f>
      </c>
    </row>
    <row r="13054">
      <c r="F13054">
        <f>IF(DATOS!$A13054="","",DATOS!$A13054&amp;"|"&amp;DATOS!$D13054&amp;"|"&amp;DATOS!$E13054&amp;"|"&amp;DATOS!$I13054)</f>
      </c>
      <c r="G13054">
        <f>IF(DATOS!$A13054="",0,IF(CONFIG_METADATA!$B$4&lt;&gt;"OR+EX",--(DATOS!$G13054=CONFIG_METADATA!$B$4),IF(DATOS!$G13054="EX",1,IF(DATOS!$G13054="OR",--(COUNTIFS(nNIA,DATOS!$A13054,nCURSO,DATOS!$D13054,nESPEC,DATOS!$E13054,nASIG,DATOS!$I13054,nEVAL,"EX")=0),0))))</f>
      </c>
      <c r="H13054">
        <f>IF(DATOS!$G13054&lt;&gt;"EX",0,--(COUNTIFS(nNIA,DATOS!$A13054,nCURSO,DATOS!$D13054,nESPEC,DATOS!$E13054,nASIG,DATOS!$I13054,nEVAL,"OR")=0))</f>
      </c>
      <c r="I13054">
        <f>IF(DATOS!$I13054="","",IFERROR(VLOOKUP(DATOS!$I13054,CONFIG_ASIGNATURAS!$B$2:$J$91,9,FALSE()),""))</f>
      </c>
    </row>
    <row r="13055">
      <c r="F13055">
        <f>IF(DATOS!$A13055="","",DATOS!$A13055&amp;"|"&amp;DATOS!$D13055&amp;"|"&amp;DATOS!$E13055&amp;"|"&amp;DATOS!$I13055)</f>
      </c>
      <c r="G13055">
        <f>IF(DATOS!$A13055="",0,IF(CONFIG_METADATA!$B$4&lt;&gt;"OR+EX",--(DATOS!$G13055=CONFIG_METADATA!$B$4),IF(DATOS!$G13055="EX",1,IF(DATOS!$G13055="OR",--(COUNTIFS(nNIA,DATOS!$A13055,nCURSO,DATOS!$D13055,nESPEC,DATOS!$E13055,nASIG,DATOS!$I13055,nEVAL,"EX")=0),0))))</f>
      </c>
      <c r="H13055">
        <f>IF(DATOS!$G13055&lt;&gt;"EX",0,--(COUNTIFS(nNIA,DATOS!$A13055,nCURSO,DATOS!$D13055,nESPEC,DATOS!$E13055,nASIG,DATOS!$I13055,nEVAL,"OR")=0))</f>
      </c>
      <c r="I13055">
        <f>IF(DATOS!$I13055="","",IFERROR(VLOOKUP(DATOS!$I13055,CONFIG_ASIGNATURAS!$B$2:$J$91,9,FALSE()),""))</f>
      </c>
    </row>
    <row r="13056">
      <c r="F13056">
        <f>IF(DATOS!$A13056="","",DATOS!$A13056&amp;"|"&amp;DATOS!$D13056&amp;"|"&amp;DATOS!$E13056&amp;"|"&amp;DATOS!$I13056)</f>
      </c>
      <c r="G13056">
        <f>IF(DATOS!$A13056="",0,IF(CONFIG_METADATA!$B$4&lt;&gt;"OR+EX",--(DATOS!$G13056=CONFIG_METADATA!$B$4),IF(DATOS!$G13056="EX",1,IF(DATOS!$G13056="OR",--(COUNTIFS(nNIA,DATOS!$A13056,nCURSO,DATOS!$D13056,nESPEC,DATOS!$E13056,nASIG,DATOS!$I13056,nEVAL,"EX")=0),0))))</f>
      </c>
      <c r="H13056">
        <f>IF(DATOS!$G13056&lt;&gt;"EX",0,--(COUNTIFS(nNIA,DATOS!$A13056,nCURSO,DATOS!$D13056,nESPEC,DATOS!$E13056,nASIG,DATOS!$I13056,nEVAL,"OR")=0))</f>
      </c>
      <c r="I13056">
        <f>IF(DATOS!$I13056="","",IFERROR(VLOOKUP(DATOS!$I13056,CONFIG_ASIGNATURAS!$B$2:$J$91,9,FALSE()),""))</f>
      </c>
    </row>
    <row r="13057">
      <c r="F13057">
        <f>IF(DATOS!$A13057="","",DATOS!$A13057&amp;"|"&amp;DATOS!$D13057&amp;"|"&amp;DATOS!$E13057&amp;"|"&amp;DATOS!$I13057)</f>
      </c>
      <c r="G13057">
        <f>IF(DATOS!$A13057="",0,IF(CONFIG_METADATA!$B$4&lt;&gt;"OR+EX",--(DATOS!$G13057=CONFIG_METADATA!$B$4),IF(DATOS!$G13057="EX",1,IF(DATOS!$G13057="OR",--(COUNTIFS(nNIA,DATOS!$A13057,nCURSO,DATOS!$D13057,nESPEC,DATOS!$E13057,nASIG,DATOS!$I13057,nEVAL,"EX")=0),0))))</f>
      </c>
      <c r="H13057">
        <f>IF(DATOS!$G13057&lt;&gt;"EX",0,--(COUNTIFS(nNIA,DATOS!$A13057,nCURSO,DATOS!$D13057,nESPEC,DATOS!$E13057,nASIG,DATOS!$I13057,nEVAL,"OR")=0))</f>
      </c>
      <c r="I13057">
        <f>IF(DATOS!$I13057="","",IFERROR(VLOOKUP(DATOS!$I13057,CONFIG_ASIGNATURAS!$B$2:$J$91,9,FALSE()),""))</f>
      </c>
    </row>
    <row r="13058">
      <c r="F13058">
        <f>IF(DATOS!$A13058="","",DATOS!$A13058&amp;"|"&amp;DATOS!$D13058&amp;"|"&amp;DATOS!$E13058&amp;"|"&amp;DATOS!$I13058)</f>
      </c>
      <c r="G13058">
        <f>IF(DATOS!$A13058="",0,IF(CONFIG_METADATA!$B$4&lt;&gt;"OR+EX",--(DATOS!$G13058=CONFIG_METADATA!$B$4),IF(DATOS!$G13058="EX",1,IF(DATOS!$G13058="OR",--(COUNTIFS(nNIA,DATOS!$A13058,nCURSO,DATOS!$D13058,nESPEC,DATOS!$E13058,nASIG,DATOS!$I13058,nEVAL,"EX")=0),0))))</f>
      </c>
      <c r="H13058">
        <f>IF(DATOS!$G13058&lt;&gt;"EX",0,--(COUNTIFS(nNIA,DATOS!$A13058,nCURSO,DATOS!$D13058,nESPEC,DATOS!$E13058,nASIG,DATOS!$I13058,nEVAL,"OR")=0))</f>
      </c>
      <c r="I13058">
        <f>IF(DATOS!$I13058="","",IFERROR(VLOOKUP(DATOS!$I13058,CONFIG_ASIGNATURAS!$B$2:$J$91,9,FALSE()),""))</f>
      </c>
    </row>
    <row r="13059">
      <c r="F13059">
        <f>IF(DATOS!$A13059="","",DATOS!$A13059&amp;"|"&amp;DATOS!$D13059&amp;"|"&amp;DATOS!$E13059&amp;"|"&amp;DATOS!$I13059)</f>
      </c>
      <c r="G13059">
        <f>IF(DATOS!$A13059="",0,IF(CONFIG_METADATA!$B$4&lt;&gt;"OR+EX",--(DATOS!$G13059=CONFIG_METADATA!$B$4),IF(DATOS!$G13059="EX",1,IF(DATOS!$G13059="OR",--(COUNTIFS(nNIA,DATOS!$A13059,nCURSO,DATOS!$D13059,nESPEC,DATOS!$E13059,nASIG,DATOS!$I13059,nEVAL,"EX")=0),0))))</f>
      </c>
      <c r="H13059">
        <f>IF(DATOS!$G13059&lt;&gt;"EX",0,--(COUNTIFS(nNIA,DATOS!$A13059,nCURSO,DATOS!$D13059,nESPEC,DATOS!$E13059,nASIG,DATOS!$I13059,nEVAL,"OR")=0))</f>
      </c>
      <c r="I13059">
        <f>IF(DATOS!$I13059="","",IFERROR(VLOOKUP(DATOS!$I13059,CONFIG_ASIGNATURAS!$B$2:$J$91,9,FALSE()),""))</f>
      </c>
    </row>
    <row r="13060">
      <c r="F13060">
        <f>IF(DATOS!$A13060="","",DATOS!$A13060&amp;"|"&amp;DATOS!$D13060&amp;"|"&amp;DATOS!$E13060&amp;"|"&amp;DATOS!$I13060)</f>
      </c>
      <c r="G13060">
        <f>IF(DATOS!$A13060="",0,IF(CONFIG_METADATA!$B$4&lt;&gt;"OR+EX",--(DATOS!$G13060=CONFIG_METADATA!$B$4),IF(DATOS!$G13060="EX",1,IF(DATOS!$G13060="OR",--(COUNTIFS(nNIA,DATOS!$A13060,nCURSO,DATOS!$D13060,nESPEC,DATOS!$E13060,nASIG,DATOS!$I13060,nEVAL,"EX")=0),0))))</f>
      </c>
      <c r="H13060">
        <f>IF(DATOS!$G13060&lt;&gt;"EX",0,--(COUNTIFS(nNIA,DATOS!$A13060,nCURSO,DATOS!$D13060,nESPEC,DATOS!$E13060,nASIG,DATOS!$I13060,nEVAL,"OR")=0))</f>
      </c>
      <c r="I13060">
        <f>IF(DATOS!$I13060="","",IFERROR(VLOOKUP(DATOS!$I13060,CONFIG_ASIGNATURAS!$B$2:$J$91,9,FALSE()),""))</f>
      </c>
    </row>
    <row r="13061">
      <c r="F13061">
        <f>IF(DATOS!$A13061="","",DATOS!$A13061&amp;"|"&amp;DATOS!$D13061&amp;"|"&amp;DATOS!$E13061&amp;"|"&amp;DATOS!$I13061)</f>
      </c>
      <c r="G13061">
        <f>IF(DATOS!$A13061="",0,IF(CONFIG_METADATA!$B$4&lt;&gt;"OR+EX",--(DATOS!$G13061=CONFIG_METADATA!$B$4),IF(DATOS!$G13061="EX",1,IF(DATOS!$G13061="OR",--(COUNTIFS(nNIA,DATOS!$A13061,nCURSO,DATOS!$D13061,nESPEC,DATOS!$E13061,nASIG,DATOS!$I13061,nEVAL,"EX")=0),0))))</f>
      </c>
      <c r="H13061">
        <f>IF(DATOS!$G13061&lt;&gt;"EX",0,--(COUNTIFS(nNIA,DATOS!$A13061,nCURSO,DATOS!$D13061,nESPEC,DATOS!$E13061,nASIG,DATOS!$I13061,nEVAL,"OR")=0))</f>
      </c>
      <c r="I13061">
        <f>IF(DATOS!$I13061="","",IFERROR(VLOOKUP(DATOS!$I13061,CONFIG_ASIGNATURAS!$B$2:$J$91,9,FALSE()),""))</f>
      </c>
    </row>
    <row r="13062">
      <c r="F13062">
        <f>IF(DATOS!$A13062="","",DATOS!$A13062&amp;"|"&amp;DATOS!$D13062&amp;"|"&amp;DATOS!$E13062&amp;"|"&amp;DATOS!$I13062)</f>
      </c>
      <c r="G13062">
        <f>IF(DATOS!$A13062="",0,IF(CONFIG_METADATA!$B$4&lt;&gt;"OR+EX",--(DATOS!$G13062=CONFIG_METADATA!$B$4),IF(DATOS!$G13062="EX",1,IF(DATOS!$G13062="OR",--(COUNTIFS(nNIA,DATOS!$A13062,nCURSO,DATOS!$D13062,nESPEC,DATOS!$E13062,nASIG,DATOS!$I13062,nEVAL,"EX")=0),0))))</f>
      </c>
      <c r="H13062">
        <f>IF(DATOS!$G13062&lt;&gt;"EX",0,--(COUNTIFS(nNIA,DATOS!$A13062,nCURSO,DATOS!$D13062,nESPEC,DATOS!$E13062,nASIG,DATOS!$I13062,nEVAL,"OR")=0))</f>
      </c>
      <c r="I13062">
        <f>IF(DATOS!$I13062="","",IFERROR(VLOOKUP(DATOS!$I13062,CONFIG_ASIGNATURAS!$B$2:$J$91,9,FALSE()),""))</f>
      </c>
    </row>
    <row r="13063">
      <c r="F13063">
        <f>IF(DATOS!$A13063="","",DATOS!$A13063&amp;"|"&amp;DATOS!$D13063&amp;"|"&amp;DATOS!$E13063&amp;"|"&amp;DATOS!$I13063)</f>
      </c>
      <c r="G13063">
        <f>IF(DATOS!$A13063="",0,IF(CONFIG_METADATA!$B$4&lt;&gt;"OR+EX",--(DATOS!$G13063=CONFIG_METADATA!$B$4),IF(DATOS!$G13063="EX",1,IF(DATOS!$G13063="OR",--(COUNTIFS(nNIA,DATOS!$A13063,nCURSO,DATOS!$D13063,nESPEC,DATOS!$E13063,nASIG,DATOS!$I13063,nEVAL,"EX")=0),0))))</f>
      </c>
      <c r="H13063">
        <f>IF(DATOS!$G13063&lt;&gt;"EX",0,--(COUNTIFS(nNIA,DATOS!$A13063,nCURSO,DATOS!$D13063,nESPEC,DATOS!$E13063,nASIG,DATOS!$I13063,nEVAL,"OR")=0))</f>
      </c>
      <c r="I13063">
        <f>IF(DATOS!$I13063="","",IFERROR(VLOOKUP(DATOS!$I13063,CONFIG_ASIGNATURAS!$B$2:$J$91,9,FALSE()),""))</f>
      </c>
    </row>
    <row r="13064">
      <c r="F13064">
        <f>IF(DATOS!$A13064="","",DATOS!$A13064&amp;"|"&amp;DATOS!$D13064&amp;"|"&amp;DATOS!$E13064&amp;"|"&amp;DATOS!$I13064)</f>
      </c>
      <c r="G13064">
        <f>IF(DATOS!$A13064="",0,IF(CONFIG_METADATA!$B$4&lt;&gt;"OR+EX",--(DATOS!$G13064=CONFIG_METADATA!$B$4),IF(DATOS!$G13064="EX",1,IF(DATOS!$G13064="OR",--(COUNTIFS(nNIA,DATOS!$A13064,nCURSO,DATOS!$D13064,nESPEC,DATOS!$E13064,nASIG,DATOS!$I13064,nEVAL,"EX")=0),0))))</f>
      </c>
      <c r="H13064">
        <f>IF(DATOS!$G13064&lt;&gt;"EX",0,--(COUNTIFS(nNIA,DATOS!$A13064,nCURSO,DATOS!$D13064,nESPEC,DATOS!$E13064,nASIG,DATOS!$I13064,nEVAL,"OR")=0))</f>
      </c>
      <c r="I13064">
        <f>IF(DATOS!$I13064="","",IFERROR(VLOOKUP(DATOS!$I13064,CONFIG_ASIGNATURAS!$B$2:$J$91,9,FALSE()),""))</f>
      </c>
    </row>
    <row r="13065">
      <c r="F13065">
        <f>IF(DATOS!$A13065="","",DATOS!$A13065&amp;"|"&amp;DATOS!$D13065&amp;"|"&amp;DATOS!$E13065&amp;"|"&amp;DATOS!$I13065)</f>
      </c>
      <c r="G13065">
        <f>IF(DATOS!$A13065="",0,IF(CONFIG_METADATA!$B$4&lt;&gt;"OR+EX",--(DATOS!$G13065=CONFIG_METADATA!$B$4),IF(DATOS!$G13065="EX",1,IF(DATOS!$G13065="OR",--(COUNTIFS(nNIA,DATOS!$A13065,nCURSO,DATOS!$D13065,nESPEC,DATOS!$E13065,nASIG,DATOS!$I13065,nEVAL,"EX")=0),0))))</f>
      </c>
      <c r="H13065">
        <f>IF(DATOS!$G13065&lt;&gt;"EX",0,--(COUNTIFS(nNIA,DATOS!$A13065,nCURSO,DATOS!$D13065,nESPEC,DATOS!$E13065,nASIG,DATOS!$I13065,nEVAL,"OR")=0))</f>
      </c>
      <c r="I13065">
        <f>IF(DATOS!$I13065="","",IFERROR(VLOOKUP(DATOS!$I13065,CONFIG_ASIGNATURAS!$B$2:$J$91,9,FALSE()),""))</f>
      </c>
    </row>
    <row r="13066">
      <c r="F13066">
        <f>IF(DATOS!$A13066="","",DATOS!$A13066&amp;"|"&amp;DATOS!$D13066&amp;"|"&amp;DATOS!$E13066&amp;"|"&amp;DATOS!$I13066)</f>
      </c>
      <c r="G13066">
        <f>IF(DATOS!$A13066="",0,IF(CONFIG_METADATA!$B$4&lt;&gt;"OR+EX",--(DATOS!$G13066=CONFIG_METADATA!$B$4),IF(DATOS!$G13066="EX",1,IF(DATOS!$G13066="OR",--(COUNTIFS(nNIA,DATOS!$A13066,nCURSO,DATOS!$D13066,nESPEC,DATOS!$E13066,nASIG,DATOS!$I13066,nEVAL,"EX")=0),0))))</f>
      </c>
      <c r="H13066">
        <f>IF(DATOS!$G13066&lt;&gt;"EX",0,--(COUNTIFS(nNIA,DATOS!$A13066,nCURSO,DATOS!$D13066,nESPEC,DATOS!$E13066,nASIG,DATOS!$I13066,nEVAL,"OR")=0))</f>
      </c>
      <c r="I13066">
        <f>IF(DATOS!$I13066="","",IFERROR(VLOOKUP(DATOS!$I13066,CONFIG_ASIGNATURAS!$B$2:$J$91,9,FALSE()),""))</f>
      </c>
    </row>
    <row r="13067">
      <c r="F13067">
        <f>IF(DATOS!$A13067="","",DATOS!$A13067&amp;"|"&amp;DATOS!$D13067&amp;"|"&amp;DATOS!$E13067&amp;"|"&amp;DATOS!$I13067)</f>
      </c>
      <c r="G13067">
        <f>IF(DATOS!$A13067="",0,IF(CONFIG_METADATA!$B$4&lt;&gt;"OR+EX",--(DATOS!$G13067=CONFIG_METADATA!$B$4),IF(DATOS!$G13067="EX",1,IF(DATOS!$G13067="OR",--(COUNTIFS(nNIA,DATOS!$A13067,nCURSO,DATOS!$D13067,nESPEC,DATOS!$E13067,nASIG,DATOS!$I13067,nEVAL,"EX")=0),0))))</f>
      </c>
      <c r="H13067">
        <f>IF(DATOS!$G13067&lt;&gt;"EX",0,--(COUNTIFS(nNIA,DATOS!$A13067,nCURSO,DATOS!$D13067,nESPEC,DATOS!$E13067,nASIG,DATOS!$I13067,nEVAL,"OR")=0))</f>
      </c>
      <c r="I13067">
        <f>IF(DATOS!$I13067="","",IFERROR(VLOOKUP(DATOS!$I13067,CONFIG_ASIGNATURAS!$B$2:$J$91,9,FALSE()),""))</f>
      </c>
    </row>
    <row r="13068">
      <c r="F13068">
        <f>IF(DATOS!$A13068="","",DATOS!$A13068&amp;"|"&amp;DATOS!$D13068&amp;"|"&amp;DATOS!$E13068&amp;"|"&amp;DATOS!$I13068)</f>
      </c>
      <c r="G13068">
        <f>IF(DATOS!$A13068="",0,IF(CONFIG_METADATA!$B$4&lt;&gt;"OR+EX",--(DATOS!$G13068=CONFIG_METADATA!$B$4),IF(DATOS!$G13068="EX",1,IF(DATOS!$G13068="OR",--(COUNTIFS(nNIA,DATOS!$A13068,nCURSO,DATOS!$D13068,nESPEC,DATOS!$E13068,nASIG,DATOS!$I13068,nEVAL,"EX")=0),0))))</f>
      </c>
      <c r="H13068">
        <f>IF(DATOS!$G13068&lt;&gt;"EX",0,--(COUNTIFS(nNIA,DATOS!$A13068,nCURSO,DATOS!$D13068,nESPEC,DATOS!$E13068,nASIG,DATOS!$I13068,nEVAL,"OR")=0))</f>
      </c>
      <c r="I13068">
        <f>IF(DATOS!$I13068="","",IFERROR(VLOOKUP(DATOS!$I13068,CONFIG_ASIGNATURAS!$B$2:$J$91,9,FALSE()),""))</f>
      </c>
    </row>
    <row r="13069">
      <c r="F13069">
        <f>IF(DATOS!$A13069="","",DATOS!$A13069&amp;"|"&amp;DATOS!$D13069&amp;"|"&amp;DATOS!$E13069&amp;"|"&amp;DATOS!$I13069)</f>
      </c>
      <c r="G13069">
        <f>IF(DATOS!$A13069="",0,IF(CONFIG_METADATA!$B$4&lt;&gt;"OR+EX",--(DATOS!$G13069=CONFIG_METADATA!$B$4),IF(DATOS!$G13069="EX",1,IF(DATOS!$G13069="OR",--(COUNTIFS(nNIA,DATOS!$A13069,nCURSO,DATOS!$D13069,nESPEC,DATOS!$E13069,nASIG,DATOS!$I13069,nEVAL,"EX")=0),0))))</f>
      </c>
      <c r="H13069">
        <f>IF(DATOS!$G13069&lt;&gt;"EX",0,--(COUNTIFS(nNIA,DATOS!$A13069,nCURSO,DATOS!$D13069,nESPEC,DATOS!$E13069,nASIG,DATOS!$I13069,nEVAL,"OR")=0))</f>
      </c>
      <c r="I13069">
        <f>IF(DATOS!$I13069="","",IFERROR(VLOOKUP(DATOS!$I13069,CONFIG_ASIGNATURAS!$B$2:$J$91,9,FALSE()),""))</f>
      </c>
    </row>
    <row r="13070">
      <c r="F13070">
        <f>IF(DATOS!$A13070="","",DATOS!$A13070&amp;"|"&amp;DATOS!$D13070&amp;"|"&amp;DATOS!$E13070&amp;"|"&amp;DATOS!$I13070)</f>
      </c>
      <c r="G13070">
        <f>IF(DATOS!$A13070="",0,IF(CONFIG_METADATA!$B$4&lt;&gt;"OR+EX",--(DATOS!$G13070=CONFIG_METADATA!$B$4),IF(DATOS!$G13070="EX",1,IF(DATOS!$G13070="OR",--(COUNTIFS(nNIA,DATOS!$A13070,nCURSO,DATOS!$D13070,nESPEC,DATOS!$E13070,nASIG,DATOS!$I13070,nEVAL,"EX")=0),0))))</f>
      </c>
      <c r="H13070">
        <f>IF(DATOS!$G13070&lt;&gt;"EX",0,--(COUNTIFS(nNIA,DATOS!$A13070,nCURSO,DATOS!$D13070,nESPEC,DATOS!$E13070,nASIG,DATOS!$I13070,nEVAL,"OR")=0))</f>
      </c>
      <c r="I13070">
        <f>IF(DATOS!$I13070="","",IFERROR(VLOOKUP(DATOS!$I13070,CONFIG_ASIGNATURAS!$B$2:$J$91,9,FALSE()),""))</f>
      </c>
    </row>
    <row r="13071">
      <c r="F13071">
        <f>IF(DATOS!$A13071="","",DATOS!$A13071&amp;"|"&amp;DATOS!$D13071&amp;"|"&amp;DATOS!$E13071&amp;"|"&amp;DATOS!$I13071)</f>
      </c>
      <c r="G13071">
        <f>IF(DATOS!$A13071="",0,IF(CONFIG_METADATA!$B$4&lt;&gt;"OR+EX",--(DATOS!$G13071=CONFIG_METADATA!$B$4),IF(DATOS!$G13071="EX",1,IF(DATOS!$G13071="OR",--(COUNTIFS(nNIA,DATOS!$A13071,nCURSO,DATOS!$D13071,nESPEC,DATOS!$E13071,nASIG,DATOS!$I13071,nEVAL,"EX")=0),0))))</f>
      </c>
      <c r="H13071">
        <f>IF(DATOS!$G13071&lt;&gt;"EX",0,--(COUNTIFS(nNIA,DATOS!$A13071,nCURSO,DATOS!$D13071,nESPEC,DATOS!$E13071,nASIG,DATOS!$I13071,nEVAL,"OR")=0))</f>
      </c>
      <c r="I13071">
        <f>IF(DATOS!$I13071="","",IFERROR(VLOOKUP(DATOS!$I13071,CONFIG_ASIGNATURAS!$B$2:$J$91,9,FALSE()),""))</f>
      </c>
    </row>
    <row r="13072">
      <c r="F13072">
        <f>IF(DATOS!$A13072="","",DATOS!$A13072&amp;"|"&amp;DATOS!$D13072&amp;"|"&amp;DATOS!$E13072&amp;"|"&amp;DATOS!$I13072)</f>
      </c>
      <c r="G13072">
        <f>IF(DATOS!$A13072="",0,IF(CONFIG_METADATA!$B$4&lt;&gt;"OR+EX",--(DATOS!$G13072=CONFIG_METADATA!$B$4),IF(DATOS!$G13072="EX",1,IF(DATOS!$G13072="OR",--(COUNTIFS(nNIA,DATOS!$A13072,nCURSO,DATOS!$D13072,nESPEC,DATOS!$E13072,nASIG,DATOS!$I13072,nEVAL,"EX")=0),0))))</f>
      </c>
      <c r="H13072">
        <f>IF(DATOS!$G13072&lt;&gt;"EX",0,--(COUNTIFS(nNIA,DATOS!$A13072,nCURSO,DATOS!$D13072,nESPEC,DATOS!$E13072,nASIG,DATOS!$I13072,nEVAL,"OR")=0))</f>
      </c>
      <c r="I13072">
        <f>IF(DATOS!$I13072="","",IFERROR(VLOOKUP(DATOS!$I13072,CONFIG_ASIGNATURAS!$B$2:$J$91,9,FALSE()),""))</f>
      </c>
    </row>
    <row r="13073">
      <c r="F13073">
        <f>IF(DATOS!$A13073="","",DATOS!$A13073&amp;"|"&amp;DATOS!$D13073&amp;"|"&amp;DATOS!$E13073&amp;"|"&amp;DATOS!$I13073)</f>
      </c>
      <c r="G13073">
        <f>IF(DATOS!$A13073="",0,IF(CONFIG_METADATA!$B$4&lt;&gt;"OR+EX",--(DATOS!$G13073=CONFIG_METADATA!$B$4),IF(DATOS!$G13073="EX",1,IF(DATOS!$G13073="OR",--(COUNTIFS(nNIA,DATOS!$A13073,nCURSO,DATOS!$D13073,nESPEC,DATOS!$E13073,nASIG,DATOS!$I13073,nEVAL,"EX")=0),0))))</f>
      </c>
      <c r="H13073">
        <f>IF(DATOS!$G13073&lt;&gt;"EX",0,--(COUNTIFS(nNIA,DATOS!$A13073,nCURSO,DATOS!$D13073,nESPEC,DATOS!$E13073,nASIG,DATOS!$I13073,nEVAL,"OR")=0))</f>
      </c>
      <c r="I13073">
        <f>IF(DATOS!$I13073="","",IFERROR(VLOOKUP(DATOS!$I13073,CONFIG_ASIGNATURAS!$B$2:$J$91,9,FALSE()),""))</f>
      </c>
    </row>
    <row r="13074">
      <c r="F13074">
        <f>IF(DATOS!$A13074="","",DATOS!$A13074&amp;"|"&amp;DATOS!$D13074&amp;"|"&amp;DATOS!$E13074&amp;"|"&amp;DATOS!$I13074)</f>
      </c>
      <c r="G13074">
        <f>IF(DATOS!$A13074="",0,IF(CONFIG_METADATA!$B$4&lt;&gt;"OR+EX",--(DATOS!$G13074=CONFIG_METADATA!$B$4),IF(DATOS!$G13074="EX",1,IF(DATOS!$G13074="OR",--(COUNTIFS(nNIA,DATOS!$A13074,nCURSO,DATOS!$D13074,nESPEC,DATOS!$E13074,nASIG,DATOS!$I13074,nEVAL,"EX")=0),0))))</f>
      </c>
      <c r="H13074">
        <f>IF(DATOS!$G13074&lt;&gt;"EX",0,--(COUNTIFS(nNIA,DATOS!$A13074,nCURSO,DATOS!$D13074,nESPEC,DATOS!$E13074,nASIG,DATOS!$I13074,nEVAL,"OR")=0))</f>
      </c>
      <c r="I13074">
        <f>IF(DATOS!$I13074="","",IFERROR(VLOOKUP(DATOS!$I13074,CONFIG_ASIGNATURAS!$B$2:$J$91,9,FALSE()),""))</f>
      </c>
    </row>
    <row r="13075">
      <c r="F13075">
        <f>IF(DATOS!$A13075="","",DATOS!$A13075&amp;"|"&amp;DATOS!$D13075&amp;"|"&amp;DATOS!$E13075&amp;"|"&amp;DATOS!$I13075)</f>
      </c>
      <c r="G13075">
        <f>IF(DATOS!$A13075="",0,IF(CONFIG_METADATA!$B$4&lt;&gt;"OR+EX",--(DATOS!$G13075=CONFIG_METADATA!$B$4),IF(DATOS!$G13075="EX",1,IF(DATOS!$G13075="OR",--(COUNTIFS(nNIA,DATOS!$A13075,nCURSO,DATOS!$D13075,nESPEC,DATOS!$E13075,nASIG,DATOS!$I13075,nEVAL,"EX")=0),0))))</f>
      </c>
      <c r="H13075">
        <f>IF(DATOS!$G13075&lt;&gt;"EX",0,--(COUNTIFS(nNIA,DATOS!$A13075,nCURSO,DATOS!$D13075,nESPEC,DATOS!$E13075,nASIG,DATOS!$I13075,nEVAL,"OR")=0))</f>
      </c>
      <c r="I13075">
        <f>IF(DATOS!$I13075="","",IFERROR(VLOOKUP(DATOS!$I13075,CONFIG_ASIGNATURAS!$B$2:$J$91,9,FALSE()),""))</f>
      </c>
    </row>
    <row r="13076">
      <c r="F13076">
        <f>IF(DATOS!$A13076="","",DATOS!$A13076&amp;"|"&amp;DATOS!$D13076&amp;"|"&amp;DATOS!$E13076&amp;"|"&amp;DATOS!$I13076)</f>
      </c>
      <c r="G13076">
        <f>IF(DATOS!$A13076="",0,IF(CONFIG_METADATA!$B$4&lt;&gt;"OR+EX",--(DATOS!$G13076=CONFIG_METADATA!$B$4),IF(DATOS!$G13076="EX",1,IF(DATOS!$G13076="OR",--(COUNTIFS(nNIA,DATOS!$A13076,nCURSO,DATOS!$D13076,nESPEC,DATOS!$E13076,nASIG,DATOS!$I13076,nEVAL,"EX")=0),0))))</f>
      </c>
      <c r="H13076">
        <f>IF(DATOS!$G13076&lt;&gt;"EX",0,--(COUNTIFS(nNIA,DATOS!$A13076,nCURSO,DATOS!$D13076,nESPEC,DATOS!$E13076,nASIG,DATOS!$I13076,nEVAL,"OR")=0))</f>
      </c>
      <c r="I13076">
        <f>IF(DATOS!$I13076="","",IFERROR(VLOOKUP(DATOS!$I13076,CONFIG_ASIGNATURAS!$B$2:$J$91,9,FALSE()),""))</f>
      </c>
    </row>
    <row r="13077">
      <c r="F13077">
        <f>IF(DATOS!$A13077="","",DATOS!$A13077&amp;"|"&amp;DATOS!$D13077&amp;"|"&amp;DATOS!$E13077&amp;"|"&amp;DATOS!$I13077)</f>
      </c>
      <c r="G13077">
        <f>IF(DATOS!$A13077="",0,IF(CONFIG_METADATA!$B$4&lt;&gt;"OR+EX",--(DATOS!$G13077=CONFIG_METADATA!$B$4),IF(DATOS!$G13077="EX",1,IF(DATOS!$G13077="OR",--(COUNTIFS(nNIA,DATOS!$A13077,nCURSO,DATOS!$D13077,nESPEC,DATOS!$E13077,nASIG,DATOS!$I13077,nEVAL,"EX")=0),0))))</f>
      </c>
      <c r="H13077">
        <f>IF(DATOS!$G13077&lt;&gt;"EX",0,--(COUNTIFS(nNIA,DATOS!$A13077,nCURSO,DATOS!$D13077,nESPEC,DATOS!$E13077,nASIG,DATOS!$I13077,nEVAL,"OR")=0))</f>
      </c>
      <c r="I13077">
        <f>IF(DATOS!$I13077="","",IFERROR(VLOOKUP(DATOS!$I13077,CONFIG_ASIGNATURAS!$B$2:$J$91,9,FALSE()),""))</f>
      </c>
    </row>
    <row r="13078">
      <c r="F13078">
        <f>IF(DATOS!$A13078="","",DATOS!$A13078&amp;"|"&amp;DATOS!$D13078&amp;"|"&amp;DATOS!$E13078&amp;"|"&amp;DATOS!$I13078)</f>
      </c>
      <c r="G13078">
        <f>IF(DATOS!$A13078="",0,IF(CONFIG_METADATA!$B$4&lt;&gt;"OR+EX",--(DATOS!$G13078=CONFIG_METADATA!$B$4),IF(DATOS!$G13078="EX",1,IF(DATOS!$G13078="OR",--(COUNTIFS(nNIA,DATOS!$A13078,nCURSO,DATOS!$D13078,nESPEC,DATOS!$E13078,nASIG,DATOS!$I13078,nEVAL,"EX")=0),0))))</f>
      </c>
      <c r="H13078">
        <f>IF(DATOS!$G13078&lt;&gt;"EX",0,--(COUNTIFS(nNIA,DATOS!$A13078,nCURSO,DATOS!$D13078,nESPEC,DATOS!$E13078,nASIG,DATOS!$I13078,nEVAL,"OR")=0))</f>
      </c>
      <c r="I13078">
        <f>IF(DATOS!$I13078="","",IFERROR(VLOOKUP(DATOS!$I13078,CONFIG_ASIGNATURAS!$B$2:$J$91,9,FALSE()),""))</f>
      </c>
    </row>
    <row r="13079">
      <c r="F13079">
        <f>IF(DATOS!$A13079="","",DATOS!$A13079&amp;"|"&amp;DATOS!$D13079&amp;"|"&amp;DATOS!$E13079&amp;"|"&amp;DATOS!$I13079)</f>
      </c>
      <c r="G13079">
        <f>IF(DATOS!$A13079="",0,IF(CONFIG_METADATA!$B$4&lt;&gt;"OR+EX",--(DATOS!$G13079=CONFIG_METADATA!$B$4),IF(DATOS!$G13079="EX",1,IF(DATOS!$G13079="OR",--(COUNTIFS(nNIA,DATOS!$A13079,nCURSO,DATOS!$D13079,nESPEC,DATOS!$E13079,nASIG,DATOS!$I13079,nEVAL,"EX")=0),0))))</f>
      </c>
      <c r="H13079">
        <f>IF(DATOS!$G13079&lt;&gt;"EX",0,--(COUNTIFS(nNIA,DATOS!$A13079,nCURSO,DATOS!$D13079,nESPEC,DATOS!$E13079,nASIG,DATOS!$I13079,nEVAL,"OR")=0))</f>
      </c>
      <c r="I13079">
        <f>IF(DATOS!$I13079="","",IFERROR(VLOOKUP(DATOS!$I13079,CONFIG_ASIGNATURAS!$B$2:$J$91,9,FALSE()),""))</f>
      </c>
    </row>
    <row r="13080">
      <c r="F13080">
        <f>IF(DATOS!$A13080="","",DATOS!$A13080&amp;"|"&amp;DATOS!$D13080&amp;"|"&amp;DATOS!$E13080&amp;"|"&amp;DATOS!$I13080)</f>
      </c>
      <c r="G13080">
        <f>IF(DATOS!$A13080="",0,IF(CONFIG_METADATA!$B$4&lt;&gt;"OR+EX",--(DATOS!$G13080=CONFIG_METADATA!$B$4),IF(DATOS!$G13080="EX",1,IF(DATOS!$G13080="OR",--(COUNTIFS(nNIA,DATOS!$A13080,nCURSO,DATOS!$D13080,nESPEC,DATOS!$E13080,nASIG,DATOS!$I13080,nEVAL,"EX")=0),0))))</f>
      </c>
      <c r="H13080">
        <f>IF(DATOS!$G13080&lt;&gt;"EX",0,--(COUNTIFS(nNIA,DATOS!$A13080,nCURSO,DATOS!$D13080,nESPEC,DATOS!$E13080,nASIG,DATOS!$I13080,nEVAL,"OR")=0))</f>
      </c>
      <c r="I13080">
        <f>IF(DATOS!$I13080="","",IFERROR(VLOOKUP(DATOS!$I13080,CONFIG_ASIGNATURAS!$B$2:$J$91,9,FALSE()),""))</f>
      </c>
    </row>
    <row r="13081">
      <c r="F13081">
        <f>IF(DATOS!$A13081="","",DATOS!$A13081&amp;"|"&amp;DATOS!$D13081&amp;"|"&amp;DATOS!$E13081&amp;"|"&amp;DATOS!$I13081)</f>
      </c>
      <c r="G13081">
        <f>IF(DATOS!$A13081="",0,IF(CONFIG_METADATA!$B$4&lt;&gt;"OR+EX",--(DATOS!$G13081=CONFIG_METADATA!$B$4),IF(DATOS!$G13081="EX",1,IF(DATOS!$G13081="OR",--(COUNTIFS(nNIA,DATOS!$A13081,nCURSO,DATOS!$D13081,nESPEC,DATOS!$E13081,nASIG,DATOS!$I13081,nEVAL,"EX")=0),0))))</f>
      </c>
      <c r="H13081">
        <f>IF(DATOS!$G13081&lt;&gt;"EX",0,--(COUNTIFS(nNIA,DATOS!$A13081,nCURSO,DATOS!$D13081,nESPEC,DATOS!$E13081,nASIG,DATOS!$I13081,nEVAL,"OR")=0))</f>
      </c>
      <c r="I13081">
        <f>IF(DATOS!$I13081="","",IFERROR(VLOOKUP(DATOS!$I13081,CONFIG_ASIGNATURAS!$B$2:$J$91,9,FALSE()),""))</f>
      </c>
    </row>
    <row r="13082">
      <c r="F13082">
        <f>IF(DATOS!$A13082="","",DATOS!$A13082&amp;"|"&amp;DATOS!$D13082&amp;"|"&amp;DATOS!$E13082&amp;"|"&amp;DATOS!$I13082)</f>
      </c>
      <c r="G13082">
        <f>IF(DATOS!$A13082="",0,IF(CONFIG_METADATA!$B$4&lt;&gt;"OR+EX",--(DATOS!$G13082=CONFIG_METADATA!$B$4),IF(DATOS!$G13082="EX",1,IF(DATOS!$G13082="OR",--(COUNTIFS(nNIA,DATOS!$A13082,nCURSO,DATOS!$D13082,nESPEC,DATOS!$E13082,nASIG,DATOS!$I13082,nEVAL,"EX")=0),0))))</f>
      </c>
      <c r="H13082">
        <f>IF(DATOS!$G13082&lt;&gt;"EX",0,--(COUNTIFS(nNIA,DATOS!$A13082,nCURSO,DATOS!$D13082,nESPEC,DATOS!$E13082,nASIG,DATOS!$I13082,nEVAL,"OR")=0))</f>
      </c>
      <c r="I13082">
        <f>IF(DATOS!$I13082="","",IFERROR(VLOOKUP(DATOS!$I13082,CONFIG_ASIGNATURAS!$B$2:$J$91,9,FALSE()),""))</f>
      </c>
    </row>
    <row r="13083">
      <c r="F13083">
        <f>IF(DATOS!$A13083="","",DATOS!$A13083&amp;"|"&amp;DATOS!$D13083&amp;"|"&amp;DATOS!$E13083&amp;"|"&amp;DATOS!$I13083)</f>
      </c>
      <c r="G13083">
        <f>IF(DATOS!$A13083="",0,IF(CONFIG_METADATA!$B$4&lt;&gt;"OR+EX",--(DATOS!$G13083=CONFIG_METADATA!$B$4),IF(DATOS!$G13083="EX",1,IF(DATOS!$G13083="OR",--(COUNTIFS(nNIA,DATOS!$A13083,nCURSO,DATOS!$D13083,nESPEC,DATOS!$E13083,nASIG,DATOS!$I13083,nEVAL,"EX")=0),0))))</f>
      </c>
      <c r="H13083">
        <f>IF(DATOS!$G13083&lt;&gt;"EX",0,--(COUNTIFS(nNIA,DATOS!$A13083,nCURSO,DATOS!$D13083,nESPEC,DATOS!$E13083,nASIG,DATOS!$I13083,nEVAL,"OR")=0))</f>
      </c>
      <c r="I13083">
        <f>IF(DATOS!$I13083="","",IFERROR(VLOOKUP(DATOS!$I13083,CONFIG_ASIGNATURAS!$B$2:$J$91,9,FALSE()),""))</f>
      </c>
    </row>
    <row r="13084">
      <c r="F13084">
        <f>IF(DATOS!$A13084="","",DATOS!$A13084&amp;"|"&amp;DATOS!$D13084&amp;"|"&amp;DATOS!$E13084&amp;"|"&amp;DATOS!$I13084)</f>
      </c>
      <c r="G13084">
        <f>IF(DATOS!$A13084="",0,IF(CONFIG_METADATA!$B$4&lt;&gt;"OR+EX",--(DATOS!$G13084=CONFIG_METADATA!$B$4),IF(DATOS!$G13084="EX",1,IF(DATOS!$G13084="OR",--(COUNTIFS(nNIA,DATOS!$A13084,nCURSO,DATOS!$D13084,nESPEC,DATOS!$E13084,nASIG,DATOS!$I13084,nEVAL,"EX")=0),0))))</f>
      </c>
      <c r="H13084">
        <f>IF(DATOS!$G13084&lt;&gt;"EX",0,--(COUNTIFS(nNIA,DATOS!$A13084,nCURSO,DATOS!$D13084,nESPEC,DATOS!$E13084,nASIG,DATOS!$I13084,nEVAL,"OR")=0))</f>
      </c>
      <c r="I13084">
        <f>IF(DATOS!$I13084="","",IFERROR(VLOOKUP(DATOS!$I13084,CONFIG_ASIGNATURAS!$B$2:$J$91,9,FALSE()),""))</f>
      </c>
    </row>
    <row r="13085">
      <c r="F13085">
        <f>IF(DATOS!$A13085="","",DATOS!$A13085&amp;"|"&amp;DATOS!$D13085&amp;"|"&amp;DATOS!$E13085&amp;"|"&amp;DATOS!$I13085)</f>
      </c>
      <c r="G13085">
        <f>IF(DATOS!$A13085="",0,IF(CONFIG_METADATA!$B$4&lt;&gt;"OR+EX",--(DATOS!$G13085=CONFIG_METADATA!$B$4),IF(DATOS!$G13085="EX",1,IF(DATOS!$G13085="OR",--(COUNTIFS(nNIA,DATOS!$A13085,nCURSO,DATOS!$D13085,nESPEC,DATOS!$E13085,nASIG,DATOS!$I13085,nEVAL,"EX")=0),0))))</f>
      </c>
      <c r="H13085">
        <f>IF(DATOS!$G13085&lt;&gt;"EX",0,--(COUNTIFS(nNIA,DATOS!$A13085,nCURSO,DATOS!$D13085,nESPEC,DATOS!$E13085,nASIG,DATOS!$I13085,nEVAL,"OR")=0))</f>
      </c>
      <c r="I13085">
        <f>IF(DATOS!$I13085="","",IFERROR(VLOOKUP(DATOS!$I13085,CONFIG_ASIGNATURAS!$B$2:$J$91,9,FALSE()),""))</f>
      </c>
    </row>
    <row r="13086">
      <c r="F13086">
        <f>IF(DATOS!$A13086="","",DATOS!$A13086&amp;"|"&amp;DATOS!$D13086&amp;"|"&amp;DATOS!$E13086&amp;"|"&amp;DATOS!$I13086)</f>
      </c>
      <c r="G13086">
        <f>IF(DATOS!$A13086="",0,IF(CONFIG_METADATA!$B$4&lt;&gt;"OR+EX",--(DATOS!$G13086=CONFIG_METADATA!$B$4),IF(DATOS!$G13086="EX",1,IF(DATOS!$G13086="OR",--(COUNTIFS(nNIA,DATOS!$A13086,nCURSO,DATOS!$D13086,nESPEC,DATOS!$E13086,nASIG,DATOS!$I13086,nEVAL,"EX")=0),0))))</f>
      </c>
      <c r="H13086">
        <f>IF(DATOS!$G13086&lt;&gt;"EX",0,--(COUNTIFS(nNIA,DATOS!$A13086,nCURSO,DATOS!$D13086,nESPEC,DATOS!$E13086,nASIG,DATOS!$I13086,nEVAL,"OR")=0))</f>
      </c>
      <c r="I13086">
        <f>IF(DATOS!$I13086="","",IFERROR(VLOOKUP(DATOS!$I13086,CONFIG_ASIGNATURAS!$B$2:$J$91,9,FALSE()),""))</f>
      </c>
    </row>
    <row r="13087">
      <c r="F13087">
        <f>IF(DATOS!$A13087="","",DATOS!$A13087&amp;"|"&amp;DATOS!$D13087&amp;"|"&amp;DATOS!$E13087&amp;"|"&amp;DATOS!$I13087)</f>
      </c>
      <c r="G13087">
        <f>IF(DATOS!$A13087="",0,IF(CONFIG_METADATA!$B$4&lt;&gt;"OR+EX",--(DATOS!$G13087=CONFIG_METADATA!$B$4),IF(DATOS!$G13087="EX",1,IF(DATOS!$G13087="OR",--(COUNTIFS(nNIA,DATOS!$A13087,nCURSO,DATOS!$D13087,nESPEC,DATOS!$E13087,nASIG,DATOS!$I13087,nEVAL,"EX")=0),0))))</f>
      </c>
      <c r="H13087">
        <f>IF(DATOS!$G13087&lt;&gt;"EX",0,--(COUNTIFS(nNIA,DATOS!$A13087,nCURSO,DATOS!$D13087,nESPEC,DATOS!$E13087,nASIG,DATOS!$I13087,nEVAL,"OR")=0))</f>
      </c>
      <c r="I13087">
        <f>IF(DATOS!$I13087="","",IFERROR(VLOOKUP(DATOS!$I13087,CONFIG_ASIGNATURAS!$B$2:$J$91,9,FALSE()),""))</f>
      </c>
    </row>
    <row r="13088">
      <c r="F13088">
        <f>IF(DATOS!$A13088="","",DATOS!$A13088&amp;"|"&amp;DATOS!$D13088&amp;"|"&amp;DATOS!$E13088&amp;"|"&amp;DATOS!$I13088)</f>
      </c>
      <c r="G13088">
        <f>IF(DATOS!$A13088="",0,IF(CONFIG_METADATA!$B$4&lt;&gt;"OR+EX",--(DATOS!$G13088=CONFIG_METADATA!$B$4),IF(DATOS!$G13088="EX",1,IF(DATOS!$G13088="OR",--(COUNTIFS(nNIA,DATOS!$A13088,nCURSO,DATOS!$D13088,nESPEC,DATOS!$E13088,nASIG,DATOS!$I13088,nEVAL,"EX")=0),0))))</f>
      </c>
      <c r="H13088">
        <f>IF(DATOS!$G13088&lt;&gt;"EX",0,--(COUNTIFS(nNIA,DATOS!$A13088,nCURSO,DATOS!$D13088,nESPEC,DATOS!$E13088,nASIG,DATOS!$I13088,nEVAL,"OR")=0))</f>
      </c>
      <c r="I13088">
        <f>IF(DATOS!$I13088="","",IFERROR(VLOOKUP(DATOS!$I13088,CONFIG_ASIGNATURAS!$B$2:$J$91,9,FALSE()),""))</f>
      </c>
    </row>
    <row r="13089">
      <c r="F13089">
        <f>IF(DATOS!$A13089="","",DATOS!$A13089&amp;"|"&amp;DATOS!$D13089&amp;"|"&amp;DATOS!$E13089&amp;"|"&amp;DATOS!$I13089)</f>
      </c>
      <c r="G13089">
        <f>IF(DATOS!$A13089="",0,IF(CONFIG_METADATA!$B$4&lt;&gt;"OR+EX",--(DATOS!$G13089=CONFIG_METADATA!$B$4),IF(DATOS!$G13089="EX",1,IF(DATOS!$G13089="OR",--(COUNTIFS(nNIA,DATOS!$A13089,nCURSO,DATOS!$D13089,nESPEC,DATOS!$E13089,nASIG,DATOS!$I13089,nEVAL,"EX")=0),0))))</f>
      </c>
      <c r="H13089">
        <f>IF(DATOS!$G13089&lt;&gt;"EX",0,--(COUNTIFS(nNIA,DATOS!$A13089,nCURSO,DATOS!$D13089,nESPEC,DATOS!$E13089,nASIG,DATOS!$I13089,nEVAL,"OR")=0))</f>
      </c>
      <c r="I13089">
        <f>IF(DATOS!$I13089="","",IFERROR(VLOOKUP(DATOS!$I13089,CONFIG_ASIGNATURAS!$B$2:$J$91,9,FALSE()),""))</f>
      </c>
    </row>
    <row r="13090">
      <c r="F13090">
        <f>IF(DATOS!$A13090="","",DATOS!$A13090&amp;"|"&amp;DATOS!$D13090&amp;"|"&amp;DATOS!$E13090&amp;"|"&amp;DATOS!$I13090)</f>
      </c>
      <c r="G13090">
        <f>IF(DATOS!$A13090="",0,IF(CONFIG_METADATA!$B$4&lt;&gt;"OR+EX",--(DATOS!$G13090=CONFIG_METADATA!$B$4),IF(DATOS!$G13090="EX",1,IF(DATOS!$G13090="OR",--(COUNTIFS(nNIA,DATOS!$A13090,nCURSO,DATOS!$D13090,nESPEC,DATOS!$E13090,nASIG,DATOS!$I13090,nEVAL,"EX")=0),0))))</f>
      </c>
      <c r="H13090">
        <f>IF(DATOS!$G13090&lt;&gt;"EX",0,--(COUNTIFS(nNIA,DATOS!$A13090,nCURSO,DATOS!$D13090,nESPEC,DATOS!$E13090,nASIG,DATOS!$I13090,nEVAL,"OR")=0))</f>
      </c>
      <c r="I13090">
        <f>IF(DATOS!$I13090="","",IFERROR(VLOOKUP(DATOS!$I13090,CONFIG_ASIGNATURAS!$B$2:$J$91,9,FALSE()),""))</f>
      </c>
    </row>
    <row r="13091">
      <c r="F13091">
        <f>IF(DATOS!$A13091="","",DATOS!$A13091&amp;"|"&amp;DATOS!$D13091&amp;"|"&amp;DATOS!$E13091&amp;"|"&amp;DATOS!$I13091)</f>
      </c>
      <c r="G13091">
        <f>IF(DATOS!$A13091="",0,IF(CONFIG_METADATA!$B$4&lt;&gt;"OR+EX",--(DATOS!$G13091=CONFIG_METADATA!$B$4),IF(DATOS!$G13091="EX",1,IF(DATOS!$G13091="OR",--(COUNTIFS(nNIA,DATOS!$A13091,nCURSO,DATOS!$D13091,nESPEC,DATOS!$E13091,nASIG,DATOS!$I13091,nEVAL,"EX")=0),0))))</f>
      </c>
      <c r="H13091">
        <f>IF(DATOS!$G13091&lt;&gt;"EX",0,--(COUNTIFS(nNIA,DATOS!$A13091,nCURSO,DATOS!$D13091,nESPEC,DATOS!$E13091,nASIG,DATOS!$I13091,nEVAL,"OR")=0))</f>
      </c>
      <c r="I13091">
        <f>IF(DATOS!$I13091="","",IFERROR(VLOOKUP(DATOS!$I13091,CONFIG_ASIGNATURAS!$B$2:$J$91,9,FALSE()),""))</f>
      </c>
    </row>
    <row r="13092">
      <c r="F13092">
        <f>IF(DATOS!$A13092="","",DATOS!$A13092&amp;"|"&amp;DATOS!$D13092&amp;"|"&amp;DATOS!$E13092&amp;"|"&amp;DATOS!$I13092)</f>
      </c>
      <c r="G13092">
        <f>IF(DATOS!$A13092="",0,IF(CONFIG_METADATA!$B$4&lt;&gt;"OR+EX",--(DATOS!$G13092=CONFIG_METADATA!$B$4),IF(DATOS!$G13092="EX",1,IF(DATOS!$G13092="OR",--(COUNTIFS(nNIA,DATOS!$A13092,nCURSO,DATOS!$D13092,nESPEC,DATOS!$E13092,nASIG,DATOS!$I13092,nEVAL,"EX")=0),0))))</f>
      </c>
      <c r="H13092">
        <f>IF(DATOS!$G13092&lt;&gt;"EX",0,--(COUNTIFS(nNIA,DATOS!$A13092,nCURSO,DATOS!$D13092,nESPEC,DATOS!$E13092,nASIG,DATOS!$I13092,nEVAL,"OR")=0))</f>
      </c>
      <c r="I13092">
        <f>IF(DATOS!$I13092="","",IFERROR(VLOOKUP(DATOS!$I13092,CONFIG_ASIGNATURAS!$B$2:$J$91,9,FALSE()),""))</f>
      </c>
    </row>
    <row r="13093">
      <c r="F13093">
        <f>IF(DATOS!$A13093="","",DATOS!$A13093&amp;"|"&amp;DATOS!$D13093&amp;"|"&amp;DATOS!$E13093&amp;"|"&amp;DATOS!$I13093)</f>
      </c>
      <c r="G13093">
        <f>IF(DATOS!$A13093="",0,IF(CONFIG_METADATA!$B$4&lt;&gt;"OR+EX",--(DATOS!$G13093=CONFIG_METADATA!$B$4),IF(DATOS!$G13093="EX",1,IF(DATOS!$G13093="OR",--(COUNTIFS(nNIA,DATOS!$A13093,nCURSO,DATOS!$D13093,nESPEC,DATOS!$E13093,nASIG,DATOS!$I13093,nEVAL,"EX")=0),0))))</f>
      </c>
      <c r="H13093">
        <f>IF(DATOS!$G13093&lt;&gt;"EX",0,--(COUNTIFS(nNIA,DATOS!$A13093,nCURSO,DATOS!$D13093,nESPEC,DATOS!$E13093,nASIG,DATOS!$I13093,nEVAL,"OR")=0))</f>
      </c>
      <c r="I13093">
        <f>IF(DATOS!$I13093="","",IFERROR(VLOOKUP(DATOS!$I13093,CONFIG_ASIGNATURAS!$B$2:$J$91,9,FALSE()),""))</f>
      </c>
    </row>
    <row r="13094">
      <c r="F13094">
        <f>IF(DATOS!$A13094="","",DATOS!$A13094&amp;"|"&amp;DATOS!$D13094&amp;"|"&amp;DATOS!$E13094&amp;"|"&amp;DATOS!$I13094)</f>
      </c>
      <c r="G13094">
        <f>IF(DATOS!$A13094="",0,IF(CONFIG_METADATA!$B$4&lt;&gt;"OR+EX",--(DATOS!$G13094=CONFIG_METADATA!$B$4),IF(DATOS!$G13094="EX",1,IF(DATOS!$G13094="OR",--(COUNTIFS(nNIA,DATOS!$A13094,nCURSO,DATOS!$D13094,nESPEC,DATOS!$E13094,nASIG,DATOS!$I13094,nEVAL,"EX")=0),0))))</f>
      </c>
      <c r="H13094">
        <f>IF(DATOS!$G13094&lt;&gt;"EX",0,--(COUNTIFS(nNIA,DATOS!$A13094,nCURSO,DATOS!$D13094,nESPEC,DATOS!$E13094,nASIG,DATOS!$I13094,nEVAL,"OR")=0))</f>
      </c>
      <c r="I13094">
        <f>IF(DATOS!$I13094="","",IFERROR(VLOOKUP(DATOS!$I13094,CONFIG_ASIGNATURAS!$B$2:$J$91,9,FALSE()),""))</f>
      </c>
    </row>
    <row r="13095">
      <c r="F13095">
        <f>IF(DATOS!$A13095="","",DATOS!$A13095&amp;"|"&amp;DATOS!$D13095&amp;"|"&amp;DATOS!$E13095&amp;"|"&amp;DATOS!$I13095)</f>
      </c>
      <c r="G13095">
        <f>IF(DATOS!$A13095="",0,IF(CONFIG_METADATA!$B$4&lt;&gt;"OR+EX",--(DATOS!$G13095=CONFIG_METADATA!$B$4),IF(DATOS!$G13095="EX",1,IF(DATOS!$G13095="OR",--(COUNTIFS(nNIA,DATOS!$A13095,nCURSO,DATOS!$D13095,nESPEC,DATOS!$E13095,nASIG,DATOS!$I13095,nEVAL,"EX")=0),0))))</f>
      </c>
      <c r="H13095">
        <f>IF(DATOS!$G13095&lt;&gt;"EX",0,--(COUNTIFS(nNIA,DATOS!$A13095,nCURSO,DATOS!$D13095,nESPEC,DATOS!$E13095,nASIG,DATOS!$I13095,nEVAL,"OR")=0))</f>
      </c>
      <c r="I13095">
        <f>IF(DATOS!$I13095="","",IFERROR(VLOOKUP(DATOS!$I13095,CONFIG_ASIGNATURAS!$B$2:$J$91,9,FALSE()),""))</f>
      </c>
    </row>
    <row r="13096">
      <c r="F13096">
        <f>IF(DATOS!$A13096="","",DATOS!$A13096&amp;"|"&amp;DATOS!$D13096&amp;"|"&amp;DATOS!$E13096&amp;"|"&amp;DATOS!$I13096)</f>
      </c>
      <c r="G13096">
        <f>IF(DATOS!$A13096="",0,IF(CONFIG_METADATA!$B$4&lt;&gt;"OR+EX",--(DATOS!$G13096=CONFIG_METADATA!$B$4),IF(DATOS!$G13096="EX",1,IF(DATOS!$G13096="OR",--(COUNTIFS(nNIA,DATOS!$A13096,nCURSO,DATOS!$D13096,nESPEC,DATOS!$E13096,nASIG,DATOS!$I13096,nEVAL,"EX")=0),0))))</f>
      </c>
      <c r="H13096">
        <f>IF(DATOS!$G13096&lt;&gt;"EX",0,--(COUNTIFS(nNIA,DATOS!$A13096,nCURSO,DATOS!$D13096,nESPEC,DATOS!$E13096,nASIG,DATOS!$I13096,nEVAL,"OR")=0))</f>
      </c>
      <c r="I13096">
        <f>IF(DATOS!$I13096="","",IFERROR(VLOOKUP(DATOS!$I13096,CONFIG_ASIGNATURAS!$B$2:$J$91,9,FALSE()),""))</f>
      </c>
    </row>
    <row r="13097">
      <c r="F13097">
        <f>IF(DATOS!$A13097="","",DATOS!$A13097&amp;"|"&amp;DATOS!$D13097&amp;"|"&amp;DATOS!$E13097&amp;"|"&amp;DATOS!$I13097)</f>
      </c>
      <c r="G13097">
        <f>IF(DATOS!$A13097="",0,IF(CONFIG_METADATA!$B$4&lt;&gt;"OR+EX",--(DATOS!$G13097=CONFIG_METADATA!$B$4),IF(DATOS!$G13097="EX",1,IF(DATOS!$G13097="OR",--(COUNTIFS(nNIA,DATOS!$A13097,nCURSO,DATOS!$D13097,nESPEC,DATOS!$E13097,nASIG,DATOS!$I13097,nEVAL,"EX")=0),0))))</f>
      </c>
      <c r="H13097">
        <f>IF(DATOS!$G13097&lt;&gt;"EX",0,--(COUNTIFS(nNIA,DATOS!$A13097,nCURSO,DATOS!$D13097,nESPEC,DATOS!$E13097,nASIG,DATOS!$I13097,nEVAL,"OR")=0))</f>
      </c>
      <c r="I13097">
        <f>IF(DATOS!$I13097="","",IFERROR(VLOOKUP(DATOS!$I13097,CONFIG_ASIGNATURAS!$B$2:$J$91,9,FALSE()),""))</f>
      </c>
    </row>
    <row r="13098">
      <c r="F13098">
        <f>IF(DATOS!$A13098="","",DATOS!$A13098&amp;"|"&amp;DATOS!$D13098&amp;"|"&amp;DATOS!$E13098&amp;"|"&amp;DATOS!$I13098)</f>
      </c>
      <c r="G13098">
        <f>IF(DATOS!$A13098="",0,IF(CONFIG_METADATA!$B$4&lt;&gt;"OR+EX",--(DATOS!$G13098=CONFIG_METADATA!$B$4),IF(DATOS!$G13098="EX",1,IF(DATOS!$G13098="OR",--(COUNTIFS(nNIA,DATOS!$A13098,nCURSO,DATOS!$D13098,nESPEC,DATOS!$E13098,nASIG,DATOS!$I13098,nEVAL,"EX")=0),0))))</f>
      </c>
      <c r="H13098">
        <f>IF(DATOS!$G13098&lt;&gt;"EX",0,--(COUNTIFS(nNIA,DATOS!$A13098,nCURSO,DATOS!$D13098,nESPEC,DATOS!$E13098,nASIG,DATOS!$I13098,nEVAL,"OR")=0))</f>
      </c>
      <c r="I13098">
        <f>IF(DATOS!$I13098="","",IFERROR(VLOOKUP(DATOS!$I13098,CONFIG_ASIGNATURAS!$B$2:$J$91,9,FALSE()),""))</f>
      </c>
    </row>
    <row r="13099">
      <c r="F13099">
        <f>IF(DATOS!$A13099="","",DATOS!$A13099&amp;"|"&amp;DATOS!$D13099&amp;"|"&amp;DATOS!$E13099&amp;"|"&amp;DATOS!$I13099)</f>
      </c>
      <c r="G13099">
        <f>IF(DATOS!$A13099="",0,IF(CONFIG_METADATA!$B$4&lt;&gt;"OR+EX",--(DATOS!$G13099=CONFIG_METADATA!$B$4),IF(DATOS!$G13099="EX",1,IF(DATOS!$G13099="OR",--(COUNTIFS(nNIA,DATOS!$A13099,nCURSO,DATOS!$D13099,nESPEC,DATOS!$E13099,nASIG,DATOS!$I13099,nEVAL,"EX")=0),0))))</f>
      </c>
      <c r="H13099">
        <f>IF(DATOS!$G13099&lt;&gt;"EX",0,--(COUNTIFS(nNIA,DATOS!$A13099,nCURSO,DATOS!$D13099,nESPEC,DATOS!$E13099,nASIG,DATOS!$I13099,nEVAL,"OR")=0))</f>
      </c>
      <c r="I13099">
        <f>IF(DATOS!$I13099="","",IFERROR(VLOOKUP(DATOS!$I13099,CONFIG_ASIGNATURAS!$B$2:$J$91,9,FALSE()),""))</f>
      </c>
    </row>
    <row r="13100">
      <c r="F13100">
        <f>IF(DATOS!$A13100="","",DATOS!$A13100&amp;"|"&amp;DATOS!$D13100&amp;"|"&amp;DATOS!$E13100&amp;"|"&amp;DATOS!$I13100)</f>
      </c>
      <c r="G13100">
        <f>IF(DATOS!$A13100="",0,IF(CONFIG_METADATA!$B$4&lt;&gt;"OR+EX",--(DATOS!$G13100=CONFIG_METADATA!$B$4),IF(DATOS!$G13100="EX",1,IF(DATOS!$G13100="OR",--(COUNTIFS(nNIA,DATOS!$A13100,nCURSO,DATOS!$D13100,nESPEC,DATOS!$E13100,nASIG,DATOS!$I13100,nEVAL,"EX")=0),0))))</f>
      </c>
      <c r="H13100">
        <f>IF(DATOS!$G13100&lt;&gt;"EX",0,--(COUNTIFS(nNIA,DATOS!$A13100,nCURSO,DATOS!$D13100,nESPEC,DATOS!$E13100,nASIG,DATOS!$I13100,nEVAL,"OR")=0))</f>
      </c>
      <c r="I13100">
        <f>IF(DATOS!$I13100="","",IFERROR(VLOOKUP(DATOS!$I13100,CONFIG_ASIGNATURAS!$B$2:$J$91,9,FALSE()),""))</f>
      </c>
    </row>
    <row r="13101">
      <c r="F13101">
        <f>IF(DATOS!$A13101="","",DATOS!$A13101&amp;"|"&amp;DATOS!$D13101&amp;"|"&amp;DATOS!$E13101&amp;"|"&amp;DATOS!$I13101)</f>
      </c>
      <c r="G13101">
        <f>IF(DATOS!$A13101="",0,IF(CONFIG_METADATA!$B$4&lt;&gt;"OR+EX",--(DATOS!$G13101=CONFIG_METADATA!$B$4),IF(DATOS!$G13101="EX",1,IF(DATOS!$G13101="OR",--(COUNTIFS(nNIA,DATOS!$A13101,nCURSO,DATOS!$D13101,nESPEC,DATOS!$E13101,nASIG,DATOS!$I13101,nEVAL,"EX")=0),0))))</f>
      </c>
      <c r="H13101">
        <f>IF(DATOS!$G13101&lt;&gt;"EX",0,--(COUNTIFS(nNIA,DATOS!$A13101,nCURSO,DATOS!$D13101,nESPEC,DATOS!$E13101,nASIG,DATOS!$I13101,nEVAL,"OR")=0))</f>
      </c>
      <c r="I13101">
        <f>IF(DATOS!$I13101="","",IFERROR(VLOOKUP(DATOS!$I13101,CONFIG_ASIGNATURAS!$B$2:$J$91,9,FALSE()),""))</f>
      </c>
    </row>
    <row r="13102">
      <c r="F13102">
        <f>IF(DATOS!$A13102="","",DATOS!$A13102&amp;"|"&amp;DATOS!$D13102&amp;"|"&amp;DATOS!$E13102&amp;"|"&amp;DATOS!$I13102)</f>
      </c>
      <c r="G13102">
        <f>IF(DATOS!$A13102="",0,IF(CONFIG_METADATA!$B$4&lt;&gt;"OR+EX",--(DATOS!$G13102=CONFIG_METADATA!$B$4),IF(DATOS!$G13102="EX",1,IF(DATOS!$G13102="OR",--(COUNTIFS(nNIA,DATOS!$A13102,nCURSO,DATOS!$D13102,nESPEC,DATOS!$E13102,nASIG,DATOS!$I13102,nEVAL,"EX")=0),0))))</f>
      </c>
      <c r="H13102">
        <f>IF(DATOS!$G13102&lt;&gt;"EX",0,--(COUNTIFS(nNIA,DATOS!$A13102,nCURSO,DATOS!$D13102,nESPEC,DATOS!$E13102,nASIG,DATOS!$I13102,nEVAL,"OR")=0))</f>
      </c>
      <c r="I13102">
        <f>IF(DATOS!$I13102="","",IFERROR(VLOOKUP(DATOS!$I13102,CONFIG_ASIGNATURAS!$B$2:$J$91,9,FALSE()),""))</f>
      </c>
    </row>
    <row r="13103">
      <c r="F13103">
        <f>IF(DATOS!$A13103="","",DATOS!$A13103&amp;"|"&amp;DATOS!$D13103&amp;"|"&amp;DATOS!$E13103&amp;"|"&amp;DATOS!$I13103)</f>
      </c>
      <c r="G13103">
        <f>IF(DATOS!$A13103="",0,IF(CONFIG_METADATA!$B$4&lt;&gt;"OR+EX",--(DATOS!$G13103=CONFIG_METADATA!$B$4),IF(DATOS!$G13103="EX",1,IF(DATOS!$G13103="OR",--(COUNTIFS(nNIA,DATOS!$A13103,nCURSO,DATOS!$D13103,nESPEC,DATOS!$E13103,nASIG,DATOS!$I13103,nEVAL,"EX")=0),0))))</f>
      </c>
      <c r="H13103">
        <f>IF(DATOS!$G13103&lt;&gt;"EX",0,--(COUNTIFS(nNIA,DATOS!$A13103,nCURSO,DATOS!$D13103,nESPEC,DATOS!$E13103,nASIG,DATOS!$I13103,nEVAL,"OR")=0))</f>
      </c>
      <c r="I13103">
        <f>IF(DATOS!$I13103="","",IFERROR(VLOOKUP(DATOS!$I13103,CONFIG_ASIGNATURAS!$B$2:$J$91,9,FALSE()),""))</f>
      </c>
    </row>
    <row r="13104">
      <c r="F13104">
        <f>IF(DATOS!$A13104="","",DATOS!$A13104&amp;"|"&amp;DATOS!$D13104&amp;"|"&amp;DATOS!$E13104&amp;"|"&amp;DATOS!$I13104)</f>
      </c>
      <c r="G13104">
        <f>IF(DATOS!$A13104="",0,IF(CONFIG_METADATA!$B$4&lt;&gt;"OR+EX",--(DATOS!$G13104=CONFIG_METADATA!$B$4),IF(DATOS!$G13104="EX",1,IF(DATOS!$G13104="OR",--(COUNTIFS(nNIA,DATOS!$A13104,nCURSO,DATOS!$D13104,nESPEC,DATOS!$E13104,nASIG,DATOS!$I13104,nEVAL,"EX")=0),0))))</f>
      </c>
      <c r="H13104">
        <f>IF(DATOS!$G13104&lt;&gt;"EX",0,--(COUNTIFS(nNIA,DATOS!$A13104,nCURSO,DATOS!$D13104,nESPEC,DATOS!$E13104,nASIG,DATOS!$I13104,nEVAL,"OR")=0))</f>
      </c>
      <c r="I13104">
        <f>IF(DATOS!$I13104="","",IFERROR(VLOOKUP(DATOS!$I13104,CONFIG_ASIGNATURAS!$B$2:$J$91,9,FALSE()),""))</f>
      </c>
    </row>
    <row r="13105">
      <c r="F13105">
        <f>IF(DATOS!$A13105="","",DATOS!$A13105&amp;"|"&amp;DATOS!$D13105&amp;"|"&amp;DATOS!$E13105&amp;"|"&amp;DATOS!$I13105)</f>
      </c>
      <c r="G13105">
        <f>IF(DATOS!$A13105="",0,IF(CONFIG_METADATA!$B$4&lt;&gt;"OR+EX",--(DATOS!$G13105=CONFIG_METADATA!$B$4),IF(DATOS!$G13105="EX",1,IF(DATOS!$G13105="OR",--(COUNTIFS(nNIA,DATOS!$A13105,nCURSO,DATOS!$D13105,nESPEC,DATOS!$E13105,nASIG,DATOS!$I13105,nEVAL,"EX")=0),0))))</f>
      </c>
      <c r="H13105">
        <f>IF(DATOS!$G13105&lt;&gt;"EX",0,--(COUNTIFS(nNIA,DATOS!$A13105,nCURSO,DATOS!$D13105,nESPEC,DATOS!$E13105,nASIG,DATOS!$I13105,nEVAL,"OR")=0))</f>
      </c>
      <c r="I13105">
        <f>IF(DATOS!$I13105="","",IFERROR(VLOOKUP(DATOS!$I13105,CONFIG_ASIGNATURAS!$B$2:$J$91,9,FALSE()),""))</f>
      </c>
    </row>
    <row r="13106">
      <c r="F13106">
        <f>IF(DATOS!$A13106="","",DATOS!$A13106&amp;"|"&amp;DATOS!$D13106&amp;"|"&amp;DATOS!$E13106&amp;"|"&amp;DATOS!$I13106)</f>
      </c>
      <c r="G13106">
        <f>IF(DATOS!$A13106="",0,IF(CONFIG_METADATA!$B$4&lt;&gt;"OR+EX",--(DATOS!$G13106=CONFIG_METADATA!$B$4),IF(DATOS!$G13106="EX",1,IF(DATOS!$G13106="OR",--(COUNTIFS(nNIA,DATOS!$A13106,nCURSO,DATOS!$D13106,nESPEC,DATOS!$E13106,nASIG,DATOS!$I13106,nEVAL,"EX")=0),0))))</f>
      </c>
      <c r="H13106">
        <f>IF(DATOS!$G13106&lt;&gt;"EX",0,--(COUNTIFS(nNIA,DATOS!$A13106,nCURSO,DATOS!$D13106,nESPEC,DATOS!$E13106,nASIG,DATOS!$I13106,nEVAL,"OR")=0))</f>
      </c>
      <c r="I13106">
        <f>IF(DATOS!$I13106="","",IFERROR(VLOOKUP(DATOS!$I13106,CONFIG_ASIGNATURAS!$B$2:$J$91,9,FALSE()),""))</f>
      </c>
    </row>
    <row r="13107">
      <c r="F13107">
        <f>IF(DATOS!$A13107="","",DATOS!$A13107&amp;"|"&amp;DATOS!$D13107&amp;"|"&amp;DATOS!$E13107&amp;"|"&amp;DATOS!$I13107)</f>
      </c>
      <c r="G13107">
        <f>IF(DATOS!$A13107="",0,IF(CONFIG_METADATA!$B$4&lt;&gt;"OR+EX",--(DATOS!$G13107=CONFIG_METADATA!$B$4),IF(DATOS!$G13107="EX",1,IF(DATOS!$G13107="OR",--(COUNTIFS(nNIA,DATOS!$A13107,nCURSO,DATOS!$D13107,nESPEC,DATOS!$E13107,nASIG,DATOS!$I13107,nEVAL,"EX")=0),0))))</f>
      </c>
      <c r="H13107">
        <f>IF(DATOS!$G13107&lt;&gt;"EX",0,--(COUNTIFS(nNIA,DATOS!$A13107,nCURSO,DATOS!$D13107,nESPEC,DATOS!$E13107,nASIG,DATOS!$I13107,nEVAL,"OR")=0))</f>
      </c>
      <c r="I13107">
        <f>IF(DATOS!$I13107="","",IFERROR(VLOOKUP(DATOS!$I13107,CONFIG_ASIGNATURAS!$B$2:$J$91,9,FALSE()),""))</f>
      </c>
    </row>
    <row r="13108">
      <c r="F13108">
        <f>IF(DATOS!$A13108="","",DATOS!$A13108&amp;"|"&amp;DATOS!$D13108&amp;"|"&amp;DATOS!$E13108&amp;"|"&amp;DATOS!$I13108)</f>
      </c>
      <c r="G13108">
        <f>IF(DATOS!$A13108="",0,IF(CONFIG_METADATA!$B$4&lt;&gt;"OR+EX",--(DATOS!$G13108=CONFIG_METADATA!$B$4),IF(DATOS!$G13108="EX",1,IF(DATOS!$G13108="OR",--(COUNTIFS(nNIA,DATOS!$A13108,nCURSO,DATOS!$D13108,nESPEC,DATOS!$E13108,nASIG,DATOS!$I13108,nEVAL,"EX")=0),0))))</f>
      </c>
      <c r="H13108">
        <f>IF(DATOS!$G13108&lt;&gt;"EX",0,--(COUNTIFS(nNIA,DATOS!$A13108,nCURSO,DATOS!$D13108,nESPEC,DATOS!$E13108,nASIG,DATOS!$I13108,nEVAL,"OR")=0))</f>
      </c>
      <c r="I13108">
        <f>IF(DATOS!$I13108="","",IFERROR(VLOOKUP(DATOS!$I13108,CONFIG_ASIGNATURAS!$B$2:$J$91,9,FALSE()),""))</f>
      </c>
    </row>
    <row r="13109">
      <c r="F13109">
        <f>IF(DATOS!$A13109="","",DATOS!$A13109&amp;"|"&amp;DATOS!$D13109&amp;"|"&amp;DATOS!$E13109&amp;"|"&amp;DATOS!$I13109)</f>
      </c>
      <c r="G13109">
        <f>IF(DATOS!$A13109="",0,IF(CONFIG_METADATA!$B$4&lt;&gt;"OR+EX",--(DATOS!$G13109=CONFIG_METADATA!$B$4),IF(DATOS!$G13109="EX",1,IF(DATOS!$G13109="OR",--(COUNTIFS(nNIA,DATOS!$A13109,nCURSO,DATOS!$D13109,nESPEC,DATOS!$E13109,nASIG,DATOS!$I13109,nEVAL,"EX")=0),0))))</f>
      </c>
      <c r="H13109">
        <f>IF(DATOS!$G13109&lt;&gt;"EX",0,--(COUNTIFS(nNIA,DATOS!$A13109,nCURSO,DATOS!$D13109,nESPEC,DATOS!$E13109,nASIG,DATOS!$I13109,nEVAL,"OR")=0))</f>
      </c>
      <c r="I13109">
        <f>IF(DATOS!$I13109="","",IFERROR(VLOOKUP(DATOS!$I13109,CONFIG_ASIGNATURAS!$B$2:$J$91,9,FALSE()),""))</f>
      </c>
    </row>
    <row r="13110">
      <c r="F13110">
        <f>IF(DATOS!$A13110="","",DATOS!$A13110&amp;"|"&amp;DATOS!$D13110&amp;"|"&amp;DATOS!$E13110&amp;"|"&amp;DATOS!$I13110)</f>
      </c>
      <c r="G13110">
        <f>IF(DATOS!$A13110="",0,IF(CONFIG_METADATA!$B$4&lt;&gt;"OR+EX",--(DATOS!$G13110=CONFIG_METADATA!$B$4),IF(DATOS!$G13110="EX",1,IF(DATOS!$G13110="OR",--(COUNTIFS(nNIA,DATOS!$A13110,nCURSO,DATOS!$D13110,nESPEC,DATOS!$E13110,nASIG,DATOS!$I13110,nEVAL,"EX")=0),0))))</f>
      </c>
      <c r="H13110">
        <f>IF(DATOS!$G13110&lt;&gt;"EX",0,--(COUNTIFS(nNIA,DATOS!$A13110,nCURSO,DATOS!$D13110,nESPEC,DATOS!$E13110,nASIG,DATOS!$I13110,nEVAL,"OR")=0))</f>
      </c>
      <c r="I13110">
        <f>IF(DATOS!$I13110="","",IFERROR(VLOOKUP(DATOS!$I13110,CONFIG_ASIGNATURAS!$B$2:$J$91,9,FALSE()),""))</f>
      </c>
    </row>
    <row r="13111">
      <c r="F13111">
        <f>IF(DATOS!$A13111="","",DATOS!$A13111&amp;"|"&amp;DATOS!$D13111&amp;"|"&amp;DATOS!$E13111&amp;"|"&amp;DATOS!$I13111)</f>
      </c>
      <c r="G13111">
        <f>IF(DATOS!$A13111="",0,IF(CONFIG_METADATA!$B$4&lt;&gt;"OR+EX",--(DATOS!$G13111=CONFIG_METADATA!$B$4),IF(DATOS!$G13111="EX",1,IF(DATOS!$G13111="OR",--(COUNTIFS(nNIA,DATOS!$A13111,nCURSO,DATOS!$D13111,nESPEC,DATOS!$E13111,nASIG,DATOS!$I13111,nEVAL,"EX")=0),0))))</f>
      </c>
      <c r="H13111">
        <f>IF(DATOS!$G13111&lt;&gt;"EX",0,--(COUNTIFS(nNIA,DATOS!$A13111,nCURSO,DATOS!$D13111,nESPEC,DATOS!$E13111,nASIG,DATOS!$I13111,nEVAL,"OR")=0))</f>
      </c>
      <c r="I13111">
        <f>IF(DATOS!$I13111="","",IFERROR(VLOOKUP(DATOS!$I13111,CONFIG_ASIGNATURAS!$B$2:$J$91,9,FALSE()),""))</f>
      </c>
    </row>
    <row r="13112">
      <c r="F13112">
        <f>IF(DATOS!$A13112="","",DATOS!$A13112&amp;"|"&amp;DATOS!$D13112&amp;"|"&amp;DATOS!$E13112&amp;"|"&amp;DATOS!$I13112)</f>
      </c>
      <c r="G13112">
        <f>IF(DATOS!$A13112="",0,IF(CONFIG_METADATA!$B$4&lt;&gt;"OR+EX",--(DATOS!$G13112=CONFIG_METADATA!$B$4),IF(DATOS!$G13112="EX",1,IF(DATOS!$G13112="OR",--(COUNTIFS(nNIA,DATOS!$A13112,nCURSO,DATOS!$D13112,nESPEC,DATOS!$E13112,nASIG,DATOS!$I13112,nEVAL,"EX")=0),0))))</f>
      </c>
      <c r="H13112">
        <f>IF(DATOS!$G13112&lt;&gt;"EX",0,--(COUNTIFS(nNIA,DATOS!$A13112,nCURSO,DATOS!$D13112,nESPEC,DATOS!$E13112,nASIG,DATOS!$I13112,nEVAL,"OR")=0))</f>
      </c>
      <c r="I13112">
        <f>IF(DATOS!$I13112="","",IFERROR(VLOOKUP(DATOS!$I13112,CONFIG_ASIGNATURAS!$B$2:$J$91,9,FALSE()),""))</f>
      </c>
    </row>
    <row r="13113">
      <c r="F13113">
        <f>IF(DATOS!$A13113="","",DATOS!$A13113&amp;"|"&amp;DATOS!$D13113&amp;"|"&amp;DATOS!$E13113&amp;"|"&amp;DATOS!$I13113)</f>
      </c>
      <c r="G13113">
        <f>IF(DATOS!$A13113="",0,IF(CONFIG_METADATA!$B$4&lt;&gt;"OR+EX",--(DATOS!$G13113=CONFIG_METADATA!$B$4),IF(DATOS!$G13113="EX",1,IF(DATOS!$G13113="OR",--(COUNTIFS(nNIA,DATOS!$A13113,nCURSO,DATOS!$D13113,nESPEC,DATOS!$E13113,nASIG,DATOS!$I13113,nEVAL,"EX")=0),0))))</f>
      </c>
      <c r="H13113">
        <f>IF(DATOS!$G13113&lt;&gt;"EX",0,--(COUNTIFS(nNIA,DATOS!$A13113,nCURSO,DATOS!$D13113,nESPEC,DATOS!$E13113,nASIG,DATOS!$I13113,nEVAL,"OR")=0))</f>
      </c>
      <c r="I13113">
        <f>IF(DATOS!$I13113="","",IFERROR(VLOOKUP(DATOS!$I13113,CONFIG_ASIGNATURAS!$B$2:$J$91,9,FALSE()),""))</f>
      </c>
    </row>
    <row r="13114">
      <c r="F13114">
        <f>IF(DATOS!$A13114="","",DATOS!$A13114&amp;"|"&amp;DATOS!$D13114&amp;"|"&amp;DATOS!$E13114&amp;"|"&amp;DATOS!$I13114)</f>
      </c>
      <c r="G13114">
        <f>IF(DATOS!$A13114="",0,IF(CONFIG_METADATA!$B$4&lt;&gt;"OR+EX",--(DATOS!$G13114=CONFIG_METADATA!$B$4),IF(DATOS!$G13114="EX",1,IF(DATOS!$G13114="OR",--(COUNTIFS(nNIA,DATOS!$A13114,nCURSO,DATOS!$D13114,nESPEC,DATOS!$E13114,nASIG,DATOS!$I13114,nEVAL,"EX")=0),0))))</f>
      </c>
      <c r="H13114">
        <f>IF(DATOS!$G13114&lt;&gt;"EX",0,--(COUNTIFS(nNIA,DATOS!$A13114,nCURSO,DATOS!$D13114,nESPEC,DATOS!$E13114,nASIG,DATOS!$I13114,nEVAL,"OR")=0))</f>
      </c>
      <c r="I13114">
        <f>IF(DATOS!$I13114="","",IFERROR(VLOOKUP(DATOS!$I13114,CONFIG_ASIGNATURAS!$B$2:$J$91,9,FALSE()),""))</f>
      </c>
    </row>
    <row r="13115">
      <c r="F13115">
        <f>IF(DATOS!$A13115="","",DATOS!$A13115&amp;"|"&amp;DATOS!$D13115&amp;"|"&amp;DATOS!$E13115&amp;"|"&amp;DATOS!$I13115)</f>
      </c>
      <c r="G13115">
        <f>IF(DATOS!$A13115="",0,IF(CONFIG_METADATA!$B$4&lt;&gt;"OR+EX",--(DATOS!$G13115=CONFIG_METADATA!$B$4),IF(DATOS!$G13115="EX",1,IF(DATOS!$G13115="OR",--(COUNTIFS(nNIA,DATOS!$A13115,nCURSO,DATOS!$D13115,nESPEC,DATOS!$E13115,nASIG,DATOS!$I13115,nEVAL,"EX")=0),0))))</f>
      </c>
      <c r="H13115">
        <f>IF(DATOS!$G13115&lt;&gt;"EX",0,--(COUNTIFS(nNIA,DATOS!$A13115,nCURSO,DATOS!$D13115,nESPEC,DATOS!$E13115,nASIG,DATOS!$I13115,nEVAL,"OR")=0))</f>
      </c>
      <c r="I13115">
        <f>IF(DATOS!$I13115="","",IFERROR(VLOOKUP(DATOS!$I13115,CONFIG_ASIGNATURAS!$B$2:$J$91,9,FALSE()),""))</f>
      </c>
    </row>
    <row r="13116">
      <c r="F13116">
        <f>IF(DATOS!$A13116="","",DATOS!$A13116&amp;"|"&amp;DATOS!$D13116&amp;"|"&amp;DATOS!$E13116&amp;"|"&amp;DATOS!$I13116)</f>
      </c>
      <c r="G13116">
        <f>IF(DATOS!$A13116="",0,IF(CONFIG_METADATA!$B$4&lt;&gt;"OR+EX",--(DATOS!$G13116=CONFIG_METADATA!$B$4),IF(DATOS!$G13116="EX",1,IF(DATOS!$G13116="OR",--(COUNTIFS(nNIA,DATOS!$A13116,nCURSO,DATOS!$D13116,nESPEC,DATOS!$E13116,nASIG,DATOS!$I13116,nEVAL,"EX")=0),0))))</f>
      </c>
      <c r="H13116">
        <f>IF(DATOS!$G13116&lt;&gt;"EX",0,--(COUNTIFS(nNIA,DATOS!$A13116,nCURSO,DATOS!$D13116,nESPEC,DATOS!$E13116,nASIG,DATOS!$I13116,nEVAL,"OR")=0))</f>
      </c>
      <c r="I13116">
        <f>IF(DATOS!$I13116="","",IFERROR(VLOOKUP(DATOS!$I13116,CONFIG_ASIGNATURAS!$B$2:$J$91,9,FALSE()),""))</f>
      </c>
    </row>
    <row r="13117">
      <c r="F13117">
        <f>IF(DATOS!$A13117="","",DATOS!$A13117&amp;"|"&amp;DATOS!$D13117&amp;"|"&amp;DATOS!$E13117&amp;"|"&amp;DATOS!$I13117)</f>
      </c>
      <c r="G13117">
        <f>IF(DATOS!$A13117="",0,IF(CONFIG_METADATA!$B$4&lt;&gt;"OR+EX",--(DATOS!$G13117=CONFIG_METADATA!$B$4),IF(DATOS!$G13117="EX",1,IF(DATOS!$G13117="OR",--(COUNTIFS(nNIA,DATOS!$A13117,nCURSO,DATOS!$D13117,nESPEC,DATOS!$E13117,nASIG,DATOS!$I13117,nEVAL,"EX")=0),0))))</f>
      </c>
      <c r="H13117">
        <f>IF(DATOS!$G13117&lt;&gt;"EX",0,--(COUNTIFS(nNIA,DATOS!$A13117,nCURSO,DATOS!$D13117,nESPEC,DATOS!$E13117,nASIG,DATOS!$I13117,nEVAL,"OR")=0))</f>
      </c>
      <c r="I13117">
        <f>IF(DATOS!$I13117="","",IFERROR(VLOOKUP(DATOS!$I13117,CONFIG_ASIGNATURAS!$B$2:$J$91,9,FALSE()),""))</f>
      </c>
    </row>
    <row r="13118">
      <c r="F13118">
        <f>IF(DATOS!$A13118="","",DATOS!$A13118&amp;"|"&amp;DATOS!$D13118&amp;"|"&amp;DATOS!$E13118&amp;"|"&amp;DATOS!$I13118)</f>
      </c>
      <c r="G13118">
        <f>IF(DATOS!$A13118="",0,IF(CONFIG_METADATA!$B$4&lt;&gt;"OR+EX",--(DATOS!$G13118=CONFIG_METADATA!$B$4),IF(DATOS!$G13118="EX",1,IF(DATOS!$G13118="OR",--(COUNTIFS(nNIA,DATOS!$A13118,nCURSO,DATOS!$D13118,nESPEC,DATOS!$E13118,nASIG,DATOS!$I13118,nEVAL,"EX")=0),0))))</f>
      </c>
      <c r="H13118">
        <f>IF(DATOS!$G13118&lt;&gt;"EX",0,--(COUNTIFS(nNIA,DATOS!$A13118,nCURSO,DATOS!$D13118,nESPEC,DATOS!$E13118,nASIG,DATOS!$I13118,nEVAL,"OR")=0))</f>
      </c>
      <c r="I13118">
        <f>IF(DATOS!$I13118="","",IFERROR(VLOOKUP(DATOS!$I13118,CONFIG_ASIGNATURAS!$B$2:$J$91,9,FALSE()),""))</f>
      </c>
    </row>
    <row r="13119">
      <c r="F13119">
        <f>IF(DATOS!$A13119="","",DATOS!$A13119&amp;"|"&amp;DATOS!$D13119&amp;"|"&amp;DATOS!$E13119&amp;"|"&amp;DATOS!$I13119)</f>
      </c>
      <c r="G13119">
        <f>IF(DATOS!$A13119="",0,IF(CONFIG_METADATA!$B$4&lt;&gt;"OR+EX",--(DATOS!$G13119=CONFIG_METADATA!$B$4),IF(DATOS!$G13119="EX",1,IF(DATOS!$G13119="OR",--(COUNTIFS(nNIA,DATOS!$A13119,nCURSO,DATOS!$D13119,nESPEC,DATOS!$E13119,nASIG,DATOS!$I13119,nEVAL,"EX")=0),0))))</f>
      </c>
      <c r="H13119">
        <f>IF(DATOS!$G13119&lt;&gt;"EX",0,--(COUNTIFS(nNIA,DATOS!$A13119,nCURSO,DATOS!$D13119,nESPEC,DATOS!$E13119,nASIG,DATOS!$I13119,nEVAL,"OR")=0))</f>
      </c>
      <c r="I13119">
        <f>IF(DATOS!$I13119="","",IFERROR(VLOOKUP(DATOS!$I13119,CONFIG_ASIGNATURAS!$B$2:$J$91,9,FALSE()),""))</f>
      </c>
    </row>
    <row r="13120">
      <c r="F13120">
        <f>IF(DATOS!$A13120="","",DATOS!$A13120&amp;"|"&amp;DATOS!$D13120&amp;"|"&amp;DATOS!$E13120&amp;"|"&amp;DATOS!$I13120)</f>
      </c>
      <c r="G13120">
        <f>IF(DATOS!$A13120="",0,IF(CONFIG_METADATA!$B$4&lt;&gt;"OR+EX",--(DATOS!$G13120=CONFIG_METADATA!$B$4),IF(DATOS!$G13120="EX",1,IF(DATOS!$G13120="OR",--(COUNTIFS(nNIA,DATOS!$A13120,nCURSO,DATOS!$D13120,nESPEC,DATOS!$E13120,nASIG,DATOS!$I13120,nEVAL,"EX")=0),0))))</f>
      </c>
      <c r="H13120">
        <f>IF(DATOS!$G13120&lt;&gt;"EX",0,--(COUNTIFS(nNIA,DATOS!$A13120,nCURSO,DATOS!$D13120,nESPEC,DATOS!$E13120,nASIG,DATOS!$I13120,nEVAL,"OR")=0))</f>
      </c>
      <c r="I13120">
        <f>IF(DATOS!$I13120="","",IFERROR(VLOOKUP(DATOS!$I13120,CONFIG_ASIGNATURAS!$B$2:$J$91,9,FALSE()),""))</f>
      </c>
    </row>
    <row r="13121">
      <c r="F13121">
        <f>IF(DATOS!$A13121="","",DATOS!$A13121&amp;"|"&amp;DATOS!$D13121&amp;"|"&amp;DATOS!$E13121&amp;"|"&amp;DATOS!$I13121)</f>
      </c>
      <c r="G13121">
        <f>IF(DATOS!$A13121="",0,IF(CONFIG_METADATA!$B$4&lt;&gt;"OR+EX",--(DATOS!$G13121=CONFIG_METADATA!$B$4),IF(DATOS!$G13121="EX",1,IF(DATOS!$G13121="OR",--(COUNTIFS(nNIA,DATOS!$A13121,nCURSO,DATOS!$D13121,nESPEC,DATOS!$E13121,nASIG,DATOS!$I13121,nEVAL,"EX")=0),0))))</f>
      </c>
      <c r="H13121">
        <f>IF(DATOS!$G13121&lt;&gt;"EX",0,--(COUNTIFS(nNIA,DATOS!$A13121,nCURSO,DATOS!$D13121,nESPEC,DATOS!$E13121,nASIG,DATOS!$I13121,nEVAL,"OR")=0))</f>
      </c>
      <c r="I13121">
        <f>IF(DATOS!$I13121="","",IFERROR(VLOOKUP(DATOS!$I13121,CONFIG_ASIGNATURAS!$B$2:$J$91,9,FALSE()),""))</f>
      </c>
    </row>
    <row r="13122">
      <c r="F13122">
        <f>IF(DATOS!$A13122="","",DATOS!$A13122&amp;"|"&amp;DATOS!$D13122&amp;"|"&amp;DATOS!$E13122&amp;"|"&amp;DATOS!$I13122)</f>
      </c>
      <c r="G13122">
        <f>IF(DATOS!$A13122="",0,IF(CONFIG_METADATA!$B$4&lt;&gt;"OR+EX",--(DATOS!$G13122=CONFIG_METADATA!$B$4),IF(DATOS!$G13122="EX",1,IF(DATOS!$G13122="OR",--(COUNTIFS(nNIA,DATOS!$A13122,nCURSO,DATOS!$D13122,nESPEC,DATOS!$E13122,nASIG,DATOS!$I13122,nEVAL,"EX")=0),0))))</f>
      </c>
      <c r="H13122">
        <f>IF(DATOS!$G13122&lt;&gt;"EX",0,--(COUNTIFS(nNIA,DATOS!$A13122,nCURSO,DATOS!$D13122,nESPEC,DATOS!$E13122,nASIG,DATOS!$I13122,nEVAL,"OR")=0))</f>
      </c>
      <c r="I13122">
        <f>IF(DATOS!$I13122="","",IFERROR(VLOOKUP(DATOS!$I13122,CONFIG_ASIGNATURAS!$B$2:$J$91,9,FALSE()),""))</f>
      </c>
    </row>
    <row r="13123">
      <c r="F13123">
        <f>IF(DATOS!$A13123="","",DATOS!$A13123&amp;"|"&amp;DATOS!$D13123&amp;"|"&amp;DATOS!$E13123&amp;"|"&amp;DATOS!$I13123)</f>
      </c>
      <c r="G13123">
        <f>IF(DATOS!$A13123="",0,IF(CONFIG_METADATA!$B$4&lt;&gt;"OR+EX",--(DATOS!$G13123=CONFIG_METADATA!$B$4),IF(DATOS!$G13123="EX",1,IF(DATOS!$G13123="OR",--(COUNTIFS(nNIA,DATOS!$A13123,nCURSO,DATOS!$D13123,nESPEC,DATOS!$E13123,nASIG,DATOS!$I13123,nEVAL,"EX")=0),0))))</f>
      </c>
      <c r="H13123">
        <f>IF(DATOS!$G13123&lt;&gt;"EX",0,--(COUNTIFS(nNIA,DATOS!$A13123,nCURSO,DATOS!$D13123,nESPEC,DATOS!$E13123,nASIG,DATOS!$I13123,nEVAL,"OR")=0))</f>
      </c>
      <c r="I13123">
        <f>IF(DATOS!$I13123="","",IFERROR(VLOOKUP(DATOS!$I13123,CONFIG_ASIGNATURAS!$B$2:$J$91,9,FALSE()),""))</f>
      </c>
    </row>
    <row r="13124">
      <c r="F13124">
        <f>IF(DATOS!$A13124="","",DATOS!$A13124&amp;"|"&amp;DATOS!$D13124&amp;"|"&amp;DATOS!$E13124&amp;"|"&amp;DATOS!$I13124)</f>
      </c>
      <c r="G13124">
        <f>IF(DATOS!$A13124="",0,IF(CONFIG_METADATA!$B$4&lt;&gt;"OR+EX",--(DATOS!$G13124=CONFIG_METADATA!$B$4),IF(DATOS!$G13124="EX",1,IF(DATOS!$G13124="OR",--(COUNTIFS(nNIA,DATOS!$A13124,nCURSO,DATOS!$D13124,nESPEC,DATOS!$E13124,nASIG,DATOS!$I13124,nEVAL,"EX")=0),0))))</f>
      </c>
      <c r="H13124">
        <f>IF(DATOS!$G13124&lt;&gt;"EX",0,--(COUNTIFS(nNIA,DATOS!$A13124,nCURSO,DATOS!$D13124,nESPEC,DATOS!$E13124,nASIG,DATOS!$I13124,nEVAL,"OR")=0))</f>
      </c>
      <c r="I13124">
        <f>IF(DATOS!$I13124="","",IFERROR(VLOOKUP(DATOS!$I13124,CONFIG_ASIGNATURAS!$B$2:$J$91,9,FALSE()),""))</f>
      </c>
    </row>
    <row r="13125">
      <c r="F13125">
        <f>IF(DATOS!$A13125="","",DATOS!$A13125&amp;"|"&amp;DATOS!$D13125&amp;"|"&amp;DATOS!$E13125&amp;"|"&amp;DATOS!$I13125)</f>
      </c>
      <c r="G13125">
        <f>IF(DATOS!$A13125="",0,IF(CONFIG_METADATA!$B$4&lt;&gt;"OR+EX",--(DATOS!$G13125=CONFIG_METADATA!$B$4),IF(DATOS!$G13125="EX",1,IF(DATOS!$G13125="OR",--(COUNTIFS(nNIA,DATOS!$A13125,nCURSO,DATOS!$D13125,nESPEC,DATOS!$E13125,nASIG,DATOS!$I13125,nEVAL,"EX")=0),0))))</f>
      </c>
      <c r="H13125">
        <f>IF(DATOS!$G13125&lt;&gt;"EX",0,--(COUNTIFS(nNIA,DATOS!$A13125,nCURSO,DATOS!$D13125,nESPEC,DATOS!$E13125,nASIG,DATOS!$I13125,nEVAL,"OR")=0))</f>
      </c>
      <c r="I13125">
        <f>IF(DATOS!$I13125="","",IFERROR(VLOOKUP(DATOS!$I13125,CONFIG_ASIGNATURAS!$B$2:$J$91,9,FALSE()),""))</f>
      </c>
    </row>
    <row r="13126">
      <c r="F13126">
        <f>IF(DATOS!$A13126="","",DATOS!$A13126&amp;"|"&amp;DATOS!$D13126&amp;"|"&amp;DATOS!$E13126&amp;"|"&amp;DATOS!$I13126)</f>
      </c>
      <c r="G13126">
        <f>IF(DATOS!$A13126="",0,IF(CONFIG_METADATA!$B$4&lt;&gt;"OR+EX",--(DATOS!$G13126=CONFIG_METADATA!$B$4),IF(DATOS!$G13126="EX",1,IF(DATOS!$G13126="OR",--(COUNTIFS(nNIA,DATOS!$A13126,nCURSO,DATOS!$D13126,nESPEC,DATOS!$E13126,nASIG,DATOS!$I13126,nEVAL,"EX")=0),0))))</f>
      </c>
      <c r="H13126">
        <f>IF(DATOS!$G13126&lt;&gt;"EX",0,--(COUNTIFS(nNIA,DATOS!$A13126,nCURSO,DATOS!$D13126,nESPEC,DATOS!$E13126,nASIG,DATOS!$I13126,nEVAL,"OR")=0))</f>
      </c>
      <c r="I13126">
        <f>IF(DATOS!$I13126="","",IFERROR(VLOOKUP(DATOS!$I13126,CONFIG_ASIGNATURAS!$B$2:$J$91,9,FALSE()),""))</f>
      </c>
    </row>
    <row r="13127">
      <c r="F13127">
        <f>IF(DATOS!$A13127="","",DATOS!$A13127&amp;"|"&amp;DATOS!$D13127&amp;"|"&amp;DATOS!$E13127&amp;"|"&amp;DATOS!$I13127)</f>
      </c>
      <c r="G13127">
        <f>IF(DATOS!$A13127="",0,IF(CONFIG_METADATA!$B$4&lt;&gt;"OR+EX",--(DATOS!$G13127=CONFIG_METADATA!$B$4),IF(DATOS!$G13127="EX",1,IF(DATOS!$G13127="OR",--(COUNTIFS(nNIA,DATOS!$A13127,nCURSO,DATOS!$D13127,nESPEC,DATOS!$E13127,nASIG,DATOS!$I13127,nEVAL,"EX")=0),0))))</f>
      </c>
      <c r="H13127">
        <f>IF(DATOS!$G13127&lt;&gt;"EX",0,--(COUNTIFS(nNIA,DATOS!$A13127,nCURSO,DATOS!$D13127,nESPEC,DATOS!$E13127,nASIG,DATOS!$I13127,nEVAL,"OR")=0))</f>
      </c>
      <c r="I13127">
        <f>IF(DATOS!$I13127="","",IFERROR(VLOOKUP(DATOS!$I13127,CONFIG_ASIGNATURAS!$B$2:$J$91,9,FALSE()),""))</f>
      </c>
    </row>
    <row r="13128">
      <c r="F13128">
        <f>IF(DATOS!$A13128="","",DATOS!$A13128&amp;"|"&amp;DATOS!$D13128&amp;"|"&amp;DATOS!$E13128&amp;"|"&amp;DATOS!$I13128)</f>
      </c>
      <c r="G13128">
        <f>IF(DATOS!$A13128="",0,IF(CONFIG_METADATA!$B$4&lt;&gt;"OR+EX",--(DATOS!$G13128=CONFIG_METADATA!$B$4),IF(DATOS!$G13128="EX",1,IF(DATOS!$G13128="OR",--(COUNTIFS(nNIA,DATOS!$A13128,nCURSO,DATOS!$D13128,nESPEC,DATOS!$E13128,nASIG,DATOS!$I13128,nEVAL,"EX")=0),0))))</f>
      </c>
      <c r="H13128">
        <f>IF(DATOS!$G13128&lt;&gt;"EX",0,--(COUNTIFS(nNIA,DATOS!$A13128,nCURSO,DATOS!$D13128,nESPEC,DATOS!$E13128,nASIG,DATOS!$I13128,nEVAL,"OR")=0))</f>
      </c>
      <c r="I13128">
        <f>IF(DATOS!$I13128="","",IFERROR(VLOOKUP(DATOS!$I13128,CONFIG_ASIGNATURAS!$B$2:$J$91,9,FALSE()),""))</f>
      </c>
    </row>
    <row r="13129">
      <c r="F13129">
        <f>IF(DATOS!$A13129="","",DATOS!$A13129&amp;"|"&amp;DATOS!$D13129&amp;"|"&amp;DATOS!$E13129&amp;"|"&amp;DATOS!$I13129)</f>
      </c>
      <c r="G13129">
        <f>IF(DATOS!$A13129="",0,IF(CONFIG_METADATA!$B$4&lt;&gt;"OR+EX",--(DATOS!$G13129=CONFIG_METADATA!$B$4),IF(DATOS!$G13129="EX",1,IF(DATOS!$G13129="OR",--(COUNTIFS(nNIA,DATOS!$A13129,nCURSO,DATOS!$D13129,nESPEC,DATOS!$E13129,nASIG,DATOS!$I13129,nEVAL,"EX")=0),0))))</f>
      </c>
      <c r="H13129">
        <f>IF(DATOS!$G13129&lt;&gt;"EX",0,--(COUNTIFS(nNIA,DATOS!$A13129,nCURSO,DATOS!$D13129,nESPEC,DATOS!$E13129,nASIG,DATOS!$I13129,nEVAL,"OR")=0))</f>
      </c>
      <c r="I13129">
        <f>IF(DATOS!$I13129="","",IFERROR(VLOOKUP(DATOS!$I13129,CONFIG_ASIGNATURAS!$B$2:$J$91,9,FALSE()),""))</f>
      </c>
    </row>
    <row r="13130">
      <c r="F13130">
        <f>IF(DATOS!$A13130="","",DATOS!$A13130&amp;"|"&amp;DATOS!$D13130&amp;"|"&amp;DATOS!$E13130&amp;"|"&amp;DATOS!$I13130)</f>
      </c>
      <c r="G13130">
        <f>IF(DATOS!$A13130="",0,IF(CONFIG_METADATA!$B$4&lt;&gt;"OR+EX",--(DATOS!$G13130=CONFIG_METADATA!$B$4),IF(DATOS!$G13130="EX",1,IF(DATOS!$G13130="OR",--(COUNTIFS(nNIA,DATOS!$A13130,nCURSO,DATOS!$D13130,nESPEC,DATOS!$E13130,nASIG,DATOS!$I13130,nEVAL,"EX")=0),0))))</f>
      </c>
      <c r="H13130">
        <f>IF(DATOS!$G13130&lt;&gt;"EX",0,--(COUNTIFS(nNIA,DATOS!$A13130,nCURSO,DATOS!$D13130,nESPEC,DATOS!$E13130,nASIG,DATOS!$I13130,nEVAL,"OR")=0))</f>
      </c>
      <c r="I13130">
        <f>IF(DATOS!$I13130="","",IFERROR(VLOOKUP(DATOS!$I13130,CONFIG_ASIGNATURAS!$B$2:$J$91,9,FALSE()),""))</f>
      </c>
    </row>
    <row r="13131">
      <c r="F13131">
        <f>IF(DATOS!$A13131="","",DATOS!$A13131&amp;"|"&amp;DATOS!$D13131&amp;"|"&amp;DATOS!$E13131&amp;"|"&amp;DATOS!$I13131)</f>
      </c>
      <c r="G13131">
        <f>IF(DATOS!$A13131="",0,IF(CONFIG_METADATA!$B$4&lt;&gt;"OR+EX",--(DATOS!$G13131=CONFIG_METADATA!$B$4),IF(DATOS!$G13131="EX",1,IF(DATOS!$G13131="OR",--(COUNTIFS(nNIA,DATOS!$A13131,nCURSO,DATOS!$D13131,nESPEC,DATOS!$E13131,nASIG,DATOS!$I13131,nEVAL,"EX")=0),0))))</f>
      </c>
      <c r="H13131">
        <f>IF(DATOS!$G13131&lt;&gt;"EX",0,--(COUNTIFS(nNIA,DATOS!$A13131,nCURSO,DATOS!$D13131,nESPEC,DATOS!$E13131,nASIG,DATOS!$I13131,nEVAL,"OR")=0))</f>
      </c>
      <c r="I13131">
        <f>IF(DATOS!$I13131="","",IFERROR(VLOOKUP(DATOS!$I13131,CONFIG_ASIGNATURAS!$B$2:$J$91,9,FALSE()),""))</f>
      </c>
    </row>
    <row r="13132">
      <c r="F13132">
        <f>IF(DATOS!$A13132="","",DATOS!$A13132&amp;"|"&amp;DATOS!$D13132&amp;"|"&amp;DATOS!$E13132&amp;"|"&amp;DATOS!$I13132)</f>
      </c>
      <c r="G13132">
        <f>IF(DATOS!$A13132="",0,IF(CONFIG_METADATA!$B$4&lt;&gt;"OR+EX",--(DATOS!$G13132=CONFIG_METADATA!$B$4),IF(DATOS!$G13132="EX",1,IF(DATOS!$G13132="OR",--(COUNTIFS(nNIA,DATOS!$A13132,nCURSO,DATOS!$D13132,nESPEC,DATOS!$E13132,nASIG,DATOS!$I13132,nEVAL,"EX")=0),0))))</f>
      </c>
      <c r="H13132">
        <f>IF(DATOS!$G13132&lt;&gt;"EX",0,--(COUNTIFS(nNIA,DATOS!$A13132,nCURSO,DATOS!$D13132,nESPEC,DATOS!$E13132,nASIG,DATOS!$I13132,nEVAL,"OR")=0))</f>
      </c>
      <c r="I13132">
        <f>IF(DATOS!$I13132="","",IFERROR(VLOOKUP(DATOS!$I13132,CONFIG_ASIGNATURAS!$B$2:$J$91,9,FALSE()),""))</f>
      </c>
    </row>
    <row r="13133">
      <c r="F13133">
        <f>IF(DATOS!$A13133="","",DATOS!$A13133&amp;"|"&amp;DATOS!$D13133&amp;"|"&amp;DATOS!$E13133&amp;"|"&amp;DATOS!$I13133)</f>
      </c>
      <c r="G13133">
        <f>IF(DATOS!$A13133="",0,IF(CONFIG_METADATA!$B$4&lt;&gt;"OR+EX",--(DATOS!$G13133=CONFIG_METADATA!$B$4),IF(DATOS!$G13133="EX",1,IF(DATOS!$G13133="OR",--(COUNTIFS(nNIA,DATOS!$A13133,nCURSO,DATOS!$D13133,nESPEC,DATOS!$E13133,nASIG,DATOS!$I13133,nEVAL,"EX")=0),0))))</f>
      </c>
      <c r="H13133">
        <f>IF(DATOS!$G13133&lt;&gt;"EX",0,--(COUNTIFS(nNIA,DATOS!$A13133,nCURSO,DATOS!$D13133,nESPEC,DATOS!$E13133,nASIG,DATOS!$I13133,nEVAL,"OR")=0))</f>
      </c>
      <c r="I13133">
        <f>IF(DATOS!$I13133="","",IFERROR(VLOOKUP(DATOS!$I13133,CONFIG_ASIGNATURAS!$B$2:$J$91,9,FALSE()),""))</f>
      </c>
    </row>
    <row r="13134">
      <c r="F13134">
        <f>IF(DATOS!$A13134="","",DATOS!$A13134&amp;"|"&amp;DATOS!$D13134&amp;"|"&amp;DATOS!$E13134&amp;"|"&amp;DATOS!$I13134)</f>
      </c>
      <c r="G13134">
        <f>IF(DATOS!$A13134="",0,IF(CONFIG_METADATA!$B$4&lt;&gt;"OR+EX",--(DATOS!$G13134=CONFIG_METADATA!$B$4),IF(DATOS!$G13134="EX",1,IF(DATOS!$G13134="OR",--(COUNTIFS(nNIA,DATOS!$A13134,nCURSO,DATOS!$D13134,nESPEC,DATOS!$E13134,nASIG,DATOS!$I13134,nEVAL,"EX")=0),0))))</f>
      </c>
      <c r="H13134">
        <f>IF(DATOS!$G13134&lt;&gt;"EX",0,--(COUNTIFS(nNIA,DATOS!$A13134,nCURSO,DATOS!$D13134,nESPEC,DATOS!$E13134,nASIG,DATOS!$I13134,nEVAL,"OR")=0))</f>
      </c>
      <c r="I13134">
        <f>IF(DATOS!$I13134="","",IFERROR(VLOOKUP(DATOS!$I13134,CONFIG_ASIGNATURAS!$B$2:$J$91,9,FALSE()),""))</f>
      </c>
    </row>
    <row r="13135">
      <c r="F13135">
        <f>IF(DATOS!$A13135="","",DATOS!$A13135&amp;"|"&amp;DATOS!$D13135&amp;"|"&amp;DATOS!$E13135&amp;"|"&amp;DATOS!$I13135)</f>
      </c>
      <c r="G13135">
        <f>IF(DATOS!$A13135="",0,IF(CONFIG_METADATA!$B$4&lt;&gt;"OR+EX",--(DATOS!$G13135=CONFIG_METADATA!$B$4),IF(DATOS!$G13135="EX",1,IF(DATOS!$G13135="OR",--(COUNTIFS(nNIA,DATOS!$A13135,nCURSO,DATOS!$D13135,nESPEC,DATOS!$E13135,nASIG,DATOS!$I13135,nEVAL,"EX")=0),0))))</f>
      </c>
      <c r="H13135">
        <f>IF(DATOS!$G13135&lt;&gt;"EX",0,--(COUNTIFS(nNIA,DATOS!$A13135,nCURSO,DATOS!$D13135,nESPEC,DATOS!$E13135,nASIG,DATOS!$I13135,nEVAL,"OR")=0))</f>
      </c>
      <c r="I13135">
        <f>IF(DATOS!$I13135="","",IFERROR(VLOOKUP(DATOS!$I13135,CONFIG_ASIGNATURAS!$B$2:$J$91,9,FALSE()),""))</f>
      </c>
    </row>
    <row r="13136">
      <c r="F13136">
        <f>IF(DATOS!$A13136="","",DATOS!$A13136&amp;"|"&amp;DATOS!$D13136&amp;"|"&amp;DATOS!$E13136&amp;"|"&amp;DATOS!$I13136)</f>
      </c>
      <c r="G13136">
        <f>IF(DATOS!$A13136="",0,IF(CONFIG_METADATA!$B$4&lt;&gt;"OR+EX",--(DATOS!$G13136=CONFIG_METADATA!$B$4),IF(DATOS!$G13136="EX",1,IF(DATOS!$G13136="OR",--(COUNTIFS(nNIA,DATOS!$A13136,nCURSO,DATOS!$D13136,nESPEC,DATOS!$E13136,nASIG,DATOS!$I13136,nEVAL,"EX")=0),0))))</f>
      </c>
      <c r="H13136">
        <f>IF(DATOS!$G13136&lt;&gt;"EX",0,--(COUNTIFS(nNIA,DATOS!$A13136,nCURSO,DATOS!$D13136,nESPEC,DATOS!$E13136,nASIG,DATOS!$I13136,nEVAL,"OR")=0))</f>
      </c>
      <c r="I13136">
        <f>IF(DATOS!$I13136="","",IFERROR(VLOOKUP(DATOS!$I13136,CONFIG_ASIGNATURAS!$B$2:$J$91,9,FALSE()),""))</f>
      </c>
    </row>
    <row r="13137">
      <c r="F13137">
        <f>IF(DATOS!$A13137="","",DATOS!$A13137&amp;"|"&amp;DATOS!$D13137&amp;"|"&amp;DATOS!$E13137&amp;"|"&amp;DATOS!$I13137)</f>
      </c>
      <c r="G13137">
        <f>IF(DATOS!$A13137="",0,IF(CONFIG_METADATA!$B$4&lt;&gt;"OR+EX",--(DATOS!$G13137=CONFIG_METADATA!$B$4),IF(DATOS!$G13137="EX",1,IF(DATOS!$G13137="OR",--(COUNTIFS(nNIA,DATOS!$A13137,nCURSO,DATOS!$D13137,nESPEC,DATOS!$E13137,nASIG,DATOS!$I13137,nEVAL,"EX")=0),0))))</f>
      </c>
      <c r="H13137">
        <f>IF(DATOS!$G13137&lt;&gt;"EX",0,--(COUNTIFS(nNIA,DATOS!$A13137,nCURSO,DATOS!$D13137,nESPEC,DATOS!$E13137,nASIG,DATOS!$I13137,nEVAL,"OR")=0))</f>
      </c>
      <c r="I13137">
        <f>IF(DATOS!$I13137="","",IFERROR(VLOOKUP(DATOS!$I13137,CONFIG_ASIGNATURAS!$B$2:$J$91,9,FALSE()),""))</f>
      </c>
    </row>
    <row r="13138">
      <c r="F13138">
        <f>IF(DATOS!$A13138="","",DATOS!$A13138&amp;"|"&amp;DATOS!$D13138&amp;"|"&amp;DATOS!$E13138&amp;"|"&amp;DATOS!$I13138)</f>
      </c>
      <c r="G13138">
        <f>IF(DATOS!$A13138="",0,IF(CONFIG_METADATA!$B$4&lt;&gt;"OR+EX",--(DATOS!$G13138=CONFIG_METADATA!$B$4),IF(DATOS!$G13138="EX",1,IF(DATOS!$G13138="OR",--(COUNTIFS(nNIA,DATOS!$A13138,nCURSO,DATOS!$D13138,nESPEC,DATOS!$E13138,nASIG,DATOS!$I13138,nEVAL,"EX")=0),0))))</f>
      </c>
      <c r="H13138">
        <f>IF(DATOS!$G13138&lt;&gt;"EX",0,--(COUNTIFS(nNIA,DATOS!$A13138,nCURSO,DATOS!$D13138,nESPEC,DATOS!$E13138,nASIG,DATOS!$I13138,nEVAL,"OR")=0))</f>
      </c>
      <c r="I13138">
        <f>IF(DATOS!$I13138="","",IFERROR(VLOOKUP(DATOS!$I13138,CONFIG_ASIGNATURAS!$B$2:$J$91,9,FALSE()),""))</f>
      </c>
    </row>
    <row r="13139">
      <c r="F13139">
        <f>IF(DATOS!$A13139="","",DATOS!$A13139&amp;"|"&amp;DATOS!$D13139&amp;"|"&amp;DATOS!$E13139&amp;"|"&amp;DATOS!$I13139)</f>
      </c>
      <c r="G13139">
        <f>IF(DATOS!$A13139="",0,IF(CONFIG_METADATA!$B$4&lt;&gt;"OR+EX",--(DATOS!$G13139=CONFIG_METADATA!$B$4),IF(DATOS!$G13139="EX",1,IF(DATOS!$G13139="OR",--(COUNTIFS(nNIA,DATOS!$A13139,nCURSO,DATOS!$D13139,nESPEC,DATOS!$E13139,nASIG,DATOS!$I13139,nEVAL,"EX")=0),0))))</f>
      </c>
      <c r="H13139">
        <f>IF(DATOS!$G13139&lt;&gt;"EX",0,--(COUNTIFS(nNIA,DATOS!$A13139,nCURSO,DATOS!$D13139,nESPEC,DATOS!$E13139,nASIG,DATOS!$I13139,nEVAL,"OR")=0))</f>
      </c>
      <c r="I13139">
        <f>IF(DATOS!$I13139="","",IFERROR(VLOOKUP(DATOS!$I13139,CONFIG_ASIGNATURAS!$B$2:$J$91,9,FALSE()),""))</f>
      </c>
    </row>
    <row r="13140">
      <c r="F13140">
        <f>IF(DATOS!$A13140="","",DATOS!$A13140&amp;"|"&amp;DATOS!$D13140&amp;"|"&amp;DATOS!$E13140&amp;"|"&amp;DATOS!$I13140)</f>
      </c>
      <c r="G13140">
        <f>IF(DATOS!$A13140="",0,IF(CONFIG_METADATA!$B$4&lt;&gt;"OR+EX",--(DATOS!$G13140=CONFIG_METADATA!$B$4),IF(DATOS!$G13140="EX",1,IF(DATOS!$G13140="OR",--(COUNTIFS(nNIA,DATOS!$A13140,nCURSO,DATOS!$D13140,nESPEC,DATOS!$E13140,nASIG,DATOS!$I13140,nEVAL,"EX")=0),0))))</f>
      </c>
      <c r="H13140">
        <f>IF(DATOS!$G13140&lt;&gt;"EX",0,--(COUNTIFS(nNIA,DATOS!$A13140,nCURSO,DATOS!$D13140,nESPEC,DATOS!$E13140,nASIG,DATOS!$I13140,nEVAL,"OR")=0))</f>
      </c>
      <c r="I13140">
        <f>IF(DATOS!$I13140="","",IFERROR(VLOOKUP(DATOS!$I13140,CONFIG_ASIGNATURAS!$B$2:$J$91,9,FALSE()),""))</f>
      </c>
    </row>
    <row r="13141">
      <c r="F13141">
        <f>IF(DATOS!$A13141="","",DATOS!$A13141&amp;"|"&amp;DATOS!$D13141&amp;"|"&amp;DATOS!$E13141&amp;"|"&amp;DATOS!$I13141)</f>
      </c>
      <c r="G13141">
        <f>IF(DATOS!$A13141="",0,IF(CONFIG_METADATA!$B$4&lt;&gt;"OR+EX",--(DATOS!$G13141=CONFIG_METADATA!$B$4),IF(DATOS!$G13141="EX",1,IF(DATOS!$G13141="OR",--(COUNTIFS(nNIA,DATOS!$A13141,nCURSO,DATOS!$D13141,nESPEC,DATOS!$E13141,nASIG,DATOS!$I13141,nEVAL,"EX")=0),0))))</f>
      </c>
      <c r="H13141">
        <f>IF(DATOS!$G13141&lt;&gt;"EX",0,--(COUNTIFS(nNIA,DATOS!$A13141,nCURSO,DATOS!$D13141,nESPEC,DATOS!$E13141,nASIG,DATOS!$I13141,nEVAL,"OR")=0))</f>
      </c>
      <c r="I13141">
        <f>IF(DATOS!$I13141="","",IFERROR(VLOOKUP(DATOS!$I13141,CONFIG_ASIGNATURAS!$B$2:$J$91,9,FALSE()),""))</f>
      </c>
    </row>
    <row r="13142">
      <c r="F13142">
        <f>IF(DATOS!$A13142="","",DATOS!$A13142&amp;"|"&amp;DATOS!$D13142&amp;"|"&amp;DATOS!$E13142&amp;"|"&amp;DATOS!$I13142)</f>
      </c>
      <c r="G13142">
        <f>IF(DATOS!$A13142="",0,IF(CONFIG_METADATA!$B$4&lt;&gt;"OR+EX",--(DATOS!$G13142=CONFIG_METADATA!$B$4),IF(DATOS!$G13142="EX",1,IF(DATOS!$G13142="OR",--(COUNTIFS(nNIA,DATOS!$A13142,nCURSO,DATOS!$D13142,nESPEC,DATOS!$E13142,nASIG,DATOS!$I13142,nEVAL,"EX")=0),0))))</f>
      </c>
      <c r="H13142">
        <f>IF(DATOS!$G13142&lt;&gt;"EX",0,--(COUNTIFS(nNIA,DATOS!$A13142,nCURSO,DATOS!$D13142,nESPEC,DATOS!$E13142,nASIG,DATOS!$I13142,nEVAL,"OR")=0))</f>
      </c>
      <c r="I13142">
        <f>IF(DATOS!$I13142="","",IFERROR(VLOOKUP(DATOS!$I13142,CONFIG_ASIGNATURAS!$B$2:$J$91,9,FALSE()),""))</f>
      </c>
    </row>
    <row r="13143">
      <c r="F13143">
        <f>IF(DATOS!$A13143="","",DATOS!$A13143&amp;"|"&amp;DATOS!$D13143&amp;"|"&amp;DATOS!$E13143&amp;"|"&amp;DATOS!$I13143)</f>
      </c>
      <c r="G13143">
        <f>IF(DATOS!$A13143="",0,IF(CONFIG_METADATA!$B$4&lt;&gt;"OR+EX",--(DATOS!$G13143=CONFIG_METADATA!$B$4),IF(DATOS!$G13143="EX",1,IF(DATOS!$G13143="OR",--(COUNTIFS(nNIA,DATOS!$A13143,nCURSO,DATOS!$D13143,nESPEC,DATOS!$E13143,nASIG,DATOS!$I13143,nEVAL,"EX")=0),0))))</f>
      </c>
      <c r="H13143">
        <f>IF(DATOS!$G13143&lt;&gt;"EX",0,--(COUNTIFS(nNIA,DATOS!$A13143,nCURSO,DATOS!$D13143,nESPEC,DATOS!$E13143,nASIG,DATOS!$I13143,nEVAL,"OR")=0))</f>
      </c>
      <c r="I13143">
        <f>IF(DATOS!$I13143="","",IFERROR(VLOOKUP(DATOS!$I13143,CONFIG_ASIGNATURAS!$B$2:$J$91,9,FALSE()),""))</f>
      </c>
    </row>
    <row r="13144">
      <c r="F13144">
        <f>IF(DATOS!$A13144="","",DATOS!$A13144&amp;"|"&amp;DATOS!$D13144&amp;"|"&amp;DATOS!$E13144&amp;"|"&amp;DATOS!$I13144)</f>
      </c>
      <c r="G13144">
        <f>IF(DATOS!$A13144="",0,IF(CONFIG_METADATA!$B$4&lt;&gt;"OR+EX",--(DATOS!$G13144=CONFIG_METADATA!$B$4),IF(DATOS!$G13144="EX",1,IF(DATOS!$G13144="OR",--(COUNTIFS(nNIA,DATOS!$A13144,nCURSO,DATOS!$D13144,nESPEC,DATOS!$E13144,nASIG,DATOS!$I13144,nEVAL,"EX")=0),0))))</f>
      </c>
      <c r="H13144">
        <f>IF(DATOS!$G13144&lt;&gt;"EX",0,--(COUNTIFS(nNIA,DATOS!$A13144,nCURSO,DATOS!$D13144,nESPEC,DATOS!$E13144,nASIG,DATOS!$I13144,nEVAL,"OR")=0))</f>
      </c>
      <c r="I13144">
        <f>IF(DATOS!$I13144="","",IFERROR(VLOOKUP(DATOS!$I13144,CONFIG_ASIGNATURAS!$B$2:$J$91,9,FALSE()),""))</f>
      </c>
    </row>
    <row r="13145">
      <c r="F13145">
        <f>IF(DATOS!$A13145="","",DATOS!$A13145&amp;"|"&amp;DATOS!$D13145&amp;"|"&amp;DATOS!$E13145&amp;"|"&amp;DATOS!$I13145)</f>
      </c>
      <c r="G13145">
        <f>IF(DATOS!$A13145="",0,IF(CONFIG_METADATA!$B$4&lt;&gt;"OR+EX",--(DATOS!$G13145=CONFIG_METADATA!$B$4),IF(DATOS!$G13145="EX",1,IF(DATOS!$G13145="OR",--(COUNTIFS(nNIA,DATOS!$A13145,nCURSO,DATOS!$D13145,nESPEC,DATOS!$E13145,nASIG,DATOS!$I13145,nEVAL,"EX")=0),0))))</f>
      </c>
      <c r="H13145">
        <f>IF(DATOS!$G13145&lt;&gt;"EX",0,--(COUNTIFS(nNIA,DATOS!$A13145,nCURSO,DATOS!$D13145,nESPEC,DATOS!$E13145,nASIG,DATOS!$I13145,nEVAL,"OR")=0))</f>
      </c>
      <c r="I13145">
        <f>IF(DATOS!$I13145="","",IFERROR(VLOOKUP(DATOS!$I13145,CONFIG_ASIGNATURAS!$B$2:$J$91,9,FALSE()),""))</f>
      </c>
    </row>
    <row r="13146">
      <c r="F13146">
        <f>IF(DATOS!$A13146="","",DATOS!$A13146&amp;"|"&amp;DATOS!$D13146&amp;"|"&amp;DATOS!$E13146&amp;"|"&amp;DATOS!$I13146)</f>
      </c>
      <c r="G13146">
        <f>IF(DATOS!$A13146="",0,IF(CONFIG_METADATA!$B$4&lt;&gt;"OR+EX",--(DATOS!$G13146=CONFIG_METADATA!$B$4),IF(DATOS!$G13146="EX",1,IF(DATOS!$G13146="OR",--(COUNTIFS(nNIA,DATOS!$A13146,nCURSO,DATOS!$D13146,nESPEC,DATOS!$E13146,nASIG,DATOS!$I13146,nEVAL,"EX")=0),0))))</f>
      </c>
      <c r="H13146">
        <f>IF(DATOS!$G13146&lt;&gt;"EX",0,--(COUNTIFS(nNIA,DATOS!$A13146,nCURSO,DATOS!$D13146,nESPEC,DATOS!$E13146,nASIG,DATOS!$I13146,nEVAL,"OR")=0))</f>
      </c>
      <c r="I13146">
        <f>IF(DATOS!$I13146="","",IFERROR(VLOOKUP(DATOS!$I13146,CONFIG_ASIGNATURAS!$B$2:$J$91,9,FALSE()),""))</f>
      </c>
    </row>
    <row r="13147">
      <c r="F13147">
        <f>IF(DATOS!$A13147="","",DATOS!$A13147&amp;"|"&amp;DATOS!$D13147&amp;"|"&amp;DATOS!$E13147&amp;"|"&amp;DATOS!$I13147)</f>
      </c>
      <c r="G13147">
        <f>IF(DATOS!$A13147="",0,IF(CONFIG_METADATA!$B$4&lt;&gt;"OR+EX",--(DATOS!$G13147=CONFIG_METADATA!$B$4),IF(DATOS!$G13147="EX",1,IF(DATOS!$G13147="OR",--(COUNTIFS(nNIA,DATOS!$A13147,nCURSO,DATOS!$D13147,nESPEC,DATOS!$E13147,nASIG,DATOS!$I13147,nEVAL,"EX")=0),0))))</f>
      </c>
      <c r="H13147">
        <f>IF(DATOS!$G13147&lt;&gt;"EX",0,--(COUNTIFS(nNIA,DATOS!$A13147,nCURSO,DATOS!$D13147,nESPEC,DATOS!$E13147,nASIG,DATOS!$I13147,nEVAL,"OR")=0))</f>
      </c>
      <c r="I13147">
        <f>IF(DATOS!$I13147="","",IFERROR(VLOOKUP(DATOS!$I13147,CONFIG_ASIGNATURAS!$B$2:$J$91,9,FALSE()),""))</f>
      </c>
    </row>
    <row r="13148">
      <c r="F13148">
        <f>IF(DATOS!$A13148="","",DATOS!$A13148&amp;"|"&amp;DATOS!$D13148&amp;"|"&amp;DATOS!$E13148&amp;"|"&amp;DATOS!$I13148)</f>
      </c>
      <c r="G13148">
        <f>IF(DATOS!$A13148="",0,IF(CONFIG_METADATA!$B$4&lt;&gt;"OR+EX",--(DATOS!$G13148=CONFIG_METADATA!$B$4),IF(DATOS!$G13148="EX",1,IF(DATOS!$G13148="OR",--(COUNTIFS(nNIA,DATOS!$A13148,nCURSO,DATOS!$D13148,nESPEC,DATOS!$E13148,nASIG,DATOS!$I13148,nEVAL,"EX")=0),0))))</f>
      </c>
      <c r="H13148">
        <f>IF(DATOS!$G13148&lt;&gt;"EX",0,--(COUNTIFS(nNIA,DATOS!$A13148,nCURSO,DATOS!$D13148,nESPEC,DATOS!$E13148,nASIG,DATOS!$I13148,nEVAL,"OR")=0))</f>
      </c>
      <c r="I13148">
        <f>IF(DATOS!$I13148="","",IFERROR(VLOOKUP(DATOS!$I13148,CONFIG_ASIGNATURAS!$B$2:$J$91,9,FALSE()),""))</f>
      </c>
    </row>
    <row r="13149">
      <c r="F13149">
        <f>IF(DATOS!$A13149="","",DATOS!$A13149&amp;"|"&amp;DATOS!$D13149&amp;"|"&amp;DATOS!$E13149&amp;"|"&amp;DATOS!$I13149)</f>
      </c>
      <c r="G13149">
        <f>IF(DATOS!$A13149="",0,IF(CONFIG_METADATA!$B$4&lt;&gt;"OR+EX",--(DATOS!$G13149=CONFIG_METADATA!$B$4),IF(DATOS!$G13149="EX",1,IF(DATOS!$G13149="OR",--(COUNTIFS(nNIA,DATOS!$A13149,nCURSO,DATOS!$D13149,nESPEC,DATOS!$E13149,nASIG,DATOS!$I13149,nEVAL,"EX")=0),0))))</f>
      </c>
      <c r="H13149">
        <f>IF(DATOS!$G13149&lt;&gt;"EX",0,--(COUNTIFS(nNIA,DATOS!$A13149,nCURSO,DATOS!$D13149,nESPEC,DATOS!$E13149,nASIG,DATOS!$I13149,nEVAL,"OR")=0))</f>
      </c>
      <c r="I13149">
        <f>IF(DATOS!$I13149="","",IFERROR(VLOOKUP(DATOS!$I13149,CONFIG_ASIGNATURAS!$B$2:$J$91,9,FALSE()),""))</f>
      </c>
    </row>
    <row r="13150">
      <c r="F13150">
        <f>IF(DATOS!$A13150="","",DATOS!$A13150&amp;"|"&amp;DATOS!$D13150&amp;"|"&amp;DATOS!$E13150&amp;"|"&amp;DATOS!$I13150)</f>
      </c>
      <c r="G13150">
        <f>IF(DATOS!$A13150="",0,IF(CONFIG_METADATA!$B$4&lt;&gt;"OR+EX",--(DATOS!$G13150=CONFIG_METADATA!$B$4),IF(DATOS!$G13150="EX",1,IF(DATOS!$G13150="OR",--(COUNTIFS(nNIA,DATOS!$A13150,nCURSO,DATOS!$D13150,nESPEC,DATOS!$E13150,nASIG,DATOS!$I13150,nEVAL,"EX")=0),0))))</f>
      </c>
      <c r="H13150">
        <f>IF(DATOS!$G13150&lt;&gt;"EX",0,--(COUNTIFS(nNIA,DATOS!$A13150,nCURSO,DATOS!$D13150,nESPEC,DATOS!$E13150,nASIG,DATOS!$I13150,nEVAL,"OR")=0))</f>
      </c>
      <c r="I13150">
        <f>IF(DATOS!$I13150="","",IFERROR(VLOOKUP(DATOS!$I13150,CONFIG_ASIGNATURAS!$B$2:$J$91,9,FALSE()),""))</f>
      </c>
    </row>
    <row r="13151">
      <c r="F13151">
        <f>IF(DATOS!$A13151="","",DATOS!$A13151&amp;"|"&amp;DATOS!$D13151&amp;"|"&amp;DATOS!$E13151&amp;"|"&amp;DATOS!$I13151)</f>
      </c>
      <c r="G13151">
        <f>IF(DATOS!$A13151="",0,IF(CONFIG_METADATA!$B$4&lt;&gt;"OR+EX",--(DATOS!$G13151=CONFIG_METADATA!$B$4),IF(DATOS!$G13151="EX",1,IF(DATOS!$G13151="OR",--(COUNTIFS(nNIA,DATOS!$A13151,nCURSO,DATOS!$D13151,nESPEC,DATOS!$E13151,nASIG,DATOS!$I13151,nEVAL,"EX")=0),0))))</f>
      </c>
      <c r="H13151">
        <f>IF(DATOS!$G13151&lt;&gt;"EX",0,--(COUNTIFS(nNIA,DATOS!$A13151,nCURSO,DATOS!$D13151,nESPEC,DATOS!$E13151,nASIG,DATOS!$I13151,nEVAL,"OR")=0))</f>
      </c>
      <c r="I13151">
        <f>IF(DATOS!$I13151="","",IFERROR(VLOOKUP(DATOS!$I13151,CONFIG_ASIGNATURAS!$B$2:$J$91,9,FALSE()),""))</f>
      </c>
    </row>
    <row r="13152">
      <c r="F13152">
        <f>IF(DATOS!$A13152="","",DATOS!$A13152&amp;"|"&amp;DATOS!$D13152&amp;"|"&amp;DATOS!$E13152&amp;"|"&amp;DATOS!$I13152)</f>
      </c>
      <c r="G13152">
        <f>IF(DATOS!$A13152="",0,IF(CONFIG_METADATA!$B$4&lt;&gt;"OR+EX",--(DATOS!$G13152=CONFIG_METADATA!$B$4),IF(DATOS!$G13152="EX",1,IF(DATOS!$G13152="OR",--(COUNTIFS(nNIA,DATOS!$A13152,nCURSO,DATOS!$D13152,nESPEC,DATOS!$E13152,nASIG,DATOS!$I13152,nEVAL,"EX")=0),0))))</f>
      </c>
      <c r="H13152">
        <f>IF(DATOS!$G13152&lt;&gt;"EX",0,--(COUNTIFS(nNIA,DATOS!$A13152,nCURSO,DATOS!$D13152,nESPEC,DATOS!$E13152,nASIG,DATOS!$I13152,nEVAL,"OR")=0))</f>
      </c>
      <c r="I13152">
        <f>IF(DATOS!$I13152="","",IFERROR(VLOOKUP(DATOS!$I13152,CONFIG_ASIGNATURAS!$B$2:$J$91,9,FALSE()),""))</f>
      </c>
    </row>
    <row r="13153">
      <c r="F13153">
        <f>IF(DATOS!$A13153="","",DATOS!$A13153&amp;"|"&amp;DATOS!$D13153&amp;"|"&amp;DATOS!$E13153&amp;"|"&amp;DATOS!$I13153)</f>
      </c>
      <c r="G13153">
        <f>IF(DATOS!$A13153="",0,IF(CONFIG_METADATA!$B$4&lt;&gt;"OR+EX",--(DATOS!$G13153=CONFIG_METADATA!$B$4),IF(DATOS!$G13153="EX",1,IF(DATOS!$G13153="OR",--(COUNTIFS(nNIA,DATOS!$A13153,nCURSO,DATOS!$D13153,nESPEC,DATOS!$E13153,nASIG,DATOS!$I13153,nEVAL,"EX")=0),0))))</f>
      </c>
      <c r="H13153">
        <f>IF(DATOS!$G13153&lt;&gt;"EX",0,--(COUNTIFS(nNIA,DATOS!$A13153,nCURSO,DATOS!$D13153,nESPEC,DATOS!$E13153,nASIG,DATOS!$I13153,nEVAL,"OR")=0))</f>
      </c>
      <c r="I13153">
        <f>IF(DATOS!$I13153="","",IFERROR(VLOOKUP(DATOS!$I13153,CONFIG_ASIGNATURAS!$B$2:$J$91,9,FALSE()),""))</f>
      </c>
    </row>
    <row r="13154">
      <c r="F13154">
        <f>IF(DATOS!$A13154="","",DATOS!$A13154&amp;"|"&amp;DATOS!$D13154&amp;"|"&amp;DATOS!$E13154&amp;"|"&amp;DATOS!$I13154)</f>
      </c>
      <c r="G13154">
        <f>IF(DATOS!$A13154="",0,IF(CONFIG_METADATA!$B$4&lt;&gt;"OR+EX",--(DATOS!$G13154=CONFIG_METADATA!$B$4),IF(DATOS!$G13154="EX",1,IF(DATOS!$G13154="OR",--(COUNTIFS(nNIA,DATOS!$A13154,nCURSO,DATOS!$D13154,nESPEC,DATOS!$E13154,nASIG,DATOS!$I13154,nEVAL,"EX")=0),0))))</f>
      </c>
      <c r="H13154">
        <f>IF(DATOS!$G13154&lt;&gt;"EX",0,--(COUNTIFS(nNIA,DATOS!$A13154,nCURSO,DATOS!$D13154,nESPEC,DATOS!$E13154,nASIG,DATOS!$I13154,nEVAL,"OR")=0))</f>
      </c>
      <c r="I13154">
        <f>IF(DATOS!$I13154="","",IFERROR(VLOOKUP(DATOS!$I13154,CONFIG_ASIGNATURAS!$B$2:$J$91,9,FALSE()),""))</f>
      </c>
    </row>
    <row r="13155">
      <c r="F13155">
        <f>IF(DATOS!$A13155="","",DATOS!$A13155&amp;"|"&amp;DATOS!$D13155&amp;"|"&amp;DATOS!$E13155&amp;"|"&amp;DATOS!$I13155)</f>
      </c>
      <c r="G13155">
        <f>IF(DATOS!$A13155="",0,IF(CONFIG_METADATA!$B$4&lt;&gt;"OR+EX",--(DATOS!$G13155=CONFIG_METADATA!$B$4),IF(DATOS!$G13155="EX",1,IF(DATOS!$G13155="OR",--(COUNTIFS(nNIA,DATOS!$A13155,nCURSO,DATOS!$D13155,nESPEC,DATOS!$E13155,nASIG,DATOS!$I13155,nEVAL,"EX")=0),0))))</f>
      </c>
      <c r="H13155">
        <f>IF(DATOS!$G13155&lt;&gt;"EX",0,--(COUNTIFS(nNIA,DATOS!$A13155,nCURSO,DATOS!$D13155,nESPEC,DATOS!$E13155,nASIG,DATOS!$I13155,nEVAL,"OR")=0))</f>
      </c>
      <c r="I13155">
        <f>IF(DATOS!$I13155="","",IFERROR(VLOOKUP(DATOS!$I13155,CONFIG_ASIGNATURAS!$B$2:$J$91,9,FALSE()),""))</f>
      </c>
    </row>
    <row r="13156">
      <c r="F13156">
        <f>IF(DATOS!$A13156="","",DATOS!$A13156&amp;"|"&amp;DATOS!$D13156&amp;"|"&amp;DATOS!$E13156&amp;"|"&amp;DATOS!$I13156)</f>
      </c>
      <c r="G13156">
        <f>IF(DATOS!$A13156="",0,IF(CONFIG_METADATA!$B$4&lt;&gt;"OR+EX",--(DATOS!$G13156=CONFIG_METADATA!$B$4),IF(DATOS!$G13156="EX",1,IF(DATOS!$G13156="OR",--(COUNTIFS(nNIA,DATOS!$A13156,nCURSO,DATOS!$D13156,nESPEC,DATOS!$E13156,nASIG,DATOS!$I13156,nEVAL,"EX")=0),0))))</f>
      </c>
      <c r="H13156">
        <f>IF(DATOS!$G13156&lt;&gt;"EX",0,--(COUNTIFS(nNIA,DATOS!$A13156,nCURSO,DATOS!$D13156,nESPEC,DATOS!$E13156,nASIG,DATOS!$I13156,nEVAL,"OR")=0))</f>
      </c>
      <c r="I13156">
        <f>IF(DATOS!$I13156="","",IFERROR(VLOOKUP(DATOS!$I13156,CONFIG_ASIGNATURAS!$B$2:$J$91,9,FALSE()),""))</f>
      </c>
    </row>
    <row r="13157">
      <c r="F13157">
        <f>IF(DATOS!$A13157="","",DATOS!$A13157&amp;"|"&amp;DATOS!$D13157&amp;"|"&amp;DATOS!$E13157&amp;"|"&amp;DATOS!$I13157)</f>
      </c>
      <c r="G13157">
        <f>IF(DATOS!$A13157="",0,IF(CONFIG_METADATA!$B$4&lt;&gt;"OR+EX",--(DATOS!$G13157=CONFIG_METADATA!$B$4),IF(DATOS!$G13157="EX",1,IF(DATOS!$G13157="OR",--(COUNTIFS(nNIA,DATOS!$A13157,nCURSO,DATOS!$D13157,nESPEC,DATOS!$E13157,nASIG,DATOS!$I13157,nEVAL,"EX")=0),0))))</f>
      </c>
      <c r="H13157">
        <f>IF(DATOS!$G13157&lt;&gt;"EX",0,--(COUNTIFS(nNIA,DATOS!$A13157,nCURSO,DATOS!$D13157,nESPEC,DATOS!$E13157,nASIG,DATOS!$I13157,nEVAL,"OR")=0))</f>
      </c>
      <c r="I13157">
        <f>IF(DATOS!$I13157="","",IFERROR(VLOOKUP(DATOS!$I13157,CONFIG_ASIGNATURAS!$B$2:$J$91,9,FALSE()),""))</f>
      </c>
    </row>
    <row r="13158">
      <c r="F13158">
        <f>IF(DATOS!$A13158="","",DATOS!$A13158&amp;"|"&amp;DATOS!$D13158&amp;"|"&amp;DATOS!$E13158&amp;"|"&amp;DATOS!$I13158)</f>
      </c>
      <c r="G13158">
        <f>IF(DATOS!$A13158="",0,IF(CONFIG_METADATA!$B$4&lt;&gt;"OR+EX",--(DATOS!$G13158=CONFIG_METADATA!$B$4),IF(DATOS!$G13158="EX",1,IF(DATOS!$G13158="OR",--(COUNTIFS(nNIA,DATOS!$A13158,nCURSO,DATOS!$D13158,nESPEC,DATOS!$E13158,nASIG,DATOS!$I13158,nEVAL,"EX")=0),0))))</f>
      </c>
      <c r="H13158">
        <f>IF(DATOS!$G13158&lt;&gt;"EX",0,--(COUNTIFS(nNIA,DATOS!$A13158,nCURSO,DATOS!$D13158,nESPEC,DATOS!$E13158,nASIG,DATOS!$I13158,nEVAL,"OR")=0))</f>
      </c>
      <c r="I13158">
        <f>IF(DATOS!$I13158="","",IFERROR(VLOOKUP(DATOS!$I13158,CONFIG_ASIGNATURAS!$B$2:$J$91,9,FALSE()),""))</f>
      </c>
    </row>
    <row r="13159">
      <c r="F13159">
        <f>IF(DATOS!$A13159="","",DATOS!$A13159&amp;"|"&amp;DATOS!$D13159&amp;"|"&amp;DATOS!$E13159&amp;"|"&amp;DATOS!$I13159)</f>
      </c>
      <c r="G13159">
        <f>IF(DATOS!$A13159="",0,IF(CONFIG_METADATA!$B$4&lt;&gt;"OR+EX",--(DATOS!$G13159=CONFIG_METADATA!$B$4),IF(DATOS!$G13159="EX",1,IF(DATOS!$G13159="OR",--(COUNTIFS(nNIA,DATOS!$A13159,nCURSO,DATOS!$D13159,nESPEC,DATOS!$E13159,nASIG,DATOS!$I13159,nEVAL,"EX")=0),0))))</f>
      </c>
      <c r="H13159">
        <f>IF(DATOS!$G13159&lt;&gt;"EX",0,--(COUNTIFS(nNIA,DATOS!$A13159,nCURSO,DATOS!$D13159,nESPEC,DATOS!$E13159,nASIG,DATOS!$I13159,nEVAL,"OR")=0))</f>
      </c>
      <c r="I13159">
        <f>IF(DATOS!$I13159="","",IFERROR(VLOOKUP(DATOS!$I13159,CONFIG_ASIGNATURAS!$B$2:$J$91,9,FALSE()),""))</f>
      </c>
    </row>
    <row r="13160">
      <c r="F13160">
        <f>IF(DATOS!$A13160="","",DATOS!$A13160&amp;"|"&amp;DATOS!$D13160&amp;"|"&amp;DATOS!$E13160&amp;"|"&amp;DATOS!$I13160)</f>
      </c>
      <c r="G13160">
        <f>IF(DATOS!$A13160="",0,IF(CONFIG_METADATA!$B$4&lt;&gt;"OR+EX",--(DATOS!$G13160=CONFIG_METADATA!$B$4),IF(DATOS!$G13160="EX",1,IF(DATOS!$G13160="OR",--(COUNTIFS(nNIA,DATOS!$A13160,nCURSO,DATOS!$D13160,nESPEC,DATOS!$E13160,nASIG,DATOS!$I13160,nEVAL,"EX")=0),0))))</f>
      </c>
      <c r="H13160">
        <f>IF(DATOS!$G13160&lt;&gt;"EX",0,--(COUNTIFS(nNIA,DATOS!$A13160,nCURSO,DATOS!$D13160,nESPEC,DATOS!$E13160,nASIG,DATOS!$I13160,nEVAL,"OR")=0))</f>
      </c>
      <c r="I13160">
        <f>IF(DATOS!$I13160="","",IFERROR(VLOOKUP(DATOS!$I13160,CONFIG_ASIGNATURAS!$B$2:$J$91,9,FALSE()),""))</f>
      </c>
    </row>
    <row r="13161">
      <c r="F13161">
        <f>IF(DATOS!$A13161="","",DATOS!$A13161&amp;"|"&amp;DATOS!$D13161&amp;"|"&amp;DATOS!$E13161&amp;"|"&amp;DATOS!$I13161)</f>
      </c>
      <c r="G13161">
        <f>IF(DATOS!$A13161="",0,IF(CONFIG_METADATA!$B$4&lt;&gt;"OR+EX",--(DATOS!$G13161=CONFIG_METADATA!$B$4),IF(DATOS!$G13161="EX",1,IF(DATOS!$G13161="OR",--(COUNTIFS(nNIA,DATOS!$A13161,nCURSO,DATOS!$D13161,nESPEC,DATOS!$E13161,nASIG,DATOS!$I13161,nEVAL,"EX")=0),0))))</f>
      </c>
      <c r="H13161">
        <f>IF(DATOS!$G13161&lt;&gt;"EX",0,--(COUNTIFS(nNIA,DATOS!$A13161,nCURSO,DATOS!$D13161,nESPEC,DATOS!$E13161,nASIG,DATOS!$I13161,nEVAL,"OR")=0))</f>
      </c>
      <c r="I13161">
        <f>IF(DATOS!$I13161="","",IFERROR(VLOOKUP(DATOS!$I13161,CONFIG_ASIGNATURAS!$B$2:$J$91,9,FALSE()),""))</f>
      </c>
    </row>
    <row r="13162">
      <c r="F13162">
        <f>IF(DATOS!$A13162="","",DATOS!$A13162&amp;"|"&amp;DATOS!$D13162&amp;"|"&amp;DATOS!$E13162&amp;"|"&amp;DATOS!$I13162)</f>
      </c>
      <c r="G13162">
        <f>IF(DATOS!$A13162="",0,IF(CONFIG_METADATA!$B$4&lt;&gt;"OR+EX",--(DATOS!$G13162=CONFIG_METADATA!$B$4),IF(DATOS!$G13162="EX",1,IF(DATOS!$G13162="OR",--(COUNTIFS(nNIA,DATOS!$A13162,nCURSO,DATOS!$D13162,nESPEC,DATOS!$E13162,nASIG,DATOS!$I13162,nEVAL,"EX")=0),0))))</f>
      </c>
      <c r="H13162">
        <f>IF(DATOS!$G13162&lt;&gt;"EX",0,--(COUNTIFS(nNIA,DATOS!$A13162,nCURSO,DATOS!$D13162,nESPEC,DATOS!$E13162,nASIG,DATOS!$I13162,nEVAL,"OR")=0))</f>
      </c>
      <c r="I13162">
        <f>IF(DATOS!$I13162="","",IFERROR(VLOOKUP(DATOS!$I13162,CONFIG_ASIGNATURAS!$B$2:$J$91,9,FALSE()),""))</f>
      </c>
    </row>
    <row r="13163">
      <c r="F13163">
        <f>IF(DATOS!$A13163="","",DATOS!$A13163&amp;"|"&amp;DATOS!$D13163&amp;"|"&amp;DATOS!$E13163&amp;"|"&amp;DATOS!$I13163)</f>
      </c>
      <c r="G13163">
        <f>IF(DATOS!$A13163="",0,IF(CONFIG_METADATA!$B$4&lt;&gt;"OR+EX",--(DATOS!$G13163=CONFIG_METADATA!$B$4),IF(DATOS!$G13163="EX",1,IF(DATOS!$G13163="OR",--(COUNTIFS(nNIA,DATOS!$A13163,nCURSO,DATOS!$D13163,nESPEC,DATOS!$E13163,nASIG,DATOS!$I13163,nEVAL,"EX")=0),0))))</f>
      </c>
      <c r="H13163">
        <f>IF(DATOS!$G13163&lt;&gt;"EX",0,--(COUNTIFS(nNIA,DATOS!$A13163,nCURSO,DATOS!$D13163,nESPEC,DATOS!$E13163,nASIG,DATOS!$I13163,nEVAL,"OR")=0))</f>
      </c>
      <c r="I13163">
        <f>IF(DATOS!$I13163="","",IFERROR(VLOOKUP(DATOS!$I13163,CONFIG_ASIGNATURAS!$B$2:$J$91,9,FALSE()),""))</f>
      </c>
    </row>
    <row r="13164">
      <c r="F13164">
        <f>IF(DATOS!$A13164="","",DATOS!$A13164&amp;"|"&amp;DATOS!$D13164&amp;"|"&amp;DATOS!$E13164&amp;"|"&amp;DATOS!$I13164)</f>
      </c>
      <c r="G13164">
        <f>IF(DATOS!$A13164="",0,IF(CONFIG_METADATA!$B$4&lt;&gt;"OR+EX",--(DATOS!$G13164=CONFIG_METADATA!$B$4),IF(DATOS!$G13164="EX",1,IF(DATOS!$G13164="OR",--(COUNTIFS(nNIA,DATOS!$A13164,nCURSO,DATOS!$D13164,nESPEC,DATOS!$E13164,nASIG,DATOS!$I13164,nEVAL,"EX")=0),0))))</f>
      </c>
      <c r="H13164">
        <f>IF(DATOS!$G13164&lt;&gt;"EX",0,--(COUNTIFS(nNIA,DATOS!$A13164,nCURSO,DATOS!$D13164,nESPEC,DATOS!$E13164,nASIG,DATOS!$I13164,nEVAL,"OR")=0))</f>
      </c>
      <c r="I13164">
        <f>IF(DATOS!$I13164="","",IFERROR(VLOOKUP(DATOS!$I13164,CONFIG_ASIGNATURAS!$B$2:$J$91,9,FALSE()),""))</f>
      </c>
    </row>
    <row r="13165">
      <c r="F13165">
        <f>IF(DATOS!$A13165="","",DATOS!$A13165&amp;"|"&amp;DATOS!$D13165&amp;"|"&amp;DATOS!$E13165&amp;"|"&amp;DATOS!$I13165)</f>
      </c>
      <c r="G13165">
        <f>IF(DATOS!$A13165="",0,IF(CONFIG_METADATA!$B$4&lt;&gt;"OR+EX",--(DATOS!$G13165=CONFIG_METADATA!$B$4),IF(DATOS!$G13165="EX",1,IF(DATOS!$G13165="OR",--(COUNTIFS(nNIA,DATOS!$A13165,nCURSO,DATOS!$D13165,nESPEC,DATOS!$E13165,nASIG,DATOS!$I13165,nEVAL,"EX")=0),0))))</f>
      </c>
      <c r="H13165">
        <f>IF(DATOS!$G13165&lt;&gt;"EX",0,--(COUNTIFS(nNIA,DATOS!$A13165,nCURSO,DATOS!$D13165,nESPEC,DATOS!$E13165,nASIG,DATOS!$I13165,nEVAL,"OR")=0))</f>
      </c>
      <c r="I13165">
        <f>IF(DATOS!$I13165="","",IFERROR(VLOOKUP(DATOS!$I13165,CONFIG_ASIGNATURAS!$B$2:$J$91,9,FALSE()),""))</f>
      </c>
    </row>
    <row r="13166">
      <c r="F13166">
        <f>IF(DATOS!$A13166="","",DATOS!$A13166&amp;"|"&amp;DATOS!$D13166&amp;"|"&amp;DATOS!$E13166&amp;"|"&amp;DATOS!$I13166)</f>
      </c>
      <c r="G13166">
        <f>IF(DATOS!$A13166="",0,IF(CONFIG_METADATA!$B$4&lt;&gt;"OR+EX",--(DATOS!$G13166=CONFIG_METADATA!$B$4),IF(DATOS!$G13166="EX",1,IF(DATOS!$G13166="OR",--(COUNTIFS(nNIA,DATOS!$A13166,nCURSO,DATOS!$D13166,nESPEC,DATOS!$E13166,nASIG,DATOS!$I13166,nEVAL,"EX")=0),0))))</f>
      </c>
      <c r="H13166">
        <f>IF(DATOS!$G13166&lt;&gt;"EX",0,--(COUNTIFS(nNIA,DATOS!$A13166,nCURSO,DATOS!$D13166,nESPEC,DATOS!$E13166,nASIG,DATOS!$I13166,nEVAL,"OR")=0))</f>
      </c>
      <c r="I13166">
        <f>IF(DATOS!$I13166="","",IFERROR(VLOOKUP(DATOS!$I13166,CONFIG_ASIGNATURAS!$B$2:$J$91,9,FALSE()),""))</f>
      </c>
    </row>
    <row r="13167">
      <c r="F13167">
        <f>IF(DATOS!$A13167="","",DATOS!$A13167&amp;"|"&amp;DATOS!$D13167&amp;"|"&amp;DATOS!$E13167&amp;"|"&amp;DATOS!$I13167)</f>
      </c>
      <c r="G13167">
        <f>IF(DATOS!$A13167="",0,IF(CONFIG_METADATA!$B$4&lt;&gt;"OR+EX",--(DATOS!$G13167=CONFIG_METADATA!$B$4),IF(DATOS!$G13167="EX",1,IF(DATOS!$G13167="OR",--(COUNTIFS(nNIA,DATOS!$A13167,nCURSO,DATOS!$D13167,nESPEC,DATOS!$E13167,nASIG,DATOS!$I13167,nEVAL,"EX")=0),0))))</f>
      </c>
      <c r="H13167">
        <f>IF(DATOS!$G13167&lt;&gt;"EX",0,--(COUNTIFS(nNIA,DATOS!$A13167,nCURSO,DATOS!$D13167,nESPEC,DATOS!$E13167,nASIG,DATOS!$I13167,nEVAL,"OR")=0))</f>
      </c>
      <c r="I13167">
        <f>IF(DATOS!$I13167="","",IFERROR(VLOOKUP(DATOS!$I13167,CONFIG_ASIGNATURAS!$B$2:$J$91,9,FALSE()),""))</f>
      </c>
    </row>
    <row r="13168">
      <c r="F13168">
        <f>IF(DATOS!$A13168="","",DATOS!$A13168&amp;"|"&amp;DATOS!$D13168&amp;"|"&amp;DATOS!$E13168&amp;"|"&amp;DATOS!$I13168)</f>
      </c>
      <c r="G13168">
        <f>IF(DATOS!$A13168="",0,IF(CONFIG_METADATA!$B$4&lt;&gt;"OR+EX",--(DATOS!$G13168=CONFIG_METADATA!$B$4),IF(DATOS!$G13168="EX",1,IF(DATOS!$G13168="OR",--(COUNTIFS(nNIA,DATOS!$A13168,nCURSO,DATOS!$D13168,nESPEC,DATOS!$E13168,nASIG,DATOS!$I13168,nEVAL,"EX")=0),0))))</f>
      </c>
      <c r="H13168">
        <f>IF(DATOS!$G13168&lt;&gt;"EX",0,--(COUNTIFS(nNIA,DATOS!$A13168,nCURSO,DATOS!$D13168,nESPEC,DATOS!$E13168,nASIG,DATOS!$I13168,nEVAL,"OR")=0))</f>
      </c>
      <c r="I13168">
        <f>IF(DATOS!$I13168="","",IFERROR(VLOOKUP(DATOS!$I13168,CONFIG_ASIGNATURAS!$B$2:$J$91,9,FALSE()),""))</f>
      </c>
    </row>
    <row r="13169">
      <c r="F13169">
        <f>IF(DATOS!$A13169="","",DATOS!$A13169&amp;"|"&amp;DATOS!$D13169&amp;"|"&amp;DATOS!$E13169&amp;"|"&amp;DATOS!$I13169)</f>
      </c>
      <c r="G13169">
        <f>IF(DATOS!$A13169="",0,IF(CONFIG_METADATA!$B$4&lt;&gt;"OR+EX",--(DATOS!$G13169=CONFIG_METADATA!$B$4),IF(DATOS!$G13169="EX",1,IF(DATOS!$G13169="OR",--(COUNTIFS(nNIA,DATOS!$A13169,nCURSO,DATOS!$D13169,nESPEC,DATOS!$E13169,nASIG,DATOS!$I13169,nEVAL,"EX")=0),0))))</f>
      </c>
      <c r="H13169">
        <f>IF(DATOS!$G13169&lt;&gt;"EX",0,--(COUNTIFS(nNIA,DATOS!$A13169,nCURSO,DATOS!$D13169,nESPEC,DATOS!$E13169,nASIG,DATOS!$I13169,nEVAL,"OR")=0))</f>
      </c>
      <c r="I13169">
        <f>IF(DATOS!$I13169="","",IFERROR(VLOOKUP(DATOS!$I13169,CONFIG_ASIGNATURAS!$B$2:$J$91,9,FALSE()),""))</f>
      </c>
    </row>
    <row r="13170">
      <c r="F13170">
        <f>IF(DATOS!$A13170="","",DATOS!$A13170&amp;"|"&amp;DATOS!$D13170&amp;"|"&amp;DATOS!$E13170&amp;"|"&amp;DATOS!$I13170)</f>
      </c>
      <c r="G13170">
        <f>IF(DATOS!$A13170="",0,IF(CONFIG_METADATA!$B$4&lt;&gt;"OR+EX",--(DATOS!$G13170=CONFIG_METADATA!$B$4),IF(DATOS!$G13170="EX",1,IF(DATOS!$G13170="OR",--(COUNTIFS(nNIA,DATOS!$A13170,nCURSO,DATOS!$D13170,nESPEC,DATOS!$E13170,nASIG,DATOS!$I13170,nEVAL,"EX")=0),0))))</f>
      </c>
      <c r="H13170">
        <f>IF(DATOS!$G13170&lt;&gt;"EX",0,--(COUNTIFS(nNIA,DATOS!$A13170,nCURSO,DATOS!$D13170,nESPEC,DATOS!$E13170,nASIG,DATOS!$I13170,nEVAL,"OR")=0))</f>
      </c>
      <c r="I13170">
        <f>IF(DATOS!$I13170="","",IFERROR(VLOOKUP(DATOS!$I13170,CONFIG_ASIGNATURAS!$B$2:$J$91,9,FALSE()),""))</f>
      </c>
    </row>
    <row r="13171">
      <c r="F13171">
        <f>IF(DATOS!$A13171="","",DATOS!$A13171&amp;"|"&amp;DATOS!$D13171&amp;"|"&amp;DATOS!$E13171&amp;"|"&amp;DATOS!$I13171)</f>
      </c>
      <c r="G13171">
        <f>IF(DATOS!$A13171="",0,IF(CONFIG_METADATA!$B$4&lt;&gt;"OR+EX",--(DATOS!$G13171=CONFIG_METADATA!$B$4),IF(DATOS!$G13171="EX",1,IF(DATOS!$G13171="OR",--(COUNTIFS(nNIA,DATOS!$A13171,nCURSO,DATOS!$D13171,nESPEC,DATOS!$E13171,nASIG,DATOS!$I13171,nEVAL,"EX")=0),0))))</f>
      </c>
      <c r="H13171">
        <f>IF(DATOS!$G13171&lt;&gt;"EX",0,--(COUNTIFS(nNIA,DATOS!$A13171,nCURSO,DATOS!$D13171,nESPEC,DATOS!$E13171,nASIG,DATOS!$I13171,nEVAL,"OR")=0))</f>
      </c>
      <c r="I13171">
        <f>IF(DATOS!$I13171="","",IFERROR(VLOOKUP(DATOS!$I13171,CONFIG_ASIGNATURAS!$B$2:$J$91,9,FALSE()),""))</f>
      </c>
    </row>
    <row r="13172">
      <c r="F13172">
        <f>IF(DATOS!$A13172="","",DATOS!$A13172&amp;"|"&amp;DATOS!$D13172&amp;"|"&amp;DATOS!$E13172&amp;"|"&amp;DATOS!$I13172)</f>
      </c>
      <c r="G13172">
        <f>IF(DATOS!$A13172="",0,IF(CONFIG_METADATA!$B$4&lt;&gt;"OR+EX",--(DATOS!$G13172=CONFIG_METADATA!$B$4),IF(DATOS!$G13172="EX",1,IF(DATOS!$G13172="OR",--(COUNTIFS(nNIA,DATOS!$A13172,nCURSO,DATOS!$D13172,nESPEC,DATOS!$E13172,nASIG,DATOS!$I13172,nEVAL,"EX")=0),0))))</f>
      </c>
      <c r="H13172">
        <f>IF(DATOS!$G13172&lt;&gt;"EX",0,--(COUNTIFS(nNIA,DATOS!$A13172,nCURSO,DATOS!$D13172,nESPEC,DATOS!$E13172,nASIG,DATOS!$I13172,nEVAL,"OR")=0))</f>
      </c>
      <c r="I13172">
        <f>IF(DATOS!$I13172="","",IFERROR(VLOOKUP(DATOS!$I13172,CONFIG_ASIGNATURAS!$B$2:$J$91,9,FALSE()),""))</f>
      </c>
    </row>
    <row r="13173">
      <c r="F13173">
        <f>IF(DATOS!$A13173="","",DATOS!$A13173&amp;"|"&amp;DATOS!$D13173&amp;"|"&amp;DATOS!$E13173&amp;"|"&amp;DATOS!$I13173)</f>
      </c>
      <c r="G13173">
        <f>IF(DATOS!$A13173="",0,IF(CONFIG_METADATA!$B$4&lt;&gt;"OR+EX",--(DATOS!$G13173=CONFIG_METADATA!$B$4),IF(DATOS!$G13173="EX",1,IF(DATOS!$G13173="OR",--(COUNTIFS(nNIA,DATOS!$A13173,nCURSO,DATOS!$D13173,nESPEC,DATOS!$E13173,nASIG,DATOS!$I13173,nEVAL,"EX")=0),0))))</f>
      </c>
      <c r="H13173">
        <f>IF(DATOS!$G13173&lt;&gt;"EX",0,--(COUNTIFS(nNIA,DATOS!$A13173,nCURSO,DATOS!$D13173,nESPEC,DATOS!$E13173,nASIG,DATOS!$I13173,nEVAL,"OR")=0))</f>
      </c>
      <c r="I13173">
        <f>IF(DATOS!$I13173="","",IFERROR(VLOOKUP(DATOS!$I13173,CONFIG_ASIGNATURAS!$B$2:$J$91,9,FALSE()),""))</f>
      </c>
    </row>
    <row r="13174">
      <c r="F13174">
        <f>IF(DATOS!$A13174="","",DATOS!$A13174&amp;"|"&amp;DATOS!$D13174&amp;"|"&amp;DATOS!$E13174&amp;"|"&amp;DATOS!$I13174)</f>
      </c>
      <c r="G13174">
        <f>IF(DATOS!$A13174="",0,IF(CONFIG_METADATA!$B$4&lt;&gt;"OR+EX",--(DATOS!$G13174=CONFIG_METADATA!$B$4),IF(DATOS!$G13174="EX",1,IF(DATOS!$G13174="OR",--(COUNTIFS(nNIA,DATOS!$A13174,nCURSO,DATOS!$D13174,nESPEC,DATOS!$E13174,nASIG,DATOS!$I13174,nEVAL,"EX")=0),0))))</f>
      </c>
      <c r="H13174">
        <f>IF(DATOS!$G13174&lt;&gt;"EX",0,--(COUNTIFS(nNIA,DATOS!$A13174,nCURSO,DATOS!$D13174,nESPEC,DATOS!$E13174,nASIG,DATOS!$I13174,nEVAL,"OR")=0))</f>
      </c>
      <c r="I13174">
        <f>IF(DATOS!$I13174="","",IFERROR(VLOOKUP(DATOS!$I13174,CONFIG_ASIGNATURAS!$B$2:$J$91,9,FALSE()),""))</f>
      </c>
    </row>
    <row r="13175">
      <c r="F13175">
        <f>IF(DATOS!$A13175="","",DATOS!$A13175&amp;"|"&amp;DATOS!$D13175&amp;"|"&amp;DATOS!$E13175&amp;"|"&amp;DATOS!$I13175)</f>
      </c>
      <c r="G13175">
        <f>IF(DATOS!$A13175="",0,IF(CONFIG_METADATA!$B$4&lt;&gt;"OR+EX",--(DATOS!$G13175=CONFIG_METADATA!$B$4),IF(DATOS!$G13175="EX",1,IF(DATOS!$G13175="OR",--(COUNTIFS(nNIA,DATOS!$A13175,nCURSO,DATOS!$D13175,nESPEC,DATOS!$E13175,nASIG,DATOS!$I13175,nEVAL,"EX")=0),0))))</f>
      </c>
      <c r="H13175">
        <f>IF(DATOS!$G13175&lt;&gt;"EX",0,--(COUNTIFS(nNIA,DATOS!$A13175,nCURSO,DATOS!$D13175,nESPEC,DATOS!$E13175,nASIG,DATOS!$I13175,nEVAL,"OR")=0))</f>
      </c>
      <c r="I13175">
        <f>IF(DATOS!$I13175="","",IFERROR(VLOOKUP(DATOS!$I13175,CONFIG_ASIGNATURAS!$B$2:$J$91,9,FALSE()),""))</f>
      </c>
    </row>
    <row r="13176">
      <c r="F13176">
        <f>IF(DATOS!$A13176="","",DATOS!$A13176&amp;"|"&amp;DATOS!$D13176&amp;"|"&amp;DATOS!$E13176&amp;"|"&amp;DATOS!$I13176)</f>
      </c>
      <c r="G13176">
        <f>IF(DATOS!$A13176="",0,IF(CONFIG_METADATA!$B$4&lt;&gt;"OR+EX",--(DATOS!$G13176=CONFIG_METADATA!$B$4),IF(DATOS!$G13176="EX",1,IF(DATOS!$G13176="OR",--(COUNTIFS(nNIA,DATOS!$A13176,nCURSO,DATOS!$D13176,nESPEC,DATOS!$E13176,nASIG,DATOS!$I13176,nEVAL,"EX")=0),0))))</f>
      </c>
      <c r="H13176">
        <f>IF(DATOS!$G13176&lt;&gt;"EX",0,--(COUNTIFS(nNIA,DATOS!$A13176,nCURSO,DATOS!$D13176,nESPEC,DATOS!$E13176,nASIG,DATOS!$I13176,nEVAL,"OR")=0))</f>
      </c>
      <c r="I13176">
        <f>IF(DATOS!$I13176="","",IFERROR(VLOOKUP(DATOS!$I13176,CONFIG_ASIGNATURAS!$B$2:$J$91,9,FALSE()),""))</f>
      </c>
    </row>
    <row r="13177">
      <c r="F13177">
        <f>IF(DATOS!$A13177="","",DATOS!$A13177&amp;"|"&amp;DATOS!$D13177&amp;"|"&amp;DATOS!$E13177&amp;"|"&amp;DATOS!$I13177)</f>
      </c>
      <c r="G13177">
        <f>IF(DATOS!$A13177="",0,IF(CONFIG_METADATA!$B$4&lt;&gt;"OR+EX",--(DATOS!$G13177=CONFIG_METADATA!$B$4),IF(DATOS!$G13177="EX",1,IF(DATOS!$G13177="OR",--(COUNTIFS(nNIA,DATOS!$A13177,nCURSO,DATOS!$D13177,nESPEC,DATOS!$E13177,nASIG,DATOS!$I13177,nEVAL,"EX")=0),0))))</f>
      </c>
      <c r="H13177">
        <f>IF(DATOS!$G13177&lt;&gt;"EX",0,--(COUNTIFS(nNIA,DATOS!$A13177,nCURSO,DATOS!$D13177,nESPEC,DATOS!$E13177,nASIG,DATOS!$I13177,nEVAL,"OR")=0))</f>
      </c>
      <c r="I13177">
        <f>IF(DATOS!$I13177="","",IFERROR(VLOOKUP(DATOS!$I13177,CONFIG_ASIGNATURAS!$B$2:$J$91,9,FALSE()),""))</f>
      </c>
    </row>
    <row r="13178">
      <c r="F13178">
        <f>IF(DATOS!$A13178="","",DATOS!$A13178&amp;"|"&amp;DATOS!$D13178&amp;"|"&amp;DATOS!$E13178&amp;"|"&amp;DATOS!$I13178)</f>
      </c>
      <c r="G13178">
        <f>IF(DATOS!$A13178="",0,IF(CONFIG_METADATA!$B$4&lt;&gt;"OR+EX",--(DATOS!$G13178=CONFIG_METADATA!$B$4),IF(DATOS!$G13178="EX",1,IF(DATOS!$G13178="OR",--(COUNTIFS(nNIA,DATOS!$A13178,nCURSO,DATOS!$D13178,nESPEC,DATOS!$E13178,nASIG,DATOS!$I13178,nEVAL,"EX")=0),0))))</f>
      </c>
      <c r="H13178">
        <f>IF(DATOS!$G13178&lt;&gt;"EX",0,--(COUNTIFS(nNIA,DATOS!$A13178,nCURSO,DATOS!$D13178,nESPEC,DATOS!$E13178,nASIG,DATOS!$I13178,nEVAL,"OR")=0))</f>
      </c>
      <c r="I13178">
        <f>IF(DATOS!$I13178="","",IFERROR(VLOOKUP(DATOS!$I13178,CONFIG_ASIGNATURAS!$B$2:$J$91,9,FALSE()),""))</f>
      </c>
    </row>
    <row r="13179">
      <c r="F13179">
        <f>IF(DATOS!$A13179="","",DATOS!$A13179&amp;"|"&amp;DATOS!$D13179&amp;"|"&amp;DATOS!$E13179&amp;"|"&amp;DATOS!$I13179)</f>
      </c>
      <c r="G13179">
        <f>IF(DATOS!$A13179="",0,IF(CONFIG_METADATA!$B$4&lt;&gt;"OR+EX",--(DATOS!$G13179=CONFIG_METADATA!$B$4),IF(DATOS!$G13179="EX",1,IF(DATOS!$G13179="OR",--(COUNTIFS(nNIA,DATOS!$A13179,nCURSO,DATOS!$D13179,nESPEC,DATOS!$E13179,nASIG,DATOS!$I13179,nEVAL,"EX")=0),0))))</f>
      </c>
      <c r="H13179">
        <f>IF(DATOS!$G13179&lt;&gt;"EX",0,--(COUNTIFS(nNIA,DATOS!$A13179,nCURSO,DATOS!$D13179,nESPEC,DATOS!$E13179,nASIG,DATOS!$I13179,nEVAL,"OR")=0))</f>
      </c>
      <c r="I13179">
        <f>IF(DATOS!$I13179="","",IFERROR(VLOOKUP(DATOS!$I13179,CONFIG_ASIGNATURAS!$B$2:$J$91,9,FALSE()),""))</f>
      </c>
    </row>
    <row r="13180">
      <c r="F13180">
        <f>IF(DATOS!$A13180="","",DATOS!$A13180&amp;"|"&amp;DATOS!$D13180&amp;"|"&amp;DATOS!$E13180&amp;"|"&amp;DATOS!$I13180)</f>
      </c>
      <c r="G13180">
        <f>IF(DATOS!$A13180="",0,IF(CONFIG_METADATA!$B$4&lt;&gt;"OR+EX",--(DATOS!$G13180=CONFIG_METADATA!$B$4),IF(DATOS!$G13180="EX",1,IF(DATOS!$G13180="OR",--(COUNTIFS(nNIA,DATOS!$A13180,nCURSO,DATOS!$D13180,nESPEC,DATOS!$E13180,nASIG,DATOS!$I13180,nEVAL,"EX")=0),0))))</f>
      </c>
      <c r="H13180">
        <f>IF(DATOS!$G13180&lt;&gt;"EX",0,--(COUNTIFS(nNIA,DATOS!$A13180,nCURSO,DATOS!$D13180,nESPEC,DATOS!$E13180,nASIG,DATOS!$I13180,nEVAL,"OR")=0))</f>
      </c>
      <c r="I13180">
        <f>IF(DATOS!$I13180="","",IFERROR(VLOOKUP(DATOS!$I13180,CONFIG_ASIGNATURAS!$B$2:$J$91,9,FALSE()),""))</f>
      </c>
    </row>
    <row r="13181">
      <c r="F13181">
        <f>IF(DATOS!$A13181="","",DATOS!$A13181&amp;"|"&amp;DATOS!$D13181&amp;"|"&amp;DATOS!$E13181&amp;"|"&amp;DATOS!$I13181)</f>
      </c>
      <c r="G13181">
        <f>IF(DATOS!$A13181="",0,IF(CONFIG_METADATA!$B$4&lt;&gt;"OR+EX",--(DATOS!$G13181=CONFIG_METADATA!$B$4),IF(DATOS!$G13181="EX",1,IF(DATOS!$G13181="OR",--(COUNTIFS(nNIA,DATOS!$A13181,nCURSO,DATOS!$D13181,nESPEC,DATOS!$E13181,nASIG,DATOS!$I13181,nEVAL,"EX")=0),0))))</f>
      </c>
      <c r="H13181">
        <f>IF(DATOS!$G13181&lt;&gt;"EX",0,--(COUNTIFS(nNIA,DATOS!$A13181,nCURSO,DATOS!$D13181,nESPEC,DATOS!$E13181,nASIG,DATOS!$I13181,nEVAL,"OR")=0))</f>
      </c>
      <c r="I13181">
        <f>IF(DATOS!$I13181="","",IFERROR(VLOOKUP(DATOS!$I13181,CONFIG_ASIGNATURAS!$B$2:$J$91,9,FALSE()),""))</f>
      </c>
    </row>
    <row r="13182">
      <c r="F13182">
        <f>IF(DATOS!$A13182="","",DATOS!$A13182&amp;"|"&amp;DATOS!$D13182&amp;"|"&amp;DATOS!$E13182&amp;"|"&amp;DATOS!$I13182)</f>
      </c>
      <c r="G13182">
        <f>IF(DATOS!$A13182="",0,IF(CONFIG_METADATA!$B$4&lt;&gt;"OR+EX",--(DATOS!$G13182=CONFIG_METADATA!$B$4),IF(DATOS!$G13182="EX",1,IF(DATOS!$G13182="OR",--(COUNTIFS(nNIA,DATOS!$A13182,nCURSO,DATOS!$D13182,nESPEC,DATOS!$E13182,nASIG,DATOS!$I13182,nEVAL,"EX")=0),0))))</f>
      </c>
      <c r="H13182">
        <f>IF(DATOS!$G13182&lt;&gt;"EX",0,--(COUNTIFS(nNIA,DATOS!$A13182,nCURSO,DATOS!$D13182,nESPEC,DATOS!$E13182,nASIG,DATOS!$I13182,nEVAL,"OR")=0))</f>
      </c>
      <c r="I13182">
        <f>IF(DATOS!$I13182="","",IFERROR(VLOOKUP(DATOS!$I13182,CONFIG_ASIGNATURAS!$B$2:$J$91,9,FALSE()),""))</f>
      </c>
    </row>
    <row r="13183">
      <c r="F13183">
        <f>IF(DATOS!$A13183="","",DATOS!$A13183&amp;"|"&amp;DATOS!$D13183&amp;"|"&amp;DATOS!$E13183&amp;"|"&amp;DATOS!$I13183)</f>
      </c>
      <c r="G13183">
        <f>IF(DATOS!$A13183="",0,IF(CONFIG_METADATA!$B$4&lt;&gt;"OR+EX",--(DATOS!$G13183=CONFIG_METADATA!$B$4),IF(DATOS!$G13183="EX",1,IF(DATOS!$G13183="OR",--(COUNTIFS(nNIA,DATOS!$A13183,nCURSO,DATOS!$D13183,nESPEC,DATOS!$E13183,nASIG,DATOS!$I13183,nEVAL,"EX")=0),0))))</f>
      </c>
      <c r="H13183">
        <f>IF(DATOS!$G13183&lt;&gt;"EX",0,--(COUNTIFS(nNIA,DATOS!$A13183,nCURSO,DATOS!$D13183,nESPEC,DATOS!$E13183,nASIG,DATOS!$I13183,nEVAL,"OR")=0))</f>
      </c>
      <c r="I13183">
        <f>IF(DATOS!$I13183="","",IFERROR(VLOOKUP(DATOS!$I13183,CONFIG_ASIGNATURAS!$B$2:$J$91,9,FALSE()),""))</f>
      </c>
    </row>
    <row r="13184">
      <c r="F13184">
        <f>IF(DATOS!$A13184="","",DATOS!$A13184&amp;"|"&amp;DATOS!$D13184&amp;"|"&amp;DATOS!$E13184&amp;"|"&amp;DATOS!$I13184)</f>
      </c>
      <c r="G13184">
        <f>IF(DATOS!$A13184="",0,IF(CONFIG_METADATA!$B$4&lt;&gt;"OR+EX",--(DATOS!$G13184=CONFIG_METADATA!$B$4),IF(DATOS!$G13184="EX",1,IF(DATOS!$G13184="OR",--(COUNTIFS(nNIA,DATOS!$A13184,nCURSO,DATOS!$D13184,nESPEC,DATOS!$E13184,nASIG,DATOS!$I13184,nEVAL,"EX")=0),0))))</f>
      </c>
      <c r="H13184">
        <f>IF(DATOS!$G13184&lt;&gt;"EX",0,--(COUNTIFS(nNIA,DATOS!$A13184,nCURSO,DATOS!$D13184,nESPEC,DATOS!$E13184,nASIG,DATOS!$I13184,nEVAL,"OR")=0))</f>
      </c>
      <c r="I13184">
        <f>IF(DATOS!$I13184="","",IFERROR(VLOOKUP(DATOS!$I13184,CONFIG_ASIGNATURAS!$B$2:$J$91,9,FALSE()),""))</f>
      </c>
    </row>
    <row r="13185">
      <c r="F13185">
        <f>IF(DATOS!$A13185="","",DATOS!$A13185&amp;"|"&amp;DATOS!$D13185&amp;"|"&amp;DATOS!$E13185&amp;"|"&amp;DATOS!$I13185)</f>
      </c>
      <c r="G13185">
        <f>IF(DATOS!$A13185="",0,IF(CONFIG_METADATA!$B$4&lt;&gt;"OR+EX",--(DATOS!$G13185=CONFIG_METADATA!$B$4),IF(DATOS!$G13185="EX",1,IF(DATOS!$G13185="OR",--(COUNTIFS(nNIA,DATOS!$A13185,nCURSO,DATOS!$D13185,nESPEC,DATOS!$E13185,nASIG,DATOS!$I13185,nEVAL,"EX")=0),0))))</f>
      </c>
      <c r="H13185">
        <f>IF(DATOS!$G13185&lt;&gt;"EX",0,--(COUNTIFS(nNIA,DATOS!$A13185,nCURSO,DATOS!$D13185,nESPEC,DATOS!$E13185,nASIG,DATOS!$I13185,nEVAL,"OR")=0))</f>
      </c>
      <c r="I13185">
        <f>IF(DATOS!$I13185="","",IFERROR(VLOOKUP(DATOS!$I13185,CONFIG_ASIGNATURAS!$B$2:$J$91,9,FALSE()),""))</f>
      </c>
    </row>
    <row r="13186">
      <c r="F13186">
        <f>IF(DATOS!$A13186="","",DATOS!$A13186&amp;"|"&amp;DATOS!$D13186&amp;"|"&amp;DATOS!$E13186&amp;"|"&amp;DATOS!$I13186)</f>
      </c>
      <c r="G13186">
        <f>IF(DATOS!$A13186="",0,IF(CONFIG_METADATA!$B$4&lt;&gt;"OR+EX",--(DATOS!$G13186=CONFIG_METADATA!$B$4),IF(DATOS!$G13186="EX",1,IF(DATOS!$G13186="OR",--(COUNTIFS(nNIA,DATOS!$A13186,nCURSO,DATOS!$D13186,nESPEC,DATOS!$E13186,nASIG,DATOS!$I13186,nEVAL,"EX")=0),0))))</f>
      </c>
      <c r="H13186">
        <f>IF(DATOS!$G13186&lt;&gt;"EX",0,--(COUNTIFS(nNIA,DATOS!$A13186,nCURSO,DATOS!$D13186,nESPEC,DATOS!$E13186,nASIG,DATOS!$I13186,nEVAL,"OR")=0))</f>
      </c>
      <c r="I13186">
        <f>IF(DATOS!$I13186="","",IFERROR(VLOOKUP(DATOS!$I13186,CONFIG_ASIGNATURAS!$B$2:$J$91,9,FALSE()),""))</f>
      </c>
    </row>
    <row r="13187">
      <c r="F13187">
        <f>IF(DATOS!$A13187="","",DATOS!$A13187&amp;"|"&amp;DATOS!$D13187&amp;"|"&amp;DATOS!$E13187&amp;"|"&amp;DATOS!$I13187)</f>
      </c>
      <c r="G13187">
        <f>IF(DATOS!$A13187="",0,IF(CONFIG_METADATA!$B$4&lt;&gt;"OR+EX",--(DATOS!$G13187=CONFIG_METADATA!$B$4),IF(DATOS!$G13187="EX",1,IF(DATOS!$G13187="OR",--(COUNTIFS(nNIA,DATOS!$A13187,nCURSO,DATOS!$D13187,nESPEC,DATOS!$E13187,nASIG,DATOS!$I13187,nEVAL,"EX")=0),0))))</f>
      </c>
      <c r="H13187">
        <f>IF(DATOS!$G13187&lt;&gt;"EX",0,--(COUNTIFS(nNIA,DATOS!$A13187,nCURSO,DATOS!$D13187,nESPEC,DATOS!$E13187,nASIG,DATOS!$I13187,nEVAL,"OR")=0))</f>
      </c>
      <c r="I13187">
        <f>IF(DATOS!$I13187="","",IFERROR(VLOOKUP(DATOS!$I13187,CONFIG_ASIGNATURAS!$B$2:$J$91,9,FALSE()),""))</f>
      </c>
    </row>
    <row r="13188">
      <c r="F13188">
        <f>IF(DATOS!$A13188="","",DATOS!$A13188&amp;"|"&amp;DATOS!$D13188&amp;"|"&amp;DATOS!$E13188&amp;"|"&amp;DATOS!$I13188)</f>
      </c>
      <c r="G13188">
        <f>IF(DATOS!$A13188="",0,IF(CONFIG_METADATA!$B$4&lt;&gt;"OR+EX",--(DATOS!$G13188=CONFIG_METADATA!$B$4),IF(DATOS!$G13188="EX",1,IF(DATOS!$G13188="OR",--(COUNTIFS(nNIA,DATOS!$A13188,nCURSO,DATOS!$D13188,nESPEC,DATOS!$E13188,nASIG,DATOS!$I13188,nEVAL,"EX")=0),0))))</f>
      </c>
      <c r="H13188">
        <f>IF(DATOS!$G13188&lt;&gt;"EX",0,--(COUNTIFS(nNIA,DATOS!$A13188,nCURSO,DATOS!$D13188,nESPEC,DATOS!$E13188,nASIG,DATOS!$I13188,nEVAL,"OR")=0))</f>
      </c>
      <c r="I13188">
        <f>IF(DATOS!$I13188="","",IFERROR(VLOOKUP(DATOS!$I13188,CONFIG_ASIGNATURAS!$B$2:$J$91,9,FALSE()),""))</f>
      </c>
    </row>
    <row r="13189">
      <c r="F13189">
        <f>IF(DATOS!$A13189="","",DATOS!$A13189&amp;"|"&amp;DATOS!$D13189&amp;"|"&amp;DATOS!$E13189&amp;"|"&amp;DATOS!$I13189)</f>
      </c>
      <c r="G13189">
        <f>IF(DATOS!$A13189="",0,IF(CONFIG_METADATA!$B$4&lt;&gt;"OR+EX",--(DATOS!$G13189=CONFIG_METADATA!$B$4),IF(DATOS!$G13189="EX",1,IF(DATOS!$G13189="OR",--(COUNTIFS(nNIA,DATOS!$A13189,nCURSO,DATOS!$D13189,nESPEC,DATOS!$E13189,nASIG,DATOS!$I13189,nEVAL,"EX")=0),0))))</f>
      </c>
      <c r="H13189">
        <f>IF(DATOS!$G13189&lt;&gt;"EX",0,--(COUNTIFS(nNIA,DATOS!$A13189,nCURSO,DATOS!$D13189,nESPEC,DATOS!$E13189,nASIG,DATOS!$I13189,nEVAL,"OR")=0))</f>
      </c>
      <c r="I13189">
        <f>IF(DATOS!$I13189="","",IFERROR(VLOOKUP(DATOS!$I13189,CONFIG_ASIGNATURAS!$B$2:$J$91,9,FALSE()),""))</f>
      </c>
    </row>
    <row r="13190">
      <c r="F13190">
        <f>IF(DATOS!$A13190="","",DATOS!$A13190&amp;"|"&amp;DATOS!$D13190&amp;"|"&amp;DATOS!$E13190&amp;"|"&amp;DATOS!$I13190)</f>
      </c>
      <c r="G13190">
        <f>IF(DATOS!$A13190="",0,IF(CONFIG_METADATA!$B$4&lt;&gt;"OR+EX",--(DATOS!$G13190=CONFIG_METADATA!$B$4),IF(DATOS!$G13190="EX",1,IF(DATOS!$G13190="OR",--(COUNTIFS(nNIA,DATOS!$A13190,nCURSO,DATOS!$D13190,nESPEC,DATOS!$E13190,nASIG,DATOS!$I13190,nEVAL,"EX")=0),0))))</f>
      </c>
      <c r="H13190">
        <f>IF(DATOS!$G13190&lt;&gt;"EX",0,--(COUNTIFS(nNIA,DATOS!$A13190,nCURSO,DATOS!$D13190,nESPEC,DATOS!$E13190,nASIG,DATOS!$I13190,nEVAL,"OR")=0))</f>
      </c>
      <c r="I13190">
        <f>IF(DATOS!$I13190="","",IFERROR(VLOOKUP(DATOS!$I13190,CONFIG_ASIGNATURAS!$B$2:$J$91,9,FALSE()),""))</f>
      </c>
    </row>
    <row r="13191">
      <c r="F13191">
        <f>IF(DATOS!$A13191="","",DATOS!$A13191&amp;"|"&amp;DATOS!$D13191&amp;"|"&amp;DATOS!$E13191&amp;"|"&amp;DATOS!$I13191)</f>
      </c>
      <c r="G13191">
        <f>IF(DATOS!$A13191="",0,IF(CONFIG_METADATA!$B$4&lt;&gt;"OR+EX",--(DATOS!$G13191=CONFIG_METADATA!$B$4),IF(DATOS!$G13191="EX",1,IF(DATOS!$G13191="OR",--(COUNTIFS(nNIA,DATOS!$A13191,nCURSO,DATOS!$D13191,nESPEC,DATOS!$E13191,nASIG,DATOS!$I13191,nEVAL,"EX")=0),0))))</f>
      </c>
      <c r="H13191">
        <f>IF(DATOS!$G13191&lt;&gt;"EX",0,--(COUNTIFS(nNIA,DATOS!$A13191,nCURSO,DATOS!$D13191,nESPEC,DATOS!$E13191,nASIG,DATOS!$I13191,nEVAL,"OR")=0))</f>
      </c>
      <c r="I13191">
        <f>IF(DATOS!$I13191="","",IFERROR(VLOOKUP(DATOS!$I13191,CONFIG_ASIGNATURAS!$B$2:$J$91,9,FALSE()),""))</f>
      </c>
    </row>
    <row r="13192">
      <c r="F13192">
        <f>IF(DATOS!$A13192="","",DATOS!$A13192&amp;"|"&amp;DATOS!$D13192&amp;"|"&amp;DATOS!$E13192&amp;"|"&amp;DATOS!$I13192)</f>
      </c>
      <c r="G13192">
        <f>IF(DATOS!$A13192="",0,IF(CONFIG_METADATA!$B$4&lt;&gt;"OR+EX",--(DATOS!$G13192=CONFIG_METADATA!$B$4),IF(DATOS!$G13192="EX",1,IF(DATOS!$G13192="OR",--(COUNTIFS(nNIA,DATOS!$A13192,nCURSO,DATOS!$D13192,nESPEC,DATOS!$E13192,nASIG,DATOS!$I13192,nEVAL,"EX")=0),0))))</f>
      </c>
      <c r="H13192">
        <f>IF(DATOS!$G13192&lt;&gt;"EX",0,--(COUNTIFS(nNIA,DATOS!$A13192,nCURSO,DATOS!$D13192,nESPEC,DATOS!$E13192,nASIG,DATOS!$I13192,nEVAL,"OR")=0))</f>
      </c>
      <c r="I13192">
        <f>IF(DATOS!$I13192="","",IFERROR(VLOOKUP(DATOS!$I13192,CONFIG_ASIGNATURAS!$B$2:$J$91,9,FALSE()),""))</f>
      </c>
    </row>
    <row r="13193">
      <c r="F13193">
        <f>IF(DATOS!$A13193="","",DATOS!$A13193&amp;"|"&amp;DATOS!$D13193&amp;"|"&amp;DATOS!$E13193&amp;"|"&amp;DATOS!$I13193)</f>
      </c>
      <c r="G13193">
        <f>IF(DATOS!$A13193="",0,IF(CONFIG_METADATA!$B$4&lt;&gt;"OR+EX",--(DATOS!$G13193=CONFIG_METADATA!$B$4),IF(DATOS!$G13193="EX",1,IF(DATOS!$G13193="OR",--(COUNTIFS(nNIA,DATOS!$A13193,nCURSO,DATOS!$D13193,nESPEC,DATOS!$E13193,nASIG,DATOS!$I13193,nEVAL,"EX")=0),0))))</f>
      </c>
      <c r="H13193">
        <f>IF(DATOS!$G13193&lt;&gt;"EX",0,--(COUNTIFS(nNIA,DATOS!$A13193,nCURSO,DATOS!$D13193,nESPEC,DATOS!$E13193,nASIG,DATOS!$I13193,nEVAL,"OR")=0))</f>
      </c>
      <c r="I13193">
        <f>IF(DATOS!$I13193="","",IFERROR(VLOOKUP(DATOS!$I13193,CONFIG_ASIGNATURAS!$B$2:$J$91,9,FALSE()),""))</f>
      </c>
    </row>
    <row r="13194">
      <c r="F13194">
        <f>IF(DATOS!$A13194="","",DATOS!$A13194&amp;"|"&amp;DATOS!$D13194&amp;"|"&amp;DATOS!$E13194&amp;"|"&amp;DATOS!$I13194)</f>
      </c>
      <c r="G13194">
        <f>IF(DATOS!$A13194="",0,IF(CONFIG_METADATA!$B$4&lt;&gt;"OR+EX",--(DATOS!$G13194=CONFIG_METADATA!$B$4),IF(DATOS!$G13194="EX",1,IF(DATOS!$G13194="OR",--(COUNTIFS(nNIA,DATOS!$A13194,nCURSO,DATOS!$D13194,nESPEC,DATOS!$E13194,nASIG,DATOS!$I13194,nEVAL,"EX")=0),0))))</f>
      </c>
      <c r="H13194">
        <f>IF(DATOS!$G13194&lt;&gt;"EX",0,--(COUNTIFS(nNIA,DATOS!$A13194,nCURSO,DATOS!$D13194,nESPEC,DATOS!$E13194,nASIG,DATOS!$I13194,nEVAL,"OR")=0))</f>
      </c>
      <c r="I13194">
        <f>IF(DATOS!$I13194="","",IFERROR(VLOOKUP(DATOS!$I13194,CONFIG_ASIGNATURAS!$B$2:$J$91,9,FALSE()),""))</f>
      </c>
    </row>
    <row r="13195">
      <c r="F13195">
        <f>IF(DATOS!$A13195="","",DATOS!$A13195&amp;"|"&amp;DATOS!$D13195&amp;"|"&amp;DATOS!$E13195&amp;"|"&amp;DATOS!$I13195)</f>
      </c>
      <c r="G13195">
        <f>IF(DATOS!$A13195="",0,IF(CONFIG_METADATA!$B$4&lt;&gt;"OR+EX",--(DATOS!$G13195=CONFIG_METADATA!$B$4),IF(DATOS!$G13195="EX",1,IF(DATOS!$G13195="OR",--(COUNTIFS(nNIA,DATOS!$A13195,nCURSO,DATOS!$D13195,nESPEC,DATOS!$E13195,nASIG,DATOS!$I13195,nEVAL,"EX")=0),0))))</f>
      </c>
      <c r="H13195">
        <f>IF(DATOS!$G13195&lt;&gt;"EX",0,--(COUNTIFS(nNIA,DATOS!$A13195,nCURSO,DATOS!$D13195,nESPEC,DATOS!$E13195,nASIG,DATOS!$I13195,nEVAL,"OR")=0))</f>
      </c>
      <c r="I13195">
        <f>IF(DATOS!$I13195="","",IFERROR(VLOOKUP(DATOS!$I13195,CONFIG_ASIGNATURAS!$B$2:$J$91,9,FALSE()),""))</f>
      </c>
    </row>
    <row r="13196">
      <c r="F13196">
        <f>IF(DATOS!$A13196="","",DATOS!$A13196&amp;"|"&amp;DATOS!$D13196&amp;"|"&amp;DATOS!$E13196&amp;"|"&amp;DATOS!$I13196)</f>
      </c>
      <c r="G13196">
        <f>IF(DATOS!$A13196="",0,IF(CONFIG_METADATA!$B$4&lt;&gt;"OR+EX",--(DATOS!$G13196=CONFIG_METADATA!$B$4),IF(DATOS!$G13196="EX",1,IF(DATOS!$G13196="OR",--(COUNTIFS(nNIA,DATOS!$A13196,nCURSO,DATOS!$D13196,nESPEC,DATOS!$E13196,nASIG,DATOS!$I13196,nEVAL,"EX")=0),0))))</f>
      </c>
      <c r="H13196">
        <f>IF(DATOS!$G13196&lt;&gt;"EX",0,--(COUNTIFS(nNIA,DATOS!$A13196,nCURSO,DATOS!$D13196,nESPEC,DATOS!$E13196,nASIG,DATOS!$I13196,nEVAL,"OR")=0))</f>
      </c>
      <c r="I13196">
        <f>IF(DATOS!$I13196="","",IFERROR(VLOOKUP(DATOS!$I13196,CONFIG_ASIGNATURAS!$B$2:$J$91,9,FALSE()),""))</f>
      </c>
    </row>
    <row r="13197">
      <c r="F13197">
        <f>IF(DATOS!$A13197="","",DATOS!$A13197&amp;"|"&amp;DATOS!$D13197&amp;"|"&amp;DATOS!$E13197&amp;"|"&amp;DATOS!$I13197)</f>
      </c>
      <c r="G13197">
        <f>IF(DATOS!$A13197="",0,IF(CONFIG_METADATA!$B$4&lt;&gt;"OR+EX",--(DATOS!$G13197=CONFIG_METADATA!$B$4),IF(DATOS!$G13197="EX",1,IF(DATOS!$G13197="OR",--(COUNTIFS(nNIA,DATOS!$A13197,nCURSO,DATOS!$D13197,nESPEC,DATOS!$E13197,nASIG,DATOS!$I13197,nEVAL,"EX")=0),0))))</f>
      </c>
      <c r="H13197">
        <f>IF(DATOS!$G13197&lt;&gt;"EX",0,--(COUNTIFS(nNIA,DATOS!$A13197,nCURSO,DATOS!$D13197,nESPEC,DATOS!$E13197,nASIG,DATOS!$I13197,nEVAL,"OR")=0))</f>
      </c>
      <c r="I13197">
        <f>IF(DATOS!$I13197="","",IFERROR(VLOOKUP(DATOS!$I13197,CONFIG_ASIGNATURAS!$B$2:$J$91,9,FALSE()),""))</f>
      </c>
    </row>
    <row r="13198">
      <c r="F13198">
        <f>IF(DATOS!$A13198="","",DATOS!$A13198&amp;"|"&amp;DATOS!$D13198&amp;"|"&amp;DATOS!$E13198&amp;"|"&amp;DATOS!$I13198)</f>
      </c>
      <c r="G13198">
        <f>IF(DATOS!$A13198="",0,IF(CONFIG_METADATA!$B$4&lt;&gt;"OR+EX",--(DATOS!$G13198=CONFIG_METADATA!$B$4),IF(DATOS!$G13198="EX",1,IF(DATOS!$G13198="OR",--(COUNTIFS(nNIA,DATOS!$A13198,nCURSO,DATOS!$D13198,nESPEC,DATOS!$E13198,nASIG,DATOS!$I13198,nEVAL,"EX")=0),0))))</f>
      </c>
      <c r="H13198">
        <f>IF(DATOS!$G13198&lt;&gt;"EX",0,--(COUNTIFS(nNIA,DATOS!$A13198,nCURSO,DATOS!$D13198,nESPEC,DATOS!$E13198,nASIG,DATOS!$I13198,nEVAL,"OR")=0))</f>
      </c>
      <c r="I13198">
        <f>IF(DATOS!$I13198="","",IFERROR(VLOOKUP(DATOS!$I13198,CONFIG_ASIGNATURAS!$B$2:$J$91,9,FALSE()),""))</f>
      </c>
    </row>
    <row r="13199">
      <c r="F13199">
        <f>IF(DATOS!$A13199="","",DATOS!$A13199&amp;"|"&amp;DATOS!$D13199&amp;"|"&amp;DATOS!$E13199&amp;"|"&amp;DATOS!$I13199)</f>
      </c>
      <c r="G13199">
        <f>IF(DATOS!$A13199="",0,IF(CONFIG_METADATA!$B$4&lt;&gt;"OR+EX",--(DATOS!$G13199=CONFIG_METADATA!$B$4),IF(DATOS!$G13199="EX",1,IF(DATOS!$G13199="OR",--(COUNTIFS(nNIA,DATOS!$A13199,nCURSO,DATOS!$D13199,nESPEC,DATOS!$E13199,nASIG,DATOS!$I13199,nEVAL,"EX")=0),0))))</f>
      </c>
      <c r="H13199">
        <f>IF(DATOS!$G13199&lt;&gt;"EX",0,--(COUNTIFS(nNIA,DATOS!$A13199,nCURSO,DATOS!$D13199,nESPEC,DATOS!$E13199,nASIG,DATOS!$I13199,nEVAL,"OR")=0))</f>
      </c>
      <c r="I13199">
        <f>IF(DATOS!$I13199="","",IFERROR(VLOOKUP(DATOS!$I13199,CONFIG_ASIGNATURAS!$B$2:$J$91,9,FALSE()),""))</f>
      </c>
    </row>
    <row r="13200">
      <c r="F13200">
        <f>IF(DATOS!$A13200="","",DATOS!$A13200&amp;"|"&amp;DATOS!$D13200&amp;"|"&amp;DATOS!$E13200&amp;"|"&amp;DATOS!$I13200)</f>
      </c>
      <c r="G13200">
        <f>IF(DATOS!$A13200="",0,IF(CONFIG_METADATA!$B$4&lt;&gt;"OR+EX",--(DATOS!$G13200=CONFIG_METADATA!$B$4),IF(DATOS!$G13200="EX",1,IF(DATOS!$G13200="OR",--(COUNTIFS(nNIA,DATOS!$A13200,nCURSO,DATOS!$D13200,nESPEC,DATOS!$E13200,nASIG,DATOS!$I13200,nEVAL,"EX")=0),0))))</f>
      </c>
      <c r="H13200">
        <f>IF(DATOS!$G13200&lt;&gt;"EX",0,--(COUNTIFS(nNIA,DATOS!$A13200,nCURSO,DATOS!$D13200,nESPEC,DATOS!$E13200,nASIG,DATOS!$I13200,nEVAL,"OR")=0))</f>
      </c>
      <c r="I13200">
        <f>IF(DATOS!$I13200="","",IFERROR(VLOOKUP(DATOS!$I13200,CONFIG_ASIGNATURAS!$B$2:$J$91,9,FALSE()),""))</f>
      </c>
    </row>
    <row r="13201">
      <c r="F13201">
        <f>IF(DATOS!$A13201="","",DATOS!$A13201&amp;"|"&amp;DATOS!$D13201&amp;"|"&amp;DATOS!$E13201&amp;"|"&amp;DATOS!$I13201)</f>
      </c>
      <c r="G13201">
        <f>IF(DATOS!$A13201="",0,IF(CONFIG_METADATA!$B$4&lt;&gt;"OR+EX",--(DATOS!$G13201=CONFIG_METADATA!$B$4),IF(DATOS!$G13201="EX",1,IF(DATOS!$G13201="OR",--(COUNTIFS(nNIA,DATOS!$A13201,nCURSO,DATOS!$D13201,nESPEC,DATOS!$E13201,nASIG,DATOS!$I13201,nEVAL,"EX")=0),0))))</f>
      </c>
      <c r="H13201">
        <f>IF(DATOS!$G13201&lt;&gt;"EX",0,--(COUNTIFS(nNIA,DATOS!$A13201,nCURSO,DATOS!$D13201,nESPEC,DATOS!$E13201,nASIG,DATOS!$I13201,nEVAL,"OR")=0))</f>
      </c>
      <c r="I13201">
        <f>IF(DATOS!$I13201="","",IFERROR(VLOOKUP(DATOS!$I13201,CONFIG_ASIGNATURAS!$B$2:$J$91,9,FALSE()),""))</f>
      </c>
    </row>
    <row r="13202">
      <c r="F13202">
        <f>IF(DATOS!$A13202="","",DATOS!$A13202&amp;"|"&amp;DATOS!$D13202&amp;"|"&amp;DATOS!$E13202&amp;"|"&amp;DATOS!$I13202)</f>
      </c>
      <c r="G13202">
        <f>IF(DATOS!$A13202="",0,IF(CONFIG_METADATA!$B$4&lt;&gt;"OR+EX",--(DATOS!$G13202=CONFIG_METADATA!$B$4),IF(DATOS!$G13202="EX",1,IF(DATOS!$G13202="OR",--(COUNTIFS(nNIA,DATOS!$A13202,nCURSO,DATOS!$D13202,nESPEC,DATOS!$E13202,nASIG,DATOS!$I13202,nEVAL,"EX")=0),0))))</f>
      </c>
      <c r="H13202">
        <f>IF(DATOS!$G13202&lt;&gt;"EX",0,--(COUNTIFS(nNIA,DATOS!$A13202,nCURSO,DATOS!$D13202,nESPEC,DATOS!$E13202,nASIG,DATOS!$I13202,nEVAL,"OR")=0))</f>
      </c>
      <c r="I13202">
        <f>IF(DATOS!$I13202="","",IFERROR(VLOOKUP(DATOS!$I13202,CONFIG_ASIGNATURAS!$B$2:$J$91,9,FALSE()),""))</f>
      </c>
    </row>
    <row r="13203">
      <c r="F13203">
        <f>IF(DATOS!$A13203="","",DATOS!$A13203&amp;"|"&amp;DATOS!$D13203&amp;"|"&amp;DATOS!$E13203&amp;"|"&amp;DATOS!$I13203)</f>
      </c>
      <c r="G13203">
        <f>IF(DATOS!$A13203="",0,IF(CONFIG_METADATA!$B$4&lt;&gt;"OR+EX",--(DATOS!$G13203=CONFIG_METADATA!$B$4),IF(DATOS!$G13203="EX",1,IF(DATOS!$G13203="OR",--(COUNTIFS(nNIA,DATOS!$A13203,nCURSO,DATOS!$D13203,nESPEC,DATOS!$E13203,nASIG,DATOS!$I13203,nEVAL,"EX")=0),0))))</f>
      </c>
      <c r="H13203">
        <f>IF(DATOS!$G13203&lt;&gt;"EX",0,--(COUNTIFS(nNIA,DATOS!$A13203,nCURSO,DATOS!$D13203,nESPEC,DATOS!$E13203,nASIG,DATOS!$I13203,nEVAL,"OR")=0))</f>
      </c>
      <c r="I13203">
        <f>IF(DATOS!$I13203="","",IFERROR(VLOOKUP(DATOS!$I13203,CONFIG_ASIGNATURAS!$B$2:$J$91,9,FALSE()),""))</f>
      </c>
    </row>
    <row r="13204">
      <c r="F13204">
        <f>IF(DATOS!$A13204="","",DATOS!$A13204&amp;"|"&amp;DATOS!$D13204&amp;"|"&amp;DATOS!$E13204&amp;"|"&amp;DATOS!$I13204)</f>
      </c>
      <c r="G13204">
        <f>IF(DATOS!$A13204="",0,IF(CONFIG_METADATA!$B$4&lt;&gt;"OR+EX",--(DATOS!$G13204=CONFIG_METADATA!$B$4),IF(DATOS!$G13204="EX",1,IF(DATOS!$G13204="OR",--(COUNTIFS(nNIA,DATOS!$A13204,nCURSO,DATOS!$D13204,nESPEC,DATOS!$E13204,nASIG,DATOS!$I13204,nEVAL,"EX")=0),0))))</f>
      </c>
      <c r="H13204">
        <f>IF(DATOS!$G13204&lt;&gt;"EX",0,--(COUNTIFS(nNIA,DATOS!$A13204,nCURSO,DATOS!$D13204,nESPEC,DATOS!$E13204,nASIG,DATOS!$I13204,nEVAL,"OR")=0))</f>
      </c>
      <c r="I13204">
        <f>IF(DATOS!$I13204="","",IFERROR(VLOOKUP(DATOS!$I13204,CONFIG_ASIGNATURAS!$B$2:$J$91,9,FALSE()),""))</f>
      </c>
    </row>
    <row r="13205">
      <c r="F13205">
        <f>IF(DATOS!$A13205="","",DATOS!$A13205&amp;"|"&amp;DATOS!$D13205&amp;"|"&amp;DATOS!$E13205&amp;"|"&amp;DATOS!$I13205)</f>
      </c>
      <c r="G13205">
        <f>IF(DATOS!$A13205="",0,IF(CONFIG_METADATA!$B$4&lt;&gt;"OR+EX",--(DATOS!$G13205=CONFIG_METADATA!$B$4),IF(DATOS!$G13205="EX",1,IF(DATOS!$G13205="OR",--(COUNTIFS(nNIA,DATOS!$A13205,nCURSO,DATOS!$D13205,nESPEC,DATOS!$E13205,nASIG,DATOS!$I13205,nEVAL,"EX")=0),0))))</f>
      </c>
      <c r="H13205">
        <f>IF(DATOS!$G13205&lt;&gt;"EX",0,--(COUNTIFS(nNIA,DATOS!$A13205,nCURSO,DATOS!$D13205,nESPEC,DATOS!$E13205,nASIG,DATOS!$I13205,nEVAL,"OR")=0))</f>
      </c>
      <c r="I13205">
        <f>IF(DATOS!$I13205="","",IFERROR(VLOOKUP(DATOS!$I13205,CONFIG_ASIGNATURAS!$B$2:$J$91,9,FALSE()),""))</f>
      </c>
    </row>
    <row r="13206">
      <c r="F13206">
        <f>IF(DATOS!$A13206="","",DATOS!$A13206&amp;"|"&amp;DATOS!$D13206&amp;"|"&amp;DATOS!$E13206&amp;"|"&amp;DATOS!$I13206)</f>
      </c>
      <c r="G13206">
        <f>IF(DATOS!$A13206="",0,IF(CONFIG_METADATA!$B$4&lt;&gt;"OR+EX",--(DATOS!$G13206=CONFIG_METADATA!$B$4),IF(DATOS!$G13206="EX",1,IF(DATOS!$G13206="OR",--(COUNTIFS(nNIA,DATOS!$A13206,nCURSO,DATOS!$D13206,nESPEC,DATOS!$E13206,nASIG,DATOS!$I13206,nEVAL,"EX")=0),0))))</f>
      </c>
      <c r="H13206">
        <f>IF(DATOS!$G13206&lt;&gt;"EX",0,--(COUNTIFS(nNIA,DATOS!$A13206,nCURSO,DATOS!$D13206,nESPEC,DATOS!$E13206,nASIG,DATOS!$I13206,nEVAL,"OR")=0))</f>
      </c>
      <c r="I13206">
        <f>IF(DATOS!$I13206="","",IFERROR(VLOOKUP(DATOS!$I13206,CONFIG_ASIGNATURAS!$B$2:$J$91,9,FALSE()),""))</f>
      </c>
    </row>
    <row r="13207">
      <c r="F13207">
        <f>IF(DATOS!$A13207="","",DATOS!$A13207&amp;"|"&amp;DATOS!$D13207&amp;"|"&amp;DATOS!$E13207&amp;"|"&amp;DATOS!$I13207)</f>
      </c>
      <c r="G13207">
        <f>IF(DATOS!$A13207="",0,IF(CONFIG_METADATA!$B$4&lt;&gt;"OR+EX",--(DATOS!$G13207=CONFIG_METADATA!$B$4),IF(DATOS!$G13207="EX",1,IF(DATOS!$G13207="OR",--(COUNTIFS(nNIA,DATOS!$A13207,nCURSO,DATOS!$D13207,nESPEC,DATOS!$E13207,nASIG,DATOS!$I13207,nEVAL,"EX")=0),0))))</f>
      </c>
      <c r="H13207">
        <f>IF(DATOS!$G13207&lt;&gt;"EX",0,--(COUNTIFS(nNIA,DATOS!$A13207,nCURSO,DATOS!$D13207,nESPEC,DATOS!$E13207,nASIG,DATOS!$I13207,nEVAL,"OR")=0))</f>
      </c>
      <c r="I13207">
        <f>IF(DATOS!$I13207="","",IFERROR(VLOOKUP(DATOS!$I13207,CONFIG_ASIGNATURAS!$B$2:$J$91,9,FALSE()),""))</f>
      </c>
    </row>
    <row r="13208">
      <c r="F13208">
        <f>IF(DATOS!$A13208="","",DATOS!$A13208&amp;"|"&amp;DATOS!$D13208&amp;"|"&amp;DATOS!$E13208&amp;"|"&amp;DATOS!$I13208)</f>
      </c>
      <c r="G13208">
        <f>IF(DATOS!$A13208="",0,IF(CONFIG_METADATA!$B$4&lt;&gt;"OR+EX",--(DATOS!$G13208=CONFIG_METADATA!$B$4),IF(DATOS!$G13208="EX",1,IF(DATOS!$G13208="OR",--(COUNTIFS(nNIA,DATOS!$A13208,nCURSO,DATOS!$D13208,nESPEC,DATOS!$E13208,nASIG,DATOS!$I13208,nEVAL,"EX")=0),0))))</f>
      </c>
      <c r="H13208">
        <f>IF(DATOS!$G13208&lt;&gt;"EX",0,--(COUNTIFS(nNIA,DATOS!$A13208,nCURSO,DATOS!$D13208,nESPEC,DATOS!$E13208,nASIG,DATOS!$I13208,nEVAL,"OR")=0))</f>
      </c>
      <c r="I13208">
        <f>IF(DATOS!$I13208="","",IFERROR(VLOOKUP(DATOS!$I13208,CONFIG_ASIGNATURAS!$B$2:$J$91,9,FALSE()),""))</f>
      </c>
    </row>
    <row r="13209">
      <c r="F13209">
        <f>IF(DATOS!$A13209="","",DATOS!$A13209&amp;"|"&amp;DATOS!$D13209&amp;"|"&amp;DATOS!$E13209&amp;"|"&amp;DATOS!$I13209)</f>
      </c>
      <c r="G13209">
        <f>IF(DATOS!$A13209="",0,IF(CONFIG_METADATA!$B$4&lt;&gt;"OR+EX",--(DATOS!$G13209=CONFIG_METADATA!$B$4),IF(DATOS!$G13209="EX",1,IF(DATOS!$G13209="OR",--(COUNTIFS(nNIA,DATOS!$A13209,nCURSO,DATOS!$D13209,nESPEC,DATOS!$E13209,nASIG,DATOS!$I13209,nEVAL,"EX")=0),0))))</f>
      </c>
      <c r="H13209">
        <f>IF(DATOS!$G13209&lt;&gt;"EX",0,--(COUNTIFS(nNIA,DATOS!$A13209,nCURSO,DATOS!$D13209,nESPEC,DATOS!$E13209,nASIG,DATOS!$I13209,nEVAL,"OR")=0))</f>
      </c>
      <c r="I13209">
        <f>IF(DATOS!$I13209="","",IFERROR(VLOOKUP(DATOS!$I13209,CONFIG_ASIGNATURAS!$B$2:$J$91,9,FALSE()),""))</f>
      </c>
    </row>
    <row r="13210">
      <c r="F13210">
        <f>IF(DATOS!$A13210="","",DATOS!$A13210&amp;"|"&amp;DATOS!$D13210&amp;"|"&amp;DATOS!$E13210&amp;"|"&amp;DATOS!$I13210)</f>
      </c>
      <c r="G13210">
        <f>IF(DATOS!$A13210="",0,IF(CONFIG_METADATA!$B$4&lt;&gt;"OR+EX",--(DATOS!$G13210=CONFIG_METADATA!$B$4),IF(DATOS!$G13210="EX",1,IF(DATOS!$G13210="OR",--(COUNTIFS(nNIA,DATOS!$A13210,nCURSO,DATOS!$D13210,nESPEC,DATOS!$E13210,nASIG,DATOS!$I13210,nEVAL,"EX")=0),0))))</f>
      </c>
      <c r="H13210">
        <f>IF(DATOS!$G13210&lt;&gt;"EX",0,--(COUNTIFS(nNIA,DATOS!$A13210,nCURSO,DATOS!$D13210,nESPEC,DATOS!$E13210,nASIG,DATOS!$I13210,nEVAL,"OR")=0))</f>
      </c>
      <c r="I13210">
        <f>IF(DATOS!$I13210="","",IFERROR(VLOOKUP(DATOS!$I13210,CONFIG_ASIGNATURAS!$B$2:$J$91,9,FALSE()),""))</f>
      </c>
    </row>
    <row r="13211">
      <c r="F13211">
        <f>IF(DATOS!$A13211="","",DATOS!$A13211&amp;"|"&amp;DATOS!$D13211&amp;"|"&amp;DATOS!$E13211&amp;"|"&amp;DATOS!$I13211)</f>
      </c>
      <c r="G13211">
        <f>IF(DATOS!$A13211="",0,IF(CONFIG_METADATA!$B$4&lt;&gt;"OR+EX",--(DATOS!$G13211=CONFIG_METADATA!$B$4),IF(DATOS!$G13211="EX",1,IF(DATOS!$G13211="OR",--(COUNTIFS(nNIA,DATOS!$A13211,nCURSO,DATOS!$D13211,nESPEC,DATOS!$E13211,nASIG,DATOS!$I13211,nEVAL,"EX")=0),0))))</f>
      </c>
      <c r="H13211">
        <f>IF(DATOS!$G13211&lt;&gt;"EX",0,--(COUNTIFS(nNIA,DATOS!$A13211,nCURSO,DATOS!$D13211,nESPEC,DATOS!$E13211,nASIG,DATOS!$I13211,nEVAL,"OR")=0))</f>
      </c>
      <c r="I13211">
        <f>IF(DATOS!$I13211="","",IFERROR(VLOOKUP(DATOS!$I13211,CONFIG_ASIGNATURAS!$B$2:$J$91,9,FALSE()),""))</f>
      </c>
    </row>
    <row r="13212">
      <c r="F13212">
        <f>IF(DATOS!$A13212="","",DATOS!$A13212&amp;"|"&amp;DATOS!$D13212&amp;"|"&amp;DATOS!$E13212&amp;"|"&amp;DATOS!$I13212)</f>
      </c>
      <c r="G13212">
        <f>IF(DATOS!$A13212="",0,IF(CONFIG_METADATA!$B$4&lt;&gt;"OR+EX",--(DATOS!$G13212=CONFIG_METADATA!$B$4),IF(DATOS!$G13212="EX",1,IF(DATOS!$G13212="OR",--(COUNTIFS(nNIA,DATOS!$A13212,nCURSO,DATOS!$D13212,nESPEC,DATOS!$E13212,nASIG,DATOS!$I13212,nEVAL,"EX")=0),0))))</f>
      </c>
      <c r="H13212">
        <f>IF(DATOS!$G13212&lt;&gt;"EX",0,--(COUNTIFS(nNIA,DATOS!$A13212,nCURSO,DATOS!$D13212,nESPEC,DATOS!$E13212,nASIG,DATOS!$I13212,nEVAL,"OR")=0))</f>
      </c>
      <c r="I13212">
        <f>IF(DATOS!$I13212="","",IFERROR(VLOOKUP(DATOS!$I13212,CONFIG_ASIGNATURAS!$B$2:$J$91,9,FALSE()),""))</f>
      </c>
    </row>
    <row r="13213">
      <c r="F13213">
        <f>IF(DATOS!$A13213="","",DATOS!$A13213&amp;"|"&amp;DATOS!$D13213&amp;"|"&amp;DATOS!$E13213&amp;"|"&amp;DATOS!$I13213)</f>
      </c>
      <c r="G13213">
        <f>IF(DATOS!$A13213="",0,IF(CONFIG_METADATA!$B$4&lt;&gt;"OR+EX",--(DATOS!$G13213=CONFIG_METADATA!$B$4),IF(DATOS!$G13213="EX",1,IF(DATOS!$G13213="OR",--(COUNTIFS(nNIA,DATOS!$A13213,nCURSO,DATOS!$D13213,nESPEC,DATOS!$E13213,nASIG,DATOS!$I13213,nEVAL,"EX")=0),0))))</f>
      </c>
      <c r="H13213">
        <f>IF(DATOS!$G13213&lt;&gt;"EX",0,--(COUNTIFS(nNIA,DATOS!$A13213,nCURSO,DATOS!$D13213,nESPEC,DATOS!$E13213,nASIG,DATOS!$I13213,nEVAL,"OR")=0))</f>
      </c>
      <c r="I13213">
        <f>IF(DATOS!$I13213="","",IFERROR(VLOOKUP(DATOS!$I13213,CONFIG_ASIGNATURAS!$B$2:$J$91,9,FALSE()),""))</f>
      </c>
    </row>
    <row r="13214">
      <c r="F13214">
        <f>IF(DATOS!$A13214="","",DATOS!$A13214&amp;"|"&amp;DATOS!$D13214&amp;"|"&amp;DATOS!$E13214&amp;"|"&amp;DATOS!$I13214)</f>
      </c>
      <c r="G13214">
        <f>IF(DATOS!$A13214="",0,IF(CONFIG_METADATA!$B$4&lt;&gt;"OR+EX",--(DATOS!$G13214=CONFIG_METADATA!$B$4),IF(DATOS!$G13214="EX",1,IF(DATOS!$G13214="OR",--(COUNTIFS(nNIA,DATOS!$A13214,nCURSO,DATOS!$D13214,nESPEC,DATOS!$E13214,nASIG,DATOS!$I13214,nEVAL,"EX")=0),0))))</f>
      </c>
      <c r="H13214">
        <f>IF(DATOS!$G13214&lt;&gt;"EX",0,--(COUNTIFS(nNIA,DATOS!$A13214,nCURSO,DATOS!$D13214,nESPEC,DATOS!$E13214,nASIG,DATOS!$I13214,nEVAL,"OR")=0))</f>
      </c>
      <c r="I13214">
        <f>IF(DATOS!$I13214="","",IFERROR(VLOOKUP(DATOS!$I13214,CONFIG_ASIGNATURAS!$B$2:$J$91,9,FALSE()),""))</f>
      </c>
    </row>
    <row r="13215">
      <c r="F13215">
        <f>IF(DATOS!$A13215="","",DATOS!$A13215&amp;"|"&amp;DATOS!$D13215&amp;"|"&amp;DATOS!$E13215&amp;"|"&amp;DATOS!$I13215)</f>
      </c>
      <c r="G13215">
        <f>IF(DATOS!$A13215="",0,IF(CONFIG_METADATA!$B$4&lt;&gt;"OR+EX",--(DATOS!$G13215=CONFIG_METADATA!$B$4),IF(DATOS!$G13215="EX",1,IF(DATOS!$G13215="OR",--(COUNTIFS(nNIA,DATOS!$A13215,nCURSO,DATOS!$D13215,nESPEC,DATOS!$E13215,nASIG,DATOS!$I13215,nEVAL,"EX")=0),0))))</f>
      </c>
      <c r="H13215">
        <f>IF(DATOS!$G13215&lt;&gt;"EX",0,--(COUNTIFS(nNIA,DATOS!$A13215,nCURSO,DATOS!$D13215,nESPEC,DATOS!$E13215,nASIG,DATOS!$I13215,nEVAL,"OR")=0))</f>
      </c>
      <c r="I13215">
        <f>IF(DATOS!$I13215="","",IFERROR(VLOOKUP(DATOS!$I13215,CONFIG_ASIGNATURAS!$B$2:$J$91,9,FALSE()),""))</f>
      </c>
    </row>
    <row r="13216">
      <c r="F13216">
        <f>IF(DATOS!$A13216="","",DATOS!$A13216&amp;"|"&amp;DATOS!$D13216&amp;"|"&amp;DATOS!$E13216&amp;"|"&amp;DATOS!$I13216)</f>
      </c>
      <c r="G13216">
        <f>IF(DATOS!$A13216="",0,IF(CONFIG_METADATA!$B$4&lt;&gt;"OR+EX",--(DATOS!$G13216=CONFIG_METADATA!$B$4),IF(DATOS!$G13216="EX",1,IF(DATOS!$G13216="OR",--(COUNTIFS(nNIA,DATOS!$A13216,nCURSO,DATOS!$D13216,nESPEC,DATOS!$E13216,nASIG,DATOS!$I13216,nEVAL,"EX")=0),0))))</f>
      </c>
      <c r="H13216">
        <f>IF(DATOS!$G13216&lt;&gt;"EX",0,--(COUNTIFS(nNIA,DATOS!$A13216,nCURSO,DATOS!$D13216,nESPEC,DATOS!$E13216,nASIG,DATOS!$I13216,nEVAL,"OR")=0))</f>
      </c>
      <c r="I13216">
        <f>IF(DATOS!$I13216="","",IFERROR(VLOOKUP(DATOS!$I13216,CONFIG_ASIGNATURAS!$B$2:$J$91,9,FALSE()),""))</f>
      </c>
    </row>
    <row r="13217">
      <c r="F13217">
        <f>IF(DATOS!$A13217="","",DATOS!$A13217&amp;"|"&amp;DATOS!$D13217&amp;"|"&amp;DATOS!$E13217&amp;"|"&amp;DATOS!$I13217)</f>
      </c>
      <c r="G13217">
        <f>IF(DATOS!$A13217="",0,IF(CONFIG_METADATA!$B$4&lt;&gt;"OR+EX",--(DATOS!$G13217=CONFIG_METADATA!$B$4),IF(DATOS!$G13217="EX",1,IF(DATOS!$G13217="OR",--(COUNTIFS(nNIA,DATOS!$A13217,nCURSO,DATOS!$D13217,nESPEC,DATOS!$E13217,nASIG,DATOS!$I13217,nEVAL,"EX")=0),0))))</f>
      </c>
      <c r="H13217">
        <f>IF(DATOS!$G13217&lt;&gt;"EX",0,--(COUNTIFS(nNIA,DATOS!$A13217,nCURSO,DATOS!$D13217,nESPEC,DATOS!$E13217,nASIG,DATOS!$I13217,nEVAL,"OR")=0))</f>
      </c>
      <c r="I13217">
        <f>IF(DATOS!$I13217="","",IFERROR(VLOOKUP(DATOS!$I13217,CONFIG_ASIGNATURAS!$B$2:$J$91,9,FALSE()),""))</f>
      </c>
    </row>
    <row r="13218">
      <c r="F13218">
        <f>IF(DATOS!$A13218="","",DATOS!$A13218&amp;"|"&amp;DATOS!$D13218&amp;"|"&amp;DATOS!$E13218&amp;"|"&amp;DATOS!$I13218)</f>
      </c>
      <c r="G13218">
        <f>IF(DATOS!$A13218="",0,IF(CONFIG_METADATA!$B$4&lt;&gt;"OR+EX",--(DATOS!$G13218=CONFIG_METADATA!$B$4),IF(DATOS!$G13218="EX",1,IF(DATOS!$G13218="OR",--(COUNTIFS(nNIA,DATOS!$A13218,nCURSO,DATOS!$D13218,nESPEC,DATOS!$E13218,nASIG,DATOS!$I13218,nEVAL,"EX")=0),0))))</f>
      </c>
      <c r="H13218">
        <f>IF(DATOS!$G13218&lt;&gt;"EX",0,--(COUNTIFS(nNIA,DATOS!$A13218,nCURSO,DATOS!$D13218,nESPEC,DATOS!$E13218,nASIG,DATOS!$I13218,nEVAL,"OR")=0))</f>
      </c>
      <c r="I13218">
        <f>IF(DATOS!$I13218="","",IFERROR(VLOOKUP(DATOS!$I13218,CONFIG_ASIGNATURAS!$B$2:$J$91,9,FALSE()),""))</f>
      </c>
    </row>
    <row r="13219">
      <c r="F13219">
        <f>IF(DATOS!$A13219="","",DATOS!$A13219&amp;"|"&amp;DATOS!$D13219&amp;"|"&amp;DATOS!$E13219&amp;"|"&amp;DATOS!$I13219)</f>
      </c>
      <c r="G13219">
        <f>IF(DATOS!$A13219="",0,IF(CONFIG_METADATA!$B$4&lt;&gt;"OR+EX",--(DATOS!$G13219=CONFIG_METADATA!$B$4),IF(DATOS!$G13219="EX",1,IF(DATOS!$G13219="OR",--(COUNTIFS(nNIA,DATOS!$A13219,nCURSO,DATOS!$D13219,nESPEC,DATOS!$E13219,nASIG,DATOS!$I13219,nEVAL,"EX")=0),0))))</f>
      </c>
      <c r="H13219">
        <f>IF(DATOS!$G13219&lt;&gt;"EX",0,--(COUNTIFS(nNIA,DATOS!$A13219,nCURSO,DATOS!$D13219,nESPEC,DATOS!$E13219,nASIG,DATOS!$I13219,nEVAL,"OR")=0))</f>
      </c>
      <c r="I13219">
        <f>IF(DATOS!$I13219="","",IFERROR(VLOOKUP(DATOS!$I13219,CONFIG_ASIGNATURAS!$B$2:$J$91,9,FALSE()),""))</f>
      </c>
    </row>
    <row r="13220">
      <c r="F13220">
        <f>IF(DATOS!$A13220="","",DATOS!$A13220&amp;"|"&amp;DATOS!$D13220&amp;"|"&amp;DATOS!$E13220&amp;"|"&amp;DATOS!$I13220)</f>
      </c>
      <c r="G13220">
        <f>IF(DATOS!$A13220="",0,IF(CONFIG_METADATA!$B$4&lt;&gt;"OR+EX",--(DATOS!$G13220=CONFIG_METADATA!$B$4),IF(DATOS!$G13220="EX",1,IF(DATOS!$G13220="OR",--(COUNTIFS(nNIA,DATOS!$A13220,nCURSO,DATOS!$D13220,nESPEC,DATOS!$E13220,nASIG,DATOS!$I13220,nEVAL,"EX")=0),0))))</f>
      </c>
      <c r="H13220">
        <f>IF(DATOS!$G13220&lt;&gt;"EX",0,--(COUNTIFS(nNIA,DATOS!$A13220,nCURSO,DATOS!$D13220,nESPEC,DATOS!$E13220,nASIG,DATOS!$I13220,nEVAL,"OR")=0))</f>
      </c>
      <c r="I13220">
        <f>IF(DATOS!$I13220="","",IFERROR(VLOOKUP(DATOS!$I13220,CONFIG_ASIGNATURAS!$B$2:$J$91,9,FALSE()),""))</f>
      </c>
    </row>
    <row r="13221">
      <c r="F13221">
        <f>IF(DATOS!$A13221="","",DATOS!$A13221&amp;"|"&amp;DATOS!$D13221&amp;"|"&amp;DATOS!$E13221&amp;"|"&amp;DATOS!$I13221)</f>
      </c>
      <c r="G13221">
        <f>IF(DATOS!$A13221="",0,IF(CONFIG_METADATA!$B$4&lt;&gt;"OR+EX",--(DATOS!$G13221=CONFIG_METADATA!$B$4),IF(DATOS!$G13221="EX",1,IF(DATOS!$G13221="OR",--(COUNTIFS(nNIA,DATOS!$A13221,nCURSO,DATOS!$D13221,nESPEC,DATOS!$E13221,nASIG,DATOS!$I13221,nEVAL,"EX")=0),0))))</f>
      </c>
      <c r="H13221">
        <f>IF(DATOS!$G13221&lt;&gt;"EX",0,--(COUNTIFS(nNIA,DATOS!$A13221,nCURSO,DATOS!$D13221,nESPEC,DATOS!$E13221,nASIG,DATOS!$I13221,nEVAL,"OR")=0))</f>
      </c>
      <c r="I13221">
        <f>IF(DATOS!$I13221="","",IFERROR(VLOOKUP(DATOS!$I13221,CONFIG_ASIGNATURAS!$B$2:$J$91,9,FALSE()),""))</f>
      </c>
    </row>
    <row r="13222">
      <c r="F13222">
        <f>IF(DATOS!$A13222="","",DATOS!$A13222&amp;"|"&amp;DATOS!$D13222&amp;"|"&amp;DATOS!$E13222&amp;"|"&amp;DATOS!$I13222)</f>
      </c>
      <c r="G13222">
        <f>IF(DATOS!$A13222="",0,IF(CONFIG_METADATA!$B$4&lt;&gt;"OR+EX",--(DATOS!$G13222=CONFIG_METADATA!$B$4),IF(DATOS!$G13222="EX",1,IF(DATOS!$G13222="OR",--(COUNTIFS(nNIA,DATOS!$A13222,nCURSO,DATOS!$D13222,nESPEC,DATOS!$E13222,nASIG,DATOS!$I13222,nEVAL,"EX")=0),0))))</f>
      </c>
      <c r="H13222">
        <f>IF(DATOS!$G13222&lt;&gt;"EX",0,--(COUNTIFS(nNIA,DATOS!$A13222,nCURSO,DATOS!$D13222,nESPEC,DATOS!$E13222,nASIG,DATOS!$I13222,nEVAL,"OR")=0))</f>
      </c>
      <c r="I13222">
        <f>IF(DATOS!$I13222="","",IFERROR(VLOOKUP(DATOS!$I13222,CONFIG_ASIGNATURAS!$B$2:$J$91,9,FALSE()),""))</f>
      </c>
    </row>
    <row r="13223">
      <c r="F13223">
        <f>IF(DATOS!$A13223="","",DATOS!$A13223&amp;"|"&amp;DATOS!$D13223&amp;"|"&amp;DATOS!$E13223&amp;"|"&amp;DATOS!$I13223)</f>
      </c>
      <c r="G13223">
        <f>IF(DATOS!$A13223="",0,IF(CONFIG_METADATA!$B$4&lt;&gt;"OR+EX",--(DATOS!$G13223=CONFIG_METADATA!$B$4),IF(DATOS!$G13223="EX",1,IF(DATOS!$G13223="OR",--(COUNTIFS(nNIA,DATOS!$A13223,nCURSO,DATOS!$D13223,nESPEC,DATOS!$E13223,nASIG,DATOS!$I13223,nEVAL,"EX")=0),0))))</f>
      </c>
      <c r="H13223">
        <f>IF(DATOS!$G13223&lt;&gt;"EX",0,--(COUNTIFS(nNIA,DATOS!$A13223,nCURSO,DATOS!$D13223,nESPEC,DATOS!$E13223,nASIG,DATOS!$I13223,nEVAL,"OR")=0))</f>
      </c>
      <c r="I13223">
        <f>IF(DATOS!$I13223="","",IFERROR(VLOOKUP(DATOS!$I13223,CONFIG_ASIGNATURAS!$B$2:$J$91,9,FALSE()),""))</f>
      </c>
    </row>
    <row r="13224">
      <c r="F13224">
        <f>IF(DATOS!$A13224="","",DATOS!$A13224&amp;"|"&amp;DATOS!$D13224&amp;"|"&amp;DATOS!$E13224&amp;"|"&amp;DATOS!$I13224)</f>
      </c>
      <c r="G13224">
        <f>IF(DATOS!$A13224="",0,IF(CONFIG_METADATA!$B$4&lt;&gt;"OR+EX",--(DATOS!$G13224=CONFIG_METADATA!$B$4),IF(DATOS!$G13224="EX",1,IF(DATOS!$G13224="OR",--(COUNTIFS(nNIA,DATOS!$A13224,nCURSO,DATOS!$D13224,nESPEC,DATOS!$E13224,nASIG,DATOS!$I13224,nEVAL,"EX")=0),0))))</f>
      </c>
      <c r="H13224">
        <f>IF(DATOS!$G13224&lt;&gt;"EX",0,--(COUNTIFS(nNIA,DATOS!$A13224,nCURSO,DATOS!$D13224,nESPEC,DATOS!$E13224,nASIG,DATOS!$I13224,nEVAL,"OR")=0))</f>
      </c>
      <c r="I13224">
        <f>IF(DATOS!$I13224="","",IFERROR(VLOOKUP(DATOS!$I13224,CONFIG_ASIGNATURAS!$B$2:$J$91,9,FALSE()),""))</f>
      </c>
    </row>
    <row r="13225">
      <c r="F13225">
        <f>IF(DATOS!$A13225="","",DATOS!$A13225&amp;"|"&amp;DATOS!$D13225&amp;"|"&amp;DATOS!$E13225&amp;"|"&amp;DATOS!$I13225)</f>
      </c>
      <c r="G13225">
        <f>IF(DATOS!$A13225="",0,IF(CONFIG_METADATA!$B$4&lt;&gt;"OR+EX",--(DATOS!$G13225=CONFIG_METADATA!$B$4),IF(DATOS!$G13225="EX",1,IF(DATOS!$G13225="OR",--(COUNTIFS(nNIA,DATOS!$A13225,nCURSO,DATOS!$D13225,nESPEC,DATOS!$E13225,nASIG,DATOS!$I13225,nEVAL,"EX")=0),0))))</f>
      </c>
      <c r="H13225">
        <f>IF(DATOS!$G13225&lt;&gt;"EX",0,--(COUNTIFS(nNIA,DATOS!$A13225,nCURSO,DATOS!$D13225,nESPEC,DATOS!$E13225,nASIG,DATOS!$I13225,nEVAL,"OR")=0))</f>
      </c>
      <c r="I13225">
        <f>IF(DATOS!$I13225="","",IFERROR(VLOOKUP(DATOS!$I13225,CONFIG_ASIGNATURAS!$B$2:$J$91,9,FALSE()),""))</f>
      </c>
    </row>
    <row r="13226">
      <c r="F13226">
        <f>IF(DATOS!$A13226="","",DATOS!$A13226&amp;"|"&amp;DATOS!$D13226&amp;"|"&amp;DATOS!$E13226&amp;"|"&amp;DATOS!$I13226)</f>
      </c>
      <c r="G13226">
        <f>IF(DATOS!$A13226="",0,IF(CONFIG_METADATA!$B$4&lt;&gt;"OR+EX",--(DATOS!$G13226=CONFIG_METADATA!$B$4),IF(DATOS!$G13226="EX",1,IF(DATOS!$G13226="OR",--(COUNTIFS(nNIA,DATOS!$A13226,nCURSO,DATOS!$D13226,nESPEC,DATOS!$E13226,nASIG,DATOS!$I13226,nEVAL,"EX")=0),0))))</f>
      </c>
      <c r="H13226">
        <f>IF(DATOS!$G13226&lt;&gt;"EX",0,--(COUNTIFS(nNIA,DATOS!$A13226,nCURSO,DATOS!$D13226,nESPEC,DATOS!$E13226,nASIG,DATOS!$I13226,nEVAL,"OR")=0))</f>
      </c>
      <c r="I13226">
        <f>IF(DATOS!$I13226="","",IFERROR(VLOOKUP(DATOS!$I13226,CONFIG_ASIGNATURAS!$B$2:$J$91,9,FALSE()),""))</f>
      </c>
    </row>
    <row r="13227">
      <c r="F13227">
        <f>IF(DATOS!$A13227="","",DATOS!$A13227&amp;"|"&amp;DATOS!$D13227&amp;"|"&amp;DATOS!$E13227&amp;"|"&amp;DATOS!$I13227)</f>
      </c>
      <c r="G13227">
        <f>IF(DATOS!$A13227="",0,IF(CONFIG_METADATA!$B$4&lt;&gt;"OR+EX",--(DATOS!$G13227=CONFIG_METADATA!$B$4),IF(DATOS!$G13227="EX",1,IF(DATOS!$G13227="OR",--(COUNTIFS(nNIA,DATOS!$A13227,nCURSO,DATOS!$D13227,nESPEC,DATOS!$E13227,nASIG,DATOS!$I13227,nEVAL,"EX")=0),0))))</f>
      </c>
      <c r="H13227">
        <f>IF(DATOS!$G13227&lt;&gt;"EX",0,--(COUNTIFS(nNIA,DATOS!$A13227,nCURSO,DATOS!$D13227,nESPEC,DATOS!$E13227,nASIG,DATOS!$I13227,nEVAL,"OR")=0))</f>
      </c>
      <c r="I13227">
        <f>IF(DATOS!$I13227="","",IFERROR(VLOOKUP(DATOS!$I13227,CONFIG_ASIGNATURAS!$B$2:$J$91,9,FALSE()),""))</f>
      </c>
    </row>
    <row r="13228">
      <c r="F13228">
        <f>IF(DATOS!$A13228="","",DATOS!$A13228&amp;"|"&amp;DATOS!$D13228&amp;"|"&amp;DATOS!$E13228&amp;"|"&amp;DATOS!$I13228)</f>
      </c>
      <c r="G13228">
        <f>IF(DATOS!$A13228="",0,IF(CONFIG_METADATA!$B$4&lt;&gt;"OR+EX",--(DATOS!$G13228=CONFIG_METADATA!$B$4),IF(DATOS!$G13228="EX",1,IF(DATOS!$G13228="OR",--(COUNTIFS(nNIA,DATOS!$A13228,nCURSO,DATOS!$D13228,nESPEC,DATOS!$E13228,nASIG,DATOS!$I13228,nEVAL,"EX")=0),0))))</f>
      </c>
      <c r="H13228">
        <f>IF(DATOS!$G13228&lt;&gt;"EX",0,--(COUNTIFS(nNIA,DATOS!$A13228,nCURSO,DATOS!$D13228,nESPEC,DATOS!$E13228,nASIG,DATOS!$I13228,nEVAL,"OR")=0))</f>
      </c>
      <c r="I13228">
        <f>IF(DATOS!$I13228="","",IFERROR(VLOOKUP(DATOS!$I13228,CONFIG_ASIGNATURAS!$B$2:$J$91,9,FALSE()),""))</f>
      </c>
    </row>
    <row r="13229">
      <c r="F13229">
        <f>IF(DATOS!$A13229="","",DATOS!$A13229&amp;"|"&amp;DATOS!$D13229&amp;"|"&amp;DATOS!$E13229&amp;"|"&amp;DATOS!$I13229)</f>
      </c>
      <c r="G13229">
        <f>IF(DATOS!$A13229="",0,IF(CONFIG_METADATA!$B$4&lt;&gt;"OR+EX",--(DATOS!$G13229=CONFIG_METADATA!$B$4),IF(DATOS!$G13229="EX",1,IF(DATOS!$G13229="OR",--(COUNTIFS(nNIA,DATOS!$A13229,nCURSO,DATOS!$D13229,nESPEC,DATOS!$E13229,nASIG,DATOS!$I13229,nEVAL,"EX")=0),0))))</f>
      </c>
      <c r="H13229">
        <f>IF(DATOS!$G13229&lt;&gt;"EX",0,--(COUNTIFS(nNIA,DATOS!$A13229,nCURSO,DATOS!$D13229,nESPEC,DATOS!$E13229,nASIG,DATOS!$I13229,nEVAL,"OR")=0))</f>
      </c>
      <c r="I13229">
        <f>IF(DATOS!$I13229="","",IFERROR(VLOOKUP(DATOS!$I13229,CONFIG_ASIGNATURAS!$B$2:$J$91,9,FALSE()),""))</f>
      </c>
    </row>
    <row r="13230">
      <c r="F13230">
        <f>IF(DATOS!$A13230="","",DATOS!$A13230&amp;"|"&amp;DATOS!$D13230&amp;"|"&amp;DATOS!$E13230&amp;"|"&amp;DATOS!$I13230)</f>
      </c>
      <c r="G13230">
        <f>IF(DATOS!$A13230="",0,IF(CONFIG_METADATA!$B$4&lt;&gt;"OR+EX",--(DATOS!$G13230=CONFIG_METADATA!$B$4),IF(DATOS!$G13230="EX",1,IF(DATOS!$G13230="OR",--(COUNTIFS(nNIA,DATOS!$A13230,nCURSO,DATOS!$D13230,nESPEC,DATOS!$E13230,nASIG,DATOS!$I13230,nEVAL,"EX")=0),0))))</f>
      </c>
      <c r="H13230">
        <f>IF(DATOS!$G13230&lt;&gt;"EX",0,--(COUNTIFS(nNIA,DATOS!$A13230,nCURSO,DATOS!$D13230,nESPEC,DATOS!$E13230,nASIG,DATOS!$I13230,nEVAL,"OR")=0))</f>
      </c>
      <c r="I13230">
        <f>IF(DATOS!$I13230="","",IFERROR(VLOOKUP(DATOS!$I13230,CONFIG_ASIGNATURAS!$B$2:$J$91,9,FALSE()),""))</f>
      </c>
    </row>
    <row r="13231">
      <c r="F13231">
        <f>IF(DATOS!$A13231="","",DATOS!$A13231&amp;"|"&amp;DATOS!$D13231&amp;"|"&amp;DATOS!$E13231&amp;"|"&amp;DATOS!$I13231)</f>
      </c>
      <c r="G13231">
        <f>IF(DATOS!$A13231="",0,IF(CONFIG_METADATA!$B$4&lt;&gt;"OR+EX",--(DATOS!$G13231=CONFIG_METADATA!$B$4),IF(DATOS!$G13231="EX",1,IF(DATOS!$G13231="OR",--(COUNTIFS(nNIA,DATOS!$A13231,nCURSO,DATOS!$D13231,nESPEC,DATOS!$E13231,nASIG,DATOS!$I13231,nEVAL,"EX")=0),0))))</f>
      </c>
      <c r="H13231">
        <f>IF(DATOS!$G13231&lt;&gt;"EX",0,--(COUNTIFS(nNIA,DATOS!$A13231,nCURSO,DATOS!$D13231,nESPEC,DATOS!$E13231,nASIG,DATOS!$I13231,nEVAL,"OR")=0))</f>
      </c>
      <c r="I13231">
        <f>IF(DATOS!$I13231="","",IFERROR(VLOOKUP(DATOS!$I13231,CONFIG_ASIGNATURAS!$B$2:$J$91,9,FALSE()),""))</f>
      </c>
    </row>
    <row r="13232">
      <c r="F13232">
        <f>IF(DATOS!$A13232="","",DATOS!$A13232&amp;"|"&amp;DATOS!$D13232&amp;"|"&amp;DATOS!$E13232&amp;"|"&amp;DATOS!$I13232)</f>
      </c>
      <c r="G13232">
        <f>IF(DATOS!$A13232="",0,IF(CONFIG_METADATA!$B$4&lt;&gt;"OR+EX",--(DATOS!$G13232=CONFIG_METADATA!$B$4),IF(DATOS!$G13232="EX",1,IF(DATOS!$G13232="OR",--(COUNTIFS(nNIA,DATOS!$A13232,nCURSO,DATOS!$D13232,nESPEC,DATOS!$E13232,nASIG,DATOS!$I13232,nEVAL,"EX")=0),0))))</f>
      </c>
      <c r="H13232">
        <f>IF(DATOS!$G13232&lt;&gt;"EX",0,--(COUNTIFS(nNIA,DATOS!$A13232,nCURSO,DATOS!$D13232,nESPEC,DATOS!$E13232,nASIG,DATOS!$I13232,nEVAL,"OR")=0))</f>
      </c>
      <c r="I13232">
        <f>IF(DATOS!$I13232="","",IFERROR(VLOOKUP(DATOS!$I13232,CONFIG_ASIGNATURAS!$B$2:$J$91,9,FALSE()),""))</f>
      </c>
    </row>
    <row r="13233">
      <c r="F13233">
        <f>IF(DATOS!$A13233="","",DATOS!$A13233&amp;"|"&amp;DATOS!$D13233&amp;"|"&amp;DATOS!$E13233&amp;"|"&amp;DATOS!$I13233)</f>
      </c>
      <c r="G13233">
        <f>IF(DATOS!$A13233="",0,IF(CONFIG_METADATA!$B$4&lt;&gt;"OR+EX",--(DATOS!$G13233=CONFIG_METADATA!$B$4),IF(DATOS!$G13233="EX",1,IF(DATOS!$G13233="OR",--(COUNTIFS(nNIA,DATOS!$A13233,nCURSO,DATOS!$D13233,nESPEC,DATOS!$E13233,nASIG,DATOS!$I13233,nEVAL,"EX")=0),0))))</f>
      </c>
      <c r="H13233">
        <f>IF(DATOS!$G13233&lt;&gt;"EX",0,--(COUNTIFS(nNIA,DATOS!$A13233,nCURSO,DATOS!$D13233,nESPEC,DATOS!$E13233,nASIG,DATOS!$I13233,nEVAL,"OR")=0))</f>
      </c>
      <c r="I13233">
        <f>IF(DATOS!$I13233="","",IFERROR(VLOOKUP(DATOS!$I13233,CONFIG_ASIGNATURAS!$B$2:$J$91,9,FALSE()),""))</f>
      </c>
    </row>
    <row r="13234">
      <c r="F13234">
        <f>IF(DATOS!$A13234="","",DATOS!$A13234&amp;"|"&amp;DATOS!$D13234&amp;"|"&amp;DATOS!$E13234&amp;"|"&amp;DATOS!$I13234)</f>
      </c>
      <c r="G13234">
        <f>IF(DATOS!$A13234="",0,IF(CONFIG_METADATA!$B$4&lt;&gt;"OR+EX",--(DATOS!$G13234=CONFIG_METADATA!$B$4),IF(DATOS!$G13234="EX",1,IF(DATOS!$G13234="OR",--(COUNTIFS(nNIA,DATOS!$A13234,nCURSO,DATOS!$D13234,nESPEC,DATOS!$E13234,nASIG,DATOS!$I13234,nEVAL,"EX")=0),0))))</f>
      </c>
      <c r="H13234">
        <f>IF(DATOS!$G13234&lt;&gt;"EX",0,--(COUNTIFS(nNIA,DATOS!$A13234,nCURSO,DATOS!$D13234,nESPEC,DATOS!$E13234,nASIG,DATOS!$I13234,nEVAL,"OR")=0))</f>
      </c>
      <c r="I13234">
        <f>IF(DATOS!$I13234="","",IFERROR(VLOOKUP(DATOS!$I13234,CONFIG_ASIGNATURAS!$B$2:$J$91,9,FALSE()),""))</f>
      </c>
    </row>
    <row r="13235">
      <c r="F13235">
        <f>IF(DATOS!$A13235="","",DATOS!$A13235&amp;"|"&amp;DATOS!$D13235&amp;"|"&amp;DATOS!$E13235&amp;"|"&amp;DATOS!$I13235)</f>
      </c>
      <c r="G13235">
        <f>IF(DATOS!$A13235="",0,IF(CONFIG_METADATA!$B$4&lt;&gt;"OR+EX",--(DATOS!$G13235=CONFIG_METADATA!$B$4),IF(DATOS!$G13235="EX",1,IF(DATOS!$G13235="OR",--(COUNTIFS(nNIA,DATOS!$A13235,nCURSO,DATOS!$D13235,nESPEC,DATOS!$E13235,nASIG,DATOS!$I13235,nEVAL,"EX")=0),0))))</f>
      </c>
      <c r="H13235">
        <f>IF(DATOS!$G13235&lt;&gt;"EX",0,--(COUNTIFS(nNIA,DATOS!$A13235,nCURSO,DATOS!$D13235,nESPEC,DATOS!$E13235,nASIG,DATOS!$I13235,nEVAL,"OR")=0))</f>
      </c>
      <c r="I13235">
        <f>IF(DATOS!$I13235="","",IFERROR(VLOOKUP(DATOS!$I13235,CONFIG_ASIGNATURAS!$B$2:$J$91,9,FALSE()),""))</f>
      </c>
    </row>
    <row r="13236">
      <c r="F13236">
        <f>IF(DATOS!$A13236="","",DATOS!$A13236&amp;"|"&amp;DATOS!$D13236&amp;"|"&amp;DATOS!$E13236&amp;"|"&amp;DATOS!$I13236)</f>
      </c>
      <c r="G13236">
        <f>IF(DATOS!$A13236="",0,IF(CONFIG_METADATA!$B$4&lt;&gt;"OR+EX",--(DATOS!$G13236=CONFIG_METADATA!$B$4),IF(DATOS!$G13236="EX",1,IF(DATOS!$G13236="OR",--(COUNTIFS(nNIA,DATOS!$A13236,nCURSO,DATOS!$D13236,nESPEC,DATOS!$E13236,nASIG,DATOS!$I13236,nEVAL,"EX")=0),0))))</f>
      </c>
      <c r="H13236">
        <f>IF(DATOS!$G13236&lt;&gt;"EX",0,--(COUNTIFS(nNIA,DATOS!$A13236,nCURSO,DATOS!$D13236,nESPEC,DATOS!$E13236,nASIG,DATOS!$I13236,nEVAL,"OR")=0))</f>
      </c>
      <c r="I13236">
        <f>IF(DATOS!$I13236="","",IFERROR(VLOOKUP(DATOS!$I13236,CONFIG_ASIGNATURAS!$B$2:$J$91,9,FALSE()),""))</f>
      </c>
    </row>
    <row r="13237">
      <c r="F13237">
        <f>IF(DATOS!$A13237="","",DATOS!$A13237&amp;"|"&amp;DATOS!$D13237&amp;"|"&amp;DATOS!$E13237&amp;"|"&amp;DATOS!$I13237)</f>
      </c>
      <c r="G13237">
        <f>IF(DATOS!$A13237="",0,IF(CONFIG_METADATA!$B$4&lt;&gt;"OR+EX",--(DATOS!$G13237=CONFIG_METADATA!$B$4),IF(DATOS!$G13237="EX",1,IF(DATOS!$G13237="OR",--(COUNTIFS(nNIA,DATOS!$A13237,nCURSO,DATOS!$D13237,nESPEC,DATOS!$E13237,nASIG,DATOS!$I13237,nEVAL,"EX")=0),0))))</f>
      </c>
      <c r="H13237">
        <f>IF(DATOS!$G13237&lt;&gt;"EX",0,--(COUNTIFS(nNIA,DATOS!$A13237,nCURSO,DATOS!$D13237,nESPEC,DATOS!$E13237,nASIG,DATOS!$I13237,nEVAL,"OR")=0))</f>
      </c>
      <c r="I13237">
        <f>IF(DATOS!$I13237="","",IFERROR(VLOOKUP(DATOS!$I13237,CONFIG_ASIGNATURAS!$B$2:$J$91,9,FALSE()),""))</f>
      </c>
    </row>
    <row r="13238">
      <c r="F13238">
        <f>IF(DATOS!$A13238="","",DATOS!$A13238&amp;"|"&amp;DATOS!$D13238&amp;"|"&amp;DATOS!$E13238&amp;"|"&amp;DATOS!$I13238)</f>
      </c>
      <c r="G13238">
        <f>IF(DATOS!$A13238="",0,IF(CONFIG_METADATA!$B$4&lt;&gt;"OR+EX",--(DATOS!$G13238=CONFIG_METADATA!$B$4),IF(DATOS!$G13238="EX",1,IF(DATOS!$G13238="OR",--(COUNTIFS(nNIA,DATOS!$A13238,nCURSO,DATOS!$D13238,nESPEC,DATOS!$E13238,nASIG,DATOS!$I13238,nEVAL,"EX")=0),0))))</f>
      </c>
      <c r="H13238">
        <f>IF(DATOS!$G13238&lt;&gt;"EX",0,--(COUNTIFS(nNIA,DATOS!$A13238,nCURSO,DATOS!$D13238,nESPEC,DATOS!$E13238,nASIG,DATOS!$I13238,nEVAL,"OR")=0))</f>
      </c>
      <c r="I13238">
        <f>IF(DATOS!$I13238="","",IFERROR(VLOOKUP(DATOS!$I13238,CONFIG_ASIGNATURAS!$B$2:$J$91,9,FALSE()),""))</f>
      </c>
    </row>
    <row r="13239">
      <c r="F13239">
        <f>IF(DATOS!$A13239="","",DATOS!$A13239&amp;"|"&amp;DATOS!$D13239&amp;"|"&amp;DATOS!$E13239&amp;"|"&amp;DATOS!$I13239)</f>
      </c>
      <c r="G13239">
        <f>IF(DATOS!$A13239="",0,IF(CONFIG_METADATA!$B$4&lt;&gt;"OR+EX",--(DATOS!$G13239=CONFIG_METADATA!$B$4),IF(DATOS!$G13239="EX",1,IF(DATOS!$G13239="OR",--(COUNTIFS(nNIA,DATOS!$A13239,nCURSO,DATOS!$D13239,nESPEC,DATOS!$E13239,nASIG,DATOS!$I13239,nEVAL,"EX")=0),0))))</f>
      </c>
      <c r="H13239">
        <f>IF(DATOS!$G13239&lt;&gt;"EX",0,--(COUNTIFS(nNIA,DATOS!$A13239,nCURSO,DATOS!$D13239,nESPEC,DATOS!$E13239,nASIG,DATOS!$I13239,nEVAL,"OR")=0))</f>
      </c>
      <c r="I13239">
        <f>IF(DATOS!$I13239="","",IFERROR(VLOOKUP(DATOS!$I13239,CONFIG_ASIGNATURAS!$B$2:$J$91,9,FALSE()),""))</f>
      </c>
    </row>
    <row r="13240">
      <c r="F13240">
        <f>IF(DATOS!$A13240="","",DATOS!$A13240&amp;"|"&amp;DATOS!$D13240&amp;"|"&amp;DATOS!$E13240&amp;"|"&amp;DATOS!$I13240)</f>
      </c>
      <c r="G13240">
        <f>IF(DATOS!$A13240="",0,IF(CONFIG_METADATA!$B$4&lt;&gt;"OR+EX",--(DATOS!$G13240=CONFIG_METADATA!$B$4),IF(DATOS!$G13240="EX",1,IF(DATOS!$G13240="OR",--(COUNTIFS(nNIA,DATOS!$A13240,nCURSO,DATOS!$D13240,nESPEC,DATOS!$E13240,nASIG,DATOS!$I13240,nEVAL,"EX")=0),0))))</f>
      </c>
      <c r="H13240">
        <f>IF(DATOS!$G13240&lt;&gt;"EX",0,--(COUNTIFS(nNIA,DATOS!$A13240,nCURSO,DATOS!$D13240,nESPEC,DATOS!$E13240,nASIG,DATOS!$I13240,nEVAL,"OR")=0))</f>
      </c>
      <c r="I13240">
        <f>IF(DATOS!$I13240="","",IFERROR(VLOOKUP(DATOS!$I13240,CONFIG_ASIGNATURAS!$B$2:$J$91,9,FALSE()),""))</f>
      </c>
    </row>
    <row r="13241">
      <c r="F13241">
        <f>IF(DATOS!$A13241="","",DATOS!$A13241&amp;"|"&amp;DATOS!$D13241&amp;"|"&amp;DATOS!$E13241&amp;"|"&amp;DATOS!$I13241)</f>
      </c>
      <c r="G13241">
        <f>IF(DATOS!$A13241="",0,IF(CONFIG_METADATA!$B$4&lt;&gt;"OR+EX",--(DATOS!$G13241=CONFIG_METADATA!$B$4),IF(DATOS!$G13241="EX",1,IF(DATOS!$G13241="OR",--(COUNTIFS(nNIA,DATOS!$A13241,nCURSO,DATOS!$D13241,nESPEC,DATOS!$E13241,nASIG,DATOS!$I13241,nEVAL,"EX")=0),0))))</f>
      </c>
      <c r="H13241">
        <f>IF(DATOS!$G13241&lt;&gt;"EX",0,--(COUNTIFS(nNIA,DATOS!$A13241,nCURSO,DATOS!$D13241,nESPEC,DATOS!$E13241,nASIG,DATOS!$I13241,nEVAL,"OR")=0))</f>
      </c>
      <c r="I13241">
        <f>IF(DATOS!$I13241="","",IFERROR(VLOOKUP(DATOS!$I13241,CONFIG_ASIGNATURAS!$B$2:$J$91,9,FALSE()),""))</f>
      </c>
    </row>
    <row r="13242">
      <c r="F13242">
        <f>IF(DATOS!$A13242="","",DATOS!$A13242&amp;"|"&amp;DATOS!$D13242&amp;"|"&amp;DATOS!$E13242&amp;"|"&amp;DATOS!$I13242)</f>
      </c>
      <c r="G13242">
        <f>IF(DATOS!$A13242="",0,IF(CONFIG_METADATA!$B$4&lt;&gt;"OR+EX",--(DATOS!$G13242=CONFIG_METADATA!$B$4),IF(DATOS!$G13242="EX",1,IF(DATOS!$G13242="OR",--(COUNTIFS(nNIA,DATOS!$A13242,nCURSO,DATOS!$D13242,nESPEC,DATOS!$E13242,nASIG,DATOS!$I13242,nEVAL,"EX")=0),0))))</f>
      </c>
      <c r="H13242">
        <f>IF(DATOS!$G13242&lt;&gt;"EX",0,--(COUNTIFS(nNIA,DATOS!$A13242,nCURSO,DATOS!$D13242,nESPEC,DATOS!$E13242,nASIG,DATOS!$I13242,nEVAL,"OR")=0))</f>
      </c>
      <c r="I13242">
        <f>IF(DATOS!$I13242="","",IFERROR(VLOOKUP(DATOS!$I13242,CONFIG_ASIGNATURAS!$B$2:$J$91,9,FALSE()),""))</f>
      </c>
    </row>
    <row r="13243">
      <c r="F13243">
        <f>IF(DATOS!$A13243="","",DATOS!$A13243&amp;"|"&amp;DATOS!$D13243&amp;"|"&amp;DATOS!$E13243&amp;"|"&amp;DATOS!$I13243)</f>
      </c>
      <c r="G13243">
        <f>IF(DATOS!$A13243="",0,IF(CONFIG_METADATA!$B$4&lt;&gt;"OR+EX",--(DATOS!$G13243=CONFIG_METADATA!$B$4),IF(DATOS!$G13243="EX",1,IF(DATOS!$G13243="OR",--(COUNTIFS(nNIA,DATOS!$A13243,nCURSO,DATOS!$D13243,nESPEC,DATOS!$E13243,nASIG,DATOS!$I13243,nEVAL,"EX")=0),0))))</f>
      </c>
      <c r="H13243">
        <f>IF(DATOS!$G13243&lt;&gt;"EX",0,--(COUNTIFS(nNIA,DATOS!$A13243,nCURSO,DATOS!$D13243,nESPEC,DATOS!$E13243,nASIG,DATOS!$I13243,nEVAL,"OR")=0))</f>
      </c>
      <c r="I13243">
        <f>IF(DATOS!$I13243="","",IFERROR(VLOOKUP(DATOS!$I13243,CONFIG_ASIGNATURAS!$B$2:$J$91,9,FALSE()),""))</f>
      </c>
    </row>
    <row r="13244">
      <c r="F13244">
        <f>IF(DATOS!$A13244="","",DATOS!$A13244&amp;"|"&amp;DATOS!$D13244&amp;"|"&amp;DATOS!$E13244&amp;"|"&amp;DATOS!$I13244)</f>
      </c>
      <c r="G13244">
        <f>IF(DATOS!$A13244="",0,IF(CONFIG_METADATA!$B$4&lt;&gt;"OR+EX",--(DATOS!$G13244=CONFIG_METADATA!$B$4),IF(DATOS!$G13244="EX",1,IF(DATOS!$G13244="OR",--(COUNTIFS(nNIA,DATOS!$A13244,nCURSO,DATOS!$D13244,nESPEC,DATOS!$E13244,nASIG,DATOS!$I13244,nEVAL,"EX")=0),0))))</f>
      </c>
      <c r="H13244">
        <f>IF(DATOS!$G13244&lt;&gt;"EX",0,--(COUNTIFS(nNIA,DATOS!$A13244,nCURSO,DATOS!$D13244,nESPEC,DATOS!$E13244,nASIG,DATOS!$I13244,nEVAL,"OR")=0))</f>
      </c>
      <c r="I13244">
        <f>IF(DATOS!$I13244="","",IFERROR(VLOOKUP(DATOS!$I13244,CONFIG_ASIGNATURAS!$B$2:$J$91,9,FALSE()),""))</f>
      </c>
    </row>
    <row r="13245">
      <c r="F13245">
        <f>IF(DATOS!$A13245="","",DATOS!$A13245&amp;"|"&amp;DATOS!$D13245&amp;"|"&amp;DATOS!$E13245&amp;"|"&amp;DATOS!$I13245)</f>
      </c>
      <c r="G13245">
        <f>IF(DATOS!$A13245="",0,IF(CONFIG_METADATA!$B$4&lt;&gt;"OR+EX",--(DATOS!$G13245=CONFIG_METADATA!$B$4),IF(DATOS!$G13245="EX",1,IF(DATOS!$G13245="OR",--(COUNTIFS(nNIA,DATOS!$A13245,nCURSO,DATOS!$D13245,nESPEC,DATOS!$E13245,nASIG,DATOS!$I13245,nEVAL,"EX")=0),0))))</f>
      </c>
      <c r="H13245">
        <f>IF(DATOS!$G13245&lt;&gt;"EX",0,--(COUNTIFS(nNIA,DATOS!$A13245,nCURSO,DATOS!$D13245,nESPEC,DATOS!$E13245,nASIG,DATOS!$I13245,nEVAL,"OR")=0))</f>
      </c>
      <c r="I13245">
        <f>IF(DATOS!$I13245="","",IFERROR(VLOOKUP(DATOS!$I13245,CONFIG_ASIGNATURAS!$B$2:$J$91,9,FALSE()),""))</f>
      </c>
    </row>
    <row r="13246">
      <c r="F13246">
        <f>IF(DATOS!$A13246="","",DATOS!$A13246&amp;"|"&amp;DATOS!$D13246&amp;"|"&amp;DATOS!$E13246&amp;"|"&amp;DATOS!$I13246)</f>
      </c>
      <c r="G13246">
        <f>IF(DATOS!$A13246="",0,IF(CONFIG_METADATA!$B$4&lt;&gt;"OR+EX",--(DATOS!$G13246=CONFIG_METADATA!$B$4),IF(DATOS!$G13246="EX",1,IF(DATOS!$G13246="OR",--(COUNTIFS(nNIA,DATOS!$A13246,nCURSO,DATOS!$D13246,nESPEC,DATOS!$E13246,nASIG,DATOS!$I13246,nEVAL,"EX")=0),0))))</f>
      </c>
      <c r="H13246">
        <f>IF(DATOS!$G13246&lt;&gt;"EX",0,--(COUNTIFS(nNIA,DATOS!$A13246,nCURSO,DATOS!$D13246,nESPEC,DATOS!$E13246,nASIG,DATOS!$I13246,nEVAL,"OR")=0))</f>
      </c>
      <c r="I13246">
        <f>IF(DATOS!$I13246="","",IFERROR(VLOOKUP(DATOS!$I13246,CONFIG_ASIGNATURAS!$B$2:$J$91,9,FALSE()),""))</f>
      </c>
    </row>
    <row r="13247">
      <c r="F13247">
        <f>IF(DATOS!$A13247="","",DATOS!$A13247&amp;"|"&amp;DATOS!$D13247&amp;"|"&amp;DATOS!$E13247&amp;"|"&amp;DATOS!$I13247)</f>
      </c>
      <c r="G13247">
        <f>IF(DATOS!$A13247="",0,IF(CONFIG_METADATA!$B$4&lt;&gt;"OR+EX",--(DATOS!$G13247=CONFIG_METADATA!$B$4),IF(DATOS!$G13247="EX",1,IF(DATOS!$G13247="OR",--(COUNTIFS(nNIA,DATOS!$A13247,nCURSO,DATOS!$D13247,nESPEC,DATOS!$E13247,nASIG,DATOS!$I13247,nEVAL,"EX")=0),0))))</f>
      </c>
      <c r="H13247">
        <f>IF(DATOS!$G13247&lt;&gt;"EX",0,--(COUNTIFS(nNIA,DATOS!$A13247,nCURSO,DATOS!$D13247,nESPEC,DATOS!$E13247,nASIG,DATOS!$I13247,nEVAL,"OR")=0))</f>
      </c>
      <c r="I13247">
        <f>IF(DATOS!$I13247="","",IFERROR(VLOOKUP(DATOS!$I13247,CONFIG_ASIGNATURAS!$B$2:$J$91,9,FALSE()),""))</f>
      </c>
    </row>
    <row r="13248">
      <c r="F13248">
        <f>IF(DATOS!$A13248="","",DATOS!$A13248&amp;"|"&amp;DATOS!$D13248&amp;"|"&amp;DATOS!$E13248&amp;"|"&amp;DATOS!$I13248)</f>
      </c>
      <c r="G13248">
        <f>IF(DATOS!$A13248="",0,IF(CONFIG_METADATA!$B$4&lt;&gt;"OR+EX",--(DATOS!$G13248=CONFIG_METADATA!$B$4),IF(DATOS!$G13248="EX",1,IF(DATOS!$G13248="OR",--(COUNTIFS(nNIA,DATOS!$A13248,nCURSO,DATOS!$D13248,nESPEC,DATOS!$E13248,nASIG,DATOS!$I13248,nEVAL,"EX")=0),0))))</f>
      </c>
      <c r="H13248">
        <f>IF(DATOS!$G13248&lt;&gt;"EX",0,--(COUNTIFS(nNIA,DATOS!$A13248,nCURSO,DATOS!$D13248,nESPEC,DATOS!$E13248,nASIG,DATOS!$I13248,nEVAL,"OR")=0))</f>
      </c>
      <c r="I13248">
        <f>IF(DATOS!$I13248="","",IFERROR(VLOOKUP(DATOS!$I13248,CONFIG_ASIGNATURAS!$B$2:$J$91,9,FALSE()),""))</f>
      </c>
    </row>
    <row r="13249">
      <c r="F13249">
        <f>IF(DATOS!$A13249="","",DATOS!$A13249&amp;"|"&amp;DATOS!$D13249&amp;"|"&amp;DATOS!$E13249&amp;"|"&amp;DATOS!$I13249)</f>
      </c>
      <c r="G13249">
        <f>IF(DATOS!$A13249="",0,IF(CONFIG_METADATA!$B$4&lt;&gt;"OR+EX",--(DATOS!$G13249=CONFIG_METADATA!$B$4),IF(DATOS!$G13249="EX",1,IF(DATOS!$G13249="OR",--(COUNTIFS(nNIA,DATOS!$A13249,nCURSO,DATOS!$D13249,nESPEC,DATOS!$E13249,nASIG,DATOS!$I13249,nEVAL,"EX")=0),0))))</f>
      </c>
      <c r="H13249">
        <f>IF(DATOS!$G13249&lt;&gt;"EX",0,--(COUNTIFS(nNIA,DATOS!$A13249,nCURSO,DATOS!$D13249,nESPEC,DATOS!$E13249,nASIG,DATOS!$I13249,nEVAL,"OR")=0))</f>
      </c>
      <c r="I13249">
        <f>IF(DATOS!$I13249="","",IFERROR(VLOOKUP(DATOS!$I13249,CONFIG_ASIGNATURAS!$B$2:$J$91,9,FALSE()),""))</f>
      </c>
    </row>
    <row r="13250">
      <c r="F13250">
        <f>IF(DATOS!$A13250="","",DATOS!$A13250&amp;"|"&amp;DATOS!$D13250&amp;"|"&amp;DATOS!$E13250&amp;"|"&amp;DATOS!$I13250)</f>
      </c>
      <c r="G13250">
        <f>IF(DATOS!$A13250="",0,IF(CONFIG_METADATA!$B$4&lt;&gt;"OR+EX",--(DATOS!$G13250=CONFIG_METADATA!$B$4),IF(DATOS!$G13250="EX",1,IF(DATOS!$G13250="OR",--(COUNTIFS(nNIA,DATOS!$A13250,nCURSO,DATOS!$D13250,nESPEC,DATOS!$E13250,nASIG,DATOS!$I13250,nEVAL,"EX")=0),0))))</f>
      </c>
      <c r="H13250">
        <f>IF(DATOS!$G13250&lt;&gt;"EX",0,--(COUNTIFS(nNIA,DATOS!$A13250,nCURSO,DATOS!$D13250,nESPEC,DATOS!$E13250,nASIG,DATOS!$I13250,nEVAL,"OR")=0))</f>
      </c>
      <c r="I13250">
        <f>IF(DATOS!$I13250="","",IFERROR(VLOOKUP(DATOS!$I13250,CONFIG_ASIGNATURAS!$B$2:$J$91,9,FALSE()),""))</f>
      </c>
    </row>
    <row r="13251">
      <c r="F13251">
        <f>IF(DATOS!$A13251="","",DATOS!$A13251&amp;"|"&amp;DATOS!$D13251&amp;"|"&amp;DATOS!$E13251&amp;"|"&amp;DATOS!$I13251)</f>
      </c>
      <c r="G13251">
        <f>IF(DATOS!$A13251="",0,IF(CONFIG_METADATA!$B$4&lt;&gt;"OR+EX",--(DATOS!$G13251=CONFIG_METADATA!$B$4),IF(DATOS!$G13251="EX",1,IF(DATOS!$G13251="OR",--(COUNTIFS(nNIA,DATOS!$A13251,nCURSO,DATOS!$D13251,nESPEC,DATOS!$E13251,nASIG,DATOS!$I13251,nEVAL,"EX")=0),0))))</f>
      </c>
      <c r="H13251">
        <f>IF(DATOS!$G13251&lt;&gt;"EX",0,--(COUNTIFS(nNIA,DATOS!$A13251,nCURSO,DATOS!$D13251,nESPEC,DATOS!$E13251,nASIG,DATOS!$I13251,nEVAL,"OR")=0))</f>
      </c>
      <c r="I13251">
        <f>IF(DATOS!$I13251="","",IFERROR(VLOOKUP(DATOS!$I13251,CONFIG_ASIGNATURAS!$B$2:$J$91,9,FALSE()),""))</f>
      </c>
    </row>
    <row r="13252">
      <c r="F13252">
        <f>IF(DATOS!$A13252="","",DATOS!$A13252&amp;"|"&amp;DATOS!$D13252&amp;"|"&amp;DATOS!$E13252&amp;"|"&amp;DATOS!$I13252)</f>
      </c>
      <c r="G13252">
        <f>IF(DATOS!$A13252="",0,IF(CONFIG_METADATA!$B$4&lt;&gt;"OR+EX",--(DATOS!$G13252=CONFIG_METADATA!$B$4),IF(DATOS!$G13252="EX",1,IF(DATOS!$G13252="OR",--(COUNTIFS(nNIA,DATOS!$A13252,nCURSO,DATOS!$D13252,nESPEC,DATOS!$E13252,nASIG,DATOS!$I13252,nEVAL,"EX")=0),0))))</f>
      </c>
      <c r="H13252">
        <f>IF(DATOS!$G13252&lt;&gt;"EX",0,--(COUNTIFS(nNIA,DATOS!$A13252,nCURSO,DATOS!$D13252,nESPEC,DATOS!$E13252,nASIG,DATOS!$I13252,nEVAL,"OR")=0))</f>
      </c>
      <c r="I13252">
        <f>IF(DATOS!$I13252="","",IFERROR(VLOOKUP(DATOS!$I13252,CONFIG_ASIGNATURAS!$B$2:$J$91,9,FALSE()),""))</f>
      </c>
    </row>
    <row r="13253">
      <c r="F13253">
        <f>IF(DATOS!$A13253="","",DATOS!$A13253&amp;"|"&amp;DATOS!$D13253&amp;"|"&amp;DATOS!$E13253&amp;"|"&amp;DATOS!$I13253)</f>
      </c>
      <c r="G13253">
        <f>IF(DATOS!$A13253="",0,IF(CONFIG_METADATA!$B$4&lt;&gt;"OR+EX",--(DATOS!$G13253=CONFIG_METADATA!$B$4),IF(DATOS!$G13253="EX",1,IF(DATOS!$G13253="OR",--(COUNTIFS(nNIA,DATOS!$A13253,nCURSO,DATOS!$D13253,nESPEC,DATOS!$E13253,nASIG,DATOS!$I13253,nEVAL,"EX")=0),0))))</f>
      </c>
      <c r="H13253">
        <f>IF(DATOS!$G13253&lt;&gt;"EX",0,--(COUNTIFS(nNIA,DATOS!$A13253,nCURSO,DATOS!$D13253,nESPEC,DATOS!$E13253,nASIG,DATOS!$I13253,nEVAL,"OR")=0))</f>
      </c>
      <c r="I13253">
        <f>IF(DATOS!$I13253="","",IFERROR(VLOOKUP(DATOS!$I13253,CONFIG_ASIGNATURAS!$B$2:$J$91,9,FALSE()),""))</f>
      </c>
    </row>
    <row r="13254">
      <c r="F13254">
        <f>IF(DATOS!$A13254="","",DATOS!$A13254&amp;"|"&amp;DATOS!$D13254&amp;"|"&amp;DATOS!$E13254&amp;"|"&amp;DATOS!$I13254)</f>
      </c>
      <c r="G13254">
        <f>IF(DATOS!$A13254="",0,IF(CONFIG_METADATA!$B$4&lt;&gt;"OR+EX",--(DATOS!$G13254=CONFIG_METADATA!$B$4),IF(DATOS!$G13254="EX",1,IF(DATOS!$G13254="OR",--(COUNTIFS(nNIA,DATOS!$A13254,nCURSO,DATOS!$D13254,nESPEC,DATOS!$E13254,nASIG,DATOS!$I13254,nEVAL,"EX")=0),0))))</f>
      </c>
      <c r="H13254">
        <f>IF(DATOS!$G13254&lt;&gt;"EX",0,--(COUNTIFS(nNIA,DATOS!$A13254,nCURSO,DATOS!$D13254,nESPEC,DATOS!$E13254,nASIG,DATOS!$I13254,nEVAL,"OR")=0))</f>
      </c>
      <c r="I13254">
        <f>IF(DATOS!$I13254="","",IFERROR(VLOOKUP(DATOS!$I13254,CONFIG_ASIGNATURAS!$B$2:$J$91,9,FALSE()),""))</f>
      </c>
    </row>
    <row r="13255">
      <c r="F13255">
        <f>IF(DATOS!$A13255="","",DATOS!$A13255&amp;"|"&amp;DATOS!$D13255&amp;"|"&amp;DATOS!$E13255&amp;"|"&amp;DATOS!$I13255)</f>
      </c>
      <c r="G13255">
        <f>IF(DATOS!$A13255="",0,IF(CONFIG_METADATA!$B$4&lt;&gt;"OR+EX",--(DATOS!$G13255=CONFIG_METADATA!$B$4),IF(DATOS!$G13255="EX",1,IF(DATOS!$G13255="OR",--(COUNTIFS(nNIA,DATOS!$A13255,nCURSO,DATOS!$D13255,nESPEC,DATOS!$E13255,nASIG,DATOS!$I13255,nEVAL,"EX")=0),0))))</f>
      </c>
      <c r="H13255">
        <f>IF(DATOS!$G13255&lt;&gt;"EX",0,--(COUNTIFS(nNIA,DATOS!$A13255,nCURSO,DATOS!$D13255,nESPEC,DATOS!$E13255,nASIG,DATOS!$I13255,nEVAL,"OR")=0))</f>
      </c>
      <c r="I13255">
        <f>IF(DATOS!$I13255="","",IFERROR(VLOOKUP(DATOS!$I13255,CONFIG_ASIGNATURAS!$B$2:$J$91,9,FALSE()),""))</f>
      </c>
    </row>
    <row r="13256">
      <c r="F13256">
        <f>IF(DATOS!$A13256="","",DATOS!$A13256&amp;"|"&amp;DATOS!$D13256&amp;"|"&amp;DATOS!$E13256&amp;"|"&amp;DATOS!$I13256)</f>
      </c>
      <c r="G13256">
        <f>IF(DATOS!$A13256="",0,IF(CONFIG_METADATA!$B$4&lt;&gt;"OR+EX",--(DATOS!$G13256=CONFIG_METADATA!$B$4),IF(DATOS!$G13256="EX",1,IF(DATOS!$G13256="OR",--(COUNTIFS(nNIA,DATOS!$A13256,nCURSO,DATOS!$D13256,nESPEC,DATOS!$E13256,nASIG,DATOS!$I13256,nEVAL,"EX")=0),0))))</f>
      </c>
      <c r="H13256">
        <f>IF(DATOS!$G13256&lt;&gt;"EX",0,--(COUNTIFS(nNIA,DATOS!$A13256,nCURSO,DATOS!$D13256,nESPEC,DATOS!$E13256,nASIG,DATOS!$I13256,nEVAL,"OR")=0))</f>
      </c>
      <c r="I13256">
        <f>IF(DATOS!$I13256="","",IFERROR(VLOOKUP(DATOS!$I13256,CONFIG_ASIGNATURAS!$B$2:$J$91,9,FALSE()),""))</f>
      </c>
    </row>
    <row r="13257">
      <c r="F13257">
        <f>IF(DATOS!$A13257="","",DATOS!$A13257&amp;"|"&amp;DATOS!$D13257&amp;"|"&amp;DATOS!$E13257&amp;"|"&amp;DATOS!$I13257)</f>
      </c>
      <c r="G13257">
        <f>IF(DATOS!$A13257="",0,IF(CONFIG_METADATA!$B$4&lt;&gt;"OR+EX",--(DATOS!$G13257=CONFIG_METADATA!$B$4),IF(DATOS!$G13257="EX",1,IF(DATOS!$G13257="OR",--(COUNTIFS(nNIA,DATOS!$A13257,nCURSO,DATOS!$D13257,nESPEC,DATOS!$E13257,nASIG,DATOS!$I13257,nEVAL,"EX")=0),0))))</f>
      </c>
      <c r="H13257">
        <f>IF(DATOS!$G13257&lt;&gt;"EX",0,--(COUNTIFS(nNIA,DATOS!$A13257,nCURSO,DATOS!$D13257,nESPEC,DATOS!$E13257,nASIG,DATOS!$I13257,nEVAL,"OR")=0))</f>
      </c>
      <c r="I13257">
        <f>IF(DATOS!$I13257="","",IFERROR(VLOOKUP(DATOS!$I13257,CONFIG_ASIGNATURAS!$B$2:$J$91,9,FALSE()),""))</f>
      </c>
    </row>
    <row r="13258">
      <c r="F13258">
        <f>IF(DATOS!$A13258="","",DATOS!$A13258&amp;"|"&amp;DATOS!$D13258&amp;"|"&amp;DATOS!$E13258&amp;"|"&amp;DATOS!$I13258)</f>
      </c>
      <c r="G13258">
        <f>IF(DATOS!$A13258="",0,IF(CONFIG_METADATA!$B$4&lt;&gt;"OR+EX",--(DATOS!$G13258=CONFIG_METADATA!$B$4),IF(DATOS!$G13258="EX",1,IF(DATOS!$G13258="OR",--(COUNTIFS(nNIA,DATOS!$A13258,nCURSO,DATOS!$D13258,nESPEC,DATOS!$E13258,nASIG,DATOS!$I13258,nEVAL,"EX")=0),0))))</f>
      </c>
      <c r="H13258">
        <f>IF(DATOS!$G13258&lt;&gt;"EX",0,--(COUNTIFS(nNIA,DATOS!$A13258,nCURSO,DATOS!$D13258,nESPEC,DATOS!$E13258,nASIG,DATOS!$I13258,nEVAL,"OR")=0))</f>
      </c>
      <c r="I13258">
        <f>IF(DATOS!$I13258="","",IFERROR(VLOOKUP(DATOS!$I13258,CONFIG_ASIGNATURAS!$B$2:$J$91,9,FALSE()),""))</f>
      </c>
    </row>
    <row r="13259">
      <c r="F13259">
        <f>IF(DATOS!$A13259="","",DATOS!$A13259&amp;"|"&amp;DATOS!$D13259&amp;"|"&amp;DATOS!$E13259&amp;"|"&amp;DATOS!$I13259)</f>
      </c>
      <c r="G13259">
        <f>IF(DATOS!$A13259="",0,IF(CONFIG_METADATA!$B$4&lt;&gt;"OR+EX",--(DATOS!$G13259=CONFIG_METADATA!$B$4),IF(DATOS!$G13259="EX",1,IF(DATOS!$G13259="OR",--(COUNTIFS(nNIA,DATOS!$A13259,nCURSO,DATOS!$D13259,nESPEC,DATOS!$E13259,nASIG,DATOS!$I13259,nEVAL,"EX")=0),0))))</f>
      </c>
      <c r="H13259">
        <f>IF(DATOS!$G13259&lt;&gt;"EX",0,--(COUNTIFS(nNIA,DATOS!$A13259,nCURSO,DATOS!$D13259,nESPEC,DATOS!$E13259,nASIG,DATOS!$I13259,nEVAL,"OR")=0))</f>
      </c>
      <c r="I13259">
        <f>IF(DATOS!$I13259="","",IFERROR(VLOOKUP(DATOS!$I13259,CONFIG_ASIGNATURAS!$B$2:$J$91,9,FALSE()),""))</f>
      </c>
    </row>
    <row r="13260">
      <c r="F13260">
        <f>IF(DATOS!$A13260="","",DATOS!$A13260&amp;"|"&amp;DATOS!$D13260&amp;"|"&amp;DATOS!$E13260&amp;"|"&amp;DATOS!$I13260)</f>
      </c>
      <c r="G13260">
        <f>IF(DATOS!$A13260="",0,IF(CONFIG_METADATA!$B$4&lt;&gt;"OR+EX",--(DATOS!$G13260=CONFIG_METADATA!$B$4),IF(DATOS!$G13260="EX",1,IF(DATOS!$G13260="OR",--(COUNTIFS(nNIA,DATOS!$A13260,nCURSO,DATOS!$D13260,nESPEC,DATOS!$E13260,nASIG,DATOS!$I13260,nEVAL,"EX")=0),0))))</f>
      </c>
      <c r="H13260">
        <f>IF(DATOS!$G13260&lt;&gt;"EX",0,--(COUNTIFS(nNIA,DATOS!$A13260,nCURSO,DATOS!$D13260,nESPEC,DATOS!$E13260,nASIG,DATOS!$I13260,nEVAL,"OR")=0))</f>
      </c>
      <c r="I13260">
        <f>IF(DATOS!$I13260="","",IFERROR(VLOOKUP(DATOS!$I13260,CONFIG_ASIGNATURAS!$B$2:$J$91,9,FALSE()),""))</f>
      </c>
    </row>
    <row r="13261">
      <c r="F13261">
        <f>IF(DATOS!$A13261="","",DATOS!$A13261&amp;"|"&amp;DATOS!$D13261&amp;"|"&amp;DATOS!$E13261&amp;"|"&amp;DATOS!$I13261)</f>
      </c>
      <c r="G13261">
        <f>IF(DATOS!$A13261="",0,IF(CONFIG_METADATA!$B$4&lt;&gt;"OR+EX",--(DATOS!$G13261=CONFIG_METADATA!$B$4),IF(DATOS!$G13261="EX",1,IF(DATOS!$G13261="OR",--(COUNTIFS(nNIA,DATOS!$A13261,nCURSO,DATOS!$D13261,nESPEC,DATOS!$E13261,nASIG,DATOS!$I13261,nEVAL,"EX")=0),0))))</f>
      </c>
      <c r="H13261">
        <f>IF(DATOS!$G13261&lt;&gt;"EX",0,--(COUNTIFS(nNIA,DATOS!$A13261,nCURSO,DATOS!$D13261,nESPEC,DATOS!$E13261,nASIG,DATOS!$I13261,nEVAL,"OR")=0))</f>
      </c>
      <c r="I13261">
        <f>IF(DATOS!$I13261="","",IFERROR(VLOOKUP(DATOS!$I13261,CONFIG_ASIGNATURAS!$B$2:$J$91,9,FALSE()),""))</f>
      </c>
    </row>
    <row r="13262">
      <c r="F13262">
        <f>IF(DATOS!$A13262="","",DATOS!$A13262&amp;"|"&amp;DATOS!$D13262&amp;"|"&amp;DATOS!$E13262&amp;"|"&amp;DATOS!$I13262)</f>
      </c>
      <c r="G13262">
        <f>IF(DATOS!$A13262="",0,IF(CONFIG_METADATA!$B$4&lt;&gt;"OR+EX",--(DATOS!$G13262=CONFIG_METADATA!$B$4),IF(DATOS!$G13262="EX",1,IF(DATOS!$G13262="OR",--(COUNTIFS(nNIA,DATOS!$A13262,nCURSO,DATOS!$D13262,nESPEC,DATOS!$E13262,nASIG,DATOS!$I13262,nEVAL,"EX")=0),0))))</f>
      </c>
      <c r="H13262">
        <f>IF(DATOS!$G13262&lt;&gt;"EX",0,--(COUNTIFS(nNIA,DATOS!$A13262,nCURSO,DATOS!$D13262,nESPEC,DATOS!$E13262,nASIG,DATOS!$I13262,nEVAL,"OR")=0))</f>
      </c>
      <c r="I13262">
        <f>IF(DATOS!$I13262="","",IFERROR(VLOOKUP(DATOS!$I13262,CONFIG_ASIGNATURAS!$B$2:$J$91,9,FALSE()),""))</f>
      </c>
    </row>
    <row r="13263">
      <c r="F13263">
        <f>IF(DATOS!$A13263="","",DATOS!$A13263&amp;"|"&amp;DATOS!$D13263&amp;"|"&amp;DATOS!$E13263&amp;"|"&amp;DATOS!$I13263)</f>
      </c>
      <c r="G13263">
        <f>IF(DATOS!$A13263="",0,IF(CONFIG_METADATA!$B$4&lt;&gt;"OR+EX",--(DATOS!$G13263=CONFIG_METADATA!$B$4),IF(DATOS!$G13263="EX",1,IF(DATOS!$G13263="OR",--(COUNTIFS(nNIA,DATOS!$A13263,nCURSO,DATOS!$D13263,nESPEC,DATOS!$E13263,nASIG,DATOS!$I13263,nEVAL,"EX")=0),0))))</f>
      </c>
      <c r="H13263">
        <f>IF(DATOS!$G13263&lt;&gt;"EX",0,--(COUNTIFS(nNIA,DATOS!$A13263,nCURSO,DATOS!$D13263,nESPEC,DATOS!$E13263,nASIG,DATOS!$I13263,nEVAL,"OR")=0))</f>
      </c>
      <c r="I13263">
        <f>IF(DATOS!$I13263="","",IFERROR(VLOOKUP(DATOS!$I13263,CONFIG_ASIGNATURAS!$B$2:$J$91,9,FALSE()),""))</f>
      </c>
    </row>
    <row r="13264">
      <c r="F13264">
        <f>IF(DATOS!$A13264="","",DATOS!$A13264&amp;"|"&amp;DATOS!$D13264&amp;"|"&amp;DATOS!$E13264&amp;"|"&amp;DATOS!$I13264)</f>
      </c>
      <c r="G13264">
        <f>IF(DATOS!$A13264="",0,IF(CONFIG_METADATA!$B$4&lt;&gt;"OR+EX",--(DATOS!$G13264=CONFIG_METADATA!$B$4),IF(DATOS!$G13264="EX",1,IF(DATOS!$G13264="OR",--(COUNTIFS(nNIA,DATOS!$A13264,nCURSO,DATOS!$D13264,nESPEC,DATOS!$E13264,nASIG,DATOS!$I13264,nEVAL,"EX")=0),0))))</f>
      </c>
      <c r="H13264">
        <f>IF(DATOS!$G13264&lt;&gt;"EX",0,--(COUNTIFS(nNIA,DATOS!$A13264,nCURSO,DATOS!$D13264,nESPEC,DATOS!$E13264,nASIG,DATOS!$I13264,nEVAL,"OR")=0))</f>
      </c>
      <c r="I13264">
        <f>IF(DATOS!$I13264="","",IFERROR(VLOOKUP(DATOS!$I13264,CONFIG_ASIGNATURAS!$B$2:$J$91,9,FALSE()),""))</f>
      </c>
    </row>
    <row r="13265">
      <c r="F13265">
        <f>IF(DATOS!$A13265="","",DATOS!$A13265&amp;"|"&amp;DATOS!$D13265&amp;"|"&amp;DATOS!$E13265&amp;"|"&amp;DATOS!$I13265)</f>
      </c>
      <c r="G13265">
        <f>IF(DATOS!$A13265="",0,IF(CONFIG_METADATA!$B$4&lt;&gt;"OR+EX",--(DATOS!$G13265=CONFIG_METADATA!$B$4),IF(DATOS!$G13265="EX",1,IF(DATOS!$G13265="OR",--(COUNTIFS(nNIA,DATOS!$A13265,nCURSO,DATOS!$D13265,nESPEC,DATOS!$E13265,nASIG,DATOS!$I13265,nEVAL,"EX")=0),0))))</f>
      </c>
      <c r="H13265">
        <f>IF(DATOS!$G13265&lt;&gt;"EX",0,--(COUNTIFS(nNIA,DATOS!$A13265,nCURSO,DATOS!$D13265,nESPEC,DATOS!$E13265,nASIG,DATOS!$I13265,nEVAL,"OR")=0))</f>
      </c>
      <c r="I13265">
        <f>IF(DATOS!$I13265="","",IFERROR(VLOOKUP(DATOS!$I13265,CONFIG_ASIGNATURAS!$B$2:$J$91,9,FALSE()),""))</f>
      </c>
    </row>
    <row r="13266">
      <c r="F13266">
        <f>IF(DATOS!$A13266="","",DATOS!$A13266&amp;"|"&amp;DATOS!$D13266&amp;"|"&amp;DATOS!$E13266&amp;"|"&amp;DATOS!$I13266)</f>
      </c>
      <c r="G13266">
        <f>IF(DATOS!$A13266="",0,IF(CONFIG_METADATA!$B$4&lt;&gt;"OR+EX",--(DATOS!$G13266=CONFIG_METADATA!$B$4),IF(DATOS!$G13266="EX",1,IF(DATOS!$G13266="OR",--(COUNTIFS(nNIA,DATOS!$A13266,nCURSO,DATOS!$D13266,nESPEC,DATOS!$E13266,nASIG,DATOS!$I13266,nEVAL,"EX")=0),0))))</f>
      </c>
      <c r="H13266">
        <f>IF(DATOS!$G13266&lt;&gt;"EX",0,--(COUNTIFS(nNIA,DATOS!$A13266,nCURSO,DATOS!$D13266,nESPEC,DATOS!$E13266,nASIG,DATOS!$I13266,nEVAL,"OR")=0))</f>
      </c>
      <c r="I13266">
        <f>IF(DATOS!$I13266="","",IFERROR(VLOOKUP(DATOS!$I13266,CONFIG_ASIGNATURAS!$B$2:$J$91,9,FALSE()),""))</f>
      </c>
    </row>
    <row r="13267">
      <c r="F13267">
        <f>IF(DATOS!$A13267="","",DATOS!$A13267&amp;"|"&amp;DATOS!$D13267&amp;"|"&amp;DATOS!$E13267&amp;"|"&amp;DATOS!$I13267)</f>
      </c>
      <c r="G13267">
        <f>IF(DATOS!$A13267="",0,IF(CONFIG_METADATA!$B$4&lt;&gt;"OR+EX",--(DATOS!$G13267=CONFIG_METADATA!$B$4),IF(DATOS!$G13267="EX",1,IF(DATOS!$G13267="OR",--(COUNTIFS(nNIA,DATOS!$A13267,nCURSO,DATOS!$D13267,nESPEC,DATOS!$E13267,nASIG,DATOS!$I13267,nEVAL,"EX")=0),0))))</f>
      </c>
      <c r="H13267">
        <f>IF(DATOS!$G13267&lt;&gt;"EX",0,--(COUNTIFS(nNIA,DATOS!$A13267,nCURSO,DATOS!$D13267,nESPEC,DATOS!$E13267,nASIG,DATOS!$I13267,nEVAL,"OR")=0))</f>
      </c>
      <c r="I13267">
        <f>IF(DATOS!$I13267="","",IFERROR(VLOOKUP(DATOS!$I13267,CONFIG_ASIGNATURAS!$B$2:$J$91,9,FALSE()),""))</f>
      </c>
    </row>
    <row r="13268">
      <c r="F13268">
        <f>IF(DATOS!$A13268="","",DATOS!$A13268&amp;"|"&amp;DATOS!$D13268&amp;"|"&amp;DATOS!$E13268&amp;"|"&amp;DATOS!$I13268)</f>
      </c>
      <c r="G13268">
        <f>IF(DATOS!$A13268="",0,IF(CONFIG_METADATA!$B$4&lt;&gt;"OR+EX",--(DATOS!$G13268=CONFIG_METADATA!$B$4),IF(DATOS!$G13268="EX",1,IF(DATOS!$G13268="OR",--(COUNTIFS(nNIA,DATOS!$A13268,nCURSO,DATOS!$D13268,nESPEC,DATOS!$E13268,nASIG,DATOS!$I13268,nEVAL,"EX")=0),0))))</f>
      </c>
      <c r="H13268">
        <f>IF(DATOS!$G13268&lt;&gt;"EX",0,--(COUNTIFS(nNIA,DATOS!$A13268,nCURSO,DATOS!$D13268,nESPEC,DATOS!$E13268,nASIG,DATOS!$I13268,nEVAL,"OR")=0))</f>
      </c>
      <c r="I13268">
        <f>IF(DATOS!$I13268="","",IFERROR(VLOOKUP(DATOS!$I13268,CONFIG_ASIGNATURAS!$B$2:$J$91,9,FALSE()),""))</f>
      </c>
    </row>
    <row r="13269">
      <c r="F13269">
        <f>IF(DATOS!$A13269="","",DATOS!$A13269&amp;"|"&amp;DATOS!$D13269&amp;"|"&amp;DATOS!$E13269&amp;"|"&amp;DATOS!$I13269)</f>
      </c>
      <c r="G13269">
        <f>IF(DATOS!$A13269="",0,IF(CONFIG_METADATA!$B$4&lt;&gt;"OR+EX",--(DATOS!$G13269=CONFIG_METADATA!$B$4),IF(DATOS!$G13269="EX",1,IF(DATOS!$G13269="OR",--(COUNTIFS(nNIA,DATOS!$A13269,nCURSO,DATOS!$D13269,nESPEC,DATOS!$E13269,nASIG,DATOS!$I13269,nEVAL,"EX")=0),0))))</f>
      </c>
      <c r="H13269">
        <f>IF(DATOS!$G13269&lt;&gt;"EX",0,--(COUNTIFS(nNIA,DATOS!$A13269,nCURSO,DATOS!$D13269,nESPEC,DATOS!$E13269,nASIG,DATOS!$I13269,nEVAL,"OR")=0))</f>
      </c>
      <c r="I13269">
        <f>IF(DATOS!$I13269="","",IFERROR(VLOOKUP(DATOS!$I13269,CONFIG_ASIGNATURAS!$B$2:$J$91,9,FALSE()),""))</f>
      </c>
    </row>
    <row r="13270">
      <c r="F13270">
        <f>IF(DATOS!$A13270="","",DATOS!$A13270&amp;"|"&amp;DATOS!$D13270&amp;"|"&amp;DATOS!$E13270&amp;"|"&amp;DATOS!$I13270)</f>
      </c>
      <c r="G13270">
        <f>IF(DATOS!$A13270="",0,IF(CONFIG_METADATA!$B$4&lt;&gt;"OR+EX",--(DATOS!$G13270=CONFIG_METADATA!$B$4),IF(DATOS!$G13270="EX",1,IF(DATOS!$G13270="OR",--(COUNTIFS(nNIA,DATOS!$A13270,nCURSO,DATOS!$D13270,nESPEC,DATOS!$E13270,nASIG,DATOS!$I13270,nEVAL,"EX")=0),0))))</f>
      </c>
      <c r="H13270">
        <f>IF(DATOS!$G13270&lt;&gt;"EX",0,--(COUNTIFS(nNIA,DATOS!$A13270,nCURSO,DATOS!$D13270,nESPEC,DATOS!$E13270,nASIG,DATOS!$I13270,nEVAL,"OR")=0))</f>
      </c>
      <c r="I13270">
        <f>IF(DATOS!$I13270="","",IFERROR(VLOOKUP(DATOS!$I13270,CONFIG_ASIGNATURAS!$B$2:$J$91,9,FALSE()),""))</f>
      </c>
    </row>
    <row r="13271">
      <c r="F13271">
        <f>IF(DATOS!$A13271="","",DATOS!$A13271&amp;"|"&amp;DATOS!$D13271&amp;"|"&amp;DATOS!$E13271&amp;"|"&amp;DATOS!$I13271)</f>
      </c>
      <c r="G13271">
        <f>IF(DATOS!$A13271="",0,IF(CONFIG_METADATA!$B$4&lt;&gt;"OR+EX",--(DATOS!$G13271=CONFIG_METADATA!$B$4),IF(DATOS!$G13271="EX",1,IF(DATOS!$G13271="OR",--(COUNTIFS(nNIA,DATOS!$A13271,nCURSO,DATOS!$D13271,nESPEC,DATOS!$E13271,nASIG,DATOS!$I13271,nEVAL,"EX")=0),0))))</f>
      </c>
      <c r="H13271">
        <f>IF(DATOS!$G13271&lt;&gt;"EX",0,--(COUNTIFS(nNIA,DATOS!$A13271,nCURSO,DATOS!$D13271,nESPEC,DATOS!$E13271,nASIG,DATOS!$I13271,nEVAL,"OR")=0))</f>
      </c>
      <c r="I13271">
        <f>IF(DATOS!$I13271="","",IFERROR(VLOOKUP(DATOS!$I13271,CONFIG_ASIGNATURAS!$B$2:$J$91,9,FALSE()),""))</f>
      </c>
    </row>
    <row r="13272">
      <c r="F13272">
        <f>IF(DATOS!$A13272="","",DATOS!$A13272&amp;"|"&amp;DATOS!$D13272&amp;"|"&amp;DATOS!$E13272&amp;"|"&amp;DATOS!$I13272)</f>
      </c>
      <c r="G13272">
        <f>IF(DATOS!$A13272="",0,IF(CONFIG_METADATA!$B$4&lt;&gt;"OR+EX",--(DATOS!$G13272=CONFIG_METADATA!$B$4),IF(DATOS!$G13272="EX",1,IF(DATOS!$G13272="OR",--(COUNTIFS(nNIA,DATOS!$A13272,nCURSO,DATOS!$D13272,nESPEC,DATOS!$E13272,nASIG,DATOS!$I13272,nEVAL,"EX")=0),0))))</f>
      </c>
      <c r="H13272">
        <f>IF(DATOS!$G13272&lt;&gt;"EX",0,--(COUNTIFS(nNIA,DATOS!$A13272,nCURSO,DATOS!$D13272,nESPEC,DATOS!$E13272,nASIG,DATOS!$I13272,nEVAL,"OR")=0))</f>
      </c>
      <c r="I13272">
        <f>IF(DATOS!$I13272="","",IFERROR(VLOOKUP(DATOS!$I13272,CONFIG_ASIGNATURAS!$B$2:$J$91,9,FALSE()),""))</f>
      </c>
    </row>
    <row r="13273">
      <c r="F13273">
        <f>IF(DATOS!$A13273="","",DATOS!$A13273&amp;"|"&amp;DATOS!$D13273&amp;"|"&amp;DATOS!$E13273&amp;"|"&amp;DATOS!$I13273)</f>
      </c>
      <c r="G13273">
        <f>IF(DATOS!$A13273="",0,IF(CONFIG_METADATA!$B$4&lt;&gt;"OR+EX",--(DATOS!$G13273=CONFIG_METADATA!$B$4),IF(DATOS!$G13273="EX",1,IF(DATOS!$G13273="OR",--(COUNTIFS(nNIA,DATOS!$A13273,nCURSO,DATOS!$D13273,nESPEC,DATOS!$E13273,nASIG,DATOS!$I13273,nEVAL,"EX")=0),0))))</f>
      </c>
      <c r="H13273">
        <f>IF(DATOS!$G13273&lt;&gt;"EX",0,--(COUNTIFS(nNIA,DATOS!$A13273,nCURSO,DATOS!$D13273,nESPEC,DATOS!$E13273,nASIG,DATOS!$I13273,nEVAL,"OR")=0))</f>
      </c>
      <c r="I13273">
        <f>IF(DATOS!$I13273="","",IFERROR(VLOOKUP(DATOS!$I13273,CONFIG_ASIGNATURAS!$B$2:$J$91,9,FALSE()),""))</f>
      </c>
    </row>
    <row r="13274">
      <c r="F13274">
        <f>IF(DATOS!$A13274="","",DATOS!$A13274&amp;"|"&amp;DATOS!$D13274&amp;"|"&amp;DATOS!$E13274&amp;"|"&amp;DATOS!$I13274)</f>
      </c>
      <c r="G13274">
        <f>IF(DATOS!$A13274="",0,IF(CONFIG_METADATA!$B$4&lt;&gt;"OR+EX",--(DATOS!$G13274=CONFIG_METADATA!$B$4),IF(DATOS!$G13274="EX",1,IF(DATOS!$G13274="OR",--(COUNTIFS(nNIA,DATOS!$A13274,nCURSO,DATOS!$D13274,nESPEC,DATOS!$E13274,nASIG,DATOS!$I13274,nEVAL,"EX")=0),0))))</f>
      </c>
      <c r="H13274">
        <f>IF(DATOS!$G13274&lt;&gt;"EX",0,--(COUNTIFS(nNIA,DATOS!$A13274,nCURSO,DATOS!$D13274,nESPEC,DATOS!$E13274,nASIG,DATOS!$I13274,nEVAL,"OR")=0))</f>
      </c>
      <c r="I13274">
        <f>IF(DATOS!$I13274="","",IFERROR(VLOOKUP(DATOS!$I13274,CONFIG_ASIGNATURAS!$B$2:$J$91,9,FALSE()),""))</f>
      </c>
    </row>
    <row r="13275">
      <c r="F13275">
        <f>IF(DATOS!$A13275="","",DATOS!$A13275&amp;"|"&amp;DATOS!$D13275&amp;"|"&amp;DATOS!$E13275&amp;"|"&amp;DATOS!$I13275)</f>
      </c>
      <c r="G13275">
        <f>IF(DATOS!$A13275="",0,IF(CONFIG_METADATA!$B$4&lt;&gt;"OR+EX",--(DATOS!$G13275=CONFIG_METADATA!$B$4),IF(DATOS!$G13275="EX",1,IF(DATOS!$G13275="OR",--(COUNTIFS(nNIA,DATOS!$A13275,nCURSO,DATOS!$D13275,nESPEC,DATOS!$E13275,nASIG,DATOS!$I13275,nEVAL,"EX")=0),0))))</f>
      </c>
      <c r="H13275">
        <f>IF(DATOS!$G13275&lt;&gt;"EX",0,--(COUNTIFS(nNIA,DATOS!$A13275,nCURSO,DATOS!$D13275,nESPEC,DATOS!$E13275,nASIG,DATOS!$I13275,nEVAL,"OR")=0))</f>
      </c>
      <c r="I13275">
        <f>IF(DATOS!$I13275="","",IFERROR(VLOOKUP(DATOS!$I13275,CONFIG_ASIGNATURAS!$B$2:$J$91,9,FALSE()),""))</f>
      </c>
    </row>
    <row r="13276">
      <c r="F13276">
        <f>IF(DATOS!$A13276="","",DATOS!$A13276&amp;"|"&amp;DATOS!$D13276&amp;"|"&amp;DATOS!$E13276&amp;"|"&amp;DATOS!$I13276)</f>
      </c>
      <c r="G13276">
        <f>IF(DATOS!$A13276="",0,IF(CONFIG_METADATA!$B$4&lt;&gt;"OR+EX",--(DATOS!$G13276=CONFIG_METADATA!$B$4),IF(DATOS!$G13276="EX",1,IF(DATOS!$G13276="OR",--(COUNTIFS(nNIA,DATOS!$A13276,nCURSO,DATOS!$D13276,nESPEC,DATOS!$E13276,nASIG,DATOS!$I13276,nEVAL,"EX")=0),0))))</f>
      </c>
      <c r="H13276">
        <f>IF(DATOS!$G13276&lt;&gt;"EX",0,--(COUNTIFS(nNIA,DATOS!$A13276,nCURSO,DATOS!$D13276,nESPEC,DATOS!$E13276,nASIG,DATOS!$I13276,nEVAL,"OR")=0))</f>
      </c>
      <c r="I13276">
        <f>IF(DATOS!$I13276="","",IFERROR(VLOOKUP(DATOS!$I13276,CONFIG_ASIGNATURAS!$B$2:$J$91,9,FALSE()),""))</f>
      </c>
    </row>
    <row r="13277">
      <c r="F13277">
        <f>IF(DATOS!$A13277="","",DATOS!$A13277&amp;"|"&amp;DATOS!$D13277&amp;"|"&amp;DATOS!$E13277&amp;"|"&amp;DATOS!$I13277)</f>
      </c>
      <c r="G13277">
        <f>IF(DATOS!$A13277="",0,IF(CONFIG_METADATA!$B$4&lt;&gt;"OR+EX",--(DATOS!$G13277=CONFIG_METADATA!$B$4),IF(DATOS!$G13277="EX",1,IF(DATOS!$G13277="OR",--(COUNTIFS(nNIA,DATOS!$A13277,nCURSO,DATOS!$D13277,nESPEC,DATOS!$E13277,nASIG,DATOS!$I13277,nEVAL,"EX")=0),0))))</f>
      </c>
      <c r="H13277">
        <f>IF(DATOS!$G13277&lt;&gt;"EX",0,--(COUNTIFS(nNIA,DATOS!$A13277,nCURSO,DATOS!$D13277,nESPEC,DATOS!$E13277,nASIG,DATOS!$I13277,nEVAL,"OR")=0))</f>
      </c>
      <c r="I13277">
        <f>IF(DATOS!$I13277="","",IFERROR(VLOOKUP(DATOS!$I13277,CONFIG_ASIGNATURAS!$B$2:$J$91,9,FALSE()),""))</f>
      </c>
    </row>
    <row r="13278">
      <c r="F13278">
        <f>IF(DATOS!$A13278="","",DATOS!$A13278&amp;"|"&amp;DATOS!$D13278&amp;"|"&amp;DATOS!$E13278&amp;"|"&amp;DATOS!$I13278)</f>
      </c>
      <c r="G13278">
        <f>IF(DATOS!$A13278="",0,IF(CONFIG_METADATA!$B$4&lt;&gt;"OR+EX",--(DATOS!$G13278=CONFIG_METADATA!$B$4),IF(DATOS!$G13278="EX",1,IF(DATOS!$G13278="OR",--(COUNTIFS(nNIA,DATOS!$A13278,nCURSO,DATOS!$D13278,nESPEC,DATOS!$E13278,nASIG,DATOS!$I13278,nEVAL,"EX")=0),0))))</f>
      </c>
      <c r="H13278">
        <f>IF(DATOS!$G13278&lt;&gt;"EX",0,--(COUNTIFS(nNIA,DATOS!$A13278,nCURSO,DATOS!$D13278,nESPEC,DATOS!$E13278,nASIG,DATOS!$I13278,nEVAL,"OR")=0))</f>
      </c>
      <c r="I13278">
        <f>IF(DATOS!$I13278="","",IFERROR(VLOOKUP(DATOS!$I13278,CONFIG_ASIGNATURAS!$B$2:$J$91,9,FALSE()),""))</f>
      </c>
    </row>
    <row r="13279">
      <c r="F13279">
        <f>IF(DATOS!$A13279="","",DATOS!$A13279&amp;"|"&amp;DATOS!$D13279&amp;"|"&amp;DATOS!$E13279&amp;"|"&amp;DATOS!$I13279)</f>
      </c>
      <c r="G13279">
        <f>IF(DATOS!$A13279="",0,IF(CONFIG_METADATA!$B$4&lt;&gt;"OR+EX",--(DATOS!$G13279=CONFIG_METADATA!$B$4),IF(DATOS!$G13279="EX",1,IF(DATOS!$G13279="OR",--(COUNTIFS(nNIA,DATOS!$A13279,nCURSO,DATOS!$D13279,nESPEC,DATOS!$E13279,nASIG,DATOS!$I13279,nEVAL,"EX")=0),0))))</f>
      </c>
      <c r="H13279">
        <f>IF(DATOS!$G13279&lt;&gt;"EX",0,--(COUNTIFS(nNIA,DATOS!$A13279,nCURSO,DATOS!$D13279,nESPEC,DATOS!$E13279,nASIG,DATOS!$I13279,nEVAL,"OR")=0))</f>
      </c>
      <c r="I13279">
        <f>IF(DATOS!$I13279="","",IFERROR(VLOOKUP(DATOS!$I13279,CONFIG_ASIGNATURAS!$B$2:$J$91,9,FALSE()),""))</f>
      </c>
    </row>
    <row r="13280">
      <c r="F13280">
        <f>IF(DATOS!$A13280="","",DATOS!$A13280&amp;"|"&amp;DATOS!$D13280&amp;"|"&amp;DATOS!$E13280&amp;"|"&amp;DATOS!$I13280)</f>
      </c>
      <c r="G13280">
        <f>IF(DATOS!$A13280="",0,IF(CONFIG_METADATA!$B$4&lt;&gt;"OR+EX",--(DATOS!$G13280=CONFIG_METADATA!$B$4),IF(DATOS!$G13280="EX",1,IF(DATOS!$G13280="OR",--(COUNTIFS(nNIA,DATOS!$A13280,nCURSO,DATOS!$D13280,nESPEC,DATOS!$E13280,nASIG,DATOS!$I13280,nEVAL,"EX")=0),0))))</f>
      </c>
      <c r="H13280">
        <f>IF(DATOS!$G13280&lt;&gt;"EX",0,--(COUNTIFS(nNIA,DATOS!$A13280,nCURSO,DATOS!$D13280,nESPEC,DATOS!$E13280,nASIG,DATOS!$I13280,nEVAL,"OR")=0))</f>
      </c>
      <c r="I13280">
        <f>IF(DATOS!$I13280="","",IFERROR(VLOOKUP(DATOS!$I13280,CONFIG_ASIGNATURAS!$B$2:$J$91,9,FALSE()),""))</f>
      </c>
    </row>
    <row r="13281">
      <c r="F13281">
        <f>IF(DATOS!$A13281="","",DATOS!$A13281&amp;"|"&amp;DATOS!$D13281&amp;"|"&amp;DATOS!$E13281&amp;"|"&amp;DATOS!$I13281)</f>
      </c>
      <c r="G13281">
        <f>IF(DATOS!$A13281="",0,IF(CONFIG_METADATA!$B$4&lt;&gt;"OR+EX",--(DATOS!$G13281=CONFIG_METADATA!$B$4),IF(DATOS!$G13281="EX",1,IF(DATOS!$G13281="OR",--(COUNTIFS(nNIA,DATOS!$A13281,nCURSO,DATOS!$D13281,nESPEC,DATOS!$E13281,nASIG,DATOS!$I13281,nEVAL,"EX")=0),0))))</f>
      </c>
      <c r="H13281">
        <f>IF(DATOS!$G13281&lt;&gt;"EX",0,--(COUNTIFS(nNIA,DATOS!$A13281,nCURSO,DATOS!$D13281,nESPEC,DATOS!$E13281,nASIG,DATOS!$I13281,nEVAL,"OR")=0))</f>
      </c>
      <c r="I13281">
        <f>IF(DATOS!$I13281="","",IFERROR(VLOOKUP(DATOS!$I13281,CONFIG_ASIGNATURAS!$B$2:$J$91,9,FALSE()),""))</f>
      </c>
    </row>
    <row r="13282">
      <c r="F13282">
        <f>IF(DATOS!$A13282="","",DATOS!$A13282&amp;"|"&amp;DATOS!$D13282&amp;"|"&amp;DATOS!$E13282&amp;"|"&amp;DATOS!$I13282)</f>
      </c>
      <c r="G13282">
        <f>IF(DATOS!$A13282="",0,IF(CONFIG_METADATA!$B$4&lt;&gt;"OR+EX",--(DATOS!$G13282=CONFIG_METADATA!$B$4),IF(DATOS!$G13282="EX",1,IF(DATOS!$G13282="OR",--(COUNTIFS(nNIA,DATOS!$A13282,nCURSO,DATOS!$D13282,nESPEC,DATOS!$E13282,nASIG,DATOS!$I13282,nEVAL,"EX")=0),0))))</f>
      </c>
      <c r="H13282">
        <f>IF(DATOS!$G13282&lt;&gt;"EX",0,--(COUNTIFS(nNIA,DATOS!$A13282,nCURSO,DATOS!$D13282,nESPEC,DATOS!$E13282,nASIG,DATOS!$I13282,nEVAL,"OR")=0))</f>
      </c>
      <c r="I13282">
        <f>IF(DATOS!$I13282="","",IFERROR(VLOOKUP(DATOS!$I13282,CONFIG_ASIGNATURAS!$B$2:$J$91,9,FALSE()),""))</f>
      </c>
    </row>
    <row r="13283">
      <c r="F13283">
        <f>IF(DATOS!$A13283="","",DATOS!$A13283&amp;"|"&amp;DATOS!$D13283&amp;"|"&amp;DATOS!$E13283&amp;"|"&amp;DATOS!$I13283)</f>
      </c>
      <c r="G13283">
        <f>IF(DATOS!$A13283="",0,IF(CONFIG_METADATA!$B$4&lt;&gt;"OR+EX",--(DATOS!$G13283=CONFIG_METADATA!$B$4),IF(DATOS!$G13283="EX",1,IF(DATOS!$G13283="OR",--(COUNTIFS(nNIA,DATOS!$A13283,nCURSO,DATOS!$D13283,nESPEC,DATOS!$E13283,nASIG,DATOS!$I13283,nEVAL,"EX")=0),0))))</f>
      </c>
      <c r="H13283">
        <f>IF(DATOS!$G13283&lt;&gt;"EX",0,--(COUNTIFS(nNIA,DATOS!$A13283,nCURSO,DATOS!$D13283,nESPEC,DATOS!$E13283,nASIG,DATOS!$I13283,nEVAL,"OR")=0))</f>
      </c>
      <c r="I13283">
        <f>IF(DATOS!$I13283="","",IFERROR(VLOOKUP(DATOS!$I13283,CONFIG_ASIGNATURAS!$B$2:$J$91,9,FALSE()),""))</f>
      </c>
    </row>
    <row r="13284">
      <c r="F13284">
        <f>IF(DATOS!$A13284="","",DATOS!$A13284&amp;"|"&amp;DATOS!$D13284&amp;"|"&amp;DATOS!$E13284&amp;"|"&amp;DATOS!$I13284)</f>
      </c>
      <c r="G13284">
        <f>IF(DATOS!$A13284="",0,IF(CONFIG_METADATA!$B$4&lt;&gt;"OR+EX",--(DATOS!$G13284=CONFIG_METADATA!$B$4),IF(DATOS!$G13284="EX",1,IF(DATOS!$G13284="OR",--(COUNTIFS(nNIA,DATOS!$A13284,nCURSO,DATOS!$D13284,nESPEC,DATOS!$E13284,nASIG,DATOS!$I13284,nEVAL,"EX")=0),0))))</f>
      </c>
      <c r="H13284">
        <f>IF(DATOS!$G13284&lt;&gt;"EX",0,--(COUNTIFS(nNIA,DATOS!$A13284,nCURSO,DATOS!$D13284,nESPEC,DATOS!$E13284,nASIG,DATOS!$I13284,nEVAL,"OR")=0))</f>
      </c>
      <c r="I13284">
        <f>IF(DATOS!$I13284="","",IFERROR(VLOOKUP(DATOS!$I13284,CONFIG_ASIGNATURAS!$B$2:$J$91,9,FALSE()),""))</f>
      </c>
    </row>
    <row r="13285">
      <c r="F13285">
        <f>IF(DATOS!$A13285="","",DATOS!$A13285&amp;"|"&amp;DATOS!$D13285&amp;"|"&amp;DATOS!$E13285&amp;"|"&amp;DATOS!$I13285)</f>
      </c>
      <c r="G13285">
        <f>IF(DATOS!$A13285="",0,IF(CONFIG_METADATA!$B$4&lt;&gt;"OR+EX",--(DATOS!$G13285=CONFIG_METADATA!$B$4),IF(DATOS!$G13285="EX",1,IF(DATOS!$G13285="OR",--(COUNTIFS(nNIA,DATOS!$A13285,nCURSO,DATOS!$D13285,nESPEC,DATOS!$E13285,nASIG,DATOS!$I13285,nEVAL,"EX")=0),0))))</f>
      </c>
      <c r="H13285">
        <f>IF(DATOS!$G13285&lt;&gt;"EX",0,--(COUNTIFS(nNIA,DATOS!$A13285,nCURSO,DATOS!$D13285,nESPEC,DATOS!$E13285,nASIG,DATOS!$I13285,nEVAL,"OR")=0))</f>
      </c>
      <c r="I13285">
        <f>IF(DATOS!$I13285="","",IFERROR(VLOOKUP(DATOS!$I13285,CONFIG_ASIGNATURAS!$B$2:$J$91,9,FALSE()),""))</f>
      </c>
    </row>
    <row r="13286">
      <c r="F13286">
        <f>IF(DATOS!$A13286="","",DATOS!$A13286&amp;"|"&amp;DATOS!$D13286&amp;"|"&amp;DATOS!$E13286&amp;"|"&amp;DATOS!$I13286)</f>
      </c>
      <c r="G13286">
        <f>IF(DATOS!$A13286="",0,IF(CONFIG_METADATA!$B$4&lt;&gt;"OR+EX",--(DATOS!$G13286=CONFIG_METADATA!$B$4),IF(DATOS!$G13286="EX",1,IF(DATOS!$G13286="OR",--(COUNTIFS(nNIA,DATOS!$A13286,nCURSO,DATOS!$D13286,nESPEC,DATOS!$E13286,nASIG,DATOS!$I13286,nEVAL,"EX")=0),0))))</f>
      </c>
      <c r="H13286">
        <f>IF(DATOS!$G13286&lt;&gt;"EX",0,--(COUNTIFS(nNIA,DATOS!$A13286,nCURSO,DATOS!$D13286,nESPEC,DATOS!$E13286,nASIG,DATOS!$I13286,nEVAL,"OR")=0))</f>
      </c>
      <c r="I13286">
        <f>IF(DATOS!$I13286="","",IFERROR(VLOOKUP(DATOS!$I13286,CONFIG_ASIGNATURAS!$B$2:$J$91,9,FALSE()),""))</f>
      </c>
    </row>
    <row r="13287">
      <c r="F13287">
        <f>IF(DATOS!$A13287="","",DATOS!$A13287&amp;"|"&amp;DATOS!$D13287&amp;"|"&amp;DATOS!$E13287&amp;"|"&amp;DATOS!$I13287)</f>
      </c>
      <c r="G13287">
        <f>IF(DATOS!$A13287="",0,IF(CONFIG_METADATA!$B$4&lt;&gt;"OR+EX",--(DATOS!$G13287=CONFIG_METADATA!$B$4),IF(DATOS!$G13287="EX",1,IF(DATOS!$G13287="OR",--(COUNTIFS(nNIA,DATOS!$A13287,nCURSO,DATOS!$D13287,nESPEC,DATOS!$E13287,nASIG,DATOS!$I13287,nEVAL,"EX")=0),0))))</f>
      </c>
      <c r="H13287">
        <f>IF(DATOS!$G13287&lt;&gt;"EX",0,--(COUNTIFS(nNIA,DATOS!$A13287,nCURSO,DATOS!$D13287,nESPEC,DATOS!$E13287,nASIG,DATOS!$I13287,nEVAL,"OR")=0))</f>
      </c>
      <c r="I13287">
        <f>IF(DATOS!$I13287="","",IFERROR(VLOOKUP(DATOS!$I13287,CONFIG_ASIGNATURAS!$B$2:$J$91,9,FALSE()),""))</f>
      </c>
    </row>
    <row r="13288">
      <c r="F13288">
        <f>IF(DATOS!$A13288="","",DATOS!$A13288&amp;"|"&amp;DATOS!$D13288&amp;"|"&amp;DATOS!$E13288&amp;"|"&amp;DATOS!$I13288)</f>
      </c>
      <c r="G13288">
        <f>IF(DATOS!$A13288="",0,IF(CONFIG_METADATA!$B$4&lt;&gt;"OR+EX",--(DATOS!$G13288=CONFIG_METADATA!$B$4),IF(DATOS!$G13288="EX",1,IF(DATOS!$G13288="OR",--(COUNTIFS(nNIA,DATOS!$A13288,nCURSO,DATOS!$D13288,nESPEC,DATOS!$E13288,nASIG,DATOS!$I13288,nEVAL,"EX")=0),0))))</f>
      </c>
      <c r="H13288">
        <f>IF(DATOS!$G13288&lt;&gt;"EX",0,--(COUNTIFS(nNIA,DATOS!$A13288,nCURSO,DATOS!$D13288,nESPEC,DATOS!$E13288,nASIG,DATOS!$I13288,nEVAL,"OR")=0))</f>
      </c>
      <c r="I13288">
        <f>IF(DATOS!$I13288="","",IFERROR(VLOOKUP(DATOS!$I13288,CONFIG_ASIGNATURAS!$B$2:$J$91,9,FALSE()),""))</f>
      </c>
    </row>
    <row r="13289">
      <c r="F13289">
        <f>IF(DATOS!$A13289="","",DATOS!$A13289&amp;"|"&amp;DATOS!$D13289&amp;"|"&amp;DATOS!$E13289&amp;"|"&amp;DATOS!$I13289)</f>
      </c>
      <c r="G13289">
        <f>IF(DATOS!$A13289="",0,IF(CONFIG_METADATA!$B$4&lt;&gt;"OR+EX",--(DATOS!$G13289=CONFIG_METADATA!$B$4),IF(DATOS!$G13289="EX",1,IF(DATOS!$G13289="OR",--(COUNTIFS(nNIA,DATOS!$A13289,nCURSO,DATOS!$D13289,nESPEC,DATOS!$E13289,nASIG,DATOS!$I13289,nEVAL,"EX")=0),0))))</f>
      </c>
      <c r="H13289">
        <f>IF(DATOS!$G13289&lt;&gt;"EX",0,--(COUNTIFS(nNIA,DATOS!$A13289,nCURSO,DATOS!$D13289,nESPEC,DATOS!$E13289,nASIG,DATOS!$I13289,nEVAL,"OR")=0))</f>
      </c>
      <c r="I13289">
        <f>IF(DATOS!$I13289="","",IFERROR(VLOOKUP(DATOS!$I13289,CONFIG_ASIGNATURAS!$B$2:$J$91,9,FALSE()),""))</f>
      </c>
    </row>
    <row r="13290">
      <c r="F13290">
        <f>IF(DATOS!$A13290="","",DATOS!$A13290&amp;"|"&amp;DATOS!$D13290&amp;"|"&amp;DATOS!$E13290&amp;"|"&amp;DATOS!$I13290)</f>
      </c>
      <c r="G13290">
        <f>IF(DATOS!$A13290="",0,IF(CONFIG_METADATA!$B$4&lt;&gt;"OR+EX",--(DATOS!$G13290=CONFIG_METADATA!$B$4),IF(DATOS!$G13290="EX",1,IF(DATOS!$G13290="OR",--(COUNTIFS(nNIA,DATOS!$A13290,nCURSO,DATOS!$D13290,nESPEC,DATOS!$E13290,nASIG,DATOS!$I13290,nEVAL,"EX")=0),0))))</f>
      </c>
      <c r="H13290">
        <f>IF(DATOS!$G13290&lt;&gt;"EX",0,--(COUNTIFS(nNIA,DATOS!$A13290,nCURSO,DATOS!$D13290,nESPEC,DATOS!$E13290,nASIG,DATOS!$I13290,nEVAL,"OR")=0))</f>
      </c>
      <c r="I13290">
        <f>IF(DATOS!$I13290="","",IFERROR(VLOOKUP(DATOS!$I13290,CONFIG_ASIGNATURAS!$B$2:$J$91,9,FALSE()),""))</f>
      </c>
    </row>
    <row r="13291">
      <c r="F13291">
        <f>IF(DATOS!$A13291="","",DATOS!$A13291&amp;"|"&amp;DATOS!$D13291&amp;"|"&amp;DATOS!$E13291&amp;"|"&amp;DATOS!$I13291)</f>
      </c>
      <c r="G13291">
        <f>IF(DATOS!$A13291="",0,IF(CONFIG_METADATA!$B$4&lt;&gt;"OR+EX",--(DATOS!$G13291=CONFIG_METADATA!$B$4),IF(DATOS!$G13291="EX",1,IF(DATOS!$G13291="OR",--(COUNTIFS(nNIA,DATOS!$A13291,nCURSO,DATOS!$D13291,nESPEC,DATOS!$E13291,nASIG,DATOS!$I13291,nEVAL,"EX")=0),0))))</f>
      </c>
      <c r="H13291">
        <f>IF(DATOS!$G13291&lt;&gt;"EX",0,--(COUNTIFS(nNIA,DATOS!$A13291,nCURSO,DATOS!$D13291,nESPEC,DATOS!$E13291,nASIG,DATOS!$I13291,nEVAL,"OR")=0))</f>
      </c>
      <c r="I13291">
        <f>IF(DATOS!$I13291="","",IFERROR(VLOOKUP(DATOS!$I13291,CONFIG_ASIGNATURAS!$B$2:$J$91,9,FALSE()),""))</f>
      </c>
    </row>
    <row r="13292">
      <c r="F13292">
        <f>IF(DATOS!$A13292="","",DATOS!$A13292&amp;"|"&amp;DATOS!$D13292&amp;"|"&amp;DATOS!$E13292&amp;"|"&amp;DATOS!$I13292)</f>
      </c>
      <c r="G13292">
        <f>IF(DATOS!$A13292="",0,IF(CONFIG_METADATA!$B$4&lt;&gt;"OR+EX",--(DATOS!$G13292=CONFIG_METADATA!$B$4),IF(DATOS!$G13292="EX",1,IF(DATOS!$G13292="OR",--(COUNTIFS(nNIA,DATOS!$A13292,nCURSO,DATOS!$D13292,nESPEC,DATOS!$E13292,nASIG,DATOS!$I13292,nEVAL,"EX")=0),0))))</f>
      </c>
      <c r="H13292">
        <f>IF(DATOS!$G13292&lt;&gt;"EX",0,--(COUNTIFS(nNIA,DATOS!$A13292,nCURSO,DATOS!$D13292,nESPEC,DATOS!$E13292,nASIG,DATOS!$I13292,nEVAL,"OR")=0))</f>
      </c>
      <c r="I13292">
        <f>IF(DATOS!$I13292="","",IFERROR(VLOOKUP(DATOS!$I13292,CONFIG_ASIGNATURAS!$B$2:$J$91,9,FALSE()),""))</f>
      </c>
    </row>
    <row r="13293">
      <c r="F13293">
        <f>IF(DATOS!$A13293="","",DATOS!$A13293&amp;"|"&amp;DATOS!$D13293&amp;"|"&amp;DATOS!$E13293&amp;"|"&amp;DATOS!$I13293)</f>
      </c>
      <c r="G13293">
        <f>IF(DATOS!$A13293="",0,IF(CONFIG_METADATA!$B$4&lt;&gt;"OR+EX",--(DATOS!$G13293=CONFIG_METADATA!$B$4),IF(DATOS!$G13293="EX",1,IF(DATOS!$G13293="OR",--(COUNTIFS(nNIA,DATOS!$A13293,nCURSO,DATOS!$D13293,nESPEC,DATOS!$E13293,nASIG,DATOS!$I13293,nEVAL,"EX")=0),0))))</f>
      </c>
      <c r="H13293">
        <f>IF(DATOS!$G13293&lt;&gt;"EX",0,--(COUNTIFS(nNIA,DATOS!$A13293,nCURSO,DATOS!$D13293,nESPEC,DATOS!$E13293,nASIG,DATOS!$I13293,nEVAL,"OR")=0))</f>
      </c>
      <c r="I13293">
        <f>IF(DATOS!$I13293="","",IFERROR(VLOOKUP(DATOS!$I13293,CONFIG_ASIGNATURAS!$B$2:$J$91,9,FALSE()),""))</f>
      </c>
    </row>
    <row r="13294">
      <c r="F13294">
        <f>IF(DATOS!$A13294="","",DATOS!$A13294&amp;"|"&amp;DATOS!$D13294&amp;"|"&amp;DATOS!$E13294&amp;"|"&amp;DATOS!$I13294)</f>
      </c>
      <c r="G13294">
        <f>IF(DATOS!$A13294="",0,IF(CONFIG_METADATA!$B$4&lt;&gt;"OR+EX",--(DATOS!$G13294=CONFIG_METADATA!$B$4),IF(DATOS!$G13294="EX",1,IF(DATOS!$G13294="OR",--(COUNTIFS(nNIA,DATOS!$A13294,nCURSO,DATOS!$D13294,nESPEC,DATOS!$E13294,nASIG,DATOS!$I13294,nEVAL,"EX")=0),0))))</f>
      </c>
      <c r="H13294">
        <f>IF(DATOS!$G13294&lt;&gt;"EX",0,--(COUNTIFS(nNIA,DATOS!$A13294,nCURSO,DATOS!$D13294,nESPEC,DATOS!$E13294,nASIG,DATOS!$I13294,nEVAL,"OR")=0))</f>
      </c>
      <c r="I13294">
        <f>IF(DATOS!$I13294="","",IFERROR(VLOOKUP(DATOS!$I13294,CONFIG_ASIGNATURAS!$B$2:$J$91,9,FALSE()),""))</f>
      </c>
    </row>
    <row r="13295">
      <c r="F13295">
        <f>IF(DATOS!$A13295="","",DATOS!$A13295&amp;"|"&amp;DATOS!$D13295&amp;"|"&amp;DATOS!$E13295&amp;"|"&amp;DATOS!$I13295)</f>
      </c>
      <c r="G13295">
        <f>IF(DATOS!$A13295="",0,IF(CONFIG_METADATA!$B$4&lt;&gt;"OR+EX",--(DATOS!$G13295=CONFIG_METADATA!$B$4),IF(DATOS!$G13295="EX",1,IF(DATOS!$G13295="OR",--(COUNTIFS(nNIA,DATOS!$A13295,nCURSO,DATOS!$D13295,nESPEC,DATOS!$E13295,nASIG,DATOS!$I13295,nEVAL,"EX")=0),0))))</f>
      </c>
      <c r="H13295">
        <f>IF(DATOS!$G13295&lt;&gt;"EX",0,--(COUNTIFS(nNIA,DATOS!$A13295,nCURSO,DATOS!$D13295,nESPEC,DATOS!$E13295,nASIG,DATOS!$I13295,nEVAL,"OR")=0))</f>
      </c>
      <c r="I13295">
        <f>IF(DATOS!$I13295="","",IFERROR(VLOOKUP(DATOS!$I13295,CONFIG_ASIGNATURAS!$B$2:$J$91,9,FALSE()),""))</f>
      </c>
    </row>
    <row r="13296">
      <c r="F13296">
        <f>IF(DATOS!$A13296="","",DATOS!$A13296&amp;"|"&amp;DATOS!$D13296&amp;"|"&amp;DATOS!$E13296&amp;"|"&amp;DATOS!$I13296)</f>
      </c>
      <c r="G13296">
        <f>IF(DATOS!$A13296="",0,IF(CONFIG_METADATA!$B$4&lt;&gt;"OR+EX",--(DATOS!$G13296=CONFIG_METADATA!$B$4),IF(DATOS!$G13296="EX",1,IF(DATOS!$G13296="OR",--(COUNTIFS(nNIA,DATOS!$A13296,nCURSO,DATOS!$D13296,nESPEC,DATOS!$E13296,nASIG,DATOS!$I13296,nEVAL,"EX")=0),0))))</f>
      </c>
      <c r="H13296">
        <f>IF(DATOS!$G13296&lt;&gt;"EX",0,--(COUNTIFS(nNIA,DATOS!$A13296,nCURSO,DATOS!$D13296,nESPEC,DATOS!$E13296,nASIG,DATOS!$I13296,nEVAL,"OR")=0))</f>
      </c>
      <c r="I13296">
        <f>IF(DATOS!$I13296="","",IFERROR(VLOOKUP(DATOS!$I13296,CONFIG_ASIGNATURAS!$B$2:$J$91,9,FALSE()),""))</f>
      </c>
    </row>
    <row r="13297">
      <c r="F13297">
        <f>IF(DATOS!$A13297="","",DATOS!$A13297&amp;"|"&amp;DATOS!$D13297&amp;"|"&amp;DATOS!$E13297&amp;"|"&amp;DATOS!$I13297)</f>
      </c>
      <c r="G13297">
        <f>IF(DATOS!$A13297="",0,IF(CONFIG_METADATA!$B$4&lt;&gt;"OR+EX",--(DATOS!$G13297=CONFIG_METADATA!$B$4),IF(DATOS!$G13297="EX",1,IF(DATOS!$G13297="OR",--(COUNTIFS(nNIA,DATOS!$A13297,nCURSO,DATOS!$D13297,nESPEC,DATOS!$E13297,nASIG,DATOS!$I13297,nEVAL,"EX")=0),0))))</f>
      </c>
      <c r="H13297">
        <f>IF(DATOS!$G13297&lt;&gt;"EX",0,--(COUNTIFS(nNIA,DATOS!$A13297,nCURSO,DATOS!$D13297,nESPEC,DATOS!$E13297,nASIG,DATOS!$I13297,nEVAL,"OR")=0))</f>
      </c>
      <c r="I13297">
        <f>IF(DATOS!$I13297="","",IFERROR(VLOOKUP(DATOS!$I13297,CONFIG_ASIGNATURAS!$B$2:$J$91,9,FALSE()),""))</f>
      </c>
    </row>
    <row r="13298">
      <c r="F13298">
        <f>IF(DATOS!$A13298="","",DATOS!$A13298&amp;"|"&amp;DATOS!$D13298&amp;"|"&amp;DATOS!$E13298&amp;"|"&amp;DATOS!$I13298)</f>
      </c>
      <c r="G13298">
        <f>IF(DATOS!$A13298="",0,IF(CONFIG_METADATA!$B$4&lt;&gt;"OR+EX",--(DATOS!$G13298=CONFIG_METADATA!$B$4),IF(DATOS!$G13298="EX",1,IF(DATOS!$G13298="OR",--(COUNTIFS(nNIA,DATOS!$A13298,nCURSO,DATOS!$D13298,nESPEC,DATOS!$E13298,nASIG,DATOS!$I13298,nEVAL,"EX")=0),0))))</f>
      </c>
      <c r="H13298">
        <f>IF(DATOS!$G13298&lt;&gt;"EX",0,--(COUNTIFS(nNIA,DATOS!$A13298,nCURSO,DATOS!$D13298,nESPEC,DATOS!$E13298,nASIG,DATOS!$I13298,nEVAL,"OR")=0))</f>
      </c>
      <c r="I13298">
        <f>IF(DATOS!$I13298="","",IFERROR(VLOOKUP(DATOS!$I13298,CONFIG_ASIGNATURAS!$B$2:$J$91,9,FALSE()),""))</f>
      </c>
    </row>
    <row r="13299">
      <c r="F13299">
        <f>IF(DATOS!$A13299="","",DATOS!$A13299&amp;"|"&amp;DATOS!$D13299&amp;"|"&amp;DATOS!$E13299&amp;"|"&amp;DATOS!$I13299)</f>
      </c>
      <c r="G13299">
        <f>IF(DATOS!$A13299="",0,IF(CONFIG_METADATA!$B$4&lt;&gt;"OR+EX",--(DATOS!$G13299=CONFIG_METADATA!$B$4),IF(DATOS!$G13299="EX",1,IF(DATOS!$G13299="OR",--(COUNTIFS(nNIA,DATOS!$A13299,nCURSO,DATOS!$D13299,nESPEC,DATOS!$E13299,nASIG,DATOS!$I13299,nEVAL,"EX")=0),0))))</f>
      </c>
      <c r="H13299">
        <f>IF(DATOS!$G13299&lt;&gt;"EX",0,--(COUNTIFS(nNIA,DATOS!$A13299,nCURSO,DATOS!$D13299,nESPEC,DATOS!$E13299,nASIG,DATOS!$I13299,nEVAL,"OR")=0))</f>
      </c>
      <c r="I13299">
        <f>IF(DATOS!$I13299="","",IFERROR(VLOOKUP(DATOS!$I13299,CONFIG_ASIGNATURAS!$B$2:$J$91,9,FALSE()),""))</f>
      </c>
    </row>
    <row r="13300">
      <c r="F13300">
        <f>IF(DATOS!$A13300="","",DATOS!$A13300&amp;"|"&amp;DATOS!$D13300&amp;"|"&amp;DATOS!$E13300&amp;"|"&amp;DATOS!$I13300)</f>
      </c>
      <c r="G13300">
        <f>IF(DATOS!$A13300="",0,IF(CONFIG_METADATA!$B$4&lt;&gt;"OR+EX",--(DATOS!$G13300=CONFIG_METADATA!$B$4),IF(DATOS!$G13300="EX",1,IF(DATOS!$G13300="OR",--(COUNTIFS(nNIA,DATOS!$A13300,nCURSO,DATOS!$D13300,nESPEC,DATOS!$E13300,nASIG,DATOS!$I13300,nEVAL,"EX")=0),0))))</f>
      </c>
      <c r="H13300">
        <f>IF(DATOS!$G13300&lt;&gt;"EX",0,--(COUNTIFS(nNIA,DATOS!$A13300,nCURSO,DATOS!$D13300,nESPEC,DATOS!$E13300,nASIG,DATOS!$I13300,nEVAL,"OR")=0))</f>
      </c>
      <c r="I13300">
        <f>IF(DATOS!$I13300="","",IFERROR(VLOOKUP(DATOS!$I13300,CONFIG_ASIGNATURAS!$B$2:$J$91,9,FALSE()),""))</f>
      </c>
    </row>
    <row r="13301">
      <c r="F13301">
        <f>IF(DATOS!$A13301="","",DATOS!$A13301&amp;"|"&amp;DATOS!$D13301&amp;"|"&amp;DATOS!$E13301&amp;"|"&amp;DATOS!$I13301)</f>
      </c>
      <c r="G13301">
        <f>IF(DATOS!$A13301="",0,IF(CONFIG_METADATA!$B$4&lt;&gt;"OR+EX",--(DATOS!$G13301=CONFIG_METADATA!$B$4),IF(DATOS!$G13301="EX",1,IF(DATOS!$G13301="OR",--(COUNTIFS(nNIA,DATOS!$A13301,nCURSO,DATOS!$D13301,nESPEC,DATOS!$E13301,nASIG,DATOS!$I13301,nEVAL,"EX")=0),0))))</f>
      </c>
      <c r="H13301">
        <f>IF(DATOS!$G13301&lt;&gt;"EX",0,--(COUNTIFS(nNIA,DATOS!$A13301,nCURSO,DATOS!$D13301,nESPEC,DATOS!$E13301,nASIG,DATOS!$I13301,nEVAL,"OR")=0))</f>
      </c>
      <c r="I13301">
        <f>IF(DATOS!$I13301="","",IFERROR(VLOOKUP(DATOS!$I13301,CONFIG_ASIGNATURAS!$B$2:$J$91,9,FALSE()),""))</f>
      </c>
    </row>
    <row r="13302">
      <c r="F13302">
        <f>IF(DATOS!$A13302="","",DATOS!$A13302&amp;"|"&amp;DATOS!$D13302&amp;"|"&amp;DATOS!$E13302&amp;"|"&amp;DATOS!$I13302)</f>
      </c>
      <c r="G13302">
        <f>IF(DATOS!$A13302="",0,IF(CONFIG_METADATA!$B$4&lt;&gt;"OR+EX",--(DATOS!$G13302=CONFIG_METADATA!$B$4),IF(DATOS!$G13302="EX",1,IF(DATOS!$G13302="OR",--(COUNTIFS(nNIA,DATOS!$A13302,nCURSO,DATOS!$D13302,nESPEC,DATOS!$E13302,nASIG,DATOS!$I13302,nEVAL,"EX")=0),0))))</f>
      </c>
      <c r="H13302">
        <f>IF(DATOS!$G13302&lt;&gt;"EX",0,--(COUNTIFS(nNIA,DATOS!$A13302,nCURSO,DATOS!$D13302,nESPEC,DATOS!$E13302,nASIG,DATOS!$I13302,nEVAL,"OR")=0))</f>
      </c>
      <c r="I13302">
        <f>IF(DATOS!$I13302="","",IFERROR(VLOOKUP(DATOS!$I13302,CONFIG_ASIGNATURAS!$B$2:$J$91,9,FALSE()),""))</f>
      </c>
    </row>
    <row r="13303">
      <c r="F13303">
        <f>IF(DATOS!$A13303="","",DATOS!$A13303&amp;"|"&amp;DATOS!$D13303&amp;"|"&amp;DATOS!$E13303&amp;"|"&amp;DATOS!$I13303)</f>
      </c>
      <c r="G13303">
        <f>IF(DATOS!$A13303="",0,IF(CONFIG_METADATA!$B$4&lt;&gt;"OR+EX",--(DATOS!$G13303=CONFIG_METADATA!$B$4),IF(DATOS!$G13303="EX",1,IF(DATOS!$G13303="OR",--(COUNTIFS(nNIA,DATOS!$A13303,nCURSO,DATOS!$D13303,nESPEC,DATOS!$E13303,nASIG,DATOS!$I13303,nEVAL,"EX")=0),0))))</f>
      </c>
      <c r="H13303">
        <f>IF(DATOS!$G13303&lt;&gt;"EX",0,--(COUNTIFS(nNIA,DATOS!$A13303,nCURSO,DATOS!$D13303,nESPEC,DATOS!$E13303,nASIG,DATOS!$I13303,nEVAL,"OR")=0))</f>
      </c>
      <c r="I13303">
        <f>IF(DATOS!$I13303="","",IFERROR(VLOOKUP(DATOS!$I13303,CONFIG_ASIGNATURAS!$B$2:$J$91,9,FALSE()),""))</f>
      </c>
    </row>
    <row r="13304">
      <c r="F13304">
        <f>IF(DATOS!$A13304="","",DATOS!$A13304&amp;"|"&amp;DATOS!$D13304&amp;"|"&amp;DATOS!$E13304&amp;"|"&amp;DATOS!$I13304)</f>
      </c>
      <c r="G13304">
        <f>IF(DATOS!$A13304="",0,IF(CONFIG_METADATA!$B$4&lt;&gt;"OR+EX",--(DATOS!$G13304=CONFIG_METADATA!$B$4),IF(DATOS!$G13304="EX",1,IF(DATOS!$G13304="OR",--(COUNTIFS(nNIA,DATOS!$A13304,nCURSO,DATOS!$D13304,nESPEC,DATOS!$E13304,nASIG,DATOS!$I13304,nEVAL,"EX")=0),0))))</f>
      </c>
      <c r="H13304">
        <f>IF(DATOS!$G13304&lt;&gt;"EX",0,--(COUNTIFS(nNIA,DATOS!$A13304,nCURSO,DATOS!$D13304,nESPEC,DATOS!$E13304,nASIG,DATOS!$I13304,nEVAL,"OR")=0))</f>
      </c>
      <c r="I13304">
        <f>IF(DATOS!$I13304="","",IFERROR(VLOOKUP(DATOS!$I13304,CONFIG_ASIGNATURAS!$B$2:$J$91,9,FALSE()),""))</f>
      </c>
    </row>
    <row r="13305">
      <c r="F13305">
        <f>IF(DATOS!$A13305="","",DATOS!$A13305&amp;"|"&amp;DATOS!$D13305&amp;"|"&amp;DATOS!$E13305&amp;"|"&amp;DATOS!$I13305)</f>
      </c>
      <c r="G13305">
        <f>IF(DATOS!$A13305="",0,IF(CONFIG_METADATA!$B$4&lt;&gt;"OR+EX",--(DATOS!$G13305=CONFIG_METADATA!$B$4),IF(DATOS!$G13305="EX",1,IF(DATOS!$G13305="OR",--(COUNTIFS(nNIA,DATOS!$A13305,nCURSO,DATOS!$D13305,nESPEC,DATOS!$E13305,nASIG,DATOS!$I13305,nEVAL,"EX")=0),0))))</f>
      </c>
      <c r="H13305">
        <f>IF(DATOS!$G13305&lt;&gt;"EX",0,--(COUNTIFS(nNIA,DATOS!$A13305,nCURSO,DATOS!$D13305,nESPEC,DATOS!$E13305,nASIG,DATOS!$I13305,nEVAL,"OR")=0))</f>
      </c>
      <c r="I13305">
        <f>IF(DATOS!$I13305="","",IFERROR(VLOOKUP(DATOS!$I13305,CONFIG_ASIGNATURAS!$B$2:$J$91,9,FALSE()),""))</f>
      </c>
    </row>
    <row r="13306">
      <c r="F13306">
        <f>IF(DATOS!$A13306="","",DATOS!$A13306&amp;"|"&amp;DATOS!$D13306&amp;"|"&amp;DATOS!$E13306&amp;"|"&amp;DATOS!$I13306)</f>
      </c>
      <c r="G13306">
        <f>IF(DATOS!$A13306="",0,IF(CONFIG_METADATA!$B$4&lt;&gt;"OR+EX",--(DATOS!$G13306=CONFIG_METADATA!$B$4),IF(DATOS!$G13306="EX",1,IF(DATOS!$G13306="OR",--(COUNTIFS(nNIA,DATOS!$A13306,nCURSO,DATOS!$D13306,nESPEC,DATOS!$E13306,nASIG,DATOS!$I13306,nEVAL,"EX")=0),0))))</f>
      </c>
      <c r="H13306">
        <f>IF(DATOS!$G13306&lt;&gt;"EX",0,--(COUNTIFS(nNIA,DATOS!$A13306,nCURSO,DATOS!$D13306,nESPEC,DATOS!$E13306,nASIG,DATOS!$I13306,nEVAL,"OR")=0))</f>
      </c>
      <c r="I13306">
        <f>IF(DATOS!$I13306="","",IFERROR(VLOOKUP(DATOS!$I13306,CONFIG_ASIGNATURAS!$B$2:$J$91,9,FALSE()),""))</f>
      </c>
    </row>
    <row r="13307">
      <c r="F13307">
        <f>IF(DATOS!$A13307="","",DATOS!$A13307&amp;"|"&amp;DATOS!$D13307&amp;"|"&amp;DATOS!$E13307&amp;"|"&amp;DATOS!$I13307)</f>
      </c>
      <c r="G13307">
        <f>IF(DATOS!$A13307="",0,IF(CONFIG_METADATA!$B$4&lt;&gt;"OR+EX",--(DATOS!$G13307=CONFIG_METADATA!$B$4),IF(DATOS!$G13307="EX",1,IF(DATOS!$G13307="OR",--(COUNTIFS(nNIA,DATOS!$A13307,nCURSO,DATOS!$D13307,nESPEC,DATOS!$E13307,nASIG,DATOS!$I13307,nEVAL,"EX")=0),0))))</f>
      </c>
      <c r="H13307">
        <f>IF(DATOS!$G13307&lt;&gt;"EX",0,--(COUNTIFS(nNIA,DATOS!$A13307,nCURSO,DATOS!$D13307,nESPEC,DATOS!$E13307,nASIG,DATOS!$I13307,nEVAL,"OR")=0))</f>
      </c>
      <c r="I13307">
        <f>IF(DATOS!$I13307="","",IFERROR(VLOOKUP(DATOS!$I13307,CONFIG_ASIGNATURAS!$B$2:$J$91,9,FALSE()),""))</f>
      </c>
    </row>
    <row r="13308">
      <c r="F13308">
        <f>IF(DATOS!$A13308="","",DATOS!$A13308&amp;"|"&amp;DATOS!$D13308&amp;"|"&amp;DATOS!$E13308&amp;"|"&amp;DATOS!$I13308)</f>
      </c>
      <c r="G13308">
        <f>IF(DATOS!$A13308="",0,IF(CONFIG_METADATA!$B$4&lt;&gt;"OR+EX",--(DATOS!$G13308=CONFIG_METADATA!$B$4),IF(DATOS!$G13308="EX",1,IF(DATOS!$G13308="OR",--(COUNTIFS(nNIA,DATOS!$A13308,nCURSO,DATOS!$D13308,nESPEC,DATOS!$E13308,nASIG,DATOS!$I13308,nEVAL,"EX")=0),0))))</f>
      </c>
      <c r="H13308">
        <f>IF(DATOS!$G13308&lt;&gt;"EX",0,--(COUNTIFS(nNIA,DATOS!$A13308,nCURSO,DATOS!$D13308,nESPEC,DATOS!$E13308,nASIG,DATOS!$I13308,nEVAL,"OR")=0))</f>
      </c>
      <c r="I13308">
        <f>IF(DATOS!$I13308="","",IFERROR(VLOOKUP(DATOS!$I13308,CONFIG_ASIGNATURAS!$B$2:$J$91,9,FALSE()),""))</f>
      </c>
    </row>
    <row r="13309">
      <c r="F13309">
        <f>IF(DATOS!$A13309="","",DATOS!$A13309&amp;"|"&amp;DATOS!$D13309&amp;"|"&amp;DATOS!$E13309&amp;"|"&amp;DATOS!$I13309)</f>
      </c>
      <c r="G13309">
        <f>IF(DATOS!$A13309="",0,IF(CONFIG_METADATA!$B$4&lt;&gt;"OR+EX",--(DATOS!$G13309=CONFIG_METADATA!$B$4),IF(DATOS!$G13309="EX",1,IF(DATOS!$G13309="OR",--(COUNTIFS(nNIA,DATOS!$A13309,nCURSO,DATOS!$D13309,nESPEC,DATOS!$E13309,nASIG,DATOS!$I13309,nEVAL,"EX")=0),0))))</f>
      </c>
      <c r="H13309">
        <f>IF(DATOS!$G13309&lt;&gt;"EX",0,--(COUNTIFS(nNIA,DATOS!$A13309,nCURSO,DATOS!$D13309,nESPEC,DATOS!$E13309,nASIG,DATOS!$I13309,nEVAL,"OR")=0))</f>
      </c>
      <c r="I13309">
        <f>IF(DATOS!$I13309="","",IFERROR(VLOOKUP(DATOS!$I13309,CONFIG_ASIGNATURAS!$B$2:$J$91,9,FALSE()),""))</f>
      </c>
    </row>
    <row r="13310">
      <c r="F13310">
        <f>IF(DATOS!$A13310="","",DATOS!$A13310&amp;"|"&amp;DATOS!$D13310&amp;"|"&amp;DATOS!$E13310&amp;"|"&amp;DATOS!$I13310)</f>
      </c>
      <c r="G13310">
        <f>IF(DATOS!$A13310="",0,IF(CONFIG_METADATA!$B$4&lt;&gt;"OR+EX",--(DATOS!$G13310=CONFIG_METADATA!$B$4),IF(DATOS!$G13310="EX",1,IF(DATOS!$G13310="OR",--(COUNTIFS(nNIA,DATOS!$A13310,nCURSO,DATOS!$D13310,nESPEC,DATOS!$E13310,nASIG,DATOS!$I13310,nEVAL,"EX")=0),0))))</f>
      </c>
      <c r="H13310">
        <f>IF(DATOS!$G13310&lt;&gt;"EX",0,--(COUNTIFS(nNIA,DATOS!$A13310,nCURSO,DATOS!$D13310,nESPEC,DATOS!$E13310,nASIG,DATOS!$I13310,nEVAL,"OR")=0))</f>
      </c>
      <c r="I13310">
        <f>IF(DATOS!$I13310="","",IFERROR(VLOOKUP(DATOS!$I13310,CONFIG_ASIGNATURAS!$B$2:$J$91,9,FALSE()),""))</f>
      </c>
    </row>
    <row r="13311">
      <c r="F13311">
        <f>IF(DATOS!$A13311="","",DATOS!$A13311&amp;"|"&amp;DATOS!$D13311&amp;"|"&amp;DATOS!$E13311&amp;"|"&amp;DATOS!$I13311)</f>
      </c>
      <c r="G13311">
        <f>IF(DATOS!$A13311="",0,IF(CONFIG_METADATA!$B$4&lt;&gt;"OR+EX",--(DATOS!$G13311=CONFIG_METADATA!$B$4),IF(DATOS!$G13311="EX",1,IF(DATOS!$G13311="OR",--(COUNTIFS(nNIA,DATOS!$A13311,nCURSO,DATOS!$D13311,nESPEC,DATOS!$E13311,nASIG,DATOS!$I13311,nEVAL,"EX")=0),0))))</f>
      </c>
      <c r="H13311">
        <f>IF(DATOS!$G13311&lt;&gt;"EX",0,--(COUNTIFS(nNIA,DATOS!$A13311,nCURSO,DATOS!$D13311,nESPEC,DATOS!$E13311,nASIG,DATOS!$I13311,nEVAL,"OR")=0))</f>
      </c>
      <c r="I13311">
        <f>IF(DATOS!$I13311="","",IFERROR(VLOOKUP(DATOS!$I13311,CONFIG_ASIGNATURAS!$B$2:$J$91,9,FALSE()),""))</f>
      </c>
    </row>
    <row r="13312">
      <c r="F13312">
        <f>IF(DATOS!$A13312="","",DATOS!$A13312&amp;"|"&amp;DATOS!$D13312&amp;"|"&amp;DATOS!$E13312&amp;"|"&amp;DATOS!$I13312)</f>
      </c>
      <c r="G13312">
        <f>IF(DATOS!$A13312="",0,IF(CONFIG_METADATA!$B$4&lt;&gt;"OR+EX",--(DATOS!$G13312=CONFIG_METADATA!$B$4),IF(DATOS!$G13312="EX",1,IF(DATOS!$G13312="OR",--(COUNTIFS(nNIA,DATOS!$A13312,nCURSO,DATOS!$D13312,nESPEC,DATOS!$E13312,nASIG,DATOS!$I13312,nEVAL,"EX")=0),0))))</f>
      </c>
      <c r="H13312">
        <f>IF(DATOS!$G13312&lt;&gt;"EX",0,--(COUNTIFS(nNIA,DATOS!$A13312,nCURSO,DATOS!$D13312,nESPEC,DATOS!$E13312,nASIG,DATOS!$I13312,nEVAL,"OR")=0))</f>
      </c>
      <c r="I13312">
        <f>IF(DATOS!$I13312="","",IFERROR(VLOOKUP(DATOS!$I13312,CONFIG_ASIGNATURAS!$B$2:$J$91,9,FALSE()),""))</f>
      </c>
    </row>
    <row r="13313">
      <c r="F13313">
        <f>IF(DATOS!$A13313="","",DATOS!$A13313&amp;"|"&amp;DATOS!$D13313&amp;"|"&amp;DATOS!$E13313&amp;"|"&amp;DATOS!$I13313)</f>
      </c>
      <c r="G13313">
        <f>IF(DATOS!$A13313="",0,IF(CONFIG_METADATA!$B$4&lt;&gt;"OR+EX",--(DATOS!$G13313=CONFIG_METADATA!$B$4),IF(DATOS!$G13313="EX",1,IF(DATOS!$G13313="OR",--(COUNTIFS(nNIA,DATOS!$A13313,nCURSO,DATOS!$D13313,nESPEC,DATOS!$E13313,nASIG,DATOS!$I13313,nEVAL,"EX")=0),0))))</f>
      </c>
      <c r="H13313">
        <f>IF(DATOS!$G13313&lt;&gt;"EX",0,--(COUNTIFS(nNIA,DATOS!$A13313,nCURSO,DATOS!$D13313,nESPEC,DATOS!$E13313,nASIG,DATOS!$I13313,nEVAL,"OR")=0))</f>
      </c>
      <c r="I13313">
        <f>IF(DATOS!$I13313="","",IFERROR(VLOOKUP(DATOS!$I13313,CONFIG_ASIGNATURAS!$B$2:$J$91,9,FALSE()),""))</f>
      </c>
    </row>
    <row r="13314">
      <c r="F13314">
        <f>IF(DATOS!$A13314="","",DATOS!$A13314&amp;"|"&amp;DATOS!$D13314&amp;"|"&amp;DATOS!$E13314&amp;"|"&amp;DATOS!$I13314)</f>
      </c>
      <c r="G13314">
        <f>IF(DATOS!$A13314="",0,IF(CONFIG_METADATA!$B$4&lt;&gt;"OR+EX",--(DATOS!$G13314=CONFIG_METADATA!$B$4),IF(DATOS!$G13314="EX",1,IF(DATOS!$G13314="OR",--(COUNTIFS(nNIA,DATOS!$A13314,nCURSO,DATOS!$D13314,nESPEC,DATOS!$E13314,nASIG,DATOS!$I13314,nEVAL,"EX")=0),0))))</f>
      </c>
      <c r="H13314">
        <f>IF(DATOS!$G13314&lt;&gt;"EX",0,--(COUNTIFS(nNIA,DATOS!$A13314,nCURSO,DATOS!$D13314,nESPEC,DATOS!$E13314,nASIG,DATOS!$I13314,nEVAL,"OR")=0))</f>
      </c>
      <c r="I13314">
        <f>IF(DATOS!$I13314="","",IFERROR(VLOOKUP(DATOS!$I13314,CONFIG_ASIGNATURAS!$B$2:$J$91,9,FALSE()),""))</f>
      </c>
    </row>
    <row r="13315">
      <c r="F13315">
        <f>IF(DATOS!$A13315="","",DATOS!$A13315&amp;"|"&amp;DATOS!$D13315&amp;"|"&amp;DATOS!$E13315&amp;"|"&amp;DATOS!$I13315)</f>
      </c>
      <c r="G13315">
        <f>IF(DATOS!$A13315="",0,IF(CONFIG_METADATA!$B$4&lt;&gt;"OR+EX",--(DATOS!$G13315=CONFIG_METADATA!$B$4),IF(DATOS!$G13315="EX",1,IF(DATOS!$G13315="OR",--(COUNTIFS(nNIA,DATOS!$A13315,nCURSO,DATOS!$D13315,nESPEC,DATOS!$E13315,nASIG,DATOS!$I13315,nEVAL,"EX")=0),0))))</f>
      </c>
      <c r="H13315">
        <f>IF(DATOS!$G13315&lt;&gt;"EX",0,--(COUNTIFS(nNIA,DATOS!$A13315,nCURSO,DATOS!$D13315,nESPEC,DATOS!$E13315,nASIG,DATOS!$I13315,nEVAL,"OR")=0))</f>
      </c>
      <c r="I13315">
        <f>IF(DATOS!$I13315="","",IFERROR(VLOOKUP(DATOS!$I13315,CONFIG_ASIGNATURAS!$B$2:$J$91,9,FALSE()),""))</f>
      </c>
    </row>
    <row r="13316">
      <c r="F13316">
        <f>IF(DATOS!$A13316="","",DATOS!$A13316&amp;"|"&amp;DATOS!$D13316&amp;"|"&amp;DATOS!$E13316&amp;"|"&amp;DATOS!$I13316)</f>
      </c>
      <c r="G13316">
        <f>IF(DATOS!$A13316="",0,IF(CONFIG_METADATA!$B$4&lt;&gt;"OR+EX",--(DATOS!$G13316=CONFIG_METADATA!$B$4),IF(DATOS!$G13316="EX",1,IF(DATOS!$G13316="OR",--(COUNTIFS(nNIA,DATOS!$A13316,nCURSO,DATOS!$D13316,nESPEC,DATOS!$E13316,nASIG,DATOS!$I13316,nEVAL,"EX")=0),0))))</f>
      </c>
      <c r="H13316">
        <f>IF(DATOS!$G13316&lt;&gt;"EX",0,--(COUNTIFS(nNIA,DATOS!$A13316,nCURSO,DATOS!$D13316,nESPEC,DATOS!$E13316,nASIG,DATOS!$I13316,nEVAL,"OR")=0))</f>
      </c>
      <c r="I13316">
        <f>IF(DATOS!$I13316="","",IFERROR(VLOOKUP(DATOS!$I13316,CONFIG_ASIGNATURAS!$B$2:$J$91,9,FALSE()),""))</f>
      </c>
    </row>
    <row r="13317">
      <c r="F13317">
        <f>IF(DATOS!$A13317="","",DATOS!$A13317&amp;"|"&amp;DATOS!$D13317&amp;"|"&amp;DATOS!$E13317&amp;"|"&amp;DATOS!$I13317)</f>
      </c>
      <c r="G13317">
        <f>IF(DATOS!$A13317="",0,IF(CONFIG_METADATA!$B$4&lt;&gt;"OR+EX",--(DATOS!$G13317=CONFIG_METADATA!$B$4),IF(DATOS!$G13317="EX",1,IF(DATOS!$G13317="OR",--(COUNTIFS(nNIA,DATOS!$A13317,nCURSO,DATOS!$D13317,nESPEC,DATOS!$E13317,nASIG,DATOS!$I13317,nEVAL,"EX")=0),0))))</f>
      </c>
      <c r="H13317">
        <f>IF(DATOS!$G13317&lt;&gt;"EX",0,--(COUNTIFS(nNIA,DATOS!$A13317,nCURSO,DATOS!$D13317,nESPEC,DATOS!$E13317,nASIG,DATOS!$I13317,nEVAL,"OR")=0))</f>
      </c>
      <c r="I13317">
        <f>IF(DATOS!$I13317="","",IFERROR(VLOOKUP(DATOS!$I13317,CONFIG_ASIGNATURAS!$B$2:$J$91,9,FALSE()),""))</f>
      </c>
    </row>
    <row r="13318">
      <c r="F13318">
        <f>IF(DATOS!$A13318="","",DATOS!$A13318&amp;"|"&amp;DATOS!$D13318&amp;"|"&amp;DATOS!$E13318&amp;"|"&amp;DATOS!$I13318)</f>
      </c>
      <c r="G13318">
        <f>IF(DATOS!$A13318="",0,IF(CONFIG_METADATA!$B$4&lt;&gt;"OR+EX",--(DATOS!$G13318=CONFIG_METADATA!$B$4),IF(DATOS!$G13318="EX",1,IF(DATOS!$G13318="OR",--(COUNTIFS(nNIA,DATOS!$A13318,nCURSO,DATOS!$D13318,nESPEC,DATOS!$E13318,nASIG,DATOS!$I13318,nEVAL,"EX")=0),0))))</f>
      </c>
      <c r="H13318">
        <f>IF(DATOS!$G13318&lt;&gt;"EX",0,--(COUNTIFS(nNIA,DATOS!$A13318,nCURSO,DATOS!$D13318,nESPEC,DATOS!$E13318,nASIG,DATOS!$I13318,nEVAL,"OR")=0))</f>
      </c>
      <c r="I13318">
        <f>IF(DATOS!$I13318="","",IFERROR(VLOOKUP(DATOS!$I13318,CONFIG_ASIGNATURAS!$B$2:$J$91,9,FALSE()),""))</f>
      </c>
    </row>
    <row r="13319">
      <c r="F13319">
        <f>IF(DATOS!$A13319="","",DATOS!$A13319&amp;"|"&amp;DATOS!$D13319&amp;"|"&amp;DATOS!$E13319&amp;"|"&amp;DATOS!$I13319)</f>
      </c>
      <c r="G13319">
        <f>IF(DATOS!$A13319="",0,IF(CONFIG_METADATA!$B$4&lt;&gt;"OR+EX",--(DATOS!$G13319=CONFIG_METADATA!$B$4),IF(DATOS!$G13319="EX",1,IF(DATOS!$G13319="OR",--(COUNTIFS(nNIA,DATOS!$A13319,nCURSO,DATOS!$D13319,nESPEC,DATOS!$E13319,nASIG,DATOS!$I13319,nEVAL,"EX")=0),0))))</f>
      </c>
      <c r="H13319">
        <f>IF(DATOS!$G13319&lt;&gt;"EX",0,--(COUNTIFS(nNIA,DATOS!$A13319,nCURSO,DATOS!$D13319,nESPEC,DATOS!$E13319,nASIG,DATOS!$I13319,nEVAL,"OR")=0))</f>
      </c>
      <c r="I13319">
        <f>IF(DATOS!$I13319="","",IFERROR(VLOOKUP(DATOS!$I13319,CONFIG_ASIGNATURAS!$B$2:$J$91,9,FALSE()),""))</f>
      </c>
    </row>
    <row r="13320">
      <c r="F13320">
        <f>IF(DATOS!$A13320="","",DATOS!$A13320&amp;"|"&amp;DATOS!$D13320&amp;"|"&amp;DATOS!$E13320&amp;"|"&amp;DATOS!$I13320)</f>
      </c>
      <c r="G13320">
        <f>IF(DATOS!$A13320="",0,IF(CONFIG_METADATA!$B$4&lt;&gt;"OR+EX",--(DATOS!$G13320=CONFIG_METADATA!$B$4),IF(DATOS!$G13320="EX",1,IF(DATOS!$G13320="OR",--(COUNTIFS(nNIA,DATOS!$A13320,nCURSO,DATOS!$D13320,nESPEC,DATOS!$E13320,nASIG,DATOS!$I13320,nEVAL,"EX")=0),0))))</f>
      </c>
      <c r="H13320">
        <f>IF(DATOS!$G13320&lt;&gt;"EX",0,--(COUNTIFS(nNIA,DATOS!$A13320,nCURSO,DATOS!$D13320,nESPEC,DATOS!$E13320,nASIG,DATOS!$I13320,nEVAL,"OR")=0))</f>
      </c>
      <c r="I13320">
        <f>IF(DATOS!$I13320="","",IFERROR(VLOOKUP(DATOS!$I13320,CONFIG_ASIGNATURAS!$B$2:$J$91,9,FALSE()),""))</f>
      </c>
    </row>
    <row r="13321">
      <c r="F13321">
        <f>IF(DATOS!$A13321="","",DATOS!$A13321&amp;"|"&amp;DATOS!$D13321&amp;"|"&amp;DATOS!$E13321&amp;"|"&amp;DATOS!$I13321)</f>
      </c>
      <c r="G13321">
        <f>IF(DATOS!$A13321="",0,IF(CONFIG_METADATA!$B$4&lt;&gt;"OR+EX",--(DATOS!$G13321=CONFIG_METADATA!$B$4),IF(DATOS!$G13321="EX",1,IF(DATOS!$G13321="OR",--(COUNTIFS(nNIA,DATOS!$A13321,nCURSO,DATOS!$D13321,nESPEC,DATOS!$E13321,nASIG,DATOS!$I13321,nEVAL,"EX")=0),0))))</f>
      </c>
      <c r="H13321">
        <f>IF(DATOS!$G13321&lt;&gt;"EX",0,--(COUNTIFS(nNIA,DATOS!$A13321,nCURSO,DATOS!$D13321,nESPEC,DATOS!$E13321,nASIG,DATOS!$I13321,nEVAL,"OR")=0))</f>
      </c>
      <c r="I13321">
        <f>IF(DATOS!$I13321="","",IFERROR(VLOOKUP(DATOS!$I13321,CONFIG_ASIGNATURAS!$B$2:$J$91,9,FALSE()),""))</f>
      </c>
    </row>
    <row r="13322">
      <c r="F13322">
        <f>IF(DATOS!$A13322="","",DATOS!$A13322&amp;"|"&amp;DATOS!$D13322&amp;"|"&amp;DATOS!$E13322&amp;"|"&amp;DATOS!$I13322)</f>
      </c>
      <c r="G13322">
        <f>IF(DATOS!$A13322="",0,IF(CONFIG_METADATA!$B$4&lt;&gt;"OR+EX",--(DATOS!$G13322=CONFIG_METADATA!$B$4),IF(DATOS!$G13322="EX",1,IF(DATOS!$G13322="OR",--(COUNTIFS(nNIA,DATOS!$A13322,nCURSO,DATOS!$D13322,nESPEC,DATOS!$E13322,nASIG,DATOS!$I13322,nEVAL,"EX")=0),0))))</f>
      </c>
      <c r="H13322">
        <f>IF(DATOS!$G13322&lt;&gt;"EX",0,--(COUNTIFS(nNIA,DATOS!$A13322,nCURSO,DATOS!$D13322,nESPEC,DATOS!$E13322,nASIG,DATOS!$I13322,nEVAL,"OR")=0))</f>
      </c>
      <c r="I13322">
        <f>IF(DATOS!$I13322="","",IFERROR(VLOOKUP(DATOS!$I13322,CONFIG_ASIGNATURAS!$B$2:$J$91,9,FALSE()),""))</f>
      </c>
    </row>
    <row r="13323">
      <c r="F13323">
        <f>IF(DATOS!$A13323="","",DATOS!$A13323&amp;"|"&amp;DATOS!$D13323&amp;"|"&amp;DATOS!$E13323&amp;"|"&amp;DATOS!$I13323)</f>
      </c>
      <c r="G13323">
        <f>IF(DATOS!$A13323="",0,IF(CONFIG_METADATA!$B$4&lt;&gt;"OR+EX",--(DATOS!$G13323=CONFIG_METADATA!$B$4),IF(DATOS!$G13323="EX",1,IF(DATOS!$G13323="OR",--(COUNTIFS(nNIA,DATOS!$A13323,nCURSO,DATOS!$D13323,nESPEC,DATOS!$E13323,nASIG,DATOS!$I13323,nEVAL,"EX")=0),0))))</f>
      </c>
      <c r="H13323">
        <f>IF(DATOS!$G13323&lt;&gt;"EX",0,--(COUNTIFS(nNIA,DATOS!$A13323,nCURSO,DATOS!$D13323,nESPEC,DATOS!$E13323,nASIG,DATOS!$I13323,nEVAL,"OR")=0))</f>
      </c>
      <c r="I13323">
        <f>IF(DATOS!$I13323="","",IFERROR(VLOOKUP(DATOS!$I13323,CONFIG_ASIGNATURAS!$B$2:$J$91,9,FALSE()),""))</f>
      </c>
    </row>
    <row r="13324">
      <c r="F13324">
        <f>IF(DATOS!$A13324="","",DATOS!$A13324&amp;"|"&amp;DATOS!$D13324&amp;"|"&amp;DATOS!$E13324&amp;"|"&amp;DATOS!$I13324)</f>
      </c>
      <c r="G13324">
        <f>IF(DATOS!$A13324="",0,IF(CONFIG_METADATA!$B$4&lt;&gt;"OR+EX",--(DATOS!$G13324=CONFIG_METADATA!$B$4),IF(DATOS!$G13324="EX",1,IF(DATOS!$G13324="OR",--(COUNTIFS(nNIA,DATOS!$A13324,nCURSO,DATOS!$D13324,nESPEC,DATOS!$E13324,nASIG,DATOS!$I13324,nEVAL,"EX")=0),0))))</f>
      </c>
      <c r="H13324">
        <f>IF(DATOS!$G13324&lt;&gt;"EX",0,--(COUNTIFS(nNIA,DATOS!$A13324,nCURSO,DATOS!$D13324,nESPEC,DATOS!$E13324,nASIG,DATOS!$I13324,nEVAL,"OR")=0))</f>
      </c>
      <c r="I13324">
        <f>IF(DATOS!$I13324="","",IFERROR(VLOOKUP(DATOS!$I13324,CONFIG_ASIGNATURAS!$B$2:$J$91,9,FALSE()),""))</f>
      </c>
    </row>
    <row r="13325">
      <c r="F13325">
        <f>IF(DATOS!$A13325="","",DATOS!$A13325&amp;"|"&amp;DATOS!$D13325&amp;"|"&amp;DATOS!$E13325&amp;"|"&amp;DATOS!$I13325)</f>
      </c>
      <c r="G13325">
        <f>IF(DATOS!$A13325="",0,IF(CONFIG_METADATA!$B$4&lt;&gt;"OR+EX",--(DATOS!$G13325=CONFIG_METADATA!$B$4),IF(DATOS!$G13325="EX",1,IF(DATOS!$G13325="OR",--(COUNTIFS(nNIA,DATOS!$A13325,nCURSO,DATOS!$D13325,nESPEC,DATOS!$E13325,nASIG,DATOS!$I13325,nEVAL,"EX")=0),0))))</f>
      </c>
      <c r="H13325">
        <f>IF(DATOS!$G13325&lt;&gt;"EX",0,--(COUNTIFS(nNIA,DATOS!$A13325,nCURSO,DATOS!$D13325,nESPEC,DATOS!$E13325,nASIG,DATOS!$I13325,nEVAL,"OR")=0))</f>
      </c>
      <c r="I13325">
        <f>IF(DATOS!$I13325="","",IFERROR(VLOOKUP(DATOS!$I13325,CONFIG_ASIGNATURAS!$B$2:$J$91,9,FALSE()),""))</f>
      </c>
    </row>
    <row r="13326">
      <c r="F13326">
        <f>IF(DATOS!$A13326="","",DATOS!$A13326&amp;"|"&amp;DATOS!$D13326&amp;"|"&amp;DATOS!$E13326&amp;"|"&amp;DATOS!$I13326)</f>
      </c>
      <c r="G13326">
        <f>IF(DATOS!$A13326="",0,IF(CONFIG_METADATA!$B$4&lt;&gt;"OR+EX",--(DATOS!$G13326=CONFIG_METADATA!$B$4),IF(DATOS!$G13326="EX",1,IF(DATOS!$G13326="OR",--(COUNTIFS(nNIA,DATOS!$A13326,nCURSO,DATOS!$D13326,nESPEC,DATOS!$E13326,nASIG,DATOS!$I13326,nEVAL,"EX")=0),0))))</f>
      </c>
      <c r="H13326">
        <f>IF(DATOS!$G13326&lt;&gt;"EX",0,--(COUNTIFS(nNIA,DATOS!$A13326,nCURSO,DATOS!$D13326,nESPEC,DATOS!$E13326,nASIG,DATOS!$I13326,nEVAL,"OR")=0))</f>
      </c>
      <c r="I13326">
        <f>IF(DATOS!$I13326="","",IFERROR(VLOOKUP(DATOS!$I13326,CONFIG_ASIGNATURAS!$B$2:$J$91,9,FALSE()),""))</f>
      </c>
    </row>
    <row r="13327">
      <c r="F13327">
        <f>IF(DATOS!$A13327="","",DATOS!$A13327&amp;"|"&amp;DATOS!$D13327&amp;"|"&amp;DATOS!$E13327&amp;"|"&amp;DATOS!$I13327)</f>
      </c>
      <c r="G13327">
        <f>IF(DATOS!$A13327="",0,IF(CONFIG_METADATA!$B$4&lt;&gt;"OR+EX",--(DATOS!$G13327=CONFIG_METADATA!$B$4),IF(DATOS!$G13327="EX",1,IF(DATOS!$G13327="OR",--(COUNTIFS(nNIA,DATOS!$A13327,nCURSO,DATOS!$D13327,nESPEC,DATOS!$E13327,nASIG,DATOS!$I13327,nEVAL,"EX")=0),0))))</f>
      </c>
      <c r="H13327">
        <f>IF(DATOS!$G13327&lt;&gt;"EX",0,--(COUNTIFS(nNIA,DATOS!$A13327,nCURSO,DATOS!$D13327,nESPEC,DATOS!$E13327,nASIG,DATOS!$I13327,nEVAL,"OR")=0))</f>
      </c>
      <c r="I13327">
        <f>IF(DATOS!$I13327="","",IFERROR(VLOOKUP(DATOS!$I13327,CONFIG_ASIGNATURAS!$B$2:$J$91,9,FALSE()),""))</f>
      </c>
    </row>
    <row r="13328">
      <c r="F13328">
        <f>IF(DATOS!$A13328="","",DATOS!$A13328&amp;"|"&amp;DATOS!$D13328&amp;"|"&amp;DATOS!$E13328&amp;"|"&amp;DATOS!$I13328)</f>
      </c>
      <c r="G13328">
        <f>IF(DATOS!$A13328="",0,IF(CONFIG_METADATA!$B$4&lt;&gt;"OR+EX",--(DATOS!$G13328=CONFIG_METADATA!$B$4),IF(DATOS!$G13328="EX",1,IF(DATOS!$G13328="OR",--(COUNTIFS(nNIA,DATOS!$A13328,nCURSO,DATOS!$D13328,nESPEC,DATOS!$E13328,nASIG,DATOS!$I13328,nEVAL,"EX")=0),0))))</f>
      </c>
      <c r="H13328">
        <f>IF(DATOS!$G13328&lt;&gt;"EX",0,--(COUNTIFS(nNIA,DATOS!$A13328,nCURSO,DATOS!$D13328,nESPEC,DATOS!$E13328,nASIG,DATOS!$I13328,nEVAL,"OR")=0))</f>
      </c>
      <c r="I13328">
        <f>IF(DATOS!$I13328="","",IFERROR(VLOOKUP(DATOS!$I13328,CONFIG_ASIGNATURAS!$B$2:$J$91,9,FALSE()),""))</f>
      </c>
    </row>
    <row r="13329">
      <c r="F13329">
        <f>IF(DATOS!$A13329="","",DATOS!$A13329&amp;"|"&amp;DATOS!$D13329&amp;"|"&amp;DATOS!$E13329&amp;"|"&amp;DATOS!$I13329)</f>
      </c>
      <c r="G13329">
        <f>IF(DATOS!$A13329="",0,IF(CONFIG_METADATA!$B$4&lt;&gt;"OR+EX",--(DATOS!$G13329=CONFIG_METADATA!$B$4),IF(DATOS!$G13329="EX",1,IF(DATOS!$G13329="OR",--(COUNTIFS(nNIA,DATOS!$A13329,nCURSO,DATOS!$D13329,nESPEC,DATOS!$E13329,nASIG,DATOS!$I13329,nEVAL,"EX")=0),0))))</f>
      </c>
      <c r="H13329">
        <f>IF(DATOS!$G13329&lt;&gt;"EX",0,--(COUNTIFS(nNIA,DATOS!$A13329,nCURSO,DATOS!$D13329,nESPEC,DATOS!$E13329,nASIG,DATOS!$I13329,nEVAL,"OR")=0))</f>
      </c>
      <c r="I13329">
        <f>IF(DATOS!$I13329="","",IFERROR(VLOOKUP(DATOS!$I13329,CONFIG_ASIGNATURAS!$B$2:$J$91,9,FALSE()),""))</f>
      </c>
    </row>
    <row r="13330">
      <c r="F13330">
        <f>IF(DATOS!$A13330="","",DATOS!$A13330&amp;"|"&amp;DATOS!$D13330&amp;"|"&amp;DATOS!$E13330&amp;"|"&amp;DATOS!$I13330)</f>
      </c>
      <c r="G13330">
        <f>IF(DATOS!$A13330="",0,IF(CONFIG_METADATA!$B$4&lt;&gt;"OR+EX",--(DATOS!$G13330=CONFIG_METADATA!$B$4),IF(DATOS!$G13330="EX",1,IF(DATOS!$G13330="OR",--(COUNTIFS(nNIA,DATOS!$A13330,nCURSO,DATOS!$D13330,nESPEC,DATOS!$E13330,nASIG,DATOS!$I13330,nEVAL,"EX")=0),0))))</f>
      </c>
      <c r="H13330">
        <f>IF(DATOS!$G13330&lt;&gt;"EX",0,--(COUNTIFS(nNIA,DATOS!$A13330,nCURSO,DATOS!$D13330,nESPEC,DATOS!$E13330,nASIG,DATOS!$I13330,nEVAL,"OR")=0))</f>
      </c>
      <c r="I13330">
        <f>IF(DATOS!$I13330="","",IFERROR(VLOOKUP(DATOS!$I13330,CONFIG_ASIGNATURAS!$B$2:$J$91,9,FALSE()),""))</f>
      </c>
    </row>
    <row r="13331">
      <c r="F13331">
        <f>IF(DATOS!$A13331="","",DATOS!$A13331&amp;"|"&amp;DATOS!$D13331&amp;"|"&amp;DATOS!$E13331&amp;"|"&amp;DATOS!$I13331)</f>
      </c>
      <c r="G13331">
        <f>IF(DATOS!$A13331="",0,IF(CONFIG_METADATA!$B$4&lt;&gt;"OR+EX",--(DATOS!$G13331=CONFIG_METADATA!$B$4),IF(DATOS!$G13331="EX",1,IF(DATOS!$G13331="OR",--(COUNTIFS(nNIA,DATOS!$A13331,nCURSO,DATOS!$D13331,nESPEC,DATOS!$E13331,nASIG,DATOS!$I13331,nEVAL,"EX")=0),0))))</f>
      </c>
      <c r="H13331">
        <f>IF(DATOS!$G13331&lt;&gt;"EX",0,--(COUNTIFS(nNIA,DATOS!$A13331,nCURSO,DATOS!$D13331,nESPEC,DATOS!$E13331,nASIG,DATOS!$I13331,nEVAL,"OR")=0))</f>
      </c>
      <c r="I13331">
        <f>IF(DATOS!$I13331="","",IFERROR(VLOOKUP(DATOS!$I13331,CONFIG_ASIGNATURAS!$B$2:$J$91,9,FALSE()),""))</f>
      </c>
    </row>
    <row r="13332">
      <c r="F13332">
        <f>IF(DATOS!$A13332="","",DATOS!$A13332&amp;"|"&amp;DATOS!$D13332&amp;"|"&amp;DATOS!$E13332&amp;"|"&amp;DATOS!$I13332)</f>
      </c>
      <c r="G13332">
        <f>IF(DATOS!$A13332="",0,IF(CONFIG_METADATA!$B$4&lt;&gt;"OR+EX",--(DATOS!$G13332=CONFIG_METADATA!$B$4),IF(DATOS!$G13332="EX",1,IF(DATOS!$G13332="OR",--(COUNTIFS(nNIA,DATOS!$A13332,nCURSO,DATOS!$D13332,nESPEC,DATOS!$E13332,nASIG,DATOS!$I13332,nEVAL,"EX")=0),0))))</f>
      </c>
      <c r="H13332">
        <f>IF(DATOS!$G13332&lt;&gt;"EX",0,--(COUNTIFS(nNIA,DATOS!$A13332,nCURSO,DATOS!$D13332,nESPEC,DATOS!$E13332,nASIG,DATOS!$I13332,nEVAL,"OR")=0))</f>
      </c>
      <c r="I13332">
        <f>IF(DATOS!$I13332="","",IFERROR(VLOOKUP(DATOS!$I13332,CONFIG_ASIGNATURAS!$B$2:$J$91,9,FALSE()),""))</f>
      </c>
    </row>
    <row r="13333">
      <c r="F13333">
        <f>IF(DATOS!$A13333="","",DATOS!$A13333&amp;"|"&amp;DATOS!$D13333&amp;"|"&amp;DATOS!$E13333&amp;"|"&amp;DATOS!$I13333)</f>
      </c>
      <c r="G13333">
        <f>IF(DATOS!$A13333="",0,IF(CONFIG_METADATA!$B$4&lt;&gt;"OR+EX",--(DATOS!$G13333=CONFIG_METADATA!$B$4),IF(DATOS!$G13333="EX",1,IF(DATOS!$G13333="OR",--(COUNTIFS(nNIA,DATOS!$A13333,nCURSO,DATOS!$D13333,nESPEC,DATOS!$E13333,nASIG,DATOS!$I13333,nEVAL,"EX")=0),0))))</f>
      </c>
      <c r="H13333">
        <f>IF(DATOS!$G13333&lt;&gt;"EX",0,--(COUNTIFS(nNIA,DATOS!$A13333,nCURSO,DATOS!$D13333,nESPEC,DATOS!$E13333,nASIG,DATOS!$I13333,nEVAL,"OR")=0))</f>
      </c>
      <c r="I13333">
        <f>IF(DATOS!$I13333="","",IFERROR(VLOOKUP(DATOS!$I13333,CONFIG_ASIGNATURAS!$B$2:$J$91,9,FALSE()),""))</f>
      </c>
    </row>
    <row r="13334">
      <c r="F13334">
        <f>IF(DATOS!$A13334="","",DATOS!$A13334&amp;"|"&amp;DATOS!$D13334&amp;"|"&amp;DATOS!$E13334&amp;"|"&amp;DATOS!$I13334)</f>
      </c>
      <c r="G13334">
        <f>IF(DATOS!$A13334="",0,IF(CONFIG_METADATA!$B$4&lt;&gt;"OR+EX",--(DATOS!$G13334=CONFIG_METADATA!$B$4),IF(DATOS!$G13334="EX",1,IF(DATOS!$G13334="OR",--(COUNTIFS(nNIA,DATOS!$A13334,nCURSO,DATOS!$D13334,nESPEC,DATOS!$E13334,nASIG,DATOS!$I13334,nEVAL,"EX")=0),0))))</f>
      </c>
      <c r="H13334">
        <f>IF(DATOS!$G13334&lt;&gt;"EX",0,--(COUNTIFS(nNIA,DATOS!$A13334,nCURSO,DATOS!$D13334,nESPEC,DATOS!$E13334,nASIG,DATOS!$I13334,nEVAL,"OR")=0))</f>
      </c>
      <c r="I13334">
        <f>IF(DATOS!$I13334="","",IFERROR(VLOOKUP(DATOS!$I13334,CONFIG_ASIGNATURAS!$B$2:$J$91,9,FALSE()),""))</f>
      </c>
    </row>
    <row r="13335">
      <c r="F13335">
        <f>IF(DATOS!$A13335="","",DATOS!$A13335&amp;"|"&amp;DATOS!$D13335&amp;"|"&amp;DATOS!$E13335&amp;"|"&amp;DATOS!$I13335)</f>
      </c>
      <c r="G13335">
        <f>IF(DATOS!$A13335="",0,IF(CONFIG_METADATA!$B$4&lt;&gt;"OR+EX",--(DATOS!$G13335=CONFIG_METADATA!$B$4),IF(DATOS!$G13335="EX",1,IF(DATOS!$G13335="OR",--(COUNTIFS(nNIA,DATOS!$A13335,nCURSO,DATOS!$D13335,nESPEC,DATOS!$E13335,nASIG,DATOS!$I13335,nEVAL,"EX")=0),0))))</f>
      </c>
      <c r="H13335">
        <f>IF(DATOS!$G13335&lt;&gt;"EX",0,--(COUNTIFS(nNIA,DATOS!$A13335,nCURSO,DATOS!$D13335,nESPEC,DATOS!$E13335,nASIG,DATOS!$I13335,nEVAL,"OR")=0))</f>
      </c>
      <c r="I13335">
        <f>IF(DATOS!$I13335="","",IFERROR(VLOOKUP(DATOS!$I13335,CONFIG_ASIGNATURAS!$B$2:$J$91,9,FALSE()),""))</f>
      </c>
    </row>
    <row r="13336">
      <c r="F13336">
        <f>IF(DATOS!$A13336="","",DATOS!$A13336&amp;"|"&amp;DATOS!$D13336&amp;"|"&amp;DATOS!$E13336&amp;"|"&amp;DATOS!$I13336)</f>
      </c>
      <c r="G13336">
        <f>IF(DATOS!$A13336="",0,IF(CONFIG_METADATA!$B$4&lt;&gt;"OR+EX",--(DATOS!$G13336=CONFIG_METADATA!$B$4),IF(DATOS!$G13336="EX",1,IF(DATOS!$G13336="OR",--(COUNTIFS(nNIA,DATOS!$A13336,nCURSO,DATOS!$D13336,nESPEC,DATOS!$E13336,nASIG,DATOS!$I13336,nEVAL,"EX")=0),0))))</f>
      </c>
      <c r="H13336">
        <f>IF(DATOS!$G13336&lt;&gt;"EX",0,--(COUNTIFS(nNIA,DATOS!$A13336,nCURSO,DATOS!$D13336,nESPEC,DATOS!$E13336,nASIG,DATOS!$I13336,nEVAL,"OR")=0))</f>
      </c>
      <c r="I13336">
        <f>IF(DATOS!$I13336="","",IFERROR(VLOOKUP(DATOS!$I13336,CONFIG_ASIGNATURAS!$B$2:$J$91,9,FALSE()),""))</f>
      </c>
    </row>
    <row r="13337">
      <c r="F13337">
        <f>IF(DATOS!$A13337="","",DATOS!$A13337&amp;"|"&amp;DATOS!$D13337&amp;"|"&amp;DATOS!$E13337&amp;"|"&amp;DATOS!$I13337)</f>
      </c>
      <c r="G13337">
        <f>IF(DATOS!$A13337="",0,IF(CONFIG_METADATA!$B$4&lt;&gt;"OR+EX",--(DATOS!$G13337=CONFIG_METADATA!$B$4),IF(DATOS!$G13337="EX",1,IF(DATOS!$G13337="OR",--(COUNTIFS(nNIA,DATOS!$A13337,nCURSO,DATOS!$D13337,nESPEC,DATOS!$E13337,nASIG,DATOS!$I13337,nEVAL,"EX")=0),0))))</f>
      </c>
      <c r="H13337">
        <f>IF(DATOS!$G13337&lt;&gt;"EX",0,--(COUNTIFS(nNIA,DATOS!$A13337,nCURSO,DATOS!$D13337,nESPEC,DATOS!$E13337,nASIG,DATOS!$I13337,nEVAL,"OR")=0))</f>
      </c>
      <c r="I13337">
        <f>IF(DATOS!$I13337="","",IFERROR(VLOOKUP(DATOS!$I13337,CONFIG_ASIGNATURAS!$B$2:$J$91,9,FALSE()),""))</f>
      </c>
    </row>
    <row r="13338">
      <c r="F13338">
        <f>IF(DATOS!$A13338="","",DATOS!$A13338&amp;"|"&amp;DATOS!$D13338&amp;"|"&amp;DATOS!$E13338&amp;"|"&amp;DATOS!$I13338)</f>
      </c>
      <c r="G13338">
        <f>IF(DATOS!$A13338="",0,IF(CONFIG_METADATA!$B$4&lt;&gt;"OR+EX",--(DATOS!$G13338=CONFIG_METADATA!$B$4),IF(DATOS!$G13338="EX",1,IF(DATOS!$G13338="OR",--(COUNTIFS(nNIA,DATOS!$A13338,nCURSO,DATOS!$D13338,nESPEC,DATOS!$E13338,nASIG,DATOS!$I13338,nEVAL,"EX")=0),0))))</f>
      </c>
      <c r="H13338">
        <f>IF(DATOS!$G13338&lt;&gt;"EX",0,--(COUNTIFS(nNIA,DATOS!$A13338,nCURSO,DATOS!$D13338,nESPEC,DATOS!$E13338,nASIG,DATOS!$I13338,nEVAL,"OR")=0))</f>
      </c>
      <c r="I13338">
        <f>IF(DATOS!$I13338="","",IFERROR(VLOOKUP(DATOS!$I13338,CONFIG_ASIGNATURAS!$B$2:$J$91,9,FALSE()),""))</f>
      </c>
    </row>
    <row r="13339">
      <c r="F13339">
        <f>IF(DATOS!$A13339="","",DATOS!$A13339&amp;"|"&amp;DATOS!$D13339&amp;"|"&amp;DATOS!$E13339&amp;"|"&amp;DATOS!$I13339)</f>
      </c>
      <c r="G13339">
        <f>IF(DATOS!$A13339="",0,IF(CONFIG_METADATA!$B$4&lt;&gt;"OR+EX",--(DATOS!$G13339=CONFIG_METADATA!$B$4),IF(DATOS!$G13339="EX",1,IF(DATOS!$G13339="OR",--(COUNTIFS(nNIA,DATOS!$A13339,nCURSO,DATOS!$D13339,nESPEC,DATOS!$E13339,nASIG,DATOS!$I13339,nEVAL,"EX")=0),0))))</f>
      </c>
      <c r="H13339">
        <f>IF(DATOS!$G13339&lt;&gt;"EX",0,--(COUNTIFS(nNIA,DATOS!$A13339,nCURSO,DATOS!$D13339,nESPEC,DATOS!$E13339,nASIG,DATOS!$I13339,nEVAL,"OR")=0))</f>
      </c>
      <c r="I13339">
        <f>IF(DATOS!$I13339="","",IFERROR(VLOOKUP(DATOS!$I13339,CONFIG_ASIGNATURAS!$B$2:$J$91,9,FALSE()),""))</f>
      </c>
    </row>
    <row r="13340">
      <c r="F13340">
        <f>IF(DATOS!$A13340="","",DATOS!$A13340&amp;"|"&amp;DATOS!$D13340&amp;"|"&amp;DATOS!$E13340&amp;"|"&amp;DATOS!$I13340)</f>
      </c>
      <c r="G13340">
        <f>IF(DATOS!$A13340="",0,IF(CONFIG_METADATA!$B$4&lt;&gt;"OR+EX",--(DATOS!$G13340=CONFIG_METADATA!$B$4),IF(DATOS!$G13340="EX",1,IF(DATOS!$G13340="OR",--(COUNTIFS(nNIA,DATOS!$A13340,nCURSO,DATOS!$D13340,nESPEC,DATOS!$E13340,nASIG,DATOS!$I13340,nEVAL,"EX")=0),0))))</f>
      </c>
      <c r="H13340">
        <f>IF(DATOS!$G13340&lt;&gt;"EX",0,--(COUNTIFS(nNIA,DATOS!$A13340,nCURSO,DATOS!$D13340,nESPEC,DATOS!$E13340,nASIG,DATOS!$I13340,nEVAL,"OR")=0))</f>
      </c>
      <c r="I13340">
        <f>IF(DATOS!$I13340="","",IFERROR(VLOOKUP(DATOS!$I13340,CONFIG_ASIGNATURAS!$B$2:$J$91,9,FALSE()),""))</f>
      </c>
    </row>
    <row r="13341">
      <c r="F13341">
        <f>IF(DATOS!$A13341="","",DATOS!$A13341&amp;"|"&amp;DATOS!$D13341&amp;"|"&amp;DATOS!$E13341&amp;"|"&amp;DATOS!$I13341)</f>
      </c>
      <c r="G13341">
        <f>IF(DATOS!$A13341="",0,IF(CONFIG_METADATA!$B$4&lt;&gt;"OR+EX",--(DATOS!$G13341=CONFIG_METADATA!$B$4),IF(DATOS!$G13341="EX",1,IF(DATOS!$G13341="OR",--(COUNTIFS(nNIA,DATOS!$A13341,nCURSO,DATOS!$D13341,nESPEC,DATOS!$E13341,nASIG,DATOS!$I13341,nEVAL,"EX")=0),0))))</f>
      </c>
      <c r="H13341">
        <f>IF(DATOS!$G13341&lt;&gt;"EX",0,--(COUNTIFS(nNIA,DATOS!$A13341,nCURSO,DATOS!$D13341,nESPEC,DATOS!$E13341,nASIG,DATOS!$I13341,nEVAL,"OR")=0))</f>
      </c>
      <c r="I13341">
        <f>IF(DATOS!$I13341="","",IFERROR(VLOOKUP(DATOS!$I13341,CONFIG_ASIGNATURAS!$B$2:$J$91,9,FALSE()),""))</f>
      </c>
    </row>
    <row r="13342">
      <c r="F13342">
        <f>IF(DATOS!$A13342="","",DATOS!$A13342&amp;"|"&amp;DATOS!$D13342&amp;"|"&amp;DATOS!$E13342&amp;"|"&amp;DATOS!$I13342)</f>
      </c>
      <c r="G13342">
        <f>IF(DATOS!$A13342="",0,IF(CONFIG_METADATA!$B$4&lt;&gt;"OR+EX",--(DATOS!$G13342=CONFIG_METADATA!$B$4),IF(DATOS!$G13342="EX",1,IF(DATOS!$G13342="OR",--(COUNTIFS(nNIA,DATOS!$A13342,nCURSO,DATOS!$D13342,nESPEC,DATOS!$E13342,nASIG,DATOS!$I13342,nEVAL,"EX")=0),0))))</f>
      </c>
      <c r="H13342">
        <f>IF(DATOS!$G13342&lt;&gt;"EX",0,--(COUNTIFS(nNIA,DATOS!$A13342,nCURSO,DATOS!$D13342,nESPEC,DATOS!$E13342,nASIG,DATOS!$I13342,nEVAL,"OR")=0))</f>
      </c>
      <c r="I13342">
        <f>IF(DATOS!$I13342="","",IFERROR(VLOOKUP(DATOS!$I13342,CONFIG_ASIGNATURAS!$B$2:$J$91,9,FALSE()),""))</f>
      </c>
    </row>
    <row r="13343">
      <c r="F13343">
        <f>IF(DATOS!$A13343="","",DATOS!$A13343&amp;"|"&amp;DATOS!$D13343&amp;"|"&amp;DATOS!$E13343&amp;"|"&amp;DATOS!$I13343)</f>
      </c>
      <c r="G13343">
        <f>IF(DATOS!$A13343="",0,IF(CONFIG_METADATA!$B$4&lt;&gt;"OR+EX",--(DATOS!$G13343=CONFIG_METADATA!$B$4),IF(DATOS!$G13343="EX",1,IF(DATOS!$G13343="OR",--(COUNTIFS(nNIA,DATOS!$A13343,nCURSO,DATOS!$D13343,nESPEC,DATOS!$E13343,nASIG,DATOS!$I13343,nEVAL,"EX")=0),0))))</f>
      </c>
      <c r="H13343">
        <f>IF(DATOS!$G13343&lt;&gt;"EX",0,--(COUNTIFS(nNIA,DATOS!$A13343,nCURSO,DATOS!$D13343,nESPEC,DATOS!$E13343,nASIG,DATOS!$I13343,nEVAL,"OR")=0))</f>
      </c>
      <c r="I13343">
        <f>IF(DATOS!$I13343="","",IFERROR(VLOOKUP(DATOS!$I13343,CONFIG_ASIGNATURAS!$B$2:$J$91,9,FALSE()),""))</f>
      </c>
    </row>
    <row r="13344">
      <c r="F13344">
        <f>IF(DATOS!$A13344="","",DATOS!$A13344&amp;"|"&amp;DATOS!$D13344&amp;"|"&amp;DATOS!$E13344&amp;"|"&amp;DATOS!$I13344)</f>
      </c>
      <c r="G13344">
        <f>IF(DATOS!$A13344="",0,IF(CONFIG_METADATA!$B$4&lt;&gt;"OR+EX",--(DATOS!$G13344=CONFIG_METADATA!$B$4),IF(DATOS!$G13344="EX",1,IF(DATOS!$G13344="OR",--(COUNTIFS(nNIA,DATOS!$A13344,nCURSO,DATOS!$D13344,nESPEC,DATOS!$E13344,nASIG,DATOS!$I13344,nEVAL,"EX")=0),0))))</f>
      </c>
      <c r="H13344">
        <f>IF(DATOS!$G13344&lt;&gt;"EX",0,--(COUNTIFS(nNIA,DATOS!$A13344,nCURSO,DATOS!$D13344,nESPEC,DATOS!$E13344,nASIG,DATOS!$I13344,nEVAL,"OR")=0))</f>
      </c>
      <c r="I13344">
        <f>IF(DATOS!$I13344="","",IFERROR(VLOOKUP(DATOS!$I13344,CONFIG_ASIGNATURAS!$B$2:$J$91,9,FALSE()),""))</f>
      </c>
    </row>
    <row r="13345">
      <c r="F13345">
        <f>IF(DATOS!$A13345="","",DATOS!$A13345&amp;"|"&amp;DATOS!$D13345&amp;"|"&amp;DATOS!$E13345&amp;"|"&amp;DATOS!$I13345)</f>
      </c>
      <c r="G13345">
        <f>IF(DATOS!$A13345="",0,IF(CONFIG_METADATA!$B$4&lt;&gt;"OR+EX",--(DATOS!$G13345=CONFIG_METADATA!$B$4),IF(DATOS!$G13345="EX",1,IF(DATOS!$G13345="OR",--(COUNTIFS(nNIA,DATOS!$A13345,nCURSO,DATOS!$D13345,nESPEC,DATOS!$E13345,nASIG,DATOS!$I13345,nEVAL,"EX")=0),0))))</f>
      </c>
      <c r="H13345">
        <f>IF(DATOS!$G13345&lt;&gt;"EX",0,--(COUNTIFS(nNIA,DATOS!$A13345,nCURSO,DATOS!$D13345,nESPEC,DATOS!$E13345,nASIG,DATOS!$I13345,nEVAL,"OR")=0))</f>
      </c>
      <c r="I13345">
        <f>IF(DATOS!$I13345="","",IFERROR(VLOOKUP(DATOS!$I13345,CONFIG_ASIGNATURAS!$B$2:$J$91,9,FALSE()),""))</f>
      </c>
    </row>
    <row r="13346">
      <c r="F13346">
        <f>IF(DATOS!$A13346="","",DATOS!$A13346&amp;"|"&amp;DATOS!$D13346&amp;"|"&amp;DATOS!$E13346&amp;"|"&amp;DATOS!$I13346)</f>
      </c>
      <c r="G13346">
        <f>IF(DATOS!$A13346="",0,IF(CONFIG_METADATA!$B$4&lt;&gt;"OR+EX",--(DATOS!$G13346=CONFIG_METADATA!$B$4),IF(DATOS!$G13346="EX",1,IF(DATOS!$G13346="OR",--(COUNTIFS(nNIA,DATOS!$A13346,nCURSO,DATOS!$D13346,nESPEC,DATOS!$E13346,nASIG,DATOS!$I13346,nEVAL,"EX")=0),0))))</f>
      </c>
      <c r="H13346">
        <f>IF(DATOS!$G13346&lt;&gt;"EX",0,--(COUNTIFS(nNIA,DATOS!$A13346,nCURSO,DATOS!$D13346,nESPEC,DATOS!$E13346,nASIG,DATOS!$I13346,nEVAL,"OR")=0))</f>
      </c>
      <c r="I13346">
        <f>IF(DATOS!$I13346="","",IFERROR(VLOOKUP(DATOS!$I13346,CONFIG_ASIGNATURAS!$B$2:$J$91,9,FALSE()),""))</f>
      </c>
    </row>
    <row r="13347">
      <c r="F13347">
        <f>IF(DATOS!$A13347="","",DATOS!$A13347&amp;"|"&amp;DATOS!$D13347&amp;"|"&amp;DATOS!$E13347&amp;"|"&amp;DATOS!$I13347)</f>
      </c>
      <c r="G13347">
        <f>IF(DATOS!$A13347="",0,IF(CONFIG_METADATA!$B$4&lt;&gt;"OR+EX",--(DATOS!$G13347=CONFIG_METADATA!$B$4),IF(DATOS!$G13347="EX",1,IF(DATOS!$G13347="OR",--(COUNTIFS(nNIA,DATOS!$A13347,nCURSO,DATOS!$D13347,nESPEC,DATOS!$E13347,nASIG,DATOS!$I13347,nEVAL,"EX")=0),0))))</f>
      </c>
      <c r="H13347">
        <f>IF(DATOS!$G13347&lt;&gt;"EX",0,--(COUNTIFS(nNIA,DATOS!$A13347,nCURSO,DATOS!$D13347,nESPEC,DATOS!$E13347,nASIG,DATOS!$I13347,nEVAL,"OR")=0))</f>
      </c>
      <c r="I13347">
        <f>IF(DATOS!$I13347="","",IFERROR(VLOOKUP(DATOS!$I13347,CONFIG_ASIGNATURAS!$B$2:$J$91,9,FALSE()),""))</f>
      </c>
    </row>
    <row r="13348">
      <c r="F13348">
        <f>IF(DATOS!$A13348="","",DATOS!$A13348&amp;"|"&amp;DATOS!$D13348&amp;"|"&amp;DATOS!$E13348&amp;"|"&amp;DATOS!$I13348)</f>
      </c>
      <c r="G13348">
        <f>IF(DATOS!$A13348="",0,IF(CONFIG_METADATA!$B$4&lt;&gt;"OR+EX",--(DATOS!$G13348=CONFIG_METADATA!$B$4),IF(DATOS!$G13348="EX",1,IF(DATOS!$G13348="OR",--(COUNTIFS(nNIA,DATOS!$A13348,nCURSO,DATOS!$D13348,nESPEC,DATOS!$E13348,nASIG,DATOS!$I13348,nEVAL,"EX")=0),0))))</f>
      </c>
      <c r="H13348">
        <f>IF(DATOS!$G13348&lt;&gt;"EX",0,--(COUNTIFS(nNIA,DATOS!$A13348,nCURSO,DATOS!$D13348,nESPEC,DATOS!$E13348,nASIG,DATOS!$I13348,nEVAL,"OR")=0))</f>
      </c>
      <c r="I13348">
        <f>IF(DATOS!$I13348="","",IFERROR(VLOOKUP(DATOS!$I13348,CONFIG_ASIGNATURAS!$B$2:$J$91,9,FALSE()),""))</f>
      </c>
    </row>
    <row r="13349">
      <c r="F13349">
        <f>IF(DATOS!$A13349="","",DATOS!$A13349&amp;"|"&amp;DATOS!$D13349&amp;"|"&amp;DATOS!$E13349&amp;"|"&amp;DATOS!$I13349)</f>
      </c>
      <c r="G13349">
        <f>IF(DATOS!$A13349="",0,IF(CONFIG_METADATA!$B$4&lt;&gt;"OR+EX",--(DATOS!$G13349=CONFIG_METADATA!$B$4),IF(DATOS!$G13349="EX",1,IF(DATOS!$G13349="OR",--(COUNTIFS(nNIA,DATOS!$A13349,nCURSO,DATOS!$D13349,nESPEC,DATOS!$E13349,nASIG,DATOS!$I13349,nEVAL,"EX")=0),0))))</f>
      </c>
      <c r="H13349">
        <f>IF(DATOS!$G13349&lt;&gt;"EX",0,--(COUNTIFS(nNIA,DATOS!$A13349,nCURSO,DATOS!$D13349,nESPEC,DATOS!$E13349,nASIG,DATOS!$I13349,nEVAL,"OR")=0))</f>
      </c>
      <c r="I13349">
        <f>IF(DATOS!$I13349="","",IFERROR(VLOOKUP(DATOS!$I13349,CONFIG_ASIGNATURAS!$B$2:$J$91,9,FALSE()),""))</f>
      </c>
    </row>
    <row r="13350">
      <c r="F13350">
        <f>IF(DATOS!$A13350="","",DATOS!$A13350&amp;"|"&amp;DATOS!$D13350&amp;"|"&amp;DATOS!$E13350&amp;"|"&amp;DATOS!$I13350)</f>
      </c>
      <c r="G13350">
        <f>IF(DATOS!$A13350="",0,IF(CONFIG_METADATA!$B$4&lt;&gt;"OR+EX",--(DATOS!$G13350=CONFIG_METADATA!$B$4),IF(DATOS!$G13350="EX",1,IF(DATOS!$G13350="OR",--(COUNTIFS(nNIA,DATOS!$A13350,nCURSO,DATOS!$D13350,nESPEC,DATOS!$E13350,nASIG,DATOS!$I13350,nEVAL,"EX")=0),0))))</f>
      </c>
      <c r="H13350">
        <f>IF(DATOS!$G13350&lt;&gt;"EX",0,--(COUNTIFS(nNIA,DATOS!$A13350,nCURSO,DATOS!$D13350,nESPEC,DATOS!$E13350,nASIG,DATOS!$I13350,nEVAL,"OR")=0))</f>
      </c>
      <c r="I13350">
        <f>IF(DATOS!$I13350="","",IFERROR(VLOOKUP(DATOS!$I13350,CONFIG_ASIGNATURAS!$B$2:$J$91,9,FALSE()),""))</f>
      </c>
    </row>
    <row r="13351">
      <c r="F13351">
        <f>IF(DATOS!$A13351="","",DATOS!$A13351&amp;"|"&amp;DATOS!$D13351&amp;"|"&amp;DATOS!$E13351&amp;"|"&amp;DATOS!$I13351)</f>
      </c>
      <c r="G13351">
        <f>IF(DATOS!$A13351="",0,IF(CONFIG_METADATA!$B$4&lt;&gt;"OR+EX",--(DATOS!$G13351=CONFIG_METADATA!$B$4),IF(DATOS!$G13351="EX",1,IF(DATOS!$G13351="OR",--(COUNTIFS(nNIA,DATOS!$A13351,nCURSO,DATOS!$D13351,nESPEC,DATOS!$E13351,nASIG,DATOS!$I13351,nEVAL,"EX")=0),0))))</f>
      </c>
      <c r="H13351">
        <f>IF(DATOS!$G13351&lt;&gt;"EX",0,--(COUNTIFS(nNIA,DATOS!$A13351,nCURSO,DATOS!$D13351,nESPEC,DATOS!$E13351,nASIG,DATOS!$I13351,nEVAL,"OR")=0))</f>
      </c>
      <c r="I13351">
        <f>IF(DATOS!$I13351="","",IFERROR(VLOOKUP(DATOS!$I13351,CONFIG_ASIGNATURAS!$B$2:$J$91,9,FALSE()),""))</f>
      </c>
    </row>
    <row r="13352">
      <c r="F13352">
        <f>IF(DATOS!$A13352="","",DATOS!$A13352&amp;"|"&amp;DATOS!$D13352&amp;"|"&amp;DATOS!$E13352&amp;"|"&amp;DATOS!$I13352)</f>
      </c>
      <c r="G13352">
        <f>IF(DATOS!$A13352="",0,IF(CONFIG_METADATA!$B$4&lt;&gt;"OR+EX",--(DATOS!$G13352=CONFIG_METADATA!$B$4),IF(DATOS!$G13352="EX",1,IF(DATOS!$G13352="OR",--(COUNTIFS(nNIA,DATOS!$A13352,nCURSO,DATOS!$D13352,nESPEC,DATOS!$E13352,nASIG,DATOS!$I13352,nEVAL,"EX")=0),0))))</f>
      </c>
      <c r="H13352">
        <f>IF(DATOS!$G13352&lt;&gt;"EX",0,--(COUNTIFS(nNIA,DATOS!$A13352,nCURSO,DATOS!$D13352,nESPEC,DATOS!$E13352,nASIG,DATOS!$I13352,nEVAL,"OR")=0))</f>
      </c>
      <c r="I13352">
        <f>IF(DATOS!$I13352="","",IFERROR(VLOOKUP(DATOS!$I13352,CONFIG_ASIGNATURAS!$B$2:$J$91,9,FALSE()),""))</f>
      </c>
    </row>
    <row r="13353">
      <c r="F13353">
        <f>IF(DATOS!$A13353="","",DATOS!$A13353&amp;"|"&amp;DATOS!$D13353&amp;"|"&amp;DATOS!$E13353&amp;"|"&amp;DATOS!$I13353)</f>
      </c>
      <c r="G13353">
        <f>IF(DATOS!$A13353="",0,IF(CONFIG_METADATA!$B$4&lt;&gt;"OR+EX",--(DATOS!$G13353=CONFIG_METADATA!$B$4),IF(DATOS!$G13353="EX",1,IF(DATOS!$G13353="OR",--(COUNTIFS(nNIA,DATOS!$A13353,nCURSO,DATOS!$D13353,nESPEC,DATOS!$E13353,nASIG,DATOS!$I13353,nEVAL,"EX")=0),0))))</f>
      </c>
      <c r="H13353">
        <f>IF(DATOS!$G13353&lt;&gt;"EX",0,--(COUNTIFS(nNIA,DATOS!$A13353,nCURSO,DATOS!$D13353,nESPEC,DATOS!$E13353,nASIG,DATOS!$I13353,nEVAL,"OR")=0))</f>
      </c>
      <c r="I13353">
        <f>IF(DATOS!$I13353="","",IFERROR(VLOOKUP(DATOS!$I13353,CONFIG_ASIGNATURAS!$B$2:$J$91,9,FALSE()),""))</f>
      </c>
    </row>
    <row r="13354">
      <c r="F13354">
        <f>IF(DATOS!$A13354="","",DATOS!$A13354&amp;"|"&amp;DATOS!$D13354&amp;"|"&amp;DATOS!$E13354&amp;"|"&amp;DATOS!$I13354)</f>
      </c>
      <c r="G13354">
        <f>IF(DATOS!$A13354="",0,IF(CONFIG_METADATA!$B$4&lt;&gt;"OR+EX",--(DATOS!$G13354=CONFIG_METADATA!$B$4),IF(DATOS!$G13354="EX",1,IF(DATOS!$G13354="OR",--(COUNTIFS(nNIA,DATOS!$A13354,nCURSO,DATOS!$D13354,nESPEC,DATOS!$E13354,nASIG,DATOS!$I13354,nEVAL,"EX")=0),0))))</f>
      </c>
      <c r="H13354">
        <f>IF(DATOS!$G13354&lt;&gt;"EX",0,--(COUNTIFS(nNIA,DATOS!$A13354,nCURSO,DATOS!$D13354,nESPEC,DATOS!$E13354,nASIG,DATOS!$I13354,nEVAL,"OR")=0))</f>
      </c>
      <c r="I13354">
        <f>IF(DATOS!$I13354="","",IFERROR(VLOOKUP(DATOS!$I13354,CONFIG_ASIGNATURAS!$B$2:$J$91,9,FALSE()),""))</f>
      </c>
    </row>
    <row r="13355">
      <c r="F13355">
        <f>IF(DATOS!$A13355="","",DATOS!$A13355&amp;"|"&amp;DATOS!$D13355&amp;"|"&amp;DATOS!$E13355&amp;"|"&amp;DATOS!$I13355)</f>
      </c>
      <c r="G13355">
        <f>IF(DATOS!$A13355="",0,IF(CONFIG_METADATA!$B$4&lt;&gt;"OR+EX",--(DATOS!$G13355=CONFIG_METADATA!$B$4),IF(DATOS!$G13355="EX",1,IF(DATOS!$G13355="OR",--(COUNTIFS(nNIA,DATOS!$A13355,nCURSO,DATOS!$D13355,nESPEC,DATOS!$E13355,nASIG,DATOS!$I13355,nEVAL,"EX")=0),0))))</f>
      </c>
      <c r="H13355">
        <f>IF(DATOS!$G13355&lt;&gt;"EX",0,--(COUNTIFS(nNIA,DATOS!$A13355,nCURSO,DATOS!$D13355,nESPEC,DATOS!$E13355,nASIG,DATOS!$I13355,nEVAL,"OR")=0))</f>
      </c>
      <c r="I13355">
        <f>IF(DATOS!$I13355="","",IFERROR(VLOOKUP(DATOS!$I13355,CONFIG_ASIGNATURAS!$B$2:$J$91,9,FALSE()),""))</f>
      </c>
    </row>
    <row r="13356">
      <c r="F13356">
        <f>IF(DATOS!$A13356="","",DATOS!$A13356&amp;"|"&amp;DATOS!$D13356&amp;"|"&amp;DATOS!$E13356&amp;"|"&amp;DATOS!$I13356)</f>
      </c>
      <c r="G13356">
        <f>IF(DATOS!$A13356="",0,IF(CONFIG_METADATA!$B$4&lt;&gt;"OR+EX",--(DATOS!$G13356=CONFIG_METADATA!$B$4),IF(DATOS!$G13356="EX",1,IF(DATOS!$G13356="OR",--(COUNTIFS(nNIA,DATOS!$A13356,nCURSO,DATOS!$D13356,nESPEC,DATOS!$E13356,nASIG,DATOS!$I13356,nEVAL,"EX")=0),0))))</f>
      </c>
      <c r="H13356">
        <f>IF(DATOS!$G13356&lt;&gt;"EX",0,--(COUNTIFS(nNIA,DATOS!$A13356,nCURSO,DATOS!$D13356,nESPEC,DATOS!$E13356,nASIG,DATOS!$I13356,nEVAL,"OR")=0))</f>
      </c>
      <c r="I13356">
        <f>IF(DATOS!$I13356="","",IFERROR(VLOOKUP(DATOS!$I13356,CONFIG_ASIGNATURAS!$B$2:$J$91,9,FALSE()),""))</f>
      </c>
    </row>
    <row r="13357">
      <c r="F13357">
        <f>IF(DATOS!$A13357="","",DATOS!$A13357&amp;"|"&amp;DATOS!$D13357&amp;"|"&amp;DATOS!$E13357&amp;"|"&amp;DATOS!$I13357)</f>
      </c>
      <c r="G13357">
        <f>IF(DATOS!$A13357="",0,IF(CONFIG_METADATA!$B$4&lt;&gt;"OR+EX",--(DATOS!$G13357=CONFIG_METADATA!$B$4),IF(DATOS!$G13357="EX",1,IF(DATOS!$G13357="OR",--(COUNTIFS(nNIA,DATOS!$A13357,nCURSO,DATOS!$D13357,nESPEC,DATOS!$E13357,nASIG,DATOS!$I13357,nEVAL,"EX")=0),0))))</f>
      </c>
      <c r="H13357">
        <f>IF(DATOS!$G13357&lt;&gt;"EX",0,--(COUNTIFS(nNIA,DATOS!$A13357,nCURSO,DATOS!$D13357,nESPEC,DATOS!$E13357,nASIG,DATOS!$I13357,nEVAL,"OR")=0))</f>
      </c>
      <c r="I13357">
        <f>IF(DATOS!$I13357="","",IFERROR(VLOOKUP(DATOS!$I13357,CONFIG_ASIGNATURAS!$B$2:$J$91,9,FALSE()),""))</f>
      </c>
    </row>
    <row r="13358">
      <c r="F13358">
        <f>IF(DATOS!$A13358="","",DATOS!$A13358&amp;"|"&amp;DATOS!$D13358&amp;"|"&amp;DATOS!$E13358&amp;"|"&amp;DATOS!$I13358)</f>
      </c>
      <c r="G13358">
        <f>IF(DATOS!$A13358="",0,IF(CONFIG_METADATA!$B$4&lt;&gt;"OR+EX",--(DATOS!$G13358=CONFIG_METADATA!$B$4),IF(DATOS!$G13358="EX",1,IF(DATOS!$G13358="OR",--(COUNTIFS(nNIA,DATOS!$A13358,nCURSO,DATOS!$D13358,nESPEC,DATOS!$E13358,nASIG,DATOS!$I13358,nEVAL,"EX")=0),0))))</f>
      </c>
      <c r="H13358">
        <f>IF(DATOS!$G13358&lt;&gt;"EX",0,--(COUNTIFS(nNIA,DATOS!$A13358,nCURSO,DATOS!$D13358,nESPEC,DATOS!$E13358,nASIG,DATOS!$I13358,nEVAL,"OR")=0))</f>
      </c>
      <c r="I13358">
        <f>IF(DATOS!$I13358="","",IFERROR(VLOOKUP(DATOS!$I13358,CONFIG_ASIGNATURAS!$B$2:$J$91,9,FALSE()),""))</f>
      </c>
    </row>
    <row r="13359">
      <c r="F13359">
        <f>IF(DATOS!$A13359="","",DATOS!$A13359&amp;"|"&amp;DATOS!$D13359&amp;"|"&amp;DATOS!$E13359&amp;"|"&amp;DATOS!$I13359)</f>
      </c>
      <c r="G13359">
        <f>IF(DATOS!$A13359="",0,IF(CONFIG_METADATA!$B$4&lt;&gt;"OR+EX",--(DATOS!$G13359=CONFIG_METADATA!$B$4),IF(DATOS!$G13359="EX",1,IF(DATOS!$G13359="OR",--(COUNTIFS(nNIA,DATOS!$A13359,nCURSO,DATOS!$D13359,nESPEC,DATOS!$E13359,nASIG,DATOS!$I13359,nEVAL,"EX")=0),0))))</f>
      </c>
      <c r="H13359">
        <f>IF(DATOS!$G13359&lt;&gt;"EX",0,--(COUNTIFS(nNIA,DATOS!$A13359,nCURSO,DATOS!$D13359,nESPEC,DATOS!$E13359,nASIG,DATOS!$I13359,nEVAL,"OR")=0))</f>
      </c>
      <c r="I13359">
        <f>IF(DATOS!$I13359="","",IFERROR(VLOOKUP(DATOS!$I13359,CONFIG_ASIGNATURAS!$B$2:$J$91,9,FALSE()),""))</f>
      </c>
    </row>
    <row r="13360">
      <c r="F13360">
        <f>IF(DATOS!$A13360="","",DATOS!$A13360&amp;"|"&amp;DATOS!$D13360&amp;"|"&amp;DATOS!$E13360&amp;"|"&amp;DATOS!$I13360)</f>
      </c>
      <c r="G13360">
        <f>IF(DATOS!$A13360="",0,IF(CONFIG_METADATA!$B$4&lt;&gt;"OR+EX",--(DATOS!$G13360=CONFIG_METADATA!$B$4),IF(DATOS!$G13360="EX",1,IF(DATOS!$G13360="OR",--(COUNTIFS(nNIA,DATOS!$A13360,nCURSO,DATOS!$D13360,nESPEC,DATOS!$E13360,nASIG,DATOS!$I13360,nEVAL,"EX")=0),0))))</f>
      </c>
      <c r="H13360">
        <f>IF(DATOS!$G13360&lt;&gt;"EX",0,--(COUNTIFS(nNIA,DATOS!$A13360,nCURSO,DATOS!$D13360,nESPEC,DATOS!$E13360,nASIG,DATOS!$I13360,nEVAL,"OR")=0))</f>
      </c>
      <c r="I13360">
        <f>IF(DATOS!$I13360="","",IFERROR(VLOOKUP(DATOS!$I13360,CONFIG_ASIGNATURAS!$B$2:$J$91,9,FALSE()),""))</f>
      </c>
    </row>
    <row r="13361">
      <c r="F13361">
        <f>IF(DATOS!$A13361="","",DATOS!$A13361&amp;"|"&amp;DATOS!$D13361&amp;"|"&amp;DATOS!$E13361&amp;"|"&amp;DATOS!$I13361)</f>
      </c>
      <c r="G13361">
        <f>IF(DATOS!$A13361="",0,IF(CONFIG_METADATA!$B$4&lt;&gt;"OR+EX",--(DATOS!$G13361=CONFIG_METADATA!$B$4),IF(DATOS!$G13361="EX",1,IF(DATOS!$G13361="OR",--(COUNTIFS(nNIA,DATOS!$A13361,nCURSO,DATOS!$D13361,nESPEC,DATOS!$E13361,nASIG,DATOS!$I13361,nEVAL,"EX")=0),0))))</f>
      </c>
      <c r="H13361">
        <f>IF(DATOS!$G13361&lt;&gt;"EX",0,--(COUNTIFS(nNIA,DATOS!$A13361,nCURSO,DATOS!$D13361,nESPEC,DATOS!$E13361,nASIG,DATOS!$I13361,nEVAL,"OR")=0))</f>
      </c>
      <c r="I13361">
        <f>IF(DATOS!$I13361="","",IFERROR(VLOOKUP(DATOS!$I13361,CONFIG_ASIGNATURAS!$B$2:$J$91,9,FALSE()),""))</f>
      </c>
    </row>
    <row r="13362">
      <c r="F13362">
        <f>IF(DATOS!$A13362="","",DATOS!$A13362&amp;"|"&amp;DATOS!$D13362&amp;"|"&amp;DATOS!$E13362&amp;"|"&amp;DATOS!$I13362)</f>
      </c>
      <c r="G13362">
        <f>IF(DATOS!$A13362="",0,IF(CONFIG_METADATA!$B$4&lt;&gt;"OR+EX",--(DATOS!$G13362=CONFIG_METADATA!$B$4),IF(DATOS!$G13362="EX",1,IF(DATOS!$G13362="OR",--(COUNTIFS(nNIA,DATOS!$A13362,nCURSO,DATOS!$D13362,nESPEC,DATOS!$E13362,nASIG,DATOS!$I13362,nEVAL,"EX")=0),0))))</f>
      </c>
      <c r="H13362">
        <f>IF(DATOS!$G13362&lt;&gt;"EX",0,--(COUNTIFS(nNIA,DATOS!$A13362,nCURSO,DATOS!$D13362,nESPEC,DATOS!$E13362,nASIG,DATOS!$I13362,nEVAL,"OR")=0))</f>
      </c>
      <c r="I13362">
        <f>IF(DATOS!$I13362="","",IFERROR(VLOOKUP(DATOS!$I13362,CONFIG_ASIGNATURAS!$B$2:$J$91,9,FALSE()),""))</f>
      </c>
    </row>
    <row r="13363">
      <c r="F13363">
        <f>IF(DATOS!$A13363="","",DATOS!$A13363&amp;"|"&amp;DATOS!$D13363&amp;"|"&amp;DATOS!$E13363&amp;"|"&amp;DATOS!$I13363)</f>
      </c>
      <c r="G13363">
        <f>IF(DATOS!$A13363="",0,IF(CONFIG_METADATA!$B$4&lt;&gt;"OR+EX",--(DATOS!$G13363=CONFIG_METADATA!$B$4),IF(DATOS!$G13363="EX",1,IF(DATOS!$G13363="OR",--(COUNTIFS(nNIA,DATOS!$A13363,nCURSO,DATOS!$D13363,nESPEC,DATOS!$E13363,nASIG,DATOS!$I13363,nEVAL,"EX")=0),0))))</f>
      </c>
      <c r="H13363">
        <f>IF(DATOS!$G13363&lt;&gt;"EX",0,--(COUNTIFS(nNIA,DATOS!$A13363,nCURSO,DATOS!$D13363,nESPEC,DATOS!$E13363,nASIG,DATOS!$I13363,nEVAL,"OR")=0))</f>
      </c>
      <c r="I13363">
        <f>IF(DATOS!$I13363="","",IFERROR(VLOOKUP(DATOS!$I13363,CONFIG_ASIGNATURAS!$B$2:$J$91,9,FALSE()),""))</f>
      </c>
    </row>
    <row r="13364">
      <c r="F13364">
        <f>IF(DATOS!$A13364="","",DATOS!$A13364&amp;"|"&amp;DATOS!$D13364&amp;"|"&amp;DATOS!$E13364&amp;"|"&amp;DATOS!$I13364)</f>
      </c>
      <c r="G13364">
        <f>IF(DATOS!$A13364="",0,IF(CONFIG_METADATA!$B$4&lt;&gt;"OR+EX",--(DATOS!$G13364=CONFIG_METADATA!$B$4),IF(DATOS!$G13364="EX",1,IF(DATOS!$G13364="OR",--(COUNTIFS(nNIA,DATOS!$A13364,nCURSO,DATOS!$D13364,nESPEC,DATOS!$E13364,nASIG,DATOS!$I13364,nEVAL,"EX")=0),0))))</f>
      </c>
      <c r="H13364">
        <f>IF(DATOS!$G13364&lt;&gt;"EX",0,--(COUNTIFS(nNIA,DATOS!$A13364,nCURSO,DATOS!$D13364,nESPEC,DATOS!$E13364,nASIG,DATOS!$I13364,nEVAL,"OR")=0))</f>
      </c>
      <c r="I13364">
        <f>IF(DATOS!$I13364="","",IFERROR(VLOOKUP(DATOS!$I13364,CONFIG_ASIGNATURAS!$B$2:$J$91,9,FALSE()),""))</f>
      </c>
    </row>
    <row r="13365">
      <c r="F13365">
        <f>IF(DATOS!$A13365="","",DATOS!$A13365&amp;"|"&amp;DATOS!$D13365&amp;"|"&amp;DATOS!$E13365&amp;"|"&amp;DATOS!$I13365)</f>
      </c>
      <c r="G13365">
        <f>IF(DATOS!$A13365="",0,IF(CONFIG_METADATA!$B$4&lt;&gt;"OR+EX",--(DATOS!$G13365=CONFIG_METADATA!$B$4),IF(DATOS!$G13365="EX",1,IF(DATOS!$G13365="OR",--(COUNTIFS(nNIA,DATOS!$A13365,nCURSO,DATOS!$D13365,nESPEC,DATOS!$E13365,nASIG,DATOS!$I13365,nEVAL,"EX")=0),0))))</f>
      </c>
      <c r="H13365">
        <f>IF(DATOS!$G13365&lt;&gt;"EX",0,--(COUNTIFS(nNIA,DATOS!$A13365,nCURSO,DATOS!$D13365,nESPEC,DATOS!$E13365,nASIG,DATOS!$I13365,nEVAL,"OR")=0))</f>
      </c>
      <c r="I13365">
        <f>IF(DATOS!$I13365="","",IFERROR(VLOOKUP(DATOS!$I13365,CONFIG_ASIGNATURAS!$B$2:$J$91,9,FALSE()),""))</f>
      </c>
    </row>
    <row r="13366">
      <c r="F13366">
        <f>IF(DATOS!$A13366="","",DATOS!$A13366&amp;"|"&amp;DATOS!$D13366&amp;"|"&amp;DATOS!$E13366&amp;"|"&amp;DATOS!$I13366)</f>
      </c>
      <c r="G13366">
        <f>IF(DATOS!$A13366="",0,IF(CONFIG_METADATA!$B$4&lt;&gt;"OR+EX",--(DATOS!$G13366=CONFIG_METADATA!$B$4),IF(DATOS!$G13366="EX",1,IF(DATOS!$G13366="OR",--(COUNTIFS(nNIA,DATOS!$A13366,nCURSO,DATOS!$D13366,nESPEC,DATOS!$E13366,nASIG,DATOS!$I13366,nEVAL,"EX")=0),0))))</f>
      </c>
      <c r="H13366">
        <f>IF(DATOS!$G13366&lt;&gt;"EX",0,--(COUNTIFS(nNIA,DATOS!$A13366,nCURSO,DATOS!$D13366,nESPEC,DATOS!$E13366,nASIG,DATOS!$I13366,nEVAL,"OR")=0))</f>
      </c>
      <c r="I13366">
        <f>IF(DATOS!$I13366="","",IFERROR(VLOOKUP(DATOS!$I13366,CONFIG_ASIGNATURAS!$B$2:$J$91,9,FALSE()),""))</f>
      </c>
    </row>
    <row r="13367">
      <c r="F13367">
        <f>IF(DATOS!$A13367="","",DATOS!$A13367&amp;"|"&amp;DATOS!$D13367&amp;"|"&amp;DATOS!$E13367&amp;"|"&amp;DATOS!$I13367)</f>
      </c>
      <c r="G13367">
        <f>IF(DATOS!$A13367="",0,IF(CONFIG_METADATA!$B$4&lt;&gt;"OR+EX",--(DATOS!$G13367=CONFIG_METADATA!$B$4),IF(DATOS!$G13367="EX",1,IF(DATOS!$G13367="OR",--(COUNTIFS(nNIA,DATOS!$A13367,nCURSO,DATOS!$D13367,nESPEC,DATOS!$E13367,nASIG,DATOS!$I13367,nEVAL,"EX")=0),0))))</f>
      </c>
      <c r="H13367">
        <f>IF(DATOS!$G13367&lt;&gt;"EX",0,--(COUNTIFS(nNIA,DATOS!$A13367,nCURSO,DATOS!$D13367,nESPEC,DATOS!$E13367,nASIG,DATOS!$I13367,nEVAL,"OR")=0))</f>
      </c>
      <c r="I13367">
        <f>IF(DATOS!$I13367="","",IFERROR(VLOOKUP(DATOS!$I13367,CONFIG_ASIGNATURAS!$B$2:$J$91,9,FALSE()),""))</f>
      </c>
    </row>
    <row r="13368">
      <c r="F13368">
        <f>IF(DATOS!$A13368="","",DATOS!$A13368&amp;"|"&amp;DATOS!$D13368&amp;"|"&amp;DATOS!$E13368&amp;"|"&amp;DATOS!$I13368)</f>
      </c>
      <c r="G13368">
        <f>IF(DATOS!$A13368="",0,IF(CONFIG_METADATA!$B$4&lt;&gt;"OR+EX",--(DATOS!$G13368=CONFIG_METADATA!$B$4),IF(DATOS!$G13368="EX",1,IF(DATOS!$G13368="OR",--(COUNTIFS(nNIA,DATOS!$A13368,nCURSO,DATOS!$D13368,nESPEC,DATOS!$E13368,nASIG,DATOS!$I13368,nEVAL,"EX")=0),0))))</f>
      </c>
      <c r="H13368">
        <f>IF(DATOS!$G13368&lt;&gt;"EX",0,--(COUNTIFS(nNIA,DATOS!$A13368,nCURSO,DATOS!$D13368,nESPEC,DATOS!$E13368,nASIG,DATOS!$I13368,nEVAL,"OR")=0))</f>
      </c>
      <c r="I13368">
        <f>IF(DATOS!$I13368="","",IFERROR(VLOOKUP(DATOS!$I13368,CONFIG_ASIGNATURAS!$B$2:$J$91,9,FALSE()),""))</f>
      </c>
    </row>
    <row r="13369">
      <c r="F13369">
        <f>IF(DATOS!$A13369="","",DATOS!$A13369&amp;"|"&amp;DATOS!$D13369&amp;"|"&amp;DATOS!$E13369&amp;"|"&amp;DATOS!$I13369)</f>
      </c>
      <c r="G13369">
        <f>IF(DATOS!$A13369="",0,IF(CONFIG_METADATA!$B$4&lt;&gt;"OR+EX",--(DATOS!$G13369=CONFIG_METADATA!$B$4),IF(DATOS!$G13369="EX",1,IF(DATOS!$G13369="OR",--(COUNTIFS(nNIA,DATOS!$A13369,nCURSO,DATOS!$D13369,nESPEC,DATOS!$E13369,nASIG,DATOS!$I13369,nEVAL,"EX")=0),0))))</f>
      </c>
      <c r="H13369">
        <f>IF(DATOS!$G13369&lt;&gt;"EX",0,--(COUNTIFS(nNIA,DATOS!$A13369,nCURSO,DATOS!$D13369,nESPEC,DATOS!$E13369,nASIG,DATOS!$I13369,nEVAL,"OR")=0))</f>
      </c>
      <c r="I13369">
        <f>IF(DATOS!$I13369="","",IFERROR(VLOOKUP(DATOS!$I13369,CONFIG_ASIGNATURAS!$B$2:$J$91,9,FALSE()),""))</f>
      </c>
    </row>
    <row r="13370">
      <c r="F13370">
        <f>IF(DATOS!$A13370="","",DATOS!$A13370&amp;"|"&amp;DATOS!$D13370&amp;"|"&amp;DATOS!$E13370&amp;"|"&amp;DATOS!$I13370)</f>
      </c>
      <c r="G13370">
        <f>IF(DATOS!$A13370="",0,IF(CONFIG_METADATA!$B$4&lt;&gt;"OR+EX",--(DATOS!$G13370=CONFIG_METADATA!$B$4),IF(DATOS!$G13370="EX",1,IF(DATOS!$G13370="OR",--(COUNTIFS(nNIA,DATOS!$A13370,nCURSO,DATOS!$D13370,nESPEC,DATOS!$E13370,nASIG,DATOS!$I13370,nEVAL,"EX")=0),0))))</f>
      </c>
      <c r="H13370">
        <f>IF(DATOS!$G13370&lt;&gt;"EX",0,--(COUNTIFS(nNIA,DATOS!$A13370,nCURSO,DATOS!$D13370,nESPEC,DATOS!$E13370,nASIG,DATOS!$I13370,nEVAL,"OR")=0))</f>
      </c>
      <c r="I13370">
        <f>IF(DATOS!$I13370="","",IFERROR(VLOOKUP(DATOS!$I13370,CONFIG_ASIGNATURAS!$B$2:$J$91,9,FALSE()),""))</f>
      </c>
    </row>
    <row r="13371">
      <c r="F13371">
        <f>IF(DATOS!$A13371="","",DATOS!$A13371&amp;"|"&amp;DATOS!$D13371&amp;"|"&amp;DATOS!$E13371&amp;"|"&amp;DATOS!$I13371)</f>
      </c>
      <c r="G13371">
        <f>IF(DATOS!$A13371="",0,IF(CONFIG_METADATA!$B$4&lt;&gt;"OR+EX",--(DATOS!$G13371=CONFIG_METADATA!$B$4),IF(DATOS!$G13371="EX",1,IF(DATOS!$G13371="OR",--(COUNTIFS(nNIA,DATOS!$A13371,nCURSO,DATOS!$D13371,nESPEC,DATOS!$E13371,nASIG,DATOS!$I13371,nEVAL,"EX")=0),0))))</f>
      </c>
      <c r="H13371">
        <f>IF(DATOS!$G13371&lt;&gt;"EX",0,--(COUNTIFS(nNIA,DATOS!$A13371,nCURSO,DATOS!$D13371,nESPEC,DATOS!$E13371,nASIG,DATOS!$I13371,nEVAL,"OR")=0))</f>
      </c>
      <c r="I13371">
        <f>IF(DATOS!$I13371="","",IFERROR(VLOOKUP(DATOS!$I13371,CONFIG_ASIGNATURAS!$B$2:$J$91,9,FALSE()),""))</f>
      </c>
    </row>
    <row r="13372">
      <c r="F13372">
        <f>IF(DATOS!$A13372="","",DATOS!$A13372&amp;"|"&amp;DATOS!$D13372&amp;"|"&amp;DATOS!$E13372&amp;"|"&amp;DATOS!$I13372)</f>
      </c>
      <c r="G13372">
        <f>IF(DATOS!$A13372="",0,IF(CONFIG_METADATA!$B$4&lt;&gt;"OR+EX",--(DATOS!$G13372=CONFIG_METADATA!$B$4),IF(DATOS!$G13372="EX",1,IF(DATOS!$G13372="OR",--(COUNTIFS(nNIA,DATOS!$A13372,nCURSO,DATOS!$D13372,nESPEC,DATOS!$E13372,nASIG,DATOS!$I13372,nEVAL,"EX")=0),0))))</f>
      </c>
      <c r="H13372">
        <f>IF(DATOS!$G13372&lt;&gt;"EX",0,--(COUNTIFS(nNIA,DATOS!$A13372,nCURSO,DATOS!$D13372,nESPEC,DATOS!$E13372,nASIG,DATOS!$I13372,nEVAL,"OR")=0))</f>
      </c>
      <c r="I13372">
        <f>IF(DATOS!$I13372="","",IFERROR(VLOOKUP(DATOS!$I13372,CONFIG_ASIGNATURAS!$B$2:$J$91,9,FALSE()),""))</f>
      </c>
    </row>
    <row r="13373">
      <c r="F13373">
        <f>IF(DATOS!$A13373="","",DATOS!$A13373&amp;"|"&amp;DATOS!$D13373&amp;"|"&amp;DATOS!$E13373&amp;"|"&amp;DATOS!$I13373)</f>
      </c>
      <c r="G13373">
        <f>IF(DATOS!$A13373="",0,IF(CONFIG_METADATA!$B$4&lt;&gt;"OR+EX",--(DATOS!$G13373=CONFIG_METADATA!$B$4),IF(DATOS!$G13373="EX",1,IF(DATOS!$G13373="OR",--(COUNTIFS(nNIA,DATOS!$A13373,nCURSO,DATOS!$D13373,nESPEC,DATOS!$E13373,nASIG,DATOS!$I13373,nEVAL,"EX")=0),0))))</f>
      </c>
      <c r="H13373">
        <f>IF(DATOS!$G13373&lt;&gt;"EX",0,--(COUNTIFS(nNIA,DATOS!$A13373,nCURSO,DATOS!$D13373,nESPEC,DATOS!$E13373,nASIG,DATOS!$I13373,nEVAL,"OR")=0))</f>
      </c>
      <c r="I13373">
        <f>IF(DATOS!$I13373="","",IFERROR(VLOOKUP(DATOS!$I13373,CONFIG_ASIGNATURAS!$B$2:$J$91,9,FALSE()),""))</f>
      </c>
    </row>
    <row r="13374">
      <c r="F13374">
        <f>IF(DATOS!$A13374="","",DATOS!$A13374&amp;"|"&amp;DATOS!$D13374&amp;"|"&amp;DATOS!$E13374&amp;"|"&amp;DATOS!$I13374)</f>
      </c>
      <c r="G13374">
        <f>IF(DATOS!$A13374="",0,IF(CONFIG_METADATA!$B$4&lt;&gt;"OR+EX",--(DATOS!$G13374=CONFIG_METADATA!$B$4),IF(DATOS!$G13374="EX",1,IF(DATOS!$G13374="OR",--(COUNTIFS(nNIA,DATOS!$A13374,nCURSO,DATOS!$D13374,nESPEC,DATOS!$E13374,nASIG,DATOS!$I13374,nEVAL,"EX")=0),0))))</f>
      </c>
      <c r="H13374">
        <f>IF(DATOS!$G13374&lt;&gt;"EX",0,--(COUNTIFS(nNIA,DATOS!$A13374,nCURSO,DATOS!$D13374,nESPEC,DATOS!$E13374,nASIG,DATOS!$I13374,nEVAL,"OR")=0))</f>
      </c>
      <c r="I13374">
        <f>IF(DATOS!$I13374="","",IFERROR(VLOOKUP(DATOS!$I13374,CONFIG_ASIGNATURAS!$B$2:$J$91,9,FALSE()),""))</f>
      </c>
    </row>
    <row r="13375">
      <c r="F13375">
        <f>IF(DATOS!$A13375="","",DATOS!$A13375&amp;"|"&amp;DATOS!$D13375&amp;"|"&amp;DATOS!$E13375&amp;"|"&amp;DATOS!$I13375)</f>
      </c>
      <c r="G13375">
        <f>IF(DATOS!$A13375="",0,IF(CONFIG_METADATA!$B$4&lt;&gt;"OR+EX",--(DATOS!$G13375=CONFIG_METADATA!$B$4),IF(DATOS!$G13375="EX",1,IF(DATOS!$G13375="OR",--(COUNTIFS(nNIA,DATOS!$A13375,nCURSO,DATOS!$D13375,nESPEC,DATOS!$E13375,nASIG,DATOS!$I13375,nEVAL,"EX")=0),0))))</f>
      </c>
      <c r="H13375">
        <f>IF(DATOS!$G13375&lt;&gt;"EX",0,--(COUNTIFS(nNIA,DATOS!$A13375,nCURSO,DATOS!$D13375,nESPEC,DATOS!$E13375,nASIG,DATOS!$I13375,nEVAL,"OR")=0))</f>
      </c>
      <c r="I13375">
        <f>IF(DATOS!$I13375="","",IFERROR(VLOOKUP(DATOS!$I13375,CONFIG_ASIGNATURAS!$B$2:$J$91,9,FALSE()),""))</f>
      </c>
    </row>
    <row r="13376">
      <c r="F13376">
        <f>IF(DATOS!$A13376="","",DATOS!$A13376&amp;"|"&amp;DATOS!$D13376&amp;"|"&amp;DATOS!$E13376&amp;"|"&amp;DATOS!$I13376)</f>
      </c>
      <c r="G13376">
        <f>IF(DATOS!$A13376="",0,IF(CONFIG_METADATA!$B$4&lt;&gt;"OR+EX",--(DATOS!$G13376=CONFIG_METADATA!$B$4),IF(DATOS!$G13376="EX",1,IF(DATOS!$G13376="OR",--(COUNTIFS(nNIA,DATOS!$A13376,nCURSO,DATOS!$D13376,nESPEC,DATOS!$E13376,nASIG,DATOS!$I13376,nEVAL,"EX")=0),0))))</f>
      </c>
      <c r="H13376">
        <f>IF(DATOS!$G13376&lt;&gt;"EX",0,--(COUNTIFS(nNIA,DATOS!$A13376,nCURSO,DATOS!$D13376,nESPEC,DATOS!$E13376,nASIG,DATOS!$I13376,nEVAL,"OR")=0))</f>
      </c>
      <c r="I13376">
        <f>IF(DATOS!$I13376="","",IFERROR(VLOOKUP(DATOS!$I13376,CONFIG_ASIGNATURAS!$B$2:$J$91,9,FALSE()),""))</f>
      </c>
    </row>
    <row r="13377">
      <c r="F13377">
        <f>IF(DATOS!$A13377="","",DATOS!$A13377&amp;"|"&amp;DATOS!$D13377&amp;"|"&amp;DATOS!$E13377&amp;"|"&amp;DATOS!$I13377)</f>
      </c>
      <c r="G13377">
        <f>IF(DATOS!$A13377="",0,IF(CONFIG_METADATA!$B$4&lt;&gt;"OR+EX",--(DATOS!$G13377=CONFIG_METADATA!$B$4),IF(DATOS!$G13377="EX",1,IF(DATOS!$G13377="OR",--(COUNTIFS(nNIA,DATOS!$A13377,nCURSO,DATOS!$D13377,nESPEC,DATOS!$E13377,nASIG,DATOS!$I13377,nEVAL,"EX")=0),0))))</f>
      </c>
      <c r="H13377">
        <f>IF(DATOS!$G13377&lt;&gt;"EX",0,--(COUNTIFS(nNIA,DATOS!$A13377,nCURSO,DATOS!$D13377,nESPEC,DATOS!$E13377,nASIG,DATOS!$I13377,nEVAL,"OR")=0))</f>
      </c>
      <c r="I13377">
        <f>IF(DATOS!$I13377="","",IFERROR(VLOOKUP(DATOS!$I13377,CONFIG_ASIGNATURAS!$B$2:$J$91,9,FALSE()),""))</f>
      </c>
    </row>
    <row r="13378">
      <c r="F13378">
        <f>IF(DATOS!$A13378="","",DATOS!$A13378&amp;"|"&amp;DATOS!$D13378&amp;"|"&amp;DATOS!$E13378&amp;"|"&amp;DATOS!$I13378)</f>
      </c>
      <c r="G13378">
        <f>IF(DATOS!$A13378="",0,IF(CONFIG_METADATA!$B$4&lt;&gt;"OR+EX",--(DATOS!$G13378=CONFIG_METADATA!$B$4),IF(DATOS!$G13378="EX",1,IF(DATOS!$G13378="OR",--(COUNTIFS(nNIA,DATOS!$A13378,nCURSO,DATOS!$D13378,nESPEC,DATOS!$E13378,nASIG,DATOS!$I13378,nEVAL,"EX")=0),0))))</f>
      </c>
      <c r="H13378">
        <f>IF(DATOS!$G13378&lt;&gt;"EX",0,--(COUNTIFS(nNIA,DATOS!$A13378,nCURSO,DATOS!$D13378,nESPEC,DATOS!$E13378,nASIG,DATOS!$I13378,nEVAL,"OR")=0))</f>
      </c>
      <c r="I13378">
        <f>IF(DATOS!$I13378="","",IFERROR(VLOOKUP(DATOS!$I13378,CONFIG_ASIGNATURAS!$B$2:$J$91,9,FALSE()),""))</f>
      </c>
    </row>
    <row r="13379">
      <c r="F13379">
        <f>IF(DATOS!$A13379="","",DATOS!$A13379&amp;"|"&amp;DATOS!$D13379&amp;"|"&amp;DATOS!$E13379&amp;"|"&amp;DATOS!$I13379)</f>
      </c>
      <c r="G13379">
        <f>IF(DATOS!$A13379="",0,IF(CONFIG_METADATA!$B$4&lt;&gt;"OR+EX",--(DATOS!$G13379=CONFIG_METADATA!$B$4),IF(DATOS!$G13379="EX",1,IF(DATOS!$G13379="OR",--(COUNTIFS(nNIA,DATOS!$A13379,nCURSO,DATOS!$D13379,nESPEC,DATOS!$E13379,nASIG,DATOS!$I13379,nEVAL,"EX")=0),0))))</f>
      </c>
      <c r="H13379">
        <f>IF(DATOS!$G13379&lt;&gt;"EX",0,--(COUNTIFS(nNIA,DATOS!$A13379,nCURSO,DATOS!$D13379,nESPEC,DATOS!$E13379,nASIG,DATOS!$I13379,nEVAL,"OR")=0))</f>
      </c>
      <c r="I13379">
        <f>IF(DATOS!$I13379="","",IFERROR(VLOOKUP(DATOS!$I13379,CONFIG_ASIGNATURAS!$B$2:$J$91,9,FALSE()),""))</f>
      </c>
    </row>
    <row r="13380">
      <c r="F13380">
        <f>IF(DATOS!$A13380="","",DATOS!$A13380&amp;"|"&amp;DATOS!$D13380&amp;"|"&amp;DATOS!$E13380&amp;"|"&amp;DATOS!$I13380)</f>
      </c>
      <c r="G13380">
        <f>IF(DATOS!$A13380="",0,IF(CONFIG_METADATA!$B$4&lt;&gt;"OR+EX",--(DATOS!$G13380=CONFIG_METADATA!$B$4),IF(DATOS!$G13380="EX",1,IF(DATOS!$G13380="OR",--(COUNTIFS(nNIA,DATOS!$A13380,nCURSO,DATOS!$D13380,nESPEC,DATOS!$E13380,nASIG,DATOS!$I13380,nEVAL,"EX")=0),0))))</f>
      </c>
      <c r="H13380">
        <f>IF(DATOS!$G13380&lt;&gt;"EX",0,--(COUNTIFS(nNIA,DATOS!$A13380,nCURSO,DATOS!$D13380,nESPEC,DATOS!$E13380,nASIG,DATOS!$I13380,nEVAL,"OR")=0))</f>
      </c>
      <c r="I13380">
        <f>IF(DATOS!$I13380="","",IFERROR(VLOOKUP(DATOS!$I13380,CONFIG_ASIGNATURAS!$B$2:$J$91,9,FALSE()),""))</f>
      </c>
    </row>
    <row r="13381">
      <c r="F13381">
        <f>IF(DATOS!$A13381="","",DATOS!$A13381&amp;"|"&amp;DATOS!$D13381&amp;"|"&amp;DATOS!$E13381&amp;"|"&amp;DATOS!$I13381)</f>
      </c>
      <c r="G13381">
        <f>IF(DATOS!$A13381="",0,IF(CONFIG_METADATA!$B$4&lt;&gt;"OR+EX",--(DATOS!$G13381=CONFIG_METADATA!$B$4),IF(DATOS!$G13381="EX",1,IF(DATOS!$G13381="OR",--(COUNTIFS(nNIA,DATOS!$A13381,nCURSO,DATOS!$D13381,nESPEC,DATOS!$E13381,nASIG,DATOS!$I13381,nEVAL,"EX")=0),0))))</f>
      </c>
      <c r="H13381">
        <f>IF(DATOS!$G13381&lt;&gt;"EX",0,--(COUNTIFS(nNIA,DATOS!$A13381,nCURSO,DATOS!$D13381,nESPEC,DATOS!$E13381,nASIG,DATOS!$I13381,nEVAL,"OR")=0))</f>
      </c>
      <c r="I13381">
        <f>IF(DATOS!$I13381="","",IFERROR(VLOOKUP(DATOS!$I13381,CONFIG_ASIGNATURAS!$B$2:$J$91,9,FALSE()),""))</f>
      </c>
    </row>
    <row r="13382">
      <c r="F13382">
        <f>IF(DATOS!$A13382="","",DATOS!$A13382&amp;"|"&amp;DATOS!$D13382&amp;"|"&amp;DATOS!$E13382&amp;"|"&amp;DATOS!$I13382)</f>
      </c>
      <c r="G13382">
        <f>IF(DATOS!$A13382="",0,IF(CONFIG_METADATA!$B$4&lt;&gt;"OR+EX",--(DATOS!$G13382=CONFIG_METADATA!$B$4),IF(DATOS!$G13382="EX",1,IF(DATOS!$G13382="OR",--(COUNTIFS(nNIA,DATOS!$A13382,nCURSO,DATOS!$D13382,nESPEC,DATOS!$E13382,nASIG,DATOS!$I13382,nEVAL,"EX")=0),0))))</f>
      </c>
      <c r="H13382">
        <f>IF(DATOS!$G13382&lt;&gt;"EX",0,--(COUNTIFS(nNIA,DATOS!$A13382,nCURSO,DATOS!$D13382,nESPEC,DATOS!$E13382,nASIG,DATOS!$I13382,nEVAL,"OR")=0))</f>
      </c>
      <c r="I13382">
        <f>IF(DATOS!$I13382="","",IFERROR(VLOOKUP(DATOS!$I13382,CONFIG_ASIGNATURAS!$B$2:$J$91,9,FALSE()),""))</f>
      </c>
    </row>
    <row r="13383">
      <c r="F13383">
        <f>IF(DATOS!$A13383="","",DATOS!$A13383&amp;"|"&amp;DATOS!$D13383&amp;"|"&amp;DATOS!$E13383&amp;"|"&amp;DATOS!$I13383)</f>
      </c>
      <c r="G13383">
        <f>IF(DATOS!$A13383="",0,IF(CONFIG_METADATA!$B$4&lt;&gt;"OR+EX",--(DATOS!$G13383=CONFIG_METADATA!$B$4),IF(DATOS!$G13383="EX",1,IF(DATOS!$G13383="OR",--(COUNTIFS(nNIA,DATOS!$A13383,nCURSO,DATOS!$D13383,nESPEC,DATOS!$E13383,nASIG,DATOS!$I13383,nEVAL,"EX")=0),0))))</f>
      </c>
      <c r="H13383">
        <f>IF(DATOS!$G13383&lt;&gt;"EX",0,--(COUNTIFS(nNIA,DATOS!$A13383,nCURSO,DATOS!$D13383,nESPEC,DATOS!$E13383,nASIG,DATOS!$I13383,nEVAL,"OR")=0))</f>
      </c>
      <c r="I13383">
        <f>IF(DATOS!$I13383="","",IFERROR(VLOOKUP(DATOS!$I13383,CONFIG_ASIGNATURAS!$B$2:$J$91,9,FALSE()),""))</f>
      </c>
    </row>
    <row r="13384">
      <c r="F13384">
        <f>IF(DATOS!$A13384="","",DATOS!$A13384&amp;"|"&amp;DATOS!$D13384&amp;"|"&amp;DATOS!$E13384&amp;"|"&amp;DATOS!$I13384)</f>
      </c>
      <c r="G13384">
        <f>IF(DATOS!$A13384="",0,IF(CONFIG_METADATA!$B$4&lt;&gt;"OR+EX",--(DATOS!$G13384=CONFIG_METADATA!$B$4),IF(DATOS!$G13384="EX",1,IF(DATOS!$G13384="OR",--(COUNTIFS(nNIA,DATOS!$A13384,nCURSO,DATOS!$D13384,nESPEC,DATOS!$E13384,nASIG,DATOS!$I13384,nEVAL,"EX")=0),0))))</f>
      </c>
      <c r="H13384">
        <f>IF(DATOS!$G13384&lt;&gt;"EX",0,--(COUNTIFS(nNIA,DATOS!$A13384,nCURSO,DATOS!$D13384,nESPEC,DATOS!$E13384,nASIG,DATOS!$I13384,nEVAL,"OR")=0))</f>
      </c>
      <c r="I13384">
        <f>IF(DATOS!$I13384="","",IFERROR(VLOOKUP(DATOS!$I13384,CONFIG_ASIGNATURAS!$B$2:$J$91,9,FALSE()),""))</f>
      </c>
    </row>
    <row r="13385">
      <c r="F13385">
        <f>IF(DATOS!$A13385="","",DATOS!$A13385&amp;"|"&amp;DATOS!$D13385&amp;"|"&amp;DATOS!$E13385&amp;"|"&amp;DATOS!$I13385)</f>
      </c>
      <c r="G13385">
        <f>IF(DATOS!$A13385="",0,IF(CONFIG_METADATA!$B$4&lt;&gt;"OR+EX",--(DATOS!$G13385=CONFIG_METADATA!$B$4),IF(DATOS!$G13385="EX",1,IF(DATOS!$G13385="OR",--(COUNTIFS(nNIA,DATOS!$A13385,nCURSO,DATOS!$D13385,nESPEC,DATOS!$E13385,nASIG,DATOS!$I13385,nEVAL,"EX")=0),0))))</f>
      </c>
      <c r="H13385">
        <f>IF(DATOS!$G13385&lt;&gt;"EX",0,--(COUNTIFS(nNIA,DATOS!$A13385,nCURSO,DATOS!$D13385,nESPEC,DATOS!$E13385,nASIG,DATOS!$I13385,nEVAL,"OR")=0))</f>
      </c>
      <c r="I13385">
        <f>IF(DATOS!$I13385="","",IFERROR(VLOOKUP(DATOS!$I13385,CONFIG_ASIGNATURAS!$B$2:$J$91,9,FALSE()),""))</f>
      </c>
    </row>
    <row r="13386">
      <c r="F13386">
        <f>IF(DATOS!$A13386="","",DATOS!$A13386&amp;"|"&amp;DATOS!$D13386&amp;"|"&amp;DATOS!$E13386&amp;"|"&amp;DATOS!$I13386)</f>
      </c>
      <c r="G13386">
        <f>IF(DATOS!$A13386="",0,IF(CONFIG_METADATA!$B$4&lt;&gt;"OR+EX",--(DATOS!$G13386=CONFIG_METADATA!$B$4),IF(DATOS!$G13386="EX",1,IF(DATOS!$G13386="OR",--(COUNTIFS(nNIA,DATOS!$A13386,nCURSO,DATOS!$D13386,nESPEC,DATOS!$E13386,nASIG,DATOS!$I13386,nEVAL,"EX")=0),0))))</f>
      </c>
      <c r="H13386">
        <f>IF(DATOS!$G13386&lt;&gt;"EX",0,--(COUNTIFS(nNIA,DATOS!$A13386,nCURSO,DATOS!$D13386,nESPEC,DATOS!$E13386,nASIG,DATOS!$I13386,nEVAL,"OR")=0))</f>
      </c>
      <c r="I13386">
        <f>IF(DATOS!$I13386="","",IFERROR(VLOOKUP(DATOS!$I13386,CONFIG_ASIGNATURAS!$B$2:$J$91,9,FALSE()),""))</f>
      </c>
    </row>
    <row r="13387">
      <c r="F13387">
        <f>IF(DATOS!$A13387="","",DATOS!$A13387&amp;"|"&amp;DATOS!$D13387&amp;"|"&amp;DATOS!$E13387&amp;"|"&amp;DATOS!$I13387)</f>
      </c>
      <c r="G13387">
        <f>IF(DATOS!$A13387="",0,IF(CONFIG_METADATA!$B$4&lt;&gt;"OR+EX",--(DATOS!$G13387=CONFIG_METADATA!$B$4),IF(DATOS!$G13387="EX",1,IF(DATOS!$G13387="OR",--(COUNTIFS(nNIA,DATOS!$A13387,nCURSO,DATOS!$D13387,nESPEC,DATOS!$E13387,nASIG,DATOS!$I13387,nEVAL,"EX")=0),0))))</f>
      </c>
      <c r="H13387">
        <f>IF(DATOS!$G13387&lt;&gt;"EX",0,--(COUNTIFS(nNIA,DATOS!$A13387,nCURSO,DATOS!$D13387,nESPEC,DATOS!$E13387,nASIG,DATOS!$I13387,nEVAL,"OR")=0))</f>
      </c>
      <c r="I13387">
        <f>IF(DATOS!$I13387="","",IFERROR(VLOOKUP(DATOS!$I13387,CONFIG_ASIGNATURAS!$B$2:$J$91,9,FALSE()),""))</f>
      </c>
    </row>
    <row r="13388">
      <c r="F13388">
        <f>IF(DATOS!$A13388="","",DATOS!$A13388&amp;"|"&amp;DATOS!$D13388&amp;"|"&amp;DATOS!$E13388&amp;"|"&amp;DATOS!$I13388)</f>
      </c>
      <c r="G13388">
        <f>IF(DATOS!$A13388="",0,IF(CONFIG_METADATA!$B$4&lt;&gt;"OR+EX",--(DATOS!$G13388=CONFIG_METADATA!$B$4),IF(DATOS!$G13388="EX",1,IF(DATOS!$G13388="OR",--(COUNTIFS(nNIA,DATOS!$A13388,nCURSO,DATOS!$D13388,nESPEC,DATOS!$E13388,nASIG,DATOS!$I13388,nEVAL,"EX")=0),0))))</f>
      </c>
      <c r="H13388">
        <f>IF(DATOS!$G13388&lt;&gt;"EX",0,--(COUNTIFS(nNIA,DATOS!$A13388,nCURSO,DATOS!$D13388,nESPEC,DATOS!$E13388,nASIG,DATOS!$I13388,nEVAL,"OR")=0))</f>
      </c>
      <c r="I13388">
        <f>IF(DATOS!$I13388="","",IFERROR(VLOOKUP(DATOS!$I13388,CONFIG_ASIGNATURAS!$B$2:$J$91,9,FALSE()),""))</f>
      </c>
    </row>
    <row r="13389">
      <c r="F13389">
        <f>IF(DATOS!$A13389="","",DATOS!$A13389&amp;"|"&amp;DATOS!$D13389&amp;"|"&amp;DATOS!$E13389&amp;"|"&amp;DATOS!$I13389)</f>
      </c>
      <c r="G13389">
        <f>IF(DATOS!$A13389="",0,IF(CONFIG_METADATA!$B$4&lt;&gt;"OR+EX",--(DATOS!$G13389=CONFIG_METADATA!$B$4),IF(DATOS!$G13389="EX",1,IF(DATOS!$G13389="OR",--(COUNTIFS(nNIA,DATOS!$A13389,nCURSO,DATOS!$D13389,nESPEC,DATOS!$E13389,nASIG,DATOS!$I13389,nEVAL,"EX")=0),0))))</f>
      </c>
      <c r="H13389">
        <f>IF(DATOS!$G13389&lt;&gt;"EX",0,--(COUNTIFS(nNIA,DATOS!$A13389,nCURSO,DATOS!$D13389,nESPEC,DATOS!$E13389,nASIG,DATOS!$I13389,nEVAL,"OR")=0))</f>
      </c>
      <c r="I13389">
        <f>IF(DATOS!$I13389="","",IFERROR(VLOOKUP(DATOS!$I13389,CONFIG_ASIGNATURAS!$B$2:$J$91,9,FALSE()),""))</f>
      </c>
    </row>
    <row r="13390">
      <c r="F13390">
        <f>IF(DATOS!$A13390="","",DATOS!$A13390&amp;"|"&amp;DATOS!$D13390&amp;"|"&amp;DATOS!$E13390&amp;"|"&amp;DATOS!$I13390)</f>
      </c>
      <c r="G13390">
        <f>IF(DATOS!$A13390="",0,IF(CONFIG_METADATA!$B$4&lt;&gt;"OR+EX",--(DATOS!$G13390=CONFIG_METADATA!$B$4),IF(DATOS!$G13390="EX",1,IF(DATOS!$G13390="OR",--(COUNTIFS(nNIA,DATOS!$A13390,nCURSO,DATOS!$D13390,nESPEC,DATOS!$E13390,nASIG,DATOS!$I13390,nEVAL,"EX")=0),0))))</f>
      </c>
      <c r="H13390">
        <f>IF(DATOS!$G13390&lt;&gt;"EX",0,--(COUNTIFS(nNIA,DATOS!$A13390,nCURSO,DATOS!$D13390,nESPEC,DATOS!$E13390,nASIG,DATOS!$I13390,nEVAL,"OR")=0))</f>
      </c>
      <c r="I13390">
        <f>IF(DATOS!$I13390="","",IFERROR(VLOOKUP(DATOS!$I13390,CONFIG_ASIGNATURAS!$B$2:$J$91,9,FALSE()),""))</f>
      </c>
    </row>
    <row r="13391">
      <c r="F13391">
        <f>IF(DATOS!$A13391="","",DATOS!$A13391&amp;"|"&amp;DATOS!$D13391&amp;"|"&amp;DATOS!$E13391&amp;"|"&amp;DATOS!$I13391)</f>
      </c>
      <c r="G13391">
        <f>IF(DATOS!$A13391="",0,IF(CONFIG_METADATA!$B$4&lt;&gt;"OR+EX",--(DATOS!$G13391=CONFIG_METADATA!$B$4),IF(DATOS!$G13391="EX",1,IF(DATOS!$G13391="OR",--(COUNTIFS(nNIA,DATOS!$A13391,nCURSO,DATOS!$D13391,nESPEC,DATOS!$E13391,nASIG,DATOS!$I13391,nEVAL,"EX")=0),0))))</f>
      </c>
      <c r="H13391">
        <f>IF(DATOS!$G13391&lt;&gt;"EX",0,--(COUNTIFS(nNIA,DATOS!$A13391,nCURSO,DATOS!$D13391,nESPEC,DATOS!$E13391,nASIG,DATOS!$I13391,nEVAL,"OR")=0))</f>
      </c>
      <c r="I13391">
        <f>IF(DATOS!$I13391="","",IFERROR(VLOOKUP(DATOS!$I13391,CONFIG_ASIGNATURAS!$B$2:$J$91,9,FALSE()),""))</f>
      </c>
    </row>
    <row r="13392">
      <c r="F13392">
        <f>IF(DATOS!$A13392="","",DATOS!$A13392&amp;"|"&amp;DATOS!$D13392&amp;"|"&amp;DATOS!$E13392&amp;"|"&amp;DATOS!$I13392)</f>
      </c>
      <c r="G13392">
        <f>IF(DATOS!$A13392="",0,IF(CONFIG_METADATA!$B$4&lt;&gt;"OR+EX",--(DATOS!$G13392=CONFIG_METADATA!$B$4),IF(DATOS!$G13392="EX",1,IF(DATOS!$G13392="OR",--(COUNTIFS(nNIA,DATOS!$A13392,nCURSO,DATOS!$D13392,nESPEC,DATOS!$E13392,nASIG,DATOS!$I13392,nEVAL,"EX")=0),0))))</f>
      </c>
      <c r="H13392">
        <f>IF(DATOS!$G13392&lt;&gt;"EX",0,--(COUNTIFS(nNIA,DATOS!$A13392,nCURSO,DATOS!$D13392,nESPEC,DATOS!$E13392,nASIG,DATOS!$I13392,nEVAL,"OR")=0))</f>
      </c>
      <c r="I13392">
        <f>IF(DATOS!$I13392="","",IFERROR(VLOOKUP(DATOS!$I13392,CONFIG_ASIGNATURAS!$B$2:$J$91,9,FALSE()),""))</f>
      </c>
    </row>
    <row r="13393">
      <c r="F13393">
        <f>IF(DATOS!$A13393="","",DATOS!$A13393&amp;"|"&amp;DATOS!$D13393&amp;"|"&amp;DATOS!$E13393&amp;"|"&amp;DATOS!$I13393)</f>
      </c>
      <c r="G13393">
        <f>IF(DATOS!$A13393="",0,IF(CONFIG_METADATA!$B$4&lt;&gt;"OR+EX",--(DATOS!$G13393=CONFIG_METADATA!$B$4),IF(DATOS!$G13393="EX",1,IF(DATOS!$G13393="OR",--(COUNTIFS(nNIA,DATOS!$A13393,nCURSO,DATOS!$D13393,nESPEC,DATOS!$E13393,nASIG,DATOS!$I13393,nEVAL,"EX")=0),0))))</f>
      </c>
      <c r="H13393">
        <f>IF(DATOS!$G13393&lt;&gt;"EX",0,--(COUNTIFS(nNIA,DATOS!$A13393,nCURSO,DATOS!$D13393,nESPEC,DATOS!$E13393,nASIG,DATOS!$I13393,nEVAL,"OR")=0))</f>
      </c>
      <c r="I13393">
        <f>IF(DATOS!$I13393="","",IFERROR(VLOOKUP(DATOS!$I13393,CONFIG_ASIGNATURAS!$B$2:$J$91,9,FALSE()),""))</f>
      </c>
    </row>
    <row r="13394">
      <c r="F13394">
        <f>IF(DATOS!$A13394="","",DATOS!$A13394&amp;"|"&amp;DATOS!$D13394&amp;"|"&amp;DATOS!$E13394&amp;"|"&amp;DATOS!$I13394)</f>
      </c>
      <c r="G13394">
        <f>IF(DATOS!$A13394="",0,IF(CONFIG_METADATA!$B$4&lt;&gt;"OR+EX",--(DATOS!$G13394=CONFIG_METADATA!$B$4),IF(DATOS!$G13394="EX",1,IF(DATOS!$G13394="OR",--(COUNTIFS(nNIA,DATOS!$A13394,nCURSO,DATOS!$D13394,nESPEC,DATOS!$E13394,nASIG,DATOS!$I13394,nEVAL,"EX")=0),0))))</f>
      </c>
      <c r="H13394">
        <f>IF(DATOS!$G13394&lt;&gt;"EX",0,--(COUNTIFS(nNIA,DATOS!$A13394,nCURSO,DATOS!$D13394,nESPEC,DATOS!$E13394,nASIG,DATOS!$I13394,nEVAL,"OR")=0))</f>
      </c>
      <c r="I13394">
        <f>IF(DATOS!$I13394="","",IFERROR(VLOOKUP(DATOS!$I13394,CONFIG_ASIGNATURAS!$B$2:$J$91,9,FALSE()),""))</f>
      </c>
    </row>
    <row r="13395">
      <c r="F13395">
        <f>IF(DATOS!$A13395="","",DATOS!$A13395&amp;"|"&amp;DATOS!$D13395&amp;"|"&amp;DATOS!$E13395&amp;"|"&amp;DATOS!$I13395)</f>
      </c>
      <c r="G13395">
        <f>IF(DATOS!$A13395="",0,IF(CONFIG_METADATA!$B$4&lt;&gt;"OR+EX",--(DATOS!$G13395=CONFIG_METADATA!$B$4),IF(DATOS!$G13395="EX",1,IF(DATOS!$G13395="OR",--(COUNTIFS(nNIA,DATOS!$A13395,nCURSO,DATOS!$D13395,nESPEC,DATOS!$E13395,nASIG,DATOS!$I13395,nEVAL,"EX")=0),0))))</f>
      </c>
      <c r="H13395">
        <f>IF(DATOS!$G13395&lt;&gt;"EX",0,--(COUNTIFS(nNIA,DATOS!$A13395,nCURSO,DATOS!$D13395,nESPEC,DATOS!$E13395,nASIG,DATOS!$I13395,nEVAL,"OR")=0))</f>
      </c>
      <c r="I13395">
        <f>IF(DATOS!$I13395="","",IFERROR(VLOOKUP(DATOS!$I13395,CONFIG_ASIGNATURAS!$B$2:$J$91,9,FALSE()),""))</f>
      </c>
    </row>
    <row r="13396">
      <c r="F13396">
        <f>IF(DATOS!$A13396="","",DATOS!$A13396&amp;"|"&amp;DATOS!$D13396&amp;"|"&amp;DATOS!$E13396&amp;"|"&amp;DATOS!$I13396)</f>
      </c>
      <c r="G13396">
        <f>IF(DATOS!$A13396="",0,IF(CONFIG_METADATA!$B$4&lt;&gt;"OR+EX",--(DATOS!$G13396=CONFIG_METADATA!$B$4),IF(DATOS!$G13396="EX",1,IF(DATOS!$G13396="OR",--(COUNTIFS(nNIA,DATOS!$A13396,nCURSO,DATOS!$D13396,nESPEC,DATOS!$E13396,nASIG,DATOS!$I13396,nEVAL,"EX")=0),0))))</f>
      </c>
      <c r="H13396">
        <f>IF(DATOS!$G13396&lt;&gt;"EX",0,--(COUNTIFS(nNIA,DATOS!$A13396,nCURSO,DATOS!$D13396,nESPEC,DATOS!$E13396,nASIG,DATOS!$I13396,nEVAL,"OR")=0))</f>
      </c>
      <c r="I13396">
        <f>IF(DATOS!$I13396="","",IFERROR(VLOOKUP(DATOS!$I13396,CONFIG_ASIGNATURAS!$B$2:$J$91,9,FALSE()),""))</f>
      </c>
    </row>
    <row r="13397">
      <c r="F13397">
        <f>IF(DATOS!$A13397="","",DATOS!$A13397&amp;"|"&amp;DATOS!$D13397&amp;"|"&amp;DATOS!$E13397&amp;"|"&amp;DATOS!$I13397)</f>
      </c>
      <c r="G13397">
        <f>IF(DATOS!$A13397="",0,IF(CONFIG_METADATA!$B$4&lt;&gt;"OR+EX",--(DATOS!$G13397=CONFIG_METADATA!$B$4),IF(DATOS!$G13397="EX",1,IF(DATOS!$G13397="OR",--(COUNTIFS(nNIA,DATOS!$A13397,nCURSO,DATOS!$D13397,nESPEC,DATOS!$E13397,nASIG,DATOS!$I13397,nEVAL,"EX")=0),0))))</f>
      </c>
      <c r="H13397">
        <f>IF(DATOS!$G13397&lt;&gt;"EX",0,--(COUNTIFS(nNIA,DATOS!$A13397,nCURSO,DATOS!$D13397,nESPEC,DATOS!$E13397,nASIG,DATOS!$I13397,nEVAL,"OR")=0))</f>
      </c>
      <c r="I13397">
        <f>IF(DATOS!$I13397="","",IFERROR(VLOOKUP(DATOS!$I13397,CONFIG_ASIGNATURAS!$B$2:$J$91,9,FALSE()),""))</f>
      </c>
    </row>
    <row r="13398">
      <c r="F13398">
        <f>IF(DATOS!$A13398="","",DATOS!$A13398&amp;"|"&amp;DATOS!$D13398&amp;"|"&amp;DATOS!$E13398&amp;"|"&amp;DATOS!$I13398)</f>
      </c>
      <c r="G13398">
        <f>IF(DATOS!$A13398="",0,IF(CONFIG_METADATA!$B$4&lt;&gt;"OR+EX",--(DATOS!$G13398=CONFIG_METADATA!$B$4),IF(DATOS!$G13398="EX",1,IF(DATOS!$G13398="OR",--(COUNTIFS(nNIA,DATOS!$A13398,nCURSO,DATOS!$D13398,nESPEC,DATOS!$E13398,nASIG,DATOS!$I13398,nEVAL,"EX")=0),0))))</f>
      </c>
      <c r="H13398">
        <f>IF(DATOS!$G13398&lt;&gt;"EX",0,--(COUNTIFS(nNIA,DATOS!$A13398,nCURSO,DATOS!$D13398,nESPEC,DATOS!$E13398,nASIG,DATOS!$I13398,nEVAL,"OR")=0))</f>
      </c>
      <c r="I13398">
        <f>IF(DATOS!$I13398="","",IFERROR(VLOOKUP(DATOS!$I13398,CONFIG_ASIGNATURAS!$B$2:$J$91,9,FALSE()),""))</f>
      </c>
    </row>
    <row r="13399">
      <c r="F13399">
        <f>IF(DATOS!$A13399="","",DATOS!$A13399&amp;"|"&amp;DATOS!$D13399&amp;"|"&amp;DATOS!$E13399&amp;"|"&amp;DATOS!$I13399)</f>
      </c>
      <c r="G13399">
        <f>IF(DATOS!$A13399="",0,IF(CONFIG_METADATA!$B$4&lt;&gt;"OR+EX",--(DATOS!$G13399=CONFIG_METADATA!$B$4),IF(DATOS!$G13399="EX",1,IF(DATOS!$G13399="OR",--(COUNTIFS(nNIA,DATOS!$A13399,nCURSO,DATOS!$D13399,nESPEC,DATOS!$E13399,nASIG,DATOS!$I13399,nEVAL,"EX")=0),0))))</f>
      </c>
      <c r="H13399">
        <f>IF(DATOS!$G13399&lt;&gt;"EX",0,--(COUNTIFS(nNIA,DATOS!$A13399,nCURSO,DATOS!$D13399,nESPEC,DATOS!$E13399,nASIG,DATOS!$I13399,nEVAL,"OR")=0))</f>
      </c>
      <c r="I13399">
        <f>IF(DATOS!$I13399="","",IFERROR(VLOOKUP(DATOS!$I13399,CONFIG_ASIGNATURAS!$B$2:$J$91,9,FALSE()),""))</f>
      </c>
    </row>
    <row r="13400">
      <c r="F13400">
        <f>IF(DATOS!$A13400="","",DATOS!$A13400&amp;"|"&amp;DATOS!$D13400&amp;"|"&amp;DATOS!$E13400&amp;"|"&amp;DATOS!$I13400)</f>
      </c>
      <c r="G13400">
        <f>IF(DATOS!$A13400="",0,IF(CONFIG_METADATA!$B$4&lt;&gt;"OR+EX",--(DATOS!$G13400=CONFIG_METADATA!$B$4),IF(DATOS!$G13400="EX",1,IF(DATOS!$G13400="OR",--(COUNTIFS(nNIA,DATOS!$A13400,nCURSO,DATOS!$D13400,nESPEC,DATOS!$E13400,nASIG,DATOS!$I13400,nEVAL,"EX")=0),0))))</f>
      </c>
      <c r="H13400">
        <f>IF(DATOS!$G13400&lt;&gt;"EX",0,--(COUNTIFS(nNIA,DATOS!$A13400,nCURSO,DATOS!$D13400,nESPEC,DATOS!$E13400,nASIG,DATOS!$I13400,nEVAL,"OR")=0))</f>
      </c>
      <c r="I13400">
        <f>IF(DATOS!$I13400="","",IFERROR(VLOOKUP(DATOS!$I13400,CONFIG_ASIGNATURAS!$B$2:$J$91,9,FALSE()),""))</f>
      </c>
    </row>
    <row r="13401">
      <c r="F13401">
        <f>IF(DATOS!$A13401="","",DATOS!$A13401&amp;"|"&amp;DATOS!$D13401&amp;"|"&amp;DATOS!$E13401&amp;"|"&amp;DATOS!$I13401)</f>
      </c>
      <c r="G13401">
        <f>IF(DATOS!$A13401="",0,IF(CONFIG_METADATA!$B$4&lt;&gt;"OR+EX",--(DATOS!$G13401=CONFIG_METADATA!$B$4),IF(DATOS!$G13401="EX",1,IF(DATOS!$G13401="OR",--(COUNTIFS(nNIA,DATOS!$A13401,nCURSO,DATOS!$D13401,nESPEC,DATOS!$E13401,nASIG,DATOS!$I13401,nEVAL,"EX")=0),0))))</f>
      </c>
      <c r="H13401">
        <f>IF(DATOS!$G13401&lt;&gt;"EX",0,--(COUNTIFS(nNIA,DATOS!$A13401,nCURSO,DATOS!$D13401,nESPEC,DATOS!$E13401,nASIG,DATOS!$I13401,nEVAL,"OR")=0))</f>
      </c>
      <c r="I13401">
        <f>IF(DATOS!$I13401="","",IFERROR(VLOOKUP(DATOS!$I13401,CONFIG_ASIGNATURAS!$B$2:$J$91,9,FALSE()),""))</f>
      </c>
    </row>
    <row r="13402">
      <c r="F13402">
        <f>IF(DATOS!$A13402="","",DATOS!$A13402&amp;"|"&amp;DATOS!$D13402&amp;"|"&amp;DATOS!$E13402&amp;"|"&amp;DATOS!$I13402)</f>
      </c>
      <c r="G13402">
        <f>IF(DATOS!$A13402="",0,IF(CONFIG_METADATA!$B$4&lt;&gt;"OR+EX",--(DATOS!$G13402=CONFIG_METADATA!$B$4),IF(DATOS!$G13402="EX",1,IF(DATOS!$G13402="OR",--(COUNTIFS(nNIA,DATOS!$A13402,nCURSO,DATOS!$D13402,nESPEC,DATOS!$E13402,nASIG,DATOS!$I13402,nEVAL,"EX")=0),0))))</f>
      </c>
      <c r="H13402">
        <f>IF(DATOS!$G13402&lt;&gt;"EX",0,--(COUNTIFS(nNIA,DATOS!$A13402,nCURSO,DATOS!$D13402,nESPEC,DATOS!$E13402,nASIG,DATOS!$I13402,nEVAL,"OR")=0))</f>
      </c>
      <c r="I13402">
        <f>IF(DATOS!$I13402="","",IFERROR(VLOOKUP(DATOS!$I13402,CONFIG_ASIGNATURAS!$B$2:$J$91,9,FALSE()),""))</f>
      </c>
    </row>
    <row r="13403">
      <c r="F13403">
        <f>IF(DATOS!$A13403="","",DATOS!$A13403&amp;"|"&amp;DATOS!$D13403&amp;"|"&amp;DATOS!$E13403&amp;"|"&amp;DATOS!$I13403)</f>
      </c>
      <c r="G13403">
        <f>IF(DATOS!$A13403="",0,IF(CONFIG_METADATA!$B$4&lt;&gt;"OR+EX",--(DATOS!$G13403=CONFIG_METADATA!$B$4),IF(DATOS!$G13403="EX",1,IF(DATOS!$G13403="OR",--(COUNTIFS(nNIA,DATOS!$A13403,nCURSO,DATOS!$D13403,nESPEC,DATOS!$E13403,nASIG,DATOS!$I13403,nEVAL,"EX")=0),0))))</f>
      </c>
      <c r="H13403">
        <f>IF(DATOS!$G13403&lt;&gt;"EX",0,--(COUNTIFS(nNIA,DATOS!$A13403,nCURSO,DATOS!$D13403,nESPEC,DATOS!$E13403,nASIG,DATOS!$I13403,nEVAL,"OR")=0))</f>
      </c>
      <c r="I13403">
        <f>IF(DATOS!$I13403="","",IFERROR(VLOOKUP(DATOS!$I13403,CONFIG_ASIGNATURAS!$B$2:$J$91,9,FALSE()),""))</f>
      </c>
    </row>
    <row r="13404">
      <c r="F13404">
        <f>IF(DATOS!$A13404="","",DATOS!$A13404&amp;"|"&amp;DATOS!$D13404&amp;"|"&amp;DATOS!$E13404&amp;"|"&amp;DATOS!$I13404)</f>
      </c>
      <c r="G13404">
        <f>IF(DATOS!$A13404="",0,IF(CONFIG_METADATA!$B$4&lt;&gt;"OR+EX",--(DATOS!$G13404=CONFIG_METADATA!$B$4),IF(DATOS!$G13404="EX",1,IF(DATOS!$G13404="OR",--(COUNTIFS(nNIA,DATOS!$A13404,nCURSO,DATOS!$D13404,nESPEC,DATOS!$E13404,nASIG,DATOS!$I13404,nEVAL,"EX")=0),0))))</f>
      </c>
      <c r="H13404">
        <f>IF(DATOS!$G13404&lt;&gt;"EX",0,--(COUNTIFS(nNIA,DATOS!$A13404,nCURSO,DATOS!$D13404,nESPEC,DATOS!$E13404,nASIG,DATOS!$I13404,nEVAL,"OR")=0))</f>
      </c>
      <c r="I13404">
        <f>IF(DATOS!$I13404="","",IFERROR(VLOOKUP(DATOS!$I13404,CONFIG_ASIGNATURAS!$B$2:$J$91,9,FALSE()),""))</f>
      </c>
    </row>
    <row r="13405">
      <c r="F13405">
        <f>IF(DATOS!$A13405="","",DATOS!$A13405&amp;"|"&amp;DATOS!$D13405&amp;"|"&amp;DATOS!$E13405&amp;"|"&amp;DATOS!$I13405)</f>
      </c>
      <c r="G13405">
        <f>IF(DATOS!$A13405="",0,IF(CONFIG_METADATA!$B$4&lt;&gt;"OR+EX",--(DATOS!$G13405=CONFIG_METADATA!$B$4),IF(DATOS!$G13405="EX",1,IF(DATOS!$G13405="OR",--(COUNTIFS(nNIA,DATOS!$A13405,nCURSO,DATOS!$D13405,nESPEC,DATOS!$E13405,nASIG,DATOS!$I13405,nEVAL,"EX")=0),0))))</f>
      </c>
      <c r="H13405">
        <f>IF(DATOS!$G13405&lt;&gt;"EX",0,--(COUNTIFS(nNIA,DATOS!$A13405,nCURSO,DATOS!$D13405,nESPEC,DATOS!$E13405,nASIG,DATOS!$I13405,nEVAL,"OR")=0))</f>
      </c>
      <c r="I13405">
        <f>IF(DATOS!$I13405="","",IFERROR(VLOOKUP(DATOS!$I13405,CONFIG_ASIGNATURAS!$B$2:$J$91,9,FALSE()),""))</f>
      </c>
    </row>
    <row r="13406">
      <c r="F13406">
        <f>IF(DATOS!$A13406="","",DATOS!$A13406&amp;"|"&amp;DATOS!$D13406&amp;"|"&amp;DATOS!$E13406&amp;"|"&amp;DATOS!$I13406)</f>
      </c>
      <c r="G13406">
        <f>IF(DATOS!$A13406="",0,IF(CONFIG_METADATA!$B$4&lt;&gt;"OR+EX",--(DATOS!$G13406=CONFIG_METADATA!$B$4),IF(DATOS!$G13406="EX",1,IF(DATOS!$G13406="OR",--(COUNTIFS(nNIA,DATOS!$A13406,nCURSO,DATOS!$D13406,nESPEC,DATOS!$E13406,nASIG,DATOS!$I13406,nEVAL,"EX")=0),0))))</f>
      </c>
      <c r="H13406">
        <f>IF(DATOS!$G13406&lt;&gt;"EX",0,--(COUNTIFS(nNIA,DATOS!$A13406,nCURSO,DATOS!$D13406,nESPEC,DATOS!$E13406,nASIG,DATOS!$I13406,nEVAL,"OR")=0))</f>
      </c>
      <c r="I13406">
        <f>IF(DATOS!$I13406="","",IFERROR(VLOOKUP(DATOS!$I13406,CONFIG_ASIGNATURAS!$B$2:$J$91,9,FALSE()),""))</f>
      </c>
    </row>
    <row r="13407">
      <c r="F13407">
        <f>IF(DATOS!$A13407="","",DATOS!$A13407&amp;"|"&amp;DATOS!$D13407&amp;"|"&amp;DATOS!$E13407&amp;"|"&amp;DATOS!$I13407)</f>
      </c>
      <c r="G13407">
        <f>IF(DATOS!$A13407="",0,IF(CONFIG_METADATA!$B$4&lt;&gt;"OR+EX",--(DATOS!$G13407=CONFIG_METADATA!$B$4),IF(DATOS!$G13407="EX",1,IF(DATOS!$G13407="OR",--(COUNTIFS(nNIA,DATOS!$A13407,nCURSO,DATOS!$D13407,nESPEC,DATOS!$E13407,nASIG,DATOS!$I13407,nEVAL,"EX")=0),0))))</f>
      </c>
      <c r="H13407">
        <f>IF(DATOS!$G13407&lt;&gt;"EX",0,--(COUNTIFS(nNIA,DATOS!$A13407,nCURSO,DATOS!$D13407,nESPEC,DATOS!$E13407,nASIG,DATOS!$I13407,nEVAL,"OR")=0))</f>
      </c>
      <c r="I13407">
        <f>IF(DATOS!$I13407="","",IFERROR(VLOOKUP(DATOS!$I13407,CONFIG_ASIGNATURAS!$B$2:$J$91,9,FALSE()),""))</f>
      </c>
    </row>
    <row r="13408">
      <c r="F13408">
        <f>IF(DATOS!$A13408="","",DATOS!$A13408&amp;"|"&amp;DATOS!$D13408&amp;"|"&amp;DATOS!$E13408&amp;"|"&amp;DATOS!$I13408)</f>
      </c>
      <c r="G13408">
        <f>IF(DATOS!$A13408="",0,IF(CONFIG_METADATA!$B$4&lt;&gt;"OR+EX",--(DATOS!$G13408=CONFIG_METADATA!$B$4),IF(DATOS!$G13408="EX",1,IF(DATOS!$G13408="OR",--(COUNTIFS(nNIA,DATOS!$A13408,nCURSO,DATOS!$D13408,nESPEC,DATOS!$E13408,nASIG,DATOS!$I13408,nEVAL,"EX")=0),0))))</f>
      </c>
      <c r="H13408">
        <f>IF(DATOS!$G13408&lt;&gt;"EX",0,--(COUNTIFS(nNIA,DATOS!$A13408,nCURSO,DATOS!$D13408,nESPEC,DATOS!$E13408,nASIG,DATOS!$I13408,nEVAL,"OR")=0))</f>
      </c>
      <c r="I13408">
        <f>IF(DATOS!$I13408="","",IFERROR(VLOOKUP(DATOS!$I13408,CONFIG_ASIGNATURAS!$B$2:$J$91,9,FALSE()),""))</f>
      </c>
    </row>
    <row r="13409">
      <c r="F13409">
        <f>IF(DATOS!$A13409="","",DATOS!$A13409&amp;"|"&amp;DATOS!$D13409&amp;"|"&amp;DATOS!$E13409&amp;"|"&amp;DATOS!$I13409)</f>
      </c>
      <c r="G13409">
        <f>IF(DATOS!$A13409="",0,IF(CONFIG_METADATA!$B$4&lt;&gt;"OR+EX",--(DATOS!$G13409=CONFIG_METADATA!$B$4),IF(DATOS!$G13409="EX",1,IF(DATOS!$G13409="OR",--(COUNTIFS(nNIA,DATOS!$A13409,nCURSO,DATOS!$D13409,nESPEC,DATOS!$E13409,nASIG,DATOS!$I13409,nEVAL,"EX")=0),0))))</f>
      </c>
      <c r="H13409">
        <f>IF(DATOS!$G13409&lt;&gt;"EX",0,--(COUNTIFS(nNIA,DATOS!$A13409,nCURSO,DATOS!$D13409,nESPEC,DATOS!$E13409,nASIG,DATOS!$I13409,nEVAL,"OR")=0))</f>
      </c>
      <c r="I13409">
        <f>IF(DATOS!$I13409="","",IFERROR(VLOOKUP(DATOS!$I13409,CONFIG_ASIGNATURAS!$B$2:$J$91,9,FALSE()),""))</f>
      </c>
    </row>
    <row r="13410">
      <c r="F13410">
        <f>IF(DATOS!$A13410="","",DATOS!$A13410&amp;"|"&amp;DATOS!$D13410&amp;"|"&amp;DATOS!$E13410&amp;"|"&amp;DATOS!$I13410)</f>
      </c>
      <c r="G13410">
        <f>IF(DATOS!$A13410="",0,IF(CONFIG_METADATA!$B$4&lt;&gt;"OR+EX",--(DATOS!$G13410=CONFIG_METADATA!$B$4),IF(DATOS!$G13410="EX",1,IF(DATOS!$G13410="OR",--(COUNTIFS(nNIA,DATOS!$A13410,nCURSO,DATOS!$D13410,nESPEC,DATOS!$E13410,nASIG,DATOS!$I13410,nEVAL,"EX")=0),0))))</f>
      </c>
      <c r="H13410">
        <f>IF(DATOS!$G13410&lt;&gt;"EX",0,--(COUNTIFS(nNIA,DATOS!$A13410,nCURSO,DATOS!$D13410,nESPEC,DATOS!$E13410,nASIG,DATOS!$I13410,nEVAL,"OR")=0))</f>
      </c>
      <c r="I13410">
        <f>IF(DATOS!$I13410="","",IFERROR(VLOOKUP(DATOS!$I13410,CONFIG_ASIGNATURAS!$B$2:$J$91,9,FALSE()),""))</f>
      </c>
    </row>
    <row r="13411">
      <c r="F13411">
        <f>IF(DATOS!$A13411="","",DATOS!$A13411&amp;"|"&amp;DATOS!$D13411&amp;"|"&amp;DATOS!$E13411&amp;"|"&amp;DATOS!$I13411)</f>
      </c>
      <c r="G13411">
        <f>IF(DATOS!$A13411="",0,IF(CONFIG_METADATA!$B$4&lt;&gt;"OR+EX",--(DATOS!$G13411=CONFIG_METADATA!$B$4),IF(DATOS!$G13411="EX",1,IF(DATOS!$G13411="OR",--(COUNTIFS(nNIA,DATOS!$A13411,nCURSO,DATOS!$D13411,nESPEC,DATOS!$E13411,nASIG,DATOS!$I13411,nEVAL,"EX")=0),0))))</f>
      </c>
      <c r="H13411">
        <f>IF(DATOS!$G13411&lt;&gt;"EX",0,--(COUNTIFS(nNIA,DATOS!$A13411,nCURSO,DATOS!$D13411,nESPEC,DATOS!$E13411,nASIG,DATOS!$I13411,nEVAL,"OR")=0))</f>
      </c>
      <c r="I13411">
        <f>IF(DATOS!$I13411="","",IFERROR(VLOOKUP(DATOS!$I13411,CONFIG_ASIGNATURAS!$B$2:$J$91,9,FALSE()),""))</f>
      </c>
    </row>
    <row r="13412">
      <c r="F13412">
        <f>IF(DATOS!$A13412="","",DATOS!$A13412&amp;"|"&amp;DATOS!$D13412&amp;"|"&amp;DATOS!$E13412&amp;"|"&amp;DATOS!$I13412)</f>
      </c>
      <c r="G13412">
        <f>IF(DATOS!$A13412="",0,IF(CONFIG_METADATA!$B$4&lt;&gt;"OR+EX",--(DATOS!$G13412=CONFIG_METADATA!$B$4),IF(DATOS!$G13412="EX",1,IF(DATOS!$G13412="OR",--(COUNTIFS(nNIA,DATOS!$A13412,nCURSO,DATOS!$D13412,nESPEC,DATOS!$E13412,nASIG,DATOS!$I13412,nEVAL,"EX")=0),0))))</f>
      </c>
      <c r="H13412">
        <f>IF(DATOS!$G13412&lt;&gt;"EX",0,--(COUNTIFS(nNIA,DATOS!$A13412,nCURSO,DATOS!$D13412,nESPEC,DATOS!$E13412,nASIG,DATOS!$I13412,nEVAL,"OR")=0))</f>
      </c>
      <c r="I13412">
        <f>IF(DATOS!$I13412="","",IFERROR(VLOOKUP(DATOS!$I13412,CONFIG_ASIGNATURAS!$B$2:$J$91,9,FALSE()),""))</f>
      </c>
    </row>
    <row r="13413">
      <c r="F13413">
        <f>IF(DATOS!$A13413="","",DATOS!$A13413&amp;"|"&amp;DATOS!$D13413&amp;"|"&amp;DATOS!$E13413&amp;"|"&amp;DATOS!$I13413)</f>
      </c>
      <c r="G13413">
        <f>IF(DATOS!$A13413="",0,IF(CONFIG_METADATA!$B$4&lt;&gt;"OR+EX",--(DATOS!$G13413=CONFIG_METADATA!$B$4),IF(DATOS!$G13413="EX",1,IF(DATOS!$G13413="OR",--(COUNTIFS(nNIA,DATOS!$A13413,nCURSO,DATOS!$D13413,nESPEC,DATOS!$E13413,nASIG,DATOS!$I13413,nEVAL,"EX")=0),0))))</f>
      </c>
      <c r="H13413">
        <f>IF(DATOS!$G13413&lt;&gt;"EX",0,--(COUNTIFS(nNIA,DATOS!$A13413,nCURSO,DATOS!$D13413,nESPEC,DATOS!$E13413,nASIG,DATOS!$I13413,nEVAL,"OR")=0))</f>
      </c>
      <c r="I13413">
        <f>IF(DATOS!$I13413="","",IFERROR(VLOOKUP(DATOS!$I13413,CONFIG_ASIGNATURAS!$B$2:$J$91,9,FALSE()),""))</f>
      </c>
    </row>
    <row r="13414">
      <c r="F13414">
        <f>IF(DATOS!$A13414="","",DATOS!$A13414&amp;"|"&amp;DATOS!$D13414&amp;"|"&amp;DATOS!$E13414&amp;"|"&amp;DATOS!$I13414)</f>
      </c>
      <c r="G13414">
        <f>IF(DATOS!$A13414="",0,IF(CONFIG_METADATA!$B$4&lt;&gt;"OR+EX",--(DATOS!$G13414=CONFIG_METADATA!$B$4),IF(DATOS!$G13414="EX",1,IF(DATOS!$G13414="OR",--(COUNTIFS(nNIA,DATOS!$A13414,nCURSO,DATOS!$D13414,nESPEC,DATOS!$E13414,nASIG,DATOS!$I13414,nEVAL,"EX")=0),0))))</f>
      </c>
      <c r="H13414">
        <f>IF(DATOS!$G13414&lt;&gt;"EX",0,--(COUNTIFS(nNIA,DATOS!$A13414,nCURSO,DATOS!$D13414,nESPEC,DATOS!$E13414,nASIG,DATOS!$I13414,nEVAL,"OR")=0))</f>
      </c>
      <c r="I13414">
        <f>IF(DATOS!$I13414="","",IFERROR(VLOOKUP(DATOS!$I13414,CONFIG_ASIGNATURAS!$B$2:$J$91,9,FALSE()),""))</f>
      </c>
    </row>
    <row r="13415">
      <c r="F13415">
        <f>IF(DATOS!$A13415="","",DATOS!$A13415&amp;"|"&amp;DATOS!$D13415&amp;"|"&amp;DATOS!$E13415&amp;"|"&amp;DATOS!$I13415)</f>
      </c>
      <c r="G13415">
        <f>IF(DATOS!$A13415="",0,IF(CONFIG_METADATA!$B$4&lt;&gt;"OR+EX",--(DATOS!$G13415=CONFIG_METADATA!$B$4),IF(DATOS!$G13415="EX",1,IF(DATOS!$G13415="OR",--(COUNTIFS(nNIA,DATOS!$A13415,nCURSO,DATOS!$D13415,nESPEC,DATOS!$E13415,nASIG,DATOS!$I13415,nEVAL,"EX")=0),0))))</f>
      </c>
      <c r="H13415">
        <f>IF(DATOS!$G13415&lt;&gt;"EX",0,--(COUNTIFS(nNIA,DATOS!$A13415,nCURSO,DATOS!$D13415,nESPEC,DATOS!$E13415,nASIG,DATOS!$I13415,nEVAL,"OR")=0))</f>
      </c>
      <c r="I13415">
        <f>IF(DATOS!$I13415="","",IFERROR(VLOOKUP(DATOS!$I13415,CONFIG_ASIGNATURAS!$B$2:$J$91,9,FALSE()),""))</f>
      </c>
    </row>
    <row r="13416">
      <c r="F13416">
        <f>IF(DATOS!$A13416="","",DATOS!$A13416&amp;"|"&amp;DATOS!$D13416&amp;"|"&amp;DATOS!$E13416&amp;"|"&amp;DATOS!$I13416)</f>
      </c>
      <c r="G13416">
        <f>IF(DATOS!$A13416="",0,IF(CONFIG_METADATA!$B$4&lt;&gt;"OR+EX",--(DATOS!$G13416=CONFIG_METADATA!$B$4),IF(DATOS!$G13416="EX",1,IF(DATOS!$G13416="OR",--(COUNTIFS(nNIA,DATOS!$A13416,nCURSO,DATOS!$D13416,nESPEC,DATOS!$E13416,nASIG,DATOS!$I13416,nEVAL,"EX")=0),0))))</f>
      </c>
      <c r="H13416">
        <f>IF(DATOS!$G13416&lt;&gt;"EX",0,--(COUNTIFS(nNIA,DATOS!$A13416,nCURSO,DATOS!$D13416,nESPEC,DATOS!$E13416,nASIG,DATOS!$I13416,nEVAL,"OR")=0))</f>
      </c>
      <c r="I13416">
        <f>IF(DATOS!$I13416="","",IFERROR(VLOOKUP(DATOS!$I13416,CONFIG_ASIGNATURAS!$B$2:$J$91,9,FALSE()),""))</f>
      </c>
    </row>
    <row r="13417">
      <c r="F13417">
        <f>IF(DATOS!$A13417="","",DATOS!$A13417&amp;"|"&amp;DATOS!$D13417&amp;"|"&amp;DATOS!$E13417&amp;"|"&amp;DATOS!$I13417)</f>
      </c>
      <c r="G13417">
        <f>IF(DATOS!$A13417="",0,IF(CONFIG_METADATA!$B$4&lt;&gt;"OR+EX",--(DATOS!$G13417=CONFIG_METADATA!$B$4),IF(DATOS!$G13417="EX",1,IF(DATOS!$G13417="OR",--(COUNTIFS(nNIA,DATOS!$A13417,nCURSO,DATOS!$D13417,nESPEC,DATOS!$E13417,nASIG,DATOS!$I13417,nEVAL,"EX")=0),0))))</f>
      </c>
      <c r="H13417">
        <f>IF(DATOS!$G13417&lt;&gt;"EX",0,--(COUNTIFS(nNIA,DATOS!$A13417,nCURSO,DATOS!$D13417,nESPEC,DATOS!$E13417,nASIG,DATOS!$I13417,nEVAL,"OR")=0))</f>
      </c>
      <c r="I13417">
        <f>IF(DATOS!$I13417="","",IFERROR(VLOOKUP(DATOS!$I13417,CONFIG_ASIGNATURAS!$B$2:$J$91,9,FALSE()),""))</f>
      </c>
    </row>
    <row r="13418">
      <c r="F13418">
        <f>IF(DATOS!$A13418="","",DATOS!$A13418&amp;"|"&amp;DATOS!$D13418&amp;"|"&amp;DATOS!$E13418&amp;"|"&amp;DATOS!$I13418)</f>
      </c>
      <c r="G13418">
        <f>IF(DATOS!$A13418="",0,IF(CONFIG_METADATA!$B$4&lt;&gt;"OR+EX",--(DATOS!$G13418=CONFIG_METADATA!$B$4),IF(DATOS!$G13418="EX",1,IF(DATOS!$G13418="OR",--(COUNTIFS(nNIA,DATOS!$A13418,nCURSO,DATOS!$D13418,nESPEC,DATOS!$E13418,nASIG,DATOS!$I13418,nEVAL,"EX")=0),0))))</f>
      </c>
      <c r="H13418">
        <f>IF(DATOS!$G13418&lt;&gt;"EX",0,--(COUNTIFS(nNIA,DATOS!$A13418,nCURSO,DATOS!$D13418,nESPEC,DATOS!$E13418,nASIG,DATOS!$I13418,nEVAL,"OR")=0))</f>
      </c>
      <c r="I13418">
        <f>IF(DATOS!$I13418="","",IFERROR(VLOOKUP(DATOS!$I13418,CONFIG_ASIGNATURAS!$B$2:$J$91,9,FALSE()),""))</f>
      </c>
    </row>
    <row r="13419">
      <c r="F13419">
        <f>IF(DATOS!$A13419="","",DATOS!$A13419&amp;"|"&amp;DATOS!$D13419&amp;"|"&amp;DATOS!$E13419&amp;"|"&amp;DATOS!$I13419)</f>
      </c>
      <c r="G13419">
        <f>IF(DATOS!$A13419="",0,IF(CONFIG_METADATA!$B$4&lt;&gt;"OR+EX",--(DATOS!$G13419=CONFIG_METADATA!$B$4),IF(DATOS!$G13419="EX",1,IF(DATOS!$G13419="OR",--(COUNTIFS(nNIA,DATOS!$A13419,nCURSO,DATOS!$D13419,nESPEC,DATOS!$E13419,nASIG,DATOS!$I13419,nEVAL,"EX")=0),0))))</f>
      </c>
      <c r="H13419">
        <f>IF(DATOS!$G13419&lt;&gt;"EX",0,--(COUNTIFS(nNIA,DATOS!$A13419,nCURSO,DATOS!$D13419,nESPEC,DATOS!$E13419,nASIG,DATOS!$I13419,nEVAL,"OR")=0))</f>
      </c>
      <c r="I13419">
        <f>IF(DATOS!$I13419="","",IFERROR(VLOOKUP(DATOS!$I13419,CONFIG_ASIGNATURAS!$B$2:$J$91,9,FALSE()),""))</f>
      </c>
    </row>
    <row r="13420">
      <c r="F13420">
        <f>IF(DATOS!$A13420="","",DATOS!$A13420&amp;"|"&amp;DATOS!$D13420&amp;"|"&amp;DATOS!$E13420&amp;"|"&amp;DATOS!$I13420)</f>
      </c>
      <c r="G13420">
        <f>IF(DATOS!$A13420="",0,IF(CONFIG_METADATA!$B$4&lt;&gt;"OR+EX",--(DATOS!$G13420=CONFIG_METADATA!$B$4),IF(DATOS!$G13420="EX",1,IF(DATOS!$G13420="OR",--(COUNTIFS(nNIA,DATOS!$A13420,nCURSO,DATOS!$D13420,nESPEC,DATOS!$E13420,nASIG,DATOS!$I13420,nEVAL,"EX")=0),0))))</f>
      </c>
      <c r="H13420">
        <f>IF(DATOS!$G13420&lt;&gt;"EX",0,--(COUNTIFS(nNIA,DATOS!$A13420,nCURSO,DATOS!$D13420,nESPEC,DATOS!$E13420,nASIG,DATOS!$I13420,nEVAL,"OR")=0))</f>
      </c>
      <c r="I13420">
        <f>IF(DATOS!$I13420="","",IFERROR(VLOOKUP(DATOS!$I13420,CONFIG_ASIGNATURAS!$B$2:$J$91,9,FALSE()),""))</f>
      </c>
    </row>
    <row r="13421">
      <c r="F13421">
        <f>IF(DATOS!$A13421="","",DATOS!$A13421&amp;"|"&amp;DATOS!$D13421&amp;"|"&amp;DATOS!$E13421&amp;"|"&amp;DATOS!$I13421)</f>
      </c>
      <c r="G13421">
        <f>IF(DATOS!$A13421="",0,IF(CONFIG_METADATA!$B$4&lt;&gt;"OR+EX",--(DATOS!$G13421=CONFIG_METADATA!$B$4),IF(DATOS!$G13421="EX",1,IF(DATOS!$G13421="OR",--(COUNTIFS(nNIA,DATOS!$A13421,nCURSO,DATOS!$D13421,nESPEC,DATOS!$E13421,nASIG,DATOS!$I13421,nEVAL,"EX")=0),0))))</f>
      </c>
      <c r="H13421">
        <f>IF(DATOS!$G13421&lt;&gt;"EX",0,--(COUNTIFS(nNIA,DATOS!$A13421,nCURSO,DATOS!$D13421,nESPEC,DATOS!$E13421,nASIG,DATOS!$I13421,nEVAL,"OR")=0))</f>
      </c>
      <c r="I13421">
        <f>IF(DATOS!$I13421="","",IFERROR(VLOOKUP(DATOS!$I13421,CONFIG_ASIGNATURAS!$B$2:$J$91,9,FALSE()),""))</f>
      </c>
    </row>
    <row r="13422">
      <c r="F13422">
        <f>IF(DATOS!$A13422="","",DATOS!$A13422&amp;"|"&amp;DATOS!$D13422&amp;"|"&amp;DATOS!$E13422&amp;"|"&amp;DATOS!$I13422)</f>
      </c>
      <c r="G13422">
        <f>IF(DATOS!$A13422="",0,IF(CONFIG_METADATA!$B$4&lt;&gt;"OR+EX",--(DATOS!$G13422=CONFIG_METADATA!$B$4),IF(DATOS!$G13422="EX",1,IF(DATOS!$G13422="OR",--(COUNTIFS(nNIA,DATOS!$A13422,nCURSO,DATOS!$D13422,nESPEC,DATOS!$E13422,nASIG,DATOS!$I13422,nEVAL,"EX")=0),0))))</f>
      </c>
      <c r="H13422">
        <f>IF(DATOS!$G13422&lt;&gt;"EX",0,--(COUNTIFS(nNIA,DATOS!$A13422,nCURSO,DATOS!$D13422,nESPEC,DATOS!$E13422,nASIG,DATOS!$I13422,nEVAL,"OR")=0))</f>
      </c>
      <c r="I13422">
        <f>IF(DATOS!$I13422="","",IFERROR(VLOOKUP(DATOS!$I13422,CONFIG_ASIGNATURAS!$B$2:$J$91,9,FALSE()),""))</f>
      </c>
    </row>
    <row r="13423">
      <c r="F13423">
        <f>IF(DATOS!$A13423="","",DATOS!$A13423&amp;"|"&amp;DATOS!$D13423&amp;"|"&amp;DATOS!$E13423&amp;"|"&amp;DATOS!$I13423)</f>
      </c>
      <c r="G13423">
        <f>IF(DATOS!$A13423="",0,IF(CONFIG_METADATA!$B$4&lt;&gt;"OR+EX",--(DATOS!$G13423=CONFIG_METADATA!$B$4),IF(DATOS!$G13423="EX",1,IF(DATOS!$G13423="OR",--(COUNTIFS(nNIA,DATOS!$A13423,nCURSO,DATOS!$D13423,nESPEC,DATOS!$E13423,nASIG,DATOS!$I13423,nEVAL,"EX")=0),0))))</f>
      </c>
      <c r="H13423">
        <f>IF(DATOS!$G13423&lt;&gt;"EX",0,--(COUNTIFS(nNIA,DATOS!$A13423,nCURSO,DATOS!$D13423,nESPEC,DATOS!$E13423,nASIG,DATOS!$I13423,nEVAL,"OR")=0))</f>
      </c>
      <c r="I13423">
        <f>IF(DATOS!$I13423="","",IFERROR(VLOOKUP(DATOS!$I13423,CONFIG_ASIGNATURAS!$B$2:$J$91,9,FALSE()),""))</f>
      </c>
    </row>
    <row r="13424">
      <c r="F13424">
        <f>IF(DATOS!$A13424="","",DATOS!$A13424&amp;"|"&amp;DATOS!$D13424&amp;"|"&amp;DATOS!$E13424&amp;"|"&amp;DATOS!$I13424)</f>
      </c>
      <c r="G13424">
        <f>IF(DATOS!$A13424="",0,IF(CONFIG_METADATA!$B$4&lt;&gt;"OR+EX",--(DATOS!$G13424=CONFIG_METADATA!$B$4),IF(DATOS!$G13424="EX",1,IF(DATOS!$G13424="OR",--(COUNTIFS(nNIA,DATOS!$A13424,nCURSO,DATOS!$D13424,nESPEC,DATOS!$E13424,nASIG,DATOS!$I13424,nEVAL,"EX")=0),0))))</f>
      </c>
      <c r="H13424">
        <f>IF(DATOS!$G13424&lt;&gt;"EX",0,--(COUNTIFS(nNIA,DATOS!$A13424,nCURSO,DATOS!$D13424,nESPEC,DATOS!$E13424,nASIG,DATOS!$I13424,nEVAL,"OR")=0))</f>
      </c>
      <c r="I13424">
        <f>IF(DATOS!$I13424="","",IFERROR(VLOOKUP(DATOS!$I13424,CONFIG_ASIGNATURAS!$B$2:$J$91,9,FALSE()),""))</f>
      </c>
    </row>
    <row r="13425">
      <c r="F13425">
        <f>IF(DATOS!$A13425="","",DATOS!$A13425&amp;"|"&amp;DATOS!$D13425&amp;"|"&amp;DATOS!$E13425&amp;"|"&amp;DATOS!$I13425)</f>
      </c>
      <c r="G13425">
        <f>IF(DATOS!$A13425="",0,IF(CONFIG_METADATA!$B$4&lt;&gt;"OR+EX",--(DATOS!$G13425=CONFIG_METADATA!$B$4),IF(DATOS!$G13425="EX",1,IF(DATOS!$G13425="OR",--(COUNTIFS(nNIA,DATOS!$A13425,nCURSO,DATOS!$D13425,nESPEC,DATOS!$E13425,nASIG,DATOS!$I13425,nEVAL,"EX")=0),0))))</f>
      </c>
      <c r="H13425">
        <f>IF(DATOS!$G13425&lt;&gt;"EX",0,--(COUNTIFS(nNIA,DATOS!$A13425,nCURSO,DATOS!$D13425,nESPEC,DATOS!$E13425,nASIG,DATOS!$I13425,nEVAL,"OR")=0))</f>
      </c>
      <c r="I13425">
        <f>IF(DATOS!$I13425="","",IFERROR(VLOOKUP(DATOS!$I13425,CONFIG_ASIGNATURAS!$B$2:$J$91,9,FALSE()),""))</f>
      </c>
    </row>
    <row r="13426">
      <c r="F13426">
        <f>IF(DATOS!$A13426="","",DATOS!$A13426&amp;"|"&amp;DATOS!$D13426&amp;"|"&amp;DATOS!$E13426&amp;"|"&amp;DATOS!$I13426)</f>
      </c>
      <c r="G13426">
        <f>IF(DATOS!$A13426="",0,IF(CONFIG_METADATA!$B$4&lt;&gt;"OR+EX",--(DATOS!$G13426=CONFIG_METADATA!$B$4),IF(DATOS!$G13426="EX",1,IF(DATOS!$G13426="OR",--(COUNTIFS(nNIA,DATOS!$A13426,nCURSO,DATOS!$D13426,nESPEC,DATOS!$E13426,nASIG,DATOS!$I13426,nEVAL,"EX")=0),0))))</f>
      </c>
      <c r="H13426">
        <f>IF(DATOS!$G13426&lt;&gt;"EX",0,--(COUNTIFS(nNIA,DATOS!$A13426,nCURSO,DATOS!$D13426,nESPEC,DATOS!$E13426,nASIG,DATOS!$I13426,nEVAL,"OR")=0))</f>
      </c>
      <c r="I13426">
        <f>IF(DATOS!$I13426="","",IFERROR(VLOOKUP(DATOS!$I13426,CONFIG_ASIGNATURAS!$B$2:$J$91,9,FALSE()),""))</f>
      </c>
    </row>
    <row r="13427">
      <c r="F13427">
        <f>IF(DATOS!$A13427="","",DATOS!$A13427&amp;"|"&amp;DATOS!$D13427&amp;"|"&amp;DATOS!$E13427&amp;"|"&amp;DATOS!$I13427)</f>
      </c>
      <c r="G13427">
        <f>IF(DATOS!$A13427="",0,IF(CONFIG_METADATA!$B$4&lt;&gt;"OR+EX",--(DATOS!$G13427=CONFIG_METADATA!$B$4),IF(DATOS!$G13427="EX",1,IF(DATOS!$G13427="OR",--(COUNTIFS(nNIA,DATOS!$A13427,nCURSO,DATOS!$D13427,nESPEC,DATOS!$E13427,nASIG,DATOS!$I13427,nEVAL,"EX")=0),0))))</f>
      </c>
      <c r="H13427">
        <f>IF(DATOS!$G13427&lt;&gt;"EX",0,--(COUNTIFS(nNIA,DATOS!$A13427,nCURSO,DATOS!$D13427,nESPEC,DATOS!$E13427,nASIG,DATOS!$I13427,nEVAL,"OR")=0))</f>
      </c>
      <c r="I13427">
        <f>IF(DATOS!$I13427="","",IFERROR(VLOOKUP(DATOS!$I13427,CONFIG_ASIGNATURAS!$B$2:$J$91,9,FALSE()),""))</f>
      </c>
    </row>
    <row r="13428">
      <c r="F13428">
        <f>IF(DATOS!$A13428="","",DATOS!$A13428&amp;"|"&amp;DATOS!$D13428&amp;"|"&amp;DATOS!$E13428&amp;"|"&amp;DATOS!$I13428)</f>
      </c>
      <c r="G13428">
        <f>IF(DATOS!$A13428="",0,IF(CONFIG_METADATA!$B$4&lt;&gt;"OR+EX",--(DATOS!$G13428=CONFIG_METADATA!$B$4),IF(DATOS!$G13428="EX",1,IF(DATOS!$G13428="OR",--(COUNTIFS(nNIA,DATOS!$A13428,nCURSO,DATOS!$D13428,nESPEC,DATOS!$E13428,nASIG,DATOS!$I13428,nEVAL,"EX")=0),0))))</f>
      </c>
      <c r="H13428">
        <f>IF(DATOS!$G13428&lt;&gt;"EX",0,--(COUNTIFS(nNIA,DATOS!$A13428,nCURSO,DATOS!$D13428,nESPEC,DATOS!$E13428,nASIG,DATOS!$I13428,nEVAL,"OR")=0))</f>
      </c>
      <c r="I13428">
        <f>IF(DATOS!$I13428="","",IFERROR(VLOOKUP(DATOS!$I13428,CONFIG_ASIGNATURAS!$B$2:$J$91,9,FALSE()),""))</f>
      </c>
    </row>
    <row r="13429">
      <c r="F13429">
        <f>IF(DATOS!$A13429="","",DATOS!$A13429&amp;"|"&amp;DATOS!$D13429&amp;"|"&amp;DATOS!$E13429&amp;"|"&amp;DATOS!$I13429)</f>
      </c>
      <c r="G13429">
        <f>IF(DATOS!$A13429="",0,IF(CONFIG_METADATA!$B$4&lt;&gt;"OR+EX",--(DATOS!$G13429=CONFIG_METADATA!$B$4),IF(DATOS!$G13429="EX",1,IF(DATOS!$G13429="OR",--(COUNTIFS(nNIA,DATOS!$A13429,nCURSO,DATOS!$D13429,nESPEC,DATOS!$E13429,nASIG,DATOS!$I13429,nEVAL,"EX")=0),0))))</f>
      </c>
      <c r="H13429">
        <f>IF(DATOS!$G13429&lt;&gt;"EX",0,--(COUNTIFS(nNIA,DATOS!$A13429,nCURSO,DATOS!$D13429,nESPEC,DATOS!$E13429,nASIG,DATOS!$I13429,nEVAL,"OR")=0))</f>
      </c>
      <c r="I13429">
        <f>IF(DATOS!$I13429="","",IFERROR(VLOOKUP(DATOS!$I13429,CONFIG_ASIGNATURAS!$B$2:$J$91,9,FALSE()),""))</f>
      </c>
    </row>
    <row r="13430">
      <c r="F13430">
        <f>IF(DATOS!$A13430="","",DATOS!$A13430&amp;"|"&amp;DATOS!$D13430&amp;"|"&amp;DATOS!$E13430&amp;"|"&amp;DATOS!$I13430)</f>
      </c>
      <c r="G13430">
        <f>IF(DATOS!$A13430="",0,IF(CONFIG_METADATA!$B$4&lt;&gt;"OR+EX",--(DATOS!$G13430=CONFIG_METADATA!$B$4),IF(DATOS!$G13430="EX",1,IF(DATOS!$G13430="OR",--(COUNTIFS(nNIA,DATOS!$A13430,nCURSO,DATOS!$D13430,nESPEC,DATOS!$E13430,nASIG,DATOS!$I13430,nEVAL,"EX")=0),0))))</f>
      </c>
      <c r="H13430">
        <f>IF(DATOS!$G13430&lt;&gt;"EX",0,--(COUNTIFS(nNIA,DATOS!$A13430,nCURSO,DATOS!$D13430,nESPEC,DATOS!$E13430,nASIG,DATOS!$I13430,nEVAL,"OR")=0))</f>
      </c>
      <c r="I13430">
        <f>IF(DATOS!$I13430="","",IFERROR(VLOOKUP(DATOS!$I13430,CONFIG_ASIGNATURAS!$B$2:$J$91,9,FALSE()),""))</f>
      </c>
    </row>
    <row r="13431">
      <c r="F13431">
        <f>IF(DATOS!$A13431="","",DATOS!$A13431&amp;"|"&amp;DATOS!$D13431&amp;"|"&amp;DATOS!$E13431&amp;"|"&amp;DATOS!$I13431)</f>
      </c>
      <c r="G13431">
        <f>IF(DATOS!$A13431="",0,IF(CONFIG_METADATA!$B$4&lt;&gt;"OR+EX",--(DATOS!$G13431=CONFIG_METADATA!$B$4),IF(DATOS!$G13431="EX",1,IF(DATOS!$G13431="OR",--(COUNTIFS(nNIA,DATOS!$A13431,nCURSO,DATOS!$D13431,nESPEC,DATOS!$E13431,nASIG,DATOS!$I13431,nEVAL,"EX")=0),0))))</f>
      </c>
      <c r="H13431">
        <f>IF(DATOS!$G13431&lt;&gt;"EX",0,--(COUNTIFS(nNIA,DATOS!$A13431,nCURSO,DATOS!$D13431,nESPEC,DATOS!$E13431,nASIG,DATOS!$I13431,nEVAL,"OR")=0))</f>
      </c>
      <c r="I13431">
        <f>IF(DATOS!$I13431="","",IFERROR(VLOOKUP(DATOS!$I13431,CONFIG_ASIGNATURAS!$B$2:$J$91,9,FALSE()),""))</f>
      </c>
    </row>
    <row r="13432">
      <c r="F13432">
        <f>IF(DATOS!$A13432="","",DATOS!$A13432&amp;"|"&amp;DATOS!$D13432&amp;"|"&amp;DATOS!$E13432&amp;"|"&amp;DATOS!$I13432)</f>
      </c>
      <c r="G13432">
        <f>IF(DATOS!$A13432="",0,IF(CONFIG_METADATA!$B$4&lt;&gt;"OR+EX",--(DATOS!$G13432=CONFIG_METADATA!$B$4),IF(DATOS!$G13432="EX",1,IF(DATOS!$G13432="OR",--(COUNTIFS(nNIA,DATOS!$A13432,nCURSO,DATOS!$D13432,nESPEC,DATOS!$E13432,nASIG,DATOS!$I13432,nEVAL,"EX")=0),0))))</f>
      </c>
      <c r="H13432">
        <f>IF(DATOS!$G13432&lt;&gt;"EX",0,--(COUNTIFS(nNIA,DATOS!$A13432,nCURSO,DATOS!$D13432,nESPEC,DATOS!$E13432,nASIG,DATOS!$I13432,nEVAL,"OR")=0))</f>
      </c>
      <c r="I13432">
        <f>IF(DATOS!$I13432="","",IFERROR(VLOOKUP(DATOS!$I13432,CONFIG_ASIGNATURAS!$B$2:$J$91,9,FALSE()),""))</f>
      </c>
    </row>
    <row r="13433">
      <c r="F13433">
        <f>IF(DATOS!$A13433="","",DATOS!$A13433&amp;"|"&amp;DATOS!$D13433&amp;"|"&amp;DATOS!$E13433&amp;"|"&amp;DATOS!$I13433)</f>
      </c>
      <c r="G13433">
        <f>IF(DATOS!$A13433="",0,IF(CONFIG_METADATA!$B$4&lt;&gt;"OR+EX",--(DATOS!$G13433=CONFIG_METADATA!$B$4),IF(DATOS!$G13433="EX",1,IF(DATOS!$G13433="OR",--(COUNTIFS(nNIA,DATOS!$A13433,nCURSO,DATOS!$D13433,nESPEC,DATOS!$E13433,nASIG,DATOS!$I13433,nEVAL,"EX")=0),0))))</f>
      </c>
      <c r="H13433">
        <f>IF(DATOS!$G13433&lt;&gt;"EX",0,--(COUNTIFS(nNIA,DATOS!$A13433,nCURSO,DATOS!$D13433,nESPEC,DATOS!$E13433,nASIG,DATOS!$I13433,nEVAL,"OR")=0))</f>
      </c>
      <c r="I13433">
        <f>IF(DATOS!$I13433="","",IFERROR(VLOOKUP(DATOS!$I13433,CONFIG_ASIGNATURAS!$B$2:$J$91,9,FALSE()),""))</f>
      </c>
    </row>
    <row r="13434">
      <c r="F13434">
        <f>IF(DATOS!$A13434="","",DATOS!$A13434&amp;"|"&amp;DATOS!$D13434&amp;"|"&amp;DATOS!$E13434&amp;"|"&amp;DATOS!$I13434)</f>
      </c>
      <c r="G13434">
        <f>IF(DATOS!$A13434="",0,IF(CONFIG_METADATA!$B$4&lt;&gt;"OR+EX",--(DATOS!$G13434=CONFIG_METADATA!$B$4),IF(DATOS!$G13434="EX",1,IF(DATOS!$G13434="OR",--(COUNTIFS(nNIA,DATOS!$A13434,nCURSO,DATOS!$D13434,nESPEC,DATOS!$E13434,nASIG,DATOS!$I13434,nEVAL,"EX")=0),0))))</f>
      </c>
      <c r="H13434">
        <f>IF(DATOS!$G13434&lt;&gt;"EX",0,--(COUNTIFS(nNIA,DATOS!$A13434,nCURSO,DATOS!$D13434,nESPEC,DATOS!$E13434,nASIG,DATOS!$I13434,nEVAL,"OR")=0))</f>
      </c>
      <c r="I13434">
        <f>IF(DATOS!$I13434="","",IFERROR(VLOOKUP(DATOS!$I13434,CONFIG_ASIGNATURAS!$B$2:$J$91,9,FALSE()),""))</f>
      </c>
    </row>
    <row r="13435">
      <c r="F13435">
        <f>IF(DATOS!$A13435="","",DATOS!$A13435&amp;"|"&amp;DATOS!$D13435&amp;"|"&amp;DATOS!$E13435&amp;"|"&amp;DATOS!$I13435)</f>
      </c>
      <c r="G13435">
        <f>IF(DATOS!$A13435="",0,IF(CONFIG_METADATA!$B$4&lt;&gt;"OR+EX",--(DATOS!$G13435=CONFIG_METADATA!$B$4),IF(DATOS!$G13435="EX",1,IF(DATOS!$G13435="OR",--(COUNTIFS(nNIA,DATOS!$A13435,nCURSO,DATOS!$D13435,nESPEC,DATOS!$E13435,nASIG,DATOS!$I13435,nEVAL,"EX")=0),0))))</f>
      </c>
      <c r="H13435">
        <f>IF(DATOS!$G13435&lt;&gt;"EX",0,--(COUNTIFS(nNIA,DATOS!$A13435,nCURSO,DATOS!$D13435,nESPEC,DATOS!$E13435,nASIG,DATOS!$I13435,nEVAL,"OR")=0))</f>
      </c>
      <c r="I13435">
        <f>IF(DATOS!$I13435="","",IFERROR(VLOOKUP(DATOS!$I13435,CONFIG_ASIGNATURAS!$B$2:$J$91,9,FALSE()),""))</f>
      </c>
    </row>
    <row r="13436">
      <c r="F13436">
        <f>IF(DATOS!$A13436="","",DATOS!$A13436&amp;"|"&amp;DATOS!$D13436&amp;"|"&amp;DATOS!$E13436&amp;"|"&amp;DATOS!$I13436)</f>
      </c>
      <c r="G13436">
        <f>IF(DATOS!$A13436="",0,IF(CONFIG_METADATA!$B$4&lt;&gt;"OR+EX",--(DATOS!$G13436=CONFIG_METADATA!$B$4),IF(DATOS!$G13436="EX",1,IF(DATOS!$G13436="OR",--(COUNTIFS(nNIA,DATOS!$A13436,nCURSO,DATOS!$D13436,nESPEC,DATOS!$E13436,nASIG,DATOS!$I13436,nEVAL,"EX")=0),0))))</f>
      </c>
      <c r="H13436">
        <f>IF(DATOS!$G13436&lt;&gt;"EX",0,--(COUNTIFS(nNIA,DATOS!$A13436,nCURSO,DATOS!$D13436,nESPEC,DATOS!$E13436,nASIG,DATOS!$I13436,nEVAL,"OR")=0))</f>
      </c>
      <c r="I13436">
        <f>IF(DATOS!$I13436="","",IFERROR(VLOOKUP(DATOS!$I13436,CONFIG_ASIGNATURAS!$B$2:$J$91,9,FALSE()),""))</f>
      </c>
    </row>
    <row r="13437">
      <c r="F13437">
        <f>IF(DATOS!$A13437="","",DATOS!$A13437&amp;"|"&amp;DATOS!$D13437&amp;"|"&amp;DATOS!$E13437&amp;"|"&amp;DATOS!$I13437)</f>
      </c>
      <c r="G13437">
        <f>IF(DATOS!$A13437="",0,IF(CONFIG_METADATA!$B$4&lt;&gt;"OR+EX",--(DATOS!$G13437=CONFIG_METADATA!$B$4),IF(DATOS!$G13437="EX",1,IF(DATOS!$G13437="OR",--(COUNTIFS(nNIA,DATOS!$A13437,nCURSO,DATOS!$D13437,nESPEC,DATOS!$E13437,nASIG,DATOS!$I13437,nEVAL,"EX")=0),0))))</f>
      </c>
      <c r="H13437">
        <f>IF(DATOS!$G13437&lt;&gt;"EX",0,--(COUNTIFS(nNIA,DATOS!$A13437,nCURSO,DATOS!$D13437,nESPEC,DATOS!$E13437,nASIG,DATOS!$I13437,nEVAL,"OR")=0))</f>
      </c>
      <c r="I13437">
        <f>IF(DATOS!$I13437="","",IFERROR(VLOOKUP(DATOS!$I13437,CONFIG_ASIGNATURAS!$B$2:$J$91,9,FALSE()),""))</f>
      </c>
    </row>
    <row r="13438">
      <c r="F13438">
        <f>IF(DATOS!$A13438="","",DATOS!$A13438&amp;"|"&amp;DATOS!$D13438&amp;"|"&amp;DATOS!$E13438&amp;"|"&amp;DATOS!$I13438)</f>
      </c>
      <c r="G13438">
        <f>IF(DATOS!$A13438="",0,IF(CONFIG_METADATA!$B$4&lt;&gt;"OR+EX",--(DATOS!$G13438=CONFIG_METADATA!$B$4),IF(DATOS!$G13438="EX",1,IF(DATOS!$G13438="OR",--(COUNTIFS(nNIA,DATOS!$A13438,nCURSO,DATOS!$D13438,nESPEC,DATOS!$E13438,nASIG,DATOS!$I13438,nEVAL,"EX")=0),0))))</f>
      </c>
      <c r="H13438">
        <f>IF(DATOS!$G13438&lt;&gt;"EX",0,--(COUNTIFS(nNIA,DATOS!$A13438,nCURSO,DATOS!$D13438,nESPEC,DATOS!$E13438,nASIG,DATOS!$I13438,nEVAL,"OR")=0))</f>
      </c>
      <c r="I13438">
        <f>IF(DATOS!$I13438="","",IFERROR(VLOOKUP(DATOS!$I13438,CONFIG_ASIGNATURAS!$B$2:$J$91,9,FALSE()),""))</f>
      </c>
    </row>
    <row r="13439">
      <c r="F13439">
        <f>IF(DATOS!$A13439="","",DATOS!$A13439&amp;"|"&amp;DATOS!$D13439&amp;"|"&amp;DATOS!$E13439&amp;"|"&amp;DATOS!$I13439)</f>
      </c>
      <c r="G13439">
        <f>IF(DATOS!$A13439="",0,IF(CONFIG_METADATA!$B$4&lt;&gt;"OR+EX",--(DATOS!$G13439=CONFIG_METADATA!$B$4),IF(DATOS!$G13439="EX",1,IF(DATOS!$G13439="OR",--(COUNTIFS(nNIA,DATOS!$A13439,nCURSO,DATOS!$D13439,nESPEC,DATOS!$E13439,nASIG,DATOS!$I13439,nEVAL,"EX")=0),0))))</f>
      </c>
      <c r="H13439">
        <f>IF(DATOS!$G13439&lt;&gt;"EX",0,--(COUNTIFS(nNIA,DATOS!$A13439,nCURSO,DATOS!$D13439,nESPEC,DATOS!$E13439,nASIG,DATOS!$I13439,nEVAL,"OR")=0))</f>
      </c>
      <c r="I13439">
        <f>IF(DATOS!$I13439="","",IFERROR(VLOOKUP(DATOS!$I13439,CONFIG_ASIGNATURAS!$B$2:$J$91,9,FALSE()),""))</f>
      </c>
    </row>
    <row r="13440">
      <c r="F13440">
        <f>IF(DATOS!$A13440="","",DATOS!$A13440&amp;"|"&amp;DATOS!$D13440&amp;"|"&amp;DATOS!$E13440&amp;"|"&amp;DATOS!$I13440)</f>
      </c>
      <c r="G13440">
        <f>IF(DATOS!$A13440="",0,IF(CONFIG_METADATA!$B$4&lt;&gt;"OR+EX",--(DATOS!$G13440=CONFIG_METADATA!$B$4),IF(DATOS!$G13440="EX",1,IF(DATOS!$G13440="OR",--(COUNTIFS(nNIA,DATOS!$A13440,nCURSO,DATOS!$D13440,nESPEC,DATOS!$E13440,nASIG,DATOS!$I13440,nEVAL,"EX")=0),0))))</f>
      </c>
      <c r="H13440">
        <f>IF(DATOS!$G13440&lt;&gt;"EX",0,--(COUNTIFS(nNIA,DATOS!$A13440,nCURSO,DATOS!$D13440,nESPEC,DATOS!$E13440,nASIG,DATOS!$I13440,nEVAL,"OR")=0))</f>
      </c>
      <c r="I13440">
        <f>IF(DATOS!$I13440="","",IFERROR(VLOOKUP(DATOS!$I13440,CONFIG_ASIGNATURAS!$B$2:$J$91,9,FALSE()),""))</f>
      </c>
    </row>
    <row r="13441">
      <c r="F13441">
        <f>IF(DATOS!$A13441="","",DATOS!$A13441&amp;"|"&amp;DATOS!$D13441&amp;"|"&amp;DATOS!$E13441&amp;"|"&amp;DATOS!$I13441)</f>
      </c>
      <c r="G13441">
        <f>IF(DATOS!$A13441="",0,IF(CONFIG_METADATA!$B$4&lt;&gt;"OR+EX",--(DATOS!$G13441=CONFIG_METADATA!$B$4),IF(DATOS!$G13441="EX",1,IF(DATOS!$G13441="OR",--(COUNTIFS(nNIA,DATOS!$A13441,nCURSO,DATOS!$D13441,nESPEC,DATOS!$E13441,nASIG,DATOS!$I13441,nEVAL,"EX")=0),0))))</f>
      </c>
      <c r="H13441">
        <f>IF(DATOS!$G13441&lt;&gt;"EX",0,--(COUNTIFS(nNIA,DATOS!$A13441,nCURSO,DATOS!$D13441,nESPEC,DATOS!$E13441,nASIG,DATOS!$I13441,nEVAL,"OR")=0))</f>
      </c>
      <c r="I13441">
        <f>IF(DATOS!$I13441="","",IFERROR(VLOOKUP(DATOS!$I13441,CONFIG_ASIGNATURAS!$B$2:$J$91,9,FALSE()),""))</f>
      </c>
    </row>
    <row r="13442">
      <c r="F13442">
        <f>IF(DATOS!$A13442="","",DATOS!$A13442&amp;"|"&amp;DATOS!$D13442&amp;"|"&amp;DATOS!$E13442&amp;"|"&amp;DATOS!$I13442)</f>
      </c>
      <c r="G13442">
        <f>IF(DATOS!$A13442="",0,IF(CONFIG_METADATA!$B$4&lt;&gt;"OR+EX",--(DATOS!$G13442=CONFIG_METADATA!$B$4),IF(DATOS!$G13442="EX",1,IF(DATOS!$G13442="OR",--(COUNTIFS(nNIA,DATOS!$A13442,nCURSO,DATOS!$D13442,nESPEC,DATOS!$E13442,nASIG,DATOS!$I13442,nEVAL,"EX")=0),0))))</f>
      </c>
      <c r="H13442">
        <f>IF(DATOS!$G13442&lt;&gt;"EX",0,--(COUNTIFS(nNIA,DATOS!$A13442,nCURSO,DATOS!$D13442,nESPEC,DATOS!$E13442,nASIG,DATOS!$I13442,nEVAL,"OR")=0))</f>
      </c>
      <c r="I13442">
        <f>IF(DATOS!$I13442="","",IFERROR(VLOOKUP(DATOS!$I13442,CONFIG_ASIGNATURAS!$B$2:$J$91,9,FALSE()),""))</f>
      </c>
    </row>
    <row r="13443">
      <c r="F13443">
        <f>IF(DATOS!$A13443="","",DATOS!$A13443&amp;"|"&amp;DATOS!$D13443&amp;"|"&amp;DATOS!$E13443&amp;"|"&amp;DATOS!$I13443)</f>
      </c>
      <c r="G13443">
        <f>IF(DATOS!$A13443="",0,IF(CONFIG_METADATA!$B$4&lt;&gt;"OR+EX",--(DATOS!$G13443=CONFIG_METADATA!$B$4),IF(DATOS!$G13443="EX",1,IF(DATOS!$G13443="OR",--(COUNTIFS(nNIA,DATOS!$A13443,nCURSO,DATOS!$D13443,nESPEC,DATOS!$E13443,nASIG,DATOS!$I13443,nEVAL,"EX")=0),0))))</f>
      </c>
      <c r="H13443">
        <f>IF(DATOS!$G13443&lt;&gt;"EX",0,--(COUNTIFS(nNIA,DATOS!$A13443,nCURSO,DATOS!$D13443,nESPEC,DATOS!$E13443,nASIG,DATOS!$I13443,nEVAL,"OR")=0))</f>
      </c>
      <c r="I13443">
        <f>IF(DATOS!$I13443="","",IFERROR(VLOOKUP(DATOS!$I13443,CONFIG_ASIGNATURAS!$B$2:$J$91,9,FALSE()),""))</f>
      </c>
    </row>
    <row r="13444">
      <c r="F13444">
        <f>IF(DATOS!$A13444="","",DATOS!$A13444&amp;"|"&amp;DATOS!$D13444&amp;"|"&amp;DATOS!$E13444&amp;"|"&amp;DATOS!$I13444)</f>
      </c>
      <c r="G13444">
        <f>IF(DATOS!$A13444="",0,IF(CONFIG_METADATA!$B$4&lt;&gt;"OR+EX",--(DATOS!$G13444=CONFIG_METADATA!$B$4),IF(DATOS!$G13444="EX",1,IF(DATOS!$G13444="OR",--(COUNTIFS(nNIA,DATOS!$A13444,nCURSO,DATOS!$D13444,nESPEC,DATOS!$E13444,nASIG,DATOS!$I13444,nEVAL,"EX")=0),0))))</f>
      </c>
      <c r="H13444">
        <f>IF(DATOS!$G13444&lt;&gt;"EX",0,--(COUNTIFS(nNIA,DATOS!$A13444,nCURSO,DATOS!$D13444,nESPEC,DATOS!$E13444,nASIG,DATOS!$I13444,nEVAL,"OR")=0))</f>
      </c>
      <c r="I13444">
        <f>IF(DATOS!$I13444="","",IFERROR(VLOOKUP(DATOS!$I13444,CONFIG_ASIGNATURAS!$B$2:$J$91,9,FALSE()),""))</f>
      </c>
    </row>
    <row r="13445">
      <c r="F13445">
        <f>IF(DATOS!$A13445="","",DATOS!$A13445&amp;"|"&amp;DATOS!$D13445&amp;"|"&amp;DATOS!$E13445&amp;"|"&amp;DATOS!$I13445)</f>
      </c>
      <c r="G13445">
        <f>IF(DATOS!$A13445="",0,IF(CONFIG_METADATA!$B$4&lt;&gt;"OR+EX",--(DATOS!$G13445=CONFIG_METADATA!$B$4),IF(DATOS!$G13445="EX",1,IF(DATOS!$G13445="OR",--(COUNTIFS(nNIA,DATOS!$A13445,nCURSO,DATOS!$D13445,nESPEC,DATOS!$E13445,nASIG,DATOS!$I13445,nEVAL,"EX")=0),0))))</f>
      </c>
      <c r="H13445">
        <f>IF(DATOS!$G13445&lt;&gt;"EX",0,--(COUNTIFS(nNIA,DATOS!$A13445,nCURSO,DATOS!$D13445,nESPEC,DATOS!$E13445,nASIG,DATOS!$I13445,nEVAL,"OR")=0))</f>
      </c>
      <c r="I13445">
        <f>IF(DATOS!$I13445="","",IFERROR(VLOOKUP(DATOS!$I13445,CONFIG_ASIGNATURAS!$B$2:$J$91,9,FALSE()),""))</f>
      </c>
    </row>
    <row r="13446">
      <c r="F13446">
        <f>IF(DATOS!$A13446="","",DATOS!$A13446&amp;"|"&amp;DATOS!$D13446&amp;"|"&amp;DATOS!$E13446&amp;"|"&amp;DATOS!$I13446)</f>
      </c>
      <c r="G13446">
        <f>IF(DATOS!$A13446="",0,IF(CONFIG_METADATA!$B$4&lt;&gt;"OR+EX",--(DATOS!$G13446=CONFIG_METADATA!$B$4),IF(DATOS!$G13446="EX",1,IF(DATOS!$G13446="OR",--(COUNTIFS(nNIA,DATOS!$A13446,nCURSO,DATOS!$D13446,nESPEC,DATOS!$E13446,nASIG,DATOS!$I13446,nEVAL,"EX")=0),0))))</f>
      </c>
      <c r="H13446">
        <f>IF(DATOS!$G13446&lt;&gt;"EX",0,--(COUNTIFS(nNIA,DATOS!$A13446,nCURSO,DATOS!$D13446,nESPEC,DATOS!$E13446,nASIG,DATOS!$I13446,nEVAL,"OR")=0))</f>
      </c>
      <c r="I13446">
        <f>IF(DATOS!$I13446="","",IFERROR(VLOOKUP(DATOS!$I13446,CONFIG_ASIGNATURAS!$B$2:$J$91,9,FALSE()),""))</f>
      </c>
    </row>
    <row r="13447">
      <c r="F13447">
        <f>IF(DATOS!$A13447="","",DATOS!$A13447&amp;"|"&amp;DATOS!$D13447&amp;"|"&amp;DATOS!$E13447&amp;"|"&amp;DATOS!$I13447)</f>
      </c>
      <c r="G13447">
        <f>IF(DATOS!$A13447="",0,IF(CONFIG_METADATA!$B$4&lt;&gt;"OR+EX",--(DATOS!$G13447=CONFIG_METADATA!$B$4),IF(DATOS!$G13447="EX",1,IF(DATOS!$G13447="OR",--(COUNTIFS(nNIA,DATOS!$A13447,nCURSO,DATOS!$D13447,nESPEC,DATOS!$E13447,nASIG,DATOS!$I13447,nEVAL,"EX")=0),0))))</f>
      </c>
      <c r="H13447">
        <f>IF(DATOS!$G13447&lt;&gt;"EX",0,--(COUNTIFS(nNIA,DATOS!$A13447,nCURSO,DATOS!$D13447,nESPEC,DATOS!$E13447,nASIG,DATOS!$I13447,nEVAL,"OR")=0))</f>
      </c>
      <c r="I13447">
        <f>IF(DATOS!$I13447="","",IFERROR(VLOOKUP(DATOS!$I13447,CONFIG_ASIGNATURAS!$B$2:$J$91,9,FALSE()),""))</f>
      </c>
    </row>
    <row r="13448">
      <c r="F13448">
        <f>IF(DATOS!$A13448="","",DATOS!$A13448&amp;"|"&amp;DATOS!$D13448&amp;"|"&amp;DATOS!$E13448&amp;"|"&amp;DATOS!$I13448)</f>
      </c>
      <c r="G13448">
        <f>IF(DATOS!$A13448="",0,IF(CONFIG_METADATA!$B$4&lt;&gt;"OR+EX",--(DATOS!$G13448=CONFIG_METADATA!$B$4),IF(DATOS!$G13448="EX",1,IF(DATOS!$G13448="OR",--(COUNTIFS(nNIA,DATOS!$A13448,nCURSO,DATOS!$D13448,nESPEC,DATOS!$E13448,nASIG,DATOS!$I13448,nEVAL,"EX")=0),0))))</f>
      </c>
      <c r="H13448">
        <f>IF(DATOS!$G13448&lt;&gt;"EX",0,--(COUNTIFS(nNIA,DATOS!$A13448,nCURSO,DATOS!$D13448,nESPEC,DATOS!$E13448,nASIG,DATOS!$I13448,nEVAL,"OR")=0))</f>
      </c>
      <c r="I13448">
        <f>IF(DATOS!$I13448="","",IFERROR(VLOOKUP(DATOS!$I13448,CONFIG_ASIGNATURAS!$B$2:$J$91,9,FALSE()),""))</f>
      </c>
    </row>
    <row r="13449">
      <c r="F13449">
        <f>IF(DATOS!$A13449="","",DATOS!$A13449&amp;"|"&amp;DATOS!$D13449&amp;"|"&amp;DATOS!$E13449&amp;"|"&amp;DATOS!$I13449)</f>
      </c>
      <c r="G13449">
        <f>IF(DATOS!$A13449="",0,IF(CONFIG_METADATA!$B$4&lt;&gt;"OR+EX",--(DATOS!$G13449=CONFIG_METADATA!$B$4),IF(DATOS!$G13449="EX",1,IF(DATOS!$G13449="OR",--(COUNTIFS(nNIA,DATOS!$A13449,nCURSO,DATOS!$D13449,nESPEC,DATOS!$E13449,nASIG,DATOS!$I13449,nEVAL,"EX")=0),0))))</f>
      </c>
      <c r="H13449">
        <f>IF(DATOS!$G13449&lt;&gt;"EX",0,--(COUNTIFS(nNIA,DATOS!$A13449,nCURSO,DATOS!$D13449,nESPEC,DATOS!$E13449,nASIG,DATOS!$I13449,nEVAL,"OR")=0))</f>
      </c>
      <c r="I13449">
        <f>IF(DATOS!$I13449="","",IFERROR(VLOOKUP(DATOS!$I13449,CONFIG_ASIGNATURAS!$B$2:$J$91,9,FALSE()),""))</f>
      </c>
    </row>
    <row r="13450">
      <c r="F13450">
        <f>IF(DATOS!$A13450="","",DATOS!$A13450&amp;"|"&amp;DATOS!$D13450&amp;"|"&amp;DATOS!$E13450&amp;"|"&amp;DATOS!$I13450)</f>
      </c>
      <c r="G13450">
        <f>IF(DATOS!$A13450="",0,IF(CONFIG_METADATA!$B$4&lt;&gt;"OR+EX",--(DATOS!$G13450=CONFIG_METADATA!$B$4),IF(DATOS!$G13450="EX",1,IF(DATOS!$G13450="OR",--(COUNTIFS(nNIA,DATOS!$A13450,nCURSO,DATOS!$D13450,nESPEC,DATOS!$E13450,nASIG,DATOS!$I13450,nEVAL,"EX")=0),0))))</f>
      </c>
      <c r="H13450">
        <f>IF(DATOS!$G13450&lt;&gt;"EX",0,--(COUNTIFS(nNIA,DATOS!$A13450,nCURSO,DATOS!$D13450,nESPEC,DATOS!$E13450,nASIG,DATOS!$I13450,nEVAL,"OR")=0))</f>
      </c>
      <c r="I13450">
        <f>IF(DATOS!$I13450="","",IFERROR(VLOOKUP(DATOS!$I13450,CONFIG_ASIGNATURAS!$B$2:$J$91,9,FALSE()),""))</f>
      </c>
    </row>
    <row r="13451">
      <c r="F13451">
        <f>IF(DATOS!$A13451="","",DATOS!$A13451&amp;"|"&amp;DATOS!$D13451&amp;"|"&amp;DATOS!$E13451&amp;"|"&amp;DATOS!$I13451)</f>
      </c>
      <c r="G13451">
        <f>IF(DATOS!$A13451="",0,IF(CONFIG_METADATA!$B$4&lt;&gt;"OR+EX",--(DATOS!$G13451=CONFIG_METADATA!$B$4),IF(DATOS!$G13451="EX",1,IF(DATOS!$G13451="OR",--(COUNTIFS(nNIA,DATOS!$A13451,nCURSO,DATOS!$D13451,nESPEC,DATOS!$E13451,nASIG,DATOS!$I13451,nEVAL,"EX")=0),0))))</f>
      </c>
      <c r="H13451">
        <f>IF(DATOS!$G13451&lt;&gt;"EX",0,--(COUNTIFS(nNIA,DATOS!$A13451,nCURSO,DATOS!$D13451,nESPEC,DATOS!$E13451,nASIG,DATOS!$I13451,nEVAL,"OR")=0))</f>
      </c>
      <c r="I13451">
        <f>IF(DATOS!$I13451="","",IFERROR(VLOOKUP(DATOS!$I13451,CONFIG_ASIGNATURAS!$B$2:$J$91,9,FALSE()),""))</f>
      </c>
    </row>
    <row r="13452">
      <c r="F13452">
        <f>IF(DATOS!$A13452="","",DATOS!$A13452&amp;"|"&amp;DATOS!$D13452&amp;"|"&amp;DATOS!$E13452&amp;"|"&amp;DATOS!$I13452)</f>
      </c>
      <c r="G13452">
        <f>IF(DATOS!$A13452="",0,IF(CONFIG_METADATA!$B$4&lt;&gt;"OR+EX",--(DATOS!$G13452=CONFIG_METADATA!$B$4),IF(DATOS!$G13452="EX",1,IF(DATOS!$G13452="OR",--(COUNTIFS(nNIA,DATOS!$A13452,nCURSO,DATOS!$D13452,nESPEC,DATOS!$E13452,nASIG,DATOS!$I13452,nEVAL,"EX")=0),0))))</f>
      </c>
      <c r="H13452">
        <f>IF(DATOS!$G13452&lt;&gt;"EX",0,--(COUNTIFS(nNIA,DATOS!$A13452,nCURSO,DATOS!$D13452,nESPEC,DATOS!$E13452,nASIG,DATOS!$I13452,nEVAL,"OR")=0))</f>
      </c>
      <c r="I13452">
        <f>IF(DATOS!$I13452="","",IFERROR(VLOOKUP(DATOS!$I13452,CONFIG_ASIGNATURAS!$B$2:$J$91,9,FALSE()),""))</f>
      </c>
    </row>
    <row r="13453">
      <c r="F13453">
        <f>IF(DATOS!$A13453="","",DATOS!$A13453&amp;"|"&amp;DATOS!$D13453&amp;"|"&amp;DATOS!$E13453&amp;"|"&amp;DATOS!$I13453)</f>
      </c>
      <c r="G13453">
        <f>IF(DATOS!$A13453="",0,IF(CONFIG_METADATA!$B$4&lt;&gt;"OR+EX",--(DATOS!$G13453=CONFIG_METADATA!$B$4),IF(DATOS!$G13453="EX",1,IF(DATOS!$G13453="OR",--(COUNTIFS(nNIA,DATOS!$A13453,nCURSO,DATOS!$D13453,nESPEC,DATOS!$E13453,nASIG,DATOS!$I13453,nEVAL,"EX")=0),0))))</f>
      </c>
      <c r="H13453">
        <f>IF(DATOS!$G13453&lt;&gt;"EX",0,--(COUNTIFS(nNIA,DATOS!$A13453,nCURSO,DATOS!$D13453,nESPEC,DATOS!$E13453,nASIG,DATOS!$I13453,nEVAL,"OR")=0))</f>
      </c>
      <c r="I13453">
        <f>IF(DATOS!$I13453="","",IFERROR(VLOOKUP(DATOS!$I13453,CONFIG_ASIGNATURAS!$B$2:$J$91,9,FALSE()),""))</f>
      </c>
    </row>
    <row r="13454">
      <c r="F13454">
        <f>IF(DATOS!$A13454="","",DATOS!$A13454&amp;"|"&amp;DATOS!$D13454&amp;"|"&amp;DATOS!$E13454&amp;"|"&amp;DATOS!$I13454)</f>
      </c>
      <c r="G13454">
        <f>IF(DATOS!$A13454="",0,IF(CONFIG_METADATA!$B$4&lt;&gt;"OR+EX",--(DATOS!$G13454=CONFIG_METADATA!$B$4),IF(DATOS!$G13454="EX",1,IF(DATOS!$G13454="OR",--(COUNTIFS(nNIA,DATOS!$A13454,nCURSO,DATOS!$D13454,nESPEC,DATOS!$E13454,nASIG,DATOS!$I13454,nEVAL,"EX")=0),0))))</f>
      </c>
      <c r="H13454">
        <f>IF(DATOS!$G13454&lt;&gt;"EX",0,--(COUNTIFS(nNIA,DATOS!$A13454,nCURSO,DATOS!$D13454,nESPEC,DATOS!$E13454,nASIG,DATOS!$I13454,nEVAL,"OR")=0))</f>
      </c>
      <c r="I13454">
        <f>IF(DATOS!$I13454="","",IFERROR(VLOOKUP(DATOS!$I13454,CONFIG_ASIGNATURAS!$B$2:$J$91,9,FALSE()),""))</f>
      </c>
    </row>
    <row r="13455">
      <c r="F13455">
        <f>IF(DATOS!$A13455="","",DATOS!$A13455&amp;"|"&amp;DATOS!$D13455&amp;"|"&amp;DATOS!$E13455&amp;"|"&amp;DATOS!$I13455)</f>
      </c>
      <c r="G13455">
        <f>IF(DATOS!$A13455="",0,IF(CONFIG_METADATA!$B$4&lt;&gt;"OR+EX",--(DATOS!$G13455=CONFIG_METADATA!$B$4),IF(DATOS!$G13455="EX",1,IF(DATOS!$G13455="OR",--(COUNTIFS(nNIA,DATOS!$A13455,nCURSO,DATOS!$D13455,nESPEC,DATOS!$E13455,nASIG,DATOS!$I13455,nEVAL,"EX")=0),0))))</f>
      </c>
      <c r="H13455">
        <f>IF(DATOS!$G13455&lt;&gt;"EX",0,--(COUNTIFS(nNIA,DATOS!$A13455,nCURSO,DATOS!$D13455,nESPEC,DATOS!$E13455,nASIG,DATOS!$I13455,nEVAL,"OR")=0))</f>
      </c>
      <c r="I13455">
        <f>IF(DATOS!$I13455="","",IFERROR(VLOOKUP(DATOS!$I13455,CONFIG_ASIGNATURAS!$B$2:$J$91,9,FALSE()),""))</f>
      </c>
    </row>
    <row r="13456">
      <c r="F13456">
        <f>IF(DATOS!$A13456="","",DATOS!$A13456&amp;"|"&amp;DATOS!$D13456&amp;"|"&amp;DATOS!$E13456&amp;"|"&amp;DATOS!$I13456)</f>
      </c>
      <c r="G13456">
        <f>IF(DATOS!$A13456="",0,IF(CONFIG_METADATA!$B$4&lt;&gt;"OR+EX",--(DATOS!$G13456=CONFIG_METADATA!$B$4),IF(DATOS!$G13456="EX",1,IF(DATOS!$G13456="OR",--(COUNTIFS(nNIA,DATOS!$A13456,nCURSO,DATOS!$D13456,nESPEC,DATOS!$E13456,nASIG,DATOS!$I13456,nEVAL,"EX")=0),0))))</f>
      </c>
      <c r="H13456">
        <f>IF(DATOS!$G13456&lt;&gt;"EX",0,--(COUNTIFS(nNIA,DATOS!$A13456,nCURSO,DATOS!$D13456,nESPEC,DATOS!$E13456,nASIG,DATOS!$I13456,nEVAL,"OR")=0))</f>
      </c>
      <c r="I13456">
        <f>IF(DATOS!$I13456="","",IFERROR(VLOOKUP(DATOS!$I13456,CONFIG_ASIGNATURAS!$B$2:$J$91,9,FALSE()),""))</f>
      </c>
    </row>
    <row r="13457">
      <c r="F13457">
        <f>IF(DATOS!$A13457="","",DATOS!$A13457&amp;"|"&amp;DATOS!$D13457&amp;"|"&amp;DATOS!$E13457&amp;"|"&amp;DATOS!$I13457)</f>
      </c>
      <c r="G13457">
        <f>IF(DATOS!$A13457="",0,IF(CONFIG_METADATA!$B$4&lt;&gt;"OR+EX",--(DATOS!$G13457=CONFIG_METADATA!$B$4),IF(DATOS!$G13457="EX",1,IF(DATOS!$G13457="OR",--(COUNTIFS(nNIA,DATOS!$A13457,nCURSO,DATOS!$D13457,nESPEC,DATOS!$E13457,nASIG,DATOS!$I13457,nEVAL,"EX")=0),0))))</f>
      </c>
      <c r="H13457">
        <f>IF(DATOS!$G13457&lt;&gt;"EX",0,--(COUNTIFS(nNIA,DATOS!$A13457,nCURSO,DATOS!$D13457,nESPEC,DATOS!$E13457,nASIG,DATOS!$I13457,nEVAL,"OR")=0))</f>
      </c>
      <c r="I13457">
        <f>IF(DATOS!$I13457="","",IFERROR(VLOOKUP(DATOS!$I13457,CONFIG_ASIGNATURAS!$B$2:$J$91,9,FALSE()),""))</f>
      </c>
    </row>
    <row r="13458">
      <c r="F13458">
        <f>IF(DATOS!$A13458="","",DATOS!$A13458&amp;"|"&amp;DATOS!$D13458&amp;"|"&amp;DATOS!$E13458&amp;"|"&amp;DATOS!$I13458)</f>
      </c>
      <c r="G13458">
        <f>IF(DATOS!$A13458="",0,IF(CONFIG_METADATA!$B$4&lt;&gt;"OR+EX",--(DATOS!$G13458=CONFIG_METADATA!$B$4),IF(DATOS!$G13458="EX",1,IF(DATOS!$G13458="OR",--(COUNTIFS(nNIA,DATOS!$A13458,nCURSO,DATOS!$D13458,nESPEC,DATOS!$E13458,nASIG,DATOS!$I13458,nEVAL,"EX")=0),0))))</f>
      </c>
      <c r="H13458">
        <f>IF(DATOS!$G13458&lt;&gt;"EX",0,--(COUNTIFS(nNIA,DATOS!$A13458,nCURSO,DATOS!$D13458,nESPEC,DATOS!$E13458,nASIG,DATOS!$I13458,nEVAL,"OR")=0))</f>
      </c>
      <c r="I13458">
        <f>IF(DATOS!$I13458="","",IFERROR(VLOOKUP(DATOS!$I13458,CONFIG_ASIGNATURAS!$B$2:$J$91,9,FALSE()),""))</f>
      </c>
    </row>
    <row r="13459">
      <c r="F13459">
        <f>IF(DATOS!$A13459="","",DATOS!$A13459&amp;"|"&amp;DATOS!$D13459&amp;"|"&amp;DATOS!$E13459&amp;"|"&amp;DATOS!$I13459)</f>
      </c>
      <c r="G13459">
        <f>IF(DATOS!$A13459="",0,IF(CONFIG_METADATA!$B$4&lt;&gt;"OR+EX",--(DATOS!$G13459=CONFIG_METADATA!$B$4),IF(DATOS!$G13459="EX",1,IF(DATOS!$G13459="OR",--(COUNTIFS(nNIA,DATOS!$A13459,nCURSO,DATOS!$D13459,nESPEC,DATOS!$E13459,nASIG,DATOS!$I13459,nEVAL,"EX")=0),0))))</f>
      </c>
      <c r="H13459">
        <f>IF(DATOS!$G13459&lt;&gt;"EX",0,--(COUNTIFS(nNIA,DATOS!$A13459,nCURSO,DATOS!$D13459,nESPEC,DATOS!$E13459,nASIG,DATOS!$I13459,nEVAL,"OR")=0))</f>
      </c>
      <c r="I13459">
        <f>IF(DATOS!$I13459="","",IFERROR(VLOOKUP(DATOS!$I13459,CONFIG_ASIGNATURAS!$B$2:$J$91,9,FALSE()),""))</f>
      </c>
    </row>
    <row r="13460">
      <c r="F13460">
        <f>IF(DATOS!$A13460="","",DATOS!$A13460&amp;"|"&amp;DATOS!$D13460&amp;"|"&amp;DATOS!$E13460&amp;"|"&amp;DATOS!$I13460)</f>
      </c>
      <c r="G13460">
        <f>IF(DATOS!$A13460="",0,IF(CONFIG_METADATA!$B$4&lt;&gt;"OR+EX",--(DATOS!$G13460=CONFIG_METADATA!$B$4),IF(DATOS!$G13460="EX",1,IF(DATOS!$G13460="OR",--(COUNTIFS(nNIA,DATOS!$A13460,nCURSO,DATOS!$D13460,nESPEC,DATOS!$E13460,nASIG,DATOS!$I13460,nEVAL,"EX")=0),0))))</f>
      </c>
      <c r="H13460">
        <f>IF(DATOS!$G13460&lt;&gt;"EX",0,--(COUNTIFS(nNIA,DATOS!$A13460,nCURSO,DATOS!$D13460,nESPEC,DATOS!$E13460,nASIG,DATOS!$I13460,nEVAL,"OR")=0))</f>
      </c>
      <c r="I13460">
        <f>IF(DATOS!$I13460="","",IFERROR(VLOOKUP(DATOS!$I13460,CONFIG_ASIGNATURAS!$B$2:$J$91,9,FALSE()),""))</f>
      </c>
    </row>
    <row r="13461">
      <c r="F13461">
        <f>IF(DATOS!$A13461="","",DATOS!$A13461&amp;"|"&amp;DATOS!$D13461&amp;"|"&amp;DATOS!$E13461&amp;"|"&amp;DATOS!$I13461)</f>
      </c>
      <c r="G13461">
        <f>IF(DATOS!$A13461="",0,IF(CONFIG_METADATA!$B$4&lt;&gt;"OR+EX",--(DATOS!$G13461=CONFIG_METADATA!$B$4),IF(DATOS!$G13461="EX",1,IF(DATOS!$G13461="OR",--(COUNTIFS(nNIA,DATOS!$A13461,nCURSO,DATOS!$D13461,nESPEC,DATOS!$E13461,nASIG,DATOS!$I13461,nEVAL,"EX")=0),0))))</f>
      </c>
      <c r="H13461">
        <f>IF(DATOS!$G13461&lt;&gt;"EX",0,--(COUNTIFS(nNIA,DATOS!$A13461,nCURSO,DATOS!$D13461,nESPEC,DATOS!$E13461,nASIG,DATOS!$I13461,nEVAL,"OR")=0))</f>
      </c>
      <c r="I13461">
        <f>IF(DATOS!$I13461="","",IFERROR(VLOOKUP(DATOS!$I13461,CONFIG_ASIGNATURAS!$B$2:$J$91,9,FALSE()),""))</f>
      </c>
    </row>
    <row r="13462">
      <c r="F13462">
        <f>IF(DATOS!$A13462="","",DATOS!$A13462&amp;"|"&amp;DATOS!$D13462&amp;"|"&amp;DATOS!$E13462&amp;"|"&amp;DATOS!$I13462)</f>
      </c>
      <c r="G13462">
        <f>IF(DATOS!$A13462="",0,IF(CONFIG_METADATA!$B$4&lt;&gt;"OR+EX",--(DATOS!$G13462=CONFIG_METADATA!$B$4),IF(DATOS!$G13462="EX",1,IF(DATOS!$G13462="OR",--(COUNTIFS(nNIA,DATOS!$A13462,nCURSO,DATOS!$D13462,nESPEC,DATOS!$E13462,nASIG,DATOS!$I13462,nEVAL,"EX")=0),0))))</f>
      </c>
      <c r="H13462">
        <f>IF(DATOS!$G13462&lt;&gt;"EX",0,--(COUNTIFS(nNIA,DATOS!$A13462,nCURSO,DATOS!$D13462,nESPEC,DATOS!$E13462,nASIG,DATOS!$I13462,nEVAL,"OR")=0))</f>
      </c>
      <c r="I13462">
        <f>IF(DATOS!$I13462="","",IFERROR(VLOOKUP(DATOS!$I13462,CONFIG_ASIGNATURAS!$B$2:$J$91,9,FALSE()),""))</f>
      </c>
    </row>
    <row r="13463">
      <c r="F13463">
        <f>IF(DATOS!$A13463="","",DATOS!$A13463&amp;"|"&amp;DATOS!$D13463&amp;"|"&amp;DATOS!$E13463&amp;"|"&amp;DATOS!$I13463)</f>
      </c>
      <c r="G13463">
        <f>IF(DATOS!$A13463="",0,IF(CONFIG_METADATA!$B$4&lt;&gt;"OR+EX",--(DATOS!$G13463=CONFIG_METADATA!$B$4),IF(DATOS!$G13463="EX",1,IF(DATOS!$G13463="OR",--(COUNTIFS(nNIA,DATOS!$A13463,nCURSO,DATOS!$D13463,nESPEC,DATOS!$E13463,nASIG,DATOS!$I13463,nEVAL,"EX")=0),0))))</f>
      </c>
      <c r="H13463">
        <f>IF(DATOS!$G13463&lt;&gt;"EX",0,--(COUNTIFS(nNIA,DATOS!$A13463,nCURSO,DATOS!$D13463,nESPEC,DATOS!$E13463,nASIG,DATOS!$I13463,nEVAL,"OR")=0))</f>
      </c>
      <c r="I13463">
        <f>IF(DATOS!$I13463="","",IFERROR(VLOOKUP(DATOS!$I13463,CONFIG_ASIGNATURAS!$B$2:$J$91,9,FALSE()),""))</f>
      </c>
    </row>
    <row r="13464">
      <c r="F13464">
        <f>IF(DATOS!$A13464="","",DATOS!$A13464&amp;"|"&amp;DATOS!$D13464&amp;"|"&amp;DATOS!$E13464&amp;"|"&amp;DATOS!$I13464)</f>
      </c>
      <c r="G13464">
        <f>IF(DATOS!$A13464="",0,IF(CONFIG_METADATA!$B$4&lt;&gt;"OR+EX",--(DATOS!$G13464=CONFIG_METADATA!$B$4),IF(DATOS!$G13464="EX",1,IF(DATOS!$G13464="OR",--(COUNTIFS(nNIA,DATOS!$A13464,nCURSO,DATOS!$D13464,nESPEC,DATOS!$E13464,nASIG,DATOS!$I13464,nEVAL,"EX")=0),0))))</f>
      </c>
      <c r="H13464">
        <f>IF(DATOS!$G13464&lt;&gt;"EX",0,--(COUNTIFS(nNIA,DATOS!$A13464,nCURSO,DATOS!$D13464,nESPEC,DATOS!$E13464,nASIG,DATOS!$I13464,nEVAL,"OR")=0))</f>
      </c>
      <c r="I13464">
        <f>IF(DATOS!$I13464="","",IFERROR(VLOOKUP(DATOS!$I13464,CONFIG_ASIGNATURAS!$B$2:$J$91,9,FALSE()),""))</f>
      </c>
    </row>
    <row r="13465">
      <c r="F13465">
        <f>IF(DATOS!$A13465="","",DATOS!$A13465&amp;"|"&amp;DATOS!$D13465&amp;"|"&amp;DATOS!$E13465&amp;"|"&amp;DATOS!$I13465)</f>
      </c>
      <c r="G13465">
        <f>IF(DATOS!$A13465="",0,IF(CONFIG_METADATA!$B$4&lt;&gt;"OR+EX",--(DATOS!$G13465=CONFIG_METADATA!$B$4),IF(DATOS!$G13465="EX",1,IF(DATOS!$G13465="OR",--(COUNTIFS(nNIA,DATOS!$A13465,nCURSO,DATOS!$D13465,nESPEC,DATOS!$E13465,nASIG,DATOS!$I13465,nEVAL,"EX")=0),0))))</f>
      </c>
      <c r="H13465">
        <f>IF(DATOS!$G13465&lt;&gt;"EX",0,--(COUNTIFS(nNIA,DATOS!$A13465,nCURSO,DATOS!$D13465,nESPEC,DATOS!$E13465,nASIG,DATOS!$I13465,nEVAL,"OR")=0))</f>
      </c>
      <c r="I13465">
        <f>IF(DATOS!$I13465="","",IFERROR(VLOOKUP(DATOS!$I13465,CONFIG_ASIGNATURAS!$B$2:$J$91,9,FALSE()),""))</f>
      </c>
    </row>
    <row r="13466">
      <c r="F13466">
        <f>IF(DATOS!$A13466="","",DATOS!$A13466&amp;"|"&amp;DATOS!$D13466&amp;"|"&amp;DATOS!$E13466&amp;"|"&amp;DATOS!$I13466)</f>
      </c>
      <c r="G13466">
        <f>IF(DATOS!$A13466="",0,IF(CONFIG_METADATA!$B$4&lt;&gt;"OR+EX",--(DATOS!$G13466=CONFIG_METADATA!$B$4),IF(DATOS!$G13466="EX",1,IF(DATOS!$G13466="OR",--(COUNTIFS(nNIA,DATOS!$A13466,nCURSO,DATOS!$D13466,nESPEC,DATOS!$E13466,nASIG,DATOS!$I13466,nEVAL,"EX")=0),0))))</f>
      </c>
      <c r="H13466">
        <f>IF(DATOS!$G13466&lt;&gt;"EX",0,--(COUNTIFS(nNIA,DATOS!$A13466,nCURSO,DATOS!$D13466,nESPEC,DATOS!$E13466,nASIG,DATOS!$I13466,nEVAL,"OR")=0))</f>
      </c>
      <c r="I13466">
        <f>IF(DATOS!$I13466="","",IFERROR(VLOOKUP(DATOS!$I13466,CONFIG_ASIGNATURAS!$B$2:$J$91,9,FALSE()),""))</f>
      </c>
    </row>
    <row r="13467">
      <c r="F13467">
        <f>IF(DATOS!$A13467="","",DATOS!$A13467&amp;"|"&amp;DATOS!$D13467&amp;"|"&amp;DATOS!$E13467&amp;"|"&amp;DATOS!$I13467)</f>
      </c>
      <c r="G13467">
        <f>IF(DATOS!$A13467="",0,IF(CONFIG_METADATA!$B$4&lt;&gt;"OR+EX",--(DATOS!$G13467=CONFIG_METADATA!$B$4),IF(DATOS!$G13467="EX",1,IF(DATOS!$G13467="OR",--(COUNTIFS(nNIA,DATOS!$A13467,nCURSO,DATOS!$D13467,nESPEC,DATOS!$E13467,nASIG,DATOS!$I13467,nEVAL,"EX")=0),0))))</f>
      </c>
      <c r="H13467">
        <f>IF(DATOS!$G13467&lt;&gt;"EX",0,--(COUNTIFS(nNIA,DATOS!$A13467,nCURSO,DATOS!$D13467,nESPEC,DATOS!$E13467,nASIG,DATOS!$I13467,nEVAL,"OR")=0))</f>
      </c>
      <c r="I13467">
        <f>IF(DATOS!$I13467="","",IFERROR(VLOOKUP(DATOS!$I13467,CONFIG_ASIGNATURAS!$B$2:$J$91,9,FALSE()),""))</f>
      </c>
    </row>
    <row r="13468">
      <c r="F13468">
        <f>IF(DATOS!$A13468="","",DATOS!$A13468&amp;"|"&amp;DATOS!$D13468&amp;"|"&amp;DATOS!$E13468&amp;"|"&amp;DATOS!$I13468)</f>
      </c>
      <c r="G13468">
        <f>IF(DATOS!$A13468="",0,IF(CONFIG_METADATA!$B$4&lt;&gt;"OR+EX",--(DATOS!$G13468=CONFIG_METADATA!$B$4),IF(DATOS!$G13468="EX",1,IF(DATOS!$G13468="OR",--(COUNTIFS(nNIA,DATOS!$A13468,nCURSO,DATOS!$D13468,nESPEC,DATOS!$E13468,nASIG,DATOS!$I13468,nEVAL,"EX")=0),0))))</f>
      </c>
      <c r="H13468">
        <f>IF(DATOS!$G13468&lt;&gt;"EX",0,--(COUNTIFS(nNIA,DATOS!$A13468,nCURSO,DATOS!$D13468,nESPEC,DATOS!$E13468,nASIG,DATOS!$I13468,nEVAL,"OR")=0))</f>
      </c>
      <c r="I13468">
        <f>IF(DATOS!$I13468="","",IFERROR(VLOOKUP(DATOS!$I13468,CONFIG_ASIGNATURAS!$B$2:$J$91,9,FALSE()),""))</f>
      </c>
    </row>
    <row r="13469">
      <c r="F13469">
        <f>IF(DATOS!$A13469="","",DATOS!$A13469&amp;"|"&amp;DATOS!$D13469&amp;"|"&amp;DATOS!$E13469&amp;"|"&amp;DATOS!$I13469)</f>
      </c>
      <c r="G13469">
        <f>IF(DATOS!$A13469="",0,IF(CONFIG_METADATA!$B$4&lt;&gt;"OR+EX",--(DATOS!$G13469=CONFIG_METADATA!$B$4),IF(DATOS!$G13469="EX",1,IF(DATOS!$G13469="OR",--(COUNTIFS(nNIA,DATOS!$A13469,nCURSO,DATOS!$D13469,nESPEC,DATOS!$E13469,nASIG,DATOS!$I13469,nEVAL,"EX")=0),0))))</f>
      </c>
      <c r="H13469">
        <f>IF(DATOS!$G13469&lt;&gt;"EX",0,--(COUNTIFS(nNIA,DATOS!$A13469,nCURSO,DATOS!$D13469,nESPEC,DATOS!$E13469,nASIG,DATOS!$I13469,nEVAL,"OR")=0))</f>
      </c>
      <c r="I13469">
        <f>IF(DATOS!$I13469="","",IFERROR(VLOOKUP(DATOS!$I13469,CONFIG_ASIGNATURAS!$B$2:$J$91,9,FALSE()),""))</f>
      </c>
    </row>
    <row r="13470">
      <c r="F13470">
        <f>IF(DATOS!$A13470="","",DATOS!$A13470&amp;"|"&amp;DATOS!$D13470&amp;"|"&amp;DATOS!$E13470&amp;"|"&amp;DATOS!$I13470)</f>
      </c>
      <c r="G13470">
        <f>IF(DATOS!$A13470="",0,IF(CONFIG_METADATA!$B$4&lt;&gt;"OR+EX",--(DATOS!$G13470=CONFIG_METADATA!$B$4),IF(DATOS!$G13470="EX",1,IF(DATOS!$G13470="OR",--(COUNTIFS(nNIA,DATOS!$A13470,nCURSO,DATOS!$D13470,nESPEC,DATOS!$E13470,nASIG,DATOS!$I13470,nEVAL,"EX")=0),0))))</f>
      </c>
      <c r="H13470">
        <f>IF(DATOS!$G13470&lt;&gt;"EX",0,--(COUNTIFS(nNIA,DATOS!$A13470,nCURSO,DATOS!$D13470,nESPEC,DATOS!$E13470,nASIG,DATOS!$I13470,nEVAL,"OR")=0))</f>
      </c>
      <c r="I13470">
        <f>IF(DATOS!$I13470="","",IFERROR(VLOOKUP(DATOS!$I13470,CONFIG_ASIGNATURAS!$B$2:$J$91,9,FALSE()),""))</f>
      </c>
    </row>
    <row r="13471">
      <c r="F13471">
        <f>IF(DATOS!$A13471="","",DATOS!$A13471&amp;"|"&amp;DATOS!$D13471&amp;"|"&amp;DATOS!$E13471&amp;"|"&amp;DATOS!$I13471)</f>
      </c>
      <c r="G13471">
        <f>IF(DATOS!$A13471="",0,IF(CONFIG_METADATA!$B$4&lt;&gt;"OR+EX",--(DATOS!$G13471=CONFIG_METADATA!$B$4),IF(DATOS!$G13471="EX",1,IF(DATOS!$G13471="OR",--(COUNTIFS(nNIA,DATOS!$A13471,nCURSO,DATOS!$D13471,nESPEC,DATOS!$E13471,nASIG,DATOS!$I13471,nEVAL,"EX")=0),0))))</f>
      </c>
      <c r="H13471">
        <f>IF(DATOS!$G13471&lt;&gt;"EX",0,--(COUNTIFS(nNIA,DATOS!$A13471,nCURSO,DATOS!$D13471,nESPEC,DATOS!$E13471,nASIG,DATOS!$I13471,nEVAL,"OR")=0))</f>
      </c>
      <c r="I13471">
        <f>IF(DATOS!$I13471="","",IFERROR(VLOOKUP(DATOS!$I13471,CONFIG_ASIGNATURAS!$B$2:$J$91,9,FALSE()),""))</f>
      </c>
    </row>
    <row r="13472">
      <c r="F13472">
        <f>IF(DATOS!$A13472="","",DATOS!$A13472&amp;"|"&amp;DATOS!$D13472&amp;"|"&amp;DATOS!$E13472&amp;"|"&amp;DATOS!$I13472)</f>
      </c>
      <c r="G13472">
        <f>IF(DATOS!$A13472="",0,IF(CONFIG_METADATA!$B$4&lt;&gt;"OR+EX",--(DATOS!$G13472=CONFIG_METADATA!$B$4),IF(DATOS!$G13472="EX",1,IF(DATOS!$G13472="OR",--(COUNTIFS(nNIA,DATOS!$A13472,nCURSO,DATOS!$D13472,nESPEC,DATOS!$E13472,nASIG,DATOS!$I13472,nEVAL,"EX")=0),0))))</f>
      </c>
      <c r="H13472">
        <f>IF(DATOS!$G13472&lt;&gt;"EX",0,--(COUNTIFS(nNIA,DATOS!$A13472,nCURSO,DATOS!$D13472,nESPEC,DATOS!$E13472,nASIG,DATOS!$I13472,nEVAL,"OR")=0))</f>
      </c>
      <c r="I13472">
        <f>IF(DATOS!$I13472="","",IFERROR(VLOOKUP(DATOS!$I13472,CONFIG_ASIGNATURAS!$B$2:$J$91,9,FALSE()),""))</f>
      </c>
    </row>
    <row r="13473">
      <c r="F13473">
        <f>IF(DATOS!$A13473="","",DATOS!$A13473&amp;"|"&amp;DATOS!$D13473&amp;"|"&amp;DATOS!$E13473&amp;"|"&amp;DATOS!$I13473)</f>
      </c>
      <c r="G13473">
        <f>IF(DATOS!$A13473="",0,IF(CONFIG_METADATA!$B$4&lt;&gt;"OR+EX",--(DATOS!$G13473=CONFIG_METADATA!$B$4),IF(DATOS!$G13473="EX",1,IF(DATOS!$G13473="OR",--(COUNTIFS(nNIA,DATOS!$A13473,nCURSO,DATOS!$D13473,nESPEC,DATOS!$E13473,nASIG,DATOS!$I13473,nEVAL,"EX")=0),0))))</f>
      </c>
      <c r="H13473">
        <f>IF(DATOS!$G13473&lt;&gt;"EX",0,--(COUNTIFS(nNIA,DATOS!$A13473,nCURSO,DATOS!$D13473,nESPEC,DATOS!$E13473,nASIG,DATOS!$I13473,nEVAL,"OR")=0))</f>
      </c>
      <c r="I13473">
        <f>IF(DATOS!$I13473="","",IFERROR(VLOOKUP(DATOS!$I13473,CONFIG_ASIGNATURAS!$B$2:$J$91,9,FALSE()),""))</f>
      </c>
    </row>
    <row r="13474">
      <c r="F13474">
        <f>IF(DATOS!$A13474="","",DATOS!$A13474&amp;"|"&amp;DATOS!$D13474&amp;"|"&amp;DATOS!$E13474&amp;"|"&amp;DATOS!$I13474)</f>
      </c>
      <c r="G13474">
        <f>IF(DATOS!$A13474="",0,IF(CONFIG_METADATA!$B$4&lt;&gt;"OR+EX",--(DATOS!$G13474=CONFIG_METADATA!$B$4),IF(DATOS!$G13474="EX",1,IF(DATOS!$G13474="OR",--(COUNTIFS(nNIA,DATOS!$A13474,nCURSO,DATOS!$D13474,nESPEC,DATOS!$E13474,nASIG,DATOS!$I13474,nEVAL,"EX")=0),0))))</f>
      </c>
      <c r="H13474">
        <f>IF(DATOS!$G13474&lt;&gt;"EX",0,--(COUNTIFS(nNIA,DATOS!$A13474,nCURSO,DATOS!$D13474,nESPEC,DATOS!$E13474,nASIG,DATOS!$I13474,nEVAL,"OR")=0))</f>
      </c>
      <c r="I13474">
        <f>IF(DATOS!$I13474="","",IFERROR(VLOOKUP(DATOS!$I13474,CONFIG_ASIGNATURAS!$B$2:$J$91,9,FALSE()),""))</f>
      </c>
    </row>
    <row r="13475">
      <c r="F13475">
        <f>IF(DATOS!$A13475="","",DATOS!$A13475&amp;"|"&amp;DATOS!$D13475&amp;"|"&amp;DATOS!$E13475&amp;"|"&amp;DATOS!$I13475)</f>
      </c>
      <c r="G13475">
        <f>IF(DATOS!$A13475="",0,IF(CONFIG_METADATA!$B$4&lt;&gt;"OR+EX",--(DATOS!$G13475=CONFIG_METADATA!$B$4),IF(DATOS!$G13475="EX",1,IF(DATOS!$G13475="OR",--(COUNTIFS(nNIA,DATOS!$A13475,nCURSO,DATOS!$D13475,nESPEC,DATOS!$E13475,nASIG,DATOS!$I13475,nEVAL,"EX")=0),0))))</f>
      </c>
      <c r="H13475">
        <f>IF(DATOS!$G13475&lt;&gt;"EX",0,--(COUNTIFS(nNIA,DATOS!$A13475,nCURSO,DATOS!$D13475,nESPEC,DATOS!$E13475,nASIG,DATOS!$I13475,nEVAL,"OR")=0))</f>
      </c>
      <c r="I13475">
        <f>IF(DATOS!$I13475="","",IFERROR(VLOOKUP(DATOS!$I13475,CONFIG_ASIGNATURAS!$B$2:$J$91,9,FALSE()),""))</f>
      </c>
    </row>
    <row r="13476">
      <c r="F13476">
        <f>IF(DATOS!$A13476="","",DATOS!$A13476&amp;"|"&amp;DATOS!$D13476&amp;"|"&amp;DATOS!$E13476&amp;"|"&amp;DATOS!$I13476)</f>
      </c>
      <c r="G13476">
        <f>IF(DATOS!$A13476="",0,IF(CONFIG_METADATA!$B$4&lt;&gt;"OR+EX",--(DATOS!$G13476=CONFIG_METADATA!$B$4),IF(DATOS!$G13476="EX",1,IF(DATOS!$G13476="OR",--(COUNTIFS(nNIA,DATOS!$A13476,nCURSO,DATOS!$D13476,nESPEC,DATOS!$E13476,nASIG,DATOS!$I13476,nEVAL,"EX")=0),0))))</f>
      </c>
      <c r="H13476">
        <f>IF(DATOS!$G13476&lt;&gt;"EX",0,--(COUNTIFS(nNIA,DATOS!$A13476,nCURSO,DATOS!$D13476,nESPEC,DATOS!$E13476,nASIG,DATOS!$I13476,nEVAL,"OR")=0))</f>
      </c>
      <c r="I13476">
        <f>IF(DATOS!$I13476="","",IFERROR(VLOOKUP(DATOS!$I13476,CONFIG_ASIGNATURAS!$B$2:$J$91,9,FALSE()),""))</f>
      </c>
    </row>
    <row r="13477">
      <c r="F13477">
        <f>IF(DATOS!$A13477="","",DATOS!$A13477&amp;"|"&amp;DATOS!$D13477&amp;"|"&amp;DATOS!$E13477&amp;"|"&amp;DATOS!$I13477)</f>
      </c>
      <c r="G13477">
        <f>IF(DATOS!$A13477="",0,IF(CONFIG_METADATA!$B$4&lt;&gt;"OR+EX",--(DATOS!$G13477=CONFIG_METADATA!$B$4),IF(DATOS!$G13477="EX",1,IF(DATOS!$G13477="OR",--(COUNTIFS(nNIA,DATOS!$A13477,nCURSO,DATOS!$D13477,nESPEC,DATOS!$E13477,nASIG,DATOS!$I13477,nEVAL,"EX")=0),0))))</f>
      </c>
      <c r="H13477">
        <f>IF(DATOS!$G13477&lt;&gt;"EX",0,--(COUNTIFS(nNIA,DATOS!$A13477,nCURSO,DATOS!$D13477,nESPEC,DATOS!$E13477,nASIG,DATOS!$I13477,nEVAL,"OR")=0))</f>
      </c>
      <c r="I13477">
        <f>IF(DATOS!$I13477="","",IFERROR(VLOOKUP(DATOS!$I13477,CONFIG_ASIGNATURAS!$B$2:$J$91,9,FALSE()),""))</f>
      </c>
    </row>
    <row r="13478">
      <c r="F13478">
        <f>IF(DATOS!$A13478="","",DATOS!$A13478&amp;"|"&amp;DATOS!$D13478&amp;"|"&amp;DATOS!$E13478&amp;"|"&amp;DATOS!$I13478)</f>
      </c>
      <c r="G13478">
        <f>IF(DATOS!$A13478="",0,IF(CONFIG_METADATA!$B$4&lt;&gt;"OR+EX",--(DATOS!$G13478=CONFIG_METADATA!$B$4),IF(DATOS!$G13478="EX",1,IF(DATOS!$G13478="OR",--(COUNTIFS(nNIA,DATOS!$A13478,nCURSO,DATOS!$D13478,nESPEC,DATOS!$E13478,nASIG,DATOS!$I13478,nEVAL,"EX")=0),0))))</f>
      </c>
      <c r="H13478">
        <f>IF(DATOS!$G13478&lt;&gt;"EX",0,--(COUNTIFS(nNIA,DATOS!$A13478,nCURSO,DATOS!$D13478,nESPEC,DATOS!$E13478,nASIG,DATOS!$I13478,nEVAL,"OR")=0))</f>
      </c>
      <c r="I13478">
        <f>IF(DATOS!$I13478="","",IFERROR(VLOOKUP(DATOS!$I13478,CONFIG_ASIGNATURAS!$B$2:$J$91,9,FALSE()),""))</f>
      </c>
    </row>
    <row r="13479">
      <c r="F13479">
        <f>IF(DATOS!$A13479="","",DATOS!$A13479&amp;"|"&amp;DATOS!$D13479&amp;"|"&amp;DATOS!$E13479&amp;"|"&amp;DATOS!$I13479)</f>
      </c>
      <c r="G13479">
        <f>IF(DATOS!$A13479="",0,IF(CONFIG_METADATA!$B$4&lt;&gt;"OR+EX",--(DATOS!$G13479=CONFIG_METADATA!$B$4),IF(DATOS!$G13479="EX",1,IF(DATOS!$G13479="OR",--(COUNTIFS(nNIA,DATOS!$A13479,nCURSO,DATOS!$D13479,nESPEC,DATOS!$E13479,nASIG,DATOS!$I13479,nEVAL,"EX")=0),0))))</f>
      </c>
      <c r="H13479">
        <f>IF(DATOS!$G13479&lt;&gt;"EX",0,--(COUNTIFS(nNIA,DATOS!$A13479,nCURSO,DATOS!$D13479,nESPEC,DATOS!$E13479,nASIG,DATOS!$I13479,nEVAL,"OR")=0))</f>
      </c>
      <c r="I13479">
        <f>IF(DATOS!$I13479="","",IFERROR(VLOOKUP(DATOS!$I13479,CONFIG_ASIGNATURAS!$B$2:$J$91,9,FALSE()),""))</f>
      </c>
    </row>
    <row r="13480">
      <c r="F13480">
        <f>IF(DATOS!$A13480="","",DATOS!$A13480&amp;"|"&amp;DATOS!$D13480&amp;"|"&amp;DATOS!$E13480&amp;"|"&amp;DATOS!$I13480)</f>
      </c>
      <c r="G13480">
        <f>IF(DATOS!$A13480="",0,IF(CONFIG_METADATA!$B$4&lt;&gt;"OR+EX",--(DATOS!$G13480=CONFIG_METADATA!$B$4),IF(DATOS!$G13480="EX",1,IF(DATOS!$G13480="OR",--(COUNTIFS(nNIA,DATOS!$A13480,nCURSO,DATOS!$D13480,nESPEC,DATOS!$E13480,nASIG,DATOS!$I13480,nEVAL,"EX")=0),0))))</f>
      </c>
      <c r="H13480">
        <f>IF(DATOS!$G13480&lt;&gt;"EX",0,--(COUNTIFS(nNIA,DATOS!$A13480,nCURSO,DATOS!$D13480,nESPEC,DATOS!$E13480,nASIG,DATOS!$I13480,nEVAL,"OR")=0))</f>
      </c>
      <c r="I13480">
        <f>IF(DATOS!$I13480="","",IFERROR(VLOOKUP(DATOS!$I13480,CONFIG_ASIGNATURAS!$B$2:$J$91,9,FALSE()),""))</f>
      </c>
    </row>
    <row r="13481">
      <c r="F13481">
        <f>IF(DATOS!$A13481="","",DATOS!$A13481&amp;"|"&amp;DATOS!$D13481&amp;"|"&amp;DATOS!$E13481&amp;"|"&amp;DATOS!$I13481)</f>
      </c>
      <c r="G13481">
        <f>IF(DATOS!$A13481="",0,IF(CONFIG_METADATA!$B$4&lt;&gt;"OR+EX",--(DATOS!$G13481=CONFIG_METADATA!$B$4),IF(DATOS!$G13481="EX",1,IF(DATOS!$G13481="OR",--(COUNTIFS(nNIA,DATOS!$A13481,nCURSO,DATOS!$D13481,nESPEC,DATOS!$E13481,nASIG,DATOS!$I13481,nEVAL,"EX")=0),0))))</f>
      </c>
      <c r="H13481">
        <f>IF(DATOS!$G13481&lt;&gt;"EX",0,--(COUNTIFS(nNIA,DATOS!$A13481,nCURSO,DATOS!$D13481,nESPEC,DATOS!$E13481,nASIG,DATOS!$I13481,nEVAL,"OR")=0))</f>
      </c>
      <c r="I13481">
        <f>IF(DATOS!$I13481="","",IFERROR(VLOOKUP(DATOS!$I13481,CONFIG_ASIGNATURAS!$B$2:$J$91,9,FALSE()),""))</f>
      </c>
    </row>
    <row r="13482">
      <c r="F13482">
        <f>IF(DATOS!$A13482="","",DATOS!$A13482&amp;"|"&amp;DATOS!$D13482&amp;"|"&amp;DATOS!$E13482&amp;"|"&amp;DATOS!$I13482)</f>
      </c>
      <c r="G13482">
        <f>IF(DATOS!$A13482="",0,IF(CONFIG_METADATA!$B$4&lt;&gt;"OR+EX",--(DATOS!$G13482=CONFIG_METADATA!$B$4),IF(DATOS!$G13482="EX",1,IF(DATOS!$G13482="OR",--(COUNTIFS(nNIA,DATOS!$A13482,nCURSO,DATOS!$D13482,nESPEC,DATOS!$E13482,nASIG,DATOS!$I13482,nEVAL,"EX")=0),0))))</f>
      </c>
      <c r="H13482">
        <f>IF(DATOS!$G13482&lt;&gt;"EX",0,--(COUNTIFS(nNIA,DATOS!$A13482,nCURSO,DATOS!$D13482,nESPEC,DATOS!$E13482,nASIG,DATOS!$I13482,nEVAL,"OR")=0))</f>
      </c>
      <c r="I13482">
        <f>IF(DATOS!$I13482="","",IFERROR(VLOOKUP(DATOS!$I13482,CONFIG_ASIGNATURAS!$B$2:$J$91,9,FALSE()),""))</f>
      </c>
    </row>
    <row r="13483">
      <c r="F13483">
        <f>IF(DATOS!$A13483="","",DATOS!$A13483&amp;"|"&amp;DATOS!$D13483&amp;"|"&amp;DATOS!$E13483&amp;"|"&amp;DATOS!$I13483)</f>
      </c>
      <c r="G13483">
        <f>IF(DATOS!$A13483="",0,IF(CONFIG_METADATA!$B$4&lt;&gt;"OR+EX",--(DATOS!$G13483=CONFIG_METADATA!$B$4),IF(DATOS!$G13483="EX",1,IF(DATOS!$G13483="OR",--(COUNTIFS(nNIA,DATOS!$A13483,nCURSO,DATOS!$D13483,nESPEC,DATOS!$E13483,nASIG,DATOS!$I13483,nEVAL,"EX")=0),0))))</f>
      </c>
      <c r="H13483">
        <f>IF(DATOS!$G13483&lt;&gt;"EX",0,--(COUNTIFS(nNIA,DATOS!$A13483,nCURSO,DATOS!$D13483,nESPEC,DATOS!$E13483,nASIG,DATOS!$I13483,nEVAL,"OR")=0))</f>
      </c>
      <c r="I13483">
        <f>IF(DATOS!$I13483="","",IFERROR(VLOOKUP(DATOS!$I13483,CONFIG_ASIGNATURAS!$B$2:$J$91,9,FALSE()),""))</f>
      </c>
    </row>
    <row r="13484">
      <c r="F13484">
        <f>IF(DATOS!$A13484="","",DATOS!$A13484&amp;"|"&amp;DATOS!$D13484&amp;"|"&amp;DATOS!$E13484&amp;"|"&amp;DATOS!$I13484)</f>
      </c>
      <c r="G13484">
        <f>IF(DATOS!$A13484="",0,IF(CONFIG_METADATA!$B$4&lt;&gt;"OR+EX",--(DATOS!$G13484=CONFIG_METADATA!$B$4),IF(DATOS!$G13484="EX",1,IF(DATOS!$G13484="OR",--(COUNTIFS(nNIA,DATOS!$A13484,nCURSO,DATOS!$D13484,nESPEC,DATOS!$E13484,nASIG,DATOS!$I13484,nEVAL,"EX")=0),0))))</f>
      </c>
      <c r="H13484">
        <f>IF(DATOS!$G13484&lt;&gt;"EX",0,--(COUNTIFS(nNIA,DATOS!$A13484,nCURSO,DATOS!$D13484,nESPEC,DATOS!$E13484,nASIG,DATOS!$I13484,nEVAL,"OR")=0))</f>
      </c>
      <c r="I13484">
        <f>IF(DATOS!$I13484="","",IFERROR(VLOOKUP(DATOS!$I13484,CONFIG_ASIGNATURAS!$B$2:$J$91,9,FALSE()),""))</f>
      </c>
    </row>
    <row r="13485">
      <c r="F13485">
        <f>IF(DATOS!$A13485="","",DATOS!$A13485&amp;"|"&amp;DATOS!$D13485&amp;"|"&amp;DATOS!$E13485&amp;"|"&amp;DATOS!$I13485)</f>
      </c>
      <c r="G13485">
        <f>IF(DATOS!$A13485="",0,IF(CONFIG_METADATA!$B$4&lt;&gt;"OR+EX",--(DATOS!$G13485=CONFIG_METADATA!$B$4),IF(DATOS!$G13485="EX",1,IF(DATOS!$G13485="OR",--(COUNTIFS(nNIA,DATOS!$A13485,nCURSO,DATOS!$D13485,nESPEC,DATOS!$E13485,nASIG,DATOS!$I13485,nEVAL,"EX")=0),0))))</f>
      </c>
      <c r="H13485">
        <f>IF(DATOS!$G13485&lt;&gt;"EX",0,--(COUNTIFS(nNIA,DATOS!$A13485,nCURSO,DATOS!$D13485,nESPEC,DATOS!$E13485,nASIG,DATOS!$I13485,nEVAL,"OR")=0))</f>
      </c>
      <c r="I13485">
        <f>IF(DATOS!$I13485="","",IFERROR(VLOOKUP(DATOS!$I13485,CONFIG_ASIGNATURAS!$B$2:$J$91,9,FALSE()),""))</f>
      </c>
    </row>
    <row r="13486">
      <c r="F13486">
        <f>IF(DATOS!$A13486="","",DATOS!$A13486&amp;"|"&amp;DATOS!$D13486&amp;"|"&amp;DATOS!$E13486&amp;"|"&amp;DATOS!$I13486)</f>
      </c>
      <c r="G13486">
        <f>IF(DATOS!$A13486="",0,IF(CONFIG_METADATA!$B$4&lt;&gt;"OR+EX",--(DATOS!$G13486=CONFIG_METADATA!$B$4),IF(DATOS!$G13486="EX",1,IF(DATOS!$G13486="OR",--(COUNTIFS(nNIA,DATOS!$A13486,nCURSO,DATOS!$D13486,nESPEC,DATOS!$E13486,nASIG,DATOS!$I13486,nEVAL,"EX")=0),0))))</f>
      </c>
      <c r="H13486">
        <f>IF(DATOS!$G13486&lt;&gt;"EX",0,--(COUNTIFS(nNIA,DATOS!$A13486,nCURSO,DATOS!$D13486,nESPEC,DATOS!$E13486,nASIG,DATOS!$I13486,nEVAL,"OR")=0))</f>
      </c>
      <c r="I13486">
        <f>IF(DATOS!$I13486="","",IFERROR(VLOOKUP(DATOS!$I13486,CONFIG_ASIGNATURAS!$B$2:$J$91,9,FALSE()),""))</f>
      </c>
    </row>
    <row r="13487">
      <c r="F13487">
        <f>IF(DATOS!$A13487="","",DATOS!$A13487&amp;"|"&amp;DATOS!$D13487&amp;"|"&amp;DATOS!$E13487&amp;"|"&amp;DATOS!$I13487)</f>
      </c>
      <c r="G13487">
        <f>IF(DATOS!$A13487="",0,IF(CONFIG_METADATA!$B$4&lt;&gt;"OR+EX",--(DATOS!$G13487=CONFIG_METADATA!$B$4),IF(DATOS!$G13487="EX",1,IF(DATOS!$G13487="OR",--(COUNTIFS(nNIA,DATOS!$A13487,nCURSO,DATOS!$D13487,nESPEC,DATOS!$E13487,nASIG,DATOS!$I13487,nEVAL,"EX")=0),0))))</f>
      </c>
      <c r="H13487">
        <f>IF(DATOS!$G13487&lt;&gt;"EX",0,--(COUNTIFS(nNIA,DATOS!$A13487,nCURSO,DATOS!$D13487,nESPEC,DATOS!$E13487,nASIG,DATOS!$I13487,nEVAL,"OR")=0))</f>
      </c>
      <c r="I13487">
        <f>IF(DATOS!$I13487="","",IFERROR(VLOOKUP(DATOS!$I13487,CONFIG_ASIGNATURAS!$B$2:$J$91,9,FALSE()),""))</f>
      </c>
    </row>
    <row r="13488">
      <c r="F13488">
        <f>IF(DATOS!$A13488="","",DATOS!$A13488&amp;"|"&amp;DATOS!$D13488&amp;"|"&amp;DATOS!$E13488&amp;"|"&amp;DATOS!$I13488)</f>
      </c>
      <c r="G13488">
        <f>IF(DATOS!$A13488="",0,IF(CONFIG_METADATA!$B$4&lt;&gt;"OR+EX",--(DATOS!$G13488=CONFIG_METADATA!$B$4),IF(DATOS!$G13488="EX",1,IF(DATOS!$G13488="OR",--(COUNTIFS(nNIA,DATOS!$A13488,nCURSO,DATOS!$D13488,nESPEC,DATOS!$E13488,nASIG,DATOS!$I13488,nEVAL,"EX")=0),0))))</f>
      </c>
      <c r="H13488">
        <f>IF(DATOS!$G13488&lt;&gt;"EX",0,--(COUNTIFS(nNIA,DATOS!$A13488,nCURSO,DATOS!$D13488,nESPEC,DATOS!$E13488,nASIG,DATOS!$I13488,nEVAL,"OR")=0))</f>
      </c>
      <c r="I13488">
        <f>IF(DATOS!$I13488="","",IFERROR(VLOOKUP(DATOS!$I13488,CONFIG_ASIGNATURAS!$B$2:$J$91,9,FALSE()),""))</f>
      </c>
    </row>
    <row r="13489">
      <c r="F13489">
        <f>IF(DATOS!$A13489="","",DATOS!$A13489&amp;"|"&amp;DATOS!$D13489&amp;"|"&amp;DATOS!$E13489&amp;"|"&amp;DATOS!$I13489)</f>
      </c>
      <c r="G13489">
        <f>IF(DATOS!$A13489="",0,IF(CONFIG_METADATA!$B$4&lt;&gt;"OR+EX",--(DATOS!$G13489=CONFIG_METADATA!$B$4),IF(DATOS!$G13489="EX",1,IF(DATOS!$G13489="OR",--(COUNTIFS(nNIA,DATOS!$A13489,nCURSO,DATOS!$D13489,nESPEC,DATOS!$E13489,nASIG,DATOS!$I13489,nEVAL,"EX")=0),0))))</f>
      </c>
      <c r="H13489">
        <f>IF(DATOS!$G13489&lt;&gt;"EX",0,--(COUNTIFS(nNIA,DATOS!$A13489,nCURSO,DATOS!$D13489,nESPEC,DATOS!$E13489,nASIG,DATOS!$I13489,nEVAL,"OR")=0))</f>
      </c>
      <c r="I13489">
        <f>IF(DATOS!$I13489="","",IFERROR(VLOOKUP(DATOS!$I13489,CONFIG_ASIGNATURAS!$B$2:$J$91,9,FALSE()),""))</f>
      </c>
    </row>
    <row r="13490">
      <c r="F13490">
        <f>IF(DATOS!$A13490="","",DATOS!$A13490&amp;"|"&amp;DATOS!$D13490&amp;"|"&amp;DATOS!$E13490&amp;"|"&amp;DATOS!$I13490)</f>
      </c>
      <c r="G13490">
        <f>IF(DATOS!$A13490="",0,IF(CONFIG_METADATA!$B$4&lt;&gt;"OR+EX",--(DATOS!$G13490=CONFIG_METADATA!$B$4),IF(DATOS!$G13490="EX",1,IF(DATOS!$G13490="OR",--(COUNTIFS(nNIA,DATOS!$A13490,nCURSO,DATOS!$D13490,nESPEC,DATOS!$E13490,nASIG,DATOS!$I13490,nEVAL,"EX")=0),0))))</f>
      </c>
      <c r="H13490">
        <f>IF(DATOS!$G13490&lt;&gt;"EX",0,--(COUNTIFS(nNIA,DATOS!$A13490,nCURSO,DATOS!$D13490,nESPEC,DATOS!$E13490,nASIG,DATOS!$I13490,nEVAL,"OR")=0))</f>
      </c>
      <c r="I13490">
        <f>IF(DATOS!$I13490="","",IFERROR(VLOOKUP(DATOS!$I13490,CONFIG_ASIGNATURAS!$B$2:$J$91,9,FALSE()),""))</f>
      </c>
    </row>
    <row r="13491">
      <c r="F13491">
        <f>IF(DATOS!$A13491="","",DATOS!$A13491&amp;"|"&amp;DATOS!$D13491&amp;"|"&amp;DATOS!$E13491&amp;"|"&amp;DATOS!$I13491)</f>
      </c>
      <c r="G13491">
        <f>IF(DATOS!$A13491="",0,IF(CONFIG_METADATA!$B$4&lt;&gt;"OR+EX",--(DATOS!$G13491=CONFIG_METADATA!$B$4),IF(DATOS!$G13491="EX",1,IF(DATOS!$G13491="OR",--(COUNTIFS(nNIA,DATOS!$A13491,nCURSO,DATOS!$D13491,nESPEC,DATOS!$E13491,nASIG,DATOS!$I13491,nEVAL,"EX")=0),0))))</f>
      </c>
      <c r="H13491">
        <f>IF(DATOS!$G13491&lt;&gt;"EX",0,--(COUNTIFS(nNIA,DATOS!$A13491,nCURSO,DATOS!$D13491,nESPEC,DATOS!$E13491,nASIG,DATOS!$I13491,nEVAL,"OR")=0))</f>
      </c>
      <c r="I13491">
        <f>IF(DATOS!$I13491="","",IFERROR(VLOOKUP(DATOS!$I13491,CONFIG_ASIGNATURAS!$B$2:$J$91,9,FALSE()),""))</f>
      </c>
    </row>
    <row r="13492">
      <c r="F13492">
        <f>IF(DATOS!$A13492="","",DATOS!$A13492&amp;"|"&amp;DATOS!$D13492&amp;"|"&amp;DATOS!$E13492&amp;"|"&amp;DATOS!$I13492)</f>
      </c>
      <c r="G13492">
        <f>IF(DATOS!$A13492="",0,IF(CONFIG_METADATA!$B$4&lt;&gt;"OR+EX",--(DATOS!$G13492=CONFIG_METADATA!$B$4),IF(DATOS!$G13492="EX",1,IF(DATOS!$G13492="OR",--(COUNTIFS(nNIA,DATOS!$A13492,nCURSO,DATOS!$D13492,nESPEC,DATOS!$E13492,nASIG,DATOS!$I13492,nEVAL,"EX")=0),0))))</f>
      </c>
      <c r="H13492">
        <f>IF(DATOS!$G13492&lt;&gt;"EX",0,--(COUNTIFS(nNIA,DATOS!$A13492,nCURSO,DATOS!$D13492,nESPEC,DATOS!$E13492,nASIG,DATOS!$I13492,nEVAL,"OR")=0))</f>
      </c>
      <c r="I13492">
        <f>IF(DATOS!$I13492="","",IFERROR(VLOOKUP(DATOS!$I13492,CONFIG_ASIGNATURAS!$B$2:$J$91,9,FALSE()),""))</f>
      </c>
    </row>
    <row r="13493">
      <c r="F13493">
        <f>IF(DATOS!$A13493="","",DATOS!$A13493&amp;"|"&amp;DATOS!$D13493&amp;"|"&amp;DATOS!$E13493&amp;"|"&amp;DATOS!$I13493)</f>
      </c>
      <c r="G13493">
        <f>IF(DATOS!$A13493="",0,IF(CONFIG_METADATA!$B$4&lt;&gt;"OR+EX",--(DATOS!$G13493=CONFIG_METADATA!$B$4),IF(DATOS!$G13493="EX",1,IF(DATOS!$G13493="OR",--(COUNTIFS(nNIA,DATOS!$A13493,nCURSO,DATOS!$D13493,nESPEC,DATOS!$E13493,nASIG,DATOS!$I13493,nEVAL,"EX")=0),0))))</f>
      </c>
      <c r="H13493">
        <f>IF(DATOS!$G13493&lt;&gt;"EX",0,--(COUNTIFS(nNIA,DATOS!$A13493,nCURSO,DATOS!$D13493,nESPEC,DATOS!$E13493,nASIG,DATOS!$I13493,nEVAL,"OR")=0))</f>
      </c>
      <c r="I13493">
        <f>IF(DATOS!$I13493="","",IFERROR(VLOOKUP(DATOS!$I13493,CONFIG_ASIGNATURAS!$B$2:$J$91,9,FALSE()),""))</f>
      </c>
    </row>
    <row r="13494">
      <c r="F13494">
        <f>IF(DATOS!$A13494="","",DATOS!$A13494&amp;"|"&amp;DATOS!$D13494&amp;"|"&amp;DATOS!$E13494&amp;"|"&amp;DATOS!$I13494)</f>
      </c>
      <c r="G13494">
        <f>IF(DATOS!$A13494="",0,IF(CONFIG_METADATA!$B$4&lt;&gt;"OR+EX",--(DATOS!$G13494=CONFIG_METADATA!$B$4),IF(DATOS!$G13494="EX",1,IF(DATOS!$G13494="OR",--(COUNTIFS(nNIA,DATOS!$A13494,nCURSO,DATOS!$D13494,nESPEC,DATOS!$E13494,nASIG,DATOS!$I13494,nEVAL,"EX")=0),0))))</f>
      </c>
      <c r="H13494">
        <f>IF(DATOS!$G13494&lt;&gt;"EX",0,--(COUNTIFS(nNIA,DATOS!$A13494,nCURSO,DATOS!$D13494,nESPEC,DATOS!$E13494,nASIG,DATOS!$I13494,nEVAL,"OR")=0))</f>
      </c>
      <c r="I13494">
        <f>IF(DATOS!$I13494="","",IFERROR(VLOOKUP(DATOS!$I13494,CONFIG_ASIGNATURAS!$B$2:$J$91,9,FALSE()),""))</f>
      </c>
    </row>
    <row r="13495">
      <c r="F13495">
        <f>IF(DATOS!$A13495="","",DATOS!$A13495&amp;"|"&amp;DATOS!$D13495&amp;"|"&amp;DATOS!$E13495&amp;"|"&amp;DATOS!$I13495)</f>
      </c>
      <c r="G13495">
        <f>IF(DATOS!$A13495="",0,IF(CONFIG_METADATA!$B$4&lt;&gt;"OR+EX",--(DATOS!$G13495=CONFIG_METADATA!$B$4),IF(DATOS!$G13495="EX",1,IF(DATOS!$G13495="OR",--(COUNTIFS(nNIA,DATOS!$A13495,nCURSO,DATOS!$D13495,nESPEC,DATOS!$E13495,nASIG,DATOS!$I13495,nEVAL,"EX")=0),0))))</f>
      </c>
      <c r="H13495">
        <f>IF(DATOS!$G13495&lt;&gt;"EX",0,--(COUNTIFS(nNIA,DATOS!$A13495,nCURSO,DATOS!$D13495,nESPEC,DATOS!$E13495,nASIG,DATOS!$I13495,nEVAL,"OR")=0))</f>
      </c>
      <c r="I13495">
        <f>IF(DATOS!$I13495="","",IFERROR(VLOOKUP(DATOS!$I13495,CONFIG_ASIGNATURAS!$B$2:$J$91,9,FALSE()),""))</f>
      </c>
    </row>
    <row r="13496">
      <c r="F13496">
        <f>IF(DATOS!$A13496="","",DATOS!$A13496&amp;"|"&amp;DATOS!$D13496&amp;"|"&amp;DATOS!$E13496&amp;"|"&amp;DATOS!$I13496)</f>
      </c>
      <c r="G13496">
        <f>IF(DATOS!$A13496="",0,IF(CONFIG_METADATA!$B$4&lt;&gt;"OR+EX",--(DATOS!$G13496=CONFIG_METADATA!$B$4),IF(DATOS!$G13496="EX",1,IF(DATOS!$G13496="OR",--(COUNTIFS(nNIA,DATOS!$A13496,nCURSO,DATOS!$D13496,nESPEC,DATOS!$E13496,nASIG,DATOS!$I13496,nEVAL,"EX")=0),0))))</f>
      </c>
      <c r="H13496">
        <f>IF(DATOS!$G13496&lt;&gt;"EX",0,--(COUNTIFS(nNIA,DATOS!$A13496,nCURSO,DATOS!$D13496,nESPEC,DATOS!$E13496,nASIG,DATOS!$I13496,nEVAL,"OR")=0))</f>
      </c>
      <c r="I13496">
        <f>IF(DATOS!$I13496="","",IFERROR(VLOOKUP(DATOS!$I13496,CONFIG_ASIGNATURAS!$B$2:$J$91,9,FALSE()),""))</f>
      </c>
    </row>
    <row r="13497">
      <c r="F13497">
        <f>IF(DATOS!$A13497="","",DATOS!$A13497&amp;"|"&amp;DATOS!$D13497&amp;"|"&amp;DATOS!$E13497&amp;"|"&amp;DATOS!$I13497)</f>
      </c>
      <c r="G13497">
        <f>IF(DATOS!$A13497="",0,IF(CONFIG_METADATA!$B$4&lt;&gt;"OR+EX",--(DATOS!$G13497=CONFIG_METADATA!$B$4),IF(DATOS!$G13497="EX",1,IF(DATOS!$G13497="OR",--(COUNTIFS(nNIA,DATOS!$A13497,nCURSO,DATOS!$D13497,nESPEC,DATOS!$E13497,nASIG,DATOS!$I13497,nEVAL,"EX")=0),0))))</f>
      </c>
      <c r="H13497">
        <f>IF(DATOS!$G13497&lt;&gt;"EX",0,--(COUNTIFS(nNIA,DATOS!$A13497,nCURSO,DATOS!$D13497,nESPEC,DATOS!$E13497,nASIG,DATOS!$I13497,nEVAL,"OR")=0))</f>
      </c>
      <c r="I13497">
        <f>IF(DATOS!$I13497="","",IFERROR(VLOOKUP(DATOS!$I13497,CONFIG_ASIGNATURAS!$B$2:$J$91,9,FALSE()),""))</f>
      </c>
    </row>
    <row r="13498">
      <c r="F13498">
        <f>IF(DATOS!$A13498="","",DATOS!$A13498&amp;"|"&amp;DATOS!$D13498&amp;"|"&amp;DATOS!$E13498&amp;"|"&amp;DATOS!$I13498)</f>
      </c>
      <c r="G13498">
        <f>IF(DATOS!$A13498="",0,IF(CONFIG_METADATA!$B$4&lt;&gt;"OR+EX",--(DATOS!$G13498=CONFIG_METADATA!$B$4),IF(DATOS!$G13498="EX",1,IF(DATOS!$G13498="OR",--(COUNTIFS(nNIA,DATOS!$A13498,nCURSO,DATOS!$D13498,nESPEC,DATOS!$E13498,nASIG,DATOS!$I13498,nEVAL,"EX")=0),0))))</f>
      </c>
      <c r="H13498">
        <f>IF(DATOS!$G13498&lt;&gt;"EX",0,--(COUNTIFS(nNIA,DATOS!$A13498,nCURSO,DATOS!$D13498,nESPEC,DATOS!$E13498,nASIG,DATOS!$I13498,nEVAL,"OR")=0))</f>
      </c>
      <c r="I13498">
        <f>IF(DATOS!$I13498="","",IFERROR(VLOOKUP(DATOS!$I13498,CONFIG_ASIGNATURAS!$B$2:$J$91,9,FALSE()),""))</f>
      </c>
    </row>
    <row r="13499">
      <c r="F13499">
        <f>IF(DATOS!$A13499="","",DATOS!$A13499&amp;"|"&amp;DATOS!$D13499&amp;"|"&amp;DATOS!$E13499&amp;"|"&amp;DATOS!$I13499)</f>
      </c>
      <c r="G13499">
        <f>IF(DATOS!$A13499="",0,IF(CONFIG_METADATA!$B$4&lt;&gt;"OR+EX",--(DATOS!$G13499=CONFIG_METADATA!$B$4),IF(DATOS!$G13499="EX",1,IF(DATOS!$G13499="OR",--(COUNTIFS(nNIA,DATOS!$A13499,nCURSO,DATOS!$D13499,nESPEC,DATOS!$E13499,nASIG,DATOS!$I13499,nEVAL,"EX")=0),0))))</f>
      </c>
      <c r="H13499">
        <f>IF(DATOS!$G13499&lt;&gt;"EX",0,--(COUNTIFS(nNIA,DATOS!$A13499,nCURSO,DATOS!$D13499,nESPEC,DATOS!$E13499,nASIG,DATOS!$I13499,nEVAL,"OR")=0))</f>
      </c>
      <c r="I13499">
        <f>IF(DATOS!$I13499="","",IFERROR(VLOOKUP(DATOS!$I13499,CONFIG_ASIGNATURAS!$B$2:$J$91,9,FALSE()),""))</f>
      </c>
    </row>
    <row r="13500">
      <c r="F13500">
        <f>IF(DATOS!$A13500="","",DATOS!$A13500&amp;"|"&amp;DATOS!$D13500&amp;"|"&amp;DATOS!$E13500&amp;"|"&amp;DATOS!$I13500)</f>
      </c>
      <c r="G13500">
        <f>IF(DATOS!$A13500="",0,IF(CONFIG_METADATA!$B$4&lt;&gt;"OR+EX",--(DATOS!$G13500=CONFIG_METADATA!$B$4),IF(DATOS!$G13500="EX",1,IF(DATOS!$G13500="OR",--(COUNTIFS(nNIA,DATOS!$A13500,nCURSO,DATOS!$D13500,nESPEC,DATOS!$E13500,nASIG,DATOS!$I13500,nEVAL,"EX")=0),0))))</f>
      </c>
      <c r="H13500">
        <f>IF(DATOS!$G13500&lt;&gt;"EX",0,--(COUNTIFS(nNIA,DATOS!$A13500,nCURSO,DATOS!$D13500,nESPEC,DATOS!$E13500,nASIG,DATOS!$I13500,nEVAL,"OR")=0))</f>
      </c>
      <c r="I13500">
        <f>IF(DATOS!$I13500="","",IFERROR(VLOOKUP(DATOS!$I13500,CONFIG_ASIGNATURAS!$B$2:$J$91,9,FALSE()),""))</f>
      </c>
    </row>
    <row r="13501">
      <c r="F13501">
        <f>IF(DATOS!$A13501="","",DATOS!$A13501&amp;"|"&amp;DATOS!$D13501&amp;"|"&amp;DATOS!$E13501&amp;"|"&amp;DATOS!$I13501)</f>
      </c>
      <c r="G13501">
        <f>IF(DATOS!$A13501="",0,IF(CONFIG_METADATA!$B$4&lt;&gt;"OR+EX",--(DATOS!$G13501=CONFIG_METADATA!$B$4),IF(DATOS!$G13501="EX",1,IF(DATOS!$G13501="OR",--(COUNTIFS(nNIA,DATOS!$A13501,nCURSO,DATOS!$D13501,nESPEC,DATOS!$E13501,nASIG,DATOS!$I13501,nEVAL,"EX")=0),0))))</f>
      </c>
      <c r="H13501">
        <f>IF(DATOS!$G13501&lt;&gt;"EX",0,--(COUNTIFS(nNIA,DATOS!$A13501,nCURSO,DATOS!$D13501,nESPEC,DATOS!$E13501,nASIG,DATOS!$I13501,nEVAL,"OR")=0))</f>
      </c>
      <c r="I13501">
        <f>IF(DATOS!$I13501="","",IFERROR(VLOOKUP(DATOS!$I13501,CONFIG_ASIGNATURAS!$B$2:$J$91,9,FALSE()),""))</f>
      </c>
    </row>
    <row r="13502">
      <c r="F13502">
        <f>IF(DATOS!$A13502="","",DATOS!$A13502&amp;"|"&amp;DATOS!$D13502&amp;"|"&amp;DATOS!$E13502&amp;"|"&amp;DATOS!$I13502)</f>
      </c>
      <c r="G13502">
        <f>IF(DATOS!$A13502="",0,IF(CONFIG_METADATA!$B$4&lt;&gt;"OR+EX",--(DATOS!$G13502=CONFIG_METADATA!$B$4),IF(DATOS!$G13502="EX",1,IF(DATOS!$G13502="OR",--(COUNTIFS(nNIA,DATOS!$A13502,nCURSO,DATOS!$D13502,nESPEC,DATOS!$E13502,nASIG,DATOS!$I13502,nEVAL,"EX")=0),0))))</f>
      </c>
      <c r="H13502">
        <f>IF(DATOS!$G13502&lt;&gt;"EX",0,--(COUNTIFS(nNIA,DATOS!$A13502,nCURSO,DATOS!$D13502,nESPEC,DATOS!$E13502,nASIG,DATOS!$I13502,nEVAL,"OR")=0))</f>
      </c>
      <c r="I13502">
        <f>IF(DATOS!$I13502="","",IFERROR(VLOOKUP(DATOS!$I13502,CONFIG_ASIGNATURAS!$B$2:$J$91,9,FALSE()),""))</f>
      </c>
    </row>
    <row r="13503">
      <c r="F13503">
        <f>IF(DATOS!$A13503="","",DATOS!$A13503&amp;"|"&amp;DATOS!$D13503&amp;"|"&amp;DATOS!$E13503&amp;"|"&amp;DATOS!$I13503)</f>
      </c>
      <c r="G13503">
        <f>IF(DATOS!$A13503="",0,IF(CONFIG_METADATA!$B$4&lt;&gt;"OR+EX",--(DATOS!$G13503=CONFIG_METADATA!$B$4),IF(DATOS!$G13503="EX",1,IF(DATOS!$G13503="OR",--(COUNTIFS(nNIA,DATOS!$A13503,nCURSO,DATOS!$D13503,nESPEC,DATOS!$E13503,nASIG,DATOS!$I13503,nEVAL,"EX")=0),0))))</f>
      </c>
      <c r="H13503">
        <f>IF(DATOS!$G13503&lt;&gt;"EX",0,--(COUNTIFS(nNIA,DATOS!$A13503,nCURSO,DATOS!$D13503,nESPEC,DATOS!$E13503,nASIG,DATOS!$I13503,nEVAL,"OR")=0))</f>
      </c>
      <c r="I13503">
        <f>IF(DATOS!$I13503="","",IFERROR(VLOOKUP(DATOS!$I13503,CONFIG_ASIGNATURAS!$B$2:$J$91,9,FALSE()),""))</f>
      </c>
    </row>
    <row r="13504">
      <c r="F13504">
        <f>IF(DATOS!$A13504="","",DATOS!$A13504&amp;"|"&amp;DATOS!$D13504&amp;"|"&amp;DATOS!$E13504&amp;"|"&amp;DATOS!$I13504)</f>
      </c>
      <c r="G13504">
        <f>IF(DATOS!$A13504="",0,IF(CONFIG_METADATA!$B$4&lt;&gt;"OR+EX",--(DATOS!$G13504=CONFIG_METADATA!$B$4),IF(DATOS!$G13504="EX",1,IF(DATOS!$G13504="OR",--(COUNTIFS(nNIA,DATOS!$A13504,nCURSO,DATOS!$D13504,nESPEC,DATOS!$E13504,nASIG,DATOS!$I13504,nEVAL,"EX")=0),0))))</f>
      </c>
      <c r="H13504">
        <f>IF(DATOS!$G13504&lt;&gt;"EX",0,--(COUNTIFS(nNIA,DATOS!$A13504,nCURSO,DATOS!$D13504,nESPEC,DATOS!$E13504,nASIG,DATOS!$I13504,nEVAL,"OR")=0))</f>
      </c>
      <c r="I13504">
        <f>IF(DATOS!$I13504="","",IFERROR(VLOOKUP(DATOS!$I13504,CONFIG_ASIGNATURAS!$B$2:$J$91,9,FALSE()),""))</f>
      </c>
    </row>
    <row r="13505">
      <c r="F13505">
        <f>IF(DATOS!$A13505="","",DATOS!$A13505&amp;"|"&amp;DATOS!$D13505&amp;"|"&amp;DATOS!$E13505&amp;"|"&amp;DATOS!$I13505)</f>
      </c>
      <c r="G13505">
        <f>IF(DATOS!$A13505="",0,IF(CONFIG_METADATA!$B$4&lt;&gt;"OR+EX",--(DATOS!$G13505=CONFIG_METADATA!$B$4),IF(DATOS!$G13505="EX",1,IF(DATOS!$G13505="OR",--(COUNTIFS(nNIA,DATOS!$A13505,nCURSO,DATOS!$D13505,nESPEC,DATOS!$E13505,nASIG,DATOS!$I13505,nEVAL,"EX")=0),0))))</f>
      </c>
      <c r="H13505">
        <f>IF(DATOS!$G13505&lt;&gt;"EX",0,--(COUNTIFS(nNIA,DATOS!$A13505,nCURSO,DATOS!$D13505,nESPEC,DATOS!$E13505,nASIG,DATOS!$I13505,nEVAL,"OR")=0))</f>
      </c>
      <c r="I13505">
        <f>IF(DATOS!$I13505="","",IFERROR(VLOOKUP(DATOS!$I13505,CONFIG_ASIGNATURAS!$B$2:$J$91,9,FALSE()),""))</f>
      </c>
    </row>
    <row r="13506">
      <c r="F13506">
        <f>IF(DATOS!$A13506="","",DATOS!$A13506&amp;"|"&amp;DATOS!$D13506&amp;"|"&amp;DATOS!$E13506&amp;"|"&amp;DATOS!$I13506)</f>
      </c>
      <c r="G13506">
        <f>IF(DATOS!$A13506="",0,IF(CONFIG_METADATA!$B$4&lt;&gt;"OR+EX",--(DATOS!$G13506=CONFIG_METADATA!$B$4),IF(DATOS!$G13506="EX",1,IF(DATOS!$G13506="OR",--(COUNTIFS(nNIA,DATOS!$A13506,nCURSO,DATOS!$D13506,nESPEC,DATOS!$E13506,nASIG,DATOS!$I13506,nEVAL,"EX")=0),0))))</f>
      </c>
      <c r="H13506">
        <f>IF(DATOS!$G13506&lt;&gt;"EX",0,--(COUNTIFS(nNIA,DATOS!$A13506,nCURSO,DATOS!$D13506,nESPEC,DATOS!$E13506,nASIG,DATOS!$I13506,nEVAL,"OR")=0))</f>
      </c>
      <c r="I13506">
        <f>IF(DATOS!$I13506="","",IFERROR(VLOOKUP(DATOS!$I13506,CONFIG_ASIGNATURAS!$B$2:$J$91,9,FALSE()),""))</f>
      </c>
    </row>
    <row r="13507">
      <c r="F13507">
        <f>IF(DATOS!$A13507="","",DATOS!$A13507&amp;"|"&amp;DATOS!$D13507&amp;"|"&amp;DATOS!$E13507&amp;"|"&amp;DATOS!$I13507)</f>
      </c>
      <c r="G13507">
        <f>IF(DATOS!$A13507="",0,IF(CONFIG_METADATA!$B$4&lt;&gt;"OR+EX",--(DATOS!$G13507=CONFIG_METADATA!$B$4),IF(DATOS!$G13507="EX",1,IF(DATOS!$G13507="OR",--(COUNTIFS(nNIA,DATOS!$A13507,nCURSO,DATOS!$D13507,nESPEC,DATOS!$E13507,nASIG,DATOS!$I13507,nEVAL,"EX")=0),0))))</f>
      </c>
      <c r="H13507">
        <f>IF(DATOS!$G13507&lt;&gt;"EX",0,--(COUNTIFS(nNIA,DATOS!$A13507,nCURSO,DATOS!$D13507,nESPEC,DATOS!$E13507,nASIG,DATOS!$I13507,nEVAL,"OR")=0))</f>
      </c>
      <c r="I13507">
        <f>IF(DATOS!$I13507="","",IFERROR(VLOOKUP(DATOS!$I13507,CONFIG_ASIGNATURAS!$B$2:$J$91,9,FALSE()),""))</f>
      </c>
    </row>
    <row r="13508">
      <c r="F13508">
        <f>IF(DATOS!$A13508="","",DATOS!$A13508&amp;"|"&amp;DATOS!$D13508&amp;"|"&amp;DATOS!$E13508&amp;"|"&amp;DATOS!$I13508)</f>
      </c>
      <c r="G13508">
        <f>IF(DATOS!$A13508="",0,IF(CONFIG_METADATA!$B$4&lt;&gt;"OR+EX",--(DATOS!$G13508=CONFIG_METADATA!$B$4),IF(DATOS!$G13508="EX",1,IF(DATOS!$G13508="OR",--(COUNTIFS(nNIA,DATOS!$A13508,nCURSO,DATOS!$D13508,nESPEC,DATOS!$E13508,nASIG,DATOS!$I13508,nEVAL,"EX")=0),0))))</f>
      </c>
      <c r="H13508">
        <f>IF(DATOS!$G13508&lt;&gt;"EX",0,--(COUNTIFS(nNIA,DATOS!$A13508,nCURSO,DATOS!$D13508,nESPEC,DATOS!$E13508,nASIG,DATOS!$I13508,nEVAL,"OR")=0))</f>
      </c>
      <c r="I13508">
        <f>IF(DATOS!$I13508="","",IFERROR(VLOOKUP(DATOS!$I13508,CONFIG_ASIGNATURAS!$B$2:$J$91,9,FALSE()),""))</f>
      </c>
    </row>
    <row r="13509">
      <c r="F13509">
        <f>IF(DATOS!$A13509="","",DATOS!$A13509&amp;"|"&amp;DATOS!$D13509&amp;"|"&amp;DATOS!$E13509&amp;"|"&amp;DATOS!$I13509)</f>
      </c>
      <c r="G13509">
        <f>IF(DATOS!$A13509="",0,IF(CONFIG_METADATA!$B$4&lt;&gt;"OR+EX",--(DATOS!$G13509=CONFIG_METADATA!$B$4),IF(DATOS!$G13509="EX",1,IF(DATOS!$G13509="OR",--(COUNTIFS(nNIA,DATOS!$A13509,nCURSO,DATOS!$D13509,nESPEC,DATOS!$E13509,nASIG,DATOS!$I13509,nEVAL,"EX")=0),0))))</f>
      </c>
      <c r="H13509">
        <f>IF(DATOS!$G13509&lt;&gt;"EX",0,--(COUNTIFS(nNIA,DATOS!$A13509,nCURSO,DATOS!$D13509,nESPEC,DATOS!$E13509,nASIG,DATOS!$I13509,nEVAL,"OR")=0))</f>
      </c>
      <c r="I13509">
        <f>IF(DATOS!$I13509="","",IFERROR(VLOOKUP(DATOS!$I13509,CONFIG_ASIGNATURAS!$B$2:$J$91,9,FALSE()),""))</f>
      </c>
    </row>
    <row r="13510">
      <c r="F13510">
        <f>IF(DATOS!$A13510="","",DATOS!$A13510&amp;"|"&amp;DATOS!$D13510&amp;"|"&amp;DATOS!$E13510&amp;"|"&amp;DATOS!$I13510)</f>
      </c>
      <c r="G13510">
        <f>IF(DATOS!$A13510="",0,IF(CONFIG_METADATA!$B$4&lt;&gt;"OR+EX",--(DATOS!$G13510=CONFIG_METADATA!$B$4),IF(DATOS!$G13510="EX",1,IF(DATOS!$G13510="OR",--(COUNTIFS(nNIA,DATOS!$A13510,nCURSO,DATOS!$D13510,nESPEC,DATOS!$E13510,nASIG,DATOS!$I13510,nEVAL,"EX")=0),0))))</f>
      </c>
      <c r="H13510">
        <f>IF(DATOS!$G13510&lt;&gt;"EX",0,--(COUNTIFS(nNIA,DATOS!$A13510,nCURSO,DATOS!$D13510,nESPEC,DATOS!$E13510,nASIG,DATOS!$I13510,nEVAL,"OR")=0))</f>
      </c>
      <c r="I13510">
        <f>IF(DATOS!$I13510="","",IFERROR(VLOOKUP(DATOS!$I13510,CONFIG_ASIGNATURAS!$B$2:$J$91,9,FALSE()),""))</f>
      </c>
    </row>
    <row r="13511">
      <c r="F13511">
        <f>IF(DATOS!$A13511="","",DATOS!$A13511&amp;"|"&amp;DATOS!$D13511&amp;"|"&amp;DATOS!$E13511&amp;"|"&amp;DATOS!$I13511)</f>
      </c>
      <c r="G13511">
        <f>IF(DATOS!$A13511="",0,IF(CONFIG_METADATA!$B$4&lt;&gt;"OR+EX",--(DATOS!$G13511=CONFIG_METADATA!$B$4),IF(DATOS!$G13511="EX",1,IF(DATOS!$G13511="OR",--(COUNTIFS(nNIA,DATOS!$A13511,nCURSO,DATOS!$D13511,nESPEC,DATOS!$E13511,nASIG,DATOS!$I13511,nEVAL,"EX")=0),0))))</f>
      </c>
      <c r="H13511">
        <f>IF(DATOS!$G13511&lt;&gt;"EX",0,--(COUNTIFS(nNIA,DATOS!$A13511,nCURSO,DATOS!$D13511,nESPEC,DATOS!$E13511,nASIG,DATOS!$I13511,nEVAL,"OR")=0))</f>
      </c>
      <c r="I13511">
        <f>IF(DATOS!$I13511="","",IFERROR(VLOOKUP(DATOS!$I13511,CONFIG_ASIGNATURAS!$B$2:$J$91,9,FALSE()),""))</f>
      </c>
    </row>
    <row r="13512">
      <c r="F13512">
        <f>IF(DATOS!$A13512="","",DATOS!$A13512&amp;"|"&amp;DATOS!$D13512&amp;"|"&amp;DATOS!$E13512&amp;"|"&amp;DATOS!$I13512)</f>
      </c>
      <c r="G13512">
        <f>IF(DATOS!$A13512="",0,IF(CONFIG_METADATA!$B$4&lt;&gt;"OR+EX",--(DATOS!$G13512=CONFIG_METADATA!$B$4),IF(DATOS!$G13512="EX",1,IF(DATOS!$G13512="OR",--(COUNTIFS(nNIA,DATOS!$A13512,nCURSO,DATOS!$D13512,nESPEC,DATOS!$E13512,nASIG,DATOS!$I13512,nEVAL,"EX")=0),0))))</f>
      </c>
      <c r="H13512">
        <f>IF(DATOS!$G13512&lt;&gt;"EX",0,--(COUNTIFS(nNIA,DATOS!$A13512,nCURSO,DATOS!$D13512,nESPEC,DATOS!$E13512,nASIG,DATOS!$I13512,nEVAL,"OR")=0))</f>
      </c>
      <c r="I13512">
        <f>IF(DATOS!$I13512="","",IFERROR(VLOOKUP(DATOS!$I13512,CONFIG_ASIGNATURAS!$B$2:$J$91,9,FALSE()),""))</f>
      </c>
    </row>
    <row r="13513">
      <c r="F13513">
        <f>IF(DATOS!$A13513="","",DATOS!$A13513&amp;"|"&amp;DATOS!$D13513&amp;"|"&amp;DATOS!$E13513&amp;"|"&amp;DATOS!$I13513)</f>
      </c>
      <c r="G13513">
        <f>IF(DATOS!$A13513="",0,IF(CONFIG_METADATA!$B$4&lt;&gt;"OR+EX",--(DATOS!$G13513=CONFIG_METADATA!$B$4),IF(DATOS!$G13513="EX",1,IF(DATOS!$G13513="OR",--(COUNTIFS(nNIA,DATOS!$A13513,nCURSO,DATOS!$D13513,nESPEC,DATOS!$E13513,nASIG,DATOS!$I13513,nEVAL,"EX")=0),0))))</f>
      </c>
      <c r="H13513">
        <f>IF(DATOS!$G13513&lt;&gt;"EX",0,--(COUNTIFS(nNIA,DATOS!$A13513,nCURSO,DATOS!$D13513,nESPEC,DATOS!$E13513,nASIG,DATOS!$I13513,nEVAL,"OR")=0))</f>
      </c>
      <c r="I13513">
        <f>IF(DATOS!$I13513="","",IFERROR(VLOOKUP(DATOS!$I13513,CONFIG_ASIGNATURAS!$B$2:$J$91,9,FALSE()),""))</f>
      </c>
    </row>
    <row r="13514">
      <c r="F13514">
        <f>IF(DATOS!$A13514="","",DATOS!$A13514&amp;"|"&amp;DATOS!$D13514&amp;"|"&amp;DATOS!$E13514&amp;"|"&amp;DATOS!$I13514)</f>
      </c>
      <c r="G13514">
        <f>IF(DATOS!$A13514="",0,IF(CONFIG_METADATA!$B$4&lt;&gt;"OR+EX",--(DATOS!$G13514=CONFIG_METADATA!$B$4),IF(DATOS!$G13514="EX",1,IF(DATOS!$G13514="OR",--(COUNTIFS(nNIA,DATOS!$A13514,nCURSO,DATOS!$D13514,nESPEC,DATOS!$E13514,nASIG,DATOS!$I13514,nEVAL,"EX")=0),0))))</f>
      </c>
      <c r="H13514">
        <f>IF(DATOS!$G13514&lt;&gt;"EX",0,--(COUNTIFS(nNIA,DATOS!$A13514,nCURSO,DATOS!$D13514,nESPEC,DATOS!$E13514,nASIG,DATOS!$I13514,nEVAL,"OR")=0))</f>
      </c>
      <c r="I13514">
        <f>IF(DATOS!$I13514="","",IFERROR(VLOOKUP(DATOS!$I13514,CONFIG_ASIGNATURAS!$B$2:$J$91,9,FALSE()),""))</f>
      </c>
    </row>
    <row r="13515">
      <c r="F13515">
        <f>IF(DATOS!$A13515="","",DATOS!$A13515&amp;"|"&amp;DATOS!$D13515&amp;"|"&amp;DATOS!$E13515&amp;"|"&amp;DATOS!$I13515)</f>
      </c>
      <c r="G13515">
        <f>IF(DATOS!$A13515="",0,IF(CONFIG_METADATA!$B$4&lt;&gt;"OR+EX",--(DATOS!$G13515=CONFIG_METADATA!$B$4),IF(DATOS!$G13515="EX",1,IF(DATOS!$G13515="OR",--(COUNTIFS(nNIA,DATOS!$A13515,nCURSO,DATOS!$D13515,nESPEC,DATOS!$E13515,nASIG,DATOS!$I13515,nEVAL,"EX")=0),0))))</f>
      </c>
      <c r="H13515">
        <f>IF(DATOS!$G13515&lt;&gt;"EX",0,--(COUNTIFS(nNIA,DATOS!$A13515,nCURSO,DATOS!$D13515,nESPEC,DATOS!$E13515,nASIG,DATOS!$I13515,nEVAL,"OR")=0))</f>
      </c>
      <c r="I13515">
        <f>IF(DATOS!$I13515="","",IFERROR(VLOOKUP(DATOS!$I13515,CONFIG_ASIGNATURAS!$B$2:$J$91,9,FALSE()),""))</f>
      </c>
    </row>
    <row r="13516">
      <c r="F13516">
        <f>IF(DATOS!$A13516="","",DATOS!$A13516&amp;"|"&amp;DATOS!$D13516&amp;"|"&amp;DATOS!$E13516&amp;"|"&amp;DATOS!$I13516)</f>
      </c>
      <c r="G13516">
        <f>IF(DATOS!$A13516="",0,IF(CONFIG_METADATA!$B$4&lt;&gt;"OR+EX",--(DATOS!$G13516=CONFIG_METADATA!$B$4),IF(DATOS!$G13516="EX",1,IF(DATOS!$G13516="OR",--(COUNTIFS(nNIA,DATOS!$A13516,nCURSO,DATOS!$D13516,nESPEC,DATOS!$E13516,nASIG,DATOS!$I13516,nEVAL,"EX")=0),0))))</f>
      </c>
      <c r="H13516">
        <f>IF(DATOS!$G13516&lt;&gt;"EX",0,--(COUNTIFS(nNIA,DATOS!$A13516,nCURSO,DATOS!$D13516,nESPEC,DATOS!$E13516,nASIG,DATOS!$I13516,nEVAL,"OR")=0))</f>
      </c>
      <c r="I13516">
        <f>IF(DATOS!$I13516="","",IFERROR(VLOOKUP(DATOS!$I13516,CONFIG_ASIGNATURAS!$B$2:$J$91,9,FALSE()),""))</f>
      </c>
    </row>
    <row r="13517">
      <c r="F13517">
        <f>IF(DATOS!$A13517="","",DATOS!$A13517&amp;"|"&amp;DATOS!$D13517&amp;"|"&amp;DATOS!$E13517&amp;"|"&amp;DATOS!$I13517)</f>
      </c>
      <c r="G13517">
        <f>IF(DATOS!$A13517="",0,IF(CONFIG_METADATA!$B$4&lt;&gt;"OR+EX",--(DATOS!$G13517=CONFIG_METADATA!$B$4),IF(DATOS!$G13517="EX",1,IF(DATOS!$G13517="OR",--(COUNTIFS(nNIA,DATOS!$A13517,nCURSO,DATOS!$D13517,nESPEC,DATOS!$E13517,nASIG,DATOS!$I13517,nEVAL,"EX")=0),0))))</f>
      </c>
      <c r="H13517">
        <f>IF(DATOS!$G13517&lt;&gt;"EX",0,--(COUNTIFS(nNIA,DATOS!$A13517,nCURSO,DATOS!$D13517,nESPEC,DATOS!$E13517,nASIG,DATOS!$I13517,nEVAL,"OR")=0))</f>
      </c>
      <c r="I13517">
        <f>IF(DATOS!$I13517="","",IFERROR(VLOOKUP(DATOS!$I13517,CONFIG_ASIGNATURAS!$B$2:$J$91,9,FALSE()),""))</f>
      </c>
    </row>
    <row r="13518">
      <c r="F13518">
        <f>IF(DATOS!$A13518="","",DATOS!$A13518&amp;"|"&amp;DATOS!$D13518&amp;"|"&amp;DATOS!$E13518&amp;"|"&amp;DATOS!$I13518)</f>
      </c>
      <c r="G13518">
        <f>IF(DATOS!$A13518="",0,IF(CONFIG_METADATA!$B$4&lt;&gt;"OR+EX",--(DATOS!$G13518=CONFIG_METADATA!$B$4),IF(DATOS!$G13518="EX",1,IF(DATOS!$G13518="OR",--(COUNTIFS(nNIA,DATOS!$A13518,nCURSO,DATOS!$D13518,nESPEC,DATOS!$E13518,nASIG,DATOS!$I13518,nEVAL,"EX")=0),0))))</f>
      </c>
      <c r="H13518">
        <f>IF(DATOS!$G13518&lt;&gt;"EX",0,--(COUNTIFS(nNIA,DATOS!$A13518,nCURSO,DATOS!$D13518,nESPEC,DATOS!$E13518,nASIG,DATOS!$I13518,nEVAL,"OR")=0))</f>
      </c>
      <c r="I13518">
        <f>IF(DATOS!$I13518="","",IFERROR(VLOOKUP(DATOS!$I13518,CONFIG_ASIGNATURAS!$B$2:$J$91,9,FALSE()),""))</f>
      </c>
    </row>
    <row r="13519">
      <c r="F13519">
        <f>IF(DATOS!$A13519="","",DATOS!$A13519&amp;"|"&amp;DATOS!$D13519&amp;"|"&amp;DATOS!$E13519&amp;"|"&amp;DATOS!$I13519)</f>
      </c>
      <c r="G13519">
        <f>IF(DATOS!$A13519="",0,IF(CONFIG_METADATA!$B$4&lt;&gt;"OR+EX",--(DATOS!$G13519=CONFIG_METADATA!$B$4),IF(DATOS!$G13519="EX",1,IF(DATOS!$G13519="OR",--(COUNTIFS(nNIA,DATOS!$A13519,nCURSO,DATOS!$D13519,nESPEC,DATOS!$E13519,nASIG,DATOS!$I13519,nEVAL,"EX")=0),0))))</f>
      </c>
      <c r="H13519">
        <f>IF(DATOS!$G13519&lt;&gt;"EX",0,--(COUNTIFS(nNIA,DATOS!$A13519,nCURSO,DATOS!$D13519,nESPEC,DATOS!$E13519,nASIG,DATOS!$I13519,nEVAL,"OR")=0))</f>
      </c>
      <c r="I13519">
        <f>IF(DATOS!$I13519="","",IFERROR(VLOOKUP(DATOS!$I13519,CONFIG_ASIGNATURAS!$B$2:$J$91,9,FALSE()),""))</f>
      </c>
    </row>
    <row r="13520">
      <c r="F13520">
        <f>IF(DATOS!$A13520="","",DATOS!$A13520&amp;"|"&amp;DATOS!$D13520&amp;"|"&amp;DATOS!$E13520&amp;"|"&amp;DATOS!$I13520)</f>
      </c>
      <c r="G13520">
        <f>IF(DATOS!$A13520="",0,IF(CONFIG_METADATA!$B$4&lt;&gt;"OR+EX",--(DATOS!$G13520=CONFIG_METADATA!$B$4),IF(DATOS!$G13520="EX",1,IF(DATOS!$G13520="OR",--(COUNTIFS(nNIA,DATOS!$A13520,nCURSO,DATOS!$D13520,nESPEC,DATOS!$E13520,nASIG,DATOS!$I13520,nEVAL,"EX")=0),0))))</f>
      </c>
      <c r="H13520">
        <f>IF(DATOS!$G13520&lt;&gt;"EX",0,--(COUNTIFS(nNIA,DATOS!$A13520,nCURSO,DATOS!$D13520,nESPEC,DATOS!$E13520,nASIG,DATOS!$I13520,nEVAL,"OR")=0))</f>
      </c>
      <c r="I13520">
        <f>IF(DATOS!$I13520="","",IFERROR(VLOOKUP(DATOS!$I13520,CONFIG_ASIGNATURAS!$B$2:$J$91,9,FALSE()),""))</f>
      </c>
    </row>
    <row r="13521">
      <c r="F13521">
        <f>IF(DATOS!$A13521="","",DATOS!$A13521&amp;"|"&amp;DATOS!$D13521&amp;"|"&amp;DATOS!$E13521&amp;"|"&amp;DATOS!$I13521)</f>
      </c>
      <c r="G13521">
        <f>IF(DATOS!$A13521="",0,IF(CONFIG_METADATA!$B$4&lt;&gt;"OR+EX",--(DATOS!$G13521=CONFIG_METADATA!$B$4),IF(DATOS!$G13521="EX",1,IF(DATOS!$G13521="OR",--(COUNTIFS(nNIA,DATOS!$A13521,nCURSO,DATOS!$D13521,nESPEC,DATOS!$E13521,nASIG,DATOS!$I13521,nEVAL,"EX")=0),0))))</f>
      </c>
      <c r="H13521">
        <f>IF(DATOS!$G13521&lt;&gt;"EX",0,--(COUNTIFS(nNIA,DATOS!$A13521,nCURSO,DATOS!$D13521,nESPEC,DATOS!$E13521,nASIG,DATOS!$I13521,nEVAL,"OR")=0))</f>
      </c>
      <c r="I13521">
        <f>IF(DATOS!$I13521="","",IFERROR(VLOOKUP(DATOS!$I13521,CONFIG_ASIGNATURAS!$B$2:$J$91,9,FALSE()),""))</f>
      </c>
    </row>
    <row r="13522">
      <c r="F13522">
        <f>IF(DATOS!$A13522="","",DATOS!$A13522&amp;"|"&amp;DATOS!$D13522&amp;"|"&amp;DATOS!$E13522&amp;"|"&amp;DATOS!$I13522)</f>
      </c>
      <c r="G13522">
        <f>IF(DATOS!$A13522="",0,IF(CONFIG_METADATA!$B$4&lt;&gt;"OR+EX",--(DATOS!$G13522=CONFIG_METADATA!$B$4),IF(DATOS!$G13522="EX",1,IF(DATOS!$G13522="OR",--(COUNTIFS(nNIA,DATOS!$A13522,nCURSO,DATOS!$D13522,nESPEC,DATOS!$E13522,nASIG,DATOS!$I13522,nEVAL,"EX")=0),0))))</f>
      </c>
      <c r="H13522">
        <f>IF(DATOS!$G13522&lt;&gt;"EX",0,--(COUNTIFS(nNIA,DATOS!$A13522,nCURSO,DATOS!$D13522,nESPEC,DATOS!$E13522,nASIG,DATOS!$I13522,nEVAL,"OR")=0))</f>
      </c>
      <c r="I13522">
        <f>IF(DATOS!$I13522="","",IFERROR(VLOOKUP(DATOS!$I13522,CONFIG_ASIGNATURAS!$B$2:$J$91,9,FALSE()),""))</f>
      </c>
    </row>
    <row r="13523">
      <c r="F13523">
        <f>IF(DATOS!$A13523="","",DATOS!$A13523&amp;"|"&amp;DATOS!$D13523&amp;"|"&amp;DATOS!$E13523&amp;"|"&amp;DATOS!$I13523)</f>
      </c>
      <c r="G13523">
        <f>IF(DATOS!$A13523="",0,IF(CONFIG_METADATA!$B$4&lt;&gt;"OR+EX",--(DATOS!$G13523=CONFIG_METADATA!$B$4),IF(DATOS!$G13523="EX",1,IF(DATOS!$G13523="OR",--(COUNTIFS(nNIA,DATOS!$A13523,nCURSO,DATOS!$D13523,nESPEC,DATOS!$E13523,nASIG,DATOS!$I13523,nEVAL,"EX")=0),0))))</f>
      </c>
      <c r="H13523">
        <f>IF(DATOS!$G13523&lt;&gt;"EX",0,--(COUNTIFS(nNIA,DATOS!$A13523,nCURSO,DATOS!$D13523,nESPEC,DATOS!$E13523,nASIG,DATOS!$I13523,nEVAL,"OR")=0))</f>
      </c>
      <c r="I13523">
        <f>IF(DATOS!$I13523="","",IFERROR(VLOOKUP(DATOS!$I13523,CONFIG_ASIGNATURAS!$B$2:$J$91,9,FALSE()),""))</f>
      </c>
    </row>
    <row r="13524">
      <c r="F13524">
        <f>IF(DATOS!$A13524="","",DATOS!$A13524&amp;"|"&amp;DATOS!$D13524&amp;"|"&amp;DATOS!$E13524&amp;"|"&amp;DATOS!$I13524)</f>
      </c>
      <c r="G13524">
        <f>IF(DATOS!$A13524="",0,IF(CONFIG_METADATA!$B$4&lt;&gt;"OR+EX",--(DATOS!$G13524=CONFIG_METADATA!$B$4),IF(DATOS!$G13524="EX",1,IF(DATOS!$G13524="OR",--(COUNTIFS(nNIA,DATOS!$A13524,nCURSO,DATOS!$D13524,nESPEC,DATOS!$E13524,nASIG,DATOS!$I13524,nEVAL,"EX")=0),0))))</f>
      </c>
      <c r="H13524">
        <f>IF(DATOS!$G13524&lt;&gt;"EX",0,--(COUNTIFS(nNIA,DATOS!$A13524,nCURSO,DATOS!$D13524,nESPEC,DATOS!$E13524,nASIG,DATOS!$I13524,nEVAL,"OR")=0))</f>
      </c>
      <c r="I13524">
        <f>IF(DATOS!$I13524="","",IFERROR(VLOOKUP(DATOS!$I13524,CONFIG_ASIGNATURAS!$B$2:$J$91,9,FALSE()),""))</f>
      </c>
    </row>
    <row r="13525">
      <c r="F13525">
        <f>IF(DATOS!$A13525="","",DATOS!$A13525&amp;"|"&amp;DATOS!$D13525&amp;"|"&amp;DATOS!$E13525&amp;"|"&amp;DATOS!$I13525)</f>
      </c>
      <c r="G13525">
        <f>IF(DATOS!$A13525="",0,IF(CONFIG_METADATA!$B$4&lt;&gt;"OR+EX",--(DATOS!$G13525=CONFIG_METADATA!$B$4),IF(DATOS!$G13525="EX",1,IF(DATOS!$G13525="OR",--(COUNTIFS(nNIA,DATOS!$A13525,nCURSO,DATOS!$D13525,nESPEC,DATOS!$E13525,nASIG,DATOS!$I13525,nEVAL,"EX")=0),0))))</f>
      </c>
      <c r="H13525">
        <f>IF(DATOS!$G13525&lt;&gt;"EX",0,--(COUNTIFS(nNIA,DATOS!$A13525,nCURSO,DATOS!$D13525,nESPEC,DATOS!$E13525,nASIG,DATOS!$I13525,nEVAL,"OR")=0))</f>
      </c>
      <c r="I13525">
        <f>IF(DATOS!$I13525="","",IFERROR(VLOOKUP(DATOS!$I13525,CONFIG_ASIGNATURAS!$B$2:$J$91,9,FALSE()),""))</f>
      </c>
    </row>
    <row r="13526">
      <c r="F13526">
        <f>IF(DATOS!$A13526="","",DATOS!$A13526&amp;"|"&amp;DATOS!$D13526&amp;"|"&amp;DATOS!$E13526&amp;"|"&amp;DATOS!$I13526)</f>
      </c>
      <c r="G13526">
        <f>IF(DATOS!$A13526="",0,IF(CONFIG_METADATA!$B$4&lt;&gt;"OR+EX",--(DATOS!$G13526=CONFIG_METADATA!$B$4),IF(DATOS!$G13526="EX",1,IF(DATOS!$G13526="OR",--(COUNTIFS(nNIA,DATOS!$A13526,nCURSO,DATOS!$D13526,nESPEC,DATOS!$E13526,nASIG,DATOS!$I13526,nEVAL,"EX")=0),0))))</f>
      </c>
      <c r="H13526">
        <f>IF(DATOS!$G13526&lt;&gt;"EX",0,--(COUNTIFS(nNIA,DATOS!$A13526,nCURSO,DATOS!$D13526,nESPEC,DATOS!$E13526,nASIG,DATOS!$I13526,nEVAL,"OR")=0))</f>
      </c>
      <c r="I13526">
        <f>IF(DATOS!$I13526="","",IFERROR(VLOOKUP(DATOS!$I13526,CONFIG_ASIGNATURAS!$B$2:$J$91,9,FALSE()),""))</f>
      </c>
    </row>
    <row r="13527">
      <c r="F13527">
        <f>IF(DATOS!$A13527="","",DATOS!$A13527&amp;"|"&amp;DATOS!$D13527&amp;"|"&amp;DATOS!$E13527&amp;"|"&amp;DATOS!$I13527)</f>
      </c>
      <c r="G13527">
        <f>IF(DATOS!$A13527="",0,IF(CONFIG_METADATA!$B$4&lt;&gt;"OR+EX",--(DATOS!$G13527=CONFIG_METADATA!$B$4),IF(DATOS!$G13527="EX",1,IF(DATOS!$G13527="OR",--(COUNTIFS(nNIA,DATOS!$A13527,nCURSO,DATOS!$D13527,nESPEC,DATOS!$E13527,nASIG,DATOS!$I13527,nEVAL,"EX")=0),0))))</f>
      </c>
      <c r="H13527">
        <f>IF(DATOS!$G13527&lt;&gt;"EX",0,--(COUNTIFS(nNIA,DATOS!$A13527,nCURSO,DATOS!$D13527,nESPEC,DATOS!$E13527,nASIG,DATOS!$I13527,nEVAL,"OR")=0))</f>
      </c>
      <c r="I13527">
        <f>IF(DATOS!$I13527="","",IFERROR(VLOOKUP(DATOS!$I13527,CONFIG_ASIGNATURAS!$B$2:$J$91,9,FALSE()),""))</f>
      </c>
    </row>
    <row r="13528">
      <c r="F13528">
        <f>IF(DATOS!$A13528="","",DATOS!$A13528&amp;"|"&amp;DATOS!$D13528&amp;"|"&amp;DATOS!$E13528&amp;"|"&amp;DATOS!$I13528)</f>
      </c>
      <c r="G13528">
        <f>IF(DATOS!$A13528="",0,IF(CONFIG_METADATA!$B$4&lt;&gt;"OR+EX",--(DATOS!$G13528=CONFIG_METADATA!$B$4),IF(DATOS!$G13528="EX",1,IF(DATOS!$G13528="OR",--(COUNTIFS(nNIA,DATOS!$A13528,nCURSO,DATOS!$D13528,nESPEC,DATOS!$E13528,nASIG,DATOS!$I13528,nEVAL,"EX")=0),0))))</f>
      </c>
      <c r="H13528">
        <f>IF(DATOS!$G13528&lt;&gt;"EX",0,--(COUNTIFS(nNIA,DATOS!$A13528,nCURSO,DATOS!$D13528,nESPEC,DATOS!$E13528,nASIG,DATOS!$I13528,nEVAL,"OR")=0))</f>
      </c>
      <c r="I13528">
        <f>IF(DATOS!$I13528="","",IFERROR(VLOOKUP(DATOS!$I13528,CONFIG_ASIGNATURAS!$B$2:$J$91,9,FALSE()),""))</f>
      </c>
    </row>
    <row r="13529">
      <c r="F13529">
        <f>IF(DATOS!$A13529="","",DATOS!$A13529&amp;"|"&amp;DATOS!$D13529&amp;"|"&amp;DATOS!$E13529&amp;"|"&amp;DATOS!$I13529)</f>
      </c>
      <c r="G13529">
        <f>IF(DATOS!$A13529="",0,IF(CONFIG_METADATA!$B$4&lt;&gt;"OR+EX",--(DATOS!$G13529=CONFIG_METADATA!$B$4),IF(DATOS!$G13529="EX",1,IF(DATOS!$G13529="OR",--(COUNTIFS(nNIA,DATOS!$A13529,nCURSO,DATOS!$D13529,nESPEC,DATOS!$E13529,nASIG,DATOS!$I13529,nEVAL,"EX")=0),0))))</f>
      </c>
      <c r="H13529">
        <f>IF(DATOS!$G13529&lt;&gt;"EX",0,--(COUNTIFS(nNIA,DATOS!$A13529,nCURSO,DATOS!$D13529,nESPEC,DATOS!$E13529,nASIG,DATOS!$I13529,nEVAL,"OR")=0))</f>
      </c>
      <c r="I13529">
        <f>IF(DATOS!$I13529="","",IFERROR(VLOOKUP(DATOS!$I13529,CONFIG_ASIGNATURAS!$B$2:$J$91,9,FALSE()),""))</f>
      </c>
    </row>
    <row r="13530">
      <c r="F13530">
        <f>IF(DATOS!$A13530="","",DATOS!$A13530&amp;"|"&amp;DATOS!$D13530&amp;"|"&amp;DATOS!$E13530&amp;"|"&amp;DATOS!$I13530)</f>
      </c>
      <c r="G13530">
        <f>IF(DATOS!$A13530="",0,IF(CONFIG_METADATA!$B$4&lt;&gt;"OR+EX",--(DATOS!$G13530=CONFIG_METADATA!$B$4),IF(DATOS!$G13530="EX",1,IF(DATOS!$G13530="OR",--(COUNTIFS(nNIA,DATOS!$A13530,nCURSO,DATOS!$D13530,nESPEC,DATOS!$E13530,nASIG,DATOS!$I13530,nEVAL,"EX")=0),0))))</f>
      </c>
      <c r="H13530">
        <f>IF(DATOS!$G13530&lt;&gt;"EX",0,--(COUNTIFS(nNIA,DATOS!$A13530,nCURSO,DATOS!$D13530,nESPEC,DATOS!$E13530,nASIG,DATOS!$I13530,nEVAL,"OR")=0))</f>
      </c>
      <c r="I13530">
        <f>IF(DATOS!$I13530="","",IFERROR(VLOOKUP(DATOS!$I13530,CONFIG_ASIGNATURAS!$B$2:$J$91,9,FALSE()),""))</f>
      </c>
    </row>
    <row r="13531">
      <c r="F13531">
        <f>IF(DATOS!$A13531="","",DATOS!$A13531&amp;"|"&amp;DATOS!$D13531&amp;"|"&amp;DATOS!$E13531&amp;"|"&amp;DATOS!$I13531)</f>
      </c>
      <c r="G13531">
        <f>IF(DATOS!$A13531="",0,IF(CONFIG_METADATA!$B$4&lt;&gt;"OR+EX",--(DATOS!$G13531=CONFIG_METADATA!$B$4),IF(DATOS!$G13531="EX",1,IF(DATOS!$G13531="OR",--(COUNTIFS(nNIA,DATOS!$A13531,nCURSO,DATOS!$D13531,nESPEC,DATOS!$E13531,nASIG,DATOS!$I13531,nEVAL,"EX")=0),0))))</f>
      </c>
      <c r="H13531">
        <f>IF(DATOS!$G13531&lt;&gt;"EX",0,--(COUNTIFS(nNIA,DATOS!$A13531,nCURSO,DATOS!$D13531,nESPEC,DATOS!$E13531,nASIG,DATOS!$I13531,nEVAL,"OR")=0))</f>
      </c>
      <c r="I13531">
        <f>IF(DATOS!$I13531="","",IFERROR(VLOOKUP(DATOS!$I13531,CONFIG_ASIGNATURAS!$B$2:$J$91,9,FALSE()),""))</f>
      </c>
    </row>
    <row r="13532">
      <c r="F13532">
        <f>IF(DATOS!$A13532="","",DATOS!$A13532&amp;"|"&amp;DATOS!$D13532&amp;"|"&amp;DATOS!$E13532&amp;"|"&amp;DATOS!$I13532)</f>
      </c>
      <c r="G13532">
        <f>IF(DATOS!$A13532="",0,IF(CONFIG_METADATA!$B$4&lt;&gt;"OR+EX",--(DATOS!$G13532=CONFIG_METADATA!$B$4),IF(DATOS!$G13532="EX",1,IF(DATOS!$G13532="OR",--(COUNTIFS(nNIA,DATOS!$A13532,nCURSO,DATOS!$D13532,nESPEC,DATOS!$E13532,nASIG,DATOS!$I13532,nEVAL,"EX")=0),0))))</f>
      </c>
      <c r="H13532">
        <f>IF(DATOS!$G13532&lt;&gt;"EX",0,--(COUNTIFS(nNIA,DATOS!$A13532,nCURSO,DATOS!$D13532,nESPEC,DATOS!$E13532,nASIG,DATOS!$I13532,nEVAL,"OR")=0))</f>
      </c>
      <c r="I13532">
        <f>IF(DATOS!$I13532="","",IFERROR(VLOOKUP(DATOS!$I13532,CONFIG_ASIGNATURAS!$B$2:$J$91,9,FALSE()),""))</f>
      </c>
    </row>
    <row r="13533">
      <c r="F13533">
        <f>IF(DATOS!$A13533="","",DATOS!$A13533&amp;"|"&amp;DATOS!$D13533&amp;"|"&amp;DATOS!$E13533&amp;"|"&amp;DATOS!$I13533)</f>
      </c>
      <c r="G13533">
        <f>IF(DATOS!$A13533="",0,IF(CONFIG_METADATA!$B$4&lt;&gt;"OR+EX",--(DATOS!$G13533=CONFIG_METADATA!$B$4),IF(DATOS!$G13533="EX",1,IF(DATOS!$G13533="OR",--(COUNTIFS(nNIA,DATOS!$A13533,nCURSO,DATOS!$D13533,nESPEC,DATOS!$E13533,nASIG,DATOS!$I13533,nEVAL,"EX")=0),0))))</f>
      </c>
      <c r="H13533">
        <f>IF(DATOS!$G13533&lt;&gt;"EX",0,--(COUNTIFS(nNIA,DATOS!$A13533,nCURSO,DATOS!$D13533,nESPEC,DATOS!$E13533,nASIG,DATOS!$I13533,nEVAL,"OR")=0))</f>
      </c>
      <c r="I13533">
        <f>IF(DATOS!$I13533="","",IFERROR(VLOOKUP(DATOS!$I13533,CONFIG_ASIGNATURAS!$B$2:$J$91,9,FALSE()),""))</f>
      </c>
    </row>
    <row r="13534">
      <c r="F13534">
        <f>IF(DATOS!$A13534="","",DATOS!$A13534&amp;"|"&amp;DATOS!$D13534&amp;"|"&amp;DATOS!$E13534&amp;"|"&amp;DATOS!$I13534)</f>
      </c>
      <c r="G13534">
        <f>IF(DATOS!$A13534="",0,IF(CONFIG_METADATA!$B$4&lt;&gt;"OR+EX",--(DATOS!$G13534=CONFIG_METADATA!$B$4),IF(DATOS!$G13534="EX",1,IF(DATOS!$G13534="OR",--(COUNTIFS(nNIA,DATOS!$A13534,nCURSO,DATOS!$D13534,nESPEC,DATOS!$E13534,nASIG,DATOS!$I13534,nEVAL,"EX")=0),0))))</f>
      </c>
      <c r="H13534">
        <f>IF(DATOS!$G13534&lt;&gt;"EX",0,--(COUNTIFS(nNIA,DATOS!$A13534,nCURSO,DATOS!$D13534,nESPEC,DATOS!$E13534,nASIG,DATOS!$I13534,nEVAL,"OR")=0))</f>
      </c>
      <c r="I13534">
        <f>IF(DATOS!$I13534="","",IFERROR(VLOOKUP(DATOS!$I13534,CONFIG_ASIGNATURAS!$B$2:$J$91,9,FALSE()),""))</f>
      </c>
    </row>
    <row r="13535">
      <c r="F13535">
        <f>IF(DATOS!$A13535="","",DATOS!$A13535&amp;"|"&amp;DATOS!$D13535&amp;"|"&amp;DATOS!$E13535&amp;"|"&amp;DATOS!$I13535)</f>
      </c>
      <c r="G13535">
        <f>IF(DATOS!$A13535="",0,IF(CONFIG_METADATA!$B$4&lt;&gt;"OR+EX",--(DATOS!$G13535=CONFIG_METADATA!$B$4),IF(DATOS!$G13535="EX",1,IF(DATOS!$G13535="OR",--(COUNTIFS(nNIA,DATOS!$A13535,nCURSO,DATOS!$D13535,nESPEC,DATOS!$E13535,nASIG,DATOS!$I13535,nEVAL,"EX")=0),0))))</f>
      </c>
      <c r="H13535">
        <f>IF(DATOS!$G13535&lt;&gt;"EX",0,--(COUNTIFS(nNIA,DATOS!$A13535,nCURSO,DATOS!$D13535,nESPEC,DATOS!$E13535,nASIG,DATOS!$I13535,nEVAL,"OR")=0))</f>
      </c>
      <c r="I13535">
        <f>IF(DATOS!$I13535="","",IFERROR(VLOOKUP(DATOS!$I13535,CONFIG_ASIGNATURAS!$B$2:$J$91,9,FALSE()),""))</f>
      </c>
    </row>
    <row r="13536">
      <c r="F13536">
        <f>IF(DATOS!$A13536="","",DATOS!$A13536&amp;"|"&amp;DATOS!$D13536&amp;"|"&amp;DATOS!$E13536&amp;"|"&amp;DATOS!$I13536)</f>
      </c>
      <c r="G13536">
        <f>IF(DATOS!$A13536="",0,IF(CONFIG_METADATA!$B$4&lt;&gt;"OR+EX",--(DATOS!$G13536=CONFIG_METADATA!$B$4),IF(DATOS!$G13536="EX",1,IF(DATOS!$G13536="OR",--(COUNTIFS(nNIA,DATOS!$A13536,nCURSO,DATOS!$D13536,nESPEC,DATOS!$E13536,nASIG,DATOS!$I13536,nEVAL,"EX")=0),0))))</f>
      </c>
      <c r="H13536">
        <f>IF(DATOS!$G13536&lt;&gt;"EX",0,--(COUNTIFS(nNIA,DATOS!$A13536,nCURSO,DATOS!$D13536,nESPEC,DATOS!$E13536,nASIG,DATOS!$I13536,nEVAL,"OR")=0))</f>
      </c>
      <c r="I13536">
        <f>IF(DATOS!$I13536="","",IFERROR(VLOOKUP(DATOS!$I13536,CONFIG_ASIGNATURAS!$B$2:$J$91,9,FALSE()),""))</f>
      </c>
    </row>
    <row r="13537">
      <c r="F13537">
        <f>IF(DATOS!$A13537="","",DATOS!$A13537&amp;"|"&amp;DATOS!$D13537&amp;"|"&amp;DATOS!$E13537&amp;"|"&amp;DATOS!$I13537)</f>
      </c>
      <c r="G13537">
        <f>IF(DATOS!$A13537="",0,IF(CONFIG_METADATA!$B$4&lt;&gt;"OR+EX",--(DATOS!$G13537=CONFIG_METADATA!$B$4),IF(DATOS!$G13537="EX",1,IF(DATOS!$G13537="OR",--(COUNTIFS(nNIA,DATOS!$A13537,nCURSO,DATOS!$D13537,nESPEC,DATOS!$E13537,nASIG,DATOS!$I13537,nEVAL,"EX")=0),0))))</f>
      </c>
      <c r="H13537">
        <f>IF(DATOS!$G13537&lt;&gt;"EX",0,--(COUNTIFS(nNIA,DATOS!$A13537,nCURSO,DATOS!$D13537,nESPEC,DATOS!$E13537,nASIG,DATOS!$I13537,nEVAL,"OR")=0))</f>
      </c>
      <c r="I13537">
        <f>IF(DATOS!$I13537="","",IFERROR(VLOOKUP(DATOS!$I13537,CONFIG_ASIGNATURAS!$B$2:$J$91,9,FALSE()),""))</f>
      </c>
    </row>
    <row r="13538">
      <c r="F13538">
        <f>IF(DATOS!$A13538="","",DATOS!$A13538&amp;"|"&amp;DATOS!$D13538&amp;"|"&amp;DATOS!$E13538&amp;"|"&amp;DATOS!$I13538)</f>
      </c>
      <c r="G13538">
        <f>IF(DATOS!$A13538="",0,IF(CONFIG_METADATA!$B$4&lt;&gt;"OR+EX",--(DATOS!$G13538=CONFIG_METADATA!$B$4),IF(DATOS!$G13538="EX",1,IF(DATOS!$G13538="OR",--(COUNTIFS(nNIA,DATOS!$A13538,nCURSO,DATOS!$D13538,nESPEC,DATOS!$E13538,nASIG,DATOS!$I13538,nEVAL,"EX")=0),0))))</f>
      </c>
      <c r="H13538">
        <f>IF(DATOS!$G13538&lt;&gt;"EX",0,--(COUNTIFS(nNIA,DATOS!$A13538,nCURSO,DATOS!$D13538,nESPEC,DATOS!$E13538,nASIG,DATOS!$I13538,nEVAL,"OR")=0))</f>
      </c>
      <c r="I13538">
        <f>IF(DATOS!$I13538="","",IFERROR(VLOOKUP(DATOS!$I13538,CONFIG_ASIGNATURAS!$B$2:$J$91,9,FALSE()),""))</f>
      </c>
    </row>
    <row r="13539">
      <c r="F13539">
        <f>IF(DATOS!$A13539="","",DATOS!$A13539&amp;"|"&amp;DATOS!$D13539&amp;"|"&amp;DATOS!$E13539&amp;"|"&amp;DATOS!$I13539)</f>
      </c>
      <c r="G13539">
        <f>IF(DATOS!$A13539="",0,IF(CONFIG_METADATA!$B$4&lt;&gt;"OR+EX",--(DATOS!$G13539=CONFIG_METADATA!$B$4),IF(DATOS!$G13539="EX",1,IF(DATOS!$G13539="OR",--(COUNTIFS(nNIA,DATOS!$A13539,nCURSO,DATOS!$D13539,nESPEC,DATOS!$E13539,nASIG,DATOS!$I13539,nEVAL,"EX")=0),0))))</f>
      </c>
      <c r="H13539">
        <f>IF(DATOS!$G13539&lt;&gt;"EX",0,--(COUNTIFS(nNIA,DATOS!$A13539,nCURSO,DATOS!$D13539,nESPEC,DATOS!$E13539,nASIG,DATOS!$I13539,nEVAL,"OR")=0))</f>
      </c>
      <c r="I13539">
        <f>IF(DATOS!$I13539="","",IFERROR(VLOOKUP(DATOS!$I13539,CONFIG_ASIGNATURAS!$B$2:$J$91,9,FALSE()),""))</f>
      </c>
    </row>
    <row r="13540">
      <c r="F13540">
        <f>IF(DATOS!$A13540="","",DATOS!$A13540&amp;"|"&amp;DATOS!$D13540&amp;"|"&amp;DATOS!$E13540&amp;"|"&amp;DATOS!$I13540)</f>
      </c>
      <c r="G13540">
        <f>IF(DATOS!$A13540="",0,IF(CONFIG_METADATA!$B$4&lt;&gt;"OR+EX",--(DATOS!$G13540=CONFIG_METADATA!$B$4),IF(DATOS!$G13540="EX",1,IF(DATOS!$G13540="OR",--(COUNTIFS(nNIA,DATOS!$A13540,nCURSO,DATOS!$D13540,nESPEC,DATOS!$E13540,nASIG,DATOS!$I13540,nEVAL,"EX")=0),0))))</f>
      </c>
      <c r="H13540">
        <f>IF(DATOS!$G13540&lt;&gt;"EX",0,--(COUNTIFS(nNIA,DATOS!$A13540,nCURSO,DATOS!$D13540,nESPEC,DATOS!$E13540,nASIG,DATOS!$I13540,nEVAL,"OR")=0))</f>
      </c>
      <c r="I13540">
        <f>IF(DATOS!$I13540="","",IFERROR(VLOOKUP(DATOS!$I13540,CONFIG_ASIGNATURAS!$B$2:$J$91,9,FALSE()),""))</f>
      </c>
    </row>
    <row r="13541">
      <c r="F13541">
        <f>IF(DATOS!$A13541="","",DATOS!$A13541&amp;"|"&amp;DATOS!$D13541&amp;"|"&amp;DATOS!$E13541&amp;"|"&amp;DATOS!$I13541)</f>
      </c>
      <c r="G13541">
        <f>IF(DATOS!$A13541="",0,IF(CONFIG_METADATA!$B$4&lt;&gt;"OR+EX",--(DATOS!$G13541=CONFIG_METADATA!$B$4),IF(DATOS!$G13541="EX",1,IF(DATOS!$G13541="OR",--(COUNTIFS(nNIA,DATOS!$A13541,nCURSO,DATOS!$D13541,nESPEC,DATOS!$E13541,nASIG,DATOS!$I13541,nEVAL,"EX")=0),0))))</f>
      </c>
      <c r="H13541">
        <f>IF(DATOS!$G13541&lt;&gt;"EX",0,--(COUNTIFS(nNIA,DATOS!$A13541,nCURSO,DATOS!$D13541,nESPEC,DATOS!$E13541,nASIG,DATOS!$I13541,nEVAL,"OR")=0))</f>
      </c>
      <c r="I13541">
        <f>IF(DATOS!$I13541="","",IFERROR(VLOOKUP(DATOS!$I13541,CONFIG_ASIGNATURAS!$B$2:$J$91,9,FALSE()),""))</f>
      </c>
    </row>
    <row r="13542">
      <c r="F13542">
        <f>IF(DATOS!$A13542="","",DATOS!$A13542&amp;"|"&amp;DATOS!$D13542&amp;"|"&amp;DATOS!$E13542&amp;"|"&amp;DATOS!$I13542)</f>
      </c>
      <c r="G13542">
        <f>IF(DATOS!$A13542="",0,IF(CONFIG_METADATA!$B$4&lt;&gt;"OR+EX",--(DATOS!$G13542=CONFIG_METADATA!$B$4),IF(DATOS!$G13542="EX",1,IF(DATOS!$G13542="OR",--(COUNTIFS(nNIA,DATOS!$A13542,nCURSO,DATOS!$D13542,nESPEC,DATOS!$E13542,nASIG,DATOS!$I13542,nEVAL,"EX")=0),0))))</f>
      </c>
      <c r="H13542">
        <f>IF(DATOS!$G13542&lt;&gt;"EX",0,--(COUNTIFS(nNIA,DATOS!$A13542,nCURSO,DATOS!$D13542,nESPEC,DATOS!$E13542,nASIG,DATOS!$I13542,nEVAL,"OR")=0))</f>
      </c>
      <c r="I13542">
        <f>IF(DATOS!$I13542="","",IFERROR(VLOOKUP(DATOS!$I13542,CONFIG_ASIGNATURAS!$B$2:$J$91,9,FALSE()),""))</f>
      </c>
    </row>
    <row r="13543">
      <c r="F13543">
        <f>IF(DATOS!$A13543="","",DATOS!$A13543&amp;"|"&amp;DATOS!$D13543&amp;"|"&amp;DATOS!$E13543&amp;"|"&amp;DATOS!$I13543)</f>
      </c>
      <c r="G13543">
        <f>IF(DATOS!$A13543="",0,IF(CONFIG_METADATA!$B$4&lt;&gt;"OR+EX",--(DATOS!$G13543=CONFIG_METADATA!$B$4),IF(DATOS!$G13543="EX",1,IF(DATOS!$G13543="OR",--(COUNTIFS(nNIA,DATOS!$A13543,nCURSO,DATOS!$D13543,nESPEC,DATOS!$E13543,nASIG,DATOS!$I13543,nEVAL,"EX")=0),0))))</f>
      </c>
      <c r="H13543">
        <f>IF(DATOS!$G13543&lt;&gt;"EX",0,--(COUNTIFS(nNIA,DATOS!$A13543,nCURSO,DATOS!$D13543,nESPEC,DATOS!$E13543,nASIG,DATOS!$I13543,nEVAL,"OR")=0))</f>
      </c>
      <c r="I13543">
        <f>IF(DATOS!$I13543="","",IFERROR(VLOOKUP(DATOS!$I13543,CONFIG_ASIGNATURAS!$B$2:$J$91,9,FALSE()),""))</f>
      </c>
    </row>
    <row r="13544">
      <c r="F13544">
        <f>IF(DATOS!$A13544="","",DATOS!$A13544&amp;"|"&amp;DATOS!$D13544&amp;"|"&amp;DATOS!$E13544&amp;"|"&amp;DATOS!$I13544)</f>
      </c>
      <c r="G13544">
        <f>IF(DATOS!$A13544="",0,IF(CONFIG_METADATA!$B$4&lt;&gt;"OR+EX",--(DATOS!$G13544=CONFIG_METADATA!$B$4),IF(DATOS!$G13544="EX",1,IF(DATOS!$G13544="OR",--(COUNTIFS(nNIA,DATOS!$A13544,nCURSO,DATOS!$D13544,nESPEC,DATOS!$E13544,nASIG,DATOS!$I13544,nEVAL,"EX")=0),0))))</f>
      </c>
      <c r="H13544">
        <f>IF(DATOS!$G13544&lt;&gt;"EX",0,--(COUNTIFS(nNIA,DATOS!$A13544,nCURSO,DATOS!$D13544,nESPEC,DATOS!$E13544,nASIG,DATOS!$I13544,nEVAL,"OR")=0))</f>
      </c>
      <c r="I13544">
        <f>IF(DATOS!$I13544="","",IFERROR(VLOOKUP(DATOS!$I13544,CONFIG_ASIGNATURAS!$B$2:$J$91,9,FALSE()),""))</f>
      </c>
    </row>
    <row r="13545">
      <c r="F13545">
        <f>IF(DATOS!$A13545="","",DATOS!$A13545&amp;"|"&amp;DATOS!$D13545&amp;"|"&amp;DATOS!$E13545&amp;"|"&amp;DATOS!$I13545)</f>
      </c>
      <c r="G13545">
        <f>IF(DATOS!$A13545="",0,IF(CONFIG_METADATA!$B$4&lt;&gt;"OR+EX",--(DATOS!$G13545=CONFIG_METADATA!$B$4),IF(DATOS!$G13545="EX",1,IF(DATOS!$G13545="OR",--(COUNTIFS(nNIA,DATOS!$A13545,nCURSO,DATOS!$D13545,nESPEC,DATOS!$E13545,nASIG,DATOS!$I13545,nEVAL,"EX")=0),0))))</f>
      </c>
      <c r="H13545">
        <f>IF(DATOS!$G13545&lt;&gt;"EX",0,--(COUNTIFS(nNIA,DATOS!$A13545,nCURSO,DATOS!$D13545,nESPEC,DATOS!$E13545,nASIG,DATOS!$I13545,nEVAL,"OR")=0))</f>
      </c>
      <c r="I13545">
        <f>IF(DATOS!$I13545="","",IFERROR(VLOOKUP(DATOS!$I13545,CONFIG_ASIGNATURAS!$B$2:$J$91,9,FALSE()),""))</f>
      </c>
    </row>
    <row r="13546">
      <c r="F13546">
        <f>IF(DATOS!$A13546="","",DATOS!$A13546&amp;"|"&amp;DATOS!$D13546&amp;"|"&amp;DATOS!$E13546&amp;"|"&amp;DATOS!$I13546)</f>
      </c>
      <c r="G13546">
        <f>IF(DATOS!$A13546="",0,IF(CONFIG_METADATA!$B$4&lt;&gt;"OR+EX",--(DATOS!$G13546=CONFIG_METADATA!$B$4),IF(DATOS!$G13546="EX",1,IF(DATOS!$G13546="OR",--(COUNTIFS(nNIA,DATOS!$A13546,nCURSO,DATOS!$D13546,nESPEC,DATOS!$E13546,nASIG,DATOS!$I13546,nEVAL,"EX")=0),0))))</f>
      </c>
      <c r="H13546">
        <f>IF(DATOS!$G13546&lt;&gt;"EX",0,--(COUNTIFS(nNIA,DATOS!$A13546,nCURSO,DATOS!$D13546,nESPEC,DATOS!$E13546,nASIG,DATOS!$I13546,nEVAL,"OR")=0))</f>
      </c>
      <c r="I13546">
        <f>IF(DATOS!$I13546="","",IFERROR(VLOOKUP(DATOS!$I13546,CONFIG_ASIGNATURAS!$B$2:$J$91,9,FALSE()),""))</f>
      </c>
    </row>
    <row r="13547">
      <c r="F13547">
        <f>IF(DATOS!$A13547="","",DATOS!$A13547&amp;"|"&amp;DATOS!$D13547&amp;"|"&amp;DATOS!$E13547&amp;"|"&amp;DATOS!$I13547)</f>
      </c>
      <c r="G13547">
        <f>IF(DATOS!$A13547="",0,IF(CONFIG_METADATA!$B$4&lt;&gt;"OR+EX",--(DATOS!$G13547=CONFIG_METADATA!$B$4),IF(DATOS!$G13547="EX",1,IF(DATOS!$G13547="OR",--(COUNTIFS(nNIA,DATOS!$A13547,nCURSO,DATOS!$D13547,nESPEC,DATOS!$E13547,nASIG,DATOS!$I13547,nEVAL,"EX")=0),0))))</f>
      </c>
      <c r="H13547">
        <f>IF(DATOS!$G13547&lt;&gt;"EX",0,--(COUNTIFS(nNIA,DATOS!$A13547,nCURSO,DATOS!$D13547,nESPEC,DATOS!$E13547,nASIG,DATOS!$I13547,nEVAL,"OR")=0))</f>
      </c>
      <c r="I13547">
        <f>IF(DATOS!$I13547="","",IFERROR(VLOOKUP(DATOS!$I13547,CONFIG_ASIGNATURAS!$B$2:$J$91,9,FALSE()),""))</f>
      </c>
    </row>
    <row r="13548">
      <c r="F13548">
        <f>IF(DATOS!$A13548="","",DATOS!$A13548&amp;"|"&amp;DATOS!$D13548&amp;"|"&amp;DATOS!$E13548&amp;"|"&amp;DATOS!$I13548)</f>
      </c>
      <c r="G13548">
        <f>IF(DATOS!$A13548="",0,IF(CONFIG_METADATA!$B$4&lt;&gt;"OR+EX",--(DATOS!$G13548=CONFIG_METADATA!$B$4),IF(DATOS!$G13548="EX",1,IF(DATOS!$G13548="OR",--(COUNTIFS(nNIA,DATOS!$A13548,nCURSO,DATOS!$D13548,nESPEC,DATOS!$E13548,nASIG,DATOS!$I13548,nEVAL,"EX")=0),0))))</f>
      </c>
      <c r="H13548">
        <f>IF(DATOS!$G13548&lt;&gt;"EX",0,--(COUNTIFS(nNIA,DATOS!$A13548,nCURSO,DATOS!$D13548,nESPEC,DATOS!$E13548,nASIG,DATOS!$I13548,nEVAL,"OR")=0))</f>
      </c>
      <c r="I13548">
        <f>IF(DATOS!$I13548="","",IFERROR(VLOOKUP(DATOS!$I13548,CONFIG_ASIGNATURAS!$B$2:$J$91,9,FALSE()),""))</f>
      </c>
    </row>
    <row r="13549">
      <c r="F13549">
        <f>IF(DATOS!$A13549="","",DATOS!$A13549&amp;"|"&amp;DATOS!$D13549&amp;"|"&amp;DATOS!$E13549&amp;"|"&amp;DATOS!$I13549)</f>
      </c>
      <c r="G13549">
        <f>IF(DATOS!$A13549="",0,IF(CONFIG_METADATA!$B$4&lt;&gt;"OR+EX",--(DATOS!$G13549=CONFIG_METADATA!$B$4),IF(DATOS!$G13549="EX",1,IF(DATOS!$G13549="OR",--(COUNTIFS(nNIA,DATOS!$A13549,nCURSO,DATOS!$D13549,nESPEC,DATOS!$E13549,nASIG,DATOS!$I13549,nEVAL,"EX")=0),0))))</f>
      </c>
      <c r="H13549">
        <f>IF(DATOS!$G13549&lt;&gt;"EX",0,--(COUNTIFS(nNIA,DATOS!$A13549,nCURSO,DATOS!$D13549,nESPEC,DATOS!$E13549,nASIG,DATOS!$I13549,nEVAL,"OR")=0))</f>
      </c>
      <c r="I13549">
        <f>IF(DATOS!$I13549="","",IFERROR(VLOOKUP(DATOS!$I13549,CONFIG_ASIGNATURAS!$B$2:$J$91,9,FALSE()),""))</f>
      </c>
    </row>
    <row r="13550">
      <c r="F13550">
        <f>IF(DATOS!$A13550="","",DATOS!$A13550&amp;"|"&amp;DATOS!$D13550&amp;"|"&amp;DATOS!$E13550&amp;"|"&amp;DATOS!$I13550)</f>
      </c>
      <c r="G13550">
        <f>IF(DATOS!$A13550="",0,IF(CONFIG_METADATA!$B$4&lt;&gt;"OR+EX",--(DATOS!$G13550=CONFIG_METADATA!$B$4),IF(DATOS!$G13550="EX",1,IF(DATOS!$G13550="OR",--(COUNTIFS(nNIA,DATOS!$A13550,nCURSO,DATOS!$D13550,nESPEC,DATOS!$E13550,nASIG,DATOS!$I13550,nEVAL,"EX")=0),0))))</f>
      </c>
      <c r="H13550">
        <f>IF(DATOS!$G13550&lt;&gt;"EX",0,--(COUNTIFS(nNIA,DATOS!$A13550,nCURSO,DATOS!$D13550,nESPEC,DATOS!$E13550,nASIG,DATOS!$I13550,nEVAL,"OR")=0))</f>
      </c>
      <c r="I13550">
        <f>IF(DATOS!$I13550="","",IFERROR(VLOOKUP(DATOS!$I13550,CONFIG_ASIGNATURAS!$B$2:$J$91,9,FALSE()),""))</f>
      </c>
    </row>
    <row r="13551">
      <c r="F13551">
        <f>IF(DATOS!$A13551="","",DATOS!$A13551&amp;"|"&amp;DATOS!$D13551&amp;"|"&amp;DATOS!$E13551&amp;"|"&amp;DATOS!$I13551)</f>
      </c>
      <c r="G13551">
        <f>IF(DATOS!$A13551="",0,IF(CONFIG_METADATA!$B$4&lt;&gt;"OR+EX",--(DATOS!$G13551=CONFIG_METADATA!$B$4),IF(DATOS!$G13551="EX",1,IF(DATOS!$G13551="OR",--(COUNTIFS(nNIA,DATOS!$A13551,nCURSO,DATOS!$D13551,nESPEC,DATOS!$E13551,nASIG,DATOS!$I13551,nEVAL,"EX")=0),0))))</f>
      </c>
      <c r="H13551">
        <f>IF(DATOS!$G13551&lt;&gt;"EX",0,--(COUNTIFS(nNIA,DATOS!$A13551,nCURSO,DATOS!$D13551,nESPEC,DATOS!$E13551,nASIG,DATOS!$I13551,nEVAL,"OR")=0))</f>
      </c>
      <c r="I13551">
        <f>IF(DATOS!$I13551="","",IFERROR(VLOOKUP(DATOS!$I13551,CONFIG_ASIGNATURAS!$B$2:$J$91,9,FALSE()),""))</f>
      </c>
    </row>
    <row r="13552">
      <c r="F13552">
        <f>IF(DATOS!$A13552="","",DATOS!$A13552&amp;"|"&amp;DATOS!$D13552&amp;"|"&amp;DATOS!$E13552&amp;"|"&amp;DATOS!$I13552)</f>
      </c>
      <c r="G13552">
        <f>IF(DATOS!$A13552="",0,IF(CONFIG_METADATA!$B$4&lt;&gt;"OR+EX",--(DATOS!$G13552=CONFIG_METADATA!$B$4),IF(DATOS!$G13552="EX",1,IF(DATOS!$G13552="OR",--(COUNTIFS(nNIA,DATOS!$A13552,nCURSO,DATOS!$D13552,nESPEC,DATOS!$E13552,nASIG,DATOS!$I13552,nEVAL,"EX")=0),0))))</f>
      </c>
      <c r="H13552">
        <f>IF(DATOS!$G13552&lt;&gt;"EX",0,--(COUNTIFS(nNIA,DATOS!$A13552,nCURSO,DATOS!$D13552,nESPEC,DATOS!$E13552,nASIG,DATOS!$I13552,nEVAL,"OR")=0))</f>
      </c>
      <c r="I13552">
        <f>IF(DATOS!$I13552="","",IFERROR(VLOOKUP(DATOS!$I13552,CONFIG_ASIGNATURAS!$B$2:$J$91,9,FALSE()),""))</f>
      </c>
    </row>
    <row r="13553">
      <c r="F13553">
        <f>IF(DATOS!$A13553="","",DATOS!$A13553&amp;"|"&amp;DATOS!$D13553&amp;"|"&amp;DATOS!$E13553&amp;"|"&amp;DATOS!$I13553)</f>
      </c>
      <c r="G13553">
        <f>IF(DATOS!$A13553="",0,IF(CONFIG_METADATA!$B$4&lt;&gt;"OR+EX",--(DATOS!$G13553=CONFIG_METADATA!$B$4),IF(DATOS!$G13553="EX",1,IF(DATOS!$G13553="OR",--(COUNTIFS(nNIA,DATOS!$A13553,nCURSO,DATOS!$D13553,nESPEC,DATOS!$E13553,nASIG,DATOS!$I13553,nEVAL,"EX")=0),0))))</f>
      </c>
      <c r="H13553">
        <f>IF(DATOS!$G13553&lt;&gt;"EX",0,--(COUNTIFS(nNIA,DATOS!$A13553,nCURSO,DATOS!$D13553,nESPEC,DATOS!$E13553,nASIG,DATOS!$I13553,nEVAL,"OR")=0))</f>
      </c>
      <c r="I13553">
        <f>IF(DATOS!$I13553="","",IFERROR(VLOOKUP(DATOS!$I13553,CONFIG_ASIGNATURAS!$B$2:$J$91,9,FALSE()),""))</f>
      </c>
    </row>
    <row r="13554">
      <c r="F13554">
        <f>IF(DATOS!$A13554="","",DATOS!$A13554&amp;"|"&amp;DATOS!$D13554&amp;"|"&amp;DATOS!$E13554&amp;"|"&amp;DATOS!$I13554)</f>
      </c>
      <c r="G13554">
        <f>IF(DATOS!$A13554="",0,IF(CONFIG_METADATA!$B$4&lt;&gt;"OR+EX",--(DATOS!$G13554=CONFIG_METADATA!$B$4),IF(DATOS!$G13554="EX",1,IF(DATOS!$G13554="OR",--(COUNTIFS(nNIA,DATOS!$A13554,nCURSO,DATOS!$D13554,nESPEC,DATOS!$E13554,nASIG,DATOS!$I13554,nEVAL,"EX")=0),0))))</f>
      </c>
      <c r="H13554">
        <f>IF(DATOS!$G13554&lt;&gt;"EX",0,--(COUNTIFS(nNIA,DATOS!$A13554,nCURSO,DATOS!$D13554,nESPEC,DATOS!$E13554,nASIG,DATOS!$I13554,nEVAL,"OR")=0))</f>
      </c>
      <c r="I13554">
        <f>IF(DATOS!$I13554="","",IFERROR(VLOOKUP(DATOS!$I13554,CONFIG_ASIGNATURAS!$B$2:$J$91,9,FALSE()),""))</f>
      </c>
    </row>
    <row r="13555">
      <c r="F13555">
        <f>IF(DATOS!$A13555="","",DATOS!$A13555&amp;"|"&amp;DATOS!$D13555&amp;"|"&amp;DATOS!$E13555&amp;"|"&amp;DATOS!$I13555)</f>
      </c>
      <c r="G13555">
        <f>IF(DATOS!$A13555="",0,IF(CONFIG_METADATA!$B$4&lt;&gt;"OR+EX",--(DATOS!$G13555=CONFIG_METADATA!$B$4),IF(DATOS!$G13555="EX",1,IF(DATOS!$G13555="OR",--(COUNTIFS(nNIA,DATOS!$A13555,nCURSO,DATOS!$D13555,nESPEC,DATOS!$E13555,nASIG,DATOS!$I13555,nEVAL,"EX")=0),0))))</f>
      </c>
      <c r="H13555">
        <f>IF(DATOS!$G13555&lt;&gt;"EX",0,--(COUNTIFS(nNIA,DATOS!$A13555,nCURSO,DATOS!$D13555,nESPEC,DATOS!$E13555,nASIG,DATOS!$I13555,nEVAL,"OR")=0))</f>
      </c>
      <c r="I13555">
        <f>IF(DATOS!$I13555="","",IFERROR(VLOOKUP(DATOS!$I13555,CONFIG_ASIGNATURAS!$B$2:$J$91,9,FALSE()),""))</f>
      </c>
    </row>
    <row r="13556">
      <c r="F13556">
        <f>IF(DATOS!$A13556="","",DATOS!$A13556&amp;"|"&amp;DATOS!$D13556&amp;"|"&amp;DATOS!$E13556&amp;"|"&amp;DATOS!$I13556)</f>
      </c>
      <c r="G13556">
        <f>IF(DATOS!$A13556="",0,IF(CONFIG_METADATA!$B$4&lt;&gt;"OR+EX",--(DATOS!$G13556=CONFIG_METADATA!$B$4),IF(DATOS!$G13556="EX",1,IF(DATOS!$G13556="OR",--(COUNTIFS(nNIA,DATOS!$A13556,nCURSO,DATOS!$D13556,nESPEC,DATOS!$E13556,nASIG,DATOS!$I13556,nEVAL,"EX")=0),0))))</f>
      </c>
      <c r="H13556">
        <f>IF(DATOS!$G13556&lt;&gt;"EX",0,--(COUNTIFS(nNIA,DATOS!$A13556,nCURSO,DATOS!$D13556,nESPEC,DATOS!$E13556,nASIG,DATOS!$I13556,nEVAL,"OR")=0))</f>
      </c>
      <c r="I13556">
        <f>IF(DATOS!$I13556="","",IFERROR(VLOOKUP(DATOS!$I13556,CONFIG_ASIGNATURAS!$B$2:$J$91,9,FALSE()),""))</f>
      </c>
    </row>
    <row r="13557">
      <c r="F13557">
        <f>IF(DATOS!$A13557="","",DATOS!$A13557&amp;"|"&amp;DATOS!$D13557&amp;"|"&amp;DATOS!$E13557&amp;"|"&amp;DATOS!$I13557)</f>
      </c>
      <c r="G13557">
        <f>IF(DATOS!$A13557="",0,IF(CONFIG_METADATA!$B$4&lt;&gt;"OR+EX",--(DATOS!$G13557=CONFIG_METADATA!$B$4),IF(DATOS!$G13557="EX",1,IF(DATOS!$G13557="OR",--(COUNTIFS(nNIA,DATOS!$A13557,nCURSO,DATOS!$D13557,nESPEC,DATOS!$E13557,nASIG,DATOS!$I13557,nEVAL,"EX")=0),0))))</f>
      </c>
      <c r="H13557">
        <f>IF(DATOS!$G13557&lt;&gt;"EX",0,--(COUNTIFS(nNIA,DATOS!$A13557,nCURSO,DATOS!$D13557,nESPEC,DATOS!$E13557,nASIG,DATOS!$I13557,nEVAL,"OR")=0))</f>
      </c>
      <c r="I13557">
        <f>IF(DATOS!$I13557="","",IFERROR(VLOOKUP(DATOS!$I13557,CONFIG_ASIGNATURAS!$B$2:$J$91,9,FALSE()),""))</f>
      </c>
    </row>
    <row r="13558">
      <c r="F13558">
        <f>IF(DATOS!$A13558="","",DATOS!$A13558&amp;"|"&amp;DATOS!$D13558&amp;"|"&amp;DATOS!$E13558&amp;"|"&amp;DATOS!$I13558)</f>
      </c>
      <c r="G13558">
        <f>IF(DATOS!$A13558="",0,IF(CONFIG_METADATA!$B$4&lt;&gt;"OR+EX",--(DATOS!$G13558=CONFIG_METADATA!$B$4),IF(DATOS!$G13558="EX",1,IF(DATOS!$G13558="OR",--(COUNTIFS(nNIA,DATOS!$A13558,nCURSO,DATOS!$D13558,nESPEC,DATOS!$E13558,nASIG,DATOS!$I13558,nEVAL,"EX")=0),0))))</f>
      </c>
      <c r="H13558">
        <f>IF(DATOS!$G13558&lt;&gt;"EX",0,--(COUNTIFS(nNIA,DATOS!$A13558,nCURSO,DATOS!$D13558,nESPEC,DATOS!$E13558,nASIG,DATOS!$I13558,nEVAL,"OR")=0))</f>
      </c>
      <c r="I13558">
        <f>IF(DATOS!$I13558="","",IFERROR(VLOOKUP(DATOS!$I13558,CONFIG_ASIGNATURAS!$B$2:$J$91,9,FALSE()),""))</f>
      </c>
    </row>
    <row r="13559">
      <c r="F13559">
        <f>IF(DATOS!$A13559="","",DATOS!$A13559&amp;"|"&amp;DATOS!$D13559&amp;"|"&amp;DATOS!$E13559&amp;"|"&amp;DATOS!$I13559)</f>
      </c>
      <c r="G13559">
        <f>IF(DATOS!$A13559="",0,IF(CONFIG_METADATA!$B$4&lt;&gt;"OR+EX",--(DATOS!$G13559=CONFIG_METADATA!$B$4),IF(DATOS!$G13559="EX",1,IF(DATOS!$G13559="OR",--(COUNTIFS(nNIA,DATOS!$A13559,nCURSO,DATOS!$D13559,nESPEC,DATOS!$E13559,nASIG,DATOS!$I13559,nEVAL,"EX")=0),0))))</f>
      </c>
      <c r="H13559">
        <f>IF(DATOS!$G13559&lt;&gt;"EX",0,--(COUNTIFS(nNIA,DATOS!$A13559,nCURSO,DATOS!$D13559,nESPEC,DATOS!$E13559,nASIG,DATOS!$I13559,nEVAL,"OR")=0))</f>
      </c>
      <c r="I13559">
        <f>IF(DATOS!$I13559="","",IFERROR(VLOOKUP(DATOS!$I13559,CONFIG_ASIGNATURAS!$B$2:$J$91,9,FALSE()),""))</f>
      </c>
    </row>
    <row r="13560">
      <c r="F13560">
        <f>IF(DATOS!$A13560="","",DATOS!$A13560&amp;"|"&amp;DATOS!$D13560&amp;"|"&amp;DATOS!$E13560&amp;"|"&amp;DATOS!$I13560)</f>
      </c>
      <c r="G13560">
        <f>IF(DATOS!$A13560="",0,IF(CONFIG_METADATA!$B$4&lt;&gt;"OR+EX",--(DATOS!$G13560=CONFIG_METADATA!$B$4),IF(DATOS!$G13560="EX",1,IF(DATOS!$G13560="OR",--(COUNTIFS(nNIA,DATOS!$A13560,nCURSO,DATOS!$D13560,nESPEC,DATOS!$E13560,nASIG,DATOS!$I13560,nEVAL,"EX")=0),0))))</f>
      </c>
      <c r="H13560">
        <f>IF(DATOS!$G13560&lt;&gt;"EX",0,--(COUNTIFS(nNIA,DATOS!$A13560,nCURSO,DATOS!$D13560,nESPEC,DATOS!$E13560,nASIG,DATOS!$I13560,nEVAL,"OR")=0))</f>
      </c>
      <c r="I13560">
        <f>IF(DATOS!$I13560="","",IFERROR(VLOOKUP(DATOS!$I13560,CONFIG_ASIGNATURAS!$B$2:$J$91,9,FALSE()),""))</f>
      </c>
    </row>
    <row r="13561">
      <c r="F13561">
        <f>IF(DATOS!$A13561="","",DATOS!$A13561&amp;"|"&amp;DATOS!$D13561&amp;"|"&amp;DATOS!$E13561&amp;"|"&amp;DATOS!$I13561)</f>
      </c>
      <c r="G13561">
        <f>IF(DATOS!$A13561="",0,IF(CONFIG_METADATA!$B$4&lt;&gt;"OR+EX",--(DATOS!$G13561=CONFIG_METADATA!$B$4),IF(DATOS!$G13561="EX",1,IF(DATOS!$G13561="OR",--(COUNTIFS(nNIA,DATOS!$A13561,nCURSO,DATOS!$D13561,nESPEC,DATOS!$E13561,nASIG,DATOS!$I13561,nEVAL,"EX")=0),0))))</f>
      </c>
      <c r="H13561">
        <f>IF(DATOS!$G13561&lt;&gt;"EX",0,--(COUNTIFS(nNIA,DATOS!$A13561,nCURSO,DATOS!$D13561,nESPEC,DATOS!$E13561,nASIG,DATOS!$I13561,nEVAL,"OR")=0))</f>
      </c>
      <c r="I13561">
        <f>IF(DATOS!$I13561="","",IFERROR(VLOOKUP(DATOS!$I13561,CONFIG_ASIGNATURAS!$B$2:$J$91,9,FALSE()),""))</f>
      </c>
    </row>
    <row r="13562">
      <c r="F13562">
        <f>IF(DATOS!$A13562="","",DATOS!$A13562&amp;"|"&amp;DATOS!$D13562&amp;"|"&amp;DATOS!$E13562&amp;"|"&amp;DATOS!$I13562)</f>
      </c>
      <c r="G13562">
        <f>IF(DATOS!$A13562="",0,IF(CONFIG_METADATA!$B$4&lt;&gt;"OR+EX",--(DATOS!$G13562=CONFIG_METADATA!$B$4),IF(DATOS!$G13562="EX",1,IF(DATOS!$G13562="OR",--(COUNTIFS(nNIA,DATOS!$A13562,nCURSO,DATOS!$D13562,nESPEC,DATOS!$E13562,nASIG,DATOS!$I13562,nEVAL,"EX")=0),0))))</f>
      </c>
      <c r="H13562">
        <f>IF(DATOS!$G13562&lt;&gt;"EX",0,--(COUNTIFS(nNIA,DATOS!$A13562,nCURSO,DATOS!$D13562,nESPEC,DATOS!$E13562,nASIG,DATOS!$I13562,nEVAL,"OR")=0))</f>
      </c>
      <c r="I13562">
        <f>IF(DATOS!$I13562="","",IFERROR(VLOOKUP(DATOS!$I13562,CONFIG_ASIGNATURAS!$B$2:$J$91,9,FALSE()),""))</f>
      </c>
    </row>
    <row r="13563">
      <c r="F13563">
        <f>IF(DATOS!$A13563="","",DATOS!$A13563&amp;"|"&amp;DATOS!$D13563&amp;"|"&amp;DATOS!$E13563&amp;"|"&amp;DATOS!$I13563)</f>
      </c>
      <c r="G13563">
        <f>IF(DATOS!$A13563="",0,IF(CONFIG_METADATA!$B$4&lt;&gt;"OR+EX",--(DATOS!$G13563=CONFIG_METADATA!$B$4),IF(DATOS!$G13563="EX",1,IF(DATOS!$G13563="OR",--(COUNTIFS(nNIA,DATOS!$A13563,nCURSO,DATOS!$D13563,nESPEC,DATOS!$E13563,nASIG,DATOS!$I13563,nEVAL,"EX")=0),0))))</f>
      </c>
      <c r="H13563">
        <f>IF(DATOS!$G13563&lt;&gt;"EX",0,--(COUNTIFS(nNIA,DATOS!$A13563,nCURSO,DATOS!$D13563,nESPEC,DATOS!$E13563,nASIG,DATOS!$I13563,nEVAL,"OR")=0))</f>
      </c>
      <c r="I13563">
        <f>IF(DATOS!$I13563="","",IFERROR(VLOOKUP(DATOS!$I13563,CONFIG_ASIGNATURAS!$B$2:$J$91,9,FALSE()),""))</f>
      </c>
    </row>
    <row r="13564">
      <c r="F13564">
        <f>IF(DATOS!$A13564="","",DATOS!$A13564&amp;"|"&amp;DATOS!$D13564&amp;"|"&amp;DATOS!$E13564&amp;"|"&amp;DATOS!$I13564)</f>
      </c>
      <c r="G13564">
        <f>IF(DATOS!$A13564="",0,IF(CONFIG_METADATA!$B$4&lt;&gt;"OR+EX",--(DATOS!$G13564=CONFIG_METADATA!$B$4),IF(DATOS!$G13564="EX",1,IF(DATOS!$G13564="OR",--(COUNTIFS(nNIA,DATOS!$A13564,nCURSO,DATOS!$D13564,nESPEC,DATOS!$E13564,nASIG,DATOS!$I13564,nEVAL,"EX")=0),0))))</f>
      </c>
      <c r="H13564">
        <f>IF(DATOS!$G13564&lt;&gt;"EX",0,--(COUNTIFS(nNIA,DATOS!$A13564,nCURSO,DATOS!$D13564,nESPEC,DATOS!$E13564,nASIG,DATOS!$I13564,nEVAL,"OR")=0))</f>
      </c>
      <c r="I13564">
        <f>IF(DATOS!$I13564="","",IFERROR(VLOOKUP(DATOS!$I13564,CONFIG_ASIGNATURAS!$B$2:$J$91,9,FALSE()),""))</f>
      </c>
    </row>
    <row r="13565">
      <c r="F13565">
        <f>IF(DATOS!$A13565="","",DATOS!$A13565&amp;"|"&amp;DATOS!$D13565&amp;"|"&amp;DATOS!$E13565&amp;"|"&amp;DATOS!$I13565)</f>
      </c>
      <c r="G13565">
        <f>IF(DATOS!$A13565="",0,IF(CONFIG_METADATA!$B$4&lt;&gt;"OR+EX",--(DATOS!$G13565=CONFIG_METADATA!$B$4),IF(DATOS!$G13565="EX",1,IF(DATOS!$G13565="OR",--(COUNTIFS(nNIA,DATOS!$A13565,nCURSO,DATOS!$D13565,nESPEC,DATOS!$E13565,nASIG,DATOS!$I13565,nEVAL,"EX")=0),0))))</f>
      </c>
      <c r="H13565">
        <f>IF(DATOS!$G13565&lt;&gt;"EX",0,--(COUNTIFS(nNIA,DATOS!$A13565,nCURSO,DATOS!$D13565,nESPEC,DATOS!$E13565,nASIG,DATOS!$I13565,nEVAL,"OR")=0))</f>
      </c>
      <c r="I13565">
        <f>IF(DATOS!$I13565="","",IFERROR(VLOOKUP(DATOS!$I13565,CONFIG_ASIGNATURAS!$B$2:$J$91,9,FALSE()),""))</f>
      </c>
    </row>
    <row r="13566">
      <c r="F13566">
        <f>IF(DATOS!$A13566="","",DATOS!$A13566&amp;"|"&amp;DATOS!$D13566&amp;"|"&amp;DATOS!$E13566&amp;"|"&amp;DATOS!$I13566)</f>
      </c>
      <c r="G13566">
        <f>IF(DATOS!$A13566="",0,IF(CONFIG_METADATA!$B$4&lt;&gt;"OR+EX",--(DATOS!$G13566=CONFIG_METADATA!$B$4),IF(DATOS!$G13566="EX",1,IF(DATOS!$G13566="OR",--(COUNTIFS(nNIA,DATOS!$A13566,nCURSO,DATOS!$D13566,nESPEC,DATOS!$E13566,nASIG,DATOS!$I13566,nEVAL,"EX")=0),0))))</f>
      </c>
      <c r="H13566">
        <f>IF(DATOS!$G13566&lt;&gt;"EX",0,--(COUNTIFS(nNIA,DATOS!$A13566,nCURSO,DATOS!$D13566,nESPEC,DATOS!$E13566,nASIG,DATOS!$I13566,nEVAL,"OR")=0))</f>
      </c>
      <c r="I13566">
        <f>IF(DATOS!$I13566="","",IFERROR(VLOOKUP(DATOS!$I13566,CONFIG_ASIGNATURAS!$B$2:$J$91,9,FALSE()),""))</f>
      </c>
    </row>
    <row r="13567">
      <c r="F13567">
        <f>IF(DATOS!$A13567="","",DATOS!$A13567&amp;"|"&amp;DATOS!$D13567&amp;"|"&amp;DATOS!$E13567&amp;"|"&amp;DATOS!$I13567)</f>
      </c>
      <c r="G13567">
        <f>IF(DATOS!$A13567="",0,IF(CONFIG_METADATA!$B$4&lt;&gt;"OR+EX",--(DATOS!$G13567=CONFIG_METADATA!$B$4),IF(DATOS!$G13567="EX",1,IF(DATOS!$G13567="OR",--(COUNTIFS(nNIA,DATOS!$A13567,nCURSO,DATOS!$D13567,nESPEC,DATOS!$E13567,nASIG,DATOS!$I13567,nEVAL,"EX")=0),0))))</f>
      </c>
      <c r="H13567">
        <f>IF(DATOS!$G13567&lt;&gt;"EX",0,--(COUNTIFS(nNIA,DATOS!$A13567,nCURSO,DATOS!$D13567,nESPEC,DATOS!$E13567,nASIG,DATOS!$I13567,nEVAL,"OR")=0))</f>
      </c>
      <c r="I13567">
        <f>IF(DATOS!$I13567="","",IFERROR(VLOOKUP(DATOS!$I13567,CONFIG_ASIGNATURAS!$B$2:$J$91,9,FALSE()),""))</f>
      </c>
    </row>
    <row r="13568">
      <c r="F13568">
        <f>IF(DATOS!$A13568="","",DATOS!$A13568&amp;"|"&amp;DATOS!$D13568&amp;"|"&amp;DATOS!$E13568&amp;"|"&amp;DATOS!$I13568)</f>
      </c>
      <c r="G13568">
        <f>IF(DATOS!$A13568="",0,IF(CONFIG_METADATA!$B$4&lt;&gt;"OR+EX",--(DATOS!$G13568=CONFIG_METADATA!$B$4),IF(DATOS!$G13568="EX",1,IF(DATOS!$G13568="OR",--(COUNTIFS(nNIA,DATOS!$A13568,nCURSO,DATOS!$D13568,nESPEC,DATOS!$E13568,nASIG,DATOS!$I13568,nEVAL,"EX")=0),0))))</f>
      </c>
      <c r="H13568">
        <f>IF(DATOS!$G13568&lt;&gt;"EX",0,--(COUNTIFS(nNIA,DATOS!$A13568,nCURSO,DATOS!$D13568,nESPEC,DATOS!$E13568,nASIG,DATOS!$I13568,nEVAL,"OR")=0))</f>
      </c>
      <c r="I13568">
        <f>IF(DATOS!$I13568="","",IFERROR(VLOOKUP(DATOS!$I13568,CONFIG_ASIGNATURAS!$B$2:$J$91,9,FALSE()),""))</f>
      </c>
    </row>
    <row r="13569">
      <c r="F13569">
        <f>IF(DATOS!$A13569="","",DATOS!$A13569&amp;"|"&amp;DATOS!$D13569&amp;"|"&amp;DATOS!$E13569&amp;"|"&amp;DATOS!$I13569)</f>
      </c>
      <c r="G13569">
        <f>IF(DATOS!$A13569="",0,IF(CONFIG_METADATA!$B$4&lt;&gt;"OR+EX",--(DATOS!$G13569=CONFIG_METADATA!$B$4),IF(DATOS!$G13569="EX",1,IF(DATOS!$G13569="OR",--(COUNTIFS(nNIA,DATOS!$A13569,nCURSO,DATOS!$D13569,nESPEC,DATOS!$E13569,nASIG,DATOS!$I13569,nEVAL,"EX")=0),0))))</f>
      </c>
      <c r="H13569">
        <f>IF(DATOS!$G13569&lt;&gt;"EX",0,--(COUNTIFS(nNIA,DATOS!$A13569,nCURSO,DATOS!$D13569,nESPEC,DATOS!$E13569,nASIG,DATOS!$I13569,nEVAL,"OR")=0))</f>
      </c>
      <c r="I13569">
        <f>IF(DATOS!$I13569="","",IFERROR(VLOOKUP(DATOS!$I13569,CONFIG_ASIGNATURAS!$B$2:$J$91,9,FALSE()),""))</f>
      </c>
    </row>
    <row r="13570">
      <c r="F13570">
        <f>IF(DATOS!$A13570="","",DATOS!$A13570&amp;"|"&amp;DATOS!$D13570&amp;"|"&amp;DATOS!$E13570&amp;"|"&amp;DATOS!$I13570)</f>
      </c>
      <c r="G13570">
        <f>IF(DATOS!$A13570="",0,IF(CONFIG_METADATA!$B$4&lt;&gt;"OR+EX",--(DATOS!$G13570=CONFIG_METADATA!$B$4),IF(DATOS!$G13570="EX",1,IF(DATOS!$G13570="OR",--(COUNTIFS(nNIA,DATOS!$A13570,nCURSO,DATOS!$D13570,nESPEC,DATOS!$E13570,nASIG,DATOS!$I13570,nEVAL,"EX")=0),0))))</f>
      </c>
      <c r="H13570">
        <f>IF(DATOS!$G13570&lt;&gt;"EX",0,--(COUNTIFS(nNIA,DATOS!$A13570,nCURSO,DATOS!$D13570,nESPEC,DATOS!$E13570,nASIG,DATOS!$I13570,nEVAL,"OR")=0))</f>
      </c>
      <c r="I13570">
        <f>IF(DATOS!$I13570="","",IFERROR(VLOOKUP(DATOS!$I13570,CONFIG_ASIGNATURAS!$B$2:$J$91,9,FALSE()),""))</f>
      </c>
    </row>
    <row r="13571">
      <c r="F13571">
        <f>IF(DATOS!$A13571="","",DATOS!$A13571&amp;"|"&amp;DATOS!$D13571&amp;"|"&amp;DATOS!$E13571&amp;"|"&amp;DATOS!$I13571)</f>
      </c>
      <c r="G13571">
        <f>IF(DATOS!$A13571="",0,IF(CONFIG_METADATA!$B$4&lt;&gt;"OR+EX",--(DATOS!$G13571=CONFIG_METADATA!$B$4),IF(DATOS!$G13571="EX",1,IF(DATOS!$G13571="OR",--(COUNTIFS(nNIA,DATOS!$A13571,nCURSO,DATOS!$D13571,nESPEC,DATOS!$E13571,nASIG,DATOS!$I13571,nEVAL,"EX")=0),0))))</f>
      </c>
      <c r="H13571">
        <f>IF(DATOS!$G13571&lt;&gt;"EX",0,--(COUNTIFS(nNIA,DATOS!$A13571,nCURSO,DATOS!$D13571,nESPEC,DATOS!$E13571,nASIG,DATOS!$I13571,nEVAL,"OR")=0))</f>
      </c>
      <c r="I13571">
        <f>IF(DATOS!$I13571="","",IFERROR(VLOOKUP(DATOS!$I13571,CONFIG_ASIGNATURAS!$B$2:$J$91,9,FALSE()),""))</f>
      </c>
    </row>
    <row r="13572">
      <c r="F13572">
        <f>IF(DATOS!$A13572="","",DATOS!$A13572&amp;"|"&amp;DATOS!$D13572&amp;"|"&amp;DATOS!$E13572&amp;"|"&amp;DATOS!$I13572)</f>
      </c>
      <c r="G13572">
        <f>IF(DATOS!$A13572="",0,IF(CONFIG_METADATA!$B$4&lt;&gt;"OR+EX",--(DATOS!$G13572=CONFIG_METADATA!$B$4),IF(DATOS!$G13572="EX",1,IF(DATOS!$G13572="OR",--(COUNTIFS(nNIA,DATOS!$A13572,nCURSO,DATOS!$D13572,nESPEC,DATOS!$E13572,nASIG,DATOS!$I13572,nEVAL,"EX")=0),0))))</f>
      </c>
      <c r="H13572">
        <f>IF(DATOS!$G13572&lt;&gt;"EX",0,--(COUNTIFS(nNIA,DATOS!$A13572,nCURSO,DATOS!$D13572,nESPEC,DATOS!$E13572,nASIG,DATOS!$I13572,nEVAL,"OR")=0))</f>
      </c>
      <c r="I13572">
        <f>IF(DATOS!$I13572="","",IFERROR(VLOOKUP(DATOS!$I13572,CONFIG_ASIGNATURAS!$B$2:$J$91,9,FALSE()),""))</f>
      </c>
    </row>
    <row r="13573">
      <c r="F13573">
        <f>IF(DATOS!$A13573="","",DATOS!$A13573&amp;"|"&amp;DATOS!$D13573&amp;"|"&amp;DATOS!$E13573&amp;"|"&amp;DATOS!$I13573)</f>
      </c>
      <c r="G13573">
        <f>IF(DATOS!$A13573="",0,IF(CONFIG_METADATA!$B$4&lt;&gt;"OR+EX",--(DATOS!$G13573=CONFIG_METADATA!$B$4),IF(DATOS!$G13573="EX",1,IF(DATOS!$G13573="OR",--(COUNTIFS(nNIA,DATOS!$A13573,nCURSO,DATOS!$D13573,nESPEC,DATOS!$E13573,nASIG,DATOS!$I13573,nEVAL,"EX")=0),0))))</f>
      </c>
      <c r="H13573">
        <f>IF(DATOS!$G13573&lt;&gt;"EX",0,--(COUNTIFS(nNIA,DATOS!$A13573,nCURSO,DATOS!$D13573,nESPEC,DATOS!$E13573,nASIG,DATOS!$I13573,nEVAL,"OR")=0))</f>
      </c>
      <c r="I13573">
        <f>IF(DATOS!$I13573="","",IFERROR(VLOOKUP(DATOS!$I13573,CONFIG_ASIGNATURAS!$B$2:$J$91,9,FALSE()),""))</f>
      </c>
    </row>
    <row r="13574">
      <c r="F13574">
        <f>IF(DATOS!$A13574="","",DATOS!$A13574&amp;"|"&amp;DATOS!$D13574&amp;"|"&amp;DATOS!$E13574&amp;"|"&amp;DATOS!$I13574)</f>
      </c>
      <c r="G13574">
        <f>IF(DATOS!$A13574="",0,IF(CONFIG_METADATA!$B$4&lt;&gt;"OR+EX",--(DATOS!$G13574=CONFIG_METADATA!$B$4),IF(DATOS!$G13574="EX",1,IF(DATOS!$G13574="OR",--(COUNTIFS(nNIA,DATOS!$A13574,nCURSO,DATOS!$D13574,nESPEC,DATOS!$E13574,nASIG,DATOS!$I13574,nEVAL,"EX")=0),0))))</f>
      </c>
      <c r="H13574">
        <f>IF(DATOS!$G13574&lt;&gt;"EX",0,--(COUNTIFS(nNIA,DATOS!$A13574,nCURSO,DATOS!$D13574,nESPEC,DATOS!$E13574,nASIG,DATOS!$I13574,nEVAL,"OR")=0))</f>
      </c>
      <c r="I13574">
        <f>IF(DATOS!$I13574="","",IFERROR(VLOOKUP(DATOS!$I13574,CONFIG_ASIGNATURAS!$B$2:$J$91,9,FALSE()),""))</f>
      </c>
    </row>
    <row r="13575">
      <c r="F13575">
        <f>IF(DATOS!$A13575="","",DATOS!$A13575&amp;"|"&amp;DATOS!$D13575&amp;"|"&amp;DATOS!$E13575&amp;"|"&amp;DATOS!$I13575)</f>
      </c>
      <c r="G13575">
        <f>IF(DATOS!$A13575="",0,IF(CONFIG_METADATA!$B$4&lt;&gt;"OR+EX",--(DATOS!$G13575=CONFIG_METADATA!$B$4),IF(DATOS!$G13575="EX",1,IF(DATOS!$G13575="OR",--(COUNTIFS(nNIA,DATOS!$A13575,nCURSO,DATOS!$D13575,nESPEC,DATOS!$E13575,nASIG,DATOS!$I13575,nEVAL,"EX")=0),0))))</f>
      </c>
      <c r="H13575">
        <f>IF(DATOS!$G13575&lt;&gt;"EX",0,--(COUNTIFS(nNIA,DATOS!$A13575,nCURSO,DATOS!$D13575,nESPEC,DATOS!$E13575,nASIG,DATOS!$I13575,nEVAL,"OR")=0))</f>
      </c>
      <c r="I13575">
        <f>IF(DATOS!$I13575="","",IFERROR(VLOOKUP(DATOS!$I13575,CONFIG_ASIGNATURAS!$B$2:$J$91,9,FALSE()),""))</f>
      </c>
    </row>
    <row r="13576">
      <c r="F13576">
        <f>IF(DATOS!$A13576="","",DATOS!$A13576&amp;"|"&amp;DATOS!$D13576&amp;"|"&amp;DATOS!$E13576&amp;"|"&amp;DATOS!$I13576)</f>
      </c>
      <c r="G13576">
        <f>IF(DATOS!$A13576="",0,IF(CONFIG_METADATA!$B$4&lt;&gt;"OR+EX",--(DATOS!$G13576=CONFIG_METADATA!$B$4),IF(DATOS!$G13576="EX",1,IF(DATOS!$G13576="OR",--(COUNTIFS(nNIA,DATOS!$A13576,nCURSO,DATOS!$D13576,nESPEC,DATOS!$E13576,nASIG,DATOS!$I13576,nEVAL,"EX")=0),0))))</f>
      </c>
      <c r="H13576">
        <f>IF(DATOS!$G13576&lt;&gt;"EX",0,--(COUNTIFS(nNIA,DATOS!$A13576,nCURSO,DATOS!$D13576,nESPEC,DATOS!$E13576,nASIG,DATOS!$I13576,nEVAL,"OR")=0))</f>
      </c>
      <c r="I13576">
        <f>IF(DATOS!$I13576="","",IFERROR(VLOOKUP(DATOS!$I13576,CONFIG_ASIGNATURAS!$B$2:$J$91,9,FALSE()),""))</f>
      </c>
    </row>
    <row r="13577">
      <c r="F13577">
        <f>IF(DATOS!$A13577="","",DATOS!$A13577&amp;"|"&amp;DATOS!$D13577&amp;"|"&amp;DATOS!$E13577&amp;"|"&amp;DATOS!$I13577)</f>
      </c>
      <c r="G13577">
        <f>IF(DATOS!$A13577="",0,IF(CONFIG_METADATA!$B$4&lt;&gt;"OR+EX",--(DATOS!$G13577=CONFIG_METADATA!$B$4),IF(DATOS!$G13577="EX",1,IF(DATOS!$G13577="OR",--(COUNTIFS(nNIA,DATOS!$A13577,nCURSO,DATOS!$D13577,nESPEC,DATOS!$E13577,nASIG,DATOS!$I13577,nEVAL,"EX")=0),0))))</f>
      </c>
      <c r="H13577">
        <f>IF(DATOS!$G13577&lt;&gt;"EX",0,--(COUNTIFS(nNIA,DATOS!$A13577,nCURSO,DATOS!$D13577,nESPEC,DATOS!$E13577,nASIG,DATOS!$I13577,nEVAL,"OR")=0))</f>
      </c>
      <c r="I13577">
        <f>IF(DATOS!$I13577="","",IFERROR(VLOOKUP(DATOS!$I13577,CONFIG_ASIGNATURAS!$B$2:$J$91,9,FALSE()),""))</f>
      </c>
    </row>
    <row r="13578">
      <c r="F13578">
        <f>IF(DATOS!$A13578="","",DATOS!$A13578&amp;"|"&amp;DATOS!$D13578&amp;"|"&amp;DATOS!$E13578&amp;"|"&amp;DATOS!$I13578)</f>
      </c>
      <c r="G13578">
        <f>IF(DATOS!$A13578="",0,IF(CONFIG_METADATA!$B$4&lt;&gt;"OR+EX",--(DATOS!$G13578=CONFIG_METADATA!$B$4),IF(DATOS!$G13578="EX",1,IF(DATOS!$G13578="OR",--(COUNTIFS(nNIA,DATOS!$A13578,nCURSO,DATOS!$D13578,nESPEC,DATOS!$E13578,nASIG,DATOS!$I13578,nEVAL,"EX")=0),0))))</f>
      </c>
      <c r="H13578">
        <f>IF(DATOS!$G13578&lt;&gt;"EX",0,--(COUNTIFS(nNIA,DATOS!$A13578,nCURSO,DATOS!$D13578,nESPEC,DATOS!$E13578,nASIG,DATOS!$I13578,nEVAL,"OR")=0))</f>
      </c>
      <c r="I13578">
        <f>IF(DATOS!$I13578="","",IFERROR(VLOOKUP(DATOS!$I13578,CONFIG_ASIGNATURAS!$B$2:$J$91,9,FALSE()),""))</f>
      </c>
    </row>
    <row r="13579">
      <c r="F13579">
        <f>IF(DATOS!$A13579="","",DATOS!$A13579&amp;"|"&amp;DATOS!$D13579&amp;"|"&amp;DATOS!$E13579&amp;"|"&amp;DATOS!$I13579)</f>
      </c>
      <c r="G13579">
        <f>IF(DATOS!$A13579="",0,IF(CONFIG_METADATA!$B$4&lt;&gt;"OR+EX",--(DATOS!$G13579=CONFIG_METADATA!$B$4),IF(DATOS!$G13579="EX",1,IF(DATOS!$G13579="OR",--(COUNTIFS(nNIA,DATOS!$A13579,nCURSO,DATOS!$D13579,nESPEC,DATOS!$E13579,nASIG,DATOS!$I13579,nEVAL,"EX")=0),0))))</f>
      </c>
      <c r="H13579">
        <f>IF(DATOS!$G13579&lt;&gt;"EX",0,--(COUNTIFS(nNIA,DATOS!$A13579,nCURSO,DATOS!$D13579,nESPEC,DATOS!$E13579,nASIG,DATOS!$I13579,nEVAL,"OR")=0))</f>
      </c>
      <c r="I13579">
        <f>IF(DATOS!$I13579="","",IFERROR(VLOOKUP(DATOS!$I13579,CONFIG_ASIGNATURAS!$B$2:$J$91,9,FALSE()),""))</f>
      </c>
    </row>
    <row r="13580">
      <c r="F13580">
        <f>IF(DATOS!$A13580="","",DATOS!$A13580&amp;"|"&amp;DATOS!$D13580&amp;"|"&amp;DATOS!$E13580&amp;"|"&amp;DATOS!$I13580)</f>
      </c>
      <c r="G13580">
        <f>IF(DATOS!$A13580="",0,IF(CONFIG_METADATA!$B$4&lt;&gt;"OR+EX",--(DATOS!$G13580=CONFIG_METADATA!$B$4),IF(DATOS!$G13580="EX",1,IF(DATOS!$G13580="OR",--(COUNTIFS(nNIA,DATOS!$A13580,nCURSO,DATOS!$D13580,nESPEC,DATOS!$E13580,nASIG,DATOS!$I13580,nEVAL,"EX")=0),0))))</f>
      </c>
      <c r="H13580">
        <f>IF(DATOS!$G13580&lt;&gt;"EX",0,--(COUNTIFS(nNIA,DATOS!$A13580,nCURSO,DATOS!$D13580,nESPEC,DATOS!$E13580,nASIG,DATOS!$I13580,nEVAL,"OR")=0))</f>
      </c>
      <c r="I13580">
        <f>IF(DATOS!$I13580="","",IFERROR(VLOOKUP(DATOS!$I13580,CONFIG_ASIGNATURAS!$B$2:$J$91,9,FALSE()),""))</f>
      </c>
    </row>
    <row r="13581">
      <c r="F13581">
        <f>IF(DATOS!$A13581="","",DATOS!$A13581&amp;"|"&amp;DATOS!$D13581&amp;"|"&amp;DATOS!$E13581&amp;"|"&amp;DATOS!$I13581)</f>
      </c>
      <c r="G13581">
        <f>IF(DATOS!$A13581="",0,IF(CONFIG_METADATA!$B$4&lt;&gt;"OR+EX",--(DATOS!$G13581=CONFIG_METADATA!$B$4),IF(DATOS!$G13581="EX",1,IF(DATOS!$G13581="OR",--(COUNTIFS(nNIA,DATOS!$A13581,nCURSO,DATOS!$D13581,nESPEC,DATOS!$E13581,nASIG,DATOS!$I13581,nEVAL,"EX")=0),0))))</f>
      </c>
      <c r="H13581">
        <f>IF(DATOS!$G13581&lt;&gt;"EX",0,--(COUNTIFS(nNIA,DATOS!$A13581,nCURSO,DATOS!$D13581,nESPEC,DATOS!$E13581,nASIG,DATOS!$I13581,nEVAL,"OR")=0))</f>
      </c>
      <c r="I13581">
        <f>IF(DATOS!$I13581="","",IFERROR(VLOOKUP(DATOS!$I13581,CONFIG_ASIGNATURAS!$B$2:$J$91,9,FALSE()),""))</f>
      </c>
    </row>
    <row r="13582">
      <c r="F13582">
        <f>IF(DATOS!$A13582="","",DATOS!$A13582&amp;"|"&amp;DATOS!$D13582&amp;"|"&amp;DATOS!$E13582&amp;"|"&amp;DATOS!$I13582)</f>
      </c>
      <c r="G13582">
        <f>IF(DATOS!$A13582="",0,IF(CONFIG_METADATA!$B$4&lt;&gt;"OR+EX",--(DATOS!$G13582=CONFIG_METADATA!$B$4),IF(DATOS!$G13582="EX",1,IF(DATOS!$G13582="OR",--(COUNTIFS(nNIA,DATOS!$A13582,nCURSO,DATOS!$D13582,nESPEC,DATOS!$E13582,nASIG,DATOS!$I13582,nEVAL,"EX")=0),0))))</f>
      </c>
      <c r="H13582">
        <f>IF(DATOS!$G13582&lt;&gt;"EX",0,--(COUNTIFS(nNIA,DATOS!$A13582,nCURSO,DATOS!$D13582,nESPEC,DATOS!$E13582,nASIG,DATOS!$I13582,nEVAL,"OR")=0))</f>
      </c>
      <c r="I13582">
        <f>IF(DATOS!$I13582="","",IFERROR(VLOOKUP(DATOS!$I13582,CONFIG_ASIGNATURAS!$B$2:$J$91,9,FALSE()),""))</f>
      </c>
    </row>
    <row r="13583">
      <c r="F13583">
        <f>IF(DATOS!$A13583="","",DATOS!$A13583&amp;"|"&amp;DATOS!$D13583&amp;"|"&amp;DATOS!$E13583&amp;"|"&amp;DATOS!$I13583)</f>
      </c>
      <c r="G13583">
        <f>IF(DATOS!$A13583="",0,IF(CONFIG_METADATA!$B$4&lt;&gt;"OR+EX",--(DATOS!$G13583=CONFIG_METADATA!$B$4),IF(DATOS!$G13583="EX",1,IF(DATOS!$G13583="OR",--(COUNTIFS(nNIA,DATOS!$A13583,nCURSO,DATOS!$D13583,nESPEC,DATOS!$E13583,nASIG,DATOS!$I13583,nEVAL,"EX")=0),0))))</f>
      </c>
      <c r="H13583">
        <f>IF(DATOS!$G13583&lt;&gt;"EX",0,--(COUNTIFS(nNIA,DATOS!$A13583,nCURSO,DATOS!$D13583,nESPEC,DATOS!$E13583,nASIG,DATOS!$I13583,nEVAL,"OR")=0))</f>
      </c>
      <c r="I13583">
        <f>IF(DATOS!$I13583="","",IFERROR(VLOOKUP(DATOS!$I13583,CONFIG_ASIGNATURAS!$B$2:$J$91,9,FALSE()),""))</f>
      </c>
    </row>
    <row r="13584">
      <c r="F13584">
        <f>IF(DATOS!$A13584="","",DATOS!$A13584&amp;"|"&amp;DATOS!$D13584&amp;"|"&amp;DATOS!$E13584&amp;"|"&amp;DATOS!$I13584)</f>
      </c>
      <c r="G13584">
        <f>IF(DATOS!$A13584="",0,IF(CONFIG_METADATA!$B$4&lt;&gt;"OR+EX",--(DATOS!$G13584=CONFIG_METADATA!$B$4),IF(DATOS!$G13584="EX",1,IF(DATOS!$G13584="OR",--(COUNTIFS(nNIA,DATOS!$A13584,nCURSO,DATOS!$D13584,nESPEC,DATOS!$E13584,nASIG,DATOS!$I13584,nEVAL,"EX")=0),0))))</f>
      </c>
      <c r="H13584">
        <f>IF(DATOS!$G13584&lt;&gt;"EX",0,--(COUNTIFS(nNIA,DATOS!$A13584,nCURSO,DATOS!$D13584,nESPEC,DATOS!$E13584,nASIG,DATOS!$I13584,nEVAL,"OR")=0))</f>
      </c>
      <c r="I13584">
        <f>IF(DATOS!$I13584="","",IFERROR(VLOOKUP(DATOS!$I13584,CONFIG_ASIGNATURAS!$B$2:$J$91,9,FALSE()),""))</f>
      </c>
    </row>
    <row r="13585">
      <c r="F13585">
        <f>IF(DATOS!$A13585="","",DATOS!$A13585&amp;"|"&amp;DATOS!$D13585&amp;"|"&amp;DATOS!$E13585&amp;"|"&amp;DATOS!$I13585)</f>
      </c>
      <c r="G13585">
        <f>IF(DATOS!$A13585="",0,IF(CONFIG_METADATA!$B$4&lt;&gt;"OR+EX",--(DATOS!$G13585=CONFIG_METADATA!$B$4),IF(DATOS!$G13585="EX",1,IF(DATOS!$G13585="OR",--(COUNTIFS(nNIA,DATOS!$A13585,nCURSO,DATOS!$D13585,nESPEC,DATOS!$E13585,nASIG,DATOS!$I13585,nEVAL,"EX")=0),0))))</f>
      </c>
      <c r="H13585">
        <f>IF(DATOS!$G13585&lt;&gt;"EX",0,--(COUNTIFS(nNIA,DATOS!$A13585,nCURSO,DATOS!$D13585,nESPEC,DATOS!$E13585,nASIG,DATOS!$I13585,nEVAL,"OR")=0))</f>
      </c>
      <c r="I13585">
        <f>IF(DATOS!$I13585="","",IFERROR(VLOOKUP(DATOS!$I13585,CONFIG_ASIGNATURAS!$B$2:$J$91,9,FALSE()),""))</f>
      </c>
    </row>
    <row r="13586">
      <c r="F13586">
        <f>IF(DATOS!$A13586="","",DATOS!$A13586&amp;"|"&amp;DATOS!$D13586&amp;"|"&amp;DATOS!$E13586&amp;"|"&amp;DATOS!$I13586)</f>
      </c>
      <c r="G13586">
        <f>IF(DATOS!$A13586="",0,IF(CONFIG_METADATA!$B$4&lt;&gt;"OR+EX",--(DATOS!$G13586=CONFIG_METADATA!$B$4),IF(DATOS!$G13586="EX",1,IF(DATOS!$G13586="OR",--(COUNTIFS(nNIA,DATOS!$A13586,nCURSO,DATOS!$D13586,nESPEC,DATOS!$E13586,nASIG,DATOS!$I13586,nEVAL,"EX")=0),0))))</f>
      </c>
      <c r="H13586">
        <f>IF(DATOS!$G13586&lt;&gt;"EX",0,--(COUNTIFS(nNIA,DATOS!$A13586,nCURSO,DATOS!$D13586,nESPEC,DATOS!$E13586,nASIG,DATOS!$I13586,nEVAL,"OR")=0))</f>
      </c>
      <c r="I13586">
        <f>IF(DATOS!$I13586="","",IFERROR(VLOOKUP(DATOS!$I13586,CONFIG_ASIGNATURAS!$B$2:$J$91,9,FALSE()),""))</f>
      </c>
    </row>
    <row r="13587">
      <c r="F13587">
        <f>IF(DATOS!$A13587="","",DATOS!$A13587&amp;"|"&amp;DATOS!$D13587&amp;"|"&amp;DATOS!$E13587&amp;"|"&amp;DATOS!$I13587)</f>
      </c>
      <c r="G13587">
        <f>IF(DATOS!$A13587="",0,IF(CONFIG_METADATA!$B$4&lt;&gt;"OR+EX",--(DATOS!$G13587=CONFIG_METADATA!$B$4),IF(DATOS!$G13587="EX",1,IF(DATOS!$G13587="OR",--(COUNTIFS(nNIA,DATOS!$A13587,nCURSO,DATOS!$D13587,nESPEC,DATOS!$E13587,nASIG,DATOS!$I13587,nEVAL,"EX")=0),0))))</f>
      </c>
      <c r="H13587">
        <f>IF(DATOS!$G13587&lt;&gt;"EX",0,--(COUNTIFS(nNIA,DATOS!$A13587,nCURSO,DATOS!$D13587,nESPEC,DATOS!$E13587,nASIG,DATOS!$I13587,nEVAL,"OR")=0))</f>
      </c>
      <c r="I13587">
        <f>IF(DATOS!$I13587="","",IFERROR(VLOOKUP(DATOS!$I13587,CONFIG_ASIGNATURAS!$B$2:$J$91,9,FALSE()),""))</f>
      </c>
    </row>
    <row r="13588">
      <c r="F13588">
        <f>IF(DATOS!$A13588="","",DATOS!$A13588&amp;"|"&amp;DATOS!$D13588&amp;"|"&amp;DATOS!$E13588&amp;"|"&amp;DATOS!$I13588)</f>
      </c>
      <c r="G13588">
        <f>IF(DATOS!$A13588="",0,IF(CONFIG_METADATA!$B$4&lt;&gt;"OR+EX",--(DATOS!$G13588=CONFIG_METADATA!$B$4),IF(DATOS!$G13588="EX",1,IF(DATOS!$G13588="OR",--(COUNTIFS(nNIA,DATOS!$A13588,nCURSO,DATOS!$D13588,nESPEC,DATOS!$E13588,nASIG,DATOS!$I13588,nEVAL,"EX")=0),0))))</f>
      </c>
      <c r="H13588">
        <f>IF(DATOS!$G13588&lt;&gt;"EX",0,--(COUNTIFS(nNIA,DATOS!$A13588,nCURSO,DATOS!$D13588,nESPEC,DATOS!$E13588,nASIG,DATOS!$I13588,nEVAL,"OR")=0))</f>
      </c>
      <c r="I13588">
        <f>IF(DATOS!$I13588="","",IFERROR(VLOOKUP(DATOS!$I13588,CONFIG_ASIGNATURAS!$B$2:$J$91,9,FALSE()),""))</f>
      </c>
    </row>
    <row r="13589">
      <c r="F13589">
        <f>IF(DATOS!$A13589="","",DATOS!$A13589&amp;"|"&amp;DATOS!$D13589&amp;"|"&amp;DATOS!$E13589&amp;"|"&amp;DATOS!$I13589)</f>
      </c>
      <c r="G13589">
        <f>IF(DATOS!$A13589="",0,IF(CONFIG_METADATA!$B$4&lt;&gt;"OR+EX",--(DATOS!$G13589=CONFIG_METADATA!$B$4),IF(DATOS!$G13589="EX",1,IF(DATOS!$G13589="OR",--(COUNTIFS(nNIA,DATOS!$A13589,nCURSO,DATOS!$D13589,nESPEC,DATOS!$E13589,nASIG,DATOS!$I13589,nEVAL,"EX")=0),0))))</f>
      </c>
      <c r="H13589">
        <f>IF(DATOS!$G13589&lt;&gt;"EX",0,--(COUNTIFS(nNIA,DATOS!$A13589,nCURSO,DATOS!$D13589,nESPEC,DATOS!$E13589,nASIG,DATOS!$I13589,nEVAL,"OR")=0))</f>
      </c>
      <c r="I13589">
        <f>IF(DATOS!$I13589="","",IFERROR(VLOOKUP(DATOS!$I13589,CONFIG_ASIGNATURAS!$B$2:$J$91,9,FALSE()),""))</f>
      </c>
    </row>
    <row r="13590">
      <c r="F13590">
        <f>IF(DATOS!$A13590="","",DATOS!$A13590&amp;"|"&amp;DATOS!$D13590&amp;"|"&amp;DATOS!$E13590&amp;"|"&amp;DATOS!$I13590)</f>
      </c>
      <c r="G13590">
        <f>IF(DATOS!$A13590="",0,IF(CONFIG_METADATA!$B$4&lt;&gt;"OR+EX",--(DATOS!$G13590=CONFIG_METADATA!$B$4),IF(DATOS!$G13590="EX",1,IF(DATOS!$G13590="OR",--(COUNTIFS(nNIA,DATOS!$A13590,nCURSO,DATOS!$D13590,nESPEC,DATOS!$E13590,nASIG,DATOS!$I13590,nEVAL,"EX")=0),0))))</f>
      </c>
      <c r="H13590">
        <f>IF(DATOS!$G13590&lt;&gt;"EX",0,--(COUNTIFS(nNIA,DATOS!$A13590,nCURSO,DATOS!$D13590,nESPEC,DATOS!$E13590,nASIG,DATOS!$I13590,nEVAL,"OR")=0))</f>
      </c>
      <c r="I13590">
        <f>IF(DATOS!$I13590="","",IFERROR(VLOOKUP(DATOS!$I13590,CONFIG_ASIGNATURAS!$B$2:$J$91,9,FALSE()),""))</f>
      </c>
    </row>
    <row r="13591">
      <c r="F13591">
        <f>IF(DATOS!$A13591="","",DATOS!$A13591&amp;"|"&amp;DATOS!$D13591&amp;"|"&amp;DATOS!$E13591&amp;"|"&amp;DATOS!$I13591)</f>
      </c>
      <c r="G13591">
        <f>IF(DATOS!$A13591="",0,IF(CONFIG_METADATA!$B$4&lt;&gt;"OR+EX",--(DATOS!$G13591=CONFIG_METADATA!$B$4),IF(DATOS!$G13591="EX",1,IF(DATOS!$G13591="OR",--(COUNTIFS(nNIA,DATOS!$A13591,nCURSO,DATOS!$D13591,nESPEC,DATOS!$E13591,nASIG,DATOS!$I13591,nEVAL,"EX")=0),0))))</f>
      </c>
      <c r="H13591">
        <f>IF(DATOS!$G13591&lt;&gt;"EX",0,--(COUNTIFS(nNIA,DATOS!$A13591,nCURSO,DATOS!$D13591,nESPEC,DATOS!$E13591,nASIG,DATOS!$I13591,nEVAL,"OR")=0))</f>
      </c>
      <c r="I13591">
        <f>IF(DATOS!$I13591="","",IFERROR(VLOOKUP(DATOS!$I13591,CONFIG_ASIGNATURAS!$B$2:$J$91,9,FALSE()),""))</f>
      </c>
    </row>
    <row r="13592">
      <c r="F13592">
        <f>IF(DATOS!$A13592="","",DATOS!$A13592&amp;"|"&amp;DATOS!$D13592&amp;"|"&amp;DATOS!$E13592&amp;"|"&amp;DATOS!$I13592)</f>
      </c>
      <c r="G13592">
        <f>IF(DATOS!$A13592="",0,IF(CONFIG_METADATA!$B$4&lt;&gt;"OR+EX",--(DATOS!$G13592=CONFIG_METADATA!$B$4),IF(DATOS!$G13592="EX",1,IF(DATOS!$G13592="OR",--(COUNTIFS(nNIA,DATOS!$A13592,nCURSO,DATOS!$D13592,nESPEC,DATOS!$E13592,nASIG,DATOS!$I13592,nEVAL,"EX")=0),0))))</f>
      </c>
      <c r="H13592">
        <f>IF(DATOS!$G13592&lt;&gt;"EX",0,--(COUNTIFS(nNIA,DATOS!$A13592,nCURSO,DATOS!$D13592,nESPEC,DATOS!$E13592,nASIG,DATOS!$I13592,nEVAL,"OR")=0))</f>
      </c>
      <c r="I13592">
        <f>IF(DATOS!$I13592="","",IFERROR(VLOOKUP(DATOS!$I13592,CONFIG_ASIGNATURAS!$B$2:$J$91,9,FALSE()),""))</f>
      </c>
    </row>
    <row r="13593">
      <c r="F13593">
        <f>IF(DATOS!$A13593="","",DATOS!$A13593&amp;"|"&amp;DATOS!$D13593&amp;"|"&amp;DATOS!$E13593&amp;"|"&amp;DATOS!$I13593)</f>
      </c>
      <c r="G13593">
        <f>IF(DATOS!$A13593="",0,IF(CONFIG_METADATA!$B$4&lt;&gt;"OR+EX",--(DATOS!$G13593=CONFIG_METADATA!$B$4),IF(DATOS!$G13593="EX",1,IF(DATOS!$G13593="OR",--(COUNTIFS(nNIA,DATOS!$A13593,nCURSO,DATOS!$D13593,nESPEC,DATOS!$E13593,nASIG,DATOS!$I13593,nEVAL,"EX")=0),0))))</f>
      </c>
      <c r="H13593">
        <f>IF(DATOS!$G13593&lt;&gt;"EX",0,--(COUNTIFS(nNIA,DATOS!$A13593,nCURSO,DATOS!$D13593,nESPEC,DATOS!$E13593,nASIG,DATOS!$I13593,nEVAL,"OR")=0))</f>
      </c>
      <c r="I13593">
        <f>IF(DATOS!$I13593="","",IFERROR(VLOOKUP(DATOS!$I13593,CONFIG_ASIGNATURAS!$B$2:$J$91,9,FALSE()),""))</f>
      </c>
    </row>
    <row r="13594">
      <c r="F13594">
        <f>IF(DATOS!$A13594="","",DATOS!$A13594&amp;"|"&amp;DATOS!$D13594&amp;"|"&amp;DATOS!$E13594&amp;"|"&amp;DATOS!$I13594)</f>
      </c>
      <c r="G13594">
        <f>IF(DATOS!$A13594="",0,IF(CONFIG_METADATA!$B$4&lt;&gt;"OR+EX",--(DATOS!$G13594=CONFIG_METADATA!$B$4),IF(DATOS!$G13594="EX",1,IF(DATOS!$G13594="OR",--(COUNTIFS(nNIA,DATOS!$A13594,nCURSO,DATOS!$D13594,nESPEC,DATOS!$E13594,nASIG,DATOS!$I13594,nEVAL,"EX")=0),0))))</f>
      </c>
      <c r="H13594">
        <f>IF(DATOS!$G13594&lt;&gt;"EX",0,--(COUNTIFS(nNIA,DATOS!$A13594,nCURSO,DATOS!$D13594,nESPEC,DATOS!$E13594,nASIG,DATOS!$I13594,nEVAL,"OR")=0))</f>
      </c>
      <c r="I13594">
        <f>IF(DATOS!$I13594="","",IFERROR(VLOOKUP(DATOS!$I13594,CONFIG_ASIGNATURAS!$B$2:$J$91,9,FALSE()),""))</f>
      </c>
    </row>
    <row r="13595">
      <c r="F13595">
        <f>IF(DATOS!$A13595="","",DATOS!$A13595&amp;"|"&amp;DATOS!$D13595&amp;"|"&amp;DATOS!$E13595&amp;"|"&amp;DATOS!$I13595)</f>
      </c>
      <c r="G13595">
        <f>IF(DATOS!$A13595="",0,IF(CONFIG_METADATA!$B$4&lt;&gt;"OR+EX",--(DATOS!$G13595=CONFIG_METADATA!$B$4),IF(DATOS!$G13595="EX",1,IF(DATOS!$G13595="OR",--(COUNTIFS(nNIA,DATOS!$A13595,nCURSO,DATOS!$D13595,nESPEC,DATOS!$E13595,nASIG,DATOS!$I13595,nEVAL,"EX")=0),0))))</f>
      </c>
      <c r="H13595">
        <f>IF(DATOS!$G13595&lt;&gt;"EX",0,--(COUNTIFS(nNIA,DATOS!$A13595,nCURSO,DATOS!$D13595,nESPEC,DATOS!$E13595,nASIG,DATOS!$I13595,nEVAL,"OR")=0))</f>
      </c>
      <c r="I13595">
        <f>IF(DATOS!$I13595="","",IFERROR(VLOOKUP(DATOS!$I13595,CONFIG_ASIGNATURAS!$B$2:$J$91,9,FALSE()),""))</f>
      </c>
    </row>
    <row r="13596">
      <c r="F13596">
        <f>IF(DATOS!$A13596="","",DATOS!$A13596&amp;"|"&amp;DATOS!$D13596&amp;"|"&amp;DATOS!$E13596&amp;"|"&amp;DATOS!$I13596)</f>
      </c>
      <c r="G13596">
        <f>IF(DATOS!$A13596="",0,IF(CONFIG_METADATA!$B$4&lt;&gt;"OR+EX",--(DATOS!$G13596=CONFIG_METADATA!$B$4),IF(DATOS!$G13596="EX",1,IF(DATOS!$G13596="OR",--(COUNTIFS(nNIA,DATOS!$A13596,nCURSO,DATOS!$D13596,nESPEC,DATOS!$E13596,nASIG,DATOS!$I13596,nEVAL,"EX")=0),0))))</f>
      </c>
      <c r="H13596">
        <f>IF(DATOS!$G13596&lt;&gt;"EX",0,--(COUNTIFS(nNIA,DATOS!$A13596,nCURSO,DATOS!$D13596,nESPEC,DATOS!$E13596,nASIG,DATOS!$I13596,nEVAL,"OR")=0))</f>
      </c>
      <c r="I13596">
        <f>IF(DATOS!$I13596="","",IFERROR(VLOOKUP(DATOS!$I13596,CONFIG_ASIGNATURAS!$B$2:$J$91,9,FALSE()),""))</f>
      </c>
    </row>
    <row r="13597">
      <c r="F13597">
        <f>IF(DATOS!$A13597="","",DATOS!$A13597&amp;"|"&amp;DATOS!$D13597&amp;"|"&amp;DATOS!$E13597&amp;"|"&amp;DATOS!$I13597)</f>
      </c>
      <c r="G13597">
        <f>IF(DATOS!$A13597="",0,IF(CONFIG_METADATA!$B$4&lt;&gt;"OR+EX",--(DATOS!$G13597=CONFIG_METADATA!$B$4),IF(DATOS!$G13597="EX",1,IF(DATOS!$G13597="OR",--(COUNTIFS(nNIA,DATOS!$A13597,nCURSO,DATOS!$D13597,nESPEC,DATOS!$E13597,nASIG,DATOS!$I13597,nEVAL,"EX")=0),0))))</f>
      </c>
      <c r="H13597">
        <f>IF(DATOS!$G13597&lt;&gt;"EX",0,--(COUNTIFS(nNIA,DATOS!$A13597,nCURSO,DATOS!$D13597,nESPEC,DATOS!$E13597,nASIG,DATOS!$I13597,nEVAL,"OR")=0))</f>
      </c>
      <c r="I13597">
        <f>IF(DATOS!$I13597="","",IFERROR(VLOOKUP(DATOS!$I13597,CONFIG_ASIGNATURAS!$B$2:$J$91,9,FALSE()),""))</f>
      </c>
    </row>
    <row r="13598">
      <c r="F13598">
        <f>IF(DATOS!$A13598="","",DATOS!$A13598&amp;"|"&amp;DATOS!$D13598&amp;"|"&amp;DATOS!$E13598&amp;"|"&amp;DATOS!$I13598)</f>
      </c>
      <c r="G13598">
        <f>IF(DATOS!$A13598="",0,IF(CONFIG_METADATA!$B$4&lt;&gt;"OR+EX",--(DATOS!$G13598=CONFIG_METADATA!$B$4),IF(DATOS!$G13598="EX",1,IF(DATOS!$G13598="OR",--(COUNTIFS(nNIA,DATOS!$A13598,nCURSO,DATOS!$D13598,nESPEC,DATOS!$E13598,nASIG,DATOS!$I13598,nEVAL,"EX")=0),0))))</f>
      </c>
      <c r="H13598">
        <f>IF(DATOS!$G13598&lt;&gt;"EX",0,--(COUNTIFS(nNIA,DATOS!$A13598,nCURSO,DATOS!$D13598,nESPEC,DATOS!$E13598,nASIG,DATOS!$I13598,nEVAL,"OR")=0))</f>
      </c>
      <c r="I13598">
        <f>IF(DATOS!$I13598="","",IFERROR(VLOOKUP(DATOS!$I13598,CONFIG_ASIGNATURAS!$B$2:$J$91,9,FALSE()),""))</f>
      </c>
    </row>
    <row r="13599">
      <c r="F13599">
        <f>IF(DATOS!$A13599="","",DATOS!$A13599&amp;"|"&amp;DATOS!$D13599&amp;"|"&amp;DATOS!$E13599&amp;"|"&amp;DATOS!$I13599)</f>
      </c>
      <c r="G13599">
        <f>IF(DATOS!$A13599="",0,IF(CONFIG_METADATA!$B$4&lt;&gt;"OR+EX",--(DATOS!$G13599=CONFIG_METADATA!$B$4),IF(DATOS!$G13599="EX",1,IF(DATOS!$G13599="OR",--(COUNTIFS(nNIA,DATOS!$A13599,nCURSO,DATOS!$D13599,nESPEC,DATOS!$E13599,nASIG,DATOS!$I13599,nEVAL,"EX")=0),0))))</f>
      </c>
      <c r="H13599">
        <f>IF(DATOS!$G13599&lt;&gt;"EX",0,--(COUNTIFS(nNIA,DATOS!$A13599,nCURSO,DATOS!$D13599,nESPEC,DATOS!$E13599,nASIG,DATOS!$I13599,nEVAL,"OR")=0))</f>
      </c>
      <c r="I13599">
        <f>IF(DATOS!$I13599="","",IFERROR(VLOOKUP(DATOS!$I13599,CONFIG_ASIGNATURAS!$B$2:$J$91,9,FALSE()),""))</f>
      </c>
    </row>
    <row r="13600">
      <c r="F13600">
        <f>IF(DATOS!$A13600="","",DATOS!$A13600&amp;"|"&amp;DATOS!$D13600&amp;"|"&amp;DATOS!$E13600&amp;"|"&amp;DATOS!$I13600)</f>
      </c>
      <c r="G13600">
        <f>IF(DATOS!$A13600="",0,IF(CONFIG_METADATA!$B$4&lt;&gt;"OR+EX",--(DATOS!$G13600=CONFIG_METADATA!$B$4),IF(DATOS!$G13600="EX",1,IF(DATOS!$G13600="OR",--(COUNTIFS(nNIA,DATOS!$A13600,nCURSO,DATOS!$D13600,nESPEC,DATOS!$E13600,nASIG,DATOS!$I13600,nEVAL,"EX")=0),0))))</f>
      </c>
      <c r="H13600">
        <f>IF(DATOS!$G13600&lt;&gt;"EX",0,--(COUNTIFS(nNIA,DATOS!$A13600,nCURSO,DATOS!$D13600,nESPEC,DATOS!$E13600,nASIG,DATOS!$I13600,nEVAL,"OR")=0))</f>
      </c>
      <c r="I13600">
        <f>IF(DATOS!$I13600="","",IFERROR(VLOOKUP(DATOS!$I13600,CONFIG_ASIGNATURAS!$B$2:$J$91,9,FALSE()),""))</f>
      </c>
    </row>
    <row r="13601">
      <c r="F13601">
        <f>IF(DATOS!$A13601="","",DATOS!$A13601&amp;"|"&amp;DATOS!$D13601&amp;"|"&amp;DATOS!$E13601&amp;"|"&amp;DATOS!$I13601)</f>
      </c>
      <c r="G13601">
        <f>IF(DATOS!$A13601="",0,IF(CONFIG_METADATA!$B$4&lt;&gt;"OR+EX",--(DATOS!$G13601=CONFIG_METADATA!$B$4),IF(DATOS!$G13601="EX",1,IF(DATOS!$G13601="OR",--(COUNTIFS(nNIA,DATOS!$A13601,nCURSO,DATOS!$D13601,nESPEC,DATOS!$E13601,nASIG,DATOS!$I13601,nEVAL,"EX")=0),0))))</f>
      </c>
      <c r="H13601">
        <f>IF(DATOS!$G13601&lt;&gt;"EX",0,--(COUNTIFS(nNIA,DATOS!$A13601,nCURSO,DATOS!$D13601,nESPEC,DATOS!$E13601,nASIG,DATOS!$I13601,nEVAL,"OR")=0))</f>
      </c>
      <c r="I13601">
        <f>IF(DATOS!$I13601="","",IFERROR(VLOOKUP(DATOS!$I13601,CONFIG_ASIGNATURAS!$B$2:$J$91,9,FALSE()),""))</f>
      </c>
    </row>
    <row r="13602">
      <c r="F13602">
        <f>IF(DATOS!$A13602="","",DATOS!$A13602&amp;"|"&amp;DATOS!$D13602&amp;"|"&amp;DATOS!$E13602&amp;"|"&amp;DATOS!$I13602)</f>
      </c>
      <c r="G13602">
        <f>IF(DATOS!$A13602="",0,IF(CONFIG_METADATA!$B$4&lt;&gt;"OR+EX",--(DATOS!$G13602=CONFIG_METADATA!$B$4),IF(DATOS!$G13602="EX",1,IF(DATOS!$G13602="OR",--(COUNTIFS(nNIA,DATOS!$A13602,nCURSO,DATOS!$D13602,nESPEC,DATOS!$E13602,nASIG,DATOS!$I13602,nEVAL,"EX")=0),0))))</f>
      </c>
      <c r="H13602">
        <f>IF(DATOS!$G13602&lt;&gt;"EX",0,--(COUNTIFS(nNIA,DATOS!$A13602,nCURSO,DATOS!$D13602,nESPEC,DATOS!$E13602,nASIG,DATOS!$I13602,nEVAL,"OR")=0))</f>
      </c>
      <c r="I13602">
        <f>IF(DATOS!$I13602="","",IFERROR(VLOOKUP(DATOS!$I13602,CONFIG_ASIGNATURAS!$B$2:$J$91,9,FALSE()),""))</f>
      </c>
    </row>
    <row r="13603">
      <c r="F13603">
        <f>IF(DATOS!$A13603="","",DATOS!$A13603&amp;"|"&amp;DATOS!$D13603&amp;"|"&amp;DATOS!$E13603&amp;"|"&amp;DATOS!$I13603)</f>
      </c>
      <c r="G13603">
        <f>IF(DATOS!$A13603="",0,IF(CONFIG_METADATA!$B$4&lt;&gt;"OR+EX",--(DATOS!$G13603=CONFIG_METADATA!$B$4),IF(DATOS!$G13603="EX",1,IF(DATOS!$G13603="OR",--(COUNTIFS(nNIA,DATOS!$A13603,nCURSO,DATOS!$D13603,nESPEC,DATOS!$E13603,nASIG,DATOS!$I13603,nEVAL,"EX")=0),0))))</f>
      </c>
      <c r="H13603">
        <f>IF(DATOS!$G13603&lt;&gt;"EX",0,--(COUNTIFS(nNIA,DATOS!$A13603,nCURSO,DATOS!$D13603,nESPEC,DATOS!$E13603,nASIG,DATOS!$I13603,nEVAL,"OR")=0))</f>
      </c>
      <c r="I13603">
        <f>IF(DATOS!$I13603="","",IFERROR(VLOOKUP(DATOS!$I13603,CONFIG_ASIGNATURAS!$B$2:$J$91,9,FALSE()),""))</f>
      </c>
    </row>
    <row r="13604">
      <c r="F13604">
        <f>IF(DATOS!$A13604="","",DATOS!$A13604&amp;"|"&amp;DATOS!$D13604&amp;"|"&amp;DATOS!$E13604&amp;"|"&amp;DATOS!$I13604)</f>
      </c>
      <c r="G13604">
        <f>IF(DATOS!$A13604="",0,IF(CONFIG_METADATA!$B$4&lt;&gt;"OR+EX",--(DATOS!$G13604=CONFIG_METADATA!$B$4),IF(DATOS!$G13604="EX",1,IF(DATOS!$G13604="OR",--(COUNTIFS(nNIA,DATOS!$A13604,nCURSO,DATOS!$D13604,nESPEC,DATOS!$E13604,nASIG,DATOS!$I13604,nEVAL,"EX")=0),0))))</f>
      </c>
      <c r="H13604">
        <f>IF(DATOS!$G13604&lt;&gt;"EX",0,--(COUNTIFS(nNIA,DATOS!$A13604,nCURSO,DATOS!$D13604,nESPEC,DATOS!$E13604,nASIG,DATOS!$I13604,nEVAL,"OR")=0))</f>
      </c>
      <c r="I13604">
        <f>IF(DATOS!$I13604="","",IFERROR(VLOOKUP(DATOS!$I13604,CONFIG_ASIGNATURAS!$B$2:$J$91,9,FALSE()),""))</f>
      </c>
    </row>
    <row r="13605">
      <c r="F13605">
        <f>IF(DATOS!$A13605="","",DATOS!$A13605&amp;"|"&amp;DATOS!$D13605&amp;"|"&amp;DATOS!$E13605&amp;"|"&amp;DATOS!$I13605)</f>
      </c>
      <c r="G13605">
        <f>IF(DATOS!$A13605="",0,IF(CONFIG_METADATA!$B$4&lt;&gt;"OR+EX",--(DATOS!$G13605=CONFIG_METADATA!$B$4),IF(DATOS!$G13605="EX",1,IF(DATOS!$G13605="OR",--(COUNTIFS(nNIA,DATOS!$A13605,nCURSO,DATOS!$D13605,nESPEC,DATOS!$E13605,nASIG,DATOS!$I13605,nEVAL,"EX")=0),0))))</f>
      </c>
      <c r="H13605">
        <f>IF(DATOS!$G13605&lt;&gt;"EX",0,--(COUNTIFS(nNIA,DATOS!$A13605,nCURSO,DATOS!$D13605,nESPEC,DATOS!$E13605,nASIG,DATOS!$I13605,nEVAL,"OR")=0))</f>
      </c>
      <c r="I13605">
        <f>IF(DATOS!$I13605="","",IFERROR(VLOOKUP(DATOS!$I13605,CONFIG_ASIGNATURAS!$B$2:$J$91,9,FALSE()),""))</f>
      </c>
    </row>
    <row r="13606">
      <c r="F13606">
        <f>IF(DATOS!$A13606="","",DATOS!$A13606&amp;"|"&amp;DATOS!$D13606&amp;"|"&amp;DATOS!$E13606&amp;"|"&amp;DATOS!$I13606)</f>
      </c>
      <c r="G13606">
        <f>IF(DATOS!$A13606="",0,IF(CONFIG_METADATA!$B$4&lt;&gt;"OR+EX",--(DATOS!$G13606=CONFIG_METADATA!$B$4),IF(DATOS!$G13606="EX",1,IF(DATOS!$G13606="OR",--(COUNTIFS(nNIA,DATOS!$A13606,nCURSO,DATOS!$D13606,nESPEC,DATOS!$E13606,nASIG,DATOS!$I13606,nEVAL,"EX")=0),0))))</f>
      </c>
      <c r="H13606">
        <f>IF(DATOS!$G13606&lt;&gt;"EX",0,--(COUNTIFS(nNIA,DATOS!$A13606,nCURSO,DATOS!$D13606,nESPEC,DATOS!$E13606,nASIG,DATOS!$I13606,nEVAL,"OR")=0))</f>
      </c>
      <c r="I13606">
        <f>IF(DATOS!$I13606="","",IFERROR(VLOOKUP(DATOS!$I13606,CONFIG_ASIGNATURAS!$B$2:$J$91,9,FALSE()),""))</f>
      </c>
    </row>
    <row r="13607">
      <c r="F13607">
        <f>IF(DATOS!$A13607="","",DATOS!$A13607&amp;"|"&amp;DATOS!$D13607&amp;"|"&amp;DATOS!$E13607&amp;"|"&amp;DATOS!$I13607)</f>
      </c>
      <c r="G13607">
        <f>IF(DATOS!$A13607="",0,IF(CONFIG_METADATA!$B$4&lt;&gt;"OR+EX",--(DATOS!$G13607=CONFIG_METADATA!$B$4),IF(DATOS!$G13607="EX",1,IF(DATOS!$G13607="OR",--(COUNTIFS(nNIA,DATOS!$A13607,nCURSO,DATOS!$D13607,nESPEC,DATOS!$E13607,nASIG,DATOS!$I13607,nEVAL,"EX")=0),0))))</f>
      </c>
      <c r="H13607">
        <f>IF(DATOS!$G13607&lt;&gt;"EX",0,--(COUNTIFS(nNIA,DATOS!$A13607,nCURSO,DATOS!$D13607,nESPEC,DATOS!$E13607,nASIG,DATOS!$I13607,nEVAL,"OR")=0))</f>
      </c>
      <c r="I13607">
        <f>IF(DATOS!$I13607="","",IFERROR(VLOOKUP(DATOS!$I13607,CONFIG_ASIGNATURAS!$B$2:$J$91,9,FALSE()),""))</f>
      </c>
    </row>
    <row r="13608">
      <c r="F13608">
        <f>IF(DATOS!$A13608="","",DATOS!$A13608&amp;"|"&amp;DATOS!$D13608&amp;"|"&amp;DATOS!$E13608&amp;"|"&amp;DATOS!$I13608)</f>
      </c>
      <c r="G13608">
        <f>IF(DATOS!$A13608="",0,IF(CONFIG_METADATA!$B$4&lt;&gt;"OR+EX",--(DATOS!$G13608=CONFIG_METADATA!$B$4),IF(DATOS!$G13608="EX",1,IF(DATOS!$G13608="OR",--(COUNTIFS(nNIA,DATOS!$A13608,nCURSO,DATOS!$D13608,nESPEC,DATOS!$E13608,nASIG,DATOS!$I13608,nEVAL,"EX")=0),0))))</f>
      </c>
      <c r="H13608">
        <f>IF(DATOS!$G13608&lt;&gt;"EX",0,--(COUNTIFS(nNIA,DATOS!$A13608,nCURSO,DATOS!$D13608,nESPEC,DATOS!$E13608,nASIG,DATOS!$I13608,nEVAL,"OR")=0))</f>
      </c>
      <c r="I13608">
        <f>IF(DATOS!$I13608="","",IFERROR(VLOOKUP(DATOS!$I13608,CONFIG_ASIGNATURAS!$B$2:$J$91,9,FALSE()),""))</f>
      </c>
    </row>
    <row r="13609">
      <c r="F13609">
        <f>IF(DATOS!$A13609="","",DATOS!$A13609&amp;"|"&amp;DATOS!$D13609&amp;"|"&amp;DATOS!$E13609&amp;"|"&amp;DATOS!$I13609)</f>
      </c>
      <c r="G13609">
        <f>IF(DATOS!$A13609="",0,IF(CONFIG_METADATA!$B$4&lt;&gt;"OR+EX",--(DATOS!$G13609=CONFIG_METADATA!$B$4),IF(DATOS!$G13609="EX",1,IF(DATOS!$G13609="OR",--(COUNTIFS(nNIA,DATOS!$A13609,nCURSO,DATOS!$D13609,nESPEC,DATOS!$E13609,nASIG,DATOS!$I13609,nEVAL,"EX")=0),0))))</f>
      </c>
      <c r="H13609">
        <f>IF(DATOS!$G13609&lt;&gt;"EX",0,--(COUNTIFS(nNIA,DATOS!$A13609,nCURSO,DATOS!$D13609,nESPEC,DATOS!$E13609,nASIG,DATOS!$I13609,nEVAL,"OR")=0))</f>
      </c>
      <c r="I13609">
        <f>IF(DATOS!$I13609="","",IFERROR(VLOOKUP(DATOS!$I13609,CONFIG_ASIGNATURAS!$B$2:$J$91,9,FALSE()),""))</f>
      </c>
    </row>
    <row r="13610">
      <c r="F13610">
        <f>IF(DATOS!$A13610="","",DATOS!$A13610&amp;"|"&amp;DATOS!$D13610&amp;"|"&amp;DATOS!$E13610&amp;"|"&amp;DATOS!$I13610)</f>
      </c>
      <c r="G13610">
        <f>IF(DATOS!$A13610="",0,IF(CONFIG_METADATA!$B$4&lt;&gt;"OR+EX",--(DATOS!$G13610=CONFIG_METADATA!$B$4),IF(DATOS!$G13610="EX",1,IF(DATOS!$G13610="OR",--(COUNTIFS(nNIA,DATOS!$A13610,nCURSO,DATOS!$D13610,nESPEC,DATOS!$E13610,nASIG,DATOS!$I13610,nEVAL,"EX")=0),0))))</f>
      </c>
      <c r="H13610">
        <f>IF(DATOS!$G13610&lt;&gt;"EX",0,--(COUNTIFS(nNIA,DATOS!$A13610,nCURSO,DATOS!$D13610,nESPEC,DATOS!$E13610,nASIG,DATOS!$I13610,nEVAL,"OR")=0))</f>
      </c>
      <c r="I13610">
        <f>IF(DATOS!$I13610="","",IFERROR(VLOOKUP(DATOS!$I13610,CONFIG_ASIGNATURAS!$B$2:$J$91,9,FALSE()),""))</f>
      </c>
    </row>
    <row r="13611">
      <c r="F13611">
        <f>IF(DATOS!$A13611="","",DATOS!$A13611&amp;"|"&amp;DATOS!$D13611&amp;"|"&amp;DATOS!$E13611&amp;"|"&amp;DATOS!$I13611)</f>
      </c>
      <c r="G13611">
        <f>IF(DATOS!$A13611="",0,IF(CONFIG_METADATA!$B$4&lt;&gt;"OR+EX",--(DATOS!$G13611=CONFIG_METADATA!$B$4),IF(DATOS!$G13611="EX",1,IF(DATOS!$G13611="OR",--(COUNTIFS(nNIA,DATOS!$A13611,nCURSO,DATOS!$D13611,nESPEC,DATOS!$E13611,nASIG,DATOS!$I13611,nEVAL,"EX")=0),0))))</f>
      </c>
      <c r="H13611">
        <f>IF(DATOS!$G13611&lt;&gt;"EX",0,--(COUNTIFS(nNIA,DATOS!$A13611,nCURSO,DATOS!$D13611,nESPEC,DATOS!$E13611,nASIG,DATOS!$I13611,nEVAL,"OR")=0))</f>
      </c>
      <c r="I13611">
        <f>IF(DATOS!$I13611="","",IFERROR(VLOOKUP(DATOS!$I13611,CONFIG_ASIGNATURAS!$B$2:$J$91,9,FALSE()),""))</f>
      </c>
    </row>
    <row r="13612">
      <c r="F13612">
        <f>IF(DATOS!$A13612="","",DATOS!$A13612&amp;"|"&amp;DATOS!$D13612&amp;"|"&amp;DATOS!$E13612&amp;"|"&amp;DATOS!$I13612)</f>
      </c>
      <c r="G13612">
        <f>IF(DATOS!$A13612="",0,IF(CONFIG_METADATA!$B$4&lt;&gt;"OR+EX",--(DATOS!$G13612=CONFIG_METADATA!$B$4),IF(DATOS!$G13612="EX",1,IF(DATOS!$G13612="OR",--(COUNTIFS(nNIA,DATOS!$A13612,nCURSO,DATOS!$D13612,nESPEC,DATOS!$E13612,nASIG,DATOS!$I13612,nEVAL,"EX")=0),0))))</f>
      </c>
      <c r="H13612">
        <f>IF(DATOS!$G13612&lt;&gt;"EX",0,--(COUNTIFS(nNIA,DATOS!$A13612,nCURSO,DATOS!$D13612,nESPEC,DATOS!$E13612,nASIG,DATOS!$I13612,nEVAL,"OR")=0))</f>
      </c>
      <c r="I13612">
        <f>IF(DATOS!$I13612="","",IFERROR(VLOOKUP(DATOS!$I13612,CONFIG_ASIGNATURAS!$B$2:$J$91,9,FALSE()),""))</f>
      </c>
    </row>
    <row r="13613">
      <c r="F13613">
        <f>IF(DATOS!$A13613="","",DATOS!$A13613&amp;"|"&amp;DATOS!$D13613&amp;"|"&amp;DATOS!$E13613&amp;"|"&amp;DATOS!$I13613)</f>
      </c>
      <c r="G13613">
        <f>IF(DATOS!$A13613="",0,IF(CONFIG_METADATA!$B$4&lt;&gt;"OR+EX",--(DATOS!$G13613=CONFIG_METADATA!$B$4),IF(DATOS!$G13613="EX",1,IF(DATOS!$G13613="OR",--(COUNTIFS(nNIA,DATOS!$A13613,nCURSO,DATOS!$D13613,nESPEC,DATOS!$E13613,nASIG,DATOS!$I13613,nEVAL,"EX")=0),0))))</f>
      </c>
      <c r="H13613">
        <f>IF(DATOS!$G13613&lt;&gt;"EX",0,--(COUNTIFS(nNIA,DATOS!$A13613,nCURSO,DATOS!$D13613,nESPEC,DATOS!$E13613,nASIG,DATOS!$I13613,nEVAL,"OR")=0))</f>
      </c>
      <c r="I13613">
        <f>IF(DATOS!$I13613="","",IFERROR(VLOOKUP(DATOS!$I13613,CONFIG_ASIGNATURAS!$B$2:$J$91,9,FALSE()),""))</f>
      </c>
    </row>
    <row r="13614">
      <c r="F13614">
        <f>IF(DATOS!$A13614="","",DATOS!$A13614&amp;"|"&amp;DATOS!$D13614&amp;"|"&amp;DATOS!$E13614&amp;"|"&amp;DATOS!$I13614)</f>
      </c>
      <c r="G13614">
        <f>IF(DATOS!$A13614="",0,IF(CONFIG_METADATA!$B$4&lt;&gt;"OR+EX",--(DATOS!$G13614=CONFIG_METADATA!$B$4),IF(DATOS!$G13614="EX",1,IF(DATOS!$G13614="OR",--(COUNTIFS(nNIA,DATOS!$A13614,nCURSO,DATOS!$D13614,nESPEC,DATOS!$E13614,nASIG,DATOS!$I13614,nEVAL,"EX")=0),0))))</f>
      </c>
      <c r="H13614">
        <f>IF(DATOS!$G13614&lt;&gt;"EX",0,--(COUNTIFS(nNIA,DATOS!$A13614,nCURSO,DATOS!$D13614,nESPEC,DATOS!$E13614,nASIG,DATOS!$I13614,nEVAL,"OR")=0))</f>
      </c>
      <c r="I13614">
        <f>IF(DATOS!$I13614="","",IFERROR(VLOOKUP(DATOS!$I13614,CONFIG_ASIGNATURAS!$B$2:$J$91,9,FALSE()),""))</f>
      </c>
    </row>
    <row r="13615">
      <c r="F13615">
        <f>IF(DATOS!$A13615="","",DATOS!$A13615&amp;"|"&amp;DATOS!$D13615&amp;"|"&amp;DATOS!$E13615&amp;"|"&amp;DATOS!$I13615)</f>
      </c>
      <c r="G13615">
        <f>IF(DATOS!$A13615="",0,IF(CONFIG_METADATA!$B$4&lt;&gt;"OR+EX",--(DATOS!$G13615=CONFIG_METADATA!$B$4),IF(DATOS!$G13615="EX",1,IF(DATOS!$G13615="OR",--(COUNTIFS(nNIA,DATOS!$A13615,nCURSO,DATOS!$D13615,nESPEC,DATOS!$E13615,nASIG,DATOS!$I13615,nEVAL,"EX")=0),0))))</f>
      </c>
      <c r="H13615">
        <f>IF(DATOS!$G13615&lt;&gt;"EX",0,--(COUNTIFS(nNIA,DATOS!$A13615,nCURSO,DATOS!$D13615,nESPEC,DATOS!$E13615,nASIG,DATOS!$I13615,nEVAL,"OR")=0))</f>
      </c>
      <c r="I13615">
        <f>IF(DATOS!$I13615="","",IFERROR(VLOOKUP(DATOS!$I13615,CONFIG_ASIGNATURAS!$B$2:$J$91,9,FALSE()),""))</f>
      </c>
    </row>
    <row r="13616">
      <c r="F13616">
        <f>IF(DATOS!$A13616="","",DATOS!$A13616&amp;"|"&amp;DATOS!$D13616&amp;"|"&amp;DATOS!$E13616&amp;"|"&amp;DATOS!$I13616)</f>
      </c>
      <c r="G13616">
        <f>IF(DATOS!$A13616="",0,IF(CONFIG_METADATA!$B$4&lt;&gt;"OR+EX",--(DATOS!$G13616=CONFIG_METADATA!$B$4),IF(DATOS!$G13616="EX",1,IF(DATOS!$G13616="OR",--(COUNTIFS(nNIA,DATOS!$A13616,nCURSO,DATOS!$D13616,nESPEC,DATOS!$E13616,nASIG,DATOS!$I13616,nEVAL,"EX")=0),0))))</f>
      </c>
      <c r="H13616">
        <f>IF(DATOS!$G13616&lt;&gt;"EX",0,--(COUNTIFS(nNIA,DATOS!$A13616,nCURSO,DATOS!$D13616,nESPEC,DATOS!$E13616,nASIG,DATOS!$I13616,nEVAL,"OR")=0))</f>
      </c>
      <c r="I13616">
        <f>IF(DATOS!$I13616="","",IFERROR(VLOOKUP(DATOS!$I13616,CONFIG_ASIGNATURAS!$B$2:$J$91,9,FALSE()),""))</f>
      </c>
    </row>
    <row r="13617">
      <c r="F13617">
        <f>IF(DATOS!$A13617="","",DATOS!$A13617&amp;"|"&amp;DATOS!$D13617&amp;"|"&amp;DATOS!$E13617&amp;"|"&amp;DATOS!$I13617)</f>
      </c>
      <c r="G13617">
        <f>IF(DATOS!$A13617="",0,IF(CONFIG_METADATA!$B$4&lt;&gt;"OR+EX",--(DATOS!$G13617=CONFIG_METADATA!$B$4),IF(DATOS!$G13617="EX",1,IF(DATOS!$G13617="OR",--(COUNTIFS(nNIA,DATOS!$A13617,nCURSO,DATOS!$D13617,nESPEC,DATOS!$E13617,nASIG,DATOS!$I13617,nEVAL,"EX")=0),0))))</f>
      </c>
      <c r="H13617">
        <f>IF(DATOS!$G13617&lt;&gt;"EX",0,--(COUNTIFS(nNIA,DATOS!$A13617,nCURSO,DATOS!$D13617,nESPEC,DATOS!$E13617,nASIG,DATOS!$I13617,nEVAL,"OR")=0))</f>
      </c>
      <c r="I13617">
        <f>IF(DATOS!$I13617="","",IFERROR(VLOOKUP(DATOS!$I13617,CONFIG_ASIGNATURAS!$B$2:$J$91,9,FALSE()),""))</f>
      </c>
    </row>
    <row r="13618">
      <c r="F13618">
        <f>IF(DATOS!$A13618="","",DATOS!$A13618&amp;"|"&amp;DATOS!$D13618&amp;"|"&amp;DATOS!$E13618&amp;"|"&amp;DATOS!$I13618)</f>
      </c>
      <c r="G13618">
        <f>IF(DATOS!$A13618="",0,IF(CONFIG_METADATA!$B$4&lt;&gt;"OR+EX",--(DATOS!$G13618=CONFIG_METADATA!$B$4),IF(DATOS!$G13618="EX",1,IF(DATOS!$G13618="OR",--(COUNTIFS(nNIA,DATOS!$A13618,nCURSO,DATOS!$D13618,nESPEC,DATOS!$E13618,nASIG,DATOS!$I13618,nEVAL,"EX")=0),0))))</f>
      </c>
      <c r="H13618">
        <f>IF(DATOS!$G13618&lt;&gt;"EX",0,--(COUNTIFS(nNIA,DATOS!$A13618,nCURSO,DATOS!$D13618,nESPEC,DATOS!$E13618,nASIG,DATOS!$I13618,nEVAL,"OR")=0))</f>
      </c>
      <c r="I13618">
        <f>IF(DATOS!$I13618="","",IFERROR(VLOOKUP(DATOS!$I13618,CONFIG_ASIGNATURAS!$B$2:$J$91,9,FALSE()),""))</f>
      </c>
    </row>
    <row r="13619">
      <c r="F13619">
        <f>IF(DATOS!$A13619="","",DATOS!$A13619&amp;"|"&amp;DATOS!$D13619&amp;"|"&amp;DATOS!$E13619&amp;"|"&amp;DATOS!$I13619)</f>
      </c>
      <c r="G13619">
        <f>IF(DATOS!$A13619="",0,IF(CONFIG_METADATA!$B$4&lt;&gt;"OR+EX",--(DATOS!$G13619=CONFIG_METADATA!$B$4),IF(DATOS!$G13619="EX",1,IF(DATOS!$G13619="OR",--(COUNTIFS(nNIA,DATOS!$A13619,nCURSO,DATOS!$D13619,nESPEC,DATOS!$E13619,nASIG,DATOS!$I13619,nEVAL,"EX")=0),0))))</f>
      </c>
      <c r="H13619">
        <f>IF(DATOS!$G13619&lt;&gt;"EX",0,--(COUNTIFS(nNIA,DATOS!$A13619,nCURSO,DATOS!$D13619,nESPEC,DATOS!$E13619,nASIG,DATOS!$I13619,nEVAL,"OR")=0))</f>
      </c>
      <c r="I13619">
        <f>IF(DATOS!$I13619="","",IFERROR(VLOOKUP(DATOS!$I13619,CONFIG_ASIGNATURAS!$B$2:$J$91,9,FALSE()),""))</f>
      </c>
    </row>
    <row r="13620">
      <c r="F13620">
        <f>IF(DATOS!$A13620="","",DATOS!$A13620&amp;"|"&amp;DATOS!$D13620&amp;"|"&amp;DATOS!$E13620&amp;"|"&amp;DATOS!$I13620)</f>
      </c>
      <c r="G13620">
        <f>IF(DATOS!$A13620="",0,IF(CONFIG_METADATA!$B$4&lt;&gt;"OR+EX",--(DATOS!$G13620=CONFIG_METADATA!$B$4),IF(DATOS!$G13620="EX",1,IF(DATOS!$G13620="OR",--(COUNTIFS(nNIA,DATOS!$A13620,nCURSO,DATOS!$D13620,nESPEC,DATOS!$E13620,nASIG,DATOS!$I13620,nEVAL,"EX")=0),0))))</f>
      </c>
      <c r="H13620">
        <f>IF(DATOS!$G13620&lt;&gt;"EX",0,--(COUNTIFS(nNIA,DATOS!$A13620,nCURSO,DATOS!$D13620,nESPEC,DATOS!$E13620,nASIG,DATOS!$I13620,nEVAL,"OR")=0))</f>
      </c>
      <c r="I13620">
        <f>IF(DATOS!$I13620="","",IFERROR(VLOOKUP(DATOS!$I13620,CONFIG_ASIGNATURAS!$B$2:$J$91,9,FALSE()),""))</f>
      </c>
    </row>
    <row r="13621">
      <c r="F13621">
        <f>IF(DATOS!$A13621="","",DATOS!$A13621&amp;"|"&amp;DATOS!$D13621&amp;"|"&amp;DATOS!$E13621&amp;"|"&amp;DATOS!$I13621)</f>
      </c>
      <c r="G13621">
        <f>IF(DATOS!$A13621="",0,IF(CONFIG_METADATA!$B$4&lt;&gt;"OR+EX",--(DATOS!$G13621=CONFIG_METADATA!$B$4),IF(DATOS!$G13621="EX",1,IF(DATOS!$G13621="OR",--(COUNTIFS(nNIA,DATOS!$A13621,nCURSO,DATOS!$D13621,nESPEC,DATOS!$E13621,nASIG,DATOS!$I13621,nEVAL,"EX")=0),0))))</f>
      </c>
      <c r="H13621">
        <f>IF(DATOS!$G13621&lt;&gt;"EX",0,--(COUNTIFS(nNIA,DATOS!$A13621,nCURSO,DATOS!$D13621,nESPEC,DATOS!$E13621,nASIG,DATOS!$I13621,nEVAL,"OR")=0))</f>
      </c>
      <c r="I13621">
        <f>IF(DATOS!$I13621="","",IFERROR(VLOOKUP(DATOS!$I13621,CONFIG_ASIGNATURAS!$B$2:$J$91,9,FALSE()),""))</f>
      </c>
    </row>
    <row r="13622">
      <c r="F13622">
        <f>IF(DATOS!$A13622="","",DATOS!$A13622&amp;"|"&amp;DATOS!$D13622&amp;"|"&amp;DATOS!$E13622&amp;"|"&amp;DATOS!$I13622)</f>
      </c>
      <c r="G13622">
        <f>IF(DATOS!$A13622="",0,IF(CONFIG_METADATA!$B$4&lt;&gt;"OR+EX",--(DATOS!$G13622=CONFIG_METADATA!$B$4),IF(DATOS!$G13622="EX",1,IF(DATOS!$G13622="OR",--(COUNTIFS(nNIA,DATOS!$A13622,nCURSO,DATOS!$D13622,nESPEC,DATOS!$E13622,nASIG,DATOS!$I13622,nEVAL,"EX")=0),0))))</f>
      </c>
      <c r="H13622">
        <f>IF(DATOS!$G13622&lt;&gt;"EX",0,--(COUNTIFS(nNIA,DATOS!$A13622,nCURSO,DATOS!$D13622,nESPEC,DATOS!$E13622,nASIG,DATOS!$I13622,nEVAL,"OR")=0))</f>
      </c>
      <c r="I13622">
        <f>IF(DATOS!$I13622="","",IFERROR(VLOOKUP(DATOS!$I13622,CONFIG_ASIGNATURAS!$B$2:$J$91,9,FALSE()),""))</f>
      </c>
    </row>
    <row r="13623">
      <c r="F13623">
        <f>IF(DATOS!$A13623="","",DATOS!$A13623&amp;"|"&amp;DATOS!$D13623&amp;"|"&amp;DATOS!$E13623&amp;"|"&amp;DATOS!$I13623)</f>
      </c>
      <c r="G13623">
        <f>IF(DATOS!$A13623="",0,IF(CONFIG_METADATA!$B$4&lt;&gt;"OR+EX",--(DATOS!$G13623=CONFIG_METADATA!$B$4),IF(DATOS!$G13623="EX",1,IF(DATOS!$G13623="OR",--(COUNTIFS(nNIA,DATOS!$A13623,nCURSO,DATOS!$D13623,nESPEC,DATOS!$E13623,nASIG,DATOS!$I13623,nEVAL,"EX")=0),0))))</f>
      </c>
      <c r="H13623">
        <f>IF(DATOS!$G13623&lt;&gt;"EX",0,--(COUNTIFS(nNIA,DATOS!$A13623,nCURSO,DATOS!$D13623,nESPEC,DATOS!$E13623,nASIG,DATOS!$I13623,nEVAL,"OR")=0))</f>
      </c>
      <c r="I13623">
        <f>IF(DATOS!$I13623="","",IFERROR(VLOOKUP(DATOS!$I13623,CONFIG_ASIGNATURAS!$B$2:$J$91,9,FALSE()),""))</f>
      </c>
    </row>
    <row r="13624">
      <c r="F13624">
        <f>IF(DATOS!$A13624="","",DATOS!$A13624&amp;"|"&amp;DATOS!$D13624&amp;"|"&amp;DATOS!$E13624&amp;"|"&amp;DATOS!$I13624)</f>
      </c>
      <c r="G13624">
        <f>IF(DATOS!$A13624="",0,IF(CONFIG_METADATA!$B$4&lt;&gt;"OR+EX",--(DATOS!$G13624=CONFIG_METADATA!$B$4),IF(DATOS!$G13624="EX",1,IF(DATOS!$G13624="OR",--(COUNTIFS(nNIA,DATOS!$A13624,nCURSO,DATOS!$D13624,nESPEC,DATOS!$E13624,nASIG,DATOS!$I13624,nEVAL,"EX")=0),0))))</f>
      </c>
      <c r="H13624">
        <f>IF(DATOS!$G13624&lt;&gt;"EX",0,--(COUNTIFS(nNIA,DATOS!$A13624,nCURSO,DATOS!$D13624,nESPEC,DATOS!$E13624,nASIG,DATOS!$I13624,nEVAL,"OR")=0))</f>
      </c>
      <c r="I13624">
        <f>IF(DATOS!$I13624="","",IFERROR(VLOOKUP(DATOS!$I13624,CONFIG_ASIGNATURAS!$B$2:$J$91,9,FALSE()),""))</f>
      </c>
    </row>
    <row r="13625">
      <c r="F13625">
        <f>IF(DATOS!$A13625="","",DATOS!$A13625&amp;"|"&amp;DATOS!$D13625&amp;"|"&amp;DATOS!$E13625&amp;"|"&amp;DATOS!$I13625)</f>
      </c>
      <c r="G13625">
        <f>IF(DATOS!$A13625="",0,IF(CONFIG_METADATA!$B$4&lt;&gt;"OR+EX",--(DATOS!$G13625=CONFIG_METADATA!$B$4),IF(DATOS!$G13625="EX",1,IF(DATOS!$G13625="OR",--(COUNTIFS(nNIA,DATOS!$A13625,nCURSO,DATOS!$D13625,nESPEC,DATOS!$E13625,nASIG,DATOS!$I13625,nEVAL,"EX")=0),0))))</f>
      </c>
      <c r="H13625">
        <f>IF(DATOS!$G13625&lt;&gt;"EX",0,--(COUNTIFS(nNIA,DATOS!$A13625,nCURSO,DATOS!$D13625,nESPEC,DATOS!$E13625,nASIG,DATOS!$I13625,nEVAL,"OR")=0))</f>
      </c>
      <c r="I13625">
        <f>IF(DATOS!$I13625="","",IFERROR(VLOOKUP(DATOS!$I13625,CONFIG_ASIGNATURAS!$B$2:$J$91,9,FALSE()),""))</f>
      </c>
    </row>
    <row r="13626">
      <c r="F13626">
        <f>IF(DATOS!$A13626="","",DATOS!$A13626&amp;"|"&amp;DATOS!$D13626&amp;"|"&amp;DATOS!$E13626&amp;"|"&amp;DATOS!$I13626)</f>
      </c>
      <c r="G13626">
        <f>IF(DATOS!$A13626="",0,IF(CONFIG_METADATA!$B$4&lt;&gt;"OR+EX",--(DATOS!$G13626=CONFIG_METADATA!$B$4),IF(DATOS!$G13626="EX",1,IF(DATOS!$G13626="OR",--(COUNTIFS(nNIA,DATOS!$A13626,nCURSO,DATOS!$D13626,nESPEC,DATOS!$E13626,nASIG,DATOS!$I13626,nEVAL,"EX")=0),0))))</f>
      </c>
      <c r="H13626">
        <f>IF(DATOS!$G13626&lt;&gt;"EX",0,--(COUNTIFS(nNIA,DATOS!$A13626,nCURSO,DATOS!$D13626,nESPEC,DATOS!$E13626,nASIG,DATOS!$I13626,nEVAL,"OR")=0))</f>
      </c>
      <c r="I13626">
        <f>IF(DATOS!$I13626="","",IFERROR(VLOOKUP(DATOS!$I13626,CONFIG_ASIGNATURAS!$B$2:$J$91,9,FALSE()),""))</f>
      </c>
    </row>
    <row r="13627">
      <c r="F13627">
        <f>IF(DATOS!$A13627="","",DATOS!$A13627&amp;"|"&amp;DATOS!$D13627&amp;"|"&amp;DATOS!$E13627&amp;"|"&amp;DATOS!$I13627)</f>
      </c>
      <c r="G13627">
        <f>IF(DATOS!$A13627="",0,IF(CONFIG_METADATA!$B$4&lt;&gt;"OR+EX",--(DATOS!$G13627=CONFIG_METADATA!$B$4),IF(DATOS!$G13627="EX",1,IF(DATOS!$G13627="OR",--(COUNTIFS(nNIA,DATOS!$A13627,nCURSO,DATOS!$D13627,nESPEC,DATOS!$E13627,nASIG,DATOS!$I13627,nEVAL,"EX")=0),0))))</f>
      </c>
      <c r="H13627">
        <f>IF(DATOS!$G13627&lt;&gt;"EX",0,--(COUNTIFS(nNIA,DATOS!$A13627,nCURSO,DATOS!$D13627,nESPEC,DATOS!$E13627,nASIG,DATOS!$I13627,nEVAL,"OR")=0))</f>
      </c>
      <c r="I13627">
        <f>IF(DATOS!$I13627="","",IFERROR(VLOOKUP(DATOS!$I13627,CONFIG_ASIGNATURAS!$B$2:$J$91,9,FALSE()),""))</f>
      </c>
    </row>
    <row r="13628">
      <c r="F13628">
        <f>IF(DATOS!$A13628="","",DATOS!$A13628&amp;"|"&amp;DATOS!$D13628&amp;"|"&amp;DATOS!$E13628&amp;"|"&amp;DATOS!$I13628)</f>
      </c>
      <c r="G13628">
        <f>IF(DATOS!$A13628="",0,IF(CONFIG_METADATA!$B$4&lt;&gt;"OR+EX",--(DATOS!$G13628=CONFIG_METADATA!$B$4),IF(DATOS!$G13628="EX",1,IF(DATOS!$G13628="OR",--(COUNTIFS(nNIA,DATOS!$A13628,nCURSO,DATOS!$D13628,nESPEC,DATOS!$E13628,nASIG,DATOS!$I13628,nEVAL,"EX")=0),0))))</f>
      </c>
      <c r="H13628">
        <f>IF(DATOS!$G13628&lt;&gt;"EX",0,--(COUNTIFS(nNIA,DATOS!$A13628,nCURSO,DATOS!$D13628,nESPEC,DATOS!$E13628,nASIG,DATOS!$I13628,nEVAL,"OR")=0))</f>
      </c>
      <c r="I13628">
        <f>IF(DATOS!$I13628="","",IFERROR(VLOOKUP(DATOS!$I13628,CONFIG_ASIGNATURAS!$B$2:$J$91,9,FALSE()),""))</f>
      </c>
    </row>
    <row r="13629">
      <c r="F13629">
        <f>IF(DATOS!$A13629="","",DATOS!$A13629&amp;"|"&amp;DATOS!$D13629&amp;"|"&amp;DATOS!$E13629&amp;"|"&amp;DATOS!$I13629)</f>
      </c>
      <c r="G13629">
        <f>IF(DATOS!$A13629="",0,IF(CONFIG_METADATA!$B$4&lt;&gt;"OR+EX",--(DATOS!$G13629=CONFIG_METADATA!$B$4),IF(DATOS!$G13629="EX",1,IF(DATOS!$G13629="OR",--(COUNTIFS(nNIA,DATOS!$A13629,nCURSO,DATOS!$D13629,nESPEC,DATOS!$E13629,nASIG,DATOS!$I13629,nEVAL,"EX")=0),0))))</f>
      </c>
      <c r="H13629">
        <f>IF(DATOS!$G13629&lt;&gt;"EX",0,--(COUNTIFS(nNIA,DATOS!$A13629,nCURSO,DATOS!$D13629,nESPEC,DATOS!$E13629,nASIG,DATOS!$I13629,nEVAL,"OR")=0))</f>
      </c>
      <c r="I13629">
        <f>IF(DATOS!$I13629="","",IFERROR(VLOOKUP(DATOS!$I13629,CONFIG_ASIGNATURAS!$B$2:$J$91,9,FALSE()),""))</f>
      </c>
    </row>
    <row r="13630">
      <c r="F13630">
        <f>IF(DATOS!$A13630="","",DATOS!$A13630&amp;"|"&amp;DATOS!$D13630&amp;"|"&amp;DATOS!$E13630&amp;"|"&amp;DATOS!$I13630)</f>
      </c>
      <c r="G13630">
        <f>IF(DATOS!$A13630="",0,IF(CONFIG_METADATA!$B$4&lt;&gt;"OR+EX",--(DATOS!$G13630=CONFIG_METADATA!$B$4),IF(DATOS!$G13630="EX",1,IF(DATOS!$G13630="OR",--(COUNTIFS(nNIA,DATOS!$A13630,nCURSO,DATOS!$D13630,nESPEC,DATOS!$E13630,nASIG,DATOS!$I13630,nEVAL,"EX")=0),0))))</f>
      </c>
      <c r="H13630">
        <f>IF(DATOS!$G13630&lt;&gt;"EX",0,--(COUNTIFS(nNIA,DATOS!$A13630,nCURSO,DATOS!$D13630,nESPEC,DATOS!$E13630,nASIG,DATOS!$I13630,nEVAL,"OR")=0))</f>
      </c>
      <c r="I13630">
        <f>IF(DATOS!$I13630="","",IFERROR(VLOOKUP(DATOS!$I13630,CONFIG_ASIGNATURAS!$B$2:$J$91,9,FALSE()),""))</f>
      </c>
    </row>
    <row r="13631">
      <c r="F13631">
        <f>IF(DATOS!$A13631="","",DATOS!$A13631&amp;"|"&amp;DATOS!$D13631&amp;"|"&amp;DATOS!$E13631&amp;"|"&amp;DATOS!$I13631)</f>
      </c>
      <c r="G13631">
        <f>IF(DATOS!$A13631="",0,IF(CONFIG_METADATA!$B$4&lt;&gt;"OR+EX",--(DATOS!$G13631=CONFIG_METADATA!$B$4),IF(DATOS!$G13631="EX",1,IF(DATOS!$G13631="OR",--(COUNTIFS(nNIA,DATOS!$A13631,nCURSO,DATOS!$D13631,nESPEC,DATOS!$E13631,nASIG,DATOS!$I13631,nEVAL,"EX")=0),0))))</f>
      </c>
      <c r="H13631">
        <f>IF(DATOS!$G13631&lt;&gt;"EX",0,--(COUNTIFS(nNIA,DATOS!$A13631,nCURSO,DATOS!$D13631,nESPEC,DATOS!$E13631,nASIG,DATOS!$I13631,nEVAL,"OR")=0))</f>
      </c>
      <c r="I13631">
        <f>IF(DATOS!$I13631="","",IFERROR(VLOOKUP(DATOS!$I13631,CONFIG_ASIGNATURAS!$B$2:$J$91,9,FALSE()),""))</f>
      </c>
    </row>
    <row r="13632">
      <c r="F13632">
        <f>IF(DATOS!$A13632="","",DATOS!$A13632&amp;"|"&amp;DATOS!$D13632&amp;"|"&amp;DATOS!$E13632&amp;"|"&amp;DATOS!$I13632)</f>
      </c>
      <c r="G13632">
        <f>IF(DATOS!$A13632="",0,IF(CONFIG_METADATA!$B$4&lt;&gt;"OR+EX",--(DATOS!$G13632=CONFIG_METADATA!$B$4),IF(DATOS!$G13632="EX",1,IF(DATOS!$G13632="OR",--(COUNTIFS(nNIA,DATOS!$A13632,nCURSO,DATOS!$D13632,nESPEC,DATOS!$E13632,nASIG,DATOS!$I13632,nEVAL,"EX")=0),0))))</f>
      </c>
      <c r="H13632">
        <f>IF(DATOS!$G13632&lt;&gt;"EX",0,--(COUNTIFS(nNIA,DATOS!$A13632,nCURSO,DATOS!$D13632,nESPEC,DATOS!$E13632,nASIG,DATOS!$I13632,nEVAL,"OR")=0))</f>
      </c>
      <c r="I13632">
        <f>IF(DATOS!$I13632="","",IFERROR(VLOOKUP(DATOS!$I13632,CONFIG_ASIGNATURAS!$B$2:$J$91,9,FALSE()),""))</f>
      </c>
    </row>
    <row r="13633">
      <c r="F13633">
        <f>IF(DATOS!$A13633="","",DATOS!$A13633&amp;"|"&amp;DATOS!$D13633&amp;"|"&amp;DATOS!$E13633&amp;"|"&amp;DATOS!$I13633)</f>
      </c>
      <c r="G13633">
        <f>IF(DATOS!$A13633="",0,IF(CONFIG_METADATA!$B$4&lt;&gt;"OR+EX",--(DATOS!$G13633=CONFIG_METADATA!$B$4),IF(DATOS!$G13633="EX",1,IF(DATOS!$G13633="OR",--(COUNTIFS(nNIA,DATOS!$A13633,nCURSO,DATOS!$D13633,nESPEC,DATOS!$E13633,nASIG,DATOS!$I13633,nEVAL,"EX")=0),0))))</f>
      </c>
      <c r="H13633">
        <f>IF(DATOS!$G13633&lt;&gt;"EX",0,--(COUNTIFS(nNIA,DATOS!$A13633,nCURSO,DATOS!$D13633,nESPEC,DATOS!$E13633,nASIG,DATOS!$I13633,nEVAL,"OR")=0))</f>
      </c>
      <c r="I13633">
        <f>IF(DATOS!$I13633="","",IFERROR(VLOOKUP(DATOS!$I13633,CONFIG_ASIGNATURAS!$B$2:$J$91,9,FALSE()),""))</f>
      </c>
    </row>
    <row r="13634">
      <c r="F13634">
        <f>IF(DATOS!$A13634="","",DATOS!$A13634&amp;"|"&amp;DATOS!$D13634&amp;"|"&amp;DATOS!$E13634&amp;"|"&amp;DATOS!$I13634)</f>
      </c>
      <c r="G13634">
        <f>IF(DATOS!$A13634="",0,IF(CONFIG_METADATA!$B$4&lt;&gt;"OR+EX",--(DATOS!$G13634=CONFIG_METADATA!$B$4),IF(DATOS!$G13634="EX",1,IF(DATOS!$G13634="OR",--(COUNTIFS(nNIA,DATOS!$A13634,nCURSO,DATOS!$D13634,nESPEC,DATOS!$E13634,nASIG,DATOS!$I13634,nEVAL,"EX")=0),0))))</f>
      </c>
      <c r="H13634">
        <f>IF(DATOS!$G13634&lt;&gt;"EX",0,--(COUNTIFS(nNIA,DATOS!$A13634,nCURSO,DATOS!$D13634,nESPEC,DATOS!$E13634,nASIG,DATOS!$I13634,nEVAL,"OR")=0))</f>
      </c>
      <c r="I13634">
        <f>IF(DATOS!$I13634="","",IFERROR(VLOOKUP(DATOS!$I13634,CONFIG_ASIGNATURAS!$B$2:$J$91,9,FALSE()),""))</f>
      </c>
    </row>
    <row r="13635">
      <c r="F13635">
        <f>IF(DATOS!$A13635="","",DATOS!$A13635&amp;"|"&amp;DATOS!$D13635&amp;"|"&amp;DATOS!$E13635&amp;"|"&amp;DATOS!$I13635)</f>
      </c>
      <c r="G13635">
        <f>IF(DATOS!$A13635="",0,IF(CONFIG_METADATA!$B$4&lt;&gt;"OR+EX",--(DATOS!$G13635=CONFIG_METADATA!$B$4),IF(DATOS!$G13635="EX",1,IF(DATOS!$G13635="OR",--(COUNTIFS(nNIA,DATOS!$A13635,nCURSO,DATOS!$D13635,nESPEC,DATOS!$E13635,nASIG,DATOS!$I13635,nEVAL,"EX")=0),0))))</f>
      </c>
      <c r="H13635">
        <f>IF(DATOS!$G13635&lt;&gt;"EX",0,--(COUNTIFS(nNIA,DATOS!$A13635,nCURSO,DATOS!$D13635,nESPEC,DATOS!$E13635,nASIG,DATOS!$I13635,nEVAL,"OR")=0))</f>
      </c>
      <c r="I13635">
        <f>IF(DATOS!$I13635="","",IFERROR(VLOOKUP(DATOS!$I13635,CONFIG_ASIGNATURAS!$B$2:$J$91,9,FALSE()),""))</f>
      </c>
    </row>
    <row r="13636">
      <c r="F13636">
        <f>IF(DATOS!$A13636="","",DATOS!$A13636&amp;"|"&amp;DATOS!$D13636&amp;"|"&amp;DATOS!$E13636&amp;"|"&amp;DATOS!$I13636)</f>
      </c>
      <c r="G13636">
        <f>IF(DATOS!$A13636="",0,IF(CONFIG_METADATA!$B$4&lt;&gt;"OR+EX",--(DATOS!$G13636=CONFIG_METADATA!$B$4),IF(DATOS!$G13636="EX",1,IF(DATOS!$G13636="OR",--(COUNTIFS(nNIA,DATOS!$A13636,nCURSO,DATOS!$D13636,nESPEC,DATOS!$E13636,nASIG,DATOS!$I13636,nEVAL,"EX")=0),0))))</f>
      </c>
      <c r="H13636">
        <f>IF(DATOS!$G13636&lt;&gt;"EX",0,--(COUNTIFS(nNIA,DATOS!$A13636,nCURSO,DATOS!$D13636,nESPEC,DATOS!$E13636,nASIG,DATOS!$I13636,nEVAL,"OR")=0))</f>
      </c>
      <c r="I13636">
        <f>IF(DATOS!$I13636="","",IFERROR(VLOOKUP(DATOS!$I13636,CONFIG_ASIGNATURAS!$B$2:$J$91,9,FALSE()),""))</f>
      </c>
    </row>
    <row r="13637">
      <c r="F13637">
        <f>IF(DATOS!$A13637="","",DATOS!$A13637&amp;"|"&amp;DATOS!$D13637&amp;"|"&amp;DATOS!$E13637&amp;"|"&amp;DATOS!$I13637)</f>
      </c>
      <c r="G13637">
        <f>IF(DATOS!$A13637="",0,IF(CONFIG_METADATA!$B$4&lt;&gt;"OR+EX",--(DATOS!$G13637=CONFIG_METADATA!$B$4),IF(DATOS!$G13637="EX",1,IF(DATOS!$G13637="OR",--(COUNTIFS(nNIA,DATOS!$A13637,nCURSO,DATOS!$D13637,nESPEC,DATOS!$E13637,nASIG,DATOS!$I13637,nEVAL,"EX")=0),0))))</f>
      </c>
      <c r="H13637">
        <f>IF(DATOS!$G13637&lt;&gt;"EX",0,--(COUNTIFS(nNIA,DATOS!$A13637,nCURSO,DATOS!$D13637,nESPEC,DATOS!$E13637,nASIG,DATOS!$I13637,nEVAL,"OR")=0))</f>
      </c>
      <c r="I13637">
        <f>IF(DATOS!$I13637="","",IFERROR(VLOOKUP(DATOS!$I13637,CONFIG_ASIGNATURAS!$B$2:$J$91,9,FALSE()),""))</f>
      </c>
    </row>
    <row r="13638">
      <c r="F13638">
        <f>IF(DATOS!$A13638="","",DATOS!$A13638&amp;"|"&amp;DATOS!$D13638&amp;"|"&amp;DATOS!$E13638&amp;"|"&amp;DATOS!$I13638)</f>
      </c>
      <c r="G13638">
        <f>IF(DATOS!$A13638="",0,IF(CONFIG_METADATA!$B$4&lt;&gt;"OR+EX",--(DATOS!$G13638=CONFIG_METADATA!$B$4),IF(DATOS!$G13638="EX",1,IF(DATOS!$G13638="OR",--(COUNTIFS(nNIA,DATOS!$A13638,nCURSO,DATOS!$D13638,nESPEC,DATOS!$E13638,nASIG,DATOS!$I13638,nEVAL,"EX")=0),0))))</f>
      </c>
      <c r="H13638">
        <f>IF(DATOS!$G13638&lt;&gt;"EX",0,--(COUNTIFS(nNIA,DATOS!$A13638,nCURSO,DATOS!$D13638,nESPEC,DATOS!$E13638,nASIG,DATOS!$I13638,nEVAL,"OR")=0))</f>
      </c>
      <c r="I13638">
        <f>IF(DATOS!$I13638="","",IFERROR(VLOOKUP(DATOS!$I13638,CONFIG_ASIGNATURAS!$B$2:$J$91,9,FALSE()),""))</f>
      </c>
    </row>
    <row r="13639">
      <c r="F13639">
        <f>IF(DATOS!$A13639="","",DATOS!$A13639&amp;"|"&amp;DATOS!$D13639&amp;"|"&amp;DATOS!$E13639&amp;"|"&amp;DATOS!$I13639)</f>
      </c>
      <c r="G13639">
        <f>IF(DATOS!$A13639="",0,IF(CONFIG_METADATA!$B$4&lt;&gt;"OR+EX",--(DATOS!$G13639=CONFIG_METADATA!$B$4),IF(DATOS!$G13639="EX",1,IF(DATOS!$G13639="OR",--(COUNTIFS(nNIA,DATOS!$A13639,nCURSO,DATOS!$D13639,nESPEC,DATOS!$E13639,nASIG,DATOS!$I13639,nEVAL,"EX")=0),0))))</f>
      </c>
      <c r="H13639">
        <f>IF(DATOS!$G13639&lt;&gt;"EX",0,--(COUNTIFS(nNIA,DATOS!$A13639,nCURSO,DATOS!$D13639,nESPEC,DATOS!$E13639,nASIG,DATOS!$I13639,nEVAL,"OR")=0))</f>
      </c>
      <c r="I13639">
        <f>IF(DATOS!$I13639="","",IFERROR(VLOOKUP(DATOS!$I13639,CONFIG_ASIGNATURAS!$B$2:$J$91,9,FALSE()),""))</f>
      </c>
    </row>
    <row r="13640">
      <c r="F13640">
        <f>IF(DATOS!$A13640="","",DATOS!$A13640&amp;"|"&amp;DATOS!$D13640&amp;"|"&amp;DATOS!$E13640&amp;"|"&amp;DATOS!$I13640)</f>
      </c>
      <c r="G13640">
        <f>IF(DATOS!$A13640="",0,IF(CONFIG_METADATA!$B$4&lt;&gt;"OR+EX",--(DATOS!$G13640=CONFIG_METADATA!$B$4),IF(DATOS!$G13640="EX",1,IF(DATOS!$G13640="OR",--(COUNTIFS(nNIA,DATOS!$A13640,nCURSO,DATOS!$D13640,nESPEC,DATOS!$E13640,nASIG,DATOS!$I13640,nEVAL,"EX")=0),0))))</f>
      </c>
      <c r="H13640">
        <f>IF(DATOS!$G13640&lt;&gt;"EX",0,--(COUNTIFS(nNIA,DATOS!$A13640,nCURSO,DATOS!$D13640,nESPEC,DATOS!$E13640,nASIG,DATOS!$I13640,nEVAL,"OR")=0))</f>
      </c>
      <c r="I13640">
        <f>IF(DATOS!$I13640="","",IFERROR(VLOOKUP(DATOS!$I13640,CONFIG_ASIGNATURAS!$B$2:$J$91,9,FALSE()),""))</f>
      </c>
    </row>
    <row r="13641">
      <c r="F13641">
        <f>IF(DATOS!$A13641="","",DATOS!$A13641&amp;"|"&amp;DATOS!$D13641&amp;"|"&amp;DATOS!$E13641&amp;"|"&amp;DATOS!$I13641)</f>
      </c>
      <c r="G13641">
        <f>IF(DATOS!$A13641="",0,IF(CONFIG_METADATA!$B$4&lt;&gt;"OR+EX",--(DATOS!$G13641=CONFIG_METADATA!$B$4),IF(DATOS!$G13641="EX",1,IF(DATOS!$G13641="OR",--(COUNTIFS(nNIA,DATOS!$A13641,nCURSO,DATOS!$D13641,nESPEC,DATOS!$E13641,nASIG,DATOS!$I13641,nEVAL,"EX")=0),0))))</f>
      </c>
      <c r="H13641">
        <f>IF(DATOS!$G13641&lt;&gt;"EX",0,--(COUNTIFS(nNIA,DATOS!$A13641,nCURSO,DATOS!$D13641,nESPEC,DATOS!$E13641,nASIG,DATOS!$I13641,nEVAL,"OR")=0))</f>
      </c>
      <c r="I13641">
        <f>IF(DATOS!$I13641="","",IFERROR(VLOOKUP(DATOS!$I13641,CONFIG_ASIGNATURAS!$B$2:$J$91,9,FALSE()),""))</f>
      </c>
    </row>
    <row r="13642">
      <c r="F13642">
        <f>IF(DATOS!$A13642="","",DATOS!$A13642&amp;"|"&amp;DATOS!$D13642&amp;"|"&amp;DATOS!$E13642&amp;"|"&amp;DATOS!$I13642)</f>
      </c>
      <c r="G13642">
        <f>IF(DATOS!$A13642="",0,IF(CONFIG_METADATA!$B$4&lt;&gt;"OR+EX",--(DATOS!$G13642=CONFIG_METADATA!$B$4),IF(DATOS!$G13642="EX",1,IF(DATOS!$G13642="OR",--(COUNTIFS(nNIA,DATOS!$A13642,nCURSO,DATOS!$D13642,nESPEC,DATOS!$E13642,nASIG,DATOS!$I13642,nEVAL,"EX")=0),0))))</f>
      </c>
      <c r="H13642">
        <f>IF(DATOS!$G13642&lt;&gt;"EX",0,--(COUNTIFS(nNIA,DATOS!$A13642,nCURSO,DATOS!$D13642,nESPEC,DATOS!$E13642,nASIG,DATOS!$I13642,nEVAL,"OR")=0))</f>
      </c>
      <c r="I13642">
        <f>IF(DATOS!$I13642="","",IFERROR(VLOOKUP(DATOS!$I13642,CONFIG_ASIGNATURAS!$B$2:$J$91,9,FALSE()),""))</f>
      </c>
    </row>
    <row r="13643">
      <c r="F13643">
        <f>IF(DATOS!$A13643="","",DATOS!$A13643&amp;"|"&amp;DATOS!$D13643&amp;"|"&amp;DATOS!$E13643&amp;"|"&amp;DATOS!$I13643)</f>
      </c>
      <c r="G13643">
        <f>IF(DATOS!$A13643="",0,IF(CONFIG_METADATA!$B$4&lt;&gt;"OR+EX",--(DATOS!$G13643=CONFIG_METADATA!$B$4),IF(DATOS!$G13643="EX",1,IF(DATOS!$G13643="OR",--(COUNTIFS(nNIA,DATOS!$A13643,nCURSO,DATOS!$D13643,nESPEC,DATOS!$E13643,nASIG,DATOS!$I13643,nEVAL,"EX")=0),0))))</f>
      </c>
      <c r="H13643">
        <f>IF(DATOS!$G13643&lt;&gt;"EX",0,--(COUNTIFS(nNIA,DATOS!$A13643,nCURSO,DATOS!$D13643,nESPEC,DATOS!$E13643,nASIG,DATOS!$I13643,nEVAL,"OR")=0))</f>
      </c>
      <c r="I13643">
        <f>IF(DATOS!$I13643="","",IFERROR(VLOOKUP(DATOS!$I13643,CONFIG_ASIGNATURAS!$B$2:$J$91,9,FALSE()),""))</f>
      </c>
    </row>
    <row r="13644">
      <c r="F13644">
        <f>IF(DATOS!$A13644="","",DATOS!$A13644&amp;"|"&amp;DATOS!$D13644&amp;"|"&amp;DATOS!$E13644&amp;"|"&amp;DATOS!$I13644)</f>
      </c>
      <c r="G13644">
        <f>IF(DATOS!$A13644="",0,IF(CONFIG_METADATA!$B$4&lt;&gt;"OR+EX",--(DATOS!$G13644=CONFIG_METADATA!$B$4),IF(DATOS!$G13644="EX",1,IF(DATOS!$G13644="OR",--(COUNTIFS(nNIA,DATOS!$A13644,nCURSO,DATOS!$D13644,nESPEC,DATOS!$E13644,nASIG,DATOS!$I13644,nEVAL,"EX")=0),0))))</f>
      </c>
      <c r="H13644">
        <f>IF(DATOS!$G13644&lt;&gt;"EX",0,--(COUNTIFS(nNIA,DATOS!$A13644,nCURSO,DATOS!$D13644,nESPEC,DATOS!$E13644,nASIG,DATOS!$I13644,nEVAL,"OR")=0))</f>
      </c>
      <c r="I13644">
        <f>IF(DATOS!$I13644="","",IFERROR(VLOOKUP(DATOS!$I13644,CONFIG_ASIGNATURAS!$B$2:$J$91,9,FALSE()),""))</f>
      </c>
    </row>
    <row r="13645">
      <c r="F13645">
        <f>IF(DATOS!$A13645="","",DATOS!$A13645&amp;"|"&amp;DATOS!$D13645&amp;"|"&amp;DATOS!$E13645&amp;"|"&amp;DATOS!$I13645)</f>
      </c>
      <c r="G13645">
        <f>IF(DATOS!$A13645="",0,IF(CONFIG_METADATA!$B$4&lt;&gt;"OR+EX",--(DATOS!$G13645=CONFIG_METADATA!$B$4),IF(DATOS!$G13645="EX",1,IF(DATOS!$G13645="OR",--(COUNTIFS(nNIA,DATOS!$A13645,nCURSO,DATOS!$D13645,nESPEC,DATOS!$E13645,nASIG,DATOS!$I13645,nEVAL,"EX")=0),0))))</f>
      </c>
      <c r="H13645">
        <f>IF(DATOS!$G13645&lt;&gt;"EX",0,--(COUNTIFS(nNIA,DATOS!$A13645,nCURSO,DATOS!$D13645,nESPEC,DATOS!$E13645,nASIG,DATOS!$I13645,nEVAL,"OR")=0))</f>
      </c>
      <c r="I13645">
        <f>IF(DATOS!$I13645="","",IFERROR(VLOOKUP(DATOS!$I13645,CONFIG_ASIGNATURAS!$B$2:$J$91,9,FALSE()),""))</f>
      </c>
    </row>
    <row r="13646">
      <c r="F13646">
        <f>IF(DATOS!$A13646="","",DATOS!$A13646&amp;"|"&amp;DATOS!$D13646&amp;"|"&amp;DATOS!$E13646&amp;"|"&amp;DATOS!$I13646)</f>
      </c>
      <c r="G13646">
        <f>IF(DATOS!$A13646="",0,IF(CONFIG_METADATA!$B$4&lt;&gt;"OR+EX",--(DATOS!$G13646=CONFIG_METADATA!$B$4),IF(DATOS!$G13646="EX",1,IF(DATOS!$G13646="OR",--(COUNTIFS(nNIA,DATOS!$A13646,nCURSO,DATOS!$D13646,nESPEC,DATOS!$E13646,nASIG,DATOS!$I13646,nEVAL,"EX")=0),0))))</f>
      </c>
      <c r="H13646">
        <f>IF(DATOS!$G13646&lt;&gt;"EX",0,--(COUNTIFS(nNIA,DATOS!$A13646,nCURSO,DATOS!$D13646,nESPEC,DATOS!$E13646,nASIG,DATOS!$I13646,nEVAL,"OR")=0))</f>
      </c>
      <c r="I13646">
        <f>IF(DATOS!$I13646="","",IFERROR(VLOOKUP(DATOS!$I13646,CONFIG_ASIGNATURAS!$B$2:$J$91,9,FALSE()),""))</f>
      </c>
    </row>
    <row r="13647">
      <c r="F13647">
        <f>IF(DATOS!$A13647="","",DATOS!$A13647&amp;"|"&amp;DATOS!$D13647&amp;"|"&amp;DATOS!$E13647&amp;"|"&amp;DATOS!$I13647)</f>
      </c>
      <c r="G13647">
        <f>IF(DATOS!$A13647="",0,IF(CONFIG_METADATA!$B$4&lt;&gt;"OR+EX",--(DATOS!$G13647=CONFIG_METADATA!$B$4),IF(DATOS!$G13647="EX",1,IF(DATOS!$G13647="OR",--(COUNTIFS(nNIA,DATOS!$A13647,nCURSO,DATOS!$D13647,nESPEC,DATOS!$E13647,nASIG,DATOS!$I13647,nEVAL,"EX")=0),0))))</f>
      </c>
      <c r="H13647">
        <f>IF(DATOS!$G13647&lt;&gt;"EX",0,--(COUNTIFS(nNIA,DATOS!$A13647,nCURSO,DATOS!$D13647,nESPEC,DATOS!$E13647,nASIG,DATOS!$I13647,nEVAL,"OR")=0))</f>
      </c>
      <c r="I13647">
        <f>IF(DATOS!$I13647="","",IFERROR(VLOOKUP(DATOS!$I13647,CONFIG_ASIGNATURAS!$B$2:$J$91,9,FALSE()),""))</f>
      </c>
    </row>
    <row r="13648">
      <c r="F13648">
        <f>IF(DATOS!$A13648="","",DATOS!$A13648&amp;"|"&amp;DATOS!$D13648&amp;"|"&amp;DATOS!$E13648&amp;"|"&amp;DATOS!$I13648)</f>
      </c>
      <c r="G13648">
        <f>IF(DATOS!$A13648="",0,IF(CONFIG_METADATA!$B$4&lt;&gt;"OR+EX",--(DATOS!$G13648=CONFIG_METADATA!$B$4),IF(DATOS!$G13648="EX",1,IF(DATOS!$G13648="OR",--(COUNTIFS(nNIA,DATOS!$A13648,nCURSO,DATOS!$D13648,nESPEC,DATOS!$E13648,nASIG,DATOS!$I13648,nEVAL,"EX")=0),0))))</f>
      </c>
      <c r="H13648">
        <f>IF(DATOS!$G13648&lt;&gt;"EX",0,--(COUNTIFS(nNIA,DATOS!$A13648,nCURSO,DATOS!$D13648,nESPEC,DATOS!$E13648,nASIG,DATOS!$I13648,nEVAL,"OR")=0))</f>
      </c>
      <c r="I13648">
        <f>IF(DATOS!$I13648="","",IFERROR(VLOOKUP(DATOS!$I13648,CONFIG_ASIGNATURAS!$B$2:$J$91,9,FALSE()),""))</f>
      </c>
    </row>
    <row r="13649">
      <c r="F13649">
        <f>IF(DATOS!$A13649="","",DATOS!$A13649&amp;"|"&amp;DATOS!$D13649&amp;"|"&amp;DATOS!$E13649&amp;"|"&amp;DATOS!$I13649)</f>
      </c>
      <c r="G13649">
        <f>IF(DATOS!$A13649="",0,IF(CONFIG_METADATA!$B$4&lt;&gt;"OR+EX",--(DATOS!$G13649=CONFIG_METADATA!$B$4),IF(DATOS!$G13649="EX",1,IF(DATOS!$G13649="OR",--(COUNTIFS(nNIA,DATOS!$A13649,nCURSO,DATOS!$D13649,nESPEC,DATOS!$E13649,nASIG,DATOS!$I13649,nEVAL,"EX")=0),0))))</f>
      </c>
      <c r="H13649">
        <f>IF(DATOS!$G13649&lt;&gt;"EX",0,--(COUNTIFS(nNIA,DATOS!$A13649,nCURSO,DATOS!$D13649,nESPEC,DATOS!$E13649,nASIG,DATOS!$I13649,nEVAL,"OR")=0))</f>
      </c>
      <c r="I13649">
        <f>IF(DATOS!$I13649="","",IFERROR(VLOOKUP(DATOS!$I13649,CONFIG_ASIGNATURAS!$B$2:$J$91,9,FALSE()),""))</f>
      </c>
    </row>
    <row r="13650">
      <c r="F13650">
        <f>IF(DATOS!$A13650="","",DATOS!$A13650&amp;"|"&amp;DATOS!$D13650&amp;"|"&amp;DATOS!$E13650&amp;"|"&amp;DATOS!$I13650)</f>
      </c>
      <c r="G13650">
        <f>IF(DATOS!$A13650="",0,IF(CONFIG_METADATA!$B$4&lt;&gt;"OR+EX",--(DATOS!$G13650=CONFIG_METADATA!$B$4),IF(DATOS!$G13650="EX",1,IF(DATOS!$G13650="OR",--(COUNTIFS(nNIA,DATOS!$A13650,nCURSO,DATOS!$D13650,nESPEC,DATOS!$E13650,nASIG,DATOS!$I13650,nEVAL,"EX")=0),0))))</f>
      </c>
      <c r="H13650">
        <f>IF(DATOS!$G13650&lt;&gt;"EX",0,--(COUNTIFS(nNIA,DATOS!$A13650,nCURSO,DATOS!$D13650,nESPEC,DATOS!$E13650,nASIG,DATOS!$I13650,nEVAL,"OR")=0))</f>
      </c>
      <c r="I13650">
        <f>IF(DATOS!$I13650="","",IFERROR(VLOOKUP(DATOS!$I13650,CONFIG_ASIGNATURAS!$B$2:$J$91,9,FALSE()),""))</f>
      </c>
    </row>
    <row r="13651">
      <c r="F13651">
        <f>IF(DATOS!$A13651="","",DATOS!$A13651&amp;"|"&amp;DATOS!$D13651&amp;"|"&amp;DATOS!$E13651&amp;"|"&amp;DATOS!$I13651)</f>
      </c>
      <c r="G13651">
        <f>IF(DATOS!$A13651="",0,IF(CONFIG_METADATA!$B$4&lt;&gt;"OR+EX",--(DATOS!$G13651=CONFIG_METADATA!$B$4),IF(DATOS!$G13651="EX",1,IF(DATOS!$G13651="OR",--(COUNTIFS(nNIA,DATOS!$A13651,nCURSO,DATOS!$D13651,nESPEC,DATOS!$E13651,nASIG,DATOS!$I13651,nEVAL,"EX")=0),0))))</f>
      </c>
      <c r="H13651">
        <f>IF(DATOS!$G13651&lt;&gt;"EX",0,--(COUNTIFS(nNIA,DATOS!$A13651,nCURSO,DATOS!$D13651,nESPEC,DATOS!$E13651,nASIG,DATOS!$I13651,nEVAL,"OR")=0))</f>
      </c>
      <c r="I13651">
        <f>IF(DATOS!$I13651="","",IFERROR(VLOOKUP(DATOS!$I13651,CONFIG_ASIGNATURAS!$B$2:$J$91,9,FALSE()),""))</f>
      </c>
    </row>
    <row r="13652">
      <c r="F13652">
        <f>IF(DATOS!$A13652="","",DATOS!$A13652&amp;"|"&amp;DATOS!$D13652&amp;"|"&amp;DATOS!$E13652&amp;"|"&amp;DATOS!$I13652)</f>
      </c>
      <c r="G13652">
        <f>IF(DATOS!$A13652="",0,IF(CONFIG_METADATA!$B$4&lt;&gt;"OR+EX",--(DATOS!$G13652=CONFIG_METADATA!$B$4),IF(DATOS!$G13652="EX",1,IF(DATOS!$G13652="OR",--(COUNTIFS(nNIA,DATOS!$A13652,nCURSO,DATOS!$D13652,nESPEC,DATOS!$E13652,nASIG,DATOS!$I13652,nEVAL,"EX")=0),0))))</f>
      </c>
      <c r="H13652">
        <f>IF(DATOS!$G13652&lt;&gt;"EX",0,--(COUNTIFS(nNIA,DATOS!$A13652,nCURSO,DATOS!$D13652,nESPEC,DATOS!$E13652,nASIG,DATOS!$I13652,nEVAL,"OR")=0))</f>
      </c>
      <c r="I13652">
        <f>IF(DATOS!$I13652="","",IFERROR(VLOOKUP(DATOS!$I13652,CONFIG_ASIGNATURAS!$B$2:$J$91,9,FALSE()),""))</f>
      </c>
    </row>
    <row r="13653">
      <c r="F13653">
        <f>IF(DATOS!$A13653="","",DATOS!$A13653&amp;"|"&amp;DATOS!$D13653&amp;"|"&amp;DATOS!$E13653&amp;"|"&amp;DATOS!$I13653)</f>
      </c>
      <c r="G13653">
        <f>IF(DATOS!$A13653="",0,IF(CONFIG_METADATA!$B$4&lt;&gt;"OR+EX",--(DATOS!$G13653=CONFIG_METADATA!$B$4),IF(DATOS!$G13653="EX",1,IF(DATOS!$G13653="OR",--(COUNTIFS(nNIA,DATOS!$A13653,nCURSO,DATOS!$D13653,nESPEC,DATOS!$E13653,nASIG,DATOS!$I13653,nEVAL,"EX")=0),0))))</f>
      </c>
      <c r="H13653">
        <f>IF(DATOS!$G13653&lt;&gt;"EX",0,--(COUNTIFS(nNIA,DATOS!$A13653,nCURSO,DATOS!$D13653,nESPEC,DATOS!$E13653,nASIG,DATOS!$I13653,nEVAL,"OR")=0))</f>
      </c>
      <c r="I13653">
        <f>IF(DATOS!$I13653="","",IFERROR(VLOOKUP(DATOS!$I13653,CONFIG_ASIGNATURAS!$B$2:$J$91,9,FALSE()),""))</f>
      </c>
    </row>
    <row r="13654">
      <c r="F13654">
        <f>IF(DATOS!$A13654="","",DATOS!$A13654&amp;"|"&amp;DATOS!$D13654&amp;"|"&amp;DATOS!$E13654&amp;"|"&amp;DATOS!$I13654)</f>
      </c>
      <c r="G13654">
        <f>IF(DATOS!$A13654="",0,IF(CONFIG_METADATA!$B$4&lt;&gt;"OR+EX",--(DATOS!$G13654=CONFIG_METADATA!$B$4),IF(DATOS!$G13654="EX",1,IF(DATOS!$G13654="OR",--(COUNTIFS(nNIA,DATOS!$A13654,nCURSO,DATOS!$D13654,nESPEC,DATOS!$E13654,nASIG,DATOS!$I13654,nEVAL,"EX")=0),0))))</f>
      </c>
      <c r="H13654">
        <f>IF(DATOS!$G13654&lt;&gt;"EX",0,--(COUNTIFS(nNIA,DATOS!$A13654,nCURSO,DATOS!$D13654,nESPEC,DATOS!$E13654,nASIG,DATOS!$I13654,nEVAL,"OR")=0))</f>
      </c>
      <c r="I13654">
        <f>IF(DATOS!$I13654="","",IFERROR(VLOOKUP(DATOS!$I13654,CONFIG_ASIGNATURAS!$B$2:$J$91,9,FALSE()),""))</f>
      </c>
    </row>
    <row r="13655">
      <c r="F13655">
        <f>IF(DATOS!$A13655="","",DATOS!$A13655&amp;"|"&amp;DATOS!$D13655&amp;"|"&amp;DATOS!$E13655&amp;"|"&amp;DATOS!$I13655)</f>
      </c>
      <c r="G13655">
        <f>IF(DATOS!$A13655="",0,IF(CONFIG_METADATA!$B$4&lt;&gt;"OR+EX",--(DATOS!$G13655=CONFIG_METADATA!$B$4),IF(DATOS!$G13655="EX",1,IF(DATOS!$G13655="OR",--(COUNTIFS(nNIA,DATOS!$A13655,nCURSO,DATOS!$D13655,nESPEC,DATOS!$E13655,nASIG,DATOS!$I13655,nEVAL,"EX")=0),0))))</f>
      </c>
      <c r="H13655">
        <f>IF(DATOS!$G13655&lt;&gt;"EX",0,--(COUNTIFS(nNIA,DATOS!$A13655,nCURSO,DATOS!$D13655,nESPEC,DATOS!$E13655,nASIG,DATOS!$I13655,nEVAL,"OR")=0))</f>
      </c>
      <c r="I13655">
        <f>IF(DATOS!$I13655="","",IFERROR(VLOOKUP(DATOS!$I13655,CONFIG_ASIGNATURAS!$B$2:$J$91,9,FALSE()),""))</f>
      </c>
    </row>
    <row r="13656">
      <c r="F13656">
        <f>IF(DATOS!$A13656="","",DATOS!$A13656&amp;"|"&amp;DATOS!$D13656&amp;"|"&amp;DATOS!$E13656&amp;"|"&amp;DATOS!$I13656)</f>
      </c>
      <c r="G13656">
        <f>IF(DATOS!$A13656="",0,IF(CONFIG_METADATA!$B$4&lt;&gt;"OR+EX",--(DATOS!$G13656=CONFIG_METADATA!$B$4),IF(DATOS!$G13656="EX",1,IF(DATOS!$G13656="OR",--(COUNTIFS(nNIA,DATOS!$A13656,nCURSO,DATOS!$D13656,nESPEC,DATOS!$E13656,nASIG,DATOS!$I13656,nEVAL,"EX")=0),0))))</f>
      </c>
      <c r="H13656">
        <f>IF(DATOS!$G13656&lt;&gt;"EX",0,--(COUNTIFS(nNIA,DATOS!$A13656,nCURSO,DATOS!$D13656,nESPEC,DATOS!$E13656,nASIG,DATOS!$I13656,nEVAL,"OR")=0))</f>
      </c>
      <c r="I13656">
        <f>IF(DATOS!$I13656="","",IFERROR(VLOOKUP(DATOS!$I13656,CONFIG_ASIGNATURAS!$B$2:$J$91,9,FALSE()),""))</f>
      </c>
    </row>
    <row r="13657">
      <c r="F13657">
        <f>IF(DATOS!$A13657="","",DATOS!$A13657&amp;"|"&amp;DATOS!$D13657&amp;"|"&amp;DATOS!$E13657&amp;"|"&amp;DATOS!$I13657)</f>
      </c>
      <c r="G13657">
        <f>IF(DATOS!$A13657="",0,IF(CONFIG_METADATA!$B$4&lt;&gt;"OR+EX",--(DATOS!$G13657=CONFIG_METADATA!$B$4),IF(DATOS!$G13657="EX",1,IF(DATOS!$G13657="OR",--(COUNTIFS(nNIA,DATOS!$A13657,nCURSO,DATOS!$D13657,nESPEC,DATOS!$E13657,nASIG,DATOS!$I13657,nEVAL,"EX")=0),0))))</f>
      </c>
      <c r="H13657">
        <f>IF(DATOS!$G13657&lt;&gt;"EX",0,--(COUNTIFS(nNIA,DATOS!$A13657,nCURSO,DATOS!$D13657,nESPEC,DATOS!$E13657,nASIG,DATOS!$I13657,nEVAL,"OR")=0))</f>
      </c>
      <c r="I13657">
        <f>IF(DATOS!$I13657="","",IFERROR(VLOOKUP(DATOS!$I13657,CONFIG_ASIGNATURAS!$B$2:$J$91,9,FALSE()),""))</f>
      </c>
    </row>
    <row r="13658">
      <c r="F13658">
        <f>IF(DATOS!$A13658="","",DATOS!$A13658&amp;"|"&amp;DATOS!$D13658&amp;"|"&amp;DATOS!$E13658&amp;"|"&amp;DATOS!$I13658)</f>
      </c>
      <c r="G13658">
        <f>IF(DATOS!$A13658="",0,IF(CONFIG_METADATA!$B$4&lt;&gt;"OR+EX",--(DATOS!$G13658=CONFIG_METADATA!$B$4),IF(DATOS!$G13658="EX",1,IF(DATOS!$G13658="OR",--(COUNTIFS(nNIA,DATOS!$A13658,nCURSO,DATOS!$D13658,nESPEC,DATOS!$E13658,nASIG,DATOS!$I13658,nEVAL,"EX")=0),0))))</f>
      </c>
      <c r="H13658">
        <f>IF(DATOS!$G13658&lt;&gt;"EX",0,--(COUNTIFS(nNIA,DATOS!$A13658,nCURSO,DATOS!$D13658,nESPEC,DATOS!$E13658,nASIG,DATOS!$I13658,nEVAL,"OR")=0))</f>
      </c>
      <c r="I13658">
        <f>IF(DATOS!$I13658="","",IFERROR(VLOOKUP(DATOS!$I13658,CONFIG_ASIGNATURAS!$B$2:$J$91,9,FALSE()),""))</f>
      </c>
    </row>
    <row r="13659">
      <c r="F13659">
        <f>IF(DATOS!$A13659="","",DATOS!$A13659&amp;"|"&amp;DATOS!$D13659&amp;"|"&amp;DATOS!$E13659&amp;"|"&amp;DATOS!$I13659)</f>
      </c>
      <c r="G13659">
        <f>IF(DATOS!$A13659="",0,IF(CONFIG_METADATA!$B$4&lt;&gt;"OR+EX",--(DATOS!$G13659=CONFIG_METADATA!$B$4),IF(DATOS!$G13659="EX",1,IF(DATOS!$G13659="OR",--(COUNTIFS(nNIA,DATOS!$A13659,nCURSO,DATOS!$D13659,nESPEC,DATOS!$E13659,nASIG,DATOS!$I13659,nEVAL,"EX")=0),0))))</f>
      </c>
      <c r="H13659">
        <f>IF(DATOS!$G13659&lt;&gt;"EX",0,--(COUNTIFS(nNIA,DATOS!$A13659,nCURSO,DATOS!$D13659,nESPEC,DATOS!$E13659,nASIG,DATOS!$I13659,nEVAL,"OR")=0))</f>
      </c>
      <c r="I13659">
        <f>IF(DATOS!$I13659="","",IFERROR(VLOOKUP(DATOS!$I13659,CONFIG_ASIGNATURAS!$B$2:$J$91,9,FALSE()),""))</f>
      </c>
    </row>
    <row r="13660">
      <c r="F13660">
        <f>IF(DATOS!$A13660="","",DATOS!$A13660&amp;"|"&amp;DATOS!$D13660&amp;"|"&amp;DATOS!$E13660&amp;"|"&amp;DATOS!$I13660)</f>
      </c>
      <c r="G13660">
        <f>IF(DATOS!$A13660="",0,IF(CONFIG_METADATA!$B$4&lt;&gt;"OR+EX",--(DATOS!$G13660=CONFIG_METADATA!$B$4),IF(DATOS!$G13660="EX",1,IF(DATOS!$G13660="OR",--(COUNTIFS(nNIA,DATOS!$A13660,nCURSO,DATOS!$D13660,nESPEC,DATOS!$E13660,nASIG,DATOS!$I13660,nEVAL,"EX")=0),0))))</f>
      </c>
      <c r="H13660">
        <f>IF(DATOS!$G13660&lt;&gt;"EX",0,--(COUNTIFS(nNIA,DATOS!$A13660,nCURSO,DATOS!$D13660,nESPEC,DATOS!$E13660,nASIG,DATOS!$I13660,nEVAL,"OR")=0))</f>
      </c>
      <c r="I13660">
        <f>IF(DATOS!$I13660="","",IFERROR(VLOOKUP(DATOS!$I13660,CONFIG_ASIGNATURAS!$B$2:$J$91,9,FALSE()),""))</f>
      </c>
    </row>
    <row r="13661">
      <c r="F13661">
        <f>IF(DATOS!$A13661="","",DATOS!$A13661&amp;"|"&amp;DATOS!$D13661&amp;"|"&amp;DATOS!$E13661&amp;"|"&amp;DATOS!$I13661)</f>
      </c>
      <c r="G13661">
        <f>IF(DATOS!$A13661="",0,IF(CONFIG_METADATA!$B$4&lt;&gt;"OR+EX",--(DATOS!$G13661=CONFIG_METADATA!$B$4),IF(DATOS!$G13661="EX",1,IF(DATOS!$G13661="OR",--(COUNTIFS(nNIA,DATOS!$A13661,nCURSO,DATOS!$D13661,nESPEC,DATOS!$E13661,nASIG,DATOS!$I13661,nEVAL,"EX")=0),0))))</f>
      </c>
      <c r="H13661">
        <f>IF(DATOS!$G13661&lt;&gt;"EX",0,--(COUNTIFS(nNIA,DATOS!$A13661,nCURSO,DATOS!$D13661,nESPEC,DATOS!$E13661,nASIG,DATOS!$I13661,nEVAL,"OR")=0))</f>
      </c>
      <c r="I13661">
        <f>IF(DATOS!$I13661="","",IFERROR(VLOOKUP(DATOS!$I13661,CONFIG_ASIGNATURAS!$B$2:$J$91,9,FALSE()),""))</f>
      </c>
    </row>
    <row r="13662">
      <c r="F13662">
        <f>IF(DATOS!$A13662="","",DATOS!$A13662&amp;"|"&amp;DATOS!$D13662&amp;"|"&amp;DATOS!$E13662&amp;"|"&amp;DATOS!$I13662)</f>
      </c>
      <c r="G13662">
        <f>IF(DATOS!$A13662="",0,IF(CONFIG_METADATA!$B$4&lt;&gt;"OR+EX",--(DATOS!$G13662=CONFIG_METADATA!$B$4),IF(DATOS!$G13662="EX",1,IF(DATOS!$G13662="OR",--(COUNTIFS(nNIA,DATOS!$A13662,nCURSO,DATOS!$D13662,nESPEC,DATOS!$E13662,nASIG,DATOS!$I13662,nEVAL,"EX")=0),0))))</f>
      </c>
      <c r="H13662">
        <f>IF(DATOS!$G13662&lt;&gt;"EX",0,--(COUNTIFS(nNIA,DATOS!$A13662,nCURSO,DATOS!$D13662,nESPEC,DATOS!$E13662,nASIG,DATOS!$I13662,nEVAL,"OR")=0))</f>
      </c>
      <c r="I13662">
        <f>IF(DATOS!$I13662="","",IFERROR(VLOOKUP(DATOS!$I13662,CONFIG_ASIGNATURAS!$B$2:$J$91,9,FALSE()),""))</f>
      </c>
    </row>
    <row r="13663">
      <c r="F13663">
        <f>IF(DATOS!$A13663="","",DATOS!$A13663&amp;"|"&amp;DATOS!$D13663&amp;"|"&amp;DATOS!$E13663&amp;"|"&amp;DATOS!$I13663)</f>
      </c>
      <c r="G13663">
        <f>IF(DATOS!$A13663="",0,IF(CONFIG_METADATA!$B$4&lt;&gt;"OR+EX",--(DATOS!$G13663=CONFIG_METADATA!$B$4),IF(DATOS!$G13663="EX",1,IF(DATOS!$G13663="OR",--(COUNTIFS(nNIA,DATOS!$A13663,nCURSO,DATOS!$D13663,nESPEC,DATOS!$E13663,nASIG,DATOS!$I13663,nEVAL,"EX")=0),0))))</f>
      </c>
      <c r="H13663">
        <f>IF(DATOS!$G13663&lt;&gt;"EX",0,--(COUNTIFS(nNIA,DATOS!$A13663,nCURSO,DATOS!$D13663,nESPEC,DATOS!$E13663,nASIG,DATOS!$I13663,nEVAL,"OR")=0))</f>
      </c>
      <c r="I13663">
        <f>IF(DATOS!$I13663="","",IFERROR(VLOOKUP(DATOS!$I13663,CONFIG_ASIGNATURAS!$B$2:$J$91,9,FALSE()),""))</f>
      </c>
    </row>
    <row r="13664">
      <c r="F13664">
        <f>IF(DATOS!$A13664="","",DATOS!$A13664&amp;"|"&amp;DATOS!$D13664&amp;"|"&amp;DATOS!$E13664&amp;"|"&amp;DATOS!$I13664)</f>
      </c>
      <c r="G13664">
        <f>IF(DATOS!$A13664="",0,IF(CONFIG_METADATA!$B$4&lt;&gt;"OR+EX",--(DATOS!$G13664=CONFIG_METADATA!$B$4),IF(DATOS!$G13664="EX",1,IF(DATOS!$G13664="OR",--(COUNTIFS(nNIA,DATOS!$A13664,nCURSO,DATOS!$D13664,nESPEC,DATOS!$E13664,nASIG,DATOS!$I13664,nEVAL,"EX")=0),0))))</f>
      </c>
      <c r="H13664">
        <f>IF(DATOS!$G13664&lt;&gt;"EX",0,--(COUNTIFS(nNIA,DATOS!$A13664,nCURSO,DATOS!$D13664,nESPEC,DATOS!$E13664,nASIG,DATOS!$I13664,nEVAL,"OR")=0))</f>
      </c>
      <c r="I13664">
        <f>IF(DATOS!$I13664="","",IFERROR(VLOOKUP(DATOS!$I13664,CONFIG_ASIGNATURAS!$B$2:$J$91,9,FALSE()),""))</f>
      </c>
    </row>
    <row r="13665">
      <c r="F13665">
        <f>IF(DATOS!$A13665="","",DATOS!$A13665&amp;"|"&amp;DATOS!$D13665&amp;"|"&amp;DATOS!$E13665&amp;"|"&amp;DATOS!$I13665)</f>
      </c>
      <c r="G13665">
        <f>IF(DATOS!$A13665="",0,IF(CONFIG_METADATA!$B$4&lt;&gt;"OR+EX",--(DATOS!$G13665=CONFIG_METADATA!$B$4),IF(DATOS!$G13665="EX",1,IF(DATOS!$G13665="OR",--(COUNTIFS(nNIA,DATOS!$A13665,nCURSO,DATOS!$D13665,nESPEC,DATOS!$E13665,nASIG,DATOS!$I13665,nEVAL,"EX")=0),0))))</f>
      </c>
      <c r="H13665">
        <f>IF(DATOS!$G13665&lt;&gt;"EX",0,--(COUNTIFS(nNIA,DATOS!$A13665,nCURSO,DATOS!$D13665,nESPEC,DATOS!$E13665,nASIG,DATOS!$I13665,nEVAL,"OR")=0))</f>
      </c>
      <c r="I13665">
        <f>IF(DATOS!$I13665="","",IFERROR(VLOOKUP(DATOS!$I13665,CONFIG_ASIGNATURAS!$B$2:$J$91,9,FALSE()),""))</f>
      </c>
    </row>
    <row r="13666">
      <c r="F13666">
        <f>IF(DATOS!$A13666="","",DATOS!$A13666&amp;"|"&amp;DATOS!$D13666&amp;"|"&amp;DATOS!$E13666&amp;"|"&amp;DATOS!$I13666)</f>
      </c>
      <c r="G13666">
        <f>IF(DATOS!$A13666="",0,IF(CONFIG_METADATA!$B$4&lt;&gt;"OR+EX",--(DATOS!$G13666=CONFIG_METADATA!$B$4),IF(DATOS!$G13666="EX",1,IF(DATOS!$G13666="OR",--(COUNTIFS(nNIA,DATOS!$A13666,nCURSO,DATOS!$D13666,nESPEC,DATOS!$E13666,nASIG,DATOS!$I13666,nEVAL,"EX")=0),0))))</f>
      </c>
      <c r="H13666">
        <f>IF(DATOS!$G13666&lt;&gt;"EX",0,--(COUNTIFS(nNIA,DATOS!$A13666,nCURSO,DATOS!$D13666,nESPEC,DATOS!$E13666,nASIG,DATOS!$I13666,nEVAL,"OR")=0))</f>
      </c>
      <c r="I13666">
        <f>IF(DATOS!$I13666="","",IFERROR(VLOOKUP(DATOS!$I13666,CONFIG_ASIGNATURAS!$B$2:$J$91,9,FALSE()),""))</f>
      </c>
    </row>
    <row r="13667">
      <c r="F13667">
        <f>IF(DATOS!$A13667="","",DATOS!$A13667&amp;"|"&amp;DATOS!$D13667&amp;"|"&amp;DATOS!$E13667&amp;"|"&amp;DATOS!$I13667)</f>
      </c>
      <c r="G13667">
        <f>IF(DATOS!$A13667="",0,IF(CONFIG_METADATA!$B$4&lt;&gt;"OR+EX",--(DATOS!$G13667=CONFIG_METADATA!$B$4),IF(DATOS!$G13667="EX",1,IF(DATOS!$G13667="OR",--(COUNTIFS(nNIA,DATOS!$A13667,nCURSO,DATOS!$D13667,nESPEC,DATOS!$E13667,nASIG,DATOS!$I13667,nEVAL,"EX")=0),0))))</f>
      </c>
      <c r="H13667">
        <f>IF(DATOS!$G13667&lt;&gt;"EX",0,--(COUNTIFS(nNIA,DATOS!$A13667,nCURSO,DATOS!$D13667,nESPEC,DATOS!$E13667,nASIG,DATOS!$I13667,nEVAL,"OR")=0))</f>
      </c>
      <c r="I13667">
        <f>IF(DATOS!$I13667="","",IFERROR(VLOOKUP(DATOS!$I13667,CONFIG_ASIGNATURAS!$B$2:$J$91,9,FALSE()),""))</f>
      </c>
    </row>
    <row r="13668">
      <c r="F13668">
        <f>IF(DATOS!$A13668="","",DATOS!$A13668&amp;"|"&amp;DATOS!$D13668&amp;"|"&amp;DATOS!$E13668&amp;"|"&amp;DATOS!$I13668)</f>
      </c>
      <c r="G13668">
        <f>IF(DATOS!$A13668="",0,IF(CONFIG_METADATA!$B$4&lt;&gt;"OR+EX",--(DATOS!$G13668=CONFIG_METADATA!$B$4),IF(DATOS!$G13668="EX",1,IF(DATOS!$G13668="OR",--(COUNTIFS(nNIA,DATOS!$A13668,nCURSO,DATOS!$D13668,nESPEC,DATOS!$E13668,nASIG,DATOS!$I13668,nEVAL,"EX")=0),0))))</f>
      </c>
      <c r="H13668">
        <f>IF(DATOS!$G13668&lt;&gt;"EX",0,--(COUNTIFS(nNIA,DATOS!$A13668,nCURSO,DATOS!$D13668,nESPEC,DATOS!$E13668,nASIG,DATOS!$I13668,nEVAL,"OR")=0))</f>
      </c>
      <c r="I13668">
        <f>IF(DATOS!$I13668="","",IFERROR(VLOOKUP(DATOS!$I13668,CONFIG_ASIGNATURAS!$B$2:$J$91,9,FALSE()),""))</f>
      </c>
    </row>
    <row r="13669">
      <c r="F13669">
        <f>IF(DATOS!$A13669="","",DATOS!$A13669&amp;"|"&amp;DATOS!$D13669&amp;"|"&amp;DATOS!$E13669&amp;"|"&amp;DATOS!$I13669)</f>
      </c>
      <c r="G13669">
        <f>IF(DATOS!$A13669="",0,IF(CONFIG_METADATA!$B$4&lt;&gt;"OR+EX",--(DATOS!$G13669=CONFIG_METADATA!$B$4),IF(DATOS!$G13669="EX",1,IF(DATOS!$G13669="OR",--(COUNTIFS(nNIA,DATOS!$A13669,nCURSO,DATOS!$D13669,nESPEC,DATOS!$E13669,nASIG,DATOS!$I13669,nEVAL,"EX")=0),0))))</f>
      </c>
      <c r="H13669">
        <f>IF(DATOS!$G13669&lt;&gt;"EX",0,--(COUNTIFS(nNIA,DATOS!$A13669,nCURSO,DATOS!$D13669,nESPEC,DATOS!$E13669,nASIG,DATOS!$I13669,nEVAL,"OR")=0))</f>
      </c>
      <c r="I13669">
        <f>IF(DATOS!$I13669="","",IFERROR(VLOOKUP(DATOS!$I13669,CONFIG_ASIGNATURAS!$B$2:$J$91,9,FALSE()),""))</f>
      </c>
    </row>
    <row r="13670">
      <c r="F13670">
        <f>IF(DATOS!$A13670="","",DATOS!$A13670&amp;"|"&amp;DATOS!$D13670&amp;"|"&amp;DATOS!$E13670&amp;"|"&amp;DATOS!$I13670)</f>
      </c>
      <c r="G13670">
        <f>IF(DATOS!$A13670="",0,IF(CONFIG_METADATA!$B$4&lt;&gt;"OR+EX",--(DATOS!$G13670=CONFIG_METADATA!$B$4),IF(DATOS!$G13670="EX",1,IF(DATOS!$G13670="OR",--(COUNTIFS(nNIA,DATOS!$A13670,nCURSO,DATOS!$D13670,nESPEC,DATOS!$E13670,nASIG,DATOS!$I13670,nEVAL,"EX")=0),0))))</f>
      </c>
      <c r="H13670">
        <f>IF(DATOS!$G13670&lt;&gt;"EX",0,--(COUNTIFS(nNIA,DATOS!$A13670,nCURSO,DATOS!$D13670,nESPEC,DATOS!$E13670,nASIG,DATOS!$I13670,nEVAL,"OR")=0))</f>
      </c>
      <c r="I13670">
        <f>IF(DATOS!$I13670="","",IFERROR(VLOOKUP(DATOS!$I13670,CONFIG_ASIGNATURAS!$B$2:$J$91,9,FALSE()),""))</f>
      </c>
    </row>
    <row r="13671">
      <c r="F13671">
        <f>IF(DATOS!$A13671="","",DATOS!$A13671&amp;"|"&amp;DATOS!$D13671&amp;"|"&amp;DATOS!$E13671&amp;"|"&amp;DATOS!$I13671)</f>
      </c>
      <c r="G13671">
        <f>IF(DATOS!$A13671="",0,IF(CONFIG_METADATA!$B$4&lt;&gt;"OR+EX",--(DATOS!$G13671=CONFIG_METADATA!$B$4),IF(DATOS!$G13671="EX",1,IF(DATOS!$G13671="OR",--(COUNTIFS(nNIA,DATOS!$A13671,nCURSO,DATOS!$D13671,nESPEC,DATOS!$E13671,nASIG,DATOS!$I13671,nEVAL,"EX")=0),0))))</f>
      </c>
      <c r="H13671">
        <f>IF(DATOS!$G13671&lt;&gt;"EX",0,--(COUNTIFS(nNIA,DATOS!$A13671,nCURSO,DATOS!$D13671,nESPEC,DATOS!$E13671,nASIG,DATOS!$I13671,nEVAL,"OR")=0))</f>
      </c>
      <c r="I13671">
        <f>IF(DATOS!$I13671="","",IFERROR(VLOOKUP(DATOS!$I13671,CONFIG_ASIGNATURAS!$B$2:$J$91,9,FALSE()),""))</f>
      </c>
    </row>
    <row r="13672">
      <c r="F13672">
        <f>IF(DATOS!$A13672="","",DATOS!$A13672&amp;"|"&amp;DATOS!$D13672&amp;"|"&amp;DATOS!$E13672&amp;"|"&amp;DATOS!$I13672)</f>
      </c>
      <c r="G13672">
        <f>IF(DATOS!$A13672="",0,IF(CONFIG_METADATA!$B$4&lt;&gt;"OR+EX",--(DATOS!$G13672=CONFIG_METADATA!$B$4),IF(DATOS!$G13672="EX",1,IF(DATOS!$G13672="OR",--(COUNTIFS(nNIA,DATOS!$A13672,nCURSO,DATOS!$D13672,nESPEC,DATOS!$E13672,nASIG,DATOS!$I13672,nEVAL,"EX")=0),0))))</f>
      </c>
      <c r="H13672">
        <f>IF(DATOS!$G13672&lt;&gt;"EX",0,--(COUNTIFS(nNIA,DATOS!$A13672,nCURSO,DATOS!$D13672,nESPEC,DATOS!$E13672,nASIG,DATOS!$I13672,nEVAL,"OR")=0))</f>
      </c>
      <c r="I13672">
        <f>IF(DATOS!$I13672="","",IFERROR(VLOOKUP(DATOS!$I13672,CONFIG_ASIGNATURAS!$B$2:$J$91,9,FALSE()),""))</f>
      </c>
    </row>
    <row r="13673">
      <c r="F13673">
        <f>IF(DATOS!$A13673="","",DATOS!$A13673&amp;"|"&amp;DATOS!$D13673&amp;"|"&amp;DATOS!$E13673&amp;"|"&amp;DATOS!$I13673)</f>
      </c>
      <c r="G13673">
        <f>IF(DATOS!$A13673="",0,IF(CONFIG_METADATA!$B$4&lt;&gt;"OR+EX",--(DATOS!$G13673=CONFIG_METADATA!$B$4),IF(DATOS!$G13673="EX",1,IF(DATOS!$G13673="OR",--(COUNTIFS(nNIA,DATOS!$A13673,nCURSO,DATOS!$D13673,nESPEC,DATOS!$E13673,nASIG,DATOS!$I13673,nEVAL,"EX")=0),0))))</f>
      </c>
      <c r="H13673">
        <f>IF(DATOS!$G13673&lt;&gt;"EX",0,--(COUNTIFS(nNIA,DATOS!$A13673,nCURSO,DATOS!$D13673,nESPEC,DATOS!$E13673,nASIG,DATOS!$I13673,nEVAL,"OR")=0))</f>
      </c>
      <c r="I13673">
        <f>IF(DATOS!$I13673="","",IFERROR(VLOOKUP(DATOS!$I13673,CONFIG_ASIGNATURAS!$B$2:$J$91,9,FALSE()),""))</f>
      </c>
    </row>
    <row r="13674">
      <c r="F13674">
        <f>IF(DATOS!$A13674="","",DATOS!$A13674&amp;"|"&amp;DATOS!$D13674&amp;"|"&amp;DATOS!$E13674&amp;"|"&amp;DATOS!$I13674)</f>
      </c>
      <c r="G13674">
        <f>IF(DATOS!$A13674="",0,IF(CONFIG_METADATA!$B$4&lt;&gt;"OR+EX",--(DATOS!$G13674=CONFIG_METADATA!$B$4),IF(DATOS!$G13674="EX",1,IF(DATOS!$G13674="OR",--(COUNTIFS(nNIA,DATOS!$A13674,nCURSO,DATOS!$D13674,nESPEC,DATOS!$E13674,nASIG,DATOS!$I13674,nEVAL,"EX")=0),0))))</f>
      </c>
      <c r="H13674">
        <f>IF(DATOS!$G13674&lt;&gt;"EX",0,--(COUNTIFS(nNIA,DATOS!$A13674,nCURSO,DATOS!$D13674,nESPEC,DATOS!$E13674,nASIG,DATOS!$I13674,nEVAL,"OR")=0))</f>
      </c>
      <c r="I13674">
        <f>IF(DATOS!$I13674="","",IFERROR(VLOOKUP(DATOS!$I13674,CONFIG_ASIGNATURAS!$B$2:$J$91,9,FALSE()),""))</f>
      </c>
    </row>
    <row r="13675">
      <c r="F13675">
        <f>IF(DATOS!$A13675="","",DATOS!$A13675&amp;"|"&amp;DATOS!$D13675&amp;"|"&amp;DATOS!$E13675&amp;"|"&amp;DATOS!$I13675)</f>
      </c>
      <c r="G13675">
        <f>IF(DATOS!$A13675="",0,IF(CONFIG_METADATA!$B$4&lt;&gt;"OR+EX",--(DATOS!$G13675=CONFIG_METADATA!$B$4),IF(DATOS!$G13675="EX",1,IF(DATOS!$G13675="OR",--(COUNTIFS(nNIA,DATOS!$A13675,nCURSO,DATOS!$D13675,nESPEC,DATOS!$E13675,nASIG,DATOS!$I13675,nEVAL,"EX")=0),0))))</f>
      </c>
      <c r="H13675">
        <f>IF(DATOS!$G13675&lt;&gt;"EX",0,--(COUNTIFS(nNIA,DATOS!$A13675,nCURSO,DATOS!$D13675,nESPEC,DATOS!$E13675,nASIG,DATOS!$I13675,nEVAL,"OR")=0))</f>
      </c>
      <c r="I13675">
        <f>IF(DATOS!$I13675="","",IFERROR(VLOOKUP(DATOS!$I13675,CONFIG_ASIGNATURAS!$B$2:$J$91,9,FALSE()),""))</f>
      </c>
    </row>
    <row r="13676">
      <c r="F13676">
        <f>IF(DATOS!$A13676="","",DATOS!$A13676&amp;"|"&amp;DATOS!$D13676&amp;"|"&amp;DATOS!$E13676&amp;"|"&amp;DATOS!$I13676)</f>
      </c>
      <c r="G13676">
        <f>IF(DATOS!$A13676="",0,IF(CONFIG_METADATA!$B$4&lt;&gt;"OR+EX",--(DATOS!$G13676=CONFIG_METADATA!$B$4),IF(DATOS!$G13676="EX",1,IF(DATOS!$G13676="OR",--(COUNTIFS(nNIA,DATOS!$A13676,nCURSO,DATOS!$D13676,nESPEC,DATOS!$E13676,nASIG,DATOS!$I13676,nEVAL,"EX")=0),0))))</f>
      </c>
      <c r="H13676">
        <f>IF(DATOS!$G13676&lt;&gt;"EX",0,--(COUNTIFS(nNIA,DATOS!$A13676,nCURSO,DATOS!$D13676,nESPEC,DATOS!$E13676,nASIG,DATOS!$I13676,nEVAL,"OR")=0))</f>
      </c>
      <c r="I13676">
        <f>IF(DATOS!$I13676="","",IFERROR(VLOOKUP(DATOS!$I13676,CONFIG_ASIGNATURAS!$B$2:$J$91,9,FALSE()),""))</f>
      </c>
    </row>
    <row r="13677">
      <c r="F13677">
        <f>IF(DATOS!$A13677="","",DATOS!$A13677&amp;"|"&amp;DATOS!$D13677&amp;"|"&amp;DATOS!$E13677&amp;"|"&amp;DATOS!$I13677)</f>
      </c>
      <c r="G13677">
        <f>IF(DATOS!$A13677="",0,IF(CONFIG_METADATA!$B$4&lt;&gt;"OR+EX",--(DATOS!$G13677=CONFIG_METADATA!$B$4),IF(DATOS!$G13677="EX",1,IF(DATOS!$G13677="OR",--(COUNTIFS(nNIA,DATOS!$A13677,nCURSO,DATOS!$D13677,nESPEC,DATOS!$E13677,nASIG,DATOS!$I13677,nEVAL,"EX")=0),0))))</f>
      </c>
      <c r="H13677">
        <f>IF(DATOS!$G13677&lt;&gt;"EX",0,--(COUNTIFS(nNIA,DATOS!$A13677,nCURSO,DATOS!$D13677,nESPEC,DATOS!$E13677,nASIG,DATOS!$I13677,nEVAL,"OR")=0))</f>
      </c>
      <c r="I13677">
        <f>IF(DATOS!$I13677="","",IFERROR(VLOOKUP(DATOS!$I13677,CONFIG_ASIGNATURAS!$B$2:$J$91,9,FALSE()),""))</f>
      </c>
    </row>
    <row r="13678">
      <c r="F13678">
        <f>IF(DATOS!$A13678="","",DATOS!$A13678&amp;"|"&amp;DATOS!$D13678&amp;"|"&amp;DATOS!$E13678&amp;"|"&amp;DATOS!$I13678)</f>
      </c>
      <c r="G13678">
        <f>IF(DATOS!$A13678="",0,IF(CONFIG_METADATA!$B$4&lt;&gt;"OR+EX",--(DATOS!$G13678=CONFIG_METADATA!$B$4),IF(DATOS!$G13678="EX",1,IF(DATOS!$G13678="OR",--(COUNTIFS(nNIA,DATOS!$A13678,nCURSO,DATOS!$D13678,nESPEC,DATOS!$E13678,nASIG,DATOS!$I13678,nEVAL,"EX")=0),0))))</f>
      </c>
      <c r="H13678">
        <f>IF(DATOS!$G13678&lt;&gt;"EX",0,--(COUNTIFS(nNIA,DATOS!$A13678,nCURSO,DATOS!$D13678,nESPEC,DATOS!$E13678,nASIG,DATOS!$I13678,nEVAL,"OR")=0))</f>
      </c>
      <c r="I13678">
        <f>IF(DATOS!$I13678="","",IFERROR(VLOOKUP(DATOS!$I13678,CONFIG_ASIGNATURAS!$B$2:$J$91,9,FALSE()),""))</f>
      </c>
    </row>
    <row r="13679">
      <c r="F13679">
        <f>IF(DATOS!$A13679="","",DATOS!$A13679&amp;"|"&amp;DATOS!$D13679&amp;"|"&amp;DATOS!$E13679&amp;"|"&amp;DATOS!$I13679)</f>
      </c>
      <c r="G13679">
        <f>IF(DATOS!$A13679="",0,IF(CONFIG_METADATA!$B$4&lt;&gt;"OR+EX",--(DATOS!$G13679=CONFIG_METADATA!$B$4),IF(DATOS!$G13679="EX",1,IF(DATOS!$G13679="OR",--(COUNTIFS(nNIA,DATOS!$A13679,nCURSO,DATOS!$D13679,nESPEC,DATOS!$E13679,nASIG,DATOS!$I13679,nEVAL,"EX")=0),0))))</f>
      </c>
      <c r="H13679">
        <f>IF(DATOS!$G13679&lt;&gt;"EX",0,--(COUNTIFS(nNIA,DATOS!$A13679,nCURSO,DATOS!$D13679,nESPEC,DATOS!$E13679,nASIG,DATOS!$I13679,nEVAL,"OR")=0))</f>
      </c>
      <c r="I13679">
        <f>IF(DATOS!$I13679="","",IFERROR(VLOOKUP(DATOS!$I13679,CONFIG_ASIGNATURAS!$B$2:$J$91,9,FALSE()),""))</f>
      </c>
    </row>
    <row r="13680">
      <c r="F13680">
        <f>IF(DATOS!$A13680="","",DATOS!$A13680&amp;"|"&amp;DATOS!$D13680&amp;"|"&amp;DATOS!$E13680&amp;"|"&amp;DATOS!$I13680)</f>
      </c>
      <c r="G13680">
        <f>IF(DATOS!$A13680="",0,IF(CONFIG_METADATA!$B$4&lt;&gt;"OR+EX",--(DATOS!$G13680=CONFIG_METADATA!$B$4),IF(DATOS!$G13680="EX",1,IF(DATOS!$G13680="OR",--(COUNTIFS(nNIA,DATOS!$A13680,nCURSO,DATOS!$D13680,nESPEC,DATOS!$E13680,nASIG,DATOS!$I13680,nEVAL,"EX")=0),0))))</f>
      </c>
      <c r="H13680">
        <f>IF(DATOS!$G13680&lt;&gt;"EX",0,--(COUNTIFS(nNIA,DATOS!$A13680,nCURSO,DATOS!$D13680,nESPEC,DATOS!$E13680,nASIG,DATOS!$I13680,nEVAL,"OR")=0))</f>
      </c>
      <c r="I13680">
        <f>IF(DATOS!$I13680="","",IFERROR(VLOOKUP(DATOS!$I13680,CONFIG_ASIGNATURAS!$B$2:$J$91,9,FALSE()),""))</f>
      </c>
    </row>
    <row r="13681">
      <c r="F13681">
        <f>IF(DATOS!$A13681="","",DATOS!$A13681&amp;"|"&amp;DATOS!$D13681&amp;"|"&amp;DATOS!$E13681&amp;"|"&amp;DATOS!$I13681)</f>
      </c>
      <c r="G13681">
        <f>IF(DATOS!$A13681="",0,IF(CONFIG_METADATA!$B$4&lt;&gt;"OR+EX",--(DATOS!$G13681=CONFIG_METADATA!$B$4),IF(DATOS!$G13681="EX",1,IF(DATOS!$G13681="OR",--(COUNTIFS(nNIA,DATOS!$A13681,nCURSO,DATOS!$D13681,nESPEC,DATOS!$E13681,nASIG,DATOS!$I13681,nEVAL,"EX")=0),0))))</f>
      </c>
      <c r="H13681">
        <f>IF(DATOS!$G13681&lt;&gt;"EX",0,--(COUNTIFS(nNIA,DATOS!$A13681,nCURSO,DATOS!$D13681,nESPEC,DATOS!$E13681,nASIG,DATOS!$I13681,nEVAL,"OR")=0))</f>
      </c>
      <c r="I13681">
        <f>IF(DATOS!$I13681="","",IFERROR(VLOOKUP(DATOS!$I13681,CONFIG_ASIGNATURAS!$B$2:$J$91,9,FALSE()),""))</f>
      </c>
    </row>
    <row r="13682">
      <c r="F13682">
        <f>IF(DATOS!$A13682="","",DATOS!$A13682&amp;"|"&amp;DATOS!$D13682&amp;"|"&amp;DATOS!$E13682&amp;"|"&amp;DATOS!$I13682)</f>
      </c>
      <c r="G13682">
        <f>IF(DATOS!$A13682="",0,IF(CONFIG_METADATA!$B$4&lt;&gt;"OR+EX",--(DATOS!$G13682=CONFIG_METADATA!$B$4),IF(DATOS!$G13682="EX",1,IF(DATOS!$G13682="OR",--(COUNTIFS(nNIA,DATOS!$A13682,nCURSO,DATOS!$D13682,nESPEC,DATOS!$E13682,nASIG,DATOS!$I13682,nEVAL,"EX")=0),0))))</f>
      </c>
      <c r="H13682">
        <f>IF(DATOS!$G13682&lt;&gt;"EX",0,--(COUNTIFS(nNIA,DATOS!$A13682,nCURSO,DATOS!$D13682,nESPEC,DATOS!$E13682,nASIG,DATOS!$I13682,nEVAL,"OR")=0))</f>
      </c>
      <c r="I13682">
        <f>IF(DATOS!$I13682="","",IFERROR(VLOOKUP(DATOS!$I13682,CONFIG_ASIGNATURAS!$B$2:$J$91,9,FALSE()),""))</f>
      </c>
    </row>
    <row r="13683">
      <c r="F13683">
        <f>IF(DATOS!$A13683="","",DATOS!$A13683&amp;"|"&amp;DATOS!$D13683&amp;"|"&amp;DATOS!$E13683&amp;"|"&amp;DATOS!$I13683)</f>
      </c>
      <c r="G13683">
        <f>IF(DATOS!$A13683="",0,IF(CONFIG_METADATA!$B$4&lt;&gt;"OR+EX",--(DATOS!$G13683=CONFIG_METADATA!$B$4),IF(DATOS!$G13683="EX",1,IF(DATOS!$G13683="OR",--(COUNTIFS(nNIA,DATOS!$A13683,nCURSO,DATOS!$D13683,nESPEC,DATOS!$E13683,nASIG,DATOS!$I13683,nEVAL,"EX")=0),0))))</f>
      </c>
      <c r="H13683">
        <f>IF(DATOS!$G13683&lt;&gt;"EX",0,--(COUNTIFS(nNIA,DATOS!$A13683,nCURSO,DATOS!$D13683,nESPEC,DATOS!$E13683,nASIG,DATOS!$I13683,nEVAL,"OR")=0))</f>
      </c>
      <c r="I13683">
        <f>IF(DATOS!$I13683="","",IFERROR(VLOOKUP(DATOS!$I13683,CONFIG_ASIGNATURAS!$B$2:$J$91,9,FALSE()),""))</f>
      </c>
    </row>
    <row r="13684">
      <c r="F13684">
        <f>IF(DATOS!$A13684="","",DATOS!$A13684&amp;"|"&amp;DATOS!$D13684&amp;"|"&amp;DATOS!$E13684&amp;"|"&amp;DATOS!$I13684)</f>
      </c>
      <c r="G13684">
        <f>IF(DATOS!$A13684="",0,IF(CONFIG_METADATA!$B$4&lt;&gt;"OR+EX",--(DATOS!$G13684=CONFIG_METADATA!$B$4),IF(DATOS!$G13684="EX",1,IF(DATOS!$G13684="OR",--(COUNTIFS(nNIA,DATOS!$A13684,nCURSO,DATOS!$D13684,nESPEC,DATOS!$E13684,nASIG,DATOS!$I13684,nEVAL,"EX")=0),0))))</f>
      </c>
      <c r="H13684">
        <f>IF(DATOS!$G13684&lt;&gt;"EX",0,--(COUNTIFS(nNIA,DATOS!$A13684,nCURSO,DATOS!$D13684,nESPEC,DATOS!$E13684,nASIG,DATOS!$I13684,nEVAL,"OR")=0))</f>
      </c>
      <c r="I13684">
        <f>IF(DATOS!$I13684="","",IFERROR(VLOOKUP(DATOS!$I13684,CONFIG_ASIGNATURAS!$B$2:$J$91,9,FALSE()),""))</f>
      </c>
    </row>
    <row r="13685">
      <c r="F13685">
        <f>IF(DATOS!$A13685="","",DATOS!$A13685&amp;"|"&amp;DATOS!$D13685&amp;"|"&amp;DATOS!$E13685&amp;"|"&amp;DATOS!$I13685)</f>
      </c>
      <c r="G13685">
        <f>IF(DATOS!$A13685="",0,IF(CONFIG_METADATA!$B$4&lt;&gt;"OR+EX",--(DATOS!$G13685=CONFIG_METADATA!$B$4),IF(DATOS!$G13685="EX",1,IF(DATOS!$G13685="OR",--(COUNTIFS(nNIA,DATOS!$A13685,nCURSO,DATOS!$D13685,nESPEC,DATOS!$E13685,nASIG,DATOS!$I13685,nEVAL,"EX")=0),0))))</f>
      </c>
      <c r="H13685">
        <f>IF(DATOS!$G13685&lt;&gt;"EX",0,--(COUNTIFS(nNIA,DATOS!$A13685,nCURSO,DATOS!$D13685,nESPEC,DATOS!$E13685,nASIG,DATOS!$I13685,nEVAL,"OR")=0))</f>
      </c>
      <c r="I13685">
        <f>IF(DATOS!$I13685="","",IFERROR(VLOOKUP(DATOS!$I13685,CONFIG_ASIGNATURAS!$B$2:$J$91,9,FALSE()),""))</f>
      </c>
    </row>
    <row r="13686">
      <c r="F13686">
        <f>IF(DATOS!$A13686="","",DATOS!$A13686&amp;"|"&amp;DATOS!$D13686&amp;"|"&amp;DATOS!$E13686&amp;"|"&amp;DATOS!$I13686)</f>
      </c>
      <c r="G13686">
        <f>IF(DATOS!$A13686="",0,IF(CONFIG_METADATA!$B$4&lt;&gt;"OR+EX",--(DATOS!$G13686=CONFIG_METADATA!$B$4),IF(DATOS!$G13686="EX",1,IF(DATOS!$G13686="OR",--(COUNTIFS(nNIA,DATOS!$A13686,nCURSO,DATOS!$D13686,nESPEC,DATOS!$E13686,nASIG,DATOS!$I13686,nEVAL,"EX")=0),0))))</f>
      </c>
      <c r="H13686">
        <f>IF(DATOS!$G13686&lt;&gt;"EX",0,--(COUNTIFS(nNIA,DATOS!$A13686,nCURSO,DATOS!$D13686,nESPEC,DATOS!$E13686,nASIG,DATOS!$I13686,nEVAL,"OR")=0))</f>
      </c>
      <c r="I13686">
        <f>IF(DATOS!$I13686="","",IFERROR(VLOOKUP(DATOS!$I13686,CONFIG_ASIGNATURAS!$B$2:$J$91,9,FALSE()),""))</f>
      </c>
    </row>
    <row r="13687">
      <c r="F13687">
        <f>IF(DATOS!$A13687="","",DATOS!$A13687&amp;"|"&amp;DATOS!$D13687&amp;"|"&amp;DATOS!$E13687&amp;"|"&amp;DATOS!$I13687)</f>
      </c>
      <c r="G13687">
        <f>IF(DATOS!$A13687="",0,IF(CONFIG_METADATA!$B$4&lt;&gt;"OR+EX",--(DATOS!$G13687=CONFIG_METADATA!$B$4),IF(DATOS!$G13687="EX",1,IF(DATOS!$G13687="OR",--(COUNTIFS(nNIA,DATOS!$A13687,nCURSO,DATOS!$D13687,nESPEC,DATOS!$E13687,nASIG,DATOS!$I13687,nEVAL,"EX")=0),0))))</f>
      </c>
      <c r="H13687">
        <f>IF(DATOS!$G13687&lt;&gt;"EX",0,--(COUNTIFS(nNIA,DATOS!$A13687,nCURSO,DATOS!$D13687,nESPEC,DATOS!$E13687,nASIG,DATOS!$I13687,nEVAL,"OR")=0))</f>
      </c>
      <c r="I13687">
        <f>IF(DATOS!$I13687="","",IFERROR(VLOOKUP(DATOS!$I13687,CONFIG_ASIGNATURAS!$B$2:$J$91,9,FALSE()),""))</f>
      </c>
    </row>
    <row r="13688">
      <c r="F13688">
        <f>IF(DATOS!$A13688="","",DATOS!$A13688&amp;"|"&amp;DATOS!$D13688&amp;"|"&amp;DATOS!$E13688&amp;"|"&amp;DATOS!$I13688)</f>
      </c>
      <c r="G13688">
        <f>IF(DATOS!$A13688="",0,IF(CONFIG_METADATA!$B$4&lt;&gt;"OR+EX",--(DATOS!$G13688=CONFIG_METADATA!$B$4),IF(DATOS!$G13688="EX",1,IF(DATOS!$G13688="OR",--(COUNTIFS(nNIA,DATOS!$A13688,nCURSO,DATOS!$D13688,nESPEC,DATOS!$E13688,nASIG,DATOS!$I13688,nEVAL,"EX")=0),0))))</f>
      </c>
      <c r="H13688">
        <f>IF(DATOS!$G13688&lt;&gt;"EX",0,--(COUNTIFS(nNIA,DATOS!$A13688,nCURSO,DATOS!$D13688,nESPEC,DATOS!$E13688,nASIG,DATOS!$I13688,nEVAL,"OR")=0))</f>
      </c>
      <c r="I13688">
        <f>IF(DATOS!$I13688="","",IFERROR(VLOOKUP(DATOS!$I13688,CONFIG_ASIGNATURAS!$B$2:$J$91,9,FALSE()),""))</f>
      </c>
    </row>
    <row r="13689">
      <c r="F13689">
        <f>IF(DATOS!$A13689="","",DATOS!$A13689&amp;"|"&amp;DATOS!$D13689&amp;"|"&amp;DATOS!$E13689&amp;"|"&amp;DATOS!$I13689)</f>
      </c>
      <c r="G13689">
        <f>IF(DATOS!$A13689="",0,IF(CONFIG_METADATA!$B$4&lt;&gt;"OR+EX",--(DATOS!$G13689=CONFIG_METADATA!$B$4),IF(DATOS!$G13689="EX",1,IF(DATOS!$G13689="OR",--(COUNTIFS(nNIA,DATOS!$A13689,nCURSO,DATOS!$D13689,nESPEC,DATOS!$E13689,nASIG,DATOS!$I13689,nEVAL,"EX")=0),0))))</f>
      </c>
      <c r="H13689">
        <f>IF(DATOS!$G13689&lt;&gt;"EX",0,--(COUNTIFS(nNIA,DATOS!$A13689,nCURSO,DATOS!$D13689,nESPEC,DATOS!$E13689,nASIG,DATOS!$I13689,nEVAL,"OR")=0))</f>
      </c>
      <c r="I13689">
        <f>IF(DATOS!$I13689="","",IFERROR(VLOOKUP(DATOS!$I13689,CONFIG_ASIGNATURAS!$B$2:$J$91,9,FALSE()),""))</f>
      </c>
    </row>
    <row r="13690">
      <c r="F13690">
        <f>IF(DATOS!$A13690="","",DATOS!$A13690&amp;"|"&amp;DATOS!$D13690&amp;"|"&amp;DATOS!$E13690&amp;"|"&amp;DATOS!$I13690)</f>
      </c>
      <c r="G13690">
        <f>IF(DATOS!$A13690="",0,IF(CONFIG_METADATA!$B$4&lt;&gt;"OR+EX",--(DATOS!$G13690=CONFIG_METADATA!$B$4),IF(DATOS!$G13690="EX",1,IF(DATOS!$G13690="OR",--(COUNTIFS(nNIA,DATOS!$A13690,nCURSO,DATOS!$D13690,nESPEC,DATOS!$E13690,nASIG,DATOS!$I13690,nEVAL,"EX")=0),0))))</f>
      </c>
      <c r="H13690">
        <f>IF(DATOS!$G13690&lt;&gt;"EX",0,--(COUNTIFS(nNIA,DATOS!$A13690,nCURSO,DATOS!$D13690,nESPEC,DATOS!$E13690,nASIG,DATOS!$I13690,nEVAL,"OR")=0))</f>
      </c>
      <c r="I13690">
        <f>IF(DATOS!$I13690="","",IFERROR(VLOOKUP(DATOS!$I13690,CONFIG_ASIGNATURAS!$B$2:$J$91,9,FALSE()),""))</f>
      </c>
    </row>
    <row r="13691">
      <c r="F13691">
        <f>IF(DATOS!$A13691="","",DATOS!$A13691&amp;"|"&amp;DATOS!$D13691&amp;"|"&amp;DATOS!$E13691&amp;"|"&amp;DATOS!$I13691)</f>
      </c>
      <c r="G13691">
        <f>IF(DATOS!$A13691="",0,IF(CONFIG_METADATA!$B$4&lt;&gt;"OR+EX",--(DATOS!$G13691=CONFIG_METADATA!$B$4),IF(DATOS!$G13691="EX",1,IF(DATOS!$G13691="OR",--(COUNTIFS(nNIA,DATOS!$A13691,nCURSO,DATOS!$D13691,nESPEC,DATOS!$E13691,nASIG,DATOS!$I13691,nEVAL,"EX")=0),0))))</f>
      </c>
      <c r="H13691">
        <f>IF(DATOS!$G13691&lt;&gt;"EX",0,--(COUNTIFS(nNIA,DATOS!$A13691,nCURSO,DATOS!$D13691,nESPEC,DATOS!$E13691,nASIG,DATOS!$I13691,nEVAL,"OR")=0))</f>
      </c>
      <c r="I13691">
        <f>IF(DATOS!$I13691="","",IFERROR(VLOOKUP(DATOS!$I13691,CONFIG_ASIGNATURAS!$B$2:$J$91,9,FALSE()),""))</f>
      </c>
    </row>
    <row r="13692">
      <c r="F13692">
        <f>IF(DATOS!$A13692="","",DATOS!$A13692&amp;"|"&amp;DATOS!$D13692&amp;"|"&amp;DATOS!$E13692&amp;"|"&amp;DATOS!$I13692)</f>
      </c>
      <c r="G13692">
        <f>IF(DATOS!$A13692="",0,IF(CONFIG_METADATA!$B$4&lt;&gt;"OR+EX",--(DATOS!$G13692=CONFIG_METADATA!$B$4),IF(DATOS!$G13692="EX",1,IF(DATOS!$G13692="OR",--(COUNTIFS(nNIA,DATOS!$A13692,nCURSO,DATOS!$D13692,nESPEC,DATOS!$E13692,nASIG,DATOS!$I13692,nEVAL,"EX")=0),0))))</f>
      </c>
      <c r="H13692">
        <f>IF(DATOS!$G13692&lt;&gt;"EX",0,--(COUNTIFS(nNIA,DATOS!$A13692,nCURSO,DATOS!$D13692,nESPEC,DATOS!$E13692,nASIG,DATOS!$I13692,nEVAL,"OR")=0))</f>
      </c>
      <c r="I13692">
        <f>IF(DATOS!$I13692="","",IFERROR(VLOOKUP(DATOS!$I13692,CONFIG_ASIGNATURAS!$B$2:$J$91,9,FALSE()),""))</f>
      </c>
    </row>
    <row r="13693">
      <c r="F13693">
        <f>IF(DATOS!$A13693="","",DATOS!$A13693&amp;"|"&amp;DATOS!$D13693&amp;"|"&amp;DATOS!$E13693&amp;"|"&amp;DATOS!$I13693)</f>
      </c>
      <c r="G13693">
        <f>IF(DATOS!$A13693="",0,IF(CONFIG_METADATA!$B$4&lt;&gt;"OR+EX",--(DATOS!$G13693=CONFIG_METADATA!$B$4),IF(DATOS!$G13693="EX",1,IF(DATOS!$G13693="OR",--(COUNTIFS(nNIA,DATOS!$A13693,nCURSO,DATOS!$D13693,nESPEC,DATOS!$E13693,nASIG,DATOS!$I13693,nEVAL,"EX")=0),0))))</f>
      </c>
      <c r="H13693">
        <f>IF(DATOS!$G13693&lt;&gt;"EX",0,--(COUNTIFS(nNIA,DATOS!$A13693,nCURSO,DATOS!$D13693,nESPEC,DATOS!$E13693,nASIG,DATOS!$I13693,nEVAL,"OR")=0))</f>
      </c>
      <c r="I13693">
        <f>IF(DATOS!$I13693="","",IFERROR(VLOOKUP(DATOS!$I13693,CONFIG_ASIGNATURAS!$B$2:$J$91,9,FALSE()),""))</f>
      </c>
    </row>
    <row r="13694">
      <c r="F13694">
        <f>IF(DATOS!$A13694="","",DATOS!$A13694&amp;"|"&amp;DATOS!$D13694&amp;"|"&amp;DATOS!$E13694&amp;"|"&amp;DATOS!$I13694)</f>
      </c>
      <c r="G13694">
        <f>IF(DATOS!$A13694="",0,IF(CONFIG_METADATA!$B$4&lt;&gt;"OR+EX",--(DATOS!$G13694=CONFIG_METADATA!$B$4),IF(DATOS!$G13694="EX",1,IF(DATOS!$G13694="OR",--(COUNTIFS(nNIA,DATOS!$A13694,nCURSO,DATOS!$D13694,nESPEC,DATOS!$E13694,nASIG,DATOS!$I13694,nEVAL,"EX")=0),0))))</f>
      </c>
      <c r="H13694">
        <f>IF(DATOS!$G13694&lt;&gt;"EX",0,--(COUNTIFS(nNIA,DATOS!$A13694,nCURSO,DATOS!$D13694,nESPEC,DATOS!$E13694,nASIG,DATOS!$I13694,nEVAL,"OR")=0))</f>
      </c>
      <c r="I13694">
        <f>IF(DATOS!$I13694="","",IFERROR(VLOOKUP(DATOS!$I13694,CONFIG_ASIGNATURAS!$B$2:$J$91,9,FALSE()),""))</f>
      </c>
    </row>
    <row r="13695">
      <c r="F13695">
        <f>IF(DATOS!$A13695="","",DATOS!$A13695&amp;"|"&amp;DATOS!$D13695&amp;"|"&amp;DATOS!$E13695&amp;"|"&amp;DATOS!$I13695)</f>
      </c>
      <c r="G13695">
        <f>IF(DATOS!$A13695="",0,IF(CONFIG_METADATA!$B$4&lt;&gt;"OR+EX",--(DATOS!$G13695=CONFIG_METADATA!$B$4),IF(DATOS!$G13695="EX",1,IF(DATOS!$G13695="OR",--(COUNTIFS(nNIA,DATOS!$A13695,nCURSO,DATOS!$D13695,nESPEC,DATOS!$E13695,nASIG,DATOS!$I13695,nEVAL,"EX")=0),0))))</f>
      </c>
      <c r="H13695">
        <f>IF(DATOS!$G13695&lt;&gt;"EX",0,--(COUNTIFS(nNIA,DATOS!$A13695,nCURSO,DATOS!$D13695,nESPEC,DATOS!$E13695,nASIG,DATOS!$I13695,nEVAL,"OR")=0))</f>
      </c>
      <c r="I13695">
        <f>IF(DATOS!$I13695="","",IFERROR(VLOOKUP(DATOS!$I13695,CONFIG_ASIGNATURAS!$B$2:$J$91,9,FALSE()),""))</f>
      </c>
    </row>
    <row r="13696">
      <c r="F13696">
        <f>IF(DATOS!$A13696="","",DATOS!$A13696&amp;"|"&amp;DATOS!$D13696&amp;"|"&amp;DATOS!$E13696&amp;"|"&amp;DATOS!$I13696)</f>
      </c>
      <c r="G13696">
        <f>IF(DATOS!$A13696="",0,IF(CONFIG_METADATA!$B$4&lt;&gt;"OR+EX",--(DATOS!$G13696=CONFIG_METADATA!$B$4),IF(DATOS!$G13696="EX",1,IF(DATOS!$G13696="OR",--(COUNTIFS(nNIA,DATOS!$A13696,nCURSO,DATOS!$D13696,nESPEC,DATOS!$E13696,nASIG,DATOS!$I13696,nEVAL,"EX")=0),0))))</f>
      </c>
      <c r="H13696">
        <f>IF(DATOS!$G13696&lt;&gt;"EX",0,--(COUNTIFS(nNIA,DATOS!$A13696,nCURSO,DATOS!$D13696,nESPEC,DATOS!$E13696,nASIG,DATOS!$I13696,nEVAL,"OR")=0))</f>
      </c>
      <c r="I13696">
        <f>IF(DATOS!$I13696="","",IFERROR(VLOOKUP(DATOS!$I13696,CONFIG_ASIGNATURAS!$B$2:$J$91,9,FALSE()),""))</f>
      </c>
    </row>
    <row r="13697">
      <c r="F13697">
        <f>IF(DATOS!$A13697="","",DATOS!$A13697&amp;"|"&amp;DATOS!$D13697&amp;"|"&amp;DATOS!$E13697&amp;"|"&amp;DATOS!$I13697)</f>
      </c>
      <c r="G13697">
        <f>IF(DATOS!$A13697="",0,IF(CONFIG_METADATA!$B$4&lt;&gt;"OR+EX",--(DATOS!$G13697=CONFIG_METADATA!$B$4),IF(DATOS!$G13697="EX",1,IF(DATOS!$G13697="OR",--(COUNTIFS(nNIA,DATOS!$A13697,nCURSO,DATOS!$D13697,nESPEC,DATOS!$E13697,nASIG,DATOS!$I13697,nEVAL,"EX")=0),0))))</f>
      </c>
      <c r="H13697">
        <f>IF(DATOS!$G13697&lt;&gt;"EX",0,--(COUNTIFS(nNIA,DATOS!$A13697,nCURSO,DATOS!$D13697,nESPEC,DATOS!$E13697,nASIG,DATOS!$I13697,nEVAL,"OR")=0))</f>
      </c>
      <c r="I13697">
        <f>IF(DATOS!$I13697="","",IFERROR(VLOOKUP(DATOS!$I13697,CONFIG_ASIGNATURAS!$B$2:$J$91,9,FALSE()),""))</f>
      </c>
    </row>
    <row r="13698">
      <c r="F13698">
        <f>IF(DATOS!$A13698="","",DATOS!$A13698&amp;"|"&amp;DATOS!$D13698&amp;"|"&amp;DATOS!$E13698&amp;"|"&amp;DATOS!$I13698)</f>
      </c>
      <c r="G13698">
        <f>IF(DATOS!$A13698="",0,IF(CONFIG_METADATA!$B$4&lt;&gt;"OR+EX",--(DATOS!$G13698=CONFIG_METADATA!$B$4),IF(DATOS!$G13698="EX",1,IF(DATOS!$G13698="OR",--(COUNTIFS(nNIA,DATOS!$A13698,nCURSO,DATOS!$D13698,nESPEC,DATOS!$E13698,nASIG,DATOS!$I13698,nEVAL,"EX")=0),0))))</f>
      </c>
      <c r="H13698">
        <f>IF(DATOS!$G13698&lt;&gt;"EX",0,--(COUNTIFS(nNIA,DATOS!$A13698,nCURSO,DATOS!$D13698,nESPEC,DATOS!$E13698,nASIG,DATOS!$I13698,nEVAL,"OR")=0))</f>
      </c>
      <c r="I13698">
        <f>IF(DATOS!$I13698="","",IFERROR(VLOOKUP(DATOS!$I13698,CONFIG_ASIGNATURAS!$B$2:$J$91,9,FALSE()),""))</f>
      </c>
    </row>
    <row r="13699">
      <c r="F13699">
        <f>IF(DATOS!$A13699="","",DATOS!$A13699&amp;"|"&amp;DATOS!$D13699&amp;"|"&amp;DATOS!$E13699&amp;"|"&amp;DATOS!$I13699)</f>
      </c>
      <c r="G13699">
        <f>IF(DATOS!$A13699="",0,IF(CONFIG_METADATA!$B$4&lt;&gt;"OR+EX",--(DATOS!$G13699=CONFIG_METADATA!$B$4),IF(DATOS!$G13699="EX",1,IF(DATOS!$G13699="OR",--(COUNTIFS(nNIA,DATOS!$A13699,nCURSO,DATOS!$D13699,nESPEC,DATOS!$E13699,nASIG,DATOS!$I13699,nEVAL,"EX")=0),0))))</f>
      </c>
      <c r="H13699">
        <f>IF(DATOS!$G13699&lt;&gt;"EX",0,--(COUNTIFS(nNIA,DATOS!$A13699,nCURSO,DATOS!$D13699,nESPEC,DATOS!$E13699,nASIG,DATOS!$I13699,nEVAL,"OR")=0))</f>
      </c>
      <c r="I13699">
        <f>IF(DATOS!$I13699="","",IFERROR(VLOOKUP(DATOS!$I13699,CONFIG_ASIGNATURAS!$B$2:$J$91,9,FALSE()),""))</f>
      </c>
    </row>
    <row r="13700">
      <c r="F13700">
        <f>IF(DATOS!$A13700="","",DATOS!$A13700&amp;"|"&amp;DATOS!$D13700&amp;"|"&amp;DATOS!$E13700&amp;"|"&amp;DATOS!$I13700)</f>
      </c>
      <c r="G13700">
        <f>IF(DATOS!$A13700="",0,IF(CONFIG_METADATA!$B$4&lt;&gt;"OR+EX",--(DATOS!$G13700=CONFIG_METADATA!$B$4),IF(DATOS!$G13700="EX",1,IF(DATOS!$G13700="OR",--(COUNTIFS(nNIA,DATOS!$A13700,nCURSO,DATOS!$D13700,nESPEC,DATOS!$E13700,nASIG,DATOS!$I13700,nEVAL,"EX")=0),0))))</f>
      </c>
      <c r="H13700">
        <f>IF(DATOS!$G13700&lt;&gt;"EX",0,--(COUNTIFS(nNIA,DATOS!$A13700,nCURSO,DATOS!$D13700,nESPEC,DATOS!$E13700,nASIG,DATOS!$I13700,nEVAL,"OR")=0))</f>
      </c>
      <c r="I13700">
        <f>IF(DATOS!$I13700="","",IFERROR(VLOOKUP(DATOS!$I13700,CONFIG_ASIGNATURAS!$B$2:$J$91,9,FALSE()),""))</f>
      </c>
    </row>
    <row r="13701">
      <c r="F13701">
        <f>IF(DATOS!$A13701="","",DATOS!$A13701&amp;"|"&amp;DATOS!$D13701&amp;"|"&amp;DATOS!$E13701&amp;"|"&amp;DATOS!$I13701)</f>
      </c>
      <c r="G13701">
        <f>IF(DATOS!$A13701="",0,IF(CONFIG_METADATA!$B$4&lt;&gt;"OR+EX",--(DATOS!$G13701=CONFIG_METADATA!$B$4),IF(DATOS!$G13701="EX",1,IF(DATOS!$G13701="OR",--(COUNTIFS(nNIA,DATOS!$A13701,nCURSO,DATOS!$D13701,nESPEC,DATOS!$E13701,nASIG,DATOS!$I13701,nEVAL,"EX")=0),0))))</f>
      </c>
      <c r="H13701">
        <f>IF(DATOS!$G13701&lt;&gt;"EX",0,--(COUNTIFS(nNIA,DATOS!$A13701,nCURSO,DATOS!$D13701,nESPEC,DATOS!$E13701,nASIG,DATOS!$I13701,nEVAL,"OR")=0))</f>
      </c>
      <c r="I13701">
        <f>IF(DATOS!$I13701="","",IFERROR(VLOOKUP(DATOS!$I13701,CONFIG_ASIGNATURAS!$B$2:$J$91,9,FALSE()),""))</f>
      </c>
    </row>
    <row r="13702">
      <c r="F13702">
        <f>IF(DATOS!$A13702="","",DATOS!$A13702&amp;"|"&amp;DATOS!$D13702&amp;"|"&amp;DATOS!$E13702&amp;"|"&amp;DATOS!$I13702)</f>
      </c>
      <c r="G13702">
        <f>IF(DATOS!$A13702="",0,IF(CONFIG_METADATA!$B$4&lt;&gt;"OR+EX",--(DATOS!$G13702=CONFIG_METADATA!$B$4),IF(DATOS!$G13702="EX",1,IF(DATOS!$G13702="OR",--(COUNTIFS(nNIA,DATOS!$A13702,nCURSO,DATOS!$D13702,nESPEC,DATOS!$E13702,nASIG,DATOS!$I13702,nEVAL,"EX")=0),0))))</f>
      </c>
      <c r="H13702">
        <f>IF(DATOS!$G13702&lt;&gt;"EX",0,--(COUNTIFS(nNIA,DATOS!$A13702,nCURSO,DATOS!$D13702,nESPEC,DATOS!$E13702,nASIG,DATOS!$I13702,nEVAL,"OR")=0))</f>
      </c>
      <c r="I13702">
        <f>IF(DATOS!$I13702="","",IFERROR(VLOOKUP(DATOS!$I13702,CONFIG_ASIGNATURAS!$B$2:$J$91,9,FALSE()),""))</f>
      </c>
    </row>
    <row r="13703">
      <c r="F13703">
        <f>IF(DATOS!$A13703="","",DATOS!$A13703&amp;"|"&amp;DATOS!$D13703&amp;"|"&amp;DATOS!$E13703&amp;"|"&amp;DATOS!$I13703)</f>
      </c>
      <c r="G13703">
        <f>IF(DATOS!$A13703="",0,IF(CONFIG_METADATA!$B$4&lt;&gt;"OR+EX",--(DATOS!$G13703=CONFIG_METADATA!$B$4),IF(DATOS!$G13703="EX",1,IF(DATOS!$G13703="OR",--(COUNTIFS(nNIA,DATOS!$A13703,nCURSO,DATOS!$D13703,nESPEC,DATOS!$E13703,nASIG,DATOS!$I13703,nEVAL,"EX")=0),0))))</f>
      </c>
      <c r="H13703">
        <f>IF(DATOS!$G13703&lt;&gt;"EX",0,--(COUNTIFS(nNIA,DATOS!$A13703,nCURSO,DATOS!$D13703,nESPEC,DATOS!$E13703,nASIG,DATOS!$I13703,nEVAL,"OR")=0))</f>
      </c>
      <c r="I13703">
        <f>IF(DATOS!$I13703="","",IFERROR(VLOOKUP(DATOS!$I13703,CONFIG_ASIGNATURAS!$B$2:$J$91,9,FALSE()),""))</f>
      </c>
    </row>
    <row r="13704">
      <c r="F13704">
        <f>IF(DATOS!$A13704="","",DATOS!$A13704&amp;"|"&amp;DATOS!$D13704&amp;"|"&amp;DATOS!$E13704&amp;"|"&amp;DATOS!$I13704)</f>
      </c>
      <c r="G13704">
        <f>IF(DATOS!$A13704="",0,IF(CONFIG_METADATA!$B$4&lt;&gt;"OR+EX",--(DATOS!$G13704=CONFIG_METADATA!$B$4),IF(DATOS!$G13704="EX",1,IF(DATOS!$G13704="OR",--(COUNTIFS(nNIA,DATOS!$A13704,nCURSO,DATOS!$D13704,nESPEC,DATOS!$E13704,nASIG,DATOS!$I13704,nEVAL,"EX")=0),0))))</f>
      </c>
      <c r="H13704">
        <f>IF(DATOS!$G13704&lt;&gt;"EX",0,--(COUNTIFS(nNIA,DATOS!$A13704,nCURSO,DATOS!$D13704,nESPEC,DATOS!$E13704,nASIG,DATOS!$I13704,nEVAL,"OR")=0))</f>
      </c>
      <c r="I13704">
        <f>IF(DATOS!$I13704="","",IFERROR(VLOOKUP(DATOS!$I13704,CONFIG_ASIGNATURAS!$B$2:$J$91,9,FALSE()),""))</f>
      </c>
    </row>
    <row r="13705">
      <c r="F13705">
        <f>IF(DATOS!$A13705="","",DATOS!$A13705&amp;"|"&amp;DATOS!$D13705&amp;"|"&amp;DATOS!$E13705&amp;"|"&amp;DATOS!$I13705)</f>
      </c>
      <c r="G13705">
        <f>IF(DATOS!$A13705="",0,IF(CONFIG_METADATA!$B$4&lt;&gt;"OR+EX",--(DATOS!$G13705=CONFIG_METADATA!$B$4),IF(DATOS!$G13705="EX",1,IF(DATOS!$G13705="OR",--(COUNTIFS(nNIA,DATOS!$A13705,nCURSO,DATOS!$D13705,nESPEC,DATOS!$E13705,nASIG,DATOS!$I13705,nEVAL,"EX")=0),0))))</f>
      </c>
      <c r="H13705">
        <f>IF(DATOS!$G13705&lt;&gt;"EX",0,--(COUNTIFS(nNIA,DATOS!$A13705,nCURSO,DATOS!$D13705,nESPEC,DATOS!$E13705,nASIG,DATOS!$I13705,nEVAL,"OR")=0))</f>
      </c>
      <c r="I13705">
        <f>IF(DATOS!$I13705="","",IFERROR(VLOOKUP(DATOS!$I13705,CONFIG_ASIGNATURAS!$B$2:$J$91,9,FALSE()),""))</f>
      </c>
    </row>
    <row r="13706">
      <c r="F13706">
        <f>IF(DATOS!$A13706="","",DATOS!$A13706&amp;"|"&amp;DATOS!$D13706&amp;"|"&amp;DATOS!$E13706&amp;"|"&amp;DATOS!$I13706)</f>
      </c>
      <c r="G13706">
        <f>IF(DATOS!$A13706="",0,IF(CONFIG_METADATA!$B$4&lt;&gt;"OR+EX",--(DATOS!$G13706=CONFIG_METADATA!$B$4),IF(DATOS!$G13706="EX",1,IF(DATOS!$G13706="OR",--(COUNTIFS(nNIA,DATOS!$A13706,nCURSO,DATOS!$D13706,nESPEC,DATOS!$E13706,nASIG,DATOS!$I13706,nEVAL,"EX")=0),0))))</f>
      </c>
      <c r="H13706">
        <f>IF(DATOS!$G13706&lt;&gt;"EX",0,--(COUNTIFS(nNIA,DATOS!$A13706,nCURSO,DATOS!$D13706,nESPEC,DATOS!$E13706,nASIG,DATOS!$I13706,nEVAL,"OR")=0))</f>
      </c>
      <c r="I13706">
        <f>IF(DATOS!$I13706="","",IFERROR(VLOOKUP(DATOS!$I13706,CONFIG_ASIGNATURAS!$B$2:$J$91,9,FALSE()),""))</f>
      </c>
    </row>
    <row r="13707">
      <c r="F13707">
        <f>IF(DATOS!$A13707="","",DATOS!$A13707&amp;"|"&amp;DATOS!$D13707&amp;"|"&amp;DATOS!$E13707&amp;"|"&amp;DATOS!$I13707)</f>
      </c>
      <c r="G13707">
        <f>IF(DATOS!$A13707="",0,IF(CONFIG_METADATA!$B$4&lt;&gt;"OR+EX",--(DATOS!$G13707=CONFIG_METADATA!$B$4),IF(DATOS!$G13707="EX",1,IF(DATOS!$G13707="OR",--(COUNTIFS(nNIA,DATOS!$A13707,nCURSO,DATOS!$D13707,nESPEC,DATOS!$E13707,nASIG,DATOS!$I13707,nEVAL,"EX")=0),0))))</f>
      </c>
      <c r="H13707">
        <f>IF(DATOS!$G13707&lt;&gt;"EX",0,--(COUNTIFS(nNIA,DATOS!$A13707,nCURSO,DATOS!$D13707,nESPEC,DATOS!$E13707,nASIG,DATOS!$I13707,nEVAL,"OR")=0))</f>
      </c>
      <c r="I13707">
        <f>IF(DATOS!$I13707="","",IFERROR(VLOOKUP(DATOS!$I13707,CONFIG_ASIGNATURAS!$B$2:$J$91,9,FALSE()),""))</f>
      </c>
    </row>
    <row r="13708">
      <c r="F13708">
        <f>IF(DATOS!$A13708="","",DATOS!$A13708&amp;"|"&amp;DATOS!$D13708&amp;"|"&amp;DATOS!$E13708&amp;"|"&amp;DATOS!$I13708)</f>
      </c>
      <c r="G13708">
        <f>IF(DATOS!$A13708="",0,IF(CONFIG_METADATA!$B$4&lt;&gt;"OR+EX",--(DATOS!$G13708=CONFIG_METADATA!$B$4),IF(DATOS!$G13708="EX",1,IF(DATOS!$G13708="OR",--(COUNTIFS(nNIA,DATOS!$A13708,nCURSO,DATOS!$D13708,nESPEC,DATOS!$E13708,nASIG,DATOS!$I13708,nEVAL,"EX")=0),0))))</f>
      </c>
      <c r="H13708">
        <f>IF(DATOS!$G13708&lt;&gt;"EX",0,--(COUNTIFS(nNIA,DATOS!$A13708,nCURSO,DATOS!$D13708,nESPEC,DATOS!$E13708,nASIG,DATOS!$I13708,nEVAL,"OR")=0))</f>
      </c>
      <c r="I13708">
        <f>IF(DATOS!$I13708="","",IFERROR(VLOOKUP(DATOS!$I13708,CONFIG_ASIGNATURAS!$B$2:$J$91,9,FALSE()),""))</f>
      </c>
    </row>
    <row r="13709">
      <c r="F13709">
        <f>IF(DATOS!$A13709="","",DATOS!$A13709&amp;"|"&amp;DATOS!$D13709&amp;"|"&amp;DATOS!$E13709&amp;"|"&amp;DATOS!$I13709)</f>
      </c>
      <c r="G13709">
        <f>IF(DATOS!$A13709="",0,IF(CONFIG_METADATA!$B$4&lt;&gt;"OR+EX",--(DATOS!$G13709=CONFIG_METADATA!$B$4),IF(DATOS!$G13709="EX",1,IF(DATOS!$G13709="OR",--(COUNTIFS(nNIA,DATOS!$A13709,nCURSO,DATOS!$D13709,nESPEC,DATOS!$E13709,nASIG,DATOS!$I13709,nEVAL,"EX")=0),0))))</f>
      </c>
      <c r="H13709">
        <f>IF(DATOS!$G13709&lt;&gt;"EX",0,--(COUNTIFS(nNIA,DATOS!$A13709,nCURSO,DATOS!$D13709,nESPEC,DATOS!$E13709,nASIG,DATOS!$I13709,nEVAL,"OR")=0))</f>
      </c>
      <c r="I13709">
        <f>IF(DATOS!$I13709="","",IFERROR(VLOOKUP(DATOS!$I13709,CONFIG_ASIGNATURAS!$B$2:$J$91,9,FALSE()),""))</f>
      </c>
    </row>
    <row r="13710">
      <c r="F13710">
        <f>IF(DATOS!$A13710="","",DATOS!$A13710&amp;"|"&amp;DATOS!$D13710&amp;"|"&amp;DATOS!$E13710&amp;"|"&amp;DATOS!$I13710)</f>
      </c>
      <c r="G13710">
        <f>IF(DATOS!$A13710="",0,IF(CONFIG_METADATA!$B$4&lt;&gt;"OR+EX",--(DATOS!$G13710=CONFIG_METADATA!$B$4),IF(DATOS!$G13710="EX",1,IF(DATOS!$G13710="OR",--(COUNTIFS(nNIA,DATOS!$A13710,nCURSO,DATOS!$D13710,nESPEC,DATOS!$E13710,nASIG,DATOS!$I13710,nEVAL,"EX")=0),0))))</f>
      </c>
      <c r="H13710">
        <f>IF(DATOS!$G13710&lt;&gt;"EX",0,--(COUNTIFS(nNIA,DATOS!$A13710,nCURSO,DATOS!$D13710,nESPEC,DATOS!$E13710,nASIG,DATOS!$I13710,nEVAL,"OR")=0))</f>
      </c>
      <c r="I13710">
        <f>IF(DATOS!$I13710="","",IFERROR(VLOOKUP(DATOS!$I13710,CONFIG_ASIGNATURAS!$B$2:$J$91,9,FALSE()),""))</f>
      </c>
    </row>
    <row r="13711">
      <c r="F13711">
        <f>IF(DATOS!$A13711="","",DATOS!$A13711&amp;"|"&amp;DATOS!$D13711&amp;"|"&amp;DATOS!$E13711&amp;"|"&amp;DATOS!$I13711)</f>
      </c>
      <c r="G13711">
        <f>IF(DATOS!$A13711="",0,IF(CONFIG_METADATA!$B$4&lt;&gt;"OR+EX",--(DATOS!$G13711=CONFIG_METADATA!$B$4),IF(DATOS!$G13711="EX",1,IF(DATOS!$G13711="OR",--(COUNTIFS(nNIA,DATOS!$A13711,nCURSO,DATOS!$D13711,nESPEC,DATOS!$E13711,nASIG,DATOS!$I13711,nEVAL,"EX")=0),0))))</f>
      </c>
      <c r="H13711">
        <f>IF(DATOS!$G13711&lt;&gt;"EX",0,--(COUNTIFS(nNIA,DATOS!$A13711,nCURSO,DATOS!$D13711,nESPEC,DATOS!$E13711,nASIG,DATOS!$I13711,nEVAL,"OR")=0))</f>
      </c>
      <c r="I13711">
        <f>IF(DATOS!$I13711="","",IFERROR(VLOOKUP(DATOS!$I13711,CONFIG_ASIGNATURAS!$B$2:$J$91,9,FALSE()),""))</f>
      </c>
    </row>
    <row r="13712">
      <c r="F13712">
        <f>IF(DATOS!$A13712="","",DATOS!$A13712&amp;"|"&amp;DATOS!$D13712&amp;"|"&amp;DATOS!$E13712&amp;"|"&amp;DATOS!$I13712)</f>
      </c>
      <c r="G13712">
        <f>IF(DATOS!$A13712="",0,IF(CONFIG_METADATA!$B$4&lt;&gt;"OR+EX",--(DATOS!$G13712=CONFIG_METADATA!$B$4),IF(DATOS!$G13712="EX",1,IF(DATOS!$G13712="OR",--(COUNTIFS(nNIA,DATOS!$A13712,nCURSO,DATOS!$D13712,nESPEC,DATOS!$E13712,nASIG,DATOS!$I13712,nEVAL,"EX")=0),0))))</f>
      </c>
      <c r="H13712">
        <f>IF(DATOS!$G13712&lt;&gt;"EX",0,--(COUNTIFS(nNIA,DATOS!$A13712,nCURSO,DATOS!$D13712,nESPEC,DATOS!$E13712,nASIG,DATOS!$I13712,nEVAL,"OR")=0))</f>
      </c>
      <c r="I13712">
        <f>IF(DATOS!$I13712="","",IFERROR(VLOOKUP(DATOS!$I13712,CONFIG_ASIGNATURAS!$B$2:$J$91,9,FALSE()),""))</f>
      </c>
    </row>
    <row r="13713">
      <c r="F13713">
        <f>IF(DATOS!$A13713="","",DATOS!$A13713&amp;"|"&amp;DATOS!$D13713&amp;"|"&amp;DATOS!$E13713&amp;"|"&amp;DATOS!$I13713)</f>
      </c>
      <c r="G13713">
        <f>IF(DATOS!$A13713="",0,IF(CONFIG_METADATA!$B$4&lt;&gt;"OR+EX",--(DATOS!$G13713=CONFIG_METADATA!$B$4),IF(DATOS!$G13713="EX",1,IF(DATOS!$G13713="OR",--(COUNTIFS(nNIA,DATOS!$A13713,nCURSO,DATOS!$D13713,nESPEC,DATOS!$E13713,nASIG,DATOS!$I13713,nEVAL,"EX")=0),0))))</f>
      </c>
      <c r="H13713">
        <f>IF(DATOS!$G13713&lt;&gt;"EX",0,--(COUNTIFS(nNIA,DATOS!$A13713,nCURSO,DATOS!$D13713,nESPEC,DATOS!$E13713,nASIG,DATOS!$I13713,nEVAL,"OR")=0))</f>
      </c>
      <c r="I13713">
        <f>IF(DATOS!$I13713="","",IFERROR(VLOOKUP(DATOS!$I13713,CONFIG_ASIGNATURAS!$B$2:$J$91,9,FALSE()),""))</f>
      </c>
    </row>
    <row r="13714">
      <c r="F13714">
        <f>IF(DATOS!$A13714="","",DATOS!$A13714&amp;"|"&amp;DATOS!$D13714&amp;"|"&amp;DATOS!$E13714&amp;"|"&amp;DATOS!$I13714)</f>
      </c>
      <c r="G13714">
        <f>IF(DATOS!$A13714="",0,IF(CONFIG_METADATA!$B$4&lt;&gt;"OR+EX",--(DATOS!$G13714=CONFIG_METADATA!$B$4),IF(DATOS!$G13714="EX",1,IF(DATOS!$G13714="OR",--(COUNTIFS(nNIA,DATOS!$A13714,nCURSO,DATOS!$D13714,nESPEC,DATOS!$E13714,nASIG,DATOS!$I13714,nEVAL,"EX")=0),0))))</f>
      </c>
      <c r="H13714">
        <f>IF(DATOS!$G13714&lt;&gt;"EX",0,--(COUNTIFS(nNIA,DATOS!$A13714,nCURSO,DATOS!$D13714,nESPEC,DATOS!$E13714,nASIG,DATOS!$I13714,nEVAL,"OR")=0))</f>
      </c>
      <c r="I13714">
        <f>IF(DATOS!$I13714="","",IFERROR(VLOOKUP(DATOS!$I13714,CONFIG_ASIGNATURAS!$B$2:$J$91,9,FALSE()),""))</f>
      </c>
    </row>
    <row r="13715">
      <c r="F13715">
        <f>IF(DATOS!$A13715="","",DATOS!$A13715&amp;"|"&amp;DATOS!$D13715&amp;"|"&amp;DATOS!$E13715&amp;"|"&amp;DATOS!$I13715)</f>
      </c>
      <c r="G13715">
        <f>IF(DATOS!$A13715="",0,IF(CONFIG_METADATA!$B$4&lt;&gt;"OR+EX",--(DATOS!$G13715=CONFIG_METADATA!$B$4),IF(DATOS!$G13715="EX",1,IF(DATOS!$G13715="OR",--(COUNTIFS(nNIA,DATOS!$A13715,nCURSO,DATOS!$D13715,nESPEC,DATOS!$E13715,nASIG,DATOS!$I13715,nEVAL,"EX")=0),0))))</f>
      </c>
      <c r="H13715">
        <f>IF(DATOS!$G13715&lt;&gt;"EX",0,--(COUNTIFS(nNIA,DATOS!$A13715,nCURSO,DATOS!$D13715,nESPEC,DATOS!$E13715,nASIG,DATOS!$I13715,nEVAL,"OR")=0))</f>
      </c>
      <c r="I13715">
        <f>IF(DATOS!$I13715="","",IFERROR(VLOOKUP(DATOS!$I13715,CONFIG_ASIGNATURAS!$B$2:$J$91,9,FALSE()),""))</f>
      </c>
    </row>
    <row r="13716">
      <c r="F13716">
        <f>IF(DATOS!$A13716="","",DATOS!$A13716&amp;"|"&amp;DATOS!$D13716&amp;"|"&amp;DATOS!$E13716&amp;"|"&amp;DATOS!$I13716)</f>
      </c>
      <c r="G13716">
        <f>IF(DATOS!$A13716="",0,IF(CONFIG_METADATA!$B$4&lt;&gt;"OR+EX",--(DATOS!$G13716=CONFIG_METADATA!$B$4),IF(DATOS!$G13716="EX",1,IF(DATOS!$G13716="OR",--(COUNTIFS(nNIA,DATOS!$A13716,nCURSO,DATOS!$D13716,nESPEC,DATOS!$E13716,nASIG,DATOS!$I13716,nEVAL,"EX")=0),0))))</f>
      </c>
      <c r="H13716">
        <f>IF(DATOS!$G13716&lt;&gt;"EX",0,--(COUNTIFS(nNIA,DATOS!$A13716,nCURSO,DATOS!$D13716,nESPEC,DATOS!$E13716,nASIG,DATOS!$I13716,nEVAL,"OR")=0))</f>
      </c>
      <c r="I13716">
        <f>IF(DATOS!$I13716="","",IFERROR(VLOOKUP(DATOS!$I13716,CONFIG_ASIGNATURAS!$B$2:$J$91,9,FALSE()),""))</f>
      </c>
    </row>
    <row r="13717">
      <c r="F13717">
        <f>IF(DATOS!$A13717="","",DATOS!$A13717&amp;"|"&amp;DATOS!$D13717&amp;"|"&amp;DATOS!$E13717&amp;"|"&amp;DATOS!$I13717)</f>
      </c>
      <c r="G13717">
        <f>IF(DATOS!$A13717="",0,IF(CONFIG_METADATA!$B$4&lt;&gt;"OR+EX",--(DATOS!$G13717=CONFIG_METADATA!$B$4),IF(DATOS!$G13717="EX",1,IF(DATOS!$G13717="OR",--(COUNTIFS(nNIA,DATOS!$A13717,nCURSO,DATOS!$D13717,nESPEC,DATOS!$E13717,nASIG,DATOS!$I13717,nEVAL,"EX")=0),0))))</f>
      </c>
      <c r="H13717">
        <f>IF(DATOS!$G13717&lt;&gt;"EX",0,--(COUNTIFS(nNIA,DATOS!$A13717,nCURSO,DATOS!$D13717,nESPEC,DATOS!$E13717,nASIG,DATOS!$I13717,nEVAL,"OR")=0))</f>
      </c>
      <c r="I13717">
        <f>IF(DATOS!$I13717="","",IFERROR(VLOOKUP(DATOS!$I13717,CONFIG_ASIGNATURAS!$B$2:$J$91,9,FALSE()),""))</f>
      </c>
    </row>
    <row r="13718">
      <c r="F13718">
        <f>IF(DATOS!$A13718="","",DATOS!$A13718&amp;"|"&amp;DATOS!$D13718&amp;"|"&amp;DATOS!$E13718&amp;"|"&amp;DATOS!$I13718)</f>
      </c>
      <c r="G13718">
        <f>IF(DATOS!$A13718="",0,IF(CONFIG_METADATA!$B$4&lt;&gt;"OR+EX",--(DATOS!$G13718=CONFIG_METADATA!$B$4),IF(DATOS!$G13718="EX",1,IF(DATOS!$G13718="OR",--(COUNTIFS(nNIA,DATOS!$A13718,nCURSO,DATOS!$D13718,nESPEC,DATOS!$E13718,nASIG,DATOS!$I13718,nEVAL,"EX")=0),0))))</f>
      </c>
      <c r="H13718">
        <f>IF(DATOS!$G13718&lt;&gt;"EX",0,--(COUNTIFS(nNIA,DATOS!$A13718,nCURSO,DATOS!$D13718,nESPEC,DATOS!$E13718,nASIG,DATOS!$I13718,nEVAL,"OR")=0))</f>
      </c>
      <c r="I13718">
        <f>IF(DATOS!$I13718="","",IFERROR(VLOOKUP(DATOS!$I13718,CONFIG_ASIGNATURAS!$B$2:$J$91,9,FALSE()),""))</f>
      </c>
    </row>
    <row r="13719">
      <c r="F13719">
        <f>IF(DATOS!$A13719="","",DATOS!$A13719&amp;"|"&amp;DATOS!$D13719&amp;"|"&amp;DATOS!$E13719&amp;"|"&amp;DATOS!$I13719)</f>
      </c>
      <c r="G13719">
        <f>IF(DATOS!$A13719="",0,IF(CONFIG_METADATA!$B$4&lt;&gt;"OR+EX",--(DATOS!$G13719=CONFIG_METADATA!$B$4),IF(DATOS!$G13719="EX",1,IF(DATOS!$G13719="OR",--(COUNTIFS(nNIA,DATOS!$A13719,nCURSO,DATOS!$D13719,nESPEC,DATOS!$E13719,nASIG,DATOS!$I13719,nEVAL,"EX")=0),0))))</f>
      </c>
      <c r="H13719">
        <f>IF(DATOS!$G13719&lt;&gt;"EX",0,--(COUNTIFS(nNIA,DATOS!$A13719,nCURSO,DATOS!$D13719,nESPEC,DATOS!$E13719,nASIG,DATOS!$I13719,nEVAL,"OR")=0))</f>
      </c>
      <c r="I13719">
        <f>IF(DATOS!$I13719="","",IFERROR(VLOOKUP(DATOS!$I13719,CONFIG_ASIGNATURAS!$B$2:$J$91,9,FALSE()),""))</f>
      </c>
    </row>
    <row r="13720">
      <c r="F13720">
        <f>IF(DATOS!$A13720="","",DATOS!$A13720&amp;"|"&amp;DATOS!$D13720&amp;"|"&amp;DATOS!$E13720&amp;"|"&amp;DATOS!$I13720)</f>
      </c>
      <c r="G13720">
        <f>IF(DATOS!$A13720="",0,IF(CONFIG_METADATA!$B$4&lt;&gt;"OR+EX",--(DATOS!$G13720=CONFIG_METADATA!$B$4),IF(DATOS!$G13720="EX",1,IF(DATOS!$G13720="OR",--(COUNTIFS(nNIA,DATOS!$A13720,nCURSO,DATOS!$D13720,nESPEC,DATOS!$E13720,nASIG,DATOS!$I13720,nEVAL,"EX")=0),0))))</f>
      </c>
      <c r="H13720">
        <f>IF(DATOS!$G13720&lt;&gt;"EX",0,--(COUNTIFS(nNIA,DATOS!$A13720,nCURSO,DATOS!$D13720,nESPEC,DATOS!$E13720,nASIG,DATOS!$I13720,nEVAL,"OR")=0))</f>
      </c>
      <c r="I13720">
        <f>IF(DATOS!$I13720="","",IFERROR(VLOOKUP(DATOS!$I13720,CONFIG_ASIGNATURAS!$B$2:$J$91,9,FALSE()),""))</f>
      </c>
    </row>
    <row r="13721">
      <c r="F13721">
        <f>IF(DATOS!$A13721="","",DATOS!$A13721&amp;"|"&amp;DATOS!$D13721&amp;"|"&amp;DATOS!$E13721&amp;"|"&amp;DATOS!$I13721)</f>
      </c>
      <c r="G13721">
        <f>IF(DATOS!$A13721="",0,IF(CONFIG_METADATA!$B$4&lt;&gt;"OR+EX",--(DATOS!$G13721=CONFIG_METADATA!$B$4),IF(DATOS!$G13721="EX",1,IF(DATOS!$G13721="OR",--(COUNTIFS(nNIA,DATOS!$A13721,nCURSO,DATOS!$D13721,nESPEC,DATOS!$E13721,nASIG,DATOS!$I13721,nEVAL,"EX")=0),0))))</f>
      </c>
      <c r="H13721">
        <f>IF(DATOS!$G13721&lt;&gt;"EX",0,--(COUNTIFS(nNIA,DATOS!$A13721,nCURSO,DATOS!$D13721,nESPEC,DATOS!$E13721,nASIG,DATOS!$I13721,nEVAL,"OR")=0))</f>
      </c>
      <c r="I13721">
        <f>IF(DATOS!$I13721="","",IFERROR(VLOOKUP(DATOS!$I13721,CONFIG_ASIGNATURAS!$B$2:$J$91,9,FALSE()),""))</f>
      </c>
    </row>
    <row r="13722">
      <c r="F13722">
        <f>IF(DATOS!$A13722="","",DATOS!$A13722&amp;"|"&amp;DATOS!$D13722&amp;"|"&amp;DATOS!$E13722&amp;"|"&amp;DATOS!$I13722)</f>
      </c>
      <c r="G13722">
        <f>IF(DATOS!$A13722="",0,IF(CONFIG_METADATA!$B$4&lt;&gt;"OR+EX",--(DATOS!$G13722=CONFIG_METADATA!$B$4),IF(DATOS!$G13722="EX",1,IF(DATOS!$G13722="OR",--(COUNTIFS(nNIA,DATOS!$A13722,nCURSO,DATOS!$D13722,nESPEC,DATOS!$E13722,nASIG,DATOS!$I13722,nEVAL,"EX")=0),0))))</f>
      </c>
      <c r="H13722">
        <f>IF(DATOS!$G13722&lt;&gt;"EX",0,--(COUNTIFS(nNIA,DATOS!$A13722,nCURSO,DATOS!$D13722,nESPEC,DATOS!$E13722,nASIG,DATOS!$I13722,nEVAL,"OR")=0))</f>
      </c>
      <c r="I13722">
        <f>IF(DATOS!$I13722="","",IFERROR(VLOOKUP(DATOS!$I13722,CONFIG_ASIGNATURAS!$B$2:$J$91,9,FALSE()),""))</f>
      </c>
    </row>
    <row r="13723">
      <c r="F13723">
        <f>IF(DATOS!$A13723="","",DATOS!$A13723&amp;"|"&amp;DATOS!$D13723&amp;"|"&amp;DATOS!$E13723&amp;"|"&amp;DATOS!$I13723)</f>
      </c>
      <c r="G13723">
        <f>IF(DATOS!$A13723="",0,IF(CONFIG_METADATA!$B$4&lt;&gt;"OR+EX",--(DATOS!$G13723=CONFIG_METADATA!$B$4),IF(DATOS!$G13723="EX",1,IF(DATOS!$G13723="OR",--(COUNTIFS(nNIA,DATOS!$A13723,nCURSO,DATOS!$D13723,nESPEC,DATOS!$E13723,nASIG,DATOS!$I13723,nEVAL,"EX")=0),0))))</f>
      </c>
      <c r="H13723">
        <f>IF(DATOS!$G13723&lt;&gt;"EX",0,--(COUNTIFS(nNIA,DATOS!$A13723,nCURSO,DATOS!$D13723,nESPEC,DATOS!$E13723,nASIG,DATOS!$I13723,nEVAL,"OR")=0))</f>
      </c>
      <c r="I13723">
        <f>IF(DATOS!$I13723="","",IFERROR(VLOOKUP(DATOS!$I13723,CONFIG_ASIGNATURAS!$B$2:$J$91,9,FALSE()),""))</f>
      </c>
    </row>
    <row r="13724">
      <c r="F13724">
        <f>IF(DATOS!$A13724="","",DATOS!$A13724&amp;"|"&amp;DATOS!$D13724&amp;"|"&amp;DATOS!$E13724&amp;"|"&amp;DATOS!$I13724)</f>
      </c>
      <c r="G13724">
        <f>IF(DATOS!$A13724="",0,IF(CONFIG_METADATA!$B$4&lt;&gt;"OR+EX",--(DATOS!$G13724=CONFIG_METADATA!$B$4),IF(DATOS!$G13724="EX",1,IF(DATOS!$G13724="OR",--(COUNTIFS(nNIA,DATOS!$A13724,nCURSO,DATOS!$D13724,nESPEC,DATOS!$E13724,nASIG,DATOS!$I13724,nEVAL,"EX")=0),0))))</f>
      </c>
      <c r="H13724">
        <f>IF(DATOS!$G13724&lt;&gt;"EX",0,--(COUNTIFS(nNIA,DATOS!$A13724,nCURSO,DATOS!$D13724,nESPEC,DATOS!$E13724,nASIG,DATOS!$I13724,nEVAL,"OR")=0))</f>
      </c>
      <c r="I13724">
        <f>IF(DATOS!$I13724="","",IFERROR(VLOOKUP(DATOS!$I13724,CONFIG_ASIGNATURAS!$B$2:$J$91,9,FALSE()),""))</f>
      </c>
    </row>
    <row r="13725">
      <c r="F13725">
        <f>IF(DATOS!$A13725="","",DATOS!$A13725&amp;"|"&amp;DATOS!$D13725&amp;"|"&amp;DATOS!$E13725&amp;"|"&amp;DATOS!$I13725)</f>
      </c>
      <c r="G13725">
        <f>IF(DATOS!$A13725="",0,IF(CONFIG_METADATA!$B$4&lt;&gt;"OR+EX",--(DATOS!$G13725=CONFIG_METADATA!$B$4),IF(DATOS!$G13725="EX",1,IF(DATOS!$G13725="OR",--(COUNTIFS(nNIA,DATOS!$A13725,nCURSO,DATOS!$D13725,nESPEC,DATOS!$E13725,nASIG,DATOS!$I13725,nEVAL,"EX")=0),0))))</f>
      </c>
      <c r="H13725">
        <f>IF(DATOS!$G13725&lt;&gt;"EX",0,--(COUNTIFS(nNIA,DATOS!$A13725,nCURSO,DATOS!$D13725,nESPEC,DATOS!$E13725,nASIG,DATOS!$I13725,nEVAL,"OR")=0))</f>
      </c>
      <c r="I13725">
        <f>IF(DATOS!$I13725="","",IFERROR(VLOOKUP(DATOS!$I13725,CONFIG_ASIGNATURAS!$B$2:$J$91,9,FALSE()),""))</f>
      </c>
    </row>
    <row r="13726">
      <c r="F13726">
        <f>IF(DATOS!$A13726="","",DATOS!$A13726&amp;"|"&amp;DATOS!$D13726&amp;"|"&amp;DATOS!$E13726&amp;"|"&amp;DATOS!$I13726)</f>
      </c>
      <c r="G13726">
        <f>IF(DATOS!$A13726="",0,IF(CONFIG_METADATA!$B$4&lt;&gt;"OR+EX",--(DATOS!$G13726=CONFIG_METADATA!$B$4),IF(DATOS!$G13726="EX",1,IF(DATOS!$G13726="OR",--(COUNTIFS(nNIA,DATOS!$A13726,nCURSO,DATOS!$D13726,nESPEC,DATOS!$E13726,nASIG,DATOS!$I13726,nEVAL,"EX")=0),0))))</f>
      </c>
      <c r="H13726">
        <f>IF(DATOS!$G13726&lt;&gt;"EX",0,--(COUNTIFS(nNIA,DATOS!$A13726,nCURSO,DATOS!$D13726,nESPEC,DATOS!$E13726,nASIG,DATOS!$I13726,nEVAL,"OR")=0))</f>
      </c>
      <c r="I13726">
        <f>IF(DATOS!$I13726="","",IFERROR(VLOOKUP(DATOS!$I13726,CONFIG_ASIGNATURAS!$B$2:$J$91,9,FALSE()),""))</f>
      </c>
    </row>
    <row r="13727">
      <c r="F13727">
        <f>IF(DATOS!$A13727="","",DATOS!$A13727&amp;"|"&amp;DATOS!$D13727&amp;"|"&amp;DATOS!$E13727&amp;"|"&amp;DATOS!$I13727)</f>
      </c>
      <c r="G13727">
        <f>IF(DATOS!$A13727="",0,IF(CONFIG_METADATA!$B$4&lt;&gt;"OR+EX",--(DATOS!$G13727=CONFIG_METADATA!$B$4),IF(DATOS!$G13727="EX",1,IF(DATOS!$G13727="OR",--(COUNTIFS(nNIA,DATOS!$A13727,nCURSO,DATOS!$D13727,nESPEC,DATOS!$E13727,nASIG,DATOS!$I13727,nEVAL,"EX")=0),0))))</f>
      </c>
      <c r="H13727">
        <f>IF(DATOS!$G13727&lt;&gt;"EX",0,--(COUNTIFS(nNIA,DATOS!$A13727,nCURSO,DATOS!$D13727,nESPEC,DATOS!$E13727,nASIG,DATOS!$I13727,nEVAL,"OR")=0))</f>
      </c>
      <c r="I13727">
        <f>IF(DATOS!$I13727="","",IFERROR(VLOOKUP(DATOS!$I13727,CONFIG_ASIGNATURAS!$B$2:$J$91,9,FALSE()),""))</f>
      </c>
    </row>
    <row r="13728">
      <c r="F13728">
        <f>IF(DATOS!$A13728="","",DATOS!$A13728&amp;"|"&amp;DATOS!$D13728&amp;"|"&amp;DATOS!$E13728&amp;"|"&amp;DATOS!$I13728)</f>
      </c>
      <c r="G13728">
        <f>IF(DATOS!$A13728="",0,IF(CONFIG_METADATA!$B$4&lt;&gt;"OR+EX",--(DATOS!$G13728=CONFIG_METADATA!$B$4),IF(DATOS!$G13728="EX",1,IF(DATOS!$G13728="OR",--(COUNTIFS(nNIA,DATOS!$A13728,nCURSO,DATOS!$D13728,nESPEC,DATOS!$E13728,nASIG,DATOS!$I13728,nEVAL,"EX")=0),0))))</f>
      </c>
      <c r="H13728">
        <f>IF(DATOS!$G13728&lt;&gt;"EX",0,--(COUNTIFS(nNIA,DATOS!$A13728,nCURSO,DATOS!$D13728,nESPEC,DATOS!$E13728,nASIG,DATOS!$I13728,nEVAL,"OR")=0))</f>
      </c>
      <c r="I13728">
        <f>IF(DATOS!$I13728="","",IFERROR(VLOOKUP(DATOS!$I13728,CONFIG_ASIGNATURAS!$B$2:$J$91,9,FALSE()),""))</f>
      </c>
    </row>
    <row r="13729">
      <c r="F13729">
        <f>IF(DATOS!$A13729="","",DATOS!$A13729&amp;"|"&amp;DATOS!$D13729&amp;"|"&amp;DATOS!$E13729&amp;"|"&amp;DATOS!$I13729)</f>
      </c>
      <c r="G13729">
        <f>IF(DATOS!$A13729="",0,IF(CONFIG_METADATA!$B$4&lt;&gt;"OR+EX",--(DATOS!$G13729=CONFIG_METADATA!$B$4),IF(DATOS!$G13729="EX",1,IF(DATOS!$G13729="OR",--(COUNTIFS(nNIA,DATOS!$A13729,nCURSO,DATOS!$D13729,nESPEC,DATOS!$E13729,nASIG,DATOS!$I13729,nEVAL,"EX")=0),0))))</f>
      </c>
      <c r="H13729">
        <f>IF(DATOS!$G13729&lt;&gt;"EX",0,--(COUNTIFS(nNIA,DATOS!$A13729,nCURSO,DATOS!$D13729,nESPEC,DATOS!$E13729,nASIG,DATOS!$I13729,nEVAL,"OR")=0))</f>
      </c>
      <c r="I13729">
        <f>IF(DATOS!$I13729="","",IFERROR(VLOOKUP(DATOS!$I13729,CONFIG_ASIGNATURAS!$B$2:$J$91,9,FALSE()),""))</f>
      </c>
    </row>
    <row r="13730">
      <c r="F13730">
        <f>IF(DATOS!$A13730="","",DATOS!$A13730&amp;"|"&amp;DATOS!$D13730&amp;"|"&amp;DATOS!$E13730&amp;"|"&amp;DATOS!$I13730)</f>
      </c>
      <c r="G13730">
        <f>IF(DATOS!$A13730="",0,IF(CONFIG_METADATA!$B$4&lt;&gt;"OR+EX",--(DATOS!$G13730=CONFIG_METADATA!$B$4),IF(DATOS!$G13730="EX",1,IF(DATOS!$G13730="OR",--(COUNTIFS(nNIA,DATOS!$A13730,nCURSO,DATOS!$D13730,nESPEC,DATOS!$E13730,nASIG,DATOS!$I13730,nEVAL,"EX")=0),0))))</f>
      </c>
      <c r="H13730">
        <f>IF(DATOS!$G13730&lt;&gt;"EX",0,--(COUNTIFS(nNIA,DATOS!$A13730,nCURSO,DATOS!$D13730,nESPEC,DATOS!$E13730,nASIG,DATOS!$I13730,nEVAL,"OR")=0))</f>
      </c>
      <c r="I13730">
        <f>IF(DATOS!$I13730="","",IFERROR(VLOOKUP(DATOS!$I13730,CONFIG_ASIGNATURAS!$B$2:$J$91,9,FALSE()),""))</f>
      </c>
    </row>
    <row r="13731">
      <c r="F13731">
        <f>IF(DATOS!$A13731="","",DATOS!$A13731&amp;"|"&amp;DATOS!$D13731&amp;"|"&amp;DATOS!$E13731&amp;"|"&amp;DATOS!$I13731)</f>
      </c>
      <c r="G13731">
        <f>IF(DATOS!$A13731="",0,IF(CONFIG_METADATA!$B$4&lt;&gt;"OR+EX",--(DATOS!$G13731=CONFIG_METADATA!$B$4),IF(DATOS!$G13731="EX",1,IF(DATOS!$G13731="OR",--(COUNTIFS(nNIA,DATOS!$A13731,nCURSO,DATOS!$D13731,nESPEC,DATOS!$E13731,nASIG,DATOS!$I13731,nEVAL,"EX")=0),0))))</f>
      </c>
      <c r="H13731">
        <f>IF(DATOS!$G13731&lt;&gt;"EX",0,--(COUNTIFS(nNIA,DATOS!$A13731,nCURSO,DATOS!$D13731,nESPEC,DATOS!$E13731,nASIG,DATOS!$I13731,nEVAL,"OR")=0))</f>
      </c>
      <c r="I13731">
        <f>IF(DATOS!$I13731="","",IFERROR(VLOOKUP(DATOS!$I13731,CONFIG_ASIGNATURAS!$B$2:$J$91,9,FALSE()),""))</f>
      </c>
    </row>
    <row r="13732">
      <c r="F13732">
        <f>IF(DATOS!$A13732="","",DATOS!$A13732&amp;"|"&amp;DATOS!$D13732&amp;"|"&amp;DATOS!$E13732&amp;"|"&amp;DATOS!$I13732)</f>
      </c>
      <c r="G13732">
        <f>IF(DATOS!$A13732="",0,IF(CONFIG_METADATA!$B$4&lt;&gt;"OR+EX",--(DATOS!$G13732=CONFIG_METADATA!$B$4),IF(DATOS!$G13732="EX",1,IF(DATOS!$G13732="OR",--(COUNTIFS(nNIA,DATOS!$A13732,nCURSO,DATOS!$D13732,nESPEC,DATOS!$E13732,nASIG,DATOS!$I13732,nEVAL,"EX")=0),0))))</f>
      </c>
      <c r="H13732">
        <f>IF(DATOS!$G13732&lt;&gt;"EX",0,--(COUNTIFS(nNIA,DATOS!$A13732,nCURSO,DATOS!$D13732,nESPEC,DATOS!$E13732,nASIG,DATOS!$I13732,nEVAL,"OR")=0))</f>
      </c>
      <c r="I13732">
        <f>IF(DATOS!$I13732="","",IFERROR(VLOOKUP(DATOS!$I13732,CONFIG_ASIGNATURAS!$B$2:$J$91,9,FALSE()),""))</f>
      </c>
    </row>
    <row r="13733">
      <c r="F13733">
        <f>IF(DATOS!$A13733="","",DATOS!$A13733&amp;"|"&amp;DATOS!$D13733&amp;"|"&amp;DATOS!$E13733&amp;"|"&amp;DATOS!$I13733)</f>
      </c>
      <c r="G13733">
        <f>IF(DATOS!$A13733="",0,IF(CONFIG_METADATA!$B$4&lt;&gt;"OR+EX",--(DATOS!$G13733=CONFIG_METADATA!$B$4),IF(DATOS!$G13733="EX",1,IF(DATOS!$G13733="OR",--(COUNTIFS(nNIA,DATOS!$A13733,nCURSO,DATOS!$D13733,nESPEC,DATOS!$E13733,nASIG,DATOS!$I13733,nEVAL,"EX")=0),0))))</f>
      </c>
      <c r="H13733">
        <f>IF(DATOS!$G13733&lt;&gt;"EX",0,--(COUNTIFS(nNIA,DATOS!$A13733,nCURSO,DATOS!$D13733,nESPEC,DATOS!$E13733,nASIG,DATOS!$I13733,nEVAL,"OR")=0))</f>
      </c>
      <c r="I13733">
        <f>IF(DATOS!$I13733="","",IFERROR(VLOOKUP(DATOS!$I13733,CONFIG_ASIGNATURAS!$B$2:$J$91,9,FALSE()),""))</f>
      </c>
    </row>
    <row r="13734">
      <c r="F13734">
        <f>IF(DATOS!$A13734="","",DATOS!$A13734&amp;"|"&amp;DATOS!$D13734&amp;"|"&amp;DATOS!$E13734&amp;"|"&amp;DATOS!$I13734)</f>
      </c>
      <c r="G13734">
        <f>IF(DATOS!$A13734="",0,IF(CONFIG_METADATA!$B$4&lt;&gt;"OR+EX",--(DATOS!$G13734=CONFIG_METADATA!$B$4),IF(DATOS!$G13734="EX",1,IF(DATOS!$G13734="OR",--(COUNTIFS(nNIA,DATOS!$A13734,nCURSO,DATOS!$D13734,nESPEC,DATOS!$E13734,nASIG,DATOS!$I13734,nEVAL,"EX")=0),0))))</f>
      </c>
      <c r="H13734">
        <f>IF(DATOS!$G13734&lt;&gt;"EX",0,--(COUNTIFS(nNIA,DATOS!$A13734,nCURSO,DATOS!$D13734,nESPEC,DATOS!$E13734,nASIG,DATOS!$I13734,nEVAL,"OR")=0))</f>
      </c>
      <c r="I13734">
        <f>IF(DATOS!$I13734="","",IFERROR(VLOOKUP(DATOS!$I13734,CONFIG_ASIGNATURAS!$B$2:$J$91,9,FALSE()),""))</f>
      </c>
    </row>
    <row r="13735">
      <c r="F13735">
        <f>IF(DATOS!$A13735="","",DATOS!$A13735&amp;"|"&amp;DATOS!$D13735&amp;"|"&amp;DATOS!$E13735&amp;"|"&amp;DATOS!$I13735)</f>
      </c>
      <c r="G13735">
        <f>IF(DATOS!$A13735="",0,IF(CONFIG_METADATA!$B$4&lt;&gt;"OR+EX",--(DATOS!$G13735=CONFIG_METADATA!$B$4),IF(DATOS!$G13735="EX",1,IF(DATOS!$G13735="OR",--(COUNTIFS(nNIA,DATOS!$A13735,nCURSO,DATOS!$D13735,nESPEC,DATOS!$E13735,nASIG,DATOS!$I13735,nEVAL,"EX")=0),0))))</f>
      </c>
      <c r="H13735">
        <f>IF(DATOS!$G13735&lt;&gt;"EX",0,--(COUNTIFS(nNIA,DATOS!$A13735,nCURSO,DATOS!$D13735,nESPEC,DATOS!$E13735,nASIG,DATOS!$I13735,nEVAL,"OR")=0))</f>
      </c>
      <c r="I13735">
        <f>IF(DATOS!$I13735="","",IFERROR(VLOOKUP(DATOS!$I13735,CONFIG_ASIGNATURAS!$B$2:$J$91,9,FALSE()),""))</f>
      </c>
    </row>
    <row r="13736">
      <c r="F13736">
        <f>IF(DATOS!$A13736="","",DATOS!$A13736&amp;"|"&amp;DATOS!$D13736&amp;"|"&amp;DATOS!$E13736&amp;"|"&amp;DATOS!$I13736)</f>
      </c>
      <c r="G13736">
        <f>IF(DATOS!$A13736="",0,IF(CONFIG_METADATA!$B$4&lt;&gt;"OR+EX",--(DATOS!$G13736=CONFIG_METADATA!$B$4),IF(DATOS!$G13736="EX",1,IF(DATOS!$G13736="OR",--(COUNTIFS(nNIA,DATOS!$A13736,nCURSO,DATOS!$D13736,nESPEC,DATOS!$E13736,nASIG,DATOS!$I13736,nEVAL,"EX")=0),0))))</f>
      </c>
      <c r="H13736">
        <f>IF(DATOS!$G13736&lt;&gt;"EX",0,--(COUNTIFS(nNIA,DATOS!$A13736,nCURSO,DATOS!$D13736,nESPEC,DATOS!$E13736,nASIG,DATOS!$I13736,nEVAL,"OR")=0))</f>
      </c>
      <c r="I13736">
        <f>IF(DATOS!$I13736="","",IFERROR(VLOOKUP(DATOS!$I13736,CONFIG_ASIGNATURAS!$B$2:$J$91,9,FALSE()),""))</f>
      </c>
    </row>
    <row r="13737">
      <c r="F13737">
        <f>IF(DATOS!$A13737="","",DATOS!$A13737&amp;"|"&amp;DATOS!$D13737&amp;"|"&amp;DATOS!$E13737&amp;"|"&amp;DATOS!$I13737)</f>
      </c>
      <c r="G13737">
        <f>IF(DATOS!$A13737="",0,IF(CONFIG_METADATA!$B$4&lt;&gt;"OR+EX",--(DATOS!$G13737=CONFIG_METADATA!$B$4),IF(DATOS!$G13737="EX",1,IF(DATOS!$G13737="OR",--(COUNTIFS(nNIA,DATOS!$A13737,nCURSO,DATOS!$D13737,nESPEC,DATOS!$E13737,nASIG,DATOS!$I13737,nEVAL,"EX")=0),0))))</f>
      </c>
      <c r="H13737">
        <f>IF(DATOS!$G13737&lt;&gt;"EX",0,--(COUNTIFS(nNIA,DATOS!$A13737,nCURSO,DATOS!$D13737,nESPEC,DATOS!$E13737,nASIG,DATOS!$I13737,nEVAL,"OR")=0))</f>
      </c>
      <c r="I13737">
        <f>IF(DATOS!$I13737="","",IFERROR(VLOOKUP(DATOS!$I13737,CONFIG_ASIGNATURAS!$B$2:$J$91,9,FALSE()),""))</f>
      </c>
    </row>
    <row r="13738">
      <c r="F13738">
        <f>IF(DATOS!$A13738="","",DATOS!$A13738&amp;"|"&amp;DATOS!$D13738&amp;"|"&amp;DATOS!$E13738&amp;"|"&amp;DATOS!$I13738)</f>
      </c>
      <c r="G13738">
        <f>IF(DATOS!$A13738="",0,IF(CONFIG_METADATA!$B$4&lt;&gt;"OR+EX",--(DATOS!$G13738=CONFIG_METADATA!$B$4),IF(DATOS!$G13738="EX",1,IF(DATOS!$G13738="OR",--(COUNTIFS(nNIA,DATOS!$A13738,nCURSO,DATOS!$D13738,nESPEC,DATOS!$E13738,nASIG,DATOS!$I13738,nEVAL,"EX")=0),0))))</f>
      </c>
      <c r="H13738">
        <f>IF(DATOS!$G13738&lt;&gt;"EX",0,--(COUNTIFS(nNIA,DATOS!$A13738,nCURSO,DATOS!$D13738,nESPEC,DATOS!$E13738,nASIG,DATOS!$I13738,nEVAL,"OR")=0))</f>
      </c>
      <c r="I13738">
        <f>IF(DATOS!$I13738="","",IFERROR(VLOOKUP(DATOS!$I13738,CONFIG_ASIGNATURAS!$B$2:$J$91,9,FALSE()),""))</f>
      </c>
    </row>
    <row r="13739">
      <c r="F13739">
        <f>IF(DATOS!$A13739="","",DATOS!$A13739&amp;"|"&amp;DATOS!$D13739&amp;"|"&amp;DATOS!$E13739&amp;"|"&amp;DATOS!$I13739)</f>
      </c>
      <c r="G13739">
        <f>IF(DATOS!$A13739="",0,IF(CONFIG_METADATA!$B$4&lt;&gt;"OR+EX",--(DATOS!$G13739=CONFIG_METADATA!$B$4),IF(DATOS!$G13739="EX",1,IF(DATOS!$G13739="OR",--(COUNTIFS(nNIA,DATOS!$A13739,nCURSO,DATOS!$D13739,nESPEC,DATOS!$E13739,nASIG,DATOS!$I13739,nEVAL,"EX")=0),0))))</f>
      </c>
      <c r="H13739">
        <f>IF(DATOS!$G13739&lt;&gt;"EX",0,--(COUNTIFS(nNIA,DATOS!$A13739,nCURSO,DATOS!$D13739,nESPEC,DATOS!$E13739,nASIG,DATOS!$I13739,nEVAL,"OR")=0))</f>
      </c>
      <c r="I13739">
        <f>IF(DATOS!$I13739="","",IFERROR(VLOOKUP(DATOS!$I13739,CONFIG_ASIGNATURAS!$B$2:$J$91,9,FALSE()),""))</f>
      </c>
    </row>
    <row r="13740">
      <c r="F13740">
        <f>IF(DATOS!$A13740="","",DATOS!$A13740&amp;"|"&amp;DATOS!$D13740&amp;"|"&amp;DATOS!$E13740&amp;"|"&amp;DATOS!$I13740)</f>
      </c>
      <c r="G13740">
        <f>IF(DATOS!$A13740="",0,IF(CONFIG_METADATA!$B$4&lt;&gt;"OR+EX",--(DATOS!$G13740=CONFIG_METADATA!$B$4),IF(DATOS!$G13740="EX",1,IF(DATOS!$G13740="OR",--(COUNTIFS(nNIA,DATOS!$A13740,nCURSO,DATOS!$D13740,nESPEC,DATOS!$E13740,nASIG,DATOS!$I13740,nEVAL,"EX")=0),0))))</f>
      </c>
      <c r="H13740">
        <f>IF(DATOS!$G13740&lt;&gt;"EX",0,--(COUNTIFS(nNIA,DATOS!$A13740,nCURSO,DATOS!$D13740,nESPEC,DATOS!$E13740,nASIG,DATOS!$I13740,nEVAL,"OR")=0))</f>
      </c>
      <c r="I13740">
        <f>IF(DATOS!$I13740="","",IFERROR(VLOOKUP(DATOS!$I13740,CONFIG_ASIGNATURAS!$B$2:$J$91,9,FALSE()),""))</f>
      </c>
    </row>
    <row r="13741">
      <c r="F13741">
        <f>IF(DATOS!$A13741="","",DATOS!$A13741&amp;"|"&amp;DATOS!$D13741&amp;"|"&amp;DATOS!$E13741&amp;"|"&amp;DATOS!$I13741)</f>
      </c>
      <c r="G13741">
        <f>IF(DATOS!$A13741="",0,IF(CONFIG_METADATA!$B$4&lt;&gt;"OR+EX",--(DATOS!$G13741=CONFIG_METADATA!$B$4),IF(DATOS!$G13741="EX",1,IF(DATOS!$G13741="OR",--(COUNTIFS(nNIA,DATOS!$A13741,nCURSO,DATOS!$D13741,nESPEC,DATOS!$E13741,nASIG,DATOS!$I13741,nEVAL,"EX")=0),0))))</f>
      </c>
      <c r="H13741">
        <f>IF(DATOS!$G13741&lt;&gt;"EX",0,--(COUNTIFS(nNIA,DATOS!$A13741,nCURSO,DATOS!$D13741,nESPEC,DATOS!$E13741,nASIG,DATOS!$I13741,nEVAL,"OR")=0))</f>
      </c>
      <c r="I13741">
        <f>IF(DATOS!$I13741="","",IFERROR(VLOOKUP(DATOS!$I13741,CONFIG_ASIGNATURAS!$B$2:$J$91,9,FALSE()),""))</f>
      </c>
    </row>
    <row r="13742">
      <c r="F13742">
        <f>IF(DATOS!$A13742="","",DATOS!$A13742&amp;"|"&amp;DATOS!$D13742&amp;"|"&amp;DATOS!$E13742&amp;"|"&amp;DATOS!$I13742)</f>
      </c>
      <c r="G13742">
        <f>IF(DATOS!$A13742="",0,IF(CONFIG_METADATA!$B$4&lt;&gt;"OR+EX",--(DATOS!$G13742=CONFIG_METADATA!$B$4),IF(DATOS!$G13742="EX",1,IF(DATOS!$G13742="OR",--(COUNTIFS(nNIA,DATOS!$A13742,nCURSO,DATOS!$D13742,nESPEC,DATOS!$E13742,nASIG,DATOS!$I13742,nEVAL,"EX")=0),0))))</f>
      </c>
      <c r="H13742">
        <f>IF(DATOS!$G13742&lt;&gt;"EX",0,--(COUNTIFS(nNIA,DATOS!$A13742,nCURSO,DATOS!$D13742,nESPEC,DATOS!$E13742,nASIG,DATOS!$I13742,nEVAL,"OR")=0))</f>
      </c>
      <c r="I13742">
        <f>IF(DATOS!$I13742="","",IFERROR(VLOOKUP(DATOS!$I13742,CONFIG_ASIGNATURAS!$B$2:$J$91,9,FALSE()),""))</f>
      </c>
    </row>
    <row r="13743">
      <c r="F13743">
        <f>IF(DATOS!$A13743="","",DATOS!$A13743&amp;"|"&amp;DATOS!$D13743&amp;"|"&amp;DATOS!$E13743&amp;"|"&amp;DATOS!$I13743)</f>
      </c>
      <c r="G13743">
        <f>IF(DATOS!$A13743="",0,IF(CONFIG_METADATA!$B$4&lt;&gt;"OR+EX",--(DATOS!$G13743=CONFIG_METADATA!$B$4),IF(DATOS!$G13743="EX",1,IF(DATOS!$G13743="OR",--(COUNTIFS(nNIA,DATOS!$A13743,nCURSO,DATOS!$D13743,nESPEC,DATOS!$E13743,nASIG,DATOS!$I13743,nEVAL,"EX")=0),0))))</f>
      </c>
      <c r="H13743">
        <f>IF(DATOS!$G13743&lt;&gt;"EX",0,--(COUNTIFS(nNIA,DATOS!$A13743,nCURSO,DATOS!$D13743,nESPEC,DATOS!$E13743,nASIG,DATOS!$I13743,nEVAL,"OR")=0))</f>
      </c>
      <c r="I13743">
        <f>IF(DATOS!$I13743="","",IFERROR(VLOOKUP(DATOS!$I13743,CONFIG_ASIGNATURAS!$B$2:$J$91,9,FALSE()),""))</f>
      </c>
    </row>
    <row r="13744">
      <c r="F13744">
        <f>IF(DATOS!$A13744="","",DATOS!$A13744&amp;"|"&amp;DATOS!$D13744&amp;"|"&amp;DATOS!$E13744&amp;"|"&amp;DATOS!$I13744)</f>
      </c>
      <c r="G13744">
        <f>IF(DATOS!$A13744="",0,IF(CONFIG_METADATA!$B$4&lt;&gt;"OR+EX",--(DATOS!$G13744=CONFIG_METADATA!$B$4),IF(DATOS!$G13744="EX",1,IF(DATOS!$G13744="OR",--(COUNTIFS(nNIA,DATOS!$A13744,nCURSO,DATOS!$D13744,nESPEC,DATOS!$E13744,nASIG,DATOS!$I13744,nEVAL,"EX")=0),0))))</f>
      </c>
      <c r="H13744">
        <f>IF(DATOS!$G13744&lt;&gt;"EX",0,--(COUNTIFS(nNIA,DATOS!$A13744,nCURSO,DATOS!$D13744,nESPEC,DATOS!$E13744,nASIG,DATOS!$I13744,nEVAL,"OR")=0))</f>
      </c>
      <c r="I13744">
        <f>IF(DATOS!$I13744="","",IFERROR(VLOOKUP(DATOS!$I13744,CONFIG_ASIGNATURAS!$B$2:$J$91,9,FALSE()),""))</f>
      </c>
    </row>
    <row r="13745">
      <c r="F13745">
        <f>IF(DATOS!$A13745="","",DATOS!$A13745&amp;"|"&amp;DATOS!$D13745&amp;"|"&amp;DATOS!$E13745&amp;"|"&amp;DATOS!$I13745)</f>
      </c>
      <c r="G13745">
        <f>IF(DATOS!$A13745="",0,IF(CONFIG_METADATA!$B$4&lt;&gt;"OR+EX",--(DATOS!$G13745=CONFIG_METADATA!$B$4),IF(DATOS!$G13745="EX",1,IF(DATOS!$G13745="OR",--(COUNTIFS(nNIA,DATOS!$A13745,nCURSO,DATOS!$D13745,nESPEC,DATOS!$E13745,nASIG,DATOS!$I13745,nEVAL,"EX")=0),0))))</f>
      </c>
      <c r="H13745">
        <f>IF(DATOS!$G13745&lt;&gt;"EX",0,--(COUNTIFS(nNIA,DATOS!$A13745,nCURSO,DATOS!$D13745,nESPEC,DATOS!$E13745,nASIG,DATOS!$I13745,nEVAL,"OR")=0))</f>
      </c>
      <c r="I13745">
        <f>IF(DATOS!$I13745="","",IFERROR(VLOOKUP(DATOS!$I13745,CONFIG_ASIGNATURAS!$B$2:$J$91,9,FALSE()),""))</f>
      </c>
    </row>
    <row r="13746">
      <c r="F13746">
        <f>IF(DATOS!$A13746="","",DATOS!$A13746&amp;"|"&amp;DATOS!$D13746&amp;"|"&amp;DATOS!$E13746&amp;"|"&amp;DATOS!$I13746)</f>
      </c>
      <c r="G13746">
        <f>IF(DATOS!$A13746="",0,IF(CONFIG_METADATA!$B$4&lt;&gt;"OR+EX",--(DATOS!$G13746=CONFIG_METADATA!$B$4),IF(DATOS!$G13746="EX",1,IF(DATOS!$G13746="OR",--(COUNTIFS(nNIA,DATOS!$A13746,nCURSO,DATOS!$D13746,nESPEC,DATOS!$E13746,nASIG,DATOS!$I13746,nEVAL,"EX")=0),0))))</f>
      </c>
      <c r="H13746">
        <f>IF(DATOS!$G13746&lt;&gt;"EX",0,--(COUNTIFS(nNIA,DATOS!$A13746,nCURSO,DATOS!$D13746,nESPEC,DATOS!$E13746,nASIG,DATOS!$I13746,nEVAL,"OR")=0))</f>
      </c>
      <c r="I13746">
        <f>IF(DATOS!$I13746="","",IFERROR(VLOOKUP(DATOS!$I13746,CONFIG_ASIGNATURAS!$B$2:$J$91,9,FALSE()),""))</f>
      </c>
    </row>
    <row r="13747">
      <c r="F13747">
        <f>IF(DATOS!$A13747="","",DATOS!$A13747&amp;"|"&amp;DATOS!$D13747&amp;"|"&amp;DATOS!$E13747&amp;"|"&amp;DATOS!$I13747)</f>
      </c>
      <c r="G13747">
        <f>IF(DATOS!$A13747="",0,IF(CONFIG_METADATA!$B$4&lt;&gt;"OR+EX",--(DATOS!$G13747=CONFIG_METADATA!$B$4),IF(DATOS!$G13747="EX",1,IF(DATOS!$G13747="OR",--(COUNTIFS(nNIA,DATOS!$A13747,nCURSO,DATOS!$D13747,nESPEC,DATOS!$E13747,nASIG,DATOS!$I13747,nEVAL,"EX")=0),0))))</f>
      </c>
      <c r="H13747">
        <f>IF(DATOS!$G13747&lt;&gt;"EX",0,--(COUNTIFS(nNIA,DATOS!$A13747,nCURSO,DATOS!$D13747,nESPEC,DATOS!$E13747,nASIG,DATOS!$I13747,nEVAL,"OR")=0))</f>
      </c>
      <c r="I13747">
        <f>IF(DATOS!$I13747="","",IFERROR(VLOOKUP(DATOS!$I13747,CONFIG_ASIGNATURAS!$B$2:$J$91,9,FALSE()),""))</f>
      </c>
    </row>
    <row r="13748">
      <c r="F13748">
        <f>IF(DATOS!$A13748="","",DATOS!$A13748&amp;"|"&amp;DATOS!$D13748&amp;"|"&amp;DATOS!$E13748&amp;"|"&amp;DATOS!$I13748)</f>
      </c>
      <c r="G13748">
        <f>IF(DATOS!$A13748="",0,IF(CONFIG_METADATA!$B$4&lt;&gt;"OR+EX",--(DATOS!$G13748=CONFIG_METADATA!$B$4),IF(DATOS!$G13748="EX",1,IF(DATOS!$G13748="OR",--(COUNTIFS(nNIA,DATOS!$A13748,nCURSO,DATOS!$D13748,nESPEC,DATOS!$E13748,nASIG,DATOS!$I13748,nEVAL,"EX")=0),0))))</f>
      </c>
      <c r="H13748">
        <f>IF(DATOS!$G13748&lt;&gt;"EX",0,--(COUNTIFS(nNIA,DATOS!$A13748,nCURSO,DATOS!$D13748,nESPEC,DATOS!$E13748,nASIG,DATOS!$I13748,nEVAL,"OR")=0))</f>
      </c>
      <c r="I13748">
        <f>IF(DATOS!$I13748="","",IFERROR(VLOOKUP(DATOS!$I13748,CONFIG_ASIGNATURAS!$B$2:$J$91,9,FALSE()),""))</f>
      </c>
    </row>
    <row r="13749">
      <c r="F13749">
        <f>IF(DATOS!$A13749="","",DATOS!$A13749&amp;"|"&amp;DATOS!$D13749&amp;"|"&amp;DATOS!$E13749&amp;"|"&amp;DATOS!$I13749)</f>
      </c>
      <c r="G13749">
        <f>IF(DATOS!$A13749="",0,IF(CONFIG_METADATA!$B$4&lt;&gt;"OR+EX",--(DATOS!$G13749=CONFIG_METADATA!$B$4),IF(DATOS!$G13749="EX",1,IF(DATOS!$G13749="OR",--(COUNTIFS(nNIA,DATOS!$A13749,nCURSO,DATOS!$D13749,nESPEC,DATOS!$E13749,nASIG,DATOS!$I13749,nEVAL,"EX")=0),0))))</f>
      </c>
      <c r="H13749">
        <f>IF(DATOS!$G13749&lt;&gt;"EX",0,--(COUNTIFS(nNIA,DATOS!$A13749,nCURSO,DATOS!$D13749,nESPEC,DATOS!$E13749,nASIG,DATOS!$I13749,nEVAL,"OR")=0))</f>
      </c>
      <c r="I13749">
        <f>IF(DATOS!$I13749="","",IFERROR(VLOOKUP(DATOS!$I13749,CONFIG_ASIGNATURAS!$B$2:$J$91,9,FALSE()),""))</f>
      </c>
    </row>
    <row r="13750">
      <c r="F13750">
        <f>IF(DATOS!$A13750="","",DATOS!$A13750&amp;"|"&amp;DATOS!$D13750&amp;"|"&amp;DATOS!$E13750&amp;"|"&amp;DATOS!$I13750)</f>
      </c>
      <c r="G13750">
        <f>IF(DATOS!$A13750="",0,IF(CONFIG_METADATA!$B$4&lt;&gt;"OR+EX",--(DATOS!$G13750=CONFIG_METADATA!$B$4),IF(DATOS!$G13750="EX",1,IF(DATOS!$G13750="OR",--(COUNTIFS(nNIA,DATOS!$A13750,nCURSO,DATOS!$D13750,nESPEC,DATOS!$E13750,nASIG,DATOS!$I13750,nEVAL,"EX")=0),0))))</f>
      </c>
      <c r="H13750">
        <f>IF(DATOS!$G13750&lt;&gt;"EX",0,--(COUNTIFS(nNIA,DATOS!$A13750,nCURSO,DATOS!$D13750,nESPEC,DATOS!$E13750,nASIG,DATOS!$I13750,nEVAL,"OR")=0))</f>
      </c>
      <c r="I13750">
        <f>IF(DATOS!$I13750="","",IFERROR(VLOOKUP(DATOS!$I13750,CONFIG_ASIGNATURAS!$B$2:$J$91,9,FALSE()),""))</f>
      </c>
    </row>
    <row r="13751">
      <c r="F13751">
        <f>IF(DATOS!$A13751="","",DATOS!$A13751&amp;"|"&amp;DATOS!$D13751&amp;"|"&amp;DATOS!$E13751&amp;"|"&amp;DATOS!$I13751)</f>
      </c>
      <c r="G13751">
        <f>IF(DATOS!$A13751="",0,IF(CONFIG_METADATA!$B$4&lt;&gt;"OR+EX",--(DATOS!$G13751=CONFIG_METADATA!$B$4),IF(DATOS!$G13751="EX",1,IF(DATOS!$G13751="OR",--(COUNTIFS(nNIA,DATOS!$A13751,nCURSO,DATOS!$D13751,nESPEC,DATOS!$E13751,nASIG,DATOS!$I13751,nEVAL,"EX")=0),0))))</f>
      </c>
      <c r="H13751">
        <f>IF(DATOS!$G13751&lt;&gt;"EX",0,--(COUNTIFS(nNIA,DATOS!$A13751,nCURSO,DATOS!$D13751,nESPEC,DATOS!$E13751,nASIG,DATOS!$I13751,nEVAL,"OR")=0))</f>
      </c>
      <c r="I13751">
        <f>IF(DATOS!$I13751="","",IFERROR(VLOOKUP(DATOS!$I13751,CONFIG_ASIGNATURAS!$B$2:$J$91,9,FALSE()),""))</f>
      </c>
    </row>
    <row r="13752">
      <c r="F13752">
        <f>IF(DATOS!$A13752="","",DATOS!$A13752&amp;"|"&amp;DATOS!$D13752&amp;"|"&amp;DATOS!$E13752&amp;"|"&amp;DATOS!$I13752)</f>
      </c>
      <c r="G13752">
        <f>IF(DATOS!$A13752="",0,IF(CONFIG_METADATA!$B$4&lt;&gt;"OR+EX",--(DATOS!$G13752=CONFIG_METADATA!$B$4),IF(DATOS!$G13752="EX",1,IF(DATOS!$G13752="OR",--(COUNTIFS(nNIA,DATOS!$A13752,nCURSO,DATOS!$D13752,nESPEC,DATOS!$E13752,nASIG,DATOS!$I13752,nEVAL,"EX")=0),0))))</f>
      </c>
      <c r="H13752">
        <f>IF(DATOS!$G13752&lt;&gt;"EX",0,--(COUNTIFS(nNIA,DATOS!$A13752,nCURSO,DATOS!$D13752,nESPEC,DATOS!$E13752,nASIG,DATOS!$I13752,nEVAL,"OR")=0))</f>
      </c>
      <c r="I13752">
        <f>IF(DATOS!$I13752="","",IFERROR(VLOOKUP(DATOS!$I13752,CONFIG_ASIGNATURAS!$B$2:$J$91,9,FALSE()),""))</f>
      </c>
    </row>
    <row r="13753">
      <c r="F13753">
        <f>IF(DATOS!$A13753="","",DATOS!$A13753&amp;"|"&amp;DATOS!$D13753&amp;"|"&amp;DATOS!$E13753&amp;"|"&amp;DATOS!$I13753)</f>
      </c>
      <c r="G13753">
        <f>IF(DATOS!$A13753="",0,IF(CONFIG_METADATA!$B$4&lt;&gt;"OR+EX",--(DATOS!$G13753=CONFIG_METADATA!$B$4),IF(DATOS!$G13753="EX",1,IF(DATOS!$G13753="OR",--(COUNTIFS(nNIA,DATOS!$A13753,nCURSO,DATOS!$D13753,nESPEC,DATOS!$E13753,nASIG,DATOS!$I13753,nEVAL,"EX")=0),0))))</f>
      </c>
      <c r="H13753">
        <f>IF(DATOS!$G13753&lt;&gt;"EX",0,--(COUNTIFS(nNIA,DATOS!$A13753,nCURSO,DATOS!$D13753,nESPEC,DATOS!$E13753,nASIG,DATOS!$I13753,nEVAL,"OR")=0))</f>
      </c>
      <c r="I13753">
        <f>IF(DATOS!$I13753="","",IFERROR(VLOOKUP(DATOS!$I13753,CONFIG_ASIGNATURAS!$B$2:$J$91,9,FALSE()),""))</f>
      </c>
    </row>
    <row r="13754">
      <c r="F13754">
        <f>IF(DATOS!$A13754="","",DATOS!$A13754&amp;"|"&amp;DATOS!$D13754&amp;"|"&amp;DATOS!$E13754&amp;"|"&amp;DATOS!$I13754)</f>
      </c>
      <c r="G13754">
        <f>IF(DATOS!$A13754="",0,IF(CONFIG_METADATA!$B$4&lt;&gt;"OR+EX",--(DATOS!$G13754=CONFIG_METADATA!$B$4),IF(DATOS!$G13754="EX",1,IF(DATOS!$G13754="OR",--(COUNTIFS(nNIA,DATOS!$A13754,nCURSO,DATOS!$D13754,nESPEC,DATOS!$E13754,nASIG,DATOS!$I13754,nEVAL,"EX")=0),0))))</f>
      </c>
      <c r="H13754">
        <f>IF(DATOS!$G13754&lt;&gt;"EX",0,--(COUNTIFS(nNIA,DATOS!$A13754,nCURSO,DATOS!$D13754,nESPEC,DATOS!$E13754,nASIG,DATOS!$I13754,nEVAL,"OR")=0))</f>
      </c>
      <c r="I13754">
        <f>IF(DATOS!$I13754="","",IFERROR(VLOOKUP(DATOS!$I13754,CONFIG_ASIGNATURAS!$B$2:$J$91,9,FALSE()),""))</f>
      </c>
    </row>
    <row r="13755">
      <c r="F13755">
        <f>IF(DATOS!$A13755="","",DATOS!$A13755&amp;"|"&amp;DATOS!$D13755&amp;"|"&amp;DATOS!$E13755&amp;"|"&amp;DATOS!$I13755)</f>
      </c>
      <c r="G13755">
        <f>IF(DATOS!$A13755="",0,IF(CONFIG_METADATA!$B$4&lt;&gt;"OR+EX",--(DATOS!$G13755=CONFIG_METADATA!$B$4),IF(DATOS!$G13755="EX",1,IF(DATOS!$G13755="OR",--(COUNTIFS(nNIA,DATOS!$A13755,nCURSO,DATOS!$D13755,nESPEC,DATOS!$E13755,nASIG,DATOS!$I13755,nEVAL,"EX")=0),0))))</f>
      </c>
      <c r="H13755">
        <f>IF(DATOS!$G13755&lt;&gt;"EX",0,--(COUNTIFS(nNIA,DATOS!$A13755,nCURSO,DATOS!$D13755,nESPEC,DATOS!$E13755,nASIG,DATOS!$I13755,nEVAL,"OR")=0))</f>
      </c>
      <c r="I13755">
        <f>IF(DATOS!$I13755="","",IFERROR(VLOOKUP(DATOS!$I13755,CONFIG_ASIGNATURAS!$B$2:$J$91,9,FALSE()),""))</f>
      </c>
    </row>
    <row r="13756">
      <c r="F13756">
        <f>IF(DATOS!$A13756="","",DATOS!$A13756&amp;"|"&amp;DATOS!$D13756&amp;"|"&amp;DATOS!$E13756&amp;"|"&amp;DATOS!$I13756)</f>
      </c>
      <c r="G13756">
        <f>IF(DATOS!$A13756="",0,IF(CONFIG_METADATA!$B$4&lt;&gt;"OR+EX",--(DATOS!$G13756=CONFIG_METADATA!$B$4),IF(DATOS!$G13756="EX",1,IF(DATOS!$G13756="OR",--(COUNTIFS(nNIA,DATOS!$A13756,nCURSO,DATOS!$D13756,nESPEC,DATOS!$E13756,nASIG,DATOS!$I13756,nEVAL,"EX")=0),0))))</f>
      </c>
      <c r="H13756">
        <f>IF(DATOS!$G13756&lt;&gt;"EX",0,--(COUNTIFS(nNIA,DATOS!$A13756,nCURSO,DATOS!$D13756,nESPEC,DATOS!$E13756,nASIG,DATOS!$I13756,nEVAL,"OR")=0))</f>
      </c>
      <c r="I13756">
        <f>IF(DATOS!$I13756="","",IFERROR(VLOOKUP(DATOS!$I13756,CONFIG_ASIGNATURAS!$B$2:$J$91,9,FALSE()),""))</f>
      </c>
    </row>
    <row r="13757">
      <c r="F13757">
        <f>IF(DATOS!$A13757="","",DATOS!$A13757&amp;"|"&amp;DATOS!$D13757&amp;"|"&amp;DATOS!$E13757&amp;"|"&amp;DATOS!$I13757)</f>
      </c>
      <c r="G13757">
        <f>IF(DATOS!$A13757="",0,IF(CONFIG_METADATA!$B$4&lt;&gt;"OR+EX",--(DATOS!$G13757=CONFIG_METADATA!$B$4),IF(DATOS!$G13757="EX",1,IF(DATOS!$G13757="OR",--(COUNTIFS(nNIA,DATOS!$A13757,nCURSO,DATOS!$D13757,nESPEC,DATOS!$E13757,nASIG,DATOS!$I13757,nEVAL,"EX")=0),0))))</f>
      </c>
      <c r="H13757">
        <f>IF(DATOS!$G13757&lt;&gt;"EX",0,--(COUNTIFS(nNIA,DATOS!$A13757,nCURSO,DATOS!$D13757,nESPEC,DATOS!$E13757,nASIG,DATOS!$I13757,nEVAL,"OR")=0))</f>
      </c>
      <c r="I13757">
        <f>IF(DATOS!$I13757="","",IFERROR(VLOOKUP(DATOS!$I13757,CONFIG_ASIGNATURAS!$B$2:$J$91,9,FALSE()),""))</f>
      </c>
    </row>
    <row r="13758">
      <c r="F13758">
        <f>IF(DATOS!$A13758="","",DATOS!$A13758&amp;"|"&amp;DATOS!$D13758&amp;"|"&amp;DATOS!$E13758&amp;"|"&amp;DATOS!$I13758)</f>
      </c>
      <c r="G13758">
        <f>IF(DATOS!$A13758="",0,IF(CONFIG_METADATA!$B$4&lt;&gt;"OR+EX",--(DATOS!$G13758=CONFIG_METADATA!$B$4),IF(DATOS!$G13758="EX",1,IF(DATOS!$G13758="OR",--(COUNTIFS(nNIA,DATOS!$A13758,nCURSO,DATOS!$D13758,nESPEC,DATOS!$E13758,nASIG,DATOS!$I13758,nEVAL,"EX")=0),0))))</f>
      </c>
      <c r="H13758">
        <f>IF(DATOS!$G13758&lt;&gt;"EX",0,--(COUNTIFS(nNIA,DATOS!$A13758,nCURSO,DATOS!$D13758,nESPEC,DATOS!$E13758,nASIG,DATOS!$I13758,nEVAL,"OR")=0))</f>
      </c>
      <c r="I13758">
        <f>IF(DATOS!$I13758="","",IFERROR(VLOOKUP(DATOS!$I13758,CONFIG_ASIGNATURAS!$B$2:$J$91,9,FALSE()),""))</f>
      </c>
    </row>
    <row r="13759">
      <c r="F13759">
        <f>IF(DATOS!$A13759="","",DATOS!$A13759&amp;"|"&amp;DATOS!$D13759&amp;"|"&amp;DATOS!$E13759&amp;"|"&amp;DATOS!$I13759)</f>
      </c>
      <c r="G13759">
        <f>IF(DATOS!$A13759="",0,IF(CONFIG_METADATA!$B$4&lt;&gt;"OR+EX",--(DATOS!$G13759=CONFIG_METADATA!$B$4),IF(DATOS!$G13759="EX",1,IF(DATOS!$G13759="OR",--(COUNTIFS(nNIA,DATOS!$A13759,nCURSO,DATOS!$D13759,nESPEC,DATOS!$E13759,nASIG,DATOS!$I13759,nEVAL,"EX")=0),0))))</f>
      </c>
      <c r="H13759">
        <f>IF(DATOS!$G13759&lt;&gt;"EX",0,--(COUNTIFS(nNIA,DATOS!$A13759,nCURSO,DATOS!$D13759,nESPEC,DATOS!$E13759,nASIG,DATOS!$I13759,nEVAL,"OR")=0))</f>
      </c>
      <c r="I13759">
        <f>IF(DATOS!$I13759="","",IFERROR(VLOOKUP(DATOS!$I13759,CONFIG_ASIGNATURAS!$B$2:$J$91,9,FALSE()),""))</f>
      </c>
    </row>
    <row r="13760">
      <c r="F13760">
        <f>IF(DATOS!$A13760="","",DATOS!$A13760&amp;"|"&amp;DATOS!$D13760&amp;"|"&amp;DATOS!$E13760&amp;"|"&amp;DATOS!$I13760)</f>
      </c>
      <c r="G13760">
        <f>IF(DATOS!$A13760="",0,IF(CONFIG_METADATA!$B$4&lt;&gt;"OR+EX",--(DATOS!$G13760=CONFIG_METADATA!$B$4),IF(DATOS!$G13760="EX",1,IF(DATOS!$G13760="OR",--(COUNTIFS(nNIA,DATOS!$A13760,nCURSO,DATOS!$D13760,nESPEC,DATOS!$E13760,nASIG,DATOS!$I13760,nEVAL,"EX")=0),0))))</f>
      </c>
      <c r="H13760">
        <f>IF(DATOS!$G13760&lt;&gt;"EX",0,--(COUNTIFS(nNIA,DATOS!$A13760,nCURSO,DATOS!$D13760,nESPEC,DATOS!$E13760,nASIG,DATOS!$I13760,nEVAL,"OR")=0))</f>
      </c>
      <c r="I13760">
        <f>IF(DATOS!$I13760="","",IFERROR(VLOOKUP(DATOS!$I13760,CONFIG_ASIGNATURAS!$B$2:$J$91,9,FALSE()),""))</f>
      </c>
    </row>
    <row r="13761">
      <c r="F13761">
        <f>IF(DATOS!$A13761="","",DATOS!$A13761&amp;"|"&amp;DATOS!$D13761&amp;"|"&amp;DATOS!$E13761&amp;"|"&amp;DATOS!$I13761)</f>
      </c>
      <c r="G13761">
        <f>IF(DATOS!$A13761="",0,IF(CONFIG_METADATA!$B$4&lt;&gt;"OR+EX",--(DATOS!$G13761=CONFIG_METADATA!$B$4),IF(DATOS!$G13761="EX",1,IF(DATOS!$G13761="OR",--(COUNTIFS(nNIA,DATOS!$A13761,nCURSO,DATOS!$D13761,nESPEC,DATOS!$E13761,nASIG,DATOS!$I13761,nEVAL,"EX")=0),0))))</f>
      </c>
      <c r="H13761">
        <f>IF(DATOS!$G13761&lt;&gt;"EX",0,--(COUNTIFS(nNIA,DATOS!$A13761,nCURSO,DATOS!$D13761,nESPEC,DATOS!$E13761,nASIG,DATOS!$I13761,nEVAL,"OR")=0))</f>
      </c>
      <c r="I13761">
        <f>IF(DATOS!$I13761="","",IFERROR(VLOOKUP(DATOS!$I13761,CONFIG_ASIGNATURAS!$B$2:$J$91,9,FALSE()),""))</f>
      </c>
    </row>
    <row r="13762">
      <c r="F13762">
        <f>IF(DATOS!$A13762="","",DATOS!$A13762&amp;"|"&amp;DATOS!$D13762&amp;"|"&amp;DATOS!$E13762&amp;"|"&amp;DATOS!$I13762)</f>
      </c>
      <c r="G13762">
        <f>IF(DATOS!$A13762="",0,IF(CONFIG_METADATA!$B$4&lt;&gt;"OR+EX",--(DATOS!$G13762=CONFIG_METADATA!$B$4),IF(DATOS!$G13762="EX",1,IF(DATOS!$G13762="OR",--(COUNTIFS(nNIA,DATOS!$A13762,nCURSO,DATOS!$D13762,nESPEC,DATOS!$E13762,nASIG,DATOS!$I13762,nEVAL,"EX")=0),0))))</f>
      </c>
      <c r="H13762">
        <f>IF(DATOS!$G13762&lt;&gt;"EX",0,--(COUNTIFS(nNIA,DATOS!$A13762,nCURSO,DATOS!$D13762,nESPEC,DATOS!$E13762,nASIG,DATOS!$I13762,nEVAL,"OR")=0))</f>
      </c>
      <c r="I13762">
        <f>IF(DATOS!$I13762="","",IFERROR(VLOOKUP(DATOS!$I13762,CONFIG_ASIGNATURAS!$B$2:$J$91,9,FALSE()),""))</f>
      </c>
    </row>
    <row r="13763">
      <c r="F13763">
        <f>IF(DATOS!$A13763="","",DATOS!$A13763&amp;"|"&amp;DATOS!$D13763&amp;"|"&amp;DATOS!$E13763&amp;"|"&amp;DATOS!$I13763)</f>
      </c>
      <c r="G13763">
        <f>IF(DATOS!$A13763="",0,IF(CONFIG_METADATA!$B$4&lt;&gt;"OR+EX",--(DATOS!$G13763=CONFIG_METADATA!$B$4),IF(DATOS!$G13763="EX",1,IF(DATOS!$G13763="OR",--(COUNTIFS(nNIA,DATOS!$A13763,nCURSO,DATOS!$D13763,nESPEC,DATOS!$E13763,nASIG,DATOS!$I13763,nEVAL,"EX")=0),0))))</f>
      </c>
      <c r="H13763">
        <f>IF(DATOS!$G13763&lt;&gt;"EX",0,--(COUNTIFS(nNIA,DATOS!$A13763,nCURSO,DATOS!$D13763,nESPEC,DATOS!$E13763,nASIG,DATOS!$I13763,nEVAL,"OR")=0))</f>
      </c>
      <c r="I13763">
        <f>IF(DATOS!$I13763="","",IFERROR(VLOOKUP(DATOS!$I13763,CONFIG_ASIGNATURAS!$B$2:$J$91,9,FALSE()),""))</f>
      </c>
    </row>
    <row r="13764">
      <c r="F13764">
        <f>IF(DATOS!$A13764="","",DATOS!$A13764&amp;"|"&amp;DATOS!$D13764&amp;"|"&amp;DATOS!$E13764&amp;"|"&amp;DATOS!$I13764)</f>
      </c>
      <c r="G13764">
        <f>IF(DATOS!$A13764="",0,IF(CONFIG_METADATA!$B$4&lt;&gt;"OR+EX",--(DATOS!$G13764=CONFIG_METADATA!$B$4),IF(DATOS!$G13764="EX",1,IF(DATOS!$G13764="OR",--(COUNTIFS(nNIA,DATOS!$A13764,nCURSO,DATOS!$D13764,nESPEC,DATOS!$E13764,nASIG,DATOS!$I13764,nEVAL,"EX")=0),0))))</f>
      </c>
      <c r="H13764">
        <f>IF(DATOS!$G13764&lt;&gt;"EX",0,--(COUNTIFS(nNIA,DATOS!$A13764,nCURSO,DATOS!$D13764,nESPEC,DATOS!$E13764,nASIG,DATOS!$I13764,nEVAL,"OR")=0))</f>
      </c>
      <c r="I13764">
        <f>IF(DATOS!$I13764="","",IFERROR(VLOOKUP(DATOS!$I13764,CONFIG_ASIGNATURAS!$B$2:$J$91,9,FALSE()),""))</f>
      </c>
    </row>
    <row r="13765">
      <c r="F13765">
        <f>IF(DATOS!$A13765="","",DATOS!$A13765&amp;"|"&amp;DATOS!$D13765&amp;"|"&amp;DATOS!$E13765&amp;"|"&amp;DATOS!$I13765)</f>
      </c>
      <c r="G13765">
        <f>IF(DATOS!$A13765="",0,IF(CONFIG_METADATA!$B$4&lt;&gt;"OR+EX",--(DATOS!$G13765=CONFIG_METADATA!$B$4),IF(DATOS!$G13765="EX",1,IF(DATOS!$G13765="OR",--(COUNTIFS(nNIA,DATOS!$A13765,nCURSO,DATOS!$D13765,nESPEC,DATOS!$E13765,nASIG,DATOS!$I13765,nEVAL,"EX")=0),0))))</f>
      </c>
      <c r="H13765">
        <f>IF(DATOS!$G13765&lt;&gt;"EX",0,--(COUNTIFS(nNIA,DATOS!$A13765,nCURSO,DATOS!$D13765,nESPEC,DATOS!$E13765,nASIG,DATOS!$I13765,nEVAL,"OR")=0))</f>
      </c>
      <c r="I13765">
        <f>IF(DATOS!$I13765="","",IFERROR(VLOOKUP(DATOS!$I13765,CONFIG_ASIGNATURAS!$B$2:$J$91,9,FALSE()),""))</f>
      </c>
    </row>
    <row r="13766">
      <c r="F13766">
        <f>IF(DATOS!$A13766="","",DATOS!$A13766&amp;"|"&amp;DATOS!$D13766&amp;"|"&amp;DATOS!$E13766&amp;"|"&amp;DATOS!$I13766)</f>
      </c>
      <c r="G13766">
        <f>IF(DATOS!$A13766="",0,IF(CONFIG_METADATA!$B$4&lt;&gt;"OR+EX",--(DATOS!$G13766=CONFIG_METADATA!$B$4),IF(DATOS!$G13766="EX",1,IF(DATOS!$G13766="OR",--(COUNTIFS(nNIA,DATOS!$A13766,nCURSO,DATOS!$D13766,nESPEC,DATOS!$E13766,nASIG,DATOS!$I13766,nEVAL,"EX")=0),0))))</f>
      </c>
      <c r="H13766">
        <f>IF(DATOS!$G13766&lt;&gt;"EX",0,--(COUNTIFS(nNIA,DATOS!$A13766,nCURSO,DATOS!$D13766,nESPEC,DATOS!$E13766,nASIG,DATOS!$I13766,nEVAL,"OR")=0))</f>
      </c>
      <c r="I13766">
        <f>IF(DATOS!$I13766="","",IFERROR(VLOOKUP(DATOS!$I13766,CONFIG_ASIGNATURAS!$B$2:$J$91,9,FALSE()),""))</f>
      </c>
    </row>
    <row r="13767">
      <c r="F13767">
        <f>IF(DATOS!$A13767="","",DATOS!$A13767&amp;"|"&amp;DATOS!$D13767&amp;"|"&amp;DATOS!$E13767&amp;"|"&amp;DATOS!$I13767)</f>
      </c>
      <c r="G13767">
        <f>IF(DATOS!$A13767="",0,IF(CONFIG_METADATA!$B$4&lt;&gt;"OR+EX",--(DATOS!$G13767=CONFIG_METADATA!$B$4),IF(DATOS!$G13767="EX",1,IF(DATOS!$G13767="OR",--(COUNTIFS(nNIA,DATOS!$A13767,nCURSO,DATOS!$D13767,nESPEC,DATOS!$E13767,nASIG,DATOS!$I13767,nEVAL,"EX")=0),0))))</f>
      </c>
      <c r="H13767">
        <f>IF(DATOS!$G13767&lt;&gt;"EX",0,--(COUNTIFS(nNIA,DATOS!$A13767,nCURSO,DATOS!$D13767,nESPEC,DATOS!$E13767,nASIG,DATOS!$I13767,nEVAL,"OR")=0))</f>
      </c>
      <c r="I13767">
        <f>IF(DATOS!$I13767="","",IFERROR(VLOOKUP(DATOS!$I13767,CONFIG_ASIGNATURAS!$B$2:$J$91,9,FALSE()),""))</f>
      </c>
    </row>
    <row r="13768">
      <c r="F13768">
        <f>IF(DATOS!$A13768="","",DATOS!$A13768&amp;"|"&amp;DATOS!$D13768&amp;"|"&amp;DATOS!$E13768&amp;"|"&amp;DATOS!$I13768)</f>
      </c>
      <c r="G13768">
        <f>IF(DATOS!$A13768="",0,IF(CONFIG_METADATA!$B$4&lt;&gt;"OR+EX",--(DATOS!$G13768=CONFIG_METADATA!$B$4),IF(DATOS!$G13768="EX",1,IF(DATOS!$G13768="OR",--(COUNTIFS(nNIA,DATOS!$A13768,nCURSO,DATOS!$D13768,nESPEC,DATOS!$E13768,nASIG,DATOS!$I13768,nEVAL,"EX")=0),0))))</f>
      </c>
      <c r="H13768">
        <f>IF(DATOS!$G13768&lt;&gt;"EX",0,--(COUNTIFS(nNIA,DATOS!$A13768,nCURSO,DATOS!$D13768,nESPEC,DATOS!$E13768,nASIG,DATOS!$I13768,nEVAL,"OR")=0))</f>
      </c>
      <c r="I13768">
        <f>IF(DATOS!$I13768="","",IFERROR(VLOOKUP(DATOS!$I13768,CONFIG_ASIGNATURAS!$B$2:$J$91,9,FALSE()),""))</f>
      </c>
    </row>
    <row r="13769">
      <c r="F13769">
        <f>IF(DATOS!$A13769="","",DATOS!$A13769&amp;"|"&amp;DATOS!$D13769&amp;"|"&amp;DATOS!$E13769&amp;"|"&amp;DATOS!$I13769)</f>
      </c>
      <c r="G13769">
        <f>IF(DATOS!$A13769="",0,IF(CONFIG_METADATA!$B$4&lt;&gt;"OR+EX",--(DATOS!$G13769=CONFIG_METADATA!$B$4),IF(DATOS!$G13769="EX",1,IF(DATOS!$G13769="OR",--(COUNTIFS(nNIA,DATOS!$A13769,nCURSO,DATOS!$D13769,nESPEC,DATOS!$E13769,nASIG,DATOS!$I13769,nEVAL,"EX")=0),0))))</f>
      </c>
      <c r="H13769">
        <f>IF(DATOS!$G13769&lt;&gt;"EX",0,--(COUNTIFS(nNIA,DATOS!$A13769,nCURSO,DATOS!$D13769,nESPEC,DATOS!$E13769,nASIG,DATOS!$I13769,nEVAL,"OR")=0))</f>
      </c>
      <c r="I13769">
        <f>IF(DATOS!$I13769="","",IFERROR(VLOOKUP(DATOS!$I13769,CONFIG_ASIGNATURAS!$B$2:$J$91,9,FALSE()),""))</f>
      </c>
    </row>
    <row r="13770">
      <c r="F13770">
        <f>IF(DATOS!$A13770="","",DATOS!$A13770&amp;"|"&amp;DATOS!$D13770&amp;"|"&amp;DATOS!$E13770&amp;"|"&amp;DATOS!$I13770)</f>
      </c>
      <c r="G13770">
        <f>IF(DATOS!$A13770="",0,IF(CONFIG_METADATA!$B$4&lt;&gt;"OR+EX",--(DATOS!$G13770=CONFIG_METADATA!$B$4),IF(DATOS!$G13770="EX",1,IF(DATOS!$G13770="OR",--(COUNTIFS(nNIA,DATOS!$A13770,nCURSO,DATOS!$D13770,nESPEC,DATOS!$E13770,nASIG,DATOS!$I13770,nEVAL,"EX")=0),0))))</f>
      </c>
      <c r="H13770">
        <f>IF(DATOS!$G13770&lt;&gt;"EX",0,--(COUNTIFS(nNIA,DATOS!$A13770,nCURSO,DATOS!$D13770,nESPEC,DATOS!$E13770,nASIG,DATOS!$I13770,nEVAL,"OR")=0))</f>
      </c>
      <c r="I13770">
        <f>IF(DATOS!$I13770="","",IFERROR(VLOOKUP(DATOS!$I13770,CONFIG_ASIGNATURAS!$B$2:$J$91,9,FALSE()),""))</f>
      </c>
    </row>
    <row r="13771">
      <c r="F13771">
        <f>IF(DATOS!$A13771="","",DATOS!$A13771&amp;"|"&amp;DATOS!$D13771&amp;"|"&amp;DATOS!$E13771&amp;"|"&amp;DATOS!$I13771)</f>
      </c>
      <c r="G13771">
        <f>IF(DATOS!$A13771="",0,IF(CONFIG_METADATA!$B$4&lt;&gt;"OR+EX",--(DATOS!$G13771=CONFIG_METADATA!$B$4),IF(DATOS!$G13771="EX",1,IF(DATOS!$G13771="OR",--(COUNTIFS(nNIA,DATOS!$A13771,nCURSO,DATOS!$D13771,nESPEC,DATOS!$E13771,nASIG,DATOS!$I13771,nEVAL,"EX")=0),0))))</f>
      </c>
      <c r="H13771">
        <f>IF(DATOS!$G13771&lt;&gt;"EX",0,--(COUNTIFS(nNIA,DATOS!$A13771,nCURSO,DATOS!$D13771,nESPEC,DATOS!$E13771,nASIG,DATOS!$I13771,nEVAL,"OR")=0))</f>
      </c>
      <c r="I13771">
        <f>IF(DATOS!$I13771="","",IFERROR(VLOOKUP(DATOS!$I13771,CONFIG_ASIGNATURAS!$B$2:$J$91,9,FALSE()),""))</f>
      </c>
    </row>
    <row r="13772">
      <c r="F13772">
        <f>IF(DATOS!$A13772="","",DATOS!$A13772&amp;"|"&amp;DATOS!$D13772&amp;"|"&amp;DATOS!$E13772&amp;"|"&amp;DATOS!$I13772)</f>
      </c>
      <c r="G13772">
        <f>IF(DATOS!$A13772="",0,IF(CONFIG_METADATA!$B$4&lt;&gt;"OR+EX",--(DATOS!$G13772=CONFIG_METADATA!$B$4),IF(DATOS!$G13772="EX",1,IF(DATOS!$G13772="OR",--(COUNTIFS(nNIA,DATOS!$A13772,nCURSO,DATOS!$D13772,nESPEC,DATOS!$E13772,nASIG,DATOS!$I13772,nEVAL,"EX")=0),0))))</f>
      </c>
      <c r="H13772">
        <f>IF(DATOS!$G13772&lt;&gt;"EX",0,--(COUNTIFS(nNIA,DATOS!$A13772,nCURSO,DATOS!$D13772,nESPEC,DATOS!$E13772,nASIG,DATOS!$I13772,nEVAL,"OR")=0))</f>
      </c>
      <c r="I13772">
        <f>IF(DATOS!$I13772="","",IFERROR(VLOOKUP(DATOS!$I13772,CONFIG_ASIGNATURAS!$B$2:$J$91,9,FALSE()),""))</f>
      </c>
    </row>
    <row r="13773">
      <c r="F13773">
        <f>IF(DATOS!$A13773="","",DATOS!$A13773&amp;"|"&amp;DATOS!$D13773&amp;"|"&amp;DATOS!$E13773&amp;"|"&amp;DATOS!$I13773)</f>
      </c>
      <c r="G13773">
        <f>IF(DATOS!$A13773="",0,IF(CONFIG_METADATA!$B$4&lt;&gt;"OR+EX",--(DATOS!$G13773=CONFIG_METADATA!$B$4),IF(DATOS!$G13773="EX",1,IF(DATOS!$G13773="OR",--(COUNTIFS(nNIA,DATOS!$A13773,nCURSO,DATOS!$D13773,nESPEC,DATOS!$E13773,nASIG,DATOS!$I13773,nEVAL,"EX")=0),0))))</f>
      </c>
      <c r="H13773">
        <f>IF(DATOS!$G13773&lt;&gt;"EX",0,--(COUNTIFS(nNIA,DATOS!$A13773,nCURSO,DATOS!$D13773,nESPEC,DATOS!$E13773,nASIG,DATOS!$I13773,nEVAL,"OR")=0))</f>
      </c>
      <c r="I13773">
        <f>IF(DATOS!$I13773="","",IFERROR(VLOOKUP(DATOS!$I13773,CONFIG_ASIGNATURAS!$B$2:$J$91,9,FALSE()),""))</f>
      </c>
    </row>
    <row r="13774">
      <c r="F13774">
        <f>IF(DATOS!$A13774="","",DATOS!$A13774&amp;"|"&amp;DATOS!$D13774&amp;"|"&amp;DATOS!$E13774&amp;"|"&amp;DATOS!$I13774)</f>
      </c>
      <c r="G13774">
        <f>IF(DATOS!$A13774="",0,IF(CONFIG_METADATA!$B$4&lt;&gt;"OR+EX",--(DATOS!$G13774=CONFIG_METADATA!$B$4),IF(DATOS!$G13774="EX",1,IF(DATOS!$G13774="OR",--(COUNTIFS(nNIA,DATOS!$A13774,nCURSO,DATOS!$D13774,nESPEC,DATOS!$E13774,nASIG,DATOS!$I13774,nEVAL,"EX")=0),0))))</f>
      </c>
      <c r="H13774">
        <f>IF(DATOS!$G13774&lt;&gt;"EX",0,--(COUNTIFS(nNIA,DATOS!$A13774,nCURSO,DATOS!$D13774,nESPEC,DATOS!$E13774,nASIG,DATOS!$I13774,nEVAL,"OR")=0))</f>
      </c>
      <c r="I13774">
        <f>IF(DATOS!$I13774="","",IFERROR(VLOOKUP(DATOS!$I13774,CONFIG_ASIGNATURAS!$B$2:$J$91,9,FALSE()),""))</f>
      </c>
    </row>
    <row r="13775">
      <c r="F13775">
        <f>IF(DATOS!$A13775="","",DATOS!$A13775&amp;"|"&amp;DATOS!$D13775&amp;"|"&amp;DATOS!$E13775&amp;"|"&amp;DATOS!$I13775)</f>
      </c>
      <c r="G13775">
        <f>IF(DATOS!$A13775="",0,IF(CONFIG_METADATA!$B$4&lt;&gt;"OR+EX",--(DATOS!$G13775=CONFIG_METADATA!$B$4),IF(DATOS!$G13775="EX",1,IF(DATOS!$G13775="OR",--(COUNTIFS(nNIA,DATOS!$A13775,nCURSO,DATOS!$D13775,nESPEC,DATOS!$E13775,nASIG,DATOS!$I13775,nEVAL,"EX")=0),0))))</f>
      </c>
      <c r="H13775">
        <f>IF(DATOS!$G13775&lt;&gt;"EX",0,--(COUNTIFS(nNIA,DATOS!$A13775,nCURSO,DATOS!$D13775,nESPEC,DATOS!$E13775,nASIG,DATOS!$I13775,nEVAL,"OR")=0))</f>
      </c>
      <c r="I13775">
        <f>IF(DATOS!$I13775="","",IFERROR(VLOOKUP(DATOS!$I13775,CONFIG_ASIGNATURAS!$B$2:$J$91,9,FALSE()),""))</f>
      </c>
    </row>
    <row r="13776">
      <c r="F13776">
        <f>IF(DATOS!$A13776="","",DATOS!$A13776&amp;"|"&amp;DATOS!$D13776&amp;"|"&amp;DATOS!$E13776&amp;"|"&amp;DATOS!$I13776)</f>
      </c>
      <c r="G13776">
        <f>IF(DATOS!$A13776="",0,IF(CONFIG_METADATA!$B$4&lt;&gt;"OR+EX",--(DATOS!$G13776=CONFIG_METADATA!$B$4),IF(DATOS!$G13776="EX",1,IF(DATOS!$G13776="OR",--(COUNTIFS(nNIA,DATOS!$A13776,nCURSO,DATOS!$D13776,nESPEC,DATOS!$E13776,nASIG,DATOS!$I13776,nEVAL,"EX")=0),0))))</f>
      </c>
      <c r="H13776">
        <f>IF(DATOS!$G13776&lt;&gt;"EX",0,--(COUNTIFS(nNIA,DATOS!$A13776,nCURSO,DATOS!$D13776,nESPEC,DATOS!$E13776,nASIG,DATOS!$I13776,nEVAL,"OR")=0))</f>
      </c>
      <c r="I13776">
        <f>IF(DATOS!$I13776="","",IFERROR(VLOOKUP(DATOS!$I13776,CONFIG_ASIGNATURAS!$B$2:$J$91,9,FALSE()),""))</f>
      </c>
    </row>
    <row r="13777">
      <c r="F13777">
        <f>IF(DATOS!$A13777="","",DATOS!$A13777&amp;"|"&amp;DATOS!$D13777&amp;"|"&amp;DATOS!$E13777&amp;"|"&amp;DATOS!$I13777)</f>
      </c>
      <c r="G13777">
        <f>IF(DATOS!$A13777="",0,IF(CONFIG_METADATA!$B$4&lt;&gt;"OR+EX",--(DATOS!$G13777=CONFIG_METADATA!$B$4),IF(DATOS!$G13777="EX",1,IF(DATOS!$G13777="OR",--(COUNTIFS(nNIA,DATOS!$A13777,nCURSO,DATOS!$D13777,nESPEC,DATOS!$E13777,nASIG,DATOS!$I13777,nEVAL,"EX")=0),0))))</f>
      </c>
      <c r="H13777">
        <f>IF(DATOS!$G13777&lt;&gt;"EX",0,--(COUNTIFS(nNIA,DATOS!$A13777,nCURSO,DATOS!$D13777,nESPEC,DATOS!$E13777,nASIG,DATOS!$I13777,nEVAL,"OR")=0))</f>
      </c>
      <c r="I13777">
        <f>IF(DATOS!$I13777="","",IFERROR(VLOOKUP(DATOS!$I13777,CONFIG_ASIGNATURAS!$B$2:$J$91,9,FALSE()),""))</f>
      </c>
    </row>
    <row r="13778">
      <c r="F13778">
        <f>IF(DATOS!$A13778="","",DATOS!$A13778&amp;"|"&amp;DATOS!$D13778&amp;"|"&amp;DATOS!$E13778&amp;"|"&amp;DATOS!$I13778)</f>
      </c>
      <c r="G13778">
        <f>IF(DATOS!$A13778="",0,IF(CONFIG_METADATA!$B$4&lt;&gt;"OR+EX",--(DATOS!$G13778=CONFIG_METADATA!$B$4),IF(DATOS!$G13778="EX",1,IF(DATOS!$G13778="OR",--(COUNTIFS(nNIA,DATOS!$A13778,nCURSO,DATOS!$D13778,nESPEC,DATOS!$E13778,nASIG,DATOS!$I13778,nEVAL,"EX")=0),0))))</f>
      </c>
      <c r="H13778">
        <f>IF(DATOS!$G13778&lt;&gt;"EX",0,--(COUNTIFS(nNIA,DATOS!$A13778,nCURSO,DATOS!$D13778,nESPEC,DATOS!$E13778,nASIG,DATOS!$I13778,nEVAL,"OR")=0))</f>
      </c>
      <c r="I13778">
        <f>IF(DATOS!$I13778="","",IFERROR(VLOOKUP(DATOS!$I13778,CONFIG_ASIGNATURAS!$B$2:$J$91,9,FALSE()),""))</f>
      </c>
    </row>
    <row r="13779">
      <c r="F13779">
        <f>IF(DATOS!$A13779="","",DATOS!$A13779&amp;"|"&amp;DATOS!$D13779&amp;"|"&amp;DATOS!$E13779&amp;"|"&amp;DATOS!$I13779)</f>
      </c>
      <c r="G13779">
        <f>IF(DATOS!$A13779="",0,IF(CONFIG_METADATA!$B$4&lt;&gt;"OR+EX",--(DATOS!$G13779=CONFIG_METADATA!$B$4),IF(DATOS!$G13779="EX",1,IF(DATOS!$G13779="OR",--(COUNTIFS(nNIA,DATOS!$A13779,nCURSO,DATOS!$D13779,nESPEC,DATOS!$E13779,nASIG,DATOS!$I13779,nEVAL,"EX")=0),0))))</f>
      </c>
      <c r="H13779">
        <f>IF(DATOS!$G13779&lt;&gt;"EX",0,--(COUNTIFS(nNIA,DATOS!$A13779,nCURSO,DATOS!$D13779,nESPEC,DATOS!$E13779,nASIG,DATOS!$I13779,nEVAL,"OR")=0))</f>
      </c>
      <c r="I13779">
        <f>IF(DATOS!$I13779="","",IFERROR(VLOOKUP(DATOS!$I13779,CONFIG_ASIGNATURAS!$B$2:$J$91,9,FALSE()),""))</f>
      </c>
    </row>
    <row r="13780">
      <c r="F13780">
        <f>IF(DATOS!$A13780="","",DATOS!$A13780&amp;"|"&amp;DATOS!$D13780&amp;"|"&amp;DATOS!$E13780&amp;"|"&amp;DATOS!$I13780)</f>
      </c>
      <c r="G13780">
        <f>IF(DATOS!$A13780="",0,IF(CONFIG_METADATA!$B$4&lt;&gt;"OR+EX",--(DATOS!$G13780=CONFIG_METADATA!$B$4),IF(DATOS!$G13780="EX",1,IF(DATOS!$G13780="OR",--(COUNTIFS(nNIA,DATOS!$A13780,nCURSO,DATOS!$D13780,nESPEC,DATOS!$E13780,nASIG,DATOS!$I13780,nEVAL,"EX")=0),0))))</f>
      </c>
      <c r="H13780">
        <f>IF(DATOS!$G13780&lt;&gt;"EX",0,--(COUNTIFS(nNIA,DATOS!$A13780,nCURSO,DATOS!$D13780,nESPEC,DATOS!$E13780,nASIG,DATOS!$I13780,nEVAL,"OR")=0))</f>
      </c>
      <c r="I13780">
        <f>IF(DATOS!$I13780="","",IFERROR(VLOOKUP(DATOS!$I13780,CONFIG_ASIGNATURAS!$B$2:$J$91,9,FALSE()),""))</f>
      </c>
    </row>
    <row r="13781">
      <c r="F13781">
        <f>IF(DATOS!$A13781="","",DATOS!$A13781&amp;"|"&amp;DATOS!$D13781&amp;"|"&amp;DATOS!$E13781&amp;"|"&amp;DATOS!$I13781)</f>
      </c>
      <c r="G13781">
        <f>IF(DATOS!$A13781="",0,IF(CONFIG_METADATA!$B$4&lt;&gt;"OR+EX",--(DATOS!$G13781=CONFIG_METADATA!$B$4),IF(DATOS!$G13781="EX",1,IF(DATOS!$G13781="OR",--(COUNTIFS(nNIA,DATOS!$A13781,nCURSO,DATOS!$D13781,nESPEC,DATOS!$E13781,nASIG,DATOS!$I13781,nEVAL,"EX")=0),0))))</f>
      </c>
      <c r="H13781">
        <f>IF(DATOS!$G13781&lt;&gt;"EX",0,--(COUNTIFS(nNIA,DATOS!$A13781,nCURSO,DATOS!$D13781,nESPEC,DATOS!$E13781,nASIG,DATOS!$I13781,nEVAL,"OR")=0))</f>
      </c>
      <c r="I13781">
        <f>IF(DATOS!$I13781="","",IFERROR(VLOOKUP(DATOS!$I13781,CONFIG_ASIGNATURAS!$B$2:$J$91,9,FALSE()),""))</f>
      </c>
    </row>
    <row r="13782">
      <c r="F13782">
        <f>IF(DATOS!$A13782="","",DATOS!$A13782&amp;"|"&amp;DATOS!$D13782&amp;"|"&amp;DATOS!$E13782&amp;"|"&amp;DATOS!$I13782)</f>
      </c>
      <c r="G13782">
        <f>IF(DATOS!$A13782="",0,IF(CONFIG_METADATA!$B$4&lt;&gt;"OR+EX",--(DATOS!$G13782=CONFIG_METADATA!$B$4),IF(DATOS!$G13782="EX",1,IF(DATOS!$G13782="OR",--(COUNTIFS(nNIA,DATOS!$A13782,nCURSO,DATOS!$D13782,nESPEC,DATOS!$E13782,nASIG,DATOS!$I13782,nEVAL,"EX")=0),0))))</f>
      </c>
      <c r="H13782">
        <f>IF(DATOS!$G13782&lt;&gt;"EX",0,--(COUNTIFS(nNIA,DATOS!$A13782,nCURSO,DATOS!$D13782,nESPEC,DATOS!$E13782,nASIG,DATOS!$I13782,nEVAL,"OR")=0))</f>
      </c>
      <c r="I13782">
        <f>IF(DATOS!$I13782="","",IFERROR(VLOOKUP(DATOS!$I13782,CONFIG_ASIGNATURAS!$B$2:$J$91,9,FALSE()),""))</f>
      </c>
    </row>
    <row r="13783">
      <c r="F13783">
        <f>IF(DATOS!$A13783="","",DATOS!$A13783&amp;"|"&amp;DATOS!$D13783&amp;"|"&amp;DATOS!$E13783&amp;"|"&amp;DATOS!$I13783)</f>
      </c>
      <c r="G13783">
        <f>IF(DATOS!$A13783="",0,IF(CONFIG_METADATA!$B$4&lt;&gt;"OR+EX",--(DATOS!$G13783=CONFIG_METADATA!$B$4),IF(DATOS!$G13783="EX",1,IF(DATOS!$G13783="OR",--(COUNTIFS(nNIA,DATOS!$A13783,nCURSO,DATOS!$D13783,nESPEC,DATOS!$E13783,nASIG,DATOS!$I13783,nEVAL,"EX")=0),0))))</f>
      </c>
      <c r="H13783">
        <f>IF(DATOS!$G13783&lt;&gt;"EX",0,--(COUNTIFS(nNIA,DATOS!$A13783,nCURSO,DATOS!$D13783,nESPEC,DATOS!$E13783,nASIG,DATOS!$I13783,nEVAL,"OR")=0))</f>
      </c>
      <c r="I13783">
        <f>IF(DATOS!$I13783="","",IFERROR(VLOOKUP(DATOS!$I13783,CONFIG_ASIGNATURAS!$B$2:$J$91,9,FALSE()),""))</f>
      </c>
    </row>
    <row r="13784">
      <c r="F13784">
        <f>IF(DATOS!$A13784="","",DATOS!$A13784&amp;"|"&amp;DATOS!$D13784&amp;"|"&amp;DATOS!$E13784&amp;"|"&amp;DATOS!$I13784)</f>
      </c>
      <c r="G13784">
        <f>IF(DATOS!$A13784="",0,IF(CONFIG_METADATA!$B$4&lt;&gt;"OR+EX",--(DATOS!$G13784=CONFIG_METADATA!$B$4),IF(DATOS!$G13784="EX",1,IF(DATOS!$G13784="OR",--(COUNTIFS(nNIA,DATOS!$A13784,nCURSO,DATOS!$D13784,nESPEC,DATOS!$E13784,nASIG,DATOS!$I13784,nEVAL,"EX")=0),0))))</f>
      </c>
      <c r="H13784">
        <f>IF(DATOS!$G13784&lt;&gt;"EX",0,--(COUNTIFS(nNIA,DATOS!$A13784,nCURSO,DATOS!$D13784,nESPEC,DATOS!$E13784,nASIG,DATOS!$I13784,nEVAL,"OR")=0))</f>
      </c>
      <c r="I13784">
        <f>IF(DATOS!$I13784="","",IFERROR(VLOOKUP(DATOS!$I13784,CONFIG_ASIGNATURAS!$B$2:$J$91,9,FALSE()),""))</f>
      </c>
    </row>
    <row r="13785">
      <c r="F13785">
        <f>IF(DATOS!$A13785="","",DATOS!$A13785&amp;"|"&amp;DATOS!$D13785&amp;"|"&amp;DATOS!$E13785&amp;"|"&amp;DATOS!$I13785)</f>
      </c>
      <c r="G13785">
        <f>IF(DATOS!$A13785="",0,IF(CONFIG_METADATA!$B$4&lt;&gt;"OR+EX",--(DATOS!$G13785=CONFIG_METADATA!$B$4),IF(DATOS!$G13785="EX",1,IF(DATOS!$G13785="OR",--(COUNTIFS(nNIA,DATOS!$A13785,nCURSO,DATOS!$D13785,nESPEC,DATOS!$E13785,nASIG,DATOS!$I13785,nEVAL,"EX")=0),0))))</f>
      </c>
      <c r="H13785">
        <f>IF(DATOS!$G13785&lt;&gt;"EX",0,--(COUNTIFS(nNIA,DATOS!$A13785,nCURSO,DATOS!$D13785,nESPEC,DATOS!$E13785,nASIG,DATOS!$I13785,nEVAL,"OR")=0))</f>
      </c>
      <c r="I13785">
        <f>IF(DATOS!$I13785="","",IFERROR(VLOOKUP(DATOS!$I13785,CONFIG_ASIGNATURAS!$B$2:$J$91,9,FALSE()),""))</f>
      </c>
    </row>
    <row r="13786">
      <c r="F13786">
        <f>IF(DATOS!$A13786="","",DATOS!$A13786&amp;"|"&amp;DATOS!$D13786&amp;"|"&amp;DATOS!$E13786&amp;"|"&amp;DATOS!$I13786)</f>
      </c>
      <c r="G13786">
        <f>IF(DATOS!$A13786="",0,IF(CONFIG_METADATA!$B$4&lt;&gt;"OR+EX",--(DATOS!$G13786=CONFIG_METADATA!$B$4),IF(DATOS!$G13786="EX",1,IF(DATOS!$G13786="OR",--(COUNTIFS(nNIA,DATOS!$A13786,nCURSO,DATOS!$D13786,nESPEC,DATOS!$E13786,nASIG,DATOS!$I13786,nEVAL,"EX")=0),0))))</f>
      </c>
      <c r="H13786">
        <f>IF(DATOS!$G13786&lt;&gt;"EX",0,--(COUNTIFS(nNIA,DATOS!$A13786,nCURSO,DATOS!$D13786,nESPEC,DATOS!$E13786,nASIG,DATOS!$I13786,nEVAL,"OR")=0))</f>
      </c>
      <c r="I13786">
        <f>IF(DATOS!$I13786="","",IFERROR(VLOOKUP(DATOS!$I13786,CONFIG_ASIGNATURAS!$B$2:$J$91,9,FALSE()),""))</f>
      </c>
    </row>
    <row r="13787">
      <c r="F13787">
        <f>IF(DATOS!$A13787="","",DATOS!$A13787&amp;"|"&amp;DATOS!$D13787&amp;"|"&amp;DATOS!$E13787&amp;"|"&amp;DATOS!$I13787)</f>
      </c>
      <c r="G13787">
        <f>IF(DATOS!$A13787="",0,IF(CONFIG_METADATA!$B$4&lt;&gt;"OR+EX",--(DATOS!$G13787=CONFIG_METADATA!$B$4),IF(DATOS!$G13787="EX",1,IF(DATOS!$G13787="OR",--(COUNTIFS(nNIA,DATOS!$A13787,nCURSO,DATOS!$D13787,nESPEC,DATOS!$E13787,nASIG,DATOS!$I13787,nEVAL,"EX")=0),0))))</f>
      </c>
      <c r="H13787">
        <f>IF(DATOS!$G13787&lt;&gt;"EX",0,--(COUNTIFS(nNIA,DATOS!$A13787,nCURSO,DATOS!$D13787,nESPEC,DATOS!$E13787,nASIG,DATOS!$I13787,nEVAL,"OR")=0))</f>
      </c>
      <c r="I13787">
        <f>IF(DATOS!$I13787="","",IFERROR(VLOOKUP(DATOS!$I13787,CONFIG_ASIGNATURAS!$B$2:$J$91,9,FALSE()),""))</f>
      </c>
    </row>
    <row r="13788">
      <c r="F13788">
        <f>IF(DATOS!$A13788="","",DATOS!$A13788&amp;"|"&amp;DATOS!$D13788&amp;"|"&amp;DATOS!$E13788&amp;"|"&amp;DATOS!$I13788)</f>
      </c>
      <c r="G13788">
        <f>IF(DATOS!$A13788="",0,IF(CONFIG_METADATA!$B$4&lt;&gt;"OR+EX",--(DATOS!$G13788=CONFIG_METADATA!$B$4),IF(DATOS!$G13788="EX",1,IF(DATOS!$G13788="OR",--(COUNTIFS(nNIA,DATOS!$A13788,nCURSO,DATOS!$D13788,nESPEC,DATOS!$E13788,nASIG,DATOS!$I13788,nEVAL,"EX")=0),0))))</f>
      </c>
      <c r="H13788">
        <f>IF(DATOS!$G13788&lt;&gt;"EX",0,--(COUNTIFS(nNIA,DATOS!$A13788,nCURSO,DATOS!$D13788,nESPEC,DATOS!$E13788,nASIG,DATOS!$I13788,nEVAL,"OR")=0))</f>
      </c>
      <c r="I13788">
        <f>IF(DATOS!$I13788="","",IFERROR(VLOOKUP(DATOS!$I13788,CONFIG_ASIGNATURAS!$B$2:$J$91,9,FALSE()),""))</f>
      </c>
    </row>
    <row r="13789">
      <c r="F13789">
        <f>IF(DATOS!$A13789="","",DATOS!$A13789&amp;"|"&amp;DATOS!$D13789&amp;"|"&amp;DATOS!$E13789&amp;"|"&amp;DATOS!$I13789)</f>
      </c>
      <c r="G13789">
        <f>IF(DATOS!$A13789="",0,IF(CONFIG_METADATA!$B$4&lt;&gt;"OR+EX",--(DATOS!$G13789=CONFIG_METADATA!$B$4),IF(DATOS!$G13789="EX",1,IF(DATOS!$G13789="OR",--(COUNTIFS(nNIA,DATOS!$A13789,nCURSO,DATOS!$D13789,nESPEC,DATOS!$E13789,nASIG,DATOS!$I13789,nEVAL,"EX")=0),0))))</f>
      </c>
      <c r="H13789">
        <f>IF(DATOS!$G13789&lt;&gt;"EX",0,--(COUNTIFS(nNIA,DATOS!$A13789,nCURSO,DATOS!$D13789,nESPEC,DATOS!$E13789,nASIG,DATOS!$I13789,nEVAL,"OR")=0))</f>
      </c>
      <c r="I13789">
        <f>IF(DATOS!$I13789="","",IFERROR(VLOOKUP(DATOS!$I13789,CONFIG_ASIGNATURAS!$B$2:$J$91,9,FALSE()),""))</f>
      </c>
    </row>
    <row r="13790">
      <c r="F13790">
        <f>IF(DATOS!$A13790="","",DATOS!$A13790&amp;"|"&amp;DATOS!$D13790&amp;"|"&amp;DATOS!$E13790&amp;"|"&amp;DATOS!$I13790)</f>
      </c>
      <c r="G13790">
        <f>IF(DATOS!$A13790="",0,IF(CONFIG_METADATA!$B$4&lt;&gt;"OR+EX",--(DATOS!$G13790=CONFIG_METADATA!$B$4),IF(DATOS!$G13790="EX",1,IF(DATOS!$G13790="OR",--(COUNTIFS(nNIA,DATOS!$A13790,nCURSO,DATOS!$D13790,nESPEC,DATOS!$E13790,nASIG,DATOS!$I13790,nEVAL,"EX")=0),0))))</f>
      </c>
      <c r="H13790">
        <f>IF(DATOS!$G13790&lt;&gt;"EX",0,--(COUNTIFS(nNIA,DATOS!$A13790,nCURSO,DATOS!$D13790,nESPEC,DATOS!$E13790,nASIG,DATOS!$I13790,nEVAL,"OR")=0))</f>
      </c>
      <c r="I13790">
        <f>IF(DATOS!$I13790="","",IFERROR(VLOOKUP(DATOS!$I13790,CONFIG_ASIGNATURAS!$B$2:$J$91,9,FALSE()),""))</f>
      </c>
    </row>
    <row r="13791">
      <c r="F13791">
        <f>IF(DATOS!$A13791="","",DATOS!$A13791&amp;"|"&amp;DATOS!$D13791&amp;"|"&amp;DATOS!$E13791&amp;"|"&amp;DATOS!$I13791)</f>
      </c>
      <c r="G13791">
        <f>IF(DATOS!$A13791="",0,IF(CONFIG_METADATA!$B$4&lt;&gt;"OR+EX",--(DATOS!$G13791=CONFIG_METADATA!$B$4),IF(DATOS!$G13791="EX",1,IF(DATOS!$G13791="OR",--(COUNTIFS(nNIA,DATOS!$A13791,nCURSO,DATOS!$D13791,nESPEC,DATOS!$E13791,nASIG,DATOS!$I13791,nEVAL,"EX")=0),0))))</f>
      </c>
      <c r="H13791">
        <f>IF(DATOS!$G13791&lt;&gt;"EX",0,--(COUNTIFS(nNIA,DATOS!$A13791,nCURSO,DATOS!$D13791,nESPEC,DATOS!$E13791,nASIG,DATOS!$I13791,nEVAL,"OR")=0))</f>
      </c>
      <c r="I13791">
        <f>IF(DATOS!$I13791="","",IFERROR(VLOOKUP(DATOS!$I13791,CONFIG_ASIGNATURAS!$B$2:$J$91,9,FALSE()),""))</f>
      </c>
    </row>
    <row r="13792">
      <c r="F13792">
        <f>IF(DATOS!$A13792="","",DATOS!$A13792&amp;"|"&amp;DATOS!$D13792&amp;"|"&amp;DATOS!$E13792&amp;"|"&amp;DATOS!$I13792)</f>
      </c>
      <c r="G13792">
        <f>IF(DATOS!$A13792="",0,IF(CONFIG_METADATA!$B$4&lt;&gt;"OR+EX",--(DATOS!$G13792=CONFIG_METADATA!$B$4),IF(DATOS!$G13792="EX",1,IF(DATOS!$G13792="OR",--(COUNTIFS(nNIA,DATOS!$A13792,nCURSO,DATOS!$D13792,nESPEC,DATOS!$E13792,nASIG,DATOS!$I13792,nEVAL,"EX")=0),0))))</f>
      </c>
      <c r="H13792">
        <f>IF(DATOS!$G13792&lt;&gt;"EX",0,--(COUNTIFS(nNIA,DATOS!$A13792,nCURSO,DATOS!$D13792,nESPEC,DATOS!$E13792,nASIG,DATOS!$I13792,nEVAL,"OR")=0))</f>
      </c>
      <c r="I13792">
        <f>IF(DATOS!$I13792="","",IFERROR(VLOOKUP(DATOS!$I13792,CONFIG_ASIGNATURAS!$B$2:$J$91,9,FALSE()),""))</f>
      </c>
    </row>
    <row r="13793">
      <c r="F13793">
        <f>IF(DATOS!$A13793="","",DATOS!$A13793&amp;"|"&amp;DATOS!$D13793&amp;"|"&amp;DATOS!$E13793&amp;"|"&amp;DATOS!$I13793)</f>
      </c>
      <c r="G13793">
        <f>IF(DATOS!$A13793="",0,IF(CONFIG_METADATA!$B$4&lt;&gt;"OR+EX",--(DATOS!$G13793=CONFIG_METADATA!$B$4),IF(DATOS!$G13793="EX",1,IF(DATOS!$G13793="OR",--(COUNTIFS(nNIA,DATOS!$A13793,nCURSO,DATOS!$D13793,nESPEC,DATOS!$E13793,nASIG,DATOS!$I13793,nEVAL,"EX")=0),0))))</f>
      </c>
      <c r="H13793">
        <f>IF(DATOS!$G13793&lt;&gt;"EX",0,--(COUNTIFS(nNIA,DATOS!$A13793,nCURSO,DATOS!$D13793,nESPEC,DATOS!$E13793,nASIG,DATOS!$I13793,nEVAL,"OR")=0))</f>
      </c>
      <c r="I13793">
        <f>IF(DATOS!$I13793="","",IFERROR(VLOOKUP(DATOS!$I13793,CONFIG_ASIGNATURAS!$B$2:$J$91,9,FALSE()),""))</f>
      </c>
    </row>
    <row r="13794">
      <c r="F13794">
        <f>IF(DATOS!$A13794="","",DATOS!$A13794&amp;"|"&amp;DATOS!$D13794&amp;"|"&amp;DATOS!$E13794&amp;"|"&amp;DATOS!$I13794)</f>
      </c>
      <c r="G13794">
        <f>IF(DATOS!$A13794="",0,IF(CONFIG_METADATA!$B$4&lt;&gt;"OR+EX",--(DATOS!$G13794=CONFIG_METADATA!$B$4),IF(DATOS!$G13794="EX",1,IF(DATOS!$G13794="OR",--(COUNTIFS(nNIA,DATOS!$A13794,nCURSO,DATOS!$D13794,nESPEC,DATOS!$E13794,nASIG,DATOS!$I13794,nEVAL,"EX")=0),0))))</f>
      </c>
      <c r="H13794">
        <f>IF(DATOS!$G13794&lt;&gt;"EX",0,--(COUNTIFS(nNIA,DATOS!$A13794,nCURSO,DATOS!$D13794,nESPEC,DATOS!$E13794,nASIG,DATOS!$I13794,nEVAL,"OR")=0))</f>
      </c>
      <c r="I13794">
        <f>IF(DATOS!$I13794="","",IFERROR(VLOOKUP(DATOS!$I13794,CONFIG_ASIGNATURAS!$B$2:$J$91,9,FALSE()),""))</f>
      </c>
    </row>
    <row r="13795">
      <c r="F13795">
        <f>IF(DATOS!$A13795="","",DATOS!$A13795&amp;"|"&amp;DATOS!$D13795&amp;"|"&amp;DATOS!$E13795&amp;"|"&amp;DATOS!$I13795)</f>
      </c>
      <c r="G13795">
        <f>IF(DATOS!$A13795="",0,IF(CONFIG_METADATA!$B$4&lt;&gt;"OR+EX",--(DATOS!$G13795=CONFIG_METADATA!$B$4),IF(DATOS!$G13795="EX",1,IF(DATOS!$G13795="OR",--(COUNTIFS(nNIA,DATOS!$A13795,nCURSO,DATOS!$D13795,nESPEC,DATOS!$E13795,nASIG,DATOS!$I13795,nEVAL,"EX")=0),0))))</f>
      </c>
      <c r="H13795">
        <f>IF(DATOS!$G13795&lt;&gt;"EX",0,--(COUNTIFS(nNIA,DATOS!$A13795,nCURSO,DATOS!$D13795,nESPEC,DATOS!$E13795,nASIG,DATOS!$I13795,nEVAL,"OR")=0))</f>
      </c>
      <c r="I13795">
        <f>IF(DATOS!$I13795="","",IFERROR(VLOOKUP(DATOS!$I13795,CONFIG_ASIGNATURAS!$B$2:$J$91,9,FALSE()),""))</f>
      </c>
    </row>
    <row r="13796">
      <c r="F13796">
        <f>IF(DATOS!$A13796="","",DATOS!$A13796&amp;"|"&amp;DATOS!$D13796&amp;"|"&amp;DATOS!$E13796&amp;"|"&amp;DATOS!$I13796)</f>
      </c>
      <c r="G13796">
        <f>IF(DATOS!$A13796="",0,IF(CONFIG_METADATA!$B$4&lt;&gt;"OR+EX",--(DATOS!$G13796=CONFIG_METADATA!$B$4),IF(DATOS!$G13796="EX",1,IF(DATOS!$G13796="OR",--(COUNTIFS(nNIA,DATOS!$A13796,nCURSO,DATOS!$D13796,nESPEC,DATOS!$E13796,nASIG,DATOS!$I13796,nEVAL,"EX")=0),0))))</f>
      </c>
      <c r="H13796">
        <f>IF(DATOS!$G13796&lt;&gt;"EX",0,--(COUNTIFS(nNIA,DATOS!$A13796,nCURSO,DATOS!$D13796,nESPEC,DATOS!$E13796,nASIG,DATOS!$I13796,nEVAL,"OR")=0))</f>
      </c>
      <c r="I13796">
        <f>IF(DATOS!$I13796="","",IFERROR(VLOOKUP(DATOS!$I13796,CONFIG_ASIGNATURAS!$B$2:$J$91,9,FALSE()),""))</f>
      </c>
    </row>
    <row r="13797">
      <c r="F13797">
        <f>IF(DATOS!$A13797="","",DATOS!$A13797&amp;"|"&amp;DATOS!$D13797&amp;"|"&amp;DATOS!$E13797&amp;"|"&amp;DATOS!$I13797)</f>
      </c>
      <c r="G13797">
        <f>IF(DATOS!$A13797="",0,IF(CONFIG_METADATA!$B$4&lt;&gt;"OR+EX",--(DATOS!$G13797=CONFIG_METADATA!$B$4),IF(DATOS!$G13797="EX",1,IF(DATOS!$G13797="OR",--(COUNTIFS(nNIA,DATOS!$A13797,nCURSO,DATOS!$D13797,nESPEC,DATOS!$E13797,nASIG,DATOS!$I13797,nEVAL,"EX")=0),0))))</f>
      </c>
      <c r="H13797">
        <f>IF(DATOS!$G13797&lt;&gt;"EX",0,--(COUNTIFS(nNIA,DATOS!$A13797,nCURSO,DATOS!$D13797,nESPEC,DATOS!$E13797,nASIG,DATOS!$I13797,nEVAL,"OR")=0))</f>
      </c>
      <c r="I13797">
        <f>IF(DATOS!$I13797="","",IFERROR(VLOOKUP(DATOS!$I13797,CONFIG_ASIGNATURAS!$B$2:$J$91,9,FALSE()),""))</f>
      </c>
    </row>
    <row r="13798">
      <c r="F13798">
        <f>IF(DATOS!$A13798="","",DATOS!$A13798&amp;"|"&amp;DATOS!$D13798&amp;"|"&amp;DATOS!$E13798&amp;"|"&amp;DATOS!$I13798)</f>
      </c>
      <c r="G13798">
        <f>IF(DATOS!$A13798="",0,IF(CONFIG_METADATA!$B$4&lt;&gt;"OR+EX",--(DATOS!$G13798=CONFIG_METADATA!$B$4),IF(DATOS!$G13798="EX",1,IF(DATOS!$G13798="OR",--(COUNTIFS(nNIA,DATOS!$A13798,nCURSO,DATOS!$D13798,nESPEC,DATOS!$E13798,nASIG,DATOS!$I13798,nEVAL,"EX")=0),0))))</f>
      </c>
      <c r="H13798">
        <f>IF(DATOS!$G13798&lt;&gt;"EX",0,--(COUNTIFS(nNIA,DATOS!$A13798,nCURSO,DATOS!$D13798,nESPEC,DATOS!$E13798,nASIG,DATOS!$I13798,nEVAL,"OR")=0))</f>
      </c>
      <c r="I13798">
        <f>IF(DATOS!$I13798="","",IFERROR(VLOOKUP(DATOS!$I13798,CONFIG_ASIGNATURAS!$B$2:$J$91,9,FALSE()),""))</f>
      </c>
    </row>
    <row r="13799">
      <c r="F13799">
        <f>IF(DATOS!$A13799="","",DATOS!$A13799&amp;"|"&amp;DATOS!$D13799&amp;"|"&amp;DATOS!$E13799&amp;"|"&amp;DATOS!$I13799)</f>
      </c>
      <c r="G13799">
        <f>IF(DATOS!$A13799="",0,IF(CONFIG_METADATA!$B$4&lt;&gt;"OR+EX",--(DATOS!$G13799=CONFIG_METADATA!$B$4),IF(DATOS!$G13799="EX",1,IF(DATOS!$G13799="OR",--(COUNTIFS(nNIA,DATOS!$A13799,nCURSO,DATOS!$D13799,nESPEC,DATOS!$E13799,nASIG,DATOS!$I13799,nEVAL,"EX")=0),0))))</f>
      </c>
      <c r="H13799">
        <f>IF(DATOS!$G13799&lt;&gt;"EX",0,--(COUNTIFS(nNIA,DATOS!$A13799,nCURSO,DATOS!$D13799,nESPEC,DATOS!$E13799,nASIG,DATOS!$I13799,nEVAL,"OR")=0))</f>
      </c>
      <c r="I13799">
        <f>IF(DATOS!$I13799="","",IFERROR(VLOOKUP(DATOS!$I13799,CONFIG_ASIGNATURAS!$B$2:$J$91,9,FALSE()),""))</f>
      </c>
    </row>
    <row r="13800">
      <c r="F13800">
        <f>IF(DATOS!$A13800="","",DATOS!$A13800&amp;"|"&amp;DATOS!$D13800&amp;"|"&amp;DATOS!$E13800&amp;"|"&amp;DATOS!$I13800)</f>
      </c>
      <c r="G13800">
        <f>IF(DATOS!$A13800="",0,IF(CONFIG_METADATA!$B$4&lt;&gt;"OR+EX",--(DATOS!$G13800=CONFIG_METADATA!$B$4),IF(DATOS!$G13800="EX",1,IF(DATOS!$G13800="OR",--(COUNTIFS(nNIA,DATOS!$A13800,nCURSO,DATOS!$D13800,nESPEC,DATOS!$E13800,nASIG,DATOS!$I13800,nEVAL,"EX")=0),0))))</f>
      </c>
      <c r="H13800">
        <f>IF(DATOS!$G13800&lt;&gt;"EX",0,--(COUNTIFS(nNIA,DATOS!$A13800,nCURSO,DATOS!$D13800,nESPEC,DATOS!$E13800,nASIG,DATOS!$I13800,nEVAL,"OR")=0))</f>
      </c>
      <c r="I13800">
        <f>IF(DATOS!$I13800="","",IFERROR(VLOOKUP(DATOS!$I13800,CONFIG_ASIGNATURAS!$B$2:$J$91,9,FALSE()),""))</f>
      </c>
    </row>
    <row r="13801">
      <c r="F13801">
        <f>IF(DATOS!$A13801="","",DATOS!$A13801&amp;"|"&amp;DATOS!$D13801&amp;"|"&amp;DATOS!$E13801&amp;"|"&amp;DATOS!$I13801)</f>
      </c>
      <c r="G13801">
        <f>IF(DATOS!$A13801="",0,IF(CONFIG_METADATA!$B$4&lt;&gt;"OR+EX",--(DATOS!$G13801=CONFIG_METADATA!$B$4),IF(DATOS!$G13801="EX",1,IF(DATOS!$G13801="OR",--(COUNTIFS(nNIA,DATOS!$A13801,nCURSO,DATOS!$D13801,nESPEC,DATOS!$E13801,nASIG,DATOS!$I13801,nEVAL,"EX")=0),0))))</f>
      </c>
      <c r="H13801">
        <f>IF(DATOS!$G13801&lt;&gt;"EX",0,--(COUNTIFS(nNIA,DATOS!$A13801,nCURSO,DATOS!$D13801,nESPEC,DATOS!$E13801,nASIG,DATOS!$I13801,nEVAL,"OR")=0))</f>
      </c>
      <c r="I13801">
        <f>IF(DATOS!$I13801="","",IFERROR(VLOOKUP(DATOS!$I13801,CONFIG_ASIGNATURAS!$B$2:$J$91,9,FALSE()),""))</f>
      </c>
    </row>
    <row r="13802">
      <c r="F13802">
        <f>IF(DATOS!$A13802="","",DATOS!$A13802&amp;"|"&amp;DATOS!$D13802&amp;"|"&amp;DATOS!$E13802&amp;"|"&amp;DATOS!$I13802)</f>
      </c>
      <c r="G13802">
        <f>IF(DATOS!$A13802="",0,IF(CONFIG_METADATA!$B$4&lt;&gt;"OR+EX",--(DATOS!$G13802=CONFIG_METADATA!$B$4),IF(DATOS!$G13802="EX",1,IF(DATOS!$G13802="OR",--(COUNTIFS(nNIA,DATOS!$A13802,nCURSO,DATOS!$D13802,nESPEC,DATOS!$E13802,nASIG,DATOS!$I13802,nEVAL,"EX")=0),0))))</f>
      </c>
      <c r="H13802">
        <f>IF(DATOS!$G13802&lt;&gt;"EX",0,--(COUNTIFS(nNIA,DATOS!$A13802,nCURSO,DATOS!$D13802,nESPEC,DATOS!$E13802,nASIG,DATOS!$I13802,nEVAL,"OR")=0))</f>
      </c>
      <c r="I13802">
        <f>IF(DATOS!$I13802="","",IFERROR(VLOOKUP(DATOS!$I13802,CONFIG_ASIGNATURAS!$B$2:$J$91,9,FALSE()),""))</f>
      </c>
    </row>
    <row r="13803">
      <c r="F13803">
        <f>IF(DATOS!$A13803="","",DATOS!$A13803&amp;"|"&amp;DATOS!$D13803&amp;"|"&amp;DATOS!$E13803&amp;"|"&amp;DATOS!$I13803)</f>
      </c>
      <c r="G13803">
        <f>IF(DATOS!$A13803="",0,IF(CONFIG_METADATA!$B$4&lt;&gt;"OR+EX",--(DATOS!$G13803=CONFIG_METADATA!$B$4),IF(DATOS!$G13803="EX",1,IF(DATOS!$G13803="OR",--(COUNTIFS(nNIA,DATOS!$A13803,nCURSO,DATOS!$D13803,nESPEC,DATOS!$E13803,nASIG,DATOS!$I13803,nEVAL,"EX")=0),0))))</f>
      </c>
      <c r="H13803">
        <f>IF(DATOS!$G13803&lt;&gt;"EX",0,--(COUNTIFS(nNIA,DATOS!$A13803,nCURSO,DATOS!$D13803,nESPEC,DATOS!$E13803,nASIG,DATOS!$I13803,nEVAL,"OR")=0))</f>
      </c>
      <c r="I13803">
        <f>IF(DATOS!$I13803="","",IFERROR(VLOOKUP(DATOS!$I13803,CONFIG_ASIGNATURAS!$B$2:$J$91,9,FALSE()),""))</f>
      </c>
    </row>
    <row r="13804">
      <c r="F13804">
        <f>IF(DATOS!$A13804="","",DATOS!$A13804&amp;"|"&amp;DATOS!$D13804&amp;"|"&amp;DATOS!$E13804&amp;"|"&amp;DATOS!$I13804)</f>
      </c>
      <c r="G13804">
        <f>IF(DATOS!$A13804="",0,IF(CONFIG_METADATA!$B$4&lt;&gt;"OR+EX",--(DATOS!$G13804=CONFIG_METADATA!$B$4),IF(DATOS!$G13804="EX",1,IF(DATOS!$G13804="OR",--(COUNTIFS(nNIA,DATOS!$A13804,nCURSO,DATOS!$D13804,nESPEC,DATOS!$E13804,nASIG,DATOS!$I13804,nEVAL,"EX")=0),0))))</f>
      </c>
      <c r="H13804">
        <f>IF(DATOS!$G13804&lt;&gt;"EX",0,--(COUNTIFS(nNIA,DATOS!$A13804,nCURSO,DATOS!$D13804,nESPEC,DATOS!$E13804,nASIG,DATOS!$I13804,nEVAL,"OR")=0))</f>
      </c>
      <c r="I13804">
        <f>IF(DATOS!$I13804="","",IFERROR(VLOOKUP(DATOS!$I13804,CONFIG_ASIGNATURAS!$B$2:$J$91,9,FALSE()),""))</f>
      </c>
    </row>
    <row r="13805">
      <c r="F13805">
        <f>IF(DATOS!$A13805="","",DATOS!$A13805&amp;"|"&amp;DATOS!$D13805&amp;"|"&amp;DATOS!$E13805&amp;"|"&amp;DATOS!$I13805)</f>
      </c>
      <c r="G13805">
        <f>IF(DATOS!$A13805="",0,IF(CONFIG_METADATA!$B$4&lt;&gt;"OR+EX",--(DATOS!$G13805=CONFIG_METADATA!$B$4),IF(DATOS!$G13805="EX",1,IF(DATOS!$G13805="OR",--(COUNTIFS(nNIA,DATOS!$A13805,nCURSO,DATOS!$D13805,nESPEC,DATOS!$E13805,nASIG,DATOS!$I13805,nEVAL,"EX")=0),0))))</f>
      </c>
      <c r="H13805">
        <f>IF(DATOS!$G13805&lt;&gt;"EX",0,--(COUNTIFS(nNIA,DATOS!$A13805,nCURSO,DATOS!$D13805,nESPEC,DATOS!$E13805,nASIG,DATOS!$I13805,nEVAL,"OR")=0))</f>
      </c>
      <c r="I13805">
        <f>IF(DATOS!$I13805="","",IFERROR(VLOOKUP(DATOS!$I13805,CONFIG_ASIGNATURAS!$B$2:$J$91,9,FALSE()),""))</f>
      </c>
    </row>
    <row r="13806">
      <c r="F13806">
        <f>IF(DATOS!$A13806="","",DATOS!$A13806&amp;"|"&amp;DATOS!$D13806&amp;"|"&amp;DATOS!$E13806&amp;"|"&amp;DATOS!$I13806)</f>
      </c>
      <c r="G13806">
        <f>IF(DATOS!$A13806="",0,IF(CONFIG_METADATA!$B$4&lt;&gt;"OR+EX",--(DATOS!$G13806=CONFIG_METADATA!$B$4),IF(DATOS!$G13806="EX",1,IF(DATOS!$G13806="OR",--(COUNTIFS(nNIA,DATOS!$A13806,nCURSO,DATOS!$D13806,nESPEC,DATOS!$E13806,nASIG,DATOS!$I13806,nEVAL,"EX")=0),0))))</f>
      </c>
      <c r="H13806">
        <f>IF(DATOS!$G13806&lt;&gt;"EX",0,--(COUNTIFS(nNIA,DATOS!$A13806,nCURSO,DATOS!$D13806,nESPEC,DATOS!$E13806,nASIG,DATOS!$I13806,nEVAL,"OR")=0))</f>
      </c>
      <c r="I13806">
        <f>IF(DATOS!$I13806="","",IFERROR(VLOOKUP(DATOS!$I13806,CONFIG_ASIGNATURAS!$B$2:$J$91,9,FALSE()),""))</f>
      </c>
    </row>
    <row r="13807">
      <c r="F13807">
        <f>IF(DATOS!$A13807="","",DATOS!$A13807&amp;"|"&amp;DATOS!$D13807&amp;"|"&amp;DATOS!$E13807&amp;"|"&amp;DATOS!$I13807)</f>
      </c>
      <c r="G13807">
        <f>IF(DATOS!$A13807="",0,IF(CONFIG_METADATA!$B$4&lt;&gt;"OR+EX",--(DATOS!$G13807=CONFIG_METADATA!$B$4),IF(DATOS!$G13807="EX",1,IF(DATOS!$G13807="OR",--(COUNTIFS(nNIA,DATOS!$A13807,nCURSO,DATOS!$D13807,nESPEC,DATOS!$E13807,nASIG,DATOS!$I13807,nEVAL,"EX")=0),0))))</f>
      </c>
      <c r="H13807">
        <f>IF(DATOS!$G13807&lt;&gt;"EX",0,--(COUNTIFS(nNIA,DATOS!$A13807,nCURSO,DATOS!$D13807,nESPEC,DATOS!$E13807,nASIG,DATOS!$I13807,nEVAL,"OR")=0))</f>
      </c>
      <c r="I13807">
        <f>IF(DATOS!$I13807="","",IFERROR(VLOOKUP(DATOS!$I13807,CONFIG_ASIGNATURAS!$B$2:$J$91,9,FALSE()),""))</f>
      </c>
    </row>
    <row r="13808">
      <c r="F13808">
        <f>IF(DATOS!$A13808="","",DATOS!$A13808&amp;"|"&amp;DATOS!$D13808&amp;"|"&amp;DATOS!$E13808&amp;"|"&amp;DATOS!$I13808)</f>
      </c>
      <c r="G13808">
        <f>IF(DATOS!$A13808="",0,IF(CONFIG_METADATA!$B$4&lt;&gt;"OR+EX",--(DATOS!$G13808=CONFIG_METADATA!$B$4),IF(DATOS!$G13808="EX",1,IF(DATOS!$G13808="OR",--(COUNTIFS(nNIA,DATOS!$A13808,nCURSO,DATOS!$D13808,nESPEC,DATOS!$E13808,nASIG,DATOS!$I13808,nEVAL,"EX")=0),0))))</f>
      </c>
      <c r="H13808">
        <f>IF(DATOS!$G13808&lt;&gt;"EX",0,--(COUNTIFS(nNIA,DATOS!$A13808,nCURSO,DATOS!$D13808,nESPEC,DATOS!$E13808,nASIG,DATOS!$I13808,nEVAL,"OR")=0))</f>
      </c>
      <c r="I13808">
        <f>IF(DATOS!$I13808="","",IFERROR(VLOOKUP(DATOS!$I13808,CONFIG_ASIGNATURAS!$B$2:$J$91,9,FALSE()),""))</f>
      </c>
    </row>
    <row r="13809">
      <c r="F13809">
        <f>IF(DATOS!$A13809="","",DATOS!$A13809&amp;"|"&amp;DATOS!$D13809&amp;"|"&amp;DATOS!$E13809&amp;"|"&amp;DATOS!$I13809)</f>
      </c>
      <c r="G13809">
        <f>IF(DATOS!$A13809="",0,IF(CONFIG_METADATA!$B$4&lt;&gt;"OR+EX",--(DATOS!$G13809=CONFIG_METADATA!$B$4),IF(DATOS!$G13809="EX",1,IF(DATOS!$G13809="OR",--(COUNTIFS(nNIA,DATOS!$A13809,nCURSO,DATOS!$D13809,nESPEC,DATOS!$E13809,nASIG,DATOS!$I13809,nEVAL,"EX")=0),0))))</f>
      </c>
      <c r="H13809">
        <f>IF(DATOS!$G13809&lt;&gt;"EX",0,--(COUNTIFS(nNIA,DATOS!$A13809,nCURSO,DATOS!$D13809,nESPEC,DATOS!$E13809,nASIG,DATOS!$I13809,nEVAL,"OR")=0))</f>
      </c>
      <c r="I13809">
        <f>IF(DATOS!$I13809="","",IFERROR(VLOOKUP(DATOS!$I13809,CONFIG_ASIGNATURAS!$B$2:$J$91,9,FALSE()),""))</f>
      </c>
    </row>
    <row r="13810">
      <c r="F13810">
        <f>IF(DATOS!$A13810="","",DATOS!$A13810&amp;"|"&amp;DATOS!$D13810&amp;"|"&amp;DATOS!$E13810&amp;"|"&amp;DATOS!$I13810)</f>
      </c>
      <c r="G13810">
        <f>IF(DATOS!$A13810="",0,IF(CONFIG_METADATA!$B$4&lt;&gt;"OR+EX",--(DATOS!$G13810=CONFIG_METADATA!$B$4),IF(DATOS!$G13810="EX",1,IF(DATOS!$G13810="OR",--(COUNTIFS(nNIA,DATOS!$A13810,nCURSO,DATOS!$D13810,nESPEC,DATOS!$E13810,nASIG,DATOS!$I13810,nEVAL,"EX")=0),0))))</f>
      </c>
      <c r="H13810">
        <f>IF(DATOS!$G13810&lt;&gt;"EX",0,--(COUNTIFS(nNIA,DATOS!$A13810,nCURSO,DATOS!$D13810,nESPEC,DATOS!$E13810,nASIG,DATOS!$I13810,nEVAL,"OR")=0))</f>
      </c>
      <c r="I13810">
        <f>IF(DATOS!$I13810="","",IFERROR(VLOOKUP(DATOS!$I13810,CONFIG_ASIGNATURAS!$B$2:$J$91,9,FALSE()),""))</f>
      </c>
    </row>
    <row r="13811">
      <c r="F13811">
        <f>IF(DATOS!$A13811="","",DATOS!$A13811&amp;"|"&amp;DATOS!$D13811&amp;"|"&amp;DATOS!$E13811&amp;"|"&amp;DATOS!$I13811)</f>
      </c>
      <c r="G13811">
        <f>IF(DATOS!$A13811="",0,IF(CONFIG_METADATA!$B$4&lt;&gt;"OR+EX",--(DATOS!$G13811=CONFIG_METADATA!$B$4),IF(DATOS!$G13811="EX",1,IF(DATOS!$G13811="OR",--(COUNTIFS(nNIA,DATOS!$A13811,nCURSO,DATOS!$D13811,nESPEC,DATOS!$E13811,nASIG,DATOS!$I13811,nEVAL,"EX")=0),0))))</f>
      </c>
      <c r="H13811">
        <f>IF(DATOS!$G13811&lt;&gt;"EX",0,--(COUNTIFS(nNIA,DATOS!$A13811,nCURSO,DATOS!$D13811,nESPEC,DATOS!$E13811,nASIG,DATOS!$I13811,nEVAL,"OR")=0))</f>
      </c>
      <c r="I13811">
        <f>IF(DATOS!$I13811="","",IFERROR(VLOOKUP(DATOS!$I13811,CONFIG_ASIGNATURAS!$B$2:$J$91,9,FALSE()),""))</f>
      </c>
    </row>
    <row r="13812">
      <c r="F13812">
        <f>IF(DATOS!$A13812="","",DATOS!$A13812&amp;"|"&amp;DATOS!$D13812&amp;"|"&amp;DATOS!$E13812&amp;"|"&amp;DATOS!$I13812)</f>
      </c>
      <c r="G13812">
        <f>IF(DATOS!$A13812="",0,IF(CONFIG_METADATA!$B$4&lt;&gt;"OR+EX",--(DATOS!$G13812=CONFIG_METADATA!$B$4),IF(DATOS!$G13812="EX",1,IF(DATOS!$G13812="OR",--(COUNTIFS(nNIA,DATOS!$A13812,nCURSO,DATOS!$D13812,nESPEC,DATOS!$E13812,nASIG,DATOS!$I13812,nEVAL,"EX")=0),0))))</f>
      </c>
      <c r="H13812">
        <f>IF(DATOS!$G13812&lt;&gt;"EX",0,--(COUNTIFS(nNIA,DATOS!$A13812,nCURSO,DATOS!$D13812,nESPEC,DATOS!$E13812,nASIG,DATOS!$I13812,nEVAL,"OR")=0))</f>
      </c>
      <c r="I13812">
        <f>IF(DATOS!$I13812="","",IFERROR(VLOOKUP(DATOS!$I13812,CONFIG_ASIGNATURAS!$B$2:$J$91,9,FALSE()),""))</f>
      </c>
    </row>
    <row r="13813">
      <c r="F13813">
        <f>IF(DATOS!$A13813="","",DATOS!$A13813&amp;"|"&amp;DATOS!$D13813&amp;"|"&amp;DATOS!$E13813&amp;"|"&amp;DATOS!$I13813)</f>
      </c>
      <c r="G13813">
        <f>IF(DATOS!$A13813="",0,IF(CONFIG_METADATA!$B$4&lt;&gt;"OR+EX",--(DATOS!$G13813=CONFIG_METADATA!$B$4),IF(DATOS!$G13813="EX",1,IF(DATOS!$G13813="OR",--(COUNTIFS(nNIA,DATOS!$A13813,nCURSO,DATOS!$D13813,nESPEC,DATOS!$E13813,nASIG,DATOS!$I13813,nEVAL,"EX")=0),0))))</f>
      </c>
      <c r="H13813">
        <f>IF(DATOS!$G13813&lt;&gt;"EX",0,--(COUNTIFS(nNIA,DATOS!$A13813,nCURSO,DATOS!$D13813,nESPEC,DATOS!$E13813,nASIG,DATOS!$I13813,nEVAL,"OR")=0))</f>
      </c>
      <c r="I13813">
        <f>IF(DATOS!$I13813="","",IFERROR(VLOOKUP(DATOS!$I13813,CONFIG_ASIGNATURAS!$B$2:$J$91,9,FALSE()),""))</f>
      </c>
    </row>
    <row r="13814">
      <c r="F13814">
        <f>IF(DATOS!$A13814="","",DATOS!$A13814&amp;"|"&amp;DATOS!$D13814&amp;"|"&amp;DATOS!$E13814&amp;"|"&amp;DATOS!$I13814)</f>
      </c>
      <c r="G13814">
        <f>IF(DATOS!$A13814="",0,IF(CONFIG_METADATA!$B$4&lt;&gt;"OR+EX",--(DATOS!$G13814=CONFIG_METADATA!$B$4),IF(DATOS!$G13814="EX",1,IF(DATOS!$G13814="OR",--(COUNTIFS(nNIA,DATOS!$A13814,nCURSO,DATOS!$D13814,nESPEC,DATOS!$E13814,nASIG,DATOS!$I13814,nEVAL,"EX")=0),0))))</f>
      </c>
      <c r="H13814">
        <f>IF(DATOS!$G13814&lt;&gt;"EX",0,--(COUNTIFS(nNIA,DATOS!$A13814,nCURSO,DATOS!$D13814,nESPEC,DATOS!$E13814,nASIG,DATOS!$I13814,nEVAL,"OR")=0))</f>
      </c>
      <c r="I13814">
        <f>IF(DATOS!$I13814="","",IFERROR(VLOOKUP(DATOS!$I13814,CONFIG_ASIGNATURAS!$B$2:$J$91,9,FALSE()),""))</f>
      </c>
    </row>
    <row r="13815">
      <c r="F13815">
        <f>IF(DATOS!$A13815="","",DATOS!$A13815&amp;"|"&amp;DATOS!$D13815&amp;"|"&amp;DATOS!$E13815&amp;"|"&amp;DATOS!$I13815)</f>
      </c>
      <c r="G13815">
        <f>IF(DATOS!$A13815="",0,IF(CONFIG_METADATA!$B$4&lt;&gt;"OR+EX",--(DATOS!$G13815=CONFIG_METADATA!$B$4),IF(DATOS!$G13815="EX",1,IF(DATOS!$G13815="OR",--(COUNTIFS(nNIA,DATOS!$A13815,nCURSO,DATOS!$D13815,nESPEC,DATOS!$E13815,nASIG,DATOS!$I13815,nEVAL,"EX")=0),0))))</f>
      </c>
      <c r="H13815">
        <f>IF(DATOS!$G13815&lt;&gt;"EX",0,--(COUNTIFS(nNIA,DATOS!$A13815,nCURSO,DATOS!$D13815,nESPEC,DATOS!$E13815,nASIG,DATOS!$I13815,nEVAL,"OR")=0))</f>
      </c>
      <c r="I13815">
        <f>IF(DATOS!$I13815="","",IFERROR(VLOOKUP(DATOS!$I13815,CONFIG_ASIGNATURAS!$B$2:$J$91,9,FALSE()),""))</f>
      </c>
    </row>
    <row r="13816">
      <c r="F13816">
        <f>IF(DATOS!$A13816="","",DATOS!$A13816&amp;"|"&amp;DATOS!$D13816&amp;"|"&amp;DATOS!$E13816&amp;"|"&amp;DATOS!$I13816)</f>
      </c>
      <c r="G13816">
        <f>IF(DATOS!$A13816="",0,IF(CONFIG_METADATA!$B$4&lt;&gt;"OR+EX",--(DATOS!$G13816=CONFIG_METADATA!$B$4),IF(DATOS!$G13816="EX",1,IF(DATOS!$G13816="OR",--(COUNTIFS(nNIA,DATOS!$A13816,nCURSO,DATOS!$D13816,nESPEC,DATOS!$E13816,nASIG,DATOS!$I13816,nEVAL,"EX")=0),0))))</f>
      </c>
      <c r="H13816">
        <f>IF(DATOS!$G13816&lt;&gt;"EX",0,--(COUNTIFS(nNIA,DATOS!$A13816,nCURSO,DATOS!$D13816,nESPEC,DATOS!$E13816,nASIG,DATOS!$I13816,nEVAL,"OR")=0))</f>
      </c>
      <c r="I13816">
        <f>IF(DATOS!$I13816="","",IFERROR(VLOOKUP(DATOS!$I13816,CONFIG_ASIGNATURAS!$B$2:$J$91,9,FALSE()),""))</f>
      </c>
    </row>
    <row r="13817">
      <c r="F13817">
        <f>IF(DATOS!$A13817="","",DATOS!$A13817&amp;"|"&amp;DATOS!$D13817&amp;"|"&amp;DATOS!$E13817&amp;"|"&amp;DATOS!$I13817)</f>
      </c>
      <c r="G13817">
        <f>IF(DATOS!$A13817="",0,IF(CONFIG_METADATA!$B$4&lt;&gt;"OR+EX",--(DATOS!$G13817=CONFIG_METADATA!$B$4),IF(DATOS!$G13817="EX",1,IF(DATOS!$G13817="OR",--(COUNTIFS(nNIA,DATOS!$A13817,nCURSO,DATOS!$D13817,nESPEC,DATOS!$E13817,nASIG,DATOS!$I13817,nEVAL,"EX")=0),0))))</f>
      </c>
      <c r="H13817">
        <f>IF(DATOS!$G13817&lt;&gt;"EX",0,--(COUNTIFS(nNIA,DATOS!$A13817,nCURSO,DATOS!$D13817,nESPEC,DATOS!$E13817,nASIG,DATOS!$I13817,nEVAL,"OR")=0))</f>
      </c>
      <c r="I13817">
        <f>IF(DATOS!$I13817="","",IFERROR(VLOOKUP(DATOS!$I13817,CONFIG_ASIGNATURAS!$B$2:$J$91,9,FALSE()),""))</f>
      </c>
    </row>
    <row r="13818">
      <c r="F13818">
        <f>IF(DATOS!$A13818="","",DATOS!$A13818&amp;"|"&amp;DATOS!$D13818&amp;"|"&amp;DATOS!$E13818&amp;"|"&amp;DATOS!$I13818)</f>
      </c>
      <c r="G13818">
        <f>IF(DATOS!$A13818="",0,IF(CONFIG_METADATA!$B$4&lt;&gt;"OR+EX",--(DATOS!$G13818=CONFIG_METADATA!$B$4),IF(DATOS!$G13818="EX",1,IF(DATOS!$G13818="OR",--(COUNTIFS(nNIA,DATOS!$A13818,nCURSO,DATOS!$D13818,nESPEC,DATOS!$E13818,nASIG,DATOS!$I13818,nEVAL,"EX")=0),0))))</f>
      </c>
      <c r="H13818">
        <f>IF(DATOS!$G13818&lt;&gt;"EX",0,--(COUNTIFS(nNIA,DATOS!$A13818,nCURSO,DATOS!$D13818,nESPEC,DATOS!$E13818,nASIG,DATOS!$I13818,nEVAL,"OR")=0))</f>
      </c>
      <c r="I13818">
        <f>IF(DATOS!$I13818="","",IFERROR(VLOOKUP(DATOS!$I13818,CONFIG_ASIGNATURAS!$B$2:$J$91,9,FALSE()),""))</f>
      </c>
    </row>
    <row r="13819">
      <c r="F13819">
        <f>IF(DATOS!$A13819="","",DATOS!$A13819&amp;"|"&amp;DATOS!$D13819&amp;"|"&amp;DATOS!$E13819&amp;"|"&amp;DATOS!$I13819)</f>
      </c>
      <c r="G13819">
        <f>IF(DATOS!$A13819="",0,IF(CONFIG_METADATA!$B$4&lt;&gt;"OR+EX",--(DATOS!$G13819=CONFIG_METADATA!$B$4),IF(DATOS!$G13819="EX",1,IF(DATOS!$G13819="OR",--(COUNTIFS(nNIA,DATOS!$A13819,nCURSO,DATOS!$D13819,nESPEC,DATOS!$E13819,nASIG,DATOS!$I13819,nEVAL,"EX")=0),0))))</f>
      </c>
      <c r="H13819">
        <f>IF(DATOS!$G13819&lt;&gt;"EX",0,--(COUNTIFS(nNIA,DATOS!$A13819,nCURSO,DATOS!$D13819,nESPEC,DATOS!$E13819,nASIG,DATOS!$I13819,nEVAL,"OR")=0))</f>
      </c>
      <c r="I13819">
        <f>IF(DATOS!$I13819="","",IFERROR(VLOOKUP(DATOS!$I13819,CONFIG_ASIGNATURAS!$B$2:$J$91,9,FALSE()),""))</f>
      </c>
    </row>
    <row r="13820">
      <c r="F13820">
        <f>IF(DATOS!$A13820="","",DATOS!$A13820&amp;"|"&amp;DATOS!$D13820&amp;"|"&amp;DATOS!$E13820&amp;"|"&amp;DATOS!$I13820)</f>
      </c>
      <c r="G13820">
        <f>IF(DATOS!$A13820="",0,IF(CONFIG_METADATA!$B$4&lt;&gt;"OR+EX",--(DATOS!$G13820=CONFIG_METADATA!$B$4),IF(DATOS!$G13820="EX",1,IF(DATOS!$G13820="OR",--(COUNTIFS(nNIA,DATOS!$A13820,nCURSO,DATOS!$D13820,nESPEC,DATOS!$E13820,nASIG,DATOS!$I13820,nEVAL,"EX")=0),0))))</f>
      </c>
      <c r="H13820">
        <f>IF(DATOS!$G13820&lt;&gt;"EX",0,--(COUNTIFS(nNIA,DATOS!$A13820,nCURSO,DATOS!$D13820,nESPEC,DATOS!$E13820,nASIG,DATOS!$I13820,nEVAL,"OR")=0))</f>
      </c>
      <c r="I13820">
        <f>IF(DATOS!$I13820="","",IFERROR(VLOOKUP(DATOS!$I13820,CONFIG_ASIGNATURAS!$B$2:$J$91,9,FALSE()),""))</f>
      </c>
    </row>
    <row r="13821">
      <c r="F13821">
        <f>IF(DATOS!$A13821="","",DATOS!$A13821&amp;"|"&amp;DATOS!$D13821&amp;"|"&amp;DATOS!$E13821&amp;"|"&amp;DATOS!$I13821)</f>
      </c>
      <c r="G13821">
        <f>IF(DATOS!$A13821="",0,IF(CONFIG_METADATA!$B$4&lt;&gt;"OR+EX",--(DATOS!$G13821=CONFIG_METADATA!$B$4),IF(DATOS!$G13821="EX",1,IF(DATOS!$G13821="OR",--(COUNTIFS(nNIA,DATOS!$A13821,nCURSO,DATOS!$D13821,nESPEC,DATOS!$E13821,nASIG,DATOS!$I13821,nEVAL,"EX")=0),0))))</f>
      </c>
      <c r="H13821">
        <f>IF(DATOS!$G13821&lt;&gt;"EX",0,--(COUNTIFS(nNIA,DATOS!$A13821,nCURSO,DATOS!$D13821,nESPEC,DATOS!$E13821,nASIG,DATOS!$I13821,nEVAL,"OR")=0))</f>
      </c>
      <c r="I13821">
        <f>IF(DATOS!$I13821="","",IFERROR(VLOOKUP(DATOS!$I13821,CONFIG_ASIGNATURAS!$B$2:$J$91,9,FALSE()),""))</f>
      </c>
    </row>
    <row r="13822">
      <c r="F13822">
        <f>IF(DATOS!$A13822="","",DATOS!$A13822&amp;"|"&amp;DATOS!$D13822&amp;"|"&amp;DATOS!$E13822&amp;"|"&amp;DATOS!$I13822)</f>
      </c>
      <c r="G13822">
        <f>IF(DATOS!$A13822="",0,IF(CONFIG_METADATA!$B$4&lt;&gt;"OR+EX",--(DATOS!$G13822=CONFIG_METADATA!$B$4),IF(DATOS!$G13822="EX",1,IF(DATOS!$G13822="OR",--(COUNTIFS(nNIA,DATOS!$A13822,nCURSO,DATOS!$D13822,nESPEC,DATOS!$E13822,nASIG,DATOS!$I13822,nEVAL,"EX")=0),0))))</f>
      </c>
      <c r="H13822">
        <f>IF(DATOS!$G13822&lt;&gt;"EX",0,--(COUNTIFS(nNIA,DATOS!$A13822,nCURSO,DATOS!$D13822,nESPEC,DATOS!$E13822,nASIG,DATOS!$I13822,nEVAL,"OR")=0))</f>
      </c>
      <c r="I13822">
        <f>IF(DATOS!$I13822="","",IFERROR(VLOOKUP(DATOS!$I13822,CONFIG_ASIGNATURAS!$B$2:$J$91,9,FALSE()),""))</f>
      </c>
    </row>
    <row r="13823">
      <c r="F13823">
        <f>IF(DATOS!$A13823="","",DATOS!$A13823&amp;"|"&amp;DATOS!$D13823&amp;"|"&amp;DATOS!$E13823&amp;"|"&amp;DATOS!$I13823)</f>
      </c>
      <c r="G13823">
        <f>IF(DATOS!$A13823="",0,IF(CONFIG_METADATA!$B$4&lt;&gt;"OR+EX",--(DATOS!$G13823=CONFIG_METADATA!$B$4),IF(DATOS!$G13823="EX",1,IF(DATOS!$G13823="OR",--(COUNTIFS(nNIA,DATOS!$A13823,nCURSO,DATOS!$D13823,nESPEC,DATOS!$E13823,nASIG,DATOS!$I13823,nEVAL,"EX")=0),0))))</f>
      </c>
      <c r="H13823">
        <f>IF(DATOS!$G13823&lt;&gt;"EX",0,--(COUNTIFS(nNIA,DATOS!$A13823,nCURSO,DATOS!$D13823,nESPEC,DATOS!$E13823,nASIG,DATOS!$I13823,nEVAL,"OR")=0))</f>
      </c>
      <c r="I13823">
        <f>IF(DATOS!$I13823="","",IFERROR(VLOOKUP(DATOS!$I13823,CONFIG_ASIGNATURAS!$B$2:$J$91,9,FALSE()),""))</f>
      </c>
    </row>
    <row r="13824">
      <c r="F13824">
        <f>IF(DATOS!$A13824="","",DATOS!$A13824&amp;"|"&amp;DATOS!$D13824&amp;"|"&amp;DATOS!$E13824&amp;"|"&amp;DATOS!$I13824)</f>
      </c>
      <c r="G13824">
        <f>IF(DATOS!$A13824="",0,IF(CONFIG_METADATA!$B$4&lt;&gt;"OR+EX",--(DATOS!$G13824=CONFIG_METADATA!$B$4),IF(DATOS!$G13824="EX",1,IF(DATOS!$G13824="OR",--(COUNTIFS(nNIA,DATOS!$A13824,nCURSO,DATOS!$D13824,nESPEC,DATOS!$E13824,nASIG,DATOS!$I13824,nEVAL,"EX")=0),0))))</f>
      </c>
      <c r="H13824">
        <f>IF(DATOS!$G13824&lt;&gt;"EX",0,--(COUNTIFS(nNIA,DATOS!$A13824,nCURSO,DATOS!$D13824,nESPEC,DATOS!$E13824,nASIG,DATOS!$I13824,nEVAL,"OR")=0))</f>
      </c>
      <c r="I13824">
        <f>IF(DATOS!$I13824="","",IFERROR(VLOOKUP(DATOS!$I13824,CONFIG_ASIGNATURAS!$B$2:$J$91,9,FALSE()),""))</f>
      </c>
    </row>
    <row r="13825">
      <c r="F13825">
        <f>IF(DATOS!$A13825="","",DATOS!$A13825&amp;"|"&amp;DATOS!$D13825&amp;"|"&amp;DATOS!$E13825&amp;"|"&amp;DATOS!$I13825)</f>
      </c>
      <c r="G13825">
        <f>IF(DATOS!$A13825="",0,IF(CONFIG_METADATA!$B$4&lt;&gt;"OR+EX",--(DATOS!$G13825=CONFIG_METADATA!$B$4),IF(DATOS!$G13825="EX",1,IF(DATOS!$G13825="OR",--(COUNTIFS(nNIA,DATOS!$A13825,nCURSO,DATOS!$D13825,nESPEC,DATOS!$E13825,nASIG,DATOS!$I13825,nEVAL,"EX")=0),0))))</f>
      </c>
      <c r="H13825">
        <f>IF(DATOS!$G13825&lt;&gt;"EX",0,--(COUNTIFS(nNIA,DATOS!$A13825,nCURSO,DATOS!$D13825,nESPEC,DATOS!$E13825,nASIG,DATOS!$I13825,nEVAL,"OR")=0))</f>
      </c>
      <c r="I13825">
        <f>IF(DATOS!$I13825="","",IFERROR(VLOOKUP(DATOS!$I13825,CONFIG_ASIGNATURAS!$B$2:$J$91,9,FALSE()),""))</f>
      </c>
    </row>
    <row r="13826">
      <c r="F13826">
        <f>IF(DATOS!$A13826="","",DATOS!$A13826&amp;"|"&amp;DATOS!$D13826&amp;"|"&amp;DATOS!$E13826&amp;"|"&amp;DATOS!$I13826)</f>
      </c>
      <c r="G13826">
        <f>IF(DATOS!$A13826="",0,IF(CONFIG_METADATA!$B$4&lt;&gt;"OR+EX",--(DATOS!$G13826=CONFIG_METADATA!$B$4),IF(DATOS!$G13826="EX",1,IF(DATOS!$G13826="OR",--(COUNTIFS(nNIA,DATOS!$A13826,nCURSO,DATOS!$D13826,nESPEC,DATOS!$E13826,nASIG,DATOS!$I13826,nEVAL,"EX")=0),0))))</f>
      </c>
      <c r="H13826">
        <f>IF(DATOS!$G13826&lt;&gt;"EX",0,--(COUNTIFS(nNIA,DATOS!$A13826,nCURSO,DATOS!$D13826,nESPEC,DATOS!$E13826,nASIG,DATOS!$I13826,nEVAL,"OR")=0))</f>
      </c>
      <c r="I13826">
        <f>IF(DATOS!$I13826="","",IFERROR(VLOOKUP(DATOS!$I13826,CONFIG_ASIGNATURAS!$B$2:$J$91,9,FALSE()),""))</f>
      </c>
    </row>
    <row r="13827">
      <c r="F13827">
        <f>IF(DATOS!$A13827="","",DATOS!$A13827&amp;"|"&amp;DATOS!$D13827&amp;"|"&amp;DATOS!$E13827&amp;"|"&amp;DATOS!$I13827)</f>
      </c>
      <c r="G13827">
        <f>IF(DATOS!$A13827="",0,IF(CONFIG_METADATA!$B$4&lt;&gt;"OR+EX",--(DATOS!$G13827=CONFIG_METADATA!$B$4),IF(DATOS!$G13827="EX",1,IF(DATOS!$G13827="OR",--(COUNTIFS(nNIA,DATOS!$A13827,nCURSO,DATOS!$D13827,nESPEC,DATOS!$E13827,nASIG,DATOS!$I13827,nEVAL,"EX")=0),0))))</f>
      </c>
      <c r="H13827">
        <f>IF(DATOS!$G13827&lt;&gt;"EX",0,--(COUNTIFS(nNIA,DATOS!$A13827,nCURSO,DATOS!$D13827,nESPEC,DATOS!$E13827,nASIG,DATOS!$I13827,nEVAL,"OR")=0))</f>
      </c>
      <c r="I13827">
        <f>IF(DATOS!$I13827="","",IFERROR(VLOOKUP(DATOS!$I13827,CONFIG_ASIGNATURAS!$B$2:$J$91,9,FALSE()),""))</f>
      </c>
    </row>
    <row r="13828">
      <c r="F13828">
        <f>IF(DATOS!$A13828="","",DATOS!$A13828&amp;"|"&amp;DATOS!$D13828&amp;"|"&amp;DATOS!$E13828&amp;"|"&amp;DATOS!$I13828)</f>
      </c>
      <c r="G13828">
        <f>IF(DATOS!$A13828="",0,IF(CONFIG_METADATA!$B$4&lt;&gt;"OR+EX",--(DATOS!$G13828=CONFIG_METADATA!$B$4),IF(DATOS!$G13828="EX",1,IF(DATOS!$G13828="OR",--(COUNTIFS(nNIA,DATOS!$A13828,nCURSO,DATOS!$D13828,nESPEC,DATOS!$E13828,nASIG,DATOS!$I13828,nEVAL,"EX")=0),0))))</f>
      </c>
      <c r="H13828">
        <f>IF(DATOS!$G13828&lt;&gt;"EX",0,--(COUNTIFS(nNIA,DATOS!$A13828,nCURSO,DATOS!$D13828,nESPEC,DATOS!$E13828,nASIG,DATOS!$I13828,nEVAL,"OR")=0))</f>
      </c>
      <c r="I13828">
        <f>IF(DATOS!$I13828="","",IFERROR(VLOOKUP(DATOS!$I13828,CONFIG_ASIGNATURAS!$B$2:$J$91,9,FALSE()),""))</f>
      </c>
    </row>
    <row r="13829">
      <c r="F13829">
        <f>IF(DATOS!$A13829="","",DATOS!$A13829&amp;"|"&amp;DATOS!$D13829&amp;"|"&amp;DATOS!$E13829&amp;"|"&amp;DATOS!$I13829)</f>
      </c>
      <c r="G13829">
        <f>IF(DATOS!$A13829="",0,IF(CONFIG_METADATA!$B$4&lt;&gt;"OR+EX",--(DATOS!$G13829=CONFIG_METADATA!$B$4),IF(DATOS!$G13829="EX",1,IF(DATOS!$G13829="OR",--(COUNTIFS(nNIA,DATOS!$A13829,nCURSO,DATOS!$D13829,nESPEC,DATOS!$E13829,nASIG,DATOS!$I13829,nEVAL,"EX")=0),0))))</f>
      </c>
      <c r="H13829">
        <f>IF(DATOS!$G13829&lt;&gt;"EX",0,--(COUNTIFS(nNIA,DATOS!$A13829,nCURSO,DATOS!$D13829,nESPEC,DATOS!$E13829,nASIG,DATOS!$I13829,nEVAL,"OR")=0))</f>
      </c>
      <c r="I13829">
        <f>IF(DATOS!$I13829="","",IFERROR(VLOOKUP(DATOS!$I13829,CONFIG_ASIGNATURAS!$B$2:$J$91,9,FALSE()),""))</f>
      </c>
    </row>
    <row r="13830">
      <c r="F13830">
        <f>IF(DATOS!$A13830="","",DATOS!$A13830&amp;"|"&amp;DATOS!$D13830&amp;"|"&amp;DATOS!$E13830&amp;"|"&amp;DATOS!$I13830)</f>
      </c>
      <c r="G13830">
        <f>IF(DATOS!$A13830="",0,IF(CONFIG_METADATA!$B$4&lt;&gt;"OR+EX",--(DATOS!$G13830=CONFIG_METADATA!$B$4),IF(DATOS!$G13830="EX",1,IF(DATOS!$G13830="OR",--(COUNTIFS(nNIA,DATOS!$A13830,nCURSO,DATOS!$D13830,nESPEC,DATOS!$E13830,nASIG,DATOS!$I13830,nEVAL,"EX")=0),0))))</f>
      </c>
      <c r="H13830">
        <f>IF(DATOS!$G13830&lt;&gt;"EX",0,--(COUNTIFS(nNIA,DATOS!$A13830,nCURSO,DATOS!$D13830,nESPEC,DATOS!$E13830,nASIG,DATOS!$I13830,nEVAL,"OR")=0))</f>
      </c>
      <c r="I13830">
        <f>IF(DATOS!$I13830="","",IFERROR(VLOOKUP(DATOS!$I13830,CONFIG_ASIGNATURAS!$B$2:$J$91,9,FALSE()),""))</f>
      </c>
    </row>
    <row r="13831">
      <c r="F13831">
        <f>IF(DATOS!$A13831="","",DATOS!$A13831&amp;"|"&amp;DATOS!$D13831&amp;"|"&amp;DATOS!$E13831&amp;"|"&amp;DATOS!$I13831)</f>
      </c>
      <c r="G13831">
        <f>IF(DATOS!$A13831="",0,IF(CONFIG_METADATA!$B$4&lt;&gt;"OR+EX",--(DATOS!$G13831=CONFIG_METADATA!$B$4),IF(DATOS!$G13831="EX",1,IF(DATOS!$G13831="OR",--(COUNTIFS(nNIA,DATOS!$A13831,nCURSO,DATOS!$D13831,nESPEC,DATOS!$E13831,nASIG,DATOS!$I13831,nEVAL,"EX")=0),0))))</f>
      </c>
      <c r="H13831">
        <f>IF(DATOS!$G13831&lt;&gt;"EX",0,--(COUNTIFS(nNIA,DATOS!$A13831,nCURSO,DATOS!$D13831,nESPEC,DATOS!$E13831,nASIG,DATOS!$I13831,nEVAL,"OR")=0))</f>
      </c>
      <c r="I13831">
        <f>IF(DATOS!$I13831="","",IFERROR(VLOOKUP(DATOS!$I13831,CONFIG_ASIGNATURAS!$B$2:$J$91,9,FALSE()),""))</f>
      </c>
    </row>
    <row r="13832">
      <c r="F13832">
        <f>IF(DATOS!$A13832="","",DATOS!$A13832&amp;"|"&amp;DATOS!$D13832&amp;"|"&amp;DATOS!$E13832&amp;"|"&amp;DATOS!$I13832)</f>
      </c>
      <c r="G13832">
        <f>IF(DATOS!$A13832="",0,IF(CONFIG_METADATA!$B$4&lt;&gt;"OR+EX",--(DATOS!$G13832=CONFIG_METADATA!$B$4),IF(DATOS!$G13832="EX",1,IF(DATOS!$G13832="OR",--(COUNTIFS(nNIA,DATOS!$A13832,nCURSO,DATOS!$D13832,nESPEC,DATOS!$E13832,nASIG,DATOS!$I13832,nEVAL,"EX")=0),0))))</f>
      </c>
      <c r="H13832">
        <f>IF(DATOS!$G13832&lt;&gt;"EX",0,--(COUNTIFS(nNIA,DATOS!$A13832,nCURSO,DATOS!$D13832,nESPEC,DATOS!$E13832,nASIG,DATOS!$I13832,nEVAL,"OR")=0))</f>
      </c>
      <c r="I13832">
        <f>IF(DATOS!$I13832="","",IFERROR(VLOOKUP(DATOS!$I13832,CONFIG_ASIGNATURAS!$B$2:$J$91,9,FALSE()),""))</f>
      </c>
    </row>
    <row r="13833">
      <c r="F13833">
        <f>IF(DATOS!$A13833="","",DATOS!$A13833&amp;"|"&amp;DATOS!$D13833&amp;"|"&amp;DATOS!$E13833&amp;"|"&amp;DATOS!$I13833)</f>
      </c>
      <c r="G13833">
        <f>IF(DATOS!$A13833="",0,IF(CONFIG_METADATA!$B$4&lt;&gt;"OR+EX",--(DATOS!$G13833=CONFIG_METADATA!$B$4),IF(DATOS!$G13833="EX",1,IF(DATOS!$G13833="OR",--(COUNTIFS(nNIA,DATOS!$A13833,nCURSO,DATOS!$D13833,nESPEC,DATOS!$E13833,nASIG,DATOS!$I13833,nEVAL,"EX")=0),0))))</f>
      </c>
      <c r="H13833">
        <f>IF(DATOS!$G13833&lt;&gt;"EX",0,--(COUNTIFS(nNIA,DATOS!$A13833,nCURSO,DATOS!$D13833,nESPEC,DATOS!$E13833,nASIG,DATOS!$I13833,nEVAL,"OR")=0))</f>
      </c>
      <c r="I13833">
        <f>IF(DATOS!$I13833="","",IFERROR(VLOOKUP(DATOS!$I13833,CONFIG_ASIGNATURAS!$B$2:$J$91,9,FALSE()),""))</f>
      </c>
    </row>
    <row r="13834">
      <c r="F13834">
        <f>IF(DATOS!$A13834="","",DATOS!$A13834&amp;"|"&amp;DATOS!$D13834&amp;"|"&amp;DATOS!$E13834&amp;"|"&amp;DATOS!$I13834)</f>
      </c>
      <c r="G13834">
        <f>IF(DATOS!$A13834="",0,IF(CONFIG_METADATA!$B$4&lt;&gt;"OR+EX",--(DATOS!$G13834=CONFIG_METADATA!$B$4),IF(DATOS!$G13834="EX",1,IF(DATOS!$G13834="OR",--(COUNTIFS(nNIA,DATOS!$A13834,nCURSO,DATOS!$D13834,nESPEC,DATOS!$E13834,nASIG,DATOS!$I13834,nEVAL,"EX")=0),0))))</f>
      </c>
      <c r="H13834">
        <f>IF(DATOS!$G13834&lt;&gt;"EX",0,--(COUNTIFS(nNIA,DATOS!$A13834,nCURSO,DATOS!$D13834,nESPEC,DATOS!$E13834,nASIG,DATOS!$I13834,nEVAL,"OR")=0))</f>
      </c>
      <c r="I13834">
        <f>IF(DATOS!$I13834="","",IFERROR(VLOOKUP(DATOS!$I13834,CONFIG_ASIGNATURAS!$B$2:$J$91,9,FALSE()),""))</f>
      </c>
    </row>
    <row r="13835">
      <c r="F13835">
        <f>IF(DATOS!$A13835="","",DATOS!$A13835&amp;"|"&amp;DATOS!$D13835&amp;"|"&amp;DATOS!$E13835&amp;"|"&amp;DATOS!$I13835)</f>
      </c>
      <c r="G13835">
        <f>IF(DATOS!$A13835="",0,IF(CONFIG_METADATA!$B$4&lt;&gt;"OR+EX",--(DATOS!$G13835=CONFIG_METADATA!$B$4),IF(DATOS!$G13835="EX",1,IF(DATOS!$G13835="OR",--(COUNTIFS(nNIA,DATOS!$A13835,nCURSO,DATOS!$D13835,nESPEC,DATOS!$E13835,nASIG,DATOS!$I13835,nEVAL,"EX")=0),0))))</f>
      </c>
      <c r="H13835">
        <f>IF(DATOS!$G13835&lt;&gt;"EX",0,--(COUNTIFS(nNIA,DATOS!$A13835,nCURSO,DATOS!$D13835,nESPEC,DATOS!$E13835,nASIG,DATOS!$I13835,nEVAL,"OR")=0))</f>
      </c>
      <c r="I13835">
        <f>IF(DATOS!$I13835="","",IFERROR(VLOOKUP(DATOS!$I13835,CONFIG_ASIGNATURAS!$B$2:$J$91,9,FALSE()),""))</f>
      </c>
    </row>
    <row r="13836">
      <c r="F13836">
        <f>IF(DATOS!$A13836="","",DATOS!$A13836&amp;"|"&amp;DATOS!$D13836&amp;"|"&amp;DATOS!$E13836&amp;"|"&amp;DATOS!$I13836)</f>
      </c>
      <c r="G13836">
        <f>IF(DATOS!$A13836="",0,IF(CONFIG_METADATA!$B$4&lt;&gt;"OR+EX",--(DATOS!$G13836=CONFIG_METADATA!$B$4),IF(DATOS!$G13836="EX",1,IF(DATOS!$G13836="OR",--(COUNTIFS(nNIA,DATOS!$A13836,nCURSO,DATOS!$D13836,nESPEC,DATOS!$E13836,nASIG,DATOS!$I13836,nEVAL,"EX")=0),0))))</f>
      </c>
      <c r="H13836">
        <f>IF(DATOS!$G13836&lt;&gt;"EX",0,--(COUNTIFS(nNIA,DATOS!$A13836,nCURSO,DATOS!$D13836,nESPEC,DATOS!$E13836,nASIG,DATOS!$I13836,nEVAL,"OR")=0))</f>
      </c>
      <c r="I13836">
        <f>IF(DATOS!$I13836="","",IFERROR(VLOOKUP(DATOS!$I13836,CONFIG_ASIGNATURAS!$B$2:$J$91,9,FALSE()),""))</f>
      </c>
    </row>
    <row r="13837">
      <c r="F13837">
        <f>IF(DATOS!$A13837="","",DATOS!$A13837&amp;"|"&amp;DATOS!$D13837&amp;"|"&amp;DATOS!$E13837&amp;"|"&amp;DATOS!$I13837)</f>
      </c>
      <c r="G13837">
        <f>IF(DATOS!$A13837="",0,IF(CONFIG_METADATA!$B$4&lt;&gt;"OR+EX",--(DATOS!$G13837=CONFIG_METADATA!$B$4),IF(DATOS!$G13837="EX",1,IF(DATOS!$G13837="OR",--(COUNTIFS(nNIA,DATOS!$A13837,nCURSO,DATOS!$D13837,nESPEC,DATOS!$E13837,nASIG,DATOS!$I13837,nEVAL,"EX")=0),0))))</f>
      </c>
      <c r="H13837">
        <f>IF(DATOS!$G13837&lt;&gt;"EX",0,--(COUNTIFS(nNIA,DATOS!$A13837,nCURSO,DATOS!$D13837,nESPEC,DATOS!$E13837,nASIG,DATOS!$I13837,nEVAL,"OR")=0))</f>
      </c>
      <c r="I13837">
        <f>IF(DATOS!$I13837="","",IFERROR(VLOOKUP(DATOS!$I13837,CONFIG_ASIGNATURAS!$B$2:$J$91,9,FALSE()),""))</f>
      </c>
    </row>
    <row r="13838">
      <c r="F13838">
        <f>IF(DATOS!$A13838="","",DATOS!$A13838&amp;"|"&amp;DATOS!$D13838&amp;"|"&amp;DATOS!$E13838&amp;"|"&amp;DATOS!$I13838)</f>
      </c>
      <c r="G13838">
        <f>IF(DATOS!$A13838="",0,IF(CONFIG_METADATA!$B$4&lt;&gt;"OR+EX",--(DATOS!$G13838=CONFIG_METADATA!$B$4),IF(DATOS!$G13838="EX",1,IF(DATOS!$G13838="OR",--(COUNTIFS(nNIA,DATOS!$A13838,nCURSO,DATOS!$D13838,nESPEC,DATOS!$E13838,nASIG,DATOS!$I13838,nEVAL,"EX")=0),0))))</f>
      </c>
      <c r="H13838">
        <f>IF(DATOS!$G13838&lt;&gt;"EX",0,--(COUNTIFS(nNIA,DATOS!$A13838,nCURSO,DATOS!$D13838,nESPEC,DATOS!$E13838,nASIG,DATOS!$I13838,nEVAL,"OR")=0))</f>
      </c>
      <c r="I13838">
        <f>IF(DATOS!$I13838="","",IFERROR(VLOOKUP(DATOS!$I13838,CONFIG_ASIGNATURAS!$B$2:$J$91,9,FALSE()),""))</f>
      </c>
    </row>
    <row r="13839">
      <c r="F13839">
        <f>IF(DATOS!$A13839="","",DATOS!$A13839&amp;"|"&amp;DATOS!$D13839&amp;"|"&amp;DATOS!$E13839&amp;"|"&amp;DATOS!$I13839)</f>
      </c>
      <c r="G13839">
        <f>IF(DATOS!$A13839="",0,IF(CONFIG_METADATA!$B$4&lt;&gt;"OR+EX",--(DATOS!$G13839=CONFIG_METADATA!$B$4),IF(DATOS!$G13839="EX",1,IF(DATOS!$G13839="OR",--(COUNTIFS(nNIA,DATOS!$A13839,nCURSO,DATOS!$D13839,nESPEC,DATOS!$E13839,nASIG,DATOS!$I13839,nEVAL,"EX")=0),0))))</f>
      </c>
      <c r="H13839">
        <f>IF(DATOS!$G13839&lt;&gt;"EX",0,--(COUNTIFS(nNIA,DATOS!$A13839,nCURSO,DATOS!$D13839,nESPEC,DATOS!$E13839,nASIG,DATOS!$I13839,nEVAL,"OR")=0))</f>
      </c>
      <c r="I13839">
        <f>IF(DATOS!$I13839="","",IFERROR(VLOOKUP(DATOS!$I13839,CONFIG_ASIGNATURAS!$B$2:$J$91,9,FALSE()),""))</f>
      </c>
    </row>
    <row r="13840">
      <c r="F13840">
        <f>IF(DATOS!$A13840="","",DATOS!$A13840&amp;"|"&amp;DATOS!$D13840&amp;"|"&amp;DATOS!$E13840&amp;"|"&amp;DATOS!$I13840)</f>
      </c>
      <c r="G13840">
        <f>IF(DATOS!$A13840="",0,IF(CONFIG_METADATA!$B$4&lt;&gt;"OR+EX",--(DATOS!$G13840=CONFIG_METADATA!$B$4),IF(DATOS!$G13840="EX",1,IF(DATOS!$G13840="OR",--(COUNTIFS(nNIA,DATOS!$A13840,nCURSO,DATOS!$D13840,nESPEC,DATOS!$E13840,nASIG,DATOS!$I13840,nEVAL,"EX")=0),0))))</f>
      </c>
      <c r="H13840">
        <f>IF(DATOS!$G13840&lt;&gt;"EX",0,--(COUNTIFS(nNIA,DATOS!$A13840,nCURSO,DATOS!$D13840,nESPEC,DATOS!$E13840,nASIG,DATOS!$I13840,nEVAL,"OR")=0))</f>
      </c>
      <c r="I13840">
        <f>IF(DATOS!$I13840="","",IFERROR(VLOOKUP(DATOS!$I13840,CONFIG_ASIGNATURAS!$B$2:$J$91,9,FALSE()),""))</f>
      </c>
    </row>
    <row r="13841">
      <c r="F13841">
        <f>IF(DATOS!$A13841="","",DATOS!$A13841&amp;"|"&amp;DATOS!$D13841&amp;"|"&amp;DATOS!$E13841&amp;"|"&amp;DATOS!$I13841)</f>
      </c>
      <c r="G13841">
        <f>IF(DATOS!$A13841="",0,IF(CONFIG_METADATA!$B$4&lt;&gt;"OR+EX",--(DATOS!$G13841=CONFIG_METADATA!$B$4),IF(DATOS!$G13841="EX",1,IF(DATOS!$G13841="OR",--(COUNTIFS(nNIA,DATOS!$A13841,nCURSO,DATOS!$D13841,nESPEC,DATOS!$E13841,nASIG,DATOS!$I13841,nEVAL,"EX")=0),0))))</f>
      </c>
      <c r="H13841">
        <f>IF(DATOS!$G13841&lt;&gt;"EX",0,--(COUNTIFS(nNIA,DATOS!$A13841,nCURSO,DATOS!$D13841,nESPEC,DATOS!$E13841,nASIG,DATOS!$I13841,nEVAL,"OR")=0))</f>
      </c>
      <c r="I13841">
        <f>IF(DATOS!$I13841="","",IFERROR(VLOOKUP(DATOS!$I13841,CONFIG_ASIGNATURAS!$B$2:$J$91,9,FALSE()),""))</f>
      </c>
    </row>
    <row r="13842">
      <c r="F13842">
        <f>IF(DATOS!$A13842="","",DATOS!$A13842&amp;"|"&amp;DATOS!$D13842&amp;"|"&amp;DATOS!$E13842&amp;"|"&amp;DATOS!$I13842)</f>
      </c>
      <c r="G13842">
        <f>IF(DATOS!$A13842="",0,IF(CONFIG_METADATA!$B$4&lt;&gt;"OR+EX",--(DATOS!$G13842=CONFIG_METADATA!$B$4),IF(DATOS!$G13842="EX",1,IF(DATOS!$G13842="OR",--(COUNTIFS(nNIA,DATOS!$A13842,nCURSO,DATOS!$D13842,nESPEC,DATOS!$E13842,nASIG,DATOS!$I13842,nEVAL,"EX")=0),0))))</f>
      </c>
      <c r="H13842">
        <f>IF(DATOS!$G13842&lt;&gt;"EX",0,--(COUNTIFS(nNIA,DATOS!$A13842,nCURSO,DATOS!$D13842,nESPEC,DATOS!$E13842,nASIG,DATOS!$I13842,nEVAL,"OR")=0))</f>
      </c>
      <c r="I13842">
        <f>IF(DATOS!$I13842="","",IFERROR(VLOOKUP(DATOS!$I13842,CONFIG_ASIGNATURAS!$B$2:$J$91,9,FALSE()),""))</f>
      </c>
    </row>
    <row r="13843">
      <c r="F13843">
        <f>IF(DATOS!$A13843="","",DATOS!$A13843&amp;"|"&amp;DATOS!$D13843&amp;"|"&amp;DATOS!$E13843&amp;"|"&amp;DATOS!$I13843)</f>
      </c>
      <c r="G13843">
        <f>IF(DATOS!$A13843="",0,IF(CONFIG_METADATA!$B$4&lt;&gt;"OR+EX",--(DATOS!$G13843=CONFIG_METADATA!$B$4),IF(DATOS!$G13843="EX",1,IF(DATOS!$G13843="OR",--(COUNTIFS(nNIA,DATOS!$A13843,nCURSO,DATOS!$D13843,nESPEC,DATOS!$E13843,nASIG,DATOS!$I13843,nEVAL,"EX")=0),0))))</f>
      </c>
      <c r="H13843">
        <f>IF(DATOS!$G13843&lt;&gt;"EX",0,--(COUNTIFS(nNIA,DATOS!$A13843,nCURSO,DATOS!$D13843,nESPEC,DATOS!$E13843,nASIG,DATOS!$I13843,nEVAL,"OR")=0))</f>
      </c>
      <c r="I13843">
        <f>IF(DATOS!$I13843="","",IFERROR(VLOOKUP(DATOS!$I13843,CONFIG_ASIGNATURAS!$B$2:$J$91,9,FALSE()),""))</f>
      </c>
    </row>
    <row r="13844">
      <c r="F13844">
        <f>IF(DATOS!$A13844="","",DATOS!$A13844&amp;"|"&amp;DATOS!$D13844&amp;"|"&amp;DATOS!$E13844&amp;"|"&amp;DATOS!$I13844)</f>
      </c>
      <c r="G13844">
        <f>IF(DATOS!$A13844="",0,IF(CONFIG_METADATA!$B$4&lt;&gt;"OR+EX",--(DATOS!$G13844=CONFIG_METADATA!$B$4),IF(DATOS!$G13844="EX",1,IF(DATOS!$G13844="OR",--(COUNTIFS(nNIA,DATOS!$A13844,nCURSO,DATOS!$D13844,nESPEC,DATOS!$E13844,nASIG,DATOS!$I13844,nEVAL,"EX")=0),0))))</f>
      </c>
      <c r="H13844">
        <f>IF(DATOS!$G13844&lt;&gt;"EX",0,--(COUNTIFS(nNIA,DATOS!$A13844,nCURSO,DATOS!$D13844,nESPEC,DATOS!$E13844,nASIG,DATOS!$I13844,nEVAL,"OR")=0))</f>
      </c>
      <c r="I13844">
        <f>IF(DATOS!$I13844="","",IFERROR(VLOOKUP(DATOS!$I13844,CONFIG_ASIGNATURAS!$B$2:$J$91,9,FALSE()),""))</f>
      </c>
    </row>
    <row r="13845">
      <c r="F13845">
        <f>IF(DATOS!$A13845="","",DATOS!$A13845&amp;"|"&amp;DATOS!$D13845&amp;"|"&amp;DATOS!$E13845&amp;"|"&amp;DATOS!$I13845)</f>
      </c>
      <c r="G13845">
        <f>IF(DATOS!$A13845="",0,IF(CONFIG_METADATA!$B$4&lt;&gt;"OR+EX",--(DATOS!$G13845=CONFIG_METADATA!$B$4),IF(DATOS!$G13845="EX",1,IF(DATOS!$G13845="OR",--(COUNTIFS(nNIA,DATOS!$A13845,nCURSO,DATOS!$D13845,nESPEC,DATOS!$E13845,nASIG,DATOS!$I13845,nEVAL,"EX")=0),0))))</f>
      </c>
      <c r="H13845">
        <f>IF(DATOS!$G13845&lt;&gt;"EX",0,--(COUNTIFS(nNIA,DATOS!$A13845,nCURSO,DATOS!$D13845,nESPEC,DATOS!$E13845,nASIG,DATOS!$I13845,nEVAL,"OR")=0))</f>
      </c>
      <c r="I13845">
        <f>IF(DATOS!$I13845="","",IFERROR(VLOOKUP(DATOS!$I13845,CONFIG_ASIGNATURAS!$B$2:$J$91,9,FALSE()),""))</f>
      </c>
    </row>
    <row r="13846">
      <c r="F13846">
        <f>IF(DATOS!$A13846="","",DATOS!$A13846&amp;"|"&amp;DATOS!$D13846&amp;"|"&amp;DATOS!$E13846&amp;"|"&amp;DATOS!$I13846)</f>
      </c>
      <c r="G13846">
        <f>IF(DATOS!$A13846="",0,IF(CONFIG_METADATA!$B$4&lt;&gt;"OR+EX",--(DATOS!$G13846=CONFIG_METADATA!$B$4),IF(DATOS!$G13846="EX",1,IF(DATOS!$G13846="OR",--(COUNTIFS(nNIA,DATOS!$A13846,nCURSO,DATOS!$D13846,nESPEC,DATOS!$E13846,nASIG,DATOS!$I13846,nEVAL,"EX")=0),0))))</f>
      </c>
      <c r="H13846">
        <f>IF(DATOS!$G13846&lt;&gt;"EX",0,--(COUNTIFS(nNIA,DATOS!$A13846,nCURSO,DATOS!$D13846,nESPEC,DATOS!$E13846,nASIG,DATOS!$I13846,nEVAL,"OR")=0))</f>
      </c>
      <c r="I13846">
        <f>IF(DATOS!$I13846="","",IFERROR(VLOOKUP(DATOS!$I13846,CONFIG_ASIGNATURAS!$B$2:$J$91,9,FALSE()),""))</f>
      </c>
    </row>
    <row r="13847">
      <c r="F13847">
        <f>IF(DATOS!$A13847="","",DATOS!$A13847&amp;"|"&amp;DATOS!$D13847&amp;"|"&amp;DATOS!$E13847&amp;"|"&amp;DATOS!$I13847)</f>
      </c>
      <c r="G13847">
        <f>IF(DATOS!$A13847="",0,IF(CONFIG_METADATA!$B$4&lt;&gt;"OR+EX",--(DATOS!$G13847=CONFIG_METADATA!$B$4),IF(DATOS!$G13847="EX",1,IF(DATOS!$G13847="OR",--(COUNTIFS(nNIA,DATOS!$A13847,nCURSO,DATOS!$D13847,nESPEC,DATOS!$E13847,nASIG,DATOS!$I13847,nEVAL,"EX")=0),0))))</f>
      </c>
      <c r="H13847">
        <f>IF(DATOS!$G13847&lt;&gt;"EX",0,--(COUNTIFS(nNIA,DATOS!$A13847,nCURSO,DATOS!$D13847,nESPEC,DATOS!$E13847,nASIG,DATOS!$I13847,nEVAL,"OR")=0))</f>
      </c>
      <c r="I13847">
        <f>IF(DATOS!$I13847="","",IFERROR(VLOOKUP(DATOS!$I13847,CONFIG_ASIGNATURAS!$B$2:$J$91,9,FALSE()),""))</f>
      </c>
    </row>
    <row r="13848">
      <c r="F13848">
        <f>IF(DATOS!$A13848="","",DATOS!$A13848&amp;"|"&amp;DATOS!$D13848&amp;"|"&amp;DATOS!$E13848&amp;"|"&amp;DATOS!$I13848)</f>
      </c>
      <c r="G13848">
        <f>IF(DATOS!$A13848="",0,IF(CONFIG_METADATA!$B$4&lt;&gt;"OR+EX",--(DATOS!$G13848=CONFIG_METADATA!$B$4),IF(DATOS!$G13848="EX",1,IF(DATOS!$G13848="OR",--(COUNTIFS(nNIA,DATOS!$A13848,nCURSO,DATOS!$D13848,nESPEC,DATOS!$E13848,nASIG,DATOS!$I13848,nEVAL,"EX")=0),0))))</f>
      </c>
      <c r="H13848">
        <f>IF(DATOS!$G13848&lt;&gt;"EX",0,--(COUNTIFS(nNIA,DATOS!$A13848,nCURSO,DATOS!$D13848,nESPEC,DATOS!$E13848,nASIG,DATOS!$I13848,nEVAL,"OR")=0))</f>
      </c>
      <c r="I13848">
        <f>IF(DATOS!$I13848="","",IFERROR(VLOOKUP(DATOS!$I13848,CONFIG_ASIGNATURAS!$B$2:$J$91,9,FALSE()),""))</f>
      </c>
    </row>
    <row r="13849">
      <c r="F13849">
        <f>IF(DATOS!$A13849="","",DATOS!$A13849&amp;"|"&amp;DATOS!$D13849&amp;"|"&amp;DATOS!$E13849&amp;"|"&amp;DATOS!$I13849)</f>
      </c>
      <c r="G13849">
        <f>IF(DATOS!$A13849="",0,IF(CONFIG_METADATA!$B$4&lt;&gt;"OR+EX",--(DATOS!$G13849=CONFIG_METADATA!$B$4),IF(DATOS!$G13849="EX",1,IF(DATOS!$G13849="OR",--(COUNTIFS(nNIA,DATOS!$A13849,nCURSO,DATOS!$D13849,nESPEC,DATOS!$E13849,nASIG,DATOS!$I13849,nEVAL,"EX")=0),0))))</f>
      </c>
      <c r="H13849">
        <f>IF(DATOS!$G13849&lt;&gt;"EX",0,--(COUNTIFS(nNIA,DATOS!$A13849,nCURSO,DATOS!$D13849,nESPEC,DATOS!$E13849,nASIG,DATOS!$I13849,nEVAL,"OR")=0))</f>
      </c>
      <c r="I13849">
        <f>IF(DATOS!$I13849="","",IFERROR(VLOOKUP(DATOS!$I13849,CONFIG_ASIGNATURAS!$B$2:$J$91,9,FALSE()),""))</f>
      </c>
    </row>
    <row r="13850">
      <c r="F13850">
        <f>IF(DATOS!$A13850="","",DATOS!$A13850&amp;"|"&amp;DATOS!$D13850&amp;"|"&amp;DATOS!$E13850&amp;"|"&amp;DATOS!$I13850)</f>
      </c>
      <c r="G13850">
        <f>IF(DATOS!$A13850="",0,IF(CONFIG_METADATA!$B$4&lt;&gt;"OR+EX",--(DATOS!$G13850=CONFIG_METADATA!$B$4),IF(DATOS!$G13850="EX",1,IF(DATOS!$G13850="OR",--(COUNTIFS(nNIA,DATOS!$A13850,nCURSO,DATOS!$D13850,nESPEC,DATOS!$E13850,nASIG,DATOS!$I13850,nEVAL,"EX")=0),0))))</f>
      </c>
      <c r="H13850">
        <f>IF(DATOS!$G13850&lt;&gt;"EX",0,--(COUNTIFS(nNIA,DATOS!$A13850,nCURSO,DATOS!$D13850,nESPEC,DATOS!$E13850,nASIG,DATOS!$I13850,nEVAL,"OR")=0))</f>
      </c>
      <c r="I13850">
        <f>IF(DATOS!$I13850="","",IFERROR(VLOOKUP(DATOS!$I13850,CONFIG_ASIGNATURAS!$B$2:$J$91,9,FALSE()),""))</f>
      </c>
    </row>
    <row r="13851">
      <c r="F13851">
        <f>IF(DATOS!$A13851="","",DATOS!$A13851&amp;"|"&amp;DATOS!$D13851&amp;"|"&amp;DATOS!$E13851&amp;"|"&amp;DATOS!$I13851)</f>
      </c>
      <c r="G13851">
        <f>IF(DATOS!$A13851="",0,IF(CONFIG_METADATA!$B$4&lt;&gt;"OR+EX",--(DATOS!$G13851=CONFIG_METADATA!$B$4),IF(DATOS!$G13851="EX",1,IF(DATOS!$G13851="OR",--(COUNTIFS(nNIA,DATOS!$A13851,nCURSO,DATOS!$D13851,nESPEC,DATOS!$E13851,nASIG,DATOS!$I13851,nEVAL,"EX")=0),0))))</f>
      </c>
      <c r="H13851">
        <f>IF(DATOS!$G13851&lt;&gt;"EX",0,--(COUNTIFS(nNIA,DATOS!$A13851,nCURSO,DATOS!$D13851,nESPEC,DATOS!$E13851,nASIG,DATOS!$I13851,nEVAL,"OR")=0))</f>
      </c>
      <c r="I13851">
        <f>IF(DATOS!$I13851="","",IFERROR(VLOOKUP(DATOS!$I13851,CONFIG_ASIGNATURAS!$B$2:$J$91,9,FALSE()),""))</f>
      </c>
    </row>
    <row r="13852">
      <c r="F13852">
        <f>IF(DATOS!$A13852="","",DATOS!$A13852&amp;"|"&amp;DATOS!$D13852&amp;"|"&amp;DATOS!$E13852&amp;"|"&amp;DATOS!$I13852)</f>
      </c>
      <c r="G13852">
        <f>IF(DATOS!$A13852="",0,IF(CONFIG_METADATA!$B$4&lt;&gt;"OR+EX",--(DATOS!$G13852=CONFIG_METADATA!$B$4),IF(DATOS!$G13852="EX",1,IF(DATOS!$G13852="OR",--(COUNTIFS(nNIA,DATOS!$A13852,nCURSO,DATOS!$D13852,nESPEC,DATOS!$E13852,nASIG,DATOS!$I13852,nEVAL,"EX")=0),0))))</f>
      </c>
      <c r="H13852">
        <f>IF(DATOS!$G13852&lt;&gt;"EX",0,--(COUNTIFS(nNIA,DATOS!$A13852,nCURSO,DATOS!$D13852,nESPEC,DATOS!$E13852,nASIG,DATOS!$I13852,nEVAL,"OR")=0))</f>
      </c>
      <c r="I13852">
        <f>IF(DATOS!$I13852="","",IFERROR(VLOOKUP(DATOS!$I13852,CONFIG_ASIGNATURAS!$B$2:$J$91,9,FALSE()),""))</f>
      </c>
    </row>
    <row r="13853">
      <c r="F13853">
        <f>IF(DATOS!$A13853="","",DATOS!$A13853&amp;"|"&amp;DATOS!$D13853&amp;"|"&amp;DATOS!$E13853&amp;"|"&amp;DATOS!$I13853)</f>
      </c>
      <c r="G13853">
        <f>IF(DATOS!$A13853="",0,IF(CONFIG_METADATA!$B$4&lt;&gt;"OR+EX",--(DATOS!$G13853=CONFIG_METADATA!$B$4),IF(DATOS!$G13853="EX",1,IF(DATOS!$G13853="OR",--(COUNTIFS(nNIA,DATOS!$A13853,nCURSO,DATOS!$D13853,nESPEC,DATOS!$E13853,nASIG,DATOS!$I13853,nEVAL,"EX")=0),0))))</f>
      </c>
      <c r="H13853">
        <f>IF(DATOS!$G13853&lt;&gt;"EX",0,--(COUNTIFS(nNIA,DATOS!$A13853,nCURSO,DATOS!$D13853,nESPEC,DATOS!$E13853,nASIG,DATOS!$I13853,nEVAL,"OR")=0))</f>
      </c>
      <c r="I13853">
        <f>IF(DATOS!$I13853="","",IFERROR(VLOOKUP(DATOS!$I13853,CONFIG_ASIGNATURAS!$B$2:$J$91,9,FALSE()),""))</f>
      </c>
    </row>
    <row r="13854">
      <c r="F13854">
        <f>IF(DATOS!$A13854="","",DATOS!$A13854&amp;"|"&amp;DATOS!$D13854&amp;"|"&amp;DATOS!$E13854&amp;"|"&amp;DATOS!$I13854)</f>
      </c>
      <c r="G13854">
        <f>IF(DATOS!$A13854="",0,IF(CONFIG_METADATA!$B$4&lt;&gt;"OR+EX",--(DATOS!$G13854=CONFIG_METADATA!$B$4),IF(DATOS!$G13854="EX",1,IF(DATOS!$G13854="OR",--(COUNTIFS(nNIA,DATOS!$A13854,nCURSO,DATOS!$D13854,nESPEC,DATOS!$E13854,nASIG,DATOS!$I13854,nEVAL,"EX")=0),0))))</f>
      </c>
      <c r="H13854">
        <f>IF(DATOS!$G13854&lt;&gt;"EX",0,--(COUNTIFS(nNIA,DATOS!$A13854,nCURSO,DATOS!$D13854,nESPEC,DATOS!$E13854,nASIG,DATOS!$I13854,nEVAL,"OR")=0))</f>
      </c>
      <c r="I13854">
        <f>IF(DATOS!$I13854="","",IFERROR(VLOOKUP(DATOS!$I13854,CONFIG_ASIGNATURAS!$B$2:$J$91,9,FALSE()),""))</f>
      </c>
    </row>
    <row r="13855">
      <c r="F13855">
        <f>IF(DATOS!$A13855="","",DATOS!$A13855&amp;"|"&amp;DATOS!$D13855&amp;"|"&amp;DATOS!$E13855&amp;"|"&amp;DATOS!$I13855)</f>
      </c>
      <c r="G13855">
        <f>IF(DATOS!$A13855="",0,IF(CONFIG_METADATA!$B$4&lt;&gt;"OR+EX",--(DATOS!$G13855=CONFIG_METADATA!$B$4),IF(DATOS!$G13855="EX",1,IF(DATOS!$G13855="OR",--(COUNTIFS(nNIA,DATOS!$A13855,nCURSO,DATOS!$D13855,nESPEC,DATOS!$E13855,nASIG,DATOS!$I13855,nEVAL,"EX")=0),0))))</f>
      </c>
      <c r="H13855">
        <f>IF(DATOS!$G13855&lt;&gt;"EX",0,--(COUNTIFS(nNIA,DATOS!$A13855,nCURSO,DATOS!$D13855,nESPEC,DATOS!$E13855,nASIG,DATOS!$I13855,nEVAL,"OR")=0))</f>
      </c>
      <c r="I13855">
        <f>IF(DATOS!$I13855="","",IFERROR(VLOOKUP(DATOS!$I13855,CONFIG_ASIGNATURAS!$B$2:$J$91,9,FALSE()),""))</f>
      </c>
    </row>
    <row r="13856">
      <c r="F13856">
        <f>IF(DATOS!$A13856="","",DATOS!$A13856&amp;"|"&amp;DATOS!$D13856&amp;"|"&amp;DATOS!$E13856&amp;"|"&amp;DATOS!$I13856)</f>
      </c>
      <c r="G13856">
        <f>IF(DATOS!$A13856="",0,IF(CONFIG_METADATA!$B$4&lt;&gt;"OR+EX",--(DATOS!$G13856=CONFIG_METADATA!$B$4),IF(DATOS!$G13856="EX",1,IF(DATOS!$G13856="OR",--(COUNTIFS(nNIA,DATOS!$A13856,nCURSO,DATOS!$D13856,nESPEC,DATOS!$E13856,nASIG,DATOS!$I13856,nEVAL,"EX")=0),0))))</f>
      </c>
      <c r="H13856">
        <f>IF(DATOS!$G13856&lt;&gt;"EX",0,--(COUNTIFS(nNIA,DATOS!$A13856,nCURSO,DATOS!$D13856,nESPEC,DATOS!$E13856,nASIG,DATOS!$I13856,nEVAL,"OR")=0))</f>
      </c>
      <c r="I13856">
        <f>IF(DATOS!$I13856="","",IFERROR(VLOOKUP(DATOS!$I13856,CONFIG_ASIGNATURAS!$B$2:$J$91,9,FALSE()),""))</f>
      </c>
    </row>
    <row r="13857">
      <c r="F13857">
        <f>IF(DATOS!$A13857="","",DATOS!$A13857&amp;"|"&amp;DATOS!$D13857&amp;"|"&amp;DATOS!$E13857&amp;"|"&amp;DATOS!$I13857)</f>
      </c>
      <c r="G13857">
        <f>IF(DATOS!$A13857="",0,IF(CONFIG_METADATA!$B$4&lt;&gt;"OR+EX",--(DATOS!$G13857=CONFIG_METADATA!$B$4),IF(DATOS!$G13857="EX",1,IF(DATOS!$G13857="OR",--(COUNTIFS(nNIA,DATOS!$A13857,nCURSO,DATOS!$D13857,nESPEC,DATOS!$E13857,nASIG,DATOS!$I13857,nEVAL,"EX")=0),0))))</f>
      </c>
      <c r="H13857">
        <f>IF(DATOS!$G13857&lt;&gt;"EX",0,--(COUNTIFS(nNIA,DATOS!$A13857,nCURSO,DATOS!$D13857,nESPEC,DATOS!$E13857,nASIG,DATOS!$I13857,nEVAL,"OR")=0))</f>
      </c>
      <c r="I13857">
        <f>IF(DATOS!$I13857="","",IFERROR(VLOOKUP(DATOS!$I13857,CONFIG_ASIGNATURAS!$B$2:$J$91,9,FALSE()),""))</f>
      </c>
    </row>
    <row r="13858">
      <c r="F13858">
        <f>IF(DATOS!$A13858="","",DATOS!$A13858&amp;"|"&amp;DATOS!$D13858&amp;"|"&amp;DATOS!$E13858&amp;"|"&amp;DATOS!$I13858)</f>
      </c>
      <c r="G13858">
        <f>IF(DATOS!$A13858="",0,IF(CONFIG_METADATA!$B$4&lt;&gt;"OR+EX",--(DATOS!$G13858=CONFIG_METADATA!$B$4),IF(DATOS!$G13858="EX",1,IF(DATOS!$G13858="OR",--(COUNTIFS(nNIA,DATOS!$A13858,nCURSO,DATOS!$D13858,nESPEC,DATOS!$E13858,nASIG,DATOS!$I13858,nEVAL,"EX")=0),0))))</f>
      </c>
      <c r="H13858">
        <f>IF(DATOS!$G13858&lt;&gt;"EX",0,--(COUNTIFS(nNIA,DATOS!$A13858,nCURSO,DATOS!$D13858,nESPEC,DATOS!$E13858,nASIG,DATOS!$I13858,nEVAL,"OR")=0))</f>
      </c>
      <c r="I13858">
        <f>IF(DATOS!$I13858="","",IFERROR(VLOOKUP(DATOS!$I13858,CONFIG_ASIGNATURAS!$B$2:$J$91,9,FALSE()),""))</f>
      </c>
    </row>
    <row r="13859">
      <c r="F13859">
        <f>IF(DATOS!$A13859="","",DATOS!$A13859&amp;"|"&amp;DATOS!$D13859&amp;"|"&amp;DATOS!$E13859&amp;"|"&amp;DATOS!$I13859)</f>
      </c>
      <c r="G13859">
        <f>IF(DATOS!$A13859="",0,IF(CONFIG_METADATA!$B$4&lt;&gt;"OR+EX",--(DATOS!$G13859=CONFIG_METADATA!$B$4),IF(DATOS!$G13859="EX",1,IF(DATOS!$G13859="OR",--(COUNTIFS(nNIA,DATOS!$A13859,nCURSO,DATOS!$D13859,nESPEC,DATOS!$E13859,nASIG,DATOS!$I13859,nEVAL,"EX")=0),0))))</f>
      </c>
      <c r="H13859">
        <f>IF(DATOS!$G13859&lt;&gt;"EX",0,--(COUNTIFS(nNIA,DATOS!$A13859,nCURSO,DATOS!$D13859,nESPEC,DATOS!$E13859,nASIG,DATOS!$I13859,nEVAL,"OR")=0))</f>
      </c>
      <c r="I13859">
        <f>IF(DATOS!$I13859="","",IFERROR(VLOOKUP(DATOS!$I13859,CONFIG_ASIGNATURAS!$B$2:$J$91,9,FALSE()),""))</f>
      </c>
    </row>
    <row r="13860">
      <c r="F13860">
        <f>IF(DATOS!$A13860="","",DATOS!$A13860&amp;"|"&amp;DATOS!$D13860&amp;"|"&amp;DATOS!$E13860&amp;"|"&amp;DATOS!$I13860)</f>
      </c>
      <c r="G13860">
        <f>IF(DATOS!$A13860="",0,IF(CONFIG_METADATA!$B$4&lt;&gt;"OR+EX",--(DATOS!$G13860=CONFIG_METADATA!$B$4),IF(DATOS!$G13860="EX",1,IF(DATOS!$G13860="OR",--(COUNTIFS(nNIA,DATOS!$A13860,nCURSO,DATOS!$D13860,nESPEC,DATOS!$E13860,nASIG,DATOS!$I13860,nEVAL,"EX")=0),0))))</f>
      </c>
      <c r="H13860">
        <f>IF(DATOS!$G13860&lt;&gt;"EX",0,--(COUNTIFS(nNIA,DATOS!$A13860,nCURSO,DATOS!$D13860,nESPEC,DATOS!$E13860,nASIG,DATOS!$I13860,nEVAL,"OR")=0))</f>
      </c>
      <c r="I13860">
        <f>IF(DATOS!$I13860="","",IFERROR(VLOOKUP(DATOS!$I13860,CONFIG_ASIGNATURAS!$B$2:$J$91,9,FALSE()),""))</f>
      </c>
    </row>
    <row r="13861">
      <c r="F13861">
        <f>IF(DATOS!$A13861="","",DATOS!$A13861&amp;"|"&amp;DATOS!$D13861&amp;"|"&amp;DATOS!$E13861&amp;"|"&amp;DATOS!$I13861)</f>
      </c>
      <c r="G13861">
        <f>IF(DATOS!$A13861="",0,IF(CONFIG_METADATA!$B$4&lt;&gt;"OR+EX",--(DATOS!$G13861=CONFIG_METADATA!$B$4),IF(DATOS!$G13861="EX",1,IF(DATOS!$G13861="OR",--(COUNTIFS(nNIA,DATOS!$A13861,nCURSO,DATOS!$D13861,nESPEC,DATOS!$E13861,nASIG,DATOS!$I13861,nEVAL,"EX")=0),0))))</f>
      </c>
      <c r="H13861">
        <f>IF(DATOS!$G13861&lt;&gt;"EX",0,--(COUNTIFS(nNIA,DATOS!$A13861,nCURSO,DATOS!$D13861,nESPEC,DATOS!$E13861,nASIG,DATOS!$I13861,nEVAL,"OR")=0))</f>
      </c>
      <c r="I13861">
        <f>IF(DATOS!$I13861="","",IFERROR(VLOOKUP(DATOS!$I13861,CONFIG_ASIGNATURAS!$B$2:$J$91,9,FALSE()),""))</f>
      </c>
    </row>
    <row r="13862">
      <c r="F13862">
        <f>IF(DATOS!$A13862="","",DATOS!$A13862&amp;"|"&amp;DATOS!$D13862&amp;"|"&amp;DATOS!$E13862&amp;"|"&amp;DATOS!$I13862)</f>
      </c>
      <c r="G13862">
        <f>IF(DATOS!$A13862="",0,IF(CONFIG_METADATA!$B$4&lt;&gt;"OR+EX",--(DATOS!$G13862=CONFIG_METADATA!$B$4),IF(DATOS!$G13862="EX",1,IF(DATOS!$G13862="OR",--(COUNTIFS(nNIA,DATOS!$A13862,nCURSO,DATOS!$D13862,nESPEC,DATOS!$E13862,nASIG,DATOS!$I13862,nEVAL,"EX")=0),0))))</f>
      </c>
      <c r="H13862">
        <f>IF(DATOS!$G13862&lt;&gt;"EX",0,--(COUNTIFS(nNIA,DATOS!$A13862,nCURSO,DATOS!$D13862,nESPEC,DATOS!$E13862,nASIG,DATOS!$I13862,nEVAL,"OR")=0))</f>
      </c>
      <c r="I13862">
        <f>IF(DATOS!$I13862="","",IFERROR(VLOOKUP(DATOS!$I13862,CONFIG_ASIGNATURAS!$B$2:$J$91,9,FALSE()),""))</f>
      </c>
    </row>
    <row r="13863">
      <c r="F13863">
        <f>IF(DATOS!$A13863="","",DATOS!$A13863&amp;"|"&amp;DATOS!$D13863&amp;"|"&amp;DATOS!$E13863&amp;"|"&amp;DATOS!$I13863)</f>
      </c>
      <c r="G13863">
        <f>IF(DATOS!$A13863="",0,IF(CONFIG_METADATA!$B$4&lt;&gt;"OR+EX",--(DATOS!$G13863=CONFIG_METADATA!$B$4),IF(DATOS!$G13863="EX",1,IF(DATOS!$G13863="OR",--(COUNTIFS(nNIA,DATOS!$A13863,nCURSO,DATOS!$D13863,nESPEC,DATOS!$E13863,nASIG,DATOS!$I13863,nEVAL,"EX")=0),0))))</f>
      </c>
      <c r="H13863">
        <f>IF(DATOS!$G13863&lt;&gt;"EX",0,--(COUNTIFS(nNIA,DATOS!$A13863,nCURSO,DATOS!$D13863,nESPEC,DATOS!$E13863,nASIG,DATOS!$I13863,nEVAL,"OR")=0))</f>
      </c>
      <c r="I13863">
        <f>IF(DATOS!$I13863="","",IFERROR(VLOOKUP(DATOS!$I13863,CONFIG_ASIGNATURAS!$B$2:$J$91,9,FALSE()),""))</f>
      </c>
    </row>
    <row r="13864">
      <c r="F13864">
        <f>IF(DATOS!$A13864="","",DATOS!$A13864&amp;"|"&amp;DATOS!$D13864&amp;"|"&amp;DATOS!$E13864&amp;"|"&amp;DATOS!$I13864)</f>
      </c>
      <c r="G13864">
        <f>IF(DATOS!$A13864="",0,IF(CONFIG_METADATA!$B$4&lt;&gt;"OR+EX",--(DATOS!$G13864=CONFIG_METADATA!$B$4),IF(DATOS!$G13864="EX",1,IF(DATOS!$G13864="OR",--(COUNTIFS(nNIA,DATOS!$A13864,nCURSO,DATOS!$D13864,nESPEC,DATOS!$E13864,nASIG,DATOS!$I13864,nEVAL,"EX")=0),0))))</f>
      </c>
      <c r="H13864">
        <f>IF(DATOS!$G13864&lt;&gt;"EX",0,--(COUNTIFS(nNIA,DATOS!$A13864,nCURSO,DATOS!$D13864,nESPEC,DATOS!$E13864,nASIG,DATOS!$I13864,nEVAL,"OR")=0))</f>
      </c>
      <c r="I13864">
        <f>IF(DATOS!$I13864="","",IFERROR(VLOOKUP(DATOS!$I13864,CONFIG_ASIGNATURAS!$B$2:$J$91,9,FALSE()),""))</f>
      </c>
    </row>
    <row r="13865">
      <c r="F13865">
        <f>IF(DATOS!$A13865="","",DATOS!$A13865&amp;"|"&amp;DATOS!$D13865&amp;"|"&amp;DATOS!$E13865&amp;"|"&amp;DATOS!$I13865)</f>
      </c>
      <c r="G13865">
        <f>IF(DATOS!$A13865="",0,IF(CONFIG_METADATA!$B$4&lt;&gt;"OR+EX",--(DATOS!$G13865=CONFIG_METADATA!$B$4),IF(DATOS!$G13865="EX",1,IF(DATOS!$G13865="OR",--(COUNTIFS(nNIA,DATOS!$A13865,nCURSO,DATOS!$D13865,nESPEC,DATOS!$E13865,nASIG,DATOS!$I13865,nEVAL,"EX")=0),0))))</f>
      </c>
      <c r="H13865">
        <f>IF(DATOS!$G13865&lt;&gt;"EX",0,--(COUNTIFS(nNIA,DATOS!$A13865,nCURSO,DATOS!$D13865,nESPEC,DATOS!$E13865,nASIG,DATOS!$I13865,nEVAL,"OR")=0))</f>
      </c>
      <c r="I13865">
        <f>IF(DATOS!$I13865="","",IFERROR(VLOOKUP(DATOS!$I13865,CONFIG_ASIGNATURAS!$B$2:$J$91,9,FALSE()),""))</f>
      </c>
    </row>
    <row r="13866">
      <c r="F13866">
        <f>IF(DATOS!$A13866="","",DATOS!$A13866&amp;"|"&amp;DATOS!$D13866&amp;"|"&amp;DATOS!$E13866&amp;"|"&amp;DATOS!$I13866)</f>
      </c>
      <c r="G13866">
        <f>IF(DATOS!$A13866="",0,IF(CONFIG_METADATA!$B$4&lt;&gt;"OR+EX",--(DATOS!$G13866=CONFIG_METADATA!$B$4),IF(DATOS!$G13866="EX",1,IF(DATOS!$G13866="OR",--(COUNTIFS(nNIA,DATOS!$A13866,nCURSO,DATOS!$D13866,nESPEC,DATOS!$E13866,nASIG,DATOS!$I13866,nEVAL,"EX")=0),0))))</f>
      </c>
      <c r="H13866">
        <f>IF(DATOS!$G13866&lt;&gt;"EX",0,--(COUNTIFS(nNIA,DATOS!$A13866,nCURSO,DATOS!$D13866,nESPEC,DATOS!$E13866,nASIG,DATOS!$I13866,nEVAL,"OR")=0))</f>
      </c>
      <c r="I13866">
        <f>IF(DATOS!$I13866="","",IFERROR(VLOOKUP(DATOS!$I13866,CONFIG_ASIGNATURAS!$B$2:$J$91,9,FALSE()),""))</f>
      </c>
    </row>
    <row r="13867">
      <c r="F13867">
        <f>IF(DATOS!$A13867="","",DATOS!$A13867&amp;"|"&amp;DATOS!$D13867&amp;"|"&amp;DATOS!$E13867&amp;"|"&amp;DATOS!$I13867)</f>
      </c>
      <c r="G13867">
        <f>IF(DATOS!$A13867="",0,IF(CONFIG_METADATA!$B$4&lt;&gt;"OR+EX",--(DATOS!$G13867=CONFIG_METADATA!$B$4),IF(DATOS!$G13867="EX",1,IF(DATOS!$G13867="OR",--(COUNTIFS(nNIA,DATOS!$A13867,nCURSO,DATOS!$D13867,nESPEC,DATOS!$E13867,nASIG,DATOS!$I13867,nEVAL,"EX")=0),0))))</f>
      </c>
      <c r="H13867">
        <f>IF(DATOS!$G13867&lt;&gt;"EX",0,--(COUNTIFS(nNIA,DATOS!$A13867,nCURSO,DATOS!$D13867,nESPEC,DATOS!$E13867,nASIG,DATOS!$I13867,nEVAL,"OR")=0))</f>
      </c>
      <c r="I13867">
        <f>IF(DATOS!$I13867="","",IFERROR(VLOOKUP(DATOS!$I13867,CONFIG_ASIGNATURAS!$B$2:$J$91,9,FALSE()),""))</f>
      </c>
    </row>
    <row r="13868">
      <c r="F13868">
        <f>IF(DATOS!$A13868="","",DATOS!$A13868&amp;"|"&amp;DATOS!$D13868&amp;"|"&amp;DATOS!$E13868&amp;"|"&amp;DATOS!$I13868)</f>
      </c>
      <c r="G13868">
        <f>IF(DATOS!$A13868="",0,IF(CONFIG_METADATA!$B$4&lt;&gt;"OR+EX",--(DATOS!$G13868=CONFIG_METADATA!$B$4),IF(DATOS!$G13868="EX",1,IF(DATOS!$G13868="OR",--(COUNTIFS(nNIA,DATOS!$A13868,nCURSO,DATOS!$D13868,nESPEC,DATOS!$E13868,nASIG,DATOS!$I13868,nEVAL,"EX")=0),0))))</f>
      </c>
      <c r="H13868">
        <f>IF(DATOS!$G13868&lt;&gt;"EX",0,--(COUNTIFS(nNIA,DATOS!$A13868,nCURSO,DATOS!$D13868,nESPEC,DATOS!$E13868,nASIG,DATOS!$I13868,nEVAL,"OR")=0))</f>
      </c>
      <c r="I13868">
        <f>IF(DATOS!$I13868="","",IFERROR(VLOOKUP(DATOS!$I13868,CONFIG_ASIGNATURAS!$B$2:$J$91,9,FALSE()),""))</f>
      </c>
    </row>
    <row r="13869">
      <c r="F13869">
        <f>IF(DATOS!$A13869="","",DATOS!$A13869&amp;"|"&amp;DATOS!$D13869&amp;"|"&amp;DATOS!$E13869&amp;"|"&amp;DATOS!$I13869)</f>
      </c>
      <c r="G13869">
        <f>IF(DATOS!$A13869="",0,IF(CONFIG_METADATA!$B$4&lt;&gt;"OR+EX",--(DATOS!$G13869=CONFIG_METADATA!$B$4),IF(DATOS!$G13869="EX",1,IF(DATOS!$G13869="OR",--(COUNTIFS(nNIA,DATOS!$A13869,nCURSO,DATOS!$D13869,nESPEC,DATOS!$E13869,nASIG,DATOS!$I13869,nEVAL,"EX")=0),0))))</f>
      </c>
      <c r="H13869">
        <f>IF(DATOS!$G13869&lt;&gt;"EX",0,--(COUNTIFS(nNIA,DATOS!$A13869,nCURSO,DATOS!$D13869,nESPEC,DATOS!$E13869,nASIG,DATOS!$I13869,nEVAL,"OR")=0))</f>
      </c>
      <c r="I13869">
        <f>IF(DATOS!$I13869="","",IFERROR(VLOOKUP(DATOS!$I13869,CONFIG_ASIGNATURAS!$B$2:$J$91,9,FALSE()),""))</f>
      </c>
    </row>
    <row r="13870">
      <c r="F13870">
        <f>IF(DATOS!$A13870="","",DATOS!$A13870&amp;"|"&amp;DATOS!$D13870&amp;"|"&amp;DATOS!$E13870&amp;"|"&amp;DATOS!$I13870)</f>
      </c>
      <c r="G13870">
        <f>IF(DATOS!$A13870="",0,IF(CONFIG_METADATA!$B$4&lt;&gt;"OR+EX",--(DATOS!$G13870=CONFIG_METADATA!$B$4),IF(DATOS!$G13870="EX",1,IF(DATOS!$G13870="OR",--(COUNTIFS(nNIA,DATOS!$A13870,nCURSO,DATOS!$D13870,nESPEC,DATOS!$E13870,nASIG,DATOS!$I13870,nEVAL,"EX")=0),0))))</f>
      </c>
      <c r="H13870">
        <f>IF(DATOS!$G13870&lt;&gt;"EX",0,--(COUNTIFS(nNIA,DATOS!$A13870,nCURSO,DATOS!$D13870,nESPEC,DATOS!$E13870,nASIG,DATOS!$I13870,nEVAL,"OR")=0))</f>
      </c>
      <c r="I13870">
        <f>IF(DATOS!$I13870="","",IFERROR(VLOOKUP(DATOS!$I13870,CONFIG_ASIGNATURAS!$B$2:$J$91,9,FALSE()),""))</f>
      </c>
    </row>
    <row r="13871">
      <c r="F13871">
        <f>IF(DATOS!$A13871="","",DATOS!$A13871&amp;"|"&amp;DATOS!$D13871&amp;"|"&amp;DATOS!$E13871&amp;"|"&amp;DATOS!$I13871)</f>
      </c>
      <c r="G13871">
        <f>IF(DATOS!$A13871="",0,IF(CONFIG_METADATA!$B$4&lt;&gt;"OR+EX",--(DATOS!$G13871=CONFIG_METADATA!$B$4),IF(DATOS!$G13871="EX",1,IF(DATOS!$G13871="OR",--(COUNTIFS(nNIA,DATOS!$A13871,nCURSO,DATOS!$D13871,nESPEC,DATOS!$E13871,nASIG,DATOS!$I13871,nEVAL,"EX")=0),0))))</f>
      </c>
      <c r="H13871">
        <f>IF(DATOS!$G13871&lt;&gt;"EX",0,--(COUNTIFS(nNIA,DATOS!$A13871,nCURSO,DATOS!$D13871,nESPEC,DATOS!$E13871,nASIG,DATOS!$I13871,nEVAL,"OR")=0))</f>
      </c>
      <c r="I13871">
        <f>IF(DATOS!$I13871="","",IFERROR(VLOOKUP(DATOS!$I13871,CONFIG_ASIGNATURAS!$B$2:$J$91,9,FALSE()),""))</f>
      </c>
    </row>
    <row r="13872">
      <c r="F13872">
        <f>IF(DATOS!$A13872="","",DATOS!$A13872&amp;"|"&amp;DATOS!$D13872&amp;"|"&amp;DATOS!$E13872&amp;"|"&amp;DATOS!$I13872)</f>
      </c>
      <c r="G13872">
        <f>IF(DATOS!$A13872="",0,IF(CONFIG_METADATA!$B$4&lt;&gt;"OR+EX",--(DATOS!$G13872=CONFIG_METADATA!$B$4),IF(DATOS!$G13872="EX",1,IF(DATOS!$G13872="OR",--(COUNTIFS(nNIA,DATOS!$A13872,nCURSO,DATOS!$D13872,nESPEC,DATOS!$E13872,nASIG,DATOS!$I13872,nEVAL,"EX")=0),0))))</f>
      </c>
      <c r="H13872">
        <f>IF(DATOS!$G13872&lt;&gt;"EX",0,--(COUNTIFS(nNIA,DATOS!$A13872,nCURSO,DATOS!$D13872,nESPEC,DATOS!$E13872,nASIG,DATOS!$I13872,nEVAL,"OR")=0))</f>
      </c>
      <c r="I13872">
        <f>IF(DATOS!$I13872="","",IFERROR(VLOOKUP(DATOS!$I13872,CONFIG_ASIGNATURAS!$B$2:$J$91,9,FALSE()),""))</f>
      </c>
    </row>
    <row r="13873">
      <c r="F13873">
        <f>IF(DATOS!$A13873="","",DATOS!$A13873&amp;"|"&amp;DATOS!$D13873&amp;"|"&amp;DATOS!$E13873&amp;"|"&amp;DATOS!$I13873)</f>
      </c>
      <c r="G13873">
        <f>IF(DATOS!$A13873="",0,IF(CONFIG_METADATA!$B$4&lt;&gt;"OR+EX",--(DATOS!$G13873=CONFIG_METADATA!$B$4),IF(DATOS!$G13873="EX",1,IF(DATOS!$G13873="OR",--(COUNTIFS(nNIA,DATOS!$A13873,nCURSO,DATOS!$D13873,nESPEC,DATOS!$E13873,nASIG,DATOS!$I13873,nEVAL,"EX")=0),0))))</f>
      </c>
      <c r="H13873">
        <f>IF(DATOS!$G13873&lt;&gt;"EX",0,--(COUNTIFS(nNIA,DATOS!$A13873,nCURSO,DATOS!$D13873,nESPEC,DATOS!$E13873,nASIG,DATOS!$I13873,nEVAL,"OR")=0))</f>
      </c>
      <c r="I13873">
        <f>IF(DATOS!$I13873="","",IFERROR(VLOOKUP(DATOS!$I13873,CONFIG_ASIGNATURAS!$B$2:$J$91,9,FALSE()),""))</f>
      </c>
    </row>
    <row r="13874">
      <c r="F13874">
        <f>IF(DATOS!$A13874="","",DATOS!$A13874&amp;"|"&amp;DATOS!$D13874&amp;"|"&amp;DATOS!$E13874&amp;"|"&amp;DATOS!$I13874)</f>
      </c>
      <c r="G13874">
        <f>IF(DATOS!$A13874="",0,IF(CONFIG_METADATA!$B$4&lt;&gt;"OR+EX",--(DATOS!$G13874=CONFIG_METADATA!$B$4),IF(DATOS!$G13874="EX",1,IF(DATOS!$G13874="OR",--(COUNTIFS(nNIA,DATOS!$A13874,nCURSO,DATOS!$D13874,nESPEC,DATOS!$E13874,nASIG,DATOS!$I13874,nEVAL,"EX")=0),0))))</f>
      </c>
      <c r="H13874">
        <f>IF(DATOS!$G13874&lt;&gt;"EX",0,--(COUNTIFS(nNIA,DATOS!$A13874,nCURSO,DATOS!$D13874,nESPEC,DATOS!$E13874,nASIG,DATOS!$I13874,nEVAL,"OR")=0))</f>
      </c>
      <c r="I13874">
        <f>IF(DATOS!$I13874="","",IFERROR(VLOOKUP(DATOS!$I13874,CONFIG_ASIGNATURAS!$B$2:$J$91,9,FALSE()),""))</f>
      </c>
    </row>
    <row r="13875">
      <c r="F13875">
        <f>IF(DATOS!$A13875="","",DATOS!$A13875&amp;"|"&amp;DATOS!$D13875&amp;"|"&amp;DATOS!$E13875&amp;"|"&amp;DATOS!$I13875)</f>
      </c>
      <c r="G13875">
        <f>IF(DATOS!$A13875="",0,IF(CONFIG_METADATA!$B$4&lt;&gt;"OR+EX",--(DATOS!$G13875=CONFIG_METADATA!$B$4),IF(DATOS!$G13875="EX",1,IF(DATOS!$G13875="OR",--(COUNTIFS(nNIA,DATOS!$A13875,nCURSO,DATOS!$D13875,nESPEC,DATOS!$E13875,nASIG,DATOS!$I13875,nEVAL,"EX")=0),0))))</f>
      </c>
      <c r="H13875">
        <f>IF(DATOS!$G13875&lt;&gt;"EX",0,--(COUNTIFS(nNIA,DATOS!$A13875,nCURSO,DATOS!$D13875,nESPEC,DATOS!$E13875,nASIG,DATOS!$I13875,nEVAL,"OR")=0))</f>
      </c>
      <c r="I13875">
        <f>IF(DATOS!$I13875="","",IFERROR(VLOOKUP(DATOS!$I13875,CONFIG_ASIGNATURAS!$B$2:$J$91,9,FALSE()),""))</f>
      </c>
    </row>
    <row r="13876">
      <c r="F13876">
        <f>IF(DATOS!$A13876="","",DATOS!$A13876&amp;"|"&amp;DATOS!$D13876&amp;"|"&amp;DATOS!$E13876&amp;"|"&amp;DATOS!$I13876)</f>
      </c>
      <c r="G13876">
        <f>IF(DATOS!$A13876="",0,IF(CONFIG_METADATA!$B$4&lt;&gt;"OR+EX",--(DATOS!$G13876=CONFIG_METADATA!$B$4),IF(DATOS!$G13876="EX",1,IF(DATOS!$G13876="OR",--(COUNTIFS(nNIA,DATOS!$A13876,nCURSO,DATOS!$D13876,nESPEC,DATOS!$E13876,nASIG,DATOS!$I13876,nEVAL,"EX")=0),0))))</f>
      </c>
      <c r="H13876">
        <f>IF(DATOS!$G13876&lt;&gt;"EX",0,--(COUNTIFS(nNIA,DATOS!$A13876,nCURSO,DATOS!$D13876,nESPEC,DATOS!$E13876,nASIG,DATOS!$I13876,nEVAL,"OR")=0))</f>
      </c>
      <c r="I13876">
        <f>IF(DATOS!$I13876="","",IFERROR(VLOOKUP(DATOS!$I13876,CONFIG_ASIGNATURAS!$B$2:$J$91,9,FALSE()),""))</f>
      </c>
    </row>
    <row r="13877">
      <c r="F13877">
        <f>IF(DATOS!$A13877="","",DATOS!$A13877&amp;"|"&amp;DATOS!$D13877&amp;"|"&amp;DATOS!$E13877&amp;"|"&amp;DATOS!$I13877)</f>
      </c>
      <c r="G13877">
        <f>IF(DATOS!$A13877="",0,IF(CONFIG_METADATA!$B$4&lt;&gt;"OR+EX",--(DATOS!$G13877=CONFIG_METADATA!$B$4),IF(DATOS!$G13877="EX",1,IF(DATOS!$G13877="OR",--(COUNTIFS(nNIA,DATOS!$A13877,nCURSO,DATOS!$D13877,nESPEC,DATOS!$E13877,nASIG,DATOS!$I13877,nEVAL,"EX")=0),0))))</f>
      </c>
      <c r="H13877">
        <f>IF(DATOS!$G13877&lt;&gt;"EX",0,--(COUNTIFS(nNIA,DATOS!$A13877,nCURSO,DATOS!$D13877,nESPEC,DATOS!$E13877,nASIG,DATOS!$I13877,nEVAL,"OR")=0))</f>
      </c>
      <c r="I13877">
        <f>IF(DATOS!$I13877="","",IFERROR(VLOOKUP(DATOS!$I13877,CONFIG_ASIGNATURAS!$B$2:$J$91,9,FALSE()),""))</f>
      </c>
    </row>
    <row r="13878">
      <c r="F13878">
        <f>IF(DATOS!$A13878="","",DATOS!$A13878&amp;"|"&amp;DATOS!$D13878&amp;"|"&amp;DATOS!$E13878&amp;"|"&amp;DATOS!$I13878)</f>
      </c>
      <c r="G13878">
        <f>IF(DATOS!$A13878="",0,IF(CONFIG_METADATA!$B$4&lt;&gt;"OR+EX",--(DATOS!$G13878=CONFIG_METADATA!$B$4),IF(DATOS!$G13878="EX",1,IF(DATOS!$G13878="OR",--(COUNTIFS(nNIA,DATOS!$A13878,nCURSO,DATOS!$D13878,nESPEC,DATOS!$E13878,nASIG,DATOS!$I13878,nEVAL,"EX")=0),0))))</f>
      </c>
      <c r="H13878">
        <f>IF(DATOS!$G13878&lt;&gt;"EX",0,--(COUNTIFS(nNIA,DATOS!$A13878,nCURSO,DATOS!$D13878,nESPEC,DATOS!$E13878,nASIG,DATOS!$I13878,nEVAL,"OR")=0))</f>
      </c>
      <c r="I13878">
        <f>IF(DATOS!$I13878="","",IFERROR(VLOOKUP(DATOS!$I13878,CONFIG_ASIGNATURAS!$B$2:$J$91,9,FALSE()),""))</f>
      </c>
    </row>
    <row r="13879">
      <c r="F13879">
        <f>IF(DATOS!$A13879="","",DATOS!$A13879&amp;"|"&amp;DATOS!$D13879&amp;"|"&amp;DATOS!$E13879&amp;"|"&amp;DATOS!$I13879)</f>
      </c>
      <c r="G13879">
        <f>IF(DATOS!$A13879="",0,IF(CONFIG_METADATA!$B$4&lt;&gt;"OR+EX",--(DATOS!$G13879=CONFIG_METADATA!$B$4),IF(DATOS!$G13879="EX",1,IF(DATOS!$G13879="OR",--(COUNTIFS(nNIA,DATOS!$A13879,nCURSO,DATOS!$D13879,nESPEC,DATOS!$E13879,nASIG,DATOS!$I13879,nEVAL,"EX")=0),0))))</f>
      </c>
      <c r="H13879">
        <f>IF(DATOS!$G13879&lt;&gt;"EX",0,--(COUNTIFS(nNIA,DATOS!$A13879,nCURSO,DATOS!$D13879,nESPEC,DATOS!$E13879,nASIG,DATOS!$I13879,nEVAL,"OR")=0))</f>
      </c>
      <c r="I13879">
        <f>IF(DATOS!$I13879="","",IFERROR(VLOOKUP(DATOS!$I13879,CONFIG_ASIGNATURAS!$B$2:$J$91,9,FALSE()),""))</f>
      </c>
    </row>
    <row r="13880">
      <c r="F13880">
        <f>IF(DATOS!$A13880="","",DATOS!$A13880&amp;"|"&amp;DATOS!$D13880&amp;"|"&amp;DATOS!$E13880&amp;"|"&amp;DATOS!$I13880)</f>
      </c>
      <c r="G13880">
        <f>IF(DATOS!$A13880="",0,IF(CONFIG_METADATA!$B$4&lt;&gt;"OR+EX",--(DATOS!$G13880=CONFIG_METADATA!$B$4),IF(DATOS!$G13880="EX",1,IF(DATOS!$G13880="OR",--(COUNTIFS(nNIA,DATOS!$A13880,nCURSO,DATOS!$D13880,nESPEC,DATOS!$E13880,nASIG,DATOS!$I13880,nEVAL,"EX")=0),0))))</f>
      </c>
      <c r="H13880">
        <f>IF(DATOS!$G13880&lt;&gt;"EX",0,--(COUNTIFS(nNIA,DATOS!$A13880,nCURSO,DATOS!$D13880,nESPEC,DATOS!$E13880,nASIG,DATOS!$I13880,nEVAL,"OR")=0))</f>
      </c>
      <c r="I13880">
        <f>IF(DATOS!$I13880="","",IFERROR(VLOOKUP(DATOS!$I13880,CONFIG_ASIGNATURAS!$B$2:$J$91,9,FALSE()),""))</f>
      </c>
    </row>
    <row r="13881">
      <c r="F13881">
        <f>IF(DATOS!$A13881="","",DATOS!$A13881&amp;"|"&amp;DATOS!$D13881&amp;"|"&amp;DATOS!$E13881&amp;"|"&amp;DATOS!$I13881)</f>
      </c>
      <c r="G13881">
        <f>IF(DATOS!$A13881="",0,IF(CONFIG_METADATA!$B$4&lt;&gt;"OR+EX",--(DATOS!$G13881=CONFIG_METADATA!$B$4),IF(DATOS!$G13881="EX",1,IF(DATOS!$G13881="OR",--(COUNTIFS(nNIA,DATOS!$A13881,nCURSO,DATOS!$D13881,nESPEC,DATOS!$E13881,nASIG,DATOS!$I13881,nEVAL,"EX")=0),0))))</f>
      </c>
      <c r="H13881">
        <f>IF(DATOS!$G13881&lt;&gt;"EX",0,--(COUNTIFS(nNIA,DATOS!$A13881,nCURSO,DATOS!$D13881,nESPEC,DATOS!$E13881,nASIG,DATOS!$I13881,nEVAL,"OR")=0))</f>
      </c>
      <c r="I13881">
        <f>IF(DATOS!$I13881="","",IFERROR(VLOOKUP(DATOS!$I13881,CONFIG_ASIGNATURAS!$B$2:$J$91,9,FALSE()),""))</f>
      </c>
    </row>
    <row r="13882">
      <c r="F13882">
        <f>IF(DATOS!$A13882="","",DATOS!$A13882&amp;"|"&amp;DATOS!$D13882&amp;"|"&amp;DATOS!$E13882&amp;"|"&amp;DATOS!$I13882)</f>
      </c>
      <c r="G13882">
        <f>IF(DATOS!$A13882="",0,IF(CONFIG_METADATA!$B$4&lt;&gt;"OR+EX",--(DATOS!$G13882=CONFIG_METADATA!$B$4),IF(DATOS!$G13882="EX",1,IF(DATOS!$G13882="OR",--(COUNTIFS(nNIA,DATOS!$A13882,nCURSO,DATOS!$D13882,nESPEC,DATOS!$E13882,nASIG,DATOS!$I13882,nEVAL,"EX")=0),0))))</f>
      </c>
      <c r="H13882">
        <f>IF(DATOS!$G13882&lt;&gt;"EX",0,--(COUNTIFS(nNIA,DATOS!$A13882,nCURSO,DATOS!$D13882,nESPEC,DATOS!$E13882,nASIG,DATOS!$I13882,nEVAL,"OR")=0))</f>
      </c>
      <c r="I13882">
        <f>IF(DATOS!$I13882="","",IFERROR(VLOOKUP(DATOS!$I13882,CONFIG_ASIGNATURAS!$B$2:$J$91,9,FALSE()),""))</f>
      </c>
    </row>
    <row r="13883">
      <c r="F13883">
        <f>IF(DATOS!$A13883="","",DATOS!$A13883&amp;"|"&amp;DATOS!$D13883&amp;"|"&amp;DATOS!$E13883&amp;"|"&amp;DATOS!$I13883)</f>
      </c>
      <c r="G13883">
        <f>IF(DATOS!$A13883="",0,IF(CONFIG_METADATA!$B$4&lt;&gt;"OR+EX",--(DATOS!$G13883=CONFIG_METADATA!$B$4),IF(DATOS!$G13883="EX",1,IF(DATOS!$G13883="OR",--(COUNTIFS(nNIA,DATOS!$A13883,nCURSO,DATOS!$D13883,nESPEC,DATOS!$E13883,nASIG,DATOS!$I13883,nEVAL,"EX")=0),0))))</f>
      </c>
      <c r="H13883">
        <f>IF(DATOS!$G13883&lt;&gt;"EX",0,--(COUNTIFS(nNIA,DATOS!$A13883,nCURSO,DATOS!$D13883,nESPEC,DATOS!$E13883,nASIG,DATOS!$I13883,nEVAL,"OR")=0))</f>
      </c>
      <c r="I13883">
        <f>IF(DATOS!$I13883="","",IFERROR(VLOOKUP(DATOS!$I13883,CONFIG_ASIGNATURAS!$B$2:$J$91,9,FALSE()),""))</f>
      </c>
    </row>
    <row r="13884">
      <c r="F13884">
        <f>IF(DATOS!$A13884="","",DATOS!$A13884&amp;"|"&amp;DATOS!$D13884&amp;"|"&amp;DATOS!$E13884&amp;"|"&amp;DATOS!$I13884)</f>
      </c>
      <c r="G13884">
        <f>IF(DATOS!$A13884="",0,IF(CONFIG_METADATA!$B$4&lt;&gt;"OR+EX",--(DATOS!$G13884=CONFIG_METADATA!$B$4),IF(DATOS!$G13884="EX",1,IF(DATOS!$G13884="OR",--(COUNTIFS(nNIA,DATOS!$A13884,nCURSO,DATOS!$D13884,nESPEC,DATOS!$E13884,nASIG,DATOS!$I13884,nEVAL,"EX")=0),0))))</f>
      </c>
      <c r="H13884">
        <f>IF(DATOS!$G13884&lt;&gt;"EX",0,--(COUNTIFS(nNIA,DATOS!$A13884,nCURSO,DATOS!$D13884,nESPEC,DATOS!$E13884,nASIG,DATOS!$I13884,nEVAL,"OR")=0))</f>
      </c>
      <c r="I13884">
        <f>IF(DATOS!$I13884="","",IFERROR(VLOOKUP(DATOS!$I13884,CONFIG_ASIGNATURAS!$B$2:$J$91,9,FALSE()),""))</f>
      </c>
    </row>
    <row r="13885">
      <c r="F13885">
        <f>IF(DATOS!$A13885="","",DATOS!$A13885&amp;"|"&amp;DATOS!$D13885&amp;"|"&amp;DATOS!$E13885&amp;"|"&amp;DATOS!$I13885)</f>
      </c>
      <c r="G13885">
        <f>IF(DATOS!$A13885="",0,IF(CONFIG_METADATA!$B$4&lt;&gt;"OR+EX",--(DATOS!$G13885=CONFIG_METADATA!$B$4),IF(DATOS!$G13885="EX",1,IF(DATOS!$G13885="OR",--(COUNTIFS(nNIA,DATOS!$A13885,nCURSO,DATOS!$D13885,nESPEC,DATOS!$E13885,nASIG,DATOS!$I13885,nEVAL,"EX")=0),0))))</f>
      </c>
      <c r="H13885">
        <f>IF(DATOS!$G13885&lt;&gt;"EX",0,--(COUNTIFS(nNIA,DATOS!$A13885,nCURSO,DATOS!$D13885,nESPEC,DATOS!$E13885,nASIG,DATOS!$I13885,nEVAL,"OR")=0))</f>
      </c>
      <c r="I13885">
        <f>IF(DATOS!$I13885="","",IFERROR(VLOOKUP(DATOS!$I13885,CONFIG_ASIGNATURAS!$B$2:$J$91,9,FALSE()),""))</f>
      </c>
    </row>
    <row r="13886">
      <c r="F13886">
        <f>IF(DATOS!$A13886="","",DATOS!$A13886&amp;"|"&amp;DATOS!$D13886&amp;"|"&amp;DATOS!$E13886&amp;"|"&amp;DATOS!$I13886)</f>
      </c>
      <c r="G13886">
        <f>IF(DATOS!$A13886="",0,IF(CONFIG_METADATA!$B$4&lt;&gt;"OR+EX",--(DATOS!$G13886=CONFIG_METADATA!$B$4),IF(DATOS!$G13886="EX",1,IF(DATOS!$G13886="OR",--(COUNTIFS(nNIA,DATOS!$A13886,nCURSO,DATOS!$D13886,nESPEC,DATOS!$E13886,nASIG,DATOS!$I13886,nEVAL,"EX")=0),0))))</f>
      </c>
      <c r="H13886">
        <f>IF(DATOS!$G13886&lt;&gt;"EX",0,--(COUNTIFS(nNIA,DATOS!$A13886,nCURSO,DATOS!$D13886,nESPEC,DATOS!$E13886,nASIG,DATOS!$I13886,nEVAL,"OR")=0))</f>
      </c>
      <c r="I13886">
        <f>IF(DATOS!$I13886="","",IFERROR(VLOOKUP(DATOS!$I13886,CONFIG_ASIGNATURAS!$B$2:$J$91,9,FALSE()),""))</f>
      </c>
    </row>
    <row r="13887">
      <c r="F13887">
        <f>IF(DATOS!$A13887="","",DATOS!$A13887&amp;"|"&amp;DATOS!$D13887&amp;"|"&amp;DATOS!$E13887&amp;"|"&amp;DATOS!$I13887)</f>
      </c>
      <c r="G13887">
        <f>IF(DATOS!$A13887="",0,IF(CONFIG_METADATA!$B$4&lt;&gt;"OR+EX",--(DATOS!$G13887=CONFIG_METADATA!$B$4),IF(DATOS!$G13887="EX",1,IF(DATOS!$G13887="OR",--(COUNTIFS(nNIA,DATOS!$A13887,nCURSO,DATOS!$D13887,nESPEC,DATOS!$E13887,nASIG,DATOS!$I13887,nEVAL,"EX")=0),0))))</f>
      </c>
      <c r="H13887">
        <f>IF(DATOS!$G13887&lt;&gt;"EX",0,--(COUNTIFS(nNIA,DATOS!$A13887,nCURSO,DATOS!$D13887,nESPEC,DATOS!$E13887,nASIG,DATOS!$I13887,nEVAL,"OR")=0))</f>
      </c>
      <c r="I13887">
        <f>IF(DATOS!$I13887="","",IFERROR(VLOOKUP(DATOS!$I13887,CONFIG_ASIGNATURAS!$B$2:$J$91,9,FALSE()),""))</f>
      </c>
    </row>
    <row r="13888">
      <c r="F13888">
        <f>IF(DATOS!$A13888="","",DATOS!$A13888&amp;"|"&amp;DATOS!$D13888&amp;"|"&amp;DATOS!$E13888&amp;"|"&amp;DATOS!$I13888)</f>
      </c>
      <c r="G13888">
        <f>IF(DATOS!$A13888="",0,IF(CONFIG_METADATA!$B$4&lt;&gt;"OR+EX",--(DATOS!$G13888=CONFIG_METADATA!$B$4),IF(DATOS!$G13888="EX",1,IF(DATOS!$G13888="OR",--(COUNTIFS(nNIA,DATOS!$A13888,nCURSO,DATOS!$D13888,nESPEC,DATOS!$E13888,nASIG,DATOS!$I13888,nEVAL,"EX")=0),0))))</f>
      </c>
      <c r="H13888">
        <f>IF(DATOS!$G13888&lt;&gt;"EX",0,--(COUNTIFS(nNIA,DATOS!$A13888,nCURSO,DATOS!$D13888,nESPEC,DATOS!$E13888,nASIG,DATOS!$I13888,nEVAL,"OR")=0))</f>
      </c>
      <c r="I13888">
        <f>IF(DATOS!$I13888="","",IFERROR(VLOOKUP(DATOS!$I13888,CONFIG_ASIGNATURAS!$B$2:$J$91,9,FALSE()),""))</f>
      </c>
    </row>
    <row r="13889">
      <c r="F13889">
        <f>IF(DATOS!$A13889="","",DATOS!$A13889&amp;"|"&amp;DATOS!$D13889&amp;"|"&amp;DATOS!$E13889&amp;"|"&amp;DATOS!$I13889)</f>
      </c>
      <c r="G13889">
        <f>IF(DATOS!$A13889="",0,IF(CONFIG_METADATA!$B$4&lt;&gt;"OR+EX",--(DATOS!$G13889=CONFIG_METADATA!$B$4),IF(DATOS!$G13889="EX",1,IF(DATOS!$G13889="OR",--(COUNTIFS(nNIA,DATOS!$A13889,nCURSO,DATOS!$D13889,nESPEC,DATOS!$E13889,nASIG,DATOS!$I13889,nEVAL,"EX")=0),0))))</f>
      </c>
      <c r="H13889">
        <f>IF(DATOS!$G13889&lt;&gt;"EX",0,--(COUNTIFS(nNIA,DATOS!$A13889,nCURSO,DATOS!$D13889,nESPEC,DATOS!$E13889,nASIG,DATOS!$I13889,nEVAL,"OR")=0))</f>
      </c>
      <c r="I13889">
        <f>IF(DATOS!$I13889="","",IFERROR(VLOOKUP(DATOS!$I13889,CONFIG_ASIGNATURAS!$B$2:$J$91,9,FALSE()),""))</f>
      </c>
    </row>
    <row r="13890">
      <c r="F13890">
        <f>IF(DATOS!$A13890="","",DATOS!$A13890&amp;"|"&amp;DATOS!$D13890&amp;"|"&amp;DATOS!$E13890&amp;"|"&amp;DATOS!$I13890)</f>
      </c>
      <c r="G13890">
        <f>IF(DATOS!$A13890="",0,IF(CONFIG_METADATA!$B$4&lt;&gt;"OR+EX",--(DATOS!$G13890=CONFIG_METADATA!$B$4),IF(DATOS!$G13890="EX",1,IF(DATOS!$G13890="OR",--(COUNTIFS(nNIA,DATOS!$A13890,nCURSO,DATOS!$D13890,nESPEC,DATOS!$E13890,nASIG,DATOS!$I13890,nEVAL,"EX")=0),0))))</f>
      </c>
      <c r="H13890">
        <f>IF(DATOS!$G13890&lt;&gt;"EX",0,--(COUNTIFS(nNIA,DATOS!$A13890,nCURSO,DATOS!$D13890,nESPEC,DATOS!$E13890,nASIG,DATOS!$I13890,nEVAL,"OR")=0))</f>
      </c>
      <c r="I13890">
        <f>IF(DATOS!$I13890="","",IFERROR(VLOOKUP(DATOS!$I13890,CONFIG_ASIGNATURAS!$B$2:$J$91,9,FALSE()),""))</f>
      </c>
    </row>
    <row r="13891">
      <c r="F13891">
        <f>IF(DATOS!$A13891="","",DATOS!$A13891&amp;"|"&amp;DATOS!$D13891&amp;"|"&amp;DATOS!$E13891&amp;"|"&amp;DATOS!$I13891)</f>
      </c>
      <c r="G13891">
        <f>IF(DATOS!$A13891="",0,IF(CONFIG_METADATA!$B$4&lt;&gt;"OR+EX",--(DATOS!$G13891=CONFIG_METADATA!$B$4),IF(DATOS!$G13891="EX",1,IF(DATOS!$G13891="OR",--(COUNTIFS(nNIA,DATOS!$A13891,nCURSO,DATOS!$D13891,nESPEC,DATOS!$E13891,nASIG,DATOS!$I13891,nEVAL,"EX")=0),0))))</f>
      </c>
      <c r="H13891">
        <f>IF(DATOS!$G13891&lt;&gt;"EX",0,--(COUNTIFS(nNIA,DATOS!$A13891,nCURSO,DATOS!$D13891,nESPEC,DATOS!$E13891,nASIG,DATOS!$I13891,nEVAL,"OR")=0))</f>
      </c>
      <c r="I13891">
        <f>IF(DATOS!$I13891="","",IFERROR(VLOOKUP(DATOS!$I13891,CONFIG_ASIGNATURAS!$B$2:$J$91,9,FALSE()),""))</f>
      </c>
    </row>
    <row r="13892">
      <c r="F13892">
        <f>IF(DATOS!$A13892="","",DATOS!$A13892&amp;"|"&amp;DATOS!$D13892&amp;"|"&amp;DATOS!$E13892&amp;"|"&amp;DATOS!$I13892)</f>
      </c>
      <c r="G13892">
        <f>IF(DATOS!$A13892="",0,IF(CONFIG_METADATA!$B$4&lt;&gt;"OR+EX",--(DATOS!$G13892=CONFIG_METADATA!$B$4),IF(DATOS!$G13892="EX",1,IF(DATOS!$G13892="OR",--(COUNTIFS(nNIA,DATOS!$A13892,nCURSO,DATOS!$D13892,nESPEC,DATOS!$E13892,nASIG,DATOS!$I13892,nEVAL,"EX")=0),0))))</f>
      </c>
      <c r="H13892">
        <f>IF(DATOS!$G13892&lt;&gt;"EX",0,--(COUNTIFS(nNIA,DATOS!$A13892,nCURSO,DATOS!$D13892,nESPEC,DATOS!$E13892,nASIG,DATOS!$I13892,nEVAL,"OR")=0))</f>
      </c>
      <c r="I13892">
        <f>IF(DATOS!$I13892="","",IFERROR(VLOOKUP(DATOS!$I13892,CONFIG_ASIGNATURAS!$B$2:$J$91,9,FALSE()),""))</f>
      </c>
    </row>
    <row r="13893">
      <c r="F13893">
        <f>IF(DATOS!$A13893="","",DATOS!$A13893&amp;"|"&amp;DATOS!$D13893&amp;"|"&amp;DATOS!$E13893&amp;"|"&amp;DATOS!$I13893)</f>
      </c>
      <c r="G13893">
        <f>IF(DATOS!$A13893="",0,IF(CONFIG_METADATA!$B$4&lt;&gt;"OR+EX",--(DATOS!$G13893=CONFIG_METADATA!$B$4),IF(DATOS!$G13893="EX",1,IF(DATOS!$G13893="OR",--(COUNTIFS(nNIA,DATOS!$A13893,nCURSO,DATOS!$D13893,nESPEC,DATOS!$E13893,nASIG,DATOS!$I13893,nEVAL,"EX")=0),0))))</f>
      </c>
      <c r="H13893">
        <f>IF(DATOS!$G13893&lt;&gt;"EX",0,--(COUNTIFS(nNIA,DATOS!$A13893,nCURSO,DATOS!$D13893,nESPEC,DATOS!$E13893,nASIG,DATOS!$I13893,nEVAL,"OR")=0))</f>
      </c>
      <c r="I13893">
        <f>IF(DATOS!$I13893="","",IFERROR(VLOOKUP(DATOS!$I13893,CONFIG_ASIGNATURAS!$B$2:$J$91,9,FALSE()),""))</f>
      </c>
    </row>
    <row r="13894">
      <c r="F13894">
        <f>IF(DATOS!$A13894="","",DATOS!$A13894&amp;"|"&amp;DATOS!$D13894&amp;"|"&amp;DATOS!$E13894&amp;"|"&amp;DATOS!$I13894)</f>
      </c>
      <c r="G13894">
        <f>IF(DATOS!$A13894="",0,IF(CONFIG_METADATA!$B$4&lt;&gt;"OR+EX",--(DATOS!$G13894=CONFIG_METADATA!$B$4),IF(DATOS!$G13894="EX",1,IF(DATOS!$G13894="OR",--(COUNTIFS(nNIA,DATOS!$A13894,nCURSO,DATOS!$D13894,nESPEC,DATOS!$E13894,nASIG,DATOS!$I13894,nEVAL,"EX")=0),0))))</f>
      </c>
      <c r="H13894">
        <f>IF(DATOS!$G13894&lt;&gt;"EX",0,--(COUNTIFS(nNIA,DATOS!$A13894,nCURSO,DATOS!$D13894,nESPEC,DATOS!$E13894,nASIG,DATOS!$I13894,nEVAL,"OR")=0))</f>
      </c>
      <c r="I13894">
        <f>IF(DATOS!$I13894="","",IFERROR(VLOOKUP(DATOS!$I13894,CONFIG_ASIGNATURAS!$B$2:$J$91,9,FALSE()),""))</f>
      </c>
    </row>
    <row r="13895">
      <c r="F13895">
        <f>IF(DATOS!$A13895="","",DATOS!$A13895&amp;"|"&amp;DATOS!$D13895&amp;"|"&amp;DATOS!$E13895&amp;"|"&amp;DATOS!$I13895)</f>
      </c>
      <c r="G13895">
        <f>IF(DATOS!$A13895="",0,IF(CONFIG_METADATA!$B$4&lt;&gt;"OR+EX",--(DATOS!$G13895=CONFIG_METADATA!$B$4),IF(DATOS!$G13895="EX",1,IF(DATOS!$G13895="OR",--(COUNTIFS(nNIA,DATOS!$A13895,nCURSO,DATOS!$D13895,nESPEC,DATOS!$E13895,nASIG,DATOS!$I13895,nEVAL,"EX")=0),0))))</f>
      </c>
      <c r="H13895">
        <f>IF(DATOS!$G13895&lt;&gt;"EX",0,--(COUNTIFS(nNIA,DATOS!$A13895,nCURSO,DATOS!$D13895,nESPEC,DATOS!$E13895,nASIG,DATOS!$I13895,nEVAL,"OR")=0))</f>
      </c>
      <c r="I13895">
        <f>IF(DATOS!$I13895="","",IFERROR(VLOOKUP(DATOS!$I13895,CONFIG_ASIGNATURAS!$B$2:$J$91,9,FALSE()),""))</f>
      </c>
    </row>
    <row r="13896">
      <c r="F13896">
        <f>IF(DATOS!$A13896="","",DATOS!$A13896&amp;"|"&amp;DATOS!$D13896&amp;"|"&amp;DATOS!$E13896&amp;"|"&amp;DATOS!$I13896)</f>
      </c>
      <c r="G13896">
        <f>IF(DATOS!$A13896="",0,IF(CONFIG_METADATA!$B$4&lt;&gt;"OR+EX",--(DATOS!$G13896=CONFIG_METADATA!$B$4),IF(DATOS!$G13896="EX",1,IF(DATOS!$G13896="OR",--(COUNTIFS(nNIA,DATOS!$A13896,nCURSO,DATOS!$D13896,nESPEC,DATOS!$E13896,nASIG,DATOS!$I13896,nEVAL,"EX")=0),0))))</f>
      </c>
      <c r="H13896">
        <f>IF(DATOS!$G13896&lt;&gt;"EX",0,--(COUNTIFS(nNIA,DATOS!$A13896,nCURSO,DATOS!$D13896,nESPEC,DATOS!$E13896,nASIG,DATOS!$I13896,nEVAL,"OR")=0))</f>
      </c>
      <c r="I13896">
        <f>IF(DATOS!$I13896="","",IFERROR(VLOOKUP(DATOS!$I13896,CONFIG_ASIGNATURAS!$B$2:$J$91,9,FALSE()),""))</f>
      </c>
    </row>
    <row r="13897">
      <c r="F13897">
        <f>IF(DATOS!$A13897="","",DATOS!$A13897&amp;"|"&amp;DATOS!$D13897&amp;"|"&amp;DATOS!$E13897&amp;"|"&amp;DATOS!$I13897)</f>
      </c>
      <c r="G13897">
        <f>IF(DATOS!$A13897="",0,IF(CONFIG_METADATA!$B$4&lt;&gt;"OR+EX",--(DATOS!$G13897=CONFIG_METADATA!$B$4),IF(DATOS!$G13897="EX",1,IF(DATOS!$G13897="OR",--(COUNTIFS(nNIA,DATOS!$A13897,nCURSO,DATOS!$D13897,nESPEC,DATOS!$E13897,nASIG,DATOS!$I13897,nEVAL,"EX")=0),0))))</f>
      </c>
      <c r="H13897">
        <f>IF(DATOS!$G13897&lt;&gt;"EX",0,--(COUNTIFS(nNIA,DATOS!$A13897,nCURSO,DATOS!$D13897,nESPEC,DATOS!$E13897,nASIG,DATOS!$I13897,nEVAL,"OR")=0))</f>
      </c>
      <c r="I13897">
        <f>IF(DATOS!$I13897="","",IFERROR(VLOOKUP(DATOS!$I13897,CONFIG_ASIGNATURAS!$B$2:$J$91,9,FALSE()),""))</f>
      </c>
    </row>
    <row r="13898">
      <c r="F13898">
        <f>IF(DATOS!$A13898="","",DATOS!$A13898&amp;"|"&amp;DATOS!$D13898&amp;"|"&amp;DATOS!$E13898&amp;"|"&amp;DATOS!$I13898)</f>
      </c>
      <c r="G13898">
        <f>IF(DATOS!$A13898="",0,IF(CONFIG_METADATA!$B$4&lt;&gt;"OR+EX",--(DATOS!$G13898=CONFIG_METADATA!$B$4),IF(DATOS!$G13898="EX",1,IF(DATOS!$G13898="OR",--(COUNTIFS(nNIA,DATOS!$A13898,nCURSO,DATOS!$D13898,nESPEC,DATOS!$E13898,nASIG,DATOS!$I13898,nEVAL,"EX")=0),0))))</f>
      </c>
      <c r="H13898">
        <f>IF(DATOS!$G13898&lt;&gt;"EX",0,--(COUNTIFS(nNIA,DATOS!$A13898,nCURSO,DATOS!$D13898,nESPEC,DATOS!$E13898,nASIG,DATOS!$I13898,nEVAL,"OR")=0))</f>
      </c>
      <c r="I13898">
        <f>IF(DATOS!$I13898="","",IFERROR(VLOOKUP(DATOS!$I13898,CONFIG_ASIGNATURAS!$B$2:$J$91,9,FALSE()),""))</f>
      </c>
    </row>
    <row r="13899">
      <c r="F13899">
        <f>IF(DATOS!$A13899="","",DATOS!$A13899&amp;"|"&amp;DATOS!$D13899&amp;"|"&amp;DATOS!$E13899&amp;"|"&amp;DATOS!$I13899)</f>
      </c>
      <c r="G13899">
        <f>IF(DATOS!$A13899="",0,IF(CONFIG_METADATA!$B$4&lt;&gt;"OR+EX",--(DATOS!$G13899=CONFIG_METADATA!$B$4),IF(DATOS!$G13899="EX",1,IF(DATOS!$G13899="OR",--(COUNTIFS(nNIA,DATOS!$A13899,nCURSO,DATOS!$D13899,nESPEC,DATOS!$E13899,nASIG,DATOS!$I13899,nEVAL,"EX")=0),0))))</f>
      </c>
      <c r="H13899">
        <f>IF(DATOS!$G13899&lt;&gt;"EX",0,--(COUNTIFS(nNIA,DATOS!$A13899,nCURSO,DATOS!$D13899,nESPEC,DATOS!$E13899,nASIG,DATOS!$I13899,nEVAL,"OR")=0))</f>
      </c>
      <c r="I13899">
        <f>IF(DATOS!$I13899="","",IFERROR(VLOOKUP(DATOS!$I13899,CONFIG_ASIGNATURAS!$B$2:$J$91,9,FALSE()),""))</f>
      </c>
    </row>
    <row r="13900">
      <c r="F13900">
        <f>IF(DATOS!$A13900="","",DATOS!$A13900&amp;"|"&amp;DATOS!$D13900&amp;"|"&amp;DATOS!$E13900&amp;"|"&amp;DATOS!$I13900)</f>
      </c>
      <c r="G13900">
        <f>IF(DATOS!$A13900="",0,IF(CONFIG_METADATA!$B$4&lt;&gt;"OR+EX",--(DATOS!$G13900=CONFIG_METADATA!$B$4),IF(DATOS!$G13900="EX",1,IF(DATOS!$G13900="OR",--(COUNTIFS(nNIA,DATOS!$A13900,nCURSO,DATOS!$D13900,nESPEC,DATOS!$E13900,nASIG,DATOS!$I13900,nEVAL,"EX")=0),0))))</f>
      </c>
      <c r="H13900">
        <f>IF(DATOS!$G13900&lt;&gt;"EX",0,--(COUNTIFS(nNIA,DATOS!$A13900,nCURSO,DATOS!$D13900,nESPEC,DATOS!$E13900,nASIG,DATOS!$I13900,nEVAL,"OR")=0))</f>
      </c>
      <c r="I13900">
        <f>IF(DATOS!$I13900="","",IFERROR(VLOOKUP(DATOS!$I13900,CONFIG_ASIGNATURAS!$B$2:$J$91,9,FALSE()),""))</f>
      </c>
    </row>
    <row r="13901">
      <c r="F13901">
        <f>IF(DATOS!$A13901="","",DATOS!$A13901&amp;"|"&amp;DATOS!$D13901&amp;"|"&amp;DATOS!$E13901&amp;"|"&amp;DATOS!$I13901)</f>
      </c>
      <c r="G13901">
        <f>IF(DATOS!$A13901="",0,IF(CONFIG_METADATA!$B$4&lt;&gt;"OR+EX",--(DATOS!$G13901=CONFIG_METADATA!$B$4),IF(DATOS!$G13901="EX",1,IF(DATOS!$G13901="OR",--(COUNTIFS(nNIA,DATOS!$A13901,nCURSO,DATOS!$D13901,nESPEC,DATOS!$E13901,nASIG,DATOS!$I13901,nEVAL,"EX")=0),0))))</f>
      </c>
      <c r="H13901">
        <f>IF(DATOS!$G13901&lt;&gt;"EX",0,--(COUNTIFS(nNIA,DATOS!$A13901,nCURSO,DATOS!$D13901,nESPEC,DATOS!$E13901,nASIG,DATOS!$I13901,nEVAL,"OR")=0))</f>
      </c>
      <c r="I13901">
        <f>IF(DATOS!$I13901="","",IFERROR(VLOOKUP(DATOS!$I13901,CONFIG_ASIGNATURAS!$B$2:$J$91,9,FALSE()),""))</f>
      </c>
    </row>
    <row r="13902">
      <c r="F13902">
        <f>IF(DATOS!$A13902="","",DATOS!$A13902&amp;"|"&amp;DATOS!$D13902&amp;"|"&amp;DATOS!$E13902&amp;"|"&amp;DATOS!$I13902)</f>
      </c>
      <c r="G13902">
        <f>IF(DATOS!$A13902="",0,IF(CONFIG_METADATA!$B$4&lt;&gt;"OR+EX",--(DATOS!$G13902=CONFIG_METADATA!$B$4),IF(DATOS!$G13902="EX",1,IF(DATOS!$G13902="OR",--(COUNTIFS(nNIA,DATOS!$A13902,nCURSO,DATOS!$D13902,nESPEC,DATOS!$E13902,nASIG,DATOS!$I13902,nEVAL,"EX")=0),0))))</f>
      </c>
      <c r="H13902">
        <f>IF(DATOS!$G13902&lt;&gt;"EX",0,--(COUNTIFS(nNIA,DATOS!$A13902,nCURSO,DATOS!$D13902,nESPEC,DATOS!$E13902,nASIG,DATOS!$I13902,nEVAL,"OR")=0))</f>
      </c>
      <c r="I13902">
        <f>IF(DATOS!$I13902="","",IFERROR(VLOOKUP(DATOS!$I13902,CONFIG_ASIGNATURAS!$B$2:$J$91,9,FALSE()),""))</f>
      </c>
    </row>
    <row r="13903">
      <c r="F13903">
        <f>IF(DATOS!$A13903="","",DATOS!$A13903&amp;"|"&amp;DATOS!$D13903&amp;"|"&amp;DATOS!$E13903&amp;"|"&amp;DATOS!$I13903)</f>
      </c>
      <c r="G13903">
        <f>IF(DATOS!$A13903="",0,IF(CONFIG_METADATA!$B$4&lt;&gt;"OR+EX",--(DATOS!$G13903=CONFIG_METADATA!$B$4),IF(DATOS!$G13903="EX",1,IF(DATOS!$G13903="OR",--(COUNTIFS(nNIA,DATOS!$A13903,nCURSO,DATOS!$D13903,nESPEC,DATOS!$E13903,nASIG,DATOS!$I13903,nEVAL,"EX")=0),0))))</f>
      </c>
      <c r="H13903">
        <f>IF(DATOS!$G13903&lt;&gt;"EX",0,--(COUNTIFS(nNIA,DATOS!$A13903,nCURSO,DATOS!$D13903,nESPEC,DATOS!$E13903,nASIG,DATOS!$I13903,nEVAL,"OR")=0))</f>
      </c>
      <c r="I13903">
        <f>IF(DATOS!$I13903="","",IFERROR(VLOOKUP(DATOS!$I13903,CONFIG_ASIGNATURAS!$B$2:$J$91,9,FALSE()),""))</f>
      </c>
    </row>
    <row r="13904">
      <c r="F13904">
        <f>IF(DATOS!$A13904="","",DATOS!$A13904&amp;"|"&amp;DATOS!$D13904&amp;"|"&amp;DATOS!$E13904&amp;"|"&amp;DATOS!$I13904)</f>
      </c>
      <c r="G13904">
        <f>IF(DATOS!$A13904="",0,IF(CONFIG_METADATA!$B$4&lt;&gt;"OR+EX",--(DATOS!$G13904=CONFIG_METADATA!$B$4),IF(DATOS!$G13904="EX",1,IF(DATOS!$G13904="OR",--(COUNTIFS(nNIA,DATOS!$A13904,nCURSO,DATOS!$D13904,nESPEC,DATOS!$E13904,nASIG,DATOS!$I13904,nEVAL,"EX")=0),0))))</f>
      </c>
      <c r="H13904">
        <f>IF(DATOS!$G13904&lt;&gt;"EX",0,--(COUNTIFS(nNIA,DATOS!$A13904,nCURSO,DATOS!$D13904,nESPEC,DATOS!$E13904,nASIG,DATOS!$I13904,nEVAL,"OR")=0))</f>
      </c>
      <c r="I13904">
        <f>IF(DATOS!$I13904="","",IFERROR(VLOOKUP(DATOS!$I13904,CONFIG_ASIGNATURAS!$B$2:$J$91,9,FALSE()),""))</f>
      </c>
    </row>
    <row r="13905">
      <c r="F13905">
        <f>IF(DATOS!$A13905="","",DATOS!$A13905&amp;"|"&amp;DATOS!$D13905&amp;"|"&amp;DATOS!$E13905&amp;"|"&amp;DATOS!$I13905)</f>
      </c>
      <c r="G13905">
        <f>IF(DATOS!$A13905="",0,IF(CONFIG_METADATA!$B$4&lt;&gt;"OR+EX",--(DATOS!$G13905=CONFIG_METADATA!$B$4),IF(DATOS!$G13905="EX",1,IF(DATOS!$G13905="OR",--(COUNTIFS(nNIA,DATOS!$A13905,nCURSO,DATOS!$D13905,nESPEC,DATOS!$E13905,nASIG,DATOS!$I13905,nEVAL,"EX")=0),0))))</f>
      </c>
      <c r="H13905">
        <f>IF(DATOS!$G13905&lt;&gt;"EX",0,--(COUNTIFS(nNIA,DATOS!$A13905,nCURSO,DATOS!$D13905,nESPEC,DATOS!$E13905,nASIG,DATOS!$I13905,nEVAL,"OR")=0))</f>
      </c>
      <c r="I13905">
        <f>IF(DATOS!$I13905="","",IFERROR(VLOOKUP(DATOS!$I13905,CONFIG_ASIGNATURAS!$B$2:$J$91,9,FALSE()),""))</f>
      </c>
    </row>
    <row r="13906">
      <c r="F13906">
        <f>IF(DATOS!$A13906="","",DATOS!$A13906&amp;"|"&amp;DATOS!$D13906&amp;"|"&amp;DATOS!$E13906&amp;"|"&amp;DATOS!$I13906)</f>
      </c>
      <c r="G13906">
        <f>IF(DATOS!$A13906="",0,IF(CONFIG_METADATA!$B$4&lt;&gt;"OR+EX",--(DATOS!$G13906=CONFIG_METADATA!$B$4),IF(DATOS!$G13906="EX",1,IF(DATOS!$G13906="OR",--(COUNTIFS(nNIA,DATOS!$A13906,nCURSO,DATOS!$D13906,nESPEC,DATOS!$E13906,nASIG,DATOS!$I13906,nEVAL,"EX")=0),0))))</f>
      </c>
      <c r="H13906">
        <f>IF(DATOS!$G13906&lt;&gt;"EX",0,--(COUNTIFS(nNIA,DATOS!$A13906,nCURSO,DATOS!$D13906,nESPEC,DATOS!$E13906,nASIG,DATOS!$I13906,nEVAL,"OR")=0))</f>
      </c>
      <c r="I13906">
        <f>IF(DATOS!$I13906="","",IFERROR(VLOOKUP(DATOS!$I13906,CONFIG_ASIGNATURAS!$B$2:$J$91,9,FALSE()),""))</f>
      </c>
    </row>
    <row r="13907">
      <c r="F13907">
        <f>IF(DATOS!$A13907="","",DATOS!$A13907&amp;"|"&amp;DATOS!$D13907&amp;"|"&amp;DATOS!$E13907&amp;"|"&amp;DATOS!$I13907)</f>
      </c>
      <c r="G13907">
        <f>IF(DATOS!$A13907="",0,IF(CONFIG_METADATA!$B$4&lt;&gt;"OR+EX",--(DATOS!$G13907=CONFIG_METADATA!$B$4),IF(DATOS!$G13907="EX",1,IF(DATOS!$G13907="OR",--(COUNTIFS(nNIA,DATOS!$A13907,nCURSO,DATOS!$D13907,nESPEC,DATOS!$E13907,nASIG,DATOS!$I13907,nEVAL,"EX")=0),0))))</f>
      </c>
      <c r="H13907">
        <f>IF(DATOS!$G13907&lt;&gt;"EX",0,--(COUNTIFS(nNIA,DATOS!$A13907,nCURSO,DATOS!$D13907,nESPEC,DATOS!$E13907,nASIG,DATOS!$I13907,nEVAL,"OR")=0))</f>
      </c>
      <c r="I13907">
        <f>IF(DATOS!$I13907="","",IFERROR(VLOOKUP(DATOS!$I13907,CONFIG_ASIGNATURAS!$B$2:$J$91,9,FALSE()),""))</f>
      </c>
    </row>
    <row r="13908">
      <c r="F13908">
        <f>IF(DATOS!$A13908="","",DATOS!$A13908&amp;"|"&amp;DATOS!$D13908&amp;"|"&amp;DATOS!$E13908&amp;"|"&amp;DATOS!$I13908)</f>
      </c>
      <c r="G13908">
        <f>IF(DATOS!$A13908="",0,IF(CONFIG_METADATA!$B$4&lt;&gt;"OR+EX",--(DATOS!$G13908=CONFIG_METADATA!$B$4),IF(DATOS!$G13908="EX",1,IF(DATOS!$G13908="OR",--(COUNTIFS(nNIA,DATOS!$A13908,nCURSO,DATOS!$D13908,nESPEC,DATOS!$E13908,nASIG,DATOS!$I13908,nEVAL,"EX")=0),0))))</f>
      </c>
      <c r="H13908">
        <f>IF(DATOS!$G13908&lt;&gt;"EX",0,--(COUNTIFS(nNIA,DATOS!$A13908,nCURSO,DATOS!$D13908,nESPEC,DATOS!$E13908,nASIG,DATOS!$I13908,nEVAL,"OR")=0))</f>
      </c>
      <c r="I13908">
        <f>IF(DATOS!$I13908="","",IFERROR(VLOOKUP(DATOS!$I13908,CONFIG_ASIGNATURAS!$B$2:$J$91,9,FALSE()),""))</f>
      </c>
    </row>
    <row r="13909">
      <c r="F13909">
        <f>IF(DATOS!$A13909="","",DATOS!$A13909&amp;"|"&amp;DATOS!$D13909&amp;"|"&amp;DATOS!$E13909&amp;"|"&amp;DATOS!$I13909)</f>
      </c>
      <c r="G13909">
        <f>IF(DATOS!$A13909="",0,IF(CONFIG_METADATA!$B$4&lt;&gt;"OR+EX",--(DATOS!$G13909=CONFIG_METADATA!$B$4),IF(DATOS!$G13909="EX",1,IF(DATOS!$G13909="OR",--(COUNTIFS(nNIA,DATOS!$A13909,nCURSO,DATOS!$D13909,nESPEC,DATOS!$E13909,nASIG,DATOS!$I13909,nEVAL,"EX")=0),0))))</f>
      </c>
      <c r="H13909">
        <f>IF(DATOS!$G13909&lt;&gt;"EX",0,--(COUNTIFS(nNIA,DATOS!$A13909,nCURSO,DATOS!$D13909,nESPEC,DATOS!$E13909,nASIG,DATOS!$I13909,nEVAL,"OR")=0))</f>
      </c>
      <c r="I13909">
        <f>IF(DATOS!$I13909="","",IFERROR(VLOOKUP(DATOS!$I13909,CONFIG_ASIGNATURAS!$B$2:$J$91,9,FALSE()),""))</f>
      </c>
    </row>
    <row r="13910">
      <c r="F13910">
        <f>IF(DATOS!$A13910="","",DATOS!$A13910&amp;"|"&amp;DATOS!$D13910&amp;"|"&amp;DATOS!$E13910&amp;"|"&amp;DATOS!$I13910)</f>
      </c>
      <c r="G13910">
        <f>IF(DATOS!$A13910="",0,IF(CONFIG_METADATA!$B$4&lt;&gt;"OR+EX",--(DATOS!$G13910=CONFIG_METADATA!$B$4),IF(DATOS!$G13910="EX",1,IF(DATOS!$G13910="OR",--(COUNTIFS(nNIA,DATOS!$A13910,nCURSO,DATOS!$D13910,nESPEC,DATOS!$E13910,nASIG,DATOS!$I13910,nEVAL,"EX")=0),0))))</f>
      </c>
      <c r="H13910">
        <f>IF(DATOS!$G13910&lt;&gt;"EX",0,--(COUNTIFS(nNIA,DATOS!$A13910,nCURSO,DATOS!$D13910,nESPEC,DATOS!$E13910,nASIG,DATOS!$I13910,nEVAL,"OR")=0))</f>
      </c>
      <c r="I13910">
        <f>IF(DATOS!$I13910="","",IFERROR(VLOOKUP(DATOS!$I13910,CONFIG_ASIGNATURAS!$B$2:$J$91,9,FALSE()),""))</f>
      </c>
    </row>
    <row r="13911">
      <c r="F13911">
        <f>IF(DATOS!$A13911="","",DATOS!$A13911&amp;"|"&amp;DATOS!$D13911&amp;"|"&amp;DATOS!$E13911&amp;"|"&amp;DATOS!$I13911)</f>
      </c>
      <c r="G13911">
        <f>IF(DATOS!$A13911="",0,IF(CONFIG_METADATA!$B$4&lt;&gt;"OR+EX",--(DATOS!$G13911=CONFIG_METADATA!$B$4),IF(DATOS!$G13911="EX",1,IF(DATOS!$G13911="OR",--(COUNTIFS(nNIA,DATOS!$A13911,nCURSO,DATOS!$D13911,nESPEC,DATOS!$E13911,nASIG,DATOS!$I13911,nEVAL,"EX")=0),0))))</f>
      </c>
      <c r="H13911">
        <f>IF(DATOS!$G13911&lt;&gt;"EX",0,--(COUNTIFS(nNIA,DATOS!$A13911,nCURSO,DATOS!$D13911,nESPEC,DATOS!$E13911,nASIG,DATOS!$I13911,nEVAL,"OR")=0))</f>
      </c>
      <c r="I13911">
        <f>IF(DATOS!$I13911="","",IFERROR(VLOOKUP(DATOS!$I13911,CONFIG_ASIGNATURAS!$B$2:$J$91,9,FALSE()),""))</f>
      </c>
    </row>
    <row r="13912">
      <c r="F13912">
        <f>IF(DATOS!$A13912="","",DATOS!$A13912&amp;"|"&amp;DATOS!$D13912&amp;"|"&amp;DATOS!$E13912&amp;"|"&amp;DATOS!$I13912)</f>
      </c>
      <c r="G13912">
        <f>IF(DATOS!$A13912="",0,IF(CONFIG_METADATA!$B$4&lt;&gt;"OR+EX",--(DATOS!$G13912=CONFIG_METADATA!$B$4),IF(DATOS!$G13912="EX",1,IF(DATOS!$G13912="OR",--(COUNTIFS(nNIA,DATOS!$A13912,nCURSO,DATOS!$D13912,nESPEC,DATOS!$E13912,nASIG,DATOS!$I13912,nEVAL,"EX")=0),0))))</f>
      </c>
      <c r="H13912">
        <f>IF(DATOS!$G13912&lt;&gt;"EX",0,--(COUNTIFS(nNIA,DATOS!$A13912,nCURSO,DATOS!$D13912,nESPEC,DATOS!$E13912,nASIG,DATOS!$I13912,nEVAL,"OR")=0))</f>
      </c>
      <c r="I13912">
        <f>IF(DATOS!$I13912="","",IFERROR(VLOOKUP(DATOS!$I13912,CONFIG_ASIGNATURAS!$B$2:$J$91,9,FALSE()),""))</f>
      </c>
    </row>
    <row r="13913">
      <c r="F13913">
        <f>IF(DATOS!$A13913="","",DATOS!$A13913&amp;"|"&amp;DATOS!$D13913&amp;"|"&amp;DATOS!$E13913&amp;"|"&amp;DATOS!$I13913)</f>
      </c>
      <c r="G13913">
        <f>IF(DATOS!$A13913="",0,IF(CONFIG_METADATA!$B$4&lt;&gt;"OR+EX",--(DATOS!$G13913=CONFIG_METADATA!$B$4),IF(DATOS!$G13913="EX",1,IF(DATOS!$G13913="OR",--(COUNTIFS(nNIA,DATOS!$A13913,nCURSO,DATOS!$D13913,nESPEC,DATOS!$E13913,nASIG,DATOS!$I13913,nEVAL,"EX")=0),0))))</f>
      </c>
      <c r="H13913">
        <f>IF(DATOS!$G13913&lt;&gt;"EX",0,--(COUNTIFS(nNIA,DATOS!$A13913,nCURSO,DATOS!$D13913,nESPEC,DATOS!$E13913,nASIG,DATOS!$I13913,nEVAL,"OR")=0))</f>
      </c>
      <c r="I13913">
        <f>IF(DATOS!$I13913="","",IFERROR(VLOOKUP(DATOS!$I13913,CONFIG_ASIGNATURAS!$B$2:$J$91,9,FALSE()),""))</f>
      </c>
    </row>
    <row r="13914">
      <c r="F13914">
        <f>IF(DATOS!$A13914="","",DATOS!$A13914&amp;"|"&amp;DATOS!$D13914&amp;"|"&amp;DATOS!$E13914&amp;"|"&amp;DATOS!$I13914)</f>
      </c>
      <c r="G13914">
        <f>IF(DATOS!$A13914="",0,IF(CONFIG_METADATA!$B$4&lt;&gt;"OR+EX",--(DATOS!$G13914=CONFIG_METADATA!$B$4),IF(DATOS!$G13914="EX",1,IF(DATOS!$G13914="OR",--(COUNTIFS(nNIA,DATOS!$A13914,nCURSO,DATOS!$D13914,nESPEC,DATOS!$E13914,nASIG,DATOS!$I13914,nEVAL,"EX")=0),0))))</f>
      </c>
      <c r="H13914">
        <f>IF(DATOS!$G13914&lt;&gt;"EX",0,--(COUNTIFS(nNIA,DATOS!$A13914,nCURSO,DATOS!$D13914,nESPEC,DATOS!$E13914,nASIG,DATOS!$I13914,nEVAL,"OR")=0))</f>
      </c>
      <c r="I13914">
        <f>IF(DATOS!$I13914="","",IFERROR(VLOOKUP(DATOS!$I13914,CONFIG_ASIGNATURAS!$B$2:$J$91,9,FALSE()),""))</f>
      </c>
    </row>
    <row r="13915">
      <c r="F13915">
        <f>IF(DATOS!$A13915="","",DATOS!$A13915&amp;"|"&amp;DATOS!$D13915&amp;"|"&amp;DATOS!$E13915&amp;"|"&amp;DATOS!$I13915)</f>
      </c>
      <c r="G13915">
        <f>IF(DATOS!$A13915="",0,IF(CONFIG_METADATA!$B$4&lt;&gt;"OR+EX",--(DATOS!$G13915=CONFIG_METADATA!$B$4),IF(DATOS!$G13915="EX",1,IF(DATOS!$G13915="OR",--(COUNTIFS(nNIA,DATOS!$A13915,nCURSO,DATOS!$D13915,nESPEC,DATOS!$E13915,nASIG,DATOS!$I13915,nEVAL,"EX")=0),0))))</f>
      </c>
      <c r="H13915">
        <f>IF(DATOS!$G13915&lt;&gt;"EX",0,--(COUNTIFS(nNIA,DATOS!$A13915,nCURSO,DATOS!$D13915,nESPEC,DATOS!$E13915,nASIG,DATOS!$I13915,nEVAL,"OR")=0))</f>
      </c>
      <c r="I13915">
        <f>IF(DATOS!$I13915="","",IFERROR(VLOOKUP(DATOS!$I13915,CONFIG_ASIGNATURAS!$B$2:$J$91,9,FALSE()),""))</f>
      </c>
    </row>
    <row r="13916">
      <c r="F13916">
        <f>IF(DATOS!$A13916="","",DATOS!$A13916&amp;"|"&amp;DATOS!$D13916&amp;"|"&amp;DATOS!$E13916&amp;"|"&amp;DATOS!$I13916)</f>
      </c>
      <c r="G13916">
        <f>IF(DATOS!$A13916="",0,IF(CONFIG_METADATA!$B$4&lt;&gt;"OR+EX",--(DATOS!$G13916=CONFIG_METADATA!$B$4),IF(DATOS!$G13916="EX",1,IF(DATOS!$G13916="OR",--(COUNTIFS(nNIA,DATOS!$A13916,nCURSO,DATOS!$D13916,nESPEC,DATOS!$E13916,nASIG,DATOS!$I13916,nEVAL,"EX")=0),0))))</f>
      </c>
      <c r="H13916">
        <f>IF(DATOS!$G13916&lt;&gt;"EX",0,--(COUNTIFS(nNIA,DATOS!$A13916,nCURSO,DATOS!$D13916,nESPEC,DATOS!$E13916,nASIG,DATOS!$I13916,nEVAL,"OR")=0))</f>
      </c>
      <c r="I13916">
        <f>IF(DATOS!$I13916="","",IFERROR(VLOOKUP(DATOS!$I13916,CONFIG_ASIGNATURAS!$B$2:$J$91,9,FALSE()),""))</f>
      </c>
    </row>
    <row r="13917">
      <c r="F13917">
        <f>IF(DATOS!$A13917="","",DATOS!$A13917&amp;"|"&amp;DATOS!$D13917&amp;"|"&amp;DATOS!$E13917&amp;"|"&amp;DATOS!$I13917)</f>
      </c>
      <c r="G13917">
        <f>IF(DATOS!$A13917="",0,IF(CONFIG_METADATA!$B$4&lt;&gt;"OR+EX",--(DATOS!$G13917=CONFIG_METADATA!$B$4),IF(DATOS!$G13917="EX",1,IF(DATOS!$G13917="OR",--(COUNTIFS(nNIA,DATOS!$A13917,nCURSO,DATOS!$D13917,nESPEC,DATOS!$E13917,nASIG,DATOS!$I13917,nEVAL,"EX")=0),0))))</f>
      </c>
      <c r="H13917">
        <f>IF(DATOS!$G13917&lt;&gt;"EX",0,--(COUNTIFS(nNIA,DATOS!$A13917,nCURSO,DATOS!$D13917,nESPEC,DATOS!$E13917,nASIG,DATOS!$I13917,nEVAL,"OR")=0))</f>
      </c>
      <c r="I13917">
        <f>IF(DATOS!$I13917="","",IFERROR(VLOOKUP(DATOS!$I13917,CONFIG_ASIGNATURAS!$B$2:$J$91,9,FALSE()),""))</f>
      </c>
    </row>
    <row r="13918">
      <c r="F13918">
        <f>IF(DATOS!$A13918="","",DATOS!$A13918&amp;"|"&amp;DATOS!$D13918&amp;"|"&amp;DATOS!$E13918&amp;"|"&amp;DATOS!$I13918)</f>
      </c>
      <c r="G13918">
        <f>IF(DATOS!$A13918="",0,IF(CONFIG_METADATA!$B$4&lt;&gt;"OR+EX",--(DATOS!$G13918=CONFIG_METADATA!$B$4),IF(DATOS!$G13918="EX",1,IF(DATOS!$G13918="OR",--(COUNTIFS(nNIA,DATOS!$A13918,nCURSO,DATOS!$D13918,nESPEC,DATOS!$E13918,nASIG,DATOS!$I13918,nEVAL,"EX")=0),0))))</f>
      </c>
      <c r="H13918">
        <f>IF(DATOS!$G13918&lt;&gt;"EX",0,--(COUNTIFS(nNIA,DATOS!$A13918,nCURSO,DATOS!$D13918,nESPEC,DATOS!$E13918,nASIG,DATOS!$I13918,nEVAL,"OR")=0))</f>
      </c>
      <c r="I13918">
        <f>IF(DATOS!$I13918="","",IFERROR(VLOOKUP(DATOS!$I13918,CONFIG_ASIGNATURAS!$B$2:$J$91,9,FALSE()),""))</f>
      </c>
    </row>
    <row r="13919">
      <c r="F13919">
        <f>IF(DATOS!$A13919="","",DATOS!$A13919&amp;"|"&amp;DATOS!$D13919&amp;"|"&amp;DATOS!$E13919&amp;"|"&amp;DATOS!$I13919)</f>
      </c>
      <c r="G13919">
        <f>IF(DATOS!$A13919="",0,IF(CONFIG_METADATA!$B$4&lt;&gt;"OR+EX",--(DATOS!$G13919=CONFIG_METADATA!$B$4),IF(DATOS!$G13919="EX",1,IF(DATOS!$G13919="OR",--(COUNTIFS(nNIA,DATOS!$A13919,nCURSO,DATOS!$D13919,nESPEC,DATOS!$E13919,nASIG,DATOS!$I13919,nEVAL,"EX")=0),0))))</f>
      </c>
      <c r="H13919">
        <f>IF(DATOS!$G13919&lt;&gt;"EX",0,--(COUNTIFS(nNIA,DATOS!$A13919,nCURSO,DATOS!$D13919,nESPEC,DATOS!$E13919,nASIG,DATOS!$I13919,nEVAL,"OR")=0))</f>
      </c>
      <c r="I13919">
        <f>IF(DATOS!$I13919="","",IFERROR(VLOOKUP(DATOS!$I13919,CONFIG_ASIGNATURAS!$B$2:$J$91,9,FALSE()),""))</f>
      </c>
    </row>
    <row r="13920">
      <c r="F13920">
        <f>IF(DATOS!$A13920="","",DATOS!$A13920&amp;"|"&amp;DATOS!$D13920&amp;"|"&amp;DATOS!$E13920&amp;"|"&amp;DATOS!$I13920)</f>
      </c>
      <c r="G13920">
        <f>IF(DATOS!$A13920="",0,IF(CONFIG_METADATA!$B$4&lt;&gt;"OR+EX",--(DATOS!$G13920=CONFIG_METADATA!$B$4),IF(DATOS!$G13920="EX",1,IF(DATOS!$G13920="OR",--(COUNTIFS(nNIA,DATOS!$A13920,nCURSO,DATOS!$D13920,nESPEC,DATOS!$E13920,nASIG,DATOS!$I13920,nEVAL,"EX")=0),0))))</f>
      </c>
      <c r="H13920">
        <f>IF(DATOS!$G13920&lt;&gt;"EX",0,--(COUNTIFS(nNIA,DATOS!$A13920,nCURSO,DATOS!$D13920,nESPEC,DATOS!$E13920,nASIG,DATOS!$I13920,nEVAL,"OR")=0))</f>
      </c>
      <c r="I13920">
        <f>IF(DATOS!$I13920="","",IFERROR(VLOOKUP(DATOS!$I13920,CONFIG_ASIGNATURAS!$B$2:$J$91,9,FALSE()),""))</f>
      </c>
    </row>
    <row r="13921">
      <c r="F13921">
        <f>IF(DATOS!$A13921="","",DATOS!$A13921&amp;"|"&amp;DATOS!$D13921&amp;"|"&amp;DATOS!$E13921&amp;"|"&amp;DATOS!$I13921)</f>
      </c>
      <c r="G13921">
        <f>IF(DATOS!$A13921="",0,IF(CONFIG_METADATA!$B$4&lt;&gt;"OR+EX",--(DATOS!$G13921=CONFIG_METADATA!$B$4),IF(DATOS!$G13921="EX",1,IF(DATOS!$G13921="OR",--(COUNTIFS(nNIA,DATOS!$A13921,nCURSO,DATOS!$D13921,nESPEC,DATOS!$E13921,nASIG,DATOS!$I13921,nEVAL,"EX")=0),0))))</f>
      </c>
      <c r="H13921">
        <f>IF(DATOS!$G13921&lt;&gt;"EX",0,--(COUNTIFS(nNIA,DATOS!$A13921,nCURSO,DATOS!$D13921,nESPEC,DATOS!$E13921,nASIG,DATOS!$I13921,nEVAL,"OR")=0))</f>
      </c>
      <c r="I13921">
        <f>IF(DATOS!$I13921="","",IFERROR(VLOOKUP(DATOS!$I13921,CONFIG_ASIGNATURAS!$B$2:$J$91,9,FALSE()),""))</f>
      </c>
    </row>
    <row r="13922">
      <c r="F13922">
        <f>IF(DATOS!$A13922="","",DATOS!$A13922&amp;"|"&amp;DATOS!$D13922&amp;"|"&amp;DATOS!$E13922&amp;"|"&amp;DATOS!$I13922)</f>
      </c>
      <c r="G13922">
        <f>IF(DATOS!$A13922="",0,IF(CONFIG_METADATA!$B$4&lt;&gt;"OR+EX",--(DATOS!$G13922=CONFIG_METADATA!$B$4),IF(DATOS!$G13922="EX",1,IF(DATOS!$G13922="OR",--(COUNTIFS(nNIA,DATOS!$A13922,nCURSO,DATOS!$D13922,nESPEC,DATOS!$E13922,nASIG,DATOS!$I13922,nEVAL,"EX")=0),0))))</f>
      </c>
      <c r="H13922">
        <f>IF(DATOS!$G13922&lt;&gt;"EX",0,--(COUNTIFS(nNIA,DATOS!$A13922,nCURSO,DATOS!$D13922,nESPEC,DATOS!$E13922,nASIG,DATOS!$I13922,nEVAL,"OR")=0))</f>
      </c>
      <c r="I13922">
        <f>IF(DATOS!$I13922="","",IFERROR(VLOOKUP(DATOS!$I13922,CONFIG_ASIGNATURAS!$B$2:$J$91,9,FALSE()),""))</f>
      </c>
    </row>
    <row r="13923">
      <c r="F13923">
        <f>IF(DATOS!$A13923="","",DATOS!$A13923&amp;"|"&amp;DATOS!$D13923&amp;"|"&amp;DATOS!$E13923&amp;"|"&amp;DATOS!$I13923)</f>
      </c>
      <c r="G13923">
        <f>IF(DATOS!$A13923="",0,IF(CONFIG_METADATA!$B$4&lt;&gt;"OR+EX",--(DATOS!$G13923=CONFIG_METADATA!$B$4),IF(DATOS!$G13923="EX",1,IF(DATOS!$G13923="OR",--(COUNTIFS(nNIA,DATOS!$A13923,nCURSO,DATOS!$D13923,nESPEC,DATOS!$E13923,nASIG,DATOS!$I13923,nEVAL,"EX")=0),0))))</f>
      </c>
      <c r="H13923">
        <f>IF(DATOS!$G13923&lt;&gt;"EX",0,--(COUNTIFS(nNIA,DATOS!$A13923,nCURSO,DATOS!$D13923,nESPEC,DATOS!$E13923,nASIG,DATOS!$I13923,nEVAL,"OR")=0))</f>
      </c>
      <c r="I13923">
        <f>IF(DATOS!$I13923="","",IFERROR(VLOOKUP(DATOS!$I13923,CONFIG_ASIGNATURAS!$B$2:$J$91,9,FALSE()),""))</f>
      </c>
    </row>
    <row r="13924">
      <c r="F13924">
        <f>IF(DATOS!$A13924="","",DATOS!$A13924&amp;"|"&amp;DATOS!$D13924&amp;"|"&amp;DATOS!$E13924&amp;"|"&amp;DATOS!$I13924)</f>
      </c>
      <c r="G13924">
        <f>IF(DATOS!$A13924="",0,IF(CONFIG_METADATA!$B$4&lt;&gt;"OR+EX",--(DATOS!$G13924=CONFIG_METADATA!$B$4),IF(DATOS!$G13924="EX",1,IF(DATOS!$G13924="OR",--(COUNTIFS(nNIA,DATOS!$A13924,nCURSO,DATOS!$D13924,nESPEC,DATOS!$E13924,nASIG,DATOS!$I13924,nEVAL,"EX")=0),0))))</f>
      </c>
      <c r="H13924">
        <f>IF(DATOS!$G13924&lt;&gt;"EX",0,--(COUNTIFS(nNIA,DATOS!$A13924,nCURSO,DATOS!$D13924,nESPEC,DATOS!$E13924,nASIG,DATOS!$I13924,nEVAL,"OR")=0))</f>
      </c>
      <c r="I13924">
        <f>IF(DATOS!$I13924="","",IFERROR(VLOOKUP(DATOS!$I13924,CONFIG_ASIGNATURAS!$B$2:$J$91,9,FALSE()),""))</f>
      </c>
    </row>
    <row r="13925">
      <c r="F13925">
        <f>IF(DATOS!$A13925="","",DATOS!$A13925&amp;"|"&amp;DATOS!$D13925&amp;"|"&amp;DATOS!$E13925&amp;"|"&amp;DATOS!$I13925)</f>
      </c>
      <c r="G13925">
        <f>IF(DATOS!$A13925="",0,IF(CONFIG_METADATA!$B$4&lt;&gt;"OR+EX",--(DATOS!$G13925=CONFIG_METADATA!$B$4),IF(DATOS!$G13925="EX",1,IF(DATOS!$G13925="OR",--(COUNTIFS(nNIA,DATOS!$A13925,nCURSO,DATOS!$D13925,nESPEC,DATOS!$E13925,nASIG,DATOS!$I13925,nEVAL,"EX")=0),0))))</f>
      </c>
      <c r="H13925">
        <f>IF(DATOS!$G13925&lt;&gt;"EX",0,--(COUNTIFS(nNIA,DATOS!$A13925,nCURSO,DATOS!$D13925,nESPEC,DATOS!$E13925,nASIG,DATOS!$I13925,nEVAL,"OR")=0))</f>
      </c>
      <c r="I13925">
        <f>IF(DATOS!$I13925="","",IFERROR(VLOOKUP(DATOS!$I13925,CONFIG_ASIGNATURAS!$B$2:$J$91,9,FALSE()),""))</f>
      </c>
    </row>
    <row r="13926">
      <c r="F13926">
        <f>IF(DATOS!$A13926="","",DATOS!$A13926&amp;"|"&amp;DATOS!$D13926&amp;"|"&amp;DATOS!$E13926&amp;"|"&amp;DATOS!$I13926)</f>
      </c>
      <c r="G13926">
        <f>IF(DATOS!$A13926="",0,IF(CONFIG_METADATA!$B$4&lt;&gt;"OR+EX",--(DATOS!$G13926=CONFIG_METADATA!$B$4),IF(DATOS!$G13926="EX",1,IF(DATOS!$G13926="OR",--(COUNTIFS(nNIA,DATOS!$A13926,nCURSO,DATOS!$D13926,nESPEC,DATOS!$E13926,nASIG,DATOS!$I13926,nEVAL,"EX")=0),0))))</f>
      </c>
      <c r="H13926">
        <f>IF(DATOS!$G13926&lt;&gt;"EX",0,--(COUNTIFS(nNIA,DATOS!$A13926,nCURSO,DATOS!$D13926,nESPEC,DATOS!$E13926,nASIG,DATOS!$I13926,nEVAL,"OR")=0))</f>
      </c>
      <c r="I13926">
        <f>IF(DATOS!$I13926="","",IFERROR(VLOOKUP(DATOS!$I13926,CONFIG_ASIGNATURAS!$B$2:$J$91,9,FALSE()),""))</f>
      </c>
    </row>
    <row r="13927">
      <c r="F13927">
        <f>IF(DATOS!$A13927="","",DATOS!$A13927&amp;"|"&amp;DATOS!$D13927&amp;"|"&amp;DATOS!$E13927&amp;"|"&amp;DATOS!$I13927)</f>
      </c>
      <c r="G13927">
        <f>IF(DATOS!$A13927="",0,IF(CONFIG_METADATA!$B$4&lt;&gt;"OR+EX",--(DATOS!$G13927=CONFIG_METADATA!$B$4),IF(DATOS!$G13927="EX",1,IF(DATOS!$G13927="OR",--(COUNTIFS(nNIA,DATOS!$A13927,nCURSO,DATOS!$D13927,nESPEC,DATOS!$E13927,nASIG,DATOS!$I13927,nEVAL,"EX")=0),0))))</f>
      </c>
      <c r="H13927">
        <f>IF(DATOS!$G13927&lt;&gt;"EX",0,--(COUNTIFS(nNIA,DATOS!$A13927,nCURSO,DATOS!$D13927,nESPEC,DATOS!$E13927,nASIG,DATOS!$I13927,nEVAL,"OR")=0))</f>
      </c>
      <c r="I13927">
        <f>IF(DATOS!$I13927="","",IFERROR(VLOOKUP(DATOS!$I13927,CONFIG_ASIGNATURAS!$B$2:$J$91,9,FALSE()),""))</f>
      </c>
    </row>
    <row r="13928">
      <c r="F13928">
        <f>IF(DATOS!$A13928="","",DATOS!$A13928&amp;"|"&amp;DATOS!$D13928&amp;"|"&amp;DATOS!$E13928&amp;"|"&amp;DATOS!$I13928)</f>
      </c>
      <c r="G13928">
        <f>IF(DATOS!$A13928="",0,IF(CONFIG_METADATA!$B$4&lt;&gt;"OR+EX",--(DATOS!$G13928=CONFIG_METADATA!$B$4),IF(DATOS!$G13928="EX",1,IF(DATOS!$G13928="OR",--(COUNTIFS(nNIA,DATOS!$A13928,nCURSO,DATOS!$D13928,nESPEC,DATOS!$E13928,nASIG,DATOS!$I13928,nEVAL,"EX")=0),0))))</f>
      </c>
      <c r="H13928">
        <f>IF(DATOS!$G13928&lt;&gt;"EX",0,--(COUNTIFS(nNIA,DATOS!$A13928,nCURSO,DATOS!$D13928,nESPEC,DATOS!$E13928,nASIG,DATOS!$I13928,nEVAL,"OR")=0))</f>
      </c>
      <c r="I13928">
        <f>IF(DATOS!$I13928="","",IFERROR(VLOOKUP(DATOS!$I13928,CONFIG_ASIGNATURAS!$B$2:$J$91,9,FALSE()),""))</f>
      </c>
    </row>
    <row r="13929">
      <c r="F13929">
        <f>IF(DATOS!$A13929="","",DATOS!$A13929&amp;"|"&amp;DATOS!$D13929&amp;"|"&amp;DATOS!$E13929&amp;"|"&amp;DATOS!$I13929)</f>
      </c>
      <c r="G13929">
        <f>IF(DATOS!$A13929="",0,IF(CONFIG_METADATA!$B$4&lt;&gt;"OR+EX",--(DATOS!$G13929=CONFIG_METADATA!$B$4),IF(DATOS!$G13929="EX",1,IF(DATOS!$G13929="OR",--(COUNTIFS(nNIA,DATOS!$A13929,nCURSO,DATOS!$D13929,nESPEC,DATOS!$E13929,nASIG,DATOS!$I13929,nEVAL,"EX")=0),0))))</f>
      </c>
      <c r="H13929">
        <f>IF(DATOS!$G13929&lt;&gt;"EX",0,--(COUNTIFS(nNIA,DATOS!$A13929,nCURSO,DATOS!$D13929,nESPEC,DATOS!$E13929,nASIG,DATOS!$I13929,nEVAL,"OR")=0))</f>
      </c>
      <c r="I13929">
        <f>IF(DATOS!$I13929="","",IFERROR(VLOOKUP(DATOS!$I13929,CONFIG_ASIGNATURAS!$B$2:$J$91,9,FALSE()),""))</f>
      </c>
    </row>
    <row r="13930">
      <c r="F13930">
        <f>IF(DATOS!$A13930="","",DATOS!$A13930&amp;"|"&amp;DATOS!$D13930&amp;"|"&amp;DATOS!$E13930&amp;"|"&amp;DATOS!$I13930)</f>
      </c>
      <c r="G13930">
        <f>IF(DATOS!$A13930="",0,IF(CONFIG_METADATA!$B$4&lt;&gt;"OR+EX",--(DATOS!$G13930=CONFIG_METADATA!$B$4),IF(DATOS!$G13930="EX",1,IF(DATOS!$G13930="OR",--(COUNTIFS(nNIA,DATOS!$A13930,nCURSO,DATOS!$D13930,nESPEC,DATOS!$E13930,nASIG,DATOS!$I13930,nEVAL,"EX")=0),0))))</f>
      </c>
      <c r="H13930">
        <f>IF(DATOS!$G13930&lt;&gt;"EX",0,--(COUNTIFS(nNIA,DATOS!$A13930,nCURSO,DATOS!$D13930,nESPEC,DATOS!$E13930,nASIG,DATOS!$I13930,nEVAL,"OR")=0))</f>
      </c>
      <c r="I13930">
        <f>IF(DATOS!$I13930="","",IFERROR(VLOOKUP(DATOS!$I13930,CONFIG_ASIGNATURAS!$B$2:$J$91,9,FALSE()),""))</f>
      </c>
    </row>
    <row r="13931">
      <c r="F13931">
        <f>IF(DATOS!$A13931="","",DATOS!$A13931&amp;"|"&amp;DATOS!$D13931&amp;"|"&amp;DATOS!$E13931&amp;"|"&amp;DATOS!$I13931)</f>
      </c>
      <c r="G13931">
        <f>IF(DATOS!$A13931="",0,IF(CONFIG_METADATA!$B$4&lt;&gt;"OR+EX",--(DATOS!$G13931=CONFIG_METADATA!$B$4),IF(DATOS!$G13931="EX",1,IF(DATOS!$G13931="OR",--(COUNTIFS(nNIA,DATOS!$A13931,nCURSO,DATOS!$D13931,nESPEC,DATOS!$E13931,nASIG,DATOS!$I13931,nEVAL,"EX")=0),0))))</f>
      </c>
      <c r="H13931">
        <f>IF(DATOS!$G13931&lt;&gt;"EX",0,--(COUNTIFS(nNIA,DATOS!$A13931,nCURSO,DATOS!$D13931,nESPEC,DATOS!$E13931,nASIG,DATOS!$I13931,nEVAL,"OR")=0))</f>
      </c>
      <c r="I13931">
        <f>IF(DATOS!$I13931="","",IFERROR(VLOOKUP(DATOS!$I13931,CONFIG_ASIGNATURAS!$B$2:$J$91,9,FALSE()),""))</f>
      </c>
    </row>
    <row r="13932">
      <c r="F13932">
        <f>IF(DATOS!$A13932="","",DATOS!$A13932&amp;"|"&amp;DATOS!$D13932&amp;"|"&amp;DATOS!$E13932&amp;"|"&amp;DATOS!$I13932)</f>
      </c>
      <c r="G13932">
        <f>IF(DATOS!$A13932="",0,IF(CONFIG_METADATA!$B$4&lt;&gt;"OR+EX",--(DATOS!$G13932=CONFIG_METADATA!$B$4),IF(DATOS!$G13932="EX",1,IF(DATOS!$G13932="OR",--(COUNTIFS(nNIA,DATOS!$A13932,nCURSO,DATOS!$D13932,nESPEC,DATOS!$E13932,nASIG,DATOS!$I13932,nEVAL,"EX")=0),0))))</f>
      </c>
      <c r="H13932">
        <f>IF(DATOS!$G13932&lt;&gt;"EX",0,--(COUNTIFS(nNIA,DATOS!$A13932,nCURSO,DATOS!$D13932,nESPEC,DATOS!$E13932,nASIG,DATOS!$I13932,nEVAL,"OR")=0))</f>
      </c>
      <c r="I13932">
        <f>IF(DATOS!$I13932="","",IFERROR(VLOOKUP(DATOS!$I13932,CONFIG_ASIGNATURAS!$B$2:$J$91,9,FALSE()),""))</f>
      </c>
    </row>
    <row r="13933">
      <c r="F13933">
        <f>IF(DATOS!$A13933="","",DATOS!$A13933&amp;"|"&amp;DATOS!$D13933&amp;"|"&amp;DATOS!$E13933&amp;"|"&amp;DATOS!$I13933)</f>
      </c>
      <c r="G13933">
        <f>IF(DATOS!$A13933="",0,IF(CONFIG_METADATA!$B$4&lt;&gt;"OR+EX",--(DATOS!$G13933=CONFIG_METADATA!$B$4),IF(DATOS!$G13933="EX",1,IF(DATOS!$G13933="OR",--(COUNTIFS(nNIA,DATOS!$A13933,nCURSO,DATOS!$D13933,nESPEC,DATOS!$E13933,nASIG,DATOS!$I13933,nEVAL,"EX")=0),0))))</f>
      </c>
      <c r="H13933">
        <f>IF(DATOS!$G13933&lt;&gt;"EX",0,--(COUNTIFS(nNIA,DATOS!$A13933,nCURSO,DATOS!$D13933,nESPEC,DATOS!$E13933,nASIG,DATOS!$I13933,nEVAL,"OR")=0))</f>
      </c>
      <c r="I13933">
        <f>IF(DATOS!$I13933="","",IFERROR(VLOOKUP(DATOS!$I13933,CONFIG_ASIGNATURAS!$B$2:$J$91,9,FALSE()),""))</f>
      </c>
    </row>
    <row r="13934">
      <c r="F13934">
        <f>IF(DATOS!$A13934="","",DATOS!$A13934&amp;"|"&amp;DATOS!$D13934&amp;"|"&amp;DATOS!$E13934&amp;"|"&amp;DATOS!$I13934)</f>
      </c>
      <c r="G13934">
        <f>IF(DATOS!$A13934="",0,IF(CONFIG_METADATA!$B$4&lt;&gt;"OR+EX",--(DATOS!$G13934=CONFIG_METADATA!$B$4),IF(DATOS!$G13934="EX",1,IF(DATOS!$G13934="OR",--(COUNTIFS(nNIA,DATOS!$A13934,nCURSO,DATOS!$D13934,nESPEC,DATOS!$E13934,nASIG,DATOS!$I13934,nEVAL,"EX")=0),0))))</f>
      </c>
      <c r="H13934">
        <f>IF(DATOS!$G13934&lt;&gt;"EX",0,--(COUNTIFS(nNIA,DATOS!$A13934,nCURSO,DATOS!$D13934,nESPEC,DATOS!$E13934,nASIG,DATOS!$I13934,nEVAL,"OR")=0))</f>
      </c>
      <c r="I13934">
        <f>IF(DATOS!$I13934="","",IFERROR(VLOOKUP(DATOS!$I13934,CONFIG_ASIGNATURAS!$B$2:$J$91,9,FALSE()),""))</f>
      </c>
    </row>
    <row r="13935">
      <c r="F13935">
        <f>IF(DATOS!$A13935="","",DATOS!$A13935&amp;"|"&amp;DATOS!$D13935&amp;"|"&amp;DATOS!$E13935&amp;"|"&amp;DATOS!$I13935)</f>
      </c>
      <c r="G13935">
        <f>IF(DATOS!$A13935="",0,IF(CONFIG_METADATA!$B$4&lt;&gt;"OR+EX",--(DATOS!$G13935=CONFIG_METADATA!$B$4),IF(DATOS!$G13935="EX",1,IF(DATOS!$G13935="OR",--(COUNTIFS(nNIA,DATOS!$A13935,nCURSO,DATOS!$D13935,nESPEC,DATOS!$E13935,nASIG,DATOS!$I13935,nEVAL,"EX")=0),0))))</f>
      </c>
      <c r="H13935">
        <f>IF(DATOS!$G13935&lt;&gt;"EX",0,--(COUNTIFS(nNIA,DATOS!$A13935,nCURSO,DATOS!$D13935,nESPEC,DATOS!$E13935,nASIG,DATOS!$I13935,nEVAL,"OR")=0))</f>
      </c>
      <c r="I13935">
        <f>IF(DATOS!$I13935="","",IFERROR(VLOOKUP(DATOS!$I13935,CONFIG_ASIGNATURAS!$B$2:$J$91,9,FALSE()),""))</f>
      </c>
    </row>
    <row r="13936">
      <c r="F13936">
        <f>IF(DATOS!$A13936="","",DATOS!$A13936&amp;"|"&amp;DATOS!$D13936&amp;"|"&amp;DATOS!$E13936&amp;"|"&amp;DATOS!$I13936)</f>
      </c>
      <c r="G13936">
        <f>IF(DATOS!$A13936="",0,IF(CONFIG_METADATA!$B$4&lt;&gt;"OR+EX",--(DATOS!$G13936=CONFIG_METADATA!$B$4),IF(DATOS!$G13936="EX",1,IF(DATOS!$G13936="OR",--(COUNTIFS(nNIA,DATOS!$A13936,nCURSO,DATOS!$D13936,nESPEC,DATOS!$E13936,nASIG,DATOS!$I13936,nEVAL,"EX")=0),0))))</f>
      </c>
      <c r="H13936">
        <f>IF(DATOS!$G13936&lt;&gt;"EX",0,--(COUNTIFS(nNIA,DATOS!$A13936,nCURSO,DATOS!$D13936,nESPEC,DATOS!$E13936,nASIG,DATOS!$I13936,nEVAL,"OR")=0))</f>
      </c>
      <c r="I13936">
        <f>IF(DATOS!$I13936="","",IFERROR(VLOOKUP(DATOS!$I13936,CONFIG_ASIGNATURAS!$B$2:$J$91,9,FALSE()),""))</f>
      </c>
    </row>
    <row r="13937">
      <c r="F13937">
        <f>IF(DATOS!$A13937="","",DATOS!$A13937&amp;"|"&amp;DATOS!$D13937&amp;"|"&amp;DATOS!$E13937&amp;"|"&amp;DATOS!$I13937)</f>
      </c>
      <c r="G13937">
        <f>IF(DATOS!$A13937="",0,IF(CONFIG_METADATA!$B$4&lt;&gt;"OR+EX",--(DATOS!$G13937=CONFIG_METADATA!$B$4),IF(DATOS!$G13937="EX",1,IF(DATOS!$G13937="OR",--(COUNTIFS(nNIA,DATOS!$A13937,nCURSO,DATOS!$D13937,nESPEC,DATOS!$E13937,nASIG,DATOS!$I13937,nEVAL,"EX")=0),0))))</f>
      </c>
      <c r="H13937">
        <f>IF(DATOS!$G13937&lt;&gt;"EX",0,--(COUNTIFS(nNIA,DATOS!$A13937,nCURSO,DATOS!$D13937,nESPEC,DATOS!$E13937,nASIG,DATOS!$I13937,nEVAL,"OR")=0))</f>
      </c>
      <c r="I13937">
        <f>IF(DATOS!$I13937="","",IFERROR(VLOOKUP(DATOS!$I13937,CONFIG_ASIGNATURAS!$B$2:$J$91,9,FALSE()),""))</f>
      </c>
    </row>
    <row r="13938">
      <c r="F13938">
        <f>IF(DATOS!$A13938="","",DATOS!$A13938&amp;"|"&amp;DATOS!$D13938&amp;"|"&amp;DATOS!$E13938&amp;"|"&amp;DATOS!$I13938)</f>
      </c>
      <c r="G13938">
        <f>IF(DATOS!$A13938="",0,IF(CONFIG_METADATA!$B$4&lt;&gt;"OR+EX",--(DATOS!$G13938=CONFIG_METADATA!$B$4),IF(DATOS!$G13938="EX",1,IF(DATOS!$G13938="OR",--(COUNTIFS(nNIA,DATOS!$A13938,nCURSO,DATOS!$D13938,nESPEC,DATOS!$E13938,nASIG,DATOS!$I13938,nEVAL,"EX")=0),0))))</f>
      </c>
      <c r="H13938">
        <f>IF(DATOS!$G13938&lt;&gt;"EX",0,--(COUNTIFS(nNIA,DATOS!$A13938,nCURSO,DATOS!$D13938,nESPEC,DATOS!$E13938,nASIG,DATOS!$I13938,nEVAL,"OR")=0))</f>
      </c>
      <c r="I13938">
        <f>IF(DATOS!$I13938="","",IFERROR(VLOOKUP(DATOS!$I13938,CONFIG_ASIGNATURAS!$B$2:$J$91,9,FALSE()),""))</f>
      </c>
    </row>
    <row r="13939">
      <c r="F13939">
        <f>IF(DATOS!$A13939="","",DATOS!$A13939&amp;"|"&amp;DATOS!$D13939&amp;"|"&amp;DATOS!$E13939&amp;"|"&amp;DATOS!$I13939)</f>
      </c>
      <c r="G13939">
        <f>IF(DATOS!$A13939="",0,IF(CONFIG_METADATA!$B$4&lt;&gt;"OR+EX",--(DATOS!$G13939=CONFIG_METADATA!$B$4),IF(DATOS!$G13939="EX",1,IF(DATOS!$G13939="OR",--(COUNTIFS(nNIA,DATOS!$A13939,nCURSO,DATOS!$D13939,nESPEC,DATOS!$E13939,nASIG,DATOS!$I13939,nEVAL,"EX")=0),0))))</f>
      </c>
      <c r="H13939">
        <f>IF(DATOS!$G13939&lt;&gt;"EX",0,--(COUNTIFS(nNIA,DATOS!$A13939,nCURSO,DATOS!$D13939,nESPEC,DATOS!$E13939,nASIG,DATOS!$I13939,nEVAL,"OR")=0))</f>
      </c>
      <c r="I13939">
        <f>IF(DATOS!$I13939="","",IFERROR(VLOOKUP(DATOS!$I13939,CONFIG_ASIGNATURAS!$B$2:$J$91,9,FALSE()),""))</f>
      </c>
    </row>
    <row r="13940">
      <c r="F13940">
        <f>IF(DATOS!$A13940="","",DATOS!$A13940&amp;"|"&amp;DATOS!$D13940&amp;"|"&amp;DATOS!$E13940&amp;"|"&amp;DATOS!$I13940)</f>
      </c>
      <c r="G13940">
        <f>IF(DATOS!$A13940="",0,IF(CONFIG_METADATA!$B$4&lt;&gt;"OR+EX",--(DATOS!$G13940=CONFIG_METADATA!$B$4),IF(DATOS!$G13940="EX",1,IF(DATOS!$G13940="OR",--(COUNTIFS(nNIA,DATOS!$A13940,nCURSO,DATOS!$D13940,nESPEC,DATOS!$E13940,nASIG,DATOS!$I13940,nEVAL,"EX")=0),0))))</f>
      </c>
      <c r="H13940">
        <f>IF(DATOS!$G13940&lt;&gt;"EX",0,--(COUNTIFS(nNIA,DATOS!$A13940,nCURSO,DATOS!$D13940,nESPEC,DATOS!$E13940,nASIG,DATOS!$I13940,nEVAL,"OR")=0))</f>
      </c>
      <c r="I13940">
        <f>IF(DATOS!$I13940="","",IFERROR(VLOOKUP(DATOS!$I13940,CONFIG_ASIGNATURAS!$B$2:$J$91,9,FALSE()),""))</f>
      </c>
    </row>
    <row r="13941">
      <c r="F13941">
        <f>IF(DATOS!$A13941="","",DATOS!$A13941&amp;"|"&amp;DATOS!$D13941&amp;"|"&amp;DATOS!$E13941&amp;"|"&amp;DATOS!$I13941)</f>
      </c>
      <c r="G13941">
        <f>IF(DATOS!$A13941="",0,IF(CONFIG_METADATA!$B$4&lt;&gt;"OR+EX",--(DATOS!$G13941=CONFIG_METADATA!$B$4),IF(DATOS!$G13941="EX",1,IF(DATOS!$G13941="OR",--(COUNTIFS(nNIA,DATOS!$A13941,nCURSO,DATOS!$D13941,nESPEC,DATOS!$E13941,nASIG,DATOS!$I13941,nEVAL,"EX")=0),0))))</f>
      </c>
      <c r="H13941">
        <f>IF(DATOS!$G13941&lt;&gt;"EX",0,--(COUNTIFS(nNIA,DATOS!$A13941,nCURSO,DATOS!$D13941,nESPEC,DATOS!$E13941,nASIG,DATOS!$I13941,nEVAL,"OR")=0))</f>
      </c>
      <c r="I13941">
        <f>IF(DATOS!$I13941="","",IFERROR(VLOOKUP(DATOS!$I13941,CONFIG_ASIGNATURAS!$B$2:$J$91,9,FALSE()),""))</f>
      </c>
    </row>
    <row r="13942">
      <c r="F13942">
        <f>IF(DATOS!$A13942="","",DATOS!$A13942&amp;"|"&amp;DATOS!$D13942&amp;"|"&amp;DATOS!$E13942&amp;"|"&amp;DATOS!$I13942)</f>
      </c>
      <c r="G13942">
        <f>IF(DATOS!$A13942="",0,IF(CONFIG_METADATA!$B$4&lt;&gt;"OR+EX",--(DATOS!$G13942=CONFIG_METADATA!$B$4),IF(DATOS!$G13942="EX",1,IF(DATOS!$G13942="OR",--(COUNTIFS(nNIA,DATOS!$A13942,nCURSO,DATOS!$D13942,nESPEC,DATOS!$E13942,nASIG,DATOS!$I13942,nEVAL,"EX")=0),0))))</f>
      </c>
      <c r="H13942">
        <f>IF(DATOS!$G13942&lt;&gt;"EX",0,--(COUNTIFS(nNIA,DATOS!$A13942,nCURSO,DATOS!$D13942,nESPEC,DATOS!$E13942,nASIG,DATOS!$I13942,nEVAL,"OR")=0))</f>
      </c>
      <c r="I13942">
        <f>IF(DATOS!$I13942="","",IFERROR(VLOOKUP(DATOS!$I13942,CONFIG_ASIGNATURAS!$B$2:$J$91,9,FALSE()),""))</f>
      </c>
    </row>
    <row r="13943">
      <c r="F13943">
        <f>IF(DATOS!$A13943="","",DATOS!$A13943&amp;"|"&amp;DATOS!$D13943&amp;"|"&amp;DATOS!$E13943&amp;"|"&amp;DATOS!$I13943)</f>
      </c>
      <c r="G13943">
        <f>IF(DATOS!$A13943="",0,IF(CONFIG_METADATA!$B$4&lt;&gt;"OR+EX",--(DATOS!$G13943=CONFIG_METADATA!$B$4),IF(DATOS!$G13943="EX",1,IF(DATOS!$G13943="OR",--(COUNTIFS(nNIA,DATOS!$A13943,nCURSO,DATOS!$D13943,nESPEC,DATOS!$E13943,nASIG,DATOS!$I13943,nEVAL,"EX")=0),0))))</f>
      </c>
      <c r="H13943">
        <f>IF(DATOS!$G13943&lt;&gt;"EX",0,--(COUNTIFS(nNIA,DATOS!$A13943,nCURSO,DATOS!$D13943,nESPEC,DATOS!$E13943,nASIG,DATOS!$I13943,nEVAL,"OR")=0))</f>
      </c>
      <c r="I13943">
        <f>IF(DATOS!$I13943="","",IFERROR(VLOOKUP(DATOS!$I13943,CONFIG_ASIGNATURAS!$B$2:$J$91,9,FALSE()),""))</f>
      </c>
    </row>
    <row r="13944">
      <c r="F13944">
        <f>IF(DATOS!$A13944="","",DATOS!$A13944&amp;"|"&amp;DATOS!$D13944&amp;"|"&amp;DATOS!$E13944&amp;"|"&amp;DATOS!$I13944)</f>
      </c>
      <c r="G13944">
        <f>IF(DATOS!$A13944="",0,IF(CONFIG_METADATA!$B$4&lt;&gt;"OR+EX",--(DATOS!$G13944=CONFIG_METADATA!$B$4),IF(DATOS!$G13944="EX",1,IF(DATOS!$G13944="OR",--(COUNTIFS(nNIA,DATOS!$A13944,nCURSO,DATOS!$D13944,nESPEC,DATOS!$E13944,nASIG,DATOS!$I13944,nEVAL,"EX")=0),0))))</f>
      </c>
      <c r="H13944">
        <f>IF(DATOS!$G13944&lt;&gt;"EX",0,--(COUNTIFS(nNIA,DATOS!$A13944,nCURSO,DATOS!$D13944,nESPEC,DATOS!$E13944,nASIG,DATOS!$I13944,nEVAL,"OR")=0))</f>
      </c>
      <c r="I13944">
        <f>IF(DATOS!$I13944="","",IFERROR(VLOOKUP(DATOS!$I13944,CONFIG_ASIGNATURAS!$B$2:$J$91,9,FALSE()),""))</f>
      </c>
    </row>
    <row r="13945">
      <c r="F13945">
        <f>IF(DATOS!$A13945="","",DATOS!$A13945&amp;"|"&amp;DATOS!$D13945&amp;"|"&amp;DATOS!$E13945&amp;"|"&amp;DATOS!$I13945)</f>
      </c>
      <c r="G13945">
        <f>IF(DATOS!$A13945="",0,IF(CONFIG_METADATA!$B$4&lt;&gt;"OR+EX",--(DATOS!$G13945=CONFIG_METADATA!$B$4),IF(DATOS!$G13945="EX",1,IF(DATOS!$G13945="OR",--(COUNTIFS(nNIA,DATOS!$A13945,nCURSO,DATOS!$D13945,nESPEC,DATOS!$E13945,nASIG,DATOS!$I13945,nEVAL,"EX")=0),0))))</f>
      </c>
      <c r="H13945">
        <f>IF(DATOS!$G13945&lt;&gt;"EX",0,--(COUNTIFS(nNIA,DATOS!$A13945,nCURSO,DATOS!$D13945,nESPEC,DATOS!$E13945,nASIG,DATOS!$I13945,nEVAL,"OR")=0))</f>
      </c>
      <c r="I13945">
        <f>IF(DATOS!$I13945="","",IFERROR(VLOOKUP(DATOS!$I13945,CONFIG_ASIGNATURAS!$B$2:$J$91,9,FALSE()),""))</f>
      </c>
    </row>
    <row r="13946">
      <c r="F13946">
        <f>IF(DATOS!$A13946="","",DATOS!$A13946&amp;"|"&amp;DATOS!$D13946&amp;"|"&amp;DATOS!$E13946&amp;"|"&amp;DATOS!$I13946)</f>
      </c>
      <c r="G13946">
        <f>IF(DATOS!$A13946="",0,IF(CONFIG_METADATA!$B$4&lt;&gt;"OR+EX",--(DATOS!$G13946=CONFIG_METADATA!$B$4),IF(DATOS!$G13946="EX",1,IF(DATOS!$G13946="OR",--(COUNTIFS(nNIA,DATOS!$A13946,nCURSO,DATOS!$D13946,nESPEC,DATOS!$E13946,nASIG,DATOS!$I13946,nEVAL,"EX")=0),0))))</f>
      </c>
      <c r="H13946">
        <f>IF(DATOS!$G13946&lt;&gt;"EX",0,--(COUNTIFS(nNIA,DATOS!$A13946,nCURSO,DATOS!$D13946,nESPEC,DATOS!$E13946,nASIG,DATOS!$I13946,nEVAL,"OR")=0))</f>
      </c>
      <c r="I13946">
        <f>IF(DATOS!$I13946="","",IFERROR(VLOOKUP(DATOS!$I13946,CONFIG_ASIGNATURAS!$B$2:$J$91,9,FALSE()),""))</f>
      </c>
    </row>
    <row r="13947">
      <c r="F13947">
        <f>IF(DATOS!$A13947="","",DATOS!$A13947&amp;"|"&amp;DATOS!$D13947&amp;"|"&amp;DATOS!$E13947&amp;"|"&amp;DATOS!$I13947)</f>
      </c>
      <c r="G13947">
        <f>IF(DATOS!$A13947="",0,IF(CONFIG_METADATA!$B$4&lt;&gt;"OR+EX",--(DATOS!$G13947=CONFIG_METADATA!$B$4),IF(DATOS!$G13947="EX",1,IF(DATOS!$G13947="OR",--(COUNTIFS(nNIA,DATOS!$A13947,nCURSO,DATOS!$D13947,nESPEC,DATOS!$E13947,nASIG,DATOS!$I13947,nEVAL,"EX")=0),0))))</f>
      </c>
      <c r="H13947">
        <f>IF(DATOS!$G13947&lt;&gt;"EX",0,--(COUNTIFS(nNIA,DATOS!$A13947,nCURSO,DATOS!$D13947,nESPEC,DATOS!$E13947,nASIG,DATOS!$I13947,nEVAL,"OR")=0))</f>
      </c>
      <c r="I13947">
        <f>IF(DATOS!$I13947="","",IFERROR(VLOOKUP(DATOS!$I13947,CONFIG_ASIGNATURAS!$B$2:$J$91,9,FALSE()),""))</f>
      </c>
    </row>
    <row r="13948">
      <c r="F13948">
        <f>IF(DATOS!$A13948="","",DATOS!$A13948&amp;"|"&amp;DATOS!$D13948&amp;"|"&amp;DATOS!$E13948&amp;"|"&amp;DATOS!$I13948)</f>
      </c>
      <c r="G13948">
        <f>IF(DATOS!$A13948="",0,IF(CONFIG_METADATA!$B$4&lt;&gt;"OR+EX",--(DATOS!$G13948=CONFIG_METADATA!$B$4),IF(DATOS!$G13948="EX",1,IF(DATOS!$G13948="OR",--(COUNTIFS(nNIA,DATOS!$A13948,nCURSO,DATOS!$D13948,nESPEC,DATOS!$E13948,nASIG,DATOS!$I13948,nEVAL,"EX")=0),0))))</f>
      </c>
      <c r="H13948">
        <f>IF(DATOS!$G13948&lt;&gt;"EX",0,--(COUNTIFS(nNIA,DATOS!$A13948,nCURSO,DATOS!$D13948,nESPEC,DATOS!$E13948,nASIG,DATOS!$I13948,nEVAL,"OR")=0))</f>
      </c>
      <c r="I13948">
        <f>IF(DATOS!$I13948="","",IFERROR(VLOOKUP(DATOS!$I13948,CONFIG_ASIGNATURAS!$B$2:$J$91,9,FALSE()),""))</f>
      </c>
    </row>
    <row r="13949">
      <c r="F13949">
        <f>IF(DATOS!$A13949="","",DATOS!$A13949&amp;"|"&amp;DATOS!$D13949&amp;"|"&amp;DATOS!$E13949&amp;"|"&amp;DATOS!$I13949)</f>
      </c>
      <c r="G13949">
        <f>IF(DATOS!$A13949="",0,IF(CONFIG_METADATA!$B$4&lt;&gt;"OR+EX",--(DATOS!$G13949=CONFIG_METADATA!$B$4),IF(DATOS!$G13949="EX",1,IF(DATOS!$G13949="OR",--(COUNTIFS(nNIA,DATOS!$A13949,nCURSO,DATOS!$D13949,nESPEC,DATOS!$E13949,nASIG,DATOS!$I13949,nEVAL,"EX")=0),0))))</f>
      </c>
      <c r="H13949">
        <f>IF(DATOS!$G13949&lt;&gt;"EX",0,--(COUNTIFS(nNIA,DATOS!$A13949,nCURSO,DATOS!$D13949,nESPEC,DATOS!$E13949,nASIG,DATOS!$I13949,nEVAL,"OR")=0))</f>
      </c>
      <c r="I13949">
        <f>IF(DATOS!$I13949="","",IFERROR(VLOOKUP(DATOS!$I13949,CONFIG_ASIGNATURAS!$B$2:$J$91,9,FALSE()),""))</f>
      </c>
    </row>
    <row r="13950">
      <c r="F13950">
        <f>IF(DATOS!$A13950="","",DATOS!$A13950&amp;"|"&amp;DATOS!$D13950&amp;"|"&amp;DATOS!$E13950&amp;"|"&amp;DATOS!$I13950)</f>
      </c>
      <c r="G13950">
        <f>IF(DATOS!$A13950="",0,IF(CONFIG_METADATA!$B$4&lt;&gt;"OR+EX",--(DATOS!$G13950=CONFIG_METADATA!$B$4),IF(DATOS!$G13950="EX",1,IF(DATOS!$G13950="OR",--(COUNTIFS(nNIA,DATOS!$A13950,nCURSO,DATOS!$D13950,nESPEC,DATOS!$E13950,nASIG,DATOS!$I13950,nEVAL,"EX")=0),0))))</f>
      </c>
      <c r="H13950">
        <f>IF(DATOS!$G13950&lt;&gt;"EX",0,--(COUNTIFS(nNIA,DATOS!$A13950,nCURSO,DATOS!$D13950,nESPEC,DATOS!$E13950,nASIG,DATOS!$I13950,nEVAL,"OR")=0))</f>
      </c>
      <c r="I13950">
        <f>IF(DATOS!$I13950="","",IFERROR(VLOOKUP(DATOS!$I13950,CONFIG_ASIGNATURAS!$B$2:$J$91,9,FALSE()),""))</f>
      </c>
    </row>
    <row r="13951">
      <c r="F13951">
        <f>IF(DATOS!$A13951="","",DATOS!$A13951&amp;"|"&amp;DATOS!$D13951&amp;"|"&amp;DATOS!$E13951&amp;"|"&amp;DATOS!$I13951)</f>
      </c>
      <c r="G13951">
        <f>IF(DATOS!$A13951="",0,IF(CONFIG_METADATA!$B$4&lt;&gt;"OR+EX",--(DATOS!$G13951=CONFIG_METADATA!$B$4),IF(DATOS!$G13951="EX",1,IF(DATOS!$G13951="OR",--(COUNTIFS(nNIA,DATOS!$A13951,nCURSO,DATOS!$D13951,nESPEC,DATOS!$E13951,nASIG,DATOS!$I13951,nEVAL,"EX")=0),0))))</f>
      </c>
      <c r="H13951">
        <f>IF(DATOS!$G13951&lt;&gt;"EX",0,--(COUNTIFS(nNIA,DATOS!$A13951,nCURSO,DATOS!$D13951,nESPEC,DATOS!$E13951,nASIG,DATOS!$I13951,nEVAL,"OR")=0))</f>
      </c>
      <c r="I13951">
        <f>IF(DATOS!$I13951="","",IFERROR(VLOOKUP(DATOS!$I13951,CONFIG_ASIGNATURAS!$B$2:$J$91,9,FALSE()),""))</f>
      </c>
    </row>
    <row r="13952">
      <c r="F13952">
        <f>IF(DATOS!$A13952="","",DATOS!$A13952&amp;"|"&amp;DATOS!$D13952&amp;"|"&amp;DATOS!$E13952&amp;"|"&amp;DATOS!$I13952)</f>
      </c>
      <c r="G13952">
        <f>IF(DATOS!$A13952="",0,IF(CONFIG_METADATA!$B$4&lt;&gt;"OR+EX",--(DATOS!$G13952=CONFIG_METADATA!$B$4),IF(DATOS!$G13952="EX",1,IF(DATOS!$G13952="OR",--(COUNTIFS(nNIA,DATOS!$A13952,nCURSO,DATOS!$D13952,nESPEC,DATOS!$E13952,nASIG,DATOS!$I13952,nEVAL,"EX")=0),0))))</f>
      </c>
      <c r="H13952">
        <f>IF(DATOS!$G13952&lt;&gt;"EX",0,--(COUNTIFS(nNIA,DATOS!$A13952,nCURSO,DATOS!$D13952,nESPEC,DATOS!$E13952,nASIG,DATOS!$I13952,nEVAL,"OR")=0))</f>
      </c>
      <c r="I13952">
        <f>IF(DATOS!$I13952="","",IFERROR(VLOOKUP(DATOS!$I13952,CONFIG_ASIGNATURAS!$B$2:$J$91,9,FALSE()),""))</f>
      </c>
    </row>
    <row r="13953">
      <c r="F13953">
        <f>IF(DATOS!$A13953="","",DATOS!$A13953&amp;"|"&amp;DATOS!$D13953&amp;"|"&amp;DATOS!$E13953&amp;"|"&amp;DATOS!$I13953)</f>
      </c>
      <c r="G13953">
        <f>IF(DATOS!$A13953="",0,IF(CONFIG_METADATA!$B$4&lt;&gt;"OR+EX",--(DATOS!$G13953=CONFIG_METADATA!$B$4),IF(DATOS!$G13953="EX",1,IF(DATOS!$G13953="OR",--(COUNTIFS(nNIA,DATOS!$A13953,nCURSO,DATOS!$D13953,nESPEC,DATOS!$E13953,nASIG,DATOS!$I13953,nEVAL,"EX")=0),0))))</f>
      </c>
      <c r="H13953">
        <f>IF(DATOS!$G13953&lt;&gt;"EX",0,--(COUNTIFS(nNIA,DATOS!$A13953,nCURSO,DATOS!$D13953,nESPEC,DATOS!$E13953,nASIG,DATOS!$I13953,nEVAL,"OR")=0))</f>
      </c>
      <c r="I13953">
        <f>IF(DATOS!$I13953="","",IFERROR(VLOOKUP(DATOS!$I13953,CONFIG_ASIGNATURAS!$B$2:$J$91,9,FALSE()),""))</f>
      </c>
    </row>
    <row r="13954">
      <c r="F13954">
        <f>IF(DATOS!$A13954="","",DATOS!$A13954&amp;"|"&amp;DATOS!$D13954&amp;"|"&amp;DATOS!$E13954&amp;"|"&amp;DATOS!$I13954)</f>
      </c>
      <c r="G13954">
        <f>IF(DATOS!$A13954="",0,IF(CONFIG_METADATA!$B$4&lt;&gt;"OR+EX",--(DATOS!$G13954=CONFIG_METADATA!$B$4),IF(DATOS!$G13954="EX",1,IF(DATOS!$G13954="OR",--(COUNTIFS(nNIA,DATOS!$A13954,nCURSO,DATOS!$D13954,nESPEC,DATOS!$E13954,nASIG,DATOS!$I13954,nEVAL,"EX")=0),0))))</f>
      </c>
      <c r="H13954">
        <f>IF(DATOS!$G13954&lt;&gt;"EX",0,--(COUNTIFS(nNIA,DATOS!$A13954,nCURSO,DATOS!$D13954,nESPEC,DATOS!$E13954,nASIG,DATOS!$I13954,nEVAL,"OR")=0))</f>
      </c>
      <c r="I13954">
        <f>IF(DATOS!$I13954="","",IFERROR(VLOOKUP(DATOS!$I13954,CONFIG_ASIGNATURAS!$B$2:$J$91,9,FALSE()),""))</f>
      </c>
    </row>
    <row r="13955">
      <c r="F13955">
        <f>IF(DATOS!$A13955="","",DATOS!$A13955&amp;"|"&amp;DATOS!$D13955&amp;"|"&amp;DATOS!$E13955&amp;"|"&amp;DATOS!$I13955)</f>
      </c>
      <c r="G13955">
        <f>IF(DATOS!$A13955="",0,IF(CONFIG_METADATA!$B$4&lt;&gt;"OR+EX",--(DATOS!$G13955=CONFIG_METADATA!$B$4),IF(DATOS!$G13955="EX",1,IF(DATOS!$G13955="OR",--(COUNTIFS(nNIA,DATOS!$A13955,nCURSO,DATOS!$D13955,nESPEC,DATOS!$E13955,nASIG,DATOS!$I13955,nEVAL,"EX")=0),0))))</f>
      </c>
      <c r="H13955">
        <f>IF(DATOS!$G13955&lt;&gt;"EX",0,--(COUNTIFS(nNIA,DATOS!$A13955,nCURSO,DATOS!$D13955,nESPEC,DATOS!$E13955,nASIG,DATOS!$I13955,nEVAL,"OR")=0))</f>
      </c>
      <c r="I13955">
        <f>IF(DATOS!$I13955="","",IFERROR(VLOOKUP(DATOS!$I13955,CONFIG_ASIGNATURAS!$B$2:$J$91,9,FALSE()),""))</f>
      </c>
    </row>
    <row r="13956">
      <c r="F13956">
        <f>IF(DATOS!$A13956="","",DATOS!$A13956&amp;"|"&amp;DATOS!$D13956&amp;"|"&amp;DATOS!$E13956&amp;"|"&amp;DATOS!$I13956)</f>
      </c>
      <c r="G13956">
        <f>IF(DATOS!$A13956="",0,IF(CONFIG_METADATA!$B$4&lt;&gt;"OR+EX",--(DATOS!$G13956=CONFIG_METADATA!$B$4),IF(DATOS!$G13956="EX",1,IF(DATOS!$G13956="OR",--(COUNTIFS(nNIA,DATOS!$A13956,nCURSO,DATOS!$D13956,nESPEC,DATOS!$E13956,nASIG,DATOS!$I13956,nEVAL,"EX")=0),0))))</f>
      </c>
      <c r="H13956">
        <f>IF(DATOS!$G13956&lt;&gt;"EX",0,--(COUNTIFS(nNIA,DATOS!$A13956,nCURSO,DATOS!$D13956,nESPEC,DATOS!$E13956,nASIG,DATOS!$I13956,nEVAL,"OR")=0))</f>
      </c>
      <c r="I13956">
        <f>IF(DATOS!$I13956="","",IFERROR(VLOOKUP(DATOS!$I13956,CONFIG_ASIGNATURAS!$B$2:$J$91,9,FALSE()),""))</f>
      </c>
    </row>
    <row r="13957">
      <c r="F13957">
        <f>IF(DATOS!$A13957="","",DATOS!$A13957&amp;"|"&amp;DATOS!$D13957&amp;"|"&amp;DATOS!$E13957&amp;"|"&amp;DATOS!$I13957)</f>
      </c>
      <c r="G13957">
        <f>IF(DATOS!$A13957="",0,IF(CONFIG_METADATA!$B$4&lt;&gt;"OR+EX",--(DATOS!$G13957=CONFIG_METADATA!$B$4),IF(DATOS!$G13957="EX",1,IF(DATOS!$G13957="OR",--(COUNTIFS(nNIA,DATOS!$A13957,nCURSO,DATOS!$D13957,nESPEC,DATOS!$E13957,nASIG,DATOS!$I13957,nEVAL,"EX")=0),0))))</f>
      </c>
      <c r="H13957">
        <f>IF(DATOS!$G13957&lt;&gt;"EX",0,--(COUNTIFS(nNIA,DATOS!$A13957,nCURSO,DATOS!$D13957,nESPEC,DATOS!$E13957,nASIG,DATOS!$I13957,nEVAL,"OR")=0))</f>
      </c>
      <c r="I13957">
        <f>IF(DATOS!$I13957="","",IFERROR(VLOOKUP(DATOS!$I13957,CONFIG_ASIGNATURAS!$B$2:$J$91,9,FALSE()),""))</f>
      </c>
    </row>
    <row r="13958">
      <c r="F13958">
        <f>IF(DATOS!$A13958="","",DATOS!$A13958&amp;"|"&amp;DATOS!$D13958&amp;"|"&amp;DATOS!$E13958&amp;"|"&amp;DATOS!$I13958)</f>
      </c>
      <c r="G13958">
        <f>IF(DATOS!$A13958="",0,IF(CONFIG_METADATA!$B$4&lt;&gt;"OR+EX",--(DATOS!$G13958=CONFIG_METADATA!$B$4),IF(DATOS!$G13958="EX",1,IF(DATOS!$G13958="OR",--(COUNTIFS(nNIA,DATOS!$A13958,nCURSO,DATOS!$D13958,nESPEC,DATOS!$E13958,nASIG,DATOS!$I13958,nEVAL,"EX")=0),0))))</f>
      </c>
      <c r="H13958">
        <f>IF(DATOS!$G13958&lt;&gt;"EX",0,--(COUNTIFS(nNIA,DATOS!$A13958,nCURSO,DATOS!$D13958,nESPEC,DATOS!$E13958,nASIG,DATOS!$I13958,nEVAL,"OR")=0))</f>
      </c>
      <c r="I13958">
        <f>IF(DATOS!$I13958="","",IFERROR(VLOOKUP(DATOS!$I13958,CONFIG_ASIGNATURAS!$B$2:$J$91,9,FALSE()),""))</f>
      </c>
    </row>
    <row r="13959">
      <c r="F13959">
        <f>IF(DATOS!$A13959="","",DATOS!$A13959&amp;"|"&amp;DATOS!$D13959&amp;"|"&amp;DATOS!$E13959&amp;"|"&amp;DATOS!$I13959)</f>
      </c>
      <c r="G13959">
        <f>IF(DATOS!$A13959="",0,IF(CONFIG_METADATA!$B$4&lt;&gt;"OR+EX",--(DATOS!$G13959=CONFIG_METADATA!$B$4),IF(DATOS!$G13959="EX",1,IF(DATOS!$G13959="OR",--(COUNTIFS(nNIA,DATOS!$A13959,nCURSO,DATOS!$D13959,nESPEC,DATOS!$E13959,nASIG,DATOS!$I13959,nEVAL,"EX")=0),0))))</f>
      </c>
      <c r="H13959">
        <f>IF(DATOS!$G13959&lt;&gt;"EX",0,--(COUNTIFS(nNIA,DATOS!$A13959,nCURSO,DATOS!$D13959,nESPEC,DATOS!$E13959,nASIG,DATOS!$I13959,nEVAL,"OR")=0))</f>
      </c>
      <c r="I13959">
        <f>IF(DATOS!$I13959="","",IFERROR(VLOOKUP(DATOS!$I13959,CONFIG_ASIGNATURAS!$B$2:$J$91,9,FALSE()),""))</f>
      </c>
    </row>
    <row r="13960">
      <c r="F13960">
        <f>IF(DATOS!$A13960="","",DATOS!$A13960&amp;"|"&amp;DATOS!$D13960&amp;"|"&amp;DATOS!$E13960&amp;"|"&amp;DATOS!$I13960)</f>
      </c>
      <c r="G13960">
        <f>IF(DATOS!$A13960="",0,IF(CONFIG_METADATA!$B$4&lt;&gt;"OR+EX",--(DATOS!$G13960=CONFIG_METADATA!$B$4),IF(DATOS!$G13960="EX",1,IF(DATOS!$G13960="OR",--(COUNTIFS(nNIA,DATOS!$A13960,nCURSO,DATOS!$D13960,nESPEC,DATOS!$E13960,nASIG,DATOS!$I13960,nEVAL,"EX")=0),0))))</f>
      </c>
      <c r="H13960">
        <f>IF(DATOS!$G13960&lt;&gt;"EX",0,--(COUNTIFS(nNIA,DATOS!$A13960,nCURSO,DATOS!$D13960,nESPEC,DATOS!$E13960,nASIG,DATOS!$I13960,nEVAL,"OR")=0))</f>
      </c>
      <c r="I13960">
        <f>IF(DATOS!$I13960="","",IFERROR(VLOOKUP(DATOS!$I13960,CONFIG_ASIGNATURAS!$B$2:$J$91,9,FALSE()),""))</f>
      </c>
    </row>
    <row r="13961">
      <c r="F13961">
        <f>IF(DATOS!$A13961="","",DATOS!$A13961&amp;"|"&amp;DATOS!$D13961&amp;"|"&amp;DATOS!$E13961&amp;"|"&amp;DATOS!$I13961)</f>
      </c>
      <c r="G13961">
        <f>IF(DATOS!$A13961="",0,IF(CONFIG_METADATA!$B$4&lt;&gt;"OR+EX",--(DATOS!$G13961=CONFIG_METADATA!$B$4),IF(DATOS!$G13961="EX",1,IF(DATOS!$G13961="OR",--(COUNTIFS(nNIA,DATOS!$A13961,nCURSO,DATOS!$D13961,nESPEC,DATOS!$E13961,nASIG,DATOS!$I13961,nEVAL,"EX")=0),0))))</f>
      </c>
      <c r="H13961">
        <f>IF(DATOS!$G13961&lt;&gt;"EX",0,--(COUNTIFS(nNIA,DATOS!$A13961,nCURSO,DATOS!$D13961,nESPEC,DATOS!$E13961,nASIG,DATOS!$I13961,nEVAL,"OR")=0))</f>
      </c>
      <c r="I13961">
        <f>IF(DATOS!$I13961="","",IFERROR(VLOOKUP(DATOS!$I13961,CONFIG_ASIGNATURAS!$B$2:$J$91,9,FALSE()),""))</f>
      </c>
    </row>
    <row r="13962">
      <c r="F13962">
        <f>IF(DATOS!$A13962="","",DATOS!$A13962&amp;"|"&amp;DATOS!$D13962&amp;"|"&amp;DATOS!$E13962&amp;"|"&amp;DATOS!$I13962)</f>
      </c>
      <c r="G13962">
        <f>IF(DATOS!$A13962="",0,IF(CONFIG_METADATA!$B$4&lt;&gt;"OR+EX",--(DATOS!$G13962=CONFIG_METADATA!$B$4),IF(DATOS!$G13962="EX",1,IF(DATOS!$G13962="OR",--(COUNTIFS(nNIA,DATOS!$A13962,nCURSO,DATOS!$D13962,nESPEC,DATOS!$E13962,nASIG,DATOS!$I13962,nEVAL,"EX")=0),0))))</f>
      </c>
      <c r="H13962">
        <f>IF(DATOS!$G13962&lt;&gt;"EX",0,--(COUNTIFS(nNIA,DATOS!$A13962,nCURSO,DATOS!$D13962,nESPEC,DATOS!$E13962,nASIG,DATOS!$I13962,nEVAL,"OR")=0))</f>
      </c>
      <c r="I13962">
        <f>IF(DATOS!$I13962="","",IFERROR(VLOOKUP(DATOS!$I13962,CONFIG_ASIGNATURAS!$B$2:$J$91,9,FALSE()),""))</f>
      </c>
    </row>
    <row r="13963">
      <c r="F13963">
        <f>IF(DATOS!$A13963="","",DATOS!$A13963&amp;"|"&amp;DATOS!$D13963&amp;"|"&amp;DATOS!$E13963&amp;"|"&amp;DATOS!$I13963)</f>
      </c>
      <c r="G13963">
        <f>IF(DATOS!$A13963="",0,IF(CONFIG_METADATA!$B$4&lt;&gt;"OR+EX",--(DATOS!$G13963=CONFIG_METADATA!$B$4),IF(DATOS!$G13963="EX",1,IF(DATOS!$G13963="OR",--(COUNTIFS(nNIA,DATOS!$A13963,nCURSO,DATOS!$D13963,nESPEC,DATOS!$E13963,nASIG,DATOS!$I13963,nEVAL,"EX")=0),0))))</f>
      </c>
      <c r="H13963">
        <f>IF(DATOS!$G13963&lt;&gt;"EX",0,--(COUNTIFS(nNIA,DATOS!$A13963,nCURSO,DATOS!$D13963,nESPEC,DATOS!$E13963,nASIG,DATOS!$I13963,nEVAL,"OR")=0))</f>
      </c>
      <c r="I13963">
        <f>IF(DATOS!$I13963="","",IFERROR(VLOOKUP(DATOS!$I13963,CONFIG_ASIGNATURAS!$B$2:$J$91,9,FALSE()),""))</f>
      </c>
    </row>
    <row r="13964">
      <c r="F13964">
        <f>IF(DATOS!$A13964="","",DATOS!$A13964&amp;"|"&amp;DATOS!$D13964&amp;"|"&amp;DATOS!$E13964&amp;"|"&amp;DATOS!$I13964)</f>
      </c>
      <c r="G13964">
        <f>IF(DATOS!$A13964="",0,IF(CONFIG_METADATA!$B$4&lt;&gt;"OR+EX",--(DATOS!$G13964=CONFIG_METADATA!$B$4),IF(DATOS!$G13964="EX",1,IF(DATOS!$G13964="OR",--(COUNTIFS(nNIA,DATOS!$A13964,nCURSO,DATOS!$D13964,nESPEC,DATOS!$E13964,nASIG,DATOS!$I13964,nEVAL,"EX")=0),0))))</f>
      </c>
      <c r="H13964">
        <f>IF(DATOS!$G13964&lt;&gt;"EX",0,--(COUNTIFS(nNIA,DATOS!$A13964,nCURSO,DATOS!$D13964,nESPEC,DATOS!$E13964,nASIG,DATOS!$I13964,nEVAL,"OR")=0))</f>
      </c>
      <c r="I13964">
        <f>IF(DATOS!$I13964="","",IFERROR(VLOOKUP(DATOS!$I13964,CONFIG_ASIGNATURAS!$B$2:$J$91,9,FALSE()),""))</f>
      </c>
    </row>
    <row r="13965">
      <c r="F13965">
        <f>IF(DATOS!$A13965="","",DATOS!$A13965&amp;"|"&amp;DATOS!$D13965&amp;"|"&amp;DATOS!$E13965&amp;"|"&amp;DATOS!$I13965)</f>
      </c>
      <c r="G13965">
        <f>IF(DATOS!$A13965="",0,IF(CONFIG_METADATA!$B$4&lt;&gt;"OR+EX",--(DATOS!$G13965=CONFIG_METADATA!$B$4),IF(DATOS!$G13965="EX",1,IF(DATOS!$G13965="OR",--(COUNTIFS(nNIA,DATOS!$A13965,nCURSO,DATOS!$D13965,nESPEC,DATOS!$E13965,nASIG,DATOS!$I13965,nEVAL,"EX")=0),0))))</f>
      </c>
      <c r="H13965">
        <f>IF(DATOS!$G13965&lt;&gt;"EX",0,--(COUNTIFS(nNIA,DATOS!$A13965,nCURSO,DATOS!$D13965,nESPEC,DATOS!$E13965,nASIG,DATOS!$I13965,nEVAL,"OR")=0))</f>
      </c>
      <c r="I13965">
        <f>IF(DATOS!$I13965="","",IFERROR(VLOOKUP(DATOS!$I13965,CONFIG_ASIGNATURAS!$B$2:$J$91,9,FALSE()),""))</f>
      </c>
    </row>
    <row r="13966">
      <c r="F13966">
        <f>IF(DATOS!$A13966="","",DATOS!$A13966&amp;"|"&amp;DATOS!$D13966&amp;"|"&amp;DATOS!$E13966&amp;"|"&amp;DATOS!$I13966)</f>
      </c>
      <c r="G13966">
        <f>IF(DATOS!$A13966="",0,IF(CONFIG_METADATA!$B$4&lt;&gt;"OR+EX",--(DATOS!$G13966=CONFIG_METADATA!$B$4),IF(DATOS!$G13966="EX",1,IF(DATOS!$G13966="OR",--(COUNTIFS(nNIA,DATOS!$A13966,nCURSO,DATOS!$D13966,nESPEC,DATOS!$E13966,nASIG,DATOS!$I13966,nEVAL,"EX")=0),0))))</f>
      </c>
      <c r="H13966">
        <f>IF(DATOS!$G13966&lt;&gt;"EX",0,--(COUNTIFS(nNIA,DATOS!$A13966,nCURSO,DATOS!$D13966,nESPEC,DATOS!$E13966,nASIG,DATOS!$I13966,nEVAL,"OR")=0))</f>
      </c>
      <c r="I13966">
        <f>IF(DATOS!$I13966="","",IFERROR(VLOOKUP(DATOS!$I13966,CONFIG_ASIGNATURAS!$B$2:$J$91,9,FALSE()),""))</f>
      </c>
    </row>
    <row r="13967">
      <c r="F13967">
        <f>IF(DATOS!$A13967="","",DATOS!$A13967&amp;"|"&amp;DATOS!$D13967&amp;"|"&amp;DATOS!$E13967&amp;"|"&amp;DATOS!$I13967)</f>
      </c>
      <c r="G13967">
        <f>IF(DATOS!$A13967="",0,IF(CONFIG_METADATA!$B$4&lt;&gt;"OR+EX",--(DATOS!$G13967=CONFIG_METADATA!$B$4),IF(DATOS!$G13967="EX",1,IF(DATOS!$G13967="OR",--(COUNTIFS(nNIA,DATOS!$A13967,nCURSO,DATOS!$D13967,nESPEC,DATOS!$E13967,nASIG,DATOS!$I13967,nEVAL,"EX")=0),0))))</f>
      </c>
      <c r="H13967">
        <f>IF(DATOS!$G13967&lt;&gt;"EX",0,--(COUNTIFS(nNIA,DATOS!$A13967,nCURSO,DATOS!$D13967,nESPEC,DATOS!$E13967,nASIG,DATOS!$I13967,nEVAL,"OR")=0))</f>
      </c>
      <c r="I13967">
        <f>IF(DATOS!$I13967="","",IFERROR(VLOOKUP(DATOS!$I13967,CONFIG_ASIGNATURAS!$B$2:$J$91,9,FALSE()),""))</f>
      </c>
    </row>
    <row r="13968">
      <c r="F13968">
        <f>IF(DATOS!$A13968="","",DATOS!$A13968&amp;"|"&amp;DATOS!$D13968&amp;"|"&amp;DATOS!$E13968&amp;"|"&amp;DATOS!$I13968)</f>
      </c>
      <c r="G13968">
        <f>IF(DATOS!$A13968="",0,IF(CONFIG_METADATA!$B$4&lt;&gt;"OR+EX",--(DATOS!$G13968=CONFIG_METADATA!$B$4),IF(DATOS!$G13968="EX",1,IF(DATOS!$G13968="OR",--(COUNTIFS(nNIA,DATOS!$A13968,nCURSO,DATOS!$D13968,nESPEC,DATOS!$E13968,nASIG,DATOS!$I13968,nEVAL,"EX")=0),0))))</f>
      </c>
      <c r="H13968">
        <f>IF(DATOS!$G13968&lt;&gt;"EX",0,--(COUNTIFS(nNIA,DATOS!$A13968,nCURSO,DATOS!$D13968,nESPEC,DATOS!$E13968,nASIG,DATOS!$I13968,nEVAL,"OR")=0))</f>
      </c>
      <c r="I13968">
        <f>IF(DATOS!$I13968="","",IFERROR(VLOOKUP(DATOS!$I13968,CONFIG_ASIGNATURAS!$B$2:$J$91,9,FALSE()),""))</f>
      </c>
    </row>
    <row r="13969">
      <c r="F13969">
        <f>IF(DATOS!$A13969="","",DATOS!$A13969&amp;"|"&amp;DATOS!$D13969&amp;"|"&amp;DATOS!$E13969&amp;"|"&amp;DATOS!$I13969)</f>
      </c>
      <c r="G13969">
        <f>IF(DATOS!$A13969="",0,IF(CONFIG_METADATA!$B$4&lt;&gt;"OR+EX",--(DATOS!$G13969=CONFIG_METADATA!$B$4),IF(DATOS!$G13969="EX",1,IF(DATOS!$G13969="OR",--(COUNTIFS(nNIA,DATOS!$A13969,nCURSO,DATOS!$D13969,nESPEC,DATOS!$E13969,nASIG,DATOS!$I13969,nEVAL,"EX")=0),0))))</f>
      </c>
      <c r="H13969">
        <f>IF(DATOS!$G13969&lt;&gt;"EX",0,--(COUNTIFS(nNIA,DATOS!$A13969,nCURSO,DATOS!$D13969,nESPEC,DATOS!$E13969,nASIG,DATOS!$I13969,nEVAL,"OR")=0))</f>
      </c>
      <c r="I13969">
        <f>IF(DATOS!$I13969="","",IFERROR(VLOOKUP(DATOS!$I13969,CONFIG_ASIGNATURAS!$B$2:$J$91,9,FALSE()),""))</f>
      </c>
    </row>
    <row r="13970">
      <c r="F13970">
        <f>IF(DATOS!$A13970="","",DATOS!$A13970&amp;"|"&amp;DATOS!$D13970&amp;"|"&amp;DATOS!$E13970&amp;"|"&amp;DATOS!$I13970)</f>
      </c>
      <c r="G13970">
        <f>IF(DATOS!$A13970="",0,IF(CONFIG_METADATA!$B$4&lt;&gt;"OR+EX",--(DATOS!$G13970=CONFIG_METADATA!$B$4),IF(DATOS!$G13970="EX",1,IF(DATOS!$G13970="OR",--(COUNTIFS(nNIA,DATOS!$A13970,nCURSO,DATOS!$D13970,nESPEC,DATOS!$E13970,nASIG,DATOS!$I13970,nEVAL,"EX")=0),0))))</f>
      </c>
      <c r="H13970">
        <f>IF(DATOS!$G13970&lt;&gt;"EX",0,--(COUNTIFS(nNIA,DATOS!$A13970,nCURSO,DATOS!$D13970,nESPEC,DATOS!$E13970,nASIG,DATOS!$I13970,nEVAL,"OR")=0))</f>
      </c>
      <c r="I13970">
        <f>IF(DATOS!$I13970="","",IFERROR(VLOOKUP(DATOS!$I13970,CONFIG_ASIGNATURAS!$B$2:$J$91,9,FALSE()),""))</f>
      </c>
    </row>
    <row r="13971">
      <c r="F13971">
        <f>IF(DATOS!$A13971="","",DATOS!$A13971&amp;"|"&amp;DATOS!$D13971&amp;"|"&amp;DATOS!$E13971&amp;"|"&amp;DATOS!$I13971)</f>
      </c>
      <c r="G13971">
        <f>IF(DATOS!$A13971="",0,IF(CONFIG_METADATA!$B$4&lt;&gt;"OR+EX",--(DATOS!$G13971=CONFIG_METADATA!$B$4),IF(DATOS!$G13971="EX",1,IF(DATOS!$G13971="OR",--(COUNTIFS(nNIA,DATOS!$A13971,nCURSO,DATOS!$D13971,nESPEC,DATOS!$E13971,nASIG,DATOS!$I13971,nEVAL,"EX")=0),0))))</f>
      </c>
      <c r="H13971">
        <f>IF(DATOS!$G13971&lt;&gt;"EX",0,--(COUNTIFS(nNIA,DATOS!$A13971,nCURSO,DATOS!$D13971,nESPEC,DATOS!$E13971,nASIG,DATOS!$I13971,nEVAL,"OR")=0))</f>
      </c>
      <c r="I13971">
        <f>IF(DATOS!$I13971="","",IFERROR(VLOOKUP(DATOS!$I13971,CONFIG_ASIGNATURAS!$B$2:$J$91,9,FALSE()),""))</f>
      </c>
    </row>
    <row r="13972">
      <c r="F13972">
        <f>IF(DATOS!$A13972="","",DATOS!$A13972&amp;"|"&amp;DATOS!$D13972&amp;"|"&amp;DATOS!$E13972&amp;"|"&amp;DATOS!$I13972)</f>
      </c>
      <c r="G13972">
        <f>IF(DATOS!$A13972="",0,IF(CONFIG_METADATA!$B$4&lt;&gt;"OR+EX",--(DATOS!$G13972=CONFIG_METADATA!$B$4),IF(DATOS!$G13972="EX",1,IF(DATOS!$G13972="OR",--(COUNTIFS(nNIA,DATOS!$A13972,nCURSO,DATOS!$D13972,nESPEC,DATOS!$E13972,nASIG,DATOS!$I13972,nEVAL,"EX")=0),0))))</f>
      </c>
      <c r="H13972">
        <f>IF(DATOS!$G13972&lt;&gt;"EX",0,--(COUNTIFS(nNIA,DATOS!$A13972,nCURSO,DATOS!$D13972,nESPEC,DATOS!$E13972,nASIG,DATOS!$I13972,nEVAL,"OR")=0))</f>
      </c>
      <c r="I13972">
        <f>IF(DATOS!$I13972="","",IFERROR(VLOOKUP(DATOS!$I13972,CONFIG_ASIGNATURAS!$B$2:$J$91,9,FALSE()),""))</f>
      </c>
    </row>
    <row r="13973">
      <c r="F13973">
        <f>IF(DATOS!$A13973="","",DATOS!$A13973&amp;"|"&amp;DATOS!$D13973&amp;"|"&amp;DATOS!$E13973&amp;"|"&amp;DATOS!$I13973)</f>
      </c>
      <c r="G13973">
        <f>IF(DATOS!$A13973="",0,IF(CONFIG_METADATA!$B$4&lt;&gt;"OR+EX",--(DATOS!$G13973=CONFIG_METADATA!$B$4),IF(DATOS!$G13973="EX",1,IF(DATOS!$G13973="OR",--(COUNTIFS(nNIA,DATOS!$A13973,nCURSO,DATOS!$D13973,nESPEC,DATOS!$E13973,nASIG,DATOS!$I13973,nEVAL,"EX")=0),0))))</f>
      </c>
      <c r="H13973">
        <f>IF(DATOS!$G13973&lt;&gt;"EX",0,--(COUNTIFS(nNIA,DATOS!$A13973,nCURSO,DATOS!$D13973,nESPEC,DATOS!$E13973,nASIG,DATOS!$I13973,nEVAL,"OR")=0))</f>
      </c>
      <c r="I13973">
        <f>IF(DATOS!$I13973="","",IFERROR(VLOOKUP(DATOS!$I13973,CONFIG_ASIGNATURAS!$B$2:$J$91,9,FALSE()),""))</f>
      </c>
    </row>
    <row r="13974">
      <c r="F13974">
        <f>IF(DATOS!$A13974="","",DATOS!$A13974&amp;"|"&amp;DATOS!$D13974&amp;"|"&amp;DATOS!$E13974&amp;"|"&amp;DATOS!$I13974)</f>
      </c>
      <c r="G13974">
        <f>IF(DATOS!$A13974="",0,IF(CONFIG_METADATA!$B$4&lt;&gt;"OR+EX",--(DATOS!$G13974=CONFIG_METADATA!$B$4),IF(DATOS!$G13974="EX",1,IF(DATOS!$G13974="OR",--(COUNTIFS(nNIA,DATOS!$A13974,nCURSO,DATOS!$D13974,nESPEC,DATOS!$E13974,nASIG,DATOS!$I13974,nEVAL,"EX")=0),0))))</f>
      </c>
      <c r="H13974">
        <f>IF(DATOS!$G13974&lt;&gt;"EX",0,--(COUNTIFS(nNIA,DATOS!$A13974,nCURSO,DATOS!$D13974,nESPEC,DATOS!$E13974,nASIG,DATOS!$I13974,nEVAL,"OR")=0))</f>
      </c>
      <c r="I13974">
        <f>IF(DATOS!$I13974="","",IFERROR(VLOOKUP(DATOS!$I13974,CONFIG_ASIGNATURAS!$B$2:$J$91,9,FALSE()),""))</f>
      </c>
    </row>
    <row r="13975">
      <c r="F13975">
        <f>IF(DATOS!$A13975="","",DATOS!$A13975&amp;"|"&amp;DATOS!$D13975&amp;"|"&amp;DATOS!$E13975&amp;"|"&amp;DATOS!$I13975)</f>
      </c>
      <c r="G13975">
        <f>IF(DATOS!$A13975="",0,IF(CONFIG_METADATA!$B$4&lt;&gt;"OR+EX",--(DATOS!$G13975=CONFIG_METADATA!$B$4),IF(DATOS!$G13975="EX",1,IF(DATOS!$G13975="OR",--(COUNTIFS(nNIA,DATOS!$A13975,nCURSO,DATOS!$D13975,nESPEC,DATOS!$E13975,nASIG,DATOS!$I13975,nEVAL,"EX")=0),0))))</f>
      </c>
      <c r="H13975">
        <f>IF(DATOS!$G13975&lt;&gt;"EX",0,--(COUNTIFS(nNIA,DATOS!$A13975,nCURSO,DATOS!$D13975,nESPEC,DATOS!$E13975,nASIG,DATOS!$I13975,nEVAL,"OR")=0))</f>
      </c>
      <c r="I13975">
        <f>IF(DATOS!$I13975="","",IFERROR(VLOOKUP(DATOS!$I13975,CONFIG_ASIGNATURAS!$B$2:$J$91,9,FALSE()),""))</f>
      </c>
    </row>
    <row r="13976">
      <c r="F13976">
        <f>IF(DATOS!$A13976="","",DATOS!$A13976&amp;"|"&amp;DATOS!$D13976&amp;"|"&amp;DATOS!$E13976&amp;"|"&amp;DATOS!$I13976)</f>
      </c>
      <c r="G13976">
        <f>IF(DATOS!$A13976="",0,IF(CONFIG_METADATA!$B$4&lt;&gt;"OR+EX",--(DATOS!$G13976=CONFIG_METADATA!$B$4),IF(DATOS!$G13976="EX",1,IF(DATOS!$G13976="OR",--(COUNTIFS(nNIA,DATOS!$A13976,nCURSO,DATOS!$D13976,nESPEC,DATOS!$E13976,nASIG,DATOS!$I13976,nEVAL,"EX")=0),0))))</f>
      </c>
      <c r="H13976">
        <f>IF(DATOS!$G13976&lt;&gt;"EX",0,--(COUNTIFS(nNIA,DATOS!$A13976,nCURSO,DATOS!$D13976,nESPEC,DATOS!$E13976,nASIG,DATOS!$I13976,nEVAL,"OR")=0))</f>
      </c>
      <c r="I13976">
        <f>IF(DATOS!$I13976="","",IFERROR(VLOOKUP(DATOS!$I13976,CONFIG_ASIGNATURAS!$B$2:$J$91,9,FALSE()),""))</f>
      </c>
    </row>
    <row r="13977">
      <c r="F13977">
        <f>IF(DATOS!$A13977="","",DATOS!$A13977&amp;"|"&amp;DATOS!$D13977&amp;"|"&amp;DATOS!$E13977&amp;"|"&amp;DATOS!$I13977)</f>
      </c>
      <c r="G13977">
        <f>IF(DATOS!$A13977="",0,IF(CONFIG_METADATA!$B$4&lt;&gt;"OR+EX",--(DATOS!$G13977=CONFIG_METADATA!$B$4),IF(DATOS!$G13977="EX",1,IF(DATOS!$G13977="OR",--(COUNTIFS(nNIA,DATOS!$A13977,nCURSO,DATOS!$D13977,nESPEC,DATOS!$E13977,nASIG,DATOS!$I13977,nEVAL,"EX")=0),0))))</f>
      </c>
      <c r="H13977">
        <f>IF(DATOS!$G13977&lt;&gt;"EX",0,--(COUNTIFS(nNIA,DATOS!$A13977,nCURSO,DATOS!$D13977,nESPEC,DATOS!$E13977,nASIG,DATOS!$I13977,nEVAL,"OR")=0))</f>
      </c>
      <c r="I13977">
        <f>IF(DATOS!$I13977="","",IFERROR(VLOOKUP(DATOS!$I13977,CONFIG_ASIGNATURAS!$B$2:$J$91,9,FALSE()),""))</f>
      </c>
    </row>
    <row r="13978">
      <c r="F13978">
        <f>IF(DATOS!$A13978="","",DATOS!$A13978&amp;"|"&amp;DATOS!$D13978&amp;"|"&amp;DATOS!$E13978&amp;"|"&amp;DATOS!$I13978)</f>
      </c>
      <c r="G13978">
        <f>IF(DATOS!$A13978="",0,IF(CONFIG_METADATA!$B$4&lt;&gt;"OR+EX",--(DATOS!$G13978=CONFIG_METADATA!$B$4),IF(DATOS!$G13978="EX",1,IF(DATOS!$G13978="OR",--(COUNTIFS(nNIA,DATOS!$A13978,nCURSO,DATOS!$D13978,nESPEC,DATOS!$E13978,nASIG,DATOS!$I13978,nEVAL,"EX")=0),0))))</f>
      </c>
      <c r="H13978">
        <f>IF(DATOS!$G13978&lt;&gt;"EX",0,--(COUNTIFS(nNIA,DATOS!$A13978,nCURSO,DATOS!$D13978,nESPEC,DATOS!$E13978,nASIG,DATOS!$I13978,nEVAL,"OR")=0))</f>
      </c>
      <c r="I13978">
        <f>IF(DATOS!$I13978="","",IFERROR(VLOOKUP(DATOS!$I13978,CONFIG_ASIGNATURAS!$B$2:$J$91,9,FALSE()),""))</f>
      </c>
    </row>
    <row r="13979">
      <c r="F13979">
        <f>IF(DATOS!$A13979="","",DATOS!$A13979&amp;"|"&amp;DATOS!$D13979&amp;"|"&amp;DATOS!$E13979&amp;"|"&amp;DATOS!$I13979)</f>
      </c>
      <c r="G13979">
        <f>IF(DATOS!$A13979="",0,IF(CONFIG_METADATA!$B$4&lt;&gt;"OR+EX",--(DATOS!$G13979=CONFIG_METADATA!$B$4),IF(DATOS!$G13979="EX",1,IF(DATOS!$G13979="OR",--(COUNTIFS(nNIA,DATOS!$A13979,nCURSO,DATOS!$D13979,nESPEC,DATOS!$E13979,nASIG,DATOS!$I13979,nEVAL,"EX")=0),0))))</f>
      </c>
      <c r="H13979">
        <f>IF(DATOS!$G13979&lt;&gt;"EX",0,--(COUNTIFS(nNIA,DATOS!$A13979,nCURSO,DATOS!$D13979,nESPEC,DATOS!$E13979,nASIG,DATOS!$I13979,nEVAL,"OR")=0))</f>
      </c>
      <c r="I13979">
        <f>IF(DATOS!$I13979="","",IFERROR(VLOOKUP(DATOS!$I13979,CONFIG_ASIGNATURAS!$B$2:$J$91,9,FALSE()),""))</f>
      </c>
    </row>
    <row r="13980">
      <c r="F13980">
        <f>IF(DATOS!$A13980="","",DATOS!$A13980&amp;"|"&amp;DATOS!$D13980&amp;"|"&amp;DATOS!$E13980&amp;"|"&amp;DATOS!$I13980)</f>
      </c>
      <c r="G13980">
        <f>IF(DATOS!$A13980="",0,IF(CONFIG_METADATA!$B$4&lt;&gt;"OR+EX",--(DATOS!$G13980=CONFIG_METADATA!$B$4),IF(DATOS!$G13980="EX",1,IF(DATOS!$G13980="OR",--(COUNTIFS(nNIA,DATOS!$A13980,nCURSO,DATOS!$D13980,nESPEC,DATOS!$E13980,nASIG,DATOS!$I13980,nEVAL,"EX")=0),0))))</f>
      </c>
      <c r="H13980">
        <f>IF(DATOS!$G13980&lt;&gt;"EX",0,--(COUNTIFS(nNIA,DATOS!$A13980,nCURSO,DATOS!$D13980,nESPEC,DATOS!$E13980,nASIG,DATOS!$I13980,nEVAL,"OR")=0))</f>
      </c>
      <c r="I13980">
        <f>IF(DATOS!$I13980="","",IFERROR(VLOOKUP(DATOS!$I13980,CONFIG_ASIGNATURAS!$B$2:$J$91,9,FALSE()),""))</f>
      </c>
    </row>
    <row r="13981">
      <c r="F13981">
        <f>IF(DATOS!$A13981="","",DATOS!$A13981&amp;"|"&amp;DATOS!$D13981&amp;"|"&amp;DATOS!$E13981&amp;"|"&amp;DATOS!$I13981)</f>
      </c>
      <c r="G13981">
        <f>IF(DATOS!$A13981="",0,IF(CONFIG_METADATA!$B$4&lt;&gt;"OR+EX",--(DATOS!$G13981=CONFIG_METADATA!$B$4),IF(DATOS!$G13981="EX",1,IF(DATOS!$G13981="OR",--(COUNTIFS(nNIA,DATOS!$A13981,nCURSO,DATOS!$D13981,nESPEC,DATOS!$E13981,nASIG,DATOS!$I13981,nEVAL,"EX")=0),0))))</f>
      </c>
      <c r="H13981">
        <f>IF(DATOS!$G13981&lt;&gt;"EX",0,--(COUNTIFS(nNIA,DATOS!$A13981,nCURSO,DATOS!$D13981,nESPEC,DATOS!$E13981,nASIG,DATOS!$I13981,nEVAL,"OR")=0))</f>
      </c>
      <c r="I13981">
        <f>IF(DATOS!$I13981="","",IFERROR(VLOOKUP(DATOS!$I13981,CONFIG_ASIGNATURAS!$B$2:$J$91,9,FALSE()),""))</f>
      </c>
    </row>
    <row r="13982">
      <c r="F13982">
        <f>IF(DATOS!$A13982="","",DATOS!$A13982&amp;"|"&amp;DATOS!$D13982&amp;"|"&amp;DATOS!$E13982&amp;"|"&amp;DATOS!$I13982)</f>
      </c>
      <c r="G13982">
        <f>IF(DATOS!$A13982="",0,IF(CONFIG_METADATA!$B$4&lt;&gt;"OR+EX",--(DATOS!$G13982=CONFIG_METADATA!$B$4),IF(DATOS!$G13982="EX",1,IF(DATOS!$G13982="OR",--(COUNTIFS(nNIA,DATOS!$A13982,nCURSO,DATOS!$D13982,nESPEC,DATOS!$E13982,nASIG,DATOS!$I13982,nEVAL,"EX")=0),0))))</f>
      </c>
      <c r="H13982">
        <f>IF(DATOS!$G13982&lt;&gt;"EX",0,--(COUNTIFS(nNIA,DATOS!$A13982,nCURSO,DATOS!$D13982,nESPEC,DATOS!$E13982,nASIG,DATOS!$I13982,nEVAL,"OR")=0))</f>
      </c>
      <c r="I13982">
        <f>IF(DATOS!$I13982="","",IFERROR(VLOOKUP(DATOS!$I13982,CONFIG_ASIGNATURAS!$B$2:$J$91,9,FALSE()),""))</f>
      </c>
    </row>
    <row r="13983">
      <c r="F13983">
        <f>IF(DATOS!$A13983="","",DATOS!$A13983&amp;"|"&amp;DATOS!$D13983&amp;"|"&amp;DATOS!$E13983&amp;"|"&amp;DATOS!$I13983)</f>
      </c>
      <c r="G13983">
        <f>IF(DATOS!$A13983="",0,IF(CONFIG_METADATA!$B$4&lt;&gt;"OR+EX",--(DATOS!$G13983=CONFIG_METADATA!$B$4),IF(DATOS!$G13983="EX",1,IF(DATOS!$G13983="OR",--(COUNTIFS(nNIA,DATOS!$A13983,nCURSO,DATOS!$D13983,nESPEC,DATOS!$E13983,nASIG,DATOS!$I13983,nEVAL,"EX")=0),0))))</f>
      </c>
      <c r="H13983">
        <f>IF(DATOS!$G13983&lt;&gt;"EX",0,--(COUNTIFS(nNIA,DATOS!$A13983,nCURSO,DATOS!$D13983,nESPEC,DATOS!$E13983,nASIG,DATOS!$I13983,nEVAL,"OR")=0))</f>
      </c>
      <c r="I13983">
        <f>IF(DATOS!$I13983="","",IFERROR(VLOOKUP(DATOS!$I13983,CONFIG_ASIGNATURAS!$B$2:$J$91,9,FALSE()),""))</f>
      </c>
    </row>
    <row r="13984">
      <c r="F13984">
        <f>IF(DATOS!$A13984="","",DATOS!$A13984&amp;"|"&amp;DATOS!$D13984&amp;"|"&amp;DATOS!$E13984&amp;"|"&amp;DATOS!$I13984)</f>
      </c>
      <c r="G13984">
        <f>IF(DATOS!$A13984="",0,IF(CONFIG_METADATA!$B$4&lt;&gt;"OR+EX",--(DATOS!$G13984=CONFIG_METADATA!$B$4),IF(DATOS!$G13984="EX",1,IF(DATOS!$G13984="OR",--(COUNTIFS(nNIA,DATOS!$A13984,nCURSO,DATOS!$D13984,nESPEC,DATOS!$E13984,nASIG,DATOS!$I13984,nEVAL,"EX")=0),0))))</f>
      </c>
      <c r="H13984">
        <f>IF(DATOS!$G13984&lt;&gt;"EX",0,--(COUNTIFS(nNIA,DATOS!$A13984,nCURSO,DATOS!$D13984,nESPEC,DATOS!$E13984,nASIG,DATOS!$I13984,nEVAL,"OR")=0))</f>
      </c>
      <c r="I13984">
        <f>IF(DATOS!$I13984="","",IFERROR(VLOOKUP(DATOS!$I13984,CONFIG_ASIGNATURAS!$B$2:$J$91,9,FALSE()),""))</f>
      </c>
    </row>
    <row r="13985">
      <c r="F13985">
        <f>IF(DATOS!$A13985="","",DATOS!$A13985&amp;"|"&amp;DATOS!$D13985&amp;"|"&amp;DATOS!$E13985&amp;"|"&amp;DATOS!$I13985)</f>
      </c>
      <c r="G13985">
        <f>IF(DATOS!$A13985="",0,IF(CONFIG_METADATA!$B$4&lt;&gt;"OR+EX",--(DATOS!$G13985=CONFIG_METADATA!$B$4),IF(DATOS!$G13985="EX",1,IF(DATOS!$G13985="OR",--(COUNTIFS(nNIA,DATOS!$A13985,nCURSO,DATOS!$D13985,nESPEC,DATOS!$E13985,nASIG,DATOS!$I13985,nEVAL,"EX")=0),0))))</f>
      </c>
      <c r="H13985">
        <f>IF(DATOS!$G13985&lt;&gt;"EX",0,--(COUNTIFS(nNIA,DATOS!$A13985,nCURSO,DATOS!$D13985,nESPEC,DATOS!$E13985,nASIG,DATOS!$I13985,nEVAL,"OR")=0))</f>
      </c>
      <c r="I13985">
        <f>IF(DATOS!$I13985="","",IFERROR(VLOOKUP(DATOS!$I13985,CONFIG_ASIGNATURAS!$B$2:$J$91,9,FALSE()),""))</f>
      </c>
    </row>
    <row r="13986">
      <c r="F13986">
        <f>IF(DATOS!$A13986="","",DATOS!$A13986&amp;"|"&amp;DATOS!$D13986&amp;"|"&amp;DATOS!$E13986&amp;"|"&amp;DATOS!$I13986)</f>
      </c>
      <c r="G13986">
        <f>IF(DATOS!$A13986="",0,IF(CONFIG_METADATA!$B$4&lt;&gt;"OR+EX",--(DATOS!$G13986=CONFIG_METADATA!$B$4),IF(DATOS!$G13986="EX",1,IF(DATOS!$G13986="OR",--(COUNTIFS(nNIA,DATOS!$A13986,nCURSO,DATOS!$D13986,nESPEC,DATOS!$E13986,nASIG,DATOS!$I13986,nEVAL,"EX")=0),0))))</f>
      </c>
      <c r="H13986">
        <f>IF(DATOS!$G13986&lt;&gt;"EX",0,--(COUNTIFS(nNIA,DATOS!$A13986,nCURSO,DATOS!$D13986,nESPEC,DATOS!$E13986,nASIG,DATOS!$I13986,nEVAL,"OR")=0))</f>
      </c>
      <c r="I13986">
        <f>IF(DATOS!$I13986="","",IFERROR(VLOOKUP(DATOS!$I13986,CONFIG_ASIGNATURAS!$B$2:$J$91,9,FALSE()),""))</f>
      </c>
    </row>
    <row r="13987">
      <c r="F13987">
        <f>IF(DATOS!$A13987="","",DATOS!$A13987&amp;"|"&amp;DATOS!$D13987&amp;"|"&amp;DATOS!$E13987&amp;"|"&amp;DATOS!$I13987)</f>
      </c>
      <c r="G13987">
        <f>IF(DATOS!$A13987="",0,IF(CONFIG_METADATA!$B$4&lt;&gt;"OR+EX",--(DATOS!$G13987=CONFIG_METADATA!$B$4),IF(DATOS!$G13987="EX",1,IF(DATOS!$G13987="OR",--(COUNTIFS(nNIA,DATOS!$A13987,nCURSO,DATOS!$D13987,nESPEC,DATOS!$E13987,nASIG,DATOS!$I13987,nEVAL,"EX")=0),0))))</f>
      </c>
      <c r="H13987">
        <f>IF(DATOS!$G13987&lt;&gt;"EX",0,--(COUNTIFS(nNIA,DATOS!$A13987,nCURSO,DATOS!$D13987,nESPEC,DATOS!$E13987,nASIG,DATOS!$I13987,nEVAL,"OR")=0))</f>
      </c>
      <c r="I13987">
        <f>IF(DATOS!$I13987="","",IFERROR(VLOOKUP(DATOS!$I13987,CONFIG_ASIGNATURAS!$B$2:$J$91,9,FALSE()),""))</f>
      </c>
    </row>
    <row r="13988">
      <c r="F13988">
        <f>IF(DATOS!$A13988="","",DATOS!$A13988&amp;"|"&amp;DATOS!$D13988&amp;"|"&amp;DATOS!$E13988&amp;"|"&amp;DATOS!$I13988)</f>
      </c>
      <c r="G13988">
        <f>IF(DATOS!$A13988="",0,IF(CONFIG_METADATA!$B$4&lt;&gt;"OR+EX",--(DATOS!$G13988=CONFIG_METADATA!$B$4),IF(DATOS!$G13988="EX",1,IF(DATOS!$G13988="OR",--(COUNTIFS(nNIA,DATOS!$A13988,nCURSO,DATOS!$D13988,nESPEC,DATOS!$E13988,nASIG,DATOS!$I13988,nEVAL,"EX")=0),0))))</f>
      </c>
      <c r="H13988">
        <f>IF(DATOS!$G13988&lt;&gt;"EX",0,--(COUNTIFS(nNIA,DATOS!$A13988,nCURSO,DATOS!$D13988,nESPEC,DATOS!$E13988,nASIG,DATOS!$I13988,nEVAL,"OR")=0))</f>
      </c>
      <c r="I13988">
        <f>IF(DATOS!$I13988="","",IFERROR(VLOOKUP(DATOS!$I13988,CONFIG_ASIGNATURAS!$B$2:$J$91,9,FALSE()),""))</f>
      </c>
    </row>
    <row r="13989">
      <c r="F13989">
        <f>IF(DATOS!$A13989="","",DATOS!$A13989&amp;"|"&amp;DATOS!$D13989&amp;"|"&amp;DATOS!$E13989&amp;"|"&amp;DATOS!$I13989)</f>
      </c>
      <c r="G13989">
        <f>IF(DATOS!$A13989="",0,IF(CONFIG_METADATA!$B$4&lt;&gt;"OR+EX",--(DATOS!$G13989=CONFIG_METADATA!$B$4),IF(DATOS!$G13989="EX",1,IF(DATOS!$G13989="OR",--(COUNTIFS(nNIA,DATOS!$A13989,nCURSO,DATOS!$D13989,nESPEC,DATOS!$E13989,nASIG,DATOS!$I13989,nEVAL,"EX")=0),0))))</f>
      </c>
      <c r="H13989">
        <f>IF(DATOS!$G13989&lt;&gt;"EX",0,--(COUNTIFS(nNIA,DATOS!$A13989,nCURSO,DATOS!$D13989,nESPEC,DATOS!$E13989,nASIG,DATOS!$I13989,nEVAL,"OR")=0))</f>
      </c>
      <c r="I13989">
        <f>IF(DATOS!$I13989="","",IFERROR(VLOOKUP(DATOS!$I13989,CONFIG_ASIGNATURAS!$B$2:$J$91,9,FALSE()),""))</f>
      </c>
    </row>
    <row r="13990">
      <c r="F13990">
        <f>IF(DATOS!$A13990="","",DATOS!$A13990&amp;"|"&amp;DATOS!$D13990&amp;"|"&amp;DATOS!$E13990&amp;"|"&amp;DATOS!$I13990)</f>
      </c>
      <c r="G13990">
        <f>IF(DATOS!$A13990="",0,IF(CONFIG_METADATA!$B$4&lt;&gt;"OR+EX",--(DATOS!$G13990=CONFIG_METADATA!$B$4),IF(DATOS!$G13990="EX",1,IF(DATOS!$G13990="OR",--(COUNTIFS(nNIA,DATOS!$A13990,nCURSO,DATOS!$D13990,nESPEC,DATOS!$E13990,nASIG,DATOS!$I13990,nEVAL,"EX")=0),0))))</f>
      </c>
      <c r="H13990">
        <f>IF(DATOS!$G13990&lt;&gt;"EX",0,--(COUNTIFS(nNIA,DATOS!$A13990,nCURSO,DATOS!$D13990,nESPEC,DATOS!$E13990,nASIG,DATOS!$I13990,nEVAL,"OR")=0))</f>
      </c>
      <c r="I13990">
        <f>IF(DATOS!$I13990="","",IFERROR(VLOOKUP(DATOS!$I13990,CONFIG_ASIGNATURAS!$B$2:$J$91,9,FALSE()),""))</f>
      </c>
    </row>
    <row r="13991">
      <c r="F13991">
        <f>IF(DATOS!$A13991="","",DATOS!$A13991&amp;"|"&amp;DATOS!$D13991&amp;"|"&amp;DATOS!$E13991&amp;"|"&amp;DATOS!$I13991)</f>
      </c>
      <c r="G13991">
        <f>IF(DATOS!$A13991="",0,IF(CONFIG_METADATA!$B$4&lt;&gt;"OR+EX",--(DATOS!$G13991=CONFIG_METADATA!$B$4),IF(DATOS!$G13991="EX",1,IF(DATOS!$G13991="OR",--(COUNTIFS(nNIA,DATOS!$A13991,nCURSO,DATOS!$D13991,nESPEC,DATOS!$E13991,nASIG,DATOS!$I13991,nEVAL,"EX")=0),0))))</f>
      </c>
      <c r="H13991">
        <f>IF(DATOS!$G13991&lt;&gt;"EX",0,--(COUNTIFS(nNIA,DATOS!$A13991,nCURSO,DATOS!$D13991,nESPEC,DATOS!$E13991,nASIG,DATOS!$I13991,nEVAL,"OR")=0))</f>
      </c>
      <c r="I13991">
        <f>IF(DATOS!$I13991="","",IFERROR(VLOOKUP(DATOS!$I13991,CONFIG_ASIGNATURAS!$B$2:$J$91,9,FALSE()),""))</f>
      </c>
    </row>
    <row r="13992">
      <c r="F13992">
        <f>IF(DATOS!$A13992="","",DATOS!$A13992&amp;"|"&amp;DATOS!$D13992&amp;"|"&amp;DATOS!$E13992&amp;"|"&amp;DATOS!$I13992)</f>
      </c>
      <c r="G13992">
        <f>IF(DATOS!$A13992="",0,IF(CONFIG_METADATA!$B$4&lt;&gt;"OR+EX",--(DATOS!$G13992=CONFIG_METADATA!$B$4),IF(DATOS!$G13992="EX",1,IF(DATOS!$G13992="OR",--(COUNTIFS(nNIA,DATOS!$A13992,nCURSO,DATOS!$D13992,nESPEC,DATOS!$E13992,nASIG,DATOS!$I13992,nEVAL,"EX")=0),0))))</f>
      </c>
      <c r="H13992">
        <f>IF(DATOS!$G13992&lt;&gt;"EX",0,--(COUNTIFS(nNIA,DATOS!$A13992,nCURSO,DATOS!$D13992,nESPEC,DATOS!$E13992,nASIG,DATOS!$I13992,nEVAL,"OR")=0))</f>
      </c>
      <c r="I13992">
        <f>IF(DATOS!$I13992="","",IFERROR(VLOOKUP(DATOS!$I13992,CONFIG_ASIGNATURAS!$B$2:$J$91,9,FALSE()),""))</f>
      </c>
    </row>
    <row r="13993">
      <c r="F13993">
        <f>IF(DATOS!$A13993="","",DATOS!$A13993&amp;"|"&amp;DATOS!$D13993&amp;"|"&amp;DATOS!$E13993&amp;"|"&amp;DATOS!$I13993)</f>
      </c>
      <c r="G13993">
        <f>IF(DATOS!$A13993="",0,IF(CONFIG_METADATA!$B$4&lt;&gt;"OR+EX",--(DATOS!$G13993=CONFIG_METADATA!$B$4),IF(DATOS!$G13993="EX",1,IF(DATOS!$G13993="OR",--(COUNTIFS(nNIA,DATOS!$A13993,nCURSO,DATOS!$D13993,nESPEC,DATOS!$E13993,nASIG,DATOS!$I13993,nEVAL,"EX")=0),0))))</f>
      </c>
      <c r="H13993">
        <f>IF(DATOS!$G13993&lt;&gt;"EX",0,--(COUNTIFS(nNIA,DATOS!$A13993,nCURSO,DATOS!$D13993,nESPEC,DATOS!$E13993,nASIG,DATOS!$I13993,nEVAL,"OR")=0))</f>
      </c>
      <c r="I13993">
        <f>IF(DATOS!$I13993="","",IFERROR(VLOOKUP(DATOS!$I13993,CONFIG_ASIGNATURAS!$B$2:$J$91,9,FALSE()),""))</f>
      </c>
    </row>
    <row r="13994">
      <c r="F13994">
        <f>IF(DATOS!$A13994="","",DATOS!$A13994&amp;"|"&amp;DATOS!$D13994&amp;"|"&amp;DATOS!$E13994&amp;"|"&amp;DATOS!$I13994)</f>
      </c>
      <c r="G13994">
        <f>IF(DATOS!$A13994="",0,IF(CONFIG_METADATA!$B$4&lt;&gt;"OR+EX",--(DATOS!$G13994=CONFIG_METADATA!$B$4),IF(DATOS!$G13994="EX",1,IF(DATOS!$G13994="OR",--(COUNTIFS(nNIA,DATOS!$A13994,nCURSO,DATOS!$D13994,nESPEC,DATOS!$E13994,nASIG,DATOS!$I13994,nEVAL,"EX")=0),0))))</f>
      </c>
      <c r="H13994">
        <f>IF(DATOS!$G13994&lt;&gt;"EX",0,--(COUNTIFS(nNIA,DATOS!$A13994,nCURSO,DATOS!$D13994,nESPEC,DATOS!$E13994,nASIG,DATOS!$I13994,nEVAL,"OR")=0))</f>
      </c>
      <c r="I13994">
        <f>IF(DATOS!$I13994="","",IFERROR(VLOOKUP(DATOS!$I13994,CONFIG_ASIGNATURAS!$B$2:$J$91,9,FALSE()),""))</f>
      </c>
    </row>
    <row r="13995">
      <c r="F13995">
        <f>IF(DATOS!$A13995="","",DATOS!$A13995&amp;"|"&amp;DATOS!$D13995&amp;"|"&amp;DATOS!$E13995&amp;"|"&amp;DATOS!$I13995)</f>
      </c>
      <c r="G13995">
        <f>IF(DATOS!$A13995="",0,IF(CONFIG_METADATA!$B$4&lt;&gt;"OR+EX",--(DATOS!$G13995=CONFIG_METADATA!$B$4),IF(DATOS!$G13995="EX",1,IF(DATOS!$G13995="OR",--(COUNTIFS(nNIA,DATOS!$A13995,nCURSO,DATOS!$D13995,nESPEC,DATOS!$E13995,nASIG,DATOS!$I13995,nEVAL,"EX")=0),0))))</f>
      </c>
      <c r="H13995">
        <f>IF(DATOS!$G13995&lt;&gt;"EX",0,--(COUNTIFS(nNIA,DATOS!$A13995,nCURSO,DATOS!$D13995,nESPEC,DATOS!$E13995,nASIG,DATOS!$I13995,nEVAL,"OR")=0))</f>
      </c>
      <c r="I13995">
        <f>IF(DATOS!$I13995="","",IFERROR(VLOOKUP(DATOS!$I13995,CONFIG_ASIGNATURAS!$B$2:$J$91,9,FALSE()),""))</f>
      </c>
    </row>
    <row r="13996">
      <c r="F13996">
        <f>IF(DATOS!$A13996="","",DATOS!$A13996&amp;"|"&amp;DATOS!$D13996&amp;"|"&amp;DATOS!$E13996&amp;"|"&amp;DATOS!$I13996)</f>
      </c>
      <c r="G13996">
        <f>IF(DATOS!$A13996="",0,IF(CONFIG_METADATA!$B$4&lt;&gt;"OR+EX",--(DATOS!$G13996=CONFIG_METADATA!$B$4),IF(DATOS!$G13996="EX",1,IF(DATOS!$G13996="OR",--(COUNTIFS(nNIA,DATOS!$A13996,nCURSO,DATOS!$D13996,nESPEC,DATOS!$E13996,nASIG,DATOS!$I13996,nEVAL,"EX")=0),0))))</f>
      </c>
      <c r="H13996">
        <f>IF(DATOS!$G13996&lt;&gt;"EX",0,--(COUNTIFS(nNIA,DATOS!$A13996,nCURSO,DATOS!$D13996,nESPEC,DATOS!$E13996,nASIG,DATOS!$I13996,nEVAL,"OR")=0))</f>
      </c>
      <c r="I13996">
        <f>IF(DATOS!$I13996="","",IFERROR(VLOOKUP(DATOS!$I13996,CONFIG_ASIGNATURAS!$B$2:$J$91,9,FALSE()),""))</f>
      </c>
    </row>
    <row r="13997">
      <c r="F13997">
        <f>IF(DATOS!$A13997="","",DATOS!$A13997&amp;"|"&amp;DATOS!$D13997&amp;"|"&amp;DATOS!$E13997&amp;"|"&amp;DATOS!$I13997)</f>
      </c>
      <c r="G13997">
        <f>IF(DATOS!$A13997="",0,IF(CONFIG_METADATA!$B$4&lt;&gt;"OR+EX",--(DATOS!$G13997=CONFIG_METADATA!$B$4),IF(DATOS!$G13997="EX",1,IF(DATOS!$G13997="OR",--(COUNTIFS(nNIA,DATOS!$A13997,nCURSO,DATOS!$D13997,nESPEC,DATOS!$E13997,nASIG,DATOS!$I13997,nEVAL,"EX")=0),0))))</f>
      </c>
      <c r="H13997">
        <f>IF(DATOS!$G13997&lt;&gt;"EX",0,--(COUNTIFS(nNIA,DATOS!$A13997,nCURSO,DATOS!$D13997,nESPEC,DATOS!$E13997,nASIG,DATOS!$I13997,nEVAL,"OR")=0))</f>
      </c>
      <c r="I13997">
        <f>IF(DATOS!$I13997="","",IFERROR(VLOOKUP(DATOS!$I13997,CONFIG_ASIGNATURAS!$B$2:$J$91,9,FALSE()),""))</f>
      </c>
    </row>
    <row r="13998">
      <c r="F13998">
        <f>IF(DATOS!$A13998="","",DATOS!$A13998&amp;"|"&amp;DATOS!$D13998&amp;"|"&amp;DATOS!$E13998&amp;"|"&amp;DATOS!$I13998)</f>
      </c>
      <c r="G13998">
        <f>IF(DATOS!$A13998="",0,IF(CONFIG_METADATA!$B$4&lt;&gt;"OR+EX",--(DATOS!$G13998=CONFIG_METADATA!$B$4),IF(DATOS!$G13998="EX",1,IF(DATOS!$G13998="OR",--(COUNTIFS(nNIA,DATOS!$A13998,nCURSO,DATOS!$D13998,nESPEC,DATOS!$E13998,nASIG,DATOS!$I13998,nEVAL,"EX")=0),0))))</f>
      </c>
      <c r="H13998">
        <f>IF(DATOS!$G13998&lt;&gt;"EX",0,--(COUNTIFS(nNIA,DATOS!$A13998,nCURSO,DATOS!$D13998,nESPEC,DATOS!$E13998,nASIG,DATOS!$I13998,nEVAL,"OR")=0))</f>
      </c>
      <c r="I13998">
        <f>IF(DATOS!$I13998="","",IFERROR(VLOOKUP(DATOS!$I13998,CONFIG_ASIGNATURAS!$B$2:$J$91,9,FALSE()),""))</f>
      </c>
    </row>
    <row r="13999">
      <c r="F13999">
        <f>IF(DATOS!$A13999="","",DATOS!$A13999&amp;"|"&amp;DATOS!$D13999&amp;"|"&amp;DATOS!$E13999&amp;"|"&amp;DATOS!$I13999)</f>
      </c>
      <c r="G13999">
        <f>IF(DATOS!$A13999="",0,IF(CONFIG_METADATA!$B$4&lt;&gt;"OR+EX",--(DATOS!$G13999=CONFIG_METADATA!$B$4),IF(DATOS!$G13999="EX",1,IF(DATOS!$G13999="OR",--(COUNTIFS(nNIA,DATOS!$A13999,nCURSO,DATOS!$D13999,nESPEC,DATOS!$E13999,nASIG,DATOS!$I13999,nEVAL,"EX")=0),0))))</f>
      </c>
      <c r="H13999">
        <f>IF(DATOS!$G13999&lt;&gt;"EX",0,--(COUNTIFS(nNIA,DATOS!$A13999,nCURSO,DATOS!$D13999,nESPEC,DATOS!$E13999,nASIG,DATOS!$I13999,nEVAL,"OR")=0))</f>
      </c>
      <c r="I13999">
        <f>IF(DATOS!$I13999="","",IFERROR(VLOOKUP(DATOS!$I13999,CONFIG_ASIGNATURAS!$B$2:$J$91,9,FALSE()),""))</f>
      </c>
    </row>
    <row r="14000">
      <c r="F14000">
        <f>IF(DATOS!$A14000="","",DATOS!$A14000&amp;"|"&amp;DATOS!$D14000&amp;"|"&amp;DATOS!$E14000&amp;"|"&amp;DATOS!$I14000)</f>
      </c>
      <c r="G14000">
        <f>IF(DATOS!$A14000="",0,IF(CONFIG_METADATA!$B$4&lt;&gt;"OR+EX",--(DATOS!$G14000=CONFIG_METADATA!$B$4),IF(DATOS!$G14000="EX",1,IF(DATOS!$G14000="OR",--(COUNTIFS(nNIA,DATOS!$A14000,nCURSO,DATOS!$D14000,nESPEC,DATOS!$E14000,nASIG,DATOS!$I14000,nEVAL,"EX")=0),0))))</f>
      </c>
      <c r="H14000">
        <f>IF(DATOS!$G14000&lt;&gt;"EX",0,--(COUNTIFS(nNIA,DATOS!$A14000,nCURSO,DATOS!$D14000,nESPEC,DATOS!$E14000,nASIG,DATOS!$I14000,nEVAL,"OR")=0))</f>
      </c>
      <c r="I14000">
        <f>IF(DATOS!$I14000="","",IFERROR(VLOOKUP(DATOS!$I14000,CONFIG_ASIGNATURAS!$B$2:$J$91,9,FALSE()),""))</f>
      </c>
    </row>
    <row r="14001">
      <c r="F14001">
        <f>IF(DATOS!$A14001="","",DATOS!$A14001&amp;"|"&amp;DATOS!$D14001&amp;"|"&amp;DATOS!$E14001&amp;"|"&amp;DATOS!$I14001)</f>
      </c>
      <c r="G14001">
        <f>IF(DATOS!$A14001="",0,IF(CONFIG_METADATA!$B$4&lt;&gt;"OR+EX",--(DATOS!$G14001=CONFIG_METADATA!$B$4),IF(DATOS!$G14001="EX",1,IF(DATOS!$G14001="OR",--(COUNTIFS(nNIA,DATOS!$A14001,nCURSO,DATOS!$D14001,nESPEC,DATOS!$E14001,nASIG,DATOS!$I14001,nEVAL,"EX")=0),0))))</f>
      </c>
      <c r="H14001">
        <f>IF(DATOS!$G14001&lt;&gt;"EX",0,--(COUNTIFS(nNIA,DATOS!$A14001,nCURSO,DATOS!$D14001,nESPEC,DATOS!$E14001,nASIG,DATOS!$I14001,nEVAL,"OR")=0))</f>
      </c>
      <c r="I14001">
        <f>IF(DATOS!$I14001="","",IFERROR(VLOOKUP(DATOS!$I14001,CONFIG_ASIGNATURAS!$B$2:$J$91,9,FALSE()),""))</f>
      </c>
    </row>
    <row r="14002">
      <c r="F14002">
        <f>IF(DATOS!$A14002="","",DATOS!$A14002&amp;"|"&amp;DATOS!$D14002&amp;"|"&amp;DATOS!$E14002&amp;"|"&amp;DATOS!$I14002)</f>
      </c>
      <c r="G14002">
        <f>IF(DATOS!$A14002="",0,IF(CONFIG_METADATA!$B$4&lt;&gt;"OR+EX",--(DATOS!$G14002=CONFIG_METADATA!$B$4),IF(DATOS!$G14002="EX",1,IF(DATOS!$G14002="OR",--(COUNTIFS(nNIA,DATOS!$A14002,nCURSO,DATOS!$D14002,nESPEC,DATOS!$E14002,nASIG,DATOS!$I14002,nEVAL,"EX")=0),0))))</f>
      </c>
      <c r="H14002">
        <f>IF(DATOS!$G14002&lt;&gt;"EX",0,--(COUNTIFS(nNIA,DATOS!$A14002,nCURSO,DATOS!$D14002,nESPEC,DATOS!$E14002,nASIG,DATOS!$I14002,nEVAL,"OR")=0))</f>
      </c>
      <c r="I14002">
        <f>IF(DATOS!$I14002="","",IFERROR(VLOOKUP(DATOS!$I14002,CONFIG_ASIGNATURAS!$B$2:$J$91,9,FALSE()),""))</f>
      </c>
    </row>
    <row r="14003">
      <c r="F14003">
        <f>IF(DATOS!$A14003="","",DATOS!$A14003&amp;"|"&amp;DATOS!$D14003&amp;"|"&amp;DATOS!$E14003&amp;"|"&amp;DATOS!$I14003)</f>
      </c>
      <c r="G14003">
        <f>IF(DATOS!$A14003="",0,IF(CONFIG_METADATA!$B$4&lt;&gt;"OR+EX",--(DATOS!$G14003=CONFIG_METADATA!$B$4),IF(DATOS!$G14003="EX",1,IF(DATOS!$G14003="OR",--(COUNTIFS(nNIA,DATOS!$A14003,nCURSO,DATOS!$D14003,nESPEC,DATOS!$E14003,nASIG,DATOS!$I14003,nEVAL,"EX")=0),0))))</f>
      </c>
      <c r="H14003">
        <f>IF(DATOS!$G14003&lt;&gt;"EX",0,--(COUNTIFS(nNIA,DATOS!$A14003,nCURSO,DATOS!$D14003,nESPEC,DATOS!$E14003,nASIG,DATOS!$I14003,nEVAL,"OR")=0))</f>
      </c>
      <c r="I14003">
        <f>IF(DATOS!$I14003="","",IFERROR(VLOOKUP(DATOS!$I14003,CONFIG_ASIGNATURAS!$B$2:$J$91,9,FALSE()),""))</f>
      </c>
    </row>
    <row r="14004">
      <c r="F14004">
        <f>IF(DATOS!$A14004="","",DATOS!$A14004&amp;"|"&amp;DATOS!$D14004&amp;"|"&amp;DATOS!$E14004&amp;"|"&amp;DATOS!$I14004)</f>
      </c>
      <c r="G14004">
        <f>IF(DATOS!$A14004="",0,IF(CONFIG_METADATA!$B$4&lt;&gt;"OR+EX",--(DATOS!$G14004=CONFIG_METADATA!$B$4),IF(DATOS!$G14004="EX",1,IF(DATOS!$G14004="OR",--(COUNTIFS(nNIA,DATOS!$A14004,nCURSO,DATOS!$D14004,nESPEC,DATOS!$E14004,nASIG,DATOS!$I14004,nEVAL,"EX")=0),0))))</f>
      </c>
      <c r="H14004">
        <f>IF(DATOS!$G14004&lt;&gt;"EX",0,--(COUNTIFS(nNIA,DATOS!$A14004,nCURSO,DATOS!$D14004,nESPEC,DATOS!$E14004,nASIG,DATOS!$I14004,nEVAL,"OR")=0))</f>
      </c>
      <c r="I14004">
        <f>IF(DATOS!$I14004="","",IFERROR(VLOOKUP(DATOS!$I14004,CONFIG_ASIGNATURAS!$B$2:$J$91,9,FALSE()),""))</f>
      </c>
    </row>
    <row r="14005">
      <c r="F14005">
        <f>IF(DATOS!$A14005="","",DATOS!$A14005&amp;"|"&amp;DATOS!$D14005&amp;"|"&amp;DATOS!$E14005&amp;"|"&amp;DATOS!$I14005)</f>
      </c>
      <c r="G14005">
        <f>IF(DATOS!$A14005="",0,IF(CONFIG_METADATA!$B$4&lt;&gt;"OR+EX",--(DATOS!$G14005=CONFIG_METADATA!$B$4),IF(DATOS!$G14005="EX",1,IF(DATOS!$G14005="OR",--(COUNTIFS(nNIA,DATOS!$A14005,nCURSO,DATOS!$D14005,nESPEC,DATOS!$E14005,nASIG,DATOS!$I14005,nEVAL,"EX")=0),0))))</f>
      </c>
      <c r="H14005">
        <f>IF(DATOS!$G14005&lt;&gt;"EX",0,--(COUNTIFS(nNIA,DATOS!$A14005,nCURSO,DATOS!$D14005,nESPEC,DATOS!$E14005,nASIG,DATOS!$I14005,nEVAL,"OR")=0))</f>
      </c>
      <c r="I14005">
        <f>IF(DATOS!$I14005="","",IFERROR(VLOOKUP(DATOS!$I14005,CONFIG_ASIGNATURAS!$B$2:$J$91,9,FALSE()),""))</f>
      </c>
    </row>
    <row r="14006">
      <c r="F14006">
        <f>IF(DATOS!$A14006="","",DATOS!$A14006&amp;"|"&amp;DATOS!$D14006&amp;"|"&amp;DATOS!$E14006&amp;"|"&amp;DATOS!$I14006)</f>
      </c>
      <c r="G14006">
        <f>IF(DATOS!$A14006="",0,IF(CONFIG_METADATA!$B$4&lt;&gt;"OR+EX",--(DATOS!$G14006=CONFIG_METADATA!$B$4),IF(DATOS!$G14006="EX",1,IF(DATOS!$G14006="OR",--(COUNTIFS(nNIA,DATOS!$A14006,nCURSO,DATOS!$D14006,nESPEC,DATOS!$E14006,nASIG,DATOS!$I14006,nEVAL,"EX")=0),0))))</f>
      </c>
      <c r="H14006">
        <f>IF(DATOS!$G14006&lt;&gt;"EX",0,--(COUNTIFS(nNIA,DATOS!$A14006,nCURSO,DATOS!$D14006,nESPEC,DATOS!$E14006,nASIG,DATOS!$I14006,nEVAL,"OR")=0))</f>
      </c>
      <c r="I14006">
        <f>IF(DATOS!$I14006="","",IFERROR(VLOOKUP(DATOS!$I14006,CONFIG_ASIGNATURAS!$B$2:$J$91,9,FALSE()),""))</f>
      </c>
    </row>
    <row r="14007">
      <c r="F14007">
        <f>IF(DATOS!$A14007="","",DATOS!$A14007&amp;"|"&amp;DATOS!$D14007&amp;"|"&amp;DATOS!$E14007&amp;"|"&amp;DATOS!$I14007)</f>
      </c>
      <c r="G14007">
        <f>IF(DATOS!$A14007="",0,IF(CONFIG_METADATA!$B$4&lt;&gt;"OR+EX",--(DATOS!$G14007=CONFIG_METADATA!$B$4),IF(DATOS!$G14007="EX",1,IF(DATOS!$G14007="OR",--(COUNTIFS(nNIA,DATOS!$A14007,nCURSO,DATOS!$D14007,nESPEC,DATOS!$E14007,nASIG,DATOS!$I14007,nEVAL,"EX")=0),0))))</f>
      </c>
      <c r="H14007">
        <f>IF(DATOS!$G14007&lt;&gt;"EX",0,--(COUNTIFS(nNIA,DATOS!$A14007,nCURSO,DATOS!$D14007,nESPEC,DATOS!$E14007,nASIG,DATOS!$I14007,nEVAL,"OR")=0))</f>
      </c>
      <c r="I14007">
        <f>IF(DATOS!$I14007="","",IFERROR(VLOOKUP(DATOS!$I14007,CONFIG_ASIGNATURAS!$B$2:$J$91,9,FALSE()),""))</f>
      </c>
    </row>
    <row r="14008">
      <c r="F14008">
        <f>IF(DATOS!$A14008="","",DATOS!$A14008&amp;"|"&amp;DATOS!$D14008&amp;"|"&amp;DATOS!$E14008&amp;"|"&amp;DATOS!$I14008)</f>
      </c>
      <c r="G14008">
        <f>IF(DATOS!$A14008="",0,IF(CONFIG_METADATA!$B$4&lt;&gt;"OR+EX",--(DATOS!$G14008=CONFIG_METADATA!$B$4),IF(DATOS!$G14008="EX",1,IF(DATOS!$G14008="OR",--(COUNTIFS(nNIA,DATOS!$A14008,nCURSO,DATOS!$D14008,nESPEC,DATOS!$E14008,nASIG,DATOS!$I14008,nEVAL,"EX")=0),0))))</f>
      </c>
      <c r="H14008">
        <f>IF(DATOS!$G14008&lt;&gt;"EX",0,--(COUNTIFS(nNIA,DATOS!$A14008,nCURSO,DATOS!$D14008,nESPEC,DATOS!$E14008,nASIG,DATOS!$I14008,nEVAL,"OR")=0))</f>
      </c>
      <c r="I14008">
        <f>IF(DATOS!$I14008="","",IFERROR(VLOOKUP(DATOS!$I14008,CONFIG_ASIGNATURAS!$B$2:$J$91,9,FALSE()),""))</f>
      </c>
    </row>
    <row r="14009">
      <c r="F14009">
        <f>IF(DATOS!$A14009="","",DATOS!$A14009&amp;"|"&amp;DATOS!$D14009&amp;"|"&amp;DATOS!$E14009&amp;"|"&amp;DATOS!$I14009)</f>
      </c>
      <c r="G14009">
        <f>IF(DATOS!$A14009="",0,IF(CONFIG_METADATA!$B$4&lt;&gt;"OR+EX",--(DATOS!$G14009=CONFIG_METADATA!$B$4),IF(DATOS!$G14009="EX",1,IF(DATOS!$G14009="OR",--(COUNTIFS(nNIA,DATOS!$A14009,nCURSO,DATOS!$D14009,nESPEC,DATOS!$E14009,nASIG,DATOS!$I14009,nEVAL,"EX")=0),0))))</f>
      </c>
      <c r="H14009">
        <f>IF(DATOS!$G14009&lt;&gt;"EX",0,--(COUNTIFS(nNIA,DATOS!$A14009,nCURSO,DATOS!$D14009,nESPEC,DATOS!$E14009,nASIG,DATOS!$I14009,nEVAL,"OR")=0))</f>
      </c>
      <c r="I14009">
        <f>IF(DATOS!$I14009="","",IFERROR(VLOOKUP(DATOS!$I14009,CONFIG_ASIGNATURAS!$B$2:$J$91,9,FALSE()),""))</f>
      </c>
    </row>
    <row r="14010">
      <c r="F14010">
        <f>IF(DATOS!$A14010="","",DATOS!$A14010&amp;"|"&amp;DATOS!$D14010&amp;"|"&amp;DATOS!$E14010&amp;"|"&amp;DATOS!$I14010)</f>
      </c>
      <c r="G14010">
        <f>IF(DATOS!$A14010="",0,IF(CONFIG_METADATA!$B$4&lt;&gt;"OR+EX",--(DATOS!$G14010=CONFIG_METADATA!$B$4),IF(DATOS!$G14010="EX",1,IF(DATOS!$G14010="OR",--(COUNTIFS(nNIA,DATOS!$A14010,nCURSO,DATOS!$D14010,nESPEC,DATOS!$E14010,nASIG,DATOS!$I14010,nEVAL,"EX")=0),0))))</f>
      </c>
      <c r="H14010">
        <f>IF(DATOS!$G14010&lt;&gt;"EX",0,--(COUNTIFS(nNIA,DATOS!$A14010,nCURSO,DATOS!$D14010,nESPEC,DATOS!$E14010,nASIG,DATOS!$I14010,nEVAL,"OR")=0))</f>
      </c>
      <c r="I14010">
        <f>IF(DATOS!$I14010="","",IFERROR(VLOOKUP(DATOS!$I14010,CONFIG_ASIGNATURAS!$B$2:$J$91,9,FALSE()),""))</f>
      </c>
    </row>
    <row r="14011">
      <c r="F14011">
        <f>IF(DATOS!$A14011="","",DATOS!$A14011&amp;"|"&amp;DATOS!$D14011&amp;"|"&amp;DATOS!$E14011&amp;"|"&amp;DATOS!$I14011)</f>
      </c>
      <c r="G14011">
        <f>IF(DATOS!$A14011="",0,IF(CONFIG_METADATA!$B$4&lt;&gt;"OR+EX",--(DATOS!$G14011=CONFIG_METADATA!$B$4),IF(DATOS!$G14011="EX",1,IF(DATOS!$G14011="OR",--(COUNTIFS(nNIA,DATOS!$A14011,nCURSO,DATOS!$D14011,nESPEC,DATOS!$E14011,nASIG,DATOS!$I14011,nEVAL,"EX")=0),0))))</f>
      </c>
      <c r="H14011">
        <f>IF(DATOS!$G14011&lt;&gt;"EX",0,--(COUNTIFS(nNIA,DATOS!$A14011,nCURSO,DATOS!$D14011,nESPEC,DATOS!$E14011,nASIG,DATOS!$I14011,nEVAL,"OR")=0))</f>
      </c>
      <c r="I14011">
        <f>IF(DATOS!$I14011="","",IFERROR(VLOOKUP(DATOS!$I14011,CONFIG_ASIGNATURAS!$B$2:$J$91,9,FALSE()),""))</f>
      </c>
    </row>
    <row r="14012">
      <c r="F14012">
        <f>IF(DATOS!$A14012="","",DATOS!$A14012&amp;"|"&amp;DATOS!$D14012&amp;"|"&amp;DATOS!$E14012&amp;"|"&amp;DATOS!$I14012)</f>
      </c>
      <c r="G14012">
        <f>IF(DATOS!$A14012="",0,IF(CONFIG_METADATA!$B$4&lt;&gt;"OR+EX",--(DATOS!$G14012=CONFIG_METADATA!$B$4),IF(DATOS!$G14012="EX",1,IF(DATOS!$G14012="OR",--(COUNTIFS(nNIA,DATOS!$A14012,nCURSO,DATOS!$D14012,nESPEC,DATOS!$E14012,nASIG,DATOS!$I14012,nEVAL,"EX")=0),0))))</f>
      </c>
      <c r="H14012">
        <f>IF(DATOS!$G14012&lt;&gt;"EX",0,--(COUNTIFS(nNIA,DATOS!$A14012,nCURSO,DATOS!$D14012,nESPEC,DATOS!$E14012,nASIG,DATOS!$I14012,nEVAL,"OR")=0))</f>
      </c>
      <c r="I14012">
        <f>IF(DATOS!$I14012="","",IFERROR(VLOOKUP(DATOS!$I14012,CONFIG_ASIGNATURAS!$B$2:$J$91,9,FALSE()),""))</f>
      </c>
    </row>
    <row r="14013">
      <c r="F14013">
        <f>IF(DATOS!$A14013="","",DATOS!$A14013&amp;"|"&amp;DATOS!$D14013&amp;"|"&amp;DATOS!$E14013&amp;"|"&amp;DATOS!$I14013)</f>
      </c>
      <c r="G14013">
        <f>IF(DATOS!$A14013="",0,IF(CONFIG_METADATA!$B$4&lt;&gt;"OR+EX",--(DATOS!$G14013=CONFIG_METADATA!$B$4),IF(DATOS!$G14013="EX",1,IF(DATOS!$G14013="OR",--(COUNTIFS(nNIA,DATOS!$A14013,nCURSO,DATOS!$D14013,nESPEC,DATOS!$E14013,nASIG,DATOS!$I14013,nEVAL,"EX")=0),0))))</f>
      </c>
      <c r="H14013">
        <f>IF(DATOS!$G14013&lt;&gt;"EX",0,--(COUNTIFS(nNIA,DATOS!$A14013,nCURSO,DATOS!$D14013,nESPEC,DATOS!$E14013,nASIG,DATOS!$I14013,nEVAL,"OR")=0))</f>
      </c>
      <c r="I14013">
        <f>IF(DATOS!$I14013="","",IFERROR(VLOOKUP(DATOS!$I14013,CONFIG_ASIGNATURAS!$B$2:$J$91,9,FALSE()),""))</f>
      </c>
    </row>
    <row r="14014">
      <c r="F14014">
        <f>IF(DATOS!$A14014="","",DATOS!$A14014&amp;"|"&amp;DATOS!$D14014&amp;"|"&amp;DATOS!$E14014&amp;"|"&amp;DATOS!$I14014)</f>
      </c>
      <c r="G14014">
        <f>IF(DATOS!$A14014="",0,IF(CONFIG_METADATA!$B$4&lt;&gt;"OR+EX",--(DATOS!$G14014=CONFIG_METADATA!$B$4),IF(DATOS!$G14014="EX",1,IF(DATOS!$G14014="OR",--(COUNTIFS(nNIA,DATOS!$A14014,nCURSO,DATOS!$D14014,nESPEC,DATOS!$E14014,nASIG,DATOS!$I14014,nEVAL,"EX")=0),0))))</f>
      </c>
      <c r="H14014">
        <f>IF(DATOS!$G14014&lt;&gt;"EX",0,--(COUNTIFS(nNIA,DATOS!$A14014,nCURSO,DATOS!$D14014,nESPEC,DATOS!$E14014,nASIG,DATOS!$I14014,nEVAL,"OR")=0))</f>
      </c>
      <c r="I14014">
        <f>IF(DATOS!$I14014="","",IFERROR(VLOOKUP(DATOS!$I14014,CONFIG_ASIGNATURAS!$B$2:$J$91,9,FALSE()),""))</f>
      </c>
    </row>
    <row r="14015">
      <c r="F14015">
        <f>IF(DATOS!$A14015="","",DATOS!$A14015&amp;"|"&amp;DATOS!$D14015&amp;"|"&amp;DATOS!$E14015&amp;"|"&amp;DATOS!$I14015)</f>
      </c>
      <c r="G14015">
        <f>IF(DATOS!$A14015="",0,IF(CONFIG_METADATA!$B$4&lt;&gt;"OR+EX",--(DATOS!$G14015=CONFIG_METADATA!$B$4),IF(DATOS!$G14015="EX",1,IF(DATOS!$G14015="OR",--(COUNTIFS(nNIA,DATOS!$A14015,nCURSO,DATOS!$D14015,nESPEC,DATOS!$E14015,nASIG,DATOS!$I14015,nEVAL,"EX")=0),0))))</f>
      </c>
      <c r="H14015">
        <f>IF(DATOS!$G14015&lt;&gt;"EX",0,--(COUNTIFS(nNIA,DATOS!$A14015,nCURSO,DATOS!$D14015,nESPEC,DATOS!$E14015,nASIG,DATOS!$I14015,nEVAL,"OR")=0))</f>
      </c>
      <c r="I14015">
        <f>IF(DATOS!$I14015="","",IFERROR(VLOOKUP(DATOS!$I14015,CONFIG_ASIGNATURAS!$B$2:$J$91,9,FALSE()),""))</f>
      </c>
    </row>
    <row r="14016">
      <c r="F14016">
        <f>IF(DATOS!$A14016="","",DATOS!$A14016&amp;"|"&amp;DATOS!$D14016&amp;"|"&amp;DATOS!$E14016&amp;"|"&amp;DATOS!$I14016)</f>
      </c>
      <c r="G14016">
        <f>IF(DATOS!$A14016="",0,IF(CONFIG_METADATA!$B$4&lt;&gt;"OR+EX",--(DATOS!$G14016=CONFIG_METADATA!$B$4),IF(DATOS!$G14016="EX",1,IF(DATOS!$G14016="OR",--(COUNTIFS(nNIA,DATOS!$A14016,nCURSO,DATOS!$D14016,nESPEC,DATOS!$E14016,nASIG,DATOS!$I14016,nEVAL,"EX")=0),0))))</f>
      </c>
      <c r="H14016">
        <f>IF(DATOS!$G14016&lt;&gt;"EX",0,--(COUNTIFS(nNIA,DATOS!$A14016,nCURSO,DATOS!$D14016,nESPEC,DATOS!$E14016,nASIG,DATOS!$I14016,nEVAL,"OR")=0))</f>
      </c>
      <c r="I14016">
        <f>IF(DATOS!$I14016="","",IFERROR(VLOOKUP(DATOS!$I14016,CONFIG_ASIGNATURAS!$B$2:$J$91,9,FALSE()),""))</f>
      </c>
    </row>
    <row r="14017">
      <c r="F14017">
        <f>IF(DATOS!$A14017="","",DATOS!$A14017&amp;"|"&amp;DATOS!$D14017&amp;"|"&amp;DATOS!$E14017&amp;"|"&amp;DATOS!$I14017)</f>
      </c>
      <c r="G14017">
        <f>IF(DATOS!$A14017="",0,IF(CONFIG_METADATA!$B$4&lt;&gt;"OR+EX",--(DATOS!$G14017=CONFIG_METADATA!$B$4),IF(DATOS!$G14017="EX",1,IF(DATOS!$G14017="OR",--(COUNTIFS(nNIA,DATOS!$A14017,nCURSO,DATOS!$D14017,nESPEC,DATOS!$E14017,nASIG,DATOS!$I14017,nEVAL,"EX")=0),0))))</f>
      </c>
      <c r="H14017">
        <f>IF(DATOS!$G14017&lt;&gt;"EX",0,--(COUNTIFS(nNIA,DATOS!$A14017,nCURSO,DATOS!$D14017,nESPEC,DATOS!$E14017,nASIG,DATOS!$I14017,nEVAL,"OR")=0))</f>
      </c>
      <c r="I14017">
        <f>IF(DATOS!$I14017="","",IFERROR(VLOOKUP(DATOS!$I14017,CONFIG_ASIGNATURAS!$B$2:$J$91,9,FALSE()),""))</f>
      </c>
    </row>
    <row r="14018">
      <c r="F14018">
        <f>IF(DATOS!$A14018="","",DATOS!$A14018&amp;"|"&amp;DATOS!$D14018&amp;"|"&amp;DATOS!$E14018&amp;"|"&amp;DATOS!$I14018)</f>
      </c>
      <c r="G14018">
        <f>IF(DATOS!$A14018="",0,IF(CONFIG_METADATA!$B$4&lt;&gt;"OR+EX",--(DATOS!$G14018=CONFIG_METADATA!$B$4),IF(DATOS!$G14018="EX",1,IF(DATOS!$G14018="OR",--(COUNTIFS(nNIA,DATOS!$A14018,nCURSO,DATOS!$D14018,nESPEC,DATOS!$E14018,nASIG,DATOS!$I14018,nEVAL,"EX")=0),0))))</f>
      </c>
      <c r="H14018">
        <f>IF(DATOS!$G14018&lt;&gt;"EX",0,--(COUNTIFS(nNIA,DATOS!$A14018,nCURSO,DATOS!$D14018,nESPEC,DATOS!$E14018,nASIG,DATOS!$I14018,nEVAL,"OR")=0))</f>
      </c>
      <c r="I14018">
        <f>IF(DATOS!$I14018="","",IFERROR(VLOOKUP(DATOS!$I14018,CONFIG_ASIGNATURAS!$B$2:$J$91,9,FALSE()),""))</f>
      </c>
    </row>
    <row r="14019">
      <c r="F14019">
        <f>IF(DATOS!$A14019="","",DATOS!$A14019&amp;"|"&amp;DATOS!$D14019&amp;"|"&amp;DATOS!$E14019&amp;"|"&amp;DATOS!$I14019)</f>
      </c>
      <c r="G14019">
        <f>IF(DATOS!$A14019="",0,IF(CONFIG_METADATA!$B$4&lt;&gt;"OR+EX",--(DATOS!$G14019=CONFIG_METADATA!$B$4),IF(DATOS!$G14019="EX",1,IF(DATOS!$G14019="OR",--(COUNTIFS(nNIA,DATOS!$A14019,nCURSO,DATOS!$D14019,nESPEC,DATOS!$E14019,nASIG,DATOS!$I14019,nEVAL,"EX")=0),0))))</f>
      </c>
      <c r="H14019">
        <f>IF(DATOS!$G14019&lt;&gt;"EX",0,--(COUNTIFS(nNIA,DATOS!$A14019,nCURSO,DATOS!$D14019,nESPEC,DATOS!$E14019,nASIG,DATOS!$I14019,nEVAL,"OR")=0))</f>
      </c>
      <c r="I14019">
        <f>IF(DATOS!$I14019="","",IFERROR(VLOOKUP(DATOS!$I14019,CONFIG_ASIGNATURAS!$B$2:$J$91,9,FALSE()),""))</f>
      </c>
    </row>
    <row r="14020">
      <c r="F14020">
        <f>IF(DATOS!$A14020="","",DATOS!$A14020&amp;"|"&amp;DATOS!$D14020&amp;"|"&amp;DATOS!$E14020&amp;"|"&amp;DATOS!$I14020)</f>
      </c>
      <c r="G14020">
        <f>IF(DATOS!$A14020="",0,IF(CONFIG_METADATA!$B$4&lt;&gt;"OR+EX",--(DATOS!$G14020=CONFIG_METADATA!$B$4),IF(DATOS!$G14020="EX",1,IF(DATOS!$G14020="OR",--(COUNTIFS(nNIA,DATOS!$A14020,nCURSO,DATOS!$D14020,nESPEC,DATOS!$E14020,nASIG,DATOS!$I14020,nEVAL,"EX")=0),0))))</f>
      </c>
      <c r="H14020">
        <f>IF(DATOS!$G14020&lt;&gt;"EX",0,--(COUNTIFS(nNIA,DATOS!$A14020,nCURSO,DATOS!$D14020,nESPEC,DATOS!$E14020,nASIG,DATOS!$I14020,nEVAL,"OR")=0))</f>
      </c>
      <c r="I14020">
        <f>IF(DATOS!$I14020="","",IFERROR(VLOOKUP(DATOS!$I14020,CONFIG_ASIGNATURAS!$B$2:$J$91,9,FALSE()),""))</f>
      </c>
    </row>
    <row r="14021">
      <c r="F14021">
        <f>IF(DATOS!$A14021="","",DATOS!$A14021&amp;"|"&amp;DATOS!$D14021&amp;"|"&amp;DATOS!$E14021&amp;"|"&amp;DATOS!$I14021)</f>
      </c>
      <c r="G14021">
        <f>IF(DATOS!$A14021="",0,IF(CONFIG_METADATA!$B$4&lt;&gt;"OR+EX",--(DATOS!$G14021=CONFIG_METADATA!$B$4),IF(DATOS!$G14021="EX",1,IF(DATOS!$G14021="OR",--(COUNTIFS(nNIA,DATOS!$A14021,nCURSO,DATOS!$D14021,nESPEC,DATOS!$E14021,nASIG,DATOS!$I14021,nEVAL,"EX")=0),0))))</f>
      </c>
      <c r="H14021">
        <f>IF(DATOS!$G14021&lt;&gt;"EX",0,--(COUNTIFS(nNIA,DATOS!$A14021,nCURSO,DATOS!$D14021,nESPEC,DATOS!$E14021,nASIG,DATOS!$I14021,nEVAL,"OR")=0))</f>
      </c>
      <c r="I14021">
        <f>IF(DATOS!$I14021="","",IFERROR(VLOOKUP(DATOS!$I14021,CONFIG_ASIGNATURAS!$B$2:$J$91,9,FALSE()),""))</f>
      </c>
    </row>
    <row r="14022">
      <c r="F14022">
        <f>IF(DATOS!$A14022="","",DATOS!$A14022&amp;"|"&amp;DATOS!$D14022&amp;"|"&amp;DATOS!$E14022&amp;"|"&amp;DATOS!$I14022)</f>
      </c>
      <c r="G14022">
        <f>IF(DATOS!$A14022="",0,IF(CONFIG_METADATA!$B$4&lt;&gt;"OR+EX",--(DATOS!$G14022=CONFIG_METADATA!$B$4),IF(DATOS!$G14022="EX",1,IF(DATOS!$G14022="OR",--(COUNTIFS(nNIA,DATOS!$A14022,nCURSO,DATOS!$D14022,nESPEC,DATOS!$E14022,nASIG,DATOS!$I14022,nEVAL,"EX")=0),0))))</f>
      </c>
      <c r="H14022">
        <f>IF(DATOS!$G14022&lt;&gt;"EX",0,--(COUNTIFS(nNIA,DATOS!$A14022,nCURSO,DATOS!$D14022,nESPEC,DATOS!$E14022,nASIG,DATOS!$I14022,nEVAL,"OR")=0))</f>
      </c>
      <c r="I14022">
        <f>IF(DATOS!$I14022="","",IFERROR(VLOOKUP(DATOS!$I14022,CONFIG_ASIGNATURAS!$B$2:$J$91,9,FALSE()),""))</f>
      </c>
    </row>
    <row r="14023">
      <c r="F14023">
        <f>IF(DATOS!$A14023="","",DATOS!$A14023&amp;"|"&amp;DATOS!$D14023&amp;"|"&amp;DATOS!$E14023&amp;"|"&amp;DATOS!$I14023)</f>
      </c>
      <c r="G14023">
        <f>IF(DATOS!$A14023="",0,IF(CONFIG_METADATA!$B$4&lt;&gt;"OR+EX",--(DATOS!$G14023=CONFIG_METADATA!$B$4),IF(DATOS!$G14023="EX",1,IF(DATOS!$G14023="OR",--(COUNTIFS(nNIA,DATOS!$A14023,nCURSO,DATOS!$D14023,nESPEC,DATOS!$E14023,nASIG,DATOS!$I14023,nEVAL,"EX")=0),0))))</f>
      </c>
      <c r="H14023">
        <f>IF(DATOS!$G14023&lt;&gt;"EX",0,--(COUNTIFS(nNIA,DATOS!$A14023,nCURSO,DATOS!$D14023,nESPEC,DATOS!$E14023,nASIG,DATOS!$I14023,nEVAL,"OR")=0))</f>
      </c>
      <c r="I14023">
        <f>IF(DATOS!$I14023="","",IFERROR(VLOOKUP(DATOS!$I14023,CONFIG_ASIGNATURAS!$B$2:$J$91,9,FALSE()),""))</f>
      </c>
    </row>
    <row r="14024">
      <c r="F14024">
        <f>IF(DATOS!$A14024="","",DATOS!$A14024&amp;"|"&amp;DATOS!$D14024&amp;"|"&amp;DATOS!$E14024&amp;"|"&amp;DATOS!$I14024)</f>
      </c>
      <c r="G14024">
        <f>IF(DATOS!$A14024="",0,IF(CONFIG_METADATA!$B$4&lt;&gt;"OR+EX",--(DATOS!$G14024=CONFIG_METADATA!$B$4),IF(DATOS!$G14024="EX",1,IF(DATOS!$G14024="OR",--(COUNTIFS(nNIA,DATOS!$A14024,nCURSO,DATOS!$D14024,nESPEC,DATOS!$E14024,nASIG,DATOS!$I14024,nEVAL,"EX")=0),0))))</f>
      </c>
      <c r="H14024">
        <f>IF(DATOS!$G14024&lt;&gt;"EX",0,--(COUNTIFS(nNIA,DATOS!$A14024,nCURSO,DATOS!$D14024,nESPEC,DATOS!$E14024,nASIG,DATOS!$I14024,nEVAL,"OR")=0))</f>
      </c>
      <c r="I14024">
        <f>IF(DATOS!$I14024="","",IFERROR(VLOOKUP(DATOS!$I14024,CONFIG_ASIGNATURAS!$B$2:$J$91,9,FALSE()),""))</f>
      </c>
    </row>
    <row r="14025">
      <c r="F14025">
        <f>IF(DATOS!$A14025="","",DATOS!$A14025&amp;"|"&amp;DATOS!$D14025&amp;"|"&amp;DATOS!$E14025&amp;"|"&amp;DATOS!$I14025)</f>
      </c>
      <c r="G14025">
        <f>IF(DATOS!$A14025="",0,IF(CONFIG_METADATA!$B$4&lt;&gt;"OR+EX",--(DATOS!$G14025=CONFIG_METADATA!$B$4),IF(DATOS!$G14025="EX",1,IF(DATOS!$G14025="OR",--(COUNTIFS(nNIA,DATOS!$A14025,nCURSO,DATOS!$D14025,nESPEC,DATOS!$E14025,nASIG,DATOS!$I14025,nEVAL,"EX")=0),0))))</f>
      </c>
      <c r="H14025">
        <f>IF(DATOS!$G14025&lt;&gt;"EX",0,--(COUNTIFS(nNIA,DATOS!$A14025,nCURSO,DATOS!$D14025,nESPEC,DATOS!$E14025,nASIG,DATOS!$I14025,nEVAL,"OR")=0))</f>
      </c>
      <c r="I14025">
        <f>IF(DATOS!$I14025="","",IFERROR(VLOOKUP(DATOS!$I14025,CONFIG_ASIGNATURAS!$B$2:$J$91,9,FALSE()),""))</f>
      </c>
    </row>
    <row r="14026">
      <c r="F14026">
        <f>IF(DATOS!$A14026="","",DATOS!$A14026&amp;"|"&amp;DATOS!$D14026&amp;"|"&amp;DATOS!$E14026&amp;"|"&amp;DATOS!$I14026)</f>
      </c>
      <c r="G14026">
        <f>IF(DATOS!$A14026="",0,IF(CONFIG_METADATA!$B$4&lt;&gt;"OR+EX",--(DATOS!$G14026=CONFIG_METADATA!$B$4),IF(DATOS!$G14026="EX",1,IF(DATOS!$G14026="OR",--(COUNTIFS(nNIA,DATOS!$A14026,nCURSO,DATOS!$D14026,nESPEC,DATOS!$E14026,nASIG,DATOS!$I14026,nEVAL,"EX")=0),0))))</f>
      </c>
      <c r="H14026">
        <f>IF(DATOS!$G14026&lt;&gt;"EX",0,--(COUNTIFS(nNIA,DATOS!$A14026,nCURSO,DATOS!$D14026,nESPEC,DATOS!$E14026,nASIG,DATOS!$I14026,nEVAL,"OR")=0))</f>
      </c>
      <c r="I14026">
        <f>IF(DATOS!$I14026="","",IFERROR(VLOOKUP(DATOS!$I14026,CONFIG_ASIGNATURAS!$B$2:$J$91,9,FALSE()),""))</f>
      </c>
    </row>
    <row r="14027">
      <c r="F14027">
        <f>IF(DATOS!$A14027="","",DATOS!$A14027&amp;"|"&amp;DATOS!$D14027&amp;"|"&amp;DATOS!$E14027&amp;"|"&amp;DATOS!$I14027)</f>
      </c>
      <c r="G14027">
        <f>IF(DATOS!$A14027="",0,IF(CONFIG_METADATA!$B$4&lt;&gt;"OR+EX",--(DATOS!$G14027=CONFIG_METADATA!$B$4),IF(DATOS!$G14027="EX",1,IF(DATOS!$G14027="OR",--(COUNTIFS(nNIA,DATOS!$A14027,nCURSO,DATOS!$D14027,nESPEC,DATOS!$E14027,nASIG,DATOS!$I14027,nEVAL,"EX")=0),0))))</f>
      </c>
      <c r="H14027">
        <f>IF(DATOS!$G14027&lt;&gt;"EX",0,--(COUNTIFS(nNIA,DATOS!$A14027,nCURSO,DATOS!$D14027,nESPEC,DATOS!$E14027,nASIG,DATOS!$I14027,nEVAL,"OR")=0))</f>
      </c>
      <c r="I14027">
        <f>IF(DATOS!$I14027="","",IFERROR(VLOOKUP(DATOS!$I14027,CONFIG_ASIGNATURAS!$B$2:$J$91,9,FALSE()),""))</f>
      </c>
    </row>
    <row r="14028">
      <c r="F14028">
        <f>IF(DATOS!$A14028="","",DATOS!$A14028&amp;"|"&amp;DATOS!$D14028&amp;"|"&amp;DATOS!$E14028&amp;"|"&amp;DATOS!$I14028)</f>
      </c>
      <c r="G14028">
        <f>IF(DATOS!$A14028="",0,IF(CONFIG_METADATA!$B$4&lt;&gt;"OR+EX",--(DATOS!$G14028=CONFIG_METADATA!$B$4),IF(DATOS!$G14028="EX",1,IF(DATOS!$G14028="OR",--(COUNTIFS(nNIA,DATOS!$A14028,nCURSO,DATOS!$D14028,nESPEC,DATOS!$E14028,nASIG,DATOS!$I14028,nEVAL,"EX")=0),0))))</f>
      </c>
      <c r="H14028">
        <f>IF(DATOS!$G14028&lt;&gt;"EX",0,--(COUNTIFS(nNIA,DATOS!$A14028,nCURSO,DATOS!$D14028,nESPEC,DATOS!$E14028,nASIG,DATOS!$I14028,nEVAL,"OR")=0))</f>
      </c>
      <c r="I14028">
        <f>IF(DATOS!$I14028="","",IFERROR(VLOOKUP(DATOS!$I14028,CONFIG_ASIGNATURAS!$B$2:$J$91,9,FALSE()),""))</f>
      </c>
    </row>
    <row r="14029">
      <c r="F14029">
        <f>IF(DATOS!$A14029="","",DATOS!$A14029&amp;"|"&amp;DATOS!$D14029&amp;"|"&amp;DATOS!$E14029&amp;"|"&amp;DATOS!$I14029)</f>
      </c>
      <c r="G14029">
        <f>IF(DATOS!$A14029="",0,IF(CONFIG_METADATA!$B$4&lt;&gt;"OR+EX",--(DATOS!$G14029=CONFIG_METADATA!$B$4),IF(DATOS!$G14029="EX",1,IF(DATOS!$G14029="OR",--(COUNTIFS(nNIA,DATOS!$A14029,nCURSO,DATOS!$D14029,nESPEC,DATOS!$E14029,nASIG,DATOS!$I14029,nEVAL,"EX")=0),0))))</f>
      </c>
      <c r="H14029">
        <f>IF(DATOS!$G14029&lt;&gt;"EX",0,--(COUNTIFS(nNIA,DATOS!$A14029,nCURSO,DATOS!$D14029,nESPEC,DATOS!$E14029,nASIG,DATOS!$I14029,nEVAL,"OR")=0))</f>
      </c>
      <c r="I14029">
        <f>IF(DATOS!$I14029="","",IFERROR(VLOOKUP(DATOS!$I14029,CONFIG_ASIGNATURAS!$B$2:$J$91,9,FALSE()),""))</f>
      </c>
    </row>
    <row r="14030">
      <c r="F14030">
        <f>IF(DATOS!$A14030="","",DATOS!$A14030&amp;"|"&amp;DATOS!$D14030&amp;"|"&amp;DATOS!$E14030&amp;"|"&amp;DATOS!$I14030)</f>
      </c>
      <c r="G14030">
        <f>IF(DATOS!$A14030="",0,IF(CONFIG_METADATA!$B$4&lt;&gt;"OR+EX",--(DATOS!$G14030=CONFIG_METADATA!$B$4),IF(DATOS!$G14030="EX",1,IF(DATOS!$G14030="OR",--(COUNTIFS(nNIA,DATOS!$A14030,nCURSO,DATOS!$D14030,nESPEC,DATOS!$E14030,nASIG,DATOS!$I14030,nEVAL,"EX")=0),0))))</f>
      </c>
      <c r="H14030">
        <f>IF(DATOS!$G14030&lt;&gt;"EX",0,--(COUNTIFS(nNIA,DATOS!$A14030,nCURSO,DATOS!$D14030,nESPEC,DATOS!$E14030,nASIG,DATOS!$I14030,nEVAL,"OR")=0))</f>
      </c>
      <c r="I14030">
        <f>IF(DATOS!$I14030="","",IFERROR(VLOOKUP(DATOS!$I14030,CONFIG_ASIGNATURAS!$B$2:$J$91,9,FALSE()),""))</f>
      </c>
    </row>
    <row r="14031">
      <c r="F14031">
        <f>IF(DATOS!$A14031="","",DATOS!$A14031&amp;"|"&amp;DATOS!$D14031&amp;"|"&amp;DATOS!$E14031&amp;"|"&amp;DATOS!$I14031)</f>
      </c>
      <c r="G14031">
        <f>IF(DATOS!$A14031="",0,IF(CONFIG_METADATA!$B$4&lt;&gt;"OR+EX",--(DATOS!$G14031=CONFIG_METADATA!$B$4),IF(DATOS!$G14031="EX",1,IF(DATOS!$G14031="OR",--(COUNTIFS(nNIA,DATOS!$A14031,nCURSO,DATOS!$D14031,nESPEC,DATOS!$E14031,nASIG,DATOS!$I14031,nEVAL,"EX")=0),0))))</f>
      </c>
      <c r="H14031">
        <f>IF(DATOS!$G14031&lt;&gt;"EX",0,--(COUNTIFS(nNIA,DATOS!$A14031,nCURSO,DATOS!$D14031,nESPEC,DATOS!$E14031,nASIG,DATOS!$I14031,nEVAL,"OR")=0))</f>
      </c>
      <c r="I14031">
        <f>IF(DATOS!$I14031="","",IFERROR(VLOOKUP(DATOS!$I14031,CONFIG_ASIGNATURAS!$B$2:$J$91,9,FALSE()),""))</f>
      </c>
    </row>
    <row r="14032">
      <c r="F14032">
        <f>IF(DATOS!$A14032="","",DATOS!$A14032&amp;"|"&amp;DATOS!$D14032&amp;"|"&amp;DATOS!$E14032&amp;"|"&amp;DATOS!$I14032)</f>
      </c>
      <c r="G14032">
        <f>IF(DATOS!$A14032="",0,IF(CONFIG_METADATA!$B$4&lt;&gt;"OR+EX",--(DATOS!$G14032=CONFIG_METADATA!$B$4),IF(DATOS!$G14032="EX",1,IF(DATOS!$G14032="OR",--(COUNTIFS(nNIA,DATOS!$A14032,nCURSO,DATOS!$D14032,nESPEC,DATOS!$E14032,nASIG,DATOS!$I14032,nEVAL,"EX")=0),0))))</f>
      </c>
      <c r="H14032">
        <f>IF(DATOS!$G14032&lt;&gt;"EX",0,--(COUNTIFS(nNIA,DATOS!$A14032,nCURSO,DATOS!$D14032,nESPEC,DATOS!$E14032,nASIG,DATOS!$I14032,nEVAL,"OR")=0))</f>
      </c>
      <c r="I14032">
        <f>IF(DATOS!$I14032="","",IFERROR(VLOOKUP(DATOS!$I14032,CONFIG_ASIGNATURAS!$B$2:$J$91,9,FALSE()),""))</f>
      </c>
    </row>
    <row r="14033">
      <c r="F14033">
        <f>IF(DATOS!$A14033="","",DATOS!$A14033&amp;"|"&amp;DATOS!$D14033&amp;"|"&amp;DATOS!$E14033&amp;"|"&amp;DATOS!$I14033)</f>
      </c>
      <c r="G14033">
        <f>IF(DATOS!$A14033="",0,IF(CONFIG_METADATA!$B$4&lt;&gt;"OR+EX",--(DATOS!$G14033=CONFIG_METADATA!$B$4),IF(DATOS!$G14033="EX",1,IF(DATOS!$G14033="OR",--(COUNTIFS(nNIA,DATOS!$A14033,nCURSO,DATOS!$D14033,nESPEC,DATOS!$E14033,nASIG,DATOS!$I14033,nEVAL,"EX")=0),0))))</f>
      </c>
      <c r="H14033">
        <f>IF(DATOS!$G14033&lt;&gt;"EX",0,--(COUNTIFS(nNIA,DATOS!$A14033,nCURSO,DATOS!$D14033,nESPEC,DATOS!$E14033,nASIG,DATOS!$I14033,nEVAL,"OR")=0))</f>
      </c>
      <c r="I14033">
        <f>IF(DATOS!$I14033="","",IFERROR(VLOOKUP(DATOS!$I14033,CONFIG_ASIGNATURAS!$B$2:$J$91,9,FALSE()),""))</f>
      </c>
    </row>
    <row r="14034">
      <c r="F14034">
        <f>IF(DATOS!$A14034="","",DATOS!$A14034&amp;"|"&amp;DATOS!$D14034&amp;"|"&amp;DATOS!$E14034&amp;"|"&amp;DATOS!$I14034)</f>
      </c>
      <c r="G14034">
        <f>IF(DATOS!$A14034="",0,IF(CONFIG_METADATA!$B$4&lt;&gt;"OR+EX",--(DATOS!$G14034=CONFIG_METADATA!$B$4),IF(DATOS!$G14034="EX",1,IF(DATOS!$G14034="OR",--(COUNTIFS(nNIA,DATOS!$A14034,nCURSO,DATOS!$D14034,nESPEC,DATOS!$E14034,nASIG,DATOS!$I14034,nEVAL,"EX")=0),0))))</f>
      </c>
      <c r="H14034">
        <f>IF(DATOS!$G14034&lt;&gt;"EX",0,--(COUNTIFS(nNIA,DATOS!$A14034,nCURSO,DATOS!$D14034,nESPEC,DATOS!$E14034,nASIG,DATOS!$I14034,nEVAL,"OR")=0))</f>
      </c>
      <c r="I14034">
        <f>IF(DATOS!$I14034="","",IFERROR(VLOOKUP(DATOS!$I14034,CONFIG_ASIGNATURAS!$B$2:$J$91,9,FALSE()),""))</f>
      </c>
    </row>
    <row r="14035">
      <c r="F14035">
        <f>IF(DATOS!$A14035="","",DATOS!$A14035&amp;"|"&amp;DATOS!$D14035&amp;"|"&amp;DATOS!$E14035&amp;"|"&amp;DATOS!$I14035)</f>
      </c>
      <c r="G14035">
        <f>IF(DATOS!$A14035="",0,IF(CONFIG_METADATA!$B$4&lt;&gt;"OR+EX",--(DATOS!$G14035=CONFIG_METADATA!$B$4),IF(DATOS!$G14035="EX",1,IF(DATOS!$G14035="OR",--(COUNTIFS(nNIA,DATOS!$A14035,nCURSO,DATOS!$D14035,nESPEC,DATOS!$E14035,nASIG,DATOS!$I14035,nEVAL,"EX")=0),0))))</f>
      </c>
      <c r="H14035">
        <f>IF(DATOS!$G14035&lt;&gt;"EX",0,--(COUNTIFS(nNIA,DATOS!$A14035,nCURSO,DATOS!$D14035,nESPEC,DATOS!$E14035,nASIG,DATOS!$I14035,nEVAL,"OR")=0))</f>
      </c>
      <c r="I14035">
        <f>IF(DATOS!$I14035="","",IFERROR(VLOOKUP(DATOS!$I14035,CONFIG_ASIGNATURAS!$B$2:$J$91,9,FALSE()),""))</f>
      </c>
    </row>
    <row r="14036">
      <c r="F14036">
        <f>IF(DATOS!$A14036="","",DATOS!$A14036&amp;"|"&amp;DATOS!$D14036&amp;"|"&amp;DATOS!$E14036&amp;"|"&amp;DATOS!$I14036)</f>
      </c>
      <c r="G14036">
        <f>IF(DATOS!$A14036="",0,IF(CONFIG_METADATA!$B$4&lt;&gt;"OR+EX",--(DATOS!$G14036=CONFIG_METADATA!$B$4),IF(DATOS!$G14036="EX",1,IF(DATOS!$G14036="OR",--(COUNTIFS(nNIA,DATOS!$A14036,nCURSO,DATOS!$D14036,nESPEC,DATOS!$E14036,nASIG,DATOS!$I14036,nEVAL,"EX")=0),0))))</f>
      </c>
      <c r="H14036">
        <f>IF(DATOS!$G14036&lt;&gt;"EX",0,--(COUNTIFS(nNIA,DATOS!$A14036,nCURSO,DATOS!$D14036,nESPEC,DATOS!$E14036,nASIG,DATOS!$I14036,nEVAL,"OR")=0))</f>
      </c>
      <c r="I14036">
        <f>IF(DATOS!$I14036="","",IFERROR(VLOOKUP(DATOS!$I14036,CONFIG_ASIGNATURAS!$B$2:$J$91,9,FALSE()),""))</f>
      </c>
    </row>
    <row r="14037">
      <c r="F14037">
        <f>IF(DATOS!$A14037="","",DATOS!$A14037&amp;"|"&amp;DATOS!$D14037&amp;"|"&amp;DATOS!$E14037&amp;"|"&amp;DATOS!$I14037)</f>
      </c>
      <c r="G14037">
        <f>IF(DATOS!$A14037="",0,IF(CONFIG_METADATA!$B$4&lt;&gt;"OR+EX",--(DATOS!$G14037=CONFIG_METADATA!$B$4),IF(DATOS!$G14037="EX",1,IF(DATOS!$G14037="OR",--(COUNTIFS(nNIA,DATOS!$A14037,nCURSO,DATOS!$D14037,nESPEC,DATOS!$E14037,nASIG,DATOS!$I14037,nEVAL,"EX")=0),0))))</f>
      </c>
      <c r="H14037">
        <f>IF(DATOS!$G14037&lt;&gt;"EX",0,--(COUNTIFS(nNIA,DATOS!$A14037,nCURSO,DATOS!$D14037,nESPEC,DATOS!$E14037,nASIG,DATOS!$I14037,nEVAL,"OR")=0))</f>
      </c>
      <c r="I14037">
        <f>IF(DATOS!$I14037="","",IFERROR(VLOOKUP(DATOS!$I14037,CONFIG_ASIGNATURAS!$B$2:$J$91,9,FALSE()),""))</f>
      </c>
    </row>
    <row r="14038">
      <c r="F14038">
        <f>IF(DATOS!$A14038="","",DATOS!$A14038&amp;"|"&amp;DATOS!$D14038&amp;"|"&amp;DATOS!$E14038&amp;"|"&amp;DATOS!$I14038)</f>
      </c>
      <c r="G14038">
        <f>IF(DATOS!$A14038="",0,IF(CONFIG_METADATA!$B$4&lt;&gt;"OR+EX",--(DATOS!$G14038=CONFIG_METADATA!$B$4),IF(DATOS!$G14038="EX",1,IF(DATOS!$G14038="OR",--(COUNTIFS(nNIA,DATOS!$A14038,nCURSO,DATOS!$D14038,nESPEC,DATOS!$E14038,nASIG,DATOS!$I14038,nEVAL,"EX")=0),0))))</f>
      </c>
      <c r="H14038">
        <f>IF(DATOS!$G14038&lt;&gt;"EX",0,--(COUNTIFS(nNIA,DATOS!$A14038,nCURSO,DATOS!$D14038,nESPEC,DATOS!$E14038,nASIG,DATOS!$I14038,nEVAL,"OR")=0))</f>
      </c>
      <c r="I14038">
        <f>IF(DATOS!$I14038="","",IFERROR(VLOOKUP(DATOS!$I14038,CONFIG_ASIGNATURAS!$B$2:$J$91,9,FALSE()),""))</f>
      </c>
    </row>
    <row r="14039">
      <c r="F14039">
        <f>IF(DATOS!$A14039="","",DATOS!$A14039&amp;"|"&amp;DATOS!$D14039&amp;"|"&amp;DATOS!$E14039&amp;"|"&amp;DATOS!$I14039)</f>
      </c>
      <c r="G14039">
        <f>IF(DATOS!$A14039="",0,IF(CONFIG_METADATA!$B$4&lt;&gt;"OR+EX",--(DATOS!$G14039=CONFIG_METADATA!$B$4),IF(DATOS!$G14039="EX",1,IF(DATOS!$G14039="OR",--(COUNTIFS(nNIA,DATOS!$A14039,nCURSO,DATOS!$D14039,nESPEC,DATOS!$E14039,nASIG,DATOS!$I14039,nEVAL,"EX")=0),0))))</f>
      </c>
      <c r="H14039">
        <f>IF(DATOS!$G14039&lt;&gt;"EX",0,--(COUNTIFS(nNIA,DATOS!$A14039,nCURSO,DATOS!$D14039,nESPEC,DATOS!$E14039,nASIG,DATOS!$I14039,nEVAL,"OR")=0))</f>
      </c>
      <c r="I14039">
        <f>IF(DATOS!$I14039="","",IFERROR(VLOOKUP(DATOS!$I14039,CONFIG_ASIGNATURAS!$B$2:$J$91,9,FALSE()),""))</f>
      </c>
    </row>
    <row r="14040">
      <c r="F14040">
        <f>IF(DATOS!$A14040="","",DATOS!$A14040&amp;"|"&amp;DATOS!$D14040&amp;"|"&amp;DATOS!$E14040&amp;"|"&amp;DATOS!$I14040)</f>
      </c>
      <c r="G14040">
        <f>IF(DATOS!$A14040="",0,IF(CONFIG_METADATA!$B$4&lt;&gt;"OR+EX",--(DATOS!$G14040=CONFIG_METADATA!$B$4),IF(DATOS!$G14040="EX",1,IF(DATOS!$G14040="OR",--(COUNTIFS(nNIA,DATOS!$A14040,nCURSO,DATOS!$D14040,nESPEC,DATOS!$E14040,nASIG,DATOS!$I14040,nEVAL,"EX")=0),0))))</f>
      </c>
      <c r="H14040">
        <f>IF(DATOS!$G14040&lt;&gt;"EX",0,--(COUNTIFS(nNIA,DATOS!$A14040,nCURSO,DATOS!$D14040,nESPEC,DATOS!$E14040,nASIG,DATOS!$I14040,nEVAL,"OR")=0))</f>
      </c>
      <c r="I14040">
        <f>IF(DATOS!$I14040="","",IFERROR(VLOOKUP(DATOS!$I14040,CONFIG_ASIGNATURAS!$B$2:$J$91,9,FALSE()),""))</f>
      </c>
    </row>
    <row r="14041">
      <c r="F14041">
        <f>IF(DATOS!$A14041="","",DATOS!$A14041&amp;"|"&amp;DATOS!$D14041&amp;"|"&amp;DATOS!$E14041&amp;"|"&amp;DATOS!$I14041)</f>
      </c>
      <c r="G14041">
        <f>IF(DATOS!$A14041="",0,IF(CONFIG_METADATA!$B$4&lt;&gt;"OR+EX",--(DATOS!$G14041=CONFIG_METADATA!$B$4),IF(DATOS!$G14041="EX",1,IF(DATOS!$G14041="OR",--(COUNTIFS(nNIA,DATOS!$A14041,nCURSO,DATOS!$D14041,nESPEC,DATOS!$E14041,nASIG,DATOS!$I14041,nEVAL,"EX")=0),0))))</f>
      </c>
      <c r="H14041">
        <f>IF(DATOS!$G14041&lt;&gt;"EX",0,--(COUNTIFS(nNIA,DATOS!$A14041,nCURSO,DATOS!$D14041,nESPEC,DATOS!$E14041,nASIG,DATOS!$I14041,nEVAL,"OR")=0))</f>
      </c>
      <c r="I14041">
        <f>IF(DATOS!$I14041="","",IFERROR(VLOOKUP(DATOS!$I14041,CONFIG_ASIGNATURAS!$B$2:$J$91,9,FALSE()),""))</f>
      </c>
    </row>
    <row r="14042">
      <c r="F14042">
        <f>IF(DATOS!$A14042="","",DATOS!$A14042&amp;"|"&amp;DATOS!$D14042&amp;"|"&amp;DATOS!$E14042&amp;"|"&amp;DATOS!$I14042)</f>
      </c>
      <c r="G14042">
        <f>IF(DATOS!$A14042="",0,IF(CONFIG_METADATA!$B$4&lt;&gt;"OR+EX",--(DATOS!$G14042=CONFIG_METADATA!$B$4),IF(DATOS!$G14042="EX",1,IF(DATOS!$G14042="OR",--(COUNTIFS(nNIA,DATOS!$A14042,nCURSO,DATOS!$D14042,nESPEC,DATOS!$E14042,nASIG,DATOS!$I14042,nEVAL,"EX")=0),0))))</f>
      </c>
      <c r="H14042">
        <f>IF(DATOS!$G14042&lt;&gt;"EX",0,--(COUNTIFS(nNIA,DATOS!$A14042,nCURSO,DATOS!$D14042,nESPEC,DATOS!$E14042,nASIG,DATOS!$I14042,nEVAL,"OR")=0))</f>
      </c>
      <c r="I14042">
        <f>IF(DATOS!$I14042="","",IFERROR(VLOOKUP(DATOS!$I14042,CONFIG_ASIGNATURAS!$B$2:$J$91,9,FALSE()),""))</f>
      </c>
    </row>
    <row r="14043">
      <c r="F14043">
        <f>IF(DATOS!$A14043="","",DATOS!$A14043&amp;"|"&amp;DATOS!$D14043&amp;"|"&amp;DATOS!$E14043&amp;"|"&amp;DATOS!$I14043)</f>
      </c>
      <c r="G14043">
        <f>IF(DATOS!$A14043="",0,IF(CONFIG_METADATA!$B$4&lt;&gt;"OR+EX",--(DATOS!$G14043=CONFIG_METADATA!$B$4),IF(DATOS!$G14043="EX",1,IF(DATOS!$G14043="OR",--(COUNTIFS(nNIA,DATOS!$A14043,nCURSO,DATOS!$D14043,nESPEC,DATOS!$E14043,nASIG,DATOS!$I14043,nEVAL,"EX")=0),0))))</f>
      </c>
      <c r="H14043">
        <f>IF(DATOS!$G14043&lt;&gt;"EX",0,--(COUNTIFS(nNIA,DATOS!$A14043,nCURSO,DATOS!$D14043,nESPEC,DATOS!$E14043,nASIG,DATOS!$I14043,nEVAL,"OR")=0))</f>
      </c>
      <c r="I14043">
        <f>IF(DATOS!$I14043="","",IFERROR(VLOOKUP(DATOS!$I14043,CONFIG_ASIGNATURAS!$B$2:$J$91,9,FALSE()),""))</f>
      </c>
    </row>
    <row r="14044">
      <c r="F14044">
        <f>IF(DATOS!$A14044="","",DATOS!$A14044&amp;"|"&amp;DATOS!$D14044&amp;"|"&amp;DATOS!$E14044&amp;"|"&amp;DATOS!$I14044)</f>
      </c>
      <c r="G14044">
        <f>IF(DATOS!$A14044="",0,IF(CONFIG_METADATA!$B$4&lt;&gt;"OR+EX",--(DATOS!$G14044=CONFIG_METADATA!$B$4),IF(DATOS!$G14044="EX",1,IF(DATOS!$G14044="OR",--(COUNTIFS(nNIA,DATOS!$A14044,nCURSO,DATOS!$D14044,nESPEC,DATOS!$E14044,nASIG,DATOS!$I14044,nEVAL,"EX")=0),0))))</f>
      </c>
      <c r="H14044">
        <f>IF(DATOS!$G14044&lt;&gt;"EX",0,--(COUNTIFS(nNIA,DATOS!$A14044,nCURSO,DATOS!$D14044,nESPEC,DATOS!$E14044,nASIG,DATOS!$I14044,nEVAL,"OR")=0))</f>
      </c>
      <c r="I14044">
        <f>IF(DATOS!$I14044="","",IFERROR(VLOOKUP(DATOS!$I14044,CONFIG_ASIGNATURAS!$B$2:$J$91,9,FALSE()),""))</f>
      </c>
    </row>
    <row r="14045">
      <c r="F14045">
        <f>IF(DATOS!$A14045="","",DATOS!$A14045&amp;"|"&amp;DATOS!$D14045&amp;"|"&amp;DATOS!$E14045&amp;"|"&amp;DATOS!$I14045)</f>
      </c>
      <c r="G14045">
        <f>IF(DATOS!$A14045="",0,IF(CONFIG_METADATA!$B$4&lt;&gt;"OR+EX",--(DATOS!$G14045=CONFIG_METADATA!$B$4),IF(DATOS!$G14045="EX",1,IF(DATOS!$G14045="OR",--(COUNTIFS(nNIA,DATOS!$A14045,nCURSO,DATOS!$D14045,nESPEC,DATOS!$E14045,nASIG,DATOS!$I14045,nEVAL,"EX")=0),0))))</f>
      </c>
      <c r="H14045">
        <f>IF(DATOS!$G14045&lt;&gt;"EX",0,--(COUNTIFS(nNIA,DATOS!$A14045,nCURSO,DATOS!$D14045,nESPEC,DATOS!$E14045,nASIG,DATOS!$I14045,nEVAL,"OR")=0))</f>
      </c>
      <c r="I14045">
        <f>IF(DATOS!$I14045="","",IFERROR(VLOOKUP(DATOS!$I14045,CONFIG_ASIGNATURAS!$B$2:$J$91,9,FALSE()),""))</f>
      </c>
    </row>
    <row r="14046">
      <c r="F14046">
        <f>IF(DATOS!$A14046="","",DATOS!$A14046&amp;"|"&amp;DATOS!$D14046&amp;"|"&amp;DATOS!$E14046&amp;"|"&amp;DATOS!$I14046)</f>
      </c>
      <c r="G14046">
        <f>IF(DATOS!$A14046="",0,IF(CONFIG_METADATA!$B$4&lt;&gt;"OR+EX",--(DATOS!$G14046=CONFIG_METADATA!$B$4),IF(DATOS!$G14046="EX",1,IF(DATOS!$G14046="OR",--(COUNTIFS(nNIA,DATOS!$A14046,nCURSO,DATOS!$D14046,nESPEC,DATOS!$E14046,nASIG,DATOS!$I14046,nEVAL,"EX")=0),0))))</f>
      </c>
      <c r="H14046">
        <f>IF(DATOS!$G14046&lt;&gt;"EX",0,--(COUNTIFS(nNIA,DATOS!$A14046,nCURSO,DATOS!$D14046,nESPEC,DATOS!$E14046,nASIG,DATOS!$I14046,nEVAL,"OR")=0))</f>
      </c>
      <c r="I14046">
        <f>IF(DATOS!$I14046="","",IFERROR(VLOOKUP(DATOS!$I14046,CONFIG_ASIGNATURAS!$B$2:$J$91,9,FALSE()),""))</f>
      </c>
    </row>
    <row r="14047">
      <c r="F14047">
        <f>IF(DATOS!$A14047="","",DATOS!$A14047&amp;"|"&amp;DATOS!$D14047&amp;"|"&amp;DATOS!$E14047&amp;"|"&amp;DATOS!$I14047)</f>
      </c>
      <c r="G14047">
        <f>IF(DATOS!$A14047="",0,IF(CONFIG_METADATA!$B$4&lt;&gt;"OR+EX",--(DATOS!$G14047=CONFIG_METADATA!$B$4),IF(DATOS!$G14047="EX",1,IF(DATOS!$G14047="OR",--(COUNTIFS(nNIA,DATOS!$A14047,nCURSO,DATOS!$D14047,nESPEC,DATOS!$E14047,nASIG,DATOS!$I14047,nEVAL,"EX")=0),0))))</f>
      </c>
      <c r="H14047">
        <f>IF(DATOS!$G14047&lt;&gt;"EX",0,--(COUNTIFS(nNIA,DATOS!$A14047,nCURSO,DATOS!$D14047,nESPEC,DATOS!$E14047,nASIG,DATOS!$I14047,nEVAL,"OR")=0))</f>
      </c>
      <c r="I14047">
        <f>IF(DATOS!$I14047="","",IFERROR(VLOOKUP(DATOS!$I14047,CONFIG_ASIGNATURAS!$B$2:$J$91,9,FALSE()),""))</f>
      </c>
    </row>
    <row r="14048">
      <c r="F14048">
        <f>IF(DATOS!$A14048="","",DATOS!$A14048&amp;"|"&amp;DATOS!$D14048&amp;"|"&amp;DATOS!$E14048&amp;"|"&amp;DATOS!$I14048)</f>
      </c>
      <c r="G14048">
        <f>IF(DATOS!$A14048="",0,IF(CONFIG_METADATA!$B$4&lt;&gt;"OR+EX",--(DATOS!$G14048=CONFIG_METADATA!$B$4),IF(DATOS!$G14048="EX",1,IF(DATOS!$G14048="OR",--(COUNTIFS(nNIA,DATOS!$A14048,nCURSO,DATOS!$D14048,nESPEC,DATOS!$E14048,nASIG,DATOS!$I14048,nEVAL,"EX")=0),0))))</f>
      </c>
      <c r="H14048">
        <f>IF(DATOS!$G14048&lt;&gt;"EX",0,--(COUNTIFS(nNIA,DATOS!$A14048,nCURSO,DATOS!$D14048,nESPEC,DATOS!$E14048,nASIG,DATOS!$I14048,nEVAL,"OR")=0))</f>
      </c>
      <c r="I14048">
        <f>IF(DATOS!$I14048="","",IFERROR(VLOOKUP(DATOS!$I14048,CONFIG_ASIGNATURAS!$B$2:$J$91,9,FALSE()),""))</f>
      </c>
    </row>
    <row r="14049">
      <c r="F14049">
        <f>IF(DATOS!$A14049="","",DATOS!$A14049&amp;"|"&amp;DATOS!$D14049&amp;"|"&amp;DATOS!$E14049&amp;"|"&amp;DATOS!$I14049)</f>
      </c>
      <c r="G14049">
        <f>IF(DATOS!$A14049="",0,IF(CONFIG_METADATA!$B$4&lt;&gt;"OR+EX",--(DATOS!$G14049=CONFIG_METADATA!$B$4),IF(DATOS!$G14049="EX",1,IF(DATOS!$G14049="OR",--(COUNTIFS(nNIA,DATOS!$A14049,nCURSO,DATOS!$D14049,nESPEC,DATOS!$E14049,nASIG,DATOS!$I14049,nEVAL,"EX")=0),0))))</f>
      </c>
      <c r="H14049">
        <f>IF(DATOS!$G14049&lt;&gt;"EX",0,--(COUNTIFS(nNIA,DATOS!$A14049,nCURSO,DATOS!$D14049,nESPEC,DATOS!$E14049,nASIG,DATOS!$I14049,nEVAL,"OR")=0))</f>
      </c>
      <c r="I14049">
        <f>IF(DATOS!$I14049="","",IFERROR(VLOOKUP(DATOS!$I14049,CONFIG_ASIGNATURAS!$B$2:$J$91,9,FALSE()),""))</f>
      </c>
    </row>
    <row r="14050">
      <c r="F14050">
        <f>IF(DATOS!$A14050="","",DATOS!$A14050&amp;"|"&amp;DATOS!$D14050&amp;"|"&amp;DATOS!$E14050&amp;"|"&amp;DATOS!$I14050)</f>
      </c>
      <c r="G14050">
        <f>IF(DATOS!$A14050="",0,IF(CONFIG_METADATA!$B$4&lt;&gt;"OR+EX",--(DATOS!$G14050=CONFIG_METADATA!$B$4),IF(DATOS!$G14050="EX",1,IF(DATOS!$G14050="OR",--(COUNTIFS(nNIA,DATOS!$A14050,nCURSO,DATOS!$D14050,nESPEC,DATOS!$E14050,nASIG,DATOS!$I14050,nEVAL,"EX")=0),0))))</f>
      </c>
      <c r="H14050">
        <f>IF(DATOS!$G14050&lt;&gt;"EX",0,--(COUNTIFS(nNIA,DATOS!$A14050,nCURSO,DATOS!$D14050,nESPEC,DATOS!$E14050,nASIG,DATOS!$I14050,nEVAL,"OR")=0))</f>
      </c>
      <c r="I14050">
        <f>IF(DATOS!$I14050="","",IFERROR(VLOOKUP(DATOS!$I14050,CONFIG_ASIGNATURAS!$B$2:$J$91,9,FALSE()),""))</f>
      </c>
    </row>
    <row r="14051">
      <c r="F14051">
        <f>IF(DATOS!$A14051="","",DATOS!$A14051&amp;"|"&amp;DATOS!$D14051&amp;"|"&amp;DATOS!$E14051&amp;"|"&amp;DATOS!$I14051)</f>
      </c>
      <c r="G14051">
        <f>IF(DATOS!$A14051="",0,IF(CONFIG_METADATA!$B$4&lt;&gt;"OR+EX",--(DATOS!$G14051=CONFIG_METADATA!$B$4),IF(DATOS!$G14051="EX",1,IF(DATOS!$G14051="OR",--(COUNTIFS(nNIA,DATOS!$A14051,nCURSO,DATOS!$D14051,nESPEC,DATOS!$E14051,nASIG,DATOS!$I14051,nEVAL,"EX")=0),0))))</f>
      </c>
      <c r="H14051">
        <f>IF(DATOS!$G14051&lt;&gt;"EX",0,--(COUNTIFS(nNIA,DATOS!$A14051,nCURSO,DATOS!$D14051,nESPEC,DATOS!$E14051,nASIG,DATOS!$I14051,nEVAL,"OR")=0))</f>
      </c>
      <c r="I14051">
        <f>IF(DATOS!$I14051="","",IFERROR(VLOOKUP(DATOS!$I14051,CONFIG_ASIGNATURAS!$B$2:$J$91,9,FALSE()),""))</f>
      </c>
    </row>
    <row r="14052">
      <c r="F14052">
        <f>IF(DATOS!$A14052="","",DATOS!$A14052&amp;"|"&amp;DATOS!$D14052&amp;"|"&amp;DATOS!$E14052&amp;"|"&amp;DATOS!$I14052)</f>
      </c>
      <c r="G14052">
        <f>IF(DATOS!$A14052="",0,IF(CONFIG_METADATA!$B$4&lt;&gt;"OR+EX",--(DATOS!$G14052=CONFIG_METADATA!$B$4),IF(DATOS!$G14052="EX",1,IF(DATOS!$G14052="OR",--(COUNTIFS(nNIA,DATOS!$A14052,nCURSO,DATOS!$D14052,nESPEC,DATOS!$E14052,nASIG,DATOS!$I14052,nEVAL,"EX")=0),0))))</f>
      </c>
      <c r="H14052">
        <f>IF(DATOS!$G14052&lt;&gt;"EX",0,--(COUNTIFS(nNIA,DATOS!$A14052,nCURSO,DATOS!$D14052,nESPEC,DATOS!$E14052,nASIG,DATOS!$I14052,nEVAL,"OR")=0))</f>
      </c>
      <c r="I14052">
        <f>IF(DATOS!$I14052="","",IFERROR(VLOOKUP(DATOS!$I14052,CONFIG_ASIGNATURAS!$B$2:$J$91,9,FALSE()),""))</f>
      </c>
    </row>
    <row r="14053">
      <c r="F14053">
        <f>IF(DATOS!$A14053="","",DATOS!$A14053&amp;"|"&amp;DATOS!$D14053&amp;"|"&amp;DATOS!$E14053&amp;"|"&amp;DATOS!$I14053)</f>
      </c>
      <c r="G14053">
        <f>IF(DATOS!$A14053="",0,IF(CONFIG_METADATA!$B$4&lt;&gt;"OR+EX",--(DATOS!$G14053=CONFIG_METADATA!$B$4),IF(DATOS!$G14053="EX",1,IF(DATOS!$G14053="OR",--(COUNTIFS(nNIA,DATOS!$A14053,nCURSO,DATOS!$D14053,nESPEC,DATOS!$E14053,nASIG,DATOS!$I14053,nEVAL,"EX")=0),0))))</f>
      </c>
      <c r="H14053">
        <f>IF(DATOS!$G14053&lt;&gt;"EX",0,--(COUNTIFS(nNIA,DATOS!$A14053,nCURSO,DATOS!$D14053,nESPEC,DATOS!$E14053,nASIG,DATOS!$I14053,nEVAL,"OR")=0))</f>
      </c>
      <c r="I14053">
        <f>IF(DATOS!$I14053="","",IFERROR(VLOOKUP(DATOS!$I14053,CONFIG_ASIGNATURAS!$B$2:$J$91,9,FALSE()),""))</f>
      </c>
    </row>
    <row r="14054">
      <c r="F14054">
        <f>IF(DATOS!$A14054="","",DATOS!$A14054&amp;"|"&amp;DATOS!$D14054&amp;"|"&amp;DATOS!$E14054&amp;"|"&amp;DATOS!$I14054)</f>
      </c>
      <c r="G14054">
        <f>IF(DATOS!$A14054="",0,IF(CONFIG_METADATA!$B$4&lt;&gt;"OR+EX",--(DATOS!$G14054=CONFIG_METADATA!$B$4),IF(DATOS!$G14054="EX",1,IF(DATOS!$G14054="OR",--(COUNTIFS(nNIA,DATOS!$A14054,nCURSO,DATOS!$D14054,nESPEC,DATOS!$E14054,nASIG,DATOS!$I14054,nEVAL,"EX")=0),0))))</f>
      </c>
      <c r="H14054">
        <f>IF(DATOS!$G14054&lt;&gt;"EX",0,--(COUNTIFS(nNIA,DATOS!$A14054,nCURSO,DATOS!$D14054,nESPEC,DATOS!$E14054,nASIG,DATOS!$I14054,nEVAL,"OR")=0))</f>
      </c>
      <c r="I14054">
        <f>IF(DATOS!$I14054="","",IFERROR(VLOOKUP(DATOS!$I14054,CONFIG_ASIGNATURAS!$B$2:$J$91,9,FALSE()),""))</f>
      </c>
    </row>
    <row r="14055">
      <c r="F14055">
        <f>IF(DATOS!$A14055="","",DATOS!$A14055&amp;"|"&amp;DATOS!$D14055&amp;"|"&amp;DATOS!$E14055&amp;"|"&amp;DATOS!$I14055)</f>
      </c>
      <c r="G14055">
        <f>IF(DATOS!$A14055="",0,IF(CONFIG_METADATA!$B$4&lt;&gt;"OR+EX",--(DATOS!$G14055=CONFIG_METADATA!$B$4),IF(DATOS!$G14055="EX",1,IF(DATOS!$G14055="OR",--(COUNTIFS(nNIA,DATOS!$A14055,nCURSO,DATOS!$D14055,nESPEC,DATOS!$E14055,nASIG,DATOS!$I14055,nEVAL,"EX")=0),0))))</f>
      </c>
      <c r="H14055">
        <f>IF(DATOS!$G14055&lt;&gt;"EX",0,--(COUNTIFS(nNIA,DATOS!$A14055,nCURSO,DATOS!$D14055,nESPEC,DATOS!$E14055,nASIG,DATOS!$I14055,nEVAL,"OR")=0))</f>
      </c>
      <c r="I14055">
        <f>IF(DATOS!$I14055="","",IFERROR(VLOOKUP(DATOS!$I14055,CONFIG_ASIGNATURAS!$B$2:$J$91,9,FALSE()),""))</f>
      </c>
    </row>
    <row r="14056">
      <c r="F14056">
        <f>IF(DATOS!$A14056="","",DATOS!$A14056&amp;"|"&amp;DATOS!$D14056&amp;"|"&amp;DATOS!$E14056&amp;"|"&amp;DATOS!$I14056)</f>
      </c>
      <c r="G14056">
        <f>IF(DATOS!$A14056="",0,IF(CONFIG_METADATA!$B$4&lt;&gt;"OR+EX",--(DATOS!$G14056=CONFIG_METADATA!$B$4),IF(DATOS!$G14056="EX",1,IF(DATOS!$G14056="OR",--(COUNTIFS(nNIA,DATOS!$A14056,nCURSO,DATOS!$D14056,nESPEC,DATOS!$E14056,nASIG,DATOS!$I14056,nEVAL,"EX")=0),0))))</f>
      </c>
      <c r="H14056">
        <f>IF(DATOS!$G14056&lt;&gt;"EX",0,--(COUNTIFS(nNIA,DATOS!$A14056,nCURSO,DATOS!$D14056,nESPEC,DATOS!$E14056,nASIG,DATOS!$I14056,nEVAL,"OR")=0))</f>
      </c>
      <c r="I14056">
        <f>IF(DATOS!$I14056="","",IFERROR(VLOOKUP(DATOS!$I14056,CONFIG_ASIGNATURAS!$B$2:$J$91,9,FALSE()),""))</f>
      </c>
    </row>
    <row r="14057">
      <c r="F14057">
        <f>IF(DATOS!$A14057="","",DATOS!$A14057&amp;"|"&amp;DATOS!$D14057&amp;"|"&amp;DATOS!$E14057&amp;"|"&amp;DATOS!$I14057)</f>
      </c>
      <c r="G14057">
        <f>IF(DATOS!$A14057="",0,IF(CONFIG_METADATA!$B$4&lt;&gt;"OR+EX",--(DATOS!$G14057=CONFIG_METADATA!$B$4),IF(DATOS!$G14057="EX",1,IF(DATOS!$G14057="OR",--(COUNTIFS(nNIA,DATOS!$A14057,nCURSO,DATOS!$D14057,nESPEC,DATOS!$E14057,nASIG,DATOS!$I14057,nEVAL,"EX")=0),0))))</f>
      </c>
      <c r="H14057">
        <f>IF(DATOS!$G14057&lt;&gt;"EX",0,--(COUNTIFS(nNIA,DATOS!$A14057,nCURSO,DATOS!$D14057,nESPEC,DATOS!$E14057,nASIG,DATOS!$I14057,nEVAL,"OR")=0))</f>
      </c>
      <c r="I14057">
        <f>IF(DATOS!$I14057="","",IFERROR(VLOOKUP(DATOS!$I14057,CONFIG_ASIGNATURAS!$B$2:$J$91,9,FALSE()),""))</f>
      </c>
    </row>
    <row r="14058">
      <c r="F14058">
        <f>IF(DATOS!$A14058="","",DATOS!$A14058&amp;"|"&amp;DATOS!$D14058&amp;"|"&amp;DATOS!$E14058&amp;"|"&amp;DATOS!$I14058)</f>
      </c>
      <c r="G14058">
        <f>IF(DATOS!$A14058="",0,IF(CONFIG_METADATA!$B$4&lt;&gt;"OR+EX",--(DATOS!$G14058=CONFIG_METADATA!$B$4),IF(DATOS!$G14058="EX",1,IF(DATOS!$G14058="OR",--(COUNTIFS(nNIA,DATOS!$A14058,nCURSO,DATOS!$D14058,nESPEC,DATOS!$E14058,nASIG,DATOS!$I14058,nEVAL,"EX")=0),0))))</f>
      </c>
      <c r="H14058">
        <f>IF(DATOS!$G14058&lt;&gt;"EX",0,--(COUNTIFS(nNIA,DATOS!$A14058,nCURSO,DATOS!$D14058,nESPEC,DATOS!$E14058,nASIG,DATOS!$I14058,nEVAL,"OR")=0))</f>
      </c>
      <c r="I14058">
        <f>IF(DATOS!$I14058="","",IFERROR(VLOOKUP(DATOS!$I14058,CONFIG_ASIGNATURAS!$B$2:$J$91,9,FALSE()),""))</f>
      </c>
    </row>
    <row r="14059">
      <c r="F14059">
        <f>IF(DATOS!$A14059="","",DATOS!$A14059&amp;"|"&amp;DATOS!$D14059&amp;"|"&amp;DATOS!$E14059&amp;"|"&amp;DATOS!$I14059)</f>
      </c>
      <c r="G14059">
        <f>IF(DATOS!$A14059="",0,IF(CONFIG_METADATA!$B$4&lt;&gt;"OR+EX",--(DATOS!$G14059=CONFIG_METADATA!$B$4),IF(DATOS!$G14059="EX",1,IF(DATOS!$G14059="OR",--(COUNTIFS(nNIA,DATOS!$A14059,nCURSO,DATOS!$D14059,nESPEC,DATOS!$E14059,nASIG,DATOS!$I14059,nEVAL,"EX")=0),0))))</f>
      </c>
      <c r="H14059">
        <f>IF(DATOS!$G14059&lt;&gt;"EX",0,--(COUNTIFS(nNIA,DATOS!$A14059,nCURSO,DATOS!$D14059,nESPEC,DATOS!$E14059,nASIG,DATOS!$I14059,nEVAL,"OR")=0))</f>
      </c>
      <c r="I14059">
        <f>IF(DATOS!$I14059="","",IFERROR(VLOOKUP(DATOS!$I14059,CONFIG_ASIGNATURAS!$B$2:$J$91,9,FALSE()),""))</f>
      </c>
    </row>
    <row r="14060">
      <c r="F14060">
        <f>IF(DATOS!$A14060="","",DATOS!$A14060&amp;"|"&amp;DATOS!$D14060&amp;"|"&amp;DATOS!$E14060&amp;"|"&amp;DATOS!$I14060)</f>
      </c>
      <c r="G14060">
        <f>IF(DATOS!$A14060="",0,IF(CONFIG_METADATA!$B$4&lt;&gt;"OR+EX",--(DATOS!$G14060=CONFIG_METADATA!$B$4),IF(DATOS!$G14060="EX",1,IF(DATOS!$G14060="OR",--(COUNTIFS(nNIA,DATOS!$A14060,nCURSO,DATOS!$D14060,nESPEC,DATOS!$E14060,nASIG,DATOS!$I14060,nEVAL,"EX")=0),0))))</f>
      </c>
      <c r="H14060">
        <f>IF(DATOS!$G14060&lt;&gt;"EX",0,--(COUNTIFS(nNIA,DATOS!$A14060,nCURSO,DATOS!$D14060,nESPEC,DATOS!$E14060,nASIG,DATOS!$I14060,nEVAL,"OR")=0))</f>
      </c>
      <c r="I14060">
        <f>IF(DATOS!$I14060="","",IFERROR(VLOOKUP(DATOS!$I14060,CONFIG_ASIGNATURAS!$B$2:$J$91,9,FALSE()),""))</f>
      </c>
    </row>
    <row r="14061">
      <c r="F14061">
        <f>IF(DATOS!$A14061="","",DATOS!$A14061&amp;"|"&amp;DATOS!$D14061&amp;"|"&amp;DATOS!$E14061&amp;"|"&amp;DATOS!$I14061)</f>
      </c>
      <c r="G14061">
        <f>IF(DATOS!$A14061="",0,IF(CONFIG_METADATA!$B$4&lt;&gt;"OR+EX",--(DATOS!$G14061=CONFIG_METADATA!$B$4),IF(DATOS!$G14061="EX",1,IF(DATOS!$G14061="OR",--(COUNTIFS(nNIA,DATOS!$A14061,nCURSO,DATOS!$D14061,nESPEC,DATOS!$E14061,nASIG,DATOS!$I14061,nEVAL,"EX")=0),0))))</f>
      </c>
      <c r="H14061">
        <f>IF(DATOS!$G14061&lt;&gt;"EX",0,--(COUNTIFS(nNIA,DATOS!$A14061,nCURSO,DATOS!$D14061,nESPEC,DATOS!$E14061,nASIG,DATOS!$I14061,nEVAL,"OR")=0))</f>
      </c>
      <c r="I14061">
        <f>IF(DATOS!$I14061="","",IFERROR(VLOOKUP(DATOS!$I14061,CONFIG_ASIGNATURAS!$B$2:$J$91,9,FALSE()),""))</f>
      </c>
    </row>
    <row r="14062">
      <c r="F14062">
        <f>IF(DATOS!$A14062="","",DATOS!$A14062&amp;"|"&amp;DATOS!$D14062&amp;"|"&amp;DATOS!$E14062&amp;"|"&amp;DATOS!$I14062)</f>
      </c>
      <c r="G14062">
        <f>IF(DATOS!$A14062="",0,IF(CONFIG_METADATA!$B$4&lt;&gt;"OR+EX",--(DATOS!$G14062=CONFIG_METADATA!$B$4),IF(DATOS!$G14062="EX",1,IF(DATOS!$G14062="OR",--(COUNTIFS(nNIA,DATOS!$A14062,nCURSO,DATOS!$D14062,nESPEC,DATOS!$E14062,nASIG,DATOS!$I14062,nEVAL,"EX")=0),0))))</f>
      </c>
      <c r="H14062">
        <f>IF(DATOS!$G14062&lt;&gt;"EX",0,--(COUNTIFS(nNIA,DATOS!$A14062,nCURSO,DATOS!$D14062,nESPEC,DATOS!$E14062,nASIG,DATOS!$I14062,nEVAL,"OR")=0))</f>
      </c>
      <c r="I14062">
        <f>IF(DATOS!$I14062="","",IFERROR(VLOOKUP(DATOS!$I14062,CONFIG_ASIGNATURAS!$B$2:$J$91,9,FALSE()),""))</f>
      </c>
    </row>
    <row r="14063">
      <c r="F14063">
        <f>IF(DATOS!$A14063="","",DATOS!$A14063&amp;"|"&amp;DATOS!$D14063&amp;"|"&amp;DATOS!$E14063&amp;"|"&amp;DATOS!$I14063)</f>
      </c>
      <c r="G14063">
        <f>IF(DATOS!$A14063="",0,IF(CONFIG_METADATA!$B$4&lt;&gt;"OR+EX",--(DATOS!$G14063=CONFIG_METADATA!$B$4),IF(DATOS!$G14063="EX",1,IF(DATOS!$G14063="OR",--(COUNTIFS(nNIA,DATOS!$A14063,nCURSO,DATOS!$D14063,nESPEC,DATOS!$E14063,nASIG,DATOS!$I14063,nEVAL,"EX")=0),0))))</f>
      </c>
      <c r="H14063">
        <f>IF(DATOS!$G14063&lt;&gt;"EX",0,--(COUNTIFS(nNIA,DATOS!$A14063,nCURSO,DATOS!$D14063,nESPEC,DATOS!$E14063,nASIG,DATOS!$I14063,nEVAL,"OR")=0))</f>
      </c>
      <c r="I14063">
        <f>IF(DATOS!$I14063="","",IFERROR(VLOOKUP(DATOS!$I14063,CONFIG_ASIGNATURAS!$B$2:$J$91,9,FALSE()),""))</f>
      </c>
    </row>
    <row r="14064">
      <c r="F14064">
        <f>IF(DATOS!$A14064="","",DATOS!$A14064&amp;"|"&amp;DATOS!$D14064&amp;"|"&amp;DATOS!$E14064&amp;"|"&amp;DATOS!$I14064)</f>
      </c>
      <c r="G14064">
        <f>IF(DATOS!$A14064="",0,IF(CONFIG_METADATA!$B$4&lt;&gt;"OR+EX",--(DATOS!$G14064=CONFIG_METADATA!$B$4),IF(DATOS!$G14064="EX",1,IF(DATOS!$G14064="OR",--(COUNTIFS(nNIA,DATOS!$A14064,nCURSO,DATOS!$D14064,nESPEC,DATOS!$E14064,nASIG,DATOS!$I14064,nEVAL,"EX")=0),0))))</f>
      </c>
      <c r="H14064">
        <f>IF(DATOS!$G14064&lt;&gt;"EX",0,--(COUNTIFS(nNIA,DATOS!$A14064,nCURSO,DATOS!$D14064,nESPEC,DATOS!$E14064,nASIG,DATOS!$I14064,nEVAL,"OR")=0))</f>
      </c>
      <c r="I14064">
        <f>IF(DATOS!$I14064="","",IFERROR(VLOOKUP(DATOS!$I14064,CONFIG_ASIGNATURAS!$B$2:$J$91,9,FALSE()),""))</f>
      </c>
    </row>
    <row r="14065">
      <c r="F14065">
        <f>IF(DATOS!$A14065="","",DATOS!$A14065&amp;"|"&amp;DATOS!$D14065&amp;"|"&amp;DATOS!$E14065&amp;"|"&amp;DATOS!$I14065)</f>
      </c>
      <c r="G14065">
        <f>IF(DATOS!$A14065="",0,IF(CONFIG_METADATA!$B$4&lt;&gt;"OR+EX",--(DATOS!$G14065=CONFIG_METADATA!$B$4),IF(DATOS!$G14065="EX",1,IF(DATOS!$G14065="OR",--(COUNTIFS(nNIA,DATOS!$A14065,nCURSO,DATOS!$D14065,nESPEC,DATOS!$E14065,nASIG,DATOS!$I14065,nEVAL,"EX")=0),0))))</f>
      </c>
      <c r="H14065">
        <f>IF(DATOS!$G14065&lt;&gt;"EX",0,--(COUNTIFS(nNIA,DATOS!$A14065,nCURSO,DATOS!$D14065,nESPEC,DATOS!$E14065,nASIG,DATOS!$I14065,nEVAL,"OR")=0))</f>
      </c>
      <c r="I14065">
        <f>IF(DATOS!$I14065="","",IFERROR(VLOOKUP(DATOS!$I14065,CONFIG_ASIGNATURAS!$B$2:$J$91,9,FALSE()),""))</f>
      </c>
    </row>
    <row r="14066">
      <c r="F14066">
        <f>IF(DATOS!$A14066="","",DATOS!$A14066&amp;"|"&amp;DATOS!$D14066&amp;"|"&amp;DATOS!$E14066&amp;"|"&amp;DATOS!$I14066)</f>
      </c>
      <c r="G14066">
        <f>IF(DATOS!$A14066="",0,IF(CONFIG_METADATA!$B$4&lt;&gt;"OR+EX",--(DATOS!$G14066=CONFIG_METADATA!$B$4),IF(DATOS!$G14066="EX",1,IF(DATOS!$G14066="OR",--(COUNTIFS(nNIA,DATOS!$A14066,nCURSO,DATOS!$D14066,nESPEC,DATOS!$E14066,nASIG,DATOS!$I14066,nEVAL,"EX")=0),0))))</f>
      </c>
      <c r="H14066">
        <f>IF(DATOS!$G14066&lt;&gt;"EX",0,--(COUNTIFS(nNIA,DATOS!$A14066,nCURSO,DATOS!$D14066,nESPEC,DATOS!$E14066,nASIG,DATOS!$I14066,nEVAL,"OR")=0))</f>
      </c>
      <c r="I14066">
        <f>IF(DATOS!$I14066="","",IFERROR(VLOOKUP(DATOS!$I14066,CONFIG_ASIGNATURAS!$B$2:$J$91,9,FALSE()),""))</f>
      </c>
    </row>
    <row r="14067">
      <c r="F14067">
        <f>IF(DATOS!$A14067="","",DATOS!$A14067&amp;"|"&amp;DATOS!$D14067&amp;"|"&amp;DATOS!$E14067&amp;"|"&amp;DATOS!$I14067)</f>
      </c>
      <c r="G14067">
        <f>IF(DATOS!$A14067="",0,IF(CONFIG_METADATA!$B$4&lt;&gt;"OR+EX",--(DATOS!$G14067=CONFIG_METADATA!$B$4),IF(DATOS!$G14067="EX",1,IF(DATOS!$G14067="OR",--(COUNTIFS(nNIA,DATOS!$A14067,nCURSO,DATOS!$D14067,nESPEC,DATOS!$E14067,nASIG,DATOS!$I14067,nEVAL,"EX")=0),0))))</f>
      </c>
      <c r="H14067">
        <f>IF(DATOS!$G14067&lt;&gt;"EX",0,--(COUNTIFS(nNIA,DATOS!$A14067,nCURSO,DATOS!$D14067,nESPEC,DATOS!$E14067,nASIG,DATOS!$I14067,nEVAL,"OR")=0))</f>
      </c>
      <c r="I14067">
        <f>IF(DATOS!$I14067="","",IFERROR(VLOOKUP(DATOS!$I14067,CONFIG_ASIGNATURAS!$B$2:$J$91,9,FALSE()),""))</f>
      </c>
    </row>
    <row r="14068">
      <c r="F14068">
        <f>IF(DATOS!$A14068="","",DATOS!$A14068&amp;"|"&amp;DATOS!$D14068&amp;"|"&amp;DATOS!$E14068&amp;"|"&amp;DATOS!$I14068)</f>
      </c>
      <c r="G14068">
        <f>IF(DATOS!$A14068="",0,IF(CONFIG_METADATA!$B$4&lt;&gt;"OR+EX",--(DATOS!$G14068=CONFIG_METADATA!$B$4),IF(DATOS!$G14068="EX",1,IF(DATOS!$G14068="OR",--(COUNTIFS(nNIA,DATOS!$A14068,nCURSO,DATOS!$D14068,nESPEC,DATOS!$E14068,nASIG,DATOS!$I14068,nEVAL,"EX")=0),0))))</f>
      </c>
      <c r="H14068">
        <f>IF(DATOS!$G14068&lt;&gt;"EX",0,--(COUNTIFS(nNIA,DATOS!$A14068,nCURSO,DATOS!$D14068,nESPEC,DATOS!$E14068,nASIG,DATOS!$I14068,nEVAL,"OR")=0))</f>
      </c>
      <c r="I14068">
        <f>IF(DATOS!$I14068="","",IFERROR(VLOOKUP(DATOS!$I14068,CONFIG_ASIGNATURAS!$B$2:$J$91,9,FALSE()),""))</f>
      </c>
    </row>
    <row r="14069">
      <c r="F14069">
        <f>IF(DATOS!$A14069="","",DATOS!$A14069&amp;"|"&amp;DATOS!$D14069&amp;"|"&amp;DATOS!$E14069&amp;"|"&amp;DATOS!$I14069)</f>
      </c>
      <c r="G14069">
        <f>IF(DATOS!$A14069="",0,IF(CONFIG_METADATA!$B$4&lt;&gt;"OR+EX",--(DATOS!$G14069=CONFIG_METADATA!$B$4),IF(DATOS!$G14069="EX",1,IF(DATOS!$G14069="OR",--(COUNTIFS(nNIA,DATOS!$A14069,nCURSO,DATOS!$D14069,nESPEC,DATOS!$E14069,nASIG,DATOS!$I14069,nEVAL,"EX")=0),0))))</f>
      </c>
      <c r="H14069">
        <f>IF(DATOS!$G14069&lt;&gt;"EX",0,--(COUNTIFS(nNIA,DATOS!$A14069,nCURSO,DATOS!$D14069,nESPEC,DATOS!$E14069,nASIG,DATOS!$I14069,nEVAL,"OR")=0))</f>
      </c>
      <c r="I14069">
        <f>IF(DATOS!$I14069="","",IFERROR(VLOOKUP(DATOS!$I14069,CONFIG_ASIGNATURAS!$B$2:$J$91,9,FALSE()),""))</f>
      </c>
    </row>
    <row r="14070">
      <c r="F14070">
        <f>IF(DATOS!$A14070="","",DATOS!$A14070&amp;"|"&amp;DATOS!$D14070&amp;"|"&amp;DATOS!$E14070&amp;"|"&amp;DATOS!$I14070)</f>
      </c>
      <c r="G14070">
        <f>IF(DATOS!$A14070="",0,IF(CONFIG_METADATA!$B$4&lt;&gt;"OR+EX",--(DATOS!$G14070=CONFIG_METADATA!$B$4),IF(DATOS!$G14070="EX",1,IF(DATOS!$G14070="OR",--(COUNTIFS(nNIA,DATOS!$A14070,nCURSO,DATOS!$D14070,nESPEC,DATOS!$E14070,nASIG,DATOS!$I14070,nEVAL,"EX")=0),0))))</f>
      </c>
      <c r="H14070">
        <f>IF(DATOS!$G14070&lt;&gt;"EX",0,--(COUNTIFS(nNIA,DATOS!$A14070,nCURSO,DATOS!$D14070,nESPEC,DATOS!$E14070,nASIG,DATOS!$I14070,nEVAL,"OR")=0))</f>
      </c>
      <c r="I14070">
        <f>IF(DATOS!$I14070="","",IFERROR(VLOOKUP(DATOS!$I14070,CONFIG_ASIGNATURAS!$B$2:$J$91,9,FALSE()),""))</f>
      </c>
    </row>
    <row r="14071">
      <c r="F14071">
        <f>IF(DATOS!$A14071="","",DATOS!$A14071&amp;"|"&amp;DATOS!$D14071&amp;"|"&amp;DATOS!$E14071&amp;"|"&amp;DATOS!$I14071)</f>
      </c>
      <c r="G14071">
        <f>IF(DATOS!$A14071="",0,IF(CONFIG_METADATA!$B$4&lt;&gt;"OR+EX",--(DATOS!$G14071=CONFIG_METADATA!$B$4),IF(DATOS!$G14071="EX",1,IF(DATOS!$G14071="OR",--(COUNTIFS(nNIA,DATOS!$A14071,nCURSO,DATOS!$D14071,nESPEC,DATOS!$E14071,nASIG,DATOS!$I14071,nEVAL,"EX")=0),0))))</f>
      </c>
      <c r="H14071">
        <f>IF(DATOS!$G14071&lt;&gt;"EX",0,--(COUNTIFS(nNIA,DATOS!$A14071,nCURSO,DATOS!$D14071,nESPEC,DATOS!$E14071,nASIG,DATOS!$I14071,nEVAL,"OR")=0))</f>
      </c>
      <c r="I14071">
        <f>IF(DATOS!$I14071="","",IFERROR(VLOOKUP(DATOS!$I14071,CONFIG_ASIGNATURAS!$B$2:$J$91,9,FALSE()),""))</f>
      </c>
    </row>
    <row r="14072">
      <c r="F14072">
        <f>IF(DATOS!$A14072="","",DATOS!$A14072&amp;"|"&amp;DATOS!$D14072&amp;"|"&amp;DATOS!$E14072&amp;"|"&amp;DATOS!$I14072)</f>
      </c>
      <c r="G14072">
        <f>IF(DATOS!$A14072="",0,IF(CONFIG_METADATA!$B$4&lt;&gt;"OR+EX",--(DATOS!$G14072=CONFIG_METADATA!$B$4),IF(DATOS!$G14072="EX",1,IF(DATOS!$G14072="OR",--(COUNTIFS(nNIA,DATOS!$A14072,nCURSO,DATOS!$D14072,nESPEC,DATOS!$E14072,nASIG,DATOS!$I14072,nEVAL,"EX")=0),0))))</f>
      </c>
      <c r="H14072">
        <f>IF(DATOS!$G14072&lt;&gt;"EX",0,--(COUNTIFS(nNIA,DATOS!$A14072,nCURSO,DATOS!$D14072,nESPEC,DATOS!$E14072,nASIG,DATOS!$I14072,nEVAL,"OR")=0))</f>
      </c>
      <c r="I14072">
        <f>IF(DATOS!$I14072="","",IFERROR(VLOOKUP(DATOS!$I14072,CONFIG_ASIGNATURAS!$B$2:$J$91,9,FALSE()),""))</f>
      </c>
    </row>
    <row r="14073">
      <c r="F14073">
        <f>IF(DATOS!$A14073="","",DATOS!$A14073&amp;"|"&amp;DATOS!$D14073&amp;"|"&amp;DATOS!$E14073&amp;"|"&amp;DATOS!$I14073)</f>
      </c>
      <c r="G14073">
        <f>IF(DATOS!$A14073="",0,IF(CONFIG_METADATA!$B$4&lt;&gt;"OR+EX",--(DATOS!$G14073=CONFIG_METADATA!$B$4),IF(DATOS!$G14073="EX",1,IF(DATOS!$G14073="OR",--(COUNTIFS(nNIA,DATOS!$A14073,nCURSO,DATOS!$D14073,nESPEC,DATOS!$E14073,nASIG,DATOS!$I14073,nEVAL,"EX")=0),0))))</f>
      </c>
      <c r="H14073">
        <f>IF(DATOS!$G14073&lt;&gt;"EX",0,--(COUNTIFS(nNIA,DATOS!$A14073,nCURSO,DATOS!$D14073,nESPEC,DATOS!$E14073,nASIG,DATOS!$I14073,nEVAL,"OR")=0))</f>
      </c>
      <c r="I14073">
        <f>IF(DATOS!$I14073="","",IFERROR(VLOOKUP(DATOS!$I14073,CONFIG_ASIGNATURAS!$B$2:$J$91,9,FALSE()),""))</f>
      </c>
    </row>
    <row r="14074">
      <c r="F14074">
        <f>IF(DATOS!$A14074="","",DATOS!$A14074&amp;"|"&amp;DATOS!$D14074&amp;"|"&amp;DATOS!$E14074&amp;"|"&amp;DATOS!$I14074)</f>
      </c>
      <c r="G14074">
        <f>IF(DATOS!$A14074="",0,IF(CONFIG_METADATA!$B$4&lt;&gt;"OR+EX",--(DATOS!$G14074=CONFIG_METADATA!$B$4),IF(DATOS!$G14074="EX",1,IF(DATOS!$G14074="OR",--(COUNTIFS(nNIA,DATOS!$A14074,nCURSO,DATOS!$D14074,nESPEC,DATOS!$E14074,nASIG,DATOS!$I14074,nEVAL,"EX")=0),0))))</f>
      </c>
      <c r="H14074">
        <f>IF(DATOS!$G14074&lt;&gt;"EX",0,--(COUNTIFS(nNIA,DATOS!$A14074,nCURSO,DATOS!$D14074,nESPEC,DATOS!$E14074,nASIG,DATOS!$I14074,nEVAL,"OR")=0))</f>
      </c>
      <c r="I14074">
        <f>IF(DATOS!$I14074="","",IFERROR(VLOOKUP(DATOS!$I14074,CONFIG_ASIGNATURAS!$B$2:$J$91,9,FALSE()),""))</f>
      </c>
    </row>
    <row r="14075">
      <c r="F14075">
        <f>IF(DATOS!$A14075="","",DATOS!$A14075&amp;"|"&amp;DATOS!$D14075&amp;"|"&amp;DATOS!$E14075&amp;"|"&amp;DATOS!$I14075)</f>
      </c>
      <c r="G14075">
        <f>IF(DATOS!$A14075="",0,IF(CONFIG_METADATA!$B$4&lt;&gt;"OR+EX",--(DATOS!$G14075=CONFIG_METADATA!$B$4),IF(DATOS!$G14075="EX",1,IF(DATOS!$G14075="OR",--(COUNTIFS(nNIA,DATOS!$A14075,nCURSO,DATOS!$D14075,nESPEC,DATOS!$E14075,nASIG,DATOS!$I14075,nEVAL,"EX")=0),0))))</f>
      </c>
      <c r="H14075">
        <f>IF(DATOS!$G14075&lt;&gt;"EX",0,--(COUNTIFS(nNIA,DATOS!$A14075,nCURSO,DATOS!$D14075,nESPEC,DATOS!$E14075,nASIG,DATOS!$I14075,nEVAL,"OR")=0))</f>
      </c>
      <c r="I14075">
        <f>IF(DATOS!$I14075="","",IFERROR(VLOOKUP(DATOS!$I14075,CONFIG_ASIGNATURAS!$B$2:$J$91,9,FALSE()),""))</f>
      </c>
    </row>
    <row r="14076">
      <c r="F14076">
        <f>IF(DATOS!$A14076="","",DATOS!$A14076&amp;"|"&amp;DATOS!$D14076&amp;"|"&amp;DATOS!$E14076&amp;"|"&amp;DATOS!$I14076)</f>
      </c>
      <c r="G14076">
        <f>IF(DATOS!$A14076="",0,IF(CONFIG_METADATA!$B$4&lt;&gt;"OR+EX",--(DATOS!$G14076=CONFIG_METADATA!$B$4),IF(DATOS!$G14076="EX",1,IF(DATOS!$G14076="OR",--(COUNTIFS(nNIA,DATOS!$A14076,nCURSO,DATOS!$D14076,nESPEC,DATOS!$E14076,nASIG,DATOS!$I14076,nEVAL,"EX")=0),0))))</f>
      </c>
      <c r="H14076">
        <f>IF(DATOS!$G14076&lt;&gt;"EX",0,--(COUNTIFS(nNIA,DATOS!$A14076,nCURSO,DATOS!$D14076,nESPEC,DATOS!$E14076,nASIG,DATOS!$I14076,nEVAL,"OR")=0))</f>
      </c>
      <c r="I14076">
        <f>IF(DATOS!$I14076="","",IFERROR(VLOOKUP(DATOS!$I14076,CONFIG_ASIGNATURAS!$B$2:$J$91,9,FALSE()),""))</f>
      </c>
    </row>
    <row r="14077">
      <c r="F14077">
        <f>IF(DATOS!$A14077="","",DATOS!$A14077&amp;"|"&amp;DATOS!$D14077&amp;"|"&amp;DATOS!$E14077&amp;"|"&amp;DATOS!$I14077)</f>
      </c>
      <c r="G14077">
        <f>IF(DATOS!$A14077="",0,IF(CONFIG_METADATA!$B$4&lt;&gt;"OR+EX",--(DATOS!$G14077=CONFIG_METADATA!$B$4),IF(DATOS!$G14077="EX",1,IF(DATOS!$G14077="OR",--(COUNTIFS(nNIA,DATOS!$A14077,nCURSO,DATOS!$D14077,nESPEC,DATOS!$E14077,nASIG,DATOS!$I14077,nEVAL,"EX")=0),0))))</f>
      </c>
      <c r="H14077">
        <f>IF(DATOS!$G14077&lt;&gt;"EX",0,--(COUNTIFS(nNIA,DATOS!$A14077,nCURSO,DATOS!$D14077,nESPEC,DATOS!$E14077,nASIG,DATOS!$I14077,nEVAL,"OR")=0))</f>
      </c>
      <c r="I14077">
        <f>IF(DATOS!$I14077="","",IFERROR(VLOOKUP(DATOS!$I14077,CONFIG_ASIGNATURAS!$B$2:$J$91,9,FALSE()),""))</f>
      </c>
    </row>
    <row r="14078">
      <c r="F14078">
        <f>IF(DATOS!$A14078="","",DATOS!$A14078&amp;"|"&amp;DATOS!$D14078&amp;"|"&amp;DATOS!$E14078&amp;"|"&amp;DATOS!$I14078)</f>
      </c>
      <c r="G14078">
        <f>IF(DATOS!$A14078="",0,IF(CONFIG_METADATA!$B$4&lt;&gt;"OR+EX",--(DATOS!$G14078=CONFIG_METADATA!$B$4),IF(DATOS!$G14078="EX",1,IF(DATOS!$G14078="OR",--(COUNTIFS(nNIA,DATOS!$A14078,nCURSO,DATOS!$D14078,nESPEC,DATOS!$E14078,nASIG,DATOS!$I14078,nEVAL,"EX")=0),0))))</f>
      </c>
      <c r="H14078">
        <f>IF(DATOS!$G14078&lt;&gt;"EX",0,--(COUNTIFS(nNIA,DATOS!$A14078,nCURSO,DATOS!$D14078,nESPEC,DATOS!$E14078,nASIG,DATOS!$I14078,nEVAL,"OR")=0))</f>
      </c>
      <c r="I14078">
        <f>IF(DATOS!$I14078="","",IFERROR(VLOOKUP(DATOS!$I14078,CONFIG_ASIGNATURAS!$B$2:$J$91,9,FALSE()),""))</f>
      </c>
    </row>
    <row r="14079">
      <c r="F14079">
        <f>IF(DATOS!$A14079="","",DATOS!$A14079&amp;"|"&amp;DATOS!$D14079&amp;"|"&amp;DATOS!$E14079&amp;"|"&amp;DATOS!$I14079)</f>
      </c>
      <c r="G14079">
        <f>IF(DATOS!$A14079="",0,IF(CONFIG_METADATA!$B$4&lt;&gt;"OR+EX",--(DATOS!$G14079=CONFIG_METADATA!$B$4),IF(DATOS!$G14079="EX",1,IF(DATOS!$G14079="OR",--(COUNTIFS(nNIA,DATOS!$A14079,nCURSO,DATOS!$D14079,nESPEC,DATOS!$E14079,nASIG,DATOS!$I14079,nEVAL,"EX")=0),0))))</f>
      </c>
      <c r="H14079">
        <f>IF(DATOS!$G14079&lt;&gt;"EX",0,--(COUNTIFS(nNIA,DATOS!$A14079,nCURSO,DATOS!$D14079,nESPEC,DATOS!$E14079,nASIG,DATOS!$I14079,nEVAL,"OR")=0))</f>
      </c>
      <c r="I14079">
        <f>IF(DATOS!$I14079="","",IFERROR(VLOOKUP(DATOS!$I14079,CONFIG_ASIGNATURAS!$B$2:$J$91,9,FALSE()),""))</f>
      </c>
    </row>
    <row r="14080">
      <c r="F14080">
        <f>IF(DATOS!$A14080="","",DATOS!$A14080&amp;"|"&amp;DATOS!$D14080&amp;"|"&amp;DATOS!$E14080&amp;"|"&amp;DATOS!$I14080)</f>
      </c>
      <c r="G14080">
        <f>IF(DATOS!$A14080="",0,IF(CONFIG_METADATA!$B$4&lt;&gt;"OR+EX",--(DATOS!$G14080=CONFIG_METADATA!$B$4),IF(DATOS!$G14080="EX",1,IF(DATOS!$G14080="OR",--(COUNTIFS(nNIA,DATOS!$A14080,nCURSO,DATOS!$D14080,nESPEC,DATOS!$E14080,nASIG,DATOS!$I14080,nEVAL,"EX")=0),0))))</f>
      </c>
      <c r="H14080">
        <f>IF(DATOS!$G14080&lt;&gt;"EX",0,--(COUNTIFS(nNIA,DATOS!$A14080,nCURSO,DATOS!$D14080,nESPEC,DATOS!$E14080,nASIG,DATOS!$I14080,nEVAL,"OR")=0))</f>
      </c>
      <c r="I14080">
        <f>IF(DATOS!$I14080="","",IFERROR(VLOOKUP(DATOS!$I14080,CONFIG_ASIGNATURAS!$B$2:$J$91,9,FALSE()),""))</f>
      </c>
    </row>
    <row r="14081">
      <c r="F14081">
        <f>IF(DATOS!$A14081="","",DATOS!$A14081&amp;"|"&amp;DATOS!$D14081&amp;"|"&amp;DATOS!$E14081&amp;"|"&amp;DATOS!$I14081)</f>
      </c>
      <c r="G14081">
        <f>IF(DATOS!$A14081="",0,IF(CONFIG_METADATA!$B$4&lt;&gt;"OR+EX",--(DATOS!$G14081=CONFIG_METADATA!$B$4),IF(DATOS!$G14081="EX",1,IF(DATOS!$G14081="OR",--(COUNTIFS(nNIA,DATOS!$A14081,nCURSO,DATOS!$D14081,nESPEC,DATOS!$E14081,nASIG,DATOS!$I14081,nEVAL,"EX")=0),0))))</f>
      </c>
      <c r="H14081">
        <f>IF(DATOS!$G14081&lt;&gt;"EX",0,--(COUNTIFS(nNIA,DATOS!$A14081,nCURSO,DATOS!$D14081,nESPEC,DATOS!$E14081,nASIG,DATOS!$I14081,nEVAL,"OR")=0))</f>
      </c>
      <c r="I14081">
        <f>IF(DATOS!$I14081="","",IFERROR(VLOOKUP(DATOS!$I14081,CONFIG_ASIGNATURAS!$B$2:$J$91,9,FALSE()),""))</f>
      </c>
    </row>
    <row r="14082">
      <c r="F14082">
        <f>IF(DATOS!$A14082="","",DATOS!$A14082&amp;"|"&amp;DATOS!$D14082&amp;"|"&amp;DATOS!$E14082&amp;"|"&amp;DATOS!$I14082)</f>
      </c>
      <c r="G14082">
        <f>IF(DATOS!$A14082="",0,IF(CONFIG_METADATA!$B$4&lt;&gt;"OR+EX",--(DATOS!$G14082=CONFIG_METADATA!$B$4),IF(DATOS!$G14082="EX",1,IF(DATOS!$G14082="OR",--(COUNTIFS(nNIA,DATOS!$A14082,nCURSO,DATOS!$D14082,nESPEC,DATOS!$E14082,nASIG,DATOS!$I14082,nEVAL,"EX")=0),0))))</f>
      </c>
      <c r="H14082">
        <f>IF(DATOS!$G14082&lt;&gt;"EX",0,--(COUNTIFS(nNIA,DATOS!$A14082,nCURSO,DATOS!$D14082,nESPEC,DATOS!$E14082,nASIG,DATOS!$I14082,nEVAL,"OR")=0))</f>
      </c>
      <c r="I14082">
        <f>IF(DATOS!$I14082="","",IFERROR(VLOOKUP(DATOS!$I14082,CONFIG_ASIGNATURAS!$B$2:$J$91,9,FALSE()),""))</f>
      </c>
    </row>
    <row r="14083">
      <c r="F14083">
        <f>IF(DATOS!$A14083="","",DATOS!$A14083&amp;"|"&amp;DATOS!$D14083&amp;"|"&amp;DATOS!$E14083&amp;"|"&amp;DATOS!$I14083)</f>
      </c>
      <c r="G14083">
        <f>IF(DATOS!$A14083="",0,IF(CONFIG_METADATA!$B$4&lt;&gt;"OR+EX",--(DATOS!$G14083=CONFIG_METADATA!$B$4),IF(DATOS!$G14083="EX",1,IF(DATOS!$G14083="OR",--(COUNTIFS(nNIA,DATOS!$A14083,nCURSO,DATOS!$D14083,nESPEC,DATOS!$E14083,nASIG,DATOS!$I14083,nEVAL,"EX")=0),0))))</f>
      </c>
      <c r="H14083">
        <f>IF(DATOS!$G14083&lt;&gt;"EX",0,--(COUNTIFS(nNIA,DATOS!$A14083,nCURSO,DATOS!$D14083,nESPEC,DATOS!$E14083,nASIG,DATOS!$I14083,nEVAL,"OR")=0))</f>
      </c>
      <c r="I14083">
        <f>IF(DATOS!$I14083="","",IFERROR(VLOOKUP(DATOS!$I14083,CONFIG_ASIGNATURAS!$B$2:$J$91,9,FALSE()),""))</f>
      </c>
    </row>
    <row r="14084">
      <c r="F14084">
        <f>IF(DATOS!$A14084="","",DATOS!$A14084&amp;"|"&amp;DATOS!$D14084&amp;"|"&amp;DATOS!$E14084&amp;"|"&amp;DATOS!$I14084)</f>
      </c>
      <c r="G14084">
        <f>IF(DATOS!$A14084="",0,IF(CONFIG_METADATA!$B$4&lt;&gt;"OR+EX",--(DATOS!$G14084=CONFIG_METADATA!$B$4),IF(DATOS!$G14084="EX",1,IF(DATOS!$G14084="OR",--(COUNTIFS(nNIA,DATOS!$A14084,nCURSO,DATOS!$D14084,nESPEC,DATOS!$E14084,nASIG,DATOS!$I14084,nEVAL,"EX")=0),0))))</f>
      </c>
      <c r="H14084">
        <f>IF(DATOS!$G14084&lt;&gt;"EX",0,--(COUNTIFS(nNIA,DATOS!$A14084,nCURSO,DATOS!$D14084,nESPEC,DATOS!$E14084,nASIG,DATOS!$I14084,nEVAL,"OR")=0))</f>
      </c>
      <c r="I14084">
        <f>IF(DATOS!$I14084="","",IFERROR(VLOOKUP(DATOS!$I14084,CONFIG_ASIGNATURAS!$B$2:$J$91,9,FALSE()),""))</f>
      </c>
    </row>
    <row r="14085">
      <c r="F14085">
        <f>IF(DATOS!$A14085="","",DATOS!$A14085&amp;"|"&amp;DATOS!$D14085&amp;"|"&amp;DATOS!$E14085&amp;"|"&amp;DATOS!$I14085)</f>
      </c>
      <c r="G14085">
        <f>IF(DATOS!$A14085="",0,IF(CONFIG_METADATA!$B$4&lt;&gt;"OR+EX",--(DATOS!$G14085=CONFIG_METADATA!$B$4),IF(DATOS!$G14085="EX",1,IF(DATOS!$G14085="OR",--(COUNTIFS(nNIA,DATOS!$A14085,nCURSO,DATOS!$D14085,nESPEC,DATOS!$E14085,nASIG,DATOS!$I14085,nEVAL,"EX")=0),0))))</f>
      </c>
      <c r="H14085">
        <f>IF(DATOS!$G14085&lt;&gt;"EX",0,--(COUNTIFS(nNIA,DATOS!$A14085,nCURSO,DATOS!$D14085,nESPEC,DATOS!$E14085,nASIG,DATOS!$I14085,nEVAL,"OR")=0))</f>
      </c>
      <c r="I14085">
        <f>IF(DATOS!$I14085="","",IFERROR(VLOOKUP(DATOS!$I14085,CONFIG_ASIGNATURAS!$B$2:$J$91,9,FALSE()),""))</f>
      </c>
    </row>
    <row r="14086">
      <c r="F14086">
        <f>IF(DATOS!$A14086="","",DATOS!$A14086&amp;"|"&amp;DATOS!$D14086&amp;"|"&amp;DATOS!$E14086&amp;"|"&amp;DATOS!$I14086)</f>
      </c>
      <c r="G14086">
        <f>IF(DATOS!$A14086="",0,IF(CONFIG_METADATA!$B$4&lt;&gt;"OR+EX",--(DATOS!$G14086=CONFIG_METADATA!$B$4),IF(DATOS!$G14086="EX",1,IF(DATOS!$G14086="OR",--(COUNTIFS(nNIA,DATOS!$A14086,nCURSO,DATOS!$D14086,nESPEC,DATOS!$E14086,nASIG,DATOS!$I14086,nEVAL,"EX")=0),0))))</f>
      </c>
      <c r="H14086">
        <f>IF(DATOS!$G14086&lt;&gt;"EX",0,--(COUNTIFS(nNIA,DATOS!$A14086,nCURSO,DATOS!$D14086,nESPEC,DATOS!$E14086,nASIG,DATOS!$I14086,nEVAL,"OR")=0))</f>
      </c>
      <c r="I14086">
        <f>IF(DATOS!$I14086="","",IFERROR(VLOOKUP(DATOS!$I14086,CONFIG_ASIGNATURAS!$B$2:$J$91,9,FALSE()),""))</f>
      </c>
    </row>
    <row r="14087">
      <c r="F14087">
        <f>IF(DATOS!$A14087="","",DATOS!$A14087&amp;"|"&amp;DATOS!$D14087&amp;"|"&amp;DATOS!$E14087&amp;"|"&amp;DATOS!$I14087)</f>
      </c>
      <c r="G14087">
        <f>IF(DATOS!$A14087="",0,IF(CONFIG_METADATA!$B$4&lt;&gt;"OR+EX",--(DATOS!$G14087=CONFIG_METADATA!$B$4),IF(DATOS!$G14087="EX",1,IF(DATOS!$G14087="OR",--(COUNTIFS(nNIA,DATOS!$A14087,nCURSO,DATOS!$D14087,nESPEC,DATOS!$E14087,nASIG,DATOS!$I14087,nEVAL,"EX")=0),0))))</f>
      </c>
      <c r="H14087">
        <f>IF(DATOS!$G14087&lt;&gt;"EX",0,--(COUNTIFS(nNIA,DATOS!$A14087,nCURSO,DATOS!$D14087,nESPEC,DATOS!$E14087,nASIG,DATOS!$I14087,nEVAL,"OR")=0))</f>
      </c>
      <c r="I14087">
        <f>IF(DATOS!$I14087="","",IFERROR(VLOOKUP(DATOS!$I14087,CONFIG_ASIGNATURAS!$B$2:$J$91,9,FALSE()),""))</f>
      </c>
    </row>
    <row r="14088">
      <c r="F14088">
        <f>IF(DATOS!$A14088="","",DATOS!$A14088&amp;"|"&amp;DATOS!$D14088&amp;"|"&amp;DATOS!$E14088&amp;"|"&amp;DATOS!$I14088)</f>
      </c>
      <c r="G14088">
        <f>IF(DATOS!$A14088="",0,IF(CONFIG_METADATA!$B$4&lt;&gt;"OR+EX",--(DATOS!$G14088=CONFIG_METADATA!$B$4),IF(DATOS!$G14088="EX",1,IF(DATOS!$G14088="OR",--(COUNTIFS(nNIA,DATOS!$A14088,nCURSO,DATOS!$D14088,nESPEC,DATOS!$E14088,nASIG,DATOS!$I14088,nEVAL,"EX")=0),0))))</f>
      </c>
      <c r="H14088">
        <f>IF(DATOS!$G14088&lt;&gt;"EX",0,--(COUNTIFS(nNIA,DATOS!$A14088,nCURSO,DATOS!$D14088,nESPEC,DATOS!$E14088,nASIG,DATOS!$I14088,nEVAL,"OR")=0))</f>
      </c>
      <c r="I14088">
        <f>IF(DATOS!$I14088="","",IFERROR(VLOOKUP(DATOS!$I14088,CONFIG_ASIGNATURAS!$B$2:$J$91,9,FALSE()),""))</f>
      </c>
    </row>
    <row r="14089">
      <c r="F14089">
        <f>IF(DATOS!$A14089="","",DATOS!$A14089&amp;"|"&amp;DATOS!$D14089&amp;"|"&amp;DATOS!$E14089&amp;"|"&amp;DATOS!$I14089)</f>
      </c>
      <c r="G14089">
        <f>IF(DATOS!$A14089="",0,IF(CONFIG_METADATA!$B$4&lt;&gt;"OR+EX",--(DATOS!$G14089=CONFIG_METADATA!$B$4),IF(DATOS!$G14089="EX",1,IF(DATOS!$G14089="OR",--(COUNTIFS(nNIA,DATOS!$A14089,nCURSO,DATOS!$D14089,nESPEC,DATOS!$E14089,nASIG,DATOS!$I14089,nEVAL,"EX")=0),0))))</f>
      </c>
      <c r="H14089">
        <f>IF(DATOS!$G14089&lt;&gt;"EX",0,--(COUNTIFS(nNIA,DATOS!$A14089,nCURSO,DATOS!$D14089,nESPEC,DATOS!$E14089,nASIG,DATOS!$I14089,nEVAL,"OR")=0))</f>
      </c>
      <c r="I14089">
        <f>IF(DATOS!$I14089="","",IFERROR(VLOOKUP(DATOS!$I14089,CONFIG_ASIGNATURAS!$B$2:$J$91,9,FALSE()),""))</f>
      </c>
    </row>
    <row r="14090">
      <c r="F14090">
        <f>IF(DATOS!$A14090="","",DATOS!$A14090&amp;"|"&amp;DATOS!$D14090&amp;"|"&amp;DATOS!$E14090&amp;"|"&amp;DATOS!$I14090)</f>
      </c>
      <c r="G14090">
        <f>IF(DATOS!$A14090="",0,IF(CONFIG_METADATA!$B$4&lt;&gt;"OR+EX",--(DATOS!$G14090=CONFIG_METADATA!$B$4),IF(DATOS!$G14090="EX",1,IF(DATOS!$G14090="OR",--(COUNTIFS(nNIA,DATOS!$A14090,nCURSO,DATOS!$D14090,nESPEC,DATOS!$E14090,nASIG,DATOS!$I14090,nEVAL,"EX")=0),0))))</f>
      </c>
      <c r="H14090">
        <f>IF(DATOS!$G14090&lt;&gt;"EX",0,--(COUNTIFS(nNIA,DATOS!$A14090,nCURSO,DATOS!$D14090,nESPEC,DATOS!$E14090,nASIG,DATOS!$I14090,nEVAL,"OR")=0))</f>
      </c>
      <c r="I14090">
        <f>IF(DATOS!$I14090="","",IFERROR(VLOOKUP(DATOS!$I14090,CONFIG_ASIGNATURAS!$B$2:$J$91,9,FALSE()),""))</f>
      </c>
    </row>
    <row r="14091">
      <c r="F14091">
        <f>IF(DATOS!$A14091="","",DATOS!$A14091&amp;"|"&amp;DATOS!$D14091&amp;"|"&amp;DATOS!$E14091&amp;"|"&amp;DATOS!$I14091)</f>
      </c>
      <c r="G14091">
        <f>IF(DATOS!$A14091="",0,IF(CONFIG_METADATA!$B$4&lt;&gt;"OR+EX",--(DATOS!$G14091=CONFIG_METADATA!$B$4),IF(DATOS!$G14091="EX",1,IF(DATOS!$G14091="OR",--(COUNTIFS(nNIA,DATOS!$A14091,nCURSO,DATOS!$D14091,nESPEC,DATOS!$E14091,nASIG,DATOS!$I14091,nEVAL,"EX")=0),0))))</f>
      </c>
      <c r="H14091">
        <f>IF(DATOS!$G14091&lt;&gt;"EX",0,--(COUNTIFS(nNIA,DATOS!$A14091,nCURSO,DATOS!$D14091,nESPEC,DATOS!$E14091,nASIG,DATOS!$I14091,nEVAL,"OR")=0))</f>
      </c>
      <c r="I14091">
        <f>IF(DATOS!$I14091="","",IFERROR(VLOOKUP(DATOS!$I14091,CONFIG_ASIGNATURAS!$B$2:$J$91,9,FALSE()),""))</f>
      </c>
    </row>
    <row r="14092">
      <c r="F14092">
        <f>IF(DATOS!$A14092="","",DATOS!$A14092&amp;"|"&amp;DATOS!$D14092&amp;"|"&amp;DATOS!$E14092&amp;"|"&amp;DATOS!$I14092)</f>
      </c>
      <c r="G14092">
        <f>IF(DATOS!$A14092="",0,IF(CONFIG_METADATA!$B$4&lt;&gt;"OR+EX",--(DATOS!$G14092=CONFIG_METADATA!$B$4),IF(DATOS!$G14092="EX",1,IF(DATOS!$G14092="OR",--(COUNTIFS(nNIA,DATOS!$A14092,nCURSO,DATOS!$D14092,nESPEC,DATOS!$E14092,nASIG,DATOS!$I14092,nEVAL,"EX")=0),0))))</f>
      </c>
      <c r="H14092">
        <f>IF(DATOS!$G14092&lt;&gt;"EX",0,--(COUNTIFS(nNIA,DATOS!$A14092,nCURSO,DATOS!$D14092,nESPEC,DATOS!$E14092,nASIG,DATOS!$I14092,nEVAL,"OR")=0))</f>
      </c>
      <c r="I14092">
        <f>IF(DATOS!$I14092="","",IFERROR(VLOOKUP(DATOS!$I14092,CONFIG_ASIGNATURAS!$B$2:$J$91,9,FALSE()),""))</f>
      </c>
    </row>
    <row r="14093">
      <c r="F14093">
        <f>IF(DATOS!$A14093="","",DATOS!$A14093&amp;"|"&amp;DATOS!$D14093&amp;"|"&amp;DATOS!$E14093&amp;"|"&amp;DATOS!$I14093)</f>
      </c>
      <c r="G14093">
        <f>IF(DATOS!$A14093="",0,IF(CONFIG_METADATA!$B$4&lt;&gt;"OR+EX",--(DATOS!$G14093=CONFIG_METADATA!$B$4),IF(DATOS!$G14093="EX",1,IF(DATOS!$G14093="OR",--(COUNTIFS(nNIA,DATOS!$A14093,nCURSO,DATOS!$D14093,nESPEC,DATOS!$E14093,nASIG,DATOS!$I14093,nEVAL,"EX")=0),0))))</f>
      </c>
      <c r="H14093">
        <f>IF(DATOS!$G14093&lt;&gt;"EX",0,--(COUNTIFS(nNIA,DATOS!$A14093,nCURSO,DATOS!$D14093,nESPEC,DATOS!$E14093,nASIG,DATOS!$I14093,nEVAL,"OR")=0))</f>
      </c>
      <c r="I14093">
        <f>IF(DATOS!$I14093="","",IFERROR(VLOOKUP(DATOS!$I14093,CONFIG_ASIGNATURAS!$B$2:$J$91,9,FALSE()),""))</f>
      </c>
    </row>
    <row r="14094">
      <c r="F14094">
        <f>IF(DATOS!$A14094="","",DATOS!$A14094&amp;"|"&amp;DATOS!$D14094&amp;"|"&amp;DATOS!$E14094&amp;"|"&amp;DATOS!$I14094)</f>
      </c>
      <c r="G14094">
        <f>IF(DATOS!$A14094="",0,IF(CONFIG_METADATA!$B$4&lt;&gt;"OR+EX",--(DATOS!$G14094=CONFIG_METADATA!$B$4),IF(DATOS!$G14094="EX",1,IF(DATOS!$G14094="OR",--(COUNTIFS(nNIA,DATOS!$A14094,nCURSO,DATOS!$D14094,nESPEC,DATOS!$E14094,nASIG,DATOS!$I14094,nEVAL,"EX")=0),0))))</f>
      </c>
      <c r="H14094">
        <f>IF(DATOS!$G14094&lt;&gt;"EX",0,--(COUNTIFS(nNIA,DATOS!$A14094,nCURSO,DATOS!$D14094,nESPEC,DATOS!$E14094,nASIG,DATOS!$I14094,nEVAL,"OR")=0))</f>
      </c>
      <c r="I14094">
        <f>IF(DATOS!$I14094="","",IFERROR(VLOOKUP(DATOS!$I14094,CONFIG_ASIGNATURAS!$B$2:$J$91,9,FALSE()),""))</f>
      </c>
    </row>
    <row r="14095">
      <c r="F14095">
        <f>IF(DATOS!$A14095="","",DATOS!$A14095&amp;"|"&amp;DATOS!$D14095&amp;"|"&amp;DATOS!$E14095&amp;"|"&amp;DATOS!$I14095)</f>
      </c>
      <c r="G14095">
        <f>IF(DATOS!$A14095="",0,IF(CONFIG_METADATA!$B$4&lt;&gt;"OR+EX",--(DATOS!$G14095=CONFIG_METADATA!$B$4),IF(DATOS!$G14095="EX",1,IF(DATOS!$G14095="OR",--(COUNTIFS(nNIA,DATOS!$A14095,nCURSO,DATOS!$D14095,nESPEC,DATOS!$E14095,nASIG,DATOS!$I14095,nEVAL,"EX")=0),0))))</f>
      </c>
      <c r="H14095">
        <f>IF(DATOS!$G14095&lt;&gt;"EX",0,--(COUNTIFS(nNIA,DATOS!$A14095,nCURSO,DATOS!$D14095,nESPEC,DATOS!$E14095,nASIG,DATOS!$I14095,nEVAL,"OR")=0))</f>
      </c>
      <c r="I14095">
        <f>IF(DATOS!$I14095="","",IFERROR(VLOOKUP(DATOS!$I14095,CONFIG_ASIGNATURAS!$B$2:$J$91,9,FALSE()),""))</f>
      </c>
    </row>
    <row r="14096">
      <c r="F14096">
        <f>IF(DATOS!$A14096="","",DATOS!$A14096&amp;"|"&amp;DATOS!$D14096&amp;"|"&amp;DATOS!$E14096&amp;"|"&amp;DATOS!$I14096)</f>
      </c>
      <c r="G14096">
        <f>IF(DATOS!$A14096="",0,IF(CONFIG_METADATA!$B$4&lt;&gt;"OR+EX",--(DATOS!$G14096=CONFIG_METADATA!$B$4),IF(DATOS!$G14096="EX",1,IF(DATOS!$G14096="OR",--(COUNTIFS(nNIA,DATOS!$A14096,nCURSO,DATOS!$D14096,nESPEC,DATOS!$E14096,nASIG,DATOS!$I14096,nEVAL,"EX")=0),0))))</f>
      </c>
      <c r="H14096">
        <f>IF(DATOS!$G14096&lt;&gt;"EX",0,--(COUNTIFS(nNIA,DATOS!$A14096,nCURSO,DATOS!$D14096,nESPEC,DATOS!$E14096,nASIG,DATOS!$I14096,nEVAL,"OR")=0))</f>
      </c>
      <c r="I14096">
        <f>IF(DATOS!$I14096="","",IFERROR(VLOOKUP(DATOS!$I14096,CONFIG_ASIGNATURAS!$B$2:$J$91,9,FALSE()),""))</f>
      </c>
    </row>
    <row r="14097">
      <c r="F14097">
        <f>IF(DATOS!$A14097="","",DATOS!$A14097&amp;"|"&amp;DATOS!$D14097&amp;"|"&amp;DATOS!$E14097&amp;"|"&amp;DATOS!$I14097)</f>
      </c>
      <c r="G14097">
        <f>IF(DATOS!$A14097="",0,IF(CONFIG_METADATA!$B$4&lt;&gt;"OR+EX",--(DATOS!$G14097=CONFIG_METADATA!$B$4),IF(DATOS!$G14097="EX",1,IF(DATOS!$G14097="OR",--(COUNTIFS(nNIA,DATOS!$A14097,nCURSO,DATOS!$D14097,nESPEC,DATOS!$E14097,nASIG,DATOS!$I14097,nEVAL,"EX")=0),0))))</f>
      </c>
      <c r="H14097">
        <f>IF(DATOS!$G14097&lt;&gt;"EX",0,--(COUNTIFS(nNIA,DATOS!$A14097,nCURSO,DATOS!$D14097,nESPEC,DATOS!$E14097,nASIG,DATOS!$I14097,nEVAL,"OR")=0))</f>
      </c>
      <c r="I14097">
        <f>IF(DATOS!$I14097="","",IFERROR(VLOOKUP(DATOS!$I14097,CONFIG_ASIGNATURAS!$B$2:$J$91,9,FALSE()),""))</f>
      </c>
    </row>
    <row r="14098">
      <c r="F14098">
        <f>IF(DATOS!$A14098="","",DATOS!$A14098&amp;"|"&amp;DATOS!$D14098&amp;"|"&amp;DATOS!$E14098&amp;"|"&amp;DATOS!$I14098)</f>
      </c>
      <c r="G14098">
        <f>IF(DATOS!$A14098="",0,IF(CONFIG_METADATA!$B$4&lt;&gt;"OR+EX",--(DATOS!$G14098=CONFIG_METADATA!$B$4),IF(DATOS!$G14098="EX",1,IF(DATOS!$G14098="OR",--(COUNTIFS(nNIA,DATOS!$A14098,nCURSO,DATOS!$D14098,nESPEC,DATOS!$E14098,nASIG,DATOS!$I14098,nEVAL,"EX")=0),0))))</f>
      </c>
      <c r="H14098">
        <f>IF(DATOS!$G14098&lt;&gt;"EX",0,--(COUNTIFS(nNIA,DATOS!$A14098,nCURSO,DATOS!$D14098,nESPEC,DATOS!$E14098,nASIG,DATOS!$I14098,nEVAL,"OR")=0))</f>
      </c>
      <c r="I14098">
        <f>IF(DATOS!$I14098="","",IFERROR(VLOOKUP(DATOS!$I14098,CONFIG_ASIGNATURAS!$B$2:$J$91,9,FALSE()),""))</f>
      </c>
    </row>
    <row r="14099">
      <c r="F14099">
        <f>IF(DATOS!$A14099="","",DATOS!$A14099&amp;"|"&amp;DATOS!$D14099&amp;"|"&amp;DATOS!$E14099&amp;"|"&amp;DATOS!$I14099)</f>
      </c>
      <c r="G14099">
        <f>IF(DATOS!$A14099="",0,IF(CONFIG_METADATA!$B$4&lt;&gt;"OR+EX",--(DATOS!$G14099=CONFIG_METADATA!$B$4),IF(DATOS!$G14099="EX",1,IF(DATOS!$G14099="OR",--(COUNTIFS(nNIA,DATOS!$A14099,nCURSO,DATOS!$D14099,nESPEC,DATOS!$E14099,nASIG,DATOS!$I14099,nEVAL,"EX")=0),0))))</f>
      </c>
      <c r="H14099">
        <f>IF(DATOS!$G14099&lt;&gt;"EX",0,--(COUNTIFS(nNIA,DATOS!$A14099,nCURSO,DATOS!$D14099,nESPEC,DATOS!$E14099,nASIG,DATOS!$I14099,nEVAL,"OR")=0))</f>
      </c>
      <c r="I14099">
        <f>IF(DATOS!$I14099="","",IFERROR(VLOOKUP(DATOS!$I14099,CONFIG_ASIGNATURAS!$B$2:$J$91,9,FALSE()),""))</f>
      </c>
    </row>
    <row r="14100">
      <c r="F14100">
        <f>IF(DATOS!$A14100="","",DATOS!$A14100&amp;"|"&amp;DATOS!$D14100&amp;"|"&amp;DATOS!$E14100&amp;"|"&amp;DATOS!$I14100)</f>
      </c>
      <c r="G14100">
        <f>IF(DATOS!$A14100="",0,IF(CONFIG_METADATA!$B$4&lt;&gt;"OR+EX",--(DATOS!$G14100=CONFIG_METADATA!$B$4),IF(DATOS!$G14100="EX",1,IF(DATOS!$G14100="OR",--(COUNTIFS(nNIA,DATOS!$A14100,nCURSO,DATOS!$D14100,nESPEC,DATOS!$E14100,nASIG,DATOS!$I14100,nEVAL,"EX")=0),0))))</f>
      </c>
      <c r="H14100">
        <f>IF(DATOS!$G14100&lt;&gt;"EX",0,--(COUNTIFS(nNIA,DATOS!$A14100,nCURSO,DATOS!$D14100,nESPEC,DATOS!$E14100,nASIG,DATOS!$I14100,nEVAL,"OR")=0))</f>
      </c>
      <c r="I14100">
        <f>IF(DATOS!$I14100="","",IFERROR(VLOOKUP(DATOS!$I14100,CONFIG_ASIGNATURAS!$B$2:$J$91,9,FALSE()),""))</f>
      </c>
    </row>
    <row r="14101">
      <c r="F14101">
        <f>IF(DATOS!$A14101="","",DATOS!$A14101&amp;"|"&amp;DATOS!$D14101&amp;"|"&amp;DATOS!$E14101&amp;"|"&amp;DATOS!$I14101)</f>
      </c>
      <c r="G14101">
        <f>IF(DATOS!$A14101="",0,IF(CONFIG_METADATA!$B$4&lt;&gt;"OR+EX",--(DATOS!$G14101=CONFIG_METADATA!$B$4),IF(DATOS!$G14101="EX",1,IF(DATOS!$G14101="OR",--(COUNTIFS(nNIA,DATOS!$A14101,nCURSO,DATOS!$D14101,nESPEC,DATOS!$E14101,nASIG,DATOS!$I14101,nEVAL,"EX")=0),0))))</f>
      </c>
      <c r="H14101">
        <f>IF(DATOS!$G14101&lt;&gt;"EX",0,--(COUNTIFS(nNIA,DATOS!$A14101,nCURSO,DATOS!$D14101,nESPEC,DATOS!$E14101,nASIG,DATOS!$I14101,nEVAL,"OR")=0))</f>
      </c>
      <c r="I14101">
        <f>IF(DATOS!$I14101="","",IFERROR(VLOOKUP(DATOS!$I14101,CONFIG_ASIGNATURAS!$B$2:$J$91,9,FALSE()),""))</f>
      </c>
    </row>
    <row r="14102">
      <c r="F14102">
        <f>IF(DATOS!$A14102="","",DATOS!$A14102&amp;"|"&amp;DATOS!$D14102&amp;"|"&amp;DATOS!$E14102&amp;"|"&amp;DATOS!$I14102)</f>
      </c>
      <c r="G14102">
        <f>IF(DATOS!$A14102="",0,IF(CONFIG_METADATA!$B$4&lt;&gt;"OR+EX",--(DATOS!$G14102=CONFIG_METADATA!$B$4),IF(DATOS!$G14102="EX",1,IF(DATOS!$G14102="OR",--(COUNTIFS(nNIA,DATOS!$A14102,nCURSO,DATOS!$D14102,nESPEC,DATOS!$E14102,nASIG,DATOS!$I14102,nEVAL,"EX")=0),0))))</f>
      </c>
      <c r="H14102">
        <f>IF(DATOS!$G14102&lt;&gt;"EX",0,--(COUNTIFS(nNIA,DATOS!$A14102,nCURSO,DATOS!$D14102,nESPEC,DATOS!$E14102,nASIG,DATOS!$I14102,nEVAL,"OR")=0))</f>
      </c>
      <c r="I14102">
        <f>IF(DATOS!$I14102="","",IFERROR(VLOOKUP(DATOS!$I14102,CONFIG_ASIGNATURAS!$B$2:$J$91,9,FALSE()),""))</f>
      </c>
    </row>
    <row r="14103">
      <c r="F14103">
        <f>IF(DATOS!$A14103="","",DATOS!$A14103&amp;"|"&amp;DATOS!$D14103&amp;"|"&amp;DATOS!$E14103&amp;"|"&amp;DATOS!$I14103)</f>
      </c>
      <c r="G14103">
        <f>IF(DATOS!$A14103="",0,IF(CONFIG_METADATA!$B$4&lt;&gt;"OR+EX",--(DATOS!$G14103=CONFIG_METADATA!$B$4),IF(DATOS!$G14103="EX",1,IF(DATOS!$G14103="OR",--(COUNTIFS(nNIA,DATOS!$A14103,nCURSO,DATOS!$D14103,nESPEC,DATOS!$E14103,nASIG,DATOS!$I14103,nEVAL,"EX")=0),0))))</f>
      </c>
      <c r="H14103">
        <f>IF(DATOS!$G14103&lt;&gt;"EX",0,--(COUNTIFS(nNIA,DATOS!$A14103,nCURSO,DATOS!$D14103,nESPEC,DATOS!$E14103,nASIG,DATOS!$I14103,nEVAL,"OR")=0))</f>
      </c>
      <c r="I14103">
        <f>IF(DATOS!$I14103="","",IFERROR(VLOOKUP(DATOS!$I14103,CONFIG_ASIGNATURAS!$B$2:$J$91,9,FALSE()),""))</f>
      </c>
    </row>
    <row r="14104">
      <c r="F14104">
        <f>IF(DATOS!$A14104="","",DATOS!$A14104&amp;"|"&amp;DATOS!$D14104&amp;"|"&amp;DATOS!$E14104&amp;"|"&amp;DATOS!$I14104)</f>
      </c>
      <c r="G14104">
        <f>IF(DATOS!$A14104="",0,IF(CONFIG_METADATA!$B$4&lt;&gt;"OR+EX",--(DATOS!$G14104=CONFIG_METADATA!$B$4),IF(DATOS!$G14104="EX",1,IF(DATOS!$G14104="OR",--(COUNTIFS(nNIA,DATOS!$A14104,nCURSO,DATOS!$D14104,nESPEC,DATOS!$E14104,nASIG,DATOS!$I14104,nEVAL,"EX")=0),0))))</f>
      </c>
      <c r="H14104">
        <f>IF(DATOS!$G14104&lt;&gt;"EX",0,--(COUNTIFS(nNIA,DATOS!$A14104,nCURSO,DATOS!$D14104,nESPEC,DATOS!$E14104,nASIG,DATOS!$I14104,nEVAL,"OR")=0))</f>
      </c>
      <c r="I14104">
        <f>IF(DATOS!$I14104="","",IFERROR(VLOOKUP(DATOS!$I14104,CONFIG_ASIGNATURAS!$B$2:$J$91,9,FALSE()),""))</f>
      </c>
    </row>
    <row r="14105">
      <c r="F14105">
        <f>IF(DATOS!$A14105="","",DATOS!$A14105&amp;"|"&amp;DATOS!$D14105&amp;"|"&amp;DATOS!$E14105&amp;"|"&amp;DATOS!$I14105)</f>
      </c>
      <c r="G14105">
        <f>IF(DATOS!$A14105="",0,IF(CONFIG_METADATA!$B$4&lt;&gt;"OR+EX",--(DATOS!$G14105=CONFIG_METADATA!$B$4),IF(DATOS!$G14105="EX",1,IF(DATOS!$G14105="OR",--(COUNTIFS(nNIA,DATOS!$A14105,nCURSO,DATOS!$D14105,nESPEC,DATOS!$E14105,nASIG,DATOS!$I14105,nEVAL,"EX")=0),0))))</f>
      </c>
      <c r="H14105">
        <f>IF(DATOS!$G14105&lt;&gt;"EX",0,--(COUNTIFS(nNIA,DATOS!$A14105,nCURSO,DATOS!$D14105,nESPEC,DATOS!$E14105,nASIG,DATOS!$I14105,nEVAL,"OR")=0))</f>
      </c>
      <c r="I14105">
        <f>IF(DATOS!$I14105="","",IFERROR(VLOOKUP(DATOS!$I14105,CONFIG_ASIGNATURAS!$B$2:$J$91,9,FALSE()),""))</f>
      </c>
    </row>
    <row r="14106">
      <c r="F14106">
        <f>IF(DATOS!$A14106="","",DATOS!$A14106&amp;"|"&amp;DATOS!$D14106&amp;"|"&amp;DATOS!$E14106&amp;"|"&amp;DATOS!$I14106)</f>
      </c>
      <c r="G14106">
        <f>IF(DATOS!$A14106="",0,IF(CONFIG_METADATA!$B$4&lt;&gt;"OR+EX",--(DATOS!$G14106=CONFIG_METADATA!$B$4),IF(DATOS!$G14106="EX",1,IF(DATOS!$G14106="OR",--(COUNTIFS(nNIA,DATOS!$A14106,nCURSO,DATOS!$D14106,nESPEC,DATOS!$E14106,nASIG,DATOS!$I14106,nEVAL,"EX")=0),0))))</f>
      </c>
      <c r="H14106">
        <f>IF(DATOS!$G14106&lt;&gt;"EX",0,--(COUNTIFS(nNIA,DATOS!$A14106,nCURSO,DATOS!$D14106,nESPEC,DATOS!$E14106,nASIG,DATOS!$I14106,nEVAL,"OR")=0))</f>
      </c>
      <c r="I14106">
        <f>IF(DATOS!$I14106="","",IFERROR(VLOOKUP(DATOS!$I14106,CONFIG_ASIGNATURAS!$B$2:$J$91,9,FALSE()),""))</f>
      </c>
    </row>
    <row r="14107">
      <c r="F14107">
        <f>IF(DATOS!$A14107="","",DATOS!$A14107&amp;"|"&amp;DATOS!$D14107&amp;"|"&amp;DATOS!$E14107&amp;"|"&amp;DATOS!$I14107)</f>
      </c>
      <c r="G14107">
        <f>IF(DATOS!$A14107="",0,IF(CONFIG_METADATA!$B$4&lt;&gt;"OR+EX",--(DATOS!$G14107=CONFIG_METADATA!$B$4),IF(DATOS!$G14107="EX",1,IF(DATOS!$G14107="OR",--(COUNTIFS(nNIA,DATOS!$A14107,nCURSO,DATOS!$D14107,nESPEC,DATOS!$E14107,nASIG,DATOS!$I14107,nEVAL,"EX")=0),0))))</f>
      </c>
      <c r="H14107">
        <f>IF(DATOS!$G14107&lt;&gt;"EX",0,--(COUNTIFS(nNIA,DATOS!$A14107,nCURSO,DATOS!$D14107,nESPEC,DATOS!$E14107,nASIG,DATOS!$I14107,nEVAL,"OR")=0))</f>
      </c>
      <c r="I14107">
        <f>IF(DATOS!$I14107="","",IFERROR(VLOOKUP(DATOS!$I14107,CONFIG_ASIGNATURAS!$B$2:$J$91,9,FALSE()),""))</f>
      </c>
    </row>
    <row r="14108">
      <c r="F14108">
        <f>IF(DATOS!$A14108="","",DATOS!$A14108&amp;"|"&amp;DATOS!$D14108&amp;"|"&amp;DATOS!$E14108&amp;"|"&amp;DATOS!$I14108)</f>
      </c>
      <c r="G14108">
        <f>IF(DATOS!$A14108="",0,IF(CONFIG_METADATA!$B$4&lt;&gt;"OR+EX",--(DATOS!$G14108=CONFIG_METADATA!$B$4),IF(DATOS!$G14108="EX",1,IF(DATOS!$G14108="OR",--(COUNTIFS(nNIA,DATOS!$A14108,nCURSO,DATOS!$D14108,nESPEC,DATOS!$E14108,nASIG,DATOS!$I14108,nEVAL,"EX")=0),0))))</f>
      </c>
      <c r="H14108">
        <f>IF(DATOS!$G14108&lt;&gt;"EX",0,--(COUNTIFS(nNIA,DATOS!$A14108,nCURSO,DATOS!$D14108,nESPEC,DATOS!$E14108,nASIG,DATOS!$I14108,nEVAL,"OR")=0))</f>
      </c>
      <c r="I14108">
        <f>IF(DATOS!$I14108="","",IFERROR(VLOOKUP(DATOS!$I14108,CONFIG_ASIGNATURAS!$B$2:$J$91,9,FALSE()),""))</f>
      </c>
    </row>
    <row r="14109">
      <c r="F14109">
        <f>IF(DATOS!$A14109="","",DATOS!$A14109&amp;"|"&amp;DATOS!$D14109&amp;"|"&amp;DATOS!$E14109&amp;"|"&amp;DATOS!$I14109)</f>
      </c>
      <c r="G14109">
        <f>IF(DATOS!$A14109="",0,IF(CONFIG_METADATA!$B$4&lt;&gt;"OR+EX",--(DATOS!$G14109=CONFIG_METADATA!$B$4),IF(DATOS!$G14109="EX",1,IF(DATOS!$G14109="OR",--(COUNTIFS(nNIA,DATOS!$A14109,nCURSO,DATOS!$D14109,nESPEC,DATOS!$E14109,nASIG,DATOS!$I14109,nEVAL,"EX")=0),0))))</f>
      </c>
      <c r="H14109">
        <f>IF(DATOS!$G14109&lt;&gt;"EX",0,--(COUNTIFS(nNIA,DATOS!$A14109,nCURSO,DATOS!$D14109,nESPEC,DATOS!$E14109,nASIG,DATOS!$I14109,nEVAL,"OR")=0))</f>
      </c>
      <c r="I14109">
        <f>IF(DATOS!$I14109="","",IFERROR(VLOOKUP(DATOS!$I14109,CONFIG_ASIGNATURAS!$B$2:$J$91,9,FALSE()),""))</f>
      </c>
    </row>
    <row r="14110">
      <c r="F14110">
        <f>IF(DATOS!$A14110="","",DATOS!$A14110&amp;"|"&amp;DATOS!$D14110&amp;"|"&amp;DATOS!$E14110&amp;"|"&amp;DATOS!$I14110)</f>
      </c>
      <c r="G14110">
        <f>IF(DATOS!$A14110="",0,IF(CONFIG_METADATA!$B$4&lt;&gt;"OR+EX",--(DATOS!$G14110=CONFIG_METADATA!$B$4),IF(DATOS!$G14110="EX",1,IF(DATOS!$G14110="OR",--(COUNTIFS(nNIA,DATOS!$A14110,nCURSO,DATOS!$D14110,nESPEC,DATOS!$E14110,nASIG,DATOS!$I14110,nEVAL,"EX")=0),0))))</f>
      </c>
      <c r="H14110">
        <f>IF(DATOS!$G14110&lt;&gt;"EX",0,--(COUNTIFS(nNIA,DATOS!$A14110,nCURSO,DATOS!$D14110,nESPEC,DATOS!$E14110,nASIG,DATOS!$I14110,nEVAL,"OR")=0))</f>
      </c>
      <c r="I14110">
        <f>IF(DATOS!$I14110="","",IFERROR(VLOOKUP(DATOS!$I14110,CONFIG_ASIGNATURAS!$B$2:$J$91,9,FALSE()),""))</f>
      </c>
    </row>
    <row r="14111">
      <c r="F14111">
        <f>IF(DATOS!$A14111="","",DATOS!$A14111&amp;"|"&amp;DATOS!$D14111&amp;"|"&amp;DATOS!$E14111&amp;"|"&amp;DATOS!$I14111)</f>
      </c>
      <c r="G14111">
        <f>IF(DATOS!$A14111="",0,IF(CONFIG_METADATA!$B$4&lt;&gt;"OR+EX",--(DATOS!$G14111=CONFIG_METADATA!$B$4),IF(DATOS!$G14111="EX",1,IF(DATOS!$G14111="OR",--(COUNTIFS(nNIA,DATOS!$A14111,nCURSO,DATOS!$D14111,nESPEC,DATOS!$E14111,nASIG,DATOS!$I14111,nEVAL,"EX")=0),0))))</f>
      </c>
      <c r="H14111">
        <f>IF(DATOS!$G14111&lt;&gt;"EX",0,--(COUNTIFS(nNIA,DATOS!$A14111,nCURSO,DATOS!$D14111,nESPEC,DATOS!$E14111,nASIG,DATOS!$I14111,nEVAL,"OR")=0))</f>
      </c>
      <c r="I14111">
        <f>IF(DATOS!$I14111="","",IFERROR(VLOOKUP(DATOS!$I14111,CONFIG_ASIGNATURAS!$B$2:$J$91,9,FALSE()),""))</f>
      </c>
    </row>
    <row r="14112">
      <c r="F14112">
        <f>IF(DATOS!$A14112="","",DATOS!$A14112&amp;"|"&amp;DATOS!$D14112&amp;"|"&amp;DATOS!$E14112&amp;"|"&amp;DATOS!$I14112)</f>
      </c>
      <c r="G14112">
        <f>IF(DATOS!$A14112="",0,IF(CONFIG_METADATA!$B$4&lt;&gt;"OR+EX",--(DATOS!$G14112=CONFIG_METADATA!$B$4),IF(DATOS!$G14112="EX",1,IF(DATOS!$G14112="OR",--(COUNTIFS(nNIA,DATOS!$A14112,nCURSO,DATOS!$D14112,nESPEC,DATOS!$E14112,nASIG,DATOS!$I14112,nEVAL,"EX")=0),0))))</f>
      </c>
      <c r="H14112">
        <f>IF(DATOS!$G14112&lt;&gt;"EX",0,--(COUNTIFS(nNIA,DATOS!$A14112,nCURSO,DATOS!$D14112,nESPEC,DATOS!$E14112,nASIG,DATOS!$I14112,nEVAL,"OR")=0))</f>
      </c>
      <c r="I14112">
        <f>IF(DATOS!$I14112="","",IFERROR(VLOOKUP(DATOS!$I14112,CONFIG_ASIGNATURAS!$B$2:$J$91,9,FALSE()),""))</f>
      </c>
    </row>
    <row r="14113">
      <c r="F14113">
        <f>IF(DATOS!$A14113="","",DATOS!$A14113&amp;"|"&amp;DATOS!$D14113&amp;"|"&amp;DATOS!$E14113&amp;"|"&amp;DATOS!$I14113)</f>
      </c>
      <c r="G14113">
        <f>IF(DATOS!$A14113="",0,IF(CONFIG_METADATA!$B$4&lt;&gt;"OR+EX",--(DATOS!$G14113=CONFIG_METADATA!$B$4),IF(DATOS!$G14113="EX",1,IF(DATOS!$G14113="OR",--(COUNTIFS(nNIA,DATOS!$A14113,nCURSO,DATOS!$D14113,nESPEC,DATOS!$E14113,nASIG,DATOS!$I14113,nEVAL,"EX")=0),0))))</f>
      </c>
      <c r="H14113">
        <f>IF(DATOS!$G14113&lt;&gt;"EX",0,--(COUNTIFS(nNIA,DATOS!$A14113,nCURSO,DATOS!$D14113,nESPEC,DATOS!$E14113,nASIG,DATOS!$I14113,nEVAL,"OR")=0))</f>
      </c>
      <c r="I14113">
        <f>IF(DATOS!$I14113="","",IFERROR(VLOOKUP(DATOS!$I14113,CONFIG_ASIGNATURAS!$B$2:$J$91,9,FALSE()),""))</f>
      </c>
    </row>
    <row r="14114">
      <c r="F14114">
        <f>IF(DATOS!$A14114="","",DATOS!$A14114&amp;"|"&amp;DATOS!$D14114&amp;"|"&amp;DATOS!$E14114&amp;"|"&amp;DATOS!$I14114)</f>
      </c>
      <c r="G14114">
        <f>IF(DATOS!$A14114="",0,IF(CONFIG_METADATA!$B$4&lt;&gt;"OR+EX",--(DATOS!$G14114=CONFIG_METADATA!$B$4),IF(DATOS!$G14114="EX",1,IF(DATOS!$G14114="OR",--(COUNTIFS(nNIA,DATOS!$A14114,nCURSO,DATOS!$D14114,nESPEC,DATOS!$E14114,nASIG,DATOS!$I14114,nEVAL,"EX")=0),0))))</f>
      </c>
      <c r="H14114">
        <f>IF(DATOS!$G14114&lt;&gt;"EX",0,--(COUNTIFS(nNIA,DATOS!$A14114,nCURSO,DATOS!$D14114,nESPEC,DATOS!$E14114,nASIG,DATOS!$I14114,nEVAL,"OR")=0))</f>
      </c>
      <c r="I14114">
        <f>IF(DATOS!$I14114="","",IFERROR(VLOOKUP(DATOS!$I14114,CONFIG_ASIGNATURAS!$B$2:$J$91,9,FALSE()),""))</f>
      </c>
    </row>
    <row r="14115">
      <c r="F14115">
        <f>IF(DATOS!$A14115="","",DATOS!$A14115&amp;"|"&amp;DATOS!$D14115&amp;"|"&amp;DATOS!$E14115&amp;"|"&amp;DATOS!$I14115)</f>
      </c>
      <c r="G14115">
        <f>IF(DATOS!$A14115="",0,IF(CONFIG_METADATA!$B$4&lt;&gt;"OR+EX",--(DATOS!$G14115=CONFIG_METADATA!$B$4),IF(DATOS!$G14115="EX",1,IF(DATOS!$G14115="OR",--(COUNTIFS(nNIA,DATOS!$A14115,nCURSO,DATOS!$D14115,nESPEC,DATOS!$E14115,nASIG,DATOS!$I14115,nEVAL,"EX")=0),0))))</f>
      </c>
      <c r="H14115">
        <f>IF(DATOS!$G14115&lt;&gt;"EX",0,--(COUNTIFS(nNIA,DATOS!$A14115,nCURSO,DATOS!$D14115,nESPEC,DATOS!$E14115,nASIG,DATOS!$I14115,nEVAL,"OR")=0))</f>
      </c>
      <c r="I14115">
        <f>IF(DATOS!$I14115="","",IFERROR(VLOOKUP(DATOS!$I14115,CONFIG_ASIGNATURAS!$B$2:$J$91,9,FALSE()),""))</f>
      </c>
    </row>
    <row r="14116">
      <c r="F14116">
        <f>IF(DATOS!$A14116="","",DATOS!$A14116&amp;"|"&amp;DATOS!$D14116&amp;"|"&amp;DATOS!$E14116&amp;"|"&amp;DATOS!$I14116)</f>
      </c>
      <c r="G14116">
        <f>IF(DATOS!$A14116="",0,IF(CONFIG_METADATA!$B$4&lt;&gt;"OR+EX",--(DATOS!$G14116=CONFIG_METADATA!$B$4),IF(DATOS!$G14116="EX",1,IF(DATOS!$G14116="OR",--(COUNTIFS(nNIA,DATOS!$A14116,nCURSO,DATOS!$D14116,nESPEC,DATOS!$E14116,nASIG,DATOS!$I14116,nEVAL,"EX")=0),0))))</f>
      </c>
      <c r="H14116">
        <f>IF(DATOS!$G14116&lt;&gt;"EX",0,--(COUNTIFS(nNIA,DATOS!$A14116,nCURSO,DATOS!$D14116,nESPEC,DATOS!$E14116,nASIG,DATOS!$I14116,nEVAL,"OR")=0))</f>
      </c>
      <c r="I14116">
        <f>IF(DATOS!$I14116="","",IFERROR(VLOOKUP(DATOS!$I14116,CONFIG_ASIGNATURAS!$B$2:$J$91,9,FALSE()),""))</f>
      </c>
    </row>
    <row r="14117">
      <c r="F14117">
        <f>IF(DATOS!$A14117="","",DATOS!$A14117&amp;"|"&amp;DATOS!$D14117&amp;"|"&amp;DATOS!$E14117&amp;"|"&amp;DATOS!$I14117)</f>
      </c>
      <c r="G14117">
        <f>IF(DATOS!$A14117="",0,IF(CONFIG_METADATA!$B$4&lt;&gt;"OR+EX",--(DATOS!$G14117=CONFIG_METADATA!$B$4),IF(DATOS!$G14117="EX",1,IF(DATOS!$G14117="OR",--(COUNTIFS(nNIA,DATOS!$A14117,nCURSO,DATOS!$D14117,nESPEC,DATOS!$E14117,nASIG,DATOS!$I14117,nEVAL,"EX")=0),0))))</f>
      </c>
      <c r="H14117">
        <f>IF(DATOS!$G14117&lt;&gt;"EX",0,--(COUNTIFS(nNIA,DATOS!$A14117,nCURSO,DATOS!$D14117,nESPEC,DATOS!$E14117,nASIG,DATOS!$I14117,nEVAL,"OR")=0))</f>
      </c>
      <c r="I14117">
        <f>IF(DATOS!$I14117="","",IFERROR(VLOOKUP(DATOS!$I14117,CONFIG_ASIGNATURAS!$B$2:$J$91,9,FALSE()),""))</f>
      </c>
    </row>
    <row r="14118">
      <c r="F14118">
        <f>IF(DATOS!$A14118="","",DATOS!$A14118&amp;"|"&amp;DATOS!$D14118&amp;"|"&amp;DATOS!$E14118&amp;"|"&amp;DATOS!$I14118)</f>
      </c>
      <c r="G14118">
        <f>IF(DATOS!$A14118="",0,IF(CONFIG_METADATA!$B$4&lt;&gt;"OR+EX",--(DATOS!$G14118=CONFIG_METADATA!$B$4),IF(DATOS!$G14118="EX",1,IF(DATOS!$G14118="OR",--(COUNTIFS(nNIA,DATOS!$A14118,nCURSO,DATOS!$D14118,nESPEC,DATOS!$E14118,nASIG,DATOS!$I14118,nEVAL,"EX")=0),0))))</f>
      </c>
      <c r="H14118">
        <f>IF(DATOS!$G14118&lt;&gt;"EX",0,--(COUNTIFS(nNIA,DATOS!$A14118,nCURSO,DATOS!$D14118,nESPEC,DATOS!$E14118,nASIG,DATOS!$I14118,nEVAL,"OR")=0))</f>
      </c>
      <c r="I14118">
        <f>IF(DATOS!$I14118="","",IFERROR(VLOOKUP(DATOS!$I14118,CONFIG_ASIGNATURAS!$B$2:$J$91,9,FALSE()),""))</f>
      </c>
    </row>
    <row r="14119">
      <c r="F14119">
        <f>IF(DATOS!$A14119="","",DATOS!$A14119&amp;"|"&amp;DATOS!$D14119&amp;"|"&amp;DATOS!$E14119&amp;"|"&amp;DATOS!$I14119)</f>
      </c>
      <c r="G14119">
        <f>IF(DATOS!$A14119="",0,IF(CONFIG_METADATA!$B$4&lt;&gt;"OR+EX",--(DATOS!$G14119=CONFIG_METADATA!$B$4),IF(DATOS!$G14119="EX",1,IF(DATOS!$G14119="OR",--(COUNTIFS(nNIA,DATOS!$A14119,nCURSO,DATOS!$D14119,nESPEC,DATOS!$E14119,nASIG,DATOS!$I14119,nEVAL,"EX")=0),0))))</f>
      </c>
      <c r="H14119">
        <f>IF(DATOS!$G14119&lt;&gt;"EX",0,--(COUNTIFS(nNIA,DATOS!$A14119,nCURSO,DATOS!$D14119,nESPEC,DATOS!$E14119,nASIG,DATOS!$I14119,nEVAL,"OR")=0))</f>
      </c>
      <c r="I14119">
        <f>IF(DATOS!$I14119="","",IFERROR(VLOOKUP(DATOS!$I14119,CONFIG_ASIGNATURAS!$B$2:$J$91,9,FALSE()),""))</f>
      </c>
    </row>
    <row r="14120">
      <c r="F14120">
        <f>IF(DATOS!$A14120="","",DATOS!$A14120&amp;"|"&amp;DATOS!$D14120&amp;"|"&amp;DATOS!$E14120&amp;"|"&amp;DATOS!$I14120)</f>
      </c>
      <c r="G14120">
        <f>IF(DATOS!$A14120="",0,IF(CONFIG_METADATA!$B$4&lt;&gt;"OR+EX",--(DATOS!$G14120=CONFIG_METADATA!$B$4),IF(DATOS!$G14120="EX",1,IF(DATOS!$G14120="OR",--(COUNTIFS(nNIA,DATOS!$A14120,nCURSO,DATOS!$D14120,nESPEC,DATOS!$E14120,nASIG,DATOS!$I14120,nEVAL,"EX")=0),0))))</f>
      </c>
      <c r="H14120">
        <f>IF(DATOS!$G14120&lt;&gt;"EX",0,--(COUNTIFS(nNIA,DATOS!$A14120,nCURSO,DATOS!$D14120,nESPEC,DATOS!$E14120,nASIG,DATOS!$I14120,nEVAL,"OR")=0))</f>
      </c>
      <c r="I14120">
        <f>IF(DATOS!$I14120="","",IFERROR(VLOOKUP(DATOS!$I14120,CONFIG_ASIGNATURAS!$B$2:$J$91,9,FALSE()),""))</f>
      </c>
    </row>
    <row r="14121">
      <c r="F14121">
        <f>IF(DATOS!$A14121="","",DATOS!$A14121&amp;"|"&amp;DATOS!$D14121&amp;"|"&amp;DATOS!$E14121&amp;"|"&amp;DATOS!$I14121)</f>
      </c>
      <c r="G14121">
        <f>IF(DATOS!$A14121="",0,IF(CONFIG_METADATA!$B$4&lt;&gt;"OR+EX",--(DATOS!$G14121=CONFIG_METADATA!$B$4),IF(DATOS!$G14121="EX",1,IF(DATOS!$G14121="OR",--(COUNTIFS(nNIA,DATOS!$A14121,nCURSO,DATOS!$D14121,nESPEC,DATOS!$E14121,nASIG,DATOS!$I14121,nEVAL,"EX")=0),0))))</f>
      </c>
      <c r="H14121">
        <f>IF(DATOS!$G14121&lt;&gt;"EX",0,--(COUNTIFS(nNIA,DATOS!$A14121,nCURSO,DATOS!$D14121,nESPEC,DATOS!$E14121,nASIG,DATOS!$I14121,nEVAL,"OR")=0))</f>
      </c>
      <c r="I14121">
        <f>IF(DATOS!$I14121="","",IFERROR(VLOOKUP(DATOS!$I14121,CONFIG_ASIGNATURAS!$B$2:$J$91,9,FALSE()),""))</f>
      </c>
    </row>
    <row r="14122">
      <c r="F14122">
        <f>IF(DATOS!$A14122="","",DATOS!$A14122&amp;"|"&amp;DATOS!$D14122&amp;"|"&amp;DATOS!$E14122&amp;"|"&amp;DATOS!$I14122)</f>
      </c>
      <c r="G14122">
        <f>IF(DATOS!$A14122="",0,IF(CONFIG_METADATA!$B$4&lt;&gt;"OR+EX",--(DATOS!$G14122=CONFIG_METADATA!$B$4),IF(DATOS!$G14122="EX",1,IF(DATOS!$G14122="OR",--(COUNTIFS(nNIA,DATOS!$A14122,nCURSO,DATOS!$D14122,nESPEC,DATOS!$E14122,nASIG,DATOS!$I14122,nEVAL,"EX")=0),0))))</f>
      </c>
      <c r="H14122">
        <f>IF(DATOS!$G14122&lt;&gt;"EX",0,--(COUNTIFS(nNIA,DATOS!$A14122,nCURSO,DATOS!$D14122,nESPEC,DATOS!$E14122,nASIG,DATOS!$I14122,nEVAL,"OR")=0))</f>
      </c>
      <c r="I14122">
        <f>IF(DATOS!$I14122="","",IFERROR(VLOOKUP(DATOS!$I14122,CONFIG_ASIGNATURAS!$B$2:$J$91,9,FALSE()),""))</f>
      </c>
    </row>
    <row r="14123">
      <c r="F14123">
        <f>IF(DATOS!$A14123="","",DATOS!$A14123&amp;"|"&amp;DATOS!$D14123&amp;"|"&amp;DATOS!$E14123&amp;"|"&amp;DATOS!$I14123)</f>
      </c>
      <c r="G14123">
        <f>IF(DATOS!$A14123="",0,IF(CONFIG_METADATA!$B$4&lt;&gt;"OR+EX",--(DATOS!$G14123=CONFIG_METADATA!$B$4),IF(DATOS!$G14123="EX",1,IF(DATOS!$G14123="OR",--(COUNTIFS(nNIA,DATOS!$A14123,nCURSO,DATOS!$D14123,nESPEC,DATOS!$E14123,nASIG,DATOS!$I14123,nEVAL,"EX")=0),0))))</f>
      </c>
      <c r="H14123">
        <f>IF(DATOS!$G14123&lt;&gt;"EX",0,--(COUNTIFS(nNIA,DATOS!$A14123,nCURSO,DATOS!$D14123,nESPEC,DATOS!$E14123,nASIG,DATOS!$I14123,nEVAL,"OR")=0))</f>
      </c>
      <c r="I14123">
        <f>IF(DATOS!$I14123="","",IFERROR(VLOOKUP(DATOS!$I14123,CONFIG_ASIGNATURAS!$B$2:$J$91,9,FALSE()),""))</f>
      </c>
    </row>
    <row r="14124">
      <c r="F14124">
        <f>IF(DATOS!$A14124="","",DATOS!$A14124&amp;"|"&amp;DATOS!$D14124&amp;"|"&amp;DATOS!$E14124&amp;"|"&amp;DATOS!$I14124)</f>
      </c>
      <c r="G14124">
        <f>IF(DATOS!$A14124="",0,IF(CONFIG_METADATA!$B$4&lt;&gt;"OR+EX",--(DATOS!$G14124=CONFIG_METADATA!$B$4),IF(DATOS!$G14124="EX",1,IF(DATOS!$G14124="OR",--(COUNTIFS(nNIA,DATOS!$A14124,nCURSO,DATOS!$D14124,nESPEC,DATOS!$E14124,nASIG,DATOS!$I14124,nEVAL,"EX")=0),0))))</f>
      </c>
      <c r="H14124">
        <f>IF(DATOS!$G14124&lt;&gt;"EX",0,--(COUNTIFS(nNIA,DATOS!$A14124,nCURSO,DATOS!$D14124,nESPEC,DATOS!$E14124,nASIG,DATOS!$I14124,nEVAL,"OR")=0))</f>
      </c>
      <c r="I14124">
        <f>IF(DATOS!$I14124="","",IFERROR(VLOOKUP(DATOS!$I14124,CONFIG_ASIGNATURAS!$B$2:$J$91,9,FALSE()),""))</f>
      </c>
    </row>
    <row r="14125">
      <c r="F14125">
        <f>IF(DATOS!$A14125="","",DATOS!$A14125&amp;"|"&amp;DATOS!$D14125&amp;"|"&amp;DATOS!$E14125&amp;"|"&amp;DATOS!$I14125)</f>
      </c>
      <c r="G14125">
        <f>IF(DATOS!$A14125="",0,IF(CONFIG_METADATA!$B$4&lt;&gt;"OR+EX",--(DATOS!$G14125=CONFIG_METADATA!$B$4),IF(DATOS!$G14125="EX",1,IF(DATOS!$G14125="OR",--(COUNTIFS(nNIA,DATOS!$A14125,nCURSO,DATOS!$D14125,nESPEC,DATOS!$E14125,nASIG,DATOS!$I14125,nEVAL,"EX")=0),0))))</f>
      </c>
      <c r="H14125">
        <f>IF(DATOS!$G14125&lt;&gt;"EX",0,--(COUNTIFS(nNIA,DATOS!$A14125,nCURSO,DATOS!$D14125,nESPEC,DATOS!$E14125,nASIG,DATOS!$I14125,nEVAL,"OR")=0))</f>
      </c>
      <c r="I14125">
        <f>IF(DATOS!$I14125="","",IFERROR(VLOOKUP(DATOS!$I14125,CONFIG_ASIGNATURAS!$B$2:$J$91,9,FALSE()),""))</f>
      </c>
    </row>
    <row r="14126">
      <c r="F14126">
        <f>IF(DATOS!$A14126="","",DATOS!$A14126&amp;"|"&amp;DATOS!$D14126&amp;"|"&amp;DATOS!$E14126&amp;"|"&amp;DATOS!$I14126)</f>
      </c>
      <c r="G14126">
        <f>IF(DATOS!$A14126="",0,IF(CONFIG_METADATA!$B$4&lt;&gt;"OR+EX",--(DATOS!$G14126=CONFIG_METADATA!$B$4),IF(DATOS!$G14126="EX",1,IF(DATOS!$G14126="OR",--(COUNTIFS(nNIA,DATOS!$A14126,nCURSO,DATOS!$D14126,nESPEC,DATOS!$E14126,nASIG,DATOS!$I14126,nEVAL,"EX")=0),0))))</f>
      </c>
      <c r="H14126">
        <f>IF(DATOS!$G14126&lt;&gt;"EX",0,--(COUNTIFS(nNIA,DATOS!$A14126,nCURSO,DATOS!$D14126,nESPEC,DATOS!$E14126,nASIG,DATOS!$I14126,nEVAL,"OR")=0))</f>
      </c>
      <c r="I14126">
        <f>IF(DATOS!$I14126="","",IFERROR(VLOOKUP(DATOS!$I14126,CONFIG_ASIGNATURAS!$B$2:$J$91,9,FALSE()),""))</f>
      </c>
    </row>
    <row r="14127">
      <c r="F14127">
        <f>IF(DATOS!$A14127="","",DATOS!$A14127&amp;"|"&amp;DATOS!$D14127&amp;"|"&amp;DATOS!$E14127&amp;"|"&amp;DATOS!$I14127)</f>
      </c>
      <c r="G14127">
        <f>IF(DATOS!$A14127="",0,IF(CONFIG_METADATA!$B$4&lt;&gt;"OR+EX",--(DATOS!$G14127=CONFIG_METADATA!$B$4),IF(DATOS!$G14127="EX",1,IF(DATOS!$G14127="OR",--(COUNTIFS(nNIA,DATOS!$A14127,nCURSO,DATOS!$D14127,nESPEC,DATOS!$E14127,nASIG,DATOS!$I14127,nEVAL,"EX")=0),0))))</f>
      </c>
      <c r="H14127">
        <f>IF(DATOS!$G14127&lt;&gt;"EX",0,--(COUNTIFS(nNIA,DATOS!$A14127,nCURSO,DATOS!$D14127,nESPEC,DATOS!$E14127,nASIG,DATOS!$I14127,nEVAL,"OR")=0))</f>
      </c>
      <c r="I14127">
        <f>IF(DATOS!$I14127="","",IFERROR(VLOOKUP(DATOS!$I14127,CONFIG_ASIGNATURAS!$B$2:$J$91,9,FALSE()),""))</f>
      </c>
    </row>
    <row r="14128">
      <c r="F14128">
        <f>IF(DATOS!$A14128="","",DATOS!$A14128&amp;"|"&amp;DATOS!$D14128&amp;"|"&amp;DATOS!$E14128&amp;"|"&amp;DATOS!$I14128)</f>
      </c>
      <c r="G14128">
        <f>IF(DATOS!$A14128="",0,IF(CONFIG_METADATA!$B$4&lt;&gt;"OR+EX",--(DATOS!$G14128=CONFIG_METADATA!$B$4),IF(DATOS!$G14128="EX",1,IF(DATOS!$G14128="OR",--(COUNTIFS(nNIA,DATOS!$A14128,nCURSO,DATOS!$D14128,nESPEC,DATOS!$E14128,nASIG,DATOS!$I14128,nEVAL,"EX")=0),0))))</f>
      </c>
      <c r="H14128">
        <f>IF(DATOS!$G14128&lt;&gt;"EX",0,--(COUNTIFS(nNIA,DATOS!$A14128,nCURSO,DATOS!$D14128,nESPEC,DATOS!$E14128,nASIG,DATOS!$I14128,nEVAL,"OR")=0))</f>
      </c>
      <c r="I14128">
        <f>IF(DATOS!$I14128="","",IFERROR(VLOOKUP(DATOS!$I14128,CONFIG_ASIGNATURAS!$B$2:$J$91,9,FALSE()),""))</f>
      </c>
    </row>
    <row r="14129">
      <c r="F14129">
        <f>IF(DATOS!$A14129="","",DATOS!$A14129&amp;"|"&amp;DATOS!$D14129&amp;"|"&amp;DATOS!$E14129&amp;"|"&amp;DATOS!$I14129)</f>
      </c>
      <c r="G14129">
        <f>IF(DATOS!$A14129="",0,IF(CONFIG_METADATA!$B$4&lt;&gt;"OR+EX",--(DATOS!$G14129=CONFIG_METADATA!$B$4),IF(DATOS!$G14129="EX",1,IF(DATOS!$G14129="OR",--(COUNTIFS(nNIA,DATOS!$A14129,nCURSO,DATOS!$D14129,nESPEC,DATOS!$E14129,nASIG,DATOS!$I14129,nEVAL,"EX")=0),0))))</f>
      </c>
      <c r="H14129">
        <f>IF(DATOS!$G14129&lt;&gt;"EX",0,--(COUNTIFS(nNIA,DATOS!$A14129,nCURSO,DATOS!$D14129,nESPEC,DATOS!$E14129,nASIG,DATOS!$I14129,nEVAL,"OR")=0))</f>
      </c>
      <c r="I14129">
        <f>IF(DATOS!$I14129="","",IFERROR(VLOOKUP(DATOS!$I14129,CONFIG_ASIGNATURAS!$B$2:$J$91,9,FALSE()),""))</f>
      </c>
    </row>
    <row r="14130">
      <c r="F14130">
        <f>IF(DATOS!$A14130="","",DATOS!$A14130&amp;"|"&amp;DATOS!$D14130&amp;"|"&amp;DATOS!$E14130&amp;"|"&amp;DATOS!$I14130)</f>
      </c>
      <c r="G14130">
        <f>IF(DATOS!$A14130="",0,IF(CONFIG_METADATA!$B$4&lt;&gt;"OR+EX",--(DATOS!$G14130=CONFIG_METADATA!$B$4),IF(DATOS!$G14130="EX",1,IF(DATOS!$G14130="OR",--(COUNTIFS(nNIA,DATOS!$A14130,nCURSO,DATOS!$D14130,nESPEC,DATOS!$E14130,nASIG,DATOS!$I14130,nEVAL,"EX")=0),0))))</f>
      </c>
      <c r="H14130">
        <f>IF(DATOS!$G14130&lt;&gt;"EX",0,--(COUNTIFS(nNIA,DATOS!$A14130,nCURSO,DATOS!$D14130,nESPEC,DATOS!$E14130,nASIG,DATOS!$I14130,nEVAL,"OR")=0))</f>
      </c>
      <c r="I14130">
        <f>IF(DATOS!$I14130="","",IFERROR(VLOOKUP(DATOS!$I14130,CONFIG_ASIGNATURAS!$B$2:$J$91,9,FALSE()),""))</f>
      </c>
    </row>
    <row r="14131">
      <c r="F14131">
        <f>IF(DATOS!$A14131="","",DATOS!$A14131&amp;"|"&amp;DATOS!$D14131&amp;"|"&amp;DATOS!$E14131&amp;"|"&amp;DATOS!$I14131)</f>
      </c>
      <c r="G14131">
        <f>IF(DATOS!$A14131="",0,IF(CONFIG_METADATA!$B$4&lt;&gt;"OR+EX",--(DATOS!$G14131=CONFIG_METADATA!$B$4),IF(DATOS!$G14131="EX",1,IF(DATOS!$G14131="OR",--(COUNTIFS(nNIA,DATOS!$A14131,nCURSO,DATOS!$D14131,nESPEC,DATOS!$E14131,nASIG,DATOS!$I14131,nEVAL,"EX")=0),0))))</f>
      </c>
      <c r="H14131">
        <f>IF(DATOS!$G14131&lt;&gt;"EX",0,--(COUNTIFS(nNIA,DATOS!$A14131,nCURSO,DATOS!$D14131,nESPEC,DATOS!$E14131,nASIG,DATOS!$I14131,nEVAL,"OR")=0))</f>
      </c>
      <c r="I14131">
        <f>IF(DATOS!$I14131="","",IFERROR(VLOOKUP(DATOS!$I14131,CONFIG_ASIGNATURAS!$B$2:$J$91,9,FALSE()),""))</f>
      </c>
    </row>
    <row r="14132">
      <c r="F14132">
        <f>IF(DATOS!$A14132="","",DATOS!$A14132&amp;"|"&amp;DATOS!$D14132&amp;"|"&amp;DATOS!$E14132&amp;"|"&amp;DATOS!$I14132)</f>
      </c>
      <c r="G14132">
        <f>IF(DATOS!$A14132="",0,IF(CONFIG_METADATA!$B$4&lt;&gt;"OR+EX",--(DATOS!$G14132=CONFIG_METADATA!$B$4),IF(DATOS!$G14132="EX",1,IF(DATOS!$G14132="OR",--(COUNTIFS(nNIA,DATOS!$A14132,nCURSO,DATOS!$D14132,nESPEC,DATOS!$E14132,nASIG,DATOS!$I14132,nEVAL,"EX")=0),0))))</f>
      </c>
      <c r="H14132">
        <f>IF(DATOS!$G14132&lt;&gt;"EX",0,--(COUNTIFS(nNIA,DATOS!$A14132,nCURSO,DATOS!$D14132,nESPEC,DATOS!$E14132,nASIG,DATOS!$I14132,nEVAL,"OR")=0))</f>
      </c>
      <c r="I14132">
        <f>IF(DATOS!$I14132="","",IFERROR(VLOOKUP(DATOS!$I14132,CONFIG_ASIGNATURAS!$B$2:$J$91,9,FALSE()),""))</f>
      </c>
    </row>
    <row r="14133">
      <c r="F14133">
        <f>IF(DATOS!$A14133="","",DATOS!$A14133&amp;"|"&amp;DATOS!$D14133&amp;"|"&amp;DATOS!$E14133&amp;"|"&amp;DATOS!$I14133)</f>
      </c>
      <c r="G14133">
        <f>IF(DATOS!$A14133="",0,IF(CONFIG_METADATA!$B$4&lt;&gt;"OR+EX",--(DATOS!$G14133=CONFIG_METADATA!$B$4),IF(DATOS!$G14133="EX",1,IF(DATOS!$G14133="OR",--(COUNTIFS(nNIA,DATOS!$A14133,nCURSO,DATOS!$D14133,nESPEC,DATOS!$E14133,nASIG,DATOS!$I14133,nEVAL,"EX")=0),0))))</f>
      </c>
      <c r="H14133">
        <f>IF(DATOS!$G14133&lt;&gt;"EX",0,--(COUNTIFS(nNIA,DATOS!$A14133,nCURSO,DATOS!$D14133,nESPEC,DATOS!$E14133,nASIG,DATOS!$I14133,nEVAL,"OR")=0))</f>
      </c>
      <c r="I14133">
        <f>IF(DATOS!$I14133="","",IFERROR(VLOOKUP(DATOS!$I14133,CONFIG_ASIGNATURAS!$B$2:$J$91,9,FALSE()),""))</f>
      </c>
    </row>
    <row r="14134">
      <c r="F14134">
        <f>IF(DATOS!$A14134="","",DATOS!$A14134&amp;"|"&amp;DATOS!$D14134&amp;"|"&amp;DATOS!$E14134&amp;"|"&amp;DATOS!$I14134)</f>
      </c>
      <c r="G14134">
        <f>IF(DATOS!$A14134="",0,IF(CONFIG_METADATA!$B$4&lt;&gt;"OR+EX",--(DATOS!$G14134=CONFIG_METADATA!$B$4),IF(DATOS!$G14134="EX",1,IF(DATOS!$G14134="OR",--(COUNTIFS(nNIA,DATOS!$A14134,nCURSO,DATOS!$D14134,nESPEC,DATOS!$E14134,nASIG,DATOS!$I14134,nEVAL,"EX")=0),0))))</f>
      </c>
      <c r="H14134">
        <f>IF(DATOS!$G14134&lt;&gt;"EX",0,--(COUNTIFS(nNIA,DATOS!$A14134,nCURSO,DATOS!$D14134,nESPEC,DATOS!$E14134,nASIG,DATOS!$I14134,nEVAL,"OR")=0))</f>
      </c>
      <c r="I14134">
        <f>IF(DATOS!$I14134="","",IFERROR(VLOOKUP(DATOS!$I14134,CONFIG_ASIGNATURAS!$B$2:$J$91,9,FALSE()),""))</f>
      </c>
    </row>
    <row r="14135">
      <c r="F14135">
        <f>IF(DATOS!$A14135="","",DATOS!$A14135&amp;"|"&amp;DATOS!$D14135&amp;"|"&amp;DATOS!$E14135&amp;"|"&amp;DATOS!$I14135)</f>
      </c>
      <c r="G14135">
        <f>IF(DATOS!$A14135="",0,IF(CONFIG_METADATA!$B$4&lt;&gt;"OR+EX",--(DATOS!$G14135=CONFIG_METADATA!$B$4),IF(DATOS!$G14135="EX",1,IF(DATOS!$G14135="OR",--(COUNTIFS(nNIA,DATOS!$A14135,nCURSO,DATOS!$D14135,nESPEC,DATOS!$E14135,nASIG,DATOS!$I14135,nEVAL,"EX")=0),0))))</f>
      </c>
      <c r="H14135">
        <f>IF(DATOS!$G14135&lt;&gt;"EX",0,--(COUNTIFS(nNIA,DATOS!$A14135,nCURSO,DATOS!$D14135,nESPEC,DATOS!$E14135,nASIG,DATOS!$I14135,nEVAL,"OR")=0))</f>
      </c>
      <c r="I14135">
        <f>IF(DATOS!$I14135="","",IFERROR(VLOOKUP(DATOS!$I14135,CONFIG_ASIGNATURAS!$B$2:$J$91,9,FALSE()),""))</f>
      </c>
    </row>
    <row r="14136">
      <c r="F14136">
        <f>IF(DATOS!$A14136="","",DATOS!$A14136&amp;"|"&amp;DATOS!$D14136&amp;"|"&amp;DATOS!$E14136&amp;"|"&amp;DATOS!$I14136)</f>
      </c>
      <c r="G14136">
        <f>IF(DATOS!$A14136="",0,IF(CONFIG_METADATA!$B$4&lt;&gt;"OR+EX",--(DATOS!$G14136=CONFIG_METADATA!$B$4),IF(DATOS!$G14136="EX",1,IF(DATOS!$G14136="OR",--(COUNTIFS(nNIA,DATOS!$A14136,nCURSO,DATOS!$D14136,nESPEC,DATOS!$E14136,nASIG,DATOS!$I14136,nEVAL,"EX")=0),0))))</f>
      </c>
      <c r="H14136">
        <f>IF(DATOS!$G14136&lt;&gt;"EX",0,--(COUNTIFS(nNIA,DATOS!$A14136,nCURSO,DATOS!$D14136,nESPEC,DATOS!$E14136,nASIG,DATOS!$I14136,nEVAL,"OR")=0))</f>
      </c>
      <c r="I14136">
        <f>IF(DATOS!$I14136="","",IFERROR(VLOOKUP(DATOS!$I14136,CONFIG_ASIGNATURAS!$B$2:$J$91,9,FALSE()),""))</f>
      </c>
    </row>
    <row r="14137">
      <c r="F14137">
        <f>IF(DATOS!$A14137="","",DATOS!$A14137&amp;"|"&amp;DATOS!$D14137&amp;"|"&amp;DATOS!$E14137&amp;"|"&amp;DATOS!$I14137)</f>
      </c>
      <c r="G14137">
        <f>IF(DATOS!$A14137="",0,IF(CONFIG_METADATA!$B$4&lt;&gt;"OR+EX",--(DATOS!$G14137=CONFIG_METADATA!$B$4),IF(DATOS!$G14137="EX",1,IF(DATOS!$G14137="OR",--(COUNTIFS(nNIA,DATOS!$A14137,nCURSO,DATOS!$D14137,nESPEC,DATOS!$E14137,nASIG,DATOS!$I14137,nEVAL,"EX")=0),0))))</f>
      </c>
      <c r="H14137">
        <f>IF(DATOS!$G14137&lt;&gt;"EX",0,--(COUNTIFS(nNIA,DATOS!$A14137,nCURSO,DATOS!$D14137,nESPEC,DATOS!$E14137,nASIG,DATOS!$I14137,nEVAL,"OR")=0))</f>
      </c>
      <c r="I14137">
        <f>IF(DATOS!$I14137="","",IFERROR(VLOOKUP(DATOS!$I14137,CONFIG_ASIGNATURAS!$B$2:$J$91,9,FALSE()),""))</f>
      </c>
    </row>
    <row r="14138">
      <c r="F14138">
        <f>IF(DATOS!$A14138="","",DATOS!$A14138&amp;"|"&amp;DATOS!$D14138&amp;"|"&amp;DATOS!$E14138&amp;"|"&amp;DATOS!$I14138)</f>
      </c>
      <c r="G14138">
        <f>IF(DATOS!$A14138="",0,IF(CONFIG_METADATA!$B$4&lt;&gt;"OR+EX",--(DATOS!$G14138=CONFIG_METADATA!$B$4),IF(DATOS!$G14138="EX",1,IF(DATOS!$G14138="OR",--(COUNTIFS(nNIA,DATOS!$A14138,nCURSO,DATOS!$D14138,nESPEC,DATOS!$E14138,nASIG,DATOS!$I14138,nEVAL,"EX")=0),0))))</f>
      </c>
      <c r="H14138">
        <f>IF(DATOS!$G14138&lt;&gt;"EX",0,--(COUNTIFS(nNIA,DATOS!$A14138,nCURSO,DATOS!$D14138,nESPEC,DATOS!$E14138,nASIG,DATOS!$I14138,nEVAL,"OR")=0))</f>
      </c>
      <c r="I14138">
        <f>IF(DATOS!$I14138="","",IFERROR(VLOOKUP(DATOS!$I14138,CONFIG_ASIGNATURAS!$B$2:$J$91,9,FALSE()),""))</f>
      </c>
    </row>
    <row r="14139">
      <c r="F14139">
        <f>IF(DATOS!$A14139="","",DATOS!$A14139&amp;"|"&amp;DATOS!$D14139&amp;"|"&amp;DATOS!$E14139&amp;"|"&amp;DATOS!$I14139)</f>
      </c>
      <c r="G14139">
        <f>IF(DATOS!$A14139="",0,IF(CONFIG_METADATA!$B$4&lt;&gt;"OR+EX",--(DATOS!$G14139=CONFIG_METADATA!$B$4),IF(DATOS!$G14139="EX",1,IF(DATOS!$G14139="OR",--(COUNTIFS(nNIA,DATOS!$A14139,nCURSO,DATOS!$D14139,nESPEC,DATOS!$E14139,nASIG,DATOS!$I14139,nEVAL,"EX")=0),0))))</f>
      </c>
      <c r="H14139">
        <f>IF(DATOS!$G14139&lt;&gt;"EX",0,--(COUNTIFS(nNIA,DATOS!$A14139,nCURSO,DATOS!$D14139,nESPEC,DATOS!$E14139,nASIG,DATOS!$I14139,nEVAL,"OR")=0))</f>
      </c>
      <c r="I14139">
        <f>IF(DATOS!$I14139="","",IFERROR(VLOOKUP(DATOS!$I14139,CONFIG_ASIGNATURAS!$B$2:$J$91,9,FALSE()),""))</f>
      </c>
    </row>
    <row r="14140">
      <c r="F14140">
        <f>IF(DATOS!$A14140="","",DATOS!$A14140&amp;"|"&amp;DATOS!$D14140&amp;"|"&amp;DATOS!$E14140&amp;"|"&amp;DATOS!$I14140)</f>
      </c>
      <c r="G14140">
        <f>IF(DATOS!$A14140="",0,IF(CONFIG_METADATA!$B$4&lt;&gt;"OR+EX",--(DATOS!$G14140=CONFIG_METADATA!$B$4),IF(DATOS!$G14140="EX",1,IF(DATOS!$G14140="OR",--(COUNTIFS(nNIA,DATOS!$A14140,nCURSO,DATOS!$D14140,nESPEC,DATOS!$E14140,nASIG,DATOS!$I14140,nEVAL,"EX")=0),0))))</f>
      </c>
      <c r="H14140">
        <f>IF(DATOS!$G14140&lt;&gt;"EX",0,--(COUNTIFS(nNIA,DATOS!$A14140,nCURSO,DATOS!$D14140,nESPEC,DATOS!$E14140,nASIG,DATOS!$I14140,nEVAL,"OR")=0))</f>
      </c>
      <c r="I14140">
        <f>IF(DATOS!$I14140="","",IFERROR(VLOOKUP(DATOS!$I14140,CONFIG_ASIGNATURAS!$B$2:$J$91,9,FALSE()),""))</f>
      </c>
    </row>
    <row r="14141">
      <c r="F14141">
        <f>IF(DATOS!$A14141="","",DATOS!$A14141&amp;"|"&amp;DATOS!$D14141&amp;"|"&amp;DATOS!$E14141&amp;"|"&amp;DATOS!$I14141)</f>
      </c>
      <c r="G14141">
        <f>IF(DATOS!$A14141="",0,IF(CONFIG_METADATA!$B$4&lt;&gt;"OR+EX",--(DATOS!$G14141=CONFIG_METADATA!$B$4),IF(DATOS!$G14141="EX",1,IF(DATOS!$G14141="OR",--(COUNTIFS(nNIA,DATOS!$A14141,nCURSO,DATOS!$D14141,nESPEC,DATOS!$E14141,nASIG,DATOS!$I14141,nEVAL,"EX")=0),0))))</f>
      </c>
      <c r="H14141">
        <f>IF(DATOS!$G14141&lt;&gt;"EX",0,--(COUNTIFS(nNIA,DATOS!$A14141,nCURSO,DATOS!$D14141,nESPEC,DATOS!$E14141,nASIG,DATOS!$I14141,nEVAL,"OR")=0))</f>
      </c>
      <c r="I14141">
        <f>IF(DATOS!$I14141="","",IFERROR(VLOOKUP(DATOS!$I14141,CONFIG_ASIGNATURAS!$B$2:$J$91,9,FALSE()),""))</f>
      </c>
    </row>
    <row r="14142">
      <c r="F14142">
        <f>IF(DATOS!$A14142="","",DATOS!$A14142&amp;"|"&amp;DATOS!$D14142&amp;"|"&amp;DATOS!$E14142&amp;"|"&amp;DATOS!$I14142)</f>
      </c>
      <c r="G14142">
        <f>IF(DATOS!$A14142="",0,IF(CONFIG_METADATA!$B$4&lt;&gt;"OR+EX",--(DATOS!$G14142=CONFIG_METADATA!$B$4),IF(DATOS!$G14142="EX",1,IF(DATOS!$G14142="OR",--(COUNTIFS(nNIA,DATOS!$A14142,nCURSO,DATOS!$D14142,nESPEC,DATOS!$E14142,nASIG,DATOS!$I14142,nEVAL,"EX")=0),0))))</f>
      </c>
      <c r="H14142">
        <f>IF(DATOS!$G14142&lt;&gt;"EX",0,--(COUNTIFS(nNIA,DATOS!$A14142,nCURSO,DATOS!$D14142,nESPEC,DATOS!$E14142,nASIG,DATOS!$I14142,nEVAL,"OR")=0))</f>
      </c>
      <c r="I14142">
        <f>IF(DATOS!$I14142="","",IFERROR(VLOOKUP(DATOS!$I14142,CONFIG_ASIGNATURAS!$B$2:$J$91,9,FALSE()),""))</f>
      </c>
    </row>
    <row r="14143">
      <c r="F14143">
        <f>IF(DATOS!$A14143="","",DATOS!$A14143&amp;"|"&amp;DATOS!$D14143&amp;"|"&amp;DATOS!$E14143&amp;"|"&amp;DATOS!$I14143)</f>
      </c>
      <c r="G14143">
        <f>IF(DATOS!$A14143="",0,IF(CONFIG_METADATA!$B$4&lt;&gt;"OR+EX",--(DATOS!$G14143=CONFIG_METADATA!$B$4),IF(DATOS!$G14143="EX",1,IF(DATOS!$G14143="OR",--(COUNTIFS(nNIA,DATOS!$A14143,nCURSO,DATOS!$D14143,nESPEC,DATOS!$E14143,nASIG,DATOS!$I14143,nEVAL,"EX")=0),0))))</f>
      </c>
      <c r="H14143">
        <f>IF(DATOS!$G14143&lt;&gt;"EX",0,--(COUNTIFS(nNIA,DATOS!$A14143,nCURSO,DATOS!$D14143,nESPEC,DATOS!$E14143,nASIG,DATOS!$I14143,nEVAL,"OR")=0))</f>
      </c>
      <c r="I14143">
        <f>IF(DATOS!$I14143="","",IFERROR(VLOOKUP(DATOS!$I14143,CONFIG_ASIGNATURAS!$B$2:$J$91,9,FALSE()),""))</f>
      </c>
    </row>
    <row r="14144">
      <c r="F14144">
        <f>IF(DATOS!$A14144="","",DATOS!$A14144&amp;"|"&amp;DATOS!$D14144&amp;"|"&amp;DATOS!$E14144&amp;"|"&amp;DATOS!$I14144)</f>
      </c>
      <c r="G14144">
        <f>IF(DATOS!$A14144="",0,IF(CONFIG_METADATA!$B$4&lt;&gt;"OR+EX",--(DATOS!$G14144=CONFIG_METADATA!$B$4),IF(DATOS!$G14144="EX",1,IF(DATOS!$G14144="OR",--(COUNTIFS(nNIA,DATOS!$A14144,nCURSO,DATOS!$D14144,nESPEC,DATOS!$E14144,nASIG,DATOS!$I14144,nEVAL,"EX")=0),0))))</f>
      </c>
      <c r="H14144">
        <f>IF(DATOS!$G14144&lt;&gt;"EX",0,--(COUNTIFS(nNIA,DATOS!$A14144,nCURSO,DATOS!$D14144,nESPEC,DATOS!$E14144,nASIG,DATOS!$I14144,nEVAL,"OR")=0))</f>
      </c>
      <c r="I14144">
        <f>IF(DATOS!$I14144="","",IFERROR(VLOOKUP(DATOS!$I14144,CONFIG_ASIGNATURAS!$B$2:$J$91,9,FALSE()),""))</f>
      </c>
    </row>
    <row r="14145">
      <c r="F14145">
        <f>IF(DATOS!$A14145="","",DATOS!$A14145&amp;"|"&amp;DATOS!$D14145&amp;"|"&amp;DATOS!$E14145&amp;"|"&amp;DATOS!$I14145)</f>
      </c>
      <c r="G14145">
        <f>IF(DATOS!$A14145="",0,IF(CONFIG_METADATA!$B$4&lt;&gt;"OR+EX",--(DATOS!$G14145=CONFIG_METADATA!$B$4),IF(DATOS!$G14145="EX",1,IF(DATOS!$G14145="OR",--(COUNTIFS(nNIA,DATOS!$A14145,nCURSO,DATOS!$D14145,nESPEC,DATOS!$E14145,nASIG,DATOS!$I14145,nEVAL,"EX")=0),0))))</f>
      </c>
      <c r="H14145">
        <f>IF(DATOS!$G14145&lt;&gt;"EX",0,--(COUNTIFS(nNIA,DATOS!$A14145,nCURSO,DATOS!$D14145,nESPEC,DATOS!$E14145,nASIG,DATOS!$I14145,nEVAL,"OR")=0))</f>
      </c>
      <c r="I14145">
        <f>IF(DATOS!$I14145="","",IFERROR(VLOOKUP(DATOS!$I14145,CONFIG_ASIGNATURAS!$B$2:$J$91,9,FALSE()),""))</f>
      </c>
    </row>
    <row r="14146">
      <c r="F14146">
        <f>IF(DATOS!$A14146="","",DATOS!$A14146&amp;"|"&amp;DATOS!$D14146&amp;"|"&amp;DATOS!$E14146&amp;"|"&amp;DATOS!$I14146)</f>
      </c>
      <c r="G14146">
        <f>IF(DATOS!$A14146="",0,IF(CONFIG_METADATA!$B$4&lt;&gt;"OR+EX",--(DATOS!$G14146=CONFIG_METADATA!$B$4),IF(DATOS!$G14146="EX",1,IF(DATOS!$G14146="OR",--(COUNTIFS(nNIA,DATOS!$A14146,nCURSO,DATOS!$D14146,nESPEC,DATOS!$E14146,nASIG,DATOS!$I14146,nEVAL,"EX")=0),0))))</f>
      </c>
      <c r="H14146">
        <f>IF(DATOS!$G14146&lt;&gt;"EX",0,--(COUNTIFS(nNIA,DATOS!$A14146,nCURSO,DATOS!$D14146,nESPEC,DATOS!$E14146,nASIG,DATOS!$I14146,nEVAL,"OR")=0))</f>
      </c>
      <c r="I14146">
        <f>IF(DATOS!$I14146="","",IFERROR(VLOOKUP(DATOS!$I14146,CONFIG_ASIGNATURAS!$B$2:$J$91,9,FALSE()),""))</f>
      </c>
    </row>
    <row r="14147">
      <c r="F14147">
        <f>IF(DATOS!$A14147="","",DATOS!$A14147&amp;"|"&amp;DATOS!$D14147&amp;"|"&amp;DATOS!$E14147&amp;"|"&amp;DATOS!$I14147)</f>
      </c>
      <c r="G14147">
        <f>IF(DATOS!$A14147="",0,IF(CONFIG_METADATA!$B$4&lt;&gt;"OR+EX",--(DATOS!$G14147=CONFIG_METADATA!$B$4),IF(DATOS!$G14147="EX",1,IF(DATOS!$G14147="OR",--(COUNTIFS(nNIA,DATOS!$A14147,nCURSO,DATOS!$D14147,nESPEC,DATOS!$E14147,nASIG,DATOS!$I14147,nEVAL,"EX")=0),0))))</f>
      </c>
      <c r="H14147">
        <f>IF(DATOS!$G14147&lt;&gt;"EX",0,--(COUNTIFS(nNIA,DATOS!$A14147,nCURSO,DATOS!$D14147,nESPEC,DATOS!$E14147,nASIG,DATOS!$I14147,nEVAL,"OR")=0))</f>
      </c>
      <c r="I14147">
        <f>IF(DATOS!$I14147="","",IFERROR(VLOOKUP(DATOS!$I14147,CONFIG_ASIGNATURAS!$B$2:$J$91,9,FALSE()),""))</f>
      </c>
    </row>
    <row r="14148">
      <c r="F14148">
        <f>IF(DATOS!$A14148="","",DATOS!$A14148&amp;"|"&amp;DATOS!$D14148&amp;"|"&amp;DATOS!$E14148&amp;"|"&amp;DATOS!$I14148)</f>
      </c>
      <c r="G14148">
        <f>IF(DATOS!$A14148="",0,IF(CONFIG_METADATA!$B$4&lt;&gt;"OR+EX",--(DATOS!$G14148=CONFIG_METADATA!$B$4),IF(DATOS!$G14148="EX",1,IF(DATOS!$G14148="OR",--(COUNTIFS(nNIA,DATOS!$A14148,nCURSO,DATOS!$D14148,nESPEC,DATOS!$E14148,nASIG,DATOS!$I14148,nEVAL,"EX")=0),0))))</f>
      </c>
      <c r="H14148">
        <f>IF(DATOS!$G14148&lt;&gt;"EX",0,--(COUNTIFS(nNIA,DATOS!$A14148,nCURSO,DATOS!$D14148,nESPEC,DATOS!$E14148,nASIG,DATOS!$I14148,nEVAL,"OR")=0))</f>
      </c>
      <c r="I14148">
        <f>IF(DATOS!$I14148="","",IFERROR(VLOOKUP(DATOS!$I14148,CONFIG_ASIGNATURAS!$B$2:$J$91,9,FALSE()),""))</f>
      </c>
    </row>
    <row r="14149">
      <c r="F14149">
        <f>IF(DATOS!$A14149="","",DATOS!$A14149&amp;"|"&amp;DATOS!$D14149&amp;"|"&amp;DATOS!$E14149&amp;"|"&amp;DATOS!$I14149)</f>
      </c>
      <c r="G14149">
        <f>IF(DATOS!$A14149="",0,IF(CONFIG_METADATA!$B$4&lt;&gt;"OR+EX",--(DATOS!$G14149=CONFIG_METADATA!$B$4),IF(DATOS!$G14149="EX",1,IF(DATOS!$G14149="OR",--(COUNTIFS(nNIA,DATOS!$A14149,nCURSO,DATOS!$D14149,nESPEC,DATOS!$E14149,nASIG,DATOS!$I14149,nEVAL,"EX")=0),0))))</f>
      </c>
      <c r="H14149">
        <f>IF(DATOS!$G14149&lt;&gt;"EX",0,--(COUNTIFS(nNIA,DATOS!$A14149,nCURSO,DATOS!$D14149,nESPEC,DATOS!$E14149,nASIG,DATOS!$I14149,nEVAL,"OR")=0))</f>
      </c>
      <c r="I14149">
        <f>IF(DATOS!$I14149="","",IFERROR(VLOOKUP(DATOS!$I14149,CONFIG_ASIGNATURAS!$B$2:$J$91,9,FALSE()),""))</f>
      </c>
    </row>
    <row r="14150">
      <c r="F14150">
        <f>IF(DATOS!$A14150="","",DATOS!$A14150&amp;"|"&amp;DATOS!$D14150&amp;"|"&amp;DATOS!$E14150&amp;"|"&amp;DATOS!$I14150)</f>
      </c>
      <c r="G14150">
        <f>IF(DATOS!$A14150="",0,IF(CONFIG_METADATA!$B$4&lt;&gt;"OR+EX",--(DATOS!$G14150=CONFIG_METADATA!$B$4),IF(DATOS!$G14150="EX",1,IF(DATOS!$G14150="OR",--(COUNTIFS(nNIA,DATOS!$A14150,nCURSO,DATOS!$D14150,nESPEC,DATOS!$E14150,nASIG,DATOS!$I14150,nEVAL,"EX")=0),0))))</f>
      </c>
      <c r="H14150">
        <f>IF(DATOS!$G14150&lt;&gt;"EX",0,--(COUNTIFS(nNIA,DATOS!$A14150,nCURSO,DATOS!$D14150,nESPEC,DATOS!$E14150,nASIG,DATOS!$I14150,nEVAL,"OR")=0))</f>
      </c>
      <c r="I14150">
        <f>IF(DATOS!$I14150="","",IFERROR(VLOOKUP(DATOS!$I14150,CONFIG_ASIGNATURAS!$B$2:$J$91,9,FALSE()),""))</f>
      </c>
    </row>
    <row r="14151">
      <c r="F14151">
        <f>IF(DATOS!$A14151="","",DATOS!$A14151&amp;"|"&amp;DATOS!$D14151&amp;"|"&amp;DATOS!$E14151&amp;"|"&amp;DATOS!$I14151)</f>
      </c>
      <c r="G14151">
        <f>IF(DATOS!$A14151="",0,IF(CONFIG_METADATA!$B$4&lt;&gt;"OR+EX",--(DATOS!$G14151=CONFIG_METADATA!$B$4),IF(DATOS!$G14151="EX",1,IF(DATOS!$G14151="OR",--(COUNTIFS(nNIA,DATOS!$A14151,nCURSO,DATOS!$D14151,nESPEC,DATOS!$E14151,nASIG,DATOS!$I14151,nEVAL,"EX")=0),0))))</f>
      </c>
      <c r="H14151">
        <f>IF(DATOS!$G14151&lt;&gt;"EX",0,--(COUNTIFS(nNIA,DATOS!$A14151,nCURSO,DATOS!$D14151,nESPEC,DATOS!$E14151,nASIG,DATOS!$I14151,nEVAL,"OR")=0))</f>
      </c>
      <c r="I14151">
        <f>IF(DATOS!$I14151="","",IFERROR(VLOOKUP(DATOS!$I14151,CONFIG_ASIGNATURAS!$B$2:$J$91,9,FALSE()),""))</f>
      </c>
    </row>
    <row r="14152">
      <c r="F14152">
        <f>IF(DATOS!$A14152="","",DATOS!$A14152&amp;"|"&amp;DATOS!$D14152&amp;"|"&amp;DATOS!$E14152&amp;"|"&amp;DATOS!$I14152)</f>
      </c>
      <c r="G14152">
        <f>IF(DATOS!$A14152="",0,IF(CONFIG_METADATA!$B$4&lt;&gt;"OR+EX",--(DATOS!$G14152=CONFIG_METADATA!$B$4),IF(DATOS!$G14152="EX",1,IF(DATOS!$G14152="OR",--(COUNTIFS(nNIA,DATOS!$A14152,nCURSO,DATOS!$D14152,nESPEC,DATOS!$E14152,nASIG,DATOS!$I14152,nEVAL,"EX")=0),0))))</f>
      </c>
      <c r="H14152">
        <f>IF(DATOS!$G14152&lt;&gt;"EX",0,--(COUNTIFS(nNIA,DATOS!$A14152,nCURSO,DATOS!$D14152,nESPEC,DATOS!$E14152,nASIG,DATOS!$I14152,nEVAL,"OR")=0))</f>
      </c>
      <c r="I14152">
        <f>IF(DATOS!$I14152="","",IFERROR(VLOOKUP(DATOS!$I14152,CONFIG_ASIGNATURAS!$B$2:$J$91,9,FALSE()),""))</f>
      </c>
    </row>
    <row r="14153">
      <c r="F14153">
        <f>IF(DATOS!$A14153="","",DATOS!$A14153&amp;"|"&amp;DATOS!$D14153&amp;"|"&amp;DATOS!$E14153&amp;"|"&amp;DATOS!$I14153)</f>
      </c>
      <c r="G14153">
        <f>IF(DATOS!$A14153="",0,IF(CONFIG_METADATA!$B$4&lt;&gt;"OR+EX",--(DATOS!$G14153=CONFIG_METADATA!$B$4),IF(DATOS!$G14153="EX",1,IF(DATOS!$G14153="OR",--(COUNTIFS(nNIA,DATOS!$A14153,nCURSO,DATOS!$D14153,nESPEC,DATOS!$E14153,nASIG,DATOS!$I14153,nEVAL,"EX")=0),0))))</f>
      </c>
      <c r="H14153">
        <f>IF(DATOS!$G14153&lt;&gt;"EX",0,--(COUNTIFS(nNIA,DATOS!$A14153,nCURSO,DATOS!$D14153,nESPEC,DATOS!$E14153,nASIG,DATOS!$I14153,nEVAL,"OR")=0))</f>
      </c>
      <c r="I14153">
        <f>IF(DATOS!$I14153="","",IFERROR(VLOOKUP(DATOS!$I14153,CONFIG_ASIGNATURAS!$B$2:$J$91,9,FALSE()),""))</f>
      </c>
    </row>
    <row r="14154">
      <c r="F14154">
        <f>IF(DATOS!$A14154="","",DATOS!$A14154&amp;"|"&amp;DATOS!$D14154&amp;"|"&amp;DATOS!$E14154&amp;"|"&amp;DATOS!$I14154)</f>
      </c>
      <c r="G14154">
        <f>IF(DATOS!$A14154="",0,IF(CONFIG_METADATA!$B$4&lt;&gt;"OR+EX",--(DATOS!$G14154=CONFIG_METADATA!$B$4),IF(DATOS!$G14154="EX",1,IF(DATOS!$G14154="OR",--(COUNTIFS(nNIA,DATOS!$A14154,nCURSO,DATOS!$D14154,nESPEC,DATOS!$E14154,nASIG,DATOS!$I14154,nEVAL,"EX")=0),0))))</f>
      </c>
      <c r="H14154">
        <f>IF(DATOS!$G14154&lt;&gt;"EX",0,--(COUNTIFS(nNIA,DATOS!$A14154,nCURSO,DATOS!$D14154,nESPEC,DATOS!$E14154,nASIG,DATOS!$I14154,nEVAL,"OR")=0))</f>
      </c>
      <c r="I14154">
        <f>IF(DATOS!$I14154="","",IFERROR(VLOOKUP(DATOS!$I14154,CONFIG_ASIGNATURAS!$B$2:$J$91,9,FALSE()),""))</f>
      </c>
    </row>
    <row r="14155">
      <c r="F14155">
        <f>IF(DATOS!$A14155="","",DATOS!$A14155&amp;"|"&amp;DATOS!$D14155&amp;"|"&amp;DATOS!$E14155&amp;"|"&amp;DATOS!$I14155)</f>
      </c>
      <c r="G14155">
        <f>IF(DATOS!$A14155="",0,IF(CONFIG_METADATA!$B$4&lt;&gt;"OR+EX",--(DATOS!$G14155=CONFIG_METADATA!$B$4),IF(DATOS!$G14155="EX",1,IF(DATOS!$G14155="OR",--(COUNTIFS(nNIA,DATOS!$A14155,nCURSO,DATOS!$D14155,nESPEC,DATOS!$E14155,nASIG,DATOS!$I14155,nEVAL,"EX")=0),0))))</f>
      </c>
      <c r="H14155">
        <f>IF(DATOS!$G14155&lt;&gt;"EX",0,--(COUNTIFS(nNIA,DATOS!$A14155,nCURSO,DATOS!$D14155,nESPEC,DATOS!$E14155,nASIG,DATOS!$I14155,nEVAL,"OR")=0))</f>
      </c>
      <c r="I14155">
        <f>IF(DATOS!$I14155="","",IFERROR(VLOOKUP(DATOS!$I14155,CONFIG_ASIGNATURAS!$B$2:$J$91,9,FALSE()),""))</f>
      </c>
    </row>
    <row r="14156">
      <c r="F14156">
        <f>IF(DATOS!$A14156="","",DATOS!$A14156&amp;"|"&amp;DATOS!$D14156&amp;"|"&amp;DATOS!$E14156&amp;"|"&amp;DATOS!$I14156)</f>
      </c>
      <c r="G14156">
        <f>IF(DATOS!$A14156="",0,IF(CONFIG_METADATA!$B$4&lt;&gt;"OR+EX",--(DATOS!$G14156=CONFIG_METADATA!$B$4),IF(DATOS!$G14156="EX",1,IF(DATOS!$G14156="OR",--(COUNTIFS(nNIA,DATOS!$A14156,nCURSO,DATOS!$D14156,nESPEC,DATOS!$E14156,nASIG,DATOS!$I14156,nEVAL,"EX")=0),0))))</f>
      </c>
      <c r="H14156">
        <f>IF(DATOS!$G14156&lt;&gt;"EX",0,--(COUNTIFS(nNIA,DATOS!$A14156,nCURSO,DATOS!$D14156,nESPEC,DATOS!$E14156,nASIG,DATOS!$I14156,nEVAL,"OR")=0))</f>
      </c>
      <c r="I14156">
        <f>IF(DATOS!$I14156="","",IFERROR(VLOOKUP(DATOS!$I14156,CONFIG_ASIGNATURAS!$B$2:$J$91,9,FALSE()),""))</f>
      </c>
    </row>
    <row r="14157">
      <c r="F14157">
        <f>IF(DATOS!$A14157="","",DATOS!$A14157&amp;"|"&amp;DATOS!$D14157&amp;"|"&amp;DATOS!$E14157&amp;"|"&amp;DATOS!$I14157)</f>
      </c>
      <c r="G14157">
        <f>IF(DATOS!$A14157="",0,IF(CONFIG_METADATA!$B$4&lt;&gt;"OR+EX",--(DATOS!$G14157=CONFIG_METADATA!$B$4),IF(DATOS!$G14157="EX",1,IF(DATOS!$G14157="OR",--(COUNTIFS(nNIA,DATOS!$A14157,nCURSO,DATOS!$D14157,nESPEC,DATOS!$E14157,nASIG,DATOS!$I14157,nEVAL,"EX")=0),0))))</f>
      </c>
      <c r="H14157">
        <f>IF(DATOS!$G14157&lt;&gt;"EX",0,--(COUNTIFS(nNIA,DATOS!$A14157,nCURSO,DATOS!$D14157,nESPEC,DATOS!$E14157,nASIG,DATOS!$I14157,nEVAL,"OR")=0))</f>
      </c>
      <c r="I14157">
        <f>IF(DATOS!$I14157="","",IFERROR(VLOOKUP(DATOS!$I14157,CONFIG_ASIGNATURAS!$B$2:$J$91,9,FALSE()),""))</f>
      </c>
    </row>
    <row r="14158">
      <c r="F14158">
        <f>IF(DATOS!$A14158="","",DATOS!$A14158&amp;"|"&amp;DATOS!$D14158&amp;"|"&amp;DATOS!$E14158&amp;"|"&amp;DATOS!$I14158)</f>
      </c>
      <c r="G14158">
        <f>IF(DATOS!$A14158="",0,IF(CONFIG_METADATA!$B$4&lt;&gt;"OR+EX",--(DATOS!$G14158=CONFIG_METADATA!$B$4),IF(DATOS!$G14158="EX",1,IF(DATOS!$G14158="OR",--(COUNTIFS(nNIA,DATOS!$A14158,nCURSO,DATOS!$D14158,nESPEC,DATOS!$E14158,nASIG,DATOS!$I14158,nEVAL,"EX")=0),0))))</f>
      </c>
      <c r="H14158">
        <f>IF(DATOS!$G14158&lt;&gt;"EX",0,--(COUNTIFS(nNIA,DATOS!$A14158,nCURSO,DATOS!$D14158,nESPEC,DATOS!$E14158,nASIG,DATOS!$I14158,nEVAL,"OR")=0))</f>
      </c>
      <c r="I14158">
        <f>IF(DATOS!$I14158="","",IFERROR(VLOOKUP(DATOS!$I14158,CONFIG_ASIGNATURAS!$B$2:$J$91,9,FALSE()),""))</f>
      </c>
    </row>
    <row r="14159">
      <c r="F14159">
        <f>IF(DATOS!$A14159="","",DATOS!$A14159&amp;"|"&amp;DATOS!$D14159&amp;"|"&amp;DATOS!$E14159&amp;"|"&amp;DATOS!$I14159)</f>
      </c>
      <c r="G14159">
        <f>IF(DATOS!$A14159="",0,IF(CONFIG_METADATA!$B$4&lt;&gt;"OR+EX",--(DATOS!$G14159=CONFIG_METADATA!$B$4),IF(DATOS!$G14159="EX",1,IF(DATOS!$G14159="OR",--(COUNTIFS(nNIA,DATOS!$A14159,nCURSO,DATOS!$D14159,nESPEC,DATOS!$E14159,nASIG,DATOS!$I14159,nEVAL,"EX")=0),0))))</f>
      </c>
      <c r="H14159">
        <f>IF(DATOS!$G14159&lt;&gt;"EX",0,--(COUNTIFS(nNIA,DATOS!$A14159,nCURSO,DATOS!$D14159,nESPEC,DATOS!$E14159,nASIG,DATOS!$I14159,nEVAL,"OR")=0))</f>
      </c>
      <c r="I14159">
        <f>IF(DATOS!$I14159="","",IFERROR(VLOOKUP(DATOS!$I14159,CONFIG_ASIGNATURAS!$B$2:$J$91,9,FALSE()),""))</f>
      </c>
    </row>
    <row r="14160">
      <c r="F14160">
        <f>IF(DATOS!$A14160="","",DATOS!$A14160&amp;"|"&amp;DATOS!$D14160&amp;"|"&amp;DATOS!$E14160&amp;"|"&amp;DATOS!$I14160)</f>
      </c>
      <c r="G14160">
        <f>IF(DATOS!$A14160="",0,IF(CONFIG_METADATA!$B$4&lt;&gt;"OR+EX",--(DATOS!$G14160=CONFIG_METADATA!$B$4),IF(DATOS!$G14160="EX",1,IF(DATOS!$G14160="OR",--(COUNTIFS(nNIA,DATOS!$A14160,nCURSO,DATOS!$D14160,nESPEC,DATOS!$E14160,nASIG,DATOS!$I14160,nEVAL,"EX")=0),0))))</f>
      </c>
      <c r="H14160">
        <f>IF(DATOS!$G14160&lt;&gt;"EX",0,--(COUNTIFS(nNIA,DATOS!$A14160,nCURSO,DATOS!$D14160,nESPEC,DATOS!$E14160,nASIG,DATOS!$I14160,nEVAL,"OR")=0))</f>
      </c>
      <c r="I14160">
        <f>IF(DATOS!$I14160="","",IFERROR(VLOOKUP(DATOS!$I14160,CONFIG_ASIGNATURAS!$B$2:$J$91,9,FALSE()),""))</f>
      </c>
    </row>
    <row r="14161">
      <c r="F14161">
        <f>IF(DATOS!$A14161="","",DATOS!$A14161&amp;"|"&amp;DATOS!$D14161&amp;"|"&amp;DATOS!$E14161&amp;"|"&amp;DATOS!$I14161)</f>
      </c>
      <c r="G14161">
        <f>IF(DATOS!$A14161="",0,IF(CONFIG_METADATA!$B$4&lt;&gt;"OR+EX",--(DATOS!$G14161=CONFIG_METADATA!$B$4),IF(DATOS!$G14161="EX",1,IF(DATOS!$G14161="OR",--(COUNTIFS(nNIA,DATOS!$A14161,nCURSO,DATOS!$D14161,nESPEC,DATOS!$E14161,nASIG,DATOS!$I14161,nEVAL,"EX")=0),0))))</f>
      </c>
      <c r="H14161">
        <f>IF(DATOS!$G14161&lt;&gt;"EX",0,--(COUNTIFS(nNIA,DATOS!$A14161,nCURSO,DATOS!$D14161,nESPEC,DATOS!$E14161,nASIG,DATOS!$I14161,nEVAL,"OR")=0))</f>
      </c>
      <c r="I14161">
        <f>IF(DATOS!$I14161="","",IFERROR(VLOOKUP(DATOS!$I14161,CONFIG_ASIGNATURAS!$B$2:$J$91,9,FALSE()),""))</f>
      </c>
    </row>
    <row r="14162">
      <c r="F14162">
        <f>IF(DATOS!$A14162="","",DATOS!$A14162&amp;"|"&amp;DATOS!$D14162&amp;"|"&amp;DATOS!$E14162&amp;"|"&amp;DATOS!$I14162)</f>
      </c>
      <c r="G14162">
        <f>IF(DATOS!$A14162="",0,IF(CONFIG_METADATA!$B$4&lt;&gt;"OR+EX",--(DATOS!$G14162=CONFIG_METADATA!$B$4),IF(DATOS!$G14162="EX",1,IF(DATOS!$G14162="OR",--(COUNTIFS(nNIA,DATOS!$A14162,nCURSO,DATOS!$D14162,nESPEC,DATOS!$E14162,nASIG,DATOS!$I14162,nEVAL,"EX")=0),0))))</f>
      </c>
      <c r="H14162">
        <f>IF(DATOS!$G14162&lt;&gt;"EX",0,--(COUNTIFS(nNIA,DATOS!$A14162,nCURSO,DATOS!$D14162,nESPEC,DATOS!$E14162,nASIG,DATOS!$I14162,nEVAL,"OR")=0))</f>
      </c>
      <c r="I14162">
        <f>IF(DATOS!$I14162="","",IFERROR(VLOOKUP(DATOS!$I14162,CONFIG_ASIGNATURAS!$B$2:$J$91,9,FALSE()),""))</f>
      </c>
    </row>
    <row r="14163">
      <c r="F14163">
        <f>IF(DATOS!$A14163="","",DATOS!$A14163&amp;"|"&amp;DATOS!$D14163&amp;"|"&amp;DATOS!$E14163&amp;"|"&amp;DATOS!$I14163)</f>
      </c>
      <c r="G14163">
        <f>IF(DATOS!$A14163="",0,IF(CONFIG_METADATA!$B$4&lt;&gt;"OR+EX",--(DATOS!$G14163=CONFIG_METADATA!$B$4),IF(DATOS!$G14163="EX",1,IF(DATOS!$G14163="OR",--(COUNTIFS(nNIA,DATOS!$A14163,nCURSO,DATOS!$D14163,nESPEC,DATOS!$E14163,nASIG,DATOS!$I14163,nEVAL,"EX")=0),0))))</f>
      </c>
      <c r="H14163">
        <f>IF(DATOS!$G14163&lt;&gt;"EX",0,--(COUNTIFS(nNIA,DATOS!$A14163,nCURSO,DATOS!$D14163,nESPEC,DATOS!$E14163,nASIG,DATOS!$I14163,nEVAL,"OR")=0))</f>
      </c>
      <c r="I14163">
        <f>IF(DATOS!$I14163="","",IFERROR(VLOOKUP(DATOS!$I14163,CONFIG_ASIGNATURAS!$B$2:$J$91,9,FALSE()),""))</f>
      </c>
    </row>
    <row r="14164">
      <c r="F14164">
        <f>IF(DATOS!$A14164="","",DATOS!$A14164&amp;"|"&amp;DATOS!$D14164&amp;"|"&amp;DATOS!$E14164&amp;"|"&amp;DATOS!$I14164)</f>
      </c>
      <c r="G14164">
        <f>IF(DATOS!$A14164="",0,IF(CONFIG_METADATA!$B$4&lt;&gt;"OR+EX",--(DATOS!$G14164=CONFIG_METADATA!$B$4),IF(DATOS!$G14164="EX",1,IF(DATOS!$G14164="OR",--(COUNTIFS(nNIA,DATOS!$A14164,nCURSO,DATOS!$D14164,nESPEC,DATOS!$E14164,nASIG,DATOS!$I14164,nEVAL,"EX")=0),0))))</f>
      </c>
      <c r="H14164">
        <f>IF(DATOS!$G14164&lt;&gt;"EX",0,--(COUNTIFS(nNIA,DATOS!$A14164,nCURSO,DATOS!$D14164,nESPEC,DATOS!$E14164,nASIG,DATOS!$I14164,nEVAL,"OR")=0))</f>
      </c>
      <c r="I14164">
        <f>IF(DATOS!$I14164="","",IFERROR(VLOOKUP(DATOS!$I14164,CONFIG_ASIGNATURAS!$B$2:$J$91,9,FALSE()),""))</f>
      </c>
    </row>
    <row r="14165">
      <c r="F14165">
        <f>IF(DATOS!$A14165="","",DATOS!$A14165&amp;"|"&amp;DATOS!$D14165&amp;"|"&amp;DATOS!$E14165&amp;"|"&amp;DATOS!$I14165)</f>
      </c>
      <c r="G14165">
        <f>IF(DATOS!$A14165="",0,IF(CONFIG_METADATA!$B$4&lt;&gt;"OR+EX",--(DATOS!$G14165=CONFIG_METADATA!$B$4),IF(DATOS!$G14165="EX",1,IF(DATOS!$G14165="OR",--(COUNTIFS(nNIA,DATOS!$A14165,nCURSO,DATOS!$D14165,nESPEC,DATOS!$E14165,nASIG,DATOS!$I14165,nEVAL,"EX")=0),0))))</f>
      </c>
      <c r="H14165">
        <f>IF(DATOS!$G14165&lt;&gt;"EX",0,--(COUNTIFS(nNIA,DATOS!$A14165,nCURSO,DATOS!$D14165,nESPEC,DATOS!$E14165,nASIG,DATOS!$I14165,nEVAL,"OR")=0))</f>
      </c>
      <c r="I14165">
        <f>IF(DATOS!$I14165="","",IFERROR(VLOOKUP(DATOS!$I14165,CONFIG_ASIGNATURAS!$B$2:$J$91,9,FALSE()),""))</f>
      </c>
    </row>
    <row r="14166">
      <c r="F14166">
        <f>IF(DATOS!$A14166="","",DATOS!$A14166&amp;"|"&amp;DATOS!$D14166&amp;"|"&amp;DATOS!$E14166&amp;"|"&amp;DATOS!$I14166)</f>
      </c>
      <c r="G14166">
        <f>IF(DATOS!$A14166="",0,IF(CONFIG_METADATA!$B$4&lt;&gt;"OR+EX",--(DATOS!$G14166=CONFIG_METADATA!$B$4),IF(DATOS!$G14166="EX",1,IF(DATOS!$G14166="OR",--(COUNTIFS(nNIA,DATOS!$A14166,nCURSO,DATOS!$D14166,nESPEC,DATOS!$E14166,nASIG,DATOS!$I14166,nEVAL,"EX")=0),0))))</f>
      </c>
      <c r="H14166">
        <f>IF(DATOS!$G14166&lt;&gt;"EX",0,--(COUNTIFS(nNIA,DATOS!$A14166,nCURSO,DATOS!$D14166,nESPEC,DATOS!$E14166,nASIG,DATOS!$I14166,nEVAL,"OR")=0))</f>
      </c>
      <c r="I14166">
        <f>IF(DATOS!$I14166="","",IFERROR(VLOOKUP(DATOS!$I14166,CONFIG_ASIGNATURAS!$B$2:$J$91,9,FALSE()),""))</f>
      </c>
    </row>
    <row r="14167">
      <c r="F14167">
        <f>IF(DATOS!$A14167="","",DATOS!$A14167&amp;"|"&amp;DATOS!$D14167&amp;"|"&amp;DATOS!$E14167&amp;"|"&amp;DATOS!$I14167)</f>
      </c>
      <c r="G14167">
        <f>IF(DATOS!$A14167="",0,IF(CONFIG_METADATA!$B$4&lt;&gt;"OR+EX",--(DATOS!$G14167=CONFIG_METADATA!$B$4),IF(DATOS!$G14167="EX",1,IF(DATOS!$G14167="OR",--(COUNTIFS(nNIA,DATOS!$A14167,nCURSO,DATOS!$D14167,nESPEC,DATOS!$E14167,nASIG,DATOS!$I14167,nEVAL,"EX")=0),0))))</f>
      </c>
      <c r="H14167">
        <f>IF(DATOS!$G14167&lt;&gt;"EX",0,--(COUNTIFS(nNIA,DATOS!$A14167,nCURSO,DATOS!$D14167,nESPEC,DATOS!$E14167,nASIG,DATOS!$I14167,nEVAL,"OR")=0))</f>
      </c>
      <c r="I14167">
        <f>IF(DATOS!$I14167="","",IFERROR(VLOOKUP(DATOS!$I14167,CONFIG_ASIGNATURAS!$B$2:$J$91,9,FALSE()),""))</f>
      </c>
    </row>
    <row r="14168">
      <c r="F14168">
        <f>IF(DATOS!$A14168="","",DATOS!$A14168&amp;"|"&amp;DATOS!$D14168&amp;"|"&amp;DATOS!$E14168&amp;"|"&amp;DATOS!$I14168)</f>
      </c>
      <c r="G14168">
        <f>IF(DATOS!$A14168="",0,IF(CONFIG_METADATA!$B$4&lt;&gt;"OR+EX",--(DATOS!$G14168=CONFIG_METADATA!$B$4),IF(DATOS!$G14168="EX",1,IF(DATOS!$G14168="OR",--(COUNTIFS(nNIA,DATOS!$A14168,nCURSO,DATOS!$D14168,nESPEC,DATOS!$E14168,nASIG,DATOS!$I14168,nEVAL,"EX")=0),0))))</f>
      </c>
      <c r="H14168">
        <f>IF(DATOS!$G14168&lt;&gt;"EX",0,--(COUNTIFS(nNIA,DATOS!$A14168,nCURSO,DATOS!$D14168,nESPEC,DATOS!$E14168,nASIG,DATOS!$I14168,nEVAL,"OR")=0))</f>
      </c>
      <c r="I14168">
        <f>IF(DATOS!$I14168="","",IFERROR(VLOOKUP(DATOS!$I14168,CONFIG_ASIGNATURAS!$B$2:$J$91,9,FALSE()),""))</f>
      </c>
    </row>
    <row r="14169">
      <c r="F14169">
        <f>IF(DATOS!$A14169="","",DATOS!$A14169&amp;"|"&amp;DATOS!$D14169&amp;"|"&amp;DATOS!$E14169&amp;"|"&amp;DATOS!$I14169)</f>
      </c>
      <c r="G14169">
        <f>IF(DATOS!$A14169="",0,IF(CONFIG_METADATA!$B$4&lt;&gt;"OR+EX",--(DATOS!$G14169=CONFIG_METADATA!$B$4),IF(DATOS!$G14169="EX",1,IF(DATOS!$G14169="OR",--(COUNTIFS(nNIA,DATOS!$A14169,nCURSO,DATOS!$D14169,nESPEC,DATOS!$E14169,nASIG,DATOS!$I14169,nEVAL,"EX")=0),0))))</f>
      </c>
      <c r="H14169">
        <f>IF(DATOS!$G14169&lt;&gt;"EX",0,--(COUNTIFS(nNIA,DATOS!$A14169,nCURSO,DATOS!$D14169,nESPEC,DATOS!$E14169,nASIG,DATOS!$I14169,nEVAL,"OR")=0))</f>
      </c>
      <c r="I14169">
        <f>IF(DATOS!$I14169="","",IFERROR(VLOOKUP(DATOS!$I14169,CONFIG_ASIGNATURAS!$B$2:$J$91,9,FALSE()),""))</f>
      </c>
    </row>
    <row r="14170">
      <c r="F14170">
        <f>IF(DATOS!$A14170="","",DATOS!$A14170&amp;"|"&amp;DATOS!$D14170&amp;"|"&amp;DATOS!$E14170&amp;"|"&amp;DATOS!$I14170)</f>
      </c>
      <c r="G14170">
        <f>IF(DATOS!$A14170="",0,IF(CONFIG_METADATA!$B$4&lt;&gt;"OR+EX",--(DATOS!$G14170=CONFIG_METADATA!$B$4),IF(DATOS!$G14170="EX",1,IF(DATOS!$G14170="OR",--(COUNTIFS(nNIA,DATOS!$A14170,nCURSO,DATOS!$D14170,nESPEC,DATOS!$E14170,nASIG,DATOS!$I14170,nEVAL,"EX")=0),0))))</f>
      </c>
      <c r="H14170">
        <f>IF(DATOS!$G14170&lt;&gt;"EX",0,--(COUNTIFS(nNIA,DATOS!$A14170,nCURSO,DATOS!$D14170,nESPEC,DATOS!$E14170,nASIG,DATOS!$I14170,nEVAL,"OR")=0))</f>
      </c>
      <c r="I14170">
        <f>IF(DATOS!$I14170="","",IFERROR(VLOOKUP(DATOS!$I14170,CONFIG_ASIGNATURAS!$B$2:$J$91,9,FALSE()),""))</f>
      </c>
    </row>
    <row r="14171">
      <c r="F14171">
        <f>IF(DATOS!$A14171="","",DATOS!$A14171&amp;"|"&amp;DATOS!$D14171&amp;"|"&amp;DATOS!$E14171&amp;"|"&amp;DATOS!$I14171)</f>
      </c>
      <c r="G14171">
        <f>IF(DATOS!$A14171="",0,IF(CONFIG_METADATA!$B$4&lt;&gt;"OR+EX",--(DATOS!$G14171=CONFIG_METADATA!$B$4),IF(DATOS!$G14171="EX",1,IF(DATOS!$G14171="OR",--(COUNTIFS(nNIA,DATOS!$A14171,nCURSO,DATOS!$D14171,nESPEC,DATOS!$E14171,nASIG,DATOS!$I14171,nEVAL,"EX")=0),0))))</f>
      </c>
      <c r="H14171">
        <f>IF(DATOS!$G14171&lt;&gt;"EX",0,--(COUNTIFS(nNIA,DATOS!$A14171,nCURSO,DATOS!$D14171,nESPEC,DATOS!$E14171,nASIG,DATOS!$I14171,nEVAL,"OR")=0))</f>
      </c>
      <c r="I14171">
        <f>IF(DATOS!$I14171="","",IFERROR(VLOOKUP(DATOS!$I14171,CONFIG_ASIGNATURAS!$B$2:$J$91,9,FALSE()),""))</f>
      </c>
    </row>
    <row r="14172">
      <c r="F14172">
        <f>IF(DATOS!$A14172="","",DATOS!$A14172&amp;"|"&amp;DATOS!$D14172&amp;"|"&amp;DATOS!$E14172&amp;"|"&amp;DATOS!$I14172)</f>
      </c>
      <c r="G14172">
        <f>IF(DATOS!$A14172="",0,IF(CONFIG_METADATA!$B$4&lt;&gt;"OR+EX",--(DATOS!$G14172=CONFIG_METADATA!$B$4),IF(DATOS!$G14172="EX",1,IF(DATOS!$G14172="OR",--(COUNTIFS(nNIA,DATOS!$A14172,nCURSO,DATOS!$D14172,nESPEC,DATOS!$E14172,nASIG,DATOS!$I14172,nEVAL,"EX")=0),0))))</f>
      </c>
      <c r="H14172">
        <f>IF(DATOS!$G14172&lt;&gt;"EX",0,--(COUNTIFS(nNIA,DATOS!$A14172,nCURSO,DATOS!$D14172,nESPEC,DATOS!$E14172,nASIG,DATOS!$I14172,nEVAL,"OR")=0))</f>
      </c>
      <c r="I14172">
        <f>IF(DATOS!$I14172="","",IFERROR(VLOOKUP(DATOS!$I14172,CONFIG_ASIGNATURAS!$B$2:$J$91,9,FALSE()),""))</f>
      </c>
    </row>
    <row r="14173">
      <c r="F14173">
        <f>IF(DATOS!$A14173="","",DATOS!$A14173&amp;"|"&amp;DATOS!$D14173&amp;"|"&amp;DATOS!$E14173&amp;"|"&amp;DATOS!$I14173)</f>
      </c>
      <c r="G14173">
        <f>IF(DATOS!$A14173="",0,IF(CONFIG_METADATA!$B$4&lt;&gt;"OR+EX",--(DATOS!$G14173=CONFIG_METADATA!$B$4),IF(DATOS!$G14173="EX",1,IF(DATOS!$G14173="OR",--(COUNTIFS(nNIA,DATOS!$A14173,nCURSO,DATOS!$D14173,nESPEC,DATOS!$E14173,nASIG,DATOS!$I14173,nEVAL,"EX")=0),0))))</f>
      </c>
      <c r="H14173">
        <f>IF(DATOS!$G14173&lt;&gt;"EX",0,--(COUNTIFS(nNIA,DATOS!$A14173,nCURSO,DATOS!$D14173,nESPEC,DATOS!$E14173,nASIG,DATOS!$I14173,nEVAL,"OR")=0))</f>
      </c>
      <c r="I14173">
        <f>IF(DATOS!$I14173="","",IFERROR(VLOOKUP(DATOS!$I14173,CONFIG_ASIGNATURAS!$B$2:$J$91,9,FALSE()),""))</f>
      </c>
    </row>
    <row r="14174">
      <c r="F14174">
        <f>IF(DATOS!$A14174="","",DATOS!$A14174&amp;"|"&amp;DATOS!$D14174&amp;"|"&amp;DATOS!$E14174&amp;"|"&amp;DATOS!$I14174)</f>
      </c>
      <c r="G14174">
        <f>IF(DATOS!$A14174="",0,IF(CONFIG_METADATA!$B$4&lt;&gt;"OR+EX",--(DATOS!$G14174=CONFIG_METADATA!$B$4),IF(DATOS!$G14174="EX",1,IF(DATOS!$G14174="OR",--(COUNTIFS(nNIA,DATOS!$A14174,nCURSO,DATOS!$D14174,nESPEC,DATOS!$E14174,nASIG,DATOS!$I14174,nEVAL,"EX")=0),0))))</f>
      </c>
      <c r="H14174">
        <f>IF(DATOS!$G14174&lt;&gt;"EX",0,--(COUNTIFS(nNIA,DATOS!$A14174,nCURSO,DATOS!$D14174,nESPEC,DATOS!$E14174,nASIG,DATOS!$I14174,nEVAL,"OR")=0))</f>
      </c>
      <c r="I14174">
        <f>IF(DATOS!$I14174="","",IFERROR(VLOOKUP(DATOS!$I14174,CONFIG_ASIGNATURAS!$B$2:$J$91,9,FALSE()),""))</f>
      </c>
    </row>
    <row r="14175">
      <c r="F14175">
        <f>IF(DATOS!$A14175="","",DATOS!$A14175&amp;"|"&amp;DATOS!$D14175&amp;"|"&amp;DATOS!$E14175&amp;"|"&amp;DATOS!$I14175)</f>
      </c>
      <c r="G14175">
        <f>IF(DATOS!$A14175="",0,IF(CONFIG_METADATA!$B$4&lt;&gt;"OR+EX",--(DATOS!$G14175=CONFIG_METADATA!$B$4),IF(DATOS!$G14175="EX",1,IF(DATOS!$G14175="OR",--(COUNTIFS(nNIA,DATOS!$A14175,nCURSO,DATOS!$D14175,nESPEC,DATOS!$E14175,nASIG,DATOS!$I14175,nEVAL,"EX")=0),0))))</f>
      </c>
      <c r="H14175">
        <f>IF(DATOS!$G14175&lt;&gt;"EX",0,--(COUNTIFS(nNIA,DATOS!$A14175,nCURSO,DATOS!$D14175,nESPEC,DATOS!$E14175,nASIG,DATOS!$I14175,nEVAL,"OR")=0))</f>
      </c>
      <c r="I14175">
        <f>IF(DATOS!$I14175="","",IFERROR(VLOOKUP(DATOS!$I14175,CONFIG_ASIGNATURAS!$B$2:$J$91,9,FALSE()),""))</f>
      </c>
    </row>
    <row r="14176">
      <c r="F14176">
        <f>IF(DATOS!$A14176="","",DATOS!$A14176&amp;"|"&amp;DATOS!$D14176&amp;"|"&amp;DATOS!$E14176&amp;"|"&amp;DATOS!$I14176)</f>
      </c>
      <c r="G14176">
        <f>IF(DATOS!$A14176="",0,IF(CONFIG_METADATA!$B$4&lt;&gt;"OR+EX",--(DATOS!$G14176=CONFIG_METADATA!$B$4),IF(DATOS!$G14176="EX",1,IF(DATOS!$G14176="OR",--(COUNTIFS(nNIA,DATOS!$A14176,nCURSO,DATOS!$D14176,nESPEC,DATOS!$E14176,nASIG,DATOS!$I14176,nEVAL,"EX")=0),0))))</f>
      </c>
      <c r="H14176">
        <f>IF(DATOS!$G14176&lt;&gt;"EX",0,--(COUNTIFS(nNIA,DATOS!$A14176,nCURSO,DATOS!$D14176,nESPEC,DATOS!$E14176,nASIG,DATOS!$I14176,nEVAL,"OR")=0))</f>
      </c>
      <c r="I14176">
        <f>IF(DATOS!$I14176="","",IFERROR(VLOOKUP(DATOS!$I14176,CONFIG_ASIGNATURAS!$B$2:$J$91,9,FALSE()),""))</f>
      </c>
    </row>
    <row r="14177">
      <c r="F14177">
        <f>IF(DATOS!$A14177="","",DATOS!$A14177&amp;"|"&amp;DATOS!$D14177&amp;"|"&amp;DATOS!$E14177&amp;"|"&amp;DATOS!$I14177)</f>
      </c>
      <c r="G14177">
        <f>IF(DATOS!$A14177="",0,IF(CONFIG_METADATA!$B$4&lt;&gt;"OR+EX",--(DATOS!$G14177=CONFIG_METADATA!$B$4),IF(DATOS!$G14177="EX",1,IF(DATOS!$G14177="OR",--(COUNTIFS(nNIA,DATOS!$A14177,nCURSO,DATOS!$D14177,nESPEC,DATOS!$E14177,nASIG,DATOS!$I14177,nEVAL,"EX")=0),0))))</f>
      </c>
      <c r="H14177">
        <f>IF(DATOS!$G14177&lt;&gt;"EX",0,--(COUNTIFS(nNIA,DATOS!$A14177,nCURSO,DATOS!$D14177,nESPEC,DATOS!$E14177,nASIG,DATOS!$I14177,nEVAL,"OR")=0))</f>
      </c>
      <c r="I14177">
        <f>IF(DATOS!$I14177="","",IFERROR(VLOOKUP(DATOS!$I14177,CONFIG_ASIGNATURAS!$B$2:$J$91,9,FALSE()),""))</f>
      </c>
    </row>
    <row r="14178">
      <c r="F14178">
        <f>IF(DATOS!$A14178="","",DATOS!$A14178&amp;"|"&amp;DATOS!$D14178&amp;"|"&amp;DATOS!$E14178&amp;"|"&amp;DATOS!$I14178)</f>
      </c>
      <c r="G14178">
        <f>IF(DATOS!$A14178="",0,IF(CONFIG_METADATA!$B$4&lt;&gt;"OR+EX",--(DATOS!$G14178=CONFIG_METADATA!$B$4),IF(DATOS!$G14178="EX",1,IF(DATOS!$G14178="OR",--(COUNTIFS(nNIA,DATOS!$A14178,nCURSO,DATOS!$D14178,nESPEC,DATOS!$E14178,nASIG,DATOS!$I14178,nEVAL,"EX")=0),0))))</f>
      </c>
      <c r="H14178">
        <f>IF(DATOS!$G14178&lt;&gt;"EX",0,--(COUNTIFS(nNIA,DATOS!$A14178,nCURSO,DATOS!$D14178,nESPEC,DATOS!$E14178,nASIG,DATOS!$I14178,nEVAL,"OR")=0))</f>
      </c>
      <c r="I14178">
        <f>IF(DATOS!$I14178="","",IFERROR(VLOOKUP(DATOS!$I14178,CONFIG_ASIGNATURAS!$B$2:$J$91,9,FALSE()),""))</f>
      </c>
    </row>
    <row r="14179">
      <c r="F14179">
        <f>IF(DATOS!$A14179="","",DATOS!$A14179&amp;"|"&amp;DATOS!$D14179&amp;"|"&amp;DATOS!$E14179&amp;"|"&amp;DATOS!$I14179)</f>
      </c>
      <c r="G14179">
        <f>IF(DATOS!$A14179="",0,IF(CONFIG_METADATA!$B$4&lt;&gt;"OR+EX",--(DATOS!$G14179=CONFIG_METADATA!$B$4),IF(DATOS!$G14179="EX",1,IF(DATOS!$G14179="OR",--(COUNTIFS(nNIA,DATOS!$A14179,nCURSO,DATOS!$D14179,nESPEC,DATOS!$E14179,nASIG,DATOS!$I14179,nEVAL,"EX")=0),0))))</f>
      </c>
      <c r="H14179">
        <f>IF(DATOS!$G14179&lt;&gt;"EX",0,--(COUNTIFS(nNIA,DATOS!$A14179,nCURSO,DATOS!$D14179,nESPEC,DATOS!$E14179,nASIG,DATOS!$I14179,nEVAL,"OR")=0))</f>
      </c>
      <c r="I14179">
        <f>IF(DATOS!$I14179="","",IFERROR(VLOOKUP(DATOS!$I14179,CONFIG_ASIGNATURAS!$B$2:$J$91,9,FALSE()),""))</f>
      </c>
    </row>
    <row r="14180">
      <c r="F14180">
        <f>IF(DATOS!$A14180="","",DATOS!$A14180&amp;"|"&amp;DATOS!$D14180&amp;"|"&amp;DATOS!$E14180&amp;"|"&amp;DATOS!$I14180)</f>
      </c>
      <c r="G14180">
        <f>IF(DATOS!$A14180="",0,IF(CONFIG_METADATA!$B$4&lt;&gt;"OR+EX",--(DATOS!$G14180=CONFIG_METADATA!$B$4),IF(DATOS!$G14180="EX",1,IF(DATOS!$G14180="OR",--(COUNTIFS(nNIA,DATOS!$A14180,nCURSO,DATOS!$D14180,nESPEC,DATOS!$E14180,nASIG,DATOS!$I14180,nEVAL,"EX")=0),0))))</f>
      </c>
      <c r="H14180">
        <f>IF(DATOS!$G14180&lt;&gt;"EX",0,--(COUNTIFS(nNIA,DATOS!$A14180,nCURSO,DATOS!$D14180,nESPEC,DATOS!$E14180,nASIG,DATOS!$I14180,nEVAL,"OR")=0))</f>
      </c>
      <c r="I14180">
        <f>IF(DATOS!$I14180="","",IFERROR(VLOOKUP(DATOS!$I14180,CONFIG_ASIGNATURAS!$B$2:$J$91,9,FALSE()),""))</f>
      </c>
    </row>
    <row r="14181">
      <c r="F14181">
        <f>IF(DATOS!$A14181="","",DATOS!$A14181&amp;"|"&amp;DATOS!$D14181&amp;"|"&amp;DATOS!$E14181&amp;"|"&amp;DATOS!$I14181)</f>
      </c>
      <c r="G14181">
        <f>IF(DATOS!$A14181="",0,IF(CONFIG_METADATA!$B$4&lt;&gt;"OR+EX",--(DATOS!$G14181=CONFIG_METADATA!$B$4),IF(DATOS!$G14181="EX",1,IF(DATOS!$G14181="OR",--(COUNTIFS(nNIA,DATOS!$A14181,nCURSO,DATOS!$D14181,nESPEC,DATOS!$E14181,nASIG,DATOS!$I14181,nEVAL,"EX")=0),0))))</f>
      </c>
      <c r="H14181">
        <f>IF(DATOS!$G14181&lt;&gt;"EX",0,--(COUNTIFS(nNIA,DATOS!$A14181,nCURSO,DATOS!$D14181,nESPEC,DATOS!$E14181,nASIG,DATOS!$I14181,nEVAL,"OR")=0))</f>
      </c>
      <c r="I14181">
        <f>IF(DATOS!$I14181="","",IFERROR(VLOOKUP(DATOS!$I14181,CONFIG_ASIGNATURAS!$B$2:$J$91,9,FALSE()),""))</f>
      </c>
    </row>
    <row r="14182">
      <c r="F14182">
        <f>IF(DATOS!$A14182="","",DATOS!$A14182&amp;"|"&amp;DATOS!$D14182&amp;"|"&amp;DATOS!$E14182&amp;"|"&amp;DATOS!$I14182)</f>
      </c>
      <c r="G14182">
        <f>IF(DATOS!$A14182="",0,IF(CONFIG_METADATA!$B$4&lt;&gt;"OR+EX",--(DATOS!$G14182=CONFIG_METADATA!$B$4),IF(DATOS!$G14182="EX",1,IF(DATOS!$G14182="OR",--(COUNTIFS(nNIA,DATOS!$A14182,nCURSO,DATOS!$D14182,nESPEC,DATOS!$E14182,nASIG,DATOS!$I14182,nEVAL,"EX")=0),0))))</f>
      </c>
      <c r="H14182">
        <f>IF(DATOS!$G14182&lt;&gt;"EX",0,--(COUNTIFS(nNIA,DATOS!$A14182,nCURSO,DATOS!$D14182,nESPEC,DATOS!$E14182,nASIG,DATOS!$I14182,nEVAL,"OR")=0))</f>
      </c>
      <c r="I14182">
        <f>IF(DATOS!$I14182="","",IFERROR(VLOOKUP(DATOS!$I14182,CONFIG_ASIGNATURAS!$B$2:$J$91,9,FALSE()),""))</f>
      </c>
    </row>
    <row r="14183">
      <c r="F14183">
        <f>IF(DATOS!$A14183="","",DATOS!$A14183&amp;"|"&amp;DATOS!$D14183&amp;"|"&amp;DATOS!$E14183&amp;"|"&amp;DATOS!$I14183)</f>
      </c>
      <c r="G14183">
        <f>IF(DATOS!$A14183="",0,IF(CONFIG_METADATA!$B$4&lt;&gt;"OR+EX",--(DATOS!$G14183=CONFIG_METADATA!$B$4),IF(DATOS!$G14183="EX",1,IF(DATOS!$G14183="OR",--(COUNTIFS(nNIA,DATOS!$A14183,nCURSO,DATOS!$D14183,nESPEC,DATOS!$E14183,nASIG,DATOS!$I14183,nEVAL,"EX")=0),0))))</f>
      </c>
      <c r="H14183">
        <f>IF(DATOS!$G14183&lt;&gt;"EX",0,--(COUNTIFS(nNIA,DATOS!$A14183,nCURSO,DATOS!$D14183,nESPEC,DATOS!$E14183,nASIG,DATOS!$I14183,nEVAL,"OR")=0))</f>
      </c>
      <c r="I14183">
        <f>IF(DATOS!$I14183="","",IFERROR(VLOOKUP(DATOS!$I14183,CONFIG_ASIGNATURAS!$B$2:$J$91,9,FALSE()),""))</f>
      </c>
    </row>
    <row r="14184">
      <c r="F14184">
        <f>IF(DATOS!$A14184="","",DATOS!$A14184&amp;"|"&amp;DATOS!$D14184&amp;"|"&amp;DATOS!$E14184&amp;"|"&amp;DATOS!$I14184)</f>
      </c>
      <c r="G14184">
        <f>IF(DATOS!$A14184="",0,IF(CONFIG_METADATA!$B$4&lt;&gt;"OR+EX",--(DATOS!$G14184=CONFIG_METADATA!$B$4),IF(DATOS!$G14184="EX",1,IF(DATOS!$G14184="OR",--(COUNTIFS(nNIA,DATOS!$A14184,nCURSO,DATOS!$D14184,nESPEC,DATOS!$E14184,nASIG,DATOS!$I14184,nEVAL,"EX")=0),0))))</f>
      </c>
      <c r="H14184">
        <f>IF(DATOS!$G14184&lt;&gt;"EX",0,--(COUNTIFS(nNIA,DATOS!$A14184,nCURSO,DATOS!$D14184,nESPEC,DATOS!$E14184,nASIG,DATOS!$I14184,nEVAL,"OR")=0))</f>
      </c>
      <c r="I14184">
        <f>IF(DATOS!$I14184="","",IFERROR(VLOOKUP(DATOS!$I14184,CONFIG_ASIGNATURAS!$B$2:$J$91,9,FALSE()),""))</f>
      </c>
    </row>
    <row r="14185">
      <c r="F14185">
        <f>IF(DATOS!$A14185="","",DATOS!$A14185&amp;"|"&amp;DATOS!$D14185&amp;"|"&amp;DATOS!$E14185&amp;"|"&amp;DATOS!$I14185)</f>
      </c>
      <c r="G14185">
        <f>IF(DATOS!$A14185="",0,IF(CONFIG_METADATA!$B$4&lt;&gt;"OR+EX",--(DATOS!$G14185=CONFIG_METADATA!$B$4),IF(DATOS!$G14185="EX",1,IF(DATOS!$G14185="OR",--(COUNTIFS(nNIA,DATOS!$A14185,nCURSO,DATOS!$D14185,nESPEC,DATOS!$E14185,nASIG,DATOS!$I14185,nEVAL,"EX")=0),0))))</f>
      </c>
      <c r="H14185">
        <f>IF(DATOS!$G14185&lt;&gt;"EX",0,--(COUNTIFS(nNIA,DATOS!$A14185,nCURSO,DATOS!$D14185,nESPEC,DATOS!$E14185,nASIG,DATOS!$I14185,nEVAL,"OR")=0))</f>
      </c>
      <c r="I14185">
        <f>IF(DATOS!$I14185="","",IFERROR(VLOOKUP(DATOS!$I14185,CONFIG_ASIGNATURAS!$B$2:$J$91,9,FALSE()),""))</f>
      </c>
    </row>
    <row r="14186">
      <c r="F14186">
        <f>IF(DATOS!$A14186="","",DATOS!$A14186&amp;"|"&amp;DATOS!$D14186&amp;"|"&amp;DATOS!$E14186&amp;"|"&amp;DATOS!$I14186)</f>
      </c>
      <c r="G14186">
        <f>IF(DATOS!$A14186="",0,IF(CONFIG_METADATA!$B$4&lt;&gt;"OR+EX",--(DATOS!$G14186=CONFIG_METADATA!$B$4),IF(DATOS!$G14186="EX",1,IF(DATOS!$G14186="OR",--(COUNTIFS(nNIA,DATOS!$A14186,nCURSO,DATOS!$D14186,nESPEC,DATOS!$E14186,nASIG,DATOS!$I14186,nEVAL,"EX")=0),0))))</f>
      </c>
      <c r="H14186">
        <f>IF(DATOS!$G14186&lt;&gt;"EX",0,--(COUNTIFS(nNIA,DATOS!$A14186,nCURSO,DATOS!$D14186,nESPEC,DATOS!$E14186,nASIG,DATOS!$I14186,nEVAL,"OR")=0))</f>
      </c>
      <c r="I14186">
        <f>IF(DATOS!$I14186="","",IFERROR(VLOOKUP(DATOS!$I14186,CONFIG_ASIGNATURAS!$B$2:$J$91,9,FALSE()),""))</f>
      </c>
    </row>
    <row r="14187">
      <c r="F14187">
        <f>IF(DATOS!$A14187="","",DATOS!$A14187&amp;"|"&amp;DATOS!$D14187&amp;"|"&amp;DATOS!$E14187&amp;"|"&amp;DATOS!$I14187)</f>
      </c>
      <c r="G14187">
        <f>IF(DATOS!$A14187="",0,IF(CONFIG_METADATA!$B$4&lt;&gt;"OR+EX",--(DATOS!$G14187=CONFIG_METADATA!$B$4),IF(DATOS!$G14187="EX",1,IF(DATOS!$G14187="OR",--(COUNTIFS(nNIA,DATOS!$A14187,nCURSO,DATOS!$D14187,nESPEC,DATOS!$E14187,nASIG,DATOS!$I14187,nEVAL,"EX")=0),0))))</f>
      </c>
      <c r="H14187">
        <f>IF(DATOS!$G14187&lt;&gt;"EX",0,--(COUNTIFS(nNIA,DATOS!$A14187,nCURSO,DATOS!$D14187,nESPEC,DATOS!$E14187,nASIG,DATOS!$I14187,nEVAL,"OR")=0))</f>
      </c>
      <c r="I14187">
        <f>IF(DATOS!$I14187="","",IFERROR(VLOOKUP(DATOS!$I14187,CONFIG_ASIGNATURAS!$B$2:$J$91,9,FALSE()),""))</f>
      </c>
    </row>
    <row r="14188">
      <c r="F14188">
        <f>IF(DATOS!$A14188="","",DATOS!$A14188&amp;"|"&amp;DATOS!$D14188&amp;"|"&amp;DATOS!$E14188&amp;"|"&amp;DATOS!$I14188)</f>
      </c>
      <c r="G14188">
        <f>IF(DATOS!$A14188="",0,IF(CONFIG_METADATA!$B$4&lt;&gt;"OR+EX",--(DATOS!$G14188=CONFIG_METADATA!$B$4),IF(DATOS!$G14188="EX",1,IF(DATOS!$G14188="OR",--(COUNTIFS(nNIA,DATOS!$A14188,nCURSO,DATOS!$D14188,nESPEC,DATOS!$E14188,nASIG,DATOS!$I14188,nEVAL,"EX")=0),0))))</f>
      </c>
      <c r="H14188">
        <f>IF(DATOS!$G14188&lt;&gt;"EX",0,--(COUNTIFS(nNIA,DATOS!$A14188,nCURSO,DATOS!$D14188,nESPEC,DATOS!$E14188,nASIG,DATOS!$I14188,nEVAL,"OR")=0))</f>
      </c>
      <c r="I14188">
        <f>IF(DATOS!$I14188="","",IFERROR(VLOOKUP(DATOS!$I14188,CONFIG_ASIGNATURAS!$B$2:$J$91,9,FALSE()),""))</f>
      </c>
    </row>
    <row r="14189">
      <c r="F14189">
        <f>IF(DATOS!$A14189="","",DATOS!$A14189&amp;"|"&amp;DATOS!$D14189&amp;"|"&amp;DATOS!$E14189&amp;"|"&amp;DATOS!$I14189)</f>
      </c>
      <c r="G14189">
        <f>IF(DATOS!$A14189="",0,IF(CONFIG_METADATA!$B$4&lt;&gt;"OR+EX",--(DATOS!$G14189=CONFIG_METADATA!$B$4),IF(DATOS!$G14189="EX",1,IF(DATOS!$G14189="OR",--(COUNTIFS(nNIA,DATOS!$A14189,nCURSO,DATOS!$D14189,nESPEC,DATOS!$E14189,nASIG,DATOS!$I14189,nEVAL,"EX")=0),0))))</f>
      </c>
      <c r="H14189">
        <f>IF(DATOS!$G14189&lt;&gt;"EX",0,--(COUNTIFS(nNIA,DATOS!$A14189,nCURSO,DATOS!$D14189,nESPEC,DATOS!$E14189,nASIG,DATOS!$I14189,nEVAL,"OR")=0))</f>
      </c>
      <c r="I14189">
        <f>IF(DATOS!$I14189="","",IFERROR(VLOOKUP(DATOS!$I14189,CONFIG_ASIGNATURAS!$B$2:$J$91,9,FALSE()),""))</f>
      </c>
    </row>
    <row r="14190">
      <c r="F14190">
        <f>IF(DATOS!$A14190="","",DATOS!$A14190&amp;"|"&amp;DATOS!$D14190&amp;"|"&amp;DATOS!$E14190&amp;"|"&amp;DATOS!$I14190)</f>
      </c>
      <c r="G14190">
        <f>IF(DATOS!$A14190="",0,IF(CONFIG_METADATA!$B$4&lt;&gt;"OR+EX",--(DATOS!$G14190=CONFIG_METADATA!$B$4),IF(DATOS!$G14190="EX",1,IF(DATOS!$G14190="OR",--(COUNTIFS(nNIA,DATOS!$A14190,nCURSO,DATOS!$D14190,nESPEC,DATOS!$E14190,nASIG,DATOS!$I14190,nEVAL,"EX")=0),0))))</f>
      </c>
      <c r="H14190">
        <f>IF(DATOS!$G14190&lt;&gt;"EX",0,--(COUNTIFS(nNIA,DATOS!$A14190,nCURSO,DATOS!$D14190,nESPEC,DATOS!$E14190,nASIG,DATOS!$I14190,nEVAL,"OR")=0))</f>
      </c>
      <c r="I14190">
        <f>IF(DATOS!$I14190="","",IFERROR(VLOOKUP(DATOS!$I14190,CONFIG_ASIGNATURAS!$B$2:$J$91,9,FALSE()),""))</f>
      </c>
    </row>
    <row r="14191">
      <c r="F14191">
        <f>IF(DATOS!$A14191="","",DATOS!$A14191&amp;"|"&amp;DATOS!$D14191&amp;"|"&amp;DATOS!$E14191&amp;"|"&amp;DATOS!$I14191)</f>
      </c>
      <c r="G14191">
        <f>IF(DATOS!$A14191="",0,IF(CONFIG_METADATA!$B$4&lt;&gt;"OR+EX",--(DATOS!$G14191=CONFIG_METADATA!$B$4),IF(DATOS!$G14191="EX",1,IF(DATOS!$G14191="OR",--(COUNTIFS(nNIA,DATOS!$A14191,nCURSO,DATOS!$D14191,nESPEC,DATOS!$E14191,nASIG,DATOS!$I14191,nEVAL,"EX")=0),0))))</f>
      </c>
      <c r="H14191">
        <f>IF(DATOS!$G14191&lt;&gt;"EX",0,--(COUNTIFS(nNIA,DATOS!$A14191,nCURSO,DATOS!$D14191,nESPEC,DATOS!$E14191,nASIG,DATOS!$I14191,nEVAL,"OR")=0))</f>
      </c>
      <c r="I14191">
        <f>IF(DATOS!$I14191="","",IFERROR(VLOOKUP(DATOS!$I14191,CONFIG_ASIGNATURAS!$B$2:$J$91,9,FALSE()),""))</f>
      </c>
    </row>
    <row r="14192">
      <c r="F14192">
        <f>IF(DATOS!$A14192="","",DATOS!$A14192&amp;"|"&amp;DATOS!$D14192&amp;"|"&amp;DATOS!$E14192&amp;"|"&amp;DATOS!$I14192)</f>
      </c>
      <c r="G14192">
        <f>IF(DATOS!$A14192="",0,IF(CONFIG_METADATA!$B$4&lt;&gt;"OR+EX",--(DATOS!$G14192=CONFIG_METADATA!$B$4),IF(DATOS!$G14192="EX",1,IF(DATOS!$G14192="OR",--(COUNTIFS(nNIA,DATOS!$A14192,nCURSO,DATOS!$D14192,nESPEC,DATOS!$E14192,nASIG,DATOS!$I14192,nEVAL,"EX")=0),0))))</f>
      </c>
      <c r="H14192">
        <f>IF(DATOS!$G14192&lt;&gt;"EX",0,--(COUNTIFS(nNIA,DATOS!$A14192,nCURSO,DATOS!$D14192,nESPEC,DATOS!$E14192,nASIG,DATOS!$I14192,nEVAL,"OR")=0))</f>
      </c>
      <c r="I14192">
        <f>IF(DATOS!$I14192="","",IFERROR(VLOOKUP(DATOS!$I14192,CONFIG_ASIGNATURAS!$B$2:$J$91,9,FALSE()),""))</f>
      </c>
    </row>
    <row r="14193">
      <c r="F14193">
        <f>IF(DATOS!$A14193="","",DATOS!$A14193&amp;"|"&amp;DATOS!$D14193&amp;"|"&amp;DATOS!$E14193&amp;"|"&amp;DATOS!$I14193)</f>
      </c>
      <c r="G14193">
        <f>IF(DATOS!$A14193="",0,IF(CONFIG_METADATA!$B$4&lt;&gt;"OR+EX",--(DATOS!$G14193=CONFIG_METADATA!$B$4),IF(DATOS!$G14193="EX",1,IF(DATOS!$G14193="OR",--(COUNTIFS(nNIA,DATOS!$A14193,nCURSO,DATOS!$D14193,nESPEC,DATOS!$E14193,nASIG,DATOS!$I14193,nEVAL,"EX")=0),0))))</f>
      </c>
      <c r="H14193">
        <f>IF(DATOS!$G14193&lt;&gt;"EX",0,--(COUNTIFS(nNIA,DATOS!$A14193,nCURSO,DATOS!$D14193,nESPEC,DATOS!$E14193,nASIG,DATOS!$I14193,nEVAL,"OR")=0))</f>
      </c>
      <c r="I14193">
        <f>IF(DATOS!$I14193="","",IFERROR(VLOOKUP(DATOS!$I14193,CONFIG_ASIGNATURAS!$B$2:$J$91,9,FALSE()),""))</f>
      </c>
    </row>
    <row r="14194">
      <c r="F14194">
        <f>IF(DATOS!$A14194="","",DATOS!$A14194&amp;"|"&amp;DATOS!$D14194&amp;"|"&amp;DATOS!$E14194&amp;"|"&amp;DATOS!$I14194)</f>
      </c>
      <c r="G14194">
        <f>IF(DATOS!$A14194="",0,IF(CONFIG_METADATA!$B$4&lt;&gt;"OR+EX",--(DATOS!$G14194=CONFIG_METADATA!$B$4),IF(DATOS!$G14194="EX",1,IF(DATOS!$G14194="OR",--(COUNTIFS(nNIA,DATOS!$A14194,nCURSO,DATOS!$D14194,nESPEC,DATOS!$E14194,nASIG,DATOS!$I14194,nEVAL,"EX")=0),0))))</f>
      </c>
      <c r="H14194">
        <f>IF(DATOS!$G14194&lt;&gt;"EX",0,--(COUNTIFS(nNIA,DATOS!$A14194,nCURSO,DATOS!$D14194,nESPEC,DATOS!$E14194,nASIG,DATOS!$I14194,nEVAL,"OR")=0))</f>
      </c>
      <c r="I14194">
        <f>IF(DATOS!$I14194="","",IFERROR(VLOOKUP(DATOS!$I14194,CONFIG_ASIGNATURAS!$B$2:$J$91,9,FALSE()),""))</f>
      </c>
    </row>
    <row r="14195">
      <c r="F14195">
        <f>IF(DATOS!$A14195="","",DATOS!$A14195&amp;"|"&amp;DATOS!$D14195&amp;"|"&amp;DATOS!$E14195&amp;"|"&amp;DATOS!$I14195)</f>
      </c>
      <c r="G14195">
        <f>IF(DATOS!$A14195="",0,IF(CONFIG_METADATA!$B$4&lt;&gt;"OR+EX",--(DATOS!$G14195=CONFIG_METADATA!$B$4),IF(DATOS!$G14195="EX",1,IF(DATOS!$G14195="OR",--(COUNTIFS(nNIA,DATOS!$A14195,nCURSO,DATOS!$D14195,nESPEC,DATOS!$E14195,nASIG,DATOS!$I14195,nEVAL,"EX")=0),0))))</f>
      </c>
      <c r="H14195">
        <f>IF(DATOS!$G14195&lt;&gt;"EX",0,--(COUNTIFS(nNIA,DATOS!$A14195,nCURSO,DATOS!$D14195,nESPEC,DATOS!$E14195,nASIG,DATOS!$I14195,nEVAL,"OR")=0))</f>
      </c>
      <c r="I14195">
        <f>IF(DATOS!$I14195="","",IFERROR(VLOOKUP(DATOS!$I14195,CONFIG_ASIGNATURAS!$B$2:$J$91,9,FALSE()),""))</f>
      </c>
    </row>
    <row r="14196">
      <c r="F14196">
        <f>IF(DATOS!$A14196="","",DATOS!$A14196&amp;"|"&amp;DATOS!$D14196&amp;"|"&amp;DATOS!$E14196&amp;"|"&amp;DATOS!$I14196)</f>
      </c>
      <c r="G14196">
        <f>IF(DATOS!$A14196="",0,IF(CONFIG_METADATA!$B$4&lt;&gt;"OR+EX",--(DATOS!$G14196=CONFIG_METADATA!$B$4),IF(DATOS!$G14196="EX",1,IF(DATOS!$G14196="OR",--(COUNTIFS(nNIA,DATOS!$A14196,nCURSO,DATOS!$D14196,nESPEC,DATOS!$E14196,nASIG,DATOS!$I14196,nEVAL,"EX")=0),0))))</f>
      </c>
      <c r="H14196">
        <f>IF(DATOS!$G14196&lt;&gt;"EX",0,--(COUNTIFS(nNIA,DATOS!$A14196,nCURSO,DATOS!$D14196,nESPEC,DATOS!$E14196,nASIG,DATOS!$I14196,nEVAL,"OR")=0))</f>
      </c>
      <c r="I14196">
        <f>IF(DATOS!$I14196="","",IFERROR(VLOOKUP(DATOS!$I14196,CONFIG_ASIGNATURAS!$B$2:$J$91,9,FALSE()),""))</f>
      </c>
    </row>
    <row r="14197">
      <c r="F14197">
        <f>IF(DATOS!$A14197="","",DATOS!$A14197&amp;"|"&amp;DATOS!$D14197&amp;"|"&amp;DATOS!$E14197&amp;"|"&amp;DATOS!$I14197)</f>
      </c>
      <c r="G14197">
        <f>IF(DATOS!$A14197="",0,IF(CONFIG_METADATA!$B$4&lt;&gt;"OR+EX",--(DATOS!$G14197=CONFIG_METADATA!$B$4),IF(DATOS!$G14197="EX",1,IF(DATOS!$G14197="OR",--(COUNTIFS(nNIA,DATOS!$A14197,nCURSO,DATOS!$D14197,nESPEC,DATOS!$E14197,nASIG,DATOS!$I14197,nEVAL,"EX")=0),0))))</f>
      </c>
      <c r="H14197">
        <f>IF(DATOS!$G14197&lt;&gt;"EX",0,--(COUNTIFS(nNIA,DATOS!$A14197,nCURSO,DATOS!$D14197,nESPEC,DATOS!$E14197,nASIG,DATOS!$I14197,nEVAL,"OR")=0))</f>
      </c>
      <c r="I14197">
        <f>IF(DATOS!$I14197="","",IFERROR(VLOOKUP(DATOS!$I14197,CONFIG_ASIGNATURAS!$B$2:$J$91,9,FALSE()),""))</f>
      </c>
    </row>
    <row r="14198">
      <c r="F14198">
        <f>IF(DATOS!$A14198="","",DATOS!$A14198&amp;"|"&amp;DATOS!$D14198&amp;"|"&amp;DATOS!$E14198&amp;"|"&amp;DATOS!$I14198)</f>
      </c>
      <c r="G14198">
        <f>IF(DATOS!$A14198="",0,IF(CONFIG_METADATA!$B$4&lt;&gt;"OR+EX",--(DATOS!$G14198=CONFIG_METADATA!$B$4),IF(DATOS!$G14198="EX",1,IF(DATOS!$G14198="OR",--(COUNTIFS(nNIA,DATOS!$A14198,nCURSO,DATOS!$D14198,nESPEC,DATOS!$E14198,nASIG,DATOS!$I14198,nEVAL,"EX")=0),0))))</f>
      </c>
      <c r="H14198">
        <f>IF(DATOS!$G14198&lt;&gt;"EX",0,--(COUNTIFS(nNIA,DATOS!$A14198,nCURSO,DATOS!$D14198,nESPEC,DATOS!$E14198,nASIG,DATOS!$I14198,nEVAL,"OR")=0))</f>
      </c>
      <c r="I14198">
        <f>IF(DATOS!$I14198="","",IFERROR(VLOOKUP(DATOS!$I14198,CONFIG_ASIGNATURAS!$B$2:$J$91,9,FALSE()),""))</f>
      </c>
    </row>
    <row r="14199">
      <c r="F14199">
        <f>IF(DATOS!$A14199="","",DATOS!$A14199&amp;"|"&amp;DATOS!$D14199&amp;"|"&amp;DATOS!$E14199&amp;"|"&amp;DATOS!$I14199)</f>
      </c>
      <c r="G14199">
        <f>IF(DATOS!$A14199="",0,IF(CONFIG_METADATA!$B$4&lt;&gt;"OR+EX",--(DATOS!$G14199=CONFIG_METADATA!$B$4),IF(DATOS!$G14199="EX",1,IF(DATOS!$G14199="OR",--(COUNTIFS(nNIA,DATOS!$A14199,nCURSO,DATOS!$D14199,nESPEC,DATOS!$E14199,nASIG,DATOS!$I14199,nEVAL,"EX")=0),0))))</f>
      </c>
      <c r="H14199">
        <f>IF(DATOS!$G14199&lt;&gt;"EX",0,--(COUNTIFS(nNIA,DATOS!$A14199,nCURSO,DATOS!$D14199,nESPEC,DATOS!$E14199,nASIG,DATOS!$I14199,nEVAL,"OR")=0))</f>
      </c>
      <c r="I14199">
        <f>IF(DATOS!$I14199="","",IFERROR(VLOOKUP(DATOS!$I14199,CONFIG_ASIGNATURAS!$B$2:$J$91,9,FALSE()),""))</f>
      </c>
    </row>
    <row r="14200">
      <c r="F14200">
        <f>IF(DATOS!$A14200="","",DATOS!$A14200&amp;"|"&amp;DATOS!$D14200&amp;"|"&amp;DATOS!$E14200&amp;"|"&amp;DATOS!$I14200)</f>
      </c>
      <c r="G14200">
        <f>IF(DATOS!$A14200="",0,IF(CONFIG_METADATA!$B$4&lt;&gt;"OR+EX",--(DATOS!$G14200=CONFIG_METADATA!$B$4),IF(DATOS!$G14200="EX",1,IF(DATOS!$G14200="OR",--(COUNTIFS(nNIA,DATOS!$A14200,nCURSO,DATOS!$D14200,nESPEC,DATOS!$E14200,nASIG,DATOS!$I14200,nEVAL,"EX")=0),0))))</f>
      </c>
      <c r="H14200">
        <f>IF(DATOS!$G14200&lt;&gt;"EX",0,--(COUNTIFS(nNIA,DATOS!$A14200,nCURSO,DATOS!$D14200,nESPEC,DATOS!$E14200,nASIG,DATOS!$I14200,nEVAL,"OR")=0))</f>
      </c>
      <c r="I14200">
        <f>IF(DATOS!$I14200="","",IFERROR(VLOOKUP(DATOS!$I14200,CONFIG_ASIGNATURAS!$B$2:$J$91,9,FALSE()),""))</f>
      </c>
    </row>
    <row r="14201">
      <c r="F14201">
        <f>IF(DATOS!$A14201="","",DATOS!$A14201&amp;"|"&amp;DATOS!$D14201&amp;"|"&amp;DATOS!$E14201&amp;"|"&amp;DATOS!$I14201)</f>
      </c>
      <c r="G14201">
        <f>IF(DATOS!$A14201="",0,IF(CONFIG_METADATA!$B$4&lt;&gt;"OR+EX",--(DATOS!$G14201=CONFIG_METADATA!$B$4),IF(DATOS!$G14201="EX",1,IF(DATOS!$G14201="OR",--(COUNTIFS(nNIA,DATOS!$A14201,nCURSO,DATOS!$D14201,nESPEC,DATOS!$E14201,nASIG,DATOS!$I14201,nEVAL,"EX")=0),0))))</f>
      </c>
      <c r="H14201">
        <f>IF(DATOS!$G14201&lt;&gt;"EX",0,--(COUNTIFS(nNIA,DATOS!$A14201,nCURSO,DATOS!$D14201,nESPEC,DATOS!$E14201,nASIG,DATOS!$I14201,nEVAL,"OR")=0))</f>
      </c>
      <c r="I14201">
        <f>IF(DATOS!$I14201="","",IFERROR(VLOOKUP(DATOS!$I14201,CONFIG_ASIGNATURAS!$B$2:$J$91,9,FALSE()),""))</f>
      </c>
    </row>
    <row r="14202">
      <c r="F14202">
        <f>IF(DATOS!$A14202="","",DATOS!$A14202&amp;"|"&amp;DATOS!$D14202&amp;"|"&amp;DATOS!$E14202&amp;"|"&amp;DATOS!$I14202)</f>
      </c>
      <c r="G14202">
        <f>IF(DATOS!$A14202="",0,IF(CONFIG_METADATA!$B$4&lt;&gt;"OR+EX",--(DATOS!$G14202=CONFIG_METADATA!$B$4),IF(DATOS!$G14202="EX",1,IF(DATOS!$G14202="OR",--(COUNTIFS(nNIA,DATOS!$A14202,nCURSO,DATOS!$D14202,nESPEC,DATOS!$E14202,nASIG,DATOS!$I14202,nEVAL,"EX")=0),0))))</f>
      </c>
      <c r="H14202">
        <f>IF(DATOS!$G14202&lt;&gt;"EX",0,--(COUNTIFS(nNIA,DATOS!$A14202,nCURSO,DATOS!$D14202,nESPEC,DATOS!$E14202,nASIG,DATOS!$I14202,nEVAL,"OR")=0))</f>
      </c>
      <c r="I14202">
        <f>IF(DATOS!$I14202="","",IFERROR(VLOOKUP(DATOS!$I14202,CONFIG_ASIGNATURAS!$B$2:$J$91,9,FALSE()),""))</f>
      </c>
    </row>
    <row r="14203">
      <c r="F14203">
        <f>IF(DATOS!$A14203="","",DATOS!$A14203&amp;"|"&amp;DATOS!$D14203&amp;"|"&amp;DATOS!$E14203&amp;"|"&amp;DATOS!$I14203)</f>
      </c>
      <c r="G14203">
        <f>IF(DATOS!$A14203="",0,IF(CONFIG_METADATA!$B$4&lt;&gt;"OR+EX",--(DATOS!$G14203=CONFIG_METADATA!$B$4),IF(DATOS!$G14203="EX",1,IF(DATOS!$G14203="OR",--(COUNTIFS(nNIA,DATOS!$A14203,nCURSO,DATOS!$D14203,nESPEC,DATOS!$E14203,nASIG,DATOS!$I14203,nEVAL,"EX")=0),0))))</f>
      </c>
      <c r="H14203">
        <f>IF(DATOS!$G14203&lt;&gt;"EX",0,--(COUNTIFS(nNIA,DATOS!$A14203,nCURSO,DATOS!$D14203,nESPEC,DATOS!$E14203,nASIG,DATOS!$I14203,nEVAL,"OR")=0))</f>
      </c>
      <c r="I14203">
        <f>IF(DATOS!$I14203="","",IFERROR(VLOOKUP(DATOS!$I14203,CONFIG_ASIGNATURAS!$B$2:$J$91,9,FALSE()),""))</f>
      </c>
    </row>
    <row r="14204">
      <c r="F14204">
        <f>IF(DATOS!$A14204="","",DATOS!$A14204&amp;"|"&amp;DATOS!$D14204&amp;"|"&amp;DATOS!$E14204&amp;"|"&amp;DATOS!$I14204)</f>
      </c>
      <c r="G14204">
        <f>IF(DATOS!$A14204="",0,IF(CONFIG_METADATA!$B$4&lt;&gt;"OR+EX",--(DATOS!$G14204=CONFIG_METADATA!$B$4),IF(DATOS!$G14204="EX",1,IF(DATOS!$G14204="OR",--(COUNTIFS(nNIA,DATOS!$A14204,nCURSO,DATOS!$D14204,nESPEC,DATOS!$E14204,nASIG,DATOS!$I14204,nEVAL,"EX")=0),0))))</f>
      </c>
      <c r="H14204">
        <f>IF(DATOS!$G14204&lt;&gt;"EX",0,--(COUNTIFS(nNIA,DATOS!$A14204,nCURSO,DATOS!$D14204,nESPEC,DATOS!$E14204,nASIG,DATOS!$I14204,nEVAL,"OR")=0))</f>
      </c>
      <c r="I14204">
        <f>IF(DATOS!$I14204="","",IFERROR(VLOOKUP(DATOS!$I14204,CONFIG_ASIGNATURAS!$B$2:$J$91,9,FALSE()),""))</f>
      </c>
    </row>
    <row r="14205">
      <c r="F14205">
        <f>IF(DATOS!$A14205="","",DATOS!$A14205&amp;"|"&amp;DATOS!$D14205&amp;"|"&amp;DATOS!$E14205&amp;"|"&amp;DATOS!$I14205)</f>
      </c>
      <c r="G14205">
        <f>IF(DATOS!$A14205="",0,IF(CONFIG_METADATA!$B$4&lt;&gt;"OR+EX",--(DATOS!$G14205=CONFIG_METADATA!$B$4),IF(DATOS!$G14205="EX",1,IF(DATOS!$G14205="OR",--(COUNTIFS(nNIA,DATOS!$A14205,nCURSO,DATOS!$D14205,nESPEC,DATOS!$E14205,nASIG,DATOS!$I14205,nEVAL,"EX")=0),0))))</f>
      </c>
      <c r="H14205">
        <f>IF(DATOS!$G14205&lt;&gt;"EX",0,--(COUNTIFS(nNIA,DATOS!$A14205,nCURSO,DATOS!$D14205,nESPEC,DATOS!$E14205,nASIG,DATOS!$I14205,nEVAL,"OR")=0))</f>
      </c>
      <c r="I14205">
        <f>IF(DATOS!$I14205="","",IFERROR(VLOOKUP(DATOS!$I14205,CONFIG_ASIGNATURAS!$B$2:$J$91,9,FALSE()),""))</f>
      </c>
    </row>
    <row r="14206">
      <c r="F14206">
        <f>IF(DATOS!$A14206="","",DATOS!$A14206&amp;"|"&amp;DATOS!$D14206&amp;"|"&amp;DATOS!$E14206&amp;"|"&amp;DATOS!$I14206)</f>
      </c>
      <c r="G14206">
        <f>IF(DATOS!$A14206="",0,IF(CONFIG_METADATA!$B$4&lt;&gt;"OR+EX",--(DATOS!$G14206=CONFIG_METADATA!$B$4),IF(DATOS!$G14206="EX",1,IF(DATOS!$G14206="OR",--(COUNTIFS(nNIA,DATOS!$A14206,nCURSO,DATOS!$D14206,nESPEC,DATOS!$E14206,nASIG,DATOS!$I14206,nEVAL,"EX")=0),0))))</f>
      </c>
      <c r="H14206">
        <f>IF(DATOS!$G14206&lt;&gt;"EX",0,--(COUNTIFS(nNIA,DATOS!$A14206,nCURSO,DATOS!$D14206,nESPEC,DATOS!$E14206,nASIG,DATOS!$I14206,nEVAL,"OR")=0))</f>
      </c>
      <c r="I14206">
        <f>IF(DATOS!$I14206="","",IFERROR(VLOOKUP(DATOS!$I14206,CONFIG_ASIGNATURAS!$B$2:$J$91,9,FALSE()),""))</f>
      </c>
    </row>
    <row r="14207">
      <c r="F14207">
        <f>IF(DATOS!$A14207="","",DATOS!$A14207&amp;"|"&amp;DATOS!$D14207&amp;"|"&amp;DATOS!$E14207&amp;"|"&amp;DATOS!$I14207)</f>
      </c>
      <c r="G14207">
        <f>IF(DATOS!$A14207="",0,IF(CONFIG_METADATA!$B$4&lt;&gt;"OR+EX",--(DATOS!$G14207=CONFIG_METADATA!$B$4),IF(DATOS!$G14207="EX",1,IF(DATOS!$G14207="OR",--(COUNTIFS(nNIA,DATOS!$A14207,nCURSO,DATOS!$D14207,nESPEC,DATOS!$E14207,nASIG,DATOS!$I14207,nEVAL,"EX")=0),0))))</f>
      </c>
      <c r="H14207">
        <f>IF(DATOS!$G14207&lt;&gt;"EX",0,--(COUNTIFS(nNIA,DATOS!$A14207,nCURSO,DATOS!$D14207,nESPEC,DATOS!$E14207,nASIG,DATOS!$I14207,nEVAL,"OR")=0))</f>
      </c>
      <c r="I14207">
        <f>IF(DATOS!$I14207="","",IFERROR(VLOOKUP(DATOS!$I14207,CONFIG_ASIGNATURAS!$B$2:$J$91,9,FALSE()),""))</f>
      </c>
    </row>
    <row r="14208">
      <c r="F14208">
        <f>IF(DATOS!$A14208="","",DATOS!$A14208&amp;"|"&amp;DATOS!$D14208&amp;"|"&amp;DATOS!$E14208&amp;"|"&amp;DATOS!$I14208)</f>
      </c>
      <c r="G14208">
        <f>IF(DATOS!$A14208="",0,IF(CONFIG_METADATA!$B$4&lt;&gt;"OR+EX",--(DATOS!$G14208=CONFIG_METADATA!$B$4),IF(DATOS!$G14208="EX",1,IF(DATOS!$G14208="OR",--(COUNTIFS(nNIA,DATOS!$A14208,nCURSO,DATOS!$D14208,nESPEC,DATOS!$E14208,nASIG,DATOS!$I14208,nEVAL,"EX")=0),0))))</f>
      </c>
      <c r="H14208">
        <f>IF(DATOS!$G14208&lt;&gt;"EX",0,--(COUNTIFS(nNIA,DATOS!$A14208,nCURSO,DATOS!$D14208,nESPEC,DATOS!$E14208,nASIG,DATOS!$I14208,nEVAL,"OR")=0))</f>
      </c>
      <c r="I14208">
        <f>IF(DATOS!$I14208="","",IFERROR(VLOOKUP(DATOS!$I14208,CONFIG_ASIGNATURAS!$B$2:$J$91,9,FALSE()),""))</f>
      </c>
    </row>
    <row r="14209">
      <c r="F14209">
        <f>IF(DATOS!$A14209="","",DATOS!$A14209&amp;"|"&amp;DATOS!$D14209&amp;"|"&amp;DATOS!$E14209&amp;"|"&amp;DATOS!$I14209)</f>
      </c>
      <c r="G14209">
        <f>IF(DATOS!$A14209="",0,IF(CONFIG_METADATA!$B$4&lt;&gt;"OR+EX",--(DATOS!$G14209=CONFIG_METADATA!$B$4),IF(DATOS!$G14209="EX",1,IF(DATOS!$G14209="OR",--(COUNTIFS(nNIA,DATOS!$A14209,nCURSO,DATOS!$D14209,nESPEC,DATOS!$E14209,nASIG,DATOS!$I14209,nEVAL,"EX")=0),0))))</f>
      </c>
      <c r="H14209">
        <f>IF(DATOS!$G14209&lt;&gt;"EX",0,--(COUNTIFS(nNIA,DATOS!$A14209,nCURSO,DATOS!$D14209,nESPEC,DATOS!$E14209,nASIG,DATOS!$I14209,nEVAL,"OR")=0))</f>
      </c>
      <c r="I14209">
        <f>IF(DATOS!$I14209="","",IFERROR(VLOOKUP(DATOS!$I14209,CONFIG_ASIGNATURAS!$B$2:$J$91,9,FALSE()),""))</f>
      </c>
    </row>
    <row r="14210">
      <c r="F14210">
        <f>IF(DATOS!$A14210="","",DATOS!$A14210&amp;"|"&amp;DATOS!$D14210&amp;"|"&amp;DATOS!$E14210&amp;"|"&amp;DATOS!$I14210)</f>
      </c>
      <c r="G14210">
        <f>IF(DATOS!$A14210="",0,IF(CONFIG_METADATA!$B$4&lt;&gt;"OR+EX",--(DATOS!$G14210=CONFIG_METADATA!$B$4),IF(DATOS!$G14210="EX",1,IF(DATOS!$G14210="OR",--(COUNTIFS(nNIA,DATOS!$A14210,nCURSO,DATOS!$D14210,nESPEC,DATOS!$E14210,nASIG,DATOS!$I14210,nEVAL,"EX")=0),0))))</f>
      </c>
      <c r="H14210">
        <f>IF(DATOS!$G14210&lt;&gt;"EX",0,--(COUNTIFS(nNIA,DATOS!$A14210,nCURSO,DATOS!$D14210,nESPEC,DATOS!$E14210,nASIG,DATOS!$I14210,nEVAL,"OR")=0))</f>
      </c>
      <c r="I14210">
        <f>IF(DATOS!$I14210="","",IFERROR(VLOOKUP(DATOS!$I14210,CONFIG_ASIGNATURAS!$B$2:$J$91,9,FALSE()),""))</f>
      </c>
    </row>
    <row r="14211">
      <c r="F14211">
        <f>IF(DATOS!$A14211="","",DATOS!$A14211&amp;"|"&amp;DATOS!$D14211&amp;"|"&amp;DATOS!$E14211&amp;"|"&amp;DATOS!$I14211)</f>
      </c>
      <c r="G14211">
        <f>IF(DATOS!$A14211="",0,IF(CONFIG_METADATA!$B$4&lt;&gt;"OR+EX",--(DATOS!$G14211=CONFIG_METADATA!$B$4),IF(DATOS!$G14211="EX",1,IF(DATOS!$G14211="OR",--(COUNTIFS(nNIA,DATOS!$A14211,nCURSO,DATOS!$D14211,nESPEC,DATOS!$E14211,nASIG,DATOS!$I14211,nEVAL,"EX")=0),0))))</f>
      </c>
      <c r="H14211">
        <f>IF(DATOS!$G14211&lt;&gt;"EX",0,--(COUNTIFS(nNIA,DATOS!$A14211,nCURSO,DATOS!$D14211,nESPEC,DATOS!$E14211,nASIG,DATOS!$I14211,nEVAL,"OR")=0))</f>
      </c>
      <c r="I14211">
        <f>IF(DATOS!$I14211="","",IFERROR(VLOOKUP(DATOS!$I14211,CONFIG_ASIGNATURAS!$B$2:$J$91,9,FALSE()),""))</f>
      </c>
    </row>
    <row r="14212">
      <c r="F14212">
        <f>IF(DATOS!$A14212="","",DATOS!$A14212&amp;"|"&amp;DATOS!$D14212&amp;"|"&amp;DATOS!$E14212&amp;"|"&amp;DATOS!$I14212)</f>
      </c>
      <c r="G14212">
        <f>IF(DATOS!$A14212="",0,IF(CONFIG_METADATA!$B$4&lt;&gt;"OR+EX",--(DATOS!$G14212=CONFIG_METADATA!$B$4),IF(DATOS!$G14212="EX",1,IF(DATOS!$G14212="OR",--(COUNTIFS(nNIA,DATOS!$A14212,nCURSO,DATOS!$D14212,nESPEC,DATOS!$E14212,nASIG,DATOS!$I14212,nEVAL,"EX")=0),0))))</f>
      </c>
      <c r="H14212">
        <f>IF(DATOS!$G14212&lt;&gt;"EX",0,--(COUNTIFS(nNIA,DATOS!$A14212,nCURSO,DATOS!$D14212,nESPEC,DATOS!$E14212,nASIG,DATOS!$I14212,nEVAL,"OR")=0))</f>
      </c>
      <c r="I14212">
        <f>IF(DATOS!$I14212="","",IFERROR(VLOOKUP(DATOS!$I14212,CONFIG_ASIGNATURAS!$B$2:$J$91,9,FALSE()),""))</f>
      </c>
    </row>
    <row r="14213">
      <c r="F14213">
        <f>IF(DATOS!$A14213="","",DATOS!$A14213&amp;"|"&amp;DATOS!$D14213&amp;"|"&amp;DATOS!$E14213&amp;"|"&amp;DATOS!$I14213)</f>
      </c>
      <c r="G14213">
        <f>IF(DATOS!$A14213="",0,IF(CONFIG_METADATA!$B$4&lt;&gt;"OR+EX",--(DATOS!$G14213=CONFIG_METADATA!$B$4),IF(DATOS!$G14213="EX",1,IF(DATOS!$G14213="OR",--(COUNTIFS(nNIA,DATOS!$A14213,nCURSO,DATOS!$D14213,nESPEC,DATOS!$E14213,nASIG,DATOS!$I14213,nEVAL,"EX")=0),0))))</f>
      </c>
      <c r="H14213">
        <f>IF(DATOS!$G14213&lt;&gt;"EX",0,--(COUNTIFS(nNIA,DATOS!$A14213,nCURSO,DATOS!$D14213,nESPEC,DATOS!$E14213,nASIG,DATOS!$I14213,nEVAL,"OR")=0))</f>
      </c>
      <c r="I14213">
        <f>IF(DATOS!$I14213="","",IFERROR(VLOOKUP(DATOS!$I14213,CONFIG_ASIGNATURAS!$B$2:$J$91,9,FALSE()),""))</f>
      </c>
    </row>
    <row r="14214">
      <c r="F14214">
        <f>IF(DATOS!$A14214="","",DATOS!$A14214&amp;"|"&amp;DATOS!$D14214&amp;"|"&amp;DATOS!$E14214&amp;"|"&amp;DATOS!$I14214)</f>
      </c>
      <c r="G14214">
        <f>IF(DATOS!$A14214="",0,IF(CONFIG_METADATA!$B$4&lt;&gt;"OR+EX",--(DATOS!$G14214=CONFIG_METADATA!$B$4),IF(DATOS!$G14214="EX",1,IF(DATOS!$G14214="OR",--(COUNTIFS(nNIA,DATOS!$A14214,nCURSO,DATOS!$D14214,nESPEC,DATOS!$E14214,nASIG,DATOS!$I14214,nEVAL,"EX")=0),0))))</f>
      </c>
      <c r="H14214">
        <f>IF(DATOS!$G14214&lt;&gt;"EX",0,--(COUNTIFS(nNIA,DATOS!$A14214,nCURSO,DATOS!$D14214,nESPEC,DATOS!$E14214,nASIG,DATOS!$I14214,nEVAL,"OR")=0))</f>
      </c>
      <c r="I14214">
        <f>IF(DATOS!$I14214="","",IFERROR(VLOOKUP(DATOS!$I14214,CONFIG_ASIGNATURAS!$B$2:$J$91,9,FALSE()),""))</f>
      </c>
    </row>
    <row r="14215">
      <c r="F14215">
        <f>IF(DATOS!$A14215="","",DATOS!$A14215&amp;"|"&amp;DATOS!$D14215&amp;"|"&amp;DATOS!$E14215&amp;"|"&amp;DATOS!$I14215)</f>
      </c>
      <c r="G14215">
        <f>IF(DATOS!$A14215="",0,IF(CONFIG_METADATA!$B$4&lt;&gt;"OR+EX",--(DATOS!$G14215=CONFIG_METADATA!$B$4),IF(DATOS!$G14215="EX",1,IF(DATOS!$G14215="OR",--(COUNTIFS(nNIA,DATOS!$A14215,nCURSO,DATOS!$D14215,nESPEC,DATOS!$E14215,nASIG,DATOS!$I14215,nEVAL,"EX")=0),0))))</f>
      </c>
      <c r="H14215">
        <f>IF(DATOS!$G14215&lt;&gt;"EX",0,--(COUNTIFS(nNIA,DATOS!$A14215,nCURSO,DATOS!$D14215,nESPEC,DATOS!$E14215,nASIG,DATOS!$I14215,nEVAL,"OR")=0))</f>
      </c>
      <c r="I14215">
        <f>IF(DATOS!$I14215="","",IFERROR(VLOOKUP(DATOS!$I14215,CONFIG_ASIGNATURAS!$B$2:$J$91,9,FALSE()),""))</f>
      </c>
    </row>
    <row r="14216">
      <c r="F14216">
        <f>IF(DATOS!$A14216="","",DATOS!$A14216&amp;"|"&amp;DATOS!$D14216&amp;"|"&amp;DATOS!$E14216&amp;"|"&amp;DATOS!$I14216)</f>
      </c>
      <c r="G14216">
        <f>IF(DATOS!$A14216="",0,IF(CONFIG_METADATA!$B$4&lt;&gt;"OR+EX",--(DATOS!$G14216=CONFIG_METADATA!$B$4),IF(DATOS!$G14216="EX",1,IF(DATOS!$G14216="OR",--(COUNTIFS(nNIA,DATOS!$A14216,nCURSO,DATOS!$D14216,nESPEC,DATOS!$E14216,nASIG,DATOS!$I14216,nEVAL,"EX")=0),0))))</f>
      </c>
      <c r="H14216">
        <f>IF(DATOS!$G14216&lt;&gt;"EX",0,--(COUNTIFS(nNIA,DATOS!$A14216,nCURSO,DATOS!$D14216,nESPEC,DATOS!$E14216,nASIG,DATOS!$I14216,nEVAL,"OR")=0))</f>
      </c>
      <c r="I14216">
        <f>IF(DATOS!$I14216="","",IFERROR(VLOOKUP(DATOS!$I14216,CONFIG_ASIGNATURAS!$B$2:$J$91,9,FALSE()),""))</f>
      </c>
    </row>
    <row r="14217">
      <c r="F14217">
        <f>IF(DATOS!$A14217="","",DATOS!$A14217&amp;"|"&amp;DATOS!$D14217&amp;"|"&amp;DATOS!$E14217&amp;"|"&amp;DATOS!$I14217)</f>
      </c>
      <c r="G14217">
        <f>IF(DATOS!$A14217="",0,IF(CONFIG_METADATA!$B$4&lt;&gt;"OR+EX",--(DATOS!$G14217=CONFIG_METADATA!$B$4),IF(DATOS!$G14217="EX",1,IF(DATOS!$G14217="OR",--(COUNTIFS(nNIA,DATOS!$A14217,nCURSO,DATOS!$D14217,nESPEC,DATOS!$E14217,nASIG,DATOS!$I14217,nEVAL,"EX")=0),0))))</f>
      </c>
      <c r="H14217">
        <f>IF(DATOS!$G14217&lt;&gt;"EX",0,--(COUNTIFS(nNIA,DATOS!$A14217,nCURSO,DATOS!$D14217,nESPEC,DATOS!$E14217,nASIG,DATOS!$I14217,nEVAL,"OR")=0))</f>
      </c>
      <c r="I14217">
        <f>IF(DATOS!$I14217="","",IFERROR(VLOOKUP(DATOS!$I14217,CONFIG_ASIGNATURAS!$B$2:$J$91,9,FALSE()),""))</f>
      </c>
    </row>
    <row r="14218">
      <c r="F14218">
        <f>IF(DATOS!$A14218="","",DATOS!$A14218&amp;"|"&amp;DATOS!$D14218&amp;"|"&amp;DATOS!$E14218&amp;"|"&amp;DATOS!$I14218)</f>
      </c>
      <c r="G14218">
        <f>IF(DATOS!$A14218="",0,IF(CONFIG_METADATA!$B$4&lt;&gt;"OR+EX",--(DATOS!$G14218=CONFIG_METADATA!$B$4),IF(DATOS!$G14218="EX",1,IF(DATOS!$G14218="OR",--(COUNTIFS(nNIA,DATOS!$A14218,nCURSO,DATOS!$D14218,nESPEC,DATOS!$E14218,nASIG,DATOS!$I14218,nEVAL,"EX")=0),0))))</f>
      </c>
      <c r="H14218">
        <f>IF(DATOS!$G14218&lt;&gt;"EX",0,--(COUNTIFS(nNIA,DATOS!$A14218,nCURSO,DATOS!$D14218,nESPEC,DATOS!$E14218,nASIG,DATOS!$I14218,nEVAL,"OR")=0))</f>
      </c>
      <c r="I14218">
        <f>IF(DATOS!$I14218="","",IFERROR(VLOOKUP(DATOS!$I14218,CONFIG_ASIGNATURAS!$B$2:$J$91,9,FALSE()),""))</f>
      </c>
    </row>
    <row r="14219">
      <c r="F14219">
        <f>IF(DATOS!$A14219="","",DATOS!$A14219&amp;"|"&amp;DATOS!$D14219&amp;"|"&amp;DATOS!$E14219&amp;"|"&amp;DATOS!$I14219)</f>
      </c>
      <c r="G14219">
        <f>IF(DATOS!$A14219="",0,IF(CONFIG_METADATA!$B$4&lt;&gt;"OR+EX",--(DATOS!$G14219=CONFIG_METADATA!$B$4),IF(DATOS!$G14219="EX",1,IF(DATOS!$G14219="OR",--(COUNTIFS(nNIA,DATOS!$A14219,nCURSO,DATOS!$D14219,nESPEC,DATOS!$E14219,nASIG,DATOS!$I14219,nEVAL,"EX")=0),0))))</f>
      </c>
      <c r="H14219">
        <f>IF(DATOS!$G14219&lt;&gt;"EX",0,--(COUNTIFS(nNIA,DATOS!$A14219,nCURSO,DATOS!$D14219,nESPEC,DATOS!$E14219,nASIG,DATOS!$I14219,nEVAL,"OR")=0))</f>
      </c>
      <c r="I14219">
        <f>IF(DATOS!$I14219="","",IFERROR(VLOOKUP(DATOS!$I14219,CONFIG_ASIGNATURAS!$B$2:$J$91,9,FALSE()),""))</f>
      </c>
    </row>
    <row r="14220">
      <c r="F14220">
        <f>IF(DATOS!$A14220="","",DATOS!$A14220&amp;"|"&amp;DATOS!$D14220&amp;"|"&amp;DATOS!$E14220&amp;"|"&amp;DATOS!$I14220)</f>
      </c>
      <c r="G14220">
        <f>IF(DATOS!$A14220="",0,IF(CONFIG_METADATA!$B$4&lt;&gt;"OR+EX",--(DATOS!$G14220=CONFIG_METADATA!$B$4),IF(DATOS!$G14220="EX",1,IF(DATOS!$G14220="OR",--(COUNTIFS(nNIA,DATOS!$A14220,nCURSO,DATOS!$D14220,nESPEC,DATOS!$E14220,nASIG,DATOS!$I14220,nEVAL,"EX")=0),0))))</f>
      </c>
      <c r="H14220">
        <f>IF(DATOS!$G14220&lt;&gt;"EX",0,--(COUNTIFS(nNIA,DATOS!$A14220,nCURSO,DATOS!$D14220,nESPEC,DATOS!$E14220,nASIG,DATOS!$I14220,nEVAL,"OR")=0))</f>
      </c>
      <c r="I14220">
        <f>IF(DATOS!$I14220="","",IFERROR(VLOOKUP(DATOS!$I14220,CONFIG_ASIGNATURAS!$B$2:$J$91,9,FALSE()),""))</f>
      </c>
    </row>
    <row r="14221">
      <c r="F14221">
        <f>IF(DATOS!$A14221="","",DATOS!$A14221&amp;"|"&amp;DATOS!$D14221&amp;"|"&amp;DATOS!$E14221&amp;"|"&amp;DATOS!$I14221)</f>
      </c>
      <c r="G14221">
        <f>IF(DATOS!$A14221="",0,IF(CONFIG_METADATA!$B$4&lt;&gt;"OR+EX",--(DATOS!$G14221=CONFIG_METADATA!$B$4),IF(DATOS!$G14221="EX",1,IF(DATOS!$G14221="OR",--(COUNTIFS(nNIA,DATOS!$A14221,nCURSO,DATOS!$D14221,nESPEC,DATOS!$E14221,nASIG,DATOS!$I14221,nEVAL,"EX")=0),0))))</f>
      </c>
      <c r="H14221">
        <f>IF(DATOS!$G14221&lt;&gt;"EX",0,--(COUNTIFS(nNIA,DATOS!$A14221,nCURSO,DATOS!$D14221,nESPEC,DATOS!$E14221,nASIG,DATOS!$I14221,nEVAL,"OR")=0))</f>
      </c>
      <c r="I14221">
        <f>IF(DATOS!$I14221="","",IFERROR(VLOOKUP(DATOS!$I14221,CONFIG_ASIGNATURAS!$B$2:$J$91,9,FALSE()),""))</f>
      </c>
    </row>
    <row r="14222">
      <c r="F14222">
        <f>IF(DATOS!$A14222="","",DATOS!$A14222&amp;"|"&amp;DATOS!$D14222&amp;"|"&amp;DATOS!$E14222&amp;"|"&amp;DATOS!$I14222)</f>
      </c>
      <c r="G14222">
        <f>IF(DATOS!$A14222="",0,IF(CONFIG_METADATA!$B$4&lt;&gt;"OR+EX",--(DATOS!$G14222=CONFIG_METADATA!$B$4),IF(DATOS!$G14222="EX",1,IF(DATOS!$G14222="OR",--(COUNTIFS(nNIA,DATOS!$A14222,nCURSO,DATOS!$D14222,nESPEC,DATOS!$E14222,nASIG,DATOS!$I14222,nEVAL,"EX")=0),0))))</f>
      </c>
      <c r="H14222">
        <f>IF(DATOS!$G14222&lt;&gt;"EX",0,--(COUNTIFS(nNIA,DATOS!$A14222,nCURSO,DATOS!$D14222,nESPEC,DATOS!$E14222,nASIG,DATOS!$I14222,nEVAL,"OR")=0))</f>
      </c>
      <c r="I14222">
        <f>IF(DATOS!$I14222="","",IFERROR(VLOOKUP(DATOS!$I14222,CONFIG_ASIGNATURAS!$B$2:$J$91,9,FALSE()),""))</f>
      </c>
    </row>
    <row r="14223">
      <c r="F14223">
        <f>IF(DATOS!$A14223="","",DATOS!$A14223&amp;"|"&amp;DATOS!$D14223&amp;"|"&amp;DATOS!$E14223&amp;"|"&amp;DATOS!$I14223)</f>
      </c>
      <c r="G14223">
        <f>IF(DATOS!$A14223="",0,IF(CONFIG_METADATA!$B$4&lt;&gt;"OR+EX",--(DATOS!$G14223=CONFIG_METADATA!$B$4),IF(DATOS!$G14223="EX",1,IF(DATOS!$G14223="OR",--(COUNTIFS(nNIA,DATOS!$A14223,nCURSO,DATOS!$D14223,nESPEC,DATOS!$E14223,nASIG,DATOS!$I14223,nEVAL,"EX")=0),0))))</f>
      </c>
      <c r="H14223">
        <f>IF(DATOS!$G14223&lt;&gt;"EX",0,--(COUNTIFS(nNIA,DATOS!$A14223,nCURSO,DATOS!$D14223,nESPEC,DATOS!$E14223,nASIG,DATOS!$I14223,nEVAL,"OR")=0))</f>
      </c>
      <c r="I14223">
        <f>IF(DATOS!$I14223="","",IFERROR(VLOOKUP(DATOS!$I14223,CONFIG_ASIGNATURAS!$B$2:$J$91,9,FALSE()),""))</f>
      </c>
    </row>
    <row r="14224">
      <c r="F14224">
        <f>IF(DATOS!$A14224="","",DATOS!$A14224&amp;"|"&amp;DATOS!$D14224&amp;"|"&amp;DATOS!$E14224&amp;"|"&amp;DATOS!$I14224)</f>
      </c>
      <c r="G14224">
        <f>IF(DATOS!$A14224="",0,IF(CONFIG_METADATA!$B$4&lt;&gt;"OR+EX",--(DATOS!$G14224=CONFIG_METADATA!$B$4),IF(DATOS!$G14224="EX",1,IF(DATOS!$G14224="OR",--(COUNTIFS(nNIA,DATOS!$A14224,nCURSO,DATOS!$D14224,nESPEC,DATOS!$E14224,nASIG,DATOS!$I14224,nEVAL,"EX")=0),0))))</f>
      </c>
      <c r="H14224">
        <f>IF(DATOS!$G14224&lt;&gt;"EX",0,--(COUNTIFS(nNIA,DATOS!$A14224,nCURSO,DATOS!$D14224,nESPEC,DATOS!$E14224,nASIG,DATOS!$I14224,nEVAL,"OR")=0))</f>
      </c>
      <c r="I14224">
        <f>IF(DATOS!$I14224="","",IFERROR(VLOOKUP(DATOS!$I14224,CONFIG_ASIGNATURAS!$B$2:$J$91,9,FALSE()),""))</f>
      </c>
    </row>
    <row r="14225">
      <c r="F14225">
        <f>IF(DATOS!$A14225="","",DATOS!$A14225&amp;"|"&amp;DATOS!$D14225&amp;"|"&amp;DATOS!$E14225&amp;"|"&amp;DATOS!$I14225)</f>
      </c>
      <c r="G14225">
        <f>IF(DATOS!$A14225="",0,IF(CONFIG_METADATA!$B$4&lt;&gt;"OR+EX",--(DATOS!$G14225=CONFIG_METADATA!$B$4),IF(DATOS!$G14225="EX",1,IF(DATOS!$G14225="OR",--(COUNTIFS(nNIA,DATOS!$A14225,nCURSO,DATOS!$D14225,nESPEC,DATOS!$E14225,nASIG,DATOS!$I14225,nEVAL,"EX")=0),0))))</f>
      </c>
      <c r="H14225">
        <f>IF(DATOS!$G14225&lt;&gt;"EX",0,--(COUNTIFS(nNIA,DATOS!$A14225,nCURSO,DATOS!$D14225,nESPEC,DATOS!$E14225,nASIG,DATOS!$I14225,nEVAL,"OR")=0))</f>
      </c>
      <c r="I14225">
        <f>IF(DATOS!$I14225="","",IFERROR(VLOOKUP(DATOS!$I14225,CONFIG_ASIGNATURAS!$B$2:$J$91,9,FALSE()),""))</f>
      </c>
    </row>
    <row r="14226">
      <c r="F14226">
        <f>IF(DATOS!$A14226="","",DATOS!$A14226&amp;"|"&amp;DATOS!$D14226&amp;"|"&amp;DATOS!$E14226&amp;"|"&amp;DATOS!$I14226)</f>
      </c>
      <c r="G14226">
        <f>IF(DATOS!$A14226="",0,IF(CONFIG_METADATA!$B$4&lt;&gt;"OR+EX",--(DATOS!$G14226=CONFIG_METADATA!$B$4),IF(DATOS!$G14226="EX",1,IF(DATOS!$G14226="OR",--(COUNTIFS(nNIA,DATOS!$A14226,nCURSO,DATOS!$D14226,nESPEC,DATOS!$E14226,nASIG,DATOS!$I14226,nEVAL,"EX")=0),0))))</f>
      </c>
      <c r="H14226">
        <f>IF(DATOS!$G14226&lt;&gt;"EX",0,--(COUNTIFS(nNIA,DATOS!$A14226,nCURSO,DATOS!$D14226,nESPEC,DATOS!$E14226,nASIG,DATOS!$I14226,nEVAL,"OR")=0))</f>
      </c>
      <c r="I14226">
        <f>IF(DATOS!$I14226="","",IFERROR(VLOOKUP(DATOS!$I14226,CONFIG_ASIGNATURAS!$B$2:$J$91,9,FALSE()),""))</f>
      </c>
    </row>
    <row r="14227">
      <c r="F14227">
        <f>IF(DATOS!$A14227="","",DATOS!$A14227&amp;"|"&amp;DATOS!$D14227&amp;"|"&amp;DATOS!$E14227&amp;"|"&amp;DATOS!$I14227)</f>
      </c>
      <c r="G14227">
        <f>IF(DATOS!$A14227="",0,IF(CONFIG_METADATA!$B$4&lt;&gt;"OR+EX",--(DATOS!$G14227=CONFIG_METADATA!$B$4),IF(DATOS!$G14227="EX",1,IF(DATOS!$G14227="OR",--(COUNTIFS(nNIA,DATOS!$A14227,nCURSO,DATOS!$D14227,nESPEC,DATOS!$E14227,nASIG,DATOS!$I14227,nEVAL,"EX")=0),0))))</f>
      </c>
      <c r="H14227">
        <f>IF(DATOS!$G14227&lt;&gt;"EX",0,--(COUNTIFS(nNIA,DATOS!$A14227,nCURSO,DATOS!$D14227,nESPEC,DATOS!$E14227,nASIG,DATOS!$I14227,nEVAL,"OR")=0))</f>
      </c>
      <c r="I14227">
        <f>IF(DATOS!$I14227="","",IFERROR(VLOOKUP(DATOS!$I14227,CONFIG_ASIGNATURAS!$B$2:$J$91,9,FALSE()),""))</f>
      </c>
    </row>
    <row r="14228">
      <c r="F14228">
        <f>IF(DATOS!$A14228="","",DATOS!$A14228&amp;"|"&amp;DATOS!$D14228&amp;"|"&amp;DATOS!$E14228&amp;"|"&amp;DATOS!$I14228)</f>
      </c>
      <c r="G14228">
        <f>IF(DATOS!$A14228="",0,IF(CONFIG_METADATA!$B$4&lt;&gt;"OR+EX",--(DATOS!$G14228=CONFIG_METADATA!$B$4),IF(DATOS!$G14228="EX",1,IF(DATOS!$G14228="OR",--(COUNTIFS(nNIA,DATOS!$A14228,nCURSO,DATOS!$D14228,nESPEC,DATOS!$E14228,nASIG,DATOS!$I14228,nEVAL,"EX")=0),0))))</f>
      </c>
      <c r="H14228">
        <f>IF(DATOS!$G14228&lt;&gt;"EX",0,--(COUNTIFS(nNIA,DATOS!$A14228,nCURSO,DATOS!$D14228,nESPEC,DATOS!$E14228,nASIG,DATOS!$I14228,nEVAL,"OR")=0))</f>
      </c>
      <c r="I14228">
        <f>IF(DATOS!$I14228="","",IFERROR(VLOOKUP(DATOS!$I14228,CONFIG_ASIGNATURAS!$B$2:$J$91,9,FALSE()),""))</f>
      </c>
    </row>
    <row r="14229">
      <c r="F14229">
        <f>IF(DATOS!$A14229="","",DATOS!$A14229&amp;"|"&amp;DATOS!$D14229&amp;"|"&amp;DATOS!$E14229&amp;"|"&amp;DATOS!$I14229)</f>
      </c>
      <c r="G14229">
        <f>IF(DATOS!$A14229="",0,IF(CONFIG_METADATA!$B$4&lt;&gt;"OR+EX",--(DATOS!$G14229=CONFIG_METADATA!$B$4),IF(DATOS!$G14229="EX",1,IF(DATOS!$G14229="OR",--(COUNTIFS(nNIA,DATOS!$A14229,nCURSO,DATOS!$D14229,nESPEC,DATOS!$E14229,nASIG,DATOS!$I14229,nEVAL,"EX")=0),0))))</f>
      </c>
      <c r="H14229">
        <f>IF(DATOS!$G14229&lt;&gt;"EX",0,--(COUNTIFS(nNIA,DATOS!$A14229,nCURSO,DATOS!$D14229,nESPEC,DATOS!$E14229,nASIG,DATOS!$I14229,nEVAL,"OR")=0))</f>
      </c>
      <c r="I14229">
        <f>IF(DATOS!$I14229="","",IFERROR(VLOOKUP(DATOS!$I14229,CONFIG_ASIGNATURAS!$B$2:$J$91,9,FALSE()),""))</f>
      </c>
    </row>
    <row r="14230">
      <c r="F14230">
        <f>IF(DATOS!$A14230="","",DATOS!$A14230&amp;"|"&amp;DATOS!$D14230&amp;"|"&amp;DATOS!$E14230&amp;"|"&amp;DATOS!$I14230)</f>
      </c>
      <c r="G14230">
        <f>IF(DATOS!$A14230="",0,IF(CONFIG_METADATA!$B$4&lt;&gt;"OR+EX",--(DATOS!$G14230=CONFIG_METADATA!$B$4),IF(DATOS!$G14230="EX",1,IF(DATOS!$G14230="OR",--(COUNTIFS(nNIA,DATOS!$A14230,nCURSO,DATOS!$D14230,nESPEC,DATOS!$E14230,nASIG,DATOS!$I14230,nEVAL,"EX")=0),0))))</f>
      </c>
      <c r="H14230">
        <f>IF(DATOS!$G14230&lt;&gt;"EX",0,--(COUNTIFS(nNIA,DATOS!$A14230,nCURSO,DATOS!$D14230,nESPEC,DATOS!$E14230,nASIG,DATOS!$I14230,nEVAL,"OR")=0))</f>
      </c>
      <c r="I14230">
        <f>IF(DATOS!$I14230="","",IFERROR(VLOOKUP(DATOS!$I14230,CONFIG_ASIGNATURAS!$B$2:$J$91,9,FALSE()),""))</f>
      </c>
    </row>
    <row r="14231">
      <c r="F14231">
        <f>IF(DATOS!$A14231="","",DATOS!$A14231&amp;"|"&amp;DATOS!$D14231&amp;"|"&amp;DATOS!$E14231&amp;"|"&amp;DATOS!$I14231)</f>
      </c>
      <c r="G14231">
        <f>IF(DATOS!$A14231="",0,IF(CONFIG_METADATA!$B$4&lt;&gt;"OR+EX",--(DATOS!$G14231=CONFIG_METADATA!$B$4),IF(DATOS!$G14231="EX",1,IF(DATOS!$G14231="OR",--(COUNTIFS(nNIA,DATOS!$A14231,nCURSO,DATOS!$D14231,nESPEC,DATOS!$E14231,nASIG,DATOS!$I14231,nEVAL,"EX")=0),0))))</f>
      </c>
      <c r="H14231">
        <f>IF(DATOS!$G14231&lt;&gt;"EX",0,--(COUNTIFS(nNIA,DATOS!$A14231,nCURSO,DATOS!$D14231,nESPEC,DATOS!$E14231,nASIG,DATOS!$I14231,nEVAL,"OR")=0))</f>
      </c>
      <c r="I14231">
        <f>IF(DATOS!$I14231="","",IFERROR(VLOOKUP(DATOS!$I14231,CONFIG_ASIGNATURAS!$B$2:$J$91,9,FALSE()),""))</f>
      </c>
    </row>
    <row r="14232">
      <c r="F14232">
        <f>IF(DATOS!$A14232="","",DATOS!$A14232&amp;"|"&amp;DATOS!$D14232&amp;"|"&amp;DATOS!$E14232&amp;"|"&amp;DATOS!$I14232)</f>
      </c>
      <c r="G14232">
        <f>IF(DATOS!$A14232="",0,IF(CONFIG_METADATA!$B$4&lt;&gt;"OR+EX",--(DATOS!$G14232=CONFIG_METADATA!$B$4),IF(DATOS!$G14232="EX",1,IF(DATOS!$G14232="OR",--(COUNTIFS(nNIA,DATOS!$A14232,nCURSO,DATOS!$D14232,nESPEC,DATOS!$E14232,nASIG,DATOS!$I14232,nEVAL,"EX")=0),0))))</f>
      </c>
      <c r="H14232">
        <f>IF(DATOS!$G14232&lt;&gt;"EX",0,--(COUNTIFS(nNIA,DATOS!$A14232,nCURSO,DATOS!$D14232,nESPEC,DATOS!$E14232,nASIG,DATOS!$I14232,nEVAL,"OR")=0))</f>
      </c>
      <c r="I14232">
        <f>IF(DATOS!$I14232="","",IFERROR(VLOOKUP(DATOS!$I14232,CONFIG_ASIGNATURAS!$B$2:$J$91,9,FALSE()),""))</f>
      </c>
    </row>
    <row r="14233">
      <c r="F14233">
        <f>IF(DATOS!$A14233="","",DATOS!$A14233&amp;"|"&amp;DATOS!$D14233&amp;"|"&amp;DATOS!$E14233&amp;"|"&amp;DATOS!$I14233)</f>
      </c>
      <c r="G14233">
        <f>IF(DATOS!$A14233="",0,IF(CONFIG_METADATA!$B$4&lt;&gt;"OR+EX",--(DATOS!$G14233=CONFIG_METADATA!$B$4),IF(DATOS!$G14233="EX",1,IF(DATOS!$G14233="OR",--(COUNTIFS(nNIA,DATOS!$A14233,nCURSO,DATOS!$D14233,nESPEC,DATOS!$E14233,nASIG,DATOS!$I14233,nEVAL,"EX")=0),0))))</f>
      </c>
      <c r="H14233">
        <f>IF(DATOS!$G14233&lt;&gt;"EX",0,--(COUNTIFS(nNIA,DATOS!$A14233,nCURSO,DATOS!$D14233,nESPEC,DATOS!$E14233,nASIG,DATOS!$I14233,nEVAL,"OR")=0))</f>
      </c>
      <c r="I14233">
        <f>IF(DATOS!$I14233="","",IFERROR(VLOOKUP(DATOS!$I14233,CONFIG_ASIGNATURAS!$B$2:$J$91,9,FALSE()),""))</f>
      </c>
    </row>
    <row r="14234">
      <c r="F14234">
        <f>IF(DATOS!$A14234="","",DATOS!$A14234&amp;"|"&amp;DATOS!$D14234&amp;"|"&amp;DATOS!$E14234&amp;"|"&amp;DATOS!$I14234)</f>
      </c>
      <c r="G14234">
        <f>IF(DATOS!$A14234="",0,IF(CONFIG_METADATA!$B$4&lt;&gt;"OR+EX",--(DATOS!$G14234=CONFIG_METADATA!$B$4),IF(DATOS!$G14234="EX",1,IF(DATOS!$G14234="OR",--(COUNTIFS(nNIA,DATOS!$A14234,nCURSO,DATOS!$D14234,nESPEC,DATOS!$E14234,nASIG,DATOS!$I14234,nEVAL,"EX")=0),0))))</f>
      </c>
      <c r="H14234">
        <f>IF(DATOS!$G14234&lt;&gt;"EX",0,--(COUNTIFS(nNIA,DATOS!$A14234,nCURSO,DATOS!$D14234,nESPEC,DATOS!$E14234,nASIG,DATOS!$I14234,nEVAL,"OR")=0))</f>
      </c>
      <c r="I14234">
        <f>IF(DATOS!$I14234="","",IFERROR(VLOOKUP(DATOS!$I14234,CONFIG_ASIGNATURAS!$B$2:$J$91,9,FALSE()),""))</f>
      </c>
    </row>
    <row r="14235">
      <c r="F14235">
        <f>IF(DATOS!$A14235="","",DATOS!$A14235&amp;"|"&amp;DATOS!$D14235&amp;"|"&amp;DATOS!$E14235&amp;"|"&amp;DATOS!$I14235)</f>
      </c>
      <c r="G14235">
        <f>IF(DATOS!$A14235="",0,IF(CONFIG_METADATA!$B$4&lt;&gt;"OR+EX",--(DATOS!$G14235=CONFIG_METADATA!$B$4),IF(DATOS!$G14235="EX",1,IF(DATOS!$G14235="OR",--(COUNTIFS(nNIA,DATOS!$A14235,nCURSO,DATOS!$D14235,nESPEC,DATOS!$E14235,nASIG,DATOS!$I14235,nEVAL,"EX")=0),0))))</f>
      </c>
      <c r="H14235">
        <f>IF(DATOS!$G14235&lt;&gt;"EX",0,--(COUNTIFS(nNIA,DATOS!$A14235,nCURSO,DATOS!$D14235,nESPEC,DATOS!$E14235,nASIG,DATOS!$I14235,nEVAL,"OR")=0))</f>
      </c>
      <c r="I14235">
        <f>IF(DATOS!$I14235="","",IFERROR(VLOOKUP(DATOS!$I14235,CONFIG_ASIGNATURAS!$B$2:$J$91,9,FALSE()),""))</f>
      </c>
    </row>
    <row r="14236">
      <c r="F14236">
        <f>IF(DATOS!$A14236="","",DATOS!$A14236&amp;"|"&amp;DATOS!$D14236&amp;"|"&amp;DATOS!$E14236&amp;"|"&amp;DATOS!$I14236)</f>
      </c>
      <c r="G14236">
        <f>IF(DATOS!$A14236="",0,IF(CONFIG_METADATA!$B$4&lt;&gt;"OR+EX",--(DATOS!$G14236=CONFIG_METADATA!$B$4),IF(DATOS!$G14236="EX",1,IF(DATOS!$G14236="OR",--(COUNTIFS(nNIA,DATOS!$A14236,nCURSO,DATOS!$D14236,nESPEC,DATOS!$E14236,nASIG,DATOS!$I14236,nEVAL,"EX")=0),0))))</f>
      </c>
      <c r="H14236">
        <f>IF(DATOS!$G14236&lt;&gt;"EX",0,--(COUNTIFS(nNIA,DATOS!$A14236,nCURSO,DATOS!$D14236,nESPEC,DATOS!$E14236,nASIG,DATOS!$I14236,nEVAL,"OR")=0))</f>
      </c>
      <c r="I14236">
        <f>IF(DATOS!$I14236="","",IFERROR(VLOOKUP(DATOS!$I14236,CONFIG_ASIGNATURAS!$B$2:$J$91,9,FALSE()),""))</f>
      </c>
    </row>
    <row r="14237">
      <c r="F14237">
        <f>IF(DATOS!$A14237="","",DATOS!$A14237&amp;"|"&amp;DATOS!$D14237&amp;"|"&amp;DATOS!$E14237&amp;"|"&amp;DATOS!$I14237)</f>
      </c>
      <c r="G14237">
        <f>IF(DATOS!$A14237="",0,IF(CONFIG_METADATA!$B$4&lt;&gt;"OR+EX",--(DATOS!$G14237=CONFIG_METADATA!$B$4),IF(DATOS!$G14237="EX",1,IF(DATOS!$G14237="OR",--(COUNTIFS(nNIA,DATOS!$A14237,nCURSO,DATOS!$D14237,nESPEC,DATOS!$E14237,nASIG,DATOS!$I14237,nEVAL,"EX")=0),0))))</f>
      </c>
      <c r="H14237">
        <f>IF(DATOS!$G14237&lt;&gt;"EX",0,--(COUNTIFS(nNIA,DATOS!$A14237,nCURSO,DATOS!$D14237,nESPEC,DATOS!$E14237,nASIG,DATOS!$I14237,nEVAL,"OR")=0))</f>
      </c>
      <c r="I14237">
        <f>IF(DATOS!$I14237="","",IFERROR(VLOOKUP(DATOS!$I14237,CONFIG_ASIGNATURAS!$B$2:$J$91,9,FALSE()),""))</f>
      </c>
    </row>
    <row r="14238">
      <c r="F14238">
        <f>IF(DATOS!$A14238="","",DATOS!$A14238&amp;"|"&amp;DATOS!$D14238&amp;"|"&amp;DATOS!$E14238&amp;"|"&amp;DATOS!$I14238)</f>
      </c>
      <c r="G14238">
        <f>IF(DATOS!$A14238="",0,IF(CONFIG_METADATA!$B$4&lt;&gt;"OR+EX",--(DATOS!$G14238=CONFIG_METADATA!$B$4),IF(DATOS!$G14238="EX",1,IF(DATOS!$G14238="OR",--(COUNTIFS(nNIA,DATOS!$A14238,nCURSO,DATOS!$D14238,nESPEC,DATOS!$E14238,nASIG,DATOS!$I14238,nEVAL,"EX")=0),0))))</f>
      </c>
      <c r="H14238">
        <f>IF(DATOS!$G14238&lt;&gt;"EX",0,--(COUNTIFS(nNIA,DATOS!$A14238,nCURSO,DATOS!$D14238,nESPEC,DATOS!$E14238,nASIG,DATOS!$I14238,nEVAL,"OR")=0))</f>
      </c>
      <c r="I14238">
        <f>IF(DATOS!$I14238="","",IFERROR(VLOOKUP(DATOS!$I14238,CONFIG_ASIGNATURAS!$B$2:$J$91,9,FALSE()),""))</f>
      </c>
    </row>
    <row r="14239">
      <c r="F14239">
        <f>IF(DATOS!$A14239="","",DATOS!$A14239&amp;"|"&amp;DATOS!$D14239&amp;"|"&amp;DATOS!$E14239&amp;"|"&amp;DATOS!$I14239)</f>
      </c>
      <c r="G14239">
        <f>IF(DATOS!$A14239="",0,IF(CONFIG_METADATA!$B$4&lt;&gt;"OR+EX",--(DATOS!$G14239=CONFIG_METADATA!$B$4),IF(DATOS!$G14239="EX",1,IF(DATOS!$G14239="OR",--(COUNTIFS(nNIA,DATOS!$A14239,nCURSO,DATOS!$D14239,nESPEC,DATOS!$E14239,nASIG,DATOS!$I14239,nEVAL,"EX")=0),0))))</f>
      </c>
      <c r="H14239">
        <f>IF(DATOS!$G14239&lt;&gt;"EX",0,--(COUNTIFS(nNIA,DATOS!$A14239,nCURSO,DATOS!$D14239,nESPEC,DATOS!$E14239,nASIG,DATOS!$I14239,nEVAL,"OR")=0))</f>
      </c>
      <c r="I14239">
        <f>IF(DATOS!$I14239="","",IFERROR(VLOOKUP(DATOS!$I14239,CONFIG_ASIGNATURAS!$B$2:$J$91,9,FALSE()),""))</f>
      </c>
    </row>
    <row r="14240">
      <c r="F14240">
        <f>IF(DATOS!$A14240="","",DATOS!$A14240&amp;"|"&amp;DATOS!$D14240&amp;"|"&amp;DATOS!$E14240&amp;"|"&amp;DATOS!$I14240)</f>
      </c>
      <c r="G14240">
        <f>IF(DATOS!$A14240="",0,IF(CONFIG_METADATA!$B$4&lt;&gt;"OR+EX",--(DATOS!$G14240=CONFIG_METADATA!$B$4),IF(DATOS!$G14240="EX",1,IF(DATOS!$G14240="OR",--(COUNTIFS(nNIA,DATOS!$A14240,nCURSO,DATOS!$D14240,nESPEC,DATOS!$E14240,nASIG,DATOS!$I14240,nEVAL,"EX")=0),0))))</f>
      </c>
      <c r="H14240">
        <f>IF(DATOS!$G14240&lt;&gt;"EX",0,--(COUNTIFS(nNIA,DATOS!$A14240,nCURSO,DATOS!$D14240,nESPEC,DATOS!$E14240,nASIG,DATOS!$I14240,nEVAL,"OR")=0))</f>
      </c>
      <c r="I14240">
        <f>IF(DATOS!$I14240="","",IFERROR(VLOOKUP(DATOS!$I14240,CONFIG_ASIGNATURAS!$B$2:$J$91,9,FALSE()),""))</f>
      </c>
    </row>
    <row r="14241">
      <c r="F14241">
        <f>IF(DATOS!$A14241="","",DATOS!$A14241&amp;"|"&amp;DATOS!$D14241&amp;"|"&amp;DATOS!$E14241&amp;"|"&amp;DATOS!$I14241)</f>
      </c>
      <c r="G14241">
        <f>IF(DATOS!$A14241="",0,IF(CONFIG_METADATA!$B$4&lt;&gt;"OR+EX",--(DATOS!$G14241=CONFIG_METADATA!$B$4),IF(DATOS!$G14241="EX",1,IF(DATOS!$G14241="OR",--(COUNTIFS(nNIA,DATOS!$A14241,nCURSO,DATOS!$D14241,nESPEC,DATOS!$E14241,nASIG,DATOS!$I14241,nEVAL,"EX")=0),0))))</f>
      </c>
      <c r="H14241">
        <f>IF(DATOS!$G14241&lt;&gt;"EX",0,--(COUNTIFS(nNIA,DATOS!$A14241,nCURSO,DATOS!$D14241,nESPEC,DATOS!$E14241,nASIG,DATOS!$I14241,nEVAL,"OR")=0))</f>
      </c>
      <c r="I14241">
        <f>IF(DATOS!$I14241="","",IFERROR(VLOOKUP(DATOS!$I14241,CONFIG_ASIGNATURAS!$B$2:$J$91,9,FALSE()),""))</f>
      </c>
    </row>
    <row r="14242">
      <c r="F14242">
        <f>IF(DATOS!$A14242="","",DATOS!$A14242&amp;"|"&amp;DATOS!$D14242&amp;"|"&amp;DATOS!$E14242&amp;"|"&amp;DATOS!$I14242)</f>
      </c>
      <c r="G14242">
        <f>IF(DATOS!$A14242="",0,IF(CONFIG_METADATA!$B$4&lt;&gt;"OR+EX",--(DATOS!$G14242=CONFIG_METADATA!$B$4),IF(DATOS!$G14242="EX",1,IF(DATOS!$G14242="OR",--(COUNTIFS(nNIA,DATOS!$A14242,nCURSO,DATOS!$D14242,nESPEC,DATOS!$E14242,nASIG,DATOS!$I14242,nEVAL,"EX")=0),0))))</f>
      </c>
      <c r="H14242">
        <f>IF(DATOS!$G14242&lt;&gt;"EX",0,--(COUNTIFS(nNIA,DATOS!$A14242,nCURSO,DATOS!$D14242,nESPEC,DATOS!$E14242,nASIG,DATOS!$I14242,nEVAL,"OR")=0))</f>
      </c>
      <c r="I14242">
        <f>IF(DATOS!$I14242="","",IFERROR(VLOOKUP(DATOS!$I14242,CONFIG_ASIGNATURAS!$B$2:$J$91,9,FALSE()),""))</f>
      </c>
    </row>
    <row r="14243">
      <c r="F14243">
        <f>IF(DATOS!$A14243="","",DATOS!$A14243&amp;"|"&amp;DATOS!$D14243&amp;"|"&amp;DATOS!$E14243&amp;"|"&amp;DATOS!$I14243)</f>
      </c>
      <c r="G14243">
        <f>IF(DATOS!$A14243="",0,IF(CONFIG_METADATA!$B$4&lt;&gt;"OR+EX",--(DATOS!$G14243=CONFIG_METADATA!$B$4),IF(DATOS!$G14243="EX",1,IF(DATOS!$G14243="OR",--(COUNTIFS(nNIA,DATOS!$A14243,nCURSO,DATOS!$D14243,nESPEC,DATOS!$E14243,nASIG,DATOS!$I14243,nEVAL,"EX")=0),0))))</f>
      </c>
      <c r="H14243">
        <f>IF(DATOS!$G14243&lt;&gt;"EX",0,--(COUNTIFS(nNIA,DATOS!$A14243,nCURSO,DATOS!$D14243,nESPEC,DATOS!$E14243,nASIG,DATOS!$I14243,nEVAL,"OR")=0))</f>
      </c>
      <c r="I14243">
        <f>IF(DATOS!$I14243="","",IFERROR(VLOOKUP(DATOS!$I14243,CONFIG_ASIGNATURAS!$B$2:$J$91,9,FALSE()),""))</f>
      </c>
    </row>
    <row r="14244">
      <c r="F14244">
        <f>IF(DATOS!$A14244="","",DATOS!$A14244&amp;"|"&amp;DATOS!$D14244&amp;"|"&amp;DATOS!$E14244&amp;"|"&amp;DATOS!$I14244)</f>
      </c>
      <c r="G14244">
        <f>IF(DATOS!$A14244="",0,IF(CONFIG_METADATA!$B$4&lt;&gt;"OR+EX",--(DATOS!$G14244=CONFIG_METADATA!$B$4),IF(DATOS!$G14244="EX",1,IF(DATOS!$G14244="OR",--(COUNTIFS(nNIA,DATOS!$A14244,nCURSO,DATOS!$D14244,nESPEC,DATOS!$E14244,nASIG,DATOS!$I14244,nEVAL,"EX")=0),0))))</f>
      </c>
      <c r="H14244">
        <f>IF(DATOS!$G14244&lt;&gt;"EX",0,--(COUNTIFS(nNIA,DATOS!$A14244,nCURSO,DATOS!$D14244,nESPEC,DATOS!$E14244,nASIG,DATOS!$I14244,nEVAL,"OR")=0))</f>
      </c>
      <c r="I14244">
        <f>IF(DATOS!$I14244="","",IFERROR(VLOOKUP(DATOS!$I14244,CONFIG_ASIGNATURAS!$B$2:$J$91,9,FALSE()),""))</f>
      </c>
    </row>
    <row r="14245">
      <c r="F14245">
        <f>IF(DATOS!$A14245="","",DATOS!$A14245&amp;"|"&amp;DATOS!$D14245&amp;"|"&amp;DATOS!$E14245&amp;"|"&amp;DATOS!$I14245)</f>
      </c>
      <c r="G14245">
        <f>IF(DATOS!$A14245="",0,IF(CONFIG_METADATA!$B$4&lt;&gt;"OR+EX",--(DATOS!$G14245=CONFIG_METADATA!$B$4),IF(DATOS!$G14245="EX",1,IF(DATOS!$G14245="OR",--(COUNTIFS(nNIA,DATOS!$A14245,nCURSO,DATOS!$D14245,nESPEC,DATOS!$E14245,nASIG,DATOS!$I14245,nEVAL,"EX")=0),0))))</f>
      </c>
      <c r="H14245">
        <f>IF(DATOS!$G14245&lt;&gt;"EX",0,--(COUNTIFS(nNIA,DATOS!$A14245,nCURSO,DATOS!$D14245,nESPEC,DATOS!$E14245,nASIG,DATOS!$I14245,nEVAL,"OR")=0))</f>
      </c>
      <c r="I14245">
        <f>IF(DATOS!$I14245="","",IFERROR(VLOOKUP(DATOS!$I14245,CONFIG_ASIGNATURAS!$B$2:$J$91,9,FALSE()),""))</f>
      </c>
    </row>
    <row r="14246">
      <c r="F14246">
        <f>IF(DATOS!$A14246="","",DATOS!$A14246&amp;"|"&amp;DATOS!$D14246&amp;"|"&amp;DATOS!$E14246&amp;"|"&amp;DATOS!$I14246)</f>
      </c>
      <c r="G14246">
        <f>IF(DATOS!$A14246="",0,IF(CONFIG_METADATA!$B$4&lt;&gt;"OR+EX",--(DATOS!$G14246=CONFIG_METADATA!$B$4),IF(DATOS!$G14246="EX",1,IF(DATOS!$G14246="OR",--(COUNTIFS(nNIA,DATOS!$A14246,nCURSO,DATOS!$D14246,nESPEC,DATOS!$E14246,nASIG,DATOS!$I14246,nEVAL,"EX")=0),0))))</f>
      </c>
      <c r="H14246">
        <f>IF(DATOS!$G14246&lt;&gt;"EX",0,--(COUNTIFS(nNIA,DATOS!$A14246,nCURSO,DATOS!$D14246,nESPEC,DATOS!$E14246,nASIG,DATOS!$I14246,nEVAL,"OR")=0))</f>
      </c>
      <c r="I14246">
        <f>IF(DATOS!$I14246="","",IFERROR(VLOOKUP(DATOS!$I14246,CONFIG_ASIGNATURAS!$B$2:$J$91,9,FALSE()),""))</f>
      </c>
    </row>
    <row r="14247">
      <c r="F14247">
        <f>IF(DATOS!$A14247="","",DATOS!$A14247&amp;"|"&amp;DATOS!$D14247&amp;"|"&amp;DATOS!$E14247&amp;"|"&amp;DATOS!$I14247)</f>
      </c>
      <c r="G14247">
        <f>IF(DATOS!$A14247="",0,IF(CONFIG_METADATA!$B$4&lt;&gt;"OR+EX",--(DATOS!$G14247=CONFIG_METADATA!$B$4),IF(DATOS!$G14247="EX",1,IF(DATOS!$G14247="OR",--(COUNTIFS(nNIA,DATOS!$A14247,nCURSO,DATOS!$D14247,nESPEC,DATOS!$E14247,nASIG,DATOS!$I14247,nEVAL,"EX")=0),0))))</f>
      </c>
      <c r="H14247">
        <f>IF(DATOS!$G14247&lt;&gt;"EX",0,--(COUNTIFS(nNIA,DATOS!$A14247,nCURSO,DATOS!$D14247,nESPEC,DATOS!$E14247,nASIG,DATOS!$I14247,nEVAL,"OR")=0))</f>
      </c>
      <c r="I14247">
        <f>IF(DATOS!$I14247="","",IFERROR(VLOOKUP(DATOS!$I14247,CONFIG_ASIGNATURAS!$B$2:$J$91,9,FALSE()),""))</f>
      </c>
    </row>
    <row r="14248">
      <c r="F14248">
        <f>IF(DATOS!$A14248="","",DATOS!$A14248&amp;"|"&amp;DATOS!$D14248&amp;"|"&amp;DATOS!$E14248&amp;"|"&amp;DATOS!$I14248)</f>
      </c>
      <c r="G14248">
        <f>IF(DATOS!$A14248="",0,IF(CONFIG_METADATA!$B$4&lt;&gt;"OR+EX",--(DATOS!$G14248=CONFIG_METADATA!$B$4),IF(DATOS!$G14248="EX",1,IF(DATOS!$G14248="OR",--(COUNTIFS(nNIA,DATOS!$A14248,nCURSO,DATOS!$D14248,nESPEC,DATOS!$E14248,nASIG,DATOS!$I14248,nEVAL,"EX")=0),0))))</f>
      </c>
      <c r="H14248">
        <f>IF(DATOS!$G14248&lt;&gt;"EX",0,--(COUNTIFS(nNIA,DATOS!$A14248,nCURSO,DATOS!$D14248,nESPEC,DATOS!$E14248,nASIG,DATOS!$I14248,nEVAL,"OR")=0))</f>
      </c>
      <c r="I14248">
        <f>IF(DATOS!$I14248="","",IFERROR(VLOOKUP(DATOS!$I14248,CONFIG_ASIGNATURAS!$B$2:$J$91,9,FALSE()),""))</f>
      </c>
    </row>
    <row r="14249">
      <c r="F14249">
        <f>IF(DATOS!$A14249="","",DATOS!$A14249&amp;"|"&amp;DATOS!$D14249&amp;"|"&amp;DATOS!$E14249&amp;"|"&amp;DATOS!$I14249)</f>
      </c>
      <c r="G14249">
        <f>IF(DATOS!$A14249="",0,IF(CONFIG_METADATA!$B$4&lt;&gt;"OR+EX",--(DATOS!$G14249=CONFIG_METADATA!$B$4),IF(DATOS!$G14249="EX",1,IF(DATOS!$G14249="OR",--(COUNTIFS(nNIA,DATOS!$A14249,nCURSO,DATOS!$D14249,nESPEC,DATOS!$E14249,nASIG,DATOS!$I14249,nEVAL,"EX")=0),0))))</f>
      </c>
      <c r="H14249">
        <f>IF(DATOS!$G14249&lt;&gt;"EX",0,--(COUNTIFS(nNIA,DATOS!$A14249,nCURSO,DATOS!$D14249,nESPEC,DATOS!$E14249,nASIG,DATOS!$I14249,nEVAL,"OR")=0))</f>
      </c>
      <c r="I14249">
        <f>IF(DATOS!$I14249="","",IFERROR(VLOOKUP(DATOS!$I14249,CONFIG_ASIGNATURAS!$B$2:$J$91,9,FALSE()),""))</f>
      </c>
    </row>
    <row r="14250">
      <c r="F14250">
        <f>IF(DATOS!$A14250="","",DATOS!$A14250&amp;"|"&amp;DATOS!$D14250&amp;"|"&amp;DATOS!$E14250&amp;"|"&amp;DATOS!$I14250)</f>
      </c>
      <c r="G14250">
        <f>IF(DATOS!$A14250="",0,IF(CONFIG_METADATA!$B$4&lt;&gt;"OR+EX",--(DATOS!$G14250=CONFIG_METADATA!$B$4),IF(DATOS!$G14250="EX",1,IF(DATOS!$G14250="OR",--(COUNTIFS(nNIA,DATOS!$A14250,nCURSO,DATOS!$D14250,nESPEC,DATOS!$E14250,nASIG,DATOS!$I14250,nEVAL,"EX")=0),0))))</f>
      </c>
      <c r="H14250">
        <f>IF(DATOS!$G14250&lt;&gt;"EX",0,--(COUNTIFS(nNIA,DATOS!$A14250,nCURSO,DATOS!$D14250,nESPEC,DATOS!$E14250,nASIG,DATOS!$I14250,nEVAL,"OR")=0))</f>
      </c>
      <c r="I14250">
        <f>IF(DATOS!$I14250="","",IFERROR(VLOOKUP(DATOS!$I14250,CONFIG_ASIGNATURAS!$B$2:$J$91,9,FALSE()),""))</f>
      </c>
    </row>
    <row r="14251">
      <c r="F14251">
        <f>IF(DATOS!$A14251="","",DATOS!$A14251&amp;"|"&amp;DATOS!$D14251&amp;"|"&amp;DATOS!$E14251&amp;"|"&amp;DATOS!$I14251)</f>
      </c>
      <c r="G14251">
        <f>IF(DATOS!$A14251="",0,IF(CONFIG_METADATA!$B$4&lt;&gt;"OR+EX",--(DATOS!$G14251=CONFIG_METADATA!$B$4),IF(DATOS!$G14251="EX",1,IF(DATOS!$G14251="OR",--(COUNTIFS(nNIA,DATOS!$A14251,nCURSO,DATOS!$D14251,nESPEC,DATOS!$E14251,nASIG,DATOS!$I14251,nEVAL,"EX")=0),0))))</f>
      </c>
      <c r="H14251">
        <f>IF(DATOS!$G14251&lt;&gt;"EX",0,--(COUNTIFS(nNIA,DATOS!$A14251,nCURSO,DATOS!$D14251,nESPEC,DATOS!$E14251,nASIG,DATOS!$I14251,nEVAL,"OR")=0))</f>
      </c>
      <c r="I14251">
        <f>IF(DATOS!$I14251="","",IFERROR(VLOOKUP(DATOS!$I14251,CONFIG_ASIGNATURAS!$B$2:$J$91,9,FALSE()),""))</f>
      </c>
    </row>
    <row r="14252">
      <c r="F14252">
        <f>IF(DATOS!$A14252="","",DATOS!$A14252&amp;"|"&amp;DATOS!$D14252&amp;"|"&amp;DATOS!$E14252&amp;"|"&amp;DATOS!$I14252)</f>
      </c>
      <c r="G14252">
        <f>IF(DATOS!$A14252="",0,IF(CONFIG_METADATA!$B$4&lt;&gt;"OR+EX",--(DATOS!$G14252=CONFIG_METADATA!$B$4),IF(DATOS!$G14252="EX",1,IF(DATOS!$G14252="OR",--(COUNTIFS(nNIA,DATOS!$A14252,nCURSO,DATOS!$D14252,nESPEC,DATOS!$E14252,nASIG,DATOS!$I14252,nEVAL,"EX")=0),0))))</f>
      </c>
      <c r="H14252">
        <f>IF(DATOS!$G14252&lt;&gt;"EX",0,--(COUNTIFS(nNIA,DATOS!$A14252,nCURSO,DATOS!$D14252,nESPEC,DATOS!$E14252,nASIG,DATOS!$I14252,nEVAL,"OR")=0))</f>
      </c>
      <c r="I14252">
        <f>IF(DATOS!$I14252="","",IFERROR(VLOOKUP(DATOS!$I14252,CONFIG_ASIGNATURAS!$B$2:$J$91,9,FALSE()),""))</f>
      </c>
    </row>
    <row r="14253">
      <c r="F14253">
        <f>IF(DATOS!$A14253="","",DATOS!$A14253&amp;"|"&amp;DATOS!$D14253&amp;"|"&amp;DATOS!$E14253&amp;"|"&amp;DATOS!$I14253)</f>
      </c>
      <c r="G14253">
        <f>IF(DATOS!$A14253="",0,IF(CONFIG_METADATA!$B$4&lt;&gt;"OR+EX",--(DATOS!$G14253=CONFIG_METADATA!$B$4),IF(DATOS!$G14253="EX",1,IF(DATOS!$G14253="OR",--(COUNTIFS(nNIA,DATOS!$A14253,nCURSO,DATOS!$D14253,nESPEC,DATOS!$E14253,nASIG,DATOS!$I14253,nEVAL,"EX")=0),0))))</f>
      </c>
      <c r="H14253">
        <f>IF(DATOS!$G14253&lt;&gt;"EX",0,--(COUNTIFS(nNIA,DATOS!$A14253,nCURSO,DATOS!$D14253,nESPEC,DATOS!$E14253,nASIG,DATOS!$I14253,nEVAL,"OR")=0))</f>
      </c>
      <c r="I14253">
        <f>IF(DATOS!$I14253="","",IFERROR(VLOOKUP(DATOS!$I14253,CONFIG_ASIGNATURAS!$B$2:$J$91,9,FALSE()),""))</f>
      </c>
    </row>
    <row r="14254">
      <c r="F14254">
        <f>IF(DATOS!$A14254="","",DATOS!$A14254&amp;"|"&amp;DATOS!$D14254&amp;"|"&amp;DATOS!$E14254&amp;"|"&amp;DATOS!$I14254)</f>
      </c>
      <c r="G14254">
        <f>IF(DATOS!$A14254="",0,IF(CONFIG_METADATA!$B$4&lt;&gt;"OR+EX",--(DATOS!$G14254=CONFIG_METADATA!$B$4),IF(DATOS!$G14254="EX",1,IF(DATOS!$G14254="OR",--(COUNTIFS(nNIA,DATOS!$A14254,nCURSO,DATOS!$D14254,nESPEC,DATOS!$E14254,nASIG,DATOS!$I14254,nEVAL,"EX")=0),0))))</f>
      </c>
      <c r="H14254">
        <f>IF(DATOS!$G14254&lt;&gt;"EX",0,--(COUNTIFS(nNIA,DATOS!$A14254,nCURSO,DATOS!$D14254,nESPEC,DATOS!$E14254,nASIG,DATOS!$I14254,nEVAL,"OR")=0))</f>
      </c>
      <c r="I14254">
        <f>IF(DATOS!$I14254="","",IFERROR(VLOOKUP(DATOS!$I14254,CONFIG_ASIGNATURAS!$B$2:$J$91,9,FALSE()),""))</f>
      </c>
    </row>
    <row r="14255">
      <c r="F14255">
        <f>IF(DATOS!$A14255="","",DATOS!$A14255&amp;"|"&amp;DATOS!$D14255&amp;"|"&amp;DATOS!$E14255&amp;"|"&amp;DATOS!$I14255)</f>
      </c>
      <c r="G14255">
        <f>IF(DATOS!$A14255="",0,IF(CONFIG_METADATA!$B$4&lt;&gt;"OR+EX",--(DATOS!$G14255=CONFIG_METADATA!$B$4),IF(DATOS!$G14255="EX",1,IF(DATOS!$G14255="OR",--(COUNTIFS(nNIA,DATOS!$A14255,nCURSO,DATOS!$D14255,nESPEC,DATOS!$E14255,nASIG,DATOS!$I14255,nEVAL,"EX")=0),0))))</f>
      </c>
      <c r="H14255">
        <f>IF(DATOS!$G14255&lt;&gt;"EX",0,--(COUNTIFS(nNIA,DATOS!$A14255,nCURSO,DATOS!$D14255,nESPEC,DATOS!$E14255,nASIG,DATOS!$I14255,nEVAL,"OR")=0))</f>
      </c>
      <c r="I14255">
        <f>IF(DATOS!$I14255="","",IFERROR(VLOOKUP(DATOS!$I14255,CONFIG_ASIGNATURAS!$B$2:$J$91,9,FALSE()),""))</f>
      </c>
    </row>
    <row r="14256">
      <c r="F14256">
        <f>IF(DATOS!$A14256="","",DATOS!$A14256&amp;"|"&amp;DATOS!$D14256&amp;"|"&amp;DATOS!$E14256&amp;"|"&amp;DATOS!$I14256)</f>
      </c>
      <c r="G14256">
        <f>IF(DATOS!$A14256="",0,IF(CONFIG_METADATA!$B$4&lt;&gt;"OR+EX",--(DATOS!$G14256=CONFIG_METADATA!$B$4),IF(DATOS!$G14256="EX",1,IF(DATOS!$G14256="OR",--(COUNTIFS(nNIA,DATOS!$A14256,nCURSO,DATOS!$D14256,nESPEC,DATOS!$E14256,nASIG,DATOS!$I14256,nEVAL,"EX")=0),0))))</f>
      </c>
      <c r="H14256">
        <f>IF(DATOS!$G14256&lt;&gt;"EX",0,--(COUNTIFS(nNIA,DATOS!$A14256,nCURSO,DATOS!$D14256,nESPEC,DATOS!$E14256,nASIG,DATOS!$I14256,nEVAL,"OR")=0))</f>
      </c>
      <c r="I14256">
        <f>IF(DATOS!$I14256="","",IFERROR(VLOOKUP(DATOS!$I14256,CONFIG_ASIGNATURAS!$B$2:$J$91,9,FALSE()),""))</f>
      </c>
    </row>
    <row r="14257">
      <c r="F14257">
        <f>IF(DATOS!$A14257="","",DATOS!$A14257&amp;"|"&amp;DATOS!$D14257&amp;"|"&amp;DATOS!$E14257&amp;"|"&amp;DATOS!$I14257)</f>
      </c>
      <c r="G14257">
        <f>IF(DATOS!$A14257="",0,IF(CONFIG_METADATA!$B$4&lt;&gt;"OR+EX",--(DATOS!$G14257=CONFIG_METADATA!$B$4),IF(DATOS!$G14257="EX",1,IF(DATOS!$G14257="OR",--(COUNTIFS(nNIA,DATOS!$A14257,nCURSO,DATOS!$D14257,nESPEC,DATOS!$E14257,nASIG,DATOS!$I14257,nEVAL,"EX")=0),0))))</f>
      </c>
      <c r="H14257">
        <f>IF(DATOS!$G14257&lt;&gt;"EX",0,--(COUNTIFS(nNIA,DATOS!$A14257,nCURSO,DATOS!$D14257,nESPEC,DATOS!$E14257,nASIG,DATOS!$I14257,nEVAL,"OR")=0))</f>
      </c>
      <c r="I14257">
        <f>IF(DATOS!$I14257="","",IFERROR(VLOOKUP(DATOS!$I14257,CONFIG_ASIGNATURAS!$B$2:$J$91,9,FALSE()),""))</f>
      </c>
    </row>
    <row r="14258">
      <c r="F14258">
        <f>IF(DATOS!$A14258="","",DATOS!$A14258&amp;"|"&amp;DATOS!$D14258&amp;"|"&amp;DATOS!$E14258&amp;"|"&amp;DATOS!$I14258)</f>
      </c>
      <c r="G14258">
        <f>IF(DATOS!$A14258="",0,IF(CONFIG_METADATA!$B$4&lt;&gt;"OR+EX",--(DATOS!$G14258=CONFIG_METADATA!$B$4),IF(DATOS!$G14258="EX",1,IF(DATOS!$G14258="OR",--(COUNTIFS(nNIA,DATOS!$A14258,nCURSO,DATOS!$D14258,nESPEC,DATOS!$E14258,nASIG,DATOS!$I14258,nEVAL,"EX")=0),0))))</f>
      </c>
      <c r="H14258">
        <f>IF(DATOS!$G14258&lt;&gt;"EX",0,--(COUNTIFS(nNIA,DATOS!$A14258,nCURSO,DATOS!$D14258,nESPEC,DATOS!$E14258,nASIG,DATOS!$I14258,nEVAL,"OR")=0))</f>
      </c>
      <c r="I14258">
        <f>IF(DATOS!$I14258="","",IFERROR(VLOOKUP(DATOS!$I14258,CONFIG_ASIGNATURAS!$B$2:$J$91,9,FALSE()),""))</f>
      </c>
    </row>
    <row r="14259">
      <c r="F14259">
        <f>IF(DATOS!$A14259="","",DATOS!$A14259&amp;"|"&amp;DATOS!$D14259&amp;"|"&amp;DATOS!$E14259&amp;"|"&amp;DATOS!$I14259)</f>
      </c>
      <c r="G14259">
        <f>IF(DATOS!$A14259="",0,IF(CONFIG_METADATA!$B$4&lt;&gt;"OR+EX",--(DATOS!$G14259=CONFIG_METADATA!$B$4),IF(DATOS!$G14259="EX",1,IF(DATOS!$G14259="OR",--(COUNTIFS(nNIA,DATOS!$A14259,nCURSO,DATOS!$D14259,nESPEC,DATOS!$E14259,nASIG,DATOS!$I14259,nEVAL,"EX")=0),0))))</f>
      </c>
      <c r="H14259">
        <f>IF(DATOS!$G14259&lt;&gt;"EX",0,--(COUNTIFS(nNIA,DATOS!$A14259,nCURSO,DATOS!$D14259,nESPEC,DATOS!$E14259,nASIG,DATOS!$I14259,nEVAL,"OR")=0))</f>
      </c>
      <c r="I14259">
        <f>IF(DATOS!$I14259="","",IFERROR(VLOOKUP(DATOS!$I14259,CONFIG_ASIGNATURAS!$B$2:$J$91,9,FALSE()),""))</f>
      </c>
    </row>
    <row r="14260">
      <c r="F14260">
        <f>IF(DATOS!$A14260="","",DATOS!$A14260&amp;"|"&amp;DATOS!$D14260&amp;"|"&amp;DATOS!$E14260&amp;"|"&amp;DATOS!$I14260)</f>
      </c>
      <c r="G14260">
        <f>IF(DATOS!$A14260="",0,IF(CONFIG_METADATA!$B$4&lt;&gt;"OR+EX",--(DATOS!$G14260=CONFIG_METADATA!$B$4),IF(DATOS!$G14260="EX",1,IF(DATOS!$G14260="OR",--(COUNTIFS(nNIA,DATOS!$A14260,nCURSO,DATOS!$D14260,nESPEC,DATOS!$E14260,nASIG,DATOS!$I14260,nEVAL,"EX")=0),0))))</f>
      </c>
      <c r="H14260">
        <f>IF(DATOS!$G14260&lt;&gt;"EX",0,--(COUNTIFS(nNIA,DATOS!$A14260,nCURSO,DATOS!$D14260,nESPEC,DATOS!$E14260,nASIG,DATOS!$I14260,nEVAL,"OR")=0))</f>
      </c>
      <c r="I14260">
        <f>IF(DATOS!$I14260="","",IFERROR(VLOOKUP(DATOS!$I14260,CONFIG_ASIGNATURAS!$B$2:$J$91,9,FALSE()),""))</f>
      </c>
    </row>
    <row r="14261">
      <c r="F14261">
        <f>IF(DATOS!$A14261="","",DATOS!$A14261&amp;"|"&amp;DATOS!$D14261&amp;"|"&amp;DATOS!$E14261&amp;"|"&amp;DATOS!$I14261)</f>
      </c>
      <c r="G14261">
        <f>IF(DATOS!$A14261="",0,IF(CONFIG_METADATA!$B$4&lt;&gt;"OR+EX",--(DATOS!$G14261=CONFIG_METADATA!$B$4),IF(DATOS!$G14261="EX",1,IF(DATOS!$G14261="OR",--(COUNTIFS(nNIA,DATOS!$A14261,nCURSO,DATOS!$D14261,nESPEC,DATOS!$E14261,nASIG,DATOS!$I14261,nEVAL,"EX")=0),0))))</f>
      </c>
      <c r="H14261">
        <f>IF(DATOS!$G14261&lt;&gt;"EX",0,--(COUNTIFS(nNIA,DATOS!$A14261,nCURSO,DATOS!$D14261,nESPEC,DATOS!$E14261,nASIG,DATOS!$I14261,nEVAL,"OR")=0))</f>
      </c>
      <c r="I14261">
        <f>IF(DATOS!$I14261="","",IFERROR(VLOOKUP(DATOS!$I14261,CONFIG_ASIGNATURAS!$B$2:$J$91,9,FALSE()),""))</f>
      </c>
    </row>
    <row r="14262">
      <c r="F14262">
        <f>IF(DATOS!$A14262="","",DATOS!$A14262&amp;"|"&amp;DATOS!$D14262&amp;"|"&amp;DATOS!$E14262&amp;"|"&amp;DATOS!$I14262)</f>
      </c>
      <c r="G14262">
        <f>IF(DATOS!$A14262="",0,IF(CONFIG_METADATA!$B$4&lt;&gt;"OR+EX",--(DATOS!$G14262=CONFIG_METADATA!$B$4),IF(DATOS!$G14262="EX",1,IF(DATOS!$G14262="OR",--(COUNTIFS(nNIA,DATOS!$A14262,nCURSO,DATOS!$D14262,nESPEC,DATOS!$E14262,nASIG,DATOS!$I14262,nEVAL,"EX")=0),0))))</f>
      </c>
      <c r="H14262">
        <f>IF(DATOS!$G14262&lt;&gt;"EX",0,--(COUNTIFS(nNIA,DATOS!$A14262,nCURSO,DATOS!$D14262,nESPEC,DATOS!$E14262,nASIG,DATOS!$I14262,nEVAL,"OR")=0))</f>
      </c>
      <c r="I14262">
        <f>IF(DATOS!$I14262="","",IFERROR(VLOOKUP(DATOS!$I14262,CONFIG_ASIGNATURAS!$B$2:$J$91,9,FALSE()),""))</f>
      </c>
    </row>
    <row r="14263">
      <c r="F14263">
        <f>IF(DATOS!$A14263="","",DATOS!$A14263&amp;"|"&amp;DATOS!$D14263&amp;"|"&amp;DATOS!$E14263&amp;"|"&amp;DATOS!$I14263)</f>
      </c>
      <c r="G14263">
        <f>IF(DATOS!$A14263="",0,IF(CONFIG_METADATA!$B$4&lt;&gt;"OR+EX",--(DATOS!$G14263=CONFIG_METADATA!$B$4),IF(DATOS!$G14263="EX",1,IF(DATOS!$G14263="OR",--(COUNTIFS(nNIA,DATOS!$A14263,nCURSO,DATOS!$D14263,nESPEC,DATOS!$E14263,nASIG,DATOS!$I14263,nEVAL,"EX")=0),0))))</f>
      </c>
      <c r="H14263">
        <f>IF(DATOS!$G14263&lt;&gt;"EX",0,--(COUNTIFS(nNIA,DATOS!$A14263,nCURSO,DATOS!$D14263,nESPEC,DATOS!$E14263,nASIG,DATOS!$I14263,nEVAL,"OR")=0))</f>
      </c>
      <c r="I14263">
        <f>IF(DATOS!$I14263="","",IFERROR(VLOOKUP(DATOS!$I14263,CONFIG_ASIGNATURAS!$B$2:$J$91,9,FALSE()),""))</f>
      </c>
    </row>
    <row r="14264">
      <c r="F14264">
        <f>IF(DATOS!$A14264="","",DATOS!$A14264&amp;"|"&amp;DATOS!$D14264&amp;"|"&amp;DATOS!$E14264&amp;"|"&amp;DATOS!$I14264)</f>
      </c>
      <c r="G14264">
        <f>IF(DATOS!$A14264="",0,IF(CONFIG_METADATA!$B$4&lt;&gt;"OR+EX",--(DATOS!$G14264=CONFIG_METADATA!$B$4),IF(DATOS!$G14264="EX",1,IF(DATOS!$G14264="OR",--(COUNTIFS(nNIA,DATOS!$A14264,nCURSO,DATOS!$D14264,nESPEC,DATOS!$E14264,nASIG,DATOS!$I14264,nEVAL,"EX")=0),0))))</f>
      </c>
      <c r="H14264">
        <f>IF(DATOS!$G14264&lt;&gt;"EX",0,--(COUNTIFS(nNIA,DATOS!$A14264,nCURSO,DATOS!$D14264,nESPEC,DATOS!$E14264,nASIG,DATOS!$I14264,nEVAL,"OR")=0))</f>
      </c>
      <c r="I14264">
        <f>IF(DATOS!$I14264="","",IFERROR(VLOOKUP(DATOS!$I14264,CONFIG_ASIGNATURAS!$B$2:$J$91,9,FALSE()),""))</f>
      </c>
    </row>
    <row r="14265">
      <c r="F14265">
        <f>IF(DATOS!$A14265="","",DATOS!$A14265&amp;"|"&amp;DATOS!$D14265&amp;"|"&amp;DATOS!$E14265&amp;"|"&amp;DATOS!$I14265)</f>
      </c>
      <c r="G14265">
        <f>IF(DATOS!$A14265="",0,IF(CONFIG_METADATA!$B$4&lt;&gt;"OR+EX",--(DATOS!$G14265=CONFIG_METADATA!$B$4),IF(DATOS!$G14265="EX",1,IF(DATOS!$G14265="OR",--(COUNTIFS(nNIA,DATOS!$A14265,nCURSO,DATOS!$D14265,nESPEC,DATOS!$E14265,nASIG,DATOS!$I14265,nEVAL,"EX")=0),0))))</f>
      </c>
      <c r="H14265">
        <f>IF(DATOS!$G14265&lt;&gt;"EX",0,--(COUNTIFS(nNIA,DATOS!$A14265,nCURSO,DATOS!$D14265,nESPEC,DATOS!$E14265,nASIG,DATOS!$I14265,nEVAL,"OR")=0))</f>
      </c>
      <c r="I14265">
        <f>IF(DATOS!$I14265="","",IFERROR(VLOOKUP(DATOS!$I14265,CONFIG_ASIGNATURAS!$B$2:$J$91,9,FALSE()),""))</f>
      </c>
    </row>
    <row r="14266">
      <c r="F14266">
        <f>IF(DATOS!$A14266="","",DATOS!$A14266&amp;"|"&amp;DATOS!$D14266&amp;"|"&amp;DATOS!$E14266&amp;"|"&amp;DATOS!$I14266)</f>
      </c>
      <c r="G14266">
        <f>IF(DATOS!$A14266="",0,IF(CONFIG_METADATA!$B$4&lt;&gt;"OR+EX",--(DATOS!$G14266=CONFIG_METADATA!$B$4),IF(DATOS!$G14266="EX",1,IF(DATOS!$G14266="OR",--(COUNTIFS(nNIA,DATOS!$A14266,nCURSO,DATOS!$D14266,nESPEC,DATOS!$E14266,nASIG,DATOS!$I14266,nEVAL,"EX")=0),0))))</f>
      </c>
      <c r="H14266">
        <f>IF(DATOS!$G14266&lt;&gt;"EX",0,--(COUNTIFS(nNIA,DATOS!$A14266,nCURSO,DATOS!$D14266,nESPEC,DATOS!$E14266,nASIG,DATOS!$I14266,nEVAL,"OR")=0))</f>
      </c>
      <c r="I14266">
        <f>IF(DATOS!$I14266="","",IFERROR(VLOOKUP(DATOS!$I14266,CONFIG_ASIGNATURAS!$B$2:$J$91,9,FALSE()),""))</f>
      </c>
    </row>
    <row r="14267">
      <c r="F14267">
        <f>IF(DATOS!$A14267="","",DATOS!$A14267&amp;"|"&amp;DATOS!$D14267&amp;"|"&amp;DATOS!$E14267&amp;"|"&amp;DATOS!$I14267)</f>
      </c>
      <c r="G14267">
        <f>IF(DATOS!$A14267="",0,IF(CONFIG_METADATA!$B$4&lt;&gt;"OR+EX",--(DATOS!$G14267=CONFIG_METADATA!$B$4),IF(DATOS!$G14267="EX",1,IF(DATOS!$G14267="OR",--(COUNTIFS(nNIA,DATOS!$A14267,nCURSO,DATOS!$D14267,nESPEC,DATOS!$E14267,nASIG,DATOS!$I14267,nEVAL,"EX")=0),0))))</f>
      </c>
      <c r="H14267">
        <f>IF(DATOS!$G14267&lt;&gt;"EX",0,--(COUNTIFS(nNIA,DATOS!$A14267,nCURSO,DATOS!$D14267,nESPEC,DATOS!$E14267,nASIG,DATOS!$I14267,nEVAL,"OR")=0))</f>
      </c>
      <c r="I14267">
        <f>IF(DATOS!$I14267="","",IFERROR(VLOOKUP(DATOS!$I14267,CONFIG_ASIGNATURAS!$B$2:$J$91,9,FALSE()),""))</f>
      </c>
    </row>
    <row r="14268">
      <c r="F14268">
        <f>IF(DATOS!$A14268="","",DATOS!$A14268&amp;"|"&amp;DATOS!$D14268&amp;"|"&amp;DATOS!$E14268&amp;"|"&amp;DATOS!$I14268)</f>
      </c>
      <c r="G14268">
        <f>IF(DATOS!$A14268="",0,IF(CONFIG_METADATA!$B$4&lt;&gt;"OR+EX",--(DATOS!$G14268=CONFIG_METADATA!$B$4),IF(DATOS!$G14268="EX",1,IF(DATOS!$G14268="OR",--(COUNTIFS(nNIA,DATOS!$A14268,nCURSO,DATOS!$D14268,nESPEC,DATOS!$E14268,nASIG,DATOS!$I14268,nEVAL,"EX")=0),0))))</f>
      </c>
      <c r="H14268">
        <f>IF(DATOS!$G14268&lt;&gt;"EX",0,--(COUNTIFS(nNIA,DATOS!$A14268,nCURSO,DATOS!$D14268,nESPEC,DATOS!$E14268,nASIG,DATOS!$I14268,nEVAL,"OR")=0))</f>
      </c>
      <c r="I14268">
        <f>IF(DATOS!$I14268="","",IFERROR(VLOOKUP(DATOS!$I14268,CONFIG_ASIGNATURAS!$B$2:$J$91,9,FALSE()),""))</f>
      </c>
    </row>
    <row r="14269">
      <c r="F14269">
        <f>IF(DATOS!$A14269="","",DATOS!$A14269&amp;"|"&amp;DATOS!$D14269&amp;"|"&amp;DATOS!$E14269&amp;"|"&amp;DATOS!$I14269)</f>
      </c>
      <c r="G14269">
        <f>IF(DATOS!$A14269="",0,IF(CONFIG_METADATA!$B$4&lt;&gt;"OR+EX",--(DATOS!$G14269=CONFIG_METADATA!$B$4),IF(DATOS!$G14269="EX",1,IF(DATOS!$G14269="OR",--(COUNTIFS(nNIA,DATOS!$A14269,nCURSO,DATOS!$D14269,nESPEC,DATOS!$E14269,nASIG,DATOS!$I14269,nEVAL,"EX")=0),0))))</f>
      </c>
      <c r="H14269">
        <f>IF(DATOS!$G14269&lt;&gt;"EX",0,--(COUNTIFS(nNIA,DATOS!$A14269,nCURSO,DATOS!$D14269,nESPEC,DATOS!$E14269,nASIG,DATOS!$I14269,nEVAL,"OR")=0))</f>
      </c>
      <c r="I14269">
        <f>IF(DATOS!$I14269="","",IFERROR(VLOOKUP(DATOS!$I14269,CONFIG_ASIGNATURAS!$B$2:$J$91,9,FALSE()),""))</f>
      </c>
    </row>
    <row r="14270">
      <c r="F14270">
        <f>IF(DATOS!$A14270="","",DATOS!$A14270&amp;"|"&amp;DATOS!$D14270&amp;"|"&amp;DATOS!$E14270&amp;"|"&amp;DATOS!$I14270)</f>
      </c>
      <c r="G14270">
        <f>IF(DATOS!$A14270="",0,IF(CONFIG_METADATA!$B$4&lt;&gt;"OR+EX",--(DATOS!$G14270=CONFIG_METADATA!$B$4),IF(DATOS!$G14270="EX",1,IF(DATOS!$G14270="OR",--(COUNTIFS(nNIA,DATOS!$A14270,nCURSO,DATOS!$D14270,nESPEC,DATOS!$E14270,nASIG,DATOS!$I14270,nEVAL,"EX")=0),0))))</f>
      </c>
      <c r="H14270">
        <f>IF(DATOS!$G14270&lt;&gt;"EX",0,--(COUNTIFS(nNIA,DATOS!$A14270,nCURSO,DATOS!$D14270,nESPEC,DATOS!$E14270,nASIG,DATOS!$I14270,nEVAL,"OR")=0))</f>
      </c>
      <c r="I14270">
        <f>IF(DATOS!$I14270="","",IFERROR(VLOOKUP(DATOS!$I14270,CONFIG_ASIGNATURAS!$B$2:$J$91,9,FALSE()),""))</f>
      </c>
    </row>
    <row r="14271">
      <c r="F14271">
        <f>IF(DATOS!$A14271="","",DATOS!$A14271&amp;"|"&amp;DATOS!$D14271&amp;"|"&amp;DATOS!$E14271&amp;"|"&amp;DATOS!$I14271)</f>
      </c>
      <c r="G14271">
        <f>IF(DATOS!$A14271="",0,IF(CONFIG_METADATA!$B$4&lt;&gt;"OR+EX",--(DATOS!$G14271=CONFIG_METADATA!$B$4),IF(DATOS!$G14271="EX",1,IF(DATOS!$G14271="OR",--(COUNTIFS(nNIA,DATOS!$A14271,nCURSO,DATOS!$D14271,nESPEC,DATOS!$E14271,nASIG,DATOS!$I14271,nEVAL,"EX")=0),0))))</f>
      </c>
      <c r="H14271">
        <f>IF(DATOS!$G14271&lt;&gt;"EX",0,--(COUNTIFS(nNIA,DATOS!$A14271,nCURSO,DATOS!$D14271,nESPEC,DATOS!$E14271,nASIG,DATOS!$I14271,nEVAL,"OR")=0))</f>
      </c>
      <c r="I14271">
        <f>IF(DATOS!$I14271="","",IFERROR(VLOOKUP(DATOS!$I14271,CONFIG_ASIGNATURAS!$B$2:$J$91,9,FALSE()),""))</f>
      </c>
    </row>
    <row r="14272">
      <c r="F14272">
        <f>IF(DATOS!$A14272="","",DATOS!$A14272&amp;"|"&amp;DATOS!$D14272&amp;"|"&amp;DATOS!$E14272&amp;"|"&amp;DATOS!$I14272)</f>
      </c>
      <c r="G14272">
        <f>IF(DATOS!$A14272="",0,IF(CONFIG_METADATA!$B$4&lt;&gt;"OR+EX",--(DATOS!$G14272=CONFIG_METADATA!$B$4),IF(DATOS!$G14272="EX",1,IF(DATOS!$G14272="OR",--(COUNTIFS(nNIA,DATOS!$A14272,nCURSO,DATOS!$D14272,nESPEC,DATOS!$E14272,nASIG,DATOS!$I14272,nEVAL,"EX")=0),0))))</f>
      </c>
      <c r="H14272">
        <f>IF(DATOS!$G14272&lt;&gt;"EX",0,--(COUNTIFS(nNIA,DATOS!$A14272,nCURSO,DATOS!$D14272,nESPEC,DATOS!$E14272,nASIG,DATOS!$I14272,nEVAL,"OR")=0))</f>
      </c>
      <c r="I14272">
        <f>IF(DATOS!$I14272="","",IFERROR(VLOOKUP(DATOS!$I14272,CONFIG_ASIGNATURAS!$B$2:$J$91,9,FALSE()),""))</f>
      </c>
    </row>
    <row r="14273">
      <c r="F14273">
        <f>IF(DATOS!$A14273="","",DATOS!$A14273&amp;"|"&amp;DATOS!$D14273&amp;"|"&amp;DATOS!$E14273&amp;"|"&amp;DATOS!$I14273)</f>
      </c>
      <c r="G14273">
        <f>IF(DATOS!$A14273="",0,IF(CONFIG_METADATA!$B$4&lt;&gt;"OR+EX",--(DATOS!$G14273=CONFIG_METADATA!$B$4),IF(DATOS!$G14273="EX",1,IF(DATOS!$G14273="OR",--(COUNTIFS(nNIA,DATOS!$A14273,nCURSO,DATOS!$D14273,nESPEC,DATOS!$E14273,nASIG,DATOS!$I14273,nEVAL,"EX")=0),0))))</f>
      </c>
      <c r="H14273">
        <f>IF(DATOS!$G14273&lt;&gt;"EX",0,--(COUNTIFS(nNIA,DATOS!$A14273,nCURSO,DATOS!$D14273,nESPEC,DATOS!$E14273,nASIG,DATOS!$I14273,nEVAL,"OR")=0))</f>
      </c>
      <c r="I14273">
        <f>IF(DATOS!$I14273="","",IFERROR(VLOOKUP(DATOS!$I14273,CONFIG_ASIGNATURAS!$B$2:$J$91,9,FALSE()),""))</f>
      </c>
    </row>
    <row r="14274">
      <c r="F14274">
        <f>IF(DATOS!$A14274="","",DATOS!$A14274&amp;"|"&amp;DATOS!$D14274&amp;"|"&amp;DATOS!$E14274&amp;"|"&amp;DATOS!$I14274)</f>
      </c>
      <c r="G14274">
        <f>IF(DATOS!$A14274="",0,IF(CONFIG_METADATA!$B$4&lt;&gt;"OR+EX",--(DATOS!$G14274=CONFIG_METADATA!$B$4),IF(DATOS!$G14274="EX",1,IF(DATOS!$G14274="OR",--(COUNTIFS(nNIA,DATOS!$A14274,nCURSO,DATOS!$D14274,nESPEC,DATOS!$E14274,nASIG,DATOS!$I14274,nEVAL,"EX")=0),0))))</f>
      </c>
      <c r="H14274">
        <f>IF(DATOS!$G14274&lt;&gt;"EX",0,--(COUNTIFS(nNIA,DATOS!$A14274,nCURSO,DATOS!$D14274,nESPEC,DATOS!$E14274,nASIG,DATOS!$I14274,nEVAL,"OR")=0))</f>
      </c>
      <c r="I14274">
        <f>IF(DATOS!$I14274="","",IFERROR(VLOOKUP(DATOS!$I14274,CONFIG_ASIGNATURAS!$B$2:$J$91,9,FALSE()),""))</f>
      </c>
    </row>
    <row r="14275">
      <c r="F14275">
        <f>IF(DATOS!$A14275="","",DATOS!$A14275&amp;"|"&amp;DATOS!$D14275&amp;"|"&amp;DATOS!$E14275&amp;"|"&amp;DATOS!$I14275)</f>
      </c>
      <c r="G14275">
        <f>IF(DATOS!$A14275="",0,IF(CONFIG_METADATA!$B$4&lt;&gt;"OR+EX",--(DATOS!$G14275=CONFIG_METADATA!$B$4),IF(DATOS!$G14275="EX",1,IF(DATOS!$G14275="OR",--(COUNTIFS(nNIA,DATOS!$A14275,nCURSO,DATOS!$D14275,nESPEC,DATOS!$E14275,nASIG,DATOS!$I14275,nEVAL,"EX")=0),0))))</f>
      </c>
      <c r="H14275">
        <f>IF(DATOS!$G14275&lt;&gt;"EX",0,--(COUNTIFS(nNIA,DATOS!$A14275,nCURSO,DATOS!$D14275,nESPEC,DATOS!$E14275,nASIG,DATOS!$I14275,nEVAL,"OR")=0))</f>
      </c>
      <c r="I14275">
        <f>IF(DATOS!$I14275="","",IFERROR(VLOOKUP(DATOS!$I14275,CONFIG_ASIGNATURAS!$B$2:$J$91,9,FALSE()),""))</f>
      </c>
    </row>
    <row r="14276">
      <c r="F14276">
        <f>IF(DATOS!$A14276="","",DATOS!$A14276&amp;"|"&amp;DATOS!$D14276&amp;"|"&amp;DATOS!$E14276&amp;"|"&amp;DATOS!$I14276)</f>
      </c>
      <c r="G14276">
        <f>IF(DATOS!$A14276="",0,IF(CONFIG_METADATA!$B$4&lt;&gt;"OR+EX",--(DATOS!$G14276=CONFIG_METADATA!$B$4),IF(DATOS!$G14276="EX",1,IF(DATOS!$G14276="OR",--(COUNTIFS(nNIA,DATOS!$A14276,nCURSO,DATOS!$D14276,nESPEC,DATOS!$E14276,nASIG,DATOS!$I14276,nEVAL,"EX")=0),0))))</f>
      </c>
      <c r="H14276">
        <f>IF(DATOS!$G14276&lt;&gt;"EX",0,--(COUNTIFS(nNIA,DATOS!$A14276,nCURSO,DATOS!$D14276,nESPEC,DATOS!$E14276,nASIG,DATOS!$I14276,nEVAL,"OR")=0))</f>
      </c>
      <c r="I14276">
        <f>IF(DATOS!$I14276="","",IFERROR(VLOOKUP(DATOS!$I14276,CONFIG_ASIGNATURAS!$B$2:$J$91,9,FALSE()),""))</f>
      </c>
    </row>
    <row r="14277">
      <c r="F14277">
        <f>IF(DATOS!$A14277="","",DATOS!$A14277&amp;"|"&amp;DATOS!$D14277&amp;"|"&amp;DATOS!$E14277&amp;"|"&amp;DATOS!$I14277)</f>
      </c>
      <c r="G14277">
        <f>IF(DATOS!$A14277="",0,IF(CONFIG_METADATA!$B$4&lt;&gt;"OR+EX",--(DATOS!$G14277=CONFIG_METADATA!$B$4),IF(DATOS!$G14277="EX",1,IF(DATOS!$G14277="OR",--(COUNTIFS(nNIA,DATOS!$A14277,nCURSO,DATOS!$D14277,nESPEC,DATOS!$E14277,nASIG,DATOS!$I14277,nEVAL,"EX")=0),0))))</f>
      </c>
      <c r="H14277">
        <f>IF(DATOS!$G14277&lt;&gt;"EX",0,--(COUNTIFS(nNIA,DATOS!$A14277,nCURSO,DATOS!$D14277,nESPEC,DATOS!$E14277,nASIG,DATOS!$I14277,nEVAL,"OR")=0))</f>
      </c>
      <c r="I14277">
        <f>IF(DATOS!$I14277="","",IFERROR(VLOOKUP(DATOS!$I14277,CONFIG_ASIGNATURAS!$B$2:$J$91,9,FALSE()),""))</f>
      </c>
    </row>
    <row r="14278">
      <c r="F14278">
        <f>IF(DATOS!$A14278="","",DATOS!$A14278&amp;"|"&amp;DATOS!$D14278&amp;"|"&amp;DATOS!$E14278&amp;"|"&amp;DATOS!$I14278)</f>
      </c>
      <c r="G14278">
        <f>IF(DATOS!$A14278="",0,IF(CONFIG_METADATA!$B$4&lt;&gt;"OR+EX",--(DATOS!$G14278=CONFIG_METADATA!$B$4),IF(DATOS!$G14278="EX",1,IF(DATOS!$G14278="OR",--(COUNTIFS(nNIA,DATOS!$A14278,nCURSO,DATOS!$D14278,nESPEC,DATOS!$E14278,nASIG,DATOS!$I14278,nEVAL,"EX")=0),0))))</f>
      </c>
      <c r="H14278">
        <f>IF(DATOS!$G14278&lt;&gt;"EX",0,--(COUNTIFS(nNIA,DATOS!$A14278,nCURSO,DATOS!$D14278,nESPEC,DATOS!$E14278,nASIG,DATOS!$I14278,nEVAL,"OR")=0))</f>
      </c>
      <c r="I14278">
        <f>IF(DATOS!$I14278="","",IFERROR(VLOOKUP(DATOS!$I14278,CONFIG_ASIGNATURAS!$B$2:$J$91,9,FALSE()),""))</f>
      </c>
    </row>
    <row r="14279">
      <c r="F14279">
        <f>IF(DATOS!$A14279="","",DATOS!$A14279&amp;"|"&amp;DATOS!$D14279&amp;"|"&amp;DATOS!$E14279&amp;"|"&amp;DATOS!$I14279)</f>
      </c>
      <c r="G14279">
        <f>IF(DATOS!$A14279="",0,IF(CONFIG_METADATA!$B$4&lt;&gt;"OR+EX",--(DATOS!$G14279=CONFIG_METADATA!$B$4),IF(DATOS!$G14279="EX",1,IF(DATOS!$G14279="OR",--(COUNTIFS(nNIA,DATOS!$A14279,nCURSO,DATOS!$D14279,nESPEC,DATOS!$E14279,nASIG,DATOS!$I14279,nEVAL,"EX")=0),0))))</f>
      </c>
      <c r="H14279">
        <f>IF(DATOS!$G14279&lt;&gt;"EX",0,--(COUNTIFS(nNIA,DATOS!$A14279,nCURSO,DATOS!$D14279,nESPEC,DATOS!$E14279,nASIG,DATOS!$I14279,nEVAL,"OR")=0))</f>
      </c>
      <c r="I14279">
        <f>IF(DATOS!$I14279="","",IFERROR(VLOOKUP(DATOS!$I14279,CONFIG_ASIGNATURAS!$B$2:$J$91,9,FALSE()),""))</f>
      </c>
    </row>
    <row r="14280">
      <c r="F14280">
        <f>IF(DATOS!$A14280="","",DATOS!$A14280&amp;"|"&amp;DATOS!$D14280&amp;"|"&amp;DATOS!$E14280&amp;"|"&amp;DATOS!$I14280)</f>
      </c>
      <c r="G14280">
        <f>IF(DATOS!$A14280="",0,IF(CONFIG_METADATA!$B$4&lt;&gt;"OR+EX",--(DATOS!$G14280=CONFIG_METADATA!$B$4),IF(DATOS!$G14280="EX",1,IF(DATOS!$G14280="OR",--(COUNTIFS(nNIA,DATOS!$A14280,nCURSO,DATOS!$D14280,nESPEC,DATOS!$E14280,nASIG,DATOS!$I14280,nEVAL,"EX")=0),0))))</f>
      </c>
      <c r="H14280">
        <f>IF(DATOS!$G14280&lt;&gt;"EX",0,--(COUNTIFS(nNIA,DATOS!$A14280,nCURSO,DATOS!$D14280,nESPEC,DATOS!$E14280,nASIG,DATOS!$I14280,nEVAL,"OR")=0))</f>
      </c>
      <c r="I14280">
        <f>IF(DATOS!$I14280="","",IFERROR(VLOOKUP(DATOS!$I14280,CONFIG_ASIGNATURAS!$B$2:$J$91,9,FALSE()),""))</f>
      </c>
    </row>
    <row r="14281">
      <c r="F14281">
        <f>IF(DATOS!$A14281="","",DATOS!$A14281&amp;"|"&amp;DATOS!$D14281&amp;"|"&amp;DATOS!$E14281&amp;"|"&amp;DATOS!$I14281)</f>
      </c>
      <c r="G14281">
        <f>IF(DATOS!$A14281="",0,IF(CONFIG_METADATA!$B$4&lt;&gt;"OR+EX",--(DATOS!$G14281=CONFIG_METADATA!$B$4),IF(DATOS!$G14281="EX",1,IF(DATOS!$G14281="OR",--(COUNTIFS(nNIA,DATOS!$A14281,nCURSO,DATOS!$D14281,nESPEC,DATOS!$E14281,nASIG,DATOS!$I14281,nEVAL,"EX")=0),0))))</f>
      </c>
      <c r="H14281">
        <f>IF(DATOS!$G14281&lt;&gt;"EX",0,--(COUNTIFS(nNIA,DATOS!$A14281,nCURSO,DATOS!$D14281,nESPEC,DATOS!$E14281,nASIG,DATOS!$I14281,nEVAL,"OR")=0))</f>
      </c>
      <c r="I14281">
        <f>IF(DATOS!$I14281="","",IFERROR(VLOOKUP(DATOS!$I14281,CONFIG_ASIGNATURAS!$B$2:$J$91,9,FALSE()),""))</f>
      </c>
    </row>
    <row r="14282">
      <c r="F14282">
        <f>IF(DATOS!$A14282="","",DATOS!$A14282&amp;"|"&amp;DATOS!$D14282&amp;"|"&amp;DATOS!$E14282&amp;"|"&amp;DATOS!$I14282)</f>
      </c>
      <c r="G14282">
        <f>IF(DATOS!$A14282="",0,IF(CONFIG_METADATA!$B$4&lt;&gt;"OR+EX",--(DATOS!$G14282=CONFIG_METADATA!$B$4),IF(DATOS!$G14282="EX",1,IF(DATOS!$G14282="OR",--(COUNTIFS(nNIA,DATOS!$A14282,nCURSO,DATOS!$D14282,nESPEC,DATOS!$E14282,nASIG,DATOS!$I14282,nEVAL,"EX")=0),0))))</f>
      </c>
      <c r="H14282">
        <f>IF(DATOS!$G14282&lt;&gt;"EX",0,--(COUNTIFS(nNIA,DATOS!$A14282,nCURSO,DATOS!$D14282,nESPEC,DATOS!$E14282,nASIG,DATOS!$I14282,nEVAL,"OR")=0))</f>
      </c>
      <c r="I14282">
        <f>IF(DATOS!$I14282="","",IFERROR(VLOOKUP(DATOS!$I14282,CONFIG_ASIGNATURAS!$B$2:$J$91,9,FALSE()),""))</f>
      </c>
    </row>
    <row r="14283">
      <c r="F14283">
        <f>IF(DATOS!$A14283="","",DATOS!$A14283&amp;"|"&amp;DATOS!$D14283&amp;"|"&amp;DATOS!$E14283&amp;"|"&amp;DATOS!$I14283)</f>
      </c>
      <c r="G14283">
        <f>IF(DATOS!$A14283="",0,IF(CONFIG_METADATA!$B$4&lt;&gt;"OR+EX",--(DATOS!$G14283=CONFIG_METADATA!$B$4),IF(DATOS!$G14283="EX",1,IF(DATOS!$G14283="OR",--(COUNTIFS(nNIA,DATOS!$A14283,nCURSO,DATOS!$D14283,nESPEC,DATOS!$E14283,nASIG,DATOS!$I14283,nEVAL,"EX")=0),0))))</f>
      </c>
      <c r="H14283">
        <f>IF(DATOS!$G14283&lt;&gt;"EX",0,--(COUNTIFS(nNIA,DATOS!$A14283,nCURSO,DATOS!$D14283,nESPEC,DATOS!$E14283,nASIG,DATOS!$I14283,nEVAL,"OR")=0))</f>
      </c>
      <c r="I14283">
        <f>IF(DATOS!$I14283="","",IFERROR(VLOOKUP(DATOS!$I14283,CONFIG_ASIGNATURAS!$B$2:$J$91,9,FALSE()),""))</f>
      </c>
    </row>
    <row r="14284">
      <c r="F14284">
        <f>IF(DATOS!$A14284="","",DATOS!$A14284&amp;"|"&amp;DATOS!$D14284&amp;"|"&amp;DATOS!$E14284&amp;"|"&amp;DATOS!$I14284)</f>
      </c>
      <c r="G14284">
        <f>IF(DATOS!$A14284="",0,IF(CONFIG_METADATA!$B$4&lt;&gt;"OR+EX",--(DATOS!$G14284=CONFIG_METADATA!$B$4),IF(DATOS!$G14284="EX",1,IF(DATOS!$G14284="OR",--(COUNTIFS(nNIA,DATOS!$A14284,nCURSO,DATOS!$D14284,nESPEC,DATOS!$E14284,nASIG,DATOS!$I14284,nEVAL,"EX")=0),0))))</f>
      </c>
      <c r="H14284">
        <f>IF(DATOS!$G14284&lt;&gt;"EX",0,--(COUNTIFS(nNIA,DATOS!$A14284,nCURSO,DATOS!$D14284,nESPEC,DATOS!$E14284,nASIG,DATOS!$I14284,nEVAL,"OR")=0))</f>
      </c>
      <c r="I14284">
        <f>IF(DATOS!$I14284="","",IFERROR(VLOOKUP(DATOS!$I14284,CONFIG_ASIGNATURAS!$B$2:$J$91,9,FALSE()),""))</f>
      </c>
    </row>
    <row r="14285">
      <c r="F14285">
        <f>IF(DATOS!$A14285="","",DATOS!$A14285&amp;"|"&amp;DATOS!$D14285&amp;"|"&amp;DATOS!$E14285&amp;"|"&amp;DATOS!$I14285)</f>
      </c>
      <c r="G14285">
        <f>IF(DATOS!$A14285="",0,IF(CONFIG_METADATA!$B$4&lt;&gt;"OR+EX",--(DATOS!$G14285=CONFIG_METADATA!$B$4),IF(DATOS!$G14285="EX",1,IF(DATOS!$G14285="OR",--(COUNTIFS(nNIA,DATOS!$A14285,nCURSO,DATOS!$D14285,nESPEC,DATOS!$E14285,nASIG,DATOS!$I14285,nEVAL,"EX")=0),0))))</f>
      </c>
      <c r="H14285">
        <f>IF(DATOS!$G14285&lt;&gt;"EX",0,--(COUNTIFS(nNIA,DATOS!$A14285,nCURSO,DATOS!$D14285,nESPEC,DATOS!$E14285,nASIG,DATOS!$I14285,nEVAL,"OR")=0))</f>
      </c>
      <c r="I14285">
        <f>IF(DATOS!$I14285="","",IFERROR(VLOOKUP(DATOS!$I14285,CONFIG_ASIGNATURAS!$B$2:$J$91,9,FALSE()),""))</f>
      </c>
    </row>
    <row r="14286">
      <c r="F14286">
        <f>IF(DATOS!$A14286="","",DATOS!$A14286&amp;"|"&amp;DATOS!$D14286&amp;"|"&amp;DATOS!$E14286&amp;"|"&amp;DATOS!$I14286)</f>
      </c>
      <c r="G14286">
        <f>IF(DATOS!$A14286="",0,IF(CONFIG_METADATA!$B$4&lt;&gt;"OR+EX",--(DATOS!$G14286=CONFIG_METADATA!$B$4),IF(DATOS!$G14286="EX",1,IF(DATOS!$G14286="OR",--(COUNTIFS(nNIA,DATOS!$A14286,nCURSO,DATOS!$D14286,nESPEC,DATOS!$E14286,nASIG,DATOS!$I14286,nEVAL,"EX")=0),0))))</f>
      </c>
      <c r="H14286">
        <f>IF(DATOS!$G14286&lt;&gt;"EX",0,--(COUNTIFS(nNIA,DATOS!$A14286,nCURSO,DATOS!$D14286,nESPEC,DATOS!$E14286,nASIG,DATOS!$I14286,nEVAL,"OR")=0))</f>
      </c>
      <c r="I14286">
        <f>IF(DATOS!$I14286="","",IFERROR(VLOOKUP(DATOS!$I14286,CONFIG_ASIGNATURAS!$B$2:$J$91,9,FALSE()),""))</f>
      </c>
    </row>
    <row r="14287">
      <c r="F14287">
        <f>IF(DATOS!$A14287="","",DATOS!$A14287&amp;"|"&amp;DATOS!$D14287&amp;"|"&amp;DATOS!$E14287&amp;"|"&amp;DATOS!$I14287)</f>
      </c>
      <c r="G14287">
        <f>IF(DATOS!$A14287="",0,IF(CONFIG_METADATA!$B$4&lt;&gt;"OR+EX",--(DATOS!$G14287=CONFIG_METADATA!$B$4),IF(DATOS!$G14287="EX",1,IF(DATOS!$G14287="OR",--(COUNTIFS(nNIA,DATOS!$A14287,nCURSO,DATOS!$D14287,nESPEC,DATOS!$E14287,nASIG,DATOS!$I14287,nEVAL,"EX")=0),0))))</f>
      </c>
      <c r="H14287">
        <f>IF(DATOS!$G14287&lt;&gt;"EX",0,--(COUNTIFS(nNIA,DATOS!$A14287,nCURSO,DATOS!$D14287,nESPEC,DATOS!$E14287,nASIG,DATOS!$I14287,nEVAL,"OR")=0))</f>
      </c>
      <c r="I14287">
        <f>IF(DATOS!$I14287="","",IFERROR(VLOOKUP(DATOS!$I14287,CONFIG_ASIGNATURAS!$B$2:$J$91,9,FALSE()),""))</f>
      </c>
    </row>
    <row r="14288">
      <c r="F14288">
        <f>IF(DATOS!$A14288="","",DATOS!$A14288&amp;"|"&amp;DATOS!$D14288&amp;"|"&amp;DATOS!$E14288&amp;"|"&amp;DATOS!$I14288)</f>
      </c>
      <c r="G14288">
        <f>IF(DATOS!$A14288="",0,IF(CONFIG_METADATA!$B$4&lt;&gt;"OR+EX",--(DATOS!$G14288=CONFIG_METADATA!$B$4),IF(DATOS!$G14288="EX",1,IF(DATOS!$G14288="OR",--(COUNTIFS(nNIA,DATOS!$A14288,nCURSO,DATOS!$D14288,nESPEC,DATOS!$E14288,nASIG,DATOS!$I14288,nEVAL,"EX")=0),0))))</f>
      </c>
      <c r="H14288">
        <f>IF(DATOS!$G14288&lt;&gt;"EX",0,--(COUNTIFS(nNIA,DATOS!$A14288,nCURSO,DATOS!$D14288,nESPEC,DATOS!$E14288,nASIG,DATOS!$I14288,nEVAL,"OR")=0))</f>
      </c>
      <c r="I14288">
        <f>IF(DATOS!$I14288="","",IFERROR(VLOOKUP(DATOS!$I14288,CONFIG_ASIGNATURAS!$B$2:$J$91,9,FALSE()),""))</f>
      </c>
    </row>
    <row r="14289">
      <c r="F14289">
        <f>IF(DATOS!$A14289="","",DATOS!$A14289&amp;"|"&amp;DATOS!$D14289&amp;"|"&amp;DATOS!$E14289&amp;"|"&amp;DATOS!$I14289)</f>
      </c>
      <c r="G14289">
        <f>IF(DATOS!$A14289="",0,IF(CONFIG_METADATA!$B$4&lt;&gt;"OR+EX",--(DATOS!$G14289=CONFIG_METADATA!$B$4),IF(DATOS!$G14289="EX",1,IF(DATOS!$G14289="OR",--(COUNTIFS(nNIA,DATOS!$A14289,nCURSO,DATOS!$D14289,nESPEC,DATOS!$E14289,nASIG,DATOS!$I14289,nEVAL,"EX")=0),0))))</f>
      </c>
      <c r="H14289">
        <f>IF(DATOS!$G14289&lt;&gt;"EX",0,--(COUNTIFS(nNIA,DATOS!$A14289,nCURSO,DATOS!$D14289,nESPEC,DATOS!$E14289,nASIG,DATOS!$I14289,nEVAL,"OR")=0))</f>
      </c>
      <c r="I14289">
        <f>IF(DATOS!$I14289="","",IFERROR(VLOOKUP(DATOS!$I14289,CONFIG_ASIGNATURAS!$B$2:$J$91,9,FALSE()),""))</f>
      </c>
    </row>
    <row r="14290">
      <c r="F14290">
        <f>IF(DATOS!$A14290="","",DATOS!$A14290&amp;"|"&amp;DATOS!$D14290&amp;"|"&amp;DATOS!$E14290&amp;"|"&amp;DATOS!$I14290)</f>
      </c>
      <c r="G14290">
        <f>IF(DATOS!$A14290="",0,IF(CONFIG_METADATA!$B$4&lt;&gt;"OR+EX",--(DATOS!$G14290=CONFIG_METADATA!$B$4),IF(DATOS!$G14290="EX",1,IF(DATOS!$G14290="OR",--(COUNTIFS(nNIA,DATOS!$A14290,nCURSO,DATOS!$D14290,nESPEC,DATOS!$E14290,nASIG,DATOS!$I14290,nEVAL,"EX")=0),0))))</f>
      </c>
      <c r="H14290">
        <f>IF(DATOS!$G14290&lt;&gt;"EX",0,--(COUNTIFS(nNIA,DATOS!$A14290,nCURSO,DATOS!$D14290,nESPEC,DATOS!$E14290,nASIG,DATOS!$I14290,nEVAL,"OR")=0))</f>
      </c>
      <c r="I14290">
        <f>IF(DATOS!$I14290="","",IFERROR(VLOOKUP(DATOS!$I14290,CONFIG_ASIGNATURAS!$B$2:$J$91,9,FALSE()),""))</f>
      </c>
    </row>
    <row r="14291">
      <c r="F14291">
        <f>IF(DATOS!$A14291="","",DATOS!$A14291&amp;"|"&amp;DATOS!$D14291&amp;"|"&amp;DATOS!$E14291&amp;"|"&amp;DATOS!$I14291)</f>
      </c>
      <c r="G14291">
        <f>IF(DATOS!$A14291="",0,IF(CONFIG_METADATA!$B$4&lt;&gt;"OR+EX",--(DATOS!$G14291=CONFIG_METADATA!$B$4),IF(DATOS!$G14291="EX",1,IF(DATOS!$G14291="OR",--(COUNTIFS(nNIA,DATOS!$A14291,nCURSO,DATOS!$D14291,nESPEC,DATOS!$E14291,nASIG,DATOS!$I14291,nEVAL,"EX")=0),0))))</f>
      </c>
      <c r="H14291">
        <f>IF(DATOS!$G14291&lt;&gt;"EX",0,--(COUNTIFS(nNIA,DATOS!$A14291,nCURSO,DATOS!$D14291,nESPEC,DATOS!$E14291,nASIG,DATOS!$I14291,nEVAL,"OR")=0))</f>
      </c>
      <c r="I14291">
        <f>IF(DATOS!$I14291="","",IFERROR(VLOOKUP(DATOS!$I14291,CONFIG_ASIGNATURAS!$B$2:$J$91,9,FALSE()),""))</f>
      </c>
    </row>
    <row r="14292">
      <c r="F14292">
        <f>IF(DATOS!$A14292="","",DATOS!$A14292&amp;"|"&amp;DATOS!$D14292&amp;"|"&amp;DATOS!$E14292&amp;"|"&amp;DATOS!$I14292)</f>
      </c>
      <c r="G14292">
        <f>IF(DATOS!$A14292="",0,IF(CONFIG_METADATA!$B$4&lt;&gt;"OR+EX",--(DATOS!$G14292=CONFIG_METADATA!$B$4),IF(DATOS!$G14292="EX",1,IF(DATOS!$G14292="OR",--(COUNTIFS(nNIA,DATOS!$A14292,nCURSO,DATOS!$D14292,nESPEC,DATOS!$E14292,nASIG,DATOS!$I14292,nEVAL,"EX")=0),0))))</f>
      </c>
      <c r="H14292">
        <f>IF(DATOS!$G14292&lt;&gt;"EX",0,--(COUNTIFS(nNIA,DATOS!$A14292,nCURSO,DATOS!$D14292,nESPEC,DATOS!$E14292,nASIG,DATOS!$I14292,nEVAL,"OR")=0))</f>
      </c>
      <c r="I14292">
        <f>IF(DATOS!$I14292="","",IFERROR(VLOOKUP(DATOS!$I14292,CONFIG_ASIGNATURAS!$B$2:$J$91,9,FALSE()),""))</f>
      </c>
    </row>
    <row r="14293">
      <c r="F14293">
        <f>IF(DATOS!$A14293="","",DATOS!$A14293&amp;"|"&amp;DATOS!$D14293&amp;"|"&amp;DATOS!$E14293&amp;"|"&amp;DATOS!$I14293)</f>
      </c>
      <c r="G14293">
        <f>IF(DATOS!$A14293="",0,IF(CONFIG_METADATA!$B$4&lt;&gt;"OR+EX",--(DATOS!$G14293=CONFIG_METADATA!$B$4),IF(DATOS!$G14293="EX",1,IF(DATOS!$G14293="OR",--(COUNTIFS(nNIA,DATOS!$A14293,nCURSO,DATOS!$D14293,nESPEC,DATOS!$E14293,nASIG,DATOS!$I14293,nEVAL,"EX")=0),0))))</f>
      </c>
      <c r="H14293">
        <f>IF(DATOS!$G14293&lt;&gt;"EX",0,--(COUNTIFS(nNIA,DATOS!$A14293,nCURSO,DATOS!$D14293,nESPEC,DATOS!$E14293,nASIG,DATOS!$I14293,nEVAL,"OR")=0))</f>
      </c>
      <c r="I14293">
        <f>IF(DATOS!$I14293="","",IFERROR(VLOOKUP(DATOS!$I14293,CONFIG_ASIGNATURAS!$B$2:$J$91,9,FALSE()),""))</f>
      </c>
    </row>
    <row r="14294">
      <c r="F14294">
        <f>IF(DATOS!$A14294="","",DATOS!$A14294&amp;"|"&amp;DATOS!$D14294&amp;"|"&amp;DATOS!$E14294&amp;"|"&amp;DATOS!$I14294)</f>
      </c>
      <c r="G14294">
        <f>IF(DATOS!$A14294="",0,IF(CONFIG_METADATA!$B$4&lt;&gt;"OR+EX",--(DATOS!$G14294=CONFIG_METADATA!$B$4),IF(DATOS!$G14294="EX",1,IF(DATOS!$G14294="OR",--(COUNTIFS(nNIA,DATOS!$A14294,nCURSO,DATOS!$D14294,nESPEC,DATOS!$E14294,nASIG,DATOS!$I14294,nEVAL,"EX")=0),0))))</f>
      </c>
      <c r="H14294">
        <f>IF(DATOS!$G14294&lt;&gt;"EX",0,--(COUNTIFS(nNIA,DATOS!$A14294,nCURSO,DATOS!$D14294,nESPEC,DATOS!$E14294,nASIG,DATOS!$I14294,nEVAL,"OR")=0))</f>
      </c>
      <c r="I14294">
        <f>IF(DATOS!$I14294="","",IFERROR(VLOOKUP(DATOS!$I14294,CONFIG_ASIGNATURAS!$B$2:$J$91,9,FALSE()),""))</f>
      </c>
    </row>
    <row r="14295">
      <c r="F14295">
        <f>IF(DATOS!$A14295="","",DATOS!$A14295&amp;"|"&amp;DATOS!$D14295&amp;"|"&amp;DATOS!$E14295&amp;"|"&amp;DATOS!$I14295)</f>
      </c>
      <c r="G14295">
        <f>IF(DATOS!$A14295="",0,IF(CONFIG_METADATA!$B$4&lt;&gt;"OR+EX",--(DATOS!$G14295=CONFIG_METADATA!$B$4),IF(DATOS!$G14295="EX",1,IF(DATOS!$G14295="OR",--(COUNTIFS(nNIA,DATOS!$A14295,nCURSO,DATOS!$D14295,nESPEC,DATOS!$E14295,nASIG,DATOS!$I14295,nEVAL,"EX")=0),0))))</f>
      </c>
      <c r="H14295">
        <f>IF(DATOS!$G14295&lt;&gt;"EX",0,--(COUNTIFS(nNIA,DATOS!$A14295,nCURSO,DATOS!$D14295,nESPEC,DATOS!$E14295,nASIG,DATOS!$I14295,nEVAL,"OR")=0))</f>
      </c>
      <c r="I14295">
        <f>IF(DATOS!$I14295="","",IFERROR(VLOOKUP(DATOS!$I14295,CONFIG_ASIGNATURAS!$B$2:$J$91,9,FALSE()),""))</f>
      </c>
    </row>
    <row r="14296">
      <c r="F14296">
        <f>IF(DATOS!$A14296="","",DATOS!$A14296&amp;"|"&amp;DATOS!$D14296&amp;"|"&amp;DATOS!$E14296&amp;"|"&amp;DATOS!$I14296)</f>
      </c>
      <c r="G14296">
        <f>IF(DATOS!$A14296="",0,IF(CONFIG_METADATA!$B$4&lt;&gt;"OR+EX",--(DATOS!$G14296=CONFIG_METADATA!$B$4),IF(DATOS!$G14296="EX",1,IF(DATOS!$G14296="OR",--(COUNTIFS(nNIA,DATOS!$A14296,nCURSO,DATOS!$D14296,nESPEC,DATOS!$E14296,nASIG,DATOS!$I14296,nEVAL,"EX")=0),0))))</f>
      </c>
      <c r="H14296">
        <f>IF(DATOS!$G14296&lt;&gt;"EX",0,--(COUNTIFS(nNIA,DATOS!$A14296,nCURSO,DATOS!$D14296,nESPEC,DATOS!$E14296,nASIG,DATOS!$I14296,nEVAL,"OR")=0))</f>
      </c>
      <c r="I14296">
        <f>IF(DATOS!$I14296="","",IFERROR(VLOOKUP(DATOS!$I14296,CONFIG_ASIGNATURAS!$B$2:$J$91,9,FALSE()),""))</f>
      </c>
    </row>
    <row r="14297">
      <c r="F14297">
        <f>IF(DATOS!$A14297="","",DATOS!$A14297&amp;"|"&amp;DATOS!$D14297&amp;"|"&amp;DATOS!$E14297&amp;"|"&amp;DATOS!$I14297)</f>
      </c>
      <c r="G14297">
        <f>IF(DATOS!$A14297="",0,IF(CONFIG_METADATA!$B$4&lt;&gt;"OR+EX",--(DATOS!$G14297=CONFIG_METADATA!$B$4),IF(DATOS!$G14297="EX",1,IF(DATOS!$G14297="OR",--(COUNTIFS(nNIA,DATOS!$A14297,nCURSO,DATOS!$D14297,nESPEC,DATOS!$E14297,nASIG,DATOS!$I14297,nEVAL,"EX")=0),0))))</f>
      </c>
      <c r="H14297">
        <f>IF(DATOS!$G14297&lt;&gt;"EX",0,--(COUNTIFS(nNIA,DATOS!$A14297,nCURSO,DATOS!$D14297,nESPEC,DATOS!$E14297,nASIG,DATOS!$I14297,nEVAL,"OR")=0))</f>
      </c>
      <c r="I14297">
        <f>IF(DATOS!$I14297="","",IFERROR(VLOOKUP(DATOS!$I14297,CONFIG_ASIGNATURAS!$B$2:$J$91,9,FALSE()),""))</f>
      </c>
    </row>
    <row r="14298">
      <c r="F14298">
        <f>IF(DATOS!$A14298="","",DATOS!$A14298&amp;"|"&amp;DATOS!$D14298&amp;"|"&amp;DATOS!$E14298&amp;"|"&amp;DATOS!$I14298)</f>
      </c>
      <c r="G14298">
        <f>IF(DATOS!$A14298="",0,IF(CONFIG_METADATA!$B$4&lt;&gt;"OR+EX",--(DATOS!$G14298=CONFIG_METADATA!$B$4),IF(DATOS!$G14298="EX",1,IF(DATOS!$G14298="OR",--(COUNTIFS(nNIA,DATOS!$A14298,nCURSO,DATOS!$D14298,nESPEC,DATOS!$E14298,nASIG,DATOS!$I14298,nEVAL,"EX")=0),0))))</f>
      </c>
      <c r="H14298">
        <f>IF(DATOS!$G14298&lt;&gt;"EX",0,--(COUNTIFS(nNIA,DATOS!$A14298,nCURSO,DATOS!$D14298,nESPEC,DATOS!$E14298,nASIG,DATOS!$I14298,nEVAL,"OR")=0))</f>
      </c>
      <c r="I14298">
        <f>IF(DATOS!$I14298="","",IFERROR(VLOOKUP(DATOS!$I14298,CONFIG_ASIGNATURAS!$B$2:$J$91,9,FALSE()),""))</f>
      </c>
    </row>
    <row r="14299">
      <c r="F14299">
        <f>IF(DATOS!$A14299="","",DATOS!$A14299&amp;"|"&amp;DATOS!$D14299&amp;"|"&amp;DATOS!$E14299&amp;"|"&amp;DATOS!$I14299)</f>
      </c>
      <c r="G14299">
        <f>IF(DATOS!$A14299="",0,IF(CONFIG_METADATA!$B$4&lt;&gt;"OR+EX",--(DATOS!$G14299=CONFIG_METADATA!$B$4),IF(DATOS!$G14299="EX",1,IF(DATOS!$G14299="OR",--(COUNTIFS(nNIA,DATOS!$A14299,nCURSO,DATOS!$D14299,nESPEC,DATOS!$E14299,nASIG,DATOS!$I14299,nEVAL,"EX")=0),0))))</f>
      </c>
      <c r="H14299">
        <f>IF(DATOS!$G14299&lt;&gt;"EX",0,--(COUNTIFS(nNIA,DATOS!$A14299,nCURSO,DATOS!$D14299,nESPEC,DATOS!$E14299,nASIG,DATOS!$I14299,nEVAL,"OR")=0))</f>
      </c>
      <c r="I14299">
        <f>IF(DATOS!$I14299="","",IFERROR(VLOOKUP(DATOS!$I14299,CONFIG_ASIGNATURAS!$B$2:$J$91,9,FALSE()),""))</f>
      </c>
    </row>
    <row r="14300">
      <c r="F14300">
        <f>IF(DATOS!$A14300="","",DATOS!$A14300&amp;"|"&amp;DATOS!$D14300&amp;"|"&amp;DATOS!$E14300&amp;"|"&amp;DATOS!$I14300)</f>
      </c>
      <c r="G14300">
        <f>IF(DATOS!$A14300="",0,IF(CONFIG_METADATA!$B$4&lt;&gt;"OR+EX",--(DATOS!$G14300=CONFIG_METADATA!$B$4),IF(DATOS!$G14300="EX",1,IF(DATOS!$G14300="OR",--(COUNTIFS(nNIA,DATOS!$A14300,nCURSO,DATOS!$D14300,nESPEC,DATOS!$E14300,nASIG,DATOS!$I14300,nEVAL,"EX")=0),0))))</f>
      </c>
      <c r="H14300">
        <f>IF(DATOS!$G14300&lt;&gt;"EX",0,--(COUNTIFS(nNIA,DATOS!$A14300,nCURSO,DATOS!$D14300,nESPEC,DATOS!$E14300,nASIG,DATOS!$I14300,nEVAL,"OR")=0))</f>
      </c>
      <c r="I14300">
        <f>IF(DATOS!$I14300="","",IFERROR(VLOOKUP(DATOS!$I14300,CONFIG_ASIGNATURAS!$B$2:$J$91,9,FALSE()),""))</f>
      </c>
    </row>
    <row r="14301">
      <c r="F14301">
        <f>IF(DATOS!$A14301="","",DATOS!$A14301&amp;"|"&amp;DATOS!$D14301&amp;"|"&amp;DATOS!$E14301&amp;"|"&amp;DATOS!$I14301)</f>
      </c>
      <c r="G14301">
        <f>IF(DATOS!$A14301="",0,IF(CONFIG_METADATA!$B$4&lt;&gt;"OR+EX",--(DATOS!$G14301=CONFIG_METADATA!$B$4),IF(DATOS!$G14301="EX",1,IF(DATOS!$G14301="OR",--(COUNTIFS(nNIA,DATOS!$A14301,nCURSO,DATOS!$D14301,nESPEC,DATOS!$E14301,nASIG,DATOS!$I14301,nEVAL,"EX")=0),0))))</f>
      </c>
      <c r="H14301">
        <f>IF(DATOS!$G14301&lt;&gt;"EX",0,--(COUNTIFS(nNIA,DATOS!$A14301,nCURSO,DATOS!$D14301,nESPEC,DATOS!$E14301,nASIG,DATOS!$I14301,nEVAL,"OR")=0))</f>
      </c>
      <c r="I14301">
        <f>IF(DATOS!$I14301="","",IFERROR(VLOOKUP(DATOS!$I14301,CONFIG_ASIGNATURAS!$B$2:$J$91,9,FALSE()),""))</f>
      </c>
    </row>
    <row r="14302">
      <c r="F14302">
        <f>IF(DATOS!$A14302="","",DATOS!$A14302&amp;"|"&amp;DATOS!$D14302&amp;"|"&amp;DATOS!$E14302&amp;"|"&amp;DATOS!$I14302)</f>
      </c>
      <c r="G14302">
        <f>IF(DATOS!$A14302="",0,IF(CONFIG_METADATA!$B$4&lt;&gt;"OR+EX",--(DATOS!$G14302=CONFIG_METADATA!$B$4),IF(DATOS!$G14302="EX",1,IF(DATOS!$G14302="OR",--(COUNTIFS(nNIA,DATOS!$A14302,nCURSO,DATOS!$D14302,nESPEC,DATOS!$E14302,nASIG,DATOS!$I14302,nEVAL,"EX")=0),0))))</f>
      </c>
      <c r="H14302">
        <f>IF(DATOS!$G14302&lt;&gt;"EX",0,--(COUNTIFS(nNIA,DATOS!$A14302,nCURSO,DATOS!$D14302,nESPEC,DATOS!$E14302,nASIG,DATOS!$I14302,nEVAL,"OR")=0))</f>
      </c>
      <c r="I14302">
        <f>IF(DATOS!$I14302="","",IFERROR(VLOOKUP(DATOS!$I14302,CONFIG_ASIGNATURAS!$B$2:$J$91,9,FALSE()),""))</f>
      </c>
    </row>
    <row r="14303">
      <c r="F14303">
        <f>IF(DATOS!$A14303="","",DATOS!$A14303&amp;"|"&amp;DATOS!$D14303&amp;"|"&amp;DATOS!$E14303&amp;"|"&amp;DATOS!$I14303)</f>
      </c>
      <c r="G14303">
        <f>IF(DATOS!$A14303="",0,IF(CONFIG_METADATA!$B$4&lt;&gt;"OR+EX",--(DATOS!$G14303=CONFIG_METADATA!$B$4),IF(DATOS!$G14303="EX",1,IF(DATOS!$G14303="OR",--(COUNTIFS(nNIA,DATOS!$A14303,nCURSO,DATOS!$D14303,nESPEC,DATOS!$E14303,nASIG,DATOS!$I14303,nEVAL,"EX")=0),0))))</f>
      </c>
      <c r="H14303">
        <f>IF(DATOS!$G14303&lt;&gt;"EX",0,--(COUNTIFS(nNIA,DATOS!$A14303,nCURSO,DATOS!$D14303,nESPEC,DATOS!$E14303,nASIG,DATOS!$I14303,nEVAL,"OR")=0))</f>
      </c>
      <c r="I14303">
        <f>IF(DATOS!$I14303="","",IFERROR(VLOOKUP(DATOS!$I14303,CONFIG_ASIGNATURAS!$B$2:$J$91,9,FALSE()),""))</f>
      </c>
    </row>
    <row r="14304">
      <c r="F14304">
        <f>IF(DATOS!$A14304="","",DATOS!$A14304&amp;"|"&amp;DATOS!$D14304&amp;"|"&amp;DATOS!$E14304&amp;"|"&amp;DATOS!$I14304)</f>
      </c>
      <c r="G14304">
        <f>IF(DATOS!$A14304="",0,IF(CONFIG_METADATA!$B$4&lt;&gt;"OR+EX",--(DATOS!$G14304=CONFIG_METADATA!$B$4),IF(DATOS!$G14304="EX",1,IF(DATOS!$G14304="OR",--(COUNTIFS(nNIA,DATOS!$A14304,nCURSO,DATOS!$D14304,nESPEC,DATOS!$E14304,nASIG,DATOS!$I14304,nEVAL,"EX")=0),0))))</f>
      </c>
      <c r="H14304">
        <f>IF(DATOS!$G14304&lt;&gt;"EX",0,--(COUNTIFS(nNIA,DATOS!$A14304,nCURSO,DATOS!$D14304,nESPEC,DATOS!$E14304,nASIG,DATOS!$I14304,nEVAL,"OR")=0))</f>
      </c>
      <c r="I14304">
        <f>IF(DATOS!$I14304="","",IFERROR(VLOOKUP(DATOS!$I14304,CONFIG_ASIGNATURAS!$B$2:$J$91,9,FALSE()),""))</f>
      </c>
    </row>
    <row r="14305">
      <c r="F14305">
        <f>IF(DATOS!$A14305="","",DATOS!$A14305&amp;"|"&amp;DATOS!$D14305&amp;"|"&amp;DATOS!$E14305&amp;"|"&amp;DATOS!$I14305)</f>
      </c>
      <c r="G14305">
        <f>IF(DATOS!$A14305="",0,IF(CONFIG_METADATA!$B$4&lt;&gt;"OR+EX",--(DATOS!$G14305=CONFIG_METADATA!$B$4),IF(DATOS!$G14305="EX",1,IF(DATOS!$G14305="OR",--(COUNTIFS(nNIA,DATOS!$A14305,nCURSO,DATOS!$D14305,nESPEC,DATOS!$E14305,nASIG,DATOS!$I14305,nEVAL,"EX")=0),0))))</f>
      </c>
      <c r="H14305">
        <f>IF(DATOS!$G14305&lt;&gt;"EX",0,--(COUNTIFS(nNIA,DATOS!$A14305,nCURSO,DATOS!$D14305,nESPEC,DATOS!$E14305,nASIG,DATOS!$I14305,nEVAL,"OR")=0))</f>
      </c>
      <c r="I14305">
        <f>IF(DATOS!$I14305="","",IFERROR(VLOOKUP(DATOS!$I14305,CONFIG_ASIGNATURAS!$B$2:$J$91,9,FALSE()),""))</f>
      </c>
    </row>
    <row r="14306">
      <c r="F14306">
        <f>IF(DATOS!$A14306="","",DATOS!$A14306&amp;"|"&amp;DATOS!$D14306&amp;"|"&amp;DATOS!$E14306&amp;"|"&amp;DATOS!$I14306)</f>
      </c>
      <c r="G14306">
        <f>IF(DATOS!$A14306="",0,IF(CONFIG_METADATA!$B$4&lt;&gt;"OR+EX",--(DATOS!$G14306=CONFIG_METADATA!$B$4),IF(DATOS!$G14306="EX",1,IF(DATOS!$G14306="OR",--(COUNTIFS(nNIA,DATOS!$A14306,nCURSO,DATOS!$D14306,nESPEC,DATOS!$E14306,nASIG,DATOS!$I14306,nEVAL,"EX")=0),0))))</f>
      </c>
      <c r="H14306">
        <f>IF(DATOS!$G14306&lt;&gt;"EX",0,--(COUNTIFS(nNIA,DATOS!$A14306,nCURSO,DATOS!$D14306,nESPEC,DATOS!$E14306,nASIG,DATOS!$I14306,nEVAL,"OR")=0))</f>
      </c>
      <c r="I14306">
        <f>IF(DATOS!$I14306="","",IFERROR(VLOOKUP(DATOS!$I14306,CONFIG_ASIGNATURAS!$B$2:$J$91,9,FALSE()),""))</f>
      </c>
    </row>
    <row r="14307">
      <c r="F14307">
        <f>IF(DATOS!$A14307="","",DATOS!$A14307&amp;"|"&amp;DATOS!$D14307&amp;"|"&amp;DATOS!$E14307&amp;"|"&amp;DATOS!$I14307)</f>
      </c>
      <c r="G14307">
        <f>IF(DATOS!$A14307="",0,IF(CONFIG_METADATA!$B$4&lt;&gt;"OR+EX",--(DATOS!$G14307=CONFIG_METADATA!$B$4),IF(DATOS!$G14307="EX",1,IF(DATOS!$G14307="OR",--(COUNTIFS(nNIA,DATOS!$A14307,nCURSO,DATOS!$D14307,nESPEC,DATOS!$E14307,nASIG,DATOS!$I14307,nEVAL,"EX")=0),0))))</f>
      </c>
      <c r="H14307">
        <f>IF(DATOS!$G14307&lt;&gt;"EX",0,--(COUNTIFS(nNIA,DATOS!$A14307,nCURSO,DATOS!$D14307,nESPEC,DATOS!$E14307,nASIG,DATOS!$I14307,nEVAL,"OR")=0))</f>
      </c>
      <c r="I14307">
        <f>IF(DATOS!$I14307="","",IFERROR(VLOOKUP(DATOS!$I14307,CONFIG_ASIGNATURAS!$B$2:$J$91,9,FALSE()),""))</f>
      </c>
    </row>
    <row r="14308">
      <c r="F14308">
        <f>IF(DATOS!$A14308="","",DATOS!$A14308&amp;"|"&amp;DATOS!$D14308&amp;"|"&amp;DATOS!$E14308&amp;"|"&amp;DATOS!$I14308)</f>
      </c>
      <c r="G14308">
        <f>IF(DATOS!$A14308="",0,IF(CONFIG_METADATA!$B$4&lt;&gt;"OR+EX",--(DATOS!$G14308=CONFIG_METADATA!$B$4),IF(DATOS!$G14308="EX",1,IF(DATOS!$G14308="OR",--(COUNTIFS(nNIA,DATOS!$A14308,nCURSO,DATOS!$D14308,nESPEC,DATOS!$E14308,nASIG,DATOS!$I14308,nEVAL,"EX")=0),0))))</f>
      </c>
      <c r="H14308">
        <f>IF(DATOS!$G14308&lt;&gt;"EX",0,--(COUNTIFS(nNIA,DATOS!$A14308,nCURSO,DATOS!$D14308,nESPEC,DATOS!$E14308,nASIG,DATOS!$I14308,nEVAL,"OR")=0))</f>
      </c>
      <c r="I14308">
        <f>IF(DATOS!$I14308="","",IFERROR(VLOOKUP(DATOS!$I14308,CONFIG_ASIGNATURAS!$B$2:$J$91,9,FALSE()),""))</f>
      </c>
    </row>
    <row r="14309">
      <c r="F14309">
        <f>IF(DATOS!$A14309="","",DATOS!$A14309&amp;"|"&amp;DATOS!$D14309&amp;"|"&amp;DATOS!$E14309&amp;"|"&amp;DATOS!$I14309)</f>
      </c>
      <c r="G14309">
        <f>IF(DATOS!$A14309="",0,IF(CONFIG_METADATA!$B$4&lt;&gt;"OR+EX",--(DATOS!$G14309=CONFIG_METADATA!$B$4),IF(DATOS!$G14309="EX",1,IF(DATOS!$G14309="OR",--(COUNTIFS(nNIA,DATOS!$A14309,nCURSO,DATOS!$D14309,nESPEC,DATOS!$E14309,nASIG,DATOS!$I14309,nEVAL,"EX")=0),0))))</f>
      </c>
      <c r="H14309">
        <f>IF(DATOS!$G14309&lt;&gt;"EX",0,--(COUNTIFS(nNIA,DATOS!$A14309,nCURSO,DATOS!$D14309,nESPEC,DATOS!$E14309,nASIG,DATOS!$I14309,nEVAL,"OR")=0))</f>
      </c>
      <c r="I14309">
        <f>IF(DATOS!$I14309="","",IFERROR(VLOOKUP(DATOS!$I14309,CONFIG_ASIGNATURAS!$B$2:$J$91,9,FALSE()),""))</f>
      </c>
    </row>
    <row r="14310">
      <c r="F14310">
        <f>IF(DATOS!$A14310="","",DATOS!$A14310&amp;"|"&amp;DATOS!$D14310&amp;"|"&amp;DATOS!$E14310&amp;"|"&amp;DATOS!$I14310)</f>
      </c>
      <c r="G14310">
        <f>IF(DATOS!$A14310="",0,IF(CONFIG_METADATA!$B$4&lt;&gt;"OR+EX",--(DATOS!$G14310=CONFIG_METADATA!$B$4),IF(DATOS!$G14310="EX",1,IF(DATOS!$G14310="OR",--(COUNTIFS(nNIA,DATOS!$A14310,nCURSO,DATOS!$D14310,nESPEC,DATOS!$E14310,nASIG,DATOS!$I14310,nEVAL,"EX")=0),0))))</f>
      </c>
      <c r="H14310">
        <f>IF(DATOS!$G14310&lt;&gt;"EX",0,--(COUNTIFS(nNIA,DATOS!$A14310,nCURSO,DATOS!$D14310,nESPEC,DATOS!$E14310,nASIG,DATOS!$I14310,nEVAL,"OR")=0))</f>
      </c>
      <c r="I14310">
        <f>IF(DATOS!$I14310="","",IFERROR(VLOOKUP(DATOS!$I14310,CONFIG_ASIGNATURAS!$B$2:$J$91,9,FALSE()),""))</f>
      </c>
    </row>
    <row r="14311">
      <c r="F14311">
        <f>IF(DATOS!$A14311="","",DATOS!$A14311&amp;"|"&amp;DATOS!$D14311&amp;"|"&amp;DATOS!$E14311&amp;"|"&amp;DATOS!$I14311)</f>
      </c>
      <c r="G14311">
        <f>IF(DATOS!$A14311="",0,IF(CONFIG_METADATA!$B$4&lt;&gt;"OR+EX",--(DATOS!$G14311=CONFIG_METADATA!$B$4),IF(DATOS!$G14311="EX",1,IF(DATOS!$G14311="OR",--(COUNTIFS(nNIA,DATOS!$A14311,nCURSO,DATOS!$D14311,nESPEC,DATOS!$E14311,nASIG,DATOS!$I14311,nEVAL,"EX")=0),0))))</f>
      </c>
      <c r="H14311">
        <f>IF(DATOS!$G14311&lt;&gt;"EX",0,--(COUNTIFS(nNIA,DATOS!$A14311,nCURSO,DATOS!$D14311,nESPEC,DATOS!$E14311,nASIG,DATOS!$I14311,nEVAL,"OR")=0))</f>
      </c>
      <c r="I14311">
        <f>IF(DATOS!$I14311="","",IFERROR(VLOOKUP(DATOS!$I14311,CONFIG_ASIGNATURAS!$B$2:$J$91,9,FALSE()),""))</f>
      </c>
    </row>
    <row r="14312">
      <c r="F14312">
        <f>IF(DATOS!$A14312="","",DATOS!$A14312&amp;"|"&amp;DATOS!$D14312&amp;"|"&amp;DATOS!$E14312&amp;"|"&amp;DATOS!$I14312)</f>
      </c>
      <c r="G14312">
        <f>IF(DATOS!$A14312="",0,IF(CONFIG_METADATA!$B$4&lt;&gt;"OR+EX",--(DATOS!$G14312=CONFIG_METADATA!$B$4),IF(DATOS!$G14312="EX",1,IF(DATOS!$G14312="OR",--(COUNTIFS(nNIA,DATOS!$A14312,nCURSO,DATOS!$D14312,nESPEC,DATOS!$E14312,nASIG,DATOS!$I14312,nEVAL,"EX")=0),0))))</f>
      </c>
      <c r="H14312">
        <f>IF(DATOS!$G14312&lt;&gt;"EX",0,--(COUNTIFS(nNIA,DATOS!$A14312,nCURSO,DATOS!$D14312,nESPEC,DATOS!$E14312,nASIG,DATOS!$I14312,nEVAL,"OR")=0))</f>
      </c>
      <c r="I14312">
        <f>IF(DATOS!$I14312="","",IFERROR(VLOOKUP(DATOS!$I14312,CONFIG_ASIGNATURAS!$B$2:$J$91,9,FALSE()),""))</f>
      </c>
    </row>
    <row r="14313">
      <c r="F14313">
        <f>IF(DATOS!$A14313="","",DATOS!$A14313&amp;"|"&amp;DATOS!$D14313&amp;"|"&amp;DATOS!$E14313&amp;"|"&amp;DATOS!$I14313)</f>
      </c>
      <c r="G14313">
        <f>IF(DATOS!$A14313="",0,IF(CONFIG_METADATA!$B$4&lt;&gt;"OR+EX",--(DATOS!$G14313=CONFIG_METADATA!$B$4),IF(DATOS!$G14313="EX",1,IF(DATOS!$G14313="OR",--(COUNTIFS(nNIA,DATOS!$A14313,nCURSO,DATOS!$D14313,nESPEC,DATOS!$E14313,nASIG,DATOS!$I14313,nEVAL,"EX")=0),0))))</f>
      </c>
      <c r="H14313">
        <f>IF(DATOS!$G14313&lt;&gt;"EX",0,--(COUNTIFS(nNIA,DATOS!$A14313,nCURSO,DATOS!$D14313,nESPEC,DATOS!$E14313,nASIG,DATOS!$I14313,nEVAL,"OR")=0))</f>
      </c>
      <c r="I14313">
        <f>IF(DATOS!$I14313="","",IFERROR(VLOOKUP(DATOS!$I14313,CONFIG_ASIGNATURAS!$B$2:$J$91,9,FALSE()),""))</f>
      </c>
    </row>
    <row r="14314">
      <c r="F14314">
        <f>IF(DATOS!$A14314="","",DATOS!$A14314&amp;"|"&amp;DATOS!$D14314&amp;"|"&amp;DATOS!$E14314&amp;"|"&amp;DATOS!$I14314)</f>
      </c>
      <c r="G14314">
        <f>IF(DATOS!$A14314="",0,IF(CONFIG_METADATA!$B$4&lt;&gt;"OR+EX",--(DATOS!$G14314=CONFIG_METADATA!$B$4),IF(DATOS!$G14314="EX",1,IF(DATOS!$G14314="OR",--(COUNTIFS(nNIA,DATOS!$A14314,nCURSO,DATOS!$D14314,nESPEC,DATOS!$E14314,nASIG,DATOS!$I14314,nEVAL,"EX")=0),0))))</f>
      </c>
      <c r="H14314">
        <f>IF(DATOS!$G14314&lt;&gt;"EX",0,--(COUNTIFS(nNIA,DATOS!$A14314,nCURSO,DATOS!$D14314,nESPEC,DATOS!$E14314,nASIG,DATOS!$I14314,nEVAL,"OR")=0))</f>
      </c>
      <c r="I14314">
        <f>IF(DATOS!$I14314="","",IFERROR(VLOOKUP(DATOS!$I14314,CONFIG_ASIGNATURAS!$B$2:$J$91,9,FALSE()),""))</f>
      </c>
    </row>
    <row r="14315">
      <c r="F14315">
        <f>IF(DATOS!$A14315="","",DATOS!$A14315&amp;"|"&amp;DATOS!$D14315&amp;"|"&amp;DATOS!$E14315&amp;"|"&amp;DATOS!$I14315)</f>
      </c>
      <c r="G14315">
        <f>IF(DATOS!$A14315="",0,IF(CONFIG_METADATA!$B$4&lt;&gt;"OR+EX",--(DATOS!$G14315=CONFIG_METADATA!$B$4),IF(DATOS!$G14315="EX",1,IF(DATOS!$G14315="OR",--(COUNTIFS(nNIA,DATOS!$A14315,nCURSO,DATOS!$D14315,nESPEC,DATOS!$E14315,nASIG,DATOS!$I14315,nEVAL,"EX")=0),0))))</f>
      </c>
      <c r="H14315">
        <f>IF(DATOS!$G14315&lt;&gt;"EX",0,--(COUNTIFS(nNIA,DATOS!$A14315,nCURSO,DATOS!$D14315,nESPEC,DATOS!$E14315,nASIG,DATOS!$I14315,nEVAL,"OR")=0))</f>
      </c>
      <c r="I14315">
        <f>IF(DATOS!$I14315="","",IFERROR(VLOOKUP(DATOS!$I14315,CONFIG_ASIGNATURAS!$B$2:$J$91,9,FALSE()),""))</f>
      </c>
    </row>
    <row r="14316">
      <c r="F14316">
        <f>IF(DATOS!$A14316="","",DATOS!$A14316&amp;"|"&amp;DATOS!$D14316&amp;"|"&amp;DATOS!$E14316&amp;"|"&amp;DATOS!$I14316)</f>
      </c>
      <c r="G14316">
        <f>IF(DATOS!$A14316="",0,IF(CONFIG_METADATA!$B$4&lt;&gt;"OR+EX",--(DATOS!$G14316=CONFIG_METADATA!$B$4),IF(DATOS!$G14316="EX",1,IF(DATOS!$G14316="OR",--(COUNTIFS(nNIA,DATOS!$A14316,nCURSO,DATOS!$D14316,nESPEC,DATOS!$E14316,nASIG,DATOS!$I14316,nEVAL,"EX")=0),0))))</f>
      </c>
      <c r="H14316">
        <f>IF(DATOS!$G14316&lt;&gt;"EX",0,--(COUNTIFS(nNIA,DATOS!$A14316,nCURSO,DATOS!$D14316,nESPEC,DATOS!$E14316,nASIG,DATOS!$I14316,nEVAL,"OR")=0))</f>
      </c>
      <c r="I14316">
        <f>IF(DATOS!$I14316="","",IFERROR(VLOOKUP(DATOS!$I14316,CONFIG_ASIGNATURAS!$B$2:$J$91,9,FALSE()),""))</f>
      </c>
    </row>
    <row r="14317">
      <c r="F14317">
        <f>IF(DATOS!$A14317="","",DATOS!$A14317&amp;"|"&amp;DATOS!$D14317&amp;"|"&amp;DATOS!$E14317&amp;"|"&amp;DATOS!$I14317)</f>
      </c>
      <c r="G14317">
        <f>IF(DATOS!$A14317="",0,IF(CONFIG_METADATA!$B$4&lt;&gt;"OR+EX",--(DATOS!$G14317=CONFIG_METADATA!$B$4),IF(DATOS!$G14317="EX",1,IF(DATOS!$G14317="OR",--(COUNTIFS(nNIA,DATOS!$A14317,nCURSO,DATOS!$D14317,nESPEC,DATOS!$E14317,nASIG,DATOS!$I14317,nEVAL,"EX")=0),0))))</f>
      </c>
      <c r="H14317">
        <f>IF(DATOS!$G14317&lt;&gt;"EX",0,--(COUNTIFS(nNIA,DATOS!$A14317,nCURSO,DATOS!$D14317,nESPEC,DATOS!$E14317,nASIG,DATOS!$I14317,nEVAL,"OR")=0))</f>
      </c>
      <c r="I14317">
        <f>IF(DATOS!$I14317="","",IFERROR(VLOOKUP(DATOS!$I14317,CONFIG_ASIGNATURAS!$B$2:$J$91,9,FALSE()),""))</f>
      </c>
    </row>
    <row r="14318">
      <c r="F14318">
        <f>IF(DATOS!$A14318="","",DATOS!$A14318&amp;"|"&amp;DATOS!$D14318&amp;"|"&amp;DATOS!$E14318&amp;"|"&amp;DATOS!$I14318)</f>
      </c>
      <c r="G14318">
        <f>IF(DATOS!$A14318="",0,IF(CONFIG_METADATA!$B$4&lt;&gt;"OR+EX",--(DATOS!$G14318=CONFIG_METADATA!$B$4),IF(DATOS!$G14318="EX",1,IF(DATOS!$G14318="OR",--(COUNTIFS(nNIA,DATOS!$A14318,nCURSO,DATOS!$D14318,nESPEC,DATOS!$E14318,nASIG,DATOS!$I14318,nEVAL,"EX")=0),0))))</f>
      </c>
      <c r="H14318">
        <f>IF(DATOS!$G14318&lt;&gt;"EX",0,--(COUNTIFS(nNIA,DATOS!$A14318,nCURSO,DATOS!$D14318,nESPEC,DATOS!$E14318,nASIG,DATOS!$I14318,nEVAL,"OR")=0))</f>
      </c>
      <c r="I14318">
        <f>IF(DATOS!$I14318="","",IFERROR(VLOOKUP(DATOS!$I14318,CONFIG_ASIGNATURAS!$B$2:$J$91,9,FALSE()),""))</f>
      </c>
    </row>
    <row r="14319">
      <c r="F14319">
        <f>IF(DATOS!$A14319="","",DATOS!$A14319&amp;"|"&amp;DATOS!$D14319&amp;"|"&amp;DATOS!$E14319&amp;"|"&amp;DATOS!$I14319)</f>
      </c>
      <c r="G14319">
        <f>IF(DATOS!$A14319="",0,IF(CONFIG_METADATA!$B$4&lt;&gt;"OR+EX",--(DATOS!$G14319=CONFIG_METADATA!$B$4),IF(DATOS!$G14319="EX",1,IF(DATOS!$G14319="OR",--(COUNTIFS(nNIA,DATOS!$A14319,nCURSO,DATOS!$D14319,nESPEC,DATOS!$E14319,nASIG,DATOS!$I14319,nEVAL,"EX")=0),0))))</f>
      </c>
      <c r="H14319">
        <f>IF(DATOS!$G14319&lt;&gt;"EX",0,--(COUNTIFS(nNIA,DATOS!$A14319,nCURSO,DATOS!$D14319,nESPEC,DATOS!$E14319,nASIG,DATOS!$I14319,nEVAL,"OR")=0))</f>
      </c>
      <c r="I14319">
        <f>IF(DATOS!$I14319="","",IFERROR(VLOOKUP(DATOS!$I14319,CONFIG_ASIGNATURAS!$B$2:$J$91,9,FALSE()),""))</f>
      </c>
    </row>
    <row r="14320">
      <c r="F14320">
        <f>IF(DATOS!$A14320="","",DATOS!$A14320&amp;"|"&amp;DATOS!$D14320&amp;"|"&amp;DATOS!$E14320&amp;"|"&amp;DATOS!$I14320)</f>
      </c>
      <c r="G14320">
        <f>IF(DATOS!$A14320="",0,IF(CONFIG_METADATA!$B$4&lt;&gt;"OR+EX",--(DATOS!$G14320=CONFIG_METADATA!$B$4),IF(DATOS!$G14320="EX",1,IF(DATOS!$G14320="OR",--(COUNTIFS(nNIA,DATOS!$A14320,nCURSO,DATOS!$D14320,nESPEC,DATOS!$E14320,nASIG,DATOS!$I14320,nEVAL,"EX")=0),0))))</f>
      </c>
      <c r="H14320">
        <f>IF(DATOS!$G14320&lt;&gt;"EX",0,--(COUNTIFS(nNIA,DATOS!$A14320,nCURSO,DATOS!$D14320,nESPEC,DATOS!$E14320,nASIG,DATOS!$I14320,nEVAL,"OR")=0))</f>
      </c>
      <c r="I14320">
        <f>IF(DATOS!$I14320="","",IFERROR(VLOOKUP(DATOS!$I14320,CONFIG_ASIGNATURAS!$B$2:$J$91,9,FALSE()),""))</f>
      </c>
    </row>
    <row r="14321">
      <c r="F14321">
        <f>IF(DATOS!$A14321="","",DATOS!$A14321&amp;"|"&amp;DATOS!$D14321&amp;"|"&amp;DATOS!$E14321&amp;"|"&amp;DATOS!$I14321)</f>
      </c>
      <c r="G14321">
        <f>IF(DATOS!$A14321="",0,IF(CONFIG_METADATA!$B$4&lt;&gt;"OR+EX",--(DATOS!$G14321=CONFIG_METADATA!$B$4),IF(DATOS!$G14321="EX",1,IF(DATOS!$G14321="OR",--(COUNTIFS(nNIA,DATOS!$A14321,nCURSO,DATOS!$D14321,nESPEC,DATOS!$E14321,nASIG,DATOS!$I14321,nEVAL,"EX")=0),0))))</f>
      </c>
      <c r="H14321">
        <f>IF(DATOS!$G14321&lt;&gt;"EX",0,--(COUNTIFS(nNIA,DATOS!$A14321,nCURSO,DATOS!$D14321,nESPEC,DATOS!$E14321,nASIG,DATOS!$I14321,nEVAL,"OR")=0))</f>
      </c>
      <c r="I14321">
        <f>IF(DATOS!$I14321="","",IFERROR(VLOOKUP(DATOS!$I14321,CONFIG_ASIGNATURAS!$B$2:$J$91,9,FALSE()),""))</f>
      </c>
    </row>
    <row r="14322">
      <c r="F14322">
        <f>IF(DATOS!$A14322="","",DATOS!$A14322&amp;"|"&amp;DATOS!$D14322&amp;"|"&amp;DATOS!$E14322&amp;"|"&amp;DATOS!$I14322)</f>
      </c>
      <c r="G14322">
        <f>IF(DATOS!$A14322="",0,IF(CONFIG_METADATA!$B$4&lt;&gt;"OR+EX",--(DATOS!$G14322=CONFIG_METADATA!$B$4),IF(DATOS!$G14322="EX",1,IF(DATOS!$G14322="OR",--(COUNTIFS(nNIA,DATOS!$A14322,nCURSO,DATOS!$D14322,nESPEC,DATOS!$E14322,nASIG,DATOS!$I14322,nEVAL,"EX")=0),0))))</f>
      </c>
      <c r="H14322">
        <f>IF(DATOS!$G14322&lt;&gt;"EX",0,--(COUNTIFS(nNIA,DATOS!$A14322,nCURSO,DATOS!$D14322,nESPEC,DATOS!$E14322,nASIG,DATOS!$I14322,nEVAL,"OR")=0))</f>
      </c>
      <c r="I14322">
        <f>IF(DATOS!$I14322="","",IFERROR(VLOOKUP(DATOS!$I14322,CONFIG_ASIGNATURAS!$B$2:$J$91,9,FALSE()),""))</f>
      </c>
    </row>
    <row r="14323">
      <c r="F14323">
        <f>IF(DATOS!$A14323="","",DATOS!$A14323&amp;"|"&amp;DATOS!$D14323&amp;"|"&amp;DATOS!$E14323&amp;"|"&amp;DATOS!$I14323)</f>
      </c>
      <c r="G14323">
        <f>IF(DATOS!$A14323="",0,IF(CONFIG_METADATA!$B$4&lt;&gt;"OR+EX",--(DATOS!$G14323=CONFIG_METADATA!$B$4),IF(DATOS!$G14323="EX",1,IF(DATOS!$G14323="OR",--(COUNTIFS(nNIA,DATOS!$A14323,nCURSO,DATOS!$D14323,nESPEC,DATOS!$E14323,nASIG,DATOS!$I14323,nEVAL,"EX")=0),0))))</f>
      </c>
      <c r="H14323">
        <f>IF(DATOS!$G14323&lt;&gt;"EX",0,--(COUNTIFS(nNIA,DATOS!$A14323,nCURSO,DATOS!$D14323,nESPEC,DATOS!$E14323,nASIG,DATOS!$I14323,nEVAL,"OR")=0))</f>
      </c>
      <c r="I14323">
        <f>IF(DATOS!$I14323="","",IFERROR(VLOOKUP(DATOS!$I14323,CONFIG_ASIGNATURAS!$B$2:$J$91,9,FALSE()),""))</f>
      </c>
    </row>
    <row r="14324">
      <c r="F14324">
        <f>IF(DATOS!$A14324="","",DATOS!$A14324&amp;"|"&amp;DATOS!$D14324&amp;"|"&amp;DATOS!$E14324&amp;"|"&amp;DATOS!$I14324)</f>
      </c>
      <c r="G14324">
        <f>IF(DATOS!$A14324="",0,IF(CONFIG_METADATA!$B$4&lt;&gt;"OR+EX",--(DATOS!$G14324=CONFIG_METADATA!$B$4),IF(DATOS!$G14324="EX",1,IF(DATOS!$G14324="OR",--(COUNTIFS(nNIA,DATOS!$A14324,nCURSO,DATOS!$D14324,nESPEC,DATOS!$E14324,nASIG,DATOS!$I14324,nEVAL,"EX")=0),0))))</f>
      </c>
      <c r="H14324">
        <f>IF(DATOS!$G14324&lt;&gt;"EX",0,--(COUNTIFS(nNIA,DATOS!$A14324,nCURSO,DATOS!$D14324,nESPEC,DATOS!$E14324,nASIG,DATOS!$I14324,nEVAL,"OR")=0))</f>
      </c>
      <c r="I14324">
        <f>IF(DATOS!$I14324="","",IFERROR(VLOOKUP(DATOS!$I14324,CONFIG_ASIGNATURAS!$B$2:$J$91,9,FALSE()),""))</f>
      </c>
    </row>
    <row r="14325">
      <c r="F14325">
        <f>IF(DATOS!$A14325="","",DATOS!$A14325&amp;"|"&amp;DATOS!$D14325&amp;"|"&amp;DATOS!$E14325&amp;"|"&amp;DATOS!$I14325)</f>
      </c>
      <c r="G14325">
        <f>IF(DATOS!$A14325="",0,IF(CONFIG_METADATA!$B$4&lt;&gt;"OR+EX",--(DATOS!$G14325=CONFIG_METADATA!$B$4),IF(DATOS!$G14325="EX",1,IF(DATOS!$G14325="OR",--(COUNTIFS(nNIA,DATOS!$A14325,nCURSO,DATOS!$D14325,nESPEC,DATOS!$E14325,nASIG,DATOS!$I14325,nEVAL,"EX")=0),0))))</f>
      </c>
      <c r="H14325">
        <f>IF(DATOS!$G14325&lt;&gt;"EX",0,--(COUNTIFS(nNIA,DATOS!$A14325,nCURSO,DATOS!$D14325,nESPEC,DATOS!$E14325,nASIG,DATOS!$I14325,nEVAL,"OR")=0))</f>
      </c>
      <c r="I14325">
        <f>IF(DATOS!$I14325="","",IFERROR(VLOOKUP(DATOS!$I14325,CONFIG_ASIGNATURAS!$B$2:$J$91,9,FALSE()),""))</f>
      </c>
    </row>
    <row r="14326">
      <c r="F14326">
        <f>IF(DATOS!$A14326="","",DATOS!$A14326&amp;"|"&amp;DATOS!$D14326&amp;"|"&amp;DATOS!$E14326&amp;"|"&amp;DATOS!$I14326)</f>
      </c>
      <c r="G14326">
        <f>IF(DATOS!$A14326="",0,IF(CONFIG_METADATA!$B$4&lt;&gt;"OR+EX",--(DATOS!$G14326=CONFIG_METADATA!$B$4),IF(DATOS!$G14326="EX",1,IF(DATOS!$G14326="OR",--(COUNTIFS(nNIA,DATOS!$A14326,nCURSO,DATOS!$D14326,nESPEC,DATOS!$E14326,nASIG,DATOS!$I14326,nEVAL,"EX")=0),0))))</f>
      </c>
      <c r="H14326">
        <f>IF(DATOS!$G14326&lt;&gt;"EX",0,--(COUNTIFS(nNIA,DATOS!$A14326,nCURSO,DATOS!$D14326,nESPEC,DATOS!$E14326,nASIG,DATOS!$I14326,nEVAL,"OR")=0))</f>
      </c>
      <c r="I14326">
        <f>IF(DATOS!$I14326="","",IFERROR(VLOOKUP(DATOS!$I14326,CONFIG_ASIGNATURAS!$B$2:$J$91,9,FALSE()),""))</f>
      </c>
    </row>
    <row r="14327">
      <c r="F14327">
        <f>IF(DATOS!$A14327="","",DATOS!$A14327&amp;"|"&amp;DATOS!$D14327&amp;"|"&amp;DATOS!$E14327&amp;"|"&amp;DATOS!$I14327)</f>
      </c>
      <c r="G14327">
        <f>IF(DATOS!$A14327="",0,IF(CONFIG_METADATA!$B$4&lt;&gt;"OR+EX",--(DATOS!$G14327=CONFIG_METADATA!$B$4),IF(DATOS!$G14327="EX",1,IF(DATOS!$G14327="OR",--(COUNTIFS(nNIA,DATOS!$A14327,nCURSO,DATOS!$D14327,nESPEC,DATOS!$E14327,nASIG,DATOS!$I14327,nEVAL,"EX")=0),0))))</f>
      </c>
      <c r="H14327">
        <f>IF(DATOS!$G14327&lt;&gt;"EX",0,--(COUNTIFS(nNIA,DATOS!$A14327,nCURSO,DATOS!$D14327,nESPEC,DATOS!$E14327,nASIG,DATOS!$I14327,nEVAL,"OR")=0))</f>
      </c>
      <c r="I14327">
        <f>IF(DATOS!$I14327="","",IFERROR(VLOOKUP(DATOS!$I14327,CONFIG_ASIGNATURAS!$B$2:$J$91,9,FALSE()),""))</f>
      </c>
    </row>
    <row r="14328">
      <c r="F14328">
        <f>IF(DATOS!$A14328="","",DATOS!$A14328&amp;"|"&amp;DATOS!$D14328&amp;"|"&amp;DATOS!$E14328&amp;"|"&amp;DATOS!$I14328)</f>
      </c>
      <c r="G14328">
        <f>IF(DATOS!$A14328="",0,IF(CONFIG_METADATA!$B$4&lt;&gt;"OR+EX",--(DATOS!$G14328=CONFIG_METADATA!$B$4),IF(DATOS!$G14328="EX",1,IF(DATOS!$G14328="OR",--(COUNTIFS(nNIA,DATOS!$A14328,nCURSO,DATOS!$D14328,nESPEC,DATOS!$E14328,nASIG,DATOS!$I14328,nEVAL,"EX")=0),0))))</f>
      </c>
      <c r="H14328">
        <f>IF(DATOS!$G14328&lt;&gt;"EX",0,--(COUNTIFS(nNIA,DATOS!$A14328,nCURSO,DATOS!$D14328,nESPEC,DATOS!$E14328,nASIG,DATOS!$I14328,nEVAL,"OR")=0))</f>
      </c>
      <c r="I14328">
        <f>IF(DATOS!$I14328="","",IFERROR(VLOOKUP(DATOS!$I14328,CONFIG_ASIGNATURAS!$B$2:$J$91,9,FALSE()),""))</f>
      </c>
    </row>
    <row r="14329">
      <c r="F14329">
        <f>IF(DATOS!$A14329="","",DATOS!$A14329&amp;"|"&amp;DATOS!$D14329&amp;"|"&amp;DATOS!$E14329&amp;"|"&amp;DATOS!$I14329)</f>
      </c>
      <c r="G14329">
        <f>IF(DATOS!$A14329="",0,IF(CONFIG_METADATA!$B$4&lt;&gt;"OR+EX",--(DATOS!$G14329=CONFIG_METADATA!$B$4),IF(DATOS!$G14329="EX",1,IF(DATOS!$G14329="OR",--(COUNTIFS(nNIA,DATOS!$A14329,nCURSO,DATOS!$D14329,nESPEC,DATOS!$E14329,nASIG,DATOS!$I14329,nEVAL,"EX")=0),0))))</f>
      </c>
      <c r="H14329">
        <f>IF(DATOS!$G14329&lt;&gt;"EX",0,--(COUNTIFS(nNIA,DATOS!$A14329,nCURSO,DATOS!$D14329,nESPEC,DATOS!$E14329,nASIG,DATOS!$I14329,nEVAL,"OR")=0))</f>
      </c>
      <c r="I14329">
        <f>IF(DATOS!$I14329="","",IFERROR(VLOOKUP(DATOS!$I14329,CONFIG_ASIGNATURAS!$B$2:$J$91,9,FALSE()),""))</f>
      </c>
    </row>
    <row r="14330">
      <c r="F14330">
        <f>IF(DATOS!$A14330="","",DATOS!$A14330&amp;"|"&amp;DATOS!$D14330&amp;"|"&amp;DATOS!$E14330&amp;"|"&amp;DATOS!$I14330)</f>
      </c>
      <c r="G14330">
        <f>IF(DATOS!$A14330="",0,IF(CONFIG_METADATA!$B$4&lt;&gt;"OR+EX",--(DATOS!$G14330=CONFIG_METADATA!$B$4),IF(DATOS!$G14330="EX",1,IF(DATOS!$G14330="OR",--(COUNTIFS(nNIA,DATOS!$A14330,nCURSO,DATOS!$D14330,nESPEC,DATOS!$E14330,nASIG,DATOS!$I14330,nEVAL,"EX")=0),0))))</f>
      </c>
      <c r="H14330">
        <f>IF(DATOS!$G14330&lt;&gt;"EX",0,--(COUNTIFS(nNIA,DATOS!$A14330,nCURSO,DATOS!$D14330,nESPEC,DATOS!$E14330,nASIG,DATOS!$I14330,nEVAL,"OR")=0))</f>
      </c>
      <c r="I14330">
        <f>IF(DATOS!$I14330="","",IFERROR(VLOOKUP(DATOS!$I14330,CONFIG_ASIGNATURAS!$B$2:$J$91,9,FALSE()),""))</f>
      </c>
    </row>
    <row r="14331">
      <c r="F14331">
        <f>IF(DATOS!$A14331="","",DATOS!$A14331&amp;"|"&amp;DATOS!$D14331&amp;"|"&amp;DATOS!$E14331&amp;"|"&amp;DATOS!$I14331)</f>
      </c>
      <c r="G14331">
        <f>IF(DATOS!$A14331="",0,IF(CONFIG_METADATA!$B$4&lt;&gt;"OR+EX",--(DATOS!$G14331=CONFIG_METADATA!$B$4),IF(DATOS!$G14331="EX",1,IF(DATOS!$G14331="OR",--(COUNTIFS(nNIA,DATOS!$A14331,nCURSO,DATOS!$D14331,nESPEC,DATOS!$E14331,nASIG,DATOS!$I14331,nEVAL,"EX")=0),0))))</f>
      </c>
      <c r="H14331">
        <f>IF(DATOS!$G14331&lt;&gt;"EX",0,--(COUNTIFS(nNIA,DATOS!$A14331,nCURSO,DATOS!$D14331,nESPEC,DATOS!$E14331,nASIG,DATOS!$I14331,nEVAL,"OR")=0))</f>
      </c>
      <c r="I14331">
        <f>IF(DATOS!$I14331="","",IFERROR(VLOOKUP(DATOS!$I14331,CONFIG_ASIGNATURAS!$B$2:$J$91,9,FALSE()),""))</f>
      </c>
    </row>
    <row r="14332">
      <c r="F14332">
        <f>IF(DATOS!$A14332="","",DATOS!$A14332&amp;"|"&amp;DATOS!$D14332&amp;"|"&amp;DATOS!$E14332&amp;"|"&amp;DATOS!$I14332)</f>
      </c>
      <c r="G14332">
        <f>IF(DATOS!$A14332="",0,IF(CONFIG_METADATA!$B$4&lt;&gt;"OR+EX",--(DATOS!$G14332=CONFIG_METADATA!$B$4),IF(DATOS!$G14332="EX",1,IF(DATOS!$G14332="OR",--(COUNTIFS(nNIA,DATOS!$A14332,nCURSO,DATOS!$D14332,nESPEC,DATOS!$E14332,nASIG,DATOS!$I14332,nEVAL,"EX")=0),0))))</f>
      </c>
      <c r="H14332">
        <f>IF(DATOS!$G14332&lt;&gt;"EX",0,--(COUNTIFS(nNIA,DATOS!$A14332,nCURSO,DATOS!$D14332,nESPEC,DATOS!$E14332,nASIG,DATOS!$I14332,nEVAL,"OR")=0))</f>
      </c>
      <c r="I14332">
        <f>IF(DATOS!$I14332="","",IFERROR(VLOOKUP(DATOS!$I14332,CONFIG_ASIGNATURAS!$B$2:$J$91,9,FALSE()),""))</f>
      </c>
    </row>
    <row r="14333">
      <c r="F14333">
        <f>IF(DATOS!$A14333="","",DATOS!$A14333&amp;"|"&amp;DATOS!$D14333&amp;"|"&amp;DATOS!$E14333&amp;"|"&amp;DATOS!$I14333)</f>
      </c>
      <c r="G14333">
        <f>IF(DATOS!$A14333="",0,IF(CONFIG_METADATA!$B$4&lt;&gt;"OR+EX",--(DATOS!$G14333=CONFIG_METADATA!$B$4),IF(DATOS!$G14333="EX",1,IF(DATOS!$G14333="OR",--(COUNTIFS(nNIA,DATOS!$A14333,nCURSO,DATOS!$D14333,nESPEC,DATOS!$E14333,nASIG,DATOS!$I14333,nEVAL,"EX")=0),0))))</f>
      </c>
      <c r="H14333">
        <f>IF(DATOS!$G14333&lt;&gt;"EX",0,--(COUNTIFS(nNIA,DATOS!$A14333,nCURSO,DATOS!$D14333,nESPEC,DATOS!$E14333,nASIG,DATOS!$I14333,nEVAL,"OR")=0))</f>
      </c>
      <c r="I14333">
        <f>IF(DATOS!$I14333="","",IFERROR(VLOOKUP(DATOS!$I14333,CONFIG_ASIGNATURAS!$B$2:$J$91,9,FALSE()),""))</f>
      </c>
    </row>
    <row r="14334">
      <c r="F14334">
        <f>IF(DATOS!$A14334="","",DATOS!$A14334&amp;"|"&amp;DATOS!$D14334&amp;"|"&amp;DATOS!$E14334&amp;"|"&amp;DATOS!$I14334)</f>
      </c>
      <c r="G14334">
        <f>IF(DATOS!$A14334="",0,IF(CONFIG_METADATA!$B$4&lt;&gt;"OR+EX",--(DATOS!$G14334=CONFIG_METADATA!$B$4),IF(DATOS!$G14334="EX",1,IF(DATOS!$G14334="OR",--(COUNTIFS(nNIA,DATOS!$A14334,nCURSO,DATOS!$D14334,nESPEC,DATOS!$E14334,nASIG,DATOS!$I14334,nEVAL,"EX")=0),0))))</f>
      </c>
      <c r="H14334">
        <f>IF(DATOS!$G14334&lt;&gt;"EX",0,--(COUNTIFS(nNIA,DATOS!$A14334,nCURSO,DATOS!$D14334,nESPEC,DATOS!$E14334,nASIG,DATOS!$I14334,nEVAL,"OR")=0))</f>
      </c>
      <c r="I14334">
        <f>IF(DATOS!$I14334="","",IFERROR(VLOOKUP(DATOS!$I14334,CONFIG_ASIGNATURAS!$B$2:$J$91,9,FALSE()),""))</f>
      </c>
    </row>
    <row r="14335">
      <c r="F14335">
        <f>IF(DATOS!$A14335="","",DATOS!$A14335&amp;"|"&amp;DATOS!$D14335&amp;"|"&amp;DATOS!$E14335&amp;"|"&amp;DATOS!$I14335)</f>
      </c>
      <c r="G14335">
        <f>IF(DATOS!$A14335="",0,IF(CONFIG_METADATA!$B$4&lt;&gt;"OR+EX",--(DATOS!$G14335=CONFIG_METADATA!$B$4),IF(DATOS!$G14335="EX",1,IF(DATOS!$G14335="OR",--(COUNTIFS(nNIA,DATOS!$A14335,nCURSO,DATOS!$D14335,nESPEC,DATOS!$E14335,nASIG,DATOS!$I14335,nEVAL,"EX")=0),0))))</f>
      </c>
      <c r="H14335">
        <f>IF(DATOS!$G14335&lt;&gt;"EX",0,--(COUNTIFS(nNIA,DATOS!$A14335,nCURSO,DATOS!$D14335,nESPEC,DATOS!$E14335,nASIG,DATOS!$I14335,nEVAL,"OR")=0))</f>
      </c>
      <c r="I14335">
        <f>IF(DATOS!$I14335="","",IFERROR(VLOOKUP(DATOS!$I14335,CONFIG_ASIGNATURAS!$B$2:$J$91,9,FALSE()),""))</f>
      </c>
    </row>
    <row r="14336">
      <c r="F14336">
        <f>IF(DATOS!$A14336="","",DATOS!$A14336&amp;"|"&amp;DATOS!$D14336&amp;"|"&amp;DATOS!$E14336&amp;"|"&amp;DATOS!$I14336)</f>
      </c>
      <c r="G14336">
        <f>IF(DATOS!$A14336="",0,IF(CONFIG_METADATA!$B$4&lt;&gt;"OR+EX",--(DATOS!$G14336=CONFIG_METADATA!$B$4),IF(DATOS!$G14336="EX",1,IF(DATOS!$G14336="OR",--(COUNTIFS(nNIA,DATOS!$A14336,nCURSO,DATOS!$D14336,nESPEC,DATOS!$E14336,nASIG,DATOS!$I14336,nEVAL,"EX")=0),0))))</f>
      </c>
      <c r="H14336">
        <f>IF(DATOS!$G14336&lt;&gt;"EX",0,--(COUNTIFS(nNIA,DATOS!$A14336,nCURSO,DATOS!$D14336,nESPEC,DATOS!$E14336,nASIG,DATOS!$I14336,nEVAL,"OR")=0))</f>
      </c>
      <c r="I14336">
        <f>IF(DATOS!$I14336="","",IFERROR(VLOOKUP(DATOS!$I14336,CONFIG_ASIGNATURAS!$B$2:$J$91,9,FALSE()),""))</f>
      </c>
    </row>
    <row r="14337">
      <c r="F14337">
        <f>IF(DATOS!$A14337="","",DATOS!$A14337&amp;"|"&amp;DATOS!$D14337&amp;"|"&amp;DATOS!$E14337&amp;"|"&amp;DATOS!$I14337)</f>
      </c>
      <c r="G14337">
        <f>IF(DATOS!$A14337="",0,IF(CONFIG_METADATA!$B$4&lt;&gt;"OR+EX",--(DATOS!$G14337=CONFIG_METADATA!$B$4),IF(DATOS!$G14337="EX",1,IF(DATOS!$G14337="OR",--(COUNTIFS(nNIA,DATOS!$A14337,nCURSO,DATOS!$D14337,nESPEC,DATOS!$E14337,nASIG,DATOS!$I14337,nEVAL,"EX")=0),0))))</f>
      </c>
      <c r="H14337">
        <f>IF(DATOS!$G14337&lt;&gt;"EX",0,--(COUNTIFS(nNIA,DATOS!$A14337,nCURSO,DATOS!$D14337,nESPEC,DATOS!$E14337,nASIG,DATOS!$I14337,nEVAL,"OR")=0))</f>
      </c>
      <c r="I14337">
        <f>IF(DATOS!$I14337="","",IFERROR(VLOOKUP(DATOS!$I14337,CONFIG_ASIGNATURAS!$B$2:$J$91,9,FALSE()),""))</f>
      </c>
    </row>
    <row r="14338">
      <c r="F14338">
        <f>IF(DATOS!$A14338="","",DATOS!$A14338&amp;"|"&amp;DATOS!$D14338&amp;"|"&amp;DATOS!$E14338&amp;"|"&amp;DATOS!$I14338)</f>
      </c>
      <c r="G14338">
        <f>IF(DATOS!$A14338="",0,IF(CONFIG_METADATA!$B$4&lt;&gt;"OR+EX",--(DATOS!$G14338=CONFIG_METADATA!$B$4),IF(DATOS!$G14338="EX",1,IF(DATOS!$G14338="OR",--(COUNTIFS(nNIA,DATOS!$A14338,nCURSO,DATOS!$D14338,nESPEC,DATOS!$E14338,nASIG,DATOS!$I14338,nEVAL,"EX")=0),0))))</f>
      </c>
      <c r="H14338">
        <f>IF(DATOS!$G14338&lt;&gt;"EX",0,--(COUNTIFS(nNIA,DATOS!$A14338,nCURSO,DATOS!$D14338,nESPEC,DATOS!$E14338,nASIG,DATOS!$I14338,nEVAL,"OR")=0))</f>
      </c>
      <c r="I14338">
        <f>IF(DATOS!$I14338="","",IFERROR(VLOOKUP(DATOS!$I14338,CONFIG_ASIGNATURAS!$B$2:$J$91,9,FALSE()),""))</f>
      </c>
    </row>
    <row r="14339">
      <c r="F14339">
        <f>IF(DATOS!$A14339="","",DATOS!$A14339&amp;"|"&amp;DATOS!$D14339&amp;"|"&amp;DATOS!$E14339&amp;"|"&amp;DATOS!$I14339)</f>
      </c>
      <c r="G14339">
        <f>IF(DATOS!$A14339="",0,IF(CONFIG_METADATA!$B$4&lt;&gt;"OR+EX",--(DATOS!$G14339=CONFIG_METADATA!$B$4),IF(DATOS!$G14339="EX",1,IF(DATOS!$G14339="OR",--(COUNTIFS(nNIA,DATOS!$A14339,nCURSO,DATOS!$D14339,nESPEC,DATOS!$E14339,nASIG,DATOS!$I14339,nEVAL,"EX")=0),0))))</f>
      </c>
      <c r="H14339">
        <f>IF(DATOS!$G14339&lt;&gt;"EX",0,--(COUNTIFS(nNIA,DATOS!$A14339,nCURSO,DATOS!$D14339,nESPEC,DATOS!$E14339,nASIG,DATOS!$I14339,nEVAL,"OR")=0))</f>
      </c>
      <c r="I14339">
        <f>IF(DATOS!$I14339="","",IFERROR(VLOOKUP(DATOS!$I14339,CONFIG_ASIGNATURAS!$B$2:$J$91,9,FALSE()),""))</f>
      </c>
    </row>
    <row r="14340">
      <c r="F14340">
        <f>IF(DATOS!$A14340="","",DATOS!$A14340&amp;"|"&amp;DATOS!$D14340&amp;"|"&amp;DATOS!$E14340&amp;"|"&amp;DATOS!$I14340)</f>
      </c>
      <c r="G14340">
        <f>IF(DATOS!$A14340="",0,IF(CONFIG_METADATA!$B$4&lt;&gt;"OR+EX",--(DATOS!$G14340=CONFIG_METADATA!$B$4),IF(DATOS!$G14340="EX",1,IF(DATOS!$G14340="OR",--(COUNTIFS(nNIA,DATOS!$A14340,nCURSO,DATOS!$D14340,nESPEC,DATOS!$E14340,nASIG,DATOS!$I14340,nEVAL,"EX")=0),0))))</f>
      </c>
      <c r="H14340">
        <f>IF(DATOS!$G14340&lt;&gt;"EX",0,--(COUNTIFS(nNIA,DATOS!$A14340,nCURSO,DATOS!$D14340,nESPEC,DATOS!$E14340,nASIG,DATOS!$I14340,nEVAL,"OR")=0))</f>
      </c>
      <c r="I14340">
        <f>IF(DATOS!$I14340="","",IFERROR(VLOOKUP(DATOS!$I14340,CONFIG_ASIGNATURAS!$B$2:$J$91,9,FALSE()),""))</f>
      </c>
    </row>
    <row r="14341">
      <c r="F14341">
        <f>IF(DATOS!$A14341="","",DATOS!$A14341&amp;"|"&amp;DATOS!$D14341&amp;"|"&amp;DATOS!$E14341&amp;"|"&amp;DATOS!$I14341)</f>
      </c>
      <c r="G14341">
        <f>IF(DATOS!$A14341="",0,IF(CONFIG_METADATA!$B$4&lt;&gt;"OR+EX",--(DATOS!$G14341=CONFIG_METADATA!$B$4),IF(DATOS!$G14341="EX",1,IF(DATOS!$G14341="OR",--(COUNTIFS(nNIA,DATOS!$A14341,nCURSO,DATOS!$D14341,nESPEC,DATOS!$E14341,nASIG,DATOS!$I14341,nEVAL,"EX")=0),0))))</f>
      </c>
      <c r="H14341">
        <f>IF(DATOS!$G14341&lt;&gt;"EX",0,--(COUNTIFS(nNIA,DATOS!$A14341,nCURSO,DATOS!$D14341,nESPEC,DATOS!$E14341,nASIG,DATOS!$I14341,nEVAL,"OR")=0))</f>
      </c>
      <c r="I14341">
        <f>IF(DATOS!$I14341="","",IFERROR(VLOOKUP(DATOS!$I14341,CONFIG_ASIGNATURAS!$B$2:$J$91,9,FALSE()),""))</f>
      </c>
    </row>
    <row r="14342">
      <c r="F14342">
        <f>IF(DATOS!$A14342="","",DATOS!$A14342&amp;"|"&amp;DATOS!$D14342&amp;"|"&amp;DATOS!$E14342&amp;"|"&amp;DATOS!$I14342)</f>
      </c>
      <c r="G14342">
        <f>IF(DATOS!$A14342="",0,IF(CONFIG_METADATA!$B$4&lt;&gt;"OR+EX",--(DATOS!$G14342=CONFIG_METADATA!$B$4),IF(DATOS!$G14342="EX",1,IF(DATOS!$G14342="OR",--(COUNTIFS(nNIA,DATOS!$A14342,nCURSO,DATOS!$D14342,nESPEC,DATOS!$E14342,nASIG,DATOS!$I14342,nEVAL,"EX")=0),0))))</f>
      </c>
      <c r="H14342">
        <f>IF(DATOS!$G14342&lt;&gt;"EX",0,--(COUNTIFS(nNIA,DATOS!$A14342,nCURSO,DATOS!$D14342,nESPEC,DATOS!$E14342,nASIG,DATOS!$I14342,nEVAL,"OR")=0))</f>
      </c>
      <c r="I14342">
        <f>IF(DATOS!$I14342="","",IFERROR(VLOOKUP(DATOS!$I14342,CONFIG_ASIGNATURAS!$B$2:$J$91,9,FALSE()),""))</f>
      </c>
    </row>
    <row r="14343">
      <c r="F14343">
        <f>IF(DATOS!$A14343="","",DATOS!$A14343&amp;"|"&amp;DATOS!$D14343&amp;"|"&amp;DATOS!$E14343&amp;"|"&amp;DATOS!$I14343)</f>
      </c>
      <c r="G14343">
        <f>IF(DATOS!$A14343="",0,IF(CONFIG_METADATA!$B$4&lt;&gt;"OR+EX",--(DATOS!$G14343=CONFIG_METADATA!$B$4),IF(DATOS!$G14343="EX",1,IF(DATOS!$G14343="OR",--(COUNTIFS(nNIA,DATOS!$A14343,nCURSO,DATOS!$D14343,nESPEC,DATOS!$E14343,nASIG,DATOS!$I14343,nEVAL,"EX")=0),0))))</f>
      </c>
      <c r="H14343">
        <f>IF(DATOS!$G14343&lt;&gt;"EX",0,--(COUNTIFS(nNIA,DATOS!$A14343,nCURSO,DATOS!$D14343,nESPEC,DATOS!$E14343,nASIG,DATOS!$I14343,nEVAL,"OR")=0))</f>
      </c>
      <c r="I14343">
        <f>IF(DATOS!$I14343="","",IFERROR(VLOOKUP(DATOS!$I14343,CONFIG_ASIGNATURAS!$B$2:$J$91,9,FALSE()),""))</f>
      </c>
    </row>
    <row r="14344">
      <c r="F14344">
        <f>IF(DATOS!$A14344="","",DATOS!$A14344&amp;"|"&amp;DATOS!$D14344&amp;"|"&amp;DATOS!$E14344&amp;"|"&amp;DATOS!$I14344)</f>
      </c>
      <c r="G14344">
        <f>IF(DATOS!$A14344="",0,IF(CONFIG_METADATA!$B$4&lt;&gt;"OR+EX",--(DATOS!$G14344=CONFIG_METADATA!$B$4),IF(DATOS!$G14344="EX",1,IF(DATOS!$G14344="OR",--(COUNTIFS(nNIA,DATOS!$A14344,nCURSO,DATOS!$D14344,nESPEC,DATOS!$E14344,nASIG,DATOS!$I14344,nEVAL,"EX")=0),0))))</f>
      </c>
      <c r="H14344">
        <f>IF(DATOS!$G14344&lt;&gt;"EX",0,--(COUNTIFS(nNIA,DATOS!$A14344,nCURSO,DATOS!$D14344,nESPEC,DATOS!$E14344,nASIG,DATOS!$I14344,nEVAL,"OR")=0))</f>
      </c>
      <c r="I14344">
        <f>IF(DATOS!$I14344="","",IFERROR(VLOOKUP(DATOS!$I14344,CONFIG_ASIGNATURAS!$B$2:$J$91,9,FALSE()),""))</f>
      </c>
    </row>
    <row r="14345">
      <c r="F14345">
        <f>IF(DATOS!$A14345="","",DATOS!$A14345&amp;"|"&amp;DATOS!$D14345&amp;"|"&amp;DATOS!$E14345&amp;"|"&amp;DATOS!$I14345)</f>
      </c>
      <c r="G14345">
        <f>IF(DATOS!$A14345="",0,IF(CONFIG_METADATA!$B$4&lt;&gt;"OR+EX",--(DATOS!$G14345=CONFIG_METADATA!$B$4),IF(DATOS!$G14345="EX",1,IF(DATOS!$G14345="OR",--(COUNTIFS(nNIA,DATOS!$A14345,nCURSO,DATOS!$D14345,nESPEC,DATOS!$E14345,nASIG,DATOS!$I14345,nEVAL,"EX")=0),0))))</f>
      </c>
      <c r="H14345">
        <f>IF(DATOS!$G14345&lt;&gt;"EX",0,--(COUNTIFS(nNIA,DATOS!$A14345,nCURSO,DATOS!$D14345,nESPEC,DATOS!$E14345,nASIG,DATOS!$I14345,nEVAL,"OR")=0))</f>
      </c>
      <c r="I14345">
        <f>IF(DATOS!$I14345="","",IFERROR(VLOOKUP(DATOS!$I14345,CONFIG_ASIGNATURAS!$B$2:$J$91,9,FALSE()),""))</f>
      </c>
    </row>
    <row r="14346">
      <c r="F14346">
        <f>IF(DATOS!$A14346="","",DATOS!$A14346&amp;"|"&amp;DATOS!$D14346&amp;"|"&amp;DATOS!$E14346&amp;"|"&amp;DATOS!$I14346)</f>
      </c>
      <c r="G14346">
        <f>IF(DATOS!$A14346="",0,IF(CONFIG_METADATA!$B$4&lt;&gt;"OR+EX",--(DATOS!$G14346=CONFIG_METADATA!$B$4),IF(DATOS!$G14346="EX",1,IF(DATOS!$G14346="OR",--(COUNTIFS(nNIA,DATOS!$A14346,nCURSO,DATOS!$D14346,nESPEC,DATOS!$E14346,nASIG,DATOS!$I14346,nEVAL,"EX")=0),0))))</f>
      </c>
      <c r="H14346">
        <f>IF(DATOS!$G14346&lt;&gt;"EX",0,--(COUNTIFS(nNIA,DATOS!$A14346,nCURSO,DATOS!$D14346,nESPEC,DATOS!$E14346,nASIG,DATOS!$I14346,nEVAL,"OR")=0))</f>
      </c>
      <c r="I14346">
        <f>IF(DATOS!$I14346="","",IFERROR(VLOOKUP(DATOS!$I14346,CONFIG_ASIGNATURAS!$B$2:$J$91,9,FALSE()),""))</f>
      </c>
    </row>
    <row r="14347">
      <c r="F14347">
        <f>IF(DATOS!$A14347="","",DATOS!$A14347&amp;"|"&amp;DATOS!$D14347&amp;"|"&amp;DATOS!$E14347&amp;"|"&amp;DATOS!$I14347)</f>
      </c>
      <c r="G14347">
        <f>IF(DATOS!$A14347="",0,IF(CONFIG_METADATA!$B$4&lt;&gt;"OR+EX",--(DATOS!$G14347=CONFIG_METADATA!$B$4),IF(DATOS!$G14347="EX",1,IF(DATOS!$G14347="OR",--(COUNTIFS(nNIA,DATOS!$A14347,nCURSO,DATOS!$D14347,nESPEC,DATOS!$E14347,nASIG,DATOS!$I14347,nEVAL,"EX")=0),0))))</f>
      </c>
      <c r="H14347">
        <f>IF(DATOS!$G14347&lt;&gt;"EX",0,--(COUNTIFS(nNIA,DATOS!$A14347,nCURSO,DATOS!$D14347,nESPEC,DATOS!$E14347,nASIG,DATOS!$I14347,nEVAL,"OR")=0))</f>
      </c>
      <c r="I14347">
        <f>IF(DATOS!$I14347="","",IFERROR(VLOOKUP(DATOS!$I14347,CONFIG_ASIGNATURAS!$B$2:$J$91,9,FALSE()),""))</f>
      </c>
    </row>
    <row r="14348">
      <c r="F14348">
        <f>IF(DATOS!$A14348="","",DATOS!$A14348&amp;"|"&amp;DATOS!$D14348&amp;"|"&amp;DATOS!$E14348&amp;"|"&amp;DATOS!$I14348)</f>
      </c>
      <c r="G14348">
        <f>IF(DATOS!$A14348="",0,IF(CONFIG_METADATA!$B$4&lt;&gt;"OR+EX",--(DATOS!$G14348=CONFIG_METADATA!$B$4),IF(DATOS!$G14348="EX",1,IF(DATOS!$G14348="OR",--(COUNTIFS(nNIA,DATOS!$A14348,nCURSO,DATOS!$D14348,nESPEC,DATOS!$E14348,nASIG,DATOS!$I14348,nEVAL,"EX")=0),0))))</f>
      </c>
      <c r="H14348">
        <f>IF(DATOS!$G14348&lt;&gt;"EX",0,--(COUNTIFS(nNIA,DATOS!$A14348,nCURSO,DATOS!$D14348,nESPEC,DATOS!$E14348,nASIG,DATOS!$I14348,nEVAL,"OR")=0))</f>
      </c>
      <c r="I14348">
        <f>IF(DATOS!$I14348="","",IFERROR(VLOOKUP(DATOS!$I14348,CONFIG_ASIGNATURAS!$B$2:$J$91,9,FALSE()),""))</f>
      </c>
    </row>
    <row r="14349">
      <c r="F14349">
        <f>IF(DATOS!$A14349="","",DATOS!$A14349&amp;"|"&amp;DATOS!$D14349&amp;"|"&amp;DATOS!$E14349&amp;"|"&amp;DATOS!$I14349)</f>
      </c>
      <c r="G14349">
        <f>IF(DATOS!$A14349="",0,IF(CONFIG_METADATA!$B$4&lt;&gt;"OR+EX",--(DATOS!$G14349=CONFIG_METADATA!$B$4),IF(DATOS!$G14349="EX",1,IF(DATOS!$G14349="OR",--(COUNTIFS(nNIA,DATOS!$A14349,nCURSO,DATOS!$D14349,nESPEC,DATOS!$E14349,nASIG,DATOS!$I14349,nEVAL,"EX")=0),0))))</f>
      </c>
      <c r="H14349">
        <f>IF(DATOS!$G14349&lt;&gt;"EX",0,--(COUNTIFS(nNIA,DATOS!$A14349,nCURSO,DATOS!$D14349,nESPEC,DATOS!$E14349,nASIG,DATOS!$I14349,nEVAL,"OR")=0))</f>
      </c>
      <c r="I14349">
        <f>IF(DATOS!$I14349="","",IFERROR(VLOOKUP(DATOS!$I14349,CONFIG_ASIGNATURAS!$B$2:$J$91,9,FALSE()),""))</f>
      </c>
    </row>
    <row r="14350">
      <c r="F14350">
        <f>IF(DATOS!$A14350="","",DATOS!$A14350&amp;"|"&amp;DATOS!$D14350&amp;"|"&amp;DATOS!$E14350&amp;"|"&amp;DATOS!$I14350)</f>
      </c>
      <c r="G14350">
        <f>IF(DATOS!$A14350="",0,IF(CONFIG_METADATA!$B$4&lt;&gt;"OR+EX",--(DATOS!$G14350=CONFIG_METADATA!$B$4),IF(DATOS!$G14350="EX",1,IF(DATOS!$G14350="OR",--(COUNTIFS(nNIA,DATOS!$A14350,nCURSO,DATOS!$D14350,nESPEC,DATOS!$E14350,nASIG,DATOS!$I14350,nEVAL,"EX")=0),0))))</f>
      </c>
      <c r="H14350">
        <f>IF(DATOS!$G14350&lt;&gt;"EX",0,--(COUNTIFS(nNIA,DATOS!$A14350,nCURSO,DATOS!$D14350,nESPEC,DATOS!$E14350,nASIG,DATOS!$I14350,nEVAL,"OR")=0))</f>
      </c>
      <c r="I14350">
        <f>IF(DATOS!$I14350="","",IFERROR(VLOOKUP(DATOS!$I14350,CONFIG_ASIGNATURAS!$B$2:$J$91,9,FALSE()),""))</f>
      </c>
    </row>
    <row r="14351">
      <c r="F14351">
        <f>IF(DATOS!$A14351="","",DATOS!$A14351&amp;"|"&amp;DATOS!$D14351&amp;"|"&amp;DATOS!$E14351&amp;"|"&amp;DATOS!$I14351)</f>
      </c>
      <c r="G14351">
        <f>IF(DATOS!$A14351="",0,IF(CONFIG_METADATA!$B$4&lt;&gt;"OR+EX",--(DATOS!$G14351=CONFIG_METADATA!$B$4),IF(DATOS!$G14351="EX",1,IF(DATOS!$G14351="OR",--(COUNTIFS(nNIA,DATOS!$A14351,nCURSO,DATOS!$D14351,nESPEC,DATOS!$E14351,nASIG,DATOS!$I14351,nEVAL,"EX")=0),0))))</f>
      </c>
      <c r="H14351">
        <f>IF(DATOS!$G14351&lt;&gt;"EX",0,--(COUNTIFS(nNIA,DATOS!$A14351,nCURSO,DATOS!$D14351,nESPEC,DATOS!$E14351,nASIG,DATOS!$I14351,nEVAL,"OR")=0))</f>
      </c>
      <c r="I14351">
        <f>IF(DATOS!$I14351="","",IFERROR(VLOOKUP(DATOS!$I14351,CONFIG_ASIGNATURAS!$B$2:$J$91,9,FALSE()),""))</f>
      </c>
    </row>
    <row r="14352">
      <c r="F14352">
        <f>IF(DATOS!$A14352="","",DATOS!$A14352&amp;"|"&amp;DATOS!$D14352&amp;"|"&amp;DATOS!$E14352&amp;"|"&amp;DATOS!$I14352)</f>
      </c>
      <c r="G14352">
        <f>IF(DATOS!$A14352="",0,IF(CONFIG_METADATA!$B$4&lt;&gt;"OR+EX",--(DATOS!$G14352=CONFIG_METADATA!$B$4),IF(DATOS!$G14352="EX",1,IF(DATOS!$G14352="OR",--(COUNTIFS(nNIA,DATOS!$A14352,nCURSO,DATOS!$D14352,nESPEC,DATOS!$E14352,nASIG,DATOS!$I14352,nEVAL,"EX")=0),0))))</f>
      </c>
      <c r="H14352">
        <f>IF(DATOS!$G14352&lt;&gt;"EX",0,--(COUNTIFS(nNIA,DATOS!$A14352,nCURSO,DATOS!$D14352,nESPEC,DATOS!$E14352,nASIG,DATOS!$I14352,nEVAL,"OR")=0))</f>
      </c>
      <c r="I14352">
        <f>IF(DATOS!$I14352="","",IFERROR(VLOOKUP(DATOS!$I14352,CONFIG_ASIGNATURAS!$B$2:$J$91,9,FALSE()),""))</f>
      </c>
    </row>
    <row r="14353">
      <c r="F14353">
        <f>IF(DATOS!$A14353="","",DATOS!$A14353&amp;"|"&amp;DATOS!$D14353&amp;"|"&amp;DATOS!$E14353&amp;"|"&amp;DATOS!$I14353)</f>
      </c>
      <c r="G14353">
        <f>IF(DATOS!$A14353="",0,IF(CONFIG_METADATA!$B$4&lt;&gt;"OR+EX",--(DATOS!$G14353=CONFIG_METADATA!$B$4),IF(DATOS!$G14353="EX",1,IF(DATOS!$G14353="OR",--(COUNTIFS(nNIA,DATOS!$A14353,nCURSO,DATOS!$D14353,nESPEC,DATOS!$E14353,nASIG,DATOS!$I14353,nEVAL,"EX")=0),0))))</f>
      </c>
      <c r="H14353">
        <f>IF(DATOS!$G14353&lt;&gt;"EX",0,--(COUNTIFS(nNIA,DATOS!$A14353,nCURSO,DATOS!$D14353,nESPEC,DATOS!$E14353,nASIG,DATOS!$I14353,nEVAL,"OR")=0))</f>
      </c>
      <c r="I14353">
        <f>IF(DATOS!$I14353="","",IFERROR(VLOOKUP(DATOS!$I14353,CONFIG_ASIGNATURAS!$B$2:$J$91,9,FALSE()),""))</f>
      </c>
    </row>
    <row r="14354">
      <c r="F14354">
        <f>IF(DATOS!$A14354="","",DATOS!$A14354&amp;"|"&amp;DATOS!$D14354&amp;"|"&amp;DATOS!$E14354&amp;"|"&amp;DATOS!$I14354)</f>
      </c>
      <c r="G14354">
        <f>IF(DATOS!$A14354="",0,IF(CONFIG_METADATA!$B$4&lt;&gt;"OR+EX",--(DATOS!$G14354=CONFIG_METADATA!$B$4),IF(DATOS!$G14354="EX",1,IF(DATOS!$G14354="OR",--(COUNTIFS(nNIA,DATOS!$A14354,nCURSO,DATOS!$D14354,nESPEC,DATOS!$E14354,nASIG,DATOS!$I14354,nEVAL,"EX")=0),0))))</f>
      </c>
      <c r="H14354">
        <f>IF(DATOS!$G14354&lt;&gt;"EX",0,--(COUNTIFS(nNIA,DATOS!$A14354,nCURSO,DATOS!$D14354,nESPEC,DATOS!$E14354,nASIG,DATOS!$I14354,nEVAL,"OR")=0))</f>
      </c>
      <c r="I14354">
        <f>IF(DATOS!$I14354="","",IFERROR(VLOOKUP(DATOS!$I14354,CONFIG_ASIGNATURAS!$B$2:$J$91,9,FALSE()),""))</f>
      </c>
    </row>
    <row r="14355">
      <c r="F14355">
        <f>IF(DATOS!$A14355="","",DATOS!$A14355&amp;"|"&amp;DATOS!$D14355&amp;"|"&amp;DATOS!$E14355&amp;"|"&amp;DATOS!$I14355)</f>
      </c>
      <c r="G14355">
        <f>IF(DATOS!$A14355="",0,IF(CONFIG_METADATA!$B$4&lt;&gt;"OR+EX",--(DATOS!$G14355=CONFIG_METADATA!$B$4),IF(DATOS!$G14355="EX",1,IF(DATOS!$G14355="OR",--(COUNTIFS(nNIA,DATOS!$A14355,nCURSO,DATOS!$D14355,nESPEC,DATOS!$E14355,nASIG,DATOS!$I14355,nEVAL,"EX")=0),0))))</f>
      </c>
      <c r="H14355">
        <f>IF(DATOS!$G14355&lt;&gt;"EX",0,--(COUNTIFS(nNIA,DATOS!$A14355,nCURSO,DATOS!$D14355,nESPEC,DATOS!$E14355,nASIG,DATOS!$I14355,nEVAL,"OR")=0))</f>
      </c>
      <c r="I14355">
        <f>IF(DATOS!$I14355="","",IFERROR(VLOOKUP(DATOS!$I14355,CONFIG_ASIGNATURAS!$B$2:$J$91,9,FALSE()),""))</f>
      </c>
    </row>
    <row r="14356">
      <c r="F14356">
        <f>IF(DATOS!$A14356="","",DATOS!$A14356&amp;"|"&amp;DATOS!$D14356&amp;"|"&amp;DATOS!$E14356&amp;"|"&amp;DATOS!$I14356)</f>
      </c>
      <c r="G14356">
        <f>IF(DATOS!$A14356="",0,IF(CONFIG_METADATA!$B$4&lt;&gt;"OR+EX",--(DATOS!$G14356=CONFIG_METADATA!$B$4),IF(DATOS!$G14356="EX",1,IF(DATOS!$G14356="OR",--(COUNTIFS(nNIA,DATOS!$A14356,nCURSO,DATOS!$D14356,nESPEC,DATOS!$E14356,nASIG,DATOS!$I14356,nEVAL,"EX")=0),0))))</f>
      </c>
      <c r="H14356">
        <f>IF(DATOS!$G14356&lt;&gt;"EX",0,--(COUNTIFS(nNIA,DATOS!$A14356,nCURSO,DATOS!$D14356,nESPEC,DATOS!$E14356,nASIG,DATOS!$I14356,nEVAL,"OR")=0))</f>
      </c>
      <c r="I14356">
        <f>IF(DATOS!$I14356="","",IFERROR(VLOOKUP(DATOS!$I14356,CONFIG_ASIGNATURAS!$B$2:$J$91,9,FALSE()),""))</f>
      </c>
    </row>
    <row r="14357">
      <c r="F14357">
        <f>IF(DATOS!$A14357="","",DATOS!$A14357&amp;"|"&amp;DATOS!$D14357&amp;"|"&amp;DATOS!$E14357&amp;"|"&amp;DATOS!$I14357)</f>
      </c>
      <c r="G14357">
        <f>IF(DATOS!$A14357="",0,IF(CONFIG_METADATA!$B$4&lt;&gt;"OR+EX",--(DATOS!$G14357=CONFIG_METADATA!$B$4),IF(DATOS!$G14357="EX",1,IF(DATOS!$G14357="OR",--(COUNTIFS(nNIA,DATOS!$A14357,nCURSO,DATOS!$D14357,nESPEC,DATOS!$E14357,nASIG,DATOS!$I14357,nEVAL,"EX")=0),0))))</f>
      </c>
      <c r="H14357">
        <f>IF(DATOS!$G14357&lt;&gt;"EX",0,--(COUNTIFS(nNIA,DATOS!$A14357,nCURSO,DATOS!$D14357,nESPEC,DATOS!$E14357,nASIG,DATOS!$I14357,nEVAL,"OR")=0))</f>
      </c>
      <c r="I14357">
        <f>IF(DATOS!$I14357="","",IFERROR(VLOOKUP(DATOS!$I14357,CONFIG_ASIGNATURAS!$B$2:$J$91,9,FALSE()),""))</f>
      </c>
    </row>
    <row r="14358">
      <c r="F14358">
        <f>IF(DATOS!$A14358="","",DATOS!$A14358&amp;"|"&amp;DATOS!$D14358&amp;"|"&amp;DATOS!$E14358&amp;"|"&amp;DATOS!$I14358)</f>
      </c>
      <c r="G14358">
        <f>IF(DATOS!$A14358="",0,IF(CONFIG_METADATA!$B$4&lt;&gt;"OR+EX",--(DATOS!$G14358=CONFIG_METADATA!$B$4),IF(DATOS!$G14358="EX",1,IF(DATOS!$G14358="OR",--(COUNTIFS(nNIA,DATOS!$A14358,nCURSO,DATOS!$D14358,nESPEC,DATOS!$E14358,nASIG,DATOS!$I14358,nEVAL,"EX")=0),0))))</f>
      </c>
      <c r="H14358">
        <f>IF(DATOS!$G14358&lt;&gt;"EX",0,--(COUNTIFS(nNIA,DATOS!$A14358,nCURSO,DATOS!$D14358,nESPEC,DATOS!$E14358,nASIG,DATOS!$I14358,nEVAL,"OR")=0))</f>
      </c>
      <c r="I14358">
        <f>IF(DATOS!$I14358="","",IFERROR(VLOOKUP(DATOS!$I14358,CONFIG_ASIGNATURAS!$B$2:$J$91,9,FALSE()),""))</f>
      </c>
    </row>
    <row r="14359">
      <c r="F14359">
        <f>IF(DATOS!$A14359="","",DATOS!$A14359&amp;"|"&amp;DATOS!$D14359&amp;"|"&amp;DATOS!$E14359&amp;"|"&amp;DATOS!$I14359)</f>
      </c>
      <c r="G14359">
        <f>IF(DATOS!$A14359="",0,IF(CONFIG_METADATA!$B$4&lt;&gt;"OR+EX",--(DATOS!$G14359=CONFIG_METADATA!$B$4),IF(DATOS!$G14359="EX",1,IF(DATOS!$G14359="OR",--(COUNTIFS(nNIA,DATOS!$A14359,nCURSO,DATOS!$D14359,nESPEC,DATOS!$E14359,nASIG,DATOS!$I14359,nEVAL,"EX")=0),0))))</f>
      </c>
      <c r="H14359">
        <f>IF(DATOS!$G14359&lt;&gt;"EX",0,--(COUNTIFS(nNIA,DATOS!$A14359,nCURSO,DATOS!$D14359,nESPEC,DATOS!$E14359,nASIG,DATOS!$I14359,nEVAL,"OR")=0))</f>
      </c>
      <c r="I14359">
        <f>IF(DATOS!$I14359="","",IFERROR(VLOOKUP(DATOS!$I14359,CONFIG_ASIGNATURAS!$B$2:$J$91,9,FALSE()),""))</f>
      </c>
    </row>
    <row r="14360">
      <c r="F14360">
        <f>IF(DATOS!$A14360="","",DATOS!$A14360&amp;"|"&amp;DATOS!$D14360&amp;"|"&amp;DATOS!$E14360&amp;"|"&amp;DATOS!$I14360)</f>
      </c>
      <c r="G14360">
        <f>IF(DATOS!$A14360="",0,IF(CONFIG_METADATA!$B$4&lt;&gt;"OR+EX",--(DATOS!$G14360=CONFIG_METADATA!$B$4),IF(DATOS!$G14360="EX",1,IF(DATOS!$G14360="OR",--(COUNTIFS(nNIA,DATOS!$A14360,nCURSO,DATOS!$D14360,nESPEC,DATOS!$E14360,nASIG,DATOS!$I14360,nEVAL,"EX")=0),0))))</f>
      </c>
      <c r="H14360">
        <f>IF(DATOS!$G14360&lt;&gt;"EX",0,--(COUNTIFS(nNIA,DATOS!$A14360,nCURSO,DATOS!$D14360,nESPEC,DATOS!$E14360,nASIG,DATOS!$I14360,nEVAL,"OR")=0))</f>
      </c>
      <c r="I14360">
        <f>IF(DATOS!$I14360="","",IFERROR(VLOOKUP(DATOS!$I14360,CONFIG_ASIGNATURAS!$B$2:$J$91,9,FALSE()),""))</f>
      </c>
    </row>
    <row r="14361">
      <c r="F14361">
        <f>IF(DATOS!$A14361="","",DATOS!$A14361&amp;"|"&amp;DATOS!$D14361&amp;"|"&amp;DATOS!$E14361&amp;"|"&amp;DATOS!$I14361)</f>
      </c>
      <c r="G14361">
        <f>IF(DATOS!$A14361="",0,IF(CONFIG_METADATA!$B$4&lt;&gt;"OR+EX",--(DATOS!$G14361=CONFIG_METADATA!$B$4),IF(DATOS!$G14361="EX",1,IF(DATOS!$G14361="OR",--(COUNTIFS(nNIA,DATOS!$A14361,nCURSO,DATOS!$D14361,nESPEC,DATOS!$E14361,nASIG,DATOS!$I14361,nEVAL,"EX")=0),0))))</f>
      </c>
      <c r="H14361">
        <f>IF(DATOS!$G14361&lt;&gt;"EX",0,--(COUNTIFS(nNIA,DATOS!$A14361,nCURSO,DATOS!$D14361,nESPEC,DATOS!$E14361,nASIG,DATOS!$I14361,nEVAL,"OR")=0))</f>
      </c>
      <c r="I14361">
        <f>IF(DATOS!$I14361="","",IFERROR(VLOOKUP(DATOS!$I14361,CONFIG_ASIGNATURAS!$B$2:$J$91,9,FALSE()),""))</f>
      </c>
    </row>
    <row r="14362">
      <c r="F14362">
        <f>IF(DATOS!$A14362="","",DATOS!$A14362&amp;"|"&amp;DATOS!$D14362&amp;"|"&amp;DATOS!$E14362&amp;"|"&amp;DATOS!$I14362)</f>
      </c>
      <c r="G14362">
        <f>IF(DATOS!$A14362="",0,IF(CONFIG_METADATA!$B$4&lt;&gt;"OR+EX",--(DATOS!$G14362=CONFIG_METADATA!$B$4),IF(DATOS!$G14362="EX",1,IF(DATOS!$G14362="OR",--(COUNTIFS(nNIA,DATOS!$A14362,nCURSO,DATOS!$D14362,nESPEC,DATOS!$E14362,nASIG,DATOS!$I14362,nEVAL,"EX")=0),0))))</f>
      </c>
      <c r="H14362">
        <f>IF(DATOS!$G14362&lt;&gt;"EX",0,--(COUNTIFS(nNIA,DATOS!$A14362,nCURSO,DATOS!$D14362,nESPEC,DATOS!$E14362,nASIG,DATOS!$I14362,nEVAL,"OR")=0))</f>
      </c>
      <c r="I14362">
        <f>IF(DATOS!$I14362="","",IFERROR(VLOOKUP(DATOS!$I14362,CONFIG_ASIGNATURAS!$B$2:$J$91,9,FALSE()),""))</f>
      </c>
    </row>
    <row r="14363">
      <c r="F14363">
        <f>IF(DATOS!$A14363="","",DATOS!$A14363&amp;"|"&amp;DATOS!$D14363&amp;"|"&amp;DATOS!$E14363&amp;"|"&amp;DATOS!$I14363)</f>
      </c>
      <c r="G14363">
        <f>IF(DATOS!$A14363="",0,IF(CONFIG_METADATA!$B$4&lt;&gt;"OR+EX",--(DATOS!$G14363=CONFIG_METADATA!$B$4),IF(DATOS!$G14363="EX",1,IF(DATOS!$G14363="OR",--(COUNTIFS(nNIA,DATOS!$A14363,nCURSO,DATOS!$D14363,nESPEC,DATOS!$E14363,nASIG,DATOS!$I14363,nEVAL,"EX")=0),0))))</f>
      </c>
      <c r="H14363">
        <f>IF(DATOS!$G14363&lt;&gt;"EX",0,--(COUNTIFS(nNIA,DATOS!$A14363,nCURSO,DATOS!$D14363,nESPEC,DATOS!$E14363,nASIG,DATOS!$I14363,nEVAL,"OR")=0))</f>
      </c>
      <c r="I14363">
        <f>IF(DATOS!$I14363="","",IFERROR(VLOOKUP(DATOS!$I14363,CONFIG_ASIGNATURAS!$B$2:$J$91,9,FALSE()),""))</f>
      </c>
    </row>
    <row r="14364">
      <c r="F14364">
        <f>IF(DATOS!$A14364="","",DATOS!$A14364&amp;"|"&amp;DATOS!$D14364&amp;"|"&amp;DATOS!$E14364&amp;"|"&amp;DATOS!$I14364)</f>
      </c>
      <c r="G14364">
        <f>IF(DATOS!$A14364="",0,IF(CONFIG_METADATA!$B$4&lt;&gt;"OR+EX",--(DATOS!$G14364=CONFIG_METADATA!$B$4),IF(DATOS!$G14364="EX",1,IF(DATOS!$G14364="OR",--(COUNTIFS(nNIA,DATOS!$A14364,nCURSO,DATOS!$D14364,nESPEC,DATOS!$E14364,nASIG,DATOS!$I14364,nEVAL,"EX")=0),0))))</f>
      </c>
      <c r="H14364">
        <f>IF(DATOS!$G14364&lt;&gt;"EX",0,--(COUNTIFS(nNIA,DATOS!$A14364,nCURSO,DATOS!$D14364,nESPEC,DATOS!$E14364,nASIG,DATOS!$I14364,nEVAL,"OR")=0))</f>
      </c>
      <c r="I14364">
        <f>IF(DATOS!$I14364="","",IFERROR(VLOOKUP(DATOS!$I14364,CONFIG_ASIGNATURAS!$B$2:$J$91,9,FALSE()),""))</f>
      </c>
    </row>
    <row r="14365">
      <c r="F14365">
        <f>IF(DATOS!$A14365="","",DATOS!$A14365&amp;"|"&amp;DATOS!$D14365&amp;"|"&amp;DATOS!$E14365&amp;"|"&amp;DATOS!$I14365)</f>
      </c>
      <c r="G14365">
        <f>IF(DATOS!$A14365="",0,IF(CONFIG_METADATA!$B$4&lt;&gt;"OR+EX",--(DATOS!$G14365=CONFIG_METADATA!$B$4),IF(DATOS!$G14365="EX",1,IF(DATOS!$G14365="OR",--(COUNTIFS(nNIA,DATOS!$A14365,nCURSO,DATOS!$D14365,nESPEC,DATOS!$E14365,nASIG,DATOS!$I14365,nEVAL,"EX")=0),0))))</f>
      </c>
      <c r="H14365">
        <f>IF(DATOS!$G14365&lt;&gt;"EX",0,--(COUNTIFS(nNIA,DATOS!$A14365,nCURSO,DATOS!$D14365,nESPEC,DATOS!$E14365,nASIG,DATOS!$I14365,nEVAL,"OR")=0))</f>
      </c>
      <c r="I14365">
        <f>IF(DATOS!$I14365="","",IFERROR(VLOOKUP(DATOS!$I14365,CONFIG_ASIGNATURAS!$B$2:$J$91,9,FALSE()),""))</f>
      </c>
    </row>
    <row r="14366">
      <c r="F14366">
        <f>IF(DATOS!$A14366="","",DATOS!$A14366&amp;"|"&amp;DATOS!$D14366&amp;"|"&amp;DATOS!$E14366&amp;"|"&amp;DATOS!$I14366)</f>
      </c>
      <c r="G14366">
        <f>IF(DATOS!$A14366="",0,IF(CONFIG_METADATA!$B$4&lt;&gt;"OR+EX",--(DATOS!$G14366=CONFIG_METADATA!$B$4),IF(DATOS!$G14366="EX",1,IF(DATOS!$G14366="OR",--(COUNTIFS(nNIA,DATOS!$A14366,nCURSO,DATOS!$D14366,nESPEC,DATOS!$E14366,nASIG,DATOS!$I14366,nEVAL,"EX")=0),0))))</f>
      </c>
      <c r="H14366">
        <f>IF(DATOS!$G14366&lt;&gt;"EX",0,--(COUNTIFS(nNIA,DATOS!$A14366,nCURSO,DATOS!$D14366,nESPEC,DATOS!$E14366,nASIG,DATOS!$I14366,nEVAL,"OR")=0))</f>
      </c>
      <c r="I14366">
        <f>IF(DATOS!$I14366="","",IFERROR(VLOOKUP(DATOS!$I14366,CONFIG_ASIGNATURAS!$B$2:$J$91,9,FALSE()),""))</f>
      </c>
    </row>
    <row r="14367">
      <c r="F14367">
        <f>IF(DATOS!$A14367="","",DATOS!$A14367&amp;"|"&amp;DATOS!$D14367&amp;"|"&amp;DATOS!$E14367&amp;"|"&amp;DATOS!$I14367)</f>
      </c>
      <c r="G14367">
        <f>IF(DATOS!$A14367="",0,IF(CONFIG_METADATA!$B$4&lt;&gt;"OR+EX",--(DATOS!$G14367=CONFIG_METADATA!$B$4),IF(DATOS!$G14367="EX",1,IF(DATOS!$G14367="OR",--(COUNTIFS(nNIA,DATOS!$A14367,nCURSO,DATOS!$D14367,nESPEC,DATOS!$E14367,nASIG,DATOS!$I14367,nEVAL,"EX")=0),0))))</f>
      </c>
      <c r="H14367">
        <f>IF(DATOS!$G14367&lt;&gt;"EX",0,--(COUNTIFS(nNIA,DATOS!$A14367,nCURSO,DATOS!$D14367,nESPEC,DATOS!$E14367,nASIG,DATOS!$I14367,nEVAL,"OR")=0))</f>
      </c>
      <c r="I14367">
        <f>IF(DATOS!$I14367="","",IFERROR(VLOOKUP(DATOS!$I14367,CONFIG_ASIGNATURAS!$B$2:$J$91,9,FALSE()),""))</f>
      </c>
    </row>
    <row r="14368">
      <c r="F14368">
        <f>IF(DATOS!$A14368="","",DATOS!$A14368&amp;"|"&amp;DATOS!$D14368&amp;"|"&amp;DATOS!$E14368&amp;"|"&amp;DATOS!$I14368)</f>
      </c>
      <c r="G14368">
        <f>IF(DATOS!$A14368="",0,IF(CONFIG_METADATA!$B$4&lt;&gt;"OR+EX",--(DATOS!$G14368=CONFIG_METADATA!$B$4),IF(DATOS!$G14368="EX",1,IF(DATOS!$G14368="OR",--(COUNTIFS(nNIA,DATOS!$A14368,nCURSO,DATOS!$D14368,nESPEC,DATOS!$E14368,nASIG,DATOS!$I14368,nEVAL,"EX")=0),0))))</f>
      </c>
      <c r="H14368">
        <f>IF(DATOS!$G14368&lt;&gt;"EX",0,--(COUNTIFS(nNIA,DATOS!$A14368,nCURSO,DATOS!$D14368,nESPEC,DATOS!$E14368,nASIG,DATOS!$I14368,nEVAL,"OR")=0))</f>
      </c>
      <c r="I14368">
        <f>IF(DATOS!$I14368="","",IFERROR(VLOOKUP(DATOS!$I14368,CONFIG_ASIGNATURAS!$B$2:$J$91,9,FALSE()),""))</f>
      </c>
    </row>
    <row r="14369">
      <c r="F14369">
        <f>IF(DATOS!$A14369="","",DATOS!$A14369&amp;"|"&amp;DATOS!$D14369&amp;"|"&amp;DATOS!$E14369&amp;"|"&amp;DATOS!$I14369)</f>
      </c>
      <c r="G14369">
        <f>IF(DATOS!$A14369="",0,IF(CONFIG_METADATA!$B$4&lt;&gt;"OR+EX",--(DATOS!$G14369=CONFIG_METADATA!$B$4),IF(DATOS!$G14369="EX",1,IF(DATOS!$G14369="OR",--(COUNTIFS(nNIA,DATOS!$A14369,nCURSO,DATOS!$D14369,nESPEC,DATOS!$E14369,nASIG,DATOS!$I14369,nEVAL,"EX")=0),0))))</f>
      </c>
      <c r="H14369">
        <f>IF(DATOS!$G14369&lt;&gt;"EX",0,--(COUNTIFS(nNIA,DATOS!$A14369,nCURSO,DATOS!$D14369,nESPEC,DATOS!$E14369,nASIG,DATOS!$I14369,nEVAL,"OR")=0))</f>
      </c>
      <c r="I14369">
        <f>IF(DATOS!$I14369="","",IFERROR(VLOOKUP(DATOS!$I14369,CONFIG_ASIGNATURAS!$B$2:$J$91,9,FALSE()),""))</f>
      </c>
    </row>
    <row r="14370">
      <c r="F14370">
        <f>IF(DATOS!$A14370="","",DATOS!$A14370&amp;"|"&amp;DATOS!$D14370&amp;"|"&amp;DATOS!$E14370&amp;"|"&amp;DATOS!$I14370)</f>
      </c>
      <c r="G14370">
        <f>IF(DATOS!$A14370="",0,IF(CONFIG_METADATA!$B$4&lt;&gt;"OR+EX",--(DATOS!$G14370=CONFIG_METADATA!$B$4),IF(DATOS!$G14370="EX",1,IF(DATOS!$G14370="OR",--(COUNTIFS(nNIA,DATOS!$A14370,nCURSO,DATOS!$D14370,nESPEC,DATOS!$E14370,nASIG,DATOS!$I14370,nEVAL,"EX")=0),0))))</f>
      </c>
      <c r="H14370">
        <f>IF(DATOS!$G14370&lt;&gt;"EX",0,--(COUNTIFS(nNIA,DATOS!$A14370,nCURSO,DATOS!$D14370,nESPEC,DATOS!$E14370,nASIG,DATOS!$I14370,nEVAL,"OR")=0))</f>
      </c>
      <c r="I14370">
        <f>IF(DATOS!$I14370="","",IFERROR(VLOOKUP(DATOS!$I14370,CONFIG_ASIGNATURAS!$B$2:$J$91,9,FALSE()),""))</f>
      </c>
    </row>
    <row r="14371">
      <c r="F14371">
        <f>IF(DATOS!$A14371="","",DATOS!$A14371&amp;"|"&amp;DATOS!$D14371&amp;"|"&amp;DATOS!$E14371&amp;"|"&amp;DATOS!$I14371)</f>
      </c>
      <c r="G14371">
        <f>IF(DATOS!$A14371="",0,IF(CONFIG_METADATA!$B$4&lt;&gt;"OR+EX",--(DATOS!$G14371=CONFIG_METADATA!$B$4),IF(DATOS!$G14371="EX",1,IF(DATOS!$G14371="OR",--(COUNTIFS(nNIA,DATOS!$A14371,nCURSO,DATOS!$D14371,nESPEC,DATOS!$E14371,nASIG,DATOS!$I14371,nEVAL,"EX")=0),0))))</f>
      </c>
      <c r="H14371">
        <f>IF(DATOS!$G14371&lt;&gt;"EX",0,--(COUNTIFS(nNIA,DATOS!$A14371,nCURSO,DATOS!$D14371,nESPEC,DATOS!$E14371,nASIG,DATOS!$I14371,nEVAL,"OR")=0))</f>
      </c>
      <c r="I14371">
        <f>IF(DATOS!$I14371="","",IFERROR(VLOOKUP(DATOS!$I14371,CONFIG_ASIGNATURAS!$B$2:$J$91,9,FALSE()),""))</f>
      </c>
    </row>
    <row r="14372">
      <c r="F14372">
        <f>IF(DATOS!$A14372="","",DATOS!$A14372&amp;"|"&amp;DATOS!$D14372&amp;"|"&amp;DATOS!$E14372&amp;"|"&amp;DATOS!$I14372)</f>
      </c>
      <c r="G14372">
        <f>IF(DATOS!$A14372="",0,IF(CONFIG_METADATA!$B$4&lt;&gt;"OR+EX",--(DATOS!$G14372=CONFIG_METADATA!$B$4),IF(DATOS!$G14372="EX",1,IF(DATOS!$G14372="OR",--(COUNTIFS(nNIA,DATOS!$A14372,nCURSO,DATOS!$D14372,nESPEC,DATOS!$E14372,nASIG,DATOS!$I14372,nEVAL,"EX")=0),0))))</f>
      </c>
      <c r="H14372">
        <f>IF(DATOS!$G14372&lt;&gt;"EX",0,--(COUNTIFS(nNIA,DATOS!$A14372,nCURSO,DATOS!$D14372,nESPEC,DATOS!$E14372,nASIG,DATOS!$I14372,nEVAL,"OR")=0))</f>
      </c>
      <c r="I14372">
        <f>IF(DATOS!$I14372="","",IFERROR(VLOOKUP(DATOS!$I14372,CONFIG_ASIGNATURAS!$B$2:$J$91,9,FALSE()),""))</f>
      </c>
    </row>
    <row r="14373">
      <c r="F14373">
        <f>IF(DATOS!$A14373="","",DATOS!$A14373&amp;"|"&amp;DATOS!$D14373&amp;"|"&amp;DATOS!$E14373&amp;"|"&amp;DATOS!$I14373)</f>
      </c>
      <c r="G14373">
        <f>IF(DATOS!$A14373="",0,IF(CONFIG_METADATA!$B$4&lt;&gt;"OR+EX",--(DATOS!$G14373=CONFIG_METADATA!$B$4),IF(DATOS!$G14373="EX",1,IF(DATOS!$G14373="OR",--(COUNTIFS(nNIA,DATOS!$A14373,nCURSO,DATOS!$D14373,nESPEC,DATOS!$E14373,nASIG,DATOS!$I14373,nEVAL,"EX")=0),0))))</f>
      </c>
      <c r="H14373">
        <f>IF(DATOS!$G14373&lt;&gt;"EX",0,--(COUNTIFS(nNIA,DATOS!$A14373,nCURSO,DATOS!$D14373,nESPEC,DATOS!$E14373,nASIG,DATOS!$I14373,nEVAL,"OR")=0))</f>
      </c>
      <c r="I14373">
        <f>IF(DATOS!$I14373="","",IFERROR(VLOOKUP(DATOS!$I14373,CONFIG_ASIGNATURAS!$B$2:$J$91,9,FALSE()),""))</f>
      </c>
    </row>
    <row r="14374">
      <c r="F14374">
        <f>IF(DATOS!$A14374="","",DATOS!$A14374&amp;"|"&amp;DATOS!$D14374&amp;"|"&amp;DATOS!$E14374&amp;"|"&amp;DATOS!$I14374)</f>
      </c>
      <c r="G14374">
        <f>IF(DATOS!$A14374="",0,IF(CONFIG_METADATA!$B$4&lt;&gt;"OR+EX",--(DATOS!$G14374=CONFIG_METADATA!$B$4),IF(DATOS!$G14374="EX",1,IF(DATOS!$G14374="OR",--(COUNTIFS(nNIA,DATOS!$A14374,nCURSO,DATOS!$D14374,nESPEC,DATOS!$E14374,nASIG,DATOS!$I14374,nEVAL,"EX")=0),0))))</f>
      </c>
      <c r="H14374">
        <f>IF(DATOS!$G14374&lt;&gt;"EX",0,--(COUNTIFS(nNIA,DATOS!$A14374,nCURSO,DATOS!$D14374,nESPEC,DATOS!$E14374,nASIG,DATOS!$I14374,nEVAL,"OR")=0))</f>
      </c>
      <c r="I14374">
        <f>IF(DATOS!$I14374="","",IFERROR(VLOOKUP(DATOS!$I14374,CONFIG_ASIGNATURAS!$B$2:$J$91,9,FALSE()),""))</f>
      </c>
    </row>
    <row r="14375">
      <c r="F14375">
        <f>IF(DATOS!$A14375="","",DATOS!$A14375&amp;"|"&amp;DATOS!$D14375&amp;"|"&amp;DATOS!$E14375&amp;"|"&amp;DATOS!$I14375)</f>
      </c>
      <c r="G14375">
        <f>IF(DATOS!$A14375="",0,IF(CONFIG_METADATA!$B$4&lt;&gt;"OR+EX",--(DATOS!$G14375=CONFIG_METADATA!$B$4),IF(DATOS!$G14375="EX",1,IF(DATOS!$G14375="OR",--(COUNTIFS(nNIA,DATOS!$A14375,nCURSO,DATOS!$D14375,nESPEC,DATOS!$E14375,nASIG,DATOS!$I14375,nEVAL,"EX")=0),0))))</f>
      </c>
      <c r="H14375">
        <f>IF(DATOS!$G14375&lt;&gt;"EX",0,--(COUNTIFS(nNIA,DATOS!$A14375,nCURSO,DATOS!$D14375,nESPEC,DATOS!$E14375,nASIG,DATOS!$I14375,nEVAL,"OR")=0))</f>
      </c>
      <c r="I14375">
        <f>IF(DATOS!$I14375="","",IFERROR(VLOOKUP(DATOS!$I14375,CONFIG_ASIGNATURAS!$B$2:$J$91,9,FALSE()),""))</f>
      </c>
    </row>
    <row r="14376">
      <c r="F14376">
        <f>IF(DATOS!$A14376="","",DATOS!$A14376&amp;"|"&amp;DATOS!$D14376&amp;"|"&amp;DATOS!$E14376&amp;"|"&amp;DATOS!$I14376)</f>
      </c>
      <c r="G14376">
        <f>IF(DATOS!$A14376="",0,IF(CONFIG_METADATA!$B$4&lt;&gt;"OR+EX",--(DATOS!$G14376=CONFIG_METADATA!$B$4),IF(DATOS!$G14376="EX",1,IF(DATOS!$G14376="OR",--(COUNTIFS(nNIA,DATOS!$A14376,nCURSO,DATOS!$D14376,nESPEC,DATOS!$E14376,nASIG,DATOS!$I14376,nEVAL,"EX")=0),0))))</f>
      </c>
      <c r="H14376">
        <f>IF(DATOS!$G14376&lt;&gt;"EX",0,--(COUNTIFS(nNIA,DATOS!$A14376,nCURSO,DATOS!$D14376,nESPEC,DATOS!$E14376,nASIG,DATOS!$I14376,nEVAL,"OR")=0))</f>
      </c>
      <c r="I14376">
        <f>IF(DATOS!$I14376="","",IFERROR(VLOOKUP(DATOS!$I14376,CONFIG_ASIGNATURAS!$B$2:$J$91,9,FALSE()),""))</f>
      </c>
    </row>
    <row r="14377">
      <c r="F14377">
        <f>IF(DATOS!$A14377="","",DATOS!$A14377&amp;"|"&amp;DATOS!$D14377&amp;"|"&amp;DATOS!$E14377&amp;"|"&amp;DATOS!$I14377)</f>
      </c>
      <c r="G14377">
        <f>IF(DATOS!$A14377="",0,IF(CONFIG_METADATA!$B$4&lt;&gt;"OR+EX",--(DATOS!$G14377=CONFIG_METADATA!$B$4),IF(DATOS!$G14377="EX",1,IF(DATOS!$G14377="OR",--(COUNTIFS(nNIA,DATOS!$A14377,nCURSO,DATOS!$D14377,nESPEC,DATOS!$E14377,nASIG,DATOS!$I14377,nEVAL,"EX")=0),0))))</f>
      </c>
      <c r="H14377">
        <f>IF(DATOS!$G14377&lt;&gt;"EX",0,--(COUNTIFS(nNIA,DATOS!$A14377,nCURSO,DATOS!$D14377,nESPEC,DATOS!$E14377,nASIG,DATOS!$I14377,nEVAL,"OR")=0))</f>
      </c>
      <c r="I14377">
        <f>IF(DATOS!$I14377="","",IFERROR(VLOOKUP(DATOS!$I14377,CONFIG_ASIGNATURAS!$B$2:$J$91,9,FALSE()),""))</f>
      </c>
    </row>
    <row r="14378">
      <c r="F14378">
        <f>IF(DATOS!$A14378="","",DATOS!$A14378&amp;"|"&amp;DATOS!$D14378&amp;"|"&amp;DATOS!$E14378&amp;"|"&amp;DATOS!$I14378)</f>
      </c>
      <c r="G14378">
        <f>IF(DATOS!$A14378="",0,IF(CONFIG_METADATA!$B$4&lt;&gt;"OR+EX",--(DATOS!$G14378=CONFIG_METADATA!$B$4),IF(DATOS!$G14378="EX",1,IF(DATOS!$G14378="OR",--(COUNTIFS(nNIA,DATOS!$A14378,nCURSO,DATOS!$D14378,nESPEC,DATOS!$E14378,nASIG,DATOS!$I14378,nEVAL,"EX")=0),0))))</f>
      </c>
      <c r="H14378">
        <f>IF(DATOS!$G14378&lt;&gt;"EX",0,--(COUNTIFS(nNIA,DATOS!$A14378,nCURSO,DATOS!$D14378,nESPEC,DATOS!$E14378,nASIG,DATOS!$I14378,nEVAL,"OR")=0))</f>
      </c>
      <c r="I14378">
        <f>IF(DATOS!$I14378="","",IFERROR(VLOOKUP(DATOS!$I14378,CONFIG_ASIGNATURAS!$B$2:$J$91,9,FALSE()),""))</f>
      </c>
    </row>
    <row r="14379">
      <c r="F14379">
        <f>IF(DATOS!$A14379="","",DATOS!$A14379&amp;"|"&amp;DATOS!$D14379&amp;"|"&amp;DATOS!$E14379&amp;"|"&amp;DATOS!$I14379)</f>
      </c>
      <c r="G14379">
        <f>IF(DATOS!$A14379="",0,IF(CONFIG_METADATA!$B$4&lt;&gt;"OR+EX",--(DATOS!$G14379=CONFIG_METADATA!$B$4),IF(DATOS!$G14379="EX",1,IF(DATOS!$G14379="OR",--(COUNTIFS(nNIA,DATOS!$A14379,nCURSO,DATOS!$D14379,nESPEC,DATOS!$E14379,nASIG,DATOS!$I14379,nEVAL,"EX")=0),0))))</f>
      </c>
      <c r="H14379">
        <f>IF(DATOS!$G14379&lt;&gt;"EX",0,--(COUNTIFS(nNIA,DATOS!$A14379,nCURSO,DATOS!$D14379,nESPEC,DATOS!$E14379,nASIG,DATOS!$I14379,nEVAL,"OR")=0))</f>
      </c>
      <c r="I14379">
        <f>IF(DATOS!$I14379="","",IFERROR(VLOOKUP(DATOS!$I14379,CONFIG_ASIGNATURAS!$B$2:$J$91,9,FALSE()),""))</f>
      </c>
    </row>
    <row r="14380">
      <c r="F14380">
        <f>IF(DATOS!$A14380="","",DATOS!$A14380&amp;"|"&amp;DATOS!$D14380&amp;"|"&amp;DATOS!$E14380&amp;"|"&amp;DATOS!$I14380)</f>
      </c>
      <c r="G14380">
        <f>IF(DATOS!$A14380="",0,IF(CONFIG_METADATA!$B$4&lt;&gt;"OR+EX",--(DATOS!$G14380=CONFIG_METADATA!$B$4),IF(DATOS!$G14380="EX",1,IF(DATOS!$G14380="OR",--(COUNTIFS(nNIA,DATOS!$A14380,nCURSO,DATOS!$D14380,nESPEC,DATOS!$E14380,nASIG,DATOS!$I14380,nEVAL,"EX")=0),0))))</f>
      </c>
      <c r="H14380">
        <f>IF(DATOS!$G14380&lt;&gt;"EX",0,--(COUNTIFS(nNIA,DATOS!$A14380,nCURSO,DATOS!$D14380,nESPEC,DATOS!$E14380,nASIG,DATOS!$I14380,nEVAL,"OR")=0))</f>
      </c>
      <c r="I14380">
        <f>IF(DATOS!$I14380="","",IFERROR(VLOOKUP(DATOS!$I14380,CONFIG_ASIGNATURAS!$B$2:$J$91,9,FALSE()),""))</f>
      </c>
    </row>
    <row r="14381">
      <c r="F14381">
        <f>IF(DATOS!$A14381="","",DATOS!$A14381&amp;"|"&amp;DATOS!$D14381&amp;"|"&amp;DATOS!$E14381&amp;"|"&amp;DATOS!$I14381)</f>
      </c>
      <c r="G14381">
        <f>IF(DATOS!$A14381="",0,IF(CONFIG_METADATA!$B$4&lt;&gt;"OR+EX",--(DATOS!$G14381=CONFIG_METADATA!$B$4),IF(DATOS!$G14381="EX",1,IF(DATOS!$G14381="OR",--(COUNTIFS(nNIA,DATOS!$A14381,nCURSO,DATOS!$D14381,nESPEC,DATOS!$E14381,nASIG,DATOS!$I14381,nEVAL,"EX")=0),0))))</f>
      </c>
      <c r="H14381">
        <f>IF(DATOS!$G14381&lt;&gt;"EX",0,--(COUNTIFS(nNIA,DATOS!$A14381,nCURSO,DATOS!$D14381,nESPEC,DATOS!$E14381,nASIG,DATOS!$I14381,nEVAL,"OR")=0))</f>
      </c>
      <c r="I14381">
        <f>IF(DATOS!$I14381="","",IFERROR(VLOOKUP(DATOS!$I14381,CONFIG_ASIGNATURAS!$B$2:$J$91,9,FALSE()),""))</f>
      </c>
    </row>
    <row r="14382">
      <c r="F14382">
        <f>IF(DATOS!$A14382="","",DATOS!$A14382&amp;"|"&amp;DATOS!$D14382&amp;"|"&amp;DATOS!$E14382&amp;"|"&amp;DATOS!$I14382)</f>
      </c>
      <c r="G14382">
        <f>IF(DATOS!$A14382="",0,IF(CONFIG_METADATA!$B$4&lt;&gt;"OR+EX",--(DATOS!$G14382=CONFIG_METADATA!$B$4),IF(DATOS!$G14382="EX",1,IF(DATOS!$G14382="OR",--(COUNTIFS(nNIA,DATOS!$A14382,nCURSO,DATOS!$D14382,nESPEC,DATOS!$E14382,nASIG,DATOS!$I14382,nEVAL,"EX")=0),0))))</f>
      </c>
      <c r="H14382">
        <f>IF(DATOS!$G14382&lt;&gt;"EX",0,--(COUNTIFS(nNIA,DATOS!$A14382,nCURSO,DATOS!$D14382,nESPEC,DATOS!$E14382,nASIG,DATOS!$I14382,nEVAL,"OR")=0))</f>
      </c>
      <c r="I14382">
        <f>IF(DATOS!$I14382="","",IFERROR(VLOOKUP(DATOS!$I14382,CONFIG_ASIGNATURAS!$B$2:$J$91,9,FALSE()),""))</f>
      </c>
    </row>
    <row r="14383">
      <c r="F14383">
        <f>IF(DATOS!$A14383="","",DATOS!$A14383&amp;"|"&amp;DATOS!$D14383&amp;"|"&amp;DATOS!$E14383&amp;"|"&amp;DATOS!$I14383)</f>
      </c>
      <c r="G14383">
        <f>IF(DATOS!$A14383="",0,IF(CONFIG_METADATA!$B$4&lt;&gt;"OR+EX",--(DATOS!$G14383=CONFIG_METADATA!$B$4),IF(DATOS!$G14383="EX",1,IF(DATOS!$G14383="OR",--(COUNTIFS(nNIA,DATOS!$A14383,nCURSO,DATOS!$D14383,nESPEC,DATOS!$E14383,nASIG,DATOS!$I14383,nEVAL,"EX")=0),0))))</f>
      </c>
      <c r="H14383">
        <f>IF(DATOS!$G14383&lt;&gt;"EX",0,--(COUNTIFS(nNIA,DATOS!$A14383,nCURSO,DATOS!$D14383,nESPEC,DATOS!$E14383,nASIG,DATOS!$I14383,nEVAL,"OR")=0))</f>
      </c>
      <c r="I14383">
        <f>IF(DATOS!$I14383="","",IFERROR(VLOOKUP(DATOS!$I14383,CONFIG_ASIGNATURAS!$B$2:$J$91,9,FALSE()),""))</f>
      </c>
    </row>
    <row r="14384">
      <c r="F14384">
        <f>IF(DATOS!$A14384="","",DATOS!$A14384&amp;"|"&amp;DATOS!$D14384&amp;"|"&amp;DATOS!$E14384&amp;"|"&amp;DATOS!$I14384)</f>
      </c>
      <c r="G14384">
        <f>IF(DATOS!$A14384="",0,IF(CONFIG_METADATA!$B$4&lt;&gt;"OR+EX",--(DATOS!$G14384=CONFIG_METADATA!$B$4),IF(DATOS!$G14384="EX",1,IF(DATOS!$G14384="OR",--(COUNTIFS(nNIA,DATOS!$A14384,nCURSO,DATOS!$D14384,nESPEC,DATOS!$E14384,nASIG,DATOS!$I14384,nEVAL,"EX")=0),0))))</f>
      </c>
      <c r="H14384">
        <f>IF(DATOS!$G14384&lt;&gt;"EX",0,--(COUNTIFS(nNIA,DATOS!$A14384,nCURSO,DATOS!$D14384,nESPEC,DATOS!$E14384,nASIG,DATOS!$I14384,nEVAL,"OR")=0))</f>
      </c>
      <c r="I14384">
        <f>IF(DATOS!$I14384="","",IFERROR(VLOOKUP(DATOS!$I14384,CONFIG_ASIGNATURAS!$B$2:$J$91,9,FALSE()),""))</f>
      </c>
    </row>
    <row r="14385">
      <c r="F14385">
        <f>IF(DATOS!$A14385="","",DATOS!$A14385&amp;"|"&amp;DATOS!$D14385&amp;"|"&amp;DATOS!$E14385&amp;"|"&amp;DATOS!$I14385)</f>
      </c>
      <c r="G14385">
        <f>IF(DATOS!$A14385="",0,IF(CONFIG_METADATA!$B$4&lt;&gt;"OR+EX",--(DATOS!$G14385=CONFIG_METADATA!$B$4),IF(DATOS!$G14385="EX",1,IF(DATOS!$G14385="OR",--(COUNTIFS(nNIA,DATOS!$A14385,nCURSO,DATOS!$D14385,nESPEC,DATOS!$E14385,nASIG,DATOS!$I14385,nEVAL,"EX")=0),0))))</f>
      </c>
      <c r="H14385">
        <f>IF(DATOS!$G14385&lt;&gt;"EX",0,--(COUNTIFS(nNIA,DATOS!$A14385,nCURSO,DATOS!$D14385,nESPEC,DATOS!$E14385,nASIG,DATOS!$I14385,nEVAL,"OR")=0))</f>
      </c>
      <c r="I14385">
        <f>IF(DATOS!$I14385="","",IFERROR(VLOOKUP(DATOS!$I14385,CONFIG_ASIGNATURAS!$B$2:$J$91,9,FALSE()),""))</f>
      </c>
    </row>
    <row r="14386">
      <c r="F14386">
        <f>IF(DATOS!$A14386="","",DATOS!$A14386&amp;"|"&amp;DATOS!$D14386&amp;"|"&amp;DATOS!$E14386&amp;"|"&amp;DATOS!$I14386)</f>
      </c>
      <c r="G14386">
        <f>IF(DATOS!$A14386="",0,IF(CONFIG_METADATA!$B$4&lt;&gt;"OR+EX",--(DATOS!$G14386=CONFIG_METADATA!$B$4),IF(DATOS!$G14386="EX",1,IF(DATOS!$G14386="OR",--(COUNTIFS(nNIA,DATOS!$A14386,nCURSO,DATOS!$D14386,nESPEC,DATOS!$E14386,nASIG,DATOS!$I14386,nEVAL,"EX")=0),0))))</f>
      </c>
      <c r="H14386">
        <f>IF(DATOS!$G14386&lt;&gt;"EX",0,--(COUNTIFS(nNIA,DATOS!$A14386,nCURSO,DATOS!$D14386,nESPEC,DATOS!$E14386,nASIG,DATOS!$I14386,nEVAL,"OR")=0))</f>
      </c>
      <c r="I14386">
        <f>IF(DATOS!$I14386="","",IFERROR(VLOOKUP(DATOS!$I14386,CONFIG_ASIGNATURAS!$B$2:$J$91,9,FALSE()),""))</f>
      </c>
    </row>
    <row r="14387">
      <c r="F14387">
        <f>IF(DATOS!$A14387="","",DATOS!$A14387&amp;"|"&amp;DATOS!$D14387&amp;"|"&amp;DATOS!$E14387&amp;"|"&amp;DATOS!$I14387)</f>
      </c>
      <c r="G14387">
        <f>IF(DATOS!$A14387="",0,IF(CONFIG_METADATA!$B$4&lt;&gt;"OR+EX",--(DATOS!$G14387=CONFIG_METADATA!$B$4),IF(DATOS!$G14387="EX",1,IF(DATOS!$G14387="OR",--(COUNTIFS(nNIA,DATOS!$A14387,nCURSO,DATOS!$D14387,nESPEC,DATOS!$E14387,nASIG,DATOS!$I14387,nEVAL,"EX")=0),0))))</f>
      </c>
      <c r="H14387">
        <f>IF(DATOS!$G14387&lt;&gt;"EX",0,--(COUNTIFS(nNIA,DATOS!$A14387,nCURSO,DATOS!$D14387,nESPEC,DATOS!$E14387,nASIG,DATOS!$I14387,nEVAL,"OR")=0))</f>
      </c>
      <c r="I14387">
        <f>IF(DATOS!$I14387="","",IFERROR(VLOOKUP(DATOS!$I14387,CONFIG_ASIGNATURAS!$B$2:$J$91,9,FALSE()),""))</f>
      </c>
    </row>
    <row r="14388">
      <c r="F14388">
        <f>IF(DATOS!$A14388="","",DATOS!$A14388&amp;"|"&amp;DATOS!$D14388&amp;"|"&amp;DATOS!$E14388&amp;"|"&amp;DATOS!$I14388)</f>
      </c>
      <c r="G14388">
        <f>IF(DATOS!$A14388="",0,IF(CONFIG_METADATA!$B$4&lt;&gt;"OR+EX",--(DATOS!$G14388=CONFIG_METADATA!$B$4),IF(DATOS!$G14388="EX",1,IF(DATOS!$G14388="OR",--(COUNTIFS(nNIA,DATOS!$A14388,nCURSO,DATOS!$D14388,nESPEC,DATOS!$E14388,nASIG,DATOS!$I14388,nEVAL,"EX")=0),0))))</f>
      </c>
      <c r="H14388">
        <f>IF(DATOS!$G14388&lt;&gt;"EX",0,--(COUNTIFS(nNIA,DATOS!$A14388,nCURSO,DATOS!$D14388,nESPEC,DATOS!$E14388,nASIG,DATOS!$I14388,nEVAL,"OR")=0))</f>
      </c>
      <c r="I14388">
        <f>IF(DATOS!$I14388="","",IFERROR(VLOOKUP(DATOS!$I14388,CONFIG_ASIGNATURAS!$B$2:$J$91,9,FALSE()),""))</f>
      </c>
    </row>
    <row r="14389">
      <c r="F14389">
        <f>IF(DATOS!$A14389="","",DATOS!$A14389&amp;"|"&amp;DATOS!$D14389&amp;"|"&amp;DATOS!$E14389&amp;"|"&amp;DATOS!$I14389)</f>
      </c>
      <c r="G14389">
        <f>IF(DATOS!$A14389="",0,IF(CONFIG_METADATA!$B$4&lt;&gt;"OR+EX",--(DATOS!$G14389=CONFIG_METADATA!$B$4),IF(DATOS!$G14389="EX",1,IF(DATOS!$G14389="OR",--(COUNTIFS(nNIA,DATOS!$A14389,nCURSO,DATOS!$D14389,nESPEC,DATOS!$E14389,nASIG,DATOS!$I14389,nEVAL,"EX")=0),0))))</f>
      </c>
      <c r="H14389">
        <f>IF(DATOS!$G14389&lt;&gt;"EX",0,--(COUNTIFS(nNIA,DATOS!$A14389,nCURSO,DATOS!$D14389,nESPEC,DATOS!$E14389,nASIG,DATOS!$I14389,nEVAL,"OR")=0))</f>
      </c>
      <c r="I14389">
        <f>IF(DATOS!$I14389="","",IFERROR(VLOOKUP(DATOS!$I14389,CONFIG_ASIGNATURAS!$B$2:$J$91,9,FALSE()),""))</f>
      </c>
    </row>
    <row r="14390">
      <c r="F14390">
        <f>IF(DATOS!$A14390="","",DATOS!$A14390&amp;"|"&amp;DATOS!$D14390&amp;"|"&amp;DATOS!$E14390&amp;"|"&amp;DATOS!$I14390)</f>
      </c>
      <c r="G14390">
        <f>IF(DATOS!$A14390="",0,IF(CONFIG_METADATA!$B$4&lt;&gt;"OR+EX",--(DATOS!$G14390=CONFIG_METADATA!$B$4),IF(DATOS!$G14390="EX",1,IF(DATOS!$G14390="OR",--(COUNTIFS(nNIA,DATOS!$A14390,nCURSO,DATOS!$D14390,nESPEC,DATOS!$E14390,nASIG,DATOS!$I14390,nEVAL,"EX")=0),0))))</f>
      </c>
      <c r="H14390">
        <f>IF(DATOS!$G14390&lt;&gt;"EX",0,--(COUNTIFS(nNIA,DATOS!$A14390,nCURSO,DATOS!$D14390,nESPEC,DATOS!$E14390,nASIG,DATOS!$I14390,nEVAL,"OR")=0))</f>
      </c>
      <c r="I14390">
        <f>IF(DATOS!$I14390="","",IFERROR(VLOOKUP(DATOS!$I14390,CONFIG_ASIGNATURAS!$B$2:$J$91,9,FALSE()),""))</f>
      </c>
    </row>
    <row r="14391">
      <c r="F14391">
        <f>IF(DATOS!$A14391="","",DATOS!$A14391&amp;"|"&amp;DATOS!$D14391&amp;"|"&amp;DATOS!$E14391&amp;"|"&amp;DATOS!$I14391)</f>
      </c>
      <c r="G14391">
        <f>IF(DATOS!$A14391="",0,IF(CONFIG_METADATA!$B$4&lt;&gt;"OR+EX",--(DATOS!$G14391=CONFIG_METADATA!$B$4),IF(DATOS!$G14391="EX",1,IF(DATOS!$G14391="OR",--(COUNTIFS(nNIA,DATOS!$A14391,nCURSO,DATOS!$D14391,nESPEC,DATOS!$E14391,nASIG,DATOS!$I14391,nEVAL,"EX")=0),0))))</f>
      </c>
      <c r="H14391">
        <f>IF(DATOS!$G14391&lt;&gt;"EX",0,--(COUNTIFS(nNIA,DATOS!$A14391,nCURSO,DATOS!$D14391,nESPEC,DATOS!$E14391,nASIG,DATOS!$I14391,nEVAL,"OR")=0))</f>
      </c>
      <c r="I14391">
        <f>IF(DATOS!$I14391="","",IFERROR(VLOOKUP(DATOS!$I14391,CONFIG_ASIGNATURAS!$B$2:$J$91,9,FALSE()),""))</f>
      </c>
    </row>
    <row r="14392">
      <c r="F14392">
        <f>IF(DATOS!$A14392="","",DATOS!$A14392&amp;"|"&amp;DATOS!$D14392&amp;"|"&amp;DATOS!$E14392&amp;"|"&amp;DATOS!$I14392)</f>
      </c>
      <c r="G14392">
        <f>IF(DATOS!$A14392="",0,IF(CONFIG_METADATA!$B$4&lt;&gt;"OR+EX",--(DATOS!$G14392=CONFIG_METADATA!$B$4),IF(DATOS!$G14392="EX",1,IF(DATOS!$G14392="OR",--(COUNTIFS(nNIA,DATOS!$A14392,nCURSO,DATOS!$D14392,nESPEC,DATOS!$E14392,nASIG,DATOS!$I14392,nEVAL,"EX")=0),0))))</f>
      </c>
      <c r="H14392">
        <f>IF(DATOS!$G14392&lt;&gt;"EX",0,--(COUNTIFS(nNIA,DATOS!$A14392,nCURSO,DATOS!$D14392,nESPEC,DATOS!$E14392,nASIG,DATOS!$I14392,nEVAL,"OR")=0))</f>
      </c>
      <c r="I14392">
        <f>IF(DATOS!$I14392="","",IFERROR(VLOOKUP(DATOS!$I14392,CONFIG_ASIGNATURAS!$B$2:$J$91,9,FALSE()),""))</f>
      </c>
    </row>
    <row r="14393">
      <c r="F14393">
        <f>IF(DATOS!$A14393="","",DATOS!$A14393&amp;"|"&amp;DATOS!$D14393&amp;"|"&amp;DATOS!$E14393&amp;"|"&amp;DATOS!$I14393)</f>
      </c>
      <c r="G14393">
        <f>IF(DATOS!$A14393="",0,IF(CONFIG_METADATA!$B$4&lt;&gt;"OR+EX",--(DATOS!$G14393=CONFIG_METADATA!$B$4),IF(DATOS!$G14393="EX",1,IF(DATOS!$G14393="OR",--(COUNTIFS(nNIA,DATOS!$A14393,nCURSO,DATOS!$D14393,nESPEC,DATOS!$E14393,nASIG,DATOS!$I14393,nEVAL,"EX")=0),0))))</f>
      </c>
      <c r="H14393">
        <f>IF(DATOS!$G14393&lt;&gt;"EX",0,--(COUNTIFS(nNIA,DATOS!$A14393,nCURSO,DATOS!$D14393,nESPEC,DATOS!$E14393,nASIG,DATOS!$I14393,nEVAL,"OR")=0))</f>
      </c>
      <c r="I14393">
        <f>IF(DATOS!$I14393="","",IFERROR(VLOOKUP(DATOS!$I14393,CONFIG_ASIGNATURAS!$B$2:$J$91,9,FALSE()),""))</f>
      </c>
    </row>
    <row r="14394">
      <c r="F14394">
        <f>IF(DATOS!$A14394="","",DATOS!$A14394&amp;"|"&amp;DATOS!$D14394&amp;"|"&amp;DATOS!$E14394&amp;"|"&amp;DATOS!$I14394)</f>
      </c>
      <c r="G14394">
        <f>IF(DATOS!$A14394="",0,IF(CONFIG_METADATA!$B$4&lt;&gt;"OR+EX",--(DATOS!$G14394=CONFIG_METADATA!$B$4),IF(DATOS!$G14394="EX",1,IF(DATOS!$G14394="OR",--(COUNTIFS(nNIA,DATOS!$A14394,nCURSO,DATOS!$D14394,nESPEC,DATOS!$E14394,nASIG,DATOS!$I14394,nEVAL,"EX")=0),0))))</f>
      </c>
      <c r="H14394">
        <f>IF(DATOS!$G14394&lt;&gt;"EX",0,--(COUNTIFS(nNIA,DATOS!$A14394,nCURSO,DATOS!$D14394,nESPEC,DATOS!$E14394,nASIG,DATOS!$I14394,nEVAL,"OR")=0))</f>
      </c>
      <c r="I14394">
        <f>IF(DATOS!$I14394="","",IFERROR(VLOOKUP(DATOS!$I14394,CONFIG_ASIGNATURAS!$B$2:$J$91,9,FALSE()),""))</f>
      </c>
    </row>
    <row r="14395">
      <c r="F14395">
        <f>IF(DATOS!$A14395="","",DATOS!$A14395&amp;"|"&amp;DATOS!$D14395&amp;"|"&amp;DATOS!$E14395&amp;"|"&amp;DATOS!$I14395)</f>
      </c>
      <c r="G14395">
        <f>IF(DATOS!$A14395="",0,IF(CONFIG_METADATA!$B$4&lt;&gt;"OR+EX",--(DATOS!$G14395=CONFIG_METADATA!$B$4),IF(DATOS!$G14395="EX",1,IF(DATOS!$G14395="OR",--(COUNTIFS(nNIA,DATOS!$A14395,nCURSO,DATOS!$D14395,nESPEC,DATOS!$E14395,nASIG,DATOS!$I14395,nEVAL,"EX")=0),0))))</f>
      </c>
      <c r="H14395">
        <f>IF(DATOS!$G14395&lt;&gt;"EX",0,--(COUNTIFS(nNIA,DATOS!$A14395,nCURSO,DATOS!$D14395,nESPEC,DATOS!$E14395,nASIG,DATOS!$I14395,nEVAL,"OR")=0))</f>
      </c>
      <c r="I14395">
        <f>IF(DATOS!$I14395="","",IFERROR(VLOOKUP(DATOS!$I14395,CONFIG_ASIGNATURAS!$B$2:$J$91,9,FALSE()),""))</f>
      </c>
    </row>
    <row r="14396">
      <c r="F14396">
        <f>IF(DATOS!$A14396="","",DATOS!$A14396&amp;"|"&amp;DATOS!$D14396&amp;"|"&amp;DATOS!$E14396&amp;"|"&amp;DATOS!$I14396)</f>
      </c>
      <c r="G14396">
        <f>IF(DATOS!$A14396="",0,IF(CONFIG_METADATA!$B$4&lt;&gt;"OR+EX",--(DATOS!$G14396=CONFIG_METADATA!$B$4),IF(DATOS!$G14396="EX",1,IF(DATOS!$G14396="OR",--(COUNTIFS(nNIA,DATOS!$A14396,nCURSO,DATOS!$D14396,nESPEC,DATOS!$E14396,nASIG,DATOS!$I14396,nEVAL,"EX")=0),0))))</f>
      </c>
      <c r="H14396">
        <f>IF(DATOS!$G14396&lt;&gt;"EX",0,--(COUNTIFS(nNIA,DATOS!$A14396,nCURSO,DATOS!$D14396,nESPEC,DATOS!$E14396,nASIG,DATOS!$I14396,nEVAL,"OR")=0))</f>
      </c>
      <c r="I14396">
        <f>IF(DATOS!$I14396="","",IFERROR(VLOOKUP(DATOS!$I14396,CONFIG_ASIGNATURAS!$B$2:$J$91,9,FALSE()),""))</f>
      </c>
    </row>
    <row r="14397">
      <c r="F14397">
        <f>IF(DATOS!$A14397="","",DATOS!$A14397&amp;"|"&amp;DATOS!$D14397&amp;"|"&amp;DATOS!$E14397&amp;"|"&amp;DATOS!$I14397)</f>
      </c>
      <c r="G14397">
        <f>IF(DATOS!$A14397="",0,IF(CONFIG_METADATA!$B$4&lt;&gt;"OR+EX",--(DATOS!$G14397=CONFIG_METADATA!$B$4),IF(DATOS!$G14397="EX",1,IF(DATOS!$G14397="OR",--(COUNTIFS(nNIA,DATOS!$A14397,nCURSO,DATOS!$D14397,nESPEC,DATOS!$E14397,nASIG,DATOS!$I14397,nEVAL,"EX")=0),0))))</f>
      </c>
      <c r="H14397">
        <f>IF(DATOS!$G14397&lt;&gt;"EX",0,--(COUNTIFS(nNIA,DATOS!$A14397,nCURSO,DATOS!$D14397,nESPEC,DATOS!$E14397,nASIG,DATOS!$I14397,nEVAL,"OR")=0))</f>
      </c>
      <c r="I14397">
        <f>IF(DATOS!$I14397="","",IFERROR(VLOOKUP(DATOS!$I14397,CONFIG_ASIGNATURAS!$B$2:$J$91,9,FALSE()),""))</f>
      </c>
    </row>
    <row r="14398">
      <c r="F14398">
        <f>IF(DATOS!$A14398="","",DATOS!$A14398&amp;"|"&amp;DATOS!$D14398&amp;"|"&amp;DATOS!$E14398&amp;"|"&amp;DATOS!$I14398)</f>
      </c>
      <c r="G14398">
        <f>IF(DATOS!$A14398="",0,IF(CONFIG_METADATA!$B$4&lt;&gt;"OR+EX",--(DATOS!$G14398=CONFIG_METADATA!$B$4),IF(DATOS!$G14398="EX",1,IF(DATOS!$G14398="OR",--(COUNTIFS(nNIA,DATOS!$A14398,nCURSO,DATOS!$D14398,nESPEC,DATOS!$E14398,nASIG,DATOS!$I14398,nEVAL,"EX")=0),0))))</f>
      </c>
      <c r="H14398">
        <f>IF(DATOS!$G14398&lt;&gt;"EX",0,--(COUNTIFS(nNIA,DATOS!$A14398,nCURSO,DATOS!$D14398,nESPEC,DATOS!$E14398,nASIG,DATOS!$I14398,nEVAL,"OR")=0))</f>
      </c>
      <c r="I14398">
        <f>IF(DATOS!$I14398="","",IFERROR(VLOOKUP(DATOS!$I14398,CONFIG_ASIGNATURAS!$B$2:$J$91,9,FALSE()),""))</f>
      </c>
    </row>
    <row r="14399">
      <c r="F14399">
        <f>IF(DATOS!$A14399="","",DATOS!$A14399&amp;"|"&amp;DATOS!$D14399&amp;"|"&amp;DATOS!$E14399&amp;"|"&amp;DATOS!$I14399)</f>
      </c>
      <c r="G14399">
        <f>IF(DATOS!$A14399="",0,IF(CONFIG_METADATA!$B$4&lt;&gt;"OR+EX",--(DATOS!$G14399=CONFIG_METADATA!$B$4),IF(DATOS!$G14399="EX",1,IF(DATOS!$G14399="OR",--(COUNTIFS(nNIA,DATOS!$A14399,nCURSO,DATOS!$D14399,nESPEC,DATOS!$E14399,nASIG,DATOS!$I14399,nEVAL,"EX")=0),0))))</f>
      </c>
      <c r="H14399">
        <f>IF(DATOS!$G14399&lt;&gt;"EX",0,--(COUNTIFS(nNIA,DATOS!$A14399,nCURSO,DATOS!$D14399,nESPEC,DATOS!$E14399,nASIG,DATOS!$I14399,nEVAL,"OR")=0))</f>
      </c>
      <c r="I14399">
        <f>IF(DATOS!$I14399="","",IFERROR(VLOOKUP(DATOS!$I14399,CONFIG_ASIGNATURAS!$B$2:$J$91,9,FALSE()),""))</f>
      </c>
    </row>
    <row r="14400">
      <c r="F14400">
        <f>IF(DATOS!$A14400="","",DATOS!$A14400&amp;"|"&amp;DATOS!$D14400&amp;"|"&amp;DATOS!$E14400&amp;"|"&amp;DATOS!$I14400)</f>
      </c>
      <c r="G14400">
        <f>IF(DATOS!$A14400="",0,IF(CONFIG_METADATA!$B$4&lt;&gt;"OR+EX",--(DATOS!$G14400=CONFIG_METADATA!$B$4),IF(DATOS!$G14400="EX",1,IF(DATOS!$G14400="OR",--(COUNTIFS(nNIA,DATOS!$A14400,nCURSO,DATOS!$D14400,nESPEC,DATOS!$E14400,nASIG,DATOS!$I14400,nEVAL,"EX")=0),0))))</f>
      </c>
      <c r="H14400">
        <f>IF(DATOS!$G14400&lt;&gt;"EX",0,--(COUNTIFS(nNIA,DATOS!$A14400,nCURSO,DATOS!$D14400,nESPEC,DATOS!$E14400,nASIG,DATOS!$I14400,nEVAL,"OR")=0))</f>
      </c>
      <c r="I14400">
        <f>IF(DATOS!$I14400="","",IFERROR(VLOOKUP(DATOS!$I14400,CONFIG_ASIGNATURAS!$B$2:$J$91,9,FALSE()),""))</f>
      </c>
    </row>
    <row r="14401">
      <c r="F14401">
        <f>IF(DATOS!$A14401="","",DATOS!$A14401&amp;"|"&amp;DATOS!$D14401&amp;"|"&amp;DATOS!$E14401&amp;"|"&amp;DATOS!$I14401)</f>
      </c>
      <c r="G14401">
        <f>IF(DATOS!$A14401="",0,IF(CONFIG_METADATA!$B$4&lt;&gt;"OR+EX",--(DATOS!$G14401=CONFIG_METADATA!$B$4),IF(DATOS!$G14401="EX",1,IF(DATOS!$G14401="OR",--(COUNTIFS(nNIA,DATOS!$A14401,nCURSO,DATOS!$D14401,nESPEC,DATOS!$E14401,nASIG,DATOS!$I14401,nEVAL,"EX")=0),0))))</f>
      </c>
      <c r="H14401">
        <f>IF(DATOS!$G14401&lt;&gt;"EX",0,--(COUNTIFS(nNIA,DATOS!$A14401,nCURSO,DATOS!$D14401,nESPEC,DATOS!$E14401,nASIG,DATOS!$I14401,nEVAL,"OR")=0))</f>
      </c>
      <c r="I14401">
        <f>IF(DATOS!$I14401="","",IFERROR(VLOOKUP(DATOS!$I14401,CONFIG_ASIGNATURAS!$B$2:$J$91,9,FALSE()),""))</f>
      </c>
    </row>
    <row r="14402">
      <c r="F14402">
        <f>IF(DATOS!$A14402="","",DATOS!$A14402&amp;"|"&amp;DATOS!$D14402&amp;"|"&amp;DATOS!$E14402&amp;"|"&amp;DATOS!$I14402)</f>
      </c>
      <c r="G14402">
        <f>IF(DATOS!$A14402="",0,IF(CONFIG_METADATA!$B$4&lt;&gt;"OR+EX",--(DATOS!$G14402=CONFIG_METADATA!$B$4),IF(DATOS!$G14402="EX",1,IF(DATOS!$G14402="OR",--(COUNTIFS(nNIA,DATOS!$A14402,nCURSO,DATOS!$D14402,nESPEC,DATOS!$E14402,nASIG,DATOS!$I14402,nEVAL,"EX")=0),0))))</f>
      </c>
      <c r="H14402">
        <f>IF(DATOS!$G14402&lt;&gt;"EX",0,--(COUNTIFS(nNIA,DATOS!$A14402,nCURSO,DATOS!$D14402,nESPEC,DATOS!$E14402,nASIG,DATOS!$I14402,nEVAL,"OR")=0))</f>
      </c>
      <c r="I14402">
        <f>IF(DATOS!$I14402="","",IFERROR(VLOOKUP(DATOS!$I14402,CONFIG_ASIGNATURAS!$B$2:$J$91,9,FALSE()),""))</f>
      </c>
    </row>
    <row r="14403">
      <c r="F14403">
        <f>IF(DATOS!$A14403="","",DATOS!$A14403&amp;"|"&amp;DATOS!$D14403&amp;"|"&amp;DATOS!$E14403&amp;"|"&amp;DATOS!$I14403)</f>
      </c>
      <c r="G14403">
        <f>IF(DATOS!$A14403="",0,IF(CONFIG_METADATA!$B$4&lt;&gt;"OR+EX",--(DATOS!$G14403=CONFIG_METADATA!$B$4),IF(DATOS!$G14403="EX",1,IF(DATOS!$G14403="OR",--(COUNTIFS(nNIA,DATOS!$A14403,nCURSO,DATOS!$D14403,nESPEC,DATOS!$E14403,nASIG,DATOS!$I14403,nEVAL,"EX")=0),0))))</f>
      </c>
      <c r="H14403">
        <f>IF(DATOS!$G14403&lt;&gt;"EX",0,--(COUNTIFS(nNIA,DATOS!$A14403,nCURSO,DATOS!$D14403,nESPEC,DATOS!$E14403,nASIG,DATOS!$I14403,nEVAL,"OR")=0))</f>
      </c>
      <c r="I14403">
        <f>IF(DATOS!$I14403="","",IFERROR(VLOOKUP(DATOS!$I14403,CONFIG_ASIGNATURAS!$B$2:$J$91,9,FALSE()),""))</f>
      </c>
    </row>
    <row r="14404">
      <c r="F14404">
        <f>IF(DATOS!$A14404="","",DATOS!$A14404&amp;"|"&amp;DATOS!$D14404&amp;"|"&amp;DATOS!$E14404&amp;"|"&amp;DATOS!$I14404)</f>
      </c>
      <c r="G14404">
        <f>IF(DATOS!$A14404="",0,IF(CONFIG_METADATA!$B$4&lt;&gt;"OR+EX",--(DATOS!$G14404=CONFIG_METADATA!$B$4),IF(DATOS!$G14404="EX",1,IF(DATOS!$G14404="OR",--(COUNTIFS(nNIA,DATOS!$A14404,nCURSO,DATOS!$D14404,nESPEC,DATOS!$E14404,nASIG,DATOS!$I14404,nEVAL,"EX")=0),0))))</f>
      </c>
      <c r="H14404">
        <f>IF(DATOS!$G14404&lt;&gt;"EX",0,--(COUNTIFS(nNIA,DATOS!$A14404,nCURSO,DATOS!$D14404,nESPEC,DATOS!$E14404,nASIG,DATOS!$I14404,nEVAL,"OR")=0))</f>
      </c>
      <c r="I14404">
        <f>IF(DATOS!$I14404="","",IFERROR(VLOOKUP(DATOS!$I14404,CONFIG_ASIGNATURAS!$B$2:$J$91,9,FALSE()),""))</f>
      </c>
    </row>
    <row r="14405">
      <c r="F14405">
        <f>IF(DATOS!$A14405="","",DATOS!$A14405&amp;"|"&amp;DATOS!$D14405&amp;"|"&amp;DATOS!$E14405&amp;"|"&amp;DATOS!$I14405)</f>
      </c>
      <c r="G14405">
        <f>IF(DATOS!$A14405="",0,IF(CONFIG_METADATA!$B$4&lt;&gt;"OR+EX",--(DATOS!$G14405=CONFIG_METADATA!$B$4),IF(DATOS!$G14405="EX",1,IF(DATOS!$G14405="OR",--(COUNTIFS(nNIA,DATOS!$A14405,nCURSO,DATOS!$D14405,nESPEC,DATOS!$E14405,nASIG,DATOS!$I14405,nEVAL,"EX")=0),0))))</f>
      </c>
      <c r="H14405">
        <f>IF(DATOS!$G14405&lt;&gt;"EX",0,--(COUNTIFS(nNIA,DATOS!$A14405,nCURSO,DATOS!$D14405,nESPEC,DATOS!$E14405,nASIG,DATOS!$I14405,nEVAL,"OR")=0))</f>
      </c>
      <c r="I14405">
        <f>IF(DATOS!$I14405="","",IFERROR(VLOOKUP(DATOS!$I14405,CONFIG_ASIGNATURAS!$B$2:$J$91,9,FALSE()),""))</f>
      </c>
    </row>
    <row r="14406">
      <c r="F14406">
        <f>IF(DATOS!$A14406="","",DATOS!$A14406&amp;"|"&amp;DATOS!$D14406&amp;"|"&amp;DATOS!$E14406&amp;"|"&amp;DATOS!$I14406)</f>
      </c>
      <c r="G14406">
        <f>IF(DATOS!$A14406="",0,IF(CONFIG_METADATA!$B$4&lt;&gt;"OR+EX",--(DATOS!$G14406=CONFIG_METADATA!$B$4),IF(DATOS!$G14406="EX",1,IF(DATOS!$G14406="OR",--(COUNTIFS(nNIA,DATOS!$A14406,nCURSO,DATOS!$D14406,nESPEC,DATOS!$E14406,nASIG,DATOS!$I14406,nEVAL,"EX")=0),0))))</f>
      </c>
      <c r="H14406">
        <f>IF(DATOS!$G14406&lt;&gt;"EX",0,--(COUNTIFS(nNIA,DATOS!$A14406,nCURSO,DATOS!$D14406,nESPEC,DATOS!$E14406,nASIG,DATOS!$I14406,nEVAL,"OR")=0))</f>
      </c>
      <c r="I14406">
        <f>IF(DATOS!$I14406="","",IFERROR(VLOOKUP(DATOS!$I14406,CONFIG_ASIGNATURAS!$B$2:$J$91,9,FALSE()),""))</f>
      </c>
    </row>
    <row r="14407">
      <c r="F14407">
        <f>IF(DATOS!$A14407="","",DATOS!$A14407&amp;"|"&amp;DATOS!$D14407&amp;"|"&amp;DATOS!$E14407&amp;"|"&amp;DATOS!$I14407)</f>
      </c>
      <c r="G14407">
        <f>IF(DATOS!$A14407="",0,IF(CONFIG_METADATA!$B$4&lt;&gt;"OR+EX",--(DATOS!$G14407=CONFIG_METADATA!$B$4),IF(DATOS!$G14407="EX",1,IF(DATOS!$G14407="OR",--(COUNTIFS(nNIA,DATOS!$A14407,nCURSO,DATOS!$D14407,nESPEC,DATOS!$E14407,nASIG,DATOS!$I14407,nEVAL,"EX")=0),0))))</f>
      </c>
      <c r="H14407">
        <f>IF(DATOS!$G14407&lt;&gt;"EX",0,--(COUNTIFS(nNIA,DATOS!$A14407,nCURSO,DATOS!$D14407,nESPEC,DATOS!$E14407,nASIG,DATOS!$I14407,nEVAL,"OR")=0))</f>
      </c>
      <c r="I14407">
        <f>IF(DATOS!$I14407="","",IFERROR(VLOOKUP(DATOS!$I14407,CONFIG_ASIGNATURAS!$B$2:$J$91,9,FALSE()),""))</f>
      </c>
    </row>
    <row r="14408">
      <c r="F14408">
        <f>IF(DATOS!$A14408="","",DATOS!$A14408&amp;"|"&amp;DATOS!$D14408&amp;"|"&amp;DATOS!$E14408&amp;"|"&amp;DATOS!$I14408)</f>
      </c>
      <c r="G14408">
        <f>IF(DATOS!$A14408="",0,IF(CONFIG_METADATA!$B$4&lt;&gt;"OR+EX",--(DATOS!$G14408=CONFIG_METADATA!$B$4),IF(DATOS!$G14408="EX",1,IF(DATOS!$G14408="OR",--(COUNTIFS(nNIA,DATOS!$A14408,nCURSO,DATOS!$D14408,nESPEC,DATOS!$E14408,nASIG,DATOS!$I14408,nEVAL,"EX")=0),0))))</f>
      </c>
      <c r="H14408">
        <f>IF(DATOS!$G14408&lt;&gt;"EX",0,--(COUNTIFS(nNIA,DATOS!$A14408,nCURSO,DATOS!$D14408,nESPEC,DATOS!$E14408,nASIG,DATOS!$I14408,nEVAL,"OR")=0))</f>
      </c>
      <c r="I14408">
        <f>IF(DATOS!$I14408="","",IFERROR(VLOOKUP(DATOS!$I14408,CONFIG_ASIGNATURAS!$B$2:$J$91,9,FALSE()),""))</f>
      </c>
    </row>
    <row r="14409">
      <c r="F14409">
        <f>IF(DATOS!$A14409="","",DATOS!$A14409&amp;"|"&amp;DATOS!$D14409&amp;"|"&amp;DATOS!$E14409&amp;"|"&amp;DATOS!$I14409)</f>
      </c>
      <c r="G14409">
        <f>IF(DATOS!$A14409="",0,IF(CONFIG_METADATA!$B$4&lt;&gt;"OR+EX",--(DATOS!$G14409=CONFIG_METADATA!$B$4),IF(DATOS!$G14409="EX",1,IF(DATOS!$G14409="OR",--(COUNTIFS(nNIA,DATOS!$A14409,nCURSO,DATOS!$D14409,nESPEC,DATOS!$E14409,nASIG,DATOS!$I14409,nEVAL,"EX")=0),0))))</f>
      </c>
      <c r="H14409">
        <f>IF(DATOS!$G14409&lt;&gt;"EX",0,--(COUNTIFS(nNIA,DATOS!$A14409,nCURSO,DATOS!$D14409,nESPEC,DATOS!$E14409,nASIG,DATOS!$I14409,nEVAL,"OR")=0))</f>
      </c>
      <c r="I14409">
        <f>IF(DATOS!$I14409="","",IFERROR(VLOOKUP(DATOS!$I14409,CONFIG_ASIGNATURAS!$B$2:$J$91,9,FALSE()),""))</f>
      </c>
    </row>
    <row r="14410">
      <c r="F14410">
        <f>IF(DATOS!$A14410="","",DATOS!$A14410&amp;"|"&amp;DATOS!$D14410&amp;"|"&amp;DATOS!$E14410&amp;"|"&amp;DATOS!$I14410)</f>
      </c>
      <c r="G14410">
        <f>IF(DATOS!$A14410="",0,IF(CONFIG_METADATA!$B$4&lt;&gt;"OR+EX",--(DATOS!$G14410=CONFIG_METADATA!$B$4),IF(DATOS!$G14410="EX",1,IF(DATOS!$G14410="OR",--(COUNTIFS(nNIA,DATOS!$A14410,nCURSO,DATOS!$D14410,nESPEC,DATOS!$E14410,nASIG,DATOS!$I14410,nEVAL,"EX")=0),0))))</f>
      </c>
      <c r="H14410">
        <f>IF(DATOS!$G14410&lt;&gt;"EX",0,--(COUNTIFS(nNIA,DATOS!$A14410,nCURSO,DATOS!$D14410,nESPEC,DATOS!$E14410,nASIG,DATOS!$I14410,nEVAL,"OR")=0))</f>
      </c>
      <c r="I14410">
        <f>IF(DATOS!$I14410="","",IFERROR(VLOOKUP(DATOS!$I14410,CONFIG_ASIGNATURAS!$B$2:$J$91,9,FALSE()),""))</f>
      </c>
    </row>
    <row r="14411">
      <c r="F14411">
        <f>IF(DATOS!$A14411="","",DATOS!$A14411&amp;"|"&amp;DATOS!$D14411&amp;"|"&amp;DATOS!$E14411&amp;"|"&amp;DATOS!$I14411)</f>
      </c>
      <c r="G14411">
        <f>IF(DATOS!$A14411="",0,IF(CONFIG_METADATA!$B$4&lt;&gt;"OR+EX",--(DATOS!$G14411=CONFIG_METADATA!$B$4),IF(DATOS!$G14411="EX",1,IF(DATOS!$G14411="OR",--(COUNTIFS(nNIA,DATOS!$A14411,nCURSO,DATOS!$D14411,nESPEC,DATOS!$E14411,nASIG,DATOS!$I14411,nEVAL,"EX")=0),0))))</f>
      </c>
      <c r="H14411">
        <f>IF(DATOS!$G14411&lt;&gt;"EX",0,--(COUNTIFS(nNIA,DATOS!$A14411,nCURSO,DATOS!$D14411,nESPEC,DATOS!$E14411,nASIG,DATOS!$I14411,nEVAL,"OR")=0))</f>
      </c>
      <c r="I14411">
        <f>IF(DATOS!$I14411="","",IFERROR(VLOOKUP(DATOS!$I14411,CONFIG_ASIGNATURAS!$B$2:$J$91,9,FALSE()),""))</f>
      </c>
    </row>
    <row r="14412">
      <c r="F14412">
        <f>IF(DATOS!$A14412="","",DATOS!$A14412&amp;"|"&amp;DATOS!$D14412&amp;"|"&amp;DATOS!$E14412&amp;"|"&amp;DATOS!$I14412)</f>
      </c>
      <c r="G14412">
        <f>IF(DATOS!$A14412="",0,IF(CONFIG_METADATA!$B$4&lt;&gt;"OR+EX",--(DATOS!$G14412=CONFIG_METADATA!$B$4),IF(DATOS!$G14412="EX",1,IF(DATOS!$G14412="OR",--(COUNTIFS(nNIA,DATOS!$A14412,nCURSO,DATOS!$D14412,nESPEC,DATOS!$E14412,nASIG,DATOS!$I14412,nEVAL,"EX")=0),0))))</f>
      </c>
      <c r="H14412">
        <f>IF(DATOS!$G14412&lt;&gt;"EX",0,--(COUNTIFS(nNIA,DATOS!$A14412,nCURSO,DATOS!$D14412,nESPEC,DATOS!$E14412,nASIG,DATOS!$I14412,nEVAL,"OR")=0))</f>
      </c>
      <c r="I14412">
        <f>IF(DATOS!$I14412="","",IFERROR(VLOOKUP(DATOS!$I14412,CONFIG_ASIGNATURAS!$B$2:$J$91,9,FALSE()),""))</f>
      </c>
    </row>
    <row r="14413">
      <c r="F14413">
        <f>IF(DATOS!$A14413="","",DATOS!$A14413&amp;"|"&amp;DATOS!$D14413&amp;"|"&amp;DATOS!$E14413&amp;"|"&amp;DATOS!$I14413)</f>
      </c>
      <c r="G14413">
        <f>IF(DATOS!$A14413="",0,IF(CONFIG_METADATA!$B$4&lt;&gt;"OR+EX",--(DATOS!$G14413=CONFIG_METADATA!$B$4),IF(DATOS!$G14413="EX",1,IF(DATOS!$G14413="OR",--(COUNTIFS(nNIA,DATOS!$A14413,nCURSO,DATOS!$D14413,nESPEC,DATOS!$E14413,nASIG,DATOS!$I14413,nEVAL,"EX")=0),0))))</f>
      </c>
      <c r="H14413">
        <f>IF(DATOS!$G14413&lt;&gt;"EX",0,--(COUNTIFS(nNIA,DATOS!$A14413,nCURSO,DATOS!$D14413,nESPEC,DATOS!$E14413,nASIG,DATOS!$I14413,nEVAL,"OR")=0))</f>
      </c>
      <c r="I14413">
        <f>IF(DATOS!$I14413="","",IFERROR(VLOOKUP(DATOS!$I14413,CONFIG_ASIGNATURAS!$B$2:$J$91,9,FALSE()),""))</f>
      </c>
    </row>
    <row r="14414">
      <c r="F14414">
        <f>IF(DATOS!$A14414="","",DATOS!$A14414&amp;"|"&amp;DATOS!$D14414&amp;"|"&amp;DATOS!$E14414&amp;"|"&amp;DATOS!$I14414)</f>
      </c>
      <c r="G14414">
        <f>IF(DATOS!$A14414="",0,IF(CONFIG_METADATA!$B$4&lt;&gt;"OR+EX",--(DATOS!$G14414=CONFIG_METADATA!$B$4),IF(DATOS!$G14414="EX",1,IF(DATOS!$G14414="OR",--(COUNTIFS(nNIA,DATOS!$A14414,nCURSO,DATOS!$D14414,nESPEC,DATOS!$E14414,nASIG,DATOS!$I14414,nEVAL,"EX")=0),0))))</f>
      </c>
      <c r="H14414">
        <f>IF(DATOS!$G14414&lt;&gt;"EX",0,--(COUNTIFS(nNIA,DATOS!$A14414,nCURSO,DATOS!$D14414,nESPEC,DATOS!$E14414,nASIG,DATOS!$I14414,nEVAL,"OR")=0))</f>
      </c>
      <c r="I14414">
        <f>IF(DATOS!$I14414="","",IFERROR(VLOOKUP(DATOS!$I14414,CONFIG_ASIGNATURAS!$B$2:$J$91,9,FALSE()),""))</f>
      </c>
    </row>
    <row r="14415">
      <c r="F14415">
        <f>IF(DATOS!$A14415="","",DATOS!$A14415&amp;"|"&amp;DATOS!$D14415&amp;"|"&amp;DATOS!$E14415&amp;"|"&amp;DATOS!$I14415)</f>
      </c>
      <c r="G14415">
        <f>IF(DATOS!$A14415="",0,IF(CONFIG_METADATA!$B$4&lt;&gt;"OR+EX",--(DATOS!$G14415=CONFIG_METADATA!$B$4),IF(DATOS!$G14415="EX",1,IF(DATOS!$G14415="OR",--(COUNTIFS(nNIA,DATOS!$A14415,nCURSO,DATOS!$D14415,nESPEC,DATOS!$E14415,nASIG,DATOS!$I14415,nEVAL,"EX")=0),0))))</f>
      </c>
      <c r="H14415">
        <f>IF(DATOS!$G14415&lt;&gt;"EX",0,--(COUNTIFS(nNIA,DATOS!$A14415,nCURSO,DATOS!$D14415,nESPEC,DATOS!$E14415,nASIG,DATOS!$I14415,nEVAL,"OR")=0))</f>
      </c>
      <c r="I14415">
        <f>IF(DATOS!$I14415="","",IFERROR(VLOOKUP(DATOS!$I14415,CONFIG_ASIGNATURAS!$B$2:$J$91,9,FALSE()),""))</f>
      </c>
    </row>
    <row r="14416">
      <c r="F14416">
        <f>IF(DATOS!$A14416="","",DATOS!$A14416&amp;"|"&amp;DATOS!$D14416&amp;"|"&amp;DATOS!$E14416&amp;"|"&amp;DATOS!$I14416)</f>
      </c>
      <c r="G14416">
        <f>IF(DATOS!$A14416="",0,IF(CONFIG_METADATA!$B$4&lt;&gt;"OR+EX",--(DATOS!$G14416=CONFIG_METADATA!$B$4),IF(DATOS!$G14416="EX",1,IF(DATOS!$G14416="OR",--(COUNTIFS(nNIA,DATOS!$A14416,nCURSO,DATOS!$D14416,nESPEC,DATOS!$E14416,nASIG,DATOS!$I14416,nEVAL,"EX")=0),0))))</f>
      </c>
      <c r="H14416">
        <f>IF(DATOS!$G14416&lt;&gt;"EX",0,--(COUNTIFS(nNIA,DATOS!$A14416,nCURSO,DATOS!$D14416,nESPEC,DATOS!$E14416,nASIG,DATOS!$I14416,nEVAL,"OR")=0))</f>
      </c>
      <c r="I14416">
        <f>IF(DATOS!$I14416="","",IFERROR(VLOOKUP(DATOS!$I14416,CONFIG_ASIGNATURAS!$B$2:$J$91,9,FALSE()),""))</f>
      </c>
    </row>
    <row r="14417">
      <c r="F14417">
        <f>IF(DATOS!$A14417="","",DATOS!$A14417&amp;"|"&amp;DATOS!$D14417&amp;"|"&amp;DATOS!$E14417&amp;"|"&amp;DATOS!$I14417)</f>
      </c>
      <c r="G14417">
        <f>IF(DATOS!$A14417="",0,IF(CONFIG_METADATA!$B$4&lt;&gt;"OR+EX",--(DATOS!$G14417=CONFIG_METADATA!$B$4),IF(DATOS!$G14417="EX",1,IF(DATOS!$G14417="OR",--(COUNTIFS(nNIA,DATOS!$A14417,nCURSO,DATOS!$D14417,nESPEC,DATOS!$E14417,nASIG,DATOS!$I14417,nEVAL,"EX")=0),0))))</f>
      </c>
      <c r="H14417">
        <f>IF(DATOS!$G14417&lt;&gt;"EX",0,--(COUNTIFS(nNIA,DATOS!$A14417,nCURSO,DATOS!$D14417,nESPEC,DATOS!$E14417,nASIG,DATOS!$I14417,nEVAL,"OR")=0))</f>
      </c>
      <c r="I14417">
        <f>IF(DATOS!$I14417="","",IFERROR(VLOOKUP(DATOS!$I14417,CONFIG_ASIGNATURAS!$B$2:$J$91,9,FALSE()),""))</f>
      </c>
    </row>
    <row r="14418">
      <c r="F14418">
        <f>IF(DATOS!$A14418="","",DATOS!$A14418&amp;"|"&amp;DATOS!$D14418&amp;"|"&amp;DATOS!$E14418&amp;"|"&amp;DATOS!$I14418)</f>
      </c>
      <c r="G14418">
        <f>IF(DATOS!$A14418="",0,IF(CONFIG_METADATA!$B$4&lt;&gt;"OR+EX",--(DATOS!$G14418=CONFIG_METADATA!$B$4),IF(DATOS!$G14418="EX",1,IF(DATOS!$G14418="OR",--(COUNTIFS(nNIA,DATOS!$A14418,nCURSO,DATOS!$D14418,nESPEC,DATOS!$E14418,nASIG,DATOS!$I14418,nEVAL,"EX")=0),0))))</f>
      </c>
      <c r="H14418">
        <f>IF(DATOS!$G14418&lt;&gt;"EX",0,--(COUNTIFS(nNIA,DATOS!$A14418,nCURSO,DATOS!$D14418,nESPEC,DATOS!$E14418,nASIG,DATOS!$I14418,nEVAL,"OR")=0))</f>
      </c>
      <c r="I14418">
        <f>IF(DATOS!$I14418="","",IFERROR(VLOOKUP(DATOS!$I14418,CONFIG_ASIGNATURAS!$B$2:$J$91,9,FALSE()),""))</f>
      </c>
    </row>
    <row r="14419">
      <c r="F14419">
        <f>IF(DATOS!$A14419="","",DATOS!$A14419&amp;"|"&amp;DATOS!$D14419&amp;"|"&amp;DATOS!$E14419&amp;"|"&amp;DATOS!$I14419)</f>
      </c>
      <c r="G14419">
        <f>IF(DATOS!$A14419="",0,IF(CONFIG_METADATA!$B$4&lt;&gt;"OR+EX",--(DATOS!$G14419=CONFIG_METADATA!$B$4),IF(DATOS!$G14419="EX",1,IF(DATOS!$G14419="OR",--(COUNTIFS(nNIA,DATOS!$A14419,nCURSO,DATOS!$D14419,nESPEC,DATOS!$E14419,nASIG,DATOS!$I14419,nEVAL,"EX")=0),0))))</f>
      </c>
      <c r="H14419">
        <f>IF(DATOS!$G14419&lt;&gt;"EX",0,--(COUNTIFS(nNIA,DATOS!$A14419,nCURSO,DATOS!$D14419,nESPEC,DATOS!$E14419,nASIG,DATOS!$I14419,nEVAL,"OR")=0))</f>
      </c>
      <c r="I14419">
        <f>IF(DATOS!$I14419="","",IFERROR(VLOOKUP(DATOS!$I14419,CONFIG_ASIGNATURAS!$B$2:$J$91,9,FALSE()),""))</f>
      </c>
    </row>
    <row r="14420">
      <c r="F14420">
        <f>IF(DATOS!$A14420="","",DATOS!$A14420&amp;"|"&amp;DATOS!$D14420&amp;"|"&amp;DATOS!$E14420&amp;"|"&amp;DATOS!$I14420)</f>
      </c>
      <c r="G14420">
        <f>IF(DATOS!$A14420="",0,IF(CONFIG_METADATA!$B$4&lt;&gt;"OR+EX",--(DATOS!$G14420=CONFIG_METADATA!$B$4),IF(DATOS!$G14420="EX",1,IF(DATOS!$G14420="OR",--(COUNTIFS(nNIA,DATOS!$A14420,nCURSO,DATOS!$D14420,nESPEC,DATOS!$E14420,nASIG,DATOS!$I14420,nEVAL,"EX")=0),0))))</f>
      </c>
      <c r="H14420">
        <f>IF(DATOS!$G14420&lt;&gt;"EX",0,--(COUNTIFS(nNIA,DATOS!$A14420,nCURSO,DATOS!$D14420,nESPEC,DATOS!$E14420,nASIG,DATOS!$I14420,nEVAL,"OR")=0))</f>
      </c>
      <c r="I14420">
        <f>IF(DATOS!$I14420="","",IFERROR(VLOOKUP(DATOS!$I14420,CONFIG_ASIGNATURAS!$B$2:$J$91,9,FALSE()),""))</f>
      </c>
    </row>
    <row r="14421">
      <c r="F14421">
        <f>IF(DATOS!$A14421="","",DATOS!$A14421&amp;"|"&amp;DATOS!$D14421&amp;"|"&amp;DATOS!$E14421&amp;"|"&amp;DATOS!$I14421)</f>
      </c>
      <c r="G14421">
        <f>IF(DATOS!$A14421="",0,IF(CONFIG_METADATA!$B$4&lt;&gt;"OR+EX",--(DATOS!$G14421=CONFIG_METADATA!$B$4),IF(DATOS!$G14421="EX",1,IF(DATOS!$G14421="OR",--(COUNTIFS(nNIA,DATOS!$A14421,nCURSO,DATOS!$D14421,nESPEC,DATOS!$E14421,nASIG,DATOS!$I14421,nEVAL,"EX")=0),0))))</f>
      </c>
      <c r="H14421">
        <f>IF(DATOS!$G14421&lt;&gt;"EX",0,--(COUNTIFS(nNIA,DATOS!$A14421,nCURSO,DATOS!$D14421,nESPEC,DATOS!$E14421,nASIG,DATOS!$I14421,nEVAL,"OR")=0))</f>
      </c>
      <c r="I14421">
        <f>IF(DATOS!$I14421="","",IFERROR(VLOOKUP(DATOS!$I14421,CONFIG_ASIGNATURAS!$B$2:$J$91,9,FALSE()),""))</f>
      </c>
    </row>
    <row r="14422">
      <c r="F14422">
        <f>IF(DATOS!$A14422="","",DATOS!$A14422&amp;"|"&amp;DATOS!$D14422&amp;"|"&amp;DATOS!$E14422&amp;"|"&amp;DATOS!$I14422)</f>
      </c>
      <c r="G14422">
        <f>IF(DATOS!$A14422="",0,IF(CONFIG_METADATA!$B$4&lt;&gt;"OR+EX",--(DATOS!$G14422=CONFIG_METADATA!$B$4),IF(DATOS!$G14422="EX",1,IF(DATOS!$G14422="OR",--(COUNTIFS(nNIA,DATOS!$A14422,nCURSO,DATOS!$D14422,nESPEC,DATOS!$E14422,nASIG,DATOS!$I14422,nEVAL,"EX")=0),0))))</f>
      </c>
      <c r="H14422">
        <f>IF(DATOS!$G14422&lt;&gt;"EX",0,--(COUNTIFS(nNIA,DATOS!$A14422,nCURSO,DATOS!$D14422,nESPEC,DATOS!$E14422,nASIG,DATOS!$I14422,nEVAL,"OR")=0))</f>
      </c>
      <c r="I14422">
        <f>IF(DATOS!$I14422="","",IFERROR(VLOOKUP(DATOS!$I14422,CONFIG_ASIGNATURAS!$B$2:$J$91,9,FALSE()),""))</f>
      </c>
    </row>
    <row r="14423">
      <c r="F14423">
        <f>IF(DATOS!$A14423="","",DATOS!$A14423&amp;"|"&amp;DATOS!$D14423&amp;"|"&amp;DATOS!$E14423&amp;"|"&amp;DATOS!$I14423)</f>
      </c>
      <c r="G14423">
        <f>IF(DATOS!$A14423="",0,IF(CONFIG_METADATA!$B$4&lt;&gt;"OR+EX",--(DATOS!$G14423=CONFIG_METADATA!$B$4),IF(DATOS!$G14423="EX",1,IF(DATOS!$G14423="OR",--(COUNTIFS(nNIA,DATOS!$A14423,nCURSO,DATOS!$D14423,nESPEC,DATOS!$E14423,nASIG,DATOS!$I14423,nEVAL,"EX")=0),0))))</f>
      </c>
      <c r="H14423">
        <f>IF(DATOS!$G14423&lt;&gt;"EX",0,--(COUNTIFS(nNIA,DATOS!$A14423,nCURSO,DATOS!$D14423,nESPEC,DATOS!$E14423,nASIG,DATOS!$I14423,nEVAL,"OR")=0))</f>
      </c>
      <c r="I14423">
        <f>IF(DATOS!$I14423="","",IFERROR(VLOOKUP(DATOS!$I14423,CONFIG_ASIGNATURAS!$B$2:$J$91,9,FALSE()),""))</f>
      </c>
    </row>
    <row r="14424">
      <c r="F14424">
        <f>IF(DATOS!$A14424="","",DATOS!$A14424&amp;"|"&amp;DATOS!$D14424&amp;"|"&amp;DATOS!$E14424&amp;"|"&amp;DATOS!$I14424)</f>
      </c>
      <c r="G14424">
        <f>IF(DATOS!$A14424="",0,IF(CONFIG_METADATA!$B$4&lt;&gt;"OR+EX",--(DATOS!$G14424=CONFIG_METADATA!$B$4),IF(DATOS!$G14424="EX",1,IF(DATOS!$G14424="OR",--(COUNTIFS(nNIA,DATOS!$A14424,nCURSO,DATOS!$D14424,nESPEC,DATOS!$E14424,nASIG,DATOS!$I14424,nEVAL,"EX")=0),0))))</f>
      </c>
      <c r="H14424">
        <f>IF(DATOS!$G14424&lt;&gt;"EX",0,--(COUNTIFS(nNIA,DATOS!$A14424,nCURSO,DATOS!$D14424,nESPEC,DATOS!$E14424,nASIG,DATOS!$I14424,nEVAL,"OR")=0))</f>
      </c>
      <c r="I14424">
        <f>IF(DATOS!$I14424="","",IFERROR(VLOOKUP(DATOS!$I14424,CONFIG_ASIGNATURAS!$B$2:$J$91,9,FALSE()),""))</f>
      </c>
    </row>
    <row r="14425">
      <c r="F14425">
        <f>IF(DATOS!$A14425="","",DATOS!$A14425&amp;"|"&amp;DATOS!$D14425&amp;"|"&amp;DATOS!$E14425&amp;"|"&amp;DATOS!$I14425)</f>
      </c>
      <c r="G14425">
        <f>IF(DATOS!$A14425="",0,IF(CONFIG_METADATA!$B$4&lt;&gt;"OR+EX",--(DATOS!$G14425=CONFIG_METADATA!$B$4),IF(DATOS!$G14425="EX",1,IF(DATOS!$G14425="OR",--(COUNTIFS(nNIA,DATOS!$A14425,nCURSO,DATOS!$D14425,nESPEC,DATOS!$E14425,nASIG,DATOS!$I14425,nEVAL,"EX")=0),0))))</f>
      </c>
      <c r="H14425">
        <f>IF(DATOS!$G14425&lt;&gt;"EX",0,--(COUNTIFS(nNIA,DATOS!$A14425,nCURSO,DATOS!$D14425,nESPEC,DATOS!$E14425,nASIG,DATOS!$I14425,nEVAL,"OR")=0))</f>
      </c>
      <c r="I14425">
        <f>IF(DATOS!$I14425="","",IFERROR(VLOOKUP(DATOS!$I14425,CONFIG_ASIGNATURAS!$B$2:$J$91,9,FALSE()),""))</f>
      </c>
    </row>
    <row r="14426">
      <c r="F14426">
        <f>IF(DATOS!$A14426="","",DATOS!$A14426&amp;"|"&amp;DATOS!$D14426&amp;"|"&amp;DATOS!$E14426&amp;"|"&amp;DATOS!$I14426)</f>
      </c>
      <c r="G14426">
        <f>IF(DATOS!$A14426="",0,IF(CONFIG_METADATA!$B$4&lt;&gt;"OR+EX",--(DATOS!$G14426=CONFIG_METADATA!$B$4),IF(DATOS!$G14426="EX",1,IF(DATOS!$G14426="OR",--(COUNTIFS(nNIA,DATOS!$A14426,nCURSO,DATOS!$D14426,nESPEC,DATOS!$E14426,nASIG,DATOS!$I14426,nEVAL,"EX")=0),0))))</f>
      </c>
      <c r="H14426">
        <f>IF(DATOS!$G14426&lt;&gt;"EX",0,--(COUNTIFS(nNIA,DATOS!$A14426,nCURSO,DATOS!$D14426,nESPEC,DATOS!$E14426,nASIG,DATOS!$I14426,nEVAL,"OR")=0))</f>
      </c>
      <c r="I14426">
        <f>IF(DATOS!$I14426="","",IFERROR(VLOOKUP(DATOS!$I14426,CONFIG_ASIGNATURAS!$B$2:$J$91,9,FALSE()),""))</f>
      </c>
    </row>
    <row r="14427">
      <c r="F14427">
        <f>IF(DATOS!$A14427="","",DATOS!$A14427&amp;"|"&amp;DATOS!$D14427&amp;"|"&amp;DATOS!$E14427&amp;"|"&amp;DATOS!$I14427)</f>
      </c>
      <c r="G14427">
        <f>IF(DATOS!$A14427="",0,IF(CONFIG_METADATA!$B$4&lt;&gt;"OR+EX",--(DATOS!$G14427=CONFIG_METADATA!$B$4),IF(DATOS!$G14427="EX",1,IF(DATOS!$G14427="OR",--(COUNTIFS(nNIA,DATOS!$A14427,nCURSO,DATOS!$D14427,nESPEC,DATOS!$E14427,nASIG,DATOS!$I14427,nEVAL,"EX")=0),0))))</f>
      </c>
      <c r="H14427">
        <f>IF(DATOS!$G14427&lt;&gt;"EX",0,--(COUNTIFS(nNIA,DATOS!$A14427,nCURSO,DATOS!$D14427,nESPEC,DATOS!$E14427,nASIG,DATOS!$I14427,nEVAL,"OR")=0))</f>
      </c>
      <c r="I14427">
        <f>IF(DATOS!$I14427="","",IFERROR(VLOOKUP(DATOS!$I14427,CONFIG_ASIGNATURAS!$B$2:$J$91,9,FALSE()),""))</f>
      </c>
    </row>
    <row r="14428">
      <c r="F14428">
        <f>IF(DATOS!$A14428="","",DATOS!$A14428&amp;"|"&amp;DATOS!$D14428&amp;"|"&amp;DATOS!$E14428&amp;"|"&amp;DATOS!$I14428)</f>
      </c>
      <c r="G14428">
        <f>IF(DATOS!$A14428="",0,IF(CONFIG_METADATA!$B$4&lt;&gt;"OR+EX",--(DATOS!$G14428=CONFIG_METADATA!$B$4),IF(DATOS!$G14428="EX",1,IF(DATOS!$G14428="OR",--(COUNTIFS(nNIA,DATOS!$A14428,nCURSO,DATOS!$D14428,nESPEC,DATOS!$E14428,nASIG,DATOS!$I14428,nEVAL,"EX")=0),0))))</f>
      </c>
      <c r="H14428">
        <f>IF(DATOS!$G14428&lt;&gt;"EX",0,--(COUNTIFS(nNIA,DATOS!$A14428,nCURSO,DATOS!$D14428,nESPEC,DATOS!$E14428,nASIG,DATOS!$I14428,nEVAL,"OR")=0))</f>
      </c>
      <c r="I14428">
        <f>IF(DATOS!$I14428="","",IFERROR(VLOOKUP(DATOS!$I14428,CONFIG_ASIGNATURAS!$B$2:$J$91,9,FALSE()),""))</f>
      </c>
    </row>
    <row r="14429">
      <c r="F14429">
        <f>IF(DATOS!$A14429="","",DATOS!$A14429&amp;"|"&amp;DATOS!$D14429&amp;"|"&amp;DATOS!$E14429&amp;"|"&amp;DATOS!$I14429)</f>
      </c>
      <c r="G14429">
        <f>IF(DATOS!$A14429="",0,IF(CONFIG_METADATA!$B$4&lt;&gt;"OR+EX",--(DATOS!$G14429=CONFIG_METADATA!$B$4),IF(DATOS!$G14429="EX",1,IF(DATOS!$G14429="OR",--(COUNTIFS(nNIA,DATOS!$A14429,nCURSO,DATOS!$D14429,nESPEC,DATOS!$E14429,nASIG,DATOS!$I14429,nEVAL,"EX")=0),0))))</f>
      </c>
      <c r="H14429">
        <f>IF(DATOS!$G14429&lt;&gt;"EX",0,--(COUNTIFS(nNIA,DATOS!$A14429,nCURSO,DATOS!$D14429,nESPEC,DATOS!$E14429,nASIG,DATOS!$I14429,nEVAL,"OR")=0))</f>
      </c>
      <c r="I14429">
        <f>IF(DATOS!$I14429="","",IFERROR(VLOOKUP(DATOS!$I14429,CONFIG_ASIGNATURAS!$B$2:$J$91,9,FALSE()),""))</f>
      </c>
    </row>
    <row r="14430">
      <c r="F14430">
        <f>IF(DATOS!$A14430="","",DATOS!$A14430&amp;"|"&amp;DATOS!$D14430&amp;"|"&amp;DATOS!$E14430&amp;"|"&amp;DATOS!$I14430)</f>
      </c>
      <c r="G14430">
        <f>IF(DATOS!$A14430="",0,IF(CONFIG_METADATA!$B$4&lt;&gt;"OR+EX",--(DATOS!$G14430=CONFIG_METADATA!$B$4),IF(DATOS!$G14430="EX",1,IF(DATOS!$G14430="OR",--(COUNTIFS(nNIA,DATOS!$A14430,nCURSO,DATOS!$D14430,nESPEC,DATOS!$E14430,nASIG,DATOS!$I14430,nEVAL,"EX")=0),0))))</f>
      </c>
      <c r="H14430">
        <f>IF(DATOS!$G14430&lt;&gt;"EX",0,--(COUNTIFS(nNIA,DATOS!$A14430,nCURSO,DATOS!$D14430,nESPEC,DATOS!$E14430,nASIG,DATOS!$I14430,nEVAL,"OR")=0))</f>
      </c>
      <c r="I14430">
        <f>IF(DATOS!$I14430="","",IFERROR(VLOOKUP(DATOS!$I14430,CONFIG_ASIGNATURAS!$B$2:$J$91,9,FALSE()),""))</f>
      </c>
    </row>
    <row r="14431">
      <c r="F14431">
        <f>IF(DATOS!$A14431="","",DATOS!$A14431&amp;"|"&amp;DATOS!$D14431&amp;"|"&amp;DATOS!$E14431&amp;"|"&amp;DATOS!$I14431)</f>
      </c>
      <c r="G14431">
        <f>IF(DATOS!$A14431="",0,IF(CONFIG_METADATA!$B$4&lt;&gt;"OR+EX",--(DATOS!$G14431=CONFIG_METADATA!$B$4),IF(DATOS!$G14431="EX",1,IF(DATOS!$G14431="OR",--(COUNTIFS(nNIA,DATOS!$A14431,nCURSO,DATOS!$D14431,nESPEC,DATOS!$E14431,nASIG,DATOS!$I14431,nEVAL,"EX")=0),0))))</f>
      </c>
      <c r="H14431">
        <f>IF(DATOS!$G14431&lt;&gt;"EX",0,--(COUNTIFS(nNIA,DATOS!$A14431,nCURSO,DATOS!$D14431,nESPEC,DATOS!$E14431,nASIG,DATOS!$I14431,nEVAL,"OR")=0))</f>
      </c>
      <c r="I14431">
        <f>IF(DATOS!$I14431="","",IFERROR(VLOOKUP(DATOS!$I14431,CONFIG_ASIGNATURAS!$B$2:$J$91,9,FALSE()),""))</f>
      </c>
    </row>
    <row r="14432">
      <c r="F14432">
        <f>IF(DATOS!$A14432="","",DATOS!$A14432&amp;"|"&amp;DATOS!$D14432&amp;"|"&amp;DATOS!$E14432&amp;"|"&amp;DATOS!$I14432)</f>
      </c>
      <c r="G14432">
        <f>IF(DATOS!$A14432="",0,IF(CONFIG_METADATA!$B$4&lt;&gt;"OR+EX",--(DATOS!$G14432=CONFIG_METADATA!$B$4),IF(DATOS!$G14432="EX",1,IF(DATOS!$G14432="OR",--(COUNTIFS(nNIA,DATOS!$A14432,nCURSO,DATOS!$D14432,nESPEC,DATOS!$E14432,nASIG,DATOS!$I14432,nEVAL,"EX")=0),0))))</f>
      </c>
      <c r="H14432">
        <f>IF(DATOS!$G14432&lt;&gt;"EX",0,--(COUNTIFS(nNIA,DATOS!$A14432,nCURSO,DATOS!$D14432,nESPEC,DATOS!$E14432,nASIG,DATOS!$I14432,nEVAL,"OR")=0))</f>
      </c>
      <c r="I14432">
        <f>IF(DATOS!$I14432="","",IFERROR(VLOOKUP(DATOS!$I14432,CONFIG_ASIGNATURAS!$B$2:$J$91,9,FALSE()),""))</f>
      </c>
    </row>
    <row r="14433">
      <c r="F14433">
        <f>IF(DATOS!$A14433="","",DATOS!$A14433&amp;"|"&amp;DATOS!$D14433&amp;"|"&amp;DATOS!$E14433&amp;"|"&amp;DATOS!$I14433)</f>
      </c>
      <c r="G14433">
        <f>IF(DATOS!$A14433="",0,IF(CONFIG_METADATA!$B$4&lt;&gt;"OR+EX",--(DATOS!$G14433=CONFIG_METADATA!$B$4),IF(DATOS!$G14433="EX",1,IF(DATOS!$G14433="OR",--(COUNTIFS(nNIA,DATOS!$A14433,nCURSO,DATOS!$D14433,nESPEC,DATOS!$E14433,nASIG,DATOS!$I14433,nEVAL,"EX")=0),0))))</f>
      </c>
      <c r="H14433">
        <f>IF(DATOS!$G14433&lt;&gt;"EX",0,--(COUNTIFS(nNIA,DATOS!$A14433,nCURSO,DATOS!$D14433,nESPEC,DATOS!$E14433,nASIG,DATOS!$I14433,nEVAL,"OR")=0))</f>
      </c>
      <c r="I14433">
        <f>IF(DATOS!$I14433="","",IFERROR(VLOOKUP(DATOS!$I14433,CONFIG_ASIGNATURAS!$B$2:$J$91,9,FALSE()),""))</f>
      </c>
    </row>
    <row r="14434">
      <c r="F14434">
        <f>IF(DATOS!$A14434="","",DATOS!$A14434&amp;"|"&amp;DATOS!$D14434&amp;"|"&amp;DATOS!$E14434&amp;"|"&amp;DATOS!$I14434)</f>
      </c>
      <c r="G14434">
        <f>IF(DATOS!$A14434="",0,IF(CONFIG_METADATA!$B$4&lt;&gt;"OR+EX",--(DATOS!$G14434=CONFIG_METADATA!$B$4),IF(DATOS!$G14434="EX",1,IF(DATOS!$G14434="OR",--(COUNTIFS(nNIA,DATOS!$A14434,nCURSO,DATOS!$D14434,nESPEC,DATOS!$E14434,nASIG,DATOS!$I14434,nEVAL,"EX")=0),0))))</f>
      </c>
      <c r="H14434">
        <f>IF(DATOS!$G14434&lt;&gt;"EX",0,--(COUNTIFS(nNIA,DATOS!$A14434,nCURSO,DATOS!$D14434,nESPEC,DATOS!$E14434,nASIG,DATOS!$I14434,nEVAL,"OR")=0))</f>
      </c>
      <c r="I14434">
        <f>IF(DATOS!$I14434="","",IFERROR(VLOOKUP(DATOS!$I14434,CONFIG_ASIGNATURAS!$B$2:$J$91,9,FALSE()),""))</f>
      </c>
    </row>
    <row r="14435">
      <c r="F14435">
        <f>IF(DATOS!$A14435="","",DATOS!$A14435&amp;"|"&amp;DATOS!$D14435&amp;"|"&amp;DATOS!$E14435&amp;"|"&amp;DATOS!$I14435)</f>
      </c>
      <c r="G14435">
        <f>IF(DATOS!$A14435="",0,IF(CONFIG_METADATA!$B$4&lt;&gt;"OR+EX",--(DATOS!$G14435=CONFIG_METADATA!$B$4),IF(DATOS!$G14435="EX",1,IF(DATOS!$G14435="OR",--(COUNTIFS(nNIA,DATOS!$A14435,nCURSO,DATOS!$D14435,nESPEC,DATOS!$E14435,nASIG,DATOS!$I14435,nEVAL,"EX")=0),0))))</f>
      </c>
      <c r="H14435">
        <f>IF(DATOS!$G14435&lt;&gt;"EX",0,--(COUNTIFS(nNIA,DATOS!$A14435,nCURSO,DATOS!$D14435,nESPEC,DATOS!$E14435,nASIG,DATOS!$I14435,nEVAL,"OR")=0))</f>
      </c>
      <c r="I14435">
        <f>IF(DATOS!$I14435="","",IFERROR(VLOOKUP(DATOS!$I14435,CONFIG_ASIGNATURAS!$B$2:$J$91,9,FALSE()),""))</f>
      </c>
    </row>
    <row r="14436">
      <c r="F14436">
        <f>IF(DATOS!$A14436="","",DATOS!$A14436&amp;"|"&amp;DATOS!$D14436&amp;"|"&amp;DATOS!$E14436&amp;"|"&amp;DATOS!$I14436)</f>
      </c>
      <c r="G14436">
        <f>IF(DATOS!$A14436="",0,IF(CONFIG_METADATA!$B$4&lt;&gt;"OR+EX",--(DATOS!$G14436=CONFIG_METADATA!$B$4),IF(DATOS!$G14436="EX",1,IF(DATOS!$G14436="OR",--(COUNTIFS(nNIA,DATOS!$A14436,nCURSO,DATOS!$D14436,nESPEC,DATOS!$E14436,nASIG,DATOS!$I14436,nEVAL,"EX")=0),0))))</f>
      </c>
      <c r="H14436">
        <f>IF(DATOS!$G14436&lt;&gt;"EX",0,--(COUNTIFS(nNIA,DATOS!$A14436,nCURSO,DATOS!$D14436,nESPEC,DATOS!$E14436,nASIG,DATOS!$I14436,nEVAL,"OR")=0))</f>
      </c>
      <c r="I14436">
        <f>IF(DATOS!$I14436="","",IFERROR(VLOOKUP(DATOS!$I14436,CONFIG_ASIGNATURAS!$B$2:$J$91,9,FALSE()),""))</f>
      </c>
    </row>
    <row r="14437">
      <c r="F14437">
        <f>IF(DATOS!$A14437="","",DATOS!$A14437&amp;"|"&amp;DATOS!$D14437&amp;"|"&amp;DATOS!$E14437&amp;"|"&amp;DATOS!$I14437)</f>
      </c>
      <c r="G14437">
        <f>IF(DATOS!$A14437="",0,IF(CONFIG_METADATA!$B$4&lt;&gt;"OR+EX",--(DATOS!$G14437=CONFIG_METADATA!$B$4),IF(DATOS!$G14437="EX",1,IF(DATOS!$G14437="OR",--(COUNTIFS(nNIA,DATOS!$A14437,nCURSO,DATOS!$D14437,nESPEC,DATOS!$E14437,nASIG,DATOS!$I14437,nEVAL,"EX")=0),0))))</f>
      </c>
      <c r="H14437">
        <f>IF(DATOS!$G14437&lt;&gt;"EX",0,--(COUNTIFS(nNIA,DATOS!$A14437,nCURSO,DATOS!$D14437,nESPEC,DATOS!$E14437,nASIG,DATOS!$I14437,nEVAL,"OR")=0))</f>
      </c>
      <c r="I14437">
        <f>IF(DATOS!$I14437="","",IFERROR(VLOOKUP(DATOS!$I14437,CONFIG_ASIGNATURAS!$B$2:$J$91,9,FALSE()),""))</f>
      </c>
    </row>
    <row r="14438">
      <c r="F14438">
        <f>IF(DATOS!$A14438="","",DATOS!$A14438&amp;"|"&amp;DATOS!$D14438&amp;"|"&amp;DATOS!$E14438&amp;"|"&amp;DATOS!$I14438)</f>
      </c>
      <c r="G14438">
        <f>IF(DATOS!$A14438="",0,IF(CONFIG_METADATA!$B$4&lt;&gt;"OR+EX",--(DATOS!$G14438=CONFIG_METADATA!$B$4),IF(DATOS!$G14438="EX",1,IF(DATOS!$G14438="OR",--(COUNTIFS(nNIA,DATOS!$A14438,nCURSO,DATOS!$D14438,nESPEC,DATOS!$E14438,nASIG,DATOS!$I14438,nEVAL,"EX")=0),0))))</f>
      </c>
      <c r="H14438">
        <f>IF(DATOS!$G14438&lt;&gt;"EX",0,--(COUNTIFS(nNIA,DATOS!$A14438,nCURSO,DATOS!$D14438,nESPEC,DATOS!$E14438,nASIG,DATOS!$I14438,nEVAL,"OR")=0))</f>
      </c>
      <c r="I14438">
        <f>IF(DATOS!$I14438="","",IFERROR(VLOOKUP(DATOS!$I14438,CONFIG_ASIGNATURAS!$B$2:$J$91,9,FALSE()),""))</f>
      </c>
    </row>
    <row r="14439">
      <c r="F14439">
        <f>IF(DATOS!$A14439="","",DATOS!$A14439&amp;"|"&amp;DATOS!$D14439&amp;"|"&amp;DATOS!$E14439&amp;"|"&amp;DATOS!$I14439)</f>
      </c>
      <c r="G14439">
        <f>IF(DATOS!$A14439="",0,IF(CONFIG_METADATA!$B$4&lt;&gt;"OR+EX",--(DATOS!$G14439=CONFIG_METADATA!$B$4),IF(DATOS!$G14439="EX",1,IF(DATOS!$G14439="OR",--(COUNTIFS(nNIA,DATOS!$A14439,nCURSO,DATOS!$D14439,nESPEC,DATOS!$E14439,nASIG,DATOS!$I14439,nEVAL,"EX")=0),0))))</f>
      </c>
      <c r="H14439">
        <f>IF(DATOS!$G14439&lt;&gt;"EX",0,--(COUNTIFS(nNIA,DATOS!$A14439,nCURSO,DATOS!$D14439,nESPEC,DATOS!$E14439,nASIG,DATOS!$I14439,nEVAL,"OR")=0))</f>
      </c>
      <c r="I14439">
        <f>IF(DATOS!$I14439="","",IFERROR(VLOOKUP(DATOS!$I14439,CONFIG_ASIGNATURAS!$B$2:$J$91,9,FALSE()),""))</f>
      </c>
    </row>
    <row r="14440">
      <c r="F14440">
        <f>IF(DATOS!$A14440="","",DATOS!$A14440&amp;"|"&amp;DATOS!$D14440&amp;"|"&amp;DATOS!$E14440&amp;"|"&amp;DATOS!$I14440)</f>
      </c>
      <c r="G14440">
        <f>IF(DATOS!$A14440="",0,IF(CONFIG_METADATA!$B$4&lt;&gt;"OR+EX",--(DATOS!$G14440=CONFIG_METADATA!$B$4),IF(DATOS!$G14440="EX",1,IF(DATOS!$G14440="OR",--(COUNTIFS(nNIA,DATOS!$A14440,nCURSO,DATOS!$D14440,nESPEC,DATOS!$E14440,nASIG,DATOS!$I14440,nEVAL,"EX")=0),0))))</f>
      </c>
      <c r="H14440">
        <f>IF(DATOS!$G14440&lt;&gt;"EX",0,--(COUNTIFS(nNIA,DATOS!$A14440,nCURSO,DATOS!$D14440,nESPEC,DATOS!$E14440,nASIG,DATOS!$I14440,nEVAL,"OR")=0))</f>
      </c>
      <c r="I14440">
        <f>IF(DATOS!$I14440="","",IFERROR(VLOOKUP(DATOS!$I14440,CONFIG_ASIGNATURAS!$B$2:$J$91,9,FALSE()),""))</f>
      </c>
    </row>
    <row r="14441">
      <c r="F14441">
        <f>IF(DATOS!$A14441="","",DATOS!$A14441&amp;"|"&amp;DATOS!$D14441&amp;"|"&amp;DATOS!$E14441&amp;"|"&amp;DATOS!$I14441)</f>
      </c>
      <c r="G14441">
        <f>IF(DATOS!$A14441="",0,IF(CONFIG_METADATA!$B$4&lt;&gt;"OR+EX",--(DATOS!$G14441=CONFIG_METADATA!$B$4),IF(DATOS!$G14441="EX",1,IF(DATOS!$G14441="OR",--(COUNTIFS(nNIA,DATOS!$A14441,nCURSO,DATOS!$D14441,nESPEC,DATOS!$E14441,nASIG,DATOS!$I14441,nEVAL,"EX")=0),0))))</f>
      </c>
      <c r="H14441">
        <f>IF(DATOS!$G14441&lt;&gt;"EX",0,--(COUNTIFS(nNIA,DATOS!$A14441,nCURSO,DATOS!$D14441,nESPEC,DATOS!$E14441,nASIG,DATOS!$I14441,nEVAL,"OR")=0))</f>
      </c>
      <c r="I14441">
        <f>IF(DATOS!$I14441="","",IFERROR(VLOOKUP(DATOS!$I14441,CONFIG_ASIGNATURAS!$B$2:$J$91,9,FALSE()),""))</f>
      </c>
    </row>
    <row r="14442">
      <c r="F14442">
        <f>IF(DATOS!$A14442="","",DATOS!$A14442&amp;"|"&amp;DATOS!$D14442&amp;"|"&amp;DATOS!$E14442&amp;"|"&amp;DATOS!$I14442)</f>
      </c>
      <c r="G14442">
        <f>IF(DATOS!$A14442="",0,IF(CONFIG_METADATA!$B$4&lt;&gt;"OR+EX",--(DATOS!$G14442=CONFIG_METADATA!$B$4),IF(DATOS!$G14442="EX",1,IF(DATOS!$G14442="OR",--(COUNTIFS(nNIA,DATOS!$A14442,nCURSO,DATOS!$D14442,nESPEC,DATOS!$E14442,nASIG,DATOS!$I14442,nEVAL,"EX")=0),0))))</f>
      </c>
      <c r="H14442">
        <f>IF(DATOS!$G14442&lt;&gt;"EX",0,--(COUNTIFS(nNIA,DATOS!$A14442,nCURSO,DATOS!$D14442,nESPEC,DATOS!$E14442,nASIG,DATOS!$I14442,nEVAL,"OR")=0))</f>
      </c>
      <c r="I14442">
        <f>IF(DATOS!$I14442="","",IFERROR(VLOOKUP(DATOS!$I14442,CONFIG_ASIGNATURAS!$B$2:$J$91,9,FALSE()),""))</f>
      </c>
    </row>
    <row r="14443">
      <c r="F14443">
        <f>IF(DATOS!$A14443="","",DATOS!$A14443&amp;"|"&amp;DATOS!$D14443&amp;"|"&amp;DATOS!$E14443&amp;"|"&amp;DATOS!$I14443)</f>
      </c>
      <c r="G14443">
        <f>IF(DATOS!$A14443="",0,IF(CONFIG_METADATA!$B$4&lt;&gt;"OR+EX",--(DATOS!$G14443=CONFIG_METADATA!$B$4),IF(DATOS!$G14443="EX",1,IF(DATOS!$G14443="OR",--(COUNTIFS(nNIA,DATOS!$A14443,nCURSO,DATOS!$D14443,nESPEC,DATOS!$E14443,nASIG,DATOS!$I14443,nEVAL,"EX")=0),0))))</f>
      </c>
      <c r="H14443">
        <f>IF(DATOS!$G14443&lt;&gt;"EX",0,--(COUNTIFS(nNIA,DATOS!$A14443,nCURSO,DATOS!$D14443,nESPEC,DATOS!$E14443,nASIG,DATOS!$I14443,nEVAL,"OR")=0))</f>
      </c>
      <c r="I14443">
        <f>IF(DATOS!$I14443="","",IFERROR(VLOOKUP(DATOS!$I14443,CONFIG_ASIGNATURAS!$B$2:$J$91,9,FALSE()),""))</f>
      </c>
    </row>
    <row r="14444">
      <c r="F14444">
        <f>IF(DATOS!$A14444="","",DATOS!$A14444&amp;"|"&amp;DATOS!$D14444&amp;"|"&amp;DATOS!$E14444&amp;"|"&amp;DATOS!$I14444)</f>
      </c>
      <c r="G14444">
        <f>IF(DATOS!$A14444="",0,IF(CONFIG_METADATA!$B$4&lt;&gt;"OR+EX",--(DATOS!$G14444=CONFIG_METADATA!$B$4),IF(DATOS!$G14444="EX",1,IF(DATOS!$G14444="OR",--(COUNTIFS(nNIA,DATOS!$A14444,nCURSO,DATOS!$D14444,nESPEC,DATOS!$E14444,nASIG,DATOS!$I14444,nEVAL,"EX")=0),0))))</f>
      </c>
      <c r="H14444">
        <f>IF(DATOS!$G14444&lt;&gt;"EX",0,--(COUNTIFS(nNIA,DATOS!$A14444,nCURSO,DATOS!$D14444,nESPEC,DATOS!$E14444,nASIG,DATOS!$I14444,nEVAL,"OR")=0))</f>
      </c>
      <c r="I14444">
        <f>IF(DATOS!$I14444="","",IFERROR(VLOOKUP(DATOS!$I14444,CONFIG_ASIGNATURAS!$B$2:$J$91,9,FALSE()),""))</f>
      </c>
    </row>
    <row r="14445">
      <c r="F14445">
        <f>IF(DATOS!$A14445="","",DATOS!$A14445&amp;"|"&amp;DATOS!$D14445&amp;"|"&amp;DATOS!$E14445&amp;"|"&amp;DATOS!$I14445)</f>
      </c>
      <c r="G14445">
        <f>IF(DATOS!$A14445="",0,IF(CONFIG_METADATA!$B$4&lt;&gt;"OR+EX",--(DATOS!$G14445=CONFIG_METADATA!$B$4),IF(DATOS!$G14445="EX",1,IF(DATOS!$G14445="OR",--(COUNTIFS(nNIA,DATOS!$A14445,nCURSO,DATOS!$D14445,nESPEC,DATOS!$E14445,nASIG,DATOS!$I14445,nEVAL,"EX")=0),0))))</f>
      </c>
      <c r="H14445">
        <f>IF(DATOS!$G14445&lt;&gt;"EX",0,--(COUNTIFS(nNIA,DATOS!$A14445,nCURSO,DATOS!$D14445,nESPEC,DATOS!$E14445,nASIG,DATOS!$I14445,nEVAL,"OR")=0))</f>
      </c>
      <c r="I14445">
        <f>IF(DATOS!$I14445="","",IFERROR(VLOOKUP(DATOS!$I14445,CONFIG_ASIGNATURAS!$B$2:$J$91,9,FALSE()),""))</f>
      </c>
    </row>
    <row r="14446">
      <c r="F14446">
        <f>IF(DATOS!$A14446="","",DATOS!$A14446&amp;"|"&amp;DATOS!$D14446&amp;"|"&amp;DATOS!$E14446&amp;"|"&amp;DATOS!$I14446)</f>
      </c>
      <c r="G14446">
        <f>IF(DATOS!$A14446="",0,IF(CONFIG_METADATA!$B$4&lt;&gt;"OR+EX",--(DATOS!$G14446=CONFIG_METADATA!$B$4),IF(DATOS!$G14446="EX",1,IF(DATOS!$G14446="OR",--(COUNTIFS(nNIA,DATOS!$A14446,nCURSO,DATOS!$D14446,nESPEC,DATOS!$E14446,nASIG,DATOS!$I14446,nEVAL,"EX")=0),0))))</f>
      </c>
      <c r="H14446">
        <f>IF(DATOS!$G14446&lt;&gt;"EX",0,--(COUNTIFS(nNIA,DATOS!$A14446,nCURSO,DATOS!$D14446,nESPEC,DATOS!$E14446,nASIG,DATOS!$I14446,nEVAL,"OR")=0))</f>
      </c>
      <c r="I14446">
        <f>IF(DATOS!$I14446="","",IFERROR(VLOOKUP(DATOS!$I14446,CONFIG_ASIGNATURAS!$B$2:$J$91,9,FALSE()),""))</f>
      </c>
    </row>
    <row r="14447">
      <c r="F14447">
        <f>IF(DATOS!$A14447="","",DATOS!$A14447&amp;"|"&amp;DATOS!$D14447&amp;"|"&amp;DATOS!$E14447&amp;"|"&amp;DATOS!$I14447)</f>
      </c>
      <c r="G14447">
        <f>IF(DATOS!$A14447="",0,IF(CONFIG_METADATA!$B$4&lt;&gt;"OR+EX",--(DATOS!$G14447=CONFIG_METADATA!$B$4),IF(DATOS!$G14447="EX",1,IF(DATOS!$G14447="OR",--(COUNTIFS(nNIA,DATOS!$A14447,nCURSO,DATOS!$D14447,nESPEC,DATOS!$E14447,nASIG,DATOS!$I14447,nEVAL,"EX")=0),0))))</f>
      </c>
      <c r="H14447">
        <f>IF(DATOS!$G14447&lt;&gt;"EX",0,--(COUNTIFS(nNIA,DATOS!$A14447,nCURSO,DATOS!$D14447,nESPEC,DATOS!$E14447,nASIG,DATOS!$I14447,nEVAL,"OR")=0))</f>
      </c>
      <c r="I14447">
        <f>IF(DATOS!$I14447="","",IFERROR(VLOOKUP(DATOS!$I14447,CONFIG_ASIGNATURAS!$B$2:$J$91,9,FALSE()),""))</f>
      </c>
    </row>
    <row r="14448">
      <c r="F14448">
        <f>IF(DATOS!$A14448="","",DATOS!$A14448&amp;"|"&amp;DATOS!$D14448&amp;"|"&amp;DATOS!$E14448&amp;"|"&amp;DATOS!$I14448)</f>
      </c>
      <c r="G14448">
        <f>IF(DATOS!$A14448="",0,IF(CONFIG_METADATA!$B$4&lt;&gt;"OR+EX",--(DATOS!$G14448=CONFIG_METADATA!$B$4),IF(DATOS!$G14448="EX",1,IF(DATOS!$G14448="OR",--(COUNTIFS(nNIA,DATOS!$A14448,nCURSO,DATOS!$D14448,nESPEC,DATOS!$E14448,nASIG,DATOS!$I14448,nEVAL,"EX")=0),0))))</f>
      </c>
      <c r="H14448">
        <f>IF(DATOS!$G14448&lt;&gt;"EX",0,--(COUNTIFS(nNIA,DATOS!$A14448,nCURSO,DATOS!$D14448,nESPEC,DATOS!$E14448,nASIG,DATOS!$I14448,nEVAL,"OR")=0))</f>
      </c>
      <c r="I14448">
        <f>IF(DATOS!$I14448="","",IFERROR(VLOOKUP(DATOS!$I14448,CONFIG_ASIGNATURAS!$B$2:$J$91,9,FALSE()),""))</f>
      </c>
    </row>
    <row r="14449">
      <c r="F14449">
        <f>IF(DATOS!$A14449="","",DATOS!$A14449&amp;"|"&amp;DATOS!$D14449&amp;"|"&amp;DATOS!$E14449&amp;"|"&amp;DATOS!$I14449)</f>
      </c>
      <c r="G14449">
        <f>IF(DATOS!$A14449="",0,IF(CONFIG_METADATA!$B$4&lt;&gt;"OR+EX",--(DATOS!$G14449=CONFIG_METADATA!$B$4),IF(DATOS!$G14449="EX",1,IF(DATOS!$G14449="OR",--(COUNTIFS(nNIA,DATOS!$A14449,nCURSO,DATOS!$D14449,nESPEC,DATOS!$E14449,nASIG,DATOS!$I14449,nEVAL,"EX")=0),0))))</f>
      </c>
      <c r="H14449">
        <f>IF(DATOS!$G14449&lt;&gt;"EX",0,--(COUNTIFS(nNIA,DATOS!$A14449,nCURSO,DATOS!$D14449,nESPEC,DATOS!$E14449,nASIG,DATOS!$I14449,nEVAL,"OR")=0))</f>
      </c>
      <c r="I14449">
        <f>IF(DATOS!$I14449="","",IFERROR(VLOOKUP(DATOS!$I14449,CONFIG_ASIGNATURAS!$B$2:$J$91,9,FALSE()),""))</f>
      </c>
    </row>
    <row r="14450">
      <c r="F14450">
        <f>IF(DATOS!$A14450="","",DATOS!$A14450&amp;"|"&amp;DATOS!$D14450&amp;"|"&amp;DATOS!$E14450&amp;"|"&amp;DATOS!$I14450)</f>
      </c>
      <c r="G14450">
        <f>IF(DATOS!$A14450="",0,IF(CONFIG_METADATA!$B$4&lt;&gt;"OR+EX",--(DATOS!$G14450=CONFIG_METADATA!$B$4),IF(DATOS!$G14450="EX",1,IF(DATOS!$G14450="OR",--(COUNTIFS(nNIA,DATOS!$A14450,nCURSO,DATOS!$D14450,nESPEC,DATOS!$E14450,nASIG,DATOS!$I14450,nEVAL,"EX")=0),0))))</f>
      </c>
      <c r="H14450">
        <f>IF(DATOS!$G14450&lt;&gt;"EX",0,--(COUNTIFS(nNIA,DATOS!$A14450,nCURSO,DATOS!$D14450,nESPEC,DATOS!$E14450,nASIG,DATOS!$I14450,nEVAL,"OR")=0))</f>
      </c>
      <c r="I14450">
        <f>IF(DATOS!$I14450="","",IFERROR(VLOOKUP(DATOS!$I14450,CONFIG_ASIGNATURAS!$B$2:$J$91,9,FALSE()),""))</f>
      </c>
    </row>
    <row r="14451">
      <c r="F14451">
        <f>IF(DATOS!$A14451="","",DATOS!$A14451&amp;"|"&amp;DATOS!$D14451&amp;"|"&amp;DATOS!$E14451&amp;"|"&amp;DATOS!$I14451)</f>
      </c>
      <c r="G14451">
        <f>IF(DATOS!$A14451="",0,IF(CONFIG_METADATA!$B$4&lt;&gt;"OR+EX",--(DATOS!$G14451=CONFIG_METADATA!$B$4),IF(DATOS!$G14451="EX",1,IF(DATOS!$G14451="OR",--(COUNTIFS(nNIA,DATOS!$A14451,nCURSO,DATOS!$D14451,nESPEC,DATOS!$E14451,nASIG,DATOS!$I14451,nEVAL,"EX")=0),0))))</f>
      </c>
      <c r="H14451">
        <f>IF(DATOS!$G14451&lt;&gt;"EX",0,--(COUNTIFS(nNIA,DATOS!$A14451,nCURSO,DATOS!$D14451,nESPEC,DATOS!$E14451,nASIG,DATOS!$I14451,nEVAL,"OR")=0))</f>
      </c>
      <c r="I14451">
        <f>IF(DATOS!$I14451="","",IFERROR(VLOOKUP(DATOS!$I14451,CONFIG_ASIGNATURAS!$B$2:$J$91,9,FALSE()),""))</f>
      </c>
    </row>
    <row r="14452">
      <c r="F14452">
        <f>IF(DATOS!$A14452="","",DATOS!$A14452&amp;"|"&amp;DATOS!$D14452&amp;"|"&amp;DATOS!$E14452&amp;"|"&amp;DATOS!$I14452)</f>
      </c>
      <c r="G14452">
        <f>IF(DATOS!$A14452="",0,IF(CONFIG_METADATA!$B$4&lt;&gt;"OR+EX",--(DATOS!$G14452=CONFIG_METADATA!$B$4),IF(DATOS!$G14452="EX",1,IF(DATOS!$G14452="OR",--(COUNTIFS(nNIA,DATOS!$A14452,nCURSO,DATOS!$D14452,nESPEC,DATOS!$E14452,nASIG,DATOS!$I14452,nEVAL,"EX")=0),0))))</f>
      </c>
      <c r="H14452">
        <f>IF(DATOS!$G14452&lt;&gt;"EX",0,--(COUNTIFS(nNIA,DATOS!$A14452,nCURSO,DATOS!$D14452,nESPEC,DATOS!$E14452,nASIG,DATOS!$I14452,nEVAL,"OR")=0))</f>
      </c>
      <c r="I14452">
        <f>IF(DATOS!$I14452="","",IFERROR(VLOOKUP(DATOS!$I14452,CONFIG_ASIGNATURAS!$B$2:$J$91,9,FALSE()),""))</f>
      </c>
    </row>
    <row r="14453">
      <c r="F14453">
        <f>IF(DATOS!$A14453="","",DATOS!$A14453&amp;"|"&amp;DATOS!$D14453&amp;"|"&amp;DATOS!$E14453&amp;"|"&amp;DATOS!$I14453)</f>
      </c>
      <c r="G14453">
        <f>IF(DATOS!$A14453="",0,IF(CONFIG_METADATA!$B$4&lt;&gt;"OR+EX",--(DATOS!$G14453=CONFIG_METADATA!$B$4),IF(DATOS!$G14453="EX",1,IF(DATOS!$G14453="OR",--(COUNTIFS(nNIA,DATOS!$A14453,nCURSO,DATOS!$D14453,nESPEC,DATOS!$E14453,nASIG,DATOS!$I14453,nEVAL,"EX")=0),0))))</f>
      </c>
      <c r="H14453">
        <f>IF(DATOS!$G14453&lt;&gt;"EX",0,--(COUNTIFS(nNIA,DATOS!$A14453,nCURSO,DATOS!$D14453,nESPEC,DATOS!$E14453,nASIG,DATOS!$I14453,nEVAL,"OR")=0))</f>
      </c>
      <c r="I14453">
        <f>IF(DATOS!$I14453="","",IFERROR(VLOOKUP(DATOS!$I14453,CONFIG_ASIGNATURAS!$B$2:$J$91,9,FALSE()),""))</f>
      </c>
    </row>
    <row r="14454">
      <c r="F14454">
        <f>IF(DATOS!$A14454="","",DATOS!$A14454&amp;"|"&amp;DATOS!$D14454&amp;"|"&amp;DATOS!$E14454&amp;"|"&amp;DATOS!$I14454)</f>
      </c>
      <c r="G14454">
        <f>IF(DATOS!$A14454="",0,IF(CONFIG_METADATA!$B$4&lt;&gt;"OR+EX",--(DATOS!$G14454=CONFIG_METADATA!$B$4),IF(DATOS!$G14454="EX",1,IF(DATOS!$G14454="OR",--(COUNTIFS(nNIA,DATOS!$A14454,nCURSO,DATOS!$D14454,nESPEC,DATOS!$E14454,nASIG,DATOS!$I14454,nEVAL,"EX")=0),0))))</f>
      </c>
      <c r="H14454">
        <f>IF(DATOS!$G14454&lt;&gt;"EX",0,--(COUNTIFS(nNIA,DATOS!$A14454,nCURSO,DATOS!$D14454,nESPEC,DATOS!$E14454,nASIG,DATOS!$I14454,nEVAL,"OR")=0))</f>
      </c>
      <c r="I14454">
        <f>IF(DATOS!$I14454="","",IFERROR(VLOOKUP(DATOS!$I14454,CONFIG_ASIGNATURAS!$B$2:$J$91,9,FALSE()),""))</f>
      </c>
    </row>
    <row r="14455">
      <c r="F14455">
        <f>IF(DATOS!$A14455="","",DATOS!$A14455&amp;"|"&amp;DATOS!$D14455&amp;"|"&amp;DATOS!$E14455&amp;"|"&amp;DATOS!$I14455)</f>
      </c>
      <c r="G14455">
        <f>IF(DATOS!$A14455="",0,IF(CONFIG_METADATA!$B$4&lt;&gt;"OR+EX",--(DATOS!$G14455=CONFIG_METADATA!$B$4),IF(DATOS!$G14455="EX",1,IF(DATOS!$G14455="OR",--(COUNTIFS(nNIA,DATOS!$A14455,nCURSO,DATOS!$D14455,nESPEC,DATOS!$E14455,nASIG,DATOS!$I14455,nEVAL,"EX")=0),0))))</f>
      </c>
      <c r="H14455">
        <f>IF(DATOS!$G14455&lt;&gt;"EX",0,--(COUNTIFS(nNIA,DATOS!$A14455,nCURSO,DATOS!$D14455,nESPEC,DATOS!$E14455,nASIG,DATOS!$I14455,nEVAL,"OR")=0))</f>
      </c>
      <c r="I14455">
        <f>IF(DATOS!$I14455="","",IFERROR(VLOOKUP(DATOS!$I14455,CONFIG_ASIGNATURAS!$B$2:$J$91,9,FALSE()),""))</f>
      </c>
    </row>
    <row r="14456">
      <c r="F14456">
        <f>IF(DATOS!$A14456="","",DATOS!$A14456&amp;"|"&amp;DATOS!$D14456&amp;"|"&amp;DATOS!$E14456&amp;"|"&amp;DATOS!$I14456)</f>
      </c>
      <c r="G14456">
        <f>IF(DATOS!$A14456="",0,IF(CONFIG_METADATA!$B$4&lt;&gt;"OR+EX",--(DATOS!$G14456=CONFIG_METADATA!$B$4),IF(DATOS!$G14456="EX",1,IF(DATOS!$G14456="OR",--(COUNTIFS(nNIA,DATOS!$A14456,nCURSO,DATOS!$D14456,nESPEC,DATOS!$E14456,nASIG,DATOS!$I14456,nEVAL,"EX")=0),0))))</f>
      </c>
      <c r="H14456">
        <f>IF(DATOS!$G14456&lt;&gt;"EX",0,--(COUNTIFS(nNIA,DATOS!$A14456,nCURSO,DATOS!$D14456,nESPEC,DATOS!$E14456,nASIG,DATOS!$I14456,nEVAL,"OR")=0))</f>
      </c>
      <c r="I14456">
        <f>IF(DATOS!$I14456="","",IFERROR(VLOOKUP(DATOS!$I14456,CONFIG_ASIGNATURAS!$B$2:$J$91,9,FALSE()),""))</f>
      </c>
    </row>
    <row r="14457">
      <c r="F14457">
        <f>IF(DATOS!$A14457="","",DATOS!$A14457&amp;"|"&amp;DATOS!$D14457&amp;"|"&amp;DATOS!$E14457&amp;"|"&amp;DATOS!$I14457)</f>
      </c>
      <c r="G14457">
        <f>IF(DATOS!$A14457="",0,IF(CONFIG_METADATA!$B$4&lt;&gt;"OR+EX",--(DATOS!$G14457=CONFIG_METADATA!$B$4),IF(DATOS!$G14457="EX",1,IF(DATOS!$G14457="OR",--(COUNTIFS(nNIA,DATOS!$A14457,nCURSO,DATOS!$D14457,nESPEC,DATOS!$E14457,nASIG,DATOS!$I14457,nEVAL,"EX")=0),0))))</f>
      </c>
      <c r="H14457">
        <f>IF(DATOS!$G14457&lt;&gt;"EX",0,--(COUNTIFS(nNIA,DATOS!$A14457,nCURSO,DATOS!$D14457,nESPEC,DATOS!$E14457,nASIG,DATOS!$I14457,nEVAL,"OR")=0))</f>
      </c>
      <c r="I14457">
        <f>IF(DATOS!$I14457="","",IFERROR(VLOOKUP(DATOS!$I14457,CONFIG_ASIGNATURAS!$B$2:$J$91,9,FALSE()),""))</f>
      </c>
    </row>
    <row r="14458">
      <c r="F14458">
        <f>IF(DATOS!$A14458="","",DATOS!$A14458&amp;"|"&amp;DATOS!$D14458&amp;"|"&amp;DATOS!$E14458&amp;"|"&amp;DATOS!$I14458)</f>
      </c>
      <c r="G14458">
        <f>IF(DATOS!$A14458="",0,IF(CONFIG_METADATA!$B$4&lt;&gt;"OR+EX",--(DATOS!$G14458=CONFIG_METADATA!$B$4),IF(DATOS!$G14458="EX",1,IF(DATOS!$G14458="OR",--(COUNTIFS(nNIA,DATOS!$A14458,nCURSO,DATOS!$D14458,nESPEC,DATOS!$E14458,nASIG,DATOS!$I14458,nEVAL,"EX")=0),0))))</f>
      </c>
      <c r="H14458">
        <f>IF(DATOS!$G14458&lt;&gt;"EX",0,--(COUNTIFS(nNIA,DATOS!$A14458,nCURSO,DATOS!$D14458,nESPEC,DATOS!$E14458,nASIG,DATOS!$I14458,nEVAL,"OR")=0))</f>
      </c>
      <c r="I14458">
        <f>IF(DATOS!$I14458="","",IFERROR(VLOOKUP(DATOS!$I14458,CONFIG_ASIGNATURAS!$B$2:$J$91,9,FALSE()),""))</f>
      </c>
    </row>
    <row r="14459">
      <c r="F14459">
        <f>IF(DATOS!$A14459="","",DATOS!$A14459&amp;"|"&amp;DATOS!$D14459&amp;"|"&amp;DATOS!$E14459&amp;"|"&amp;DATOS!$I14459)</f>
      </c>
      <c r="G14459">
        <f>IF(DATOS!$A14459="",0,IF(CONFIG_METADATA!$B$4&lt;&gt;"OR+EX",--(DATOS!$G14459=CONFIG_METADATA!$B$4),IF(DATOS!$G14459="EX",1,IF(DATOS!$G14459="OR",--(COUNTIFS(nNIA,DATOS!$A14459,nCURSO,DATOS!$D14459,nESPEC,DATOS!$E14459,nASIG,DATOS!$I14459,nEVAL,"EX")=0),0))))</f>
      </c>
      <c r="H14459">
        <f>IF(DATOS!$G14459&lt;&gt;"EX",0,--(COUNTIFS(nNIA,DATOS!$A14459,nCURSO,DATOS!$D14459,nESPEC,DATOS!$E14459,nASIG,DATOS!$I14459,nEVAL,"OR")=0))</f>
      </c>
      <c r="I14459">
        <f>IF(DATOS!$I14459="","",IFERROR(VLOOKUP(DATOS!$I14459,CONFIG_ASIGNATURAS!$B$2:$J$91,9,FALSE()),""))</f>
      </c>
    </row>
    <row r="14460">
      <c r="F14460">
        <f>IF(DATOS!$A14460="","",DATOS!$A14460&amp;"|"&amp;DATOS!$D14460&amp;"|"&amp;DATOS!$E14460&amp;"|"&amp;DATOS!$I14460)</f>
      </c>
      <c r="G14460">
        <f>IF(DATOS!$A14460="",0,IF(CONFIG_METADATA!$B$4&lt;&gt;"OR+EX",--(DATOS!$G14460=CONFIG_METADATA!$B$4),IF(DATOS!$G14460="EX",1,IF(DATOS!$G14460="OR",--(COUNTIFS(nNIA,DATOS!$A14460,nCURSO,DATOS!$D14460,nESPEC,DATOS!$E14460,nASIG,DATOS!$I14460,nEVAL,"EX")=0),0))))</f>
      </c>
      <c r="H14460">
        <f>IF(DATOS!$G14460&lt;&gt;"EX",0,--(COUNTIFS(nNIA,DATOS!$A14460,nCURSO,DATOS!$D14460,nESPEC,DATOS!$E14460,nASIG,DATOS!$I14460,nEVAL,"OR")=0))</f>
      </c>
      <c r="I14460">
        <f>IF(DATOS!$I14460="","",IFERROR(VLOOKUP(DATOS!$I14460,CONFIG_ASIGNATURAS!$B$2:$J$91,9,FALSE()),""))</f>
      </c>
    </row>
    <row r="14461">
      <c r="F14461">
        <f>IF(DATOS!$A14461="","",DATOS!$A14461&amp;"|"&amp;DATOS!$D14461&amp;"|"&amp;DATOS!$E14461&amp;"|"&amp;DATOS!$I14461)</f>
      </c>
      <c r="G14461">
        <f>IF(DATOS!$A14461="",0,IF(CONFIG_METADATA!$B$4&lt;&gt;"OR+EX",--(DATOS!$G14461=CONFIG_METADATA!$B$4),IF(DATOS!$G14461="EX",1,IF(DATOS!$G14461="OR",--(COUNTIFS(nNIA,DATOS!$A14461,nCURSO,DATOS!$D14461,nESPEC,DATOS!$E14461,nASIG,DATOS!$I14461,nEVAL,"EX")=0),0))))</f>
      </c>
      <c r="H14461">
        <f>IF(DATOS!$G14461&lt;&gt;"EX",0,--(COUNTIFS(nNIA,DATOS!$A14461,nCURSO,DATOS!$D14461,nESPEC,DATOS!$E14461,nASIG,DATOS!$I14461,nEVAL,"OR")=0))</f>
      </c>
      <c r="I14461">
        <f>IF(DATOS!$I14461="","",IFERROR(VLOOKUP(DATOS!$I14461,CONFIG_ASIGNATURAS!$B$2:$J$91,9,FALSE()),""))</f>
      </c>
    </row>
    <row r="14462">
      <c r="F14462">
        <f>IF(DATOS!$A14462="","",DATOS!$A14462&amp;"|"&amp;DATOS!$D14462&amp;"|"&amp;DATOS!$E14462&amp;"|"&amp;DATOS!$I14462)</f>
      </c>
      <c r="G14462">
        <f>IF(DATOS!$A14462="",0,IF(CONFIG_METADATA!$B$4&lt;&gt;"OR+EX",--(DATOS!$G14462=CONFIG_METADATA!$B$4),IF(DATOS!$G14462="EX",1,IF(DATOS!$G14462="OR",--(COUNTIFS(nNIA,DATOS!$A14462,nCURSO,DATOS!$D14462,nESPEC,DATOS!$E14462,nASIG,DATOS!$I14462,nEVAL,"EX")=0),0))))</f>
      </c>
      <c r="H14462">
        <f>IF(DATOS!$G14462&lt;&gt;"EX",0,--(COUNTIFS(nNIA,DATOS!$A14462,nCURSO,DATOS!$D14462,nESPEC,DATOS!$E14462,nASIG,DATOS!$I14462,nEVAL,"OR")=0))</f>
      </c>
      <c r="I14462">
        <f>IF(DATOS!$I14462="","",IFERROR(VLOOKUP(DATOS!$I14462,CONFIG_ASIGNATURAS!$B$2:$J$91,9,FALSE()),""))</f>
      </c>
    </row>
    <row r="14463">
      <c r="F14463">
        <f>IF(DATOS!$A14463="","",DATOS!$A14463&amp;"|"&amp;DATOS!$D14463&amp;"|"&amp;DATOS!$E14463&amp;"|"&amp;DATOS!$I14463)</f>
      </c>
      <c r="G14463">
        <f>IF(DATOS!$A14463="",0,IF(CONFIG_METADATA!$B$4&lt;&gt;"OR+EX",--(DATOS!$G14463=CONFIG_METADATA!$B$4),IF(DATOS!$G14463="EX",1,IF(DATOS!$G14463="OR",--(COUNTIFS(nNIA,DATOS!$A14463,nCURSO,DATOS!$D14463,nESPEC,DATOS!$E14463,nASIG,DATOS!$I14463,nEVAL,"EX")=0),0))))</f>
      </c>
      <c r="H14463">
        <f>IF(DATOS!$G14463&lt;&gt;"EX",0,--(COUNTIFS(nNIA,DATOS!$A14463,nCURSO,DATOS!$D14463,nESPEC,DATOS!$E14463,nASIG,DATOS!$I14463,nEVAL,"OR")=0))</f>
      </c>
      <c r="I14463">
        <f>IF(DATOS!$I14463="","",IFERROR(VLOOKUP(DATOS!$I14463,CONFIG_ASIGNATURAS!$B$2:$J$91,9,FALSE()),""))</f>
      </c>
    </row>
    <row r="14464">
      <c r="F14464">
        <f>IF(DATOS!$A14464="","",DATOS!$A14464&amp;"|"&amp;DATOS!$D14464&amp;"|"&amp;DATOS!$E14464&amp;"|"&amp;DATOS!$I14464)</f>
      </c>
      <c r="G14464">
        <f>IF(DATOS!$A14464="",0,IF(CONFIG_METADATA!$B$4&lt;&gt;"OR+EX",--(DATOS!$G14464=CONFIG_METADATA!$B$4),IF(DATOS!$G14464="EX",1,IF(DATOS!$G14464="OR",--(COUNTIFS(nNIA,DATOS!$A14464,nCURSO,DATOS!$D14464,nESPEC,DATOS!$E14464,nASIG,DATOS!$I14464,nEVAL,"EX")=0),0))))</f>
      </c>
      <c r="H14464">
        <f>IF(DATOS!$G14464&lt;&gt;"EX",0,--(COUNTIFS(nNIA,DATOS!$A14464,nCURSO,DATOS!$D14464,nESPEC,DATOS!$E14464,nASIG,DATOS!$I14464,nEVAL,"OR")=0))</f>
      </c>
      <c r="I14464">
        <f>IF(DATOS!$I14464="","",IFERROR(VLOOKUP(DATOS!$I14464,CONFIG_ASIGNATURAS!$B$2:$J$91,9,FALSE()),""))</f>
      </c>
    </row>
    <row r="14465">
      <c r="F14465">
        <f>IF(DATOS!$A14465="","",DATOS!$A14465&amp;"|"&amp;DATOS!$D14465&amp;"|"&amp;DATOS!$E14465&amp;"|"&amp;DATOS!$I14465)</f>
      </c>
      <c r="G14465">
        <f>IF(DATOS!$A14465="",0,IF(CONFIG_METADATA!$B$4&lt;&gt;"OR+EX",--(DATOS!$G14465=CONFIG_METADATA!$B$4),IF(DATOS!$G14465="EX",1,IF(DATOS!$G14465="OR",--(COUNTIFS(nNIA,DATOS!$A14465,nCURSO,DATOS!$D14465,nESPEC,DATOS!$E14465,nASIG,DATOS!$I14465,nEVAL,"EX")=0),0))))</f>
      </c>
      <c r="H14465">
        <f>IF(DATOS!$G14465&lt;&gt;"EX",0,--(COUNTIFS(nNIA,DATOS!$A14465,nCURSO,DATOS!$D14465,nESPEC,DATOS!$E14465,nASIG,DATOS!$I14465,nEVAL,"OR")=0))</f>
      </c>
      <c r="I14465">
        <f>IF(DATOS!$I14465="","",IFERROR(VLOOKUP(DATOS!$I14465,CONFIG_ASIGNATURAS!$B$2:$J$91,9,FALSE()),""))</f>
      </c>
    </row>
    <row r="14466">
      <c r="F14466">
        <f>IF(DATOS!$A14466="","",DATOS!$A14466&amp;"|"&amp;DATOS!$D14466&amp;"|"&amp;DATOS!$E14466&amp;"|"&amp;DATOS!$I14466)</f>
      </c>
      <c r="G14466">
        <f>IF(DATOS!$A14466="",0,IF(CONFIG_METADATA!$B$4&lt;&gt;"OR+EX",--(DATOS!$G14466=CONFIG_METADATA!$B$4),IF(DATOS!$G14466="EX",1,IF(DATOS!$G14466="OR",--(COUNTIFS(nNIA,DATOS!$A14466,nCURSO,DATOS!$D14466,nESPEC,DATOS!$E14466,nASIG,DATOS!$I14466,nEVAL,"EX")=0),0))))</f>
      </c>
      <c r="H14466">
        <f>IF(DATOS!$G14466&lt;&gt;"EX",0,--(COUNTIFS(nNIA,DATOS!$A14466,nCURSO,DATOS!$D14466,nESPEC,DATOS!$E14466,nASIG,DATOS!$I14466,nEVAL,"OR")=0))</f>
      </c>
      <c r="I14466">
        <f>IF(DATOS!$I14466="","",IFERROR(VLOOKUP(DATOS!$I14466,CONFIG_ASIGNATURAS!$B$2:$J$91,9,FALSE()),""))</f>
      </c>
    </row>
    <row r="14467">
      <c r="F14467">
        <f>IF(DATOS!$A14467="","",DATOS!$A14467&amp;"|"&amp;DATOS!$D14467&amp;"|"&amp;DATOS!$E14467&amp;"|"&amp;DATOS!$I14467)</f>
      </c>
      <c r="G14467">
        <f>IF(DATOS!$A14467="",0,IF(CONFIG_METADATA!$B$4&lt;&gt;"OR+EX",--(DATOS!$G14467=CONFIG_METADATA!$B$4),IF(DATOS!$G14467="EX",1,IF(DATOS!$G14467="OR",--(COUNTIFS(nNIA,DATOS!$A14467,nCURSO,DATOS!$D14467,nESPEC,DATOS!$E14467,nASIG,DATOS!$I14467,nEVAL,"EX")=0),0))))</f>
      </c>
      <c r="H14467">
        <f>IF(DATOS!$G14467&lt;&gt;"EX",0,--(COUNTIFS(nNIA,DATOS!$A14467,nCURSO,DATOS!$D14467,nESPEC,DATOS!$E14467,nASIG,DATOS!$I14467,nEVAL,"OR")=0))</f>
      </c>
      <c r="I14467">
        <f>IF(DATOS!$I14467="","",IFERROR(VLOOKUP(DATOS!$I14467,CONFIG_ASIGNATURAS!$B$2:$J$91,9,FALSE()),""))</f>
      </c>
    </row>
    <row r="14468">
      <c r="F14468">
        <f>IF(DATOS!$A14468="","",DATOS!$A14468&amp;"|"&amp;DATOS!$D14468&amp;"|"&amp;DATOS!$E14468&amp;"|"&amp;DATOS!$I14468)</f>
      </c>
      <c r="G14468">
        <f>IF(DATOS!$A14468="",0,IF(CONFIG_METADATA!$B$4&lt;&gt;"OR+EX",--(DATOS!$G14468=CONFIG_METADATA!$B$4),IF(DATOS!$G14468="EX",1,IF(DATOS!$G14468="OR",--(COUNTIFS(nNIA,DATOS!$A14468,nCURSO,DATOS!$D14468,nESPEC,DATOS!$E14468,nASIG,DATOS!$I14468,nEVAL,"EX")=0),0))))</f>
      </c>
      <c r="H14468">
        <f>IF(DATOS!$G14468&lt;&gt;"EX",0,--(COUNTIFS(nNIA,DATOS!$A14468,nCURSO,DATOS!$D14468,nESPEC,DATOS!$E14468,nASIG,DATOS!$I14468,nEVAL,"OR")=0))</f>
      </c>
      <c r="I14468">
        <f>IF(DATOS!$I14468="","",IFERROR(VLOOKUP(DATOS!$I14468,CONFIG_ASIGNATURAS!$B$2:$J$91,9,FALSE()),""))</f>
      </c>
    </row>
    <row r="14469">
      <c r="F14469">
        <f>IF(DATOS!$A14469="","",DATOS!$A14469&amp;"|"&amp;DATOS!$D14469&amp;"|"&amp;DATOS!$E14469&amp;"|"&amp;DATOS!$I14469)</f>
      </c>
      <c r="G14469">
        <f>IF(DATOS!$A14469="",0,IF(CONFIG_METADATA!$B$4&lt;&gt;"OR+EX",--(DATOS!$G14469=CONFIG_METADATA!$B$4),IF(DATOS!$G14469="EX",1,IF(DATOS!$G14469="OR",--(COUNTIFS(nNIA,DATOS!$A14469,nCURSO,DATOS!$D14469,nESPEC,DATOS!$E14469,nASIG,DATOS!$I14469,nEVAL,"EX")=0),0))))</f>
      </c>
      <c r="H14469">
        <f>IF(DATOS!$G14469&lt;&gt;"EX",0,--(COUNTIFS(nNIA,DATOS!$A14469,nCURSO,DATOS!$D14469,nESPEC,DATOS!$E14469,nASIG,DATOS!$I14469,nEVAL,"OR")=0))</f>
      </c>
      <c r="I14469">
        <f>IF(DATOS!$I14469="","",IFERROR(VLOOKUP(DATOS!$I14469,CONFIG_ASIGNATURAS!$B$2:$J$91,9,FALSE()),""))</f>
      </c>
    </row>
    <row r="14470">
      <c r="F14470">
        <f>IF(DATOS!$A14470="","",DATOS!$A14470&amp;"|"&amp;DATOS!$D14470&amp;"|"&amp;DATOS!$E14470&amp;"|"&amp;DATOS!$I14470)</f>
      </c>
      <c r="G14470">
        <f>IF(DATOS!$A14470="",0,IF(CONFIG_METADATA!$B$4&lt;&gt;"OR+EX",--(DATOS!$G14470=CONFIG_METADATA!$B$4),IF(DATOS!$G14470="EX",1,IF(DATOS!$G14470="OR",--(COUNTIFS(nNIA,DATOS!$A14470,nCURSO,DATOS!$D14470,nESPEC,DATOS!$E14470,nASIG,DATOS!$I14470,nEVAL,"EX")=0),0))))</f>
      </c>
      <c r="H14470">
        <f>IF(DATOS!$G14470&lt;&gt;"EX",0,--(COUNTIFS(nNIA,DATOS!$A14470,nCURSO,DATOS!$D14470,nESPEC,DATOS!$E14470,nASIG,DATOS!$I14470,nEVAL,"OR")=0))</f>
      </c>
      <c r="I14470">
        <f>IF(DATOS!$I14470="","",IFERROR(VLOOKUP(DATOS!$I14470,CONFIG_ASIGNATURAS!$B$2:$J$91,9,FALSE()),""))</f>
      </c>
    </row>
    <row r="14471">
      <c r="F14471">
        <f>IF(DATOS!$A14471="","",DATOS!$A14471&amp;"|"&amp;DATOS!$D14471&amp;"|"&amp;DATOS!$E14471&amp;"|"&amp;DATOS!$I14471)</f>
      </c>
      <c r="G14471">
        <f>IF(DATOS!$A14471="",0,IF(CONFIG_METADATA!$B$4&lt;&gt;"OR+EX",--(DATOS!$G14471=CONFIG_METADATA!$B$4),IF(DATOS!$G14471="EX",1,IF(DATOS!$G14471="OR",--(COUNTIFS(nNIA,DATOS!$A14471,nCURSO,DATOS!$D14471,nESPEC,DATOS!$E14471,nASIG,DATOS!$I14471,nEVAL,"EX")=0),0))))</f>
      </c>
      <c r="H14471">
        <f>IF(DATOS!$G14471&lt;&gt;"EX",0,--(COUNTIFS(nNIA,DATOS!$A14471,nCURSO,DATOS!$D14471,nESPEC,DATOS!$E14471,nASIG,DATOS!$I14471,nEVAL,"OR")=0))</f>
      </c>
      <c r="I14471">
        <f>IF(DATOS!$I14471="","",IFERROR(VLOOKUP(DATOS!$I14471,CONFIG_ASIGNATURAS!$B$2:$J$91,9,FALSE()),""))</f>
      </c>
    </row>
    <row r="14472">
      <c r="F14472">
        <f>IF(DATOS!$A14472="","",DATOS!$A14472&amp;"|"&amp;DATOS!$D14472&amp;"|"&amp;DATOS!$E14472&amp;"|"&amp;DATOS!$I14472)</f>
      </c>
      <c r="G14472">
        <f>IF(DATOS!$A14472="",0,IF(CONFIG_METADATA!$B$4&lt;&gt;"OR+EX",--(DATOS!$G14472=CONFIG_METADATA!$B$4),IF(DATOS!$G14472="EX",1,IF(DATOS!$G14472="OR",--(COUNTIFS(nNIA,DATOS!$A14472,nCURSO,DATOS!$D14472,nESPEC,DATOS!$E14472,nASIG,DATOS!$I14472,nEVAL,"EX")=0),0))))</f>
      </c>
      <c r="H14472">
        <f>IF(DATOS!$G14472&lt;&gt;"EX",0,--(COUNTIFS(nNIA,DATOS!$A14472,nCURSO,DATOS!$D14472,nESPEC,DATOS!$E14472,nASIG,DATOS!$I14472,nEVAL,"OR")=0))</f>
      </c>
      <c r="I14472">
        <f>IF(DATOS!$I14472="","",IFERROR(VLOOKUP(DATOS!$I14472,CONFIG_ASIGNATURAS!$B$2:$J$91,9,FALSE()),""))</f>
      </c>
    </row>
    <row r="14473">
      <c r="F14473">
        <f>IF(DATOS!$A14473="","",DATOS!$A14473&amp;"|"&amp;DATOS!$D14473&amp;"|"&amp;DATOS!$E14473&amp;"|"&amp;DATOS!$I14473)</f>
      </c>
      <c r="G14473">
        <f>IF(DATOS!$A14473="",0,IF(CONFIG_METADATA!$B$4&lt;&gt;"OR+EX",--(DATOS!$G14473=CONFIG_METADATA!$B$4),IF(DATOS!$G14473="EX",1,IF(DATOS!$G14473="OR",--(COUNTIFS(nNIA,DATOS!$A14473,nCURSO,DATOS!$D14473,nESPEC,DATOS!$E14473,nASIG,DATOS!$I14473,nEVAL,"EX")=0),0))))</f>
      </c>
      <c r="H14473">
        <f>IF(DATOS!$G14473&lt;&gt;"EX",0,--(COUNTIFS(nNIA,DATOS!$A14473,nCURSO,DATOS!$D14473,nESPEC,DATOS!$E14473,nASIG,DATOS!$I14473,nEVAL,"OR")=0))</f>
      </c>
      <c r="I14473">
        <f>IF(DATOS!$I14473="","",IFERROR(VLOOKUP(DATOS!$I14473,CONFIG_ASIGNATURAS!$B$2:$J$91,9,FALSE()),""))</f>
      </c>
    </row>
    <row r="14474">
      <c r="F14474">
        <f>IF(DATOS!$A14474="","",DATOS!$A14474&amp;"|"&amp;DATOS!$D14474&amp;"|"&amp;DATOS!$E14474&amp;"|"&amp;DATOS!$I14474)</f>
      </c>
      <c r="G14474">
        <f>IF(DATOS!$A14474="",0,IF(CONFIG_METADATA!$B$4&lt;&gt;"OR+EX",--(DATOS!$G14474=CONFIG_METADATA!$B$4),IF(DATOS!$G14474="EX",1,IF(DATOS!$G14474="OR",--(COUNTIFS(nNIA,DATOS!$A14474,nCURSO,DATOS!$D14474,nESPEC,DATOS!$E14474,nASIG,DATOS!$I14474,nEVAL,"EX")=0),0))))</f>
      </c>
      <c r="H14474">
        <f>IF(DATOS!$G14474&lt;&gt;"EX",0,--(COUNTIFS(nNIA,DATOS!$A14474,nCURSO,DATOS!$D14474,nESPEC,DATOS!$E14474,nASIG,DATOS!$I14474,nEVAL,"OR")=0))</f>
      </c>
      <c r="I14474">
        <f>IF(DATOS!$I14474="","",IFERROR(VLOOKUP(DATOS!$I14474,CONFIG_ASIGNATURAS!$B$2:$J$91,9,FALSE()),""))</f>
      </c>
    </row>
    <row r="14475">
      <c r="F14475">
        <f>IF(DATOS!$A14475="","",DATOS!$A14475&amp;"|"&amp;DATOS!$D14475&amp;"|"&amp;DATOS!$E14475&amp;"|"&amp;DATOS!$I14475)</f>
      </c>
      <c r="G14475">
        <f>IF(DATOS!$A14475="",0,IF(CONFIG_METADATA!$B$4&lt;&gt;"OR+EX",--(DATOS!$G14475=CONFIG_METADATA!$B$4),IF(DATOS!$G14475="EX",1,IF(DATOS!$G14475="OR",--(COUNTIFS(nNIA,DATOS!$A14475,nCURSO,DATOS!$D14475,nESPEC,DATOS!$E14475,nASIG,DATOS!$I14475,nEVAL,"EX")=0),0))))</f>
      </c>
      <c r="H14475">
        <f>IF(DATOS!$G14475&lt;&gt;"EX",0,--(COUNTIFS(nNIA,DATOS!$A14475,nCURSO,DATOS!$D14475,nESPEC,DATOS!$E14475,nASIG,DATOS!$I14475,nEVAL,"OR")=0))</f>
      </c>
      <c r="I14475">
        <f>IF(DATOS!$I14475="","",IFERROR(VLOOKUP(DATOS!$I14475,CONFIG_ASIGNATURAS!$B$2:$J$91,9,FALSE()),""))</f>
      </c>
    </row>
    <row r="14476">
      <c r="F14476">
        <f>IF(DATOS!$A14476="","",DATOS!$A14476&amp;"|"&amp;DATOS!$D14476&amp;"|"&amp;DATOS!$E14476&amp;"|"&amp;DATOS!$I14476)</f>
      </c>
      <c r="G14476">
        <f>IF(DATOS!$A14476="",0,IF(CONFIG_METADATA!$B$4&lt;&gt;"OR+EX",--(DATOS!$G14476=CONFIG_METADATA!$B$4),IF(DATOS!$G14476="EX",1,IF(DATOS!$G14476="OR",--(COUNTIFS(nNIA,DATOS!$A14476,nCURSO,DATOS!$D14476,nESPEC,DATOS!$E14476,nASIG,DATOS!$I14476,nEVAL,"EX")=0),0))))</f>
      </c>
      <c r="H14476">
        <f>IF(DATOS!$G14476&lt;&gt;"EX",0,--(COUNTIFS(nNIA,DATOS!$A14476,nCURSO,DATOS!$D14476,nESPEC,DATOS!$E14476,nASIG,DATOS!$I14476,nEVAL,"OR")=0))</f>
      </c>
      <c r="I14476">
        <f>IF(DATOS!$I14476="","",IFERROR(VLOOKUP(DATOS!$I14476,CONFIG_ASIGNATURAS!$B$2:$J$91,9,FALSE()),""))</f>
      </c>
    </row>
    <row r="14477">
      <c r="F14477">
        <f>IF(DATOS!$A14477="","",DATOS!$A14477&amp;"|"&amp;DATOS!$D14477&amp;"|"&amp;DATOS!$E14477&amp;"|"&amp;DATOS!$I14477)</f>
      </c>
      <c r="G14477">
        <f>IF(DATOS!$A14477="",0,IF(CONFIG_METADATA!$B$4&lt;&gt;"OR+EX",--(DATOS!$G14477=CONFIG_METADATA!$B$4),IF(DATOS!$G14477="EX",1,IF(DATOS!$G14477="OR",--(COUNTIFS(nNIA,DATOS!$A14477,nCURSO,DATOS!$D14477,nESPEC,DATOS!$E14477,nASIG,DATOS!$I14477,nEVAL,"EX")=0),0))))</f>
      </c>
      <c r="H14477">
        <f>IF(DATOS!$G14477&lt;&gt;"EX",0,--(COUNTIFS(nNIA,DATOS!$A14477,nCURSO,DATOS!$D14477,nESPEC,DATOS!$E14477,nASIG,DATOS!$I14477,nEVAL,"OR")=0))</f>
      </c>
      <c r="I14477">
        <f>IF(DATOS!$I14477="","",IFERROR(VLOOKUP(DATOS!$I14477,CONFIG_ASIGNATURAS!$B$2:$J$91,9,FALSE()),""))</f>
      </c>
    </row>
    <row r="14478">
      <c r="F14478">
        <f>IF(DATOS!$A14478="","",DATOS!$A14478&amp;"|"&amp;DATOS!$D14478&amp;"|"&amp;DATOS!$E14478&amp;"|"&amp;DATOS!$I14478)</f>
      </c>
      <c r="G14478">
        <f>IF(DATOS!$A14478="",0,IF(CONFIG_METADATA!$B$4&lt;&gt;"OR+EX",--(DATOS!$G14478=CONFIG_METADATA!$B$4),IF(DATOS!$G14478="EX",1,IF(DATOS!$G14478="OR",--(COUNTIFS(nNIA,DATOS!$A14478,nCURSO,DATOS!$D14478,nESPEC,DATOS!$E14478,nASIG,DATOS!$I14478,nEVAL,"EX")=0),0))))</f>
      </c>
      <c r="H14478">
        <f>IF(DATOS!$G14478&lt;&gt;"EX",0,--(COUNTIFS(nNIA,DATOS!$A14478,nCURSO,DATOS!$D14478,nESPEC,DATOS!$E14478,nASIG,DATOS!$I14478,nEVAL,"OR")=0))</f>
      </c>
      <c r="I14478">
        <f>IF(DATOS!$I14478="","",IFERROR(VLOOKUP(DATOS!$I14478,CONFIG_ASIGNATURAS!$B$2:$J$91,9,FALSE()),""))</f>
      </c>
    </row>
    <row r="14479">
      <c r="F14479">
        <f>IF(DATOS!$A14479="","",DATOS!$A14479&amp;"|"&amp;DATOS!$D14479&amp;"|"&amp;DATOS!$E14479&amp;"|"&amp;DATOS!$I14479)</f>
      </c>
      <c r="G14479">
        <f>IF(DATOS!$A14479="",0,IF(CONFIG_METADATA!$B$4&lt;&gt;"OR+EX",--(DATOS!$G14479=CONFIG_METADATA!$B$4),IF(DATOS!$G14479="EX",1,IF(DATOS!$G14479="OR",--(COUNTIFS(nNIA,DATOS!$A14479,nCURSO,DATOS!$D14479,nESPEC,DATOS!$E14479,nASIG,DATOS!$I14479,nEVAL,"EX")=0),0))))</f>
      </c>
      <c r="H14479">
        <f>IF(DATOS!$G14479&lt;&gt;"EX",0,--(COUNTIFS(nNIA,DATOS!$A14479,nCURSO,DATOS!$D14479,nESPEC,DATOS!$E14479,nASIG,DATOS!$I14479,nEVAL,"OR")=0))</f>
      </c>
      <c r="I14479">
        <f>IF(DATOS!$I14479="","",IFERROR(VLOOKUP(DATOS!$I14479,CONFIG_ASIGNATURAS!$B$2:$J$91,9,FALSE()),""))</f>
      </c>
    </row>
    <row r="14480">
      <c r="F14480">
        <f>IF(DATOS!$A14480="","",DATOS!$A14480&amp;"|"&amp;DATOS!$D14480&amp;"|"&amp;DATOS!$E14480&amp;"|"&amp;DATOS!$I14480)</f>
      </c>
      <c r="G14480">
        <f>IF(DATOS!$A14480="",0,IF(CONFIG_METADATA!$B$4&lt;&gt;"OR+EX",--(DATOS!$G14480=CONFIG_METADATA!$B$4),IF(DATOS!$G14480="EX",1,IF(DATOS!$G14480="OR",--(COUNTIFS(nNIA,DATOS!$A14480,nCURSO,DATOS!$D14480,nESPEC,DATOS!$E14480,nASIG,DATOS!$I14480,nEVAL,"EX")=0),0))))</f>
      </c>
      <c r="H14480">
        <f>IF(DATOS!$G14480&lt;&gt;"EX",0,--(COUNTIFS(nNIA,DATOS!$A14480,nCURSO,DATOS!$D14480,nESPEC,DATOS!$E14480,nASIG,DATOS!$I14480,nEVAL,"OR")=0))</f>
      </c>
      <c r="I14480">
        <f>IF(DATOS!$I14480="","",IFERROR(VLOOKUP(DATOS!$I14480,CONFIG_ASIGNATURAS!$B$2:$J$91,9,FALSE()),""))</f>
      </c>
    </row>
    <row r="14481">
      <c r="F14481">
        <f>IF(DATOS!$A14481="","",DATOS!$A14481&amp;"|"&amp;DATOS!$D14481&amp;"|"&amp;DATOS!$E14481&amp;"|"&amp;DATOS!$I14481)</f>
      </c>
      <c r="G14481">
        <f>IF(DATOS!$A14481="",0,IF(CONFIG_METADATA!$B$4&lt;&gt;"OR+EX",--(DATOS!$G14481=CONFIG_METADATA!$B$4),IF(DATOS!$G14481="EX",1,IF(DATOS!$G14481="OR",--(COUNTIFS(nNIA,DATOS!$A14481,nCURSO,DATOS!$D14481,nESPEC,DATOS!$E14481,nASIG,DATOS!$I14481,nEVAL,"EX")=0),0))))</f>
      </c>
      <c r="H14481">
        <f>IF(DATOS!$G14481&lt;&gt;"EX",0,--(COUNTIFS(nNIA,DATOS!$A14481,nCURSO,DATOS!$D14481,nESPEC,DATOS!$E14481,nASIG,DATOS!$I14481,nEVAL,"OR")=0))</f>
      </c>
      <c r="I14481">
        <f>IF(DATOS!$I14481="","",IFERROR(VLOOKUP(DATOS!$I14481,CONFIG_ASIGNATURAS!$B$2:$J$91,9,FALSE()),""))</f>
      </c>
    </row>
    <row r="14482">
      <c r="F14482">
        <f>IF(DATOS!$A14482="","",DATOS!$A14482&amp;"|"&amp;DATOS!$D14482&amp;"|"&amp;DATOS!$E14482&amp;"|"&amp;DATOS!$I14482)</f>
      </c>
      <c r="G14482">
        <f>IF(DATOS!$A14482="",0,IF(CONFIG_METADATA!$B$4&lt;&gt;"OR+EX",--(DATOS!$G14482=CONFIG_METADATA!$B$4),IF(DATOS!$G14482="EX",1,IF(DATOS!$G14482="OR",--(COUNTIFS(nNIA,DATOS!$A14482,nCURSO,DATOS!$D14482,nESPEC,DATOS!$E14482,nASIG,DATOS!$I14482,nEVAL,"EX")=0),0))))</f>
      </c>
      <c r="H14482">
        <f>IF(DATOS!$G14482&lt;&gt;"EX",0,--(COUNTIFS(nNIA,DATOS!$A14482,nCURSO,DATOS!$D14482,nESPEC,DATOS!$E14482,nASIG,DATOS!$I14482,nEVAL,"OR")=0))</f>
      </c>
      <c r="I14482">
        <f>IF(DATOS!$I14482="","",IFERROR(VLOOKUP(DATOS!$I14482,CONFIG_ASIGNATURAS!$B$2:$J$91,9,FALSE()),""))</f>
      </c>
    </row>
    <row r="14483">
      <c r="F14483">
        <f>IF(DATOS!$A14483="","",DATOS!$A14483&amp;"|"&amp;DATOS!$D14483&amp;"|"&amp;DATOS!$E14483&amp;"|"&amp;DATOS!$I14483)</f>
      </c>
      <c r="G14483">
        <f>IF(DATOS!$A14483="",0,IF(CONFIG_METADATA!$B$4&lt;&gt;"OR+EX",--(DATOS!$G14483=CONFIG_METADATA!$B$4),IF(DATOS!$G14483="EX",1,IF(DATOS!$G14483="OR",--(COUNTIFS(nNIA,DATOS!$A14483,nCURSO,DATOS!$D14483,nESPEC,DATOS!$E14483,nASIG,DATOS!$I14483,nEVAL,"EX")=0),0))))</f>
      </c>
      <c r="H14483">
        <f>IF(DATOS!$G14483&lt;&gt;"EX",0,--(COUNTIFS(nNIA,DATOS!$A14483,nCURSO,DATOS!$D14483,nESPEC,DATOS!$E14483,nASIG,DATOS!$I14483,nEVAL,"OR")=0))</f>
      </c>
      <c r="I14483">
        <f>IF(DATOS!$I14483="","",IFERROR(VLOOKUP(DATOS!$I14483,CONFIG_ASIGNATURAS!$B$2:$J$91,9,FALSE()),""))</f>
      </c>
    </row>
    <row r="14484">
      <c r="F14484">
        <f>IF(DATOS!$A14484="","",DATOS!$A14484&amp;"|"&amp;DATOS!$D14484&amp;"|"&amp;DATOS!$E14484&amp;"|"&amp;DATOS!$I14484)</f>
      </c>
      <c r="G14484">
        <f>IF(DATOS!$A14484="",0,IF(CONFIG_METADATA!$B$4&lt;&gt;"OR+EX",--(DATOS!$G14484=CONFIG_METADATA!$B$4),IF(DATOS!$G14484="EX",1,IF(DATOS!$G14484="OR",--(COUNTIFS(nNIA,DATOS!$A14484,nCURSO,DATOS!$D14484,nESPEC,DATOS!$E14484,nASIG,DATOS!$I14484,nEVAL,"EX")=0),0))))</f>
      </c>
      <c r="H14484">
        <f>IF(DATOS!$G14484&lt;&gt;"EX",0,--(COUNTIFS(nNIA,DATOS!$A14484,nCURSO,DATOS!$D14484,nESPEC,DATOS!$E14484,nASIG,DATOS!$I14484,nEVAL,"OR")=0))</f>
      </c>
      <c r="I14484">
        <f>IF(DATOS!$I14484="","",IFERROR(VLOOKUP(DATOS!$I14484,CONFIG_ASIGNATURAS!$B$2:$J$91,9,FALSE()),""))</f>
      </c>
    </row>
    <row r="14485">
      <c r="F14485">
        <f>IF(DATOS!$A14485="","",DATOS!$A14485&amp;"|"&amp;DATOS!$D14485&amp;"|"&amp;DATOS!$E14485&amp;"|"&amp;DATOS!$I14485)</f>
      </c>
      <c r="G14485">
        <f>IF(DATOS!$A14485="",0,IF(CONFIG_METADATA!$B$4&lt;&gt;"OR+EX",--(DATOS!$G14485=CONFIG_METADATA!$B$4),IF(DATOS!$G14485="EX",1,IF(DATOS!$G14485="OR",--(COUNTIFS(nNIA,DATOS!$A14485,nCURSO,DATOS!$D14485,nESPEC,DATOS!$E14485,nASIG,DATOS!$I14485,nEVAL,"EX")=0),0))))</f>
      </c>
      <c r="H14485">
        <f>IF(DATOS!$G14485&lt;&gt;"EX",0,--(COUNTIFS(nNIA,DATOS!$A14485,nCURSO,DATOS!$D14485,nESPEC,DATOS!$E14485,nASIG,DATOS!$I14485,nEVAL,"OR")=0))</f>
      </c>
      <c r="I14485">
        <f>IF(DATOS!$I14485="","",IFERROR(VLOOKUP(DATOS!$I14485,CONFIG_ASIGNATURAS!$B$2:$J$91,9,FALSE()),""))</f>
      </c>
    </row>
    <row r="14486">
      <c r="F14486">
        <f>IF(DATOS!$A14486="","",DATOS!$A14486&amp;"|"&amp;DATOS!$D14486&amp;"|"&amp;DATOS!$E14486&amp;"|"&amp;DATOS!$I14486)</f>
      </c>
      <c r="G14486">
        <f>IF(DATOS!$A14486="",0,IF(CONFIG_METADATA!$B$4&lt;&gt;"OR+EX",--(DATOS!$G14486=CONFIG_METADATA!$B$4),IF(DATOS!$G14486="EX",1,IF(DATOS!$G14486="OR",--(COUNTIFS(nNIA,DATOS!$A14486,nCURSO,DATOS!$D14486,nESPEC,DATOS!$E14486,nASIG,DATOS!$I14486,nEVAL,"EX")=0),0))))</f>
      </c>
      <c r="H14486">
        <f>IF(DATOS!$G14486&lt;&gt;"EX",0,--(COUNTIFS(nNIA,DATOS!$A14486,nCURSO,DATOS!$D14486,nESPEC,DATOS!$E14486,nASIG,DATOS!$I14486,nEVAL,"OR")=0))</f>
      </c>
      <c r="I14486">
        <f>IF(DATOS!$I14486="","",IFERROR(VLOOKUP(DATOS!$I14486,CONFIG_ASIGNATURAS!$B$2:$J$91,9,FALSE()),""))</f>
      </c>
    </row>
    <row r="14487">
      <c r="F14487">
        <f>IF(DATOS!$A14487="","",DATOS!$A14487&amp;"|"&amp;DATOS!$D14487&amp;"|"&amp;DATOS!$E14487&amp;"|"&amp;DATOS!$I14487)</f>
      </c>
      <c r="G14487">
        <f>IF(DATOS!$A14487="",0,IF(CONFIG_METADATA!$B$4&lt;&gt;"OR+EX",--(DATOS!$G14487=CONFIG_METADATA!$B$4),IF(DATOS!$G14487="EX",1,IF(DATOS!$G14487="OR",--(COUNTIFS(nNIA,DATOS!$A14487,nCURSO,DATOS!$D14487,nESPEC,DATOS!$E14487,nASIG,DATOS!$I14487,nEVAL,"EX")=0),0))))</f>
      </c>
      <c r="H14487">
        <f>IF(DATOS!$G14487&lt;&gt;"EX",0,--(COUNTIFS(nNIA,DATOS!$A14487,nCURSO,DATOS!$D14487,nESPEC,DATOS!$E14487,nASIG,DATOS!$I14487,nEVAL,"OR")=0))</f>
      </c>
      <c r="I14487">
        <f>IF(DATOS!$I14487="","",IFERROR(VLOOKUP(DATOS!$I14487,CONFIG_ASIGNATURAS!$B$2:$J$91,9,FALSE()),""))</f>
      </c>
    </row>
    <row r="14488">
      <c r="F14488">
        <f>IF(DATOS!$A14488="","",DATOS!$A14488&amp;"|"&amp;DATOS!$D14488&amp;"|"&amp;DATOS!$E14488&amp;"|"&amp;DATOS!$I14488)</f>
      </c>
      <c r="G14488">
        <f>IF(DATOS!$A14488="",0,IF(CONFIG_METADATA!$B$4&lt;&gt;"OR+EX",--(DATOS!$G14488=CONFIG_METADATA!$B$4),IF(DATOS!$G14488="EX",1,IF(DATOS!$G14488="OR",--(COUNTIFS(nNIA,DATOS!$A14488,nCURSO,DATOS!$D14488,nESPEC,DATOS!$E14488,nASIG,DATOS!$I14488,nEVAL,"EX")=0),0))))</f>
      </c>
      <c r="H14488">
        <f>IF(DATOS!$G14488&lt;&gt;"EX",0,--(COUNTIFS(nNIA,DATOS!$A14488,nCURSO,DATOS!$D14488,nESPEC,DATOS!$E14488,nASIG,DATOS!$I14488,nEVAL,"OR")=0))</f>
      </c>
      <c r="I14488">
        <f>IF(DATOS!$I14488="","",IFERROR(VLOOKUP(DATOS!$I14488,CONFIG_ASIGNATURAS!$B$2:$J$91,9,FALSE()),""))</f>
      </c>
    </row>
    <row r="14489">
      <c r="F14489">
        <f>IF(DATOS!$A14489="","",DATOS!$A14489&amp;"|"&amp;DATOS!$D14489&amp;"|"&amp;DATOS!$E14489&amp;"|"&amp;DATOS!$I14489)</f>
      </c>
      <c r="G14489">
        <f>IF(DATOS!$A14489="",0,IF(CONFIG_METADATA!$B$4&lt;&gt;"OR+EX",--(DATOS!$G14489=CONFIG_METADATA!$B$4),IF(DATOS!$G14489="EX",1,IF(DATOS!$G14489="OR",--(COUNTIFS(nNIA,DATOS!$A14489,nCURSO,DATOS!$D14489,nESPEC,DATOS!$E14489,nASIG,DATOS!$I14489,nEVAL,"EX")=0),0))))</f>
      </c>
      <c r="H14489">
        <f>IF(DATOS!$G14489&lt;&gt;"EX",0,--(COUNTIFS(nNIA,DATOS!$A14489,nCURSO,DATOS!$D14489,nESPEC,DATOS!$E14489,nASIG,DATOS!$I14489,nEVAL,"OR")=0))</f>
      </c>
      <c r="I14489">
        <f>IF(DATOS!$I14489="","",IFERROR(VLOOKUP(DATOS!$I14489,CONFIG_ASIGNATURAS!$B$2:$J$91,9,FALSE()),""))</f>
      </c>
    </row>
    <row r="14490">
      <c r="F14490">
        <f>IF(DATOS!$A14490="","",DATOS!$A14490&amp;"|"&amp;DATOS!$D14490&amp;"|"&amp;DATOS!$E14490&amp;"|"&amp;DATOS!$I14490)</f>
      </c>
      <c r="G14490">
        <f>IF(DATOS!$A14490="",0,IF(CONFIG_METADATA!$B$4&lt;&gt;"OR+EX",--(DATOS!$G14490=CONFIG_METADATA!$B$4),IF(DATOS!$G14490="EX",1,IF(DATOS!$G14490="OR",--(COUNTIFS(nNIA,DATOS!$A14490,nCURSO,DATOS!$D14490,nESPEC,DATOS!$E14490,nASIG,DATOS!$I14490,nEVAL,"EX")=0),0))))</f>
      </c>
      <c r="H14490">
        <f>IF(DATOS!$G14490&lt;&gt;"EX",0,--(COUNTIFS(nNIA,DATOS!$A14490,nCURSO,DATOS!$D14490,nESPEC,DATOS!$E14490,nASIG,DATOS!$I14490,nEVAL,"OR")=0))</f>
      </c>
      <c r="I14490">
        <f>IF(DATOS!$I14490="","",IFERROR(VLOOKUP(DATOS!$I14490,CONFIG_ASIGNATURAS!$B$2:$J$91,9,FALSE()),""))</f>
      </c>
    </row>
    <row r="14491">
      <c r="F14491">
        <f>IF(DATOS!$A14491="","",DATOS!$A14491&amp;"|"&amp;DATOS!$D14491&amp;"|"&amp;DATOS!$E14491&amp;"|"&amp;DATOS!$I14491)</f>
      </c>
      <c r="G14491">
        <f>IF(DATOS!$A14491="",0,IF(CONFIG_METADATA!$B$4&lt;&gt;"OR+EX",--(DATOS!$G14491=CONFIG_METADATA!$B$4),IF(DATOS!$G14491="EX",1,IF(DATOS!$G14491="OR",--(COUNTIFS(nNIA,DATOS!$A14491,nCURSO,DATOS!$D14491,nESPEC,DATOS!$E14491,nASIG,DATOS!$I14491,nEVAL,"EX")=0),0))))</f>
      </c>
      <c r="H14491">
        <f>IF(DATOS!$G14491&lt;&gt;"EX",0,--(COUNTIFS(nNIA,DATOS!$A14491,nCURSO,DATOS!$D14491,nESPEC,DATOS!$E14491,nASIG,DATOS!$I14491,nEVAL,"OR")=0))</f>
      </c>
      <c r="I14491">
        <f>IF(DATOS!$I14491="","",IFERROR(VLOOKUP(DATOS!$I14491,CONFIG_ASIGNATURAS!$B$2:$J$91,9,FALSE()),""))</f>
      </c>
    </row>
    <row r="14492">
      <c r="F14492">
        <f>IF(DATOS!$A14492="","",DATOS!$A14492&amp;"|"&amp;DATOS!$D14492&amp;"|"&amp;DATOS!$E14492&amp;"|"&amp;DATOS!$I14492)</f>
      </c>
      <c r="G14492">
        <f>IF(DATOS!$A14492="",0,IF(CONFIG_METADATA!$B$4&lt;&gt;"OR+EX",--(DATOS!$G14492=CONFIG_METADATA!$B$4),IF(DATOS!$G14492="EX",1,IF(DATOS!$G14492="OR",--(COUNTIFS(nNIA,DATOS!$A14492,nCURSO,DATOS!$D14492,nESPEC,DATOS!$E14492,nASIG,DATOS!$I14492,nEVAL,"EX")=0),0))))</f>
      </c>
      <c r="H14492">
        <f>IF(DATOS!$G14492&lt;&gt;"EX",0,--(COUNTIFS(nNIA,DATOS!$A14492,nCURSO,DATOS!$D14492,nESPEC,DATOS!$E14492,nASIG,DATOS!$I14492,nEVAL,"OR")=0))</f>
      </c>
      <c r="I14492">
        <f>IF(DATOS!$I14492="","",IFERROR(VLOOKUP(DATOS!$I14492,CONFIG_ASIGNATURAS!$B$2:$J$91,9,FALSE()),""))</f>
      </c>
    </row>
    <row r="14493">
      <c r="F14493">
        <f>IF(DATOS!$A14493="","",DATOS!$A14493&amp;"|"&amp;DATOS!$D14493&amp;"|"&amp;DATOS!$E14493&amp;"|"&amp;DATOS!$I14493)</f>
      </c>
      <c r="G14493">
        <f>IF(DATOS!$A14493="",0,IF(CONFIG_METADATA!$B$4&lt;&gt;"OR+EX",--(DATOS!$G14493=CONFIG_METADATA!$B$4),IF(DATOS!$G14493="EX",1,IF(DATOS!$G14493="OR",--(COUNTIFS(nNIA,DATOS!$A14493,nCURSO,DATOS!$D14493,nESPEC,DATOS!$E14493,nASIG,DATOS!$I14493,nEVAL,"EX")=0),0))))</f>
      </c>
      <c r="H14493">
        <f>IF(DATOS!$G14493&lt;&gt;"EX",0,--(COUNTIFS(nNIA,DATOS!$A14493,nCURSO,DATOS!$D14493,nESPEC,DATOS!$E14493,nASIG,DATOS!$I14493,nEVAL,"OR")=0))</f>
      </c>
      <c r="I14493">
        <f>IF(DATOS!$I14493="","",IFERROR(VLOOKUP(DATOS!$I14493,CONFIG_ASIGNATURAS!$B$2:$J$91,9,FALSE()),""))</f>
      </c>
    </row>
    <row r="14494">
      <c r="F14494">
        <f>IF(DATOS!$A14494="","",DATOS!$A14494&amp;"|"&amp;DATOS!$D14494&amp;"|"&amp;DATOS!$E14494&amp;"|"&amp;DATOS!$I14494)</f>
      </c>
      <c r="G14494">
        <f>IF(DATOS!$A14494="",0,IF(CONFIG_METADATA!$B$4&lt;&gt;"OR+EX",--(DATOS!$G14494=CONFIG_METADATA!$B$4),IF(DATOS!$G14494="EX",1,IF(DATOS!$G14494="OR",--(COUNTIFS(nNIA,DATOS!$A14494,nCURSO,DATOS!$D14494,nESPEC,DATOS!$E14494,nASIG,DATOS!$I14494,nEVAL,"EX")=0),0))))</f>
      </c>
      <c r="H14494">
        <f>IF(DATOS!$G14494&lt;&gt;"EX",0,--(COUNTIFS(nNIA,DATOS!$A14494,nCURSO,DATOS!$D14494,nESPEC,DATOS!$E14494,nASIG,DATOS!$I14494,nEVAL,"OR")=0))</f>
      </c>
      <c r="I14494">
        <f>IF(DATOS!$I14494="","",IFERROR(VLOOKUP(DATOS!$I14494,CONFIG_ASIGNATURAS!$B$2:$J$91,9,FALSE()),""))</f>
      </c>
    </row>
    <row r="14495">
      <c r="F14495">
        <f>IF(DATOS!$A14495="","",DATOS!$A14495&amp;"|"&amp;DATOS!$D14495&amp;"|"&amp;DATOS!$E14495&amp;"|"&amp;DATOS!$I14495)</f>
      </c>
      <c r="G14495">
        <f>IF(DATOS!$A14495="",0,IF(CONFIG_METADATA!$B$4&lt;&gt;"OR+EX",--(DATOS!$G14495=CONFIG_METADATA!$B$4),IF(DATOS!$G14495="EX",1,IF(DATOS!$G14495="OR",--(COUNTIFS(nNIA,DATOS!$A14495,nCURSO,DATOS!$D14495,nESPEC,DATOS!$E14495,nASIG,DATOS!$I14495,nEVAL,"EX")=0),0))))</f>
      </c>
      <c r="H14495">
        <f>IF(DATOS!$G14495&lt;&gt;"EX",0,--(COUNTIFS(nNIA,DATOS!$A14495,nCURSO,DATOS!$D14495,nESPEC,DATOS!$E14495,nASIG,DATOS!$I14495,nEVAL,"OR")=0))</f>
      </c>
      <c r="I14495">
        <f>IF(DATOS!$I14495="","",IFERROR(VLOOKUP(DATOS!$I14495,CONFIG_ASIGNATURAS!$B$2:$J$91,9,FALSE()),""))</f>
      </c>
    </row>
    <row r="14496">
      <c r="F14496">
        <f>IF(DATOS!$A14496="","",DATOS!$A14496&amp;"|"&amp;DATOS!$D14496&amp;"|"&amp;DATOS!$E14496&amp;"|"&amp;DATOS!$I14496)</f>
      </c>
      <c r="G14496">
        <f>IF(DATOS!$A14496="",0,IF(CONFIG_METADATA!$B$4&lt;&gt;"OR+EX",--(DATOS!$G14496=CONFIG_METADATA!$B$4),IF(DATOS!$G14496="EX",1,IF(DATOS!$G14496="OR",--(COUNTIFS(nNIA,DATOS!$A14496,nCURSO,DATOS!$D14496,nESPEC,DATOS!$E14496,nASIG,DATOS!$I14496,nEVAL,"EX")=0),0))))</f>
      </c>
      <c r="H14496">
        <f>IF(DATOS!$G14496&lt;&gt;"EX",0,--(COUNTIFS(nNIA,DATOS!$A14496,nCURSO,DATOS!$D14496,nESPEC,DATOS!$E14496,nASIG,DATOS!$I14496,nEVAL,"OR")=0))</f>
      </c>
      <c r="I14496">
        <f>IF(DATOS!$I14496="","",IFERROR(VLOOKUP(DATOS!$I14496,CONFIG_ASIGNATURAS!$B$2:$J$91,9,FALSE()),""))</f>
      </c>
    </row>
    <row r="14497">
      <c r="F14497">
        <f>IF(DATOS!$A14497="","",DATOS!$A14497&amp;"|"&amp;DATOS!$D14497&amp;"|"&amp;DATOS!$E14497&amp;"|"&amp;DATOS!$I14497)</f>
      </c>
      <c r="G14497">
        <f>IF(DATOS!$A14497="",0,IF(CONFIG_METADATA!$B$4&lt;&gt;"OR+EX",--(DATOS!$G14497=CONFIG_METADATA!$B$4),IF(DATOS!$G14497="EX",1,IF(DATOS!$G14497="OR",--(COUNTIFS(nNIA,DATOS!$A14497,nCURSO,DATOS!$D14497,nESPEC,DATOS!$E14497,nASIG,DATOS!$I14497,nEVAL,"EX")=0),0))))</f>
      </c>
      <c r="H14497">
        <f>IF(DATOS!$G14497&lt;&gt;"EX",0,--(COUNTIFS(nNIA,DATOS!$A14497,nCURSO,DATOS!$D14497,nESPEC,DATOS!$E14497,nASIG,DATOS!$I14497,nEVAL,"OR")=0))</f>
      </c>
      <c r="I14497">
        <f>IF(DATOS!$I14497="","",IFERROR(VLOOKUP(DATOS!$I14497,CONFIG_ASIGNATURAS!$B$2:$J$91,9,FALSE()),""))</f>
      </c>
    </row>
    <row r="14498">
      <c r="F14498">
        <f>IF(DATOS!$A14498="","",DATOS!$A14498&amp;"|"&amp;DATOS!$D14498&amp;"|"&amp;DATOS!$E14498&amp;"|"&amp;DATOS!$I14498)</f>
      </c>
      <c r="G14498">
        <f>IF(DATOS!$A14498="",0,IF(CONFIG_METADATA!$B$4&lt;&gt;"OR+EX",--(DATOS!$G14498=CONFIG_METADATA!$B$4),IF(DATOS!$G14498="EX",1,IF(DATOS!$G14498="OR",--(COUNTIFS(nNIA,DATOS!$A14498,nCURSO,DATOS!$D14498,nESPEC,DATOS!$E14498,nASIG,DATOS!$I14498,nEVAL,"EX")=0),0))))</f>
      </c>
      <c r="H14498">
        <f>IF(DATOS!$G14498&lt;&gt;"EX",0,--(COUNTIFS(nNIA,DATOS!$A14498,nCURSO,DATOS!$D14498,nESPEC,DATOS!$E14498,nASIG,DATOS!$I14498,nEVAL,"OR")=0))</f>
      </c>
      <c r="I14498">
        <f>IF(DATOS!$I14498="","",IFERROR(VLOOKUP(DATOS!$I14498,CONFIG_ASIGNATURAS!$B$2:$J$91,9,FALSE()),""))</f>
      </c>
    </row>
    <row r="14499">
      <c r="F14499">
        <f>IF(DATOS!$A14499="","",DATOS!$A14499&amp;"|"&amp;DATOS!$D14499&amp;"|"&amp;DATOS!$E14499&amp;"|"&amp;DATOS!$I14499)</f>
      </c>
      <c r="G14499">
        <f>IF(DATOS!$A14499="",0,IF(CONFIG_METADATA!$B$4&lt;&gt;"OR+EX",--(DATOS!$G14499=CONFIG_METADATA!$B$4),IF(DATOS!$G14499="EX",1,IF(DATOS!$G14499="OR",--(COUNTIFS(nNIA,DATOS!$A14499,nCURSO,DATOS!$D14499,nESPEC,DATOS!$E14499,nASIG,DATOS!$I14499,nEVAL,"EX")=0),0))))</f>
      </c>
      <c r="H14499">
        <f>IF(DATOS!$G14499&lt;&gt;"EX",0,--(COUNTIFS(nNIA,DATOS!$A14499,nCURSO,DATOS!$D14499,nESPEC,DATOS!$E14499,nASIG,DATOS!$I14499,nEVAL,"OR")=0))</f>
      </c>
      <c r="I14499">
        <f>IF(DATOS!$I14499="","",IFERROR(VLOOKUP(DATOS!$I14499,CONFIG_ASIGNATURAS!$B$2:$J$91,9,FALSE()),""))</f>
      </c>
    </row>
    <row r="14500">
      <c r="F14500">
        <f>IF(DATOS!$A14500="","",DATOS!$A14500&amp;"|"&amp;DATOS!$D14500&amp;"|"&amp;DATOS!$E14500&amp;"|"&amp;DATOS!$I14500)</f>
      </c>
      <c r="G14500">
        <f>IF(DATOS!$A14500="",0,IF(CONFIG_METADATA!$B$4&lt;&gt;"OR+EX",--(DATOS!$G14500=CONFIG_METADATA!$B$4),IF(DATOS!$G14500="EX",1,IF(DATOS!$G14500="OR",--(COUNTIFS(nNIA,DATOS!$A14500,nCURSO,DATOS!$D14500,nESPEC,DATOS!$E14500,nASIG,DATOS!$I14500,nEVAL,"EX")=0),0))))</f>
      </c>
      <c r="H14500">
        <f>IF(DATOS!$G14500&lt;&gt;"EX",0,--(COUNTIFS(nNIA,DATOS!$A14500,nCURSO,DATOS!$D14500,nESPEC,DATOS!$E14500,nASIG,DATOS!$I14500,nEVAL,"OR")=0))</f>
      </c>
      <c r="I14500">
        <f>IF(DATOS!$I14500="","",IFERROR(VLOOKUP(DATOS!$I14500,CONFIG_ASIGNATURAS!$B$2:$J$91,9,FALSE()),""))</f>
      </c>
    </row>
    <row r="14501">
      <c r="F14501">
        <f>IF(DATOS!$A14501="","",DATOS!$A14501&amp;"|"&amp;DATOS!$D14501&amp;"|"&amp;DATOS!$E14501&amp;"|"&amp;DATOS!$I14501)</f>
      </c>
      <c r="G14501">
        <f>IF(DATOS!$A14501="",0,IF(CONFIG_METADATA!$B$4&lt;&gt;"OR+EX",--(DATOS!$G14501=CONFIG_METADATA!$B$4),IF(DATOS!$G14501="EX",1,IF(DATOS!$G14501="OR",--(COUNTIFS(nNIA,DATOS!$A14501,nCURSO,DATOS!$D14501,nESPEC,DATOS!$E14501,nASIG,DATOS!$I14501,nEVAL,"EX")=0),0))))</f>
      </c>
      <c r="H14501">
        <f>IF(DATOS!$G14501&lt;&gt;"EX",0,--(COUNTIFS(nNIA,DATOS!$A14501,nCURSO,DATOS!$D14501,nESPEC,DATOS!$E14501,nASIG,DATOS!$I14501,nEVAL,"OR")=0))</f>
      </c>
      <c r="I14501">
        <f>IF(DATOS!$I14501="","",IFERROR(VLOOKUP(DATOS!$I14501,CONFIG_ASIGNATURAS!$B$2:$J$91,9,FALSE()),""))</f>
      </c>
    </row>
    <row r="14502">
      <c r="F14502">
        <f>IF(DATOS!$A14502="","",DATOS!$A14502&amp;"|"&amp;DATOS!$D14502&amp;"|"&amp;DATOS!$E14502&amp;"|"&amp;DATOS!$I14502)</f>
      </c>
      <c r="G14502">
        <f>IF(DATOS!$A14502="",0,IF(CONFIG_METADATA!$B$4&lt;&gt;"OR+EX",--(DATOS!$G14502=CONFIG_METADATA!$B$4),IF(DATOS!$G14502="EX",1,IF(DATOS!$G14502="OR",--(COUNTIFS(nNIA,DATOS!$A14502,nCURSO,DATOS!$D14502,nESPEC,DATOS!$E14502,nASIG,DATOS!$I14502,nEVAL,"EX")=0),0))))</f>
      </c>
      <c r="H14502">
        <f>IF(DATOS!$G14502&lt;&gt;"EX",0,--(COUNTIFS(nNIA,DATOS!$A14502,nCURSO,DATOS!$D14502,nESPEC,DATOS!$E14502,nASIG,DATOS!$I14502,nEVAL,"OR")=0))</f>
      </c>
      <c r="I14502">
        <f>IF(DATOS!$I14502="","",IFERROR(VLOOKUP(DATOS!$I14502,CONFIG_ASIGNATURAS!$B$2:$J$91,9,FALSE()),""))</f>
      </c>
    </row>
    <row r="14503">
      <c r="F14503">
        <f>IF(DATOS!$A14503="","",DATOS!$A14503&amp;"|"&amp;DATOS!$D14503&amp;"|"&amp;DATOS!$E14503&amp;"|"&amp;DATOS!$I14503)</f>
      </c>
      <c r="G14503">
        <f>IF(DATOS!$A14503="",0,IF(CONFIG_METADATA!$B$4&lt;&gt;"OR+EX",--(DATOS!$G14503=CONFIG_METADATA!$B$4),IF(DATOS!$G14503="EX",1,IF(DATOS!$G14503="OR",--(COUNTIFS(nNIA,DATOS!$A14503,nCURSO,DATOS!$D14503,nESPEC,DATOS!$E14503,nASIG,DATOS!$I14503,nEVAL,"EX")=0),0))))</f>
      </c>
      <c r="H14503">
        <f>IF(DATOS!$G14503&lt;&gt;"EX",0,--(COUNTIFS(nNIA,DATOS!$A14503,nCURSO,DATOS!$D14503,nESPEC,DATOS!$E14503,nASIG,DATOS!$I14503,nEVAL,"OR")=0))</f>
      </c>
      <c r="I14503">
        <f>IF(DATOS!$I14503="","",IFERROR(VLOOKUP(DATOS!$I14503,CONFIG_ASIGNATURAS!$B$2:$J$91,9,FALSE()),""))</f>
      </c>
    </row>
    <row r="14504">
      <c r="F14504">
        <f>IF(DATOS!$A14504="","",DATOS!$A14504&amp;"|"&amp;DATOS!$D14504&amp;"|"&amp;DATOS!$E14504&amp;"|"&amp;DATOS!$I14504)</f>
      </c>
      <c r="G14504">
        <f>IF(DATOS!$A14504="",0,IF(CONFIG_METADATA!$B$4&lt;&gt;"OR+EX",--(DATOS!$G14504=CONFIG_METADATA!$B$4),IF(DATOS!$G14504="EX",1,IF(DATOS!$G14504="OR",--(COUNTIFS(nNIA,DATOS!$A14504,nCURSO,DATOS!$D14504,nESPEC,DATOS!$E14504,nASIG,DATOS!$I14504,nEVAL,"EX")=0),0))))</f>
      </c>
      <c r="H14504">
        <f>IF(DATOS!$G14504&lt;&gt;"EX",0,--(COUNTIFS(nNIA,DATOS!$A14504,nCURSO,DATOS!$D14504,nESPEC,DATOS!$E14504,nASIG,DATOS!$I14504,nEVAL,"OR")=0))</f>
      </c>
      <c r="I14504">
        <f>IF(DATOS!$I14504="","",IFERROR(VLOOKUP(DATOS!$I14504,CONFIG_ASIGNATURAS!$B$2:$J$91,9,FALSE()),""))</f>
      </c>
    </row>
    <row r="14505">
      <c r="F14505">
        <f>IF(DATOS!$A14505="","",DATOS!$A14505&amp;"|"&amp;DATOS!$D14505&amp;"|"&amp;DATOS!$E14505&amp;"|"&amp;DATOS!$I14505)</f>
      </c>
      <c r="G14505">
        <f>IF(DATOS!$A14505="",0,IF(CONFIG_METADATA!$B$4&lt;&gt;"OR+EX",--(DATOS!$G14505=CONFIG_METADATA!$B$4),IF(DATOS!$G14505="EX",1,IF(DATOS!$G14505="OR",--(COUNTIFS(nNIA,DATOS!$A14505,nCURSO,DATOS!$D14505,nESPEC,DATOS!$E14505,nASIG,DATOS!$I14505,nEVAL,"EX")=0),0))))</f>
      </c>
      <c r="H14505">
        <f>IF(DATOS!$G14505&lt;&gt;"EX",0,--(COUNTIFS(nNIA,DATOS!$A14505,nCURSO,DATOS!$D14505,nESPEC,DATOS!$E14505,nASIG,DATOS!$I14505,nEVAL,"OR")=0))</f>
      </c>
      <c r="I14505">
        <f>IF(DATOS!$I14505="","",IFERROR(VLOOKUP(DATOS!$I14505,CONFIG_ASIGNATURAS!$B$2:$J$91,9,FALSE()),""))</f>
      </c>
    </row>
    <row r="14506">
      <c r="F14506">
        <f>IF(DATOS!$A14506="","",DATOS!$A14506&amp;"|"&amp;DATOS!$D14506&amp;"|"&amp;DATOS!$E14506&amp;"|"&amp;DATOS!$I14506)</f>
      </c>
      <c r="G14506">
        <f>IF(DATOS!$A14506="",0,IF(CONFIG_METADATA!$B$4&lt;&gt;"OR+EX",--(DATOS!$G14506=CONFIG_METADATA!$B$4),IF(DATOS!$G14506="EX",1,IF(DATOS!$G14506="OR",--(COUNTIFS(nNIA,DATOS!$A14506,nCURSO,DATOS!$D14506,nESPEC,DATOS!$E14506,nASIG,DATOS!$I14506,nEVAL,"EX")=0),0))))</f>
      </c>
      <c r="H14506">
        <f>IF(DATOS!$G14506&lt;&gt;"EX",0,--(COUNTIFS(nNIA,DATOS!$A14506,nCURSO,DATOS!$D14506,nESPEC,DATOS!$E14506,nASIG,DATOS!$I14506,nEVAL,"OR")=0))</f>
      </c>
      <c r="I14506">
        <f>IF(DATOS!$I14506="","",IFERROR(VLOOKUP(DATOS!$I14506,CONFIG_ASIGNATURAS!$B$2:$J$91,9,FALSE()),""))</f>
      </c>
    </row>
    <row r="14507">
      <c r="F14507">
        <f>IF(DATOS!$A14507="","",DATOS!$A14507&amp;"|"&amp;DATOS!$D14507&amp;"|"&amp;DATOS!$E14507&amp;"|"&amp;DATOS!$I14507)</f>
      </c>
      <c r="G14507">
        <f>IF(DATOS!$A14507="",0,IF(CONFIG_METADATA!$B$4&lt;&gt;"OR+EX",--(DATOS!$G14507=CONFIG_METADATA!$B$4),IF(DATOS!$G14507="EX",1,IF(DATOS!$G14507="OR",--(COUNTIFS(nNIA,DATOS!$A14507,nCURSO,DATOS!$D14507,nESPEC,DATOS!$E14507,nASIG,DATOS!$I14507,nEVAL,"EX")=0),0))))</f>
      </c>
      <c r="H14507">
        <f>IF(DATOS!$G14507&lt;&gt;"EX",0,--(COUNTIFS(nNIA,DATOS!$A14507,nCURSO,DATOS!$D14507,nESPEC,DATOS!$E14507,nASIG,DATOS!$I14507,nEVAL,"OR")=0))</f>
      </c>
      <c r="I14507">
        <f>IF(DATOS!$I14507="","",IFERROR(VLOOKUP(DATOS!$I14507,CONFIG_ASIGNATURAS!$B$2:$J$91,9,FALSE()),""))</f>
      </c>
    </row>
    <row r="14508">
      <c r="F14508">
        <f>IF(DATOS!$A14508="","",DATOS!$A14508&amp;"|"&amp;DATOS!$D14508&amp;"|"&amp;DATOS!$E14508&amp;"|"&amp;DATOS!$I14508)</f>
      </c>
      <c r="G14508">
        <f>IF(DATOS!$A14508="",0,IF(CONFIG_METADATA!$B$4&lt;&gt;"OR+EX",--(DATOS!$G14508=CONFIG_METADATA!$B$4),IF(DATOS!$G14508="EX",1,IF(DATOS!$G14508="OR",--(COUNTIFS(nNIA,DATOS!$A14508,nCURSO,DATOS!$D14508,nESPEC,DATOS!$E14508,nASIG,DATOS!$I14508,nEVAL,"EX")=0),0))))</f>
      </c>
      <c r="H14508">
        <f>IF(DATOS!$G14508&lt;&gt;"EX",0,--(COUNTIFS(nNIA,DATOS!$A14508,nCURSO,DATOS!$D14508,nESPEC,DATOS!$E14508,nASIG,DATOS!$I14508,nEVAL,"OR")=0))</f>
      </c>
      <c r="I14508">
        <f>IF(DATOS!$I14508="","",IFERROR(VLOOKUP(DATOS!$I14508,CONFIG_ASIGNATURAS!$B$2:$J$91,9,FALSE()),""))</f>
      </c>
    </row>
    <row r="14509">
      <c r="F14509">
        <f>IF(DATOS!$A14509="","",DATOS!$A14509&amp;"|"&amp;DATOS!$D14509&amp;"|"&amp;DATOS!$E14509&amp;"|"&amp;DATOS!$I14509)</f>
      </c>
      <c r="G14509">
        <f>IF(DATOS!$A14509="",0,IF(CONFIG_METADATA!$B$4&lt;&gt;"OR+EX",--(DATOS!$G14509=CONFIG_METADATA!$B$4),IF(DATOS!$G14509="EX",1,IF(DATOS!$G14509="OR",--(COUNTIFS(nNIA,DATOS!$A14509,nCURSO,DATOS!$D14509,nESPEC,DATOS!$E14509,nASIG,DATOS!$I14509,nEVAL,"EX")=0),0))))</f>
      </c>
      <c r="H14509">
        <f>IF(DATOS!$G14509&lt;&gt;"EX",0,--(COUNTIFS(nNIA,DATOS!$A14509,nCURSO,DATOS!$D14509,nESPEC,DATOS!$E14509,nASIG,DATOS!$I14509,nEVAL,"OR")=0))</f>
      </c>
      <c r="I14509">
        <f>IF(DATOS!$I14509="","",IFERROR(VLOOKUP(DATOS!$I14509,CONFIG_ASIGNATURAS!$B$2:$J$91,9,FALSE()),""))</f>
      </c>
    </row>
    <row r="14510">
      <c r="F14510">
        <f>IF(DATOS!$A14510="","",DATOS!$A14510&amp;"|"&amp;DATOS!$D14510&amp;"|"&amp;DATOS!$E14510&amp;"|"&amp;DATOS!$I14510)</f>
      </c>
      <c r="G14510">
        <f>IF(DATOS!$A14510="",0,IF(CONFIG_METADATA!$B$4&lt;&gt;"OR+EX",--(DATOS!$G14510=CONFIG_METADATA!$B$4),IF(DATOS!$G14510="EX",1,IF(DATOS!$G14510="OR",--(COUNTIFS(nNIA,DATOS!$A14510,nCURSO,DATOS!$D14510,nESPEC,DATOS!$E14510,nASIG,DATOS!$I14510,nEVAL,"EX")=0),0))))</f>
      </c>
      <c r="H14510">
        <f>IF(DATOS!$G14510&lt;&gt;"EX",0,--(COUNTIFS(nNIA,DATOS!$A14510,nCURSO,DATOS!$D14510,nESPEC,DATOS!$E14510,nASIG,DATOS!$I14510,nEVAL,"OR")=0))</f>
      </c>
      <c r="I14510">
        <f>IF(DATOS!$I14510="","",IFERROR(VLOOKUP(DATOS!$I14510,CONFIG_ASIGNATURAS!$B$2:$J$91,9,FALSE()),""))</f>
      </c>
    </row>
    <row r="14511">
      <c r="F14511">
        <f>IF(DATOS!$A14511="","",DATOS!$A14511&amp;"|"&amp;DATOS!$D14511&amp;"|"&amp;DATOS!$E14511&amp;"|"&amp;DATOS!$I14511)</f>
      </c>
      <c r="G14511">
        <f>IF(DATOS!$A14511="",0,IF(CONFIG_METADATA!$B$4&lt;&gt;"OR+EX",--(DATOS!$G14511=CONFIG_METADATA!$B$4),IF(DATOS!$G14511="EX",1,IF(DATOS!$G14511="OR",--(COUNTIFS(nNIA,DATOS!$A14511,nCURSO,DATOS!$D14511,nESPEC,DATOS!$E14511,nASIG,DATOS!$I14511,nEVAL,"EX")=0),0))))</f>
      </c>
      <c r="H14511">
        <f>IF(DATOS!$G14511&lt;&gt;"EX",0,--(COUNTIFS(nNIA,DATOS!$A14511,nCURSO,DATOS!$D14511,nESPEC,DATOS!$E14511,nASIG,DATOS!$I14511,nEVAL,"OR")=0))</f>
      </c>
      <c r="I14511">
        <f>IF(DATOS!$I14511="","",IFERROR(VLOOKUP(DATOS!$I14511,CONFIG_ASIGNATURAS!$B$2:$J$91,9,FALSE()),""))</f>
      </c>
    </row>
    <row r="14512">
      <c r="F14512">
        <f>IF(DATOS!$A14512="","",DATOS!$A14512&amp;"|"&amp;DATOS!$D14512&amp;"|"&amp;DATOS!$E14512&amp;"|"&amp;DATOS!$I14512)</f>
      </c>
      <c r="G14512">
        <f>IF(DATOS!$A14512="",0,IF(CONFIG_METADATA!$B$4&lt;&gt;"OR+EX",--(DATOS!$G14512=CONFIG_METADATA!$B$4),IF(DATOS!$G14512="EX",1,IF(DATOS!$G14512="OR",--(COUNTIFS(nNIA,DATOS!$A14512,nCURSO,DATOS!$D14512,nESPEC,DATOS!$E14512,nASIG,DATOS!$I14512,nEVAL,"EX")=0),0))))</f>
      </c>
      <c r="H14512">
        <f>IF(DATOS!$G14512&lt;&gt;"EX",0,--(COUNTIFS(nNIA,DATOS!$A14512,nCURSO,DATOS!$D14512,nESPEC,DATOS!$E14512,nASIG,DATOS!$I14512,nEVAL,"OR")=0))</f>
      </c>
      <c r="I14512">
        <f>IF(DATOS!$I14512="","",IFERROR(VLOOKUP(DATOS!$I14512,CONFIG_ASIGNATURAS!$B$2:$J$91,9,FALSE()),""))</f>
      </c>
    </row>
    <row r="14513">
      <c r="F14513">
        <f>IF(DATOS!$A14513="","",DATOS!$A14513&amp;"|"&amp;DATOS!$D14513&amp;"|"&amp;DATOS!$E14513&amp;"|"&amp;DATOS!$I14513)</f>
      </c>
      <c r="G14513">
        <f>IF(DATOS!$A14513="",0,IF(CONFIG_METADATA!$B$4&lt;&gt;"OR+EX",--(DATOS!$G14513=CONFIG_METADATA!$B$4),IF(DATOS!$G14513="EX",1,IF(DATOS!$G14513="OR",--(COUNTIFS(nNIA,DATOS!$A14513,nCURSO,DATOS!$D14513,nESPEC,DATOS!$E14513,nASIG,DATOS!$I14513,nEVAL,"EX")=0),0))))</f>
      </c>
      <c r="H14513">
        <f>IF(DATOS!$G14513&lt;&gt;"EX",0,--(COUNTIFS(nNIA,DATOS!$A14513,nCURSO,DATOS!$D14513,nESPEC,DATOS!$E14513,nASIG,DATOS!$I14513,nEVAL,"OR")=0))</f>
      </c>
      <c r="I14513">
        <f>IF(DATOS!$I14513="","",IFERROR(VLOOKUP(DATOS!$I14513,CONFIG_ASIGNATURAS!$B$2:$J$91,9,FALSE()),""))</f>
      </c>
    </row>
    <row r="14514">
      <c r="F14514">
        <f>IF(DATOS!$A14514="","",DATOS!$A14514&amp;"|"&amp;DATOS!$D14514&amp;"|"&amp;DATOS!$E14514&amp;"|"&amp;DATOS!$I14514)</f>
      </c>
      <c r="G14514">
        <f>IF(DATOS!$A14514="",0,IF(CONFIG_METADATA!$B$4&lt;&gt;"OR+EX",--(DATOS!$G14514=CONFIG_METADATA!$B$4),IF(DATOS!$G14514="EX",1,IF(DATOS!$G14514="OR",--(COUNTIFS(nNIA,DATOS!$A14514,nCURSO,DATOS!$D14514,nESPEC,DATOS!$E14514,nASIG,DATOS!$I14514,nEVAL,"EX")=0),0))))</f>
      </c>
      <c r="H14514">
        <f>IF(DATOS!$G14514&lt;&gt;"EX",0,--(COUNTIFS(nNIA,DATOS!$A14514,nCURSO,DATOS!$D14514,nESPEC,DATOS!$E14514,nASIG,DATOS!$I14514,nEVAL,"OR")=0))</f>
      </c>
      <c r="I14514">
        <f>IF(DATOS!$I14514="","",IFERROR(VLOOKUP(DATOS!$I14514,CONFIG_ASIGNATURAS!$B$2:$J$91,9,FALSE()),""))</f>
      </c>
    </row>
    <row r="14515">
      <c r="F14515">
        <f>IF(DATOS!$A14515="","",DATOS!$A14515&amp;"|"&amp;DATOS!$D14515&amp;"|"&amp;DATOS!$E14515&amp;"|"&amp;DATOS!$I14515)</f>
      </c>
      <c r="G14515">
        <f>IF(DATOS!$A14515="",0,IF(CONFIG_METADATA!$B$4&lt;&gt;"OR+EX",--(DATOS!$G14515=CONFIG_METADATA!$B$4),IF(DATOS!$G14515="EX",1,IF(DATOS!$G14515="OR",--(COUNTIFS(nNIA,DATOS!$A14515,nCURSO,DATOS!$D14515,nESPEC,DATOS!$E14515,nASIG,DATOS!$I14515,nEVAL,"EX")=0),0))))</f>
      </c>
      <c r="H14515">
        <f>IF(DATOS!$G14515&lt;&gt;"EX",0,--(COUNTIFS(nNIA,DATOS!$A14515,nCURSO,DATOS!$D14515,nESPEC,DATOS!$E14515,nASIG,DATOS!$I14515,nEVAL,"OR")=0))</f>
      </c>
      <c r="I14515">
        <f>IF(DATOS!$I14515="","",IFERROR(VLOOKUP(DATOS!$I14515,CONFIG_ASIGNATURAS!$B$2:$J$91,9,FALSE()),""))</f>
      </c>
    </row>
    <row r="14516">
      <c r="F14516">
        <f>IF(DATOS!$A14516="","",DATOS!$A14516&amp;"|"&amp;DATOS!$D14516&amp;"|"&amp;DATOS!$E14516&amp;"|"&amp;DATOS!$I14516)</f>
      </c>
      <c r="G14516">
        <f>IF(DATOS!$A14516="",0,IF(CONFIG_METADATA!$B$4&lt;&gt;"OR+EX",--(DATOS!$G14516=CONFIG_METADATA!$B$4),IF(DATOS!$G14516="EX",1,IF(DATOS!$G14516="OR",--(COUNTIFS(nNIA,DATOS!$A14516,nCURSO,DATOS!$D14516,nESPEC,DATOS!$E14516,nASIG,DATOS!$I14516,nEVAL,"EX")=0),0))))</f>
      </c>
      <c r="H14516">
        <f>IF(DATOS!$G14516&lt;&gt;"EX",0,--(COUNTIFS(nNIA,DATOS!$A14516,nCURSO,DATOS!$D14516,nESPEC,DATOS!$E14516,nASIG,DATOS!$I14516,nEVAL,"OR")=0))</f>
      </c>
      <c r="I14516">
        <f>IF(DATOS!$I14516="","",IFERROR(VLOOKUP(DATOS!$I14516,CONFIG_ASIGNATURAS!$B$2:$J$91,9,FALSE()),""))</f>
      </c>
    </row>
    <row r="14517">
      <c r="F14517">
        <f>IF(DATOS!$A14517="","",DATOS!$A14517&amp;"|"&amp;DATOS!$D14517&amp;"|"&amp;DATOS!$E14517&amp;"|"&amp;DATOS!$I14517)</f>
      </c>
      <c r="G14517">
        <f>IF(DATOS!$A14517="",0,IF(CONFIG_METADATA!$B$4&lt;&gt;"OR+EX",--(DATOS!$G14517=CONFIG_METADATA!$B$4),IF(DATOS!$G14517="EX",1,IF(DATOS!$G14517="OR",--(COUNTIFS(nNIA,DATOS!$A14517,nCURSO,DATOS!$D14517,nESPEC,DATOS!$E14517,nASIG,DATOS!$I14517,nEVAL,"EX")=0),0))))</f>
      </c>
      <c r="H14517">
        <f>IF(DATOS!$G14517&lt;&gt;"EX",0,--(COUNTIFS(nNIA,DATOS!$A14517,nCURSO,DATOS!$D14517,nESPEC,DATOS!$E14517,nASIG,DATOS!$I14517,nEVAL,"OR")=0))</f>
      </c>
      <c r="I14517">
        <f>IF(DATOS!$I14517="","",IFERROR(VLOOKUP(DATOS!$I14517,CONFIG_ASIGNATURAS!$B$2:$J$91,9,FALSE()),""))</f>
      </c>
    </row>
    <row r="14518">
      <c r="F14518">
        <f>IF(DATOS!$A14518="","",DATOS!$A14518&amp;"|"&amp;DATOS!$D14518&amp;"|"&amp;DATOS!$E14518&amp;"|"&amp;DATOS!$I14518)</f>
      </c>
      <c r="G14518">
        <f>IF(DATOS!$A14518="",0,IF(CONFIG_METADATA!$B$4&lt;&gt;"OR+EX",--(DATOS!$G14518=CONFIG_METADATA!$B$4),IF(DATOS!$G14518="EX",1,IF(DATOS!$G14518="OR",--(COUNTIFS(nNIA,DATOS!$A14518,nCURSO,DATOS!$D14518,nESPEC,DATOS!$E14518,nASIG,DATOS!$I14518,nEVAL,"EX")=0),0))))</f>
      </c>
      <c r="H14518">
        <f>IF(DATOS!$G14518&lt;&gt;"EX",0,--(COUNTIFS(nNIA,DATOS!$A14518,nCURSO,DATOS!$D14518,nESPEC,DATOS!$E14518,nASIG,DATOS!$I14518,nEVAL,"OR")=0))</f>
      </c>
      <c r="I14518">
        <f>IF(DATOS!$I14518="","",IFERROR(VLOOKUP(DATOS!$I14518,CONFIG_ASIGNATURAS!$B$2:$J$91,9,FALSE()),""))</f>
      </c>
    </row>
    <row r="14519">
      <c r="F14519">
        <f>IF(DATOS!$A14519="","",DATOS!$A14519&amp;"|"&amp;DATOS!$D14519&amp;"|"&amp;DATOS!$E14519&amp;"|"&amp;DATOS!$I14519)</f>
      </c>
      <c r="G14519">
        <f>IF(DATOS!$A14519="",0,IF(CONFIG_METADATA!$B$4&lt;&gt;"OR+EX",--(DATOS!$G14519=CONFIG_METADATA!$B$4),IF(DATOS!$G14519="EX",1,IF(DATOS!$G14519="OR",--(COUNTIFS(nNIA,DATOS!$A14519,nCURSO,DATOS!$D14519,nESPEC,DATOS!$E14519,nASIG,DATOS!$I14519,nEVAL,"EX")=0),0))))</f>
      </c>
      <c r="H14519">
        <f>IF(DATOS!$G14519&lt;&gt;"EX",0,--(COUNTIFS(nNIA,DATOS!$A14519,nCURSO,DATOS!$D14519,nESPEC,DATOS!$E14519,nASIG,DATOS!$I14519,nEVAL,"OR")=0))</f>
      </c>
      <c r="I14519">
        <f>IF(DATOS!$I14519="","",IFERROR(VLOOKUP(DATOS!$I14519,CONFIG_ASIGNATURAS!$B$2:$J$91,9,FALSE()),""))</f>
      </c>
    </row>
    <row r="14520">
      <c r="F14520">
        <f>IF(DATOS!$A14520="","",DATOS!$A14520&amp;"|"&amp;DATOS!$D14520&amp;"|"&amp;DATOS!$E14520&amp;"|"&amp;DATOS!$I14520)</f>
      </c>
      <c r="G14520">
        <f>IF(DATOS!$A14520="",0,IF(CONFIG_METADATA!$B$4&lt;&gt;"OR+EX",--(DATOS!$G14520=CONFIG_METADATA!$B$4),IF(DATOS!$G14520="EX",1,IF(DATOS!$G14520="OR",--(COUNTIFS(nNIA,DATOS!$A14520,nCURSO,DATOS!$D14520,nESPEC,DATOS!$E14520,nASIG,DATOS!$I14520,nEVAL,"EX")=0),0))))</f>
      </c>
      <c r="H14520">
        <f>IF(DATOS!$G14520&lt;&gt;"EX",0,--(COUNTIFS(nNIA,DATOS!$A14520,nCURSO,DATOS!$D14520,nESPEC,DATOS!$E14520,nASIG,DATOS!$I14520,nEVAL,"OR")=0))</f>
      </c>
      <c r="I14520">
        <f>IF(DATOS!$I14520="","",IFERROR(VLOOKUP(DATOS!$I14520,CONFIG_ASIGNATURAS!$B$2:$J$91,9,FALSE()),""))</f>
      </c>
    </row>
    <row r="14521">
      <c r="F14521">
        <f>IF(DATOS!$A14521="","",DATOS!$A14521&amp;"|"&amp;DATOS!$D14521&amp;"|"&amp;DATOS!$E14521&amp;"|"&amp;DATOS!$I14521)</f>
      </c>
      <c r="G14521">
        <f>IF(DATOS!$A14521="",0,IF(CONFIG_METADATA!$B$4&lt;&gt;"OR+EX",--(DATOS!$G14521=CONFIG_METADATA!$B$4),IF(DATOS!$G14521="EX",1,IF(DATOS!$G14521="OR",--(COUNTIFS(nNIA,DATOS!$A14521,nCURSO,DATOS!$D14521,nESPEC,DATOS!$E14521,nASIG,DATOS!$I14521,nEVAL,"EX")=0),0))))</f>
      </c>
      <c r="H14521">
        <f>IF(DATOS!$G14521&lt;&gt;"EX",0,--(COUNTIFS(nNIA,DATOS!$A14521,nCURSO,DATOS!$D14521,nESPEC,DATOS!$E14521,nASIG,DATOS!$I14521,nEVAL,"OR")=0))</f>
      </c>
      <c r="I14521">
        <f>IF(DATOS!$I14521="","",IFERROR(VLOOKUP(DATOS!$I14521,CONFIG_ASIGNATURAS!$B$2:$J$91,9,FALSE()),""))</f>
      </c>
    </row>
    <row r="14522">
      <c r="F14522">
        <f>IF(DATOS!$A14522="","",DATOS!$A14522&amp;"|"&amp;DATOS!$D14522&amp;"|"&amp;DATOS!$E14522&amp;"|"&amp;DATOS!$I14522)</f>
      </c>
      <c r="G14522">
        <f>IF(DATOS!$A14522="",0,IF(CONFIG_METADATA!$B$4&lt;&gt;"OR+EX",--(DATOS!$G14522=CONFIG_METADATA!$B$4),IF(DATOS!$G14522="EX",1,IF(DATOS!$G14522="OR",--(COUNTIFS(nNIA,DATOS!$A14522,nCURSO,DATOS!$D14522,nESPEC,DATOS!$E14522,nASIG,DATOS!$I14522,nEVAL,"EX")=0),0))))</f>
      </c>
      <c r="H14522">
        <f>IF(DATOS!$G14522&lt;&gt;"EX",0,--(COUNTIFS(nNIA,DATOS!$A14522,nCURSO,DATOS!$D14522,nESPEC,DATOS!$E14522,nASIG,DATOS!$I14522,nEVAL,"OR")=0))</f>
      </c>
      <c r="I14522">
        <f>IF(DATOS!$I14522="","",IFERROR(VLOOKUP(DATOS!$I14522,CONFIG_ASIGNATURAS!$B$2:$J$91,9,FALSE()),""))</f>
      </c>
    </row>
    <row r="14523">
      <c r="F14523">
        <f>IF(DATOS!$A14523="","",DATOS!$A14523&amp;"|"&amp;DATOS!$D14523&amp;"|"&amp;DATOS!$E14523&amp;"|"&amp;DATOS!$I14523)</f>
      </c>
      <c r="G14523">
        <f>IF(DATOS!$A14523="",0,IF(CONFIG_METADATA!$B$4&lt;&gt;"OR+EX",--(DATOS!$G14523=CONFIG_METADATA!$B$4),IF(DATOS!$G14523="EX",1,IF(DATOS!$G14523="OR",--(COUNTIFS(nNIA,DATOS!$A14523,nCURSO,DATOS!$D14523,nESPEC,DATOS!$E14523,nASIG,DATOS!$I14523,nEVAL,"EX")=0),0))))</f>
      </c>
      <c r="H14523">
        <f>IF(DATOS!$G14523&lt;&gt;"EX",0,--(COUNTIFS(nNIA,DATOS!$A14523,nCURSO,DATOS!$D14523,nESPEC,DATOS!$E14523,nASIG,DATOS!$I14523,nEVAL,"OR")=0))</f>
      </c>
      <c r="I14523">
        <f>IF(DATOS!$I14523="","",IFERROR(VLOOKUP(DATOS!$I14523,CONFIG_ASIGNATURAS!$B$2:$J$91,9,FALSE()),""))</f>
      </c>
    </row>
    <row r="14524">
      <c r="F14524">
        <f>IF(DATOS!$A14524="","",DATOS!$A14524&amp;"|"&amp;DATOS!$D14524&amp;"|"&amp;DATOS!$E14524&amp;"|"&amp;DATOS!$I14524)</f>
      </c>
      <c r="G14524">
        <f>IF(DATOS!$A14524="",0,IF(CONFIG_METADATA!$B$4&lt;&gt;"OR+EX",--(DATOS!$G14524=CONFIG_METADATA!$B$4),IF(DATOS!$G14524="EX",1,IF(DATOS!$G14524="OR",--(COUNTIFS(nNIA,DATOS!$A14524,nCURSO,DATOS!$D14524,nESPEC,DATOS!$E14524,nASIG,DATOS!$I14524,nEVAL,"EX")=0),0))))</f>
      </c>
      <c r="H14524">
        <f>IF(DATOS!$G14524&lt;&gt;"EX",0,--(COUNTIFS(nNIA,DATOS!$A14524,nCURSO,DATOS!$D14524,nESPEC,DATOS!$E14524,nASIG,DATOS!$I14524,nEVAL,"OR")=0))</f>
      </c>
      <c r="I14524">
        <f>IF(DATOS!$I14524="","",IFERROR(VLOOKUP(DATOS!$I14524,CONFIG_ASIGNATURAS!$B$2:$J$91,9,FALSE()),""))</f>
      </c>
    </row>
    <row r="14525">
      <c r="F14525">
        <f>IF(DATOS!$A14525="","",DATOS!$A14525&amp;"|"&amp;DATOS!$D14525&amp;"|"&amp;DATOS!$E14525&amp;"|"&amp;DATOS!$I14525)</f>
      </c>
      <c r="G14525">
        <f>IF(DATOS!$A14525="",0,IF(CONFIG_METADATA!$B$4&lt;&gt;"OR+EX",--(DATOS!$G14525=CONFIG_METADATA!$B$4),IF(DATOS!$G14525="EX",1,IF(DATOS!$G14525="OR",--(COUNTIFS(nNIA,DATOS!$A14525,nCURSO,DATOS!$D14525,nESPEC,DATOS!$E14525,nASIG,DATOS!$I14525,nEVAL,"EX")=0),0))))</f>
      </c>
      <c r="H14525">
        <f>IF(DATOS!$G14525&lt;&gt;"EX",0,--(COUNTIFS(nNIA,DATOS!$A14525,nCURSO,DATOS!$D14525,nESPEC,DATOS!$E14525,nASIG,DATOS!$I14525,nEVAL,"OR")=0))</f>
      </c>
      <c r="I14525">
        <f>IF(DATOS!$I14525="","",IFERROR(VLOOKUP(DATOS!$I14525,CONFIG_ASIGNATURAS!$B$2:$J$91,9,FALSE()),""))</f>
      </c>
    </row>
    <row r="14526">
      <c r="F14526">
        <f>IF(DATOS!$A14526="","",DATOS!$A14526&amp;"|"&amp;DATOS!$D14526&amp;"|"&amp;DATOS!$E14526&amp;"|"&amp;DATOS!$I14526)</f>
      </c>
      <c r="G14526">
        <f>IF(DATOS!$A14526="",0,IF(CONFIG_METADATA!$B$4&lt;&gt;"OR+EX",--(DATOS!$G14526=CONFIG_METADATA!$B$4),IF(DATOS!$G14526="EX",1,IF(DATOS!$G14526="OR",--(COUNTIFS(nNIA,DATOS!$A14526,nCURSO,DATOS!$D14526,nESPEC,DATOS!$E14526,nASIG,DATOS!$I14526,nEVAL,"EX")=0),0))))</f>
      </c>
      <c r="H14526">
        <f>IF(DATOS!$G14526&lt;&gt;"EX",0,--(COUNTIFS(nNIA,DATOS!$A14526,nCURSO,DATOS!$D14526,nESPEC,DATOS!$E14526,nASIG,DATOS!$I14526,nEVAL,"OR")=0))</f>
      </c>
      <c r="I14526">
        <f>IF(DATOS!$I14526="","",IFERROR(VLOOKUP(DATOS!$I14526,CONFIG_ASIGNATURAS!$B$2:$J$91,9,FALSE()),""))</f>
      </c>
    </row>
    <row r="14527">
      <c r="F14527">
        <f>IF(DATOS!$A14527="","",DATOS!$A14527&amp;"|"&amp;DATOS!$D14527&amp;"|"&amp;DATOS!$E14527&amp;"|"&amp;DATOS!$I14527)</f>
      </c>
      <c r="G14527">
        <f>IF(DATOS!$A14527="",0,IF(CONFIG_METADATA!$B$4&lt;&gt;"OR+EX",--(DATOS!$G14527=CONFIG_METADATA!$B$4),IF(DATOS!$G14527="EX",1,IF(DATOS!$G14527="OR",--(COUNTIFS(nNIA,DATOS!$A14527,nCURSO,DATOS!$D14527,nESPEC,DATOS!$E14527,nASIG,DATOS!$I14527,nEVAL,"EX")=0),0))))</f>
      </c>
      <c r="H14527">
        <f>IF(DATOS!$G14527&lt;&gt;"EX",0,--(COUNTIFS(nNIA,DATOS!$A14527,nCURSO,DATOS!$D14527,nESPEC,DATOS!$E14527,nASIG,DATOS!$I14527,nEVAL,"OR")=0))</f>
      </c>
      <c r="I14527">
        <f>IF(DATOS!$I14527="","",IFERROR(VLOOKUP(DATOS!$I14527,CONFIG_ASIGNATURAS!$B$2:$J$91,9,FALSE()),""))</f>
      </c>
    </row>
    <row r="14528">
      <c r="F14528">
        <f>IF(DATOS!$A14528="","",DATOS!$A14528&amp;"|"&amp;DATOS!$D14528&amp;"|"&amp;DATOS!$E14528&amp;"|"&amp;DATOS!$I14528)</f>
      </c>
      <c r="G14528">
        <f>IF(DATOS!$A14528="",0,IF(CONFIG_METADATA!$B$4&lt;&gt;"OR+EX",--(DATOS!$G14528=CONFIG_METADATA!$B$4),IF(DATOS!$G14528="EX",1,IF(DATOS!$G14528="OR",--(COUNTIFS(nNIA,DATOS!$A14528,nCURSO,DATOS!$D14528,nESPEC,DATOS!$E14528,nASIG,DATOS!$I14528,nEVAL,"EX")=0),0))))</f>
      </c>
      <c r="H14528">
        <f>IF(DATOS!$G14528&lt;&gt;"EX",0,--(COUNTIFS(nNIA,DATOS!$A14528,nCURSO,DATOS!$D14528,nESPEC,DATOS!$E14528,nASIG,DATOS!$I14528,nEVAL,"OR")=0))</f>
      </c>
      <c r="I14528">
        <f>IF(DATOS!$I14528="","",IFERROR(VLOOKUP(DATOS!$I14528,CONFIG_ASIGNATURAS!$B$2:$J$91,9,FALSE()),""))</f>
      </c>
    </row>
    <row r="14529">
      <c r="F14529">
        <f>IF(DATOS!$A14529="","",DATOS!$A14529&amp;"|"&amp;DATOS!$D14529&amp;"|"&amp;DATOS!$E14529&amp;"|"&amp;DATOS!$I14529)</f>
      </c>
      <c r="G14529">
        <f>IF(DATOS!$A14529="",0,IF(CONFIG_METADATA!$B$4&lt;&gt;"OR+EX",--(DATOS!$G14529=CONFIG_METADATA!$B$4),IF(DATOS!$G14529="EX",1,IF(DATOS!$G14529="OR",--(COUNTIFS(nNIA,DATOS!$A14529,nCURSO,DATOS!$D14529,nESPEC,DATOS!$E14529,nASIG,DATOS!$I14529,nEVAL,"EX")=0),0))))</f>
      </c>
      <c r="H14529">
        <f>IF(DATOS!$G14529&lt;&gt;"EX",0,--(COUNTIFS(nNIA,DATOS!$A14529,nCURSO,DATOS!$D14529,nESPEC,DATOS!$E14529,nASIG,DATOS!$I14529,nEVAL,"OR")=0))</f>
      </c>
      <c r="I14529">
        <f>IF(DATOS!$I14529="","",IFERROR(VLOOKUP(DATOS!$I14529,CONFIG_ASIGNATURAS!$B$2:$J$91,9,FALSE()),""))</f>
      </c>
    </row>
    <row r="14530">
      <c r="F14530">
        <f>IF(DATOS!$A14530="","",DATOS!$A14530&amp;"|"&amp;DATOS!$D14530&amp;"|"&amp;DATOS!$E14530&amp;"|"&amp;DATOS!$I14530)</f>
      </c>
      <c r="G14530">
        <f>IF(DATOS!$A14530="",0,IF(CONFIG_METADATA!$B$4&lt;&gt;"OR+EX",--(DATOS!$G14530=CONFIG_METADATA!$B$4),IF(DATOS!$G14530="EX",1,IF(DATOS!$G14530="OR",--(COUNTIFS(nNIA,DATOS!$A14530,nCURSO,DATOS!$D14530,nESPEC,DATOS!$E14530,nASIG,DATOS!$I14530,nEVAL,"EX")=0),0))))</f>
      </c>
      <c r="H14530">
        <f>IF(DATOS!$G14530&lt;&gt;"EX",0,--(COUNTIFS(nNIA,DATOS!$A14530,nCURSO,DATOS!$D14530,nESPEC,DATOS!$E14530,nASIG,DATOS!$I14530,nEVAL,"OR")=0))</f>
      </c>
      <c r="I14530">
        <f>IF(DATOS!$I14530="","",IFERROR(VLOOKUP(DATOS!$I14530,CONFIG_ASIGNATURAS!$B$2:$J$91,9,FALSE()),""))</f>
      </c>
    </row>
    <row r="14531">
      <c r="F14531">
        <f>IF(DATOS!$A14531="","",DATOS!$A14531&amp;"|"&amp;DATOS!$D14531&amp;"|"&amp;DATOS!$E14531&amp;"|"&amp;DATOS!$I14531)</f>
      </c>
      <c r="G14531">
        <f>IF(DATOS!$A14531="",0,IF(CONFIG_METADATA!$B$4&lt;&gt;"OR+EX",--(DATOS!$G14531=CONFIG_METADATA!$B$4),IF(DATOS!$G14531="EX",1,IF(DATOS!$G14531="OR",--(COUNTIFS(nNIA,DATOS!$A14531,nCURSO,DATOS!$D14531,nESPEC,DATOS!$E14531,nASIG,DATOS!$I14531,nEVAL,"EX")=0),0))))</f>
      </c>
      <c r="H14531">
        <f>IF(DATOS!$G14531&lt;&gt;"EX",0,--(COUNTIFS(nNIA,DATOS!$A14531,nCURSO,DATOS!$D14531,nESPEC,DATOS!$E14531,nASIG,DATOS!$I14531,nEVAL,"OR")=0))</f>
      </c>
      <c r="I14531">
        <f>IF(DATOS!$I14531="","",IFERROR(VLOOKUP(DATOS!$I14531,CONFIG_ASIGNATURAS!$B$2:$J$91,9,FALSE()),""))</f>
      </c>
    </row>
    <row r="14532">
      <c r="F14532">
        <f>IF(DATOS!$A14532="","",DATOS!$A14532&amp;"|"&amp;DATOS!$D14532&amp;"|"&amp;DATOS!$E14532&amp;"|"&amp;DATOS!$I14532)</f>
      </c>
      <c r="G14532">
        <f>IF(DATOS!$A14532="",0,IF(CONFIG_METADATA!$B$4&lt;&gt;"OR+EX",--(DATOS!$G14532=CONFIG_METADATA!$B$4),IF(DATOS!$G14532="EX",1,IF(DATOS!$G14532="OR",--(COUNTIFS(nNIA,DATOS!$A14532,nCURSO,DATOS!$D14532,nESPEC,DATOS!$E14532,nASIG,DATOS!$I14532,nEVAL,"EX")=0),0))))</f>
      </c>
      <c r="H14532">
        <f>IF(DATOS!$G14532&lt;&gt;"EX",0,--(COUNTIFS(nNIA,DATOS!$A14532,nCURSO,DATOS!$D14532,nESPEC,DATOS!$E14532,nASIG,DATOS!$I14532,nEVAL,"OR")=0))</f>
      </c>
      <c r="I14532">
        <f>IF(DATOS!$I14532="","",IFERROR(VLOOKUP(DATOS!$I14532,CONFIG_ASIGNATURAS!$B$2:$J$91,9,FALSE()),""))</f>
      </c>
    </row>
    <row r="14533">
      <c r="F14533">
        <f>IF(DATOS!$A14533="","",DATOS!$A14533&amp;"|"&amp;DATOS!$D14533&amp;"|"&amp;DATOS!$E14533&amp;"|"&amp;DATOS!$I14533)</f>
      </c>
      <c r="G14533">
        <f>IF(DATOS!$A14533="",0,IF(CONFIG_METADATA!$B$4&lt;&gt;"OR+EX",--(DATOS!$G14533=CONFIG_METADATA!$B$4),IF(DATOS!$G14533="EX",1,IF(DATOS!$G14533="OR",--(COUNTIFS(nNIA,DATOS!$A14533,nCURSO,DATOS!$D14533,nESPEC,DATOS!$E14533,nASIG,DATOS!$I14533,nEVAL,"EX")=0),0))))</f>
      </c>
      <c r="H14533">
        <f>IF(DATOS!$G14533&lt;&gt;"EX",0,--(COUNTIFS(nNIA,DATOS!$A14533,nCURSO,DATOS!$D14533,nESPEC,DATOS!$E14533,nASIG,DATOS!$I14533,nEVAL,"OR")=0))</f>
      </c>
      <c r="I14533">
        <f>IF(DATOS!$I14533="","",IFERROR(VLOOKUP(DATOS!$I14533,CONFIG_ASIGNATURAS!$B$2:$J$91,9,FALSE()),""))</f>
      </c>
    </row>
    <row r="14534">
      <c r="F14534">
        <f>IF(DATOS!$A14534="","",DATOS!$A14534&amp;"|"&amp;DATOS!$D14534&amp;"|"&amp;DATOS!$E14534&amp;"|"&amp;DATOS!$I14534)</f>
      </c>
      <c r="G14534">
        <f>IF(DATOS!$A14534="",0,IF(CONFIG_METADATA!$B$4&lt;&gt;"OR+EX",--(DATOS!$G14534=CONFIG_METADATA!$B$4),IF(DATOS!$G14534="EX",1,IF(DATOS!$G14534="OR",--(COUNTIFS(nNIA,DATOS!$A14534,nCURSO,DATOS!$D14534,nESPEC,DATOS!$E14534,nASIG,DATOS!$I14534,nEVAL,"EX")=0),0))))</f>
      </c>
      <c r="H14534">
        <f>IF(DATOS!$G14534&lt;&gt;"EX",0,--(COUNTIFS(nNIA,DATOS!$A14534,nCURSO,DATOS!$D14534,nESPEC,DATOS!$E14534,nASIG,DATOS!$I14534,nEVAL,"OR")=0))</f>
      </c>
      <c r="I14534">
        <f>IF(DATOS!$I14534="","",IFERROR(VLOOKUP(DATOS!$I14534,CONFIG_ASIGNATURAS!$B$2:$J$91,9,FALSE()),""))</f>
      </c>
    </row>
    <row r="14535">
      <c r="F14535">
        <f>IF(DATOS!$A14535="","",DATOS!$A14535&amp;"|"&amp;DATOS!$D14535&amp;"|"&amp;DATOS!$E14535&amp;"|"&amp;DATOS!$I14535)</f>
      </c>
      <c r="G14535">
        <f>IF(DATOS!$A14535="",0,IF(CONFIG_METADATA!$B$4&lt;&gt;"OR+EX",--(DATOS!$G14535=CONFIG_METADATA!$B$4),IF(DATOS!$G14535="EX",1,IF(DATOS!$G14535="OR",--(COUNTIFS(nNIA,DATOS!$A14535,nCURSO,DATOS!$D14535,nESPEC,DATOS!$E14535,nASIG,DATOS!$I14535,nEVAL,"EX")=0),0))))</f>
      </c>
      <c r="H14535">
        <f>IF(DATOS!$G14535&lt;&gt;"EX",0,--(COUNTIFS(nNIA,DATOS!$A14535,nCURSO,DATOS!$D14535,nESPEC,DATOS!$E14535,nASIG,DATOS!$I14535,nEVAL,"OR")=0))</f>
      </c>
      <c r="I14535">
        <f>IF(DATOS!$I14535="","",IFERROR(VLOOKUP(DATOS!$I14535,CONFIG_ASIGNATURAS!$B$2:$J$91,9,FALSE()),""))</f>
      </c>
    </row>
    <row r="14536">
      <c r="F14536">
        <f>IF(DATOS!$A14536="","",DATOS!$A14536&amp;"|"&amp;DATOS!$D14536&amp;"|"&amp;DATOS!$E14536&amp;"|"&amp;DATOS!$I14536)</f>
      </c>
      <c r="G14536">
        <f>IF(DATOS!$A14536="",0,IF(CONFIG_METADATA!$B$4&lt;&gt;"OR+EX",--(DATOS!$G14536=CONFIG_METADATA!$B$4),IF(DATOS!$G14536="EX",1,IF(DATOS!$G14536="OR",--(COUNTIFS(nNIA,DATOS!$A14536,nCURSO,DATOS!$D14536,nESPEC,DATOS!$E14536,nASIG,DATOS!$I14536,nEVAL,"EX")=0),0))))</f>
      </c>
      <c r="H14536">
        <f>IF(DATOS!$G14536&lt;&gt;"EX",0,--(COUNTIFS(nNIA,DATOS!$A14536,nCURSO,DATOS!$D14536,nESPEC,DATOS!$E14536,nASIG,DATOS!$I14536,nEVAL,"OR")=0))</f>
      </c>
      <c r="I14536">
        <f>IF(DATOS!$I14536="","",IFERROR(VLOOKUP(DATOS!$I14536,CONFIG_ASIGNATURAS!$B$2:$J$91,9,FALSE()),""))</f>
      </c>
    </row>
    <row r="14537">
      <c r="F14537">
        <f>IF(DATOS!$A14537="","",DATOS!$A14537&amp;"|"&amp;DATOS!$D14537&amp;"|"&amp;DATOS!$E14537&amp;"|"&amp;DATOS!$I14537)</f>
      </c>
      <c r="G14537">
        <f>IF(DATOS!$A14537="",0,IF(CONFIG_METADATA!$B$4&lt;&gt;"OR+EX",--(DATOS!$G14537=CONFIG_METADATA!$B$4),IF(DATOS!$G14537="EX",1,IF(DATOS!$G14537="OR",--(COUNTIFS(nNIA,DATOS!$A14537,nCURSO,DATOS!$D14537,nESPEC,DATOS!$E14537,nASIG,DATOS!$I14537,nEVAL,"EX")=0),0))))</f>
      </c>
      <c r="H14537">
        <f>IF(DATOS!$G14537&lt;&gt;"EX",0,--(COUNTIFS(nNIA,DATOS!$A14537,nCURSO,DATOS!$D14537,nESPEC,DATOS!$E14537,nASIG,DATOS!$I14537,nEVAL,"OR")=0))</f>
      </c>
      <c r="I14537">
        <f>IF(DATOS!$I14537="","",IFERROR(VLOOKUP(DATOS!$I14537,CONFIG_ASIGNATURAS!$B$2:$J$91,9,FALSE()),""))</f>
      </c>
    </row>
    <row r="14538">
      <c r="F14538">
        <f>IF(DATOS!$A14538="","",DATOS!$A14538&amp;"|"&amp;DATOS!$D14538&amp;"|"&amp;DATOS!$E14538&amp;"|"&amp;DATOS!$I14538)</f>
      </c>
      <c r="G14538">
        <f>IF(DATOS!$A14538="",0,IF(CONFIG_METADATA!$B$4&lt;&gt;"OR+EX",--(DATOS!$G14538=CONFIG_METADATA!$B$4),IF(DATOS!$G14538="EX",1,IF(DATOS!$G14538="OR",--(COUNTIFS(nNIA,DATOS!$A14538,nCURSO,DATOS!$D14538,nESPEC,DATOS!$E14538,nASIG,DATOS!$I14538,nEVAL,"EX")=0),0))))</f>
      </c>
      <c r="H14538">
        <f>IF(DATOS!$G14538&lt;&gt;"EX",0,--(COUNTIFS(nNIA,DATOS!$A14538,nCURSO,DATOS!$D14538,nESPEC,DATOS!$E14538,nASIG,DATOS!$I14538,nEVAL,"OR")=0))</f>
      </c>
      <c r="I14538">
        <f>IF(DATOS!$I14538="","",IFERROR(VLOOKUP(DATOS!$I14538,CONFIG_ASIGNATURAS!$B$2:$J$91,9,FALSE()),""))</f>
      </c>
    </row>
    <row r="14539">
      <c r="F14539">
        <f>IF(DATOS!$A14539="","",DATOS!$A14539&amp;"|"&amp;DATOS!$D14539&amp;"|"&amp;DATOS!$E14539&amp;"|"&amp;DATOS!$I14539)</f>
      </c>
      <c r="G14539">
        <f>IF(DATOS!$A14539="",0,IF(CONFIG_METADATA!$B$4&lt;&gt;"OR+EX",--(DATOS!$G14539=CONFIG_METADATA!$B$4),IF(DATOS!$G14539="EX",1,IF(DATOS!$G14539="OR",--(COUNTIFS(nNIA,DATOS!$A14539,nCURSO,DATOS!$D14539,nESPEC,DATOS!$E14539,nASIG,DATOS!$I14539,nEVAL,"EX")=0),0))))</f>
      </c>
      <c r="H14539">
        <f>IF(DATOS!$G14539&lt;&gt;"EX",0,--(COUNTIFS(nNIA,DATOS!$A14539,nCURSO,DATOS!$D14539,nESPEC,DATOS!$E14539,nASIG,DATOS!$I14539,nEVAL,"OR")=0))</f>
      </c>
      <c r="I14539">
        <f>IF(DATOS!$I14539="","",IFERROR(VLOOKUP(DATOS!$I14539,CONFIG_ASIGNATURAS!$B$2:$J$91,9,FALSE()),""))</f>
      </c>
    </row>
    <row r="14540">
      <c r="F14540">
        <f>IF(DATOS!$A14540="","",DATOS!$A14540&amp;"|"&amp;DATOS!$D14540&amp;"|"&amp;DATOS!$E14540&amp;"|"&amp;DATOS!$I14540)</f>
      </c>
      <c r="G14540">
        <f>IF(DATOS!$A14540="",0,IF(CONFIG_METADATA!$B$4&lt;&gt;"OR+EX",--(DATOS!$G14540=CONFIG_METADATA!$B$4),IF(DATOS!$G14540="EX",1,IF(DATOS!$G14540="OR",--(COUNTIFS(nNIA,DATOS!$A14540,nCURSO,DATOS!$D14540,nESPEC,DATOS!$E14540,nASIG,DATOS!$I14540,nEVAL,"EX")=0),0))))</f>
      </c>
      <c r="H14540">
        <f>IF(DATOS!$G14540&lt;&gt;"EX",0,--(COUNTIFS(nNIA,DATOS!$A14540,nCURSO,DATOS!$D14540,nESPEC,DATOS!$E14540,nASIG,DATOS!$I14540,nEVAL,"OR")=0))</f>
      </c>
      <c r="I14540">
        <f>IF(DATOS!$I14540="","",IFERROR(VLOOKUP(DATOS!$I14540,CONFIG_ASIGNATURAS!$B$2:$J$91,9,FALSE()),""))</f>
      </c>
    </row>
    <row r="14541">
      <c r="F14541">
        <f>IF(DATOS!$A14541="","",DATOS!$A14541&amp;"|"&amp;DATOS!$D14541&amp;"|"&amp;DATOS!$E14541&amp;"|"&amp;DATOS!$I14541)</f>
      </c>
      <c r="G14541">
        <f>IF(DATOS!$A14541="",0,IF(CONFIG_METADATA!$B$4&lt;&gt;"OR+EX",--(DATOS!$G14541=CONFIG_METADATA!$B$4),IF(DATOS!$G14541="EX",1,IF(DATOS!$G14541="OR",--(COUNTIFS(nNIA,DATOS!$A14541,nCURSO,DATOS!$D14541,nESPEC,DATOS!$E14541,nASIG,DATOS!$I14541,nEVAL,"EX")=0),0))))</f>
      </c>
      <c r="H14541">
        <f>IF(DATOS!$G14541&lt;&gt;"EX",0,--(COUNTIFS(nNIA,DATOS!$A14541,nCURSO,DATOS!$D14541,nESPEC,DATOS!$E14541,nASIG,DATOS!$I14541,nEVAL,"OR")=0))</f>
      </c>
      <c r="I14541">
        <f>IF(DATOS!$I14541="","",IFERROR(VLOOKUP(DATOS!$I14541,CONFIG_ASIGNATURAS!$B$2:$J$91,9,FALSE()),""))</f>
      </c>
    </row>
    <row r="14542">
      <c r="F14542">
        <f>IF(DATOS!$A14542="","",DATOS!$A14542&amp;"|"&amp;DATOS!$D14542&amp;"|"&amp;DATOS!$E14542&amp;"|"&amp;DATOS!$I14542)</f>
      </c>
      <c r="G14542">
        <f>IF(DATOS!$A14542="",0,IF(CONFIG_METADATA!$B$4&lt;&gt;"OR+EX",--(DATOS!$G14542=CONFIG_METADATA!$B$4),IF(DATOS!$G14542="EX",1,IF(DATOS!$G14542="OR",--(COUNTIFS(nNIA,DATOS!$A14542,nCURSO,DATOS!$D14542,nESPEC,DATOS!$E14542,nASIG,DATOS!$I14542,nEVAL,"EX")=0),0))))</f>
      </c>
      <c r="H14542">
        <f>IF(DATOS!$G14542&lt;&gt;"EX",0,--(COUNTIFS(nNIA,DATOS!$A14542,nCURSO,DATOS!$D14542,nESPEC,DATOS!$E14542,nASIG,DATOS!$I14542,nEVAL,"OR")=0))</f>
      </c>
      <c r="I14542">
        <f>IF(DATOS!$I14542="","",IFERROR(VLOOKUP(DATOS!$I14542,CONFIG_ASIGNATURAS!$B$2:$J$91,9,FALSE()),""))</f>
      </c>
    </row>
    <row r="14543">
      <c r="F14543">
        <f>IF(DATOS!$A14543="","",DATOS!$A14543&amp;"|"&amp;DATOS!$D14543&amp;"|"&amp;DATOS!$E14543&amp;"|"&amp;DATOS!$I14543)</f>
      </c>
      <c r="G14543">
        <f>IF(DATOS!$A14543="",0,IF(CONFIG_METADATA!$B$4&lt;&gt;"OR+EX",--(DATOS!$G14543=CONFIG_METADATA!$B$4),IF(DATOS!$G14543="EX",1,IF(DATOS!$G14543="OR",--(COUNTIFS(nNIA,DATOS!$A14543,nCURSO,DATOS!$D14543,nESPEC,DATOS!$E14543,nASIG,DATOS!$I14543,nEVAL,"EX")=0),0))))</f>
      </c>
      <c r="H14543">
        <f>IF(DATOS!$G14543&lt;&gt;"EX",0,--(COUNTIFS(nNIA,DATOS!$A14543,nCURSO,DATOS!$D14543,nESPEC,DATOS!$E14543,nASIG,DATOS!$I14543,nEVAL,"OR")=0))</f>
      </c>
      <c r="I14543">
        <f>IF(DATOS!$I14543="","",IFERROR(VLOOKUP(DATOS!$I14543,CONFIG_ASIGNATURAS!$B$2:$J$91,9,FALSE()),""))</f>
      </c>
    </row>
    <row r="14544">
      <c r="F14544">
        <f>IF(DATOS!$A14544="","",DATOS!$A14544&amp;"|"&amp;DATOS!$D14544&amp;"|"&amp;DATOS!$E14544&amp;"|"&amp;DATOS!$I14544)</f>
      </c>
      <c r="G14544">
        <f>IF(DATOS!$A14544="",0,IF(CONFIG_METADATA!$B$4&lt;&gt;"OR+EX",--(DATOS!$G14544=CONFIG_METADATA!$B$4),IF(DATOS!$G14544="EX",1,IF(DATOS!$G14544="OR",--(COUNTIFS(nNIA,DATOS!$A14544,nCURSO,DATOS!$D14544,nESPEC,DATOS!$E14544,nASIG,DATOS!$I14544,nEVAL,"EX")=0),0))))</f>
      </c>
      <c r="H14544">
        <f>IF(DATOS!$G14544&lt;&gt;"EX",0,--(COUNTIFS(nNIA,DATOS!$A14544,nCURSO,DATOS!$D14544,nESPEC,DATOS!$E14544,nASIG,DATOS!$I14544,nEVAL,"OR")=0))</f>
      </c>
      <c r="I14544">
        <f>IF(DATOS!$I14544="","",IFERROR(VLOOKUP(DATOS!$I14544,CONFIG_ASIGNATURAS!$B$2:$J$91,9,FALSE()),""))</f>
      </c>
    </row>
    <row r="14545">
      <c r="F14545">
        <f>IF(DATOS!$A14545="","",DATOS!$A14545&amp;"|"&amp;DATOS!$D14545&amp;"|"&amp;DATOS!$E14545&amp;"|"&amp;DATOS!$I14545)</f>
      </c>
      <c r="G14545">
        <f>IF(DATOS!$A14545="",0,IF(CONFIG_METADATA!$B$4&lt;&gt;"OR+EX",--(DATOS!$G14545=CONFIG_METADATA!$B$4),IF(DATOS!$G14545="EX",1,IF(DATOS!$G14545="OR",--(COUNTIFS(nNIA,DATOS!$A14545,nCURSO,DATOS!$D14545,nESPEC,DATOS!$E14545,nASIG,DATOS!$I14545,nEVAL,"EX")=0),0))))</f>
      </c>
      <c r="H14545">
        <f>IF(DATOS!$G14545&lt;&gt;"EX",0,--(COUNTIFS(nNIA,DATOS!$A14545,nCURSO,DATOS!$D14545,nESPEC,DATOS!$E14545,nASIG,DATOS!$I14545,nEVAL,"OR")=0))</f>
      </c>
      <c r="I14545">
        <f>IF(DATOS!$I14545="","",IFERROR(VLOOKUP(DATOS!$I14545,CONFIG_ASIGNATURAS!$B$2:$J$91,9,FALSE()),""))</f>
      </c>
    </row>
    <row r="14546">
      <c r="F14546">
        <f>IF(DATOS!$A14546="","",DATOS!$A14546&amp;"|"&amp;DATOS!$D14546&amp;"|"&amp;DATOS!$E14546&amp;"|"&amp;DATOS!$I14546)</f>
      </c>
      <c r="G14546">
        <f>IF(DATOS!$A14546="",0,IF(CONFIG_METADATA!$B$4&lt;&gt;"OR+EX",--(DATOS!$G14546=CONFIG_METADATA!$B$4),IF(DATOS!$G14546="EX",1,IF(DATOS!$G14546="OR",--(COUNTIFS(nNIA,DATOS!$A14546,nCURSO,DATOS!$D14546,nESPEC,DATOS!$E14546,nASIG,DATOS!$I14546,nEVAL,"EX")=0),0))))</f>
      </c>
      <c r="H14546">
        <f>IF(DATOS!$G14546&lt;&gt;"EX",0,--(COUNTIFS(nNIA,DATOS!$A14546,nCURSO,DATOS!$D14546,nESPEC,DATOS!$E14546,nASIG,DATOS!$I14546,nEVAL,"OR")=0))</f>
      </c>
      <c r="I14546">
        <f>IF(DATOS!$I14546="","",IFERROR(VLOOKUP(DATOS!$I14546,CONFIG_ASIGNATURAS!$B$2:$J$91,9,FALSE()),""))</f>
      </c>
    </row>
    <row r="14547">
      <c r="F14547">
        <f>IF(DATOS!$A14547="","",DATOS!$A14547&amp;"|"&amp;DATOS!$D14547&amp;"|"&amp;DATOS!$E14547&amp;"|"&amp;DATOS!$I14547)</f>
      </c>
      <c r="G14547">
        <f>IF(DATOS!$A14547="",0,IF(CONFIG_METADATA!$B$4&lt;&gt;"OR+EX",--(DATOS!$G14547=CONFIG_METADATA!$B$4),IF(DATOS!$G14547="EX",1,IF(DATOS!$G14547="OR",--(COUNTIFS(nNIA,DATOS!$A14547,nCURSO,DATOS!$D14547,nESPEC,DATOS!$E14547,nASIG,DATOS!$I14547,nEVAL,"EX")=0),0))))</f>
      </c>
      <c r="H14547">
        <f>IF(DATOS!$G14547&lt;&gt;"EX",0,--(COUNTIFS(nNIA,DATOS!$A14547,nCURSO,DATOS!$D14547,nESPEC,DATOS!$E14547,nASIG,DATOS!$I14547,nEVAL,"OR")=0))</f>
      </c>
      <c r="I14547">
        <f>IF(DATOS!$I14547="","",IFERROR(VLOOKUP(DATOS!$I14547,CONFIG_ASIGNATURAS!$B$2:$J$91,9,FALSE()),""))</f>
      </c>
    </row>
    <row r="14548">
      <c r="F14548">
        <f>IF(DATOS!$A14548="","",DATOS!$A14548&amp;"|"&amp;DATOS!$D14548&amp;"|"&amp;DATOS!$E14548&amp;"|"&amp;DATOS!$I14548)</f>
      </c>
      <c r="G14548">
        <f>IF(DATOS!$A14548="",0,IF(CONFIG_METADATA!$B$4&lt;&gt;"OR+EX",--(DATOS!$G14548=CONFIG_METADATA!$B$4),IF(DATOS!$G14548="EX",1,IF(DATOS!$G14548="OR",--(COUNTIFS(nNIA,DATOS!$A14548,nCURSO,DATOS!$D14548,nESPEC,DATOS!$E14548,nASIG,DATOS!$I14548,nEVAL,"EX")=0),0))))</f>
      </c>
      <c r="H14548">
        <f>IF(DATOS!$G14548&lt;&gt;"EX",0,--(COUNTIFS(nNIA,DATOS!$A14548,nCURSO,DATOS!$D14548,nESPEC,DATOS!$E14548,nASIG,DATOS!$I14548,nEVAL,"OR")=0))</f>
      </c>
      <c r="I14548">
        <f>IF(DATOS!$I14548="","",IFERROR(VLOOKUP(DATOS!$I14548,CONFIG_ASIGNATURAS!$B$2:$J$91,9,FALSE()),""))</f>
      </c>
    </row>
    <row r="14549">
      <c r="F14549">
        <f>IF(DATOS!$A14549="","",DATOS!$A14549&amp;"|"&amp;DATOS!$D14549&amp;"|"&amp;DATOS!$E14549&amp;"|"&amp;DATOS!$I14549)</f>
      </c>
      <c r="G14549">
        <f>IF(DATOS!$A14549="",0,IF(CONFIG_METADATA!$B$4&lt;&gt;"OR+EX",--(DATOS!$G14549=CONFIG_METADATA!$B$4),IF(DATOS!$G14549="EX",1,IF(DATOS!$G14549="OR",--(COUNTIFS(nNIA,DATOS!$A14549,nCURSO,DATOS!$D14549,nESPEC,DATOS!$E14549,nASIG,DATOS!$I14549,nEVAL,"EX")=0),0))))</f>
      </c>
      <c r="H14549">
        <f>IF(DATOS!$G14549&lt;&gt;"EX",0,--(COUNTIFS(nNIA,DATOS!$A14549,nCURSO,DATOS!$D14549,nESPEC,DATOS!$E14549,nASIG,DATOS!$I14549,nEVAL,"OR")=0))</f>
      </c>
      <c r="I14549">
        <f>IF(DATOS!$I14549="","",IFERROR(VLOOKUP(DATOS!$I14549,CONFIG_ASIGNATURAS!$B$2:$J$91,9,FALSE()),""))</f>
      </c>
    </row>
    <row r="14550">
      <c r="F14550">
        <f>IF(DATOS!$A14550="","",DATOS!$A14550&amp;"|"&amp;DATOS!$D14550&amp;"|"&amp;DATOS!$E14550&amp;"|"&amp;DATOS!$I14550)</f>
      </c>
      <c r="G14550">
        <f>IF(DATOS!$A14550="",0,IF(CONFIG_METADATA!$B$4&lt;&gt;"OR+EX",--(DATOS!$G14550=CONFIG_METADATA!$B$4),IF(DATOS!$G14550="EX",1,IF(DATOS!$G14550="OR",--(COUNTIFS(nNIA,DATOS!$A14550,nCURSO,DATOS!$D14550,nESPEC,DATOS!$E14550,nASIG,DATOS!$I14550,nEVAL,"EX")=0),0))))</f>
      </c>
      <c r="H14550">
        <f>IF(DATOS!$G14550&lt;&gt;"EX",0,--(COUNTIFS(nNIA,DATOS!$A14550,nCURSO,DATOS!$D14550,nESPEC,DATOS!$E14550,nASIG,DATOS!$I14550,nEVAL,"OR")=0))</f>
      </c>
      <c r="I14550">
        <f>IF(DATOS!$I14550="","",IFERROR(VLOOKUP(DATOS!$I14550,CONFIG_ASIGNATURAS!$B$2:$J$91,9,FALSE()),""))</f>
      </c>
    </row>
    <row r="14551">
      <c r="F14551">
        <f>IF(DATOS!$A14551="","",DATOS!$A14551&amp;"|"&amp;DATOS!$D14551&amp;"|"&amp;DATOS!$E14551&amp;"|"&amp;DATOS!$I14551)</f>
      </c>
      <c r="G14551">
        <f>IF(DATOS!$A14551="",0,IF(CONFIG_METADATA!$B$4&lt;&gt;"OR+EX",--(DATOS!$G14551=CONFIG_METADATA!$B$4),IF(DATOS!$G14551="EX",1,IF(DATOS!$G14551="OR",--(COUNTIFS(nNIA,DATOS!$A14551,nCURSO,DATOS!$D14551,nESPEC,DATOS!$E14551,nASIG,DATOS!$I14551,nEVAL,"EX")=0),0))))</f>
      </c>
      <c r="H14551">
        <f>IF(DATOS!$G14551&lt;&gt;"EX",0,--(COUNTIFS(nNIA,DATOS!$A14551,nCURSO,DATOS!$D14551,nESPEC,DATOS!$E14551,nASIG,DATOS!$I14551,nEVAL,"OR")=0))</f>
      </c>
      <c r="I14551">
        <f>IF(DATOS!$I14551="","",IFERROR(VLOOKUP(DATOS!$I14551,CONFIG_ASIGNATURAS!$B$2:$J$91,9,FALSE()),""))</f>
      </c>
    </row>
    <row r="14552">
      <c r="F14552">
        <f>IF(DATOS!$A14552="","",DATOS!$A14552&amp;"|"&amp;DATOS!$D14552&amp;"|"&amp;DATOS!$E14552&amp;"|"&amp;DATOS!$I14552)</f>
      </c>
      <c r="G14552">
        <f>IF(DATOS!$A14552="",0,IF(CONFIG_METADATA!$B$4&lt;&gt;"OR+EX",--(DATOS!$G14552=CONFIG_METADATA!$B$4),IF(DATOS!$G14552="EX",1,IF(DATOS!$G14552="OR",--(COUNTIFS(nNIA,DATOS!$A14552,nCURSO,DATOS!$D14552,nESPEC,DATOS!$E14552,nASIG,DATOS!$I14552,nEVAL,"EX")=0),0))))</f>
      </c>
      <c r="H14552">
        <f>IF(DATOS!$G14552&lt;&gt;"EX",0,--(COUNTIFS(nNIA,DATOS!$A14552,nCURSO,DATOS!$D14552,nESPEC,DATOS!$E14552,nASIG,DATOS!$I14552,nEVAL,"OR")=0))</f>
      </c>
      <c r="I14552">
        <f>IF(DATOS!$I14552="","",IFERROR(VLOOKUP(DATOS!$I14552,CONFIG_ASIGNATURAS!$B$2:$J$91,9,FALSE()),""))</f>
      </c>
    </row>
    <row r="14553">
      <c r="F14553">
        <f>IF(DATOS!$A14553="","",DATOS!$A14553&amp;"|"&amp;DATOS!$D14553&amp;"|"&amp;DATOS!$E14553&amp;"|"&amp;DATOS!$I14553)</f>
      </c>
      <c r="G14553">
        <f>IF(DATOS!$A14553="",0,IF(CONFIG_METADATA!$B$4&lt;&gt;"OR+EX",--(DATOS!$G14553=CONFIG_METADATA!$B$4),IF(DATOS!$G14553="EX",1,IF(DATOS!$G14553="OR",--(COUNTIFS(nNIA,DATOS!$A14553,nCURSO,DATOS!$D14553,nESPEC,DATOS!$E14553,nASIG,DATOS!$I14553,nEVAL,"EX")=0),0))))</f>
      </c>
      <c r="H14553">
        <f>IF(DATOS!$G14553&lt;&gt;"EX",0,--(COUNTIFS(nNIA,DATOS!$A14553,nCURSO,DATOS!$D14553,nESPEC,DATOS!$E14553,nASIG,DATOS!$I14553,nEVAL,"OR")=0))</f>
      </c>
      <c r="I14553">
        <f>IF(DATOS!$I14553="","",IFERROR(VLOOKUP(DATOS!$I14553,CONFIG_ASIGNATURAS!$B$2:$J$91,9,FALSE()),""))</f>
      </c>
    </row>
    <row r="14554">
      <c r="F14554">
        <f>IF(DATOS!$A14554="","",DATOS!$A14554&amp;"|"&amp;DATOS!$D14554&amp;"|"&amp;DATOS!$E14554&amp;"|"&amp;DATOS!$I14554)</f>
      </c>
      <c r="G14554">
        <f>IF(DATOS!$A14554="",0,IF(CONFIG_METADATA!$B$4&lt;&gt;"OR+EX",--(DATOS!$G14554=CONFIG_METADATA!$B$4),IF(DATOS!$G14554="EX",1,IF(DATOS!$G14554="OR",--(COUNTIFS(nNIA,DATOS!$A14554,nCURSO,DATOS!$D14554,nESPEC,DATOS!$E14554,nASIG,DATOS!$I14554,nEVAL,"EX")=0),0))))</f>
      </c>
      <c r="H14554">
        <f>IF(DATOS!$G14554&lt;&gt;"EX",0,--(COUNTIFS(nNIA,DATOS!$A14554,nCURSO,DATOS!$D14554,nESPEC,DATOS!$E14554,nASIG,DATOS!$I14554,nEVAL,"OR")=0))</f>
      </c>
      <c r="I14554">
        <f>IF(DATOS!$I14554="","",IFERROR(VLOOKUP(DATOS!$I14554,CONFIG_ASIGNATURAS!$B$2:$J$91,9,FALSE()),""))</f>
      </c>
    </row>
    <row r="14555">
      <c r="F14555">
        <f>IF(DATOS!$A14555="","",DATOS!$A14555&amp;"|"&amp;DATOS!$D14555&amp;"|"&amp;DATOS!$E14555&amp;"|"&amp;DATOS!$I14555)</f>
      </c>
      <c r="G14555">
        <f>IF(DATOS!$A14555="",0,IF(CONFIG_METADATA!$B$4&lt;&gt;"OR+EX",--(DATOS!$G14555=CONFIG_METADATA!$B$4),IF(DATOS!$G14555="EX",1,IF(DATOS!$G14555="OR",--(COUNTIFS(nNIA,DATOS!$A14555,nCURSO,DATOS!$D14555,nESPEC,DATOS!$E14555,nASIG,DATOS!$I14555,nEVAL,"EX")=0),0))))</f>
      </c>
      <c r="H14555">
        <f>IF(DATOS!$G14555&lt;&gt;"EX",0,--(COUNTIFS(nNIA,DATOS!$A14555,nCURSO,DATOS!$D14555,nESPEC,DATOS!$E14555,nASIG,DATOS!$I14555,nEVAL,"OR")=0))</f>
      </c>
      <c r="I14555">
        <f>IF(DATOS!$I14555="","",IFERROR(VLOOKUP(DATOS!$I14555,CONFIG_ASIGNATURAS!$B$2:$J$91,9,FALSE()),""))</f>
      </c>
    </row>
    <row r="14556">
      <c r="F14556">
        <f>IF(DATOS!$A14556="","",DATOS!$A14556&amp;"|"&amp;DATOS!$D14556&amp;"|"&amp;DATOS!$E14556&amp;"|"&amp;DATOS!$I14556)</f>
      </c>
      <c r="G14556">
        <f>IF(DATOS!$A14556="",0,IF(CONFIG_METADATA!$B$4&lt;&gt;"OR+EX",--(DATOS!$G14556=CONFIG_METADATA!$B$4),IF(DATOS!$G14556="EX",1,IF(DATOS!$G14556="OR",--(COUNTIFS(nNIA,DATOS!$A14556,nCURSO,DATOS!$D14556,nESPEC,DATOS!$E14556,nASIG,DATOS!$I14556,nEVAL,"EX")=0),0))))</f>
      </c>
      <c r="H14556">
        <f>IF(DATOS!$G14556&lt;&gt;"EX",0,--(COUNTIFS(nNIA,DATOS!$A14556,nCURSO,DATOS!$D14556,nESPEC,DATOS!$E14556,nASIG,DATOS!$I14556,nEVAL,"OR")=0))</f>
      </c>
      <c r="I14556">
        <f>IF(DATOS!$I14556="","",IFERROR(VLOOKUP(DATOS!$I14556,CONFIG_ASIGNATURAS!$B$2:$J$91,9,FALSE()),""))</f>
      </c>
    </row>
    <row r="14557">
      <c r="F14557">
        <f>IF(DATOS!$A14557="","",DATOS!$A14557&amp;"|"&amp;DATOS!$D14557&amp;"|"&amp;DATOS!$E14557&amp;"|"&amp;DATOS!$I14557)</f>
      </c>
      <c r="G14557">
        <f>IF(DATOS!$A14557="",0,IF(CONFIG_METADATA!$B$4&lt;&gt;"OR+EX",--(DATOS!$G14557=CONFIG_METADATA!$B$4),IF(DATOS!$G14557="EX",1,IF(DATOS!$G14557="OR",--(COUNTIFS(nNIA,DATOS!$A14557,nCURSO,DATOS!$D14557,nESPEC,DATOS!$E14557,nASIG,DATOS!$I14557,nEVAL,"EX")=0),0))))</f>
      </c>
      <c r="H14557">
        <f>IF(DATOS!$G14557&lt;&gt;"EX",0,--(COUNTIFS(nNIA,DATOS!$A14557,nCURSO,DATOS!$D14557,nESPEC,DATOS!$E14557,nASIG,DATOS!$I14557,nEVAL,"OR")=0))</f>
      </c>
      <c r="I14557">
        <f>IF(DATOS!$I14557="","",IFERROR(VLOOKUP(DATOS!$I14557,CONFIG_ASIGNATURAS!$B$2:$J$91,9,FALSE()),""))</f>
      </c>
    </row>
    <row r="14558">
      <c r="F14558">
        <f>IF(DATOS!$A14558="","",DATOS!$A14558&amp;"|"&amp;DATOS!$D14558&amp;"|"&amp;DATOS!$E14558&amp;"|"&amp;DATOS!$I14558)</f>
      </c>
      <c r="G14558">
        <f>IF(DATOS!$A14558="",0,IF(CONFIG_METADATA!$B$4&lt;&gt;"OR+EX",--(DATOS!$G14558=CONFIG_METADATA!$B$4),IF(DATOS!$G14558="EX",1,IF(DATOS!$G14558="OR",--(COUNTIFS(nNIA,DATOS!$A14558,nCURSO,DATOS!$D14558,nESPEC,DATOS!$E14558,nASIG,DATOS!$I14558,nEVAL,"EX")=0),0))))</f>
      </c>
      <c r="H14558">
        <f>IF(DATOS!$G14558&lt;&gt;"EX",0,--(COUNTIFS(nNIA,DATOS!$A14558,nCURSO,DATOS!$D14558,nESPEC,DATOS!$E14558,nASIG,DATOS!$I14558,nEVAL,"OR")=0))</f>
      </c>
      <c r="I14558">
        <f>IF(DATOS!$I14558="","",IFERROR(VLOOKUP(DATOS!$I14558,CONFIG_ASIGNATURAS!$B$2:$J$91,9,FALSE()),""))</f>
      </c>
    </row>
    <row r="14559">
      <c r="F14559">
        <f>IF(DATOS!$A14559="","",DATOS!$A14559&amp;"|"&amp;DATOS!$D14559&amp;"|"&amp;DATOS!$E14559&amp;"|"&amp;DATOS!$I14559)</f>
      </c>
      <c r="G14559">
        <f>IF(DATOS!$A14559="",0,IF(CONFIG_METADATA!$B$4&lt;&gt;"OR+EX",--(DATOS!$G14559=CONFIG_METADATA!$B$4),IF(DATOS!$G14559="EX",1,IF(DATOS!$G14559="OR",--(COUNTIFS(nNIA,DATOS!$A14559,nCURSO,DATOS!$D14559,nESPEC,DATOS!$E14559,nASIG,DATOS!$I14559,nEVAL,"EX")=0),0))))</f>
      </c>
      <c r="H14559">
        <f>IF(DATOS!$G14559&lt;&gt;"EX",0,--(COUNTIFS(nNIA,DATOS!$A14559,nCURSO,DATOS!$D14559,nESPEC,DATOS!$E14559,nASIG,DATOS!$I14559,nEVAL,"OR")=0))</f>
      </c>
      <c r="I14559">
        <f>IF(DATOS!$I14559="","",IFERROR(VLOOKUP(DATOS!$I14559,CONFIG_ASIGNATURAS!$B$2:$J$91,9,FALSE()),""))</f>
      </c>
    </row>
    <row r="14560">
      <c r="F14560">
        <f>IF(DATOS!$A14560="","",DATOS!$A14560&amp;"|"&amp;DATOS!$D14560&amp;"|"&amp;DATOS!$E14560&amp;"|"&amp;DATOS!$I14560)</f>
      </c>
      <c r="G14560">
        <f>IF(DATOS!$A14560="",0,IF(CONFIG_METADATA!$B$4&lt;&gt;"OR+EX",--(DATOS!$G14560=CONFIG_METADATA!$B$4),IF(DATOS!$G14560="EX",1,IF(DATOS!$G14560="OR",--(COUNTIFS(nNIA,DATOS!$A14560,nCURSO,DATOS!$D14560,nESPEC,DATOS!$E14560,nASIG,DATOS!$I14560,nEVAL,"EX")=0),0))))</f>
      </c>
      <c r="H14560">
        <f>IF(DATOS!$G14560&lt;&gt;"EX",0,--(COUNTIFS(nNIA,DATOS!$A14560,nCURSO,DATOS!$D14560,nESPEC,DATOS!$E14560,nASIG,DATOS!$I14560,nEVAL,"OR")=0))</f>
      </c>
      <c r="I14560">
        <f>IF(DATOS!$I14560="","",IFERROR(VLOOKUP(DATOS!$I14560,CONFIG_ASIGNATURAS!$B$2:$J$91,9,FALSE()),""))</f>
      </c>
    </row>
    <row r="14561">
      <c r="F14561">
        <f>IF(DATOS!$A14561="","",DATOS!$A14561&amp;"|"&amp;DATOS!$D14561&amp;"|"&amp;DATOS!$E14561&amp;"|"&amp;DATOS!$I14561)</f>
      </c>
      <c r="G14561">
        <f>IF(DATOS!$A14561="",0,IF(CONFIG_METADATA!$B$4&lt;&gt;"OR+EX",--(DATOS!$G14561=CONFIG_METADATA!$B$4),IF(DATOS!$G14561="EX",1,IF(DATOS!$G14561="OR",--(COUNTIFS(nNIA,DATOS!$A14561,nCURSO,DATOS!$D14561,nESPEC,DATOS!$E14561,nASIG,DATOS!$I14561,nEVAL,"EX")=0),0))))</f>
      </c>
      <c r="H14561">
        <f>IF(DATOS!$G14561&lt;&gt;"EX",0,--(COUNTIFS(nNIA,DATOS!$A14561,nCURSO,DATOS!$D14561,nESPEC,DATOS!$E14561,nASIG,DATOS!$I14561,nEVAL,"OR")=0))</f>
      </c>
      <c r="I14561">
        <f>IF(DATOS!$I14561="","",IFERROR(VLOOKUP(DATOS!$I14561,CONFIG_ASIGNATURAS!$B$2:$J$91,9,FALSE()),""))</f>
      </c>
    </row>
    <row r="14562">
      <c r="F14562">
        <f>IF(DATOS!$A14562="","",DATOS!$A14562&amp;"|"&amp;DATOS!$D14562&amp;"|"&amp;DATOS!$E14562&amp;"|"&amp;DATOS!$I14562)</f>
      </c>
      <c r="G14562">
        <f>IF(DATOS!$A14562="",0,IF(CONFIG_METADATA!$B$4&lt;&gt;"OR+EX",--(DATOS!$G14562=CONFIG_METADATA!$B$4),IF(DATOS!$G14562="EX",1,IF(DATOS!$G14562="OR",--(COUNTIFS(nNIA,DATOS!$A14562,nCURSO,DATOS!$D14562,nESPEC,DATOS!$E14562,nASIG,DATOS!$I14562,nEVAL,"EX")=0),0))))</f>
      </c>
      <c r="H14562">
        <f>IF(DATOS!$G14562&lt;&gt;"EX",0,--(COUNTIFS(nNIA,DATOS!$A14562,nCURSO,DATOS!$D14562,nESPEC,DATOS!$E14562,nASIG,DATOS!$I14562,nEVAL,"OR")=0))</f>
      </c>
      <c r="I14562">
        <f>IF(DATOS!$I14562="","",IFERROR(VLOOKUP(DATOS!$I14562,CONFIG_ASIGNATURAS!$B$2:$J$91,9,FALSE()),""))</f>
      </c>
    </row>
    <row r="14563">
      <c r="F14563">
        <f>IF(DATOS!$A14563="","",DATOS!$A14563&amp;"|"&amp;DATOS!$D14563&amp;"|"&amp;DATOS!$E14563&amp;"|"&amp;DATOS!$I14563)</f>
      </c>
      <c r="G14563">
        <f>IF(DATOS!$A14563="",0,IF(CONFIG_METADATA!$B$4&lt;&gt;"OR+EX",--(DATOS!$G14563=CONFIG_METADATA!$B$4),IF(DATOS!$G14563="EX",1,IF(DATOS!$G14563="OR",--(COUNTIFS(nNIA,DATOS!$A14563,nCURSO,DATOS!$D14563,nESPEC,DATOS!$E14563,nASIG,DATOS!$I14563,nEVAL,"EX")=0),0))))</f>
      </c>
      <c r="H14563">
        <f>IF(DATOS!$G14563&lt;&gt;"EX",0,--(COUNTIFS(nNIA,DATOS!$A14563,nCURSO,DATOS!$D14563,nESPEC,DATOS!$E14563,nASIG,DATOS!$I14563,nEVAL,"OR")=0))</f>
      </c>
      <c r="I14563">
        <f>IF(DATOS!$I14563="","",IFERROR(VLOOKUP(DATOS!$I14563,CONFIG_ASIGNATURAS!$B$2:$J$91,9,FALSE()),""))</f>
      </c>
    </row>
    <row r="14564">
      <c r="F14564">
        <f>IF(DATOS!$A14564="","",DATOS!$A14564&amp;"|"&amp;DATOS!$D14564&amp;"|"&amp;DATOS!$E14564&amp;"|"&amp;DATOS!$I14564)</f>
      </c>
      <c r="G14564">
        <f>IF(DATOS!$A14564="",0,IF(CONFIG_METADATA!$B$4&lt;&gt;"OR+EX",--(DATOS!$G14564=CONFIG_METADATA!$B$4),IF(DATOS!$G14564="EX",1,IF(DATOS!$G14564="OR",--(COUNTIFS(nNIA,DATOS!$A14564,nCURSO,DATOS!$D14564,nESPEC,DATOS!$E14564,nASIG,DATOS!$I14564,nEVAL,"EX")=0),0))))</f>
      </c>
      <c r="H14564">
        <f>IF(DATOS!$G14564&lt;&gt;"EX",0,--(COUNTIFS(nNIA,DATOS!$A14564,nCURSO,DATOS!$D14564,nESPEC,DATOS!$E14564,nASIG,DATOS!$I14564,nEVAL,"OR")=0))</f>
      </c>
      <c r="I14564">
        <f>IF(DATOS!$I14564="","",IFERROR(VLOOKUP(DATOS!$I14564,CONFIG_ASIGNATURAS!$B$2:$J$91,9,FALSE()),""))</f>
      </c>
    </row>
    <row r="14565">
      <c r="F14565">
        <f>IF(DATOS!$A14565="","",DATOS!$A14565&amp;"|"&amp;DATOS!$D14565&amp;"|"&amp;DATOS!$E14565&amp;"|"&amp;DATOS!$I14565)</f>
      </c>
      <c r="G14565">
        <f>IF(DATOS!$A14565="",0,IF(CONFIG_METADATA!$B$4&lt;&gt;"OR+EX",--(DATOS!$G14565=CONFIG_METADATA!$B$4),IF(DATOS!$G14565="EX",1,IF(DATOS!$G14565="OR",--(COUNTIFS(nNIA,DATOS!$A14565,nCURSO,DATOS!$D14565,nESPEC,DATOS!$E14565,nASIG,DATOS!$I14565,nEVAL,"EX")=0),0))))</f>
      </c>
      <c r="H14565">
        <f>IF(DATOS!$G14565&lt;&gt;"EX",0,--(COUNTIFS(nNIA,DATOS!$A14565,nCURSO,DATOS!$D14565,nESPEC,DATOS!$E14565,nASIG,DATOS!$I14565,nEVAL,"OR")=0))</f>
      </c>
      <c r="I14565">
        <f>IF(DATOS!$I14565="","",IFERROR(VLOOKUP(DATOS!$I14565,CONFIG_ASIGNATURAS!$B$2:$J$91,9,FALSE()),""))</f>
      </c>
    </row>
    <row r="14566">
      <c r="F14566">
        <f>IF(DATOS!$A14566="","",DATOS!$A14566&amp;"|"&amp;DATOS!$D14566&amp;"|"&amp;DATOS!$E14566&amp;"|"&amp;DATOS!$I14566)</f>
      </c>
      <c r="G14566">
        <f>IF(DATOS!$A14566="",0,IF(CONFIG_METADATA!$B$4&lt;&gt;"OR+EX",--(DATOS!$G14566=CONFIG_METADATA!$B$4),IF(DATOS!$G14566="EX",1,IF(DATOS!$G14566="OR",--(COUNTIFS(nNIA,DATOS!$A14566,nCURSO,DATOS!$D14566,nESPEC,DATOS!$E14566,nASIG,DATOS!$I14566,nEVAL,"EX")=0),0))))</f>
      </c>
      <c r="H14566">
        <f>IF(DATOS!$G14566&lt;&gt;"EX",0,--(COUNTIFS(nNIA,DATOS!$A14566,nCURSO,DATOS!$D14566,nESPEC,DATOS!$E14566,nASIG,DATOS!$I14566,nEVAL,"OR")=0))</f>
      </c>
      <c r="I14566">
        <f>IF(DATOS!$I14566="","",IFERROR(VLOOKUP(DATOS!$I14566,CONFIG_ASIGNATURAS!$B$2:$J$91,9,FALSE()),""))</f>
      </c>
    </row>
    <row r="14567">
      <c r="F14567">
        <f>IF(DATOS!$A14567="","",DATOS!$A14567&amp;"|"&amp;DATOS!$D14567&amp;"|"&amp;DATOS!$E14567&amp;"|"&amp;DATOS!$I14567)</f>
      </c>
      <c r="G14567">
        <f>IF(DATOS!$A14567="",0,IF(CONFIG_METADATA!$B$4&lt;&gt;"OR+EX",--(DATOS!$G14567=CONFIG_METADATA!$B$4),IF(DATOS!$G14567="EX",1,IF(DATOS!$G14567="OR",--(COUNTIFS(nNIA,DATOS!$A14567,nCURSO,DATOS!$D14567,nESPEC,DATOS!$E14567,nASIG,DATOS!$I14567,nEVAL,"EX")=0),0))))</f>
      </c>
      <c r="H14567">
        <f>IF(DATOS!$G14567&lt;&gt;"EX",0,--(COUNTIFS(nNIA,DATOS!$A14567,nCURSO,DATOS!$D14567,nESPEC,DATOS!$E14567,nASIG,DATOS!$I14567,nEVAL,"OR")=0))</f>
      </c>
      <c r="I14567">
        <f>IF(DATOS!$I14567="","",IFERROR(VLOOKUP(DATOS!$I14567,CONFIG_ASIGNATURAS!$B$2:$J$91,9,FALSE()),""))</f>
      </c>
    </row>
    <row r="14568">
      <c r="F14568">
        <f>IF(DATOS!$A14568="","",DATOS!$A14568&amp;"|"&amp;DATOS!$D14568&amp;"|"&amp;DATOS!$E14568&amp;"|"&amp;DATOS!$I14568)</f>
      </c>
      <c r="G14568">
        <f>IF(DATOS!$A14568="",0,IF(CONFIG_METADATA!$B$4&lt;&gt;"OR+EX",--(DATOS!$G14568=CONFIG_METADATA!$B$4),IF(DATOS!$G14568="EX",1,IF(DATOS!$G14568="OR",--(COUNTIFS(nNIA,DATOS!$A14568,nCURSO,DATOS!$D14568,nESPEC,DATOS!$E14568,nASIG,DATOS!$I14568,nEVAL,"EX")=0),0))))</f>
      </c>
      <c r="H14568">
        <f>IF(DATOS!$G14568&lt;&gt;"EX",0,--(COUNTIFS(nNIA,DATOS!$A14568,nCURSO,DATOS!$D14568,nESPEC,DATOS!$E14568,nASIG,DATOS!$I14568,nEVAL,"OR")=0))</f>
      </c>
      <c r="I14568">
        <f>IF(DATOS!$I14568="","",IFERROR(VLOOKUP(DATOS!$I14568,CONFIG_ASIGNATURAS!$B$2:$J$91,9,FALSE()),""))</f>
      </c>
    </row>
    <row r="14569">
      <c r="F14569">
        <f>IF(DATOS!$A14569="","",DATOS!$A14569&amp;"|"&amp;DATOS!$D14569&amp;"|"&amp;DATOS!$E14569&amp;"|"&amp;DATOS!$I14569)</f>
      </c>
      <c r="G14569">
        <f>IF(DATOS!$A14569="",0,IF(CONFIG_METADATA!$B$4&lt;&gt;"OR+EX",--(DATOS!$G14569=CONFIG_METADATA!$B$4),IF(DATOS!$G14569="EX",1,IF(DATOS!$G14569="OR",--(COUNTIFS(nNIA,DATOS!$A14569,nCURSO,DATOS!$D14569,nESPEC,DATOS!$E14569,nASIG,DATOS!$I14569,nEVAL,"EX")=0),0))))</f>
      </c>
      <c r="H14569">
        <f>IF(DATOS!$G14569&lt;&gt;"EX",0,--(COUNTIFS(nNIA,DATOS!$A14569,nCURSO,DATOS!$D14569,nESPEC,DATOS!$E14569,nASIG,DATOS!$I14569,nEVAL,"OR")=0))</f>
      </c>
      <c r="I14569">
        <f>IF(DATOS!$I14569="","",IFERROR(VLOOKUP(DATOS!$I14569,CONFIG_ASIGNATURAS!$B$2:$J$91,9,FALSE()),""))</f>
      </c>
    </row>
    <row r="14570">
      <c r="F14570">
        <f>IF(DATOS!$A14570="","",DATOS!$A14570&amp;"|"&amp;DATOS!$D14570&amp;"|"&amp;DATOS!$E14570&amp;"|"&amp;DATOS!$I14570)</f>
      </c>
      <c r="G14570">
        <f>IF(DATOS!$A14570="",0,IF(CONFIG_METADATA!$B$4&lt;&gt;"OR+EX",--(DATOS!$G14570=CONFIG_METADATA!$B$4),IF(DATOS!$G14570="EX",1,IF(DATOS!$G14570="OR",--(COUNTIFS(nNIA,DATOS!$A14570,nCURSO,DATOS!$D14570,nESPEC,DATOS!$E14570,nASIG,DATOS!$I14570,nEVAL,"EX")=0),0))))</f>
      </c>
      <c r="H14570">
        <f>IF(DATOS!$G14570&lt;&gt;"EX",0,--(COUNTIFS(nNIA,DATOS!$A14570,nCURSO,DATOS!$D14570,nESPEC,DATOS!$E14570,nASIG,DATOS!$I14570,nEVAL,"OR")=0))</f>
      </c>
      <c r="I14570">
        <f>IF(DATOS!$I14570="","",IFERROR(VLOOKUP(DATOS!$I14570,CONFIG_ASIGNATURAS!$B$2:$J$91,9,FALSE()),""))</f>
      </c>
    </row>
    <row r="14571">
      <c r="F14571">
        <f>IF(DATOS!$A14571="","",DATOS!$A14571&amp;"|"&amp;DATOS!$D14571&amp;"|"&amp;DATOS!$E14571&amp;"|"&amp;DATOS!$I14571)</f>
      </c>
      <c r="G14571">
        <f>IF(DATOS!$A14571="",0,IF(CONFIG_METADATA!$B$4&lt;&gt;"OR+EX",--(DATOS!$G14571=CONFIG_METADATA!$B$4),IF(DATOS!$G14571="EX",1,IF(DATOS!$G14571="OR",--(COUNTIFS(nNIA,DATOS!$A14571,nCURSO,DATOS!$D14571,nESPEC,DATOS!$E14571,nASIG,DATOS!$I14571,nEVAL,"EX")=0),0))))</f>
      </c>
      <c r="H14571">
        <f>IF(DATOS!$G14571&lt;&gt;"EX",0,--(COUNTIFS(nNIA,DATOS!$A14571,nCURSO,DATOS!$D14571,nESPEC,DATOS!$E14571,nASIG,DATOS!$I14571,nEVAL,"OR")=0))</f>
      </c>
      <c r="I14571">
        <f>IF(DATOS!$I14571="","",IFERROR(VLOOKUP(DATOS!$I14571,CONFIG_ASIGNATURAS!$B$2:$J$91,9,FALSE()),""))</f>
      </c>
    </row>
    <row r="14572">
      <c r="F14572">
        <f>IF(DATOS!$A14572="","",DATOS!$A14572&amp;"|"&amp;DATOS!$D14572&amp;"|"&amp;DATOS!$E14572&amp;"|"&amp;DATOS!$I14572)</f>
      </c>
      <c r="G14572">
        <f>IF(DATOS!$A14572="",0,IF(CONFIG_METADATA!$B$4&lt;&gt;"OR+EX",--(DATOS!$G14572=CONFIG_METADATA!$B$4),IF(DATOS!$G14572="EX",1,IF(DATOS!$G14572="OR",--(COUNTIFS(nNIA,DATOS!$A14572,nCURSO,DATOS!$D14572,nESPEC,DATOS!$E14572,nASIG,DATOS!$I14572,nEVAL,"EX")=0),0))))</f>
      </c>
      <c r="H14572">
        <f>IF(DATOS!$G14572&lt;&gt;"EX",0,--(COUNTIFS(nNIA,DATOS!$A14572,nCURSO,DATOS!$D14572,nESPEC,DATOS!$E14572,nASIG,DATOS!$I14572,nEVAL,"OR")=0))</f>
      </c>
      <c r="I14572">
        <f>IF(DATOS!$I14572="","",IFERROR(VLOOKUP(DATOS!$I14572,CONFIG_ASIGNATURAS!$B$2:$J$91,9,FALSE()),""))</f>
      </c>
    </row>
    <row r="14573">
      <c r="F14573">
        <f>IF(DATOS!$A14573="","",DATOS!$A14573&amp;"|"&amp;DATOS!$D14573&amp;"|"&amp;DATOS!$E14573&amp;"|"&amp;DATOS!$I14573)</f>
      </c>
      <c r="G14573">
        <f>IF(DATOS!$A14573="",0,IF(CONFIG_METADATA!$B$4&lt;&gt;"OR+EX",--(DATOS!$G14573=CONFIG_METADATA!$B$4),IF(DATOS!$G14573="EX",1,IF(DATOS!$G14573="OR",--(COUNTIFS(nNIA,DATOS!$A14573,nCURSO,DATOS!$D14573,nESPEC,DATOS!$E14573,nASIG,DATOS!$I14573,nEVAL,"EX")=0),0))))</f>
      </c>
      <c r="H14573">
        <f>IF(DATOS!$G14573&lt;&gt;"EX",0,--(COUNTIFS(nNIA,DATOS!$A14573,nCURSO,DATOS!$D14573,nESPEC,DATOS!$E14573,nASIG,DATOS!$I14573,nEVAL,"OR")=0))</f>
      </c>
      <c r="I14573">
        <f>IF(DATOS!$I14573="","",IFERROR(VLOOKUP(DATOS!$I14573,CONFIG_ASIGNATURAS!$B$2:$J$91,9,FALSE()),""))</f>
      </c>
    </row>
    <row r="14574">
      <c r="F14574">
        <f>IF(DATOS!$A14574="","",DATOS!$A14574&amp;"|"&amp;DATOS!$D14574&amp;"|"&amp;DATOS!$E14574&amp;"|"&amp;DATOS!$I14574)</f>
      </c>
      <c r="G14574">
        <f>IF(DATOS!$A14574="",0,IF(CONFIG_METADATA!$B$4&lt;&gt;"OR+EX",--(DATOS!$G14574=CONFIG_METADATA!$B$4),IF(DATOS!$G14574="EX",1,IF(DATOS!$G14574="OR",--(COUNTIFS(nNIA,DATOS!$A14574,nCURSO,DATOS!$D14574,nESPEC,DATOS!$E14574,nASIG,DATOS!$I14574,nEVAL,"EX")=0),0))))</f>
      </c>
      <c r="H14574">
        <f>IF(DATOS!$G14574&lt;&gt;"EX",0,--(COUNTIFS(nNIA,DATOS!$A14574,nCURSO,DATOS!$D14574,nESPEC,DATOS!$E14574,nASIG,DATOS!$I14574,nEVAL,"OR")=0))</f>
      </c>
      <c r="I14574">
        <f>IF(DATOS!$I14574="","",IFERROR(VLOOKUP(DATOS!$I14574,CONFIG_ASIGNATURAS!$B$2:$J$91,9,FALSE()),""))</f>
      </c>
    </row>
    <row r="14575">
      <c r="F14575">
        <f>IF(DATOS!$A14575="","",DATOS!$A14575&amp;"|"&amp;DATOS!$D14575&amp;"|"&amp;DATOS!$E14575&amp;"|"&amp;DATOS!$I14575)</f>
      </c>
      <c r="G14575">
        <f>IF(DATOS!$A14575="",0,IF(CONFIG_METADATA!$B$4&lt;&gt;"OR+EX",--(DATOS!$G14575=CONFIG_METADATA!$B$4),IF(DATOS!$G14575="EX",1,IF(DATOS!$G14575="OR",--(COUNTIFS(nNIA,DATOS!$A14575,nCURSO,DATOS!$D14575,nESPEC,DATOS!$E14575,nASIG,DATOS!$I14575,nEVAL,"EX")=0),0))))</f>
      </c>
      <c r="H14575">
        <f>IF(DATOS!$G14575&lt;&gt;"EX",0,--(COUNTIFS(nNIA,DATOS!$A14575,nCURSO,DATOS!$D14575,nESPEC,DATOS!$E14575,nASIG,DATOS!$I14575,nEVAL,"OR")=0))</f>
      </c>
      <c r="I14575">
        <f>IF(DATOS!$I14575="","",IFERROR(VLOOKUP(DATOS!$I14575,CONFIG_ASIGNATURAS!$B$2:$J$91,9,FALSE()),""))</f>
      </c>
    </row>
    <row r="14576">
      <c r="F14576">
        <f>IF(DATOS!$A14576="","",DATOS!$A14576&amp;"|"&amp;DATOS!$D14576&amp;"|"&amp;DATOS!$E14576&amp;"|"&amp;DATOS!$I14576)</f>
      </c>
      <c r="G14576">
        <f>IF(DATOS!$A14576="",0,IF(CONFIG_METADATA!$B$4&lt;&gt;"OR+EX",--(DATOS!$G14576=CONFIG_METADATA!$B$4),IF(DATOS!$G14576="EX",1,IF(DATOS!$G14576="OR",--(COUNTIFS(nNIA,DATOS!$A14576,nCURSO,DATOS!$D14576,nESPEC,DATOS!$E14576,nASIG,DATOS!$I14576,nEVAL,"EX")=0),0))))</f>
      </c>
      <c r="H14576">
        <f>IF(DATOS!$G14576&lt;&gt;"EX",0,--(COUNTIFS(nNIA,DATOS!$A14576,nCURSO,DATOS!$D14576,nESPEC,DATOS!$E14576,nASIG,DATOS!$I14576,nEVAL,"OR")=0))</f>
      </c>
      <c r="I14576">
        <f>IF(DATOS!$I14576="","",IFERROR(VLOOKUP(DATOS!$I14576,CONFIG_ASIGNATURAS!$B$2:$J$91,9,FALSE()),""))</f>
      </c>
    </row>
    <row r="14577">
      <c r="F14577">
        <f>IF(DATOS!$A14577="","",DATOS!$A14577&amp;"|"&amp;DATOS!$D14577&amp;"|"&amp;DATOS!$E14577&amp;"|"&amp;DATOS!$I14577)</f>
      </c>
      <c r="G14577">
        <f>IF(DATOS!$A14577="",0,IF(CONFIG_METADATA!$B$4&lt;&gt;"OR+EX",--(DATOS!$G14577=CONFIG_METADATA!$B$4),IF(DATOS!$G14577="EX",1,IF(DATOS!$G14577="OR",--(COUNTIFS(nNIA,DATOS!$A14577,nCURSO,DATOS!$D14577,nESPEC,DATOS!$E14577,nASIG,DATOS!$I14577,nEVAL,"EX")=0),0))))</f>
      </c>
      <c r="H14577">
        <f>IF(DATOS!$G14577&lt;&gt;"EX",0,--(COUNTIFS(nNIA,DATOS!$A14577,nCURSO,DATOS!$D14577,nESPEC,DATOS!$E14577,nASIG,DATOS!$I14577,nEVAL,"OR")=0))</f>
      </c>
      <c r="I14577">
        <f>IF(DATOS!$I14577="","",IFERROR(VLOOKUP(DATOS!$I14577,CONFIG_ASIGNATURAS!$B$2:$J$91,9,FALSE()),""))</f>
      </c>
    </row>
    <row r="14578">
      <c r="F14578">
        <f>IF(DATOS!$A14578="","",DATOS!$A14578&amp;"|"&amp;DATOS!$D14578&amp;"|"&amp;DATOS!$E14578&amp;"|"&amp;DATOS!$I14578)</f>
      </c>
      <c r="G14578">
        <f>IF(DATOS!$A14578="",0,IF(CONFIG_METADATA!$B$4&lt;&gt;"OR+EX",--(DATOS!$G14578=CONFIG_METADATA!$B$4),IF(DATOS!$G14578="EX",1,IF(DATOS!$G14578="OR",--(COUNTIFS(nNIA,DATOS!$A14578,nCURSO,DATOS!$D14578,nESPEC,DATOS!$E14578,nASIG,DATOS!$I14578,nEVAL,"EX")=0),0))))</f>
      </c>
      <c r="H14578">
        <f>IF(DATOS!$G14578&lt;&gt;"EX",0,--(COUNTIFS(nNIA,DATOS!$A14578,nCURSO,DATOS!$D14578,nESPEC,DATOS!$E14578,nASIG,DATOS!$I14578,nEVAL,"OR")=0))</f>
      </c>
      <c r="I14578">
        <f>IF(DATOS!$I14578="","",IFERROR(VLOOKUP(DATOS!$I14578,CONFIG_ASIGNATURAS!$B$2:$J$91,9,FALSE()),""))</f>
      </c>
    </row>
    <row r="14579">
      <c r="F14579">
        <f>IF(DATOS!$A14579="","",DATOS!$A14579&amp;"|"&amp;DATOS!$D14579&amp;"|"&amp;DATOS!$E14579&amp;"|"&amp;DATOS!$I14579)</f>
      </c>
      <c r="G14579">
        <f>IF(DATOS!$A14579="",0,IF(CONFIG_METADATA!$B$4&lt;&gt;"OR+EX",--(DATOS!$G14579=CONFIG_METADATA!$B$4),IF(DATOS!$G14579="EX",1,IF(DATOS!$G14579="OR",--(COUNTIFS(nNIA,DATOS!$A14579,nCURSO,DATOS!$D14579,nESPEC,DATOS!$E14579,nASIG,DATOS!$I14579,nEVAL,"EX")=0),0))))</f>
      </c>
      <c r="H14579">
        <f>IF(DATOS!$G14579&lt;&gt;"EX",0,--(COUNTIFS(nNIA,DATOS!$A14579,nCURSO,DATOS!$D14579,nESPEC,DATOS!$E14579,nASIG,DATOS!$I14579,nEVAL,"OR")=0))</f>
      </c>
      <c r="I14579">
        <f>IF(DATOS!$I14579="","",IFERROR(VLOOKUP(DATOS!$I14579,CONFIG_ASIGNATURAS!$B$2:$J$91,9,FALSE()),""))</f>
      </c>
    </row>
    <row r="14580">
      <c r="F14580">
        <f>IF(DATOS!$A14580="","",DATOS!$A14580&amp;"|"&amp;DATOS!$D14580&amp;"|"&amp;DATOS!$E14580&amp;"|"&amp;DATOS!$I14580)</f>
      </c>
      <c r="G14580">
        <f>IF(DATOS!$A14580="",0,IF(CONFIG_METADATA!$B$4&lt;&gt;"OR+EX",--(DATOS!$G14580=CONFIG_METADATA!$B$4),IF(DATOS!$G14580="EX",1,IF(DATOS!$G14580="OR",--(COUNTIFS(nNIA,DATOS!$A14580,nCURSO,DATOS!$D14580,nESPEC,DATOS!$E14580,nASIG,DATOS!$I14580,nEVAL,"EX")=0),0))))</f>
      </c>
      <c r="H14580">
        <f>IF(DATOS!$G14580&lt;&gt;"EX",0,--(COUNTIFS(nNIA,DATOS!$A14580,nCURSO,DATOS!$D14580,nESPEC,DATOS!$E14580,nASIG,DATOS!$I14580,nEVAL,"OR")=0))</f>
      </c>
      <c r="I14580">
        <f>IF(DATOS!$I14580="","",IFERROR(VLOOKUP(DATOS!$I14580,CONFIG_ASIGNATURAS!$B$2:$J$91,9,FALSE()),""))</f>
      </c>
    </row>
    <row r="14581">
      <c r="F14581">
        <f>IF(DATOS!$A14581="","",DATOS!$A14581&amp;"|"&amp;DATOS!$D14581&amp;"|"&amp;DATOS!$E14581&amp;"|"&amp;DATOS!$I14581)</f>
      </c>
      <c r="G14581">
        <f>IF(DATOS!$A14581="",0,IF(CONFIG_METADATA!$B$4&lt;&gt;"OR+EX",--(DATOS!$G14581=CONFIG_METADATA!$B$4),IF(DATOS!$G14581="EX",1,IF(DATOS!$G14581="OR",--(COUNTIFS(nNIA,DATOS!$A14581,nCURSO,DATOS!$D14581,nESPEC,DATOS!$E14581,nASIG,DATOS!$I14581,nEVAL,"EX")=0),0))))</f>
      </c>
      <c r="H14581">
        <f>IF(DATOS!$G14581&lt;&gt;"EX",0,--(COUNTIFS(nNIA,DATOS!$A14581,nCURSO,DATOS!$D14581,nESPEC,DATOS!$E14581,nASIG,DATOS!$I14581,nEVAL,"OR")=0))</f>
      </c>
      <c r="I14581">
        <f>IF(DATOS!$I14581="","",IFERROR(VLOOKUP(DATOS!$I14581,CONFIG_ASIGNATURAS!$B$2:$J$91,9,FALSE()),""))</f>
      </c>
    </row>
    <row r="14582">
      <c r="F14582">
        <f>IF(DATOS!$A14582="","",DATOS!$A14582&amp;"|"&amp;DATOS!$D14582&amp;"|"&amp;DATOS!$E14582&amp;"|"&amp;DATOS!$I14582)</f>
      </c>
      <c r="G14582">
        <f>IF(DATOS!$A14582="",0,IF(CONFIG_METADATA!$B$4&lt;&gt;"OR+EX",--(DATOS!$G14582=CONFIG_METADATA!$B$4),IF(DATOS!$G14582="EX",1,IF(DATOS!$G14582="OR",--(COUNTIFS(nNIA,DATOS!$A14582,nCURSO,DATOS!$D14582,nESPEC,DATOS!$E14582,nASIG,DATOS!$I14582,nEVAL,"EX")=0),0))))</f>
      </c>
      <c r="H14582">
        <f>IF(DATOS!$G14582&lt;&gt;"EX",0,--(COUNTIFS(nNIA,DATOS!$A14582,nCURSO,DATOS!$D14582,nESPEC,DATOS!$E14582,nASIG,DATOS!$I14582,nEVAL,"OR")=0))</f>
      </c>
      <c r="I14582">
        <f>IF(DATOS!$I14582="","",IFERROR(VLOOKUP(DATOS!$I14582,CONFIG_ASIGNATURAS!$B$2:$J$91,9,FALSE()),""))</f>
      </c>
    </row>
    <row r="14583">
      <c r="F14583">
        <f>IF(DATOS!$A14583="","",DATOS!$A14583&amp;"|"&amp;DATOS!$D14583&amp;"|"&amp;DATOS!$E14583&amp;"|"&amp;DATOS!$I14583)</f>
      </c>
      <c r="G14583">
        <f>IF(DATOS!$A14583="",0,IF(CONFIG_METADATA!$B$4&lt;&gt;"OR+EX",--(DATOS!$G14583=CONFIG_METADATA!$B$4),IF(DATOS!$G14583="EX",1,IF(DATOS!$G14583="OR",--(COUNTIFS(nNIA,DATOS!$A14583,nCURSO,DATOS!$D14583,nESPEC,DATOS!$E14583,nASIG,DATOS!$I14583,nEVAL,"EX")=0),0))))</f>
      </c>
      <c r="H14583">
        <f>IF(DATOS!$G14583&lt;&gt;"EX",0,--(COUNTIFS(nNIA,DATOS!$A14583,nCURSO,DATOS!$D14583,nESPEC,DATOS!$E14583,nASIG,DATOS!$I14583,nEVAL,"OR")=0))</f>
      </c>
      <c r="I14583">
        <f>IF(DATOS!$I14583="","",IFERROR(VLOOKUP(DATOS!$I14583,CONFIG_ASIGNATURAS!$B$2:$J$91,9,FALSE()),""))</f>
      </c>
    </row>
    <row r="14584">
      <c r="F14584">
        <f>IF(DATOS!$A14584="","",DATOS!$A14584&amp;"|"&amp;DATOS!$D14584&amp;"|"&amp;DATOS!$E14584&amp;"|"&amp;DATOS!$I14584)</f>
      </c>
      <c r="G14584">
        <f>IF(DATOS!$A14584="",0,IF(CONFIG_METADATA!$B$4&lt;&gt;"OR+EX",--(DATOS!$G14584=CONFIG_METADATA!$B$4),IF(DATOS!$G14584="EX",1,IF(DATOS!$G14584="OR",--(COUNTIFS(nNIA,DATOS!$A14584,nCURSO,DATOS!$D14584,nESPEC,DATOS!$E14584,nASIG,DATOS!$I14584,nEVAL,"EX")=0),0))))</f>
      </c>
      <c r="H14584">
        <f>IF(DATOS!$G14584&lt;&gt;"EX",0,--(COUNTIFS(nNIA,DATOS!$A14584,nCURSO,DATOS!$D14584,nESPEC,DATOS!$E14584,nASIG,DATOS!$I14584,nEVAL,"OR")=0))</f>
      </c>
      <c r="I14584">
        <f>IF(DATOS!$I14584="","",IFERROR(VLOOKUP(DATOS!$I14584,CONFIG_ASIGNATURAS!$B$2:$J$91,9,FALSE()),""))</f>
      </c>
    </row>
    <row r="14585">
      <c r="F14585">
        <f>IF(DATOS!$A14585="","",DATOS!$A14585&amp;"|"&amp;DATOS!$D14585&amp;"|"&amp;DATOS!$E14585&amp;"|"&amp;DATOS!$I14585)</f>
      </c>
      <c r="G14585">
        <f>IF(DATOS!$A14585="",0,IF(CONFIG_METADATA!$B$4&lt;&gt;"OR+EX",--(DATOS!$G14585=CONFIG_METADATA!$B$4),IF(DATOS!$G14585="EX",1,IF(DATOS!$G14585="OR",--(COUNTIFS(nNIA,DATOS!$A14585,nCURSO,DATOS!$D14585,nESPEC,DATOS!$E14585,nASIG,DATOS!$I14585,nEVAL,"EX")=0),0))))</f>
      </c>
      <c r="H14585">
        <f>IF(DATOS!$G14585&lt;&gt;"EX",0,--(COUNTIFS(nNIA,DATOS!$A14585,nCURSO,DATOS!$D14585,nESPEC,DATOS!$E14585,nASIG,DATOS!$I14585,nEVAL,"OR")=0))</f>
      </c>
      <c r="I14585">
        <f>IF(DATOS!$I14585="","",IFERROR(VLOOKUP(DATOS!$I14585,CONFIG_ASIGNATURAS!$B$2:$J$91,9,FALSE()),""))</f>
      </c>
    </row>
    <row r="14586">
      <c r="F14586">
        <f>IF(DATOS!$A14586="","",DATOS!$A14586&amp;"|"&amp;DATOS!$D14586&amp;"|"&amp;DATOS!$E14586&amp;"|"&amp;DATOS!$I14586)</f>
      </c>
      <c r="G14586">
        <f>IF(DATOS!$A14586="",0,IF(CONFIG_METADATA!$B$4&lt;&gt;"OR+EX",--(DATOS!$G14586=CONFIG_METADATA!$B$4),IF(DATOS!$G14586="EX",1,IF(DATOS!$G14586="OR",--(COUNTIFS(nNIA,DATOS!$A14586,nCURSO,DATOS!$D14586,nESPEC,DATOS!$E14586,nASIG,DATOS!$I14586,nEVAL,"EX")=0),0))))</f>
      </c>
      <c r="H14586">
        <f>IF(DATOS!$G14586&lt;&gt;"EX",0,--(COUNTIFS(nNIA,DATOS!$A14586,nCURSO,DATOS!$D14586,nESPEC,DATOS!$E14586,nASIG,DATOS!$I14586,nEVAL,"OR")=0))</f>
      </c>
      <c r="I14586">
        <f>IF(DATOS!$I14586="","",IFERROR(VLOOKUP(DATOS!$I14586,CONFIG_ASIGNATURAS!$B$2:$J$91,9,FALSE()),""))</f>
      </c>
    </row>
    <row r="14587">
      <c r="F14587">
        <f>IF(DATOS!$A14587="","",DATOS!$A14587&amp;"|"&amp;DATOS!$D14587&amp;"|"&amp;DATOS!$E14587&amp;"|"&amp;DATOS!$I14587)</f>
      </c>
      <c r="G14587">
        <f>IF(DATOS!$A14587="",0,IF(CONFIG_METADATA!$B$4&lt;&gt;"OR+EX",--(DATOS!$G14587=CONFIG_METADATA!$B$4),IF(DATOS!$G14587="EX",1,IF(DATOS!$G14587="OR",--(COUNTIFS(nNIA,DATOS!$A14587,nCURSO,DATOS!$D14587,nESPEC,DATOS!$E14587,nASIG,DATOS!$I14587,nEVAL,"EX")=0),0))))</f>
      </c>
      <c r="H14587">
        <f>IF(DATOS!$G14587&lt;&gt;"EX",0,--(COUNTIFS(nNIA,DATOS!$A14587,nCURSO,DATOS!$D14587,nESPEC,DATOS!$E14587,nASIG,DATOS!$I14587,nEVAL,"OR")=0))</f>
      </c>
      <c r="I14587">
        <f>IF(DATOS!$I14587="","",IFERROR(VLOOKUP(DATOS!$I14587,CONFIG_ASIGNATURAS!$B$2:$J$91,9,FALSE()),""))</f>
      </c>
    </row>
    <row r="14588">
      <c r="F14588">
        <f>IF(DATOS!$A14588="","",DATOS!$A14588&amp;"|"&amp;DATOS!$D14588&amp;"|"&amp;DATOS!$E14588&amp;"|"&amp;DATOS!$I14588)</f>
      </c>
      <c r="G14588">
        <f>IF(DATOS!$A14588="",0,IF(CONFIG_METADATA!$B$4&lt;&gt;"OR+EX",--(DATOS!$G14588=CONFIG_METADATA!$B$4),IF(DATOS!$G14588="EX",1,IF(DATOS!$G14588="OR",--(COUNTIFS(nNIA,DATOS!$A14588,nCURSO,DATOS!$D14588,nESPEC,DATOS!$E14588,nASIG,DATOS!$I14588,nEVAL,"EX")=0),0))))</f>
      </c>
      <c r="H14588">
        <f>IF(DATOS!$G14588&lt;&gt;"EX",0,--(COUNTIFS(nNIA,DATOS!$A14588,nCURSO,DATOS!$D14588,nESPEC,DATOS!$E14588,nASIG,DATOS!$I14588,nEVAL,"OR")=0))</f>
      </c>
      <c r="I14588">
        <f>IF(DATOS!$I14588="","",IFERROR(VLOOKUP(DATOS!$I14588,CONFIG_ASIGNATURAS!$B$2:$J$91,9,FALSE()),""))</f>
      </c>
    </row>
    <row r="14589">
      <c r="F14589">
        <f>IF(DATOS!$A14589="","",DATOS!$A14589&amp;"|"&amp;DATOS!$D14589&amp;"|"&amp;DATOS!$E14589&amp;"|"&amp;DATOS!$I14589)</f>
      </c>
      <c r="G14589">
        <f>IF(DATOS!$A14589="",0,IF(CONFIG_METADATA!$B$4&lt;&gt;"OR+EX",--(DATOS!$G14589=CONFIG_METADATA!$B$4),IF(DATOS!$G14589="EX",1,IF(DATOS!$G14589="OR",--(COUNTIFS(nNIA,DATOS!$A14589,nCURSO,DATOS!$D14589,nESPEC,DATOS!$E14589,nASIG,DATOS!$I14589,nEVAL,"EX")=0),0))))</f>
      </c>
      <c r="H14589">
        <f>IF(DATOS!$G14589&lt;&gt;"EX",0,--(COUNTIFS(nNIA,DATOS!$A14589,nCURSO,DATOS!$D14589,nESPEC,DATOS!$E14589,nASIG,DATOS!$I14589,nEVAL,"OR")=0))</f>
      </c>
      <c r="I14589">
        <f>IF(DATOS!$I14589="","",IFERROR(VLOOKUP(DATOS!$I14589,CONFIG_ASIGNATURAS!$B$2:$J$91,9,FALSE()),""))</f>
      </c>
    </row>
    <row r="14590">
      <c r="F14590">
        <f>IF(DATOS!$A14590="","",DATOS!$A14590&amp;"|"&amp;DATOS!$D14590&amp;"|"&amp;DATOS!$E14590&amp;"|"&amp;DATOS!$I14590)</f>
      </c>
      <c r="G14590">
        <f>IF(DATOS!$A14590="",0,IF(CONFIG_METADATA!$B$4&lt;&gt;"OR+EX",--(DATOS!$G14590=CONFIG_METADATA!$B$4),IF(DATOS!$G14590="EX",1,IF(DATOS!$G14590="OR",--(COUNTIFS(nNIA,DATOS!$A14590,nCURSO,DATOS!$D14590,nESPEC,DATOS!$E14590,nASIG,DATOS!$I14590,nEVAL,"EX")=0),0))))</f>
      </c>
      <c r="H14590">
        <f>IF(DATOS!$G14590&lt;&gt;"EX",0,--(COUNTIFS(nNIA,DATOS!$A14590,nCURSO,DATOS!$D14590,nESPEC,DATOS!$E14590,nASIG,DATOS!$I14590,nEVAL,"OR")=0))</f>
      </c>
      <c r="I14590">
        <f>IF(DATOS!$I14590="","",IFERROR(VLOOKUP(DATOS!$I14590,CONFIG_ASIGNATURAS!$B$2:$J$91,9,FALSE()),""))</f>
      </c>
    </row>
    <row r="14591">
      <c r="F14591">
        <f>IF(DATOS!$A14591="","",DATOS!$A14591&amp;"|"&amp;DATOS!$D14591&amp;"|"&amp;DATOS!$E14591&amp;"|"&amp;DATOS!$I14591)</f>
      </c>
      <c r="G14591">
        <f>IF(DATOS!$A14591="",0,IF(CONFIG_METADATA!$B$4&lt;&gt;"OR+EX",--(DATOS!$G14591=CONFIG_METADATA!$B$4),IF(DATOS!$G14591="EX",1,IF(DATOS!$G14591="OR",--(COUNTIFS(nNIA,DATOS!$A14591,nCURSO,DATOS!$D14591,nESPEC,DATOS!$E14591,nASIG,DATOS!$I14591,nEVAL,"EX")=0),0))))</f>
      </c>
      <c r="H14591">
        <f>IF(DATOS!$G14591&lt;&gt;"EX",0,--(COUNTIFS(nNIA,DATOS!$A14591,nCURSO,DATOS!$D14591,nESPEC,DATOS!$E14591,nASIG,DATOS!$I14591,nEVAL,"OR")=0))</f>
      </c>
      <c r="I14591">
        <f>IF(DATOS!$I14591="","",IFERROR(VLOOKUP(DATOS!$I14591,CONFIG_ASIGNATURAS!$B$2:$J$91,9,FALSE()),""))</f>
      </c>
    </row>
    <row r="14592">
      <c r="F14592">
        <f>IF(DATOS!$A14592="","",DATOS!$A14592&amp;"|"&amp;DATOS!$D14592&amp;"|"&amp;DATOS!$E14592&amp;"|"&amp;DATOS!$I14592)</f>
      </c>
      <c r="G14592">
        <f>IF(DATOS!$A14592="",0,IF(CONFIG_METADATA!$B$4&lt;&gt;"OR+EX",--(DATOS!$G14592=CONFIG_METADATA!$B$4),IF(DATOS!$G14592="EX",1,IF(DATOS!$G14592="OR",--(COUNTIFS(nNIA,DATOS!$A14592,nCURSO,DATOS!$D14592,nESPEC,DATOS!$E14592,nASIG,DATOS!$I14592,nEVAL,"EX")=0),0))))</f>
      </c>
      <c r="H14592">
        <f>IF(DATOS!$G14592&lt;&gt;"EX",0,--(COUNTIFS(nNIA,DATOS!$A14592,nCURSO,DATOS!$D14592,nESPEC,DATOS!$E14592,nASIG,DATOS!$I14592,nEVAL,"OR")=0))</f>
      </c>
      <c r="I14592">
        <f>IF(DATOS!$I14592="","",IFERROR(VLOOKUP(DATOS!$I14592,CONFIG_ASIGNATURAS!$B$2:$J$91,9,FALSE()),""))</f>
      </c>
    </row>
    <row r="14593">
      <c r="F14593">
        <f>IF(DATOS!$A14593="","",DATOS!$A14593&amp;"|"&amp;DATOS!$D14593&amp;"|"&amp;DATOS!$E14593&amp;"|"&amp;DATOS!$I14593)</f>
      </c>
      <c r="G14593">
        <f>IF(DATOS!$A14593="",0,IF(CONFIG_METADATA!$B$4&lt;&gt;"OR+EX",--(DATOS!$G14593=CONFIG_METADATA!$B$4),IF(DATOS!$G14593="EX",1,IF(DATOS!$G14593="OR",--(COUNTIFS(nNIA,DATOS!$A14593,nCURSO,DATOS!$D14593,nESPEC,DATOS!$E14593,nASIG,DATOS!$I14593,nEVAL,"EX")=0),0))))</f>
      </c>
      <c r="H14593">
        <f>IF(DATOS!$G14593&lt;&gt;"EX",0,--(COUNTIFS(nNIA,DATOS!$A14593,nCURSO,DATOS!$D14593,nESPEC,DATOS!$E14593,nASIG,DATOS!$I14593,nEVAL,"OR")=0))</f>
      </c>
      <c r="I14593">
        <f>IF(DATOS!$I14593="","",IFERROR(VLOOKUP(DATOS!$I14593,CONFIG_ASIGNATURAS!$B$2:$J$91,9,FALSE()),""))</f>
      </c>
    </row>
    <row r="14594">
      <c r="F14594">
        <f>IF(DATOS!$A14594="","",DATOS!$A14594&amp;"|"&amp;DATOS!$D14594&amp;"|"&amp;DATOS!$E14594&amp;"|"&amp;DATOS!$I14594)</f>
      </c>
      <c r="G14594">
        <f>IF(DATOS!$A14594="",0,IF(CONFIG_METADATA!$B$4&lt;&gt;"OR+EX",--(DATOS!$G14594=CONFIG_METADATA!$B$4),IF(DATOS!$G14594="EX",1,IF(DATOS!$G14594="OR",--(COUNTIFS(nNIA,DATOS!$A14594,nCURSO,DATOS!$D14594,nESPEC,DATOS!$E14594,nASIG,DATOS!$I14594,nEVAL,"EX")=0),0))))</f>
      </c>
      <c r="H14594">
        <f>IF(DATOS!$G14594&lt;&gt;"EX",0,--(COUNTIFS(nNIA,DATOS!$A14594,nCURSO,DATOS!$D14594,nESPEC,DATOS!$E14594,nASIG,DATOS!$I14594,nEVAL,"OR")=0))</f>
      </c>
      <c r="I14594">
        <f>IF(DATOS!$I14594="","",IFERROR(VLOOKUP(DATOS!$I14594,CONFIG_ASIGNATURAS!$B$2:$J$91,9,FALSE()),""))</f>
      </c>
    </row>
    <row r="14595">
      <c r="F14595">
        <f>IF(DATOS!$A14595="","",DATOS!$A14595&amp;"|"&amp;DATOS!$D14595&amp;"|"&amp;DATOS!$E14595&amp;"|"&amp;DATOS!$I14595)</f>
      </c>
      <c r="G14595">
        <f>IF(DATOS!$A14595="",0,IF(CONFIG_METADATA!$B$4&lt;&gt;"OR+EX",--(DATOS!$G14595=CONFIG_METADATA!$B$4),IF(DATOS!$G14595="EX",1,IF(DATOS!$G14595="OR",--(COUNTIFS(nNIA,DATOS!$A14595,nCURSO,DATOS!$D14595,nESPEC,DATOS!$E14595,nASIG,DATOS!$I14595,nEVAL,"EX")=0),0))))</f>
      </c>
      <c r="H14595">
        <f>IF(DATOS!$G14595&lt;&gt;"EX",0,--(COUNTIFS(nNIA,DATOS!$A14595,nCURSO,DATOS!$D14595,nESPEC,DATOS!$E14595,nASIG,DATOS!$I14595,nEVAL,"OR")=0))</f>
      </c>
      <c r="I14595">
        <f>IF(DATOS!$I14595="","",IFERROR(VLOOKUP(DATOS!$I14595,CONFIG_ASIGNATURAS!$B$2:$J$91,9,FALSE()),""))</f>
      </c>
    </row>
    <row r="14596">
      <c r="F14596">
        <f>IF(DATOS!$A14596="","",DATOS!$A14596&amp;"|"&amp;DATOS!$D14596&amp;"|"&amp;DATOS!$E14596&amp;"|"&amp;DATOS!$I14596)</f>
      </c>
      <c r="G14596">
        <f>IF(DATOS!$A14596="",0,IF(CONFIG_METADATA!$B$4&lt;&gt;"OR+EX",--(DATOS!$G14596=CONFIG_METADATA!$B$4),IF(DATOS!$G14596="EX",1,IF(DATOS!$G14596="OR",--(COUNTIFS(nNIA,DATOS!$A14596,nCURSO,DATOS!$D14596,nESPEC,DATOS!$E14596,nASIG,DATOS!$I14596,nEVAL,"EX")=0),0))))</f>
      </c>
      <c r="H14596">
        <f>IF(DATOS!$G14596&lt;&gt;"EX",0,--(COUNTIFS(nNIA,DATOS!$A14596,nCURSO,DATOS!$D14596,nESPEC,DATOS!$E14596,nASIG,DATOS!$I14596,nEVAL,"OR")=0))</f>
      </c>
      <c r="I14596">
        <f>IF(DATOS!$I14596="","",IFERROR(VLOOKUP(DATOS!$I14596,CONFIG_ASIGNATURAS!$B$2:$J$91,9,FALSE()),""))</f>
      </c>
    </row>
    <row r="14597">
      <c r="F14597">
        <f>IF(DATOS!$A14597="","",DATOS!$A14597&amp;"|"&amp;DATOS!$D14597&amp;"|"&amp;DATOS!$E14597&amp;"|"&amp;DATOS!$I14597)</f>
      </c>
      <c r="G14597">
        <f>IF(DATOS!$A14597="",0,IF(CONFIG_METADATA!$B$4&lt;&gt;"OR+EX",--(DATOS!$G14597=CONFIG_METADATA!$B$4),IF(DATOS!$G14597="EX",1,IF(DATOS!$G14597="OR",--(COUNTIFS(nNIA,DATOS!$A14597,nCURSO,DATOS!$D14597,nESPEC,DATOS!$E14597,nASIG,DATOS!$I14597,nEVAL,"EX")=0),0))))</f>
      </c>
      <c r="H14597">
        <f>IF(DATOS!$G14597&lt;&gt;"EX",0,--(COUNTIFS(nNIA,DATOS!$A14597,nCURSO,DATOS!$D14597,nESPEC,DATOS!$E14597,nASIG,DATOS!$I14597,nEVAL,"OR")=0))</f>
      </c>
      <c r="I14597">
        <f>IF(DATOS!$I14597="","",IFERROR(VLOOKUP(DATOS!$I14597,CONFIG_ASIGNATURAS!$B$2:$J$91,9,FALSE()),""))</f>
      </c>
    </row>
    <row r="14598">
      <c r="F14598">
        <f>IF(DATOS!$A14598="","",DATOS!$A14598&amp;"|"&amp;DATOS!$D14598&amp;"|"&amp;DATOS!$E14598&amp;"|"&amp;DATOS!$I14598)</f>
      </c>
      <c r="G14598">
        <f>IF(DATOS!$A14598="",0,IF(CONFIG_METADATA!$B$4&lt;&gt;"OR+EX",--(DATOS!$G14598=CONFIG_METADATA!$B$4),IF(DATOS!$G14598="EX",1,IF(DATOS!$G14598="OR",--(COUNTIFS(nNIA,DATOS!$A14598,nCURSO,DATOS!$D14598,nESPEC,DATOS!$E14598,nASIG,DATOS!$I14598,nEVAL,"EX")=0),0))))</f>
      </c>
      <c r="H14598">
        <f>IF(DATOS!$G14598&lt;&gt;"EX",0,--(COUNTIFS(nNIA,DATOS!$A14598,nCURSO,DATOS!$D14598,nESPEC,DATOS!$E14598,nASIG,DATOS!$I14598,nEVAL,"OR")=0))</f>
      </c>
      <c r="I14598">
        <f>IF(DATOS!$I14598="","",IFERROR(VLOOKUP(DATOS!$I14598,CONFIG_ASIGNATURAS!$B$2:$J$91,9,FALSE()),""))</f>
      </c>
    </row>
    <row r="14599">
      <c r="F14599">
        <f>IF(DATOS!$A14599="","",DATOS!$A14599&amp;"|"&amp;DATOS!$D14599&amp;"|"&amp;DATOS!$E14599&amp;"|"&amp;DATOS!$I14599)</f>
      </c>
      <c r="G14599">
        <f>IF(DATOS!$A14599="",0,IF(CONFIG_METADATA!$B$4&lt;&gt;"OR+EX",--(DATOS!$G14599=CONFIG_METADATA!$B$4),IF(DATOS!$G14599="EX",1,IF(DATOS!$G14599="OR",--(COUNTIFS(nNIA,DATOS!$A14599,nCURSO,DATOS!$D14599,nESPEC,DATOS!$E14599,nASIG,DATOS!$I14599,nEVAL,"EX")=0),0))))</f>
      </c>
      <c r="H14599">
        <f>IF(DATOS!$G14599&lt;&gt;"EX",0,--(COUNTIFS(nNIA,DATOS!$A14599,nCURSO,DATOS!$D14599,nESPEC,DATOS!$E14599,nASIG,DATOS!$I14599,nEVAL,"OR")=0))</f>
      </c>
      <c r="I14599">
        <f>IF(DATOS!$I14599="","",IFERROR(VLOOKUP(DATOS!$I14599,CONFIG_ASIGNATURAS!$B$2:$J$91,9,FALSE()),""))</f>
      </c>
    </row>
    <row r="14600">
      <c r="F14600">
        <f>IF(DATOS!$A14600="","",DATOS!$A14600&amp;"|"&amp;DATOS!$D14600&amp;"|"&amp;DATOS!$E14600&amp;"|"&amp;DATOS!$I14600)</f>
      </c>
      <c r="G14600">
        <f>IF(DATOS!$A14600="",0,IF(CONFIG_METADATA!$B$4&lt;&gt;"OR+EX",--(DATOS!$G14600=CONFIG_METADATA!$B$4),IF(DATOS!$G14600="EX",1,IF(DATOS!$G14600="OR",--(COUNTIFS(nNIA,DATOS!$A14600,nCURSO,DATOS!$D14600,nESPEC,DATOS!$E14600,nASIG,DATOS!$I14600,nEVAL,"EX")=0),0))))</f>
      </c>
      <c r="H14600">
        <f>IF(DATOS!$G14600&lt;&gt;"EX",0,--(COUNTIFS(nNIA,DATOS!$A14600,nCURSO,DATOS!$D14600,nESPEC,DATOS!$E14600,nASIG,DATOS!$I14600,nEVAL,"OR")=0))</f>
      </c>
      <c r="I14600">
        <f>IF(DATOS!$I14600="","",IFERROR(VLOOKUP(DATOS!$I14600,CONFIG_ASIGNATURAS!$B$2:$J$91,9,FALSE()),""))</f>
      </c>
    </row>
    <row r="14601">
      <c r="F14601">
        <f>IF(DATOS!$A14601="","",DATOS!$A14601&amp;"|"&amp;DATOS!$D14601&amp;"|"&amp;DATOS!$E14601&amp;"|"&amp;DATOS!$I14601)</f>
      </c>
      <c r="G14601">
        <f>IF(DATOS!$A14601="",0,IF(CONFIG_METADATA!$B$4&lt;&gt;"OR+EX",--(DATOS!$G14601=CONFIG_METADATA!$B$4),IF(DATOS!$G14601="EX",1,IF(DATOS!$G14601="OR",--(COUNTIFS(nNIA,DATOS!$A14601,nCURSO,DATOS!$D14601,nESPEC,DATOS!$E14601,nASIG,DATOS!$I14601,nEVAL,"EX")=0),0))))</f>
      </c>
      <c r="H14601">
        <f>IF(DATOS!$G14601&lt;&gt;"EX",0,--(COUNTIFS(nNIA,DATOS!$A14601,nCURSO,DATOS!$D14601,nESPEC,DATOS!$E14601,nASIG,DATOS!$I14601,nEVAL,"OR")=0))</f>
      </c>
      <c r="I14601">
        <f>IF(DATOS!$I14601="","",IFERROR(VLOOKUP(DATOS!$I14601,CONFIG_ASIGNATURAS!$B$2:$J$91,9,FALSE()),""))</f>
      </c>
    </row>
    <row r="14602">
      <c r="F14602">
        <f>IF(DATOS!$A14602="","",DATOS!$A14602&amp;"|"&amp;DATOS!$D14602&amp;"|"&amp;DATOS!$E14602&amp;"|"&amp;DATOS!$I14602)</f>
      </c>
      <c r="G14602">
        <f>IF(DATOS!$A14602="",0,IF(CONFIG_METADATA!$B$4&lt;&gt;"OR+EX",--(DATOS!$G14602=CONFIG_METADATA!$B$4),IF(DATOS!$G14602="EX",1,IF(DATOS!$G14602="OR",--(COUNTIFS(nNIA,DATOS!$A14602,nCURSO,DATOS!$D14602,nESPEC,DATOS!$E14602,nASIG,DATOS!$I14602,nEVAL,"EX")=0),0))))</f>
      </c>
      <c r="H14602">
        <f>IF(DATOS!$G14602&lt;&gt;"EX",0,--(COUNTIFS(nNIA,DATOS!$A14602,nCURSO,DATOS!$D14602,nESPEC,DATOS!$E14602,nASIG,DATOS!$I14602,nEVAL,"OR")=0))</f>
      </c>
      <c r="I14602">
        <f>IF(DATOS!$I14602="","",IFERROR(VLOOKUP(DATOS!$I14602,CONFIG_ASIGNATURAS!$B$2:$J$91,9,FALSE()),""))</f>
      </c>
    </row>
    <row r="14603">
      <c r="F14603">
        <f>IF(DATOS!$A14603="","",DATOS!$A14603&amp;"|"&amp;DATOS!$D14603&amp;"|"&amp;DATOS!$E14603&amp;"|"&amp;DATOS!$I14603)</f>
      </c>
      <c r="G14603">
        <f>IF(DATOS!$A14603="",0,IF(CONFIG_METADATA!$B$4&lt;&gt;"OR+EX",--(DATOS!$G14603=CONFIG_METADATA!$B$4),IF(DATOS!$G14603="EX",1,IF(DATOS!$G14603="OR",--(COUNTIFS(nNIA,DATOS!$A14603,nCURSO,DATOS!$D14603,nESPEC,DATOS!$E14603,nASIG,DATOS!$I14603,nEVAL,"EX")=0),0))))</f>
      </c>
      <c r="H14603">
        <f>IF(DATOS!$G14603&lt;&gt;"EX",0,--(COUNTIFS(nNIA,DATOS!$A14603,nCURSO,DATOS!$D14603,nESPEC,DATOS!$E14603,nASIG,DATOS!$I14603,nEVAL,"OR")=0))</f>
      </c>
      <c r="I14603">
        <f>IF(DATOS!$I14603="","",IFERROR(VLOOKUP(DATOS!$I14603,CONFIG_ASIGNATURAS!$B$2:$J$91,9,FALSE()),""))</f>
      </c>
    </row>
    <row r="14604">
      <c r="F14604">
        <f>IF(DATOS!$A14604="","",DATOS!$A14604&amp;"|"&amp;DATOS!$D14604&amp;"|"&amp;DATOS!$E14604&amp;"|"&amp;DATOS!$I14604)</f>
      </c>
      <c r="G14604">
        <f>IF(DATOS!$A14604="",0,IF(CONFIG_METADATA!$B$4&lt;&gt;"OR+EX",--(DATOS!$G14604=CONFIG_METADATA!$B$4),IF(DATOS!$G14604="EX",1,IF(DATOS!$G14604="OR",--(COUNTIFS(nNIA,DATOS!$A14604,nCURSO,DATOS!$D14604,nESPEC,DATOS!$E14604,nASIG,DATOS!$I14604,nEVAL,"EX")=0),0))))</f>
      </c>
      <c r="H14604">
        <f>IF(DATOS!$G14604&lt;&gt;"EX",0,--(COUNTIFS(nNIA,DATOS!$A14604,nCURSO,DATOS!$D14604,nESPEC,DATOS!$E14604,nASIG,DATOS!$I14604,nEVAL,"OR")=0))</f>
      </c>
      <c r="I14604">
        <f>IF(DATOS!$I14604="","",IFERROR(VLOOKUP(DATOS!$I14604,CONFIG_ASIGNATURAS!$B$2:$J$91,9,FALSE()),""))</f>
      </c>
    </row>
    <row r="14605">
      <c r="F14605">
        <f>IF(DATOS!$A14605="","",DATOS!$A14605&amp;"|"&amp;DATOS!$D14605&amp;"|"&amp;DATOS!$E14605&amp;"|"&amp;DATOS!$I14605)</f>
      </c>
      <c r="G14605">
        <f>IF(DATOS!$A14605="",0,IF(CONFIG_METADATA!$B$4&lt;&gt;"OR+EX",--(DATOS!$G14605=CONFIG_METADATA!$B$4),IF(DATOS!$G14605="EX",1,IF(DATOS!$G14605="OR",--(COUNTIFS(nNIA,DATOS!$A14605,nCURSO,DATOS!$D14605,nESPEC,DATOS!$E14605,nASIG,DATOS!$I14605,nEVAL,"EX")=0),0))))</f>
      </c>
      <c r="H14605">
        <f>IF(DATOS!$G14605&lt;&gt;"EX",0,--(COUNTIFS(nNIA,DATOS!$A14605,nCURSO,DATOS!$D14605,nESPEC,DATOS!$E14605,nASIG,DATOS!$I14605,nEVAL,"OR")=0))</f>
      </c>
      <c r="I14605">
        <f>IF(DATOS!$I14605="","",IFERROR(VLOOKUP(DATOS!$I14605,CONFIG_ASIGNATURAS!$B$2:$J$91,9,FALSE()),""))</f>
      </c>
    </row>
    <row r="14606">
      <c r="F14606">
        <f>IF(DATOS!$A14606="","",DATOS!$A14606&amp;"|"&amp;DATOS!$D14606&amp;"|"&amp;DATOS!$E14606&amp;"|"&amp;DATOS!$I14606)</f>
      </c>
      <c r="G14606">
        <f>IF(DATOS!$A14606="",0,IF(CONFIG_METADATA!$B$4&lt;&gt;"OR+EX",--(DATOS!$G14606=CONFIG_METADATA!$B$4),IF(DATOS!$G14606="EX",1,IF(DATOS!$G14606="OR",--(COUNTIFS(nNIA,DATOS!$A14606,nCURSO,DATOS!$D14606,nESPEC,DATOS!$E14606,nASIG,DATOS!$I14606,nEVAL,"EX")=0),0))))</f>
      </c>
      <c r="H14606">
        <f>IF(DATOS!$G14606&lt;&gt;"EX",0,--(COUNTIFS(nNIA,DATOS!$A14606,nCURSO,DATOS!$D14606,nESPEC,DATOS!$E14606,nASIG,DATOS!$I14606,nEVAL,"OR")=0))</f>
      </c>
      <c r="I14606">
        <f>IF(DATOS!$I14606="","",IFERROR(VLOOKUP(DATOS!$I14606,CONFIG_ASIGNATURAS!$B$2:$J$91,9,FALSE()),""))</f>
      </c>
    </row>
    <row r="14607">
      <c r="F14607">
        <f>IF(DATOS!$A14607="","",DATOS!$A14607&amp;"|"&amp;DATOS!$D14607&amp;"|"&amp;DATOS!$E14607&amp;"|"&amp;DATOS!$I14607)</f>
      </c>
      <c r="G14607">
        <f>IF(DATOS!$A14607="",0,IF(CONFIG_METADATA!$B$4&lt;&gt;"OR+EX",--(DATOS!$G14607=CONFIG_METADATA!$B$4),IF(DATOS!$G14607="EX",1,IF(DATOS!$G14607="OR",--(COUNTIFS(nNIA,DATOS!$A14607,nCURSO,DATOS!$D14607,nESPEC,DATOS!$E14607,nASIG,DATOS!$I14607,nEVAL,"EX")=0),0))))</f>
      </c>
      <c r="H14607">
        <f>IF(DATOS!$G14607&lt;&gt;"EX",0,--(COUNTIFS(nNIA,DATOS!$A14607,nCURSO,DATOS!$D14607,nESPEC,DATOS!$E14607,nASIG,DATOS!$I14607,nEVAL,"OR")=0))</f>
      </c>
      <c r="I14607">
        <f>IF(DATOS!$I14607="","",IFERROR(VLOOKUP(DATOS!$I14607,CONFIG_ASIGNATURAS!$B$2:$J$91,9,FALSE()),""))</f>
      </c>
    </row>
    <row r="14608">
      <c r="F14608">
        <f>IF(DATOS!$A14608="","",DATOS!$A14608&amp;"|"&amp;DATOS!$D14608&amp;"|"&amp;DATOS!$E14608&amp;"|"&amp;DATOS!$I14608)</f>
      </c>
      <c r="G14608">
        <f>IF(DATOS!$A14608="",0,IF(CONFIG_METADATA!$B$4&lt;&gt;"OR+EX",--(DATOS!$G14608=CONFIG_METADATA!$B$4),IF(DATOS!$G14608="EX",1,IF(DATOS!$G14608="OR",--(COUNTIFS(nNIA,DATOS!$A14608,nCURSO,DATOS!$D14608,nESPEC,DATOS!$E14608,nASIG,DATOS!$I14608,nEVAL,"EX")=0),0))))</f>
      </c>
      <c r="H14608">
        <f>IF(DATOS!$G14608&lt;&gt;"EX",0,--(COUNTIFS(nNIA,DATOS!$A14608,nCURSO,DATOS!$D14608,nESPEC,DATOS!$E14608,nASIG,DATOS!$I14608,nEVAL,"OR")=0))</f>
      </c>
      <c r="I14608">
        <f>IF(DATOS!$I14608="","",IFERROR(VLOOKUP(DATOS!$I14608,CONFIG_ASIGNATURAS!$B$2:$J$91,9,FALSE()),""))</f>
      </c>
    </row>
    <row r="14609">
      <c r="F14609">
        <f>IF(DATOS!$A14609="","",DATOS!$A14609&amp;"|"&amp;DATOS!$D14609&amp;"|"&amp;DATOS!$E14609&amp;"|"&amp;DATOS!$I14609)</f>
      </c>
      <c r="G14609">
        <f>IF(DATOS!$A14609="",0,IF(CONFIG_METADATA!$B$4&lt;&gt;"OR+EX",--(DATOS!$G14609=CONFIG_METADATA!$B$4),IF(DATOS!$G14609="EX",1,IF(DATOS!$G14609="OR",--(COUNTIFS(nNIA,DATOS!$A14609,nCURSO,DATOS!$D14609,nESPEC,DATOS!$E14609,nASIG,DATOS!$I14609,nEVAL,"EX")=0),0))))</f>
      </c>
      <c r="H14609">
        <f>IF(DATOS!$G14609&lt;&gt;"EX",0,--(COUNTIFS(nNIA,DATOS!$A14609,nCURSO,DATOS!$D14609,nESPEC,DATOS!$E14609,nASIG,DATOS!$I14609,nEVAL,"OR")=0))</f>
      </c>
      <c r="I14609">
        <f>IF(DATOS!$I14609="","",IFERROR(VLOOKUP(DATOS!$I14609,CONFIG_ASIGNATURAS!$B$2:$J$91,9,FALSE()),""))</f>
      </c>
    </row>
    <row r="14610">
      <c r="F14610">
        <f>IF(DATOS!$A14610="","",DATOS!$A14610&amp;"|"&amp;DATOS!$D14610&amp;"|"&amp;DATOS!$E14610&amp;"|"&amp;DATOS!$I14610)</f>
      </c>
      <c r="G14610">
        <f>IF(DATOS!$A14610="",0,IF(CONFIG_METADATA!$B$4&lt;&gt;"OR+EX",--(DATOS!$G14610=CONFIG_METADATA!$B$4),IF(DATOS!$G14610="EX",1,IF(DATOS!$G14610="OR",--(COUNTIFS(nNIA,DATOS!$A14610,nCURSO,DATOS!$D14610,nESPEC,DATOS!$E14610,nASIG,DATOS!$I14610,nEVAL,"EX")=0),0))))</f>
      </c>
      <c r="H14610">
        <f>IF(DATOS!$G14610&lt;&gt;"EX",0,--(COUNTIFS(nNIA,DATOS!$A14610,nCURSO,DATOS!$D14610,nESPEC,DATOS!$E14610,nASIG,DATOS!$I14610,nEVAL,"OR")=0))</f>
      </c>
      <c r="I14610">
        <f>IF(DATOS!$I14610="","",IFERROR(VLOOKUP(DATOS!$I14610,CONFIG_ASIGNATURAS!$B$2:$J$91,9,FALSE()),""))</f>
      </c>
    </row>
    <row r="14611">
      <c r="F14611">
        <f>IF(DATOS!$A14611="","",DATOS!$A14611&amp;"|"&amp;DATOS!$D14611&amp;"|"&amp;DATOS!$E14611&amp;"|"&amp;DATOS!$I14611)</f>
      </c>
      <c r="G14611">
        <f>IF(DATOS!$A14611="",0,IF(CONFIG_METADATA!$B$4&lt;&gt;"OR+EX",--(DATOS!$G14611=CONFIG_METADATA!$B$4),IF(DATOS!$G14611="EX",1,IF(DATOS!$G14611="OR",--(COUNTIFS(nNIA,DATOS!$A14611,nCURSO,DATOS!$D14611,nESPEC,DATOS!$E14611,nASIG,DATOS!$I14611,nEVAL,"EX")=0),0))))</f>
      </c>
      <c r="H14611">
        <f>IF(DATOS!$G14611&lt;&gt;"EX",0,--(COUNTIFS(nNIA,DATOS!$A14611,nCURSO,DATOS!$D14611,nESPEC,DATOS!$E14611,nASIG,DATOS!$I14611,nEVAL,"OR")=0))</f>
      </c>
      <c r="I14611">
        <f>IF(DATOS!$I14611="","",IFERROR(VLOOKUP(DATOS!$I14611,CONFIG_ASIGNATURAS!$B$2:$J$91,9,FALSE()),""))</f>
      </c>
    </row>
    <row r="14612">
      <c r="F14612">
        <f>IF(DATOS!$A14612="","",DATOS!$A14612&amp;"|"&amp;DATOS!$D14612&amp;"|"&amp;DATOS!$E14612&amp;"|"&amp;DATOS!$I14612)</f>
      </c>
      <c r="G14612">
        <f>IF(DATOS!$A14612="",0,IF(CONFIG_METADATA!$B$4&lt;&gt;"OR+EX",--(DATOS!$G14612=CONFIG_METADATA!$B$4),IF(DATOS!$G14612="EX",1,IF(DATOS!$G14612="OR",--(COUNTIFS(nNIA,DATOS!$A14612,nCURSO,DATOS!$D14612,nESPEC,DATOS!$E14612,nASIG,DATOS!$I14612,nEVAL,"EX")=0),0))))</f>
      </c>
      <c r="H14612">
        <f>IF(DATOS!$G14612&lt;&gt;"EX",0,--(COUNTIFS(nNIA,DATOS!$A14612,nCURSO,DATOS!$D14612,nESPEC,DATOS!$E14612,nASIG,DATOS!$I14612,nEVAL,"OR")=0))</f>
      </c>
      <c r="I14612">
        <f>IF(DATOS!$I14612="","",IFERROR(VLOOKUP(DATOS!$I14612,CONFIG_ASIGNATURAS!$B$2:$J$91,9,FALSE()),""))</f>
      </c>
    </row>
    <row r="14613">
      <c r="F14613">
        <f>IF(DATOS!$A14613="","",DATOS!$A14613&amp;"|"&amp;DATOS!$D14613&amp;"|"&amp;DATOS!$E14613&amp;"|"&amp;DATOS!$I14613)</f>
      </c>
      <c r="G14613">
        <f>IF(DATOS!$A14613="",0,IF(CONFIG_METADATA!$B$4&lt;&gt;"OR+EX",--(DATOS!$G14613=CONFIG_METADATA!$B$4),IF(DATOS!$G14613="EX",1,IF(DATOS!$G14613="OR",--(COUNTIFS(nNIA,DATOS!$A14613,nCURSO,DATOS!$D14613,nESPEC,DATOS!$E14613,nASIG,DATOS!$I14613,nEVAL,"EX")=0),0))))</f>
      </c>
      <c r="H14613">
        <f>IF(DATOS!$G14613&lt;&gt;"EX",0,--(COUNTIFS(nNIA,DATOS!$A14613,nCURSO,DATOS!$D14613,nESPEC,DATOS!$E14613,nASIG,DATOS!$I14613,nEVAL,"OR")=0))</f>
      </c>
      <c r="I14613">
        <f>IF(DATOS!$I14613="","",IFERROR(VLOOKUP(DATOS!$I14613,CONFIG_ASIGNATURAS!$B$2:$J$91,9,FALSE()),""))</f>
      </c>
    </row>
    <row r="14614">
      <c r="F14614">
        <f>IF(DATOS!$A14614="","",DATOS!$A14614&amp;"|"&amp;DATOS!$D14614&amp;"|"&amp;DATOS!$E14614&amp;"|"&amp;DATOS!$I14614)</f>
      </c>
      <c r="G14614">
        <f>IF(DATOS!$A14614="",0,IF(CONFIG_METADATA!$B$4&lt;&gt;"OR+EX",--(DATOS!$G14614=CONFIG_METADATA!$B$4),IF(DATOS!$G14614="EX",1,IF(DATOS!$G14614="OR",--(COUNTIFS(nNIA,DATOS!$A14614,nCURSO,DATOS!$D14614,nESPEC,DATOS!$E14614,nASIG,DATOS!$I14614,nEVAL,"EX")=0),0))))</f>
      </c>
      <c r="H14614">
        <f>IF(DATOS!$G14614&lt;&gt;"EX",0,--(COUNTIFS(nNIA,DATOS!$A14614,nCURSO,DATOS!$D14614,nESPEC,DATOS!$E14614,nASIG,DATOS!$I14614,nEVAL,"OR")=0))</f>
      </c>
      <c r="I14614">
        <f>IF(DATOS!$I14614="","",IFERROR(VLOOKUP(DATOS!$I14614,CONFIG_ASIGNATURAS!$B$2:$J$91,9,FALSE()),""))</f>
      </c>
    </row>
    <row r="14615">
      <c r="F14615">
        <f>IF(DATOS!$A14615="","",DATOS!$A14615&amp;"|"&amp;DATOS!$D14615&amp;"|"&amp;DATOS!$E14615&amp;"|"&amp;DATOS!$I14615)</f>
      </c>
      <c r="G14615">
        <f>IF(DATOS!$A14615="",0,IF(CONFIG_METADATA!$B$4&lt;&gt;"OR+EX",--(DATOS!$G14615=CONFIG_METADATA!$B$4),IF(DATOS!$G14615="EX",1,IF(DATOS!$G14615="OR",--(COUNTIFS(nNIA,DATOS!$A14615,nCURSO,DATOS!$D14615,nESPEC,DATOS!$E14615,nASIG,DATOS!$I14615,nEVAL,"EX")=0),0))))</f>
      </c>
      <c r="H14615">
        <f>IF(DATOS!$G14615&lt;&gt;"EX",0,--(COUNTIFS(nNIA,DATOS!$A14615,nCURSO,DATOS!$D14615,nESPEC,DATOS!$E14615,nASIG,DATOS!$I14615,nEVAL,"OR")=0))</f>
      </c>
      <c r="I14615">
        <f>IF(DATOS!$I14615="","",IFERROR(VLOOKUP(DATOS!$I14615,CONFIG_ASIGNATURAS!$B$2:$J$91,9,FALSE()),""))</f>
      </c>
    </row>
    <row r="14616">
      <c r="F14616">
        <f>IF(DATOS!$A14616="","",DATOS!$A14616&amp;"|"&amp;DATOS!$D14616&amp;"|"&amp;DATOS!$E14616&amp;"|"&amp;DATOS!$I14616)</f>
      </c>
      <c r="G14616">
        <f>IF(DATOS!$A14616="",0,IF(CONFIG_METADATA!$B$4&lt;&gt;"OR+EX",--(DATOS!$G14616=CONFIG_METADATA!$B$4),IF(DATOS!$G14616="EX",1,IF(DATOS!$G14616="OR",--(COUNTIFS(nNIA,DATOS!$A14616,nCURSO,DATOS!$D14616,nESPEC,DATOS!$E14616,nASIG,DATOS!$I14616,nEVAL,"EX")=0),0))))</f>
      </c>
      <c r="H14616">
        <f>IF(DATOS!$G14616&lt;&gt;"EX",0,--(COUNTIFS(nNIA,DATOS!$A14616,nCURSO,DATOS!$D14616,nESPEC,DATOS!$E14616,nASIG,DATOS!$I14616,nEVAL,"OR")=0))</f>
      </c>
      <c r="I14616">
        <f>IF(DATOS!$I14616="","",IFERROR(VLOOKUP(DATOS!$I14616,CONFIG_ASIGNATURAS!$B$2:$J$91,9,FALSE()),""))</f>
      </c>
    </row>
    <row r="14617">
      <c r="F14617">
        <f>IF(DATOS!$A14617="","",DATOS!$A14617&amp;"|"&amp;DATOS!$D14617&amp;"|"&amp;DATOS!$E14617&amp;"|"&amp;DATOS!$I14617)</f>
      </c>
      <c r="G14617">
        <f>IF(DATOS!$A14617="",0,IF(CONFIG_METADATA!$B$4&lt;&gt;"OR+EX",--(DATOS!$G14617=CONFIG_METADATA!$B$4),IF(DATOS!$G14617="EX",1,IF(DATOS!$G14617="OR",--(COUNTIFS(nNIA,DATOS!$A14617,nCURSO,DATOS!$D14617,nESPEC,DATOS!$E14617,nASIG,DATOS!$I14617,nEVAL,"EX")=0),0))))</f>
      </c>
      <c r="H14617">
        <f>IF(DATOS!$G14617&lt;&gt;"EX",0,--(COUNTIFS(nNIA,DATOS!$A14617,nCURSO,DATOS!$D14617,nESPEC,DATOS!$E14617,nASIG,DATOS!$I14617,nEVAL,"OR")=0))</f>
      </c>
      <c r="I14617">
        <f>IF(DATOS!$I14617="","",IFERROR(VLOOKUP(DATOS!$I14617,CONFIG_ASIGNATURAS!$B$2:$J$91,9,FALSE()),""))</f>
      </c>
    </row>
    <row r="14618">
      <c r="F14618">
        <f>IF(DATOS!$A14618="","",DATOS!$A14618&amp;"|"&amp;DATOS!$D14618&amp;"|"&amp;DATOS!$E14618&amp;"|"&amp;DATOS!$I14618)</f>
      </c>
      <c r="G14618">
        <f>IF(DATOS!$A14618="",0,IF(CONFIG_METADATA!$B$4&lt;&gt;"OR+EX",--(DATOS!$G14618=CONFIG_METADATA!$B$4),IF(DATOS!$G14618="EX",1,IF(DATOS!$G14618="OR",--(COUNTIFS(nNIA,DATOS!$A14618,nCURSO,DATOS!$D14618,nESPEC,DATOS!$E14618,nASIG,DATOS!$I14618,nEVAL,"EX")=0),0))))</f>
      </c>
      <c r="H14618">
        <f>IF(DATOS!$G14618&lt;&gt;"EX",0,--(COUNTIFS(nNIA,DATOS!$A14618,nCURSO,DATOS!$D14618,nESPEC,DATOS!$E14618,nASIG,DATOS!$I14618,nEVAL,"OR")=0))</f>
      </c>
      <c r="I14618">
        <f>IF(DATOS!$I14618="","",IFERROR(VLOOKUP(DATOS!$I14618,CONFIG_ASIGNATURAS!$B$2:$J$91,9,FALSE()),""))</f>
      </c>
    </row>
    <row r="14619">
      <c r="F14619">
        <f>IF(DATOS!$A14619="","",DATOS!$A14619&amp;"|"&amp;DATOS!$D14619&amp;"|"&amp;DATOS!$E14619&amp;"|"&amp;DATOS!$I14619)</f>
      </c>
      <c r="G14619">
        <f>IF(DATOS!$A14619="",0,IF(CONFIG_METADATA!$B$4&lt;&gt;"OR+EX",--(DATOS!$G14619=CONFIG_METADATA!$B$4),IF(DATOS!$G14619="EX",1,IF(DATOS!$G14619="OR",--(COUNTIFS(nNIA,DATOS!$A14619,nCURSO,DATOS!$D14619,nESPEC,DATOS!$E14619,nASIG,DATOS!$I14619,nEVAL,"EX")=0),0))))</f>
      </c>
      <c r="H14619">
        <f>IF(DATOS!$G14619&lt;&gt;"EX",0,--(COUNTIFS(nNIA,DATOS!$A14619,nCURSO,DATOS!$D14619,nESPEC,DATOS!$E14619,nASIG,DATOS!$I14619,nEVAL,"OR")=0))</f>
      </c>
      <c r="I14619">
        <f>IF(DATOS!$I14619="","",IFERROR(VLOOKUP(DATOS!$I14619,CONFIG_ASIGNATURAS!$B$2:$J$91,9,FALSE()),""))</f>
      </c>
    </row>
    <row r="14620">
      <c r="F14620">
        <f>IF(DATOS!$A14620="","",DATOS!$A14620&amp;"|"&amp;DATOS!$D14620&amp;"|"&amp;DATOS!$E14620&amp;"|"&amp;DATOS!$I14620)</f>
      </c>
      <c r="G14620">
        <f>IF(DATOS!$A14620="",0,IF(CONFIG_METADATA!$B$4&lt;&gt;"OR+EX",--(DATOS!$G14620=CONFIG_METADATA!$B$4),IF(DATOS!$G14620="EX",1,IF(DATOS!$G14620="OR",--(COUNTIFS(nNIA,DATOS!$A14620,nCURSO,DATOS!$D14620,nESPEC,DATOS!$E14620,nASIG,DATOS!$I14620,nEVAL,"EX")=0),0))))</f>
      </c>
      <c r="H14620">
        <f>IF(DATOS!$G14620&lt;&gt;"EX",0,--(COUNTIFS(nNIA,DATOS!$A14620,nCURSO,DATOS!$D14620,nESPEC,DATOS!$E14620,nASIG,DATOS!$I14620,nEVAL,"OR")=0))</f>
      </c>
      <c r="I14620">
        <f>IF(DATOS!$I14620="","",IFERROR(VLOOKUP(DATOS!$I14620,CONFIG_ASIGNATURAS!$B$2:$J$91,9,FALSE()),""))</f>
      </c>
    </row>
    <row r="14621">
      <c r="F14621">
        <f>IF(DATOS!$A14621="","",DATOS!$A14621&amp;"|"&amp;DATOS!$D14621&amp;"|"&amp;DATOS!$E14621&amp;"|"&amp;DATOS!$I14621)</f>
      </c>
      <c r="G14621">
        <f>IF(DATOS!$A14621="",0,IF(CONFIG_METADATA!$B$4&lt;&gt;"OR+EX",--(DATOS!$G14621=CONFIG_METADATA!$B$4),IF(DATOS!$G14621="EX",1,IF(DATOS!$G14621="OR",--(COUNTIFS(nNIA,DATOS!$A14621,nCURSO,DATOS!$D14621,nESPEC,DATOS!$E14621,nASIG,DATOS!$I14621,nEVAL,"EX")=0),0))))</f>
      </c>
      <c r="H14621">
        <f>IF(DATOS!$G14621&lt;&gt;"EX",0,--(COUNTIFS(nNIA,DATOS!$A14621,nCURSO,DATOS!$D14621,nESPEC,DATOS!$E14621,nASIG,DATOS!$I14621,nEVAL,"OR")=0))</f>
      </c>
      <c r="I14621">
        <f>IF(DATOS!$I14621="","",IFERROR(VLOOKUP(DATOS!$I14621,CONFIG_ASIGNATURAS!$B$2:$J$91,9,FALSE()),""))</f>
      </c>
    </row>
    <row r="14622">
      <c r="F14622">
        <f>IF(DATOS!$A14622="","",DATOS!$A14622&amp;"|"&amp;DATOS!$D14622&amp;"|"&amp;DATOS!$E14622&amp;"|"&amp;DATOS!$I14622)</f>
      </c>
      <c r="G14622">
        <f>IF(DATOS!$A14622="",0,IF(CONFIG_METADATA!$B$4&lt;&gt;"OR+EX",--(DATOS!$G14622=CONFIG_METADATA!$B$4),IF(DATOS!$G14622="EX",1,IF(DATOS!$G14622="OR",--(COUNTIFS(nNIA,DATOS!$A14622,nCURSO,DATOS!$D14622,nESPEC,DATOS!$E14622,nASIG,DATOS!$I14622,nEVAL,"EX")=0),0))))</f>
      </c>
      <c r="H14622">
        <f>IF(DATOS!$G14622&lt;&gt;"EX",0,--(COUNTIFS(nNIA,DATOS!$A14622,nCURSO,DATOS!$D14622,nESPEC,DATOS!$E14622,nASIG,DATOS!$I14622,nEVAL,"OR")=0))</f>
      </c>
      <c r="I14622">
        <f>IF(DATOS!$I14622="","",IFERROR(VLOOKUP(DATOS!$I14622,CONFIG_ASIGNATURAS!$B$2:$J$91,9,FALSE()),""))</f>
      </c>
    </row>
    <row r="14623">
      <c r="F14623">
        <f>IF(DATOS!$A14623="","",DATOS!$A14623&amp;"|"&amp;DATOS!$D14623&amp;"|"&amp;DATOS!$E14623&amp;"|"&amp;DATOS!$I14623)</f>
      </c>
      <c r="G14623">
        <f>IF(DATOS!$A14623="",0,IF(CONFIG_METADATA!$B$4&lt;&gt;"OR+EX",--(DATOS!$G14623=CONFIG_METADATA!$B$4),IF(DATOS!$G14623="EX",1,IF(DATOS!$G14623="OR",--(COUNTIFS(nNIA,DATOS!$A14623,nCURSO,DATOS!$D14623,nESPEC,DATOS!$E14623,nASIG,DATOS!$I14623,nEVAL,"EX")=0),0))))</f>
      </c>
      <c r="H14623">
        <f>IF(DATOS!$G14623&lt;&gt;"EX",0,--(COUNTIFS(nNIA,DATOS!$A14623,nCURSO,DATOS!$D14623,nESPEC,DATOS!$E14623,nASIG,DATOS!$I14623,nEVAL,"OR")=0))</f>
      </c>
      <c r="I14623">
        <f>IF(DATOS!$I14623="","",IFERROR(VLOOKUP(DATOS!$I14623,CONFIG_ASIGNATURAS!$B$2:$J$91,9,FALSE()),""))</f>
      </c>
    </row>
    <row r="14624">
      <c r="F14624">
        <f>IF(DATOS!$A14624="","",DATOS!$A14624&amp;"|"&amp;DATOS!$D14624&amp;"|"&amp;DATOS!$E14624&amp;"|"&amp;DATOS!$I14624)</f>
      </c>
      <c r="G14624">
        <f>IF(DATOS!$A14624="",0,IF(CONFIG_METADATA!$B$4&lt;&gt;"OR+EX",--(DATOS!$G14624=CONFIG_METADATA!$B$4),IF(DATOS!$G14624="EX",1,IF(DATOS!$G14624="OR",--(COUNTIFS(nNIA,DATOS!$A14624,nCURSO,DATOS!$D14624,nESPEC,DATOS!$E14624,nASIG,DATOS!$I14624,nEVAL,"EX")=0),0))))</f>
      </c>
      <c r="H14624">
        <f>IF(DATOS!$G14624&lt;&gt;"EX",0,--(COUNTIFS(nNIA,DATOS!$A14624,nCURSO,DATOS!$D14624,nESPEC,DATOS!$E14624,nASIG,DATOS!$I14624,nEVAL,"OR")=0))</f>
      </c>
      <c r="I14624">
        <f>IF(DATOS!$I14624="","",IFERROR(VLOOKUP(DATOS!$I14624,CONFIG_ASIGNATURAS!$B$2:$J$91,9,FALSE()),""))</f>
      </c>
    </row>
    <row r="14625">
      <c r="F14625">
        <f>IF(DATOS!$A14625="","",DATOS!$A14625&amp;"|"&amp;DATOS!$D14625&amp;"|"&amp;DATOS!$E14625&amp;"|"&amp;DATOS!$I14625)</f>
      </c>
      <c r="G14625">
        <f>IF(DATOS!$A14625="",0,IF(CONFIG_METADATA!$B$4&lt;&gt;"OR+EX",--(DATOS!$G14625=CONFIG_METADATA!$B$4),IF(DATOS!$G14625="EX",1,IF(DATOS!$G14625="OR",--(COUNTIFS(nNIA,DATOS!$A14625,nCURSO,DATOS!$D14625,nESPEC,DATOS!$E14625,nASIG,DATOS!$I14625,nEVAL,"EX")=0),0))))</f>
      </c>
      <c r="H14625">
        <f>IF(DATOS!$G14625&lt;&gt;"EX",0,--(COUNTIFS(nNIA,DATOS!$A14625,nCURSO,DATOS!$D14625,nESPEC,DATOS!$E14625,nASIG,DATOS!$I14625,nEVAL,"OR")=0))</f>
      </c>
      <c r="I14625">
        <f>IF(DATOS!$I14625="","",IFERROR(VLOOKUP(DATOS!$I14625,CONFIG_ASIGNATURAS!$B$2:$J$91,9,FALSE()),""))</f>
      </c>
    </row>
    <row r="14626">
      <c r="F14626">
        <f>IF(DATOS!$A14626="","",DATOS!$A14626&amp;"|"&amp;DATOS!$D14626&amp;"|"&amp;DATOS!$E14626&amp;"|"&amp;DATOS!$I14626)</f>
      </c>
      <c r="G14626">
        <f>IF(DATOS!$A14626="",0,IF(CONFIG_METADATA!$B$4&lt;&gt;"OR+EX",--(DATOS!$G14626=CONFIG_METADATA!$B$4),IF(DATOS!$G14626="EX",1,IF(DATOS!$G14626="OR",--(COUNTIFS(nNIA,DATOS!$A14626,nCURSO,DATOS!$D14626,nESPEC,DATOS!$E14626,nASIG,DATOS!$I14626,nEVAL,"EX")=0),0))))</f>
      </c>
      <c r="H14626">
        <f>IF(DATOS!$G14626&lt;&gt;"EX",0,--(COUNTIFS(nNIA,DATOS!$A14626,nCURSO,DATOS!$D14626,nESPEC,DATOS!$E14626,nASIG,DATOS!$I14626,nEVAL,"OR")=0))</f>
      </c>
      <c r="I14626">
        <f>IF(DATOS!$I14626="","",IFERROR(VLOOKUP(DATOS!$I14626,CONFIG_ASIGNATURAS!$B$2:$J$91,9,FALSE()),""))</f>
      </c>
    </row>
    <row r="14627">
      <c r="F14627">
        <f>IF(DATOS!$A14627="","",DATOS!$A14627&amp;"|"&amp;DATOS!$D14627&amp;"|"&amp;DATOS!$E14627&amp;"|"&amp;DATOS!$I14627)</f>
      </c>
      <c r="G14627">
        <f>IF(DATOS!$A14627="",0,IF(CONFIG_METADATA!$B$4&lt;&gt;"OR+EX",--(DATOS!$G14627=CONFIG_METADATA!$B$4),IF(DATOS!$G14627="EX",1,IF(DATOS!$G14627="OR",--(COUNTIFS(nNIA,DATOS!$A14627,nCURSO,DATOS!$D14627,nESPEC,DATOS!$E14627,nASIG,DATOS!$I14627,nEVAL,"EX")=0),0))))</f>
      </c>
      <c r="H14627">
        <f>IF(DATOS!$G14627&lt;&gt;"EX",0,--(COUNTIFS(nNIA,DATOS!$A14627,nCURSO,DATOS!$D14627,nESPEC,DATOS!$E14627,nASIG,DATOS!$I14627,nEVAL,"OR")=0))</f>
      </c>
      <c r="I14627">
        <f>IF(DATOS!$I14627="","",IFERROR(VLOOKUP(DATOS!$I14627,CONFIG_ASIGNATURAS!$B$2:$J$91,9,FALSE()),""))</f>
      </c>
    </row>
    <row r="14628">
      <c r="F14628">
        <f>IF(DATOS!$A14628="","",DATOS!$A14628&amp;"|"&amp;DATOS!$D14628&amp;"|"&amp;DATOS!$E14628&amp;"|"&amp;DATOS!$I14628)</f>
      </c>
      <c r="G14628">
        <f>IF(DATOS!$A14628="",0,IF(CONFIG_METADATA!$B$4&lt;&gt;"OR+EX",--(DATOS!$G14628=CONFIG_METADATA!$B$4),IF(DATOS!$G14628="EX",1,IF(DATOS!$G14628="OR",--(COUNTIFS(nNIA,DATOS!$A14628,nCURSO,DATOS!$D14628,nESPEC,DATOS!$E14628,nASIG,DATOS!$I14628,nEVAL,"EX")=0),0))))</f>
      </c>
      <c r="H14628">
        <f>IF(DATOS!$G14628&lt;&gt;"EX",0,--(COUNTIFS(nNIA,DATOS!$A14628,nCURSO,DATOS!$D14628,nESPEC,DATOS!$E14628,nASIG,DATOS!$I14628,nEVAL,"OR")=0))</f>
      </c>
      <c r="I14628">
        <f>IF(DATOS!$I14628="","",IFERROR(VLOOKUP(DATOS!$I14628,CONFIG_ASIGNATURAS!$B$2:$J$91,9,FALSE()),""))</f>
      </c>
    </row>
    <row r="14629">
      <c r="F14629">
        <f>IF(DATOS!$A14629="","",DATOS!$A14629&amp;"|"&amp;DATOS!$D14629&amp;"|"&amp;DATOS!$E14629&amp;"|"&amp;DATOS!$I14629)</f>
      </c>
      <c r="G14629">
        <f>IF(DATOS!$A14629="",0,IF(CONFIG_METADATA!$B$4&lt;&gt;"OR+EX",--(DATOS!$G14629=CONFIG_METADATA!$B$4),IF(DATOS!$G14629="EX",1,IF(DATOS!$G14629="OR",--(COUNTIFS(nNIA,DATOS!$A14629,nCURSO,DATOS!$D14629,nESPEC,DATOS!$E14629,nASIG,DATOS!$I14629,nEVAL,"EX")=0),0))))</f>
      </c>
      <c r="H14629">
        <f>IF(DATOS!$G14629&lt;&gt;"EX",0,--(COUNTIFS(nNIA,DATOS!$A14629,nCURSO,DATOS!$D14629,nESPEC,DATOS!$E14629,nASIG,DATOS!$I14629,nEVAL,"OR")=0))</f>
      </c>
      <c r="I14629">
        <f>IF(DATOS!$I14629="","",IFERROR(VLOOKUP(DATOS!$I14629,CONFIG_ASIGNATURAS!$B$2:$J$91,9,FALSE()),""))</f>
      </c>
    </row>
    <row r="14630">
      <c r="F14630">
        <f>IF(DATOS!$A14630="","",DATOS!$A14630&amp;"|"&amp;DATOS!$D14630&amp;"|"&amp;DATOS!$E14630&amp;"|"&amp;DATOS!$I14630)</f>
      </c>
      <c r="G14630">
        <f>IF(DATOS!$A14630="",0,IF(CONFIG_METADATA!$B$4&lt;&gt;"OR+EX",--(DATOS!$G14630=CONFIG_METADATA!$B$4),IF(DATOS!$G14630="EX",1,IF(DATOS!$G14630="OR",--(COUNTIFS(nNIA,DATOS!$A14630,nCURSO,DATOS!$D14630,nESPEC,DATOS!$E14630,nASIG,DATOS!$I14630,nEVAL,"EX")=0),0))))</f>
      </c>
      <c r="H14630">
        <f>IF(DATOS!$G14630&lt;&gt;"EX",0,--(COUNTIFS(nNIA,DATOS!$A14630,nCURSO,DATOS!$D14630,nESPEC,DATOS!$E14630,nASIG,DATOS!$I14630,nEVAL,"OR")=0))</f>
      </c>
      <c r="I14630">
        <f>IF(DATOS!$I14630="","",IFERROR(VLOOKUP(DATOS!$I14630,CONFIG_ASIGNATURAS!$B$2:$J$91,9,FALSE()),""))</f>
      </c>
    </row>
    <row r="14631">
      <c r="F14631">
        <f>IF(DATOS!$A14631="","",DATOS!$A14631&amp;"|"&amp;DATOS!$D14631&amp;"|"&amp;DATOS!$E14631&amp;"|"&amp;DATOS!$I14631)</f>
      </c>
      <c r="G14631">
        <f>IF(DATOS!$A14631="",0,IF(CONFIG_METADATA!$B$4&lt;&gt;"OR+EX",--(DATOS!$G14631=CONFIG_METADATA!$B$4),IF(DATOS!$G14631="EX",1,IF(DATOS!$G14631="OR",--(COUNTIFS(nNIA,DATOS!$A14631,nCURSO,DATOS!$D14631,nESPEC,DATOS!$E14631,nASIG,DATOS!$I14631,nEVAL,"EX")=0),0))))</f>
      </c>
      <c r="H14631">
        <f>IF(DATOS!$G14631&lt;&gt;"EX",0,--(COUNTIFS(nNIA,DATOS!$A14631,nCURSO,DATOS!$D14631,nESPEC,DATOS!$E14631,nASIG,DATOS!$I14631,nEVAL,"OR")=0))</f>
      </c>
      <c r="I14631">
        <f>IF(DATOS!$I14631="","",IFERROR(VLOOKUP(DATOS!$I14631,CONFIG_ASIGNATURAS!$B$2:$J$91,9,FALSE()),""))</f>
      </c>
    </row>
    <row r="14632">
      <c r="F14632">
        <f>IF(DATOS!$A14632="","",DATOS!$A14632&amp;"|"&amp;DATOS!$D14632&amp;"|"&amp;DATOS!$E14632&amp;"|"&amp;DATOS!$I14632)</f>
      </c>
      <c r="G14632">
        <f>IF(DATOS!$A14632="",0,IF(CONFIG_METADATA!$B$4&lt;&gt;"OR+EX",--(DATOS!$G14632=CONFIG_METADATA!$B$4),IF(DATOS!$G14632="EX",1,IF(DATOS!$G14632="OR",--(COUNTIFS(nNIA,DATOS!$A14632,nCURSO,DATOS!$D14632,nESPEC,DATOS!$E14632,nASIG,DATOS!$I14632,nEVAL,"EX")=0),0))))</f>
      </c>
      <c r="H14632">
        <f>IF(DATOS!$G14632&lt;&gt;"EX",0,--(COUNTIFS(nNIA,DATOS!$A14632,nCURSO,DATOS!$D14632,nESPEC,DATOS!$E14632,nASIG,DATOS!$I14632,nEVAL,"OR")=0))</f>
      </c>
      <c r="I14632">
        <f>IF(DATOS!$I14632="","",IFERROR(VLOOKUP(DATOS!$I14632,CONFIG_ASIGNATURAS!$B$2:$J$91,9,FALSE()),""))</f>
      </c>
    </row>
    <row r="14633">
      <c r="F14633">
        <f>IF(DATOS!$A14633="","",DATOS!$A14633&amp;"|"&amp;DATOS!$D14633&amp;"|"&amp;DATOS!$E14633&amp;"|"&amp;DATOS!$I14633)</f>
      </c>
      <c r="G14633">
        <f>IF(DATOS!$A14633="",0,IF(CONFIG_METADATA!$B$4&lt;&gt;"OR+EX",--(DATOS!$G14633=CONFIG_METADATA!$B$4),IF(DATOS!$G14633="EX",1,IF(DATOS!$G14633="OR",--(COUNTIFS(nNIA,DATOS!$A14633,nCURSO,DATOS!$D14633,nESPEC,DATOS!$E14633,nASIG,DATOS!$I14633,nEVAL,"EX")=0),0))))</f>
      </c>
      <c r="H14633">
        <f>IF(DATOS!$G14633&lt;&gt;"EX",0,--(COUNTIFS(nNIA,DATOS!$A14633,nCURSO,DATOS!$D14633,nESPEC,DATOS!$E14633,nASIG,DATOS!$I14633,nEVAL,"OR")=0))</f>
      </c>
      <c r="I14633">
        <f>IF(DATOS!$I14633="","",IFERROR(VLOOKUP(DATOS!$I14633,CONFIG_ASIGNATURAS!$B$2:$J$91,9,FALSE()),""))</f>
      </c>
    </row>
    <row r="14634">
      <c r="F14634">
        <f>IF(DATOS!$A14634="","",DATOS!$A14634&amp;"|"&amp;DATOS!$D14634&amp;"|"&amp;DATOS!$E14634&amp;"|"&amp;DATOS!$I14634)</f>
      </c>
      <c r="G14634">
        <f>IF(DATOS!$A14634="",0,IF(CONFIG_METADATA!$B$4&lt;&gt;"OR+EX",--(DATOS!$G14634=CONFIG_METADATA!$B$4),IF(DATOS!$G14634="EX",1,IF(DATOS!$G14634="OR",--(COUNTIFS(nNIA,DATOS!$A14634,nCURSO,DATOS!$D14634,nESPEC,DATOS!$E14634,nASIG,DATOS!$I14634,nEVAL,"EX")=0),0))))</f>
      </c>
      <c r="H14634">
        <f>IF(DATOS!$G14634&lt;&gt;"EX",0,--(COUNTIFS(nNIA,DATOS!$A14634,nCURSO,DATOS!$D14634,nESPEC,DATOS!$E14634,nASIG,DATOS!$I14634,nEVAL,"OR")=0))</f>
      </c>
      <c r="I14634">
        <f>IF(DATOS!$I14634="","",IFERROR(VLOOKUP(DATOS!$I14634,CONFIG_ASIGNATURAS!$B$2:$J$91,9,FALSE()),""))</f>
      </c>
    </row>
    <row r="14635">
      <c r="F14635">
        <f>IF(DATOS!$A14635="","",DATOS!$A14635&amp;"|"&amp;DATOS!$D14635&amp;"|"&amp;DATOS!$E14635&amp;"|"&amp;DATOS!$I14635)</f>
      </c>
      <c r="G14635">
        <f>IF(DATOS!$A14635="",0,IF(CONFIG_METADATA!$B$4&lt;&gt;"OR+EX",--(DATOS!$G14635=CONFIG_METADATA!$B$4),IF(DATOS!$G14635="EX",1,IF(DATOS!$G14635="OR",--(COUNTIFS(nNIA,DATOS!$A14635,nCURSO,DATOS!$D14635,nESPEC,DATOS!$E14635,nASIG,DATOS!$I14635,nEVAL,"EX")=0),0))))</f>
      </c>
      <c r="H14635">
        <f>IF(DATOS!$G14635&lt;&gt;"EX",0,--(COUNTIFS(nNIA,DATOS!$A14635,nCURSO,DATOS!$D14635,nESPEC,DATOS!$E14635,nASIG,DATOS!$I14635,nEVAL,"OR")=0))</f>
      </c>
      <c r="I14635">
        <f>IF(DATOS!$I14635="","",IFERROR(VLOOKUP(DATOS!$I14635,CONFIG_ASIGNATURAS!$B$2:$J$91,9,FALSE()),""))</f>
      </c>
    </row>
    <row r="14636">
      <c r="F14636">
        <f>IF(DATOS!$A14636="","",DATOS!$A14636&amp;"|"&amp;DATOS!$D14636&amp;"|"&amp;DATOS!$E14636&amp;"|"&amp;DATOS!$I14636)</f>
      </c>
      <c r="G14636">
        <f>IF(DATOS!$A14636="",0,IF(CONFIG_METADATA!$B$4&lt;&gt;"OR+EX",--(DATOS!$G14636=CONFIG_METADATA!$B$4),IF(DATOS!$G14636="EX",1,IF(DATOS!$G14636="OR",--(COUNTIFS(nNIA,DATOS!$A14636,nCURSO,DATOS!$D14636,nESPEC,DATOS!$E14636,nASIG,DATOS!$I14636,nEVAL,"EX")=0),0))))</f>
      </c>
      <c r="H14636">
        <f>IF(DATOS!$G14636&lt;&gt;"EX",0,--(COUNTIFS(nNIA,DATOS!$A14636,nCURSO,DATOS!$D14636,nESPEC,DATOS!$E14636,nASIG,DATOS!$I14636,nEVAL,"OR")=0))</f>
      </c>
      <c r="I14636">
        <f>IF(DATOS!$I14636="","",IFERROR(VLOOKUP(DATOS!$I14636,CONFIG_ASIGNATURAS!$B$2:$J$91,9,FALSE()),""))</f>
      </c>
    </row>
    <row r="14637">
      <c r="F14637">
        <f>IF(DATOS!$A14637="","",DATOS!$A14637&amp;"|"&amp;DATOS!$D14637&amp;"|"&amp;DATOS!$E14637&amp;"|"&amp;DATOS!$I14637)</f>
      </c>
      <c r="G14637">
        <f>IF(DATOS!$A14637="",0,IF(CONFIG_METADATA!$B$4&lt;&gt;"OR+EX",--(DATOS!$G14637=CONFIG_METADATA!$B$4),IF(DATOS!$G14637="EX",1,IF(DATOS!$G14637="OR",--(COUNTIFS(nNIA,DATOS!$A14637,nCURSO,DATOS!$D14637,nESPEC,DATOS!$E14637,nASIG,DATOS!$I14637,nEVAL,"EX")=0),0))))</f>
      </c>
      <c r="H14637">
        <f>IF(DATOS!$G14637&lt;&gt;"EX",0,--(COUNTIFS(nNIA,DATOS!$A14637,nCURSO,DATOS!$D14637,nESPEC,DATOS!$E14637,nASIG,DATOS!$I14637,nEVAL,"OR")=0))</f>
      </c>
      <c r="I14637">
        <f>IF(DATOS!$I14637="","",IFERROR(VLOOKUP(DATOS!$I14637,CONFIG_ASIGNATURAS!$B$2:$J$91,9,FALSE()),""))</f>
      </c>
    </row>
    <row r="14638">
      <c r="F14638">
        <f>IF(DATOS!$A14638="","",DATOS!$A14638&amp;"|"&amp;DATOS!$D14638&amp;"|"&amp;DATOS!$E14638&amp;"|"&amp;DATOS!$I14638)</f>
      </c>
      <c r="G14638">
        <f>IF(DATOS!$A14638="",0,IF(CONFIG_METADATA!$B$4&lt;&gt;"OR+EX",--(DATOS!$G14638=CONFIG_METADATA!$B$4),IF(DATOS!$G14638="EX",1,IF(DATOS!$G14638="OR",--(COUNTIFS(nNIA,DATOS!$A14638,nCURSO,DATOS!$D14638,nESPEC,DATOS!$E14638,nASIG,DATOS!$I14638,nEVAL,"EX")=0),0))))</f>
      </c>
      <c r="H14638">
        <f>IF(DATOS!$G14638&lt;&gt;"EX",0,--(COUNTIFS(nNIA,DATOS!$A14638,nCURSO,DATOS!$D14638,nESPEC,DATOS!$E14638,nASIG,DATOS!$I14638,nEVAL,"OR")=0))</f>
      </c>
      <c r="I14638">
        <f>IF(DATOS!$I14638="","",IFERROR(VLOOKUP(DATOS!$I14638,CONFIG_ASIGNATURAS!$B$2:$J$91,9,FALSE()),""))</f>
      </c>
    </row>
    <row r="14639">
      <c r="F14639">
        <f>IF(DATOS!$A14639="","",DATOS!$A14639&amp;"|"&amp;DATOS!$D14639&amp;"|"&amp;DATOS!$E14639&amp;"|"&amp;DATOS!$I14639)</f>
      </c>
      <c r="G14639">
        <f>IF(DATOS!$A14639="",0,IF(CONFIG_METADATA!$B$4&lt;&gt;"OR+EX",--(DATOS!$G14639=CONFIG_METADATA!$B$4),IF(DATOS!$G14639="EX",1,IF(DATOS!$G14639="OR",--(COUNTIFS(nNIA,DATOS!$A14639,nCURSO,DATOS!$D14639,nESPEC,DATOS!$E14639,nASIG,DATOS!$I14639,nEVAL,"EX")=0),0))))</f>
      </c>
      <c r="H14639">
        <f>IF(DATOS!$G14639&lt;&gt;"EX",0,--(COUNTIFS(nNIA,DATOS!$A14639,nCURSO,DATOS!$D14639,nESPEC,DATOS!$E14639,nASIG,DATOS!$I14639,nEVAL,"OR")=0))</f>
      </c>
      <c r="I14639">
        <f>IF(DATOS!$I14639="","",IFERROR(VLOOKUP(DATOS!$I14639,CONFIG_ASIGNATURAS!$B$2:$J$91,9,FALSE()),""))</f>
      </c>
    </row>
    <row r="14640">
      <c r="F14640">
        <f>IF(DATOS!$A14640="","",DATOS!$A14640&amp;"|"&amp;DATOS!$D14640&amp;"|"&amp;DATOS!$E14640&amp;"|"&amp;DATOS!$I14640)</f>
      </c>
      <c r="G14640">
        <f>IF(DATOS!$A14640="",0,IF(CONFIG_METADATA!$B$4&lt;&gt;"OR+EX",--(DATOS!$G14640=CONFIG_METADATA!$B$4),IF(DATOS!$G14640="EX",1,IF(DATOS!$G14640="OR",--(COUNTIFS(nNIA,DATOS!$A14640,nCURSO,DATOS!$D14640,nESPEC,DATOS!$E14640,nASIG,DATOS!$I14640,nEVAL,"EX")=0),0))))</f>
      </c>
      <c r="H14640">
        <f>IF(DATOS!$G14640&lt;&gt;"EX",0,--(COUNTIFS(nNIA,DATOS!$A14640,nCURSO,DATOS!$D14640,nESPEC,DATOS!$E14640,nASIG,DATOS!$I14640,nEVAL,"OR")=0))</f>
      </c>
      <c r="I14640">
        <f>IF(DATOS!$I14640="","",IFERROR(VLOOKUP(DATOS!$I14640,CONFIG_ASIGNATURAS!$B$2:$J$91,9,FALSE()),""))</f>
      </c>
    </row>
    <row r="14641">
      <c r="F14641">
        <f>IF(DATOS!$A14641="","",DATOS!$A14641&amp;"|"&amp;DATOS!$D14641&amp;"|"&amp;DATOS!$E14641&amp;"|"&amp;DATOS!$I14641)</f>
      </c>
      <c r="G14641">
        <f>IF(DATOS!$A14641="",0,IF(CONFIG_METADATA!$B$4&lt;&gt;"OR+EX",--(DATOS!$G14641=CONFIG_METADATA!$B$4),IF(DATOS!$G14641="EX",1,IF(DATOS!$G14641="OR",--(COUNTIFS(nNIA,DATOS!$A14641,nCURSO,DATOS!$D14641,nESPEC,DATOS!$E14641,nASIG,DATOS!$I14641,nEVAL,"EX")=0),0))))</f>
      </c>
      <c r="H14641">
        <f>IF(DATOS!$G14641&lt;&gt;"EX",0,--(COUNTIFS(nNIA,DATOS!$A14641,nCURSO,DATOS!$D14641,nESPEC,DATOS!$E14641,nASIG,DATOS!$I14641,nEVAL,"OR")=0))</f>
      </c>
      <c r="I14641">
        <f>IF(DATOS!$I14641="","",IFERROR(VLOOKUP(DATOS!$I14641,CONFIG_ASIGNATURAS!$B$2:$J$91,9,FALSE()),""))</f>
      </c>
    </row>
    <row r="14642">
      <c r="F14642">
        <f>IF(DATOS!$A14642="","",DATOS!$A14642&amp;"|"&amp;DATOS!$D14642&amp;"|"&amp;DATOS!$E14642&amp;"|"&amp;DATOS!$I14642)</f>
      </c>
      <c r="G14642">
        <f>IF(DATOS!$A14642="",0,IF(CONFIG_METADATA!$B$4&lt;&gt;"OR+EX",--(DATOS!$G14642=CONFIG_METADATA!$B$4),IF(DATOS!$G14642="EX",1,IF(DATOS!$G14642="OR",--(COUNTIFS(nNIA,DATOS!$A14642,nCURSO,DATOS!$D14642,nESPEC,DATOS!$E14642,nASIG,DATOS!$I14642,nEVAL,"EX")=0),0))))</f>
      </c>
      <c r="H14642">
        <f>IF(DATOS!$G14642&lt;&gt;"EX",0,--(COUNTIFS(nNIA,DATOS!$A14642,nCURSO,DATOS!$D14642,nESPEC,DATOS!$E14642,nASIG,DATOS!$I14642,nEVAL,"OR")=0))</f>
      </c>
      <c r="I14642">
        <f>IF(DATOS!$I14642="","",IFERROR(VLOOKUP(DATOS!$I14642,CONFIG_ASIGNATURAS!$B$2:$J$91,9,FALSE()),""))</f>
      </c>
    </row>
    <row r="14643">
      <c r="F14643">
        <f>IF(DATOS!$A14643="","",DATOS!$A14643&amp;"|"&amp;DATOS!$D14643&amp;"|"&amp;DATOS!$E14643&amp;"|"&amp;DATOS!$I14643)</f>
      </c>
      <c r="G14643">
        <f>IF(DATOS!$A14643="",0,IF(CONFIG_METADATA!$B$4&lt;&gt;"OR+EX",--(DATOS!$G14643=CONFIG_METADATA!$B$4),IF(DATOS!$G14643="EX",1,IF(DATOS!$G14643="OR",--(COUNTIFS(nNIA,DATOS!$A14643,nCURSO,DATOS!$D14643,nESPEC,DATOS!$E14643,nASIG,DATOS!$I14643,nEVAL,"EX")=0),0))))</f>
      </c>
      <c r="H14643">
        <f>IF(DATOS!$G14643&lt;&gt;"EX",0,--(COUNTIFS(nNIA,DATOS!$A14643,nCURSO,DATOS!$D14643,nESPEC,DATOS!$E14643,nASIG,DATOS!$I14643,nEVAL,"OR")=0))</f>
      </c>
      <c r="I14643">
        <f>IF(DATOS!$I14643="","",IFERROR(VLOOKUP(DATOS!$I14643,CONFIG_ASIGNATURAS!$B$2:$J$91,9,FALSE()),""))</f>
      </c>
    </row>
    <row r="14644">
      <c r="F14644">
        <f>IF(DATOS!$A14644="","",DATOS!$A14644&amp;"|"&amp;DATOS!$D14644&amp;"|"&amp;DATOS!$E14644&amp;"|"&amp;DATOS!$I14644)</f>
      </c>
      <c r="G14644">
        <f>IF(DATOS!$A14644="",0,IF(CONFIG_METADATA!$B$4&lt;&gt;"OR+EX",--(DATOS!$G14644=CONFIG_METADATA!$B$4),IF(DATOS!$G14644="EX",1,IF(DATOS!$G14644="OR",--(COUNTIFS(nNIA,DATOS!$A14644,nCURSO,DATOS!$D14644,nESPEC,DATOS!$E14644,nASIG,DATOS!$I14644,nEVAL,"EX")=0),0))))</f>
      </c>
      <c r="H14644">
        <f>IF(DATOS!$G14644&lt;&gt;"EX",0,--(COUNTIFS(nNIA,DATOS!$A14644,nCURSO,DATOS!$D14644,nESPEC,DATOS!$E14644,nASIG,DATOS!$I14644,nEVAL,"OR")=0))</f>
      </c>
      <c r="I14644">
        <f>IF(DATOS!$I14644="","",IFERROR(VLOOKUP(DATOS!$I14644,CONFIG_ASIGNATURAS!$B$2:$J$91,9,FALSE()),""))</f>
      </c>
    </row>
    <row r="14645">
      <c r="F14645">
        <f>IF(DATOS!$A14645="","",DATOS!$A14645&amp;"|"&amp;DATOS!$D14645&amp;"|"&amp;DATOS!$E14645&amp;"|"&amp;DATOS!$I14645)</f>
      </c>
      <c r="G14645">
        <f>IF(DATOS!$A14645="",0,IF(CONFIG_METADATA!$B$4&lt;&gt;"OR+EX",--(DATOS!$G14645=CONFIG_METADATA!$B$4),IF(DATOS!$G14645="EX",1,IF(DATOS!$G14645="OR",--(COUNTIFS(nNIA,DATOS!$A14645,nCURSO,DATOS!$D14645,nESPEC,DATOS!$E14645,nASIG,DATOS!$I14645,nEVAL,"EX")=0),0))))</f>
      </c>
      <c r="H14645">
        <f>IF(DATOS!$G14645&lt;&gt;"EX",0,--(COUNTIFS(nNIA,DATOS!$A14645,nCURSO,DATOS!$D14645,nESPEC,DATOS!$E14645,nASIG,DATOS!$I14645,nEVAL,"OR")=0))</f>
      </c>
      <c r="I14645">
        <f>IF(DATOS!$I14645="","",IFERROR(VLOOKUP(DATOS!$I14645,CONFIG_ASIGNATURAS!$B$2:$J$91,9,FALSE()),""))</f>
      </c>
    </row>
    <row r="14646">
      <c r="F14646">
        <f>IF(DATOS!$A14646="","",DATOS!$A14646&amp;"|"&amp;DATOS!$D14646&amp;"|"&amp;DATOS!$E14646&amp;"|"&amp;DATOS!$I14646)</f>
      </c>
      <c r="G14646">
        <f>IF(DATOS!$A14646="",0,IF(CONFIG_METADATA!$B$4&lt;&gt;"OR+EX",--(DATOS!$G14646=CONFIG_METADATA!$B$4),IF(DATOS!$G14646="EX",1,IF(DATOS!$G14646="OR",--(COUNTIFS(nNIA,DATOS!$A14646,nCURSO,DATOS!$D14646,nESPEC,DATOS!$E14646,nASIG,DATOS!$I14646,nEVAL,"EX")=0),0))))</f>
      </c>
      <c r="H14646">
        <f>IF(DATOS!$G14646&lt;&gt;"EX",0,--(COUNTIFS(nNIA,DATOS!$A14646,nCURSO,DATOS!$D14646,nESPEC,DATOS!$E14646,nASIG,DATOS!$I14646,nEVAL,"OR")=0))</f>
      </c>
      <c r="I14646">
        <f>IF(DATOS!$I14646="","",IFERROR(VLOOKUP(DATOS!$I14646,CONFIG_ASIGNATURAS!$B$2:$J$91,9,FALSE()),""))</f>
      </c>
    </row>
    <row r="14647">
      <c r="F14647">
        <f>IF(DATOS!$A14647="","",DATOS!$A14647&amp;"|"&amp;DATOS!$D14647&amp;"|"&amp;DATOS!$E14647&amp;"|"&amp;DATOS!$I14647)</f>
      </c>
      <c r="G14647">
        <f>IF(DATOS!$A14647="",0,IF(CONFIG_METADATA!$B$4&lt;&gt;"OR+EX",--(DATOS!$G14647=CONFIG_METADATA!$B$4),IF(DATOS!$G14647="EX",1,IF(DATOS!$G14647="OR",--(COUNTIFS(nNIA,DATOS!$A14647,nCURSO,DATOS!$D14647,nESPEC,DATOS!$E14647,nASIG,DATOS!$I14647,nEVAL,"EX")=0),0))))</f>
      </c>
      <c r="H14647">
        <f>IF(DATOS!$G14647&lt;&gt;"EX",0,--(COUNTIFS(nNIA,DATOS!$A14647,nCURSO,DATOS!$D14647,nESPEC,DATOS!$E14647,nASIG,DATOS!$I14647,nEVAL,"OR")=0))</f>
      </c>
      <c r="I14647">
        <f>IF(DATOS!$I14647="","",IFERROR(VLOOKUP(DATOS!$I14647,CONFIG_ASIGNATURAS!$B$2:$J$91,9,FALSE()),""))</f>
      </c>
    </row>
    <row r="14648">
      <c r="F14648">
        <f>IF(DATOS!$A14648="","",DATOS!$A14648&amp;"|"&amp;DATOS!$D14648&amp;"|"&amp;DATOS!$E14648&amp;"|"&amp;DATOS!$I14648)</f>
      </c>
      <c r="G14648">
        <f>IF(DATOS!$A14648="",0,IF(CONFIG_METADATA!$B$4&lt;&gt;"OR+EX",--(DATOS!$G14648=CONFIG_METADATA!$B$4),IF(DATOS!$G14648="EX",1,IF(DATOS!$G14648="OR",--(COUNTIFS(nNIA,DATOS!$A14648,nCURSO,DATOS!$D14648,nESPEC,DATOS!$E14648,nASIG,DATOS!$I14648,nEVAL,"EX")=0),0))))</f>
      </c>
      <c r="H14648">
        <f>IF(DATOS!$G14648&lt;&gt;"EX",0,--(COUNTIFS(nNIA,DATOS!$A14648,nCURSO,DATOS!$D14648,nESPEC,DATOS!$E14648,nASIG,DATOS!$I14648,nEVAL,"OR")=0))</f>
      </c>
      <c r="I14648">
        <f>IF(DATOS!$I14648="","",IFERROR(VLOOKUP(DATOS!$I14648,CONFIG_ASIGNATURAS!$B$2:$J$91,9,FALSE()),""))</f>
      </c>
    </row>
    <row r="14649">
      <c r="F14649">
        <f>IF(DATOS!$A14649="","",DATOS!$A14649&amp;"|"&amp;DATOS!$D14649&amp;"|"&amp;DATOS!$E14649&amp;"|"&amp;DATOS!$I14649)</f>
      </c>
      <c r="G14649">
        <f>IF(DATOS!$A14649="",0,IF(CONFIG_METADATA!$B$4&lt;&gt;"OR+EX",--(DATOS!$G14649=CONFIG_METADATA!$B$4),IF(DATOS!$G14649="EX",1,IF(DATOS!$G14649="OR",--(COUNTIFS(nNIA,DATOS!$A14649,nCURSO,DATOS!$D14649,nESPEC,DATOS!$E14649,nASIG,DATOS!$I14649,nEVAL,"EX")=0),0))))</f>
      </c>
      <c r="H14649">
        <f>IF(DATOS!$G14649&lt;&gt;"EX",0,--(COUNTIFS(nNIA,DATOS!$A14649,nCURSO,DATOS!$D14649,nESPEC,DATOS!$E14649,nASIG,DATOS!$I14649,nEVAL,"OR")=0))</f>
      </c>
      <c r="I14649">
        <f>IF(DATOS!$I14649="","",IFERROR(VLOOKUP(DATOS!$I14649,CONFIG_ASIGNATURAS!$B$2:$J$91,9,FALSE()),""))</f>
      </c>
    </row>
    <row r="14650">
      <c r="F14650">
        <f>IF(DATOS!$A14650="","",DATOS!$A14650&amp;"|"&amp;DATOS!$D14650&amp;"|"&amp;DATOS!$E14650&amp;"|"&amp;DATOS!$I14650)</f>
      </c>
      <c r="G14650">
        <f>IF(DATOS!$A14650="",0,IF(CONFIG_METADATA!$B$4&lt;&gt;"OR+EX",--(DATOS!$G14650=CONFIG_METADATA!$B$4),IF(DATOS!$G14650="EX",1,IF(DATOS!$G14650="OR",--(COUNTIFS(nNIA,DATOS!$A14650,nCURSO,DATOS!$D14650,nESPEC,DATOS!$E14650,nASIG,DATOS!$I14650,nEVAL,"EX")=0),0))))</f>
      </c>
      <c r="H14650">
        <f>IF(DATOS!$G14650&lt;&gt;"EX",0,--(COUNTIFS(nNIA,DATOS!$A14650,nCURSO,DATOS!$D14650,nESPEC,DATOS!$E14650,nASIG,DATOS!$I14650,nEVAL,"OR")=0))</f>
      </c>
      <c r="I14650">
        <f>IF(DATOS!$I14650="","",IFERROR(VLOOKUP(DATOS!$I14650,CONFIG_ASIGNATURAS!$B$2:$J$91,9,FALSE()),""))</f>
      </c>
    </row>
    <row r="14651">
      <c r="F14651">
        <f>IF(DATOS!$A14651="","",DATOS!$A14651&amp;"|"&amp;DATOS!$D14651&amp;"|"&amp;DATOS!$E14651&amp;"|"&amp;DATOS!$I14651)</f>
      </c>
      <c r="G14651">
        <f>IF(DATOS!$A14651="",0,IF(CONFIG_METADATA!$B$4&lt;&gt;"OR+EX",--(DATOS!$G14651=CONFIG_METADATA!$B$4),IF(DATOS!$G14651="EX",1,IF(DATOS!$G14651="OR",--(COUNTIFS(nNIA,DATOS!$A14651,nCURSO,DATOS!$D14651,nESPEC,DATOS!$E14651,nASIG,DATOS!$I14651,nEVAL,"EX")=0),0))))</f>
      </c>
      <c r="H14651">
        <f>IF(DATOS!$G14651&lt;&gt;"EX",0,--(COUNTIFS(nNIA,DATOS!$A14651,nCURSO,DATOS!$D14651,nESPEC,DATOS!$E14651,nASIG,DATOS!$I14651,nEVAL,"OR")=0))</f>
      </c>
      <c r="I14651">
        <f>IF(DATOS!$I14651="","",IFERROR(VLOOKUP(DATOS!$I14651,CONFIG_ASIGNATURAS!$B$2:$J$91,9,FALSE()),""))</f>
      </c>
    </row>
    <row r="14652">
      <c r="F14652">
        <f>IF(DATOS!$A14652="","",DATOS!$A14652&amp;"|"&amp;DATOS!$D14652&amp;"|"&amp;DATOS!$E14652&amp;"|"&amp;DATOS!$I14652)</f>
      </c>
      <c r="G14652">
        <f>IF(DATOS!$A14652="",0,IF(CONFIG_METADATA!$B$4&lt;&gt;"OR+EX",--(DATOS!$G14652=CONFIG_METADATA!$B$4),IF(DATOS!$G14652="EX",1,IF(DATOS!$G14652="OR",--(COUNTIFS(nNIA,DATOS!$A14652,nCURSO,DATOS!$D14652,nESPEC,DATOS!$E14652,nASIG,DATOS!$I14652,nEVAL,"EX")=0),0))))</f>
      </c>
      <c r="H14652">
        <f>IF(DATOS!$G14652&lt;&gt;"EX",0,--(COUNTIFS(nNIA,DATOS!$A14652,nCURSO,DATOS!$D14652,nESPEC,DATOS!$E14652,nASIG,DATOS!$I14652,nEVAL,"OR")=0))</f>
      </c>
      <c r="I14652">
        <f>IF(DATOS!$I14652="","",IFERROR(VLOOKUP(DATOS!$I14652,CONFIG_ASIGNATURAS!$B$2:$J$91,9,FALSE()),""))</f>
      </c>
    </row>
    <row r="14653">
      <c r="F14653">
        <f>IF(DATOS!$A14653="","",DATOS!$A14653&amp;"|"&amp;DATOS!$D14653&amp;"|"&amp;DATOS!$E14653&amp;"|"&amp;DATOS!$I14653)</f>
      </c>
      <c r="G14653">
        <f>IF(DATOS!$A14653="",0,IF(CONFIG_METADATA!$B$4&lt;&gt;"OR+EX",--(DATOS!$G14653=CONFIG_METADATA!$B$4),IF(DATOS!$G14653="EX",1,IF(DATOS!$G14653="OR",--(COUNTIFS(nNIA,DATOS!$A14653,nCURSO,DATOS!$D14653,nESPEC,DATOS!$E14653,nASIG,DATOS!$I14653,nEVAL,"EX")=0),0))))</f>
      </c>
      <c r="H14653">
        <f>IF(DATOS!$G14653&lt;&gt;"EX",0,--(COUNTIFS(nNIA,DATOS!$A14653,nCURSO,DATOS!$D14653,nESPEC,DATOS!$E14653,nASIG,DATOS!$I14653,nEVAL,"OR")=0))</f>
      </c>
      <c r="I14653">
        <f>IF(DATOS!$I14653="","",IFERROR(VLOOKUP(DATOS!$I14653,CONFIG_ASIGNATURAS!$B$2:$J$91,9,FALSE()),""))</f>
      </c>
    </row>
    <row r="14654">
      <c r="F14654">
        <f>IF(DATOS!$A14654="","",DATOS!$A14654&amp;"|"&amp;DATOS!$D14654&amp;"|"&amp;DATOS!$E14654&amp;"|"&amp;DATOS!$I14654)</f>
      </c>
      <c r="G14654">
        <f>IF(DATOS!$A14654="",0,IF(CONFIG_METADATA!$B$4&lt;&gt;"OR+EX",--(DATOS!$G14654=CONFIG_METADATA!$B$4),IF(DATOS!$G14654="EX",1,IF(DATOS!$G14654="OR",--(COUNTIFS(nNIA,DATOS!$A14654,nCURSO,DATOS!$D14654,nESPEC,DATOS!$E14654,nASIG,DATOS!$I14654,nEVAL,"EX")=0),0))))</f>
      </c>
      <c r="H14654">
        <f>IF(DATOS!$G14654&lt;&gt;"EX",0,--(COUNTIFS(nNIA,DATOS!$A14654,nCURSO,DATOS!$D14654,nESPEC,DATOS!$E14654,nASIG,DATOS!$I14654,nEVAL,"OR")=0))</f>
      </c>
      <c r="I14654">
        <f>IF(DATOS!$I14654="","",IFERROR(VLOOKUP(DATOS!$I14654,CONFIG_ASIGNATURAS!$B$2:$J$91,9,FALSE()),""))</f>
      </c>
    </row>
    <row r="14655">
      <c r="F14655">
        <f>IF(DATOS!$A14655="","",DATOS!$A14655&amp;"|"&amp;DATOS!$D14655&amp;"|"&amp;DATOS!$E14655&amp;"|"&amp;DATOS!$I14655)</f>
      </c>
      <c r="G14655">
        <f>IF(DATOS!$A14655="",0,IF(CONFIG_METADATA!$B$4&lt;&gt;"OR+EX",--(DATOS!$G14655=CONFIG_METADATA!$B$4),IF(DATOS!$G14655="EX",1,IF(DATOS!$G14655="OR",--(COUNTIFS(nNIA,DATOS!$A14655,nCURSO,DATOS!$D14655,nESPEC,DATOS!$E14655,nASIG,DATOS!$I14655,nEVAL,"EX")=0),0))))</f>
      </c>
      <c r="H14655">
        <f>IF(DATOS!$G14655&lt;&gt;"EX",0,--(COUNTIFS(nNIA,DATOS!$A14655,nCURSO,DATOS!$D14655,nESPEC,DATOS!$E14655,nASIG,DATOS!$I14655,nEVAL,"OR")=0))</f>
      </c>
      <c r="I14655">
        <f>IF(DATOS!$I14655="","",IFERROR(VLOOKUP(DATOS!$I14655,CONFIG_ASIGNATURAS!$B$2:$J$91,9,FALSE()),""))</f>
      </c>
    </row>
    <row r="14656">
      <c r="F14656">
        <f>IF(DATOS!$A14656="","",DATOS!$A14656&amp;"|"&amp;DATOS!$D14656&amp;"|"&amp;DATOS!$E14656&amp;"|"&amp;DATOS!$I14656)</f>
      </c>
      <c r="G14656">
        <f>IF(DATOS!$A14656="",0,IF(CONFIG_METADATA!$B$4&lt;&gt;"OR+EX",--(DATOS!$G14656=CONFIG_METADATA!$B$4),IF(DATOS!$G14656="EX",1,IF(DATOS!$G14656="OR",--(COUNTIFS(nNIA,DATOS!$A14656,nCURSO,DATOS!$D14656,nESPEC,DATOS!$E14656,nASIG,DATOS!$I14656,nEVAL,"EX")=0),0))))</f>
      </c>
      <c r="H14656">
        <f>IF(DATOS!$G14656&lt;&gt;"EX",0,--(COUNTIFS(nNIA,DATOS!$A14656,nCURSO,DATOS!$D14656,nESPEC,DATOS!$E14656,nASIG,DATOS!$I14656,nEVAL,"OR")=0))</f>
      </c>
      <c r="I14656">
        <f>IF(DATOS!$I14656="","",IFERROR(VLOOKUP(DATOS!$I14656,CONFIG_ASIGNATURAS!$B$2:$J$91,9,FALSE()),""))</f>
      </c>
    </row>
    <row r="14657">
      <c r="F14657">
        <f>IF(DATOS!$A14657="","",DATOS!$A14657&amp;"|"&amp;DATOS!$D14657&amp;"|"&amp;DATOS!$E14657&amp;"|"&amp;DATOS!$I14657)</f>
      </c>
      <c r="G14657">
        <f>IF(DATOS!$A14657="",0,IF(CONFIG_METADATA!$B$4&lt;&gt;"OR+EX",--(DATOS!$G14657=CONFIG_METADATA!$B$4),IF(DATOS!$G14657="EX",1,IF(DATOS!$G14657="OR",--(COUNTIFS(nNIA,DATOS!$A14657,nCURSO,DATOS!$D14657,nESPEC,DATOS!$E14657,nASIG,DATOS!$I14657,nEVAL,"EX")=0),0))))</f>
      </c>
      <c r="H14657">
        <f>IF(DATOS!$G14657&lt;&gt;"EX",0,--(COUNTIFS(nNIA,DATOS!$A14657,nCURSO,DATOS!$D14657,nESPEC,DATOS!$E14657,nASIG,DATOS!$I14657,nEVAL,"OR")=0))</f>
      </c>
      <c r="I14657">
        <f>IF(DATOS!$I14657="","",IFERROR(VLOOKUP(DATOS!$I14657,CONFIG_ASIGNATURAS!$B$2:$J$91,9,FALSE()),""))</f>
      </c>
    </row>
    <row r="14658">
      <c r="F14658">
        <f>IF(DATOS!$A14658="","",DATOS!$A14658&amp;"|"&amp;DATOS!$D14658&amp;"|"&amp;DATOS!$E14658&amp;"|"&amp;DATOS!$I14658)</f>
      </c>
      <c r="G14658">
        <f>IF(DATOS!$A14658="",0,IF(CONFIG_METADATA!$B$4&lt;&gt;"OR+EX",--(DATOS!$G14658=CONFIG_METADATA!$B$4),IF(DATOS!$G14658="EX",1,IF(DATOS!$G14658="OR",--(COUNTIFS(nNIA,DATOS!$A14658,nCURSO,DATOS!$D14658,nESPEC,DATOS!$E14658,nASIG,DATOS!$I14658,nEVAL,"EX")=0),0))))</f>
      </c>
      <c r="H14658">
        <f>IF(DATOS!$G14658&lt;&gt;"EX",0,--(COUNTIFS(nNIA,DATOS!$A14658,nCURSO,DATOS!$D14658,nESPEC,DATOS!$E14658,nASIG,DATOS!$I14658,nEVAL,"OR")=0))</f>
      </c>
      <c r="I14658">
        <f>IF(DATOS!$I14658="","",IFERROR(VLOOKUP(DATOS!$I14658,CONFIG_ASIGNATURAS!$B$2:$J$91,9,FALSE()),""))</f>
      </c>
    </row>
    <row r="14659">
      <c r="F14659">
        <f>IF(DATOS!$A14659="","",DATOS!$A14659&amp;"|"&amp;DATOS!$D14659&amp;"|"&amp;DATOS!$E14659&amp;"|"&amp;DATOS!$I14659)</f>
      </c>
      <c r="G14659">
        <f>IF(DATOS!$A14659="",0,IF(CONFIG_METADATA!$B$4&lt;&gt;"OR+EX",--(DATOS!$G14659=CONFIG_METADATA!$B$4),IF(DATOS!$G14659="EX",1,IF(DATOS!$G14659="OR",--(COUNTIFS(nNIA,DATOS!$A14659,nCURSO,DATOS!$D14659,nESPEC,DATOS!$E14659,nASIG,DATOS!$I14659,nEVAL,"EX")=0),0))))</f>
      </c>
      <c r="H14659">
        <f>IF(DATOS!$G14659&lt;&gt;"EX",0,--(COUNTIFS(nNIA,DATOS!$A14659,nCURSO,DATOS!$D14659,nESPEC,DATOS!$E14659,nASIG,DATOS!$I14659,nEVAL,"OR")=0))</f>
      </c>
      <c r="I14659">
        <f>IF(DATOS!$I14659="","",IFERROR(VLOOKUP(DATOS!$I14659,CONFIG_ASIGNATURAS!$B$2:$J$91,9,FALSE()),""))</f>
      </c>
    </row>
    <row r="14660">
      <c r="F14660">
        <f>IF(DATOS!$A14660="","",DATOS!$A14660&amp;"|"&amp;DATOS!$D14660&amp;"|"&amp;DATOS!$E14660&amp;"|"&amp;DATOS!$I14660)</f>
      </c>
      <c r="G14660">
        <f>IF(DATOS!$A14660="",0,IF(CONFIG_METADATA!$B$4&lt;&gt;"OR+EX",--(DATOS!$G14660=CONFIG_METADATA!$B$4),IF(DATOS!$G14660="EX",1,IF(DATOS!$G14660="OR",--(COUNTIFS(nNIA,DATOS!$A14660,nCURSO,DATOS!$D14660,nESPEC,DATOS!$E14660,nASIG,DATOS!$I14660,nEVAL,"EX")=0),0))))</f>
      </c>
      <c r="H14660">
        <f>IF(DATOS!$G14660&lt;&gt;"EX",0,--(COUNTIFS(nNIA,DATOS!$A14660,nCURSO,DATOS!$D14660,nESPEC,DATOS!$E14660,nASIG,DATOS!$I14660,nEVAL,"OR")=0))</f>
      </c>
      <c r="I14660">
        <f>IF(DATOS!$I14660="","",IFERROR(VLOOKUP(DATOS!$I14660,CONFIG_ASIGNATURAS!$B$2:$J$91,9,FALSE()),""))</f>
      </c>
    </row>
    <row r="14661">
      <c r="F14661">
        <f>IF(DATOS!$A14661="","",DATOS!$A14661&amp;"|"&amp;DATOS!$D14661&amp;"|"&amp;DATOS!$E14661&amp;"|"&amp;DATOS!$I14661)</f>
      </c>
      <c r="G14661">
        <f>IF(DATOS!$A14661="",0,IF(CONFIG_METADATA!$B$4&lt;&gt;"OR+EX",--(DATOS!$G14661=CONFIG_METADATA!$B$4),IF(DATOS!$G14661="EX",1,IF(DATOS!$G14661="OR",--(COUNTIFS(nNIA,DATOS!$A14661,nCURSO,DATOS!$D14661,nESPEC,DATOS!$E14661,nASIG,DATOS!$I14661,nEVAL,"EX")=0),0))))</f>
      </c>
      <c r="H14661">
        <f>IF(DATOS!$G14661&lt;&gt;"EX",0,--(COUNTIFS(nNIA,DATOS!$A14661,nCURSO,DATOS!$D14661,nESPEC,DATOS!$E14661,nASIG,DATOS!$I14661,nEVAL,"OR")=0))</f>
      </c>
      <c r="I14661">
        <f>IF(DATOS!$I14661="","",IFERROR(VLOOKUP(DATOS!$I14661,CONFIG_ASIGNATURAS!$B$2:$J$91,9,FALSE()),""))</f>
      </c>
    </row>
    <row r="14662">
      <c r="F14662">
        <f>IF(DATOS!$A14662="","",DATOS!$A14662&amp;"|"&amp;DATOS!$D14662&amp;"|"&amp;DATOS!$E14662&amp;"|"&amp;DATOS!$I14662)</f>
      </c>
      <c r="G14662">
        <f>IF(DATOS!$A14662="",0,IF(CONFIG_METADATA!$B$4&lt;&gt;"OR+EX",--(DATOS!$G14662=CONFIG_METADATA!$B$4),IF(DATOS!$G14662="EX",1,IF(DATOS!$G14662="OR",--(COUNTIFS(nNIA,DATOS!$A14662,nCURSO,DATOS!$D14662,nESPEC,DATOS!$E14662,nASIG,DATOS!$I14662,nEVAL,"EX")=0),0))))</f>
      </c>
      <c r="H14662">
        <f>IF(DATOS!$G14662&lt;&gt;"EX",0,--(COUNTIFS(nNIA,DATOS!$A14662,nCURSO,DATOS!$D14662,nESPEC,DATOS!$E14662,nASIG,DATOS!$I14662,nEVAL,"OR")=0))</f>
      </c>
      <c r="I14662">
        <f>IF(DATOS!$I14662="","",IFERROR(VLOOKUP(DATOS!$I14662,CONFIG_ASIGNATURAS!$B$2:$J$91,9,FALSE()),""))</f>
      </c>
    </row>
    <row r="14663">
      <c r="F14663">
        <f>IF(DATOS!$A14663="","",DATOS!$A14663&amp;"|"&amp;DATOS!$D14663&amp;"|"&amp;DATOS!$E14663&amp;"|"&amp;DATOS!$I14663)</f>
      </c>
      <c r="G14663">
        <f>IF(DATOS!$A14663="",0,IF(CONFIG_METADATA!$B$4&lt;&gt;"OR+EX",--(DATOS!$G14663=CONFIG_METADATA!$B$4),IF(DATOS!$G14663="EX",1,IF(DATOS!$G14663="OR",--(COUNTIFS(nNIA,DATOS!$A14663,nCURSO,DATOS!$D14663,nESPEC,DATOS!$E14663,nASIG,DATOS!$I14663,nEVAL,"EX")=0),0))))</f>
      </c>
      <c r="H14663">
        <f>IF(DATOS!$G14663&lt;&gt;"EX",0,--(COUNTIFS(nNIA,DATOS!$A14663,nCURSO,DATOS!$D14663,nESPEC,DATOS!$E14663,nASIG,DATOS!$I14663,nEVAL,"OR")=0))</f>
      </c>
      <c r="I14663">
        <f>IF(DATOS!$I14663="","",IFERROR(VLOOKUP(DATOS!$I14663,CONFIG_ASIGNATURAS!$B$2:$J$91,9,FALSE()),""))</f>
      </c>
    </row>
    <row r="14664">
      <c r="F14664">
        <f>IF(DATOS!$A14664="","",DATOS!$A14664&amp;"|"&amp;DATOS!$D14664&amp;"|"&amp;DATOS!$E14664&amp;"|"&amp;DATOS!$I14664)</f>
      </c>
      <c r="G14664">
        <f>IF(DATOS!$A14664="",0,IF(CONFIG_METADATA!$B$4&lt;&gt;"OR+EX",--(DATOS!$G14664=CONFIG_METADATA!$B$4),IF(DATOS!$G14664="EX",1,IF(DATOS!$G14664="OR",--(COUNTIFS(nNIA,DATOS!$A14664,nCURSO,DATOS!$D14664,nESPEC,DATOS!$E14664,nASIG,DATOS!$I14664,nEVAL,"EX")=0),0))))</f>
      </c>
      <c r="H14664">
        <f>IF(DATOS!$G14664&lt;&gt;"EX",0,--(COUNTIFS(nNIA,DATOS!$A14664,nCURSO,DATOS!$D14664,nESPEC,DATOS!$E14664,nASIG,DATOS!$I14664,nEVAL,"OR")=0))</f>
      </c>
      <c r="I14664">
        <f>IF(DATOS!$I14664="","",IFERROR(VLOOKUP(DATOS!$I14664,CONFIG_ASIGNATURAS!$B$2:$J$91,9,FALSE()),""))</f>
      </c>
    </row>
    <row r="14665">
      <c r="F14665">
        <f>IF(DATOS!$A14665="","",DATOS!$A14665&amp;"|"&amp;DATOS!$D14665&amp;"|"&amp;DATOS!$E14665&amp;"|"&amp;DATOS!$I14665)</f>
      </c>
      <c r="G14665">
        <f>IF(DATOS!$A14665="",0,IF(CONFIG_METADATA!$B$4&lt;&gt;"OR+EX",--(DATOS!$G14665=CONFIG_METADATA!$B$4),IF(DATOS!$G14665="EX",1,IF(DATOS!$G14665="OR",--(COUNTIFS(nNIA,DATOS!$A14665,nCURSO,DATOS!$D14665,nESPEC,DATOS!$E14665,nASIG,DATOS!$I14665,nEVAL,"EX")=0),0))))</f>
      </c>
      <c r="H14665">
        <f>IF(DATOS!$G14665&lt;&gt;"EX",0,--(COUNTIFS(nNIA,DATOS!$A14665,nCURSO,DATOS!$D14665,nESPEC,DATOS!$E14665,nASIG,DATOS!$I14665,nEVAL,"OR")=0))</f>
      </c>
      <c r="I14665">
        <f>IF(DATOS!$I14665="","",IFERROR(VLOOKUP(DATOS!$I14665,CONFIG_ASIGNATURAS!$B$2:$J$91,9,FALSE()),""))</f>
      </c>
    </row>
    <row r="14666">
      <c r="F14666">
        <f>IF(DATOS!$A14666="","",DATOS!$A14666&amp;"|"&amp;DATOS!$D14666&amp;"|"&amp;DATOS!$E14666&amp;"|"&amp;DATOS!$I14666)</f>
      </c>
      <c r="G14666">
        <f>IF(DATOS!$A14666="",0,IF(CONFIG_METADATA!$B$4&lt;&gt;"OR+EX",--(DATOS!$G14666=CONFIG_METADATA!$B$4),IF(DATOS!$G14666="EX",1,IF(DATOS!$G14666="OR",--(COUNTIFS(nNIA,DATOS!$A14666,nCURSO,DATOS!$D14666,nESPEC,DATOS!$E14666,nASIG,DATOS!$I14666,nEVAL,"EX")=0),0))))</f>
      </c>
      <c r="H14666">
        <f>IF(DATOS!$G14666&lt;&gt;"EX",0,--(COUNTIFS(nNIA,DATOS!$A14666,nCURSO,DATOS!$D14666,nESPEC,DATOS!$E14666,nASIG,DATOS!$I14666,nEVAL,"OR")=0))</f>
      </c>
      <c r="I14666">
        <f>IF(DATOS!$I14666="","",IFERROR(VLOOKUP(DATOS!$I14666,CONFIG_ASIGNATURAS!$B$2:$J$91,9,FALSE()),""))</f>
      </c>
    </row>
    <row r="14667">
      <c r="F14667">
        <f>IF(DATOS!$A14667="","",DATOS!$A14667&amp;"|"&amp;DATOS!$D14667&amp;"|"&amp;DATOS!$E14667&amp;"|"&amp;DATOS!$I14667)</f>
      </c>
      <c r="G14667">
        <f>IF(DATOS!$A14667="",0,IF(CONFIG_METADATA!$B$4&lt;&gt;"OR+EX",--(DATOS!$G14667=CONFIG_METADATA!$B$4),IF(DATOS!$G14667="EX",1,IF(DATOS!$G14667="OR",--(COUNTIFS(nNIA,DATOS!$A14667,nCURSO,DATOS!$D14667,nESPEC,DATOS!$E14667,nASIG,DATOS!$I14667,nEVAL,"EX")=0),0))))</f>
      </c>
      <c r="H14667">
        <f>IF(DATOS!$G14667&lt;&gt;"EX",0,--(COUNTIFS(nNIA,DATOS!$A14667,nCURSO,DATOS!$D14667,nESPEC,DATOS!$E14667,nASIG,DATOS!$I14667,nEVAL,"OR")=0))</f>
      </c>
      <c r="I14667">
        <f>IF(DATOS!$I14667="","",IFERROR(VLOOKUP(DATOS!$I14667,CONFIG_ASIGNATURAS!$B$2:$J$91,9,FALSE()),""))</f>
      </c>
    </row>
    <row r="14668">
      <c r="F14668">
        <f>IF(DATOS!$A14668="","",DATOS!$A14668&amp;"|"&amp;DATOS!$D14668&amp;"|"&amp;DATOS!$E14668&amp;"|"&amp;DATOS!$I14668)</f>
      </c>
      <c r="G14668">
        <f>IF(DATOS!$A14668="",0,IF(CONFIG_METADATA!$B$4&lt;&gt;"OR+EX",--(DATOS!$G14668=CONFIG_METADATA!$B$4),IF(DATOS!$G14668="EX",1,IF(DATOS!$G14668="OR",--(COUNTIFS(nNIA,DATOS!$A14668,nCURSO,DATOS!$D14668,nESPEC,DATOS!$E14668,nASIG,DATOS!$I14668,nEVAL,"EX")=0),0))))</f>
      </c>
      <c r="H14668">
        <f>IF(DATOS!$G14668&lt;&gt;"EX",0,--(COUNTIFS(nNIA,DATOS!$A14668,nCURSO,DATOS!$D14668,nESPEC,DATOS!$E14668,nASIG,DATOS!$I14668,nEVAL,"OR")=0))</f>
      </c>
      <c r="I14668">
        <f>IF(DATOS!$I14668="","",IFERROR(VLOOKUP(DATOS!$I14668,CONFIG_ASIGNATURAS!$B$2:$J$91,9,FALSE()),""))</f>
      </c>
    </row>
    <row r="14669">
      <c r="F14669">
        <f>IF(DATOS!$A14669="","",DATOS!$A14669&amp;"|"&amp;DATOS!$D14669&amp;"|"&amp;DATOS!$E14669&amp;"|"&amp;DATOS!$I14669)</f>
      </c>
      <c r="G14669">
        <f>IF(DATOS!$A14669="",0,IF(CONFIG_METADATA!$B$4&lt;&gt;"OR+EX",--(DATOS!$G14669=CONFIG_METADATA!$B$4),IF(DATOS!$G14669="EX",1,IF(DATOS!$G14669="OR",--(COUNTIFS(nNIA,DATOS!$A14669,nCURSO,DATOS!$D14669,nESPEC,DATOS!$E14669,nASIG,DATOS!$I14669,nEVAL,"EX")=0),0))))</f>
      </c>
      <c r="H14669">
        <f>IF(DATOS!$G14669&lt;&gt;"EX",0,--(COUNTIFS(nNIA,DATOS!$A14669,nCURSO,DATOS!$D14669,nESPEC,DATOS!$E14669,nASIG,DATOS!$I14669,nEVAL,"OR")=0))</f>
      </c>
      <c r="I14669">
        <f>IF(DATOS!$I14669="","",IFERROR(VLOOKUP(DATOS!$I14669,CONFIG_ASIGNATURAS!$B$2:$J$91,9,FALSE()),""))</f>
      </c>
    </row>
    <row r="14670">
      <c r="F14670">
        <f>IF(DATOS!$A14670="","",DATOS!$A14670&amp;"|"&amp;DATOS!$D14670&amp;"|"&amp;DATOS!$E14670&amp;"|"&amp;DATOS!$I14670)</f>
      </c>
      <c r="G14670">
        <f>IF(DATOS!$A14670="",0,IF(CONFIG_METADATA!$B$4&lt;&gt;"OR+EX",--(DATOS!$G14670=CONFIG_METADATA!$B$4),IF(DATOS!$G14670="EX",1,IF(DATOS!$G14670="OR",--(COUNTIFS(nNIA,DATOS!$A14670,nCURSO,DATOS!$D14670,nESPEC,DATOS!$E14670,nASIG,DATOS!$I14670,nEVAL,"EX")=0),0))))</f>
      </c>
      <c r="H14670">
        <f>IF(DATOS!$G14670&lt;&gt;"EX",0,--(COUNTIFS(nNIA,DATOS!$A14670,nCURSO,DATOS!$D14670,nESPEC,DATOS!$E14670,nASIG,DATOS!$I14670,nEVAL,"OR")=0))</f>
      </c>
      <c r="I14670">
        <f>IF(DATOS!$I14670="","",IFERROR(VLOOKUP(DATOS!$I14670,CONFIG_ASIGNATURAS!$B$2:$J$91,9,FALSE()),""))</f>
      </c>
    </row>
    <row r="14671">
      <c r="F14671">
        <f>IF(DATOS!$A14671="","",DATOS!$A14671&amp;"|"&amp;DATOS!$D14671&amp;"|"&amp;DATOS!$E14671&amp;"|"&amp;DATOS!$I14671)</f>
      </c>
      <c r="G14671">
        <f>IF(DATOS!$A14671="",0,IF(CONFIG_METADATA!$B$4&lt;&gt;"OR+EX",--(DATOS!$G14671=CONFIG_METADATA!$B$4),IF(DATOS!$G14671="EX",1,IF(DATOS!$G14671="OR",--(COUNTIFS(nNIA,DATOS!$A14671,nCURSO,DATOS!$D14671,nESPEC,DATOS!$E14671,nASIG,DATOS!$I14671,nEVAL,"EX")=0),0))))</f>
      </c>
      <c r="H14671">
        <f>IF(DATOS!$G14671&lt;&gt;"EX",0,--(COUNTIFS(nNIA,DATOS!$A14671,nCURSO,DATOS!$D14671,nESPEC,DATOS!$E14671,nASIG,DATOS!$I14671,nEVAL,"OR")=0))</f>
      </c>
      <c r="I14671">
        <f>IF(DATOS!$I14671="","",IFERROR(VLOOKUP(DATOS!$I14671,CONFIG_ASIGNATURAS!$B$2:$J$91,9,FALSE()),""))</f>
      </c>
    </row>
    <row r="14672">
      <c r="F14672">
        <f>IF(DATOS!$A14672="","",DATOS!$A14672&amp;"|"&amp;DATOS!$D14672&amp;"|"&amp;DATOS!$E14672&amp;"|"&amp;DATOS!$I14672)</f>
      </c>
      <c r="G14672">
        <f>IF(DATOS!$A14672="",0,IF(CONFIG_METADATA!$B$4&lt;&gt;"OR+EX",--(DATOS!$G14672=CONFIG_METADATA!$B$4),IF(DATOS!$G14672="EX",1,IF(DATOS!$G14672="OR",--(COUNTIFS(nNIA,DATOS!$A14672,nCURSO,DATOS!$D14672,nESPEC,DATOS!$E14672,nASIG,DATOS!$I14672,nEVAL,"EX")=0),0))))</f>
      </c>
      <c r="H14672">
        <f>IF(DATOS!$G14672&lt;&gt;"EX",0,--(COUNTIFS(nNIA,DATOS!$A14672,nCURSO,DATOS!$D14672,nESPEC,DATOS!$E14672,nASIG,DATOS!$I14672,nEVAL,"OR")=0))</f>
      </c>
      <c r="I14672">
        <f>IF(DATOS!$I14672="","",IFERROR(VLOOKUP(DATOS!$I14672,CONFIG_ASIGNATURAS!$B$2:$J$91,9,FALSE()),""))</f>
      </c>
    </row>
    <row r="14673">
      <c r="F14673">
        <f>IF(DATOS!$A14673="","",DATOS!$A14673&amp;"|"&amp;DATOS!$D14673&amp;"|"&amp;DATOS!$E14673&amp;"|"&amp;DATOS!$I14673)</f>
      </c>
      <c r="G14673">
        <f>IF(DATOS!$A14673="",0,IF(CONFIG_METADATA!$B$4&lt;&gt;"OR+EX",--(DATOS!$G14673=CONFIG_METADATA!$B$4),IF(DATOS!$G14673="EX",1,IF(DATOS!$G14673="OR",--(COUNTIFS(nNIA,DATOS!$A14673,nCURSO,DATOS!$D14673,nESPEC,DATOS!$E14673,nASIG,DATOS!$I14673,nEVAL,"EX")=0),0))))</f>
      </c>
      <c r="H14673">
        <f>IF(DATOS!$G14673&lt;&gt;"EX",0,--(COUNTIFS(nNIA,DATOS!$A14673,nCURSO,DATOS!$D14673,nESPEC,DATOS!$E14673,nASIG,DATOS!$I14673,nEVAL,"OR")=0))</f>
      </c>
      <c r="I14673">
        <f>IF(DATOS!$I14673="","",IFERROR(VLOOKUP(DATOS!$I14673,CONFIG_ASIGNATURAS!$B$2:$J$91,9,FALSE()),""))</f>
      </c>
    </row>
    <row r="14674">
      <c r="F14674">
        <f>IF(DATOS!$A14674="","",DATOS!$A14674&amp;"|"&amp;DATOS!$D14674&amp;"|"&amp;DATOS!$E14674&amp;"|"&amp;DATOS!$I14674)</f>
      </c>
      <c r="G14674">
        <f>IF(DATOS!$A14674="",0,IF(CONFIG_METADATA!$B$4&lt;&gt;"OR+EX",--(DATOS!$G14674=CONFIG_METADATA!$B$4),IF(DATOS!$G14674="EX",1,IF(DATOS!$G14674="OR",--(COUNTIFS(nNIA,DATOS!$A14674,nCURSO,DATOS!$D14674,nESPEC,DATOS!$E14674,nASIG,DATOS!$I14674,nEVAL,"EX")=0),0))))</f>
      </c>
      <c r="H14674">
        <f>IF(DATOS!$G14674&lt;&gt;"EX",0,--(COUNTIFS(nNIA,DATOS!$A14674,nCURSO,DATOS!$D14674,nESPEC,DATOS!$E14674,nASIG,DATOS!$I14674,nEVAL,"OR")=0))</f>
      </c>
      <c r="I14674">
        <f>IF(DATOS!$I14674="","",IFERROR(VLOOKUP(DATOS!$I14674,CONFIG_ASIGNATURAS!$B$2:$J$91,9,FALSE()),""))</f>
      </c>
    </row>
    <row r="14675">
      <c r="F14675">
        <f>IF(DATOS!$A14675="","",DATOS!$A14675&amp;"|"&amp;DATOS!$D14675&amp;"|"&amp;DATOS!$E14675&amp;"|"&amp;DATOS!$I14675)</f>
      </c>
      <c r="G14675">
        <f>IF(DATOS!$A14675="",0,IF(CONFIG_METADATA!$B$4&lt;&gt;"OR+EX",--(DATOS!$G14675=CONFIG_METADATA!$B$4),IF(DATOS!$G14675="EX",1,IF(DATOS!$G14675="OR",--(COUNTIFS(nNIA,DATOS!$A14675,nCURSO,DATOS!$D14675,nESPEC,DATOS!$E14675,nASIG,DATOS!$I14675,nEVAL,"EX")=0),0))))</f>
      </c>
      <c r="H14675">
        <f>IF(DATOS!$G14675&lt;&gt;"EX",0,--(COUNTIFS(nNIA,DATOS!$A14675,nCURSO,DATOS!$D14675,nESPEC,DATOS!$E14675,nASIG,DATOS!$I14675,nEVAL,"OR")=0))</f>
      </c>
      <c r="I14675">
        <f>IF(DATOS!$I14675="","",IFERROR(VLOOKUP(DATOS!$I14675,CONFIG_ASIGNATURAS!$B$2:$J$91,9,FALSE()),""))</f>
      </c>
    </row>
    <row r="14676">
      <c r="F14676">
        <f>IF(DATOS!$A14676="","",DATOS!$A14676&amp;"|"&amp;DATOS!$D14676&amp;"|"&amp;DATOS!$E14676&amp;"|"&amp;DATOS!$I14676)</f>
      </c>
      <c r="G14676">
        <f>IF(DATOS!$A14676="",0,IF(CONFIG_METADATA!$B$4&lt;&gt;"OR+EX",--(DATOS!$G14676=CONFIG_METADATA!$B$4),IF(DATOS!$G14676="EX",1,IF(DATOS!$G14676="OR",--(COUNTIFS(nNIA,DATOS!$A14676,nCURSO,DATOS!$D14676,nESPEC,DATOS!$E14676,nASIG,DATOS!$I14676,nEVAL,"EX")=0),0))))</f>
      </c>
      <c r="H14676">
        <f>IF(DATOS!$G14676&lt;&gt;"EX",0,--(COUNTIFS(nNIA,DATOS!$A14676,nCURSO,DATOS!$D14676,nESPEC,DATOS!$E14676,nASIG,DATOS!$I14676,nEVAL,"OR")=0))</f>
      </c>
      <c r="I14676">
        <f>IF(DATOS!$I14676="","",IFERROR(VLOOKUP(DATOS!$I14676,CONFIG_ASIGNATURAS!$B$2:$J$91,9,FALSE()),""))</f>
      </c>
    </row>
    <row r="14677">
      <c r="F14677">
        <f>IF(DATOS!$A14677="","",DATOS!$A14677&amp;"|"&amp;DATOS!$D14677&amp;"|"&amp;DATOS!$E14677&amp;"|"&amp;DATOS!$I14677)</f>
      </c>
      <c r="G14677">
        <f>IF(DATOS!$A14677="",0,IF(CONFIG_METADATA!$B$4&lt;&gt;"OR+EX",--(DATOS!$G14677=CONFIG_METADATA!$B$4),IF(DATOS!$G14677="EX",1,IF(DATOS!$G14677="OR",--(COUNTIFS(nNIA,DATOS!$A14677,nCURSO,DATOS!$D14677,nESPEC,DATOS!$E14677,nASIG,DATOS!$I14677,nEVAL,"EX")=0),0))))</f>
      </c>
      <c r="H14677">
        <f>IF(DATOS!$G14677&lt;&gt;"EX",0,--(COUNTIFS(nNIA,DATOS!$A14677,nCURSO,DATOS!$D14677,nESPEC,DATOS!$E14677,nASIG,DATOS!$I14677,nEVAL,"OR")=0))</f>
      </c>
      <c r="I14677">
        <f>IF(DATOS!$I14677="","",IFERROR(VLOOKUP(DATOS!$I14677,CONFIG_ASIGNATURAS!$B$2:$J$91,9,FALSE()),""))</f>
      </c>
    </row>
    <row r="14678">
      <c r="F14678">
        <f>IF(DATOS!$A14678="","",DATOS!$A14678&amp;"|"&amp;DATOS!$D14678&amp;"|"&amp;DATOS!$E14678&amp;"|"&amp;DATOS!$I14678)</f>
      </c>
      <c r="G14678">
        <f>IF(DATOS!$A14678="",0,IF(CONFIG_METADATA!$B$4&lt;&gt;"OR+EX",--(DATOS!$G14678=CONFIG_METADATA!$B$4),IF(DATOS!$G14678="EX",1,IF(DATOS!$G14678="OR",--(COUNTIFS(nNIA,DATOS!$A14678,nCURSO,DATOS!$D14678,nESPEC,DATOS!$E14678,nASIG,DATOS!$I14678,nEVAL,"EX")=0),0))))</f>
      </c>
      <c r="H14678">
        <f>IF(DATOS!$G14678&lt;&gt;"EX",0,--(COUNTIFS(nNIA,DATOS!$A14678,nCURSO,DATOS!$D14678,nESPEC,DATOS!$E14678,nASIG,DATOS!$I14678,nEVAL,"OR")=0))</f>
      </c>
      <c r="I14678">
        <f>IF(DATOS!$I14678="","",IFERROR(VLOOKUP(DATOS!$I14678,CONFIG_ASIGNATURAS!$B$2:$J$91,9,FALSE()),""))</f>
      </c>
    </row>
    <row r="14679">
      <c r="F14679">
        <f>IF(DATOS!$A14679="","",DATOS!$A14679&amp;"|"&amp;DATOS!$D14679&amp;"|"&amp;DATOS!$E14679&amp;"|"&amp;DATOS!$I14679)</f>
      </c>
      <c r="G14679">
        <f>IF(DATOS!$A14679="",0,IF(CONFIG_METADATA!$B$4&lt;&gt;"OR+EX",--(DATOS!$G14679=CONFIG_METADATA!$B$4),IF(DATOS!$G14679="EX",1,IF(DATOS!$G14679="OR",--(COUNTIFS(nNIA,DATOS!$A14679,nCURSO,DATOS!$D14679,nESPEC,DATOS!$E14679,nASIG,DATOS!$I14679,nEVAL,"EX")=0),0))))</f>
      </c>
      <c r="H14679">
        <f>IF(DATOS!$G14679&lt;&gt;"EX",0,--(COUNTIFS(nNIA,DATOS!$A14679,nCURSO,DATOS!$D14679,nESPEC,DATOS!$E14679,nASIG,DATOS!$I14679,nEVAL,"OR")=0))</f>
      </c>
      <c r="I14679">
        <f>IF(DATOS!$I14679="","",IFERROR(VLOOKUP(DATOS!$I14679,CONFIG_ASIGNATURAS!$B$2:$J$91,9,FALSE()),""))</f>
      </c>
    </row>
    <row r="14680">
      <c r="F14680">
        <f>IF(DATOS!$A14680="","",DATOS!$A14680&amp;"|"&amp;DATOS!$D14680&amp;"|"&amp;DATOS!$E14680&amp;"|"&amp;DATOS!$I14680)</f>
      </c>
      <c r="G14680">
        <f>IF(DATOS!$A14680="",0,IF(CONFIG_METADATA!$B$4&lt;&gt;"OR+EX",--(DATOS!$G14680=CONFIG_METADATA!$B$4),IF(DATOS!$G14680="EX",1,IF(DATOS!$G14680="OR",--(COUNTIFS(nNIA,DATOS!$A14680,nCURSO,DATOS!$D14680,nESPEC,DATOS!$E14680,nASIG,DATOS!$I14680,nEVAL,"EX")=0),0))))</f>
      </c>
      <c r="H14680">
        <f>IF(DATOS!$G14680&lt;&gt;"EX",0,--(COUNTIFS(nNIA,DATOS!$A14680,nCURSO,DATOS!$D14680,nESPEC,DATOS!$E14680,nASIG,DATOS!$I14680,nEVAL,"OR")=0))</f>
      </c>
      <c r="I14680">
        <f>IF(DATOS!$I14680="","",IFERROR(VLOOKUP(DATOS!$I14680,CONFIG_ASIGNATURAS!$B$2:$J$91,9,FALSE()),""))</f>
      </c>
    </row>
    <row r="14681">
      <c r="F14681">
        <f>IF(DATOS!$A14681="","",DATOS!$A14681&amp;"|"&amp;DATOS!$D14681&amp;"|"&amp;DATOS!$E14681&amp;"|"&amp;DATOS!$I14681)</f>
      </c>
      <c r="G14681">
        <f>IF(DATOS!$A14681="",0,IF(CONFIG_METADATA!$B$4&lt;&gt;"OR+EX",--(DATOS!$G14681=CONFIG_METADATA!$B$4),IF(DATOS!$G14681="EX",1,IF(DATOS!$G14681="OR",--(COUNTIFS(nNIA,DATOS!$A14681,nCURSO,DATOS!$D14681,nESPEC,DATOS!$E14681,nASIG,DATOS!$I14681,nEVAL,"EX")=0),0))))</f>
      </c>
      <c r="H14681">
        <f>IF(DATOS!$G14681&lt;&gt;"EX",0,--(COUNTIFS(nNIA,DATOS!$A14681,nCURSO,DATOS!$D14681,nESPEC,DATOS!$E14681,nASIG,DATOS!$I14681,nEVAL,"OR")=0))</f>
      </c>
      <c r="I14681">
        <f>IF(DATOS!$I14681="","",IFERROR(VLOOKUP(DATOS!$I14681,CONFIG_ASIGNATURAS!$B$2:$J$91,9,FALSE()),""))</f>
      </c>
    </row>
    <row r="14682">
      <c r="F14682">
        <f>IF(DATOS!$A14682="","",DATOS!$A14682&amp;"|"&amp;DATOS!$D14682&amp;"|"&amp;DATOS!$E14682&amp;"|"&amp;DATOS!$I14682)</f>
      </c>
      <c r="G14682">
        <f>IF(DATOS!$A14682="",0,IF(CONFIG_METADATA!$B$4&lt;&gt;"OR+EX",--(DATOS!$G14682=CONFIG_METADATA!$B$4),IF(DATOS!$G14682="EX",1,IF(DATOS!$G14682="OR",--(COUNTIFS(nNIA,DATOS!$A14682,nCURSO,DATOS!$D14682,nESPEC,DATOS!$E14682,nASIG,DATOS!$I14682,nEVAL,"EX")=0),0))))</f>
      </c>
      <c r="H14682">
        <f>IF(DATOS!$G14682&lt;&gt;"EX",0,--(COUNTIFS(nNIA,DATOS!$A14682,nCURSO,DATOS!$D14682,nESPEC,DATOS!$E14682,nASIG,DATOS!$I14682,nEVAL,"OR")=0))</f>
      </c>
      <c r="I14682">
        <f>IF(DATOS!$I14682="","",IFERROR(VLOOKUP(DATOS!$I14682,CONFIG_ASIGNATURAS!$B$2:$J$91,9,FALSE()),""))</f>
      </c>
    </row>
    <row r="14683">
      <c r="F14683">
        <f>IF(DATOS!$A14683="","",DATOS!$A14683&amp;"|"&amp;DATOS!$D14683&amp;"|"&amp;DATOS!$E14683&amp;"|"&amp;DATOS!$I14683)</f>
      </c>
      <c r="G14683">
        <f>IF(DATOS!$A14683="",0,IF(CONFIG_METADATA!$B$4&lt;&gt;"OR+EX",--(DATOS!$G14683=CONFIG_METADATA!$B$4),IF(DATOS!$G14683="EX",1,IF(DATOS!$G14683="OR",--(COUNTIFS(nNIA,DATOS!$A14683,nCURSO,DATOS!$D14683,nESPEC,DATOS!$E14683,nASIG,DATOS!$I14683,nEVAL,"EX")=0),0))))</f>
      </c>
      <c r="H14683">
        <f>IF(DATOS!$G14683&lt;&gt;"EX",0,--(COUNTIFS(nNIA,DATOS!$A14683,nCURSO,DATOS!$D14683,nESPEC,DATOS!$E14683,nASIG,DATOS!$I14683,nEVAL,"OR")=0))</f>
      </c>
      <c r="I14683">
        <f>IF(DATOS!$I14683="","",IFERROR(VLOOKUP(DATOS!$I14683,CONFIG_ASIGNATURAS!$B$2:$J$91,9,FALSE()),""))</f>
      </c>
    </row>
    <row r="14684">
      <c r="F14684">
        <f>IF(DATOS!$A14684="","",DATOS!$A14684&amp;"|"&amp;DATOS!$D14684&amp;"|"&amp;DATOS!$E14684&amp;"|"&amp;DATOS!$I14684)</f>
      </c>
      <c r="G14684">
        <f>IF(DATOS!$A14684="",0,IF(CONFIG_METADATA!$B$4&lt;&gt;"OR+EX",--(DATOS!$G14684=CONFIG_METADATA!$B$4),IF(DATOS!$G14684="EX",1,IF(DATOS!$G14684="OR",--(COUNTIFS(nNIA,DATOS!$A14684,nCURSO,DATOS!$D14684,nESPEC,DATOS!$E14684,nASIG,DATOS!$I14684,nEVAL,"EX")=0),0))))</f>
      </c>
      <c r="H14684">
        <f>IF(DATOS!$G14684&lt;&gt;"EX",0,--(COUNTIFS(nNIA,DATOS!$A14684,nCURSO,DATOS!$D14684,nESPEC,DATOS!$E14684,nASIG,DATOS!$I14684,nEVAL,"OR")=0))</f>
      </c>
      <c r="I14684">
        <f>IF(DATOS!$I14684="","",IFERROR(VLOOKUP(DATOS!$I14684,CONFIG_ASIGNATURAS!$B$2:$J$91,9,FALSE()),""))</f>
      </c>
    </row>
    <row r="14685">
      <c r="F14685">
        <f>IF(DATOS!$A14685="","",DATOS!$A14685&amp;"|"&amp;DATOS!$D14685&amp;"|"&amp;DATOS!$E14685&amp;"|"&amp;DATOS!$I14685)</f>
      </c>
      <c r="G14685">
        <f>IF(DATOS!$A14685="",0,IF(CONFIG_METADATA!$B$4&lt;&gt;"OR+EX",--(DATOS!$G14685=CONFIG_METADATA!$B$4),IF(DATOS!$G14685="EX",1,IF(DATOS!$G14685="OR",--(COUNTIFS(nNIA,DATOS!$A14685,nCURSO,DATOS!$D14685,nESPEC,DATOS!$E14685,nASIG,DATOS!$I14685,nEVAL,"EX")=0),0))))</f>
      </c>
      <c r="H14685">
        <f>IF(DATOS!$G14685&lt;&gt;"EX",0,--(COUNTIFS(nNIA,DATOS!$A14685,nCURSO,DATOS!$D14685,nESPEC,DATOS!$E14685,nASIG,DATOS!$I14685,nEVAL,"OR")=0))</f>
      </c>
      <c r="I14685">
        <f>IF(DATOS!$I14685="","",IFERROR(VLOOKUP(DATOS!$I14685,CONFIG_ASIGNATURAS!$B$2:$J$91,9,FALSE()),""))</f>
      </c>
    </row>
    <row r="14686">
      <c r="F14686">
        <f>IF(DATOS!$A14686="","",DATOS!$A14686&amp;"|"&amp;DATOS!$D14686&amp;"|"&amp;DATOS!$E14686&amp;"|"&amp;DATOS!$I14686)</f>
      </c>
      <c r="G14686">
        <f>IF(DATOS!$A14686="",0,IF(CONFIG_METADATA!$B$4&lt;&gt;"OR+EX",--(DATOS!$G14686=CONFIG_METADATA!$B$4),IF(DATOS!$G14686="EX",1,IF(DATOS!$G14686="OR",--(COUNTIFS(nNIA,DATOS!$A14686,nCURSO,DATOS!$D14686,nESPEC,DATOS!$E14686,nASIG,DATOS!$I14686,nEVAL,"EX")=0),0))))</f>
      </c>
      <c r="H14686">
        <f>IF(DATOS!$G14686&lt;&gt;"EX",0,--(COUNTIFS(nNIA,DATOS!$A14686,nCURSO,DATOS!$D14686,nESPEC,DATOS!$E14686,nASIG,DATOS!$I14686,nEVAL,"OR")=0))</f>
      </c>
      <c r="I14686">
        <f>IF(DATOS!$I14686="","",IFERROR(VLOOKUP(DATOS!$I14686,CONFIG_ASIGNATURAS!$B$2:$J$91,9,FALSE()),""))</f>
      </c>
    </row>
    <row r="14687">
      <c r="F14687">
        <f>IF(DATOS!$A14687="","",DATOS!$A14687&amp;"|"&amp;DATOS!$D14687&amp;"|"&amp;DATOS!$E14687&amp;"|"&amp;DATOS!$I14687)</f>
      </c>
      <c r="G14687">
        <f>IF(DATOS!$A14687="",0,IF(CONFIG_METADATA!$B$4&lt;&gt;"OR+EX",--(DATOS!$G14687=CONFIG_METADATA!$B$4),IF(DATOS!$G14687="EX",1,IF(DATOS!$G14687="OR",--(COUNTIFS(nNIA,DATOS!$A14687,nCURSO,DATOS!$D14687,nESPEC,DATOS!$E14687,nASIG,DATOS!$I14687,nEVAL,"EX")=0),0))))</f>
      </c>
      <c r="H14687">
        <f>IF(DATOS!$G14687&lt;&gt;"EX",0,--(COUNTIFS(nNIA,DATOS!$A14687,nCURSO,DATOS!$D14687,nESPEC,DATOS!$E14687,nASIG,DATOS!$I14687,nEVAL,"OR")=0))</f>
      </c>
      <c r="I14687">
        <f>IF(DATOS!$I14687="","",IFERROR(VLOOKUP(DATOS!$I14687,CONFIG_ASIGNATURAS!$B$2:$J$91,9,FALSE()),""))</f>
      </c>
    </row>
    <row r="14688">
      <c r="F14688">
        <f>IF(DATOS!$A14688="","",DATOS!$A14688&amp;"|"&amp;DATOS!$D14688&amp;"|"&amp;DATOS!$E14688&amp;"|"&amp;DATOS!$I14688)</f>
      </c>
      <c r="G14688">
        <f>IF(DATOS!$A14688="",0,IF(CONFIG_METADATA!$B$4&lt;&gt;"OR+EX",--(DATOS!$G14688=CONFIG_METADATA!$B$4),IF(DATOS!$G14688="EX",1,IF(DATOS!$G14688="OR",--(COUNTIFS(nNIA,DATOS!$A14688,nCURSO,DATOS!$D14688,nESPEC,DATOS!$E14688,nASIG,DATOS!$I14688,nEVAL,"EX")=0),0))))</f>
      </c>
      <c r="H14688">
        <f>IF(DATOS!$G14688&lt;&gt;"EX",0,--(COUNTIFS(nNIA,DATOS!$A14688,nCURSO,DATOS!$D14688,nESPEC,DATOS!$E14688,nASIG,DATOS!$I14688,nEVAL,"OR")=0))</f>
      </c>
      <c r="I14688">
        <f>IF(DATOS!$I14688="","",IFERROR(VLOOKUP(DATOS!$I14688,CONFIG_ASIGNATURAS!$B$2:$J$91,9,FALSE()),""))</f>
      </c>
    </row>
    <row r="14689">
      <c r="F14689">
        <f>IF(DATOS!$A14689="","",DATOS!$A14689&amp;"|"&amp;DATOS!$D14689&amp;"|"&amp;DATOS!$E14689&amp;"|"&amp;DATOS!$I14689)</f>
      </c>
      <c r="G14689">
        <f>IF(DATOS!$A14689="",0,IF(CONFIG_METADATA!$B$4&lt;&gt;"OR+EX",--(DATOS!$G14689=CONFIG_METADATA!$B$4),IF(DATOS!$G14689="EX",1,IF(DATOS!$G14689="OR",--(COUNTIFS(nNIA,DATOS!$A14689,nCURSO,DATOS!$D14689,nESPEC,DATOS!$E14689,nASIG,DATOS!$I14689,nEVAL,"EX")=0),0))))</f>
      </c>
      <c r="H14689">
        <f>IF(DATOS!$G14689&lt;&gt;"EX",0,--(COUNTIFS(nNIA,DATOS!$A14689,nCURSO,DATOS!$D14689,nESPEC,DATOS!$E14689,nASIG,DATOS!$I14689,nEVAL,"OR")=0))</f>
      </c>
      <c r="I14689">
        <f>IF(DATOS!$I14689="","",IFERROR(VLOOKUP(DATOS!$I14689,CONFIG_ASIGNATURAS!$B$2:$J$91,9,FALSE()),""))</f>
      </c>
    </row>
    <row r="14690">
      <c r="F14690">
        <f>IF(DATOS!$A14690="","",DATOS!$A14690&amp;"|"&amp;DATOS!$D14690&amp;"|"&amp;DATOS!$E14690&amp;"|"&amp;DATOS!$I14690)</f>
      </c>
      <c r="G14690">
        <f>IF(DATOS!$A14690="",0,IF(CONFIG_METADATA!$B$4&lt;&gt;"OR+EX",--(DATOS!$G14690=CONFIG_METADATA!$B$4),IF(DATOS!$G14690="EX",1,IF(DATOS!$G14690="OR",--(COUNTIFS(nNIA,DATOS!$A14690,nCURSO,DATOS!$D14690,nESPEC,DATOS!$E14690,nASIG,DATOS!$I14690,nEVAL,"EX")=0),0))))</f>
      </c>
      <c r="H14690">
        <f>IF(DATOS!$G14690&lt;&gt;"EX",0,--(COUNTIFS(nNIA,DATOS!$A14690,nCURSO,DATOS!$D14690,nESPEC,DATOS!$E14690,nASIG,DATOS!$I14690,nEVAL,"OR")=0))</f>
      </c>
      <c r="I14690">
        <f>IF(DATOS!$I14690="","",IFERROR(VLOOKUP(DATOS!$I14690,CONFIG_ASIGNATURAS!$B$2:$J$91,9,FALSE()),""))</f>
      </c>
    </row>
    <row r="14691">
      <c r="F14691">
        <f>IF(DATOS!$A14691="","",DATOS!$A14691&amp;"|"&amp;DATOS!$D14691&amp;"|"&amp;DATOS!$E14691&amp;"|"&amp;DATOS!$I14691)</f>
      </c>
      <c r="G14691">
        <f>IF(DATOS!$A14691="",0,IF(CONFIG_METADATA!$B$4&lt;&gt;"OR+EX",--(DATOS!$G14691=CONFIG_METADATA!$B$4),IF(DATOS!$G14691="EX",1,IF(DATOS!$G14691="OR",--(COUNTIFS(nNIA,DATOS!$A14691,nCURSO,DATOS!$D14691,nESPEC,DATOS!$E14691,nASIG,DATOS!$I14691,nEVAL,"EX")=0),0))))</f>
      </c>
      <c r="H14691">
        <f>IF(DATOS!$G14691&lt;&gt;"EX",0,--(COUNTIFS(nNIA,DATOS!$A14691,nCURSO,DATOS!$D14691,nESPEC,DATOS!$E14691,nASIG,DATOS!$I14691,nEVAL,"OR")=0))</f>
      </c>
      <c r="I14691">
        <f>IF(DATOS!$I14691="","",IFERROR(VLOOKUP(DATOS!$I14691,CONFIG_ASIGNATURAS!$B$2:$J$91,9,FALSE()),""))</f>
      </c>
    </row>
    <row r="14692">
      <c r="F14692">
        <f>IF(DATOS!$A14692="","",DATOS!$A14692&amp;"|"&amp;DATOS!$D14692&amp;"|"&amp;DATOS!$E14692&amp;"|"&amp;DATOS!$I14692)</f>
      </c>
      <c r="G14692">
        <f>IF(DATOS!$A14692="",0,IF(CONFIG_METADATA!$B$4&lt;&gt;"OR+EX",--(DATOS!$G14692=CONFIG_METADATA!$B$4),IF(DATOS!$G14692="EX",1,IF(DATOS!$G14692="OR",--(COUNTIFS(nNIA,DATOS!$A14692,nCURSO,DATOS!$D14692,nESPEC,DATOS!$E14692,nASIG,DATOS!$I14692,nEVAL,"EX")=0),0))))</f>
      </c>
      <c r="H14692">
        <f>IF(DATOS!$G14692&lt;&gt;"EX",0,--(COUNTIFS(nNIA,DATOS!$A14692,nCURSO,DATOS!$D14692,nESPEC,DATOS!$E14692,nASIG,DATOS!$I14692,nEVAL,"OR")=0))</f>
      </c>
      <c r="I14692">
        <f>IF(DATOS!$I14692="","",IFERROR(VLOOKUP(DATOS!$I14692,CONFIG_ASIGNATURAS!$B$2:$J$91,9,FALSE()),""))</f>
      </c>
    </row>
    <row r="14693">
      <c r="F14693">
        <f>IF(DATOS!$A14693="","",DATOS!$A14693&amp;"|"&amp;DATOS!$D14693&amp;"|"&amp;DATOS!$E14693&amp;"|"&amp;DATOS!$I14693)</f>
      </c>
      <c r="G14693">
        <f>IF(DATOS!$A14693="",0,IF(CONFIG_METADATA!$B$4&lt;&gt;"OR+EX",--(DATOS!$G14693=CONFIG_METADATA!$B$4),IF(DATOS!$G14693="EX",1,IF(DATOS!$G14693="OR",--(COUNTIFS(nNIA,DATOS!$A14693,nCURSO,DATOS!$D14693,nESPEC,DATOS!$E14693,nASIG,DATOS!$I14693,nEVAL,"EX")=0),0))))</f>
      </c>
      <c r="H14693">
        <f>IF(DATOS!$G14693&lt;&gt;"EX",0,--(COUNTIFS(nNIA,DATOS!$A14693,nCURSO,DATOS!$D14693,nESPEC,DATOS!$E14693,nASIG,DATOS!$I14693,nEVAL,"OR")=0))</f>
      </c>
      <c r="I14693">
        <f>IF(DATOS!$I14693="","",IFERROR(VLOOKUP(DATOS!$I14693,CONFIG_ASIGNATURAS!$B$2:$J$91,9,FALSE()),""))</f>
      </c>
    </row>
    <row r="14694">
      <c r="F14694">
        <f>IF(DATOS!$A14694="","",DATOS!$A14694&amp;"|"&amp;DATOS!$D14694&amp;"|"&amp;DATOS!$E14694&amp;"|"&amp;DATOS!$I14694)</f>
      </c>
      <c r="G14694">
        <f>IF(DATOS!$A14694="",0,IF(CONFIG_METADATA!$B$4&lt;&gt;"OR+EX",--(DATOS!$G14694=CONFIG_METADATA!$B$4),IF(DATOS!$G14694="EX",1,IF(DATOS!$G14694="OR",--(COUNTIFS(nNIA,DATOS!$A14694,nCURSO,DATOS!$D14694,nESPEC,DATOS!$E14694,nASIG,DATOS!$I14694,nEVAL,"EX")=0),0))))</f>
      </c>
      <c r="H14694">
        <f>IF(DATOS!$G14694&lt;&gt;"EX",0,--(COUNTIFS(nNIA,DATOS!$A14694,nCURSO,DATOS!$D14694,nESPEC,DATOS!$E14694,nASIG,DATOS!$I14694,nEVAL,"OR")=0))</f>
      </c>
      <c r="I14694">
        <f>IF(DATOS!$I14694="","",IFERROR(VLOOKUP(DATOS!$I14694,CONFIG_ASIGNATURAS!$B$2:$J$91,9,FALSE()),""))</f>
      </c>
    </row>
    <row r="14695">
      <c r="F14695">
        <f>IF(DATOS!$A14695="","",DATOS!$A14695&amp;"|"&amp;DATOS!$D14695&amp;"|"&amp;DATOS!$E14695&amp;"|"&amp;DATOS!$I14695)</f>
      </c>
      <c r="G14695">
        <f>IF(DATOS!$A14695="",0,IF(CONFIG_METADATA!$B$4&lt;&gt;"OR+EX",--(DATOS!$G14695=CONFIG_METADATA!$B$4),IF(DATOS!$G14695="EX",1,IF(DATOS!$G14695="OR",--(COUNTIFS(nNIA,DATOS!$A14695,nCURSO,DATOS!$D14695,nESPEC,DATOS!$E14695,nASIG,DATOS!$I14695,nEVAL,"EX")=0),0))))</f>
      </c>
      <c r="H14695">
        <f>IF(DATOS!$G14695&lt;&gt;"EX",0,--(COUNTIFS(nNIA,DATOS!$A14695,nCURSO,DATOS!$D14695,nESPEC,DATOS!$E14695,nASIG,DATOS!$I14695,nEVAL,"OR")=0))</f>
      </c>
      <c r="I14695">
        <f>IF(DATOS!$I14695="","",IFERROR(VLOOKUP(DATOS!$I14695,CONFIG_ASIGNATURAS!$B$2:$J$91,9,FALSE()),""))</f>
      </c>
    </row>
    <row r="14696">
      <c r="F14696">
        <f>IF(DATOS!$A14696="","",DATOS!$A14696&amp;"|"&amp;DATOS!$D14696&amp;"|"&amp;DATOS!$E14696&amp;"|"&amp;DATOS!$I14696)</f>
      </c>
      <c r="G14696">
        <f>IF(DATOS!$A14696="",0,IF(CONFIG_METADATA!$B$4&lt;&gt;"OR+EX",--(DATOS!$G14696=CONFIG_METADATA!$B$4),IF(DATOS!$G14696="EX",1,IF(DATOS!$G14696="OR",--(COUNTIFS(nNIA,DATOS!$A14696,nCURSO,DATOS!$D14696,nESPEC,DATOS!$E14696,nASIG,DATOS!$I14696,nEVAL,"EX")=0),0))))</f>
      </c>
      <c r="H14696">
        <f>IF(DATOS!$G14696&lt;&gt;"EX",0,--(COUNTIFS(nNIA,DATOS!$A14696,nCURSO,DATOS!$D14696,nESPEC,DATOS!$E14696,nASIG,DATOS!$I14696,nEVAL,"OR")=0))</f>
      </c>
      <c r="I14696">
        <f>IF(DATOS!$I14696="","",IFERROR(VLOOKUP(DATOS!$I14696,CONFIG_ASIGNATURAS!$B$2:$J$91,9,FALSE()),""))</f>
      </c>
    </row>
    <row r="14697">
      <c r="F14697">
        <f>IF(DATOS!$A14697="","",DATOS!$A14697&amp;"|"&amp;DATOS!$D14697&amp;"|"&amp;DATOS!$E14697&amp;"|"&amp;DATOS!$I14697)</f>
      </c>
      <c r="G14697">
        <f>IF(DATOS!$A14697="",0,IF(CONFIG_METADATA!$B$4&lt;&gt;"OR+EX",--(DATOS!$G14697=CONFIG_METADATA!$B$4),IF(DATOS!$G14697="EX",1,IF(DATOS!$G14697="OR",--(COUNTIFS(nNIA,DATOS!$A14697,nCURSO,DATOS!$D14697,nESPEC,DATOS!$E14697,nASIG,DATOS!$I14697,nEVAL,"EX")=0),0))))</f>
      </c>
      <c r="H14697">
        <f>IF(DATOS!$G14697&lt;&gt;"EX",0,--(COUNTIFS(nNIA,DATOS!$A14697,nCURSO,DATOS!$D14697,nESPEC,DATOS!$E14697,nASIG,DATOS!$I14697,nEVAL,"OR")=0))</f>
      </c>
      <c r="I14697">
        <f>IF(DATOS!$I14697="","",IFERROR(VLOOKUP(DATOS!$I14697,CONFIG_ASIGNATURAS!$B$2:$J$91,9,FALSE()),""))</f>
      </c>
    </row>
    <row r="14698">
      <c r="F14698">
        <f>IF(DATOS!$A14698="","",DATOS!$A14698&amp;"|"&amp;DATOS!$D14698&amp;"|"&amp;DATOS!$E14698&amp;"|"&amp;DATOS!$I14698)</f>
      </c>
      <c r="G14698">
        <f>IF(DATOS!$A14698="",0,IF(CONFIG_METADATA!$B$4&lt;&gt;"OR+EX",--(DATOS!$G14698=CONFIG_METADATA!$B$4),IF(DATOS!$G14698="EX",1,IF(DATOS!$G14698="OR",--(COUNTIFS(nNIA,DATOS!$A14698,nCURSO,DATOS!$D14698,nESPEC,DATOS!$E14698,nASIG,DATOS!$I14698,nEVAL,"EX")=0),0))))</f>
      </c>
      <c r="H14698">
        <f>IF(DATOS!$G14698&lt;&gt;"EX",0,--(COUNTIFS(nNIA,DATOS!$A14698,nCURSO,DATOS!$D14698,nESPEC,DATOS!$E14698,nASIG,DATOS!$I14698,nEVAL,"OR")=0))</f>
      </c>
      <c r="I14698">
        <f>IF(DATOS!$I14698="","",IFERROR(VLOOKUP(DATOS!$I14698,CONFIG_ASIGNATURAS!$B$2:$J$91,9,FALSE()),""))</f>
      </c>
    </row>
    <row r="14699">
      <c r="F14699">
        <f>IF(DATOS!$A14699="","",DATOS!$A14699&amp;"|"&amp;DATOS!$D14699&amp;"|"&amp;DATOS!$E14699&amp;"|"&amp;DATOS!$I14699)</f>
      </c>
      <c r="G14699">
        <f>IF(DATOS!$A14699="",0,IF(CONFIG_METADATA!$B$4&lt;&gt;"OR+EX",--(DATOS!$G14699=CONFIG_METADATA!$B$4),IF(DATOS!$G14699="EX",1,IF(DATOS!$G14699="OR",--(COUNTIFS(nNIA,DATOS!$A14699,nCURSO,DATOS!$D14699,nESPEC,DATOS!$E14699,nASIG,DATOS!$I14699,nEVAL,"EX")=0),0))))</f>
      </c>
      <c r="H14699">
        <f>IF(DATOS!$G14699&lt;&gt;"EX",0,--(COUNTIFS(nNIA,DATOS!$A14699,nCURSO,DATOS!$D14699,nESPEC,DATOS!$E14699,nASIG,DATOS!$I14699,nEVAL,"OR")=0))</f>
      </c>
      <c r="I14699">
        <f>IF(DATOS!$I14699="","",IFERROR(VLOOKUP(DATOS!$I14699,CONFIG_ASIGNATURAS!$B$2:$J$91,9,FALSE()),""))</f>
      </c>
    </row>
    <row r="14700">
      <c r="F14700">
        <f>IF(DATOS!$A14700="","",DATOS!$A14700&amp;"|"&amp;DATOS!$D14700&amp;"|"&amp;DATOS!$E14700&amp;"|"&amp;DATOS!$I14700)</f>
      </c>
      <c r="G14700">
        <f>IF(DATOS!$A14700="",0,IF(CONFIG_METADATA!$B$4&lt;&gt;"OR+EX",--(DATOS!$G14700=CONFIG_METADATA!$B$4),IF(DATOS!$G14700="EX",1,IF(DATOS!$G14700="OR",--(COUNTIFS(nNIA,DATOS!$A14700,nCURSO,DATOS!$D14700,nESPEC,DATOS!$E14700,nASIG,DATOS!$I14700,nEVAL,"EX")=0),0))))</f>
      </c>
      <c r="H14700">
        <f>IF(DATOS!$G14700&lt;&gt;"EX",0,--(COUNTIFS(nNIA,DATOS!$A14700,nCURSO,DATOS!$D14700,nESPEC,DATOS!$E14700,nASIG,DATOS!$I14700,nEVAL,"OR")=0))</f>
      </c>
      <c r="I14700">
        <f>IF(DATOS!$I14700="","",IFERROR(VLOOKUP(DATOS!$I14700,CONFIG_ASIGNATURAS!$B$2:$J$91,9,FALSE()),""))</f>
      </c>
    </row>
    <row r="14701">
      <c r="F14701">
        <f>IF(DATOS!$A14701="","",DATOS!$A14701&amp;"|"&amp;DATOS!$D14701&amp;"|"&amp;DATOS!$E14701&amp;"|"&amp;DATOS!$I14701)</f>
      </c>
      <c r="G14701">
        <f>IF(DATOS!$A14701="",0,IF(CONFIG_METADATA!$B$4&lt;&gt;"OR+EX",--(DATOS!$G14701=CONFIG_METADATA!$B$4),IF(DATOS!$G14701="EX",1,IF(DATOS!$G14701="OR",--(COUNTIFS(nNIA,DATOS!$A14701,nCURSO,DATOS!$D14701,nESPEC,DATOS!$E14701,nASIG,DATOS!$I14701,nEVAL,"EX")=0),0))))</f>
      </c>
      <c r="H14701">
        <f>IF(DATOS!$G14701&lt;&gt;"EX",0,--(COUNTIFS(nNIA,DATOS!$A14701,nCURSO,DATOS!$D14701,nESPEC,DATOS!$E14701,nASIG,DATOS!$I14701,nEVAL,"OR")=0))</f>
      </c>
      <c r="I14701">
        <f>IF(DATOS!$I14701="","",IFERROR(VLOOKUP(DATOS!$I14701,CONFIG_ASIGNATURAS!$B$2:$J$91,9,FALSE()),""))</f>
      </c>
    </row>
    <row r="14702">
      <c r="F14702">
        <f>IF(DATOS!$A14702="","",DATOS!$A14702&amp;"|"&amp;DATOS!$D14702&amp;"|"&amp;DATOS!$E14702&amp;"|"&amp;DATOS!$I14702)</f>
      </c>
      <c r="G14702">
        <f>IF(DATOS!$A14702="",0,IF(CONFIG_METADATA!$B$4&lt;&gt;"OR+EX",--(DATOS!$G14702=CONFIG_METADATA!$B$4),IF(DATOS!$G14702="EX",1,IF(DATOS!$G14702="OR",--(COUNTIFS(nNIA,DATOS!$A14702,nCURSO,DATOS!$D14702,nESPEC,DATOS!$E14702,nASIG,DATOS!$I14702,nEVAL,"EX")=0),0))))</f>
      </c>
      <c r="H14702">
        <f>IF(DATOS!$G14702&lt;&gt;"EX",0,--(COUNTIFS(nNIA,DATOS!$A14702,nCURSO,DATOS!$D14702,nESPEC,DATOS!$E14702,nASIG,DATOS!$I14702,nEVAL,"OR")=0))</f>
      </c>
      <c r="I14702">
        <f>IF(DATOS!$I14702="","",IFERROR(VLOOKUP(DATOS!$I14702,CONFIG_ASIGNATURAS!$B$2:$J$91,9,FALSE()),""))</f>
      </c>
    </row>
    <row r="14703">
      <c r="F14703">
        <f>IF(DATOS!$A14703="","",DATOS!$A14703&amp;"|"&amp;DATOS!$D14703&amp;"|"&amp;DATOS!$E14703&amp;"|"&amp;DATOS!$I14703)</f>
      </c>
      <c r="G14703">
        <f>IF(DATOS!$A14703="",0,IF(CONFIG_METADATA!$B$4&lt;&gt;"OR+EX",--(DATOS!$G14703=CONFIG_METADATA!$B$4),IF(DATOS!$G14703="EX",1,IF(DATOS!$G14703="OR",--(COUNTIFS(nNIA,DATOS!$A14703,nCURSO,DATOS!$D14703,nESPEC,DATOS!$E14703,nASIG,DATOS!$I14703,nEVAL,"EX")=0),0))))</f>
      </c>
      <c r="H14703">
        <f>IF(DATOS!$G14703&lt;&gt;"EX",0,--(COUNTIFS(nNIA,DATOS!$A14703,nCURSO,DATOS!$D14703,nESPEC,DATOS!$E14703,nASIG,DATOS!$I14703,nEVAL,"OR")=0))</f>
      </c>
      <c r="I14703">
        <f>IF(DATOS!$I14703="","",IFERROR(VLOOKUP(DATOS!$I14703,CONFIG_ASIGNATURAS!$B$2:$J$91,9,FALSE()),""))</f>
      </c>
    </row>
    <row r="14704">
      <c r="F14704">
        <f>IF(DATOS!$A14704="","",DATOS!$A14704&amp;"|"&amp;DATOS!$D14704&amp;"|"&amp;DATOS!$E14704&amp;"|"&amp;DATOS!$I14704)</f>
      </c>
      <c r="G14704">
        <f>IF(DATOS!$A14704="",0,IF(CONFIG_METADATA!$B$4&lt;&gt;"OR+EX",--(DATOS!$G14704=CONFIG_METADATA!$B$4),IF(DATOS!$G14704="EX",1,IF(DATOS!$G14704="OR",--(COUNTIFS(nNIA,DATOS!$A14704,nCURSO,DATOS!$D14704,nESPEC,DATOS!$E14704,nASIG,DATOS!$I14704,nEVAL,"EX")=0),0))))</f>
      </c>
      <c r="H14704">
        <f>IF(DATOS!$G14704&lt;&gt;"EX",0,--(COUNTIFS(nNIA,DATOS!$A14704,nCURSO,DATOS!$D14704,nESPEC,DATOS!$E14704,nASIG,DATOS!$I14704,nEVAL,"OR")=0))</f>
      </c>
      <c r="I14704">
        <f>IF(DATOS!$I14704="","",IFERROR(VLOOKUP(DATOS!$I14704,CONFIG_ASIGNATURAS!$B$2:$J$91,9,FALSE()),""))</f>
      </c>
    </row>
    <row r="14705">
      <c r="F14705">
        <f>IF(DATOS!$A14705="","",DATOS!$A14705&amp;"|"&amp;DATOS!$D14705&amp;"|"&amp;DATOS!$E14705&amp;"|"&amp;DATOS!$I14705)</f>
      </c>
      <c r="G14705">
        <f>IF(DATOS!$A14705="",0,IF(CONFIG_METADATA!$B$4&lt;&gt;"OR+EX",--(DATOS!$G14705=CONFIG_METADATA!$B$4),IF(DATOS!$G14705="EX",1,IF(DATOS!$G14705="OR",--(COUNTIFS(nNIA,DATOS!$A14705,nCURSO,DATOS!$D14705,nESPEC,DATOS!$E14705,nASIG,DATOS!$I14705,nEVAL,"EX")=0),0))))</f>
      </c>
      <c r="H14705">
        <f>IF(DATOS!$G14705&lt;&gt;"EX",0,--(COUNTIFS(nNIA,DATOS!$A14705,nCURSO,DATOS!$D14705,nESPEC,DATOS!$E14705,nASIG,DATOS!$I14705,nEVAL,"OR")=0))</f>
      </c>
      <c r="I14705">
        <f>IF(DATOS!$I14705="","",IFERROR(VLOOKUP(DATOS!$I14705,CONFIG_ASIGNATURAS!$B$2:$J$91,9,FALSE()),""))</f>
      </c>
    </row>
    <row r="14706">
      <c r="F14706">
        <f>IF(DATOS!$A14706="","",DATOS!$A14706&amp;"|"&amp;DATOS!$D14706&amp;"|"&amp;DATOS!$E14706&amp;"|"&amp;DATOS!$I14706)</f>
      </c>
      <c r="G14706">
        <f>IF(DATOS!$A14706="",0,IF(CONFIG_METADATA!$B$4&lt;&gt;"OR+EX",--(DATOS!$G14706=CONFIG_METADATA!$B$4),IF(DATOS!$G14706="EX",1,IF(DATOS!$G14706="OR",--(COUNTIFS(nNIA,DATOS!$A14706,nCURSO,DATOS!$D14706,nESPEC,DATOS!$E14706,nASIG,DATOS!$I14706,nEVAL,"EX")=0),0))))</f>
      </c>
      <c r="H14706">
        <f>IF(DATOS!$G14706&lt;&gt;"EX",0,--(COUNTIFS(nNIA,DATOS!$A14706,nCURSO,DATOS!$D14706,nESPEC,DATOS!$E14706,nASIG,DATOS!$I14706,nEVAL,"OR")=0))</f>
      </c>
      <c r="I14706">
        <f>IF(DATOS!$I14706="","",IFERROR(VLOOKUP(DATOS!$I14706,CONFIG_ASIGNATURAS!$B$2:$J$91,9,FALSE()),""))</f>
      </c>
    </row>
    <row r="14707">
      <c r="F14707">
        <f>IF(DATOS!$A14707="","",DATOS!$A14707&amp;"|"&amp;DATOS!$D14707&amp;"|"&amp;DATOS!$E14707&amp;"|"&amp;DATOS!$I14707)</f>
      </c>
      <c r="G14707">
        <f>IF(DATOS!$A14707="",0,IF(CONFIG_METADATA!$B$4&lt;&gt;"OR+EX",--(DATOS!$G14707=CONFIG_METADATA!$B$4),IF(DATOS!$G14707="EX",1,IF(DATOS!$G14707="OR",--(COUNTIFS(nNIA,DATOS!$A14707,nCURSO,DATOS!$D14707,nESPEC,DATOS!$E14707,nASIG,DATOS!$I14707,nEVAL,"EX")=0),0))))</f>
      </c>
      <c r="H14707">
        <f>IF(DATOS!$G14707&lt;&gt;"EX",0,--(COUNTIFS(nNIA,DATOS!$A14707,nCURSO,DATOS!$D14707,nESPEC,DATOS!$E14707,nASIG,DATOS!$I14707,nEVAL,"OR")=0))</f>
      </c>
      <c r="I14707">
        <f>IF(DATOS!$I14707="","",IFERROR(VLOOKUP(DATOS!$I14707,CONFIG_ASIGNATURAS!$B$2:$J$91,9,FALSE()),""))</f>
      </c>
    </row>
    <row r="14708">
      <c r="F14708">
        <f>IF(DATOS!$A14708="","",DATOS!$A14708&amp;"|"&amp;DATOS!$D14708&amp;"|"&amp;DATOS!$E14708&amp;"|"&amp;DATOS!$I14708)</f>
      </c>
      <c r="G14708">
        <f>IF(DATOS!$A14708="",0,IF(CONFIG_METADATA!$B$4&lt;&gt;"OR+EX",--(DATOS!$G14708=CONFIG_METADATA!$B$4),IF(DATOS!$G14708="EX",1,IF(DATOS!$G14708="OR",--(COUNTIFS(nNIA,DATOS!$A14708,nCURSO,DATOS!$D14708,nESPEC,DATOS!$E14708,nASIG,DATOS!$I14708,nEVAL,"EX")=0),0))))</f>
      </c>
      <c r="H14708">
        <f>IF(DATOS!$G14708&lt;&gt;"EX",0,--(COUNTIFS(nNIA,DATOS!$A14708,nCURSO,DATOS!$D14708,nESPEC,DATOS!$E14708,nASIG,DATOS!$I14708,nEVAL,"OR")=0))</f>
      </c>
      <c r="I14708">
        <f>IF(DATOS!$I14708="","",IFERROR(VLOOKUP(DATOS!$I14708,CONFIG_ASIGNATURAS!$B$2:$J$91,9,FALSE()),""))</f>
      </c>
    </row>
    <row r="14709">
      <c r="F14709">
        <f>IF(DATOS!$A14709="","",DATOS!$A14709&amp;"|"&amp;DATOS!$D14709&amp;"|"&amp;DATOS!$E14709&amp;"|"&amp;DATOS!$I14709)</f>
      </c>
      <c r="G14709">
        <f>IF(DATOS!$A14709="",0,IF(CONFIG_METADATA!$B$4&lt;&gt;"OR+EX",--(DATOS!$G14709=CONFIG_METADATA!$B$4),IF(DATOS!$G14709="EX",1,IF(DATOS!$G14709="OR",--(COUNTIFS(nNIA,DATOS!$A14709,nCURSO,DATOS!$D14709,nESPEC,DATOS!$E14709,nASIG,DATOS!$I14709,nEVAL,"EX")=0),0))))</f>
      </c>
      <c r="H14709">
        <f>IF(DATOS!$G14709&lt;&gt;"EX",0,--(COUNTIFS(nNIA,DATOS!$A14709,nCURSO,DATOS!$D14709,nESPEC,DATOS!$E14709,nASIG,DATOS!$I14709,nEVAL,"OR")=0))</f>
      </c>
      <c r="I14709">
        <f>IF(DATOS!$I14709="","",IFERROR(VLOOKUP(DATOS!$I14709,CONFIG_ASIGNATURAS!$B$2:$J$91,9,FALSE()),""))</f>
      </c>
    </row>
    <row r="14710">
      <c r="F14710">
        <f>IF(DATOS!$A14710="","",DATOS!$A14710&amp;"|"&amp;DATOS!$D14710&amp;"|"&amp;DATOS!$E14710&amp;"|"&amp;DATOS!$I14710)</f>
      </c>
      <c r="G14710">
        <f>IF(DATOS!$A14710="",0,IF(CONFIG_METADATA!$B$4&lt;&gt;"OR+EX",--(DATOS!$G14710=CONFIG_METADATA!$B$4),IF(DATOS!$G14710="EX",1,IF(DATOS!$G14710="OR",--(COUNTIFS(nNIA,DATOS!$A14710,nCURSO,DATOS!$D14710,nESPEC,DATOS!$E14710,nASIG,DATOS!$I14710,nEVAL,"EX")=0),0))))</f>
      </c>
      <c r="H14710">
        <f>IF(DATOS!$G14710&lt;&gt;"EX",0,--(COUNTIFS(nNIA,DATOS!$A14710,nCURSO,DATOS!$D14710,nESPEC,DATOS!$E14710,nASIG,DATOS!$I14710,nEVAL,"OR")=0))</f>
      </c>
      <c r="I14710">
        <f>IF(DATOS!$I14710="","",IFERROR(VLOOKUP(DATOS!$I14710,CONFIG_ASIGNATURAS!$B$2:$J$91,9,FALSE()),""))</f>
      </c>
    </row>
    <row r="14711">
      <c r="F14711">
        <f>IF(DATOS!$A14711="","",DATOS!$A14711&amp;"|"&amp;DATOS!$D14711&amp;"|"&amp;DATOS!$E14711&amp;"|"&amp;DATOS!$I14711)</f>
      </c>
      <c r="G14711">
        <f>IF(DATOS!$A14711="",0,IF(CONFIG_METADATA!$B$4&lt;&gt;"OR+EX",--(DATOS!$G14711=CONFIG_METADATA!$B$4),IF(DATOS!$G14711="EX",1,IF(DATOS!$G14711="OR",--(COUNTIFS(nNIA,DATOS!$A14711,nCURSO,DATOS!$D14711,nESPEC,DATOS!$E14711,nASIG,DATOS!$I14711,nEVAL,"EX")=0),0))))</f>
      </c>
      <c r="H14711">
        <f>IF(DATOS!$G14711&lt;&gt;"EX",0,--(COUNTIFS(nNIA,DATOS!$A14711,nCURSO,DATOS!$D14711,nESPEC,DATOS!$E14711,nASIG,DATOS!$I14711,nEVAL,"OR")=0))</f>
      </c>
      <c r="I14711">
        <f>IF(DATOS!$I14711="","",IFERROR(VLOOKUP(DATOS!$I14711,CONFIG_ASIGNATURAS!$B$2:$J$91,9,FALSE()),""))</f>
      </c>
    </row>
    <row r="14712">
      <c r="F14712">
        <f>IF(DATOS!$A14712="","",DATOS!$A14712&amp;"|"&amp;DATOS!$D14712&amp;"|"&amp;DATOS!$E14712&amp;"|"&amp;DATOS!$I14712)</f>
      </c>
      <c r="G14712">
        <f>IF(DATOS!$A14712="",0,IF(CONFIG_METADATA!$B$4&lt;&gt;"OR+EX",--(DATOS!$G14712=CONFIG_METADATA!$B$4),IF(DATOS!$G14712="EX",1,IF(DATOS!$G14712="OR",--(COUNTIFS(nNIA,DATOS!$A14712,nCURSO,DATOS!$D14712,nESPEC,DATOS!$E14712,nASIG,DATOS!$I14712,nEVAL,"EX")=0),0))))</f>
      </c>
      <c r="H14712">
        <f>IF(DATOS!$G14712&lt;&gt;"EX",0,--(COUNTIFS(nNIA,DATOS!$A14712,nCURSO,DATOS!$D14712,nESPEC,DATOS!$E14712,nASIG,DATOS!$I14712,nEVAL,"OR")=0))</f>
      </c>
      <c r="I14712">
        <f>IF(DATOS!$I14712="","",IFERROR(VLOOKUP(DATOS!$I14712,CONFIG_ASIGNATURAS!$B$2:$J$91,9,FALSE()),""))</f>
      </c>
    </row>
    <row r="14713">
      <c r="F14713">
        <f>IF(DATOS!$A14713="","",DATOS!$A14713&amp;"|"&amp;DATOS!$D14713&amp;"|"&amp;DATOS!$E14713&amp;"|"&amp;DATOS!$I14713)</f>
      </c>
      <c r="G14713">
        <f>IF(DATOS!$A14713="",0,IF(CONFIG_METADATA!$B$4&lt;&gt;"OR+EX",--(DATOS!$G14713=CONFIG_METADATA!$B$4),IF(DATOS!$G14713="EX",1,IF(DATOS!$G14713="OR",--(COUNTIFS(nNIA,DATOS!$A14713,nCURSO,DATOS!$D14713,nESPEC,DATOS!$E14713,nASIG,DATOS!$I14713,nEVAL,"EX")=0),0))))</f>
      </c>
      <c r="H14713">
        <f>IF(DATOS!$G14713&lt;&gt;"EX",0,--(COUNTIFS(nNIA,DATOS!$A14713,nCURSO,DATOS!$D14713,nESPEC,DATOS!$E14713,nASIG,DATOS!$I14713,nEVAL,"OR")=0))</f>
      </c>
      <c r="I14713">
        <f>IF(DATOS!$I14713="","",IFERROR(VLOOKUP(DATOS!$I14713,CONFIG_ASIGNATURAS!$B$2:$J$91,9,FALSE()),""))</f>
      </c>
    </row>
    <row r="14714">
      <c r="F14714">
        <f>IF(DATOS!$A14714="","",DATOS!$A14714&amp;"|"&amp;DATOS!$D14714&amp;"|"&amp;DATOS!$E14714&amp;"|"&amp;DATOS!$I14714)</f>
      </c>
      <c r="G14714">
        <f>IF(DATOS!$A14714="",0,IF(CONFIG_METADATA!$B$4&lt;&gt;"OR+EX",--(DATOS!$G14714=CONFIG_METADATA!$B$4),IF(DATOS!$G14714="EX",1,IF(DATOS!$G14714="OR",--(COUNTIFS(nNIA,DATOS!$A14714,nCURSO,DATOS!$D14714,nESPEC,DATOS!$E14714,nASIG,DATOS!$I14714,nEVAL,"EX")=0),0))))</f>
      </c>
      <c r="H14714">
        <f>IF(DATOS!$G14714&lt;&gt;"EX",0,--(COUNTIFS(nNIA,DATOS!$A14714,nCURSO,DATOS!$D14714,nESPEC,DATOS!$E14714,nASIG,DATOS!$I14714,nEVAL,"OR")=0))</f>
      </c>
      <c r="I14714">
        <f>IF(DATOS!$I14714="","",IFERROR(VLOOKUP(DATOS!$I14714,CONFIG_ASIGNATURAS!$B$2:$J$91,9,FALSE()),""))</f>
      </c>
    </row>
    <row r="14715">
      <c r="F14715">
        <f>IF(DATOS!$A14715="","",DATOS!$A14715&amp;"|"&amp;DATOS!$D14715&amp;"|"&amp;DATOS!$E14715&amp;"|"&amp;DATOS!$I14715)</f>
      </c>
      <c r="G14715">
        <f>IF(DATOS!$A14715="",0,IF(CONFIG_METADATA!$B$4&lt;&gt;"OR+EX",--(DATOS!$G14715=CONFIG_METADATA!$B$4),IF(DATOS!$G14715="EX",1,IF(DATOS!$G14715="OR",--(COUNTIFS(nNIA,DATOS!$A14715,nCURSO,DATOS!$D14715,nESPEC,DATOS!$E14715,nASIG,DATOS!$I14715,nEVAL,"EX")=0),0))))</f>
      </c>
      <c r="H14715">
        <f>IF(DATOS!$G14715&lt;&gt;"EX",0,--(COUNTIFS(nNIA,DATOS!$A14715,nCURSO,DATOS!$D14715,nESPEC,DATOS!$E14715,nASIG,DATOS!$I14715,nEVAL,"OR")=0))</f>
      </c>
      <c r="I14715">
        <f>IF(DATOS!$I14715="","",IFERROR(VLOOKUP(DATOS!$I14715,CONFIG_ASIGNATURAS!$B$2:$J$91,9,FALSE()),""))</f>
      </c>
    </row>
    <row r="14716">
      <c r="F14716">
        <f>IF(DATOS!$A14716="","",DATOS!$A14716&amp;"|"&amp;DATOS!$D14716&amp;"|"&amp;DATOS!$E14716&amp;"|"&amp;DATOS!$I14716)</f>
      </c>
      <c r="G14716">
        <f>IF(DATOS!$A14716="",0,IF(CONFIG_METADATA!$B$4&lt;&gt;"OR+EX",--(DATOS!$G14716=CONFIG_METADATA!$B$4),IF(DATOS!$G14716="EX",1,IF(DATOS!$G14716="OR",--(COUNTIFS(nNIA,DATOS!$A14716,nCURSO,DATOS!$D14716,nESPEC,DATOS!$E14716,nASIG,DATOS!$I14716,nEVAL,"EX")=0),0))))</f>
      </c>
      <c r="H14716">
        <f>IF(DATOS!$G14716&lt;&gt;"EX",0,--(COUNTIFS(nNIA,DATOS!$A14716,nCURSO,DATOS!$D14716,nESPEC,DATOS!$E14716,nASIG,DATOS!$I14716,nEVAL,"OR")=0))</f>
      </c>
      <c r="I14716">
        <f>IF(DATOS!$I14716="","",IFERROR(VLOOKUP(DATOS!$I14716,CONFIG_ASIGNATURAS!$B$2:$J$91,9,FALSE()),""))</f>
      </c>
    </row>
    <row r="14717">
      <c r="F14717">
        <f>IF(DATOS!$A14717="","",DATOS!$A14717&amp;"|"&amp;DATOS!$D14717&amp;"|"&amp;DATOS!$E14717&amp;"|"&amp;DATOS!$I14717)</f>
      </c>
      <c r="G14717">
        <f>IF(DATOS!$A14717="",0,IF(CONFIG_METADATA!$B$4&lt;&gt;"OR+EX",--(DATOS!$G14717=CONFIG_METADATA!$B$4),IF(DATOS!$G14717="EX",1,IF(DATOS!$G14717="OR",--(COUNTIFS(nNIA,DATOS!$A14717,nCURSO,DATOS!$D14717,nESPEC,DATOS!$E14717,nASIG,DATOS!$I14717,nEVAL,"EX")=0),0))))</f>
      </c>
      <c r="H14717">
        <f>IF(DATOS!$G14717&lt;&gt;"EX",0,--(COUNTIFS(nNIA,DATOS!$A14717,nCURSO,DATOS!$D14717,nESPEC,DATOS!$E14717,nASIG,DATOS!$I14717,nEVAL,"OR")=0))</f>
      </c>
      <c r="I14717">
        <f>IF(DATOS!$I14717="","",IFERROR(VLOOKUP(DATOS!$I14717,CONFIG_ASIGNATURAS!$B$2:$J$91,9,FALSE()),""))</f>
      </c>
    </row>
    <row r="14718">
      <c r="F14718">
        <f>IF(DATOS!$A14718="","",DATOS!$A14718&amp;"|"&amp;DATOS!$D14718&amp;"|"&amp;DATOS!$E14718&amp;"|"&amp;DATOS!$I14718)</f>
      </c>
      <c r="G14718">
        <f>IF(DATOS!$A14718="",0,IF(CONFIG_METADATA!$B$4&lt;&gt;"OR+EX",--(DATOS!$G14718=CONFIG_METADATA!$B$4),IF(DATOS!$G14718="EX",1,IF(DATOS!$G14718="OR",--(COUNTIFS(nNIA,DATOS!$A14718,nCURSO,DATOS!$D14718,nESPEC,DATOS!$E14718,nASIG,DATOS!$I14718,nEVAL,"EX")=0),0))))</f>
      </c>
      <c r="H14718">
        <f>IF(DATOS!$G14718&lt;&gt;"EX",0,--(COUNTIFS(nNIA,DATOS!$A14718,nCURSO,DATOS!$D14718,nESPEC,DATOS!$E14718,nASIG,DATOS!$I14718,nEVAL,"OR")=0))</f>
      </c>
      <c r="I14718">
        <f>IF(DATOS!$I14718="","",IFERROR(VLOOKUP(DATOS!$I14718,CONFIG_ASIGNATURAS!$B$2:$J$91,9,FALSE()),""))</f>
      </c>
    </row>
    <row r="14719">
      <c r="F14719">
        <f>IF(DATOS!$A14719="","",DATOS!$A14719&amp;"|"&amp;DATOS!$D14719&amp;"|"&amp;DATOS!$E14719&amp;"|"&amp;DATOS!$I14719)</f>
      </c>
      <c r="G14719">
        <f>IF(DATOS!$A14719="",0,IF(CONFIG_METADATA!$B$4&lt;&gt;"OR+EX",--(DATOS!$G14719=CONFIG_METADATA!$B$4),IF(DATOS!$G14719="EX",1,IF(DATOS!$G14719="OR",--(COUNTIFS(nNIA,DATOS!$A14719,nCURSO,DATOS!$D14719,nESPEC,DATOS!$E14719,nASIG,DATOS!$I14719,nEVAL,"EX")=0),0))))</f>
      </c>
      <c r="H14719">
        <f>IF(DATOS!$G14719&lt;&gt;"EX",0,--(COUNTIFS(nNIA,DATOS!$A14719,nCURSO,DATOS!$D14719,nESPEC,DATOS!$E14719,nASIG,DATOS!$I14719,nEVAL,"OR")=0))</f>
      </c>
      <c r="I14719">
        <f>IF(DATOS!$I14719="","",IFERROR(VLOOKUP(DATOS!$I14719,CONFIG_ASIGNATURAS!$B$2:$J$91,9,FALSE()),""))</f>
      </c>
    </row>
    <row r="14720">
      <c r="F14720">
        <f>IF(DATOS!$A14720="","",DATOS!$A14720&amp;"|"&amp;DATOS!$D14720&amp;"|"&amp;DATOS!$E14720&amp;"|"&amp;DATOS!$I14720)</f>
      </c>
      <c r="G14720">
        <f>IF(DATOS!$A14720="",0,IF(CONFIG_METADATA!$B$4&lt;&gt;"OR+EX",--(DATOS!$G14720=CONFIG_METADATA!$B$4),IF(DATOS!$G14720="EX",1,IF(DATOS!$G14720="OR",--(COUNTIFS(nNIA,DATOS!$A14720,nCURSO,DATOS!$D14720,nESPEC,DATOS!$E14720,nASIG,DATOS!$I14720,nEVAL,"EX")=0),0))))</f>
      </c>
      <c r="H14720">
        <f>IF(DATOS!$G14720&lt;&gt;"EX",0,--(COUNTIFS(nNIA,DATOS!$A14720,nCURSO,DATOS!$D14720,nESPEC,DATOS!$E14720,nASIG,DATOS!$I14720,nEVAL,"OR")=0))</f>
      </c>
      <c r="I14720">
        <f>IF(DATOS!$I14720="","",IFERROR(VLOOKUP(DATOS!$I14720,CONFIG_ASIGNATURAS!$B$2:$J$91,9,FALSE()),""))</f>
      </c>
    </row>
    <row r="14721">
      <c r="F14721">
        <f>IF(DATOS!$A14721="","",DATOS!$A14721&amp;"|"&amp;DATOS!$D14721&amp;"|"&amp;DATOS!$E14721&amp;"|"&amp;DATOS!$I14721)</f>
      </c>
      <c r="G14721">
        <f>IF(DATOS!$A14721="",0,IF(CONFIG_METADATA!$B$4&lt;&gt;"OR+EX",--(DATOS!$G14721=CONFIG_METADATA!$B$4),IF(DATOS!$G14721="EX",1,IF(DATOS!$G14721="OR",--(COUNTIFS(nNIA,DATOS!$A14721,nCURSO,DATOS!$D14721,nESPEC,DATOS!$E14721,nASIG,DATOS!$I14721,nEVAL,"EX")=0),0))))</f>
      </c>
      <c r="H14721">
        <f>IF(DATOS!$G14721&lt;&gt;"EX",0,--(COUNTIFS(nNIA,DATOS!$A14721,nCURSO,DATOS!$D14721,nESPEC,DATOS!$E14721,nASIG,DATOS!$I14721,nEVAL,"OR")=0))</f>
      </c>
      <c r="I14721">
        <f>IF(DATOS!$I14721="","",IFERROR(VLOOKUP(DATOS!$I14721,CONFIG_ASIGNATURAS!$B$2:$J$91,9,FALSE()),""))</f>
      </c>
    </row>
    <row r="14722">
      <c r="F14722">
        <f>IF(DATOS!$A14722="","",DATOS!$A14722&amp;"|"&amp;DATOS!$D14722&amp;"|"&amp;DATOS!$E14722&amp;"|"&amp;DATOS!$I14722)</f>
      </c>
      <c r="G14722">
        <f>IF(DATOS!$A14722="",0,IF(CONFIG_METADATA!$B$4&lt;&gt;"OR+EX",--(DATOS!$G14722=CONFIG_METADATA!$B$4),IF(DATOS!$G14722="EX",1,IF(DATOS!$G14722="OR",--(COUNTIFS(nNIA,DATOS!$A14722,nCURSO,DATOS!$D14722,nESPEC,DATOS!$E14722,nASIG,DATOS!$I14722,nEVAL,"EX")=0),0))))</f>
      </c>
      <c r="H14722">
        <f>IF(DATOS!$G14722&lt;&gt;"EX",0,--(COUNTIFS(nNIA,DATOS!$A14722,nCURSO,DATOS!$D14722,nESPEC,DATOS!$E14722,nASIG,DATOS!$I14722,nEVAL,"OR")=0))</f>
      </c>
      <c r="I14722">
        <f>IF(DATOS!$I14722="","",IFERROR(VLOOKUP(DATOS!$I14722,CONFIG_ASIGNATURAS!$B$2:$J$91,9,FALSE()),""))</f>
      </c>
    </row>
    <row r="14723">
      <c r="F14723">
        <f>IF(DATOS!$A14723="","",DATOS!$A14723&amp;"|"&amp;DATOS!$D14723&amp;"|"&amp;DATOS!$E14723&amp;"|"&amp;DATOS!$I14723)</f>
      </c>
      <c r="G14723">
        <f>IF(DATOS!$A14723="",0,IF(CONFIG_METADATA!$B$4&lt;&gt;"OR+EX",--(DATOS!$G14723=CONFIG_METADATA!$B$4),IF(DATOS!$G14723="EX",1,IF(DATOS!$G14723="OR",--(COUNTIFS(nNIA,DATOS!$A14723,nCURSO,DATOS!$D14723,nESPEC,DATOS!$E14723,nASIG,DATOS!$I14723,nEVAL,"EX")=0),0))))</f>
      </c>
      <c r="H14723">
        <f>IF(DATOS!$G14723&lt;&gt;"EX",0,--(COUNTIFS(nNIA,DATOS!$A14723,nCURSO,DATOS!$D14723,nESPEC,DATOS!$E14723,nASIG,DATOS!$I14723,nEVAL,"OR")=0))</f>
      </c>
      <c r="I14723">
        <f>IF(DATOS!$I14723="","",IFERROR(VLOOKUP(DATOS!$I14723,CONFIG_ASIGNATURAS!$B$2:$J$91,9,FALSE()),""))</f>
      </c>
    </row>
    <row r="14724">
      <c r="F14724">
        <f>IF(DATOS!$A14724="","",DATOS!$A14724&amp;"|"&amp;DATOS!$D14724&amp;"|"&amp;DATOS!$E14724&amp;"|"&amp;DATOS!$I14724)</f>
      </c>
      <c r="G14724">
        <f>IF(DATOS!$A14724="",0,IF(CONFIG_METADATA!$B$4&lt;&gt;"OR+EX",--(DATOS!$G14724=CONFIG_METADATA!$B$4),IF(DATOS!$G14724="EX",1,IF(DATOS!$G14724="OR",--(COUNTIFS(nNIA,DATOS!$A14724,nCURSO,DATOS!$D14724,nESPEC,DATOS!$E14724,nASIG,DATOS!$I14724,nEVAL,"EX")=0),0))))</f>
      </c>
      <c r="H14724">
        <f>IF(DATOS!$G14724&lt;&gt;"EX",0,--(COUNTIFS(nNIA,DATOS!$A14724,nCURSO,DATOS!$D14724,nESPEC,DATOS!$E14724,nASIG,DATOS!$I14724,nEVAL,"OR")=0))</f>
      </c>
      <c r="I14724">
        <f>IF(DATOS!$I14724="","",IFERROR(VLOOKUP(DATOS!$I14724,CONFIG_ASIGNATURAS!$B$2:$J$91,9,FALSE()),""))</f>
      </c>
    </row>
    <row r="14725">
      <c r="F14725">
        <f>IF(DATOS!$A14725="","",DATOS!$A14725&amp;"|"&amp;DATOS!$D14725&amp;"|"&amp;DATOS!$E14725&amp;"|"&amp;DATOS!$I14725)</f>
      </c>
      <c r="G14725">
        <f>IF(DATOS!$A14725="",0,IF(CONFIG_METADATA!$B$4&lt;&gt;"OR+EX",--(DATOS!$G14725=CONFIG_METADATA!$B$4),IF(DATOS!$G14725="EX",1,IF(DATOS!$G14725="OR",--(COUNTIFS(nNIA,DATOS!$A14725,nCURSO,DATOS!$D14725,nESPEC,DATOS!$E14725,nASIG,DATOS!$I14725,nEVAL,"EX")=0),0))))</f>
      </c>
      <c r="H14725">
        <f>IF(DATOS!$G14725&lt;&gt;"EX",0,--(COUNTIFS(nNIA,DATOS!$A14725,nCURSO,DATOS!$D14725,nESPEC,DATOS!$E14725,nASIG,DATOS!$I14725,nEVAL,"OR")=0))</f>
      </c>
      <c r="I14725">
        <f>IF(DATOS!$I14725="","",IFERROR(VLOOKUP(DATOS!$I14725,CONFIG_ASIGNATURAS!$B$2:$J$91,9,FALSE()),""))</f>
      </c>
    </row>
    <row r="14726">
      <c r="F14726">
        <f>IF(DATOS!$A14726="","",DATOS!$A14726&amp;"|"&amp;DATOS!$D14726&amp;"|"&amp;DATOS!$E14726&amp;"|"&amp;DATOS!$I14726)</f>
      </c>
      <c r="G14726">
        <f>IF(DATOS!$A14726="",0,IF(CONFIG_METADATA!$B$4&lt;&gt;"OR+EX",--(DATOS!$G14726=CONFIG_METADATA!$B$4),IF(DATOS!$G14726="EX",1,IF(DATOS!$G14726="OR",--(COUNTIFS(nNIA,DATOS!$A14726,nCURSO,DATOS!$D14726,nESPEC,DATOS!$E14726,nASIG,DATOS!$I14726,nEVAL,"EX")=0),0))))</f>
      </c>
      <c r="H14726">
        <f>IF(DATOS!$G14726&lt;&gt;"EX",0,--(COUNTIFS(nNIA,DATOS!$A14726,nCURSO,DATOS!$D14726,nESPEC,DATOS!$E14726,nASIG,DATOS!$I14726,nEVAL,"OR")=0))</f>
      </c>
      <c r="I14726">
        <f>IF(DATOS!$I14726="","",IFERROR(VLOOKUP(DATOS!$I14726,CONFIG_ASIGNATURAS!$B$2:$J$91,9,FALSE()),""))</f>
      </c>
    </row>
    <row r="14727">
      <c r="F14727">
        <f>IF(DATOS!$A14727="","",DATOS!$A14727&amp;"|"&amp;DATOS!$D14727&amp;"|"&amp;DATOS!$E14727&amp;"|"&amp;DATOS!$I14727)</f>
      </c>
      <c r="G14727">
        <f>IF(DATOS!$A14727="",0,IF(CONFIG_METADATA!$B$4&lt;&gt;"OR+EX",--(DATOS!$G14727=CONFIG_METADATA!$B$4),IF(DATOS!$G14727="EX",1,IF(DATOS!$G14727="OR",--(COUNTIFS(nNIA,DATOS!$A14727,nCURSO,DATOS!$D14727,nESPEC,DATOS!$E14727,nASIG,DATOS!$I14727,nEVAL,"EX")=0),0))))</f>
      </c>
      <c r="H14727">
        <f>IF(DATOS!$G14727&lt;&gt;"EX",0,--(COUNTIFS(nNIA,DATOS!$A14727,nCURSO,DATOS!$D14727,nESPEC,DATOS!$E14727,nASIG,DATOS!$I14727,nEVAL,"OR")=0))</f>
      </c>
      <c r="I14727">
        <f>IF(DATOS!$I14727="","",IFERROR(VLOOKUP(DATOS!$I14727,CONFIG_ASIGNATURAS!$B$2:$J$91,9,FALSE()),""))</f>
      </c>
    </row>
    <row r="14728">
      <c r="F14728">
        <f>IF(DATOS!$A14728="","",DATOS!$A14728&amp;"|"&amp;DATOS!$D14728&amp;"|"&amp;DATOS!$E14728&amp;"|"&amp;DATOS!$I14728)</f>
      </c>
      <c r="G14728">
        <f>IF(DATOS!$A14728="",0,IF(CONFIG_METADATA!$B$4&lt;&gt;"OR+EX",--(DATOS!$G14728=CONFIG_METADATA!$B$4),IF(DATOS!$G14728="EX",1,IF(DATOS!$G14728="OR",--(COUNTIFS(nNIA,DATOS!$A14728,nCURSO,DATOS!$D14728,nESPEC,DATOS!$E14728,nASIG,DATOS!$I14728,nEVAL,"EX")=0),0))))</f>
      </c>
      <c r="H14728">
        <f>IF(DATOS!$G14728&lt;&gt;"EX",0,--(COUNTIFS(nNIA,DATOS!$A14728,nCURSO,DATOS!$D14728,nESPEC,DATOS!$E14728,nASIG,DATOS!$I14728,nEVAL,"OR")=0))</f>
      </c>
      <c r="I14728">
        <f>IF(DATOS!$I14728="","",IFERROR(VLOOKUP(DATOS!$I14728,CONFIG_ASIGNATURAS!$B$2:$J$91,9,FALSE()),""))</f>
      </c>
    </row>
    <row r="14729">
      <c r="F14729">
        <f>IF(DATOS!$A14729="","",DATOS!$A14729&amp;"|"&amp;DATOS!$D14729&amp;"|"&amp;DATOS!$E14729&amp;"|"&amp;DATOS!$I14729)</f>
      </c>
      <c r="G14729">
        <f>IF(DATOS!$A14729="",0,IF(CONFIG_METADATA!$B$4&lt;&gt;"OR+EX",--(DATOS!$G14729=CONFIG_METADATA!$B$4),IF(DATOS!$G14729="EX",1,IF(DATOS!$G14729="OR",--(COUNTIFS(nNIA,DATOS!$A14729,nCURSO,DATOS!$D14729,nESPEC,DATOS!$E14729,nASIG,DATOS!$I14729,nEVAL,"EX")=0),0))))</f>
      </c>
      <c r="H14729">
        <f>IF(DATOS!$G14729&lt;&gt;"EX",0,--(COUNTIFS(nNIA,DATOS!$A14729,nCURSO,DATOS!$D14729,nESPEC,DATOS!$E14729,nASIG,DATOS!$I14729,nEVAL,"OR")=0))</f>
      </c>
      <c r="I14729">
        <f>IF(DATOS!$I14729="","",IFERROR(VLOOKUP(DATOS!$I14729,CONFIG_ASIGNATURAS!$B$2:$J$91,9,FALSE()),""))</f>
      </c>
    </row>
    <row r="14730">
      <c r="F14730">
        <f>IF(DATOS!$A14730="","",DATOS!$A14730&amp;"|"&amp;DATOS!$D14730&amp;"|"&amp;DATOS!$E14730&amp;"|"&amp;DATOS!$I14730)</f>
      </c>
      <c r="G14730">
        <f>IF(DATOS!$A14730="",0,IF(CONFIG_METADATA!$B$4&lt;&gt;"OR+EX",--(DATOS!$G14730=CONFIG_METADATA!$B$4),IF(DATOS!$G14730="EX",1,IF(DATOS!$G14730="OR",--(COUNTIFS(nNIA,DATOS!$A14730,nCURSO,DATOS!$D14730,nESPEC,DATOS!$E14730,nASIG,DATOS!$I14730,nEVAL,"EX")=0),0))))</f>
      </c>
      <c r="H14730">
        <f>IF(DATOS!$G14730&lt;&gt;"EX",0,--(COUNTIFS(nNIA,DATOS!$A14730,nCURSO,DATOS!$D14730,nESPEC,DATOS!$E14730,nASIG,DATOS!$I14730,nEVAL,"OR")=0))</f>
      </c>
      <c r="I14730">
        <f>IF(DATOS!$I14730="","",IFERROR(VLOOKUP(DATOS!$I14730,CONFIG_ASIGNATURAS!$B$2:$J$91,9,FALSE()),""))</f>
      </c>
    </row>
    <row r="14731">
      <c r="F14731">
        <f>IF(DATOS!$A14731="","",DATOS!$A14731&amp;"|"&amp;DATOS!$D14731&amp;"|"&amp;DATOS!$E14731&amp;"|"&amp;DATOS!$I14731)</f>
      </c>
      <c r="G14731">
        <f>IF(DATOS!$A14731="",0,IF(CONFIG_METADATA!$B$4&lt;&gt;"OR+EX",--(DATOS!$G14731=CONFIG_METADATA!$B$4),IF(DATOS!$G14731="EX",1,IF(DATOS!$G14731="OR",--(COUNTIFS(nNIA,DATOS!$A14731,nCURSO,DATOS!$D14731,nESPEC,DATOS!$E14731,nASIG,DATOS!$I14731,nEVAL,"EX")=0),0))))</f>
      </c>
      <c r="H14731">
        <f>IF(DATOS!$G14731&lt;&gt;"EX",0,--(COUNTIFS(nNIA,DATOS!$A14731,nCURSO,DATOS!$D14731,nESPEC,DATOS!$E14731,nASIG,DATOS!$I14731,nEVAL,"OR")=0))</f>
      </c>
      <c r="I14731">
        <f>IF(DATOS!$I14731="","",IFERROR(VLOOKUP(DATOS!$I14731,CONFIG_ASIGNATURAS!$B$2:$J$91,9,FALSE()),""))</f>
      </c>
    </row>
    <row r="14732">
      <c r="F14732">
        <f>IF(DATOS!$A14732="","",DATOS!$A14732&amp;"|"&amp;DATOS!$D14732&amp;"|"&amp;DATOS!$E14732&amp;"|"&amp;DATOS!$I14732)</f>
      </c>
      <c r="G14732">
        <f>IF(DATOS!$A14732="",0,IF(CONFIG_METADATA!$B$4&lt;&gt;"OR+EX",--(DATOS!$G14732=CONFIG_METADATA!$B$4),IF(DATOS!$G14732="EX",1,IF(DATOS!$G14732="OR",--(COUNTIFS(nNIA,DATOS!$A14732,nCURSO,DATOS!$D14732,nESPEC,DATOS!$E14732,nASIG,DATOS!$I14732,nEVAL,"EX")=0),0))))</f>
      </c>
      <c r="H14732">
        <f>IF(DATOS!$G14732&lt;&gt;"EX",0,--(COUNTIFS(nNIA,DATOS!$A14732,nCURSO,DATOS!$D14732,nESPEC,DATOS!$E14732,nASIG,DATOS!$I14732,nEVAL,"OR")=0))</f>
      </c>
      <c r="I14732">
        <f>IF(DATOS!$I14732="","",IFERROR(VLOOKUP(DATOS!$I14732,CONFIG_ASIGNATURAS!$B$2:$J$91,9,FALSE()),""))</f>
      </c>
    </row>
    <row r="14733">
      <c r="F14733">
        <f>IF(DATOS!$A14733="","",DATOS!$A14733&amp;"|"&amp;DATOS!$D14733&amp;"|"&amp;DATOS!$E14733&amp;"|"&amp;DATOS!$I14733)</f>
      </c>
      <c r="G14733">
        <f>IF(DATOS!$A14733="",0,IF(CONFIG_METADATA!$B$4&lt;&gt;"OR+EX",--(DATOS!$G14733=CONFIG_METADATA!$B$4),IF(DATOS!$G14733="EX",1,IF(DATOS!$G14733="OR",--(COUNTIFS(nNIA,DATOS!$A14733,nCURSO,DATOS!$D14733,nESPEC,DATOS!$E14733,nASIG,DATOS!$I14733,nEVAL,"EX")=0),0))))</f>
      </c>
      <c r="H14733">
        <f>IF(DATOS!$G14733&lt;&gt;"EX",0,--(COUNTIFS(nNIA,DATOS!$A14733,nCURSO,DATOS!$D14733,nESPEC,DATOS!$E14733,nASIG,DATOS!$I14733,nEVAL,"OR")=0))</f>
      </c>
      <c r="I14733">
        <f>IF(DATOS!$I14733="","",IFERROR(VLOOKUP(DATOS!$I14733,CONFIG_ASIGNATURAS!$B$2:$J$91,9,FALSE()),""))</f>
      </c>
    </row>
    <row r="14734">
      <c r="F14734">
        <f>IF(DATOS!$A14734="","",DATOS!$A14734&amp;"|"&amp;DATOS!$D14734&amp;"|"&amp;DATOS!$E14734&amp;"|"&amp;DATOS!$I14734)</f>
      </c>
      <c r="G14734">
        <f>IF(DATOS!$A14734="",0,IF(CONFIG_METADATA!$B$4&lt;&gt;"OR+EX",--(DATOS!$G14734=CONFIG_METADATA!$B$4),IF(DATOS!$G14734="EX",1,IF(DATOS!$G14734="OR",--(COUNTIFS(nNIA,DATOS!$A14734,nCURSO,DATOS!$D14734,nESPEC,DATOS!$E14734,nASIG,DATOS!$I14734,nEVAL,"EX")=0),0))))</f>
      </c>
      <c r="H14734">
        <f>IF(DATOS!$G14734&lt;&gt;"EX",0,--(COUNTIFS(nNIA,DATOS!$A14734,nCURSO,DATOS!$D14734,nESPEC,DATOS!$E14734,nASIG,DATOS!$I14734,nEVAL,"OR")=0))</f>
      </c>
      <c r="I14734">
        <f>IF(DATOS!$I14734="","",IFERROR(VLOOKUP(DATOS!$I14734,CONFIG_ASIGNATURAS!$B$2:$J$91,9,FALSE()),""))</f>
      </c>
    </row>
    <row r="14735">
      <c r="F14735">
        <f>IF(DATOS!$A14735="","",DATOS!$A14735&amp;"|"&amp;DATOS!$D14735&amp;"|"&amp;DATOS!$E14735&amp;"|"&amp;DATOS!$I14735)</f>
      </c>
      <c r="G14735">
        <f>IF(DATOS!$A14735="",0,IF(CONFIG_METADATA!$B$4&lt;&gt;"OR+EX",--(DATOS!$G14735=CONFIG_METADATA!$B$4),IF(DATOS!$G14735="EX",1,IF(DATOS!$G14735="OR",--(COUNTIFS(nNIA,DATOS!$A14735,nCURSO,DATOS!$D14735,nESPEC,DATOS!$E14735,nASIG,DATOS!$I14735,nEVAL,"EX")=0),0))))</f>
      </c>
      <c r="H14735">
        <f>IF(DATOS!$G14735&lt;&gt;"EX",0,--(COUNTIFS(nNIA,DATOS!$A14735,nCURSO,DATOS!$D14735,nESPEC,DATOS!$E14735,nASIG,DATOS!$I14735,nEVAL,"OR")=0))</f>
      </c>
      <c r="I14735">
        <f>IF(DATOS!$I14735="","",IFERROR(VLOOKUP(DATOS!$I14735,CONFIG_ASIGNATURAS!$B$2:$J$91,9,FALSE()),""))</f>
      </c>
    </row>
    <row r="14736">
      <c r="F14736">
        <f>IF(DATOS!$A14736="","",DATOS!$A14736&amp;"|"&amp;DATOS!$D14736&amp;"|"&amp;DATOS!$E14736&amp;"|"&amp;DATOS!$I14736)</f>
      </c>
      <c r="G14736">
        <f>IF(DATOS!$A14736="",0,IF(CONFIG_METADATA!$B$4&lt;&gt;"OR+EX",--(DATOS!$G14736=CONFIG_METADATA!$B$4),IF(DATOS!$G14736="EX",1,IF(DATOS!$G14736="OR",--(COUNTIFS(nNIA,DATOS!$A14736,nCURSO,DATOS!$D14736,nESPEC,DATOS!$E14736,nASIG,DATOS!$I14736,nEVAL,"EX")=0),0))))</f>
      </c>
      <c r="H14736">
        <f>IF(DATOS!$G14736&lt;&gt;"EX",0,--(COUNTIFS(nNIA,DATOS!$A14736,nCURSO,DATOS!$D14736,nESPEC,DATOS!$E14736,nASIG,DATOS!$I14736,nEVAL,"OR")=0))</f>
      </c>
      <c r="I14736">
        <f>IF(DATOS!$I14736="","",IFERROR(VLOOKUP(DATOS!$I14736,CONFIG_ASIGNATURAS!$B$2:$J$91,9,FALSE()),""))</f>
      </c>
    </row>
    <row r="14737">
      <c r="F14737">
        <f>IF(DATOS!$A14737="","",DATOS!$A14737&amp;"|"&amp;DATOS!$D14737&amp;"|"&amp;DATOS!$E14737&amp;"|"&amp;DATOS!$I14737)</f>
      </c>
      <c r="G14737">
        <f>IF(DATOS!$A14737="",0,IF(CONFIG_METADATA!$B$4&lt;&gt;"OR+EX",--(DATOS!$G14737=CONFIG_METADATA!$B$4),IF(DATOS!$G14737="EX",1,IF(DATOS!$G14737="OR",--(COUNTIFS(nNIA,DATOS!$A14737,nCURSO,DATOS!$D14737,nESPEC,DATOS!$E14737,nASIG,DATOS!$I14737,nEVAL,"EX")=0),0))))</f>
      </c>
      <c r="H14737">
        <f>IF(DATOS!$G14737&lt;&gt;"EX",0,--(COUNTIFS(nNIA,DATOS!$A14737,nCURSO,DATOS!$D14737,nESPEC,DATOS!$E14737,nASIG,DATOS!$I14737,nEVAL,"OR")=0))</f>
      </c>
      <c r="I14737">
        <f>IF(DATOS!$I14737="","",IFERROR(VLOOKUP(DATOS!$I14737,CONFIG_ASIGNATURAS!$B$2:$J$91,9,FALSE()),""))</f>
      </c>
    </row>
    <row r="14738">
      <c r="F14738">
        <f>IF(DATOS!$A14738="","",DATOS!$A14738&amp;"|"&amp;DATOS!$D14738&amp;"|"&amp;DATOS!$E14738&amp;"|"&amp;DATOS!$I14738)</f>
      </c>
      <c r="G14738">
        <f>IF(DATOS!$A14738="",0,IF(CONFIG_METADATA!$B$4&lt;&gt;"OR+EX",--(DATOS!$G14738=CONFIG_METADATA!$B$4),IF(DATOS!$G14738="EX",1,IF(DATOS!$G14738="OR",--(COUNTIFS(nNIA,DATOS!$A14738,nCURSO,DATOS!$D14738,nESPEC,DATOS!$E14738,nASIG,DATOS!$I14738,nEVAL,"EX")=0),0))))</f>
      </c>
      <c r="H14738">
        <f>IF(DATOS!$G14738&lt;&gt;"EX",0,--(COUNTIFS(nNIA,DATOS!$A14738,nCURSO,DATOS!$D14738,nESPEC,DATOS!$E14738,nASIG,DATOS!$I14738,nEVAL,"OR")=0))</f>
      </c>
      <c r="I14738">
        <f>IF(DATOS!$I14738="","",IFERROR(VLOOKUP(DATOS!$I14738,CONFIG_ASIGNATURAS!$B$2:$J$91,9,FALSE()),""))</f>
      </c>
    </row>
    <row r="14739">
      <c r="F14739">
        <f>IF(DATOS!$A14739="","",DATOS!$A14739&amp;"|"&amp;DATOS!$D14739&amp;"|"&amp;DATOS!$E14739&amp;"|"&amp;DATOS!$I14739)</f>
      </c>
      <c r="G14739">
        <f>IF(DATOS!$A14739="",0,IF(CONFIG_METADATA!$B$4&lt;&gt;"OR+EX",--(DATOS!$G14739=CONFIG_METADATA!$B$4),IF(DATOS!$G14739="EX",1,IF(DATOS!$G14739="OR",--(COUNTIFS(nNIA,DATOS!$A14739,nCURSO,DATOS!$D14739,nESPEC,DATOS!$E14739,nASIG,DATOS!$I14739,nEVAL,"EX")=0),0))))</f>
      </c>
      <c r="H14739">
        <f>IF(DATOS!$G14739&lt;&gt;"EX",0,--(COUNTIFS(nNIA,DATOS!$A14739,nCURSO,DATOS!$D14739,nESPEC,DATOS!$E14739,nASIG,DATOS!$I14739,nEVAL,"OR")=0))</f>
      </c>
      <c r="I14739">
        <f>IF(DATOS!$I14739="","",IFERROR(VLOOKUP(DATOS!$I14739,CONFIG_ASIGNATURAS!$B$2:$J$91,9,FALSE()),""))</f>
      </c>
    </row>
    <row r="14740">
      <c r="F14740">
        <f>IF(DATOS!$A14740="","",DATOS!$A14740&amp;"|"&amp;DATOS!$D14740&amp;"|"&amp;DATOS!$E14740&amp;"|"&amp;DATOS!$I14740)</f>
      </c>
      <c r="G14740">
        <f>IF(DATOS!$A14740="",0,IF(CONFIG_METADATA!$B$4&lt;&gt;"OR+EX",--(DATOS!$G14740=CONFIG_METADATA!$B$4),IF(DATOS!$G14740="EX",1,IF(DATOS!$G14740="OR",--(COUNTIFS(nNIA,DATOS!$A14740,nCURSO,DATOS!$D14740,nESPEC,DATOS!$E14740,nASIG,DATOS!$I14740,nEVAL,"EX")=0),0))))</f>
      </c>
      <c r="H14740">
        <f>IF(DATOS!$G14740&lt;&gt;"EX",0,--(COUNTIFS(nNIA,DATOS!$A14740,nCURSO,DATOS!$D14740,nESPEC,DATOS!$E14740,nASIG,DATOS!$I14740,nEVAL,"OR")=0))</f>
      </c>
      <c r="I14740">
        <f>IF(DATOS!$I14740="","",IFERROR(VLOOKUP(DATOS!$I14740,CONFIG_ASIGNATURAS!$B$2:$J$91,9,FALSE()),""))</f>
      </c>
    </row>
    <row r="14741">
      <c r="F14741">
        <f>IF(DATOS!$A14741="","",DATOS!$A14741&amp;"|"&amp;DATOS!$D14741&amp;"|"&amp;DATOS!$E14741&amp;"|"&amp;DATOS!$I14741)</f>
      </c>
      <c r="G14741">
        <f>IF(DATOS!$A14741="",0,IF(CONFIG_METADATA!$B$4&lt;&gt;"OR+EX",--(DATOS!$G14741=CONFIG_METADATA!$B$4),IF(DATOS!$G14741="EX",1,IF(DATOS!$G14741="OR",--(COUNTIFS(nNIA,DATOS!$A14741,nCURSO,DATOS!$D14741,nESPEC,DATOS!$E14741,nASIG,DATOS!$I14741,nEVAL,"EX")=0),0))))</f>
      </c>
      <c r="H14741">
        <f>IF(DATOS!$G14741&lt;&gt;"EX",0,--(COUNTIFS(nNIA,DATOS!$A14741,nCURSO,DATOS!$D14741,nESPEC,DATOS!$E14741,nASIG,DATOS!$I14741,nEVAL,"OR")=0))</f>
      </c>
      <c r="I14741">
        <f>IF(DATOS!$I14741="","",IFERROR(VLOOKUP(DATOS!$I14741,CONFIG_ASIGNATURAS!$B$2:$J$91,9,FALSE()),""))</f>
      </c>
    </row>
    <row r="14742">
      <c r="F14742">
        <f>IF(DATOS!$A14742="","",DATOS!$A14742&amp;"|"&amp;DATOS!$D14742&amp;"|"&amp;DATOS!$E14742&amp;"|"&amp;DATOS!$I14742)</f>
      </c>
      <c r="G14742">
        <f>IF(DATOS!$A14742="",0,IF(CONFIG_METADATA!$B$4&lt;&gt;"OR+EX",--(DATOS!$G14742=CONFIG_METADATA!$B$4),IF(DATOS!$G14742="EX",1,IF(DATOS!$G14742="OR",--(COUNTIFS(nNIA,DATOS!$A14742,nCURSO,DATOS!$D14742,nESPEC,DATOS!$E14742,nASIG,DATOS!$I14742,nEVAL,"EX")=0),0))))</f>
      </c>
      <c r="H14742">
        <f>IF(DATOS!$G14742&lt;&gt;"EX",0,--(COUNTIFS(nNIA,DATOS!$A14742,nCURSO,DATOS!$D14742,nESPEC,DATOS!$E14742,nASIG,DATOS!$I14742,nEVAL,"OR")=0))</f>
      </c>
      <c r="I14742">
        <f>IF(DATOS!$I14742="","",IFERROR(VLOOKUP(DATOS!$I14742,CONFIG_ASIGNATURAS!$B$2:$J$91,9,FALSE()),""))</f>
      </c>
    </row>
    <row r="14743">
      <c r="F14743">
        <f>IF(DATOS!$A14743="","",DATOS!$A14743&amp;"|"&amp;DATOS!$D14743&amp;"|"&amp;DATOS!$E14743&amp;"|"&amp;DATOS!$I14743)</f>
      </c>
      <c r="G14743">
        <f>IF(DATOS!$A14743="",0,IF(CONFIG_METADATA!$B$4&lt;&gt;"OR+EX",--(DATOS!$G14743=CONFIG_METADATA!$B$4),IF(DATOS!$G14743="EX",1,IF(DATOS!$G14743="OR",--(COUNTIFS(nNIA,DATOS!$A14743,nCURSO,DATOS!$D14743,nESPEC,DATOS!$E14743,nASIG,DATOS!$I14743,nEVAL,"EX")=0),0))))</f>
      </c>
      <c r="H14743">
        <f>IF(DATOS!$G14743&lt;&gt;"EX",0,--(COUNTIFS(nNIA,DATOS!$A14743,nCURSO,DATOS!$D14743,nESPEC,DATOS!$E14743,nASIG,DATOS!$I14743,nEVAL,"OR")=0))</f>
      </c>
      <c r="I14743">
        <f>IF(DATOS!$I14743="","",IFERROR(VLOOKUP(DATOS!$I14743,CONFIG_ASIGNATURAS!$B$2:$J$91,9,FALSE()),""))</f>
      </c>
    </row>
    <row r="14744">
      <c r="F14744">
        <f>IF(DATOS!$A14744="","",DATOS!$A14744&amp;"|"&amp;DATOS!$D14744&amp;"|"&amp;DATOS!$E14744&amp;"|"&amp;DATOS!$I14744)</f>
      </c>
      <c r="G14744">
        <f>IF(DATOS!$A14744="",0,IF(CONFIG_METADATA!$B$4&lt;&gt;"OR+EX",--(DATOS!$G14744=CONFIG_METADATA!$B$4),IF(DATOS!$G14744="EX",1,IF(DATOS!$G14744="OR",--(COUNTIFS(nNIA,DATOS!$A14744,nCURSO,DATOS!$D14744,nESPEC,DATOS!$E14744,nASIG,DATOS!$I14744,nEVAL,"EX")=0),0))))</f>
      </c>
      <c r="H14744">
        <f>IF(DATOS!$G14744&lt;&gt;"EX",0,--(COUNTIFS(nNIA,DATOS!$A14744,nCURSO,DATOS!$D14744,nESPEC,DATOS!$E14744,nASIG,DATOS!$I14744,nEVAL,"OR")=0))</f>
      </c>
      <c r="I14744">
        <f>IF(DATOS!$I14744="","",IFERROR(VLOOKUP(DATOS!$I14744,CONFIG_ASIGNATURAS!$B$2:$J$91,9,FALSE()),""))</f>
      </c>
    </row>
    <row r="14745">
      <c r="F14745">
        <f>IF(DATOS!$A14745="","",DATOS!$A14745&amp;"|"&amp;DATOS!$D14745&amp;"|"&amp;DATOS!$E14745&amp;"|"&amp;DATOS!$I14745)</f>
      </c>
      <c r="G14745">
        <f>IF(DATOS!$A14745="",0,IF(CONFIG_METADATA!$B$4&lt;&gt;"OR+EX",--(DATOS!$G14745=CONFIG_METADATA!$B$4),IF(DATOS!$G14745="EX",1,IF(DATOS!$G14745="OR",--(COUNTIFS(nNIA,DATOS!$A14745,nCURSO,DATOS!$D14745,nESPEC,DATOS!$E14745,nASIG,DATOS!$I14745,nEVAL,"EX")=0),0))))</f>
      </c>
      <c r="H14745">
        <f>IF(DATOS!$G14745&lt;&gt;"EX",0,--(COUNTIFS(nNIA,DATOS!$A14745,nCURSO,DATOS!$D14745,nESPEC,DATOS!$E14745,nASIG,DATOS!$I14745,nEVAL,"OR")=0))</f>
      </c>
      <c r="I14745">
        <f>IF(DATOS!$I14745="","",IFERROR(VLOOKUP(DATOS!$I14745,CONFIG_ASIGNATURAS!$B$2:$J$91,9,FALSE()),""))</f>
      </c>
    </row>
    <row r="14746">
      <c r="F14746">
        <f>IF(DATOS!$A14746="","",DATOS!$A14746&amp;"|"&amp;DATOS!$D14746&amp;"|"&amp;DATOS!$E14746&amp;"|"&amp;DATOS!$I14746)</f>
      </c>
      <c r="G14746">
        <f>IF(DATOS!$A14746="",0,IF(CONFIG_METADATA!$B$4&lt;&gt;"OR+EX",--(DATOS!$G14746=CONFIG_METADATA!$B$4),IF(DATOS!$G14746="EX",1,IF(DATOS!$G14746="OR",--(COUNTIFS(nNIA,DATOS!$A14746,nCURSO,DATOS!$D14746,nESPEC,DATOS!$E14746,nASIG,DATOS!$I14746,nEVAL,"EX")=0),0))))</f>
      </c>
      <c r="H14746">
        <f>IF(DATOS!$G14746&lt;&gt;"EX",0,--(COUNTIFS(nNIA,DATOS!$A14746,nCURSO,DATOS!$D14746,nESPEC,DATOS!$E14746,nASIG,DATOS!$I14746,nEVAL,"OR")=0))</f>
      </c>
      <c r="I14746">
        <f>IF(DATOS!$I14746="","",IFERROR(VLOOKUP(DATOS!$I14746,CONFIG_ASIGNATURAS!$B$2:$J$91,9,FALSE()),""))</f>
      </c>
    </row>
    <row r="14747">
      <c r="F14747">
        <f>IF(DATOS!$A14747="","",DATOS!$A14747&amp;"|"&amp;DATOS!$D14747&amp;"|"&amp;DATOS!$E14747&amp;"|"&amp;DATOS!$I14747)</f>
      </c>
      <c r="G14747">
        <f>IF(DATOS!$A14747="",0,IF(CONFIG_METADATA!$B$4&lt;&gt;"OR+EX",--(DATOS!$G14747=CONFIG_METADATA!$B$4),IF(DATOS!$G14747="EX",1,IF(DATOS!$G14747="OR",--(COUNTIFS(nNIA,DATOS!$A14747,nCURSO,DATOS!$D14747,nESPEC,DATOS!$E14747,nASIG,DATOS!$I14747,nEVAL,"EX")=0),0))))</f>
      </c>
      <c r="H14747">
        <f>IF(DATOS!$G14747&lt;&gt;"EX",0,--(COUNTIFS(nNIA,DATOS!$A14747,nCURSO,DATOS!$D14747,nESPEC,DATOS!$E14747,nASIG,DATOS!$I14747,nEVAL,"OR")=0))</f>
      </c>
      <c r="I14747">
        <f>IF(DATOS!$I14747="","",IFERROR(VLOOKUP(DATOS!$I14747,CONFIG_ASIGNATURAS!$B$2:$J$91,9,FALSE()),""))</f>
      </c>
    </row>
    <row r="14748">
      <c r="F14748">
        <f>IF(DATOS!$A14748="","",DATOS!$A14748&amp;"|"&amp;DATOS!$D14748&amp;"|"&amp;DATOS!$E14748&amp;"|"&amp;DATOS!$I14748)</f>
      </c>
      <c r="G14748">
        <f>IF(DATOS!$A14748="",0,IF(CONFIG_METADATA!$B$4&lt;&gt;"OR+EX",--(DATOS!$G14748=CONFIG_METADATA!$B$4),IF(DATOS!$G14748="EX",1,IF(DATOS!$G14748="OR",--(COUNTIFS(nNIA,DATOS!$A14748,nCURSO,DATOS!$D14748,nESPEC,DATOS!$E14748,nASIG,DATOS!$I14748,nEVAL,"EX")=0),0))))</f>
      </c>
      <c r="H14748">
        <f>IF(DATOS!$G14748&lt;&gt;"EX",0,--(COUNTIFS(nNIA,DATOS!$A14748,nCURSO,DATOS!$D14748,nESPEC,DATOS!$E14748,nASIG,DATOS!$I14748,nEVAL,"OR")=0))</f>
      </c>
      <c r="I14748">
        <f>IF(DATOS!$I14748="","",IFERROR(VLOOKUP(DATOS!$I14748,CONFIG_ASIGNATURAS!$B$2:$J$91,9,FALSE()),""))</f>
      </c>
    </row>
    <row r="14749">
      <c r="F14749">
        <f>IF(DATOS!$A14749="","",DATOS!$A14749&amp;"|"&amp;DATOS!$D14749&amp;"|"&amp;DATOS!$E14749&amp;"|"&amp;DATOS!$I14749)</f>
      </c>
      <c r="G14749">
        <f>IF(DATOS!$A14749="",0,IF(CONFIG_METADATA!$B$4&lt;&gt;"OR+EX",--(DATOS!$G14749=CONFIG_METADATA!$B$4),IF(DATOS!$G14749="EX",1,IF(DATOS!$G14749="OR",--(COUNTIFS(nNIA,DATOS!$A14749,nCURSO,DATOS!$D14749,nESPEC,DATOS!$E14749,nASIG,DATOS!$I14749,nEVAL,"EX")=0),0))))</f>
      </c>
      <c r="H14749">
        <f>IF(DATOS!$G14749&lt;&gt;"EX",0,--(COUNTIFS(nNIA,DATOS!$A14749,nCURSO,DATOS!$D14749,nESPEC,DATOS!$E14749,nASIG,DATOS!$I14749,nEVAL,"OR")=0))</f>
      </c>
      <c r="I14749">
        <f>IF(DATOS!$I14749="","",IFERROR(VLOOKUP(DATOS!$I14749,CONFIG_ASIGNATURAS!$B$2:$J$91,9,FALSE()),""))</f>
      </c>
    </row>
    <row r="14750">
      <c r="F14750">
        <f>IF(DATOS!$A14750="","",DATOS!$A14750&amp;"|"&amp;DATOS!$D14750&amp;"|"&amp;DATOS!$E14750&amp;"|"&amp;DATOS!$I14750)</f>
      </c>
      <c r="G14750">
        <f>IF(DATOS!$A14750="",0,IF(CONFIG_METADATA!$B$4&lt;&gt;"OR+EX",--(DATOS!$G14750=CONFIG_METADATA!$B$4),IF(DATOS!$G14750="EX",1,IF(DATOS!$G14750="OR",--(COUNTIFS(nNIA,DATOS!$A14750,nCURSO,DATOS!$D14750,nESPEC,DATOS!$E14750,nASIG,DATOS!$I14750,nEVAL,"EX")=0),0))))</f>
      </c>
      <c r="H14750">
        <f>IF(DATOS!$G14750&lt;&gt;"EX",0,--(COUNTIFS(nNIA,DATOS!$A14750,nCURSO,DATOS!$D14750,nESPEC,DATOS!$E14750,nASIG,DATOS!$I14750,nEVAL,"OR")=0))</f>
      </c>
      <c r="I14750">
        <f>IF(DATOS!$I14750="","",IFERROR(VLOOKUP(DATOS!$I14750,CONFIG_ASIGNATURAS!$B$2:$J$91,9,FALSE()),""))</f>
      </c>
    </row>
    <row r="14751">
      <c r="F14751">
        <f>IF(DATOS!$A14751="","",DATOS!$A14751&amp;"|"&amp;DATOS!$D14751&amp;"|"&amp;DATOS!$E14751&amp;"|"&amp;DATOS!$I14751)</f>
      </c>
      <c r="G14751">
        <f>IF(DATOS!$A14751="",0,IF(CONFIG_METADATA!$B$4&lt;&gt;"OR+EX",--(DATOS!$G14751=CONFIG_METADATA!$B$4),IF(DATOS!$G14751="EX",1,IF(DATOS!$G14751="OR",--(COUNTIFS(nNIA,DATOS!$A14751,nCURSO,DATOS!$D14751,nESPEC,DATOS!$E14751,nASIG,DATOS!$I14751,nEVAL,"EX")=0),0))))</f>
      </c>
      <c r="H14751">
        <f>IF(DATOS!$G14751&lt;&gt;"EX",0,--(COUNTIFS(nNIA,DATOS!$A14751,nCURSO,DATOS!$D14751,nESPEC,DATOS!$E14751,nASIG,DATOS!$I14751,nEVAL,"OR")=0))</f>
      </c>
      <c r="I14751">
        <f>IF(DATOS!$I14751="","",IFERROR(VLOOKUP(DATOS!$I14751,CONFIG_ASIGNATURAS!$B$2:$J$91,9,FALSE()),""))</f>
      </c>
    </row>
    <row r="14752">
      <c r="F14752">
        <f>IF(DATOS!$A14752="","",DATOS!$A14752&amp;"|"&amp;DATOS!$D14752&amp;"|"&amp;DATOS!$E14752&amp;"|"&amp;DATOS!$I14752)</f>
      </c>
      <c r="G14752">
        <f>IF(DATOS!$A14752="",0,IF(CONFIG_METADATA!$B$4&lt;&gt;"OR+EX",--(DATOS!$G14752=CONFIG_METADATA!$B$4),IF(DATOS!$G14752="EX",1,IF(DATOS!$G14752="OR",--(COUNTIFS(nNIA,DATOS!$A14752,nCURSO,DATOS!$D14752,nESPEC,DATOS!$E14752,nASIG,DATOS!$I14752,nEVAL,"EX")=0),0))))</f>
      </c>
      <c r="H14752">
        <f>IF(DATOS!$G14752&lt;&gt;"EX",0,--(COUNTIFS(nNIA,DATOS!$A14752,nCURSO,DATOS!$D14752,nESPEC,DATOS!$E14752,nASIG,DATOS!$I14752,nEVAL,"OR")=0))</f>
      </c>
      <c r="I14752">
        <f>IF(DATOS!$I14752="","",IFERROR(VLOOKUP(DATOS!$I14752,CONFIG_ASIGNATURAS!$B$2:$J$91,9,FALSE()),""))</f>
      </c>
    </row>
    <row r="14753">
      <c r="F14753">
        <f>IF(DATOS!$A14753="","",DATOS!$A14753&amp;"|"&amp;DATOS!$D14753&amp;"|"&amp;DATOS!$E14753&amp;"|"&amp;DATOS!$I14753)</f>
      </c>
      <c r="G14753">
        <f>IF(DATOS!$A14753="",0,IF(CONFIG_METADATA!$B$4&lt;&gt;"OR+EX",--(DATOS!$G14753=CONFIG_METADATA!$B$4),IF(DATOS!$G14753="EX",1,IF(DATOS!$G14753="OR",--(COUNTIFS(nNIA,DATOS!$A14753,nCURSO,DATOS!$D14753,nESPEC,DATOS!$E14753,nASIG,DATOS!$I14753,nEVAL,"EX")=0),0))))</f>
      </c>
      <c r="H14753">
        <f>IF(DATOS!$G14753&lt;&gt;"EX",0,--(COUNTIFS(nNIA,DATOS!$A14753,nCURSO,DATOS!$D14753,nESPEC,DATOS!$E14753,nASIG,DATOS!$I14753,nEVAL,"OR")=0))</f>
      </c>
      <c r="I14753">
        <f>IF(DATOS!$I14753="","",IFERROR(VLOOKUP(DATOS!$I14753,CONFIG_ASIGNATURAS!$B$2:$J$91,9,FALSE()),""))</f>
      </c>
    </row>
    <row r="14754">
      <c r="F14754">
        <f>IF(DATOS!$A14754="","",DATOS!$A14754&amp;"|"&amp;DATOS!$D14754&amp;"|"&amp;DATOS!$E14754&amp;"|"&amp;DATOS!$I14754)</f>
      </c>
      <c r="G14754">
        <f>IF(DATOS!$A14754="",0,IF(CONFIG_METADATA!$B$4&lt;&gt;"OR+EX",--(DATOS!$G14754=CONFIG_METADATA!$B$4),IF(DATOS!$G14754="EX",1,IF(DATOS!$G14754="OR",--(COUNTIFS(nNIA,DATOS!$A14754,nCURSO,DATOS!$D14754,nESPEC,DATOS!$E14754,nASIG,DATOS!$I14754,nEVAL,"EX")=0),0))))</f>
      </c>
      <c r="H14754">
        <f>IF(DATOS!$G14754&lt;&gt;"EX",0,--(COUNTIFS(nNIA,DATOS!$A14754,nCURSO,DATOS!$D14754,nESPEC,DATOS!$E14754,nASIG,DATOS!$I14754,nEVAL,"OR")=0))</f>
      </c>
      <c r="I14754">
        <f>IF(DATOS!$I14754="","",IFERROR(VLOOKUP(DATOS!$I14754,CONFIG_ASIGNATURAS!$B$2:$J$91,9,FALSE()),""))</f>
      </c>
    </row>
    <row r="14755">
      <c r="F14755">
        <f>IF(DATOS!$A14755="","",DATOS!$A14755&amp;"|"&amp;DATOS!$D14755&amp;"|"&amp;DATOS!$E14755&amp;"|"&amp;DATOS!$I14755)</f>
      </c>
      <c r="G14755">
        <f>IF(DATOS!$A14755="",0,IF(CONFIG_METADATA!$B$4&lt;&gt;"OR+EX",--(DATOS!$G14755=CONFIG_METADATA!$B$4),IF(DATOS!$G14755="EX",1,IF(DATOS!$G14755="OR",--(COUNTIFS(nNIA,DATOS!$A14755,nCURSO,DATOS!$D14755,nESPEC,DATOS!$E14755,nASIG,DATOS!$I14755,nEVAL,"EX")=0),0))))</f>
      </c>
      <c r="H14755">
        <f>IF(DATOS!$G14755&lt;&gt;"EX",0,--(COUNTIFS(nNIA,DATOS!$A14755,nCURSO,DATOS!$D14755,nESPEC,DATOS!$E14755,nASIG,DATOS!$I14755,nEVAL,"OR")=0))</f>
      </c>
      <c r="I14755">
        <f>IF(DATOS!$I14755="","",IFERROR(VLOOKUP(DATOS!$I14755,CONFIG_ASIGNATURAS!$B$2:$J$91,9,FALSE()),""))</f>
      </c>
    </row>
    <row r="14756">
      <c r="F14756">
        <f>IF(DATOS!$A14756="","",DATOS!$A14756&amp;"|"&amp;DATOS!$D14756&amp;"|"&amp;DATOS!$E14756&amp;"|"&amp;DATOS!$I14756)</f>
      </c>
      <c r="G14756">
        <f>IF(DATOS!$A14756="",0,IF(CONFIG_METADATA!$B$4&lt;&gt;"OR+EX",--(DATOS!$G14756=CONFIG_METADATA!$B$4),IF(DATOS!$G14756="EX",1,IF(DATOS!$G14756="OR",--(COUNTIFS(nNIA,DATOS!$A14756,nCURSO,DATOS!$D14756,nESPEC,DATOS!$E14756,nASIG,DATOS!$I14756,nEVAL,"EX")=0),0))))</f>
      </c>
      <c r="H14756">
        <f>IF(DATOS!$G14756&lt;&gt;"EX",0,--(COUNTIFS(nNIA,DATOS!$A14756,nCURSO,DATOS!$D14756,nESPEC,DATOS!$E14756,nASIG,DATOS!$I14756,nEVAL,"OR")=0))</f>
      </c>
      <c r="I14756">
        <f>IF(DATOS!$I14756="","",IFERROR(VLOOKUP(DATOS!$I14756,CONFIG_ASIGNATURAS!$B$2:$J$91,9,FALSE()),""))</f>
      </c>
    </row>
    <row r="14757">
      <c r="F14757">
        <f>IF(DATOS!$A14757="","",DATOS!$A14757&amp;"|"&amp;DATOS!$D14757&amp;"|"&amp;DATOS!$E14757&amp;"|"&amp;DATOS!$I14757)</f>
      </c>
      <c r="G14757">
        <f>IF(DATOS!$A14757="",0,IF(CONFIG_METADATA!$B$4&lt;&gt;"OR+EX",--(DATOS!$G14757=CONFIG_METADATA!$B$4),IF(DATOS!$G14757="EX",1,IF(DATOS!$G14757="OR",--(COUNTIFS(nNIA,DATOS!$A14757,nCURSO,DATOS!$D14757,nESPEC,DATOS!$E14757,nASIG,DATOS!$I14757,nEVAL,"EX")=0),0))))</f>
      </c>
      <c r="H14757">
        <f>IF(DATOS!$G14757&lt;&gt;"EX",0,--(COUNTIFS(nNIA,DATOS!$A14757,nCURSO,DATOS!$D14757,nESPEC,DATOS!$E14757,nASIG,DATOS!$I14757,nEVAL,"OR")=0))</f>
      </c>
      <c r="I14757">
        <f>IF(DATOS!$I14757="","",IFERROR(VLOOKUP(DATOS!$I14757,CONFIG_ASIGNATURAS!$B$2:$J$91,9,FALSE()),""))</f>
      </c>
    </row>
    <row r="14758">
      <c r="F14758">
        <f>IF(DATOS!$A14758="","",DATOS!$A14758&amp;"|"&amp;DATOS!$D14758&amp;"|"&amp;DATOS!$E14758&amp;"|"&amp;DATOS!$I14758)</f>
      </c>
      <c r="G14758">
        <f>IF(DATOS!$A14758="",0,IF(CONFIG_METADATA!$B$4&lt;&gt;"OR+EX",--(DATOS!$G14758=CONFIG_METADATA!$B$4),IF(DATOS!$G14758="EX",1,IF(DATOS!$G14758="OR",--(COUNTIFS(nNIA,DATOS!$A14758,nCURSO,DATOS!$D14758,nESPEC,DATOS!$E14758,nASIG,DATOS!$I14758,nEVAL,"EX")=0),0))))</f>
      </c>
      <c r="H14758">
        <f>IF(DATOS!$G14758&lt;&gt;"EX",0,--(COUNTIFS(nNIA,DATOS!$A14758,nCURSO,DATOS!$D14758,nESPEC,DATOS!$E14758,nASIG,DATOS!$I14758,nEVAL,"OR")=0))</f>
      </c>
      <c r="I14758">
        <f>IF(DATOS!$I14758="","",IFERROR(VLOOKUP(DATOS!$I14758,CONFIG_ASIGNATURAS!$B$2:$J$91,9,FALSE()),""))</f>
      </c>
    </row>
    <row r="14759">
      <c r="F14759">
        <f>IF(DATOS!$A14759="","",DATOS!$A14759&amp;"|"&amp;DATOS!$D14759&amp;"|"&amp;DATOS!$E14759&amp;"|"&amp;DATOS!$I14759)</f>
      </c>
      <c r="G14759">
        <f>IF(DATOS!$A14759="",0,IF(CONFIG_METADATA!$B$4&lt;&gt;"OR+EX",--(DATOS!$G14759=CONFIG_METADATA!$B$4),IF(DATOS!$G14759="EX",1,IF(DATOS!$G14759="OR",--(COUNTIFS(nNIA,DATOS!$A14759,nCURSO,DATOS!$D14759,nESPEC,DATOS!$E14759,nASIG,DATOS!$I14759,nEVAL,"EX")=0),0))))</f>
      </c>
      <c r="H14759">
        <f>IF(DATOS!$G14759&lt;&gt;"EX",0,--(COUNTIFS(nNIA,DATOS!$A14759,nCURSO,DATOS!$D14759,nESPEC,DATOS!$E14759,nASIG,DATOS!$I14759,nEVAL,"OR")=0))</f>
      </c>
      <c r="I14759">
        <f>IF(DATOS!$I14759="","",IFERROR(VLOOKUP(DATOS!$I14759,CONFIG_ASIGNATURAS!$B$2:$J$91,9,FALSE()),""))</f>
      </c>
    </row>
    <row r="14760">
      <c r="F14760">
        <f>IF(DATOS!$A14760="","",DATOS!$A14760&amp;"|"&amp;DATOS!$D14760&amp;"|"&amp;DATOS!$E14760&amp;"|"&amp;DATOS!$I14760)</f>
      </c>
      <c r="G14760">
        <f>IF(DATOS!$A14760="",0,IF(CONFIG_METADATA!$B$4&lt;&gt;"OR+EX",--(DATOS!$G14760=CONFIG_METADATA!$B$4),IF(DATOS!$G14760="EX",1,IF(DATOS!$G14760="OR",--(COUNTIFS(nNIA,DATOS!$A14760,nCURSO,DATOS!$D14760,nESPEC,DATOS!$E14760,nASIG,DATOS!$I14760,nEVAL,"EX")=0),0))))</f>
      </c>
      <c r="H14760">
        <f>IF(DATOS!$G14760&lt;&gt;"EX",0,--(COUNTIFS(nNIA,DATOS!$A14760,nCURSO,DATOS!$D14760,nESPEC,DATOS!$E14760,nASIG,DATOS!$I14760,nEVAL,"OR")=0))</f>
      </c>
      <c r="I14760">
        <f>IF(DATOS!$I14760="","",IFERROR(VLOOKUP(DATOS!$I14760,CONFIG_ASIGNATURAS!$B$2:$J$91,9,FALSE()),""))</f>
      </c>
    </row>
    <row r="14761">
      <c r="F14761">
        <f>IF(DATOS!$A14761="","",DATOS!$A14761&amp;"|"&amp;DATOS!$D14761&amp;"|"&amp;DATOS!$E14761&amp;"|"&amp;DATOS!$I14761)</f>
      </c>
      <c r="G14761">
        <f>IF(DATOS!$A14761="",0,IF(CONFIG_METADATA!$B$4&lt;&gt;"OR+EX",--(DATOS!$G14761=CONFIG_METADATA!$B$4),IF(DATOS!$G14761="EX",1,IF(DATOS!$G14761="OR",--(COUNTIFS(nNIA,DATOS!$A14761,nCURSO,DATOS!$D14761,nESPEC,DATOS!$E14761,nASIG,DATOS!$I14761,nEVAL,"EX")=0),0))))</f>
      </c>
      <c r="H14761">
        <f>IF(DATOS!$G14761&lt;&gt;"EX",0,--(COUNTIFS(nNIA,DATOS!$A14761,nCURSO,DATOS!$D14761,nESPEC,DATOS!$E14761,nASIG,DATOS!$I14761,nEVAL,"OR")=0))</f>
      </c>
      <c r="I14761">
        <f>IF(DATOS!$I14761="","",IFERROR(VLOOKUP(DATOS!$I14761,CONFIG_ASIGNATURAS!$B$2:$J$91,9,FALSE()),""))</f>
      </c>
    </row>
    <row r="14762">
      <c r="F14762">
        <f>IF(DATOS!$A14762="","",DATOS!$A14762&amp;"|"&amp;DATOS!$D14762&amp;"|"&amp;DATOS!$E14762&amp;"|"&amp;DATOS!$I14762)</f>
      </c>
      <c r="G14762">
        <f>IF(DATOS!$A14762="",0,IF(CONFIG_METADATA!$B$4&lt;&gt;"OR+EX",--(DATOS!$G14762=CONFIG_METADATA!$B$4),IF(DATOS!$G14762="EX",1,IF(DATOS!$G14762="OR",--(COUNTIFS(nNIA,DATOS!$A14762,nCURSO,DATOS!$D14762,nESPEC,DATOS!$E14762,nASIG,DATOS!$I14762,nEVAL,"EX")=0),0))))</f>
      </c>
      <c r="H14762">
        <f>IF(DATOS!$G14762&lt;&gt;"EX",0,--(COUNTIFS(nNIA,DATOS!$A14762,nCURSO,DATOS!$D14762,nESPEC,DATOS!$E14762,nASIG,DATOS!$I14762,nEVAL,"OR")=0))</f>
      </c>
      <c r="I14762">
        <f>IF(DATOS!$I14762="","",IFERROR(VLOOKUP(DATOS!$I14762,CONFIG_ASIGNATURAS!$B$2:$J$91,9,FALSE()),""))</f>
      </c>
    </row>
    <row r="14763">
      <c r="F14763">
        <f>IF(DATOS!$A14763="","",DATOS!$A14763&amp;"|"&amp;DATOS!$D14763&amp;"|"&amp;DATOS!$E14763&amp;"|"&amp;DATOS!$I14763)</f>
      </c>
      <c r="G14763">
        <f>IF(DATOS!$A14763="",0,IF(CONFIG_METADATA!$B$4&lt;&gt;"OR+EX",--(DATOS!$G14763=CONFIG_METADATA!$B$4),IF(DATOS!$G14763="EX",1,IF(DATOS!$G14763="OR",--(COUNTIFS(nNIA,DATOS!$A14763,nCURSO,DATOS!$D14763,nESPEC,DATOS!$E14763,nASIG,DATOS!$I14763,nEVAL,"EX")=0),0))))</f>
      </c>
      <c r="H14763">
        <f>IF(DATOS!$G14763&lt;&gt;"EX",0,--(COUNTIFS(nNIA,DATOS!$A14763,nCURSO,DATOS!$D14763,nESPEC,DATOS!$E14763,nASIG,DATOS!$I14763,nEVAL,"OR")=0))</f>
      </c>
      <c r="I14763">
        <f>IF(DATOS!$I14763="","",IFERROR(VLOOKUP(DATOS!$I14763,CONFIG_ASIGNATURAS!$B$2:$J$91,9,FALSE()),""))</f>
      </c>
    </row>
    <row r="14764">
      <c r="F14764">
        <f>IF(DATOS!$A14764="","",DATOS!$A14764&amp;"|"&amp;DATOS!$D14764&amp;"|"&amp;DATOS!$E14764&amp;"|"&amp;DATOS!$I14764)</f>
      </c>
      <c r="G14764">
        <f>IF(DATOS!$A14764="",0,IF(CONFIG_METADATA!$B$4&lt;&gt;"OR+EX",--(DATOS!$G14764=CONFIG_METADATA!$B$4),IF(DATOS!$G14764="EX",1,IF(DATOS!$G14764="OR",--(COUNTIFS(nNIA,DATOS!$A14764,nCURSO,DATOS!$D14764,nESPEC,DATOS!$E14764,nASIG,DATOS!$I14764,nEVAL,"EX")=0),0))))</f>
      </c>
      <c r="H14764">
        <f>IF(DATOS!$G14764&lt;&gt;"EX",0,--(COUNTIFS(nNIA,DATOS!$A14764,nCURSO,DATOS!$D14764,nESPEC,DATOS!$E14764,nASIG,DATOS!$I14764,nEVAL,"OR")=0))</f>
      </c>
      <c r="I14764">
        <f>IF(DATOS!$I14764="","",IFERROR(VLOOKUP(DATOS!$I14764,CONFIG_ASIGNATURAS!$B$2:$J$91,9,FALSE()),""))</f>
      </c>
    </row>
    <row r="14765">
      <c r="F14765">
        <f>IF(DATOS!$A14765="","",DATOS!$A14765&amp;"|"&amp;DATOS!$D14765&amp;"|"&amp;DATOS!$E14765&amp;"|"&amp;DATOS!$I14765)</f>
      </c>
      <c r="G14765">
        <f>IF(DATOS!$A14765="",0,IF(CONFIG_METADATA!$B$4&lt;&gt;"OR+EX",--(DATOS!$G14765=CONFIG_METADATA!$B$4),IF(DATOS!$G14765="EX",1,IF(DATOS!$G14765="OR",--(COUNTIFS(nNIA,DATOS!$A14765,nCURSO,DATOS!$D14765,nESPEC,DATOS!$E14765,nASIG,DATOS!$I14765,nEVAL,"EX")=0),0))))</f>
      </c>
      <c r="H14765">
        <f>IF(DATOS!$G14765&lt;&gt;"EX",0,--(COUNTIFS(nNIA,DATOS!$A14765,nCURSO,DATOS!$D14765,nESPEC,DATOS!$E14765,nASIG,DATOS!$I14765,nEVAL,"OR")=0))</f>
      </c>
      <c r="I14765">
        <f>IF(DATOS!$I14765="","",IFERROR(VLOOKUP(DATOS!$I14765,CONFIG_ASIGNATURAS!$B$2:$J$91,9,FALSE()),""))</f>
      </c>
    </row>
    <row r="14766">
      <c r="F14766">
        <f>IF(DATOS!$A14766="","",DATOS!$A14766&amp;"|"&amp;DATOS!$D14766&amp;"|"&amp;DATOS!$E14766&amp;"|"&amp;DATOS!$I14766)</f>
      </c>
      <c r="G14766">
        <f>IF(DATOS!$A14766="",0,IF(CONFIG_METADATA!$B$4&lt;&gt;"OR+EX",--(DATOS!$G14766=CONFIG_METADATA!$B$4),IF(DATOS!$G14766="EX",1,IF(DATOS!$G14766="OR",--(COUNTIFS(nNIA,DATOS!$A14766,nCURSO,DATOS!$D14766,nESPEC,DATOS!$E14766,nASIG,DATOS!$I14766,nEVAL,"EX")=0),0))))</f>
      </c>
      <c r="H14766">
        <f>IF(DATOS!$G14766&lt;&gt;"EX",0,--(COUNTIFS(nNIA,DATOS!$A14766,nCURSO,DATOS!$D14766,nESPEC,DATOS!$E14766,nASIG,DATOS!$I14766,nEVAL,"OR")=0))</f>
      </c>
      <c r="I14766">
        <f>IF(DATOS!$I14766="","",IFERROR(VLOOKUP(DATOS!$I14766,CONFIG_ASIGNATURAS!$B$2:$J$91,9,FALSE()),""))</f>
      </c>
    </row>
    <row r="14767">
      <c r="F14767">
        <f>IF(DATOS!$A14767="","",DATOS!$A14767&amp;"|"&amp;DATOS!$D14767&amp;"|"&amp;DATOS!$E14767&amp;"|"&amp;DATOS!$I14767)</f>
      </c>
      <c r="G14767">
        <f>IF(DATOS!$A14767="",0,IF(CONFIG_METADATA!$B$4&lt;&gt;"OR+EX",--(DATOS!$G14767=CONFIG_METADATA!$B$4),IF(DATOS!$G14767="EX",1,IF(DATOS!$G14767="OR",--(COUNTIFS(nNIA,DATOS!$A14767,nCURSO,DATOS!$D14767,nESPEC,DATOS!$E14767,nASIG,DATOS!$I14767,nEVAL,"EX")=0),0))))</f>
      </c>
      <c r="H14767">
        <f>IF(DATOS!$G14767&lt;&gt;"EX",0,--(COUNTIFS(nNIA,DATOS!$A14767,nCURSO,DATOS!$D14767,nESPEC,DATOS!$E14767,nASIG,DATOS!$I14767,nEVAL,"OR")=0))</f>
      </c>
      <c r="I14767">
        <f>IF(DATOS!$I14767="","",IFERROR(VLOOKUP(DATOS!$I14767,CONFIG_ASIGNATURAS!$B$2:$J$91,9,FALSE()),""))</f>
      </c>
    </row>
    <row r="14768">
      <c r="F14768">
        <f>IF(DATOS!$A14768="","",DATOS!$A14768&amp;"|"&amp;DATOS!$D14768&amp;"|"&amp;DATOS!$E14768&amp;"|"&amp;DATOS!$I14768)</f>
      </c>
      <c r="G14768">
        <f>IF(DATOS!$A14768="",0,IF(CONFIG_METADATA!$B$4&lt;&gt;"OR+EX",--(DATOS!$G14768=CONFIG_METADATA!$B$4),IF(DATOS!$G14768="EX",1,IF(DATOS!$G14768="OR",--(COUNTIFS(nNIA,DATOS!$A14768,nCURSO,DATOS!$D14768,nESPEC,DATOS!$E14768,nASIG,DATOS!$I14768,nEVAL,"EX")=0),0))))</f>
      </c>
      <c r="H14768">
        <f>IF(DATOS!$G14768&lt;&gt;"EX",0,--(COUNTIFS(nNIA,DATOS!$A14768,nCURSO,DATOS!$D14768,nESPEC,DATOS!$E14768,nASIG,DATOS!$I14768,nEVAL,"OR")=0))</f>
      </c>
      <c r="I14768">
        <f>IF(DATOS!$I14768="","",IFERROR(VLOOKUP(DATOS!$I14768,CONFIG_ASIGNATURAS!$B$2:$J$91,9,FALSE()),""))</f>
      </c>
    </row>
    <row r="14769">
      <c r="F14769">
        <f>IF(DATOS!$A14769="","",DATOS!$A14769&amp;"|"&amp;DATOS!$D14769&amp;"|"&amp;DATOS!$E14769&amp;"|"&amp;DATOS!$I14769)</f>
      </c>
      <c r="G14769">
        <f>IF(DATOS!$A14769="",0,IF(CONFIG_METADATA!$B$4&lt;&gt;"OR+EX",--(DATOS!$G14769=CONFIG_METADATA!$B$4),IF(DATOS!$G14769="EX",1,IF(DATOS!$G14769="OR",--(COUNTIFS(nNIA,DATOS!$A14769,nCURSO,DATOS!$D14769,nESPEC,DATOS!$E14769,nASIG,DATOS!$I14769,nEVAL,"EX")=0),0))))</f>
      </c>
      <c r="H14769">
        <f>IF(DATOS!$G14769&lt;&gt;"EX",0,--(COUNTIFS(nNIA,DATOS!$A14769,nCURSO,DATOS!$D14769,nESPEC,DATOS!$E14769,nASIG,DATOS!$I14769,nEVAL,"OR")=0))</f>
      </c>
      <c r="I14769">
        <f>IF(DATOS!$I14769="","",IFERROR(VLOOKUP(DATOS!$I14769,CONFIG_ASIGNATURAS!$B$2:$J$91,9,FALSE()),""))</f>
      </c>
    </row>
    <row r="14770">
      <c r="F14770">
        <f>IF(DATOS!$A14770="","",DATOS!$A14770&amp;"|"&amp;DATOS!$D14770&amp;"|"&amp;DATOS!$E14770&amp;"|"&amp;DATOS!$I14770)</f>
      </c>
      <c r="G14770">
        <f>IF(DATOS!$A14770="",0,IF(CONFIG_METADATA!$B$4&lt;&gt;"OR+EX",--(DATOS!$G14770=CONFIG_METADATA!$B$4),IF(DATOS!$G14770="EX",1,IF(DATOS!$G14770="OR",--(COUNTIFS(nNIA,DATOS!$A14770,nCURSO,DATOS!$D14770,nESPEC,DATOS!$E14770,nASIG,DATOS!$I14770,nEVAL,"EX")=0),0))))</f>
      </c>
      <c r="H14770">
        <f>IF(DATOS!$G14770&lt;&gt;"EX",0,--(COUNTIFS(nNIA,DATOS!$A14770,nCURSO,DATOS!$D14770,nESPEC,DATOS!$E14770,nASIG,DATOS!$I14770,nEVAL,"OR")=0))</f>
      </c>
      <c r="I14770">
        <f>IF(DATOS!$I14770="","",IFERROR(VLOOKUP(DATOS!$I14770,CONFIG_ASIGNATURAS!$B$2:$J$91,9,FALSE()),""))</f>
      </c>
    </row>
    <row r="14771">
      <c r="F14771">
        <f>IF(DATOS!$A14771="","",DATOS!$A14771&amp;"|"&amp;DATOS!$D14771&amp;"|"&amp;DATOS!$E14771&amp;"|"&amp;DATOS!$I14771)</f>
      </c>
      <c r="G14771">
        <f>IF(DATOS!$A14771="",0,IF(CONFIG_METADATA!$B$4&lt;&gt;"OR+EX",--(DATOS!$G14771=CONFIG_METADATA!$B$4),IF(DATOS!$G14771="EX",1,IF(DATOS!$G14771="OR",--(COUNTIFS(nNIA,DATOS!$A14771,nCURSO,DATOS!$D14771,nESPEC,DATOS!$E14771,nASIG,DATOS!$I14771,nEVAL,"EX")=0),0))))</f>
      </c>
      <c r="H14771">
        <f>IF(DATOS!$G14771&lt;&gt;"EX",0,--(COUNTIFS(nNIA,DATOS!$A14771,nCURSO,DATOS!$D14771,nESPEC,DATOS!$E14771,nASIG,DATOS!$I14771,nEVAL,"OR")=0))</f>
      </c>
      <c r="I14771">
        <f>IF(DATOS!$I14771="","",IFERROR(VLOOKUP(DATOS!$I14771,CONFIG_ASIGNATURAS!$B$2:$J$91,9,FALSE()),""))</f>
      </c>
    </row>
    <row r="14772">
      <c r="F14772">
        <f>IF(DATOS!$A14772="","",DATOS!$A14772&amp;"|"&amp;DATOS!$D14772&amp;"|"&amp;DATOS!$E14772&amp;"|"&amp;DATOS!$I14772)</f>
      </c>
      <c r="G14772">
        <f>IF(DATOS!$A14772="",0,IF(CONFIG_METADATA!$B$4&lt;&gt;"OR+EX",--(DATOS!$G14772=CONFIG_METADATA!$B$4),IF(DATOS!$G14772="EX",1,IF(DATOS!$G14772="OR",--(COUNTIFS(nNIA,DATOS!$A14772,nCURSO,DATOS!$D14772,nESPEC,DATOS!$E14772,nASIG,DATOS!$I14772,nEVAL,"EX")=0),0))))</f>
      </c>
      <c r="H14772">
        <f>IF(DATOS!$G14772&lt;&gt;"EX",0,--(COUNTIFS(nNIA,DATOS!$A14772,nCURSO,DATOS!$D14772,nESPEC,DATOS!$E14772,nASIG,DATOS!$I14772,nEVAL,"OR")=0))</f>
      </c>
      <c r="I14772">
        <f>IF(DATOS!$I14772="","",IFERROR(VLOOKUP(DATOS!$I14772,CONFIG_ASIGNATURAS!$B$2:$J$91,9,FALSE()),""))</f>
      </c>
    </row>
    <row r="14773">
      <c r="F14773">
        <f>IF(DATOS!$A14773="","",DATOS!$A14773&amp;"|"&amp;DATOS!$D14773&amp;"|"&amp;DATOS!$E14773&amp;"|"&amp;DATOS!$I14773)</f>
      </c>
      <c r="G14773">
        <f>IF(DATOS!$A14773="",0,IF(CONFIG_METADATA!$B$4&lt;&gt;"OR+EX",--(DATOS!$G14773=CONFIG_METADATA!$B$4),IF(DATOS!$G14773="EX",1,IF(DATOS!$G14773="OR",--(COUNTIFS(nNIA,DATOS!$A14773,nCURSO,DATOS!$D14773,nESPEC,DATOS!$E14773,nASIG,DATOS!$I14773,nEVAL,"EX")=0),0))))</f>
      </c>
      <c r="H14773">
        <f>IF(DATOS!$G14773&lt;&gt;"EX",0,--(COUNTIFS(nNIA,DATOS!$A14773,nCURSO,DATOS!$D14773,nESPEC,DATOS!$E14773,nASIG,DATOS!$I14773,nEVAL,"OR")=0))</f>
      </c>
      <c r="I14773">
        <f>IF(DATOS!$I14773="","",IFERROR(VLOOKUP(DATOS!$I14773,CONFIG_ASIGNATURAS!$B$2:$J$91,9,FALSE()),""))</f>
      </c>
    </row>
    <row r="14774">
      <c r="F14774">
        <f>IF(DATOS!$A14774="","",DATOS!$A14774&amp;"|"&amp;DATOS!$D14774&amp;"|"&amp;DATOS!$E14774&amp;"|"&amp;DATOS!$I14774)</f>
      </c>
      <c r="G14774">
        <f>IF(DATOS!$A14774="",0,IF(CONFIG_METADATA!$B$4&lt;&gt;"OR+EX",--(DATOS!$G14774=CONFIG_METADATA!$B$4),IF(DATOS!$G14774="EX",1,IF(DATOS!$G14774="OR",--(COUNTIFS(nNIA,DATOS!$A14774,nCURSO,DATOS!$D14774,nESPEC,DATOS!$E14774,nASIG,DATOS!$I14774,nEVAL,"EX")=0),0))))</f>
      </c>
      <c r="H14774">
        <f>IF(DATOS!$G14774&lt;&gt;"EX",0,--(COUNTIFS(nNIA,DATOS!$A14774,nCURSO,DATOS!$D14774,nESPEC,DATOS!$E14774,nASIG,DATOS!$I14774,nEVAL,"OR")=0))</f>
      </c>
      <c r="I14774">
        <f>IF(DATOS!$I14774="","",IFERROR(VLOOKUP(DATOS!$I14774,CONFIG_ASIGNATURAS!$B$2:$J$91,9,FALSE()),""))</f>
      </c>
    </row>
    <row r="14775">
      <c r="F14775">
        <f>IF(DATOS!$A14775="","",DATOS!$A14775&amp;"|"&amp;DATOS!$D14775&amp;"|"&amp;DATOS!$E14775&amp;"|"&amp;DATOS!$I14775)</f>
      </c>
      <c r="G14775">
        <f>IF(DATOS!$A14775="",0,IF(CONFIG_METADATA!$B$4&lt;&gt;"OR+EX",--(DATOS!$G14775=CONFIG_METADATA!$B$4),IF(DATOS!$G14775="EX",1,IF(DATOS!$G14775="OR",--(COUNTIFS(nNIA,DATOS!$A14775,nCURSO,DATOS!$D14775,nESPEC,DATOS!$E14775,nASIG,DATOS!$I14775,nEVAL,"EX")=0),0))))</f>
      </c>
      <c r="H14775">
        <f>IF(DATOS!$G14775&lt;&gt;"EX",0,--(COUNTIFS(nNIA,DATOS!$A14775,nCURSO,DATOS!$D14775,nESPEC,DATOS!$E14775,nASIG,DATOS!$I14775,nEVAL,"OR")=0))</f>
      </c>
      <c r="I14775">
        <f>IF(DATOS!$I14775="","",IFERROR(VLOOKUP(DATOS!$I14775,CONFIG_ASIGNATURAS!$B$2:$J$91,9,FALSE()),""))</f>
      </c>
    </row>
    <row r="14776">
      <c r="F14776">
        <f>IF(DATOS!$A14776="","",DATOS!$A14776&amp;"|"&amp;DATOS!$D14776&amp;"|"&amp;DATOS!$E14776&amp;"|"&amp;DATOS!$I14776)</f>
      </c>
      <c r="G14776">
        <f>IF(DATOS!$A14776="",0,IF(CONFIG_METADATA!$B$4&lt;&gt;"OR+EX",--(DATOS!$G14776=CONFIG_METADATA!$B$4),IF(DATOS!$G14776="EX",1,IF(DATOS!$G14776="OR",--(COUNTIFS(nNIA,DATOS!$A14776,nCURSO,DATOS!$D14776,nESPEC,DATOS!$E14776,nASIG,DATOS!$I14776,nEVAL,"EX")=0),0))))</f>
      </c>
      <c r="H14776">
        <f>IF(DATOS!$G14776&lt;&gt;"EX",0,--(COUNTIFS(nNIA,DATOS!$A14776,nCURSO,DATOS!$D14776,nESPEC,DATOS!$E14776,nASIG,DATOS!$I14776,nEVAL,"OR")=0))</f>
      </c>
      <c r="I14776">
        <f>IF(DATOS!$I14776="","",IFERROR(VLOOKUP(DATOS!$I14776,CONFIG_ASIGNATURAS!$B$2:$J$91,9,FALSE()),""))</f>
      </c>
    </row>
    <row r="14777">
      <c r="F14777">
        <f>IF(DATOS!$A14777="","",DATOS!$A14777&amp;"|"&amp;DATOS!$D14777&amp;"|"&amp;DATOS!$E14777&amp;"|"&amp;DATOS!$I14777)</f>
      </c>
      <c r="G14777">
        <f>IF(DATOS!$A14777="",0,IF(CONFIG_METADATA!$B$4&lt;&gt;"OR+EX",--(DATOS!$G14777=CONFIG_METADATA!$B$4),IF(DATOS!$G14777="EX",1,IF(DATOS!$G14777="OR",--(COUNTIFS(nNIA,DATOS!$A14777,nCURSO,DATOS!$D14777,nESPEC,DATOS!$E14777,nASIG,DATOS!$I14777,nEVAL,"EX")=0),0))))</f>
      </c>
      <c r="H14777">
        <f>IF(DATOS!$G14777&lt;&gt;"EX",0,--(COUNTIFS(nNIA,DATOS!$A14777,nCURSO,DATOS!$D14777,nESPEC,DATOS!$E14777,nASIG,DATOS!$I14777,nEVAL,"OR")=0))</f>
      </c>
      <c r="I14777">
        <f>IF(DATOS!$I14777="","",IFERROR(VLOOKUP(DATOS!$I14777,CONFIG_ASIGNATURAS!$B$2:$J$91,9,FALSE()),""))</f>
      </c>
    </row>
    <row r="14778">
      <c r="F14778">
        <f>IF(DATOS!$A14778="","",DATOS!$A14778&amp;"|"&amp;DATOS!$D14778&amp;"|"&amp;DATOS!$E14778&amp;"|"&amp;DATOS!$I14778)</f>
      </c>
      <c r="G14778">
        <f>IF(DATOS!$A14778="",0,IF(CONFIG_METADATA!$B$4&lt;&gt;"OR+EX",--(DATOS!$G14778=CONFIG_METADATA!$B$4),IF(DATOS!$G14778="EX",1,IF(DATOS!$G14778="OR",--(COUNTIFS(nNIA,DATOS!$A14778,nCURSO,DATOS!$D14778,nESPEC,DATOS!$E14778,nASIG,DATOS!$I14778,nEVAL,"EX")=0),0))))</f>
      </c>
      <c r="H14778">
        <f>IF(DATOS!$G14778&lt;&gt;"EX",0,--(COUNTIFS(nNIA,DATOS!$A14778,nCURSO,DATOS!$D14778,nESPEC,DATOS!$E14778,nASIG,DATOS!$I14778,nEVAL,"OR")=0))</f>
      </c>
      <c r="I14778">
        <f>IF(DATOS!$I14778="","",IFERROR(VLOOKUP(DATOS!$I14778,CONFIG_ASIGNATURAS!$B$2:$J$91,9,FALSE()),""))</f>
      </c>
    </row>
    <row r="14779">
      <c r="F14779">
        <f>IF(DATOS!$A14779="","",DATOS!$A14779&amp;"|"&amp;DATOS!$D14779&amp;"|"&amp;DATOS!$E14779&amp;"|"&amp;DATOS!$I14779)</f>
      </c>
      <c r="G14779">
        <f>IF(DATOS!$A14779="",0,IF(CONFIG_METADATA!$B$4&lt;&gt;"OR+EX",--(DATOS!$G14779=CONFIG_METADATA!$B$4),IF(DATOS!$G14779="EX",1,IF(DATOS!$G14779="OR",--(COUNTIFS(nNIA,DATOS!$A14779,nCURSO,DATOS!$D14779,nESPEC,DATOS!$E14779,nASIG,DATOS!$I14779,nEVAL,"EX")=0),0))))</f>
      </c>
      <c r="H14779">
        <f>IF(DATOS!$G14779&lt;&gt;"EX",0,--(COUNTIFS(nNIA,DATOS!$A14779,nCURSO,DATOS!$D14779,nESPEC,DATOS!$E14779,nASIG,DATOS!$I14779,nEVAL,"OR")=0))</f>
      </c>
      <c r="I14779">
        <f>IF(DATOS!$I14779="","",IFERROR(VLOOKUP(DATOS!$I14779,CONFIG_ASIGNATURAS!$B$2:$J$91,9,FALSE()),""))</f>
      </c>
    </row>
    <row r="14780">
      <c r="F14780">
        <f>IF(DATOS!$A14780="","",DATOS!$A14780&amp;"|"&amp;DATOS!$D14780&amp;"|"&amp;DATOS!$E14780&amp;"|"&amp;DATOS!$I14780)</f>
      </c>
      <c r="G14780">
        <f>IF(DATOS!$A14780="",0,IF(CONFIG_METADATA!$B$4&lt;&gt;"OR+EX",--(DATOS!$G14780=CONFIG_METADATA!$B$4),IF(DATOS!$G14780="EX",1,IF(DATOS!$G14780="OR",--(COUNTIFS(nNIA,DATOS!$A14780,nCURSO,DATOS!$D14780,nESPEC,DATOS!$E14780,nASIG,DATOS!$I14780,nEVAL,"EX")=0),0))))</f>
      </c>
      <c r="H14780">
        <f>IF(DATOS!$G14780&lt;&gt;"EX",0,--(COUNTIFS(nNIA,DATOS!$A14780,nCURSO,DATOS!$D14780,nESPEC,DATOS!$E14780,nASIG,DATOS!$I14780,nEVAL,"OR")=0))</f>
      </c>
      <c r="I14780">
        <f>IF(DATOS!$I14780="","",IFERROR(VLOOKUP(DATOS!$I14780,CONFIG_ASIGNATURAS!$B$2:$J$91,9,FALSE()),""))</f>
      </c>
    </row>
    <row r="14781">
      <c r="F14781">
        <f>IF(DATOS!$A14781="","",DATOS!$A14781&amp;"|"&amp;DATOS!$D14781&amp;"|"&amp;DATOS!$E14781&amp;"|"&amp;DATOS!$I14781)</f>
      </c>
      <c r="G14781">
        <f>IF(DATOS!$A14781="",0,IF(CONFIG_METADATA!$B$4&lt;&gt;"OR+EX",--(DATOS!$G14781=CONFIG_METADATA!$B$4),IF(DATOS!$G14781="EX",1,IF(DATOS!$G14781="OR",--(COUNTIFS(nNIA,DATOS!$A14781,nCURSO,DATOS!$D14781,nESPEC,DATOS!$E14781,nASIG,DATOS!$I14781,nEVAL,"EX")=0),0))))</f>
      </c>
      <c r="H14781">
        <f>IF(DATOS!$G14781&lt;&gt;"EX",0,--(COUNTIFS(nNIA,DATOS!$A14781,nCURSO,DATOS!$D14781,nESPEC,DATOS!$E14781,nASIG,DATOS!$I14781,nEVAL,"OR")=0))</f>
      </c>
      <c r="I14781">
        <f>IF(DATOS!$I14781="","",IFERROR(VLOOKUP(DATOS!$I14781,CONFIG_ASIGNATURAS!$B$2:$J$91,9,FALSE()),""))</f>
      </c>
    </row>
    <row r="14782">
      <c r="F14782">
        <f>IF(DATOS!$A14782="","",DATOS!$A14782&amp;"|"&amp;DATOS!$D14782&amp;"|"&amp;DATOS!$E14782&amp;"|"&amp;DATOS!$I14782)</f>
      </c>
      <c r="G14782">
        <f>IF(DATOS!$A14782="",0,IF(CONFIG_METADATA!$B$4&lt;&gt;"OR+EX",--(DATOS!$G14782=CONFIG_METADATA!$B$4),IF(DATOS!$G14782="EX",1,IF(DATOS!$G14782="OR",--(COUNTIFS(nNIA,DATOS!$A14782,nCURSO,DATOS!$D14782,nESPEC,DATOS!$E14782,nASIG,DATOS!$I14782,nEVAL,"EX")=0),0))))</f>
      </c>
      <c r="H14782">
        <f>IF(DATOS!$G14782&lt;&gt;"EX",0,--(COUNTIFS(nNIA,DATOS!$A14782,nCURSO,DATOS!$D14782,nESPEC,DATOS!$E14782,nASIG,DATOS!$I14782,nEVAL,"OR")=0))</f>
      </c>
      <c r="I14782">
        <f>IF(DATOS!$I14782="","",IFERROR(VLOOKUP(DATOS!$I14782,CONFIG_ASIGNATURAS!$B$2:$J$91,9,FALSE()),""))</f>
      </c>
    </row>
    <row r="14783">
      <c r="F14783">
        <f>IF(DATOS!$A14783="","",DATOS!$A14783&amp;"|"&amp;DATOS!$D14783&amp;"|"&amp;DATOS!$E14783&amp;"|"&amp;DATOS!$I14783)</f>
      </c>
      <c r="G14783">
        <f>IF(DATOS!$A14783="",0,IF(CONFIG_METADATA!$B$4&lt;&gt;"OR+EX",--(DATOS!$G14783=CONFIG_METADATA!$B$4),IF(DATOS!$G14783="EX",1,IF(DATOS!$G14783="OR",--(COUNTIFS(nNIA,DATOS!$A14783,nCURSO,DATOS!$D14783,nESPEC,DATOS!$E14783,nASIG,DATOS!$I14783,nEVAL,"EX")=0),0))))</f>
      </c>
      <c r="H14783">
        <f>IF(DATOS!$G14783&lt;&gt;"EX",0,--(COUNTIFS(nNIA,DATOS!$A14783,nCURSO,DATOS!$D14783,nESPEC,DATOS!$E14783,nASIG,DATOS!$I14783,nEVAL,"OR")=0))</f>
      </c>
      <c r="I14783">
        <f>IF(DATOS!$I14783="","",IFERROR(VLOOKUP(DATOS!$I14783,CONFIG_ASIGNATURAS!$B$2:$J$91,9,FALSE()),""))</f>
      </c>
    </row>
    <row r="14784">
      <c r="F14784">
        <f>IF(DATOS!$A14784="","",DATOS!$A14784&amp;"|"&amp;DATOS!$D14784&amp;"|"&amp;DATOS!$E14784&amp;"|"&amp;DATOS!$I14784)</f>
      </c>
      <c r="G14784">
        <f>IF(DATOS!$A14784="",0,IF(CONFIG_METADATA!$B$4&lt;&gt;"OR+EX",--(DATOS!$G14784=CONFIG_METADATA!$B$4),IF(DATOS!$G14784="EX",1,IF(DATOS!$G14784="OR",--(COUNTIFS(nNIA,DATOS!$A14784,nCURSO,DATOS!$D14784,nESPEC,DATOS!$E14784,nASIG,DATOS!$I14784,nEVAL,"EX")=0),0))))</f>
      </c>
      <c r="H14784">
        <f>IF(DATOS!$G14784&lt;&gt;"EX",0,--(COUNTIFS(nNIA,DATOS!$A14784,nCURSO,DATOS!$D14784,nESPEC,DATOS!$E14784,nASIG,DATOS!$I14784,nEVAL,"OR")=0))</f>
      </c>
      <c r="I14784">
        <f>IF(DATOS!$I14784="","",IFERROR(VLOOKUP(DATOS!$I14784,CONFIG_ASIGNATURAS!$B$2:$J$91,9,FALSE()),""))</f>
      </c>
    </row>
    <row r="14785">
      <c r="F14785">
        <f>IF(DATOS!$A14785="","",DATOS!$A14785&amp;"|"&amp;DATOS!$D14785&amp;"|"&amp;DATOS!$E14785&amp;"|"&amp;DATOS!$I14785)</f>
      </c>
      <c r="G14785">
        <f>IF(DATOS!$A14785="",0,IF(CONFIG_METADATA!$B$4&lt;&gt;"OR+EX",--(DATOS!$G14785=CONFIG_METADATA!$B$4),IF(DATOS!$G14785="EX",1,IF(DATOS!$G14785="OR",--(COUNTIFS(nNIA,DATOS!$A14785,nCURSO,DATOS!$D14785,nESPEC,DATOS!$E14785,nASIG,DATOS!$I14785,nEVAL,"EX")=0),0))))</f>
      </c>
      <c r="H14785">
        <f>IF(DATOS!$G14785&lt;&gt;"EX",0,--(COUNTIFS(nNIA,DATOS!$A14785,nCURSO,DATOS!$D14785,nESPEC,DATOS!$E14785,nASIG,DATOS!$I14785,nEVAL,"OR")=0))</f>
      </c>
      <c r="I14785">
        <f>IF(DATOS!$I14785="","",IFERROR(VLOOKUP(DATOS!$I14785,CONFIG_ASIGNATURAS!$B$2:$J$91,9,FALSE()),""))</f>
      </c>
    </row>
    <row r="14786">
      <c r="F14786">
        <f>IF(DATOS!$A14786="","",DATOS!$A14786&amp;"|"&amp;DATOS!$D14786&amp;"|"&amp;DATOS!$E14786&amp;"|"&amp;DATOS!$I14786)</f>
      </c>
      <c r="G14786">
        <f>IF(DATOS!$A14786="",0,IF(CONFIG_METADATA!$B$4&lt;&gt;"OR+EX",--(DATOS!$G14786=CONFIG_METADATA!$B$4),IF(DATOS!$G14786="EX",1,IF(DATOS!$G14786="OR",--(COUNTIFS(nNIA,DATOS!$A14786,nCURSO,DATOS!$D14786,nESPEC,DATOS!$E14786,nASIG,DATOS!$I14786,nEVAL,"EX")=0),0))))</f>
      </c>
      <c r="H14786">
        <f>IF(DATOS!$G14786&lt;&gt;"EX",0,--(COUNTIFS(nNIA,DATOS!$A14786,nCURSO,DATOS!$D14786,nESPEC,DATOS!$E14786,nASIG,DATOS!$I14786,nEVAL,"OR")=0))</f>
      </c>
      <c r="I14786">
        <f>IF(DATOS!$I14786="","",IFERROR(VLOOKUP(DATOS!$I14786,CONFIG_ASIGNATURAS!$B$2:$J$91,9,FALSE()),""))</f>
      </c>
    </row>
    <row r="14787">
      <c r="F14787">
        <f>IF(DATOS!$A14787="","",DATOS!$A14787&amp;"|"&amp;DATOS!$D14787&amp;"|"&amp;DATOS!$E14787&amp;"|"&amp;DATOS!$I14787)</f>
      </c>
      <c r="G14787">
        <f>IF(DATOS!$A14787="",0,IF(CONFIG_METADATA!$B$4&lt;&gt;"OR+EX",--(DATOS!$G14787=CONFIG_METADATA!$B$4),IF(DATOS!$G14787="EX",1,IF(DATOS!$G14787="OR",--(COUNTIFS(nNIA,DATOS!$A14787,nCURSO,DATOS!$D14787,nESPEC,DATOS!$E14787,nASIG,DATOS!$I14787,nEVAL,"EX")=0),0))))</f>
      </c>
      <c r="H14787">
        <f>IF(DATOS!$G14787&lt;&gt;"EX",0,--(COUNTIFS(nNIA,DATOS!$A14787,nCURSO,DATOS!$D14787,nESPEC,DATOS!$E14787,nASIG,DATOS!$I14787,nEVAL,"OR")=0))</f>
      </c>
      <c r="I14787">
        <f>IF(DATOS!$I14787="","",IFERROR(VLOOKUP(DATOS!$I14787,CONFIG_ASIGNATURAS!$B$2:$J$91,9,FALSE()),""))</f>
      </c>
    </row>
    <row r="14788">
      <c r="F14788">
        <f>IF(DATOS!$A14788="","",DATOS!$A14788&amp;"|"&amp;DATOS!$D14788&amp;"|"&amp;DATOS!$E14788&amp;"|"&amp;DATOS!$I14788)</f>
      </c>
      <c r="G14788">
        <f>IF(DATOS!$A14788="",0,IF(CONFIG_METADATA!$B$4&lt;&gt;"OR+EX",--(DATOS!$G14788=CONFIG_METADATA!$B$4),IF(DATOS!$G14788="EX",1,IF(DATOS!$G14788="OR",--(COUNTIFS(nNIA,DATOS!$A14788,nCURSO,DATOS!$D14788,nESPEC,DATOS!$E14788,nASIG,DATOS!$I14788,nEVAL,"EX")=0),0))))</f>
      </c>
      <c r="H14788">
        <f>IF(DATOS!$G14788&lt;&gt;"EX",0,--(COUNTIFS(nNIA,DATOS!$A14788,nCURSO,DATOS!$D14788,nESPEC,DATOS!$E14788,nASIG,DATOS!$I14788,nEVAL,"OR")=0))</f>
      </c>
      <c r="I14788">
        <f>IF(DATOS!$I14788="","",IFERROR(VLOOKUP(DATOS!$I14788,CONFIG_ASIGNATURAS!$B$2:$J$91,9,FALSE()),""))</f>
      </c>
    </row>
    <row r="14789">
      <c r="F14789">
        <f>IF(DATOS!$A14789="","",DATOS!$A14789&amp;"|"&amp;DATOS!$D14789&amp;"|"&amp;DATOS!$E14789&amp;"|"&amp;DATOS!$I14789)</f>
      </c>
      <c r="G14789">
        <f>IF(DATOS!$A14789="",0,IF(CONFIG_METADATA!$B$4&lt;&gt;"OR+EX",--(DATOS!$G14789=CONFIG_METADATA!$B$4),IF(DATOS!$G14789="EX",1,IF(DATOS!$G14789="OR",--(COUNTIFS(nNIA,DATOS!$A14789,nCURSO,DATOS!$D14789,nESPEC,DATOS!$E14789,nASIG,DATOS!$I14789,nEVAL,"EX")=0),0))))</f>
      </c>
      <c r="H14789">
        <f>IF(DATOS!$G14789&lt;&gt;"EX",0,--(COUNTIFS(nNIA,DATOS!$A14789,nCURSO,DATOS!$D14789,nESPEC,DATOS!$E14789,nASIG,DATOS!$I14789,nEVAL,"OR")=0))</f>
      </c>
      <c r="I14789">
        <f>IF(DATOS!$I14789="","",IFERROR(VLOOKUP(DATOS!$I14789,CONFIG_ASIGNATURAS!$B$2:$J$91,9,FALSE()),""))</f>
      </c>
    </row>
    <row r="14790">
      <c r="F14790">
        <f>IF(DATOS!$A14790="","",DATOS!$A14790&amp;"|"&amp;DATOS!$D14790&amp;"|"&amp;DATOS!$E14790&amp;"|"&amp;DATOS!$I14790)</f>
      </c>
      <c r="G14790">
        <f>IF(DATOS!$A14790="",0,IF(CONFIG_METADATA!$B$4&lt;&gt;"OR+EX",--(DATOS!$G14790=CONFIG_METADATA!$B$4),IF(DATOS!$G14790="EX",1,IF(DATOS!$G14790="OR",--(COUNTIFS(nNIA,DATOS!$A14790,nCURSO,DATOS!$D14790,nESPEC,DATOS!$E14790,nASIG,DATOS!$I14790,nEVAL,"EX")=0),0))))</f>
      </c>
      <c r="H14790">
        <f>IF(DATOS!$G14790&lt;&gt;"EX",0,--(COUNTIFS(nNIA,DATOS!$A14790,nCURSO,DATOS!$D14790,nESPEC,DATOS!$E14790,nASIG,DATOS!$I14790,nEVAL,"OR")=0))</f>
      </c>
      <c r="I14790">
        <f>IF(DATOS!$I14790="","",IFERROR(VLOOKUP(DATOS!$I14790,CONFIG_ASIGNATURAS!$B$2:$J$91,9,FALSE()),""))</f>
      </c>
    </row>
    <row r="14791">
      <c r="F14791">
        <f>IF(DATOS!$A14791="","",DATOS!$A14791&amp;"|"&amp;DATOS!$D14791&amp;"|"&amp;DATOS!$E14791&amp;"|"&amp;DATOS!$I14791)</f>
      </c>
      <c r="G14791">
        <f>IF(DATOS!$A14791="",0,IF(CONFIG_METADATA!$B$4&lt;&gt;"OR+EX",--(DATOS!$G14791=CONFIG_METADATA!$B$4),IF(DATOS!$G14791="EX",1,IF(DATOS!$G14791="OR",--(COUNTIFS(nNIA,DATOS!$A14791,nCURSO,DATOS!$D14791,nESPEC,DATOS!$E14791,nASIG,DATOS!$I14791,nEVAL,"EX")=0),0))))</f>
      </c>
      <c r="H14791">
        <f>IF(DATOS!$G14791&lt;&gt;"EX",0,--(COUNTIFS(nNIA,DATOS!$A14791,nCURSO,DATOS!$D14791,nESPEC,DATOS!$E14791,nASIG,DATOS!$I14791,nEVAL,"OR")=0))</f>
      </c>
      <c r="I14791">
        <f>IF(DATOS!$I14791="","",IFERROR(VLOOKUP(DATOS!$I14791,CONFIG_ASIGNATURAS!$B$2:$J$91,9,FALSE()),""))</f>
      </c>
    </row>
    <row r="14792">
      <c r="F14792">
        <f>IF(DATOS!$A14792="","",DATOS!$A14792&amp;"|"&amp;DATOS!$D14792&amp;"|"&amp;DATOS!$E14792&amp;"|"&amp;DATOS!$I14792)</f>
      </c>
      <c r="G14792">
        <f>IF(DATOS!$A14792="",0,IF(CONFIG_METADATA!$B$4&lt;&gt;"OR+EX",--(DATOS!$G14792=CONFIG_METADATA!$B$4),IF(DATOS!$G14792="EX",1,IF(DATOS!$G14792="OR",--(COUNTIFS(nNIA,DATOS!$A14792,nCURSO,DATOS!$D14792,nESPEC,DATOS!$E14792,nASIG,DATOS!$I14792,nEVAL,"EX")=0),0))))</f>
      </c>
      <c r="H14792">
        <f>IF(DATOS!$G14792&lt;&gt;"EX",0,--(COUNTIFS(nNIA,DATOS!$A14792,nCURSO,DATOS!$D14792,nESPEC,DATOS!$E14792,nASIG,DATOS!$I14792,nEVAL,"OR")=0))</f>
      </c>
      <c r="I14792">
        <f>IF(DATOS!$I14792="","",IFERROR(VLOOKUP(DATOS!$I14792,CONFIG_ASIGNATURAS!$B$2:$J$91,9,FALSE()),""))</f>
      </c>
    </row>
    <row r="14793">
      <c r="F14793">
        <f>IF(DATOS!$A14793="","",DATOS!$A14793&amp;"|"&amp;DATOS!$D14793&amp;"|"&amp;DATOS!$E14793&amp;"|"&amp;DATOS!$I14793)</f>
      </c>
      <c r="G14793">
        <f>IF(DATOS!$A14793="",0,IF(CONFIG_METADATA!$B$4&lt;&gt;"OR+EX",--(DATOS!$G14793=CONFIG_METADATA!$B$4),IF(DATOS!$G14793="EX",1,IF(DATOS!$G14793="OR",--(COUNTIFS(nNIA,DATOS!$A14793,nCURSO,DATOS!$D14793,nESPEC,DATOS!$E14793,nASIG,DATOS!$I14793,nEVAL,"EX")=0),0))))</f>
      </c>
      <c r="H14793">
        <f>IF(DATOS!$G14793&lt;&gt;"EX",0,--(COUNTIFS(nNIA,DATOS!$A14793,nCURSO,DATOS!$D14793,nESPEC,DATOS!$E14793,nASIG,DATOS!$I14793,nEVAL,"OR")=0))</f>
      </c>
      <c r="I14793">
        <f>IF(DATOS!$I14793="","",IFERROR(VLOOKUP(DATOS!$I14793,CONFIG_ASIGNATURAS!$B$2:$J$91,9,FALSE()),""))</f>
      </c>
    </row>
    <row r="14794">
      <c r="F14794">
        <f>IF(DATOS!$A14794="","",DATOS!$A14794&amp;"|"&amp;DATOS!$D14794&amp;"|"&amp;DATOS!$E14794&amp;"|"&amp;DATOS!$I14794)</f>
      </c>
      <c r="G14794">
        <f>IF(DATOS!$A14794="",0,IF(CONFIG_METADATA!$B$4&lt;&gt;"OR+EX",--(DATOS!$G14794=CONFIG_METADATA!$B$4),IF(DATOS!$G14794="EX",1,IF(DATOS!$G14794="OR",--(COUNTIFS(nNIA,DATOS!$A14794,nCURSO,DATOS!$D14794,nESPEC,DATOS!$E14794,nASIG,DATOS!$I14794,nEVAL,"EX")=0),0))))</f>
      </c>
      <c r="H14794">
        <f>IF(DATOS!$G14794&lt;&gt;"EX",0,--(COUNTIFS(nNIA,DATOS!$A14794,nCURSO,DATOS!$D14794,nESPEC,DATOS!$E14794,nASIG,DATOS!$I14794,nEVAL,"OR")=0))</f>
      </c>
      <c r="I14794">
        <f>IF(DATOS!$I14794="","",IFERROR(VLOOKUP(DATOS!$I14794,CONFIG_ASIGNATURAS!$B$2:$J$91,9,FALSE()),""))</f>
      </c>
    </row>
    <row r="14795">
      <c r="F14795">
        <f>IF(DATOS!$A14795="","",DATOS!$A14795&amp;"|"&amp;DATOS!$D14795&amp;"|"&amp;DATOS!$E14795&amp;"|"&amp;DATOS!$I14795)</f>
      </c>
      <c r="G14795">
        <f>IF(DATOS!$A14795="",0,IF(CONFIG_METADATA!$B$4&lt;&gt;"OR+EX",--(DATOS!$G14795=CONFIG_METADATA!$B$4),IF(DATOS!$G14795="EX",1,IF(DATOS!$G14795="OR",--(COUNTIFS(nNIA,DATOS!$A14795,nCURSO,DATOS!$D14795,nESPEC,DATOS!$E14795,nASIG,DATOS!$I14795,nEVAL,"EX")=0),0))))</f>
      </c>
      <c r="H14795">
        <f>IF(DATOS!$G14795&lt;&gt;"EX",0,--(COUNTIFS(nNIA,DATOS!$A14795,nCURSO,DATOS!$D14795,nESPEC,DATOS!$E14795,nASIG,DATOS!$I14795,nEVAL,"OR")=0))</f>
      </c>
      <c r="I14795">
        <f>IF(DATOS!$I14795="","",IFERROR(VLOOKUP(DATOS!$I14795,CONFIG_ASIGNATURAS!$B$2:$J$91,9,FALSE()),""))</f>
      </c>
    </row>
    <row r="14796">
      <c r="F14796">
        <f>IF(DATOS!$A14796="","",DATOS!$A14796&amp;"|"&amp;DATOS!$D14796&amp;"|"&amp;DATOS!$E14796&amp;"|"&amp;DATOS!$I14796)</f>
      </c>
      <c r="G14796">
        <f>IF(DATOS!$A14796="",0,IF(CONFIG_METADATA!$B$4&lt;&gt;"OR+EX",--(DATOS!$G14796=CONFIG_METADATA!$B$4),IF(DATOS!$G14796="EX",1,IF(DATOS!$G14796="OR",--(COUNTIFS(nNIA,DATOS!$A14796,nCURSO,DATOS!$D14796,nESPEC,DATOS!$E14796,nASIG,DATOS!$I14796,nEVAL,"EX")=0),0))))</f>
      </c>
      <c r="H14796">
        <f>IF(DATOS!$G14796&lt;&gt;"EX",0,--(COUNTIFS(nNIA,DATOS!$A14796,nCURSO,DATOS!$D14796,nESPEC,DATOS!$E14796,nASIG,DATOS!$I14796,nEVAL,"OR")=0))</f>
      </c>
      <c r="I14796">
        <f>IF(DATOS!$I14796="","",IFERROR(VLOOKUP(DATOS!$I14796,CONFIG_ASIGNATURAS!$B$2:$J$91,9,FALSE()),""))</f>
      </c>
    </row>
    <row r="14797">
      <c r="F14797">
        <f>IF(DATOS!$A14797="","",DATOS!$A14797&amp;"|"&amp;DATOS!$D14797&amp;"|"&amp;DATOS!$E14797&amp;"|"&amp;DATOS!$I14797)</f>
      </c>
      <c r="G14797">
        <f>IF(DATOS!$A14797="",0,IF(CONFIG_METADATA!$B$4&lt;&gt;"OR+EX",--(DATOS!$G14797=CONFIG_METADATA!$B$4),IF(DATOS!$G14797="EX",1,IF(DATOS!$G14797="OR",--(COUNTIFS(nNIA,DATOS!$A14797,nCURSO,DATOS!$D14797,nESPEC,DATOS!$E14797,nASIG,DATOS!$I14797,nEVAL,"EX")=0),0))))</f>
      </c>
      <c r="H14797">
        <f>IF(DATOS!$G14797&lt;&gt;"EX",0,--(COUNTIFS(nNIA,DATOS!$A14797,nCURSO,DATOS!$D14797,nESPEC,DATOS!$E14797,nASIG,DATOS!$I14797,nEVAL,"OR")=0))</f>
      </c>
      <c r="I14797">
        <f>IF(DATOS!$I14797="","",IFERROR(VLOOKUP(DATOS!$I14797,CONFIG_ASIGNATURAS!$B$2:$J$91,9,FALSE()),""))</f>
      </c>
    </row>
    <row r="14798">
      <c r="F14798">
        <f>IF(DATOS!$A14798="","",DATOS!$A14798&amp;"|"&amp;DATOS!$D14798&amp;"|"&amp;DATOS!$E14798&amp;"|"&amp;DATOS!$I14798)</f>
      </c>
      <c r="G14798">
        <f>IF(DATOS!$A14798="",0,IF(CONFIG_METADATA!$B$4&lt;&gt;"OR+EX",--(DATOS!$G14798=CONFIG_METADATA!$B$4),IF(DATOS!$G14798="EX",1,IF(DATOS!$G14798="OR",--(COUNTIFS(nNIA,DATOS!$A14798,nCURSO,DATOS!$D14798,nESPEC,DATOS!$E14798,nASIG,DATOS!$I14798,nEVAL,"EX")=0),0))))</f>
      </c>
      <c r="H14798">
        <f>IF(DATOS!$G14798&lt;&gt;"EX",0,--(COUNTIFS(nNIA,DATOS!$A14798,nCURSO,DATOS!$D14798,nESPEC,DATOS!$E14798,nASIG,DATOS!$I14798,nEVAL,"OR")=0))</f>
      </c>
      <c r="I14798">
        <f>IF(DATOS!$I14798="","",IFERROR(VLOOKUP(DATOS!$I14798,CONFIG_ASIGNATURAS!$B$2:$J$91,9,FALSE()),""))</f>
      </c>
    </row>
    <row r="14799">
      <c r="F14799">
        <f>IF(DATOS!$A14799="","",DATOS!$A14799&amp;"|"&amp;DATOS!$D14799&amp;"|"&amp;DATOS!$E14799&amp;"|"&amp;DATOS!$I14799)</f>
      </c>
      <c r="G14799">
        <f>IF(DATOS!$A14799="",0,IF(CONFIG_METADATA!$B$4&lt;&gt;"OR+EX",--(DATOS!$G14799=CONFIG_METADATA!$B$4),IF(DATOS!$G14799="EX",1,IF(DATOS!$G14799="OR",--(COUNTIFS(nNIA,DATOS!$A14799,nCURSO,DATOS!$D14799,nESPEC,DATOS!$E14799,nASIG,DATOS!$I14799,nEVAL,"EX")=0),0))))</f>
      </c>
      <c r="H14799">
        <f>IF(DATOS!$G14799&lt;&gt;"EX",0,--(COUNTIFS(nNIA,DATOS!$A14799,nCURSO,DATOS!$D14799,nESPEC,DATOS!$E14799,nASIG,DATOS!$I14799,nEVAL,"OR")=0))</f>
      </c>
      <c r="I14799">
        <f>IF(DATOS!$I14799="","",IFERROR(VLOOKUP(DATOS!$I14799,CONFIG_ASIGNATURAS!$B$2:$J$91,9,FALSE()),""))</f>
      </c>
    </row>
    <row r="14800">
      <c r="F14800">
        <f>IF(DATOS!$A14800="","",DATOS!$A14800&amp;"|"&amp;DATOS!$D14800&amp;"|"&amp;DATOS!$E14800&amp;"|"&amp;DATOS!$I14800)</f>
      </c>
      <c r="G14800">
        <f>IF(DATOS!$A14800="",0,IF(CONFIG_METADATA!$B$4&lt;&gt;"OR+EX",--(DATOS!$G14800=CONFIG_METADATA!$B$4),IF(DATOS!$G14800="EX",1,IF(DATOS!$G14800="OR",--(COUNTIFS(nNIA,DATOS!$A14800,nCURSO,DATOS!$D14800,nESPEC,DATOS!$E14800,nASIG,DATOS!$I14800,nEVAL,"EX")=0),0))))</f>
      </c>
      <c r="H14800">
        <f>IF(DATOS!$G14800&lt;&gt;"EX",0,--(COUNTIFS(nNIA,DATOS!$A14800,nCURSO,DATOS!$D14800,nESPEC,DATOS!$E14800,nASIG,DATOS!$I14800,nEVAL,"OR")=0))</f>
      </c>
      <c r="I14800">
        <f>IF(DATOS!$I14800="","",IFERROR(VLOOKUP(DATOS!$I14800,CONFIG_ASIGNATURAS!$B$2:$J$91,9,FALSE()),""))</f>
      </c>
    </row>
    <row r="14801">
      <c r="F14801">
        <f>IF(DATOS!$A14801="","",DATOS!$A14801&amp;"|"&amp;DATOS!$D14801&amp;"|"&amp;DATOS!$E14801&amp;"|"&amp;DATOS!$I14801)</f>
      </c>
      <c r="G14801">
        <f>IF(DATOS!$A14801="",0,IF(CONFIG_METADATA!$B$4&lt;&gt;"OR+EX",--(DATOS!$G14801=CONFIG_METADATA!$B$4),IF(DATOS!$G14801="EX",1,IF(DATOS!$G14801="OR",--(COUNTIFS(nNIA,DATOS!$A14801,nCURSO,DATOS!$D14801,nESPEC,DATOS!$E14801,nASIG,DATOS!$I14801,nEVAL,"EX")=0),0))))</f>
      </c>
      <c r="H14801">
        <f>IF(DATOS!$G14801&lt;&gt;"EX",0,--(COUNTIFS(nNIA,DATOS!$A14801,nCURSO,DATOS!$D14801,nESPEC,DATOS!$E14801,nASIG,DATOS!$I14801,nEVAL,"OR")=0))</f>
      </c>
      <c r="I14801">
        <f>IF(DATOS!$I14801="","",IFERROR(VLOOKUP(DATOS!$I14801,CONFIG_ASIGNATURAS!$B$2:$J$91,9,FALSE()),""))</f>
      </c>
    </row>
    <row r="14802">
      <c r="F14802">
        <f>IF(DATOS!$A14802="","",DATOS!$A14802&amp;"|"&amp;DATOS!$D14802&amp;"|"&amp;DATOS!$E14802&amp;"|"&amp;DATOS!$I14802)</f>
      </c>
      <c r="G14802">
        <f>IF(DATOS!$A14802="",0,IF(CONFIG_METADATA!$B$4&lt;&gt;"OR+EX",--(DATOS!$G14802=CONFIG_METADATA!$B$4),IF(DATOS!$G14802="EX",1,IF(DATOS!$G14802="OR",--(COUNTIFS(nNIA,DATOS!$A14802,nCURSO,DATOS!$D14802,nESPEC,DATOS!$E14802,nASIG,DATOS!$I14802,nEVAL,"EX")=0),0))))</f>
      </c>
      <c r="H14802">
        <f>IF(DATOS!$G14802&lt;&gt;"EX",0,--(COUNTIFS(nNIA,DATOS!$A14802,nCURSO,DATOS!$D14802,nESPEC,DATOS!$E14802,nASIG,DATOS!$I14802,nEVAL,"OR")=0))</f>
      </c>
      <c r="I14802">
        <f>IF(DATOS!$I14802="","",IFERROR(VLOOKUP(DATOS!$I14802,CONFIG_ASIGNATURAS!$B$2:$J$91,9,FALSE()),""))</f>
      </c>
    </row>
    <row r="14803">
      <c r="F14803">
        <f>IF(DATOS!$A14803="","",DATOS!$A14803&amp;"|"&amp;DATOS!$D14803&amp;"|"&amp;DATOS!$E14803&amp;"|"&amp;DATOS!$I14803)</f>
      </c>
      <c r="G14803">
        <f>IF(DATOS!$A14803="",0,IF(CONFIG_METADATA!$B$4&lt;&gt;"OR+EX",--(DATOS!$G14803=CONFIG_METADATA!$B$4),IF(DATOS!$G14803="EX",1,IF(DATOS!$G14803="OR",--(COUNTIFS(nNIA,DATOS!$A14803,nCURSO,DATOS!$D14803,nESPEC,DATOS!$E14803,nASIG,DATOS!$I14803,nEVAL,"EX")=0),0))))</f>
      </c>
      <c r="H14803">
        <f>IF(DATOS!$G14803&lt;&gt;"EX",0,--(COUNTIFS(nNIA,DATOS!$A14803,nCURSO,DATOS!$D14803,nESPEC,DATOS!$E14803,nASIG,DATOS!$I14803,nEVAL,"OR")=0))</f>
      </c>
      <c r="I14803">
        <f>IF(DATOS!$I14803="","",IFERROR(VLOOKUP(DATOS!$I14803,CONFIG_ASIGNATURAS!$B$2:$J$91,9,FALSE()),""))</f>
      </c>
    </row>
    <row r="14804">
      <c r="F14804">
        <f>IF(DATOS!$A14804="","",DATOS!$A14804&amp;"|"&amp;DATOS!$D14804&amp;"|"&amp;DATOS!$E14804&amp;"|"&amp;DATOS!$I14804)</f>
      </c>
      <c r="G14804">
        <f>IF(DATOS!$A14804="",0,IF(CONFIG_METADATA!$B$4&lt;&gt;"OR+EX",--(DATOS!$G14804=CONFIG_METADATA!$B$4),IF(DATOS!$G14804="EX",1,IF(DATOS!$G14804="OR",--(COUNTIFS(nNIA,DATOS!$A14804,nCURSO,DATOS!$D14804,nESPEC,DATOS!$E14804,nASIG,DATOS!$I14804,nEVAL,"EX")=0),0))))</f>
      </c>
      <c r="H14804">
        <f>IF(DATOS!$G14804&lt;&gt;"EX",0,--(COUNTIFS(nNIA,DATOS!$A14804,nCURSO,DATOS!$D14804,nESPEC,DATOS!$E14804,nASIG,DATOS!$I14804,nEVAL,"OR")=0))</f>
      </c>
      <c r="I14804">
        <f>IF(DATOS!$I14804="","",IFERROR(VLOOKUP(DATOS!$I14804,CONFIG_ASIGNATURAS!$B$2:$J$91,9,FALSE()),""))</f>
      </c>
    </row>
    <row r="14805">
      <c r="F14805">
        <f>IF(DATOS!$A14805="","",DATOS!$A14805&amp;"|"&amp;DATOS!$D14805&amp;"|"&amp;DATOS!$E14805&amp;"|"&amp;DATOS!$I14805)</f>
      </c>
      <c r="G14805">
        <f>IF(DATOS!$A14805="",0,IF(CONFIG_METADATA!$B$4&lt;&gt;"OR+EX",--(DATOS!$G14805=CONFIG_METADATA!$B$4),IF(DATOS!$G14805="EX",1,IF(DATOS!$G14805="OR",--(COUNTIFS(nNIA,DATOS!$A14805,nCURSO,DATOS!$D14805,nESPEC,DATOS!$E14805,nASIG,DATOS!$I14805,nEVAL,"EX")=0),0))))</f>
      </c>
      <c r="H14805">
        <f>IF(DATOS!$G14805&lt;&gt;"EX",0,--(COUNTIFS(nNIA,DATOS!$A14805,nCURSO,DATOS!$D14805,nESPEC,DATOS!$E14805,nASIG,DATOS!$I14805,nEVAL,"OR")=0))</f>
      </c>
      <c r="I14805">
        <f>IF(DATOS!$I14805="","",IFERROR(VLOOKUP(DATOS!$I14805,CONFIG_ASIGNATURAS!$B$2:$J$91,9,FALSE()),""))</f>
      </c>
    </row>
    <row r="14806">
      <c r="F14806">
        <f>IF(DATOS!$A14806="","",DATOS!$A14806&amp;"|"&amp;DATOS!$D14806&amp;"|"&amp;DATOS!$E14806&amp;"|"&amp;DATOS!$I14806)</f>
      </c>
      <c r="G14806">
        <f>IF(DATOS!$A14806="",0,IF(CONFIG_METADATA!$B$4&lt;&gt;"OR+EX",--(DATOS!$G14806=CONFIG_METADATA!$B$4),IF(DATOS!$G14806="EX",1,IF(DATOS!$G14806="OR",--(COUNTIFS(nNIA,DATOS!$A14806,nCURSO,DATOS!$D14806,nESPEC,DATOS!$E14806,nASIG,DATOS!$I14806,nEVAL,"EX")=0),0))))</f>
      </c>
      <c r="H14806">
        <f>IF(DATOS!$G14806&lt;&gt;"EX",0,--(COUNTIFS(nNIA,DATOS!$A14806,nCURSO,DATOS!$D14806,nESPEC,DATOS!$E14806,nASIG,DATOS!$I14806,nEVAL,"OR")=0))</f>
      </c>
      <c r="I14806">
        <f>IF(DATOS!$I14806="","",IFERROR(VLOOKUP(DATOS!$I14806,CONFIG_ASIGNATURAS!$B$2:$J$91,9,FALSE()),""))</f>
      </c>
    </row>
    <row r="14807">
      <c r="F14807">
        <f>IF(DATOS!$A14807="","",DATOS!$A14807&amp;"|"&amp;DATOS!$D14807&amp;"|"&amp;DATOS!$E14807&amp;"|"&amp;DATOS!$I14807)</f>
      </c>
      <c r="G14807">
        <f>IF(DATOS!$A14807="",0,IF(CONFIG_METADATA!$B$4&lt;&gt;"OR+EX",--(DATOS!$G14807=CONFIG_METADATA!$B$4),IF(DATOS!$G14807="EX",1,IF(DATOS!$G14807="OR",--(COUNTIFS(nNIA,DATOS!$A14807,nCURSO,DATOS!$D14807,nESPEC,DATOS!$E14807,nASIG,DATOS!$I14807,nEVAL,"EX")=0),0))))</f>
      </c>
      <c r="H14807">
        <f>IF(DATOS!$G14807&lt;&gt;"EX",0,--(COUNTIFS(nNIA,DATOS!$A14807,nCURSO,DATOS!$D14807,nESPEC,DATOS!$E14807,nASIG,DATOS!$I14807,nEVAL,"OR")=0))</f>
      </c>
      <c r="I14807">
        <f>IF(DATOS!$I14807="","",IFERROR(VLOOKUP(DATOS!$I14807,CONFIG_ASIGNATURAS!$B$2:$J$91,9,FALSE()),""))</f>
      </c>
    </row>
    <row r="14808">
      <c r="F14808">
        <f>IF(DATOS!$A14808="","",DATOS!$A14808&amp;"|"&amp;DATOS!$D14808&amp;"|"&amp;DATOS!$E14808&amp;"|"&amp;DATOS!$I14808)</f>
      </c>
      <c r="G14808">
        <f>IF(DATOS!$A14808="",0,IF(CONFIG_METADATA!$B$4&lt;&gt;"OR+EX",--(DATOS!$G14808=CONFIG_METADATA!$B$4),IF(DATOS!$G14808="EX",1,IF(DATOS!$G14808="OR",--(COUNTIFS(nNIA,DATOS!$A14808,nCURSO,DATOS!$D14808,nESPEC,DATOS!$E14808,nASIG,DATOS!$I14808,nEVAL,"EX")=0),0))))</f>
      </c>
      <c r="H14808">
        <f>IF(DATOS!$G14808&lt;&gt;"EX",0,--(COUNTIFS(nNIA,DATOS!$A14808,nCURSO,DATOS!$D14808,nESPEC,DATOS!$E14808,nASIG,DATOS!$I14808,nEVAL,"OR")=0))</f>
      </c>
      <c r="I14808">
        <f>IF(DATOS!$I14808="","",IFERROR(VLOOKUP(DATOS!$I14808,CONFIG_ASIGNATURAS!$B$2:$J$91,9,FALSE()),""))</f>
      </c>
    </row>
    <row r="14809">
      <c r="F14809">
        <f>IF(DATOS!$A14809="","",DATOS!$A14809&amp;"|"&amp;DATOS!$D14809&amp;"|"&amp;DATOS!$E14809&amp;"|"&amp;DATOS!$I14809)</f>
      </c>
      <c r="G14809">
        <f>IF(DATOS!$A14809="",0,IF(CONFIG_METADATA!$B$4&lt;&gt;"OR+EX",--(DATOS!$G14809=CONFIG_METADATA!$B$4),IF(DATOS!$G14809="EX",1,IF(DATOS!$G14809="OR",--(COUNTIFS(nNIA,DATOS!$A14809,nCURSO,DATOS!$D14809,nESPEC,DATOS!$E14809,nASIG,DATOS!$I14809,nEVAL,"EX")=0),0))))</f>
      </c>
      <c r="H14809">
        <f>IF(DATOS!$G14809&lt;&gt;"EX",0,--(COUNTIFS(nNIA,DATOS!$A14809,nCURSO,DATOS!$D14809,nESPEC,DATOS!$E14809,nASIG,DATOS!$I14809,nEVAL,"OR")=0))</f>
      </c>
      <c r="I14809">
        <f>IF(DATOS!$I14809="","",IFERROR(VLOOKUP(DATOS!$I14809,CONFIG_ASIGNATURAS!$B$2:$J$91,9,FALSE()),""))</f>
      </c>
    </row>
    <row r="14810">
      <c r="F14810">
        <f>IF(DATOS!$A14810="","",DATOS!$A14810&amp;"|"&amp;DATOS!$D14810&amp;"|"&amp;DATOS!$E14810&amp;"|"&amp;DATOS!$I14810)</f>
      </c>
      <c r="G14810">
        <f>IF(DATOS!$A14810="",0,IF(CONFIG_METADATA!$B$4&lt;&gt;"OR+EX",--(DATOS!$G14810=CONFIG_METADATA!$B$4),IF(DATOS!$G14810="EX",1,IF(DATOS!$G14810="OR",--(COUNTIFS(nNIA,DATOS!$A14810,nCURSO,DATOS!$D14810,nESPEC,DATOS!$E14810,nASIG,DATOS!$I14810,nEVAL,"EX")=0),0))))</f>
      </c>
      <c r="H14810">
        <f>IF(DATOS!$G14810&lt;&gt;"EX",0,--(COUNTIFS(nNIA,DATOS!$A14810,nCURSO,DATOS!$D14810,nESPEC,DATOS!$E14810,nASIG,DATOS!$I14810,nEVAL,"OR")=0))</f>
      </c>
      <c r="I14810">
        <f>IF(DATOS!$I14810="","",IFERROR(VLOOKUP(DATOS!$I14810,CONFIG_ASIGNATURAS!$B$2:$J$91,9,FALSE()),""))</f>
      </c>
    </row>
    <row r="14811">
      <c r="F14811">
        <f>IF(DATOS!$A14811="","",DATOS!$A14811&amp;"|"&amp;DATOS!$D14811&amp;"|"&amp;DATOS!$E14811&amp;"|"&amp;DATOS!$I14811)</f>
      </c>
      <c r="G14811">
        <f>IF(DATOS!$A14811="",0,IF(CONFIG_METADATA!$B$4&lt;&gt;"OR+EX",--(DATOS!$G14811=CONFIG_METADATA!$B$4),IF(DATOS!$G14811="EX",1,IF(DATOS!$G14811="OR",--(COUNTIFS(nNIA,DATOS!$A14811,nCURSO,DATOS!$D14811,nESPEC,DATOS!$E14811,nASIG,DATOS!$I14811,nEVAL,"EX")=0),0))))</f>
      </c>
      <c r="H14811">
        <f>IF(DATOS!$G14811&lt;&gt;"EX",0,--(COUNTIFS(nNIA,DATOS!$A14811,nCURSO,DATOS!$D14811,nESPEC,DATOS!$E14811,nASIG,DATOS!$I14811,nEVAL,"OR")=0))</f>
      </c>
      <c r="I14811">
        <f>IF(DATOS!$I14811="","",IFERROR(VLOOKUP(DATOS!$I14811,CONFIG_ASIGNATURAS!$B$2:$J$91,9,FALSE()),""))</f>
      </c>
    </row>
    <row r="14812">
      <c r="F14812">
        <f>IF(DATOS!$A14812="","",DATOS!$A14812&amp;"|"&amp;DATOS!$D14812&amp;"|"&amp;DATOS!$E14812&amp;"|"&amp;DATOS!$I14812)</f>
      </c>
      <c r="G14812">
        <f>IF(DATOS!$A14812="",0,IF(CONFIG_METADATA!$B$4&lt;&gt;"OR+EX",--(DATOS!$G14812=CONFIG_METADATA!$B$4),IF(DATOS!$G14812="EX",1,IF(DATOS!$G14812="OR",--(COUNTIFS(nNIA,DATOS!$A14812,nCURSO,DATOS!$D14812,nESPEC,DATOS!$E14812,nASIG,DATOS!$I14812,nEVAL,"EX")=0),0))))</f>
      </c>
      <c r="H14812">
        <f>IF(DATOS!$G14812&lt;&gt;"EX",0,--(COUNTIFS(nNIA,DATOS!$A14812,nCURSO,DATOS!$D14812,nESPEC,DATOS!$E14812,nASIG,DATOS!$I14812,nEVAL,"OR")=0))</f>
      </c>
      <c r="I14812">
        <f>IF(DATOS!$I14812="","",IFERROR(VLOOKUP(DATOS!$I14812,CONFIG_ASIGNATURAS!$B$2:$J$91,9,FALSE()),""))</f>
      </c>
    </row>
    <row r="14813">
      <c r="F14813">
        <f>IF(DATOS!$A14813="","",DATOS!$A14813&amp;"|"&amp;DATOS!$D14813&amp;"|"&amp;DATOS!$E14813&amp;"|"&amp;DATOS!$I14813)</f>
      </c>
      <c r="G14813">
        <f>IF(DATOS!$A14813="",0,IF(CONFIG_METADATA!$B$4&lt;&gt;"OR+EX",--(DATOS!$G14813=CONFIG_METADATA!$B$4),IF(DATOS!$G14813="EX",1,IF(DATOS!$G14813="OR",--(COUNTIFS(nNIA,DATOS!$A14813,nCURSO,DATOS!$D14813,nESPEC,DATOS!$E14813,nASIG,DATOS!$I14813,nEVAL,"EX")=0),0))))</f>
      </c>
      <c r="H14813">
        <f>IF(DATOS!$G14813&lt;&gt;"EX",0,--(COUNTIFS(nNIA,DATOS!$A14813,nCURSO,DATOS!$D14813,nESPEC,DATOS!$E14813,nASIG,DATOS!$I14813,nEVAL,"OR")=0))</f>
      </c>
      <c r="I14813">
        <f>IF(DATOS!$I14813="","",IFERROR(VLOOKUP(DATOS!$I14813,CONFIG_ASIGNATURAS!$B$2:$J$91,9,FALSE()),""))</f>
      </c>
    </row>
    <row r="14814">
      <c r="F14814">
        <f>IF(DATOS!$A14814="","",DATOS!$A14814&amp;"|"&amp;DATOS!$D14814&amp;"|"&amp;DATOS!$E14814&amp;"|"&amp;DATOS!$I14814)</f>
      </c>
      <c r="G14814">
        <f>IF(DATOS!$A14814="",0,IF(CONFIG_METADATA!$B$4&lt;&gt;"OR+EX",--(DATOS!$G14814=CONFIG_METADATA!$B$4),IF(DATOS!$G14814="EX",1,IF(DATOS!$G14814="OR",--(COUNTIFS(nNIA,DATOS!$A14814,nCURSO,DATOS!$D14814,nESPEC,DATOS!$E14814,nASIG,DATOS!$I14814,nEVAL,"EX")=0),0))))</f>
      </c>
      <c r="H14814">
        <f>IF(DATOS!$G14814&lt;&gt;"EX",0,--(COUNTIFS(nNIA,DATOS!$A14814,nCURSO,DATOS!$D14814,nESPEC,DATOS!$E14814,nASIG,DATOS!$I14814,nEVAL,"OR")=0))</f>
      </c>
      <c r="I14814">
        <f>IF(DATOS!$I14814="","",IFERROR(VLOOKUP(DATOS!$I14814,CONFIG_ASIGNATURAS!$B$2:$J$91,9,FALSE()),""))</f>
      </c>
    </row>
    <row r="14815">
      <c r="F14815">
        <f>IF(DATOS!$A14815="","",DATOS!$A14815&amp;"|"&amp;DATOS!$D14815&amp;"|"&amp;DATOS!$E14815&amp;"|"&amp;DATOS!$I14815)</f>
      </c>
      <c r="G14815">
        <f>IF(DATOS!$A14815="",0,IF(CONFIG_METADATA!$B$4&lt;&gt;"OR+EX",--(DATOS!$G14815=CONFIG_METADATA!$B$4),IF(DATOS!$G14815="EX",1,IF(DATOS!$G14815="OR",--(COUNTIFS(nNIA,DATOS!$A14815,nCURSO,DATOS!$D14815,nESPEC,DATOS!$E14815,nASIG,DATOS!$I14815,nEVAL,"EX")=0),0))))</f>
      </c>
      <c r="H14815">
        <f>IF(DATOS!$G14815&lt;&gt;"EX",0,--(COUNTIFS(nNIA,DATOS!$A14815,nCURSO,DATOS!$D14815,nESPEC,DATOS!$E14815,nASIG,DATOS!$I14815,nEVAL,"OR")=0))</f>
      </c>
      <c r="I14815">
        <f>IF(DATOS!$I14815="","",IFERROR(VLOOKUP(DATOS!$I14815,CONFIG_ASIGNATURAS!$B$2:$J$91,9,FALSE()),""))</f>
      </c>
    </row>
    <row r="14816">
      <c r="F14816">
        <f>IF(DATOS!$A14816="","",DATOS!$A14816&amp;"|"&amp;DATOS!$D14816&amp;"|"&amp;DATOS!$E14816&amp;"|"&amp;DATOS!$I14816)</f>
      </c>
      <c r="G14816">
        <f>IF(DATOS!$A14816="",0,IF(CONFIG_METADATA!$B$4&lt;&gt;"OR+EX",--(DATOS!$G14816=CONFIG_METADATA!$B$4),IF(DATOS!$G14816="EX",1,IF(DATOS!$G14816="OR",--(COUNTIFS(nNIA,DATOS!$A14816,nCURSO,DATOS!$D14816,nESPEC,DATOS!$E14816,nASIG,DATOS!$I14816,nEVAL,"EX")=0),0))))</f>
      </c>
      <c r="H14816">
        <f>IF(DATOS!$G14816&lt;&gt;"EX",0,--(COUNTIFS(nNIA,DATOS!$A14816,nCURSO,DATOS!$D14816,nESPEC,DATOS!$E14816,nASIG,DATOS!$I14816,nEVAL,"OR")=0))</f>
      </c>
      <c r="I14816">
        <f>IF(DATOS!$I14816="","",IFERROR(VLOOKUP(DATOS!$I14816,CONFIG_ASIGNATURAS!$B$2:$J$91,9,FALSE()),""))</f>
      </c>
    </row>
    <row r="14817">
      <c r="F14817">
        <f>IF(DATOS!$A14817="","",DATOS!$A14817&amp;"|"&amp;DATOS!$D14817&amp;"|"&amp;DATOS!$E14817&amp;"|"&amp;DATOS!$I14817)</f>
      </c>
      <c r="G14817">
        <f>IF(DATOS!$A14817="",0,IF(CONFIG_METADATA!$B$4&lt;&gt;"OR+EX",--(DATOS!$G14817=CONFIG_METADATA!$B$4),IF(DATOS!$G14817="EX",1,IF(DATOS!$G14817="OR",--(COUNTIFS(nNIA,DATOS!$A14817,nCURSO,DATOS!$D14817,nESPEC,DATOS!$E14817,nASIG,DATOS!$I14817,nEVAL,"EX")=0),0))))</f>
      </c>
      <c r="H14817">
        <f>IF(DATOS!$G14817&lt;&gt;"EX",0,--(COUNTIFS(nNIA,DATOS!$A14817,nCURSO,DATOS!$D14817,nESPEC,DATOS!$E14817,nASIG,DATOS!$I14817,nEVAL,"OR")=0))</f>
      </c>
      <c r="I14817">
        <f>IF(DATOS!$I14817="","",IFERROR(VLOOKUP(DATOS!$I14817,CONFIG_ASIGNATURAS!$B$2:$J$91,9,FALSE()),""))</f>
      </c>
    </row>
    <row r="14818">
      <c r="F14818">
        <f>IF(DATOS!$A14818="","",DATOS!$A14818&amp;"|"&amp;DATOS!$D14818&amp;"|"&amp;DATOS!$E14818&amp;"|"&amp;DATOS!$I14818)</f>
      </c>
      <c r="G14818">
        <f>IF(DATOS!$A14818="",0,IF(CONFIG_METADATA!$B$4&lt;&gt;"OR+EX",--(DATOS!$G14818=CONFIG_METADATA!$B$4),IF(DATOS!$G14818="EX",1,IF(DATOS!$G14818="OR",--(COUNTIFS(nNIA,DATOS!$A14818,nCURSO,DATOS!$D14818,nESPEC,DATOS!$E14818,nASIG,DATOS!$I14818,nEVAL,"EX")=0),0))))</f>
      </c>
      <c r="H14818">
        <f>IF(DATOS!$G14818&lt;&gt;"EX",0,--(COUNTIFS(nNIA,DATOS!$A14818,nCURSO,DATOS!$D14818,nESPEC,DATOS!$E14818,nASIG,DATOS!$I14818,nEVAL,"OR")=0))</f>
      </c>
      <c r="I14818">
        <f>IF(DATOS!$I14818="","",IFERROR(VLOOKUP(DATOS!$I14818,CONFIG_ASIGNATURAS!$B$2:$J$91,9,FALSE()),""))</f>
      </c>
    </row>
    <row r="14819">
      <c r="F14819">
        <f>IF(DATOS!$A14819="","",DATOS!$A14819&amp;"|"&amp;DATOS!$D14819&amp;"|"&amp;DATOS!$E14819&amp;"|"&amp;DATOS!$I14819)</f>
      </c>
      <c r="G14819">
        <f>IF(DATOS!$A14819="",0,IF(CONFIG_METADATA!$B$4&lt;&gt;"OR+EX",--(DATOS!$G14819=CONFIG_METADATA!$B$4),IF(DATOS!$G14819="EX",1,IF(DATOS!$G14819="OR",--(COUNTIFS(nNIA,DATOS!$A14819,nCURSO,DATOS!$D14819,nESPEC,DATOS!$E14819,nASIG,DATOS!$I14819,nEVAL,"EX")=0),0))))</f>
      </c>
      <c r="H14819">
        <f>IF(DATOS!$G14819&lt;&gt;"EX",0,--(COUNTIFS(nNIA,DATOS!$A14819,nCURSO,DATOS!$D14819,nESPEC,DATOS!$E14819,nASIG,DATOS!$I14819,nEVAL,"OR")=0))</f>
      </c>
      <c r="I14819">
        <f>IF(DATOS!$I14819="","",IFERROR(VLOOKUP(DATOS!$I14819,CONFIG_ASIGNATURAS!$B$2:$J$91,9,FALSE()),""))</f>
      </c>
    </row>
    <row r="14820">
      <c r="F14820">
        <f>IF(DATOS!$A14820="","",DATOS!$A14820&amp;"|"&amp;DATOS!$D14820&amp;"|"&amp;DATOS!$E14820&amp;"|"&amp;DATOS!$I14820)</f>
      </c>
      <c r="G14820">
        <f>IF(DATOS!$A14820="",0,IF(CONFIG_METADATA!$B$4&lt;&gt;"OR+EX",--(DATOS!$G14820=CONFIG_METADATA!$B$4),IF(DATOS!$G14820="EX",1,IF(DATOS!$G14820="OR",--(COUNTIFS(nNIA,DATOS!$A14820,nCURSO,DATOS!$D14820,nESPEC,DATOS!$E14820,nASIG,DATOS!$I14820,nEVAL,"EX")=0),0))))</f>
      </c>
      <c r="H14820">
        <f>IF(DATOS!$G14820&lt;&gt;"EX",0,--(COUNTIFS(nNIA,DATOS!$A14820,nCURSO,DATOS!$D14820,nESPEC,DATOS!$E14820,nASIG,DATOS!$I14820,nEVAL,"OR")=0))</f>
      </c>
      <c r="I14820">
        <f>IF(DATOS!$I14820="","",IFERROR(VLOOKUP(DATOS!$I14820,CONFIG_ASIGNATURAS!$B$2:$J$91,9,FALSE()),""))</f>
      </c>
    </row>
    <row r="14821">
      <c r="F14821">
        <f>IF(DATOS!$A14821="","",DATOS!$A14821&amp;"|"&amp;DATOS!$D14821&amp;"|"&amp;DATOS!$E14821&amp;"|"&amp;DATOS!$I14821)</f>
      </c>
      <c r="G14821">
        <f>IF(DATOS!$A14821="",0,IF(CONFIG_METADATA!$B$4&lt;&gt;"OR+EX",--(DATOS!$G14821=CONFIG_METADATA!$B$4),IF(DATOS!$G14821="EX",1,IF(DATOS!$G14821="OR",--(COUNTIFS(nNIA,DATOS!$A14821,nCURSO,DATOS!$D14821,nESPEC,DATOS!$E14821,nASIG,DATOS!$I14821,nEVAL,"EX")=0),0))))</f>
      </c>
      <c r="H14821">
        <f>IF(DATOS!$G14821&lt;&gt;"EX",0,--(COUNTIFS(nNIA,DATOS!$A14821,nCURSO,DATOS!$D14821,nESPEC,DATOS!$E14821,nASIG,DATOS!$I14821,nEVAL,"OR")=0))</f>
      </c>
      <c r="I14821">
        <f>IF(DATOS!$I14821="","",IFERROR(VLOOKUP(DATOS!$I14821,CONFIG_ASIGNATURAS!$B$2:$J$91,9,FALSE()),""))</f>
      </c>
    </row>
    <row r="14822">
      <c r="F14822">
        <f>IF(DATOS!$A14822="","",DATOS!$A14822&amp;"|"&amp;DATOS!$D14822&amp;"|"&amp;DATOS!$E14822&amp;"|"&amp;DATOS!$I14822)</f>
      </c>
      <c r="G14822">
        <f>IF(DATOS!$A14822="",0,IF(CONFIG_METADATA!$B$4&lt;&gt;"OR+EX",--(DATOS!$G14822=CONFIG_METADATA!$B$4),IF(DATOS!$G14822="EX",1,IF(DATOS!$G14822="OR",--(COUNTIFS(nNIA,DATOS!$A14822,nCURSO,DATOS!$D14822,nESPEC,DATOS!$E14822,nASIG,DATOS!$I14822,nEVAL,"EX")=0),0))))</f>
      </c>
      <c r="H14822">
        <f>IF(DATOS!$G14822&lt;&gt;"EX",0,--(COUNTIFS(nNIA,DATOS!$A14822,nCURSO,DATOS!$D14822,nESPEC,DATOS!$E14822,nASIG,DATOS!$I14822,nEVAL,"OR")=0))</f>
      </c>
      <c r="I14822">
        <f>IF(DATOS!$I14822="","",IFERROR(VLOOKUP(DATOS!$I14822,CONFIG_ASIGNATURAS!$B$2:$J$91,9,FALSE()),""))</f>
      </c>
    </row>
    <row r="14823">
      <c r="F14823">
        <f>IF(DATOS!$A14823="","",DATOS!$A14823&amp;"|"&amp;DATOS!$D14823&amp;"|"&amp;DATOS!$E14823&amp;"|"&amp;DATOS!$I14823)</f>
      </c>
      <c r="G14823">
        <f>IF(DATOS!$A14823="",0,IF(CONFIG_METADATA!$B$4&lt;&gt;"OR+EX",--(DATOS!$G14823=CONFIG_METADATA!$B$4),IF(DATOS!$G14823="EX",1,IF(DATOS!$G14823="OR",--(COUNTIFS(nNIA,DATOS!$A14823,nCURSO,DATOS!$D14823,nESPEC,DATOS!$E14823,nASIG,DATOS!$I14823,nEVAL,"EX")=0),0))))</f>
      </c>
      <c r="H14823">
        <f>IF(DATOS!$G14823&lt;&gt;"EX",0,--(COUNTIFS(nNIA,DATOS!$A14823,nCURSO,DATOS!$D14823,nESPEC,DATOS!$E14823,nASIG,DATOS!$I14823,nEVAL,"OR")=0))</f>
      </c>
      <c r="I14823">
        <f>IF(DATOS!$I14823="","",IFERROR(VLOOKUP(DATOS!$I14823,CONFIG_ASIGNATURAS!$B$2:$J$91,9,FALSE()),""))</f>
      </c>
    </row>
    <row r="14824">
      <c r="F14824">
        <f>IF(DATOS!$A14824="","",DATOS!$A14824&amp;"|"&amp;DATOS!$D14824&amp;"|"&amp;DATOS!$E14824&amp;"|"&amp;DATOS!$I14824)</f>
      </c>
      <c r="G14824">
        <f>IF(DATOS!$A14824="",0,IF(CONFIG_METADATA!$B$4&lt;&gt;"OR+EX",--(DATOS!$G14824=CONFIG_METADATA!$B$4),IF(DATOS!$G14824="EX",1,IF(DATOS!$G14824="OR",--(COUNTIFS(nNIA,DATOS!$A14824,nCURSO,DATOS!$D14824,nESPEC,DATOS!$E14824,nASIG,DATOS!$I14824,nEVAL,"EX")=0),0))))</f>
      </c>
      <c r="H14824">
        <f>IF(DATOS!$G14824&lt;&gt;"EX",0,--(COUNTIFS(nNIA,DATOS!$A14824,nCURSO,DATOS!$D14824,nESPEC,DATOS!$E14824,nASIG,DATOS!$I14824,nEVAL,"OR")=0))</f>
      </c>
      <c r="I14824">
        <f>IF(DATOS!$I14824="","",IFERROR(VLOOKUP(DATOS!$I14824,CONFIG_ASIGNATURAS!$B$2:$J$91,9,FALSE()),""))</f>
      </c>
    </row>
    <row r="14825">
      <c r="F14825">
        <f>IF(DATOS!$A14825="","",DATOS!$A14825&amp;"|"&amp;DATOS!$D14825&amp;"|"&amp;DATOS!$E14825&amp;"|"&amp;DATOS!$I14825)</f>
      </c>
      <c r="G14825">
        <f>IF(DATOS!$A14825="",0,IF(CONFIG_METADATA!$B$4&lt;&gt;"OR+EX",--(DATOS!$G14825=CONFIG_METADATA!$B$4),IF(DATOS!$G14825="EX",1,IF(DATOS!$G14825="OR",--(COUNTIFS(nNIA,DATOS!$A14825,nCURSO,DATOS!$D14825,nESPEC,DATOS!$E14825,nASIG,DATOS!$I14825,nEVAL,"EX")=0),0))))</f>
      </c>
      <c r="H14825">
        <f>IF(DATOS!$G14825&lt;&gt;"EX",0,--(COUNTIFS(nNIA,DATOS!$A14825,nCURSO,DATOS!$D14825,nESPEC,DATOS!$E14825,nASIG,DATOS!$I14825,nEVAL,"OR")=0))</f>
      </c>
      <c r="I14825">
        <f>IF(DATOS!$I14825="","",IFERROR(VLOOKUP(DATOS!$I14825,CONFIG_ASIGNATURAS!$B$2:$J$91,9,FALSE()),""))</f>
      </c>
    </row>
    <row r="14826">
      <c r="F14826">
        <f>IF(DATOS!$A14826="","",DATOS!$A14826&amp;"|"&amp;DATOS!$D14826&amp;"|"&amp;DATOS!$E14826&amp;"|"&amp;DATOS!$I14826)</f>
      </c>
      <c r="G14826">
        <f>IF(DATOS!$A14826="",0,IF(CONFIG_METADATA!$B$4&lt;&gt;"OR+EX",--(DATOS!$G14826=CONFIG_METADATA!$B$4),IF(DATOS!$G14826="EX",1,IF(DATOS!$G14826="OR",--(COUNTIFS(nNIA,DATOS!$A14826,nCURSO,DATOS!$D14826,nESPEC,DATOS!$E14826,nASIG,DATOS!$I14826,nEVAL,"EX")=0),0))))</f>
      </c>
      <c r="H14826">
        <f>IF(DATOS!$G14826&lt;&gt;"EX",0,--(COUNTIFS(nNIA,DATOS!$A14826,nCURSO,DATOS!$D14826,nESPEC,DATOS!$E14826,nASIG,DATOS!$I14826,nEVAL,"OR")=0))</f>
      </c>
      <c r="I14826">
        <f>IF(DATOS!$I14826="","",IFERROR(VLOOKUP(DATOS!$I14826,CONFIG_ASIGNATURAS!$B$2:$J$91,9,FALSE()),""))</f>
      </c>
    </row>
    <row r="14827">
      <c r="F14827">
        <f>IF(DATOS!$A14827="","",DATOS!$A14827&amp;"|"&amp;DATOS!$D14827&amp;"|"&amp;DATOS!$E14827&amp;"|"&amp;DATOS!$I14827)</f>
      </c>
      <c r="G14827">
        <f>IF(DATOS!$A14827="",0,IF(CONFIG_METADATA!$B$4&lt;&gt;"OR+EX",--(DATOS!$G14827=CONFIG_METADATA!$B$4),IF(DATOS!$G14827="EX",1,IF(DATOS!$G14827="OR",--(COUNTIFS(nNIA,DATOS!$A14827,nCURSO,DATOS!$D14827,nESPEC,DATOS!$E14827,nASIG,DATOS!$I14827,nEVAL,"EX")=0),0))))</f>
      </c>
      <c r="H14827">
        <f>IF(DATOS!$G14827&lt;&gt;"EX",0,--(COUNTIFS(nNIA,DATOS!$A14827,nCURSO,DATOS!$D14827,nESPEC,DATOS!$E14827,nASIG,DATOS!$I14827,nEVAL,"OR")=0))</f>
      </c>
      <c r="I14827">
        <f>IF(DATOS!$I14827="","",IFERROR(VLOOKUP(DATOS!$I14827,CONFIG_ASIGNATURAS!$B$2:$J$91,9,FALSE()),""))</f>
      </c>
    </row>
    <row r="14828">
      <c r="F14828">
        <f>IF(DATOS!$A14828="","",DATOS!$A14828&amp;"|"&amp;DATOS!$D14828&amp;"|"&amp;DATOS!$E14828&amp;"|"&amp;DATOS!$I14828)</f>
      </c>
      <c r="G14828">
        <f>IF(DATOS!$A14828="",0,IF(CONFIG_METADATA!$B$4&lt;&gt;"OR+EX",--(DATOS!$G14828=CONFIG_METADATA!$B$4),IF(DATOS!$G14828="EX",1,IF(DATOS!$G14828="OR",--(COUNTIFS(nNIA,DATOS!$A14828,nCURSO,DATOS!$D14828,nESPEC,DATOS!$E14828,nASIG,DATOS!$I14828,nEVAL,"EX")=0),0))))</f>
      </c>
      <c r="H14828">
        <f>IF(DATOS!$G14828&lt;&gt;"EX",0,--(COUNTIFS(nNIA,DATOS!$A14828,nCURSO,DATOS!$D14828,nESPEC,DATOS!$E14828,nASIG,DATOS!$I14828,nEVAL,"OR")=0))</f>
      </c>
      <c r="I14828">
        <f>IF(DATOS!$I14828="","",IFERROR(VLOOKUP(DATOS!$I14828,CONFIG_ASIGNATURAS!$B$2:$J$91,9,FALSE()),""))</f>
      </c>
    </row>
    <row r="14829">
      <c r="F14829">
        <f>IF(DATOS!$A14829="","",DATOS!$A14829&amp;"|"&amp;DATOS!$D14829&amp;"|"&amp;DATOS!$E14829&amp;"|"&amp;DATOS!$I14829)</f>
      </c>
      <c r="G14829">
        <f>IF(DATOS!$A14829="",0,IF(CONFIG_METADATA!$B$4&lt;&gt;"OR+EX",--(DATOS!$G14829=CONFIG_METADATA!$B$4),IF(DATOS!$G14829="EX",1,IF(DATOS!$G14829="OR",--(COUNTIFS(nNIA,DATOS!$A14829,nCURSO,DATOS!$D14829,nESPEC,DATOS!$E14829,nASIG,DATOS!$I14829,nEVAL,"EX")=0),0))))</f>
      </c>
      <c r="H14829">
        <f>IF(DATOS!$G14829&lt;&gt;"EX",0,--(COUNTIFS(nNIA,DATOS!$A14829,nCURSO,DATOS!$D14829,nESPEC,DATOS!$E14829,nASIG,DATOS!$I14829,nEVAL,"OR")=0))</f>
      </c>
      <c r="I14829">
        <f>IF(DATOS!$I14829="","",IFERROR(VLOOKUP(DATOS!$I14829,CONFIG_ASIGNATURAS!$B$2:$J$91,9,FALSE()),""))</f>
      </c>
    </row>
    <row r="14830">
      <c r="F14830">
        <f>IF(DATOS!$A14830="","",DATOS!$A14830&amp;"|"&amp;DATOS!$D14830&amp;"|"&amp;DATOS!$E14830&amp;"|"&amp;DATOS!$I14830)</f>
      </c>
      <c r="G14830">
        <f>IF(DATOS!$A14830="",0,IF(CONFIG_METADATA!$B$4&lt;&gt;"OR+EX",--(DATOS!$G14830=CONFIG_METADATA!$B$4),IF(DATOS!$G14830="EX",1,IF(DATOS!$G14830="OR",--(COUNTIFS(nNIA,DATOS!$A14830,nCURSO,DATOS!$D14830,nESPEC,DATOS!$E14830,nASIG,DATOS!$I14830,nEVAL,"EX")=0),0))))</f>
      </c>
      <c r="H14830">
        <f>IF(DATOS!$G14830&lt;&gt;"EX",0,--(COUNTIFS(nNIA,DATOS!$A14830,nCURSO,DATOS!$D14830,nESPEC,DATOS!$E14830,nASIG,DATOS!$I14830,nEVAL,"OR")=0))</f>
      </c>
      <c r="I14830">
        <f>IF(DATOS!$I14830="","",IFERROR(VLOOKUP(DATOS!$I14830,CONFIG_ASIGNATURAS!$B$2:$J$91,9,FALSE()),""))</f>
      </c>
    </row>
    <row r="14831">
      <c r="F14831">
        <f>IF(DATOS!$A14831="","",DATOS!$A14831&amp;"|"&amp;DATOS!$D14831&amp;"|"&amp;DATOS!$E14831&amp;"|"&amp;DATOS!$I14831)</f>
      </c>
      <c r="G14831">
        <f>IF(DATOS!$A14831="",0,IF(CONFIG_METADATA!$B$4&lt;&gt;"OR+EX",--(DATOS!$G14831=CONFIG_METADATA!$B$4),IF(DATOS!$G14831="EX",1,IF(DATOS!$G14831="OR",--(COUNTIFS(nNIA,DATOS!$A14831,nCURSO,DATOS!$D14831,nESPEC,DATOS!$E14831,nASIG,DATOS!$I14831,nEVAL,"EX")=0),0))))</f>
      </c>
      <c r="H14831">
        <f>IF(DATOS!$G14831&lt;&gt;"EX",0,--(COUNTIFS(nNIA,DATOS!$A14831,nCURSO,DATOS!$D14831,nESPEC,DATOS!$E14831,nASIG,DATOS!$I14831,nEVAL,"OR")=0))</f>
      </c>
      <c r="I14831">
        <f>IF(DATOS!$I14831="","",IFERROR(VLOOKUP(DATOS!$I14831,CONFIG_ASIGNATURAS!$B$2:$J$91,9,FALSE()),""))</f>
      </c>
    </row>
    <row r="14832">
      <c r="F14832">
        <f>IF(DATOS!$A14832="","",DATOS!$A14832&amp;"|"&amp;DATOS!$D14832&amp;"|"&amp;DATOS!$E14832&amp;"|"&amp;DATOS!$I14832)</f>
      </c>
      <c r="G14832">
        <f>IF(DATOS!$A14832="",0,IF(CONFIG_METADATA!$B$4&lt;&gt;"OR+EX",--(DATOS!$G14832=CONFIG_METADATA!$B$4),IF(DATOS!$G14832="EX",1,IF(DATOS!$G14832="OR",--(COUNTIFS(nNIA,DATOS!$A14832,nCURSO,DATOS!$D14832,nESPEC,DATOS!$E14832,nASIG,DATOS!$I14832,nEVAL,"EX")=0),0))))</f>
      </c>
      <c r="H14832">
        <f>IF(DATOS!$G14832&lt;&gt;"EX",0,--(COUNTIFS(nNIA,DATOS!$A14832,nCURSO,DATOS!$D14832,nESPEC,DATOS!$E14832,nASIG,DATOS!$I14832,nEVAL,"OR")=0))</f>
      </c>
      <c r="I14832">
        <f>IF(DATOS!$I14832="","",IFERROR(VLOOKUP(DATOS!$I14832,CONFIG_ASIGNATURAS!$B$2:$J$91,9,FALSE()),""))</f>
      </c>
    </row>
    <row r="14833">
      <c r="F14833">
        <f>IF(DATOS!$A14833="","",DATOS!$A14833&amp;"|"&amp;DATOS!$D14833&amp;"|"&amp;DATOS!$E14833&amp;"|"&amp;DATOS!$I14833)</f>
      </c>
      <c r="G14833">
        <f>IF(DATOS!$A14833="",0,IF(CONFIG_METADATA!$B$4&lt;&gt;"OR+EX",--(DATOS!$G14833=CONFIG_METADATA!$B$4),IF(DATOS!$G14833="EX",1,IF(DATOS!$G14833="OR",--(COUNTIFS(nNIA,DATOS!$A14833,nCURSO,DATOS!$D14833,nESPEC,DATOS!$E14833,nASIG,DATOS!$I14833,nEVAL,"EX")=0),0))))</f>
      </c>
      <c r="H14833">
        <f>IF(DATOS!$G14833&lt;&gt;"EX",0,--(COUNTIFS(nNIA,DATOS!$A14833,nCURSO,DATOS!$D14833,nESPEC,DATOS!$E14833,nASIG,DATOS!$I14833,nEVAL,"OR")=0))</f>
      </c>
      <c r="I14833">
        <f>IF(DATOS!$I14833="","",IFERROR(VLOOKUP(DATOS!$I14833,CONFIG_ASIGNATURAS!$B$2:$J$91,9,FALSE()),""))</f>
      </c>
    </row>
    <row r="14834">
      <c r="F14834">
        <f>IF(DATOS!$A14834="","",DATOS!$A14834&amp;"|"&amp;DATOS!$D14834&amp;"|"&amp;DATOS!$E14834&amp;"|"&amp;DATOS!$I14834)</f>
      </c>
      <c r="G14834">
        <f>IF(DATOS!$A14834="",0,IF(CONFIG_METADATA!$B$4&lt;&gt;"OR+EX",--(DATOS!$G14834=CONFIG_METADATA!$B$4),IF(DATOS!$G14834="EX",1,IF(DATOS!$G14834="OR",--(COUNTIFS(nNIA,DATOS!$A14834,nCURSO,DATOS!$D14834,nESPEC,DATOS!$E14834,nASIG,DATOS!$I14834,nEVAL,"EX")=0),0))))</f>
      </c>
      <c r="H14834">
        <f>IF(DATOS!$G14834&lt;&gt;"EX",0,--(COUNTIFS(nNIA,DATOS!$A14834,nCURSO,DATOS!$D14834,nESPEC,DATOS!$E14834,nASIG,DATOS!$I14834,nEVAL,"OR")=0))</f>
      </c>
      <c r="I14834">
        <f>IF(DATOS!$I14834="","",IFERROR(VLOOKUP(DATOS!$I14834,CONFIG_ASIGNATURAS!$B$2:$J$91,9,FALSE()),""))</f>
      </c>
    </row>
    <row r="14835">
      <c r="F14835">
        <f>IF(DATOS!$A14835="","",DATOS!$A14835&amp;"|"&amp;DATOS!$D14835&amp;"|"&amp;DATOS!$E14835&amp;"|"&amp;DATOS!$I14835)</f>
      </c>
      <c r="G14835">
        <f>IF(DATOS!$A14835="",0,IF(CONFIG_METADATA!$B$4&lt;&gt;"OR+EX",--(DATOS!$G14835=CONFIG_METADATA!$B$4),IF(DATOS!$G14835="EX",1,IF(DATOS!$G14835="OR",--(COUNTIFS(nNIA,DATOS!$A14835,nCURSO,DATOS!$D14835,nESPEC,DATOS!$E14835,nASIG,DATOS!$I14835,nEVAL,"EX")=0),0))))</f>
      </c>
      <c r="H14835">
        <f>IF(DATOS!$G14835&lt;&gt;"EX",0,--(COUNTIFS(nNIA,DATOS!$A14835,nCURSO,DATOS!$D14835,nESPEC,DATOS!$E14835,nASIG,DATOS!$I14835,nEVAL,"OR")=0))</f>
      </c>
      <c r="I14835">
        <f>IF(DATOS!$I14835="","",IFERROR(VLOOKUP(DATOS!$I14835,CONFIG_ASIGNATURAS!$B$2:$J$91,9,FALSE()),""))</f>
      </c>
    </row>
    <row r="14836">
      <c r="F14836">
        <f>IF(DATOS!$A14836="","",DATOS!$A14836&amp;"|"&amp;DATOS!$D14836&amp;"|"&amp;DATOS!$E14836&amp;"|"&amp;DATOS!$I14836)</f>
      </c>
      <c r="G14836">
        <f>IF(DATOS!$A14836="",0,IF(CONFIG_METADATA!$B$4&lt;&gt;"OR+EX",--(DATOS!$G14836=CONFIG_METADATA!$B$4),IF(DATOS!$G14836="EX",1,IF(DATOS!$G14836="OR",--(COUNTIFS(nNIA,DATOS!$A14836,nCURSO,DATOS!$D14836,nESPEC,DATOS!$E14836,nASIG,DATOS!$I14836,nEVAL,"EX")=0),0))))</f>
      </c>
      <c r="H14836">
        <f>IF(DATOS!$G14836&lt;&gt;"EX",0,--(COUNTIFS(nNIA,DATOS!$A14836,nCURSO,DATOS!$D14836,nESPEC,DATOS!$E14836,nASIG,DATOS!$I14836,nEVAL,"OR")=0))</f>
      </c>
      <c r="I14836">
        <f>IF(DATOS!$I14836="","",IFERROR(VLOOKUP(DATOS!$I14836,CONFIG_ASIGNATURAS!$B$2:$J$91,9,FALSE()),""))</f>
      </c>
    </row>
    <row r="14837">
      <c r="F14837">
        <f>IF(DATOS!$A14837="","",DATOS!$A14837&amp;"|"&amp;DATOS!$D14837&amp;"|"&amp;DATOS!$E14837&amp;"|"&amp;DATOS!$I14837)</f>
      </c>
      <c r="G14837">
        <f>IF(DATOS!$A14837="",0,IF(CONFIG_METADATA!$B$4&lt;&gt;"OR+EX",--(DATOS!$G14837=CONFIG_METADATA!$B$4),IF(DATOS!$G14837="EX",1,IF(DATOS!$G14837="OR",--(COUNTIFS(nNIA,DATOS!$A14837,nCURSO,DATOS!$D14837,nESPEC,DATOS!$E14837,nASIG,DATOS!$I14837,nEVAL,"EX")=0),0))))</f>
      </c>
      <c r="H14837">
        <f>IF(DATOS!$G14837&lt;&gt;"EX",0,--(COUNTIFS(nNIA,DATOS!$A14837,nCURSO,DATOS!$D14837,nESPEC,DATOS!$E14837,nASIG,DATOS!$I14837,nEVAL,"OR")=0))</f>
      </c>
      <c r="I14837">
        <f>IF(DATOS!$I14837="","",IFERROR(VLOOKUP(DATOS!$I14837,CONFIG_ASIGNATURAS!$B$2:$J$91,9,FALSE()),""))</f>
      </c>
    </row>
    <row r="14838">
      <c r="F14838">
        <f>IF(DATOS!$A14838="","",DATOS!$A14838&amp;"|"&amp;DATOS!$D14838&amp;"|"&amp;DATOS!$E14838&amp;"|"&amp;DATOS!$I14838)</f>
      </c>
      <c r="G14838">
        <f>IF(DATOS!$A14838="",0,IF(CONFIG_METADATA!$B$4&lt;&gt;"OR+EX",--(DATOS!$G14838=CONFIG_METADATA!$B$4),IF(DATOS!$G14838="EX",1,IF(DATOS!$G14838="OR",--(COUNTIFS(nNIA,DATOS!$A14838,nCURSO,DATOS!$D14838,nESPEC,DATOS!$E14838,nASIG,DATOS!$I14838,nEVAL,"EX")=0),0))))</f>
      </c>
      <c r="H14838">
        <f>IF(DATOS!$G14838&lt;&gt;"EX",0,--(COUNTIFS(nNIA,DATOS!$A14838,nCURSO,DATOS!$D14838,nESPEC,DATOS!$E14838,nASIG,DATOS!$I14838,nEVAL,"OR")=0))</f>
      </c>
      <c r="I14838">
        <f>IF(DATOS!$I14838="","",IFERROR(VLOOKUP(DATOS!$I14838,CONFIG_ASIGNATURAS!$B$2:$J$91,9,FALSE()),""))</f>
      </c>
    </row>
    <row r="14839">
      <c r="F14839">
        <f>IF(DATOS!$A14839="","",DATOS!$A14839&amp;"|"&amp;DATOS!$D14839&amp;"|"&amp;DATOS!$E14839&amp;"|"&amp;DATOS!$I14839)</f>
      </c>
      <c r="G14839">
        <f>IF(DATOS!$A14839="",0,IF(CONFIG_METADATA!$B$4&lt;&gt;"OR+EX",--(DATOS!$G14839=CONFIG_METADATA!$B$4),IF(DATOS!$G14839="EX",1,IF(DATOS!$G14839="OR",--(COUNTIFS(nNIA,DATOS!$A14839,nCURSO,DATOS!$D14839,nESPEC,DATOS!$E14839,nASIG,DATOS!$I14839,nEVAL,"EX")=0),0))))</f>
      </c>
      <c r="H14839">
        <f>IF(DATOS!$G14839&lt;&gt;"EX",0,--(COUNTIFS(nNIA,DATOS!$A14839,nCURSO,DATOS!$D14839,nESPEC,DATOS!$E14839,nASIG,DATOS!$I14839,nEVAL,"OR")=0))</f>
      </c>
      <c r="I14839">
        <f>IF(DATOS!$I14839="","",IFERROR(VLOOKUP(DATOS!$I14839,CONFIG_ASIGNATURAS!$B$2:$J$91,9,FALSE()),""))</f>
      </c>
    </row>
    <row r="14840">
      <c r="F14840">
        <f>IF(DATOS!$A14840="","",DATOS!$A14840&amp;"|"&amp;DATOS!$D14840&amp;"|"&amp;DATOS!$E14840&amp;"|"&amp;DATOS!$I14840)</f>
      </c>
      <c r="G14840">
        <f>IF(DATOS!$A14840="",0,IF(CONFIG_METADATA!$B$4&lt;&gt;"OR+EX",--(DATOS!$G14840=CONFIG_METADATA!$B$4),IF(DATOS!$G14840="EX",1,IF(DATOS!$G14840="OR",--(COUNTIFS(nNIA,DATOS!$A14840,nCURSO,DATOS!$D14840,nESPEC,DATOS!$E14840,nASIG,DATOS!$I14840,nEVAL,"EX")=0),0))))</f>
      </c>
      <c r="H14840">
        <f>IF(DATOS!$G14840&lt;&gt;"EX",0,--(COUNTIFS(nNIA,DATOS!$A14840,nCURSO,DATOS!$D14840,nESPEC,DATOS!$E14840,nASIG,DATOS!$I14840,nEVAL,"OR")=0))</f>
      </c>
      <c r="I14840">
        <f>IF(DATOS!$I14840="","",IFERROR(VLOOKUP(DATOS!$I14840,CONFIG_ASIGNATURAS!$B$2:$J$91,9,FALSE()),""))</f>
      </c>
    </row>
    <row r="14841">
      <c r="F14841">
        <f>IF(DATOS!$A14841="","",DATOS!$A14841&amp;"|"&amp;DATOS!$D14841&amp;"|"&amp;DATOS!$E14841&amp;"|"&amp;DATOS!$I14841)</f>
      </c>
      <c r="G14841">
        <f>IF(DATOS!$A14841="",0,IF(CONFIG_METADATA!$B$4&lt;&gt;"OR+EX",--(DATOS!$G14841=CONFIG_METADATA!$B$4),IF(DATOS!$G14841="EX",1,IF(DATOS!$G14841="OR",--(COUNTIFS(nNIA,DATOS!$A14841,nCURSO,DATOS!$D14841,nESPEC,DATOS!$E14841,nASIG,DATOS!$I14841,nEVAL,"EX")=0),0))))</f>
      </c>
      <c r="H14841">
        <f>IF(DATOS!$G14841&lt;&gt;"EX",0,--(COUNTIFS(nNIA,DATOS!$A14841,nCURSO,DATOS!$D14841,nESPEC,DATOS!$E14841,nASIG,DATOS!$I14841,nEVAL,"OR")=0))</f>
      </c>
      <c r="I14841">
        <f>IF(DATOS!$I14841="","",IFERROR(VLOOKUP(DATOS!$I14841,CONFIG_ASIGNATURAS!$B$2:$J$91,9,FALSE()),""))</f>
      </c>
    </row>
    <row r="14842">
      <c r="F14842">
        <f>IF(DATOS!$A14842="","",DATOS!$A14842&amp;"|"&amp;DATOS!$D14842&amp;"|"&amp;DATOS!$E14842&amp;"|"&amp;DATOS!$I14842)</f>
      </c>
      <c r="G14842">
        <f>IF(DATOS!$A14842="",0,IF(CONFIG_METADATA!$B$4&lt;&gt;"OR+EX",--(DATOS!$G14842=CONFIG_METADATA!$B$4),IF(DATOS!$G14842="EX",1,IF(DATOS!$G14842="OR",--(COUNTIFS(nNIA,DATOS!$A14842,nCURSO,DATOS!$D14842,nESPEC,DATOS!$E14842,nASIG,DATOS!$I14842,nEVAL,"EX")=0),0))))</f>
      </c>
      <c r="H14842">
        <f>IF(DATOS!$G14842&lt;&gt;"EX",0,--(COUNTIFS(nNIA,DATOS!$A14842,nCURSO,DATOS!$D14842,nESPEC,DATOS!$E14842,nASIG,DATOS!$I14842,nEVAL,"OR")=0))</f>
      </c>
      <c r="I14842">
        <f>IF(DATOS!$I14842="","",IFERROR(VLOOKUP(DATOS!$I14842,CONFIG_ASIGNATURAS!$B$2:$J$91,9,FALSE()),""))</f>
      </c>
    </row>
    <row r="14843">
      <c r="F14843">
        <f>IF(DATOS!$A14843="","",DATOS!$A14843&amp;"|"&amp;DATOS!$D14843&amp;"|"&amp;DATOS!$E14843&amp;"|"&amp;DATOS!$I14843)</f>
      </c>
      <c r="G14843">
        <f>IF(DATOS!$A14843="",0,IF(CONFIG_METADATA!$B$4&lt;&gt;"OR+EX",--(DATOS!$G14843=CONFIG_METADATA!$B$4),IF(DATOS!$G14843="EX",1,IF(DATOS!$G14843="OR",--(COUNTIFS(nNIA,DATOS!$A14843,nCURSO,DATOS!$D14843,nESPEC,DATOS!$E14843,nASIG,DATOS!$I14843,nEVAL,"EX")=0),0))))</f>
      </c>
      <c r="H14843">
        <f>IF(DATOS!$G14843&lt;&gt;"EX",0,--(COUNTIFS(nNIA,DATOS!$A14843,nCURSO,DATOS!$D14843,nESPEC,DATOS!$E14843,nASIG,DATOS!$I14843,nEVAL,"OR")=0))</f>
      </c>
      <c r="I14843">
        <f>IF(DATOS!$I14843="","",IFERROR(VLOOKUP(DATOS!$I14843,CONFIG_ASIGNATURAS!$B$2:$J$91,9,FALSE()),""))</f>
      </c>
    </row>
    <row r="14844">
      <c r="F14844">
        <f>IF(DATOS!$A14844="","",DATOS!$A14844&amp;"|"&amp;DATOS!$D14844&amp;"|"&amp;DATOS!$E14844&amp;"|"&amp;DATOS!$I14844)</f>
      </c>
      <c r="G14844">
        <f>IF(DATOS!$A14844="",0,IF(CONFIG_METADATA!$B$4&lt;&gt;"OR+EX",--(DATOS!$G14844=CONFIG_METADATA!$B$4),IF(DATOS!$G14844="EX",1,IF(DATOS!$G14844="OR",--(COUNTIFS(nNIA,DATOS!$A14844,nCURSO,DATOS!$D14844,nESPEC,DATOS!$E14844,nASIG,DATOS!$I14844,nEVAL,"EX")=0),0))))</f>
      </c>
      <c r="H14844">
        <f>IF(DATOS!$G14844&lt;&gt;"EX",0,--(COUNTIFS(nNIA,DATOS!$A14844,nCURSO,DATOS!$D14844,nESPEC,DATOS!$E14844,nASIG,DATOS!$I14844,nEVAL,"OR")=0))</f>
      </c>
      <c r="I14844">
        <f>IF(DATOS!$I14844="","",IFERROR(VLOOKUP(DATOS!$I14844,CONFIG_ASIGNATURAS!$B$2:$J$91,9,FALSE()),""))</f>
      </c>
    </row>
    <row r="14845">
      <c r="F14845">
        <f>IF(DATOS!$A14845="","",DATOS!$A14845&amp;"|"&amp;DATOS!$D14845&amp;"|"&amp;DATOS!$E14845&amp;"|"&amp;DATOS!$I14845)</f>
      </c>
      <c r="G14845">
        <f>IF(DATOS!$A14845="",0,IF(CONFIG_METADATA!$B$4&lt;&gt;"OR+EX",--(DATOS!$G14845=CONFIG_METADATA!$B$4),IF(DATOS!$G14845="EX",1,IF(DATOS!$G14845="OR",--(COUNTIFS(nNIA,DATOS!$A14845,nCURSO,DATOS!$D14845,nESPEC,DATOS!$E14845,nASIG,DATOS!$I14845,nEVAL,"EX")=0),0))))</f>
      </c>
      <c r="H14845">
        <f>IF(DATOS!$G14845&lt;&gt;"EX",0,--(COUNTIFS(nNIA,DATOS!$A14845,nCURSO,DATOS!$D14845,nESPEC,DATOS!$E14845,nASIG,DATOS!$I14845,nEVAL,"OR")=0))</f>
      </c>
      <c r="I14845">
        <f>IF(DATOS!$I14845="","",IFERROR(VLOOKUP(DATOS!$I14845,CONFIG_ASIGNATURAS!$B$2:$J$91,9,FALSE()),""))</f>
      </c>
    </row>
    <row r="14846">
      <c r="F14846">
        <f>IF(DATOS!$A14846="","",DATOS!$A14846&amp;"|"&amp;DATOS!$D14846&amp;"|"&amp;DATOS!$E14846&amp;"|"&amp;DATOS!$I14846)</f>
      </c>
      <c r="G14846">
        <f>IF(DATOS!$A14846="",0,IF(CONFIG_METADATA!$B$4&lt;&gt;"OR+EX",--(DATOS!$G14846=CONFIG_METADATA!$B$4),IF(DATOS!$G14846="EX",1,IF(DATOS!$G14846="OR",--(COUNTIFS(nNIA,DATOS!$A14846,nCURSO,DATOS!$D14846,nESPEC,DATOS!$E14846,nASIG,DATOS!$I14846,nEVAL,"EX")=0),0))))</f>
      </c>
      <c r="H14846">
        <f>IF(DATOS!$G14846&lt;&gt;"EX",0,--(COUNTIFS(nNIA,DATOS!$A14846,nCURSO,DATOS!$D14846,nESPEC,DATOS!$E14846,nASIG,DATOS!$I14846,nEVAL,"OR")=0))</f>
      </c>
      <c r="I14846">
        <f>IF(DATOS!$I14846="","",IFERROR(VLOOKUP(DATOS!$I14846,CONFIG_ASIGNATURAS!$B$2:$J$91,9,FALSE()),""))</f>
      </c>
    </row>
    <row r="14847">
      <c r="F14847">
        <f>IF(DATOS!$A14847="","",DATOS!$A14847&amp;"|"&amp;DATOS!$D14847&amp;"|"&amp;DATOS!$E14847&amp;"|"&amp;DATOS!$I14847)</f>
      </c>
      <c r="G14847">
        <f>IF(DATOS!$A14847="",0,IF(CONFIG_METADATA!$B$4&lt;&gt;"OR+EX",--(DATOS!$G14847=CONFIG_METADATA!$B$4),IF(DATOS!$G14847="EX",1,IF(DATOS!$G14847="OR",--(COUNTIFS(nNIA,DATOS!$A14847,nCURSO,DATOS!$D14847,nESPEC,DATOS!$E14847,nASIG,DATOS!$I14847,nEVAL,"EX")=0),0))))</f>
      </c>
      <c r="H14847">
        <f>IF(DATOS!$G14847&lt;&gt;"EX",0,--(COUNTIFS(nNIA,DATOS!$A14847,nCURSO,DATOS!$D14847,nESPEC,DATOS!$E14847,nASIG,DATOS!$I14847,nEVAL,"OR")=0))</f>
      </c>
      <c r="I14847">
        <f>IF(DATOS!$I14847="","",IFERROR(VLOOKUP(DATOS!$I14847,CONFIG_ASIGNATURAS!$B$2:$J$91,9,FALSE()),""))</f>
      </c>
    </row>
    <row r="14848">
      <c r="F14848">
        <f>IF(DATOS!$A14848="","",DATOS!$A14848&amp;"|"&amp;DATOS!$D14848&amp;"|"&amp;DATOS!$E14848&amp;"|"&amp;DATOS!$I14848)</f>
      </c>
      <c r="G14848">
        <f>IF(DATOS!$A14848="",0,IF(CONFIG_METADATA!$B$4&lt;&gt;"OR+EX",--(DATOS!$G14848=CONFIG_METADATA!$B$4),IF(DATOS!$G14848="EX",1,IF(DATOS!$G14848="OR",--(COUNTIFS(nNIA,DATOS!$A14848,nCURSO,DATOS!$D14848,nESPEC,DATOS!$E14848,nASIG,DATOS!$I14848,nEVAL,"EX")=0),0))))</f>
      </c>
      <c r="H14848">
        <f>IF(DATOS!$G14848&lt;&gt;"EX",0,--(COUNTIFS(nNIA,DATOS!$A14848,nCURSO,DATOS!$D14848,nESPEC,DATOS!$E14848,nASIG,DATOS!$I14848,nEVAL,"OR")=0))</f>
      </c>
      <c r="I14848">
        <f>IF(DATOS!$I14848="","",IFERROR(VLOOKUP(DATOS!$I14848,CONFIG_ASIGNATURAS!$B$2:$J$91,9,FALSE()),""))</f>
      </c>
    </row>
    <row r="14849">
      <c r="F14849">
        <f>IF(DATOS!$A14849="","",DATOS!$A14849&amp;"|"&amp;DATOS!$D14849&amp;"|"&amp;DATOS!$E14849&amp;"|"&amp;DATOS!$I14849)</f>
      </c>
      <c r="G14849">
        <f>IF(DATOS!$A14849="",0,IF(CONFIG_METADATA!$B$4&lt;&gt;"OR+EX",--(DATOS!$G14849=CONFIG_METADATA!$B$4),IF(DATOS!$G14849="EX",1,IF(DATOS!$G14849="OR",--(COUNTIFS(nNIA,DATOS!$A14849,nCURSO,DATOS!$D14849,nESPEC,DATOS!$E14849,nASIG,DATOS!$I14849,nEVAL,"EX")=0),0))))</f>
      </c>
      <c r="H14849">
        <f>IF(DATOS!$G14849&lt;&gt;"EX",0,--(COUNTIFS(nNIA,DATOS!$A14849,nCURSO,DATOS!$D14849,nESPEC,DATOS!$E14849,nASIG,DATOS!$I14849,nEVAL,"OR")=0))</f>
      </c>
      <c r="I14849">
        <f>IF(DATOS!$I14849="","",IFERROR(VLOOKUP(DATOS!$I14849,CONFIG_ASIGNATURAS!$B$2:$J$91,9,FALSE()),""))</f>
      </c>
    </row>
    <row r="14850">
      <c r="F14850">
        <f>IF(DATOS!$A14850="","",DATOS!$A14850&amp;"|"&amp;DATOS!$D14850&amp;"|"&amp;DATOS!$E14850&amp;"|"&amp;DATOS!$I14850)</f>
      </c>
      <c r="G14850">
        <f>IF(DATOS!$A14850="",0,IF(CONFIG_METADATA!$B$4&lt;&gt;"OR+EX",--(DATOS!$G14850=CONFIG_METADATA!$B$4),IF(DATOS!$G14850="EX",1,IF(DATOS!$G14850="OR",--(COUNTIFS(nNIA,DATOS!$A14850,nCURSO,DATOS!$D14850,nESPEC,DATOS!$E14850,nASIG,DATOS!$I14850,nEVAL,"EX")=0),0))))</f>
      </c>
      <c r="H14850">
        <f>IF(DATOS!$G14850&lt;&gt;"EX",0,--(COUNTIFS(nNIA,DATOS!$A14850,nCURSO,DATOS!$D14850,nESPEC,DATOS!$E14850,nASIG,DATOS!$I14850,nEVAL,"OR")=0))</f>
      </c>
      <c r="I14850">
        <f>IF(DATOS!$I14850="","",IFERROR(VLOOKUP(DATOS!$I14850,CONFIG_ASIGNATURAS!$B$2:$J$91,9,FALSE()),""))</f>
      </c>
    </row>
    <row r="14851">
      <c r="F14851">
        <f>IF(DATOS!$A14851="","",DATOS!$A14851&amp;"|"&amp;DATOS!$D14851&amp;"|"&amp;DATOS!$E14851&amp;"|"&amp;DATOS!$I14851)</f>
      </c>
      <c r="G14851">
        <f>IF(DATOS!$A14851="",0,IF(CONFIG_METADATA!$B$4&lt;&gt;"OR+EX",--(DATOS!$G14851=CONFIG_METADATA!$B$4),IF(DATOS!$G14851="EX",1,IF(DATOS!$G14851="OR",--(COUNTIFS(nNIA,DATOS!$A14851,nCURSO,DATOS!$D14851,nESPEC,DATOS!$E14851,nASIG,DATOS!$I14851,nEVAL,"EX")=0),0))))</f>
      </c>
      <c r="H14851">
        <f>IF(DATOS!$G14851&lt;&gt;"EX",0,--(COUNTIFS(nNIA,DATOS!$A14851,nCURSO,DATOS!$D14851,nESPEC,DATOS!$E14851,nASIG,DATOS!$I14851,nEVAL,"OR")=0))</f>
      </c>
      <c r="I14851">
        <f>IF(DATOS!$I14851="","",IFERROR(VLOOKUP(DATOS!$I14851,CONFIG_ASIGNATURAS!$B$2:$J$91,9,FALSE()),""))</f>
      </c>
    </row>
    <row r="14852">
      <c r="F14852">
        <f>IF(DATOS!$A14852="","",DATOS!$A14852&amp;"|"&amp;DATOS!$D14852&amp;"|"&amp;DATOS!$E14852&amp;"|"&amp;DATOS!$I14852)</f>
      </c>
      <c r="G14852">
        <f>IF(DATOS!$A14852="",0,IF(CONFIG_METADATA!$B$4&lt;&gt;"OR+EX",--(DATOS!$G14852=CONFIG_METADATA!$B$4),IF(DATOS!$G14852="EX",1,IF(DATOS!$G14852="OR",--(COUNTIFS(nNIA,DATOS!$A14852,nCURSO,DATOS!$D14852,nESPEC,DATOS!$E14852,nASIG,DATOS!$I14852,nEVAL,"EX")=0),0))))</f>
      </c>
      <c r="H14852">
        <f>IF(DATOS!$G14852&lt;&gt;"EX",0,--(COUNTIFS(nNIA,DATOS!$A14852,nCURSO,DATOS!$D14852,nESPEC,DATOS!$E14852,nASIG,DATOS!$I14852,nEVAL,"OR")=0))</f>
      </c>
      <c r="I14852">
        <f>IF(DATOS!$I14852="","",IFERROR(VLOOKUP(DATOS!$I14852,CONFIG_ASIGNATURAS!$B$2:$J$91,9,FALSE()),""))</f>
      </c>
    </row>
    <row r="14853">
      <c r="F14853">
        <f>IF(DATOS!$A14853="","",DATOS!$A14853&amp;"|"&amp;DATOS!$D14853&amp;"|"&amp;DATOS!$E14853&amp;"|"&amp;DATOS!$I14853)</f>
      </c>
      <c r="G14853">
        <f>IF(DATOS!$A14853="",0,IF(CONFIG_METADATA!$B$4&lt;&gt;"OR+EX",--(DATOS!$G14853=CONFIG_METADATA!$B$4),IF(DATOS!$G14853="EX",1,IF(DATOS!$G14853="OR",--(COUNTIFS(nNIA,DATOS!$A14853,nCURSO,DATOS!$D14853,nESPEC,DATOS!$E14853,nASIG,DATOS!$I14853,nEVAL,"EX")=0),0))))</f>
      </c>
      <c r="H14853">
        <f>IF(DATOS!$G14853&lt;&gt;"EX",0,--(COUNTIFS(nNIA,DATOS!$A14853,nCURSO,DATOS!$D14853,nESPEC,DATOS!$E14853,nASIG,DATOS!$I14853,nEVAL,"OR")=0))</f>
      </c>
      <c r="I14853">
        <f>IF(DATOS!$I14853="","",IFERROR(VLOOKUP(DATOS!$I14853,CONFIG_ASIGNATURAS!$B$2:$J$91,9,FALSE()),""))</f>
      </c>
    </row>
    <row r="14854">
      <c r="F14854">
        <f>IF(DATOS!$A14854="","",DATOS!$A14854&amp;"|"&amp;DATOS!$D14854&amp;"|"&amp;DATOS!$E14854&amp;"|"&amp;DATOS!$I14854)</f>
      </c>
      <c r="G14854">
        <f>IF(DATOS!$A14854="",0,IF(CONFIG_METADATA!$B$4&lt;&gt;"OR+EX",--(DATOS!$G14854=CONFIG_METADATA!$B$4),IF(DATOS!$G14854="EX",1,IF(DATOS!$G14854="OR",--(COUNTIFS(nNIA,DATOS!$A14854,nCURSO,DATOS!$D14854,nESPEC,DATOS!$E14854,nASIG,DATOS!$I14854,nEVAL,"EX")=0),0))))</f>
      </c>
      <c r="H14854">
        <f>IF(DATOS!$G14854&lt;&gt;"EX",0,--(COUNTIFS(nNIA,DATOS!$A14854,nCURSO,DATOS!$D14854,nESPEC,DATOS!$E14854,nASIG,DATOS!$I14854,nEVAL,"OR")=0))</f>
      </c>
      <c r="I14854">
        <f>IF(DATOS!$I14854="","",IFERROR(VLOOKUP(DATOS!$I14854,CONFIG_ASIGNATURAS!$B$2:$J$91,9,FALSE()),""))</f>
      </c>
    </row>
    <row r="14855">
      <c r="F14855">
        <f>IF(DATOS!$A14855="","",DATOS!$A14855&amp;"|"&amp;DATOS!$D14855&amp;"|"&amp;DATOS!$E14855&amp;"|"&amp;DATOS!$I14855)</f>
      </c>
      <c r="G14855">
        <f>IF(DATOS!$A14855="",0,IF(CONFIG_METADATA!$B$4&lt;&gt;"OR+EX",--(DATOS!$G14855=CONFIG_METADATA!$B$4),IF(DATOS!$G14855="EX",1,IF(DATOS!$G14855="OR",--(COUNTIFS(nNIA,DATOS!$A14855,nCURSO,DATOS!$D14855,nESPEC,DATOS!$E14855,nASIG,DATOS!$I14855,nEVAL,"EX")=0),0))))</f>
      </c>
      <c r="H14855">
        <f>IF(DATOS!$G14855&lt;&gt;"EX",0,--(COUNTIFS(nNIA,DATOS!$A14855,nCURSO,DATOS!$D14855,nESPEC,DATOS!$E14855,nASIG,DATOS!$I14855,nEVAL,"OR")=0))</f>
      </c>
      <c r="I14855">
        <f>IF(DATOS!$I14855="","",IFERROR(VLOOKUP(DATOS!$I14855,CONFIG_ASIGNATURAS!$B$2:$J$91,9,FALSE()),""))</f>
      </c>
    </row>
    <row r="14856">
      <c r="F14856">
        <f>IF(DATOS!$A14856="","",DATOS!$A14856&amp;"|"&amp;DATOS!$D14856&amp;"|"&amp;DATOS!$E14856&amp;"|"&amp;DATOS!$I14856)</f>
      </c>
      <c r="G14856">
        <f>IF(DATOS!$A14856="",0,IF(CONFIG_METADATA!$B$4&lt;&gt;"OR+EX",--(DATOS!$G14856=CONFIG_METADATA!$B$4),IF(DATOS!$G14856="EX",1,IF(DATOS!$G14856="OR",--(COUNTIFS(nNIA,DATOS!$A14856,nCURSO,DATOS!$D14856,nESPEC,DATOS!$E14856,nASIG,DATOS!$I14856,nEVAL,"EX")=0),0))))</f>
      </c>
      <c r="H14856">
        <f>IF(DATOS!$G14856&lt;&gt;"EX",0,--(COUNTIFS(nNIA,DATOS!$A14856,nCURSO,DATOS!$D14856,nESPEC,DATOS!$E14856,nASIG,DATOS!$I14856,nEVAL,"OR")=0))</f>
      </c>
      <c r="I14856">
        <f>IF(DATOS!$I14856="","",IFERROR(VLOOKUP(DATOS!$I14856,CONFIG_ASIGNATURAS!$B$2:$J$91,9,FALSE()),""))</f>
      </c>
    </row>
    <row r="14857">
      <c r="F14857">
        <f>IF(DATOS!$A14857="","",DATOS!$A14857&amp;"|"&amp;DATOS!$D14857&amp;"|"&amp;DATOS!$E14857&amp;"|"&amp;DATOS!$I14857)</f>
      </c>
      <c r="G14857">
        <f>IF(DATOS!$A14857="",0,IF(CONFIG_METADATA!$B$4&lt;&gt;"OR+EX",--(DATOS!$G14857=CONFIG_METADATA!$B$4),IF(DATOS!$G14857="EX",1,IF(DATOS!$G14857="OR",--(COUNTIFS(nNIA,DATOS!$A14857,nCURSO,DATOS!$D14857,nESPEC,DATOS!$E14857,nASIG,DATOS!$I14857,nEVAL,"EX")=0),0))))</f>
      </c>
      <c r="H14857">
        <f>IF(DATOS!$G14857&lt;&gt;"EX",0,--(COUNTIFS(nNIA,DATOS!$A14857,nCURSO,DATOS!$D14857,nESPEC,DATOS!$E14857,nASIG,DATOS!$I14857,nEVAL,"OR")=0))</f>
      </c>
      <c r="I14857">
        <f>IF(DATOS!$I14857="","",IFERROR(VLOOKUP(DATOS!$I14857,CONFIG_ASIGNATURAS!$B$2:$J$91,9,FALSE()),""))</f>
      </c>
    </row>
    <row r="14858">
      <c r="F14858">
        <f>IF(DATOS!$A14858="","",DATOS!$A14858&amp;"|"&amp;DATOS!$D14858&amp;"|"&amp;DATOS!$E14858&amp;"|"&amp;DATOS!$I14858)</f>
      </c>
      <c r="G14858">
        <f>IF(DATOS!$A14858="",0,IF(CONFIG_METADATA!$B$4&lt;&gt;"OR+EX",--(DATOS!$G14858=CONFIG_METADATA!$B$4),IF(DATOS!$G14858="EX",1,IF(DATOS!$G14858="OR",--(COUNTIFS(nNIA,DATOS!$A14858,nCURSO,DATOS!$D14858,nESPEC,DATOS!$E14858,nASIG,DATOS!$I14858,nEVAL,"EX")=0),0))))</f>
      </c>
      <c r="H14858">
        <f>IF(DATOS!$G14858&lt;&gt;"EX",0,--(COUNTIFS(nNIA,DATOS!$A14858,nCURSO,DATOS!$D14858,nESPEC,DATOS!$E14858,nASIG,DATOS!$I14858,nEVAL,"OR")=0))</f>
      </c>
      <c r="I14858">
        <f>IF(DATOS!$I14858="","",IFERROR(VLOOKUP(DATOS!$I14858,CONFIG_ASIGNATURAS!$B$2:$J$91,9,FALSE()),""))</f>
      </c>
    </row>
    <row r="14859">
      <c r="F14859">
        <f>IF(DATOS!$A14859="","",DATOS!$A14859&amp;"|"&amp;DATOS!$D14859&amp;"|"&amp;DATOS!$E14859&amp;"|"&amp;DATOS!$I14859)</f>
      </c>
      <c r="G14859">
        <f>IF(DATOS!$A14859="",0,IF(CONFIG_METADATA!$B$4&lt;&gt;"OR+EX",--(DATOS!$G14859=CONFIG_METADATA!$B$4),IF(DATOS!$G14859="EX",1,IF(DATOS!$G14859="OR",--(COUNTIFS(nNIA,DATOS!$A14859,nCURSO,DATOS!$D14859,nESPEC,DATOS!$E14859,nASIG,DATOS!$I14859,nEVAL,"EX")=0),0))))</f>
      </c>
      <c r="H14859">
        <f>IF(DATOS!$G14859&lt;&gt;"EX",0,--(COUNTIFS(nNIA,DATOS!$A14859,nCURSO,DATOS!$D14859,nESPEC,DATOS!$E14859,nASIG,DATOS!$I14859,nEVAL,"OR")=0))</f>
      </c>
      <c r="I14859">
        <f>IF(DATOS!$I14859="","",IFERROR(VLOOKUP(DATOS!$I14859,CONFIG_ASIGNATURAS!$B$2:$J$91,9,FALSE()),""))</f>
      </c>
    </row>
    <row r="14860">
      <c r="F14860">
        <f>IF(DATOS!$A14860="","",DATOS!$A14860&amp;"|"&amp;DATOS!$D14860&amp;"|"&amp;DATOS!$E14860&amp;"|"&amp;DATOS!$I14860)</f>
      </c>
      <c r="G14860">
        <f>IF(DATOS!$A14860="",0,IF(CONFIG_METADATA!$B$4&lt;&gt;"OR+EX",--(DATOS!$G14860=CONFIG_METADATA!$B$4),IF(DATOS!$G14860="EX",1,IF(DATOS!$G14860="OR",--(COUNTIFS(nNIA,DATOS!$A14860,nCURSO,DATOS!$D14860,nESPEC,DATOS!$E14860,nASIG,DATOS!$I14860,nEVAL,"EX")=0),0))))</f>
      </c>
      <c r="H14860">
        <f>IF(DATOS!$G14860&lt;&gt;"EX",0,--(COUNTIFS(nNIA,DATOS!$A14860,nCURSO,DATOS!$D14860,nESPEC,DATOS!$E14860,nASIG,DATOS!$I14860,nEVAL,"OR")=0))</f>
      </c>
      <c r="I14860">
        <f>IF(DATOS!$I14860="","",IFERROR(VLOOKUP(DATOS!$I14860,CONFIG_ASIGNATURAS!$B$2:$J$91,9,FALSE()),""))</f>
      </c>
    </row>
    <row r="14861">
      <c r="F14861">
        <f>IF(DATOS!$A14861="","",DATOS!$A14861&amp;"|"&amp;DATOS!$D14861&amp;"|"&amp;DATOS!$E14861&amp;"|"&amp;DATOS!$I14861)</f>
      </c>
      <c r="G14861">
        <f>IF(DATOS!$A14861="",0,IF(CONFIG_METADATA!$B$4&lt;&gt;"OR+EX",--(DATOS!$G14861=CONFIG_METADATA!$B$4),IF(DATOS!$G14861="EX",1,IF(DATOS!$G14861="OR",--(COUNTIFS(nNIA,DATOS!$A14861,nCURSO,DATOS!$D14861,nESPEC,DATOS!$E14861,nASIG,DATOS!$I14861,nEVAL,"EX")=0),0))))</f>
      </c>
      <c r="H14861">
        <f>IF(DATOS!$G14861&lt;&gt;"EX",0,--(COUNTIFS(nNIA,DATOS!$A14861,nCURSO,DATOS!$D14861,nESPEC,DATOS!$E14861,nASIG,DATOS!$I14861,nEVAL,"OR")=0))</f>
      </c>
      <c r="I14861">
        <f>IF(DATOS!$I14861="","",IFERROR(VLOOKUP(DATOS!$I14861,CONFIG_ASIGNATURAS!$B$2:$J$91,9,FALSE()),""))</f>
      </c>
    </row>
    <row r="14862">
      <c r="F14862">
        <f>IF(DATOS!$A14862="","",DATOS!$A14862&amp;"|"&amp;DATOS!$D14862&amp;"|"&amp;DATOS!$E14862&amp;"|"&amp;DATOS!$I14862)</f>
      </c>
      <c r="G14862">
        <f>IF(DATOS!$A14862="",0,IF(CONFIG_METADATA!$B$4&lt;&gt;"OR+EX",--(DATOS!$G14862=CONFIG_METADATA!$B$4),IF(DATOS!$G14862="EX",1,IF(DATOS!$G14862="OR",--(COUNTIFS(nNIA,DATOS!$A14862,nCURSO,DATOS!$D14862,nESPEC,DATOS!$E14862,nASIG,DATOS!$I14862,nEVAL,"EX")=0),0))))</f>
      </c>
      <c r="H14862">
        <f>IF(DATOS!$G14862&lt;&gt;"EX",0,--(COUNTIFS(nNIA,DATOS!$A14862,nCURSO,DATOS!$D14862,nESPEC,DATOS!$E14862,nASIG,DATOS!$I14862,nEVAL,"OR")=0))</f>
      </c>
      <c r="I14862">
        <f>IF(DATOS!$I14862="","",IFERROR(VLOOKUP(DATOS!$I14862,CONFIG_ASIGNATURAS!$B$2:$J$91,9,FALSE()),""))</f>
      </c>
    </row>
    <row r="14863">
      <c r="F14863">
        <f>IF(DATOS!$A14863="","",DATOS!$A14863&amp;"|"&amp;DATOS!$D14863&amp;"|"&amp;DATOS!$E14863&amp;"|"&amp;DATOS!$I14863)</f>
      </c>
      <c r="G14863">
        <f>IF(DATOS!$A14863="",0,IF(CONFIG_METADATA!$B$4&lt;&gt;"OR+EX",--(DATOS!$G14863=CONFIG_METADATA!$B$4),IF(DATOS!$G14863="EX",1,IF(DATOS!$G14863="OR",--(COUNTIFS(nNIA,DATOS!$A14863,nCURSO,DATOS!$D14863,nESPEC,DATOS!$E14863,nASIG,DATOS!$I14863,nEVAL,"EX")=0),0))))</f>
      </c>
      <c r="H14863">
        <f>IF(DATOS!$G14863&lt;&gt;"EX",0,--(COUNTIFS(nNIA,DATOS!$A14863,nCURSO,DATOS!$D14863,nESPEC,DATOS!$E14863,nASIG,DATOS!$I14863,nEVAL,"OR")=0))</f>
      </c>
      <c r="I14863">
        <f>IF(DATOS!$I14863="","",IFERROR(VLOOKUP(DATOS!$I14863,CONFIG_ASIGNATURAS!$B$2:$J$91,9,FALSE()),""))</f>
      </c>
    </row>
    <row r="14864">
      <c r="F14864">
        <f>IF(DATOS!$A14864="","",DATOS!$A14864&amp;"|"&amp;DATOS!$D14864&amp;"|"&amp;DATOS!$E14864&amp;"|"&amp;DATOS!$I14864)</f>
      </c>
      <c r="G14864">
        <f>IF(DATOS!$A14864="",0,IF(CONFIG_METADATA!$B$4&lt;&gt;"OR+EX",--(DATOS!$G14864=CONFIG_METADATA!$B$4),IF(DATOS!$G14864="EX",1,IF(DATOS!$G14864="OR",--(COUNTIFS(nNIA,DATOS!$A14864,nCURSO,DATOS!$D14864,nESPEC,DATOS!$E14864,nASIG,DATOS!$I14864,nEVAL,"EX")=0),0))))</f>
      </c>
      <c r="H14864">
        <f>IF(DATOS!$G14864&lt;&gt;"EX",0,--(COUNTIFS(nNIA,DATOS!$A14864,nCURSO,DATOS!$D14864,nESPEC,DATOS!$E14864,nASIG,DATOS!$I14864,nEVAL,"OR")=0))</f>
      </c>
      <c r="I14864">
        <f>IF(DATOS!$I14864="","",IFERROR(VLOOKUP(DATOS!$I14864,CONFIG_ASIGNATURAS!$B$2:$J$91,9,FALSE()),""))</f>
      </c>
    </row>
    <row r="14865">
      <c r="F14865">
        <f>IF(DATOS!$A14865="","",DATOS!$A14865&amp;"|"&amp;DATOS!$D14865&amp;"|"&amp;DATOS!$E14865&amp;"|"&amp;DATOS!$I14865)</f>
      </c>
      <c r="G14865">
        <f>IF(DATOS!$A14865="",0,IF(CONFIG_METADATA!$B$4&lt;&gt;"OR+EX",--(DATOS!$G14865=CONFIG_METADATA!$B$4),IF(DATOS!$G14865="EX",1,IF(DATOS!$G14865="OR",--(COUNTIFS(nNIA,DATOS!$A14865,nCURSO,DATOS!$D14865,nESPEC,DATOS!$E14865,nASIG,DATOS!$I14865,nEVAL,"EX")=0),0))))</f>
      </c>
      <c r="H14865">
        <f>IF(DATOS!$G14865&lt;&gt;"EX",0,--(COUNTIFS(nNIA,DATOS!$A14865,nCURSO,DATOS!$D14865,nESPEC,DATOS!$E14865,nASIG,DATOS!$I14865,nEVAL,"OR")=0))</f>
      </c>
      <c r="I14865">
        <f>IF(DATOS!$I14865="","",IFERROR(VLOOKUP(DATOS!$I14865,CONFIG_ASIGNATURAS!$B$2:$J$91,9,FALSE()),""))</f>
      </c>
    </row>
    <row r="14866">
      <c r="F14866">
        <f>IF(DATOS!$A14866="","",DATOS!$A14866&amp;"|"&amp;DATOS!$D14866&amp;"|"&amp;DATOS!$E14866&amp;"|"&amp;DATOS!$I14866)</f>
      </c>
      <c r="G14866">
        <f>IF(DATOS!$A14866="",0,IF(CONFIG_METADATA!$B$4&lt;&gt;"OR+EX",--(DATOS!$G14866=CONFIG_METADATA!$B$4),IF(DATOS!$G14866="EX",1,IF(DATOS!$G14866="OR",--(COUNTIFS(nNIA,DATOS!$A14866,nCURSO,DATOS!$D14866,nESPEC,DATOS!$E14866,nASIG,DATOS!$I14866,nEVAL,"EX")=0),0))))</f>
      </c>
      <c r="H14866">
        <f>IF(DATOS!$G14866&lt;&gt;"EX",0,--(COUNTIFS(nNIA,DATOS!$A14866,nCURSO,DATOS!$D14866,nESPEC,DATOS!$E14866,nASIG,DATOS!$I14866,nEVAL,"OR")=0))</f>
      </c>
      <c r="I14866">
        <f>IF(DATOS!$I14866="","",IFERROR(VLOOKUP(DATOS!$I14866,CONFIG_ASIGNATURAS!$B$2:$J$91,9,FALSE()),""))</f>
      </c>
    </row>
    <row r="14867">
      <c r="F14867">
        <f>IF(DATOS!$A14867="","",DATOS!$A14867&amp;"|"&amp;DATOS!$D14867&amp;"|"&amp;DATOS!$E14867&amp;"|"&amp;DATOS!$I14867)</f>
      </c>
      <c r="G14867">
        <f>IF(DATOS!$A14867="",0,IF(CONFIG_METADATA!$B$4&lt;&gt;"OR+EX",--(DATOS!$G14867=CONFIG_METADATA!$B$4),IF(DATOS!$G14867="EX",1,IF(DATOS!$G14867="OR",--(COUNTIFS(nNIA,DATOS!$A14867,nCURSO,DATOS!$D14867,nESPEC,DATOS!$E14867,nASIG,DATOS!$I14867,nEVAL,"EX")=0),0))))</f>
      </c>
      <c r="H14867">
        <f>IF(DATOS!$G14867&lt;&gt;"EX",0,--(COUNTIFS(nNIA,DATOS!$A14867,nCURSO,DATOS!$D14867,nESPEC,DATOS!$E14867,nASIG,DATOS!$I14867,nEVAL,"OR")=0))</f>
      </c>
      <c r="I14867">
        <f>IF(DATOS!$I14867="","",IFERROR(VLOOKUP(DATOS!$I14867,CONFIG_ASIGNATURAS!$B$2:$J$91,9,FALSE()),""))</f>
      </c>
    </row>
    <row r="14868">
      <c r="F14868">
        <f>IF(DATOS!$A14868="","",DATOS!$A14868&amp;"|"&amp;DATOS!$D14868&amp;"|"&amp;DATOS!$E14868&amp;"|"&amp;DATOS!$I14868)</f>
      </c>
      <c r="G14868">
        <f>IF(DATOS!$A14868="",0,IF(CONFIG_METADATA!$B$4&lt;&gt;"OR+EX",--(DATOS!$G14868=CONFIG_METADATA!$B$4),IF(DATOS!$G14868="EX",1,IF(DATOS!$G14868="OR",--(COUNTIFS(nNIA,DATOS!$A14868,nCURSO,DATOS!$D14868,nESPEC,DATOS!$E14868,nASIG,DATOS!$I14868,nEVAL,"EX")=0),0))))</f>
      </c>
      <c r="H14868">
        <f>IF(DATOS!$G14868&lt;&gt;"EX",0,--(COUNTIFS(nNIA,DATOS!$A14868,nCURSO,DATOS!$D14868,nESPEC,DATOS!$E14868,nASIG,DATOS!$I14868,nEVAL,"OR")=0))</f>
      </c>
      <c r="I14868">
        <f>IF(DATOS!$I14868="","",IFERROR(VLOOKUP(DATOS!$I14868,CONFIG_ASIGNATURAS!$B$2:$J$91,9,FALSE()),""))</f>
      </c>
    </row>
    <row r="14869">
      <c r="F14869">
        <f>IF(DATOS!$A14869="","",DATOS!$A14869&amp;"|"&amp;DATOS!$D14869&amp;"|"&amp;DATOS!$E14869&amp;"|"&amp;DATOS!$I14869)</f>
      </c>
      <c r="G14869">
        <f>IF(DATOS!$A14869="",0,IF(CONFIG_METADATA!$B$4&lt;&gt;"OR+EX",--(DATOS!$G14869=CONFIG_METADATA!$B$4),IF(DATOS!$G14869="EX",1,IF(DATOS!$G14869="OR",--(COUNTIFS(nNIA,DATOS!$A14869,nCURSO,DATOS!$D14869,nESPEC,DATOS!$E14869,nASIG,DATOS!$I14869,nEVAL,"EX")=0),0))))</f>
      </c>
      <c r="H14869">
        <f>IF(DATOS!$G14869&lt;&gt;"EX",0,--(COUNTIFS(nNIA,DATOS!$A14869,nCURSO,DATOS!$D14869,nESPEC,DATOS!$E14869,nASIG,DATOS!$I14869,nEVAL,"OR")=0))</f>
      </c>
      <c r="I14869">
        <f>IF(DATOS!$I14869="","",IFERROR(VLOOKUP(DATOS!$I14869,CONFIG_ASIGNATURAS!$B$2:$J$91,9,FALSE()),""))</f>
      </c>
    </row>
    <row r="14870">
      <c r="F14870">
        <f>IF(DATOS!$A14870="","",DATOS!$A14870&amp;"|"&amp;DATOS!$D14870&amp;"|"&amp;DATOS!$E14870&amp;"|"&amp;DATOS!$I14870)</f>
      </c>
      <c r="G14870">
        <f>IF(DATOS!$A14870="",0,IF(CONFIG_METADATA!$B$4&lt;&gt;"OR+EX",--(DATOS!$G14870=CONFIG_METADATA!$B$4),IF(DATOS!$G14870="EX",1,IF(DATOS!$G14870="OR",--(COUNTIFS(nNIA,DATOS!$A14870,nCURSO,DATOS!$D14870,nESPEC,DATOS!$E14870,nASIG,DATOS!$I14870,nEVAL,"EX")=0),0))))</f>
      </c>
      <c r="H14870">
        <f>IF(DATOS!$G14870&lt;&gt;"EX",0,--(COUNTIFS(nNIA,DATOS!$A14870,nCURSO,DATOS!$D14870,nESPEC,DATOS!$E14870,nASIG,DATOS!$I14870,nEVAL,"OR")=0))</f>
      </c>
      <c r="I14870">
        <f>IF(DATOS!$I14870="","",IFERROR(VLOOKUP(DATOS!$I14870,CONFIG_ASIGNATURAS!$B$2:$J$91,9,FALSE()),""))</f>
      </c>
    </row>
    <row r="14871">
      <c r="F14871">
        <f>IF(DATOS!$A14871="","",DATOS!$A14871&amp;"|"&amp;DATOS!$D14871&amp;"|"&amp;DATOS!$E14871&amp;"|"&amp;DATOS!$I14871)</f>
      </c>
      <c r="G14871">
        <f>IF(DATOS!$A14871="",0,IF(CONFIG_METADATA!$B$4&lt;&gt;"OR+EX",--(DATOS!$G14871=CONFIG_METADATA!$B$4),IF(DATOS!$G14871="EX",1,IF(DATOS!$G14871="OR",--(COUNTIFS(nNIA,DATOS!$A14871,nCURSO,DATOS!$D14871,nESPEC,DATOS!$E14871,nASIG,DATOS!$I14871,nEVAL,"EX")=0),0))))</f>
      </c>
      <c r="H14871">
        <f>IF(DATOS!$G14871&lt;&gt;"EX",0,--(COUNTIFS(nNIA,DATOS!$A14871,nCURSO,DATOS!$D14871,nESPEC,DATOS!$E14871,nASIG,DATOS!$I14871,nEVAL,"OR")=0))</f>
      </c>
      <c r="I14871">
        <f>IF(DATOS!$I14871="","",IFERROR(VLOOKUP(DATOS!$I14871,CONFIG_ASIGNATURAS!$B$2:$J$91,9,FALSE()),""))</f>
      </c>
    </row>
    <row r="14872">
      <c r="F14872">
        <f>IF(DATOS!$A14872="","",DATOS!$A14872&amp;"|"&amp;DATOS!$D14872&amp;"|"&amp;DATOS!$E14872&amp;"|"&amp;DATOS!$I14872)</f>
      </c>
      <c r="G14872">
        <f>IF(DATOS!$A14872="",0,IF(CONFIG_METADATA!$B$4&lt;&gt;"OR+EX",--(DATOS!$G14872=CONFIG_METADATA!$B$4),IF(DATOS!$G14872="EX",1,IF(DATOS!$G14872="OR",--(COUNTIFS(nNIA,DATOS!$A14872,nCURSO,DATOS!$D14872,nESPEC,DATOS!$E14872,nASIG,DATOS!$I14872,nEVAL,"EX")=0),0))))</f>
      </c>
      <c r="H14872">
        <f>IF(DATOS!$G14872&lt;&gt;"EX",0,--(COUNTIFS(nNIA,DATOS!$A14872,nCURSO,DATOS!$D14872,nESPEC,DATOS!$E14872,nASIG,DATOS!$I14872,nEVAL,"OR")=0))</f>
      </c>
      <c r="I14872">
        <f>IF(DATOS!$I14872="","",IFERROR(VLOOKUP(DATOS!$I14872,CONFIG_ASIGNATURAS!$B$2:$J$91,9,FALSE()),""))</f>
      </c>
    </row>
    <row r="14873">
      <c r="F14873">
        <f>IF(DATOS!$A14873="","",DATOS!$A14873&amp;"|"&amp;DATOS!$D14873&amp;"|"&amp;DATOS!$E14873&amp;"|"&amp;DATOS!$I14873)</f>
      </c>
      <c r="G14873">
        <f>IF(DATOS!$A14873="",0,IF(CONFIG_METADATA!$B$4&lt;&gt;"OR+EX",--(DATOS!$G14873=CONFIG_METADATA!$B$4),IF(DATOS!$G14873="EX",1,IF(DATOS!$G14873="OR",--(COUNTIFS(nNIA,DATOS!$A14873,nCURSO,DATOS!$D14873,nESPEC,DATOS!$E14873,nASIG,DATOS!$I14873,nEVAL,"EX")=0),0))))</f>
      </c>
      <c r="H14873">
        <f>IF(DATOS!$G14873&lt;&gt;"EX",0,--(COUNTIFS(nNIA,DATOS!$A14873,nCURSO,DATOS!$D14873,nESPEC,DATOS!$E14873,nASIG,DATOS!$I14873,nEVAL,"OR")=0))</f>
      </c>
      <c r="I14873">
        <f>IF(DATOS!$I14873="","",IFERROR(VLOOKUP(DATOS!$I14873,CONFIG_ASIGNATURAS!$B$2:$J$91,9,FALSE()),""))</f>
      </c>
    </row>
    <row r="14874">
      <c r="F14874">
        <f>IF(DATOS!$A14874="","",DATOS!$A14874&amp;"|"&amp;DATOS!$D14874&amp;"|"&amp;DATOS!$E14874&amp;"|"&amp;DATOS!$I14874)</f>
      </c>
      <c r="G14874">
        <f>IF(DATOS!$A14874="",0,IF(CONFIG_METADATA!$B$4&lt;&gt;"OR+EX",--(DATOS!$G14874=CONFIG_METADATA!$B$4),IF(DATOS!$G14874="EX",1,IF(DATOS!$G14874="OR",--(COUNTIFS(nNIA,DATOS!$A14874,nCURSO,DATOS!$D14874,nESPEC,DATOS!$E14874,nASIG,DATOS!$I14874,nEVAL,"EX")=0),0))))</f>
      </c>
      <c r="H14874">
        <f>IF(DATOS!$G14874&lt;&gt;"EX",0,--(COUNTIFS(nNIA,DATOS!$A14874,nCURSO,DATOS!$D14874,nESPEC,DATOS!$E14874,nASIG,DATOS!$I14874,nEVAL,"OR")=0))</f>
      </c>
      <c r="I14874">
        <f>IF(DATOS!$I14874="","",IFERROR(VLOOKUP(DATOS!$I14874,CONFIG_ASIGNATURAS!$B$2:$J$91,9,FALSE()),""))</f>
      </c>
    </row>
    <row r="14875">
      <c r="F14875">
        <f>IF(DATOS!$A14875="","",DATOS!$A14875&amp;"|"&amp;DATOS!$D14875&amp;"|"&amp;DATOS!$E14875&amp;"|"&amp;DATOS!$I14875)</f>
      </c>
      <c r="G14875">
        <f>IF(DATOS!$A14875="",0,IF(CONFIG_METADATA!$B$4&lt;&gt;"OR+EX",--(DATOS!$G14875=CONFIG_METADATA!$B$4),IF(DATOS!$G14875="EX",1,IF(DATOS!$G14875="OR",--(COUNTIFS(nNIA,DATOS!$A14875,nCURSO,DATOS!$D14875,nESPEC,DATOS!$E14875,nASIG,DATOS!$I14875,nEVAL,"EX")=0),0))))</f>
      </c>
      <c r="H14875">
        <f>IF(DATOS!$G14875&lt;&gt;"EX",0,--(COUNTIFS(nNIA,DATOS!$A14875,nCURSO,DATOS!$D14875,nESPEC,DATOS!$E14875,nASIG,DATOS!$I14875,nEVAL,"OR")=0))</f>
      </c>
      <c r="I14875">
        <f>IF(DATOS!$I14875="","",IFERROR(VLOOKUP(DATOS!$I14875,CONFIG_ASIGNATURAS!$B$2:$J$91,9,FALSE()),""))</f>
      </c>
    </row>
    <row r="14876">
      <c r="F14876">
        <f>IF(DATOS!$A14876="","",DATOS!$A14876&amp;"|"&amp;DATOS!$D14876&amp;"|"&amp;DATOS!$E14876&amp;"|"&amp;DATOS!$I14876)</f>
      </c>
      <c r="G14876">
        <f>IF(DATOS!$A14876="",0,IF(CONFIG_METADATA!$B$4&lt;&gt;"OR+EX",--(DATOS!$G14876=CONFIG_METADATA!$B$4),IF(DATOS!$G14876="EX",1,IF(DATOS!$G14876="OR",--(COUNTIFS(nNIA,DATOS!$A14876,nCURSO,DATOS!$D14876,nESPEC,DATOS!$E14876,nASIG,DATOS!$I14876,nEVAL,"EX")=0),0))))</f>
      </c>
      <c r="H14876">
        <f>IF(DATOS!$G14876&lt;&gt;"EX",0,--(COUNTIFS(nNIA,DATOS!$A14876,nCURSO,DATOS!$D14876,nESPEC,DATOS!$E14876,nASIG,DATOS!$I14876,nEVAL,"OR")=0))</f>
      </c>
      <c r="I14876">
        <f>IF(DATOS!$I14876="","",IFERROR(VLOOKUP(DATOS!$I14876,CONFIG_ASIGNATURAS!$B$2:$J$91,9,FALSE()),""))</f>
      </c>
    </row>
    <row r="14877">
      <c r="F14877">
        <f>IF(DATOS!$A14877="","",DATOS!$A14877&amp;"|"&amp;DATOS!$D14877&amp;"|"&amp;DATOS!$E14877&amp;"|"&amp;DATOS!$I14877)</f>
      </c>
      <c r="G14877">
        <f>IF(DATOS!$A14877="",0,IF(CONFIG_METADATA!$B$4&lt;&gt;"OR+EX",--(DATOS!$G14877=CONFIG_METADATA!$B$4),IF(DATOS!$G14877="EX",1,IF(DATOS!$G14877="OR",--(COUNTIFS(nNIA,DATOS!$A14877,nCURSO,DATOS!$D14877,nESPEC,DATOS!$E14877,nASIG,DATOS!$I14877,nEVAL,"EX")=0),0))))</f>
      </c>
      <c r="H14877">
        <f>IF(DATOS!$G14877&lt;&gt;"EX",0,--(COUNTIFS(nNIA,DATOS!$A14877,nCURSO,DATOS!$D14877,nESPEC,DATOS!$E14877,nASIG,DATOS!$I14877,nEVAL,"OR")=0))</f>
      </c>
      <c r="I14877">
        <f>IF(DATOS!$I14877="","",IFERROR(VLOOKUP(DATOS!$I14877,CONFIG_ASIGNATURAS!$B$2:$J$91,9,FALSE()),""))</f>
      </c>
    </row>
    <row r="14878">
      <c r="F14878">
        <f>IF(DATOS!$A14878="","",DATOS!$A14878&amp;"|"&amp;DATOS!$D14878&amp;"|"&amp;DATOS!$E14878&amp;"|"&amp;DATOS!$I14878)</f>
      </c>
      <c r="G14878">
        <f>IF(DATOS!$A14878="",0,IF(CONFIG_METADATA!$B$4&lt;&gt;"OR+EX",--(DATOS!$G14878=CONFIG_METADATA!$B$4),IF(DATOS!$G14878="EX",1,IF(DATOS!$G14878="OR",--(COUNTIFS(nNIA,DATOS!$A14878,nCURSO,DATOS!$D14878,nESPEC,DATOS!$E14878,nASIG,DATOS!$I14878,nEVAL,"EX")=0),0))))</f>
      </c>
      <c r="H14878">
        <f>IF(DATOS!$G14878&lt;&gt;"EX",0,--(COUNTIFS(nNIA,DATOS!$A14878,nCURSO,DATOS!$D14878,nESPEC,DATOS!$E14878,nASIG,DATOS!$I14878,nEVAL,"OR")=0))</f>
      </c>
      <c r="I14878">
        <f>IF(DATOS!$I14878="","",IFERROR(VLOOKUP(DATOS!$I14878,CONFIG_ASIGNATURAS!$B$2:$J$91,9,FALSE()),""))</f>
      </c>
    </row>
    <row r="14879">
      <c r="F14879">
        <f>IF(DATOS!$A14879="","",DATOS!$A14879&amp;"|"&amp;DATOS!$D14879&amp;"|"&amp;DATOS!$E14879&amp;"|"&amp;DATOS!$I14879)</f>
      </c>
      <c r="G14879">
        <f>IF(DATOS!$A14879="",0,IF(CONFIG_METADATA!$B$4&lt;&gt;"OR+EX",--(DATOS!$G14879=CONFIG_METADATA!$B$4),IF(DATOS!$G14879="EX",1,IF(DATOS!$G14879="OR",--(COUNTIFS(nNIA,DATOS!$A14879,nCURSO,DATOS!$D14879,nESPEC,DATOS!$E14879,nASIG,DATOS!$I14879,nEVAL,"EX")=0),0))))</f>
      </c>
      <c r="H14879">
        <f>IF(DATOS!$G14879&lt;&gt;"EX",0,--(COUNTIFS(nNIA,DATOS!$A14879,nCURSO,DATOS!$D14879,nESPEC,DATOS!$E14879,nASIG,DATOS!$I14879,nEVAL,"OR")=0))</f>
      </c>
      <c r="I14879">
        <f>IF(DATOS!$I14879="","",IFERROR(VLOOKUP(DATOS!$I14879,CONFIG_ASIGNATURAS!$B$2:$J$91,9,FALSE()),""))</f>
      </c>
    </row>
    <row r="14880">
      <c r="F14880">
        <f>IF(DATOS!$A14880="","",DATOS!$A14880&amp;"|"&amp;DATOS!$D14880&amp;"|"&amp;DATOS!$E14880&amp;"|"&amp;DATOS!$I14880)</f>
      </c>
      <c r="G14880">
        <f>IF(DATOS!$A14880="",0,IF(CONFIG_METADATA!$B$4&lt;&gt;"OR+EX",--(DATOS!$G14880=CONFIG_METADATA!$B$4),IF(DATOS!$G14880="EX",1,IF(DATOS!$G14880="OR",--(COUNTIFS(nNIA,DATOS!$A14880,nCURSO,DATOS!$D14880,nESPEC,DATOS!$E14880,nASIG,DATOS!$I14880,nEVAL,"EX")=0),0))))</f>
      </c>
      <c r="H14880">
        <f>IF(DATOS!$G14880&lt;&gt;"EX",0,--(COUNTIFS(nNIA,DATOS!$A14880,nCURSO,DATOS!$D14880,nESPEC,DATOS!$E14880,nASIG,DATOS!$I14880,nEVAL,"OR")=0))</f>
      </c>
      <c r="I14880">
        <f>IF(DATOS!$I14880="","",IFERROR(VLOOKUP(DATOS!$I14880,CONFIG_ASIGNATURAS!$B$2:$J$91,9,FALSE()),""))</f>
      </c>
    </row>
    <row r="14881">
      <c r="F14881">
        <f>IF(DATOS!$A14881="","",DATOS!$A14881&amp;"|"&amp;DATOS!$D14881&amp;"|"&amp;DATOS!$E14881&amp;"|"&amp;DATOS!$I14881)</f>
      </c>
      <c r="G14881">
        <f>IF(DATOS!$A14881="",0,IF(CONFIG_METADATA!$B$4&lt;&gt;"OR+EX",--(DATOS!$G14881=CONFIG_METADATA!$B$4),IF(DATOS!$G14881="EX",1,IF(DATOS!$G14881="OR",--(COUNTIFS(nNIA,DATOS!$A14881,nCURSO,DATOS!$D14881,nESPEC,DATOS!$E14881,nASIG,DATOS!$I14881,nEVAL,"EX")=0),0))))</f>
      </c>
      <c r="H14881">
        <f>IF(DATOS!$G14881&lt;&gt;"EX",0,--(COUNTIFS(nNIA,DATOS!$A14881,nCURSO,DATOS!$D14881,nESPEC,DATOS!$E14881,nASIG,DATOS!$I14881,nEVAL,"OR")=0))</f>
      </c>
      <c r="I14881">
        <f>IF(DATOS!$I14881="","",IFERROR(VLOOKUP(DATOS!$I14881,CONFIG_ASIGNATURAS!$B$2:$J$91,9,FALSE()),""))</f>
      </c>
    </row>
    <row r="14882">
      <c r="F14882">
        <f>IF(DATOS!$A14882="","",DATOS!$A14882&amp;"|"&amp;DATOS!$D14882&amp;"|"&amp;DATOS!$E14882&amp;"|"&amp;DATOS!$I14882)</f>
      </c>
      <c r="G14882">
        <f>IF(DATOS!$A14882="",0,IF(CONFIG_METADATA!$B$4&lt;&gt;"OR+EX",--(DATOS!$G14882=CONFIG_METADATA!$B$4),IF(DATOS!$G14882="EX",1,IF(DATOS!$G14882="OR",--(COUNTIFS(nNIA,DATOS!$A14882,nCURSO,DATOS!$D14882,nESPEC,DATOS!$E14882,nASIG,DATOS!$I14882,nEVAL,"EX")=0),0))))</f>
      </c>
      <c r="H14882">
        <f>IF(DATOS!$G14882&lt;&gt;"EX",0,--(COUNTIFS(nNIA,DATOS!$A14882,nCURSO,DATOS!$D14882,nESPEC,DATOS!$E14882,nASIG,DATOS!$I14882,nEVAL,"OR")=0))</f>
      </c>
      <c r="I14882">
        <f>IF(DATOS!$I14882="","",IFERROR(VLOOKUP(DATOS!$I14882,CONFIG_ASIGNATURAS!$B$2:$J$91,9,FALSE()),""))</f>
      </c>
    </row>
    <row r="14883">
      <c r="F14883">
        <f>IF(DATOS!$A14883="","",DATOS!$A14883&amp;"|"&amp;DATOS!$D14883&amp;"|"&amp;DATOS!$E14883&amp;"|"&amp;DATOS!$I14883)</f>
      </c>
      <c r="G14883">
        <f>IF(DATOS!$A14883="",0,IF(CONFIG_METADATA!$B$4&lt;&gt;"OR+EX",--(DATOS!$G14883=CONFIG_METADATA!$B$4),IF(DATOS!$G14883="EX",1,IF(DATOS!$G14883="OR",--(COUNTIFS(nNIA,DATOS!$A14883,nCURSO,DATOS!$D14883,nESPEC,DATOS!$E14883,nASIG,DATOS!$I14883,nEVAL,"EX")=0),0))))</f>
      </c>
      <c r="H14883">
        <f>IF(DATOS!$G14883&lt;&gt;"EX",0,--(COUNTIFS(nNIA,DATOS!$A14883,nCURSO,DATOS!$D14883,nESPEC,DATOS!$E14883,nASIG,DATOS!$I14883,nEVAL,"OR")=0))</f>
      </c>
      <c r="I14883">
        <f>IF(DATOS!$I14883="","",IFERROR(VLOOKUP(DATOS!$I14883,CONFIG_ASIGNATURAS!$B$2:$J$91,9,FALSE()),""))</f>
      </c>
    </row>
    <row r="14884">
      <c r="F14884">
        <f>IF(DATOS!$A14884="","",DATOS!$A14884&amp;"|"&amp;DATOS!$D14884&amp;"|"&amp;DATOS!$E14884&amp;"|"&amp;DATOS!$I14884)</f>
      </c>
      <c r="G14884">
        <f>IF(DATOS!$A14884="",0,IF(CONFIG_METADATA!$B$4&lt;&gt;"OR+EX",--(DATOS!$G14884=CONFIG_METADATA!$B$4),IF(DATOS!$G14884="EX",1,IF(DATOS!$G14884="OR",--(COUNTIFS(nNIA,DATOS!$A14884,nCURSO,DATOS!$D14884,nESPEC,DATOS!$E14884,nASIG,DATOS!$I14884,nEVAL,"EX")=0),0))))</f>
      </c>
      <c r="H14884">
        <f>IF(DATOS!$G14884&lt;&gt;"EX",0,--(COUNTIFS(nNIA,DATOS!$A14884,nCURSO,DATOS!$D14884,nESPEC,DATOS!$E14884,nASIG,DATOS!$I14884,nEVAL,"OR")=0))</f>
      </c>
      <c r="I14884">
        <f>IF(DATOS!$I14884="","",IFERROR(VLOOKUP(DATOS!$I14884,CONFIG_ASIGNATURAS!$B$2:$J$91,9,FALSE()),""))</f>
      </c>
    </row>
    <row r="14885">
      <c r="F14885">
        <f>IF(DATOS!$A14885="","",DATOS!$A14885&amp;"|"&amp;DATOS!$D14885&amp;"|"&amp;DATOS!$E14885&amp;"|"&amp;DATOS!$I14885)</f>
      </c>
      <c r="G14885">
        <f>IF(DATOS!$A14885="",0,IF(CONFIG_METADATA!$B$4&lt;&gt;"OR+EX",--(DATOS!$G14885=CONFIG_METADATA!$B$4),IF(DATOS!$G14885="EX",1,IF(DATOS!$G14885="OR",--(COUNTIFS(nNIA,DATOS!$A14885,nCURSO,DATOS!$D14885,nESPEC,DATOS!$E14885,nASIG,DATOS!$I14885,nEVAL,"EX")=0),0))))</f>
      </c>
      <c r="H14885">
        <f>IF(DATOS!$G14885&lt;&gt;"EX",0,--(COUNTIFS(nNIA,DATOS!$A14885,nCURSO,DATOS!$D14885,nESPEC,DATOS!$E14885,nASIG,DATOS!$I14885,nEVAL,"OR")=0))</f>
      </c>
      <c r="I14885">
        <f>IF(DATOS!$I14885="","",IFERROR(VLOOKUP(DATOS!$I14885,CONFIG_ASIGNATURAS!$B$2:$J$91,9,FALSE()),""))</f>
      </c>
    </row>
    <row r="14886">
      <c r="F14886">
        <f>IF(DATOS!$A14886="","",DATOS!$A14886&amp;"|"&amp;DATOS!$D14886&amp;"|"&amp;DATOS!$E14886&amp;"|"&amp;DATOS!$I14886)</f>
      </c>
      <c r="G14886">
        <f>IF(DATOS!$A14886="",0,IF(CONFIG_METADATA!$B$4&lt;&gt;"OR+EX",--(DATOS!$G14886=CONFIG_METADATA!$B$4),IF(DATOS!$G14886="EX",1,IF(DATOS!$G14886="OR",--(COUNTIFS(nNIA,DATOS!$A14886,nCURSO,DATOS!$D14886,nESPEC,DATOS!$E14886,nASIG,DATOS!$I14886,nEVAL,"EX")=0),0))))</f>
      </c>
      <c r="H14886">
        <f>IF(DATOS!$G14886&lt;&gt;"EX",0,--(COUNTIFS(nNIA,DATOS!$A14886,nCURSO,DATOS!$D14886,nESPEC,DATOS!$E14886,nASIG,DATOS!$I14886,nEVAL,"OR")=0))</f>
      </c>
      <c r="I14886">
        <f>IF(DATOS!$I14886="","",IFERROR(VLOOKUP(DATOS!$I14886,CONFIG_ASIGNATURAS!$B$2:$J$91,9,FALSE()),""))</f>
      </c>
    </row>
    <row r="14887">
      <c r="F14887">
        <f>IF(DATOS!$A14887="","",DATOS!$A14887&amp;"|"&amp;DATOS!$D14887&amp;"|"&amp;DATOS!$E14887&amp;"|"&amp;DATOS!$I14887)</f>
      </c>
      <c r="G14887">
        <f>IF(DATOS!$A14887="",0,IF(CONFIG_METADATA!$B$4&lt;&gt;"OR+EX",--(DATOS!$G14887=CONFIG_METADATA!$B$4),IF(DATOS!$G14887="EX",1,IF(DATOS!$G14887="OR",--(COUNTIFS(nNIA,DATOS!$A14887,nCURSO,DATOS!$D14887,nESPEC,DATOS!$E14887,nASIG,DATOS!$I14887,nEVAL,"EX")=0),0))))</f>
      </c>
      <c r="H14887">
        <f>IF(DATOS!$G14887&lt;&gt;"EX",0,--(COUNTIFS(nNIA,DATOS!$A14887,nCURSO,DATOS!$D14887,nESPEC,DATOS!$E14887,nASIG,DATOS!$I14887,nEVAL,"OR")=0))</f>
      </c>
      <c r="I14887">
        <f>IF(DATOS!$I14887="","",IFERROR(VLOOKUP(DATOS!$I14887,CONFIG_ASIGNATURAS!$B$2:$J$91,9,FALSE()),""))</f>
      </c>
    </row>
    <row r="14888">
      <c r="F14888">
        <f>IF(DATOS!$A14888="","",DATOS!$A14888&amp;"|"&amp;DATOS!$D14888&amp;"|"&amp;DATOS!$E14888&amp;"|"&amp;DATOS!$I14888)</f>
      </c>
      <c r="G14888">
        <f>IF(DATOS!$A14888="",0,IF(CONFIG_METADATA!$B$4&lt;&gt;"OR+EX",--(DATOS!$G14888=CONFIG_METADATA!$B$4),IF(DATOS!$G14888="EX",1,IF(DATOS!$G14888="OR",--(COUNTIFS(nNIA,DATOS!$A14888,nCURSO,DATOS!$D14888,nESPEC,DATOS!$E14888,nASIG,DATOS!$I14888,nEVAL,"EX")=0),0))))</f>
      </c>
      <c r="H14888">
        <f>IF(DATOS!$G14888&lt;&gt;"EX",0,--(COUNTIFS(nNIA,DATOS!$A14888,nCURSO,DATOS!$D14888,nESPEC,DATOS!$E14888,nASIG,DATOS!$I14888,nEVAL,"OR")=0))</f>
      </c>
      <c r="I14888">
        <f>IF(DATOS!$I14888="","",IFERROR(VLOOKUP(DATOS!$I14888,CONFIG_ASIGNATURAS!$B$2:$J$91,9,FALSE()),""))</f>
      </c>
    </row>
    <row r="14889">
      <c r="F14889">
        <f>IF(DATOS!$A14889="","",DATOS!$A14889&amp;"|"&amp;DATOS!$D14889&amp;"|"&amp;DATOS!$E14889&amp;"|"&amp;DATOS!$I14889)</f>
      </c>
      <c r="G14889">
        <f>IF(DATOS!$A14889="",0,IF(CONFIG_METADATA!$B$4&lt;&gt;"OR+EX",--(DATOS!$G14889=CONFIG_METADATA!$B$4),IF(DATOS!$G14889="EX",1,IF(DATOS!$G14889="OR",--(COUNTIFS(nNIA,DATOS!$A14889,nCURSO,DATOS!$D14889,nESPEC,DATOS!$E14889,nASIG,DATOS!$I14889,nEVAL,"EX")=0),0))))</f>
      </c>
      <c r="H14889">
        <f>IF(DATOS!$G14889&lt;&gt;"EX",0,--(COUNTIFS(nNIA,DATOS!$A14889,nCURSO,DATOS!$D14889,nESPEC,DATOS!$E14889,nASIG,DATOS!$I14889,nEVAL,"OR")=0))</f>
      </c>
      <c r="I14889">
        <f>IF(DATOS!$I14889="","",IFERROR(VLOOKUP(DATOS!$I14889,CONFIG_ASIGNATURAS!$B$2:$J$91,9,FALSE()),""))</f>
      </c>
    </row>
    <row r="14890">
      <c r="F14890">
        <f>IF(DATOS!$A14890="","",DATOS!$A14890&amp;"|"&amp;DATOS!$D14890&amp;"|"&amp;DATOS!$E14890&amp;"|"&amp;DATOS!$I14890)</f>
      </c>
      <c r="G14890">
        <f>IF(DATOS!$A14890="",0,IF(CONFIG_METADATA!$B$4&lt;&gt;"OR+EX",--(DATOS!$G14890=CONFIG_METADATA!$B$4),IF(DATOS!$G14890="EX",1,IF(DATOS!$G14890="OR",--(COUNTIFS(nNIA,DATOS!$A14890,nCURSO,DATOS!$D14890,nESPEC,DATOS!$E14890,nASIG,DATOS!$I14890,nEVAL,"EX")=0),0))))</f>
      </c>
      <c r="H14890">
        <f>IF(DATOS!$G14890&lt;&gt;"EX",0,--(COUNTIFS(nNIA,DATOS!$A14890,nCURSO,DATOS!$D14890,nESPEC,DATOS!$E14890,nASIG,DATOS!$I14890,nEVAL,"OR")=0))</f>
      </c>
      <c r="I14890">
        <f>IF(DATOS!$I14890="","",IFERROR(VLOOKUP(DATOS!$I14890,CONFIG_ASIGNATURAS!$B$2:$J$91,9,FALSE()),""))</f>
      </c>
    </row>
    <row r="14891">
      <c r="F14891">
        <f>IF(DATOS!$A14891="","",DATOS!$A14891&amp;"|"&amp;DATOS!$D14891&amp;"|"&amp;DATOS!$E14891&amp;"|"&amp;DATOS!$I14891)</f>
      </c>
      <c r="G14891">
        <f>IF(DATOS!$A14891="",0,IF(CONFIG_METADATA!$B$4&lt;&gt;"OR+EX",--(DATOS!$G14891=CONFIG_METADATA!$B$4),IF(DATOS!$G14891="EX",1,IF(DATOS!$G14891="OR",--(COUNTIFS(nNIA,DATOS!$A14891,nCURSO,DATOS!$D14891,nESPEC,DATOS!$E14891,nASIG,DATOS!$I14891,nEVAL,"EX")=0),0))))</f>
      </c>
      <c r="H14891">
        <f>IF(DATOS!$G14891&lt;&gt;"EX",0,--(COUNTIFS(nNIA,DATOS!$A14891,nCURSO,DATOS!$D14891,nESPEC,DATOS!$E14891,nASIG,DATOS!$I14891,nEVAL,"OR")=0))</f>
      </c>
      <c r="I14891">
        <f>IF(DATOS!$I14891="","",IFERROR(VLOOKUP(DATOS!$I14891,CONFIG_ASIGNATURAS!$B$2:$J$91,9,FALSE()),""))</f>
      </c>
    </row>
    <row r="14892">
      <c r="F14892">
        <f>IF(DATOS!$A14892="","",DATOS!$A14892&amp;"|"&amp;DATOS!$D14892&amp;"|"&amp;DATOS!$E14892&amp;"|"&amp;DATOS!$I14892)</f>
      </c>
      <c r="G14892">
        <f>IF(DATOS!$A14892="",0,IF(CONFIG_METADATA!$B$4&lt;&gt;"OR+EX",--(DATOS!$G14892=CONFIG_METADATA!$B$4),IF(DATOS!$G14892="EX",1,IF(DATOS!$G14892="OR",--(COUNTIFS(nNIA,DATOS!$A14892,nCURSO,DATOS!$D14892,nESPEC,DATOS!$E14892,nASIG,DATOS!$I14892,nEVAL,"EX")=0),0))))</f>
      </c>
      <c r="H14892">
        <f>IF(DATOS!$G14892&lt;&gt;"EX",0,--(COUNTIFS(nNIA,DATOS!$A14892,nCURSO,DATOS!$D14892,nESPEC,DATOS!$E14892,nASIG,DATOS!$I14892,nEVAL,"OR")=0))</f>
      </c>
      <c r="I14892">
        <f>IF(DATOS!$I14892="","",IFERROR(VLOOKUP(DATOS!$I14892,CONFIG_ASIGNATURAS!$B$2:$J$91,9,FALSE()),""))</f>
      </c>
    </row>
    <row r="14893">
      <c r="F14893">
        <f>IF(DATOS!$A14893="","",DATOS!$A14893&amp;"|"&amp;DATOS!$D14893&amp;"|"&amp;DATOS!$E14893&amp;"|"&amp;DATOS!$I14893)</f>
      </c>
      <c r="G14893">
        <f>IF(DATOS!$A14893="",0,IF(CONFIG_METADATA!$B$4&lt;&gt;"OR+EX",--(DATOS!$G14893=CONFIG_METADATA!$B$4),IF(DATOS!$G14893="EX",1,IF(DATOS!$G14893="OR",--(COUNTIFS(nNIA,DATOS!$A14893,nCURSO,DATOS!$D14893,nESPEC,DATOS!$E14893,nASIG,DATOS!$I14893,nEVAL,"EX")=0),0))))</f>
      </c>
      <c r="H14893">
        <f>IF(DATOS!$G14893&lt;&gt;"EX",0,--(COUNTIFS(nNIA,DATOS!$A14893,nCURSO,DATOS!$D14893,nESPEC,DATOS!$E14893,nASIG,DATOS!$I14893,nEVAL,"OR")=0))</f>
      </c>
      <c r="I14893">
        <f>IF(DATOS!$I14893="","",IFERROR(VLOOKUP(DATOS!$I14893,CONFIG_ASIGNATURAS!$B$2:$J$91,9,FALSE()),""))</f>
      </c>
    </row>
    <row r="14894">
      <c r="F14894">
        <f>IF(DATOS!$A14894="","",DATOS!$A14894&amp;"|"&amp;DATOS!$D14894&amp;"|"&amp;DATOS!$E14894&amp;"|"&amp;DATOS!$I14894)</f>
      </c>
      <c r="G14894">
        <f>IF(DATOS!$A14894="",0,IF(CONFIG_METADATA!$B$4&lt;&gt;"OR+EX",--(DATOS!$G14894=CONFIG_METADATA!$B$4),IF(DATOS!$G14894="EX",1,IF(DATOS!$G14894="OR",--(COUNTIFS(nNIA,DATOS!$A14894,nCURSO,DATOS!$D14894,nESPEC,DATOS!$E14894,nASIG,DATOS!$I14894,nEVAL,"EX")=0),0))))</f>
      </c>
      <c r="H14894">
        <f>IF(DATOS!$G14894&lt;&gt;"EX",0,--(COUNTIFS(nNIA,DATOS!$A14894,nCURSO,DATOS!$D14894,nESPEC,DATOS!$E14894,nASIG,DATOS!$I14894,nEVAL,"OR")=0))</f>
      </c>
      <c r="I14894">
        <f>IF(DATOS!$I14894="","",IFERROR(VLOOKUP(DATOS!$I14894,CONFIG_ASIGNATURAS!$B$2:$J$91,9,FALSE()),""))</f>
      </c>
    </row>
    <row r="14895">
      <c r="F14895">
        <f>IF(DATOS!$A14895="","",DATOS!$A14895&amp;"|"&amp;DATOS!$D14895&amp;"|"&amp;DATOS!$E14895&amp;"|"&amp;DATOS!$I14895)</f>
      </c>
      <c r="G14895">
        <f>IF(DATOS!$A14895="",0,IF(CONFIG_METADATA!$B$4&lt;&gt;"OR+EX",--(DATOS!$G14895=CONFIG_METADATA!$B$4),IF(DATOS!$G14895="EX",1,IF(DATOS!$G14895="OR",--(COUNTIFS(nNIA,DATOS!$A14895,nCURSO,DATOS!$D14895,nESPEC,DATOS!$E14895,nASIG,DATOS!$I14895,nEVAL,"EX")=0),0))))</f>
      </c>
      <c r="H14895">
        <f>IF(DATOS!$G14895&lt;&gt;"EX",0,--(COUNTIFS(nNIA,DATOS!$A14895,nCURSO,DATOS!$D14895,nESPEC,DATOS!$E14895,nASIG,DATOS!$I14895,nEVAL,"OR")=0))</f>
      </c>
      <c r="I14895">
        <f>IF(DATOS!$I14895="","",IFERROR(VLOOKUP(DATOS!$I14895,CONFIG_ASIGNATURAS!$B$2:$J$91,9,FALSE()),""))</f>
      </c>
    </row>
    <row r="14896">
      <c r="F14896">
        <f>IF(DATOS!$A14896="","",DATOS!$A14896&amp;"|"&amp;DATOS!$D14896&amp;"|"&amp;DATOS!$E14896&amp;"|"&amp;DATOS!$I14896)</f>
      </c>
      <c r="G14896">
        <f>IF(DATOS!$A14896="",0,IF(CONFIG_METADATA!$B$4&lt;&gt;"OR+EX",--(DATOS!$G14896=CONFIG_METADATA!$B$4),IF(DATOS!$G14896="EX",1,IF(DATOS!$G14896="OR",--(COUNTIFS(nNIA,DATOS!$A14896,nCURSO,DATOS!$D14896,nESPEC,DATOS!$E14896,nASIG,DATOS!$I14896,nEVAL,"EX")=0),0))))</f>
      </c>
      <c r="H14896">
        <f>IF(DATOS!$G14896&lt;&gt;"EX",0,--(COUNTIFS(nNIA,DATOS!$A14896,nCURSO,DATOS!$D14896,nESPEC,DATOS!$E14896,nASIG,DATOS!$I14896,nEVAL,"OR")=0))</f>
      </c>
      <c r="I14896">
        <f>IF(DATOS!$I14896="","",IFERROR(VLOOKUP(DATOS!$I14896,CONFIG_ASIGNATURAS!$B$2:$J$91,9,FALSE()),""))</f>
      </c>
    </row>
    <row r="14897">
      <c r="F14897">
        <f>IF(DATOS!$A14897="","",DATOS!$A14897&amp;"|"&amp;DATOS!$D14897&amp;"|"&amp;DATOS!$E14897&amp;"|"&amp;DATOS!$I14897)</f>
      </c>
      <c r="G14897">
        <f>IF(DATOS!$A14897="",0,IF(CONFIG_METADATA!$B$4&lt;&gt;"OR+EX",--(DATOS!$G14897=CONFIG_METADATA!$B$4),IF(DATOS!$G14897="EX",1,IF(DATOS!$G14897="OR",--(COUNTIFS(nNIA,DATOS!$A14897,nCURSO,DATOS!$D14897,nESPEC,DATOS!$E14897,nASIG,DATOS!$I14897,nEVAL,"EX")=0),0))))</f>
      </c>
      <c r="H14897">
        <f>IF(DATOS!$G14897&lt;&gt;"EX",0,--(COUNTIFS(nNIA,DATOS!$A14897,nCURSO,DATOS!$D14897,nESPEC,DATOS!$E14897,nASIG,DATOS!$I14897,nEVAL,"OR")=0))</f>
      </c>
      <c r="I14897">
        <f>IF(DATOS!$I14897="","",IFERROR(VLOOKUP(DATOS!$I14897,CONFIG_ASIGNATURAS!$B$2:$J$91,9,FALSE()),""))</f>
      </c>
    </row>
    <row r="14898">
      <c r="F14898">
        <f>IF(DATOS!$A14898="","",DATOS!$A14898&amp;"|"&amp;DATOS!$D14898&amp;"|"&amp;DATOS!$E14898&amp;"|"&amp;DATOS!$I14898)</f>
      </c>
      <c r="G14898">
        <f>IF(DATOS!$A14898="",0,IF(CONFIG_METADATA!$B$4&lt;&gt;"OR+EX",--(DATOS!$G14898=CONFIG_METADATA!$B$4),IF(DATOS!$G14898="EX",1,IF(DATOS!$G14898="OR",--(COUNTIFS(nNIA,DATOS!$A14898,nCURSO,DATOS!$D14898,nESPEC,DATOS!$E14898,nASIG,DATOS!$I14898,nEVAL,"EX")=0),0))))</f>
      </c>
      <c r="H14898">
        <f>IF(DATOS!$G14898&lt;&gt;"EX",0,--(COUNTIFS(nNIA,DATOS!$A14898,nCURSO,DATOS!$D14898,nESPEC,DATOS!$E14898,nASIG,DATOS!$I14898,nEVAL,"OR")=0))</f>
      </c>
      <c r="I14898">
        <f>IF(DATOS!$I14898="","",IFERROR(VLOOKUP(DATOS!$I14898,CONFIG_ASIGNATURAS!$B$2:$J$91,9,FALSE()),""))</f>
      </c>
    </row>
    <row r="14899">
      <c r="F14899">
        <f>IF(DATOS!$A14899="","",DATOS!$A14899&amp;"|"&amp;DATOS!$D14899&amp;"|"&amp;DATOS!$E14899&amp;"|"&amp;DATOS!$I14899)</f>
      </c>
      <c r="G14899">
        <f>IF(DATOS!$A14899="",0,IF(CONFIG_METADATA!$B$4&lt;&gt;"OR+EX",--(DATOS!$G14899=CONFIG_METADATA!$B$4),IF(DATOS!$G14899="EX",1,IF(DATOS!$G14899="OR",--(COUNTIFS(nNIA,DATOS!$A14899,nCURSO,DATOS!$D14899,nESPEC,DATOS!$E14899,nASIG,DATOS!$I14899,nEVAL,"EX")=0),0))))</f>
      </c>
      <c r="H14899">
        <f>IF(DATOS!$G14899&lt;&gt;"EX",0,--(COUNTIFS(nNIA,DATOS!$A14899,nCURSO,DATOS!$D14899,nESPEC,DATOS!$E14899,nASIG,DATOS!$I14899,nEVAL,"OR")=0))</f>
      </c>
      <c r="I14899">
        <f>IF(DATOS!$I14899="","",IFERROR(VLOOKUP(DATOS!$I14899,CONFIG_ASIGNATURAS!$B$2:$J$91,9,FALSE()),""))</f>
      </c>
    </row>
    <row r="14900">
      <c r="F14900">
        <f>IF(DATOS!$A14900="","",DATOS!$A14900&amp;"|"&amp;DATOS!$D14900&amp;"|"&amp;DATOS!$E14900&amp;"|"&amp;DATOS!$I14900)</f>
      </c>
      <c r="G14900">
        <f>IF(DATOS!$A14900="",0,IF(CONFIG_METADATA!$B$4&lt;&gt;"OR+EX",--(DATOS!$G14900=CONFIG_METADATA!$B$4),IF(DATOS!$G14900="EX",1,IF(DATOS!$G14900="OR",--(COUNTIFS(nNIA,DATOS!$A14900,nCURSO,DATOS!$D14900,nESPEC,DATOS!$E14900,nASIG,DATOS!$I14900,nEVAL,"EX")=0),0))))</f>
      </c>
      <c r="H14900">
        <f>IF(DATOS!$G14900&lt;&gt;"EX",0,--(COUNTIFS(nNIA,DATOS!$A14900,nCURSO,DATOS!$D14900,nESPEC,DATOS!$E14900,nASIG,DATOS!$I14900,nEVAL,"OR")=0))</f>
      </c>
      <c r="I14900">
        <f>IF(DATOS!$I14900="","",IFERROR(VLOOKUP(DATOS!$I14900,CONFIG_ASIGNATURAS!$B$2:$J$91,9,FALSE()),""))</f>
      </c>
    </row>
    <row r="14901">
      <c r="F14901">
        <f>IF(DATOS!$A14901="","",DATOS!$A14901&amp;"|"&amp;DATOS!$D14901&amp;"|"&amp;DATOS!$E14901&amp;"|"&amp;DATOS!$I14901)</f>
      </c>
      <c r="G14901">
        <f>IF(DATOS!$A14901="",0,IF(CONFIG_METADATA!$B$4&lt;&gt;"OR+EX",--(DATOS!$G14901=CONFIG_METADATA!$B$4),IF(DATOS!$G14901="EX",1,IF(DATOS!$G14901="OR",--(COUNTIFS(nNIA,DATOS!$A14901,nCURSO,DATOS!$D14901,nESPEC,DATOS!$E14901,nASIG,DATOS!$I14901,nEVAL,"EX")=0),0))))</f>
      </c>
      <c r="H14901">
        <f>IF(DATOS!$G14901&lt;&gt;"EX",0,--(COUNTIFS(nNIA,DATOS!$A14901,nCURSO,DATOS!$D14901,nESPEC,DATOS!$E14901,nASIG,DATOS!$I14901,nEVAL,"OR")=0))</f>
      </c>
      <c r="I14901">
        <f>IF(DATOS!$I14901="","",IFERROR(VLOOKUP(DATOS!$I14901,CONFIG_ASIGNATURAS!$B$2:$J$91,9,FALSE()),""))</f>
      </c>
    </row>
    <row r="14902">
      <c r="F14902">
        <f>IF(DATOS!$A14902="","",DATOS!$A14902&amp;"|"&amp;DATOS!$D14902&amp;"|"&amp;DATOS!$E14902&amp;"|"&amp;DATOS!$I14902)</f>
      </c>
      <c r="G14902">
        <f>IF(DATOS!$A14902="",0,IF(CONFIG_METADATA!$B$4&lt;&gt;"OR+EX",--(DATOS!$G14902=CONFIG_METADATA!$B$4),IF(DATOS!$G14902="EX",1,IF(DATOS!$G14902="OR",--(COUNTIFS(nNIA,DATOS!$A14902,nCURSO,DATOS!$D14902,nESPEC,DATOS!$E14902,nASIG,DATOS!$I14902,nEVAL,"EX")=0),0))))</f>
      </c>
      <c r="H14902">
        <f>IF(DATOS!$G14902&lt;&gt;"EX",0,--(COUNTIFS(nNIA,DATOS!$A14902,nCURSO,DATOS!$D14902,nESPEC,DATOS!$E14902,nASIG,DATOS!$I14902,nEVAL,"OR")=0))</f>
      </c>
      <c r="I14902">
        <f>IF(DATOS!$I14902="","",IFERROR(VLOOKUP(DATOS!$I14902,CONFIG_ASIGNATURAS!$B$2:$J$91,9,FALSE()),""))</f>
      </c>
    </row>
    <row r="14903">
      <c r="F14903">
        <f>IF(DATOS!$A14903="","",DATOS!$A14903&amp;"|"&amp;DATOS!$D14903&amp;"|"&amp;DATOS!$E14903&amp;"|"&amp;DATOS!$I14903)</f>
      </c>
      <c r="G14903">
        <f>IF(DATOS!$A14903="",0,IF(CONFIG_METADATA!$B$4&lt;&gt;"OR+EX",--(DATOS!$G14903=CONFIG_METADATA!$B$4),IF(DATOS!$G14903="EX",1,IF(DATOS!$G14903="OR",--(COUNTIFS(nNIA,DATOS!$A14903,nCURSO,DATOS!$D14903,nESPEC,DATOS!$E14903,nASIG,DATOS!$I14903,nEVAL,"EX")=0),0))))</f>
      </c>
      <c r="H14903">
        <f>IF(DATOS!$G14903&lt;&gt;"EX",0,--(COUNTIFS(nNIA,DATOS!$A14903,nCURSO,DATOS!$D14903,nESPEC,DATOS!$E14903,nASIG,DATOS!$I14903,nEVAL,"OR")=0))</f>
      </c>
      <c r="I14903">
        <f>IF(DATOS!$I14903="","",IFERROR(VLOOKUP(DATOS!$I14903,CONFIG_ASIGNATURAS!$B$2:$J$91,9,FALSE()),""))</f>
      </c>
    </row>
    <row r="14904">
      <c r="F14904">
        <f>IF(DATOS!$A14904="","",DATOS!$A14904&amp;"|"&amp;DATOS!$D14904&amp;"|"&amp;DATOS!$E14904&amp;"|"&amp;DATOS!$I14904)</f>
      </c>
      <c r="G14904">
        <f>IF(DATOS!$A14904="",0,IF(CONFIG_METADATA!$B$4&lt;&gt;"OR+EX",--(DATOS!$G14904=CONFIG_METADATA!$B$4),IF(DATOS!$G14904="EX",1,IF(DATOS!$G14904="OR",--(COUNTIFS(nNIA,DATOS!$A14904,nCURSO,DATOS!$D14904,nESPEC,DATOS!$E14904,nASIG,DATOS!$I14904,nEVAL,"EX")=0),0))))</f>
      </c>
      <c r="H14904">
        <f>IF(DATOS!$G14904&lt;&gt;"EX",0,--(COUNTIFS(nNIA,DATOS!$A14904,nCURSO,DATOS!$D14904,nESPEC,DATOS!$E14904,nASIG,DATOS!$I14904,nEVAL,"OR")=0))</f>
      </c>
      <c r="I14904">
        <f>IF(DATOS!$I14904="","",IFERROR(VLOOKUP(DATOS!$I14904,CONFIG_ASIGNATURAS!$B$2:$J$91,9,FALSE()),""))</f>
      </c>
    </row>
    <row r="14905">
      <c r="F14905">
        <f>IF(DATOS!$A14905="","",DATOS!$A14905&amp;"|"&amp;DATOS!$D14905&amp;"|"&amp;DATOS!$E14905&amp;"|"&amp;DATOS!$I14905)</f>
      </c>
      <c r="G14905">
        <f>IF(DATOS!$A14905="",0,IF(CONFIG_METADATA!$B$4&lt;&gt;"OR+EX",--(DATOS!$G14905=CONFIG_METADATA!$B$4),IF(DATOS!$G14905="EX",1,IF(DATOS!$G14905="OR",--(COUNTIFS(nNIA,DATOS!$A14905,nCURSO,DATOS!$D14905,nESPEC,DATOS!$E14905,nASIG,DATOS!$I14905,nEVAL,"EX")=0),0))))</f>
      </c>
      <c r="H14905">
        <f>IF(DATOS!$G14905&lt;&gt;"EX",0,--(COUNTIFS(nNIA,DATOS!$A14905,nCURSO,DATOS!$D14905,nESPEC,DATOS!$E14905,nASIG,DATOS!$I14905,nEVAL,"OR")=0))</f>
      </c>
      <c r="I14905">
        <f>IF(DATOS!$I14905="","",IFERROR(VLOOKUP(DATOS!$I14905,CONFIG_ASIGNATURAS!$B$2:$J$91,9,FALSE()),""))</f>
      </c>
    </row>
    <row r="14906">
      <c r="F14906">
        <f>IF(DATOS!$A14906="","",DATOS!$A14906&amp;"|"&amp;DATOS!$D14906&amp;"|"&amp;DATOS!$E14906&amp;"|"&amp;DATOS!$I14906)</f>
      </c>
      <c r="G14906">
        <f>IF(DATOS!$A14906="",0,IF(CONFIG_METADATA!$B$4&lt;&gt;"OR+EX",--(DATOS!$G14906=CONFIG_METADATA!$B$4),IF(DATOS!$G14906="EX",1,IF(DATOS!$G14906="OR",--(COUNTIFS(nNIA,DATOS!$A14906,nCURSO,DATOS!$D14906,nESPEC,DATOS!$E14906,nASIG,DATOS!$I14906,nEVAL,"EX")=0),0))))</f>
      </c>
      <c r="H14906">
        <f>IF(DATOS!$G14906&lt;&gt;"EX",0,--(COUNTIFS(nNIA,DATOS!$A14906,nCURSO,DATOS!$D14906,nESPEC,DATOS!$E14906,nASIG,DATOS!$I14906,nEVAL,"OR")=0))</f>
      </c>
      <c r="I14906">
        <f>IF(DATOS!$I14906="","",IFERROR(VLOOKUP(DATOS!$I14906,CONFIG_ASIGNATURAS!$B$2:$J$91,9,FALSE()),""))</f>
      </c>
    </row>
    <row r="14907">
      <c r="F14907">
        <f>IF(DATOS!$A14907="","",DATOS!$A14907&amp;"|"&amp;DATOS!$D14907&amp;"|"&amp;DATOS!$E14907&amp;"|"&amp;DATOS!$I14907)</f>
      </c>
      <c r="G14907">
        <f>IF(DATOS!$A14907="",0,IF(CONFIG_METADATA!$B$4&lt;&gt;"OR+EX",--(DATOS!$G14907=CONFIG_METADATA!$B$4),IF(DATOS!$G14907="EX",1,IF(DATOS!$G14907="OR",--(COUNTIFS(nNIA,DATOS!$A14907,nCURSO,DATOS!$D14907,nESPEC,DATOS!$E14907,nASIG,DATOS!$I14907,nEVAL,"EX")=0),0))))</f>
      </c>
      <c r="H14907">
        <f>IF(DATOS!$G14907&lt;&gt;"EX",0,--(COUNTIFS(nNIA,DATOS!$A14907,nCURSO,DATOS!$D14907,nESPEC,DATOS!$E14907,nASIG,DATOS!$I14907,nEVAL,"OR")=0))</f>
      </c>
      <c r="I14907">
        <f>IF(DATOS!$I14907="","",IFERROR(VLOOKUP(DATOS!$I14907,CONFIG_ASIGNATURAS!$B$2:$J$91,9,FALSE()),""))</f>
      </c>
    </row>
    <row r="14908">
      <c r="F14908">
        <f>IF(DATOS!$A14908="","",DATOS!$A14908&amp;"|"&amp;DATOS!$D14908&amp;"|"&amp;DATOS!$E14908&amp;"|"&amp;DATOS!$I14908)</f>
      </c>
      <c r="G14908">
        <f>IF(DATOS!$A14908="",0,IF(CONFIG_METADATA!$B$4&lt;&gt;"OR+EX",--(DATOS!$G14908=CONFIG_METADATA!$B$4),IF(DATOS!$G14908="EX",1,IF(DATOS!$G14908="OR",--(COUNTIFS(nNIA,DATOS!$A14908,nCURSO,DATOS!$D14908,nESPEC,DATOS!$E14908,nASIG,DATOS!$I14908,nEVAL,"EX")=0),0))))</f>
      </c>
      <c r="H14908">
        <f>IF(DATOS!$G14908&lt;&gt;"EX",0,--(COUNTIFS(nNIA,DATOS!$A14908,nCURSO,DATOS!$D14908,nESPEC,DATOS!$E14908,nASIG,DATOS!$I14908,nEVAL,"OR")=0))</f>
      </c>
      <c r="I14908">
        <f>IF(DATOS!$I14908="","",IFERROR(VLOOKUP(DATOS!$I14908,CONFIG_ASIGNATURAS!$B$2:$J$91,9,FALSE()),""))</f>
      </c>
    </row>
    <row r="14909">
      <c r="F14909">
        <f>IF(DATOS!$A14909="","",DATOS!$A14909&amp;"|"&amp;DATOS!$D14909&amp;"|"&amp;DATOS!$E14909&amp;"|"&amp;DATOS!$I14909)</f>
      </c>
      <c r="G14909">
        <f>IF(DATOS!$A14909="",0,IF(CONFIG_METADATA!$B$4&lt;&gt;"OR+EX",--(DATOS!$G14909=CONFIG_METADATA!$B$4),IF(DATOS!$G14909="EX",1,IF(DATOS!$G14909="OR",--(COUNTIFS(nNIA,DATOS!$A14909,nCURSO,DATOS!$D14909,nESPEC,DATOS!$E14909,nASIG,DATOS!$I14909,nEVAL,"EX")=0),0))))</f>
      </c>
      <c r="H14909">
        <f>IF(DATOS!$G14909&lt;&gt;"EX",0,--(COUNTIFS(nNIA,DATOS!$A14909,nCURSO,DATOS!$D14909,nESPEC,DATOS!$E14909,nASIG,DATOS!$I14909,nEVAL,"OR")=0))</f>
      </c>
      <c r="I14909">
        <f>IF(DATOS!$I14909="","",IFERROR(VLOOKUP(DATOS!$I14909,CONFIG_ASIGNATURAS!$B$2:$J$91,9,FALSE()),""))</f>
      </c>
    </row>
    <row r="14910">
      <c r="F14910">
        <f>IF(DATOS!$A14910="","",DATOS!$A14910&amp;"|"&amp;DATOS!$D14910&amp;"|"&amp;DATOS!$E14910&amp;"|"&amp;DATOS!$I14910)</f>
      </c>
      <c r="G14910">
        <f>IF(DATOS!$A14910="",0,IF(CONFIG_METADATA!$B$4&lt;&gt;"OR+EX",--(DATOS!$G14910=CONFIG_METADATA!$B$4),IF(DATOS!$G14910="EX",1,IF(DATOS!$G14910="OR",--(COUNTIFS(nNIA,DATOS!$A14910,nCURSO,DATOS!$D14910,nESPEC,DATOS!$E14910,nASIG,DATOS!$I14910,nEVAL,"EX")=0),0))))</f>
      </c>
      <c r="H14910">
        <f>IF(DATOS!$G14910&lt;&gt;"EX",0,--(COUNTIFS(nNIA,DATOS!$A14910,nCURSO,DATOS!$D14910,nESPEC,DATOS!$E14910,nASIG,DATOS!$I14910,nEVAL,"OR")=0))</f>
      </c>
      <c r="I14910">
        <f>IF(DATOS!$I14910="","",IFERROR(VLOOKUP(DATOS!$I14910,CONFIG_ASIGNATURAS!$B$2:$J$91,9,FALSE()),""))</f>
      </c>
    </row>
    <row r="14911">
      <c r="F14911">
        <f>IF(DATOS!$A14911="","",DATOS!$A14911&amp;"|"&amp;DATOS!$D14911&amp;"|"&amp;DATOS!$E14911&amp;"|"&amp;DATOS!$I14911)</f>
      </c>
      <c r="G14911">
        <f>IF(DATOS!$A14911="",0,IF(CONFIG_METADATA!$B$4&lt;&gt;"OR+EX",--(DATOS!$G14911=CONFIG_METADATA!$B$4),IF(DATOS!$G14911="EX",1,IF(DATOS!$G14911="OR",--(COUNTIFS(nNIA,DATOS!$A14911,nCURSO,DATOS!$D14911,nESPEC,DATOS!$E14911,nASIG,DATOS!$I14911,nEVAL,"EX")=0),0))))</f>
      </c>
      <c r="H14911">
        <f>IF(DATOS!$G14911&lt;&gt;"EX",0,--(COUNTIFS(nNIA,DATOS!$A14911,nCURSO,DATOS!$D14911,nESPEC,DATOS!$E14911,nASIG,DATOS!$I14911,nEVAL,"OR")=0))</f>
      </c>
      <c r="I14911">
        <f>IF(DATOS!$I14911="","",IFERROR(VLOOKUP(DATOS!$I14911,CONFIG_ASIGNATURAS!$B$2:$J$91,9,FALSE()),""))</f>
      </c>
    </row>
    <row r="14912">
      <c r="F14912">
        <f>IF(DATOS!$A14912="","",DATOS!$A14912&amp;"|"&amp;DATOS!$D14912&amp;"|"&amp;DATOS!$E14912&amp;"|"&amp;DATOS!$I14912)</f>
      </c>
      <c r="G14912">
        <f>IF(DATOS!$A14912="",0,IF(CONFIG_METADATA!$B$4&lt;&gt;"OR+EX",--(DATOS!$G14912=CONFIG_METADATA!$B$4),IF(DATOS!$G14912="EX",1,IF(DATOS!$G14912="OR",--(COUNTIFS(nNIA,DATOS!$A14912,nCURSO,DATOS!$D14912,nESPEC,DATOS!$E14912,nASIG,DATOS!$I14912,nEVAL,"EX")=0),0))))</f>
      </c>
      <c r="H14912">
        <f>IF(DATOS!$G14912&lt;&gt;"EX",0,--(COUNTIFS(nNIA,DATOS!$A14912,nCURSO,DATOS!$D14912,nESPEC,DATOS!$E14912,nASIG,DATOS!$I14912,nEVAL,"OR")=0))</f>
      </c>
      <c r="I14912">
        <f>IF(DATOS!$I14912="","",IFERROR(VLOOKUP(DATOS!$I14912,CONFIG_ASIGNATURAS!$B$2:$J$91,9,FALSE()),""))</f>
      </c>
    </row>
    <row r="14913">
      <c r="F14913">
        <f>IF(DATOS!$A14913="","",DATOS!$A14913&amp;"|"&amp;DATOS!$D14913&amp;"|"&amp;DATOS!$E14913&amp;"|"&amp;DATOS!$I14913)</f>
      </c>
      <c r="G14913">
        <f>IF(DATOS!$A14913="",0,IF(CONFIG_METADATA!$B$4&lt;&gt;"OR+EX",--(DATOS!$G14913=CONFIG_METADATA!$B$4),IF(DATOS!$G14913="EX",1,IF(DATOS!$G14913="OR",--(COUNTIFS(nNIA,DATOS!$A14913,nCURSO,DATOS!$D14913,nESPEC,DATOS!$E14913,nASIG,DATOS!$I14913,nEVAL,"EX")=0),0))))</f>
      </c>
      <c r="H14913">
        <f>IF(DATOS!$G14913&lt;&gt;"EX",0,--(COUNTIFS(nNIA,DATOS!$A14913,nCURSO,DATOS!$D14913,nESPEC,DATOS!$E14913,nASIG,DATOS!$I14913,nEVAL,"OR")=0))</f>
      </c>
      <c r="I14913">
        <f>IF(DATOS!$I14913="","",IFERROR(VLOOKUP(DATOS!$I14913,CONFIG_ASIGNATURAS!$B$2:$J$91,9,FALSE()),""))</f>
      </c>
    </row>
    <row r="14914">
      <c r="F14914">
        <f>IF(DATOS!$A14914="","",DATOS!$A14914&amp;"|"&amp;DATOS!$D14914&amp;"|"&amp;DATOS!$E14914&amp;"|"&amp;DATOS!$I14914)</f>
      </c>
      <c r="G14914">
        <f>IF(DATOS!$A14914="",0,IF(CONFIG_METADATA!$B$4&lt;&gt;"OR+EX",--(DATOS!$G14914=CONFIG_METADATA!$B$4),IF(DATOS!$G14914="EX",1,IF(DATOS!$G14914="OR",--(COUNTIFS(nNIA,DATOS!$A14914,nCURSO,DATOS!$D14914,nESPEC,DATOS!$E14914,nASIG,DATOS!$I14914,nEVAL,"EX")=0),0))))</f>
      </c>
      <c r="H14914">
        <f>IF(DATOS!$G14914&lt;&gt;"EX",0,--(COUNTIFS(nNIA,DATOS!$A14914,nCURSO,DATOS!$D14914,nESPEC,DATOS!$E14914,nASIG,DATOS!$I14914,nEVAL,"OR")=0))</f>
      </c>
      <c r="I14914">
        <f>IF(DATOS!$I14914="","",IFERROR(VLOOKUP(DATOS!$I14914,CONFIG_ASIGNATURAS!$B$2:$J$91,9,FALSE()),""))</f>
      </c>
    </row>
    <row r="14915">
      <c r="F14915">
        <f>IF(DATOS!$A14915="","",DATOS!$A14915&amp;"|"&amp;DATOS!$D14915&amp;"|"&amp;DATOS!$E14915&amp;"|"&amp;DATOS!$I14915)</f>
      </c>
      <c r="G14915">
        <f>IF(DATOS!$A14915="",0,IF(CONFIG_METADATA!$B$4&lt;&gt;"OR+EX",--(DATOS!$G14915=CONFIG_METADATA!$B$4),IF(DATOS!$G14915="EX",1,IF(DATOS!$G14915="OR",--(COUNTIFS(nNIA,DATOS!$A14915,nCURSO,DATOS!$D14915,nESPEC,DATOS!$E14915,nASIG,DATOS!$I14915,nEVAL,"EX")=0),0))))</f>
      </c>
      <c r="H14915">
        <f>IF(DATOS!$G14915&lt;&gt;"EX",0,--(COUNTIFS(nNIA,DATOS!$A14915,nCURSO,DATOS!$D14915,nESPEC,DATOS!$E14915,nASIG,DATOS!$I14915,nEVAL,"OR")=0))</f>
      </c>
      <c r="I14915">
        <f>IF(DATOS!$I14915="","",IFERROR(VLOOKUP(DATOS!$I14915,CONFIG_ASIGNATURAS!$B$2:$J$91,9,FALSE()),""))</f>
      </c>
    </row>
    <row r="14916">
      <c r="F14916">
        <f>IF(DATOS!$A14916="","",DATOS!$A14916&amp;"|"&amp;DATOS!$D14916&amp;"|"&amp;DATOS!$E14916&amp;"|"&amp;DATOS!$I14916)</f>
      </c>
      <c r="G14916">
        <f>IF(DATOS!$A14916="",0,IF(CONFIG_METADATA!$B$4&lt;&gt;"OR+EX",--(DATOS!$G14916=CONFIG_METADATA!$B$4),IF(DATOS!$G14916="EX",1,IF(DATOS!$G14916="OR",--(COUNTIFS(nNIA,DATOS!$A14916,nCURSO,DATOS!$D14916,nESPEC,DATOS!$E14916,nASIG,DATOS!$I14916,nEVAL,"EX")=0),0))))</f>
      </c>
      <c r="H14916">
        <f>IF(DATOS!$G14916&lt;&gt;"EX",0,--(COUNTIFS(nNIA,DATOS!$A14916,nCURSO,DATOS!$D14916,nESPEC,DATOS!$E14916,nASIG,DATOS!$I14916,nEVAL,"OR")=0))</f>
      </c>
      <c r="I14916">
        <f>IF(DATOS!$I14916="","",IFERROR(VLOOKUP(DATOS!$I14916,CONFIG_ASIGNATURAS!$B$2:$J$91,9,FALSE()),""))</f>
      </c>
    </row>
    <row r="14917">
      <c r="F14917">
        <f>IF(DATOS!$A14917="","",DATOS!$A14917&amp;"|"&amp;DATOS!$D14917&amp;"|"&amp;DATOS!$E14917&amp;"|"&amp;DATOS!$I14917)</f>
      </c>
      <c r="G14917">
        <f>IF(DATOS!$A14917="",0,IF(CONFIG_METADATA!$B$4&lt;&gt;"OR+EX",--(DATOS!$G14917=CONFIG_METADATA!$B$4),IF(DATOS!$G14917="EX",1,IF(DATOS!$G14917="OR",--(COUNTIFS(nNIA,DATOS!$A14917,nCURSO,DATOS!$D14917,nESPEC,DATOS!$E14917,nASIG,DATOS!$I14917,nEVAL,"EX")=0),0))))</f>
      </c>
      <c r="H14917">
        <f>IF(DATOS!$G14917&lt;&gt;"EX",0,--(COUNTIFS(nNIA,DATOS!$A14917,nCURSO,DATOS!$D14917,nESPEC,DATOS!$E14917,nASIG,DATOS!$I14917,nEVAL,"OR")=0))</f>
      </c>
      <c r="I14917">
        <f>IF(DATOS!$I14917="","",IFERROR(VLOOKUP(DATOS!$I14917,CONFIG_ASIGNATURAS!$B$2:$J$91,9,FALSE()),""))</f>
      </c>
    </row>
    <row r="14918">
      <c r="F14918">
        <f>IF(DATOS!$A14918="","",DATOS!$A14918&amp;"|"&amp;DATOS!$D14918&amp;"|"&amp;DATOS!$E14918&amp;"|"&amp;DATOS!$I14918)</f>
      </c>
      <c r="G14918">
        <f>IF(DATOS!$A14918="",0,IF(CONFIG_METADATA!$B$4&lt;&gt;"OR+EX",--(DATOS!$G14918=CONFIG_METADATA!$B$4),IF(DATOS!$G14918="EX",1,IF(DATOS!$G14918="OR",--(COUNTIFS(nNIA,DATOS!$A14918,nCURSO,DATOS!$D14918,nESPEC,DATOS!$E14918,nASIG,DATOS!$I14918,nEVAL,"EX")=0),0))))</f>
      </c>
      <c r="H14918">
        <f>IF(DATOS!$G14918&lt;&gt;"EX",0,--(COUNTIFS(nNIA,DATOS!$A14918,nCURSO,DATOS!$D14918,nESPEC,DATOS!$E14918,nASIG,DATOS!$I14918,nEVAL,"OR")=0))</f>
      </c>
      <c r="I14918">
        <f>IF(DATOS!$I14918="","",IFERROR(VLOOKUP(DATOS!$I14918,CONFIG_ASIGNATURAS!$B$2:$J$91,9,FALSE()),""))</f>
      </c>
    </row>
    <row r="14919">
      <c r="F14919">
        <f>IF(DATOS!$A14919="","",DATOS!$A14919&amp;"|"&amp;DATOS!$D14919&amp;"|"&amp;DATOS!$E14919&amp;"|"&amp;DATOS!$I14919)</f>
      </c>
      <c r="G14919">
        <f>IF(DATOS!$A14919="",0,IF(CONFIG_METADATA!$B$4&lt;&gt;"OR+EX",--(DATOS!$G14919=CONFIG_METADATA!$B$4),IF(DATOS!$G14919="EX",1,IF(DATOS!$G14919="OR",--(COUNTIFS(nNIA,DATOS!$A14919,nCURSO,DATOS!$D14919,nESPEC,DATOS!$E14919,nASIG,DATOS!$I14919,nEVAL,"EX")=0),0))))</f>
      </c>
      <c r="H14919">
        <f>IF(DATOS!$G14919&lt;&gt;"EX",0,--(COUNTIFS(nNIA,DATOS!$A14919,nCURSO,DATOS!$D14919,nESPEC,DATOS!$E14919,nASIG,DATOS!$I14919,nEVAL,"OR")=0))</f>
      </c>
      <c r="I14919">
        <f>IF(DATOS!$I14919="","",IFERROR(VLOOKUP(DATOS!$I14919,CONFIG_ASIGNATURAS!$B$2:$J$91,9,FALSE()),""))</f>
      </c>
    </row>
    <row r="14920">
      <c r="F14920">
        <f>IF(DATOS!$A14920="","",DATOS!$A14920&amp;"|"&amp;DATOS!$D14920&amp;"|"&amp;DATOS!$E14920&amp;"|"&amp;DATOS!$I14920)</f>
      </c>
      <c r="G14920">
        <f>IF(DATOS!$A14920="",0,IF(CONFIG_METADATA!$B$4&lt;&gt;"OR+EX",--(DATOS!$G14920=CONFIG_METADATA!$B$4),IF(DATOS!$G14920="EX",1,IF(DATOS!$G14920="OR",--(COUNTIFS(nNIA,DATOS!$A14920,nCURSO,DATOS!$D14920,nESPEC,DATOS!$E14920,nASIG,DATOS!$I14920,nEVAL,"EX")=0),0))))</f>
      </c>
      <c r="H14920">
        <f>IF(DATOS!$G14920&lt;&gt;"EX",0,--(COUNTIFS(nNIA,DATOS!$A14920,nCURSO,DATOS!$D14920,nESPEC,DATOS!$E14920,nASIG,DATOS!$I14920,nEVAL,"OR")=0))</f>
      </c>
      <c r="I14920">
        <f>IF(DATOS!$I14920="","",IFERROR(VLOOKUP(DATOS!$I14920,CONFIG_ASIGNATURAS!$B$2:$J$91,9,FALSE()),""))</f>
      </c>
    </row>
    <row r="14921">
      <c r="F14921">
        <f>IF(DATOS!$A14921="","",DATOS!$A14921&amp;"|"&amp;DATOS!$D14921&amp;"|"&amp;DATOS!$E14921&amp;"|"&amp;DATOS!$I14921)</f>
      </c>
      <c r="G14921">
        <f>IF(DATOS!$A14921="",0,IF(CONFIG_METADATA!$B$4&lt;&gt;"OR+EX",--(DATOS!$G14921=CONFIG_METADATA!$B$4),IF(DATOS!$G14921="EX",1,IF(DATOS!$G14921="OR",--(COUNTIFS(nNIA,DATOS!$A14921,nCURSO,DATOS!$D14921,nESPEC,DATOS!$E14921,nASIG,DATOS!$I14921,nEVAL,"EX")=0),0))))</f>
      </c>
      <c r="H14921">
        <f>IF(DATOS!$G14921&lt;&gt;"EX",0,--(COUNTIFS(nNIA,DATOS!$A14921,nCURSO,DATOS!$D14921,nESPEC,DATOS!$E14921,nASIG,DATOS!$I14921,nEVAL,"OR")=0))</f>
      </c>
      <c r="I14921">
        <f>IF(DATOS!$I14921="","",IFERROR(VLOOKUP(DATOS!$I14921,CONFIG_ASIGNATURAS!$B$2:$J$91,9,FALSE()),""))</f>
      </c>
    </row>
    <row r="14922">
      <c r="F14922">
        <f>IF(DATOS!$A14922="","",DATOS!$A14922&amp;"|"&amp;DATOS!$D14922&amp;"|"&amp;DATOS!$E14922&amp;"|"&amp;DATOS!$I14922)</f>
      </c>
      <c r="G14922">
        <f>IF(DATOS!$A14922="",0,IF(CONFIG_METADATA!$B$4&lt;&gt;"OR+EX",--(DATOS!$G14922=CONFIG_METADATA!$B$4),IF(DATOS!$G14922="EX",1,IF(DATOS!$G14922="OR",--(COUNTIFS(nNIA,DATOS!$A14922,nCURSO,DATOS!$D14922,nESPEC,DATOS!$E14922,nASIG,DATOS!$I14922,nEVAL,"EX")=0),0))))</f>
      </c>
      <c r="H14922">
        <f>IF(DATOS!$G14922&lt;&gt;"EX",0,--(COUNTIFS(nNIA,DATOS!$A14922,nCURSO,DATOS!$D14922,nESPEC,DATOS!$E14922,nASIG,DATOS!$I14922,nEVAL,"OR")=0))</f>
      </c>
      <c r="I14922">
        <f>IF(DATOS!$I14922="","",IFERROR(VLOOKUP(DATOS!$I14922,CONFIG_ASIGNATURAS!$B$2:$J$91,9,FALSE()),""))</f>
      </c>
    </row>
    <row r="14923">
      <c r="F14923">
        <f>IF(DATOS!$A14923="","",DATOS!$A14923&amp;"|"&amp;DATOS!$D14923&amp;"|"&amp;DATOS!$E14923&amp;"|"&amp;DATOS!$I14923)</f>
      </c>
      <c r="G14923">
        <f>IF(DATOS!$A14923="",0,IF(CONFIG_METADATA!$B$4&lt;&gt;"OR+EX",--(DATOS!$G14923=CONFIG_METADATA!$B$4),IF(DATOS!$G14923="EX",1,IF(DATOS!$G14923="OR",--(COUNTIFS(nNIA,DATOS!$A14923,nCURSO,DATOS!$D14923,nESPEC,DATOS!$E14923,nASIG,DATOS!$I14923,nEVAL,"EX")=0),0))))</f>
      </c>
      <c r="H14923">
        <f>IF(DATOS!$G14923&lt;&gt;"EX",0,--(COUNTIFS(nNIA,DATOS!$A14923,nCURSO,DATOS!$D14923,nESPEC,DATOS!$E14923,nASIG,DATOS!$I14923,nEVAL,"OR")=0))</f>
      </c>
      <c r="I14923">
        <f>IF(DATOS!$I14923="","",IFERROR(VLOOKUP(DATOS!$I14923,CONFIG_ASIGNATURAS!$B$2:$J$91,9,FALSE()),""))</f>
      </c>
    </row>
    <row r="14924">
      <c r="F14924">
        <f>IF(DATOS!$A14924="","",DATOS!$A14924&amp;"|"&amp;DATOS!$D14924&amp;"|"&amp;DATOS!$E14924&amp;"|"&amp;DATOS!$I14924)</f>
      </c>
      <c r="G14924">
        <f>IF(DATOS!$A14924="",0,IF(CONFIG_METADATA!$B$4&lt;&gt;"OR+EX",--(DATOS!$G14924=CONFIG_METADATA!$B$4),IF(DATOS!$G14924="EX",1,IF(DATOS!$G14924="OR",--(COUNTIFS(nNIA,DATOS!$A14924,nCURSO,DATOS!$D14924,nESPEC,DATOS!$E14924,nASIG,DATOS!$I14924,nEVAL,"EX")=0),0))))</f>
      </c>
      <c r="H14924">
        <f>IF(DATOS!$G14924&lt;&gt;"EX",0,--(COUNTIFS(nNIA,DATOS!$A14924,nCURSO,DATOS!$D14924,nESPEC,DATOS!$E14924,nASIG,DATOS!$I14924,nEVAL,"OR")=0))</f>
      </c>
      <c r="I14924">
        <f>IF(DATOS!$I14924="","",IFERROR(VLOOKUP(DATOS!$I14924,CONFIG_ASIGNATURAS!$B$2:$J$91,9,FALSE()),""))</f>
      </c>
    </row>
    <row r="14925">
      <c r="F14925">
        <f>IF(DATOS!$A14925="","",DATOS!$A14925&amp;"|"&amp;DATOS!$D14925&amp;"|"&amp;DATOS!$E14925&amp;"|"&amp;DATOS!$I14925)</f>
      </c>
      <c r="G14925">
        <f>IF(DATOS!$A14925="",0,IF(CONFIG_METADATA!$B$4&lt;&gt;"OR+EX",--(DATOS!$G14925=CONFIG_METADATA!$B$4),IF(DATOS!$G14925="EX",1,IF(DATOS!$G14925="OR",--(COUNTIFS(nNIA,DATOS!$A14925,nCURSO,DATOS!$D14925,nESPEC,DATOS!$E14925,nASIG,DATOS!$I14925,nEVAL,"EX")=0),0))))</f>
      </c>
      <c r="H14925">
        <f>IF(DATOS!$G14925&lt;&gt;"EX",0,--(COUNTIFS(nNIA,DATOS!$A14925,nCURSO,DATOS!$D14925,nESPEC,DATOS!$E14925,nASIG,DATOS!$I14925,nEVAL,"OR")=0))</f>
      </c>
      <c r="I14925">
        <f>IF(DATOS!$I14925="","",IFERROR(VLOOKUP(DATOS!$I14925,CONFIG_ASIGNATURAS!$B$2:$J$91,9,FALSE()),""))</f>
      </c>
    </row>
    <row r="14926">
      <c r="F14926">
        <f>IF(DATOS!$A14926="","",DATOS!$A14926&amp;"|"&amp;DATOS!$D14926&amp;"|"&amp;DATOS!$E14926&amp;"|"&amp;DATOS!$I14926)</f>
      </c>
      <c r="G14926">
        <f>IF(DATOS!$A14926="",0,IF(CONFIG_METADATA!$B$4&lt;&gt;"OR+EX",--(DATOS!$G14926=CONFIG_METADATA!$B$4),IF(DATOS!$G14926="EX",1,IF(DATOS!$G14926="OR",--(COUNTIFS(nNIA,DATOS!$A14926,nCURSO,DATOS!$D14926,nESPEC,DATOS!$E14926,nASIG,DATOS!$I14926,nEVAL,"EX")=0),0))))</f>
      </c>
      <c r="H14926">
        <f>IF(DATOS!$G14926&lt;&gt;"EX",0,--(COUNTIFS(nNIA,DATOS!$A14926,nCURSO,DATOS!$D14926,nESPEC,DATOS!$E14926,nASIG,DATOS!$I14926,nEVAL,"OR")=0))</f>
      </c>
      <c r="I14926">
        <f>IF(DATOS!$I14926="","",IFERROR(VLOOKUP(DATOS!$I14926,CONFIG_ASIGNATURAS!$B$2:$J$91,9,FALSE()),""))</f>
      </c>
    </row>
    <row r="14927">
      <c r="F14927">
        <f>IF(DATOS!$A14927="","",DATOS!$A14927&amp;"|"&amp;DATOS!$D14927&amp;"|"&amp;DATOS!$E14927&amp;"|"&amp;DATOS!$I14927)</f>
      </c>
      <c r="G14927">
        <f>IF(DATOS!$A14927="",0,IF(CONFIG_METADATA!$B$4&lt;&gt;"OR+EX",--(DATOS!$G14927=CONFIG_METADATA!$B$4),IF(DATOS!$G14927="EX",1,IF(DATOS!$G14927="OR",--(COUNTIFS(nNIA,DATOS!$A14927,nCURSO,DATOS!$D14927,nESPEC,DATOS!$E14927,nASIG,DATOS!$I14927,nEVAL,"EX")=0),0))))</f>
      </c>
      <c r="H14927">
        <f>IF(DATOS!$G14927&lt;&gt;"EX",0,--(COUNTIFS(nNIA,DATOS!$A14927,nCURSO,DATOS!$D14927,nESPEC,DATOS!$E14927,nASIG,DATOS!$I14927,nEVAL,"OR")=0))</f>
      </c>
      <c r="I14927">
        <f>IF(DATOS!$I14927="","",IFERROR(VLOOKUP(DATOS!$I14927,CONFIG_ASIGNATURAS!$B$2:$J$91,9,FALSE()),""))</f>
      </c>
    </row>
    <row r="14928">
      <c r="F14928">
        <f>IF(DATOS!$A14928="","",DATOS!$A14928&amp;"|"&amp;DATOS!$D14928&amp;"|"&amp;DATOS!$E14928&amp;"|"&amp;DATOS!$I14928)</f>
      </c>
      <c r="G14928">
        <f>IF(DATOS!$A14928="",0,IF(CONFIG_METADATA!$B$4&lt;&gt;"OR+EX",--(DATOS!$G14928=CONFIG_METADATA!$B$4),IF(DATOS!$G14928="EX",1,IF(DATOS!$G14928="OR",--(COUNTIFS(nNIA,DATOS!$A14928,nCURSO,DATOS!$D14928,nESPEC,DATOS!$E14928,nASIG,DATOS!$I14928,nEVAL,"EX")=0),0))))</f>
      </c>
      <c r="H14928">
        <f>IF(DATOS!$G14928&lt;&gt;"EX",0,--(COUNTIFS(nNIA,DATOS!$A14928,nCURSO,DATOS!$D14928,nESPEC,DATOS!$E14928,nASIG,DATOS!$I14928,nEVAL,"OR")=0))</f>
      </c>
      <c r="I14928">
        <f>IF(DATOS!$I14928="","",IFERROR(VLOOKUP(DATOS!$I14928,CONFIG_ASIGNATURAS!$B$2:$J$91,9,FALSE()),""))</f>
      </c>
    </row>
    <row r="14929">
      <c r="F14929">
        <f>IF(DATOS!$A14929="","",DATOS!$A14929&amp;"|"&amp;DATOS!$D14929&amp;"|"&amp;DATOS!$E14929&amp;"|"&amp;DATOS!$I14929)</f>
      </c>
      <c r="G14929">
        <f>IF(DATOS!$A14929="",0,IF(CONFIG_METADATA!$B$4&lt;&gt;"OR+EX",--(DATOS!$G14929=CONFIG_METADATA!$B$4),IF(DATOS!$G14929="EX",1,IF(DATOS!$G14929="OR",--(COUNTIFS(nNIA,DATOS!$A14929,nCURSO,DATOS!$D14929,nESPEC,DATOS!$E14929,nASIG,DATOS!$I14929,nEVAL,"EX")=0),0))))</f>
      </c>
      <c r="H14929">
        <f>IF(DATOS!$G14929&lt;&gt;"EX",0,--(COUNTIFS(nNIA,DATOS!$A14929,nCURSO,DATOS!$D14929,nESPEC,DATOS!$E14929,nASIG,DATOS!$I14929,nEVAL,"OR")=0))</f>
      </c>
      <c r="I14929">
        <f>IF(DATOS!$I14929="","",IFERROR(VLOOKUP(DATOS!$I14929,CONFIG_ASIGNATURAS!$B$2:$J$91,9,FALSE()),""))</f>
      </c>
    </row>
    <row r="14930">
      <c r="F14930">
        <f>IF(DATOS!$A14930="","",DATOS!$A14930&amp;"|"&amp;DATOS!$D14930&amp;"|"&amp;DATOS!$E14930&amp;"|"&amp;DATOS!$I14930)</f>
      </c>
      <c r="G14930">
        <f>IF(DATOS!$A14930="",0,IF(CONFIG_METADATA!$B$4&lt;&gt;"OR+EX",--(DATOS!$G14930=CONFIG_METADATA!$B$4),IF(DATOS!$G14930="EX",1,IF(DATOS!$G14930="OR",--(COUNTIFS(nNIA,DATOS!$A14930,nCURSO,DATOS!$D14930,nESPEC,DATOS!$E14930,nASIG,DATOS!$I14930,nEVAL,"EX")=0),0))))</f>
      </c>
      <c r="H14930">
        <f>IF(DATOS!$G14930&lt;&gt;"EX",0,--(COUNTIFS(nNIA,DATOS!$A14930,nCURSO,DATOS!$D14930,nESPEC,DATOS!$E14930,nASIG,DATOS!$I14930,nEVAL,"OR")=0))</f>
      </c>
      <c r="I14930">
        <f>IF(DATOS!$I14930="","",IFERROR(VLOOKUP(DATOS!$I14930,CONFIG_ASIGNATURAS!$B$2:$J$91,9,FALSE()),""))</f>
      </c>
    </row>
    <row r="14931">
      <c r="F14931">
        <f>IF(DATOS!$A14931="","",DATOS!$A14931&amp;"|"&amp;DATOS!$D14931&amp;"|"&amp;DATOS!$E14931&amp;"|"&amp;DATOS!$I14931)</f>
      </c>
      <c r="G14931">
        <f>IF(DATOS!$A14931="",0,IF(CONFIG_METADATA!$B$4&lt;&gt;"OR+EX",--(DATOS!$G14931=CONFIG_METADATA!$B$4),IF(DATOS!$G14931="EX",1,IF(DATOS!$G14931="OR",--(COUNTIFS(nNIA,DATOS!$A14931,nCURSO,DATOS!$D14931,nESPEC,DATOS!$E14931,nASIG,DATOS!$I14931,nEVAL,"EX")=0),0))))</f>
      </c>
      <c r="H14931">
        <f>IF(DATOS!$G14931&lt;&gt;"EX",0,--(COUNTIFS(nNIA,DATOS!$A14931,nCURSO,DATOS!$D14931,nESPEC,DATOS!$E14931,nASIG,DATOS!$I14931,nEVAL,"OR")=0))</f>
      </c>
      <c r="I14931">
        <f>IF(DATOS!$I14931="","",IFERROR(VLOOKUP(DATOS!$I14931,CONFIG_ASIGNATURAS!$B$2:$J$91,9,FALSE()),""))</f>
      </c>
    </row>
    <row r="14932">
      <c r="F14932">
        <f>IF(DATOS!$A14932="","",DATOS!$A14932&amp;"|"&amp;DATOS!$D14932&amp;"|"&amp;DATOS!$E14932&amp;"|"&amp;DATOS!$I14932)</f>
      </c>
      <c r="G14932">
        <f>IF(DATOS!$A14932="",0,IF(CONFIG_METADATA!$B$4&lt;&gt;"OR+EX",--(DATOS!$G14932=CONFIG_METADATA!$B$4),IF(DATOS!$G14932="EX",1,IF(DATOS!$G14932="OR",--(COUNTIFS(nNIA,DATOS!$A14932,nCURSO,DATOS!$D14932,nESPEC,DATOS!$E14932,nASIG,DATOS!$I14932,nEVAL,"EX")=0),0))))</f>
      </c>
      <c r="H14932">
        <f>IF(DATOS!$G14932&lt;&gt;"EX",0,--(COUNTIFS(nNIA,DATOS!$A14932,nCURSO,DATOS!$D14932,nESPEC,DATOS!$E14932,nASIG,DATOS!$I14932,nEVAL,"OR")=0))</f>
      </c>
      <c r="I14932">
        <f>IF(DATOS!$I14932="","",IFERROR(VLOOKUP(DATOS!$I14932,CONFIG_ASIGNATURAS!$B$2:$J$91,9,FALSE()),""))</f>
      </c>
    </row>
    <row r="14933">
      <c r="F14933">
        <f>IF(DATOS!$A14933="","",DATOS!$A14933&amp;"|"&amp;DATOS!$D14933&amp;"|"&amp;DATOS!$E14933&amp;"|"&amp;DATOS!$I14933)</f>
      </c>
      <c r="G14933">
        <f>IF(DATOS!$A14933="",0,IF(CONFIG_METADATA!$B$4&lt;&gt;"OR+EX",--(DATOS!$G14933=CONFIG_METADATA!$B$4),IF(DATOS!$G14933="EX",1,IF(DATOS!$G14933="OR",--(COUNTIFS(nNIA,DATOS!$A14933,nCURSO,DATOS!$D14933,nESPEC,DATOS!$E14933,nASIG,DATOS!$I14933,nEVAL,"EX")=0),0))))</f>
      </c>
      <c r="H14933">
        <f>IF(DATOS!$G14933&lt;&gt;"EX",0,--(COUNTIFS(nNIA,DATOS!$A14933,nCURSO,DATOS!$D14933,nESPEC,DATOS!$E14933,nASIG,DATOS!$I14933,nEVAL,"OR")=0))</f>
      </c>
      <c r="I14933">
        <f>IF(DATOS!$I14933="","",IFERROR(VLOOKUP(DATOS!$I14933,CONFIG_ASIGNATURAS!$B$2:$J$91,9,FALSE()),""))</f>
      </c>
    </row>
    <row r="14934">
      <c r="F14934">
        <f>IF(DATOS!$A14934="","",DATOS!$A14934&amp;"|"&amp;DATOS!$D14934&amp;"|"&amp;DATOS!$E14934&amp;"|"&amp;DATOS!$I14934)</f>
      </c>
      <c r="G14934">
        <f>IF(DATOS!$A14934="",0,IF(CONFIG_METADATA!$B$4&lt;&gt;"OR+EX",--(DATOS!$G14934=CONFIG_METADATA!$B$4),IF(DATOS!$G14934="EX",1,IF(DATOS!$G14934="OR",--(COUNTIFS(nNIA,DATOS!$A14934,nCURSO,DATOS!$D14934,nESPEC,DATOS!$E14934,nASIG,DATOS!$I14934,nEVAL,"EX")=0),0))))</f>
      </c>
      <c r="H14934">
        <f>IF(DATOS!$G14934&lt;&gt;"EX",0,--(COUNTIFS(nNIA,DATOS!$A14934,nCURSO,DATOS!$D14934,nESPEC,DATOS!$E14934,nASIG,DATOS!$I14934,nEVAL,"OR")=0))</f>
      </c>
      <c r="I14934">
        <f>IF(DATOS!$I14934="","",IFERROR(VLOOKUP(DATOS!$I14934,CONFIG_ASIGNATURAS!$B$2:$J$91,9,FALSE()),""))</f>
      </c>
    </row>
    <row r="14935">
      <c r="F14935">
        <f>IF(DATOS!$A14935="","",DATOS!$A14935&amp;"|"&amp;DATOS!$D14935&amp;"|"&amp;DATOS!$E14935&amp;"|"&amp;DATOS!$I14935)</f>
      </c>
      <c r="G14935">
        <f>IF(DATOS!$A14935="",0,IF(CONFIG_METADATA!$B$4&lt;&gt;"OR+EX",--(DATOS!$G14935=CONFIG_METADATA!$B$4),IF(DATOS!$G14935="EX",1,IF(DATOS!$G14935="OR",--(COUNTIFS(nNIA,DATOS!$A14935,nCURSO,DATOS!$D14935,nESPEC,DATOS!$E14935,nASIG,DATOS!$I14935,nEVAL,"EX")=0),0))))</f>
      </c>
      <c r="H14935">
        <f>IF(DATOS!$G14935&lt;&gt;"EX",0,--(COUNTIFS(nNIA,DATOS!$A14935,nCURSO,DATOS!$D14935,nESPEC,DATOS!$E14935,nASIG,DATOS!$I14935,nEVAL,"OR")=0))</f>
      </c>
      <c r="I14935">
        <f>IF(DATOS!$I14935="","",IFERROR(VLOOKUP(DATOS!$I14935,CONFIG_ASIGNATURAS!$B$2:$J$91,9,FALSE()),""))</f>
      </c>
    </row>
    <row r="14936">
      <c r="F14936">
        <f>IF(DATOS!$A14936="","",DATOS!$A14936&amp;"|"&amp;DATOS!$D14936&amp;"|"&amp;DATOS!$E14936&amp;"|"&amp;DATOS!$I14936)</f>
      </c>
      <c r="G14936">
        <f>IF(DATOS!$A14936="",0,IF(CONFIG_METADATA!$B$4&lt;&gt;"OR+EX",--(DATOS!$G14936=CONFIG_METADATA!$B$4),IF(DATOS!$G14936="EX",1,IF(DATOS!$G14936="OR",--(COUNTIFS(nNIA,DATOS!$A14936,nCURSO,DATOS!$D14936,nESPEC,DATOS!$E14936,nASIG,DATOS!$I14936,nEVAL,"EX")=0),0))))</f>
      </c>
      <c r="H14936">
        <f>IF(DATOS!$G14936&lt;&gt;"EX",0,--(COUNTIFS(nNIA,DATOS!$A14936,nCURSO,DATOS!$D14936,nESPEC,DATOS!$E14936,nASIG,DATOS!$I14936,nEVAL,"OR")=0))</f>
      </c>
      <c r="I14936">
        <f>IF(DATOS!$I14936="","",IFERROR(VLOOKUP(DATOS!$I14936,CONFIG_ASIGNATURAS!$B$2:$J$91,9,FALSE()),""))</f>
      </c>
    </row>
    <row r="14937">
      <c r="F14937">
        <f>IF(DATOS!$A14937="","",DATOS!$A14937&amp;"|"&amp;DATOS!$D14937&amp;"|"&amp;DATOS!$E14937&amp;"|"&amp;DATOS!$I14937)</f>
      </c>
      <c r="G14937">
        <f>IF(DATOS!$A14937="",0,IF(CONFIG_METADATA!$B$4&lt;&gt;"OR+EX",--(DATOS!$G14937=CONFIG_METADATA!$B$4),IF(DATOS!$G14937="EX",1,IF(DATOS!$G14937="OR",--(COUNTIFS(nNIA,DATOS!$A14937,nCURSO,DATOS!$D14937,nESPEC,DATOS!$E14937,nASIG,DATOS!$I14937,nEVAL,"EX")=0),0))))</f>
      </c>
      <c r="H14937">
        <f>IF(DATOS!$G14937&lt;&gt;"EX",0,--(COUNTIFS(nNIA,DATOS!$A14937,nCURSO,DATOS!$D14937,nESPEC,DATOS!$E14937,nASIG,DATOS!$I14937,nEVAL,"OR")=0))</f>
      </c>
      <c r="I14937">
        <f>IF(DATOS!$I14937="","",IFERROR(VLOOKUP(DATOS!$I14937,CONFIG_ASIGNATURAS!$B$2:$J$91,9,FALSE()),""))</f>
      </c>
    </row>
    <row r="14938">
      <c r="F14938">
        <f>IF(DATOS!$A14938="","",DATOS!$A14938&amp;"|"&amp;DATOS!$D14938&amp;"|"&amp;DATOS!$E14938&amp;"|"&amp;DATOS!$I14938)</f>
      </c>
      <c r="G14938">
        <f>IF(DATOS!$A14938="",0,IF(CONFIG_METADATA!$B$4&lt;&gt;"OR+EX",--(DATOS!$G14938=CONFIG_METADATA!$B$4),IF(DATOS!$G14938="EX",1,IF(DATOS!$G14938="OR",--(COUNTIFS(nNIA,DATOS!$A14938,nCURSO,DATOS!$D14938,nESPEC,DATOS!$E14938,nASIG,DATOS!$I14938,nEVAL,"EX")=0),0))))</f>
      </c>
      <c r="H14938">
        <f>IF(DATOS!$G14938&lt;&gt;"EX",0,--(COUNTIFS(nNIA,DATOS!$A14938,nCURSO,DATOS!$D14938,nESPEC,DATOS!$E14938,nASIG,DATOS!$I14938,nEVAL,"OR")=0))</f>
      </c>
      <c r="I14938">
        <f>IF(DATOS!$I14938="","",IFERROR(VLOOKUP(DATOS!$I14938,CONFIG_ASIGNATURAS!$B$2:$J$91,9,FALSE()),""))</f>
      </c>
    </row>
    <row r="14939">
      <c r="F14939">
        <f>IF(DATOS!$A14939="","",DATOS!$A14939&amp;"|"&amp;DATOS!$D14939&amp;"|"&amp;DATOS!$E14939&amp;"|"&amp;DATOS!$I14939)</f>
      </c>
      <c r="G14939">
        <f>IF(DATOS!$A14939="",0,IF(CONFIG_METADATA!$B$4&lt;&gt;"OR+EX",--(DATOS!$G14939=CONFIG_METADATA!$B$4),IF(DATOS!$G14939="EX",1,IF(DATOS!$G14939="OR",--(COUNTIFS(nNIA,DATOS!$A14939,nCURSO,DATOS!$D14939,nESPEC,DATOS!$E14939,nASIG,DATOS!$I14939,nEVAL,"EX")=0),0))))</f>
      </c>
      <c r="H14939">
        <f>IF(DATOS!$G14939&lt;&gt;"EX",0,--(COUNTIFS(nNIA,DATOS!$A14939,nCURSO,DATOS!$D14939,nESPEC,DATOS!$E14939,nASIG,DATOS!$I14939,nEVAL,"OR")=0))</f>
      </c>
      <c r="I14939">
        <f>IF(DATOS!$I14939="","",IFERROR(VLOOKUP(DATOS!$I14939,CONFIG_ASIGNATURAS!$B$2:$J$91,9,FALSE()),""))</f>
      </c>
    </row>
    <row r="14940">
      <c r="F14940">
        <f>IF(DATOS!$A14940="","",DATOS!$A14940&amp;"|"&amp;DATOS!$D14940&amp;"|"&amp;DATOS!$E14940&amp;"|"&amp;DATOS!$I14940)</f>
      </c>
      <c r="G14940">
        <f>IF(DATOS!$A14940="",0,IF(CONFIG_METADATA!$B$4&lt;&gt;"OR+EX",--(DATOS!$G14940=CONFIG_METADATA!$B$4),IF(DATOS!$G14940="EX",1,IF(DATOS!$G14940="OR",--(COUNTIFS(nNIA,DATOS!$A14940,nCURSO,DATOS!$D14940,nESPEC,DATOS!$E14940,nASIG,DATOS!$I14940,nEVAL,"EX")=0),0))))</f>
      </c>
      <c r="H14940">
        <f>IF(DATOS!$G14940&lt;&gt;"EX",0,--(COUNTIFS(nNIA,DATOS!$A14940,nCURSO,DATOS!$D14940,nESPEC,DATOS!$E14940,nASIG,DATOS!$I14940,nEVAL,"OR")=0))</f>
      </c>
      <c r="I14940">
        <f>IF(DATOS!$I14940="","",IFERROR(VLOOKUP(DATOS!$I14940,CONFIG_ASIGNATURAS!$B$2:$J$91,9,FALSE()),""))</f>
      </c>
    </row>
    <row r="14941">
      <c r="F14941">
        <f>IF(DATOS!$A14941="","",DATOS!$A14941&amp;"|"&amp;DATOS!$D14941&amp;"|"&amp;DATOS!$E14941&amp;"|"&amp;DATOS!$I14941)</f>
      </c>
      <c r="G14941">
        <f>IF(DATOS!$A14941="",0,IF(CONFIG_METADATA!$B$4&lt;&gt;"OR+EX",--(DATOS!$G14941=CONFIG_METADATA!$B$4),IF(DATOS!$G14941="EX",1,IF(DATOS!$G14941="OR",--(COUNTIFS(nNIA,DATOS!$A14941,nCURSO,DATOS!$D14941,nESPEC,DATOS!$E14941,nASIG,DATOS!$I14941,nEVAL,"EX")=0),0))))</f>
      </c>
      <c r="H14941">
        <f>IF(DATOS!$G14941&lt;&gt;"EX",0,--(COUNTIFS(nNIA,DATOS!$A14941,nCURSO,DATOS!$D14941,nESPEC,DATOS!$E14941,nASIG,DATOS!$I14941,nEVAL,"OR")=0))</f>
      </c>
      <c r="I14941">
        <f>IF(DATOS!$I14941="","",IFERROR(VLOOKUP(DATOS!$I14941,CONFIG_ASIGNATURAS!$B$2:$J$91,9,FALSE()),""))</f>
      </c>
    </row>
    <row r="14942">
      <c r="F14942">
        <f>IF(DATOS!$A14942="","",DATOS!$A14942&amp;"|"&amp;DATOS!$D14942&amp;"|"&amp;DATOS!$E14942&amp;"|"&amp;DATOS!$I14942)</f>
      </c>
      <c r="G14942">
        <f>IF(DATOS!$A14942="",0,IF(CONFIG_METADATA!$B$4&lt;&gt;"OR+EX",--(DATOS!$G14942=CONFIG_METADATA!$B$4),IF(DATOS!$G14942="EX",1,IF(DATOS!$G14942="OR",--(COUNTIFS(nNIA,DATOS!$A14942,nCURSO,DATOS!$D14942,nESPEC,DATOS!$E14942,nASIG,DATOS!$I14942,nEVAL,"EX")=0),0))))</f>
      </c>
      <c r="H14942">
        <f>IF(DATOS!$G14942&lt;&gt;"EX",0,--(COUNTIFS(nNIA,DATOS!$A14942,nCURSO,DATOS!$D14942,nESPEC,DATOS!$E14942,nASIG,DATOS!$I14942,nEVAL,"OR")=0))</f>
      </c>
      <c r="I14942">
        <f>IF(DATOS!$I14942="","",IFERROR(VLOOKUP(DATOS!$I14942,CONFIG_ASIGNATURAS!$B$2:$J$91,9,FALSE()),""))</f>
      </c>
    </row>
    <row r="14943">
      <c r="F14943">
        <f>IF(DATOS!$A14943="","",DATOS!$A14943&amp;"|"&amp;DATOS!$D14943&amp;"|"&amp;DATOS!$E14943&amp;"|"&amp;DATOS!$I14943)</f>
      </c>
      <c r="G14943">
        <f>IF(DATOS!$A14943="",0,IF(CONFIG_METADATA!$B$4&lt;&gt;"OR+EX",--(DATOS!$G14943=CONFIG_METADATA!$B$4),IF(DATOS!$G14943="EX",1,IF(DATOS!$G14943="OR",--(COUNTIFS(nNIA,DATOS!$A14943,nCURSO,DATOS!$D14943,nESPEC,DATOS!$E14943,nASIG,DATOS!$I14943,nEVAL,"EX")=0),0))))</f>
      </c>
      <c r="H14943">
        <f>IF(DATOS!$G14943&lt;&gt;"EX",0,--(COUNTIFS(nNIA,DATOS!$A14943,nCURSO,DATOS!$D14943,nESPEC,DATOS!$E14943,nASIG,DATOS!$I14943,nEVAL,"OR")=0))</f>
      </c>
      <c r="I14943">
        <f>IF(DATOS!$I14943="","",IFERROR(VLOOKUP(DATOS!$I14943,CONFIG_ASIGNATURAS!$B$2:$J$91,9,FALSE()),""))</f>
      </c>
    </row>
    <row r="14944">
      <c r="F14944">
        <f>IF(DATOS!$A14944="","",DATOS!$A14944&amp;"|"&amp;DATOS!$D14944&amp;"|"&amp;DATOS!$E14944&amp;"|"&amp;DATOS!$I14944)</f>
      </c>
      <c r="G14944">
        <f>IF(DATOS!$A14944="",0,IF(CONFIG_METADATA!$B$4&lt;&gt;"OR+EX",--(DATOS!$G14944=CONFIG_METADATA!$B$4),IF(DATOS!$G14944="EX",1,IF(DATOS!$G14944="OR",--(COUNTIFS(nNIA,DATOS!$A14944,nCURSO,DATOS!$D14944,nESPEC,DATOS!$E14944,nASIG,DATOS!$I14944,nEVAL,"EX")=0),0))))</f>
      </c>
      <c r="H14944">
        <f>IF(DATOS!$G14944&lt;&gt;"EX",0,--(COUNTIFS(nNIA,DATOS!$A14944,nCURSO,DATOS!$D14944,nESPEC,DATOS!$E14944,nASIG,DATOS!$I14944,nEVAL,"OR")=0))</f>
      </c>
      <c r="I14944">
        <f>IF(DATOS!$I14944="","",IFERROR(VLOOKUP(DATOS!$I14944,CONFIG_ASIGNATURAS!$B$2:$J$91,9,FALSE()),""))</f>
      </c>
    </row>
    <row r="14945">
      <c r="F14945">
        <f>IF(DATOS!$A14945="","",DATOS!$A14945&amp;"|"&amp;DATOS!$D14945&amp;"|"&amp;DATOS!$E14945&amp;"|"&amp;DATOS!$I14945)</f>
      </c>
      <c r="G14945">
        <f>IF(DATOS!$A14945="",0,IF(CONFIG_METADATA!$B$4&lt;&gt;"OR+EX",--(DATOS!$G14945=CONFIG_METADATA!$B$4),IF(DATOS!$G14945="EX",1,IF(DATOS!$G14945="OR",--(COUNTIFS(nNIA,DATOS!$A14945,nCURSO,DATOS!$D14945,nESPEC,DATOS!$E14945,nASIG,DATOS!$I14945,nEVAL,"EX")=0),0))))</f>
      </c>
      <c r="H14945">
        <f>IF(DATOS!$G14945&lt;&gt;"EX",0,--(COUNTIFS(nNIA,DATOS!$A14945,nCURSO,DATOS!$D14945,nESPEC,DATOS!$E14945,nASIG,DATOS!$I14945,nEVAL,"OR")=0))</f>
      </c>
      <c r="I14945">
        <f>IF(DATOS!$I14945="","",IFERROR(VLOOKUP(DATOS!$I14945,CONFIG_ASIGNATURAS!$B$2:$J$91,9,FALSE()),""))</f>
      </c>
    </row>
    <row r="14946">
      <c r="F14946">
        <f>IF(DATOS!$A14946="","",DATOS!$A14946&amp;"|"&amp;DATOS!$D14946&amp;"|"&amp;DATOS!$E14946&amp;"|"&amp;DATOS!$I14946)</f>
      </c>
      <c r="G14946">
        <f>IF(DATOS!$A14946="",0,IF(CONFIG_METADATA!$B$4&lt;&gt;"OR+EX",--(DATOS!$G14946=CONFIG_METADATA!$B$4),IF(DATOS!$G14946="EX",1,IF(DATOS!$G14946="OR",--(COUNTIFS(nNIA,DATOS!$A14946,nCURSO,DATOS!$D14946,nESPEC,DATOS!$E14946,nASIG,DATOS!$I14946,nEVAL,"EX")=0),0))))</f>
      </c>
      <c r="H14946">
        <f>IF(DATOS!$G14946&lt;&gt;"EX",0,--(COUNTIFS(nNIA,DATOS!$A14946,nCURSO,DATOS!$D14946,nESPEC,DATOS!$E14946,nASIG,DATOS!$I14946,nEVAL,"OR")=0))</f>
      </c>
      <c r="I14946">
        <f>IF(DATOS!$I14946="","",IFERROR(VLOOKUP(DATOS!$I14946,CONFIG_ASIGNATURAS!$B$2:$J$91,9,FALSE()),""))</f>
      </c>
    </row>
    <row r="14947">
      <c r="F14947">
        <f>IF(DATOS!$A14947="","",DATOS!$A14947&amp;"|"&amp;DATOS!$D14947&amp;"|"&amp;DATOS!$E14947&amp;"|"&amp;DATOS!$I14947)</f>
      </c>
      <c r="G14947">
        <f>IF(DATOS!$A14947="",0,IF(CONFIG_METADATA!$B$4&lt;&gt;"OR+EX",--(DATOS!$G14947=CONFIG_METADATA!$B$4),IF(DATOS!$G14947="EX",1,IF(DATOS!$G14947="OR",--(COUNTIFS(nNIA,DATOS!$A14947,nCURSO,DATOS!$D14947,nESPEC,DATOS!$E14947,nASIG,DATOS!$I14947,nEVAL,"EX")=0),0))))</f>
      </c>
      <c r="H14947">
        <f>IF(DATOS!$G14947&lt;&gt;"EX",0,--(COUNTIFS(nNIA,DATOS!$A14947,nCURSO,DATOS!$D14947,nESPEC,DATOS!$E14947,nASIG,DATOS!$I14947,nEVAL,"OR")=0))</f>
      </c>
      <c r="I14947">
        <f>IF(DATOS!$I14947="","",IFERROR(VLOOKUP(DATOS!$I14947,CONFIG_ASIGNATURAS!$B$2:$J$91,9,FALSE()),""))</f>
      </c>
    </row>
    <row r="14948">
      <c r="F14948">
        <f>IF(DATOS!$A14948="","",DATOS!$A14948&amp;"|"&amp;DATOS!$D14948&amp;"|"&amp;DATOS!$E14948&amp;"|"&amp;DATOS!$I14948)</f>
      </c>
      <c r="G14948">
        <f>IF(DATOS!$A14948="",0,IF(CONFIG_METADATA!$B$4&lt;&gt;"OR+EX",--(DATOS!$G14948=CONFIG_METADATA!$B$4),IF(DATOS!$G14948="EX",1,IF(DATOS!$G14948="OR",--(COUNTIFS(nNIA,DATOS!$A14948,nCURSO,DATOS!$D14948,nESPEC,DATOS!$E14948,nASIG,DATOS!$I14948,nEVAL,"EX")=0),0))))</f>
      </c>
      <c r="H14948">
        <f>IF(DATOS!$G14948&lt;&gt;"EX",0,--(COUNTIFS(nNIA,DATOS!$A14948,nCURSO,DATOS!$D14948,nESPEC,DATOS!$E14948,nASIG,DATOS!$I14948,nEVAL,"OR")=0))</f>
      </c>
      <c r="I14948">
        <f>IF(DATOS!$I14948="","",IFERROR(VLOOKUP(DATOS!$I14948,CONFIG_ASIGNATURAS!$B$2:$J$91,9,FALSE()),""))</f>
      </c>
    </row>
    <row r="14949">
      <c r="F14949">
        <f>IF(DATOS!$A14949="","",DATOS!$A14949&amp;"|"&amp;DATOS!$D14949&amp;"|"&amp;DATOS!$E14949&amp;"|"&amp;DATOS!$I14949)</f>
      </c>
      <c r="G14949">
        <f>IF(DATOS!$A14949="",0,IF(CONFIG_METADATA!$B$4&lt;&gt;"OR+EX",--(DATOS!$G14949=CONFIG_METADATA!$B$4),IF(DATOS!$G14949="EX",1,IF(DATOS!$G14949="OR",--(COUNTIFS(nNIA,DATOS!$A14949,nCURSO,DATOS!$D14949,nESPEC,DATOS!$E14949,nASIG,DATOS!$I14949,nEVAL,"EX")=0),0))))</f>
      </c>
      <c r="H14949">
        <f>IF(DATOS!$G14949&lt;&gt;"EX",0,--(COUNTIFS(nNIA,DATOS!$A14949,nCURSO,DATOS!$D14949,nESPEC,DATOS!$E14949,nASIG,DATOS!$I14949,nEVAL,"OR")=0))</f>
      </c>
      <c r="I14949">
        <f>IF(DATOS!$I14949="","",IFERROR(VLOOKUP(DATOS!$I14949,CONFIG_ASIGNATURAS!$B$2:$J$91,9,FALSE()),""))</f>
      </c>
    </row>
    <row r="14950">
      <c r="F14950">
        <f>IF(DATOS!$A14950="","",DATOS!$A14950&amp;"|"&amp;DATOS!$D14950&amp;"|"&amp;DATOS!$E14950&amp;"|"&amp;DATOS!$I14950)</f>
      </c>
      <c r="G14950">
        <f>IF(DATOS!$A14950="",0,IF(CONFIG_METADATA!$B$4&lt;&gt;"OR+EX",--(DATOS!$G14950=CONFIG_METADATA!$B$4),IF(DATOS!$G14950="EX",1,IF(DATOS!$G14950="OR",--(COUNTIFS(nNIA,DATOS!$A14950,nCURSO,DATOS!$D14950,nESPEC,DATOS!$E14950,nASIG,DATOS!$I14950,nEVAL,"EX")=0),0))))</f>
      </c>
      <c r="H14950">
        <f>IF(DATOS!$G14950&lt;&gt;"EX",0,--(COUNTIFS(nNIA,DATOS!$A14950,nCURSO,DATOS!$D14950,nESPEC,DATOS!$E14950,nASIG,DATOS!$I14950,nEVAL,"OR")=0))</f>
      </c>
      <c r="I14950">
        <f>IF(DATOS!$I14950="","",IFERROR(VLOOKUP(DATOS!$I14950,CONFIG_ASIGNATURAS!$B$2:$J$91,9,FALSE()),""))</f>
      </c>
    </row>
    <row r="14951">
      <c r="F14951">
        <f>IF(DATOS!$A14951="","",DATOS!$A14951&amp;"|"&amp;DATOS!$D14951&amp;"|"&amp;DATOS!$E14951&amp;"|"&amp;DATOS!$I14951)</f>
      </c>
      <c r="G14951">
        <f>IF(DATOS!$A14951="",0,IF(CONFIG_METADATA!$B$4&lt;&gt;"OR+EX",--(DATOS!$G14951=CONFIG_METADATA!$B$4),IF(DATOS!$G14951="EX",1,IF(DATOS!$G14951="OR",--(COUNTIFS(nNIA,DATOS!$A14951,nCURSO,DATOS!$D14951,nESPEC,DATOS!$E14951,nASIG,DATOS!$I14951,nEVAL,"EX")=0),0))))</f>
      </c>
      <c r="H14951">
        <f>IF(DATOS!$G14951&lt;&gt;"EX",0,--(COUNTIFS(nNIA,DATOS!$A14951,nCURSO,DATOS!$D14951,nESPEC,DATOS!$E14951,nASIG,DATOS!$I14951,nEVAL,"OR")=0))</f>
      </c>
      <c r="I14951">
        <f>IF(DATOS!$I14951="","",IFERROR(VLOOKUP(DATOS!$I14951,CONFIG_ASIGNATURAS!$B$2:$J$91,9,FALSE()),""))</f>
      </c>
    </row>
    <row r="14952">
      <c r="F14952">
        <f>IF(DATOS!$A14952="","",DATOS!$A14952&amp;"|"&amp;DATOS!$D14952&amp;"|"&amp;DATOS!$E14952&amp;"|"&amp;DATOS!$I14952)</f>
      </c>
      <c r="G14952">
        <f>IF(DATOS!$A14952="",0,IF(CONFIG_METADATA!$B$4&lt;&gt;"OR+EX",--(DATOS!$G14952=CONFIG_METADATA!$B$4),IF(DATOS!$G14952="EX",1,IF(DATOS!$G14952="OR",--(COUNTIFS(nNIA,DATOS!$A14952,nCURSO,DATOS!$D14952,nESPEC,DATOS!$E14952,nASIG,DATOS!$I14952,nEVAL,"EX")=0),0))))</f>
      </c>
      <c r="H14952">
        <f>IF(DATOS!$G14952&lt;&gt;"EX",0,--(COUNTIFS(nNIA,DATOS!$A14952,nCURSO,DATOS!$D14952,nESPEC,DATOS!$E14952,nASIG,DATOS!$I14952,nEVAL,"OR")=0))</f>
      </c>
      <c r="I14952">
        <f>IF(DATOS!$I14952="","",IFERROR(VLOOKUP(DATOS!$I14952,CONFIG_ASIGNATURAS!$B$2:$J$91,9,FALSE()),""))</f>
      </c>
    </row>
    <row r="14953">
      <c r="F14953">
        <f>IF(DATOS!$A14953="","",DATOS!$A14953&amp;"|"&amp;DATOS!$D14953&amp;"|"&amp;DATOS!$E14953&amp;"|"&amp;DATOS!$I14953)</f>
      </c>
      <c r="G14953">
        <f>IF(DATOS!$A14953="",0,IF(CONFIG_METADATA!$B$4&lt;&gt;"OR+EX",--(DATOS!$G14953=CONFIG_METADATA!$B$4),IF(DATOS!$G14953="EX",1,IF(DATOS!$G14953="OR",--(COUNTIFS(nNIA,DATOS!$A14953,nCURSO,DATOS!$D14953,nESPEC,DATOS!$E14953,nASIG,DATOS!$I14953,nEVAL,"EX")=0),0))))</f>
      </c>
      <c r="H14953">
        <f>IF(DATOS!$G14953&lt;&gt;"EX",0,--(COUNTIFS(nNIA,DATOS!$A14953,nCURSO,DATOS!$D14953,nESPEC,DATOS!$E14953,nASIG,DATOS!$I14953,nEVAL,"OR")=0))</f>
      </c>
      <c r="I14953">
        <f>IF(DATOS!$I14953="","",IFERROR(VLOOKUP(DATOS!$I14953,CONFIG_ASIGNATURAS!$B$2:$J$91,9,FALSE()),""))</f>
      </c>
    </row>
    <row r="14954">
      <c r="F14954">
        <f>IF(DATOS!$A14954="","",DATOS!$A14954&amp;"|"&amp;DATOS!$D14954&amp;"|"&amp;DATOS!$E14954&amp;"|"&amp;DATOS!$I14954)</f>
      </c>
      <c r="G14954">
        <f>IF(DATOS!$A14954="",0,IF(CONFIG_METADATA!$B$4&lt;&gt;"OR+EX",--(DATOS!$G14954=CONFIG_METADATA!$B$4),IF(DATOS!$G14954="EX",1,IF(DATOS!$G14954="OR",--(COUNTIFS(nNIA,DATOS!$A14954,nCURSO,DATOS!$D14954,nESPEC,DATOS!$E14954,nASIG,DATOS!$I14954,nEVAL,"EX")=0),0))))</f>
      </c>
      <c r="H14954">
        <f>IF(DATOS!$G14954&lt;&gt;"EX",0,--(COUNTIFS(nNIA,DATOS!$A14954,nCURSO,DATOS!$D14954,nESPEC,DATOS!$E14954,nASIG,DATOS!$I14954,nEVAL,"OR")=0))</f>
      </c>
      <c r="I14954">
        <f>IF(DATOS!$I14954="","",IFERROR(VLOOKUP(DATOS!$I14954,CONFIG_ASIGNATURAS!$B$2:$J$91,9,FALSE()),""))</f>
      </c>
    </row>
    <row r="14955">
      <c r="F14955">
        <f>IF(DATOS!$A14955="","",DATOS!$A14955&amp;"|"&amp;DATOS!$D14955&amp;"|"&amp;DATOS!$E14955&amp;"|"&amp;DATOS!$I14955)</f>
      </c>
      <c r="G14955">
        <f>IF(DATOS!$A14955="",0,IF(CONFIG_METADATA!$B$4&lt;&gt;"OR+EX",--(DATOS!$G14955=CONFIG_METADATA!$B$4),IF(DATOS!$G14955="EX",1,IF(DATOS!$G14955="OR",--(COUNTIFS(nNIA,DATOS!$A14955,nCURSO,DATOS!$D14955,nESPEC,DATOS!$E14955,nASIG,DATOS!$I14955,nEVAL,"EX")=0),0))))</f>
      </c>
      <c r="H14955">
        <f>IF(DATOS!$G14955&lt;&gt;"EX",0,--(COUNTIFS(nNIA,DATOS!$A14955,nCURSO,DATOS!$D14955,nESPEC,DATOS!$E14955,nASIG,DATOS!$I14955,nEVAL,"OR")=0))</f>
      </c>
      <c r="I14955">
        <f>IF(DATOS!$I14955="","",IFERROR(VLOOKUP(DATOS!$I14955,CONFIG_ASIGNATURAS!$B$2:$J$91,9,FALSE()),""))</f>
      </c>
    </row>
    <row r="14956">
      <c r="F14956">
        <f>IF(DATOS!$A14956="","",DATOS!$A14956&amp;"|"&amp;DATOS!$D14956&amp;"|"&amp;DATOS!$E14956&amp;"|"&amp;DATOS!$I14956)</f>
      </c>
      <c r="G14956">
        <f>IF(DATOS!$A14956="",0,IF(CONFIG_METADATA!$B$4&lt;&gt;"OR+EX",--(DATOS!$G14956=CONFIG_METADATA!$B$4),IF(DATOS!$G14956="EX",1,IF(DATOS!$G14956="OR",--(COUNTIFS(nNIA,DATOS!$A14956,nCURSO,DATOS!$D14956,nESPEC,DATOS!$E14956,nASIG,DATOS!$I14956,nEVAL,"EX")=0),0))))</f>
      </c>
      <c r="H14956">
        <f>IF(DATOS!$G14956&lt;&gt;"EX",0,--(COUNTIFS(nNIA,DATOS!$A14956,nCURSO,DATOS!$D14956,nESPEC,DATOS!$E14956,nASIG,DATOS!$I14956,nEVAL,"OR")=0))</f>
      </c>
      <c r="I14956">
        <f>IF(DATOS!$I14956="","",IFERROR(VLOOKUP(DATOS!$I14956,CONFIG_ASIGNATURAS!$B$2:$J$91,9,FALSE()),""))</f>
      </c>
    </row>
    <row r="14957">
      <c r="F14957">
        <f>IF(DATOS!$A14957="","",DATOS!$A14957&amp;"|"&amp;DATOS!$D14957&amp;"|"&amp;DATOS!$E14957&amp;"|"&amp;DATOS!$I14957)</f>
      </c>
      <c r="G14957">
        <f>IF(DATOS!$A14957="",0,IF(CONFIG_METADATA!$B$4&lt;&gt;"OR+EX",--(DATOS!$G14957=CONFIG_METADATA!$B$4),IF(DATOS!$G14957="EX",1,IF(DATOS!$G14957="OR",--(COUNTIFS(nNIA,DATOS!$A14957,nCURSO,DATOS!$D14957,nESPEC,DATOS!$E14957,nASIG,DATOS!$I14957,nEVAL,"EX")=0),0))))</f>
      </c>
      <c r="H14957">
        <f>IF(DATOS!$G14957&lt;&gt;"EX",0,--(COUNTIFS(nNIA,DATOS!$A14957,nCURSO,DATOS!$D14957,nESPEC,DATOS!$E14957,nASIG,DATOS!$I14957,nEVAL,"OR")=0))</f>
      </c>
      <c r="I14957">
        <f>IF(DATOS!$I14957="","",IFERROR(VLOOKUP(DATOS!$I14957,CONFIG_ASIGNATURAS!$B$2:$J$91,9,FALSE()),""))</f>
      </c>
    </row>
    <row r="14958">
      <c r="F14958">
        <f>IF(DATOS!$A14958="","",DATOS!$A14958&amp;"|"&amp;DATOS!$D14958&amp;"|"&amp;DATOS!$E14958&amp;"|"&amp;DATOS!$I14958)</f>
      </c>
      <c r="G14958">
        <f>IF(DATOS!$A14958="",0,IF(CONFIG_METADATA!$B$4&lt;&gt;"OR+EX",--(DATOS!$G14958=CONFIG_METADATA!$B$4),IF(DATOS!$G14958="EX",1,IF(DATOS!$G14958="OR",--(COUNTIFS(nNIA,DATOS!$A14958,nCURSO,DATOS!$D14958,nESPEC,DATOS!$E14958,nASIG,DATOS!$I14958,nEVAL,"EX")=0),0))))</f>
      </c>
      <c r="H14958">
        <f>IF(DATOS!$G14958&lt;&gt;"EX",0,--(COUNTIFS(nNIA,DATOS!$A14958,nCURSO,DATOS!$D14958,nESPEC,DATOS!$E14958,nASIG,DATOS!$I14958,nEVAL,"OR")=0))</f>
      </c>
      <c r="I14958">
        <f>IF(DATOS!$I14958="","",IFERROR(VLOOKUP(DATOS!$I14958,CONFIG_ASIGNATURAS!$B$2:$J$91,9,FALSE()),""))</f>
      </c>
    </row>
    <row r="14959">
      <c r="F14959">
        <f>IF(DATOS!$A14959="","",DATOS!$A14959&amp;"|"&amp;DATOS!$D14959&amp;"|"&amp;DATOS!$E14959&amp;"|"&amp;DATOS!$I14959)</f>
      </c>
      <c r="G14959">
        <f>IF(DATOS!$A14959="",0,IF(CONFIG_METADATA!$B$4&lt;&gt;"OR+EX",--(DATOS!$G14959=CONFIG_METADATA!$B$4),IF(DATOS!$G14959="EX",1,IF(DATOS!$G14959="OR",--(COUNTIFS(nNIA,DATOS!$A14959,nCURSO,DATOS!$D14959,nESPEC,DATOS!$E14959,nASIG,DATOS!$I14959,nEVAL,"EX")=0),0))))</f>
      </c>
      <c r="H14959">
        <f>IF(DATOS!$G14959&lt;&gt;"EX",0,--(COUNTIFS(nNIA,DATOS!$A14959,nCURSO,DATOS!$D14959,nESPEC,DATOS!$E14959,nASIG,DATOS!$I14959,nEVAL,"OR")=0))</f>
      </c>
      <c r="I14959">
        <f>IF(DATOS!$I14959="","",IFERROR(VLOOKUP(DATOS!$I14959,CONFIG_ASIGNATURAS!$B$2:$J$91,9,FALSE()),""))</f>
      </c>
    </row>
    <row r="14960">
      <c r="F14960">
        <f>IF(DATOS!$A14960="","",DATOS!$A14960&amp;"|"&amp;DATOS!$D14960&amp;"|"&amp;DATOS!$E14960&amp;"|"&amp;DATOS!$I14960)</f>
      </c>
      <c r="G14960">
        <f>IF(DATOS!$A14960="",0,IF(CONFIG_METADATA!$B$4&lt;&gt;"OR+EX",--(DATOS!$G14960=CONFIG_METADATA!$B$4),IF(DATOS!$G14960="EX",1,IF(DATOS!$G14960="OR",--(COUNTIFS(nNIA,DATOS!$A14960,nCURSO,DATOS!$D14960,nESPEC,DATOS!$E14960,nASIG,DATOS!$I14960,nEVAL,"EX")=0),0))))</f>
      </c>
      <c r="H14960">
        <f>IF(DATOS!$G14960&lt;&gt;"EX",0,--(COUNTIFS(nNIA,DATOS!$A14960,nCURSO,DATOS!$D14960,nESPEC,DATOS!$E14960,nASIG,DATOS!$I14960,nEVAL,"OR")=0))</f>
      </c>
      <c r="I14960">
        <f>IF(DATOS!$I14960="","",IFERROR(VLOOKUP(DATOS!$I14960,CONFIG_ASIGNATURAS!$B$2:$J$91,9,FALSE()),""))</f>
      </c>
    </row>
    <row r="14961">
      <c r="F14961">
        <f>IF(DATOS!$A14961="","",DATOS!$A14961&amp;"|"&amp;DATOS!$D14961&amp;"|"&amp;DATOS!$E14961&amp;"|"&amp;DATOS!$I14961)</f>
      </c>
      <c r="G14961">
        <f>IF(DATOS!$A14961="",0,IF(CONFIG_METADATA!$B$4&lt;&gt;"OR+EX",--(DATOS!$G14961=CONFIG_METADATA!$B$4),IF(DATOS!$G14961="EX",1,IF(DATOS!$G14961="OR",--(COUNTIFS(nNIA,DATOS!$A14961,nCURSO,DATOS!$D14961,nESPEC,DATOS!$E14961,nASIG,DATOS!$I14961,nEVAL,"EX")=0),0))))</f>
      </c>
      <c r="H14961">
        <f>IF(DATOS!$G14961&lt;&gt;"EX",0,--(COUNTIFS(nNIA,DATOS!$A14961,nCURSO,DATOS!$D14961,nESPEC,DATOS!$E14961,nASIG,DATOS!$I14961,nEVAL,"OR")=0))</f>
      </c>
      <c r="I14961">
        <f>IF(DATOS!$I14961="","",IFERROR(VLOOKUP(DATOS!$I14961,CONFIG_ASIGNATURAS!$B$2:$J$91,9,FALSE()),""))</f>
      </c>
    </row>
    <row r="14962">
      <c r="F14962">
        <f>IF(DATOS!$A14962="","",DATOS!$A14962&amp;"|"&amp;DATOS!$D14962&amp;"|"&amp;DATOS!$E14962&amp;"|"&amp;DATOS!$I14962)</f>
      </c>
      <c r="G14962">
        <f>IF(DATOS!$A14962="",0,IF(CONFIG_METADATA!$B$4&lt;&gt;"OR+EX",--(DATOS!$G14962=CONFIG_METADATA!$B$4),IF(DATOS!$G14962="EX",1,IF(DATOS!$G14962="OR",--(COUNTIFS(nNIA,DATOS!$A14962,nCURSO,DATOS!$D14962,nESPEC,DATOS!$E14962,nASIG,DATOS!$I14962,nEVAL,"EX")=0),0))))</f>
      </c>
      <c r="H14962">
        <f>IF(DATOS!$G14962&lt;&gt;"EX",0,--(COUNTIFS(nNIA,DATOS!$A14962,nCURSO,DATOS!$D14962,nESPEC,DATOS!$E14962,nASIG,DATOS!$I14962,nEVAL,"OR")=0))</f>
      </c>
      <c r="I14962">
        <f>IF(DATOS!$I14962="","",IFERROR(VLOOKUP(DATOS!$I14962,CONFIG_ASIGNATURAS!$B$2:$J$91,9,FALSE()),""))</f>
      </c>
    </row>
    <row r="14963">
      <c r="F14963">
        <f>IF(DATOS!$A14963="","",DATOS!$A14963&amp;"|"&amp;DATOS!$D14963&amp;"|"&amp;DATOS!$E14963&amp;"|"&amp;DATOS!$I14963)</f>
      </c>
      <c r="G14963">
        <f>IF(DATOS!$A14963="",0,IF(CONFIG_METADATA!$B$4&lt;&gt;"OR+EX",--(DATOS!$G14963=CONFIG_METADATA!$B$4),IF(DATOS!$G14963="EX",1,IF(DATOS!$G14963="OR",--(COUNTIFS(nNIA,DATOS!$A14963,nCURSO,DATOS!$D14963,nESPEC,DATOS!$E14963,nASIG,DATOS!$I14963,nEVAL,"EX")=0),0))))</f>
      </c>
      <c r="H14963">
        <f>IF(DATOS!$G14963&lt;&gt;"EX",0,--(COUNTIFS(nNIA,DATOS!$A14963,nCURSO,DATOS!$D14963,nESPEC,DATOS!$E14963,nASIG,DATOS!$I14963,nEVAL,"OR")=0))</f>
      </c>
      <c r="I14963">
        <f>IF(DATOS!$I14963="","",IFERROR(VLOOKUP(DATOS!$I14963,CONFIG_ASIGNATURAS!$B$2:$J$91,9,FALSE()),""))</f>
      </c>
    </row>
    <row r="14964">
      <c r="F14964">
        <f>IF(DATOS!$A14964="","",DATOS!$A14964&amp;"|"&amp;DATOS!$D14964&amp;"|"&amp;DATOS!$E14964&amp;"|"&amp;DATOS!$I14964)</f>
      </c>
      <c r="G14964">
        <f>IF(DATOS!$A14964="",0,IF(CONFIG_METADATA!$B$4&lt;&gt;"OR+EX",--(DATOS!$G14964=CONFIG_METADATA!$B$4),IF(DATOS!$G14964="EX",1,IF(DATOS!$G14964="OR",--(COUNTIFS(nNIA,DATOS!$A14964,nCURSO,DATOS!$D14964,nESPEC,DATOS!$E14964,nASIG,DATOS!$I14964,nEVAL,"EX")=0),0))))</f>
      </c>
      <c r="H14964">
        <f>IF(DATOS!$G14964&lt;&gt;"EX",0,--(COUNTIFS(nNIA,DATOS!$A14964,nCURSO,DATOS!$D14964,nESPEC,DATOS!$E14964,nASIG,DATOS!$I14964,nEVAL,"OR")=0))</f>
      </c>
      <c r="I14964">
        <f>IF(DATOS!$I14964="","",IFERROR(VLOOKUP(DATOS!$I14964,CONFIG_ASIGNATURAS!$B$2:$J$91,9,FALSE()),""))</f>
      </c>
    </row>
    <row r="14965">
      <c r="F14965">
        <f>IF(DATOS!$A14965="","",DATOS!$A14965&amp;"|"&amp;DATOS!$D14965&amp;"|"&amp;DATOS!$E14965&amp;"|"&amp;DATOS!$I14965)</f>
      </c>
      <c r="G14965">
        <f>IF(DATOS!$A14965="",0,IF(CONFIG_METADATA!$B$4&lt;&gt;"OR+EX",--(DATOS!$G14965=CONFIG_METADATA!$B$4),IF(DATOS!$G14965="EX",1,IF(DATOS!$G14965="OR",--(COUNTIFS(nNIA,DATOS!$A14965,nCURSO,DATOS!$D14965,nESPEC,DATOS!$E14965,nASIG,DATOS!$I14965,nEVAL,"EX")=0),0))))</f>
      </c>
      <c r="H14965">
        <f>IF(DATOS!$G14965&lt;&gt;"EX",0,--(COUNTIFS(nNIA,DATOS!$A14965,nCURSO,DATOS!$D14965,nESPEC,DATOS!$E14965,nASIG,DATOS!$I14965,nEVAL,"OR")=0))</f>
      </c>
      <c r="I14965">
        <f>IF(DATOS!$I14965="","",IFERROR(VLOOKUP(DATOS!$I14965,CONFIG_ASIGNATURAS!$B$2:$J$91,9,FALSE()),""))</f>
      </c>
    </row>
    <row r="14966">
      <c r="F14966">
        <f>IF(DATOS!$A14966="","",DATOS!$A14966&amp;"|"&amp;DATOS!$D14966&amp;"|"&amp;DATOS!$E14966&amp;"|"&amp;DATOS!$I14966)</f>
      </c>
      <c r="G14966">
        <f>IF(DATOS!$A14966="",0,IF(CONFIG_METADATA!$B$4&lt;&gt;"OR+EX",--(DATOS!$G14966=CONFIG_METADATA!$B$4),IF(DATOS!$G14966="EX",1,IF(DATOS!$G14966="OR",--(COUNTIFS(nNIA,DATOS!$A14966,nCURSO,DATOS!$D14966,nESPEC,DATOS!$E14966,nASIG,DATOS!$I14966,nEVAL,"EX")=0),0))))</f>
      </c>
      <c r="H14966">
        <f>IF(DATOS!$G14966&lt;&gt;"EX",0,--(COUNTIFS(nNIA,DATOS!$A14966,nCURSO,DATOS!$D14966,nESPEC,DATOS!$E14966,nASIG,DATOS!$I14966,nEVAL,"OR")=0))</f>
      </c>
      <c r="I14966">
        <f>IF(DATOS!$I14966="","",IFERROR(VLOOKUP(DATOS!$I14966,CONFIG_ASIGNATURAS!$B$2:$J$91,9,FALSE()),""))</f>
      </c>
    </row>
    <row r="14967">
      <c r="F14967">
        <f>IF(DATOS!$A14967="","",DATOS!$A14967&amp;"|"&amp;DATOS!$D14967&amp;"|"&amp;DATOS!$E14967&amp;"|"&amp;DATOS!$I14967)</f>
      </c>
      <c r="G14967">
        <f>IF(DATOS!$A14967="",0,IF(CONFIG_METADATA!$B$4&lt;&gt;"OR+EX",--(DATOS!$G14967=CONFIG_METADATA!$B$4),IF(DATOS!$G14967="EX",1,IF(DATOS!$G14967="OR",--(COUNTIFS(nNIA,DATOS!$A14967,nCURSO,DATOS!$D14967,nESPEC,DATOS!$E14967,nASIG,DATOS!$I14967,nEVAL,"EX")=0),0))))</f>
      </c>
      <c r="H14967">
        <f>IF(DATOS!$G14967&lt;&gt;"EX",0,--(COUNTIFS(nNIA,DATOS!$A14967,nCURSO,DATOS!$D14967,nESPEC,DATOS!$E14967,nASIG,DATOS!$I14967,nEVAL,"OR")=0))</f>
      </c>
      <c r="I14967">
        <f>IF(DATOS!$I14967="","",IFERROR(VLOOKUP(DATOS!$I14967,CONFIG_ASIGNATURAS!$B$2:$J$91,9,FALSE()),""))</f>
      </c>
    </row>
    <row r="14968">
      <c r="F14968">
        <f>IF(DATOS!$A14968="","",DATOS!$A14968&amp;"|"&amp;DATOS!$D14968&amp;"|"&amp;DATOS!$E14968&amp;"|"&amp;DATOS!$I14968)</f>
      </c>
      <c r="G14968">
        <f>IF(DATOS!$A14968="",0,IF(CONFIG_METADATA!$B$4&lt;&gt;"OR+EX",--(DATOS!$G14968=CONFIG_METADATA!$B$4),IF(DATOS!$G14968="EX",1,IF(DATOS!$G14968="OR",--(COUNTIFS(nNIA,DATOS!$A14968,nCURSO,DATOS!$D14968,nESPEC,DATOS!$E14968,nASIG,DATOS!$I14968,nEVAL,"EX")=0),0))))</f>
      </c>
      <c r="H14968">
        <f>IF(DATOS!$G14968&lt;&gt;"EX",0,--(COUNTIFS(nNIA,DATOS!$A14968,nCURSO,DATOS!$D14968,nESPEC,DATOS!$E14968,nASIG,DATOS!$I14968,nEVAL,"OR")=0))</f>
      </c>
      <c r="I14968">
        <f>IF(DATOS!$I14968="","",IFERROR(VLOOKUP(DATOS!$I14968,CONFIG_ASIGNATURAS!$B$2:$J$91,9,FALSE()),""))</f>
      </c>
    </row>
    <row r="14969">
      <c r="F14969">
        <f>IF(DATOS!$A14969="","",DATOS!$A14969&amp;"|"&amp;DATOS!$D14969&amp;"|"&amp;DATOS!$E14969&amp;"|"&amp;DATOS!$I14969)</f>
      </c>
      <c r="G14969">
        <f>IF(DATOS!$A14969="",0,IF(CONFIG_METADATA!$B$4&lt;&gt;"OR+EX",--(DATOS!$G14969=CONFIG_METADATA!$B$4),IF(DATOS!$G14969="EX",1,IF(DATOS!$G14969="OR",--(COUNTIFS(nNIA,DATOS!$A14969,nCURSO,DATOS!$D14969,nESPEC,DATOS!$E14969,nASIG,DATOS!$I14969,nEVAL,"EX")=0),0))))</f>
      </c>
      <c r="H14969">
        <f>IF(DATOS!$G14969&lt;&gt;"EX",0,--(COUNTIFS(nNIA,DATOS!$A14969,nCURSO,DATOS!$D14969,nESPEC,DATOS!$E14969,nASIG,DATOS!$I14969,nEVAL,"OR")=0))</f>
      </c>
      <c r="I14969">
        <f>IF(DATOS!$I14969="","",IFERROR(VLOOKUP(DATOS!$I14969,CONFIG_ASIGNATURAS!$B$2:$J$91,9,FALSE()),""))</f>
      </c>
    </row>
    <row r="14970">
      <c r="F14970">
        <f>IF(DATOS!$A14970="","",DATOS!$A14970&amp;"|"&amp;DATOS!$D14970&amp;"|"&amp;DATOS!$E14970&amp;"|"&amp;DATOS!$I14970)</f>
      </c>
      <c r="G14970">
        <f>IF(DATOS!$A14970="",0,IF(CONFIG_METADATA!$B$4&lt;&gt;"OR+EX",--(DATOS!$G14970=CONFIG_METADATA!$B$4),IF(DATOS!$G14970="EX",1,IF(DATOS!$G14970="OR",--(COUNTIFS(nNIA,DATOS!$A14970,nCURSO,DATOS!$D14970,nESPEC,DATOS!$E14970,nASIG,DATOS!$I14970,nEVAL,"EX")=0),0))))</f>
      </c>
      <c r="H14970">
        <f>IF(DATOS!$G14970&lt;&gt;"EX",0,--(COUNTIFS(nNIA,DATOS!$A14970,nCURSO,DATOS!$D14970,nESPEC,DATOS!$E14970,nASIG,DATOS!$I14970,nEVAL,"OR")=0))</f>
      </c>
      <c r="I14970">
        <f>IF(DATOS!$I14970="","",IFERROR(VLOOKUP(DATOS!$I14970,CONFIG_ASIGNATURAS!$B$2:$J$91,9,FALSE()),""))</f>
      </c>
    </row>
    <row r="14971">
      <c r="F14971">
        <f>IF(DATOS!$A14971="","",DATOS!$A14971&amp;"|"&amp;DATOS!$D14971&amp;"|"&amp;DATOS!$E14971&amp;"|"&amp;DATOS!$I14971)</f>
      </c>
      <c r="G14971">
        <f>IF(DATOS!$A14971="",0,IF(CONFIG_METADATA!$B$4&lt;&gt;"OR+EX",--(DATOS!$G14971=CONFIG_METADATA!$B$4),IF(DATOS!$G14971="EX",1,IF(DATOS!$G14971="OR",--(COUNTIFS(nNIA,DATOS!$A14971,nCURSO,DATOS!$D14971,nESPEC,DATOS!$E14971,nASIG,DATOS!$I14971,nEVAL,"EX")=0),0))))</f>
      </c>
      <c r="H14971">
        <f>IF(DATOS!$G14971&lt;&gt;"EX",0,--(COUNTIFS(nNIA,DATOS!$A14971,nCURSO,DATOS!$D14971,nESPEC,DATOS!$E14971,nASIG,DATOS!$I14971,nEVAL,"OR")=0))</f>
      </c>
      <c r="I14971">
        <f>IF(DATOS!$I14971="","",IFERROR(VLOOKUP(DATOS!$I14971,CONFIG_ASIGNATURAS!$B$2:$J$91,9,FALSE()),""))</f>
      </c>
    </row>
    <row r="14972">
      <c r="F14972">
        <f>IF(DATOS!$A14972="","",DATOS!$A14972&amp;"|"&amp;DATOS!$D14972&amp;"|"&amp;DATOS!$E14972&amp;"|"&amp;DATOS!$I14972)</f>
      </c>
      <c r="G14972">
        <f>IF(DATOS!$A14972="",0,IF(CONFIG_METADATA!$B$4&lt;&gt;"OR+EX",--(DATOS!$G14972=CONFIG_METADATA!$B$4),IF(DATOS!$G14972="EX",1,IF(DATOS!$G14972="OR",--(COUNTIFS(nNIA,DATOS!$A14972,nCURSO,DATOS!$D14972,nESPEC,DATOS!$E14972,nASIG,DATOS!$I14972,nEVAL,"EX")=0),0))))</f>
      </c>
      <c r="H14972">
        <f>IF(DATOS!$G14972&lt;&gt;"EX",0,--(COUNTIFS(nNIA,DATOS!$A14972,nCURSO,DATOS!$D14972,nESPEC,DATOS!$E14972,nASIG,DATOS!$I14972,nEVAL,"OR")=0))</f>
      </c>
      <c r="I14972">
        <f>IF(DATOS!$I14972="","",IFERROR(VLOOKUP(DATOS!$I14972,CONFIG_ASIGNATURAS!$B$2:$J$91,9,FALSE()),""))</f>
      </c>
    </row>
    <row r="14973">
      <c r="F14973">
        <f>IF(DATOS!$A14973="","",DATOS!$A14973&amp;"|"&amp;DATOS!$D14973&amp;"|"&amp;DATOS!$E14973&amp;"|"&amp;DATOS!$I14973)</f>
      </c>
      <c r="G14973">
        <f>IF(DATOS!$A14973="",0,IF(CONFIG_METADATA!$B$4&lt;&gt;"OR+EX",--(DATOS!$G14973=CONFIG_METADATA!$B$4),IF(DATOS!$G14973="EX",1,IF(DATOS!$G14973="OR",--(COUNTIFS(nNIA,DATOS!$A14973,nCURSO,DATOS!$D14973,nESPEC,DATOS!$E14973,nASIG,DATOS!$I14973,nEVAL,"EX")=0),0))))</f>
      </c>
      <c r="H14973">
        <f>IF(DATOS!$G14973&lt;&gt;"EX",0,--(COUNTIFS(nNIA,DATOS!$A14973,nCURSO,DATOS!$D14973,nESPEC,DATOS!$E14973,nASIG,DATOS!$I14973,nEVAL,"OR")=0))</f>
      </c>
      <c r="I14973">
        <f>IF(DATOS!$I14973="","",IFERROR(VLOOKUP(DATOS!$I14973,CONFIG_ASIGNATURAS!$B$2:$J$91,9,FALSE()),""))</f>
      </c>
    </row>
    <row r="14974">
      <c r="F14974">
        <f>IF(DATOS!$A14974="","",DATOS!$A14974&amp;"|"&amp;DATOS!$D14974&amp;"|"&amp;DATOS!$E14974&amp;"|"&amp;DATOS!$I14974)</f>
      </c>
      <c r="G14974">
        <f>IF(DATOS!$A14974="",0,IF(CONFIG_METADATA!$B$4&lt;&gt;"OR+EX",--(DATOS!$G14974=CONFIG_METADATA!$B$4),IF(DATOS!$G14974="EX",1,IF(DATOS!$G14974="OR",--(COUNTIFS(nNIA,DATOS!$A14974,nCURSO,DATOS!$D14974,nESPEC,DATOS!$E14974,nASIG,DATOS!$I14974,nEVAL,"EX")=0),0))))</f>
      </c>
      <c r="H14974">
        <f>IF(DATOS!$G14974&lt;&gt;"EX",0,--(COUNTIFS(nNIA,DATOS!$A14974,nCURSO,DATOS!$D14974,nESPEC,DATOS!$E14974,nASIG,DATOS!$I14974,nEVAL,"OR")=0))</f>
      </c>
      <c r="I14974">
        <f>IF(DATOS!$I14974="","",IFERROR(VLOOKUP(DATOS!$I14974,CONFIG_ASIGNATURAS!$B$2:$J$91,9,FALSE()),""))</f>
      </c>
    </row>
    <row r="14975">
      <c r="F14975">
        <f>IF(DATOS!$A14975="","",DATOS!$A14975&amp;"|"&amp;DATOS!$D14975&amp;"|"&amp;DATOS!$E14975&amp;"|"&amp;DATOS!$I14975)</f>
      </c>
      <c r="G14975">
        <f>IF(DATOS!$A14975="",0,IF(CONFIG_METADATA!$B$4&lt;&gt;"OR+EX",--(DATOS!$G14975=CONFIG_METADATA!$B$4),IF(DATOS!$G14975="EX",1,IF(DATOS!$G14975="OR",--(COUNTIFS(nNIA,DATOS!$A14975,nCURSO,DATOS!$D14975,nESPEC,DATOS!$E14975,nASIG,DATOS!$I14975,nEVAL,"EX")=0),0))))</f>
      </c>
      <c r="H14975">
        <f>IF(DATOS!$G14975&lt;&gt;"EX",0,--(COUNTIFS(nNIA,DATOS!$A14975,nCURSO,DATOS!$D14975,nESPEC,DATOS!$E14975,nASIG,DATOS!$I14975,nEVAL,"OR")=0))</f>
      </c>
      <c r="I14975">
        <f>IF(DATOS!$I14975="","",IFERROR(VLOOKUP(DATOS!$I14975,CONFIG_ASIGNATURAS!$B$2:$J$91,9,FALSE()),""))</f>
      </c>
    </row>
    <row r="14976">
      <c r="F14976">
        <f>IF(DATOS!$A14976="","",DATOS!$A14976&amp;"|"&amp;DATOS!$D14976&amp;"|"&amp;DATOS!$E14976&amp;"|"&amp;DATOS!$I14976)</f>
      </c>
      <c r="G14976">
        <f>IF(DATOS!$A14976="",0,IF(CONFIG_METADATA!$B$4&lt;&gt;"OR+EX",--(DATOS!$G14976=CONFIG_METADATA!$B$4),IF(DATOS!$G14976="EX",1,IF(DATOS!$G14976="OR",--(COUNTIFS(nNIA,DATOS!$A14976,nCURSO,DATOS!$D14976,nESPEC,DATOS!$E14976,nASIG,DATOS!$I14976,nEVAL,"EX")=0),0))))</f>
      </c>
      <c r="H14976">
        <f>IF(DATOS!$G14976&lt;&gt;"EX",0,--(COUNTIFS(nNIA,DATOS!$A14976,nCURSO,DATOS!$D14976,nESPEC,DATOS!$E14976,nASIG,DATOS!$I14976,nEVAL,"OR")=0))</f>
      </c>
      <c r="I14976">
        <f>IF(DATOS!$I14976="","",IFERROR(VLOOKUP(DATOS!$I14976,CONFIG_ASIGNATURAS!$B$2:$J$91,9,FALSE()),""))</f>
      </c>
    </row>
    <row r="14977">
      <c r="F14977">
        <f>IF(DATOS!$A14977="","",DATOS!$A14977&amp;"|"&amp;DATOS!$D14977&amp;"|"&amp;DATOS!$E14977&amp;"|"&amp;DATOS!$I14977)</f>
      </c>
      <c r="G14977">
        <f>IF(DATOS!$A14977="",0,IF(CONFIG_METADATA!$B$4&lt;&gt;"OR+EX",--(DATOS!$G14977=CONFIG_METADATA!$B$4),IF(DATOS!$G14977="EX",1,IF(DATOS!$G14977="OR",--(COUNTIFS(nNIA,DATOS!$A14977,nCURSO,DATOS!$D14977,nESPEC,DATOS!$E14977,nASIG,DATOS!$I14977,nEVAL,"EX")=0),0))))</f>
      </c>
      <c r="H14977">
        <f>IF(DATOS!$G14977&lt;&gt;"EX",0,--(COUNTIFS(nNIA,DATOS!$A14977,nCURSO,DATOS!$D14977,nESPEC,DATOS!$E14977,nASIG,DATOS!$I14977,nEVAL,"OR")=0))</f>
      </c>
      <c r="I14977">
        <f>IF(DATOS!$I14977="","",IFERROR(VLOOKUP(DATOS!$I14977,CONFIG_ASIGNATURAS!$B$2:$J$91,9,FALSE()),""))</f>
      </c>
    </row>
    <row r="14978">
      <c r="F14978">
        <f>IF(DATOS!$A14978="","",DATOS!$A14978&amp;"|"&amp;DATOS!$D14978&amp;"|"&amp;DATOS!$E14978&amp;"|"&amp;DATOS!$I14978)</f>
      </c>
      <c r="G14978">
        <f>IF(DATOS!$A14978="",0,IF(CONFIG_METADATA!$B$4&lt;&gt;"OR+EX",--(DATOS!$G14978=CONFIG_METADATA!$B$4),IF(DATOS!$G14978="EX",1,IF(DATOS!$G14978="OR",--(COUNTIFS(nNIA,DATOS!$A14978,nCURSO,DATOS!$D14978,nESPEC,DATOS!$E14978,nASIG,DATOS!$I14978,nEVAL,"EX")=0),0))))</f>
      </c>
      <c r="H14978">
        <f>IF(DATOS!$G14978&lt;&gt;"EX",0,--(COUNTIFS(nNIA,DATOS!$A14978,nCURSO,DATOS!$D14978,nESPEC,DATOS!$E14978,nASIG,DATOS!$I14978,nEVAL,"OR")=0))</f>
      </c>
      <c r="I14978">
        <f>IF(DATOS!$I14978="","",IFERROR(VLOOKUP(DATOS!$I14978,CONFIG_ASIGNATURAS!$B$2:$J$91,9,FALSE()),""))</f>
      </c>
    </row>
    <row r="14979">
      <c r="F14979">
        <f>IF(DATOS!$A14979="","",DATOS!$A14979&amp;"|"&amp;DATOS!$D14979&amp;"|"&amp;DATOS!$E14979&amp;"|"&amp;DATOS!$I14979)</f>
      </c>
      <c r="G14979">
        <f>IF(DATOS!$A14979="",0,IF(CONFIG_METADATA!$B$4&lt;&gt;"OR+EX",--(DATOS!$G14979=CONFIG_METADATA!$B$4),IF(DATOS!$G14979="EX",1,IF(DATOS!$G14979="OR",--(COUNTIFS(nNIA,DATOS!$A14979,nCURSO,DATOS!$D14979,nESPEC,DATOS!$E14979,nASIG,DATOS!$I14979,nEVAL,"EX")=0),0))))</f>
      </c>
      <c r="H14979">
        <f>IF(DATOS!$G14979&lt;&gt;"EX",0,--(COUNTIFS(nNIA,DATOS!$A14979,nCURSO,DATOS!$D14979,nESPEC,DATOS!$E14979,nASIG,DATOS!$I14979,nEVAL,"OR")=0))</f>
      </c>
      <c r="I14979">
        <f>IF(DATOS!$I14979="","",IFERROR(VLOOKUP(DATOS!$I14979,CONFIG_ASIGNATURAS!$B$2:$J$91,9,FALSE()),""))</f>
      </c>
    </row>
    <row r="14980">
      <c r="F14980">
        <f>IF(DATOS!$A14980="","",DATOS!$A14980&amp;"|"&amp;DATOS!$D14980&amp;"|"&amp;DATOS!$E14980&amp;"|"&amp;DATOS!$I14980)</f>
      </c>
      <c r="G14980">
        <f>IF(DATOS!$A14980="",0,IF(CONFIG_METADATA!$B$4&lt;&gt;"OR+EX",--(DATOS!$G14980=CONFIG_METADATA!$B$4),IF(DATOS!$G14980="EX",1,IF(DATOS!$G14980="OR",--(COUNTIFS(nNIA,DATOS!$A14980,nCURSO,DATOS!$D14980,nESPEC,DATOS!$E14980,nASIG,DATOS!$I14980,nEVAL,"EX")=0),0))))</f>
      </c>
      <c r="H14980">
        <f>IF(DATOS!$G14980&lt;&gt;"EX",0,--(COUNTIFS(nNIA,DATOS!$A14980,nCURSO,DATOS!$D14980,nESPEC,DATOS!$E14980,nASIG,DATOS!$I14980,nEVAL,"OR")=0))</f>
      </c>
      <c r="I14980">
        <f>IF(DATOS!$I14980="","",IFERROR(VLOOKUP(DATOS!$I14980,CONFIG_ASIGNATURAS!$B$2:$J$91,9,FALSE()),""))</f>
      </c>
    </row>
    <row r="14981">
      <c r="F14981">
        <f>IF(DATOS!$A14981="","",DATOS!$A14981&amp;"|"&amp;DATOS!$D14981&amp;"|"&amp;DATOS!$E14981&amp;"|"&amp;DATOS!$I14981)</f>
      </c>
      <c r="G14981">
        <f>IF(DATOS!$A14981="",0,IF(CONFIG_METADATA!$B$4&lt;&gt;"OR+EX",--(DATOS!$G14981=CONFIG_METADATA!$B$4),IF(DATOS!$G14981="EX",1,IF(DATOS!$G14981="OR",--(COUNTIFS(nNIA,DATOS!$A14981,nCURSO,DATOS!$D14981,nESPEC,DATOS!$E14981,nASIG,DATOS!$I14981,nEVAL,"EX")=0),0))))</f>
      </c>
      <c r="H14981">
        <f>IF(DATOS!$G14981&lt;&gt;"EX",0,--(COUNTIFS(nNIA,DATOS!$A14981,nCURSO,DATOS!$D14981,nESPEC,DATOS!$E14981,nASIG,DATOS!$I14981,nEVAL,"OR")=0))</f>
      </c>
      <c r="I14981">
        <f>IF(DATOS!$I14981="","",IFERROR(VLOOKUP(DATOS!$I14981,CONFIG_ASIGNATURAS!$B$2:$J$91,9,FALSE()),""))</f>
      </c>
    </row>
    <row r="14982">
      <c r="F14982">
        <f>IF(DATOS!$A14982="","",DATOS!$A14982&amp;"|"&amp;DATOS!$D14982&amp;"|"&amp;DATOS!$E14982&amp;"|"&amp;DATOS!$I14982)</f>
      </c>
      <c r="G14982">
        <f>IF(DATOS!$A14982="",0,IF(CONFIG_METADATA!$B$4&lt;&gt;"OR+EX",--(DATOS!$G14982=CONFIG_METADATA!$B$4),IF(DATOS!$G14982="EX",1,IF(DATOS!$G14982="OR",--(COUNTIFS(nNIA,DATOS!$A14982,nCURSO,DATOS!$D14982,nESPEC,DATOS!$E14982,nASIG,DATOS!$I14982,nEVAL,"EX")=0),0))))</f>
      </c>
      <c r="H14982">
        <f>IF(DATOS!$G14982&lt;&gt;"EX",0,--(COUNTIFS(nNIA,DATOS!$A14982,nCURSO,DATOS!$D14982,nESPEC,DATOS!$E14982,nASIG,DATOS!$I14982,nEVAL,"OR")=0))</f>
      </c>
      <c r="I14982">
        <f>IF(DATOS!$I14982="","",IFERROR(VLOOKUP(DATOS!$I14982,CONFIG_ASIGNATURAS!$B$2:$J$91,9,FALSE()),""))</f>
      </c>
    </row>
    <row r="14983">
      <c r="F14983">
        <f>IF(DATOS!$A14983="","",DATOS!$A14983&amp;"|"&amp;DATOS!$D14983&amp;"|"&amp;DATOS!$E14983&amp;"|"&amp;DATOS!$I14983)</f>
      </c>
      <c r="G14983">
        <f>IF(DATOS!$A14983="",0,IF(CONFIG_METADATA!$B$4&lt;&gt;"OR+EX",--(DATOS!$G14983=CONFIG_METADATA!$B$4),IF(DATOS!$G14983="EX",1,IF(DATOS!$G14983="OR",--(COUNTIFS(nNIA,DATOS!$A14983,nCURSO,DATOS!$D14983,nESPEC,DATOS!$E14983,nASIG,DATOS!$I14983,nEVAL,"EX")=0),0))))</f>
      </c>
      <c r="H14983">
        <f>IF(DATOS!$G14983&lt;&gt;"EX",0,--(COUNTIFS(nNIA,DATOS!$A14983,nCURSO,DATOS!$D14983,nESPEC,DATOS!$E14983,nASIG,DATOS!$I14983,nEVAL,"OR")=0))</f>
      </c>
      <c r="I14983">
        <f>IF(DATOS!$I14983="","",IFERROR(VLOOKUP(DATOS!$I14983,CONFIG_ASIGNATURAS!$B$2:$J$91,9,FALSE()),""))</f>
      </c>
    </row>
    <row r="14984">
      <c r="F14984">
        <f>IF(DATOS!$A14984="","",DATOS!$A14984&amp;"|"&amp;DATOS!$D14984&amp;"|"&amp;DATOS!$E14984&amp;"|"&amp;DATOS!$I14984)</f>
      </c>
      <c r="G14984">
        <f>IF(DATOS!$A14984="",0,IF(CONFIG_METADATA!$B$4&lt;&gt;"OR+EX",--(DATOS!$G14984=CONFIG_METADATA!$B$4),IF(DATOS!$G14984="EX",1,IF(DATOS!$G14984="OR",--(COUNTIFS(nNIA,DATOS!$A14984,nCURSO,DATOS!$D14984,nESPEC,DATOS!$E14984,nASIG,DATOS!$I14984,nEVAL,"EX")=0),0))))</f>
      </c>
      <c r="H14984">
        <f>IF(DATOS!$G14984&lt;&gt;"EX",0,--(COUNTIFS(nNIA,DATOS!$A14984,nCURSO,DATOS!$D14984,nESPEC,DATOS!$E14984,nASIG,DATOS!$I14984,nEVAL,"OR")=0))</f>
      </c>
      <c r="I14984">
        <f>IF(DATOS!$I14984="","",IFERROR(VLOOKUP(DATOS!$I14984,CONFIG_ASIGNATURAS!$B$2:$J$91,9,FALSE()),""))</f>
      </c>
    </row>
    <row r="14985">
      <c r="F14985">
        <f>IF(DATOS!$A14985="","",DATOS!$A14985&amp;"|"&amp;DATOS!$D14985&amp;"|"&amp;DATOS!$E14985&amp;"|"&amp;DATOS!$I14985)</f>
      </c>
      <c r="G14985">
        <f>IF(DATOS!$A14985="",0,IF(CONFIG_METADATA!$B$4&lt;&gt;"OR+EX",--(DATOS!$G14985=CONFIG_METADATA!$B$4),IF(DATOS!$G14985="EX",1,IF(DATOS!$G14985="OR",--(COUNTIFS(nNIA,DATOS!$A14985,nCURSO,DATOS!$D14985,nESPEC,DATOS!$E14985,nASIG,DATOS!$I14985,nEVAL,"EX")=0),0))))</f>
      </c>
      <c r="H14985">
        <f>IF(DATOS!$G14985&lt;&gt;"EX",0,--(COUNTIFS(nNIA,DATOS!$A14985,nCURSO,DATOS!$D14985,nESPEC,DATOS!$E14985,nASIG,DATOS!$I14985,nEVAL,"OR")=0))</f>
      </c>
      <c r="I14985">
        <f>IF(DATOS!$I14985="","",IFERROR(VLOOKUP(DATOS!$I14985,CONFIG_ASIGNATURAS!$B$2:$J$91,9,FALSE()),""))</f>
      </c>
    </row>
    <row r="14986">
      <c r="F14986">
        <f>IF(DATOS!$A14986="","",DATOS!$A14986&amp;"|"&amp;DATOS!$D14986&amp;"|"&amp;DATOS!$E14986&amp;"|"&amp;DATOS!$I14986)</f>
      </c>
      <c r="G14986">
        <f>IF(DATOS!$A14986="",0,IF(CONFIG_METADATA!$B$4&lt;&gt;"OR+EX",--(DATOS!$G14986=CONFIG_METADATA!$B$4),IF(DATOS!$G14986="EX",1,IF(DATOS!$G14986="OR",--(COUNTIFS(nNIA,DATOS!$A14986,nCURSO,DATOS!$D14986,nESPEC,DATOS!$E14986,nASIG,DATOS!$I14986,nEVAL,"EX")=0),0))))</f>
      </c>
      <c r="H14986">
        <f>IF(DATOS!$G14986&lt;&gt;"EX",0,--(COUNTIFS(nNIA,DATOS!$A14986,nCURSO,DATOS!$D14986,nESPEC,DATOS!$E14986,nASIG,DATOS!$I14986,nEVAL,"OR")=0))</f>
      </c>
      <c r="I14986">
        <f>IF(DATOS!$I14986="","",IFERROR(VLOOKUP(DATOS!$I14986,CONFIG_ASIGNATURAS!$B$2:$J$91,9,FALSE()),""))</f>
      </c>
    </row>
    <row r="14987">
      <c r="F14987">
        <f>IF(DATOS!$A14987="","",DATOS!$A14987&amp;"|"&amp;DATOS!$D14987&amp;"|"&amp;DATOS!$E14987&amp;"|"&amp;DATOS!$I14987)</f>
      </c>
      <c r="G14987">
        <f>IF(DATOS!$A14987="",0,IF(CONFIG_METADATA!$B$4&lt;&gt;"OR+EX",--(DATOS!$G14987=CONFIG_METADATA!$B$4),IF(DATOS!$G14987="EX",1,IF(DATOS!$G14987="OR",--(COUNTIFS(nNIA,DATOS!$A14987,nCURSO,DATOS!$D14987,nESPEC,DATOS!$E14987,nASIG,DATOS!$I14987,nEVAL,"EX")=0),0))))</f>
      </c>
      <c r="H14987">
        <f>IF(DATOS!$G14987&lt;&gt;"EX",0,--(COUNTIFS(nNIA,DATOS!$A14987,nCURSO,DATOS!$D14987,nESPEC,DATOS!$E14987,nASIG,DATOS!$I14987,nEVAL,"OR")=0))</f>
      </c>
      <c r="I14987">
        <f>IF(DATOS!$I14987="","",IFERROR(VLOOKUP(DATOS!$I14987,CONFIG_ASIGNATURAS!$B$2:$J$91,9,FALSE()),""))</f>
      </c>
    </row>
    <row r="14988">
      <c r="F14988">
        <f>IF(DATOS!$A14988="","",DATOS!$A14988&amp;"|"&amp;DATOS!$D14988&amp;"|"&amp;DATOS!$E14988&amp;"|"&amp;DATOS!$I14988)</f>
      </c>
      <c r="G14988">
        <f>IF(DATOS!$A14988="",0,IF(CONFIG_METADATA!$B$4&lt;&gt;"OR+EX",--(DATOS!$G14988=CONFIG_METADATA!$B$4),IF(DATOS!$G14988="EX",1,IF(DATOS!$G14988="OR",--(COUNTIFS(nNIA,DATOS!$A14988,nCURSO,DATOS!$D14988,nESPEC,DATOS!$E14988,nASIG,DATOS!$I14988,nEVAL,"EX")=0),0))))</f>
      </c>
      <c r="H14988">
        <f>IF(DATOS!$G14988&lt;&gt;"EX",0,--(COUNTIFS(nNIA,DATOS!$A14988,nCURSO,DATOS!$D14988,nESPEC,DATOS!$E14988,nASIG,DATOS!$I14988,nEVAL,"OR")=0))</f>
      </c>
      <c r="I14988">
        <f>IF(DATOS!$I14988="","",IFERROR(VLOOKUP(DATOS!$I14988,CONFIG_ASIGNATURAS!$B$2:$J$91,9,FALSE()),""))</f>
      </c>
    </row>
    <row r="14989">
      <c r="F14989">
        <f>IF(DATOS!$A14989="","",DATOS!$A14989&amp;"|"&amp;DATOS!$D14989&amp;"|"&amp;DATOS!$E14989&amp;"|"&amp;DATOS!$I14989)</f>
      </c>
      <c r="G14989">
        <f>IF(DATOS!$A14989="",0,IF(CONFIG_METADATA!$B$4&lt;&gt;"OR+EX",--(DATOS!$G14989=CONFIG_METADATA!$B$4),IF(DATOS!$G14989="EX",1,IF(DATOS!$G14989="OR",--(COUNTIFS(nNIA,DATOS!$A14989,nCURSO,DATOS!$D14989,nESPEC,DATOS!$E14989,nASIG,DATOS!$I14989,nEVAL,"EX")=0),0))))</f>
      </c>
      <c r="H14989">
        <f>IF(DATOS!$G14989&lt;&gt;"EX",0,--(COUNTIFS(nNIA,DATOS!$A14989,nCURSO,DATOS!$D14989,nESPEC,DATOS!$E14989,nASIG,DATOS!$I14989,nEVAL,"OR")=0))</f>
      </c>
      <c r="I14989">
        <f>IF(DATOS!$I14989="","",IFERROR(VLOOKUP(DATOS!$I14989,CONFIG_ASIGNATURAS!$B$2:$J$91,9,FALSE()),""))</f>
      </c>
    </row>
    <row r="14990">
      <c r="F14990">
        <f>IF(DATOS!$A14990="","",DATOS!$A14990&amp;"|"&amp;DATOS!$D14990&amp;"|"&amp;DATOS!$E14990&amp;"|"&amp;DATOS!$I14990)</f>
      </c>
      <c r="G14990">
        <f>IF(DATOS!$A14990="",0,IF(CONFIG_METADATA!$B$4&lt;&gt;"OR+EX",--(DATOS!$G14990=CONFIG_METADATA!$B$4),IF(DATOS!$G14990="EX",1,IF(DATOS!$G14990="OR",--(COUNTIFS(nNIA,DATOS!$A14990,nCURSO,DATOS!$D14990,nESPEC,DATOS!$E14990,nASIG,DATOS!$I14990,nEVAL,"EX")=0),0))))</f>
      </c>
      <c r="H14990">
        <f>IF(DATOS!$G14990&lt;&gt;"EX",0,--(COUNTIFS(nNIA,DATOS!$A14990,nCURSO,DATOS!$D14990,nESPEC,DATOS!$E14990,nASIG,DATOS!$I14990,nEVAL,"OR")=0))</f>
      </c>
      <c r="I14990">
        <f>IF(DATOS!$I14990="","",IFERROR(VLOOKUP(DATOS!$I14990,CONFIG_ASIGNATURAS!$B$2:$J$91,9,FALSE()),""))</f>
      </c>
    </row>
    <row r="14991">
      <c r="F14991">
        <f>IF(DATOS!$A14991="","",DATOS!$A14991&amp;"|"&amp;DATOS!$D14991&amp;"|"&amp;DATOS!$E14991&amp;"|"&amp;DATOS!$I14991)</f>
      </c>
      <c r="G14991">
        <f>IF(DATOS!$A14991="",0,IF(CONFIG_METADATA!$B$4&lt;&gt;"OR+EX",--(DATOS!$G14991=CONFIG_METADATA!$B$4),IF(DATOS!$G14991="EX",1,IF(DATOS!$G14991="OR",--(COUNTIFS(nNIA,DATOS!$A14991,nCURSO,DATOS!$D14991,nESPEC,DATOS!$E14991,nASIG,DATOS!$I14991,nEVAL,"EX")=0),0))))</f>
      </c>
      <c r="H14991">
        <f>IF(DATOS!$G14991&lt;&gt;"EX",0,--(COUNTIFS(nNIA,DATOS!$A14991,nCURSO,DATOS!$D14991,nESPEC,DATOS!$E14991,nASIG,DATOS!$I14991,nEVAL,"OR")=0))</f>
      </c>
      <c r="I14991">
        <f>IF(DATOS!$I14991="","",IFERROR(VLOOKUP(DATOS!$I14991,CONFIG_ASIGNATURAS!$B$2:$J$91,9,FALSE()),""))</f>
      </c>
    </row>
    <row r="14992">
      <c r="F14992">
        <f>IF(DATOS!$A14992="","",DATOS!$A14992&amp;"|"&amp;DATOS!$D14992&amp;"|"&amp;DATOS!$E14992&amp;"|"&amp;DATOS!$I14992)</f>
      </c>
      <c r="G14992">
        <f>IF(DATOS!$A14992="",0,IF(CONFIG_METADATA!$B$4&lt;&gt;"OR+EX",--(DATOS!$G14992=CONFIG_METADATA!$B$4),IF(DATOS!$G14992="EX",1,IF(DATOS!$G14992="OR",--(COUNTIFS(nNIA,DATOS!$A14992,nCURSO,DATOS!$D14992,nESPEC,DATOS!$E14992,nASIG,DATOS!$I14992,nEVAL,"EX")=0),0))))</f>
      </c>
      <c r="H14992">
        <f>IF(DATOS!$G14992&lt;&gt;"EX",0,--(COUNTIFS(nNIA,DATOS!$A14992,nCURSO,DATOS!$D14992,nESPEC,DATOS!$E14992,nASIG,DATOS!$I14992,nEVAL,"OR")=0))</f>
      </c>
      <c r="I14992">
        <f>IF(DATOS!$I14992="","",IFERROR(VLOOKUP(DATOS!$I14992,CONFIG_ASIGNATURAS!$B$2:$J$91,9,FALSE()),""))</f>
      </c>
    </row>
    <row r="14993">
      <c r="F14993">
        <f>IF(DATOS!$A14993="","",DATOS!$A14993&amp;"|"&amp;DATOS!$D14993&amp;"|"&amp;DATOS!$E14993&amp;"|"&amp;DATOS!$I14993)</f>
      </c>
      <c r="G14993">
        <f>IF(DATOS!$A14993="",0,IF(CONFIG_METADATA!$B$4&lt;&gt;"OR+EX",--(DATOS!$G14993=CONFIG_METADATA!$B$4),IF(DATOS!$G14993="EX",1,IF(DATOS!$G14993="OR",--(COUNTIFS(nNIA,DATOS!$A14993,nCURSO,DATOS!$D14993,nESPEC,DATOS!$E14993,nASIG,DATOS!$I14993,nEVAL,"EX")=0),0))))</f>
      </c>
      <c r="H14993">
        <f>IF(DATOS!$G14993&lt;&gt;"EX",0,--(COUNTIFS(nNIA,DATOS!$A14993,nCURSO,DATOS!$D14993,nESPEC,DATOS!$E14993,nASIG,DATOS!$I14993,nEVAL,"OR")=0))</f>
      </c>
      <c r="I14993">
        <f>IF(DATOS!$I14993="","",IFERROR(VLOOKUP(DATOS!$I14993,CONFIG_ASIGNATURAS!$B$2:$J$91,9,FALSE()),""))</f>
      </c>
    </row>
    <row r="14994">
      <c r="F14994">
        <f>IF(DATOS!$A14994="","",DATOS!$A14994&amp;"|"&amp;DATOS!$D14994&amp;"|"&amp;DATOS!$E14994&amp;"|"&amp;DATOS!$I14994)</f>
      </c>
      <c r="G14994">
        <f>IF(DATOS!$A14994="",0,IF(CONFIG_METADATA!$B$4&lt;&gt;"OR+EX",--(DATOS!$G14994=CONFIG_METADATA!$B$4),IF(DATOS!$G14994="EX",1,IF(DATOS!$G14994="OR",--(COUNTIFS(nNIA,DATOS!$A14994,nCURSO,DATOS!$D14994,nESPEC,DATOS!$E14994,nASIG,DATOS!$I14994,nEVAL,"EX")=0),0))))</f>
      </c>
      <c r="H14994">
        <f>IF(DATOS!$G14994&lt;&gt;"EX",0,--(COUNTIFS(nNIA,DATOS!$A14994,nCURSO,DATOS!$D14994,nESPEC,DATOS!$E14994,nASIG,DATOS!$I14994,nEVAL,"OR")=0))</f>
      </c>
      <c r="I14994">
        <f>IF(DATOS!$I14994="","",IFERROR(VLOOKUP(DATOS!$I14994,CONFIG_ASIGNATURAS!$B$2:$J$91,9,FALSE()),""))</f>
      </c>
    </row>
    <row r="14995">
      <c r="F14995">
        <f>IF(DATOS!$A14995="","",DATOS!$A14995&amp;"|"&amp;DATOS!$D14995&amp;"|"&amp;DATOS!$E14995&amp;"|"&amp;DATOS!$I14995)</f>
      </c>
      <c r="G14995">
        <f>IF(DATOS!$A14995="",0,IF(CONFIG_METADATA!$B$4&lt;&gt;"OR+EX",--(DATOS!$G14995=CONFIG_METADATA!$B$4),IF(DATOS!$G14995="EX",1,IF(DATOS!$G14995="OR",--(COUNTIFS(nNIA,DATOS!$A14995,nCURSO,DATOS!$D14995,nESPEC,DATOS!$E14995,nASIG,DATOS!$I14995,nEVAL,"EX")=0),0))))</f>
      </c>
      <c r="H14995">
        <f>IF(DATOS!$G14995&lt;&gt;"EX",0,--(COUNTIFS(nNIA,DATOS!$A14995,nCURSO,DATOS!$D14995,nESPEC,DATOS!$E14995,nASIG,DATOS!$I14995,nEVAL,"OR")=0))</f>
      </c>
      <c r="I14995">
        <f>IF(DATOS!$I14995="","",IFERROR(VLOOKUP(DATOS!$I14995,CONFIG_ASIGNATURAS!$B$2:$J$91,9,FALSE()),""))</f>
      </c>
    </row>
    <row r="14996">
      <c r="F14996">
        <f>IF(DATOS!$A14996="","",DATOS!$A14996&amp;"|"&amp;DATOS!$D14996&amp;"|"&amp;DATOS!$E14996&amp;"|"&amp;DATOS!$I14996)</f>
      </c>
      <c r="G14996">
        <f>IF(DATOS!$A14996="",0,IF(CONFIG_METADATA!$B$4&lt;&gt;"OR+EX",--(DATOS!$G14996=CONFIG_METADATA!$B$4),IF(DATOS!$G14996="EX",1,IF(DATOS!$G14996="OR",--(COUNTIFS(nNIA,DATOS!$A14996,nCURSO,DATOS!$D14996,nESPEC,DATOS!$E14996,nASIG,DATOS!$I14996,nEVAL,"EX")=0),0))))</f>
      </c>
      <c r="H14996">
        <f>IF(DATOS!$G14996&lt;&gt;"EX",0,--(COUNTIFS(nNIA,DATOS!$A14996,nCURSO,DATOS!$D14996,nESPEC,DATOS!$E14996,nASIG,DATOS!$I14996,nEVAL,"OR")=0))</f>
      </c>
      <c r="I14996">
        <f>IF(DATOS!$I14996="","",IFERROR(VLOOKUP(DATOS!$I14996,CONFIG_ASIGNATURAS!$B$2:$J$91,9,FALSE()),""))</f>
      </c>
    </row>
    <row r="14997">
      <c r="F14997">
        <f>IF(DATOS!$A14997="","",DATOS!$A14997&amp;"|"&amp;DATOS!$D14997&amp;"|"&amp;DATOS!$E14997&amp;"|"&amp;DATOS!$I14997)</f>
      </c>
      <c r="G14997">
        <f>IF(DATOS!$A14997="",0,IF(CONFIG_METADATA!$B$4&lt;&gt;"OR+EX",--(DATOS!$G14997=CONFIG_METADATA!$B$4),IF(DATOS!$G14997="EX",1,IF(DATOS!$G14997="OR",--(COUNTIFS(nNIA,DATOS!$A14997,nCURSO,DATOS!$D14997,nESPEC,DATOS!$E14997,nASIG,DATOS!$I14997,nEVAL,"EX")=0),0))))</f>
      </c>
      <c r="H14997">
        <f>IF(DATOS!$G14997&lt;&gt;"EX",0,--(COUNTIFS(nNIA,DATOS!$A14997,nCURSO,DATOS!$D14997,nESPEC,DATOS!$E14997,nASIG,DATOS!$I14997,nEVAL,"OR")=0))</f>
      </c>
      <c r="I14997">
        <f>IF(DATOS!$I14997="","",IFERROR(VLOOKUP(DATOS!$I14997,CONFIG_ASIGNATURAS!$B$2:$J$91,9,FALSE()),""))</f>
      </c>
    </row>
    <row r="14998">
      <c r="F14998">
        <f>IF(DATOS!$A14998="","",DATOS!$A14998&amp;"|"&amp;DATOS!$D14998&amp;"|"&amp;DATOS!$E14998&amp;"|"&amp;DATOS!$I14998)</f>
      </c>
      <c r="G14998">
        <f>IF(DATOS!$A14998="",0,IF(CONFIG_METADATA!$B$4&lt;&gt;"OR+EX",--(DATOS!$G14998=CONFIG_METADATA!$B$4),IF(DATOS!$G14998="EX",1,IF(DATOS!$G14998="OR",--(COUNTIFS(nNIA,DATOS!$A14998,nCURSO,DATOS!$D14998,nESPEC,DATOS!$E14998,nASIG,DATOS!$I14998,nEVAL,"EX")=0),0))))</f>
      </c>
      <c r="H14998">
        <f>IF(DATOS!$G14998&lt;&gt;"EX",0,--(COUNTIFS(nNIA,DATOS!$A14998,nCURSO,DATOS!$D14998,nESPEC,DATOS!$E14998,nASIG,DATOS!$I14998,nEVAL,"OR")=0))</f>
      </c>
      <c r="I14998">
        <f>IF(DATOS!$I14998="","",IFERROR(VLOOKUP(DATOS!$I14998,CONFIG_ASIGNATURAS!$B$2:$J$91,9,FALSE()),""))</f>
      </c>
    </row>
    <row r="14999">
      <c r="F14999">
        <f>IF(DATOS!$A14999="","",DATOS!$A14999&amp;"|"&amp;DATOS!$D14999&amp;"|"&amp;DATOS!$E14999&amp;"|"&amp;DATOS!$I14999)</f>
      </c>
      <c r="G14999">
        <f>IF(DATOS!$A14999="",0,IF(CONFIG_METADATA!$B$4&lt;&gt;"OR+EX",--(DATOS!$G14999=CONFIG_METADATA!$B$4),IF(DATOS!$G14999="EX",1,IF(DATOS!$G14999="OR",--(COUNTIFS(nNIA,DATOS!$A14999,nCURSO,DATOS!$D14999,nESPEC,DATOS!$E14999,nASIG,DATOS!$I14999,nEVAL,"EX")=0),0))))</f>
      </c>
      <c r="H14999">
        <f>IF(DATOS!$G14999&lt;&gt;"EX",0,--(COUNTIFS(nNIA,DATOS!$A14999,nCURSO,DATOS!$D14999,nESPEC,DATOS!$E14999,nASIG,DATOS!$I14999,nEVAL,"OR")=0))</f>
      </c>
      <c r="I14999">
        <f>IF(DATOS!$I14999="","",IFERROR(VLOOKUP(DATOS!$I14999,CONFIG_ASIGNATURAS!$B$2:$J$91,9,FALSE()),""))</f>
      </c>
    </row>
    <row r="15000">
      <c r="F15000">
        <f>IF(DATOS!$A15000="","",DATOS!$A15000&amp;"|"&amp;DATOS!$D15000&amp;"|"&amp;DATOS!$E15000&amp;"|"&amp;DATOS!$I15000)</f>
      </c>
      <c r="G15000">
        <f>IF(DATOS!$A15000="",0,IF(CONFIG_METADATA!$B$4&lt;&gt;"OR+EX",--(DATOS!$G15000=CONFIG_METADATA!$B$4),IF(DATOS!$G15000="EX",1,IF(DATOS!$G15000="OR",--(COUNTIFS(nNIA,DATOS!$A15000,nCURSO,DATOS!$D15000,nESPEC,DATOS!$E15000,nASIG,DATOS!$I15000,nEVAL,"EX")=0),0))))</f>
      </c>
      <c r="H15000">
        <f>IF(DATOS!$G15000&lt;&gt;"EX",0,--(COUNTIFS(nNIA,DATOS!$A15000,nCURSO,DATOS!$D15000,nESPEC,DATOS!$E15000,nASIG,DATOS!$I15000,nEVAL,"OR")=0))</f>
      </c>
      <c r="I15000">
        <f>IF(DATOS!$I15000="","",IFERROR(VLOOKUP(DATOS!$I15000,CONFIG_ASIGNATURAS!$B$2:$J$91,9,FALSE()),""))</f>
      </c>
    </row>
    <row r="15001">
      <c r="F15001">
        <f>IF(DATOS!$A15001="","",DATOS!$A15001&amp;"|"&amp;DATOS!$D15001&amp;"|"&amp;DATOS!$E15001&amp;"|"&amp;DATOS!$I15001)</f>
      </c>
      <c r="G15001">
        <f>IF(DATOS!$A15001="",0,IF(CONFIG_METADATA!$B$4&lt;&gt;"OR+EX",--(DATOS!$G15001=CONFIG_METADATA!$B$4),IF(DATOS!$G15001="EX",1,IF(DATOS!$G15001="OR",--(COUNTIFS(nNIA,DATOS!$A15001,nCURSO,DATOS!$D15001,nESPEC,DATOS!$E15001,nASIG,DATOS!$I15001,nEVAL,"EX")=0),0))))</f>
      </c>
      <c r="H15001">
        <f>IF(DATOS!$G15001&lt;&gt;"EX",0,--(COUNTIFS(nNIA,DATOS!$A15001,nCURSO,DATOS!$D15001,nESPEC,DATOS!$E15001,nASIG,DATOS!$I15001,nEVAL,"OR")=0))</f>
      </c>
      <c r="I15001">
        <f>IF(DATOS!$I15001="","",IFERROR(VLOOKUP(DATOS!$I15001,CONFIG_ASIGNATURAS!$B$2:$J$91,9,FALSE()),""))</f>
      </c>
    </row>
    <row r="15002">
      <c r="F15002">
        <f>IF(DATOS!$A15002="","",DATOS!$A15002&amp;"|"&amp;DATOS!$D15002&amp;"|"&amp;DATOS!$E15002&amp;"|"&amp;DATOS!$I15002)</f>
      </c>
      <c r="G15002">
        <f>IF(DATOS!$A15002="",0,IF(CONFIG_METADATA!$B$4&lt;&gt;"OR+EX",--(DATOS!$G15002=CONFIG_METADATA!$B$4),IF(DATOS!$G15002="EX",1,IF(DATOS!$G15002="OR",--(COUNTIFS(nNIA,DATOS!$A15002,nCURSO,DATOS!$D15002,nESPEC,DATOS!$E15002,nASIG,DATOS!$I15002,nEVAL,"EX")=0),0))))</f>
      </c>
      <c r="H15002">
        <f>IF(DATOS!$G15002&lt;&gt;"EX",0,--(COUNTIFS(nNIA,DATOS!$A15002,nCURSO,DATOS!$D15002,nESPEC,DATOS!$E15002,nASIG,DATOS!$I15002,nEVAL,"OR")=0))</f>
      </c>
      <c r="I15002">
        <f>IF(DATOS!$I15002="","",IFERROR(VLOOKUP(DATOS!$I15002,CONFIG_ASIGNATURAS!$B$2:$J$91,9,FALSE()),""))</f>
      </c>
    </row>
    <row r="15003">
      <c r="F15003">
        <f>IF(DATOS!$A15003="","",DATOS!$A15003&amp;"|"&amp;DATOS!$D15003&amp;"|"&amp;DATOS!$E15003&amp;"|"&amp;DATOS!$I15003)</f>
      </c>
      <c r="G15003">
        <f>IF(DATOS!$A15003="",0,IF(CONFIG_METADATA!$B$4&lt;&gt;"OR+EX",--(DATOS!$G15003=CONFIG_METADATA!$B$4),IF(DATOS!$G15003="EX",1,IF(DATOS!$G15003="OR",--(COUNTIFS(nNIA,DATOS!$A15003,nCURSO,DATOS!$D15003,nESPEC,DATOS!$E15003,nASIG,DATOS!$I15003,nEVAL,"EX")=0),0))))</f>
      </c>
      <c r="H15003">
        <f>IF(DATOS!$G15003&lt;&gt;"EX",0,--(COUNTIFS(nNIA,DATOS!$A15003,nCURSO,DATOS!$D15003,nESPEC,DATOS!$E15003,nASIG,DATOS!$I15003,nEVAL,"OR")=0))</f>
      </c>
      <c r="I15003">
        <f>IF(DATOS!$I15003="","",IFERROR(VLOOKUP(DATOS!$I15003,CONFIG_ASIGNATURAS!$B$2:$J$91,9,FALSE()),""))</f>
      </c>
    </row>
    <row r="15004">
      <c r="F15004">
        <f>IF(DATOS!$A15004="","",DATOS!$A15004&amp;"|"&amp;DATOS!$D15004&amp;"|"&amp;DATOS!$E15004&amp;"|"&amp;DATOS!$I15004)</f>
      </c>
      <c r="G15004">
        <f>IF(DATOS!$A15004="",0,IF(CONFIG_METADATA!$B$4&lt;&gt;"OR+EX",--(DATOS!$G15004=CONFIG_METADATA!$B$4),IF(DATOS!$G15004="EX",1,IF(DATOS!$G15004="OR",--(COUNTIFS(nNIA,DATOS!$A15004,nCURSO,DATOS!$D15004,nESPEC,DATOS!$E15004,nASIG,DATOS!$I15004,nEVAL,"EX")=0),0))))</f>
      </c>
      <c r="H15004">
        <f>IF(DATOS!$G15004&lt;&gt;"EX",0,--(COUNTIFS(nNIA,DATOS!$A15004,nCURSO,DATOS!$D15004,nESPEC,DATOS!$E15004,nASIG,DATOS!$I15004,nEVAL,"OR")=0))</f>
      </c>
      <c r="I15004">
        <f>IF(DATOS!$I15004="","",IFERROR(VLOOKUP(DATOS!$I15004,CONFIG_ASIGNATURAS!$B$2:$J$91,9,FALSE()),""))</f>
      </c>
    </row>
    <row r="15005">
      <c r="F15005">
        <f>IF(DATOS!$A15005="","",DATOS!$A15005&amp;"|"&amp;DATOS!$D15005&amp;"|"&amp;DATOS!$E15005&amp;"|"&amp;DATOS!$I15005)</f>
      </c>
      <c r="G15005">
        <f>IF(DATOS!$A15005="",0,IF(CONFIG_METADATA!$B$4&lt;&gt;"OR+EX",--(DATOS!$G15005=CONFIG_METADATA!$B$4),IF(DATOS!$G15005="EX",1,IF(DATOS!$G15005="OR",--(COUNTIFS(nNIA,DATOS!$A15005,nCURSO,DATOS!$D15005,nESPEC,DATOS!$E15005,nASIG,DATOS!$I15005,nEVAL,"EX")=0),0))))</f>
      </c>
      <c r="H15005">
        <f>IF(DATOS!$G15005&lt;&gt;"EX",0,--(COUNTIFS(nNIA,DATOS!$A15005,nCURSO,DATOS!$D15005,nESPEC,DATOS!$E15005,nASIG,DATOS!$I15005,nEVAL,"OR")=0))</f>
      </c>
      <c r="I15005">
        <f>IF(DATOS!$I15005="","",IFERROR(VLOOKUP(DATOS!$I15005,CONFIG_ASIGNATURAS!$B$2:$J$91,9,FALSE()),""))</f>
      </c>
    </row>
    <row r="15006">
      <c r="F15006">
        <f>IF(DATOS!$A15006="","",DATOS!$A15006&amp;"|"&amp;DATOS!$D15006&amp;"|"&amp;DATOS!$E15006&amp;"|"&amp;DATOS!$I15006)</f>
      </c>
      <c r="G15006">
        <f>IF(DATOS!$A15006="",0,IF(CONFIG_METADATA!$B$4&lt;&gt;"OR+EX",--(DATOS!$G15006=CONFIG_METADATA!$B$4),IF(DATOS!$G15006="EX",1,IF(DATOS!$G15006="OR",--(COUNTIFS(nNIA,DATOS!$A15006,nCURSO,DATOS!$D15006,nESPEC,DATOS!$E15006,nASIG,DATOS!$I15006,nEVAL,"EX")=0),0))))</f>
      </c>
      <c r="H15006">
        <f>IF(DATOS!$G15006&lt;&gt;"EX",0,--(COUNTIFS(nNIA,DATOS!$A15006,nCURSO,DATOS!$D15006,nESPEC,DATOS!$E15006,nASIG,DATOS!$I15006,nEVAL,"OR")=0))</f>
      </c>
      <c r="I15006">
        <f>IF(DATOS!$I15006="","",IFERROR(VLOOKUP(DATOS!$I15006,CONFIG_ASIGNATURAS!$B$2:$J$91,9,FALSE()),""))</f>
      </c>
    </row>
    <row r="15007">
      <c r="F15007">
        <f>IF(DATOS!$A15007="","",DATOS!$A15007&amp;"|"&amp;DATOS!$D15007&amp;"|"&amp;DATOS!$E15007&amp;"|"&amp;DATOS!$I15007)</f>
      </c>
      <c r="G15007">
        <f>IF(DATOS!$A15007="",0,IF(CONFIG_METADATA!$B$4&lt;&gt;"OR+EX",--(DATOS!$G15007=CONFIG_METADATA!$B$4),IF(DATOS!$G15007="EX",1,IF(DATOS!$G15007="OR",--(COUNTIFS(nNIA,DATOS!$A15007,nCURSO,DATOS!$D15007,nESPEC,DATOS!$E15007,nASIG,DATOS!$I15007,nEVAL,"EX")=0),0))))</f>
      </c>
      <c r="H15007">
        <f>IF(DATOS!$G15007&lt;&gt;"EX",0,--(COUNTIFS(nNIA,DATOS!$A15007,nCURSO,DATOS!$D15007,nESPEC,DATOS!$E15007,nASIG,DATOS!$I15007,nEVAL,"OR")=0))</f>
      </c>
      <c r="I15007">
        <f>IF(DATOS!$I15007="","",IFERROR(VLOOKUP(DATOS!$I15007,CONFIG_ASIGNATURAS!$B$2:$J$91,9,FALSE()),""))</f>
      </c>
    </row>
    <row r="15008">
      <c r="F15008">
        <f>IF(DATOS!$A15008="","",DATOS!$A15008&amp;"|"&amp;DATOS!$D15008&amp;"|"&amp;DATOS!$E15008&amp;"|"&amp;DATOS!$I15008)</f>
      </c>
      <c r="G15008">
        <f>IF(DATOS!$A15008="",0,IF(CONFIG_METADATA!$B$4&lt;&gt;"OR+EX",--(DATOS!$G15008=CONFIG_METADATA!$B$4),IF(DATOS!$G15008="EX",1,IF(DATOS!$G15008="OR",--(COUNTIFS(nNIA,DATOS!$A15008,nCURSO,DATOS!$D15008,nESPEC,DATOS!$E15008,nASIG,DATOS!$I15008,nEVAL,"EX")=0),0))))</f>
      </c>
      <c r="H15008">
        <f>IF(DATOS!$G15008&lt;&gt;"EX",0,--(COUNTIFS(nNIA,DATOS!$A15008,nCURSO,DATOS!$D15008,nESPEC,DATOS!$E15008,nASIG,DATOS!$I15008,nEVAL,"OR")=0))</f>
      </c>
      <c r="I15008">
        <f>IF(DATOS!$I15008="","",IFERROR(VLOOKUP(DATOS!$I15008,CONFIG_ASIGNATURAS!$B$2:$J$91,9,FALSE()),""))</f>
      </c>
    </row>
    <row r="15009">
      <c r="F15009">
        <f>IF(DATOS!$A15009="","",DATOS!$A15009&amp;"|"&amp;DATOS!$D15009&amp;"|"&amp;DATOS!$E15009&amp;"|"&amp;DATOS!$I15009)</f>
      </c>
      <c r="G15009">
        <f>IF(DATOS!$A15009="",0,IF(CONFIG_METADATA!$B$4&lt;&gt;"OR+EX",--(DATOS!$G15009=CONFIG_METADATA!$B$4),IF(DATOS!$G15009="EX",1,IF(DATOS!$G15009="OR",--(COUNTIFS(nNIA,DATOS!$A15009,nCURSO,DATOS!$D15009,nESPEC,DATOS!$E15009,nASIG,DATOS!$I15009,nEVAL,"EX")=0),0))))</f>
      </c>
      <c r="H15009">
        <f>IF(DATOS!$G15009&lt;&gt;"EX",0,--(COUNTIFS(nNIA,DATOS!$A15009,nCURSO,DATOS!$D15009,nESPEC,DATOS!$E15009,nASIG,DATOS!$I15009,nEVAL,"OR")=0))</f>
      </c>
      <c r="I15009">
        <f>IF(DATOS!$I15009="","",IFERROR(VLOOKUP(DATOS!$I15009,CONFIG_ASIGNATURAS!$B$2:$J$91,9,FALSE()),""))</f>
      </c>
    </row>
    <row r="15010">
      <c r="F15010">
        <f>IF(DATOS!$A15010="","",DATOS!$A15010&amp;"|"&amp;DATOS!$D15010&amp;"|"&amp;DATOS!$E15010&amp;"|"&amp;DATOS!$I15010)</f>
      </c>
      <c r="G15010">
        <f>IF(DATOS!$A15010="",0,IF(CONFIG_METADATA!$B$4&lt;&gt;"OR+EX",--(DATOS!$G15010=CONFIG_METADATA!$B$4),IF(DATOS!$G15010="EX",1,IF(DATOS!$G15010="OR",--(COUNTIFS(nNIA,DATOS!$A15010,nCURSO,DATOS!$D15010,nESPEC,DATOS!$E15010,nASIG,DATOS!$I15010,nEVAL,"EX")=0),0))))</f>
      </c>
      <c r="H15010">
        <f>IF(DATOS!$G15010&lt;&gt;"EX",0,--(COUNTIFS(nNIA,DATOS!$A15010,nCURSO,DATOS!$D15010,nESPEC,DATOS!$E15010,nASIG,DATOS!$I15010,nEVAL,"OR")=0))</f>
      </c>
      <c r="I15010">
        <f>IF(DATOS!$I15010="","",IFERROR(VLOOKUP(DATOS!$I15010,CONFIG_ASIGNATURAS!$B$2:$J$91,9,FALSE()),""))</f>
      </c>
    </row>
    <row r="15011">
      <c r="F15011">
        <f>IF(DATOS!$A15011="","",DATOS!$A15011&amp;"|"&amp;DATOS!$D15011&amp;"|"&amp;DATOS!$E15011&amp;"|"&amp;DATOS!$I15011)</f>
      </c>
      <c r="G15011">
        <f>IF(DATOS!$A15011="",0,IF(CONFIG_METADATA!$B$4&lt;&gt;"OR+EX",--(DATOS!$G15011=CONFIG_METADATA!$B$4),IF(DATOS!$G15011="EX",1,IF(DATOS!$G15011="OR",--(COUNTIFS(nNIA,DATOS!$A15011,nCURSO,DATOS!$D15011,nESPEC,DATOS!$E15011,nASIG,DATOS!$I15011,nEVAL,"EX")=0),0))))</f>
      </c>
      <c r="H15011">
        <f>IF(DATOS!$G15011&lt;&gt;"EX",0,--(COUNTIFS(nNIA,DATOS!$A15011,nCURSO,DATOS!$D15011,nESPEC,DATOS!$E15011,nASIG,DATOS!$I15011,nEVAL,"OR")=0))</f>
      </c>
      <c r="I15011">
        <f>IF(DATOS!$I15011="","",IFERROR(VLOOKUP(DATOS!$I15011,CONFIG_ASIGNATURAS!$B$2:$J$91,9,FALSE()),""))</f>
      </c>
    </row>
    <row r="15012">
      <c r="F15012">
        <f>IF(DATOS!$A15012="","",DATOS!$A15012&amp;"|"&amp;DATOS!$D15012&amp;"|"&amp;DATOS!$E15012&amp;"|"&amp;DATOS!$I15012)</f>
      </c>
      <c r="G15012">
        <f>IF(DATOS!$A15012="",0,IF(CONFIG_METADATA!$B$4&lt;&gt;"OR+EX",--(DATOS!$G15012=CONFIG_METADATA!$B$4),IF(DATOS!$G15012="EX",1,IF(DATOS!$G15012="OR",--(COUNTIFS(nNIA,DATOS!$A15012,nCURSO,DATOS!$D15012,nESPEC,DATOS!$E15012,nASIG,DATOS!$I15012,nEVAL,"EX")=0),0))))</f>
      </c>
      <c r="H15012">
        <f>IF(DATOS!$G15012&lt;&gt;"EX",0,--(COUNTIFS(nNIA,DATOS!$A15012,nCURSO,DATOS!$D15012,nESPEC,DATOS!$E15012,nASIG,DATOS!$I15012,nEVAL,"OR")=0))</f>
      </c>
      <c r="I15012">
        <f>IF(DATOS!$I15012="","",IFERROR(VLOOKUP(DATOS!$I15012,CONFIG_ASIGNATURAS!$B$2:$J$91,9,FALSE()),""))</f>
      </c>
    </row>
    <row r="15013">
      <c r="F15013">
        <f>IF(DATOS!$A15013="","",DATOS!$A15013&amp;"|"&amp;DATOS!$D15013&amp;"|"&amp;DATOS!$E15013&amp;"|"&amp;DATOS!$I15013)</f>
      </c>
      <c r="G15013">
        <f>IF(DATOS!$A15013="",0,IF(CONFIG_METADATA!$B$4&lt;&gt;"OR+EX",--(DATOS!$G15013=CONFIG_METADATA!$B$4),IF(DATOS!$G15013="EX",1,IF(DATOS!$G15013="OR",--(COUNTIFS(nNIA,DATOS!$A15013,nCURSO,DATOS!$D15013,nESPEC,DATOS!$E15013,nASIG,DATOS!$I15013,nEVAL,"EX")=0),0))))</f>
      </c>
      <c r="H15013">
        <f>IF(DATOS!$G15013&lt;&gt;"EX",0,--(COUNTIFS(nNIA,DATOS!$A15013,nCURSO,DATOS!$D15013,nESPEC,DATOS!$E15013,nASIG,DATOS!$I15013,nEVAL,"OR")=0))</f>
      </c>
      <c r="I15013">
        <f>IF(DATOS!$I15013="","",IFERROR(VLOOKUP(DATOS!$I15013,CONFIG_ASIGNATURAS!$B$2:$J$91,9,FALSE()),""))</f>
      </c>
    </row>
    <row r="15014">
      <c r="F15014">
        <f>IF(DATOS!$A15014="","",DATOS!$A15014&amp;"|"&amp;DATOS!$D15014&amp;"|"&amp;DATOS!$E15014&amp;"|"&amp;DATOS!$I15014)</f>
      </c>
      <c r="G15014">
        <f>IF(DATOS!$A15014="",0,IF(CONFIG_METADATA!$B$4&lt;&gt;"OR+EX",--(DATOS!$G15014=CONFIG_METADATA!$B$4),IF(DATOS!$G15014="EX",1,IF(DATOS!$G15014="OR",--(COUNTIFS(nNIA,DATOS!$A15014,nCURSO,DATOS!$D15014,nESPEC,DATOS!$E15014,nASIG,DATOS!$I15014,nEVAL,"EX")=0),0))))</f>
      </c>
      <c r="H15014">
        <f>IF(DATOS!$G15014&lt;&gt;"EX",0,--(COUNTIFS(nNIA,DATOS!$A15014,nCURSO,DATOS!$D15014,nESPEC,DATOS!$E15014,nASIG,DATOS!$I15014,nEVAL,"OR")=0))</f>
      </c>
      <c r="I15014">
        <f>IF(DATOS!$I15014="","",IFERROR(VLOOKUP(DATOS!$I15014,CONFIG_ASIGNATURAS!$B$2:$J$91,9,FALSE()),""))</f>
      </c>
    </row>
    <row r="15015">
      <c r="F15015">
        <f>IF(DATOS!$A15015="","",DATOS!$A15015&amp;"|"&amp;DATOS!$D15015&amp;"|"&amp;DATOS!$E15015&amp;"|"&amp;DATOS!$I15015)</f>
      </c>
      <c r="G15015">
        <f>IF(DATOS!$A15015="",0,IF(CONFIG_METADATA!$B$4&lt;&gt;"OR+EX",--(DATOS!$G15015=CONFIG_METADATA!$B$4),IF(DATOS!$G15015="EX",1,IF(DATOS!$G15015="OR",--(COUNTIFS(nNIA,DATOS!$A15015,nCURSO,DATOS!$D15015,nESPEC,DATOS!$E15015,nASIG,DATOS!$I15015,nEVAL,"EX")=0),0))))</f>
      </c>
      <c r="H15015">
        <f>IF(DATOS!$G15015&lt;&gt;"EX",0,--(COUNTIFS(nNIA,DATOS!$A15015,nCURSO,DATOS!$D15015,nESPEC,DATOS!$E15015,nASIG,DATOS!$I15015,nEVAL,"OR")=0))</f>
      </c>
      <c r="I15015">
        <f>IF(DATOS!$I15015="","",IFERROR(VLOOKUP(DATOS!$I15015,CONFIG_ASIGNATURAS!$B$2:$J$91,9,FALSE()),""))</f>
      </c>
    </row>
    <row r="15016">
      <c r="F15016">
        <f>IF(DATOS!$A15016="","",DATOS!$A15016&amp;"|"&amp;DATOS!$D15016&amp;"|"&amp;DATOS!$E15016&amp;"|"&amp;DATOS!$I15016)</f>
      </c>
      <c r="G15016">
        <f>IF(DATOS!$A15016="",0,IF(CONFIG_METADATA!$B$4&lt;&gt;"OR+EX",--(DATOS!$G15016=CONFIG_METADATA!$B$4),IF(DATOS!$G15016="EX",1,IF(DATOS!$G15016="OR",--(COUNTIFS(nNIA,DATOS!$A15016,nCURSO,DATOS!$D15016,nESPEC,DATOS!$E15016,nASIG,DATOS!$I15016,nEVAL,"EX")=0),0))))</f>
      </c>
      <c r="H15016">
        <f>IF(DATOS!$G15016&lt;&gt;"EX",0,--(COUNTIFS(nNIA,DATOS!$A15016,nCURSO,DATOS!$D15016,nESPEC,DATOS!$E15016,nASIG,DATOS!$I15016,nEVAL,"OR")=0))</f>
      </c>
      <c r="I15016">
        <f>IF(DATOS!$I15016="","",IFERROR(VLOOKUP(DATOS!$I15016,CONFIG_ASIGNATURAS!$B$2:$J$91,9,FALSE()),""))</f>
      </c>
    </row>
    <row r="15017">
      <c r="F15017">
        <f>IF(DATOS!$A15017="","",DATOS!$A15017&amp;"|"&amp;DATOS!$D15017&amp;"|"&amp;DATOS!$E15017&amp;"|"&amp;DATOS!$I15017)</f>
      </c>
      <c r="G15017">
        <f>IF(DATOS!$A15017="",0,IF(CONFIG_METADATA!$B$4&lt;&gt;"OR+EX",--(DATOS!$G15017=CONFIG_METADATA!$B$4),IF(DATOS!$G15017="EX",1,IF(DATOS!$G15017="OR",--(COUNTIFS(nNIA,DATOS!$A15017,nCURSO,DATOS!$D15017,nESPEC,DATOS!$E15017,nASIG,DATOS!$I15017,nEVAL,"EX")=0),0))))</f>
      </c>
      <c r="H15017">
        <f>IF(DATOS!$G15017&lt;&gt;"EX",0,--(COUNTIFS(nNIA,DATOS!$A15017,nCURSO,DATOS!$D15017,nESPEC,DATOS!$E15017,nASIG,DATOS!$I15017,nEVAL,"OR")=0))</f>
      </c>
      <c r="I15017">
        <f>IF(DATOS!$I15017="","",IFERROR(VLOOKUP(DATOS!$I15017,CONFIG_ASIGNATURAS!$B$2:$J$91,9,FALSE()),""))</f>
      </c>
    </row>
    <row r="15018">
      <c r="F15018">
        <f>IF(DATOS!$A15018="","",DATOS!$A15018&amp;"|"&amp;DATOS!$D15018&amp;"|"&amp;DATOS!$E15018&amp;"|"&amp;DATOS!$I15018)</f>
      </c>
      <c r="G15018">
        <f>IF(DATOS!$A15018="",0,IF(CONFIG_METADATA!$B$4&lt;&gt;"OR+EX",--(DATOS!$G15018=CONFIG_METADATA!$B$4),IF(DATOS!$G15018="EX",1,IF(DATOS!$G15018="OR",--(COUNTIFS(nNIA,DATOS!$A15018,nCURSO,DATOS!$D15018,nESPEC,DATOS!$E15018,nASIG,DATOS!$I15018,nEVAL,"EX")=0),0))))</f>
      </c>
      <c r="H15018">
        <f>IF(DATOS!$G15018&lt;&gt;"EX",0,--(COUNTIFS(nNIA,DATOS!$A15018,nCURSO,DATOS!$D15018,nESPEC,DATOS!$E15018,nASIG,DATOS!$I15018,nEVAL,"OR")=0))</f>
      </c>
      <c r="I15018">
        <f>IF(DATOS!$I15018="","",IFERROR(VLOOKUP(DATOS!$I15018,CONFIG_ASIGNATURAS!$B$2:$J$91,9,FALSE()),""))</f>
      </c>
    </row>
    <row r="15019">
      <c r="F15019">
        <f>IF(DATOS!$A15019="","",DATOS!$A15019&amp;"|"&amp;DATOS!$D15019&amp;"|"&amp;DATOS!$E15019&amp;"|"&amp;DATOS!$I15019)</f>
      </c>
      <c r="G15019">
        <f>IF(DATOS!$A15019="",0,IF(CONFIG_METADATA!$B$4&lt;&gt;"OR+EX",--(DATOS!$G15019=CONFIG_METADATA!$B$4),IF(DATOS!$G15019="EX",1,IF(DATOS!$G15019="OR",--(COUNTIFS(nNIA,DATOS!$A15019,nCURSO,DATOS!$D15019,nESPEC,DATOS!$E15019,nASIG,DATOS!$I15019,nEVAL,"EX")=0),0))))</f>
      </c>
      <c r="H15019">
        <f>IF(DATOS!$G15019&lt;&gt;"EX",0,--(COUNTIFS(nNIA,DATOS!$A15019,nCURSO,DATOS!$D15019,nESPEC,DATOS!$E15019,nASIG,DATOS!$I15019,nEVAL,"OR")=0))</f>
      </c>
      <c r="I15019">
        <f>IF(DATOS!$I15019="","",IFERROR(VLOOKUP(DATOS!$I15019,CONFIG_ASIGNATURAS!$B$2:$J$91,9,FALSE()),""))</f>
      </c>
    </row>
    <row r="15020">
      <c r="F15020">
        <f>IF(DATOS!$A15020="","",DATOS!$A15020&amp;"|"&amp;DATOS!$D15020&amp;"|"&amp;DATOS!$E15020&amp;"|"&amp;DATOS!$I15020)</f>
      </c>
      <c r="G15020">
        <f>IF(DATOS!$A15020="",0,IF(CONFIG_METADATA!$B$4&lt;&gt;"OR+EX",--(DATOS!$G15020=CONFIG_METADATA!$B$4),IF(DATOS!$G15020="EX",1,IF(DATOS!$G15020="OR",--(COUNTIFS(nNIA,DATOS!$A15020,nCURSO,DATOS!$D15020,nESPEC,DATOS!$E15020,nASIG,DATOS!$I15020,nEVAL,"EX")=0),0))))</f>
      </c>
      <c r="H15020">
        <f>IF(DATOS!$G15020&lt;&gt;"EX",0,--(COUNTIFS(nNIA,DATOS!$A15020,nCURSO,DATOS!$D15020,nESPEC,DATOS!$E15020,nASIG,DATOS!$I15020,nEVAL,"OR")=0))</f>
      </c>
      <c r="I15020">
        <f>IF(DATOS!$I15020="","",IFERROR(VLOOKUP(DATOS!$I15020,CONFIG_ASIGNATURAS!$B$2:$J$91,9,FALSE()),""))</f>
      </c>
    </row>
    <row r="15021">
      <c r="F15021">
        <f>IF(DATOS!$A15021="","",DATOS!$A15021&amp;"|"&amp;DATOS!$D15021&amp;"|"&amp;DATOS!$E15021&amp;"|"&amp;DATOS!$I15021)</f>
      </c>
      <c r="G15021">
        <f>IF(DATOS!$A15021="",0,IF(CONFIG_METADATA!$B$4&lt;&gt;"OR+EX",--(DATOS!$G15021=CONFIG_METADATA!$B$4),IF(DATOS!$G15021="EX",1,IF(DATOS!$G15021="OR",--(COUNTIFS(nNIA,DATOS!$A15021,nCURSO,DATOS!$D15021,nESPEC,DATOS!$E15021,nASIG,DATOS!$I15021,nEVAL,"EX")=0),0))))</f>
      </c>
      <c r="H15021">
        <f>IF(DATOS!$G15021&lt;&gt;"EX",0,--(COUNTIFS(nNIA,DATOS!$A15021,nCURSO,DATOS!$D15021,nESPEC,DATOS!$E15021,nASIG,DATOS!$I15021,nEVAL,"OR")=0))</f>
      </c>
      <c r="I15021">
        <f>IF(DATOS!$I15021="","",IFERROR(VLOOKUP(DATOS!$I15021,CONFIG_ASIGNATURAS!$B$2:$J$91,9,FALSE()),""))</f>
      </c>
    </row>
    <row r="15022">
      <c r="F15022">
        <f>IF(DATOS!$A15022="","",DATOS!$A15022&amp;"|"&amp;DATOS!$D15022&amp;"|"&amp;DATOS!$E15022&amp;"|"&amp;DATOS!$I15022)</f>
      </c>
      <c r="G15022">
        <f>IF(DATOS!$A15022="",0,IF(CONFIG_METADATA!$B$4&lt;&gt;"OR+EX",--(DATOS!$G15022=CONFIG_METADATA!$B$4),IF(DATOS!$G15022="EX",1,IF(DATOS!$G15022="OR",--(COUNTIFS(nNIA,DATOS!$A15022,nCURSO,DATOS!$D15022,nESPEC,DATOS!$E15022,nASIG,DATOS!$I15022,nEVAL,"EX")=0),0))))</f>
      </c>
      <c r="H15022">
        <f>IF(DATOS!$G15022&lt;&gt;"EX",0,--(COUNTIFS(nNIA,DATOS!$A15022,nCURSO,DATOS!$D15022,nESPEC,DATOS!$E15022,nASIG,DATOS!$I15022,nEVAL,"OR")=0))</f>
      </c>
      <c r="I15022">
        <f>IF(DATOS!$I15022="","",IFERROR(VLOOKUP(DATOS!$I15022,CONFIG_ASIGNATURAS!$B$2:$J$91,9,FALSE()),""))</f>
      </c>
    </row>
    <row r="15023">
      <c r="F15023">
        <f>IF(DATOS!$A15023="","",DATOS!$A15023&amp;"|"&amp;DATOS!$D15023&amp;"|"&amp;DATOS!$E15023&amp;"|"&amp;DATOS!$I15023)</f>
      </c>
      <c r="G15023">
        <f>IF(DATOS!$A15023="",0,IF(CONFIG_METADATA!$B$4&lt;&gt;"OR+EX",--(DATOS!$G15023=CONFIG_METADATA!$B$4),IF(DATOS!$G15023="EX",1,IF(DATOS!$G15023="OR",--(COUNTIFS(nNIA,DATOS!$A15023,nCURSO,DATOS!$D15023,nESPEC,DATOS!$E15023,nASIG,DATOS!$I15023,nEVAL,"EX")=0),0))))</f>
      </c>
      <c r="H15023">
        <f>IF(DATOS!$G15023&lt;&gt;"EX",0,--(COUNTIFS(nNIA,DATOS!$A15023,nCURSO,DATOS!$D15023,nESPEC,DATOS!$E15023,nASIG,DATOS!$I15023,nEVAL,"OR")=0))</f>
      </c>
      <c r="I15023">
        <f>IF(DATOS!$I15023="","",IFERROR(VLOOKUP(DATOS!$I15023,CONFIG_ASIGNATURAS!$B$2:$J$91,9,FALSE()),""))</f>
      </c>
    </row>
    <row r="15024">
      <c r="F15024">
        <f>IF(DATOS!$A15024="","",DATOS!$A15024&amp;"|"&amp;DATOS!$D15024&amp;"|"&amp;DATOS!$E15024&amp;"|"&amp;DATOS!$I15024)</f>
      </c>
      <c r="G15024">
        <f>IF(DATOS!$A15024="",0,IF(CONFIG_METADATA!$B$4&lt;&gt;"OR+EX",--(DATOS!$G15024=CONFIG_METADATA!$B$4),IF(DATOS!$G15024="EX",1,IF(DATOS!$G15024="OR",--(COUNTIFS(nNIA,DATOS!$A15024,nCURSO,DATOS!$D15024,nESPEC,DATOS!$E15024,nASIG,DATOS!$I15024,nEVAL,"EX")=0),0))))</f>
      </c>
      <c r="H15024">
        <f>IF(DATOS!$G15024&lt;&gt;"EX",0,--(COUNTIFS(nNIA,DATOS!$A15024,nCURSO,DATOS!$D15024,nESPEC,DATOS!$E15024,nASIG,DATOS!$I15024,nEVAL,"OR")=0))</f>
      </c>
      <c r="I15024">
        <f>IF(DATOS!$I15024="","",IFERROR(VLOOKUP(DATOS!$I15024,CONFIG_ASIGNATURAS!$B$2:$J$91,9,FALSE()),""))</f>
      </c>
    </row>
    <row r="15025">
      <c r="F15025">
        <f>IF(DATOS!$A15025="","",DATOS!$A15025&amp;"|"&amp;DATOS!$D15025&amp;"|"&amp;DATOS!$E15025&amp;"|"&amp;DATOS!$I15025)</f>
      </c>
      <c r="G15025">
        <f>IF(DATOS!$A15025="",0,IF(CONFIG_METADATA!$B$4&lt;&gt;"OR+EX",--(DATOS!$G15025=CONFIG_METADATA!$B$4),IF(DATOS!$G15025="EX",1,IF(DATOS!$G15025="OR",--(COUNTIFS(nNIA,DATOS!$A15025,nCURSO,DATOS!$D15025,nESPEC,DATOS!$E15025,nASIG,DATOS!$I15025,nEVAL,"EX")=0),0))))</f>
      </c>
      <c r="H15025">
        <f>IF(DATOS!$G15025&lt;&gt;"EX",0,--(COUNTIFS(nNIA,DATOS!$A15025,nCURSO,DATOS!$D15025,nESPEC,DATOS!$E15025,nASIG,DATOS!$I15025,nEVAL,"OR")=0))</f>
      </c>
      <c r="I15025">
        <f>IF(DATOS!$I15025="","",IFERROR(VLOOKUP(DATOS!$I15025,CONFIG_ASIGNATURAS!$B$2:$J$91,9,FALSE()),""))</f>
      </c>
    </row>
    <row r="15026">
      <c r="F15026">
        <f>IF(DATOS!$A15026="","",DATOS!$A15026&amp;"|"&amp;DATOS!$D15026&amp;"|"&amp;DATOS!$E15026&amp;"|"&amp;DATOS!$I15026)</f>
      </c>
      <c r="G15026">
        <f>IF(DATOS!$A15026="",0,IF(CONFIG_METADATA!$B$4&lt;&gt;"OR+EX",--(DATOS!$G15026=CONFIG_METADATA!$B$4),IF(DATOS!$G15026="EX",1,IF(DATOS!$G15026="OR",--(COUNTIFS(nNIA,DATOS!$A15026,nCURSO,DATOS!$D15026,nESPEC,DATOS!$E15026,nASIG,DATOS!$I15026,nEVAL,"EX")=0),0))))</f>
      </c>
      <c r="H15026">
        <f>IF(DATOS!$G15026&lt;&gt;"EX",0,--(COUNTIFS(nNIA,DATOS!$A15026,nCURSO,DATOS!$D15026,nESPEC,DATOS!$E15026,nASIG,DATOS!$I15026,nEVAL,"OR")=0))</f>
      </c>
      <c r="I15026">
        <f>IF(DATOS!$I15026="","",IFERROR(VLOOKUP(DATOS!$I15026,CONFIG_ASIGNATURAS!$B$2:$J$91,9,FALSE()),""))</f>
      </c>
    </row>
    <row r="15027">
      <c r="F15027">
        <f>IF(DATOS!$A15027="","",DATOS!$A15027&amp;"|"&amp;DATOS!$D15027&amp;"|"&amp;DATOS!$E15027&amp;"|"&amp;DATOS!$I15027)</f>
      </c>
      <c r="G15027">
        <f>IF(DATOS!$A15027="",0,IF(CONFIG_METADATA!$B$4&lt;&gt;"OR+EX",--(DATOS!$G15027=CONFIG_METADATA!$B$4),IF(DATOS!$G15027="EX",1,IF(DATOS!$G15027="OR",--(COUNTIFS(nNIA,DATOS!$A15027,nCURSO,DATOS!$D15027,nESPEC,DATOS!$E15027,nASIG,DATOS!$I15027,nEVAL,"EX")=0),0))))</f>
      </c>
      <c r="H15027">
        <f>IF(DATOS!$G15027&lt;&gt;"EX",0,--(COUNTIFS(nNIA,DATOS!$A15027,nCURSO,DATOS!$D15027,nESPEC,DATOS!$E15027,nASIG,DATOS!$I15027,nEVAL,"OR")=0))</f>
      </c>
      <c r="I15027">
        <f>IF(DATOS!$I15027="","",IFERROR(VLOOKUP(DATOS!$I15027,CONFIG_ASIGNATURAS!$B$2:$J$91,9,FALSE()),""))</f>
      </c>
    </row>
    <row r="15028">
      <c r="F15028">
        <f>IF(DATOS!$A15028="","",DATOS!$A15028&amp;"|"&amp;DATOS!$D15028&amp;"|"&amp;DATOS!$E15028&amp;"|"&amp;DATOS!$I15028)</f>
      </c>
      <c r="G15028">
        <f>IF(DATOS!$A15028="",0,IF(CONFIG_METADATA!$B$4&lt;&gt;"OR+EX",--(DATOS!$G15028=CONFIG_METADATA!$B$4),IF(DATOS!$G15028="EX",1,IF(DATOS!$G15028="OR",--(COUNTIFS(nNIA,DATOS!$A15028,nCURSO,DATOS!$D15028,nESPEC,DATOS!$E15028,nASIG,DATOS!$I15028,nEVAL,"EX")=0),0))))</f>
      </c>
      <c r="H15028">
        <f>IF(DATOS!$G15028&lt;&gt;"EX",0,--(COUNTIFS(nNIA,DATOS!$A15028,nCURSO,DATOS!$D15028,nESPEC,DATOS!$E15028,nASIG,DATOS!$I15028,nEVAL,"OR")=0))</f>
      </c>
      <c r="I15028">
        <f>IF(DATOS!$I15028="","",IFERROR(VLOOKUP(DATOS!$I15028,CONFIG_ASIGNATURAS!$B$2:$J$91,9,FALSE()),""))</f>
      </c>
    </row>
    <row r="15029">
      <c r="F15029">
        <f>IF(DATOS!$A15029="","",DATOS!$A15029&amp;"|"&amp;DATOS!$D15029&amp;"|"&amp;DATOS!$E15029&amp;"|"&amp;DATOS!$I15029)</f>
      </c>
      <c r="G15029">
        <f>IF(DATOS!$A15029="",0,IF(CONFIG_METADATA!$B$4&lt;&gt;"OR+EX",--(DATOS!$G15029=CONFIG_METADATA!$B$4),IF(DATOS!$G15029="EX",1,IF(DATOS!$G15029="OR",--(COUNTIFS(nNIA,DATOS!$A15029,nCURSO,DATOS!$D15029,nESPEC,DATOS!$E15029,nASIG,DATOS!$I15029,nEVAL,"EX")=0),0))))</f>
      </c>
      <c r="H15029">
        <f>IF(DATOS!$G15029&lt;&gt;"EX",0,--(COUNTIFS(nNIA,DATOS!$A15029,nCURSO,DATOS!$D15029,nESPEC,DATOS!$E15029,nASIG,DATOS!$I15029,nEVAL,"OR")=0))</f>
      </c>
      <c r="I15029">
        <f>IF(DATOS!$I15029="","",IFERROR(VLOOKUP(DATOS!$I15029,CONFIG_ASIGNATURAS!$B$2:$J$91,9,FALSE()),""))</f>
      </c>
    </row>
    <row r="15030">
      <c r="F15030">
        <f>IF(DATOS!$A15030="","",DATOS!$A15030&amp;"|"&amp;DATOS!$D15030&amp;"|"&amp;DATOS!$E15030&amp;"|"&amp;DATOS!$I15030)</f>
      </c>
      <c r="G15030">
        <f>IF(DATOS!$A15030="",0,IF(CONFIG_METADATA!$B$4&lt;&gt;"OR+EX",--(DATOS!$G15030=CONFIG_METADATA!$B$4),IF(DATOS!$G15030="EX",1,IF(DATOS!$G15030="OR",--(COUNTIFS(nNIA,DATOS!$A15030,nCURSO,DATOS!$D15030,nESPEC,DATOS!$E15030,nASIG,DATOS!$I15030,nEVAL,"EX")=0),0))))</f>
      </c>
      <c r="H15030">
        <f>IF(DATOS!$G15030&lt;&gt;"EX",0,--(COUNTIFS(nNIA,DATOS!$A15030,nCURSO,DATOS!$D15030,nESPEC,DATOS!$E15030,nASIG,DATOS!$I15030,nEVAL,"OR")=0))</f>
      </c>
      <c r="I15030">
        <f>IF(DATOS!$I15030="","",IFERROR(VLOOKUP(DATOS!$I15030,CONFIG_ASIGNATURAS!$B$2:$J$91,9,FALSE()),""))</f>
      </c>
    </row>
    <row r="15031">
      <c r="F15031">
        <f>IF(DATOS!$A15031="","",DATOS!$A15031&amp;"|"&amp;DATOS!$D15031&amp;"|"&amp;DATOS!$E15031&amp;"|"&amp;DATOS!$I15031)</f>
      </c>
      <c r="G15031">
        <f>IF(DATOS!$A15031="",0,IF(CONFIG_METADATA!$B$4&lt;&gt;"OR+EX",--(DATOS!$G15031=CONFIG_METADATA!$B$4),IF(DATOS!$G15031="EX",1,IF(DATOS!$G15031="OR",--(COUNTIFS(nNIA,DATOS!$A15031,nCURSO,DATOS!$D15031,nESPEC,DATOS!$E15031,nASIG,DATOS!$I15031,nEVAL,"EX")=0),0))))</f>
      </c>
      <c r="H15031">
        <f>IF(DATOS!$G15031&lt;&gt;"EX",0,--(COUNTIFS(nNIA,DATOS!$A15031,nCURSO,DATOS!$D15031,nESPEC,DATOS!$E15031,nASIG,DATOS!$I15031,nEVAL,"OR")=0))</f>
      </c>
      <c r="I15031">
        <f>IF(DATOS!$I15031="","",IFERROR(VLOOKUP(DATOS!$I15031,CONFIG_ASIGNATURAS!$B$2:$J$91,9,FALSE()),""))</f>
      </c>
    </row>
    <row r="15032">
      <c r="F15032">
        <f>IF(DATOS!$A15032="","",DATOS!$A15032&amp;"|"&amp;DATOS!$D15032&amp;"|"&amp;DATOS!$E15032&amp;"|"&amp;DATOS!$I15032)</f>
      </c>
      <c r="G15032">
        <f>IF(DATOS!$A15032="",0,IF(CONFIG_METADATA!$B$4&lt;&gt;"OR+EX",--(DATOS!$G15032=CONFIG_METADATA!$B$4),IF(DATOS!$G15032="EX",1,IF(DATOS!$G15032="OR",--(COUNTIFS(nNIA,DATOS!$A15032,nCURSO,DATOS!$D15032,nESPEC,DATOS!$E15032,nASIG,DATOS!$I15032,nEVAL,"EX")=0),0))))</f>
      </c>
      <c r="H15032">
        <f>IF(DATOS!$G15032&lt;&gt;"EX",0,--(COUNTIFS(nNIA,DATOS!$A15032,nCURSO,DATOS!$D15032,nESPEC,DATOS!$E15032,nASIG,DATOS!$I15032,nEVAL,"OR")=0))</f>
      </c>
      <c r="I15032">
        <f>IF(DATOS!$I15032="","",IFERROR(VLOOKUP(DATOS!$I15032,CONFIG_ASIGNATURAS!$B$2:$J$91,9,FALSE()),""))</f>
      </c>
    </row>
    <row r="15033">
      <c r="F15033">
        <f>IF(DATOS!$A15033="","",DATOS!$A15033&amp;"|"&amp;DATOS!$D15033&amp;"|"&amp;DATOS!$E15033&amp;"|"&amp;DATOS!$I15033)</f>
      </c>
      <c r="G15033">
        <f>IF(DATOS!$A15033="",0,IF(CONFIG_METADATA!$B$4&lt;&gt;"OR+EX",--(DATOS!$G15033=CONFIG_METADATA!$B$4),IF(DATOS!$G15033="EX",1,IF(DATOS!$G15033="OR",--(COUNTIFS(nNIA,DATOS!$A15033,nCURSO,DATOS!$D15033,nESPEC,DATOS!$E15033,nASIG,DATOS!$I15033,nEVAL,"EX")=0),0))))</f>
      </c>
      <c r="H15033">
        <f>IF(DATOS!$G15033&lt;&gt;"EX",0,--(COUNTIFS(nNIA,DATOS!$A15033,nCURSO,DATOS!$D15033,nESPEC,DATOS!$E15033,nASIG,DATOS!$I15033,nEVAL,"OR")=0))</f>
      </c>
      <c r="I15033">
        <f>IF(DATOS!$I15033="","",IFERROR(VLOOKUP(DATOS!$I15033,CONFIG_ASIGNATURAS!$B$2:$J$91,9,FALSE()),""))</f>
      </c>
    </row>
    <row r="15034">
      <c r="F15034">
        <f>IF(DATOS!$A15034="","",DATOS!$A15034&amp;"|"&amp;DATOS!$D15034&amp;"|"&amp;DATOS!$E15034&amp;"|"&amp;DATOS!$I15034)</f>
      </c>
      <c r="G15034">
        <f>IF(DATOS!$A15034="",0,IF(CONFIG_METADATA!$B$4&lt;&gt;"OR+EX",--(DATOS!$G15034=CONFIG_METADATA!$B$4),IF(DATOS!$G15034="EX",1,IF(DATOS!$G15034="OR",--(COUNTIFS(nNIA,DATOS!$A15034,nCURSO,DATOS!$D15034,nESPEC,DATOS!$E15034,nASIG,DATOS!$I15034,nEVAL,"EX")=0),0))))</f>
      </c>
      <c r="H15034">
        <f>IF(DATOS!$G15034&lt;&gt;"EX",0,--(COUNTIFS(nNIA,DATOS!$A15034,nCURSO,DATOS!$D15034,nESPEC,DATOS!$E15034,nASIG,DATOS!$I15034,nEVAL,"OR")=0))</f>
      </c>
      <c r="I15034">
        <f>IF(DATOS!$I15034="","",IFERROR(VLOOKUP(DATOS!$I15034,CONFIG_ASIGNATURAS!$B$2:$J$91,9,FALSE()),""))</f>
      </c>
    </row>
    <row r="15035">
      <c r="F15035">
        <f>IF(DATOS!$A15035="","",DATOS!$A15035&amp;"|"&amp;DATOS!$D15035&amp;"|"&amp;DATOS!$E15035&amp;"|"&amp;DATOS!$I15035)</f>
      </c>
      <c r="G15035">
        <f>IF(DATOS!$A15035="",0,IF(CONFIG_METADATA!$B$4&lt;&gt;"OR+EX",--(DATOS!$G15035=CONFIG_METADATA!$B$4),IF(DATOS!$G15035="EX",1,IF(DATOS!$G15035="OR",--(COUNTIFS(nNIA,DATOS!$A15035,nCURSO,DATOS!$D15035,nESPEC,DATOS!$E15035,nASIG,DATOS!$I15035,nEVAL,"EX")=0),0))))</f>
      </c>
      <c r="H15035">
        <f>IF(DATOS!$G15035&lt;&gt;"EX",0,--(COUNTIFS(nNIA,DATOS!$A15035,nCURSO,DATOS!$D15035,nESPEC,DATOS!$E15035,nASIG,DATOS!$I15035,nEVAL,"OR")=0))</f>
      </c>
      <c r="I15035">
        <f>IF(DATOS!$I15035="","",IFERROR(VLOOKUP(DATOS!$I15035,CONFIG_ASIGNATURAS!$B$2:$J$91,9,FALSE()),""))</f>
      </c>
    </row>
    <row r="15036">
      <c r="F15036">
        <f>IF(DATOS!$A15036="","",DATOS!$A15036&amp;"|"&amp;DATOS!$D15036&amp;"|"&amp;DATOS!$E15036&amp;"|"&amp;DATOS!$I15036)</f>
      </c>
      <c r="G15036">
        <f>IF(DATOS!$A15036="",0,IF(CONFIG_METADATA!$B$4&lt;&gt;"OR+EX",--(DATOS!$G15036=CONFIG_METADATA!$B$4),IF(DATOS!$G15036="EX",1,IF(DATOS!$G15036="OR",--(COUNTIFS(nNIA,DATOS!$A15036,nCURSO,DATOS!$D15036,nESPEC,DATOS!$E15036,nASIG,DATOS!$I15036,nEVAL,"EX")=0),0))))</f>
      </c>
      <c r="H15036">
        <f>IF(DATOS!$G15036&lt;&gt;"EX",0,--(COUNTIFS(nNIA,DATOS!$A15036,nCURSO,DATOS!$D15036,nESPEC,DATOS!$E15036,nASIG,DATOS!$I15036,nEVAL,"OR")=0))</f>
      </c>
      <c r="I15036">
        <f>IF(DATOS!$I15036="","",IFERROR(VLOOKUP(DATOS!$I15036,CONFIG_ASIGNATURAS!$B$2:$J$91,9,FALSE()),""))</f>
      </c>
    </row>
    <row r="15037">
      <c r="F15037">
        <f>IF(DATOS!$A15037="","",DATOS!$A15037&amp;"|"&amp;DATOS!$D15037&amp;"|"&amp;DATOS!$E15037&amp;"|"&amp;DATOS!$I15037)</f>
      </c>
      <c r="G15037">
        <f>IF(DATOS!$A15037="",0,IF(CONFIG_METADATA!$B$4&lt;&gt;"OR+EX",--(DATOS!$G15037=CONFIG_METADATA!$B$4),IF(DATOS!$G15037="EX",1,IF(DATOS!$G15037="OR",--(COUNTIFS(nNIA,DATOS!$A15037,nCURSO,DATOS!$D15037,nESPEC,DATOS!$E15037,nASIG,DATOS!$I15037,nEVAL,"EX")=0),0))))</f>
      </c>
      <c r="H15037">
        <f>IF(DATOS!$G15037&lt;&gt;"EX",0,--(COUNTIFS(nNIA,DATOS!$A15037,nCURSO,DATOS!$D15037,nESPEC,DATOS!$E15037,nASIG,DATOS!$I15037,nEVAL,"OR")=0))</f>
      </c>
      <c r="I15037">
        <f>IF(DATOS!$I15037="","",IFERROR(VLOOKUP(DATOS!$I15037,CONFIG_ASIGNATURAS!$B$2:$J$91,9,FALSE()),""))</f>
      </c>
    </row>
    <row r="15038">
      <c r="F15038">
        <f>IF(DATOS!$A15038="","",DATOS!$A15038&amp;"|"&amp;DATOS!$D15038&amp;"|"&amp;DATOS!$E15038&amp;"|"&amp;DATOS!$I15038)</f>
      </c>
      <c r="G15038">
        <f>IF(DATOS!$A15038="",0,IF(CONFIG_METADATA!$B$4&lt;&gt;"OR+EX",--(DATOS!$G15038=CONFIG_METADATA!$B$4),IF(DATOS!$G15038="EX",1,IF(DATOS!$G15038="OR",--(COUNTIFS(nNIA,DATOS!$A15038,nCURSO,DATOS!$D15038,nESPEC,DATOS!$E15038,nASIG,DATOS!$I15038,nEVAL,"EX")=0),0))))</f>
      </c>
      <c r="H15038">
        <f>IF(DATOS!$G15038&lt;&gt;"EX",0,--(COUNTIFS(nNIA,DATOS!$A15038,nCURSO,DATOS!$D15038,nESPEC,DATOS!$E15038,nASIG,DATOS!$I15038,nEVAL,"OR")=0))</f>
      </c>
      <c r="I15038">
        <f>IF(DATOS!$I15038="","",IFERROR(VLOOKUP(DATOS!$I15038,CONFIG_ASIGNATURAS!$B$2:$J$91,9,FALSE()),""))</f>
      </c>
    </row>
    <row r="15039">
      <c r="F15039">
        <f>IF(DATOS!$A15039="","",DATOS!$A15039&amp;"|"&amp;DATOS!$D15039&amp;"|"&amp;DATOS!$E15039&amp;"|"&amp;DATOS!$I15039)</f>
      </c>
      <c r="G15039">
        <f>IF(DATOS!$A15039="",0,IF(CONFIG_METADATA!$B$4&lt;&gt;"OR+EX",--(DATOS!$G15039=CONFIG_METADATA!$B$4),IF(DATOS!$G15039="EX",1,IF(DATOS!$G15039="OR",--(COUNTIFS(nNIA,DATOS!$A15039,nCURSO,DATOS!$D15039,nESPEC,DATOS!$E15039,nASIG,DATOS!$I15039,nEVAL,"EX")=0),0))))</f>
      </c>
      <c r="H15039">
        <f>IF(DATOS!$G15039&lt;&gt;"EX",0,--(COUNTIFS(nNIA,DATOS!$A15039,nCURSO,DATOS!$D15039,nESPEC,DATOS!$E15039,nASIG,DATOS!$I15039,nEVAL,"OR")=0))</f>
      </c>
      <c r="I15039">
        <f>IF(DATOS!$I15039="","",IFERROR(VLOOKUP(DATOS!$I15039,CONFIG_ASIGNATURAS!$B$2:$J$91,9,FALSE()),""))</f>
      </c>
    </row>
    <row r="15040">
      <c r="F15040">
        <f>IF(DATOS!$A15040="","",DATOS!$A15040&amp;"|"&amp;DATOS!$D15040&amp;"|"&amp;DATOS!$E15040&amp;"|"&amp;DATOS!$I15040)</f>
      </c>
      <c r="G15040">
        <f>IF(DATOS!$A15040="",0,IF(CONFIG_METADATA!$B$4&lt;&gt;"OR+EX",--(DATOS!$G15040=CONFIG_METADATA!$B$4),IF(DATOS!$G15040="EX",1,IF(DATOS!$G15040="OR",--(COUNTIFS(nNIA,DATOS!$A15040,nCURSO,DATOS!$D15040,nESPEC,DATOS!$E15040,nASIG,DATOS!$I15040,nEVAL,"EX")=0),0))))</f>
      </c>
      <c r="H15040">
        <f>IF(DATOS!$G15040&lt;&gt;"EX",0,--(COUNTIFS(nNIA,DATOS!$A15040,nCURSO,DATOS!$D15040,nESPEC,DATOS!$E15040,nASIG,DATOS!$I15040,nEVAL,"OR")=0))</f>
      </c>
      <c r="I15040">
        <f>IF(DATOS!$I15040="","",IFERROR(VLOOKUP(DATOS!$I15040,CONFIG_ASIGNATURAS!$B$2:$J$91,9,FALSE()),""))</f>
      </c>
    </row>
    <row r="15041">
      <c r="F15041">
        <f>IF(DATOS!$A15041="","",DATOS!$A15041&amp;"|"&amp;DATOS!$D15041&amp;"|"&amp;DATOS!$E15041&amp;"|"&amp;DATOS!$I15041)</f>
      </c>
      <c r="G15041">
        <f>IF(DATOS!$A15041="",0,IF(CONFIG_METADATA!$B$4&lt;&gt;"OR+EX",--(DATOS!$G15041=CONFIG_METADATA!$B$4),IF(DATOS!$G15041="EX",1,IF(DATOS!$G15041="OR",--(COUNTIFS(nNIA,DATOS!$A15041,nCURSO,DATOS!$D15041,nESPEC,DATOS!$E15041,nASIG,DATOS!$I15041,nEVAL,"EX")=0),0))))</f>
      </c>
      <c r="H15041">
        <f>IF(DATOS!$G15041&lt;&gt;"EX",0,--(COUNTIFS(nNIA,DATOS!$A15041,nCURSO,DATOS!$D15041,nESPEC,DATOS!$E15041,nASIG,DATOS!$I15041,nEVAL,"OR")=0))</f>
      </c>
      <c r="I15041">
        <f>IF(DATOS!$I15041="","",IFERROR(VLOOKUP(DATOS!$I15041,CONFIG_ASIGNATURAS!$B$2:$J$91,9,FALSE()),""))</f>
      </c>
    </row>
    <row r="15042">
      <c r="F15042">
        <f>IF(DATOS!$A15042="","",DATOS!$A15042&amp;"|"&amp;DATOS!$D15042&amp;"|"&amp;DATOS!$E15042&amp;"|"&amp;DATOS!$I15042)</f>
      </c>
      <c r="G15042">
        <f>IF(DATOS!$A15042="",0,IF(CONFIG_METADATA!$B$4&lt;&gt;"OR+EX",--(DATOS!$G15042=CONFIG_METADATA!$B$4),IF(DATOS!$G15042="EX",1,IF(DATOS!$G15042="OR",--(COUNTIFS(nNIA,DATOS!$A15042,nCURSO,DATOS!$D15042,nESPEC,DATOS!$E15042,nASIG,DATOS!$I15042,nEVAL,"EX")=0),0))))</f>
      </c>
      <c r="H15042">
        <f>IF(DATOS!$G15042&lt;&gt;"EX",0,--(COUNTIFS(nNIA,DATOS!$A15042,nCURSO,DATOS!$D15042,nESPEC,DATOS!$E15042,nASIG,DATOS!$I15042,nEVAL,"OR")=0))</f>
      </c>
      <c r="I15042">
        <f>IF(DATOS!$I15042="","",IFERROR(VLOOKUP(DATOS!$I15042,CONFIG_ASIGNATURAS!$B$2:$J$91,9,FALSE()),""))</f>
      </c>
    </row>
    <row r="15043">
      <c r="F15043">
        <f>IF(DATOS!$A15043="","",DATOS!$A15043&amp;"|"&amp;DATOS!$D15043&amp;"|"&amp;DATOS!$E15043&amp;"|"&amp;DATOS!$I15043)</f>
      </c>
      <c r="G15043">
        <f>IF(DATOS!$A15043="",0,IF(CONFIG_METADATA!$B$4&lt;&gt;"OR+EX",--(DATOS!$G15043=CONFIG_METADATA!$B$4),IF(DATOS!$G15043="EX",1,IF(DATOS!$G15043="OR",--(COUNTIFS(nNIA,DATOS!$A15043,nCURSO,DATOS!$D15043,nESPEC,DATOS!$E15043,nASIG,DATOS!$I15043,nEVAL,"EX")=0),0))))</f>
      </c>
      <c r="H15043">
        <f>IF(DATOS!$G15043&lt;&gt;"EX",0,--(COUNTIFS(nNIA,DATOS!$A15043,nCURSO,DATOS!$D15043,nESPEC,DATOS!$E15043,nASIG,DATOS!$I15043,nEVAL,"OR")=0))</f>
      </c>
      <c r="I15043">
        <f>IF(DATOS!$I15043="","",IFERROR(VLOOKUP(DATOS!$I15043,CONFIG_ASIGNATURAS!$B$2:$J$91,9,FALSE()),""))</f>
      </c>
    </row>
    <row r="15044">
      <c r="F15044">
        <f>IF(DATOS!$A15044="","",DATOS!$A15044&amp;"|"&amp;DATOS!$D15044&amp;"|"&amp;DATOS!$E15044&amp;"|"&amp;DATOS!$I15044)</f>
      </c>
      <c r="G15044">
        <f>IF(DATOS!$A15044="",0,IF(CONFIG_METADATA!$B$4&lt;&gt;"OR+EX",--(DATOS!$G15044=CONFIG_METADATA!$B$4),IF(DATOS!$G15044="EX",1,IF(DATOS!$G15044="OR",--(COUNTIFS(nNIA,DATOS!$A15044,nCURSO,DATOS!$D15044,nESPEC,DATOS!$E15044,nASIG,DATOS!$I15044,nEVAL,"EX")=0),0))))</f>
      </c>
      <c r="H15044">
        <f>IF(DATOS!$G15044&lt;&gt;"EX",0,--(COUNTIFS(nNIA,DATOS!$A15044,nCURSO,DATOS!$D15044,nESPEC,DATOS!$E15044,nASIG,DATOS!$I15044,nEVAL,"OR")=0))</f>
      </c>
      <c r="I15044">
        <f>IF(DATOS!$I15044="","",IFERROR(VLOOKUP(DATOS!$I15044,CONFIG_ASIGNATURAS!$B$2:$J$91,9,FALSE()),""))</f>
      </c>
    </row>
    <row r="15045">
      <c r="F15045">
        <f>IF(DATOS!$A15045="","",DATOS!$A15045&amp;"|"&amp;DATOS!$D15045&amp;"|"&amp;DATOS!$E15045&amp;"|"&amp;DATOS!$I15045)</f>
      </c>
      <c r="G15045">
        <f>IF(DATOS!$A15045="",0,IF(CONFIG_METADATA!$B$4&lt;&gt;"OR+EX",--(DATOS!$G15045=CONFIG_METADATA!$B$4),IF(DATOS!$G15045="EX",1,IF(DATOS!$G15045="OR",--(COUNTIFS(nNIA,DATOS!$A15045,nCURSO,DATOS!$D15045,nESPEC,DATOS!$E15045,nASIG,DATOS!$I15045,nEVAL,"EX")=0),0))))</f>
      </c>
      <c r="H15045">
        <f>IF(DATOS!$G15045&lt;&gt;"EX",0,--(COUNTIFS(nNIA,DATOS!$A15045,nCURSO,DATOS!$D15045,nESPEC,DATOS!$E15045,nASIG,DATOS!$I15045,nEVAL,"OR")=0))</f>
      </c>
      <c r="I15045">
        <f>IF(DATOS!$I15045="","",IFERROR(VLOOKUP(DATOS!$I15045,CONFIG_ASIGNATURAS!$B$2:$J$91,9,FALSE()),""))</f>
      </c>
    </row>
    <row r="15046">
      <c r="F15046">
        <f>IF(DATOS!$A15046="","",DATOS!$A15046&amp;"|"&amp;DATOS!$D15046&amp;"|"&amp;DATOS!$E15046&amp;"|"&amp;DATOS!$I15046)</f>
      </c>
      <c r="G15046">
        <f>IF(DATOS!$A15046="",0,IF(CONFIG_METADATA!$B$4&lt;&gt;"OR+EX",--(DATOS!$G15046=CONFIG_METADATA!$B$4),IF(DATOS!$G15046="EX",1,IF(DATOS!$G15046="OR",--(COUNTIFS(nNIA,DATOS!$A15046,nCURSO,DATOS!$D15046,nESPEC,DATOS!$E15046,nASIG,DATOS!$I15046,nEVAL,"EX")=0),0))))</f>
      </c>
      <c r="H15046">
        <f>IF(DATOS!$G15046&lt;&gt;"EX",0,--(COUNTIFS(nNIA,DATOS!$A15046,nCURSO,DATOS!$D15046,nESPEC,DATOS!$E15046,nASIG,DATOS!$I15046,nEVAL,"OR")=0))</f>
      </c>
      <c r="I15046">
        <f>IF(DATOS!$I15046="","",IFERROR(VLOOKUP(DATOS!$I15046,CONFIG_ASIGNATURAS!$B$2:$J$91,9,FALSE()),""))</f>
      </c>
    </row>
    <row r="15047">
      <c r="F15047">
        <f>IF(DATOS!$A15047="","",DATOS!$A15047&amp;"|"&amp;DATOS!$D15047&amp;"|"&amp;DATOS!$E15047&amp;"|"&amp;DATOS!$I15047)</f>
      </c>
      <c r="G15047">
        <f>IF(DATOS!$A15047="",0,IF(CONFIG_METADATA!$B$4&lt;&gt;"OR+EX",--(DATOS!$G15047=CONFIG_METADATA!$B$4),IF(DATOS!$G15047="EX",1,IF(DATOS!$G15047="OR",--(COUNTIFS(nNIA,DATOS!$A15047,nCURSO,DATOS!$D15047,nESPEC,DATOS!$E15047,nASIG,DATOS!$I15047,nEVAL,"EX")=0),0))))</f>
      </c>
      <c r="H15047">
        <f>IF(DATOS!$G15047&lt;&gt;"EX",0,--(COUNTIFS(nNIA,DATOS!$A15047,nCURSO,DATOS!$D15047,nESPEC,DATOS!$E15047,nASIG,DATOS!$I15047,nEVAL,"OR")=0))</f>
      </c>
      <c r="I15047">
        <f>IF(DATOS!$I15047="","",IFERROR(VLOOKUP(DATOS!$I15047,CONFIG_ASIGNATURAS!$B$2:$J$91,9,FALSE()),""))</f>
      </c>
    </row>
    <row r="15048">
      <c r="F15048">
        <f>IF(DATOS!$A15048="","",DATOS!$A15048&amp;"|"&amp;DATOS!$D15048&amp;"|"&amp;DATOS!$E15048&amp;"|"&amp;DATOS!$I15048)</f>
      </c>
      <c r="G15048">
        <f>IF(DATOS!$A15048="",0,IF(CONFIG_METADATA!$B$4&lt;&gt;"OR+EX",--(DATOS!$G15048=CONFIG_METADATA!$B$4),IF(DATOS!$G15048="EX",1,IF(DATOS!$G15048="OR",--(COUNTIFS(nNIA,DATOS!$A15048,nCURSO,DATOS!$D15048,nESPEC,DATOS!$E15048,nASIG,DATOS!$I15048,nEVAL,"EX")=0),0))))</f>
      </c>
      <c r="H15048">
        <f>IF(DATOS!$G15048&lt;&gt;"EX",0,--(COUNTIFS(nNIA,DATOS!$A15048,nCURSO,DATOS!$D15048,nESPEC,DATOS!$E15048,nASIG,DATOS!$I15048,nEVAL,"OR")=0))</f>
      </c>
      <c r="I15048">
        <f>IF(DATOS!$I15048="","",IFERROR(VLOOKUP(DATOS!$I15048,CONFIG_ASIGNATURAS!$B$2:$J$91,9,FALSE()),""))</f>
      </c>
    </row>
    <row r="15049">
      <c r="F15049">
        <f>IF(DATOS!$A15049="","",DATOS!$A15049&amp;"|"&amp;DATOS!$D15049&amp;"|"&amp;DATOS!$E15049&amp;"|"&amp;DATOS!$I15049)</f>
      </c>
      <c r="G15049">
        <f>IF(DATOS!$A15049="",0,IF(CONFIG_METADATA!$B$4&lt;&gt;"OR+EX",--(DATOS!$G15049=CONFIG_METADATA!$B$4),IF(DATOS!$G15049="EX",1,IF(DATOS!$G15049="OR",--(COUNTIFS(nNIA,DATOS!$A15049,nCURSO,DATOS!$D15049,nESPEC,DATOS!$E15049,nASIG,DATOS!$I15049,nEVAL,"EX")=0),0))))</f>
      </c>
      <c r="H15049">
        <f>IF(DATOS!$G15049&lt;&gt;"EX",0,--(COUNTIFS(nNIA,DATOS!$A15049,nCURSO,DATOS!$D15049,nESPEC,DATOS!$E15049,nASIG,DATOS!$I15049,nEVAL,"OR")=0))</f>
      </c>
      <c r="I15049">
        <f>IF(DATOS!$I15049="","",IFERROR(VLOOKUP(DATOS!$I15049,CONFIG_ASIGNATURAS!$B$2:$J$91,9,FALSE()),""))</f>
      </c>
    </row>
    <row r="15050">
      <c r="F15050">
        <f>IF(DATOS!$A15050="","",DATOS!$A15050&amp;"|"&amp;DATOS!$D15050&amp;"|"&amp;DATOS!$E15050&amp;"|"&amp;DATOS!$I15050)</f>
      </c>
      <c r="G15050">
        <f>IF(DATOS!$A15050="",0,IF(CONFIG_METADATA!$B$4&lt;&gt;"OR+EX",--(DATOS!$G15050=CONFIG_METADATA!$B$4),IF(DATOS!$G15050="EX",1,IF(DATOS!$G15050="OR",--(COUNTIFS(nNIA,DATOS!$A15050,nCURSO,DATOS!$D15050,nESPEC,DATOS!$E15050,nASIG,DATOS!$I15050,nEVAL,"EX")=0),0))))</f>
      </c>
      <c r="H15050">
        <f>IF(DATOS!$G15050&lt;&gt;"EX",0,--(COUNTIFS(nNIA,DATOS!$A15050,nCURSO,DATOS!$D15050,nESPEC,DATOS!$E15050,nASIG,DATOS!$I15050,nEVAL,"OR")=0))</f>
      </c>
      <c r="I15050">
        <f>IF(DATOS!$I15050="","",IFERROR(VLOOKUP(DATOS!$I15050,CONFIG_ASIGNATURAS!$B$2:$J$91,9,FALSE()),""))</f>
      </c>
    </row>
    <row r="15051">
      <c r="F15051">
        <f>IF(DATOS!$A15051="","",DATOS!$A15051&amp;"|"&amp;DATOS!$D15051&amp;"|"&amp;DATOS!$E15051&amp;"|"&amp;DATOS!$I15051)</f>
      </c>
      <c r="G15051">
        <f>IF(DATOS!$A15051="",0,IF(CONFIG_METADATA!$B$4&lt;&gt;"OR+EX",--(DATOS!$G15051=CONFIG_METADATA!$B$4),IF(DATOS!$G15051="EX",1,IF(DATOS!$G15051="OR",--(COUNTIFS(nNIA,DATOS!$A15051,nCURSO,DATOS!$D15051,nESPEC,DATOS!$E15051,nASIG,DATOS!$I15051,nEVAL,"EX")=0),0))))</f>
      </c>
      <c r="H15051">
        <f>IF(DATOS!$G15051&lt;&gt;"EX",0,--(COUNTIFS(nNIA,DATOS!$A15051,nCURSO,DATOS!$D15051,nESPEC,DATOS!$E15051,nASIG,DATOS!$I15051,nEVAL,"OR")=0))</f>
      </c>
      <c r="I15051">
        <f>IF(DATOS!$I15051="","",IFERROR(VLOOKUP(DATOS!$I15051,CONFIG_ASIGNATURAS!$B$2:$J$91,9,FALSE()),""))</f>
      </c>
    </row>
    <row r="15052">
      <c r="F15052">
        <f>IF(DATOS!$A15052="","",DATOS!$A15052&amp;"|"&amp;DATOS!$D15052&amp;"|"&amp;DATOS!$E15052&amp;"|"&amp;DATOS!$I15052)</f>
      </c>
      <c r="G15052">
        <f>IF(DATOS!$A15052="",0,IF(CONFIG_METADATA!$B$4&lt;&gt;"OR+EX",--(DATOS!$G15052=CONFIG_METADATA!$B$4),IF(DATOS!$G15052="EX",1,IF(DATOS!$G15052="OR",--(COUNTIFS(nNIA,DATOS!$A15052,nCURSO,DATOS!$D15052,nESPEC,DATOS!$E15052,nASIG,DATOS!$I15052,nEVAL,"EX")=0),0))))</f>
      </c>
      <c r="H15052">
        <f>IF(DATOS!$G15052&lt;&gt;"EX",0,--(COUNTIFS(nNIA,DATOS!$A15052,nCURSO,DATOS!$D15052,nESPEC,DATOS!$E15052,nASIG,DATOS!$I15052,nEVAL,"OR")=0))</f>
      </c>
      <c r="I15052">
        <f>IF(DATOS!$I15052="","",IFERROR(VLOOKUP(DATOS!$I15052,CONFIG_ASIGNATURAS!$B$2:$J$91,9,FALSE()),""))</f>
      </c>
    </row>
    <row r="15053">
      <c r="F15053">
        <f>IF(DATOS!$A15053="","",DATOS!$A15053&amp;"|"&amp;DATOS!$D15053&amp;"|"&amp;DATOS!$E15053&amp;"|"&amp;DATOS!$I15053)</f>
      </c>
      <c r="G15053">
        <f>IF(DATOS!$A15053="",0,IF(CONFIG_METADATA!$B$4&lt;&gt;"OR+EX",--(DATOS!$G15053=CONFIG_METADATA!$B$4),IF(DATOS!$G15053="EX",1,IF(DATOS!$G15053="OR",--(COUNTIFS(nNIA,DATOS!$A15053,nCURSO,DATOS!$D15053,nESPEC,DATOS!$E15053,nASIG,DATOS!$I15053,nEVAL,"EX")=0),0))))</f>
      </c>
      <c r="H15053">
        <f>IF(DATOS!$G15053&lt;&gt;"EX",0,--(COUNTIFS(nNIA,DATOS!$A15053,nCURSO,DATOS!$D15053,nESPEC,DATOS!$E15053,nASIG,DATOS!$I15053,nEVAL,"OR")=0))</f>
      </c>
      <c r="I15053">
        <f>IF(DATOS!$I15053="","",IFERROR(VLOOKUP(DATOS!$I15053,CONFIG_ASIGNATURAS!$B$2:$J$91,9,FALSE()),""))</f>
      </c>
    </row>
    <row r="15054">
      <c r="F15054">
        <f>IF(DATOS!$A15054="","",DATOS!$A15054&amp;"|"&amp;DATOS!$D15054&amp;"|"&amp;DATOS!$E15054&amp;"|"&amp;DATOS!$I15054)</f>
      </c>
      <c r="G15054">
        <f>IF(DATOS!$A15054="",0,IF(CONFIG_METADATA!$B$4&lt;&gt;"OR+EX",--(DATOS!$G15054=CONFIG_METADATA!$B$4),IF(DATOS!$G15054="EX",1,IF(DATOS!$G15054="OR",--(COUNTIFS(nNIA,DATOS!$A15054,nCURSO,DATOS!$D15054,nESPEC,DATOS!$E15054,nASIG,DATOS!$I15054,nEVAL,"EX")=0),0))))</f>
      </c>
      <c r="H15054">
        <f>IF(DATOS!$G15054&lt;&gt;"EX",0,--(COUNTIFS(nNIA,DATOS!$A15054,nCURSO,DATOS!$D15054,nESPEC,DATOS!$E15054,nASIG,DATOS!$I15054,nEVAL,"OR")=0))</f>
      </c>
      <c r="I15054">
        <f>IF(DATOS!$I15054="","",IFERROR(VLOOKUP(DATOS!$I15054,CONFIG_ASIGNATURAS!$B$2:$J$91,9,FALSE()),""))</f>
      </c>
    </row>
    <row r="15055">
      <c r="F15055">
        <f>IF(DATOS!$A15055="","",DATOS!$A15055&amp;"|"&amp;DATOS!$D15055&amp;"|"&amp;DATOS!$E15055&amp;"|"&amp;DATOS!$I15055)</f>
      </c>
      <c r="G15055">
        <f>IF(DATOS!$A15055="",0,IF(CONFIG_METADATA!$B$4&lt;&gt;"OR+EX",--(DATOS!$G15055=CONFIG_METADATA!$B$4),IF(DATOS!$G15055="EX",1,IF(DATOS!$G15055="OR",--(COUNTIFS(nNIA,DATOS!$A15055,nCURSO,DATOS!$D15055,nESPEC,DATOS!$E15055,nASIG,DATOS!$I15055,nEVAL,"EX")=0),0))))</f>
      </c>
      <c r="H15055">
        <f>IF(DATOS!$G15055&lt;&gt;"EX",0,--(COUNTIFS(nNIA,DATOS!$A15055,nCURSO,DATOS!$D15055,nESPEC,DATOS!$E15055,nASIG,DATOS!$I15055,nEVAL,"OR")=0))</f>
      </c>
      <c r="I15055">
        <f>IF(DATOS!$I15055="","",IFERROR(VLOOKUP(DATOS!$I15055,CONFIG_ASIGNATURAS!$B$2:$J$91,9,FALSE()),""))</f>
      </c>
    </row>
    <row r="15056">
      <c r="F15056">
        <f>IF(DATOS!$A15056="","",DATOS!$A15056&amp;"|"&amp;DATOS!$D15056&amp;"|"&amp;DATOS!$E15056&amp;"|"&amp;DATOS!$I15056)</f>
      </c>
      <c r="G15056">
        <f>IF(DATOS!$A15056="",0,IF(CONFIG_METADATA!$B$4&lt;&gt;"OR+EX",--(DATOS!$G15056=CONFIG_METADATA!$B$4),IF(DATOS!$G15056="EX",1,IF(DATOS!$G15056="OR",--(COUNTIFS(nNIA,DATOS!$A15056,nCURSO,DATOS!$D15056,nESPEC,DATOS!$E15056,nASIG,DATOS!$I15056,nEVAL,"EX")=0),0))))</f>
      </c>
      <c r="H15056">
        <f>IF(DATOS!$G15056&lt;&gt;"EX",0,--(COUNTIFS(nNIA,DATOS!$A15056,nCURSO,DATOS!$D15056,nESPEC,DATOS!$E15056,nASIG,DATOS!$I15056,nEVAL,"OR")=0))</f>
      </c>
      <c r="I15056">
        <f>IF(DATOS!$I15056="","",IFERROR(VLOOKUP(DATOS!$I15056,CONFIG_ASIGNATURAS!$B$2:$J$91,9,FALSE()),""))</f>
      </c>
    </row>
    <row r="15057">
      <c r="F15057">
        <f>IF(DATOS!$A15057="","",DATOS!$A15057&amp;"|"&amp;DATOS!$D15057&amp;"|"&amp;DATOS!$E15057&amp;"|"&amp;DATOS!$I15057)</f>
      </c>
      <c r="G15057">
        <f>IF(DATOS!$A15057="",0,IF(CONFIG_METADATA!$B$4&lt;&gt;"OR+EX",--(DATOS!$G15057=CONFIG_METADATA!$B$4),IF(DATOS!$G15057="EX",1,IF(DATOS!$G15057="OR",--(COUNTIFS(nNIA,DATOS!$A15057,nCURSO,DATOS!$D15057,nESPEC,DATOS!$E15057,nASIG,DATOS!$I15057,nEVAL,"EX")=0),0))))</f>
      </c>
      <c r="H15057">
        <f>IF(DATOS!$G15057&lt;&gt;"EX",0,--(COUNTIFS(nNIA,DATOS!$A15057,nCURSO,DATOS!$D15057,nESPEC,DATOS!$E15057,nASIG,DATOS!$I15057,nEVAL,"OR")=0))</f>
      </c>
      <c r="I15057">
        <f>IF(DATOS!$I15057="","",IFERROR(VLOOKUP(DATOS!$I15057,CONFIG_ASIGNATURAS!$B$2:$J$91,9,FALSE()),""))</f>
      </c>
    </row>
    <row r="15058">
      <c r="F15058">
        <f>IF(DATOS!$A15058="","",DATOS!$A15058&amp;"|"&amp;DATOS!$D15058&amp;"|"&amp;DATOS!$E15058&amp;"|"&amp;DATOS!$I15058)</f>
      </c>
      <c r="G15058">
        <f>IF(DATOS!$A15058="",0,IF(CONFIG_METADATA!$B$4&lt;&gt;"OR+EX",--(DATOS!$G15058=CONFIG_METADATA!$B$4),IF(DATOS!$G15058="EX",1,IF(DATOS!$G15058="OR",--(COUNTIFS(nNIA,DATOS!$A15058,nCURSO,DATOS!$D15058,nESPEC,DATOS!$E15058,nASIG,DATOS!$I15058,nEVAL,"EX")=0),0))))</f>
      </c>
      <c r="H15058">
        <f>IF(DATOS!$G15058&lt;&gt;"EX",0,--(COUNTIFS(nNIA,DATOS!$A15058,nCURSO,DATOS!$D15058,nESPEC,DATOS!$E15058,nASIG,DATOS!$I15058,nEVAL,"OR")=0))</f>
      </c>
      <c r="I15058">
        <f>IF(DATOS!$I15058="","",IFERROR(VLOOKUP(DATOS!$I15058,CONFIG_ASIGNATURAS!$B$2:$J$91,9,FALSE()),""))</f>
      </c>
    </row>
    <row r="15059">
      <c r="F15059">
        <f>IF(DATOS!$A15059="","",DATOS!$A15059&amp;"|"&amp;DATOS!$D15059&amp;"|"&amp;DATOS!$E15059&amp;"|"&amp;DATOS!$I15059)</f>
      </c>
      <c r="G15059">
        <f>IF(DATOS!$A15059="",0,IF(CONFIG_METADATA!$B$4&lt;&gt;"OR+EX",--(DATOS!$G15059=CONFIG_METADATA!$B$4),IF(DATOS!$G15059="EX",1,IF(DATOS!$G15059="OR",--(COUNTIFS(nNIA,DATOS!$A15059,nCURSO,DATOS!$D15059,nESPEC,DATOS!$E15059,nASIG,DATOS!$I15059,nEVAL,"EX")=0),0))))</f>
      </c>
      <c r="H15059">
        <f>IF(DATOS!$G15059&lt;&gt;"EX",0,--(COUNTIFS(nNIA,DATOS!$A15059,nCURSO,DATOS!$D15059,nESPEC,DATOS!$E15059,nASIG,DATOS!$I15059,nEVAL,"OR")=0))</f>
      </c>
      <c r="I15059">
        <f>IF(DATOS!$I15059="","",IFERROR(VLOOKUP(DATOS!$I15059,CONFIG_ASIGNATURAS!$B$2:$J$91,9,FALSE()),""))</f>
      </c>
    </row>
    <row r="15060">
      <c r="F15060">
        <f>IF(DATOS!$A15060="","",DATOS!$A15060&amp;"|"&amp;DATOS!$D15060&amp;"|"&amp;DATOS!$E15060&amp;"|"&amp;DATOS!$I15060)</f>
      </c>
      <c r="G15060">
        <f>IF(DATOS!$A15060="",0,IF(CONFIG_METADATA!$B$4&lt;&gt;"OR+EX",--(DATOS!$G15060=CONFIG_METADATA!$B$4),IF(DATOS!$G15060="EX",1,IF(DATOS!$G15060="OR",--(COUNTIFS(nNIA,DATOS!$A15060,nCURSO,DATOS!$D15060,nESPEC,DATOS!$E15060,nASIG,DATOS!$I15060,nEVAL,"EX")=0),0))))</f>
      </c>
      <c r="H15060">
        <f>IF(DATOS!$G15060&lt;&gt;"EX",0,--(COUNTIFS(nNIA,DATOS!$A15060,nCURSO,DATOS!$D15060,nESPEC,DATOS!$E15060,nASIG,DATOS!$I15060,nEVAL,"OR")=0))</f>
      </c>
      <c r="I15060">
        <f>IF(DATOS!$I15060="","",IFERROR(VLOOKUP(DATOS!$I15060,CONFIG_ASIGNATURAS!$B$2:$J$91,9,FALSE()),""))</f>
      </c>
    </row>
    <row r="15061">
      <c r="F15061">
        <f>IF(DATOS!$A15061="","",DATOS!$A15061&amp;"|"&amp;DATOS!$D15061&amp;"|"&amp;DATOS!$E15061&amp;"|"&amp;DATOS!$I15061)</f>
      </c>
      <c r="G15061">
        <f>IF(DATOS!$A15061="",0,IF(CONFIG_METADATA!$B$4&lt;&gt;"OR+EX",--(DATOS!$G15061=CONFIG_METADATA!$B$4),IF(DATOS!$G15061="EX",1,IF(DATOS!$G15061="OR",--(COUNTIFS(nNIA,DATOS!$A15061,nCURSO,DATOS!$D15061,nESPEC,DATOS!$E15061,nASIG,DATOS!$I15061,nEVAL,"EX")=0),0))))</f>
      </c>
      <c r="H15061">
        <f>IF(DATOS!$G15061&lt;&gt;"EX",0,--(COUNTIFS(nNIA,DATOS!$A15061,nCURSO,DATOS!$D15061,nESPEC,DATOS!$E15061,nASIG,DATOS!$I15061,nEVAL,"OR")=0))</f>
      </c>
      <c r="I15061">
        <f>IF(DATOS!$I15061="","",IFERROR(VLOOKUP(DATOS!$I15061,CONFIG_ASIGNATURAS!$B$2:$J$91,9,FALSE()),""))</f>
      </c>
    </row>
    <row r="15062">
      <c r="F15062">
        <f>IF(DATOS!$A15062="","",DATOS!$A15062&amp;"|"&amp;DATOS!$D15062&amp;"|"&amp;DATOS!$E15062&amp;"|"&amp;DATOS!$I15062)</f>
      </c>
      <c r="G15062">
        <f>IF(DATOS!$A15062="",0,IF(CONFIG_METADATA!$B$4&lt;&gt;"OR+EX",--(DATOS!$G15062=CONFIG_METADATA!$B$4),IF(DATOS!$G15062="EX",1,IF(DATOS!$G15062="OR",--(COUNTIFS(nNIA,DATOS!$A15062,nCURSO,DATOS!$D15062,nESPEC,DATOS!$E15062,nASIG,DATOS!$I15062,nEVAL,"EX")=0),0))))</f>
      </c>
      <c r="H15062">
        <f>IF(DATOS!$G15062&lt;&gt;"EX",0,--(COUNTIFS(nNIA,DATOS!$A15062,nCURSO,DATOS!$D15062,nESPEC,DATOS!$E15062,nASIG,DATOS!$I15062,nEVAL,"OR")=0))</f>
      </c>
      <c r="I15062">
        <f>IF(DATOS!$I15062="","",IFERROR(VLOOKUP(DATOS!$I15062,CONFIG_ASIGNATURAS!$B$2:$J$91,9,FALSE()),""))</f>
      </c>
    </row>
    <row r="15063">
      <c r="F15063">
        <f>IF(DATOS!$A15063="","",DATOS!$A15063&amp;"|"&amp;DATOS!$D15063&amp;"|"&amp;DATOS!$E15063&amp;"|"&amp;DATOS!$I15063)</f>
      </c>
      <c r="G15063">
        <f>IF(DATOS!$A15063="",0,IF(CONFIG_METADATA!$B$4&lt;&gt;"OR+EX",--(DATOS!$G15063=CONFIG_METADATA!$B$4),IF(DATOS!$G15063="EX",1,IF(DATOS!$G15063="OR",--(COUNTIFS(nNIA,DATOS!$A15063,nCURSO,DATOS!$D15063,nESPEC,DATOS!$E15063,nASIG,DATOS!$I15063,nEVAL,"EX")=0),0))))</f>
      </c>
      <c r="H15063">
        <f>IF(DATOS!$G15063&lt;&gt;"EX",0,--(COUNTIFS(nNIA,DATOS!$A15063,nCURSO,DATOS!$D15063,nESPEC,DATOS!$E15063,nASIG,DATOS!$I15063,nEVAL,"OR")=0))</f>
      </c>
      <c r="I15063">
        <f>IF(DATOS!$I15063="","",IFERROR(VLOOKUP(DATOS!$I15063,CONFIG_ASIGNATURAS!$B$2:$J$91,9,FALSE()),""))</f>
      </c>
    </row>
    <row r="15064">
      <c r="F15064">
        <f>IF(DATOS!$A15064="","",DATOS!$A15064&amp;"|"&amp;DATOS!$D15064&amp;"|"&amp;DATOS!$E15064&amp;"|"&amp;DATOS!$I15064)</f>
      </c>
      <c r="G15064">
        <f>IF(DATOS!$A15064="",0,IF(CONFIG_METADATA!$B$4&lt;&gt;"OR+EX",--(DATOS!$G15064=CONFIG_METADATA!$B$4),IF(DATOS!$G15064="EX",1,IF(DATOS!$G15064="OR",--(COUNTIFS(nNIA,DATOS!$A15064,nCURSO,DATOS!$D15064,nESPEC,DATOS!$E15064,nASIG,DATOS!$I15064,nEVAL,"EX")=0),0))))</f>
      </c>
      <c r="H15064">
        <f>IF(DATOS!$G15064&lt;&gt;"EX",0,--(COUNTIFS(nNIA,DATOS!$A15064,nCURSO,DATOS!$D15064,nESPEC,DATOS!$E15064,nASIG,DATOS!$I15064,nEVAL,"OR")=0))</f>
      </c>
      <c r="I15064">
        <f>IF(DATOS!$I15064="","",IFERROR(VLOOKUP(DATOS!$I15064,CONFIG_ASIGNATURAS!$B$2:$J$91,9,FALSE()),""))</f>
      </c>
    </row>
    <row r="15065">
      <c r="F15065">
        <f>IF(DATOS!$A15065="","",DATOS!$A15065&amp;"|"&amp;DATOS!$D15065&amp;"|"&amp;DATOS!$E15065&amp;"|"&amp;DATOS!$I15065)</f>
      </c>
      <c r="G15065">
        <f>IF(DATOS!$A15065="",0,IF(CONFIG_METADATA!$B$4&lt;&gt;"OR+EX",--(DATOS!$G15065=CONFIG_METADATA!$B$4),IF(DATOS!$G15065="EX",1,IF(DATOS!$G15065="OR",--(COUNTIFS(nNIA,DATOS!$A15065,nCURSO,DATOS!$D15065,nESPEC,DATOS!$E15065,nASIG,DATOS!$I15065,nEVAL,"EX")=0),0))))</f>
      </c>
      <c r="H15065">
        <f>IF(DATOS!$G15065&lt;&gt;"EX",0,--(COUNTIFS(nNIA,DATOS!$A15065,nCURSO,DATOS!$D15065,nESPEC,DATOS!$E15065,nASIG,DATOS!$I15065,nEVAL,"OR")=0))</f>
      </c>
      <c r="I15065">
        <f>IF(DATOS!$I15065="","",IFERROR(VLOOKUP(DATOS!$I15065,CONFIG_ASIGNATURAS!$B$2:$J$91,9,FALSE()),""))</f>
      </c>
    </row>
    <row r="15066">
      <c r="F15066">
        <f>IF(DATOS!$A15066="","",DATOS!$A15066&amp;"|"&amp;DATOS!$D15066&amp;"|"&amp;DATOS!$E15066&amp;"|"&amp;DATOS!$I15066)</f>
      </c>
      <c r="G15066">
        <f>IF(DATOS!$A15066="",0,IF(CONFIG_METADATA!$B$4&lt;&gt;"OR+EX",--(DATOS!$G15066=CONFIG_METADATA!$B$4),IF(DATOS!$G15066="EX",1,IF(DATOS!$G15066="OR",--(COUNTIFS(nNIA,DATOS!$A15066,nCURSO,DATOS!$D15066,nESPEC,DATOS!$E15066,nASIG,DATOS!$I15066,nEVAL,"EX")=0),0))))</f>
      </c>
      <c r="H15066">
        <f>IF(DATOS!$G15066&lt;&gt;"EX",0,--(COUNTIFS(nNIA,DATOS!$A15066,nCURSO,DATOS!$D15066,nESPEC,DATOS!$E15066,nASIG,DATOS!$I15066,nEVAL,"OR")=0))</f>
      </c>
      <c r="I15066">
        <f>IF(DATOS!$I15066="","",IFERROR(VLOOKUP(DATOS!$I15066,CONFIG_ASIGNATURAS!$B$2:$J$91,9,FALSE()),""))</f>
      </c>
    </row>
    <row r="15067">
      <c r="F15067">
        <f>IF(DATOS!$A15067="","",DATOS!$A15067&amp;"|"&amp;DATOS!$D15067&amp;"|"&amp;DATOS!$E15067&amp;"|"&amp;DATOS!$I15067)</f>
      </c>
      <c r="G15067">
        <f>IF(DATOS!$A15067="",0,IF(CONFIG_METADATA!$B$4&lt;&gt;"OR+EX",--(DATOS!$G15067=CONFIG_METADATA!$B$4),IF(DATOS!$G15067="EX",1,IF(DATOS!$G15067="OR",--(COUNTIFS(nNIA,DATOS!$A15067,nCURSO,DATOS!$D15067,nESPEC,DATOS!$E15067,nASIG,DATOS!$I15067,nEVAL,"EX")=0),0))))</f>
      </c>
      <c r="H15067">
        <f>IF(DATOS!$G15067&lt;&gt;"EX",0,--(COUNTIFS(nNIA,DATOS!$A15067,nCURSO,DATOS!$D15067,nESPEC,DATOS!$E15067,nASIG,DATOS!$I15067,nEVAL,"OR")=0))</f>
      </c>
      <c r="I15067">
        <f>IF(DATOS!$I15067="","",IFERROR(VLOOKUP(DATOS!$I15067,CONFIG_ASIGNATURAS!$B$2:$J$91,9,FALSE()),""))</f>
      </c>
    </row>
    <row r="15068">
      <c r="F15068">
        <f>IF(DATOS!$A15068="","",DATOS!$A15068&amp;"|"&amp;DATOS!$D15068&amp;"|"&amp;DATOS!$E15068&amp;"|"&amp;DATOS!$I15068)</f>
      </c>
      <c r="G15068">
        <f>IF(DATOS!$A15068="",0,IF(CONFIG_METADATA!$B$4&lt;&gt;"OR+EX",--(DATOS!$G15068=CONFIG_METADATA!$B$4),IF(DATOS!$G15068="EX",1,IF(DATOS!$G15068="OR",--(COUNTIFS(nNIA,DATOS!$A15068,nCURSO,DATOS!$D15068,nESPEC,DATOS!$E15068,nASIG,DATOS!$I15068,nEVAL,"EX")=0),0))))</f>
      </c>
      <c r="H15068">
        <f>IF(DATOS!$G15068&lt;&gt;"EX",0,--(COUNTIFS(nNIA,DATOS!$A15068,nCURSO,DATOS!$D15068,nESPEC,DATOS!$E15068,nASIG,DATOS!$I15068,nEVAL,"OR")=0))</f>
      </c>
      <c r="I15068">
        <f>IF(DATOS!$I15068="","",IFERROR(VLOOKUP(DATOS!$I15068,CONFIG_ASIGNATURAS!$B$2:$J$91,9,FALSE()),""))</f>
      </c>
    </row>
    <row r="15069">
      <c r="F15069">
        <f>IF(DATOS!$A15069="","",DATOS!$A15069&amp;"|"&amp;DATOS!$D15069&amp;"|"&amp;DATOS!$E15069&amp;"|"&amp;DATOS!$I15069)</f>
      </c>
      <c r="G15069">
        <f>IF(DATOS!$A15069="",0,IF(CONFIG_METADATA!$B$4&lt;&gt;"OR+EX",--(DATOS!$G15069=CONFIG_METADATA!$B$4),IF(DATOS!$G15069="EX",1,IF(DATOS!$G15069="OR",--(COUNTIFS(nNIA,DATOS!$A15069,nCURSO,DATOS!$D15069,nESPEC,DATOS!$E15069,nASIG,DATOS!$I15069,nEVAL,"EX")=0),0))))</f>
      </c>
      <c r="H15069">
        <f>IF(DATOS!$G15069&lt;&gt;"EX",0,--(COUNTIFS(nNIA,DATOS!$A15069,nCURSO,DATOS!$D15069,nESPEC,DATOS!$E15069,nASIG,DATOS!$I15069,nEVAL,"OR")=0))</f>
      </c>
      <c r="I15069">
        <f>IF(DATOS!$I15069="","",IFERROR(VLOOKUP(DATOS!$I15069,CONFIG_ASIGNATURAS!$B$2:$J$91,9,FALSE()),""))</f>
      </c>
    </row>
    <row r="15070">
      <c r="F15070">
        <f>IF(DATOS!$A15070="","",DATOS!$A15070&amp;"|"&amp;DATOS!$D15070&amp;"|"&amp;DATOS!$E15070&amp;"|"&amp;DATOS!$I15070)</f>
      </c>
      <c r="G15070">
        <f>IF(DATOS!$A15070="",0,IF(CONFIG_METADATA!$B$4&lt;&gt;"OR+EX",--(DATOS!$G15070=CONFIG_METADATA!$B$4),IF(DATOS!$G15070="EX",1,IF(DATOS!$G15070="OR",--(COUNTIFS(nNIA,DATOS!$A15070,nCURSO,DATOS!$D15070,nESPEC,DATOS!$E15070,nASIG,DATOS!$I15070,nEVAL,"EX")=0),0))))</f>
      </c>
      <c r="H15070">
        <f>IF(DATOS!$G15070&lt;&gt;"EX",0,--(COUNTIFS(nNIA,DATOS!$A15070,nCURSO,DATOS!$D15070,nESPEC,DATOS!$E15070,nASIG,DATOS!$I15070,nEVAL,"OR")=0))</f>
      </c>
      <c r="I15070">
        <f>IF(DATOS!$I15070="","",IFERROR(VLOOKUP(DATOS!$I15070,CONFIG_ASIGNATURAS!$B$2:$J$91,9,FALSE()),""))</f>
      </c>
    </row>
    <row r="15071">
      <c r="F15071">
        <f>IF(DATOS!$A15071="","",DATOS!$A15071&amp;"|"&amp;DATOS!$D15071&amp;"|"&amp;DATOS!$E15071&amp;"|"&amp;DATOS!$I15071)</f>
      </c>
      <c r="G15071">
        <f>IF(DATOS!$A15071="",0,IF(CONFIG_METADATA!$B$4&lt;&gt;"OR+EX",--(DATOS!$G15071=CONFIG_METADATA!$B$4),IF(DATOS!$G15071="EX",1,IF(DATOS!$G15071="OR",--(COUNTIFS(nNIA,DATOS!$A15071,nCURSO,DATOS!$D15071,nESPEC,DATOS!$E15071,nASIG,DATOS!$I15071,nEVAL,"EX")=0),0))))</f>
      </c>
      <c r="H15071">
        <f>IF(DATOS!$G15071&lt;&gt;"EX",0,--(COUNTIFS(nNIA,DATOS!$A15071,nCURSO,DATOS!$D15071,nESPEC,DATOS!$E15071,nASIG,DATOS!$I15071,nEVAL,"OR")=0))</f>
      </c>
      <c r="I15071">
        <f>IF(DATOS!$I15071="","",IFERROR(VLOOKUP(DATOS!$I15071,CONFIG_ASIGNATURAS!$B$2:$J$91,9,FALSE()),""))</f>
      </c>
    </row>
    <row r="15072">
      <c r="F15072">
        <f>IF(DATOS!$A15072="","",DATOS!$A15072&amp;"|"&amp;DATOS!$D15072&amp;"|"&amp;DATOS!$E15072&amp;"|"&amp;DATOS!$I15072)</f>
      </c>
      <c r="G15072">
        <f>IF(DATOS!$A15072="",0,IF(CONFIG_METADATA!$B$4&lt;&gt;"OR+EX",--(DATOS!$G15072=CONFIG_METADATA!$B$4),IF(DATOS!$G15072="EX",1,IF(DATOS!$G15072="OR",--(COUNTIFS(nNIA,DATOS!$A15072,nCURSO,DATOS!$D15072,nESPEC,DATOS!$E15072,nASIG,DATOS!$I15072,nEVAL,"EX")=0),0))))</f>
      </c>
      <c r="H15072">
        <f>IF(DATOS!$G15072&lt;&gt;"EX",0,--(COUNTIFS(nNIA,DATOS!$A15072,nCURSO,DATOS!$D15072,nESPEC,DATOS!$E15072,nASIG,DATOS!$I15072,nEVAL,"OR")=0))</f>
      </c>
      <c r="I15072">
        <f>IF(DATOS!$I15072="","",IFERROR(VLOOKUP(DATOS!$I15072,CONFIG_ASIGNATURAS!$B$2:$J$91,9,FALSE()),""))</f>
      </c>
    </row>
    <row r="15073">
      <c r="F15073">
        <f>IF(DATOS!$A15073="","",DATOS!$A15073&amp;"|"&amp;DATOS!$D15073&amp;"|"&amp;DATOS!$E15073&amp;"|"&amp;DATOS!$I15073)</f>
      </c>
      <c r="G15073">
        <f>IF(DATOS!$A15073="",0,IF(CONFIG_METADATA!$B$4&lt;&gt;"OR+EX",--(DATOS!$G15073=CONFIG_METADATA!$B$4),IF(DATOS!$G15073="EX",1,IF(DATOS!$G15073="OR",--(COUNTIFS(nNIA,DATOS!$A15073,nCURSO,DATOS!$D15073,nESPEC,DATOS!$E15073,nASIG,DATOS!$I15073,nEVAL,"EX")=0),0))))</f>
      </c>
      <c r="H15073">
        <f>IF(DATOS!$G15073&lt;&gt;"EX",0,--(COUNTIFS(nNIA,DATOS!$A15073,nCURSO,DATOS!$D15073,nESPEC,DATOS!$E15073,nASIG,DATOS!$I15073,nEVAL,"OR")=0))</f>
      </c>
      <c r="I15073">
        <f>IF(DATOS!$I15073="","",IFERROR(VLOOKUP(DATOS!$I15073,CONFIG_ASIGNATURAS!$B$2:$J$91,9,FALSE()),""))</f>
      </c>
    </row>
    <row r="15074">
      <c r="F15074">
        <f>IF(DATOS!$A15074="","",DATOS!$A15074&amp;"|"&amp;DATOS!$D15074&amp;"|"&amp;DATOS!$E15074&amp;"|"&amp;DATOS!$I15074)</f>
      </c>
      <c r="G15074">
        <f>IF(DATOS!$A15074="",0,IF(CONFIG_METADATA!$B$4&lt;&gt;"OR+EX",--(DATOS!$G15074=CONFIG_METADATA!$B$4),IF(DATOS!$G15074="EX",1,IF(DATOS!$G15074="OR",--(COUNTIFS(nNIA,DATOS!$A15074,nCURSO,DATOS!$D15074,nESPEC,DATOS!$E15074,nASIG,DATOS!$I15074,nEVAL,"EX")=0),0))))</f>
      </c>
      <c r="H15074">
        <f>IF(DATOS!$G15074&lt;&gt;"EX",0,--(COUNTIFS(nNIA,DATOS!$A15074,nCURSO,DATOS!$D15074,nESPEC,DATOS!$E15074,nASIG,DATOS!$I15074,nEVAL,"OR")=0))</f>
      </c>
      <c r="I15074">
        <f>IF(DATOS!$I15074="","",IFERROR(VLOOKUP(DATOS!$I15074,CONFIG_ASIGNATURAS!$B$2:$J$91,9,FALSE()),""))</f>
      </c>
    </row>
    <row r="15075">
      <c r="F15075">
        <f>IF(DATOS!$A15075="","",DATOS!$A15075&amp;"|"&amp;DATOS!$D15075&amp;"|"&amp;DATOS!$E15075&amp;"|"&amp;DATOS!$I15075)</f>
      </c>
      <c r="G15075">
        <f>IF(DATOS!$A15075="",0,IF(CONFIG_METADATA!$B$4&lt;&gt;"OR+EX",--(DATOS!$G15075=CONFIG_METADATA!$B$4),IF(DATOS!$G15075="EX",1,IF(DATOS!$G15075="OR",--(COUNTIFS(nNIA,DATOS!$A15075,nCURSO,DATOS!$D15075,nESPEC,DATOS!$E15075,nASIG,DATOS!$I15075,nEVAL,"EX")=0),0))))</f>
      </c>
      <c r="H15075">
        <f>IF(DATOS!$G15075&lt;&gt;"EX",0,--(COUNTIFS(nNIA,DATOS!$A15075,nCURSO,DATOS!$D15075,nESPEC,DATOS!$E15075,nASIG,DATOS!$I15075,nEVAL,"OR")=0))</f>
      </c>
      <c r="I15075">
        <f>IF(DATOS!$I15075="","",IFERROR(VLOOKUP(DATOS!$I15075,CONFIG_ASIGNATURAS!$B$2:$J$91,9,FALSE()),""))</f>
      </c>
    </row>
    <row r="15076">
      <c r="F15076">
        <f>IF(DATOS!$A15076="","",DATOS!$A15076&amp;"|"&amp;DATOS!$D15076&amp;"|"&amp;DATOS!$E15076&amp;"|"&amp;DATOS!$I15076)</f>
      </c>
      <c r="G15076">
        <f>IF(DATOS!$A15076="",0,IF(CONFIG_METADATA!$B$4&lt;&gt;"OR+EX",--(DATOS!$G15076=CONFIG_METADATA!$B$4),IF(DATOS!$G15076="EX",1,IF(DATOS!$G15076="OR",--(COUNTIFS(nNIA,DATOS!$A15076,nCURSO,DATOS!$D15076,nESPEC,DATOS!$E15076,nASIG,DATOS!$I15076,nEVAL,"EX")=0),0))))</f>
      </c>
      <c r="H15076">
        <f>IF(DATOS!$G15076&lt;&gt;"EX",0,--(COUNTIFS(nNIA,DATOS!$A15076,nCURSO,DATOS!$D15076,nESPEC,DATOS!$E15076,nASIG,DATOS!$I15076,nEVAL,"OR")=0))</f>
      </c>
      <c r="I15076">
        <f>IF(DATOS!$I15076="","",IFERROR(VLOOKUP(DATOS!$I15076,CONFIG_ASIGNATURAS!$B$2:$J$91,9,FALSE()),""))</f>
      </c>
    </row>
    <row r="15077">
      <c r="F15077">
        <f>IF(DATOS!$A15077="","",DATOS!$A15077&amp;"|"&amp;DATOS!$D15077&amp;"|"&amp;DATOS!$E15077&amp;"|"&amp;DATOS!$I15077)</f>
      </c>
      <c r="G15077">
        <f>IF(DATOS!$A15077="",0,IF(CONFIG_METADATA!$B$4&lt;&gt;"OR+EX",--(DATOS!$G15077=CONFIG_METADATA!$B$4),IF(DATOS!$G15077="EX",1,IF(DATOS!$G15077="OR",--(COUNTIFS(nNIA,DATOS!$A15077,nCURSO,DATOS!$D15077,nESPEC,DATOS!$E15077,nASIG,DATOS!$I15077,nEVAL,"EX")=0),0))))</f>
      </c>
      <c r="H15077">
        <f>IF(DATOS!$G15077&lt;&gt;"EX",0,--(COUNTIFS(nNIA,DATOS!$A15077,nCURSO,DATOS!$D15077,nESPEC,DATOS!$E15077,nASIG,DATOS!$I15077,nEVAL,"OR")=0))</f>
      </c>
      <c r="I15077">
        <f>IF(DATOS!$I15077="","",IFERROR(VLOOKUP(DATOS!$I15077,CONFIG_ASIGNATURAS!$B$2:$J$91,9,FALSE()),""))</f>
      </c>
    </row>
    <row r="15078">
      <c r="F15078">
        <f>IF(DATOS!$A15078="","",DATOS!$A15078&amp;"|"&amp;DATOS!$D15078&amp;"|"&amp;DATOS!$E15078&amp;"|"&amp;DATOS!$I15078)</f>
      </c>
      <c r="G15078">
        <f>IF(DATOS!$A15078="",0,IF(CONFIG_METADATA!$B$4&lt;&gt;"OR+EX",--(DATOS!$G15078=CONFIG_METADATA!$B$4),IF(DATOS!$G15078="EX",1,IF(DATOS!$G15078="OR",--(COUNTIFS(nNIA,DATOS!$A15078,nCURSO,DATOS!$D15078,nESPEC,DATOS!$E15078,nASIG,DATOS!$I15078,nEVAL,"EX")=0),0))))</f>
      </c>
      <c r="H15078">
        <f>IF(DATOS!$G15078&lt;&gt;"EX",0,--(COUNTIFS(nNIA,DATOS!$A15078,nCURSO,DATOS!$D15078,nESPEC,DATOS!$E15078,nASIG,DATOS!$I15078,nEVAL,"OR")=0))</f>
      </c>
      <c r="I15078">
        <f>IF(DATOS!$I15078="","",IFERROR(VLOOKUP(DATOS!$I15078,CONFIG_ASIGNATURAS!$B$2:$J$91,9,FALSE()),""))</f>
      </c>
    </row>
    <row r="15079">
      <c r="F15079">
        <f>IF(DATOS!$A15079="","",DATOS!$A15079&amp;"|"&amp;DATOS!$D15079&amp;"|"&amp;DATOS!$E15079&amp;"|"&amp;DATOS!$I15079)</f>
      </c>
      <c r="G15079">
        <f>IF(DATOS!$A15079="",0,IF(CONFIG_METADATA!$B$4&lt;&gt;"OR+EX",--(DATOS!$G15079=CONFIG_METADATA!$B$4),IF(DATOS!$G15079="EX",1,IF(DATOS!$G15079="OR",--(COUNTIFS(nNIA,DATOS!$A15079,nCURSO,DATOS!$D15079,nESPEC,DATOS!$E15079,nASIG,DATOS!$I15079,nEVAL,"EX")=0),0))))</f>
      </c>
      <c r="H15079">
        <f>IF(DATOS!$G15079&lt;&gt;"EX",0,--(COUNTIFS(nNIA,DATOS!$A15079,nCURSO,DATOS!$D15079,nESPEC,DATOS!$E15079,nASIG,DATOS!$I15079,nEVAL,"OR")=0))</f>
      </c>
      <c r="I15079">
        <f>IF(DATOS!$I15079="","",IFERROR(VLOOKUP(DATOS!$I15079,CONFIG_ASIGNATURAS!$B$2:$J$91,9,FALSE()),""))</f>
      </c>
    </row>
    <row r="15080">
      <c r="F15080">
        <f>IF(DATOS!$A15080="","",DATOS!$A15080&amp;"|"&amp;DATOS!$D15080&amp;"|"&amp;DATOS!$E15080&amp;"|"&amp;DATOS!$I15080)</f>
      </c>
      <c r="G15080">
        <f>IF(DATOS!$A15080="",0,IF(CONFIG_METADATA!$B$4&lt;&gt;"OR+EX",--(DATOS!$G15080=CONFIG_METADATA!$B$4),IF(DATOS!$G15080="EX",1,IF(DATOS!$G15080="OR",--(COUNTIFS(nNIA,DATOS!$A15080,nCURSO,DATOS!$D15080,nESPEC,DATOS!$E15080,nASIG,DATOS!$I15080,nEVAL,"EX")=0),0))))</f>
      </c>
      <c r="H15080">
        <f>IF(DATOS!$G15080&lt;&gt;"EX",0,--(COUNTIFS(nNIA,DATOS!$A15080,nCURSO,DATOS!$D15080,nESPEC,DATOS!$E15080,nASIG,DATOS!$I15080,nEVAL,"OR")=0))</f>
      </c>
      <c r="I15080">
        <f>IF(DATOS!$I15080="","",IFERROR(VLOOKUP(DATOS!$I15080,CONFIG_ASIGNATURAS!$B$2:$J$91,9,FALSE()),""))</f>
      </c>
    </row>
    <row r="15081">
      <c r="F15081">
        <f>IF(DATOS!$A15081="","",DATOS!$A15081&amp;"|"&amp;DATOS!$D15081&amp;"|"&amp;DATOS!$E15081&amp;"|"&amp;DATOS!$I15081)</f>
      </c>
      <c r="G15081">
        <f>IF(DATOS!$A15081="",0,IF(CONFIG_METADATA!$B$4&lt;&gt;"OR+EX",--(DATOS!$G15081=CONFIG_METADATA!$B$4),IF(DATOS!$G15081="EX",1,IF(DATOS!$G15081="OR",--(COUNTIFS(nNIA,DATOS!$A15081,nCURSO,DATOS!$D15081,nESPEC,DATOS!$E15081,nASIG,DATOS!$I15081,nEVAL,"EX")=0),0))))</f>
      </c>
      <c r="H15081">
        <f>IF(DATOS!$G15081&lt;&gt;"EX",0,--(COUNTIFS(nNIA,DATOS!$A15081,nCURSO,DATOS!$D15081,nESPEC,DATOS!$E15081,nASIG,DATOS!$I15081,nEVAL,"OR")=0))</f>
      </c>
      <c r="I15081">
        <f>IF(DATOS!$I15081="","",IFERROR(VLOOKUP(DATOS!$I15081,CONFIG_ASIGNATURAS!$B$2:$J$91,9,FALSE()),""))</f>
      </c>
    </row>
    <row r="15082">
      <c r="F15082">
        <f>IF(DATOS!$A15082="","",DATOS!$A15082&amp;"|"&amp;DATOS!$D15082&amp;"|"&amp;DATOS!$E15082&amp;"|"&amp;DATOS!$I15082)</f>
      </c>
      <c r="G15082">
        <f>IF(DATOS!$A15082="",0,IF(CONFIG_METADATA!$B$4&lt;&gt;"OR+EX",--(DATOS!$G15082=CONFIG_METADATA!$B$4),IF(DATOS!$G15082="EX",1,IF(DATOS!$G15082="OR",--(COUNTIFS(nNIA,DATOS!$A15082,nCURSO,DATOS!$D15082,nESPEC,DATOS!$E15082,nASIG,DATOS!$I15082,nEVAL,"EX")=0),0))))</f>
      </c>
      <c r="H15082">
        <f>IF(DATOS!$G15082&lt;&gt;"EX",0,--(COUNTIFS(nNIA,DATOS!$A15082,nCURSO,DATOS!$D15082,nESPEC,DATOS!$E15082,nASIG,DATOS!$I15082,nEVAL,"OR")=0))</f>
      </c>
      <c r="I15082">
        <f>IF(DATOS!$I15082="","",IFERROR(VLOOKUP(DATOS!$I15082,CONFIG_ASIGNATURAS!$B$2:$J$91,9,FALSE()),""))</f>
      </c>
    </row>
    <row r="15083">
      <c r="F15083">
        <f>IF(DATOS!$A15083="","",DATOS!$A15083&amp;"|"&amp;DATOS!$D15083&amp;"|"&amp;DATOS!$E15083&amp;"|"&amp;DATOS!$I15083)</f>
      </c>
      <c r="G15083">
        <f>IF(DATOS!$A15083="",0,IF(CONFIG_METADATA!$B$4&lt;&gt;"OR+EX",--(DATOS!$G15083=CONFIG_METADATA!$B$4),IF(DATOS!$G15083="EX",1,IF(DATOS!$G15083="OR",--(COUNTIFS(nNIA,DATOS!$A15083,nCURSO,DATOS!$D15083,nESPEC,DATOS!$E15083,nASIG,DATOS!$I15083,nEVAL,"EX")=0),0))))</f>
      </c>
      <c r="H15083">
        <f>IF(DATOS!$G15083&lt;&gt;"EX",0,--(COUNTIFS(nNIA,DATOS!$A15083,nCURSO,DATOS!$D15083,nESPEC,DATOS!$E15083,nASIG,DATOS!$I15083,nEVAL,"OR")=0))</f>
      </c>
      <c r="I15083">
        <f>IF(DATOS!$I15083="","",IFERROR(VLOOKUP(DATOS!$I15083,CONFIG_ASIGNATURAS!$B$2:$J$91,9,FALSE()),""))</f>
      </c>
    </row>
    <row r="15084">
      <c r="F15084">
        <f>IF(DATOS!$A15084="","",DATOS!$A15084&amp;"|"&amp;DATOS!$D15084&amp;"|"&amp;DATOS!$E15084&amp;"|"&amp;DATOS!$I15084)</f>
      </c>
      <c r="G15084">
        <f>IF(DATOS!$A15084="",0,IF(CONFIG_METADATA!$B$4&lt;&gt;"OR+EX",--(DATOS!$G15084=CONFIG_METADATA!$B$4),IF(DATOS!$G15084="EX",1,IF(DATOS!$G15084="OR",--(COUNTIFS(nNIA,DATOS!$A15084,nCURSO,DATOS!$D15084,nESPEC,DATOS!$E15084,nASIG,DATOS!$I15084,nEVAL,"EX")=0),0))))</f>
      </c>
      <c r="H15084">
        <f>IF(DATOS!$G15084&lt;&gt;"EX",0,--(COUNTIFS(nNIA,DATOS!$A15084,nCURSO,DATOS!$D15084,nESPEC,DATOS!$E15084,nASIG,DATOS!$I15084,nEVAL,"OR")=0))</f>
      </c>
      <c r="I15084">
        <f>IF(DATOS!$I15084="","",IFERROR(VLOOKUP(DATOS!$I15084,CONFIG_ASIGNATURAS!$B$2:$J$91,9,FALSE()),""))</f>
      </c>
    </row>
    <row r="15085">
      <c r="F15085">
        <f>IF(DATOS!$A15085="","",DATOS!$A15085&amp;"|"&amp;DATOS!$D15085&amp;"|"&amp;DATOS!$E15085&amp;"|"&amp;DATOS!$I15085)</f>
      </c>
      <c r="G15085">
        <f>IF(DATOS!$A15085="",0,IF(CONFIG_METADATA!$B$4&lt;&gt;"OR+EX",--(DATOS!$G15085=CONFIG_METADATA!$B$4),IF(DATOS!$G15085="EX",1,IF(DATOS!$G15085="OR",--(COUNTIFS(nNIA,DATOS!$A15085,nCURSO,DATOS!$D15085,nESPEC,DATOS!$E15085,nASIG,DATOS!$I15085,nEVAL,"EX")=0),0))))</f>
      </c>
      <c r="H15085">
        <f>IF(DATOS!$G15085&lt;&gt;"EX",0,--(COUNTIFS(nNIA,DATOS!$A15085,nCURSO,DATOS!$D15085,nESPEC,DATOS!$E15085,nASIG,DATOS!$I15085,nEVAL,"OR")=0))</f>
      </c>
      <c r="I15085">
        <f>IF(DATOS!$I15085="","",IFERROR(VLOOKUP(DATOS!$I15085,CONFIG_ASIGNATURAS!$B$2:$J$91,9,FALSE()),""))</f>
      </c>
    </row>
    <row r="15086">
      <c r="F15086">
        <f>IF(DATOS!$A15086="","",DATOS!$A15086&amp;"|"&amp;DATOS!$D15086&amp;"|"&amp;DATOS!$E15086&amp;"|"&amp;DATOS!$I15086)</f>
      </c>
      <c r="G15086">
        <f>IF(DATOS!$A15086="",0,IF(CONFIG_METADATA!$B$4&lt;&gt;"OR+EX",--(DATOS!$G15086=CONFIG_METADATA!$B$4),IF(DATOS!$G15086="EX",1,IF(DATOS!$G15086="OR",--(COUNTIFS(nNIA,DATOS!$A15086,nCURSO,DATOS!$D15086,nESPEC,DATOS!$E15086,nASIG,DATOS!$I15086,nEVAL,"EX")=0),0))))</f>
      </c>
      <c r="H15086">
        <f>IF(DATOS!$G15086&lt;&gt;"EX",0,--(COUNTIFS(nNIA,DATOS!$A15086,nCURSO,DATOS!$D15086,nESPEC,DATOS!$E15086,nASIG,DATOS!$I15086,nEVAL,"OR")=0))</f>
      </c>
      <c r="I15086">
        <f>IF(DATOS!$I15086="","",IFERROR(VLOOKUP(DATOS!$I15086,CONFIG_ASIGNATURAS!$B$2:$J$91,9,FALSE()),""))</f>
      </c>
    </row>
    <row r="15087">
      <c r="F15087">
        <f>IF(DATOS!$A15087="","",DATOS!$A15087&amp;"|"&amp;DATOS!$D15087&amp;"|"&amp;DATOS!$E15087&amp;"|"&amp;DATOS!$I15087)</f>
      </c>
      <c r="G15087">
        <f>IF(DATOS!$A15087="",0,IF(CONFIG_METADATA!$B$4&lt;&gt;"OR+EX",--(DATOS!$G15087=CONFIG_METADATA!$B$4),IF(DATOS!$G15087="EX",1,IF(DATOS!$G15087="OR",--(COUNTIFS(nNIA,DATOS!$A15087,nCURSO,DATOS!$D15087,nESPEC,DATOS!$E15087,nASIG,DATOS!$I15087,nEVAL,"EX")=0),0))))</f>
      </c>
      <c r="H15087">
        <f>IF(DATOS!$G15087&lt;&gt;"EX",0,--(COUNTIFS(nNIA,DATOS!$A15087,nCURSO,DATOS!$D15087,nESPEC,DATOS!$E15087,nASIG,DATOS!$I15087,nEVAL,"OR")=0))</f>
      </c>
      <c r="I15087">
        <f>IF(DATOS!$I15087="","",IFERROR(VLOOKUP(DATOS!$I15087,CONFIG_ASIGNATURAS!$B$2:$J$91,9,FALSE()),""))</f>
      </c>
    </row>
    <row r="15088">
      <c r="F15088">
        <f>IF(DATOS!$A15088="","",DATOS!$A15088&amp;"|"&amp;DATOS!$D15088&amp;"|"&amp;DATOS!$E15088&amp;"|"&amp;DATOS!$I15088)</f>
      </c>
      <c r="G15088">
        <f>IF(DATOS!$A15088="",0,IF(CONFIG_METADATA!$B$4&lt;&gt;"OR+EX",--(DATOS!$G15088=CONFIG_METADATA!$B$4),IF(DATOS!$G15088="EX",1,IF(DATOS!$G15088="OR",--(COUNTIFS(nNIA,DATOS!$A15088,nCURSO,DATOS!$D15088,nESPEC,DATOS!$E15088,nASIG,DATOS!$I15088,nEVAL,"EX")=0),0))))</f>
      </c>
      <c r="H15088">
        <f>IF(DATOS!$G15088&lt;&gt;"EX",0,--(COUNTIFS(nNIA,DATOS!$A15088,nCURSO,DATOS!$D15088,nESPEC,DATOS!$E15088,nASIG,DATOS!$I15088,nEVAL,"OR")=0))</f>
      </c>
      <c r="I15088">
        <f>IF(DATOS!$I15088="","",IFERROR(VLOOKUP(DATOS!$I15088,CONFIG_ASIGNATURAS!$B$2:$J$91,9,FALSE()),""))</f>
      </c>
    </row>
    <row r="15089">
      <c r="F15089">
        <f>IF(DATOS!$A15089="","",DATOS!$A15089&amp;"|"&amp;DATOS!$D15089&amp;"|"&amp;DATOS!$E15089&amp;"|"&amp;DATOS!$I15089)</f>
      </c>
      <c r="G15089">
        <f>IF(DATOS!$A15089="",0,IF(CONFIG_METADATA!$B$4&lt;&gt;"OR+EX",--(DATOS!$G15089=CONFIG_METADATA!$B$4),IF(DATOS!$G15089="EX",1,IF(DATOS!$G15089="OR",--(COUNTIFS(nNIA,DATOS!$A15089,nCURSO,DATOS!$D15089,nESPEC,DATOS!$E15089,nASIG,DATOS!$I15089,nEVAL,"EX")=0),0))))</f>
      </c>
      <c r="H15089">
        <f>IF(DATOS!$G15089&lt;&gt;"EX",0,--(COUNTIFS(nNIA,DATOS!$A15089,nCURSO,DATOS!$D15089,nESPEC,DATOS!$E15089,nASIG,DATOS!$I15089,nEVAL,"OR")=0))</f>
      </c>
      <c r="I15089">
        <f>IF(DATOS!$I15089="","",IFERROR(VLOOKUP(DATOS!$I15089,CONFIG_ASIGNATURAS!$B$2:$J$91,9,FALSE()),""))</f>
      </c>
    </row>
    <row r="15090">
      <c r="F15090">
        <f>IF(DATOS!$A15090="","",DATOS!$A15090&amp;"|"&amp;DATOS!$D15090&amp;"|"&amp;DATOS!$E15090&amp;"|"&amp;DATOS!$I15090)</f>
      </c>
      <c r="G15090">
        <f>IF(DATOS!$A15090="",0,IF(CONFIG_METADATA!$B$4&lt;&gt;"OR+EX",--(DATOS!$G15090=CONFIG_METADATA!$B$4),IF(DATOS!$G15090="EX",1,IF(DATOS!$G15090="OR",--(COUNTIFS(nNIA,DATOS!$A15090,nCURSO,DATOS!$D15090,nESPEC,DATOS!$E15090,nASIG,DATOS!$I15090,nEVAL,"EX")=0),0))))</f>
      </c>
      <c r="H15090">
        <f>IF(DATOS!$G15090&lt;&gt;"EX",0,--(COUNTIFS(nNIA,DATOS!$A15090,nCURSO,DATOS!$D15090,nESPEC,DATOS!$E15090,nASIG,DATOS!$I15090,nEVAL,"OR")=0))</f>
      </c>
      <c r="I15090">
        <f>IF(DATOS!$I15090="","",IFERROR(VLOOKUP(DATOS!$I15090,CONFIG_ASIGNATURAS!$B$2:$J$91,9,FALSE()),""))</f>
      </c>
    </row>
    <row r="15091">
      <c r="F15091">
        <f>IF(DATOS!$A15091="","",DATOS!$A15091&amp;"|"&amp;DATOS!$D15091&amp;"|"&amp;DATOS!$E15091&amp;"|"&amp;DATOS!$I15091)</f>
      </c>
      <c r="G15091">
        <f>IF(DATOS!$A15091="",0,IF(CONFIG_METADATA!$B$4&lt;&gt;"OR+EX",--(DATOS!$G15091=CONFIG_METADATA!$B$4),IF(DATOS!$G15091="EX",1,IF(DATOS!$G15091="OR",--(COUNTIFS(nNIA,DATOS!$A15091,nCURSO,DATOS!$D15091,nESPEC,DATOS!$E15091,nASIG,DATOS!$I15091,nEVAL,"EX")=0),0))))</f>
      </c>
      <c r="H15091">
        <f>IF(DATOS!$G15091&lt;&gt;"EX",0,--(COUNTIFS(nNIA,DATOS!$A15091,nCURSO,DATOS!$D15091,nESPEC,DATOS!$E15091,nASIG,DATOS!$I15091,nEVAL,"OR")=0))</f>
      </c>
      <c r="I15091">
        <f>IF(DATOS!$I15091="","",IFERROR(VLOOKUP(DATOS!$I15091,CONFIG_ASIGNATURAS!$B$2:$J$91,9,FALSE()),""))</f>
      </c>
    </row>
    <row r="15092">
      <c r="F15092">
        <f>IF(DATOS!$A15092="","",DATOS!$A15092&amp;"|"&amp;DATOS!$D15092&amp;"|"&amp;DATOS!$E15092&amp;"|"&amp;DATOS!$I15092)</f>
      </c>
      <c r="G15092">
        <f>IF(DATOS!$A15092="",0,IF(CONFIG_METADATA!$B$4&lt;&gt;"OR+EX",--(DATOS!$G15092=CONFIG_METADATA!$B$4),IF(DATOS!$G15092="EX",1,IF(DATOS!$G15092="OR",--(COUNTIFS(nNIA,DATOS!$A15092,nCURSO,DATOS!$D15092,nESPEC,DATOS!$E15092,nASIG,DATOS!$I15092,nEVAL,"EX")=0),0))))</f>
      </c>
      <c r="H15092">
        <f>IF(DATOS!$G15092&lt;&gt;"EX",0,--(COUNTIFS(nNIA,DATOS!$A15092,nCURSO,DATOS!$D15092,nESPEC,DATOS!$E15092,nASIG,DATOS!$I15092,nEVAL,"OR")=0))</f>
      </c>
      <c r="I15092">
        <f>IF(DATOS!$I15092="","",IFERROR(VLOOKUP(DATOS!$I15092,CONFIG_ASIGNATURAS!$B$2:$J$91,9,FALSE()),""))</f>
      </c>
    </row>
    <row r="15093">
      <c r="F15093">
        <f>IF(DATOS!$A15093="","",DATOS!$A15093&amp;"|"&amp;DATOS!$D15093&amp;"|"&amp;DATOS!$E15093&amp;"|"&amp;DATOS!$I15093)</f>
      </c>
      <c r="G15093">
        <f>IF(DATOS!$A15093="",0,IF(CONFIG_METADATA!$B$4&lt;&gt;"OR+EX",--(DATOS!$G15093=CONFIG_METADATA!$B$4),IF(DATOS!$G15093="EX",1,IF(DATOS!$G15093="OR",--(COUNTIFS(nNIA,DATOS!$A15093,nCURSO,DATOS!$D15093,nESPEC,DATOS!$E15093,nASIG,DATOS!$I15093,nEVAL,"EX")=0),0))))</f>
      </c>
      <c r="H15093">
        <f>IF(DATOS!$G15093&lt;&gt;"EX",0,--(COUNTIFS(nNIA,DATOS!$A15093,nCURSO,DATOS!$D15093,nESPEC,DATOS!$E15093,nASIG,DATOS!$I15093,nEVAL,"OR")=0))</f>
      </c>
      <c r="I15093">
        <f>IF(DATOS!$I15093="","",IFERROR(VLOOKUP(DATOS!$I15093,CONFIG_ASIGNATURAS!$B$2:$J$91,9,FALSE()),""))</f>
      </c>
    </row>
    <row r="15094">
      <c r="F15094">
        <f>IF(DATOS!$A15094="","",DATOS!$A15094&amp;"|"&amp;DATOS!$D15094&amp;"|"&amp;DATOS!$E15094&amp;"|"&amp;DATOS!$I15094)</f>
      </c>
      <c r="G15094">
        <f>IF(DATOS!$A15094="",0,IF(CONFIG_METADATA!$B$4&lt;&gt;"OR+EX",--(DATOS!$G15094=CONFIG_METADATA!$B$4),IF(DATOS!$G15094="EX",1,IF(DATOS!$G15094="OR",--(COUNTIFS(nNIA,DATOS!$A15094,nCURSO,DATOS!$D15094,nESPEC,DATOS!$E15094,nASIG,DATOS!$I15094,nEVAL,"EX")=0),0))))</f>
      </c>
      <c r="H15094">
        <f>IF(DATOS!$G15094&lt;&gt;"EX",0,--(COUNTIFS(nNIA,DATOS!$A15094,nCURSO,DATOS!$D15094,nESPEC,DATOS!$E15094,nASIG,DATOS!$I15094,nEVAL,"OR")=0))</f>
      </c>
      <c r="I15094">
        <f>IF(DATOS!$I15094="","",IFERROR(VLOOKUP(DATOS!$I15094,CONFIG_ASIGNATURAS!$B$2:$J$91,9,FALSE()),""))</f>
      </c>
    </row>
    <row r="15095">
      <c r="F15095">
        <f>IF(DATOS!$A15095="","",DATOS!$A15095&amp;"|"&amp;DATOS!$D15095&amp;"|"&amp;DATOS!$E15095&amp;"|"&amp;DATOS!$I15095)</f>
      </c>
      <c r="G15095">
        <f>IF(DATOS!$A15095="",0,IF(CONFIG_METADATA!$B$4&lt;&gt;"OR+EX",--(DATOS!$G15095=CONFIG_METADATA!$B$4),IF(DATOS!$G15095="EX",1,IF(DATOS!$G15095="OR",--(COUNTIFS(nNIA,DATOS!$A15095,nCURSO,DATOS!$D15095,nESPEC,DATOS!$E15095,nASIG,DATOS!$I15095,nEVAL,"EX")=0),0))))</f>
      </c>
      <c r="H15095">
        <f>IF(DATOS!$G15095&lt;&gt;"EX",0,--(COUNTIFS(nNIA,DATOS!$A15095,nCURSO,DATOS!$D15095,nESPEC,DATOS!$E15095,nASIG,DATOS!$I15095,nEVAL,"OR")=0))</f>
      </c>
      <c r="I15095">
        <f>IF(DATOS!$I15095="","",IFERROR(VLOOKUP(DATOS!$I15095,CONFIG_ASIGNATURAS!$B$2:$J$91,9,FALSE()),""))</f>
      </c>
    </row>
    <row r="15096">
      <c r="F15096">
        <f>IF(DATOS!$A15096="","",DATOS!$A15096&amp;"|"&amp;DATOS!$D15096&amp;"|"&amp;DATOS!$E15096&amp;"|"&amp;DATOS!$I15096)</f>
      </c>
      <c r="G15096">
        <f>IF(DATOS!$A15096="",0,IF(CONFIG_METADATA!$B$4&lt;&gt;"OR+EX",--(DATOS!$G15096=CONFIG_METADATA!$B$4),IF(DATOS!$G15096="EX",1,IF(DATOS!$G15096="OR",--(COUNTIFS(nNIA,DATOS!$A15096,nCURSO,DATOS!$D15096,nESPEC,DATOS!$E15096,nASIG,DATOS!$I15096,nEVAL,"EX")=0),0))))</f>
      </c>
      <c r="H15096">
        <f>IF(DATOS!$G15096&lt;&gt;"EX",0,--(COUNTIFS(nNIA,DATOS!$A15096,nCURSO,DATOS!$D15096,nESPEC,DATOS!$E15096,nASIG,DATOS!$I15096,nEVAL,"OR")=0))</f>
      </c>
      <c r="I15096">
        <f>IF(DATOS!$I15096="","",IFERROR(VLOOKUP(DATOS!$I15096,CONFIG_ASIGNATURAS!$B$2:$J$91,9,FALSE()),""))</f>
      </c>
    </row>
    <row r="15097">
      <c r="F15097">
        <f>IF(DATOS!$A15097="","",DATOS!$A15097&amp;"|"&amp;DATOS!$D15097&amp;"|"&amp;DATOS!$E15097&amp;"|"&amp;DATOS!$I15097)</f>
      </c>
      <c r="G15097">
        <f>IF(DATOS!$A15097="",0,IF(CONFIG_METADATA!$B$4&lt;&gt;"OR+EX",--(DATOS!$G15097=CONFIG_METADATA!$B$4),IF(DATOS!$G15097="EX",1,IF(DATOS!$G15097="OR",--(COUNTIFS(nNIA,DATOS!$A15097,nCURSO,DATOS!$D15097,nESPEC,DATOS!$E15097,nASIG,DATOS!$I15097,nEVAL,"EX")=0),0))))</f>
      </c>
      <c r="H15097">
        <f>IF(DATOS!$G15097&lt;&gt;"EX",0,--(COUNTIFS(nNIA,DATOS!$A15097,nCURSO,DATOS!$D15097,nESPEC,DATOS!$E15097,nASIG,DATOS!$I15097,nEVAL,"OR")=0))</f>
      </c>
      <c r="I15097">
        <f>IF(DATOS!$I15097="","",IFERROR(VLOOKUP(DATOS!$I15097,CONFIG_ASIGNATURAS!$B$2:$J$91,9,FALSE()),""))</f>
      </c>
    </row>
    <row r="15098">
      <c r="F15098">
        <f>IF(DATOS!$A15098="","",DATOS!$A15098&amp;"|"&amp;DATOS!$D15098&amp;"|"&amp;DATOS!$E15098&amp;"|"&amp;DATOS!$I15098)</f>
      </c>
      <c r="G15098">
        <f>IF(DATOS!$A15098="",0,IF(CONFIG_METADATA!$B$4&lt;&gt;"OR+EX",--(DATOS!$G15098=CONFIG_METADATA!$B$4),IF(DATOS!$G15098="EX",1,IF(DATOS!$G15098="OR",--(COUNTIFS(nNIA,DATOS!$A15098,nCURSO,DATOS!$D15098,nESPEC,DATOS!$E15098,nASIG,DATOS!$I15098,nEVAL,"EX")=0),0))))</f>
      </c>
      <c r="H15098">
        <f>IF(DATOS!$G15098&lt;&gt;"EX",0,--(COUNTIFS(nNIA,DATOS!$A15098,nCURSO,DATOS!$D15098,nESPEC,DATOS!$E15098,nASIG,DATOS!$I15098,nEVAL,"OR")=0))</f>
      </c>
      <c r="I15098">
        <f>IF(DATOS!$I15098="","",IFERROR(VLOOKUP(DATOS!$I15098,CONFIG_ASIGNATURAS!$B$2:$J$91,9,FALSE()),""))</f>
      </c>
    </row>
    <row r="15099">
      <c r="F15099">
        <f>IF(DATOS!$A15099="","",DATOS!$A15099&amp;"|"&amp;DATOS!$D15099&amp;"|"&amp;DATOS!$E15099&amp;"|"&amp;DATOS!$I15099)</f>
      </c>
      <c r="G15099">
        <f>IF(DATOS!$A15099="",0,IF(CONFIG_METADATA!$B$4&lt;&gt;"OR+EX",--(DATOS!$G15099=CONFIG_METADATA!$B$4),IF(DATOS!$G15099="EX",1,IF(DATOS!$G15099="OR",--(COUNTIFS(nNIA,DATOS!$A15099,nCURSO,DATOS!$D15099,nESPEC,DATOS!$E15099,nASIG,DATOS!$I15099,nEVAL,"EX")=0),0))))</f>
      </c>
      <c r="H15099">
        <f>IF(DATOS!$G15099&lt;&gt;"EX",0,--(COUNTIFS(nNIA,DATOS!$A15099,nCURSO,DATOS!$D15099,nESPEC,DATOS!$E15099,nASIG,DATOS!$I15099,nEVAL,"OR")=0))</f>
      </c>
      <c r="I15099">
        <f>IF(DATOS!$I15099="","",IFERROR(VLOOKUP(DATOS!$I15099,CONFIG_ASIGNATURAS!$B$2:$J$91,9,FALSE()),""))</f>
      </c>
    </row>
    <row r="15100">
      <c r="F15100">
        <f>IF(DATOS!$A15100="","",DATOS!$A15100&amp;"|"&amp;DATOS!$D15100&amp;"|"&amp;DATOS!$E15100&amp;"|"&amp;DATOS!$I15100)</f>
      </c>
      <c r="G15100">
        <f>IF(DATOS!$A15100="",0,IF(CONFIG_METADATA!$B$4&lt;&gt;"OR+EX",--(DATOS!$G15100=CONFIG_METADATA!$B$4),IF(DATOS!$G15100="EX",1,IF(DATOS!$G15100="OR",--(COUNTIFS(nNIA,DATOS!$A15100,nCURSO,DATOS!$D15100,nESPEC,DATOS!$E15100,nASIG,DATOS!$I15100,nEVAL,"EX")=0),0))))</f>
      </c>
      <c r="H15100">
        <f>IF(DATOS!$G15100&lt;&gt;"EX",0,--(COUNTIFS(nNIA,DATOS!$A15100,nCURSO,DATOS!$D15100,nESPEC,DATOS!$E15100,nASIG,DATOS!$I15100,nEVAL,"OR")=0))</f>
      </c>
      <c r="I15100">
        <f>IF(DATOS!$I15100="","",IFERROR(VLOOKUP(DATOS!$I15100,CONFIG_ASIGNATURAS!$B$2:$J$91,9,FALSE()),""))</f>
      </c>
    </row>
    <row r="15101">
      <c r="F15101">
        <f>IF(DATOS!$A15101="","",DATOS!$A15101&amp;"|"&amp;DATOS!$D15101&amp;"|"&amp;DATOS!$E15101&amp;"|"&amp;DATOS!$I15101)</f>
      </c>
      <c r="G15101">
        <f>IF(DATOS!$A15101="",0,IF(CONFIG_METADATA!$B$4&lt;&gt;"OR+EX",--(DATOS!$G15101=CONFIG_METADATA!$B$4),IF(DATOS!$G15101="EX",1,IF(DATOS!$G15101="OR",--(COUNTIFS(nNIA,DATOS!$A15101,nCURSO,DATOS!$D15101,nESPEC,DATOS!$E15101,nASIG,DATOS!$I15101,nEVAL,"EX")=0),0))))</f>
      </c>
      <c r="H15101">
        <f>IF(DATOS!$G15101&lt;&gt;"EX",0,--(COUNTIFS(nNIA,DATOS!$A15101,nCURSO,DATOS!$D15101,nESPEC,DATOS!$E15101,nASIG,DATOS!$I15101,nEVAL,"OR")=0))</f>
      </c>
      <c r="I15101">
        <f>IF(DATOS!$I15101="","",IFERROR(VLOOKUP(DATOS!$I15101,CONFIG_ASIGNATURAS!$B$2:$J$91,9,FALSE()),""))</f>
      </c>
    </row>
    <row r="15102">
      <c r="F15102">
        <f>IF(DATOS!$A15102="","",DATOS!$A15102&amp;"|"&amp;DATOS!$D15102&amp;"|"&amp;DATOS!$E15102&amp;"|"&amp;DATOS!$I15102)</f>
      </c>
      <c r="G15102">
        <f>IF(DATOS!$A15102="",0,IF(CONFIG_METADATA!$B$4&lt;&gt;"OR+EX",--(DATOS!$G15102=CONFIG_METADATA!$B$4),IF(DATOS!$G15102="EX",1,IF(DATOS!$G15102="OR",--(COUNTIFS(nNIA,DATOS!$A15102,nCURSO,DATOS!$D15102,nESPEC,DATOS!$E15102,nASIG,DATOS!$I15102,nEVAL,"EX")=0),0))))</f>
      </c>
      <c r="H15102">
        <f>IF(DATOS!$G15102&lt;&gt;"EX",0,--(COUNTIFS(nNIA,DATOS!$A15102,nCURSO,DATOS!$D15102,nESPEC,DATOS!$E15102,nASIG,DATOS!$I15102,nEVAL,"OR")=0))</f>
      </c>
      <c r="I15102">
        <f>IF(DATOS!$I15102="","",IFERROR(VLOOKUP(DATOS!$I15102,CONFIG_ASIGNATURAS!$B$2:$J$91,9,FALSE()),""))</f>
      </c>
    </row>
    <row r="15103">
      <c r="F15103">
        <f>IF(DATOS!$A15103="","",DATOS!$A15103&amp;"|"&amp;DATOS!$D15103&amp;"|"&amp;DATOS!$E15103&amp;"|"&amp;DATOS!$I15103)</f>
      </c>
      <c r="G15103">
        <f>IF(DATOS!$A15103="",0,IF(CONFIG_METADATA!$B$4&lt;&gt;"OR+EX",--(DATOS!$G15103=CONFIG_METADATA!$B$4),IF(DATOS!$G15103="EX",1,IF(DATOS!$G15103="OR",--(COUNTIFS(nNIA,DATOS!$A15103,nCURSO,DATOS!$D15103,nESPEC,DATOS!$E15103,nASIG,DATOS!$I15103,nEVAL,"EX")=0),0))))</f>
      </c>
      <c r="H15103">
        <f>IF(DATOS!$G15103&lt;&gt;"EX",0,--(COUNTIFS(nNIA,DATOS!$A15103,nCURSO,DATOS!$D15103,nESPEC,DATOS!$E15103,nASIG,DATOS!$I15103,nEVAL,"OR")=0))</f>
      </c>
      <c r="I15103">
        <f>IF(DATOS!$I15103="","",IFERROR(VLOOKUP(DATOS!$I15103,CONFIG_ASIGNATURAS!$B$2:$J$91,9,FALSE()),""))</f>
      </c>
    </row>
    <row r="15104">
      <c r="F15104">
        <f>IF(DATOS!$A15104="","",DATOS!$A15104&amp;"|"&amp;DATOS!$D15104&amp;"|"&amp;DATOS!$E15104&amp;"|"&amp;DATOS!$I15104)</f>
      </c>
      <c r="G15104">
        <f>IF(DATOS!$A15104="",0,IF(CONFIG_METADATA!$B$4&lt;&gt;"OR+EX",--(DATOS!$G15104=CONFIG_METADATA!$B$4),IF(DATOS!$G15104="EX",1,IF(DATOS!$G15104="OR",--(COUNTIFS(nNIA,DATOS!$A15104,nCURSO,DATOS!$D15104,nESPEC,DATOS!$E15104,nASIG,DATOS!$I15104,nEVAL,"EX")=0),0))))</f>
      </c>
      <c r="H15104">
        <f>IF(DATOS!$G15104&lt;&gt;"EX",0,--(COUNTIFS(nNIA,DATOS!$A15104,nCURSO,DATOS!$D15104,nESPEC,DATOS!$E15104,nASIG,DATOS!$I15104,nEVAL,"OR")=0))</f>
      </c>
      <c r="I15104">
        <f>IF(DATOS!$I15104="","",IFERROR(VLOOKUP(DATOS!$I15104,CONFIG_ASIGNATURAS!$B$2:$J$91,9,FALSE()),""))</f>
      </c>
    </row>
    <row r="15105">
      <c r="F15105">
        <f>IF(DATOS!$A15105="","",DATOS!$A15105&amp;"|"&amp;DATOS!$D15105&amp;"|"&amp;DATOS!$E15105&amp;"|"&amp;DATOS!$I15105)</f>
      </c>
      <c r="G15105">
        <f>IF(DATOS!$A15105="",0,IF(CONFIG_METADATA!$B$4&lt;&gt;"OR+EX",--(DATOS!$G15105=CONFIG_METADATA!$B$4),IF(DATOS!$G15105="EX",1,IF(DATOS!$G15105="OR",--(COUNTIFS(nNIA,DATOS!$A15105,nCURSO,DATOS!$D15105,nESPEC,DATOS!$E15105,nASIG,DATOS!$I15105,nEVAL,"EX")=0),0))))</f>
      </c>
      <c r="H15105">
        <f>IF(DATOS!$G15105&lt;&gt;"EX",0,--(COUNTIFS(nNIA,DATOS!$A15105,nCURSO,DATOS!$D15105,nESPEC,DATOS!$E15105,nASIG,DATOS!$I15105,nEVAL,"OR")=0))</f>
      </c>
      <c r="I15105">
        <f>IF(DATOS!$I15105="","",IFERROR(VLOOKUP(DATOS!$I15105,CONFIG_ASIGNATURAS!$B$2:$J$91,9,FALSE()),""))</f>
      </c>
    </row>
    <row r="15106">
      <c r="F15106">
        <f>IF(DATOS!$A15106="","",DATOS!$A15106&amp;"|"&amp;DATOS!$D15106&amp;"|"&amp;DATOS!$E15106&amp;"|"&amp;DATOS!$I15106)</f>
      </c>
      <c r="G15106">
        <f>IF(DATOS!$A15106="",0,IF(CONFIG_METADATA!$B$4&lt;&gt;"OR+EX",--(DATOS!$G15106=CONFIG_METADATA!$B$4),IF(DATOS!$G15106="EX",1,IF(DATOS!$G15106="OR",--(COUNTIFS(nNIA,DATOS!$A15106,nCURSO,DATOS!$D15106,nESPEC,DATOS!$E15106,nASIG,DATOS!$I15106,nEVAL,"EX")=0),0))))</f>
      </c>
      <c r="H15106">
        <f>IF(DATOS!$G15106&lt;&gt;"EX",0,--(COUNTIFS(nNIA,DATOS!$A15106,nCURSO,DATOS!$D15106,nESPEC,DATOS!$E15106,nASIG,DATOS!$I15106,nEVAL,"OR")=0))</f>
      </c>
      <c r="I15106">
        <f>IF(DATOS!$I15106="","",IFERROR(VLOOKUP(DATOS!$I15106,CONFIG_ASIGNATURAS!$B$2:$J$91,9,FALSE()),""))</f>
      </c>
    </row>
    <row r="15107">
      <c r="F15107">
        <f>IF(DATOS!$A15107="","",DATOS!$A15107&amp;"|"&amp;DATOS!$D15107&amp;"|"&amp;DATOS!$E15107&amp;"|"&amp;DATOS!$I15107)</f>
      </c>
      <c r="G15107">
        <f>IF(DATOS!$A15107="",0,IF(CONFIG_METADATA!$B$4&lt;&gt;"OR+EX",--(DATOS!$G15107=CONFIG_METADATA!$B$4),IF(DATOS!$G15107="EX",1,IF(DATOS!$G15107="OR",--(COUNTIFS(nNIA,DATOS!$A15107,nCURSO,DATOS!$D15107,nESPEC,DATOS!$E15107,nASIG,DATOS!$I15107,nEVAL,"EX")=0),0))))</f>
      </c>
      <c r="H15107">
        <f>IF(DATOS!$G15107&lt;&gt;"EX",0,--(COUNTIFS(nNIA,DATOS!$A15107,nCURSO,DATOS!$D15107,nESPEC,DATOS!$E15107,nASIG,DATOS!$I15107,nEVAL,"OR")=0))</f>
      </c>
      <c r="I15107">
        <f>IF(DATOS!$I15107="","",IFERROR(VLOOKUP(DATOS!$I15107,CONFIG_ASIGNATURAS!$B$2:$J$91,9,FALSE()),""))</f>
      </c>
    </row>
    <row r="15108">
      <c r="F15108">
        <f>IF(DATOS!$A15108="","",DATOS!$A15108&amp;"|"&amp;DATOS!$D15108&amp;"|"&amp;DATOS!$E15108&amp;"|"&amp;DATOS!$I15108)</f>
      </c>
      <c r="G15108">
        <f>IF(DATOS!$A15108="",0,IF(CONFIG_METADATA!$B$4&lt;&gt;"OR+EX",--(DATOS!$G15108=CONFIG_METADATA!$B$4),IF(DATOS!$G15108="EX",1,IF(DATOS!$G15108="OR",--(COUNTIFS(nNIA,DATOS!$A15108,nCURSO,DATOS!$D15108,nESPEC,DATOS!$E15108,nASIG,DATOS!$I15108,nEVAL,"EX")=0),0))))</f>
      </c>
      <c r="H15108">
        <f>IF(DATOS!$G15108&lt;&gt;"EX",0,--(COUNTIFS(nNIA,DATOS!$A15108,nCURSO,DATOS!$D15108,nESPEC,DATOS!$E15108,nASIG,DATOS!$I15108,nEVAL,"OR")=0))</f>
      </c>
      <c r="I15108">
        <f>IF(DATOS!$I15108="","",IFERROR(VLOOKUP(DATOS!$I15108,CONFIG_ASIGNATURAS!$B$2:$J$91,9,FALSE()),""))</f>
      </c>
    </row>
    <row r="15109">
      <c r="F15109">
        <f>IF(DATOS!$A15109="","",DATOS!$A15109&amp;"|"&amp;DATOS!$D15109&amp;"|"&amp;DATOS!$E15109&amp;"|"&amp;DATOS!$I15109)</f>
      </c>
      <c r="G15109">
        <f>IF(DATOS!$A15109="",0,IF(CONFIG_METADATA!$B$4&lt;&gt;"OR+EX",--(DATOS!$G15109=CONFIG_METADATA!$B$4),IF(DATOS!$G15109="EX",1,IF(DATOS!$G15109="OR",--(COUNTIFS(nNIA,DATOS!$A15109,nCURSO,DATOS!$D15109,nESPEC,DATOS!$E15109,nASIG,DATOS!$I15109,nEVAL,"EX")=0),0))))</f>
      </c>
      <c r="H15109">
        <f>IF(DATOS!$G15109&lt;&gt;"EX",0,--(COUNTIFS(nNIA,DATOS!$A15109,nCURSO,DATOS!$D15109,nESPEC,DATOS!$E15109,nASIG,DATOS!$I15109,nEVAL,"OR")=0))</f>
      </c>
      <c r="I15109">
        <f>IF(DATOS!$I15109="","",IFERROR(VLOOKUP(DATOS!$I15109,CONFIG_ASIGNATURAS!$B$2:$J$91,9,FALSE()),""))</f>
      </c>
    </row>
    <row r="15110">
      <c r="F15110">
        <f>IF(DATOS!$A15110="","",DATOS!$A15110&amp;"|"&amp;DATOS!$D15110&amp;"|"&amp;DATOS!$E15110&amp;"|"&amp;DATOS!$I15110)</f>
      </c>
      <c r="G15110">
        <f>IF(DATOS!$A15110="",0,IF(CONFIG_METADATA!$B$4&lt;&gt;"OR+EX",--(DATOS!$G15110=CONFIG_METADATA!$B$4),IF(DATOS!$G15110="EX",1,IF(DATOS!$G15110="OR",--(COUNTIFS(nNIA,DATOS!$A15110,nCURSO,DATOS!$D15110,nESPEC,DATOS!$E15110,nASIG,DATOS!$I15110,nEVAL,"EX")=0),0))))</f>
      </c>
      <c r="H15110">
        <f>IF(DATOS!$G15110&lt;&gt;"EX",0,--(COUNTIFS(nNIA,DATOS!$A15110,nCURSO,DATOS!$D15110,nESPEC,DATOS!$E15110,nASIG,DATOS!$I15110,nEVAL,"OR")=0))</f>
      </c>
      <c r="I15110">
        <f>IF(DATOS!$I15110="","",IFERROR(VLOOKUP(DATOS!$I15110,CONFIG_ASIGNATURAS!$B$2:$J$91,9,FALSE()),""))</f>
      </c>
    </row>
    <row r="15111">
      <c r="F15111">
        <f>IF(DATOS!$A15111="","",DATOS!$A15111&amp;"|"&amp;DATOS!$D15111&amp;"|"&amp;DATOS!$E15111&amp;"|"&amp;DATOS!$I15111)</f>
      </c>
      <c r="G15111">
        <f>IF(DATOS!$A15111="",0,IF(CONFIG_METADATA!$B$4&lt;&gt;"OR+EX",--(DATOS!$G15111=CONFIG_METADATA!$B$4),IF(DATOS!$G15111="EX",1,IF(DATOS!$G15111="OR",--(COUNTIFS(nNIA,DATOS!$A15111,nCURSO,DATOS!$D15111,nESPEC,DATOS!$E15111,nASIG,DATOS!$I15111,nEVAL,"EX")=0),0))))</f>
      </c>
      <c r="H15111">
        <f>IF(DATOS!$G15111&lt;&gt;"EX",0,--(COUNTIFS(nNIA,DATOS!$A15111,nCURSO,DATOS!$D15111,nESPEC,DATOS!$E15111,nASIG,DATOS!$I15111,nEVAL,"OR")=0))</f>
      </c>
      <c r="I15111">
        <f>IF(DATOS!$I15111="","",IFERROR(VLOOKUP(DATOS!$I15111,CONFIG_ASIGNATURAS!$B$2:$J$91,9,FALSE()),""))</f>
      </c>
    </row>
    <row r="15112">
      <c r="F15112">
        <f>IF(DATOS!$A15112="","",DATOS!$A15112&amp;"|"&amp;DATOS!$D15112&amp;"|"&amp;DATOS!$E15112&amp;"|"&amp;DATOS!$I15112)</f>
      </c>
      <c r="G15112">
        <f>IF(DATOS!$A15112="",0,IF(CONFIG_METADATA!$B$4&lt;&gt;"OR+EX",--(DATOS!$G15112=CONFIG_METADATA!$B$4),IF(DATOS!$G15112="EX",1,IF(DATOS!$G15112="OR",--(COUNTIFS(nNIA,DATOS!$A15112,nCURSO,DATOS!$D15112,nESPEC,DATOS!$E15112,nASIG,DATOS!$I15112,nEVAL,"EX")=0),0))))</f>
      </c>
      <c r="H15112">
        <f>IF(DATOS!$G15112&lt;&gt;"EX",0,--(COUNTIFS(nNIA,DATOS!$A15112,nCURSO,DATOS!$D15112,nESPEC,DATOS!$E15112,nASIG,DATOS!$I15112,nEVAL,"OR")=0))</f>
      </c>
      <c r="I15112">
        <f>IF(DATOS!$I15112="","",IFERROR(VLOOKUP(DATOS!$I15112,CONFIG_ASIGNATURAS!$B$2:$J$91,9,FALSE()),""))</f>
      </c>
    </row>
    <row r="15113">
      <c r="F15113">
        <f>IF(DATOS!$A15113="","",DATOS!$A15113&amp;"|"&amp;DATOS!$D15113&amp;"|"&amp;DATOS!$E15113&amp;"|"&amp;DATOS!$I15113)</f>
      </c>
      <c r="G15113">
        <f>IF(DATOS!$A15113="",0,IF(CONFIG_METADATA!$B$4&lt;&gt;"OR+EX",--(DATOS!$G15113=CONFIG_METADATA!$B$4),IF(DATOS!$G15113="EX",1,IF(DATOS!$G15113="OR",--(COUNTIFS(nNIA,DATOS!$A15113,nCURSO,DATOS!$D15113,nESPEC,DATOS!$E15113,nASIG,DATOS!$I15113,nEVAL,"EX")=0),0))))</f>
      </c>
      <c r="H15113">
        <f>IF(DATOS!$G15113&lt;&gt;"EX",0,--(COUNTIFS(nNIA,DATOS!$A15113,nCURSO,DATOS!$D15113,nESPEC,DATOS!$E15113,nASIG,DATOS!$I15113,nEVAL,"OR")=0))</f>
      </c>
      <c r="I15113">
        <f>IF(DATOS!$I15113="","",IFERROR(VLOOKUP(DATOS!$I15113,CONFIG_ASIGNATURAS!$B$2:$J$91,9,FALSE()),""))</f>
      </c>
    </row>
    <row r="15114">
      <c r="F15114">
        <f>IF(DATOS!$A15114="","",DATOS!$A15114&amp;"|"&amp;DATOS!$D15114&amp;"|"&amp;DATOS!$E15114&amp;"|"&amp;DATOS!$I15114)</f>
      </c>
      <c r="G15114">
        <f>IF(DATOS!$A15114="",0,IF(CONFIG_METADATA!$B$4&lt;&gt;"OR+EX",--(DATOS!$G15114=CONFIG_METADATA!$B$4),IF(DATOS!$G15114="EX",1,IF(DATOS!$G15114="OR",--(COUNTIFS(nNIA,DATOS!$A15114,nCURSO,DATOS!$D15114,nESPEC,DATOS!$E15114,nASIG,DATOS!$I15114,nEVAL,"EX")=0),0))))</f>
      </c>
      <c r="H15114">
        <f>IF(DATOS!$G15114&lt;&gt;"EX",0,--(COUNTIFS(nNIA,DATOS!$A15114,nCURSO,DATOS!$D15114,nESPEC,DATOS!$E15114,nASIG,DATOS!$I15114,nEVAL,"OR")=0))</f>
      </c>
      <c r="I15114">
        <f>IF(DATOS!$I15114="","",IFERROR(VLOOKUP(DATOS!$I15114,CONFIG_ASIGNATURAS!$B$2:$J$91,9,FALSE()),""))</f>
      </c>
    </row>
    <row r="15115">
      <c r="F15115">
        <f>IF(DATOS!$A15115="","",DATOS!$A15115&amp;"|"&amp;DATOS!$D15115&amp;"|"&amp;DATOS!$E15115&amp;"|"&amp;DATOS!$I15115)</f>
      </c>
      <c r="G15115">
        <f>IF(DATOS!$A15115="",0,IF(CONFIG_METADATA!$B$4&lt;&gt;"OR+EX",--(DATOS!$G15115=CONFIG_METADATA!$B$4),IF(DATOS!$G15115="EX",1,IF(DATOS!$G15115="OR",--(COUNTIFS(nNIA,DATOS!$A15115,nCURSO,DATOS!$D15115,nESPEC,DATOS!$E15115,nASIG,DATOS!$I15115,nEVAL,"EX")=0),0))))</f>
      </c>
      <c r="H15115">
        <f>IF(DATOS!$G15115&lt;&gt;"EX",0,--(COUNTIFS(nNIA,DATOS!$A15115,nCURSO,DATOS!$D15115,nESPEC,DATOS!$E15115,nASIG,DATOS!$I15115,nEVAL,"OR")=0))</f>
      </c>
      <c r="I15115">
        <f>IF(DATOS!$I15115="","",IFERROR(VLOOKUP(DATOS!$I15115,CONFIG_ASIGNATURAS!$B$2:$J$91,9,FALSE()),""))</f>
      </c>
    </row>
    <row r="15116">
      <c r="F15116">
        <f>IF(DATOS!$A15116="","",DATOS!$A15116&amp;"|"&amp;DATOS!$D15116&amp;"|"&amp;DATOS!$E15116&amp;"|"&amp;DATOS!$I15116)</f>
      </c>
      <c r="G15116">
        <f>IF(DATOS!$A15116="",0,IF(CONFIG_METADATA!$B$4&lt;&gt;"OR+EX",--(DATOS!$G15116=CONFIG_METADATA!$B$4),IF(DATOS!$G15116="EX",1,IF(DATOS!$G15116="OR",--(COUNTIFS(nNIA,DATOS!$A15116,nCURSO,DATOS!$D15116,nESPEC,DATOS!$E15116,nASIG,DATOS!$I15116,nEVAL,"EX")=0),0))))</f>
      </c>
      <c r="H15116">
        <f>IF(DATOS!$G15116&lt;&gt;"EX",0,--(COUNTIFS(nNIA,DATOS!$A15116,nCURSO,DATOS!$D15116,nESPEC,DATOS!$E15116,nASIG,DATOS!$I15116,nEVAL,"OR")=0))</f>
      </c>
      <c r="I15116">
        <f>IF(DATOS!$I15116="","",IFERROR(VLOOKUP(DATOS!$I15116,CONFIG_ASIGNATURAS!$B$2:$J$91,9,FALSE()),""))</f>
      </c>
    </row>
    <row r="15117">
      <c r="F15117">
        <f>IF(DATOS!$A15117="","",DATOS!$A15117&amp;"|"&amp;DATOS!$D15117&amp;"|"&amp;DATOS!$E15117&amp;"|"&amp;DATOS!$I15117)</f>
      </c>
      <c r="G15117">
        <f>IF(DATOS!$A15117="",0,IF(CONFIG_METADATA!$B$4&lt;&gt;"OR+EX",--(DATOS!$G15117=CONFIG_METADATA!$B$4),IF(DATOS!$G15117="EX",1,IF(DATOS!$G15117="OR",--(COUNTIFS(nNIA,DATOS!$A15117,nCURSO,DATOS!$D15117,nESPEC,DATOS!$E15117,nASIG,DATOS!$I15117,nEVAL,"EX")=0),0))))</f>
      </c>
      <c r="H15117">
        <f>IF(DATOS!$G15117&lt;&gt;"EX",0,--(COUNTIFS(nNIA,DATOS!$A15117,nCURSO,DATOS!$D15117,nESPEC,DATOS!$E15117,nASIG,DATOS!$I15117,nEVAL,"OR")=0))</f>
      </c>
      <c r="I15117">
        <f>IF(DATOS!$I15117="","",IFERROR(VLOOKUP(DATOS!$I15117,CONFIG_ASIGNATURAS!$B$2:$J$91,9,FALSE()),""))</f>
      </c>
    </row>
    <row r="15118">
      <c r="F15118">
        <f>IF(DATOS!$A15118="","",DATOS!$A15118&amp;"|"&amp;DATOS!$D15118&amp;"|"&amp;DATOS!$E15118&amp;"|"&amp;DATOS!$I15118)</f>
      </c>
      <c r="G15118">
        <f>IF(DATOS!$A15118="",0,IF(CONFIG_METADATA!$B$4&lt;&gt;"OR+EX",--(DATOS!$G15118=CONFIG_METADATA!$B$4),IF(DATOS!$G15118="EX",1,IF(DATOS!$G15118="OR",--(COUNTIFS(nNIA,DATOS!$A15118,nCURSO,DATOS!$D15118,nESPEC,DATOS!$E15118,nASIG,DATOS!$I15118,nEVAL,"EX")=0),0))))</f>
      </c>
      <c r="H15118">
        <f>IF(DATOS!$G15118&lt;&gt;"EX",0,--(COUNTIFS(nNIA,DATOS!$A15118,nCURSO,DATOS!$D15118,nESPEC,DATOS!$E15118,nASIG,DATOS!$I15118,nEVAL,"OR")=0))</f>
      </c>
      <c r="I15118">
        <f>IF(DATOS!$I15118="","",IFERROR(VLOOKUP(DATOS!$I15118,CONFIG_ASIGNATURAS!$B$2:$J$91,9,FALSE()),""))</f>
      </c>
    </row>
    <row r="15119">
      <c r="F15119">
        <f>IF(DATOS!$A15119="","",DATOS!$A15119&amp;"|"&amp;DATOS!$D15119&amp;"|"&amp;DATOS!$E15119&amp;"|"&amp;DATOS!$I15119)</f>
      </c>
      <c r="G15119">
        <f>IF(DATOS!$A15119="",0,IF(CONFIG_METADATA!$B$4&lt;&gt;"OR+EX",--(DATOS!$G15119=CONFIG_METADATA!$B$4),IF(DATOS!$G15119="EX",1,IF(DATOS!$G15119="OR",--(COUNTIFS(nNIA,DATOS!$A15119,nCURSO,DATOS!$D15119,nESPEC,DATOS!$E15119,nASIG,DATOS!$I15119,nEVAL,"EX")=0),0))))</f>
      </c>
      <c r="H15119">
        <f>IF(DATOS!$G15119&lt;&gt;"EX",0,--(COUNTIFS(nNIA,DATOS!$A15119,nCURSO,DATOS!$D15119,nESPEC,DATOS!$E15119,nASIG,DATOS!$I15119,nEVAL,"OR")=0))</f>
      </c>
      <c r="I15119">
        <f>IF(DATOS!$I15119="","",IFERROR(VLOOKUP(DATOS!$I15119,CONFIG_ASIGNATURAS!$B$2:$J$91,9,FALSE()),""))</f>
      </c>
    </row>
    <row r="15120">
      <c r="F15120">
        <f>IF(DATOS!$A15120="","",DATOS!$A15120&amp;"|"&amp;DATOS!$D15120&amp;"|"&amp;DATOS!$E15120&amp;"|"&amp;DATOS!$I15120)</f>
      </c>
      <c r="G15120">
        <f>IF(DATOS!$A15120="",0,IF(CONFIG_METADATA!$B$4&lt;&gt;"OR+EX",--(DATOS!$G15120=CONFIG_METADATA!$B$4),IF(DATOS!$G15120="EX",1,IF(DATOS!$G15120="OR",--(COUNTIFS(nNIA,DATOS!$A15120,nCURSO,DATOS!$D15120,nESPEC,DATOS!$E15120,nASIG,DATOS!$I15120,nEVAL,"EX")=0),0))))</f>
      </c>
      <c r="H15120">
        <f>IF(DATOS!$G15120&lt;&gt;"EX",0,--(COUNTIFS(nNIA,DATOS!$A15120,nCURSO,DATOS!$D15120,nESPEC,DATOS!$E15120,nASIG,DATOS!$I15120,nEVAL,"OR")=0))</f>
      </c>
      <c r="I15120">
        <f>IF(DATOS!$I15120="","",IFERROR(VLOOKUP(DATOS!$I15120,CONFIG_ASIGNATURAS!$B$2:$J$91,9,FALSE()),""))</f>
      </c>
    </row>
    <row r="15121">
      <c r="F15121">
        <f>IF(DATOS!$A15121="","",DATOS!$A15121&amp;"|"&amp;DATOS!$D15121&amp;"|"&amp;DATOS!$E15121&amp;"|"&amp;DATOS!$I15121)</f>
      </c>
      <c r="G15121">
        <f>IF(DATOS!$A15121="",0,IF(CONFIG_METADATA!$B$4&lt;&gt;"OR+EX",--(DATOS!$G15121=CONFIG_METADATA!$B$4),IF(DATOS!$G15121="EX",1,IF(DATOS!$G15121="OR",--(COUNTIFS(nNIA,DATOS!$A15121,nCURSO,DATOS!$D15121,nESPEC,DATOS!$E15121,nASIG,DATOS!$I15121,nEVAL,"EX")=0),0))))</f>
      </c>
      <c r="H15121">
        <f>IF(DATOS!$G15121&lt;&gt;"EX",0,--(COUNTIFS(nNIA,DATOS!$A15121,nCURSO,DATOS!$D15121,nESPEC,DATOS!$E15121,nASIG,DATOS!$I15121,nEVAL,"OR")=0))</f>
      </c>
      <c r="I15121">
        <f>IF(DATOS!$I15121="","",IFERROR(VLOOKUP(DATOS!$I15121,CONFIG_ASIGNATURAS!$B$2:$J$91,9,FALSE()),""))</f>
      </c>
    </row>
    <row r="15122">
      <c r="F15122">
        <f>IF(DATOS!$A15122="","",DATOS!$A15122&amp;"|"&amp;DATOS!$D15122&amp;"|"&amp;DATOS!$E15122&amp;"|"&amp;DATOS!$I15122)</f>
      </c>
      <c r="G15122">
        <f>IF(DATOS!$A15122="",0,IF(CONFIG_METADATA!$B$4&lt;&gt;"OR+EX",--(DATOS!$G15122=CONFIG_METADATA!$B$4),IF(DATOS!$G15122="EX",1,IF(DATOS!$G15122="OR",--(COUNTIFS(nNIA,DATOS!$A15122,nCURSO,DATOS!$D15122,nESPEC,DATOS!$E15122,nASIG,DATOS!$I15122,nEVAL,"EX")=0),0))))</f>
      </c>
      <c r="H15122">
        <f>IF(DATOS!$G15122&lt;&gt;"EX",0,--(COUNTIFS(nNIA,DATOS!$A15122,nCURSO,DATOS!$D15122,nESPEC,DATOS!$E15122,nASIG,DATOS!$I15122,nEVAL,"OR")=0))</f>
      </c>
      <c r="I15122">
        <f>IF(DATOS!$I15122="","",IFERROR(VLOOKUP(DATOS!$I15122,CONFIG_ASIGNATURAS!$B$2:$J$91,9,FALSE()),""))</f>
      </c>
    </row>
    <row r="15123">
      <c r="F15123">
        <f>IF(DATOS!$A15123="","",DATOS!$A15123&amp;"|"&amp;DATOS!$D15123&amp;"|"&amp;DATOS!$E15123&amp;"|"&amp;DATOS!$I15123)</f>
      </c>
      <c r="G15123">
        <f>IF(DATOS!$A15123="",0,IF(CONFIG_METADATA!$B$4&lt;&gt;"OR+EX",--(DATOS!$G15123=CONFIG_METADATA!$B$4),IF(DATOS!$G15123="EX",1,IF(DATOS!$G15123="OR",--(COUNTIFS(nNIA,DATOS!$A15123,nCURSO,DATOS!$D15123,nESPEC,DATOS!$E15123,nASIG,DATOS!$I15123,nEVAL,"EX")=0),0))))</f>
      </c>
      <c r="H15123">
        <f>IF(DATOS!$G15123&lt;&gt;"EX",0,--(COUNTIFS(nNIA,DATOS!$A15123,nCURSO,DATOS!$D15123,nESPEC,DATOS!$E15123,nASIG,DATOS!$I15123,nEVAL,"OR")=0))</f>
      </c>
      <c r="I15123">
        <f>IF(DATOS!$I15123="","",IFERROR(VLOOKUP(DATOS!$I15123,CONFIG_ASIGNATURAS!$B$2:$J$91,9,FALSE()),""))</f>
      </c>
    </row>
    <row r="15124">
      <c r="F15124">
        <f>IF(DATOS!$A15124="","",DATOS!$A15124&amp;"|"&amp;DATOS!$D15124&amp;"|"&amp;DATOS!$E15124&amp;"|"&amp;DATOS!$I15124)</f>
      </c>
      <c r="G15124">
        <f>IF(DATOS!$A15124="",0,IF(CONFIG_METADATA!$B$4&lt;&gt;"OR+EX",--(DATOS!$G15124=CONFIG_METADATA!$B$4),IF(DATOS!$G15124="EX",1,IF(DATOS!$G15124="OR",--(COUNTIFS(nNIA,DATOS!$A15124,nCURSO,DATOS!$D15124,nESPEC,DATOS!$E15124,nASIG,DATOS!$I15124,nEVAL,"EX")=0),0))))</f>
      </c>
      <c r="H15124">
        <f>IF(DATOS!$G15124&lt;&gt;"EX",0,--(COUNTIFS(nNIA,DATOS!$A15124,nCURSO,DATOS!$D15124,nESPEC,DATOS!$E15124,nASIG,DATOS!$I15124,nEVAL,"OR")=0))</f>
      </c>
      <c r="I15124">
        <f>IF(DATOS!$I15124="","",IFERROR(VLOOKUP(DATOS!$I15124,CONFIG_ASIGNATURAS!$B$2:$J$91,9,FALSE()),""))</f>
      </c>
    </row>
    <row r="15125">
      <c r="F15125">
        <f>IF(DATOS!$A15125="","",DATOS!$A15125&amp;"|"&amp;DATOS!$D15125&amp;"|"&amp;DATOS!$E15125&amp;"|"&amp;DATOS!$I15125)</f>
      </c>
      <c r="G15125">
        <f>IF(DATOS!$A15125="",0,IF(CONFIG_METADATA!$B$4&lt;&gt;"OR+EX",--(DATOS!$G15125=CONFIG_METADATA!$B$4),IF(DATOS!$G15125="EX",1,IF(DATOS!$G15125="OR",--(COUNTIFS(nNIA,DATOS!$A15125,nCURSO,DATOS!$D15125,nESPEC,DATOS!$E15125,nASIG,DATOS!$I15125,nEVAL,"EX")=0),0))))</f>
      </c>
      <c r="H15125">
        <f>IF(DATOS!$G15125&lt;&gt;"EX",0,--(COUNTIFS(nNIA,DATOS!$A15125,nCURSO,DATOS!$D15125,nESPEC,DATOS!$E15125,nASIG,DATOS!$I15125,nEVAL,"OR")=0))</f>
      </c>
      <c r="I15125">
        <f>IF(DATOS!$I15125="","",IFERROR(VLOOKUP(DATOS!$I15125,CONFIG_ASIGNATURAS!$B$2:$J$91,9,FALSE()),""))</f>
      </c>
    </row>
    <row r="15126">
      <c r="F15126">
        <f>IF(DATOS!$A15126="","",DATOS!$A15126&amp;"|"&amp;DATOS!$D15126&amp;"|"&amp;DATOS!$E15126&amp;"|"&amp;DATOS!$I15126)</f>
      </c>
      <c r="G15126">
        <f>IF(DATOS!$A15126="",0,IF(CONFIG_METADATA!$B$4&lt;&gt;"OR+EX",--(DATOS!$G15126=CONFIG_METADATA!$B$4),IF(DATOS!$G15126="EX",1,IF(DATOS!$G15126="OR",--(COUNTIFS(nNIA,DATOS!$A15126,nCURSO,DATOS!$D15126,nESPEC,DATOS!$E15126,nASIG,DATOS!$I15126,nEVAL,"EX")=0),0))))</f>
      </c>
      <c r="H15126">
        <f>IF(DATOS!$G15126&lt;&gt;"EX",0,--(COUNTIFS(nNIA,DATOS!$A15126,nCURSO,DATOS!$D15126,nESPEC,DATOS!$E15126,nASIG,DATOS!$I15126,nEVAL,"OR")=0))</f>
      </c>
      <c r="I15126">
        <f>IF(DATOS!$I15126="","",IFERROR(VLOOKUP(DATOS!$I15126,CONFIG_ASIGNATURAS!$B$2:$J$91,9,FALSE()),""))</f>
      </c>
    </row>
    <row r="15127">
      <c r="F15127">
        <f>IF(DATOS!$A15127="","",DATOS!$A15127&amp;"|"&amp;DATOS!$D15127&amp;"|"&amp;DATOS!$E15127&amp;"|"&amp;DATOS!$I15127)</f>
      </c>
      <c r="G15127">
        <f>IF(DATOS!$A15127="",0,IF(CONFIG_METADATA!$B$4&lt;&gt;"OR+EX",--(DATOS!$G15127=CONFIG_METADATA!$B$4),IF(DATOS!$G15127="EX",1,IF(DATOS!$G15127="OR",--(COUNTIFS(nNIA,DATOS!$A15127,nCURSO,DATOS!$D15127,nESPEC,DATOS!$E15127,nASIG,DATOS!$I15127,nEVAL,"EX")=0),0))))</f>
      </c>
      <c r="H15127">
        <f>IF(DATOS!$G15127&lt;&gt;"EX",0,--(COUNTIFS(nNIA,DATOS!$A15127,nCURSO,DATOS!$D15127,nESPEC,DATOS!$E15127,nASIG,DATOS!$I15127,nEVAL,"OR")=0))</f>
      </c>
      <c r="I15127">
        <f>IF(DATOS!$I15127="","",IFERROR(VLOOKUP(DATOS!$I15127,CONFIG_ASIGNATURAS!$B$2:$J$91,9,FALSE()),""))</f>
      </c>
    </row>
    <row r="15128">
      <c r="F15128">
        <f>IF(DATOS!$A15128="","",DATOS!$A15128&amp;"|"&amp;DATOS!$D15128&amp;"|"&amp;DATOS!$E15128&amp;"|"&amp;DATOS!$I15128)</f>
      </c>
      <c r="G15128">
        <f>IF(DATOS!$A15128="",0,IF(CONFIG_METADATA!$B$4&lt;&gt;"OR+EX",--(DATOS!$G15128=CONFIG_METADATA!$B$4),IF(DATOS!$G15128="EX",1,IF(DATOS!$G15128="OR",--(COUNTIFS(nNIA,DATOS!$A15128,nCURSO,DATOS!$D15128,nESPEC,DATOS!$E15128,nASIG,DATOS!$I15128,nEVAL,"EX")=0),0))))</f>
      </c>
      <c r="H15128">
        <f>IF(DATOS!$G15128&lt;&gt;"EX",0,--(COUNTIFS(nNIA,DATOS!$A15128,nCURSO,DATOS!$D15128,nESPEC,DATOS!$E15128,nASIG,DATOS!$I15128,nEVAL,"OR")=0))</f>
      </c>
      <c r="I15128">
        <f>IF(DATOS!$I15128="","",IFERROR(VLOOKUP(DATOS!$I15128,CONFIG_ASIGNATURAS!$B$2:$J$91,9,FALSE()),""))</f>
      </c>
    </row>
    <row r="15129">
      <c r="F15129">
        <f>IF(DATOS!$A15129="","",DATOS!$A15129&amp;"|"&amp;DATOS!$D15129&amp;"|"&amp;DATOS!$E15129&amp;"|"&amp;DATOS!$I15129)</f>
      </c>
      <c r="G15129">
        <f>IF(DATOS!$A15129="",0,IF(CONFIG_METADATA!$B$4&lt;&gt;"OR+EX",--(DATOS!$G15129=CONFIG_METADATA!$B$4),IF(DATOS!$G15129="EX",1,IF(DATOS!$G15129="OR",--(COUNTIFS(nNIA,DATOS!$A15129,nCURSO,DATOS!$D15129,nESPEC,DATOS!$E15129,nASIG,DATOS!$I15129,nEVAL,"EX")=0),0))))</f>
      </c>
      <c r="H15129">
        <f>IF(DATOS!$G15129&lt;&gt;"EX",0,--(COUNTIFS(nNIA,DATOS!$A15129,nCURSO,DATOS!$D15129,nESPEC,DATOS!$E15129,nASIG,DATOS!$I15129,nEVAL,"OR")=0))</f>
      </c>
      <c r="I15129">
        <f>IF(DATOS!$I15129="","",IFERROR(VLOOKUP(DATOS!$I15129,CONFIG_ASIGNATURAS!$B$2:$J$91,9,FALSE()),""))</f>
      </c>
    </row>
    <row r="15130">
      <c r="F15130">
        <f>IF(DATOS!$A15130="","",DATOS!$A15130&amp;"|"&amp;DATOS!$D15130&amp;"|"&amp;DATOS!$E15130&amp;"|"&amp;DATOS!$I15130)</f>
      </c>
      <c r="G15130">
        <f>IF(DATOS!$A15130="",0,IF(CONFIG_METADATA!$B$4&lt;&gt;"OR+EX",--(DATOS!$G15130=CONFIG_METADATA!$B$4),IF(DATOS!$G15130="EX",1,IF(DATOS!$G15130="OR",--(COUNTIFS(nNIA,DATOS!$A15130,nCURSO,DATOS!$D15130,nESPEC,DATOS!$E15130,nASIG,DATOS!$I15130,nEVAL,"EX")=0),0))))</f>
      </c>
      <c r="H15130">
        <f>IF(DATOS!$G15130&lt;&gt;"EX",0,--(COUNTIFS(nNIA,DATOS!$A15130,nCURSO,DATOS!$D15130,nESPEC,DATOS!$E15130,nASIG,DATOS!$I15130,nEVAL,"OR")=0))</f>
      </c>
      <c r="I15130">
        <f>IF(DATOS!$I15130="","",IFERROR(VLOOKUP(DATOS!$I15130,CONFIG_ASIGNATURAS!$B$2:$J$91,9,FALSE()),""))</f>
      </c>
    </row>
    <row r="15131">
      <c r="F15131">
        <f>IF(DATOS!$A15131="","",DATOS!$A15131&amp;"|"&amp;DATOS!$D15131&amp;"|"&amp;DATOS!$E15131&amp;"|"&amp;DATOS!$I15131)</f>
      </c>
      <c r="G15131">
        <f>IF(DATOS!$A15131="",0,IF(CONFIG_METADATA!$B$4&lt;&gt;"OR+EX",--(DATOS!$G15131=CONFIG_METADATA!$B$4),IF(DATOS!$G15131="EX",1,IF(DATOS!$G15131="OR",--(COUNTIFS(nNIA,DATOS!$A15131,nCURSO,DATOS!$D15131,nESPEC,DATOS!$E15131,nASIG,DATOS!$I15131,nEVAL,"EX")=0),0))))</f>
      </c>
      <c r="H15131">
        <f>IF(DATOS!$G15131&lt;&gt;"EX",0,--(COUNTIFS(nNIA,DATOS!$A15131,nCURSO,DATOS!$D15131,nESPEC,DATOS!$E15131,nASIG,DATOS!$I15131,nEVAL,"OR")=0))</f>
      </c>
      <c r="I15131">
        <f>IF(DATOS!$I15131="","",IFERROR(VLOOKUP(DATOS!$I15131,CONFIG_ASIGNATURAS!$B$2:$J$91,9,FALSE()),""))</f>
      </c>
    </row>
    <row r="15132">
      <c r="F15132">
        <f>IF(DATOS!$A15132="","",DATOS!$A15132&amp;"|"&amp;DATOS!$D15132&amp;"|"&amp;DATOS!$E15132&amp;"|"&amp;DATOS!$I15132)</f>
      </c>
      <c r="G15132">
        <f>IF(DATOS!$A15132="",0,IF(CONFIG_METADATA!$B$4&lt;&gt;"OR+EX",--(DATOS!$G15132=CONFIG_METADATA!$B$4),IF(DATOS!$G15132="EX",1,IF(DATOS!$G15132="OR",--(COUNTIFS(nNIA,DATOS!$A15132,nCURSO,DATOS!$D15132,nESPEC,DATOS!$E15132,nASIG,DATOS!$I15132,nEVAL,"EX")=0),0))))</f>
      </c>
      <c r="H15132">
        <f>IF(DATOS!$G15132&lt;&gt;"EX",0,--(COUNTIFS(nNIA,DATOS!$A15132,nCURSO,DATOS!$D15132,nESPEC,DATOS!$E15132,nASIG,DATOS!$I15132,nEVAL,"OR")=0))</f>
      </c>
      <c r="I15132">
        <f>IF(DATOS!$I15132="","",IFERROR(VLOOKUP(DATOS!$I15132,CONFIG_ASIGNATURAS!$B$2:$J$91,9,FALSE()),""))</f>
      </c>
    </row>
    <row r="15133">
      <c r="F15133">
        <f>IF(DATOS!$A15133="","",DATOS!$A15133&amp;"|"&amp;DATOS!$D15133&amp;"|"&amp;DATOS!$E15133&amp;"|"&amp;DATOS!$I15133)</f>
      </c>
      <c r="G15133">
        <f>IF(DATOS!$A15133="",0,IF(CONFIG_METADATA!$B$4&lt;&gt;"OR+EX",--(DATOS!$G15133=CONFIG_METADATA!$B$4),IF(DATOS!$G15133="EX",1,IF(DATOS!$G15133="OR",--(COUNTIFS(nNIA,DATOS!$A15133,nCURSO,DATOS!$D15133,nESPEC,DATOS!$E15133,nASIG,DATOS!$I15133,nEVAL,"EX")=0),0))))</f>
      </c>
      <c r="H15133">
        <f>IF(DATOS!$G15133&lt;&gt;"EX",0,--(COUNTIFS(nNIA,DATOS!$A15133,nCURSO,DATOS!$D15133,nESPEC,DATOS!$E15133,nASIG,DATOS!$I15133,nEVAL,"OR")=0))</f>
      </c>
      <c r="I15133">
        <f>IF(DATOS!$I15133="","",IFERROR(VLOOKUP(DATOS!$I15133,CONFIG_ASIGNATURAS!$B$2:$J$91,9,FALSE()),""))</f>
      </c>
    </row>
    <row r="15134">
      <c r="F15134">
        <f>IF(DATOS!$A15134="","",DATOS!$A15134&amp;"|"&amp;DATOS!$D15134&amp;"|"&amp;DATOS!$E15134&amp;"|"&amp;DATOS!$I15134)</f>
      </c>
      <c r="G15134">
        <f>IF(DATOS!$A15134="",0,IF(CONFIG_METADATA!$B$4&lt;&gt;"OR+EX",--(DATOS!$G15134=CONFIG_METADATA!$B$4),IF(DATOS!$G15134="EX",1,IF(DATOS!$G15134="OR",--(COUNTIFS(nNIA,DATOS!$A15134,nCURSO,DATOS!$D15134,nESPEC,DATOS!$E15134,nASIG,DATOS!$I15134,nEVAL,"EX")=0),0))))</f>
      </c>
      <c r="H15134">
        <f>IF(DATOS!$G15134&lt;&gt;"EX",0,--(COUNTIFS(nNIA,DATOS!$A15134,nCURSO,DATOS!$D15134,nESPEC,DATOS!$E15134,nASIG,DATOS!$I15134,nEVAL,"OR")=0))</f>
      </c>
      <c r="I15134">
        <f>IF(DATOS!$I15134="","",IFERROR(VLOOKUP(DATOS!$I15134,CONFIG_ASIGNATURAS!$B$2:$J$91,9,FALSE()),""))</f>
      </c>
    </row>
    <row r="15135">
      <c r="F15135">
        <f>IF(DATOS!$A15135="","",DATOS!$A15135&amp;"|"&amp;DATOS!$D15135&amp;"|"&amp;DATOS!$E15135&amp;"|"&amp;DATOS!$I15135)</f>
      </c>
      <c r="G15135">
        <f>IF(DATOS!$A15135="",0,IF(CONFIG_METADATA!$B$4&lt;&gt;"OR+EX",--(DATOS!$G15135=CONFIG_METADATA!$B$4),IF(DATOS!$G15135="EX",1,IF(DATOS!$G15135="OR",--(COUNTIFS(nNIA,DATOS!$A15135,nCURSO,DATOS!$D15135,nESPEC,DATOS!$E15135,nASIG,DATOS!$I15135,nEVAL,"EX")=0),0))))</f>
      </c>
      <c r="H15135">
        <f>IF(DATOS!$G15135&lt;&gt;"EX",0,--(COUNTIFS(nNIA,DATOS!$A15135,nCURSO,DATOS!$D15135,nESPEC,DATOS!$E15135,nASIG,DATOS!$I15135,nEVAL,"OR")=0))</f>
      </c>
      <c r="I15135">
        <f>IF(DATOS!$I15135="","",IFERROR(VLOOKUP(DATOS!$I15135,CONFIG_ASIGNATURAS!$B$2:$J$91,9,FALSE()),""))</f>
      </c>
    </row>
    <row r="15136">
      <c r="F15136">
        <f>IF(DATOS!$A15136="","",DATOS!$A15136&amp;"|"&amp;DATOS!$D15136&amp;"|"&amp;DATOS!$E15136&amp;"|"&amp;DATOS!$I15136)</f>
      </c>
      <c r="G15136">
        <f>IF(DATOS!$A15136="",0,IF(CONFIG_METADATA!$B$4&lt;&gt;"OR+EX",--(DATOS!$G15136=CONFIG_METADATA!$B$4),IF(DATOS!$G15136="EX",1,IF(DATOS!$G15136="OR",--(COUNTIFS(nNIA,DATOS!$A15136,nCURSO,DATOS!$D15136,nESPEC,DATOS!$E15136,nASIG,DATOS!$I15136,nEVAL,"EX")=0),0))))</f>
      </c>
      <c r="H15136">
        <f>IF(DATOS!$G15136&lt;&gt;"EX",0,--(COUNTIFS(nNIA,DATOS!$A15136,nCURSO,DATOS!$D15136,nESPEC,DATOS!$E15136,nASIG,DATOS!$I15136,nEVAL,"OR")=0))</f>
      </c>
      <c r="I15136">
        <f>IF(DATOS!$I15136="","",IFERROR(VLOOKUP(DATOS!$I15136,CONFIG_ASIGNATURAS!$B$2:$J$91,9,FALSE()),""))</f>
      </c>
    </row>
    <row r="15137">
      <c r="F15137">
        <f>IF(DATOS!$A15137="","",DATOS!$A15137&amp;"|"&amp;DATOS!$D15137&amp;"|"&amp;DATOS!$E15137&amp;"|"&amp;DATOS!$I15137)</f>
      </c>
      <c r="G15137">
        <f>IF(DATOS!$A15137="",0,IF(CONFIG_METADATA!$B$4&lt;&gt;"OR+EX",--(DATOS!$G15137=CONFIG_METADATA!$B$4),IF(DATOS!$G15137="EX",1,IF(DATOS!$G15137="OR",--(COUNTIFS(nNIA,DATOS!$A15137,nCURSO,DATOS!$D15137,nESPEC,DATOS!$E15137,nASIG,DATOS!$I15137,nEVAL,"EX")=0),0))))</f>
      </c>
      <c r="H15137">
        <f>IF(DATOS!$G15137&lt;&gt;"EX",0,--(COUNTIFS(nNIA,DATOS!$A15137,nCURSO,DATOS!$D15137,nESPEC,DATOS!$E15137,nASIG,DATOS!$I15137,nEVAL,"OR")=0))</f>
      </c>
      <c r="I15137">
        <f>IF(DATOS!$I15137="","",IFERROR(VLOOKUP(DATOS!$I15137,CONFIG_ASIGNATURAS!$B$2:$J$91,9,FALSE()),""))</f>
      </c>
    </row>
    <row r="15138">
      <c r="F15138">
        <f>IF(DATOS!$A15138="","",DATOS!$A15138&amp;"|"&amp;DATOS!$D15138&amp;"|"&amp;DATOS!$E15138&amp;"|"&amp;DATOS!$I15138)</f>
      </c>
      <c r="G15138">
        <f>IF(DATOS!$A15138="",0,IF(CONFIG_METADATA!$B$4&lt;&gt;"OR+EX",--(DATOS!$G15138=CONFIG_METADATA!$B$4),IF(DATOS!$G15138="EX",1,IF(DATOS!$G15138="OR",--(COUNTIFS(nNIA,DATOS!$A15138,nCURSO,DATOS!$D15138,nESPEC,DATOS!$E15138,nASIG,DATOS!$I15138,nEVAL,"EX")=0),0))))</f>
      </c>
      <c r="H15138">
        <f>IF(DATOS!$G15138&lt;&gt;"EX",0,--(COUNTIFS(nNIA,DATOS!$A15138,nCURSO,DATOS!$D15138,nESPEC,DATOS!$E15138,nASIG,DATOS!$I15138,nEVAL,"OR")=0))</f>
      </c>
      <c r="I15138">
        <f>IF(DATOS!$I15138="","",IFERROR(VLOOKUP(DATOS!$I15138,CONFIG_ASIGNATURAS!$B$2:$J$91,9,FALSE()),""))</f>
      </c>
    </row>
    <row r="15139">
      <c r="F15139">
        <f>IF(DATOS!$A15139="","",DATOS!$A15139&amp;"|"&amp;DATOS!$D15139&amp;"|"&amp;DATOS!$E15139&amp;"|"&amp;DATOS!$I15139)</f>
      </c>
      <c r="G15139">
        <f>IF(DATOS!$A15139="",0,IF(CONFIG_METADATA!$B$4&lt;&gt;"OR+EX",--(DATOS!$G15139=CONFIG_METADATA!$B$4),IF(DATOS!$G15139="EX",1,IF(DATOS!$G15139="OR",--(COUNTIFS(nNIA,DATOS!$A15139,nCURSO,DATOS!$D15139,nESPEC,DATOS!$E15139,nASIG,DATOS!$I15139,nEVAL,"EX")=0),0))))</f>
      </c>
      <c r="H15139">
        <f>IF(DATOS!$G15139&lt;&gt;"EX",0,--(COUNTIFS(nNIA,DATOS!$A15139,nCURSO,DATOS!$D15139,nESPEC,DATOS!$E15139,nASIG,DATOS!$I15139,nEVAL,"OR")=0))</f>
      </c>
      <c r="I15139">
        <f>IF(DATOS!$I15139="","",IFERROR(VLOOKUP(DATOS!$I15139,CONFIG_ASIGNATURAS!$B$2:$J$91,9,FALSE()),""))</f>
      </c>
    </row>
    <row r="15140">
      <c r="F15140">
        <f>IF(DATOS!$A15140="","",DATOS!$A15140&amp;"|"&amp;DATOS!$D15140&amp;"|"&amp;DATOS!$E15140&amp;"|"&amp;DATOS!$I15140)</f>
      </c>
      <c r="G15140">
        <f>IF(DATOS!$A15140="",0,IF(CONFIG_METADATA!$B$4&lt;&gt;"OR+EX",--(DATOS!$G15140=CONFIG_METADATA!$B$4),IF(DATOS!$G15140="EX",1,IF(DATOS!$G15140="OR",--(COUNTIFS(nNIA,DATOS!$A15140,nCURSO,DATOS!$D15140,nESPEC,DATOS!$E15140,nASIG,DATOS!$I15140,nEVAL,"EX")=0),0))))</f>
      </c>
      <c r="H15140">
        <f>IF(DATOS!$G15140&lt;&gt;"EX",0,--(COUNTIFS(nNIA,DATOS!$A15140,nCURSO,DATOS!$D15140,nESPEC,DATOS!$E15140,nASIG,DATOS!$I15140,nEVAL,"OR")=0))</f>
      </c>
      <c r="I15140">
        <f>IF(DATOS!$I15140="","",IFERROR(VLOOKUP(DATOS!$I15140,CONFIG_ASIGNATURAS!$B$2:$J$91,9,FALSE()),""))</f>
      </c>
    </row>
    <row r="15141">
      <c r="F15141">
        <f>IF(DATOS!$A15141="","",DATOS!$A15141&amp;"|"&amp;DATOS!$D15141&amp;"|"&amp;DATOS!$E15141&amp;"|"&amp;DATOS!$I15141)</f>
      </c>
      <c r="G15141">
        <f>IF(DATOS!$A15141="",0,IF(CONFIG_METADATA!$B$4&lt;&gt;"OR+EX",--(DATOS!$G15141=CONFIG_METADATA!$B$4),IF(DATOS!$G15141="EX",1,IF(DATOS!$G15141="OR",--(COUNTIFS(nNIA,DATOS!$A15141,nCURSO,DATOS!$D15141,nESPEC,DATOS!$E15141,nASIG,DATOS!$I15141,nEVAL,"EX")=0),0))))</f>
      </c>
      <c r="H15141">
        <f>IF(DATOS!$G15141&lt;&gt;"EX",0,--(COUNTIFS(nNIA,DATOS!$A15141,nCURSO,DATOS!$D15141,nESPEC,DATOS!$E15141,nASIG,DATOS!$I15141,nEVAL,"OR")=0))</f>
      </c>
      <c r="I15141">
        <f>IF(DATOS!$I15141="","",IFERROR(VLOOKUP(DATOS!$I15141,CONFIG_ASIGNATURAS!$B$2:$J$91,9,FALSE()),""))</f>
      </c>
    </row>
    <row r="15142">
      <c r="F15142">
        <f>IF(DATOS!$A15142="","",DATOS!$A15142&amp;"|"&amp;DATOS!$D15142&amp;"|"&amp;DATOS!$E15142&amp;"|"&amp;DATOS!$I15142)</f>
      </c>
      <c r="G15142">
        <f>IF(DATOS!$A15142="",0,IF(CONFIG_METADATA!$B$4&lt;&gt;"OR+EX",--(DATOS!$G15142=CONFIG_METADATA!$B$4),IF(DATOS!$G15142="EX",1,IF(DATOS!$G15142="OR",--(COUNTIFS(nNIA,DATOS!$A15142,nCURSO,DATOS!$D15142,nESPEC,DATOS!$E15142,nASIG,DATOS!$I15142,nEVAL,"EX")=0),0))))</f>
      </c>
      <c r="H15142">
        <f>IF(DATOS!$G15142&lt;&gt;"EX",0,--(COUNTIFS(nNIA,DATOS!$A15142,nCURSO,DATOS!$D15142,nESPEC,DATOS!$E15142,nASIG,DATOS!$I15142,nEVAL,"OR")=0))</f>
      </c>
      <c r="I15142">
        <f>IF(DATOS!$I15142="","",IFERROR(VLOOKUP(DATOS!$I15142,CONFIG_ASIGNATURAS!$B$2:$J$91,9,FALSE()),""))</f>
      </c>
    </row>
    <row r="15143">
      <c r="F15143">
        <f>IF(DATOS!$A15143="","",DATOS!$A15143&amp;"|"&amp;DATOS!$D15143&amp;"|"&amp;DATOS!$E15143&amp;"|"&amp;DATOS!$I15143)</f>
      </c>
      <c r="G15143">
        <f>IF(DATOS!$A15143="",0,IF(CONFIG_METADATA!$B$4&lt;&gt;"OR+EX",--(DATOS!$G15143=CONFIG_METADATA!$B$4),IF(DATOS!$G15143="EX",1,IF(DATOS!$G15143="OR",--(COUNTIFS(nNIA,DATOS!$A15143,nCURSO,DATOS!$D15143,nESPEC,DATOS!$E15143,nASIG,DATOS!$I15143,nEVAL,"EX")=0),0))))</f>
      </c>
      <c r="H15143">
        <f>IF(DATOS!$G15143&lt;&gt;"EX",0,--(COUNTIFS(nNIA,DATOS!$A15143,nCURSO,DATOS!$D15143,nESPEC,DATOS!$E15143,nASIG,DATOS!$I15143,nEVAL,"OR")=0))</f>
      </c>
      <c r="I15143">
        <f>IF(DATOS!$I15143="","",IFERROR(VLOOKUP(DATOS!$I15143,CONFIG_ASIGNATURAS!$B$2:$J$91,9,FALSE()),""))</f>
      </c>
    </row>
    <row r="15144">
      <c r="F15144">
        <f>IF(DATOS!$A15144="","",DATOS!$A15144&amp;"|"&amp;DATOS!$D15144&amp;"|"&amp;DATOS!$E15144&amp;"|"&amp;DATOS!$I15144)</f>
      </c>
      <c r="G15144">
        <f>IF(DATOS!$A15144="",0,IF(CONFIG_METADATA!$B$4&lt;&gt;"OR+EX",--(DATOS!$G15144=CONFIG_METADATA!$B$4),IF(DATOS!$G15144="EX",1,IF(DATOS!$G15144="OR",--(COUNTIFS(nNIA,DATOS!$A15144,nCURSO,DATOS!$D15144,nESPEC,DATOS!$E15144,nASIG,DATOS!$I15144,nEVAL,"EX")=0),0))))</f>
      </c>
      <c r="H15144">
        <f>IF(DATOS!$G15144&lt;&gt;"EX",0,--(COUNTIFS(nNIA,DATOS!$A15144,nCURSO,DATOS!$D15144,nESPEC,DATOS!$E15144,nASIG,DATOS!$I15144,nEVAL,"OR")=0))</f>
      </c>
      <c r="I15144">
        <f>IF(DATOS!$I15144="","",IFERROR(VLOOKUP(DATOS!$I15144,CONFIG_ASIGNATURAS!$B$2:$J$91,9,FALSE()),""))</f>
      </c>
    </row>
    <row r="15145">
      <c r="F15145">
        <f>IF(DATOS!$A15145="","",DATOS!$A15145&amp;"|"&amp;DATOS!$D15145&amp;"|"&amp;DATOS!$E15145&amp;"|"&amp;DATOS!$I15145)</f>
      </c>
      <c r="G15145">
        <f>IF(DATOS!$A15145="",0,IF(CONFIG_METADATA!$B$4&lt;&gt;"OR+EX",--(DATOS!$G15145=CONFIG_METADATA!$B$4),IF(DATOS!$G15145="EX",1,IF(DATOS!$G15145="OR",--(COUNTIFS(nNIA,DATOS!$A15145,nCURSO,DATOS!$D15145,nESPEC,DATOS!$E15145,nASIG,DATOS!$I15145,nEVAL,"EX")=0),0))))</f>
      </c>
      <c r="H15145">
        <f>IF(DATOS!$G15145&lt;&gt;"EX",0,--(COUNTIFS(nNIA,DATOS!$A15145,nCURSO,DATOS!$D15145,nESPEC,DATOS!$E15145,nASIG,DATOS!$I15145,nEVAL,"OR")=0))</f>
      </c>
      <c r="I15145">
        <f>IF(DATOS!$I15145="","",IFERROR(VLOOKUP(DATOS!$I15145,CONFIG_ASIGNATURAS!$B$2:$J$91,9,FALSE()),""))</f>
      </c>
    </row>
    <row r="15146">
      <c r="F15146">
        <f>IF(DATOS!$A15146="","",DATOS!$A15146&amp;"|"&amp;DATOS!$D15146&amp;"|"&amp;DATOS!$E15146&amp;"|"&amp;DATOS!$I15146)</f>
      </c>
      <c r="G15146">
        <f>IF(DATOS!$A15146="",0,IF(CONFIG_METADATA!$B$4&lt;&gt;"OR+EX",--(DATOS!$G15146=CONFIG_METADATA!$B$4),IF(DATOS!$G15146="EX",1,IF(DATOS!$G15146="OR",--(COUNTIFS(nNIA,DATOS!$A15146,nCURSO,DATOS!$D15146,nESPEC,DATOS!$E15146,nASIG,DATOS!$I15146,nEVAL,"EX")=0),0))))</f>
      </c>
      <c r="H15146">
        <f>IF(DATOS!$G15146&lt;&gt;"EX",0,--(COUNTIFS(nNIA,DATOS!$A15146,nCURSO,DATOS!$D15146,nESPEC,DATOS!$E15146,nASIG,DATOS!$I15146,nEVAL,"OR")=0))</f>
      </c>
      <c r="I15146">
        <f>IF(DATOS!$I15146="","",IFERROR(VLOOKUP(DATOS!$I15146,CONFIG_ASIGNATURAS!$B$2:$J$91,9,FALSE()),""))</f>
      </c>
    </row>
    <row r="15147">
      <c r="F15147">
        <f>IF(DATOS!$A15147="","",DATOS!$A15147&amp;"|"&amp;DATOS!$D15147&amp;"|"&amp;DATOS!$E15147&amp;"|"&amp;DATOS!$I15147)</f>
      </c>
      <c r="G15147">
        <f>IF(DATOS!$A15147="",0,IF(CONFIG_METADATA!$B$4&lt;&gt;"OR+EX",--(DATOS!$G15147=CONFIG_METADATA!$B$4),IF(DATOS!$G15147="EX",1,IF(DATOS!$G15147="OR",--(COUNTIFS(nNIA,DATOS!$A15147,nCURSO,DATOS!$D15147,nESPEC,DATOS!$E15147,nASIG,DATOS!$I15147,nEVAL,"EX")=0),0))))</f>
      </c>
      <c r="H15147">
        <f>IF(DATOS!$G15147&lt;&gt;"EX",0,--(COUNTIFS(nNIA,DATOS!$A15147,nCURSO,DATOS!$D15147,nESPEC,DATOS!$E15147,nASIG,DATOS!$I15147,nEVAL,"OR")=0))</f>
      </c>
      <c r="I15147">
        <f>IF(DATOS!$I15147="","",IFERROR(VLOOKUP(DATOS!$I15147,CONFIG_ASIGNATURAS!$B$2:$J$91,9,FALSE()),""))</f>
      </c>
    </row>
    <row r="15148">
      <c r="F15148">
        <f>IF(DATOS!$A15148="","",DATOS!$A15148&amp;"|"&amp;DATOS!$D15148&amp;"|"&amp;DATOS!$E15148&amp;"|"&amp;DATOS!$I15148)</f>
      </c>
      <c r="G15148">
        <f>IF(DATOS!$A15148="",0,IF(CONFIG_METADATA!$B$4&lt;&gt;"OR+EX",--(DATOS!$G15148=CONFIG_METADATA!$B$4),IF(DATOS!$G15148="EX",1,IF(DATOS!$G15148="OR",--(COUNTIFS(nNIA,DATOS!$A15148,nCURSO,DATOS!$D15148,nESPEC,DATOS!$E15148,nASIG,DATOS!$I15148,nEVAL,"EX")=0),0))))</f>
      </c>
      <c r="H15148">
        <f>IF(DATOS!$G15148&lt;&gt;"EX",0,--(COUNTIFS(nNIA,DATOS!$A15148,nCURSO,DATOS!$D15148,nESPEC,DATOS!$E15148,nASIG,DATOS!$I15148,nEVAL,"OR")=0))</f>
      </c>
      <c r="I15148">
        <f>IF(DATOS!$I15148="","",IFERROR(VLOOKUP(DATOS!$I15148,CONFIG_ASIGNATURAS!$B$2:$J$91,9,FALSE()),""))</f>
      </c>
    </row>
    <row r="15149">
      <c r="F15149">
        <f>IF(DATOS!$A15149="","",DATOS!$A15149&amp;"|"&amp;DATOS!$D15149&amp;"|"&amp;DATOS!$E15149&amp;"|"&amp;DATOS!$I15149)</f>
      </c>
      <c r="G15149">
        <f>IF(DATOS!$A15149="",0,IF(CONFIG_METADATA!$B$4&lt;&gt;"OR+EX",--(DATOS!$G15149=CONFIG_METADATA!$B$4),IF(DATOS!$G15149="EX",1,IF(DATOS!$G15149="OR",--(COUNTIFS(nNIA,DATOS!$A15149,nCURSO,DATOS!$D15149,nESPEC,DATOS!$E15149,nASIG,DATOS!$I15149,nEVAL,"EX")=0),0))))</f>
      </c>
      <c r="H15149">
        <f>IF(DATOS!$G15149&lt;&gt;"EX",0,--(COUNTIFS(nNIA,DATOS!$A15149,nCURSO,DATOS!$D15149,nESPEC,DATOS!$E15149,nASIG,DATOS!$I15149,nEVAL,"OR")=0))</f>
      </c>
      <c r="I15149">
        <f>IF(DATOS!$I15149="","",IFERROR(VLOOKUP(DATOS!$I15149,CONFIG_ASIGNATURAS!$B$2:$J$91,9,FALSE()),""))</f>
      </c>
    </row>
    <row r="15150">
      <c r="F15150">
        <f>IF(DATOS!$A15150="","",DATOS!$A15150&amp;"|"&amp;DATOS!$D15150&amp;"|"&amp;DATOS!$E15150&amp;"|"&amp;DATOS!$I15150)</f>
      </c>
      <c r="G15150">
        <f>IF(DATOS!$A15150="",0,IF(CONFIG_METADATA!$B$4&lt;&gt;"OR+EX",--(DATOS!$G15150=CONFIG_METADATA!$B$4),IF(DATOS!$G15150="EX",1,IF(DATOS!$G15150="OR",--(COUNTIFS(nNIA,DATOS!$A15150,nCURSO,DATOS!$D15150,nESPEC,DATOS!$E15150,nASIG,DATOS!$I15150,nEVAL,"EX")=0),0))))</f>
      </c>
      <c r="H15150">
        <f>IF(DATOS!$G15150&lt;&gt;"EX",0,--(COUNTIFS(nNIA,DATOS!$A15150,nCURSO,DATOS!$D15150,nESPEC,DATOS!$E15150,nASIG,DATOS!$I15150,nEVAL,"OR")=0))</f>
      </c>
      <c r="I15150">
        <f>IF(DATOS!$I15150="","",IFERROR(VLOOKUP(DATOS!$I15150,CONFIG_ASIGNATURAS!$B$2:$J$91,9,FALSE()),""))</f>
      </c>
    </row>
    <row r="15151">
      <c r="F15151">
        <f>IF(DATOS!$A15151="","",DATOS!$A15151&amp;"|"&amp;DATOS!$D15151&amp;"|"&amp;DATOS!$E15151&amp;"|"&amp;DATOS!$I15151)</f>
      </c>
      <c r="G15151">
        <f>IF(DATOS!$A15151="",0,IF(CONFIG_METADATA!$B$4&lt;&gt;"OR+EX",--(DATOS!$G15151=CONFIG_METADATA!$B$4),IF(DATOS!$G15151="EX",1,IF(DATOS!$G15151="OR",--(COUNTIFS(nNIA,DATOS!$A15151,nCURSO,DATOS!$D15151,nESPEC,DATOS!$E15151,nASIG,DATOS!$I15151,nEVAL,"EX")=0),0))))</f>
      </c>
      <c r="H15151">
        <f>IF(DATOS!$G15151&lt;&gt;"EX",0,--(COUNTIFS(nNIA,DATOS!$A15151,nCURSO,DATOS!$D15151,nESPEC,DATOS!$E15151,nASIG,DATOS!$I15151,nEVAL,"OR")=0))</f>
      </c>
      <c r="I15151">
        <f>IF(DATOS!$I15151="","",IFERROR(VLOOKUP(DATOS!$I15151,CONFIG_ASIGNATURAS!$B$2:$J$91,9,FALSE()),""))</f>
      </c>
    </row>
    <row r="15152">
      <c r="F15152">
        <f>IF(DATOS!$A15152="","",DATOS!$A15152&amp;"|"&amp;DATOS!$D15152&amp;"|"&amp;DATOS!$E15152&amp;"|"&amp;DATOS!$I15152)</f>
      </c>
      <c r="G15152">
        <f>IF(DATOS!$A15152="",0,IF(CONFIG_METADATA!$B$4&lt;&gt;"OR+EX",--(DATOS!$G15152=CONFIG_METADATA!$B$4),IF(DATOS!$G15152="EX",1,IF(DATOS!$G15152="OR",--(COUNTIFS(nNIA,DATOS!$A15152,nCURSO,DATOS!$D15152,nESPEC,DATOS!$E15152,nASIG,DATOS!$I15152,nEVAL,"EX")=0),0))))</f>
      </c>
      <c r="H15152">
        <f>IF(DATOS!$G15152&lt;&gt;"EX",0,--(COUNTIFS(nNIA,DATOS!$A15152,nCURSO,DATOS!$D15152,nESPEC,DATOS!$E15152,nASIG,DATOS!$I15152,nEVAL,"OR")=0))</f>
      </c>
      <c r="I15152">
        <f>IF(DATOS!$I15152="","",IFERROR(VLOOKUP(DATOS!$I15152,CONFIG_ASIGNATURAS!$B$2:$J$91,9,FALSE()),""))</f>
      </c>
    </row>
    <row r="15153">
      <c r="F15153">
        <f>IF(DATOS!$A15153="","",DATOS!$A15153&amp;"|"&amp;DATOS!$D15153&amp;"|"&amp;DATOS!$E15153&amp;"|"&amp;DATOS!$I15153)</f>
      </c>
      <c r="G15153">
        <f>IF(DATOS!$A15153="",0,IF(CONFIG_METADATA!$B$4&lt;&gt;"OR+EX",--(DATOS!$G15153=CONFIG_METADATA!$B$4),IF(DATOS!$G15153="EX",1,IF(DATOS!$G15153="OR",--(COUNTIFS(nNIA,DATOS!$A15153,nCURSO,DATOS!$D15153,nESPEC,DATOS!$E15153,nASIG,DATOS!$I15153,nEVAL,"EX")=0),0))))</f>
      </c>
      <c r="H15153">
        <f>IF(DATOS!$G15153&lt;&gt;"EX",0,--(COUNTIFS(nNIA,DATOS!$A15153,nCURSO,DATOS!$D15153,nESPEC,DATOS!$E15153,nASIG,DATOS!$I15153,nEVAL,"OR")=0))</f>
      </c>
      <c r="I15153">
        <f>IF(DATOS!$I15153="","",IFERROR(VLOOKUP(DATOS!$I15153,CONFIG_ASIGNATURAS!$B$2:$J$91,9,FALSE()),""))</f>
      </c>
    </row>
    <row r="15154">
      <c r="F15154">
        <f>IF(DATOS!$A15154="","",DATOS!$A15154&amp;"|"&amp;DATOS!$D15154&amp;"|"&amp;DATOS!$E15154&amp;"|"&amp;DATOS!$I15154)</f>
      </c>
      <c r="G15154">
        <f>IF(DATOS!$A15154="",0,IF(CONFIG_METADATA!$B$4&lt;&gt;"OR+EX",--(DATOS!$G15154=CONFIG_METADATA!$B$4),IF(DATOS!$G15154="EX",1,IF(DATOS!$G15154="OR",--(COUNTIFS(nNIA,DATOS!$A15154,nCURSO,DATOS!$D15154,nESPEC,DATOS!$E15154,nASIG,DATOS!$I15154,nEVAL,"EX")=0),0))))</f>
      </c>
      <c r="H15154">
        <f>IF(DATOS!$G15154&lt;&gt;"EX",0,--(COUNTIFS(nNIA,DATOS!$A15154,nCURSO,DATOS!$D15154,nESPEC,DATOS!$E15154,nASIG,DATOS!$I15154,nEVAL,"OR")=0))</f>
      </c>
      <c r="I15154">
        <f>IF(DATOS!$I15154="","",IFERROR(VLOOKUP(DATOS!$I15154,CONFIG_ASIGNATURAS!$B$2:$J$91,9,FALSE()),""))</f>
      </c>
    </row>
    <row r="15155">
      <c r="F15155">
        <f>IF(DATOS!$A15155="","",DATOS!$A15155&amp;"|"&amp;DATOS!$D15155&amp;"|"&amp;DATOS!$E15155&amp;"|"&amp;DATOS!$I15155)</f>
      </c>
      <c r="G15155">
        <f>IF(DATOS!$A15155="",0,IF(CONFIG_METADATA!$B$4&lt;&gt;"OR+EX",--(DATOS!$G15155=CONFIG_METADATA!$B$4),IF(DATOS!$G15155="EX",1,IF(DATOS!$G15155="OR",--(COUNTIFS(nNIA,DATOS!$A15155,nCURSO,DATOS!$D15155,nESPEC,DATOS!$E15155,nASIG,DATOS!$I15155,nEVAL,"EX")=0),0))))</f>
      </c>
      <c r="H15155">
        <f>IF(DATOS!$G15155&lt;&gt;"EX",0,--(COUNTIFS(nNIA,DATOS!$A15155,nCURSO,DATOS!$D15155,nESPEC,DATOS!$E15155,nASIG,DATOS!$I15155,nEVAL,"OR")=0))</f>
      </c>
      <c r="I15155">
        <f>IF(DATOS!$I15155="","",IFERROR(VLOOKUP(DATOS!$I15155,CONFIG_ASIGNATURAS!$B$2:$J$91,9,FALSE()),""))</f>
      </c>
    </row>
    <row r="15156">
      <c r="F15156">
        <f>IF(DATOS!$A15156="","",DATOS!$A15156&amp;"|"&amp;DATOS!$D15156&amp;"|"&amp;DATOS!$E15156&amp;"|"&amp;DATOS!$I15156)</f>
      </c>
      <c r="G15156">
        <f>IF(DATOS!$A15156="",0,IF(CONFIG_METADATA!$B$4&lt;&gt;"OR+EX",--(DATOS!$G15156=CONFIG_METADATA!$B$4),IF(DATOS!$G15156="EX",1,IF(DATOS!$G15156="OR",--(COUNTIFS(nNIA,DATOS!$A15156,nCURSO,DATOS!$D15156,nESPEC,DATOS!$E15156,nASIG,DATOS!$I15156,nEVAL,"EX")=0),0))))</f>
      </c>
      <c r="H15156">
        <f>IF(DATOS!$G15156&lt;&gt;"EX",0,--(COUNTIFS(nNIA,DATOS!$A15156,nCURSO,DATOS!$D15156,nESPEC,DATOS!$E15156,nASIG,DATOS!$I15156,nEVAL,"OR")=0))</f>
      </c>
      <c r="I15156">
        <f>IF(DATOS!$I15156="","",IFERROR(VLOOKUP(DATOS!$I15156,CONFIG_ASIGNATURAS!$B$2:$J$91,9,FALSE()),""))</f>
      </c>
    </row>
    <row r="15157">
      <c r="F15157">
        <f>IF(DATOS!$A15157="","",DATOS!$A15157&amp;"|"&amp;DATOS!$D15157&amp;"|"&amp;DATOS!$E15157&amp;"|"&amp;DATOS!$I15157)</f>
      </c>
      <c r="G15157">
        <f>IF(DATOS!$A15157="",0,IF(CONFIG_METADATA!$B$4&lt;&gt;"OR+EX",--(DATOS!$G15157=CONFIG_METADATA!$B$4),IF(DATOS!$G15157="EX",1,IF(DATOS!$G15157="OR",--(COUNTIFS(nNIA,DATOS!$A15157,nCURSO,DATOS!$D15157,nESPEC,DATOS!$E15157,nASIG,DATOS!$I15157,nEVAL,"EX")=0),0))))</f>
      </c>
      <c r="H15157">
        <f>IF(DATOS!$G15157&lt;&gt;"EX",0,--(COUNTIFS(nNIA,DATOS!$A15157,nCURSO,DATOS!$D15157,nESPEC,DATOS!$E15157,nASIG,DATOS!$I15157,nEVAL,"OR")=0))</f>
      </c>
      <c r="I15157">
        <f>IF(DATOS!$I15157="","",IFERROR(VLOOKUP(DATOS!$I15157,CONFIG_ASIGNATURAS!$B$2:$J$91,9,FALSE()),""))</f>
      </c>
    </row>
    <row r="15158">
      <c r="F15158">
        <f>IF(DATOS!$A15158="","",DATOS!$A15158&amp;"|"&amp;DATOS!$D15158&amp;"|"&amp;DATOS!$E15158&amp;"|"&amp;DATOS!$I15158)</f>
      </c>
      <c r="G15158">
        <f>IF(DATOS!$A15158="",0,IF(CONFIG_METADATA!$B$4&lt;&gt;"OR+EX",--(DATOS!$G15158=CONFIG_METADATA!$B$4),IF(DATOS!$G15158="EX",1,IF(DATOS!$G15158="OR",--(COUNTIFS(nNIA,DATOS!$A15158,nCURSO,DATOS!$D15158,nESPEC,DATOS!$E15158,nASIG,DATOS!$I15158,nEVAL,"EX")=0),0))))</f>
      </c>
      <c r="H15158">
        <f>IF(DATOS!$G15158&lt;&gt;"EX",0,--(COUNTIFS(nNIA,DATOS!$A15158,nCURSO,DATOS!$D15158,nESPEC,DATOS!$E15158,nASIG,DATOS!$I15158,nEVAL,"OR")=0))</f>
      </c>
      <c r="I15158">
        <f>IF(DATOS!$I15158="","",IFERROR(VLOOKUP(DATOS!$I15158,CONFIG_ASIGNATURAS!$B$2:$J$91,9,FALSE()),""))</f>
      </c>
    </row>
    <row r="15159">
      <c r="F15159">
        <f>IF(DATOS!$A15159="","",DATOS!$A15159&amp;"|"&amp;DATOS!$D15159&amp;"|"&amp;DATOS!$E15159&amp;"|"&amp;DATOS!$I15159)</f>
      </c>
      <c r="G15159">
        <f>IF(DATOS!$A15159="",0,IF(CONFIG_METADATA!$B$4&lt;&gt;"OR+EX",--(DATOS!$G15159=CONFIG_METADATA!$B$4),IF(DATOS!$G15159="EX",1,IF(DATOS!$G15159="OR",--(COUNTIFS(nNIA,DATOS!$A15159,nCURSO,DATOS!$D15159,nESPEC,DATOS!$E15159,nASIG,DATOS!$I15159,nEVAL,"EX")=0),0))))</f>
      </c>
      <c r="H15159">
        <f>IF(DATOS!$G15159&lt;&gt;"EX",0,--(COUNTIFS(nNIA,DATOS!$A15159,nCURSO,DATOS!$D15159,nESPEC,DATOS!$E15159,nASIG,DATOS!$I15159,nEVAL,"OR")=0))</f>
      </c>
      <c r="I15159">
        <f>IF(DATOS!$I15159="","",IFERROR(VLOOKUP(DATOS!$I15159,CONFIG_ASIGNATURAS!$B$2:$J$91,9,FALSE()),""))</f>
      </c>
    </row>
    <row r="15160">
      <c r="F15160">
        <f>IF(DATOS!$A15160="","",DATOS!$A15160&amp;"|"&amp;DATOS!$D15160&amp;"|"&amp;DATOS!$E15160&amp;"|"&amp;DATOS!$I15160)</f>
      </c>
      <c r="G15160">
        <f>IF(DATOS!$A15160="",0,IF(CONFIG_METADATA!$B$4&lt;&gt;"OR+EX",--(DATOS!$G15160=CONFIG_METADATA!$B$4),IF(DATOS!$G15160="EX",1,IF(DATOS!$G15160="OR",--(COUNTIFS(nNIA,DATOS!$A15160,nCURSO,DATOS!$D15160,nESPEC,DATOS!$E15160,nASIG,DATOS!$I15160,nEVAL,"EX")=0),0))))</f>
      </c>
      <c r="H15160">
        <f>IF(DATOS!$G15160&lt;&gt;"EX",0,--(COUNTIFS(nNIA,DATOS!$A15160,nCURSO,DATOS!$D15160,nESPEC,DATOS!$E15160,nASIG,DATOS!$I15160,nEVAL,"OR")=0))</f>
      </c>
      <c r="I15160">
        <f>IF(DATOS!$I15160="","",IFERROR(VLOOKUP(DATOS!$I15160,CONFIG_ASIGNATURAS!$B$2:$J$91,9,FALSE()),""))</f>
      </c>
    </row>
    <row r="15161">
      <c r="F15161">
        <f>IF(DATOS!$A15161="","",DATOS!$A15161&amp;"|"&amp;DATOS!$D15161&amp;"|"&amp;DATOS!$E15161&amp;"|"&amp;DATOS!$I15161)</f>
      </c>
      <c r="G15161">
        <f>IF(DATOS!$A15161="",0,IF(CONFIG_METADATA!$B$4&lt;&gt;"OR+EX",--(DATOS!$G15161=CONFIG_METADATA!$B$4),IF(DATOS!$G15161="EX",1,IF(DATOS!$G15161="OR",--(COUNTIFS(nNIA,DATOS!$A15161,nCURSO,DATOS!$D15161,nESPEC,DATOS!$E15161,nASIG,DATOS!$I15161,nEVAL,"EX")=0),0))))</f>
      </c>
      <c r="H15161">
        <f>IF(DATOS!$G15161&lt;&gt;"EX",0,--(COUNTIFS(nNIA,DATOS!$A15161,nCURSO,DATOS!$D15161,nESPEC,DATOS!$E15161,nASIG,DATOS!$I15161,nEVAL,"OR")=0))</f>
      </c>
      <c r="I15161">
        <f>IF(DATOS!$I15161="","",IFERROR(VLOOKUP(DATOS!$I15161,CONFIG_ASIGNATURAS!$B$2:$J$91,9,FALSE()),""))</f>
      </c>
    </row>
    <row r="15162">
      <c r="F15162">
        <f>IF(DATOS!$A15162="","",DATOS!$A15162&amp;"|"&amp;DATOS!$D15162&amp;"|"&amp;DATOS!$E15162&amp;"|"&amp;DATOS!$I15162)</f>
      </c>
      <c r="G15162">
        <f>IF(DATOS!$A15162="",0,IF(CONFIG_METADATA!$B$4&lt;&gt;"OR+EX",--(DATOS!$G15162=CONFIG_METADATA!$B$4),IF(DATOS!$G15162="EX",1,IF(DATOS!$G15162="OR",--(COUNTIFS(nNIA,DATOS!$A15162,nCURSO,DATOS!$D15162,nESPEC,DATOS!$E15162,nASIG,DATOS!$I15162,nEVAL,"EX")=0),0))))</f>
      </c>
      <c r="H15162">
        <f>IF(DATOS!$G15162&lt;&gt;"EX",0,--(COUNTIFS(nNIA,DATOS!$A15162,nCURSO,DATOS!$D15162,nESPEC,DATOS!$E15162,nASIG,DATOS!$I15162,nEVAL,"OR")=0))</f>
      </c>
      <c r="I15162">
        <f>IF(DATOS!$I15162="","",IFERROR(VLOOKUP(DATOS!$I15162,CONFIG_ASIGNATURAS!$B$2:$J$91,9,FALSE()),""))</f>
      </c>
    </row>
    <row r="15163">
      <c r="F15163">
        <f>IF(DATOS!$A15163="","",DATOS!$A15163&amp;"|"&amp;DATOS!$D15163&amp;"|"&amp;DATOS!$E15163&amp;"|"&amp;DATOS!$I15163)</f>
      </c>
      <c r="G15163">
        <f>IF(DATOS!$A15163="",0,IF(CONFIG_METADATA!$B$4&lt;&gt;"OR+EX",--(DATOS!$G15163=CONFIG_METADATA!$B$4),IF(DATOS!$G15163="EX",1,IF(DATOS!$G15163="OR",--(COUNTIFS(nNIA,DATOS!$A15163,nCURSO,DATOS!$D15163,nESPEC,DATOS!$E15163,nASIG,DATOS!$I15163,nEVAL,"EX")=0),0))))</f>
      </c>
      <c r="H15163">
        <f>IF(DATOS!$G15163&lt;&gt;"EX",0,--(COUNTIFS(nNIA,DATOS!$A15163,nCURSO,DATOS!$D15163,nESPEC,DATOS!$E15163,nASIG,DATOS!$I15163,nEVAL,"OR")=0))</f>
      </c>
      <c r="I15163">
        <f>IF(DATOS!$I15163="","",IFERROR(VLOOKUP(DATOS!$I15163,CONFIG_ASIGNATURAS!$B$2:$J$91,9,FALSE()),""))</f>
      </c>
    </row>
    <row r="15164">
      <c r="F15164">
        <f>IF(DATOS!$A15164="","",DATOS!$A15164&amp;"|"&amp;DATOS!$D15164&amp;"|"&amp;DATOS!$E15164&amp;"|"&amp;DATOS!$I15164)</f>
      </c>
      <c r="G15164">
        <f>IF(DATOS!$A15164="",0,IF(CONFIG_METADATA!$B$4&lt;&gt;"OR+EX",--(DATOS!$G15164=CONFIG_METADATA!$B$4),IF(DATOS!$G15164="EX",1,IF(DATOS!$G15164="OR",--(COUNTIFS(nNIA,DATOS!$A15164,nCURSO,DATOS!$D15164,nESPEC,DATOS!$E15164,nASIG,DATOS!$I15164,nEVAL,"EX")=0),0))))</f>
      </c>
      <c r="H15164">
        <f>IF(DATOS!$G15164&lt;&gt;"EX",0,--(COUNTIFS(nNIA,DATOS!$A15164,nCURSO,DATOS!$D15164,nESPEC,DATOS!$E15164,nASIG,DATOS!$I15164,nEVAL,"OR")=0))</f>
      </c>
      <c r="I15164">
        <f>IF(DATOS!$I15164="","",IFERROR(VLOOKUP(DATOS!$I15164,CONFIG_ASIGNATURAS!$B$2:$J$91,9,FALSE()),""))</f>
      </c>
    </row>
    <row r="15165">
      <c r="F15165">
        <f>IF(DATOS!$A15165="","",DATOS!$A15165&amp;"|"&amp;DATOS!$D15165&amp;"|"&amp;DATOS!$E15165&amp;"|"&amp;DATOS!$I15165)</f>
      </c>
      <c r="G15165">
        <f>IF(DATOS!$A15165="",0,IF(CONFIG_METADATA!$B$4&lt;&gt;"OR+EX",--(DATOS!$G15165=CONFIG_METADATA!$B$4),IF(DATOS!$G15165="EX",1,IF(DATOS!$G15165="OR",--(COUNTIFS(nNIA,DATOS!$A15165,nCURSO,DATOS!$D15165,nESPEC,DATOS!$E15165,nASIG,DATOS!$I15165,nEVAL,"EX")=0),0))))</f>
      </c>
      <c r="H15165">
        <f>IF(DATOS!$G15165&lt;&gt;"EX",0,--(COUNTIFS(nNIA,DATOS!$A15165,nCURSO,DATOS!$D15165,nESPEC,DATOS!$E15165,nASIG,DATOS!$I15165,nEVAL,"OR")=0))</f>
      </c>
      <c r="I15165">
        <f>IF(DATOS!$I15165="","",IFERROR(VLOOKUP(DATOS!$I15165,CONFIG_ASIGNATURAS!$B$2:$J$91,9,FALSE()),""))</f>
      </c>
    </row>
    <row r="15166">
      <c r="F15166">
        <f>IF(DATOS!$A15166="","",DATOS!$A15166&amp;"|"&amp;DATOS!$D15166&amp;"|"&amp;DATOS!$E15166&amp;"|"&amp;DATOS!$I15166)</f>
      </c>
      <c r="G15166">
        <f>IF(DATOS!$A15166="",0,IF(CONFIG_METADATA!$B$4&lt;&gt;"OR+EX",--(DATOS!$G15166=CONFIG_METADATA!$B$4),IF(DATOS!$G15166="EX",1,IF(DATOS!$G15166="OR",--(COUNTIFS(nNIA,DATOS!$A15166,nCURSO,DATOS!$D15166,nESPEC,DATOS!$E15166,nASIG,DATOS!$I15166,nEVAL,"EX")=0),0))))</f>
      </c>
      <c r="H15166">
        <f>IF(DATOS!$G15166&lt;&gt;"EX",0,--(COUNTIFS(nNIA,DATOS!$A15166,nCURSO,DATOS!$D15166,nESPEC,DATOS!$E15166,nASIG,DATOS!$I15166,nEVAL,"OR")=0))</f>
      </c>
      <c r="I15166">
        <f>IF(DATOS!$I15166="","",IFERROR(VLOOKUP(DATOS!$I15166,CONFIG_ASIGNATURAS!$B$2:$J$91,9,FALSE()),""))</f>
      </c>
    </row>
    <row r="15167">
      <c r="F15167">
        <f>IF(DATOS!$A15167="","",DATOS!$A15167&amp;"|"&amp;DATOS!$D15167&amp;"|"&amp;DATOS!$E15167&amp;"|"&amp;DATOS!$I15167)</f>
      </c>
      <c r="G15167">
        <f>IF(DATOS!$A15167="",0,IF(CONFIG_METADATA!$B$4&lt;&gt;"OR+EX",--(DATOS!$G15167=CONFIG_METADATA!$B$4),IF(DATOS!$G15167="EX",1,IF(DATOS!$G15167="OR",--(COUNTIFS(nNIA,DATOS!$A15167,nCURSO,DATOS!$D15167,nESPEC,DATOS!$E15167,nASIG,DATOS!$I15167,nEVAL,"EX")=0),0))))</f>
      </c>
      <c r="H15167">
        <f>IF(DATOS!$G15167&lt;&gt;"EX",0,--(COUNTIFS(nNIA,DATOS!$A15167,nCURSO,DATOS!$D15167,nESPEC,DATOS!$E15167,nASIG,DATOS!$I15167,nEVAL,"OR")=0))</f>
      </c>
      <c r="I15167">
        <f>IF(DATOS!$I15167="","",IFERROR(VLOOKUP(DATOS!$I15167,CONFIG_ASIGNATURAS!$B$2:$J$91,9,FALSE()),""))</f>
      </c>
    </row>
    <row r="15168">
      <c r="F15168">
        <f>IF(DATOS!$A15168="","",DATOS!$A15168&amp;"|"&amp;DATOS!$D15168&amp;"|"&amp;DATOS!$E15168&amp;"|"&amp;DATOS!$I15168)</f>
      </c>
      <c r="G15168">
        <f>IF(DATOS!$A15168="",0,IF(CONFIG_METADATA!$B$4&lt;&gt;"OR+EX",--(DATOS!$G15168=CONFIG_METADATA!$B$4),IF(DATOS!$G15168="EX",1,IF(DATOS!$G15168="OR",--(COUNTIFS(nNIA,DATOS!$A15168,nCURSO,DATOS!$D15168,nESPEC,DATOS!$E15168,nASIG,DATOS!$I15168,nEVAL,"EX")=0),0))))</f>
      </c>
      <c r="H15168">
        <f>IF(DATOS!$G15168&lt;&gt;"EX",0,--(COUNTIFS(nNIA,DATOS!$A15168,nCURSO,DATOS!$D15168,nESPEC,DATOS!$E15168,nASIG,DATOS!$I15168,nEVAL,"OR")=0))</f>
      </c>
      <c r="I15168">
        <f>IF(DATOS!$I15168="","",IFERROR(VLOOKUP(DATOS!$I15168,CONFIG_ASIGNATURAS!$B$2:$J$91,9,FALSE()),""))</f>
      </c>
    </row>
    <row r="15169">
      <c r="F15169">
        <f>IF(DATOS!$A15169="","",DATOS!$A15169&amp;"|"&amp;DATOS!$D15169&amp;"|"&amp;DATOS!$E15169&amp;"|"&amp;DATOS!$I15169)</f>
      </c>
      <c r="G15169">
        <f>IF(DATOS!$A15169="",0,IF(CONFIG_METADATA!$B$4&lt;&gt;"OR+EX",--(DATOS!$G15169=CONFIG_METADATA!$B$4),IF(DATOS!$G15169="EX",1,IF(DATOS!$G15169="OR",--(COUNTIFS(nNIA,DATOS!$A15169,nCURSO,DATOS!$D15169,nESPEC,DATOS!$E15169,nASIG,DATOS!$I15169,nEVAL,"EX")=0),0))))</f>
      </c>
      <c r="H15169">
        <f>IF(DATOS!$G15169&lt;&gt;"EX",0,--(COUNTIFS(nNIA,DATOS!$A15169,nCURSO,DATOS!$D15169,nESPEC,DATOS!$E15169,nASIG,DATOS!$I15169,nEVAL,"OR")=0))</f>
      </c>
      <c r="I15169">
        <f>IF(DATOS!$I15169="","",IFERROR(VLOOKUP(DATOS!$I15169,CONFIG_ASIGNATURAS!$B$2:$J$91,9,FALSE()),""))</f>
      </c>
    </row>
    <row r="15170">
      <c r="F15170">
        <f>IF(DATOS!$A15170="","",DATOS!$A15170&amp;"|"&amp;DATOS!$D15170&amp;"|"&amp;DATOS!$E15170&amp;"|"&amp;DATOS!$I15170)</f>
      </c>
      <c r="G15170">
        <f>IF(DATOS!$A15170="",0,IF(CONFIG_METADATA!$B$4&lt;&gt;"OR+EX",--(DATOS!$G15170=CONFIG_METADATA!$B$4),IF(DATOS!$G15170="EX",1,IF(DATOS!$G15170="OR",--(COUNTIFS(nNIA,DATOS!$A15170,nCURSO,DATOS!$D15170,nESPEC,DATOS!$E15170,nASIG,DATOS!$I15170,nEVAL,"EX")=0),0))))</f>
      </c>
      <c r="H15170">
        <f>IF(DATOS!$G15170&lt;&gt;"EX",0,--(COUNTIFS(nNIA,DATOS!$A15170,nCURSO,DATOS!$D15170,nESPEC,DATOS!$E15170,nASIG,DATOS!$I15170,nEVAL,"OR")=0))</f>
      </c>
      <c r="I15170">
        <f>IF(DATOS!$I15170="","",IFERROR(VLOOKUP(DATOS!$I15170,CONFIG_ASIGNATURAS!$B$2:$J$91,9,FALSE()),""))</f>
      </c>
    </row>
    <row r="15171">
      <c r="F15171">
        <f>IF(DATOS!$A15171="","",DATOS!$A15171&amp;"|"&amp;DATOS!$D15171&amp;"|"&amp;DATOS!$E15171&amp;"|"&amp;DATOS!$I15171)</f>
      </c>
      <c r="G15171">
        <f>IF(DATOS!$A15171="",0,IF(CONFIG_METADATA!$B$4&lt;&gt;"OR+EX",--(DATOS!$G15171=CONFIG_METADATA!$B$4),IF(DATOS!$G15171="EX",1,IF(DATOS!$G15171="OR",--(COUNTIFS(nNIA,DATOS!$A15171,nCURSO,DATOS!$D15171,nESPEC,DATOS!$E15171,nASIG,DATOS!$I15171,nEVAL,"EX")=0),0))))</f>
      </c>
      <c r="H15171">
        <f>IF(DATOS!$G15171&lt;&gt;"EX",0,--(COUNTIFS(nNIA,DATOS!$A15171,nCURSO,DATOS!$D15171,nESPEC,DATOS!$E15171,nASIG,DATOS!$I15171,nEVAL,"OR")=0))</f>
      </c>
      <c r="I15171">
        <f>IF(DATOS!$I15171="","",IFERROR(VLOOKUP(DATOS!$I15171,CONFIG_ASIGNATURAS!$B$2:$J$91,9,FALSE()),""))</f>
      </c>
    </row>
    <row r="15172">
      <c r="F15172">
        <f>IF(DATOS!$A15172="","",DATOS!$A15172&amp;"|"&amp;DATOS!$D15172&amp;"|"&amp;DATOS!$E15172&amp;"|"&amp;DATOS!$I15172)</f>
      </c>
      <c r="G15172">
        <f>IF(DATOS!$A15172="",0,IF(CONFIG_METADATA!$B$4&lt;&gt;"OR+EX",--(DATOS!$G15172=CONFIG_METADATA!$B$4),IF(DATOS!$G15172="EX",1,IF(DATOS!$G15172="OR",--(COUNTIFS(nNIA,DATOS!$A15172,nCURSO,DATOS!$D15172,nESPEC,DATOS!$E15172,nASIG,DATOS!$I15172,nEVAL,"EX")=0),0))))</f>
      </c>
      <c r="H15172">
        <f>IF(DATOS!$G15172&lt;&gt;"EX",0,--(COUNTIFS(nNIA,DATOS!$A15172,nCURSO,DATOS!$D15172,nESPEC,DATOS!$E15172,nASIG,DATOS!$I15172,nEVAL,"OR")=0))</f>
      </c>
      <c r="I15172">
        <f>IF(DATOS!$I15172="","",IFERROR(VLOOKUP(DATOS!$I15172,CONFIG_ASIGNATURAS!$B$2:$J$91,9,FALSE()),""))</f>
      </c>
    </row>
    <row r="15173">
      <c r="F15173">
        <f>IF(DATOS!$A15173="","",DATOS!$A15173&amp;"|"&amp;DATOS!$D15173&amp;"|"&amp;DATOS!$E15173&amp;"|"&amp;DATOS!$I15173)</f>
      </c>
      <c r="G15173">
        <f>IF(DATOS!$A15173="",0,IF(CONFIG_METADATA!$B$4&lt;&gt;"OR+EX",--(DATOS!$G15173=CONFIG_METADATA!$B$4),IF(DATOS!$G15173="EX",1,IF(DATOS!$G15173="OR",--(COUNTIFS(nNIA,DATOS!$A15173,nCURSO,DATOS!$D15173,nESPEC,DATOS!$E15173,nASIG,DATOS!$I15173,nEVAL,"EX")=0),0))))</f>
      </c>
      <c r="H15173">
        <f>IF(DATOS!$G15173&lt;&gt;"EX",0,--(COUNTIFS(nNIA,DATOS!$A15173,nCURSO,DATOS!$D15173,nESPEC,DATOS!$E15173,nASIG,DATOS!$I15173,nEVAL,"OR")=0))</f>
      </c>
      <c r="I15173">
        <f>IF(DATOS!$I15173="","",IFERROR(VLOOKUP(DATOS!$I15173,CONFIG_ASIGNATURAS!$B$2:$J$91,9,FALSE()),""))</f>
      </c>
    </row>
    <row r="15174">
      <c r="F15174">
        <f>IF(DATOS!$A15174="","",DATOS!$A15174&amp;"|"&amp;DATOS!$D15174&amp;"|"&amp;DATOS!$E15174&amp;"|"&amp;DATOS!$I15174)</f>
      </c>
      <c r="G15174">
        <f>IF(DATOS!$A15174="",0,IF(CONFIG_METADATA!$B$4&lt;&gt;"OR+EX",--(DATOS!$G15174=CONFIG_METADATA!$B$4),IF(DATOS!$G15174="EX",1,IF(DATOS!$G15174="OR",--(COUNTIFS(nNIA,DATOS!$A15174,nCURSO,DATOS!$D15174,nESPEC,DATOS!$E15174,nASIG,DATOS!$I15174,nEVAL,"EX")=0),0))))</f>
      </c>
      <c r="H15174">
        <f>IF(DATOS!$G15174&lt;&gt;"EX",0,--(COUNTIFS(nNIA,DATOS!$A15174,nCURSO,DATOS!$D15174,nESPEC,DATOS!$E15174,nASIG,DATOS!$I15174,nEVAL,"OR")=0))</f>
      </c>
      <c r="I15174">
        <f>IF(DATOS!$I15174="","",IFERROR(VLOOKUP(DATOS!$I15174,CONFIG_ASIGNATURAS!$B$2:$J$91,9,FALSE()),""))</f>
      </c>
    </row>
    <row r="15175">
      <c r="F15175">
        <f>IF(DATOS!$A15175="","",DATOS!$A15175&amp;"|"&amp;DATOS!$D15175&amp;"|"&amp;DATOS!$E15175&amp;"|"&amp;DATOS!$I15175)</f>
      </c>
      <c r="G15175">
        <f>IF(DATOS!$A15175="",0,IF(CONFIG_METADATA!$B$4&lt;&gt;"OR+EX",--(DATOS!$G15175=CONFIG_METADATA!$B$4),IF(DATOS!$G15175="EX",1,IF(DATOS!$G15175="OR",--(COUNTIFS(nNIA,DATOS!$A15175,nCURSO,DATOS!$D15175,nESPEC,DATOS!$E15175,nASIG,DATOS!$I15175,nEVAL,"EX")=0),0))))</f>
      </c>
      <c r="H15175">
        <f>IF(DATOS!$G15175&lt;&gt;"EX",0,--(COUNTIFS(nNIA,DATOS!$A15175,nCURSO,DATOS!$D15175,nESPEC,DATOS!$E15175,nASIG,DATOS!$I15175,nEVAL,"OR")=0))</f>
      </c>
      <c r="I15175">
        <f>IF(DATOS!$I15175="","",IFERROR(VLOOKUP(DATOS!$I15175,CONFIG_ASIGNATURAS!$B$2:$J$91,9,FALSE()),""))</f>
      </c>
    </row>
    <row r="15176">
      <c r="F15176">
        <f>IF(DATOS!$A15176="","",DATOS!$A15176&amp;"|"&amp;DATOS!$D15176&amp;"|"&amp;DATOS!$E15176&amp;"|"&amp;DATOS!$I15176)</f>
      </c>
      <c r="G15176">
        <f>IF(DATOS!$A15176="",0,IF(CONFIG_METADATA!$B$4&lt;&gt;"OR+EX",--(DATOS!$G15176=CONFIG_METADATA!$B$4),IF(DATOS!$G15176="EX",1,IF(DATOS!$G15176="OR",--(COUNTIFS(nNIA,DATOS!$A15176,nCURSO,DATOS!$D15176,nESPEC,DATOS!$E15176,nASIG,DATOS!$I15176,nEVAL,"EX")=0),0))))</f>
      </c>
      <c r="H15176">
        <f>IF(DATOS!$G15176&lt;&gt;"EX",0,--(COUNTIFS(nNIA,DATOS!$A15176,nCURSO,DATOS!$D15176,nESPEC,DATOS!$E15176,nASIG,DATOS!$I15176,nEVAL,"OR")=0))</f>
      </c>
      <c r="I15176">
        <f>IF(DATOS!$I15176="","",IFERROR(VLOOKUP(DATOS!$I15176,CONFIG_ASIGNATURAS!$B$2:$J$91,9,FALSE()),""))</f>
      </c>
    </row>
    <row r="15177">
      <c r="F15177">
        <f>IF(DATOS!$A15177="","",DATOS!$A15177&amp;"|"&amp;DATOS!$D15177&amp;"|"&amp;DATOS!$E15177&amp;"|"&amp;DATOS!$I15177)</f>
      </c>
      <c r="G15177">
        <f>IF(DATOS!$A15177="",0,IF(CONFIG_METADATA!$B$4&lt;&gt;"OR+EX",--(DATOS!$G15177=CONFIG_METADATA!$B$4),IF(DATOS!$G15177="EX",1,IF(DATOS!$G15177="OR",--(COUNTIFS(nNIA,DATOS!$A15177,nCURSO,DATOS!$D15177,nESPEC,DATOS!$E15177,nASIG,DATOS!$I15177,nEVAL,"EX")=0),0))))</f>
      </c>
      <c r="H15177">
        <f>IF(DATOS!$G15177&lt;&gt;"EX",0,--(COUNTIFS(nNIA,DATOS!$A15177,nCURSO,DATOS!$D15177,nESPEC,DATOS!$E15177,nASIG,DATOS!$I15177,nEVAL,"OR")=0))</f>
      </c>
      <c r="I15177">
        <f>IF(DATOS!$I15177="","",IFERROR(VLOOKUP(DATOS!$I15177,CONFIG_ASIGNATURAS!$B$2:$J$91,9,FALSE()),""))</f>
      </c>
    </row>
    <row r="15178">
      <c r="F15178">
        <f>IF(DATOS!$A15178="","",DATOS!$A15178&amp;"|"&amp;DATOS!$D15178&amp;"|"&amp;DATOS!$E15178&amp;"|"&amp;DATOS!$I15178)</f>
      </c>
      <c r="G15178">
        <f>IF(DATOS!$A15178="",0,IF(CONFIG_METADATA!$B$4&lt;&gt;"OR+EX",--(DATOS!$G15178=CONFIG_METADATA!$B$4),IF(DATOS!$G15178="EX",1,IF(DATOS!$G15178="OR",--(COUNTIFS(nNIA,DATOS!$A15178,nCURSO,DATOS!$D15178,nESPEC,DATOS!$E15178,nASIG,DATOS!$I15178,nEVAL,"EX")=0),0))))</f>
      </c>
      <c r="H15178">
        <f>IF(DATOS!$G15178&lt;&gt;"EX",0,--(COUNTIFS(nNIA,DATOS!$A15178,nCURSO,DATOS!$D15178,nESPEC,DATOS!$E15178,nASIG,DATOS!$I15178,nEVAL,"OR")=0))</f>
      </c>
      <c r="I15178">
        <f>IF(DATOS!$I15178="","",IFERROR(VLOOKUP(DATOS!$I15178,CONFIG_ASIGNATURAS!$B$2:$J$91,9,FALSE()),""))</f>
      </c>
    </row>
    <row r="15179">
      <c r="F15179">
        <f>IF(DATOS!$A15179="","",DATOS!$A15179&amp;"|"&amp;DATOS!$D15179&amp;"|"&amp;DATOS!$E15179&amp;"|"&amp;DATOS!$I15179)</f>
      </c>
      <c r="G15179">
        <f>IF(DATOS!$A15179="",0,IF(CONFIG_METADATA!$B$4&lt;&gt;"OR+EX",--(DATOS!$G15179=CONFIG_METADATA!$B$4),IF(DATOS!$G15179="EX",1,IF(DATOS!$G15179="OR",--(COUNTIFS(nNIA,DATOS!$A15179,nCURSO,DATOS!$D15179,nESPEC,DATOS!$E15179,nASIG,DATOS!$I15179,nEVAL,"EX")=0),0))))</f>
      </c>
      <c r="H15179">
        <f>IF(DATOS!$G15179&lt;&gt;"EX",0,--(COUNTIFS(nNIA,DATOS!$A15179,nCURSO,DATOS!$D15179,nESPEC,DATOS!$E15179,nASIG,DATOS!$I15179,nEVAL,"OR")=0))</f>
      </c>
      <c r="I15179">
        <f>IF(DATOS!$I15179="","",IFERROR(VLOOKUP(DATOS!$I15179,CONFIG_ASIGNATURAS!$B$2:$J$91,9,FALSE()),""))</f>
      </c>
    </row>
    <row r="15180">
      <c r="F15180">
        <f>IF(DATOS!$A15180="","",DATOS!$A15180&amp;"|"&amp;DATOS!$D15180&amp;"|"&amp;DATOS!$E15180&amp;"|"&amp;DATOS!$I15180)</f>
      </c>
      <c r="G15180">
        <f>IF(DATOS!$A15180="",0,IF(CONFIG_METADATA!$B$4&lt;&gt;"OR+EX",--(DATOS!$G15180=CONFIG_METADATA!$B$4),IF(DATOS!$G15180="EX",1,IF(DATOS!$G15180="OR",--(COUNTIFS(nNIA,DATOS!$A15180,nCURSO,DATOS!$D15180,nESPEC,DATOS!$E15180,nASIG,DATOS!$I15180,nEVAL,"EX")=0),0))))</f>
      </c>
      <c r="H15180">
        <f>IF(DATOS!$G15180&lt;&gt;"EX",0,--(COUNTIFS(nNIA,DATOS!$A15180,nCURSO,DATOS!$D15180,nESPEC,DATOS!$E15180,nASIG,DATOS!$I15180,nEVAL,"OR")=0))</f>
      </c>
      <c r="I15180">
        <f>IF(DATOS!$I15180="","",IFERROR(VLOOKUP(DATOS!$I15180,CONFIG_ASIGNATURAS!$B$2:$J$91,9,FALSE()),""))</f>
      </c>
    </row>
    <row r="15181">
      <c r="F15181">
        <f>IF(DATOS!$A15181="","",DATOS!$A15181&amp;"|"&amp;DATOS!$D15181&amp;"|"&amp;DATOS!$E15181&amp;"|"&amp;DATOS!$I15181)</f>
      </c>
      <c r="G15181">
        <f>IF(DATOS!$A15181="",0,IF(CONFIG_METADATA!$B$4&lt;&gt;"OR+EX",--(DATOS!$G15181=CONFIG_METADATA!$B$4),IF(DATOS!$G15181="EX",1,IF(DATOS!$G15181="OR",--(COUNTIFS(nNIA,DATOS!$A15181,nCURSO,DATOS!$D15181,nESPEC,DATOS!$E15181,nASIG,DATOS!$I15181,nEVAL,"EX")=0),0))))</f>
      </c>
      <c r="H15181">
        <f>IF(DATOS!$G15181&lt;&gt;"EX",0,--(COUNTIFS(nNIA,DATOS!$A15181,nCURSO,DATOS!$D15181,nESPEC,DATOS!$E15181,nASIG,DATOS!$I15181,nEVAL,"OR")=0))</f>
      </c>
      <c r="I15181">
        <f>IF(DATOS!$I15181="","",IFERROR(VLOOKUP(DATOS!$I15181,CONFIG_ASIGNATURAS!$B$2:$J$91,9,FALSE()),""))</f>
      </c>
    </row>
    <row r="15182">
      <c r="F15182">
        <f>IF(DATOS!$A15182="","",DATOS!$A15182&amp;"|"&amp;DATOS!$D15182&amp;"|"&amp;DATOS!$E15182&amp;"|"&amp;DATOS!$I15182)</f>
      </c>
      <c r="G15182">
        <f>IF(DATOS!$A15182="",0,IF(CONFIG_METADATA!$B$4&lt;&gt;"OR+EX",--(DATOS!$G15182=CONFIG_METADATA!$B$4),IF(DATOS!$G15182="EX",1,IF(DATOS!$G15182="OR",--(COUNTIFS(nNIA,DATOS!$A15182,nCURSO,DATOS!$D15182,nESPEC,DATOS!$E15182,nASIG,DATOS!$I15182,nEVAL,"EX")=0),0))))</f>
      </c>
      <c r="H15182">
        <f>IF(DATOS!$G15182&lt;&gt;"EX",0,--(COUNTIFS(nNIA,DATOS!$A15182,nCURSO,DATOS!$D15182,nESPEC,DATOS!$E15182,nASIG,DATOS!$I15182,nEVAL,"OR")=0))</f>
      </c>
      <c r="I15182">
        <f>IF(DATOS!$I15182="","",IFERROR(VLOOKUP(DATOS!$I15182,CONFIG_ASIGNATURAS!$B$2:$J$91,9,FALSE()),""))</f>
      </c>
    </row>
    <row r="15183">
      <c r="F15183">
        <f>IF(DATOS!$A15183="","",DATOS!$A15183&amp;"|"&amp;DATOS!$D15183&amp;"|"&amp;DATOS!$E15183&amp;"|"&amp;DATOS!$I15183)</f>
      </c>
      <c r="G15183">
        <f>IF(DATOS!$A15183="",0,IF(CONFIG_METADATA!$B$4&lt;&gt;"OR+EX",--(DATOS!$G15183=CONFIG_METADATA!$B$4),IF(DATOS!$G15183="EX",1,IF(DATOS!$G15183="OR",--(COUNTIFS(nNIA,DATOS!$A15183,nCURSO,DATOS!$D15183,nESPEC,DATOS!$E15183,nASIG,DATOS!$I15183,nEVAL,"EX")=0),0))))</f>
      </c>
      <c r="H15183">
        <f>IF(DATOS!$G15183&lt;&gt;"EX",0,--(COUNTIFS(nNIA,DATOS!$A15183,nCURSO,DATOS!$D15183,nESPEC,DATOS!$E15183,nASIG,DATOS!$I15183,nEVAL,"OR")=0))</f>
      </c>
      <c r="I15183">
        <f>IF(DATOS!$I15183="","",IFERROR(VLOOKUP(DATOS!$I15183,CONFIG_ASIGNATURAS!$B$2:$J$91,9,FALSE()),""))</f>
      </c>
    </row>
    <row r="15184">
      <c r="F15184">
        <f>IF(DATOS!$A15184="","",DATOS!$A15184&amp;"|"&amp;DATOS!$D15184&amp;"|"&amp;DATOS!$E15184&amp;"|"&amp;DATOS!$I15184)</f>
      </c>
      <c r="G15184">
        <f>IF(DATOS!$A15184="",0,IF(CONFIG_METADATA!$B$4&lt;&gt;"OR+EX",--(DATOS!$G15184=CONFIG_METADATA!$B$4),IF(DATOS!$G15184="EX",1,IF(DATOS!$G15184="OR",--(COUNTIFS(nNIA,DATOS!$A15184,nCURSO,DATOS!$D15184,nESPEC,DATOS!$E15184,nASIG,DATOS!$I15184,nEVAL,"EX")=0),0))))</f>
      </c>
      <c r="H15184">
        <f>IF(DATOS!$G15184&lt;&gt;"EX",0,--(COUNTIFS(nNIA,DATOS!$A15184,nCURSO,DATOS!$D15184,nESPEC,DATOS!$E15184,nASIG,DATOS!$I15184,nEVAL,"OR")=0))</f>
      </c>
      <c r="I15184">
        <f>IF(DATOS!$I15184="","",IFERROR(VLOOKUP(DATOS!$I15184,CONFIG_ASIGNATURAS!$B$2:$J$91,9,FALSE()),""))</f>
      </c>
    </row>
    <row r="15185">
      <c r="F15185">
        <f>IF(DATOS!$A15185="","",DATOS!$A15185&amp;"|"&amp;DATOS!$D15185&amp;"|"&amp;DATOS!$E15185&amp;"|"&amp;DATOS!$I15185)</f>
      </c>
      <c r="G15185">
        <f>IF(DATOS!$A15185="",0,IF(CONFIG_METADATA!$B$4&lt;&gt;"OR+EX",--(DATOS!$G15185=CONFIG_METADATA!$B$4),IF(DATOS!$G15185="EX",1,IF(DATOS!$G15185="OR",--(COUNTIFS(nNIA,DATOS!$A15185,nCURSO,DATOS!$D15185,nESPEC,DATOS!$E15185,nASIG,DATOS!$I15185,nEVAL,"EX")=0),0))))</f>
      </c>
      <c r="H15185">
        <f>IF(DATOS!$G15185&lt;&gt;"EX",0,--(COUNTIFS(nNIA,DATOS!$A15185,nCURSO,DATOS!$D15185,nESPEC,DATOS!$E15185,nASIG,DATOS!$I15185,nEVAL,"OR")=0))</f>
      </c>
      <c r="I15185">
        <f>IF(DATOS!$I15185="","",IFERROR(VLOOKUP(DATOS!$I15185,CONFIG_ASIGNATURAS!$B$2:$J$91,9,FALSE()),""))</f>
      </c>
    </row>
    <row r="15186">
      <c r="F15186">
        <f>IF(DATOS!$A15186="","",DATOS!$A15186&amp;"|"&amp;DATOS!$D15186&amp;"|"&amp;DATOS!$E15186&amp;"|"&amp;DATOS!$I15186)</f>
      </c>
      <c r="G15186">
        <f>IF(DATOS!$A15186="",0,IF(CONFIG_METADATA!$B$4&lt;&gt;"OR+EX",--(DATOS!$G15186=CONFIG_METADATA!$B$4),IF(DATOS!$G15186="EX",1,IF(DATOS!$G15186="OR",--(COUNTIFS(nNIA,DATOS!$A15186,nCURSO,DATOS!$D15186,nESPEC,DATOS!$E15186,nASIG,DATOS!$I15186,nEVAL,"EX")=0),0))))</f>
      </c>
      <c r="H15186">
        <f>IF(DATOS!$G15186&lt;&gt;"EX",0,--(COUNTIFS(nNIA,DATOS!$A15186,nCURSO,DATOS!$D15186,nESPEC,DATOS!$E15186,nASIG,DATOS!$I15186,nEVAL,"OR")=0))</f>
      </c>
      <c r="I15186">
        <f>IF(DATOS!$I15186="","",IFERROR(VLOOKUP(DATOS!$I15186,CONFIG_ASIGNATURAS!$B$2:$J$91,9,FALSE()),""))</f>
      </c>
    </row>
    <row r="15187">
      <c r="F15187">
        <f>IF(DATOS!$A15187="","",DATOS!$A15187&amp;"|"&amp;DATOS!$D15187&amp;"|"&amp;DATOS!$E15187&amp;"|"&amp;DATOS!$I15187)</f>
      </c>
      <c r="G15187">
        <f>IF(DATOS!$A15187="",0,IF(CONFIG_METADATA!$B$4&lt;&gt;"OR+EX",--(DATOS!$G15187=CONFIG_METADATA!$B$4),IF(DATOS!$G15187="EX",1,IF(DATOS!$G15187="OR",--(COUNTIFS(nNIA,DATOS!$A15187,nCURSO,DATOS!$D15187,nESPEC,DATOS!$E15187,nASIG,DATOS!$I15187,nEVAL,"EX")=0),0))))</f>
      </c>
      <c r="H15187">
        <f>IF(DATOS!$G15187&lt;&gt;"EX",0,--(COUNTIFS(nNIA,DATOS!$A15187,nCURSO,DATOS!$D15187,nESPEC,DATOS!$E15187,nASIG,DATOS!$I15187,nEVAL,"OR")=0))</f>
      </c>
      <c r="I15187">
        <f>IF(DATOS!$I15187="","",IFERROR(VLOOKUP(DATOS!$I15187,CONFIG_ASIGNATURAS!$B$2:$J$91,9,FALSE()),""))</f>
      </c>
    </row>
    <row r="15188">
      <c r="F15188">
        <f>IF(DATOS!$A15188="","",DATOS!$A15188&amp;"|"&amp;DATOS!$D15188&amp;"|"&amp;DATOS!$E15188&amp;"|"&amp;DATOS!$I15188)</f>
      </c>
      <c r="G15188">
        <f>IF(DATOS!$A15188="",0,IF(CONFIG_METADATA!$B$4&lt;&gt;"OR+EX",--(DATOS!$G15188=CONFIG_METADATA!$B$4),IF(DATOS!$G15188="EX",1,IF(DATOS!$G15188="OR",--(COUNTIFS(nNIA,DATOS!$A15188,nCURSO,DATOS!$D15188,nESPEC,DATOS!$E15188,nASIG,DATOS!$I15188,nEVAL,"EX")=0),0))))</f>
      </c>
      <c r="H15188">
        <f>IF(DATOS!$G15188&lt;&gt;"EX",0,--(COUNTIFS(nNIA,DATOS!$A15188,nCURSO,DATOS!$D15188,nESPEC,DATOS!$E15188,nASIG,DATOS!$I15188,nEVAL,"OR")=0))</f>
      </c>
      <c r="I15188">
        <f>IF(DATOS!$I15188="","",IFERROR(VLOOKUP(DATOS!$I15188,CONFIG_ASIGNATURAS!$B$2:$J$91,9,FALSE()),""))</f>
      </c>
    </row>
    <row r="15189">
      <c r="F15189">
        <f>IF(DATOS!$A15189="","",DATOS!$A15189&amp;"|"&amp;DATOS!$D15189&amp;"|"&amp;DATOS!$E15189&amp;"|"&amp;DATOS!$I15189)</f>
      </c>
      <c r="G15189">
        <f>IF(DATOS!$A15189="",0,IF(CONFIG_METADATA!$B$4&lt;&gt;"OR+EX",--(DATOS!$G15189=CONFIG_METADATA!$B$4),IF(DATOS!$G15189="EX",1,IF(DATOS!$G15189="OR",--(COUNTIFS(nNIA,DATOS!$A15189,nCURSO,DATOS!$D15189,nESPEC,DATOS!$E15189,nASIG,DATOS!$I15189,nEVAL,"EX")=0),0))))</f>
      </c>
      <c r="H15189">
        <f>IF(DATOS!$G15189&lt;&gt;"EX",0,--(COUNTIFS(nNIA,DATOS!$A15189,nCURSO,DATOS!$D15189,nESPEC,DATOS!$E15189,nASIG,DATOS!$I15189,nEVAL,"OR")=0))</f>
      </c>
      <c r="I15189">
        <f>IF(DATOS!$I15189="","",IFERROR(VLOOKUP(DATOS!$I15189,CONFIG_ASIGNATURAS!$B$2:$J$91,9,FALSE()),""))</f>
      </c>
    </row>
    <row r="15190">
      <c r="F15190">
        <f>IF(DATOS!$A15190="","",DATOS!$A15190&amp;"|"&amp;DATOS!$D15190&amp;"|"&amp;DATOS!$E15190&amp;"|"&amp;DATOS!$I15190)</f>
      </c>
      <c r="G15190">
        <f>IF(DATOS!$A15190="",0,IF(CONFIG_METADATA!$B$4&lt;&gt;"OR+EX",--(DATOS!$G15190=CONFIG_METADATA!$B$4),IF(DATOS!$G15190="EX",1,IF(DATOS!$G15190="OR",--(COUNTIFS(nNIA,DATOS!$A15190,nCURSO,DATOS!$D15190,nESPEC,DATOS!$E15190,nASIG,DATOS!$I15190,nEVAL,"EX")=0),0))))</f>
      </c>
      <c r="H15190">
        <f>IF(DATOS!$G15190&lt;&gt;"EX",0,--(COUNTIFS(nNIA,DATOS!$A15190,nCURSO,DATOS!$D15190,nESPEC,DATOS!$E15190,nASIG,DATOS!$I15190,nEVAL,"OR")=0))</f>
      </c>
      <c r="I15190">
        <f>IF(DATOS!$I15190="","",IFERROR(VLOOKUP(DATOS!$I15190,CONFIG_ASIGNATURAS!$B$2:$J$91,9,FALSE()),""))</f>
      </c>
    </row>
    <row r="15191">
      <c r="F15191">
        <f>IF(DATOS!$A15191="","",DATOS!$A15191&amp;"|"&amp;DATOS!$D15191&amp;"|"&amp;DATOS!$E15191&amp;"|"&amp;DATOS!$I15191)</f>
      </c>
      <c r="G15191">
        <f>IF(DATOS!$A15191="",0,IF(CONFIG_METADATA!$B$4&lt;&gt;"OR+EX",--(DATOS!$G15191=CONFIG_METADATA!$B$4),IF(DATOS!$G15191="EX",1,IF(DATOS!$G15191="OR",--(COUNTIFS(nNIA,DATOS!$A15191,nCURSO,DATOS!$D15191,nESPEC,DATOS!$E15191,nASIG,DATOS!$I15191,nEVAL,"EX")=0),0))))</f>
      </c>
      <c r="H15191">
        <f>IF(DATOS!$G15191&lt;&gt;"EX",0,--(COUNTIFS(nNIA,DATOS!$A15191,nCURSO,DATOS!$D15191,nESPEC,DATOS!$E15191,nASIG,DATOS!$I15191,nEVAL,"OR")=0))</f>
      </c>
      <c r="I15191">
        <f>IF(DATOS!$I15191="","",IFERROR(VLOOKUP(DATOS!$I15191,CONFIG_ASIGNATURAS!$B$2:$J$91,9,FALSE()),""))</f>
      </c>
    </row>
    <row r="15192">
      <c r="F15192">
        <f>IF(DATOS!$A15192="","",DATOS!$A15192&amp;"|"&amp;DATOS!$D15192&amp;"|"&amp;DATOS!$E15192&amp;"|"&amp;DATOS!$I15192)</f>
      </c>
      <c r="G15192">
        <f>IF(DATOS!$A15192="",0,IF(CONFIG_METADATA!$B$4&lt;&gt;"OR+EX",--(DATOS!$G15192=CONFIG_METADATA!$B$4),IF(DATOS!$G15192="EX",1,IF(DATOS!$G15192="OR",--(COUNTIFS(nNIA,DATOS!$A15192,nCURSO,DATOS!$D15192,nESPEC,DATOS!$E15192,nASIG,DATOS!$I15192,nEVAL,"EX")=0),0))))</f>
      </c>
      <c r="H15192">
        <f>IF(DATOS!$G15192&lt;&gt;"EX",0,--(COUNTIFS(nNIA,DATOS!$A15192,nCURSO,DATOS!$D15192,nESPEC,DATOS!$E15192,nASIG,DATOS!$I15192,nEVAL,"OR")=0))</f>
      </c>
      <c r="I15192">
        <f>IF(DATOS!$I15192="","",IFERROR(VLOOKUP(DATOS!$I15192,CONFIG_ASIGNATURAS!$B$2:$J$91,9,FALSE()),""))</f>
      </c>
    </row>
    <row r="15193">
      <c r="F15193">
        <f>IF(DATOS!$A15193="","",DATOS!$A15193&amp;"|"&amp;DATOS!$D15193&amp;"|"&amp;DATOS!$E15193&amp;"|"&amp;DATOS!$I15193)</f>
      </c>
      <c r="G15193">
        <f>IF(DATOS!$A15193="",0,IF(CONFIG_METADATA!$B$4&lt;&gt;"OR+EX",--(DATOS!$G15193=CONFIG_METADATA!$B$4),IF(DATOS!$G15193="EX",1,IF(DATOS!$G15193="OR",--(COUNTIFS(nNIA,DATOS!$A15193,nCURSO,DATOS!$D15193,nESPEC,DATOS!$E15193,nASIG,DATOS!$I15193,nEVAL,"EX")=0),0))))</f>
      </c>
      <c r="H15193">
        <f>IF(DATOS!$G15193&lt;&gt;"EX",0,--(COUNTIFS(nNIA,DATOS!$A15193,nCURSO,DATOS!$D15193,nESPEC,DATOS!$E15193,nASIG,DATOS!$I15193,nEVAL,"OR")=0))</f>
      </c>
      <c r="I15193">
        <f>IF(DATOS!$I15193="","",IFERROR(VLOOKUP(DATOS!$I15193,CONFIG_ASIGNATURAS!$B$2:$J$91,9,FALSE()),""))</f>
      </c>
    </row>
    <row r="15194">
      <c r="F15194">
        <f>IF(DATOS!$A15194="","",DATOS!$A15194&amp;"|"&amp;DATOS!$D15194&amp;"|"&amp;DATOS!$E15194&amp;"|"&amp;DATOS!$I15194)</f>
      </c>
      <c r="G15194">
        <f>IF(DATOS!$A15194="",0,IF(CONFIG_METADATA!$B$4&lt;&gt;"OR+EX",--(DATOS!$G15194=CONFIG_METADATA!$B$4),IF(DATOS!$G15194="EX",1,IF(DATOS!$G15194="OR",--(COUNTIFS(nNIA,DATOS!$A15194,nCURSO,DATOS!$D15194,nESPEC,DATOS!$E15194,nASIG,DATOS!$I15194,nEVAL,"EX")=0),0))))</f>
      </c>
      <c r="H15194">
        <f>IF(DATOS!$G15194&lt;&gt;"EX",0,--(COUNTIFS(nNIA,DATOS!$A15194,nCURSO,DATOS!$D15194,nESPEC,DATOS!$E15194,nASIG,DATOS!$I15194,nEVAL,"OR")=0))</f>
      </c>
      <c r="I15194">
        <f>IF(DATOS!$I15194="","",IFERROR(VLOOKUP(DATOS!$I15194,CONFIG_ASIGNATURAS!$B$2:$J$91,9,FALSE()),""))</f>
      </c>
    </row>
    <row r="15195">
      <c r="F15195">
        <f>IF(DATOS!$A15195="","",DATOS!$A15195&amp;"|"&amp;DATOS!$D15195&amp;"|"&amp;DATOS!$E15195&amp;"|"&amp;DATOS!$I15195)</f>
      </c>
      <c r="G15195">
        <f>IF(DATOS!$A15195="",0,IF(CONFIG_METADATA!$B$4&lt;&gt;"OR+EX",--(DATOS!$G15195=CONFIG_METADATA!$B$4),IF(DATOS!$G15195="EX",1,IF(DATOS!$G15195="OR",--(COUNTIFS(nNIA,DATOS!$A15195,nCURSO,DATOS!$D15195,nESPEC,DATOS!$E15195,nASIG,DATOS!$I15195,nEVAL,"EX")=0),0))))</f>
      </c>
      <c r="H15195">
        <f>IF(DATOS!$G15195&lt;&gt;"EX",0,--(COUNTIFS(nNIA,DATOS!$A15195,nCURSO,DATOS!$D15195,nESPEC,DATOS!$E15195,nASIG,DATOS!$I15195,nEVAL,"OR")=0))</f>
      </c>
      <c r="I15195">
        <f>IF(DATOS!$I15195="","",IFERROR(VLOOKUP(DATOS!$I15195,CONFIG_ASIGNATURAS!$B$2:$J$91,9,FALSE()),""))</f>
      </c>
    </row>
    <row r="15196">
      <c r="F15196">
        <f>IF(DATOS!$A15196="","",DATOS!$A15196&amp;"|"&amp;DATOS!$D15196&amp;"|"&amp;DATOS!$E15196&amp;"|"&amp;DATOS!$I15196)</f>
      </c>
      <c r="G15196">
        <f>IF(DATOS!$A15196="",0,IF(CONFIG_METADATA!$B$4&lt;&gt;"OR+EX",--(DATOS!$G15196=CONFIG_METADATA!$B$4),IF(DATOS!$G15196="EX",1,IF(DATOS!$G15196="OR",--(COUNTIFS(nNIA,DATOS!$A15196,nCURSO,DATOS!$D15196,nESPEC,DATOS!$E15196,nASIG,DATOS!$I15196,nEVAL,"EX")=0),0))))</f>
      </c>
      <c r="H15196">
        <f>IF(DATOS!$G15196&lt;&gt;"EX",0,--(COUNTIFS(nNIA,DATOS!$A15196,nCURSO,DATOS!$D15196,nESPEC,DATOS!$E15196,nASIG,DATOS!$I15196,nEVAL,"OR")=0))</f>
      </c>
      <c r="I15196">
        <f>IF(DATOS!$I15196="","",IFERROR(VLOOKUP(DATOS!$I15196,CONFIG_ASIGNATURAS!$B$2:$J$91,9,FALSE()),""))</f>
      </c>
    </row>
    <row r="15197">
      <c r="F15197">
        <f>IF(DATOS!$A15197="","",DATOS!$A15197&amp;"|"&amp;DATOS!$D15197&amp;"|"&amp;DATOS!$E15197&amp;"|"&amp;DATOS!$I15197)</f>
      </c>
      <c r="G15197">
        <f>IF(DATOS!$A15197="",0,IF(CONFIG_METADATA!$B$4&lt;&gt;"OR+EX",--(DATOS!$G15197=CONFIG_METADATA!$B$4),IF(DATOS!$G15197="EX",1,IF(DATOS!$G15197="OR",--(COUNTIFS(nNIA,DATOS!$A15197,nCURSO,DATOS!$D15197,nESPEC,DATOS!$E15197,nASIG,DATOS!$I15197,nEVAL,"EX")=0),0))))</f>
      </c>
      <c r="H15197">
        <f>IF(DATOS!$G15197&lt;&gt;"EX",0,--(COUNTIFS(nNIA,DATOS!$A15197,nCURSO,DATOS!$D15197,nESPEC,DATOS!$E15197,nASIG,DATOS!$I15197,nEVAL,"OR")=0))</f>
      </c>
      <c r="I15197">
        <f>IF(DATOS!$I15197="","",IFERROR(VLOOKUP(DATOS!$I15197,CONFIG_ASIGNATURAS!$B$2:$J$91,9,FALSE()),""))</f>
      </c>
    </row>
    <row r="15198">
      <c r="F15198">
        <f>IF(DATOS!$A15198="","",DATOS!$A15198&amp;"|"&amp;DATOS!$D15198&amp;"|"&amp;DATOS!$E15198&amp;"|"&amp;DATOS!$I15198)</f>
      </c>
      <c r="G15198">
        <f>IF(DATOS!$A15198="",0,IF(CONFIG_METADATA!$B$4&lt;&gt;"OR+EX",--(DATOS!$G15198=CONFIG_METADATA!$B$4),IF(DATOS!$G15198="EX",1,IF(DATOS!$G15198="OR",--(COUNTIFS(nNIA,DATOS!$A15198,nCURSO,DATOS!$D15198,nESPEC,DATOS!$E15198,nASIG,DATOS!$I15198,nEVAL,"EX")=0),0))))</f>
      </c>
      <c r="H15198">
        <f>IF(DATOS!$G15198&lt;&gt;"EX",0,--(COUNTIFS(nNIA,DATOS!$A15198,nCURSO,DATOS!$D15198,nESPEC,DATOS!$E15198,nASIG,DATOS!$I15198,nEVAL,"OR")=0))</f>
      </c>
      <c r="I15198">
        <f>IF(DATOS!$I15198="","",IFERROR(VLOOKUP(DATOS!$I15198,CONFIG_ASIGNATURAS!$B$2:$J$91,9,FALSE()),""))</f>
      </c>
    </row>
    <row r="15199">
      <c r="F15199">
        <f>IF(DATOS!$A15199="","",DATOS!$A15199&amp;"|"&amp;DATOS!$D15199&amp;"|"&amp;DATOS!$E15199&amp;"|"&amp;DATOS!$I15199)</f>
      </c>
      <c r="G15199">
        <f>IF(DATOS!$A15199="",0,IF(CONFIG_METADATA!$B$4&lt;&gt;"OR+EX",--(DATOS!$G15199=CONFIG_METADATA!$B$4),IF(DATOS!$G15199="EX",1,IF(DATOS!$G15199="OR",--(COUNTIFS(nNIA,DATOS!$A15199,nCURSO,DATOS!$D15199,nESPEC,DATOS!$E15199,nASIG,DATOS!$I15199,nEVAL,"EX")=0),0))))</f>
      </c>
      <c r="H15199">
        <f>IF(DATOS!$G15199&lt;&gt;"EX",0,--(COUNTIFS(nNIA,DATOS!$A15199,nCURSO,DATOS!$D15199,nESPEC,DATOS!$E15199,nASIG,DATOS!$I15199,nEVAL,"OR")=0))</f>
      </c>
      <c r="I15199">
        <f>IF(DATOS!$I15199="","",IFERROR(VLOOKUP(DATOS!$I15199,CONFIG_ASIGNATURAS!$B$2:$J$91,9,FALSE()),""))</f>
      </c>
    </row>
    <row r="15200">
      <c r="F15200">
        <f>IF(DATOS!$A15200="","",DATOS!$A15200&amp;"|"&amp;DATOS!$D15200&amp;"|"&amp;DATOS!$E15200&amp;"|"&amp;DATOS!$I15200)</f>
      </c>
      <c r="G15200">
        <f>IF(DATOS!$A15200="",0,IF(CONFIG_METADATA!$B$4&lt;&gt;"OR+EX",--(DATOS!$G15200=CONFIG_METADATA!$B$4),IF(DATOS!$G15200="EX",1,IF(DATOS!$G15200="OR",--(COUNTIFS(nNIA,DATOS!$A15200,nCURSO,DATOS!$D15200,nESPEC,DATOS!$E15200,nASIG,DATOS!$I15200,nEVAL,"EX")=0),0))))</f>
      </c>
      <c r="H15200">
        <f>IF(DATOS!$G15200&lt;&gt;"EX",0,--(COUNTIFS(nNIA,DATOS!$A15200,nCURSO,DATOS!$D15200,nESPEC,DATOS!$E15200,nASIG,DATOS!$I15200,nEVAL,"OR")=0))</f>
      </c>
      <c r="I15200">
        <f>IF(DATOS!$I15200="","",IFERROR(VLOOKUP(DATOS!$I15200,CONFIG_ASIGNATURAS!$B$2:$J$91,9,FALSE()),""))</f>
      </c>
    </row>
    <row r="15201">
      <c r="F15201">
        <f>IF(DATOS!$A15201="","",DATOS!$A15201&amp;"|"&amp;DATOS!$D15201&amp;"|"&amp;DATOS!$E15201&amp;"|"&amp;DATOS!$I15201)</f>
      </c>
      <c r="G15201">
        <f>IF(DATOS!$A15201="",0,IF(CONFIG_METADATA!$B$4&lt;&gt;"OR+EX",--(DATOS!$G15201=CONFIG_METADATA!$B$4),IF(DATOS!$G15201="EX",1,IF(DATOS!$G15201="OR",--(COUNTIFS(nNIA,DATOS!$A15201,nCURSO,DATOS!$D15201,nESPEC,DATOS!$E15201,nASIG,DATOS!$I15201,nEVAL,"EX")=0),0))))</f>
      </c>
      <c r="H15201">
        <f>IF(DATOS!$G15201&lt;&gt;"EX",0,--(COUNTIFS(nNIA,DATOS!$A15201,nCURSO,DATOS!$D15201,nESPEC,DATOS!$E15201,nASIG,DATOS!$I15201,nEVAL,"OR")=0))</f>
      </c>
      <c r="I15201">
        <f>IF(DATOS!$I15201="","",IFERROR(VLOOKUP(DATOS!$I15201,CONFIG_ASIGNATURAS!$B$2:$J$91,9,FALSE()),""))</f>
      </c>
    </row>
    <row r="15202">
      <c r="F15202">
        <f>IF(DATOS!$A15202="","",DATOS!$A15202&amp;"|"&amp;DATOS!$D15202&amp;"|"&amp;DATOS!$E15202&amp;"|"&amp;DATOS!$I15202)</f>
      </c>
      <c r="G15202">
        <f>IF(DATOS!$A15202="",0,IF(CONFIG_METADATA!$B$4&lt;&gt;"OR+EX",--(DATOS!$G15202=CONFIG_METADATA!$B$4),IF(DATOS!$G15202="EX",1,IF(DATOS!$G15202="OR",--(COUNTIFS(nNIA,DATOS!$A15202,nCURSO,DATOS!$D15202,nESPEC,DATOS!$E15202,nASIG,DATOS!$I15202,nEVAL,"EX")=0),0))))</f>
      </c>
      <c r="H15202">
        <f>IF(DATOS!$G15202&lt;&gt;"EX",0,--(COUNTIFS(nNIA,DATOS!$A15202,nCURSO,DATOS!$D15202,nESPEC,DATOS!$E15202,nASIG,DATOS!$I15202,nEVAL,"OR")=0))</f>
      </c>
      <c r="I15202">
        <f>IF(DATOS!$I15202="","",IFERROR(VLOOKUP(DATOS!$I15202,CONFIG_ASIGNATURAS!$B$2:$J$91,9,FALSE()),""))</f>
      </c>
    </row>
    <row r="15203">
      <c r="F15203">
        <f>IF(DATOS!$A15203="","",DATOS!$A15203&amp;"|"&amp;DATOS!$D15203&amp;"|"&amp;DATOS!$E15203&amp;"|"&amp;DATOS!$I15203)</f>
      </c>
      <c r="G15203">
        <f>IF(DATOS!$A15203="",0,IF(CONFIG_METADATA!$B$4&lt;&gt;"OR+EX",--(DATOS!$G15203=CONFIG_METADATA!$B$4),IF(DATOS!$G15203="EX",1,IF(DATOS!$G15203="OR",--(COUNTIFS(nNIA,DATOS!$A15203,nCURSO,DATOS!$D15203,nESPEC,DATOS!$E15203,nASIG,DATOS!$I15203,nEVAL,"EX")=0),0))))</f>
      </c>
      <c r="H15203">
        <f>IF(DATOS!$G15203&lt;&gt;"EX",0,--(COUNTIFS(nNIA,DATOS!$A15203,nCURSO,DATOS!$D15203,nESPEC,DATOS!$E15203,nASIG,DATOS!$I15203,nEVAL,"OR")=0))</f>
      </c>
      <c r="I15203">
        <f>IF(DATOS!$I15203="","",IFERROR(VLOOKUP(DATOS!$I15203,CONFIG_ASIGNATURAS!$B$2:$J$91,9,FALSE()),""))</f>
      </c>
    </row>
    <row r="15204">
      <c r="F15204">
        <f>IF(DATOS!$A15204="","",DATOS!$A15204&amp;"|"&amp;DATOS!$D15204&amp;"|"&amp;DATOS!$E15204&amp;"|"&amp;DATOS!$I15204)</f>
      </c>
      <c r="G15204">
        <f>IF(DATOS!$A15204="",0,IF(CONFIG_METADATA!$B$4&lt;&gt;"OR+EX",--(DATOS!$G15204=CONFIG_METADATA!$B$4),IF(DATOS!$G15204="EX",1,IF(DATOS!$G15204="OR",--(COUNTIFS(nNIA,DATOS!$A15204,nCURSO,DATOS!$D15204,nESPEC,DATOS!$E15204,nASIG,DATOS!$I15204,nEVAL,"EX")=0),0))))</f>
      </c>
      <c r="H15204">
        <f>IF(DATOS!$G15204&lt;&gt;"EX",0,--(COUNTIFS(nNIA,DATOS!$A15204,nCURSO,DATOS!$D15204,nESPEC,DATOS!$E15204,nASIG,DATOS!$I15204,nEVAL,"OR")=0))</f>
      </c>
      <c r="I15204">
        <f>IF(DATOS!$I15204="","",IFERROR(VLOOKUP(DATOS!$I15204,CONFIG_ASIGNATURAS!$B$2:$J$91,9,FALSE()),""))</f>
      </c>
    </row>
    <row r="15205">
      <c r="F15205">
        <f>IF(DATOS!$A15205="","",DATOS!$A15205&amp;"|"&amp;DATOS!$D15205&amp;"|"&amp;DATOS!$E15205&amp;"|"&amp;DATOS!$I15205)</f>
      </c>
      <c r="G15205">
        <f>IF(DATOS!$A15205="",0,IF(CONFIG_METADATA!$B$4&lt;&gt;"OR+EX",--(DATOS!$G15205=CONFIG_METADATA!$B$4),IF(DATOS!$G15205="EX",1,IF(DATOS!$G15205="OR",--(COUNTIFS(nNIA,DATOS!$A15205,nCURSO,DATOS!$D15205,nESPEC,DATOS!$E15205,nASIG,DATOS!$I15205,nEVAL,"EX")=0),0))))</f>
      </c>
      <c r="H15205">
        <f>IF(DATOS!$G15205&lt;&gt;"EX",0,--(COUNTIFS(nNIA,DATOS!$A15205,nCURSO,DATOS!$D15205,nESPEC,DATOS!$E15205,nASIG,DATOS!$I15205,nEVAL,"OR")=0))</f>
      </c>
      <c r="I15205">
        <f>IF(DATOS!$I15205="","",IFERROR(VLOOKUP(DATOS!$I15205,CONFIG_ASIGNATURAS!$B$2:$J$91,9,FALSE()),""))</f>
      </c>
    </row>
    <row r="15206">
      <c r="F15206">
        <f>IF(DATOS!$A15206="","",DATOS!$A15206&amp;"|"&amp;DATOS!$D15206&amp;"|"&amp;DATOS!$E15206&amp;"|"&amp;DATOS!$I15206)</f>
      </c>
      <c r="G15206">
        <f>IF(DATOS!$A15206="",0,IF(CONFIG_METADATA!$B$4&lt;&gt;"OR+EX",--(DATOS!$G15206=CONFIG_METADATA!$B$4),IF(DATOS!$G15206="EX",1,IF(DATOS!$G15206="OR",--(COUNTIFS(nNIA,DATOS!$A15206,nCURSO,DATOS!$D15206,nESPEC,DATOS!$E15206,nASIG,DATOS!$I15206,nEVAL,"EX")=0),0))))</f>
      </c>
      <c r="H15206">
        <f>IF(DATOS!$G15206&lt;&gt;"EX",0,--(COUNTIFS(nNIA,DATOS!$A15206,nCURSO,DATOS!$D15206,nESPEC,DATOS!$E15206,nASIG,DATOS!$I15206,nEVAL,"OR")=0))</f>
      </c>
      <c r="I15206">
        <f>IF(DATOS!$I15206="","",IFERROR(VLOOKUP(DATOS!$I15206,CONFIG_ASIGNATURAS!$B$2:$J$91,9,FALSE()),""))</f>
      </c>
    </row>
    <row r="15207">
      <c r="F15207">
        <f>IF(DATOS!$A15207="","",DATOS!$A15207&amp;"|"&amp;DATOS!$D15207&amp;"|"&amp;DATOS!$E15207&amp;"|"&amp;DATOS!$I15207)</f>
      </c>
      <c r="G15207">
        <f>IF(DATOS!$A15207="",0,IF(CONFIG_METADATA!$B$4&lt;&gt;"OR+EX",--(DATOS!$G15207=CONFIG_METADATA!$B$4),IF(DATOS!$G15207="EX",1,IF(DATOS!$G15207="OR",--(COUNTIFS(nNIA,DATOS!$A15207,nCURSO,DATOS!$D15207,nESPEC,DATOS!$E15207,nASIG,DATOS!$I15207,nEVAL,"EX")=0),0))))</f>
      </c>
      <c r="H15207">
        <f>IF(DATOS!$G15207&lt;&gt;"EX",0,--(COUNTIFS(nNIA,DATOS!$A15207,nCURSO,DATOS!$D15207,nESPEC,DATOS!$E15207,nASIG,DATOS!$I15207,nEVAL,"OR")=0))</f>
      </c>
      <c r="I15207">
        <f>IF(DATOS!$I15207="","",IFERROR(VLOOKUP(DATOS!$I15207,CONFIG_ASIGNATURAS!$B$2:$J$91,9,FALSE()),""))</f>
      </c>
    </row>
    <row r="15208">
      <c r="F15208">
        <f>IF(DATOS!$A15208="","",DATOS!$A15208&amp;"|"&amp;DATOS!$D15208&amp;"|"&amp;DATOS!$E15208&amp;"|"&amp;DATOS!$I15208)</f>
      </c>
      <c r="G15208">
        <f>IF(DATOS!$A15208="",0,IF(CONFIG_METADATA!$B$4&lt;&gt;"OR+EX",--(DATOS!$G15208=CONFIG_METADATA!$B$4),IF(DATOS!$G15208="EX",1,IF(DATOS!$G15208="OR",--(COUNTIFS(nNIA,DATOS!$A15208,nCURSO,DATOS!$D15208,nESPEC,DATOS!$E15208,nASIG,DATOS!$I15208,nEVAL,"EX")=0),0))))</f>
      </c>
      <c r="H15208">
        <f>IF(DATOS!$G15208&lt;&gt;"EX",0,--(COUNTIFS(nNIA,DATOS!$A15208,nCURSO,DATOS!$D15208,nESPEC,DATOS!$E15208,nASIG,DATOS!$I15208,nEVAL,"OR")=0))</f>
      </c>
      <c r="I15208">
        <f>IF(DATOS!$I15208="","",IFERROR(VLOOKUP(DATOS!$I15208,CONFIG_ASIGNATURAS!$B$2:$J$91,9,FALSE()),""))</f>
      </c>
    </row>
    <row r="15209">
      <c r="F15209">
        <f>IF(DATOS!$A15209="","",DATOS!$A15209&amp;"|"&amp;DATOS!$D15209&amp;"|"&amp;DATOS!$E15209&amp;"|"&amp;DATOS!$I15209)</f>
      </c>
      <c r="G15209">
        <f>IF(DATOS!$A15209="",0,IF(CONFIG_METADATA!$B$4&lt;&gt;"OR+EX",--(DATOS!$G15209=CONFIG_METADATA!$B$4),IF(DATOS!$G15209="EX",1,IF(DATOS!$G15209="OR",--(COUNTIFS(nNIA,DATOS!$A15209,nCURSO,DATOS!$D15209,nESPEC,DATOS!$E15209,nASIG,DATOS!$I15209,nEVAL,"EX")=0),0))))</f>
      </c>
      <c r="H15209">
        <f>IF(DATOS!$G15209&lt;&gt;"EX",0,--(COUNTIFS(nNIA,DATOS!$A15209,nCURSO,DATOS!$D15209,nESPEC,DATOS!$E15209,nASIG,DATOS!$I15209,nEVAL,"OR")=0))</f>
      </c>
      <c r="I15209">
        <f>IF(DATOS!$I15209="","",IFERROR(VLOOKUP(DATOS!$I15209,CONFIG_ASIGNATURAS!$B$2:$J$91,9,FALSE()),""))</f>
      </c>
    </row>
    <row r="15210">
      <c r="F15210">
        <f>IF(DATOS!$A15210="","",DATOS!$A15210&amp;"|"&amp;DATOS!$D15210&amp;"|"&amp;DATOS!$E15210&amp;"|"&amp;DATOS!$I15210)</f>
      </c>
      <c r="G15210">
        <f>IF(DATOS!$A15210="",0,IF(CONFIG_METADATA!$B$4&lt;&gt;"OR+EX",--(DATOS!$G15210=CONFIG_METADATA!$B$4),IF(DATOS!$G15210="EX",1,IF(DATOS!$G15210="OR",--(COUNTIFS(nNIA,DATOS!$A15210,nCURSO,DATOS!$D15210,nESPEC,DATOS!$E15210,nASIG,DATOS!$I15210,nEVAL,"EX")=0),0))))</f>
      </c>
      <c r="H15210">
        <f>IF(DATOS!$G15210&lt;&gt;"EX",0,--(COUNTIFS(nNIA,DATOS!$A15210,nCURSO,DATOS!$D15210,nESPEC,DATOS!$E15210,nASIG,DATOS!$I15210,nEVAL,"OR")=0))</f>
      </c>
      <c r="I15210">
        <f>IF(DATOS!$I15210="","",IFERROR(VLOOKUP(DATOS!$I15210,CONFIG_ASIGNATURAS!$B$2:$J$91,9,FALSE()),""))</f>
      </c>
    </row>
    <row r="15211">
      <c r="F15211">
        <f>IF(DATOS!$A15211="","",DATOS!$A15211&amp;"|"&amp;DATOS!$D15211&amp;"|"&amp;DATOS!$E15211&amp;"|"&amp;DATOS!$I15211)</f>
      </c>
      <c r="G15211">
        <f>IF(DATOS!$A15211="",0,IF(CONFIG_METADATA!$B$4&lt;&gt;"OR+EX",--(DATOS!$G15211=CONFIG_METADATA!$B$4),IF(DATOS!$G15211="EX",1,IF(DATOS!$G15211="OR",--(COUNTIFS(nNIA,DATOS!$A15211,nCURSO,DATOS!$D15211,nESPEC,DATOS!$E15211,nASIG,DATOS!$I15211,nEVAL,"EX")=0),0))))</f>
      </c>
      <c r="H15211">
        <f>IF(DATOS!$G15211&lt;&gt;"EX",0,--(COUNTIFS(nNIA,DATOS!$A15211,nCURSO,DATOS!$D15211,nESPEC,DATOS!$E15211,nASIG,DATOS!$I15211,nEVAL,"OR")=0))</f>
      </c>
      <c r="I15211">
        <f>IF(DATOS!$I15211="","",IFERROR(VLOOKUP(DATOS!$I15211,CONFIG_ASIGNATURAS!$B$2:$J$91,9,FALSE()),""))</f>
      </c>
    </row>
    <row r="15212">
      <c r="F15212">
        <f>IF(DATOS!$A15212="","",DATOS!$A15212&amp;"|"&amp;DATOS!$D15212&amp;"|"&amp;DATOS!$E15212&amp;"|"&amp;DATOS!$I15212)</f>
      </c>
      <c r="G15212">
        <f>IF(DATOS!$A15212="",0,IF(CONFIG_METADATA!$B$4&lt;&gt;"OR+EX",--(DATOS!$G15212=CONFIG_METADATA!$B$4),IF(DATOS!$G15212="EX",1,IF(DATOS!$G15212="OR",--(COUNTIFS(nNIA,DATOS!$A15212,nCURSO,DATOS!$D15212,nESPEC,DATOS!$E15212,nASIG,DATOS!$I15212,nEVAL,"EX")=0),0))))</f>
      </c>
      <c r="H15212">
        <f>IF(DATOS!$G15212&lt;&gt;"EX",0,--(COUNTIFS(nNIA,DATOS!$A15212,nCURSO,DATOS!$D15212,nESPEC,DATOS!$E15212,nASIG,DATOS!$I15212,nEVAL,"OR")=0))</f>
      </c>
      <c r="I15212">
        <f>IF(DATOS!$I15212="","",IFERROR(VLOOKUP(DATOS!$I15212,CONFIG_ASIGNATURAS!$B$2:$J$91,9,FALSE()),""))</f>
      </c>
    </row>
    <row r="15213">
      <c r="F15213">
        <f>IF(DATOS!$A15213="","",DATOS!$A15213&amp;"|"&amp;DATOS!$D15213&amp;"|"&amp;DATOS!$E15213&amp;"|"&amp;DATOS!$I15213)</f>
      </c>
      <c r="G15213">
        <f>IF(DATOS!$A15213="",0,IF(CONFIG_METADATA!$B$4&lt;&gt;"OR+EX",--(DATOS!$G15213=CONFIG_METADATA!$B$4),IF(DATOS!$G15213="EX",1,IF(DATOS!$G15213="OR",--(COUNTIFS(nNIA,DATOS!$A15213,nCURSO,DATOS!$D15213,nESPEC,DATOS!$E15213,nASIG,DATOS!$I15213,nEVAL,"EX")=0),0))))</f>
      </c>
      <c r="H15213">
        <f>IF(DATOS!$G15213&lt;&gt;"EX",0,--(COUNTIFS(nNIA,DATOS!$A15213,nCURSO,DATOS!$D15213,nESPEC,DATOS!$E15213,nASIG,DATOS!$I15213,nEVAL,"OR")=0))</f>
      </c>
      <c r="I15213">
        <f>IF(DATOS!$I15213="","",IFERROR(VLOOKUP(DATOS!$I15213,CONFIG_ASIGNATURAS!$B$2:$J$91,9,FALSE()),""))</f>
      </c>
    </row>
    <row r="15214">
      <c r="F15214">
        <f>IF(DATOS!$A15214="","",DATOS!$A15214&amp;"|"&amp;DATOS!$D15214&amp;"|"&amp;DATOS!$E15214&amp;"|"&amp;DATOS!$I15214)</f>
      </c>
      <c r="G15214">
        <f>IF(DATOS!$A15214="",0,IF(CONFIG_METADATA!$B$4&lt;&gt;"OR+EX",--(DATOS!$G15214=CONFIG_METADATA!$B$4),IF(DATOS!$G15214="EX",1,IF(DATOS!$G15214="OR",--(COUNTIFS(nNIA,DATOS!$A15214,nCURSO,DATOS!$D15214,nESPEC,DATOS!$E15214,nASIG,DATOS!$I15214,nEVAL,"EX")=0),0))))</f>
      </c>
      <c r="H15214">
        <f>IF(DATOS!$G15214&lt;&gt;"EX",0,--(COUNTIFS(nNIA,DATOS!$A15214,nCURSO,DATOS!$D15214,nESPEC,DATOS!$E15214,nASIG,DATOS!$I15214,nEVAL,"OR")=0))</f>
      </c>
      <c r="I15214">
        <f>IF(DATOS!$I15214="","",IFERROR(VLOOKUP(DATOS!$I15214,CONFIG_ASIGNATURAS!$B$2:$J$91,9,FALSE()),""))</f>
      </c>
    </row>
    <row r="15215">
      <c r="F15215">
        <f>IF(DATOS!$A15215="","",DATOS!$A15215&amp;"|"&amp;DATOS!$D15215&amp;"|"&amp;DATOS!$E15215&amp;"|"&amp;DATOS!$I15215)</f>
      </c>
      <c r="G15215">
        <f>IF(DATOS!$A15215="",0,IF(CONFIG_METADATA!$B$4&lt;&gt;"OR+EX",--(DATOS!$G15215=CONFIG_METADATA!$B$4),IF(DATOS!$G15215="EX",1,IF(DATOS!$G15215="OR",--(COUNTIFS(nNIA,DATOS!$A15215,nCURSO,DATOS!$D15215,nESPEC,DATOS!$E15215,nASIG,DATOS!$I15215,nEVAL,"EX")=0),0))))</f>
      </c>
      <c r="H15215">
        <f>IF(DATOS!$G15215&lt;&gt;"EX",0,--(COUNTIFS(nNIA,DATOS!$A15215,nCURSO,DATOS!$D15215,nESPEC,DATOS!$E15215,nASIG,DATOS!$I15215,nEVAL,"OR")=0))</f>
      </c>
      <c r="I15215">
        <f>IF(DATOS!$I15215="","",IFERROR(VLOOKUP(DATOS!$I15215,CONFIG_ASIGNATURAS!$B$2:$J$91,9,FALSE()),""))</f>
      </c>
    </row>
    <row r="15216">
      <c r="F15216">
        <f>IF(DATOS!$A15216="","",DATOS!$A15216&amp;"|"&amp;DATOS!$D15216&amp;"|"&amp;DATOS!$E15216&amp;"|"&amp;DATOS!$I15216)</f>
      </c>
      <c r="G15216">
        <f>IF(DATOS!$A15216="",0,IF(CONFIG_METADATA!$B$4&lt;&gt;"OR+EX",--(DATOS!$G15216=CONFIG_METADATA!$B$4),IF(DATOS!$G15216="EX",1,IF(DATOS!$G15216="OR",--(COUNTIFS(nNIA,DATOS!$A15216,nCURSO,DATOS!$D15216,nESPEC,DATOS!$E15216,nASIG,DATOS!$I15216,nEVAL,"EX")=0),0))))</f>
      </c>
      <c r="H15216">
        <f>IF(DATOS!$G15216&lt;&gt;"EX",0,--(COUNTIFS(nNIA,DATOS!$A15216,nCURSO,DATOS!$D15216,nESPEC,DATOS!$E15216,nASIG,DATOS!$I15216,nEVAL,"OR")=0))</f>
      </c>
      <c r="I15216">
        <f>IF(DATOS!$I15216="","",IFERROR(VLOOKUP(DATOS!$I15216,CONFIG_ASIGNATURAS!$B$2:$J$91,9,FALSE()),""))</f>
      </c>
    </row>
    <row r="15217">
      <c r="F15217">
        <f>IF(DATOS!$A15217="","",DATOS!$A15217&amp;"|"&amp;DATOS!$D15217&amp;"|"&amp;DATOS!$E15217&amp;"|"&amp;DATOS!$I15217)</f>
      </c>
      <c r="G15217">
        <f>IF(DATOS!$A15217="",0,IF(CONFIG_METADATA!$B$4&lt;&gt;"OR+EX",--(DATOS!$G15217=CONFIG_METADATA!$B$4),IF(DATOS!$G15217="EX",1,IF(DATOS!$G15217="OR",--(COUNTIFS(nNIA,DATOS!$A15217,nCURSO,DATOS!$D15217,nESPEC,DATOS!$E15217,nASIG,DATOS!$I15217,nEVAL,"EX")=0),0))))</f>
      </c>
      <c r="H15217">
        <f>IF(DATOS!$G15217&lt;&gt;"EX",0,--(COUNTIFS(nNIA,DATOS!$A15217,nCURSO,DATOS!$D15217,nESPEC,DATOS!$E15217,nASIG,DATOS!$I15217,nEVAL,"OR")=0))</f>
      </c>
      <c r="I15217">
        <f>IF(DATOS!$I15217="","",IFERROR(VLOOKUP(DATOS!$I15217,CONFIG_ASIGNATURAS!$B$2:$J$91,9,FALSE()),""))</f>
      </c>
    </row>
    <row r="15218">
      <c r="F15218">
        <f>IF(DATOS!$A15218="","",DATOS!$A15218&amp;"|"&amp;DATOS!$D15218&amp;"|"&amp;DATOS!$E15218&amp;"|"&amp;DATOS!$I15218)</f>
      </c>
      <c r="G15218">
        <f>IF(DATOS!$A15218="",0,IF(CONFIG_METADATA!$B$4&lt;&gt;"OR+EX",--(DATOS!$G15218=CONFIG_METADATA!$B$4),IF(DATOS!$G15218="EX",1,IF(DATOS!$G15218="OR",--(COUNTIFS(nNIA,DATOS!$A15218,nCURSO,DATOS!$D15218,nESPEC,DATOS!$E15218,nASIG,DATOS!$I15218,nEVAL,"EX")=0),0))))</f>
      </c>
      <c r="H15218">
        <f>IF(DATOS!$G15218&lt;&gt;"EX",0,--(COUNTIFS(nNIA,DATOS!$A15218,nCURSO,DATOS!$D15218,nESPEC,DATOS!$E15218,nASIG,DATOS!$I15218,nEVAL,"OR")=0))</f>
      </c>
      <c r="I15218">
        <f>IF(DATOS!$I15218="","",IFERROR(VLOOKUP(DATOS!$I15218,CONFIG_ASIGNATURAS!$B$2:$J$91,9,FALSE()),""))</f>
      </c>
    </row>
    <row r="15219">
      <c r="F15219">
        <f>IF(DATOS!$A15219="","",DATOS!$A15219&amp;"|"&amp;DATOS!$D15219&amp;"|"&amp;DATOS!$E15219&amp;"|"&amp;DATOS!$I15219)</f>
      </c>
      <c r="G15219">
        <f>IF(DATOS!$A15219="",0,IF(CONFIG_METADATA!$B$4&lt;&gt;"OR+EX",--(DATOS!$G15219=CONFIG_METADATA!$B$4),IF(DATOS!$G15219="EX",1,IF(DATOS!$G15219="OR",--(COUNTIFS(nNIA,DATOS!$A15219,nCURSO,DATOS!$D15219,nESPEC,DATOS!$E15219,nASIG,DATOS!$I15219,nEVAL,"EX")=0),0))))</f>
      </c>
      <c r="H15219">
        <f>IF(DATOS!$G15219&lt;&gt;"EX",0,--(COUNTIFS(nNIA,DATOS!$A15219,nCURSO,DATOS!$D15219,nESPEC,DATOS!$E15219,nASIG,DATOS!$I15219,nEVAL,"OR")=0))</f>
      </c>
      <c r="I15219">
        <f>IF(DATOS!$I15219="","",IFERROR(VLOOKUP(DATOS!$I15219,CONFIG_ASIGNATURAS!$B$2:$J$91,9,FALSE()),""))</f>
      </c>
    </row>
    <row r="15220">
      <c r="F15220">
        <f>IF(DATOS!$A15220="","",DATOS!$A15220&amp;"|"&amp;DATOS!$D15220&amp;"|"&amp;DATOS!$E15220&amp;"|"&amp;DATOS!$I15220)</f>
      </c>
      <c r="G15220">
        <f>IF(DATOS!$A15220="",0,IF(CONFIG_METADATA!$B$4&lt;&gt;"OR+EX",--(DATOS!$G15220=CONFIG_METADATA!$B$4),IF(DATOS!$G15220="EX",1,IF(DATOS!$G15220="OR",--(COUNTIFS(nNIA,DATOS!$A15220,nCURSO,DATOS!$D15220,nESPEC,DATOS!$E15220,nASIG,DATOS!$I15220,nEVAL,"EX")=0),0))))</f>
      </c>
      <c r="H15220">
        <f>IF(DATOS!$G15220&lt;&gt;"EX",0,--(COUNTIFS(nNIA,DATOS!$A15220,nCURSO,DATOS!$D15220,nESPEC,DATOS!$E15220,nASIG,DATOS!$I15220,nEVAL,"OR")=0))</f>
      </c>
      <c r="I15220">
        <f>IF(DATOS!$I15220="","",IFERROR(VLOOKUP(DATOS!$I15220,CONFIG_ASIGNATURAS!$B$2:$J$91,9,FALSE()),""))</f>
      </c>
    </row>
    <row r="15221">
      <c r="F15221">
        <f>IF(DATOS!$A15221="","",DATOS!$A15221&amp;"|"&amp;DATOS!$D15221&amp;"|"&amp;DATOS!$E15221&amp;"|"&amp;DATOS!$I15221)</f>
      </c>
      <c r="G15221">
        <f>IF(DATOS!$A15221="",0,IF(CONFIG_METADATA!$B$4&lt;&gt;"OR+EX",--(DATOS!$G15221=CONFIG_METADATA!$B$4),IF(DATOS!$G15221="EX",1,IF(DATOS!$G15221="OR",--(COUNTIFS(nNIA,DATOS!$A15221,nCURSO,DATOS!$D15221,nESPEC,DATOS!$E15221,nASIG,DATOS!$I15221,nEVAL,"EX")=0),0))))</f>
      </c>
      <c r="H15221">
        <f>IF(DATOS!$G15221&lt;&gt;"EX",0,--(COUNTIFS(nNIA,DATOS!$A15221,nCURSO,DATOS!$D15221,nESPEC,DATOS!$E15221,nASIG,DATOS!$I15221,nEVAL,"OR")=0))</f>
      </c>
      <c r="I15221">
        <f>IF(DATOS!$I15221="","",IFERROR(VLOOKUP(DATOS!$I15221,CONFIG_ASIGNATURAS!$B$2:$J$91,9,FALSE()),""))</f>
      </c>
    </row>
    <row r="15222">
      <c r="F15222">
        <f>IF(DATOS!$A15222="","",DATOS!$A15222&amp;"|"&amp;DATOS!$D15222&amp;"|"&amp;DATOS!$E15222&amp;"|"&amp;DATOS!$I15222)</f>
      </c>
      <c r="G15222">
        <f>IF(DATOS!$A15222="",0,IF(CONFIG_METADATA!$B$4&lt;&gt;"OR+EX",--(DATOS!$G15222=CONFIG_METADATA!$B$4),IF(DATOS!$G15222="EX",1,IF(DATOS!$G15222="OR",--(COUNTIFS(nNIA,DATOS!$A15222,nCURSO,DATOS!$D15222,nESPEC,DATOS!$E15222,nASIG,DATOS!$I15222,nEVAL,"EX")=0),0))))</f>
      </c>
      <c r="H15222">
        <f>IF(DATOS!$G15222&lt;&gt;"EX",0,--(COUNTIFS(nNIA,DATOS!$A15222,nCURSO,DATOS!$D15222,nESPEC,DATOS!$E15222,nASIG,DATOS!$I15222,nEVAL,"OR")=0))</f>
      </c>
      <c r="I15222">
        <f>IF(DATOS!$I15222="","",IFERROR(VLOOKUP(DATOS!$I15222,CONFIG_ASIGNATURAS!$B$2:$J$91,9,FALSE()),""))</f>
      </c>
    </row>
    <row r="15223">
      <c r="F15223">
        <f>IF(DATOS!$A15223="","",DATOS!$A15223&amp;"|"&amp;DATOS!$D15223&amp;"|"&amp;DATOS!$E15223&amp;"|"&amp;DATOS!$I15223)</f>
      </c>
      <c r="G15223">
        <f>IF(DATOS!$A15223="",0,IF(CONFIG_METADATA!$B$4&lt;&gt;"OR+EX",--(DATOS!$G15223=CONFIG_METADATA!$B$4),IF(DATOS!$G15223="EX",1,IF(DATOS!$G15223="OR",--(COUNTIFS(nNIA,DATOS!$A15223,nCURSO,DATOS!$D15223,nESPEC,DATOS!$E15223,nASIG,DATOS!$I15223,nEVAL,"EX")=0),0))))</f>
      </c>
      <c r="H15223">
        <f>IF(DATOS!$G15223&lt;&gt;"EX",0,--(COUNTIFS(nNIA,DATOS!$A15223,nCURSO,DATOS!$D15223,nESPEC,DATOS!$E15223,nASIG,DATOS!$I15223,nEVAL,"OR")=0))</f>
      </c>
      <c r="I15223">
        <f>IF(DATOS!$I15223="","",IFERROR(VLOOKUP(DATOS!$I15223,CONFIG_ASIGNATURAS!$B$2:$J$91,9,FALSE()),""))</f>
      </c>
    </row>
    <row r="15224">
      <c r="F15224">
        <f>IF(DATOS!$A15224="","",DATOS!$A15224&amp;"|"&amp;DATOS!$D15224&amp;"|"&amp;DATOS!$E15224&amp;"|"&amp;DATOS!$I15224)</f>
      </c>
      <c r="G15224">
        <f>IF(DATOS!$A15224="",0,IF(CONFIG_METADATA!$B$4&lt;&gt;"OR+EX",--(DATOS!$G15224=CONFIG_METADATA!$B$4),IF(DATOS!$G15224="EX",1,IF(DATOS!$G15224="OR",--(COUNTIFS(nNIA,DATOS!$A15224,nCURSO,DATOS!$D15224,nESPEC,DATOS!$E15224,nASIG,DATOS!$I15224,nEVAL,"EX")=0),0))))</f>
      </c>
      <c r="H15224">
        <f>IF(DATOS!$G15224&lt;&gt;"EX",0,--(COUNTIFS(nNIA,DATOS!$A15224,nCURSO,DATOS!$D15224,nESPEC,DATOS!$E15224,nASIG,DATOS!$I15224,nEVAL,"OR")=0))</f>
      </c>
      <c r="I15224">
        <f>IF(DATOS!$I15224="","",IFERROR(VLOOKUP(DATOS!$I15224,CONFIG_ASIGNATURAS!$B$2:$J$91,9,FALSE()),""))</f>
      </c>
    </row>
    <row r="15225">
      <c r="F15225">
        <f>IF(DATOS!$A15225="","",DATOS!$A15225&amp;"|"&amp;DATOS!$D15225&amp;"|"&amp;DATOS!$E15225&amp;"|"&amp;DATOS!$I15225)</f>
      </c>
      <c r="G15225">
        <f>IF(DATOS!$A15225="",0,IF(CONFIG_METADATA!$B$4&lt;&gt;"OR+EX",--(DATOS!$G15225=CONFIG_METADATA!$B$4),IF(DATOS!$G15225="EX",1,IF(DATOS!$G15225="OR",--(COUNTIFS(nNIA,DATOS!$A15225,nCURSO,DATOS!$D15225,nESPEC,DATOS!$E15225,nASIG,DATOS!$I15225,nEVAL,"EX")=0),0))))</f>
      </c>
      <c r="H15225">
        <f>IF(DATOS!$G15225&lt;&gt;"EX",0,--(COUNTIFS(nNIA,DATOS!$A15225,nCURSO,DATOS!$D15225,nESPEC,DATOS!$E15225,nASIG,DATOS!$I15225,nEVAL,"OR")=0))</f>
      </c>
      <c r="I15225">
        <f>IF(DATOS!$I15225="","",IFERROR(VLOOKUP(DATOS!$I15225,CONFIG_ASIGNATURAS!$B$2:$J$91,9,FALSE()),""))</f>
      </c>
    </row>
    <row r="15226">
      <c r="F15226">
        <f>IF(DATOS!$A15226="","",DATOS!$A15226&amp;"|"&amp;DATOS!$D15226&amp;"|"&amp;DATOS!$E15226&amp;"|"&amp;DATOS!$I15226)</f>
      </c>
      <c r="G15226">
        <f>IF(DATOS!$A15226="",0,IF(CONFIG_METADATA!$B$4&lt;&gt;"OR+EX",--(DATOS!$G15226=CONFIG_METADATA!$B$4),IF(DATOS!$G15226="EX",1,IF(DATOS!$G15226="OR",--(COUNTIFS(nNIA,DATOS!$A15226,nCURSO,DATOS!$D15226,nESPEC,DATOS!$E15226,nASIG,DATOS!$I15226,nEVAL,"EX")=0),0))))</f>
      </c>
      <c r="H15226">
        <f>IF(DATOS!$G15226&lt;&gt;"EX",0,--(COUNTIFS(nNIA,DATOS!$A15226,nCURSO,DATOS!$D15226,nESPEC,DATOS!$E15226,nASIG,DATOS!$I15226,nEVAL,"OR")=0))</f>
      </c>
      <c r="I15226">
        <f>IF(DATOS!$I15226="","",IFERROR(VLOOKUP(DATOS!$I15226,CONFIG_ASIGNATURAS!$B$2:$J$91,9,FALSE()),""))</f>
      </c>
    </row>
    <row r="15227">
      <c r="F15227">
        <f>IF(DATOS!$A15227="","",DATOS!$A15227&amp;"|"&amp;DATOS!$D15227&amp;"|"&amp;DATOS!$E15227&amp;"|"&amp;DATOS!$I15227)</f>
      </c>
      <c r="G15227">
        <f>IF(DATOS!$A15227="",0,IF(CONFIG_METADATA!$B$4&lt;&gt;"OR+EX",--(DATOS!$G15227=CONFIG_METADATA!$B$4),IF(DATOS!$G15227="EX",1,IF(DATOS!$G15227="OR",--(COUNTIFS(nNIA,DATOS!$A15227,nCURSO,DATOS!$D15227,nESPEC,DATOS!$E15227,nASIG,DATOS!$I15227,nEVAL,"EX")=0),0))))</f>
      </c>
      <c r="H15227">
        <f>IF(DATOS!$G15227&lt;&gt;"EX",0,--(COUNTIFS(nNIA,DATOS!$A15227,nCURSO,DATOS!$D15227,nESPEC,DATOS!$E15227,nASIG,DATOS!$I15227,nEVAL,"OR")=0))</f>
      </c>
      <c r="I15227">
        <f>IF(DATOS!$I15227="","",IFERROR(VLOOKUP(DATOS!$I15227,CONFIG_ASIGNATURAS!$B$2:$J$91,9,FALSE()),""))</f>
      </c>
    </row>
    <row r="15228">
      <c r="F15228">
        <f>IF(DATOS!$A15228="","",DATOS!$A15228&amp;"|"&amp;DATOS!$D15228&amp;"|"&amp;DATOS!$E15228&amp;"|"&amp;DATOS!$I15228)</f>
      </c>
      <c r="G15228">
        <f>IF(DATOS!$A15228="",0,IF(CONFIG_METADATA!$B$4&lt;&gt;"OR+EX",--(DATOS!$G15228=CONFIG_METADATA!$B$4),IF(DATOS!$G15228="EX",1,IF(DATOS!$G15228="OR",--(COUNTIFS(nNIA,DATOS!$A15228,nCURSO,DATOS!$D15228,nESPEC,DATOS!$E15228,nASIG,DATOS!$I15228,nEVAL,"EX")=0),0))))</f>
      </c>
      <c r="H15228">
        <f>IF(DATOS!$G15228&lt;&gt;"EX",0,--(COUNTIFS(nNIA,DATOS!$A15228,nCURSO,DATOS!$D15228,nESPEC,DATOS!$E15228,nASIG,DATOS!$I15228,nEVAL,"OR")=0))</f>
      </c>
      <c r="I15228">
        <f>IF(DATOS!$I15228="","",IFERROR(VLOOKUP(DATOS!$I15228,CONFIG_ASIGNATURAS!$B$2:$J$91,9,FALSE()),""))</f>
      </c>
    </row>
    <row r="15229">
      <c r="F15229">
        <f>IF(DATOS!$A15229="","",DATOS!$A15229&amp;"|"&amp;DATOS!$D15229&amp;"|"&amp;DATOS!$E15229&amp;"|"&amp;DATOS!$I15229)</f>
      </c>
      <c r="G15229">
        <f>IF(DATOS!$A15229="",0,IF(CONFIG_METADATA!$B$4&lt;&gt;"OR+EX",--(DATOS!$G15229=CONFIG_METADATA!$B$4),IF(DATOS!$G15229="EX",1,IF(DATOS!$G15229="OR",--(COUNTIFS(nNIA,DATOS!$A15229,nCURSO,DATOS!$D15229,nESPEC,DATOS!$E15229,nASIG,DATOS!$I15229,nEVAL,"EX")=0),0))))</f>
      </c>
      <c r="H15229">
        <f>IF(DATOS!$G15229&lt;&gt;"EX",0,--(COUNTIFS(nNIA,DATOS!$A15229,nCURSO,DATOS!$D15229,nESPEC,DATOS!$E15229,nASIG,DATOS!$I15229,nEVAL,"OR")=0))</f>
      </c>
      <c r="I15229">
        <f>IF(DATOS!$I15229="","",IFERROR(VLOOKUP(DATOS!$I15229,CONFIG_ASIGNATURAS!$B$2:$J$91,9,FALSE()),""))</f>
      </c>
    </row>
    <row r="15230">
      <c r="F15230">
        <f>IF(DATOS!$A15230="","",DATOS!$A15230&amp;"|"&amp;DATOS!$D15230&amp;"|"&amp;DATOS!$E15230&amp;"|"&amp;DATOS!$I15230)</f>
      </c>
      <c r="G15230">
        <f>IF(DATOS!$A15230="",0,IF(CONFIG_METADATA!$B$4&lt;&gt;"OR+EX",--(DATOS!$G15230=CONFIG_METADATA!$B$4),IF(DATOS!$G15230="EX",1,IF(DATOS!$G15230="OR",--(COUNTIFS(nNIA,DATOS!$A15230,nCURSO,DATOS!$D15230,nESPEC,DATOS!$E15230,nASIG,DATOS!$I15230,nEVAL,"EX")=0),0))))</f>
      </c>
      <c r="H15230">
        <f>IF(DATOS!$G15230&lt;&gt;"EX",0,--(COUNTIFS(nNIA,DATOS!$A15230,nCURSO,DATOS!$D15230,nESPEC,DATOS!$E15230,nASIG,DATOS!$I15230,nEVAL,"OR")=0))</f>
      </c>
      <c r="I15230">
        <f>IF(DATOS!$I15230="","",IFERROR(VLOOKUP(DATOS!$I15230,CONFIG_ASIGNATURAS!$B$2:$J$91,9,FALSE()),""))</f>
      </c>
    </row>
    <row r="15231">
      <c r="F15231">
        <f>IF(DATOS!$A15231="","",DATOS!$A15231&amp;"|"&amp;DATOS!$D15231&amp;"|"&amp;DATOS!$E15231&amp;"|"&amp;DATOS!$I15231)</f>
      </c>
      <c r="G15231">
        <f>IF(DATOS!$A15231="",0,IF(CONFIG_METADATA!$B$4&lt;&gt;"OR+EX",--(DATOS!$G15231=CONFIG_METADATA!$B$4),IF(DATOS!$G15231="EX",1,IF(DATOS!$G15231="OR",--(COUNTIFS(nNIA,DATOS!$A15231,nCURSO,DATOS!$D15231,nESPEC,DATOS!$E15231,nASIG,DATOS!$I15231,nEVAL,"EX")=0),0))))</f>
      </c>
      <c r="H15231">
        <f>IF(DATOS!$G15231&lt;&gt;"EX",0,--(COUNTIFS(nNIA,DATOS!$A15231,nCURSO,DATOS!$D15231,nESPEC,DATOS!$E15231,nASIG,DATOS!$I15231,nEVAL,"OR")=0))</f>
      </c>
      <c r="I15231">
        <f>IF(DATOS!$I15231="","",IFERROR(VLOOKUP(DATOS!$I15231,CONFIG_ASIGNATURAS!$B$2:$J$91,9,FALSE()),""))</f>
      </c>
    </row>
    <row r="15232">
      <c r="F15232">
        <f>IF(DATOS!$A15232="","",DATOS!$A15232&amp;"|"&amp;DATOS!$D15232&amp;"|"&amp;DATOS!$E15232&amp;"|"&amp;DATOS!$I15232)</f>
      </c>
      <c r="G15232">
        <f>IF(DATOS!$A15232="",0,IF(CONFIG_METADATA!$B$4&lt;&gt;"OR+EX",--(DATOS!$G15232=CONFIG_METADATA!$B$4),IF(DATOS!$G15232="EX",1,IF(DATOS!$G15232="OR",--(COUNTIFS(nNIA,DATOS!$A15232,nCURSO,DATOS!$D15232,nESPEC,DATOS!$E15232,nASIG,DATOS!$I15232,nEVAL,"EX")=0),0))))</f>
      </c>
      <c r="H15232">
        <f>IF(DATOS!$G15232&lt;&gt;"EX",0,--(COUNTIFS(nNIA,DATOS!$A15232,nCURSO,DATOS!$D15232,nESPEC,DATOS!$E15232,nASIG,DATOS!$I15232,nEVAL,"OR")=0))</f>
      </c>
      <c r="I15232">
        <f>IF(DATOS!$I15232="","",IFERROR(VLOOKUP(DATOS!$I15232,CONFIG_ASIGNATURAS!$B$2:$J$91,9,FALSE()),""))</f>
      </c>
    </row>
    <row r="15233">
      <c r="F15233">
        <f>IF(DATOS!$A15233="","",DATOS!$A15233&amp;"|"&amp;DATOS!$D15233&amp;"|"&amp;DATOS!$E15233&amp;"|"&amp;DATOS!$I15233)</f>
      </c>
      <c r="G15233">
        <f>IF(DATOS!$A15233="",0,IF(CONFIG_METADATA!$B$4&lt;&gt;"OR+EX",--(DATOS!$G15233=CONFIG_METADATA!$B$4),IF(DATOS!$G15233="EX",1,IF(DATOS!$G15233="OR",--(COUNTIFS(nNIA,DATOS!$A15233,nCURSO,DATOS!$D15233,nESPEC,DATOS!$E15233,nASIG,DATOS!$I15233,nEVAL,"EX")=0),0))))</f>
      </c>
      <c r="H15233">
        <f>IF(DATOS!$G15233&lt;&gt;"EX",0,--(COUNTIFS(nNIA,DATOS!$A15233,nCURSO,DATOS!$D15233,nESPEC,DATOS!$E15233,nASIG,DATOS!$I15233,nEVAL,"OR")=0))</f>
      </c>
      <c r="I15233">
        <f>IF(DATOS!$I15233="","",IFERROR(VLOOKUP(DATOS!$I15233,CONFIG_ASIGNATURAS!$B$2:$J$91,9,FALSE()),""))</f>
      </c>
    </row>
    <row r="15234">
      <c r="F15234">
        <f>IF(DATOS!$A15234="","",DATOS!$A15234&amp;"|"&amp;DATOS!$D15234&amp;"|"&amp;DATOS!$E15234&amp;"|"&amp;DATOS!$I15234)</f>
      </c>
      <c r="G15234">
        <f>IF(DATOS!$A15234="",0,IF(CONFIG_METADATA!$B$4&lt;&gt;"OR+EX",--(DATOS!$G15234=CONFIG_METADATA!$B$4),IF(DATOS!$G15234="EX",1,IF(DATOS!$G15234="OR",--(COUNTIFS(nNIA,DATOS!$A15234,nCURSO,DATOS!$D15234,nESPEC,DATOS!$E15234,nASIG,DATOS!$I15234,nEVAL,"EX")=0),0))))</f>
      </c>
      <c r="H15234">
        <f>IF(DATOS!$G15234&lt;&gt;"EX",0,--(COUNTIFS(nNIA,DATOS!$A15234,nCURSO,DATOS!$D15234,nESPEC,DATOS!$E15234,nASIG,DATOS!$I15234,nEVAL,"OR")=0))</f>
      </c>
      <c r="I15234">
        <f>IF(DATOS!$I15234="","",IFERROR(VLOOKUP(DATOS!$I15234,CONFIG_ASIGNATURAS!$B$2:$J$91,9,FALSE()),""))</f>
      </c>
    </row>
    <row r="15235">
      <c r="F15235">
        <f>IF(DATOS!$A15235="","",DATOS!$A15235&amp;"|"&amp;DATOS!$D15235&amp;"|"&amp;DATOS!$E15235&amp;"|"&amp;DATOS!$I15235)</f>
      </c>
      <c r="G15235">
        <f>IF(DATOS!$A15235="",0,IF(CONFIG_METADATA!$B$4&lt;&gt;"OR+EX",--(DATOS!$G15235=CONFIG_METADATA!$B$4),IF(DATOS!$G15235="EX",1,IF(DATOS!$G15235="OR",--(COUNTIFS(nNIA,DATOS!$A15235,nCURSO,DATOS!$D15235,nESPEC,DATOS!$E15235,nASIG,DATOS!$I15235,nEVAL,"EX")=0),0))))</f>
      </c>
      <c r="H15235">
        <f>IF(DATOS!$G15235&lt;&gt;"EX",0,--(COUNTIFS(nNIA,DATOS!$A15235,nCURSO,DATOS!$D15235,nESPEC,DATOS!$E15235,nASIG,DATOS!$I15235,nEVAL,"OR")=0))</f>
      </c>
      <c r="I15235">
        <f>IF(DATOS!$I15235="","",IFERROR(VLOOKUP(DATOS!$I15235,CONFIG_ASIGNATURAS!$B$2:$J$91,9,FALSE()),""))</f>
      </c>
    </row>
    <row r="15236">
      <c r="F15236">
        <f>IF(DATOS!$A15236="","",DATOS!$A15236&amp;"|"&amp;DATOS!$D15236&amp;"|"&amp;DATOS!$E15236&amp;"|"&amp;DATOS!$I15236)</f>
      </c>
      <c r="G15236">
        <f>IF(DATOS!$A15236="",0,IF(CONFIG_METADATA!$B$4&lt;&gt;"OR+EX",--(DATOS!$G15236=CONFIG_METADATA!$B$4),IF(DATOS!$G15236="EX",1,IF(DATOS!$G15236="OR",--(COUNTIFS(nNIA,DATOS!$A15236,nCURSO,DATOS!$D15236,nESPEC,DATOS!$E15236,nASIG,DATOS!$I15236,nEVAL,"EX")=0),0))))</f>
      </c>
      <c r="H15236">
        <f>IF(DATOS!$G15236&lt;&gt;"EX",0,--(COUNTIFS(nNIA,DATOS!$A15236,nCURSO,DATOS!$D15236,nESPEC,DATOS!$E15236,nASIG,DATOS!$I15236,nEVAL,"OR")=0))</f>
      </c>
      <c r="I15236">
        <f>IF(DATOS!$I15236="","",IFERROR(VLOOKUP(DATOS!$I15236,CONFIG_ASIGNATURAS!$B$2:$J$91,9,FALSE()),""))</f>
      </c>
    </row>
    <row r="15237">
      <c r="F15237">
        <f>IF(DATOS!$A15237="","",DATOS!$A15237&amp;"|"&amp;DATOS!$D15237&amp;"|"&amp;DATOS!$E15237&amp;"|"&amp;DATOS!$I15237)</f>
      </c>
      <c r="G15237">
        <f>IF(DATOS!$A15237="",0,IF(CONFIG_METADATA!$B$4&lt;&gt;"OR+EX",--(DATOS!$G15237=CONFIG_METADATA!$B$4),IF(DATOS!$G15237="EX",1,IF(DATOS!$G15237="OR",--(COUNTIFS(nNIA,DATOS!$A15237,nCURSO,DATOS!$D15237,nESPEC,DATOS!$E15237,nASIG,DATOS!$I15237,nEVAL,"EX")=0),0))))</f>
      </c>
      <c r="H15237">
        <f>IF(DATOS!$G15237&lt;&gt;"EX",0,--(COUNTIFS(nNIA,DATOS!$A15237,nCURSO,DATOS!$D15237,nESPEC,DATOS!$E15237,nASIG,DATOS!$I15237,nEVAL,"OR")=0))</f>
      </c>
      <c r="I15237">
        <f>IF(DATOS!$I15237="","",IFERROR(VLOOKUP(DATOS!$I15237,CONFIG_ASIGNATURAS!$B$2:$J$91,9,FALSE()),""))</f>
      </c>
    </row>
    <row r="15238">
      <c r="F15238">
        <f>IF(DATOS!$A15238="","",DATOS!$A15238&amp;"|"&amp;DATOS!$D15238&amp;"|"&amp;DATOS!$E15238&amp;"|"&amp;DATOS!$I15238)</f>
      </c>
      <c r="G15238">
        <f>IF(DATOS!$A15238="",0,IF(CONFIG_METADATA!$B$4&lt;&gt;"OR+EX",--(DATOS!$G15238=CONFIG_METADATA!$B$4),IF(DATOS!$G15238="EX",1,IF(DATOS!$G15238="OR",--(COUNTIFS(nNIA,DATOS!$A15238,nCURSO,DATOS!$D15238,nESPEC,DATOS!$E15238,nASIG,DATOS!$I15238,nEVAL,"EX")=0),0))))</f>
      </c>
      <c r="H15238">
        <f>IF(DATOS!$G15238&lt;&gt;"EX",0,--(COUNTIFS(nNIA,DATOS!$A15238,nCURSO,DATOS!$D15238,nESPEC,DATOS!$E15238,nASIG,DATOS!$I15238,nEVAL,"OR")=0))</f>
      </c>
      <c r="I15238">
        <f>IF(DATOS!$I15238="","",IFERROR(VLOOKUP(DATOS!$I15238,CONFIG_ASIGNATURAS!$B$2:$J$91,9,FALSE()),""))</f>
      </c>
    </row>
    <row r="15239">
      <c r="F15239">
        <f>IF(DATOS!$A15239="","",DATOS!$A15239&amp;"|"&amp;DATOS!$D15239&amp;"|"&amp;DATOS!$E15239&amp;"|"&amp;DATOS!$I15239)</f>
      </c>
      <c r="G15239">
        <f>IF(DATOS!$A15239="",0,IF(CONFIG_METADATA!$B$4&lt;&gt;"OR+EX",--(DATOS!$G15239=CONFIG_METADATA!$B$4),IF(DATOS!$G15239="EX",1,IF(DATOS!$G15239="OR",--(COUNTIFS(nNIA,DATOS!$A15239,nCURSO,DATOS!$D15239,nESPEC,DATOS!$E15239,nASIG,DATOS!$I15239,nEVAL,"EX")=0),0))))</f>
      </c>
      <c r="H15239">
        <f>IF(DATOS!$G15239&lt;&gt;"EX",0,--(COUNTIFS(nNIA,DATOS!$A15239,nCURSO,DATOS!$D15239,nESPEC,DATOS!$E15239,nASIG,DATOS!$I15239,nEVAL,"OR")=0))</f>
      </c>
      <c r="I15239">
        <f>IF(DATOS!$I15239="","",IFERROR(VLOOKUP(DATOS!$I15239,CONFIG_ASIGNATURAS!$B$2:$J$91,9,FALSE()),""))</f>
      </c>
    </row>
    <row r="15240">
      <c r="F15240">
        <f>IF(DATOS!$A15240="","",DATOS!$A15240&amp;"|"&amp;DATOS!$D15240&amp;"|"&amp;DATOS!$E15240&amp;"|"&amp;DATOS!$I15240)</f>
      </c>
      <c r="G15240">
        <f>IF(DATOS!$A15240="",0,IF(CONFIG_METADATA!$B$4&lt;&gt;"OR+EX",--(DATOS!$G15240=CONFIG_METADATA!$B$4),IF(DATOS!$G15240="EX",1,IF(DATOS!$G15240="OR",--(COUNTIFS(nNIA,DATOS!$A15240,nCURSO,DATOS!$D15240,nESPEC,DATOS!$E15240,nASIG,DATOS!$I15240,nEVAL,"EX")=0),0))))</f>
      </c>
      <c r="H15240">
        <f>IF(DATOS!$G15240&lt;&gt;"EX",0,--(COUNTIFS(nNIA,DATOS!$A15240,nCURSO,DATOS!$D15240,nESPEC,DATOS!$E15240,nASIG,DATOS!$I15240,nEVAL,"OR")=0))</f>
      </c>
      <c r="I15240">
        <f>IF(DATOS!$I15240="","",IFERROR(VLOOKUP(DATOS!$I15240,CONFIG_ASIGNATURAS!$B$2:$J$91,9,FALSE()),""))</f>
      </c>
    </row>
    <row r="15241">
      <c r="F15241">
        <f>IF(DATOS!$A15241="","",DATOS!$A15241&amp;"|"&amp;DATOS!$D15241&amp;"|"&amp;DATOS!$E15241&amp;"|"&amp;DATOS!$I15241)</f>
      </c>
      <c r="G15241">
        <f>IF(DATOS!$A15241="",0,IF(CONFIG_METADATA!$B$4&lt;&gt;"OR+EX",--(DATOS!$G15241=CONFIG_METADATA!$B$4),IF(DATOS!$G15241="EX",1,IF(DATOS!$G15241="OR",--(COUNTIFS(nNIA,DATOS!$A15241,nCURSO,DATOS!$D15241,nESPEC,DATOS!$E15241,nASIG,DATOS!$I15241,nEVAL,"EX")=0),0))))</f>
      </c>
      <c r="H15241">
        <f>IF(DATOS!$G15241&lt;&gt;"EX",0,--(COUNTIFS(nNIA,DATOS!$A15241,nCURSO,DATOS!$D15241,nESPEC,DATOS!$E15241,nASIG,DATOS!$I15241,nEVAL,"OR")=0))</f>
      </c>
      <c r="I15241">
        <f>IF(DATOS!$I15241="","",IFERROR(VLOOKUP(DATOS!$I15241,CONFIG_ASIGNATURAS!$B$2:$J$91,9,FALSE()),""))</f>
      </c>
    </row>
    <row r="15242">
      <c r="F15242">
        <f>IF(DATOS!$A15242="","",DATOS!$A15242&amp;"|"&amp;DATOS!$D15242&amp;"|"&amp;DATOS!$E15242&amp;"|"&amp;DATOS!$I15242)</f>
      </c>
      <c r="G15242">
        <f>IF(DATOS!$A15242="",0,IF(CONFIG_METADATA!$B$4&lt;&gt;"OR+EX",--(DATOS!$G15242=CONFIG_METADATA!$B$4),IF(DATOS!$G15242="EX",1,IF(DATOS!$G15242="OR",--(COUNTIFS(nNIA,DATOS!$A15242,nCURSO,DATOS!$D15242,nESPEC,DATOS!$E15242,nASIG,DATOS!$I15242,nEVAL,"EX")=0),0))))</f>
      </c>
      <c r="H15242">
        <f>IF(DATOS!$G15242&lt;&gt;"EX",0,--(COUNTIFS(nNIA,DATOS!$A15242,nCURSO,DATOS!$D15242,nESPEC,DATOS!$E15242,nASIG,DATOS!$I15242,nEVAL,"OR")=0))</f>
      </c>
      <c r="I15242">
        <f>IF(DATOS!$I15242="","",IFERROR(VLOOKUP(DATOS!$I15242,CONFIG_ASIGNATURAS!$B$2:$J$91,9,FALSE()),""))</f>
      </c>
    </row>
    <row r="15243">
      <c r="F15243">
        <f>IF(DATOS!$A15243="","",DATOS!$A15243&amp;"|"&amp;DATOS!$D15243&amp;"|"&amp;DATOS!$E15243&amp;"|"&amp;DATOS!$I15243)</f>
      </c>
      <c r="G15243">
        <f>IF(DATOS!$A15243="",0,IF(CONFIG_METADATA!$B$4&lt;&gt;"OR+EX",--(DATOS!$G15243=CONFIG_METADATA!$B$4),IF(DATOS!$G15243="EX",1,IF(DATOS!$G15243="OR",--(COUNTIFS(nNIA,DATOS!$A15243,nCURSO,DATOS!$D15243,nESPEC,DATOS!$E15243,nASIG,DATOS!$I15243,nEVAL,"EX")=0),0))))</f>
      </c>
      <c r="H15243">
        <f>IF(DATOS!$G15243&lt;&gt;"EX",0,--(COUNTIFS(nNIA,DATOS!$A15243,nCURSO,DATOS!$D15243,nESPEC,DATOS!$E15243,nASIG,DATOS!$I15243,nEVAL,"OR")=0))</f>
      </c>
      <c r="I15243">
        <f>IF(DATOS!$I15243="","",IFERROR(VLOOKUP(DATOS!$I15243,CONFIG_ASIGNATURAS!$B$2:$J$91,9,FALSE()),""))</f>
      </c>
    </row>
    <row r="15244">
      <c r="F15244">
        <f>IF(DATOS!$A15244="","",DATOS!$A15244&amp;"|"&amp;DATOS!$D15244&amp;"|"&amp;DATOS!$E15244&amp;"|"&amp;DATOS!$I15244)</f>
      </c>
      <c r="G15244">
        <f>IF(DATOS!$A15244="",0,IF(CONFIG_METADATA!$B$4&lt;&gt;"OR+EX",--(DATOS!$G15244=CONFIG_METADATA!$B$4),IF(DATOS!$G15244="EX",1,IF(DATOS!$G15244="OR",--(COUNTIFS(nNIA,DATOS!$A15244,nCURSO,DATOS!$D15244,nESPEC,DATOS!$E15244,nASIG,DATOS!$I15244,nEVAL,"EX")=0),0))))</f>
      </c>
      <c r="H15244">
        <f>IF(DATOS!$G15244&lt;&gt;"EX",0,--(COUNTIFS(nNIA,DATOS!$A15244,nCURSO,DATOS!$D15244,nESPEC,DATOS!$E15244,nASIG,DATOS!$I15244,nEVAL,"OR")=0))</f>
      </c>
      <c r="I15244">
        <f>IF(DATOS!$I15244="","",IFERROR(VLOOKUP(DATOS!$I15244,CONFIG_ASIGNATURAS!$B$2:$J$91,9,FALSE()),""))</f>
      </c>
    </row>
    <row r="15245">
      <c r="F15245">
        <f>IF(DATOS!$A15245="","",DATOS!$A15245&amp;"|"&amp;DATOS!$D15245&amp;"|"&amp;DATOS!$E15245&amp;"|"&amp;DATOS!$I15245)</f>
      </c>
      <c r="G15245">
        <f>IF(DATOS!$A15245="",0,IF(CONFIG_METADATA!$B$4&lt;&gt;"OR+EX",--(DATOS!$G15245=CONFIG_METADATA!$B$4),IF(DATOS!$G15245="EX",1,IF(DATOS!$G15245="OR",--(COUNTIFS(nNIA,DATOS!$A15245,nCURSO,DATOS!$D15245,nESPEC,DATOS!$E15245,nASIG,DATOS!$I15245,nEVAL,"EX")=0),0))))</f>
      </c>
      <c r="H15245">
        <f>IF(DATOS!$G15245&lt;&gt;"EX",0,--(COUNTIFS(nNIA,DATOS!$A15245,nCURSO,DATOS!$D15245,nESPEC,DATOS!$E15245,nASIG,DATOS!$I15245,nEVAL,"OR")=0))</f>
      </c>
      <c r="I15245">
        <f>IF(DATOS!$I15245="","",IFERROR(VLOOKUP(DATOS!$I15245,CONFIG_ASIGNATURAS!$B$2:$J$91,9,FALSE()),""))</f>
      </c>
    </row>
    <row r="15246">
      <c r="F15246">
        <f>IF(DATOS!$A15246="","",DATOS!$A15246&amp;"|"&amp;DATOS!$D15246&amp;"|"&amp;DATOS!$E15246&amp;"|"&amp;DATOS!$I15246)</f>
      </c>
      <c r="G15246">
        <f>IF(DATOS!$A15246="",0,IF(CONFIG_METADATA!$B$4&lt;&gt;"OR+EX",--(DATOS!$G15246=CONFIG_METADATA!$B$4),IF(DATOS!$G15246="EX",1,IF(DATOS!$G15246="OR",--(COUNTIFS(nNIA,DATOS!$A15246,nCURSO,DATOS!$D15246,nESPEC,DATOS!$E15246,nASIG,DATOS!$I15246,nEVAL,"EX")=0),0))))</f>
      </c>
      <c r="H15246">
        <f>IF(DATOS!$G15246&lt;&gt;"EX",0,--(COUNTIFS(nNIA,DATOS!$A15246,nCURSO,DATOS!$D15246,nESPEC,DATOS!$E15246,nASIG,DATOS!$I15246,nEVAL,"OR")=0))</f>
      </c>
      <c r="I15246">
        <f>IF(DATOS!$I15246="","",IFERROR(VLOOKUP(DATOS!$I15246,CONFIG_ASIGNATURAS!$B$2:$J$91,9,FALSE()),""))</f>
      </c>
    </row>
    <row r="15247">
      <c r="F15247">
        <f>IF(DATOS!$A15247="","",DATOS!$A15247&amp;"|"&amp;DATOS!$D15247&amp;"|"&amp;DATOS!$E15247&amp;"|"&amp;DATOS!$I15247)</f>
      </c>
      <c r="G15247">
        <f>IF(DATOS!$A15247="",0,IF(CONFIG_METADATA!$B$4&lt;&gt;"OR+EX",--(DATOS!$G15247=CONFIG_METADATA!$B$4),IF(DATOS!$G15247="EX",1,IF(DATOS!$G15247="OR",--(COUNTIFS(nNIA,DATOS!$A15247,nCURSO,DATOS!$D15247,nESPEC,DATOS!$E15247,nASIG,DATOS!$I15247,nEVAL,"EX")=0),0))))</f>
      </c>
      <c r="H15247">
        <f>IF(DATOS!$G15247&lt;&gt;"EX",0,--(COUNTIFS(nNIA,DATOS!$A15247,nCURSO,DATOS!$D15247,nESPEC,DATOS!$E15247,nASIG,DATOS!$I15247,nEVAL,"OR")=0))</f>
      </c>
      <c r="I15247">
        <f>IF(DATOS!$I15247="","",IFERROR(VLOOKUP(DATOS!$I15247,CONFIG_ASIGNATURAS!$B$2:$J$91,9,FALSE()),""))</f>
      </c>
    </row>
    <row r="15248">
      <c r="F15248">
        <f>IF(DATOS!$A15248="","",DATOS!$A15248&amp;"|"&amp;DATOS!$D15248&amp;"|"&amp;DATOS!$E15248&amp;"|"&amp;DATOS!$I15248)</f>
      </c>
      <c r="G15248">
        <f>IF(DATOS!$A15248="",0,IF(CONFIG_METADATA!$B$4&lt;&gt;"OR+EX",--(DATOS!$G15248=CONFIG_METADATA!$B$4),IF(DATOS!$G15248="EX",1,IF(DATOS!$G15248="OR",--(COUNTIFS(nNIA,DATOS!$A15248,nCURSO,DATOS!$D15248,nESPEC,DATOS!$E15248,nASIG,DATOS!$I15248,nEVAL,"EX")=0),0))))</f>
      </c>
      <c r="H15248">
        <f>IF(DATOS!$G15248&lt;&gt;"EX",0,--(COUNTIFS(nNIA,DATOS!$A15248,nCURSO,DATOS!$D15248,nESPEC,DATOS!$E15248,nASIG,DATOS!$I15248,nEVAL,"OR")=0))</f>
      </c>
      <c r="I15248">
        <f>IF(DATOS!$I15248="","",IFERROR(VLOOKUP(DATOS!$I15248,CONFIG_ASIGNATURAS!$B$2:$J$91,9,FALSE()),""))</f>
      </c>
    </row>
    <row r="15249">
      <c r="F15249">
        <f>IF(DATOS!$A15249="","",DATOS!$A15249&amp;"|"&amp;DATOS!$D15249&amp;"|"&amp;DATOS!$E15249&amp;"|"&amp;DATOS!$I15249)</f>
      </c>
      <c r="G15249">
        <f>IF(DATOS!$A15249="",0,IF(CONFIG_METADATA!$B$4&lt;&gt;"OR+EX",--(DATOS!$G15249=CONFIG_METADATA!$B$4),IF(DATOS!$G15249="EX",1,IF(DATOS!$G15249="OR",--(COUNTIFS(nNIA,DATOS!$A15249,nCURSO,DATOS!$D15249,nESPEC,DATOS!$E15249,nASIG,DATOS!$I15249,nEVAL,"EX")=0),0))))</f>
      </c>
      <c r="H15249">
        <f>IF(DATOS!$G15249&lt;&gt;"EX",0,--(COUNTIFS(nNIA,DATOS!$A15249,nCURSO,DATOS!$D15249,nESPEC,DATOS!$E15249,nASIG,DATOS!$I15249,nEVAL,"OR")=0))</f>
      </c>
      <c r="I15249">
        <f>IF(DATOS!$I15249="","",IFERROR(VLOOKUP(DATOS!$I15249,CONFIG_ASIGNATURAS!$B$2:$J$91,9,FALSE()),""))</f>
      </c>
    </row>
    <row r="15250">
      <c r="F15250">
        <f>IF(DATOS!$A15250="","",DATOS!$A15250&amp;"|"&amp;DATOS!$D15250&amp;"|"&amp;DATOS!$E15250&amp;"|"&amp;DATOS!$I15250)</f>
      </c>
      <c r="G15250">
        <f>IF(DATOS!$A15250="",0,IF(CONFIG_METADATA!$B$4&lt;&gt;"OR+EX",--(DATOS!$G15250=CONFIG_METADATA!$B$4),IF(DATOS!$G15250="EX",1,IF(DATOS!$G15250="OR",--(COUNTIFS(nNIA,DATOS!$A15250,nCURSO,DATOS!$D15250,nESPEC,DATOS!$E15250,nASIG,DATOS!$I15250,nEVAL,"EX")=0),0))))</f>
      </c>
      <c r="H15250">
        <f>IF(DATOS!$G15250&lt;&gt;"EX",0,--(COUNTIFS(nNIA,DATOS!$A15250,nCURSO,DATOS!$D15250,nESPEC,DATOS!$E15250,nASIG,DATOS!$I15250,nEVAL,"OR")=0))</f>
      </c>
      <c r="I15250">
        <f>IF(DATOS!$I15250="","",IFERROR(VLOOKUP(DATOS!$I15250,CONFIG_ASIGNATURAS!$B$2:$J$91,9,FALSE()),""))</f>
      </c>
    </row>
    <row r="15251">
      <c r="F15251">
        <f>IF(DATOS!$A15251="","",DATOS!$A15251&amp;"|"&amp;DATOS!$D15251&amp;"|"&amp;DATOS!$E15251&amp;"|"&amp;DATOS!$I15251)</f>
      </c>
      <c r="G15251">
        <f>IF(DATOS!$A15251="",0,IF(CONFIG_METADATA!$B$4&lt;&gt;"OR+EX",--(DATOS!$G15251=CONFIG_METADATA!$B$4),IF(DATOS!$G15251="EX",1,IF(DATOS!$G15251="OR",--(COUNTIFS(nNIA,DATOS!$A15251,nCURSO,DATOS!$D15251,nESPEC,DATOS!$E15251,nASIG,DATOS!$I15251,nEVAL,"EX")=0),0))))</f>
      </c>
      <c r="H15251">
        <f>IF(DATOS!$G15251&lt;&gt;"EX",0,--(COUNTIFS(nNIA,DATOS!$A15251,nCURSO,DATOS!$D15251,nESPEC,DATOS!$E15251,nASIG,DATOS!$I15251,nEVAL,"OR")=0))</f>
      </c>
      <c r="I15251">
        <f>IF(DATOS!$I15251="","",IFERROR(VLOOKUP(DATOS!$I15251,CONFIG_ASIGNATURAS!$B$2:$J$91,9,FALSE()),""))</f>
      </c>
    </row>
    <row r="15252">
      <c r="F15252">
        <f>IF(DATOS!$A15252="","",DATOS!$A15252&amp;"|"&amp;DATOS!$D15252&amp;"|"&amp;DATOS!$E15252&amp;"|"&amp;DATOS!$I15252)</f>
      </c>
      <c r="G15252">
        <f>IF(DATOS!$A15252="",0,IF(CONFIG_METADATA!$B$4&lt;&gt;"OR+EX",--(DATOS!$G15252=CONFIG_METADATA!$B$4),IF(DATOS!$G15252="EX",1,IF(DATOS!$G15252="OR",--(COUNTIFS(nNIA,DATOS!$A15252,nCURSO,DATOS!$D15252,nESPEC,DATOS!$E15252,nASIG,DATOS!$I15252,nEVAL,"EX")=0),0))))</f>
      </c>
      <c r="H15252">
        <f>IF(DATOS!$G15252&lt;&gt;"EX",0,--(COUNTIFS(nNIA,DATOS!$A15252,nCURSO,DATOS!$D15252,nESPEC,DATOS!$E15252,nASIG,DATOS!$I15252,nEVAL,"OR")=0))</f>
      </c>
      <c r="I15252">
        <f>IF(DATOS!$I15252="","",IFERROR(VLOOKUP(DATOS!$I15252,CONFIG_ASIGNATURAS!$B$2:$J$91,9,FALSE()),""))</f>
      </c>
    </row>
    <row r="15253">
      <c r="F15253">
        <f>IF(DATOS!$A15253="","",DATOS!$A15253&amp;"|"&amp;DATOS!$D15253&amp;"|"&amp;DATOS!$E15253&amp;"|"&amp;DATOS!$I15253)</f>
      </c>
      <c r="G15253">
        <f>IF(DATOS!$A15253="",0,IF(CONFIG_METADATA!$B$4&lt;&gt;"OR+EX",--(DATOS!$G15253=CONFIG_METADATA!$B$4),IF(DATOS!$G15253="EX",1,IF(DATOS!$G15253="OR",--(COUNTIFS(nNIA,DATOS!$A15253,nCURSO,DATOS!$D15253,nESPEC,DATOS!$E15253,nASIG,DATOS!$I15253,nEVAL,"EX")=0),0))))</f>
      </c>
      <c r="H15253">
        <f>IF(DATOS!$G15253&lt;&gt;"EX",0,--(COUNTIFS(nNIA,DATOS!$A15253,nCURSO,DATOS!$D15253,nESPEC,DATOS!$E15253,nASIG,DATOS!$I15253,nEVAL,"OR")=0))</f>
      </c>
      <c r="I15253">
        <f>IF(DATOS!$I15253="","",IFERROR(VLOOKUP(DATOS!$I15253,CONFIG_ASIGNATURAS!$B$2:$J$91,9,FALSE()),""))</f>
      </c>
    </row>
    <row r="15254">
      <c r="F15254">
        <f>IF(DATOS!$A15254="","",DATOS!$A15254&amp;"|"&amp;DATOS!$D15254&amp;"|"&amp;DATOS!$E15254&amp;"|"&amp;DATOS!$I15254)</f>
      </c>
      <c r="G15254">
        <f>IF(DATOS!$A15254="",0,IF(CONFIG_METADATA!$B$4&lt;&gt;"OR+EX",--(DATOS!$G15254=CONFIG_METADATA!$B$4),IF(DATOS!$G15254="EX",1,IF(DATOS!$G15254="OR",--(COUNTIFS(nNIA,DATOS!$A15254,nCURSO,DATOS!$D15254,nESPEC,DATOS!$E15254,nASIG,DATOS!$I15254,nEVAL,"EX")=0),0))))</f>
      </c>
      <c r="H15254">
        <f>IF(DATOS!$G15254&lt;&gt;"EX",0,--(COUNTIFS(nNIA,DATOS!$A15254,nCURSO,DATOS!$D15254,nESPEC,DATOS!$E15254,nASIG,DATOS!$I15254,nEVAL,"OR")=0))</f>
      </c>
      <c r="I15254">
        <f>IF(DATOS!$I15254="","",IFERROR(VLOOKUP(DATOS!$I15254,CONFIG_ASIGNATURAS!$B$2:$J$91,9,FALSE()),""))</f>
      </c>
    </row>
    <row r="15255">
      <c r="F15255">
        <f>IF(DATOS!$A15255="","",DATOS!$A15255&amp;"|"&amp;DATOS!$D15255&amp;"|"&amp;DATOS!$E15255&amp;"|"&amp;DATOS!$I15255)</f>
      </c>
      <c r="G15255">
        <f>IF(DATOS!$A15255="",0,IF(CONFIG_METADATA!$B$4&lt;&gt;"OR+EX",--(DATOS!$G15255=CONFIG_METADATA!$B$4),IF(DATOS!$G15255="EX",1,IF(DATOS!$G15255="OR",--(COUNTIFS(nNIA,DATOS!$A15255,nCURSO,DATOS!$D15255,nESPEC,DATOS!$E15255,nASIG,DATOS!$I15255,nEVAL,"EX")=0),0))))</f>
      </c>
      <c r="H15255">
        <f>IF(DATOS!$G15255&lt;&gt;"EX",0,--(COUNTIFS(nNIA,DATOS!$A15255,nCURSO,DATOS!$D15255,nESPEC,DATOS!$E15255,nASIG,DATOS!$I15255,nEVAL,"OR")=0))</f>
      </c>
      <c r="I15255">
        <f>IF(DATOS!$I15255="","",IFERROR(VLOOKUP(DATOS!$I15255,CONFIG_ASIGNATURAS!$B$2:$J$91,9,FALSE()),""))</f>
      </c>
    </row>
    <row r="15256">
      <c r="F15256">
        <f>IF(DATOS!$A15256="","",DATOS!$A15256&amp;"|"&amp;DATOS!$D15256&amp;"|"&amp;DATOS!$E15256&amp;"|"&amp;DATOS!$I15256)</f>
      </c>
      <c r="G15256">
        <f>IF(DATOS!$A15256="",0,IF(CONFIG_METADATA!$B$4&lt;&gt;"OR+EX",--(DATOS!$G15256=CONFIG_METADATA!$B$4),IF(DATOS!$G15256="EX",1,IF(DATOS!$G15256="OR",--(COUNTIFS(nNIA,DATOS!$A15256,nCURSO,DATOS!$D15256,nESPEC,DATOS!$E15256,nASIG,DATOS!$I15256,nEVAL,"EX")=0),0))))</f>
      </c>
      <c r="H15256">
        <f>IF(DATOS!$G15256&lt;&gt;"EX",0,--(COUNTIFS(nNIA,DATOS!$A15256,nCURSO,DATOS!$D15256,nESPEC,DATOS!$E15256,nASIG,DATOS!$I15256,nEVAL,"OR")=0))</f>
      </c>
      <c r="I15256">
        <f>IF(DATOS!$I15256="","",IFERROR(VLOOKUP(DATOS!$I15256,CONFIG_ASIGNATURAS!$B$2:$J$91,9,FALSE()),""))</f>
      </c>
    </row>
    <row r="15257">
      <c r="F15257">
        <f>IF(DATOS!$A15257="","",DATOS!$A15257&amp;"|"&amp;DATOS!$D15257&amp;"|"&amp;DATOS!$E15257&amp;"|"&amp;DATOS!$I15257)</f>
      </c>
      <c r="G15257">
        <f>IF(DATOS!$A15257="",0,IF(CONFIG_METADATA!$B$4&lt;&gt;"OR+EX",--(DATOS!$G15257=CONFIG_METADATA!$B$4),IF(DATOS!$G15257="EX",1,IF(DATOS!$G15257="OR",--(COUNTIFS(nNIA,DATOS!$A15257,nCURSO,DATOS!$D15257,nESPEC,DATOS!$E15257,nASIG,DATOS!$I15257,nEVAL,"EX")=0),0))))</f>
      </c>
      <c r="H15257">
        <f>IF(DATOS!$G15257&lt;&gt;"EX",0,--(COUNTIFS(nNIA,DATOS!$A15257,nCURSO,DATOS!$D15257,nESPEC,DATOS!$E15257,nASIG,DATOS!$I15257,nEVAL,"OR")=0))</f>
      </c>
      <c r="I15257">
        <f>IF(DATOS!$I15257="","",IFERROR(VLOOKUP(DATOS!$I15257,CONFIG_ASIGNATURAS!$B$2:$J$91,9,FALSE()),""))</f>
      </c>
    </row>
    <row r="15258">
      <c r="F15258">
        <f>IF(DATOS!$A15258="","",DATOS!$A15258&amp;"|"&amp;DATOS!$D15258&amp;"|"&amp;DATOS!$E15258&amp;"|"&amp;DATOS!$I15258)</f>
      </c>
      <c r="G15258">
        <f>IF(DATOS!$A15258="",0,IF(CONFIG_METADATA!$B$4&lt;&gt;"OR+EX",--(DATOS!$G15258=CONFIG_METADATA!$B$4),IF(DATOS!$G15258="EX",1,IF(DATOS!$G15258="OR",--(COUNTIFS(nNIA,DATOS!$A15258,nCURSO,DATOS!$D15258,nESPEC,DATOS!$E15258,nASIG,DATOS!$I15258,nEVAL,"EX")=0),0))))</f>
      </c>
      <c r="H15258">
        <f>IF(DATOS!$G15258&lt;&gt;"EX",0,--(COUNTIFS(nNIA,DATOS!$A15258,nCURSO,DATOS!$D15258,nESPEC,DATOS!$E15258,nASIG,DATOS!$I15258,nEVAL,"OR")=0))</f>
      </c>
      <c r="I15258">
        <f>IF(DATOS!$I15258="","",IFERROR(VLOOKUP(DATOS!$I15258,CONFIG_ASIGNATURAS!$B$2:$J$91,9,FALSE()),""))</f>
      </c>
    </row>
    <row r="15259">
      <c r="F15259">
        <f>IF(DATOS!$A15259="","",DATOS!$A15259&amp;"|"&amp;DATOS!$D15259&amp;"|"&amp;DATOS!$E15259&amp;"|"&amp;DATOS!$I15259)</f>
      </c>
      <c r="G15259">
        <f>IF(DATOS!$A15259="",0,IF(CONFIG_METADATA!$B$4&lt;&gt;"OR+EX",--(DATOS!$G15259=CONFIG_METADATA!$B$4),IF(DATOS!$G15259="EX",1,IF(DATOS!$G15259="OR",--(COUNTIFS(nNIA,DATOS!$A15259,nCURSO,DATOS!$D15259,nESPEC,DATOS!$E15259,nASIG,DATOS!$I15259,nEVAL,"EX")=0),0))))</f>
      </c>
      <c r="H15259">
        <f>IF(DATOS!$G15259&lt;&gt;"EX",0,--(COUNTIFS(nNIA,DATOS!$A15259,nCURSO,DATOS!$D15259,nESPEC,DATOS!$E15259,nASIG,DATOS!$I15259,nEVAL,"OR")=0))</f>
      </c>
      <c r="I15259">
        <f>IF(DATOS!$I15259="","",IFERROR(VLOOKUP(DATOS!$I15259,CONFIG_ASIGNATURAS!$B$2:$J$91,9,FALSE()),""))</f>
      </c>
    </row>
    <row r="15260">
      <c r="F15260">
        <f>IF(DATOS!$A15260="","",DATOS!$A15260&amp;"|"&amp;DATOS!$D15260&amp;"|"&amp;DATOS!$E15260&amp;"|"&amp;DATOS!$I15260)</f>
      </c>
      <c r="G15260">
        <f>IF(DATOS!$A15260="",0,IF(CONFIG_METADATA!$B$4&lt;&gt;"OR+EX",--(DATOS!$G15260=CONFIG_METADATA!$B$4),IF(DATOS!$G15260="EX",1,IF(DATOS!$G15260="OR",--(COUNTIFS(nNIA,DATOS!$A15260,nCURSO,DATOS!$D15260,nESPEC,DATOS!$E15260,nASIG,DATOS!$I15260,nEVAL,"EX")=0),0))))</f>
      </c>
      <c r="H15260">
        <f>IF(DATOS!$G15260&lt;&gt;"EX",0,--(COUNTIFS(nNIA,DATOS!$A15260,nCURSO,DATOS!$D15260,nESPEC,DATOS!$E15260,nASIG,DATOS!$I15260,nEVAL,"OR")=0))</f>
      </c>
      <c r="I15260">
        <f>IF(DATOS!$I15260="","",IFERROR(VLOOKUP(DATOS!$I15260,CONFIG_ASIGNATURAS!$B$2:$J$91,9,FALSE()),""))</f>
      </c>
    </row>
    <row r="15261">
      <c r="F15261">
        <f>IF(DATOS!$A15261="","",DATOS!$A15261&amp;"|"&amp;DATOS!$D15261&amp;"|"&amp;DATOS!$E15261&amp;"|"&amp;DATOS!$I15261)</f>
      </c>
      <c r="G15261">
        <f>IF(DATOS!$A15261="",0,IF(CONFIG_METADATA!$B$4&lt;&gt;"OR+EX",--(DATOS!$G15261=CONFIG_METADATA!$B$4),IF(DATOS!$G15261="EX",1,IF(DATOS!$G15261="OR",--(COUNTIFS(nNIA,DATOS!$A15261,nCURSO,DATOS!$D15261,nESPEC,DATOS!$E15261,nASIG,DATOS!$I15261,nEVAL,"EX")=0),0))))</f>
      </c>
      <c r="H15261">
        <f>IF(DATOS!$G15261&lt;&gt;"EX",0,--(COUNTIFS(nNIA,DATOS!$A15261,nCURSO,DATOS!$D15261,nESPEC,DATOS!$E15261,nASIG,DATOS!$I15261,nEVAL,"OR")=0))</f>
      </c>
      <c r="I15261">
        <f>IF(DATOS!$I15261="","",IFERROR(VLOOKUP(DATOS!$I15261,CONFIG_ASIGNATURAS!$B$2:$J$91,9,FALSE()),""))</f>
      </c>
    </row>
    <row r="15262">
      <c r="F15262">
        <f>IF(DATOS!$A15262="","",DATOS!$A15262&amp;"|"&amp;DATOS!$D15262&amp;"|"&amp;DATOS!$E15262&amp;"|"&amp;DATOS!$I15262)</f>
      </c>
      <c r="G15262">
        <f>IF(DATOS!$A15262="",0,IF(CONFIG_METADATA!$B$4&lt;&gt;"OR+EX",--(DATOS!$G15262=CONFIG_METADATA!$B$4),IF(DATOS!$G15262="EX",1,IF(DATOS!$G15262="OR",--(COUNTIFS(nNIA,DATOS!$A15262,nCURSO,DATOS!$D15262,nESPEC,DATOS!$E15262,nASIG,DATOS!$I15262,nEVAL,"EX")=0),0))))</f>
      </c>
      <c r="H15262">
        <f>IF(DATOS!$G15262&lt;&gt;"EX",0,--(COUNTIFS(nNIA,DATOS!$A15262,nCURSO,DATOS!$D15262,nESPEC,DATOS!$E15262,nASIG,DATOS!$I15262,nEVAL,"OR")=0))</f>
      </c>
      <c r="I15262">
        <f>IF(DATOS!$I15262="","",IFERROR(VLOOKUP(DATOS!$I15262,CONFIG_ASIGNATURAS!$B$2:$J$91,9,FALSE()),""))</f>
      </c>
    </row>
    <row r="15263">
      <c r="F15263">
        <f>IF(DATOS!$A15263="","",DATOS!$A15263&amp;"|"&amp;DATOS!$D15263&amp;"|"&amp;DATOS!$E15263&amp;"|"&amp;DATOS!$I15263)</f>
      </c>
      <c r="G15263">
        <f>IF(DATOS!$A15263="",0,IF(CONFIG_METADATA!$B$4&lt;&gt;"OR+EX",--(DATOS!$G15263=CONFIG_METADATA!$B$4),IF(DATOS!$G15263="EX",1,IF(DATOS!$G15263="OR",--(COUNTIFS(nNIA,DATOS!$A15263,nCURSO,DATOS!$D15263,nESPEC,DATOS!$E15263,nASIG,DATOS!$I15263,nEVAL,"EX")=0),0))))</f>
      </c>
      <c r="H15263">
        <f>IF(DATOS!$G15263&lt;&gt;"EX",0,--(COUNTIFS(nNIA,DATOS!$A15263,nCURSO,DATOS!$D15263,nESPEC,DATOS!$E15263,nASIG,DATOS!$I15263,nEVAL,"OR")=0))</f>
      </c>
      <c r="I15263">
        <f>IF(DATOS!$I15263="","",IFERROR(VLOOKUP(DATOS!$I15263,CONFIG_ASIGNATURAS!$B$2:$J$91,9,FALSE()),""))</f>
      </c>
    </row>
    <row r="15264">
      <c r="F15264">
        <f>IF(DATOS!$A15264="","",DATOS!$A15264&amp;"|"&amp;DATOS!$D15264&amp;"|"&amp;DATOS!$E15264&amp;"|"&amp;DATOS!$I15264)</f>
      </c>
      <c r="G15264">
        <f>IF(DATOS!$A15264="",0,IF(CONFIG_METADATA!$B$4&lt;&gt;"OR+EX",--(DATOS!$G15264=CONFIG_METADATA!$B$4),IF(DATOS!$G15264="EX",1,IF(DATOS!$G15264="OR",--(COUNTIFS(nNIA,DATOS!$A15264,nCURSO,DATOS!$D15264,nESPEC,DATOS!$E15264,nASIG,DATOS!$I15264,nEVAL,"EX")=0),0))))</f>
      </c>
      <c r="H15264">
        <f>IF(DATOS!$G15264&lt;&gt;"EX",0,--(COUNTIFS(nNIA,DATOS!$A15264,nCURSO,DATOS!$D15264,nESPEC,DATOS!$E15264,nASIG,DATOS!$I15264,nEVAL,"OR")=0))</f>
      </c>
      <c r="I15264">
        <f>IF(DATOS!$I15264="","",IFERROR(VLOOKUP(DATOS!$I15264,CONFIG_ASIGNATURAS!$B$2:$J$91,9,FALSE()),""))</f>
      </c>
    </row>
    <row r="15265">
      <c r="F15265">
        <f>IF(DATOS!$A15265="","",DATOS!$A15265&amp;"|"&amp;DATOS!$D15265&amp;"|"&amp;DATOS!$E15265&amp;"|"&amp;DATOS!$I15265)</f>
      </c>
      <c r="G15265">
        <f>IF(DATOS!$A15265="",0,IF(CONFIG_METADATA!$B$4&lt;&gt;"OR+EX",--(DATOS!$G15265=CONFIG_METADATA!$B$4),IF(DATOS!$G15265="EX",1,IF(DATOS!$G15265="OR",--(COUNTIFS(nNIA,DATOS!$A15265,nCURSO,DATOS!$D15265,nESPEC,DATOS!$E15265,nASIG,DATOS!$I15265,nEVAL,"EX")=0),0))))</f>
      </c>
      <c r="H15265">
        <f>IF(DATOS!$G15265&lt;&gt;"EX",0,--(COUNTIFS(nNIA,DATOS!$A15265,nCURSO,DATOS!$D15265,nESPEC,DATOS!$E15265,nASIG,DATOS!$I15265,nEVAL,"OR")=0))</f>
      </c>
      <c r="I15265">
        <f>IF(DATOS!$I15265="","",IFERROR(VLOOKUP(DATOS!$I15265,CONFIG_ASIGNATURAS!$B$2:$J$91,9,FALSE()),""))</f>
      </c>
    </row>
    <row r="15266">
      <c r="F15266">
        <f>IF(DATOS!$A15266="","",DATOS!$A15266&amp;"|"&amp;DATOS!$D15266&amp;"|"&amp;DATOS!$E15266&amp;"|"&amp;DATOS!$I15266)</f>
      </c>
      <c r="G15266">
        <f>IF(DATOS!$A15266="",0,IF(CONFIG_METADATA!$B$4&lt;&gt;"OR+EX",--(DATOS!$G15266=CONFIG_METADATA!$B$4),IF(DATOS!$G15266="EX",1,IF(DATOS!$G15266="OR",--(COUNTIFS(nNIA,DATOS!$A15266,nCURSO,DATOS!$D15266,nESPEC,DATOS!$E15266,nASIG,DATOS!$I15266,nEVAL,"EX")=0),0))))</f>
      </c>
      <c r="H15266">
        <f>IF(DATOS!$G15266&lt;&gt;"EX",0,--(COUNTIFS(nNIA,DATOS!$A15266,nCURSO,DATOS!$D15266,nESPEC,DATOS!$E15266,nASIG,DATOS!$I15266,nEVAL,"OR")=0))</f>
      </c>
      <c r="I15266">
        <f>IF(DATOS!$I15266="","",IFERROR(VLOOKUP(DATOS!$I15266,CONFIG_ASIGNATURAS!$B$2:$J$91,9,FALSE()),""))</f>
      </c>
    </row>
    <row r="15267">
      <c r="F15267">
        <f>IF(DATOS!$A15267="","",DATOS!$A15267&amp;"|"&amp;DATOS!$D15267&amp;"|"&amp;DATOS!$E15267&amp;"|"&amp;DATOS!$I15267)</f>
      </c>
      <c r="G15267">
        <f>IF(DATOS!$A15267="",0,IF(CONFIG_METADATA!$B$4&lt;&gt;"OR+EX",--(DATOS!$G15267=CONFIG_METADATA!$B$4),IF(DATOS!$G15267="EX",1,IF(DATOS!$G15267="OR",--(COUNTIFS(nNIA,DATOS!$A15267,nCURSO,DATOS!$D15267,nESPEC,DATOS!$E15267,nASIG,DATOS!$I15267,nEVAL,"EX")=0),0))))</f>
      </c>
      <c r="H15267">
        <f>IF(DATOS!$G15267&lt;&gt;"EX",0,--(COUNTIFS(nNIA,DATOS!$A15267,nCURSO,DATOS!$D15267,nESPEC,DATOS!$E15267,nASIG,DATOS!$I15267,nEVAL,"OR")=0))</f>
      </c>
      <c r="I15267">
        <f>IF(DATOS!$I15267="","",IFERROR(VLOOKUP(DATOS!$I15267,CONFIG_ASIGNATURAS!$B$2:$J$91,9,FALSE()),""))</f>
      </c>
    </row>
    <row r="15268">
      <c r="F15268">
        <f>IF(DATOS!$A15268="","",DATOS!$A15268&amp;"|"&amp;DATOS!$D15268&amp;"|"&amp;DATOS!$E15268&amp;"|"&amp;DATOS!$I15268)</f>
      </c>
      <c r="G15268">
        <f>IF(DATOS!$A15268="",0,IF(CONFIG_METADATA!$B$4&lt;&gt;"OR+EX",--(DATOS!$G15268=CONFIG_METADATA!$B$4),IF(DATOS!$G15268="EX",1,IF(DATOS!$G15268="OR",--(COUNTIFS(nNIA,DATOS!$A15268,nCURSO,DATOS!$D15268,nESPEC,DATOS!$E15268,nASIG,DATOS!$I15268,nEVAL,"EX")=0),0))))</f>
      </c>
      <c r="H15268">
        <f>IF(DATOS!$G15268&lt;&gt;"EX",0,--(COUNTIFS(nNIA,DATOS!$A15268,nCURSO,DATOS!$D15268,nESPEC,DATOS!$E15268,nASIG,DATOS!$I15268,nEVAL,"OR")=0))</f>
      </c>
      <c r="I15268">
        <f>IF(DATOS!$I15268="","",IFERROR(VLOOKUP(DATOS!$I15268,CONFIG_ASIGNATURAS!$B$2:$J$91,9,FALSE()),""))</f>
      </c>
    </row>
    <row r="15269">
      <c r="F15269">
        <f>IF(DATOS!$A15269="","",DATOS!$A15269&amp;"|"&amp;DATOS!$D15269&amp;"|"&amp;DATOS!$E15269&amp;"|"&amp;DATOS!$I15269)</f>
      </c>
      <c r="G15269">
        <f>IF(DATOS!$A15269="",0,IF(CONFIG_METADATA!$B$4&lt;&gt;"OR+EX",--(DATOS!$G15269=CONFIG_METADATA!$B$4),IF(DATOS!$G15269="EX",1,IF(DATOS!$G15269="OR",--(COUNTIFS(nNIA,DATOS!$A15269,nCURSO,DATOS!$D15269,nESPEC,DATOS!$E15269,nASIG,DATOS!$I15269,nEVAL,"EX")=0),0))))</f>
      </c>
      <c r="H15269">
        <f>IF(DATOS!$G15269&lt;&gt;"EX",0,--(COUNTIFS(nNIA,DATOS!$A15269,nCURSO,DATOS!$D15269,nESPEC,DATOS!$E15269,nASIG,DATOS!$I15269,nEVAL,"OR")=0))</f>
      </c>
      <c r="I15269">
        <f>IF(DATOS!$I15269="","",IFERROR(VLOOKUP(DATOS!$I15269,CONFIG_ASIGNATURAS!$B$2:$J$91,9,FALSE()),""))</f>
      </c>
    </row>
    <row r="15270">
      <c r="F15270">
        <f>IF(DATOS!$A15270="","",DATOS!$A15270&amp;"|"&amp;DATOS!$D15270&amp;"|"&amp;DATOS!$E15270&amp;"|"&amp;DATOS!$I15270)</f>
      </c>
      <c r="G15270">
        <f>IF(DATOS!$A15270="",0,IF(CONFIG_METADATA!$B$4&lt;&gt;"OR+EX",--(DATOS!$G15270=CONFIG_METADATA!$B$4),IF(DATOS!$G15270="EX",1,IF(DATOS!$G15270="OR",--(COUNTIFS(nNIA,DATOS!$A15270,nCURSO,DATOS!$D15270,nESPEC,DATOS!$E15270,nASIG,DATOS!$I15270,nEVAL,"EX")=0),0))))</f>
      </c>
      <c r="H15270">
        <f>IF(DATOS!$G15270&lt;&gt;"EX",0,--(COUNTIFS(nNIA,DATOS!$A15270,nCURSO,DATOS!$D15270,nESPEC,DATOS!$E15270,nASIG,DATOS!$I15270,nEVAL,"OR")=0))</f>
      </c>
      <c r="I15270">
        <f>IF(DATOS!$I15270="","",IFERROR(VLOOKUP(DATOS!$I15270,CONFIG_ASIGNATURAS!$B$2:$J$91,9,FALSE()),""))</f>
      </c>
    </row>
    <row r="15271">
      <c r="F15271">
        <f>IF(DATOS!$A15271="","",DATOS!$A15271&amp;"|"&amp;DATOS!$D15271&amp;"|"&amp;DATOS!$E15271&amp;"|"&amp;DATOS!$I15271)</f>
      </c>
      <c r="G15271">
        <f>IF(DATOS!$A15271="",0,IF(CONFIG_METADATA!$B$4&lt;&gt;"OR+EX",--(DATOS!$G15271=CONFIG_METADATA!$B$4),IF(DATOS!$G15271="EX",1,IF(DATOS!$G15271="OR",--(COUNTIFS(nNIA,DATOS!$A15271,nCURSO,DATOS!$D15271,nESPEC,DATOS!$E15271,nASIG,DATOS!$I15271,nEVAL,"EX")=0),0))))</f>
      </c>
      <c r="H15271">
        <f>IF(DATOS!$G15271&lt;&gt;"EX",0,--(COUNTIFS(nNIA,DATOS!$A15271,nCURSO,DATOS!$D15271,nESPEC,DATOS!$E15271,nASIG,DATOS!$I15271,nEVAL,"OR")=0))</f>
      </c>
      <c r="I15271">
        <f>IF(DATOS!$I15271="","",IFERROR(VLOOKUP(DATOS!$I15271,CONFIG_ASIGNATURAS!$B$2:$J$91,9,FALSE()),""))</f>
      </c>
    </row>
    <row r="15272">
      <c r="F15272">
        <f>IF(DATOS!$A15272="","",DATOS!$A15272&amp;"|"&amp;DATOS!$D15272&amp;"|"&amp;DATOS!$E15272&amp;"|"&amp;DATOS!$I15272)</f>
      </c>
      <c r="G15272">
        <f>IF(DATOS!$A15272="",0,IF(CONFIG_METADATA!$B$4&lt;&gt;"OR+EX",--(DATOS!$G15272=CONFIG_METADATA!$B$4),IF(DATOS!$G15272="EX",1,IF(DATOS!$G15272="OR",--(COUNTIFS(nNIA,DATOS!$A15272,nCURSO,DATOS!$D15272,nESPEC,DATOS!$E15272,nASIG,DATOS!$I15272,nEVAL,"EX")=0),0))))</f>
      </c>
      <c r="H15272">
        <f>IF(DATOS!$G15272&lt;&gt;"EX",0,--(COUNTIFS(nNIA,DATOS!$A15272,nCURSO,DATOS!$D15272,nESPEC,DATOS!$E15272,nASIG,DATOS!$I15272,nEVAL,"OR")=0))</f>
      </c>
      <c r="I15272">
        <f>IF(DATOS!$I15272="","",IFERROR(VLOOKUP(DATOS!$I15272,CONFIG_ASIGNATURAS!$B$2:$J$91,9,FALSE()),""))</f>
      </c>
    </row>
    <row r="15273">
      <c r="F15273">
        <f>IF(DATOS!$A15273="","",DATOS!$A15273&amp;"|"&amp;DATOS!$D15273&amp;"|"&amp;DATOS!$E15273&amp;"|"&amp;DATOS!$I15273)</f>
      </c>
      <c r="G15273">
        <f>IF(DATOS!$A15273="",0,IF(CONFIG_METADATA!$B$4&lt;&gt;"OR+EX",--(DATOS!$G15273=CONFIG_METADATA!$B$4),IF(DATOS!$G15273="EX",1,IF(DATOS!$G15273="OR",--(COUNTIFS(nNIA,DATOS!$A15273,nCURSO,DATOS!$D15273,nESPEC,DATOS!$E15273,nASIG,DATOS!$I15273,nEVAL,"EX")=0),0))))</f>
      </c>
      <c r="H15273">
        <f>IF(DATOS!$G15273&lt;&gt;"EX",0,--(COUNTIFS(nNIA,DATOS!$A15273,nCURSO,DATOS!$D15273,nESPEC,DATOS!$E15273,nASIG,DATOS!$I15273,nEVAL,"OR")=0))</f>
      </c>
      <c r="I15273">
        <f>IF(DATOS!$I15273="","",IFERROR(VLOOKUP(DATOS!$I15273,CONFIG_ASIGNATURAS!$B$2:$J$91,9,FALSE()),""))</f>
      </c>
    </row>
    <row r="15274">
      <c r="F15274">
        <f>IF(DATOS!$A15274="","",DATOS!$A15274&amp;"|"&amp;DATOS!$D15274&amp;"|"&amp;DATOS!$E15274&amp;"|"&amp;DATOS!$I15274)</f>
      </c>
      <c r="G15274">
        <f>IF(DATOS!$A15274="",0,IF(CONFIG_METADATA!$B$4&lt;&gt;"OR+EX",--(DATOS!$G15274=CONFIG_METADATA!$B$4),IF(DATOS!$G15274="EX",1,IF(DATOS!$G15274="OR",--(COUNTIFS(nNIA,DATOS!$A15274,nCURSO,DATOS!$D15274,nESPEC,DATOS!$E15274,nASIG,DATOS!$I15274,nEVAL,"EX")=0),0))))</f>
      </c>
      <c r="H15274">
        <f>IF(DATOS!$G15274&lt;&gt;"EX",0,--(COUNTIFS(nNIA,DATOS!$A15274,nCURSO,DATOS!$D15274,nESPEC,DATOS!$E15274,nASIG,DATOS!$I15274,nEVAL,"OR")=0))</f>
      </c>
      <c r="I15274">
        <f>IF(DATOS!$I15274="","",IFERROR(VLOOKUP(DATOS!$I15274,CONFIG_ASIGNATURAS!$B$2:$J$91,9,FALSE()),""))</f>
      </c>
    </row>
    <row r="15275">
      <c r="F15275">
        <f>IF(DATOS!$A15275="","",DATOS!$A15275&amp;"|"&amp;DATOS!$D15275&amp;"|"&amp;DATOS!$E15275&amp;"|"&amp;DATOS!$I15275)</f>
      </c>
      <c r="G15275">
        <f>IF(DATOS!$A15275="",0,IF(CONFIG_METADATA!$B$4&lt;&gt;"OR+EX",--(DATOS!$G15275=CONFIG_METADATA!$B$4),IF(DATOS!$G15275="EX",1,IF(DATOS!$G15275="OR",--(COUNTIFS(nNIA,DATOS!$A15275,nCURSO,DATOS!$D15275,nESPEC,DATOS!$E15275,nASIG,DATOS!$I15275,nEVAL,"EX")=0),0))))</f>
      </c>
      <c r="H15275">
        <f>IF(DATOS!$G15275&lt;&gt;"EX",0,--(COUNTIFS(nNIA,DATOS!$A15275,nCURSO,DATOS!$D15275,nESPEC,DATOS!$E15275,nASIG,DATOS!$I15275,nEVAL,"OR")=0))</f>
      </c>
      <c r="I15275">
        <f>IF(DATOS!$I15275="","",IFERROR(VLOOKUP(DATOS!$I15275,CONFIG_ASIGNATURAS!$B$2:$J$91,9,FALSE()),""))</f>
      </c>
    </row>
    <row r="15276">
      <c r="F15276">
        <f>IF(DATOS!$A15276="","",DATOS!$A15276&amp;"|"&amp;DATOS!$D15276&amp;"|"&amp;DATOS!$E15276&amp;"|"&amp;DATOS!$I15276)</f>
      </c>
      <c r="G15276">
        <f>IF(DATOS!$A15276="",0,IF(CONFIG_METADATA!$B$4&lt;&gt;"OR+EX",--(DATOS!$G15276=CONFIG_METADATA!$B$4),IF(DATOS!$G15276="EX",1,IF(DATOS!$G15276="OR",--(COUNTIFS(nNIA,DATOS!$A15276,nCURSO,DATOS!$D15276,nESPEC,DATOS!$E15276,nASIG,DATOS!$I15276,nEVAL,"EX")=0),0))))</f>
      </c>
      <c r="H15276">
        <f>IF(DATOS!$G15276&lt;&gt;"EX",0,--(COUNTIFS(nNIA,DATOS!$A15276,nCURSO,DATOS!$D15276,nESPEC,DATOS!$E15276,nASIG,DATOS!$I15276,nEVAL,"OR")=0))</f>
      </c>
      <c r="I15276">
        <f>IF(DATOS!$I15276="","",IFERROR(VLOOKUP(DATOS!$I15276,CONFIG_ASIGNATURAS!$B$2:$J$91,9,FALSE()),""))</f>
      </c>
    </row>
    <row r="15277">
      <c r="F15277">
        <f>IF(DATOS!$A15277="","",DATOS!$A15277&amp;"|"&amp;DATOS!$D15277&amp;"|"&amp;DATOS!$E15277&amp;"|"&amp;DATOS!$I15277)</f>
      </c>
      <c r="G15277">
        <f>IF(DATOS!$A15277="",0,IF(CONFIG_METADATA!$B$4&lt;&gt;"OR+EX",--(DATOS!$G15277=CONFIG_METADATA!$B$4),IF(DATOS!$G15277="EX",1,IF(DATOS!$G15277="OR",--(COUNTIFS(nNIA,DATOS!$A15277,nCURSO,DATOS!$D15277,nESPEC,DATOS!$E15277,nASIG,DATOS!$I15277,nEVAL,"EX")=0),0))))</f>
      </c>
      <c r="H15277">
        <f>IF(DATOS!$G15277&lt;&gt;"EX",0,--(COUNTIFS(nNIA,DATOS!$A15277,nCURSO,DATOS!$D15277,nESPEC,DATOS!$E15277,nASIG,DATOS!$I15277,nEVAL,"OR")=0))</f>
      </c>
      <c r="I15277">
        <f>IF(DATOS!$I15277="","",IFERROR(VLOOKUP(DATOS!$I15277,CONFIG_ASIGNATURAS!$B$2:$J$91,9,FALSE()),""))</f>
      </c>
    </row>
    <row r="15278">
      <c r="F15278">
        <f>IF(DATOS!$A15278="","",DATOS!$A15278&amp;"|"&amp;DATOS!$D15278&amp;"|"&amp;DATOS!$E15278&amp;"|"&amp;DATOS!$I15278)</f>
      </c>
      <c r="G15278">
        <f>IF(DATOS!$A15278="",0,IF(CONFIG_METADATA!$B$4&lt;&gt;"OR+EX",--(DATOS!$G15278=CONFIG_METADATA!$B$4),IF(DATOS!$G15278="EX",1,IF(DATOS!$G15278="OR",--(COUNTIFS(nNIA,DATOS!$A15278,nCURSO,DATOS!$D15278,nESPEC,DATOS!$E15278,nASIG,DATOS!$I15278,nEVAL,"EX")=0),0))))</f>
      </c>
      <c r="H15278">
        <f>IF(DATOS!$G15278&lt;&gt;"EX",0,--(COUNTIFS(nNIA,DATOS!$A15278,nCURSO,DATOS!$D15278,nESPEC,DATOS!$E15278,nASIG,DATOS!$I15278,nEVAL,"OR")=0))</f>
      </c>
      <c r="I15278">
        <f>IF(DATOS!$I15278="","",IFERROR(VLOOKUP(DATOS!$I15278,CONFIG_ASIGNATURAS!$B$2:$J$91,9,FALSE()),""))</f>
      </c>
    </row>
    <row r="15279">
      <c r="F15279">
        <f>IF(DATOS!$A15279="","",DATOS!$A15279&amp;"|"&amp;DATOS!$D15279&amp;"|"&amp;DATOS!$E15279&amp;"|"&amp;DATOS!$I15279)</f>
      </c>
      <c r="G15279">
        <f>IF(DATOS!$A15279="",0,IF(CONFIG_METADATA!$B$4&lt;&gt;"OR+EX",--(DATOS!$G15279=CONFIG_METADATA!$B$4),IF(DATOS!$G15279="EX",1,IF(DATOS!$G15279="OR",--(COUNTIFS(nNIA,DATOS!$A15279,nCURSO,DATOS!$D15279,nESPEC,DATOS!$E15279,nASIG,DATOS!$I15279,nEVAL,"EX")=0),0))))</f>
      </c>
      <c r="H15279">
        <f>IF(DATOS!$G15279&lt;&gt;"EX",0,--(COUNTIFS(nNIA,DATOS!$A15279,nCURSO,DATOS!$D15279,nESPEC,DATOS!$E15279,nASIG,DATOS!$I15279,nEVAL,"OR")=0))</f>
      </c>
      <c r="I15279">
        <f>IF(DATOS!$I15279="","",IFERROR(VLOOKUP(DATOS!$I15279,CONFIG_ASIGNATURAS!$B$2:$J$91,9,FALSE()),""))</f>
      </c>
    </row>
    <row r="15280">
      <c r="F15280">
        <f>IF(DATOS!$A15280="","",DATOS!$A15280&amp;"|"&amp;DATOS!$D15280&amp;"|"&amp;DATOS!$E15280&amp;"|"&amp;DATOS!$I15280)</f>
      </c>
      <c r="G15280">
        <f>IF(DATOS!$A15280="",0,IF(CONFIG_METADATA!$B$4&lt;&gt;"OR+EX",--(DATOS!$G15280=CONFIG_METADATA!$B$4),IF(DATOS!$G15280="EX",1,IF(DATOS!$G15280="OR",--(COUNTIFS(nNIA,DATOS!$A15280,nCURSO,DATOS!$D15280,nESPEC,DATOS!$E15280,nASIG,DATOS!$I15280,nEVAL,"EX")=0),0))))</f>
      </c>
      <c r="H15280">
        <f>IF(DATOS!$G15280&lt;&gt;"EX",0,--(COUNTIFS(nNIA,DATOS!$A15280,nCURSO,DATOS!$D15280,nESPEC,DATOS!$E15280,nASIG,DATOS!$I15280,nEVAL,"OR")=0))</f>
      </c>
      <c r="I15280">
        <f>IF(DATOS!$I15280="","",IFERROR(VLOOKUP(DATOS!$I15280,CONFIG_ASIGNATURAS!$B$2:$J$91,9,FALSE()),""))</f>
      </c>
    </row>
    <row r="15281">
      <c r="F15281">
        <f>IF(DATOS!$A15281="","",DATOS!$A15281&amp;"|"&amp;DATOS!$D15281&amp;"|"&amp;DATOS!$E15281&amp;"|"&amp;DATOS!$I15281)</f>
      </c>
      <c r="G15281">
        <f>IF(DATOS!$A15281="",0,IF(CONFIG_METADATA!$B$4&lt;&gt;"OR+EX",--(DATOS!$G15281=CONFIG_METADATA!$B$4),IF(DATOS!$G15281="EX",1,IF(DATOS!$G15281="OR",--(COUNTIFS(nNIA,DATOS!$A15281,nCURSO,DATOS!$D15281,nESPEC,DATOS!$E15281,nASIG,DATOS!$I15281,nEVAL,"EX")=0),0))))</f>
      </c>
      <c r="H15281">
        <f>IF(DATOS!$G15281&lt;&gt;"EX",0,--(COUNTIFS(nNIA,DATOS!$A15281,nCURSO,DATOS!$D15281,nESPEC,DATOS!$E15281,nASIG,DATOS!$I15281,nEVAL,"OR")=0))</f>
      </c>
      <c r="I15281">
        <f>IF(DATOS!$I15281="","",IFERROR(VLOOKUP(DATOS!$I15281,CONFIG_ASIGNATURAS!$B$2:$J$91,9,FALSE()),""))</f>
      </c>
    </row>
    <row r="15282">
      <c r="F15282">
        <f>IF(DATOS!$A15282="","",DATOS!$A15282&amp;"|"&amp;DATOS!$D15282&amp;"|"&amp;DATOS!$E15282&amp;"|"&amp;DATOS!$I15282)</f>
      </c>
      <c r="G15282">
        <f>IF(DATOS!$A15282="",0,IF(CONFIG_METADATA!$B$4&lt;&gt;"OR+EX",--(DATOS!$G15282=CONFIG_METADATA!$B$4),IF(DATOS!$G15282="EX",1,IF(DATOS!$G15282="OR",--(COUNTIFS(nNIA,DATOS!$A15282,nCURSO,DATOS!$D15282,nESPEC,DATOS!$E15282,nASIG,DATOS!$I15282,nEVAL,"EX")=0),0))))</f>
      </c>
      <c r="H15282">
        <f>IF(DATOS!$G15282&lt;&gt;"EX",0,--(COUNTIFS(nNIA,DATOS!$A15282,nCURSO,DATOS!$D15282,nESPEC,DATOS!$E15282,nASIG,DATOS!$I15282,nEVAL,"OR")=0))</f>
      </c>
      <c r="I15282">
        <f>IF(DATOS!$I15282="","",IFERROR(VLOOKUP(DATOS!$I15282,CONFIG_ASIGNATURAS!$B$2:$J$91,9,FALSE()),""))</f>
      </c>
    </row>
    <row r="15283">
      <c r="F15283">
        <f>IF(DATOS!$A15283="","",DATOS!$A15283&amp;"|"&amp;DATOS!$D15283&amp;"|"&amp;DATOS!$E15283&amp;"|"&amp;DATOS!$I15283)</f>
      </c>
      <c r="G15283">
        <f>IF(DATOS!$A15283="",0,IF(CONFIG_METADATA!$B$4&lt;&gt;"OR+EX",--(DATOS!$G15283=CONFIG_METADATA!$B$4),IF(DATOS!$G15283="EX",1,IF(DATOS!$G15283="OR",--(COUNTIFS(nNIA,DATOS!$A15283,nCURSO,DATOS!$D15283,nESPEC,DATOS!$E15283,nASIG,DATOS!$I15283,nEVAL,"EX")=0),0))))</f>
      </c>
      <c r="H15283">
        <f>IF(DATOS!$G15283&lt;&gt;"EX",0,--(COUNTIFS(nNIA,DATOS!$A15283,nCURSO,DATOS!$D15283,nESPEC,DATOS!$E15283,nASIG,DATOS!$I15283,nEVAL,"OR")=0))</f>
      </c>
      <c r="I15283">
        <f>IF(DATOS!$I15283="","",IFERROR(VLOOKUP(DATOS!$I15283,CONFIG_ASIGNATURAS!$B$2:$J$91,9,FALSE()),""))</f>
      </c>
    </row>
    <row r="15284">
      <c r="F15284">
        <f>IF(DATOS!$A15284="","",DATOS!$A15284&amp;"|"&amp;DATOS!$D15284&amp;"|"&amp;DATOS!$E15284&amp;"|"&amp;DATOS!$I15284)</f>
      </c>
      <c r="G15284">
        <f>IF(DATOS!$A15284="",0,IF(CONFIG_METADATA!$B$4&lt;&gt;"OR+EX",--(DATOS!$G15284=CONFIG_METADATA!$B$4),IF(DATOS!$G15284="EX",1,IF(DATOS!$G15284="OR",--(COUNTIFS(nNIA,DATOS!$A15284,nCURSO,DATOS!$D15284,nESPEC,DATOS!$E15284,nASIG,DATOS!$I15284,nEVAL,"EX")=0),0))))</f>
      </c>
      <c r="H15284">
        <f>IF(DATOS!$G15284&lt;&gt;"EX",0,--(COUNTIFS(nNIA,DATOS!$A15284,nCURSO,DATOS!$D15284,nESPEC,DATOS!$E15284,nASIG,DATOS!$I15284,nEVAL,"OR")=0))</f>
      </c>
      <c r="I15284">
        <f>IF(DATOS!$I15284="","",IFERROR(VLOOKUP(DATOS!$I15284,CONFIG_ASIGNATURAS!$B$2:$J$91,9,FALSE()),""))</f>
      </c>
    </row>
    <row r="15285">
      <c r="F15285">
        <f>IF(DATOS!$A15285="","",DATOS!$A15285&amp;"|"&amp;DATOS!$D15285&amp;"|"&amp;DATOS!$E15285&amp;"|"&amp;DATOS!$I15285)</f>
      </c>
      <c r="G15285">
        <f>IF(DATOS!$A15285="",0,IF(CONFIG_METADATA!$B$4&lt;&gt;"OR+EX",--(DATOS!$G15285=CONFIG_METADATA!$B$4),IF(DATOS!$G15285="EX",1,IF(DATOS!$G15285="OR",--(COUNTIFS(nNIA,DATOS!$A15285,nCURSO,DATOS!$D15285,nESPEC,DATOS!$E15285,nASIG,DATOS!$I15285,nEVAL,"EX")=0),0))))</f>
      </c>
      <c r="H15285">
        <f>IF(DATOS!$G15285&lt;&gt;"EX",0,--(COUNTIFS(nNIA,DATOS!$A15285,nCURSO,DATOS!$D15285,nESPEC,DATOS!$E15285,nASIG,DATOS!$I15285,nEVAL,"OR")=0))</f>
      </c>
      <c r="I15285">
        <f>IF(DATOS!$I15285="","",IFERROR(VLOOKUP(DATOS!$I15285,CONFIG_ASIGNATURAS!$B$2:$J$91,9,FALSE()),""))</f>
      </c>
    </row>
    <row r="15286">
      <c r="F15286">
        <f>IF(DATOS!$A15286="","",DATOS!$A15286&amp;"|"&amp;DATOS!$D15286&amp;"|"&amp;DATOS!$E15286&amp;"|"&amp;DATOS!$I15286)</f>
      </c>
      <c r="G15286">
        <f>IF(DATOS!$A15286="",0,IF(CONFIG_METADATA!$B$4&lt;&gt;"OR+EX",--(DATOS!$G15286=CONFIG_METADATA!$B$4),IF(DATOS!$G15286="EX",1,IF(DATOS!$G15286="OR",--(COUNTIFS(nNIA,DATOS!$A15286,nCURSO,DATOS!$D15286,nESPEC,DATOS!$E15286,nASIG,DATOS!$I15286,nEVAL,"EX")=0),0))))</f>
      </c>
      <c r="H15286">
        <f>IF(DATOS!$G15286&lt;&gt;"EX",0,--(COUNTIFS(nNIA,DATOS!$A15286,nCURSO,DATOS!$D15286,nESPEC,DATOS!$E15286,nASIG,DATOS!$I15286,nEVAL,"OR")=0))</f>
      </c>
      <c r="I15286">
        <f>IF(DATOS!$I15286="","",IFERROR(VLOOKUP(DATOS!$I15286,CONFIG_ASIGNATURAS!$B$2:$J$91,9,FALSE()),""))</f>
      </c>
    </row>
    <row r="15287">
      <c r="F15287">
        <f>IF(DATOS!$A15287="","",DATOS!$A15287&amp;"|"&amp;DATOS!$D15287&amp;"|"&amp;DATOS!$E15287&amp;"|"&amp;DATOS!$I15287)</f>
      </c>
      <c r="G15287">
        <f>IF(DATOS!$A15287="",0,IF(CONFIG_METADATA!$B$4&lt;&gt;"OR+EX",--(DATOS!$G15287=CONFIG_METADATA!$B$4),IF(DATOS!$G15287="EX",1,IF(DATOS!$G15287="OR",--(COUNTIFS(nNIA,DATOS!$A15287,nCURSO,DATOS!$D15287,nESPEC,DATOS!$E15287,nASIG,DATOS!$I15287,nEVAL,"EX")=0),0))))</f>
      </c>
      <c r="H15287">
        <f>IF(DATOS!$G15287&lt;&gt;"EX",0,--(COUNTIFS(nNIA,DATOS!$A15287,nCURSO,DATOS!$D15287,nESPEC,DATOS!$E15287,nASIG,DATOS!$I15287,nEVAL,"OR")=0))</f>
      </c>
      <c r="I15287">
        <f>IF(DATOS!$I15287="","",IFERROR(VLOOKUP(DATOS!$I15287,CONFIG_ASIGNATURAS!$B$2:$J$91,9,FALSE()),""))</f>
      </c>
    </row>
    <row r="15288">
      <c r="F15288">
        <f>IF(DATOS!$A15288="","",DATOS!$A15288&amp;"|"&amp;DATOS!$D15288&amp;"|"&amp;DATOS!$E15288&amp;"|"&amp;DATOS!$I15288)</f>
      </c>
      <c r="G15288">
        <f>IF(DATOS!$A15288="",0,IF(CONFIG_METADATA!$B$4&lt;&gt;"OR+EX",--(DATOS!$G15288=CONFIG_METADATA!$B$4),IF(DATOS!$G15288="EX",1,IF(DATOS!$G15288="OR",--(COUNTIFS(nNIA,DATOS!$A15288,nCURSO,DATOS!$D15288,nESPEC,DATOS!$E15288,nASIG,DATOS!$I15288,nEVAL,"EX")=0),0))))</f>
      </c>
      <c r="H15288">
        <f>IF(DATOS!$G15288&lt;&gt;"EX",0,--(COUNTIFS(nNIA,DATOS!$A15288,nCURSO,DATOS!$D15288,nESPEC,DATOS!$E15288,nASIG,DATOS!$I15288,nEVAL,"OR")=0))</f>
      </c>
      <c r="I15288">
        <f>IF(DATOS!$I15288="","",IFERROR(VLOOKUP(DATOS!$I15288,CONFIG_ASIGNATURAS!$B$2:$J$91,9,FALSE()),""))</f>
      </c>
    </row>
    <row r="15289">
      <c r="F15289">
        <f>IF(DATOS!$A15289="","",DATOS!$A15289&amp;"|"&amp;DATOS!$D15289&amp;"|"&amp;DATOS!$E15289&amp;"|"&amp;DATOS!$I15289)</f>
      </c>
      <c r="G15289">
        <f>IF(DATOS!$A15289="",0,IF(CONFIG_METADATA!$B$4&lt;&gt;"OR+EX",--(DATOS!$G15289=CONFIG_METADATA!$B$4),IF(DATOS!$G15289="EX",1,IF(DATOS!$G15289="OR",--(COUNTIFS(nNIA,DATOS!$A15289,nCURSO,DATOS!$D15289,nESPEC,DATOS!$E15289,nASIG,DATOS!$I15289,nEVAL,"EX")=0),0))))</f>
      </c>
      <c r="H15289">
        <f>IF(DATOS!$G15289&lt;&gt;"EX",0,--(COUNTIFS(nNIA,DATOS!$A15289,nCURSO,DATOS!$D15289,nESPEC,DATOS!$E15289,nASIG,DATOS!$I15289,nEVAL,"OR")=0))</f>
      </c>
      <c r="I15289">
        <f>IF(DATOS!$I15289="","",IFERROR(VLOOKUP(DATOS!$I15289,CONFIG_ASIGNATURAS!$B$2:$J$91,9,FALSE()),""))</f>
      </c>
    </row>
    <row r="15290">
      <c r="F15290">
        <f>IF(DATOS!$A15290="","",DATOS!$A15290&amp;"|"&amp;DATOS!$D15290&amp;"|"&amp;DATOS!$E15290&amp;"|"&amp;DATOS!$I15290)</f>
      </c>
      <c r="G15290">
        <f>IF(DATOS!$A15290="",0,IF(CONFIG_METADATA!$B$4&lt;&gt;"OR+EX",--(DATOS!$G15290=CONFIG_METADATA!$B$4),IF(DATOS!$G15290="EX",1,IF(DATOS!$G15290="OR",--(COUNTIFS(nNIA,DATOS!$A15290,nCURSO,DATOS!$D15290,nESPEC,DATOS!$E15290,nASIG,DATOS!$I15290,nEVAL,"EX")=0),0))))</f>
      </c>
      <c r="H15290">
        <f>IF(DATOS!$G15290&lt;&gt;"EX",0,--(COUNTIFS(nNIA,DATOS!$A15290,nCURSO,DATOS!$D15290,nESPEC,DATOS!$E15290,nASIG,DATOS!$I15290,nEVAL,"OR")=0))</f>
      </c>
      <c r="I15290">
        <f>IF(DATOS!$I15290="","",IFERROR(VLOOKUP(DATOS!$I15290,CONFIG_ASIGNATURAS!$B$2:$J$91,9,FALSE()),""))</f>
      </c>
    </row>
    <row r="15291">
      <c r="F15291">
        <f>IF(DATOS!$A15291="","",DATOS!$A15291&amp;"|"&amp;DATOS!$D15291&amp;"|"&amp;DATOS!$E15291&amp;"|"&amp;DATOS!$I15291)</f>
      </c>
      <c r="G15291">
        <f>IF(DATOS!$A15291="",0,IF(CONFIG_METADATA!$B$4&lt;&gt;"OR+EX",--(DATOS!$G15291=CONFIG_METADATA!$B$4),IF(DATOS!$G15291="EX",1,IF(DATOS!$G15291="OR",--(COUNTIFS(nNIA,DATOS!$A15291,nCURSO,DATOS!$D15291,nESPEC,DATOS!$E15291,nASIG,DATOS!$I15291,nEVAL,"EX")=0),0))))</f>
      </c>
      <c r="H15291">
        <f>IF(DATOS!$G15291&lt;&gt;"EX",0,--(COUNTIFS(nNIA,DATOS!$A15291,nCURSO,DATOS!$D15291,nESPEC,DATOS!$E15291,nASIG,DATOS!$I15291,nEVAL,"OR")=0))</f>
      </c>
      <c r="I15291">
        <f>IF(DATOS!$I15291="","",IFERROR(VLOOKUP(DATOS!$I15291,CONFIG_ASIGNATURAS!$B$2:$J$91,9,FALSE()),""))</f>
      </c>
    </row>
    <row r="15292">
      <c r="F15292">
        <f>IF(DATOS!$A15292="","",DATOS!$A15292&amp;"|"&amp;DATOS!$D15292&amp;"|"&amp;DATOS!$E15292&amp;"|"&amp;DATOS!$I15292)</f>
      </c>
      <c r="G15292">
        <f>IF(DATOS!$A15292="",0,IF(CONFIG_METADATA!$B$4&lt;&gt;"OR+EX",--(DATOS!$G15292=CONFIG_METADATA!$B$4),IF(DATOS!$G15292="EX",1,IF(DATOS!$G15292="OR",--(COUNTIFS(nNIA,DATOS!$A15292,nCURSO,DATOS!$D15292,nESPEC,DATOS!$E15292,nASIG,DATOS!$I15292,nEVAL,"EX")=0),0))))</f>
      </c>
      <c r="H15292">
        <f>IF(DATOS!$G15292&lt;&gt;"EX",0,--(COUNTIFS(nNIA,DATOS!$A15292,nCURSO,DATOS!$D15292,nESPEC,DATOS!$E15292,nASIG,DATOS!$I15292,nEVAL,"OR")=0))</f>
      </c>
      <c r="I15292">
        <f>IF(DATOS!$I15292="","",IFERROR(VLOOKUP(DATOS!$I15292,CONFIG_ASIGNATURAS!$B$2:$J$91,9,FALSE()),""))</f>
      </c>
    </row>
    <row r="15293">
      <c r="F15293">
        <f>IF(DATOS!$A15293="","",DATOS!$A15293&amp;"|"&amp;DATOS!$D15293&amp;"|"&amp;DATOS!$E15293&amp;"|"&amp;DATOS!$I15293)</f>
      </c>
      <c r="G15293">
        <f>IF(DATOS!$A15293="",0,IF(CONFIG_METADATA!$B$4&lt;&gt;"OR+EX",--(DATOS!$G15293=CONFIG_METADATA!$B$4),IF(DATOS!$G15293="EX",1,IF(DATOS!$G15293="OR",--(COUNTIFS(nNIA,DATOS!$A15293,nCURSO,DATOS!$D15293,nESPEC,DATOS!$E15293,nASIG,DATOS!$I15293,nEVAL,"EX")=0),0))))</f>
      </c>
      <c r="H15293">
        <f>IF(DATOS!$G15293&lt;&gt;"EX",0,--(COUNTIFS(nNIA,DATOS!$A15293,nCURSO,DATOS!$D15293,nESPEC,DATOS!$E15293,nASIG,DATOS!$I15293,nEVAL,"OR")=0))</f>
      </c>
      <c r="I15293">
        <f>IF(DATOS!$I15293="","",IFERROR(VLOOKUP(DATOS!$I15293,CONFIG_ASIGNATURAS!$B$2:$J$91,9,FALSE()),""))</f>
      </c>
    </row>
    <row r="15294">
      <c r="F15294">
        <f>IF(DATOS!$A15294="","",DATOS!$A15294&amp;"|"&amp;DATOS!$D15294&amp;"|"&amp;DATOS!$E15294&amp;"|"&amp;DATOS!$I15294)</f>
      </c>
      <c r="G15294">
        <f>IF(DATOS!$A15294="",0,IF(CONFIG_METADATA!$B$4&lt;&gt;"OR+EX",--(DATOS!$G15294=CONFIG_METADATA!$B$4),IF(DATOS!$G15294="EX",1,IF(DATOS!$G15294="OR",--(COUNTIFS(nNIA,DATOS!$A15294,nCURSO,DATOS!$D15294,nESPEC,DATOS!$E15294,nASIG,DATOS!$I15294,nEVAL,"EX")=0),0))))</f>
      </c>
      <c r="H15294">
        <f>IF(DATOS!$G15294&lt;&gt;"EX",0,--(COUNTIFS(nNIA,DATOS!$A15294,nCURSO,DATOS!$D15294,nESPEC,DATOS!$E15294,nASIG,DATOS!$I15294,nEVAL,"OR")=0))</f>
      </c>
      <c r="I15294">
        <f>IF(DATOS!$I15294="","",IFERROR(VLOOKUP(DATOS!$I15294,CONFIG_ASIGNATURAS!$B$2:$J$91,9,FALSE()),""))</f>
      </c>
    </row>
    <row r="15295">
      <c r="F15295">
        <f>IF(DATOS!$A15295="","",DATOS!$A15295&amp;"|"&amp;DATOS!$D15295&amp;"|"&amp;DATOS!$E15295&amp;"|"&amp;DATOS!$I15295)</f>
      </c>
      <c r="G15295">
        <f>IF(DATOS!$A15295="",0,IF(CONFIG_METADATA!$B$4&lt;&gt;"OR+EX",--(DATOS!$G15295=CONFIG_METADATA!$B$4),IF(DATOS!$G15295="EX",1,IF(DATOS!$G15295="OR",--(COUNTIFS(nNIA,DATOS!$A15295,nCURSO,DATOS!$D15295,nESPEC,DATOS!$E15295,nASIG,DATOS!$I15295,nEVAL,"EX")=0),0))))</f>
      </c>
      <c r="H15295">
        <f>IF(DATOS!$G15295&lt;&gt;"EX",0,--(COUNTIFS(nNIA,DATOS!$A15295,nCURSO,DATOS!$D15295,nESPEC,DATOS!$E15295,nASIG,DATOS!$I15295,nEVAL,"OR")=0))</f>
      </c>
      <c r="I15295">
        <f>IF(DATOS!$I15295="","",IFERROR(VLOOKUP(DATOS!$I15295,CONFIG_ASIGNATURAS!$B$2:$J$91,9,FALSE()),""))</f>
      </c>
    </row>
    <row r="15296">
      <c r="F15296">
        <f>IF(DATOS!$A15296="","",DATOS!$A15296&amp;"|"&amp;DATOS!$D15296&amp;"|"&amp;DATOS!$E15296&amp;"|"&amp;DATOS!$I15296)</f>
      </c>
      <c r="G15296">
        <f>IF(DATOS!$A15296="",0,IF(CONFIG_METADATA!$B$4&lt;&gt;"OR+EX",--(DATOS!$G15296=CONFIG_METADATA!$B$4),IF(DATOS!$G15296="EX",1,IF(DATOS!$G15296="OR",--(COUNTIFS(nNIA,DATOS!$A15296,nCURSO,DATOS!$D15296,nESPEC,DATOS!$E15296,nASIG,DATOS!$I15296,nEVAL,"EX")=0),0))))</f>
      </c>
      <c r="H15296">
        <f>IF(DATOS!$G15296&lt;&gt;"EX",0,--(COUNTIFS(nNIA,DATOS!$A15296,nCURSO,DATOS!$D15296,nESPEC,DATOS!$E15296,nASIG,DATOS!$I15296,nEVAL,"OR")=0))</f>
      </c>
      <c r="I15296">
        <f>IF(DATOS!$I15296="","",IFERROR(VLOOKUP(DATOS!$I15296,CONFIG_ASIGNATURAS!$B$2:$J$91,9,FALSE()),""))</f>
      </c>
    </row>
    <row r="15297">
      <c r="F15297">
        <f>IF(DATOS!$A15297="","",DATOS!$A15297&amp;"|"&amp;DATOS!$D15297&amp;"|"&amp;DATOS!$E15297&amp;"|"&amp;DATOS!$I15297)</f>
      </c>
      <c r="G15297">
        <f>IF(DATOS!$A15297="",0,IF(CONFIG_METADATA!$B$4&lt;&gt;"OR+EX",--(DATOS!$G15297=CONFIG_METADATA!$B$4),IF(DATOS!$G15297="EX",1,IF(DATOS!$G15297="OR",--(COUNTIFS(nNIA,DATOS!$A15297,nCURSO,DATOS!$D15297,nESPEC,DATOS!$E15297,nASIG,DATOS!$I15297,nEVAL,"EX")=0),0))))</f>
      </c>
      <c r="H15297">
        <f>IF(DATOS!$G15297&lt;&gt;"EX",0,--(COUNTIFS(nNIA,DATOS!$A15297,nCURSO,DATOS!$D15297,nESPEC,DATOS!$E15297,nASIG,DATOS!$I15297,nEVAL,"OR")=0))</f>
      </c>
      <c r="I15297">
        <f>IF(DATOS!$I15297="","",IFERROR(VLOOKUP(DATOS!$I15297,CONFIG_ASIGNATURAS!$B$2:$J$91,9,FALSE()),""))</f>
      </c>
    </row>
    <row r="15298">
      <c r="F15298">
        <f>IF(DATOS!$A15298="","",DATOS!$A15298&amp;"|"&amp;DATOS!$D15298&amp;"|"&amp;DATOS!$E15298&amp;"|"&amp;DATOS!$I15298)</f>
      </c>
      <c r="G15298">
        <f>IF(DATOS!$A15298="",0,IF(CONFIG_METADATA!$B$4&lt;&gt;"OR+EX",--(DATOS!$G15298=CONFIG_METADATA!$B$4),IF(DATOS!$G15298="EX",1,IF(DATOS!$G15298="OR",--(COUNTIFS(nNIA,DATOS!$A15298,nCURSO,DATOS!$D15298,nESPEC,DATOS!$E15298,nASIG,DATOS!$I15298,nEVAL,"EX")=0),0))))</f>
      </c>
      <c r="H15298">
        <f>IF(DATOS!$G15298&lt;&gt;"EX",0,--(COUNTIFS(nNIA,DATOS!$A15298,nCURSO,DATOS!$D15298,nESPEC,DATOS!$E15298,nASIG,DATOS!$I15298,nEVAL,"OR")=0))</f>
      </c>
      <c r="I15298">
        <f>IF(DATOS!$I15298="","",IFERROR(VLOOKUP(DATOS!$I15298,CONFIG_ASIGNATURAS!$B$2:$J$91,9,FALSE()),""))</f>
      </c>
    </row>
    <row r="15299">
      <c r="F15299">
        <f>IF(DATOS!$A15299="","",DATOS!$A15299&amp;"|"&amp;DATOS!$D15299&amp;"|"&amp;DATOS!$E15299&amp;"|"&amp;DATOS!$I15299)</f>
      </c>
      <c r="G15299">
        <f>IF(DATOS!$A15299="",0,IF(CONFIG_METADATA!$B$4&lt;&gt;"OR+EX",--(DATOS!$G15299=CONFIG_METADATA!$B$4),IF(DATOS!$G15299="EX",1,IF(DATOS!$G15299="OR",--(COUNTIFS(nNIA,DATOS!$A15299,nCURSO,DATOS!$D15299,nESPEC,DATOS!$E15299,nASIG,DATOS!$I15299,nEVAL,"EX")=0),0))))</f>
      </c>
      <c r="H15299">
        <f>IF(DATOS!$G15299&lt;&gt;"EX",0,--(COUNTIFS(nNIA,DATOS!$A15299,nCURSO,DATOS!$D15299,nESPEC,DATOS!$E15299,nASIG,DATOS!$I15299,nEVAL,"OR")=0))</f>
      </c>
      <c r="I15299">
        <f>IF(DATOS!$I15299="","",IFERROR(VLOOKUP(DATOS!$I15299,CONFIG_ASIGNATURAS!$B$2:$J$91,9,FALSE()),""))</f>
      </c>
    </row>
    <row r="15300">
      <c r="F15300">
        <f>IF(DATOS!$A15300="","",DATOS!$A15300&amp;"|"&amp;DATOS!$D15300&amp;"|"&amp;DATOS!$E15300&amp;"|"&amp;DATOS!$I15300)</f>
      </c>
      <c r="G15300">
        <f>IF(DATOS!$A15300="",0,IF(CONFIG_METADATA!$B$4&lt;&gt;"OR+EX",--(DATOS!$G15300=CONFIG_METADATA!$B$4),IF(DATOS!$G15300="EX",1,IF(DATOS!$G15300="OR",--(COUNTIFS(nNIA,DATOS!$A15300,nCURSO,DATOS!$D15300,nESPEC,DATOS!$E15300,nASIG,DATOS!$I15300,nEVAL,"EX")=0),0))))</f>
      </c>
      <c r="H15300">
        <f>IF(DATOS!$G15300&lt;&gt;"EX",0,--(COUNTIFS(nNIA,DATOS!$A15300,nCURSO,DATOS!$D15300,nESPEC,DATOS!$E15300,nASIG,DATOS!$I15300,nEVAL,"OR")=0))</f>
      </c>
      <c r="I15300">
        <f>IF(DATOS!$I15300="","",IFERROR(VLOOKUP(DATOS!$I15300,CONFIG_ASIGNATURAS!$B$2:$J$91,9,FALSE()),""))</f>
      </c>
    </row>
    <row r="15301">
      <c r="F15301">
        <f>IF(DATOS!$A15301="","",DATOS!$A15301&amp;"|"&amp;DATOS!$D15301&amp;"|"&amp;DATOS!$E15301&amp;"|"&amp;DATOS!$I15301)</f>
      </c>
      <c r="G15301">
        <f>IF(DATOS!$A15301="",0,IF(CONFIG_METADATA!$B$4&lt;&gt;"OR+EX",--(DATOS!$G15301=CONFIG_METADATA!$B$4),IF(DATOS!$G15301="EX",1,IF(DATOS!$G15301="OR",--(COUNTIFS(nNIA,DATOS!$A15301,nCURSO,DATOS!$D15301,nESPEC,DATOS!$E15301,nASIG,DATOS!$I15301,nEVAL,"EX")=0),0))))</f>
      </c>
      <c r="H15301">
        <f>IF(DATOS!$G15301&lt;&gt;"EX",0,--(COUNTIFS(nNIA,DATOS!$A15301,nCURSO,DATOS!$D15301,nESPEC,DATOS!$E15301,nASIG,DATOS!$I15301,nEVAL,"OR")=0))</f>
      </c>
      <c r="I15301">
        <f>IF(DATOS!$I15301="","",IFERROR(VLOOKUP(DATOS!$I15301,CONFIG_ASIGNATURAS!$B$2:$J$91,9,FALSE()),""))</f>
      </c>
    </row>
    <row r="15302">
      <c r="F15302">
        <f>IF(DATOS!$A15302="","",DATOS!$A15302&amp;"|"&amp;DATOS!$D15302&amp;"|"&amp;DATOS!$E15302&amp;"|"&amp;DATOS!$I15302)</f>
      </c>
      <c r="G15302">
        <f>IF(DATOS!$A15302="",0,IF(CONFIG_METADATA!$B$4&lt;&gt;"OR+EX",--(DATOS!$G15302=CONFIG_METADATA!$B$4),IF(DATOS!$G15302="EX",1,IF(DATOS!$G15302="OR",--(COUNTIFS(nNIA,DATOS!$A15302,nCURSO,DATOS!$D15302,nESPEC,DATOS!$E15302,nASIG,DATOS!$I15302,nEVAL,"EX")=0),0))))</f>
      </c>
      <c r="H15302">
        <f>IF(DATOS!$G15302&lt;&gt;"EX",0,--(COUNTIFS(nNIA,DATOS!$A15302,nCURSO,DATOS!$D15302,nESPEC,DATOS!$E15302,nASIG,DATOS!$I15302,nEVAL,"OR")=0))</f>
      </c>
      <c r="I15302">
        <f>IF(DATOS!$I15302="","",IFERROR(VLOOKUP(DATOS!$I15302,CONFIG_ASIGNATURAS!$B$2:$J$91,9,FALSE()),""))</f>
      </c>
    </row>
    <row r="15303">
      <c r="F15303">
        <f>IF(DATOS!$A15303="","",DATOS!$A15303&amp;"|"&amp;DATOS!$D15303&amp;"|"&amp;DATOS!$E15303&amp;"|"&amp;DATOS!$I15303)</f>
      </c>
      <c r="G15303">
        <f>IF(DATOS!$A15303="",0,IF(CONFIG_METADATA!$B$4&lt;&gt;"OR+EX",--(DATOS!$G15303=CONFIG_METADATA!$B$4),IF(DATOS!$G15303="EX",1,IF(DATOS!$G15303="OR",--(COUNTIFS(nNIA,DATOS!$A15303,nCURSO,DATOS!$D15303,nESPEC,DATOS!$E15303,nASIG,DATOS!$I15303,nEVAL,"EX")=0),0))))</f>
      </c>
      <c r="H15303">
        <f>IF(DATOS!$G15303&lt;&gt;"EX",0,--(COUNTIFS(nNIA,DATOS!$A15303,nCURSO,DATOS!$D15303,nESPEC,DATOS!$E15303,nASIG,DATOS!$I15303,nEVAL,"OR")=0))</f>
      </c>
      <c r="I15303">
        <f>IF(DATOS!$I15303="","",IFERROR(VLOOKUP(DATOS!$I15303,CONFIG_ASIGNATURAS!$B$2:$J$91,9,FALSE()),""))</f>
      </c>
    </row>
    <row r="15304">
      <c r="F15304">
        <f>IF(DATOS!$A15304="","",DATOS!$A15304&amp;"|"&amp;DATOS!$D15304&amp;"|"&amp;DATOS!$E15304&amp;"|"&amp;DATOS!$I15304)</f>
      </c>
      <c r="G15304">
        <f>IF(DATOS!$A15304="",0,IF(CONFIG_METADATA!$B$4&lt;&gt;"OR+EX",--(DATOS!$G15304=CONFIG_METADATA!$B$4),IF(DATOS!$G15304="EX",1,IF(DATOS!$G15304="OR",--(COUNTIFS(nNIA,DATOS!$A15304,nCURSO,DATOS!$D15304,nESPEC,DATOS!$E15304,nASIG,DATOS!$I15304,nEVAL,"EX")=0),0))))</f>
      </c>
      <c r="H15304">
        <f>IF(DATOS!$G15304&lt;&gt;"EX",0,--(COUNTIFS(nNIA,DATOS!$A15304,nCURSO,DATOS!$D15304,nESPEC,DATOS!$E15304,nASIG,DATOS!$I15304,nEVAL,"OR")=0))</f>
      </c>
      <c r="I15304">
        <f>IF(DATOS!$I15304="","",IFERROR(VLOOKUP(DATOS!$I15304,CONFIG_ASIGNATURAS!$B$2:$J$91,9,FALSE()),""))</f>
      </c>
    </row>
    <row r="15305">
      <c r="F15305">
        <f>IF(DATOS!$A15305="","",DATOS!$A15305&amp;"|"&amp;DATOS!$D15305&amp;"|"&amp;DATOS!$E15305&amp;"|"&amp;DATOS!$I15305)</f>
      </c>
      <c r="G15305">
        <f>IF(DATOS!$A15305="",0,IF(CONFIG_METADATA!$B$4&lt;&gt;"OR+EX",--(DATOS!$G15305=CONFIG_METADATA!$B$4),IF(DATOS!$G15305="EX",1,IF(DATOS!$G15305="OR",--(COUNTIFS(nNIA,DATOS!$A15305,nCURSO,DATOS!$D15305,nESPEC,DATOS!$E15305,nASIG,DATOS!$I15305,nEVAL,"EX")=0),0))))</f>
      </c>
      <c r="H15305">
        <f>IF(DATOS!$G15305&lt;&gt;"EX",0,--(COUNTIFS(nNIA,DATOS!$A15305,nCURSO,DATOS!$D15305,nESPEC,DATOS!$E15305,nASIG,DATOS!$I15305,nEVAL,"OR")=0))</f>
      </c>
      <c r="I15305">
        <f>IF(DATOS!$I15305="","",IFERROR(VLOOKUP(DATOS!$I15305,CONFIG_ASIGNATURAS!$B$2:$J$91,9,FALSE()),""))</f>
      </c>
    </row>
    <row r="15306">
      <c r="F15306">
        <f>IF(DATOS!$A15306="","",DATOS!$A15306&amp;"|"&amp;DATOS!$D15306&amp;"|"&amp;DATOS!$E15306&amp;"|"&amp;DATOS!$I15306)</f>
      </c>
      <c r="G15306">
        <f>IF(DATOS!$A15306="",0,IF(CONFIG_METADATA!$B$4&lt;&gt;"OR+EX",--(DATOS!$G15306=CONFIG_METADATA!$B$4),IF(DATOS!$G15306="EX",1,IF(DATOS!$G15306="OR",--(COUNTIFS(nNIA,DATOS!$A15306,nCURSO,DATOS!$D15306,nESPEC,DATOS!$E15306,nASIG,DATOS!$I15306,nEVAL,"EX")=0),0))))</f>
      </c>
      <c r="H15306">
        <f>IF(DATOS!$G15306&lt;&gt;"EX",0,--(COUNTIFS(nNIA,DATOS!$A15306,nCURSO,DATOS!$D15306,nESPEC,DATOS!$E15306,nASIG,DATOS!$I15306,nEVAL,"OR")=0))</f>
      </c>
      <c r="I15306">
        <f>IF(DATOS!$I15306="","",IFERROR(VLOOKUP(DATOS!$I15306,CONFIG_ASIGNATURAS!$B$2:$J$91,9,FALSE()),""))</f>
      </c>
    </row>
    <row r="15307">
      <c r="F15307">
        <f>IF(DATOS!$A15307="","",DATOS!$A15307&amp;"|"&amp;DATOS!$D15307&amp;"|"&amp;DATOS!$E15307&amp;"|"&amp;DATOS!$I15307)</f>
      </c>
      <c r="G15307">
        <f>IF(DATOS!$A15307="",0,IF(CONFIG_METADATA!$B$4&lt;&gt;"OR+EX",--(DATOS!$G15307=CONFIG_METADATA!$B$4),IF(DATOS!$G15307="EX",1,IF(DATOS!$G15307="OR",--(COUNTIFS(nNIA,DATOS!$A15307,nCURSO,DATOS!$D15307,nESPEC,DATOS!$E15307,nASIG,DATOS!$I15307,nEVAL,"EX")=0),0))))</f>
      </c>
      <c r="H15307">
        <f>IF(DATOS!$G15307&lt;&gt;"EX",0,--(COUNTIFS(nNIA,DATOS!$A15307,nCURSO,DATOS!$D15307,nESPEC,DATOS!$E15307,nASIG,DATOS!$I15307,nEVAL,"OR")=0))</f>
      </c>
      <c r="I15307">
        <f>IF(DATOS!$I15307="","",IFERROR(VLOOKUP(DATOS!$I15307,CONFIG_ASIGNATURAS!$B$2:$J$91,9,FALSE()),""))</f>
      </c>
    </row>
    <row r="15308">
      <c r="F15308">
        <f>IF(DATOS!$A15308="","",DATOS!$A15308&amp;"|"&amp;DATOS!$D15308&amp;"|"&amp;DATOS!$E15308&amp;"|"&amp;DATOS!$I15308)</f>
      </c>
      <c r="G15308">
        <f>IF(DATOS!$A15308="",0,IF(CONFIG_METADATA!$B$4&lt;&gt;"OR+EX",--(DATOS!$G15308=CONFIG_METADATA!$B$4),IF(DATOS!$G15308="EX",1,IF(DATOS!$G15308="OR",--(COUNTIFS(nNIA,DATOS!$A15308,nCURSO,DATOS!$D15308,nESPEC,DATOS!$E15308,nASIG,DATOS!$I15308,nEVAL,"EX")=0),0))))</f>
      </c>
      <c r="H15308">
        <f>IF(DATOS!$G15308&lt;&gt;"EX",0,--(COUNTIFS(nNIA,DATOS!$A15308,nCURSO,DATOS!$D15308,nESPEC,DATOS!$E15308,nASIG,DATOS!$I15308,nEVAL,"OR")=0))</f>
      </c>
      <c r="I15308">
        <f>IF(DATOS!$I15308="","",IFERROR(VLOOKUP(DATOS!$I15308,CONFIG_ASIGNATURAS!$B$2:$J$91,9,FALSE()),""))</f>
      </c>
    </row>
    <row r="15309">
      <c r="F15309">
        <f>IF(DATOS!$A15309="","",DATOS!$A15309&amp;"|"&amp;DATOS!$D15309&amp;"|"&amp;DATOS!$E15309&amp;"|"&amp;DATOS!$I15309)</f>
      </c>
      <c r="G15309">
        <f>IF(DATOS!$A15309="",0,IF(CONFIG_METADATA!$B$4&lt;&gt;"OR+EX",--(DATOS!$G15309=CONFIG_METADATA!$B$4),IF(DATOS!$G15309="EX",1,IF(DATOS!$G15309="OR",--(COUNTIFS(nNIA,DATOS!$A15309,nCURSO,DATOS!$D15309,nESPEC,DATOS!$E15309,nASIG,DATOS!$I15309,nEVAL,"EX")=0),0))))</f>
      </c>
      <c r="H15309">
        <f>IF(DATOS!$G15309&lt;&gt;"EX",0,--(COUNTIFS(nNIA,DATOS!$A15309,nCURSO,DATOS!$D15309,nESPEC,DATOS!$E15309,nASIG,DATOS!$I15309,nEVAL,"OR")=0))</f>
      </c>
      <c r="I15309">
        <f>IF(DATOS!$I15309="","",IFERROR(VLOOKUP(DATOS!$I15309,CONFIG_ASIGNATURAS!$B$2:$J$91,9,FALSE()),""))</f>
      </c>
    </row>
    <row r="15310">
      <c r="F15310">
        <f>IF(DATOS!$A15310="","",DATOS!$A15310&amp;"|"&amp;DATOS!$D15310&amp;"|"&amp;DATOS!$E15310&amp;"|"&amp;DATOS!$I15310)</f>
      </c>
      <c r="G15310">
        <f>IF(DATOS!$A15310="",0,IF(CONFIG_METADATA!$B$4&lt;&gt;"OR+EX",--(DATOS!$G15310=CONFIG_METADATA!$B$4),IF(DATOS!$G15310="EX",1,IF(DATOS!$G15310="OR",--(COUNTIFS(nNIA,DATOS!$A15310,nCURSO,DATOS!$D15310,nESPEC,DATOS!$E15310,nASIG,DATOS!$I15310,nEVAL,"EX")=0),0))))</f>
      </c>
      <c r="H15310">
        <f>IF(DATOS!$G15310&lt;&gt;"EX",0,--(COUNTIFS(nNIA,DATOS!$A15310,nCURSO,DATOS!$D15310,nESPEC,DATOS!$E15310,nASIG,DATOS!$I15310,nEVAL,"OR")=0))</f>
      </c>
      <c r="I15310">
        <f>IF(DATOS!$I15310="","",IFERROR(VLOOKUP(DATOS!$I15310,CONFIG_ASIGNATURAS!$B$2:$J$91,9,FALSE()),""))</f>
      </c>
    </row>
    <row r="15311">
      <c r="F15311">
        <f>IF(DATOS!$A15311="","",DATOS!$A15311&amp;"|"&amp;DATOS!$D15311&amp;"|"&amp;DATOS!$E15311&amp;"|"&amp;DATOS!$I15311)</f>
      </c>
      <c r="G15311">
        <f>IF(DATOS!$A15311="",0,IF(CONFIG_METADATA!$B$4&lt;&gt;"OR+EX",--(DATOS!$G15311=CONFIG_METADATA!$B$4),IF(DATOS!$G15311="EX",1,IF(DATOS!$G15311="OR",--(COUNTIFS(nNIA,DATOS!$A15311,nCURSO,DATOS!$D15311,nESPEC,DATOS!$E15311,nASIG,DATOS!$I15311,nEVAL,"EX")=0),0))))</f>
      </c>
      <c r="H15311">
        <f>IF(DATOS!$G15311&lt;&gt;"EX",0,--(COUNTIFS(nNIA,DATOS!$A15311,nCURSO,DATOS!$D15311,nESPEC,DATOS!$E15311,nASIG,DATOS!$I15311,nEVAL,"OR")=0))</f>
      </c>
      <c r="I15311">
        <f>IF(DATOS!$I15311="","",IFERROR(VLOOKUP(DATOS!$I15311,CONFIG_ASIGNATURAS!$B$2:$J$91,9,FALSE()),""))</f>
      </c>
    </row>
    <row r="15312">
      <c r="F15312">
        <f>IF(DATOS!$A15312="","",DATOS!$A15312&amp;"|"&amp;DATOS!$D15312&amp;"|"&amp;DATOS!$E15312&amp;"|"&amp;DATOS!$I15312)</f>
      </c>
      <c r="G15312">
        <f>IF(DATOS!$A15312="",0,IF(CONFIG_METADATA!$B$4&lt;&gt;"OR+EX",--(DATOS!$G15312=CONFIG_METADATA!$B$4),IF(DATOS!$G15312="EX",1,IF(DATOS!$G15312="OR",--(COUNTIFS(nNIA,DATOS!$A15312,nCURSO,DATOS!$D15312,nESPEC,DATOS!$E15312,nASIG,DATOS!$I15312,nEVAL,"EX")=0),0))))</f>
      </c>
      <c r="H15312">
        <f>IF(DATOS!$G15312&lt;&gt;"EX",0,--(COUNTIFS(nNIA,DATOS!$A15312,nCURSO,DATOS!$D15312,nESPEC,DATOS!$E15312,nASIG,DATOS!$I15312,nEVAL,"OR")=0))</f>
      </c>
      <c r="I15312">
        <f>IF(DATOS!$I15312="","",IFERROR(VLOOKUP(DATOS!$I15312,CONFIG_ASIGNATURAS!$B$2:$J$91,9,FALSE()),""))</f>
      </c>
    </row>
    <row r="15313">
      <c r="F15313">
        <f>IF(DATOS!$A15313="","",DATOS!$A15313&amp;"|"&amp;DATOS!$D15313&amp;"|"&amp;DATOS!$E15313&amp;"|"&amp;DATOS!$I15313)</f>
      </c>
      <c r="G15313">
        <f>IF(DATOS!$A15313="",0,IF(CONFIG_METADATA!$B$4&lt;&gt;"OR+EX",--(DATOS!$G15313=CONFIG_METADATA!$B$4),IF(DATOS!$G15313="EX",1,IF(DATOS!$G15313="OR",--(COUNTIFS(nNIA,DATOS!$A15313,nCURSO,DATOS!$D15313,nESPEC,DATOS!$E15313,nASIG,DATOS!$I15313,nEVAL,"EX")=0),0))))</f>
      </c>
      <c r="H15313">
        <f>IF(DATOS!$G15313&lt;&gt;"EX",0,--(COUNTIFS(nNIA,DATOS!$A15313,nCURSO,DATOS!$D15313,nESPEC,DATOS!$E15313,nASIG,DATOS!$I15313,nEVAL,"OR")=0))</f>
      </c>
      <c r="I15313">
        <f>IF(DATOS!$I15313="","",IFERROR(VLOOKUP(DATOS!$I15313,CONFIG_ASIGNATURAS!$B$2:$J$91,9,FALSE()),""))</f>
      </c>
    </row>
    <row r="15314">
      <c r="F15314">
        <f>IF(DATOS!$A15314="","",DATOS!$A15314&amp;"|"&amp;DATOS!$D15314&amp;"|"&amp;DATOS!$E15314&amp;"|"&amp;DATOS!$I15314)</f>
      </c>
      <c r="G15314">
        <f>IF(DATOS!$A15314="",0,IF(CONFIG_METADATA!$B$4&lt;&gt;"OR+EX",--(DATOS!$G15314=CONFIG_METADATA!$B$4),IF(DATOS!$G15314="EX",1,IF(DATOS!$G15314="OR",--(COUNTIFS(nNIA,DATOS!$A15314,nCURSO,DATOS!$D15314,nESPEC,DATOS!$E15314,nASIG,DATOS!$I15314,nEVAL,"EX")=0),0))))</f>
      </c>
      <c r="H15314">
        <f>IF(DATOS!$G15314&lt;&gt;"EX",0,--(COUNTIFS(nNIA,DATOS!$A15314,nCURSO,DATOS!$D15314,nESPEC,DATOS!$E15314,nASIG,DATOS!$I15314,nEVAL,"OR")=0))</f>
      </c>
      <c r="I15314">
        <f>IF(DATOS!$I15314="","",IFERROR(VLOOKUP(DATOS!$I15314,CONFIG_ASIGNATURAS!$B$2:$J$91,9,FALSE()),""))</f>
      </c>
    </row>
    <row r="15315">
      <c r="F15315">
        <f>IF(DATOS!$A15315="","",DATOS!$A15315&amp;"|"&amp;DATOS!$D15315&amp;"|"&amp;DATOS!$E15315&amp;"|"&amp;DATOS!$I15315)</f>
      </c>
      <c r="G15315">
        <f>IF(DATOS!$A15315="",0,IF(CONFIG_METADATA!$B$4&lt;&gt;"OR+EX",--(DATOS!$G15315=CONFIG_METADATA!$B$4),IF(DATOS!$G15315="EX",1,IF(DATOS!$G15315="OR",--(COUNTIFS(nNIA,DATOS!$A15315,nCURSO,DATOS!$D15315,nESPEC,DATOS!$E15315,nASIG,DATOS!$I15315,nEVAL,"EX")=0),0))))</f>
      </c>
      <c r="H15315">
        <f>IF(DATOS!$G15315&lt;&gt;"EX",0,--(COUNTIFS(nNIA,DATOS!$A15315,nCURSO,DATOS!$D15315,nESPEC,DATOS!$E15315,nASIG,DATOS!$I15315,nEVAL,"OR")=0))</f>
      </c>
      <c r="I15315">
        <f>IF(DATOS!$I15315="","",IFERROR(VLOOKUP(DATOS!$I15315,CONFIG_ASIGNATURAS!$B$2:$J$91,9,FALSE()),""))</f>
      </c>
    </row>
    <row r="15316">
      <c r="F15316">
        <f>IF(DATOS!$A15316="","",DATOS!$A15316&amp;"|"&amp;DATOS!$D15316&amp;"|"&amp;DATOS!$E15316&amp;"|"&amp;DATOS!$I15316)</f>
      </c>
      <c r="G15316">
        <f>IF(DATOS!$A15316="",0,IF(CONFIG_METADATA!$B$4&lt;&gt;"OR+EX",--(DATOS!$G15316=CONFIG_METADATA!$B$4),IF(DATOS!$G15316="EX",1,IF(DATOS!$G15316="OR",--(COUNTIFS(nNIA,DATOS!$A15316,nCURSO,DATOS!$D15316,nESPEC,DATOS!$E15316,nASIG,DATOS!$I15316,nEVAL,"EX")=0),0))))</f>
      </c>
      <c r="H15316">
        <f>IF(DATOS!$G15316&lt;&gt;"EX",0,--(COUNTIFS(nNIA,DATOS!$A15316,nCURSO,DATOS!$D15316,nESPEC,DATOS!$E15316,nASIG,DATOS!$I15316,nEVAL,"OR")=0))</f>
      </c>
      <c r="I15316">
        <f>IF(DATOS!$I15316="","",IFERROR(VLOOKUP(DATOS!$I15316,CONFIG_ASIGNATURAS!$B$2:$J$91,9,FALSE()),""))</f>
      </c>
    </row>
    <row r="15317">
      <c r="F15317">
        <f>IF(DATOS!$A15317="","",DATOS!$A15317&amp;"|"&amp;DATOS!$D15317&amp;"|"&amp;DATOS!$E15317&amp;"|"&amp;DATOS!$I15317)</f>
      </c>
      <c r="G15317">
        <f>IF(DATOS!$A15317="",0,IF(CONFIG_METADATA!$B$4&lt;&gt;"OR+EX",--(DATOS!$G15317=CONFIG_METADATA!$B$4),IF(DATOS!$G15317="EX",1,IF(DATOS!$G15317="OR",--(COUNTIFS(nNIA,DATOS!$A15317,nCURSO,DATOS!$D15317,nESPEC,DATOS!$E15317,nASIG,DATOS!$I15317,nEVAL,"EX")=0),0))))</f>
      </c>
      <c r="H15317">
        <f>IF(DATOS!$G15317&lt;&gt;"EX",0,--(COUNTIFS(nNIA,DATOS!$A15317,nCURSO,DATOS!$D15317,nESPEC,DATOS!$E15317,nASIG,DATOS!$I15317,nEVAL,"OR")=0))</f>
      </c>
      <c r="I15317">
        <f>IF(DATOS!$I15317="","",IFERROR(VLOOKUP(DATOS!$I15317,CONFIG_ASIGNATURAS!$B$2:$J$91,9,FALSE()),""))</f>
      </c>
    </row>
    <row r="15318">
      <c r="F15318">
        <f>IF(DATOS!$A15318="","",DATOS!$A15318&amp;"|"&amp;DATOS!$D15318&amp;"|"&amp;DATOS!$E15318&amp;"|"&amp;DATOS!$I15318)</f>
      </c>
      <c r="G15318">
        <f>IF(DATOS!$A15318="",0,IF(CONFIG_METADATA!$B$4&lt;&gt;"OR+EX",--(DATOS!$G15318=CONFIG_METADATA!$B$4),IF(DATOS!$G15318="EX",1,IF(DATOS!$G15318="OR",--(COUNTIFS(nNIA,DATOS!$A15318,nCURSO,DATOS!$D15318,nESPEC,DATOS!$E15318,nASIG,DATOS!$I15318,nEVAL,"EX")=0),0))))</f>
      </c>
      <c r="H15318">
        <f>IF(DATOS!$G15318&lt;&gt;"EX",0,--(COUNTIFS(nNIA,DATOS!$A15318,nCURSO,DATOS!$D15318,nESPEC,DATOS!$E15318,nASIG,DATOS!$I15318,nEVAL,"OR")=0))</f>
      </c>
      <c r="I15318">
        <f>IF(DATOS!$I15318="","",IFERROR(VLOOKUP(DATOS!$I15318,CONFIG_ASIGNATURAS!$B$2:$J$91,9,FALSE()),""))</f>
      </c>
    </row>
    <row r="15319">
      <c r="F15319">
        <f>IF(DATOS!$A15319="","",DATOS!$A15319&amp;"|"&amp;DATOS!$D15319&amp;"|"&amp;DATOS!$E15319&amp;"|"&amp;DATOS!$I15319)</f>
      </c>
      <c r="G15319">
        <f>IF(DATOS!$A15319="",0,IF(CONFIG_METADATA!$B$4&lt;&gt;"OR+EX",--(DATOS!$G15319=CONFIG_METADATA!$B$4),IF(DATOS!$G15319="EX",1,IF(DATOS!$G15319="OR",--(COUNTIFS(nNIA,DATOS!$A15319,nCURSO,DATOS!$D15319,nESPEC,DATOS!$E15319,nASIG,DATOS!$I15319,nEVAL,"EX")=0),0))))</f>
      </c>
      <c r="H15319">
        <f>IF(DATOS!$G15319&lt;&gt;"EX",0,--(COUNTIFS(nNIA,DATOS!$A15319,nCURSO,DATOS!$D15319,nESPEC,DATOS!$E15319,nASIG,DATOS!$I15319,nEVAL,"OR")=0))</f>
      </c>
      <c r="I15319">
        <f>IF(DATOS!$I15319="","",IFERROR(VLOOKUP(DATOS!$I15319,CONFIG_ASIGNATURAS!$B$2:$J$91,9,FALSE()),""))</f>
      </c>
    </row>
    <row r="15320">
      <c r="F15320">
        <f>IF(DATOS!$A15320="","",DATOS!$A15320&amp;"|"&amp;DATOS!$D15320&amp;"|"&amp;DATOS!$E15320&amp;"|"&amp;DATOS!$I15320)</f>
      </c>
      <c r="G15320">
        <f>IF(DATOS!$A15320="",0,IF(CONFIG_METADATA!$B$4&lt;&gt;"OR+EX",--(DATOS!$G15320=CONFIG_METADATA!$B$4),IF(DATOS!$G15320="EX",1,IF(DATOS!$G15320="OR",--(COUNTIFS(nNIA,DATOS!$A15320,nCURSO,DATOS!$D15320,nESPEC,DATOS!$E15320,nASIG,DATOS!$I15320,nEVAL,"EX")=0),0))))</f>
      </c>
      <c r="H15320">
        <f>IF(DATOS!$G15320&lt;&gt;"EX",0,--(COUNTIFS(nNIA,DATOS!$A15320,nCURSO,DATOS!$D15320,nESPEC,DATOS!$E15320,nASIG,DATOS!$I15320,nEVAL,"OR")=0))</f>
      </c>
      <c r="I15320">
        <f>IF(DATOS!$I15320="","",IFERROR(VLOOKUP(DATOS!$I15320,CONFIG_ASIGNATURAS!$B$2:$J$91,9,FALSE()),""))</f>
      </c>
    </row>
    <row r="15321">
      <c r="F15321">
        <f>IF(DATOS!$A15321="","",DATOS!$A15321&amp;"|"&amp;DATOS!$D15321&amp;"|"&amp;DATOS!$E15321&amp;"|"&amp;DATOS!$I15321)</f>
      </c>
      <c r="G15321">
        <f>IF(DATOS!$A15321="",0,IF(CONFIG_METADATA!$B$4&lt;&gt;"OR+EX",--(DATOS!$G15321=CONFIG_METADATA!$B$4),IF(DATOS!$G15321="EX",1,IF(DATOS!$G15321="OR",--(COUNTIFS(nNIA,DATOS!$A15321,nCURSO,DATOS!$D15321,nESPEC,DATOS!$E15321,nASIG,DATOS!$I15321,nEVAL,"EX")=0),0))))</f>
      </c>
      <c r="H15321">
        <f>IF(DATOS!$G15321&lt;&gt;"EX",0,--(COUNTIFS(nNIA,DATOS!$A15321,nCURSO,DATOS!$D15321,nESPEC,DATOS!$E15321,nASIG,DATOS!$I15321,nEVAL,"OR")=0))</f>
      </c>
      <c r="I15321">
        <f>IF(DATOS!$I15321="","",IFERROR(VLOOKUP(DATOS!$I15321,CONFIG_ASIGNATURAS!$B$2:$J$91,9,FALSE()),""))</f>
      </c>
    </row>
    <row r="15322">
      <c r="F15322">
        <f>IF(DATOS!$A15322="","",DATOS!$A15322&amp;"|"&amp;DATOS!$D15322&amp;"|"&amp;DATOS!$E15322&amp;"|"&amp;DATOS!$I15322)</f>
      </c>
      <c r="G15322">
        <f>IF(DATOS!$A15322="",0,IF(CONFIG_METADATA!$B$4&lt;&gt;"OR+EX",--(DATOS!$G15322=CONFIG_METADATA!$B$4),IF(DATOS!$G15322="EX",1,IF(DATOS!$G15322="OR",--(COUNTIFS(nNIA,DATOS!$A15322,nCURSO,DATOS!$D15322,nESPEC,DATOS!$E15322,nASIG,DATOS!$I15322,nEVAL,"EX")=0),0))))</f>
      </c>
      <c r="H15322">
        <f>IF(DATOS!$G15322&lt;&gt;"EX",0,--(COUNTIFS(nNIA,DATOS!$A15322,nCURSO,DATOS!$D15322,nESPEC,DATOS!$E15322,nASIG,DATOS!$I15322,nEVAL,"OR")=0))</f>
      </c>
      <c r="I15322">
        <f>IF(DATOS!$I15322="","",IFERROR(VLOOKUP(DATOS!$I15322,CONFIG_ASIGNATURAS!$B$2:$J$91,9,FALSE()),""))</f>
      </c>
    </row>
    <row r="15323">
      <c r="F15323">
        <f>IF(DATOS!$A15323="","",DATOS!$A15323&amp;"|"&amp;DATOS!$D15323&amp;"|"&amp;DATOS!$E15323&amp;"|"&amp;DATOS!$I15323)</f>
      </c>
      <c r="G15323">
        <f>IF(DATOS!$A15323="",0,IF(CONFIG_METADATA!$B$4&lt;&gt;"OR+EX",--(DATOS!$G15323=CONFIG_METADATA!$B$4),IF(DATOS!$G15323="EX",1,IF(DATOS!$G15323="OR",--(COUNTIFS(nNIA,DATOS!$A15323,nCURSO,DATOS!$D15323,nESPEC,DATOS!$E15323,nASIG,DATOS!$I15323,nEVAL,"EX")=0),0))))</f>
      </c>
      <c r="H15323">
        <f>IF(DATOS!$G15323&lt;&gt;"EX",0,--(COUNTIFS(nNIA,DATOS!$A15323,nCURSO,DATOS!$D15323,nESPEC,DATOS!$E15323,nASIG,DATOS!$I15323,nEVAL,"OR")=0))</f>
      </c>
      <c r="I15323">
        <f>IF(DATOS!$I15323="","",IFERROR(VLOOKUP(DATOS!$I15323,CONFIG_ASIGNATURAS!$B$2:$J$91,9,FALSE()),""))</f>
      </c>
    </row>
    <row r="15324">
      <c r="F15324">
        <f>IF(DATOS!$A15324="","",DATOS!$A15324&amp;"|"&amp;DATOS!$D15324&amp;"|"&amp;DATOS!$E15324&amp;"|"&amp;DATOS!$I15324)</f>
      </c>
      <c r="G15324">
        <f>IF(DATOS!$A15324="",0,IF(CONFIG_METADATA!$B$4&lt;&gt;"OR+EX",--(DATOS!$G15324=CONFIG_METADATA!$B$4),IF(DATOS!$G15324="EX",1,IF(DATOS!$G15324="OR",--(COUNTIFS(nNIA,DATOS!$A15324,nCURSO,DATOS!$D15324,nESPEC,DATOS!$E15324,nASIG,DATOS!$I15324,nEVAL,"EX")=0),0))))</f>
      </c>
      <c r="H15324">
        <f>IF(DATOS!$G15324&lt;&gt;"EX",0,--(COUNTIFS(nNIA,DATOS!$A15324,nCURSO,DATOS!$D15324,nESPEC,DATOS!$E15324,nASIG,DATOS!$I15324,nEVAL,"OR")=0))</f>
      </c>
      <c r="I15324">
        <f>IF(DATOS!$I15324="","",IFERROR(VLOOKUP(DATOS!$I15324,CONFIG_ASIGNATURAS!$B$2:$J$91,9,FALSE()),""))</f>
      </c>
    </row>
    <row r="15325">
      <c r="F15325">
        <f>IF(DATOS!$A15325="","",DATOS!$A15325&amp;"|"&amp;DATOS!$D15325&amp;"|"&amp;DATOS!$E15325&amp;"|"&amp;DATOS!$I15325)</f>
      </c>
      <c r="G15325">
        <f>IF(DATOS!$A15325="",0,IF(CONFIG_METADATA!$B$4&lt;&gt;"OR+EX",--(DATOS!$G15325=CONFIG_METADATA!$B$4),IF(DATOS!$G15325="EX",1,IF(DATOS!$G15325="OR",--(COUNTIFS(nNIA,DATOS!$A15325,nCURSO,DATOS!$D15325,nESPEC,DATOS!$E15325,nASIG,DATOS!$I15325,nEVAL,"EX")=0),0))))</f>
      </c>
      <c r="H15325">
        <f>IF(DATOS!$G15325&lt;&gt;"EX",0,--(COUNTIFS(nNIA,DATOS!$A15325,nCURSO,DATOS!$D15325,nESPEC,DATOS!$E15325,nASIG,DATOS!$I15325,nEVAL,"OR")=0))</f>
      </c>
      <c r="I15325">
        <f>IF(DATOS!$I15325="","",IFERROR(VLOOKUP(DATOS!$I15325,CONFIG_ASIGNATURAS!$B$2:$J$91,9,FALSE()),""))</f>
      </c>
    </row>
    <row r="15326">
      <c r="F15326">
        <f>IF(DATOS!$A15326="","",DATOS!$A15326&amp;"|"&amp;DATOS!$D15326&amp;"|"&amp;DATOS!$E15326&amp;"|"&amp;DATOS!$I15326)</f>
      </c>
      <c r="G15326">
        <f>IF(DATOS!$A15326="",0,IF(CONFIG_METADATA!$B$4&lt;&gt;"OR+EX",--(DATOS!$G15326=CONFIG_METADATA!$B$4),IF(DATOS!$G15326="EX",1,IF(DATOS!$G15326="OR",--(COUNTIFS(nNIA,DATOS!$A15326,nCURSO,DATOS!$D15326,nESPEC,DATOS!$E15326,nASIG,DATOS!$I15326,nEVAL,"EX")=0),0))))</f>
      </c>
      <c r="H15326">
        <f>IF(DATOS!$G15326&lt;&gt;"EX",0,--(COUNTIFS(nNIA,DATOS!$A15326,nCURSO,DATOS!$D15326,nESPEC,DATOS!$E15326,nASIG,DATOS!$I15326,nEVAL,"OR")=0))</f>
      </c>
      <c r="I15326">
        <f>IF(DATOS!$I15326="","",IFERROR(VLOOKUP(DATOS!$I15326,CONFIG_ASIGNATURAS!$B$2:$J$91,9,FALSE()),""))</f>
      </c>
    </row>
    <row r="15327">
      <c r="F15327">
        <f>IF(DATOS!$A15327="","",DATOS!$A15327&amp;"|"&amp;DATOS!$D15327&amp;"|"&amp;DATOS!$E15327&amp;"|"&amp;DATOS!$I15327)</f>
      </c>
      <c r="G15327">
        <f>IF(DATOS!$A15327="",0,IF(CONFIG_METADATA!$B$4&lt;&gt;"OR+EX",--(DATOS!$G15327=CONFIG_METADATA!$B$4),IF(DATOS!$G15327="EX",1,IF(DATOS!$G15327="OR",--(COUNTIFS(nNIA,DATOS!$A15327,nCURSO,DATOS!$D15327,nESPEC,DATOS!$E15327,nASIG,DATOS!$I15327,nEVAL,"EX")=0),0))))</f>
      </c>
      <c r="H15327">
        <f>IF(DATOS!$G15327&lt;&gt;"EX",0,--(COUNTIFS(nNIA,DATOS!$A15327,nCURSO,DATOS!$D15327,nESPEC,DATOS!$E15327,nASIG,DATOS!$I15327,nEVAL,"OR")=0))</f>
      </c>
      <c r="I15327">
        <f>IF(DATOS!$I15327="","",IFERROR(VLOOKUP(DATOS!$I15327,CONFIG_ASIGNATURAS!$B$2:$J$91,9,FALSE()),""))</f>
      </c>
    </row>
    <row r="15328">
      <c r="F15328">
        <f>IF(DATOS!$A15328="","",DATOS!$A15328&amp;"|"&amp;DATOS!$D15328&amp;"|"&amp;DATOS!$E15328&amp;"|"&amp;DATOS!$I15328)</f>
      </c>
      <c r="G15328">
        <f>IF(DATOS!$A15328="",0,IF(CONFIG_METADATA!$B$4&lt;&gt;"OR+EX",--(DATOS!$G15328=CONFIG_METADATA!$B$4),IF(DATOS!$G15328="EX",1,IF(DATOS!$G15328="OR",--(COUNTIFS(nNIA,DATOS!$A15328,nCURSO,DATOS!$D15328,nESPEC,DATOS!$E15328,nASIG,DATOS!$I15328,nEVAL,"EX")=0),0))))</f>
      </c>
      <c r="H15328">
        <f>IF(DATOS!$G15328&lt;&gt;"EX",0,--(COUNTIFS(nNIA,DATOS!$A15328,nCURSO,DATOS!$D15328,nESPEC,DATOS!$E15328,nASIG,DATOS!$I15328,nEVAL,"OR")=0))</f>
      </c>
      <c r="I15328">
        <f>IF(DATOS!$I15328="","",IFERROR(VLOOKUP(DATOS!$I15328,CONFIG_ASIGNATURAS!$B$2:$J$91,9,FALSE()),""))</f>
      </c>
    </row>
    <row r="15329">
      <c r="F15329">
        <f>IF(DATOS!$A15329="","",DATOS!$A15329&amp;"|"&amp;DATOS!$D15329&amp;"|"&amp;DATOS!$E15329&amp;"|"&amp;DATOS!$I15329)</f>
      </c>
      <c r="G15329">
        <f>IF(DATOS!$A15329="",0,IF(CONFIG_METADATA!$B$4&lt;&gt;"OR+EX",--(DATOS!$G15329=CONFIG_METADATA!$B$4),IF(DATOS!$G15329="EX",1,IF(DATOS!$G15329="OR",--(COUNTIFS(nNIA,DATOS!$A15329,nCURSO,DATOS!$D15329,nESPEC,DATOS!$E15329,nASIG,DATOS!$I15329,nEVAL,"EX")=0),0))))</f>
      </c>
      <c r="H15329">
        <f>IF(DATOS!$G15329&lt;&gt;"EX",0,--(COUNTIFS(nNIA,DATOS!$A15329,nCURSO,DATOS!$D15329,nESPEC,DATOS!$E15329,nASIG,DATOS!$I15329,nEVAL,"OR")=0))</f>
      </c>
      <c r="I15329">
        <f>IF(DATOS!$I15329="","",IFERROR(VLOOKUP(DATOS!$I15329,CONFIG_ASIGNATURAS!$B$2:$J$91,9,FALSE()),""))</f>
      </c>
    </row>
    <row r="15330">
      <c r="F15330">
        <f>IF(DATOS!$A15330="","",DATOS!$A15330&amp;"|"&amp;DATOS!$D15330&amp;"|"&amp;DATOS!$E15330&amp;"|"&amp;DATOS!$I15330)</f>
      </c>
      <c r="G15330">
        <f>IF(DATOS!$A15330="",0,IF(CONFIG_METADATA!$B$4&lt;&gt;"OR+EX",--(DATOS!$G15330=CONFIG_METADATA!$B$4),IF(DATOS!$G15330="EX",1,IF(DATOS!$G15330="OR",--(COUNTIFS(nNIA,DATOS!$A15330,nCURSO,DATOS!$D15330,nESPEC,DATOS!$E15330,nASIG,DATOS!$I15330,nEVAL,"EX")=0),0))))</f>
      </c>
      <c r="H15330">
        <f>IF(DATOS!$G15330&lt;&gt;"EX",0,--(COUNTIFS(nNIA,DATOS!$A15330,nCURSO,DATOS!$D15330,nESPEC,DATOS!$E15330,nASIG,DATOS!$I15330,nEVAL,"OR")=0))</f>
      </c>
      <c r="I15330">
        <f>IF(DATOS!$I15330="","",IFERROR(VLOOKUP(DATOS!$I15330,CONFIG_ASIGNATURAS!$B$2:$J$91,9,FALSE()),""))</f>
      </c>
    </row>
    <row r="15331">
      <c r="F15331">
        <f>IF(DATOS!$A15331="","",DATOS!$A15331&amp;"|"&amp;DATOS!$D15331&amp;"|"&amp;DATOS!$E15331&amp;"|"&amp;DATOS!$I15331)</f>
      </c>
      <c r="G15331">
        <f>IF(DATOS!$A15331="",0,IF(CONFIG_METADATA!$B$4&lt;&gt;"OR+EX",--(DATOS!$G15331=CONFIG_METADATA!$B$4),IF(DATOS!$G15331="EX",1,IF(DATOS!$G15331="OR",--(COUNTIFS(nNIA,DATOS!$A15331,nCURSO,DATOS!$D15331,nESPEC,DATOS!$E15331,nASIG,DATOS!$I15331,nEVAL,"EX")=0),0))))</f>
      </c>
      <c r="H15331">
        <f>IF(DATOS!$G15331&lt;&gt;"EX",0,--(COUNTIFS(nNIA,DATOS!$A15331,nCURSO,DATOS!$D15331,nESPEC,DATOS!$E15331,nASIG,DATOS!$I15331,nEVAL,"OR")=0))</f>
      </c>
      <c r="I15331">
        <f>IF(DATOS!$I15331="","",IFERROR(VLOOKUP(DATOS!$I15331,CONFIG_ASIGNATURAS!$B$2:$J$91,9,FALSE()),""))</f>
      </c>
    </row>
    <row r="15332">
      <c r="F15332">
        <f>IF(DATOS!$A15332="","",DATOS!$A15332&amp;"|"&amp;DATOS!$D15332&amp;"|"&amp;DATOS!$E15332&amp;"|"&amp;DATOS!$I15332)</f>
      </c>
      <c r="G15332">
        <f>IF(DATOS!$A15332="",0,IF(CONFIG_METADATA!$B$4&lt;&gt;"OR+EX",--(DATOS!$G15332=CONFIG_METADATA!$B$4),IF(DATOS!$G15332="EX",1,IF(DATOS!$G15332="OR",--(COUNTIFS(nNIA,DATOS!$A15332,nCURSO,DATOS!$D15332,nESPEC,DATOS!$E15332,nASIG,DATOS!$I15332,nEVAL,"EX")=0),0))))</f>
      </c>
      <c r="H15332">
        <f>IF(DATOS!$G15332&lt;&gt;"EX",0,--(COUNTIFS(nNIA,DATOS!$A15332,nCURSO,DATOS!$D15332,nESPEC,DATOS!$E15332,nASIG,DATOS!$I15332,nEVAL,"OR")=0))</f>
      </c>
      <c r="I15332">
        <f>IF(DATOS!$I15332="","",IFERROR(VLOOKUP(DATOS!$I15332,CONFIG_ASIGNATURAS!$B$2:$J$91,9,FALSE()),""))</f>
      </c>
    </row>
    <row r="15333">
      <c r="F15333">
        <f>IF(DATOS!$A15333="","",DATOS!$A15333&amp;"|"&amp;DATOS!$D15333&amp;"|"&amp;DATOS!$E15333&amp;"|"&amp;DATOS!$I15333)</f>
      </c>
      <c r="G15333">
        <f>IF(DATOS!$A15333="",0,IF(CONFIG_METADATA!$B$4&lt;&gt;"OR+EX",--(DATOS!$G15333=CONFIG_METADATA!$B$4),IF(DATOS!$G15333="EX",1,IF(DATOS!$G15333="OR",--(COUNTIFS(nNIA,DATOS!$A15333,nCURSO,DATOS!$D15333,nESPEC,DATOS!$E15333,nASIG,DATOS!$I15333,nEVAL,"EX")=0),0))))</f>
      </c>
      <c r="H15333">
        <f>IF(DATOS!$G15333&lt;&gt;"EX",0,--(COUNTIFS(nNIA,DATOS!$A15333,nCURSO,DATOS!$D15333,nESPEC,DATOS!$E15333,nASIG,DATOS!$I15333,nEVAL,"OR")=0))</f>
      </c>
      <c r="I15333">
        <f>IF(DATOS!$I15333="","",IFERROR(VLOOKUP(DATOS!$I15333,CONFIG_ASIGNATURAS!$B$2:$J$91,9,FALSE()),""))</f>
      </c>
    </row>
    <row r="15334">
      <c r="F15334">
        <f>IF(DATOS!$A15334="","",DATOS!$A15334&amp;"|"&amp;DATOS!$D15334&amp;"|"&amp;DATOS!$E15334&amp;"|"&amp;DATOS!$I15334)</f>
      </c>
      <c r="G15334">
        <f>IF(DATOS!$A15334="",0,IF(CONFIG_METADATA!$B$4&lt;&gt;"OR+EX",--(DATOS!$G15334=CONFIG_METADATA!$B$4),IF(DATOS!$G15334="EX",1,IF(DATOS!$G15334="OR",--(COUNTIFS(nNIA,DATOS!$A15334,nCURSO,DATOS!$D15334,nESPEC,DATOS!$E15334,nASIG,DATOS!$I15334,nEVAL,"EX")=0),0))))</f>
      </c>
      <c r="H15334">
        <f>IF(DATOS!$G15334&lt;&gt;"EX",0,--(COUNTIFS(nNIA,DATOS!$A15334,nCURSO,DATOS!$D15334,nESPEC,DATOS!$E15334,nASIG,DATOS!$I15334,nEVAL,"OR")=0))</f>
      </c>
      <c r="I15334">
        <f>IF(DATOS!$I15334="","",IFERROR(VLOOKUP(DATOS!$I15334,CONFIG_ASIGNATURAS!$B$2:$J$91,9,FALSE()),""))</f>
      </c>
    </row>
    <row r="15335">
      <c r="F15335">
        <f>IF(DATOS!$A15335="","",DATOS!$A15335&amp;"|"&amp;DATOS!$D15335&amp;"|"&amp;DATOS!$E15335&amp;"|"&amp;DATOS!$I15335)</f>
      </c>
      <c r="G15335">
        <f>IF(DATOS!$A15335="",0,IF(CONFIG_METADATA!$B$4&lt;&gt;"OR+EX",--(DATOS!$G15335=CONFIG_METADATA!$B$4),IF(DATOS!$G15335="EX",1,IF(DATOS!$G15335="OR",--(COUNTIFS(nNIA,DATOS!$A15335,nCURSO,DATOS!$D15335,nESPEC,DATOS!$E15335,nASIG,DATOS!$I15335,nEVAL,"EX")=0),0))))</f>
      </c>
      <c r="H15335">
        <f>IF(DATOS!$G15335&lt;&gt;"EX",0,--(COUNTIFS(nNIA,DATOS!$A15335,nCURSO,DATOS!$D15335,nESPEC,DATOS!$E15335,nASIG,DATOS!$I15335,nEVAL,"OR")=0))</f>
      </c>
      <c r="I15335">
        <f>IF(DATOS!$I15335="","",IFERROR(VLOOKUP(DATOS!$I15335,CONFIG_ASIGNATURAS!$B$2:$J$91,9,FALSE()),""))</f>
      </c>
    </row>
    <row r="15336">
      <c r="F15336">
        <f>IF(DATOS!$A15336="","",DATOS!$A15336&amp;"|"&amp;DATOS!$D15336&amp;"|"&amp;DATOS!$E15336&amp;"|"&amp;DATOS!$I15336)</f>
      </c>
      <c r="G15336">
        <f>IF(DATOS!$A15336="",0,IF(CONFIG_METADATA!$B$4&lt;&gt;"OR+EX",--(DATOS!$G15336=CONFIG_METADATA!$B$4),IF(DATOS!$G15336="EX",1,IF(DATOS!$G15336="OR",--(COUNTIFS(nNIA,DATOS!$A15336,nCURSO,DATOS!$D15336,nESPEC,DATOS!$E15336,nASIG,DATOS!$I15336,nEVAL,"EX")=0),0))))</f>
      </c>
      <c r="H15336">
        <f>IF(DATOS!$G15336&lt;&gt;"EX",0,--(COUNTIFS(nNIA,DATOS!$A15336,nCURSO,DATOS!$D15336,nESPEC,DATOS!$E15336,nASIG,DATOS!$I15336,nEVAL,"OR")=0))</f>
      </c>
      <c r="I15336">
        <f>IF(DATOS!$I15336="","",IFERROR(VLOOKUP(DATOS!$I15336,CONFIG_ASIGNATURAS!$B$2:$J$91,9,FALSE()),""))</f>
      </c>
    </row>
    <row r="15337">
      <c r="F15337">
        <f>IF(DATOS!$A15337="","",DATOS!$A15337&amp;"|"&amp;DATOS!$D15337&amp;"|"&amp;DATOS!$E15337&amp;"|"&amp;DATOS!$I15337)</f>
      </c>
      <c r="G15337">
        <f>IF(DATOS!$A15337="",0,IF(CONFIG_METADATA!$B$4&lt;&gt;"OR+EX",--(DATOS!$G15337=CONFIG_METADATA!$B$4),IF(DATOS!$G15337="EX",1,IF(DATOS!$G15337="OR",--(COUNTIFS(nNIA,DATOS!$A15337,nCURSO,DATOS!$D15337,nESPEC,DATOS!$E15337,nASIG,DATOS!$I15337,nEVAL,"EX")=0),0))))</f>
      </c>
      <c r="H15337">
        <f>IF(DATOS!$G15337&lt;&gt;"EX",0,--(COUNTIFS(nNIA,DATOS!$A15337,nCURSO,DATOS!$D15337,nESPEC,DATOS!$E15337,nASIG,DATOS!$I15337,nEVAL,"OR")=0))</f>
      </c>
      <c r="I15337">
        <f>IF(DATOS!$I15337="","",IFERROR(VLOOKUP(DATOS!$I15337,CONFIG_ASIGNATURAS!$B$2:$J$91,9,FALSE()),""))</f>
      </c>
    </row>
    <row r="15338">
      <c r="F15338">
        <f>IF(DATOS!$A15338="","",DATOS!$A15338&amp;"|"&amp;DATOS!$D15338&amp;"|"&amp;DATOS!$E15338&amp;"|"&amp;DATOS!$I15338)</f>
      </c>
      <c r="G15338">
        <f>IF(DATOS!$A15338="",0,IF(CONFIG_METADATA!$B$4&lt;&gt;"OR+EX",--(DATOS!$G15338=CONFIG_METADATA!$B$4),IF(DATOS!$G15338="EX",1,IF(DATOS!$G15338="OR",--(COUNTIFS(nNIA,DATOS!$A15338,nCURSO,DATOS!$D15338,nESPEC,DATOS!$E15338,nASIG,DATOS!$I15338,nEVAL,"EX")=0),0))))</f>
      </c>
      <c r="H15338">
        <f>IF(DATOS!$G15338&lt;&gt;"EX",0,--(COUNTIFS(nNIA,DATOS!$A15338,nCURSO,DATOS!$D15338,nESPEC,DATOS!$E15338,nASIG,DATOS!$I15338,nEVAL,"OR")=0))</f>
      </c>
      <c r="I15338">
        <f>IF(DATOS!$I15338="","",IFERROR(VLOOKUP(DATOS!$I15338,CONFIG_ASIGNATURAS!$B$2:$J$91,9,FALSE()),""))</f>
      </c>
    </row>
    <row r="15339">
      <c r="F15339">
        <f>IF(DATOS!$A15339="","",DATOS!$A15339&amp;"|"&amp;DATOS!$D15339&amp;"|"&amp;DATOS!$E15339&amp;"|"&amp;DATOS!$I15339)</f>
      </c>
      <c r="G15339">
        <f>IF(DATOS!$A15339="",0,IF(CONFIG_METADATA!$B$4&lt;&gt;"OR+EX",--(DATOS!$G15339=CONFIG_METADATA!$B$4),IF(DATOS!$G15339="EX",1,IF(DATOS!$G15339="OR",--(COUNTIFS(nNIA,DATOS!$A15339,nCURSO,DATOS!$D15339,nESPEC,DATOS!$E15339,nASIG,DATOS!$I15339,nEVAL,"EX")=0),0))))</f>
      </c>
      <c r="H15339">
        <f>IF(DATOS!$G15339&lt;&gt;"EX",0,--(COUNTIFS(nNIA,DATOS!$A15339,nCURSO,DATOS!$D15339,nESPEC,DATOS!$E15339,nASIG,DATOS!$I15339,nEVAL,"OR")=0))</f>
      </c>
      <c r="I15339">
        <f>IF(DATOS!$I15339="","",IFERROR(VLOOKUP(DATOS!$I15339,CONFIG_ASIGNATURAS!$B$2:$J$91,9,FALSE()),""))</f>
      </c>
    </row>
    <row r="15340">
      <c r="F15340">
        <f>IF(DATOS!$A15340="","",DATOS!$A15340&amp;"|"&amp;DATOS!$D15340&amp;"|"&amp;DATOS!$E15340&amp;"|"&amp;DATOS!$I15340)</f>
      </c>
      <c r="G15340">
        <f>IF(DATOS!$A15340="",0,IF(CONFIG_METADATA!$B$4&lt;&gt;"OR+EX",--(DATOS!$G15340=CONFIG_METADATA!$B$4),IF(DATOS!$G15340="EX",1,IF(DATOS!$G15340="OR",--(COUNTIFS(nNIA,DATOS!$A15340,nCURSO,DATOS!$D15340,nESPEC,DATOS!$E15340,nASIG,DATOS!$I15340,nEVAL,"EX")=0),0))))</f>
      </c>
      <c r="H15340">
        <f>IF(DATOS!$G15340&lt;&gt;"EX",0,--(COUNTIFS(nNIA,DATOS!$A15340,nCURSO,DATOS!$D15340,nESPEC,DATOS!$E15340,nASIG,DATOS!$I15340,nEVAL,"OR")=0))</f>
      </c>
      <c r="I15340">
        <f>IF(DATOS!$I15340="","",IFERROR(VLOOKUP(DATOS!$I15340,CONFIG_ASIGNATURAS!$B$2:$J$91,9,FALSE()),""))</f>
      </c>
    </row>
    <row r="15341">
      <c r="F15341">
        <f>IF(DATOS!$A15341="","",DATOS!$A15341&amp;"|"&amp;DATOS!$D15341&amp;"|"&amp;DATOS!$E15341&amp;"|"&amp;DATOS!$I15341)</f>
      </c>
      <c r="G15341">
        <f>IF(DATOS!$A15341="",0,IF(CONFIG_METADATA!$B$4&lt;&gt;"OR+EX",--(DATOS!$G15341=CONFIG_METADATA!$B$4),IF(DATOS!$G15341="EX",1,IF(DATOS!$G15341="OR",--(COUNTIFS(nNIA,DATOS!$A15341,nCURSO,DATOS!$D15341,nESPEC,DATOS!$E15341,nASIG,DATOS!$I15341,nEVAL,"EX")=0),0))))</f>
      </c>
      <c r="H15341">
        <f>IF(DATOS!$G15341&lt;&gt;"EX",0,--(COUNTIFS(nNIA,DATOS!$A15341,nCURSO,DATOS!$D15341,nESPEC,DATOS!$E15341,nASIG,DATOS!$I15341,nEVAL,"OR")=0))</f>
      </c>
      <c r="I15341">
        <f>IF(DATOS!$I15341="","",IFERROR(VLOOKUP(DATOS!$I15341,CONFIG_ASIGNATURAS!$B$2:$J$91,9,FALSE()),""))</f>
      </c>
    </row>
    <row r="15342">
      <c r="F15342">
        <f>IF(DATOS!$A15342="","",DATOS!$A15342&amp;"|"&amp;DATOS!$D15342&amp;"|"&amp;DATOS!$E15342&amp;"|"&amp;DATOS!$I15342)</f>
      </c>
      <c r="G15342">
        <f>IF(DATOS!$A15342="",0,IF(CONFIG_METADATA!$B$4&lt;&gt;"OR+EX",--(DATOS!$G15342=CONFIG_METADATA!$B$4),IF(DATOS!$G15342="EX",1,IF(DATOS!$G15342="OR",--(COUNTIFS(nNIA,DATOS!$A15342,nCURSO,DATOS!$D15342,nESPEC,DATOS!$E15342,nASIG,DATOS!$I15342,nEVAL,"EX")=0),0))))</f>
      </c>
      <c r="H15342">
        <f>IF(DATOS!$G15342&lt;&gt;"EX",0,--(COUNTIFS(nNIA,DATOS!$A15342,nCURSO,DATOS!$D15342,nESPEC,DATOS!$E15342,nASIG,DATOS!$I15342,nEVAL,"OR")=0))</f>
      </c>
      <c r="I15342">
        <f>IF(DATOS!$I15342="","",IFERROR(VLOOKUP(DATOS!$I15342,CONFIG_ASIGNATURAS!$B$2:$J$91,9,FALSE()),""))</f>
      </c>
    </row>
    <row r="15343">
      <c r="F15343">
        <f>IF(DATOS!$A15343="","",DATOS!$A15343&amp;"|"&amp;DATOS!$D15343&amp;"|"&amp;DATOS!$E15343&amp;"|"&amp;DATOS!$I15343)</f>
      </c>
      <c r="G15343">
        <f>IF(DATOS!$A15343="",0,IF(CONFIG_METADATA!$B$4&lt;&gt;"OR+EX",--(DATOS!$G15343=CONFIG_METADATA!$B$4),IF(DATOS!$G15343="EX",1,IF(DATOS!$G15343="OR",--(COUNTIFS(nNIA,DATOS!$A15343,nCURSO,DATOS!$D15343,nESPEC,DATOS!$E15343,nASIG,DATOS!$I15343,nEVAL,"EX")=0),0))))</f>
      </c>
      <c r="H15343">
        <f>IF(DATOS!$G15343&lt;&gt;"EX",0,--(COUNTIFS(nNIA,DATOS!$A15343,nCURSO,DATOS!$D15343,nESPEC,DATOS!$E15343,nASIG,DATOS!$I15343,nEVAL,"OR")=0))</f>
      </c>
      <c r="I15343">
        <f>IF(DATOS!$I15343="","",IFERROR(VLOOKUP(DATOS!$I15343,CONFIG_ASIGNATURAS!$B$2:$J$91,9,FALSE()),""))</f>
      </c>
    </row>
    <row r="15344">
      <c r="F15344">
        <f>IF(DATOS!$A15344="","",DATOS!$A15344&amp;"|"&amp;DATOS!$D15344&amp;"|"&amp;DATOS!$E15344&amp;"|"&amp;DATOS!$I15344)</f>
      </c>
      <c r="G15344">
        <f>IF(DATOS!$A15344="",0,IF(CONFIG_METADATA!$B$4&lt;&gt;"OR+EX",--(DATOS!$G15344=CONFIG_METADATA!$B$4),IF(DATOS!$G15344="EX",1,IF(DATOS!$G15344="OR",--(COUNTIFS(nNIA,DATOS!$A15344,nCURSO,DATOS!$D15344,nESPEC,DATOS!$E15344,nASIG,DATOS!$I15344,nEVAL,"EX")=0),0))))</f>
      </c>
      <c r="H15344">
        <f>IF(DATOS!$G15344&lt;&gt;"EX",0,--(COUNTIFS(nNIA,DATOS!$A15344,nCURSO,DATOS!$D15344,nESPEC,DATOS!$E15344,nASIG,DATOS!$I15344,nEVAL,"OR")=0))</f>
      </c>
      <c r="I15344">
        <f>IF(DATOS!$I15344="","",IFERROR(VLOOKUP(DATOS!$I15344,CONFIG_ASIGNATURAS!$B$2:$J$91,9,FALSE()),""))</f>
      </c>
    </row>
    <row r="15345">
      <c r="F15345">
        <f>IF(DATOS!$A15345="","",DATOS!$A15345&amp;"|"&amp;DATOS!$D15345&amp;"|"&amp;DATOS!$E15345&amp;"|"&amp;DATOS!$I15345)</f>
      </c>
      <c r="G15345">
        <f>IF(DATOS!$A15345="",0,IF(CONFIG_METADATA!$B$4&lt;&gt;"OR+EX",--(DATOS!$G15345=CONFIG_METADATA!$B$4),IF(DATOS!$G15345="EX",1,IF(DATOS!$G15345="OR",--(COUNTIFS(nNIA,DATOS!$A15345,nCURSO,DATOS!$D15345,nESPEC,DATOS!$E15345,nASIG,DATOS!$I15345,nEVAL,"EX")=0),0))))</f>
      </c>
      <c r="H15345">
        <f>IF(DATOS!$G15345&lt;&gt;"EX",0,--(COUNTIFS(nNIA,DATOS!$A15345,nCURSO,DATOS!$D15345,nESPEC,DATOS!$E15345,nASIG,DATOS!$I15345,nEVAL,"OR")=0))</f>
      </c>
      <c r="I15345">
        <f>IF(DATOS!$I15345="","",IFERROR(VLOOKUP(DATOS!$I15345,CONFIG_ASIGNATURAS!$B$2:$J$91,9,FALSE()),""))</f>
      </c>
    </row>
    <row r="15346">
      <c r="F15346">
        <f>IF(DATOS!$A15346="","",DATOS!$A15346&amp;"|"&amp;DATOS!$D15346&amp;"|"&amp;DATOS!$E15346&amp;"|"&amp;DATOS!$I15346)</f>
      </c>
      <c r="G15346">
        <f>IF(DATOS!$A15346="",0,IF(CONFIG_METADATA!$B$4&lt;&gt;"OR+EX",--(DATOS!$G15346=CONFIG_METADATA!$B$4),IF(DATOS!$G15346="EX",1,IF(DATOS!$G15346="OR",--(COUNTIFS(nNIA,DATOS!$A15346,nCURSO,DATOS!$D15346,nESPEC,DATOS!$E15346,nASIG,DATOS!$I15346,nEVAL,"EX")=0),0))))</f>
      </c>
      <c r="H15346">
        <f>IF(DATOS!$G15346&lt;&gt;"EX",0,--(COUNTIFS(nNIA,DATOS!$A15346,nCURSO,DATOS!$D15346,nESPEC,DATOS!$E15346,nASIG,DATOS!$I15346,nEVAL,"OR")=0))</f>
      </c>
      <c r="I15346">
        <f>IF(DATOS!$I15346="","",IFERROR(VLOOKUP(DATOS!$I15346,CONFIG_ASIGNATURAS!$B$2:$J$91,9,FALSE()),""))</f>
      </c>
    </row>
    <row r="15347">
      <c r="F15347">
        <f>IF(DATOS!$A15347="","",DATOS!$A15347&amp;"|"&amp;DATOS!$D15347&amp;"|"&amp;DATOS!$E15347&amp;"|"&amp;DATOS!$I15347)</f>
      </c>
      <c r="G15347">
        <f>IF(DATOS!$A15347="",0,IF(CONFIG_METADATA!$B$4&lt;&gt;"OR+EX",--(DATOS!$G15347=CONFIG_METADATA!$B$4),IF(DATOS!$G15347="EX",1,IF(DATOS!$G15347="OR",--(COUNTIFS(nNIA,DATOS!$A15347,nCURSO,DATOS!$D15347,nESPEC,DATOS!$E15347,nASIG,DATOS!$I15347,nEVAL,"EX")=0),0))))</f>
      </c>
      <c r="H15347">
        <f>IF(DATOS!$G15347&lt;&gt;"EX",0,--(COUNTIFS(nNIA,DATOS!$A15347,nCURSO,DATOS!$D15347,nESPEC,DATOS!$E15347,nASIG,DATOS!$I15347,nEVAL,"OR")=0))</f>
      </c>
      <c r="I15347">
        <f>IF(DATOS!$I15347="","",IFERROR(VLOOKUP(DATOS!$I15347,CONFIG_ASIGNATURAS!$B$2:$J$91,9,FALSE()),""))</f>
      </c>
    </row>
    <row r="15348">
      <c r="F15348">
        <f>IF(DATOS!$A15348="","",DATOS!$A15348&amp;"|"&amp;DATOS!$D15348&amp;"|"&amp;DATOS!$E15348&amp;"|"&amp;DATOS!$I15348)</f>
      </c>
      <c r="G15348">
        <f>IF(DATOS!$A15348="",0,IF(CONFIG_METADATA!$B$4&lt;&gt;"OR+EX",--(DATOS!$G15348=CONFIG_METADATA!$B$4),IF(DATOS!$G15348="EX",1,IF(DATOS!$G15348="OR",--(COUNTIFS(nNIA,DATOS!$A15348,nCURSO,DATOS!$D15348,nESPEC,DATOS!$E15348,nASIG,DATOS!$I15348,nEVAL,"EX")=0),0))))</f>
      </c>
      <c r="H15348">
        <f>IF(DATOS!$G15348&lt;&gt;"EX",0,--(COUNTIFS(nNIA,DATOS!$A15348,nCURSO,DATOS!$D15348,nESPEC,DATOS!$E15348,nASIG,DATOS!$I15348,nEVAL,"OR")=0))</f>
      </c>
      <c r="I15348">
        <f>IF(DATOS!$I15348="","",IFERROR(VLOOKUP(DATOS!$I15348,CONFIG_ASIGNATURAS!$B$2:$J$91,9,FALSE()),""))</f>
      </c>
    </row>
    <row r="15349">
      <c r="F15349">
        <f>IF(DATOS!$A15349="","",DATOS!$A15349&amp;"|"&amp;DATOS!$D15349&amp;"|"&amp;DATOS!$E15349&amp;"|"&amp;DATOS!$I15349)</f>
      </c>
      <c r="G15349">
        <f>IF(DATOS!$A15349="",0,IF(CONFIG_METADATA!$B$4&lt;&gt;"OR+EX",--(DATOS!$G15349=CONFIG_METADATA!$B$4),IF(DATOS!$G15349="EX",1,IF(DATOS!$G15349="OR",--(COUNTIFS(nNIA,DATOS!$A15349,nCURSO,DATOS!$D15349,nESPEC,DATOS!$E15349,nASIG,DATOS!$I15349,nEVAL,"EX")=0),0))))</f>
      </c>
      <c r="H15349">
        <f>IF(DATOS!$G15349&lt;&gt;"EX",0,--(COUNTIFS(nNIA,DATOS!$A15349,nCURSO,DATOS!$D15349,nESPEC,DATOS!$E15349,nASIG,DATOS!$I15349,nEVAL,"OR")=0))</f>
      </c>
      <c r="I15349">
        <f>IF(DATOS!$I15349="","",IFERROR(VLOOKUP(DATOS!$I15349,CONFIG_ASIGNATURAS!$B$2:$J$91,9,FALSE()),""))</f>
      </c>
    </row>
    <row r="15350">
      <c r="F15350">
        <f>IF(DATOS!$A15350="","",DATOS!$A15350&amp;"|"&amp;DATOS!$D15350&amp;"|"&amp;DATOS!$E15350&amp;"|"&amp;DATOS!$I15350)</f>
      </c>
      <c r="G15350">
        <f>IF(DATOS!$A15350="",0,IF(CONFIG_METADATA!$B$4&lt;&gt;"OR+EX",--(DATOS!$G15350=CONFIG_METADATA!$B$4),IF(DATOS!$G15350="EX",1,IF(DATOS!$G15350="OR",--(COUNTIFS(nNIA,DATOS!$A15350,nCURSO,DATOS!$D15350,nESPEC,DATOS!$E15350,nASIG,DATOS!$I15350,nEVAL,"EX")=0),0))))</f>
      </c>
      <c r="H15350">
        <f>IF(DATOS!$G15350&lt;&gt;"EX",0,--(COUNTIFS(nNIA,DATOS!$A15350,nCURSO,DATOS!$D15350,nESPEC,DATOS!$E15350,nASIG,DATOS!$I15350,nEVAL,"OR")=0))</f>
      </c>
      <c r="I15350">
        <f>IF(DATOS!$I15350="","",IFERROR(VLOOKUP(DATOS!$I15350,CONFIG_ASIGNATURAS!$B$2:$J$91,9,FALSE()),""))</f>
      </c>
    </row>
    <row r="15351">
      <c r="F15351">
        <f>IF(DATOS!$A15351="","",DATOS!$A15351&amp;"|"&amp;DATOS!$D15351&amp;"|"&amp;DATOS!$E15351&amp;"|"&amp;DATOS!$I15351)</f>
      </c>
      <c r="G15351">
        <f>IF(DATOS!$A15351="",0,IF(CONFIG_METADATA!$B$4&lt;&gt;"OR+EX",--(DATOS!$G15351=CONFIG_METADATA!$B$4),IF(DATOS!$G15351="EX",1,IF(DATOS!$G15351="OR",--(COUNTIFS(nNIA,DATOS!$A15351,nCURSO,DATOS!$D15351,nESPEC,DATOS!$E15351,nASIG,DATOS!$I15351,nEVAL,"EX")=0),0))))</f>
      </c>
      <c r="H15351">
        <f>IF(DATOS!$G15351&lt;&gt;"EX",0,--(COUNTIFS(nNIA,DATOS!$A15351,nCURSO,DATOS!$D15351,nESPEC,DATOS!$E15351,nASIG,DATOS!$I15351,nEVAL,"OR")=0))</f>
      </c>
      <c r="I15351">
        <f>IF(DATOS!$I15351="","",IFERROR(VLOOKUP(DATOS!$I15351,CONFIG_ASIGNATURAS!$B$2:$J$91,9,FALSE()),""))</f>
      </c>
    </row>
    <row r="15352">
      <c r="F15352">
        <f>IF(DATOS!$A15352="","",DATOS!$A15352&amp;"|"&amp;DATOS!$D15352&amp;"|"&amp;DATOS!$E15352&amp;"|"&amp;DATOS!$I15352)</f>
      </c>
      <c r="G15352">
        <f>IF(DATOS!$A15352="",0,IF(CONFIG_METADATA!$B$4&lt;&gt;"OR+EX",--(DATOS!$G15352=CONFIG_METADATA!$B$4),IF(DATOS!$G15352="EX",1,IF(DATOS!$G15352="OR",--(COUNTIFS(nNIA,DATOS!$A15352,nCURSO,DATOS!$D15352,nESPEC,DATOS!$E15352,nASIG,DATOS!$I15352,nEVAL,"EX")=0),0))))</f>
      </c>
      <c r="H15352">
        <f>IF(DATOS!$G15352&lt;&gt;"EX",0,--(COUNTIFS(nNIA,DATOS!$A15352,nCURSO,DATOS!$D15352,nESPEC,DATOS!$E15352,nASIG,DATOS!$I15352,nEVAL,"OR")=0))</f>
      </c>
      <c r="I15352">
        <f>IF(DATOS!$I15352="","",IFERROR(VLOOKUP(DATOS!$I15352,CONFIG_ASIGNATURAS!$B$2:$J$91,9,FALSE()),""))</f>
      </c>
    </row>
    <row r="15353">
      <c r="F15353">
        <f>IF(DATOS!$A15353="","",DATOS!$A15353&amp;"|"&amp;DATOS!$D15353&amp;"|"&amp;DATOS!$E15353&amp;"|"&amp;DATOS!$I15353)</f>
      </c>
      <c r="G15353">
        <f>IF(DATOS!$A15353="",0,IF(CONFIG_METADATA!$B$4&lt;&gt;"OR+EX",--(DATOS!$G15353=CONFIG_METADATA!$B$4),IF(DATOS!$G15353="EX",1,IF(DATOS!$G15353="OR",--(COUNTIFS(nNIA,DATOS!$A15353,nCURSO,DATOS!$D15353,nESPEC,DATOS!$E15353,nASIG,DATOS!$I15353,nEVAL,"EX")=0),0))))</f>
      </c>
      <c r="H15353">
        <f>IF(DATOS!$G15353&lt;&gt;"EX",0,--(COUNTIFS(nNIA,DATOS!$A15353,nCURSO,DATOS!$D15353,nESPEC,DATOS!$E15353,nASIG,DATOS!$I15353,nEVAL,"OR")=0))</f>
      </c>
      <c r="I15353">
        <f>IF(DATOS!$I15353="","",IFERROR(VLOOKUP(DATOS!$I15353,CONFIG_ASIGNATURAS!$B$2:$J$91,9,FALSE()),""))</f>
      </c>
    </row>
    <row r="15354">
      <c r="F15354">
        <f>IF(DATOS!$A15354="","",DATOS!$A15354&amp;"|"&amp;DATOS!$D15354&amp;"|"&amp;DATOS!$E15354&amp;"|"&amp;DATOS!$I15354)</f>
      </c>
      <c r="G15354">
        <f>IF(DATOS!$A15354="",0,IF(CONFIG_METADATA!$B$4&lt;&gt;"OR+EX",--(DATOS!$G15354=CONFIG_METADATA!$B$4),IF(DATOS!$G15354="EX",1,IF(DATOS!$G15354="OR",--(COUNTIFS(nNIA,DATOS!$A15354,nCURSO,DATOS!$D15354,nESPEC,DATOS!$E15354,nASIG,DATOS!$I15354,nEVAL,"EX")=0),0))))</f>
      </c>
      <c r="H15354">
        <f>IF(DATOS!$G15354&lt;&gt;"EX",0,--(COUNTIFS(nNIA,DATOS!$A15354,nCURSO,DATOS!$D15354,nESPEC,DATOS!$E15354,nASIG,DATOS!$I15354,nEVAL,"OR")=0))</f>
      </c>
      <c r="I15354">
        <f>IF(DATOS!$I15354="","",IFERROR(VLOOKUP(DATOS!$I15354,CONFIG_ASIGNATURAS!$B$2:$J$91,9,FALSE()),""))</f>
      </c>
    </row>
    <row r="15355">
      <c r="F15355">
        <f>IF(DATOS!$A15355="","",DATOS!$A15355&amp;"|"&amp;DATOS!$D15355&amp;"|"&amp;DATOS!$E15355&amp;"|"&amp;DATOS!$I15355)</f>
      </c>
      <c r="G15355">
        <f>IF(DATOS!$A15355="",0,IF(CONFIG_METADATA!$B$4&lt;&gt;"OR+EX",--(DATOS!$G15355=CONFIG_METADATA!$B$4),IF(DATOS!$G15355="EX",1,IF(DATOS!$G15355="OR",--(COUNTIFS(nNIA,DATOS!$A15355,nCURSO,DATOS!$D15355,nESPEC,DATOS!$E15355,nASIG,DATOS!$I15355,nEVAL,"EX")=0),0))))</f>
      </c>
      <c r="H15355">
        <f>IF(DATOS!$G15355&lt;&gt;"EX",0,--(COUNTIFS(nNIA,DATOS!$A15355,nCURSO,DATOS!$D15355,nESPEC,DATOS!$E15355,nASIG,DATOS!$I15355,nEVAL,"OR")=0))</f>
      </c>
      <c r="I15355">
        <f>IF(DATOS!$I15355="","",IFERROR(VLOOKUP(DATOS!$I15355,CONFIG_ASIGNATURAS!$B$2:$J$91,9,FALSE()),""))</f>
      </c>
    </row>
    <row r="15356">
      <c r="F15356">
        <f>IF(DATOS!$A15356="","",DATOS!$A15356&amp;"|"&amp;DATOS!$D15356&amp;"|"&amp;DATOS!$E15356&amp;"|"&amp;DATOS!$I15356)</f>
      </c>
      <c r="G15356">
        <f>IF(DATOS!$A15356="",0,IF(CONFIG_METADATA!$B$4&lt;&gt;"OR+EX",--(DATOS!$G15356=CONFIG_METADATA!$B$4),IF(DATOS!$G15356="EX",1,IF(DATOS!$G15356="OR",--(COUNTIFS(nNIA,DATOS!$A15356,nCURSO,DATOS!$D15356,nESPEC,DATOS!$E15356,nASIG,DATOS!$I15356,nEVAL,"EX")=0),0))))</f>
      </c>
      <c r="H15356">
        <f>IF(DATOS!$G15356&lt;&gt;"EX",0,--(COUNTIFS(nNIA,DATOS!$A15356,nCURSO,DATOS!$D15356,nESPEC,DATOS!$E15356,nASIG,DATOS!$I15356,nEVAL,"OR")=0))</f>
      </c>
      <c r="I15356">
        <f>IF(DATOS!$I15356="","",IFERROR(VLOOKUP(DATOS!$I15356,CONFIG_ASIGNATURAS!$B$2:$J$91,9,FALSE()),""))</f>
      </c>
    </row>
    <row r="15357">
      <c r="F15357">
        <f>IF(DATOS!$A15357="","",DATOS!$A15357&amp;"|"&amp;DATOS!$D15357&amp;"|"&amp;DATOS!$E15357&amp;"|"&amp;DATOS!$I15357)</f>
      </c>
      <c r="G15357">
        <f>IF(DATOS!$A15357="",0,IF(CONFIG_METADATA!$B$4&lt;&gt;"OR+EX",--(DATOS!$G15357=CONFIG_METADATA!$B$4),IF(DATOS!$G15357="EX",1,IF(DATOS!$G15357="OR",--(COUNTIFS(nNIA,DATOS!$A15357,nCURSO,DATOS!$D15357,nESPEC,DATOS!$E15357,nASIG,DATOS!$I15357,nEVAL,"EX")=0),0))))</f>
      </c>
      <c r="H15357">
        <f>IF(DATOS!$G15357&lt;&gt;"EX",0,--(COUNTIFS(nNIA,DATOS!$A15357,nCURSO,DATOS!$D15357,nESPEC,DATOS!$E15357,nASIG,DATOS!$I15357,nEVAL,"OR")=0))</f>
      </c>
      <c r="I15357">
        <f>IF(DATOS!$I15357="","",IFERROR(VLOOKUP(DATOS!$I15357,CONFIG_ASIGNATURAS!$B$2:$J$91,9,FALSE()),""))</f>
      </c>
    </row>
    <row r="15358">
      <c r="F15358">
        <f>IF(DATOS!$A15358="","",DATOS!$A15358&amp;"|"&amp;DATOS!$D15358&amp;"|"&amp;DATOS!$E15358&amp;"|"&amp;DATOS!$I15358)</f>
      </c>
      <c r="G15358">
        <f>IF(DATOS!$A15358="",0,IF(CONFIG_METADATA!$B$4&lt;&gt;"OR+EX",--(DATOS!$G15358=CONFIG_METADATA!$B$4),IF(DATOS!$G15358="EX",1,IF(DATOS!$G15358="OR",--(COUNTIFS(nNIA,DATOS!$A15358,nCURSO,DATOS!$D15358,nESPEC,DATOS!$E15358,nASIG,DATOS!$I15358,nEVAL,"EX")=0),0))))</f>
      </c>
      <c r="H15358">
        <f>IF(DATOS!$G15358&lt;&gt;"EX",0,--(COUNTIFS(nNIA,DATOS!$A15358,nCURSO,DATOS!$D15358,nESPEC,DATOS!$E15358,nASIG,DATOS!$I15358,nEVAL,"OR")=0))</f>
      </c>
      <c r="I15358">
        <f>IF(DATOS!$I15358="","",IFERROR(VLOOKUP(DATOS!$I15358,CONFIG_ASIGNATURAS!$B$2:$J$91,9,FALSE()),""))</f>
      </c>
    </row>
    <row r="15359">
      <c r="F15359">
        <f>IF(DATOS!$A15359="","",DATOS!$A15359&amp;"|"&amp;DATOS!$D15359&amp;"|"&amp;DATOS!$E15359&amp;"|"&amp;DATOS!$I15359)</f>
      </c>
      <c r="G15359">
        <f>IF(DATOS!$A15359="",0,IF(CONFIG_METADATA!$B$4&lt;&gt;"OR+EX",--(DATOS!$G15359=CONFIG_METADATA!$B$4),IF(DATOS!$G15359="EX",1,IF(DATOS!$G15359="OR",--(COUNTIFS(nNIA,DATOS!$A15359,nCURSO,DATOS!$D15359,nESPEC,DATOS!$E15359,nASIG,DATOS!$I15359,nEVAL,"EX")=0),0))))</f>
      </c>
      <c r="H15359">
        <f>IF(DATOS!$G15359&lt;&gt;"EX",0,--(COUNTIFS(nNIA,DATOS!$A15359,nCURSO,DATOS!$D15359,nESPEC,DATOS!$E15359,nASIG,DATOS!$I15359,nEVAL,"OR")=0))</f>
      </c>
      <c r="I15359">
        <f>IF(DATOS!$I15359="","",IFERROR(VLOOKUP(DATOS!$I15359,CONFIG_ASIGNATURAS!$B$2:$J$91,9,FALSE()),""))</f>
      </c>
    </row>
    <row r="15360">
      <c r="F15360">
        <f>IF(DATOS!$A15360="","",DATOS!$A15360&amp;"|"&amp;DATOS!$D15360&amp;"|"&amp;DATOS!$E15360&amp;"|"&amp;DATOS!$I15360)</f>
      </c>
      <c r="G15360">
        <f>IF(DATOS!$A15360="",0,IF(CONFIG_METADATA!$B$4&lt;&gt;"OR+EX",--(DATOS!$G15360=CONFIG_METADATA!$B$4),IF(DATOS!$G15360="EX",1,IF(DATOS!$G15360="OR",--(COUNTIFS(nNIA,DATOS!$A15360,nCURSO,DATOS!$D15360,nESPEC,DATOS!$E15360,nASIG,DATOS!$I15360,nEVAL,"EX")=0),0))))</f>
      </c>
      <c r="H15360">
        <f>IF(DATOS!$G15360&lt;&gt;"EX",0,--(COUNTIFS(nNIA,DATOS!$A15360,nCURSO,DATOS!$D15360,nESPEC,DATOS!$E15360,nASIG,DATOS!$I15360,nEVAL,"OR")=0))</f>
      </c>
      <c r="I15360">
        <f>IF(DATOS!$I15360="","",IFERROR(VLOOKUP(DATOS!$I15360,CONFIG_ASIGNATURAS!$B$2:$J$91,9,FALSE()),""))</f>
      </c>
    </row>
    <row r="15361">
      <c r="F15361">
        <f>IF(DATOS!$A15361="","",DATOS!$A15361&amp;"|"&amp;DATOS!$D15361&amp;"|"&amp;DATOS!$E15361&amp;"|"&amp;DATOS!$I15361)</f>
      </c>
      <c r="G15361">
        <f>IF(DATOS!$A15361="",0,IF(CONFIG_METADATA!$B$4&lt;&gt;"OR+EX",--(DATOS!$G15361=CONFIG_METADATA!$B$4),IF(DATOS!$G15361="EX",1,IF(DATOS!$G15361="OR",--(COUNTIFS(nNIA,DATOS!$A15361,nCURSO,DATOS!$D15361,nESPEC,DATOS!$E15361,nASIG,DATOS!$I15361,nEVAL,"EX")=0),0))))</f>
      </c>
      <c r="H15361">
        <f>IF(DATOS!$G15361&lt;&gt;"EX",0,--(COUNTIFS(nNIA,DATOS!$A15361,nCURSO,DATOS!$D15361,nESPEC,DATOS!$E15361,nASIG,DATOS!$I15361,nEVAL,"OR")=0))</f>
      </c>
      <c r="I15361">
        <f>IF(DATOS!$I15361="","",IFERROR(VLOOKUP(DATOS!$I15361,CONFIG_ASIGNATURAS!$B$2:$J$91,9,FALSE()),""))</f>
      </c>
    </row>
    <row r="15362">
      <c r="F15362">
        <f>IF(DATOS!$A15362="","",DATOS!$A15362&amp;"|"&amp;DATOS!$D15362&amp;"|"&amp;DATOS!$E15362&amp;"|"&amp;DATOS!$I15362)</f>
      </c>
      <c r="G15362">
        <f>IF(DATOS!$A15362="",0,IF(CONFIG_METADATA!$B$4&lt;&gt;"OR+EX",--(DATOS!$G15362=CONFIG_METADATA!$B$4),IF(DATOS!$G15362="EX",1,IF(DATOS!$G15362="OR",--(COUNTIFS(nNIA,DATOS!$A15362,nCURSO,DATOS!$D15362,nESPEC,DATOS!$E15362,nASIG,DATOS!$I15362,nEVAL,"EX")=0),0))))</f>
      </c>
      <c r="H15362">
        <f>IF(DATOS!$G15362&lt;&gt;"EX",0,--(COUNTIFS(nNIA,DATOS!$A15362,nCURSO,DATOS!$D15362,nESPEC,DATOS!$E15362,nASIG,DATOS!$I15362,nEVAL,"OR")=0))</f>
      </c>
      <c r="I15362">
        <f>IF(DATOS!$I15362="","",IFERROR(VLOOKUP(DATOS!$I15362,CONFIG_ASIGNATURAS!$B$2:$J$91,9,FALSE()),""))</f>
      </c>
    </row>
    <row r="15363">
      <c r="F15363">
        <f>IF(DATOS!$A15363="","",DATOS!$A15363&amp;"|"&amp;DATOS!$D15363&amp;"|"&amp;DATOS!$E15363&amp;"|"&amp;DATOS!$I15363)</f>
      </c>
      <c r="G15363">
        <f>IF(DATOS!$A15363="",0,IF(CONFIG_METADATA!$B$4&lt;&gt;"OR+EX",--(DATOS!$G15363=CONFIG_METADATA!$B$4),IF(DATOS!$G15363="EX",1,IF(DATOS!$G15363="OR",--(COUNTIFS(nNIA,DATOS!$A15363,nCURSO,DATOS!$D15363,nESPEC,DATOS!$E15363,nASIG,DATOS!$I15363,nEVAL,"EX")=0),0))))</f>
      </c>
      <c r="H15363">
        <f>IF(DATOS!$G15363&lt;&gt;"EX",0,--(COUNTIFS(nNIA,DATOS!$A15363,nCURSO,DATOS!$D15363,nESPEC,DATOS!$E15363,nASIG,DATOS!$I15363,nEVAL,"OR")=0))</f>
      </c>
      <c r="I15363">
        <f>IF(DATOS!$I15363="","",IFERROR(VLOOKUP(DATOS!$I15363,CONFIG_ASIGNATURAS!$B$2:$J$91,9,FALSE()),""))</f>
      </c>
    </row>
    <row r="15364">
      <c r="F15364">
        <f>IF(DATOS!$A15364="","",DATOS!$A15364&amp;"|"&amp;DATOS!$D15364&amp;"|"&amp;DATOS!$E15364&amp;"|"&amp;DATOS!$I15364)</f>
      </c>
      <c r="G15364">
        <f>IF(DATOS!$A15364="",0,IF(CONFIG_METADATA!$B$4&lt;&gt;"OR+EX",--(DATOS!$G15364=CONFIG_METADATA!$B$4),IF(DATOS!$G15364="EX",1,IF(DATOS!$G15364="OR",--(COUNTIFS(nNIA,DATOS!$A15364,nCURSO,DATOS!$D15364,nESPEC,DATOS!$E15364,nASIG,DATOS!$I15364,nEVAL,"EX")=0),0))))</f>
      </c>
      <c r="H15364">
        <f>IF(DATOS!$G15364&lt;&gt;"EX",0,--(COUNTIFS(nNIA,DATOS!$A15364,nCURSO,DATOS!$D15364,nESPEC,DATOS!$E15364,nASIG,DATOS!$I15364,nEVAL,"OR")=0))</f>
      </c>
      <c r="I15364">
        <f>IF(DATOS!$I15364="","",IFERROR(VLOOKUP(DATOS!$I15364,CONFIG_ASIGNATURAS!$B$2:$J$91,9,FALSE()),""))</f>
      </c>
    </row>
    <row r="15365">
      <c r="F15365">
        <f>IF(DATOS!$A15365="","",DATOS!$A15365&amp;"|"&amp;DATOS!$D15365&amp;"|"&amp;DATOS!$E15365&amp;"|"&amp;DATOS!$I15365)</f>
      </c>
      <c r="G15365">
        <f>IF(DATOS!$A15365="",0,IF(CONFIG_METADATA!$B$4&lt;&gt;"OR+EX",--(DATOS!$G15365=CONFIG_METADATA!$B$4),IF(DATOS!$G15365="EX",1,IF(DATOS!$G15365="OR",--(COUNTIFS(nNIA,DATOS!$A15365,nCURSO,DATOS!$D15365,nESPEC,DATOS!$E15365,nASIG,DATOS!$I15365,nEVAL,"EX")=0),0))))</f>
      </c>
      <c r="H15365">
        <f>IF(DATOS!$G15365&lt;&gt;"EX",0,--(COUNTIFS(nNIA,DATOS!$A15365,nCURSO,DATOS!$D15365,nESPEC,DATOS!$E15365,nASIG,DATOS!$I15365,nEVAL,"OR")=0))</f>
      </c>
      <c r="I15365">
        <f>IF(DATOS!$I15365="","",IFERROR(VLOOKUP(DATOS!$I15365,CONFIG_ASIGNATURAS!$B$2:$J$91,9,FALSE()),""))</f>
      </c>
    </row>
    <row r="15366">
      <c r="F15366">
        <f>IF(DATOS!$A15366="","",DATOS!$A15366&amp;"|"&amp;DATOS!$D15366&amp;"|"&amp;DATOS!$E15366&amp;"|"&amp;DATOS!$I15366)</f>
      </c>
      <c r="G15366">
        <f>IF(DATOS!$A15366="",0,IF(CONFIG_METADATA!$B$4&lt;&gt;"OR+EX",--(DATOS!$G15366=CONFIG_METADATA!$B$4),IF(DATOS!$G15366="EX",1,IF(DATOS!$G15366="OR",--(COUNTIFS(nNIA,DATOS!$A15366,nCURSO,DATOS!$D15366,nESPEC,DATOS!$E15366,nASIG,DATOS!$I15366,nEVAL,"EX")=0),0))))</f>
      </c>
      <c r="H15366">
        <f>IF(DATOS!$G15366&lt;&gt;"EX",0,--(COUNTIFS(nNIA,DATOS!$A15366,nCURSO,DATOS!$D15366,nESPEC,DATOS!$E15366,nASIG,DATOS!$I15366,nEVAL,"OR")=0))</f>
      </c>
      <c r="I15366">
        <f>IF(DATOS!$I15366="","",IFERROR(VLOOKUP(DATOS!$I15366,CONFIG_ASIGNATURAS!$B$2:$J$91,9,FALSE()),""))</f>
      </c>
    </row>
    <row r="15367">
      <c r="F15367">
        <f>IF(DATOS!$A15367="","",DATOS!$A15367&amp;"|"&amp;DATOS!$D15367&amp;"|"&amp;DATOS!$E15367&amp;"|"&amp;DATOS!$I15367)</f>
      </c>
      <c r="G15367">
        <f>IF(DATOS!$A15367="",0,IF(CONFIG_METADATA!$B$4&lt;&gt;"OR+EX",--(DATOS!$G15367=CONFIG_METADATA!$B$4),IF(DATOS!$G15367="EX",1,IF(DATOS!$G15367="OR",--(COUNTIFS(nNIA,DATOS!$A15367,nCURSO,DATOS!$D15367,nESPEC,DATOS!$E15367,nASIG,DATOS!$I15367,nEVAL,"EX")=0),0))))</f>
      </c>
      <c r="H15367">
        <f>IF(DATOS!$G15367&lt;&gt;"EX",0,--(COUNTIFS(nNIA,DATOS!$A15367,nCURSO,DATOS!$D15367,nESPEC,DATOS!$E15367,nASIG,DATOS!$I15367,nEVAL,"OR")=0))</f>
      </c>
      <c r="I15367">
        <f>IF(DATOS!$I15367="","",IFERROR(VLOOKUP(DATOS!$I15367,CONFIG_ASIGNATURAS!$B$2:$J$91,9,FALSE()),""))</f>
      </c>
    </row>
    <row r="15368">
      <c r="F15368">
        <f>IF(DATOS!$A15368="","",DATOS!$A15368&amp;"|"&amp;DATOS!$D15368&amp;"|"&amp;DATOS!$E15368&amp;"|"&amp;DATOS!$I15368)</f>
      </c>
      <c r="G15368">
        <f>IF(DATOS!$A15368="",0,IF(CONFIG_METADATA!$B$4&lt;&gt;"OR+EX",--(DATOS!$G15368=CONFIG_METADATA!$B$4),IF(DATOS!$G15368="EX",1,IF(DATOS!$G15368="OR",--(COUNTIFS(nNIA,DATOS!$A15368,nCURSO,DATOS!$D15368,nESPEC,DATOS!$E15368,nASIG,DATOS!$I15368,nEVAL,"EX")=0),0))))</f>
      </c>
      <c r="H15368">
        <f>IF(DATOS!$G15368&lt;&gt;"EX",0,--(COUNTIFS(nNIA,DATOS!$A15368,nCURSO,DATOS!$D15368,nESPEC,DATOS!$E15368,nASIG,DATOS!$I15368,nEVAL,"OR")=0))</f>
      </c>
      <c r="I15368">
        <f>IF(DATOS!$I15368="","",IFERROR(VLOOKUP(DATOS!$I15368,CONFIG_ASIGNATURAS!$B$2:$J$91,9,FALSE()),""))</f>
      </c>
    </row>
    <row r="15369">
      <c r="F15369">
        <f>IF(DATOS!$A15369="","",DATOS!$A15369&amp;"|"&amp;DATOS!$D15369&amp;"|"&amp;DATOS!$E15369&amp;"|"&amp;DATOS!$I15369)</f>
      </c>
      <c r="G15369">
        <f>IF(DATOS!$A15369="",0,IF(CONFIG_METADATA!$B$4&lt;&gt;"OR+EX",--(DATOS!$G15369=CONFIG_METADATA!$B$4),IF(DATOS!$G15369="EX",1,IF(DATOS!$G15369="OR",--(COUNTIFS(nNIA,DATOS!$A15369,nCURSO,DATOS!$D15369,nESPEC,DATOS!$E15369,nASIG,DATOS!$I15369,nEVAL,"EX")=0),0))))</f>
      </c>
      <c r="H15369">
        <f>IF(DATOS!$G15369&lt;&gt;"EX",0,--(COUNTIFS(nNIA,DATOS!$A15369,nCURSO,DATOS!$D15369,nESPEC,DATOS!$E15369,nASIG,DATOS!$I15369,nEVAL,"OR")=0))</f>
      </c>
      <c r="I15369">
        <f>IF(DATOS!$I15369="","",IFERROR(VLOOKUP(DATOS!$I15369,CONFIG_ASIGNATURAS!$B$2:$J$91,9,FALSE()),""))</f>
      </c>
    </row>
    <row r="15370">
      <c r="F15370">
        <f>IF(DATOS!$A15370="","",DATOS!$A15370&amp;"|"&amp;DATOS!$D15370&amp;"|"&amp;DATOS!$E15370&amp;"|"&amp;DATOS!$I15370)</f>
      </c>
      <c r="G15370">
        <f>IF(DATOS!$A15370="",0,IF(CONFIG_METADATA!$B$4&lt;&gt;"OR+EX",--(DATOS!$G15370=CONFIG_METADATA!$B$4),IF(DATOS!$G15370="EX",1,IF(DATOS!$G15370="OR",--(COUNTIFS(nNIA,DATOS!$A15370,nCURSO,DATOS!$D15370,nESPEC,DATOS!$E15370,nASIG,DATOS!$I15370,nEVAL,"EX")=0),0))))</f>
      </c>
      <c r="H15370">
        <f>IF(DATOS!$G15370&lt;&gt;"EX",0,--(COUNTIFS(nNIA,DATOS!$A15370,nCURSO,DATOS!$D15370,nESPEC,DATOS!$E15370,nASIG,DATOS!$I15370,nEVAL,"OR")=0))</f>
      </c>
      <c r="I15370">
        <f>IF(DATOS!$I15370="","",IFERROR(VLOOKUP(DATOS!$I15370,CONFIG_ASIGNATURAS!$B$2:$J$91,9,FALSE()),""))</f>
      </c>
    </row>
    <row r="15371">
      <c r="F15371">
        <f>IF(DATOS!$A15371="","",DATOS!$A15371&amp;"|"&amp;DATOS!$D15371&amp;"|"&amp;DATOS!$E15371&amp;"|"&amp;DATOS!$I15371)</f>
      </c>
      <c r="G15371">
        <f>IF(DATOS!$A15371="",0,IF(CONFIG_METADATA!$B$4&lt;&gt;"OR+EX",--(DATOS!$G15371=CONFIG_METADATA!$B$4),IF(DATOS!$G15371="EX",1,IF(DATOS!$G15371="OR",--(COUNTIFS(nNIA,DATOS!$A15371,nCURSO,DATOS!$D15371,nESPEC,DATOS!$E15371,nASIG,DATOS!$I15371,nEVAL,"EX")=0),0))))</f>
      </c>
      <c r="H15371">
        <f>IF(DATOS!$G15371&lt;&gt;"EX",0,--(COUNTIFS(nNIA,DATOS!$A15371,nCURSO,DATOS!$D15371,nESPEC,DATOS!$E15371,nASIG,DATOS!$I15371,nEVAL,"OR")=0))</f>
      </c>
      <c r="I15371">
        <f>IF(DATOS!$I15371="","",IFERROR(VLOOKUP(DATOS!$I15371,CONFIG_ASIGNATURAS!$B$2:$J$91,9,FALSE()),""))</f>
      </c>
    </row>
    <row r="15372">
      <c r="F15372">
        <f>IF(DATOS!$A15372="","",DATOS!$A15372&amp;"|"&amp;DATOS!$D15372&amp;"|"&amp;DATOS!$E15372&amp;"|"&amp;DATOS!$I15372)</f>
      </c>
      <c r="G15372">
        <f>IF(DATOS!$A15372="",0,IF(CONFIG_METADATA!$B$4&lt;&gt;"OR+EX",--(DATOS!$G15372=CONFIG_METADATA!$B$4),IF(DATOS!$G15372="EX",1,IF(DATOS!$G15372="OR",--(COUNTIFS(nNIA,DATOS!$A15372,nCURSO,DATOS!$D15372,nESPEC,DATOS!$E15372,nASIG,DATOS!$I15372,nEVAL,"EX")=0),0))))</f>
      </c>
      <c r="H15372">
        <f>IF(DATOS!$G15372&lt;&gt;"EX",0,--(COUNTIFS(nNIA,DATOS!$A15372,nCURSO,DATOS!$D15372,nESPEC,DATOS!$E15372,nASIG,DATOS!$I15372,nEVAL,"OR")=0))</f>
      </c>
      <c r="I15372">
        <f>IF(DATOS!$I15372="","",IFERROR(VLOOKUP(DATOS!$I15372,CONFIG_ASIGNATURAS!$B$2:$J$91,9,FALSE()),""))</f>
      </c>
    </row>
    <row r="15373">
      <c r="F15373">
        <f>IF(DATOS!$A15373="","",DATOS!$A15373&amp;"|"&amp;DATOS!$D15373&amp;"|"&amp;DATOS!$E15373&amp;"|"&amp;DATOS!$I15373)</f>
      </c>
      <c r="G15373">
        <f>IF(DATOS!$A15373="",0,IF(CONFIG_METADATA!$B$4&lt;&gt;"OR+EX",--(DATOS!$G15373=CONFIG_METADATA!$B$4),IF(DATOS!$G15373="EX",1,IF(DATOS!$G15373="OR",--(COUNTIFS(nNIA,DATOS!$A15373,nCURSO,DATOS!$D15373,nESPEC,DATOS!$E15373,nASIG,DATOS!$I15373,nEVAL,"EX")=0),0))))</f>
      </c>
      <c r="H15373">
        <f>IF(DATOS!$G15373&lt;&gt;"EX",0,--(COUNTIFS(nNIA,DATOS!$A15373,nCURSO,DATOS!$D15373,nESPEC,DATOS!$E15373,nASIG,DATOS!$I15373,nEVAL,"OR")=0))</f>
      </c>
      <c r="I15373">
        <f>IF(DATOS!$I15373="","",IFERROR(VLOOKUP(DATOS!$I15373,CONFIG_ASIGNATURAS!$B$2:$J$91,9,FALSE()),""))</f>
      </c>
    </row>
    <row r="15374">
      <c r="F15374">
        <f>IF(DATOS!$A15374="","",DATOS!$A15374&amp;"|"&amp;DATOS!$D15374&amp;"|"&amp;DATOS!$E15374&amp;"|"&amp;DATOS!$I15374)</f>
      </c>
      <c r="G15374">
        <f>IF(DATOS!$A15374="",0,IF(CONFIG_METADATA!$B$4&lt;&gt;"OR+EX",--(DATOS!$G15374=CONFIG_METADATA!$B$4),IF(DATOS!$G15374="EX",1,IF(DATOS!$G15374="OR",--(COUNTIFS(nNIA,DATOS!$A15374,nCURSO,DATOS!$D15374,nESPEC,DATOS!$E15374,nASIG,DATOS!$I15374,nEVAL,"EX")=0),0))))</f>
      </c>
      <c r="H15374">
        <f>IF(DATOS!$G15374&lt;&gt;"EX",0,--(COUNTIFS(nNIA,DATOS!$A15374,nCURSO,DATOS!$D15374,nESPEC,DATOS!$E15374,nASIG,DATOS!$I15374,nEVAL,"OR")=0))</f>
      </c>
      <c r="I15374">
        <f>IF(DATOS!$I15374="","",IFERROR(VLOOKUP(DATOS!$I15374,CONFIG_ASIGNATURAS!$B$2:$J$91,9,FALSE()),""))</f>
      </c>
    </row>
    <row r="15375">
      <c r="F15375">
        <f>IF(DATOS!$A15375="","",DATOS!$A15375&amp;"|"&amp;DATOS!$D15375&amp;"|"&amp;DATOS!$E15375&amp;"|"&amp;DATOS!$I15375)</f>
      </c>
      <c r="G15375">
        <f>IF(DATOS!$A15375="",0,IF(CONFIG_METADATA!$B$4&lt;&gt;"OR+EX",--(DATOS!$G15375=CONFIG_METADATA!$B$4),IF(DATOS!$G15375="EX",1,IF(DATOS!$G15375="OR",--(COUNTIFS(nNIA,DATOS!$A15375,nCURSO,DATOS!$D15375,nESPEC,DATOS!$E15375,nASIG,DATOS!$I15375,nEVAL,"EX")=0),0))))</f>
      </c>
      <c r="H15375">
        <f>IF(DATOS!$G15375&lt;&gt;"EX",0,--(COUNTIFS(nNIA,DATOS!$A15375,nCURSO,DATOS!$D15375,nESPEC,DATOS!$E15375,nASIG,DATOS!$I15375,nEVAL,"OR")=0))</f>
      </c>
      <c r="I15375">
        <f>IF(DATOS!$I15375="","",IFERROR(VLOOKUP(DATOS!$I15375,CONFIG_ASIGNATURAS!$B$2:$J$91,9,FALSE()),""))</f>
      </c>
    </row>
    <row r="15376">
      <c r="F15376">
        <f>IF(DATOS!$A15376="","",DATOS!$A15376&amp;"|"&amp;DATOS!$D15376&amp;"|"&amp;DATOS!$E15376&amp;"|"&amp;DATOS!$I15376)</f>
      </c>
      <c r="G15376">
        <f>IF(DATOS!$A15376="",0,IF(CONFIG_METADATA!$B$4&lt;&gt;"OR+EX",--(DATOS!$G15376=CONFIG_METADATA!$B$4),IF(DATOS!$G15376="EX",1,IF(DATOS!$G15376="OR",--(COUNTIFS(nNIA,DATOS!$A15376,nCURSO,DATOS!$D15376,nESPEC,DATOS!$E15376,nASIG,DATOS!$I15376,nEVAL,"EX")=0),0))))</f>
      </c>
      <c r="H15376">
        <f>IF(DATOS!$G15376&lt;&gt;"EX",0,--(COUNTIFS(nNIA,DATOS!$A15376,nCURSO,DATOS!$D15376,nESPEC,DATOS!$E15376,nASIG,DATOS!$I15376,nEVAL,"OR")=0))</f>
      </c>
      <c r="I15376">
        <f>IF(DATOS!$I15376="","",IFERROR(VLOOKUP(DATOS!$I15376,CONFIG_ASIGNATURAS!$B$2:$J$91,9,FALSE()),""))</f>
      </c>
    </row>
    <row r="15377">
      <c r="F15377">
        <f>IF(DATOS!$A15377="","",DATOS!$A15377&amp;"|"&amp;DATOS!$D15377&amp;"|"&amp;DATOS!$E15377&amp;"|"&amp;DATOS!$I15377)</f>
      </c>
      <c r="G15377">
        <f>IF(DATOS!$A15377="",0,IF(CONFIG_METADATA!$B$4&lt;&gt;"OR+EX",--(DATOS!$G15377=CONFIG_METADATA!$B$4),IF(DATOS!$G15377="EX",1,IF(DATOS!$G15377="OR",--(COUNTIFS(nNIA,DATOS!$A15377,nCURSO,DATOS!$D15377,nESPEC,DATOS!$E15377,nASIG,DATOS!$I15377,nEVAL,"EX")=0),0))))</f>
      </c>
      <c r="H15377">
        <f>IF(DATOS!$G15377&lt;&gt;"EX",0,--(COUNTIFS(nNIA,DATOS!$A15377,nCURSO,DATOS!$D15377,nESPEC,DATOS!$E15377,nASIG,DATOS!$I15377,nEVAL,"OR")=0))</f>
      </c>
      <c r="I15377">
        <f>IF(DATOS!$I15377="","",IFERROR(VLOOKUP(DATOS!$I15377,CONFIG_ASIGNATURAS!$B$2:$J$91,9,FALSE()),""))</f>
      </c>
    </row>
    <row r="15378">
      <c r="F15378">
        <f>IF(DATOS!$A15378="","",DATOS!$A15378&amp;"|"&amp;DATOS!$D15378&amp;"|"&amp;DATOS!$E15378&amp;"|"&amp;DATOS!$I15378)</f>
      </c>
      <c r="G15378">
        <f>IF(DATOS!$A15378="",0,IF(CONFIG_METADATA!$B$4&lt;&gt;"OR+EX",--(DATOS!$G15378=CONFIG_METADATA!$B$4),IF(DATOS!$G15378="EX",1,IF(DATOS!$G15378="OR",--(COUNTIFS(nNIA,DATOS!$A15378,nCURSO,DATOS!$D15378,nESPEC,DATOS!$E15378,nASIG,DATOS!$I15378,nEVAL,"EX")=0),0))))</f>
      </c>
      <c r="H15378">
        <f>IF(DATOS!$G15378&lt;&gt;"EX",0,--(COUNTIFS(nNIA,DATOS!$A15378,nCURSO,DATOS!$D15378,nESPEC,DATOS!$E15378,nASIG,DATOS!$I15378,nEVAL,"OR")=0))</f>
      </c>
      <c r="I15378">
        <f>IF(DATOS!$I15378="","",IFERROR(VLOOKUP(DATOS!$I15378,CONFIG_ASIGNATURAS!$B$2:$J$91,9,FALSE()),""))</f>
      </c>
    </row>
    <row r="15379">
      <c r="F15379">
        <f>IF(DATOS!$A15379="","",DATOS!$A15379&amp;"|"&amp;DATOS!$D15379&amp;"|"&amp;DATOS!$E15379&amp;"|"&amp;DATOS!$I15379)</f>
      </c>
      <c r="G15379">
        <f>IF(DATOS!$A15379="",0,IF(CONFIG_METADATA!$B$4&lt;&gt;"OR+EX",--(DATOS!$G15379=CONFIG_METADATA!$B$4),IF(DATOS!$G15379="EX",1,IF(DATOS!$G15379="OR",--(COUNTIFS(nNIA,DATOS!$A15379,nCURSO,DATOS!$D15379,nESPEC,DATOS!$E15379,nASIG,DATOS!$I15379,nEVAL,"EX")=0),0))))</f>
      </c>
      <c r="H15379">
        <f>IF(DATOS!$G15379&lt;&gt;"EX",0,--(COUNTIFS(nNIA,DATOS!$A15379,nCURSO,DATOS!$D15379,nESPEC,DATOS!$E15379,nASIG,DATOS!$I15379,nEVAL,"OR")=0))</f>
      </c>
      <c r="I15379">
        <f>IF(DATOS!$I15379="","",IFERROR(VLOOKUP(DATOS!$I15379,CONFIG_ASIGNATURAS!$B$2:$J$91,9,FALSE()),""))</f>
      </c>
    </row>
    <row r="15380">
      <c r="F15380">
        <f>IF(DATOS!$A15380="","",DATOS!$A15380&amp;"|"&amp;DATOS!$D15380&amp;"|"&amp;DATOS!$E15380&amp;"|"&amp;DATOS!$I15380)</f>
      </c>
      <c r="G15380">
        <f>IF(DATOS!$A15380="",0,IF(CONFIG_METADATA!$B$4&lt;&gt;"OR+EX",--(DATOS!$G15380=CONFIG_METADATA!$B$4),IF(DATOS!$G15380="EX",1,IF(DATOS!$G15380="OR",--(COUNTIFS(nNIA,DATOS!$A15380,nCURSO,DATOS!$D15380,nESPEC,DATOS!$E15380,nASIG,DATOS!$I15380,nEVAL,"EX")=0),0))))</f>
      </c>
      <c r="H15380">
        <f>IF(DATOS!$G15380&lt;&gt;"EX",0,--(COUNTIFS(nNIA,DATOS!$A15380,nCURSO,DATOS!$D15380,nESPEC,DATOS!$E15380,nASIG,DATOS!$I15380,nEVAL,"OR")=0))</f>
      </c>
      <c r="I15380">
        <f>IF(DATOS!$I15380="","",IFERROR(VLOOKUP(DATOS!$I15380,CONFIG_ASIGNATURAS!$B$2:$J$91,9,FALSE()),""))</f>
      </c>
    </row>
    <row r="15381">
      <c r="F15381">
        <f>IF(DATOS!$A15381="","",DATOS!$A15381&amp;"|"&amp;DATOS!$D15381&amp;"|"&amp;DATOS!$E15381&amp;"|"&amp;DATOS!$I15381)</f>
      </c>
      <c r="G15381">
        <f>IF(DATOS!$A15381="",0,IF(CONFIG_METADATA!$B$4&lt;&gt;"OR+EX",--(DATOS!$G15381=CONFIG_METADATA!$B$4),IF(DATOS!$G15381="EX",1,IF(DATOS!$G15381="OR",--(COUNTIFS(nNIA,DATOS!$A15381,nCURSO,DATOS!$D15381,nESPEC,DATOS!$E15381,nASIG,DATOS!$I15381,nEVAL,"EX")=0),0))))</f>
      </c>
      <c r="H15381">
        <f>IF(DATOS!$G15381&lt;&gt;"EX",0,--(COUNTIFS(nNIA,DATOS!$A15381,nCURSO,DATOS!$D15381,nESPEC,DATOS!$E15381,nASIG,DATOS!$I15381,nEVAL,"OR")=0))</f>
      </c>
      <c r="I15381">
        <f>IF(DATOS!$I15381="","",IFERROR(VLOOKUP(DATOS!$I15381,CONFIG_ASIGNATURAS!$B$2:$J$91,9,FALSE()),""))</f>
      </c>
    </row>
    <row r="15382">
      <c r="F15382">
        <f>IF(DATOS!$A15382="","",DATOS!$A15382&amp;"|"&amp;DATOS!$D15382&amp;"|"&amp;DATOS!$E15382&amp;"|"&amp;DATOS!$I15382)</f>
      </c>
      <c r="G15382">
        <f>IF(DATOS!$A15382="",0,IF(CONFIG_METADATA!$B$4&lt;&gt;"OR+EX",--(DATOS!$G15382=CONFIG_METADATA!$B$4),IF(DATOS!$G15382="EX",1,IF(DATOS!$G15382="OR",--(COUNTIFS(nNIA,DATOS!$A15382,nCURSO,DATOS!$D15382,nESPEC,DATOS!$E15382,nASIG,DATOS!$I15382,nEVAL,"EX")=0),0))))</f>
      </c>
      <c r="H15382">
        <f>IF(DATOS!$G15382&lt;&gt;"EX",0,--(COUNTIFS(nNIA,DATOS!$A15382,nCURSO,DATOS!$D15382,nESPEC,DATOS!$E15382,nASIG,DATOS!$I15382,nEVAL,"OR")=0))</f>
      </c>
      <c r="I15382">
        <f>IF(DATOS!$I15382="","",IFERROR(VLOOKUP(DATOS!$I15382,CONFIG_ASIGNATURAS!$B$2:$J$91,9,FALSE()),""))</f>
      </c>
    </row>
    <row r="15383">
      <c r="F15383">
        <f>IF(DATOS!$A15383="","",DATOS!$A15383&amp;"|"&amp;DATOS!$D15383&amp;"|"&amp;DATOS!$E15383&amp;"|"&amp;DATOS!$I15383)</f>
      </c>
      <c r="G15383">
        <f>IF(DATOS!$A15383="",0,IF(CONFIG_METADATA!$B$4&lt;&gt;"OR+EX",--(DATOS!$G15383=CONFIG_METADATA!$B$4),IF(DATOS!$G15383="EX",1,IF(DATOS!$G15383="OR",--(COUNTIFS(nNIA,DATOS!$A15383,nCURSO,DATOS!$D15383,nESPEC,DATOS!$E15383,nASIG,DATOS!$I15383,nEVAL,"EX")=0),0))))</f>
      </c>
      <c r="H15383">
        <f>IF(DATOS!$G15383&lt;&gt;"EX",0,--(COUNTIFS(nNIA,DATOS!$A15383,nCURSO,DATOS!$D15383,nESPEC,DATOS!$E15383,nASIG,DATOS!$I15383,nEVAL,"OR")=0))</f>
      </c>
      <c r="I15383">
        <f>IF(DATOS!$I15383="","",IFERROR(VLOOKUP(DATOS!$I15383,CONFIG_ASIGNATURAS!$B$2:$J$91,9,FALSE()),""))</f>
      </c>
    </row>
    <row r="15384">
      <c r="F15384">
        <f>IF(DATOS!$A15384="","",DATOS!$A15384&amp;"|"&amp;DATOS!$D15384&amp;"|"&amp;DATOS!$E15384&amp;"|"&amp;DATOS!$I15384)</f>
      </c>
      <c r="G15384">
        <f>IF(DATOS!$A15384="",0,IF(CONFIG_METADATA!$B$4&lt;&gt;"OR+EX",--(DATOS!$G15384=CONFIG_METADATA!$B$4),IF(DATOS!$G15384="EX",1,IF(DATOS!$G15384="OR",--(COUNTIFS(nNIA,DATOS!$A15384,nCURSO,DATOS!$D15384,nESPEC,DATOS!$E15384,nASIG,DATOS!$I15384,nEVAL,"EX")=0),0))))</f>
      </c>
      <c r="H15384">
        <f>IF(DATOS!$G15384&lt;&gt;"EX",0,--(COUNTIFS(nNIA,DATOS!$A15384,nCURSO,DATOS!$D15384,nESPEC,DATOS!$E15384,nASIG,DATOS!$I15384,nEVAL,"OR")=0))</f>
      </c>
      <c r="I15384">
        <f>IF(DATOS!$I15384="","",IFERROR(VLOOKUP(DATOS!$I15384,CONFIG_ASIGNATURAS!$B$2:$J$91,9,FALSE()),""))</f>
      </c>
    </row>
    <row r="15385">
      <c r="F15385">
        <f>IF(DATOS!$A15385="","",DATOS!$A15385&amp;"|"&amp;DATOS!$D15385&amp;"|"&amp;DATOS!$E15385&amp;"|"&amp;DATOS!$I15385)</f>
      </c>
      <c r="G15385">
        <f>IF(DATOS!$A15385="",0,IF(CONFIG_METADATA!$B$4&lt;&gt;"OR+EX",--(DATOS!$G15385=CONFIG_METADATA!$B$4),IF(DATOS!$G15385="EX",1,IF(DATOS!$G15385="OR",--(COUNTIFS(nNIA,DATOS!$A15385,nCURSO,DATOS!$D15385,nESPEC,DATOS!$E15385,nASIG,DATOS!$I15385,nEVAL,"EX")=0),0))))</f>
      </c>
      <c r="H15385">
        <f>IF(DATOS!$G15385&lt;&gt;"EX",0,--(COUNTIFS(nNIA,DATOS!$A15385,nCURSO,DATOS!$D15385,nESPEC,DATOS!$E15385,nASIG,DATOS!$I15385,nEVAL,"OR")=0))</f>
      </c>
      <c r="I15385">
        <f>IF(DATOS!$I15385="","",IFERROR(VLOOKUP(DATOS!$I15385,CONFIG_ASIGNATURAS!$B$2:$J$91,9,FALSE()),""))</f>
      </c>
    </row>
    <row r="15386">
      <c r="F15386">
        <f>IF(DATOS!$A15386="","",DATOS!$A15386&amp;"|"&amp;DATOS!$D15386&amp;"|"&amp;DATOS!$E15386&amp;"|"&amp;DATOS!$I15386)</f>
      </c>
      <c r="G15386">
        <f>IF(DATOS!$A15386="",0,IF(CONFIG_METADATA!$B$4&lt;&gt;"OR+EX",--(DATOS!$G15386=CONFIG_METADATA!$B$4),IF(DATOS!$G15386="EX",1,IF(DATOS!$G15386="OR",--(COUNTIFS(nNIA,DATOS!$A15386,nCURSO,DATOS!$D15386,nESPEC,DATOS!$E15386,nASIG,DATOS!$I15386,nEVAL,"EX")=0),0))))</f>
      </c>
      <c r="H15386">
        <f>IF(DATOS!$G15386&lt;&gt;"EX",0,--(COUNTIFS(nNIA,DATOS!$A15386,nCURSO,DATOS!$D15386,nESPEC,DATOS!$E15386,nASIG,DATOS!$I15386,nEVAL,"OR")=0))</f>
      </c>
      <c r="I15386">
        <f>IF(DATOS!$I15386="","",IFERROR(VLOOKUP(DATOS!$I15386,CONFIG_ASIGNATURAS!$B$2:$J$91,9,FALSE()),""))</f>
      </c>
    </row>
    <row r="15387">
      <c r="F15387">
        <f>IF(DATOS!$A15387="","",DATOS!$A15387&amp;"|"&amp;DATOS!$D15387&amp;"|"&amp;DATOS!$E15387&amp;"|"&amp;DATOS!$I15387)</f>
      </c>
      <c r="G15387">
        <f>IF(DATOS!$A15387="",0,IF(CONFIG_METADATA!$B$4&lt;&gt;"OR+EX",--(DATOS!$G15387=CONFIG_METADATA!$B$4),IF(DATOS!$G15387="EX",1,IF(DATOS!$G15387="OR",--(COUNTIFS(nNIA,DATOS!$A15387,nCURSO,DATOS!$D15387,nESPEC,DATOS!$E15387,nASIG,DATOS!$I15387,nEVAL,"EX")=0),0))))</f>
      </c>
      <c r="H15387">
        <f>IF(DATOS!$G15387&lt;&gt;"EX",0,--(COUNTIFS(nNIA,DATOS!$A15387,nCURSO,DATOS!$D15387,nESPEC,DATOS!$E15387,nASIG,DATOS!$I15387,nEVAL,"OR")=0))</f>
      </c>
      <c r="I15387">
        <f>IF(DATOS!$I15387="","",IFERROR(VLOOKUP(DATOS!$I15387,CONFIG_ASIGNATURAS!$B$2:$J$91,9,FALSE()),""))</f>
      </c>
    </row>
    <row r="15388">
      <c r="F15388">
        <f>IF(DATOS!$A15388="","",DATOS!$A15388&amp;"|"&amp;DATOS!$D15388&amp;"|"&amp;DATOS!$E15388&amp;"|"&amp;DATOS!$I15388)</f>
      </c>
      <c r="G15388">
        <f>IF(DATOS!$A15388="",0,IF(CONFIG_METADATA!$B$4&lt;&gt;"OR+EX",--(DATOS!$G15388=CONFIG_METADATA!$B$4),IF(DATOS!$G15388="EX",1,IF(DATOS!$G15388="OR",--(COUNTIFS(nNIA,DATOS!$A15388,nCURSO,DATOS!$D15388,nESPEC,DATOS!$E15388,nASIG,DATOS!$I15388,nEVAL,"EX")=0),0))))</f>
      </c>
      <c r="H15388">
        <f>IF(DATOS!$G15388&lt;&gt;"EX",0,--(COUNTIFS(nNIA,DATOS!$A15388,nCURSO,DATOS!$D15388,nESPEC,DATOS!$E15388,nASIG,DATOS!$I15388,nEVAL,"OR")=0))</f>
      </c>
      <c r="I15388">
        <f>IF(DATOS!$I15388="","",IFERROR(VLOOKUP(DATOS!$I15388,CONFIG_ASIGNATURAS!$B$2:$J$91,9,FALSE()),""))</f>
      </c>
    </row>
    <row r="15389">
      <c r="F15389">
        <f>IF(DATOS!$A15389="","",DATOS!$A15389&amp;"|"&amp;DATOS!$D15389&amp;"|"&amp;DATOS!$E15389&amp;"|"&amp;DATOS!$I15389)</f>
      </c>
      <c r="G15389">
        <f>IF(DATOS!$A15389="",0,IF(CONFIG_METADATA!$B$4&lt;&gt;"OR+EX",--(DATOS!$G15389=CONFIG_METADATA!$B$4),IF(DATOS!$G15389="EX",1,IF(DATOS!$G15389="OR",--(COUNTIFS(nNIA,DATOS!$A15389,nCURSO,DATOS!$D15389,nESPEC,DATOS!$E15389,nASIG,DATOS!$I15389,nEVAL,"EX")=0),0))))</f>
      </c>
      <c r="H15389">
        <f>IF(DATOS!$G15389&lt;&gt;"EX",0,--(COUNTIFS(nNIA,DATOS!$A15389,nCURSO,DATOS!$D15389,nESPEC,DATOS!$E15389,nASIG,DATOS!$I15389,nEVAL,"OR")=0))</f>
      </c>
      <c r="I15389">
        <f>IF(DATOS!$I15389="","",IFERROR(VLOOKUP(DATOS!$I15389,CONFIG_ASIGNATURAS!$B$2:$J$91,9,FALSE()),""))</f>
      </c>
    </row>
    <row r="15390">
      <c r="F15390">
        <f>IF(DATOS!$A15390="","",DATOS!$A15390&amp;"|"&amp;DATOS!$D15390&amp;"|"&amp;DATOS!$E15390&amp;"|"&amp;DATOS!$I15390)</f>
      </c>
      <c r="G15390">
        <f>IF(DATOS!$A15390="",0,IF(CONFIG_METADATA!$B$4&lt;&gt;"OR+EX",--(DATOS!$G15390=CONFIG_METADATA!$B$4),IF(DATOS!$G15390="EX",1,IF(DATOS!$G15390="OR",--(COUNTIFS(nNIA,DATOS!$A15390,nCURSO,DATOS!$D15390,nESPEC,DATOS!$E15390,nASIG,DATOS!$I15390,nEVAL,"EX")=0),0))))</f>
      </c>
      <c r="H15390">
        <f>IF(DATOS!$G15390&lt;&gt;"EX",0,--(COUNTIFS(nNIA,DATOS!$A15390,nCURSO,DATOS!$D15390,nESPEC,DATOS!$E15390,nASIG,DATOS!$I15390,nEVAL,"OR")=0))</f>
      </c>
      <c r="I15390">
        <f>IF(DATOS!$I15390="","",IFERROR(VLOOKUP(DATOS!$I15390,CONFIG_ASIGNATURAS!$B$2:$J$91,9,FALSE()),""))</f>
      </c>
    </row>
    <row r="15391">
      <c r="F15391">
        <f>IF(DATOS!$A15391="","",DATOS!$A15391&amp;"|"&amp;DATOS!$D15391&amp;"|"&amp;DATOS!$E15391&amp;"|"&amp;DATOS!$I15391)</f>
      </c>
      <c r="G15391">
        <f>IF(DATOS!$A15391="",0,IF(CONFIG_METADATA!$B$4&lt;&gt;"OR+EX",--(DATOS!$G15391=CONFIG_METADATA!$B$4),IF(DATOS!$G15391="EX",1,IF(DATOS!$G15391="OR",--(COUNTIFS(nNIA,DATOS!$A15391,nCURSO,DATOS!$D15391,nESPEC,DATOS!$E15391,nASIG,DATOS!$I15391,nEVAL,"EX")=0),0))))</f>
      </c>
      <c r="H15391">
        <f>IF(DATOS!$G15391&lt;&gt;"EX",0,--(COUNTIFS(nNIA,DATOS!$A15391,nCURSO,DATOS!$D15391,nESPEC,DATOS!$E15391,nASIG,DATOS!$I15391,nEVAL,"OR")=0))</f>
      </c>
      <c r="I15391">
        <f>IF(DATOS!$I15391="","",IFERROR(VLOOKUP(DATOS!$I15391,CONFIG_ASIGNATURAS!$B$2:$J$91,9,FALSE()),""))</f>
      </c>
    </row>
    <row r="15392">
      <c r="F15392">
        <f>IF(DATOS!$A15392="","",DATOS!$A15392&amp;"|"&amp;DATOS!$D15392&amp;"|"&amp;DATOS!$E15392&amp;"|"&amp;DATOS!$I15392)</f>
      </c>
      <c r="G15392">
        <f>IF(DATOS!$A15392="",0,IF(CONFIG_METADATA!$B$4&lt;&gt;"OR+EX",--(DATOS!$G15392=CONFIG_METADATA!$B$4),IF(DATOS!$G15392="EX",1,IF(DATOS!$G15392="OR",--(COUNTIFS(nNIA,DATOS!$A15392,nCURSO,DATOS!$D15392,nESPEC,DATOS!$E15392,nASIG,DATOS!$I15392,nEVAL,"EX")=0),0))))</f>
      </c>
      <c r="H15392">
        <f>IF(DATOS!$G15392&lt;&gt;"EX",0,--(COUNTIFS(nNIA,DATOS!$A15392,nCURSO,DATOS!$D15392,nESPEC,DATOS!$E15392,nASIG,DATOS!$I15392,nEVAL,"OR")=0))</f>
      </c>
      <c r="I15392">
        <f>IF(DATOS!$I15392="","",IFERROR(VLOOKUP(DATOS!$I15392,CONFIG_ASIGNATURAS!$B$2:$J$91,9,FALSE()),""))</f>
      </c>
    </row>
    <row r="15393">
      <c r="F15393">
        <f>IF(DATOS!$A15393="","",DATOS!$A15393&amp;"|"&amp;DATOS!$D15393&amp;"|"&amp;DATOS!$E15393&amp;"|"&amp;DATOS!$I15393)</f>
      </c>
      <c r="G15393">
        <f>IF(DATOS!$A15393="",0,IF(CONFIG_METADATA!$B$4&lt;&gt;"OR+EX",--(DATOS!$G15393=CONFIG_METADATA!$B$4),IF(DATOS!$G15393="EX",1,IF(DATOS!$G15393="OR",--(COUNTIFS(nNIA,DATOS!$A15393,nCURSO,DATOS!$D15393,nESPEC,DATOS!$E15393,nASIG,DATOS!$I15393,nEVAL,"EX")=0),0))))</f>
      </c>
      <c r="H15393">
        <f>IF(DATOS!$G15393&lt;&gt;"EX",0,--(COUNTIFS(nNIA,DATOS!$A15393,nCURSO,DATOS!$D15393,nESPEC,DATOS!$E15393,nASIG,DATOS!$I15393,nEVAL,"OR")=0))</f>
      </c>
      <c r="I15393">
        <f>IF(DATOS!$I15393="","",IFERROR(VLOOKUP(DATOS!$I15393,CONFIG_ASIGNATURAS!$B$2:$J$91,9,FALSE()),""))</f>
      </c>
    </row>
    <row r="15394">
      <c r="F15394">
        <f>IF(DATOS!$A15394="","",DATOS!$A15394&amp;"|"&amp;DATOS!$D15394&amp;"|"&amp;DATOS!$E15394&amp;"|"&amp;DATOS!$I15394)</f>
      </c>
      <c r="G15394">
        <f>IF(DATOS!$A15394="",0,IF(CONFIG_METADATA!$B$4&lt;&gt;"OR+EX",--(DATOS!$G15394=CONFIG_METADATA!$B$4),IF(DATOS!$G15394="EX",1,IF(DATOS!$G15394="OR",--(COUNTIFS(nNIA,DATOS!$A15394,nCURSO,DATOS!$D15394,nESPEC,DATOS!$E15394,nASIG,DATOS!$I15394,nEVAL,"EX")=0),0))))</f>
      </c>
      <c r="H15394">
        <f>IF(DATOS!$G15394&lt;&gt;"EX",0,--(COUNTIFS(nNIA,DATOS!$A15394,nCURSO,DATOS!$D15394,nESPEC,DATOS!$E15394,nASIG,DATOS!$I15394,nEVAL,"OR")=0))</f>
      </c>
      <c r="I15394">
        <f>IF(DATOS!$I15394="","",IFERROR(VLOOKUP(DATOS!$I15394,CONFIG_ASIGNATURAS!$B$2:$J$91,9,FALSE()),""))</f>
      </c>
    </row>
    <row r="15395">
      <c r="F15395">
        <f>IF(DATOS!$A15395="","",DATOS!$A15395&amp;"|"&amp;DATOS!$D15395&amp;"|"&amp;DATOS!$E15395&amp;"|"&amp;DATOS!$I15395)</f>
      </c>
      <c r="G15395">
        <f>IF(DATOS!$A15395="",0,IF(CONFIG_METADATA!$B$4&lt;&gt;"OR+EX",--(DATOS!$G15395=CONFIG_METADATA!$B$4),IF(DATOS!$G15395="EX",1,IF(DATOS!$G15395="OR",--(COUNTIFS(nNIA,DATOS!$A15395,nCURSO,DATOS!$D15395,nESPEC,DATOS!$E15395,nASIG,DATOS!$I15395,nEVAL,"EX")=0),0))))</f>
      </c>
      <c r="H15395">
        <f>IF(DATOS!$G15395&lt;&gt;"EX",0,--(COUNTIFS(nNIA,DATOS!$A15395,nCURSO,DATOS!$D15395,nESPEC,DATOS!$E15395,nASIG,DATOS!$I15395,nEVAL,"OR")=0))</f>
      </c>
      <c r="I15395">
        <f>IF(DATOS!$I15395="","",IFERROR(VLOOKUP(DATOS!$I15395,CONFIG_ASIGNATURAS!$B$2:$J$91,9,FALSE()),""))</f>
      </c>
    </row>
    <row r="15396">
      <c r="F15396">
        <f>IF(DATOS!$A15396="","",DATOS!$A15396&amp;"|"&amp;DATOS!$D15396&amp;"|"&amp;DATOS!$E15396&amp;"|"&amp;DATOS!$I15396)</f>
      </c>
      <c r="G15396">
        <f>IF(DATOS!$A15396="",0,IF(CONFIG_METADATA!$B$4&lt;&gt;"OR+EX",--(DATOS!$G15396=CONFIG_METADATA!$B$4),IF(DATOS!$G15396="EX",1,IF(DATOS!$G15396="OR",--(COUNTIFS(nNIA,DATOS!$A15396,nCURSO,DATOS!$D15396,nESPEC,DATOS!$E15396,nASIG,DATOS!$I15396,nEVAL,"EX")=0),0))))</f>
      </c>
      <c r="H15396">
        <f>IF(DATOS!$G15396&lt;&gt;"EX",0,--(COUNTIFS(nNIA,DATOS!$A15396,nCURSO,DATOS!$D15396,nESPEC,DATOS!$E15396,nASIG,DATOS!$I15396,nEVAL,"OR")=0))</f>
      </c>
      <c r="I15396">
        <f>IF(DATOS!$I15396="","",IFERROR(VLOOKUP(DATOS!$I15396,CONFIG_ASIGNATURAS!$B$2:$J$91,9,FALSE()),""))</f>
      </c>
    </row>
    <row r="15397">
      <c r="F15397">
        <f>IF(DATOS!$A15397="","",DATOS!$A15397&amp;"|"&amp;DATOS!$D15397&amp;"|"&amp;DATOS!$E15397&amp;"|"&amp;DATOS!$I15397)</f>
      </c>
      <c r="G15397">
        <f>IF(DATOS!$A15397="",0,IF(CONFIG_METADATA!$B$4&lt;&gt;"OR+EX",--(DATOS!$G15397=CONFIG_METADATA!$B$4),IF(DATOS!$G15397="EX",1,IF(DATOS!$G15397="OR",--(COUNTIFS(nNIA,DATOS!$A15397,nCURSO,DATOS!$D15397,nESPEC,DATOS!$E15397,nASIG,DATOS!$I15397,nEVAL,"EX")=0),0))))</f>
      </c>
      <c r="H15397">
        <f>IF(DATOS!$G15397&lt;&gt;"EX",0,--(COUNTIFS(nNIA,DATOS!$A15397,nCURSO,DATOS!$D15397,nESPEC,DATOS!$E15397,nASIG,DATOS!$I15397,nEVAL,"OR")=0))</f>
      </c>
      <c r="I15397">
        <f>IF(DATOS!$I15397="","",IFERROR(VLOOKUP(DATOS!$I15397,CONFIG_ASIGNATURAS!$B$2:$J$91,9,FALSE()),""))</f>
      </c>
    </row>
    <row r="15398">
      <c r="F15398">
        <f>IF(DATOS!$A15398="","",DATOS!$A15398&amp;"|"&amp;DATOS!$D15398&amp;"|"&amp;DATOS!$E15398&amp;"|"&amp;DATOS!$I15398)</f>
      </c>
      <c r="G15398">
        <f>IF(DATOS!$A15398="",0,IF(CONFIG_METADATA!$B$4&lt;&gt;"OR+EX",--(DATOS!$G15398=CONFIG_METADATA!$B$4),IF(DATOS!$G15398="EX",1,IF(DATOS!$G15398="OR",--(COUNTIFS(nNIA,DATOS!$A15398,nCURSO,DATOS!$D15398,nESPEC,DATOS!$E15398,nASIG,DATOS!$I15398,nEVAL,"EX")=0),0))))</f>
      </c>
      <c r="H15398">
        <f>IF(DATOS!$G15398&lt;&gt;"EX",0,--(COUNTIFS(nNIA,DATOS!$A15398,nCURSO,DATOS!$D15398,nESPEC,DATOS!$E15398,nASIG,DATOS!$I15398,nEVAL,"OR")=0))</f>
      </c>
      <c r="I15398">
        <f>IF(DATOS!$I15398="","",IFERROR(VLOOKUP(DATOS!$I15398,CONFIG_ASIGNATURAS!$B$2:$J$91,9,FALSE()),""))</f>
      </c>
    </row>
    <row r="15399">
      <c r="F15399">
        <f>IF(DATOS!$A15399="","",DATOS!$A15399&amp;"|"&amp;DATOS!$D15399&amp;"|"&amp;DATOS!$E15399&amp;"|"&amp;DATOS!$I15399)</f>
      </c>
      <c r="G15399">
        <f>IF(DATOS!$A15399="",0,IF(CONFIG_METADATA!$B$4&lt;&gt;"OR+EX",--(DATOS!$G15399=CONFIG_METADATA!$B$4),IF(DATOS!$G15399="EX",1,IF(DATOS!$G15399="OR",--(COUNTIFS(nNIA,DATOS!$A15399,nCURSO,DATOS!$D15399,nESPEC,DATOS!$E15399,nASIG,DATOS!$I15399,nEVAL,"EX")=0),0))))</f>
      </c>
      <c r="H15399">
        <f>IF(DATOS!$G15399&lt;&gt;"EX",0,--(COUNTIFS(nNIA,DATOS!$A15399,nCURSO,DATOS!$D15399,nESPEC,DATOS!$E15399,nASIG,DATOS!$I15399,nEVAL,"OR")=0))</f>
      </c>
      <c r="I15399">
        <f>IF(DATOS!$I15399="","",IFERROR(VLOOKUP(DATOS!$I15399,CONFIG_ASIGNATURAS!$B$2:$J$91,9,FALSE()),""))</f>
      </c>
    </row>
    <row r="15400">
      <c r="F15400">
        <f>IF(DATOS!$A15400="","",DATOS!$A15400&amp;"|"&amp;DATOS!$D15400&amp;"|"&amp;DATOS!$E15400&amp;"|"&amp;DATOS!$I15400)</f>
      </c>
      <c r="G15400">
        <f>IF(DATOS!$A15400="",0,IF(CONFIG_METADATA!$B$4&lt;&gt;"OR+EX",--(DATOS!$G15400=CONFIG_METADATA!$B$4),IF(DATOS!$G15400="EX",1,IF(DATOS!$G15400="OR",--(COUNTIFS(nNIA,DATOS!$A15400,nCURSO,DATOS!$D15400,nESPEC,DATOS!$E15400,nASIG,DATOS!$I15400,nEVAL,"EX")=0),0))))</f>
      </c>
      <c r="H15400">
        <f>IF(DATOS!$G15400&lt;&gt;"EX",0,--(COUNTIFS(nNIA,DATOS!$A15400,nCURSO,DATOS!$D15400,nESPEC,DATOS!$E15400,nASIG,DATOS!$I15400,nEVAL,"OR")=0))</f>
      </c>
      <c r="I15400">
        <f>IF(DATOS!$I15400="","",IFERROR(VLOOKUP(DATOS!$I15400,CONFIG_ASIGNATURAS!$B$2:$J$91,9,FALSE()),""))</f>
      </c>
    </row>
    <row r="15401">
      <c r="F15401">
        <f>IF(DATOS!$A15401="","",DATOS!$A15401&amp;"|"&amp;DATOS!$D15401&amp;"|"&amp;DATOS!$E15401&amp;"|"&amp;DATOS!$I15401)</f>
      </c>
      <c r="G15401">
        <f>IF(DATOS!$A15401="",0,IF(CONFIG_METADATA!$B$4&lt;&gt;"OR+EX",--(DATOS!$G15401=CONFIG_METADATA!$B$4),IF(DATOS!$G15401="EX",1,IF(DATOS!$G15401="OR",--(COUNTIFS(nNIA,DATOS!$A15401,nCURSO,DATOS!$D15401,nESPEC,DATOS!$E15401,nASIG,DATOS!$I15401,nEVAL,"EX")=0),0))))</f>
      </c>
      <c r="H15401">
        <f>IF(DATOS!$G15401&lt;&gt;"EX",0,--(COUNTIFS(nNIA,DATOS!$A15401,nCURSO,DATOS!$D15401,nESPEC,DATOS!$E15401,nASIG,DATOS!$I15401,nEVAL,"OR")=0))</f>
      </c>
      <c r="I15401">
        <f>IF(DATOS!$I15401="","",IFERROR(VLOOKUP(DATOS!$I15401,CONFIG_ASIGNATURAS!$B$2:$J$91,9,FALSE()),""))</f>
      </c>
    </row>
    <row r="15402">
      <c r="F15402">
        <f>IF(DATOS!$A15402="","",DATOS!$A15402&amp;"|"&amp;DATOS!$D15402&amp;"|"&amp;DATOS!$E15402&amp;"|"&amp;DATOS!$I15402)</f>
      </c>
      <c r="G15402">
        <f>IF(DATOS!$A15402="",0,IF(CONFIG_METADATA!$B$4&lt;&gt;"OR+EX",--(DATOS!$G15402=CONFIG_METADATA!$B$4),IF(DATOS!$G15402="EX",1,IF(DATOS!$G15402="OR",--(COUNTIFS(nNIA,DATOS!$A15402,nCURSO,DATOS!$D15402,nESPEC,DATOS!$E15402,nASIG,DATOS!$I15402,nEVAL,"EX")=0),0))))</f>
      </c>
      <c r="H15402">
        <f>IF(DATOS!$G15402&lt;&gt;"EX",0,--(COUNTIFS(nNIA,DATOS!$A15402,nCURSO,DATOS!$D15402,nESPEC,DATOS!$E15402,nASIG,DATOS!$I15402,nEVAL,"OR")=0))</f>
      </c>
      <c r="I15402">
        <f>IF(DATOS!$I15402="","",IFERROR(VLOOKUP(DATOS!$I15402,CONFIG_ASIGNATURAS!$B$2:$J$91,9,FALSE()),""))</f>
      </c>
    </row>
    <row r="15403">
      <c r="F15403">
        <f>IF(DATOS!$A15403="","",DATOS!$A15403&amp;"|"&amp;DATOS!$D15403&amp;"|"&amp;DATOS!$E15403&amp;"|"&amp;DATOS!$I15403)</f>
      </c>
      <c r="G15403">
        <f>IF(DATOS!$A15403="",0,IF(CONFIG_METADATA!$B$4&lt;&gt;"OR+EX",--(DATOS!$G15403=CONFIG_METADATA!$B$4),IF(DATOS!$G15403="EX",1,IF(DATOS!$G15403="OR",--(COUNTIFS(nNIA,DATOS!$A15403,nCURSO,DATOS!$D15403,nESPEC,DATOS!$E15403,nASIG,DATOS!$I15403,nEVAL,"EX")=0),0))))</f>
      </c>
      <c r="H15403">
        <f>IF(DATOS!$G15403&lt;&gt;"EX",0,--(COUNTIFS(nNIA,DATOS!$A15403,nCURSO,DATOS!$D15403,nESPEC,DATOS!$E15403,nASIG,DATOS!$I15403,nEVAL,"OR")=0))</f>
      </c>
      <c r="I15403">
        <f>IF(DATOS!$I15403="","",IFERROR(VLOOKUP(DATOS!$I15403,CONFIG_ASIGNATURAS!$B$2:$J$91,9,FALSE()),""))</f>
      </c>
    </row>
    <row r="15404">
      <c r="F15404">
        <f>IF(DATOS!$A15404="","",DATOS!$A15404&amp;"|"&amp;DATOS!$D15404&amp;"|"&amp;DATOS!$E15404&amp;"|"&amp;DATOS!$I15404)</f>
      </c>
      <c r="G15404">
        <f>IF(DATOS!$A15404="",0,IF(CONFIG_METADATA!$B$4&lt;&gt;"OR+EX",--(DATOS!$G15404=CONFIG_METADATA!$B$4),IF(DATOS!$G15404="EX",1,IF(DATOS!$G15404="OR",--(COUNTIFS(nNIA,DATOS!$A15404,nCURSO,DATOS!$D15404,nESPEC,DATOS!$E15404,nASIG,DATOS!$I15404,nEVAL,"EX")=0),0))))</f>
      </c>
      <c r="H15404">
        <f>IF(DATOS!$G15404&lt;&gt;"EX",0,--(COUNTIFS(nNIA,DATOS!$A15404,nCURSO,DATOS!$D15404,nESPEC,DATOS!$E15404,nASIG,DATOS!$I15404,nEVAL,"OR")=0))</f>
      </c>
      <c r="I15404">
        <f>IF(DATOS!$I15404="","",IFERROR(VLOOKUP(DATOS!$I15404,CONFIG_ASIGNATURAS!$B$2:$J$91,9,FALSE()),""))</f>
      </c>
    </row>
    <row r="15405">
      <c r="F15405">
        <f>IF(DATOS!$A15405="","",DATOS!$A15405&amp;"|"&amp;DATOS!$D15405&amp;"|"&amp;DATOS!$E15405&amp;"|"&amp;DATOS!$I15405)</f>
      </c>
      <c r="G15405">
        <f>IF(DATOS!$A15405="",0,IF(CONFIG_METADATA!$B$4&lt;&gt;"OR+EX",--(DATOS!$G15405=CONFIG_METADATA!$B$4),IF(DATOS!$G15405="EX",1,IF(DATOS!$G15405="OR",--(COUNTIFS(nNIA,DATOS!$A15405,nCURSO,DATOS!$D15405,nESPEC,DATOS!$E15405,nASIG,DATOS!$I15405,nEVAL,"EX")=0),0))))</f>
      </c>
      <c r="H15405">
        <f>IF(DATOS!$G15405&lt;&gt;"EX",0,--(COUNTIFS(nNIA,DATOS!$A15405,nCURSO,DATOS!$D15405,nESPEC,DATOS!$E15405,nASIG,DATOS!$I15405,nEVAL,"OR")=0))</f>
      </c>
      <c r="I15405">
        <f>IF(DATOS!$I15405="","",IFERROR(VLOOKUP(DATOS!$I15405,CONFIG_ASIGNATURAS!$B$2:$J$91,9,FALSE()),""))</f>
      </c>
    </row>
    <row r="15406">
      <c r="F15406">
        <f>IF(DATOS!$A15406="","",DATOS!$A15406&amp;"|"&amp;DATOS!$D15406&amp;"|"&amp;DATOS!$E15406&amp;"|"&amp;DATOS!$I15406)</f>
      </c>
      <c r="G15406">
        <f>IF(DATOS!$A15406="",0,IF(CONFIG_METADATA!$B$4&lt;&gt;"OR+EX",--(DATOS!$G15406=CONFIG_METADATA!$B$4),IF(DATOS!$G15406="EX",1,IF(DATOS!$G15406="OR",--(COUNTIFS(nNIA,DATOS!$A15406,nCURSO,DATOS!$D15406,nESPEC,DATOS!$E15406,nASIG,DATOS!$I15406,nEVAL,"EX")=0),0))))</f>
      </c>
      <c r="H15406">
        <f>IF(DATOS!$G15406&lt;&gt;"EX",0,--(COUNTIFS(nNIA,DATOS!$A15406,nCURSO,DATOS!$D15406,nESPEC,DATOS!$E15406,nASIG,DATOS!$I15406,nEVAL,"OR")=0))</f>
      </c>
      <c r="I15406">
        <f>IF(DATOS!$I15406="","",IFERROR(VLOOKUP(DATOS!$I15406,CONFIG_ASIGNATURAS!$B$2:$J$91,9,FALSE()),""))</f>
      </c>
    </row>
    <row r="15407">
      <c r="F15407">
        <f>IF(DATOS!$A15407="","",DATOS!$A15407&amp;"|"&amp;DATOS!$D15407&amp;"|"&amp;DATOS!$E15407&amp;"|"&amp;DATOS!$I15407)</f>
      </c>
      <c r="G15407">
        <f>IF(DATOS!$A15407="",0,IF(CONFIG_METADATA!$B$4&lt;&gt;"OR+EX",--(DATOS!$G15407=CONFIG_METADATA!$B$4),IF(DATOS!$G15407="EX",1,IF(DATOS!$G15407="OR",--(COUNTIFS(nNIA,DATOS!$A15407,nCURSO,DATOS!$D15407,nESPEC,DATOS!$E15407,nASIG,DATOS!$I15407,nEVAL,"EX")=0),0))))</f>
      </c>
      <c r="H15407">
        <f>IF(DATOS!$G15407&lt;&gt;"EX",0,--(COUNTIFS(nNIA,DATOS!$A15407,nCURSO,DATOS!$D15407,nESPEC,DATOS!$E15407,nASIG,DATOS!$I15407,nEVAL,"OR")=0))</f>
      </c>
      <c r="I15407">
        <f>IF(DATOS!$I15407="","",IFERROR(VLOOKUP(DATOS!$I15407,CONFIG_ASIGNATURAS!$B$2:$J$91,9,FALSE()),""))</f>
      </c>
    </row>
    <row r="15408">
      <c r="F15408">
        <f>IF(DATOS!$A15408="","",DATOS!$A15408&amp;"|"&amp;DATOS!$D15408&amp;"|"&amp;DATOS!$E15408&amp;"|"&amp;DATOS!$I15408)</f>
      </c>
      <c r="G15408">
        <f>IF(DATOS!$A15408="",0,IF(CONFIG_METADATA!$B$4&lt;&gt;"OR+EX",--(DATOS!$G15408=CONFIG_METADATA!$B$4),IF(DATOS!$G15408="EX",1,IF(DATOS!$G15408="OR",--(COUNTIFS(nNIA,DATOS!$A15408,nCURSO,DATOS!$D15408,nESPEC,DATOS!$E15408,nASIG,DATOS!$I15408,nEVAL,"EX")=0),0))))</f>
      </c>
      <c r="H15408">
        <f>IF(DATOS!$G15408&lt;&gt;"EX",0,--(COUNTIFS(nNIA,DATOS!$A15408,nCURSO,DATOS!$D15408,nESPEC,DATOS!$E15408,nASIG,DATOS!$I15408,nEVAL,"OR")=0))</f>
      </c>
      <c r="I15408">
        <f>IF(DATOS!$I15408="","",IFERROR(VLOOKUP(DATOS!$I15408,CONFIG_ASIGNATURAS!$B$2:$J$91,9,FALSE()),""))</f>
      </c>
    </row>
    <row r="15409">
      <c r="F15409">
        <f>IF(DATOS!$A15409="","",DATOS!$A15409&amp;"|"&amp;DATOS!$D15409&amp;"|"&amp;DATOS!$E15409&amp;"|"&amp;DATOS!$I15409)</f>
      </c>
      <c r="G15409">
        <f>IF(DATOS!$A15409="",0,IF(CONFIG_METADATA!$B$4&lt;&gt;"OR+EX",--(DATOS!$G15409=CONFIG_METADATA!$B$4),IF(DATOS!$G15409="EX",1,IF(DATOS!$G15409="OR",--(COUNTIFS(nNIA,DATOS!$A15409,nCURSO,DATOS!$D15409,nESPEC,DATOS!$E15409,nASIG,DATOS!$I15409,nEVAL,"EX")=0),0))))</f>
      </c>
      <c r="H15409">
        <f>IF(DATOS!$G15409&lt;&gt;"EX",0,--(COUNTIFS(nNIA,DATOS!$A15409,nCURSO,DATOS!$D15409,nESPEC,DATOS!$E15409,nASIG,DATOS!$I15409,nEVAL,"OR")=0))</f>
      </c>
      <c r="I15409">
        <f>IF(DATOS!$I15409="","",IFERROR(VLOOKUP(DATOS!$I15409,CONFIG_ASIGNATURAS!$B$2:$J$91,9,FALSE()),""))</f>
      </c>
    </row>
    <row r="15410">
      <c r="F15410">
        <f>IF(DATOS!$A15410="","",DATOS!$A15410&amp;"|"&amp;DATOS!$D15410&amp;"|"&amp;DATOS!$E15410&amp;"|"&amp;DATOS!$I15410)</f>
      </c>
      <c r="G15410">
        <f>IF(DATOS!$A15410="",0,IF(CONFIG_METADATA!$B$4&lt;&gt;"OR+EX",--(DATOS!$G15410=CONFIG_METADATA!$B$4),IF(DATOS!$G15410="EX",1,IF(DATOS!$G15410="OR",--(COUNTIFS(nNIA,DATOS!$A15410,nCURSO,DATOS!$D15410,nESPEC,DATOS!$E15410,nASIG,DATOS!$I15410,nEVAL,"EX")=0),0))))</f>
      </c>
      <c r="H15410">
        <f>IF(DATOS!$G15410&lt;&gt;"EX",0,--(COUNTIFS(nNIA,DATOS!$A15410,nCURSO,DATOS!$D15410,nESPEC,DATOS!$E15410,nASIG,DATOS!$I15410,nEVAL,"OR")=0))</f>
      </c>
      <c r="I15410">
        <f>IF(DATOS!$I15410="","",IFERROR(VLOOKUP(DATOS!$I15410,CONFIG_ASIGNATURAS!$B$2:$J$91,9,FALSE()),""))</f>
      </c>
    </row>
    <row r="15411">
      <c r="F15411">
        <f>IF(DATOS!$A15411="","",DATOS!$A15411&amp;"|"&amp;DATOS!$D15411&amp;"|"&amp;DATOS!$E15411&amp;"|"&amp;DATOS!$I15411)</f>
      </c>
      <c r="G15411">
        <f>IF(DATOS!$A15411="",0,IF(CONFIG_METADATA!$B$4&lt;&gt;"OR+EX",--(DATOS!$G15411=CONFIG_METADATA!$B$4),IF(DATOS!$G15411="EX",1,IF(DATOS!$G15411="OR",--(COUNTIFS(nNIA,DATOS!$A15411,nCURSO,DATOS!$D15411,nESPEC,DATOS!$E15411,nASIG,DATOS!$I15411,nEVAL,"EX")=0),0))))</f>
      </c>
      <c r="H15411">
        <f>IF(DATOS!$G15411&lt;&gt;"EX",0,--(COUNTIFS(nNIA,DATOS!$A15411,nCURSO,DATOS!$D15411,nESPEC,DATOS!$E15411,nASIG,DATOS!$I15411,nEVAL,"OR")=0))</f>
      </c>
      <c r="I15411">
        <f>IF(DATOS!$I15411="","",IFERROR(VLOOKUP(DATOS!$I15411,CONFIG_ASIGNATURAS!$B$2:$J$91,9,FALSE()),""))</f>
      </c>
    </row>
    <row r="15412">
      <c r="F15412">
        <f>IF(DATOS!$A15412="","",DATOS!$A15412&amp;"|"&amp;DATOS!$D15412&amp;"|"&amp;DATOS!$E15412&amp;"|"&amp;DATOS!$I15412)</f>
      </c>
      <c r="G15412">
        <f>IF(DATOS!$A15412="",0,IF(CONFIG_METADATA!$B$4&lt;&gt;"OR+EX",--(DATOS!$G15412=CONFIG_METADATA!$B$4),IF(DATOS!$G15412="EX",1,IF(DATOS!$G15412="OR",--(COUNTIFS(nNIA,DATOS!$A15412,nCURSO,DATOS!$D15412,nESPEC,DATOS!$E15412,nASIG,DATOS!$I15412,nEVAL,"EX")=0),0))))</f>
      </c>
      <c r="H15412">
        <f>IF(DATOS!$G15412&lt;&gt;"EX",0,--(COUNTIFS(nNIA,DATOS!$A15412,nCURSO,DATOS!$D15412,nESPEC,DATOS!$E15412,nASIG,DATOS!$I15412,nEVAL,"OR")=0))</f>
      </c>
      <c r="I15412">
        <f>IF(DATOS!$I15412="","",IFERROR(VLOOKUP(DATOS!$I15412,CONFIG_ASIGNATURAS!$B$2:$J$91,9,FALSE()),""))</f>
      </c>
    </row>
    <row r="15413">
      <c r="F15413">
        <f>IF(DATOS!$A15413="","",DATOS!$A15413&amp;"|"&amp;DATOS!$D15413&amp;"|"&amp;DATOS!$E15413&amp;"|"&amp;DATOS!$I15413)</f>
      </c>
      <c r="G15413">
        <f>IF(DATOS!$A15413="",0,IF(CONFIG_METADATA!$B$4&lt;&gt;"OR+EX",--(DATOS!$G15413=CONFIG_METADATA!$B$4),IF(DATOS!$G15413="EX",1,IF(DATOS!$G15413="OR",--(COUNTIFS(nNIA,DATOS!$A15413,nCURSO,DATOS!$D15413,nESPEC,DATOS!$E15413,nASIG,DATOS!$I15413,nEVAL,"EX")=0),0))))</f>
      </c>
      <c r="H15413">
        <f>IF(DATOS!$G15413&lt;&gt;"EX",0,--(COUNTIFS(nNIA,DATOS!$A15413,nCURSO,DATOS!$D15413,nESPEC,DATOS!$E15413,nASIG,DATOS!$I15413,nEVAL,"OR")=0))</f>
      </c>
      <c r="I15413">
        <f>IF(DATOS!$I15413="","",IFERROR(VLOOKUP(DATOS!$I15413,CONFIG_ASIGNATURAS!$B$2:$J$91,9,FALSE()),""))</f>
      </c>
    </row>
    <row r="15414">
      <c r="F15414">
        <f>IF(DATOS!$A15414="","",DATOS!$A15414&amp;"|"&amp;DATOS!$D15414&amp;"|"&amp;DATOS!$E15414&amp;"|"&amp;DATOS!$I15414)</f>
      </c>
      <c r="G15414">
        <f>IF(DATOS!$A15414="",0,IF(CONFIG_METADATA!$B$4&lt;&gt;"OR+EX",--(DATOS!$G15414=CONFIG_METADATA!$B$4),IF(DATOS!$G15414="EX",1,IF(DATOS!$G15414="OR",--(COUNTIFS(nNIA,DATOS!$A15414,nCURSO,DATOS!$D15414,nESPEC,DATOS!$E15414,nASIG,DATOS!$I15414,nEVAL,"EX")=0),0))))</f>
      </c>
      <c r="H15414">
        <f>IF(DATOS!$G15414&lt;&gt;"EX",0,--(COUNTIFS(nNIA,DATOS!$A15414,nCURSO,DATOS!$D15414,nESPEC,DATOS!$E15414,nASIG,DATOS!$I15414,nEVAL,"OR")=0))</f>
      </c>
      <c r="I15414">
        <f>IF(DATOS!$I15414="","",IFERROR(VLOOKUP(DATOS!$I15414,CONFIG_ASIGNATURAS!$B$2:$J$91,9,FALSE()),""))</f>
      </c>
    </row>
    <row r="15415">
      <c r="F15415">
        <f>IF(DATOS!$A15415="","",DATOS!$A15415&amp;"|"&amp;DATOS!$D15415&amp;"|"&amp;DATOS!$E15415&amp;"|"&amp;DATOS!$I15415)</f>
      </c>
      <c r="G15415">
        <f>IF(DATOS!$A15415="",0,IF(CONFIG_METADATA!$B$4&lt;&gt;"OR+EX",--(DATOS!$G15415=CONFIG_METADATA!$B$4),IF(DATOS!$G15415="EX",1,IF(DATOS!$G15415="OR",--(COUNTIFS(nNIA,DATOS!$A15415,nCURSO,DATOS!$D15415,nESPEC,DATOS!$E15415,nASIG,DATOS!$I15415,nEVAL,"EX")=0),0))))</f>
      </c>
      <c r="H15415">
        <f>IF(DATOS!$G15415&lt;&gt;"EX",0,--(COUNTIFS(nNIA,DATOS!$A15415,nCURSO,DATOS!$D15415,nESPEC,DATOS!$E15415,nASIG,DATOS!$I15415,nEVAL,"OR")=0))</f>
      </c>
      <c r="I15415">
        <f>IF(DATOS!$I15415="","",IFERROR(VLOOKUP(DATOS!$I15415,CONFIG_ASIGNATURAS!$B$2:$J$91,9,FALSE()),""))</f>
      </c>
    </row>
    <row r="15416">
      <c r="F15416">
        <f>IF(DATOS!$A15416="","",DATOS!$A15416&amp;"|"&amp;DATOS!$D15416&amp;"|"&amp;DATOS!$E15416&amp;"|"&amp;DATOS!$I15416)</f>
      </c>
      <c r="G15416">
        <f>IF(DATOS!$A15416="",0,IF(CONFIG_METADATA!$B$4&lt;&gt;"OR+EX",--(DATOS!$G15416=CONFIG_METADATA!$B$4),IF(DATOS!$G15416="EX",1,IF(DATOS!$G15416="OR",--(COUNTIFS(nNIA,DATOS!$A15416,nCURSO,DATOS!$D15416,nESPEC,DATOS!$E15416,nASIG,DATOS!$I15416,nEVAL,"EX")=0),0))))</f>
      </c>
      <c r="H15416">
        <f>IF(DATOS!$G15416&lt;&gt;"EX",0,--(COUNTIFS(nNIA,DATOS!$A15416,nCURSO,DATOS!$D15416,nESPEC,DATOS!$E15416,nASIG,DATOS!$I15416,nEVAL,"OR")=0))</f>
      </c>
      <c r="I15416">
        <f>IF(DATOS!$I15416="","",IFERROR(VLOOKUP(DATOS!$I15416,CONFIG_ASIGNATURAS!$B$2:$J$91,9,FALSE()),""))</f>
      </c>
    </row>
    <row r="15417">
      <c r="F15417">
        <f>IF(DATOS!$A15417="","",DATOS!$A15417&amp;"|"&amp;DATOS!$D15417&amp;"|"&amp;DATOS!$E15417&amp;"|"&amp;DATOS!$I15417)</f>
      </c>
      <c r="G15417">
        <f>IF(DATOS!$A15417="",0,IF(CONFIG_METADATA!$B$4&lt;&gt;"OR+EX",--(DATOS!$G15417=CONFIG_METADATA!$B$4),IF(DATOS!$G15417="EX",1,IF(DATOS!$G15417="OR",--(COUNTIFS(nNIA,DATOS!$A15417,nCURSO,DATOS!$D15417,nESPEC,DATOS!$E15417,nASIG,DATOS!$I15417,nEVAL,"EX")=0),0))))</f>
      </c>
      <c r="H15417">
        <f>IF(DATOS!$G15417&lt;&gt;"EX",0,--(COUNTIFS(nNIA,DATOS!$A15417,nCURSO,DATOS!$D15417,nESPEC,DATOS!$E15417,nASIG,DATOS!$I15417,nEVAL,"OR")=0))</f>
      </c>
      <c r="I15417">
        <f>IF(DATOS!$I15417="","",IFERROR(VLOOKUP(DATOS!$I15417,CONFIG_ASIGNATURAS!$B$2:$J$91,9,FALSE()),""))</f>
      </c>
    </row>
    <row r="15418">
      <c r="F15418">
        <f>IF(DATOS!$A15418="","",DATOS!$A15418&amp;"|"&amp;DATOS!$D15418&amp;"|"&amp;DATOS!$E15418&amp;"|"&amp;DATOS!$I15418)</f>
      </c>
      <c r="G15418">
        <f>IF(DATOS!$A15418="",0,IF(CONFIG_METADATA!$B$4&lt;&gt;"OR+EX",--(DATOS!$G15418=CONFIG_METADATA!$B$4),IF(DATOS!$G15418="EX",1,IF(DATOS!$G15418="OR",--(COUNTIFS(nNIA,DATOS!$A15418,nCURSO,DATOS!$D15418,nESPEC,DATOS!$E15418,nASIG,DATOS!$I15418,nEVAL,"EX")=0),0))))</f>
      </c>
      <c r="H15418">
        <f>IF(DATOS!$G15418&lt;&gt;"EX",0,--(COUNTIFS(nNIA,DATOS!$A15418,nCURSO,DATOS!$D15418,nESPEC,DATOS!$E15418,nASIG,DATOS!$I15418,nEVAL,"OR")=0))</f>
      </c>
      <c r="I15418">
        <f>IF(DATOS!$I15418="","",IFERROR(VLOOKUP(DATOS!$I15418,CONFIG_ASIGNATURAS!$B$2:$J$91,9,FALSE()),""))</f>
      </c>
    </row>
    <row r="15419">
      <c r="F15419">
        <f>IF(DATOS!$A15419="","",DATOS!$A15419&amp;"|"&amp;DATOS!$D15419&amp;"|"&amp;DATOS!$E15419&amp;"|"&amp;DATOS!$I15419)</f>
      </c>
      <c r="G15419">
        <f>IF(DATOS!$A15419="",0,IF(CONFIG_METADATA!$B$4&lt;&gt;"OR+EX",--(DATOS!$G15419=CONFIG_METADATA!$B$4),IF(DATOS!$G15419="EX",1,IF(DATOS!$G15419="OR",--(COUNTIFS(nNIA,DATOS!$A15419,nCURSO,DATOS!$D15419,nESPEC,DATOS!$E15419,nASIG,DATOS!$I15419,nEVAL,"EX")=0),0))))</f>
      </c>
      <c r="H15419">
        <f>IF(DATOS!$G15419&lt;&gt;"EX",0,--(COUNTIFS(nNIA,DATOS!$A15419,nCURSO,DATOS!$D15419,nESPEC,DATOS!$E15419,nASIG,DATOS!$I15419,nEVAL,"OR")=0))</f>
      </c>
      <c r="I15419">
        <f>IF(DATOS!$I15419="","",IFERROR(VLOOKUP(DATOS!$I15419,CONFIG_ASIGNATURAS!$B$2:$J$91,9,FALSE()),""))</f>
      </c>
    </row>
    <row r="15420">
      <c r="F15420">
        <f>IF(DATOS!$A15420="","",DATOS!$A15420&amp;"|"&amp;DATOS!$D15420&amp;"|"&amp;DATOS!$E15420&amp;"|"&amp;DATOS!$I15420)</f>
      </c>
      <c r="G15420">
        <f>IF(DATOS!$A15420="",0,IF(CONFIG_METADATA!$B$4&lt;&gt;"OR+EX",--(DATOS!$G15420=CONFIG_METADATA!$B$4),IF(DATOS!$G15420="EX",1,IF(DATOS!$G15420="OR",--(COUNTIFS(nNIA,DATOS!$A15420,nCURSO,DATOS!$D15420,nESPEC,DATOS!$E15420,nASIG,DATOS!$I15420,nEVAL,"EX")=0),0))))</f>
      </c>
      <c r="H15420">
        <f>IF(DATOS!$G15420&lt;&gt;"EX",0,--(COUNTIFS(nNIA,DATOS!$A15420,nCURSO,DATOS!$D15420,nESPEC,DATOS!$E15420,nASIG,DATOS!$I15420,nEVAL,"OR")=0))</f>
      </c>
      <c r="I15420">
        <f>IF(DATOS!$I15420="","",IFERROR(VLOOKUP(DATOS!$I15420,CONFIG_ASIGNATURAS!$B$2:$J$91,9,FALSE()),""))</f>
      </c>
    </row>
    <row r="15421">
      <c r="F15421">
        <f>IF(DATOS!$A15421="","",DATOS!$A15421&amp;"|"&amp;DATOS!$D15421&amp;"|"&amp;DATOS!$E15421&amp;"|"&amp;DATOS!$I15421)</f>
      </c>
      <c r="G15421">
        <f>IF(DATOS!$A15421="",0,IF(CONFIG_METADATA!$B$4&lt;&gt;"OR+EX",--(DATOS!$G15421=CONFIG_METADATA!$B$4),IF(DATOS!$G15421="EX",1,IF(DATOS!$G15421="OR",--(COUNTIFS(nNIA,DATOS!$A15421,nCURSO,DATOS!$D15421,nESPEC,DATOS!$E15421,nASIG,DATOS!$I15421,nEVAL,"EX")=0),0))))</f>
      </c>
      <c r="H15421">
        <f>IF(DATOS!$G15421&lt;&gt;"EX",0,--(COUNTIFS(nNIA,DATOS!$A15421,nCURSO,DATOS!$D15421,nESPEC,DATOS!$E15421,nASIG,DATOS!$I15421,nEVAL,"OR")=0))</f>
      </c>
      <c r="I15421">
        <f>IF(DATOS!$I15421="","",IFERROR(VLOOKUP(DATOS!$I15421,CONFIG_ASIGNATURAS!$B$2:$J$91,9,FALSE()),""))</f>
      </c>
    </row>
    <row r="15422">
      <c r="F15422">
        <f>IF(DATOS!$A15422="","",DATOS!$A15422&amp;"|"&amp;DATOS!$D15422&amp;"|"&amp;DATOS!$E15422&amp;"|"&amp;DATOS!$I15422)</f>
      </c>
      <c r="G15422">
        <f>IF(DATOS!$A15422="",0,IF(CONFIG_METADATA!$B$4&lt;&gt;"OR+EX",--(DATOS!$G15422=CONFIG_METADATA!$B$4),IF(DATOS!$G15422="EX",1,IF(DATOS!$G15422="OR",--(COUNTIFS(nNIA,DATOS!$A15422,nCURSO,DATOS!$D15422,nESPEC,DATOS!$E15422,nASIG,DATOS!$I15422,nEVAL,"EX")=0),0))))</f>
      </c>
      <c r="H15422">
        <f>IF(DATOS!$G15422&lt;&gt;"EX",0,--(COUNTIFS(nNIA,DATOS!$A15422,nCURSO,DATOS!$D15422,nESPEC,DATOS!$E15422,nASIG,DATOS!$I15422,nEVAL,"OR")=0))</f>
      </c>
      <c r="I15422">
        <f>IF(DATOS!$I15422="","",IFERROR(VLOOKUP(DATOS!$I15422,CONFIG_ASIGNATURAS!$B$2:$J$91,9,FALSE()),""))</f>
      </c>
    </row>
    <row r="15423">
      <c r="F15423">
        <f>IF(DATOS!$A15423="","",DATOS!$A15423&amp;"|"&amp;DATOS!$D15423&amp;"|"&amp;DATOS!$E15423&amp;"|"&amp;DATOS!$I15423)</f>
      </c>
      <c r="G15423">
        <f>IF(DATOS!$A15423="",0,IF(CONFIG_METADATA!$B$4&lt;&gt;"OR+EX",--(DATOS!$G15423=CONFIG_METADATA!$B$4),IF(DATOS!$G15423="EX",1,IF(DATOS!$G15423="OR",--(COUNTIFS(nNIA,DATOS!$A15423,nCURSO,DATOS!$D15423,nESPEC,DATOS!$E15423,nASIG,DATOS!$I15423,nEVAL,"EX")=0),0))))</f>
      </c>
      <c r="H15423">
        <f>IF(DATOS!$G15423&lt;&gt;"EX",0,--(COUNTIFS(nNIA,DATOS!$A15423,nCURSO,DATOS!$D15423,nESPEC,DATOS!$E15423,nASIG,DATOS!$I15423,nEVAL,"OR")=0))</f>
      </c>
      <c r="I15423">
        <f>IF(DATOS!$I15423="","",IFERROR(VLOOKUP(DATOS!$I15423,CONFIG_ASIGNATURAS!$B$2:$J$91,9,FALSE()),""))</f>
      </c>
    </row>
    <row r="15424">
      <c r="F15424">
        <f>IF(DATOS!$A15424="","",DATOS!$A15424&amp;"|"&amp;DATOS!$D15424&amp;"|"&amp;DATOS!$E15424&amp;"|"&amp;DATOS!$I15424)</f>
      </c>
      <c r="G15424">
        <f>IF(DATOS!$A15424="",0,IF(CONFIG_METADATA!$B$4&lt;&gt;"OR+EX",--(DATOS!$G15424=CONFIG_METADATA!$B$4),IF(DATOS!$G15424="EX",1,IF(DATOS!$G15424="OR",--(COUNTIFS(nNIA,DATOS!$A15424,nCURSO,DATOS!$D15424,nESPEC,DATOS!$E15424,nASIG,DATOS!$I15424,nEVAL,"EX")=0),0))))</f>
      </c>
      <c r="H15424">
        <f>IF(DATOS!$G15424&lt;&gt;"EX",0,--(COUNTIFS(nNIA,DATOS!$A15424,nCURSO,DATOS!$D15424,nESPEC,DATOS!$E15424,nASIG,DATOS!$I15424,nEVAL,"OR")=0))</f>
      </c>
      <c r="I15424">
        <f>IF(DATOS!$I15424="","",IFERROR(VLOOKUP(DATOS!$I15424,CONFIG_ASIGNATURAS!$B$2:$J$91,9,FALSE()),""))</f>
      </c>
    </row>
    <row r="15425">
      <c r="F15425">
        <f>IF(DATOS!$A15425="","",DATOS!$A15425&amp;"|"&amp;DATOS!$D15425&amp;"|"&amp;DATOS!$E15425&amp;"|"&amp;DATOS!$I15425)</f>
      </c>
      <c r="G15425">
        <f>IF(DATOS!$A15425="",0,IF(CONFIG_METADATA!$B$4&lt;&gt;"OR+EX",--(DATOS!$G15425=CONFIG_METADATA!$B$4),IF(DATOS!$G15425="EX",1,IF(DATOS!$G15425="OR",--(COUNTIFS(nNIA,DATOS!$A15425,nCURSO,DATOS!$D15425,nESPEC,DATOS!$E15425,nASIG,DATOS!$I15425,nEVAL,"EX")=0),0))))</f>
      </c>
      <c r="H15425">
        <f>IF(DATOS!$G15425&lt;&gt;"EX",0,--(COUNTIFS(nNIA,DATOS!$A15425,nCURSO,DATOS!$D15425,nESPEC,DATOS!$E15425,nASIG,DATOS!$I15425,nEVAL,"OR")=0))</f>
      </c>
      <c r="I15425">
        <f>IF(DATOS!$I15425="","",IFERROR(VLOOKUP(DATOS!$I15425,CONFIG_ASIGNATURAS!$B$2:$J$91,9,FALSE()),""))</f>
      </c>
    </row>
    <row r="15426">
      <c r="F15426">
        <f>IF(DATOS!$A15426="","",DATOS!$A15426&amp;"|"&amp;DATOS!$D15426&amp;"|"&amp;DATOS!$E15426&amp;"|"&amp;DATOS!$I15426)</f>
      </c>
      <c r="G15426">
        <f>IF(DATOS!$A15426="",0,IF(CONFIG_METADATA!$B$4&lt;&gt;"OR+EX",--(DATOS!$G15426=CONFIG_METADATA!$B$4),IF(DATOS!$G15426="EX",1,IF(DATOS!$G15426="OR",--(COUNTIFS(nNIA,DATOS!$A15426,nCURSO,DATOS!$D15426,nESPEC,DATOS!$E15426,nASIG,DATOS!$I15426,nEVAL,"EX")=0),0))))</f>
      </c>
      <c r="H15426">
        <f>IF(DATOS!$G15426&lt;&gt;"EX",0,--(COUNTIFS(nNIA,DATOS!$A15426,nCURSO,DATOS!$D15426,nESPEC,DATOS!$E15426,nASIG,DATOS!$I15426,nEVAL,"OR")=0))</f>
      </c>
      <c r="I15426">
        <f>IF(DATOS!$I15426="","",IFERROR(VLOOKUP(DATOS!$I15426,CONFIG_ASIGNATURAS!$B$2:$J$91,9,FALSE()),""))</f>
      </c>
    </row>
    <row r="15427">
      <c r="F15427">
        <f>IF(DATOS!$A15427="","",DATOS!$A15427&amp;"|"&amp;DATOS!$D15427&amp;"|"&amp;DATOS!$E15427&amp;"|"&amp;DATOS!$I15427)</f>
      </c>
      <c r="G15427">
        <f>IF(DATOS!$A15427="",0,IF(CONFIG_METADATA!$B$4&lt;&gt;"OR+EX",--(DATOS!$G15427=CONFIG_METADATA!$B$4),IF(DATOS!$G15427="EX",1,IF(DATOS!$G15427="OR",--(COUNTIFS(nNIA,DATOS!$A15427,nCURSO,DATOS!$D15427,nESPEC,DATOS!$E15427,nASIG,DATOS!$I15427,nEVAL,"EX")=0),0))))</f>
      </c>
      <c r="H15427">
        <f>IF(DATOS!$G15427&lt;&gt;"EX",0,--(COUNTIFS(nNIA,DATOS!$A15427,nCURSO,DATOS!$D15427,nESPEC,DATOS!$E15427,nASIG,DATOS!$I15427,nEVAL,"OR")=0))</f>
      </c>
      <c r="I15427">
        <f>IF(DATOS!$I15427="","",IFERROR(VLOOKUP(DATOS!$I15427,CONFIG_ASIGNATURAS!$B$2:$J$91,9,FALSE()),""))</f>
      </c>
    </row>
    <row r="15428">
      <c r="F15428">
        <f>IF(DATOS!$A15428="","",DATOS!$A15428&amp;"|"&amp;DATOS!$D15428&amp;"|"&amp;DATOS!$E15428&amp;"|"&amp;DATOS!$I15428)</f>
      </c>
      <c r="G15428">
        <f>IF(DATOS!$A15428="",0,IF(CONFIG_METADATA!$B$4&lt;&gt;"OR+EX",--(DATOS!$G15428=CONFIG_METADATA!$B$4),IF(DATOS!$G15428="EX",1,IF(DATOS!$G15428="OR",--(COUNTIFS(nNIA,DATOS!$A15428,nCURSO,DATOS!$D15428,nESPEC,DATOS!$E15428,nASIG,DATOS!$I15428,nEVAL,"EX")=0),0))))</f>
      </c>
      <c r="H15428">
        <f>IF(DATOS!$G15428&lt;&gt;"EX",0,--(COUNTIFS(nNIA,DATOS!$A15428,nCURSO,DATOS!$D15428,nESPEC,DATOS!$E15428,nASIG,DATOS!$I15428,nEVAL,"OR")=0))</f>
      </c>
      <c r="I15428">
        <f>IF(DATOS!$I15428="","",IFERROR(VLOOKUP(DATOS!$I15428,CONFIG_ASIGNATURAS!$B$2:$J$91,9,FALSE()),""))</f>
      </c>
    </row>
    <row r="15429">
      <c r="F15429">
        <f>IF(DATOS!$A15429="","",DATOS!$A15429&amp;"|"&amp;DATOS!$D15429&amp;"|"&amp;DATOS!$E15429&amp;"|"&amp;DATOS!$I15429)</f>
      </c>
      <c r="G15429">
        <f>IF(DATOS!$A15429="",0,IF(CONFIG_METADATA!$B$4&lt;&gt;"OR+EX",--(DATOS!$G15429=CONFIG_METADATA!$B$4),IF(DATOS!$G15429="EX",1,IF(DATOS!$G15429="OR",--(COUNTIFS(nNIA,DATOS!$A15429,nCURSO,DATOS!$D15429,nESPEC,DATOS!$E15429,nASIG,DATOS!$I15429,nEVAL,"EX")=0),0))))</f>
      </c>
      <c r="H15429">
        <f>IF(DATOS!$G15429&lt;&gt;"EX",0,--(COUNTIFS(nNIA,DATOS!$A15429,nCURSO,DATOS!$D15429,nESPEC,DATOS!$E15429,nASIG,DATOS!$I15429,nEVAL,"OR")=0))</f>
      </c>
      <c r="I15429">
        <f>IF(DATOS!$I15429="","",IFERROR(VLOOKUP(DATOS!$I15429,CONFIG_ASIGNATURAS!$B$2:$J$91,9,FALSE()),""))</f>
      </c>
    </row>
    <row r="15430">
      <c r="F15430">
        <f>IF(DATOS!$A15430="","",DATOS!$A15430&amp;"|"&amp;DATOS!$D15430&amp;"|"&amp;DATOS!$E15430&amp;"|"&amp;DATOS!$I15430)</f>
      </c>
      <c r="G15430">
        <f>IF(DATOS!$A15430="",0,IF(CONFIG_METADATA!$B$4&lt;&gt;"OR+EX",--(DATOS!$G15430=CONFIG_METADATA!$B$4),IF(DATOS!$G15430="EX",1,IF(DATOS!$G15430="OR",--(COUNTIFS(nNIA,DATOS!$A15430,nCURSO,DATOS!$D15430,nESPEC,DATOS!$E15430,nASIG,DATOS!$I15430,nEVAL,"EX")=0),0))))</f>
      </c>
      <c r="H15430">
        <f>IF(DATOS!$G15430&lt;&gt;"EX",0,--(COUNTIFS(nNIA,DATOS!$A15430,nCURSO,DATOS!$D15430,nESPEC,DATOS!$E15430,nASIG,DATOS!$I15430,nEVAL,"OR")=0))</f>
      </c>
      <c r="I15430">
        <f>IF(DATOS!$I15430="","",IFERROR(VLOOKUP(DATOS!$I15430,CONFIG_ASIGNATURAS!$B$2:$J$91,9,FALSE()),""))</f>
      </c>
    </row>
    <row r="15431">
      <c r="F15431">
        <f>IF(DATOS!$A15431="","",DATOS!$A15431&amp;"|"&amp;DATOS!$D15431&amp;"|"&amp;DATOS!$E15431&amp;"|"&amp;DATOS!$I15431)</f>
      </c>
      <c r="G15431">
        <f>IF(DATOS!$A15431="",0,IF(CONFIG_METADATA!$B$4&lt;&gt;"OR+EX",--(DATOS!$G15431=CONFIG_METADATA!$B$4),IF(DATOS!$G15431="EX",1,IF(DATOS!$G15431="OR",--(COUNTIFS(nNIA,DATOS!$A15431,nCURSO,DATOS!$D15431,nESPEC,DATOS!$E15431,nASIG,DATOS!$I15431,nEVAL,"EX")=0),0))))</f>
      </c>
      <c r="H15431">
        <f>IF(DATOS!$G15431&lt;&gt;"EX",0,--(COUNTIFS(nNIA,DATOS!$A15431,nCURSO,DATOS!$D15431,nESPEC,DATOS!$E15431,nASIG,DATOS!$I15431,nEVAL,"OR")=0))</f>
      </c>
      <c r="I15431">
        <f>IF(DATOS!$I15431="","",IFERROR(VLOOKUP(DATOS!$I15431,CONFIG_ASIGNATURAS!$B$2:$J$91,9,FALSE()),""))</f>
      </c>
    </row>
    <row r="15432">
      <c r="F15432">
        <f>IF(DATOS!$A15432="","",DATOS!$A15432&amp;"|"&amp;DATOS!$D15432&amp;"|"&amp;DATOS!$E15432&amp;"|"&amp;DATOS!$I15432)</f>
      </c>
      <c r="G15432">
        <f>IF(DATOS!$A15432="",0,IF(CONFIG_METADATA!$B$4&lt;&gt;"OR+EX",--(DATOS!$G15432=CONFIG_METADATA!$B$4),IF(DATOS!$G15432="EX",1,IF(DATOS!$G15432="OR",--(COUNTIFS(nNIA,DATOS!$A15432,nCURSO,DATOS!$D15432,nESPEC,DATOS!$E15432,nASIG,DATOS!$I15432,nEVAL,"EX")=0),0))))</f>
      </c>
      <c r="H15432">
        <f>IF(DATOS!$G15432&lt;&gt;"EX",0,--(COUNTIFS(nNIA,DATOS!$A15432,nCURSO,DATOS!$D15432,nESPEC,DATOS!$E15432,nASIG,DATOS!$I15432,nEVAL,"OR")=0))</f>
      </c>
      <c r="I15432">
        <f>IF(DATOS!$I15432="","",IFERROR(VLOOKUP(DATOS!$I15432,CONFIG_ASIGNATURAS!$B$2:$J$91,9,FALSE()),""))</f>
      </c>
    </row>
    <row r="15433">
      <c r="F15433">
        <f>IF(DATOS!$A15433="","",DATOS!$A15433&amp;"|"&amp;DATOS!$D15433&amp;"|"&amp;DATOS!$E15433&amp;"|"&amp;DATOS!$I15433)</f>
      </c>
      <c r="G15433">
        <f>IF(DATOS!$A15433="",0,IF(CONFIG_METADATA!$B$4&lt;&gt;"OR+EX",--(DATOS!$G15433=CONFIG_METADATA!$B$4),IF(DATOS!$G15433="EX",1,IF(DATOS!$G15433="OR",--(COUNTIFS(nNIA,DATOS!$A15433,nCURSO,DATOS!$D15433,nESPEC,DATOS!$E15433,nASIG,DATOS!$I15433,nEVAL,"EX")=0),0))))</f>
      </c>
      <c r="H15433">
        <f>IF(DATOS!$G15433&lt;&gt;"EX",0,--(COUNTIFS(nNIA,DATOS!$A15433,nCURSO,DATOS!$D15433,nESPEC,DATOS!$E15433,nASIG,DATOS!$I15433,nEVAL,"OR")=0))</f>
      </c>
      <c r="I15433">
        <f>IF(DATOS!$I15433="","",IFERROR(VLOOKUP(DATOS!$I15433,CONFIG_ASIGNATURAS!$B$2:$J$91,9,FALSE()),""))</f>
      </c>
    </row>
    <row r="15434">
      <c r="F15434">
        <f>IF(DATOS!$A15434="","",DATOS!$A15434&amp;"|"&amp;DATOS!$D15434&amp;"|"&amp;DATOS!$E15434&amp;"|"&amp;DATOS!$I15434)</f>
      </c>
      <c r="G15434">
        <f>IF(DATOS!$A15434="",0,IF(CONFIG_METADATA!$B$4&lt;&gt;"OR+EX",--(DATOS!$G15434=CONFIG_METADATA!$B$4),IF(DATOS!$G15434="EX",1,IF(DATOS!$G15434="OR",--(COUNTIFS(nNIA,DATOS!$A15434,nCURSO,DATOS!$D15434,nESPEC,DATOS!$E15434,nASIG,DATOS!$I15434,nEVAL,"EX")=0),0))))</f>
      </c>
      <c r="H15434">
        <f>IF(DATOS!$G15434&lt;&gt;"EX",0,--(COUNTIFS(nNIA,DATOS!$A15434,nCURSO,DATOS!$D15434,nESPEC,DATOS!$E15434,nASIG,DATOS!$I15434,nEVAL,"OR")=0))</f>
      </c>
      <c r="I15434">
        <f>IF(DATOS!$I15434="","",IFERROR(VLOOKUP(DATOS!$I15434,CONFIG_ASIGNATURAS!$B$2:$J$91,9,FALSE()),""))</f>
      </c>
    </row>
    <row r="15435">
      <c r="F15435">
        <f>IF(DATOS!$A15435="","",DATOS!$A15435&amp;"|"&amp;DATOS!$D15435&amp;"|"&amp;DATOS!$E15435&amp;"|"&amp;DATOS!$I15435)</f>
      </c>
      <c r="G15435">
        <f>IF(DATOS!$A15435="",0,IF(CONFIG_METADATA!$B$4&lt;&gt;"OR+EX",--(DATOS!$G15435=CONFIG_METADATA!$B$4),IF(DATOS!$G15435="EX",1,IF(DATOS!$G15435="OR",--(COUNTIFS(nNIA,DATOS!$A15435,nCURSO,DATOS!$D15435,nESPEC,DATOS!$E15435,nASIG,DATOS!$I15435,nEVAL,"EX")=0),0))))</f>
      </c>
      <c r="H15435">
        <f>IF(DATOS!$G15435&lt;&gt;"EX",0,--(COUNTIFS(nNIA,DATOS!$A15435,nCURSO,DATOS!$D15435,nESPEC,DATOS!$E15435,nASIG,DATOS!$I15435,nEVAL,"OR")=0))</f>
      </c>
      <c r="I15435">
        <f>IF(DATOS!$I15435="","",IFERROR(VLOOKUP(DATOS!$I15435,CONFIG_ASIGNATURAS!$B$2:$J$91,9,FALSE()),""))</f>
      </c>
    </row>
    <row r="15436">
      <c r="F15436">
        <f>IF(DATOS!$A15436="","",DATOS!$A15436&amp;"|"&amp;DATOS!$D15436&amp;"|"&amp;DATOS!$E15436&amp;"|"&amp;DATOS!$I15436)</f>
      </c>
      <c r="G15436">
        <f>IF(DATOS!$A15436="",0,IF(CONFIG_METADATA!$B$4&lt;&gt;"OR+EX",--(DATOS!$G15436=CONFIG_METADATA!$B$4),IF(DATOS!$G15436="EX",1,IF(DATOS!$G15436="OR",--(COUNTIFS(nNIA,DATOS!$A15436,nCURSO,DATOS!$D15436,nESPEC,DATOS!$E15436,nASIG,DATOS!$I15436,nEVAL,"EX")=0),0))))</f>
      </c>
      <c r="H15436">
        <f>IF(DATOS!$G15436&lt;&gt;"EX",0,--(COUNTIFS(nNIA,DATOS!$A15436,nCURSO,DATOS!$D15436,nESPEC,DATOS!$E15436,nASIG,DATOS!$I15436,nEVAL,"OR")=0))</f>
      </c>
      <c r="I15436">
        <f>IF(DATOS!$I15436="","",IFERROR(VLOOKUP(DATOS!$I15436,CONFIG_ASIGNATURAS!$B$2:$J$91,9,FALSE()),""))</f>
      </c>
    </row>
    <row r="15437">
      <c r="F15437">
        <f>IF(DATOS!$A15437="","",DATOS!$A15437&amp;"|"&amp;DATOS!$D15437&amp;"|"&amp;DATOS!$E15437&amp;"|"&amp;DATOS!$I15437)</f>
      </c>
      <c r="G15437">
        <f>IF(DATOS!$A15437="",0,IF(CONFIG_METADATA!$B$4&lt;&gt;"OR+EX",--(DATOS!$G15437=CONFIG_METADATA!$B$4),IF(DATOS!$G15437="EX",1,IF(DATOS!$G15437="OR",--(COUNTIFS(nNIA,DATOS!$A15437,nCURSO,DATOS!$D15437,nESPEC,DATOS!$E15437,nASIG,DATOS!$I15437,nEVAL,"EX")=0),0))))</f>
      </c>
      <c r="H15437">
        <f>IF(DATOS!$G15437&lt;&gt;"EX",0,--(COUNTIFS(nNIA,DATOS!$A15437,nCURSO,DATOS!$D15437,nESPEC,DATOS!$E15437,nASIG,DATOS!$I15437,nEVAL,"OR")=0))</f>
      </c>
      <c r="I15437">
        <f>IF(DATOS!$I15437="","",IFERROR(VLOOKUP(DATOS!$I15437,CONFIG_ASIGNATURAS!$B$2:$J$91,9,FALSE()),""))</f>
      </c>
    </row>
    <row r="15438">
      <c r="F15438">
        <f>IF(DATOS!$A15438="","",DATOS!$A15438&amp;"|"&amp;DATOS!$D15438&amp;"|"&amp;DATOS!$E15438&amp;"|"&amp;DATOS!$I15438)</f>
      </c>
      <c r="G15438">
        <f>IF(DATOS!$A15438="",0,IF(CONFIG_METADATA!$B$4&lt;&gt;"OR+EX",--(DATOS!$G15438=CONFIG_METADATA!$B$4),IF(DATOS!$G15438="EX",1,IF(DATOS!$G15438="OR",--(COUNTIFS(nNIA,DATOS!$A15438,nCURSO,DATOS!$D15438,nESPEC,DATOS!$E15438,nASIG,DATOS!$I15438,nEVAL,"EX")=0),0))))</f>
      </c>
      <c r="H15438">
        <f>IF(DATOS!$G15438&lt;&gt;"EX",0,--(COUNTIFS(nNIA,DATOS!$A15438,nCURSO,DATOS!$D15438,nESPEC,DATOS!$E15438,nASIG,DATOS!$I15438,nEVAL,"OR")=0))</f>
      </c>
      <c r="I15438">
        <f>IF(DATOS!$I15438="","",IFERROR(VLOOKUP(DATOS!$I15438,CONFIG_ASIGNATURAS!$B$2:$J$91,9,FALSE()),""))</f>
      </c>
    </row>
    <row r="15439">
      <c r="F15439">
        <f>IF(DATOS!$A15439="","",DATOS!$A15439&amp;"|"&amp;DATOS!$D15439&amp;"|"&amp;DATOS!$E15439&amp;"|"&amp;DATOS!$I15439)</f>
      </c>
      <c r="G15439">
        <f>IF(DATOS!$A15439="",0,IF(CONFIG_METADATA!$B$4&lt;&gt;"OR+EX",--(DATOS!$G15439=CONFIG_METADATA!$B$4),IF(DATOS!$G15439="EX",1,IF(DATOS!$G15439="OR",--(COUNTIFS(nNIA,DATOS!$A15439,nCURSO,DATOS!$D15439,nESPEC,DATOS!$E15439,nASIG,DATOS!$I15439,nEVAL,"EX")=0),0))))</f>
      </c>
      <c r="H15439">
        <f>IF(DATOS!$G15439&lt;&gt;"EX",0,--(COUNTIFS(nNIA,DATOS!$A15439,nCURSO,DATOS!$D15439,nESPEC,DATOS!$E15439,nASIG,DATOS!$I15439,nEVAL,"OR")=0))</f>
      </c>
      <c r="I15439">
        <f>IF(DATOS!$I15439="","",IFERROR(VLOOKUP(DATOS!$I15439,CONFIG_ASIGNATURAS!$B$2:$J$91,9,FALSE()),""))</f>
      </c>
    </row>
    <row r="15440">
      <c r="F15440">
        <f>IF(DATOS!$A15440="","",DATOS!$A15440&amp;"|"&amp;DATOS!$D15440&amp;"|"&amp;DATOS!$E15440&amp;"|"&amp;DATOS!$I15440)</f>
      </c>
      <c r="G15440">
        <f>IF(DATOS!$A15440="",0,IF(CONFIG_METADATA!$B$4&lt;&gt;"OR+EX",--(DATOS!$G15440=CONFIG_METADATA!$B$4),IF(DATOS!$G15440="EX",1,IF(DATOS!$G15440="OR",--(COUNTIFS(nNIA,DATOS!$A15440,nCURSO,DATOS!$D15440,nESPEC,DATOS!$E15440,nASIG,DATOS!$I15440,nEVAL,"EX")=0),0))))</f>
      </c>
      <c r="H15440">
        <f>IF(DATOS!$G15440&lt;&gt;"EX",0,--(COUNTIFS(nNIA,DATOS!$A15440,nCURSO,DATOS!$D15440,nESPEC,DATOS!$E15440,nASIG,DATOS!$I15440,nEVAL,"OR")=0))</f>
      </c>
      <c r="I15440">
        <f>IF(DATOS!$I15440="","",IFERROR(VLOOKUP(DATOS!$I15440,CONFIG_ASIGNATURAS!$B$2:$J$91,9,FALSE()),""))</f>
      </c>
    </row>
    <row r="15441">
      <c r="F15441">
        <f>IF(DATOS!$A15441="","",DATOS!$A15441&amp;"|"&amp;DATOS!$D15441&amp;"|"&amp;DATOS!$E15441&amp;"|"&amp;DATOS!$I15441)</f>
      </c>
      <c r="G15441">
        <f>IF(DATOS!$A15441="",0,IF(CONFIG_METADATA!$B$4&lt;&gt;"OR+EX",--(DATOS!$G15441=CONFIG_METADATA!$B$4),IF(DATOS!$G15441="EX",1,IF(DATOS!$G15441="OR",--(COUNTIFS(nNIA,DATOS!$A15441,nCURSO,DATOS!$D15441,nESPEC,DATOS!$E15441,nASIG,DATOS!$I15441,nEVAL,"EX")=0),0))))</f>
      </c>
      <c r="H15441">
        <f>IF(DATOS!$G15441&lt;&gt;"EX",0,--(COUNTIFS(nNIA,DATOS!$A15441,nCURSO,DATOS!$D15441,nESPEC,DATOS!$E15441,nASIG,DATOS!$I15441,nEVAL,"OR")=0))</f>
      </c>
      <c r="I15441">
        <f>IF(DATOS!$I15441="","",IFERROR(VLOOKUP(DATOS!$I15441,CONFIG_ASIGNATURAS!$B$2:$J$91,9,FALSE()),""))</f>
      </c>
    </row>
    <row r="15442">
      <c r="F15442">
        <f>IF(DATOS!$A15442="","",DATOS!$A15442&amp;"|"&amp;DATOS!$D15442&amp;"|"&amp;DATOS!$E15442&amp;"|"&amp;DATOS!$I15442)</f>
      </c>
      <c r="G15442">
        <f>IF(DATOS!$A15442="",0,IF(CONFIG_METADATA!$B$4&lt;&gt;"OR+EX",--(DATOS!$G15442=CONFIG_METADATA!$B$4),IF(DATOS!$G15442="EX",1,IF(DATOS!$G15442="OR",--(COUNTIFS(nNIA,DATOS!$A15442,nCURSO,DATOS!$D15442,nESPEC,DATOS!$E15442,nASIG,DATOS!$I15442,nEVAL,"EX")=0),0))))</f>
      </c>
      <c r="H15442">
        <f>IF(DATOS!$G15442&lt;&gt;"EX",0,--(COUNTIFS(nNIA,DATOS!$A15442,nCURSO,DATOS!$D15442,nESPEC,DATOS!$E15442,nASIG,DATOS!$I15442,nEVAL,"OR")=0))</f>
      </c>
      <c r="I15442">
        <f>IF(DATOS!$I15442="","",IFERROR(VLOOKUP(DATOS!$I15442,CONFIG_ASIGNATURAS!$B$2:$J$91,9,FALSE()),""))</f>
      </c>
    </row>
    <row r="15443">
      <c r="F15443">
        <f>IF(DATOS!$A15443="","",DATOS!$A15443&amp;"|"&amp;DATOS!$D15443&amp;"|"&amp;DATOS!$E15443&amp;"|"&amp;DATOS!$I15443)</f>
      </c>
      <c r="G15443">
        <f>IF(DATOS!$A15443="",0,IF(CONFIG_METADATA!$B$4&lt;&gt;"OR+EX",--(DATOS!$G15443=CONFIG_METADATA!$B$4),IF(DATOS!$G15443="EX",1,IF(DATOS!$G15443="OR",--(COUNTIFS(nNIA,DATOS!$A15443,nCURSO,DATOS!$D15443,nESPEC,DATOS!$E15443,nASIG,DATOS!$I15443,nEVAL,"EX")=0),0))))</f>
      </c>
      <c r="H15443">
        <f>IF(DATOS!$G15443&lt;&gt;"EX",0,--(COUNTIFS(nNIA,DATOS!$A15443,nCURSO,DATOS!$D15443,nESPEC,DATOS!$E15443,nASIG,DATOS!$I15443,nEVAL,"OR")=0))</f>
      </c>
      <c r="I15443">
        <f>IF(DATOS!$I15443="","",IFERROR(VLOOKUP(DATOS!$I15443,CONFIG_ASIGNATURAS!$B$2:$J$91,9,FALSE()),""))</f>
      </c>
    </row>
    <row r="15444">
      <c r="F15444">
        <f>IF(DATOS!$A15444="","",DATOS!$A15444&amp;"|"&amp;DATOS!$D15444&amp;"|"&amp;DATOS!$E15444&amp;"|"&amp;DATOS!$I15444)</f>
      </c>
      <c r="G15444">
        <f>IF(DATOS!$A15444="",0,IF(CONFIG_METADATA!$B$4&lt;&gt;"OR+EX",--(DATOS!$G15444=CONFIG_METADATA!$B$4),IF(DATOS!$G15444="EX",1,IF(DATOS!$G15444="OR",--(COUNTIFS(nNIA,DATOS!$A15444,nCURSO,DATOS!$D15444,nESPEC,DATOS!$E15444,nASIG,DATOS!$I15444,nEVAL,"EX")=0),0))))</f>
      </c>
      <c r="H15444">
        <f>IF(DATOS!$G15444&lt;&gt;"EX",0,--(COUNTIFS(nNIA,DATOS!$A15444,nCURSO,DATOS!$D15444,nESPEC,DATOS!$E15444,nASIG,DATOS!$I15444,nEVAL,"OR")=0))</f>
      </c>
      <c r="I15444">
        <f>IF(DATOS!$I15444="","",IFERROR(VLOOKUP(DATOS!$I15444,CONFIG_ASIGNATURAS!$B$2:$J$91,9,FALSE()),""))</f>
      </c>
    </row>
    <row r="15445">
      <c r="F15445">
        <f>IF(DATOS!$A15445="","",DATOS!$A15445&amp;"|"&amp;DATOS!$D15445&amp;"|"&amp;DATOS!$E15445&amp;"|"&amp;DATOS!$I15445)</f>
      </c>
      <c r="G15445">
        <f>IF(DATOS!$A15445="",0,IF(CONFIG_METADATA!$B$4&lt;&gt;"OR+EX",--(DATOS!$G15445=CONFIG_METADATA!$B$4),IF(DATOS!$G15445="EX",1,IF(DATOS!$G15445="OR",--(COUNTIFS(nNIA,DATOS!$A15445,nCURSO,DATOS!$D15445,nESPEC,DATOS!$E15445,nASIG,DATOS!$I15445,nEVAL,"EX")=0),0))))</f>
      </c>
      <c r="H15445">
        <f>IF(DATOS!$G15445&lt;&gt;"EX",0,--(COUNTIFS(nNIA,DATOS!$A15445,nCURSO,DATOS!$D15445,nESPEC,DATOS!$E15445,nASIG,DATOS!$I15445,nEVAL,"OR")=0))</f>
      </c>
      <c r="I15445">
        <f>IF(DATOS!$I15445="","",IFERROR(VLOOKUP(DATOS!$I15445,CONFIG_ASIGNATURAS!$B$2:$J$91,9,FALSE()),""))</f>
      </c>
    </row>
    <row r="15446">
      <c r="F15446">
        <f>IF(DATOS!$A15446="","",DATOS!$A15446&amp;"|"&amp;DATOS!$D15446&amp;"|"&amp;DATOS!$E15446&amp;"|"&amp;DATOS!$I15446)</f>
      </c>
      <c r="G15446">
        <f>IF(DATOS!$A15446="",0,IF(CONFIG_METADATA!$B$4&lt;&gt;"OR+EX",--(DATOS!$G15446=CONFIG_METADATA!$B$4),IF(DATOS!$G15446="EX",1,IF(DATOS!$G15446="OR",--(COUNTIFS(nNIA,DATOS!$A15446,nCURSO,DATOS!$D15446,nESPEC,DATOS!$E15446,nASIG,DATOS!$I15446,nEVAL,"EX")=0),0))))</f>
      </c>
      <c r="H15446">
        <f>IF(DATOS!$G15446&lt;&gt;"EX",0,--(COUNTIFS(nNIA,DATOS!$A15446,nCURSO,DATOS!$D15446,nESPEC,DATOS!$E15446,nASIG,DATOS!$I15446,nEVAL,"OR")=0))</f>
      </c>
      <c r="I15446">
        <f>IF(DATOS!$I15446="","",IFERROR(VLOOKUP(DATOS!$I15446,CONFIG_ASIGNATURAS!$B$2:$J$91,9,FALSE()),""))</f>
      </c>
    </row>
    <row r="15447">
      <c r="F15447">
        <f>IF(DATOS!$A15447="","",DATOS!$A15447&amp;"|"&amp;DATOS!$D15447&amp;"|"&amp;DATOS!$E15447&amp;"|"&amp;DATOS!$I15447)</f>
      </c>
      <c r="G15447">
        <f>IF(DATOS!$A15447="",0,IF(CONFIG_METADATA!$B$4&lt;&gt;"OR+EX",--(DATOS!$G15447=CONFIG_METADATA!$B$4),IF(DATOS!$G15447="EX",1,IF(DATOS!$G15447="OR",--(COUNTIFS(nNIA,DATOS!$A15447,nCURSO,DATOS!$D15447,nESPEC,DATOS!$E15447,nASIG,DATOS!$I15447,nEVAL,"EX")=0),0))))</f>
      </c>
      <c r="H15447">
        <f>IF(DATOS!$G15447&lt;&gt;"EX",0,--(COUNTIFS(nNIA,DATOS!$A15447,nCURSO,DATOS!$D15447,nESPEC,DATOS!$E15447,nASIG,DATOS!$I15447,nEVAL,"OR")=0))</f>
      </c>
      <c r="I15447">
        <f>IF(DATOS!$I15447="","",IFERROR(VLOOKUP(DATOS!$I15447,CONFIG_ASIGNATURAS!$B$2:$J$91,9,FALSE()),""))</f>
      </c>
    </row>
    <row r="15448">
      <c r="F15448">
        <f>IF(DATOS!$A15448="","",DATOS!$A15448&amp;"|"&amp;DATOS!$D15448&amp;"|"&amp;DATOS!$E15448&amp;"|"&amp;DATOS!$I15448)</f>
      </c>
      <c r="G15448">
        <f>IF(DATOS!$A15448="",0,IF(CONFIG_METADATA!$B$4&lt;&gt;"OR+EX",--(DATOS!$G15448=CONFIG_METADATA!$B$4),IF(DATOS!$G15448="EX",1,IF(DATOS!$G15448="OR",--(COUNTIFS(nNIA,DATOS!$A15448,nCURSO,DATOS!$D15448,nESPEC,DATOS!$E15448,nASIG,DATOS!$I15448,nEVAL,"EX")=0),0))))</f>
      </c>
      <c r="H15448">
        <f>IF(DATOS!$G15448&lt;&gt;"EX",0,--(COUNTIFS(nNIA,DATOS!$A15448,nCURSO,DATOS!$D15448,nESPEC,DATOS!$E15448,nASIG,DATOS!$I15448,nEVAL,"OR")=0))</f>
      </c>
      <c r="I15448">
        <f>IF(DATOS!$I15448="","",IFERROR(VLOOKUP(DATOS!$I15448,CONFIG_ASIGNATURAS!$B$2:$J$91,9,FALSE()),""))</f>
      </c>
    </row>
    <row r="15449">
      <c r="F15449">
        <f>IF(DATOS!$A15449="","",DATOS!$A15449&amp;"|"&amp;DATOS!$D15449&amp;"|"&amp;DATOS!$E15449&amp;"|"&amp;DATOS!$I15449)</f>
      </c>
      <c r="G15449">
        <f>IF(DATOS!$A15449="",0,IF(CONFIG_METADATA!$B$4&lt;&gt;"OR+EX",--(DATOS!$G15449=CONFIG_METADATA!$B$4),IF(DATOS!$G15449="EX",1,IF(DATOS!$G15449="OR",--(COUNTIFS(nNIA,DATOS!$A15449,nCURSO,DATOS!$D15449,nESPEC,DATOS!$E15449,nASIG,DATOS!$I15449,nEVAL,"EX")=0),0))))</f>
      </c>
      <c r="H15449">
        <f>IF(DATOS!$G15449&lt;&gt;"EX",0,--(COUNTIFS(nNIA,DATOS!$A15449,nCURSO,DATOS!$D15449,nESPEC,DATOS!$E15449,nASIG,DATOS!$I15449,nEVAL,"OR")=0))</f>
      </c>
      <c r="I15449">
        <f>IF(DATOS!$I15449="","",IFERROR(VLOOKUP(DATOS!$I15449,CONFIG_ASIGNATURAS!$B$2:$J$91,9,FALSE()),""))</f>
      </c>
    </row>
    <row r="15450">
      <c r="F15450">
        <f>IF(DATOS!$A15450="","",DATOS!$A15450&amp;"|"&amp;DATOS!$D15450&amp;"|"&amp;DATOS!$E15450&amp;"|"&amp;DATOS!$I15450)</f>
      </c>
      <c r="G15450">
        <f>IF(DATOS!$A15450="",0,IF(CONFIG_METADATA!$B$4&lt;&gt;"OR+EX",--(DATOS!$G15450=CONFIG_METADATA!$B$4),IF(DATOS!$G15450="EX",1,IF(DATOS!$G15450="OR",--(COUNTIFS(nNIA,DATOS!$A15450,nCURSO,DATOS!$D15450,nESPEC,DATOS!$E15450,nASIG,DATOS!$I15450,nEVAL,"EX")=0),0))))</f>
      </c>
      <c r="H15450">
        <f>IF(DATOS!$G15450&lt;&gt;"EX",0,--(COUNTIFS(nNIA,DATOS!$A15450,nCURSO,DATOS!$D15450,nESPEC,DATOS!$E15450,nASIG,DATOS!$I15450,nEVAL,"OR")=0))</f>
      </c>
      <c r="I15450">
        <f>IF(DATOS!$I15450="","",IFERROR(VLOOKUP(DATOS!$I15450,CONFIG_ASIGNATURAS!$B$2:$J$91,9,FALSE()),""))</f>
      </c>
    </row>
    <row r="15451">
      <c r="F15451">
        <f>IF(DATOS!$A15451="","",DATOS!$A15451&amp;"|"&amp;DATOS!$D15451&amp;"|"&amp;DATOS!$E15451&amp;"|"&amp;DATOS!$I15451)</f>
      </c>
      <c r="G15451">
        <f>IF(DATOS!$A15451="",0,IF(CONFIG_METADATA!$B$4&lt;&gt;"OR+EX",--(DATOS!$G15451=CONFIG_METADATA!$B$4),IF(DATOS!$G15451="EX",1,IF(DATOS!$G15451="OR",--(COUNTIFS(nNIA,DATOS!$A15451,nCURSO,DATOS!$D15451,nESPEC,DATOS!$E15451,nASIG,DATOS!$I15451,nEVAL,"EX")=0),0))))</f>
      </c>
      <c r="H15451">
        <f>IF(DATOS!$G15451&lt;&gt;"EX",0,--(COUNTIFS(nNIA,DATOS!$A15451,nCURSO,DATOS!$D15451,nESPEC,DATOS!$E15451,nASIG,DATOS!$I15451,nEVAL,"OR")=0))</f>
      </c>
      <c r="I15451">
        <f>IF(DATOS!$I15451="","",IFERROR(VLOOKUP(DATOS!$I15451,CONFIG_ASIGNATURAS!$B$2:$J$91,9,FALSE()),""))</f>
      </c>
    </row>
    <row r="15452">
      <c r="F15452">
        <f>IF(DATOS!$A15452="","",DATOS!$A15452&amp;"|"&amp;DATOS!$D15452&amp;"|"&amp;DATOS!$E15452&amp;"|"&amp;DATOS!$I15452)</f>
      </c>
      <c r="G15452">
        <f>IF(DATOS!$A15452="",0,IF(CONFIG_METADATA!$B$4&lt;&gt;"OR+EX",--(DATOS!$G15452=CONFIG_METADATA!$B$4),IF(DATOS!$G15452="EX",1,IF(DATOS!$G15452="OR",--(COUNTIFS(nNIA,DATOS!$A15452,nCURSO,DATOS!$D15452,nESPEC,DATOS!$E15452,nASIG,DATOS!$I15452,nEVAL,"EX")=0),0))))</f>
      </c>
      <c r="H15452">
        <f>IF(DATOS!$G15452&lt;&gt;"EX",0,--(COUNTIFS(nNIA,DATOS!$A15452,nCURSO,DATOS!$D15452,nESPEC,DATOS!$E15452,nASIG,DATOS!$I15452,nEVAL,"OR")=0))</f>
      </c>
      <c r="I15452">
        <f>IF(DATOS!$I15452="","",IFERROR(VLOOKUP(DATOS!$I15452,CONFIG_ASIGNATURAS!$B$2:$J$91,9,FALSE()),""))</f>
      </c>
    </row>
    <row r="15453">
      <c r="F15453">
        <f>IF(DATOS!$A15453="","",DATOS!$A15453&amp;"|"&amp;DATOS!$D15453&amp;"|"&amp;DATOS!$E15453&amp;"|"&amp;DATOS!$I15453)</f>
      </c>
      <c r="G15453">
        <f>IF(DATOS!$A15453="",0,IF(CONFIG_METADATA!$B$4&lt;&gt;"OR+EX",--(DATOS!$G15453=CONFIG_METADATA!$B$4),IF(DATOS!$G15453="EX",1,IF(DATOS!$G15453="OR",--(COUNTIFS(nNIA,DATOS!$A15453,nCURSO,DATOS!$D15453,nESPEC,DATOS!$E15453,nASIG,DATOS!$I15453,nEVAL,"EX")=0),0))))</f>
      </c>
      <c r="H15453">
        <f>IF(DATOS!$G15453&lt;&gt;"EX",0,--(COUNTIFS(nNIA,DATOS!$A15453,nCURSO,DATOS!$D15453,nESPEC,DATOS!$E15453,nASIG,DATOS!$I15453,nEVAL,"OR")=0))</f>
      </c>
      <c r="I15453">
        <f>IF(DATOS!$I15453="","",IFERROR(VLOOKUP(DATOS!$I15453,CONFIG_ASIGNATURAS!$B$2:$J$91,9,FALSE()),""))</f>
      </c>
    </row>
    <row r="15454">
      <c r="F15454">
        <f>IF(DATOS!$A15454="","",DATOS!$A15454&amp;"|"&amp;DATOS!$D15454&amp;"|"&amp;DATOS!$E15454&amp;"|"&amp;DATOS!$I15454)</f>
      </c>
      <c r="G15454">
        <f>IF(DATOS!$A15454="",0,IF(CONFIG_METADATA!$B$4&lt;&gt;"OR+EX",--(DATOS!$G15454=CONFIG_METADATA!$B$4),IF(DATOS!$G15454="EX",1,IF(DATOS!$G15454="OR",--(COUNTIFS(nNIA,DATOS!$A15454,nCURSO,DATOS!$D15454,nESPEC,DATOS!$E15454,nASIG,DATOS!$I15454,nEVAL,"EX")=0),0))))</f>
      </c>
      <c r="H15454">
        <f>IF(DATOS!$G15454&lt;&gt;"EX",0,--(COUNTIFS(nNIA,DATOS!$A15454,nCURSO,DATOS!$D15454,nESPEC,DATOS!$E15454,nASIG,DATOS!$I15454,nEVAL,"OR")=0))</f>
      </c>
      <c r="I15454">
        <f>IF(DATOS!$I15454="","",IFERROR(VLOOKUP(DATOS!$I15454,CONFIG_ASIGNATURAS!$B$2:$J$91,9,FALSE()),""))</f>
      </c>
    </row>
    <row r="15455">
      <c r="F15455">
        <f>IF(DATOS!$A15455="","",DATOS!$A15455&amp;"|"&amp;DATOS!$D15455&amp;"|"&amp;DATOS!$E15455&amp;"|"&amp;DATOS!$I15455)</f>
      </c>
      <c r="G15455">
        <f>IF(DATOS!$A15455="",0,IF(CONFIG_METADATA!$B$4&lt;&gt;"OR+EX",--(DATOS!$G15455=CONFIG_METADATA!$B$4),IF(DATOS!$G15455="EX",1,IF(DATOS!$G15455="OR",--(COUNTIFS(nNIA,DATOS!$A15455,nCURSO,DATOS!$D15455,nESPEC,DATOS!$E15455,nASIG,DATOS!$I15455,nEVAL,"EX")=0),0))))</f>
      </c>
      <c r="H15455">
        <f>IF(DATOS!$G15455&lt;&gt;"EX",0,--(COUNTIFS(nNIA,DATOS!$A15455,nCURSO,DATOS!$D15455,nESPEC,DATOS!$E15455,nASIG,DATOS!$I15455,nEVAL,"OR")=0))</f>
      </c>
      <c r="I15455">
        <f>IF(DATOS!$I15455="","",IFERROR(VLOOKUP(DATOS!$I15455,CONFIG_ASIGNATURAS!$B$2:$J$91,9,FALSE()),""))</f>
      </c>
    </row>
    <row r="15456">
      <c r="F15456">
        <f>IF(DATOS!$A15456="","",DATOS!$A15456&amp;"|"&amp;DATOS!$D15456&amp;"|"&amp;DATOS!$E15456&amp;"|"&amp;DATOS!$I15456)</f>
      </c>
      <c r="G15456">
        <f>IF(DATOS!$A15456="",0,IF(CONFIG_METADATA!$B$4&lt;&gt;"OR+EX",--(DATOS!$G15456=CONFIG_METADATA!$B$4),IF(DATOS!$G15456="EX",1,IF(DATOS!$G15456="OR",--(COUNTIFS(nNIA,DATOS!$A15456,nCURSO,DATOS!$D15456,nESPEC,DATOS!$E15456,nASIG,DATOS!$I15456,nEVAL,"EX")=0),0))))</f>
      </c>
      <c r="H15456">
        <f>IF(DATOS!$G15456&lt;&gt;"EX",0,--(COUNTIFS(nNIA,DATOS!$A15456,nCURSO,DATOS!$D15456,nESPEC,DATOS!$E15456,nASIG,DATOS!$I15456,nEVAL,"OR")=0))</f>
      </c>
      <c r="I15456">
        <f>IF(DATOS!$I15456="","",IFERROR(VLOOKUP(DATOS!$I15456,CONFIG_ASIGNATURAS!$B$2:$J$91,9,FALSE()),""))</f>
      </c>
    </row>
    <row r="15457">
      <c r="F15457">
        <f>IF(DATOS!$A15457="","",DATOS!$A15457&amp;"|"&amp;DATOS!$D15457&amp;"|"&amp;DATOS!$E15457&amp;"|"&amp;DATOS!$I15457)</f>
      </c>
      <c r="G15457">
        <f>IF(DATOS!$A15457="",0,IF(CONFIG_METADATA!$B$4&lt;&gt;"OR+EX",--(DATOS!$G15457=CONFIG_METADATA!$B$4),IF(DATOS!$G15457="EX",1,IF(DATOS!$G15457="OR",--(COUNTIFS(nNIA,DATOS!$A15457,nCURSO,DATOS!$D15457,nESPEC,DATOS!$E15457,nASIG,DATOS!$I15457,nEVAL,"EX")=0),0))))</f>
      </c>
      <c r="H15457">
        <f>IF(DATOS!$G15457&lt;&gt;"EX",0,--(COUNTIFS(nNIA,DATOS!$A15457,nCURSO,DATOS!$D15457,nESPEC,DATOS!$E15457,nASIG,DATOS!$I15457,nEVAL,"OR")=0))</f>
      </c>
      <c r="I15457">
        <f>IF(DATOS!$I15457="","",IFERROR(VLOOKUP(DATOS!$I15457,CONFIG_ASIGNATURAS!$B$2:$J$91,9,FALSE()),""))</f>
      </c>
    </row>
    <row r="15458">
      <c r="F15458">
        <f>IF(DATOS!$A15458="","",DATOS!$A15458&amp;"|"&amp;DATOS!$D15458&amp;"|"&amp;DATOS!$E15458&amp;"|"&amp;DATOS!$I15458)</f>
      </c>
      <c r="G15458">
        <f>IF(DATOS!$A15458="",0,IF(CONFIG_METADATA!$B$4&lt;&gt;"OR+EX",--(DATOS!$G15458=CONFIG_METADATA!$B$4),IF(DATOS!$G15458="EX",1,IF(DATOS!$G15458="OR",--(COUNTIFS(nNIA,DATOS!$A15458,nCURSO,DATOS!$D15458,nESPEC,DATOS!$E15458,nASIG,DATOS!$I15458,nEVAL,"EX")=0),0))))</f>
      </c>
      <c r="H15458">
        <f>IF(DATOS!$G15458&lt;&gt;"EX",0,--(COUNTIFS(nNIA,DATOS!$A15458,nCURSO,DATOS!$D15458,nESPEC,DATOS!$E15458,nASIG,DATOS!$I15458,nEVAL,"OR")=0))</f>
      </c>
      <c r="I15458">
        <f>IF(DATOS!$I15458="","",IFERROR(VLOOKUP(DATOS!$I15458,CONFIG_ASIGNATURAS!$B$2:$J$91,9,FALSE()),""))</f>
      </c>
    </row>
    <row r="15459">
      <c r="F15459">
        <f>IF(DATOS!$A15459="","",DATOS!$A15459&amp;"|"&amp;DATOS!$D15459&amp;"|"&amp;DATOS!$E15459&amp;"|"&amp;DATOS!$I15459)</f>
      </c>
      <c r="G15459">
        <f>IF(DATOS!$A15459="",0,IF(CONFIG_METADATA!$B$4&lt;&gt;"OR+EX",--(DATOS!$G15459=CONFIG_METADATA!$B$4),IF(DATOS!$G15459="EX",1,IF(DATOS!$G15459="OR",--(COUNTIFS(nNIA,DATOS!$A15459,nCURSO,DATOS!$D15459,nESPEC,DATOS!$E15459,nASIG,DATOS!$I15459,nEVAL,"EX")=0),0))))</f>
      </c>
      <c r="H15459">
        <f>IF(DATOS!$G15459&lt;&gt;"EX",0,--(COUNTIFS(nNIA,DATOS!$A15459,nCURSO,DATOS!$D15459,nESPEC,DATOS!$E15459,nASIG,DATOS!$I15459,nEVAL,"OR")=0))</f>
      </c>
      <c r="I15459">
        <f>IF(DATOS!$I15459="","",IFERROR(VLOOKUP(DATOS!$I15459,CONFIG_ASIGNATURAS!$B$2:$J$91,9,FALSE()),""))</f>
      </c>
    </row>
    <row r="15460">
      <c r="F15460">
        <f>IF(DATOS!$A15460="","",DATOS!$A15460&amp;"|"&amp;DATOS!$D15460&amp;"|"&amp;DATOS!$E15460&amp;"|"&amp;DATOS!$I15460)</f>
      </c>
      <c r="G15460">
        <f>IF(DATOS!$A15460="",0,IF(CONFIG_METADATA!$B$4&lt;&gt;"OR+EX",--(DATOS!$G15460=CONFIG_METADATA!$B$4),IF(DATOS!$G15460="EX",1,IF(DATOS!$G15460="OR",--(COUNTIFS(nNIA,DATOS!$A15460,nCURSO,DATOS!$D15460,nESPEC,DATOS!$E15460,nASIG,DATOS!$I15460,nEVAL,"EX")=0),0))))</f>
      </c>
      <c r="H15460">
        <f>IF(DATOS!$G15460&lt;&gt;"EX",0,--(COUNTIFS(nNIA,DATOS!$A15460,nCURSO,DATOS!$D15460,nESPEC,DATOS!$E15460,nASIG,DATOS!$I15460,nEVAL,"OR")=0))</f>
      </c>
      <c r="I15460">
        <f>IF(DATOS!$I15460="","",IFERROR(VLOOKUP(DATOS!$I15460,CONFIG_ASIGNATURAS!$B$2:$J$91,9,FALSE()),""))</f>
      </c>
    </row>
    <row r="15461">
      <c r="F15461">
        <f>IF(DATOS!$A15461="","",DATOS!$A15461&amp;"|"&amp;DATOS!$D15461&amp;"|"&amp;DATOS!$E15461&amp;"|"&amp;DATOS!$I15461)</f>
      </c>
      <c r="G15461">
        <f>IF(DATOS!$A15461="",0,IF(CONFIG_METADATA!$B$4&lt;&gt;"OR+EX",--(DATOS!$G15461=CONFIG_METADATA!$B$4),IF(DATOS!$G15461="EX",1,IF(DATOS!$G15461="OR",--(COUNTIFS(nNIA,DATOS!$A15461,nCURSO,DATOS!$D15461,nESPEC,DATOS!$E15461,nASIG,DATOS!$I15461,nEVAL,"EX")=0),0))))</f>
      </c>
      <c r="H15461">
        <f>IF(DATOS!$G15461&lt;&gt;"EX",0,--(COUNTIFS(nNIA,DATOS!$A15461,nCURSO,DATOS!$D15461,nESPEC,DATOS!$E15461,nASIG,DATOS!$I15461,nEVAL,"OR")=0))</f>
      </c>
      <c r="I15461">
        <f>IF(DATOS!$I15461="","",IFERROR(VLOOKUP(DATOS!$I15461,CONFIG_ASIGNATURAS!$B$2:$J$91,9,FALSE()),""))</f>
      </c>
    </row>
    <row r="15462">
      <c r="F15462">
        <f>IF(DATOS!$A15462="","",DATOS!$A15462&amp;"|"&amp;DATOS!$D15462&amp;"|"&amp;DATOS!$E15462&amp;"|"&amp;DATOS!$I15462)</f>
      </c>
      <c r="G15462">
        <f>IF(DATOS!$A15462="",0,IF(CONFIG_METADATA!$B$4&lt;&gt;"OR+EX",--(DATOS!$G15462=CONFIG_METADATA!$B$4),IF(DATOS!$G15462="EX",1,IF(DATOS!$G15462="OR",--(COUNTIFS(nNIA,DATOS!$A15462,nCURSO,DATOS!$D15462,nESPEC,DATOS!$E15462,nASIG,DATOS!$I15462,nEVAL,"EX")=0),0))))</f>
      </c>
      <c r="H15462">
        <f>IF(DATOS!$G15462&lt;&gt;"EX",0,--(COUNTIFS(nNIA,DATOS!$A15462,nCURSO,DATOS!$D15462,nESPEC,DATOS!$E15462,nASIG,DATOS!$I15462,nEVAL,"OR")=0))</f>
      </c>
      <c r="I15462">
        <f>IF(DATOS!$I15462="","",IFERROR(VLOOKUP(DATOS!$I15462,CONFIG_ASIGNATURAS!$B$2:$J$91,9,FALSE()),""))</f>
      </c>
    </row>
    <row r="15463">
      <c r="F15463">
        <f>IF(DATOS!$A15463="","",DATOS!$A15463&amp;"|"&amp;DATOS!$D15463&amp;"|"&amp;DATOS!$E15463&amp;"|"&amp;DATOS!$I15463)</f>
      </c>
      <c r="G15463">
        <f>IF(DATOS!$A15463="",0,IF(CONFIG_METADATA!$B$4&lt;&gt;"OR+EX",--(DATOS!$G15463=CONFIG_METADATA!$B$4),IF(DATOS!$G15463="EX",1,IF(DATOS!$G15463="OR",--(COUNTIFS(nNIA,DATOS!$A15463,nCURSO,DATOS!$D15463,nESPEC,DATOS!$E15463,nASIG,DATOS!$I15463,nEVAL,"EX")=0),0))))</f>
      </c>
      <c r="H15463">
        <f>IF(DATOS!$G15463&lt;&gt;"EX",0,--(COUNTIFS(nNIA,DATOS!$A15463,nCURSO,DATOS!$D15463,nESPEC,DATOS!$E15463,nASIG,DATOS!$I15463,nEVAL,"OR")=0))</f>
      </c>
      <c r="I15463">
        <f>IF(DATOS!$I15463="","",IFERROR(VLOOKUP(DATOS!$I15463,CONFIG_ASIGNATURAS!$B$2:$J$91,9,FALSE()),""))</f>
      </c>
    </row>
    <row r="15464">
      <c r="F15464">
        <f>IF(DATOS!$A15464="","",DATOS!$A15464&amp;"|"&amp;DATOS!$D15464&amp;"|"&amp;DATOS!$E15464&amp;"|"&amp;DATOS!$I15464)</f>
      </c>
      <c r="G15464">
        <f>IF(DATOS!$A15464="",0,IF(CONFIG_METADATA!$B$4&lt;&gt;"OR+EX",--(DATOS!$G15464=CONFIG_METADATA!$B$4),IF(DATOS!$G15464="EX",1,IF(DATOS!$G15464="OR",--(COUNTIFS(nNIA,DATOS!$A15464,nCURSO,DATOS!$D15464,nESPEC,DATOS!$E15464,nASIG,DATOS!$I15464,nEVAL,"EX")=0),0))))</f>
      </c>
      <c r="H15464">
        <f>IF(DATOS!$G15464&lt;&gt;"EX",0,--(COUNTIFS(nNIA,DATOS!$A15464,nCURSO,DATOS!$D15464,nESPEC,DATOS!$E15464,nASIG,DATOS!$I15464,nEVAL,"OR")=0))</f>
      </c>
      <c r="I15464">
        <f>IF(DATOS!$I15464="","",IFERROR(VLOOKUP(DATOS!$I15464,CONFIG_ASIGNATURAS!$B$2:$J$91,9,FALSE()),""))</f>
      </c>
    </row>
    <row r="15465">
      <c r="F15465">
        <f>IF(DATOS!$A15465="","",DATOS!$A15465&amp;"|"&amp;DATOS!$D15465&amp;"|"&amp;DATOS!$E15465&amp;"|"&amp;DATOS!$I15465)</f>
      </c>
      <c r="G15465">
        <f>IF(DATOS!$A15465="",0,IF(CONFIG_METADATA!$B$4&lt;&gt;"OR+EX",--(DATOS!$G15465=CONFIG_METADATA!$B$4),IF(DATOS!$G15465="EX",1,IF(DATOS!$G15465="OR",--(COUNTIFS(nNIA,DATOS!$A15465,nCURSO,DATOS!$D15465,nESPEC,DATOS!$E15465,nASIG,DATOS!$I15465,nEVAL,"EX")=0),0))))</f>
      </c>
      <c r="H15465">
        <f>IF(DATOS!$G15465&lt;&gt;"EX",0,--(COUNTIFS(nNIA,DATOS!$A15465,nCURSO,DATOS!$D15465,nESPEC,DATOS!$E15465,nASIG,DATOS!$I15465,nEVAL,"OR")=0))</f>
      </c>
      <c r="I15465">
        <f>IF(DATOS!$I15465="","",IFERROR(VLOOKUP(DATOS!$I15465,CONFIG_ASIGNATURAS!$B$2:$J$91,9,FALSE()),""))</f>
      </c>
    </row>
    <row r="15466">
      <c r="F15466">
        <f>IF(DATOS!$A15466="","",DATOS!$A15466&amp;"|"&amp;DATOS!$D15466&amp;"|"&amp;DATOS!$E15466&amp;"|"&amp;DATOS!$I15466)</f>
      </c>
      <c r="G15466">
        <f>IF(DATOS!$A15466="",0,IF(CONFIG_METADATA!$B$4&lt;&gt;"OR+EX",--(DATOS!$G15466=CONFIG_METADATA!$B$4),IF(DATOS!$G15466="EX",1,IF(DATOS!$G15466="OR",--(COUNTIFS(nNIA,DATOS!$A15466,nCURSO,DATOS!$D15466,nESPEC,DATOS!$E15466,nASIG,DATOS!$I15466,nEVAL,"EX")=0),0))))</f>
      </c>
      <c r="H15466">
        <f>IF(DATOS!$G15466&lt;&gt;"EX",0,--(COUNTIFS(nNIA,DATOS!$A15466,nCURSO,DATOS!$D15466,nESPEC,DATOS!$E15466,nASIG,DATOS!$I15466,nEVAL,"OR")=0))</f>
      </c>
      <c r="I15466">
        <f>IF(DATOS!$I15466="","",IFERROR(VLOOKUP(DATOS!$I15466,CONFIG_ASIGNATURAS!$B$2:$J$91,9,FALSE()),""))</f>
      </c>
    </row>
    <row r="15467">
      <c r="F15467">
        <f>IF(DATOS!$A15467="","",DATOS!$A15467&amp;"|"&amp;DATOS!$D15467&amp;"|"&amp;DATOS!$E15467&amp;"|"&amp;DATOS!$I15467)</f>
      </c>
      <c r="G15467">
        <f>IF(DATOS!$A15467="",0,IF(CONFIG_METADATA!$B$4&lt;&gt;"OR+EX",--(DATOS!$G15467=CONFIG_METADATA!$B$4),IF(DATOS!$G15467="EX",1,IF(DATOS!$G15467="OR",--(COUNTIFS(nNIA,DATOS!$A15467,nCURSO,DATOS!$D15467,nESPEC,DATOS!$E15467,nASIG,DATOS!$I15467,nEVAL,"EX")=0),0))))</f>
      </c>
      <c r="H15467">
        <f>IF(DATOS!$G15467&lt;&gt;"EX",0,--(COUNTIFS(nNIA,DATOS!$A15467,nCURSO,DATOS!$D15467,nESPEC,DATOS!$E15467,nASIG,DATOS!$I15467,nEVAL,"OR")=0))</f>
      </c>
      <c r="I15467">
        <f>IF(DATOS!$I15467="","",IFERROR(VLOOKUP(DATOS!$I15467,CONFIG_ASIGNATURAS!$B$2:$J$91,9,FALSE()),""))</f>
      </c>
    </row>
    <row r="15468">
      <c r="F15468">
        <f>IF(DATOS!$A15468="","",DATOS!$A15468&amp;"|"&amp;DATOS!$D15468&amp;"|"&amp;DATOS!$E15468&amp;"|"&amp;DATOS!$I15468)</f>
      </c>
      <c r="G15468">
        <f>IF(DATOS!$A15468="",0,IF(CONFIG_METADATA!$B$4&lt;&gt;"OR+EX",--(DATOS!$G15468=CONFIG_METADATA!$B$4),IF(DATOS!$G15468="EX",1,IF(DATOS!$G15468="OR",--(COUNTIFS(nNIA,DATOS!$A15468,nCURSO,DATOS!$D15468,nESPEC,DATOS!$E15468,nASIG,DATOS!$I15468,nEVAL,"EX")=0),0))))</f>
      </c>
      <c r="H15468">
        <f>IF(DATOS!$G15468&lt;&gt;"EX",0,--(COUNTIFS(nNIA,DATOS!$A15468,nCURSO,DATOS!$D15468,nESPEC,DATOS!$E15468,nASIG,DATOS!$I15468,nEVAL,"OR")=0))</f>
      </c>
      <c r="I15468">
        <f>IF(DATOS!$I15468="","",IFERROR(VLOOKUP(DATOS!$I15468,CONFIG_ASIGNATURAS!$B$2:$J$91,9,FALSE()),""))</f>
      </c>
    </row>
    <row r="15469">
      <c r="F15469">
        <f>IF(DATOS!$A15469="","",DATOS!$A15469&amp;"|"&amp;DATOS!$D15469&amp;"|"&amp;DATOS!$E15469&amp;"|"&amp;DATOS!$I15469)</f>
      </c>
      <c r="G15469">
        <f>IF(DATOS!$A15469="",0,IF(CONFIG_METADATA!$B$4&lt;&gt;"OR+EX",--(DATOS!$G15469=CONFIG_METADATA!$B$4),IF(DATOS!$G15469="EX",1,IF(DATOS!$G15469="OR",--(COUNTIFS(nNIA,DATOS!$A15469,nCURSO,DATOS!$D15469,nESPEC,DATOS!$E15469,nASIG,DATOS!$I15469,nEVAL,"EX")=0),0))))</f>
      </c>
      <c r="H15469">
        <f>IF(DATOS!$G15469&lt;&gt;"EX",0,--(COUNTIFS(nNIA,DATOS!$A15469,nCURSO,DATOS!$D15469,nESPEC,DATOS!$E15469,nASIG,DATOS!$I15469,nEVAL,"OR")=0))</f>
      </c>
      <c r="I15469">
        <f>IF(DATOS!$I15469="","",IFERROR(VLOOKUP(DATOS!$I15469,CONFIG_ASIGNATURAS!$B$2:$J$91,9,FALSE()),""))</f>
      </c>
    </row>
    <row r="15470">
      <c r="F15470">
        <f>IF(DATOS!$A15470="","",DATOS!$A15470&amp;"|"&amp;DATOS!$D15470&amp;"|"&amp;DATOS!$E15470&amp;"|"&amp;DATOS!$I15470)</f>
      </c>
      <c r="G15470">
        <f>IF(DATOS!$A15470="",0,IF(CONFIG_METADATA!$B$4&lt;&gt;"OR+EX",--(DATOS!$G15470=CONFIG_METADATA!$B$4),IF(DATOS!$G15470="EX",1,IF(DATOS!$G15470="OR",--(COUNTIFS(nNIA,DATOS!$A15470,nCURSO,DATOS!$D15470,nESPEC,DATOS!$E15470,nASIG,DATOS!$I15470,nEVAL,"EX")=0),0))))</f>
      </c>
      <c r="H15470">
        <f>IF(DATOS!$G15470&lt;&gt;"EX",0,--(COUNTIFS(nNIA,DATOS!$A15470,nCURSO,DATOS!$D15470,nESPEC,DATOS!$E15470,nASIG,DATOS!$I15470,nEVAL,"OR")=0))</f>
      </c>
      <c r="I15470">
        <f>IF(DATOS!$I15470="","",IFERROR(VLOOKUP(DATOS!$I15470,CONFIG_ASIGNATURAS!$B$2:$J$91,9,FALSE()),""))</f>
      </c>
    </row>
    <row r="15471">
      <c r="F15471">
        <f>IF(DATOS!$A15471="","",DATOS!$A15471&amp;"|"&amp;DATOS!$D15471&amp;"|"&amp;DATOS!$E15471&amp;"|"&amp;DATOS!$I15471)</f>
      </c>
      <c r="G15471">
        <f>IF(DATOS!$A15471="",0,IF(CONFIG_METADATA!$B$4&lt;&gt;"OR+EX",--(DATOS!$G15471=CONFIG_METADATA!$B$4),IF(DATOS!$G15471="EX",1,IF(DATOS!$G15471="OR",--(COUNTIFS(nNIA,DATOS!$A15471,nCURSO,DATOS!$D15471,nESPEC,DATOS!$E15471,nASIG,DATOS!$I15471,nEVAL,"EX")=0),0))))</f>
      </c>
      <c r="H15471">
        <f>IF(DATOS!$G15471&lt;&gt;"EX",0,--(COUNTIFS(nNIA,DATOS!$A15471,nCURSO,DATOS!$D15471,nESPEC,DATOS!$E15471,nASIG,DATOS!$I15471,nEVAL,"OR")=0))</f>
      </c>
      <c r="I15471">
        <f>IF(DATOS!$I15471="","",IFERROR(VLOOKUP(DATOS!$I15471,CONFIG_ASIGNATURAS!$B$2:$J$91,9,FALSE()),""))</f>
      </c>
    </row>
    <row r="15472">
      <c r="F15472">
        <f>IF(DATOS!$A15472="","",DATOS!$A15472&amp;"|"&amp;DATOS!$D15472&amp;"|"&amp;DATOS!$E15472&amp;"|"&amp;DATOS!$I15472)</f>
      </c>
      <c r="G15472">
        <f>IF(DATOS!$A15472="",0,IF(CONFIG_METADATA!$B$4&lt;&gt;"OR+EX",--(DATOS!$G15472=CONFIG_METADATA!$B$4),IF(DATOS!$G15472="EX",1,IF(DATOS!$G15472="OR",--(COUNTIFS(nNIA,DATOS!$A15472,nCURSO,DATOS!$D15472,nESPEC,DATOS!$E15472,nASIG,DATOS!$I15472,nEVAL,"EX")=0),0))))</f>
      </c>
      <c r="H15472">
        <f>IF(DATOS!$G15472&lt;&gt;"EX",0,--(COUNTIFS(nNIA,DATOS!$A15472,nCURSO,DATOS!$D15472,nESPEC,DATOS!$E15472,nASIG,DATOS!$I15472,nEVAL,"OR")=0))</f>
      </c>
      <c r="I15472">
        <f>IF(DATOS!$I15472="","",IFERROR(VLOOKUP(DATOS!$I15472,CONFIG_ASIGNATURAS!$B$2:$J$91,9,FALSE()),""))</f>
      </c>
    </row>
    <row r="15473">
      <c r="F15473">
        <f>IF(DATOS!$A15473="","",DATOS!$A15473&amp;"|"&amp;DATOS!$D15473&amp;"|"&amp;DATOS!$E15473&amp;"|"&amp;DATOS!$I15473)</f>
      </c>
      <c r="G15473">
        <f>IF(DATOS!$A15473="",0,IF(CONFIG_METADATA!$B$4&lt;&gt;"OR+EX",--(DATOS!$G15473=CONFIG_METADATA!$B$4),IF(DATOS!$G15473="EX",1,IF(DATOS!$G15473="OR",--(COUNTIFS(nNIA,DATOS!$A15473,nCURSO,DATOS!$D15473,nESPEC,DATOS!$E15473,nASIG,DATOS!$I15473,nEVAL,"EX")=0),0))))</f>
      </c>
      <c r="H15473">
        <f>IF(DATOS!$G15473&lt;&gt;"EX",0,--(COUNTIFS(nNIA,DATOS!$A15473,nCURSO,DATOS!$D15473,nESPEC,DATOS!$E15473,nASIG,DATOS!$I15473,nEVAL,"OR")=0))</f>
      </c>
      <c r="I15473">
        <f>IF(DATOS!$I15473="","",IFERROR(VLOOKUP(DATOS!$I15473,CONFIG_ASIGNATURAS!$B$2:$J$91,9,FALSE()),""))</f>
      </c>
    </row>
    <row r="15474">
      <c r="F15474">
        <f>IF(DATOS!$A15474="","",DATOS!$A15474&amp;"|"&amp;DATOS!$D15474&amp;"|"&amp;DATOS!$E15474&amp;"|"&amp;DATOS!$I15474)</f>
      </c>
      <c r="G15474">
        <f>IF(DATOS!$A15474="",0,IF(CONFIG_METADATA!$B$4&lt;&gt;"OR+EX",--(DATOS!$G15474=CONFIG_METADATA!$B$4),IF(DATOS!$G15474="EX",1,IF(DATOS!$G15474="OR",--(COUNTIFS(nNIA,DATOS!$A15474,nCURSO,DATOS!$D15474,nESPEC,DATOS!$E15474,nASIG,DATOS!$I15474,nEVAL,"EX")=0),0))))</f>
      </c>
      <c r="H15474">
        <f>IF(DATOS!$G15474&lt;&gt;"EX",0,--(COUNTIFS(nNIA,DATOS!$A15474,nCURSO,DATOS!$D15474,nESPEC,DATOS!$E15474,nASIG,DATOS!$I15474,nEVAL,"OR")=0))</f>
      </c>
      <c r="I15474">
        <f>IF(DATOS!$I15474="","",IFERROR(VLOOKUP(DATOS!$I15474,CONFIG_ASIGNATURAS!$B$2:$J$91,9,FALSE()),""))</f>
      </c>
    </row>
    <row r="15475">
      <c r="F15475">
        <f>IF(DATOS!$A15475="","",DATOS!$A15475&amp;"|"&amp;DATOS!$D15475&amp;"|"&amp;DATOS!$E15475&amp;"|"&amp;DATOS!$I15475)</f>
      </c>
      <c r="G15475">
        <f>IF(DATOS!$A15475="",0,IF(CONFIG_METADATA!$B$4&lt;&gt;"OR+EX",--(DATOS!$G15475=CONFIG_METADATA!$B$4),IF(DATOS!$G15475="EX",1,IF(DATOS!$G15475="OR",--(COUNTIFS(nNIA,DATOS!$A15475,nCURSO,DATOS!$D15475,nESPEC,DATOS!$E15475,nASIG,DATOS!$I15475,nEVAL,"EX")=0),0))))</f>
      </c>
      <c r="H15475">
        <f>IF(DATOS!$G15475&lt;&gt;"EX",0,--(COUNTIFS(nNIA,DATOS!$A15475,nCURSO,DATOS!$D15475,nESPEC,DATOS!$E15475,nASIG,DATOS!$I15475,nEVAL,"OR")=0))</f>
      </c>
      <c r="I15475">
        <f>IF(DATOS!$I15475="","",IFERROR(VLOOKUP(DATOS!$I15475,CONFIG_ASIGNATURAS!$B$2:$J$91,9,FALSE()),""))</f>
      </c>
    </row>
    <row r="15476">
      <c r="F15476">
        <f>IF(DATOS!$A15476="","",DATOS!$A15476&amp;"|"&amp;DATOS!$D15476&amp;"|"&amp;DATOS!$E15476&amp;"|"&amp;DATOS!$I15476)</f>
      </c>
      <c r="G15476">
        <f>IF(DATOS!$A15476="",0,IF(CONFIG_METADATA!$B$4&lt;&gt;"OR+EX",--(DATOS!$G15476=CONFIG_METADATA!$B$4),IF(DATOS!$G15476="EX",1,IF(DATOS!$G15476="OR",--(COUNTIFS(nNIA,DATOS!$A15476,nCURSO,DATOS!$D15476,nESPEC,DATOS!$E15476,nASIG,DATOS!$I15476,nEVAL,"EX")=0),0))))</f>
      </c>
      <c r="H15476">
        <f>IF(DATOS!$G15476&lt;&gt;"EX",0,--(COUNTIFS(nNIA,DATOS!$A15476,nCURSO,DATOS!$D15476,nESPEC,DATOS!$E15476,nASIG,DATOS!$I15476,nEVAL,"OR")=0))</f>
      </c>
      <c r="I15476">
        <f>IF(DATOS!$I15476="","",IFERROR(VLOOKUP(DATOS!$I15476,CONFIG_ASIGNATURAS!$B$2:$J$91,9,FALSE()),""))</f>
      </c>
    </row>
    <row r="15477">
      <c r="F15477">
        <f>IF(DATOS!$A15477="","",DATOS!$A15477&amp;"|"&amp;DATOS!$D15477&amp;"|"&amp;DATOS!$E15477&amp;"|"&amp;DATOS!$I15477)</f>
      </c>
      <c r="G15477">
        <f>IF(DATOS!$A15477="",0,IF(CONFIG_METADATA!$B$4&lt;&gt;"OR+EX",--(DATOS!$G15477=CONFIG_METADATA!$B$4),IF(DATOS!$G15477="EX",1,IF(DATOS!$G15477="OR",--(COUNTIFS(nNIA,DATOS!$A15477,nCURSO,DATOS!$D15477,nESPEC,DATOS!$E15477,nASIG,DATOS!$I15477,nEVAL,"EX")=0),0))))</f>
      </c>
      <c r="H15477">
        <f>IF(DATOS!$G15477&lt;&gt;"EX",0,--(COUNTIFS(nNIA,DATOS!$A15477,nCURSO,DATOS!$D15477,nESPEC,DATOS!$E15477,nASIG,DATOS!$I15477,nEVAL,"OR")=0))</f>
      </c>
      <c r="I15477">
        <f>IF(DATOS!$I15477="","",IFERROR(VLOOKUP(DATOS!$I15477,CONFIG_ASIGNATURAS!$B$2:$J$91,9,FALSE()),""))</f>
      </c>
    </row>
    <row r="15478">
      <c r="F15478">
        <f>IF(DATOS!$A15478="","",DATOS!$A15478&amp;"|"&amp;DATOS!$D15478&amp;"|"&amp;DATOS!$E15478&amp;"|"&amp;DATOS!$I15478)</f>
      </c>
      <c r="G15478">
        <f>IF(DATOS!$A15478="",0,IF(CONFIG_METADATA!$B$4&lt;&gt;"OR+EX",--(DATOS!$G15478=CONFIG_METADATA!$B$4),IF(DATOS!$G15478="EX",1,IF(DATOS!$G15478="OR",--(COUNTIFS(nNIA,DATOS!$A15478,nCURSO,DATOS!$D15478,nESPEC,DATOS!$E15478,nASIG,DATOS!$I15478,nEVAL,"EX")=0),0))))</f>
      </c>
      <c r="H15478">
        <f>IF(DATOS!$G15478&lt;&gt;"EX",0,--(COUNTIFS(nNIA,DATOS!$A15478,nCURSO,DATOS!$D15478,nESPEC,DATOS!$E15478,nASIG,DATOS!$I15478,nEVAL,"OR")=0))</f>
      </c>
      <c r="I15478">
        <f>IF(DATOS!$I15478="","",IFERROR(VLOOKUP(DATOS!$I15478,CONFIG_ASIGNATURAS!$B$2:$J$91,9,FALSE()),""))</f>
      </c>
    </row>
    <row r="15479">
      <c r="F15479">
        <f>IF(DATOS!$A15479="","",DATOS!$A15479&amp;"|"&amp;DATOS!$D15479&amp;"|"&amp;DATOS!$E15479&amp;"|"&amp;DATOS!$I15479)</f>
      </c>
      <c r="G15479">
        <f>IF(DATOS!$A15479="",0,IF(CONFIG_METADATA!$B$4&lt;&gt;"OR+EX",--(DATOS!$G15479=CONFIG_METADATA!$B$4),IF(DATOS!$G15479="EX",1,IF(DATOS!$G15479="OR",--(COUNTIFS(nNIA,DATOS!$A15479,nCURSO,DATOS!$D15479,nESPEC,DATOS!$E15479,nASIG,DATOS!$I15479,nEVAL,"EX")=0),0))))</f>
      </c>
      <c r="H15479">
        <f>IF(DATOS!$G15479&lt;&gt;"EX",0,--(COUNTIFS(nNIA,DATOS!$A15479,nCURSO,DATOS!$D15479,nESPEC,DATOS!$E15479,nASIG,DATOS!$I15479,nEVAL,"OR")=0))</f>
      </c>
      <c r="I15479">
        <f>IF(DATOS!$I15479="","",IFERROR(VLOOKUP(DATOS!$I15479,CONFIG_ASIGNATURAS!$B$2:$J$91,9,FALSE()),""))</f>
      </c>
    </row>
    <row r="15480">
      <c r="F15480">
        <f>IF(DATOS!$A15480="","",DATOS!$A15480&amp;"|"&amp;DATOS!$D15480&amp;"|"&amp;DATOS!$E15480&amp;"|"&amp;DATOS!$I15480)</f>
      </c>
      <c r="G15480">
        <f>IF(DATOS!$A15480="",0,IF(CONFIG_METADATA!$B$4&lt;&gt;"OR+EX",--(DATOS!$G15480=CONFIG_METADATA!$B$4),IF(DATOS!$G15480="EX",1,IF(DATOS!$G15480="OR",--(COUNTIFS(nNIA,DATOS!$A15480,nCURSO,DATOS!$D15480,nESPEC,DATOS!$E15480,nASIG,DATOS!$I15480,nEVAL,"EX")=0),0))))</f>
      </c>
      <c r="H15480">
        <f>IF(DATOS!$G15480&lt;&gt;"EX",0,--(COUNTIFS(nNIA,DATOS!$A15480,nCURSO,DATOS!$D15480,nESPEC,DATOS!$E15480,nASIG,DATOS!$I15480,nEVAL,"OR")=0))</f>
      </c>
      <c r="I15480">
        <f>IF(DATOS!$I15480="","",IFERROR(VLOOKUP(DATOS!$I15480,CONFIG_ASIGNATURAS!$B$2:$J$91,9,FALSE()),""))</f>
      </c>
    </row>
    <row r="15481">
      <c r="F15481">
        <f>IF(DATOS!$A15481="","",DATOS!$A15481&amp;"|"&amp;DATOS!$D15481&amp;"|"&amp;DATOS!$E15481&amp;"|"&amp;DATOS!$I15481)</f>
      </c>
      <c r="G15481">
        <f>IF(DATOS!$A15481="",0,IF(CONFIG_METADATA!$B$4&lt;&gt;"OR+EX",--(DATOS!$G15481=CONFIG_METADATA!$B$4),IF(DATOS!$G15481="EX",1,IF(DATOS!$G15481="OR",--(COUNTIFS(nNIA,DATOS!$A15481,nCURSO,DATOS!$D15481,nESPEC,DATOS!$E15481,nASIG,DATOS!$I15481,nEVAL,"EX")=0),0))))</f>
      </c>
      <c r="H15481">
        <f>IF(DATOS!$G15481&lt;&gt;"EX",0,--(COUNTIFS(nNIA,DATOS!$A15481,nCURSO,DATOS!$D15481,nESPEC,DATOS!$E15481,nASIG,DATOS!$I15481,nEVAL,"OR")=0))</f>
      </c>
      <c r="I15481">
        <f>IF(DATOS!$I15481="","",IFERROR(VLOOKUP(DATOS!$I15481,CONFIG_ASIGNATURAS!$B$2:$J$91,9,FALSE()),""))</f>
      </c>
    </row>
    <row r="15482">
      <c r="F15482">
        <f>IF(DATOS!$A15482="","",DATOS!$A15482&amp;"|"&amp;DATOS!$D15482&amp;"|"&amp;DATOS!$E15482&amp;"|"&amp;DATOS!$I15482)</f>
      </c>
      <c r="G15482">
        <f>IF(DATOS!$A15482="",0,IF(CONFIG_METADATA!$B$4&lt;&gt;"OR+EX",--(DATOS!$G15482=CONFIG_METADATA!$B$4),IF(DATOS!$G15482="EX",1,IF(DATOS!$G15482="OR",--(COUNTIFS(nNIA,DATOS!$A15482,nCURSO,DATOS!$D15482,nESPEC,DATOS!$E15482,nASIG,DATOS!$I15482,nEVAL,"EX")=0),0))))</f>
      </c>
      <c r="H15482">
        <f>IF(DATOS!$G15482&lt;&gt;"EX",0,--(COUNTIFS(nNIA,DATOS!$A15482,nCURSO,DATOS!$D15482,nESPEC,DATOS!$E15482,nASIG,DATOS!$I15482,nEVAL,"OR")=0))</f>
      </c>
      <c r="I15482">
        <f>IF(DATOS!$I15482="","",IFERROR(VLOOKUP(DATOS!$I15482,CONFIG_ASIGNATURAS!$B$2:$J$91,9,FALSE()),""))</f>
      </c>
    </row>
    <row r="15483">
      <c r="F15483">
        <f>IF(DATOS!$A15483="","",DATOS!$A15483&amp;"|"&amp;DATOS!$D15483&amp;"|"&amp;DATOS!$E15483&amp;"|"&amp;DATOS!$I15483)</f>
      </c>
      <c r="G15483">
        <f>IF(DATOS!$A15483="",0,IF(CONFIG_METADATA!$B$4&lt;&gt;"OR+EX",--(DATOS!$G15483=CONFIG_METADATA!$B$4),IF(DATOS!$G15483="EX",1,IF(DATOS!$G15483="OR",--(COUNTIFS(nNIA,DATOS!$A15483,nCURSO,DATOS!$D15483,nESPEC,DATOS!$E15483,nASIG,DATOS!$I15483,nEVAL,"EX")=0),0))))</f>
      </c>
      <c r="H15483">
        <f>IF(DATOS!$G15483&lt;&gt;"EX",0,--(COUNTIFS(nNIA,DATOS!$A15483,nCURSO,DATOS!$D15483,nESPEC,DATOS!$E15483,nASIG,DATOS!$I15483,nEVAL,"OR")=0))</f>
      </c>
      <c r="I15483">
        <f>IF(DATOS!$I15483="","",IFERROR(VLOOKUP(DATOS!$I15483,CONFIG_ASIGNATURAS!$B$2:$J$91,9,FALSE()),""))</f>
      </c>
    </row>
    <row r="15484">
      <c r="F15484">
        <f>IF(DATOS!$A15484="","",DATOS!$A15484&amp;"|"&amp;DATOS!$D15484&amp;"|"&amp;DATOS!$E15484&amp;"|"&amp;DATOS!$I15484)</f>
      </c>
      <c r="G15484">
        <f>IF(DATOS!$A15484="",0,IF(CONFIG_METADATA!$B$4&lt;&gt;"OR+EX",--(DATOS!$G15484=CONFIG_METADATA!$B$4),IF(DATOS!$G15484="EX",1,IF(DATOS!$G15484="OR",--(COUNTIFS(nNIA,DATOS!$A15484,nCURSO,DATOS!$D15484,nESPEC,DATOS!$E15484,nASIG,DATOS!$I15484,nEVAL,"EX")=0),0))))</f>
      </c>
      <c r="H15484">
        <f>IF(DATOS!$G15484&lt;&gt;"EX",0,--(COUNTIFS(nNIA,DATOS!$A15484,nCURSO,DATOS!$D15484,nESPEC,DATOS!$E15484,nASIG,DATOS!$I15484,nEVAL,"OR")=0))</f>
      </c>
      <c r="I15484">
        <f>IF(DATOS!$I15484="","",IFERROR(VLOOKUP(DATOS!$I15484,CONFIG_ASIGNATURAS!$B$2:$J$91,9,FALSE()),""))</f>
      </c>
    </row>
    <row r="15485">
      <c r="F15485">
        <f>IF(DATOS!$A15485="","",DATOS!$A15485&amp;"|"&amp;DATOS!$D15485&amp;"|"&amp;DATOS!$E15485&amp;"|"&amp;DATOS!$I15485)</f>
      </c>
      <c r="G15485">
        <f>IF(DATOS!$A15485="",0,IF(CONFIG_METADATA!$B$4&lt;&gt;"OR+EX",--(DATOS!$G15485=CONFIG_METADATA!$B$4),IF(DATOS!$G15485="EX",1,IF(DATOS!$G15485="OR",--(COUNTIFS(nNIA,DATOS!$A15485,nCURSO,DATOS!$D15485,nESPEC,DATOS!$E15485,nASIG,DATOS!$I15485,nEVAL,"EX")=0),0))))</f>
      </c>
      <c r="H15485">
        <f>IF(DATOS!$G15485&lt;&gt;"EX",0,--(COUNTIFS(nNIA,DATOS!$A15485,nCURSO,DATOS!$D15485,nESPEC,DATOS!$E15485,nASIG,DATOS!$I15485,nEVAL,"OR")=0))</f>
      </c>
      <c r="I15485">
        <f>IF(DATOS!$I15485="","",IFERROR(VLOOKUP(DATOS!$I15485,CONFIG_ASIGNATURAS!$B$2:$J$91,9,FALSE()),""))</f>
      </c>
    </row>
    <row r="15486">
      <c r="F15486">
        <f>IF(DATOS!$A15486="","",DATOS!$A15486&amp;"|"&amp;DATOS!$D15486&amp;"|"&amp;DATOS!$E15486&amp;"|"&amp;DATOS!$I15486)</f>
      </c>
      <c r="G15486">
        <f>IF(DATOS!$A15486="",0,IF(CONFIG_METADATA!$B$4&lt;&gt;"OR+EX",--(DATOS!$G15486=CONFIG_METADATA!$B$4),IF(DATOS!$G15486="EX",1,IF(DATOS!$G15486="OR",--(COUNTIFS(nNIA,DATOS!$A15486,nCURSO,DATOS!$D15486,nESPEC,DATOS!$E15486,nASIG,DATOS!$I15486,nEVAL,"EX")=0),0))))</f>
      </c>
      <c r="H15486">
        <f>IF(DATOS!$G15486&lt;&gt;"EX",0,--(COUNTIFS(nNIA,DATOS!$A15486,nCURSO,DATOS!$D15486,nESPEC,DATOS!$E15486,nASIG,DATOS!$I15486,nEVAL,"OR")=0))</f>
      </c>
      <c r="I15486">
        <f>IF(DATOS!$I15486="","",IFERROR(VLOOKUP(DATOS!$I15486,CONFIG_ASIGNATURAS!$B$2:$J$91,9,FALSE()),""))</f>
      </c>
    </row>
    <row r="15487">
      <c r="F15487">
        <f>IF(DATOS!$A15487="","",DATOS!$A15487&amp;"|"&amp;DATOS!$D15487&amp;"|"&amp;DATOS!$E15487&amp;"|"&amp;DATOS!$I15487)</f>
      </c>
      <c r="G15487">
        <f>IF(DATOS!$A15487="",0,IF(CONFIG_METADATA!$B$4&lt;&gt;"OR+EX",--(DATOS!$G15487=CONFIG_METADATA!$B$4),IF(DATOS!$G15487="EX",1,IF(DATOS!$G15487="OR",--(COUNTIFS(nNIA,DATOS!$A15487,nCURSO,DATOS!$D15487,nESPEC,DATOS!$E15487,nASIG,DATOS!$I15487,nEVAL,"EX")=0),0))))</f>
      </c>
      <c r="H15487">
        <f>IF(DATOS!$G15487&lt;&gt;"EX",0,--(COUNTIFS(nNIA,DATOS!$A15487,nCURSO,DATOS!$D15487,nESPEC,DATOS!$E15487,nASIG,DATOS!$I15487,nEVAL,"OR")=0))</f>
      </c>
      <c r="I15487">
        <f>IF(DATOS!$I15487="","",IFERROR(VLOOKUP(DATOS!$I15487,CONFIG_ASIGNATURAS!$B$2:$J$91,9,FALSE()),""))</f>
      </c>
    </row>
    <row r="15488">
      <c r="F15488">
        <f>IF(DATOS!$A15488="","",DATOS!$A15488&amp;"|"&amp;DATOS!$D15488&amp;"|"&amp;DATOS!$E15488&amp;"|"&amp;DATOS!$I15488)</f>
      </c>
      <c r="G15488">
        <f>IF(DATOS!$A15488="",0,IF(CONFIG_METADATA!$B$4&lt;&gt;"OR+EX",--(DATOS!$G15488=CONFIG_METADATA!$B$4),IF(DATOS!$G15488="EX",1,IF(DATOS!$G15488="OR",--(COUNTIFS(nNIA,DATOS!$A15488,nCURSO,DATOS!$D15488,nESPEC,DATOS!$E15488,nASIG,DATOS!$I15488,nEVAL,"EX")=0),0))))</f>
      </c>
      <c r="H15488">
        <f>IF(DATOS!$G15488&lt;&gt;"EX",0,--(COUNTIFS(nNIA,DATOS!$A15488,nCURSO,DATOS!$D15488,nESPEC,DATOS!$E15488,nASIG,DATOS!$I15488,nEVAL,"OR")=0))</f>
      </c>
      <c r="I15488">
        <f>IF(DATOS!$I15488="","",IFERROR(VLOOKUP(DATOS!$I15488,CONFIG_ASIGNATURAS!$B$2:$J$91,9,FALSE()),""))</f>
      </c>
    </row>
    <row r="15489">
      <c r="F15489">
        <f>IF(DATOS!$A15489="","",DATOS!$A15489&amp;"|"&amp;DATOS!$D15489&amp;"|"&amp;DATOS!$E15489&amp;"|"&amp;DATOS!$I15489)</f>
      </c>
      <c r="G15489">
        <f>IF(DATOS!$A15489="",0,IF(CONFIG_METADATA!$B$4&lt;&gt;"OR+EX",--(DATOS!$G15489=CONFIG_METADATA!$B$4),IF(DATOS!$G15489="EX",1,IF(DATOS!$G15489="OR",--(COUNTIFS(nNIA,DATOS!$A15489,nCURSO,DATOS!$D15489,nESPEC,DATOS!$E15489,nASIG,DATOS!$I15489,nEVAL,"EX")=0),0))))</f>
      </c>
      <c r="H15489">
        <f>IF(DATOS!$G15489&lt;&gt;"EX",0,--(COUNTIFS(nNIA,DATOS!$A15489,nCURSO,DATOS!$D15489,nESPEC,DATOS!$E15489,nASIG,DATOS!$I15489,nEVAL,"OR")=0))</f>
      </c>
      <c r="I15489">
        <f>IF(DATOS!$I15489="","",IFERROR(VLOOKUP(DATOS!$I15489,CONFIG_ASIGNATURAS!$B$2:$J$91,9,FALSE()),""))</f>
      </c>
    </row>
    <row r="15490">
      <c r="F15490">
        <f>IF(DATOS!$A15490="","",DATOS!$A15490&amp;"|"&amp;DATOS!$D15490&amp;"|"&amp;DATOS!$E15490&amp;"|"&amp;DATOS!$I15490)</f>
      </c>
      <c r="G15490">
        <f>IF(DATOS!$A15490="",0,IF(CONFIG_METADATA!$B$4&lt;&gt;"OR+EX",--(DATOS!$G15490=CONFIG_METADATA!$B$4),IF(DATOS!$G15490="EX",1,IF(DATOS!$G15490="OR",--(COUNTIFS(nNIA,DATOS!$A15490,nCURSO,DATOS!$D15490,nESPEC,DATOS!$E15490,nASIG,DATOS!$I15490,nEVAL,"EX")=0),0))))</f>
      </c>
      <c r="H15490">
        <f>IF(DATOS!$G15490&lt;&gt;"EX",0,--(COUNTIFS(nNIA,DATOS!$A15490,nCURSO,DATOS!$D15490,nESPEC,DATOS!$E15490,nASIG,DATOS!$I15490,nEVAL,"OR")=0))</f>
      </c>
      <c r="I15490">
        <f>IF(DATOS!$I15490="","",IFERROR(VLOOKUP(DATOS!$I15490,CONFIG_ASIGNATURAS!$B$2:$J$91,9,FALSE()),""))</f>
      </c>
    </row>
    <row r="15491">
      <c r="F15491">
        <f>IF(DATOS!$A15491="","",DATOS!$A15491&amp;"|"&amp;DATOS!$D15491&amp;"|"&amp;DATOS!$E15491&amp;"|"&amp;DATOS!$I15491)</f>
      </c>
      <c r="G15491">
        <f>IF(DATOS!$A15491="",0,IF(CONFIG_METADATA!$B$4&lt;&gt;"OR+EX",--(DATOS!$G15491=CONFIG_METADATA!$B$4),IF(DATOS!$G15491="EX",1,IF(DATOS!$G15491="OR",--(COUNTIFS(nNIA,DATOS!$A15491,nCURSO,DATOS!$D15491,nESPEC,DATOS!$E15491,nASIG,DATOS!$I15491,nEVAL,"EX")=0),0))))</f>
      </c>
      <c r="H15491">
        <f>IF(DATOS!$G15491&lt;&gt;"EX",0,--(COUNTIFS(nNIA,DATOS!$A15491,nCURSO,DATOS!$D15491,nESPEC,DATOS!$E15491,nASIG,DATOS!$I15491,nEVAL,"OR")=0))</f>
      </c>
      <c r="I15491">
        <f>IF(DATOS!$I15491="","",IFERROR(VLOOKUP(DATOS!$I15491,CONFIG_ASIGNATURAS!$B$2:$J$91,9,FALSE()),""))</f>
      </c>
    </row>
    <row r="15492">
      <c r="F15492">
        <f>IF(DATOS!$A15492="","",DATOS!$A15492&amp;"|"&amp;DATOS!$D15492&amp;"|"&amp;DATOS!$E15492&amp;"|"&amp;DATOS!$I15492)</f>
      </c>
      <c r="G15492">
        <f>IF(DATOS!$A15492="",0,IF(CONFIG_METADATA!$B$4&lt;&gt;"OR+EX",--(DATOS!$G15492=CONFIG_METADATA!$B$4),IF(DATOS!$G15492="EX",1,IF(DATOS!$G15492="OR",--(COUNTIFS(nNIA,DATOS!$A15492,nCURSO,DATOS!$D15492,nESPEC,DATOS!$E15492,nASIG,DATOS!$I15492,nEVAL,"EX")=0),0))))</f>
      </c>
      <c r="H15492">
        <f>IF(DATOS!$G15492&lt;&gt;"EX",0,--(COUNTIFS(nNIA,DATOS!$A15492,nCURSO,DATOS!$D15492,nESPEC,DATOS!$E15492,nASIG,DATOS!$I15492,nEVAL,"OR")=0))</f>
      </c>
      <c r="I15492">
        <f>IF(DATOS!$I15492="","",IFERROR(VLOOKUP(DATOS!$I15492,CONFIG_ASIGNATURAS!$B$2:$J$91,9,FALSE()),""))</f>
      </c>
    </row>
    <row r="15493">
      <c r="F15493">
        <f>IF(DATOS!$A15493="","",DATOS!$A15493&amp;"|"&amp;DATOS!$D15493&amp;"|"&amp;DATOS!$E15493&amp;"|"&amp;DATOS!$I15493)</f>
      </c>
      <c r="G15493">
        <f>IF(DATOS!$A15493="",0,IF(CONFIG_METADATA!$B$4&lt;&gt;"OR+EX",--(DATOS!$G15493=CONFIG_METADATA!$B$4),IF(DATOS!$G15493="EX",1,IF(DATOS!$G15493="OR",--(COUNTIFS(nNIA,DATOS!$A15493,nCURSO,DATOS!$D15493,nESPEC,DATOS!$E15493,nASIG,DATOS!$I15493,nEVAL,"EX")=0),0))))</f>
      </c>
      <c r="H15493">
        <f>IF(DATOS!$G15493&lt;&gt;"EX",0,--(COUNTIFS(nNIA,DATOS!$A15493,nCURSO,DATOS!$D15493,nESPEC,DATOS!$E15493,nASIG,DATOS!$I15493,nEVAL,"OR")=0))</f>
      </c>
      <c r="I15493">
        <f>IF(DATOS!$I15493="","",IFERROR(VLOOKUP(DATOS!$I15493,CONFIG_ASIGNATURAS!$B$2:$J$91,9,FALSE()),""))</f>
      </c>
    </row>
    <row r="15494">
      <c r="F15494">
        <f>IF(DATOS!$A15494="","",DATOS!$A15494&amp;"|"&amp;DATOS!$D15494&amp;"|"&amp;DATOS!$E15494&amp;"|"&amp;DATOS!$I15494)</f>
      </c>
      <c r="G15494">
        <f>IF(DATOS!$A15494="",0,IF(CONFIG_METADATA!$B$4&lt;&gt;"OR+EX",--(DATOS!$G15494=CONFIG_METADATA!$B$4),IF(DATOS!$G15494="EX",1,IF(DATOS!$G15494="OR",--(COUNTIFS(nNIA,DATOS!$A15494,nCURSO,DATOS!$D15494,nESPEC,DATOS!$E15494,nASIG,DATOS!$I15494,nEVAL,"EX")=0),0))))</f>
      </c>
      <c r="H15494">
        <f>IF(DATOS!$G15494&lt;&gt;"EX",0,--(COUNTIFS(nNIA,DATOS!$A15494,nCURSO,DATOS!$D15494,nESPEC,DATOS!$E15494,nASIG,DATOS!$I15494,nEVAL,"OR")=0))</f>
      </c>
      <c r="I15494">
        <f>IF(DATOS!$I15494="","",IFERROR(VLOOKUP(DATOS!$I15494,CONFIG_ASIGNATURAS!$B$2:$J$91,9,FALSE()),""))</f>
      </c>
    </row>
    <row r="15495">
      <c r="F15495">
        <f>IF(DATOS!$A15495="","",DATOS!$A15495&amp;"|"&amp;DATOS!$D15495&amp;"|"&amp;DATOS!$E15495&amp;"|"&amp;DATOS!$I15495)</f>
      </c>
      <c r="G15495">
        <f>IF(DATOS!$A15495="",0,IF(CONFIG_METADATA!$B$4&lt;&gt;"OR+EX",--(DATOS!$G15495=CONFIG_METADATA!$B$4),IF(DATOS!$G15495="EX",1,IF(DATOS!$G15495="OR",--(COUNTIFS(nNIA,DATOS!$A15495,nCURSO,DATOS!$D15495,nESPEC,DATOS!$E15495,nASIG,DATOS!$I15495,nEVAL,"EX")=0),0))))</f>
      </c>
      <c r="H15495">
        <f>IF(DATOS!$G15495&lt;&gt;"EX",0,--(COUNTIFS(nNIA,DATOS!$A15495,nCURSO,DATOS!$D15495,nESPEC,DATOS!$E15495,nASIG,DATOS!$I15495,nEVAL,"OR")=0))</f>
      </c>
      <c r="I15495">
        <f>IF(DATOS!$I15495="","",IFERROR(VLOOKUP(DATOS!$I15495,CONFIG_ASIGNATURAS!$B$2:$J$91,9,FALSE()),""))</f>
      </c>
    </row>
    <row r="15496">
      <c r="F15496">
        <f>IF(DATOS!$A15496="","",DATOS!$A15496&amp;"|"&amp;DATOS!$D15496&amp;"|"&amp;DATOS!$E15496&amp;"|"&amp;DATOS!$I15496)</f>
      </c>
      <c r="G15496">
        <f>IF(DATOS!$A15496="",0,IF(CONFIG_METADATA!$B$4&lt;&gt;"OR+EX",--(DATOS!$G15496=CONFIG_METADATA!$B$4),IF(DATOS!$G15496="EX",1,IF(DATOS!$G15496="OR",--(COUNTIFS(nNIA,DATOS!$A15496,nCURSO,DATOS!$D15496,nESPEC,DATOS!$E15496,nASIG,DATOS!$I15496,nEVAL,"EX")=0),0))))</f>
      </c>
      <c r="H15496">
        <f>IF(DATOS!$G15496&lt;&gt;"EX",0,--(COUNTIFS(nNIA,DATOS!$A15496,nCURSO,DATOS!$D15496,nESPEC,DATOS!$E15496,nASIG,DATOS!$I15496,nEVAL,"OR")=0))</f>
      </c>
      <c r="I15496">
        <f>IF(DATOS!$I15496="","",IFERROR(VLOOKUP(DATOS!$I15496,CONFIG_ASIGNATURAS!$B$2:$J$91,9,FALSE()),""))</f>
      </c>
    </row>
    <row r="15497">
      <c r="F15497">
        <f>IF(DATOS!$A15497="","",DATOS!$A15497&amp;"|"&amp;DATOS!$D15497&amp;"|"&amp;DATOS!$E15497&amp;"|"&amp;DATOS!$I15497)</f>
      </c>
      <c r="G15497">
        <f>IF(DATOS!$A15497="",0,IF(CONFIG_METADATA!$B$4&lt;&gt;"OR+EX",--(DATOS!$G15497=CONFIG_METADATA!$B$4),IF(DATOS!$G15497="EX",1,IF(DATOS!$G15497="OR",--(COUNTIFS(nNIA,DATOS!$A15497,nCURSO,DATOS!$D15497,nESPEC,DATOS!$E15497,nASIG,DATOS!$I15497,nEVAL,"EX")=0),0))))</f>
      </c>
      <c r="H15497">
        <f>IF(DATOS!$G15497&lt;&gt;"EX",0,--(COUNTIFS(nNIA,DATOS!$A15497,nCURSO,DATOS!$D15497,nESPEC,DATOS!$E15497,nASIG,DATOS!$I15497,nEVAL,"OR")=0))</f>
      </c>
      <c r="I15497">
        <f>IF(DATOS!$I15497="","",IFERROR(VLOOKUP(DATOS!$I15497,CONFIG_ASIGNATURAS!$B$2:$J$91,9,FALSE()),""))</f>
      </c>
    </row>
    <row r="15498">
      <c r="F15498">
        <f>IF(DATOS!$A15498="","",DATOS!$A15498&amp;"|"&amp;DATOS!$D15498&amp;"|"&amp;DATOS!$E15498&amp;"|"&amp;DATOS!$I15498)</f>
      </c>
      <c r="G15498">
        <f>IF(DATOS!$A15498="",0,IF(CONFIG_METADATA!$B$4&lt;&gt;"OR+EX",--(DATOS!$G15498=CONFIG_METADATA!$B$4),IF(DATOS!$G15498="EX",1,IF(DATOS!$G15498="OR",--(COUNTIFS(nNIA,DATOS!$A15498,nCURSO,DATOS!$D15498,nESPEC,DATOS!$E15498,nASIG,DATOS!$I15498,nEVAL,"EX")=0),0))))</f>
      </c>
      <c r="H15498">
        <f>IF(DATOS!$G15498&lt;&gt;"EX",0,--(COUNTIFS(nNIA,DATOS!$A15498,nCURSO,DATOS!$D15498,nESPEC,DATOS!$E15498,nASIG,DATOS!$I15498,nEVAL,"OR")=0))</f>
      </c>
      <c r="I15498">
        <f>IF(DATOS!$I15498="","",IFERROR(VLOOKUP(DATOS!$I15498,CONFIG_ASIGNATURAS!$B$2:$J$91,9,FALSE()),""))</f>
      </c>
    </row>
    <row r="15499">
      <c r="F15499">
        <f>IF(DATOS!$A15499="","",DATOS!$A15499&amp;"|"&amp;DATOS!$D15499&amp;"|"&amp;DATOS!$E15499&amp;"|"&amp;DATOS!$I15499)</f>
      </c>
      <c r="G15499">
        <f>IF(DATOS!$A15499="",0,IF(CONFIG_METADATA!$B$4&lt;&gt;"OR+EX",--(DATOS!$G15499=CONFIG_METADATA!$B$4),IF(DATOS!$G15499="EX",1,IF(DATOS!$G15499="OR",--(COUNTIFS(nNIA,DATOS!$A15499,nCURSO,DATOS!$D15499,nESPEC,DATOS!$E15499,nASIG,DATOS!$I15499,nEVAL,"EX")=0),0))))</f>
      </c>
      <c r="H15499">
        <f>IF(DATOS!$G15499&lt;&gt;"EX",0,--(COUNTIFS(nNIA,DATOS!$A15499,nCURSO,DATOS!$D15499,nESPEC,DATOS!$E15499,nASIG,DATOS!$I15499,nEVAL,"OR")=0))</f>
      </c>
      <c r="I15499">
        <f>IF(DATOS!$I15499="","",IFERROR(VLOOKUP(DATOS!$I15499,CONFIG_ASIGNATURAS!$B$2:$J$91,9,FALSE()),""))</f>
      </c>
    </row>
    <row r="15500">
      <c r="F15500">
        <f>IF(DATOS!$A15500="","",DATOS!$A15500&amp;"|"&amp;DATOS!$D15500&amp;"|"&amp;DATOS!$E15500&amp;"|"&amp;DATOS!$I15500)</f>
      </c>
      <c r="G15500">
        <f>IF(DATOS!$A15500="",0,IF(CONFIG_METADATA!$B$4&lt;&gt;"OR+EX",--(DATOS!$G15500=CONFIG_METADATA!$B$4),IF(DATOS!$G15500="EX",1,IF(DATOS!$G15500="OR",--(COUNTIFS(nNIA,DATOS!$A15500,nCURSO,DATOS!$D15500,nESPEC,DATOS!$E15500,nASIG,DATOS!$I15500,nEVAL,"EX")=0),0))))</f>
      </c>
      <c r="H15500">
        <f>IF(DATOS!$G15500&lt;&gt;"EX",0,--(COUNTIFS(nNIA,DATOS!$A15500,nCURSO,DATOS!$D15500,nESPEC,DATOS!$E15500,nASIG,DATOS!$I15500,nEVAL,"OR")=0))</f>
      </c>
      <c r="I15500">
        <f>IF(DATOS!$I15500="","",IFERROR(VLOOKUP(DATOS!$I15500,CONFIG_ASIGNATURAS!$B$2:$J$91,9,FALSE()),""))</f>
      </c>
    </row>
    <row r="15501">
      <c r="F15501">
        <f>IF(DATOS!$A15501="","",DATOS!$A15501&amp;"|"&amp;DATOS!$D15501&amp;"|"&amp;DATOS!$E15501&amp;"|"&amp;DATOS!$I15501)</f>
      </c>
      <c r="G15501">
        <f>IF(DATOS!$A15501="",0,IF(CONFIG_METADATA!$B$4&lt;&gt;"OR+EX",--(DATOS!$G15501=CONFIG_METADATA!$B$4),IF(DATOS!$G15501="EX",1,IF(DATOS!$G15501="OR",--(COUNTIFS(nNIA,DATOS!$A15501,nCURSO,DATOS!$D15501,nESPEC,DATOS!$E15501,nASIG,DATOS!$I15501,nEVAL,"EX")=0),0))))</f>
      </c>
      <c r="H15501">
        <f>IF(DATOS!$G15501&lt;&gt;"EX",0,--(COUNTIFS(nNIA,DATOS!$A15501,nCURSO,DATOS!$D15501,nESPEC,DATOS!$E15501,nASIG,DATOS!$I15501,nEVAL,"OR")=0))</f>
      </c>
      <c r="I15501">
        <f>IF(DATOS!$I15501="","",IFERROR(VLOOKUP(DATOS!$I15501,CONFIG_ASIGNATURAS!$B$2:$J$91,9,FALSE()),""))</f>
      </c>
    </row>
    <row r="15502">
      <c r="F15502">
        <f>IF(DATOS!$A15502="","",DATOS!$A15502&amp;"|"&amp;DATOS!$D15502&amp;"|"&amp;DATOS!$E15502&amp;"|"&amp;DATOS!$I15502)</f>
      </c>
      <c r="G15502">
        <f>IF(DATOS!$A15502="",0,IF(CONFIG_METADATA!$B$4&lt;&gt;"OR+EX",--(DATOS!$G15502=CONFIG_METADATA!$B$4),IF(DATOS!$G15502="EX",1,IF(DATOS!$G15502="OR",--(COUNTIFS(nNIA,DATOS!$A15502,nCURSO,DATOS!$D15502,nESPEC,DATOS!$E15502,nASIG,DATOS!$I15502,nEVAL,"EX")=0),0))))</f>
      </c>
      <c r="H15502">
        <f>IF(DATOS!$G15502&lt;&gt;"EX",0,--(COUNTIFS(nNIA,DATOS!$A15502,nCURSO,DATOS!$D15502,nESPEC,DATOS!$E15502,nASIG,DATOS!$I15502,nEVAL,"OR")=0))</f>
      </c>
      <c r="I15502">
        <f>IF(DATOS!$I15502="","",IFERROR(VLOOKUP(DATOS!$I15502,CONFIG_ASIGNATURAS!$B$2:$J$91,9,FALSE()),""))</f>
      </c>
    </row>
    <row r="15503">
      <c r="F15503">
        <f>IF(DATOS!$A15503="","",DATOS!$A15503&amp;"|"&amp;DATOS!$D15503&amp;"|"&amp;DATOS!$E15503&amp;"|"&amp;DATOS!$I15503)</f>
      </c>
      <c r="G15503">
        <f>IF(DATOS!$A15503="",0,IF(CONFIG_METADATA!$B$4&lt;&gt;"OR+EX",--(DATOS!$G15503=CONFIG_METADATA!$B$4),IF(DATOS!$G15503="EX",1,IF(DATOS!$G15503="OR",--(COUNTIFS(nNIA,DATOS!$A15503,nCURSO,DATOS!$D15503,nESPEC,DATOS!$E15503,nASIG,DATOS!$I15503,nEVAL,"EX")=0),0))))</f>
      </c>
      <c r="H15503">
        <f>IF(DATOS!$G15503&lt;&gt;"EX",0,--(COUNTIFS(nNIA,DATOS!$A15503,nCURSO,DATOS!$D15503,nESPEC,DATOS!$E15503,nASIG,DATOS!$I15503,nEVAL,"OR")=0))</f>
      </c>
      <c r="I15503">
        <f>IF(DATOS!$I15503="","",IFERROR(VLOOKUP(DATOS!$I15503,CONFIG_ASIGNATURAS!$B$2:$J$91,9,FALSE()),""))</f>
      </c>
    </row>
    <row r="15504">
      <c r="F15504">
        <f>IF(DATOS!$A15504="","",DATOS!$A15504&amp;"|"&amp;DATOS!$D15504&amp;"|"&amp;DATOS!$E15504&amp;"|"&amp;DATOS!$I15504)</f>
      </c>
      <c r="G15504">
        <f>IF(DATOS!$A15504="",0,IF(CONFIG_METADATA!$B$4&lt;&gt;"OR+EX",--(DATOS!$G15504=CONFIG_METADATA!$B$4),IF(DATOS!$G15504="EX",1,IF(DATOS!$G15504="OR",--(COUNTIFS(nNIA,DATOS!$A15504,nCURSO,DATOS!$D15504,nESPEC,DATOS!$E15504,nASIG,DATOS!$I15504,nEVAL,"EX")=0),0))))</f>
      </c>
      <c r="H15504">
        <f>IF(DATOS!$G15504&lt;&gt;"EX",0,--(COUNTIFS(nNIA,DATOS!$A15504,nCURSO,DATOS!$D15504,nESPEC,DATOS!$E15504,nASIG,DATOS!$I15504,nEVAL,"OR")=0))</f>
      </c>
      <c r="I15504">
        <f>IF(DATOS!$I15504="","",IFERROR(VLOOKUP(DATOS!$I15504,CONFIG_ASIGNATURAS!$B$2:$J$91,9,FALSE()),""))</f>
      </c>
    </row>
    <row r="15505">
      <c r="F15505">
        <f>IF(DATOS!$A15505="","",DATOS!$A15505&amp;"|"&amp;DATOS!$D15505&amp;"|"&amp;DATOS!$E15505&amp;"|"&amp;DATOS!$I15505)</f>
      </c>
      <c r="G15505">
        <f>IF(DATOS!$A15505="",0,IF(CONFIG_METADATA!$B$4&lt;&gt;"OR+EX",--(DATOS!$G15505=CONFIG_METADATA!$B$4),IF(DATOS!$G15505="EX",1,IF(DATOS!$G15505="OR",--(COUNTIFS(nNIA,DATOS!$A15505,nCURSO,DATOS!$D15505,nESPEC,DATOS!$E15505,nASIG,DATOS!$I15505,nEVAL,"EX")=0),0))))</f>
      </c>
      <c r="H15505">
        <f>IF(DATOS!$G15505&lt;&gt;"EX",0,--(COUNTIFS(nNIA,DATOS!$A15505,nCURSO,DATOS!$D15505,nESPEC,DATOS!$E15505,nASIG,DATOS!$I15505,nEVAL,"OR")=0))</f>
      </c>
      <c r="I15505">
        <f>IF(DATOS!$I15505="","",IFERROR(VLOOKUP(DATOS!$I15505,CONFIG_ASIGNATURAS!$B$2:$J$91,9,FALSE()),""))</f>
      </c>
    </row>
    <row r="15506">
      <c r="F15506">
        <f>IF(DATOS!$A15506="","",DATOS!$A15506&amp;"|"&amp;DATOS!$D15506&amp;"|"&amp;DATOS!$E15506&amp;"|"&amp;DATOS!$I15506)</f>
      </c>
      <c r="G15506">
        <f>IF(DATOS!$A15506="",0,IF(CONFIG_METADATA!$B$4&lt;&gt;"OR+EX",--(DATOS!$G15506=CONFIG_METADATA!$B$4),IF(DATOS!$G15506="EX",1,IF(DATOS!$G15506="OR",--(COUNTIFS(nNIA,DATOS!$A15506,nCURSO,DATOS!$D15506,nESPEC,DATOS!$E15506,nASIG,DATOS!$I15506,nEVAL,"EX")=0),0))))</f>
      </c>
      <c r="H15506">
        <f>IF(DATOS!$G15506&lt;&gt;"EX",0,--(COUNTIFS(nNIA,DATOS!$A15506,nCURSO,DATOS!$D15506,nESPEC,DATOS!$E15506,nASIG,DATOS!$I15506,nEVAL,"OR")=0))</f>
      </c>
      <c r="I15506">
        <f>IF(DATOS!$I15506="","",IFERROR(VLOOKUP(DATOS!$I15506,CONFIG_ASIGNATURAS!$B$2:$J$91,9,FALSE()),""))</f>
      </c>
    </row>
    <row r="15507">
      <c r="F15507">
        <f>IF(DATOS!$A15507="","",DATOS!$A15507&amp;"|"&amp;DATOS!$D15507&amp;"|"&amp;DATOS!$E15507&amp;"|"&amp;DATOS!$I15507)</f>
      </c>
      <c r="G15507">
        <f>IF(DATOS!$A15507="",0,IF(CONFIG_METADATA!$B$4&lt;&gt;"OR+EX",--(DATOS!$G15507=CONFIG_METADATA!$B$4),IF(DATOS!$G15507="EX",1,IF(DATOS!$G15507="OR",--(COUNTIFS(nNIA,DATOS!$A15507,nCURSO,DATOS!$D15507,nESPEC,DATOS!$E15507,nASIG,DATOS!$I15507,nEVAL,"EX")=0),0))))</f>
      </c>
      <c r="H15507">
        <f>IF(DATOS!$G15507&lt;&gt;"EX",0,--(COUNTIFS(nNIA,DATOS!$A15507,nCURSO,DATOS!$D15507,nESPEC,DATOS!$E15507,nASIG,DATOS!$I15507,nEVAL,"OR")=0))</f>
      </c>
      <c r="I15507">
        <f>IF(DATOS!$I15507="","",IFERROR(VLOOKUP(DATOS!$I15507,CONFIG_ASIGNATURAS!$B$2:$J$91,9,FALSE()),""))</f>
      </c>
    </row>
    <row r="15508">
      <c r="F15508">
        <f>IF(DATOS!$A15508="","",DATOS!$A15508&amp;"|"&amp;DATOS!$D15508&amp;"|"&amp;DATOS!$E15508&amp;"|"&amp;DATOS!$I15508)</f>
      </c>
      <c r="G15508">
        <f>IF(DATOS!$A15508="",0,IF(CONFIG_METADATA!$B$4&lt;&gt;"OR+EX",--(DATOS!$G15508=CONFIG_METADATA!$B$4),IF(DATOS!$G15508="EX",1,IF(DATOS!$G15508="OR",--(COUNTIFS(nNIA,DATOS!$A15508,nCURSO,DATOS!$D15508,nESPEC,DATOS!$E15508,nASIG,DATOS!$I15508,nEVAL,"EX")=0),0))))</f>
      </c>
      <c r="H15508">
        <f>IF(DATOS!$G15508&lt;&gt;"EX",0,--(COUNTIFS(nNIA,DATOS!$A15508,nCURSO,DATOS!$D15508,nESPEC,DATOS!$E15508,nASIG,DATOS!$I15508,nEVAL,"OR")=0))</f>
      </c>
      <c r="I15508">
        <f>IF(DATOS!$I15508="","",IFERROR(VLOOKUP(DATOS!$I15508,CONFIG_ASIGNATURAS!$B$2:$J$91,9,FALSE()),""))</f>
      </c>
    </row>
    <row r="15509">
      <c r="F15509">
        <f>IF(DATOS!$A15509="","",DATOS!$A15509&amp;"|"&amp;DATOS!$D15509&amp;"|"&amp;DATOS!$E15509&amp;"|"&amp;DATOS!$I15509)</f>
      </c>
      <c r="G15509">
        <f>IF(DATOS!$A15509="",0,IF(CONFIG_METADATA!$B$4&lt;&gt;"OR+EX",--(DATOS!$G15509=CONFIG_METADATA!$B$4),IF(DATOS!$G15509="EX",1,IF(DATOS!$G15509="OR",--(COUNTIFS(nNIA,DATOS!$A15509,nCURSO,DATOS!$D15509,nESPEC,DATOS!$E15509,nASIG,DATOS!$I15509,nEVAL,"EX")=0),0))))</f>
      </c>
      <c r="H15509">
        <f>IF(DATOS!$G15509&lt;&gt;"EX",0,--(COUNTIFS(nNIA,DATOS!$A15509,nCURSO,DATOS!$D15509,nESPEC,DATOS!$E15509,nASIG,DATOS!$I15509,nEVAL,"OR")=0))</f>
      </c>
      <c r="I15509">
        <f>IF(DATOS!$I15509="","",IFERROR(VLOOKUP(DATOS!$I15509,CONFIG_ASIGNATURAS!$B$2:$J$91,9,FALSE()),""))</f>
      </c>
    </row>
    <row r="15510">
      <c r="F15510">
        <f>IF(DATOS!$A15510="","",DATOS!$A15510&amp;"|"&amp;DATOS!$D15510&amp;"|"&amp;DATOS!$E15510&amp;"|"&amp;DATOS!$I15510)</f>
      </c>
      <c r="G15510">
        <f>IF(DATOS!$A15510="",0,IF(CONFIG_METADATA!$B$4&lt;&gt;"OR+EX",--(DATOS!$G15510=CONFIG_METADATA!$B$4),IF(DATOS!$G15510="EX",1,IF(DATOS!$G15510="OR",--(COUNTIFS(nNIA,DATOS!$A15510,nCURSO,DATOS!$D15510,nESPEC,DATOS!$E15510,nASIG,DATOS!$I15510,nEVAL,"EX")=0),0))))</f>
      </c>
      <c r="H15510">
        <f>IF(DATOS!$G15510&lt;&gt;"EX",0,--(COUNTIFS(nNIA,DATOS!$A15510,nCURSO,DATOS!$D15510,nESPEC,DATOS!$E15510,nASIG,DATOS!$I15510,nEVAL,"OR")=0))</f>
      </c>
      <c r="I15510">
        <f>IF(DATOS!$I15510="","",IFERROR(VLOOKUP(DATOS!$I15510,CONFIG_ASIGNATURAS!$B$2:$J$91,9,FALSE()),""))</f>
      </c>
    </row>
    <row r="15511">
      <c r="F15511">
        <f>IF(DATOS!$A15511="","",DATOS!$A15511&amp;"|"&amp;DATOS!$D15511&amp;"|"&amp;DATOS!$E15511&amp;"|"&amp;DATOS!$I15511)</f>
      </c>
      <c r="G15511">
        <f>IF(DATOS!$A15511="",0,IF(CONFIG_METADATA!$B$4&lt;&gt;"OR+EX",--(DATOS!$G15511=CONFIG_METADATA!$B$4),IF(DATOS!$G15511="EX",1,IF(DATOS!$G15511="OR",--(COUNTIFS(nNIA,DATOS!$A15511,nCURSO,DATOS!$D15511,nESPEC,DATOS!$E15511,nASIG,DATOS!$I15511,nEVAL,"EX")=0),0))))</f>
      </c>
      <c r="H15511">
        <f>IF(DATOS!$G15511&lt;&gt;"EX",0,--(COUNTIFS(nNIA,DATOS!$A15511,nCURSO,DATOS!$D15511,nESPEC,DATOS!$E15511,nASIG,DATOS!$I15511,nEVAL,"OR")=0))</f>
      </c>
      <c r="I15511">
        <f>IF(DATOS!$I15511="","",IFERROR(VLOOKUP(DATOS!$I15511,CONFIG_ASIGNATURAS!$B$2:$J$91,9,FALSE()),""))</f>
      </c>
    </row>
    <row r="15512">
      <c r="F15512">
        <f>IF(DATOS!$A15512="","",DATOS!$A15512&amp;"|"&amp;DATOS!$D15512&amp;"|"&amp;DATOS!$E15512&amp;"|"&amp;DATOS!$I15512)</f>
      </c>
      <c r="G15512">
        <f>IF(DATOS!$A15512="",0,IF(CONFIG_METADATA!$B$4&lt;&gt;"OR+EX",--(DATOS!$G15512=CONFIG_METADATA!$B$4),IF(DATOS!$G15512="EX",1,IF(DATOS!$G15512="OR",--(COUNTIFS(nNIA,DATOS!$A15512,nCURSO,DATOS!$D15512,nESPEC,DATOS!$E15512,nASIG,DATOS!$I15512,nEVAL,"EX")=0),0))))</f>
      </c>
      <c r="H15512">
        <f>IF(DATOS!$G15512&lt;&gt;"EX",0,--(COUNTIFS(nNIA,DATOS!$A15512,nCURSO,DATOS!$D15512,nESPEC,DATOS!$E15512,nASIG,DATOS!$I15512,nEVAL,"OR")=0))</f>
      </c>
      <c r="I15512">
        <f>IF(DATOS!$I15512="","",IFERROR(VLOOKUP(DATOS!$I15512,CONFIG_ASIGNATURAS!$B$2:$J$91,9,FALSE()),""))</f>
      </c>
    </row>
    <row r="15513">
      <c r="F15513">
        <f>IF(DATOS!$A15513="","",DATOS!$A15513&amp;"|"&amp;DATOS!$D15513&amp;"|"&amp;DATOS!$E15513&amp;"|"&amp;DATOS!$I15513)</f>
      </c>
      <c r="G15513">
        <f>IF(DATOS!$A15513="",0,IF(CONFIG_METADATA!$B$4&lt;&gt;"OR+EX",--(DATOS!$G15513=CONFIG_METADATA!$B$4),IF(DATOS!$G15513="EX",1,IF(DATOS!$G15513="OR",--(COUNTIFS(nNIA,DATOS!$A15513,nCURSO,DATOS!$D15513,nESPEC,DATOS!$E15513,nASIG,DATOS!$I15513,nEVAL,"EX")=0),0))))</f>
      </c>
      <c r="H15513">
        <f>IF(DATOS!$G15513&lt;&gt;"EX",0,--(COUNTIFS(nNIA,DATOS!$A15513,nCURSO,DATOS!$D15513,nESPEC,DATOS!$E15513,nASIG,DATOS!$I15513,nEVAL,"OR")=0))</f>
      </c>
      <c r="I15513">
        <f>IF(DATOS!$I15513="","",IFERROR(VLOOKUP(DATOS!$I15513,CONFIG_ASIGNATURAS!$B$2:$J$91,9,FALSE()),""))</f>
      </c>
    </row>
    <row r="15514">
      <c r="F15514">
        <f>IF(DATOS!$A15514="","",DATOS!$A15514&amp;"|"&amp;DATOS!$D15514&amp;"|"&amp;DATOS!$E15514&amp;"|"&amp;DATOS!$I15514)</f>
      </c>
      <c r="G15514">
        <f>IF(DATOS!$A15514="",0,IF(CONFIG_METADATA!$B$4&lt;&gt;"OR+EX",--(DATOS!$G15514=CONFIG_METADATA!$B$4),IF(DATOS!$G15514="EX",1,IF(DATOS!$G15514="OR",--(COUNTIFS(nNIA,DATOS!$A15514,nCURSO,DATOS!$D15514,nESPEC,DATOS!$E15514,nASIG,DATOS!$I15514,nEVAL,"EX")=0),0))))</f>
      </c>
      <c r="H15514">
        <f>IF(DATOS!$G15514&lt;&gt;"EX",0,--(COUNTIFS(nNIA,DATOS!$A15514,nCURSO,DATOS!$D15514,nESPEC,DATOS!$E15514,nASIG,DATOS!$I15514,nEVAL,"OR")=0))</f>
      </c>
      <c r="I15514">
        <f>IF(DATOS!$I15514="","",IFERROR(VLOOKUP(DATOS!$I15514,CONFIG_ASIGNATURAS!$B$2:$J$91,9,FALSE()),""))</f>
      </c>
    </row>
    <row r="15515">
      <c r="F15515">
        <f>IF(DATOS!$A15515="","",DATOS!$A15515&amp;"|"&amp;DATOS!$D15515&amp;"|"&amp;DATOS!$E15515&amp;"|"&amp;DATOS!$I15515)</f>
      </c>
      <c r="G15515">
        <f>IF(DATOS!$A15515="",0,IF(CONFIG_METADATA!$B$4&lt;&gt;"OR+EX",--(DATOS!$G15515=CONFIG_METADATA!$B$4),IF(DATOS!$G15515="EX",1,IF(DATOS!$G15515="OR",--(COUNTIFS(nNIA,DATOS!$A15515,nCURSO,DATOS!$D15515,nESPEC,DATOS!$E15515,nASIG,DATOS!$I15515,nEVAL,"EX")=0),0))))</f>
      </c>
      <c r="H15515">
        <f>IF(DATOS!$G15515&lt;&gt;"EX",0,--(COUNTIFS(nNIA,DATOS!$A15515,nCURSO,DATOS!$D15515,nESPEC,DATOS!$E15515,nASIG,DATOS!$I15515,nEVAL,"OR")=0))</f>
      </c>
      <c r="I15515">
        <f>IF(DATOS!$I15515="","",IFERROR(VLOOKUP(DATOS!$I15515,CONFIG_ASIGNATURAS!$B$2:$J$91,9,FALSE()),""))</f>
      </c>
    </row>
    <row r="15516">
      <c r="F15516">
        <f>IF(DATOS!$A15516="","",DATOS!$A15516&amp;"|"&amp;DATOS!$D15516&amp;"|"&amp;DATOS!$E15516&amp;"|"&amp;DATOS!$I15516)</f>
      </c>
      <c r="G15516">
        <f>IF(DATOS!$A15516="",0,IF(CONFIG_METADATA!$B$4&lt;&gt;"OR+EX",--(DATOS!$G15516=CONFIG_METADATA!$B$4),IF(DATOS!$G15516="EX",1,IF(DATOS!$G15516="OR",--(COUNTIFS(nNIA,DATOS!$A15516,nCURSO,DATOS!$D15516,nESPEC,DATOS!$E15516,nASIG,DATOS!$I15516,nEVAL,"EX")=0),0))))</f>
      </c>
      <c r="H15516">
        <f>IF(DATOS!$G15516&lt;&gt;"EX",0,--(COUNTIFS(nNIA,DATOS!$A15516,nCURSO,DATOS!$D15516,nESPEC,DATOS!$E15516,nASIG,DATOS!$I15516,nEVAL,"OR")=0))</f>
      </c>
      <c r="I15516">
        <f>IF(DATOS!$I15516="","",IFERROR(VLOOKUP(DATOS!$I15516,CONFIG_ASIGNATURAS!$B$2:$J$91,9,FALSE()),""))</f>
      </c>
    </row>
    <row r="15517">
      <c r="F15517">
        <f>IF(DATOS!$A15517="","",DATOS!$A15517&amp;"|"&amp;DATOS!$D15517&amp;"|"&amp;DATOS!$E15517&amp;"|"&amp;DATOS!$I15517)</f>
      </c>
      <c r="G15517">
        <f>IF(DATOS!$A15517="",0,IF(CONFIG_METADATA!$B$4&lt;&gt;"OR+EX",--(DATOS!$G15517=CONFIG_METADATA!$B$4),IF(DATOS!$G15517="EX",1,IF(DATOS!$G15517="OR",--(COUNTIFS(nNIA,DATOS!$A15517,nCURSO,DATOS!$D15517,nESPEC,DATOS!$E15517,nASIG,DATOS!$I15517,nEVAL,"EX")=0),0))))</f>
      </c>
      <c r="H15517">
        <f>IF(DATOS!$G15517&lt;&gt;"EX",0,--(COUNTIFS(nNIA,DATOS!$A15517,nCURSO,DATOS!$D15517,nESPEC,DATOS!$E15517,nASIG,DATOS!$I15517,nEVAL,"OR")=0))</f>
      </c>
      <c r="I15517">
        <f>IF(DATOS!$I15517="","",IFERROR(VLOOKUP(DATOS!$I15517,CONFIG_ASIGNATURAS!$B$2:$J$91,9,FALSE()),""))</f>
      </c>
    </row>
    <row r="15518">
      <c r="F15518">
        <f>IF(DATOS!$A15518="","",DATOS!$A15518&amp;"|"&amp;DATOS!$D15518&amp;"|"&amp;DATOS!$E15518&amp;"|"&amp;DATOS!$I15518)</f>
      </c>
      <c r="G15518">
        <f>IF(DATOS!$A15518="",0,IF(CONFIG_METADATA!$B$4&lt;&gt;"OR+EX",--(DATOS!$G15518=CONFIG_METADATA!$B$4),IF(DATOS!$G15518="EX",1,IF(DATOS!$G15518="OR",--(COUNTIFS(nNIA,DATOS!$A15518,nCURSO,DATOS!$D15518,nESPEC,DATOS!$E15518,nASIG,DATOS!$I15518,nEVAL,"EX")=0),0))))</f>
      </c>
      <c r="H15518">
        <f>IF(DATOS!$G15518&lt;&gt;"EX",0,--(COUNTIFS(nNIA,DATOS!$A15518,nCURSO,DATOS!$D15518,nESPEC,DATOS!$E15518,nASIG,DATOS!$I15518,nEVAL,"OR")=0))</f>
      </c>
      <c r="I15518">
        <f>IF(DATOS!$I15518="","",IFERROR(VLOOKUP(DATOS!$I15518,CONFIG_ASIGNATURAS!$B$2:$J$91,9,FALSE()),""))</f>
      </c>
    </row>
    <row r="15519">
      <c r="F15519">
        <f>IF(DATOS!$A15519="","",DATOS!$A15519&amp;"|"&amp;DATOS!$D15519&amp;"|"&amp;DATOS!$E15519&amp;"|"&amp;DATOS!$I15519)</f>
      </c>
      <c r="G15519">
        <f>IF(DATOS!$A15519="",0,IF(CONFIG_METADATA!$B$4&lt;&gt;"OR+EX",--(DATOS!$G15519=CONFIG_METADATA!$B$4),IF(DATOS!$G15519="EX",1,IF(DATOS!$G15519="OR",--(COUNTIFS(nNIA,DATOS!$A15519,nCURSO,DATOS!$D15519,nESPEC,DATOS!$E15519,nASIG,DATOS!$I15519,nEVAL,"EX")=0),0))))</f>
      </c>
      <c r="H15519">
        <f>IF(DATOS!$G15519&lt;&gt;"EX",0,--(COUNTIFS(nNIA,DATOS!$A15519,nCURSO,DATOS!$D15519,nESPEC,DATOS!$E15519,nASIG,DATOS!$I15519,nEVAL,"OR")=0))</f>
      </c>
      <c r="I15519">
        <f>IF(DATOS!$I15519="","",IFERROR(VLOOKUP(DATOS!$I15519,CONFIG_ASIGNATURAS!$B$2:$J$91,9,FALSE()),""))</f>
      </c>
    </row>
    <row r="15520">
      <c r="F15520">
        <f>IF(DATOS!$A15520="","",DATOS!$A15520&amp;"|"&amp;DATOS!$D15520&amp;"|"&amp;DATOS!$E15520&amp;"|"&amp;DATOS!$I15520)</f>
      </c>
      <c r="G15520">
        <f>IF(DATOS!$A15520="",0,IF(CONFIG_METADATA!$B$4&lt;&gt;"OR+EX",--(DATOS!$G15520=CONFIG_METADATA!$B$4),IF(DATOS!$G15520="EX",1,IF(DATOS!$G15520="OR",--(COUNTIFS(nNIA,DATOS!$A15520,nCURSO,DATOS!$D15520,nESPEC,DATOS!$E15520,nASIG,DATOS!$I15520,nEVAL,"EX")=0),0))))</f>
      </c>
      <c r="H15520">
        <f>IF(DATOS!$G15520&lt;&gt;"EX",0,--(COUNTIFS(nNIA,DATOS!$A15520,nCURSO,DATOS!$D15520,nESPEC,DATOS!$E15520,nASIG,DATOS!$I15520,nEVAL,"OR")=0))</f>
      </c>
      <c r="I15520">
        <f>IF(DATOS!$I15520="","",IFERROR(VLOOKUP(DATOS!$I15520,CONFIG_ASIGNATURAS!$B$2:$J$91,9,FALSE()),""))</f>
      </c>
    </row>
    <row r="15521">
      <c r="F15521">
        <f>IF(DATOS!$A15521="","",DATOS!$A15521&amp;"|"&amp;DATOS!$D15521&amp;"|"&amp;DATOS!$E15521&amp;"|"&amp;DATOS!$I15521)</f>
      </c>
      <c r="G15521">
        <f>IF(DATOS!$A15521="",0,IF(CONFIG_METADATA!$B$4&lt;&gt;"OR+EX",--(DATOS!$G15521=CONFIG_METADATA!$B$4),IF(DATOS!$G15521="EX",1,IF(DATOS!$G15521="OR",--(COUNTIFS(nNIA,DATOS!$A15521,nCURSO,DATOS!$D15521,nESPEC,DATOS!$E15521,nASIG,DATOS!$I15521,nEVAL,"EX")=0),0))))</f>
      </c>
      <c r="H15521">
        <f>IF(DATOS!$G15521&lt;&gt;"EX",0,--(COUNTIFS(nNIA,DATOS!$A15521,nCURSO,DATOS!$D15521,nESPEC,DATOS!$E15521,nASIG,DATOS!$I15521,nEVAL,"OR")=0))</f>
      </c>
      <c r="I15521">
        <f>IF(DATOS!$I15521="","",IFERROR(VLOOKUP(DATOS!$I15521,CONFIG_ASIGNATURAS!$B$2:$J$91,9,FALSE()),""))</f>
      </c>
    </row>
    <row r="15522">
      <c r="F15522">
        <f>IF(DATOS!$A15522="","",DATOS!$A15522&amp;"|"&amp;DATOS!$D15522&amp;"|"&amp;DATOS!$E15522&amp;"|"&amp;DATOS!$I15522)</f>
      </c>
      <c r="G15522">
        <f>IF(DATOS!$A15522="",0,IF(CONFIG_METADATA!$B$4&lt;&gt;"OR+EX",--(DATOS!$G15522=CONFIG_METADATA!$B$4),IF(DATOS!$G15522="EX",1,IF(DATOS!$G15522="OR",--(COUNTIFS(nNIA,DATOS!$A15522,nCURSO,DATOS!$D15522,nESPEC,DATOS!$E15522,nASIG,DATOS!$I15522,nEVAL,"EX")=0),0))))</f>
      </c>
      <c r="H15522">
        <f>IF(DATOS!$G15522&lt;&gt;"EX",0,--(COUNTIFS(nNIA,DATOS!$A15522,nCURSO,DATOS!$D15522,nESPEC,DATOS!$E15522,nASIG,DATOS!$I15522,nEVAL,"OR")=0))</f>
      </c>
      <c r="I15522">
        <f>IF(DATOS!$I15522="","",IFERROR(VLOOKUP(DATOS!$I15522,CONFIG_ASIGNATURAS!$B$2:$J$91,9,FALSE()),""))</f>
      </c>
    </row>
    <row r="15523">
      <c r="F15523">
        <f>IF(DATOS!$A15523="","",DATOS!$A15523&amp;"|"&amp;DATOS!$D15523&amp;"|"&amp;DATOS!$E15523&amp;"|"&amp;DATOS!$I15523)</f>
      </c>
      <c r="G15523">
        <f>IF(DATOS!$A15523="",0,IF(CONFIG_METADATA!$B$4&lt;&gt;"OR+EX",--(DATOS!$G15523=CONFIG_METADATA!$B$4),IF(DATOS!$G15523="EX",1,IF(DATOS!$G15523="OR",--(COUNTIFS(nNIA,DATOS!$A15523,nCURSO,DATOS!$D15523,nESPEC,DATOS!$E15523,nASIG,DATOS!$I15523,nEVAL,"EX")=0),0))))</f>
      </c>
      <c r="H15523">
        <f>IF(DATOS!$G15523&lt;&gt;"EX",0,--(COUNTIFS(nNIA,DATOS!$A15523,nCURSO,DATOS!$D15523,nESPEC,DATOS!$E15523,nASIG,DATOS!$I15523,nEVAL,"OR")=0))</f>
      </c>
      <c r="I15523">
        <f>IF(DATOS!$I15523="","",IFERROR(VLOOKUP(DATOS!$I15523,CONFIG_ASIGNATURAS!$B$2:$J$91,9,FALSE()),""))</f>
      </c>
    </row>
    <row r="15524">
      <c r="F15524">
        <f>IF(DATOS!$A15524="","",DATOS!$A15524&amp;"|"&amp;DATOS!$D15524&amp;"|"&amp;DATOS!$E15524&amp;"|"&amp;DATOS!$I15524)</f>
      </c>
      <c r="G15524">
        <f>IF(DATOS!$A15524="",0,IF(CONFIG_METADATA!$B$4&lt;&gt;"OR+EX",--(DATOS!$G15524=CONFIG_METADATA!$B$4),IF(DATOS!$G15524="EX",1,IF(DATOS!$G15524="OR",--(COUNTIFS(nNIA,DATOS!$A15524,nCURSO,DATOS!$D15524,nESPEC,DATOS!$E15524,nASIG,DATOS!$I15524,nEVAL,"EX")=0),0))))</f>
      </c>
      <c r="H15524">
        <f>IF(DATOS!$G15524&lt;&gt;"EX",0,--(COUNTIFS(nNIA,DATOS!$A15524,nCURSO,DATOS!$D15524,nESPEC,DATOS!$E15524,nASIG,DATOS!$I15524,nEVAL,"OR")=0))</f>
      </c>
      <c r="I15524">
        <f>IF(DATOS!$I15524="","",IFERROR(VLOOKUP(DATOS!$I15524,CONFIG_ASIGNATURAS!$B$2:$J$91,9,FALSE()),""))</f>
      </c>
    </row>
    <row r="15525">
      <c r="F15525">
        <f>IF(DATOS!$A15525="","",DATOS!$A15525&amp;"|"&amp;DATOS!$D15525&amp;"|"&amp;DATOS!$E15525&amp;"|"&amp;DATOS!$I15525)</f>
      </c>
      <c r="G15525">
        <f>IF(DATOS!$A15525="",0,IF(CONFIG_METADATA!$B$4&lt;&gt;"OR+EX",--(DATOS!$G15525=CONFIG_METADATA!$B$4),IF(DATOS!$G15525="EX",1,IF(DATOS!$G15525="OR",--(COUNTIFS(nNIA,DATOS!$A15525,nCURSO,DATOS!$D15525,nESPEC,DATOS!$E15525,nASIG,DATOS!$I15525,nEVAL,"EX")=0),0))))</f>
      </c>
      <c r="H15525">
        <f>IF(DATOS!$G15525&lt;&gt;"EX",0,--(COUNTIFS(nNIA,DATOS!$A15525,nCURSO,DATOS!$D15525,nESPEC,DATOS!$E15525,nASIG,DATOS!$I15525,nEVAL,"OR")=0))</f>
      </c>
      <c r="I15525">
        <f>IF(DATOS!$I15525="","",IFERROR(VLOOKUP(DATOS!$I15525,CONFIG_ASIGNATURAS!$B$2:$J$91,9,FALSE()),""))</f>
      </c>
    </row>
    <row r="15526">
      <c r="F15526">
        <f>IF(DATOS!$A15526="","",DATOS!$A15526&amp;"|"&amp;DATOS!$D15526&amp;"|"&amp;DATOS!$E15526&amp;"|"&amp;DATOS!$I15526)</f>
      </c>
      <c r="G15526">
        <f>IF(DATOS!$A15526="",0,IF(CONFIG_METADATA!$B$4&lt;&gt;"OR+EX",--(DATOS!$G15526=CONFIG_METADATA!$B$4),IF(DATOS!$G15526="EX",1,IF(DATOS!$G15526="OR",--(COUNTIFS(nNIA,DATOS!$A15526,nCURSO,DATOS!$D15526,nESPEC,DATOS!$E15526,nASIG,DATOS!$I15526,nEVAL,"EX")=0),0))))</f>
      </c>
      <c r="H15526">
        <f>IF(DATOS!$G15526&lt;&gt;"EX",0,--(COUNTIFS(nNIA,DATOS!$A15526,nCURSO,DATOS!$D15526,nESPEC,DATOS!$E15526,nASIG,DATOS!$I15526,nEVAL,"OR")=0))</f>
      </c>
      <c r="I15526">
        <f>IF(DATOS!$I15526="","",IFERROR(VLOOKUP(DATOS!$I15526,CONFIG_ASIGNATURAS!$B$2:$J$91,9,FALSE()),""))</f>
      </c>
    </row>
    <row r="15527">
      <c r="F15527">
        <f>IF(DATOS!$A15527="","",DATOS!$A15527&amp;"|"&amp;DATOS!$D15527&amp;"|"&amp;DATOS!$E15527&amp;"|"&amp;DATOS!$I15527)</f>
      </c>
      <c r="G15527">
        <f>IF(DATOS!$A15527="",0,IF(CONFIG_METADATA!$B$4&lt;&gt;"OR+EX",--(DATOS!$G15527=CONFIG_METADATA!$B$4),IF(DATOS!$G15527="EX",1,IF(DATOS!$G15527="OR",--(COUNTIFS(nNIA,DATOS!$A15527,nCURSO,DATOS!$D15527,nESPEC,DATOS!$E15527,nASIG,DATOS!$I15527,nEVAL,"EX")=0),0))))</f>
      </c>
      <c r="H15527">
        <f>IF(DATOS!$G15527&lt;&gt;"EX",0,--(COUNTIFS(nNIA,DATOS!$A15527,nCURSO,DATOS!$D15527,nESPEC,DATOS!$E15527,nASIG,DATOS!$I15527,nEVAL,"OR")=0))</f>
      </c>
      <c r="I15527">
        <f>IF(DATOS!$I15527="","",IFERROR(VLOOKUP(DATOS!$I15527,CONFIG_ASIGNATURAS!$B$2:$J$91,9,FALSE()),""))</f>
      </c>
    </row>
    <row r="15528">
      <c r="F15528">
        <f>IF(DATOS!$A15528="","",DATOS!$A15528&amp;"|"&amp;DATOS!$D15528&amp;"|"&amp;DATOS!$E15528&amp;"|"&amp;DATOS!$I15528)</f>
      </c>
      <c r="G15528">
        <f>IF(DATOS!$A15528="",0,IF(CONFIG_METADATA!$B$4&lt;&gt;"OR+EX",--(DATOS!$G15528=CONFIG_METADATA!$B$4),IF(DATOS!$G15528="EX",1,IF(DATOS!$G15528="OR",--(COUNTIFS(nNIA,DATOS!$A15528,nCURSO,DATOS!$D15528,nESPEC,DATOS!$E15528,nASIG,DATOS!$I15528,nEVAL,"EX")=0),0))))</f>
      </c>
      <c r="H15528">
        <f>IF(DATOS!$G15528&lt;&gt;"EX",0,--(COUNTIFS(nNIA,DATOS!$A15528,nCURSO,DATOS!$D15528,nESPEC,DATOS!$E15528,nASIG,DATOS!$I15528,nEVAL,"OR")=0))</f>
      </c>
      <c r="I15528">
        <f>IF(DATOS!$I15528="","",IFERROR(VLOOKUP(DATOS!$I15528,CONFIG_ASIGNATURAS!$B$2:$J$91,9,FALSE()),""))</f>
      </c>
    </row>
    <row r="15529">
      <c r="F15529">
        <f>IF(DATOS!$A15529="","",DATOS!$A15529&amp;"|"&amp;DATOS!$D15529&amp;"|"&amp;DATOS!$E15529&amp;"|"&amp;DATOS!$I15529)</f>
      </c>
      <c r="G15529">
        <f>IF(DATOS!$A15529="",0,IF(CONFIG_METADATA!$B$4&lt;&gt;"OR+EX",--(DATOS!$G15529=CONFIG_METADATA!$B$4),IF(DATOS!$G15529="EX",1,IF(DATOS!$G15529="OR",--(COUNTIFS(nNIA,DATOS!$A15529,nCURSO,DATOS!$D15529,nESPEC,DATOS!$E15529,nASIG,DATOS!$I15529,nEVAL,"EX")=0),0))))</f>
      </c>
      <c r="H15529">
        <f>IF(DATOS!$G15529&lt;&gt;"EX",0,--(COUNTIFS(nNIA,DATOS!$A15529,nCURSO,DATOS!$D15529,nESPEC,DATOS!$E15529,nASIG,DATOS!$I15529,nEVAL,"OR")=0))</f>
      </c>
      <c r="I15529">
        <f>IF(DATOS!$I15529="","",IFERROR(VLOOKUP(DATOS!$I15529,CONFIG_ASIGNATURAS!$B$2:$J$91,9,FALSE()),""))</f>
      </c>
    </row>
    <row r="15530">
      <c r="F15530">
        <f>IF(DATOS!$A15530="","",DATOS!$A15530&amp;"|"&amp;DATOS!$D15530&amp;"|"&amp;DATOS!$E15530&amp;"|"&amp;DATOS!$I15530)</f>
      </c>
      <c r="G15530">
        <f>IF(DATOS!$A15530="",0,IF(CONFIG_METADATA!$B$4&lt;&gt;"OR+EX",--(DATOS!$G15530=CONFIG_METADATA!$B$4),IF(DATOS!$G15530="EX",1,IF(DATOS!$G15530="OR",--(COUNTIFS(nNIA,DATOS!$A15530,nCURSO,DATOS!$D15530,nESPEC,DATOS!$E15530,nASIG,DATOS!$I15530,nEVAL,"EX")=0),0))))</f>
      </c>
      <c r="H15530">
        <f>IF(DATOS!$G15530&lt;&gt;"EX",0,--(COUNTIFS(nNIA,DATOS!$A15530,nCURSO,DATOS!$D15530,nESPEC,DATOS!$E15530,nASIG,DATOS!$I15530,nEVAL,"OR")=0))</f>
      </c>
      <c r="I15530">
        <f>IF(DATOS!$I15530="","",IFERROR(VLOOKUP(DATOS!$I15530,CONFIG_ASIGNATURAS!$B$2:$J$91,9,FALSE()),""))</f>
      </c>
    </row>
    <row r="15531">
      <c r="F15531">
        <f>IF(DATOS!$A15531="","",DATOS!$A15531&amp;"|"&amp;DATOS!$D15531&amp;"|"&amp;DATOS!$E15531&amp;"|"&amp;DATOS!$I15531)</f>
      </c>
      <c r="G15531">
        <f>IF(DATOS!$A15531="",0,IF(CONFIG_METADATA!$B$4&lt;&gt;"OR+EX",--(DATOS!$G15531=CONFIG_METADATA!$B$4),IF(DATOS!$G15531="EX",1,IF(DATOS!$G15531="OR",--(COUNTIFS(nNIA,DATOS!$A15531,nCURSO,DATOS!$D15531,nESPEC,DATOS!$E15531,nASIG,DATOS!$I15531,nEVAL,"EX")=0),0))))</f>
      </c>
      <c r="H15531">
        <f>IF(DATOS!$G15531&lt;&gt;"EX",0,--(COUNTIFS(nNIA,DATOS!$A15531,nCURSO,DATOS!$D15531,nESPEC,DATOS!$E15531,nASIG,DATOS!$I15531,nEVAL,"OR")=0))</f>
      </c>
      <c r="I15531">
        <f>IF(DATOS!$I15531="","",IFERROR(VLOOKUP(DATOS!$I15531,CONFIG_ASIGNATURAS!$B$2:$J$91,9,FALSE()),""))</f>
      </c>
    </row>
    <row r="15532">
      <c r="F15532">
        <f>IF(DATOS!$A15532="","",DATOS!$A15532&amp;"|"&amp;DATOS!$D15532&amp;"|"&amp;DATOS!$E15532&amp;"|"&amp;DATOS!$I15532)</f>
      </c>
      <c r="G15532">
        <f>IF(DATOS!$A15532="",0,IF(CONFIG_METADATA!$B$4&lt;&gt;"OR+EX",--(DATOS!$G15532=CONFIG_METADATA!$B$4),IF(DATOS!$G15532="EX",1,IF(DATOS!$G15532="OR",--(COUNTIFS(nNIA,DATOS!$A15532,nCURSO,DATOS!$D15532,nESPEC,DATOS!$E15532,nASIG,DATOS!$I15532,nEVAL,"EX")=0),0))))</f>
      </c>
      <c r="H15532">
        <f>IF(DATOS!$G15532&lt;&gt;"EX",0,--(COUNTIFS(nNIA,DATOS!$A15532,nCURSO,DATOS!$D15532,nESPEC,DATOS!$E15532,nASIG,DATOS!$I15532,nEVAL,"OR")=0))</f>
      </c>
      <c r="I15532">
        <f>IF(DATOS!$I15532="","",IFERROR(VLOOKUP(DATOS!$I15532,CONFIG_ASIGNATURAS!$B$2:$J$91,9,FALSE()),""))</f>
      </c>
    </row>
    <row r="15533">
      <c r="F15533">
        <f>IF(DATOS!$A15533="","",DATOS!$A15533&amp;"|"&amp;DATOS!$D15533&amp;"|"&amp;DATOS!$E15533&amp;"|"&amp;DATOS!$I15533)</f>
      </c>
      <c r="G15533">
        <f>IF(DATOS!$A15533="",0,IF(CONFIG_METADATA!$B$4&lt;&gt;"OR+EX",--(DATOS!$G15533=CONFIG_METADATA!$B$4),IF(DATOS!$G15533="EX",1,IF(DATOS!$G15533="OR",--(COUNTIFS(nNIA,DATOS!$A15533,nCURSO,DATOS!$D15533,nESPEC,DATOS!$E15533,nASIG,DATOS!$I15533,nEVAL,"EX")=0),0))))</f>
      </c>
      <c r="H15533">
        <f>IF(DATOS!$G15533&lt;&gt;"EX",0,--(COUNTIFS(nNIA,DATOS!$A15533,nCURSO,DATOS!$D15533,nESPEC,DATOS!$E15533,nASIG,DATOS!$I15533,nEVAL,"OR")=0))</f>
      </c>
      <c r="I15533">
        <f>IF(DATOS!$I15533="","",IFERROR(VLOOKUP(DATOS!$I15533,CONFIG_ASIGNATURAS!$B$2:$J$91,9,FALSE()),""))</f>
      </c>
    </row>
    <row r="15534">
      <c r="F15534">
        <f>IF(DATOS!$A15534="","",DATOS!$A15534&amp;"|"&amp;DATOS!$D15534&amp;"|"&amp;DATOS!$E15534&amp;"|"&amp;DATOS!$I15534)</f>
      </c>
      <c r="G15534">
        <f>IF(DATOS!$A15534="",0,IF(CONFIG_METADATA!$B$4&lt;&gt;"OR+EX",--(DATOS!$G15534=CONFIG_METADATA!$B$4),IF(DATOS!$G15534="EX",1,IF(DATOS!$G15534="OR",--(COUNTIFS(nNIA,DATOS!$A15534,nCURSO,DATOS!$D15534,nESPEC,DATOS!$E15534,nASIG,DATOS!$I15534,nEVAL,"EX")=0),0))))</f>
      </c>
      <c r="H15534">
        <f>IF(DATOS!$G15534&lt;&gt;"EX",0,--(COUNTIFS(nNIA,DATOS!$A15534,nCURSO,DATOS!$D15534,nESPEC,DATOS!$E15534,nASIG,DATOS!$I15534,nEVAL,"OR")=0))</f>
      </c>
      <c r="I15534">
        <f>IF(DATOS!$I15534="","",IFERROR(VLOOKUP(DATOS!$I15534,CONFIG_ASIGNATURAS!$B$2:$J$91,9,FALSE()),""))</f>
      </c>
    </row>
    <row r="15535">
      <c r="F15535">
        <f>IF(DATOS!$A15535="","",DATOS!$A15535&amp;"|"&amp;DATOS!$D15535&amp;"|"&amp;DATOS!$E15535&amp;"|"&amp;DATOS!$I15535)</f>
      </c>
      <c r="G15535">
        <f>IF(DATOS!$A15535="",0,IF(CONFIG_METADATA!$B$4&lt;&gt;"OR+EX",--(DATOS!$G15535=CONFIG_METADATA!$B$4),IF(DATOS!$G15535="EX",1,IF(DATOS!$G15535="OR",--(COUNTIFS(nNIA,DATOS!$A15535,nCURSO,DATOS!$D15535,nESPEC,DATOS!$E15535,nASIG,DATOS!$I15535,nEVAL,"EX")=0),0))))</f>
      </c>
      <c r="H15535">
        <f>IF(DATOS!$G15535&lt;&gt;"EX",0,--(COUNTIFS(nNIA,DATOS!$A15535,nCURSO,DATOS!$D15535,nESPEC,DATOS!$E15535,nASIG,DATOS!$I15535,nEVAL,"OR")=0))</f>
      </c>
      <c r="I15535">
        <f>IF(DATOS!$I15535="","",IFERROR(VLOOKUP(DATOS!$I15535,CONFIG_ASIGNATURAS!$B$2:$J$91,9,FALSE()),""))</f>
      </c>
    </row>
    <row r="15536">
      <c r="F15536">
        <f>IF(DATOS!$A15536="","",DATOS!$A15536&amp;"|"&amp;DATOS!$D15536&amp;"|"&amp;DATOS!$E15536&amp;"|"&amp;DATOS!$I15536)</f>
      </c>
      <c r="G15536">
        <f>IF(DATOS!$A15536="",0,IF(CONFIG_METADATA!$B$4&lt;&gt;"OR+EX",--(DATOS!$G15536=CONFIG_METADATA!$B$4),IF(DATOS!$G15536="EX",1,IF(DATOS!$G15536="OR",--(COUNTIFS(nNIA,DATOS!$A15536,nCURSO,DATOS!$D15536,nESPEC,DATOS!$E15536,nASIG,DATOS!$I15536,nEVAL,"EX")=0),0))))</f>
      </c>
      <c r="H15536">
        <f>IF(DATOS!$G15536&lt;&gt;"EX",0,--(COUNTIFS(nNIA,DATOS!$A15536,nCURSO,DATOS!$D15536,nESPEC,DATOS!$E15536,nASIG,DATOS!$I15536,nEVAL,"OR")=0))</f>
      </c>
      <c r="I15536">
        <f>IF(DATOS!$I15536="","",IFERROR(VLOOKUP(DATOS!$I15536,CONFIG_ASIGNATURAS!$B$2:$J$91,9,FALSE()),""))</f>
      </c>
    </row>
    <row r="15537">
      <c r="F15537">
        <f>IF(DATOS!$A15537="","",DATOS!$A15537&amp;"|"&amp;DATOS!$D15537&amp;"|"&amp;DATOS!$E15537&amp;"|"&amp;DATOS!$I15537)</f>
      </c>
      <c r="G15537">
        <f>IF(DATOS!$A15537="",0,IF(CONFIG_METADATA!$B$4&lt;&gt;"OR+EX",--(DATOS!$G15537=CONFIG_METADATA!$B$4),IF(DATOS!$G15537="EX",1,IF(DATOS!$G15537="OR",--(COUNTIFS(nNIA,DATOS!$A15537,nCURSO,DATOS!$D15537,nESPEC,DATOS!$E15537,nASIG,DATOS!$I15537,nEVAL,"EX")=0),0))))</f>
      </c>
      <c r="H15537">
        <f>IF(DATOS!$G15537&lt;&gt;"EX",0,--(COUNTIFS(nNIA,DATOS!$A15537,nCURSO,DATOS!$D15537,nESPEC,DATOS!$E15537,nASIG,DATOS!$I15537,nEVAL,"OR")=0))</f>
      </c>
      <c r="I15537">
        <f>IF(DATOS!$I15537="","",IFERROR(VLOOKUP(DATOS!$I15537,CONFIG_ASIGNATURAS!$B$2:$J$91,9,FALSE()),""))</f>
      </c>
    </row>
    <row r="15538">
      <c r="F15538">
        <f>IF(DATOS!$A15538="","",DATOS!$A15538&amp;"|"&amp;DATOS!$D15538&amp;"|"&amp;DATOS!$E15538&amp;"|"&amp;DATOS!$I15538)</f>
      </c>
      <c r="G15538">
        <f>IF(DATOS!$A15538="",0,IF(CONFIG_METADATA!$B$4&lt;&gt;"OR+EX",--(DATOS!$G15538=CONFIG_METADATA!$B$4),IF(DATOS!$G15538="EX",1,IF(DATOS!$G15538="OR",--(COUNTIFS(nNIA,DATOS!$A15538,nCURSO,DATOS!$D15538,nESPEC,DATOS!$E15538,nASIG,DATOS!$I15538,nEVAL,"EX")=0),0))))</f>
      </c>
      <c r="H15538">
        <f>IF(DATOS!$G15538&lt;&gt;"EX",0,--(COUNTIFS(nNIA,DATOS!$A15538,nCURSO,DATOS!$D15538,nESPEC,DATOS!$E15538,nASIG,DATOS!$I15538,nEVAL,"OR")=0))</f>
      </c>
      <c r="I15538">
        <f>IF(DATOS!$I15538="","",IFERROR(VLOOKUP(DATOS!$I15538,CONFIG_ASIGNATURAS!$B$2:$J$91,9,FALSE()),""))</f>
      </c>
    </row>
    <row r="15539">
      <c r="F15539">
        <f>IF(DATOS!$A15539="","",DATOS!$A15539&amp;"|"&amp;DATOS!$D15539&amp;"|"&amp;DATOS!$E15539&amp;"|"&amp;DATOS!$I15539)</f>
      </c>
      <c r="G15539">
        <f>IF(DATOS!$A15539="",0,IF(CONFIG_METADATA!$B$4&lt;&gt;"OR+EX",--(DATOS!$G15539=CONFIG_METADATA!$B$4),IF(DATOS!$G15539="EX",1,IF(DATOS!$G15539="OR",--(COUNTIFS(nNIA,DATOS!$A15539,nCURSO,DATOS!$D15539,nESPEC,DATOS!$E15539,nASIG,DATOS!$I15539,nEVAL,"EX")=0),0))))</f>
      </c>
      <c r="H15539">
        <f>IF(DATOS!$G15539&lt;&gt;"EX",0,--(COUNTIFS(nNIA,DATOS!$A15539,nCURSO,DATOS!$D15539,nESPEC,DATOS!$E15539,nASIG,DATOS!$I15539,nEVAL,"OR")=0))</f>
      </c>
      <c r="I15539">
        <f>IF(DATOS!$I15539="","",IFERROR(VLOOKUP(DATOS!$I15539,CONFIG_ASIGNATURAS!$B$2:$J$91,9,FALSE()),""))</f>
      </c>
    </row>
    <row r="15540">
      <c r="F15540">
        <f>IF(DATOS!$A15540="","",DATOS!$A15540&amp;"|"&amp;DATOS!$D15540&amp;"|"&amp;DATOS!$E15540&amp;"|"&amp;DATOS!$I15540)</f>
      </c>
      <c r="G15540">
        <f>IF(DATOS!$A15540="",0,IF(CONFIG_METADATA!$B$4&lt;&gt;"OR+EX",--(DATOS!$G15540=CONFIG_METADATA!$B$4),IF(DATOS!$G15540="EX",1,IF(DATOS!$G15540="OR",--(COUNTIFS(nNIA,DATOS!$A15540,nCURSO,DATOS!$D15540,nESPEC,DATOS!$E15540,nASIG,DATOS!$I15540,nEVAL,"EX")=0),0))))</f>
      </c>
      <c r="H15540">
        <f>IF(DATOS!$G15540&lt;&gt;"EX",0,--(COUNTIFS(nNIA,DATOS!$A15540,nCURSO,DATOS!$D15540,nESPEC,DATOS!$E15540,nASIG,DATOS!$I15540,nEVAL,"OR")=0))</f>
      </c>
      <c r="I15540">
        <f>IF(DATOS!$I15540="","",IFERROR(VLOOKUP(DATOS!$I15540,CONFIG_ASIGNATURAS!$B$2:$J$91,9,FALSE()),""))</f>
      </c>
    </row>
    <row r="15541">
      <c r="F15541">
        <f>IF(DATOS!$A15541="","",DATOS!$A15541&amp;"|"&amp;DATOS!$D15541&amp;"|"&amp;DATOS!$E15541&amp;"|"&amp;DATOS!$I15541)</f>
      </c>
      <c r="G15541">
        <f>IF(DATOS!$A15541="",0,IF(CONFIG_METADATA!$B$4&lt;&gt;"OR+EX",--(DATOS!$G15541=CONFIG_METADATA!$B$4),IF(DATOS!$G15541="EX",1,IF(DATOS!$G15541="OR",--(COUNTIFS(nNIA,DATOS!$A15541,nCURSO,DATOS!$D15541,nESPEC,DATOS!$E15541,nASIG,DATOS!$I15541,nEVAL,"EX")=0),0))))</f>
      </c>
      <c r="H15541">
        <f>IF(DATOS!$G15541&lt;&gt;"EX",0,--(COUNTIFS(nNIA,DATOS!$A15541,nCURSO,DATOS!$D15541,nESPEC,DATOS!$E15541,nASIG,DATOS!$I15541,nEVAL,"OR")=0))</f>
      </c>
      <c r="I15541">
        <f>IF(DATOS!$I15541="","",IFERROR(VLOOKUP(DATOS!$I15541,CONFIG_ASIGNATURAS!$B$2:$J$91,9,FALSE()),""))</f>
      </c>
    </row>
    <row r="15542">
      <c r="F15542">
        <f>IF(DATOS!$A15542="","",DATOS!$A15542&amp;"|"&amp;DATOS!$D15542&amp;"|"&amp;DATOS!$E15542&amp;"|"&amp;DATOS!$I15542)</f>
      </c>
      <c r="G15542">
        <f>IF(DATOS!$A15542="",0,IF(CONFIG_METADATA!$B$4&lt;&gt;"OR+EX",--(DATOS!$G15542=CONFIG_METADATA!$B$4),IF(DATOS!$G15542="EX",1,IF(DATOS!$G15542="OR",--(COUNTIFS(nNIA,DATOS!$A15542,nCURSO,DATOS!$D15542,nESPEC,DATOS!$E15542,nASIG,DATOS!$I15542,nEVAL,"EX")=0),0))))</f>
      </c>
      <c r="H15542">
        <f>IF(DATOS!$G15542&lt;&gt;"EX",0,--(COUNTIFS(nNIA,DATOS!$A15542,nCURSO,DATOS!$D15542,nESPEC,DATOS!$E15542,nASIG,DATOS!$I15542,nEVAL,"OR")=0))</f>
      </c>
      <c r="I15542">
        <f>IF(DATOS!$I15542="","",IFERROR(VLOOKUP(DATOS!$I15542,CONFIG_ASIGNATURAS!$B$2:$J$91,9,FALSE()),""))</f>
      </c>
    </row>
    <row r="15543">
      <c r="F15543">
        <f>IF(DATOS!$A15543="","",DATOS!$A15543&amp;"|"&amp;DATOS!$D15543&amp;"|"&amp;DATOS!$E15543&amp;"|"&amp;DATOS!$I15543)</f>
      </c>
      <c r="G15543">
        <f>IF(DATOS!$A15543="",0,IF(CONFIG_METADATA!$B$4&lt;&gt;"OR+EX",--(DATOS!$G15543=CONFIG_METADATA!$B$4),IF(DATOS!$G15543="EX",1,IF(DATOS!$G15543="OR",--(COUNTIFS(nNIA,DATOS!$A15543,nCURSO,DATOS!$D15543,nESPEC,DATOS!$E15543,nASIG,DATOS!$I15543,nEVAL,"EX")=0),0))))</f>
      </c>
      <c r="H15543">
        <f>IF(DATOS!$G15543&lt;&gt;"EX",0,--(COUNTIFS(nNIA,DATOS!$A15543,nCURSO,DATOS!$D15543,nESPEC,DATOS!$E15543,nASIG,DATOS!$I15543,nEVAL,"OR")=0))</f>
      </c>
      <c r="I15543">
        <f>IF(DATOS!$I15543="","",IFERROR(VLOOKUP(DATOS!$I15543,CONFIG_ASIGNATURAS!$B$2:$J$91,9,FALSE()),""))</f>
      </c>
    </row>
    <row r="15544">
      <c r="F15544">
        <f>IF(DATOS!$A15544="","",DATOS!$A15544&amp;"|"&amp;DATOS!$D15544&amp;"|"&amp;DATOS!$E15544&amp;"|"&amp;DATOS!$I15544)</f>
      </c>
      <c r="G15544">
        <f>IF(DATOS!$A15544="",0,IF(CONFIG_METADATA!$B$4&lt;&gt;"OR+EX",--(DATOS!$G15544=CONFIG_METADATA!$B$4),IF(DATOS!$G15544="EX",1,IF(DATOS!$G15544="OR",--(COUNTIFS(nNIA,DATOS!$A15544,nCURSO,DATOS!$D15544,nESPEC,DATOS!$E15544,nASIG,DATOS!$I15544,nEVAL,"EX")=0),0))))</f>
      </c>
      <c r="H15544">
        <f>IF(DATOS!$G15544&lt;&gt;"EX",0,--(COUNTIFS(nNIA,DATOS!$A15544,nCURSO,DATOS!$D15544,nESPEC,DATOS!$E15544,nASIG,DATOS!$I15544,nEVAL,"OR")=0))</f>
      </c>
      <c r="I15544">
        <f>IF(DATOS!$I15544="","",IFERROR(VLOOKUP(DATOS!$I15544,CONFIG_ASIGNATURAS!$B$2:$J$91,9,FALSE()),""))</f>
      </c>
    </row>
    <row r="15545">
      <c r="F15545">
        <f>IF(DATOS!$A15545="","",DATOS!$A15545&amp;"|"&amp;DATOS!$D15545&amp;"|"&amp;DATOS!$E15545&amp;"|"&amp;DATOS!$I15545)</f>
      </c>
      <c r="G15545">
        <f>IF(DATOS!$A15545="",0,IF(CONFIG_METADATA!$B$4&lt;&gt;"OR+EX",--(DATOS!$G15545=CONFIG_METADATA!$B$4),IF(DATOS!$G15545="EX",1,IF(DATOS!$G15545="OR",--(COUNTIFS(nNIA,DATOS!$A15545,nCURSO,DATOS!$D15545,nESPEC,DATOS!$E15545,nASIG,DATOS!$I15545,nEVAL,"EX")=0),0))))</f>
      </c>
      <c r="H15545">
        <f>IF(DATOS!$G15545&lt;&gt;"EX",0,--(COUNTIFS(nNIA,DATOS!$A15545,nCURSO,DATOS!$D15545,nESPEC,DATOS!$E15545,nASIG,DATOS!$I15545,nEVAL,"OR")=0))</f>
      </c>
      <c r="I15545">
        <f>IF(DATOS!$I15545="","",IFERROR(VLOOKUP(DATOS!$I15545,CONFIG_ASIGNATURAS!$B$2:$J$91,9,FALSE()),""))</f>
      </c>
    </row>
    <row r="15546">
      <c r="F15546">
        <f>IF(DATOS!$A15546="","",DATOS!$A15546&amp;"|"&amp;DATOS!$D15546&amp;"|"&amp;DATOS!$E15546&amp;"|"&amp;DATOS!$I15546)</f>
      </c>
      <c r="G15546">
        <f>IF(DATOS!$A15546="",0,IF(CONFIG_METADATA!$B$4&lt;&gt;"OR+EX",--(DATOS!$G15546=CONFIG_METADATA!$B$4),IF(DATOS!$G15546="EX",1,IF(DATOS!$G15546="OR",--(COUNTIFS(nNIA,DATOS!$A15546,nCURSO,DATOS!$D15546,nESPEC,DATOS!$E15546,nASIG,DATOS!$I15546,nEVAL,"EX")=0),0))))</f>
      </c>
      <c r="H15546">
        <f>IF(DATOS!$G15546&lt;&gt;"EX",0,--(COUNTIFS(nNIA,DATOS!$A15546,nCURSO,DATOS!$D15546,nESPEC,DATOS!$E15546,nASIG,DATOS!$I15546,nEVAL,"OR")=0))</f>
      </c>
      <c r="I15546">
        <f>IF(DATOS!$I15546="","",IFERROR(VLOOKUP(DATOS!$I15546,CONFIG_ASIGNATURAS!$B$2:$J$91,9,FALSE()),""))</f>
      </c>
    </row>
    <row r="15547">
      <c r="F15547">
        <f>IF(DATOS!$A15547="","",DATOS!$A15547&amp;"|"&amp;DATOS!$D15547&amp;"|"&amp;DATOS!$E15547&amp;"|"&amp;DATOS!$I15547)</f>
      </c>
      <c r="G15547">
        <f>IF(DATOS!$A15547="",0,IF(CONFIG_METADATA!$B$4&lt;&gt;"OR+EX",--(DATOS!$G15547=CONFIG_METADATA!$B$4),IF(DATOS!$G15547="EX",1,IF(DATOS!$G15547="OR",--(COUNTIFS(nNIA,DATOS!$A15547,nCURSO,DATOS!$D15547,nESPEC,DATOS!$E15547,nASIG,DATOS!$I15547,nEVAL,"EX")=0),0))))</f>
      </c>
      <c r="H15547">
        <f>IF(DATOS!$G15547&lt;&gt;"EX",0,--(COUNTIFS(nNIA,DATOS!$A15547,nCURSO,DATOS!$D15547,nESPEC,DATOS!$E15547,nASIG,DATOS!$I15547,nEVAL,"OR")=0))</f>
      </c>
      <c r="I15547">
        <f>IF(DATOS!$I15547="","",IFERROR(VLOOKUP(DATOS!$I15547,CONFIG_ASIGNATURAS!$B$2:$J$91,9,FALSE()),""))</f>
      </c>
    </row>
    <row r="15548">
      <c r="F15548">
        <f>IF(DATOS!$A15548="","",DATOS!$A15548&amp;"|"&amp;DATOS!$D15548&amp;"|"&amp;DATOS!$E15548&amp;"|"&amp;DATOS!$I15548)</f>
      </c>
      <c r="G15548">
        <f>IF(DATOS!$A15548="",0,IF(CONFIG_METADATA!$B$4&lt;&gt;"OR+EX",--(DATOS!$G15548=CONFIG_METADATA!$B$4),IF(DATOS!$G15548="EX",1,IF(DATOS!$G15548="OR",--(COUNTIFS(nNIA,DATOS!$A15548,nCURSO,DATOS!$D15548,nESPEC,DATOS!$E15548,nASIG,DATOS!$I15548,nEVAL,"EX")=0),0))))</f>
      </c>
      <c r="H15548">
        <f>IF(DATOS!$G15548&lt;&gt;"EX",0,--(COUNTIFS(nNIA,DATOS!$A15548,nCURSO,DATOS!$D15548,nESPEC,DATOS!$E15548,nASIG,DATOS!$I15548,nEVAL,"OR")=0))</f>
      </c>
      <c r="I15548">
        <f>IF(DATOS!$I15548="","",IFERROR(VLOOKUP(DATOS!$I15548,CONFIG_ASIGNATURAS!$B$2:$J$91,9,FALSE()),""))</f>
      </c>
    </row>
    <row r="15549">
      <c r="F15549">
        <f>IF(DATOS!$A15549="","",DATOS!$A15549&amp;"|"&amp;DATOS!$D15549&amp;"|"&amp;DATOS!$E15549&amp;"|"&amp;DATOS!$I15549)</f>
      </c>
      <c r="G15549">
        <f>IF(DATOS!$A15549="",0,IF(CONFIG_METADATA!$B$4&lt;&gt;"OR+EX",--(DATOS!$G15549=CONFIG_METADATA!$B$4),IF(DATOS!$G15549="EX",1,IF(DATOS!$G15549="OR",--(COUNTIFS(nNIA,DATOS!$A15549,nCURSO,DATOS!$D15549,nESPEC,DATOS!$E15549,nASIG,DATOS!$I15549,nEVAL,"EX")=0),0))))</f>
      </c>
      <c r="H15549">
        <f>IF(DATOS!$G15549&lt;&gt;"EX",0,--(COUNTIFS(nNIA,DATOS!$A15549,nCURSO,DATOS!$D15549,nESPEC,DATOS!$E15549,nASIG,DATOS!$I15549,nEVAL,"OR")=0))</f>
      </c>
      <c r="I15549">
        <f>IF(DATOS!$I15549="","",IFERROR(VLOOKUP(DATOS!$I15549,CONFIG_ASIGNATURAS!$B$2:$J$91,9,FALSE()),""))</f>
      </c>
    </row>
    <row r="15550">
      <c r="F15550">
        <f>IF(DATOS!$A15550="","",DATOS!$A15550&amp;"|"&amp;DATOS!$D15550&amp;"|"&amp;DATOS!$E15550&amp;"|"&amp;DATOS!$I15550)</f>
      </c>
      <c r="G15550">
        <f>IF(DATOS!$A15550="",0,IF(CONFIG_METADATA!$B$4&lt;&gt;"OR+EX",--(DATOS!$G15550=CONFIG_METADATA!$B$4),IF(DATOS!$G15550="EX",1,IF(DATOS!$G15550="OR",--(COUNTIFS(nNIA,DATOS!$A15550,nCURSO,DATOS!$D15550,nESPEC,DATOS!$E15550,nASIG,DATOS!$I15550,nEVAL,"EX")=0),0))))</f>
      </c>
      <c r="H15550">
        <f>IF(DATOS!$G15550&lt;&gt;"EX",0,--(COUNTIFS(nNIA,DATOS!$A15550,nCURSO,DATOS!$D15550,nESPEC,DATOS!$E15550,nASIG,DATOS!$I15550,nEVAL,"OR")=0))</f>
      </c>
      <c r="I15550">
        <f>IF(DATOS!$I15550="","",IFERROR(VLOOKUP(DATOS!$I15550,CONFIG_ASIGNATURAS!$B$2:$J$91,9,FALSE()),""))</f>
      </c>
    </row>
    <row r="15551">
      <c r="F15551">
        <f>IF(DATOS!$A15551="","",DATOS!$A15551&amp;"|"&amp;DATOS!$D15551&amp;"|"&amp;DATOS!$E15551&amp;"|"&amp;DATOS!$I15551)</f>
      </c>
      <c r="G15551">
        <f>IF(DATOS!$A15551="",0,IF(CONFIG_METADATA!$B$4&lt;&gt;"OR+EX",--(DATOS!$G15551=CONFIG_METADATA!$B$4),IF(DATOS!$G15551="EX",1,IF(DATOS!$G15551="OR",--(COUNTIFS(nNIA,DATOS!$A15551,nCURSO,DATOS!$D15551,nESPEC,DATOS!$E15551,nASIG,DATOS!$I15551,nEVAL,"EX")=0),0))))</f>
      </c>
      <c r="H15551">
        <f>IF(DATOS!$G15551&lt;&gt;"EX",0,--(COUNTIFS(nNIA,DATOS!$A15551,nCURSO,DATOS!$D15551,nESPEC,DATOS!$E15551,nASIG,DATOS!$I15551,nEVAL,"OR")=0))</f>
      </c>
      <c r="I15551">
        <f>IF(DATOS!$I15551="","",IFERROR(VLOOKUP(DATOS!$I15551,CONFIG_ASIGNATURAS!$B$2:$J$91,9,FALSE()),""))</f>
      </c>
    </row>
    <row r="15552">
      <c r="F15552">
        <f>IF(DATOS!$A15552="","",DATOS!$A15552&amp;"|"&amp;DATOS!$D15552&amp;"|"&amp;DATOS!$E15552&amp;"|"&amp;DATOS!$I15552)</f>
      </c>
      <c r="G15552">
        <f>IF(DATOS!$A15552="",0,IF(CONFIG_METADATA!$B$4&lt;&gt;"OR+EX",--(DATOS!$G15552=CONFIG_METADATA!$B$4),IF(DATOS!$G15552="EX",1,IF(DATOS!$G15552="OR",--(COUNTIFS(nNIA,DATOS!$A15552,nCURSO,DATOS!$D15552,nESPEC,DATOS!$E15552,nASIG,DATOS!$I15552,nEVAL,"EX")=0),0))))</f>
      </c>
      <c r="H15552">
        <f>IF(DATOS!$G15552&lt;&gt;"EX",0,--(COUNTIFS(nNIA,DATOS!$A15552,nCURSO,DATOS!$D15552,nESPEC,DATOS!$E15552,nASIG,DATOS!$I15552,nEVAL,"OR")=0))</f>
      </c>
      <c r="I15552">
        <f>IF(DATOS!$I15552="","",IFERROR(VLOOKUP(DATOS!$I15552,CONFIG_ASIGNATURAS!$B$2:$J$91,9,FALSE()),""))</f>
      </c>
    </row>
    <row r="15553">
      <c r="F15553">
        <f>IF(DATOS!$A15553="","",DATOS!$A15553&amp;"|"&amp;DATOS!$D15553&amp;"|"&amp;DATOS!$E15553&amp;"|"&amp;DATOS!$I15553)</f>
      </c>
      <c r="G15553">
        <f>IF(DATOS!$A15553="",0,IF(CONFIG_METADATA!$B$4&lt;&gt;"OR+EX",--(DATOS!$G15553=CONFIG_METADATA!$B$4),IF(DATOS!$G15553="EX",1,IF(DATOS!$G15553="OR",--(COUNTIFS(nNIA,DATOS!$A15553,nCURSO,DATOS!$D15553,nESPEC,DATOS!$E15553,nASIG,DATOS!$I15553,nEVAL,"EX")=0),0))))</f>
      </c>
      <c r="H15553">
        <f>IF(DATOS!$G15553&lt;&gt;"EX",0,--(COUNTIFS(nNIA,DATOS!$A15553,nCURSO,DATOS!$D15553,nESPEC,DATOS!$E15553,nASIG,DATOS!$I15553,nEVAL,"OR")=0))</f>
      </c>
      <c r="I15553">
        <f>IF(DATOS!$I15553="","",IFERROR(VLOOKUP(DATOS!$I15553,CONFIG_ASIGNATURAS!$B$2:$J$91,9,FALSE()),""))</f>
      </c>
    </row>
    <row r="15554">
      <c r="F15554">
        <f>IF(DATOS!$A15554="","",DATOS!$A15554&amp;"|"&amp;DATOS!$D15554&amp;"|"&amp;DATOS!$E15554&amp;"|"&amp;DATOS!$I15554)</f>
      </c>
      <c r="G15554">
        <f>IF(DATOS!$A15554="",0,IF(CONFIG_METADATA!$B$4&lt;&gt;"OR+EX",--(DATOS!$G15554=CONFIG_METADATA!$B$4),IF(DATOS!$G15554="EX",1,IF(DATOS!$G15554="OR",--(COUNTIFS(nNIA,DATOS!$A15554,nCURSO,DATOS!$D15554,nESPEC,DATOS!$E15554,nASIG,DATOS!$I15554,nEVAL,"EX")=0),0))))</f>
      </c>
      <c r="H15554">
        <f>IF(DATOS!$G15554&lt;&gt;"EX",0,--(COUNTIFS(nNIA,DATOS!$A15554,nCURSO,DATOS!$D15554,nESPEC,DATOS!$E15554,nASIG,DATOS!$I15554,nEVAL,"OR")=0))</f>
      </c>
      <c r="I15554">
        <f>IF(DATOS!$I15554="","",IFERROR(VLOOKUP(DATOS!$I15554,CONFIG_ASIGNATURAS!$B$2:$J$91,9,FALSE()),""))</f>
      </c>
    </row>
    <row r="15555">
      <c r="F15555">
        <f>IF(DATOS!$A15555="","",DATOS!$A15555&amp;"|"&amp;DATOS!$D15555&amp;"|"&amp;DATOS!$E15555&amp;"|"&amp;DATOS!$I15555)</f>
      </c>
      <c r="G15555">
        <f>IF(DATOS!$A15555="",0,IF(CONFIG_METADATA!$B$4&lt;&gt;"OR+EX",--(DATOS!$G15555=CONFIG_METADATA!$B$4),IF(DATOS!$G15555="EX",1,IF(DATOS!$G15555="OR",--(COUNTIFS(nNIA,DATOS!$A15555,nCURSO,DATOS!$D15555,nESPEC,DATOS!$E15555,nASIG,DATOS!$I15555,nEVAL,"EX")=0),0))))</f>
      </c>
      <c r="H15555">
        <f>IF(DATOS!$G15555&lt;&gt;"EX",0,--(COUNTIFS(nNIA,DATOS!$A15555,nCURSO,DATOS!$D15555,nESPEC,DATOS!$E15555,nASIG,DATOS!$I15555,nEVAL,"OR")=0))</f>
      </c>
      <c r="I15555">
        <f>IF(DATOS!$I15555="","",IFERROR(VLOOKUP(DATOS!$I15555,CONFIG_ASIGNATURAS!$B$2:$J$91,9,FALSE()),""))</f>
      </c>
    </row>
    <row r="15556">
      <c r="F15556">
        <f>IF(DATOS!$A15556="","",DATOS!$A15556&amp;"|"&amp;DATOS!$D15556&amp;"|"&amp;DATOS!$E15556&amp;"|"&amp;DATOS!$I15556)</f>
      </c>
      <c r="G15556">
        <f>IF(DATOS!$A15556="",0,IF(CONFIG_METADATA!$B$4&lt;&gt;"OR+EX",--(DATOS!$G15556=CONFIG_METADATA!$B$4),IF(DATOS!$G15556="EX",1,IF(DATOS!$G15556="OR",--(COUNTIFS(nNIA,DATOS!$A15556,nCURSO,DATOS!$D15556,nESPEC,DATOS!$E15556,nASIG,DATOS!$I15556,nEVAL,"EX")=0),0))))</f>
      </c>
      <c r="H15556">
        <f>IF(DATOS!$G15556&lt;&gt;"EX",0,--(COUNTIFS(nNIA,DATOS!$A15556,nCURSO,DATOS!$D15556,nESPEC,DATOS!$E15556,nASIG,DATOS!$I15556,nEVAL,"OR")=0))</f>
      </c>
      <c r="I15556">
        <f>IF(DATOS!$I15556="","",IFERROR(VLOOKUP(DATOS!$I15556,CONFIG_ASIGNATURAS!$B$2:$J$91,9,FALSE()),""))</f>
      </c>
    </row>
    <row r="15557">
      <c r="F15557">
        <f>IF(DATOS!$A15557="","",DATOS!$A15557&amp;"|"&amp;DATOS!$D15557&amp;"|"&amp;DATOS!$E15557&amp;"|"&amp;DATOS!$I15557)</f>
      </c>
      <c r="G15557">
        <f>IF(DATOS!$A15557="",0,IF(CONFIG_METADATA!$B$4&lt;&gt;"OR+EX",--(DATOS!$G15557=CONFIG_METADATA!$B$4),IF(DATOS!$G15557="EX",1,IF(DATOS!$G15557="OR",--(COUNTIFS(nNIA,DATOS!$A15557,nCURSO,DATOS!$D15557,nESPEC,DATOS!$E15557,nASIG,DATOS!$I15557,nEVAL,"EX")=0),0))))</f>
      </c>
      <c r="H15557">
        <f>IF(DATOS!$G15557&lt;&gt;"EX",0,--(COUNTIFS(nNIA,DATOS!$A15557,nCURSO,DATOS!$D15557,nESPEC,DATOS!$E15557,nASIG,DATOS!$I15557,nEVAL,"OR")=0))</f>
      </c>
      <c r="I15557">
        <f>IF(DATOS!$I15557="","",IFERROR(VLOOKUP(DATOS!$I15557,CONFIG_ASIGNATURAS!$B$2:$J$91,9,FALSE()),""))</f>
      </c>
    </row>
    <row r="15558">
      <c r="F15558">
        <f>IF(DATOS!$A15558="","",DATOS!$A15558&amp;"|"&amp;DATOS!$D15558&amp;"|"&amp;DATOS!$E15558&amp;"|"&amp;DATOS!$I15558)</f>
      </c>
      <c r="G15558">
        <f>IF(DATOS!$A15558="",0,IF(CONFIG_METADATA!$B$4&lt;&gt;"OR+EX",--(DATOS!$G15558=CONFIG_METADATA!$B$4),IF(DATOS!$G15558="EX",1,IF(DATOS!$G15558="OR",--(COUNTIFS(nNIA,DATOS!$A15558,nCURSO,DATOS!$D15558,nESPEC,DATOS!$E15558,nASIG,DATOS!$I15558,nEVAL,"EX")=0),0))))</f>
      </c>
      <c r="H15558">
        <f>IF(DATOS!$G15558&lt;&gt;"EX",0,--(COUNTIFS(nNIA,DATOS!$A15558,nCURSO,DATOS!$D15558,nESPEC,DATOS!$E15558,nASIG,DATOS!$I15558,nEVAL,"OR")=0))</f>
      </c>
      <c r="I15558">
        <f>IF(DATOS!$I15558="","",IFERROR(VLOOKUP(DATOS!$I15558,CONFIG_ASIGNATURAS!$B$2:$J$91,9,FALSE()),""))</f>
      </c>
    </row>
    <row r="15559">
      <c r="F15559">
        <f>IF(DATOS!$A15559="","",DATOS!$A15559&amp;"|"&amp;DATOS!$D15559&amp;"|"&amp;DATOS!$E15559&amp;"|"&amp;DATOS!$I15559)</f>
      </c>
      <c r="G15559">
        <f>IF(DATOS!$A15559="",0,IF(CONFIG_METADATA!$B$4&lt;&gt;"OR+EX",--(DATOS!$G15559=CONFIG_METADATA!$B$4),IF(DATOS!$G15559="EX",1,IF(DATOS!$G15559="OR",--(COUNTIFS(nNIA,DATOS!$A15559,nCURSO,DATOS!$D15559,nESPEC,DATOS!$E15559,nASIG,DATOS!$I15559,nEVAL,"EX")=0),0))))</f>
      </c>
      <c r="H15559">
        <f>IF(DATOS!$G15559&lt;&gt;"EX",0,--(COUNTIFS(nNIA,DATOS!$A15559,nCURSO,DATOS!$D15559,nESPEC,DATOS!$E15559,nASIG,DATOS!$I15559,nEVAL,"OR")=0))</f>
      </c>
      <c r="I15559">
        <f>IF(DATOS!$I15559="","",IFERROR(VLOOKUP(DATOS!$I15559,CONFIG_ASIGNATURAS!$B$2:$J$91,9,FALSE()),""))</f>
      </c>
    </row>
    <row r="15560">
      <c r="F15560">
        <f>IF(DATOS!$A15560="","",DATOS!$A15560&amp;"|"&amp;DATOS!$D15560&amp;"|"&amp;DATOS!$E15560&amp;"|"&amp;DATOS!$I15560)</f>
      </c>
      <c r="G15560">
        <f>IF(DATOS!$A15560="",0,IF(CONFIG_METADATA!$B$4&lt;&gt;"OR+EX",--(DATOS!$G15560=CONFIG_METADATA!$B$4),IF(DATOS!$G15560="EX",1,IF(DATOS!$G15560="OR",--(COUNTIFS(nNIA,DATOS!$A15560,nCURSO,DATOS!$D15560,nESPEC,DATOS!$E15560,nASIG,DATOS!$I15560,nEVAL,"EX")=0),0))))</f>
      </c>
      <c r="H15560">
        <f>IF(DATOS!$G15560&lt;&gt;"EX",0,--(COUNTIFS(nNIA,DATOS!$A15560,nCURSO,DATOS!$D15560,nESPEC,DATOS!$E15560,nASIG,DATOS!$I15560,nEVAL,"OR")=0))</f>
      </c>
      <c r="I15560">
        <f>IF(DATOS!$I15560="","",IFERROR(VLOOKUP(DATOS!$I15560,CONFIG_ASIGNATURAS!$B$2:$J$91,9,FALSE()),""))</f>
      </c>
    </row>
    <row r="15561">
      <c r="F15561">
        <f>IF(DATOS!$A15561="","",DATOS!$A15561&amp;"|"&amp;DATOS!$D15561&amp;"|"&amp;DATOS!$E15561&amp;"|"&amp;DATOS!$I15561)</f>
      </c>
      <c r="G15561">
        <f>IF(DATOS!$A15561="",0,IF(CONFIG_METADATA!$B$4&lt;&gt;"OR+EX",--(DATOS!$G15561=CONFIG_METADATA!$B$4),IF(DATOS!$G15561="EX",1,IF(DATOS!$G15561="OR",--(COUNTIFS(nNIA,DATOS!$A15561,nCURSO,DATOS!$D15561,nESPEC,DATOS!$E15561,nASIG,DATOS!$I15561,nEVAL,"EX")=0),0))))</f>
      </c>
      <c r="H15561">
        <f>IF(DATOS!$G15561&lt;&gt;"EX",0,--(COUNTIFS(nNIA,DATOS!$A15561,nCURSO,DATOS!$D15561,nESPEC,DATOS!$E15561,nASIG,DATOS!$I15561,nEVAL,"OR")=0))</f>
      </c>
      <c r="I15561">
        <f>IF(DATOS!$I15561="","",IFERROR(VLOOKUP(DATOS!$I15561,CONFIG_ASIGNATURAS!$B$2:$J$91,9,FALSE()),""))</f>
      </c>
    </row>
    <row r="15562">
      <c r="F15562">
        <f>IF(DATOS!$A15562="","",DATOS!$A15562&amp;"|"&amp;DATOS!$D15562&amp;"|"&amp;DATOS!$E15562&amp;"|"&amp;DATOS!$I15562)</f>
      </c>
      <c r="G15562">
        <f>IF(DATOS!$A15562="",0,IF(CONFIG_METADATA!$B$4&lt;&gt;"OR+EX",--(DATOS!$G15562=CONFIG_METADATA!$B$4),IF(DATOS!$G15562="EX",1,IF(DATOS!$G15562="OR",--(COUNTIFS(nNIA,DATOS!$A15562,nCURSO,DATOS!$D15562,nESPEC,DATOS!$E15562,nASIG,DATOS!$I15562,nEVAL,"EX")=0),0))))</f>
      </c>
      <c r="H15562">
        <f>IF(DATOS!$G15562&lt;&gt;"EX",0,--(COUNTIFS(nNIA,DATOS!$A15562,nCURSO,DATOS!$D15562,nESPEC,DATOS!$E15562,nASIG,DATOS!$I15562,nEVAL,"OR")=0))</f>
      </c>
      <c r="I15562">
        <f>IF(DATOS!$I15562="","",IFERROR(VLOOKUP(DATOS!$I15562,CONFIG_ASIGNATURAS!$B$2:$J$91,9,FALSE()),""))</f>
      </c>
    </row>
    <row r="15563">
      <c r="F15563">
        <f>IF(DATOS!$A15563="","",DATOS!$A15563&amp;"|"&amp;DATOS!$D15563&amp;"|"&amp;DATOS!$E15563&amp;"|"&amp;DATOS!$I15563)</f>
      </c>
      <c r="G15563">
        <f>IF(DATOS!$A15563="",0,IF(CONFIG_METADATA!$B$4&lt;&gt;"OR+EX",--(DATOS!$G15563=CONFIG_METADATA!$B$4),IF(DATOS!$G15563="EX",1,IF(DATOS!$G15563="OR",--(COUNTIFS(nNIA,DATOS!$A15563,nCURSO,DATOS!$D15563,nESPEC,DATOS!$E15563,nASIG,DATOS!$I15563,nEVAL,"EX")=0),0))))</f>
      </c>
      <c r="H15563">
        <f>IF(DATOS!$G15563&lt;&gt;"EX",0,--(COUNTIFS(nNIA,DATOS!$A15563,nCURSO,DATOS!$D15563,nESPEC,DATOS!$E15563,nASIG,DATOS!$I15563,nEVAL,"OR")=0))</f>
      </c>
      <c r="I15563">
        <f>IF(DATOS!$I15563="","",IFERROR(VLOOKUP(DATOS!$I15563,CONFIG_ASIGNATURAS!$B$2:$J$91,9,FALSE()),""))</f>
      </c>
    </row>
    <row r="15564">
      <c r="F15564">
        <f>IF(DATOS!$A15564="","",DATOS!$A15564&amp;"|"&amp;DATOS!$D15564&amp;"|"&amp;DATOS!$E15564&amp;"|"&amp;DATOS!$I15564)</f>
      </c>
      <c r="G15564">
        <f>IF(DATOS!$A15564="",0,IF(CONFIG_METADATA!$B$4&lt;&gt;"OR+EX",--(DATOS!$G15564=CONFIG_METADATA!$B$4),IF(DATOS!$G15564="EX",1,IF(DATOS!$G15564="OR",--(COUNTIFS(nNIA,DATOS!$A15564,nCURSO,DATOS!$D15564,nESPEC,DATOS!$E15564,nASIG,DATOS!$I15564,nEVAL,"EX")=0),0))))</f>
      </c>
      <c r="H15564">
        <f>IF(DATOS!$G15564&lt;&gt;"EX",0,--(COUNTIFS(nNIA,DATOS!$A15564,nCURSO,DATOS!$D15564,nESPEC,DATOS!$E15564,nASIG,DATOS!$I15564,nEVAL,"OR")=0))</f>
      </c>
      <c r="I15564">
        <f>IF(DATOS!$I15564="","",IFERROR(VLOOKUP(DATOS!$I15564,CONFIG_ASIGNATURAS!$B$2:$J$91,9,FALSE()),""))</f>
      </c>
    </row>
    <row r="15565">
      <c r="F15565">
        <f>IF(DATOS!$A15565="","",DATOS!$A15565&amp;"|"&amp;DATOS!$D15565&amp;"|"&amp;DATOS!$E15565&amp;"|"&amp;DATOS!$I15565)</f>
      </c>
      <c r="G15565">
        <f>IF(DATOS!$A15565="",0,IF(CONFIG_METADATA!$B$4&lt;&gt;"OR+EX",--(DATOS!$G15565=CONFIG_METADATA!$B$4),IF(DATOS!$G15565="EX",1,IF(DATOS!$G15565="OR",--(COUNTIFS(nNIA,DATOS!$A15565,nCURSO,DATOS!$D15565,nESPEC,DATOS!$E15565,nASIG,DATOS!$I15565,nEVAL,"EX")=0),0))))</f>
      </c>
      <c r="H15565">
        <f>IF(DATOS!$G15565&lt;&gt;"EX",0,--(COUNTIFS(nNIA,DATOS!$A15565,nCURSO,DATOS!$D15565,nESPEC,DATOS!$E15565,nASIG,DATOS!$I15565,nEVAL,"OR")=0))</f>
      </c>
      <c r="I15565">
        <f>IF(DATOS!$I15565="","",IFERROR(VLOOKUP(DATOS!$I15565,CONFIG_ASIGNATURAS!$B$2:$J$91,9,FALSE()),""))</f>
      </c>
    </row>
    <row r="15566">
      <c r="F15566">
        <f>IF(DATOS!$A15566="","",DATOS!$A15566&amp;"|"&amp;DATOS!$D15566&amp;"|"&amp;DATOS!$E15566&amp;"|"&amp;DATOS!$I15566)</f>
      </c>
      <c r="G15566">
        <f>IF(DATOS!$A15566="",0,IF(CONFIG_METADATA!$B$4&lt;&gt;"OR+EX",--(DATOS!$G15566=CONFIG_METADATA!$B$4),IF(DATOS!$G15566="EX",1,IF(DATOS!$G15566="OR",--(COUNTIFS(nNIA,DATOS!$A15566,nCURSO,DATOS!$D15566,nESPEC,DATOS!$E15566,nASIG,DATOS!$I15566,nEVAL,"EX")=0),0))))</f>
      </c>
      <c r="H15566">
        <f>IF(DATOS!$G15566&lt;&gt;"EX",0,--(COUNTIFS(nNIA,DATOS!$A15566,nCURSO,DATOS!$D15566,nESPEC,DATOS!$E15566,nASIG,DATOS!$I15566,nEVAL,"OR")=0))</f>
      </c>
      <c r="I15566">
        <f>IF(DATOS!$I15566="","",IFERROR(VLOOKUP(DATOS!$I15566,CONFIG_ASIGNATURAS!$B$2:$J$91,9,FALSE()),""))</f>
      </c>
    </row>
    <row r="15567">
      <c r="F15567">
        <f>IF(DATOS!$A15567="","",DATOS!$A15567&amp;"|"&amp;DATOS!$D15567&amp;"|"&amp;DATOS!$E15567&amp;"|"&amp;DATOS!$I15567)</f>
      </c>
      <c r="G15567">
        <f>IF(DATOS!$A15567="",0,IF(CONFIG_METADATA!$B$4&lt;&gt;"OR+EX",--(DATOS!$G15567=CONFIG_METADATA!$B$4),IF(DATOS!$G15567="EX",1,IF(DATOS!$G15567="OR",--(COUNTIFS(nNIA,DATOS!$A15567,nCURSO,DATOS!$D15567,nESPEC,DATOS!$E15567,nASIG,DATOS!$I15567,nEVAL,"EX")=0),0))))</f>
      </c>
      <c r="H15567">
        <f>IF(DATOS!$G15567&lt;&gt;"EX",0,--(COUNTIFS(nNIA,DATOS!$A15567,nCURSO,DATOS!$D15567,nESPEC,DATOS!$E15567,nASIG,DATOS!$I15567,nEVAL,"OR")=0))</f>
      </c>
      <c r="I15567">
        <f>IF(DATOS!$I15567="","",IFERROR(VLOOKUP(DATOS!$I15567,CONFIG_ASIGNATURAS!$B$2:$J$91,9,FALSE()),""))</f>
      </c>
    </row>
    <row r="15568">
      <c r="F15568">
        <f>IF(DATOS!$A15568="","",DATOS!$A15568&amp;"|"&amp;DATOS!$D15568&amp;"|"&amp;DATOS!$E15568&amp;"|"&amp;DATOS!$I15568)</f>
      </c>
      <c r="G15568">
        <f>IF(DATOS!$A15568="",0,IF(CONFIG_METADATA!$B$4&lt;&gt;"OR+EX",--(DATOS!$G15568=CONFIG_METADATA!$B$4),IF(DATOS!$G15568="EX",1,IF(DATOS!$G15568="OR",--(COUNTIFS(nNIA,DATOS!$A15568,nCURSO,DATOS!$D15568,nESPEC,DATOS!$E15568,nASIG,DATOS!$I15568,nEVAL,"EX")=0),0))))</f>
      </c>
      <c r="H15568">
        <f>IF(DATOS!$G15568&lt;&gt;"EX",0,--(COUNTIFS(nNIA,DATOS!$A15568,nCURSO,DATOS!$D15568,nESPEC,DATOS!$E15568,nASIG,DATOS!$I15568,nEVAL,"OR")=0))</f>
      </c>
      <c r="I15568">
        <f>IF(DATOS!$I15568="","",IFERROR(VLOOKUP(DATOS!$I15568,CONFIG_ASIGNATURAS!$B$2:$J$91,9,FALSE()),""))</f>
      </c>
    </row>
    <row r="15569">
      <c r="F15569">
        <f>IF(DATOS!$A15569="","",DATOS!$A15569&amp;"|"&amp;DATOS!$D15569&amp;"|"&amp;DATOS!$E15569&amp;"|"&amp;DATOS!$I15569)</f>
      </c>
      <c r="G15569">
        <f>IF(DATOS!$A15569="",0,IF(CONFIG_METADATA!$B$4&lt;&gt;"OR+EX",--(DATOS!$G15569=CONFIG_METADATA!$B$4),IF(DATOS!$G15569="EX",1,IF(DATOS!$G15569="OR",--(COUNTIFS(nNIA,DATOS!$A15569,nCURSO,DATOS!$D15569,nESPEC,DATOS!$E15569,nASIG,DATOS!$I15569,nEVAL,"EX")=0),0))))</f>
      </c>
      <c r="H15569">
        <f>IF(DATOS!$G15569&lt;&gt;"EX",0,--(COUNTIFS(nNIA,DATOS!$A15569,nCURSO,DATOS!$D15569,nESPEC,DATOS!$E15569,nASIG,DATOS!$I15569,nEVAL,"OR")=0))</f>
      </c>
      <c r="I15569">
        <f>IF(DATOS!$I15569="","",IFERROR(VLOOKUP(DATOS!$I15569,CONFIG_ASIGNATURAS!$B$2:$J$91,9,FALSE()),""))</f>
      </c>
    </row>
    <row r="15570">
      <c r="F15570">
        <f>IF(DATOS!$A15570="","",DATOS!$A15570&amp;"|"&amp;DATOS!$D15570&amp;"|"&amp;DATOS!$E15570&amp;"|"&amp;DATOS!$I15570)</f>
      </c>
      <c r="G15570">
        <f>IF(DATOS!$A15570="",0,IF(CONFIG_METADATA!$B$4&lt;&gt;"OR+EX",--(DATOS!$G15570=CONFIG_METADATA!$B$4),IF(DATOS!$G15570="EX",1,IF(DATOS!$G15570="OR",--(COUNTIFS(nNIA,DATOS!$A15570,nCURSO,DATOS!$D15570,nESPEC,DATOS!$E15570,nASIG,DATOS!$I15570,nEVAL,"EX")=0),0))))</f>
      </c>
      <c r="H15570">
        <f>IF(DATOS!$G15570&lt;&gt;"EX",0,--(COUNTIFS(nNIA,DATOS!$A15570,nCURSO,DATOS!$D15570,nESPEC,DATOS!$E15570,nASIG,DATOS!$I15570,nEVAL,"OR")=0))</f>
      </c>
      <c r="I15570">
        <f>IF(DATOS!$I15570="","",IFERROR(VLOOKUP(DATOS!$I15570,CONFIG_ASIGNATURAS!$B$2:$J$91,9,FALSE()),""))</f>
      </c>
    </row>
    <row r="15571">
      <c r="F15571">
        <f>IF(DATOS!$A15571="","",DATOS!$A15571&amp;"|"&amp;DATOS!$D15571&amp;"|"&amp;DATOS!$E15571&amp;"|"&amp;DATOS!$I15571)</f>
      </c>
      <c r="G15571">
        <f>IF(DATOS!$A15571="",0,IF(CONFIG_METADATA!$B$4&lt;&gt;"OR+EX",--(DATOS!$G15571=CONFIG_METADATA!$B$4),IF(DATOS!$G15571="EX",1,IF(DATOS!$G15571="OR",--(COUNTIFS(nNIA,DATOS!$A15571,nCURSO,DATOS!$D15571,nESPEC,DATOS!$E15571,nASIG,DATOS!$I15571,nEVAL,"EX")=0),0))))</f>
      </c>
      <c r="H15571">
        <f>IF(DATOS!$G15571&lt;&gt;"EX",0,--(COUNTIFS(nNIA,DATOS!$A15571,nCURSO,DATOS!$D15571,nESPEC,DATOS!$E15571,nASIG,DATOS!$I15571,nEVAL,"OR")=0))</f>
      </c>
      <c r="I15571">
        <f>IF(DATOS!$I15571="","",IFERROR(VLOOKUP(DATOS!$I15571,CONFIG_ASIGNATURAS!$B$2:$J$91,9,FALSE()),""))</f>
      </c>
    </row>
    <row r="15572">
      <c r="F15572">
        <f>IF(DATOS!$A15572="","",DATOS!$A15572&amp;"|"&amp;DATOS!$D15572&amp;"|"&amp;DATOS!$E15572&amp;"|"&amp;DATOS!$I15572)</f>
      </c>
      <c r="G15572">
        <f>IF(DATOS!$A15572="",0,IF(CONFIG_METADATA!$B$4&lt;&gt;"OR+EX",--(DATOS!$G15572=CONFIG_METADATA!$B$4),IF(DATOS!$G15572="EX",1,IF(DATOS!$G15572="OR",--(COUNTIFS(nNIA,DATOS!$A15572,nCURSO,DATOS!$D15572,nESPEC,DATOS!$E15572,nASIG,DATOS!$I15572,nEVAL,"EX")=0),0))))</f>
      </c>
      <c r="H15572">
        <f>IF(DATOS!$G15572&lt;&gt;"EX",0,--(COUNTIFS(nNIA,DATOS!$A15572,nCURSO,DATOS!$D15572,nESPEC,DATOS!$E15572,nASIG,DATOS!$I15572,nEVAL,"OR")=0))</f>
      </c>
      <c r="I15572">
        <f>IF(DATOS!$I15572="","",IFERROR(VLOOKUP(DATOS!$I15572,CONFIG_ASIGNATURAS!$B$2:$J$91,9,FALSE()),""))</f>
      </c>
    </row>
    <row r="15573">
      <c r="F15573">
        <f>IF(DATOS!$A15573="","",DATOS!$A15573&amp;"|"&amp;DATOS!$D15573&amp;"|"&amp;DATOS!$E15573&amp;"|"&amp;DATOS!$I15573)</f>
      </c>
      <c r="G15573">
        <f>IF(DATOS!$A15573="",0,IF(CONFIG_METADATA!$B$4&lt;&gt;"OR+EX",--(DATOS!$G15573=CONFIG_METADATA!$B$4),IF(DATOS!$G15573="EX",1,IF(DATOS!$G15573="OR",--(COUNTIFS(nNIA,DATOS!$A15573,nCURSO,DATOS!$D15573,nESPEC,DATOS!$E15573,nASIG,DATOS!$I15573,nEVAL,"EX")=0),0))))</f>
      </c>
      <c r="H15573">
        <f>IF(DATOS!$G15573&lt;&gt;"EX",0,--(COUNTIFS(nNIA,DATOS!$A15573,nCURSO,DATOS!$D15573,nESPEC,DATOS!$E15573,nASIG,DATOS!$I15573,nEVAL,"OR")=0))</f>
      </c>
      <c r="I15573">
        <f>IF(DATOS!$I15573="","",IFERROR(VLOOKUP(DATOS!$I15573,CONFIG_ASIGNATURAS!$B$2:$J$91,9,FALSE()),""))</f>
      </c>
    </row>
    <row r="15574">
      <c r="F15574">
        <f>IF(DATOS!$A15574="","",DATOS!$A15574&amp;"|"&amp;DATOS!$D15574&amp;"|"&amp;DATOS!$E15574&amp;"|"&amp;DATOS!$I15574)</f>
      </c>
      <c r="G15574">
        <f>IF(DATOS!$A15574="",0,IF(CONFIG_METADATA!$B$4&lt;&gt;"OR+EX",--(DATOS!$G15574=CONFIG_METADATA!$B$4),IF(DATOS!$G15574="EX",1,IF(DATOS!$G15574="OR",--(COUNTIFS(nNIA,DATOS!$A15574,nCURSO,DATOS!$D15574,nESPEC,DATOS!$E15574,nASIG,DATOS!$I15574,nEVAL,"EX")=0),0))))</f>
      </c>
      <c r="H15574">
        <f>IF(DATOS!$G15574&lt;&gt;"EX",0,--(COUNTIFS(nNIA,DATOS!$A15574,nCURSO,DATOS!$D15574,nESPEC,DATOS!$E15574,nASIG,DATOS!$I15574,nEVAL,"OR")=0))</f>
      </c>
      <c r="I15574">
        <f>IF(DATOS!$I15574="","",IFERROR(VLOOKUP(DATOS!$I15574,CONFIG_ASIGNATURAS!$B$2:$J$91,9,FALSE()),""))</f>
      </c>
    </row>
    <row r="15575">
      <c r="F15575">
        <f>IF(DATOS!$A15575="","",DATOS!$A15575&amp;"|"&amp;DATOS!$D15575&amp;"|"&amp;DATOS!$E15575&amp;"|"&amp;DATOS!$I15575)</f>
      </c>
      <c r="G15575">
        <f>IF(DATOS!$A15575="",0,IF(CONFIG_METADATA!$B$4&lt;&gt;"OR+EX",--(DATOS!$G15575=CONFIG_METADATA!$B$4),IF(DATOS!$G15575="EX",1,IF(DATOS!$G15575="OR",--(COUNTIFS(nNIA,DATOS!$A15575,nCURSO,DATOS!$D15575,nESPEC,DATOS!$E15575,nASIG,DATOS!$I15575,nEVAL,"EX")=0),0))))</f>
      </c>
      <c r="H15575">
        <f>IF(DATOS!$G15575&lt;&gt;"EX",0,--(COUNTIFS(nNIA,DATOS!$A15575,nCURSO,DATOS!$D15575,nESPEC,DATOS!$E15575,nASIG,DATOS!$I15575,nEVAL,"OR")=0))</f>
      </c>
      <c r="I15575">
        <f>IF(DATOS!$I15575="","",IFERROR(VLOOKUP(DATOS!$I15575,CONFIG_ASIGNATURAS!$B$2:$J$91,9,FALSE()),""))</f>
      </c>
    </row>
    <row r="15576">
      <c r="F15576">
        <f>IF(DATOS!$A15576="","",DATOS!$A15576&amp;"|"&amp;DATOS!$D15576&amp;"|"&amp;DATOS!$E15576&amp;"|"&amp;DATOS!$I15576)</f>
      </c>
      <c r="G15576">
        <f>IF(DATOS!$A15576="",0,IF(CONFIG_METADATA!$B$4&lt;&gt;"OR+EX",--(DATOS!$G15576=CONFIG_METADATA!$B$4),IF(DATOS!$G15576="EX",1,IF(DATOS!$G15576="OR",--(COUNTIFS(nNIA,DATOS!$A15576,nCURSO,DATOS!$D15576,nESPEC,DATOS!$E15576,nASIG,DATOS!$I15576,nEVAL,"EX")=0),0))))</f>
      </c>
      <c r="H15576">
        <f>IF(DATOS!$G15576&lt;&gt;"EX",0,--(COUNTIFS(nNIA,DATOS!$A15576,nCURSO,DATOS!$D15576,nESPEC,DATOS!$E15576,nASIG,DATOS!$I15576,nEVAL,"OR")=0))</f>
      </c>
      <c r="I15576">
        <f>IF(DATOS!$I15576="","",IFERROR(VLOOKUP(DATOS!$I15576,CONFIG_ASIGNATURAS!$B$2:$J$91,9,FALSE()),""))</f>
      </c>
    </row>
    <row r="15577">
      <c r="F15577">
        <f>IF(DATOS!$A15577="","",DATOS!$A15577&amp;"|"&amp;DATOS!$D15577&amp;"|"&amp;DATOS!$E15577&amp;"|"&amp;DATOS!$I15577)</f>
      </c>
      <c r="G15577">
        <f>IF(DATOS!$A15577="",0,IF(CONFIG_METADATA!$B$4&lt;&gt;"OR+EX",--(DATOS!$G15577=CONFIG_METADATA!$B$4),IF(DATOS!$G15577="EX",1,IF(DATOS!$G15577="OR",--(COUNTIFS(nNIA,DATOS!$A15577,nCURSO,DATOS!$D15577,nESPEC,DATOS!$E15577,nASIG,DATOS!$I15577,nEVAL,"EX")=0),0))))</f>
      </c>
      <c r="H15577">
        <f>IF(DATOS!$G15577&lt;&gt;"EX",0,--(COUNTIFS(nNIA,DATOS!$A15577,nCURSO,DATOS!$D15577,nESPEC,DATOS!$E15577,nASIG,DATOS!$I15577,nEVAL,"OR")=0))</f>
      </c>
      <c r="I15577">
        <f>IF(DATOS!$I15577="","",IFERROR(VLOOKUP(DATOS!$I15577,CONFIG_ASIGNATURAS!$B$2:$J$91,9,FALSE()),""))</f>
      </c>
    </row>
    <row r="15578">
      <c r="F15578">
        <f>IF(DATOS!$A15578="","",DATOS!$A15578&amp;"|"&amp;DATOS!$D15578&amp;"|"&amp;DATOS!$E15578&amp;"|"&amp;DATOS!$I15578)</f>
      </c>
      <c r="G15578">
        <f>IF(DATOS!$A15578="",0,IF(CONFIG_METADATA!$B$4&lt;&gt;"OR+EX",--(DATOS!$G15578=CONFIG_METADATA!$B$4),IF(DATOS!$G15578="EX",1,IF(DATOS!$G15578="OR",--(COUNTIFS(nNIA,DATOS!$A15578,nCURSO,DATOS!$D15578,nESPEC,DATOS!$E15578,nASIG,DATOS!$I15578,nEVAL,"EX")=0),0))))</f>
      </c>
      <c r="H15578">
        <f>IF(DATOS!$G15578&lt;&gt;"EX",0,--(COUNTIFS(nNIA,DATOS!$A15578,nCURSO,DATOS!$D15578,nESPEC,DATOS!$E15578,nASIG,DATOS!$I15578,nEVAL,"OR")=0))</f>
      </c>
      <c r="I15578">
        <f>IF(DATOS!$I15578="","",IFERROR(VLOOKUP(DATOS!$I15578,CONFIG_ASIGNATURAS!$B$2:$J$91,9,FALSE()),""))</f>
      </c>
    </row>
    <row r="15579">
      <c r="F15579">
        <f>IF(DATOS!$A15579="","",DATOS!$A15579&amp;"|"&amp;DATOS!$D15579&amp;"|"&amp;DATOS!$E15579&amp;"|"&amp;DATOS!$I15579)</f>
      </c>
      <c r="G15579">
        <f>IF(DATOS!$A15579="",0,IF(CONFIG_METADATA!$B$4&lt;&gt;"OR+EX",--(DATOS!$G15579=CONFIG_METADATA!$B$4),IF(DATOS!$G15579="EX",1,IF(DATOS!$G15579="OR",--(COUNTIFS(nNIA,DATOS!$A15579,nCURSO,DATOS!$D15579,nESPEC,DATOS!$E15579,nASIG,DATOS!$I15579,nEVAL,"EX")=0),0))))</f>
      </c>
      <c r="H15579">
        <f>IF(DATOS!$G15579&lt;&gt;"EX",0,--(COUNTIFS(nNIA,DATOS!$A15579,nCURSO,DATOS!$D15579,nESPEC,DATOS!$E15579,nASIG,DATOS!$I15579,nEVAL,"OR")=0))</f>
      </c>
      <c r="I15579">
        <f>IF(DATOS!$I15579="","",IFERROR(VLOOKUP(DATOS!$I15579,CONFIG_ASIGNATURAS!$B$2:$J$91,9,FALSE()),""))</f>
      </c>
    </row>
    <row r="15580">
      <c r="F15580">
        <f>IF(DATOS!$A15580="","",DATOS!$A15580&amp;"|"&amp;DATOS!$D15580&amp;"|"&amp;DATOS!$E15580&amp;"|"&amp;DATOS!$I15580)</f>
      </c>
      <c r="G15580">
        <f>IF(DATOS!$A15580="",0,IF(CONFIG_METADATA!$B$4&lt;&gt;"OR+EX",--(DATOS!$G15580=CONFIG_METADATA!$B$4),IF(DATOS!$G15580="EX",1,IF(DATOS!$G15580="OR",--(COUNTIFS(nNIA,DATOS!$A15580,nCURSO,DATOS!$D15580,nESPEC,DATOS!$E15580,nASIG,DATOS!$I15580,nEVAL,"EX")=0),0))))</f>
      </c>
      <c r="H15580">
        <f>IF(DATOS!$G15580&lt;&gt;"EX",0,--(COUNTIFS(nNIA,DATOS!$A15580,nCURSO,DATOS!$D15580,nESPEC,DATOS!$E15580,nASIG,DATOS!$I15580,nEVAL,"OR")=0))</f>
      </c>
      <c r="I15580">
        <f>IF(DATOS!$I15580="","",IFERROR(VLOOKUP(DATOS!$I15580,CONFIG_ASIGNATURAS!$B$2:$J$91,9,FALSE()),""))</f>
      </c>
    </row>
    <row r="15581">
      <c r="F15581">
        <f>IF(DATOS!$A15581="","",DATOS!$A15581&amp;"|"&amp;DATOS!$D15581&amp;"|"&amp;DATOS!$E15581&amp;"|"&amp;DATOS!$I15581)</f>
      </c>
      <c r="G15581">
        <f>IF(DATOS!$A15581="",0,IF(CONFIG_METADATA!$B$4&lt;&gt;"OR+EX",--(DATOS!$G15581=CONFIG_METADATA!$B$4),IF(DATOS!$G15581="EX",1,IF(DATOS!$G15581="OR",--(COUNTIFS(nNIA,DATOS!$A15581,nCURSO,DATOS!$D15581,nESPEC,DATOS!$E15581,nASIG,DATOS!$I15581,nEVAL,"EX")=0),0))))</f>
      </c>
      <c r="H15581">
        <f>IF(DATOS!$G15581&lt;&gt;"EX",0,--(COUNTIFS(nNIA,DATOS!$A15581,nCURSO,DATOS!$D15581,nESPEC,DATOS!$E15581,nASIG,DATOS!$I15581,nEVAL,"OR")=0))</f>
      </c>
      <c r="I15581">
        <f>IF(DATOS!$I15581="","",IFERROR(VLOOKUP(DATOS!$I15581,CONFIG_ASIGNATURAS!$B$2:$J$91,9,FALSE()),""))</f>
      </c>
    </row>
    <row r="15582">
      <c r="F15582">
        <f>IF(DATOS!$A15582="","",DATOS!$A15582&amp;"|"&amp;DATOS!$D15582&amp;"|"&amp;DATOS!$E15582&amp;"|"&amp;DATOS!$I15582)</f>
      </c>
      <c r="G15582">
        <f>IF(DATOS!$A15582="",0,IF(CONFIG_METADATA!$B$4&lt;&gt;"OR+EX",--(DATOS!$G15582=CONFIG_METADATA!$B$4),IF(DATOS!$G15582="EX",1,IF(DATOS!$G15582="OR",--(COUNTIFS(nNIA,DATOS!$A15582,nCURSO,DATOS!$D15582,nESPEC,DATOS!$E15582,nASIG,DATOS!$I15582,nEVAL,"EX")=0),0))))</f>
      </c>
      <c r="H15582">
        <f>IF(DATOS!$G15582&lt;&gt;"EX",0,--(COUNTIFS(nNIA,DATOS!$A15582,nCURSO,DATOS!$D15582,nESPEC,DATOS!$E15582,nASIG,DATOS!$I15582,nEVAL,"OR")=0))</f>
      </c>
      <c r="I15582">
        <f>IF(DATOS!$I15582="","",IFERROR(VLOOKUP(DATOS!$I15582,CONFIG_ASIGNATURAS!$B$2:$J$91,9,FALSE()),""))</f>
      </c>
    </row>
    <row r="15583">
      <c r="F15583">
        <f>IF(DATOS!$A15583="","",DATOS!$A15583&amp;"|"&amp;DATOS!$D15583&amp;"|"&amp;DATOS!$E15583&amp;"|"&amp;DATOS!$I15583)</f>
      </c>
      <c r="G15583">
        <f>IF(DATOS!$A15583="",0,IF(CONFIG_METADATA!$B$4&lt;&gt;"OR+EX",--(DATOS!$G15583=CONFIG_METADATA!$B$4),IF(DATOS!$G15583="EX",1,IF(DATOS!$G15583="OR",--(COUNTIFS(nNIA,DATOS!$A15583,nCURSO,DATOS!$D15583,nESPEC,DATOS!$E15583,nASIG,DATOS!$I15583,nEVAL,"EX")=0),0))))</f>
      </c>
      <c r="H15583">
        <f>IF(DATOS!$G15583&lt;&gt;"EX",0,--(COUNTIFS(nNIA,DATOS!$A15583,nCURSO,DATOS!$D15583,nESPEC,DATOS!$E15583,nASIG,DATOS!$I15583,nEVAL,"OR")=0))</f>
      </c>
      <c r="I15583">
        <f>IF(DATOS!$I15583="","",IFERROR(VLOOKUP(DATOS!$I15583,CONFIG_ASIGNATURAS!$B$2:$J$91,9,FALSE()),""))</f>
      </c>
    </row>
    <row r="15584">
      <c r="F15584">
        <f>IF(DATOS!$A15584="","",DATOS!$A15584&amp;"|"&amp;DATOS!$D15584&amp;"|"&amp;DATOS!$E15584&amp;"|"&amp;DATOS!$I15584)</f>
      </c>
      <c r="G15584">
        <f>IF(DATOS!$A15584="",0,IF(CONFIG_METADATA!$B$4&lt;&gt;"OR+EX",--(DATOS!$G15584=CONFIG_METADATA!$B$4),IF(DATOS!$G15584="EX",1,IF(DATOS!$G15584="OR",--(COUNTIFS(nNIA,DATOS!$A15584,nCURSO,DATOS!$D15584,nESPEC,DATOS!$E15584,nASIG,DATOS!$I15584,nEVAL,"EX")=0),0))))</f>
      </c>
      <c r="H15584">
        <f>IF(DATOS!$G15584&lt;&gt;"EX",0,--(COUNTIFS(nNIA,DATOS!$A15584,nCURSO,DATOS!$D15584,nESPEC,DATOS!$E15584,nASIG,DATOS!$I15584,nEVAL,"OR")=0))</f>
      </c>
      <c r="I15584">
        <f>IF(DATOS!$I15584="","",IFERROR(VLOOKUP(DATOS!$I15584,CONFIG_ASIGNATURAS!$B$2:$J$91,9,FALSE()),""))</f>
      </c>
    </row>
    <row r="15585">
      <c r="F15585">
        <f>IF(DATOS!$A15585="","",DATOS!$A15585&amp;"|"&amp;DATOS!$D15585&amp;"|"&amp;DATOS!$E15585&amp;"|"&amp;DATOS!$I15585)</f>
      </c>
      <c r="G15585">
        <f>IF(DATOS!$A15585="",0,IF(CONFIG_METADATA!$B$4&lt;&gt;"OR+EX",--(DATOS!$G15585=CONFIG_METADATA!$B$4),IF(DATOS!$G15585="EX",1,IF(DATOS!$G15585="OR",--(COUNTIFS(nNIA,DATOS!$A15585,nCURSO,DATOS!$D15585,nESPEC,DATOS!$E15585,nASIG,DATOS!$I15585,nEVAL,"EX")=0),0))))</f>
      </c>
      <c r="H15585">
        <f>IF(DATOS!$G15585&lt;&gt;"EX",0,--(COUNTIFS(nNIA,DATOS!$A15585,nCURSO,DATOS!$D15585,nESPEC,DATOS!$E15585,nASIG,DATOS!$I15585,nEVAL,"OR")=0))</f>
      </c>
      <c r="I15585">
        <f>IF(DATOS!$I15585="","",IFERROR(VLOOKUP(DATOS!$I15585,CONFIG_ASIGNATURAS!$B$2:$J$91,9,FALSE()),""))</f>
      </c>
    </row>
    <row r="15586">
      <c r="F15586">
        <f>IF(DATOS!$A15586="","",DATOS!$A15586&amp;"|"&amp;DATOS!$D15586&amp;"|"&amp;DATOS!$E15586&amp;"|"&amp;DATOS!$I15586)</f>
      </c>
      <c r="G15586">
        <f>IF(DATOS!$A15586="",0,IF(CONFIG_METADATA!$B$4&lt;&gt;"OR+EX",--(DATOS!$G15586=CONFIG_METADATA!$B$4),IF(DATOS!$G15586="EX",1,IF(DATOS!$G15586="OR",--(COUNTIFS(nNIA,DATOS!$A15586,nCURSO,DATOS!$D15586,nESPEC,DATOS!$E15586,nASIG,DATOS!$I15586,nEVAL,"EX")=0),0))))</f>
      </c>
      <c r="H15586">
        <f>IF(DATOS!$G15586&lt;&gt;"EX",0,--(COUNTIFS(nNIA,DATOS!$A15586,nCURSO,DATOS!$D15586,nESPEC,DATOS!$E15586,nASIG,DATOS!$I15586,nEVAL,"OR")=0))</f>
      </c>
      <c r="I15586">
        <f>IF(DATOS!$I15586="","",IFERROR(VLOOKUP(DATOS!$I15586,CONFIG_ASIGNATURAS!$B$2:$J$91,9,FALSE()),""))</f>
      </c>
    </row>
    <row r="15587">
      <c r="F15587">
        <f>IF(DATOS!$A15587="","",DATOS!$A15587&amp;"|"&amp;DATOS!$D15587&amp;"|"&amp;DATOS!$E15587&amp;"|"&amp;DATOS!$I15587)</f>
      </c>
      <c r="G15587">
        <f>IF(DATOS!$A15587="",0,IF(CONFIG_METADATA!$B$4&lt;&gt;"OR+EX",--(DATOS!$G15587=CONFIG_METADATA!$B$4),IF(DATOS!$G15587="EX",1,IF(DATOS!$G15587="OR",--(COUNTIFS(nNIA,DATOS!$A15587,nCURSO,DATOS!$D15587,nESPEC,DATOS!$E15587,nASIG,DATOS!$I15587,nEVAL,"EX")=0),0))))</f>
      </c>
      <c r="H15587">
        <f>IF(DATOS!$G15587&lt;&gt;"EX",0,--(COUNTIFS(nNIA,DATOS!$A15587,nCURSO,DATOS!$D15587,nESPEC,DATOS!$E15587,nASIG,DATOS!$I15587,nEVAL,"OR")=0))</f>
      </c>
      <c r="I15587">
        <f>IF(DATOS!$I15587="","",IFERROR(VLOOKUP(DATOS!$I15587,CONFIG_ASIGNATURAS!$B$2:$J$91,9,FALSE()),""))</f>
      </c>
    </row>
    <row r="15588">
      <c r="F15588">
        <f>IF(DATOS!$A15588="","",DATOS!$A15588&amp;"|"&amp;DATOS!$D15588&amp;"|"&amp;DATOS!$E15588&amp;"|"&amp;DATOS!$I15588)</f>
      </c>
      <c r="G15588">
        <f>IF(DATOS!$A15588="",0,IF(CONFIG_METADATA!$B$4&lt;&gt;"OR+EX",--(DATOS!$G15588=CONFIG_METADATA!$B$4),IF(DATOS!$G15588="EX",1,IF(DATOS!$G15588="OR",--(COUNTIFS(nNIA,DATOS!$A15588,nCURSO,DATOS!$D15588,nESPEC,DATOS!$E15588,nASIG,DATOS!$I15588,nEVAL,"EX")=0),0))))</f>
      </c>
      <c r="H15588">
        <f>IF(DATOS!$G15588&lt;&gt;"EX",0,--(COUNTIFS(nNIA,DATOS!$A15588,nCURSO,DATOS!$D15588,nESPEC,DATOS!$E15588,nASIG,DATOS!$I15588,nEVAL,"OR")=0))</f>
      </c>
      <c r="I15588">
        <f>IF(DATOS!$I15588="","",IFERROR(VLOOKUP(DATOS!$I15588,CONFIG_ASIGNATURAS!$B$2:$J$91,9,FALSE()),""))</f>
      </c>
    </row>
    <row r="15589">
      <c r="F15589">
        <f>IF(DATOS!$A15589="","",DATOS!$A15589&amp;"|"&amp;DATOS!$D15589&amp;"|"&amp;DATOS!$E15589&amp;"|"&amp;DATOS!$I15589)</f>
      </c>
      <c r="G15589">
        <f>IF(DATOS!$A15589="",0,IF(CONFIG_METADATA!$B$4&lt;&gt;"OR+EX",--(DATOS!$G15589=CONFIG_METADATA!$B$4),IF(DATOS!$G15589="EX",1,IF(DATOS!$G15589="OR",--(COUNTIFS(nNIA,DATOS!$A15589,nCURSO,DATOS!$D15589,nESPEC,DATOS!$E15589,nASIG,DATOS!$I15589,nEVAL,"EX")=0),0))))</f>
      </c>
      <c r="H15589">
        <f>IF(DATOS!$G15589&lt;&gt;"EX",0,--(COUNTIFS(nNIA,DATOS!$A15589,nCURSO,DATOS!$D15589,nESPEC,DATOS!$E15589,nASIG,DATOS!$I15589,nEVAL,"OR")=0))</f>
      </c>
      <c r="I15589">
        <f>IF(DATOS!$I15589="","",IFERROR(VLOOKUP(DATOS!$I15589,CONFIG_ASIGNATURAS!$B$2:$J$91,9,FALSE()),""))</f>
      </c>
    </row>
    <row r="15590">
      <c r="F15590">
        <f>IF(DATOS!$A15590="","",DATOS!$A15590&amp;"|"&amp;DATOS!$D15590&amp;"|"&amp;DATOS!$E15590&amp;"|"&amp;DATOS!$I15590)</f>
      </c>
      <c r="G15590">
        <f>IF(DATOS!$A15590="",0,IF(CONFIG_METADATA!$B$4&lt;&gt;"OR+EX",--(DATOS!$G15590=CONFIG_METADATA!$B$4),IF(DATOS!$G15590="EX",1,IF(DATOS!$G15590="OR",--(COUNTIFS(nNIA,DATOS!$A15590,nCURSO,DATOS!$D15590,nESPEC,DATOS!$E15590,nASIG,DATOS!$I15590,nEVAL,"EX")=0),0))))</f>
      </c>
      <c r="H15590">
        <f>IF(DATOS!$G15590&lt;&gt;"EX",0,--(COUNTIFS(nNIA,DATOS!$A15590,nCURSO,DATOS!$D15590,nESPEC,DATOS!$E15590,nASIG,DATOS!$I15590,nEVAL,"OR")=0))</f>
      </c>
      <c r="I15590">
        <f>IF(DATOS!$I15590="","",IFERROR(VLOOKUP(DATOS!$I15590,CONFIG_ASIGNATURAS!$B$2:$J$91,9,FALSE()),""))</f>
      </c>
    </row>
    <row r="15591">
      <c r="F15591">
        <f>IF(DATOS!$A15591="","",DATOS!$A15591&amp;"|"&amp;DATOS!$D15591&amp;"|"&amp;DATOS!$E15591&amp;"|"&amp;DATOS!$I15591)</f>
      </c>
      <c r="G15591">
        <f>IF(DATOS!$A15591="",0,IF(CONFIG_METADATA!$B$4&lt;&gt;"OR+EX",--(DATOS!$G15591=CONFIG_METADATA!$B$4),IF(DATOS!$G15591="EX",1,IF(DATOS!$G15591="OR",--(COUNTIFS(nNIA,DATOS!$A15591,nCURSO,DATOS!$D15591,nESPEC,DATOS!$E15591,nASIG,DATOS!$I15591,nEVAL,"EX")=0),0))))</f>
      </c>
      <c r="H15591">
        <f>IF(DATOS!$G15591&lt;&gt;"EX",0,--(COUNTIFS(nNIA,DATOS!$A15591,nCURSO,DATOS!$D15591,nESPEC,DATOS!$E15591,nASIG,DATOS!$I15591,nEVAL,"OR")=0))</f>
      </c>
      <c r="I15591">
        <f>IF(DATOS!$I15591="","",IFERROR(VLOOKUP(DATOS!$I15591,CONFIG_ASIGNATURAS!$B$2:$J$91,9,FALSE()),""))</f>
      </c>
    </row>
    <row r="15592">
      <c r="F15592">
        <f>IF(DATOS!$A15592="","",DATOS!$A15592&amp;"|"&amp;DATOS!$D15592&amp;"|"&amp;DATOS!$E15592&amp;"|"&amp;DATOS!$I15592)</f>
      </c>
      <c r="G15592">
        <f>IF(DATOS!$A15592="",0,IF(CONFIG_METADATA!$B$4&lt;&gt;"OR+EX",--(DATOS!$G15592=CONFIG_METADATA!$B$4),IF(DATOS!$G15592="EX",1,IF(DATOS!$G15592="OR",--(COUNTIFS(nNIA,DATOS!$A15592,nCURSO,DATOS!$D15592,nESPEC,DATOS!$E15592,nASIG,DATOS!$I15592,nEVAL,"EX")=0),0))))</f>
      </c>
      <c r="H15592">
        <f>IF(DATOS!$G15592&lt;&gt;"EX",0,--(COUNTIFS(nNIA,DATOS!$A15592,nCURSO,DATOS!$D15592,nESPEC,DATOS!$E15592,nASIG,DATOS!$I15592,nEVAL,"OR")=0))</f>
      </c>
      <c r="I15592">
        <f>IF(DATOS!$I15592="","",IFERROR(VLOOKUP(DATOS!$I15592,CONFIG_ASIGNATURAS!$B$2:$J$91,9,FALSE()),""))</f>
      </c>
    </row>
    <row r="15593">
      <c r="F15593">
        <f>IF(DATOS!$A15593="","",DATOS!$A15593&amp;"|"&amp;DATOS!$D15593&amp;"|"&amp;DATOS!$E15593&amp;"|"&amp;DATOS!$I15593)</f>
      </c>
      <c r="G15593">
        <f>IF(DATOS!$A15593="",0,IF(CONFIG_METADATA!$B$4&lt;&gt;"OR+EX",--(DATOS!$G15593=CONFIG_METADATA!$B$4),IF(DATOS!$G15593="EX",1,IF(DATOS!$G15593="OR",--(COUNTIFS(nNIA,DATOS!$A15593,nCURSO,DATOS!$D15593,nESPEC,DATOS!$E15593,nASIG,DATOS!$I15593,nEVAL,"EX")=0),0))))</f>
      </c>
      <c r="H15593">
        <f>IF(DATOS!$G15593&lt;&gt;"EX",0,--(COUNTIFS(nNIA,DATOS!$A15593,nCURSO,DATOS!$D15593,nESPEC,DATOS!$E15593,nASIG,DATOS!$I15593,nEVAL,"OR")=0))</f>
      </c>
      <c r="I15593">
        <f>IF(DATOS!$I15593="","",IFERROR(VLOOKUP(DATOS!$I15593,CONFIG_ASIGNATURAS!$B$2:$J$91,9,FALSE()),""))</f>
      </c>
    </row>
    <row r="15594">
      <c r="F15594">
        <f>IF(DATOS!$A15594="","",DATOS!$A15594&amp;"|"&amp;DATOS!$D15594&amp;"|"&amp;DATOS!$E15594&amp;"|"&amp;DATOS!$I15594)</f>
      </c>
      <c r="G15594">
        <f>IF(DATOS!$A15594="",0,IF(CONFIG_METADATA!$B$4&lt;&gt;"OR+EX",--(DATOS!$G15594=CONFIG_METADATA!$B$4),IF(DATOS!$G15594="EX",1,IF(DATOS!$G15594="OR",--(COUNTIFS(nNIA,DATOS!$A15594,nCURSO,DATOS!$D15594,nESPEC,DATOS!$E15594,nASIG,DATOS!$I15594,nEVAL,"EX")=0),0))))</f>
      </c>
      <c r="H15594">
        <f>IF(DATOS!$G15594&lt;&gt;"EX",0,--(COUNTIFS(nNIA,DATOS!$A15594,nCURSO,DATOS!$D15594,nESPEC,DATOS!$E15594,nASIG,DATOS!$I15594,nEVAL,"OR")=0))</f>
      </c>
      <c r="I15594">
        <f>IF(DATOS!$I15594="","",IFERROR(VLOOKUP(DATOS!$I15594,CONFIG_ASIGNATURAS!$B$2:$J$91,9,FALSE()),""))</f>
      </c>
    </row>
    <row r="15595">
      <c r="F15595">
        <f>IF(DATOS!$A15595="","",DATOS!$A15595&amp;"|"&amp;DATOS!$D15595&amp;"|"&amp;DATOS!$E15595&amp;"|"&amp;DATOS!$I15595)</f>
      </c>
      <c r="G15595">
        <f>IF(DATOS!$A15595="",0,IF(CONFIG_METADATA!$B$4&lt;&gt;"OR+EX",--(DATOS!$G15595=CONFIG_METADATA!$B$4),IF(DATOS!$G15595="EX",1,IF(DATOS!$G15595="OR",--(COUNTIFS(nNIA,DATOS!$A15595,nCURSO,DATOS!$D15595,nESPEC,DATOS!$E15595,nASIG,DATOS!$I15595,nEVAL,"EX")=0),0))))</f>
      </c>
      <c r="H15595">
        <f>IF(DATOS!$G15595&lt;&gt;"EX",0,--(COUNTIFS(nNIA,DATOS!$A15595,nCURSO,DATOS!$D15595,nESPEC,DATOS!$E15595,nASIG,DATOS!$I15595,nEVAL,"OR")=0))</f>
      </c>
      <c r="I15595">
        <f>IF(DATOS!$I15595="","",IFERROR(VLOOKUP(DATOS!$I15595,CONFIG_ASIGNATURAS!$B$2:$J$91,9,FALSE()),""))</f>
      </c>
    </row>
    <row r="15596">
      <c r="F15596">
        <f>IF(DATOS!$A15596="","",DATOS!$A15596&amp;"|"&amp;DATOS!$D15596&amp;"|"&amp;DATOS!$E15596&amp;"|"&amp;DATOS!$I15596)</f>
      </c>
      <c r="G15596">
        <f>IF(DATOS!$A15596="",0,IF(CONFIG_METADATA!$B$4&lt;&gt;"OR+EX",--(DATOS!$G15596=CONFIG_METADATA!$B$4),IF(DATOS!$G15596="EX",1,IF(DATOS!$G15596="OR",--(COUNTIFS(nNIA,DATOS!$A15596,nCURSO,DATOS!$D15596,nESPEC,DATOS!$E15596,nASIG,DATOS!$I15596,nEVAL,"EX")=0),0))))</f>
      </c>
      <c r="H15596">
        <f>IF(DATOS!$G15596&lt;&gt;"EX",0,--(COUNTIFS(nNIA,DATOS!$A15596,nCURSO,DATOS!$D15596,nESPEC,DATOS!$E15596,nASIG,DATOS!$I15596,nEVAL,"OR")=0))</f>
      </c>
      <c r="I15596">
        <f>IF(DATOS!$I15596="","",IFERROR(VLOOKUP(DATOS!$I15596,CONFIG_ASIGNATURAS!$B$2:$J$91,9,FALSE()),""))</f>
      </c>
    </row>
    <row r="15597">
      <c r="F15597">
        <f>IF(DATOS!$A15597="","",DATOS!$A15597&amp;"|"&amp;DATOS!$D15597&amp;"|"&amp;DATOS!$E15597&amp;"|"&amp;DATOS!$I15597)</f>
      </c>
      <c r="G15597">
        <f>IF(DATOS!$A15597="",0,IF(CONFIG_METADATA!$B$4&lt;&gt;"OR+EX",--(DATOS!$G15597=CONFIG_METADATA!$B$4),IF(DATOS!$G15597="EX",1,IF(DATOS!$G15597="OR",--(COUNTIFS(nNIA,DATOS!$A15597,nCURSO,DATOS!$D15597,nESPEC,DATOS!$E15597,nASIG,DATOS!$I15597,nEVAL,"EX")=0),0))))</f>
      </c>
      <c r="H15597">
        <f>IF(DATOS!$G15597&lt;&gt;"EX",0,--(COUNTIFS(nNIA,DATOS!$A15597,nCURSO,DATOS!$D15597,nESPEC,DATOS!$E15597,nASIG,DATOS!$I15597,nEVAL,"OR")=0))</f>
      </c>
      <c r="I15597">
        <f>IF(DATOS!$I15597="","",IFERROR(VLOOKUP(DATOS!$I15597,CONFIG_ASIGNATURAS!$B$2:$J$91,9,FALSE()),""))</f>
      </c>
    </row>
    <row r="15598">
      <c r="F15598">
        <f>IF(DATOS!$A15598="","",DATOS!$A15598&amp;"|"&amp;DATOS!$D15598&amp;"|"&amp;DATOS!$E15598&amp;"|"&amp;DATOS!$I15598)</f>
      </c>
      <c r="G15598">
        <f>IF(DATOS!$A15598="",0,IF(CONFIG_METADATA!$B$4&lt;&gt;"OR+EX",--(DATOS!$G15598=CONFIG_METADATA!$B$4),IF(DATOS!$G15598="EX",1,IF(DATOS!$G15598="OR",--(COUNTIFS(nNIA,DATOS!$A15598,nCURSO,DATOS!$D15598,nESPEC,DATOS!$E15598,nASIG,DATOS!$I15598,nEVAL,"EX")=0),0))))</f>
      </c>
      <c r="H15598">
        <f>IF(DATOS!$G15598&lt;&gt;"EX",0,--(COUNTIFS(nNIA,DATOS!$A15598,nCURSO,DATOS!$D15598,nESPEC,DATOS!$E15598,nASIG,DATOS!$I15598,nEVAL,"OR")=0))</f>
      </c>
      <c r="I15598">
        <f>IF(DATOS!$I15598="","",IFERROR(VLOOKUP(DATOS!$I15598,CONFIG_ASIGNATURAS!$B$2:$J$91,9,FALSE()),""))</f>
      </c>
    </row>
    <row r="15599">
      <c r="F15599">
        <f>IF(DATOS!$A15599="","",DATOS!$A15599&amp;"|"&amp;DATOS!$D15599&amp;"|"&amp;DATOS!$E15599&amp;"|"&amp;DATOS!$I15599)</f>
      </c>
      <c r="G15599">
        <f>IF(DATOS!$A15599="",0,IF(CONFIG_METADATA!$B$4&lt;&gt;"OR+EX",--(DATOS!$G15599=CONFIG_METADATA!$B$4),IF(DATOS!$G15599="EX",1,IF(DATOS!$G15599="OR",--(COUNTIFS(nNIA,DATOS!$A15599,nCURSO,DATOS!$D15599,nESPEC,DATOS!$E15599,nASIG,DATOS!$I15599,nEVAL,"EX")=0),0))))</f>
      </c>
      <c r="H15599">
        <f>IF(DATOS!$G15599&lt;&gt;"EX",0,--(COUNTIFS(nNIA,DATOS!$A15599,nCURSO,DATOS!$D15599,nESPEC,DATOS!$E15599,nASIG,DATOS!$I15599,nEVAL,"OR")=0))</f>
      </c>
      <c r="I15599">
        <f>IF(DATOS!$I15599="","",IFERROR(VLOOKUP(DATOS!$I15599,CONFIG_ASIGNATURAS!$B$2:$J$91,9,FALSE()),""))</f>
      </c>
    </row>
    <row r="15600">
      <c r="F15600">
        <f>IF(DATOS!$A15600="","",DATOS!$A15600&amp;"|"&amp;DATOS!$D15600&amp;"|"&amp;DATOS!$E15600&amp;"|"&amp;DATOS!$I15600)</f>
      </c>
      <c r="G15600">
        <f>IF(DATOS!$A15600="",0,IF(CONFIG_METADATA!$B$4&lt;&gt;"OR+EX",--(DATOS!$G15600=CONFIG_METADATA!$B$4),IF(DATOS!$G15600="EX",1,IF(DATOS!$G15600="OR",--(COUNTIFS(nNIA,DATOS!$A15600,nCURSO,DATOS!$D15600,nESPEC,DATOS!$E15600,nASIG,DATOS!$I15600,nEVAL,"EX")=0),0))))</f>
      </c>
      <c r="H15600">
        <f>IF(DATOS!$G15600&lt;&gt;"EX",0,--(COUNTIFS(nNIA,DATOS!$A15600,nCURSO,DATOS!$D15600,nESPEC,DATOS!$E15600,nASIG,DATOS!$I15600,nEVAL,"OR")=0))</f>
      </c>
      <c r="I15600">
        <f>IF(DATOS!$I15600="","",IFERROR(VLOOKUP(DATOS!$I15600,CONFIG_ASIGNATURAS!$B$2:$J$91,9,FALSE()),""))</f>
      </c>
    </row>
    <row r="15601">
      <c r="F15601">
        <f>IF(DATOS!$A15601="","",DATOS!$A15601&amp;"|"&amp;DATOS!$D15601&amp;"|"&amp;DATOS!$E15601&amp;"|"&amp;DATOS!$I15601)</f>
      </c>
      <c r="G15601">
        <f>IF(DATOS!$A15601="",0,IF(CONFIG_METADATA!$B$4&lt;&gt;"OR+EX",--(DATOS!$G15601=CONFIG_METADATA!$B$4),IF(DATOS!$G15601="EX",1,IF(DATOS!$G15601="OR",--(COUNTIFS(nNIA,DATOS!$A15601,nCURSO,DATOS!$D15601,nESPEC,DATOS!$E15601,nASIG,DATOS!$I15601,nEVAL,"EX")=0),0))))</f>
      </c>
      <c r="H15601">
        <f>IF(DATOS!$G15601&lt;&gt;"EX",0,--(COUNTIFS(nNIA,DATOS!$A15601,nCURSO,DATOS!$D15601,nESPEC,DATOS!$E15601,nASIG,DATOS!$I15601,nEVAL,"OR")=0))</f>
      </c>
      <c r="I15601">
        <f>IF(DATOS!$I15601="","",IFERROR(VLOOKUP(DATOS!$I15601,CONFIG_ASIGNATURAS!$B$2:$J$91,9,FALSE()),""))</f>
      </c>
    </row>
    <row r="15602">
      <c r="F15602">
        <f>IF(DATOS!$A15602="","",DATOS!$A15602&amp;"|"&amp;DATOS!$D15602&amp;"|"&amp;DATOS!$E15602&amp;"|"&amp;DATOS!$I15602)</f>
      </c>
      <c r="G15602">
        <f>IF(DATOS!$A15602="",0,IF(CONFIG_METADATA!$B$4&lt;&gt;"OR+EX",--(DATOS!$G15602=CONFIG_METADATA!$B$4),IF(DATOS!$G15602="EX",1,IF(DATOS!$G15602="OR",--(COUNTIFS(nNIA,DATOS!$A15602,nCURSO,DATOS!$D15602,nESPEC,DATOS!$E15602,nASIG,DATOS!$I15602,nEVAL,"EX")=0),0))))</f>
      </c>
      <c r="H15602">
        <f>IF(DATOS!$G15602&lt;&gt;"EX",0,--(COUNTIFS(nNIA,DATOS!$A15602,nCURSO,DATOS!$D15602,nESPEC,DATOS!$E15602,nASIG,DATOS!$I15602,nEVAL,"OR")=0))</f>
      </c>
      <c r="I15602">
        <f>IF(DATOS!$I15602="","",IFERROR(VLOOKUP(DATOS!$I15602,CONFIG_ASIGNATURAS!$B$2:$J$91,9,FALSE()),""))</f>
      </c>
    </row>
    <row r="15603">
      <c r="F15603">
        <f>IF(DATOS!$A15603="","",DATOS!$A15603&amp;"|"&amp;DATOS!$D15603&amp;"|"&amp;DATOS!$E15603&amp;"|"&amp;DATOS!$I15603)</f>
      </c>
      <c r="G15603">
        <f>IF(DATOS!$A15603="",0,IF(CONFIG_METADATA!$B$4&lt;&gt;"OR+EX",--(DATOS!$G15603=CONFIG_METADATA!$B$4),IF(DATOS!$G15603="EX",1,IF(DATOS!$G15603="OR",--(COUNTIFS(nNIA,DATOS!$A15603,nCURSO,DATOS!$D15603,nESPEC,DATOS!$E15603,nASIG,DATOS!$I15603,nEVAL,"EX")=0),0))))</f>
      </c>
      <c r="H15603">
        <f>IF(DATOS!$G15603&lt;&gt;"EX",0,--(COUNTIFS(nNIA,DATOS!$A15603,nCURSO,DATOS!$D15603,nESPEC,DATOS!$E15603,nASIG,DATOS!$I15603,nEVAL,"OR")=0))</f>
      </c>
      <c r="I15603">
        <f>IF(DATOS!$I15603="","",IFERROR(VLOOKUP(DATOS!$I15603,CONFIG_ASIGNATURAS!$B$2:$J$91,9,FALSE()),""))</f>
      </c>
    </row>
    <row r="15604">
      <c r="F15604">
        <f>IF(DATOS!$A15604="","",DATOS!$A15604&amp;"|"&amp;DATOS!$D15604&amp;"|"&amp;DATOS!$E15604&amp;"|"&amp;DATOS!$I15604)</f>
      </c>
      <c r="G15604">
        <f>IF(DATOS!$A15604="",0,IF(CONFIG_METADATA!$B$4&lt;&gt;"OR+EX",--(DATOS!$G15604=CONFIG_METADATA!$B$4),IF(DATOS!$G15604="EX",1,IF(DATOS!$G15604="OR",--(COUNTIFS(nNIA,DATOS!$A15604,nCURSO,DATOS!$D15604,nESPEC,DATOS!$E15604,nASIG,DATOS!$I15604,nEVAL,"EX")=0),0))))</f>
      </c>
      <c r="H15604">
        <f>IF(DATOS!$G15604&lt;&gt;"EX",0,--(COUNTIFS(nNIA,DATOS!$A15604,nCURSO,DATOS!$D15604,nESPEC,DATOS!$E15604,nASIG,DATOS!$I15604,nEVAL,"OR")=0))</f>
      </c>
      <c r="I15604">
        <f>IF(DATOS!$I15604="","",IFERROR(VLOOKUP(DATOS!$I15604,CONFIG_ASIGNATURAS!$B$2:$J$91,9,FALSE()),""))</f>
      </c>
    </row>
    <row r="15605">
      <c r="F15605">
        <f>IF(DATOS!$A15605="","",DATOS!$A15605&amp;"|"&amp;DATOS!$D15605&amp;"|"&amp;DATOS!$E15605&amp;"|"&amp;DATOS!$I15605)</f>
      </c>
      <c r="G15605">
        <f>IF(DATOS!$A15605="",0,IF(CONFIG_METADATA!$B$4&lt;&gt;"OR+EX",--(DATOS!$G15605=CONFIG_METADATA!$B$4),IF(DATOS!$G15605="EX",1,IF(DATOS!$G15605="OR",--(COUNTIFS(nNIA,DATOS!$A15605,nCURSO,DATOS!$D15605,nESPEC,DATOS!$E15605,nASIG,DATOS!$I15605,nEVAL,"EX")=0),0))))</f>
      </c>
      <c r="H15605">
        <f>IF(DATOS!$G15605&lt;&gt;"EX",0,--(COUNTIFS(nNIA,DATOS!$A15605,nCURSO,DATOS!$D15605,nESPEC,DATOS!$E15605,nASIG,DATOS!$I15605,nEVAL,"OR")=0))</f>
      </c>
      <c r="I15605">
        <f>IF(DATOS!$I15605="","",IFERROR(VLOOKUP(DATOS!$I15605,CONFIG_ASIGNATURAS!$B$2:$J$91,9,FALSE()),""))</f>
      </c>
    </row>
    <row r="15606">
      <c r="F15606">
        <f>IF(DATOS!$A15606="","",DATOS!$A15606&amp;"|"&amp;DATOS!$D15606&amp;"|"&amp;DATOS!$E15606&amp;"|"&amp;DATOS!$I15606)</f>
      </c>
      <c r="G15606">
        <f>IF(DATOS!$A15606="",0,IF(CONFIG_METADATA!$B$4&lt;&gt;"OR+EX",--(DATOS!$G15606=CONFIG_METADATA!$B$4),IF(DATOS!$G15606="EX",1,IF(DATOS!$G15606="OR",--(COUNTIFS(nNIA,DATOS!$A15606,nCURSO,DATOS!$D15606,nESPEC,DATOS!$E15606,nASIG,DATOS!$I15606,nEVAL,"EX")=0),0))))</f>
      </c>
      <c r="H15606">
        <f>IF(DATOS!$G15606&lt;&gt;"EX",0,--(COUNTIFS(nNIA,DATOS!$A15606,nCURSO,DATOS!$D15606,nESPEC,DATOS!$E15606,nASIG,DATOS!$I15606,nEVAL,"OR")=0))</f>
      </c>
      <c r="I15606">
        <f>IF(DATOS!$I15606="","",IFERROR(VLOOKUP(DATOS!$I15606,CONFIG_ASIGNATURAS!$B$2:$J$91,9,FALSE()),""))</f>
      </c>
    </row>
    <row r="15607">
      <c r="F15607">
        <f>IF(DATOS!$A15607="","",DATOS!$A15607&amp;"|"&amp;DATOS!$D15607&amp;"|"&amp;DATOS!$E15607&amp;"|"&amp;DATOS!$I15607)</f>
      </c>
      <c r="G15607">
        <f>IF(DATOS!$A15607="",0,IF(CONFIG_METADATA!$B$4&lt;&gt;"OR+EX",--(DATOS!$G15607=CONFIG_METADATA!$B$4),IF(DATOS!$G15607="EX",1,IF(DATOS!$G15607="OR",--(COUNTIFS(nNIA,DATOS!$A15607,nCURSO,DATOS!$D15607,nESPEC,DATOS!$E15607,nASIG,DATOS!$I15607,nEVAL,"EX")=0),0))))</f>
      </c>
      <c r="H15607">
        <f>IF(DATOS!$G15607&lt;&gt;"EX",0,--(COUNTIFS(nNIA,DATOS!$A15607,nCURSO,DATOS!$D15607,nESPEC,DATOS!$E15607,nASIG,DATOS!$I15607,nEVAL,"OR")=0))</f>
      </c>
      <c r="I15607">
        <f>IF(DATOS!$I15607="","",IFERROR(VLOOKUP(DATOS!$I15607,CONFIG_ASIGNATURAS!$B$2:$J$91,9,FALSE()),""))</f>
      </c>
    </row>
    <row r="15608">
      <c r="F15608">
        <f>IF(DATOS!$A15608="","",DATOS!$A15608&amp;"|"&amp;DATOS!$D15608&amp;"|"&amp;DATOS!$E15608&amp;"|"&amp;DATOS!$I15608)</f>
      </c>
      <c r="G15608">
        <f>IF(DATOS!$A15608="",0,IF(CONFIG_METADATA!$B$4&lt;&gt;"OR+EX",--(DATOS!$G15608=CONFIG_METADATA!$B$4),IF(DATOS!$G15608="EX",1,IF(DATOS!$G15608="OR",--(COUNTIFS(nNIA,DATOS!$A15608,nCURSO,DATOS!$D15608,nESPEC,DATOS!$E15608,nASIG,DATOS!$I15608,nEVAL,"EX")=0),0))))</f>
      </c>
      <c r="H15608">
        <f>IF(DATOS!$G15608&lt;&gt;"EX",0,--(COUNTIFS(nNIA,DATOS!$A15608,nCURSO,DATOS!$D15608,nESPEC,DATOS!$E15608,nASIG,DATOS!$I15608,nEVAL,"OR")=0))</f>
      </c>
      <c r="I15608">
        <f>IF(DATOS!$I15608="","",IFERROR(VLOOKUP(DATOS!$I15608,CONFIG_ASIGNATURAS!$B$2:$J$91,9,FALSE()),""))</f>
      </c>
    </row>
    <row r="15609">
      <c r="F15609">
        <f>IF(DATOS!$A15609="","",DATOS!$A15609&amp;"|"&amp;DATOS!$D15609&amp;"|"&amp;DATOS!$E15609&amp;"|"&amp;DATOS!$I15609)</f>
      </c>
      <c r="G15609">
        <f>IF(DATOS!$A15609="",0,IF(CONFIG_METADATA!$B$4&lt;&gt;"OR+EX",--(DATOS!$G15609=CONFIG_METADATA!$B$4),IF(DATOS!$G15609="EX",1,IF(DATOS!$G15609="OR",--(COUNTIFS(nNIA,DATOS!$A15609,nCURSO,DATOS!$D15609,nESPEC,DATOS!$E15609,nASIG,DATOS!$I15609,nEVAL,"EX")=0),0))))</f>
      </c>
      <c r="H15609">
        <f>IF(DATOS!$G15609&lt;&gt;"EX",0,--(COUNTIFS(nNIA,DATOS!$A15609,nCURSO,DATOS!$D15609,nESPEC,DATOS!$E15609,nASIG,DATOS!$I15609,nEVAL,"OR")=0))</f>
      </c>
      <c r="I15609">
        <f>IF(DATOS!$I15609="","",IFERROR(VLOOKUP(DATOS!$I15609,CONFIG_ASIGNATURAS!$B$2:$J$91,9,FALSE()),""))</f>
      </c>
    </row>
    <row r="15610">
      <c r="F15610">
        <f>IF(DATOS!$A15610="","",DATOS!$A15610&amp;"|"&amp;DATOS!$D15610&amp;"|"&amp;DATOS!$E15610&amp;"|"&amp;DATOS!$I15610)</f>
      </c>
      <c r="G15610">
        <f>IF(DATOS!$A15610="",0,IF(CONFIG_METADATA!$B$4&lt;&gt;"OR+EX",--(DATOS!$G15610=CONFIG_METADATA!$B$4),IF(DATOS!$G15610="EX",1,IF(DATOS!$G15610="OR",--(COUNTIFS(nNIA,DATOS!$A15610,nCURSO,DATOS!$D15610,nESPEC,DATOS!$E15610,nASIG,DATOS!$I15610,nEVAL,"EX")=0),0))))</f>
      </c>
      <c r="H15610">
        <f>IF(DATOS!$G15610&lt;&gt;"EX",0,--(COUNTIFS(nNIA,DATOS!$A15610,nCURSO,DATOS!$D15610,nESPEC,DATOS!$E15610,nASIG,DATOS!$I15610,nEVAL,"OR")=0))</f>
      </c>
      <c r="I15610">
        <f>IF(DATOS!$I15610="","",IFERROR(VLOOKUP(DATOS!$I15610,CONFIG_ASIGNATURAS!$B$2:$J$91,9,FALSE()),""))</f>
      </c>
    </row>
    <row r="15611">
      <c r="F15611">
        <f>IF(DATOS!$A15611="","",DATOS!$A15611&amp;"|"&amp;DATOS!$D15611&amp;"|"&amp;DATOS!$E15611&amp;"|"&amp;DATOS!$I15611)</f>
      </c>
      <c r="G15611">
        <f>IF(DATOS!$A15611="",0,IF(CONFIG_METADATA!$B$4&lt;&gt;"OR+EX",--(DATOS!$G15611=CONFIG_METADATA!$B$4),IF(DATOS!$G15611="EX",1,IF(DATOS!$G15611="OR",--(COUNTIFS(nNIA,DATOS!$A15611,nCURSO,DATOS!$D15611,nESPEC,DATOS!$E15611,nASIG,DATOS!$I15611,nEVAL,"EX")=0),0))))</f>
      </c>
      <c r="H15611">
        <f>IF(DATOS!$G15611&lt;&gt;"EX",0,--(COUNTIFS(nNIA,DATOS!$A15611,nCURSO,DATOS!$D15611,nESPEC,DATOS!$E15611,nASIG,DATOS!$I15611,nEVAL,"OR")=0))</f>
      </c>
      <c r="I15611">
        <f>IF(DATOS!$I15611="","",IFERROR(VLOOKUP(DATOS!$I15611,CONFIG_ASIGNATURAS!$B$2:$J$91,9,FALSE()),""))</f>
      </c>
    </row>
    <row r="15612">
      <c r="F15612">
        <f>IF(DATOS!$A15612="","",DATOS!$A15612&amp;"|"&amp;DATOS!$D15612&amp;"|"&amp;DATOS!$E15612&amp;"|"&amp;DATOS!$I15612)</f>
      </c>
      <c r="G15612">
        <f>IF(DATOS!$A15612="",0,IF(CONFIG_METADATA!$B$4&lt;&gt;"OR+EX",--(DATOS!$G15612=CONFIG_METADATA!$B$4),IF(DATOS!$G15612="EX",1,IF(DATOS!$G15612="OR",--(COUNTIFS(nNIA,DATOS!$A15612,nCURSO,DATOS!$D15612,nESPEC,DATOS!$E15612,nASIG,DATOS!$I15612,nEVAL,"EX")=0),0))))</f>
      </c>
      <c r="H15612">
        <f>IF(DATOS!$G15612&lt;&gt;"EX",0,--(COUNTIFS(nNIA,DATOS!$A15612,nCURSO,DATOS!$D15612,nESPEC,DATOS!$E15612,nASIG,DATOS!$I15612,nEVAL,"OR")=0))</f>
      </c>
      <c r="I15612">
        <f>IF(DATOS!$I15612="","",IFERROR(VLOOKUP(DATOS!$I15612,CONFIG_ASIGNATURAS!$B$2:$J$91,9,FALSE()),""))</f>
      </c>
    </row>
    <row r="15613">
      <c r="F15613">
        <f>IF(DATOS!$A15613="","",DATOS!$A15613&amp;"|"&amp;DATOS!$D15613&amp;"|"&amp;DATOS!$E15613&amp;"|"&amp;DATOS!$I15613)</f>
      </c>
      <c r="G15613">
        <f>IF(DATOS!$A15613="",0,IF(CONFIG_METADATA!$B$4&lt;&gt;"OR+EX",--(DATOS!$G15613=CONFIG_METADATA!$B$4),IF(DATOS!$G15613="EX",1,IF(DATOS!$G15613="OR",--(COUNTIFS(nNIA,DATOS!$A15613,nCURSO,DATOS!$D15613,nESPEC,DATOS!$E15613,nASIG,DATOS!$I15613,nEVAL,"EX")=0),0))))</f>
      </c>
      <c r="H15613">
        <f>IF(DATOS!$G15613&lt;&gt;"EX",0,--(COUNTIFS(nNIA,DATOS!$A15613,nCURSO,DATOS!$D15613,nESPEC,DATOS!$E15613,nASIG,DATOS!$I15613,nEVAL,"OR")=0))</f>
      </c>
      <c r="I15613">
        <f>IF(DATOS!$I15613="","",IFERROR(VLOOKUP(DATOS!$I15613,CONFIG_ASIGNATURAS!$B$2:$J$91,9,FALSE()),""))</f>
      </c>
    </row>
    <row r="15614">
      <c r="F15614">
        <f>IF(DATOS!$A15614="","",DATOS!$A15614&amp;"|"&amp;DATOS!$D15614&amp;"|"&amp;DATOS!$E15614&amp;"|"&amp;DATOS!$I15614)</f>
      </c>
      <c r="G15614">
        <f>IF(DATOS!$A15614="",0,IF(CONFIG_METADATA!$B$4&lt;&gt;"OR+EX",--(DATOS!$G15614=CONFIG_METADATA!$B$4),IF(DATOS!$G15614="EX",1,IF(DATOS!$G15614="OR",--(COUNTIFS(nNIA,DATOS!$A15614,nCURSO,DATOS!$D15614,nESPEC,DATOS!$E15614,nASIG,DATOS!$I15614,nEVAL,"EX")=0),0))))</f>
      </c>
      <c r="H15614">
        <f>IF(DATOS!$G15614&lt;&gt;"EX",0,--(COUNTIFS(nNIA,DATOS!$A15614,nCURSO,DATOS!$D15614,nESPEC,DATOS!$E15614,nASIG,DATOS!$I15614,nEVAL,"OR")=0))</f>
      </c>
      <c r="I15614">
        <f>IF(DATOS!$I15614="","",IFERROR(VLOOKUP(DATOS!$I15614,CONFIG_ASIGNATURAS!$B$2:$J$91,9,FALSE()),""))</f>
      </c>
    </row>
    <row r="15615">
      <c r="F15615">
        <f>IF(DATOS!$A15615="","",DATOS!$A15615&amp;"|"&amp;DATOS!$D15615&amp;"|"&amp;DATOS!$E15615&amp;"|"&amp;DATOS!$I15615)</f>
      </c>
      <c r="G15615">
        <f>IF(DATOS!$A15615="",0,IF(CONFIG_METADATA!$B$4&lt;&gt;"OR+EX",--(DATOS!$G15615=CONFIG_METADATA!$B$4),IF(DATOS!$G15615="EX",1,IF(DATOS!$G15615="OR",--(COUNTIFS(nNIA,DATOS!$A15615,nCURSO,DATOS!$D15615,nESPEC,DATOS!$E15615,nASIG,DATOS!$I15615,nEVAL,"EX")=0),0))))</f>
      </c>
      <c r="H15615">
        <f>IF(DATOS!$G15615&lt;&gt;"EX",0,--(COUNTIFS(nNIA,DATOS!$A15615,nCURSO,DATOS!$D15615,nESPEC,DATOS!$E15615,nASIG,DATOS!$I15615,nEVAL,"OR")=0))</f>
      </c>
      <c r="I15615">
        <f>IF(DATOS!$I15615="","",IFERROR(VLOOKUP(DATOS!$I15615,CONFIG_ASIGNATURAS!$B$2:$J$91,9,FALSE()),""))</f>
      </c>
    </row>
    <row r="15616">
      <c r="F15616">
        <f>IF(DATOS!$A15616="","",DATOS!$A15616&amp;"|"&amp;DATOS!$D15616&amp;"|"&amp;DATOS!$E15616&amp;"|"&amp;DATOS!$I15616)</f>
      </c>
      <c r="G15616">
        <f>IF(DATOS!$A15616="",0,IF(CONFIG_METADATA!$B$4&lt;&gt;"OR+EX",--(DATOS!$G15616=CONFIG_METADATA!$B$4),IF(DATOS!$G15616="EX",1,IF(DATOS!$G15616="OR",--(COUNTIFS(nNIA,DATOS!$A15616,nCURSO,DATOS!$D15616,nESPEC,DATOS!$E15616,nASIG,DATOS!$I15616,nEVAL,"EX")=0),0))))</f>
      </c>
      <c r="H15616">
        <f>IF(DATOS!$G15616&lt;&gt;"EX",0,--(COUNTIFS(nNIA,DATOS!$A15616,nCURSO,DATOS!$D15616,nESPEC,DATOS!$E15616,nASIG,DATOS!$I15616,nEVAL,"OR")=0))</f>
      </c>
      <c r="I15616">
        <f>IF(DATOS!$I15616="","",IFERROR(VLOOKUP(DATOS!$I15616,CONFIG_ASIGNATURAS!$B$2:$J$91,9,FALSE()),""))</f>
      </c>
    </row>
    <row r="15617">
      <c r="F15617">
        <f>IF(DATOS!$A15617="","",DATOS!$A15617&amp;"|"&amp;DATOS!$D15617&amp;"|"&amp;DATOS!$E15617&amp;"|"&amp;DATOS!$I15617)</f>
      </c>
      <c r="G15617">
        <f>IF(DATOS!$A15617="",0,IF(CONFIG_METADATA!$B$4&lt;&gt;"OR+EX",--(DATOS!$G15617=CONFIG_METADATA!$B$4),IF(DATOS!$G15617="EX",1,IF(DATOS!$G15617="OR",--(COUNTIFS(nNIA,DATOS!$A15617,nCURSO,DATOS!$D15617,nESPEC,DATOS!$E15617,nASIG,DATOS!$I15617,nEVAL,"EX")=0),0))))</f>
      </c>
      <c r="H15617">
        <f>IF(DATOS!$G15617&lt;&gt;"EX",0,--(COUNTIFS(nNIA,DATOS!$A15617,nCURSO,DATOS!$D15617,nESPEC,DATOS!$E15617,nASIG,DATOS!$I15617,nEVAL,"OR")=0))</f>
      </c>
      <c r="I15617">
        <f>IF(DATOS!$I15617="","",IFERROR(VLOOKUP(DATOS!$I15617,CONFIG_ASIGNATURAS!$B$2:$J$91,9,FALSE()),""))</f>
      </c>
    </row>
    <row r="15618">
      <c r="F15618">
        <f>IF(DATOS!$A15618="","",DATOS!$A15618&amp;"|"&amp;DATOS!$D15618&amp;"|"&amp;DATOS!$E15618&amp;"|"&amp;DATOS!$I15618)</f>
      </c>
      <c r="G15618">
        <f>IF(DATOS!$A15618="",0,IF(CONFIG_METADATA!$B$4&lt;&gt;"OR+EX",--(DATOS!$G15618=CONFIG_METADATA!$B$4),IF(DATOS!$G15618="EX",1,IF(DATOS!$G15618="OR",--(COUNTIFS(nNIA,DATOS!$A15618,nCURSO,DATOS!$D15618,nESPEC,DATOS!$E15618,nASIG,DATOS!$I15618,nEVAL,"EX")=0),0))))</f>
      </c>
      <c r="H15618">
        <f>IF(DATOS!$G15618&lt;&gt;"EX",0,--(COUNTIFS(nNIA,DATOS!$A15618,nCURSO,DATOS!$D15618,nESPEC,DATOS!$E15618,nASIG,DATOS!$I15618,nEVAL,"OR")=0))</f>
      </c>
      <c r="I15618">
        <f>IF(DATOS!$I15618="","",IFERROR(VLOOKUP(DATOS!$I15618,CONFIG_ASIGNATURAS!$B$2:$J$91,9,FALSE()),""))</f>
      </c>
    </row>
    <row r="15619">
      <c r="F15619">
        <f>IF(DATOS!$A15619="","",DATOS!$A15619&amp;"|"&amp;DATOS!$D15619&amp;"|"&amp;DATOS!$E15619&amp;"|"&amp;DATOS!$I15619)</f>
      </c>
      <c r="G15619">
        <f>IF(DATOS!$A15619="",0,IF(CONFIG_METADATA!$B$4&lt;&gt;"OR+EX",--(DATOS!$G15619=CONFIG_METADATA!$B$4),IF(DATOS!$G15619="EX",1,IF(DATOS!$G15619="OR",--(COUNTIFS(nNIA,DATOS!$A15619,nCURSO,DATOS!$D15619,nESPEC,DATOS!$E15619,nASIG,DATOS!$I15619,nEVAL,"EX")=0),0))))</f>
      </c>
      <c r="H15619">
        <f>IF(DATOS!$G15619&lt;&gt;"EX",0,--(COUNTIFS(nNIA,DATOS!$A15619,nCURSO,DATOS!$D15619,nESPEC,DATOS!$E15619,nASIG,DATOS!$I15619,nEVAL,"OR")=0))</f>
      </c>
      <c r="I15619">
        <f>IF(DATOS!$I15619="","",IFERROR(VLOOKUP(DATOS!$I15619,CONFIG_ASIGNATURAS!$B$2:$J$91,9,FALSE()),""))</f>
      </c>
    </row>
    <row r="15620">
      <c r="F15620">
        <f>IF(DATOS!$A15620="","",DATOS!$A15620&amp;"|"&amp;DATOS!$D15620&amp;"|"&amp;DATOS!$E15620&amp;"|"&amp;DATOS!$I15620)</f>
      </c>
      <c r="G15620">
        <f>IF(DATOS!$A15620="",0,IF(CONFIG_METADATA!$B$4&lt;&gt;"OR+EX",--(DATOS!$G15620=CONFIG_METADATA!$B$4),IF(DATOS!$G15620="EX",1,IF(DATOS!$G15620="OR",--(COUNTIFS(nNIA,DATOS!$A15620,nCURSO,DATOS!$D15620,nESPEC,DATOS!$E15620,nASIG,DATOS!$I15620,nEVAL,"EX")=0),0))))</f>
      </c>
      <c r="H15620">
        <f>IF(DATOS!$G15620&lt;&gt;"EX",0,--(COUNTIFS(nNIA,DATOS!$A15620,nCURSO,DATOS!$D15620,nESPEC,DATOS!$E15620,nASIG,DATOS!$I15620,nEVAL,"OR")=0))</f>
      </c>
      <c r="I15620">
        <f>IF(DATOS!$I15620="","",IFERROR(VLOOKUP(DATOS!$I15620,CONFIG_ASIGNATURAS!$B$2:$J$91,9,FALSE()),""))</f>
      </c>
    </row>
    <row r="15621">
      <c r="F15621">
        <f>IF(DATOS!$A15621="","",DATOS!$A15621&amp;"|"&amp;DATOS!$D15621&amp;"|"&amp;DATOS!$E15621&amp;"|"&amp;DATOS!$I15621)</f>
      </c>
      <c r="G15621">
        <f>IF(DATOS!$A15621="",0,IF(CONFIG_METADATA!$B$4&lt;&gt;"OR+EX",--(DATOS!$G15621=CONFIG_METADATA!$B$4),IF(DATOS!$G15621="EX",1,IF(DATOS!$G15621="OR",--(COUNTIFS(nNIA,DATOS!$A15621,nCURSO,DATOS!$D15621,nESPEC,DATOS!$E15621,nASIG,DATOS!$I15621,nEVAL,"EX")=0),0))))</f>
      </c>
      <c r="H15621">
        <f>IF(DATOS!$G15621&lt;&gt;"EX",0,--(COUNTIFS(nNIA,DATOS!$A15621,nCURSO,DATOS!$D15621,nESPEC,DATOS!$E15621,nASIG,DATOS!$I15621,nEVAL,"OR")=0))</f>
      </c>
      <c r="I15621">
        <f>IF(DATOS!$I15621="","",IFERROR(VLOOKUP(DATOS!$I15621,CONFIG_ASIGNATURAS!$B$2:$J$91,9,FALSE()),""))</f>
      </c>
    </row>
    <row r="15622">
      <c r="F15622">
        <f>IF(DATOS!$A15622="","",DATOS!$A15622&amp;"|"&amp;DATOS!$D15622&amp;"|"&amp;DATOS!$E15622&amp;"|"&amp;DATOS!$I15622)</f>
      </c>
      <c r="G15622">
        <f>IF(DATOS!$A15622="",0,IF(CONFIG_METADATA!$B$4&lt;&gt;"OR+EX",--(DATOS!$G15622=CONFIG_METADATA!$B$4),IF(DATOS!$G15622="EX",1,IF(DATOS!$G15622="OR",--(COUNTIFS(nNIA,DATOS!$A15622,nCURSO,DATOS!$D15622,nESPEC,DATOS!$E15622,nASIG,DATOS!$I15622,nEVAL,"EX")=0),0))))</f>
      </c>
      <c r="H15622">
        <f>IF(DATOS!$G15622&lt;&gt;"EX",0,--(COUNTIFS(nNIA,DATOS!$A15622,nCURSO,DATOS!$D15622,nESPEC,DATOS!$E15622,nASIG,DATOS!$I15622,nEVAL,"OR")=0))</f>
      </c>
      <c r="I15622">
        <f>IF(DATOS!$I15622="","",IFERROR(VLOOKUP(DATOS!$I15622,CONFIG_ASIGNATURAS!$B$2:$J$91,9,FALSE()),""))</f>
      </c>
    </row>
    <row r="15623">
      <c r="F15623">
        <f>IF(DATOS!$A15623="","",DATOS!$A15623&amp;"|"&amp;DATOS!$D15623&amp;"|"&amp;DATOS!$E15623&amp;"|"&amp;DATOS!$I15623)</f>
      </c>
      <c r="G15623">
        <f>IF(DATOS!$A15623="",0,IF(CONFIG_METADATA!$B$4&lt;&gt;"OR+EX",--(DATOS!$G15623=CONFIG_METADATA!$B$4),IF(DATOS!$G15623="EX",1,IF(DATOS!$G15623="OR",--(COUNTIFS(nNIA,DATOS!$A15623,nCURSO,DATOS!$D15623,nESPEC,DATOS!$E15623,nASIG,DATOS!$I15623,nEVAL,"EX")=0),0))))</f>
      </c>
      <c r="H15623">
        <f>IF(DATOS!$G15623&lt;&gt;"EX",0,--(COUNTIFS(nNIA,DATOS!$A15623,nCURSO,DATOS!$D15623,nESPEC,DATOS!$E15623,nASIG,DATOS!$I15623,nEVAL,"OR")=0))</f>
      </c>
      <c r="I15623">
        <f>IF(DATOS!$I15623="","",IFERROR(VLOOKUP(DATOS!$I15623,CONFIG_ASIGNATURAS!$B$2:$J$91,9,FALSE()),""))</f>
      </c>
    </row>
    <row r="15624">
      <c r="F15624">
        <f>IF(DATOS!$A15624="","",DATOS!$A15624&amp;"|"&amp;DATOS!$D15624&amp;"|"&amp;DATOS!$E15624&amp;"|"&amp;DATOS!$I15624)</f>
      </c>
      <c r="G15624">
        <f>IF(DATOS!$A15624="",0,IF(CONFIG_METADATA!$B$4&lt;&gt;"OR+EX",--(DATOS!$G15624=CONFIG_METADATA!$B$4),IF(DATOS!$G15624="EX",1,IF(DATOS!$G15624="OR",--(COUNTIFS(nNIA,DATOS!$A15624,nCURSO,DATOS!$D15624,nESPEC,DATOS!$E15624,nASIG,DATOS!$I15624,nEVAL,"EX")=0),0))))</f>
      </c>
      <c r="H15624">
        <f>IF(DATOS!$G15624&lt;&gt;"EX",0,--(COUNTIFS(nNIA,DATOS!$A15624,nCURSO,DATOS!$D15624,nESPEC,DATOS!$E15624,nASIG,DATOS!$I15624,nEVAL,"OR")=0))</f>
      </c>
      <c r="I15624">
        <f>IF(DATOS!$I15624="","",IFERROR(VLOOKUP(DATOS!$I15624,CONFIG_ASIGNATURAS!$B$2:$J$91,9,FALSE()),""))</f>
      </c>
    </row>
    <row r="15625">
      <c r="F15625">
        <f>IF(DATOS!$A15625="","",DATOS!$A15625&amp;"|"&amp;DATOS!$D15625&amp;"|"&amp;DATOS!$E15625&amp;"|"&amp;DATOS!$I15625)</f>
      </c>
      <c r="G15625">
        <f>IF(DATOS!$A15625="",0,IF(CONFIG_METADATA!$B$4&lt;&gt;"OR+EX",--(DATOS!$G15625=CONFIG_METADATA!$B$4),IF(DATOS!$G15625="EX",1,IF(DATOS!$G15625="OR",--(COUNTIFS(nNIA,DATOS!$A15625,nCURSO,DATOS!$D15625,nESPEC,DATOS!$E15625,nASIG,DATOS!$I15625,nEVAL,"EX")=0),0))))</f>
      </c>
      <c r="H15625">
        <f>IF(DATOS!$G15625&lt;&gt;"EX",0,--(COUNTIFS(nNIA,DATOS!$A15625,nCURSO,DATOS!$D15625,nESPEC,DATOS!$E15625,nASIG,DATOS!$I15625,nEVAL,"OR")=0))</f>
      </c>
      <c r="I15625">
        <f>IF(DATOS!$I15625="","",IFERROR(VLOOKUP(DATOS!$I15625,CONFIG_ASIGNATURAS!$B$2:$J$91,9,FALSE()),""))</f>
      </c>
    </row>
    <row r="15626">
      <c r="F15626">
        <f>IF(DATOS!$A15626="","",DATOS!$A15626&amp;"|"&amp;DATOS!$D15626&amp;"|"&amp;DATOS!$E15626&amp;"|"&amp;DATOS!$I15626)</f>
      </c>
      <c r="G15626">
        <f>IF(DATOS!$A15626="",0,IF(CONFIG_METADATA!$B$4&lt;&gt;"OR+EX",--(DATOS!$G15626=CONFIG_METADATA!$B$4),IF(DATOS!$G15626="EX",1,IF(DATOS!$G15626="OR",--(COUNTIFS(nNIA,DATOS!$A15626,nCURSO,DATOS!$D15626,nESPEC,DATOS!$E15626,nASIG,DATOS!$I15626,nEVAL,"EX")=0),0))))</f>
      </c>
      <c r="H15626">
        <f>IF(DATOS!$G15626&lt;&gt;"EX",0,--(COUNTIFS(nNIA,DATOS!$A15626,nCURSO,DATOS!$D15626,nESPEC,DATOS!$E15626,nASIG,DATOS!$I15626,nEVAL,"OR")=0))</f>
      </c>
      <c r="I15626">
        <f>IF(DATOS!$I15626="","",IFERROR(VLOOKUP(DATOS!$I15626,CONFIG_ASIGNATURAS!$B$2:$J$91,9,FALSE()),""))</f>
      </c>
    </row>
    <row r="15627">
      <c r="F15627">
        <f>IF(DATOS!$A15627="","",DATOS!$A15627&amp;"|"&amp;DATOS!$D15627&amp;"|"&amp;DATOS!$E15627&amp;"|"&amp;DATOS!$I15627)</f>
      </c>
      <c r="G15627">
        <f>IF(DATOS!$A15627="",0,IF(CONFIG_METADATA!$B$4&lt;&gt;"OR+EX",--(DATOS!$G15627=CONFIG_METADATA!$B$4),IF(DATOS!$G15627="EX",1,IF(DATOS!$G15627="OR",--(COUNTIFS(nNIA,DATOS!$A15627,nCURSO,DATOS!$D15627,nESPEC,DATOS!$E15627,nASIG,DATOS!$I15627,nEVAL,"EX")=0),0))))</f>
      </c>
      <c r="H15627">
        <f>IF(DATOS!$G15627&lt;&gt;"EX",0,--(COUNTIFS(nNIA,DATOS!$A15627,nCURSO,DATOS!$D15627,nESPEC,DATOS!$E15627,nASIG,DATOS!$I15627,nEVAL,"OR")=0))</f>
      </c>
      <c r="I15627">
        <f>IF(DATOS!$I15627="","",IFERROR(VLOOKUP(DATOS!$I15627,CONFIG_ASIGNATURAS!$B$2:$J$91,9,FALSE()),""))</f>
      </c>
    </row>
    <row r="15628">
      <c r="F15628">
        <f>IF(DATOS!$A15628="","",DATOS!$A15628&amp;"|"&amp;DATOS!$D15628&amp;"|"&amp;DATOS!$E15628&amp;"|"&amp;DATOS!$I15628)</f>
      </c>
      <c r="G15628">
        <f>IF(DATOS!$A15628="",0,IF(CONFIG_METADATA!$B$4&lt;&gt;"OR+EX",--(DATOS!$G15628=CONFIG_METADATA!$B$4),IF(DATOS!$G15628="EX",1,IF(DATOS!$G15628="OR",--(COUNTIFS(nNIA,DATOS!$A15628,nCURSO,DATOS!$D15628,nESPEC,DATOS!$E15628,nASIG,DATOS!$I15628,nEVAL,"EX")=0),0))))</f>
      </c>
      <c r="H15628">
        <f>IF(DATOS!$G15628&lt;&gt;"EX",0,--(COUNTIFS(nNIA,DATOS!$A15628,nCURSO,DATOS!$D15628,nESPEC,DATOS!$E15628,nASIG,DATOS!$I15628,nEVAL,"OR")=0))</f>
      </c>
      <c r="I15628">
        <f>IF(DATOS!$I15628="","",IFERROR(VLOOKUP(DATOS!$I15628,CONFIG_ASIGNATURAS!$B$2:$J$91,9,FALSE()),""))</f>
      </c>
    </row>
    <row r="15629">
      <c r="F15629">
        <f>IF(DATOS!$A15629="","",DATOS!$A15629&amp;"|"&amp;DATOS!$D15629&amp;"|"&amp;DATOS!$E15629&amp;"|"&amp;DATOS!$I15629)</f>
      </c>
      <c r="G15629">
        <f>IF(DATOS!$A15629="",0,IF(CONFIG_METADATA!$B$4&lt;&gt;"OR+EX",--(DATOS!$G15629=CONFIG_METADATA!$B$4),IF(DATOS!$G15629="EX",1,IF(DATOS!$G15629="OR",--(COUNTIFS(nNIA,DATOS!$A15629,nCURSO,DATOS!$D15629,nESPEC,DATOS!$E15629,nASIG,DATOS!$I15629,nEVAL,"EX")=0),0))))</f>
      </c>
      <c r="H15629">
        <f>IF(DATOS!$G15629&lt;&gt;"EX",0,--(COUNTIFS(nNIA,DATOS!$A15629,nCURSO,DATOS!$D15629,nESPEC,DATOS!$E15629,nASIG,DATOS!$I15629,nEVAL,"OR")=0))</f>
      </c>
      <c r="I15629">
        <f>IF(DATOS!$I15629="","",IFERROR(VLOOKUP(DATOS!$I15629,CONFIG_ASIGNATURAS!$B$2:$J$91,9,FALSE()),""))</f>
      </c>
    </row>
    <row r="15630">
      <c r="F15630">
        <f>IF(DATOS!$A15630="","",DATOS!$A15630&amp;"|"&amp;DATOS!$D15630&amp;"|"&amp;DATOS!$E15630&amp;"|"&amp;DATOS!$I15630)</f>
      </c>
      <c r="G15630">
        <f>IF(DATOS!$A15630="",0,IF(CONFIG_METADATA!$B$4&lt;&gt;"OR+EX",--(DATOS!$G15630=CONFIG_METADATA!$B$4),IF(DATOS!$G15630="EX",1,IF(DATOS!$G15630="OR",--(COUNTIFS(nNIA,DATOS!$A15630,nCURSO,DATOS!$D15630,nESPEC,DATOS!$E15630,nASIG,DATOS!$I15630,nEVAL,"EX")=0),0))))</f>
      </c>
      <c r="H15630">
        <f>IF(DATOS!$G15630&lt;&gt;"EX",0,--(COUNTIFS(nNIA,DATOS!$A15630,nCURSO,DATOS!$D15630,nESPEC,DATOS!$E15630,nASIG,DATOS!$I15630,nEVAL,"OR")=0))</f>
      </c>
      <c r="I15630">
        <f>IF(DATOS!$I15630="","",IFERROR(VLOOKUP(DATOS!$I15630,CONFIG_ASIGNATURAS!$B$2:$J$91,9,FALSE()),""))</f>
      </c>
    </row>
    <row r="15631">
      <c r="F15631">
        <f>IF(DATOS!$A15631="","",DATOS!$A15631&amp;"|"&amp;DATOS!$D15631&amp;"|"&amp;DATOS!$E15631&amp;"|"&amp;DATOS!$I15631)</f>
      </c>
      <c r="G15631">
        <f>IF(DATOS!$A15631="",0,IF(CONFIG_METADATA!$B$4&lt;&gt;"OR+EX",--(DATOS!$G15631=CONFIG_METADATA!$B$4),IF(DATOS!$G15631="EX",1,IF(DATOS!$G15631="OR",--(COUNTIFS(nNIA,DATOS!$A15631,nCURSO,DATOS!$D15631,nESPEC,DATOS!$E15631,nASIG,DATOS!$I15631,nEVAL,"EX")=0),0))))</f>
      </c>
      <c r="H15631">
        <f>IF(DATOS!$G15631&lt;&gt;"EX",0,--(COUNTIFS(nNIA,DATOS!$A15631,nCURSO,DATOS!$D15631,nESPEC,DATOS!$E15631,nASIG,DATOS!$I15631,nEVAL,"OR")=0))</f>
      </c>
      <c r="I15631">
        <f>IF(DATOS!$I15631="","",IFERROR(VLOOKUP(DATOS!$I15631,CONFIG_ASIGNATURAS!$B$2:$J$91,9,FALSE()),""))</f>
      </c>
    </row>
    <row r="15632">
      <c r="F15632">
        <f>IF(DATOS!$A15632="","",DATOS!$A15632&amp;"|"&amp;DATOS!$D15632&amp;"|"&amp;DATOS!$E15632&amp;"|"&amp;DATOS!$I15632)</f>
      </c>
      <c r="G15632">
        <f>IF(DATOS!$A15632="",0,IF(CONFIG_METADATA!$B$4&lt;&gt;"OR+EX",--(DATOS!$G15632=CONFIG_METADATA!$B$4),IF(DATOS!$G15632="EX",1,IF(DATOS!$G15632="OR",--(COUNTIFS(nNIA,DATOS!$A15632,nCURSO,DATOS!$D15632,nESPEC,DATOS!$E15632,nASIG,DATOS!$I15632,nEVAL,"EX")=0),0))))</f>
      </c>
      <c r="H15632">
        <f>IF(DATOS!$G15632&lt;&gt;"EX",0,--(COUNTIFS(nNIA,DATOS!$A15632,nCURSO,DATOS!$D15632,nESPEC,DATOS!$E15632,nASIG,DATOS!$I15632,nEVAL,"OR")=0))</f>
      </c>
      <c r="I15632">
        <f>IF(DATOS!$I15632="","",IFERROR(VLOOKUP(DATOS!$I15632,CONFIG_ASIGNATURAS!$B$2:$J$91,9,FALSE()),""))</f>
      </c>
    </row>
    <row r="15633">
      <c r="F15633">
        <f>IF(DATOS!$A15633="","",DATOS!$A15633&amp;"|"&amp;DATOS!$D15633&amp;"|"&amp;DATOS!$E15633&amp;"|"&amp;DATOS!$I15633)</f>
      </c>
      <c r="G15633">
        <f>IF(DATOS!$A15633="",0,IF(CONFIG_METADATA!$B$4&lt;&gt;"OR+EX",--(DATOS!$G15633=CONFIG_METADATA!$B$4),IF(DATOS!$G15633="EX",1,IF(DATOS!$G15633="OR",--(COUNTIFS(nNIA,DATOS!$A15633,nCURSO,DATOS!$D15633,nESPEC,DATOS!$E15633,nASIG,DATOS!$I15633,nEVAL,"EX")=0),0))))</f>
      </c>
      <c r="H15633">
        <f>IF(DATOS!$G15633&lt;&gt;"EX",0,--(COUNTIFS(nNIA,DATOS!$A15633,nCURSO,DATOS!$D15633,nESPEC,DATOS!$E15633,nASIG,DATOS!$I15633,nEVAL,"OR")=0))</f>
      </c>
      <c r="I15633">
        <f>IF(DATOS!$I15633="","",IFERROR(VLOOKUP(DATOS!$I15633,CONFIG_ASIGNATURAS!$B$2:$J$91,9,FALSE()),""))</f>
      </c>
    </row>
    <row r="15634">
      <c r="F15634">
        <f>IF(DATOS!$A15634="","",DATOS!$A15634&amp;"|"&amp;DATOS!$D15634&amp;"|"&amp;DATOS!$E15634&amp;"|"&amp;DATOS!$I15634)</f>
      </c>
      <c r="G15634">
        <f>IF(DATOS!$A15634="",0,IF(CONFIG_METADATA!$B$4&lt;&gt;"OR+EX",--(DATOS!$G15634=CONFIG_METADATA!$B$4),IF(DATOS!$G15634="EX",1,IF(DATOS!$G15634="OR",--(COUNTIFS(nNIA,DATOS!$A15634,nCURSO,DATOS!$D15634,nESPEC,DATOS!$E15634,nASIG,DATOS!$I15634,nEVAL,"EX")=0),0))))</f>
      </c>
      <c r="H15634">
        <f>IF(DATOS!$G15634&lt;&gt;"EX",0,--(COUNTIFS(nNIA,DATOS!$A15634,nCURSO,DATOS!$D15634,nESPEC,DATOS!$E15634,nASIG,DATOS!$I15634,nEVAL,"OR")=0))</f>
      </c>
      <c r="I15634">
        <f>IF(DATOS!$I15634="","",IFERROR(VLOOKUP(DATOS!$I15634,CONFIG_ASIGNATURAS!$B$2:$J$91,9,FALSE()),""))</f>
      </c>
    </row>
    <row r="15635">
      <c r="F15635">
        <f>IF(DATOS!$A15635="","",DATOS!$A15635&amp;"|"&amp;DATOS!$D15635&amp;"|"&amp;DATOS!$E15635&amp;"|"&amp;DATOS!$I15635)</f>
      </c>
      <c r="G15635">
        <f>IF(DATOS!$A15635="",0,IF(CONFIG_METADATA!$B$4&lt;&gt;"OR+EX",--(DATOS!$G15635=CONFIG_METADATA!$B$4),IF(DATOS!$G15635="EX",1,IF(DATOS!$G15635="OR",--(COUNTIFS(nNIA,DATOS!$A15635,nCURSO,DATOS!$D15635,nESPEC,DATOS!$E15635,nASIG,DATOS!$I15635,nEVAL,"EX")=0),0))))</f>
      </c>
      <c r="H15635">
        <f>IF(DATOS!$G15635&lt;&gt;"EX",0,--(COUNTIFS(nNIA,DATOS!$A15635,nCURSO,DATOS!$D15635,nESPEC,DATOS!$E15635,nASIG,DATOS!$I15635,nEVAL,"OR")=0))</f>
      </c>
      <c r="I15635">
        <f>IF(DATOS!$I15635="","",IFERROR(VLOOKUP(DATOS!$I15635,CONFIG_ASIGNATURAS!$B$2:$J$91,9,FALSE()),""))</f>
      </c>
    </row>
    <row r="15636">
      <c r="F15636">
        <f>IF(DATOS!$A15636="","",DATOS!$A15636&amp;"|"&amp;DATOS!$D15636&amp;"|"&amp;DATOS!$E15636&amp;"|"&amp;DATOS!$I15636)</f>
      </c>
      <c r="G15636">
        <f>IF(DATOS!$A15636="",0,IF(CONFIG_METADATA!$B$4&lt;&gt;"OR+EX",--(DATOS!$G15636=CONFIG_METADATA!$B$4),IF(DATOS!$G15636="EX",1,IF(DATOS!$G15636="OR",--(COUNTIFS(nNIA,DATOS!$A15636,nCURSO,DATOS!$D15636,nESPEC,DATOS!$E15636,nASIG,DATOS!$I15636,nEVAL,"EX")=0),0))))</f>
      </c>
      <c r="H15636">
        <f>IF(DATOS!$G15636&lt;&gt;"EX",0,--(COUNTIFS(nNIA,DATOS!$A15636,nCURSO,DATOS!$D15636,nESPEC,DATOS!$E15636,nASIG,DATOS!$I15636,nEVAL,"OR")=0))</f>
      </c>
      <c r="I15636">
        <f>IF(DATOS!$I15636="","",IFERROR(VLOOKUP(DATOS!$I15636,CONFIG_ASIGNATURAS!$B$2:$J$91,9,FALSE()),""))</f>
      </c>
    </row>
    <row r="15637">
      <c r="F15637">
        <f>IF(DATOS!$A15637="","",DATOS!$A15637&amp;"|"&amp;DATOS!$D15637&amp;"|"&amp;DATOS!$E15637&amp;"|"&amp;DATOS!$I15637)</f>
      </c>
      <c r="G15637">
        <f>IF(DATOS!$A15637="",0,IF(CONFIG_METADATA!$B$4&lt;&gt;"OR+EX",--(DATOS!$G15637=CONFIG_METADATA!$B$4),IF(DATOS!$G15637="EX",1,IF(DATOS!$G15637="OR",--(COUNTIFS(nNIA,DATOS!$A15637,nCURSO,DATOS!$D15637,nESPEC,DATOS!$E15637,nASIG,DATOS!$I15637,nEVAL,"EX")=0),0))))</f>
      </c>
      <c r="H15637">
        <f>IF(DATOS!$G15637&lt;&gt;"EX",0,--(COUNTIFS(nNIA,DATOS!$A15637,nCURSO,DATOS!$D15637,nESPEC,DATOS!$E15637,nASIG,DATOS!$I15637,nEVAL,"OR")=0))</f>
      </c>
      <c r="I15637">
        <f>IF(DATOS!$I15637="","",IFERROR(VLOOKUP(DATOS!$I15637,CONFIG_ASIGNATURAS!$B$2:$J$91,9,FALSE()),""))</f>
      </c>
    </row>
    <row r="15638">
      <c r="F15638">
        <f>IF(DATOS!$A15638="","",DATOS!$A15638&amp;"|"&amp;DATOS!$D15638&amp;"|"&amp;DATOS!$E15638&amp;"|"&amp;DATOS!$I15638)</f>
      </c>
      <c r="G15638">
        <f>IF(DATOS!$A15638="",0,IF(CONFIG_METADATA!$B$4&lt;&gt;"OR+EX",--(DATOS!$G15638=CONFIG_METADATA!$B$4),IF(DATOS!$G15638="EX",1,IF(DATOS!$G15638="OR",--(COUNTIFS(nNIA,DATOS!$A15638,nCURSO,DATOS!$D15638,nESPEC,DATOS!$E15638,nASIG,DATOS!$I15638,nEVAL,"EX")=0),0))))</f>
      </c>
      <c r="H15638">
        <f>IF(DATOS!$G15638&lt;&gt;"EX",0,--(COUNTIFS(nNIA,DATOS!$A15638,nCURSO,DATOS!$D15638,nESPEC,DATOS!$E15638,nASIG,DATOS!$I15638,nEVAL,"OR")=0))</f>
      </c>
      <c r="I15638">
        <f>IF(DATOS!$I15638="","",IFERROR(VLOOKUP(DATOS!$I15638,CONFIG_ASIGNATURAS!$B$2:$J$91,9,FALSE()),""))</f>
      </c>
    </row>
    <row r="15639">
      <c r="F15639">
        <f>IF(DATOS!$A15639="","",DATOS!$A15639&amp;"|"&amp;DATOS!$D15639&amp;"|"&amp;DATOS!$E15639&amp;"|"&amp;DATOS!$I15639)</f>
      </c>
      <c r="G15639">
        <f>IF(DATOS!$A15639="",0,IF(CONFIG_METADATA!$B$4&lt;&gt;"OR+EX",--(DATOS!$G15639=CONFIG_METADATA!$B$4),IF(DATOS!$G15639="EX",1,IF(DATOS!$G15639="OR",--(COUNTIFS(nNIA,DATOS!$A15639,nCURSO,DATOS!$D15639,nESPEC,DATOS!$E15639,nASIG,DATOS!$I15639,nEVAL,"EX")=0),0))))</f>
      </c>
      <c r="H15639">
        <f>IF(DATOS!$G15639&lt;&gt;"EX",0,--(COUNTIFS(nNIA,DATOS!$A15639,nCURSO,DATOS!$D15639,nESPEC,DATOS!$E15639,nASIG,DATOS!$I15639,nEVAL,"OR")=0))</f>
      </c>
      <c r="I15639">
        <f>IF(DATOS!$I15639="","",IFERROR(VLOOKUP(DATOS!$I15639,CONFIG_ASIGNATURAS!$B$2:$J$91,9,FALSE()),""))</f>
      </c>
    </row>
    <row r="15640">
      <c r="F15640">
        <f>IF(DATOS!$A15640="","",DATOS!$A15640&amp;"|"&amp;DATOS!$D15640&amp;"|"&amp;DATOS!$E15640&amp;"|"&amp;DATOS!$I15640)</f>
      </c>
      <c r="G15640">
        <f>IF(DATOS!$A15640="",0,IF(CONFIG_METADATA!$B$4&lt;&gt;"OR+EX",--(DATOS!$G15640=CONFIG_METADATA!$B$4),IF(DATOS!$G15640="EX",1,IF(DATOS!$G15640="OR",--(COUNTIFS(nNIA,DATOS!$A15640,nCURSO,DATOS!$D15640,nESPEC,DATOS!$E15640,nASIG,DATOS!$I15640,nEVAL,"EX")=0),0))))</f>
      </c>
      <c r="H15640">
        <f>IF(DATOS!$G15640&lt;&gt;"EX",0,--(COUNTIFS(nNIA,DATOS!$A15640,nCURSO,DATOS!$D15640,nESPEC,DATOS!$E15640,nASIG,DATOS!$I15640,nEVAL,"OR")=0))</f>
      </c>
      <c r="I15640">
        <f>IF(DATOS!$I15640="","",IFERROR(VLOOKUP(DATOS!$I15640,CONFIG_ASIGNATURAS!$B$2:$J$91,9,FALSE()),""))</f>
      </c>
    </row>
    <row r="15641">
      <c r="F15641">
        <f>IF(DATOS!$A15641="","",DATOS!$A15641&amp;"|"&amp;DATOS!$D15641&amp;"|"&amp;DATOS!$E15641&amp;"|"&amp;DATOS!$I15641)</f>
      </c>
      <c r="G15641">
        <f>IF(DATOS!$A15641="",0,IF(CONFIG_METADATA!$B$4&lt;&gt;"OR+EX",--(DATOS!$G15641=CONFIG_METADATA!$B$4),IF(DATOS!$G15641="EX",1,IF(DATOS!$G15641="OR",--(COUNTIFS(nNIA,DATOS!$A15641,nCURSO,DATOS!$D15641,nESPEC,DATOS!$E15641,nASIG,DATOS!$I15641,nEVAL,"EX")=0),0))))</f>
      </c>
      <c r="H15641">
        <f>IF(DATOS!$G15641&lt;&gt;"EX",0,--(COUNTIFS(nNIA,DATOS!$A15641,nCURSO,DATOS!$D15641,nESPEC,DATOS!$E15641,nASIG,DATOS!$I15641,nEVAL,"OR")=0))</f>
      </c>
      <c r="I15641">
        <f>IF(DATOS!$I15641="","",IFERROR(VLOOKUP(DATOS!$I15641,CONFIG_ASIGNATURAS!$B$2:$J$91,9,FALSE()),""))</f>
      </c>
    </row>
    <row r="15642">
      <c r="F15642">
        <f>IF(DATOS!$A15642="","",DATOS!$A15642&amp;"|"&amp;DATOS!$D15642&amp;"|"&amp;DATOS!$E15642&amp;"|"&amp;DATOS!$I15642)</f>
      </c>
      <c r="G15642">
        <f>IF(DATOS!$A15642="",0,IF(CONFIG_METADATA!$B$4&lt;&gt;"OR+EX",--(DATOS!$G15642=CONFIG_METADATA!$B$4),IF(DATOS!$G15642="EX",1,IF(DATOS!$G15642="OR",--(COUNTIFS(nNIA,DATOS!$A15642,nCURSO,DATOS!$D15642,nESPEC,DATOS!$E15642,nASIG,DATOS!$I15642,nEVAL,"EX")=0),0))))</f>
      </c>
      <c r="H15642">
        <f>IF(DATOS!$G15642&lt;&gt;"EX",0,--(COUNTIFS(nNIA,DATOS!$A15642,nCURSO,DATOS!$D15642,nESPEC,DATOS!$E15642,nASIG,DATOS!$I15642,nEVAL,"OR")=0))</f>
      </c>
      <c r="I15642">
        <f>IF(DATOS!$I15642="","",IFERROR(VLOOKUP(DATOS!$I15642,CONFIG_ASIGNATURAS!$B$2:$J$91,9,FALSE()),""))</f>
      </c>
    </row>
    <row r="15643">
      <c r="F15643">
        <f>IF(DATOS!$A15643="","",DATOS!$A15643&amp;"|"&amp;DATOS!$D15643&amp;"|"&amp;DATOS!$E15643&amp;"|"&amp;DATOS!$I15643)</f>
      </c>
      <c r="G15643">
        <f>IF(DATOS!$A15643="",0,IF(CONFIG_METADATA!$B$4&lt;&gt;"OR+EX",--(DATOS!$G15643=CONFIG_METADATA!$B$4),IF(DATOS!$G15643="EX",1,IF(DATOS!$G15643="OR",--(COUNTIFS(nNIA,DATOS!$A15643,nCURSO,DATOS!$D15643,nESPEC,DATOS!$E15643,nASIG,DATOS!$I15643,nEVAL,"EX")=0),0))))</f>
      </c>
      <c r="H15643">
        <f>IF(DATOS!$G15643&lt;&gt;"EX",0,--(COUNTIFS(nNIA,DATOS!$A15643,nCURSO,DATOS!$D15643,nESPEC,DATOS!$E15643,nASIG,DATOS!$I15643,nEVAL,"OR")=0))</f>
      </c>
      <c r="I15643">
        <f>IF(DATOS!$I15643="","",IFERROR(VLOOKUP(DATOS!$I15643,CONFIG_ASIGNATURAS!$B$2:$J$91,9,FALSE()),""))</f>
      </c>
    </row>
    <row r="15644">
      <c r="F15644">
        <f>IF(DATOS!$A15644="","",DATOS!$A15644&amp;"|"&amp;DATOS!$D15644&amp;"|"&amp;DATOS!$E15644&amp;"|"&amp;DATOS!$I15644)</f>
      </c>
      <c r="G15644">
        <f>IF(DATOS!$A15644="",0,IF(CONFIG_METADATA!$B$4&lt;&gt;"OR+EX",--(DATOS!$G15644=CONFIG_METADATA!$B$4),IF(DATOS!$G15644="EX",1,IF(DATOS!$G15644="OR",--(COUNTIFS(nNIA,DATOS!$A15644,nCURSO,DATOS!$D15644,nESPEC,DATOS!$E15644,nASIG,DATOS!$I15644,nEVAL,"EX")=0),0))))</f>
      </c>
      <c r="H15644">
        <f>IF(DATOS!$G15644&lt;&gt;"EX",0,--(COUNTIFS(nNIA,DATOS!$A15644,nCURSO,DATOS!$D15644,nESPEC,DATOS!$E15644,nASIG,DATOS!$I15644,nEVAL,"OR")=0))</f>
      </c>
      <c r="I15644">
        <f>IF(DATOS!$I15644="","",IFERROR(VLOOKUP(DATOS!$I15644,CONFIG_ASIGNATURAS!$B$2:$J$91,9,FALSE()),""))</f>
      </c>
    </row>
    <row r="15645">
      <c r="F15645">
        <f>IF(DATOS!$A15645="","",DATOS!$A15645&amp;"|"&amp;DATOS!$D15645&amp;"|"&amp;DATOS!$E15645&amp;"|"&amp;DATOS!$I15645)</f>
      </c>
      <c r="G15645">
        <f>IF(DATOS!$A15645="",0,IF(CONFIG_METADATA!$B$4&lt;&gt;"OR+EX",--(DATOS!$G15645=CONFIG_METADATA!$B$4),IF(DATOS!$G15645="EX",1,IF(DATOS!$G15645="OR",--(COUNTIFS(nNIA,DATOS!$A15645,nCURSO,DATOS!$D15645,nESPEC,DATOS!$E15645,nASIG,DATOS!$I15645,nEVAL,"EX")=0),0))))</f>
      </c>
      <c r="H15645">
        <f>IF(DATOS!$G15645&lt;&gt;"EX",0,--(COUNTIFS(nNIA,DATOS!$A15645,nCURSO,DATOS!$D15645,nESPEC,DATOS!$E15645,nASIG,DATOS!$I15645,nEVAL,"OR")=0))</f>
      </c>
      <c r="I15645">
        <f>IF(DATOS!$I15645="","",IFERROR(VLOOKUP(DATOS!$I15645,CONFIG_ASIGNATURAS!$B$2:$J$91,9,FALSE()),""))</f>
      </c>
    </row>
    <row r="15646">
      <c r="F15646">
        <f>IF(DATOS!$A15646="","",DATOS!$A15646&amp;"|"&amp;DATOS!$D15646&amp;"|"&amp;DATOS!$E15646&amp;"|"&amp;DATOS!$I15646)</f>
      </c>
      <c r="G15646">
        <f>IF(DATOS!$A15646="",0,IF(CONFIG_METADATA!$B$4&lt;&gt;"OR+EX",--(DATOS!$G15646=CONFIG_METADATA!$B$4),IF(DATOS!$G15646="EX",1,IF(DATOS!$G15646="OR",--(COUNTIFS(nNIA,DATOS!$A15646,nCURSO,DATOS!$D15646,nESPEC,DATOS!$E15646,nASIG,DATOS!$I15646,nEVAL,"EX")=0),0))))</f>
      </c>
      <c r="H15646">
        <f>IF(DATOS!$G15646&lt;&gt;"EX",0,--(COUNTIFS(nNIA,DATOS!$A15646,nCURSO,DATOS!$D15646,nESPEC,DATOS!$E15646,nASIG,DATOS!$I15646,nEVAL,"OR")=0))</f>
      </c>
      <c r="I15646">
        <f>IF(DATOS!$I15646="","",IFERROR(VLOOKUP(DATOS!$I15646,CONFIG_ASIGNATURAS!$B$2:$J$91,9,FALSE()),""))</f>
      </c>
    </row>
    <row r="15647">
      <c r="F15647">
        <f>IF(DATOS!$A15647="","",DATOS!$A15647&amp;"|"&amp;DATOS!$D15647&amp;"|"&amp;DATOS!$E15647&amp;"|"&amp;DATOS!$I15647)</f>
      </c>
      <c r="G15647">
        <f>IF(DATOS!$A15647="",0,IF(CONFIG_METADATA!$B$4&lt;&gt;"OR+EX",--(DATOS!$G15647=CONFIG_METADATA!$B$4),IF(DATOS!$G15647="EX",1,IF(DATOS!$G15647="OR",--(COUNTIFS(nNIA,DATOS!$A15647,nCURSO,DATOS!$D15647,nESPEC,DATOS!$E15647,nASIG,DATOS!$I15647,nEVAL,"EX")=0),0))))</f>
      </c>
      <c r="H15647">
        <f>IF(DATOS!$G15647&lt;&gt;"EX",0,--(COUNTIFS(nNIA,DATOS!$A15647,nCURSO,DATOS!$D15647,nESPEC,DATOS!$E15647,nASIG,DATOS!$I15647,nEVAL,"OR")=0))</f>
      </c>
      <c r="I15647">
        <f>IF(DATOS!$I15647="","",IFERROR(VLOOKUP(DATOS!$I15647,CONFIG_ASIGNATURAS!$B$2:$J$91,9,FALSE()),""))</f>
      </c>
    </row>
    <row r="15648">
      <c r="F15648">
        <f>IF(DATOS!$A15648="","",DATOS!$A15648&amp;"|"&amp;DATOS!$D15648&amp;"|"&amp;DATOS!$E15648&amp;"|"&amp;DATOS!$I15648)</f>
      </c>
      <c r="G15648">
        <f>IF(DATOS!$A15648="",0,IF(CONFIG_METADATA!$B$4&lt;&gt;"OR+EX",--(DATOS!$G15648=CONFIG_METADATA!$B$4),IF(DATOS!$G15648="EX",1,IF(DATOS!$G15648="OR",--(COUNTIFS(nNIA,DATOS!$A15648,nCURSO,DATOS!$D15648,nESPEC,DATOS!$E15648,nASIG,DATOS!$I15648,nEVAL,"EX")=0),0))))</f>
      </c>
      <c r="H15648">
        <f>IF(DATOS!$G15648&lt;&gt;"EX",0,--(COUNTIFS(nNIA,DATOS!$A15648,nCURSO,DATOS!$D15648,nESPEC,DATOS!$E15648,nASIG,DATOS!$I15648,nEVAL,"OR")=0))</f>
      </c>
      <c r="I15648">
        <f>IF(DATOS!$I15648="","",IFERROR(VLOOKUP(DATOS!$I15648,CONFIG_ASIGNATURAS!$B$2:$J$91,9,FALSE()),""))</f>
      </c>
    </row>
    <row r="15649">
      <c r="F15649">
        <f>IF(DATOS!$A15649="","",DATOS!$A15649&amp;"|"&amp;DATOS!$D15649&amp;"|"&amp;DATOS!$E15649&amp;"|"&amp;DATOS!$I15649)</f>
      </c>
      <c r="G15649">
        <f>IF(DATOS!$A15649="",0,IF(CONFIG_METADATA!$B$4&lt;&gt;"OR+EX",--(DATOS!$G15649=CONFIG_METADATA!$B$4),IF(DATOS!$G15649="EX",1,IF(DATOS!$G15649="OR",--(COUNTIFS(nNIA,DATOS!$A15649,nCURSO,DATOS!$D15649,nESPEC,DATOS!$E15649,nASIG,DATOS!$I15649,nEVAL,"EX")=0),0))))</f>
      </c>
      <c r="H15649">
        <f>IF(DATOS!$G15649&lt;&gt;"EX",0,--(COUNTIFS(nNIA,DATOS!$A15649,nCURSO,DATOS!$D15649,nESPEC,DATOS!$E15649,nASIG,DATOS!$I15649,nEVAL,"OR")=0))</f>
      </c>
      <c r="I15649">
        <f>IF(DATOS!$I15649="","",IFERROR(VLOOKUP(DATOS!$I15649,CONFIG_ASIGNATURAS!$B$2:$J$91,9,FALSE()),""))</f>
      </c>
    </row>
    <row r="15650">
      <c r="F15650">
        <f>IF(DATOS!$A15650="","",DATOS!$A15650&amp;"|"&amp;DATOS!$D15650&amp;"|"&amp;DATOS!$E15650&amp;"|"&amp;DATOS!$I15650)</f>
      </c>
      <c r="G15650">
        <f>IF(DATOS!$A15650="",0,IF(CONFIG_METADATA!$B$4&lt;&gt;"OR+EX",--(DATOS!$G15650=CONFIG_METADATA!$B$4),IF(DATOS!$G15650="EX",1,IF(DATOS!$G15650="OR",--(COUNTIFS(nNIA,DATOS!$A15650,nCURSO,DATOS!$D15650,nESPEC,DATOS!$E15650,nASIG,DATOS!$I15650,nEVAL,"EX")=0),0))))</f>
      </c>
      <c r="H15650">
        <f>IF(DATOS!$G15650&lt;&gt;"EX",0,--(COUNTIFS(nNIA,DATOS!$A15650,nCURSO,DATOS!$D15650,nESPEC,DATOS!$E15650,nASIG,DATOS!$I15650,nEVAL,"OR")=0))</f>
      </c>
      <c r="I15650">
        <f>IF(DATOS!$I15650="","",IFERROR(VLOOKUP(DATOS!$I15650,CONFIG_ASIGNATURAS!$B$2:$J$91,9,FALSE()),""))</f>
      </c>
    </row>
    <row r="15651">
      <c r="F15651">
        <f>IF(DATOS!$A15651="","",DATOS!$A15651&amp;"|"&amp;DATOS!$D15651&amp;"|"&amp;DATOS!$E15651&amp;"|"&amp;DATOS!$I15651)</f>
      </c>
      <c r="G15651">
        <f>IF(DATOS!$A15651="",0,IF(CONFIG_METADATA!$B$4&lt;&gt;"OR+EX",--(DATOS!$G15651=CONFIG_METADATA!$B$4),IF(DATOS!$G15651="EX",1,IF(DATOS!$G15651="OR",--(COUNTIFS(nNIA,DATOS!$A15651,nCURSO,DATOS!$D15651,nESPEC,DATOS!$E15651,nASIG,DATOS!$I15651,nEVAL,"EX")=0),0))))</f>
      </c>
      <c r="H15651">
        <f>IF(DATOS!$G15651&lt;&gt;"EX",0,--(COUNTIFS(nNIA,DATOS!$A15651,nCURSO,DATOS!$D15651,nESPEC,DATOS!$E15651,nASIG,DATOS!$I15651,nEVAL,"OR")=0))</f>
      </c>
      <c r="I15651">
        <f>IF(DATOS!$I15651="","",IFERROR(VLOOKUP(DATOS!$I15651,CONFIG_ASIGNATURAS!$B$2:$J$91,9,FALSE()),""))</f>
      </c>
    </row>
    <row r="15652">
      <c r="F15652">
        <f>IF(DATOS!$A15652="","",DATOS!$A15652&amp;"|"&amp;DATOS!$D15652&amp;"|"&amp;DATOS!$E15652&amp;"|"&amp;DATOS!$I15652)</f>
      </c>
      <c r="G15652">
        <f>IF(DATOS!$A15652="",0,IF(CONFIG_METADATA!$B$4&lt;&gt;"OR+EX",--(DATOS!$G15652=CONFIG_METADATA!$B$4),IF(DATOS!$G15652="EX",1,IF(DATOS!$G15652="OR",--(COUNTIFS(nNIA,DATOS!$A15652,nCURSO,DATOS!$D15652,nESPEC,DATOS!$E15652,nASIG,DATOS!$I15652,nEVAL,"EX")=0),0))))</f>
      </c>
      <c r="H15652">
        <f>IF(DATOS!$G15652&lt;&gt;"EX",0,--(COUNTIFS(nNIA,DATOS!$A15652,nCURSO,DATOS!$D15652,nESPEC,DATOS!$E15652,nASIG,DATOS!$I15652,nEVAL,"OR")=0))</f>
      </c>
      <c r="I15652">
        <f>IF(DATOS!$I15652="","",IFERROR(VLOOKUP(DATOS!$I15652,CONFIG_ASIGNATURAS!$B$2:$J$91,9,FALSE()),""))</f>
      </c>
    </row>
    <row r="15653">
      <c r="F15653">
        <f>IF(DATOS!$A15653="","",DATOS!$A15653&amp;"|"&amp;DATOS!$D15653&amp;"|"&amp;DATOS!$E15653&amp;"|"&amp;DATOS!$I15653)</f>
      </c>
      <c r="G15653">
        <f>IF(DATOS!$A15653="",0,IF(CONFIG_METADATA!$B$4&lt;&gt;"OR+EX",--(DATOS!$G15653=CONFIG_METADATA!$B$4),IF(DATOS!$G15653="EX",1,IF(DATOS!$G15653="OR",--(COUNTIFS(nNIA,DATOS!$A15653,nCURSO,DATOS!$D15653,nESPEC,DATOS!$E15653,nASIG,DATOS!$I15653,nEVAL,"EX")=0),0))))</f>
      </c>
      <c r="H15653">
        <f>IF(DATOS!$G15653&lt;&gt;"EX",0,--(COUNTIFS(nNIA,DATOS!$A15653,nCURSO,DATOS!$D15653,nESPEC,DATOS!$E15653,nASIG,DATOS!$I15653,nEVAL,"OR")=0))</f>
      </c>
      <c r="I15653">
        <f>IF(DATOS!$I15653="","",IFERROR(VLOOKUP(DATOS!$I15653,CONFIG_ASIGNATURAS!$B$2:$J$91,9,FALSE()),""))</f>
      </c>
    </row>
    <row r="15654">
      <c r="F15654">
        <f>IF(DATOS!$A15654="","",DATOS!$A15654&amp;"|"&amp;DATOS!$D15654&amp;"|"&amp;DATOS!$E15654&amp;"|"&amp;DATOS!$I15654)</f>
      </c>
      <c r="G15654">
        <f>IF(DATOS!$A15654="",0,IF(CONFIG_METADATA!$B$4&lt;&gt;"OR+EX",--(DATOS!$G15654=CONFIG_METADATA!$B$4),IF(DATOS!$G15654="EX",1,IF(DATOS!$G15654="OR",--(COUNTIFS(nNIA,DATOS!$A15654,nCURSO,DATOS!$D15654,nESPEC,DATOS!$E15654,nASIG,DATOS!$I15654,nEVAL,"EX")=0),0))))</f>
      </c>
      <c r="H15654">
        <f>IF(DATOS!$G15654&lt;&gt;"EX",0,--(COUNTIFS(nNIA,DATOS!$A15654,nCURSO,DATOS!$D15654,nESPEC,DATOS!$E15654,nASIG,DATOS!$I15654,nEVAL,"OR")=0))</f>
      </c>
      <c r="I15654">
        <f>IF(DATOS!$I15654="","",IFERROR(VLOOKUP(DATOS!$I15654,CONFIG_ASIGNATURAS!$B$2:$J$91,9,FALSE()),""))</f>
      </c>
    </row>
    <row r="15655">
      <c r="F15655">
        <f>IF(DATOS!$A15655="","",DATOS!$A15655&amp;"|"&amp;DATOS!$D15655&amp;"|"&amp;DATOS!$E15655&amp;"|"&amp;DATOS!$I15655)</f>
      </c>
      <c r="G15655">
        <f>IF(DATOS!$A15655="",0,IF(CONFIG_METADATA!$B$4&lt;&gt;"OR+EX",--(DATOS!$G15655=CONFIG_METADATA!$B$4),IF(DATOS!$G15655="EX",1,IF(DATOS!$G15655="OR",--(COUNTIFS(nNIA,DATOS!$A15655,nCURSO,DATOS!$D15655,nESPEC,DATOS!$E15655,nASIG,DATOS!$I15655,nEVAL,"EX")=0),0))))</f>
      </c>
      <c r="H15655">
        <f>IF(DATOS!$G15655&lt;&gt;"EX",0,--(COUNTIFS(nNIA,DATOS!$A15655,nCURSO,DATOS!$D15655,nESPEC,DATOS!$E15655,nASIG,DATOS!$I15655,nEVAL,"OR")=0))</f>
      </c>
      <c r="I15655">
        <f>IF(DATOS!$I15655="","",IFERROR(VLOOKUP(DATOS!$I15655,CONFIG_ASIGNATURAS!$B$2:$J$91,9,FALSE()),""))</f>
      </c>
    </row>
    <row r="15656">
      <c r="F15656">
        <f>IF(DATOS!$A15656="","",DATOS!$A15656&amp;"|"&amp;DATOS!$D15656&amp;"|"&amp;DATOS!$E15656&amp;"|"&amp;DATOS!$I15656)</f>
      </c>
      <c r="G15656">
        <f>IF(DATOS!$A15656="",0,IF(CONFIG_METADATA!$B$4&lt;&gt;"OR+EX",--(DATOS!$G15656=CONFIG_METADATA!$B$4),IF(DATOS!$G15656="EX",1,IF(DATOS!$G15656="OR",--(COUNTIFS(nNIA,DATOS!$A15656,nCURSO,DATOS!$D15656,nESPEC,DATOS!$E15656,nASIG,DATOS!$I15656,nEVAL,"EX")=0),0))))</f>
      </c>
      <c r="H15656">
        <f>IF(DATOS!$G15656&lt;&gt;"EX",0,--(COUNTIFS(nNIA,DATOS!$A15656,nCURSO,DATOS!$D15656,nESPEC,DATOS!$E15656,nASIG,DATOS!$I15656,nEVAL,"OR")=0))</f>
      </c>
      <c r="I15656">
        <f>IF(DATOS!$I15656="","",IFERROR(VLOOKUP(DATOS!$I15656,CONFIG_ASIGNATURAS!$B$2:$J$91,9,FALSE()),""))</f>
      </c>
    </row>
    <row r="15657">
      <c r="F15657">
        <f>IF(DATOS!$A15657="","",DATOS!$A15657&amp;"|"&amp;DATOS!$D15657&amp;"|"&amp;DATOS!$E15657&amp;"|"&amp;DATOS!$I15657)</f>
      </c>
      <c r="G15657">
        <f>IF(DATOS!$A15657="",0,IF(CONFIG_METADATA!$B$4&lt;&gt;"OR+EX",--(DATOS!$G15657=CONFIG_METADATA!$B$4),IF(DATOS!$G15657="EX",1,IF(DATOS!$G15657="OR",--(COUNTIFS(nNIA,DATOS!$A15657,nCURSO,DATOS!$D15657,nESPEC,DATOS!$E15657,nASIG,DATOS!$I15657,nEVAL,"EX")=0),0))))</f>
      </c>
      <c r="H15657">
        <f>IF(DATOS!$G15657&lt;&gt;"EX",0,--(COUNTIFS(nNIA,DATOS!$A15657,nCURSO,DATOS!$D15657,nESPEC,DATOS!$E15657,nASIG,DATOS!$I15657,nEVAL,"OR")=0))</f>
      </c>
      <c r="I15657">
        <f>IF(DATOS!$I15657="","",IFERROR(VLOOKUP(DATOS!$I15657,CONFIG_ASIGNATURAS!$B$2:$J$91,9,FALSE()),""))</f>
      </c>
    </row>
    <row r="15658">
      <c r="F15658">
        <f>IF(DATOS!$A15658="","",DATOS!$A15658&amp;"|"&amp;DATOS!$D15658&amp;"|"&amp;DATOS!$E15658&amp;"|"&amp;DATOS!$I15658)</f>
      </c>
      <c r="G15658">
        <f>IF(DATOS!$A15658="",0,IF(CONFIG_METADATA!$B$4&lt;&gt;"OR+EX",--(DATOS!$G15658=CONFIG_METADATA!$B$4),IF(DATOS!$G15658="EX",1,IF(DATOS!$G15658="OR",--(COUNTIFS(nNIA,DATOS!$A15658,nCURSO,DATOS!$D15658,nESPEC,DATOS!$E15658,nASIG,DATOS!$I15658,nEVAL,"EX")=0),0))))</f>
      </c>
      <c r="H15658">
        <f>IF(DATOS!$G15658&lt;&gt;"EX",0,--(COUNTIFS(nNIA,DATOS!$A15658,nCURSO,DATOS!$D15658,nESPEC,DATOS!$E15658,nASIG,DATOS!$I15658,nEVAL,"OR")=0))</f>
      </c>
      <c r="I15658">
        <f>IF(DATOS!$I15658="","",IFERROR(VLOOKUP(DATOS!$I15658,CONFIG_ASIGNATURAS!$B$2:$J$91,9,FALSE()),""))</f>
      </c>
    </row>
    <row r="15659">
      <c r="F15659">
        <f>IF(DATOS!$A15659="","",DATOS!$A15659&amp;"|"&amp;DATOS!$D15659&amp;"|"&amp;DATOS!$E15659&amp;"|"&amp;DATOS!$I15659)</f>
      </c>
      <c r="G15659">
        <f>IF(DATOS!$A15659="",0,IF(CONFIG_METADATA!$B$4&lt;&gt;"OR+EX",--(DATOS!$G15659=CONFIG_METADATA!$B$4),IF(DATOS!$G15659="EX",1,IF(DATOS!$G15659="OR",--(COUNTIFS(nNIA,DATOS!$A15659,nCURSO,DATOS!$D15659,nESPEC,DATOS!$E15659,nASIG,DATOS!$I15659,nEVAL,"EX")=0),0))))</f>
      </c>
      <c r="H15659">
        <f>IF(DATOS!$G15659&lt;&gt;"EX",0,--(COUNTIFS(nNIA,DATOS!$A15659,nCURSO,DATOS!$D15659,nESPEC,DATOS!$E15659,nASIG,DATOS!$I15659,nEVAL,"OR")=0))</f>
      </c>
      <c r="I15659">
        <f>IF(DATOS!$I15659="","",IFERROR(VLOOKUP(DATOS!$I15659,CONFIG_ASIGNATURAS!$B$2:$J$91,9,FALSE()),""))</f>
      </c>
    </row>
    <row r="15660">
      <c r="F15660">
        <f>IF(DATOS!$A15660="","",DATOS!$A15660&amp;"|"&amp;DATOS!$D15660&amp;"|"&amp;DATOS!$E15660&amp;"|"&amp;DATOS!$I15660)</f>
      </c>
      <c r="G15660">
        <f>IF(DATOS!$A15660="",0,IF(CONFIG_METADATA!$B$4&lt;&gt;"OR+EX",--(DATOS!$G15660=CONFIG_METADATA!$B$4),IF(DATOS!$G15660="EX",1,IF(DATOS!$G15660="OR",--(COUNTIFS(nNIA,DATOS!$A15660,nCURSO,DATOS!$D15660,nESPEC,DATOS!$E15660,nASIG,DATOS!$I15660,nEVAL,"EX")=0),0))))</f>
      </c>
      <c r="H15660">
        <f>IF(DATOS!$G15660&lt;&gt;"EX",0,--(COUNTIFS(nNIA,DATOS!$A15660,nCURSO,DATOS!$D15660,nESPEC,DATOS!$E15660,nASIG,DATOS!$I15660,nEVAL,"OR")=0))</f>
      </c>
      <c r="I15660">
        <f>IF(DATOS!$I15660="","",IFERROR(VLOOKUP(DATOS!$I15660,CONFIG_ASIGNATURAS!$B$2:$J$91,9,FALSE()),""))</f>
      </c>
    </row>
    <row r="15661">
      <c r="F15661">
        <f>IF(DATOS!$A15661="","",DATOS!$A15661&amp;"|"&amp;DATOS!$D15661&amp;"|"&amp;DATOS!$E15661&amp;"|"&amp;DATOS!$I15661)</f>
      </c>
      <c r="G15661">
        <f>IF(DATOS!$A15661="",0,IF(CONFIG_METADATA!$B$4&lt;&gt;"OR+EX",--(DATOS!$G15661=CONFIG_METADATA!$B$4),IF(DATOS!$G15661="EX",1,IF(DATOS!$G15661="OR",--(COUNTIFS(nNIA,DATOS!$A15661,nCURSO,DATOS!$D15661,nESPEC,DATOS!$E15661,nASIG,DATOS!$I15661,nEVAL,"EX")=0),0))))</f>
      </c>
      <c r="H15661">
        <f>IF(DATOS!$G15661&lt;&gt;"EX",0,--(COUNTIFS(nNIA,DATOS!$A15661,nCURSO,DATOS!$D15661,nESPEC,DATOS!$E15661,nASIG,DATOS!$I15661,nEVAL,"OR")=0))</f>
      </c>
      <c r="I15661">
        <f>IF(DATOS!$I15661="","",IFERROR(VLOOKUP(DATOS!$I15661,CONFIG_ASIGNATURAS!$B$2:$J$91,9,FALSE()),""))</f>
      </c>
    </row>
    <row r="15662">
      <c r="F15662">
        <f>IF(DATOS!$A15662="","",DATOS!$A15662&amp;"|"&amp;DATOS!$D15662&amp;"|"&amp;DATOS!$E15662&amp;"|"&amp;DATOS!$I15662)</f>
      </c>
      <c r="G15662">
        <f>IF(DATOS!$A15662="",0,IF(CONFIG_METADATA!$B$4&lt;&gt;"OR+EX",--(DATOS!$G15662=CONFIG_METADATA!$B$4),IF(DATOS!$G15662="EX",1,IF(DATOS!$G15662="OR",--(COUNTIFS(nNIA,DATOS!$A15662,nCURSO,DATOS!$D15662,nESPEC,DATOS!$E15662,nASIG,DATOS!$I15662,nEVAL,"EX")=0),0))))</f>
      </c>
      <c r="H15662">
        <f>IF(DATOS!$G15662&lt;&gt;"EX",0,--(COUNTIFS(nNIA,DATOS!$A15662,nCURSO,DATOS!$D15662,nESPEC,DATOS!$E15662,nASIG,DATOS!$I15662,nEVAL,"OR")=0))</f>
      </c>
      <c r="I15662">
        <f>IF(DATOS!$I15662="","",IFERROR(VLOOKUP(DATOS!$I15662,CONFIG_ASIGNATURAS!$B$2:$J$91,9,FALSE()),""))</f>
      </c>
    </row>
    <row r="15663">
      <c r="F15663">
        <f>IF(DATOS!$A15663="","",DATOS!$A15663&amp;"|"&amp;DATOS!$D15663&amp;"|"&amp;DATOS!$E15663&amp;"|"&amp;DATOS!$I15663)</f>
      </c>
      <c r="G15663">
        <f>IF(DATOS!$A15663="",0,IF(CONFIG_METADATA!$B$4&lt;&gt;"OR+EX",--(DATOS!$G15663=CONFIG_METADATA!$B$4),IF(DATOS!$G15663="EX",1,IF(DATOS!$G15663="OR",--(COUNTIFS(nNIA,DATOS!$A15663,nCURSO,DATOS!$D15663,nESPEC,DATOS!$E15663,nASIG,DATOS!$I15663,nEVAL,"EX")=0),0))))</f>
      </c>
      <c r="H15663">
        <f>IF(DATOS!$G15663&lt;&gt;"EX",0,--(COUNTIFS(nNIA,DATOS!$A15663,nCURSO,DATOS!$D15663,nESPEC,DATOS!$E15663,nASIG,DATOS!$I15663,nEVAL,"OR")=0))</f>
      </c>
      <c r="I15663">
        <f>IF(DATOS!$I15663="","",IFERROR(VLOOKUP(DATOS!$I15663,CONFIG_ASIGNATURAS!$B$2:$J$91,9,FALSE()),""))</f>
      </c>
    </row>
    <row r="15664">
      <c r="F15664">
        <f>IF(DATOS!$A15664="","",DATOS!$A15664&amp;"|"&amp;DATOS!$D15664&amp;"|"&amp;DATOS!$E15664&amp;"|"&amp;DATOS!$I15664)</f>
      </c>
      <c r="G15664">
        <f>IF(DATOS!$A15664="",0,IF(CONFIG_METADATA!$B$4&lt;&gt;"OR+EX",--(DATOS!$G15664=CONFIG_METADATA!$B$4),IF(DATOS!$G15664="EX",1,IF(DATOS!$G15664="OR",--(COUNTIFS(nNIA,DATOS!$A15664,nCURSO,DATOS!$D15664,nESPEC,DATOS!$E15664,nASIG,DATOS!$I15664,nEVAL,"EX")=0),0))))</f>
      </c>
      <c r="H15664">
        <f>IF(DATOS!$G15664&lt;&gt;"EX",0,--(COUNTIFS(nNIA,DATOS!$A15664,nCURSO,DATOS!$D15664,nESPEC,DATOS!$E15664,nASIG,DATOS!$I15664,nEVAL,"OR")=0))</f>
      </c>
      <c r="I15664">
        <f>IF(DATOS!$I15664="","",IFERROR(VLOOKUP(DATOS!$I15664,CONFIG_ASIGNATURAS!$B$2:$J$91,9,FALSE()),""))</f>
      </c>
    </row>
    <row r="15665">
      <c r="F15665">
        <f>IF(DATOS!$A15665="","",DATOS!$A15665&amp;"|"&amp;DATOS!$D15665&amp;"|"&amp;DATOS!$E15665&amp;"|"&amp;DATOS!$I15665)</f>
      </c>
      <c r="G15665">
        <f>IF(DATOS!$A15665="",0,IF(CONFIG_METADATA!$B$4&lt;&gt;"OR+EX",--(DATOS!$G15665=CONFIG_METADATA!$B$4),IF(DATOS!$G15665="EX",1,IF(DATOS!$G15665="OR",--(COUNTIFS(nNIA,DATOS!$A15665,nCURSO,DATOS!$D15665,nESPEC,DATOS!$E15665,nASIG,DATOS!$I15665,nEVAL,"EX")=0),0))))</f>
      </c>
      <c r="H15665">
        <f>IF(DATOS!$G15665&lt;&gt;"EX",0,--(COUNTIFS(nNIA,DATOS!$A15665,nCURSO,DATOS!$D15665,nESPEC,DATOS!$E15665,nASIG,DATOS!$I15665,nEVAL,"OR")=0))</f>
      </c>
      <c r="I15665">
        <f>IF(DATOS!$I15665="","",IFERROR(VLOOKUP(DATOS!$I15665,CONFIG_ASIGNATURAS!$B$2:$J$91,9,FALSE()),""))</f>
      </c>
    </row>
    <row r="15666">
      <c r="F15666">
        <f>IF(DATOS!$A15666="","",DATOS!$A15666&amp;"|"&amp;DATOS!$D15666&amp;"|"&amp;DATOS!$E15666&amp;"|"&amp;DATOS!$I15666)</f>
      </c>
      <c r="G15666">
        <f>IF(DATOS!$A15666="",0,IF(CONFIG_METADATA!$B$4&lt;&gt;"OR+EX",--(DATOS!$G15666=CONFIG_METADATA!$B$4),IF(DATOS!$G15666="EX",1,IF(DATOS!$G15666="OR",--(COUNTIFS(nNIA,DATOS!$A15666,nCURSO,DATOS!$D15666,nESPEC,DATOS!$E15666,nASIG,DATOS!$I15666,nEVAL,"EX")=0),0))))</f>
      </c>
      <c r="H15666">
        <f>IF(DATOS!$G15666&lt;&gt;"EX",0,--(COUNTIFS(nNIA,DATOS!$A15666,nCURSO,DATOS!$D15666,nESPEC,DATOS!$E15666,nASIG,DATOS!$I15666,nEVAL,"OR")=0))</f>
      </c>
      <c r="I15666">
        <f>IF(DATOS!$I15666="","",IFERROR(VLOOKUP(DATOS!$I15666,CONFIG_ASIGNATURAS!$B$2:$J$91,9,FALSE()),""))</f>
      </c>
    </row>
    <row r="15667">
      <c r="F15667">
        <f>IF(DATOS!$A15667="","",DATOS!$A15667&amp;"|"&amp;DATOS!$D15667&amp;"|"&amp;DATOS!$E15667&amp;"|"&amp;DATOS!$I15667)</f>
      </c>
      <c r="G15667">
        <f>IF(DATOS!$A15667="",0,IF(CONFIG_METADATA!$B$4&lt;&gt;"OR+EX",--(DATOS!$G15667=CONFIG_METADATA!$B$4),IF(DATOS!$G15667="EX",1,IF(DATOS!$G15667="OR",--(COUNTIFS(nNIA,DATOS!$A15667,nCURSO,DATOS!$D15667,nESPEC,DATOS!$E15667,nASIG,DATOS!$I15667,nEVAL,"EX")=0),0))))</f>
      </c>
      <c r="H15667">
        <f>IF(DATOS!$G15667&lt;&gt;"EX",0,--(COUNTIFS(nNIA,DATOS!$A15667,nCURSO,DATOS!$D15667,nESPEC,DATOS!$E15667,nASIG,DATOS!$I15667,nEVAL,"OR")=0))</f>
      </c>
      <c r="I15667">
        <f>IF(DATOS!$I15667="","",IFERROR(VLOOKUP(DATOS!$I15667,CONFIG_ASIGNATURAS!$B$2:$J$91,9,FALSE()),""))</f>
      </c>
    </row>
    <row r="15668">
      <c r="F15668">
        <f>IF(DATOS!$A15668="","",DATOS!$A15668&amp;"|"&amp;DATOS!$D15668&amp;"|"&amp;DATOS!$E15668&amp;"|"&amp;DATOS!$I15668)</f>
      </c>
      <c r="G15668">
        <f>IF(DATOS!$A15668="",0,IF(CONFIG_METADATA!$B$4&lt;&gt;"OR+EX",--(DATOS!$G15668=CONFIG_METADATA!$B$4),IF(DATOS!$G15668="EX",1,IF(DATOS!$G15668="OR",--(COUNTIFS(nNIA,DATOS!$A15668,nCURSO,DATOS!$D15668,nESPEC,DATOS!$E15668,nASIG,DATOS!$I15668,nEVAL,"EX")=0),0))))</f>
      </c>
      <c r="H15668">
        <f>IF(DATOS!$G15668&lt;&gt;"EX",0,--(COUNTIFS(nNIA,DATOS!$A15668,nCURSO,DATOS!$D15668,nESPEC,DATOS!$E15668,nASIG,DATOS!$I15668,nEVAL,"OR")=0))</f>
      </c>
      <c r="I15668">
        <f>IF(DATOS!$I15668="","",IFERROR(VLOOKUP(DATOS!$I15668,CONFIG_ASIGNATURAS!$B$2:$J$91,9,FALSE()),""))</f>
      </c>
    </row>
    <row r="15669">
      <c r="F15669">
        <f>IF(DATOS!$A15669="","",DATOS!$A15669&amp;"|"&amp;DATOS!$D15669&amp;"|"&amp;DATOS!$E15669&amp;"|"&amp;DATOS!$I15669)</f>
      </c>
      <c r="G15669">
        <f>IF(DATOS!$A15669="",0,IF(CONFIG_METADATA!$B$4&lt;&gt;"OR+EX",--(DATOS!$G15669=CONFIG_METADATA!$B$4),IF(DATOS!$G15669="EX",1,IF(DATOS!$G15669="OR",--(COUNTIFS(nNIA,DATOS!$A15669,nCURSO,DATOS!$D15669,nESPEC,DATOS!$E15669,nASIG,DATOS!$I15669,nEVAL,"EX")=0),0))))</f>
      </c>
      <c r="H15669">
        <f>IF(DATOS!$G15669&lt;&gt;"EX",0,--(COUNTIFS(nNIA,DATOS!$A15669,nCURSO,DATOS!$D15669,nESPEC,DATOS!$E15669,nASIG,DATOS!$I15669,nEVAL,"OR")=0))</f>
      </c>
      <c r="I15669">
        <f>IF(DATOS!$I15669="","",IFERROR(VLOOKUP(DATOS!$I15669,CONFIG_ASIGNATURAS!$B$2:$J$91,9,FALSE()),""))</f>
      </c>
    </row>
    <row r="15670">
      <c r="F15670">
        <f>IF(DATOS!$A15670="","",DATOS!$A15670&amp;"|"&amp;DATOS!$D15670&amp;"|"&amp;DATOS!$E15670&amp;"|"&amp;DATOS!$I15670)</f>
      </c>
      <c r="G15670">
        <f>IF(DATOS!$A15670="",0,IF(CONFIG_METADATA!$B$4&lt;&gt;"OR+EX",--(DATOS!$G15670=CONFIG_METADATA!$B$4),IF(DATOS!$G15670="EX",1,IF(DATOS!$G15670="OR",--(COUNTIFS(nNIA,DATOS!$A15670,nCURSO,DATOS!$D15670,nESPEC,DATOS!$E15670,nASIG,DATOS!$I15670,nEVAL,"EX")=0),0))))</f>
      </c>
      <c r="H15670">
        <f>IF(DATOS!$G15670&lt;&gt;"EX",0,--(COUNTIFS(nNIA,DATOS!$A15670,nCURSO,DATOS!$D15670,nESPEC,DATOS!$E15670,nASIG,DATOS!$I15670,nEVAL,"OR")=0))</f>
      </c>
      <c r="I15670">
        <f>IF(DATOS!$I15670="","",IFERROR(VLOOKUP(DATOS!$I15670,CONFIG_ASIGNATURAS!$B$2:$J$91,9,FALSE()),""))</f>
      </c>
    </row>
    <row r="15671">
      <c r="F15671">
        <f>IF(DATOS!$A15671="","",DATOS!$A15671&amp;"|"&amp;DATOS!$D15671&amp;"|"&amp;DATOS!$E15671&amp;"|"&amp;DATOS!$I15671)</f>
      </c>
      <c r="G15671">
        <f>IF(DATOS!$A15671="",0,IF(CONFIG_METADATA!$B$4&lt;&gt;"OR+EX",--(DATOS!$G15671=CONFIG_METADATA!$B$4),IF(DATOS!$G15671="EX",1,IF(DATOS!$G15671="OR",--(COUNTIFS(nNIA,DATOS!$A15671,nCURSO,DATOS!$D15671,nESPEC,DATOS!$E15671,nASIG,DATOS!$I15671,nEVAL,"EX")=0),0))))</f>
      </c>
      <c r="H15671">
        <f>IF(DATOS!$G15671&lt;&gt;"EX",0,--(COUNTIFS(nNIA,DATOS!$A15671,nCURSO,DATOS!$D15671,nESPEC,DATOS!$E15671,nASIG,DATOS!$I15671,nEVAL,"OR")=0))</f>
      </c>
      <c r="I15671">
        <f>IF(DATOS!$I15671="","",IFERROR(VLOOKUP(DATOS!$I15671,CONFIG_ASIGNATURAS!$B$2:$J$91,9,FALSE()),""))</f>
      </c>
    </row>
    <row r="15672">
      <c r="F15672">
        <f>IF(DATOS!$A15672="","",DATOS!$A15672&amp;"|"&amp;DATOS!$D15672&amp;"|"&amp;DATOS!$E15672&amp;"|"&amp;DATOS!$I15672)</f>
      </c>
      <c r="G15672">
        <f>IF(DATOS!$A15672="",0,IF(CONFIG_METADATA!$B$4&lt;&gt;"OR+EX",--(DATOS!$G15672=CONFIG_METADATA!$B$4),IF(DATOS!$G15672="EX",1,IF(DATOS!$G15672="OR",--(COUNTIFS(nNIA,DATOS!$A15672,nCURSO,DATOS!$D15672,nESPEC,DATOS!$E15672,nASIG,DATOS!$I15672,nEVAL,"EX")=0),0))))</f>
      </c>
      <c r="H15672">
        <f>IF(DATOS!$G15672&lt;&gt;"EX",0,--(COUNTIFS(nNIA,DATOS!$A15672,nCURSO,DATOS!$D15672,nESPEC,DATOS!$E15672,nASIG,DATOS!$I15672,nEVAL,"OR")=0))</f>
      </c>
      <c r="I15672">
        <f>IF(DATOS!$I15672="","",IFERROR(VLOOKUP(DATOS!$I15672,CONFIG_ASIGNATURAS!$B$2:$J$91,9,FALSE()),""))</f>
      </c>
    </row>
    <row r="15673">
      <c r="F15673">
        <f>IF(DATOS!$A15673="","",DATOS!$A15673&amp;"|"&amp;DATOS!$D15673&amp;"|"&amp;DATOS!$E15673&amp;"|"&amp;DATOS!$I15673)</f>
      </c>
      <c r="G15673">
        <f>IF(DATOS!$A15673="",0,IF(CONFIG_METADATA!$B$4&lt;&gt;"OR+EX",--(DATOS!$G15673=CONFIG_METADATA!$B$4),IF(DATOS!$G15673="EX",1,IF(DATOS!$G15673="OR",--(COUNTIFS(nNIA,DATOS!$A15673,nCURSO,DATOS!$D15673,nESPEC,DATOS!$E15673,nASIG,DATOS!$I15673,nEVAL,"EX")=0),0))))</f>
      </c>
      <c r="H15673">
        <f>IF(DATOS!$G15673&lt;&gt;"EX",0,--(COUNTIFS(nNIA,DATOS!$A15673,nCURSO,DATOS!$D15673,nESPEC,DATOS!$E15673,nASIG,DATOS!$I15673,nEVAL,"OR")=0))</f>
      </c>
      <c r="I15673">
        <f>IF(DATOS!$I15673="","",IFERROR(VLOOKUP(DATOS!$I15673,CONFIG_ASIGNATURAS!$B$2:$J$91,9,FALSE()),""))</f>
      </c>
    </row>
    <row r="15674">
      <c r="F15674">
        <f>IF(DATOS!$A15674="","",DATOS!$A15674&amp;"|"&amp;DATOS!$D15674&amp;"|"&amp;DATOS!$E15674&amp;"|"&amp;DATOS!$I15674)</f>
      </c>
      <c r="G15674">
        <f>IF(DATOS!$A15674="",0,IF(CONFIG_METADATA!$B$4&lt;&gt;"OR+EX",--(DATOS!$G15674=CONFIG_METADATA!$B$4),IF(DATOS!$G15674="EX",1,IF(DATOS!$G15674="OR",--(COUNTIFS(nNIA,DATOS!$A15674,nCURSO,DATOS!$D15674,nESPEC,DATOS!$E15674,nASIG,DATOS!$I15674,nEVAL,"EX")=0),0))))</f>
      </c>
      <c r="H15674">
        <f>IF(DATOS!$G15674&lt;&gt;"EX",0,--(COUNTIFS(nNIA,DATOS!$A15674,nCURSO,DATOS!$D15674,nESPEC,DATOS!$E15674,nASIG,DATOS!$I15674,nEVAL,"OR")=0))</f>
      </c>
      <c r="I15674">
        <f>IF(DATOS!$I15674="","",IFERROR(VLOOKUP(DATOS!$I15674,CONFIG_ASIGNATURAS!$B$2:$J$91,9,FALSE()),""))</f>
      </c>
    </row>
    <row r="15675">
      <c r="F15675">
        <f>IF(DATOS!$A15675="","",DATOS!$A15675&amp;"|"&amp;DATOS!$D15675&amp;"|"&amp;DATOS!$E15675&amp;"|"&amp;DATOS!$I15675)</f>
      </c>
      <c r="G15675">
        <f>IF(DATOS!$A15675="",0,IF(CONFIG_METADATA!$B$4&lt;&gt;"OR+EX",--(DATOS!$G15675=CONFIG_METADATA!$B$4),IF(DATOS!$G15675="EX",1,IF(DATOS!$G15675="OR",--(COUNTIFS(nNIA,DATOS!$A15675,nCURSO,DATOS!$D15675,nESPEC,DATOS!$E15675,nASIG,DATOS!$I15675,nEVAL,"EX")=0),0))))</f>
      </c>
      <c r="H15675">
        <f>IF(DATOS!$G15675&lt;&gt;"EX",0,--(COUNTIFS(nNIA,DATOS!$A15675,nCURSO,DATOS!$D15675,nESPEC,DATOS!$E15675,nASIG,DATOS!$I15675,nEVAL,"OR")=0))</f>
      </c>
      <c r="I15675">
        <f>IF(DATOS!$I15675="","",IFERROR(VLOOKUP(DATOS!$I15675,CONFIG_ASIGNATURAS!$B$2:$J$91,9,FALSE()),""))</f>
      </c>
    </row>
    <row r="15676">
      <c r="F15676">
        <f>IF(DATOS!$A15676="","",DATOS!$A15676&amp;"|"&amp;DATOS!$D15676&amp;"|"&amp;DATOS!$E15676&amp;"|"&amp;DATOS!$I15676)</f>
      </c>
      <c r="G15676">
        <f>IF(DATOS!$A15676="",0,IF(CONFIG_METADATA!$B$4&lt;&gt;"OR+EX",--(DATOS!$G15676=CONFIG_METADATA!$B$4),IF(DATOS!$G15676="EX",1,IF(DATOS!$G15676="OR",--(COUNTIFS(nNIA,DATOS!$A15676,nCURSO,DATOS!$D15676,nESPEC,DATOS!$E15676,nASIG,DATOS!$I15676,nEVAL,"EX")=0),0))))</f>
      </c>
      <c r="H15676">
        <f>IF(DATOS!$G15676&lt;&gt;"EX",0,--(COUNTIFS(nNIA,DATOS!$A15676,nCURSO,DATOS!$D15676,nESPEC,DATOS!$E15676,nASIG,DATOS!$I15676,nEVAL,"OR")=0))</f>
      </c>
      <c r="I15676">
        <f>IF(DATOS!$I15676="","",IFERROR(VLOOKUP(DATOS!$I15676,CONFIG_ASIGNATURAS!$B$2:$J$91,9,FALSE()),""))</f>
      </c>
    </row>
    <row r="15677">
      <c r="F15677">
        <f>IF(DATOS!$A15677="","",DATOS!$A15677&amp;"|"&amp;DATOS!$D15677&amp;"|"&amp;DATOS!$E15677&amp;"|"&amp;DATOS!$I15677)</f>
      </c>
      <c r="G15677">
        <f>IF(DATOS!$A15677="",0,IF(CONFIG_METADATA!$B$4&lt;&gt;"OR+EX",--(DATOS!$G15677=CONFIG_METADATA!$B$4),IF(DATOS!$G15677="EX",1,IF(DATOS!$G15677="OR",--(COUNTIFS(nNIA,DATOS!$A15677,nCURSO,DATOS!$D15677,nESPEC,DATOS!$E15677,nASIG,DATOS!$I15677,nEVAL,"EX")=0),0))))</f>
      </c>
      <c r="H15677">
        <f>IF(DATOS!$G15677&lt;&gt;"EX",0,--(COUNTIFS(nNIA,DATOS!$A15677,nCURSO,DATOS!$D15677,nESPEC,DATOS!$E15677,nASIG,DATOS!$I15677,nEVAL,"OR")=0))</f>
      </c>
      <c r="I15677">
        <f>IF(DATOS!$I15677="","",IFERROR(VLOOKUP(DATOS!$I15677,CONFIG_ASIGNATURAS!$B$2:$J$91,9,FALSE()),""))</f>
      </c>
    </row>
    <row r="15678">
      <c r="F15678">
        <f>IF(DATOS!$A15678="","",DATOS!$A15678&amp;"|"&amp;DATOS!$D15678&amp;"|"&amp;DATOS!$E15678&amp;"|"&amp;DATOS!$I15678)</f>
      </c>
      <c r="G15678">
        <f>IF(DATOS!$A15678="",0,IF(CONFIG_METADATA!$B$4&lt;&gt;"OR+EX",--(DATOS!$G15678=CONFIG_METADATA!$B$4),IF(DATOS!$G15678="EX",1,IF(DATOS!$G15678="OR",--(COUNTIFS(nNIA,DATOS!$A15678,nCURSO,DATOS!$D15678,nESPEC,DATOS!$E15678,nASIG,DATOS!$I15678,nEVAL,"EX")=0),0))))</f>
      </c>
      <c r="H15678">
        <f>IF(DATOS!$G15678&lt;&gt;"EX",0,--(COUNTIFS(nNIA,DATOS!$A15678,nCURSO,DATOS!$D15678,nESPEC,DATOS!$E15678,nASIG,DATOS!$I15678,nEVAL,"OR")=0))</f>
      </c>
      <c r="I15678">
        <f>IF(DATOS!$I15678="","",IFERROR(VLOOKUP(DATOS!$I15678,CONFIG_ASIGNATURAS!$B$2:$J$91,9,FALSE()),""))</f>
      </c>
    </row>
    <row r="15679">
      <c r="F15679">
        <f>IF(DATOS!$A15679="","",DATOS!$A15679&amp;"|"&amp;DATOS!$D15679&amp;"|"&amp;DATOS!$E15679&amp;"|"&amp;DATOS!$I15679)</f>
      </c>
      <c r="G15679">
        <f>IF(DATOS!$A15679="",0,IF(CONFIG_METADATA!$B$4&lt;&gt;"OR+EX",--(DATOS!$G15679=CONFIG_METADATA!$B$4),IF(DATOS!$G15679="EX",1,IF(DATOS!$G15679="OR",--(COUNTIFS(nNIA,DATOS!$A15679,nCURSO,DATOS!$D15679,nESPEC,DATOS!$E15679,nASIG,DATOS!$I15679,nEVAL,"EX")=0),0))))</f>
      </c>
      <c r="H15679">
        <f>IF(DATOS!$G15679&lt;&gt;"EX",0,--(COUNTIFS(nNIA,DATOS!$A15679,nCURSO,DATOS!$D15679,nESPEC,DATOS!$E15679,nASIG,DATOS!$I15679,nEVAL,"OR")=0))</f>
      </c>
      <c r="I15679">
        <f>IF(DATOS!$I15679="","",IFERROR(VLOOKUP(DATOS!$I15679,CONFIG_ASIGNATURAS!$B$2:$J$91,9,FALSE()),""))</f>
      </c>
    </row>
    <row r="15680">
      <c r="F15680">
        <f>IF(DATOS!$A15680="","",DATOS!$A15680&amp;"|"&amp;DATOS!$D15680&amp;"|"&amp;DATOS!$E15680&amp;"|"&amp;DATOS!$I15680)</f>
      </c>
      <c r="G15680">
        <f>IF(DATOS!$A15680="",0,IF(CONFIG_METADATA!$B$4&lt;&gt;"OR+EX",--(DATOS!$G15680=CONFIG_METADATA!$B$4),IF(DATOS!$G15680="EX",1,IF(DATOS!$G15680="OR",--(COUNTIFS(nNIA,DATOS!$A15680,nCURSO,DATOS!$D15680,nESPEC,DATOS!$E15680,nASIG,DATOS!$I15680,nEVAL,"EX")=0),0))))</f>
      </c>
      <c r="H15680">
        <f>IF(DATOS!$G15680&lt;&gt;"EX",0,--(COUNTIFS(nNIA,DATOS!$A15680,nCURSO,DATOS!$D15680,nESPEC,DATOS!$E15680,nASIG,DATOS!$I15680,nEVAL,"OR")=0))</f>
      </c>
      <c r="I15680">
        <f>IF(DATOS!$I15680="","",IFERROR(VLOOKUP(DATOS!$I15680,CONFIG_ASIGNATURAS!$B$2:$J$91,9,FALSE()),""))</f>
      </c>
    </row>
    <row r="15681">
      <c r="F15681">
        <f>IF(DATOS!$A15681="","",DATOS!$A15681&amp;"|"&amp;DATOS!$D15681&amp;"|"&amp;DATOS!$E15681&amp;"|"&amp;DATOS!$I15681)</f>
      </c>
      <c r="G15681">
        <f>IF(DATOS!$A15681="",0,IF(CONFIG_METADATA!$B$4&lt;&gt;"OR+EX",--(DATOS!$G15681=CONFIG_METADATA!$B$4),IF(DATOS!$G15681="EX",1,IF(DATOS!$G15681="OR",--(COUNTIFS(nNIA,DATOS!$A15681,nCURSO,DATOS!$D15681,nESPEC,DATOS!$E15681,nASIG,DATOS!$I15681,nEVAL,"EX")=0),0))))</f>
      </c>
      <c r="H15681">
        <f>IF(DATOS!$G15681&lt;&gt;"EX",0,--(COUNTIFS(nNIA,DATOS!$A15681,nCURSO,DATOS!$D15681,nESPEC,DATOS!$E15681,nASIG,DATOS!$I15681,nEVAL,"OR")=0))</f>
      </c>
      <c r="I15681">
        <f>IF(DATOS!$I15681="","",IFERROR(VLOOKUP(DATOS!$I15681,CONFIG_ASIGNATURAS!$B$2:$J$91,9,FALSE()),""))</f>
      </c>
    </row>
    <row r="15682">
      <c r="F15682">
        <f>IF(DATOS!$A15682="","",DATOS!$A15682&amp;"|"&amp;DATOS!$D15682&amp;"|"&amp;DATOS!$E15682&amp;"|"&amp;DATOS!$I15682)</f>
      </c>
      <c r="G15682">
        <f>IF(DATOS!$A15682="",0,IF(CONFIG_METADATA!$B$4&lt;&gt;"OR+EX",--(DATOS!$G15682=CONFIG_METADATA!$B$4),IF(DATOS!$G15682="EX",1,IF(DATOS!$G15682="OR",--(COUNTIFS(nNIA,DATOS!$A15682,nCURSO,DATOS!$D15682,nESPEC,DATOS!$E15682,nASIG,DATOS!$I15682,nEVAL,"EX")=0),0))))</f>
      </c>
      <c r="H15682">
        <f>IF(DATOS!$G15682&lt;&gt;"EX",0,--(COUNTIFS(nNIA,DATOS!$A15682,nCURSO,DATOS!$D15682,nESPEC,DATOS!$E15682,nASIG,DATOS!$I15682,nEVAL,"OR")=0))</f>
      </c>
      <c r="I15682">
        <f>IF(DATOS!$I15682="","",IFERROR(VLOOKUP(DATOS!$I15682,CONFIG_ASIGNATURAS!$B$2:$J$91,9,FALSE()),""))</f>
      </c>
    </row>
    <row r="15683">
      <c r="F15683">
        <f>IF(DATOS!$A15683="","",DATOS!$A15683&amp;"|"&amp;DATOS!$D15683&amp;"|"&amp;DATOS!$E15683&amp;"|"&amp;DATOS!$I15683)</f>
      </c>
      <c r="G15683">
        <f>IF(DATOS!$A15683="",0,IF(CONFIG_METADATA!$B$4&lt;&gt;"OR+EX",--(DATOS!$G15683=CONFIG_METADATA!$B$4),IF(DATOS!$G15683="EX",1,IF(DATOS!$G15683="OR",--(COUNTIFS(nNIA,DATOS!$A15683,nCURSO,DATOS!$D15683,nESPEC,DATOS!$E15683,nASIG,DATOS!$I15683,nEVAL,"EX")=0),0))))</f>
      </c>
      <c r="H15683">
        <f>IF(DATOS!$G15683&lt;&gt;"EX",0,--(COUNTIFS(nNIA,DATOS!$A15683,nCURSO,DATOS!$D15683,nESPEC,DATOS!$E15683,nASIG,DATOS!$I15683,nEVAL,"OR")=0))</f>
      </c>
      <c r="I15683">
        <f>IF(DATOS!$I15683="","",IFERROR(VLOOKUP(DATOS!$I15683,CONFIG_ASIGNATURAS!$B$2:$J$91,9,FALSE()),""))</f>
      </c>
    </row>
    <row r="15684">
      <c r="F15684">
        <f>IF(DATOS!$A15684="","",DATOS!$A15684&amp;"|"&amp;DATOS!$D15684&amp;"|"&amp;DATOS!$E15684&amp;"|"&amp;DATOS!$I15684)</f>
      </c>
      <c r="G15684">
        <f>IF(DATOS!$A15684="",0,IF(CONFIG_METADATA!$B$4&lt;&gt;"OR+EX",--(DATOS!$G15684=CONFIG_METADATA!$B$4),IF(DATOS!$G15684="EX",1,IF(DATOS!$G15684="OR",--(COUNTIFS(nNIA,DATOS!$A15684,nCURSO,DATOS!$D15684,nESPEC,DATOS!$E15684,nASIG,DATOS!$I15684,nEVAL,"EX")=0),0))))</f>
      </c>
      <c r="H15684">
        <f>IF(DATOS!$G15684&lt;&gt;"EX",0,--(COUNTIFS(nNIA,DATOS!$A15684,nCURSO,DATOS!$D15684,nESPEC,DATOS!$E15684,nASIG,DATOS!$I15684,nEVAL,"OR")=0))</f>
      </c>
      <c r="I15684">
        <f>IF(DATOS!$I15684="","",IFERROR(VLOOKUP(DATOS!$I15684,CONFIG_ASIGNATURAS!$B$2:$J$91,9,FALSE()),""))</f>
      </c>
    </row>
    <row r="15685">
      <c r="F15685">
        <f>IF(DATOS!$A15685="","",DATOS!$A15685&amp;"|"&amp;DATOS!$D15685&amp;"|"&amp;DATOS!$E15685&amp;"|"&amp;DATOS!$I15685)</f>
      </c>
      <c r="G15685">
        <f>IF(DATOS!$A15685="",0,IF(CONFIG_METADATA!$B$4&lt;&gt;"OR+EX",--(DATOS!$G15685=CONFIG_METADATA!$B$4),IF(DATOS!$G15685="EX",1,IF(DATOS!$G15685="OR",--(COUNTIFS(nNIA,DATOS!$A15685,nCURSO,DATOS!$D15685,nESPEC,DATOS!$E15685,nASIG,DATOS!$I15685,nEVAL,"EX")=0),0))))</f>
      </c>
      <c r="H15685">
        <f>IF(DATOS!$G15685&lt;&gt;"EX",0,--(COUNTIFS(nNIA,DATOS!$A15685,nCURSO,DATOS!$D15685,nESPEC,DATOS!$E15685,nASIG,DATOS!$I15685,nEVAL,"OR")=0))</f>
      </c>
      <c r="I15685">
        <f>IF(DATOS!$I15685="","",IFERROR(VLOOKUP(DATOS!$I15685,CONFIG_ASIGNATURAS!$B$2:$J$91,9,FALSE()),""))</f>
      </c>
    </row>
    <row r="15686">
      <c r="F15686">
        <f>IF(DATOS!$A15686="","",DATOS!$A15686&amp;"|"&amp;DATOS!$D15686&amp;"|"&amp;DATOS!$E15686&amp;"|"&amp;DATOS!$I15686)</f>
      </c>
      <c r="G15686">
        <f>IF(DATOS!$A15686="",0,IF(CONFIG_METADATA!$B$4&lt;&gt;"OR+EX",--(DATOS!$G15686=CONFIG_METADATA!$B$4),IF(DATOS!$G15686="EX",1,IF(DATOS!$G15686="OR",--(COUNTIFS(nNIA,DATOS!$A15686,nCURSO,DATOS!$D15686,nESPEC,DATOS!$E15686,nASIG,DATOS!$I15686,nEVAL,"EX")=0),0))))</f>
      </c>
      <c r="H15686">
        <f>IF(DATOS!$G15686&lt;&gt;"EX",0,--(COUNTIFS(nNIA,DATOS!$A15686,nCURSO,DATOS!$D15686,nESPEC,DATOS!$E15686,nASIG,DATOS!$I15686,nEVAL,"OR")=0))</f>
      </c>
      <c r="I15686">
        <f>IF(DATOS!$I15686="","",IFERROR(VLOOKUP(DATOS!$I15686,CONFIG_ASIGNATURAS!$B$2:$J$91,9,FALSE()),""))</f>
      </c>
    </row>
    <row r="15687">
      <c r="F15687">
        <f>IF(DATOS!$A15687="","",DATOS!$A15687&amp;"|"&amp;DATOS!$D15687&amp;"|"&amp;DATOS!$E15687&amp;"|"&amp;DATOS!$I15687)</f>
      </c>
      <c r="G15687">
        <f>IF(DATOS!$A15687="",0,IF(CONFIG_METADATA!$B$4&lt;&gt;"OR+EX",--(DATOS!$G15687=CONFIG_METADATA!$B$4),IF(DATOS!$G15687="EX",1,IF(DATOS!$G15687="OR",--(COUNTIFS(nNIA,DATOS!$A15687,nCURSO,DATOS!$D15687,nESPEC,DATOS!$E15687,nASIG,DATOS!$I15687,nEVAL,"EX")=0),0))))</f>
      </c>
      <c r="H15687">
        <f>IF(DATOS!$G15687&lt;&gt;"EX",0,--(COUNTIFS(nNIA,DATOS!$A15687,nCURSO,DATOS!$D15687,nESPEC,DATOS!$E15687,nASIG,DATOS!$I15687,nEVAL,"OR")=0))</f>
      </c>
      <c r="I15687">
        <f>IF(DATOS!$I15687="","",IFERROR(VLOOKUP(DATOS!$I15687,CONFIG_ASIGNATURAS!$B$2:$J$91,9,FALSE()),""))</f>
      </c>
    </row>
    <row r="15688">
      <c r="F15688">
        <f>IF(DATOS!$A15688="","",DATOS!$A15688&amp;"|"&amp;DATOS!$D15688&amp;"|"&amp;DATOS!$E15688&amp;"|"&amp;DATOS!$I15688)</f>
      </c>
      <c r="G15688">
        <f>IF(DATOS!$A15688="",0,IF(CONFIG_METADATA!$B$4&lt;&gt;"OR+EX",--(DATOS!$G15688=CONFIG_METADATA!$B$4),IF(DATOS!$G15688="EX",1,IF(DATOS!$G15688="OR",--(COUNTIFS(nNIA,DATOS!$A15688,nCURSO,DATOS!$D15688,nESPEC,DATOS!$E15688,nASIG,DATOS!$I15688,nEVAL,"EX")=0),0))))</f>
      </c>
      <c r="H15688">
        <f>IF(DATOS!$G15688&lt;&gt;"EX",0,--(COUNTIFS(nNIA,DATOS!$A15688,nCURSO,DATOS!$D15688,nESPEC,DATOS!$E15688,nASIG,DATOS!$I15688,nEVAL,"OR")=0))</f>
      </c>
      <c r="I15688">
        <f>IF(DATOS!$I15688="","",IFERROR(VLOOKUP(DATOS!$I15688,CONFIG_ASIGNATURAS!$B$2:$J$91,9,FALSE()),""))</f>
      </c>
    </row>
    <row r="15689">
      <c r="F15689">
        <f>IF(DATOS!$A15689="","",DATOS!$A15689&amp;"|"&amp;DATOS!$D15689&amp;"|"&amp;DATOS!$E15689&amp;"|"&amp;DATOS!$I15689)</f>
      </c>
      <c r="G15689">
        <f>IF(DATOS!$A15689="",0,IF(CONFIG_METADATA!$B$4&lt;&gt;"OR+EX",--(DATOS!$G15689=CONFIG_METADATA!$B$4),IF(DATOS!$G15689="EX",1,IF(DATOS!$G15689="OR",--(COUNTIFS(nNIA,DATOS!$A15689,nCURSO,DATOS!$D15689,nESPEC,DATOS!$E15689,nASIG,DATOS!$I15689,nEVAL,"EX")=0),0))))</f>
      </c>
      <c r="H15689">
        <f>IF(DATOS!$G15689&lt;&gt;"EX",0,--(COUNTIFS(nNIA,DATOS!$A15689,nCURSO,DATOS!$D15689,nESPEC,DATOS!$E15689,nASIG,DATOS!$I15689,nEVAL,"OR")=0))</f>
      </c>
      <c r="I15689">
        <f>IF(DATOS!$I15689="","",IFERROR(VLOOKUP(DATOS!$I15689,CONFIG_ASIGNATURAS!$B$2:$J$91,9,FALSE()),""))</f>
      </c>
    </row>
    <row r="15690">
      <c r="F15690">
        <f>IF(DATOS!$A15690="","",DATOS!$A15690&amp;"|"&amp;DATOS!$D15690&amp;"|"&amp;DATOS!$E15690&amp;"|"&amp;DATOS!$I15690)</f>
      </c>
      <c r="G15690">
        <f>IF(DATOS!$A15690="",0,IF(CONFIG_METADATA!$B$4&lt;&gt;"OR+EX",--(DATOS!$G15690=CONFIG_METADATA!$B$4),IF(DATOS!$G15690="EX",1,IF(DATOS!$G15690="OR",--(COUNTIFS(nNIA,DATOS!$A15690,nCURSO,DATOS!$D15690,nESPEC,DATOS!$E15690,nASIG,DATOS!$I15690,nEVAL,"EX")=0),0))))</f>
      </c>
      <c r="H15690">
        <f>IF(DATOS!$G15690&lt;&gt;"EX",0,--(COUNTIFS(nNIA,DATOS!$A15690,nCURSO,DATOS!$D15690,nESPEC,DATOS!$E15690,nASIG,DATOS!$I15690,nEVAL,"OR")=0))</f>
      </c>
      <c r="I15690">
        <f>IF(DATOS!$I15690="","",IFERROR(VLOOKUP(DATOS!$I15690,CONFIG_ASIGNATURAS!$B$2:$J$91,9,FALSE()),""))</f>
      </c>
    </row>
    <row r="15691">
      <c r="F15691">
        <f>IF(DATOS!$A15691="","",DATOS!$A15691&amp;"|"&amp;DATOS!$D15691&amp;"|"&amp;DATOS!$E15691&amp;"|"&amp;DATOS!$I15691)</f>
      </c>
      <c r="G15691">
        <f>IF(DATOS!$A15691="",0,IF(CONFIG_METADATA!$B$4&lt;&gt;"OR+EX",--(DATOS!$G15691=CONFIG_METADATA!$B$4),IF(DATOS!$G15691="EX",1,IF(DATOS!$G15691="OR",--(COUNTIFS(nNIA,DATOS!$A15691,nCURSO,DATOS!$D15691,nESPEC,DATOS!$E15691,nASIG,DATOS!$I15691,nEVAL,"EX")=0),0))))</f>
      </c>
      <c r="H15691">
        <f>IF(DATOS!$G15691&lt;&gt;"EX",0,--(COUNTIFS(nNIA,DATOS!$A15691,nCURSO,DATOS!$D15691,nESPEC,DATOS!$E15691,nASIG,DATOS!$I15691,nEVAL,"OR")=0))</f>
      </c>
      <c r="I15691">
        <f>IF(DATOS!$I15691="","",IFERROR(VLOOKUP(DATOS!$I15691,CONFIG_ASIGNATURAS!$B$2:$J$91,9,FALSE()),""))</f>
      </c>
    </row>
    <row r="15692">
      <c r="F15692">
        <f>IF(DATOS!$A15692="","",DATOS!$A15692&amp;"|"&amp;DATOS!$D15692&amp;"|"&amp;DATOS!$E15692&amp;"|"&amp;DATOS!$I15692)</f>
      </c>
      <c r="G15692">
        <f>IF(DATOS!$A15692="",0,IF(CONFIG_METADATA!$B$4&lt;&gt;"OR+EX",--(DATOS!$G15692=CONFIG_METADATA!$B$4),IF(DATOS!$G15692="EX",1,IF(DATOS!$G15692="OR",--(COUNTIFS(nNIA,DATOS!$A15692,nCURSO,DATOS!$D15692,nESPEC,DATOS!$E15692,nASIG,DATOS!$I15692,nEVAL,"EX")=0),0))))</f>
      </c>
      <c r="H15692">
        <f>IF(DATOS!$G15692&lt;&gt;"EX",0,--(COUNTIFS(nNIA,DATOS!$A15692,nCURSO,DATOS!$D15692,nESPEC,DATOS!$E15692,nASIG,DATOS!$I15692,nEVAL,"OR")=0))</f>
      </c>
      <c r="I15692">
        <f>IF(DATOS!$I15692="","",IFERROR(VLOOKUP(DATOS!$I15692,CONFIG_ASIGNATURAS!$B$2:$J$91,9,FALSE()),""))</f>
      </c>
    </row>
    <row r="15693">
      <c r="F15693">
        <f>IF(DATOS!$A15693="","",DATOS!$A15693&amp;"|"&amp;DATOS!$D15693&amp;"|"&amp;DATOS!$E15693&amp;"|"&amp;DATOS!$I15693)</f>
      </c>
      <c r="G15693">
        <f>IF(DATOS!$A15693="",0,IF(CONFIG_METADATA!$B$4&lt;&gt;"OR+EX",--(DATOS!$G15693=CONFIG_METADATA!$B$4),IF(DATOS!$G15693="EX",1,IF(DATOS!$G15693="OR",--(COUNTIFS(nNIA,DATOS!$A15693,nCURSO,DATOS!$D15693,nESPEC,DATOS!$E15693,nASIG,DATOS!$I15693,nEVAL,"EX")=0),0))))</f>
      </c>
      <c r="H15693">
        <f>IF(DATOS!$G15693&lt;&gt;"EX",0,--(COUNTIFS(nNIA,DATOS!$A15693,nCURSO,DATOS!$D15693,nESPEC,DATOS!$E15693,nASIG,DATOS!$I15693,nEVAL,"OR")=0))</f>
      </c>
      <c r="I15693">
        <f>IF(DATOS!$I15693="","",IFERROR(VLOOKUP(DATOS!$I15693,CONFIG_ASIGNATURAS!$B$2:$J$91,9,FALSE()),""))</f>
      </c>
    </row>
    <row r="15694">
      <c r="F15694">
        <f>IF(DATOS!$A15694="","",DATOS!$A15694&amp;"|"&amp;DATOS!$D15694&amp;"|"&amp;DATOS!$E15694&amp;"|"&amp;DATOS!$I15694)</f>
      </c>
      <c r="G15694">
        <f>IF(DATOS!$A15694="",0,IF(CONFIG_METADATA!$B$4&lt;&gt;"OR+EX",--(DATOS!$G15694=CONFIG_METADATA!$B$4),IF(DATOS!$G15694="EX",1,IF(DATOS!$G15694="OR",--(COUNTIFS(nNIA,DATOS!$A15694,nCURSO,DATOS!$D15694,nESPEC,DATOS!$E15694,nASIG,DATOS!$I15694,nEVAL,"EX")=0),0))))</f>
      </c>
      <c r="H15694">
        <f>IF(DATOS!$G15694&lt;&gt;"EX",0,--(COUNTIFS(nNIA,DATOS!$A15694,nCURSO,DATOS!$D15694,nESPEC,DATOS!$E15694,nASIG,DATOS!$I15694,nEVAL,"OR")=0))</f>
      </c>
      <c r="I15694">
        <f>IF(DATOS!$I15694="","",IFERROR(VLOOKUP(DATOS!$I15694,CONFIG_ASIGNATURAS!$B$2:$J$91,9,FALSE()),""))</f>
      </c>
    </row>
    <row r="15695">
      <c r="F15695">
        <f>IF(DATOS!$A15695="","",DATOS!$A15695&amp;"|"&amp;DATOS!$D15695&amp;"|"&amp;DATOS!$E15695&amp;"|"&amp;DATOS!$I15695)</f>
      </c>
      <c r="G15695">
        <f>IF(DATOS!$A15695="",0,IF(CONFIG_METADATA!$B$4&lt;&gt;"OR+EX",--(DATOS!$G15695=CONFIG_METADATA!$B$4),IF(DATOS!$G15695="EX",1,IF(DATOS!$G15695="OR",--(COUNTIFS(nNIA,DATOS!$A15695,nCURSO,DATOS!$D15695,nESPEC,DATOS!$E15695,nASIG,DATOS!$I15695,nEVAL,"EX")=0),0))))</f>
      </c>
      <c r="H15695">
        <f>IF(DATOS!$G15695&lt;&gt;"EX",0,--(COUNTIFS(nNIA,DATOS!$A15695,nCURSO,DATOS!$D15695,nESPEC,DATOS!$E15695,nASIG,DATOS!$I15695,nEVAL,"OR")=0))</f>
      </c>
      <c r="I15695">
        <f>IF(DATOS!$I15695="","",IFERROR(VLOOKUP(DATOS!$I15695,CONFIG_ASIGNATURAS!$B$2:$J$91,9,FALSE()),""))</f>
      </c>
    </row>
    <row r="15696">
      <c r="F15696">
        <f>IF(DATOS!$A15696="","",DATOS!$A15696&amp;"|"&amp;DATOS!$D15696&amp;"|"&amp;DATOS!$E15696&amp;"|"&amp;DATOS!$I15696)</f>
      </c>
      <c r="G15696">
        <f>IF(DATOS!$A15696="",0,IF(CONFIG_METADATA!$B$4&lt;&gt;"OR+EX",--(DATOS!$G15696=CONFIG_METADATA!$B$4),IF(DATOS!$G15696="EX",1,IF(DATOS!$G15696="OR",--(COUNTIFS(nNIA,DATOS!$A15696,nCURSO,DATOS!$D15696,nESPEC,DATOS!$E15696,nASIG,DATOS!$I15696,nEVAL,"EX")=0),0))))</f>
      </c>
      <c r="H15696">
        <f>IF(DATOS!$G15696&lt;&gt;"EX",0,--(COUNTIFS(nNIA,DATOS!$A15696,nCURSO,DATOS!$D15696,nESPEC,DATOS!$E15696,nASIG,DATOS!$I15696,nEVAL,"OR")=0))</f>
      </c>
      <c r="I15696">
        <f>IF(DATOS!$I15696="","",IFERROR(VLOOKUP(DATOS!$I15696,CONFIG_ASIGNATURAS!$B$2:$J$91,9,FALSE()),""))</f>
      </c>
    </row>
    <row r="15697">
      <c r="F15697">
        <f>IF(DATOS!$A15697="","",DATOS!$A15697&amp;"|"&amp;DATOS!$D15697&amp;"|"&amp;DATOS!$E15697&amp;"|"&amp;DATOS!$I15697)</f>
      </c>
      <c r="G15697">
        <f>IF(DATOS!$A15697="",0,IF(CONFIG_METADATA!$B$4&lt;&gt;"OR+EX",--(DATOS!$G15697=CONFIG_METADATA!$B$4),IF(DATOS!$G15697="EX",1,IF(DATOS!$G15697="OR",--(COUNTIFS(nNIA,DATOS!$A15697,nCURSO,DATOS!$D15697,nESPEC,DATOS!$E15697,nASIG,DATOS!$I15697,nEVAL,"EX")=0),0))))</f>
      </c>
      <c r="H15697">
        <f>IF(DATOS!$G15697&lt;&gt;"EX",0,--(COUNTIFS(nNIA,DATOS!$A15697,nCURSO,DATOS!$D15697,nESPEC,DATOS!$E15697,nASIG,DATOS!$I15697,nEVAL,"OR")=0))</f>
      </c>
      <c r="I15697">
        <f>IF(DATOS!$I15697="","",IFERROR(VLOOKUP(DATOS!$I15697,CONFIG_ASIGNATURAS!$B$2:$J$91,9,FALSE()),""))</f>
      </c>
    </row>
    <row r="15698">
      <c r="F15698">
        <f>IF(DATOS!$A15698="","",DATOS!$A15698&amp;"|"&amp;DATOS!$D15698&amp;"|"&amp;DATOS!$E15698&amp;"|"&amp;DATOS!$I15698)</f>
      </c>
      <c r="G15698">
        <f>IF(DATOS!$A15698="",0,IF(CONFIG_METADATA!$B$4&lt;&gt;"OR+EX",--(DATOS!$G15698=CONFIG_METADATA!$B$4),IF(DATOS!$G15698="EX",1,IF(DATOS!$G15698="OR",--(COUNTIFS(nNIA,DATOS!$A15698,nCURSO,DATOS!$D15698,nESPEC,DATOS!$E15698,nASIG,DATOS!$I15698,nEVAL,"EX")=0),0))))</f>
      </c>
      <c r="H15698">
        <f>IF(DATOS!$G15698&lt;&gt;"EX",0,--(COUNTIFS(nNIA,DATOS!$A15698,nCURSO,DATOS!$D15698,nESPEC,DATOS!$E15698,nASIG,DATOS!$I15698,nEVAL,"OR")=0))</f>
      </c>
      <c r="I15698">
        <f>IF(DATOS!$I15698="","",IFERROR(VLOOKUP(DATOS!$I15698,CONFIG_ASIGNATURAS!$B$2:$J$91,9,FALSE()),""))</f>
      </c>
    </row>
    <row r="15699">
      <c r="F15699">
        <f>IF(DATOS!$A15699="","",DATOS!$A15699&amp;"|"&amp;DATOS!$D15699&amp;"|"&amp;DATOS!$E15699&amp;"|"&amp;DATOS!$I15699)</f>
      </c>
      <c r="G15699">
        <f>IF(DATOS!$A15699="",0,IF(CONFIG_METADATA!$B$4&lt;&gt;"OR+EX",--(DATOS!$G15699=CONFIG_METADATA!$B$4),IF(DATOS!$G15699="EX",1,IF(DATOS!$G15699="OR",--(COUNTIFS(nNIA,DATOS!$A15699,nCURSO,DATOS!$D15699,nESPEC,DATOS!$E15699,nASIG,DATOS!$I15699,nEVAL,"EX")=0),0))))</f>
      </c>
      <c r="H15699">
        <f>IF(DATOS!$G15699&lt;&gt;"EX",0,--(COUNTIFS(nNIA,DATOS!$A15699,nCURSO,DATOS!$D15699,nESPEC,DATOS!$E15699,nASIG,DATOS!$I15699,nEVAL,"OR")=0))</f>
      </c>
      <c r="I15699">
        <f>IF(DATOS!$I15699="","",IFERROR(VLOOKUP(DATOS!$I15699,CONFIG_ASIGNATURAS!$B$2:$J$91,9,FALSE()),""))</f>
      </c>
    </row>
    <row r="15700">
      <c r="F15700">
        <f>IF(DATOS!$A15700="","",DATOS!$A15700&amp;"|"&amp;DATOS!$D15700&amp;"|"&amp;DATOS!$E15700&amp;"|"&amp;DATOS!$I15700)</f>
      </c>
      <c r="G15700">
        <f>IF(DATOS!$A15700="",0,IF(CONFIG_METADATA!$B$4&lt;&gt;"OR+EX",--(DATOS!$G15700=CONFIG_METADATA!$B$4),IF(DATOS!$G15700="EX",1,IF(DATOS!$G15700="OR",--(COUNTIFS(nNIA,DATOS!$A15700,nCURSO,DATOS!$D15700,nESPEC,DATOS!$E15700,nASIG,DATOS!$I15700,nEVAL,"EX")=0),0))))</f>
      </c>
      <c r="H15700">
        <f>IF(DATOS!$G15700&lt;&gt;"EX",0,--(COUNTIFS(nNIA,DATOS!$A15700,nCURSO,DATOS!$D15700,nESPEC,DATOS!$E15700,nASIG,DATOS!$I15700,nEVAL,"OR")=0))</f>
      </c>
      <c r="I15700">
        <f>IF(DATOS!$I15700="","",IFERROR(VLOOKUP(DATOS!$I15700,CONFIG_ASIGNATURAS!$B$2:$J$91,9,FALSE()),""))</f>
      </c>
    </row>
    <row r="15701">
      <c r="F15701">
        <f>IF(DATOS!$A15701="","",DATOS!$A15701&amp;"|"&amp;DATOS!$D15701&amp;"|"&amp;DATOS!$E15701&amp;"|"&amp;DATOS!$I15701)</f>
      </c>
      <c r="G15701">
        <f>IF(DATOS!$A15701="",0,IF(CONFIG_METADATA!$B$4&lt;&gt;"OR+EX",--(DATOS!$G15701=CONFIG_METADATA!$B$4),IF(DATOS!$G15701="EX",1,IF(DATOS!$G15701="OR",--(COUNTIFS(nNIA,DATOS!$A15701,nCURSO,DATOS!$D15701,nESPEC,DATOS!$E15701,nASIG,DATOS!$I15701,nEVAL,"EX")=0),0))))</f>
      </c>
      <c r="H15701">
        <f>IF(DATOS!$G15701&lt;&gt;"EX",0,--(COUNTIFS(nNIA,DATOS!$A15701,nCURSO,DATOS!$D15701,nESPEC,DATOS!$E15701,nASIG,DATOS!$I15701,nEVAL,"OR")=0))</f>
      </c>
      <c r="I15701">
        <f>IF(DATOS!$I15701="","",IFERROR(VLOOKUP(DATOS!$I15701,CONFIG_ASIGNATURAS!$B$2:$J$91,9,FALSE()),""))</f>
      </c>
    </row>
    <row r="15702">
      <c r="F15702">
        <f>IF(DATOS!$A15702="","",DATOS!$A15702&amp;"|"&amp;DATOS!$D15702&amp;"|"&amp;DATOS!$E15702&amp;"|"&amp;DATOS!$I15702)</f>
      </c>
      <c r="G15702">
        <f>IF(DATOS!$A15702="",0,IF(CONFIG_METADATA!$B$4&lt;&gt;"OR+EX",--(DATOS!$G15702=CONFIG_METADATA!$B$4),IF(DATOS!$G15702="EX",1,IF(DATOS!$G15702="OR",--(COUNTIFS(nNIA,DATOS!$A15702,nCURSO,DATOS!$D15702,nESPEC,DATOS!$E15702,nASIG,DATOS!$I15702,nEVAL,"EX")=0),0))))</f>
      </c>
      <c r="H15702">
        <f>IF(DATOS!$G15702&lt;&gt;"EX",0,--(COUNTIFS(nNIA,DATOS!$A15702,nCURSO,DATOS!$D15702,nESPEC,DATOS!$E15702,nASIG,DATOS!$I15702,nEVAL,"OR")=0))</f>
      </c>
      <c r="I15702">
        <f>IF(DATOS!$I15702="","",IFERROR(VLOOKUP(DATOS!$I15702,CONFIG_ASIGNATURAS!$B$2:$J$91,9,FALSE()),""))</f>
      </c>
    </row>
    <row r="15703">
      <c r="F15703">
        <f>IF(DATOS!$A15703="","",DATOS!$A15703&amp;"|"&amp;DATOS!$D15703&amp;"|"&amp;DATOS!$E15703&amp;"|"&amp;DATOS!$I15703)</f>
      </c>
      <c r="G15703">
        <f>IF(DATOS!$A15703="",0,IF(CONFIG_METADATA!$B$4&lt;&gt;"OR+EX",--(DATOS!$G15703=CONFIG_METADATA!$B$4),IF(DATOS!$G15703="EX",1,IF(DATOS!$G15703="OR",--(COUNTIFS(nNIA,DATOS!$A15703,nCURSO,DATOS!$D15703,nESPEC,DATOS!$E15703,nASIG,DATOS!$I15703,nEVAL,"EX")=0),0))))</f>
      </c>
      <c r="H15703">
        <f>IF(DATOS!$G15703&lt;&gt;"EX",0,--(COUNTIFS(nNIA,DATOS!$A15703,nCURSO,DATOS!$D15703,nESPEC,DATOS!$E15703,nASIG,DATOS!$I15703,nEVAL,"OR")=0))</f>
      </c>
      <c r="I15703">
        <f>IF(DATOS!$I15703="","",IFERROR(VLOOKUP(DATOS!$I15703,CONFIG_ASIGNATURAS!$B$2:$J$91,9,FALSE()),""))</f>
      </c>
    </row>
    <row r="15704">
      <c r="F15704">
        <f>IF(DATOS!$A15704="","",DATOS!$A15704&amp;"|"&amp;DATOS!$D15704&amp;"|"&amp;DATOS!$E15704&amp;"|"&amp;DATOS!$I15704)</f>
      </c>
      <c r="G15704">
        <f>IF(DATOS!$A15704="",0,IF(CONFIG_METADATA!$B$4&lt;&gt;"OR+EX",--(DATOS!$G15704=CONFIG_METADATA!$B$4),IF(DATOS!$G15704="EX",1,IF(DATOS!$G15704="OR",--(COUNTIFS(nNIA,DATOS!$A15704,nCURSO,DATOS!$D15704,nESPEC,DATOS!$E15704,nASIG,DATOS!$I15704,nEVAL,"EX")=0),0))))</f>
      </c>
      <c r="H15704">
        <f>IF(DATOS!$G15704&lt;&gt;"EX",0,--(COUNTIFS(nNIA,DATOS!$A15704,nCURSO,DATOS!$D15704,nESPEC,DATOS!$E15704,nASIG,DATOS!$I15704,nEVAL,"OR")=0))</f>
      </c>
      <c r="I15704">
        <f>IF(DATOS!$I15704="","",IFERROR(VLOOKUP(DATOS!$I15704,CONFIG_ASIGNATURAS!$B$2:$J$91,9,FALSE()),""))</f>
      </c>
    </row>
    <row r="15705">
      <c r="F15705">
        <f>IF(DATOS!$A15705="","",DATOS!$A15705&amp;"|"&amp;DATOS!$D15705&amp;"|"&amp;DATOS!$E15705&amp;"|"&amp;DATOS!$I15705)</f>
      </c>
      <c r="G15705">
        <f>IF(DATOS!$A15705="",0,IF(CONFIG_METADATA!$B$4&lt;&gt;"OR+EX",--(DATOS!$G15705=CONFIG_METADATA!$B$4),IF(DATOS!$G15705="EX",1,IF(DATOS!$G15705="OR",--(COUNTIFS(nNIA,DATOS!$A15705,nCURSO,DATOS!$D15705,nESPEC,DATOS!$E15705,nASIG,DATOS!$I15705,nEVAL,"EX")=0),0))))</f>
      </c>
      <c r="H15705">
        <f>IF(DATOS!$G15705&lt;&gt;"EX",0,--(COUNTIFS(nNIA,DATOS!$A15705,nCURSO,DATOS!$D15705,nESPEC,DATOS!$E15705,nASIG,DATOS!$I15705,nEVAL,"OR")=0))</f>
      </c>
      <c r="I15705">
        <f>IF(DATOS!$I15705="","",IFERROR(VLOOKUP(DATOS!$I15705,CONFIG_ASIGNATURAS!$B$2:$J$91,9,FALSE()),""))</f>
      </c>
    </row>
    <row r="15706">
      <c r="F15706">
        <f>IF(DATOS!$A15706="","",DATOS!$A15706&amp;"|"&amp;DATOS!$D15706&amp;"|"&amp;DATOS!$E15706&amp;"|"&amp;DATOS!$I15706)</f>
      </c>
      <c r="G15706">
        <f>IF(DATOS!$A15706="",0,IF(CONFIG_METADATA!$B$4&lt;&gt;"OR+EX",--(DATOS!$G15706=CONFIG_METADATA!$B$4),IF(DATOS!$G15706="EX",1,IF(DATOS!$G15706="OR",--(COUNTIFS(nNIA,DATOS!$A15706,nCURSO,DATOS!$D15706,nESPEC,DATOS!$E15706,nASIG,DATOS!$I15706,nEVAL,"EX")=0),0))))</f>
      </c>
      <c r="H15706">
        <f>IF(DATOS!$G15706&lt;&gt;"EX",0,--(COUNTIFS(nNIA,DATOS!$A15706,nCURSO,DATOS!$D15706,nESPEC,DATOS!$E15706,nASIG,DATOS!$I15706,nEVAL,"OR")=0))</f>
      </c>
      <c r="I15706">
        <f>IF(DATOS!$I15706="","",IFERROR(VLOOKUP(DATOS!$I15706,CONFIG_ASIGNATURAS!$B$2:$J$91,9,FALSE()),""))</f>
      </c>
    </row>
    <row r="15707">
      <c r="F15707">
        <f>IF(DATOS!$A15707="","",DATOS!$A15707&amp;"|"&amp;DATOS!$D15707&amp;"|"&amp;DATOS!$E15707&amp;"|"&amp;DATOS!$I15707)</f>
      </c>
      <c r="G15707">
        <f>IF(DATOS!$A15707="",0,IF(CONFIG_METADATA!$B$4&lt;&gt;"OR+EX",--(DATOS!$G15707=CONFIG_METADATA!$B$4),IF(DATOS!$G15707="EX",1,IF(DATOS!$G15707="OR",--(COUNTIFS(nNIA,DATOS!$A15707,nCURSO,DATOS!$D15707,nESPEC,DATOS!$E15707,nASIG,DATOS!$I15707,nEVAL,"EX")=0),0))))</f>
      </c>
      <c r="H15707">
        <f>IF(DATOS!$G15707&lt;&gt;"EX",0,--(COUNTIFS(nNIA,DATOS!$A15707,nCURSO,DATOS!$D15707,nESPEC,DATOS!$E15707,nASIG,DATOS!$I15707,nEVAL,"OR")=0))</f>
      </c>
      <c r="I15707">
        <f>IF(DATOS!$I15707="","",IFERROR(VLOOKUP(DATOS!$I15707,CONFIG_ASIGNATURAS!$B$2:$J$91,9,FALSE()),""))</f>
      </c>
    </row>
    <row r="15708">
      <c r="F15708">
        <f>IF(DATOS!$A15708="","",DATOS!$A15708&amp;"|"&amp;DATOS!$D15708&amp;"|"&amp;DATOS!$E15708&amp;"|"&amp;DATOS!$I15708)</f>
      </c>
      <c r="G15708">
        <f>IF(DATOS!$A15708="",0,IF(CONFIG_METADATA!$B$4&lt;&gt;"OR+EX",--(DATOS!$G15708=CONFIG_METADATA!$B$4),IF(DATOS!$G15708="EX",1,IF(DATOS!$G15708="OR",--(COUNTIFS(nNIA,DATOS!$A15708,nCURSO,DATOS!$D15708,nESPEC,DATOS!$E15708,nASIG,DATOS!$I15708,nEVAL,"EX")=0),0))))</f>
      </c>
      <c r="H15708">
        <f>IF(DATOS!$G15708&lt;&gt;"EX",0,--(COUNTIFS(nNIA,DATOS!$A15708,nCURSO,DATOS!$D15708,nESPEC,DATOS!$E15708,nASIG,DATOS!$I15708,nEVAL,"OR")=0))</f>
      </c>
      <c r="I15708">
        <f>IF(DATOS!$I15708="","",IFERROR(VLOOKUP(DATOS!$I15708,CONFIG_ASIGNATURAS!$B$2:$J$91,9,FALSE()),""))</f>
      </c>
    </row>
    <row r="15709">
      <c r="F15709">
        <f>IF(DATOS!$A15709="","",DATOS!$A15709&amp;"|"&amp;DATOS!$D15709&amp;"|"&amp;DATOS!$E15709&amp;"|"&amp;DATOS!$I15709)</f>
      </c>
      <c r="G15709">
        <f>IF(DATOS!$A15709="",0,IF(CONFIG_METADATA!$B$4&lt;&gt;"OR+EX",--(DATOS!$G15709=CONFIG_METADATA!$B$4),IF(DATOS!$G15709="EX",1,IF(DATOS!$G15709="OR",--(COUNTIFS(nNIA,DATOS!$A15709,nCURSO,DATOS!$D15709,nESPEC,DATOS!$E15709,nASIG,DATOS!$I15709,nEVAL,"EX")=0),0))))</f>
      </c>
      <c r="H15709">
        <f>IF(DATOS!$G15709&lt;&gt;"EX",0,--(COUNTIFS(nNIA,DATOS!$A15709,nCURSO,DATOS!$D15709,nESPEC,DATOS!$E15709,nASIG,DATOS!$I15709,nEVAL,"OR")=0))</f>
      </c>
      <c r="I15709">
        <f>IF(DATOS!$I15709="","",IFERROR(VLOOKUP(DATOS!$I15709,CONFIG_ASIGNATURAS!$B$2:$J$91,9,FALSE()),""))</f>
      </c>
    </row>
    <row r="15710">
      <c r="F15710">
        <f>IF(DATOS!$A15710="","",DATOS!$A15710&amp;"|"&amp;DATOS!$D15710&amp;"|"&amp;DATOS!$E15710&amp;"|"&amp;DATOS!$I15710)</f>
      </c>
      <c r="G15710">
        <f>IF(DATOS!$A15710="",0,IF(CONFIG_METADATA!$B$4&lt;&gt;"OR+EX",--(DATOS!$G15710=CONFIG_METADATA!$B$4),IF(DATOS!$G15710="EX",1,IF(DATOS!$G15710="OR",--(COUNTIFS(nNIA,DATOS!$A15710,nCURSO,DATOS!$D15710,nESPEC,DATOS!$E15710,nASIG,DATOS!$I15710,nEVAL,"EX")=0),0))))</f>
      </c>
      <c r="H15710">
        <f>IF(DATOS!$G15710&lt;&gt;"EX",0,--(COUNTIFS(nNIA,DATOS!$A15710,nCURSO,DATOS!$D15710,nESPEC,DATOS!$E15710,nASIG,DATOS!$I15710,nEVAL,"OR")=0))</f>
      </c>
      <c r="I15710">
        <f>IF(DATOS!$I15710="","",IFERROR(VLOOKUP(DATOS!$I15710,CONFIG_ASIGNATURAS!$B$2:$J$91,9,FALSE()),""))</f>
      </c>
    </row>
    <row r="15711">
      <c r="F15711">
        <f>IF(DATOS!$A15711="","",DATOS!$A15711&amp;"|"&amp;DATOS!$D15711&amp;"|"&amp;DATOS!$E15711&amp;"|"&amp;DATOS!$I15711)</f>
      </c>
      <c r="G15711">
        <f>IF(DATOS!$A15711="",0,IF(CONFIG_METADATA!$B$4&lt;&gt;"OR+EX",--(DATOS!$G15711=CONFIG_METADATA!$B$4),IF(DATOS!$G15711="EX",1,IF(DATOS!$G15711="OR",--(COUNTIFS(nNIA,DATOS!$A15711,nCURSO,DATOS!$D15711,nESPEC,DATOS!$E15711,nASIG,DATOS!$I15711,nEVAL,"EX")=0),0))))</f>
      </c>
      <c r="H15711">
        <f>IF(DATOS!$G15711&lt;&gt;"EX",0,--(COUNTIFS(nNIA,DATOS!$A15711,nCURSO,DATOS!$D15711,nESPEC,DATOS!$E15711,nASIG,DATOS!$I15711,nEVAL,"OR")=0))</f>
      </c>
      <c r="I15711">
        <f>IF(DATOS!$I15711="","",IFERROR(VLOOKUP(DATOS!$I15711,CONFIG_ASIGNATURAS!$B$2:$J$91,9,FALSE()),""))</f>
      </c>
    </row>
    <row r="15712">
      <c r="F15712">
        <f>IF(DATOS!$A15712="","",DATOS!$A15712&amp;"|"&amp;DATOS!$D15712&amp;"|"&amp;DATOS!$E15712&amp;"|"&amp;DATOS!$I15712)</f>
      </c>
      <c r="G15712">
        <f>IF(DATOS!$A15712="",0,IF(CONFIG_METADATA!$B$4&lt;&gt;"OR+EX",--(DATOS!$G15712=CONFIG_METADATA!$B$4),IF(DATOS!$G15712="EX",1,IF(DATOS!$G15712="OR",--(COUNTIFS(nNIA,DATOS!$A15712,nCURSO,DATOS!$D15712,nESPEC,DATOS!$E15712,nASIG,DATOS!$I15712,nEVAL,"EX")=0),0))))</f>
      </c>
      <c r="H15712">
        <f>IF(DATOS!$G15712&lt;&gt;"EX",0,--(COUNTIFS(nNIA,DATOS!$A15712,nCURSO,DATOS!$D15712,nESPEC,DATOS!$E15712,nASIG,DATOS!$I15712,nEVAL,"OR")=0))</f>
      </c>
      <c r="I15712">
        <f>IF(DATOS!$I15712="","",IFERROR(VLOOKUP(DATOS!$I15712,CONFIG_ASIGNATURAS!$B$2:$J$91,9,FALSE()),""))</f>
      </c>
    </row>
    <row r="15713">
      <c r="F15713">
        <f>IF(DATOS!$A15713="","",DATOS!$A15713&amp;"|"&amp;DATOS!$D15713&amp;"|"&amp;DATOS!$E15713&amp;"|"&amp;DATOS!$I15713)</f>
      </c>
      <c r="G15713">
        <f>IF(DATOS!$A15713="",0,IF(CONFIG_METADATA!$B$4&lt;&gt;"OR+EX",--(DATOS!$G15713=CONFIG_METADATA!$B$4),IF(DATOS!$G15713="EX",1,IF(DATOS!$G15713="OR",--(COUNTIFS(nNIA,DATOS!$A15713,nCURSO,DATOS!$D15713,nESPEC,DATOS!$E15713,nASIG,DATOS!$I15713,nEVAL,"EX")=0),0))))</f>
      </c>
      <c r="H15713">
        <f>IF(DATOS!$G15713&lt;&gt;"EX",0,--(COUNTIFS(nNIA,DATOS!$A15713,nCURSO,DATOS!$D15713,nESPEC,DATOS!$E15713,nASIG,DATOS!$I15713,nEVAL,"OR")=0))</f>
      </c>
      <c r="I15713">
        <f>IF(DATOS!$I15713="","",IFERROR(VLOOKUP(DATOS!$I15713,CONFIG_ASIGNATURAS!$B$2:$J$91,9,FALSE()),""))</f>
      </c>
    </row>
    <row r="15714">
      <c r="F15714">
        <f>IF(DATOS!$A15714="","",DATOS!$A15714&amp;"|"&amp;DATOS!$D15714&amp;"|"&amp;DATOS!$E15714&amp;"|"&amp;DATOS!$I15714)</f>
      </c>
      <c r="G15714">
        <f>IF(DATOS!$A15714="",0,IF(CONFIG_METADATA!$B$4&lt;&gt;"OR+EX",--(DATOS!$G15714=CONFIG_METADATA!$B$4),IF(DATOS!$G15714="EX",1,IF(DATOS!$G15714="OR",--(COUNTIFS(nNIA,DATOS!$A15714,nCURSO,DATOS!$D15714,nESPEC,DATOS!$E15714,nASIG,DATOS!$I15714,nEVAL,"EX")=0),0))))</f>
      </c>
      <c r="H15714">
        <f>IF(DATOS!$G15714&lt;&gt;"EX",0,--(COUNTIFS(nNIA,DATOS!$A15714,nCURSO,DATOS!$D15714,nESPEC,DATOS!$E15714,nASIG,DATOS!$I15714,nEVAL,"OR")=0))</f>
      </c>
      <c r="I15714">
        <f>IF(DATOS!$I15714="","",IFERROR(VLOOKUP(DATOS!$I15714,CONFIG_ASIGNATURAS!$B$2:$J$91,9,FALSE()),""))</f>
      </c>
    </row>
    <row r="15715">
      <c r="F15715">
        <f>IF(DATOS!$A15715="","",DATOS!$A15715&amp;"|"&amp;DATOS!$D15715&amp;"|"&amp;DATOS!$E15715&amp;"|"&amp;DATOS!$I15715)</f>
      </c>
      <c r="G15715">
        <f>IF(DATOS!$A15715="",0,IF(CONFIG_METADATA!$B$4&lt;&gt;"OR+EX",--(DATOS!$G15715=CONFIG_METADATA!$B$4),IF(DATOS!$G15715="EX",1,IF(DATOS!$G15715="OR",--(COUNTIFS(nNIA,DATOS!$A15715,nCURSO,DATOS!$D15715,nESPEC,DATOS!$E15715,nASIG,DATOS!$I15715,nEVAL,"EX")=0),0))))</f>
      </c>
      <c r="H15715">
        <f>IF(DATOS!$G15715&lt;&gt;"EX",0,--(COUNTIFS(nNIA,DATOS!$A15715,nCURSO,DATOS!$D15715,nESPEC,DATOS!$E15715,nASIG,DATOS!$I15715,nEVAL,"OR")=0))</f>
      </c>
      <c r="I15715">
        <f>IF(DATOS!$I15715="","",IFERROR(VLOOKUP(DATOS!$I15715,CONFIG_ASIGNATURAS!$B$2:$J$91,9,FALSE()),""))</f>
      </c>
    </row>
    <row r="15716">
      <c r="F15716">
        <f>IF(DATOS!$A15716="","",DATOS!$A15716&amp;"|"&amp;DATOS!$D15716&amp;"|"&amp;DATOS!$E15716&amp;"|"&amp;DATOS!$I15716)</f>
      </c>
      <c r="G15716">
        <f>IF(DATOS!$A15716="",0,IF(CONFIG_METADATA!$B$4&lt;&gt;"OR+EX",--(DATOS!$G15716=CONFIG_METADATA!$B$4),IF(DATOS!$G15716="EX",1,IF(DATOS!$G15716="OR",--(COUNTIFS(nNIA,DATOS!$A15716,nCURSO,DATOS!$D15716,nESPEC,DATOS!$E15716,nASIG,DATOS!$I15716,nEVAL,"EX")=0),0))))</f>
      </c>
      <c r="H15716">
        <f>IF(DATOS!$G15716&lt;&gt;"EX",0,--(COUNTIFS(nNIA,DATOS!$A15716,nCURSO,DATOS!$D15716,nESPEC,DATOS!$E15716,nASIG,DATOS!$I15716,nEVAL,"OR")=0))</f>
      </c>
      <c r="I15716">
        <f>IF(DATOS!$I15716="","",IFERROR(VLOOKUP(DATOS!$I15716,CONFIG_ASIGNATURAS!$B$2:$J$91,9,FALSE()),""))</f>
      </c>
    </row>
    <row r="15717">
      <c r="F15717">
        <f>IF(DATOS!$A15717="","",DATOS!$A15717&amp;"|"&amp;DATOS!$D15717&amp;"|"&amp;DATOS!$E15717&amp;"|"&amp;DATOS!$I15717)</f>
      </c>
      <c r="G15717">
        <f>IF(DATOS!$A15717="",0,IF(CONFIG_METADATA!$B$4&lt;&gt;"OR+EX",--(DATOS!$G15717=CONFIG_METADATA!$B$4),IF(DATOS!$G15717="EX",1,IF(DATOS!$G15717="OR",--(COUNTIFS(nNIA,DATOS!$A15717,nCURSO,DATOS!$D15717,nESPEC,DATOS!$E15717,nASIG,DATOS!$I15717,nEVAL,"EX")=0),0))))</f>
      </c>
      <c r="H15717">
        <f>IF(DATOS!$G15717&lt;&gt;"EX",0,--(COUNTIFS(nNIA,DATOS!$A15717,nCURSO,DATOS!$D15717,nESPEC,DATOS!$E15717,nASIG,DATOS!$I15717,nEVAL,"OR")=0))</f>
      </c>
      <c r="I15717">
        <f>IF(DATOS!$I15717="","",IFERROR(VLOOKUP(DATOS!$I15717,CONFIG_ASIGNATURAS!$B$2:$J$91,9,FALSE()),""))</f>
      </c>
    </row>
    <row r="15718">
      <c r="F15718">
        <f>IF(DATOS!$A15718="","",DATOS!$A15718&amp;"|"&amp;DATOS!$D15718&amp;"|"&amp;DATOS!$E15718&amp;"|"&amp;DATOS!$I15718)</f>
      </c>
      <c r="G15718">
        <f>IF(DATOS!$A15718="",0,IF(CONFIG_METADATA!$B$4&lt;&gt;"OR+EX",--(DATOS!$G15718=CONFIG_METADATA!$B$4),IF(DATOS!$G15718="EX",1,IF(DATOS!$G15718="OR",--(COUNTIFS(nNIA,DATOS!$A15718,nCURSO,DATOS!$D15718,nESPEC,DATOS!$E15718,nASIG,DATOS!$I15718,nEVAL,"EX")=0),0))))</f>
      </c>
      <c r="H15718">
        <f>IF(DATOS!$G15718&lt;&gt;"EX",0,--(COUNTIFS(nNIA,DATOS!$A15718,nCURSO,DATOS!$D15718,nESPEC,DATOS!$E15718,nASIG,DATOS!$I15718,nEVAL,"OR")=0))</f>
      </c>
      <c r="I15718">
        <f>IF(DATOS!$I15718="","",IFERROR(VLOOKUP(DATOS!$I15718,CONFIG_ASIGNATURAS!$B$2:$J$91,9,FALSE()),""))</f>
      </c>
    </row>
    <row r="15719">
      <c r="F15719">
        <f>IF(DATOS!$A15719="","",DATOS!$A15719&amp;"|"&amp;DATOS!$D15719&amp;"|"&amp;DATOS!$E15719&amp;"|"&amp;DATOS!$I15719)</f>
      </c>
      <c r="G15719">
        <f>IF(DATOS!$A15719="",0,IF(CONFIG_METADATA!$B$4&lt;&gt;"OR+EX",--(DATOS!$G15719=CONFIG_METADATA!$B$4),IF(DATOS!$G15719="EX",1,IF(DATOS!$G15719="OR",--(COUNTIFS(nNIA,DATOS!$A15719,nCURSO,DATOS!$D15719,nESPEC,DATOS!$E15719,nASIG,DATOS!$I15719,nEVAL,"EX")=0),0))))</f>
      </c>
      <c r="H15719">
        <f>IF(DATOS!$G15719&lt;&gt;"EX",0,--(COUNTIFS(nNIA,DATOS!$A15719,nCURSO,DATOS!$D15719,nESPEC,DATOS!$E15719,nASIG,DATOS!$I15719,nEVAL,"OR")=0))</f>
      </c>
      <c r="I15719">
        <f>IF(DATOS!$I15719="","",IFERROR(VLOOKUP(DATOS!$I15719,CONFIG_ASIGNATURAS!$B$2:$J$91,9,FALSE()),""))</f>
      </c>
    </row>
    <row r="15720">
      <c r="F15720">
        <f>IF(DATOS!$A15720="","",DATOS!$A15720&amp;"|"&amp;DATOS!$D15720&amp;"|"&amp;DATOS!$E15720&amp;"|"&amp;DATOS!$I15720)</f>
      </c>
      <c r="G15720">
        <f>IF(DATOS!$A15720="",0,IF(CONFIG_METADATA!$B$4&lt;&gt;"OR+EX",--(DATOS!$G15720=CONFIG_METADATA!$B$4),IF(DATOS!$G15720="EX",1,IF(DATOS!$G15720="OR",--(COUNTIFS(nNIA,DATOS!$A15720,nCURSO,DATOS!$D15720,nESPEC,DATOS!$E15720,nASIG,DATOS!$I15720,nEVAL,"EX")=0),0))))</f>
      </c>
      <c r="H15720">
        <f>IF(DATOS!$G15720&lt;&gt;"EX",0,--(COUNTIFS(nNIA,DATOS!$A15720,nCURSO,DATOS!$D15720,nESPEC,DATOS!$E15720,nASIG,DATOS!$I15720,nEVAL,"OR")=0))</f>
      </c>
      <c r="I15720">
        <f>IF(DATOS!$I15720="","",IFERROR(VLOOKUP(DATOS!$I15720,CONFIG_ASIGNATURAS!$B$2:$J$91,9,FALSE()),""))</f>
      </c>
    </row>
    <row r="15721">
      <c r="F15721">
        <f>IF(DATOS!$A15721="","",DATOS!$A15721&amp;"|"&amp;DATOS!$D15721&amp;"|"&amp;DATOS!$E15721&amp;"|"&amp;DATOS!$I15721)</f>
      </c>
      <c r="G15721">
        <f>IF(DATOS!$A15721="",0,IF(CONFIG_METADATA!$B$4&lt;&gt;"OR+EX",--(DATOS!$G15721=CONFIG_METADATA!$B$4),IF(DATOS!$G15721="EX",1,IF(DATOS!$G15721="OR",--(COUNTIFS(nNIA,DATOS!$A15721,nCURSO,DATOS!$D15721,nESPEC,DATOS!$E15721,nASIG,DATOS!$I15721,nEVAL,"EX")=0),0))))</f>
      </c>
      <c r="H15721">
        <f>IF(DATOS!$G15721&lt;&gt;"EX",0,--(COUNTIFS(nNIA,DATOS!$A15721,nCURSO,DATOS!$D15721,nESPEC,DATOS!$E15721,nASIG,DATOS!$I15721,nEVAL,"OR")=0))</f>
      </c>
      <c r="I15721">
        <f>IF(DATOS!$I15721="","",IFERROR(VLOOKUP(DATOS!$I15721,CONFIG_ASIGNATURAS!$B$2:$J$91,9,FALSE()),""))</f>
      </c>
    </row>
    <row r="15722">
      <c r="F15722">
        <f>IF(DATOS!$A15722="","",DATOS!$A15722&amp;"|"&amp;DATOS!$D15722&amp;"|"&amp;DATOS!$E15722&amp;"|"&amp;DATOS!$I15722)</f>
      </c>
      <c r="G15722">
        <f>IF(DATOS!$A15722="",0,IF(CONFIG_METADATA!$B$4&lt;&gt;"OR+EX",--(DATOS!$G15722=CONFIG_METADATA!$B$4),IF(DATOS!$G15722="EX",1,IF(DATOS!$G15722="OR",--(COUNTIFS(nNIA,DATOS!$A15722,nCURSO,DATOS!$D15722,nESPEC,DATOS!$E15722,nASIG,DATOS!$I15722,nEVAL,"EX")=0),0))))</f>
      </c>
      <c r="H15722">
        <f>IF(DATOS!$G15722&lt;&gt;"EX",0,--(COUNTIFS(nNIA,DATOS!$A15722,nCURSO,DATOS!$D15722,nESPEC,DATOS!$E15722,nASIG,DATOS!$I15722,nEVAL,"OR")=0))</f>
      </c>
      <c r="I15722">
        <f>IF(DATOS!$I15722="","",IFERROR(VLOOKUP(DATOS!$I15722,CONFIG_ASIGNATURAS!$B$2:$J$91,9,FALSE()),""))</f>
      </c>
    </row>
    <row r="15723">
      <c r="F15723">
        <f>IF(DATOS!$A15723="","",DATOS!$A15723&amp;"|"&amp;DATOS!$D15723&amp;"|"&amp;DATOS!$E15723&amp;"|"&amp;DATOS!$I15723)</f>
      </c>
      <c r="G15723">
        <f>IF(DATOS!$A15723="",0,IF(CONFIG_METADATA!$B$4&lt;&gt;"OR+EX",--(DATOS!$G15723=CONFIG_METADATA!$B$4),IF(DATOS!$G15723="EX",1,IF(DATOS!$G15723="OR",--(COUNTIFS(nNIA,DATOS!$A15723,nCURSO,DATOS!$D15723,nESPEC,DATOS!$E15723,nASIG,DATOS!$I15723,nEVAL,"EX")=0),0))))</f>
      </c>
      <c r="H15723">
        <f>IF(DATOS!$G15723&lt;&gt;"EX",0,--(COUNTIFS(nNIA,DATOS!$A15723,nCURSO,DATOS!$D15723,nESPEC,DATOS!$E15723,nASIG,DATOS!$I15723,nEVAL,"OR")=0))</f>
      </c>
      <c r="I15723">
        <f>IF(DATOS!$I15723="","",IFERROR(VLOOKUP(DATOS!$I15723,CONFIG_ASIGNATURAS!$B$2:$J$91,9,FALSE()),""))</f>
      </c>
    </row>
    <row r="15724">
      <c r="F15724">
        <f>IF(DATOS!$A15724="","",DATOS!$A15724&amp;"|"&amp;DATOS!$D15724&amp;"|"&amp;DATOS!$E15724&amp;"|"&amp;DATOS!$I15724)</f>
      </c>
      <c r="G15724">
        <f>IF(DATOS!$A15724="",0,IF(CONFIG_METADATA!$B$4&lt;&gt;"OR+EX",--(DATOS!$G15724=CONFIG_METADATA!$B$4),IF(DATOS!$G15724="EX",1,IF(DATOS!$G15724="OR",--(COUNTIFS(nNIA,DATOS!$A15724,nCURSO,DATOS!$D15724,nESPEC,DATOS!$E15724,nASIG,DATOS!$I15724,nEVAL,"EX")=0),0))))</f>
      </c>
      <c r="H15724">
        <f>IF(DATOS!$G15724&lt;&gt;"EX",0,--(COUNTIFS(nNIA,DATOS!$A15724,nCURSO,DATOS!$D15724,nESPEC,DATOS!$E15724,nASIG,DATOS!$I15724,nEVAL,"OR")=0))</f>
      </c>
      <c r="I15724">
        <f>IF(DATOS!$I15724="","",IFERROR(VLOOKUP(DATOS!$I15724,CONFIG_ASIGNATURAS!$B$2:$J$91,9,FALSE()),""))</f>
      </c>
    </row>
    <row r="15725">
      <c r="F15725">
        <f>IF(DATOS!$A15725="","",DATOS!$A15725&amp;"|"&amp;DATOS!$D15725&amp;"|"&amp;DATOS!$E15725&amp;"|"&amp;DATOS!$I15725)</f>
      </c>
      <c r="G15725">
        <f>IF(DATOS!$A15725="",0,IF(CONFIG_METADATA!$B$4&lt;&gt;"OR+EX",--(DATOS!$G15725=CONFIG_METADATA!$B$4),IF(DATOS!$G15725="EX",1,IF(DATOS!$G15725="OR",--(COUNTIFS(nNIA,DATOS!$A15725,nCURSO,DATOS!$D15725,nESPEC,DATOS!$E15725,nASIG,DATOS!$I15725,nEVAL,"EX")=0),0))))</f>
      </c>
      <c r="H15725">
        <f>IF(DATOS!$G15725&lt;&gt;"EX",0,--(COUNTIFS(nNIA,DATOS!$A15725,nCURSO,DATOS!$D15725,nESPEC,DATOS!$E15725,nASIG,DATOS!$I15725,nEVAL,"OR")=0))</f>
      </c>
      <c r="I15725">
        <f>IF(DATOS!$I15725="","",IFERROR(VLOOKUP(DATOS!$I15725,CONFIG_ASIGNATURAS!$B$2:$J$91,9,FALSE()),""))</f>
      </c>
    </row>
    <row r="15726">
      <c r="F15726">
        <f>IF(DATOS!$A15726="","",DATOS!$A15726&amp;"|"&amp;DATOS!$D15726&amp;"|"&amp;DATOS!$E15726&amp;"|"&amp;DATOS!$I15726)</f>
      </c>
      <c r="G15726">
        <f>IF(DATOS!$A15726="",0,IF(CONFIG_METADATA!$B$4&lt;&gt;"OR+EX",--(DATOS!$G15726=CONFIG_METADATA!$B$4),IF(DATOS!$G15726="EX",1,IF(DATOS!$G15726="OR",--(COUNTIFS(nNIA,DATOS!$A15726,nCURSO,DATOS!$D15726,nESPEC,DATOS!$E15726,nASIG,DATOS!$I15726,nEVAL,"EX")=0),0))))</f>
      </c>
      <c r="H15726">
        <f>IF(DATOS!$G15726&lt;&gt;"EX",0,--(COUNTIFS(nNIA,DATOS!$A15726,nCURSO,DATOS!$D15726,nESPEC,DATOS!$E15726,nASIG,DATOS!$I15726,nEVAL,"OR")=0))</f>
      </c>
      <c r="I15726">
        <f>IF(DATOS!$I15726="","",IFERROR(VLOOKUP(DATOS!$I15726,CONFIG_ASIGNATURAS!$B$2:$J$91,9,FALSE()),""))</f>
      </c>
    </row>
    <row r="15727">
      <c r="F15727">
        <f>IF(DATOS!$A15727="","",DATOS!$A15727&amp;"|"&amp;DATOS!$D15727&amp;"|"&amp;DATOS!$E15727&amp;"|"&amp;DATOS!$I15727)</f>
      </c>
      <c r="G15727">
        <f>IF(DATOS!$A15727="",0,IF(CONFIG_METADATA!$B$4&lt;&gt;"OR+EX",--(DATOS!$G15727=CONFIG_METADATA!$B$4),IF(DATOS!$G15727="EX",1,IF(DATOS!$G15727="OR",--(COUNTIFS(nNIA,DATOS!$A15727,nCURSO,DATOS!$D15727,nESPEC,DATOS!$E15727,nASIG,DATOS!$I15727,nEVAL,"EX")=0),0))))</f>
      </c>
      <c r="H15727">
        <f>IF(DATOS!$G15727&lt;&gt;"EX",0,--(COUNTIFS(nNIA,DATOS!$A15727,nCURSO,DATOS!$D15727,nESPEC,DATOS!$E15727,nASIG,DATOS!$I15727,nEVAL,"OR")=0))</f>
      </c>
      <c r="I15727">
        <f>IF(DATOS!$I15727="","",IFERROR(VLOOKUP(DATOS!$I15727,CONFIG_ASIGNATURAS!$B$2:$J$91,9,FALSE()),""))</f>
      </c>
    </row>
    <row r="15728">
      <c r="F15728">
        <f>IF(DATOS!$A15728="","",DATOS!$A15728&amp;"|"&amp;DATOS!$D15728&amp;"|"&amp;DATOS!$E15728&amp;"|"&amp;DATOS!$I15728)</f>
      </c>
      <c r="G15728">
        <f>IF(DATOS!$A15728="",0,IF(CONFIG_METADATA!$B$4&lt;&gt;"OR+EX",--(DATOS!$G15728=CONFIG_METADATA!$B$4),IF(DATOS!$G15728="EX",1,IF(DATOS!$G15728="OR",--(COUNTIFS(nNIA,DATOS!$A15728,nCURSO,DATOS!$D15728,nESPEC,DATOS!$E15728,nASIG,DATOS!$I15728,nEVAL,"EX")=0),0))))</f>
      </c>
      <c r="H15728">
        <f>IF(DATOS!$G15728&lt;&gt;"EX",0,--(COUNTIFS(nNIA,DATOS!$A15728,nCURSO,DATOS!$D15728,nESPEC,DATOS!$E15728,nASIG,DATOS!$I15728,nEVAL,"OR")=0))</f>
      </c>
      <c r="I15728">
        <f>IF(DATOS!$I15728="","",IFERROR(VLOOKUP(DATOS!$I15728,CONFIG_ASIGNATURAS!$B$2:$J$91,9,FALSE()),""))</f>
      </c>
    </row>
    <row r="15729">
      <c r="F15729">
        <f>IF(DATOS!$A15729="","",DATOS!$A15729&amp;"|"&amp;DATOS!$D15729&amp;"|"&amp;DATOS!$E15729&amp;"|"&amp;DATOS!$I15729)</f>
      </c>
      <c r="G15729">
        <f>IF(DATOS!$A15729="",0,IF(CONFIG_METADATA!$B$4&lt;&gt;"OR+EX",--(DATOS!$G15729=CONFIG_METADATA!$B$4),IF(DATOS!$G15729="EX",1,IF(DATOS!$G15729="OR",--(COUNTIFS(nNIA,DATOS!$A15729,nCURSO,DATOS!$D15729,nESPEC,DATOS!$E15729,nASIG,DATOS!$I15729,nEVAL,"EX")=0),0))))</f>
      </c>
      <c r="H15729">
        <f>IF(DATOS!$G15729&lt;&gt;"EX",0,--(COUNTIFS(nNIA,DATOS!$A15729,nCURSO,DATOS!$D15729,nESPEC,DATOS!$E15729,nASIG,DATOS!$I15729,nEVAL,"OR")=0))</f>
      </c>
      <c r="I15729">
        <f>IF(DATOS!$I15729="","",IFERROR(VLOOKUP(DATOS!$I15729,CONFIG_ASIGNATURAS!$B$2:$J$91,9,FALSE()),""))</f>
      </c>
    </row>
    <row r="15730">
      <c r="F15730">
        <f>IF(DATOS!$A15730="","",DATOS!$A15730&amp;"|"&amp;DATOS!$D15730&amp;"|"&amp;DATOS!$E15730&amp;"|"&amp;DATOS!$I15730)</f>
      </c>
      <c r="G15730">
        <f>IF(DATOS!$A15730="",0,IF(CONFIG_METADATA!$B$4&lt;&gt;"OR+EX",--(DATOS!$G15730=CONFIG_METADATA!$B$4),IF(DATOS!$G15730="EX",1,IF(DATOS!$G15730="OR",--(COUNTIFS(nNIA,DATOS!$A15730,nCURSO,DATOS!$D15730,nESPEC,DATOS!$E15730,nASIG,DATOS!$I15730,nEVAL,"EX")=0),0))))</f>
      </c>
      <c r="H15730">
        <f>IF(DATOS!$G15730&lt;&gt;"EX",0,--(COUNTIFS(nNIA,DATOS!$A15730,nCURSO,DATOS!$D15730,nESPEC,DATOS!$E15730,nASIG,DATOS!$I15730,nEVAL,"OR")=0))</f>
      </c>
      <c r="I15730">
        <f>IF(DATOS!$I15730="","",IFERROR(VLOOKUP(DATOS!$I15730,CONFIG_ASIGNATURAS!$B$2:$J$91,9,FALSE()),""))</f>
      </c>
    </row>
    <row r="15731">
      <c r="F15731">
        <f>IF(DATOS!$A15731="","",DATOS!$A15731&amp;"|"&amp;DATOS!$D15731&amp;"|"&amp;DATOS!$E15731&amp;"|"&amp;DATOS!$I15731)</f>
      </c>
      <c r="G15731">
        <f>IF(DATOS!$A15731="",0,IF(CONFIG_METADATA!$B$4&lt;&gt;"OR+EX",--(DATOS!$G15731=CONFIG_METADATA!$B$4),IF(DATOS!$G15731="EX",1,IF(DATOS!$G15731="OR",--(COUNTIFS(nNIA,DATOS!$A15731,nCURSO,DATOS!$D15731,nESPEC,DATOS!$E15731,nASIG,DATOS!$I15731,nEVAL,"EX")=0),0))))</f>
      </c>
      <c r="H15731">
        <f>IF(DATOS!$G15731&lt;&gt;"EX",0,--(COUNTIFS(nNIA,DATOS!$A15731,nCURSO,DATOS!$D15731,nESPEC,DATOS!$E15731,nASIG,DATOS!$I15731,nEVAL,"OR")=0))</f>
      </c>
      <c r="I15731">
        <f>IF(DATOS!$I15731="","",IFERROR(VLOOKUP(DATOS!$I15731,CONFIG_ASIGNATURAS!$B$2:$J$91,9,FALSE()),""))</f>
      </c>
    </row>
    <row r="15732">
      <c r="F15732">
        <f>IF(DATOS!$A15732="","",DATOS!$A15732&amp;"|"&amp;DATOS!$D15732&amp;"|"&amp;DATOS!$E15732&amp;"|"&amp;DATOS!$I15732)</f>
      </c>
      <c r="G15732">
        <f>IF(DATOS!$A15732="",0,IF(CONFIG_METADATA!$B$4&lt;&gt;"OR+EX",--(DATOS!$G15732=CONFIG_METADATA!$B$4),IF(DATOS!$G15732="EX",1,IF(DATOS!$G15732="OR",--(COUNTIFS(nNIA,DATOS!$A15732,nCURSO,DATOS!$D15732,nESPEC,DATOS!$E15732,nASIG,DATOS!$I15732,nEVAL,"EX")=0),0))))</f>
      </c>
      <c r="H15732">
        <f>IF(DATOS!$G15732&lt;&gt;"EX",0,--(COUNTIFS(nNIA,DATOS!$A15732,nCURSO,DATOS!$D15732,nESPEC,DATOS!$E15732,nASIG,DATOS!$I15732,nEVAL,"OR")=0))</f>
      </c>
      <c r="I15732">
        <f>IF(DATOS!$I15732="","",IFERROR(VLOOKUP(DATOS!$I15732,CONFIG_ASIGNATURAS!$B$2:$J$91,9,FALSE()),""))</f>
      </c>
    </row>
    <row r="15733">
      <c r="F15733">
        <f>IF(DATOS!$A15733="","",DATOS!$A15733&amp;"|"&amp;DATOS!$D15733&amp;"|"&amp;DATOS!$E15733&amp;"|"&amp;DATOS!$I15733)</f>
      </c>
      <c r="G15733">
        <f>IF(DATOS!$A15733="",0,IF(CONFIG_METADATA!$B$4&lt;&gt;"OR+EX",--(DATOS!$G15733=CONFIG_METADATA!$B$4),IF(DATOS!$G15733="EX",1,IF(DATOS!$G15733="OR",--(COUNTIFS(nNIA,DATOS!$A15733,nCURSO,DATOS!$D15733,nESPEC,DATOS!$E15733,nASIG,DATOS!$I15733,nEVAL,"EX")=0),0))))</f>
      </c>
      <c r="H15733">
        <f>IF(DATOS!$G15733&lt;&gt;"EX",0,--(COUNTIFS(nNIA,DATOS!$A15733,nCURSO,DATOS!$D15733,nESPEC,DATOS!$E15733,nASIG,DATOS!$I15733,nEVAL,"OR")=0))</f>
      </c>
      <c r="I15733">
        <f>IF(DATOS!$I15733="","",IFERROR(VLOOKUP(DATOS!$I15733,CONFIG_ASIGNATURAS!$B$2:$J$91,9,FALSE()),""))</f>
      </c>
    </row>
    <row r="15734">
      <c r="F15734">
        <f>IF(DATOS!$A15734="","",DATOS!$A15734&amp;"|"&amp;DATOS!$D15734&amp;"|"&amp;DATOS!$E15734&amp;"|"&amp;DATOS!$I15734)</f>
      </c>
      <c r="G15734">
        <f>IF(DATOS!$A15734="",0,IF(CONFIG_METADATA!$B$4&lt;&gt;"OR+EX",--(DATOS!$G15734=CONFIG_METADATA!$B$4),IF(DATOS!$G15734="EX",1,IF(DATOS!$G15734="OR",--(COUNTIFS(nNIA,DATOS!$A15734,nCURSO,DATOS!$D15734,nESPEC,DATOS!$E15734,nASIG,DATOS!$I15734,nEVAL,"EX")=0),0))))</f>
      </c>
      <c r="H15734">
        <f>IF(DATOS!$G15734&lt;&gt;"EX",0,--(COUNTIFS(nNIA,DATOS!$A15734,nCURSO,DATOS!$D15734,nESPEC,DATOS!$E15734,nASIG,DATOS!$I15734,nEVAL,"OR")=0))</f>
      </c>
      <c r="I15734">
        <f>IF(DATOS!$I15734="","",IFERROR(VLOOKUP(DATOS!$I15734,CONFIG_ASIGNATURAS!$B$2:$J$91,9,FALSE()),""))</f>
      </c>
    </row>
    <row r="15735">
      <c r="F15735">
        <f>IF(DATOS!$A15735="","",DATOS!$A15735&amp;"|"&amp;DATOS!$D15735&amp;"|"&amp;DATOS!$E15735&amp;"|"&amp;DATOS!$I15735)</f>
      </c>
      <c r="G15735">
        <f>IF(DATOS!$A15735="",0,IF(CONFIG_METADATA!$B$4&lt;&gt;"OR+EX",--(DATOS!$G15735=CONFIG_METADATA!$B$4),IF(DATOS!$G15735="EX",1,IF(DATOS!$G15735="OR",--(COUNTIFS(nNIA,DATOS!$A15735,nCURSO,DATOS!$D15735,nESPEC,DATOS!$E15735,nASIG,DATOS!$I15735,nEVAL,"EX")=0),0))))</f>
      </c>
      <c r="H15735">
        <f>IF(DATOS!$G15735&lt;&gt;"EX",0,--(COUNTIFS(nNIA,DATOS!$A15735,nCURSO,DATOS!$D15735,nESPEC,DATOS!$E15735,nASIG,DATOS!$I15735,nEVAL,"OR")=0))</f>
      </c>
      <c r="I15735">
        <f>IF(DATOS!$I15735="","",IFERROR(VLOOKUP(DATOS!$I15735,CONFIG_ASIGNATURAS!$B$2:$J$91,9,FALSE()),""))</f>
      </c>
    </row>
    <row r="15736">
      <c r="F15736">
        <f>IF(DATOS!$A15736="","",DATOS!$A15736&amp;"|"&amp;DATOS!$D15736&amp;"|"&amp;DATOS!$E15736&amp;"|"&amp;DATOS!$I15736)</f>
      </c>
      <c r="G15736">
        <f>IF(DATOS!$A15736="",0,IF(CONFIG_METADATA!$B$4&lt;&gt;"OR+EX",--(DATOS!$G15736=CONFIG_METADATA!$B$4),IF(DATOS!$G15736="EX",1,IF(DATOS!$G15736="OR",--(COUNTIFS(nNIA,DATOS!$A15736,nCURSO,DATOS!$D15736,nESPEC,DATOS!$E15736,nASIG,DATOS!$I15736,nEVAL,"EX")=0),0))))</f>
      </c>
      <c r="H15736">
        <f>IF(DATOS!$G15736&lt;&gt;"EX",0,--(COUNTIFS(nNIA,DATOS!$A15736,nCURSO,DATOS!$D15736,nESPEC,DATOS!$E15736,nASIG,DATOS!$I15736,nEVAL,"OR")=0))</f>
      </c>
      <c r="I15736">
        <f>IF(DATOS!$I15736="","",IFERROR(VLOOKUP(DATOS!$I15736,CONFIG_ASIGNATURAS!$B$2:$J$91,9,FALSE()),""))</f>
      </c>
    </row>
    <row r="15737">
      <c r="F15737">
        <f>IF(DATOS!$A15737="","",DATOS!$A15737&amp;"|"&amp;DATOS!$D15737&amp;"|"&amp;DATOS!$E15737&amp;"|"&amp;DATOS!$I15737)</f>
      </c>
      <c r="G15737">
        <f>IF(DATOS!$A15737="",0,IF(CONFIG_METADATA!$B$4&lt;&gt;"OR+EX",--(DATOS!$G15737=CONFIG_METADATA!$B$4),IF(DATOS!$G15737="EX",1,IF(DATOS!$G15737="OR",--(COUNTIFS(nNIA,DATOS!$A15737,nCURSO,DATOS!$D15737,nESPEC,DATOS!$E15737,nASIG,DATOS!$I15737,nEVAL,"EX")=0),0))))</f>
      </c>
      <c r="H15737">
        <f>IF(DATOS!$G15737&lt;&gt;"EX",0,--(COUNTIFS(nNIA,DATOS!$A15737,nCURSO,DATOS!$D15737,nESPEC,DATOS!$E15737,nASIG,DATOS!$I15737,nEVAL,"OR")=0))</f>
      </c>
      <c r="I15737">
        <f>IF(DATOS!$I15737="","",IFERROR(VLOOKUP(DATOS!$I15737,CONFIG_ASIGNATURAS!$B$2:$J$91,9,FALSE()),""))</f>
      </c>
    </row>
    <row r="15738">
      <c r="F15738">
        <f>IF(DATOS!$A15738="","",DATOS!$A15738&amp;"|"&amp;DATOS!$D15738&amp;"|"&amp;DATOS!$E15738&amp;"|"&amp;DATOS!$I15738)</f>
      </c>
      <c r="G15738">
        <f>IF(DATOS!$A15738="",0,IF(CONFIG_METADATA!$B$4&lt;&gt;"OR+EX",--(DATOS!$G15738=CONFIG_METADATA!$B$4),IF(DATOS!$G15738="EX",1,IF(DATOS!$G15738="OR",--(COUNTIFS(nNIA,DATOS!$A15738,nCURSO,DATOS!$D15738,nESPEC,DATOS!$E15738,nASIG,DATOS!$I15738,nEVAL,"EX")=0),0))))</f>
      </c>
      <c r="H15738">
        <f>IF(DATOS!$G15738&lt;&gt;"EX",0,--(COUNTIFS(nNIA,DATOS!$A15738,nCURSO,DATOS!$D15738,nESPEC,DATOS!$E15738,nASIG,DATOS!$I15738,nEVAL,"OR")=0))</f>
      </c>
      <c r="I15738">
        <f>IF(DATOS!$I15738="","",IFERROR(VLOOKUP(DATOS!$I15738,CONFIG_ASIGNATURAS!$B$2:$J$91,9,FALSE()),""))</f>
      </c>
    </row>
    <row r="15739">
      <c r="F15739">
        <f>IF(DATOS!$A15739="","",DATOS!$A15739&amp;"|"&amp;DATOS!$D15739&amp;"|"&amp;DATOS!$E15739&amp;"|"&amp;DATOS!$I15739)</f>
      </c>
      <c r="G15739">
        <f>IF(DATOS!$A15739="",0,IF(CONFIG_METADATA!$B$4&lt;&gt;"OR+EX",--(DATOS!$G15739=CONFIG_METADATA!$B$4),IF(DATOS!$G15739="EX",1,IF(DATOS!$G15739="OR",--(COUNTIFS(nNIA,DATOS!$A15739,nCURSO,DATOS!$D15739,nESPEC,DATOS!$E15739,nASIG,DATOS!$I15739,nEVAL,"EX")=0),0))))</f>
      </c>
      <c r="H15739">
        <f>IF(DATOS!$G15739&lt;&gt;"EX",0,--(COUNTIFS(nNIA,DATOS!$A15739,nCURSO,DATOS!$D15739,nESPEC,DATOS!$E15739,nASIG,DATOS!$I15739,nEVAL,"OR")=0))</f>
      </c>
      <c r="I15739">
        <f>IF(DATOS!$I15739="","",IFERROR(VLOOKUP(DATOS!$I15739,CONFIG_ASIGNATURAS!$B$2:$J$91,9,FALSE()),""))</f>
      </c>
    </row>
    <row r="15740">
      <c r="F15740">
        <f>IF(DATOS!$A15740="","",DATOS!$A15740&amp;"|"&amp;DATOS!$D15740&amp;"|"&amp;DATOS!$E15740&amp;"|"&amp;DATOS!$I15740)</f>
      </c>
      <c r="G15740">
        <f>IF(DATOS!$A15740="",0,IF(CONFIG_METADATA!$B$4&lt;&gt;"OR+EX",--(DATOS!$G15740=CONFIG_METADATA!$B$4),IF(DATOS!$G15740="EX",1,IF(DATOS!$G15740="OR",--(COUNTIFS(nNIA,DATOS!$A15740,nCURSO,DATOS!$D15740,nESPEC,DATOS!$E15740,nASIG,DATOS!$I15740,nEVAL,"EX")=0),0))))</f>
      </c>
      <c r="H15740">
        <f>IF(DATOS!$G15740&lt;&gt;"EX",0,--(COUNTIFS(nNIA,DATOS!$A15740,nCURSO,DATOS!$D15740,nESPEC,DATOS!$E15740,nASIG,DATOS!$I15740,nEVAL,"OR")=0))</f>
      </c>
      <c r="I15740">
        <f>IF(DATOS!$I15740="","",IFERROR(VLOOKUP(DATOS!$I15740,CONFIG_ASIGNATURAS!$B$2:$J$91,9,FALSE()),""))</f>
      </c>
    </row>
    <row r="15741">
      <c r="F15741">
        <f>IF(DATOS!$A15741="","",DATOS!$A15741&amp;"|"&amp;DATOS!$D15741&amp;"|"&amp;DATOS!$E15741&amp;"|"&amp;DATOS!$I15741)</f>
      </c>
      <c r="G15741">
        <f>IF(DATOS!$A15741="",0,IF(CONFIG_METADATA!$B$4&lt;&gt;"OR+EX",--(DATOS!$G15741=CONFIG_METADATA!$B$4),IF(DATOS!$G15741="EX",1,IF(DATOS!$G15741="OR",--(COUNTIFS(nNIA,DATOS!$A15741,nCURSO,DATOS!$D15741,nESPEC,DATOS!$E15741,nASIG,DATOS!$I15741,nEVAL,"EX")=0),0))))</f>
      </c>
      <c r="H15741">
        <f>IF(DATOS!$G15741&lt;&gt;"EX",0,--(COUNTIFS(nNIA,DATOS!$A15741,nCURSO,DATOS!$D15741,nESPEC,DATOS!$E15741,nASIG,DATOS!$I15741,nEVAL,"OR")=0))</f>
      </c>
      <c r="I15741">
        <f>IF(DATOS!$I15741="","",IFERROR(VLOOKUP(DATOS!$I15741,CONFIG_ASIGNATURAS!$B$2:$J$91,9,FALSE()),""))</f>
      </c>
    </row>
    <row r="15742">
      <c r="F15742">
        <f>IF(DATOS!$A15742="","",DATOS!$A15742&amp;"|"&amp;DATOS!$D15742&amp;"|"&amp;DATOS!$E15742&amp;"|"&amp;DATOS!$I15742)</f>
      </c>
      <c r="G15742">
        <f>IF(DATOS!$A15742="",0,IF(CONFIG_METADATA!$B$4&lt;&gt;"OR+EX",--(DATOS!$G15742=CONFIG_METADATA!$B$4),IF(DATOS!$G15742="EX",1,IF(DATOS!$G15742="OR",--(COUNTIFS(nNIA,DATOS!$A15742,nCURSO,DATOS!$D15742,nESPEC,DATOS!$E15742,nASIG,DATOS!$I15742,nEVAL,"EX")=0),0))))</f>
      </c>
      <c r="H15742">
        <f>IF(DATOS!$G15742&lt;&gt;"EX",0,--(COUNTIFS(nNIA,DATOS!$A15742,nCURSO,DATOS!$D15742,nESPEC,DATOS!$E15742,nASIG,DATOS!$I15742,nEVAL,"OR")=0))</f>
      </c>
      <c r="I15742">
        <f>IF(DATOS!$I15742="","",IFERROR(VLOOKUP(DATOS!$I15742,CONFIG_ASIGNATURAS!$B$2:$J$91,9,FALSE()),""))</f>
      </c>
    </row>
    <row r="15743">
      <c r="F15743">
        <f>IF(DATOS!$A15743="","",DATOS!$A15743&amp;"|"&amp;DATOS!$D15743&amp;"|"&amp;DATOS!$E15743&amp;"|"&amp;DATOS!$I15743)</f>
      </c>
      <c r="G15743">
        <f>IF(DATOS!$A15743="",0,IF(CONFIG_METADATA!$B$4&lt;&gt;"OR+EX",--(DATOS!$G15743=CONFIG_METADATA!$B$4),IF(DATOS!$G15743="EX",1,IF(DATOS!$G15743="OR",--(COUNTIFS(nNIA,DATOS!$A15743,nCURSO,DATOS!$D15743,nESPEC,DATOS!$E15743,nASIG,DATOS!$I15743,nEVAL,"EX")=0),0))))</f>
      </c>
      <c r="H15743">
        <f>IF(DATOS!$G15743&lt;&gt;"EX",0,--(COUNTIFS(nNIA,DATOS!$A15743,nCURSO,DATOS!$D15743,nESPEC,DATOS!$E15743,nASIG,DATOS!$I15743,nEVAL,"OR")=0))</f>
      </c>
      <c r="I15743">
        <f>IF(DATOS!$I15743="","",IFERROR(VLOOKUP(DATOS!$I15743,CONFIG_ASIGNATURAS!$B$2:$J$91,9,FALSE()),""))</f>
      </c>
    </row>
    <row r="15744">
      <c r="F15744">
        <f>IF(DATOS!$A15744="","",DATOS!$A15744&amp;"|"&amp;DATOS!$D15744&amp;"|"&amp;DATOS!$E15744&amp;"|"&amp;DATOS!$I15744)</f>
      </c>
      <c r="G15744">
        <f>IF(DATOS!$A15744="",0,IF(CONFIG_METADATA!$B$4&lt;&gt;"OR+EX",--(DATOS!$G15744=CONFIG_METADATA!$B$4),IF(DATOS!$G15744="EX",1,IF(DATOS!$G15744="OR",--(COUNTIFS(nNIA,DATOS!$A15744,nCURSO,DATOS!$D15744,nESPEC,DATOS!$E15744,nASIG,DATOS!$I15744,nEVAL,"EX")=0),0))))</f>
      </c>
      <c r="H15744">
        <f>IF(DATOS!$G15744&lt;&gt;"EX",0,--(COUNTIFS(nNIA,DATOS!$A15744,nCURSO,DATOS!$D15744,nESPEC,DATOS!$E15744,nASIG,DATOS!$I15744,nEVAL,"OR")=0))</f>
      </c>
      <c r="I15744">
        <f>IF(DATOS!$I15744="","",IFERROR(VLOOKUP(DATOS!$I15744,CONFIG_ASIGNATURAS!$B$2:$J$91,9,FALSE()),""))</f>
      </c>
    </row>
    <row r="15745">
      <c r="F15745">
        <f>IF(DATOS!$A15745="","",DATOS!$A15745&amp;"|"&amp;DATOS!$D15745&amp;"|"&amp;DATOS!$E15745&amp;"|"&amp;DATOS!$I15745)</f>
      </c>
      <c r="G15745">
        <f>IF(DATOS!$A15745="",0,IF(CONFIG_METADATA!$B$4&lt;&gt;"OR+EX",--(DATOS!$G15745=CONFIG_METADATA!$B$4),IF(DATOS!$G15745="EX",1,IF(DATOS!$G15745="OR",--(COUNTIFS(nNIA,DATOS!$A15745,nCURSO,DATOS!$D15745,nESPEC,DATOS!$E15745,nASIG,DATOS!$I15745,nEVAL,"EX")=0),0))))</f>
      </c>
      <c r="H15745">
        <f>IF(DATOS!$G15745&lt;&gt;"EX",0,--(COUNTIFS(nNIA,DATOS!$A15745,nCURSO,DATOS!$D15745,nESPEC,DATOS!$E15745,nASIG,DATOS!$I15745,nEVAL,"OR")=0))</f>
      </c>
      <c r="I15745">
        <f>IF(DATOS!$I15745="","",IFERROR(VLOOKUP(DATOS!$I15745,CONFIG_ASIGNATURAS!$B$2:$J$91,9,FALSE()),""))</f>
      </c>
    </row>
    <row r="15746">
      <c r="F15746">
        <f>IF(DATOS!$A15746="","",DATOS!$A15746&amp;"|"&amp;DATOS!$D15746&amp;"|"&amp;DATOS!$E15746&amp;"|"&amp;DATOS!$I15746)</f>
      </c>
      <c r="G15746">
        <f>IF(DATOS!$A15746="",0,IF(CONFIG_METADATA!$B$4&lt;&gt;"OR+EX",--(DATOS!$G15746=CONFIG_METADATA!$B$4),IF(DATOS!$G15746="EX",1,IF(DATOS!$G15746="OR",--(COUNTIFS(nNIA,DATOS!$A15746,nCURSO,DATOS!$D15746,nESPEC,DATOS!$E15746,nASIG,DATOS!$I15746,nEVAL,"EX")=0),0))))</f>
      </c>
      <c r="H15746">
        <f>IF(DATOS!$G15746&lt;&gt;"EX",0,--(COUNTIFS(nNIA,DATOS!$A15746,nCURSO,DATOS!$D15746,nESPEC,DATOS!$E15746,nASIG,DATOS!$I15746,nEVAL,"OR")=0))</f>
      </c>
      <c r="I15746">
        <f>IF(DATOS!$I15746="","",IFERROR(VLOOKUP(DATOS!$I15746,CONFIG_ASIGNATURAS!$B$2:$J$91,9,FALSE()),""))</f>
      </c>
    </row>
    <row r="15747">
      <c r="F15747">
        <f>IF(DATOS!$A15747="","",DATOS!$A15747&amp;"|"&amp;DATOS!$D15747&amp;"|"&amp;DATOS!$E15747&amp;"|"&amp;DATOS!$I15747)</f>
      </c>
      <c r="G15747">
        <f>IF(DATOS!$A15747="",0,IF(CONFIG_METADATA!$B$4&lt;&gt;"OR+EX",--(DATOS!$G15747=CONFIG_METADATA!$B$4),IF(DATOS!$G15747="EX",1,IF(DATOS!$G15747="OR",--(COUNTIFS(nNIA,DATOS!$A15747,nCURSO,DATOS!$D15747,nESPEC,DATOS!$E15747,nASIG,DATOS!$I15747,nEVAL,"EX")=0),0))))</f>
      </c>
      <c r="H15747">
        <f>IF(DATOS!$G15747&lt;&gt;"EX",0,--(COUNTIFS(nNIA,DATOS!$A15747,nCURSO,DATOS!$D15747,nESPEC,DATOS!$E15747,nASIG,DATOS!$I15747,nEVAL,"OR")=0))</f>
      </c>
      <c r="I15747">
        <f>IF(DATOS!$I15747="","",IFERROR(VLOOKUP(DATOS!$I15747,CONFIG_ASIGNATURAS!$B$2:$J$91,9,FALSE()),""))</f>
      </c>
    </row>
    <row r="15748">
      <c r="F15748">
        <f>IF(DATOS!$A15748="","",DATOS!$A15748&amp;"|"&amp;DATOS!$D15748&amp;"|"&amp;DATOS!$E15748&amp;"|"&amp;DATOS!$I15748)</f>
      </c>
      <c r="G15748">
        <f>IF(DATOS!$A15748="",0,IF(CONFIG_METADATA!$B$4&lt;&gt;"OR+EX",--(DATOS!$G15748=CONFIG_METADATA!$B$4),IF(DATOS!$G15748="EX",1,IF(DATOS!$G15748="OR",--(COUNTIFS(nNIA,DATOS!$A15748,nCURSO,DATOS!$D15748,nESPEC,DATOS!$E15748,nASIG,DATOS!$I15748,nEVAL,"EX")=0),0))))</f>
      </c>
      <c r="H15748">
        <f>IF(DATOS!$G15748&lt;&gt;"EX",0,--(COUNTIFS(nNIA,DATOS!$A15748,nCURSO,DATOS!$D15748,nESPEC,DATOS!$E15748,nASIG,DATOS!$I15748,nEVAL,"OR")=0))</f>
      </c>
      <c r="I15748">
        <f>IF(DATOS!$I15748="","",IFERROR(VLOOKUP(DATOS!$I15748,CONFIG_ASIGNATURAS!$B$2:$J$91,9,FALSE()),""))</f>
      </c>
    </row>
    <row r="15749">
      <c r="F15749">
        <f>IF(DATOS!$A15749="","",DATOS!$A15749&amp;"|"&amp;DATOS!$D15749&amp;"|"&amp;DATOS!$E15749&amp;"|"&amp;DATOS!$I15749)</f>
      </c>
      <c r="G15749">
        <f>IF(DATOS!$A15749="",0,IF(CONFIG_METADATA!$B$4&lt;&gt;"OR+EX",--(DATOS!$G15749=CONFIG_METADATA!$B$4),IF(DATOS!$G15749="EX",1,IF(DATOS!$G15749="OR",--(COUNTIFS(nNIA,DATOS!$A15749,nCURSO,DATOS!$D15749,nESPEC,DATOS!$E15749,nASIG,DATOS!$I15749,nEVAL,"EX")=0),0))))</f>
      </c>
      <c r="H15749">
        <f>IF(DATOS!$G15749&lt;&gt;"EX",0,--(COUNTIFS(nNIA,DATOS!$A15749,nCURSO,DATOS!$D15749,nESPEC,DATOS!$E15749,nASIG,DATOS!$I15749,nEVAL,"OR")=0))</f>
      </c>
      <c r="I15749">
        <f>IF(DATOS!$I15749="","",IFERROR(VLOOKUP(DATOS!$I15749,CONFIG_ASIGNATURAS!$B$2:$J$91,9,FALSE()),""))</f>
      </c>
    </row>
    <row r="15750">
      <c r="F15750">
        <f>IF(DATOS!$A15750="","",DATOS!$A15750&amp;"|"&amp;DATOS!$D15750&amp;"|"&amp;DATOS!$E15750&amp;"|"&amp;DATOS!$I15750)</f>
      </c>
      <c r="G15750">
        <f>IF(DATOS!$A15750="",0,IF(CONFIG_METADATA!$B$4&lt;&gt;"OR+EX",--(DATOS!$G15750=CONFIG_METADATA!$B$4),IF(DATOS!$G15750="EX",1,IF(DATOS!$G15750="OR",--(COUNTIFS(nNIA,DATOS!$A15750,nCURSO,DATOS!$D15750,nESPEC,DATOS!$E15750,nASIG,DATOS!$I15750,nEVAL,"EX")=0),0))))</f>
      </c>
      <c r="H15750">
        <f>IF(DATOS!$G15750&lt;&gt;"EX",0,--(COUNTIFS(nNIA,DATOS!$A15750,nCURSO,DATOS!$D15750,nESPEC,DATOS!$E15750,nASIG,DATOS!$I15750,nEVAL,"OR")=0))</f>
      </c>
      <c r="I15750">
        <f>IF(DATOS!$I15750="","",IFERROR(VLOOKUP(DATOS!$I15750,CONFIG_ASIGNATURAS!$B$2:$J$91,9,FALSE()),""))</f>
      </c>
    </row>
    <row r="15751">
      <c r="F15751">
        <f>IF(DATOS!$A15751="","",DATOS!$A15751&amp;"|"&amp;DATOS!$D15751&amp;"|"&amp;DATOS!$E15751&amp;"|"&amp;DATOS!$I15751)</f>
      </c>
      <c r="G15751">
        <f>IF(DATOS!$A15751="",0,IF(CONFIG_METADATA!$B$4&lt;&gt;"OR+EX",--(DATOS!$G15751=CONFIG_METADATA!$B$4),IF(DATOS!$G15751="EX",1,IF(DATOS!$G15751="OR",--(COUNTIFS(nNIA,DATOS!$A15751,nCURSO,DATOS!$D15751,nESPEC,DATOS!$E15751,nASIG,DATOS!$I15751,nEVAL,"EX")=0),0))))</f>
      </c>
      <c r="H15751">
        <f>IF(DATOS!$G15751&lt;&gt;"EX",0,--(COUNTIFS(nNIA,DATOS!$A15751,nCURSO,DATOS!$D15751,nESPEC,DATOS!$E15751,nASIG,DATOS!$I15751,nEVAL,"OR")=0))</f>
      </c>
      <c r="I15751">
        <f>IF(DATOS!$I15751="","",IFERROR(VLOOKUP(DATOS!$I15751,CONFIG_ASIGNATURAS!$B$2:$J$91,9,FALSE()),""))</f>
      </c>
    </row>
    <row r="15752">
      <c r="F15752">
        <f>IF(DATOS!$A15752="","",DATOS!$A15752&amp;"|"&amp;DATOS!$D15752&amp;"|"&amp;DATOS!$E15752&amp;"|"&amp;DATOS!$I15752)</f>
      </c>
      <c r="G15752">
        <f>IF(DATOS!$A15752="",0,IF(CONFIG_METADATA!$B$4&lt;&gt;"OR+EX",--(DATOS!$G15752=CONFIG_METADATA!$B$4),IF(DATOS!$G15752="EX",1,IF(DATOS!$G15752="OR",--(COUNTIFS(nNIA,DATOS!$A15752,nCURSO,DATOS!$D15752,nESPEC,DATOS!$E15752,nASIG,DATOS!$I15752,nEVAL,"EX")=0),0))))</f>
      </c>
      <c r="H15752">
        <f>IF(DATOS!$G15752&lt;&gt;"EX",0,--(COUNTIFS(nNIA,DATOS!$A15752,nCURSO,DATOS!$D15752,nESPEC,DATOS!$E15752,nASIG,DATOS!$I15752,nEVAL,"OR")=0))</f>
      </c>
      <c r="I15752">
        <f>IF(DATOS!$I15752="","",IFERROR(VLOOKUP(DATOS!$I15752,CONFIG_ASIGNATURAS!$B$2:$J$91,9,FALSE()),""))</f>
      </c>
    </row>
    <row r="15753">
      <c r="F15753">
        <f>IF(DATOS!$A15753="","",DATOS!$A15753&amp;"|"&amp;DATOS!$D15753&amp;"|"&amp;DATOS!$E15753&amp;"|"&amp;DATOS!$I15753)</f>
      </c>
      <c r="G15753">
        <f>IF(DATOS!$A15753="",0,IF(CONFIG_METADATA!$B$4&lt;&gt;"OR+EX",--(DATOS!$G15753=CONFIG_METADATA!$B$4),IF(DATOS!$G15753="EX",1,IF(DATOS!$G15753="OR",--(COUNTIFS(nNIA,DATOS!$A15753,nCURSO,DATOS!$D15753,nESPEC,DATOS!$E15753,nASIG,DATOS!$I15753,nEVAL,"EX")=0),0))))</f>
      </c>
      <c r="H15753">
        <f>IF(DATOS!$G15753&lt;&gt;"EX",0,--(COUNTIFS(nNIA,DATOS!$A15753,nCURSO,DATOS!$D15753,nESPEC,DATOS!$E15753,nASIG,DATOS!$I15753,nEVAL,"OR")=0))</f>
      </c>
      <c r="I15753">
        <f>IF(DATOS!$I15753="","",IFERROR(VLOOKUP(DATOS!$I15753,CONFIG_ASIGNATURAS!$B$2:$J$91,9,FALSE()),""))</f>
      </c>
    </row>
    <row r="15754">
      <c r="F15754">
        <f>IF(DATOS!$A15754="","",DATOS!$A15754&amp;"|"&amp;DATOS!$D15754&amp;"|"&amp;DATOS!$E15754&amp;"|"&amp;DATOS!$I15754)</f>
      </c>
      <c r="G15754">
        <f>IF(DATOS!$A15754="",0,IF(CONFIG_METADATA!$B$4&lt;&gt;"OR+EX",--(DATOS!$G15754=CONFIG_METADATA!$B$4),IF(DATOS!$G15754="EX",1,IF(DATOS!$G15754="OR",--(COUNTIFS(nNIA,DATOS!$A15754,nCURSO,DATOS!$D15754,nESPEC,DATOS!$E15754,nASIG,DATOS!$I15754,nEVAL,"EX")=0),0))))</f>
      </c>
      <c r="H15754">
        <f>IF(DATOS!$G15754&lt;&gt;"EX",0,--(COUNTIFS(nNIA,DATOS!$A15754,nCURSO,DATOS!$D15754,nESPEC,DATOS!$E15754,nASIG,DATOS!$I15754,nEVAL,"OR")=0))</f>
      </c>
      <c r="I15754">
        <f>IF(DATOS!$I15754="","",IFERROR(VLOOKUP(DATOS!$I15754,CONFIG_ASIGNATURAS!$B$2:$J$91,9,FALSE()),""))</f>
      </c>
    </row>
    <row r="15755">
      <c r="F15755">
        <f>IF(DATOS!$A15755="","",DATOS!$A15755&amp;"|"&amp;DATOS!$D15755&amp;"|"&amp;DATOS!$E15755&amp;"|"&amp;DATOS!$I15755)</f>
      </c>
      <c r="G15755">
        <f>IF(DATOS!$A15755="",0,IF(CONFIG_METADATA!$B$4&lt;&gt;"OR+EX",--(DATOS!$G15755=CONFIG_METADATA!$B$4),IF(DATOS!$G15755="EX",1,IF(DATOS!$G15755="OR",--(COUNTIFS(nNIA,DATOS!$A15755,nCURSO,DATOS!$D15755,nESPEC,DATOS!$E15755,nASIG,DATOS!$I15755,nEVAL,"EX")=0),0))))</f>
      </c>
      <c r="H15755">
        <f>IF(DATOS!$G15755&lt;&gt;"EX",0,--(COUNTIFS(nNIA,DATOS!$A15755,nCURSO,DATOS!$D15755,nESPEC,DATOS!$E15755,nASIG,DATOS!$I15755,nEVAL,"OR")=0))</f>
      </c>
      <c r="I15755">
        <f>IF(DATOS!$I15755="","",IFERROR(VLOOKUP(DATOS!$I15755,CONFIG_ASIGNATURAS!$B$2:$J$91,9,FALSE()),""))</f>
      </c>
    </row>
    <row r="15756">
      <c r="F15756">
        <f>IF(DATOS!$A15756="","",DATOS!$A15756&amp;"|"&amp;DATOS!$D15756&amp;"|"&amp;DATOS!$E15756&amp;"|"&amp;DATOS!$I15756)</f>
      </c>
      <c r="G15756">
        <f>IF(DATOS!$A15756="",0,IF(CONFIG_METADATA!$B$4&lt;&gt;"OR+EX",--(DATOS!$G15756=CONFIG_METADATA!$B$4),IF(DATOS!$G15756="EX",1,IF(DATOS!$G15756="OR",--(COUNTIFS(nNIA,DATOS!$A15756,nCURSO,DATOS!$D15756,nESPEC,DATOS!$E15756,nASIG,DATOS!$I15756,nEVAL,"EX")=0),0))))</f>
      </c>
      <c r="H15756">
        <f>IF(DATOS!$G15756&lt;&gt;"EX",0,--(COUNTIFS(nNIA,DATOS!$A15756,nCURSO,DATOS!$D15756,nESPEC,DATOS!$E15756,nASIG,DATOS!$I15756,nEVAL,"OR")=0))</f>
      </c>
      <c r="I15756">
        <f>IF(DATOS!$I15756="","",IFERROR(VLOOKUP(DATOS!$I15756,CONFIG_ASIGNATURAS!$B$2:$J$91,9,FALSE()),""))</f>
      </c>
    </row>
    <row r="15757">
      <c r="F15757">
        <f>IF(DATOS!$A15757="","",DATOS!$A15757&amp;"|"&amp;DATOS!$D15757&amp;"|"&amp;DATOS!$E15757&amp;"|"&amp;DATOS!$I15757)</f>
      </c>
      <c r="G15757">
        <f>IF(DATOS!$A15757="",0,IF(CONFIG_METADATA!$B$4&lt;&gt;"OR+EX",--(DATOS!$G15757=CONFIG_METADATA!$B$4),IF(DATOS!$G15757="EX",1,IF(DATOS!$G15757="OR",--(COUNTIFS(nNIA,DATOS!$A15757,nCURSO,DATOS!$D15757,nESPEC,DATOS!$E15757,nASIG,DATOS!$I15757,nEVAL,"EX")=0),0))))</f>
      </c>
      <c r="H15757">
        <f>IF(DATOS!$G15757&lt;&gt;"EX",0,--(COUNTIFS(nNIA,DATOS!$A15757,nCURSO,DATOS!$D15757,nESPEC,DATOS!$E15757,nASIG,DATOS!$I15757,nEVAL,"OR")=0))</f>
      </c>
      <c r="I15757">
        <f>IF(DATOS!$I15757="","",IFERROR(VLOOKUP(DATOS!$I15757,CONFIG_ASIGNATURAS!$B$2:$J$91,9,FALSE()),""))</f>
      </c>
    </row>
    <row r="15758">
      <c r="F15758">
        <f>IF(DATOS!$A15758="","",DATOS!$A15758&amp;"|"&amp;DATOS!$D15758&amp;"|"&amp;DATOS!$E15758&amp;"|"&amp;DATOS!$I15758)</f>
      </c>
      <c r="G15758">
        <f>IF(DATOS!$A15758="",0,IF(CONFIG_METADATA!$B$4&lt;&gt;"OR+EX",--(DATOS!$G15758=CONFIG_METADATA!$B$4),IF(DATOS!$G15758="EX",1,IF(DATOS!$G15758="OR",--(COUNTIFS(nNIA,DATOS!$A15758,nCURSO,DATOS!$D15758,nESPEC,DATOS!$E15758,nASIG,DATOS!$I15758,nEVAL,"EX")=0),0))))</f>
      </c>
      <c r="H15758">
        <f>IF(DATOS!$G15758&lt;&gt;"EX",0,--(COUNTIFS(nNIA,DATOS!$A15758,nCURSO,DATOS!$D15758,nESPEC,DATOS!$E15758,nASIG,DATOS!$I15758,nEVAL,"OR")=0))</f>
      </c>
      <c r="I15758">
        <f>IF(DATOS!$I15758="","",IFERROR(VLOOKUP(DATOS!$I15758,CONFIG_ASIGNATURAS!$B$2:$J$91,9,FALSE()),""))</f>
      </c>
    </row>
    <row r="15759">
      <c r="F15759">
        <f>IF(DATOS!$A15759="","",DATOS!$A15759&amp;"|"&amp;DATOS!$D15759&amp;"|"&amp;DATOS!$E15759&amp;"|"&amp;DATOS!$I15759)</f>
      </c>
      <c r="G15759">
        <f>IF(DATOS!$A15759="",0,IF(CONFIG_METADATA!$B$4&lt;&gt;"OR+EX",--(DATOS!$G15759=CONFIG_METADATA!$B$4),IF(DATOS!$G15759="EX",1,IF(DATOS!$G15759="OR",--(COUNTIFS(nNIA,DATOS!$A15759,nCURSO,DATOS!$D15759,nESPEC,DATOS!$E15759,nASIG,DATOS!$I15759,nEVAL,"EX")=0),0))))</f>
      </c>
      <c r="H15759">
        <f>IF(DATOS!$G15759&lt;&gt;"EX",0,--(COUNTIFS(nNIA,DATOS!$A15759,nCURSO,DATOS!$D15759,nESPEC,DATOS!$E15759,nASIG,DATOS!$I15759,nEVAL,"OR")=0))</f>
      </c>
      <c r="I15759">
        <f>IF(DATOS!$I15759="","",IFERROR(VLOOKUP(DATOS!$I15759,CONFIG_ASIGNATURAS!$B$2:$J$91,9,FALSE()),""))</f>
      </c>
    </row>
    <row r="15760">
      <c r="F15760">
        <f>IF(DATOS!$A15760="","",DATOS!$A15760&amp;"|"&amp;DATOS!$D15760&amp;"|"&amp;DATOS!$E15760&amp;"|"&amp;DATOS!$I15760)</f>
      </c>
      <c r="G15760">
        <f>IF(DATOS!$A15760="",0,IF(CONFIG_METADATA!$B$4&lt;&gt;"OR+EX",--(DATOS!$G15760=CONFIG_METADATA!$B$4),IF(DATOS!$G15760="EX",1,IF(DATOS!$G15760="OR",--(COUNTIFS(nNIA,DATOS!$A15760,nCURSO,DATOS!$D15760,nESPEC,DATOS!$E15760,nASIG,DATOS!$I15760,nEVAL,"EX")=0),0))))</f>
      </c>
      <c r="H15760">
        <f>IF(DATOS!$G15760&lt;&gt;"EX",0,--(COUNTIFS(nNIA,DATOS!$A15760,nCURSO,DATOS!$D15760,nESPEC,DATOS!$E15760,nASIG,DATOS!$I15760,nEVAL,"OR")=0))</f>
      </c>
      <c r="I15760">
        <f>IF(DATOS!$I15760="","",IFERROR(VLOOKUP(DATOS!$I15760,CONFIG_ASIGNATURAS!$B$2:$J$91,9,FALSE()),""))</f>
      </c>
    </row>
    <row r="15761">
      <c r="F15761">
        <f>IF(DATOS!$A15761="","",DATOS!$A15761&amp;"|"&amp;DATOS!$D15761&amp;"|"&amp;DATOS!$E15761&amp;"|"&amp;DATOS!$I15761)</f>
      </c>
      <c r="G15761">
        <f>IF(DATOS!$A15761="",0,IF(CONFIG_METADATA!$B$4&lt;&gt;"OR+EX",--(DATOS!$G15761=CONFIG_METADATA!$B$4),IF(DATOS!$G15761="EX",1,IF(DATOS!$G15761="OR",--(COUNTIFS(nNIA,DATOS!$A15761,nCURSO,DATOS!$D15761,nESPEC,DATOS!$E15761,nASIG,DATOS!$I15761,nEVAL,"EX")=0),0))))</f>
      </c>
      <c r="H15761">
        <f>IF(DATOS!$G15761&lt;&gt;"EX",0,--(COUNTIFS(nNIA,DATOS!$A15761,nCURSO,DATOS!$D15761,nESPEC,DATOS!$E15761,nASIG,DATOS!$I15761,nEVAL,"OR")=0))</f>
      </c>
      <c r="I15761">
        <f>IF(DATOS!$I15761="","",IFERROR(VLOOKUP(DATOS!$I15761,CONFIG_ASIGNATURAS!$B$2:$J$91,9,FALSE()),""))</f>
      </c>
    </row>
    <row r="15762">
      <c r="F15762">
        <f>IF(DATOS!$A15762="","",DATOS!$A15762&amp;"|"&amp;DATOS!$D15762&amp;"|"&amp;DATOS!$E15762&amp;"|"&amp;DATOS!$I15762)</f>
      </c>
      <c r="G15762">
        <f>IF(DATOS!$A15762="",0,IF(CONFIG_METADATA!$B$4&lt;&gt;"OR+EX",--(DATOS!$G15762=CONFIG_METADATA!$B$4),IF(DATOS!$G15762="EX",1,IF(DATOS!$G15762="OR",--(COUNTIFS(nNIA,DATOS!$A15762,nCURSO,DATOS!$D15762,nESPEC,DATOS!$E15762,nASIG,DATOS!$I15762,nEVAL,"EX")=0),0))))</f>
      </c>
      <c r="H15762">
        <f>IF(DATOS!$G15762&lt;&gt;"EX",0,--(COUNTIFS(nNIA,DATOS!$A15762,nCURSO,DATOS!$D15762,nESPEC,DATOS!$E15762,nASIG,DATOS!$I15762,nEVAL,"OR")=0))</f>
      </c>
      <c r="I15762">
        <f>IF(DATOS!$I15762="","",IFERROR(VLOOKUP(DATOS!$I15762,CONFIG_ASIGNATURAS!$B$2:$J$91,9,FALSE()),""))</f>
      </c>
    </row>
    <row r="15763">
      <c r="F15763">
        <f>IF(DATOS!$A15763="","",DATOS!$A15763&amp;"|"&amp;DATOS!$D15763&amp;"|"&amp;DATOS!$E15763&amp;"|"&amp;DATOS!$I15763)</f>
      </c>
      <c r="G15763">
        <f>IF(DATOS!$A15763="",0,IF(CONFIG_METADATA!$B$4&lt;&gt;"OR+EX",--(DATOS!$G15763=CONFIG_METADATA!$B$4),IF(DATOS!$G15763="EX",1,IF(DATOS!$G15763="OR",--(COUNTIFS(nNIA,DATOS!$A15763,nCURSO,DATOS!$D15763,nESPEC,DATOS!$E15763,nASIG,DATOS!$I15763,nEVAL,"EX")=0),0))))</f>
      </c>
      <c r="H15763">
        <f>IF(DATOS!$G15763&lt;&gt;"EX",0,--(COUNTIFS(nNIA,DATOS!$A15763,nCURSO,DATOS!$D15763,nESPEC,DATOS!$E15763,nASIG,DATOS!$I15763,nEVAL,"OR")=0))</f>
      </c>
      <c r="I15763">
        <f>IF(DATOS!$I15763="","",IFERROR(VLOOKUP(DATOS!$I15763,CONFIG_ASIGNATURAS!$B$2:$J$91,9,FALSE()),""))</f>
      </c>
    </row>
    <row r="15764">
      <c r="F15764">
        <f>IF(DATOS!$A15764="","",DATOS!$A15764&amp;"|"&amp;DATOS!$D15764&amp;"|"&amp;DATOS!$E15764&amp;"|"&amp;DATOS!$I15764)</f>
      </c>
      <c r="G15764">
        <f>IF(DATOS!$A15764="",0,IF(CONFIG_METADATA!$B$4&lt;&gt;"OR+EX",--(DATOS!$G15764=CONFIG_METADATA!$B$4),IF(DATOS!$G15764="EX",1,IF(DATOS!$G15764="OR",--(COUNTIFS(nNIA,DATOS!$A15764,nCURSO,DATOS!$D15764,nESPEC,DATOS!$E15764,nASIG,DATOS!$I15764,nEVAL,"EX")=0),0))))</f>
      </c>
      <c r="H15764">
        <f>IF(DATOS!$G15764&lt;&gt;"EX",0,--(COUNTIFS(nNIA,DATOS!$A15764,nCURSO,DATOS!$D15764,nESPEC,DATOS!$E15764,nASIG,DATOS!$I15764,nEVAL,"OR")=0))</f>
      </c>
      <c r="I15764">
        <f>IF(DATOS!$I15764="","",IFERROR(VLOOKUP(DATOS!$I15764,CONFIG_ASIGNATURAS!$B$2:$J$91,9,FALSE()),""))</f>
      </c>
    </row>
    <row r="15765">
      <c r="F15765">
        <f>IF(DATOS!$A15765="","",DATOS!$A15765&amp;"|"&amp;DATOS!$D15765&amp;"|"&amp;DATOS!$E15765&amp;"|"&amp;DATOS!$I15765)</f>
      </c>
      <c r="G15765">
        <f>IF(DATOS!$A15765="",0,IF(CONFIG_METADATA!$B$4&lt;&gt;"OR+EX",--(DATOS!$G15765=CONFIG_METADATA!$B$4),IF(DATOS!$G15765="EX",1,IF(DATOS!$G15765="OR",--(COUNTIFS(nNIA,DATOS!$A15765,nCURSO,DATOS!$D15765,nESPEC,DATOS!$E15765,nASIG,DATOS!$I15765,nEVAL,"EX")=0),0))))</f>
      </c>
      <c r="H15765">
        <f>IF(DATOS!$G15765&lt;&gt;"EX",0,--(COUNTIFS(nNIA,DATOS!$A15765,nCURSO,DATOS!$D15765,nESPEC,DATOS!$E15765,nASIG,DATOS!$I15765,nEVAL,"OR")=0))</f>
      </c>
      <c r="I15765">
        <f>IF(DATOS!$I15765="","",IFERROR(VLOOKUP(DATOS!$I15765,CONFIG_ASIGNATURAS!$B$2:$J$91,9,FALSE()),""))</f>
      </c>
    </row>
    <row r="15766">
      <c r="F15766">
        <f>IF(DATOS!$A15766="","",DATOS!$A15766&amp;"|"&amp;DATOS!$D15766&amp;"|"&amp;DATOS!$E15766&amp;"|"&amp;DATOS!$I15766)</f>
      </c>
      <c r="G15766">
        <f>IF(DATOS!$A15766="",0,IF(CONFIG_METADATA!$B$4&lt;&gt;"OR+EX",--(DATOS!$G15766=CONFIG_METADATA!$B$4),IF(DATOS!$G15766="EX",1,IF(DATOS!$G15766="OR",--(COUNTIFS(nNIA,DATOS!$A15766,nCURSO,DATOS!$D15766,nESPEC,DATOS!$E15766,nASIG,DATOS!$I15766,nEVAL,"EX")=0),0))))</f>
      </c>
      <c r="H15766">
        <f>IF(DATOS!$G15766&lt;&gt;"EX",0,--(COUNTIFS(nNIA,DATOS!$A15766,nCURSO,DATOS!$D15766,nESPEC,DATOS!$E15766,nASIG,DATOS!$I15766,nEVAL,"OR")=0))</f>
      </c>
      <c r="I15766">
        <f>IF(DATOS!$I15766="","",IFERROR(VLOOKUP(DATOS!$I15766,CONFIG_ASIGNATURAS!$B$2:$J$91,9,FALSE()),""))</f>
      </c>
    </row>
    <row r="15767">
      <c r="F15767">
        <f>IF(DATOS!$A15767="","",DATOS!$A15767&amp;"|"&amp;DATOS!$D15767&amp;"|"&amp;DATOS!$E15767&amp;"|"&amp;DATOS!$I15767)</f>
      </c>
      <c r="G15767">
        <f>IF(DATOS!$A15767="",0,IF(CONFIG_METADATA!$B$4&lt;&gt;"OR+EX",--(DATOS!$G15767=CONFIG_METADATA!$B$4),IF(DATOS!$G15767="EX",1,IF(DATOS!$G15767="OR",--(COUNTIFS(nNIA,DATOS!$A15767,nCURSO,DATOS!$D15767,nESPEC,DATOS!$E15767,nASIG,DATOS!$I15767,nEVAL,"EX")=0),0))))</f>
      </c>
      <c r="H15767">
        <f>IF(DATOS!$G15767&lt;&gt;"EX",0,--(COUNTIFS(nNIA,DATOS!$A15767,nCURSO,DATOS!$D15767,nESPEC,DATOS!$E15767,nASIG,DATOS!$I15767,nEVAL,"OR")=0))</f>
      </c>
      <c r="I15767">
        <f>IF(DATOS!$I15767="","",IFERROR(VLOOKUP(DATOS!$I15767,CONFIG_ASIGNATURAS!$B$2:$J$91,9,FALSE()),""))</f>
      </c>
    </row>
    <row r="15768">
      <c r="F15768">
        <f>IF(DATOS!$A15768="","",DATOS!$A15768&amp;"|"&amp;DATOS!$D15768&amp;"|"&amp;DATOS!$E15768&amp;"|"&amp;DATOS!$I15768)</f>
      </c>
      <c r="G15768">
        <f>IF(DATOS!$A15768="",0,IF(CONFIG_METADATA!$B$4&lt;&gt;"OR+EX",--(DATOS!$G15768=CONFIG_METADATA!$B$4),IF(DATOS!$G15768="EX",1,IF(DATOS!$G15768="OR",--(COUNTIFS(nNIA,DATOS!$A15768,nCURSO,DATOS!$D15768,nESPEC,DATOS!$E15768,nASIG,DATOS!$I15768,nEVAL,"EX")=0),0))))</f>
      </c>
      <c r="H15768">
        <f>IF(DATOS!$G15768&lt;&gt;"EX",0,--(COUNTIFS(nNIA,DATOS!$A15768,nCURSO,DATOS!$D15768,nESPEC,DATOS!$E15768,nASIG,DATOS!$I15768,nEVAL,"OR")=0))</f>
      </c>
      <c r="I15768">
        <f>IF(DATOS!$I15768="","",IFERROR(VLOOKUP(DATOS!$I15768,CONFIG_ASIGNATURAS!$B$2:$J$91,9,FALSE()),""))</f>
      </c>
    </row>
    <row r="15769">
      <c r="F15769">
        <f>IF(DATOS!$A15769="","",DATOS!$A15769&amp;"|"&amp;DATOS!$D15769&amp;"|"&amp;DATOS!$E15769&amp;"|"&amp;DATOS!$I15769)</f>
      </c>
      <c r="G15769">
        <f>IF(DATOS!$A15769="",0,IF(CONFIG_METADATA!$B$4&lt;&gt;"OR+EX",--(DATOS!$G15769=CONFIG_METADATA!$B$4),IF(DATOS!$G15769="EX",1,IF(DATOS!$G15769="OR",--(COUNTIFS(nNIA,DATOS!$A15769,nCURSO,DATOS!$D15769,nESPEC,DATOS!$E15769,nASIG,DATOS!$I15769,nEVAL,"EX")=0),0))))</f>
      </c>
      <c r="H15769">
        <f>IF(DATOS!$G15769&lt;&gt;"EX",0,--(COUNTIFS(nNIA,DATOS!$A15769,nCURSO,DATOS!$D15769,nESPEC,DATOS!$E15769,nASIG,DATOS!$I15769,nEVAL,"OR")=0))</f>
      </c>
      <c r="I15769">
        <f>IF(DATOS!$I15769="","",IFERROR(VLOOKUP(DATOS!$I15769,CONFIG_ASIGNATURAS!$B$2:$J$91,9,FALSE()),""))</f>
      </c>
    </row>
    <row r="15770">
      <c r="F15770">
        <f>IF(DATOS!$A15770="","",DATOS!$A15770&amp;"|"&amp;DATOS!$D15770&amp;"|"&amp;DATOS!$E15770&amp;"|"&amp;DATOS!$I15770)</f>
      </c>
      <c r="G15770">
        <f>IF(DATOS!$A15770="",0,IF(CONFIG_METADATA!$B$4&lt;&gt;"OR+EX",--(DATOS!$G15770=CONFIG_METADATA!$B$4),IF(DATOS!$G15770="EX",1,IF(DATOS!$G15770="OR",--(COUNTIFS(nNIA,DATOS!$A15770,nCURSO,DATOS!$D15770,nESPEC,DATOS!$E15770,nASIG,DATOS!$I15770,nEVAL,"EX")=0),0))))</f>
      </c>
      <c r="H15770">
        <f>IF(DATOS!$G15770&lt;&gt;"EX",0,--(COUNTIFS(nNIA,DATOS!$A15770,nCURSO,DATOS!$D15770,nESPEC,DATOS!$E15770,nASIG,DATOS!$I15770,nEVAL,"OR")=0))</f>
      </c>
      <c r="I15770">
        <f>IF(DATOS!$I15770="","",IFERROR(VLOOKUP(DATOS!$I15770,CONFIG_ASIGNATURAS!$B$2:$J$91,9,FALSE()),""))</f>
      </c>
    </row>
    <row r="15771">
      <c r="F15771">
        <f>IF(DATOS!$A15771="","",DATOS!$A15771&amp;"|"&amp;DATOS!$D15771&amp;"|"&amp;DATOS!$E15771&amp;"|"&amp;DATOS!$I15771)</f>
      </c>
      <c r="G15771">
        <f>IF(DATOS!$A15771="",0,IF(CONFIG_METADATA!$B$4&lt;&gt;"OR+EX",--(DATOS!$G15771=CONFIG_METADATA!$B$4),IF(DATOS!$G15771="EX",1,IF(DATOS!$G15771="OR",--(COUNTIFS(nNIA,DATOS!$A15771,nCURSO,DATOS!$D15771,nESPEC,DATOS!$E15771,nASIG,DATOS!$I15771,nEVAL,"EX")=0),0))))</f>
      </c>
      <c r="H15771">
        <f>IF(DATOS!$G15771&lt;&gt;"EX",0,--(COUNTIFS(nNIA,DATOS!$A15771,nCURSO,DATOS!$D15771,nESPEC,DATOS!$E15771,nASIG,DATOS!$I15771,nEVAL,"OR")=0))</f>
      </c>
      <c r="I15771">
        <f>IF(DATOS!$I15771="","",IFERROR(VLOOKUP(DATOS!$I15771,CONFIG_ASIGNATURAS!$B$2:$J$91,9,FALSE()),""))</f>
      </c>
    </row>
    <row r="15772">
      <c r="F15772">
        <f>IF(DATOS!$A15772="","",DATOS!$A15772&amp;"|"&amp;DATOS!$D15772&amp;"|"&amp;DATOS!$E15772&amp;"|"&amp;DATOS!$I15772)</f>
      </c>
      <c r="G15772">
        <f>IF(DATOS!$A15772="",0,IF(CONFIG_METADATA!$B$4&lt;&gt;"OR+EX",--(DATOS!$G15772=CONFIG_METADATA!$B$4),IF(DATOS!$G15772="EX",1,IF(DATOS!$G15772="OR",--(COUNTIFS(nNIA,DATOS!$A15772,nCURSO,DATOS!$D15772,nESPEC,DATOS!$E15772,nASIG,DATOS!$I15772,nEVAL,"EX")=0),0))))</f>
      </c>
      <c r="H15772">
        <f>IF(DATOS!$G15772&lt;&gt;"EX",0,--(COUNTIFS(nNIA,DATOS!$A15772,nCURSO,DATOS!$D15772,nESPEC,DATOS!$E15772,nASIG,DATOS!$I15772,nEVAL,"OR")=0))</f>
      </c>
      <c r="I15772">
        <f>IF(DATOS!$I15772="","",IFERROR(VLOOKUP(DATOS!$I15772,CONFIG_ASIGNATURAS!$B$2:$J$91,9,FALSE()),""))</f>
      </c>
    </row>
    <row r="15773">
      <c r="F15773">
        <f>IF(DATOS!$A15773="","",DATOS!$A15773&amp;"|"&amp;DATOS!$D15773&amp;"|"&amp;DATOS!$E15773&amp;"|"&amp;DATOS!$I15773)</f>
      </c>
      <c r="G15773">
        <f>IF(DATOS!$A15773="",0,IF(CONFIG_METADATA!$B$4&lt;&gt;"OR+EX",--(DATOS!$G15773=CONFIG_METADATA!$B$4),IF(DATOS!$G15773="EX",1,IF(DATOS!$G15773="OR",--(COUNTIFS(nNIA,DATOS!$A15773,nCURSO,DATOS!$D15773,nESPEC,DATOS!$E15773,nASIG,DATOS!$I15773,nEVAL,"EX")=0),0))))</f>
      </c>
      <c r="H15773">
        <f>IF(DATOS!$G15773&lt;&gt;"EX",0,--(COUNTIFS(nNIA,DATOS!$A15773,nCURSO,DATOS!$D15773,nESPEC,DATOS!$E15773,nASIG,DATOS!$I15773,nEVAL,"OR")=0))</f>
      </c>
      <c r="I15773">
        <f>IF(DATOS!$I15773="","",IFERROR(VLOOKUP(DATOS!$I15773,CONFIG_ASIGNATURAS!$B$2:$J$91,9,FALSE()),""))</f>
      </c>
    </row>
    <row r="15774">
      <c r="F15774">
        <f>IF(DATOS!$A15774="","",DATOS!$A15774&amp;"|"&amp;DATOS!$D15774&amp;"|"&amp;DATOS!$E15774&amp;"|"&amp;DATOS!$I15774)</f>
      </c>
      <c r="G15774">
        <f>IF(DATOS!$A15774="",0,IF(CONFIG_METADATA!$B$4&lt;&gt;"OR+EX",--(DATOS!$G15774=CONFIG_METADATA!$B$4),IF(DATOS!$G15774="EX",1,IF(DATOS!$G15774="OR",--(COUNTIFS(nNIA,DATOS!$A15774,nCURSO,DATOS!$D15774,nESPEC,DATOS!$E15774,nASIG,DATOS!$I15774,nEVAL,"EX")=0),0))))</f>
      </c>
      <c r="H15774">
        <f>IF(DATOS!$G15774&lt;&gt;"EX",0,--(COUNTIFS(nNIA,DATOS!$A15774,nCURSO,DATOS!$D15774,nESPEC,DATOS!$E15774,nASIG,DATOS!$I15774,nEVAL,"OR")=0))</f>
      </c>
      <c r="I15774">
        <f>IF(DATOS!$I15774="","",IFERROR(VLOOKUP(DATOS!$I15774,CONFIG_ASIGNATURAS!$B$2:$J$91,9,FALSE()),""))</f>
      </c>
    </row>
    <row r="15775">
      <c r="F15775">
        <f>IF(DATOS!$A15775="","",DATOS!$A15775&amp;"|"&amp;DATOS!$D15775&amp;"|"&amp;DATOS!$E15775&amp;"|"&amp;DATOS!$I15775)</f>
      </c>
      <c r="G15775">
        <f>IF(DATOS!$A15775="",0,IF(CONFIG_METADATA!$B$4&lt;&gt;"OR+EX",--(DATOS!$G15775=CONFIG_METADATA!$B$4),IF(DATOS!$G15775="EX",1,IF(DATOS!$G15775="OR",--(COUNTIFS(nNIA,DATOS!$A15775,nCURSO,DATOS!$D15775,nESPEC,DATOS!$E15775,nASIG,DATOS!$I15775,nEVAL,"EX")=0),0))))</f>
      </c>
      <c r="H15775">
        <f>IF(DATOS!$G15775&lt;&gt;"EX",0,--(COUNTIFS(nNIA,DATOS!$A15775,nCURSO,DATOS!$D15775,nESPEC,DATOS!$E15775,nASIG,DATOS!$I15775,nEVAL,"OR")=0))</f>
      </c>
      <c r="I15775">
        <f>IF(DATOS!$I15775="","",IFERROR(VLOOKUP(DATOS!$I15775,CONFIG_ASIGNATURAS!$B$2:$J$91,9,FALSE()),""))</f>
      </c>
    </row>
    <row r="15776">
      <c r="F15776">
        <f>IF(DATOS!$A15776="","",DATOS!$A15776&amp;"|"&amp;DATOS!$D15776&amp;"|"&amp;DATOS!$E15776&amp;"|"&amp;DATOS!$I15776)</f>
      </c>
      <c r="G15776">
        <f>IF(DATOS!$A15776="",0,IF(CONFIG_METADATA!$B$4&lt;&gt;"OR+EX",--(DATOS!$G15776=CONFIG_METADATA!$B$4),IF(DATOS!$G15776="EX",1,IF(DATOS!$G15776="OR",--(COUNTIFS(nNIA,DATOS!$A15776,nCURSO,DATOS!$D15776,nESPEC,DATOS!$E15776,nASIG,DATOS!$I15776,nEVAL,"EX")=0),0))))</f>
      </c>
      <c r="H15776">
        <f>IF(DATOS!$G15776&lt;&gt;"EX",0,--(COUNTIFS(nNIA,DATOS!$A15776,nCURSO,DATOS!$D15776,nESPEC,DATOS!$E15776,nASIG,DATOS!$I15776,nEVAL,"OR")=0))</f>
      </c>
      <c r="I15776">
        <f>IF(DATOS!$I15776="","",IFERROR(VLOOKUP(DATOS!$I15776,CONFIG_ASIGNATURAS!$B$2:$J$91,9,FALSE()),""))</f>
      </c>
    </row>
    <row r="15777">
      <c r="F15777">
        <f>IF(DATOS!$A15777="","",DATOS!$A15777&amp;"|"&amp;DATOS!$D15777&amp;"|"&amp;DATOS!$E15777&amp;"|"&amp;DATOS!$I15777)</f>
      </c>
      <c r="G15777">
        <f>IF(DATOS!$A15777="",0,IF(CONFIG_METADATA!$B$4&lt;&gt;"OR+EX",--(DATOS!$G15777=CONFIG_METADATA!$B$4),IF(DATOS!$G15777="EX",1,IF(DATOS!$G15777="OR",--(COUNTIFS(nNIA,DATOS!$A15777,nCURSO,DATOS!$D15777,nESPEC,DATOS!$E15777,nASIG,DATOS!$I15777,nEVAL,"EX")=0),0))))</f>
      </c>
      <c r="H15777">
        <f>IF(DATOS!$G15777&lt;&gt;"EX",0,--(COUNTIFS(nNIA,DATOS!$A15777,nCURSO,DATOS!$D15777,nESPEC,DATOS!$E15777,nASIG,DATOS!$I15777,nEVAL,"OR")=0))</f>
      </c>
      <c r="I15777">
        <f>IF(DATOS!$I15777="","",IFERROR(VLOOKUP(DATOS!$I15777,CONFIG_ASIGNATURAS!$B$2:$J$91,9,FALSE()),""))</f>
      </c>
    </row>
    <row r="15778">
      <c r="F15778">
        <f>IF(DATOS!$A15778="","",DATOS!$A15778&amp;"|"&amp;DATOS!$D15778&amp;"|"&amp;DATOS!$E15778&amp;"|"&amp;DATOS!$I15778)</f>
      </c>
      <c r="G15778">
        <f>IF(DATOS!$A15778="",0,IF(CONFIG_METADATA!$B$4&lt;&gt;"OR+EX",--(DATOS!$G15778=CONFIG_METADATA!$B$4),IF(DATOS!$G15778="EX",1,IF(DATOS!$G15778="OR",--(COUNTIFS(nNIA,DATOS!$A15778,nCURSO,DATOS!$D15778,nESPEC,DATOS!$E15778,nASIG,DATOS!$I15778,nEVAL,"EX")=0),0))))</f>
      </c>
      <c r="H15778">
        <f>IF(DATOS!$G15778&lt;&gt;"EX",0,--(COUNTIFS(nNIA,DATOS!$A15778,nCURSO,DATOS!$D15778,nESPEC,DATOS!$E15778,nASIG,DATOS!$I15778,nEVAL,"OR")=0))</f>
      </c>
      <c r="I15778">
        <f>IF(DATOS!$I15778="","",IFERROR(VLOOKUP(DATOS!$I15778,CONFIG_ASIGNATURAS!$B$2:$J$91,9,FALSE()),""))</f>
      </c>
    </row>
    <row r="15779">
      <c r="F15779">
        <f>IF(DATOS!$A15779="","",DATOS!$A15779&amp;"|"&amp;DATOS!$D15779&amp;"|"&amp;DATOS!$E15779&amp;"|"&amp;DATOS!$I15779)</f>
      </c>
      <c r="G15779">
        <f>IF(DATOS!$A15779="",0,IF(CONFIG_METADATA!$B$4&lt;&gt;"OR+EX",--(DATOS!$G15779=CONFIG_METADATA!$B$4),IF(DATOS!$G15779="EX",1,IF(DATOS!$G15779="OR",--(COUNTIFS(nNIA,DATOS!$A15779,nCURSO,DATOS!$D15779,nESPEC,DATOS!$E15779,nASIG,DATOS!$I15779,nEVAL,"EX")=0),0))))</f>
      </c>
      <c r="H15779">
        <f>IF(DATOS!$G15779&lt;&gt;"EX",0,--(COUNTIFS(nNIA,DATOS!$A15779,nCURSO,DATOS!$D15779,nESPEC,DATOS!$E15779,nASIG,DATOS!$I15779,nEVAL,"OR")=0))</f>
      </c>
      <c r="I15779">
        <f>IF(DATOS!$I15779="","",IFERROR(VLOOKUP(DATOS!$I15779,CONFIG_ASIGNATURAS!$B$2:$J$91,9,FALSE()),""))</f>
      </c>
    </row>
    <row r="15780">
      <c r="F15780">
        <f>IF(DATOS!$A15780="","",DATOS!$A15780&amp;"|"&amp;DATOS!$D15780&amp;"|"&amp;DATOS!$E15780&amp;"|"&amp;DATOS!$I15780)</f>
      </c>
      <c r="G15780">
        <f>IF(DATOS!$A15780="",0,IF(CONFIG_METADATA!$B$4&lt;&gt;"OR+EX",--(DATOS!$G15780=CONFIG_METADATA!$B$4),IF(DATOS!$G15780="EX",1,IF(DATOS!$G15780="OR",--(COUNTIFS(nNIA,DATOS!$A15780,nCURSO,DATOS!$D15780,nESPEC,DATOS!$E15780,nASIG,DATOS!$I15780,nEVAL,"EX")=0),0))))</f>
      </c>
      <c r="H15780">
        <f>IF(DATOS!$G15780&lt;&gt;"EX",0,--(COUNTIFS(nNIA,DATOS!$A15780,nCURSO,DATOS!$D15780,nESPEC,DATOS!$E15780,nASIG,DATOS!$I15780,nEVAL,"OR")=0))</f>
      </c>
      <c r="I15780">
        <f>IF(DATOS!$I15780="","",IFERROR(VLOOKUP(DATOS!$I15780,CONFIG_ASIGNATURAS!$B$2:$J$91,9,FALSE()),""))</f>
      </c>
    </row>
    <row r="15781">
      <c r="F15781">
        <f>IF(DATOS!$A15781="","",DATOS!$A15781&amp;"|"&amp;DATOS!$D15781&amp;"|"&amp;DATOS!$E15781&amp;"|"&amp;DATOS!$I15781)</f>
      </c>
      <c r="G15781">
        <f>IF(DATOS!$A15781="",0,IF(CONFIG_METADATA!$B$4&lt;&gt;"OR+EX",--(DATOS!$G15781=CONFIG_METADATA!$B$4),IF(DATOS!$G15781="EX",1,IF(DATOS!$G15781="OR",--(COUNTIFS(nNIA,DATOS!$A15781,nCURSO,DATOS!$D15781,nESPEC,DATOS!$E15781,nASIG,DATOS!$I15781,nEVAL,"EX")=0),0))))</f>
      </c>
      <c r="H15781">
        <f>IF(DATOS!$G15781&lt;&gt;"EX",0,--(COUNTIFS(nNIA,DATOS!$A15781,nCURSO,DATOS!$D15781,nESPEC,DATOS!$E15781,nASIG,DATOS!$I15781,nEVAL,"OR")=0))</f>
      </c>
      <c r="I15781">
        <f>IF(DATOS!$I15781="","",IFERROR(VLOOKUP(DATOS!$I15781,CONFIG_ASIGNATURAS!$B$2:$J$91,9,FALSE()),""))</f>
      </c>
    </row>
    <row r="15782">
      <c r="F15782">
        <f>IF(DATOS!$A15782="","",DATOS!$A15782&amp;"|"&amp;DATOS!$D15782&amp;"|"&amp;DATOS!$E15782&amp;"|"&amp;DATOS!$I15782)</f>
      </c>
      <c r="G15782">
        <f>IF(DATOS!$A15782="",0,IF(CONFIG_METADATA!$B$4&lt;&gt;"OR+EX",--(DATOS!$G15782=CONFIG_METADATA!$B$4),IF(DATOS!$G15782="EX",1,IF(DATOS!$G15782="OR",--(COUNTIFS(nNIA,DATOS!$A15782,nCURSO,DATOS!$D15782,nESPEC,DATOS!$E15782,nASIG,DATOS!$I15782,nEVAL,"EX")=0),0))))</f>
      </c>
      <c r="H15782">
        <f>IF(DATOS!$G15782&lt;&gt;"EX",0,--(COUNTIFS(nNIA,DATOS!$A15782,nCURSO,DATOS!$D15782,nESPEC,DATOS!$E15782,nASIG,DATOS!$I15782,nEVAL,"OR")=0))</f>
      </c>
      <c r="I15782">
        <f>IF(DATOS!$I15782="","",IFERROR(VLOOKUP(DATOS!$I15782,CONFIG_ASIGNATURAS!$B$2:$J$91,9,FALSE()),""))</f>
      </c>
    </row>
    <row r="15783">
      <c r="F15783">
        <f>IF(DATOS!$A15783="","",DATOS!$A15783&amp;"|"&amp;DATOS!$D15783&amp;"|"&amp;DATOS!$E15783&amp;"|"&amp;DATOS!$I15783)</f>
      </c>
      <c r="G15783">
        <f>IF(DATOS!$A15783="",0,IF(CONFIG_METADATA!$B$4&lt;&gt;"OR+EX",--(DATOS!$G15783=CONFIG_METADATA!$B$4),IF(DATOS!$G15783="EX",1,IF(DATOS!$G15783="OR",--(COUNTIFS(nNIA,DATOS!$A15783,nCURSO,DATOS!$D15783,nESPEC,DATOS!$E15783,nASIG,DATOS!$I15783,nEVAL,"EX")=0),0))))</f>
      </c>
      <c r="H15783">
        <f>IF(DATOS!$G15783&lt;&gt;"EX",0,--(COUNTIFS(nNIA,DATOS!$A15783,nCURSO,DATOS!$D15783,nESPEC,DATOS!$E15783,nASIG,DATOS!$I15783,nEVAL,"OR")=0))</f>
      </c>
      <c r="I15783">
        <f>IF(DATOS!$I15783="","",IFERROR(VLOOKUP(DATOS!$I15783,CONFIG_ASIGNATURAS!$B$2:$J$91,9,FALSE()),""))</f>
      </c>
    </row>
    <row r="15784">
      <c r="F15784">
        <f>IF(DATOS!$A15784="","",DATOS!$A15784&amp;"|"&amp;DATOS!$D15784&amp;"|"&amp;DATOS!$E15784&amp;"|"&amp;DATOS!$I15784)</f>
      </c>
      <c r="G15784">
        <f>IF(DATOS!$A15784="",0,IF(CONFIG_METADATA!$B$4&lt;&gt;"OR+EX",--(DATOS!$G15784=CONFIG_METADATA!$B$4),IF(DATOS!$G15784="EX",1,IF(DATOS!$G15784="OR",--(COUNTIFS(nNIA,DATOS!$A15784,nCURSO,DATOS!$D15784,nESPEC,DATOS!$E15784,nASIG,DATOS!$I15784,nEVAL,"EX")=0),0))))</f>
      </c>
      <c r="H15784">
        <f>IF(DATOS!$G15784&lt;&gt;"EX",0,--(COUNTIFS(nNIA,DATOS!$A15784,nCURSO,DATOS!$D15784,nESPEC,DATOS!$E15784,nASIG,DATOS!$I15784,nEVAL,"OR")=0))</f>
      </c>
      <c r="I15784">
        <f>IF(DATOS!$I15784="","",IFERROR(VLOOKUP(DATOS!$I15784,CONFIG_ASIGNATURAS!$B$2:$J$91,9,FALSE()),""))</f>
      </c>
    </row>
    <row r="15785">
      <c r="F15785">
        <f>IF(DATOS!$A15785="","",DATOS!$A15785&amp;"|"&amp;DATOS!$D15785&amp;"|"&amp;DATOS!$E15785&amp;"|"&amp;DATOS!$I15785)</f>
      </c>
      <c r="G15785">
        <f>IF(DATOS!$A15785="",0,IF(CONFIG_METADATA!$B$4&lt;&gt;"OR+EX",--(DATOS!$G15785=CONFIG_METADATA!$B$4),IF(DATOS!$G15785="EX",1,IF(DATOS!$G15785="OR",--(COUNTIFS(nNIA,DATOS!$A15785,nCURSO,DATOS!$D15785,nESPEC,DATOS!$E15785,nASIG,DATOS!$I15785,nEVAL,"EX")=0),0))))</f>
      </c>
      <c r="H15785">
        <f>IF(DATOS!$G15785&lt;&gt;"EX",0,--(COUNTIFS(nNIA,DATOS!$A15785,nCURSO,DATOS!$D15785,nESPEC,DATOS!$E15785,nASIG,DATOS!$I15785,nEVAL,"OR")=0))</f>
      </c>
      <c r="I15785">
        <f>IF(DATOS!$I15785="","",IFERROR(VLOOKUP(DATOS!$I15785,CONFIG_ASIGNATURAS!$B$2:$J$91,9,FALSE()),""))</f>
      </c>
    </row>
    <row r="15786">
      <c r="F15786">
        <f>IF(DATOS!$A15786="","",DATOS!$A15786&amp;"|"&amp;DATOS!$D15786&amp;"|"&amp;DATOS!$E15786&amp;"|"&amp;DATOS!$I15786)</f>
      </c>
      <c r="G15786">
        <f>IF(DATOS!$A15786="",0,IF(CONFIG_METADATA!$B$4&lt;&gt;"OR+EX",--(DATOS!$G15786=CONFIG_METADATA!$B$4),IF(DATOS!$G15786="EX",1,IF(DATOS!$G15786="OR",--(COUNTIFS(nNIA,DATOS!$A15786,nCURSO,DATOS!$D15786,nESPEC,DATOS!$E15786,nASIG,DATOS!$I15786,nEVAL,"EX")=0),0))))</f>
      </c>
      <c r="H15786">
        <f>IF(DATOS!$G15786&lt;&gt;"EX",0,--(COUNTIFS(nNIA,DATOS!$A15786,nCURSO,DATOS!$D15786,nESPEC,DATOS!$E15786,nASIG,DATOS!$I15786,nEVAL,"OR")=0))</f>
      </c>
      <c r="I15786">
        <f>IF(DATOS!$I15786="","",IFERROR(VLOOKUP(DATOS!$I15786,CONFIG_ASIGNATURAS!$B$2:$J$91,9,FALSE()),""))</f>
      </c>
    </row>
    <row r="15787">
      <c r="F15787">
        <f>IF(DATOS!$A15787="","",DATOS!$A15787&amp;"|"&amp;DATOS!$D15787&amp;"|"&amp;DATOS!$E15787&amp;"|"&amp;DATOS!$I15787)</f>
      </c>
      <c r="G15787">
        <f>IF(DATOS!$A15787="",0,IF(CONFIG_METADATA!$B$4&lt;&gt;"OR+EX",--(DATOS!$G15787=CONFIG_METADATA!$B$4),IF(DATOS!$G15787="EX",1,IF(DATOS!$G15787="OR",--(COUNTIFS(nNIA,DATOS!$A15787,nCURSO,DATOS!$D15787,nESPEC,DATOS!$E15787,nASIG,DATOS!$I15787,nEVAL,"EX")=0),0))))</f>
      </c>
      <c r="H15787">
        <f>IF(DATOS!$G15787&lt;&gt;"EX",0,--(COUNTIFS(nNIA,DATOS!$A15787,nCURSO,DATOS!$D15787,nESPEC,DATOS!$E15787,nASIG,DATOS!$I15787,nEVAL,"OR")=0))</f>
      </c>
      <c r="I15787">
        <f>IF(DATOS!$I15787="","",IFERROR(VLOOKUP(DATOS!$I15787,CONFIG_ASIGNATURAS!$B$2:$J$91,9,FALSE()),""))</f>
      </c>
    </row>
    <row r="15788">
      <c r="F15788">
        <f>IF(DATOS!$A15788="","",DATOS!$A15788&amp;"|"&amp;DATOS!$D15788&amp;"|"&amp;DATOS!$E15788&amp;"|"&amp;DATOS!$I15788)</f>
      </c>
      <c r="G15788">
        <f>IF(DATOS!$A15788="",0,IF(CONFIG_METADATA!$B$4&lt;&gt;"OR+EX",--(DATOS!$G15788=CONFIG_METADATA!$B$4),IF(DATOS!$G15788="EX",1,IF(DATOS!$G15788="OR",--(COUNTIFS(nNIA,DATOS!$A15788,nCURSO,DATOS!$D15788,nESPEC,DATOS!$E15788,nASIG,DATOS!$I15788,nEVAL,"EX")=0),0))))</f>
      </c>
      <c r="H15788">
        <f>IF(DATOS!$G15788&lt;&gt;"EX",0,--(COUNTIFS(nNIA,DATOS!$A15788,nCURSO,DATOS!$D15788,nESPEC,DATOS!$E15788,nASIG,DATOS!$I15788,nEVAL,"OR")=0))</f>
      </c>
      <c r="I15788">
        <f>IF(DATOS!$I15788="","",IFERROR(VLOOKUP(DATOS!$I15788,CONFIG_ASIGNATURAS!$B$2:$J$91,9,FALSE()),""))</f>
      </c>
    </row>
    <row r="15789">
      <c r="F15789">
        <f>IF(DATOS!$A15789="","",DATOS!$A15789&amp;"|"&amp;DATOS!$D15789&amp;"|"&amp;DATOS!$E15789&amp;"|"&amp;DATOS!$I15789)</f>
      </c>
      <c r="G15789">
        <f>IF(DATOS!$A15789="",0,IF(CONFIG_METADATA!$B$4&lt;&gt;"OR+EX",--(DATOS!$G15789=CONFIG_METADATA!$B$4),IF(DATOS!$G15789="EX",1,IF(DATOS!$G15789="OR",--(COUNTIFS(nNIA,DATOS!$A15789,nCURSO,DATOS!$D15789,nESPEC,DATOS!$E15789,nASIG,DATOS!$I15789,nEVAL,"EX")=0),0))))</f>
      </c>
      <c r="H15789">
        <f>IF(DATOS!$G15789&lt;&gt;"EX",0,--(COUNTIFS(nNIA,DATOS!$A15789,nCURSO,DATOS!$D15789,nESPEC,DATOS!$E15789,nASIG,DATOS!$I15789,nEVAL,"OR")=0))</f>
      </c>
      <c r="I15789">
        <f>IF(DATOS!$I15789="","",IFERROR(VLOOKUP(DATOS!$I15789,CONFIG_ASIGNATURAS!$B$2:$J$91,9,FALSE()),""))</f>
      </c>
    </row>
    <row r="15790">
      <c r="F15790">
        <f>IF(DATOS!$A15790="","",DATOS!$A15790&amp;"|"&amp;DATOS!$D15790&amp;"|"&amp;DATOS!$E15790&amp;"|"&amp;DATOS!$I15790)</f>
      </c>
      <c r="G15790">
        <f>IF(DATOS!$A15790="",0,IF(CONFIG_METADATA!$B$4&lt;&gt;"OR+EX",--(DATOS!$G15790=CONFIG_METADATA!$B$4),IF(DATOS!$G15790="EX",1,IF(DATOS!$G15790="OR",--(COUNTIFS(nNIA,DATOS!$A15790,nCURSO,DATOS!$D15790,nESPEC,DATOS!$E15790,nASIG,DATOS!$I15790,nEVAL,"EX")=0),0))))</f>
      </c>
      <c r="H15790">
        <f>IF(DATOS!$G15790&lt;&gt;"EX",0,--(COUNTIFS(nNIA,DATOS!$A15790,nCURSO,DATOS!$D15790,nESPEC,DATOS!$E15790,nASIG,DATOS!$I15790,nEVAL,"OR")=0))</f>
      </c>
      <c r="I15790">
        <f>IF(DATOS!$I15790="","",IFERROR(VLOOKUP(DATOS!$I15790,CONFIG_ASIGNATURAS!$B$2:$J$91,9,FALSE()),""))</f>
      </c>
    </row>
    <row r="15791">
      <c r="F15791">
        <f>IF(DATOS!$A15791="","",DATOS!$A15791&amp;"|"&amp;DATOS!$D15791&amp;"|"&amp;DATOS!$E15791&amp;"|"&amp;DATOS!$I15791)</f>
      </c>
      <c r="G15791">
        <f>IF(DATOS!$A15791="",0,IF(CONFIG_METADATA!$B$4&lt;&gt;"OR+EX",--(DATOS!$G15791=CONFIG_METADATA!$B$4),IF(DATOS!$G15791="EX",1,IF(DATOS!$G15791="OR",--(COUNTIFS(nNIA,DATOS!$A15791,nCURSO,DATOS!$D15791,nESPEC,DATOS!$E15791,nASIG,DATOS!$I15791,nEVAL,"EX")=0),0))))</f>
      </c>
      <c r="H15791">
        <f>IF(DATOS!$G15791&lt;&gt;"EX",0,--(COUNTIFS(nNIA,DATOS!$A15791,nCURSO,DATOS!$D15791,nESPEC,DATOS!$E15791,nASIG,DATOS!$I15791,nEVAL,"OR")=0))</f>
      </c>
      <c r="I15791">
        <f>IF(DATOS!$I15791="","",IFERROR(VLOOKUP(DATOS!$I15791,CONFIG_ASIGNATURAS!$B$2:$J$91,9,FALSE()),""))</f>
      </c>
    </row>
    <row r="15792">
      <c r="F15792">
        <f>IF(DATOS!$A15792="","",DATOS!$A15792&amp;"|"&amp;DATOS!$D15792&amp;"|"&amp;DATOS!$E15792&amp;"|"&amp;DATOS!$I15792)</f>
      </c>
      <c r="G15792">
        <f>IF(DATOS!$A15792="",0,IF(CONFIG_METADATA!$B$4&lt;&gt;"OR+EX",--(DATOS!$G15792=CONFIG_METADATA!$B$4),IF(DATOS!$G15792="EX",1,IF(DATOS!$G15792="OR",--(COUNTIFS(nNIA,DATOS!$A15792,nCURSO,DATOS!$D15792,nESPEC,DATOS!$E15792,nASIG,DATOS!$I15792,nEVAL,"EX")=0),0))))</f>
      </c>
      <c r="H15792">
        <f>IF(DATOS!$G15792&lt;&gt;"EX",0,--(COUNTIFS(nNIA,DATOS!$A15792,nCURSO,DATOS!$D15792,nESPEC,DATOS!$E15792,nASIG,DATOS!$I15792,nEVAL,"OR")=0))</f>
      </c>
      <c r="I15792">
        <f>IF(DATOS!$I15792="","",IFERROR(VLOOKUP(DATOS!$I15792,CONFIG_ASIGNATURAS!$B$2:$J$91,9,FALSE()),""))</f>
      </c>
    </row>
    <row r="15793">
      <c r="F15793">
        <f>IF(DATOS!$A15793="","",DATOS!$A15793&amp;"|"&amp;DATOS!$D15793&amp;"|"&amp;DATOS!$E15793&amp;"|"&amp;DATOS!$I15793)</f>
      </c>
      <c r="G15793">
        <f>IF(DATOS!$A15793="",0,IF(CONFIG_METADATA!$B$4&lt;&gt;"OR+EX",--(DATOS!$G15793=CONFIG_METADATA!$B$4),IF(DATOS!$G15793="EX",1,IF(DATOS!$G15793="OR",--(COUNTIFS(nNIA,DATOS!$A15793,nCURSO,DATOS!$D15793,nESPEC,DATOS!$E15793,nASIG,DATOS!$I15793,nEVAL,"EX")=0),0))))</f>
      </c>
      <c r="H15793">
        <f>IF(DATOS!$G15793&lt;&gt;"EX",0,--(COUNTIFS(nNIA,DATOS!$A15793,nCURSO,DATOS!$D15793,nESPEC,DATOS!$E15793,nASIG,DATOS!$I15793,nEVAL,"OR")=0))</f>
      </c>
      <c r="I15793">
        <f>IF(DATOS!$I15793="","",IFERROR(VLOOKUP(DATOS!$I15793,CONFIG_ASIGNATURAS!$B$2:$J$91,9,FALSE()),""))</f>
      </c>
    </row>
    <row r="15794">
      <c r="F15794">
        <f>IF(DATOS!$A15794="","",DATOS!$A15794&amp;"|"&amp;DATOS!$D15794&amp;"|"&amp;DATOS!$E15794&amp;"|"&amp;DATOS!$I15794)</f>
      </c>
      <c r="G15794">
        <f>IF(DATOS!$A15794="",0,IF(CONFIG_METADATA!$B$4&lt;&gt;"OR+EX",--(DATOS!$G15794=CONFIG_METADATA!$B$4),IF(DATOS!$G15794="EX",1,IF(DATOS!$G15794="OR",--(COUNTIFS(nNIA,DATOS!$A15794,nCURSO,DATOS!$D15794,nESPEC,DATOS!$E15794,nASIG,DATOS!$I15794,nEVAL,"EX")=0),0))))</f>
      </c>
      <c r="H15794">
        <f>IF(DATOS!$G15794&lt;&gt;"EX",0,--(COUNTIFS(nNIA,DATOS!$A15794,nCURSO,DATOS!$D15794,nESPEC,DATOS!$E15794,nASIG,DATOS!$I15794,nEVAL,"OR")=0))</f>
      </c>
      <c r="I15794">
        <f>IF(DATOS!$I15794="","",IFERROR(VLOOKUP(DATOS!$I15794,CONFIG_ASIGNATURAS!$B$2:$J$91,9,FALSE()),""))</f>
      </c>
    </row>
    <row r="15795">
      <c r="F15795">
        <f>IF(DATOS!$A15795="","",DATOS!$A15795&amp;"|"&amp;DATOS!$D15795&amp;"|"&amp;DATOS!$E15795&amp;"|"&amp;DATOS!$I15795)</f>
      </c>
      <c r="G15795">
        <f>IF(DATOS!$A15795="",0,IF(CONFIG_METADATA!$B$4&lt;&gt;"OR+EX",--(DATOS!$G15795=CONFIG_METADATA!$B$4),IF(DATOS!$G15795="EX",1,IF(DATOS!$G15795="OR",--(COUNTIFS(nNIA,DATOS!$A15795,nCURSO,DATOS!$D15795,nESPEC,DATOS!$E15795,nASIG,DATOS!$I15795,nEVAL,"EX")=0),0))))</f>
      </c>
      <c r="H15795">
        <f>IF(DATOS!$G15795&lt;&gt;"EX",0,--(COUNTIFS(nNIA,DATOS!$A15795,nCURSO,DATOS!$D15795,nESPEC,DATOS!$E15795,nASIG,DATOS!$I15795,nEVAL,"OR")=0))</f>
      </c>
      <c r="I15795">
        <f>IF(DATOS!$I15795="","",IFERROR(VLOOKUP(DATOS!$I15795,CONFIG_ASIGNATURAS!$B$2:$J$91,9,FALSE()),""))</f>
      </c>
    </row>
    <row r="15796">
      <c r="F15796">
        <f>IF(DATOS!$A15796="","",DATOS!$A15796&amp;"|"&amp;DATOS!$D15796&amp;"|"&amp;DATOS!$E15796&amp;"|"&amp;DATOS!$I15796)</f>
      </c>
      <c r="G15796">
        <f>IF(DATOS!$A15796="",0,IF(CONFIG_METADATA!$B$4&lt;&gt;"OR+EX",--(DATOS!$G15796=CONFIG_METADATA!$B$4),IF(DATOS!$G15796="EX",1,IF(DATOS!$G15796="OR",--(COUNTIFS(nNIA,DATOS!$A15796,nCURSO,DATOS!$D15796,nESPEC,DATOS!$E15796,nASIG,DATOS!$I15796,nEVAL,"EX")=0),0))))</f>
      </c>
      <c r="H15796">
        <f>IF(DATOS!$G15796&lt;&gt;"EX",0,--(COUNTIFS(nNIA,DATOS!$A15796,nCURSO,DATOS!$D15796,nESPEC,DATOS!$E15796,nASIG,DATOS!$I15796,nEVAL,"OR")=0))</f>
      </c>
      <c r="I15796">
        <f>IF(DATOS!$I15796="","",IFERROR(VLOOKUP(DATOS!$I15796,CONFIG_ASIGNATURAS!$B$2:$J$91,9,FALSE()),""))</f>
      </c>
    </row>
    <row r="15797">
      <c r="F15797">
        <f>IF(DATOS!$A15797="","",DATOS!$A15797&amp;"|"&amp;DATOS!$D15797&amp;"|"&amp;DATOS!$E15797&amp;"|"&amp;DATOS!$I15797)</f>
      </c>
      <c r="G15797">
        <f>IF(DATOS!$A15797="",0,IF(CONFIG_METADATA!$B$4&lt;&gt;"OR+EX",--(DATOS!$G15797=CONFIG_METADATA!$B$4),IF(DATOS!$G15797="EX",1,IF(DATOS!$G15797="OR",--(COUNTIFS(nNIA,DATOS!$A15797,nCURSO,DATOS!$D15797,nESPEC,DATOS!$E15797,nASIG,DATOS!$I15797,nEVAL,"EX")=0),0))))</f>
      </c>
      <c r="H15797">
        <f>IF(DATOS!$G15797&lt;&gt;"EX",0,--(COUNTIFS(nNIA,DATOS!$A15797,nCURSO,DATOS!$D15797,nESPEC,DATOS!$E15797,nASIG,DATOS!$I15797,nEVAL,"OR")=0))</f>
      </c>
      <c r="I15797">
        <f>IF(DATOS!$I15797="","",IFERROR(VLOOKUP(DATOS!$I15797,CONFIG_ASIGNATURAS!$B$2:$J$91,9,FALSE()),""))</f>
      </c>
    </row>
    <row r="15798">
      <c r="F15798">
        <f>IF(DATOS!$A15798="","",DATOS!$A15798&amp;"|"&amp;DATOS!$D15798&amp;"|"&amp;DATOS!$E15798&amp;"|"&amp;DATOS!$I15798)</f>
      </c>
      <c r="G15798">
        <f>IF(DATOS!$A15798="",0,IF(CONFIG_METADATA!$B$4&lt;&gt;"OR+EX",--(DATOS!$G15798=CONFIG_METADATA!$B$4),IF(DATOS!$G15798="EX",1,IF(DATOS!$G15798="OR",--(COUNTIFS(nNIA,DATOS!$A15798,nCURSO,DATOS!$D15798,nESPEC,DATOS!$E15798,nASIG,DATOS!$I15798,nEVAL,"EX")=0),0))))</f>
      </c>
      <c r="H15798">
        <f>IF(DATOS!$G15798&lt;&gt;"EX",0,--(COUNTIFS(nNIA,DATOS!$A15798,nCURSO,DATOS!$D15798,nESPEC,DATOS!$E15798,nASIG,DATOS!$I15798,nEVAL,"OR")=0))</f>
      </c>
      <c r="I15798">
        <f>IF(DATOS!$I15798="","",IFERROR(VLOOKUP(DATOS!$I15798,CONFIG_ASIGNATURAS!$B$2:$J$91,9,FALSE()),""))</f>
      </c>
    </row>
    <row r="15799">
      <c r="F15799">
        <f>IF(DATOS!$A15799="","",DATOS!$A15799&amp;"|"&amp;DATOS!$D15799&amp;"|"&amp;DATOS!$E15799&amp;"|"&amp;DATOS!$I15799)</f>
      </c>
      <c r="G15799">
        <f>IF(DATOS!$A15799="",0,IF(CONFIG_METADATA!$B$4&lt;&gt;"OR+EX",--(DATOS!$G15799=CONFIG_METADATA!$B$4),IF(DATOS!$G15799="EX",1,IF(DATOS!$G15799="OR",--(COUNTIFS(nNIA,DATOS!$A15799,nCURSO,DATOS!$D15799,nESPEC,DATOS!$E15799,nASIG,DATOS!$I15799,nEVAL,"EX")=0),0))))</f>
      </c>
      <c r="H15799">
        <f>IF(DATOS!$G15799&lt;&gt;"EX",0,--(COUNTIFS(nNIA,DATOS!$A15799,nCURSO,DATOS!$D15799,nESPEC,DATOS!$E15799,nASIG,DATOS!$I15799,nEVAL,"OR")=0))</f>
      </c>
      <c r="I15799">
        <f>IF(DATOS!$I15799="","",IFERROR(VLOOKUP(DATOS!$I15799,CONFIG_ASIGNATURAS!$B$2:$J$91,9,FALSE()),""))</f>
      </c>
    </row>
    <row r="15800">
      <c r="F15800">
        <f>IF(DATOS!$A15800="","",DATOS!$A15800&amp;"|"&amp;DATOS!$D15800&amp;"|"&amp;DATOS!$E15800&amp;"|"&amp;DATOS!$I15800)</f>
      </c>
      <c r="G15800">
        <f>IF(DATOS!$A15800="",0,IF(CONFIG_METADATA!$B$4&lt;&gt;"OR+EX",--(DATOS!$G15800=CONFIG_METADATA!$B$4),IF(DATOS!$G15800="EX",1,IF(DATOS!$G15800="OR",--(COUNTIFS(nNIA,DATOS!$A15800,nCURSO,DATOS!$D15800,nESPEC,DATOS!$E15800,nASIG,DATOS!$I15800,nEVAL,"EX")=0),0))))</f>
      </c>
      <c r="H15800">
        <f>IF(DATOS!$G15800&lt;&gt;"EX",0,--(COUNTIFS(nNIA,DATOS!$A15800,nCURSO,DATOS!$D15800,nESPEC,DATOS!$E15800,nASIG,DATOS!$I15800,nEVAL,"OR")=0))</f>
      </c>
      <c r="I15800">
        <f>IF(DATOS!$I15800="","",IFERROR(VLOOKUP(DATOS!$I15800,CONFIG_ASIGNATURAS!$B$2:$J$91,9,FALSE()),""))</f>
      </c>
    </row>
    <row r="15801">
      <c r="F15801">
        <f>IF(DATOS!$A15801="","",DATOS!$A15801&amp;"|"&amp;DATOS!$D15801&amp;"|"&amp;DATOS!$E15801&amp;"|"&amp;DATOS!$I15801)</f>
      </c>
      <c r="G15801">
        <f>IF(DATOS!$A15801="",0,IF(CONFIG_METADATA!$B$4&lt;&gt;"OR+EX",--(DATOS!$G15801=CONFIG_METADATA!$B$4),IF(DATOS!$G15801="EX",1,IF(DATOS!$G15801="OR",--(COUNTIFS(nNIA,DATOS!$A15801,nCURSO,DATOS!$D15801,nESPEC,DATOS!$E15801,nASIG,DATOS!$I15801,nEVAL,"EX")=0),0))))</f>
      </c>
      <c r="H15801">
        <f>IF(DATOS!$G15801&lt;&gt;"EX",0,--(COUNTIFS(nNIA,DATOS!$A15801,nCURSO,DATOS!$D15801,nESPEC,DATOS!$E15801,nASIG,DATOS!$I15801,nEVAL,"OR")=0))</f>
      </c>
      <c r="I15801">
        <f>IF(DATOS!$I15801="","",IFERROR(VLOOKUP(DATOS!$I15801,CONFIG_ASIGNATURAS!$B$2:$J$91,9,FALSE()),""))</f>
      </c>
    </row>
    <row r="15802">
      <c r="F15802">
        <f>IF(DATOS!$A15802="","",DATOS!$A15802&amp;"|"&amp;DATOS!$D15802&amp;"|"&amp;DATOS!$E15802&amp;"|"&amp;DATOS!$I15802)</f>
      </c>
      <c r="G15802">
        <f>IF(DATOS!$A15802="",0,IF(CONFIG_METADATA!$B$4&lt;&gt;"OR+EX",--(DATOS!$G15802=CONFIG_METADATA!$B$4),IF(DATOS!$G15802="EX",1,IF(DATOS!$G15802="OR",--(COUNTIFS(nNIA,DATOS!$A15802,nCURSO,DATOS!$D15802,nESPEC,DATOS!$E15802,nASIG,DATOS!$I15802,nEVAL,"EX")=0),0))))</f>
      </c>
      <c r="H15802">
        <f>IF(DATOS!$G15802&lt;&gt;"EX",0,--(COUNTIFS(nNIA,DATOS!$A15802,nCURSO,DATOS!$D15802,nESPEC,DATOS!$E15802,nASIG,DATOS!$I15802,nEVAL,"OR")=0))</f>
      </c>
      <c r="I15802">
        <f>IF(DATOS!$I15802="","",IFERROR(VLOOKUP(DATOS!$I15802,CONFIG_ASIGNATURAS!$B$2:$J$91,9,FALSE()),""))</f>
      </c>
    </row>
    <row r="15803">
      <c r="F15803">
        <f>IF(DATOS!$A15803="","",DATOS!$A15803&amp;"|"&amp;DATOS!$D15803&amp;"|"&amp;DATOS!$E15803&amp;"|"&amp;DATOS!$I15803)</f>
      </c>
      <c r="G15803">
        <f>IF(DATOS!$A15803="",0,IF(CONFIG_METADATA!$B$4&lt;&gt;"OR+EX",--(DATOS!$G15803=CONFIG_METADATA!$B$4),IF(DATOS!$G15803="EX",1,IF(DATOS!$G15803="OR",--(COUNTIFS(nNIA,DATOS!$A15803,nCURSO,DATOS!$D15803,nESPEC,DATOS!$E15803,nASIG,DATOS!$I15803,nEVAL,"EX")=0),0))))</f>
      </c>
      <c r="H15803">
        <f>IF(DATOS!$G15803&lt;&gt;"EX",0,--(COUNTIFS(nNIA,DATOS!$A15803,nCURSO,DATOS!$D15803,nESPEC,DATOS!$E15803,nASIG,DATOS!$I15803,nEVAL,"OR")=0))</f>
      </c>
      <c r="I15803">
        <f>IF(DATOS!$I15803="","",IFERROR(VLOOKUP(DATOS!$I15803,CONFIG_ASIGNATURAS!$B$2:$J$91,9,FALSE()),""))</f>
      </c>
    </row>
    <row r="15804">
      <c r="F15804">
        <f>IF(DATOS!$A15804="","",DATOS!$A15804&amp;"|"&amp;DATOS!$D15804&amp;"|"&amp;DATOS!$E15804&amp;"|"&amp;DATOS!$I15804)</f>
      </c>
      <c r="G15804">
        <f>IF(DATOS!$A15804="",0,IF(CONFIG_METADATA!$B$4&lt;&gt;"OR+EX",--(DATOS!$G15804=CONFIG_METADATA!$B$4),IF(DATOS!$G15804="EX",1,IF(DATOS!$G15804="OR",--(COUNTIFS(nNIA,DATOS!$A15804,nCURSO,DATOS!$D15804,nESPEC,DATOS!$E15804,nASIG,DATOS!$I15804,nEVAL,"EX")=0),0))))</f>
      </c>
      <c r="H15804">
        <f>IF(DATOS!$G15804&lt;&gt;"EX",0,--(COUNTIFS(nNIA,DATOS!$A15804,nCURSO,DATOS!$D15804,nESPEC,DATOS!$E15804,nASIG,DATOS!$I15804,nEVAL,"OR")=0))</f>
      </c>
      <c r="I15804">
        <f>IF(DATOS!$I15804="","",IFERROR(VLOOKUP(DATOS!$I15804,CONFIG_ASIGNATURAS!$B$2:$J$91,9,FALSE()),""))</f>
      </c>
    </row>
    <row r="15805">
      <c r="F15805">
        <f>IF(DATOS!$A15805="","",DATOS!$A15805&amp;"|"&amp;DATOS!$D15805&amp;"|"&amp;DATOS!$E15805&amp;"|"&amp;DATOS!$I15805)</f>
      </c>
      <c r="G15805">
        <f>IF(DATOS!$A15805="",0,IF(CONFIG_METADATA!$B$4&lt;&gt;"OR+EX",--(DATOS!$G15805=CONFIG_METADATA!$B$4),IF(DATOS!$G15805="EX",1,IF(DATOS!$G15805="OR",--(COUNTIFS(nNIA,DATOS!$A15805,nCURSO,DATOS!$D15805,nESPEC,DATOS!$E15805,nASIG,DATOS!$I15805,nEVAL,"EX")=0),0))))</f>
      </c>
      <c r="H15805">
        <f>IF(DATOS!$G15805&lt;&gt;"EX",0,--(COUNTIFS(nNIA,DATOS!$A15805,nCURSO,DATOS!$D15805,nESPEC,DATOS!$E15805,nASIG,DATOS!$I15805,nEVAL,"OR")=0))</f>
      </c>
      <c r="I15805">
        <f>IF(DATOS!$I15805="","",IFERROR(VLOOKUP(DATOS!$I15805,CONFIG_ASIGNATURAS!$B$2:$J$91,9,FALSE()),""))</f>
      </c>
    </row>
    <row r="15806">
      <c r="F15806">
        <f>IF(DATOS!$A15806="","",DATOS!$A15806&amp;"|"&amp;DATOS!$D15806&amp;"|"&amp;DATOS!$E15806&amp;"|"&amp;DATOS!$I15806)</f>
      </c>
      <c r="G15806">
        <f>IF(DATOS!$A15806="",0,IF(CONFIG_METADATA!$B$4&lt;&gt;"OR+EX",--(DATOS!$G15806=CONFIG_METADATA!$B$4),IF(DATOS!$G15806="EX",1,IF(DATOS!$G15806="OR",--(COUNTIFS(nNIA,DATOS!$A15806,nCURSO,DATOS!$D15806,nESPEC,DATOS!$E15806,nASIG,DATOS!$I15806,nEVAL,"EX")=0),0))))</f>
      </c>
      <c r="H15806">
        <f>IF(DATOS!$G15806&lt;&gt;"EX",0,--(COUNTIFS(nNIA,DATOS!$A15806,nCURSO,DATOS!$D15806,nESPEC,DATOS!$E15806,nASIG,DATOS!$I15806,nEVAL,"OR")=0))</f>
      </c>
      <c r="I15806">
        <f>IF(DATOS!$I15806="","",IFERROR(VLOOKUP(DATOS!$I15806,CONFIG_ASIGNATURAS!$B$2:$J$91,9,FALSE()),""))</f>
      </c>
    </row>
    <row r="15807">
      <c r="F15807">
        <f>IF(DATOS!$A15807="","",DATOS!$A15807&amp;"|"&amp;DATOS!$D15807&amp;"|"&amp;DATOS!$E15807&amp;"|"&amp;DATOS!$I15807)</f>
      </c>
      <c r="G15807">
        <f>IF(DATOS!$A15807="",0,IF(CONFIG_METADATA!$B$4&lt;&gt;"OR+EX",--(DATOS!$G15807=CONFIG_METADATA!$B$4),IF(DATOS!$G15807="EX",1,IF(DATOS!$G15807="OR",--(COUNTIFS(nNIA,DATOS!$A15807,nCURSO,DATOS!$D15807,nESPEC,DATOS!$E15807,nASIG,DATOS!$I15807,nEVAL,"EX")=0),0))))</f>
      </c>
      <c r="H15807">
        <f>IF(DATOS!$G15807&lt;&gt;"EX",0,--(COUNTIFS(nNIA,DATOS!$A15807,nCURSO,DATOS!$D15807,nESPEC,DATOS!$E15807,nASIG,DATOS!$I15807,nEVAL,"OR")=0))</f>
      </c>
      <c r="I15807">
        <f>IF(DATOS!$I15807="","",IFERROR(VLOOKUP(DATOS!$I15807,CONFIG_ASIGNATURAS!$B$2:$J$91,9,FALSE()),""))</f>
      </c>
    </row>
    <row r="15808">
      <c r="F15808">
        <f>IF(DATOS!$A15808="","",DATOS!$A15808&amp;"|"&amp;DATOS!$D15808&amp;"|"&amp;DATOS!$E15808&amp;"|"&amp;DATOS!$I15808)</f>
      </c>
      <c r="G15808">
        <f>IF(DATOS!$A15808="",0,IF(CONFIG_METADATA!$B$4&lt;&gt;"OR+EX",--(DATOS!$G15808=CONFIG_METADATA!$B$4),IF(DATOS!$G15808="EX",1,IF(DATOS!$G15808="OR",--(COUNTIFS(nNIA,DATOS!$A15808,nCURSO,DATOS!$D15808,nESPEC,DATOS!$E15808,nASIG,DATOS!$I15808,nEVAL,"EX")=0),0))))</f>
      </c>
      <c r="H15808">
        <f>IF(DATOS!$G15808&lt;&gt;"EX",0,--(COUNTIFS(nNIA,DATOS!$A15808,nCURSO,DATOS!$D15808,nESPEC,DATOS!$E15808,nASIG,DATOS!$I15808,nEVAL,"OR")=0))</f>
      </c>
      <c r="I15808">
        <f>IF(DATOS!$I15808="","",IFERROR(VLOOKUP(DATOS!$I15808,CONFIG_ASIGNATURAS!$B$2:$J$91,9,FALSE()),""))</f>
      </c>
    </row>
    <row r="15809">
      <c r="F15809">
        <f>IF(DATOS!$A15809="","",DATOS!$A15809&amp;"|"&amp;DATOS!$D15809&amp;"|"&amp;DATOS!$E15809&amp;"|"&amp;DATOS!$I15809)</f>
      </c>
      <c r="G15809">
        <f>IF(DATOS!$A15809="",0,IF(CONFIG_METADATA!$B$4&lt;&gt;"OR+EX",--(DATOS!$G15809=CONFIG_METADATA!$B$4),IF(DATOS!$G15809="EX",1,IF(DATOS!$G15809="OR",--(COUNTIFS(nNIA,DATOS!$A15809,nCURSO,DATOS!$D15809,nESPEC,DATOS!$E15809,nASIG,DATOS!$I15809,nEVAL,"EX")=0),0))))</f>
      </c>
      <c r="H15809">
        <f>IF(DATOS!$G15809&lt;&gt;"EX",0,--(COUNTIFS(nNIA,DATOS!$A15809,nCURSO,DATOS!$D15809,nESPEC,DATOS!$E15809,nASIG,DATOS!$I15809,nEVAL,"OR")=0))</f>
      </c>
      <c r="I15809">
        <f>IF(DATOS!$I15809="","",IFERROR(VLOOKUP(DATOS!$I15809,CONFIG_ASIGNATURAS!$B$2:$J$91,9,FALSE()),""))</f>
      </c>
    </row>
    <row r="15810">
      <c r="F15810">
        <f>IF(DATOS!$A15810="","",DATOS!$A15810&amp;"|"&amp;DATOS!$D15810&amp;"|"&amp;DATOS!$E15810&amp;"|"&amp;DATOS!$I15810)</f>
      </c>
      <c r="G15810">
        <f>IF(DATOS!$A15810="",0,IF(CONFIG_METADATA!$B$4&lt;&gt;"OR+EX",--(DATOS!$G15810=CONFIG_METADATA!$B$4),IF(DATOS!$G15810="EX",1,IF(DATOS!$G15810="OR",--(COUNTIFS(nNIA,DATOS!$A15810,nCURSO,DATOS!$D15810,nESPEC,DATOS!$E15810,nASIG,DATOS!$I15810,nEVAL,"EX")=0),0))))</f>
      </c>
      <c r="H15810">
        <f>IF(DATOS!$G15810&lt;&gt;"EX",0,--(COUNTIFS(nNIA,DATOS!$A15810,nCURSO,DATOS!$D15810,nESPEC,DATOS!$E15810,nASIG,DATOS!$I15810,nEVAL,"OR")=0))</f>
      </c>
      <c r="I15810">
        <f>IF(DATOS!$I15810="","",IFERROR(VLOOKUP(DATOS!$I15810,CONFIG_ASIGNATURAS!$B$2:$J$91,9,FALSE()),""))</f>
      </c>
    </row>
    <row r="15811">
      <c r="F15811">
        <f>IF(DATOS!$A15811="","",DATOS!$A15811&amp;"|"&amp;DATOS!$D15811&amp;"|"&amp;DATOS!$E15811&amp;"|"&amp;DATOS!$I15811)</f>
      </c>
      <c r="G15811">
        <f>IF(DATOS!$A15811="",0,IF(CONFIG_METADATA!$B$4&lt;&gt;"OR+EX",--(DATOS!$G15811=CONFIG_METADATA!$B$4),IF(DATOS!$G15811="EX",1,IF(DATOS!$G15811="OR",--(COUNTIFS(nNIA,DATOS!$A15811,nCURSO,DATOS!$D15811,nESPEC,DATOS!$E15811,nASIG,DATOS!$I15811,nEVAL,"EX")=0),0))))</f>
      </c>
      <c r="H15811">
        <f>IF(DATOS!$G15811&lt;&gt;"EX",0,--(COUNTIFS(nNIA,DATOS!$A15811,nCURSO,DATOS!$D15811,nESPEC,DATOS!$E15811,nASIG,DATOS!$I15811,nEVAL,"OR")=0))</f>
      </c>
      <c r="I15811">
        <f>IF(DATOS!$I15811="","",IFERROR(VLOOKUP(DATOS!$I15811,CONFIG_ASIGNATURAS!$B$2:$J$91,9,FALSE()),""))</f>
      </c>
    </row>
    <row r="15812">
      <c r="F15812">
        <f>IF(DATOS!$A15812="","",DATOS!$A15812&amp;"|"&amp;DATOS!$D15812&amp;"|"&amp;DATOS!$E15812&amp;"|"&amp;DATOS!$I15812)</f>
      </c>
      <c r="G15812">
        <f>IF(DATOS!$A15812="",0,IF(CONFIG_METADATA!$B$4&lt;&gt;"OR+EX",--(DATOS!$G15812=CONFIG_METADATA!$B$4),IF(DATOS!$G15812="EX",1,IF(DATOS!$G15812="OR",--(COUNTIFS(nNIA,DATOS!$A15812,nCURSO,DATOS!$D15812,nESPEC,DATOS!$E15812,nASIG,DATOS!$I15812,nEVAL,"EX")=0),0))))</f>
      </c>
      <c r="H15812">
        <f>IF(DATOS!$G15812&lt;&gt;"EX",0,--(COUNTIFS(nNIA,DATOS!$A15812,nCURSO,DATOS!$D15812,nESPEC,DATOS!$E15812,nASIG,DATOS!$I15812,nEVAL,"OR")=0))</f>
      </c>
      <c r="I15812">
        <f>IF(DATOS!$I15812="","",IFERROR(VLOOKUP(DATOS!$I15812,CONFIG_ASIGNATURAS!$B$2:$J$91,9,FALSE()),""))</f>
      </c>
    </row>
    <row r="15813">
      <c r="F15813">
        <f>IF(DATOS!$A15813="","",DATOS!$A15813&amp;"|"&amp;DATOS!$D15813&amp;"|"&amp;DATOS!$E15813&amp;"|"&amp;DATOS!$I15813)</f>
      </c>
      <c r="G15813">
        <f>IF(DATOS!$A15813="",0,IF(CONFIG_METADATA!$B$4&lt;&gt;"OR+EX",--(DATOS!$G15813=CONFIG_METADATA!$B$4),IF(DATOS!$G15813="EX",1,IF(DATOS!$G15813="OR",--(COUNTIFS(nNIA,DATOS!$A15813,nCURSO,DATOS!$D15813,nESPEC,DATOS!$E15813,nASIG,DATOS!$I15813,nEVAL,"EX")=0),0))))</f>
      </c>
      <c r="H15813">
        <f>IF(DATOS!$G15813&lt;&gt;"EX",0,--(COUNTIFS(nNIA,DATOS!$A15813,nCURSO,DATOS!$D15813,nESPEC,DATOS!$E15813,nASIG,DATOS!$I15813,nEVAL,"OR")=0))</f>
      </c>
      <c r="I15813">
        <f>IF(DATOS!$I15813="","",IFERROR(VLOOKUP(DATOS!$I15813,CONFIG_ASIGNATURAS!$B$2:$J$91,9,FALSE()),""))</f>
      </c>
    </row>
    <row r="15814">
      <c r="F15814">
        <f>IF(DATOS!$A15814="","",DATOS!$A15814&amp;"|"&amp;DATOS!$D15814&amp;"|"&amp;DATOS!$E15814&amp;"|"&amp;DATOS!$I15814)</f>
      </c>
      <c r="G15814">
        <f>IF(DATOS!$A15814="",0,IF(CONFIG_METADATA!$B$4&lt;&gt;"OR+EX",--(DATOS!$G15814=CONFIG_METADATA!$B$4),IF(DATOS!$G15814="EX",1,IF(DATOS!$G15814="OR",--(COUNTIFS(nNIA,DATOS!$A15814,nCURSO,DATOS!$D15814,nESPEC,DATOS!$E15814,nASIG,DATOS!$I15814,nEVAL,"EX")=0),0))))</f>
      </c>
      <c r="H15814">
        <f>IF(DATOS!$G15814&lt;&gt;"EX",0,--(COUNTIFS(nNIA,DATOS!$A15814,nCURSO,DATOS!$D15814,nESPEC,DATOS!$E15814,nASIG,DATOS!$I15814,nEVAL,"OR")=0))</f>
      </c>
      <c r="I15814">
        <f>IF(DATOS!$I15814="","",IFERROR(VLOOKUP(DATOS!$I15814,CONFIG_ASIGNATURAS!$B$2:$J$91,9,FALSE()),""))</f>
      </c>
    </row>
    <row r="15815">
      <c r="F15815">
        <f>IF(DATOS!$A15815="","",DATOS!$A15815&amp;"|"&amp;DATOS!$D15815&amp;"|"&amp;DATOS!$E15815&amp;"|"&amp;DATOS!$I15815)</f>
      </c>
      <c r="G15815">
        <f>IF(DATOS!$A15815="",0,IF(CONFIG_METADATA!$B$4&lt;&gt;"OR+EX",--(DATOS!$G15815=CONFIG_METADATA!$B$4),IF(DATOS!$G15815="EX",1,IF(DATOS!$G15815="OR",--(COUNTIFS(nNIA,DATOS!$A15815,nCURSO,DATOS!$D15815,nESPEC,DATOS!$E15815,nASIG,DATOS!$I15815,nEVAL,"EX")=0),0))))</f>
      </c>
      <c r="H15815">
        <f>IF(DATOS!$G15815&lt;&gt;"EX",0,--(COUNTIFS(nNIA,DATOS!$A15815,nCURSO,DATOS!$D15815,nESPEC,DATOS!$E15815,nASIG,DATOS!$I15815,nEVAL,"OR")=0))</f>
      </c>
      <c r="I15815">
        <f>IF(DATOS!$I15815="","",IFERROR(VLOOKUP(DATOS!$I15815,CONFIG_ASIGNATURAS!$B$2:$J$91,9,FALSE()),""))</f>
      </c>
    </row>
    <row r="15816">
      <c r="F15816">
        <f>IF(DATOS!$A15816="","",DATOS!$A15816&amp;"|"&amp;DATOS!$D15816&amp;"|"&amp;DATOS!$E15816&amp;"|"&amp;DATOS!$I15816)</f>
      </c>
      <c r="G15816">
        <f>IF(DATOS!$A15816="",0,IF(CONFIG_METADATA!$B$4&lt;&gt;"OR+EX",--(DATOS!$G15816=CONFIG_METADATA!$B$4),IF(DATOS!$G15816="EX",1,IF(DATOS!$G15816="OR",--(COUNTIFS(nNIA,DATOS!$A15816,nCURSO,DATOS!$D15816,nESPEC,DATOS!$E15816,nASIG,DATOS!$I15816,nEVAL,"EX")=0),0))))</f>
      </c>
      <c r="H15816">
        <f>IF(DATOS!$G15816&lt;&gt;"EX",0,--(COUNTIFS(nNIA,DATOS!$A15816,nCURSO,DATOS!$D15816,nESPEC,DATOS!$E15816,nASIG,DATOS!$I15816,nEVAL,"OR")=0))</f>
      </c>
      <c r="I15816">
        <f>IF(DATOS!$I15816="","",IFERROR(VLOOKUP(DATOS!$I15816,CONFIG_ASIGNATURAS!$B$2:$J$91,9,FALSE()),""))</f>
      </c>
    </row>
    <row r="15817">
      <c r="F15817">
        <f>IF(DATOS!$A15817="","",DATOS!$A15817&amp;"|"&amp;DATOS!$D15817&amp;"|"&amp;DATOS!$E15817&amp;"|"&amp;DATOS!$I15817)</f>
      </c>
      <c r="G15817">
        <f>IF(DATOS!$A15817="",0,IF(CONFIG_METADATA!$B$4&lt;&gt;"OR+EX",--(DATOS!$G15817=CONFIG_METADATA!$B$4),IF(DATOS!$G15817="EX",1,IF(DATOS!$G15817="OR",--(COUNTIFS(nNIA,DATOS!$A15817,nCURSO,DATOS!$D15817,nESPEC,DATOS!$E15817,nASIG,DATOS!$I15817,nEVAL,"EX")=0),0))))</f>
      </c>
      <c r="H15817">
        <f>IF(DATOS!$G15817&lt;&gt;"EX",0,--(COUNTIFS(nNIA,DATOS!$A15817,nCURSO,DATOS!$D15817,nESPEC,DATOS!$E15817,nASIG,DATOS!$I15817,nEVAL,"OR")=0))</f>
      </c>
      <c r="I15817">
        <f>IF(DATOS!$I15817="","",IFERROR(VLOOKUP(DATOS!$I15817,CONFIG_ASIGNATURAS!$B$2:$J$91,9,FALSE()),""))</f>
      </c>
    </row>
    <row r="15818">
      <c r="F15818">
        <f>IF(DATOS!$A15818="","",DATOS!$A15818&amp;"|"&amp;DATOS!$D15818&amp;"|"&amp;DATOS!$E15818&amp;"|"&amp;DATOS!$I15818)</f>
      </c>
      <c r="G15818">
        <f>IF(DATOS!$A15818="",0,IF(CONFIG_METADATA!$B$4&lt;&gt;"OR+EX",--(DATOS!$G15818=CONFIG_METADATA!$B$4),IF(DATOS!$G15818="EX",1,IF(DATOS!$G15818="OR",--(COUNTIFS(nNIA,DATOS!$A15818,nCURSO,DATOS!$D15818,nESPEC,DATOS!$E15818,nASIG,DATOS!$I15818,nEVAL,"EX")=0),0))))</f>
      </c>
      <c r="H15818">
        <f>IF(DATOS!$G15818&lt;&gt;"EX",0,--(COUNTIFS(nNIA,DATOS!$A15818,nCURSO,DATOS!$D15818,nESPEC,DATOS!$E15818,nASIG,DATOS!$I15818,nEVAL,"OR")=0))</f>
      </c>
      <c r="I15818">
        <f>IF(DATOS!$I15818="","",IFERROR(VLOOKUP(DATOS!$I15818,CONFIG_ASIGNATURAS!$B$2:$J$91,9,FALSE()),""))</f>
      </c>
    </row>
    <row r="15819">
      <c r="F15819">
        <f>IF(DATOS!$A15819="","",DATOS!$A15819&amp;"|"&amp;DATOS!$D15819&amp;"|"&amp;DATOS!$E15819&amp;"|"&amp;DATOS!$I15819)</f>
      </c>
      <c r="G15819">
        <f>IF(DATOS!$A15819="",0,IF(CONFIG_METADATA!$B$4&lt;&gt;"OR+EX",--(DATOS!$G15819=CONFIG_METADATA!$B$4),IF(DATOS!$G15819="EX",1,IF(DATOS!$G15819="OR",--(COUNTIFS(nNIA,DATOS!$A15819,nCURSO,DATOS!$D15819,nESPEC,DATOS!$E15819,nASIG,DATOS!$I15819,nEVAL,"EX")=0),0))))</f>
      </c>
      <c r="H15819">
        <f>IF(DATOS!$G15819&lt;&gt;"EX",0,--(COUNTIFS(nNIA,DATOS!$A15819,nCURSO,DATOS!$D15819,nESPEC,DATOS!$E15819,nASIG,DATOS!$I15819,nEVAL,"OR")=0))</f>
      </c>
      <c r="I15819">
        <f>IF(DATOS!$I15819="","",IFERROR(VLOOKUP(DATOS!$I15819,CONFIG_ASIGNATURAS!$B$2:$J$91,9,FALSE()),""))</f>
      </c>
    </row>
    <row r="15820">
      <c r="F15820">
        <f>IF(DATOS!$A15820="","",DATOS!$A15820&amp;"|"&amp;DATOS!$D15820&amp;"|"&amp;DATOS!$E15820&amp;"|"&amp;DATOS!$I15820)</f>
      </c>
      <c r="G15820">
        <f>IF(DATOS!$A15820="",0,IF(CONFIG_METADATA!$B$4&lt;&gt;"OR+EX",--(DATOS!$G15820=CONFIG_METADATA!$B$4),IF(DATOS!$G15820="EX",1,IF(DATOS!$G15820="OR",--(COUNTIFS(nNIA,DATOS!$A15820,nCURSO,DATOS!$D15820,nESPEC,DATOS!$E15820,nASIG,DATOS!$I15820,nEVAL,"EX")=0),0))))</f>
      </c>
      <c r="H15820">
        <f>IF(DATOS!$G15820&lt;&gt;"EX",0,--(COUNTIFS(nNIA,DATOS!$A15820,nCURSO,DATOS!$D15820,nESPEC,DATOS!$E15820,nASIG,DATOS!$I15820,nEVAL,"OR")=0))</f>
      </c>
      <c r="I15820">
        <f>IF(DATOS!$I15820="","",IFERROR(VLOOKUP(DATOS!$I15820,CONFIG_ASIGNATURAS!$B$2:$J$91,9,FALSE()),""))</f>
      </c>
    </row>
    <row r="15821">
      <c r="F15821">
        <f>IF(DATOS!$A15821="","",DATOS!$A15821&amp;"|"&amp;DATOS!$D15821&amp;"|"&amp;DATOS!$E15821&amp;"|"&amp;DATOS!$I15821)</f>
      </c>
      <c r="G15821">
        <f>IF(DATOS!$A15821="",0,IF(CONFIG_METADATA!$B$4&lt;&gt;"OR+EX",--(DATOS!$G15821=CONFIG_METADATA!$B$4),IF(DATOS!$G15821="EX",1,IF(DATOS!$G15821="OR",--(COUNTIFS(nNIA,DATOS!$A15821,nCURSO,DATOS!$D15821,nESPEC,DATOS!$E15821,nASIG,DATOS!$I15821,nEVAL,"EX")=0),0))))</f>
      </c>
      <c r="H15821">
        <f>IF(DATOS!$G15821&lt;&gt;"EX",0,--(COUNTIFS(nNIA,DATOS!$A15821,nCURSO,DATOS!$D15821,nESPEC,DATOS!$E15821,nASIG,DATOS!$I15821,nEVAL,"OR")=0))</f>
      </c>
      <c r="I15821">
        <f>IF(DATOS!$I15821="","",IFERROR(VLOOKUP(DATOS!$I15821,CONFIG_ASIGNATURAS!$B$2:$J$91,9,FALSE()),""))</f>
      </c>
    </row>
    <row r="15822">
      <c r="F15822">
        <f>IF(DATOS!$A15822="","",DATOS!$A15822&amp;"|"&amp;DATOS!$D15822&amp;"|"&amp;DATOS!$E15822&amp;"|"&amp;DATOS!$I15822)</f>
      </c>
      <c r="G15822">
        <f>IF(DATOS!$A15822="",0,IF(CONFIG_METADATA!$B$4&lt;&gt;"OR+EX",--(DATOS!$G15822=CONFIG_METADATA!$B$4),IF(DATOS!$G15822="EX",1,IF(DATOS!$G15822="OR",--(COUNTIFS(nNIA,DATOS!$A15822,nCURSO,DATOS!$D15822,nESPEC,DATOS!$E15822,nASIG,DATOS!$I15822,nEVAL,"EX")=0),0))))</f>
      </c>
      <c r="H15822">
        <f>IF(DATOS!$G15822&lt;&gt;"EX",0,--(COUNTIFS(nNIA,DATOS!$A15822,nCURSO,DATOS!$D15822,nESPEC,DATOS!$E15822,nASIG,DATOS!$I15822,nEVAL,"OR")=0))</f>
      </c>
      <c r="I15822">
        <f>IF(DATOS!$I15822="","",IFERROR(VLOOKUP(DATOS!$I15822,CONFIG_ASIGNATURAS!$B$2:$J$91,9,FALSE()),""))</f>
      </c>
    </row>
    <row r="15823">
      <c r="F15823">
        <f>IF(DATOS!$A15823="","",DATOS!$A15823&amp;"|"&amp;DATOS!$D15823&amp;"|"&amp;DATOS!$E15823&amp;"|"&amp;DATOS!$I15823)</f>
      </c>
      <c r="G15823">
        <f>IF(DATOS!$A15823="",0,IF(CONFIG_METADATA!$B$4&lt;&gt;"OR+EX",--(DATOS!$G15823=CONFIG_METADATA!$B$4),IF(DATOS!$G15823="EX",1,IF(DATOS!$G15823="OR",--(COUNTIFS(nNIA,DATOS!$A15823,nCURSO,DATOS!$D15823,nESPEC,DATOS!$E15823,nASIG,DATOS!$I15823,nEVAL,"EX")=0),0))))</f>
      </c>
      <c r="H15823">
        <f>IF(DATOS!$G15823&lt;&gt;"EX",0,--(COUNTIFS(nNIA,DATOS!$A15823,nCURSO,DATOS!$D15823,nESPEC,DATOS!$E15823,nASIG,DATOS!$I15823,nEVAL,"OR")=0))</f>
      </c>
      <c r="I15823">
        <f>IF(DATOS!$I15823="","",IFERROR(VLOOKUP(DATOS!$I15823,CONFIG_ASIGNATURAS!$B$2:$J$91,9,FALSE()),""))</f>
      </c>
    </row>
    <row r="15824">
      <c r="F15824">
        <f>IF(DATOS!$A15824="","",DATOS!$A15824&amp;"|"&amp;DATOS!$D15824&amp;"|"&amp;DATOS!$E15824&amp;"|"&amp;DATOS!$I15824)</f>
      </c>
      <c r="G15824">
        <f>IF(DATOS!$A15824="",0,IF(CONFIG_METADATA!$B$4&lt;&gt;"OR+EX",--(DATOS!$G15824=CONFIG_METADATA!$B$4),IF(DATOS!$G15824="EX",1,IF(DATOS!$G15824="OR",--(COUNTIFS(nNIA,DATOS!$A15824,nCURSO,DATOS!$D15824,nESPEC,DATOS!$E15824,nASIG,DATOS!$I15824,nEVAL,"EX")=0),0))))</f>
      </c>
      <c r="H15824">
        <f>IF(DATOS!$G15824&lt;&gt;"EX",0,--(COUNTIFS(nNIA,DATOS!$A15824,nCURSO,DATOS!$D15824,nESPEC,DATOS!$E15824,nASIG,DATOS!$I15824,nEVAL,"OR")=0))</f>
      </c>
      <c r="I15824">
        <f>IF(DATOS!$I15824="","",IFERROR(VLOOKUP(DATOS!$I15824,CONFIG_ASIGNATURAS!$B$2:$J$91,9,FALSE()),""))</f>
      </c>
    </row>
    <row r="15825">
      <c r="F15825">
        <f>IF(DATOS!$A15825="","",DATOS!$A15825&amp;"|"&amp;DATOS!$D15825&amp;"|"&amp;DATOS!$E15825&amp;"|"&amp;DATOS!$I15825)</f>
      </c>
      <c r="G15825">
        <f>IF(DATOS!$A15825="",0,IF(CONFIG_METADATA!$B$4&lt;&gt;"OR+EX",--(DATOS!$G15825=CONFIG_METADATA!$B$4),IF(DATOS!$G15825="EX",1,IF(DATOS!$G15825="OR",--(COUNTIFS(nNIA,DATOS!$A15825,nCURSO,DATOS!$D15825,nESPEC,DATOS!$E15825,nASIG,DATOS!$I15825,nEVAL,"EX")=0),0))))</f>
      </c>
      <c r="H15825">
        <f>IF(DATOS!$G15825&lt;&gt;"EX",0,--(COUNTIFS(nNIA,DATOS!$A15825,nCURSO,DATOS!$D15825,nESPEC,DATOS!$E15825,nASIG,DATOS!$I15825,nEVAL,"OR")=0))</f>
      </c>
      <c r="I15825">
        <f>IF(DATOS!$I15825="","",IFERROR(VLOOKUP(DATOS!$I15825,CONFIG_ASIGNATURAS!$B$2:$J$91,9,FALSE()),""))</f>
      </c>
    </row>
    <row r="15826">
      <c r="F15826">
        <f>IF(DATOS!$A15826="","",DATOS!$A15826&amp;"|"&amp;DATOS!$D15826&amp;"|"&amp;DATOS!$E15826&amp;"|"&amp;DATOS!$I15826)</f>
      </c>
      <c r="G15826">
        <f>IF(DATOS!$A15826="",0,IF(CONFIG_METADATA!$B$4&lt;&gt;"OR+EX",--(DATOS!$G15826=CONFIG_METADATA!$B$4),IF(DATOS!$G15826="EX",1,IF(DATOS!$G15826="OR",--(COUNTIFS(nNIA,DATOS!$A15826,nCURSO,DATOS!$D15826,nESPEC,DATOS!$E15826,nASIG,DATOS!$I15826,nEVAL,"EX")=0),0))))</f>
      </c>
      <c r="H15826">
        <f>IF(DATOS!$G15826&lt;&gt;"EX",0,--(COUNTIFS(nNIA,DATOS!$A15826,nCURSO,DATOS!$D15826,nESPEC,DATOS!$E15826,nASIG,DATOS!$I15826,nEVAL,"OR")=0))</f>
      </c>
      <c r="I15826">
        <f>IF(DATOS!$I15826="","",IFERROR(VLOOKUP(DATOS!$I15826,CONFIG_ASIGNATURAS!$B$2:$J$91,9,FALSE()),""))</f>
      </c>
    </row>
    <row r="15827">
      <c r="F15827">
        <f>IF(DATOS!$A15827="","",DATOS!$A15827&amp;"|"&amp;DATOS!$D15827&amp;"|"&amp;DATOS!$E15827&amp;"|"&amp;DATOS!$I15827)</f>
      </c>
      <c r="G15827">
        <f>IF(DATOS!$A15827="",0,IF(CONFIG_METADATA!$B$4&lt;&gt;"OR+EX",--(DATOS!$G15827=CONFIG_METADATA!$B$4),IF(DATOS!$G15827="EX",1,IF(DATOS!$G15827="OR",--(COUNTIFS(nNIA,DATOS!$A15827,nCURSO,DATOS!$D15827,nESPEC,DATOS!$E15827,nASIG,DATOS!$I15827,nEVAL,"EX")=0),0))))</f>
      </c>
      <c r="H15827">
        <f>IF(DATOS!$G15827&lt;&gt;"EX",0,--(COUNTIFS(nNIA,DATOS!$A15827,nCURSO,DATOS!$D15827,nESPEC,DATOS!$E15827,nASIG,DATOS!$I15827,nEVAL,"OR")=0))</f>
      </c>
      <c r="I15827">
        <f>IF(DATOS!$I15827="","",IFERROR(VLOOKUP(DATOS!$I15827,CONFIG_ASIGNATURAS!$B$2:$J$91,9,FALSE()),""))</f>
      </c>
    </row>
    <row r="15828">
      <c r="F15828">
        <f>IF(DATOS!$A15828="","",DATOS!$A15828&amp;"|"&amp;DATOS!$D15828&amp;"|"&amp;DATOS!$E15828&amp;"|"&amp;DATOS!$I15828)</f>
      </c>
      <c r="G15828">
        <f>IF(DATOS!$A15828="",0,IF(CONFIG_METADATA!$B$4&lt;&gt;"OR+EX",--(DATOS!$G15828=CONFIG_METADATA!$B$4),IF(DATOS!$G15828="EX",1,IF(DATOS!$G15828="OR",--(COUNTIFS(nNIA,DATOS!$A15828,nCURSO,DATOS!$D15828,nESPEC,DATOS!$E15828,nASIG,DATOS!$I15828,nEVAL,"EX")=0),0))))</f>
      </c>
      <c r="H15828">
        <f>IF(DATOS!$G15828&lt;&gt;"EX",0,--(COUNTIFS(nNIA,DATOS!$A15828,nCURSO,DATOS!$D15828,nESPEC,DATOS!$E15828,nASIG,DATOS!$I15828,nEVAL,"OR")=0))</f>
      </c>
      <c r="I15828">
        <f>IF(DATOS!$I15828="","",IFERROR(VLOOKUP(DATOS!$I15828,CONFIG_ASIGNATURAS!$B$2:$J$91,9,FALSE()),""))</f>
      </c>
    </row>
    <row r="15829">
      <c r="F15829">
        <f>IF(DATOS!$A15829="","",DATOS!$A15829&amp;"|"&amp;DATOS!$D15829&amp;"|"&amp;DATOS!$E15829&amp;"|"&amp;DATOS!$I15829)</f>
      </c>
      <c r="G15829">
        <f>IF(DATOS!$A15829="",0,IF(CONFIG_METADATA!$B$4&lt;&gt;"OR+EX",--(DATOS!$G15829=CONFIG_METADATA!$B$4),IF(DATOS!$G15829="EX",1,IF(DATOS!$G15829="OR",--(COUNTIFS(nNIA,DATOS!$A15829,nCURSO,DATOS!$D15829,nESPEC,DATOS!$E15829,nASIG,DATOS!$I15829,nEVAL,"EX")=0),0))))</f>
      </c>
      <c r="H15829">
        <f>IF(DATOS!$G15829&lt;&gt;"EX",0,--(COUNTIFS(nNIA,DATOS!$A15829,nCURSO,DATOS!$D15829,nESPEC,DATOS!$E15829,nASIG,DATOS!$I15829,nEVAL,"OR")=0))</f>
      </c>
      <c r="I15829">
        <f>IF(DATOS!$I15829="","",IFERROR(VLOOKUP(DATOS!$I15829,CONFIG_ASIGNATURAS!$B$2:$J$91,9,FALSE()),""))</f>
      </c>
    </row>
    <row r="15830">
      <c r="F15830">
        <f>IF(DATOS!$A15830="","",DATOS!$A15830&amp;"|"&amp;DATOS!$D15830&amp;"|"&amp;DATOS!$E15830&amp;"|"&amp;DATOS!$I15830)</f>
      </c>
      <c r="G15830">
        <f>IF(DATOS!$A15830="",0,IF(CONFIG_METADATA!$B$4&lt;&gt;"OR+EX",--(DATOS!$G15830=CONFIG_METADATA!$B$4),IF(DATOS!$G15830="EX",1,IF(DATOS!$G15830="OR",--(COUNTIFS(nNIA,DATOS!$A15830,nCURSO,DATOS!$D15830,nESPEC,DATOS!$E15830,nASIG,DATOS!$I15830,nEVAL,"EX")=0),0))))</f>
      </c>
      <c r="H15830">
        <f>IF(DATOS!$G15830&lt;&gt;"EX",0,--(COUNTIFS(nNIA,DATOS!$A15830,nCURSO,DATOS!$D15830,nESPEC,DATOS!$E15830,nASIG,DATOS!$I15830,nEVAL,"OR")=0))</f>
      </c>
      <c r="I15830">
        <f>IF(DATOS!$I15830="","",IFERROR(VLOOKUP(DATOS!$I15830,CONFIG_ASIGNATURAS!$B$2:$J$91,9,FALSE()),""))</f>
      </c>
    </row>
    <row r="15831">
      <c r="F15831">
        <f>IF(DATOS!$A15831="","",DATOS!$A15831&amp;"|"&amp;DATOS!$D15831&amp;"|"&amp;DATOS!$E15831&amp;"|"&amp;DATOS!$I15831)</f>
      </c>
      <c r="G15831">
        <f>IF(DATOS!$A15831="",0,IF(CONFIG_METADATA!$B$4&lt;&gt;"OR+EX",--(DATOS!$G15831=CONFIG_METADATA!$B$4),IF(DATOS!$G15831="EX",1,IF(DATOS!$G15831="OR",--(COUNTIFS(nNIA,DATOS!$A15831,nCURSO,DATOS!$D15831,nESPEC,DATOS!$E15831,nASIG,DATOS!$I15831,nEVAL,"EX")=0),0))))</f>
      </c>
      <c r="H15831">
        <f>IF(DATOS!$G15831&lt;&gt;"EX",0,--(COUNTIFS(nNIA,DATOS!$A15831,nCURSO,DATOS!$D15831,nESPEC,DATOS!$E15831,nASIG,DATOS!$I15831,nEVAL,"OR")=0))</f>
      </c>
      <c r="I15831">
        <f>IF(DATOS!$I15831="","",IFERROR(VLOOKUP(DATOS!$I15831,CONFIG_ASIGNATURAS!$B$2:$J$91,9,FALSE()),""))</f>
      </c>
    </row>
    <row r="15832">
      <c r="F15832">
        <f>IF(DATOS!$A15832="","",DATOS!$A15832&amp;"|"&amp;DATOS!$D15832&amp;"|"&amp;DATOS!$E15832&amp;"|"&amp;DATOS!$I15832)</f>
      </c>
      <c r="G15832">
        <f>IF(DATOS!$A15832="",0,IF(CONFIG_METADATA!$B$4&lt;&gt;"OR+EX",--(DATOS!$G15832=CONFIG_METADATA!$B$4),IF(DATOS!$G15832="EX",1,IF(DATOS!$G15832="OR",--(COUNTIFS(nNIA,DATOS!$A15832,nCURSO,DATOS!$D15832,nESPEC,DATOS!$E15832,nASIG,DATOS!$I15832,nEVAL,"EX")=0),0))))</f>
      </c>
      <c r="H15832">
        <f>IF(DATOS!$G15832&lt;&gt;"EX",0,--(COUNTIFS(nNIA,DATOS!$A15832,nCURSO,DATOS!$D15832,nESPEC,DATOS!$E15832,nASIG,DATOS!$I15832,nEVAL,"OR")=0))</f>
      </c>
      <c r="I15832">
        <f>IF(DATOS!$I15832="","",IFERROR(VLOOKUP(DATOS!$I15832,CONFIG_ASIGNATURAS!$B$2:$J$91,9,FALSE()),""))</f>
      </c>
    </row>
    <row r="15833">
      <c r="F15833">
        <f>IF(DATOS!$A15833="","",DATOS!$A15833&amp;"|"&amp;DATOS!$D15833&amp;"|"&amp;DATOS!$E15833&amp;"|"&amp;DATOS!$I15833)</f>
      </c>
      <c r="G15833">
        <f>IF(DATOS!$A15833="",0,IF(CONFIG_METADATA!$B$4&lt;&gt;"OR+EX",--(DATOS!$G15833=CONFIG_METADATA!$B$4),IF(DATOS!$G15833="EX",1,IF(DATOS!$G15833="OR",--(COUNTIFS(nNIA,DATOS!$A15833,nCURSO,DATOS!$D15833,nESPEC,DATOS!$E15833,nASIG,DATOS!$I15833,nEVAL,"EX")=0),0))))</f>
      </c>
      <c r="H15833">
        <f>IF(DATOS!$G15833&lt;&gt;"EX",0,--(COUNTIFS(nNIA,DATOS!$A15833,nCURSO,DATOS!$D15833,nESPEC,DATOS!$E15833,nASIG,DATOS!$I15833,nEVAL,"OR")=0))</f>
      </c>
      <c r="I15833">
        <f>IF(DATOS!$I15833="","",IFERROR(VLOOKUP(DATOS!$I15833,CONFIG_ASIGNATURAS!$B$2:$J$91,9,FALSE()),""))</f>
      </c>
    </row>
    <row r="15834">
      <c r="F15834">
        <f>IF(DATOS!$A15834="","",DATOS!$A15834&amp;"|"&amp;DATOS!$D15834&amp;"|"&amp;DATOS!$E15834&amp;"|"&amp;DATOS!$I15834)</f>
      </c>
      <c r="G15834">
        <f>IF(DATOS!$A15834="",0,IF(CONFIG_METADATA!$B$4&lt;&gt;"OR+EX",--(DATOS!$G15834=CONFIG_METADATA!$B$4),IF(DATOS!$G15834="EX",1,IF(DATOS!$G15834="OR",--(COUNTIFS(nNIA,DATOS!$A15834,nCURSO,DATOS!$D15834,nESPEC,DATOS!$E15834,nASIG,DATOS!$I15834,nEVAL,"EX")=0),0))))</f>
      </c>
      <c r="H15834">
        <f>IF(DATOS!$G15834&lt;&gt;"EX",0,--(COUNTIFS(nNIA,DATOS!$A15834,nCURSO,DATOS!$D15834,nESPEC,DATOS!$E15834,nASIG,DATOS!$I15834,nEVAL,"OR")=0))</f>
      </c>
      <c r="I15834">
        <f>IF(DATOS!$I15834="","",IFERROR(VLOOKUP(DATOS!$I15834,CONFIG_ASIGNATURAS!$B$2:$J$91,9,FALSE()),""))</f>
      </c>
    </row>
    <row r="15835">
      <c r="F15835">
        <f>IF(DATOS!$A15835="","",DATOS!$A15835&amp;"|"&amp;DATOS!$D15835&amp;"|"&amp;DATOS!$E15835&amp;"|"&amp;DATOS!$I15835)</f>
      </c>
      <c r="G15835">
        <f>IF(DATOS!$A15835="",0,IF(CONFIG_METADATA!$B$4&lt;&gt;"OR+EX",--(DATOS!$G15835=CONFIG_METADATA!$B$4),IF(DATOS!$G15835="EX",1,IF(DATOS!$G15835="OR",--(COUNTIFS(nNIA,DATOS!$A15835,nCURSO,DATOS!$D15835,nESPEC,DATOS!$E15835,nASIG,DATOS!$I15835,nEVAL,"EX")=0),0))))</f>
      </c>
      <c r="H15835">
        <f>IF(DATOS!$G15835&lt;&gt;"EX",0,--(COUNTIFS(nNIA,DATOS!$A15835,nCURSO,DATOS!$D15835,nESPEC,DATOS!$E15835,nASIG,DATOS!$I15835,nEVAL,"OR")=0))</f>
      </c>
      <c r="I15835">
        <f>IF(DATOS!$I15835="","",IFERROR(VLOOKUP(DATOS!$I15835,CONFIG_ASIGNATURAS!$B$2:$J$91,9,FALSE()),""))</f>
      </c>
    </row>
    <row r="15836">
      <c r="F15836">
        <f>IF(DATOS!$A15836="","",DATOS!$A15836&amp;"|"&amp;DATOS!$D15836&amp;"|"&amp;DATOS!$E15836&amp;"|"&amp;DATOS!$I15836)</f>
      </c>
      <c r="G15836">
        <f>IF(DATOS!$A15836="",0,IF(CONFIG_METADATA!$B$4&lt;&gt;"OR+EX",--(DATOS!$G15836=CONFIG_METADATA!$B$4),IF(DATOS!$G15836="EX",1,IF(DATOS!$G15836="OR",--(COUNTIFS(nNIA,DATOS!$A15836,nCURSO,DATOS!$D15836,nESPEC,DATOS!$E15836,nASIG,DATOS!$I15836,nEVAL,"EX")=0),0))))</f>
      </c>
      <c r="H15836">
        <f>IF(DATOS!$G15836&lt;&gt;"EX",0,--(COUNTIFS(nNIA,DATOS!$A15836,nCURSO,DATOS!$D15836,nESPEC,DATOS!$E15836,nASIG,DATOS!$I15836,nEVAL,"OR")=0))</f>
      </c>
      <c r="I15836">
        <f>IF(DATOS!$I15836="","",IFERROR(VLOOKUP(DATOS!$I15836,CONFIG_ASIGNATURAS!$B$2:$J$91,9,FALSE()),""))</f>
      </c>
    </row>
    <row r="15837">
      <c r="F15837">
        <f>IF(DATOS!$A15837="","",DATOS!$A15837&amp;"|"&amp;DATOS!$D15837&amp;"|"&amp;DATOS!$E15837&amp;"|"&amp;DATOS!$I15837)</f>
      </c>
      <c r="G15837">
        <f>IF(DATOS!$A15837="",0,IF(CONFIG_METADATA!$B$4&lt;&gt;"OR+EX",--(DATOS!$G15837=CONFIG_METADATA!$B$4),IF(DATOS!$G15837="EX",1,IF(DATOS!$G15837="OR",--(COUNTIFS(nNIA,DATOS!$A15837,nCURSO,DATOS!$D15837,nESPEC,DATOS!$E15837,nASIG,DATOS!$I15837,nEVAL,"EX")=0),0))))</f>
      </c>
      <c r="H15837">
        <f>IF(DATOS!$G15837&lt;&gt;"EX",0,--(COUNTIFS(nNIA,DATOS!$A15837,nCURSO,DATOS!$D15837,nESPEC,DATOS!$E15837,nASIG,DATOS!$I15837,nEVAL,"OR")=0))</f>
      </c>
      <c r="I15837">
        <f>IF(DATOS!$I15837="","",IFERROR(VLOOKUP(DATOS!$I15837,CONFIG_ASIGNATURAS!$B$2:$J$91,9,FALSE()),""))</f>
      </c>
    </row>
    <row r="15838">
      <c r="F15838">
        <f>IF(DATOS!$A15838="","",DATOS!$A15838&amp;"|"&amp;DATOS!$D15838&amp;"|"&amp;DATOS!$E15838&amp;"|"&amp;DATOS!$I15838)</f>
      </c>
      <c r="G15838">
        <f>IF(DATOS!$A15838="",0,IF(CONFIG_METADATA!$B$4&lt;&gt;"OR+EX",--(DATOS!$G15838=CONFIG_METADATA!$B$4),IF(DATOS!$G15838="EX",1,IF(DATOS!$G15838="OR",--(COUNTIFS(nNIA,DATOS!$A15838,nCURSO,DATOS!$D15838,nESPEC,DATOS!$E15838,nASIG,DATOS!$I15838,nEVAL,"EX")=0),0))))</f>
      </c>
      <c r="H15838">
        <f>IF(DATOS!$G15838&lt;&gt;"EX",0,--(COUNTIFS(nNIA,DATOS!$A15838,nCURSO,DATOS!$D15838,nESPEC,DATOS!$E15838,nASIG,DATOS!$I15838,nEVAL,"OR")=0))</f>
      </c>
      <c r="I15838">
        <f>IF(DATOS!$I15838="","",IFERROR(VLOOKUP(DATOS!$I15838,CONFIG_ASIGNATURAS!$B$2:$J$91,9,FALSE()),""))</f>
      </c>
    </row>
    <row r="15839">
      <c r="F15839">
        <f>IF(DATOS!$A15839="","",DATOS!$A15839&amp;"|"&amp;DATOS!$D15839&amp;"|"&amp;DATOS!$E15839&amp;"|"&amp;DATOS!$I15839)</f>
      </c>
      <c r="G15839">
        <f>IF(DATOS!$A15839="",0,IF(CONFIG_METADATA!$B$4&lt;&gt;"OR+EX",--(DATOS!$G15839=CONFIG_METADATA!$B$4),IF(DATOS!$G15839="EX",1,IF(DATOS!$G15839="OR",--(COUNTIFS(nNIA,DATOS!$A15839,nCURSO,DATOS!$D15839,nESPEC,DATOS!$E15839,nASIG,DATOS!$I15839,nEVAL,"EX")=0),0))))</f>
      </c>
      <c r="H15839">
        <f>IF(DATOS!$G15839&lt;&gt;"EX",0,--(COUNTIFS(nNIA,DATOS!$A15839,nCURSO,DATOS!$D15839,nESPEC,DATOS!$E15839,nASIG,DATOS!$I15839,nEVAL,"OR")=0))</f>
      </c>
      <c r="I15839">
        <f>IF(DATOS!$I15839="","",IFERROR(VLOOKUP(DATOS!$I15839,CONFIG_ASIGNATURAS!$B$2:$J$91,9,FALSE()),""))</f>
      </c>
    </row>
    <row r="15840">
      <c r="F15840">
        <f>IF(DATOS!$A15840="","",DATOS!$A15840&amp;"|"&amp;DATOS!$D15840&amp;"|"&amp;DATOS!$E15840&amp;"|"&amp;DATOS!$I15840)</f>
      </c>
      <c r="G15840">
        <f>IF(DATOS!$A15840="",0,IF(CONFIG_METADATA!$B$4&lt;&gt;"OR+EX",--(DATOS!$G15840=CONFIG_METADATA!$B$4),IF(DATOS!$G15840="EX",1,IF(DATOS!$G15840="OR",--(COUNTIFS(nNIA,DATOS!$A15840,nCURSO,DATOS!$D15840,nESPEC,DATOS!$E15840,nASIG,DATOS!$I15840,nEVAL,"EX")=0),0))))</f>
      </c>
      <c r="H15840">
        <f>IF(DATOS!$G15840&lt;&gt;"EX",0,--(COUNTIFS(nNIA,DATOS!$A15840,nCURSO,DATOS!$D15840,nESPEC,DATOS!$E15840,nASIG,DATOS!$I15840,nEVAL,"OR")=0))</f>
      </c>
      <c r="I15840">
        <f>IF(DATOS!$I15840="","",IFERROR(VLOOKUP(DATOS!$I15840,CONFIG_ASIGNATURAS!$B$2:$J$91,9,FALSE()),""))</f>
      </c>
    </row>
    <row r="15841">
      <c r="F15841">
        <f>IF(DATOS!$A15841="","",DATOS!$A15841&amp;"|"&amp;DATOS!$D15841&amp;"|"&amp;DATOS!$E15841&amp;"|"&amp;DATOS!$I15841)</f>
      </c>
      <c r="G15841">
        <f>IF(DATOS!$A15841="",0,IF(CONFIG_METADATA!$B$4&lt;&gt;"OR+EX",--(DATOS!$G15841=CONFIG_METADATA!$B$4),IF(DATOS!$G15841="EX",1,IF(DATOS!$G15841="OR",--(COUNTIFS(nNIA,DATOS!$A15841,nCURSO,DATOS!$D15841,nESPEC,DATOS!$E15841,nASIG,DATOS!$I15841,nEVAL,"EX")=0),0))))</f>
      </c>
      <c r="H15841">
        <f>IF(DATOS!$G15841&lt;&gt;"EX",0,--(COUNTIFS(nNIA,DATOS!$A15841,nCURSO,DATOS!$D15841,nESPEC,DATOS!$E15841,nASIG,DATOS!$I15841,nEVAL,"OR")=0))</f>
      </c>
      <c r="I15841">
        <f>IF(DATOS!$I15841="","",IFERROR(VLOOKUP(DATOS!$I15841,CONFIG_ASIGNATURAS!$B$2:$J$91,9,FALSE()),""))</f>
      </c>
    </row>
    <row r="15842">
      <c r="F15842">
        <f>IF(DATOS!$A15842="","",DATOS!$A15842&amp;"|"&amp;DATOS!$D15842&amp;"|"&amp;DATOS!$E15842&amp;"|"&amp;DATOS!$I15842)</f>
      </c>
      <c r="G15842">
        <f>IF(DATOS!$A15842="",0,IF(CONFIG_METADATA!$B$4&lt;&gt;"OR+EX",--(DATOS!$G15842=CONFIG_METADATA!$B$4),IF(DATOS!$G15842="EX",1,IF(DATOS!$G15842="OR",--(COUNTIFS(nNIA,DATOS!$A15842,nCURSO,DATOS!$D15842,nESPEC,DATOS!$E15842,nASIG,DATOS!$I15842,nEVAL,"EX")=0),0))))</f>
      </c>
      <c r="H15842">
        <f>IF(DATOS!$G15842&lt;&gt;"EX",0,--(COUNTIFS(nNIA,DATOS!$A15842,nCURSO,DATOS!$D15842,nESPEC,DATOS!$E15842,nASIG,DATOS!$I15842,nEVAL,"OR")=0))</f>
      </c>
      <c r="I15842">
        <f>IF(DATOS!$I15842="","",IFERROR(VLOOKUP(DATOS!$I15842,CONFIG_ASIGNATURAS!$B$2:$J$91,9,FALSE()),""))</f>
      </c>
    </row>
    <row r="15843">
      <c r="F15843">
        <f>IF(DATOS!$A15843="","",DATOS!$A15843&amp;"|"&amp;DATOS!$D15843&amp;"|"&amp;DATOS!$E15843&amp;"|"&amp;DATOS!$I15843)</f>
      </c>
      <c r="G15843">
        <f>IF(DATOS!$A15843="",0,IF(CONFIG_METADATA!$B$4&lt;&gt;"OR+EX",--(DATOS!$G15843=CONFIG_METADATA!$B$4),IF(DATOS!$G15843="EX",1,IF(DATOS!$G15843="OR",--(COUNTIFS(nNIA,DATOS!$A15843,nCURSO,DATOS!$D15843,nESPEC,DATOS!$E15843,nASIG,DATOS!$I15843,nEVAL,"EX")=0),0))))</f>
      </c>
      <c r="H15843">
        <f>IF(DATOS!$G15843&lt;&gt;"EX",0,--(COUNTIFS(nNIA,DATOS!$A15843,nCURSO,DATOS!$D15843,nESPEC,DATOS!$E15843,nASIG,DATOS!$I15843,nEVAL,"OR")=0))</f>
      </c>
      <c r="I15843">
        <f>IF(DATOS!$I15843="","",IFERROR(VLOOKUP(DATOS!$I15843,CONFIG_ASIGNATURAS!$B$2:$J$91,9,FALSE()),""))</f>
      </c>
    </row>
    <row r="15844">
      <c r="F15844">
        <f>IF(DATOS!$A15844="","",DATOS!$A15844&amp;"|"&amp;DATOS!$D15844&amp;"|"&amp;DATOS!$E15844&amp;"|"&amp;DATOS!$I15844)</f>
      </c>
      <c r="G15844">
        <f>IF(DATOS!$A15844="",0,IF(CONFIG_METADATA!$B$4&lt;&gt;"OR+EX",--(DATOS!$G15844=CONFIG_METADATA!$B$4),IF(DATOS!$G15844="EX",1,IF(DATOS!$G15844="OR",--(COUNTIFS(nNIA,DATOS!$A15844,nCURSO,DATOS!$D15844,nESPEC,DATOS!$E15844,nASIG,DATOS!$I15844,nEVAL,"EX")=0),0))))</f>
      </c>
      <c r="H15844">
        <f>IF(DATOS!$G15844&lt;&gt;"EX",0,--(COUNTIFS(nNIA,DATOS!$A15844,nCURSO,DATOS!$D15844,nESPEC,DATOS!$E15844,nASIG,DATOS!$I15844,nEVAL,"OR")=0))</f>
      </c>
      <c r="I15844">
        <f>IF(DATOS!$I15844="","",IFERROR(VLOOKUP(DATOS!$I15844,CONFIG_ASIGNATURAS!$B$2:$J$91,9,FALSE()),""))</f>
      </c>
    </row>
    <row r="15845">
      <c r="F15845">
        <f>IF(DATOS!$A15845="","",DATOS!$A15845&amp;"|"&amp;DATOS!$D15845&amp;"|"&amp;DATOS!$E15845&amp;"|"&amp;DATOS!$I15845)</f>
      </c>
      <c r="G15845">
        <f>IF(DATOS!$A15845="",0,IF(CONFIG_METADATA!$B$4&lt;&gt;"OR+EX",--(DATOS!$G15845=CONFIG_METADATA!$B$4),IF(DATOS!$G15845="EX",1,IF(DATOS!$G15845="OR",--(COUNTIFS(nNIA,DATOS!$A15845,nCURSO,DATOS!$D15845,nESPEC,DATOS!$E15845,nASIG,DATOS!$I15845,nEVAL,"EX")=0),0))))</f>
      </c>
      <c r="H15845">
        <f>IF(DATOS!$G15845&lt;&gt;"EX",0,--(COUNTIFS(nNIA,DATOS!$A15845,nCURSO,DATOS!$D15845,nESPEC,DATOS!$E15845,nASIG,DATOS!$I15845,nEVAL,"OR")=0))</f>
      </c>
      <c r="I15845">
        <f>IF(DATOS!$I15845="","",IFERROR(VLOOKUP(DATOS!$I15845,CONFIG_ASIGNATURAS!$B$2:$J$91,9,FALSE()),""))</f>
      </c>
    </row>
    <row r="15846">
      <c r="F15846">
        <f>IF(DATOS!$A15846="","",DATOS!$A15846&amp;"|"&amp;DATOS!$D15846&amp;"|"&amp;DATOS!$E15846&amp;"|"&amp;DATOS!$I15846)</f>
      </c>
      <c r="G15846">
        <f>IF(DATOS!$A15846="",0,IF(CONFIG_METADATA!$B$4&lt;&gt;"OR+EX",--(DATOS!$G15846=CONFIG_METADATA!$B$4),IF(DATOS!$G15846="EX",1,IF(DATOS!$G15846="OR",--(COUNTIFS(nNIA,DATOS!$A15846,nCURSO,DATOS!$D15846,nESPEC,DATOS!$E15846,nASIG,DATOS!$I15846,nEVAL,"EX")=0),0))))</f>
      </c>
      <c r="H15846">
        <f>IF(DATOS!$G15846&lt;&gt;"EX",0,--(COUNTIFS(nNIA,DATOS!$A15846,nCURSO,DATOS!$D15846,nESPEC,DATOS!$E15846,nASIG,DATOS!$I15846,nEVAL,"OR")=0))</f>
      </c>
      <c r="I15846">
        <f>IF(DATOS!$I15846="","",IFERROR(VLOOKUP(DATOS!$I15846,CONFIG_ASIGNATURAS!$B$2:$J$91,9,FALSE()),""))</f>
      </c>
    </row>
    <row r="15847">
      <c r="F15847">
        <f>IF(DATOS!$A15847="","",DATOS!$A15847&amp;"|"&amp;DATOS!$D15847&amp;"|"&amp;DATOS!$E15847&amp;"|"&amp;DATOS!$I15847)</f>
      </c>
      <c r="G15847">
        <f>IF(DATOS!$A15847="",0,IF(CONFIG_METADATA!$B$4&lt;&gt;"OR+EX",--(DATOS!$G15847=CONFIG_METADATA!$B$4),IF(DATOS!$G15847="EX",1,IF(DATOS!$G15847="OR",--(COUNTIFS(nNIA,DATOS!$A15847,nCURSO,DATOS!$D15847,nESPEC,DATOS!$E15847,nASIG,DATOS!$I15847,nEVAL,"EX")=0),0))))</f>
      </c>
      <c r="H15847">
        <f>IF(DATOS!$G15847&lt;&gt;"EX",0,--(COUNTIFS(nNIA,DATOS!$A15847,nCURSO,DATOS!$D15847,nESPEC,DATOS!$E15847,nASIG,DATOS!$I15847,nEVAL,"OR")=0))</f>
      </c>
      <c r="I15847">
        <f>IF(DATOS!$I15847="","",IFERROR(VLOOKUP(DATOS!$I15847,CONFIG_ASIGNATURAS!$B$2:$J$91,9,FALSE()),""))</f>
      </c>
    </row>
    <row r="15848">
      <c r="F15848">
        <f>IF(DATOS!$A15848="","",DATOS!$A15848&amp;"|"&amp;DATOS!$D15848&amp;"|"&amp;DATOS!$E15848&amp;"|"&amp;DATOS!$I15848)</f>
      </c>
      <c r="G15848">
        <f>IF(DATOS!$A15848="",0,IF(CONFIG_METADATA!$B$4&lt;&gt;"OR+EX",--(DATOS!$G15848=CONFIG_METADATA!$B$4),IF(DATOS!$G15848="EX",1,IF(DATOS!$G15848="OR",--(COUNTIFS(nNIA,DATOS!$A15848,nCURSO,DATOS!$D15848,nESPEC,DATOS!$E15848,nASIG,DATOS!$I15848,nEVAL,"EX")=0),0))))</f>
      </c>
      <c r="H15848">
        <f>IF(DATOS!$G15848&lt;&gt;"EX",0,--(COUNTIFS(nNIA,DATOS!$A15848,nCURSO,DATOS!$D15848,nESPEC,DATOS!$E15848,nASIG,DATOS!$I15848,nEVAL,"OR")=0))</f>
      </c>
      <c r="I15848">
        <f>IF(DATOS!$I15848="","",IFERROR(VLOOKUP(DATOS!$I15848,CONFIG_ASIGNATURAS!$B$2:$J$91,9,FALSE()),""))</f>
      </c>
    </row>
    <row r="15849">
      <c r="F15849">
        <f>IF(DATOS!$A15849="","",DATOS!$A15849&amp;"|"&amp;DATOS!$D15849&amp;"|"&amp;DATOS!$E15849&amp;"|"&amp;DATOS!$I15849)</f>
      </c>
      <c r="G15849">
        <f>IF(DATOS!$A15849="",0,IF(CONFIG_METADATA!$B$4&lt;&gt;"OR+EX",--(DATOS!$G15849=CONFIG_METADATA!$B$4),IF(DATOS!$G15849="EX",1,IF(DATOS!$G15849="OR",--(COUNTIFS(nNIA,DATOS!$A15849,nCURSO,DATOS!$D15849,nESPEC,DATOS!$E15849,nASIG,DATOS!$I15849,nEVAL,"EX")=0),0))))</f>
      </c>
      <c r="H15849">
        <f>IF(DATOS!$G15849&lt;&gt;"EX",0,--(COUNTIFS(nNIA,DATOS!$A15849,nCURSO,DATOS!$D15849,nESPEC,DATOS!$E15849,nASIG,DATOS!$I15849,nEVAL,"OR")=0))</f>
      </c>
      <c r="I15849">
        <f>IF(DATOS!$I15849="","",IFERROR(VLOOKUP(DATOS!$I15849,CONFIG_ASIGNATURAS!$B$2:$J$91,9,FALSE()),""))</f>
      </c>
    </row>
    <row r="15850">
      <c r="F15850">
        <f>IF(DATOS!$A15850="","",DATOS!$A15850&amp;"|"&amp;DATOS!$D15850&amp;"|"&amp;DATOS!$E15850&amp;"|"&amp;DATOS!$I15850)</f>
      </c>
      <c r="G15850">
        <f>IF(DATOS!$A15850="",0,IF(CONFIG_METADATA!$B$4&lt;&gt;"OR+EX",--(DATOS!$G15850=CONFIG_METADATA!$B$4),IF(DATOS!$G15850="EX",1,IF(DATOS!$G15850="OR",--(COUNTIFS(nNIA,DATOS!$A15850,nCURSO,DATOS!$D15850,nESPEC,DATOS!$E15850,nASIG,DATOS!$I15850,nEVAL,"EX")=0),0))))</f>
      </c>
      <c r="H15850">
        <f>IF(DATOS!$G15850&lt;&gt;"EX",0,--(COUNTIFS(nNIA,DATOS!$A15850,nCURSO,DATOS!$D15850,nESPEC,DATOS!$E15850,nASIG,DATOS!$I15850,nEVAL,"OR")=0))</f>
      </c>
      <c r="I15850">
        <f>IF(DATOS!$I15850="","",IFERROR(VLOOKUP(DATOS!$I15850,CONFIG_ASIGNATURAS!$B$2:$J$91,9,FALSE()),""))</f>
      </c>
    </row>
    <row r="15851">
      <c r="F15851">
        <f>IF(DATOS!$A15851="","",DATOS!$A15851&amp;"|"&amp;DATOS!$D15851&amp;"|"&amp;DATOS!$E15851&amp;"|"&amp;DATOS!$I15851)</f>
      </c>
      <c r="G15851">
        <f>IF(DATOS!$A15851="",0,IF(CONFIG_METADATA!$B$4&lt;&gt;"OR+EX",--(DATOS!$G15851=CONFIG_METADATA!$B$4),IF(DATOS!$G15851="EX",1,IF(DATOS!$G15851="OR",--(COUNTIFS(nNIA,DATOS!$A15851,nCURSO,DATOS!$D15851,nESPEC,DATOS!$E15851,nASIG,DATOS!$I15851,nEVAL,"EX")=0),0))))</f>
      </c>
      <c r="H15851">
        <f>IF(DATOS!$G15851&lt;&gt;"EX",0,--(COUNTIFS(nNIA,DATOS!$A15851,nCURSO,DATOS!$D15851,nESPEC,DATOS!$E15851,nASIG,DATOS!$I15851,nEVAL,"OR")=0))</f>
      </c>
      <c r="I15851">
        <f>IF(DATOS!$I15851="","",IFERROR(VLOOKUP(DATOS!$I15851,CONFIG_ASIGNATURAS!$B$2:$J$91,9,FALSE()),""))</f>
      </c>
    </row>
    <row r="15852">
      <c r="F15852">
        <f>IF(DATOS!$A15852="","",DATOS!$A15852&amp;"|"&amp;DATOS!$D15852&amp;"|"&amp;DATOS!$E15852&amp;"|"&amp;DATOS!$I15852)</f>
      </c>
      <c r="G15852">
        <f>IF(DATOS!$A15852="",0,IF(CONFIG_METADATA!$B$4&lt;&gt;"OR+EX",--(DATOS!$G15852=CONFIG_METADATA!$B$4),IF(DATOS!$G15852="EX",1,IF(DATOS!$G15852="OR",--(COUNTIFS(nNIA,DATOS!$A15852,nCURSO,DATOS!$D15852,nESPEC,DATOS!$E15852,nASIG,DATOS!$I15852,nEVAL,"EX")=0),0))))</f>
      </c>
      <c r="H15852">
        <f>IF(DATOS!$G15852&lt;&gt;"EX",0,--(COUNTIFS(nNIA,DATOS!$A15852,nCURSO,DATOS!$D15852,nESPEC,DATOS!$E15852,nASIG,DATOS!$I15852,nEVAL,"OR")=0))</f>
      </c>
      <c r="I15852">
        <f>IF(DATOS!$I15852="","",IFERROR(VLOOKUP(DATOS!$I15852,CONFIG_ASIGNATURAS!$B$2:$J$91,9,FALSE()),""))</f>
      </c>
    </row>
    <row r="15853">
      <c r="F15853">
        <f>IF(DATOS!$A15853="","",DATOS!$A15853&amp;"|"&amp;DATOS!$D15853&amp;"|"&amp;DATOS!$E15853&amp;"|"&amp;DATOS!$I15853)</f>
      </c>
      <c r="G15853">
        <f>IF(DATOS!$A15853="",0,IF(CONFIG_METADATA!$B$4&lt;&gt;"OR+EX",--(DATOS!$G15853=CONFIG_METADATA!$B$4),IF(DATOS!$G15853="EX",1,IF(DATOS!$G15853="OR",--(COUNTIFS(nNIA,DATOS!$A15853,nCURSO,DATOS!$D15853,nESPEC,DATOS!$E15853,nASIG,DATOS!$I15853,nEVAL,"EX")=0),0))))</f>
      </c>
      <c r="H15853">
        <f>IF(DATOS!$G15853&lt;&gt;"EX",0,--(COUNTIFS(nNIA,DATOS!$A15853,nCURSO,DATOS!$D15853,nESPEC,DATOS!$E15853,nASIG,DATOS!$I15853,nEVAL,"OR")=0))</f>
      </c>
      <c r="I15853">
        <f>IF(DATOS!$I15853="","",IFERROR(VLOOKUP(DATOS!$I15853,CONFIG_ASIGNATURAS!$B$2:$J$91,9,FALSE()),""))</f>
      </c>
    </row>
    <row r="15854">
      <c r="F15854">
        <f>IF(DATOS!$A15854="","",DATOS!$A15854&amp;"|"&amp;DATOS!$D15854&amp;"|"&amp;DATOS!$E15854&amp;"|"&amp;DATOS!$I15854)</f>
      </c>
      <c r="G15854">
        <f>IF(DATOS!$A15854="",0,IF(CONFIG_METADATA!$B$4&lt;&gt;"OR+EX",--(DATOS!$G15854=CONFIG_METADATA!$B$4),IF(DATOS!$G15854="EX",1,IF(DATOS!$G15854="OR",--(COUNTIFS(nNIA,DATOS!$A15854,nCURSO,DATOS!$D15854,nESPEC,DATOS!$E15854,nASIG,DATOS!$I15854,nEVAL,"EX")=0),0))))</f>
      </c>
      <c r="H15854">
        <f>IF(DATOS!$G15854&lt;&gt;"EX",0,--(COUNTIFS(nNIA,DATOS!$A15854,nCURSO,DATOS!$D15854,nESPEC,DATOS!$E15854,nASIG,DATOS!$I15854,nEVAL,"OR")=0))</f>
      </c>
      <c r="I15854">
        <f>IF(DATOS!$I15854="","",IFERROR(VLOOKUP(DATOS!$I15854,CONFIG_ASIGNATURAS!$B$2:$J$91,9,FALSE()),""))</f>
      </c>
    </row>
    <row r="15855">
      <c r="F15855">
        <f>IF(DATOS!$A15855="","",DATOS!$A15855&amp;"|"&amp;DATOS!$D15855&amp;"|"&amp;DATOS!$E15855&amp;"|"&amp;DATOS!$I15855)</f>
      </c>
      <c r="G15855">
        <f>IF(DATOS!$A15855="",0,IF(CONFIG_METADATA!$B$4&lt;&gt;"OR+EX",--(DATOS!$G15855=CONFIG_METADATA!$B$4),IF(DATOS!$G15855="EX",1,IF(DATOS!$G15855="OR",--(COUNTIFS(nNIA,DATOS!$A15855,nCURSO,DATOS!$D15855,nESPEC,DATOS!$E15855,nASIG,DATOS!$I15855,nEVAL,"EX")=0),0))))</f>
      </c>
      <c r="H15855">
        <f>IF(DATOS!$G15855&lt;&gt;"EX",0,--(COUNTIFS(nNIA,DATOS!$A15855,nCURSO,DATOS!$D15855,nESPEC,DATOS!$E15855,nASIG,DATOS!$I15855,nEVAL,"OR")=0))</f>
      </c>
      <c r="I15855">
        <f>IF(DATOS!$I15855="","",IFERROR(VLOOKUP(DATOS!$I15855,CONFIG_ASIGNATURAS!$B$2:$J$91,9,FALSE()),""))</f>
      </c>
    </row>
    <row r="15856">
      <c r="F15856">
        <f>IF(DATOS!$A15856="","",DATOS!$A15856&amp;"|"&amp;DATOS!$D15856&amp;"|"&amp;DATOS!$E15856&amp;"|"&amp;DATOS!$I15856)</f>
      </c>
      <c r="G15856">
        <f>IF(DATOS!$A15856="",0,IF(CONFIG_METADATA!$B$4&lt;&gt;"OR+EX",--(DATOS!$G15856=CONFIG_METADATA!$B$4),IF(DATOS!$G15856="EX",1,IF(DATOS!$G15856="OR",--(COUNTIFS(nNIA,DATOS!$A15856,nCURSO,DATOS!$D15856,nESPEC,DATOS!$E15856,nASIG,DATOS!$I15856,nEVAL,"EX")=0),0))))</f>
      </c>
      <c r="H15856">
        <f>IF(DATOS!$G15856&lt;&gt;"EX",0,--(COUNTIFS(nNIA,DATOS!$A15856,nCURSO,DATOS!$D15856,nESPEC,DATOS!$E15856,nASIG,DATOS!$I15856,nEVAL,"OR")=0))</f>
      </c>
      <c r="I15856">
        <f>IF(DATOS!$I15856="","",IFERROR(VLOOKUP(DATOS!$I15856,CONFIG_ASIGNATURAS!$B$2:$J$91,9,FALSE()),""))</f>
      </c>
    </row>
    <row r="15857">
      <c r="F15857">
        <f>IF(DATOS!$A15857="","",DATOS!$A15857&amp;"|"&amp;DATOS!$D15857&amp;"|"&amp;DATOS!$E15857&amp;"|"&amp;DATOS!$I15857)</f>
      </c>
      <c r="G15857">
        <f>IF(DATOS!$A15857="",0,IF(CONFIG_METADATA!$B$4&lt;&gt;"OR+EX",--(DATOS!$G15857=CONFIG_METADATA!$B$4),IF(DATOS!$G15857="EX",1,IF(DATOS!$G15857="OR",--(COUNTIFS(nNIA,DATOS!$A15857,nCURSO,DATOS!$D15857,nESPEC,DATOS!$E15857,nASIG,DATOS!$I15857,nEVAL,"EX")=0),0))))</f>
      </c>
      <c r="H15857">
        <f>IF(DATOS!$G15857&lt;&gt;"EX",0,--(COUNTIFS(nNIA,DATOS!$A15857,nCURSO,DATOS!$D15857,nESPEC,DATOS!$E15857,nASIG,DATOS!$I15857,nEVAL,"OR")=0))</f>
      </c>
      <c r="I15857">
        <f>IF(DATOS!$I15857="","",IFERROR(VLOOKUP(DATOS!$I15857,CONFIG_ASIGNATURAS!$B$2:$J$91,9,FALSE()),""))</f>
      </c>
    </row>
    <row r="15858">
      <c r="F15858">
        <f>IF(DATOS!$A15858="","",DATOS!$A15858&amp;"|"&amp;DATOS!$D15858&amp;"|"&amp;DATOS!$E15858&amp;"|"&amp;DATOS!$I15858)</f>
      </c>
      <c r="G15858">
        <f>IF(DATOS!$A15858="",0,IF(CONFIG_METADATA!$B$4&lt;&gt;"OR+EX",--(DATOS!$G15858=CONFIG_METADATA!$B$4),IF(DATOS!$G15858="EX",1,IF(DATOS!$G15858="OR",--(COUNTIFS(nNIA,DATOS!$A15858,nCURSO,DATOS!$D15858,nESPEC,DATOS!$E15858,nASIG,DATOS!$I15858,nEVAL,"EX")=0),0))))</f>
      </c>
      <c r="H15858">
        <f>IF(DATOS!$G15858&lt;&gt;"EX",0,--(COUNTIFS(nNIA,DATOS!$A15858,nCURSO,DATOS!$D15858,nESPEC,DATOS!$E15858,nASIG,DATOS!$I15858,nEVAL,"OR")=0))</f>
      </c>
      <c r="I15858">
        <f>IF(DATOS!$I15858="","",IFERROR(VLOOKUP(DATOS!$I15858,CONFIG_ASIGNATURAS!$B$2:$J$91,9,FALSE()),""))</f>
      </c>
    </row>
    <row r="15859">
      <c r="F15859">
        <f>IF(DATOS!$A15859="","",DATOS!$A15859&amp;"|"&amp;DATOS!$D15859&amp;"|"&amp;DATOS!$E15859&amp;"|"&amp;DATOS!$I15859)</f>
      </c>
      <c r="G15859">
        <f>IF(DATOS!$A15859="",0,IF(CONFIG_METADATA!$B$4&lt;&gt;"OR+EX",--(DATOS!$G15859=CONFIG_METADATA!$B$4),IF(DATOS!$G15859="EX",1,IF(DATOS!$G15859="OR",--(COUNTIFS(nNIA,DATOS!$A15859,nCURSO,DATOS!$D15859,nESPEC,DATOS!$E15859,nASIG,DATOS!$I15859,nEVAL,"EX")=0),0))))</f>
      </c>
      <c r="H15859">
        <f>IF(DATOS!$G15859&lt;&gt;"EX",0,--(COUNTIFS(nNIA,DATOS!$A15859,nCURSO,DATOS!$D15859,nESPEC,DATOS!$E15859,nASIG,DATOS!$I15859,nEVAL,"OR")=0))</f>
      </c>
      <c r="I15859">
        <f>IF(DATOS!$I15859="","",IFERROR(VLOOKUP(DATOS!$I15859,CONFIG_ASIGNATURAS!$B$2:$J$91,9,FALSE()),""))</f>
      </c>
    </row>
    <row r="15860">
      <c r="F15860">
        <f>IF(DATOS!$A15860="","",DATOS!$A15860&amp;"|"&amp;DATOS!$D15860&amp;"|"&amp;DATOS!$E15860&amp;"|"&amp;DATOS!$I15860)</f>
      </c>
      <c r="G15860">
        <f>IF(DATOS!$A15860="",0,IF(CONFIG_METADATA!$B$4&lt;&gt;"OR+EX",--(DATOS!$G15860=CONFIG_METADATA!$B$4),IF(DATOS!$G15860="EX",1,IF(DATOS!$G15860="OR",--(COUNTIFS(nNIA,DATOS!$A15860,nCURSO,DATOS!$D15860,nESPEC,DATOS!$E15860,nASIG,DATOS!$I15860,nEVAL,"EX")=0),0))))</f>
      </c>
      <c r="H15860">
        <f>IF(DATOS!$G15860&lt;&gt;"EX",0,--(COUNTIFS(nNIA,DATOS!$A15860,nCURSO,DATOS!$D15860,nESPEC,DATOS!$E15860,nASIG,DATOS!$I15860,nEVAL,"OR")=0))</f>
      </c>
      <c r="I15860">
        <f>IF(DATOS!$I15860="","",IFERROR(VLOOKUP(DATOS!$I15860,CONFIG_ASIGNATURAS!$B$2:$J$91,9,FALSE()),""))</f>
      </c>
    </row>
    <row r="15861">
      <c r="F15861">
        <f>IF(DATOS!$A15861="","",DATOS!$A15861&amp;"|"&amp;DATOS!$D15861&amp;"|"&amp;DATOS!$E15861&amp;"|"&amp;DATOS!$I15861)</f>
      </c>
      <c r="G15861">
        <f>IF(DATOS!$A15861="",0,IF(CONFIG_METADATA!$B$4&lt;&gt;"OR+EX",--(DATOS!$G15861=CONFIG_METADATA!$B$4),IF(DATOS!$G15861="EX",1,IF(DATOS!$G15861="OR",--(COUNTIFS(nNIA,DATOS!$A15861,nCURSO,DATOS!$D15861,nESPEC,DATOS!$E15861,nASIG,DATOS!$I15861,nEVAL,"EX")=0),0))))</f>
      </c>
      <c r="H15861">
        <f>IF(DATOS!$G15861&lt;&gt;"EX",0,--(COUNTIFS(nNIA,DATOS!$A15861,nCURSO,DATOS!$D15861,nESPEC,DATOS!$E15861,nASIG,DATOS!$I15861,nEVAL,"OR")=0))</f>
      </c>
      <c r="I15861">
        <f>IF(DATOS!$I15861="","",IFERROR(VLOOKUP(DATOS!$I15861,CONFIG_ASIGNATURAS!$B$2:$J$91,9,FALSE()),""))</f>
      </c>
    </row>
    <row r="15862">
      <c r="F15862">
        <f>IF(DATOS!$A15862="","",DATOS!$A15862&amp;"|"&amp;DATOS!$D15862&amp;"|"&amp;DATOS!$E15862&amp;"|"&amp;DATOS!$I15862)</f>
      </c>
      <c r="G15862">
        <f>IF(DATOS!$A15862="",0,IF(CONFIG_METADATA!$B$4&lt;&gt;"OR+EX",--(DATOS!$G15862=CONFIG_METADATA!$B$4),IF(DATOS!$G15862="EX",1,IF(DATOS!$G15862="OR",--(COUNTIFS(nNIA,DATOS!$A15862,nCURSO,DATOS!$D15862,nESPEC,DATOS!$E15862,nASIG,DATOS!$I15862,nEVAL,"EX")=0),0))))</f>
      </c>
      <c r="H15862">
        <f>IF(DATOS!$G15862&lt;&gt;"EX",0,--(COUNTIFS(nNIA,DATOS!$A15862,nCURSO,DATOS!$D15862,nESPEC,DATOS!$E15862,nASIG,DATOS!$I15862,nEVAL,"OR")=0))</f>
      </c>
      <c r="I15862">
        <f>IF(DATOS!$I15862="","",IFERROR(VLOOKUP(DATOS!$I15862,CONFIG_ASIGNATURAS!$B$2:$J$91,9,FALSE()),""))</f>
      </c>
    </row>
    <row r="15863">
      <c r="F15863">
        <f>IF(DATOS!$A15863="","",DATOS!$A15863&amp;"|"&amp;DATOS!$D15863&amp;"|"&amp;DATOS!$E15863&amp;"|"&amp;DATOS!$I15863)</f>
      </c>
      <c r="G15863">
        <f>IF(DATOS!$A15863="",0,IF(CONFIG_METADATA!$B$4&lt;&gt;"OR+EX",--(DATOS!$G15863=CONFIG_METADATA!$B$4),IF(DATOS!$G15863="EX",1,IF(DATOS!$G15863="OR",--(COUNTIFS(nNIA,DATOS!$A15863,nCURSO,DATOS!$D15863,nESPEC,DATOS!$E15863,nASIG,DATOS!$I15863,nEVAL,"EX")=0),0))))</f>
      </c>
      <c r="H15863">
        <f>IF(DATOS!$G15863&lt;&gt;"EX",0,--(COUNTIFS(nNIA,DATOS!$A15863,nCURSO,DATOS!$D15863,nESPEC,DATOS!$E15863,nASIG,DATOS!$I15863,nEVAL,"OR")=0))</f>
      </c>
      <c r="I15863">
        <f>IF(DATOS!$I15863="","",IFERROR(VLOOKUP(DATOS!$I15863,CONFIG_ASIGNATURAS!$B$2:$J$91,9,FALSE()),""))</f>
      </c>
    </row>
    <row r="15864">
      <c r="F15864">
        <f>IF(DATOS!$A15864="","",DATOS!$A15864&amp;"|"&amp;DATOS!$D15864&amp;"|"&amp;DATOS!$E15864&amp;"|"&amp;DATOS!$I15864)</f>
      </c>
      <c r="G15864">
        <f>IF(DATOS!$A15864="",0,IF(CONFIG_METADATA!$B$4&lt;&gt;"OR+EX",--(DATOS!$G15864=CONFIG_METADATA!$B$4),IF(DATOS!$G15864="EX",1,IF(DATOS!$G15864="OR",--(COUNTIFS(nNIA,DATOS!$A15864,nCURSO,DATOS!$D15864,nESPEC,DATOS!$E15864,nASIG,DATOS!$I15864,nEVAL,"EX")=0),0))))</f>
      </c>
      <c r="H15864">
        <f>IF(DATOS!$G15864&lt;&gt;"EX",0,--(COUNTIFS(nNIA,DATOS!$A15864,nCURSO,DATOS!$D15864,nESPEC,DATOS!$E15864,nASIG,DATOS!$I15864,nEVAL,"OR")=0))</f>
      </c>
      <c r="I15864">
        <f>IF(DATOS!$I15864="","",IFERROR(VLOOKUP(DATOS!$I15864,CONFIG_ASIGNATURAS!$B$2:$J$91,9,FALSE()),""))</f>
      </c>
    </row>
    <row r="15865">
      <c r="F15865">
        <f>IF(DATOS!$A15865="","",DATOS!$A15865&amp;"|"&amp;DATOS!$D15865&amp;"|"&amp;DATOS!$E15865&amp;"|"&amp;DATOS!$I15865)</f>
      </c>
      <c r="G15865">
        <f>IF(DATOS!$A15865="",0,IF(CONFIG_METADATA!$B$4&lt;&gt;"OR+EX",--(DATOS!$G15865=CONFIG_METADATA!$B$4),IF(DATOS!$G15865="EX",1,IF(DATOS!$G15865="OR",--(COUNTIFS(nNIA,DATOS!$A15865,nCURSO,DATOS!$D15865,nESPEC,DATOS!$E15865,nASIG,DATOS!$I15865,nEVAL,"EX")=0),0))))</f>
      </c>
      <c r="H15865">
        <f>IF(DATOS!$G15865&lt;&gt;"EX",0,--(COUNTIFS(nNIA,DATOS!$A15865,nCURSO,DATOS!$D15865,nESPEC,DATOS!$E15865,nASIG,DATOS!$I15865,nEVAL,"OR")=0))</f>
      </c>
      <c r="I15865">
        <f>IF(DATOS!$I15865="","",IFERROR(VLOOKUP(DATOS!$I15865,CONFIG_ASIGNATURAS!$B$2:$J$91,9,FALSE()),""))</f>
      </c>
    </row>
    <row r="15866">
      <c r="F15866">
        <f>IF(DATOS!$A15866="","",DATOS!$A15866&amp;"|"&amp;DATOS!$D15866&amp;"|"&amp;DATOS!$E15866&amp;"|"&amp;DATOS!$I15866)</f>
      </c>
      <c r="G15866">
        <f>IF(DATOS!$A15866="",0,IF(CONFIG_METADATA!$B$4&lt;&gt;"OR+EX",--(DATOS!$G15866=CONFIG_METADATA!$B$4),IF(DATOS!$G15866="EX",1,IF(DATOS!$G15866="OR",--(COUNTIFS(nNIA,DATOS!$A15866,nCURSO,DATOS!$D15866,nESPEC,DATOS!$E15866,nASIG,DATOS!$I15866,nEVAL,"EX")=0),0))))</f>
      </c>
      <c r="H15866">
        <f>IF(DATOS!$G15866&lt;&gt;"EX",0,--(COUNTIFS(nNIA,DATOS!$A15866,nCURSO,DATOS!$D15866,nESPEC,DATOS!$E15866,nASIG,DATOS!$I15866,nEVAL,"OR")=0))</f>
      </c>
      <c r="I15866">
        <f>IF(DATOS!$I15866="","",IFERROR(VLOOKUP(DATOS!$I15866,CONFIG_ASIGNATURAS!$B$2:$J$91,9,FALSE()),""))</f>
      </c>
    </row>
    <row r="15867">
      <c r="F15867">
        <f>IF(DATOS!$A15867="","",DATOS!$A15867&amp;"|"&amp;DATOS!$D15867&amp;"|"&amp;DATOS!$E15867&amp;"|"&amp;DATOS!$I15867)</f>
      </c>
      <c r="G15867">
        <f>IF(DATOS!$A15867="",0,IF(CONFIG_METADATA!$B$4&lt;&gt;"OR+EX",--(DATOS!$G15867=CONFIG_METADATA!$B$4),IF(DATOS!$G15867="EX",1,IF(DATOS!$G15867="OR",--(COUNTIFS(nNIA,DATOS!$A15867,nCURSO,DATOS!$D15867,nESPEC,DATOS!$E15867,nASIG,DATOS!$I15867,nEVAL,"EX")=0),0))))</f>
      </c>
      <c r="H15867">
        <f>IF(DATOS!$G15867&lt;&gt;"EX",0,--(COUNTIFS(nNIA,DATOS!$A15867,nCURSO,DATOS!$D15867,nESPEC,DATOS!$E15867,nASIG,DATOS!$I15867,nEVAL,"OR")=0))</f>
      </c>
      <c r="I15867">
        <f>IF(DATOS!$I15867="","",IFERROR(VLOOKUP(DATOS!$I15867,CONFIG_ASIGNATURAS!$B$2:$J$91,9,FALSE()),""))</f>
      </c>
    </row>
    <row r="15868">
      <c r="F15868">
        <f>IF(DATOS!$A15868="","",DATOS!$A15868&amp;"|"&amp;DATOS!$D15868&amp;"|"&amp;DATOS!$E15868&amp;"|"&amp;DATOS!$I15868)</f>
      </c>
      <c r="G15868">
        <f>IF(DATOS!$A15868="",0,IF(CONFIG_METADATA!$B$4&lt;&gt;"OR+EX",--(DATOS!$G15868=CONFIG_METADATA!$B$4),IF(DATOS!$G15868="EX",1,IF(DATOS!$G15868="OR",--(COUNTIFS(nNIA,DATOS!$A15868,nCURSO,DATOS!$D15868,nESPEC,DATOS!$E15868,nASIG,DATOS!$I15868,nEVAL,"EX")=0),0))))</f>
      </c>
      <c r="H15868">
        <f>IF(DATOS!$G15868&lt;&gt;"EX",0,--(COUNTIFS(nNIA,DATOS!$A15868,nCURSO,DATOS!$D15868,nESPEC,DATOS!$E15868,nASIG,DATOS!$I15868,nEVAL,"OR")=0))</f>
      </c>
      <c r="I15868">
        <f>IF(DATOS!$I15868="","",IFERROR(VLOOKUP(DATOS!$I15868,CONFIG_ASIGNATURAS!$B$2:$J$91,9,FALSE()),""))</f>
      </c>
    </row>
    <row r="15869">
      <c r="F15869">
        <f>IF(DATOS!$A15869="","",DATOS!$A15869&amp;"|"&amp;DATOS!$D15869&amp;"|"&amp;DATOS!$E15869&amp;"|"&amp;DATOS!$I15869)</f>
      </c>
      <c r="G15869">
        <f>IF(DATOS!$A15869="",0,IF(CONFIG_METADATA!$B$4&lt;&gt;"OR+EX",--(DATOS!$G15869=CONFIG_METADATA!$B$4),IF(DATOS!$G15869="EX",1,IF(DATOS!$G15869="OR",--(COUNTIFS(nNIA,DATOS!$A15869,nCURSO,DATOS!$D15869,nESPEC,DATOS!$E15869,nASIG,DATOS!$I15869,nEVAL,"EX")=0),0))))</f>
      </c>
      <c r="H15869">
        <f>IF(DATOS!$G15869&lt;&gt;"EX",0,--(COUNTIFS(nNIA,DATOS!$A15869,nCURSO,DATOS!$D15869,nESPEC,DATOS!$E15869,nASIG,DATOS!$I15869,nEVAL,"OR")=0))</f>
      </c>
      <c r="I15869">
        <f>IF(DATOS!$I15869="","",IFERROR(VLOOKUP(DATOS!$I15869,CONFIG_ASIGNATURAS!$B$2:$J$91,9,FALSE()),""))</f>
      </c>
    </row>
    <row r="15870">
      <c r="F15870">
        <f>IF(DATOS!$A15870="","",DATOS!$A15870&amp;"|"&amp;DATOS!$D15870&amp;"|"&amp;DATOS!$E15870&amp;"|"&amp;DATOS!$I15870)</f>
      </c>
      <c r="G15870">
        <f>IF(DATOS!$A15870="",0,IF(CONFIG_METADATA!$B$4&lt;&gt;"OR+EX",--(DATOS!$G15870=CONFIG_METADATA!$B$4),IF(DATOS!$G15870="EX",1,IF(DATOS!$G15870="OR",--(COUNTIFS(nNIA,DATOS!$A15870,nCURSO,DATOS!$D15870,nESPEC,DATOS!$E15870,nASIG,DATOS!$I15870,nEVAL,"EX")=0),0))))</f>
      </c>
      <c r="H15870">
        <f>IF(DATOS!$G15870&lt;&gt;"EX",0,--(COUNTIFS(nNIA,DATOS!$A15870,nCURSO,DATOS!$D15870,nESPEC,DATOS!$E15870,nASIG,DATOS!$I15870,nEVAL,"OR")=0))</f>
      </c>
      <c r="I15870">
        <f>IF(DATOS!$I15870="","",IFERROR(VLOOKUP(DATOS!$I15870,CONFIG_ASIGNATURAS!$B$2:$J$91,9,FALSE()),""))</f>
      </c>
    </row>
    <row r="15871">
      <c r="F15871">
        <f>IF(DATOS!$A15871="","",DATOS!$A15871&amp;"|"&amp;DATOS!$D15871&amp;"|"&amp;DATOS!$E15871&amp;"|"&amp;DATOS!$I15871)</f>
      </c>
      <c r="G15871">
        <f>IF(DATOS!$A15871="",0,IF(CONFIG_METADATA!$B$4&lt;&gt;"OR+EX",--(DATOS!$G15871=CONFIG_METADATA!$B$4),IF(DATOS!$G15871="EX",1,IF(DATOS!$G15871="OR",--(COUNTIFS(nNIA,DATOS!$A15871,nCURSO,DATOS!$D15871,nESPEC,DATOS!$E15871,nASIG,DATOS!$I15871,nEVAL,"EX")=0),0))))</f>
      </c>
      <c r="H15871">
        <f>IF(DATOS!$G15871&lt;&gt;"EX",0,--(COUNTIFS(nNIA,DATOS!$A15871,nCURSO,DATOS!$D15871,nESPEC,DATOS!$E15871,nASIG,DATOS!$I15871,nEVAL,"OR")=0))</f>
      </c>
      <c r="I15871">
        <f>IF(DATOS!$I15871="","",IFERROR(VLOOKUP(DATOS!$I15871,CONFIG_ASIGNATURAS!$B$2:$J$91,9,FALSE()),""))</f>
      </c>
    </row>
    <row r="15872">
      <c r="F15872">
        <f>IF(DATOS!$A15872="","",DATOS!$A15872&amp;"|"&amp;DATOS!$D15872&amp;"|"&amp;DATOS!$E15872&amp;"|"&amp;DATOS!$I15872)</f>
      </c>
      <c r="G15872">
        <f>IF(DATOS!$A15872="",0,IF(CONFIG_METADATA!$B$4&lt;&gt;"OR+EX",--(DATOS!$G15872=CONFIG_METADATA!$B$4),IF(DATOS!$G15872="EX",1,IF(DATOS!$G15872="OR",--(COUNTIFS(nNIA,DATOS!$A15872,nCURSO,DATOS!$D15872,nESPEC,DATOS!$E15872,nASIG,DATOS!$I15872,nEVAL,"EX")=0),0))))</f>
      </c>
      <c r="H15872">
        <f>IF(DATOS!$G15872&lt;&gt;"EX",0,--(COUNTIFS(nNIA,DATOS!$A15872,nCURSO,DATOS!$D15872,nESPEC,DATOS!$E15872,nASIG,DATOS!$I15872,nEVAL,"OR")=0))</f>
      </c>
      <c r="I15872">
        <f>IF(DATOS!$I15872="","",IFERROR(VLOOKUP(DATOS!$I15872,CONFIG_ASIGNATURAS!$B$2:$J$91,9,FALSE()),""))</f>
      </c>
    </row>
    <row r="15873">
      <c r="F15873">
        <f>IF(DATOS!$A15873="","",DATOS!$A15873&amp;"|"&amp;DATOS!$D15873&amp;"|"&amp;DATOS!$E15873&amp;"|"&amp;DATOS!$I15873)</f>
      </c>
      <c r="G15873">
        <f>IF(DATOS!$A15873="",0,IF(CONFIG_METADATA!$B$4&lt;&gt;"OR+EX",--(DATOS!$G15873=CONFIG_METADATA!$B$4),IF(DATOS!$G15873="EX",1,IF(DATOS!$G15873="OR",--(COUNTIFS(nNIA,DATOS!$A15873,nCURSO,DATOS!$D15873,nESPEC,DATOS!$E15873,nASIG,DATOS!$I15873,nEVAL,"EX")=0),0))))</f>
      </c>
      <c r="H15873">
        <f>IF(DATOS!$G15873&lt;&gt;"EX",0,--(COUNTIFS(nNIA,DATOS!$A15873,nCURSO,DATOS!$D15873,nESPEC,DATOS!$E15873,nASIG,DATOS!$I15873,nEVAL,"OR")=0))</f>
      </c>
      <c r="I15873">
        <f>IF(DATOS!$I15873="","",IFERROR(VLOOKUP(DATOS!$I15873,CONFIG_ASIGNATURAS!$B$2:$J$91,9,FALSE()),""))</f>
      </c>
    </row>
    <row r="15874">
      <c r="F15874">
        <f>IF(DATOS!$A15874="","",DATOS!$A15874&amp;"|"&amp;DATOS!$D15874&amp;"|"&amp;DATOS!$E15874&amp;"|"&amp;DATOS!$I15874)</f>
      </c>
      <c r="G15874">
        <f>IF(DATOS!$A15874="",0,IF(CONFIG_METADATA!$B$4&lt;&gt;"OR+EX",--(DATOS!$G15874=CONFIG_METADATA!$B$4),IF(DATOS!$G15874="EX",1,IF(DATOS!$G15874="OR",--(COUNTIFS(nNIA,DATOS!$A15874,nCURSO,DATOS!$D15874,nESPEC,DATOS!$E15874,nASIG,DATOS!$I15874,nEVAL,"EX")=0),0))))</f>
      </c>
      <c r="H15874">
        <f>IF(DATOS!$G15874&lt;&gt;"EX",0,--(COUNTIFS(nNIA,DATOS!$A15874,nCURSO,DATOS!$D15874,nESPEC,DATOS!$E15874,nASIG,DATOS!$I15874,nEVAL,"OR")=0))</f>
      </c>
      <c r="I15874">
        <f>IF(DATOS!$I15874="","",IFERROR(VLOOKUP(DATOS!$I15874,CONFIG_ASIGNATURAS!$B$2:$J$91,9,FALSE()),""))</f>
      </c>
    </row>
    <row r="15875">
      <c r="F15875">
        <f>IF(DATOS!$A15875="","",DATOS!$A15875&amp;"|"&amp;DATOS!$D15875&amp;"|"&amp;DATOS!$E15875&amp;"|"&amp;DATOS!$I15875)</f>
      </c>
      <c r="G15875">
        <f>IF(DATOS!$A15875="",0,IF(CONFIG_METADATA!$B$4&lt;&gt;"OR+EX",--(DATOS!$G15875=CONFIG_METADATA!$B$4),IF(DATOS!$G15875="EX",1,IF(DATOS!$G15875="OR",--(COUNTIFS(nNIA,DATOS!$A15875,nCURSO,DATOS!$D15875,nESPEC,DATOS!$E15875,nASIG,DATOS!$I15875,nEVAL,"EX")=0),0))))</f>
      </c>
      <c r="H15875">
        <f>IF(DATOS!$G15875&lt;&gt;"EX",0,--(COUNTIFS(nNIA,DATOS!$A15875,nCURSO,DATOS!$D15875,nESPEC,DATOS!$E15875,nASIG,DATOS!$I15875,nEVAL,"OR")=0))</f>
      </c>
      <c r="I15875">
        <f>IF(DATOS!$I15875="","",IFERROR(VLOOKUP(DATOS!$I15875,CONFIG_ASIGNATURAS!$B$2:$J$91,9,FALSE()),""))</f>
      </c>
    </row>
    <row r="15876">
      <c r="F15876">
        <f>IF(DATOS!$A15876="","",DATOS!$A15876&amp;"|"&amp;DATOS!$D15876&amp;"|"&amp;DATOS!$E15876&amp;"|"&amp;DATOS!$I15876)</f>
      </c>
      <c r="G15876">
        <f>IF(DATOS!$A15876="",0,IF(CONFIG_METADATA!$B$4&lt;&gt;"OR+EX",--(DATOS!$G15876=CONFIG_METADATA!$B$4),IF(DATOS!$G15876="EX",1,IF(DATOS!$G15876="OR",--(COUNTIFS(nNIA,DATOS!$A15876,nCURSO,DATOS!$D15876,nESPEC,DATOS!$E15876,nASIG,DATOS!$I15876,nEVAL,"EX")=0),0))))</f>
      </c>
      <c r="H15876">
        <f>IF(DATOS!$G15876&lt;&gt;"EX",0,--(COUNTIFS(nNIA,DATOS!$A15876,nCURSO,DATOS!$D15876,nESPEC,DATOS!$E15876,nASIG,DATOS!$I15876,nEVAL,"OR")=0))</f>
      </c>
      <c r="I15876">
        <f>IF(DATOS!$I15876="","",IFERROR(VLOOKUP(DATOS!$I15876,CONFIG_ASIGNATURAS!$B$2:$J$91,9,FALSE()),""))</f>
      </c>
    </row>
    <row r="15877">
      <c r="F15877">
        <f>IF(DATOS!$A15877="","",DATOS!$A15877&amp;"|"&amp;DATOS!$D15877&amp;"|"&amp;DATOS!$E15877&amp;"|"&amp;DATOS!$I15877)</f>
      </c>
      <c r="G15877">
        <f>IF(DATOS!$A15877="",0,IF(CONFIG_METADATA!$B$4&lt;&gt;"OR+EX",--(DATOS!$G15877=CONFIG_METADATA!$B$4),IF(DATOS!$G15877="EX",1,IF(DATOS!$G15877="OR",--(COUNTIFS(nNIA,DATOS!$A15877,nCURSO,DATOS!$D15877,nESPEC,DATOS!$E15877,nASIG,DATOS!$I15877,nEVAL,"EX")=0),0))))</f>
      </c>
      <c r="H15877">
        <f>IF(DATOS!$G15877&lt;&gt;"EX",0,--(COUNTIFS(nNIA,DATOS!$A15877,nCURSO,DATOS!$D15877,nESPEC,DATOS!$E15877,nASIG,DATOS!$I15877,nEVAL,"OR")=0))</f>
      </c>
      <c r="I15877">
        <f>IF(DATOS!$I15877="","",IFERROR(VLOOKUP(DATOS!$I15877,CONFIG_ASIGNATURAS!$B$2:$J$91,9,FALSE()),""))</f>
      </c>
    </row>
    <row r="15878">
      <c r="F15878">
        <f>IF(DATOS!$A15878="","",DATOS!$A15878&amp;"|"&amp;DATOS!$D15878&amp;"|"&amp;DATOS!$E15878&amp;"|"&amp;DATOS!$I15878)</f>
      </c>
      <c r="G15878">
        <f>IF(DATOS!$A15878="",0,IF(CONFIG_METADATA!$B$4&lt;&gt;"OR+EX",--(DATOS!$G15878=CONFIG_METADATA!$B$4),IF(DATOS!$G15878="EX",1,IF(DATOS!$G15878="OR",--(COUNTIFS(nNIA,DATOS!$A15878,nCURSO,DATOS!$D15878,nESPEC,DATOS!$E15878,nASIG,DATOS!$I15878,nEVAL,"EX")=0),0))))</f>
      </c>
      <c r="H15878">
        <f>IF(DATOS!$G15878&lt;&gt;"EX",0,--(COUNTIFS(nNIA,DATOS!$A15878,nCURSO,DATOS!$D15878,nESPEC,DATOS!$E15878,nASIG,DATOS!$I15878,nEVAL,"OR")=0))</f>
      </c>
      <c r="I15878">
        <f>IF(DATOS!$I15878="","",IFERROR(VLOOKUP(DATOS!$I15878,CONFIG_ASIGNATURAS!$B$2:$J$91,9,FALSE()),""))</f>
      </c>
    </row>
    <row r="15879">
      <c r="F15879">
        <f>IF(DATOS!$A15879="","",DATOS!$A15879&amp;"|"&amp;DATOS!$D15879&amp;"|"&amp;DATOS!$E15879&amp;"|"&amp;DATOS!$I15879)</f>
      </c>
      <c r="G15879">
        <f>IF(DATOS!$A15879="",0,IF(CONFIG_METADATA!$B$4&lt;&gt;"OR+EX",--(DATOS!$G15879=CONFIG_METADATA!$B$4),IF(DATOS!$G15879="EX",1,IF(DATOS!$G15879="OR",--(COUNTIFS(nNIA,DATOS!$A15879,nCURSO,DATOS!$D15879,nESPEC,DATOS!$E15879,nASIG,DATOS!$I15879,nEVAL,"EX")=0),0))))</f>
      </c>
      <c r="H15879">
        <f>IF(DATOS!$G15879&lt;&gt;"EX",0,--(COUNTIFS(nNIA,DATOS!$A15879,nCURSO,DATOS!$D15879,nESPEC,DATOS!$E15879,nASIG,DATOS!$I15879,nEVAL,"OR")=0))</f>
      </c>
      <c r="I15879">
        <f>IF(DATOS!$I15879="","",IFERROR(VLOOKUP(DATOS!$I15879,CONFIG_ASIGNATURAS!$B$2:$J$91,9,FALSE()),""))</f>
      </c>
    </row>
    <row r="15880">
      <c r="F15880">
        <f>IF(DATOS!$A15880="","",DATOS!$A15880&amp;"|"&amp;DATOS!$D15880&amp;"|"&amp;DATOS!$E15880&amp;"|"&amp;DATOS!$I15880)</f>
      </c>
      <c r="G15880">
        <f>IF(DATOS!$A15880="",0,IF(CONFIG_METADATA!$B$4&lt;&gt;"OR+EX",--(DATOS!$G15880=CONFIG_METADATA!$B$4),IF(DATOS!$G15880="EX",1,IF(DATOS!$G15880="OR",--(COUNTIFS(nNIA,DATOS!$A15880,nCURSO,DATOS!$D15880,nESPEC,DATOS!$E15880,nASIG,DATOS!$I15880,nEVAL,"EX")=0),0))))</f>
      </c>
      <c r="H15880">
        <f>IF(DATOS!$G15880&lt;&gt;"EX",0,--(COUNTIFS(nNIA,DATOS!$A15880,nCURSO,DATOS!$D15880,nESPEC,DATOS!$E15880,nASIG,DATOS!$I15880,nEVAL,"OR")=0))</f>
      </c>
      <c r="I15880">
        <f>IF(DATOS!$I15880="","",IFERROR(VLOOKUP(DATOS!$I15880,CONFIG_ASIGNATURAS!$B$2:$J$91,9,FALSE()),""))</f>
      </c>
    </row>
    <row r="15881">
      <c r="F15881">
        <f>IF(DATOS!$A15881="","",DATOS!$A15881&amp;"|"&amp;DATOS!$D15881&amp;"|"&amp;DATOS!$E15881&amp;"|"&amp;DATOS!$I15881)</f>
      </c>
      <c r="G15881">
        <f>IF(DATOS!$A15881="",0,IF(CONFIG_METADATA!$B$4&lt;&gt;"OR+EX",--(DATOS!$G15881=CONFIG_METADATA!$B$4),IF(DATOS!$G15881="EX",1,IF(DATOS!$G15881="OR",--(COUNTIFS(nNIA,DATOS!$A15881,nCURSO,DATOS!$D15881,nESPEC,DATOS!$E15881,nASIG,DATOS!$I15881,nEVAL,"EX")=0),0))))</f>
      </c>
      <c r="H15881">
        <f>IF(DATOS!$G15881&lt;&gt;"EX",0,--(COUNTIFS(nNIA,DATOS!$A15881,nCURSO,DATOS!$D15881,nESPEC,DATOS!$E15881,nASIG,DATOS!$I15881,nEVAL,"OR")=0))</f>
      </c>
      <c r="I15881">
        <f>IF(DATOS!$I15881="","",IFERROR(VLOOKUP(DATOS!$I15881,CONFIG_ASIGNATURAS!$B$2:$J$91,9,FALSE()),""))</f>
      </c>
    </row>
    <row r="15882">
      <c r="F15882">
        <f>IF(DATOS!$A15882="","",DATOS!$A15882&amp;"|"&amp;DATOS!$D15882&amp;"|"&amp;DATOS!$E15882&amp;"|"&amp;DATOS!$I15882)</f>
      </c>
      <c r="G15882">
        <f>IF(DATOS!$A15882="",0,IF(CONFIG_METADATA!$B$4&lt;&gt;"OR+EX",--(DATOS!$G15882=CONFIG_METADATA!$B$4),IF(DATOS!$G15882="EX",1,IF(DATOS!$G15882="OR",--(COUNTIFS(nNIA,DATOS!$A15882,nCURSO,DATOS!$D15882,nESPEC,DATOS!$E15882,nASIG,DATOS!$I15882,nEVAL,"EX")=0),0))))</f>
      </c>
      <c r="H15882">
        <f>IF(DATOS!$G15882&lt;&gt;"EX",0,--(COUNTIFS(nNIA,DATOS!$A15882,nCURSO,DATOS!$D15882,nESPEC,DATOS!$E15882,nASIG,DATOS!$I15882,nEVAL,"OR")=0))</f>
      </c>
      <c r="I15882">
        <f>IF(DATOS!$I15882="","",IFERROR(VLOOKUP(DATOS!$I15882,CONFIG_ASIGNATURAS!$B$2:$J$91,9,FALSE()),""))</f>
      </c>
    </row>
    <row r="15883">
      <c r="F15883">
        <f>IF(DATOS!$A15883="","",DATOS!$A15883&amp;"|"&amp;DATOS!$D15883&amp;"|"&amp;DATOS!$E15883&amp;"|"&amp;DATOS!$I15883)</f>
      </c>
      <c r="G15883">
        <f>IF(DATOS!$A15883="",0,IF(CONFIG_METADATA!$B$4&lt;&gt;"OR+EX",--(DATOS!$G15883=CONFIG_METADATA!$B$4),IF(DATOS!$G15883="EX",1,IF(DATOS!$G15883="OR",--(COUNTIFS(nNIA,DATOS!$A15883,nCURSO,DATOS!$D15883,nESPEC,DATOS!$E15883,nASIG,DATOS!$I15883,nEVAL,"EX")=0),0))))</f>
      </c>
      <c r="H15883">
        <f>IF(DATOS!$G15883&lt;&gt;"EX",0,--(COUNTIFS(nNIA,DATOS!$A15883,nCURSO,DATOS!$D15883,nESPEC,DATOS!$E15883,nASIG,DATOS!$I15883,nEVAL,"OR")=0))</f>
      </c>
      <c r="I15883">
        <f>IF(DATOS!$I15883="","",IFERROR(VLOOKUP(DATOS!$I15883,CONFIG_ASIGNATURAS!$B$2:$J$91,9,FALSE()),""))</f>
      </c>
    </row>
    <row r="15884">
      <c r="F15884">
        <f>IF(DATOS!$A15884="","",DATOS!$A15884&amp;"|"&amp;DATOS!$D15884&amp;"|"&amp;DATOS!$E15884&amp;"|"&amp;DATOS!$I15884)</f>
      </c>
      <c r="G15884">
        <f>IF(DATOS!$A15884="",0,IF(CONFIG_METADATA!$B$4&lt;&gt;"OR+EX",--(DATOS!$G15884=CONFIG_METADATA!$B$4),IF(DATOS!$G15884="EX",1,IF(DATOS!$G15884="OR",--(COUNTIFS(nNIA,DATOS!$A15884,nCURSO,DATOS!$D15884,nESPEC,DATOS!$E15884,nASIG,DATOS!$I15884,nEVAL,"EX")=0),0))))</f>
      </c>
      <c r="H15884">
        <f>IF(DATOS!$G15884&lt;&gt;"EX",0,--(COUNTIFS(nNIA,DATOS!$A15884,nCURSO,DATOS!$D15884,nESPEC,DATOS!$E15884,nASIG,DATOS!$I15884,nEVAL,"OR")=0))</f>
      </c>
      <c r="I15884">
        <f>IF(DATOS!$I15884="","",IFERROR(VLOOKUP(DATOS!$I15884,CONFIG_ASIGNATURAS!$B$2:$J$91,9,FALSE()),""))</f>
      </c>
    </row>
    <row r="15885">
      <c r="F15885">
        <f>IF(DATOS!$A15885="","",DATOS!$A15885&amp;"|"&amp;DATOS!$D15885&amp;"|"&amp;DATOS!$E15885&amp;"|"&amp;DATOS!$I15885)</f>
      </c>
      <c r="G15885">
        <f>IF(DATOS!$A15885="",0,IF(CONFIG_METADATA!$B$4&lt;&gt;"OR+EX",--(DATOS!$G15885=CONFIG_METADATA!$B$4),IF(DATOS!$G15885="EX",1,IF(DATOS!$G15885="OR",--(COUNTIFS(nNIA,DATOS!$A15885,nCURSO,DATOS!$D15885,nESPEC,DATOS!$E15885,nASIG,DATOS!$I15885,nEVAL,"EX")=0),0))))</f>
      </c>
      <c r="H15885">
        <f>IF(DATOS!$G15885&lt;&gt;"EX",0,--(COUNTIFS(nNIA,DATOS!$A15885,nCURSO,DATOS!$D15885,nESPEC,DATOS!$E15885,nASIG,DATOS!$I15885,nEVAL,"OR")=0))</f>
      </c>
      <c r="I15885">
        <f>IF(DATOS!$I15885="","",IFERROR(VLOOKUP(DATOS!$I15885,CONFIG_ASIGNATURAS!$B$2:$J$91,9,FALSE()),""))</f>
      </c>
    </row>
    <row r="15886">
      <c r="F15886">
        <f>IF(DATOS!$A15886="","",DATOS!$A15886&amp;"|"&amp;DATOS!$D15886&amp;"|"&amp;DATOS!$E15886&amp;"|"&amp;DATOS!$I15886)</f>
      </c>
      <c r="G15886">
        <f>IF(DATOS!$A15886="",0,IF(CONFIG_METADATA!$B$4&lt;&gt;"OR+EX",--(DATOS!$G15886=CONFIG_METADATA!$B$4),IF(DATOS!$G15886="EX",1,IF(DATOS!$G15886="OR",--(COUNTIFS(nNIA,DATOS!$A15886,nCURSO,DATOS!$D15886,nESPEC,DATOS!$E15886,nASIG,DATOS!$I15886,nEVAL,"EX")=0),0))))</f>
      </c>
      <c r="H15886">
        <f>IF(DATOS!$G15886&lt;&gt;"EX",0,--(COUNTIFS(nNIA,DATOS!$A15886,nCURSO,DATOS!$D15886,nESPEC,DATOS!$E15886,nASIG,DATOS!$I15886,nEVAL,"OR")=0))</f>
      </c>
      <c r="I15886">
        <f>IF(DATOS!$I15886="","",IFERROR(VLOOKUP(DATOS!$I15886,CONFIG_ASIGNATURAS!$B$2:$J$91,9,FALSE()),""))</f>
      </c>
    </row>
    <row r="15887">
      <c r="F15887">
        <f>IF(DATOS!$A15887="","",DATOS!$A15887&amp;"|"&amp;DATOS!$D15887&amp;"|"&amp;DATOS!$E15887&amp;"|"&amp;DATOS!$I15887)</f>
      </c>
      <c r="G15887">
        <f>IF(DATOS!$A15887="",0,IF(CONFIG_METADATA!$B$4&lt;&gt;"OR+EX",--(DATOS!$G15887=CONFIG_METADATA!$B$4),IF(DATOS!$G15887="EX",1,IF(DATOS!$G15887="OR",--(COUNTIFS(nNIA,DATOS!$A15887,nCURSO,DATOS!$D15887,nESPEC,DATOS!$E15887,nASIG,DATOS!$I15887,nEVAL,"EX")=0),0))))</f>
      </c>
      <c r="H15887">
        <f>IF(DATOS!$G15887&lt;&gt;"EX",0,--(COUNTIFS(nNIA,DATOS!$A15887,nCURSO,DATOS!$D15887,nESPEC,DATOS!$E15887,nASIG,DATOS!$I15887,nEVAL,"OR")=0))</f>
      </c>
      <c r="I15887">
        <f>IF(DATOS!$I15887="","",IFERROR(VLOOKUP(DATOS!$I15887,CONFIG_ASIGNATURAS!$B$2:$J$91,9,FALSE()),""))</f>
      </c>
    </row>
    <row r="15888">
      <c r="F15888">
        <f>IF(DATOS!$A15888="","",DATOS!$A15888&amp;"|"&amp;DATOS!$D15888&amp;"|"&amp;DATOS!$E15888&amp;"|"&amp;DATOS!$I15888)</f>
      </c>
      <c r="G15888">
        <f>IF(DATOS!$A15888="",0,IF(CONFIG_METADATA!$B$4&lt;&gt;"OR+EX",--(DATOS!$G15888=CONFIG_METADATA!$B$4),IF(DATOS!$G15888="EX",1,IF(DATOS!$G15888="OR",--(COUNTIFS(nNIA,DATOS!$A15888,nCURSO,DATOS!$D15888,nESPEC,DATOS!$E15888,nASIG,DATOS!$I15888,nEVAL,"EX")=0),0))))</f>
      </c>
      <c r="H15888">
        <f>IF(DATOS!$G15888&lt;&gt;"EX",0,--(COUNTIFS(nNIA,DATOS!$A15888,nCURSO,DATOS!$D15888,nESPEC,DATOS!$E15888,nASIG,DATOS!$I15888,nEVAL,"OR")=0))</f>
      </c>
      <c r="I15888">
        <f>IF(DATOS!$I15888="","",IFERROR(VLOOKUP(DATOS!$I15888,CONFIG_ASIGNATURAS!$B$2:$J$91,9,FALSE()),""))</f>
      </c>
    </row>
    <row r="15889">
      <c r="F15889">
        <f>IF(DATOS!$A15889="","",DATOS!$A15889&amp;"|"&amp;DATOS!$D15889&amp;"|"&amp;DATOS!$E15889&amp;"|"&amp;DATOS!$I15889)</f>
      </c>
      <c r="G15889">
        <f>IF(DATOS!$A15889="",0,IF(CONFIG_METADATA!$B$4&lt;&gt;"OR+EX",--(DATOS!$G15889=CONFIG_METADATA!$B$4),IF(DATOS!$G15889="EX",1,IF(DATOS!$G15889="OR",--(COUNTIFS(nNIA,DATOS!$A15889,nCURSO,DATOS!$D15889,nESPEC,DATOS!$E15889,nASIG,DATOS!$I15889,nEVAL,"EX")=0),0))))</f>
      </c>
      <c r="H15889">
        <f>IF(DATOS!$G15889&lt;&gt;"EX",0,--(COUNTIFS(nNIA,DATOS!$A15889,nCURSO,DATOS!$D15889,nESPEC,DATOS!$E15889,nASIG,DATOS!$I15889,nEVAL,"OR")=0))</f>
      </c>
      <c r="I15889">
        <f>IF(DATOS!$I15889="","",IFERROR(VLOOKUP(DATOS!$I15889,CONFIG_ASIGNATURAS!$B$2:$J$91,9,FALSE()),""))</f>
      </c>
    </row>
    <row r="15890">
      <c r="F15890">
        <f>IF(DATOS!$A15890="","",DATOS!$A15890&amp;"|"&amp;DATOS!$D15890&amp;"|"&amp;DATOS!$E15890&amp;"|"&amp;DATOS!$I15890)</f>
      </c>
      <c r="G15890">
        <f>IF(DATOS!$A15890="",0,IF(CONFIG_METADATA!$B$4&lt;&gt;"OR+EX",--(DATOS!$G15890=CONFIG_METADATA!$B$4),IF(DATOS!$G15890="EX",1,IF(DATOS!$G15890="OR",--(COUNTIFS(nNIA,DATOS!$A15890,nCURSO,DATOS!$D15890,nESPEC,DATOS!$E15890,nASIG,DATOS!$I15890,nEVAL,"EX")=0),0))))</f>
      </c>
      <c r="H15890">
        <f>IF(DATOS!$G15890&lt;&gt;"EX",0,--(COUNTIFS(nNIA,DATOS!$A15890,nCURSO,DATOS!$D15890,nESPEC,DATOS!$E15890,nASIG,DATOS!$I15890,nEVAL,"OR")=0))</f>
      </c>
      <c r="I15890">
        <f>IF(DATOS!$I15890="","",IFERROR(VLOOKUP(DATOS!$I15890,CONFIG_ASIGNATURAS!$B$2:$J$91,9,FALSE()),""))</f>
      </c>
    </row>
    <row r="15891">
      <c r="F15891">
        <f>IF(DATOS!$A15891="","",DATOS!$A15891&amp;"|"&amp;DATOS!$D15891&amp;"|"&amp;DATOS!$E15891&amp;"|"&amp;DATOS!$I15891)</f>
      </c>
      <c r="G15891">
        <f>IF(DATOS!$A15891="",0,IF(CONFIG_METADATA!$B$4&lt;&gt;"OR+EX",--(DATOS!$G15891=CONFIG_METADATA!$B$4),IF(DATOS!$G15891="EX",1,IF(DATOS!$G15891="OR",--(COUNTIFS(nNIA,DATOS!$A15891,nCURSO,DATOS!$D15891,nESPEC,DATOS!$E15891,nASIG,DATOS!$I15891,nEVAL,"EX")=0),0))))</f>
      </c>
      <c r="H15891">
        <f>IF(DATOS!$G15891&lt;&gt;"EX",0,--(COUNTIFS(nNIA,DATOS!$A15891,nCURSO,DATOS!$D15891,nESPEC,DATOS!$E15891,nASIG,DATOS!$I15891,nEVAL,"OR")=0))</f>
      </c>
      <c r="I15891">
        <f>IF(DATOS!$I15891="","",IFERROR(VLOOKUP(DATOS!$I15891,CONFIG_ASIGNATURAS!$B$2:$J$91,9,FALSE()),""))</f>
      </c>
    </row>
    <row r="15892">
      <c r="F15892">
        <f>IF(DATOS!$A15892="","",DATOS!$A15892&amp;"|"&amp;DATOS!$D15892&amp;"|"&amp;DATOS!$E15892&amp;"|"&amp;DATOS!$I15892)</f>
      </c>
      <c r="G15892">
        <f>IF(DATOS!$A15892="",0,IF(CONFIG_METADATA!$B$4&lt;&gt;"OR+EX",--(DATOS!$G15892=CONFIG_METADATA!$B$4),IF(DATOS!$G15892="EX",1,IF(DATOS!$G15892="OR",--(COUNTIFS(nNIA,DATOS!$A15892,nCURSO,DATOS!$D15892,nESPEC,DATOS!$E15892,nASIG,DATOS!$I15892,nEVAL,"EX")=0),0))))</f>
      </c>
      <c r="H15892">
        <f>IF(DATOS!$G15892&lt;&gt;"EX",0,--(COUNTIFS(nNIA,DATOS!$A15892,nCURSO,DATOS!$D15892,nESPEC,DATOS!$E15892,nASIG,DATOS!$I15892,nEVAL,"OR")=0))</f>
      </c>
      <c r="I15892">
        <f>IF(DATOS!$I15892="","",IFERROR(VLOOKUP(DATOS!$I15892,CONFIG_ASIGNATURAS!$B$2:$J$91,9,FALSE()),""))</f>
      </c>
    </row>
    <row r="15893">
      <c r="F15893">
        <f>IF(DATOS!$A15893="","",DATOS!$A15893&amp;"|"&amp;DATOS!$D15893&amp;"|"&amp;DATOS!$E15893&amp;"|"&amp;DATOS!$I15893)</f>
      </c>
      <c r="G15893">
        <f>IF(DATOS!$A15893="",0,IF(CONFIG_METADATA!$B$4&lt;&gt;"OR+EX",--(DATOS!$G15893=CONFIG_METADATA!$B$4),IF(DATOS!$G15893="EX",1,IF(DATOS!$G15893="OR",--(COUNTIFS(nNIA,DATOS!$A15893,nCURSO,DATOS!$D15893,nESPEC,DATOS!$E15893,nASIG,DATOS!$I15893,nEVAL,"EX")=0),0))))</f>
      </c>
      <c r="H15893">
        <f>IF(DATOS!$G15893&lt;&gt;"EX",0,--(COUNTIFS(nNIA,DATOS!$A15893,nCURSO,DATOS!$D15893,nESPEC,DATOS!$E15893,nASIG,DATOS!$I15893,nEVAL,"OR")=0))</f>
      </c>
      <c r="I15893">
        <f>IF(DATOS!$I15893="","",IFERROR(VLOOKUP(DATOS!$I15893,CONFIG_ASIGNATURAS!$B$2:$J$91,9,FALSE()),""))</f>
      </c>
    </row>
    <row r="15894">
      <c r="F15894">
        <f>IF(DATOS!$A15894="","",DATOS!$A15894&amp;"|"&amp;DATOS!$D15894&amp;"|"&amp;DATOS!$E15894&amp;"|"&amp;DATOS!$I15894)</f>
      </c>
      <c r="G15894">
        <f>IF(DATOS!$A15894="",0,IF(CONFIG_METADATA!$B$4&lt;&gt;"OR+EX",--(DATOS!$G15894=CONFIG_METADATA!$B$4),IF(DATOS!$G15894="EX",1,IF(DATOS!$G15894="OR",--(COUNTIFS(nNIA,DATOS!$A15894,nCURSO,DATOS!$D15894,nESPEC,DATOS!$E15894,nASIG,DATOS!$I15894,nEVAL,"EX")=0),0))))</f>
      </c>
      <c r="H15894">
        <f>IF(DATOS!$G15894&lt;&gt;"EX",0,--(COUNTIFS(nNIA,DATOS!$A15894,nCURSO,DATOS!$D15894,nESPEC,DATOS!$E15894,nASIG,DATOS!$I15894,nEVAL,"OR")=0))</f>
      </c>
      <c r="I15894">
        <f>IF(DATOS!$I15894="","",IFERROR(VLOOKUP(DATOS!$I15894,CONFIG_ASIGNATURAS!$B$2:$J$91,9,FALSE()),""))</f>
      </c>
    </row>
    <row r="15895">
      <c r="F15895">
        <f>IF(DATOS!$A15895="","",DATOS!$A15895&amp;"|"&amp;DATOS!$D15895&amp;"|"&amp;DATOS!$E15895&amp;"|"&amp;DATOS!$I15895)</f>
      </c>
      <c r="G15895">
        <f>IF(DATOS!$A15895="",0,IF(CONFIG_METADATA!$B$4&lt;&gt;"OR+EX",--(DATOS!$G15895=CONFIG_METADATA!$B$4),IF(DATOS!$G15895="EX",1,IF(DATOS!$G15895="OR",--(COUNTIFS(nNIA,DATOS!$A15895,nCURSO,DATOS!$D15895,nESPEC,DATOS!$E15895,nASIG,DATOS!$I15895,nEVAL,"EX")=0),0))))</f>
      </c>
      <c r="H15895">
        <f>IF(DATOS!$G15895&lt;&gt;"EX",0,--(COUNTIFS(nNIA,DATOS!$A15895,nCURSO,DATOS!$D15895,nESPEC,DATOS!$E15895,nASIG,DATOS!$I15895,nEVAL,"OR")=0))</f>
      </c>
      <c r="I15895">
        <f>IF(DATOS!$I15895="","",IFERROR(VLOOKUP(DATOS!$I15895,CONFIG_ASIGNATURAS!$B$2:$J$91,9,FALSE()),""))</f>
      </c>
    </row>
    <row r="15896">
      <c r="F15896">
        <f>IF(DATOS!$A15896="","",DATOS!$A15896&amp;"|"&amp;DATOS!$D15896&amp;"|"&amp;DATOS!$E15896&amp;"|"&amp;DATOS!$I15896)</f>
      </c>
      <c r="G15896">
        <f>IF(DATOS!$A15896="",0,IF(CONFIG_METADATA!$B$4&lt;&gt;"OR+EX",--(DATOS!$G15896=CONFIG_METADATA!$B$4),IF(DATOS!$G15896="EX",1,IF(DATOS!$G15896="OR",--(COUNTIFS(nNIA,DATOS!$A15896,nCURSO,DATOS!$D15896,nESPEC,DATOS!$E15896,nASIG,DATOS!$I15896,nEVAL,"EX")=0),0))))</f>
      </c>
      <c r="H15896">
        <f>IF(DATOS!$G15896&lt;&gt;"EX",0,--(COUNTIFS(nNIA,DATOS!$A15896,nCURSO,DATOS!$D15896,nESPEC,DATOS!$E15896,nASIG,DATOS!$I15896,nEVAL,"OR")=0))</f>
      </c>
      <c r="I15896">
        <f>IF(DATOS!$I15896="","",IFERROR(VLOOKUP(DATOS!$I15896,CONFIG_ASIGNATURAS!$B$2:$J$91,9,FALSE()),""))</f>
      </c>
    </row>
    <row r="15897">
      <c r="F15897">
        <f>IF(DATOS!$A15897="","",DATOS!$A15897&amp;"|"&amp;DATOS!$D15897&amp;"|"&amp;DATOS!$E15897&amp;"|"&amp;DATOS!$I15897)</f>
      </c>
      <c r="G15897">
        <f>IF(DATOS!$A15897="",0,IF(CONFIG_METADATA!$B$4&lt;&gt;"OR+EX",--(DATOS!$G15897=CONFIG_METADATA!$B$4),IF(DATOS!$G15897="EX",1,IF(DATOS!$G15897="OR",--(COUNTIFS(nNIA,DATOS!$A15897,nCURSO,DATOS!$D15897,nESPEC,DATOS!$E15897,nASIG,DATOS!$I15897,nEVAL,"EX")=0),0))))</f>
      </c>
      <c r="H15897">
        <f>IF(DATOS!$G15897&lt;&gt;"EX",0,--(COUNTIFS(nNIA,DATOS!$A15897,nCURSO,DATOS!$D15897,nESPEC,DATOS!$E15897,nASIG,DATOS!$I15897,nEVAL,"OR")=0))</f>
      </c>
      <c r="I15897">
        <f>IF(DATOS!$I15897="","",IFERROR(VLOOKUP(DATOS!$I15897,CONFIG_ASIGNATURAS!$B$2:$J$91,9,FALSE()),""))</f>
      </c>
    </row>
    <row r="15898">
      <c r="F15898">
        <f>IF(DATOS!$A15898="","",DATOS!$A15898&amp;"|"&amp;DATOS!$D15898&amp;"|"&amp;DATOS!$E15898&amp;"|"&amp;DATOS!$I15898)</f>
      </c>
      <c r="G15898">
        <f>IF(DATOS!$A15898="",0,IF(CONFIG_METADATA!$B$4&lt;&gt;"OR+EX",--(DATOS!$G15898=CONFIG_METADATA!$B$4),IF(DATOS!$G15898="EX",1,IF(DATOS!$G15898="OR",--(COUNTIFS(nNIA,DATOS!$A15898,nCURSO,DATOS!$D15898,nESPEC,DATOS!$E15898,nASIG,DATOS!$I15898,nEVAL,"EX")=0),0))))</f>
      </c>
      <c r="H15898">
        <f>IF(DATOS!$G15898&lt;&gt;"EX",0,--(COUNTIFS(nNIA,DATOS!$A15898,nCURSO,DATOS!$D15898,nESPEC,DATOS!$E15898,nASIG,DATOS!$I15898,nEVAL,"OR")=0))</f>
      </c>
      <c r="I15898">
        <f>IF(DATOS!$I15898="","",IFERROR(VLOOKUP(DATOS!$I15898,CONFIG_ASIGNATURAS!$B$2:$J$91,9,FALSE()),""))</f>
      </c>
    </row>
    <row r="15899">
      <c r="F15899">
        <f>IF(DATOS!$A15899="","",DATOS!$A15899&amp;"|"&amp;DATOS!$D15899&amp;"|"&amp;DATOS!$E15899&amp;"|"&amp;DATOS!$I15899)</f>
      </c>
      <c r="G15899">
        <f>IF(DATOS!$A15899="",0,IF(CONFIG_METADATA!$B$4&lt;&gt;"OR+EX",--(DATOS!$G15899=CONFIG_METADATA!$B$4),IF(DATOS!$G15899="EX",1,IF(DATOS!$G15899="OR",--(COUNTIFS(nNIA,DATOS!$A15899,nCURSO,DATOS!$D15899,nESPEC,DATOS!$E15899,nASIG,DATOS!$I15899,nEVAL,"EX")=0),0))))</f>
      </c>
      <c r="H15899">
        <f>IF(DATOS!$G15899&lt;&gt;"EX",0,--(COUNTIFS(nNIA,DATOS!$A15899,nCURSO,DATOS!$D15899,nESPEC,DATOS!$E15899,nASIG,DATOS!$I15899,nEVAL,"OR")=0))</f>
      </c>
      <c r="I15899">
        <f>IF(DATOS!$I15899="","",IFERROR(VLOOKUP(DATOS!$I15899,CONFIG_ASIGNATURAS!$B$2:$J$91,9,FALSE()),""))</f>
      </c>
    </row>
    <row r="15900">
      <c r="F15900">
        <f>IF(DATOS!$A15900="","",DATOS!$A15900&amp;"|"&amp;DATOS!$D15900&amp;"|"&amp;DATOS!$E15900&amp;"|"&amp;DATOS!$I15900)</f>
      </c>
      <c r="G15900">
        <f>IF(DATOS!$A15900="",0,IF(CONFIG_METADATA!$B$4&lt;&gt;"OR+EX",--(DATOS!$G15900=CONFIG_METADATA!$B$4),IF(DATOS!$G15900="EX",1,IF(DATOS!$G15900="OR",--(COUNTIFS(nNIA,DATOS!$A15900,nCURSO,DATOS!$D15900,nESPEC,DATOS!$E15900,nASIG,DATOS!$I15900,nEVAL,"EX")=0),0))))</f>
      </c>
      <c r="H15900">
        <f>IF(DATOS!$G15900&lt;&gt;"EX",0,--(COUNTIFS(nNIA,DATOS!$A15900,nCURSO,DATOS!$D15900,nESPEC,DATOS!$E15900,nASIG,DATOS!$I15900,nEVAL,"OR")=0))</f>
      </c>
      <c r="I15900">
        <f>IF(DATOS!$I15900="","",IFERROR(VLOOKUP(DATOS!$I15900,CONFIG_ASIGNATURAS!$B$2:$J$91,9,FALSE()),""))</f>
      </c>
    </row>
    <row r="15901">
      <c r="F15901">
        <f>IF(DATOS!$A15901="","",DATOS!$A15901&amp;"|"&amp;DATOS!$D15901&amp;"|"&amp;DATOS!$E15901&amp;"|"&amp;DATOS!$I15901)</f>
      </c>
      <c r="G15901">
        <f>IF(DATOS!$A15901="",0,IF(CONFIG_METADATA!$B$4&lt;&gt;"OR+EX",--(DATOS!$G15901=CONFIG_METADATA!$B$4),IF(DATOS!$G15901="EX",1,IF(DATOS!$G15901="OR",--(COUNTIFS(nNIA,DATOS!$A15901,nCURSO,DATOS!$D15901,nESPEC,DATOS!$E15901,nASIG,DATOS!$I15901,nEVAL,"EX")=0),0))))</f>
      </c>
      <c r="H15901">
        <f>IF(DATOS!$G15901&lt;&gt;"EX",0,--(COUNTIFS(nNIA,DATOS!$A15901,nCURSO,DATOS!$D15901,nESPEC,DATOS!$E15901,nASIG,DATOS!$I15901,nEVAL,"OR")=0))</f>
      </c>
      <c r="I15901">
        <f>IF(DATOS!$I15901="","",IFERROR(VLOOKUP(DATOS!$I15901,CONFIG_ASIGNATURAS!$B$2:$J$91,9,FALSE()),""))</f>
      </c>
    </row>
    <row r="15902">
      <c r="F15902">
        <f>IF(DATOS!$A15902="","",DATOS!$A15902&amp;"|"&amp;DATOS!$D15902&amp;"|"&amp;DATOS!$E15902&amp;"|"&amp;DATOS!$I15902)</f>
      </c>
      <c r="G15902">
        <f>IF(DATOS!$A15902="",0,IF(CONFIG_METADATA!$B$4&lt;&gt;"OR+EX",--(DATOS!$G15902=CONFIG_METADATA!$B$4),IF(DATOS!$G15902="EX",1,IF(DATOS!$G15902="OR",--(COUNTIFS(nNIA,DATOS!$A15902,nCURSO,DATOS!$D15902,nESPEC,DATOS!$E15902,nASIG,DATOS!$I15902,nEVAL,"EX")=0),0))))</f>
      </c>
      <c r="H15902">
        <f>IF(DATOS!$G15902&lt;&gt;"EX",0,--(COUNTIFS(nNIA,DATOS!$A15902,nCURSO,DATOS!$D15902,nESPEC,DATOS!$E15902,nASIG,DATOS!$I15902,nEVAL,"OR")=0))</f>
      </c>
      <c r="I15902">
        <f>IF(DATOS!$I15902="","",IFERROR(VLOOKUP(DATOS!$I15902,CONFIG_ASIGNATURAS!$B$2:$J$91,9,FALSE()),""))</f>
      </c>
    </row>
    <row r="15903">
      <c r="F15903">
        <f>IF(DATOS!$A15903="","",DATOS!$A15903&amp;"|"&amp;DATOS!$D15903&amp;"|"&amp;DATOS!$E15903&amp;"|"&amp;DATOS!$I15903)</f>
      </c>
      <c r="G15903">
        <f>IF(DATOS!$A15903="",0,IF(CONFIG_METADATA!$B$4&lt;&gt;"OR+EX",--(DATOS!$G15903=CONFIG_METADATA!$B$4),IF(DATOS!$G15903="EX",1,IF(DATOS!$G15903="OR",--(COUNTIFS(nNIA,DATOS!$A15903,nCURSO,DATOS!$D15903,nESPEC,DATOS!$E15903,nASIG,DATOS!$I15903,nEVAL,"EX")=0),0))))</f>
      </c>
      <c r="H15903">
        <f>IF(DATOS!$G15903&lt;&gt;"EX",0,--(COUNTIFS(nNIA,DATOS!$A15903,nCURSO,DATOS!$D15903,nESPEC,DATOS!$E15903,nASIG,DATOS!$I15903,nEVAL,"OR")=0))</f>
      </c>
      <c r="I15903">
        <f>IF(DATOS!$I15903="","",IFERROR(VLOOKUP(DATOS!$I15903,CONFIG_ASIGNATURAS!$B$2:$J$91,9,FALSE()),""))</f>
      </c>
    </row>
    <row r="15904">
      <c r="F15904">
        <f>IF(DATOS!$A15904="","",DATOS!$A15904&amp;"|"&amp;DATOS!$D15904&amp;"|"&amp;DATOS!$E15904&amp;"|"&amp;DATOS!$I15904)</f>
      </c>
      <c r="G15904">
        <f>IF(DATOS!$A15904="",0,IF(CONFIG_METADATA!$B$4&lt;&gt;"OR+EX",--(DATOS!$G15904=CONFIG_METADATA!$B$4),IF(DATOS!$G15904="EX",1,IF(DATOS!$G15904="OR",--(COUNTIFS(nNIA,DATOS!$A15904,nCURSO,DATOS!$D15904,nESPEC,DATOS!$E15904,nASIG,DATOS!$I15904,nEVAL,"EX")=0),0))))</f>
      </c>
      <c r="H15904">
        <f>IF(DATOS!$G15904&lt;&gt;"EX",0,--(COUNTIFS(nNIA,DATOS!$A15904,nCURSO,DATOS!$D15904,nESPEC,DATOS!$E15904,nASIG,DATOS!$I15904,nEVAL,"OR")=0))</f>
      </c>
      <c r="I15904">
        <f>IF(DATOS!$I15904="","",IFERROR(VLOOKUP(DATOS!$I15904,CONFIG_ASIGNATURAS!$B$2:$J$91,9,FALSE()),""))</f>
      </c>
    </row>
    <row r="15905">
      <c r="F15905">
        <f>IF(DATOS!$A15905="","",DATOS!$A15905&amp;"|"&amp;DATOS!$D15905&amp;"|"&amp;DATOS!$E15905&amp;"|"&amp;DATOS!$I15905)</f>
      </c>
      <c r="G15905">
        <f>IF(DATOS!$A15905="",0,IF(CONFIG_METADATA!$B$4&lt;&gt;"OR+EX",--(DATOS!$G15905=CONFIG_METADATA!$B$4),IF(DATOS!$G15905="EX",1,IF(DATOS!$G15905="OR",--(COUNTIFS(nNIA,DATOS!$A15905,nCURSO,DATOS!$D15905,nESPEC,DATOS!$E15905,nASIG,DATOS!$I15905,nEVAL,"EX")=0),0))))</f>
      </c>
      <c r="H15905">
        <f>IF(DATOS!$G15905&lt;&gt;"EX",0,--(COUNTIFS(nNIA,DATOS!$A15905,nCURSO,DATOS!$D15905,nESPEC,DATOS!$E15905,nASIG,DATOS!$I15905,nEVAL,"OR")=0))</f>
      </c>
      <c r="I15905">
        <f>IF(DATOS!$I15905="","",IFERROR(VLOOKUP(DATOS!$I15905,CONFIG_ASIGNATURAS!$B$2:$J$91,9,FALSE()),""))</f>
      </c>
    </row>
    <row r="15906">
      <c r="F15906">
        <f>IF(DATOS!$A15906="","",DATOS!$A15906&amp;"|"&amp;DATOS!$D15906&amp;"|"&amp;DATOS!$E15906&amp;"|"&amp;DATOS!$I15906)</f>
      </c>
      <c r="G15906">
        <f>IF(DATOS!$A15906="",0,IF(CONFIG_METADATA!$B$4&lt;&gt;"OR+EX",--(DATOS!$G15906=CONFIG_METADATA!$B$4),IF(DATOS!$G15906="EX",1,IF(DATOS!$G15906="OR",--(COUNTIFS(nNIA,DATOS!$A15906,nCURSO,DATOS!$D15906,nESPEC,DATOS!$E15906,nASIG,DATOS!$I15906,nEVAL,"EX")=0),0))))</f>
      </c>
      <c r="H15906">
        <f>IF(DATOS!$G15906&lt;&gt;"EX",0,--(COUNTIFS(nNIA,DATOS!$A15906,nCURSO,DATOS!$D15906,nESPEC,DATOS!$E15906,nASIG,DATOS!$I15906,nEVAL,"OR")=0))</f>
      </c>
      <c r="I15906">
        <f>IF(DATOS!$I15906="","",IFERROR(VLOOKUP(DATOS!$I15906,CONFIG_ASIGNATURAS!$B$2:$J$91,9,FALSE()),""))</f>
      </c>
    </row>
    <row r="15907">
      <c r="F15907">
        <f>IF(DATOS!$A15907="","",DATOS!$A15907&amp;"|"&amp;DATOS!$D15907&amp;"|"&amp;DATOS!$E15907&amp;"|"&amp;DATOS!$I15907)</f>
      </c>
      <c r="G15907">
        <f>IF(DATOS!$A15907="",0,IF(CONFIG_METADATA!$B$4&lt;&gt;"OR+EX",--(DATOS!$G15907=CONFIG_METADATA!$B$4),IF(DATOS!$G15907="EX",1,IF(DATOS!$G15907="OR",--(COUNTIFS(nNIA,DATOS!$A15907,nCURSO,DATOS!$D15907,nESPEC,DATOS!$E15907,nASIG,DATOS!$I15907,nEVAL,"EX")=0),0))))</f>
      </c>
      <c r="H15907">
        <f>IF(DATOS!$G15907&lt;&gt;"EX",0,--(COUNTIFS(nNIA,DATOS!$A15907,nCURSO,DATOS!$D15907,nESPEC,DATOS!$E15907,nASIG,DATOS!$I15907,nEVAL,"OR")=0))</f>
      </c>
      <c r="I15907">
        <f>IF(DATOS!$I15907="","",IFERROR(VLOOKUP(DATOS!$I15907,CONFIG_ASIGNATURAS!$B$2:$J$91,9,FALSE()),""))</f>
      </c>
    </row>
    <row r="15908">
      <c r="F15908">
        <f>IF(DATOS!$A15908="","",DATOS!$A15908&amp;"|"&amp;DATOS!$D15908&amp;"|"&amp;DATOS!$E15908&amp;"|"&amp;DATOS!$I15908)</f>
      </c>
      <c r="G15908">
        <f>IF(DATOS!$A15908="",0,IF(CONFIG_METADATA!$B$4&lt;&gt;"OR+EX",--(DATOS!$G15908=CONFIG_METADATA!$B$4),IF(DATOS!$G15908="EX",1,IF(DATOS!$G15908="OR",--(COUNTIFS(nNIA,DATOS!$A15908,nCURSO,DATOS!$D15908,nESPEC,DATOS!$E15908,nASIG,DATOS!$I15908,nEVAL,"EX")=0),0))))</f>
      </c>
      <c r="H15908">
        <f>IF(DATOS!$G15908&lt;&gt;"EX",0,--(COUNTIFS(nNIA,DATOS!$A15908,nCURSO,DATOS!$D15908,nESPEC,DATOS!$E15908,nASIG,DATOS!$I15908,nEVAL,"OR")=0))</f>
      </c>
      <c r="I15908">
        <f>IF(DATOS!$I15908="","",IFERROR(VLOOKUP(DATOS!$I15908,CONFIG_ASIGNATURAS!$B$2:$J$91,9,FALSE()),""))</f>
      </c>
    </row>
    <row r="15909">
      <c r="F15909">
        <f>IF(DATOS!$A15909="","",DATOS!$A15909&amp;"|"&amp;DATOS!$D15909&amp;"|"&amp;DATOS!$E15909&amp;"|"&amp;DATOS!$I15909)</f>
      </c>
      <c r="G15909">
        <f>IF(DATOS!$A15909="",0,IF(CONFIG_METADATA!$B$4&lt;&gt;"OR+EX",--(DATOS!$G15909=CONFIG_METADATA!$B$4),IF(DATOS!$G15909="EX",1,IF(DATOS!$G15909="OR",--(COUNTIFS(nNIA,DATOS!$A15909,nCURSO,DATOS!$D15909,nESPEC,DATOS!$E15909,nASIG,DATOS!$I15909,nEVAL,"EX")=0),0))))</f>
      </c>
      <c r="H15909">
        <f>IF(DATOS!$G15909&lt;&gt;"EX",0,--(COUNTIFS(nNIA,DATOS!$A15909,nCURSO,DATOS!$D15909,nESPEC,DATOS!$E15909,nASIG,DATOS!$I15909,nEVAL,"OR")=0))</f>
      </c>
      <c r="I15909">
        <f>IF(DATOS!$I15909="","",IFERROR(VLOOKUP(DATOS!$I15909,CONFIG_ASIGNATURAS!$B$2:$J$91,9,FALSE()),""))</f>
      </c>
    </row>
    <row r="15910">
      <c r="F15910">
        <f>IF(DATOS!$A15910="","",DATOS!$A15910&amp;"|"&amp;DATOS!$D15910&amp;"|"&amp;DATOS!$E15910&amp;"|"&amp;DATOS!$I15910)</f>
      </c>
      <c r="G15910">
        <f>IF(DATOS!$A15910="",0,IF(CONFIG_METADATA!$B$4&lt;&gt;"OR+EX",--(DATOS!$G15910=CONFIG_METADATA!$B$4),IF(DATOS!$G15910="EX",1,IF(DATOS!$G15910="OR",--(COUNTIFS(nNIA,DATOS!$A15910,nCURSO,DATOS!$D15910,nESPEC,DATOS!$E15910,nASIG,DATOS!$I15910,nEVAL,"EX")=0),0))))</f>
      </c>
      <c r="H15910">
        <f>IF(DATOS!$G15910&lt;&gt;"EX",0,--(COUNTIFS(nNIA,DATOS!$A15910,nCURSO,DATOS!$D15910,nESPEC,DATOS!$E15910,nASIG,DATOS!$I15910,nEVAL,"OR")=0))</f>
      </c>
      <c r="I15910">
        <f>IF(DATOS!$I15910="","",IFERROR(VLOOKUP(DATOS!$I15910,CONFIG_ASIGNATURAS!$B$2:$J$91,9,FALSE()),""))</f>
      </c>
    </row>
    <row r="15911">
      <c r="F15911">
        <f>IF(DATOS!$A15911="","",DATOS!$A15911&amp;"|"&amp;DATOS!$D15911&amp;"|"&amp;DATOS!$E15911&amp;"|"&amp;DATOS!$I15911)</f>
      </c>
      <c r="G15911">
        <f>IF(DATOS!$A15911="",0,IF(CONFIG_METADATA!$B$4&lt;&gt;"OR+EX",--(DATOS!$G15911=CONFIG_METADATA!$B$4),IF(DATOS!$G15911="EX",1,IF(DATOS!$G15911="OR",--(COUNTIFS(nNIA,DATOS!$A15911,nCURSO,DATOS!$D15911,nESPEC,DATOS!$E15911,nASIG,DATOS!$I15911,nEVAL,"EX")=0),0))))</f>
      </c>
      <c r="H15911">
        <f>IF(DATOS!$G15911&lt;&gt;"EX",0,--(COUNTIFS(nNIA,DATOS!$A15911,nCURSO,DATOS!$D15911,nESPEC,DATOS!$E15911,nASIG,DATOS!$I15911,nEVAL,"OR")=0))</f>
      </c>
      <c r="I15911">
        <f>IF(DATOS!$I15911="","",IFERROR(VLOOKUP(DATOS!$I15911,CONFIG_ASIGNATURAS!$B$2:$J$91,9,FALSE()),""))</f>
      </c>
    </row>
    <row r="15912">
      <c r="F15912">
        <f>IF(DATOS!$A15912="","",DATOS!$A15912&amp;"|"&amp;DATOS!$D15912&amp;"|"&amp;DATOS!$E15912&amp;"|"&amp;DATOS!$I15912)</f>
      </c>
      <c r="G15912">
        <f>IF(DATOS!$A15912="",0,IF(CONFIG_METADATA!$B$4&lt;&gt;"OR+EX",--(DATOS!$G15912=CONFIG_METADATA!$B$4),IF(DATOS!$G15912="EX",1,IF(DATOS!$G15912="OR",--(COUNTIFS(nNIA,DATOS!$A15912,nCURSO,DATOS!$D15912,nESPEC,DATOS!$E15912,nASIG,DATOS!$I15912,nEVAL,"EX")=0),0))))</f>
      </c>
      <c r="H15912">
        <f>IF(DATOS!$G15912&lt;&gt;"EX",0,--(COUNTIFS(nNIA,DATOS!$A15912,nCURSO,DATOS!$D15912,nESPEC,DATOS!$E15912,nASIG,DATOS!$I15912,nEVAL,"OR")=0))</f>
      </c>
      <c r="I15912">
        <f>IF(DATOS!$I15912="","",IFERROR(VLOOKUP(DATOS!$I15912,CONFIG_ASIGNATURAS!$B$2:$J$91,9,FALSE()),""))</f>
      </c>
    </row>
    <row r="15913">
      <c r="F15913">
        <f>IF(DATOS!$A15913="","",DATOS!$A15913&amp;"|"&amp;DATOS!$D15913&amp;"|"&amp;DATOS!$E15913&amp;"|"&amp;DATOS!$I15913)</f>
      </c>
      <c r="G15913">
        <f>IF(DATOS!$A15913="",0,IF(CONFIG_METADATA!$B$4&lt;&gt;"OR+EX",--(DATOS!$G15913=CONFIG_METADATA!$B$4),IF(DATOS!$G15913="EX",1,IF(DATOS!$G15913="OR",--(COUNTIFS(nNIA,DATOS!$A15913,nCURSO,DATOS!$D15913,nESPEC,DATOS!$E15913,nASIG,DATOS!$I15913,nEVAL,"EX")=0),0))))</f>
      </c>
      <c r="H15913">
        <f>IF(DATOS!$G15913&lt;&gt;"EX",0,--(COUNTIFS(nNIA,DATOS!$A15913,nCURSO,DATOS!$D15913,nESPEC,DATOS!$E15913,nASIG,DATOS!$I15913,nEVAL,"OR")=0))</f>
      </c>
      <c r="I15913">
        <f>IF(DATOS!$I15913="","",IFERROR(VLOOKUP(DATOS!$I15913,CONFIG_ASIGNATURAS!$B$2:$J$91,9,FALSE()),""))</f>
      </c>
    </row>
    <row r="15914">
      <c r="F15914">
        <f>IF(DATOS!$A15914="","",DATOS!$A15914&amp;"|"&amp;DATOS!$D15914&amp;"|"&amp;DATOS!$E15914&amp;"|"&amp;DATOS!$I15914)</f>
      </c>
      <c r="G15914">
        <f>IF(DATOS!$A15914="",0,IF(CONFIG_METADATA!$B$4&lt;&gt;"OR+EX",--(DATOS!$G15914=CONFIG_METADATA!$B$4),IF(DATOS!$G15914="EX",1,IF(DATOS!$G15914="OR",--(COUNTIFS(nNIA,DATOS!$A15914,nCURSO,DATOS!$D15914,nESPEC,DATOS!$E15914,nASIG,DATOS!$I15914,nEVAL,"EX")=0),0))))</f>
      </c>
      <c r="H15914">
        <f>IF(DATOS!$G15914&lt;&gt;"EX",0,--(COUNTIFS(nNIA,DATOS!$A15914,nCURSO,DATOS!$D15914,nESPEC,DATOS!$E15914,nASIG,DATOS!$I15914,nEVAL,"OR")=0))</f>
      </c>
      <c r="I15914">
        <f>IF(DATOS!$I15914="","",IFERROR(VLOOKUP(DATOS!$I15914,CONFIG_ASIGNATURAS!$B$2:$J$91,9,FALSE()),""))</f>
      </c>
    </row>
    <row r="15915">
      <c r="F15915">
        <f>IF(DATOS!$A15915="","",DATOS!$A15915&amp;"|"&amp;DATOS!$D15915&amp;"|"&amp;DATOS!$E15915&amp;"|"&amp;DATOS!$I15915)</f>
      </c>
      <c r="G15915">
        <f>IF(DATOS!$A15915="",0,IF(CONFIG_METADATA!$B$4&lt;&gt;"OR+EX",--(DATOS!$G15915=CONFIG_METADATA!$B$4),IF(DATOS!$G15915="EX",1,IF(DATOS!$G15915="OR",--(COUNTIFS(nNIA,DATOS!$A15915,nCURSO,DATOS!$D15915,nESPEC,DATOS!$E15915,nASIG,DATOS!$I15915,nEVAL,"EX")=0),0))))</f>
      </c>
      <c r="H15915">
        <f>IF(DATOS!$G15915&lt;&gt;"EX",0,--(COUNTIFS(nNIA,DATOS!$A15915,nCURSO,DATOS!$D15915,nESPEC,DATOS!$E15915,nASIG,DATOS!$I15915,nEVAL,"OR")=0))</f>
      </c>
      <c r="I15915">
        <f>IF(DATOS!$I15915="","",IFERROR(VLOOKUP(DATOS!$I15915,CONFIG_ASIGNATURAS!$B$2:$J$91,9,FALSE()),""))</f>
      </c>
    </row>
    <row r="15916">
      <c r="F15916">
        <f>IF(DATOS!$A15916="","",DATOS!$A15916&amp;"|"&amp;DATOS!$D15916&amp;"|"&amp;DATOS!$E15916&amp;"|"&amp;DATOS!$I15916)</f>
      </c>
      <c r="G15916">
        <f>IF(DATOS!$A15916="",0,IF(CONFIG_METADATA!$B$4&lt;&gt;"OR+EX",--(DATOS!$G15916=CONFIG_METADATA!$B$4),IF(DATOS!$G15916="EX",1,IF(DATOS!$G15916="OR",--(COUNTIFS(nNIA,DATOS!$A15916,nCURSO,DATOS!$D15916,nESPEC,DATOS!$E15916,nASIG,DATOS!$I15916,nEVAL,"EX")=0),0))))</f>
      </c>
      <c r="H15916">
        <f>IF(DATOS!$G15916&lt;&gt;"EX",0,--(COUNTIFS(nNIA,DATOS!$A15916,nCURSO,DATOS!$D15916,nESPEC,DATOS!$E15916,nASIG,DATOS!$I15916,nEVAL,"OR")=0))</f>
      </c>
      <c r="I15916">
        <f>IF(DATOS!$I15916="","",IFERROR(VLOOKUP(DATOS!$I15916,CONFIG_ASIGNATURAS!$B$2:$J$91,9,FALSE()),""))</f>
      </c>
    </row>
    <row r="15917">
      <c r="F15917">
        <f>IF(DATOS!$A15917="","",DATOS!$A15917&amp;"|"&amp;DATOS!$D15917&amp;"|"&amp;DATOS!$E15917&amp;"|"&amp;DATOS!$I15917)</f>
      </c>
      <c r="G15917">
        <f>IF(DATOS!$A15917="",0,IF(CONFIG_METADATA!$B$4&lt;&gt;"OR+EX",--(DATOS!$G15917=CONFIG_METADATA!$B$4),IF(DATOS!$G15917="EX",1,IF(DATOS!$G15917="OR",--(COUNTIFS(nNIA,DATOS!$A15917,nCURSO,DATOS!$D15917,nESPEC,DATOS!$E15917,nASIG,DATOS!$I15917,nEVAL,"EX")=0),0))))</f>
      </c>
      <c r="H15917">
        <f>IF(DATOS!$G15917&lt;&gt;"EX",0,--(COUNTIFS(nNIA,DATOS!$A15917,nCURSO,DATOS!$D15917,nESPEC,DATOS!$E15917,nASIG,DATOS!$I15917,nEVAL,"OR")=0))</f>
      </c>
      <c r="I15917">
        <f>IF(DATOS!$I15917="","",IFERROR(VLOOKUP(DATOS!$I15917,CONFIG_ASIGNATURAS!$B$2:$J$91,9,FALSE()),""))</f>
      </c>
    </row>
    <row r="15918">
      <c r="F15918">
        <f>IF(DATOS!$A15918="","",DATOS!$A15918&amp;"|"&amp;DATOS!$D15918&amp;"|"&amp;DATOS!$E15918&amp;"|"&amp;DATOS!$I15918)</f>
      </c>
      <c r="G15918">
        <f>IF(DATOS!$A15918="",0,IF(CONFIG_METADATA!$B$4&lt;&gt;"OR+EX",--(DATOS!$G15918=CONFIG_METADATA!$B$4),IF(DATOS!$G15918="EX",1,IF(DATOS!$G15918="OR",--(COUNTIFS(nNIA,DATOS!$A15918,nCURSO,DATOS!$D15918,nESPEC,DATOS!$E15918,nASIG,DATOS!$I15918,nEVAL,"EX")=0),0))))</f>
      </c>
      <c r="H15918">
        <f>IF(DATOS!$G15918&lt;&gt;"EX",0,--(COUNTIFS(nNIA,DATOS!$A15918,nCURSO,DATOS!$D15918,nESPEC,DATOS!$E15918,nASIG,DATOS!$I15918,nEVAL,"OR")=0))</f>
      </c>
      <c r="I15918">
        <f>IF(DATOS!$I15918="","",IFERROR(VLOOKUP(DATOS!$I15918,CONFIG_ASIGNATURAS!$B$2:$J$91,9,FALSE()),""))</f>
      </c>
    </row>
    <row r="15919">
      <c r="F15919">
        <f>IF(DATOS!$A15919="","",DATOS!$A15919&amp;"|"&amp;DATOS!$D15919&amp;"|"&amp;DATOS!$E15919&amp;"|"&amp;DATOS!$I15919)</f>
      </c>
      <c r="G15919">
        <f>IF(DATOS!$A15919="",0,IF(CONFIG_METADATA!$B$4&lt;&gt;"OR+EX",--(DATOS!$G15919=CONFIG_METADATA!$B$4),IF(DATOS!$G15919="EX",1,IF(DATOS!$G15919="OR",--(COUNTIFS(nNIA,DATOS!$A15919,nCURSO,DATOS!$D15919,nESPEC,DATOS!$E15919,nASIG,DATOS!$I15919,nEVAL,"EX")=0),0))))</f>
      </c>
      <c r="H15919">
        <f>IF(DATOS!$G15919&lt;&gt;"EX",0,--(COUNTIFS(nNIA,DATOS!$A15919,nCURSO,DATOS!$D15919,nESPEC,DATOS!$E15919,nASIG,DATOS!$I15919,nEVAL,"OR")=0))</f>
      </c>
      <c r="I15919">
        <f>IF(DATOS!$I15919="","",IFERROR(VLOOKUP(DATOS!$I15919,CONFIG_ASIGNATURAS!$B$2:$J$91,9,FALSE()),""))</f>
      </c>
    </row>
    <row r="15920">
      <c r="F15920">
        <f>IF(DATOS!$A15920="","",DATOS!$A15920&amp;"|"&amp;DATOS!$D15920&amp;"|"&amp;DATOS!$E15920&amp;"|"&amp;DATOS!$I15920)</f>
      </c>
      <c r="G15920">
        <f>IF(DATOS!$A15920="",0,IF(CONFIG_METADATA!$B$4&lt;&gt;"OR+EX",--(DATOS!$G15920=CONFIG_METADATA!$B$4),IF(DATOS!$G15920="EX",1,IF(DATOS!$G15920="OR",--(COUNTIFS(nNIA,DATOS!$A15920,nCURSO,DATOS!$D15920,nESPEC,DATOS!$E15920,nASIG,DATOS!$I15920,nEVAL,"EX")=0),0))))</f>
      </c>
      <c r="H15920">
        <f>IF(DATOS!$G15920&lt;&gt;"EX",0,--(COUNTIFS(nNIA,DATOS!$A15920,nCURSO,DATOS!$D15920,nESPEC,DATOS!$E15920,nASIG,DATOS!$I15920,nEVAL,"OR")=0))</f>
      </c>
      <c r="I15920">
        <f>IF(DATOS!$I15920="","",IFERROR(VLOOKUP(DATOS!$I15920,CONFIG_ASIGNATURAS!$B$2:$J$91,9,FALSE()),""))</f>
      </c>
    </row>
    <row r="15921">
      <c r="F15921">
        <f>IF(DATOS!$A15921="","",DATOS!$A15921&amp;"|"&amp;DATOS!$D15921&amp;"|"&amp;DATOS!$E15921&amp;"|"&amp;DATOS!$I15921)</f>
      </c>
      <c r="G15921">
        <f>IF(DATOS!$A15921="",0,IF(CONFIG_METADATA!$B$4&lt;&gt;"OR+EX",--(DATOS!$G15921=CONFIG_METADATA!$B$4),IF(DATOS!$G15921="EX",1,IF(DATOS!$G15921="OR",--(COUNTIFS(nNIA,DATOS!$A15921,nCURSO,DATOS!$D15921,nESPEC,DATOS!$E15921,nASIG,DATOS!$I15921,nEVAL,"EX")=0),0))))</f>
      </c>
      <c r="H15921">
        <f>IF(DATOS!$G15921&lt;&gt;"EX",0,--(COUNTIFS(nNIA,DATOS!$A15921,nCURSO,DATOS!$D15921,nESPEC,DATOS!$E15921,nASIG,DATOS!$I15921,nEVAL,"OR")=0))</f>
      </c>
      <c r="I15921">
        <f>IF(DATOS!$I15921="","",IFERROR(VLOOKUP(DATOS!$I15921,CONFIG_ASIGNATURAS!$B$2:$J$91,9,FALSE()),""))</f>
      </c>
    </row>
    <row r="15922">
      <c r="F15922">
        <f>IF(DATOS!$A15922="","",DATOS!$A15922&amp;"|"&amp;DATOS!$D15922&amp;"|"&amp;DATOS!$E15922&amp;"|"&amp;DATOS!$I15922)</f>
      </c>
      <c r="G15922">
        <f>IF(DATOS!$A15922="",0,IF(CONFIG_METADATA!$B$4&lt;&gt;"OR+EX",--(DATOS!$G15922=CONFIG_METADATA!$B$4),IF(DATOS!$G15922="EX",1,IF(DATOS!$G15922="OR",--(COUNTIFS(nNIA,DATOS!$A15922,nCURSO,DATOS!$D15922,nESPEC,DATOS!$E15922,nASIG,DATOS!$I15922,nEVAL,"EX")=0),0))))</f>
      </c>
      <c r="H15922">
        <f>IF(DATOS!$G15922&lt;&gt;"EX",0,--(COUNTIFS(nNIA,DATOS!$A15922,nCURSO,DATOS!$D15922,nESPEC,DATOS!$E15922,nASIG,DATOS!$I15922,nEVAL,"OR")=0))</f>
      </c>
      <c r="I15922">
        <f>IF(DATOS!$I15922="","",IFERROR(VLOOKUP(DATOS!$I15922,CONFIG_ASIGNATURAS!$B$2:$J$91,9,FALSE()),""))</f>
      </c>
    </row>
    <row r="15923">
      <c r="F15923">
        <f>IF(DATOS!$A15923="","",DATOS!$A15923&amp;"|"&amp;DATOS!$D15923&amp;"|"&amp;DATOS!$E15923&amp;"|"&amp;DATOS!$I15923)</f>
      </c>
      <c r="G15923">
        <f>IF(DATOS!$A15923="",0,IF(CONFIG_METADATA!$B$4&lt;&gt;"OR+EX",--(DATOS!$G15923=CONFIG_METADATA!$B$4),IF(DATOS!$G15923="EX",1,IF(DATOS!$G15923="OR",--(COUNTIFS(nNIA,DATOS!$A15923,nCURSO,DATOS!$D15923,nESPEC,DATOS!$E15923,nASIG,DATOS!$I15923,nEVAL,"EX")=0),0))))</f>
      </c>
      <c r="H15923">
        <f>IF(DATOS!$G15923&lt;&gt;"EX",0,--(COUNTIFS(nNIA,DATOS!$A15923,nCURSO,DATOS!$D15923,nESPEC,DATOS!$E15923,nASIG,DATOS!$I15923,nEVAL,"OR")=0))</f>
      </c>
      <c r="I15923">
        <f>IF(DATOS!$I15923="","",IFERROR(VLOOKUP(DATOS!$I15923,CONFIG_ASIGNATURAS!$B$2:$J$91,9,FALSE()),""))</f>
      </c>
    </row>
    <row r="15924">
      <c r="F15924">
        <f>IF(DATOS!$A15924="","",DATOS!$A15924&amp;"|"&amp;DATOS!$D15924&amp;"|"&amp;DATOS!$E15924&amp;"|"&amp;DATOS!$I15924)</f>
      </c>
      <c r="G15924">
        <f>IF(DATOS!$A15924="",0,IF(CONFIG_METADATA!$B$4&lt;&gt;"OR+EX",--(DATOS!$G15924=CONFIG_METADATA!$B$4),IF(DATOS!$G15924="EX",1,IF(DATOS!$G15924="OR",--(COUNTIFS(nNIA,DATOS!$A15924,nCURSO,DATOS!$D15924,nESPEC,DATOS!$E15924,nASIG,DATOS!$I15924,nEVAL,"EX")=0),0))))</f>
      </c>
      <c r="H15924">
        <f>IF(DATOS!$G15924&lt;&gt;"EX",0,--(COUNTIFS(nNIA,DATOS!$A15924,nCURSO,DATOS!$D15924,nESPEC,DATOS!$E15924,nASIG,DATOS!$I15924,nEVAL,"OR")=0))</f>
      </c>
      <c r="I15924">
        <f>IF(DATOS!$I15924="","",IFERROR(VLOOKUP(DATOS!$I15924,CONFIG_ASIGNATURAS!$B$2:$J$91,9,FALSE()),""))</f>
      </c>
    </row>
    <row r="15925">
      <c r="F15925">
        <f>IF(DATOS!$A15925="","",DATOS!$A15925&amp;"|"&amp;DATOS!$D15925&amp;"|"&amp;DATOS!$E15925&amp;"|"&amp;DATOS!$I15925)</f>
      </c>
      <c r="G15925">
        <f>IF(DATOS!$A15925="",0,IF(CONFIG_METADATA!$B$4&lt;&gt;"OR+EX",--(DATOS!$G15925=CONFIG_METADATA!$B$4),IF(DATOS!$G15925="EX",1,IF(DATOS!$G15925="OR",--(COUNTIFS(nNIA,DATOS!$A15925,nCURSO,DATOS!$D15925,nESPEC,DATOS!$E15925,nASIG,DATOS!$I15925,nEVAL,"EX")=0),0))))</f>
      </c>
      <c r="H15925">
        <f>IF(DATOS!$G15925&lt;&gt;"EX",0,--(COUNTIFS(nNIA,DATOS!$A15925,nCURSO,DATOS!$D15925,nESPEC,DATOS!$E15925,nASIG,DATOS!$I15925,nEVAL,"OR")=0))</f>
      </c>
      <c r="I15925">
        <f>IF(DATOS!$I15925="","",IFERROR(VLOOKUP(DATOS!$I15925,CONFIG_ASIGNATURAS!$B$2:$J$91,9,FALSE()),""))</f>
      </c>
    </row>
    <row r="15926">
      <c r="F15926">
        <f>IF(DATOS!$A15926="","",DATOS!$A15926&amp;"|"&amp;DATOS!$D15926&amp;"|"&amp;DATOS!$E15926&amp;"|"&amp;DATOS!$I15926)</f>
      </c>
      <c r="G15926">
        <f>IF(DATOS!$A15926="",0,IF(CONFIG_METADATA!$B$4&lt;&gt;"OR+EX",--(DATOS!$G15926=CONFIG_METADATA!$B$4),IF(DATOS!$G15926="EX",1,IF(DATOS!$G15926="OR",--(COUNTIFS(nNIA,DATOS!$A15926,nCURSO,DATOS!$D15926,nESPEC,DATOS!$E15926,nASIG,DATOS!$I15926,nEVAL,"EX")=0),0))))</f>
      </c>
      <c r="H15926">
        <f>IF(DATOS!$G15926&lt;&gt;"EX",0,--(COUNTIFS(nNIA,DATOS!$A15926,nCURSO,DATOS!$D15926,nESPEC,DATOS!$E15926,nASIG,DATOS!$I15926,nEVAL,"OR")=0))</f>
      </c>
      <c r="I15926">
        <f>IF(DATOS!$I15926="","",IFERROR(VLOOKUP(DATOS!$I15926,CONFIG_ASIGNATURAS!$B$2:$J$91,9,FALSE()),""))</f>
      </c>
    </row>
    <row r="15927">
      <c r="F15927">
        <f>IF(DATOS!$A15927="","",DATOS!$A15927&amp;"|"&amp;DATOS!$D15927&amp;"|"&amp;DATOS!$E15927&amp;"|"&amp;DATOS!$I15927)</f>
      </c>
      <c r="G15927">
        <f>IF(DATOS!$A15927="",0,IF(CONFIG_METADATA!$B$4&lt;&gt;"OR+EX",--(DATOS!$G15927=CONFIG_METADATA!$B$4),IF(DATOS!$G15927="EX",1,IF(DATOS!$G15927="OR",--(COUNTIFS(nNIA,DATOS!$A15927,nCURSO,DATOS!$D15927,nESPEC,DATOS!$E15927,nASIG,DATOS!$I15927,nEVAL,"EX")=0),0))))</f>
      </c>
      <c r="H15927">
        <f>IF(DATOS!$G15927&lt;&gt;"EX",0,--(COUNTIFS(nNIA,DATOS!$A15927,nCURSO,DATOS!$D15927,nESPEC,DATOS!$E15927,nASIG,DATOS!$I15927,nEVAL,"OR")=0))</f>
      </c>
      <c r="I15927">
        <f>IF(DATOS!$I15927="","",IFERROR(VLOOKUP(DATOS!$I15927,CONFIG_ASIGNATURAS!$B$2:$J$91,9,FALSE()),""))</f>
      </c>
    </row>
    <row r="15928">
      <c r="F15928">
        <f>IF(DATOS!$A15928="","",DATOS!$A15928&amp;"|"&amp;DATOS!$D15928&amp;"|"&amp;DATOS!$E15928&amp;"|"&amp;DATOS!$I15928)</f>
      </c>
      <c r="G15928">
        <f>IF(DATOS!$A15928="",0,IF(CONFIG_METADATA!$B$4&lt;&gt;"OR+EX",--(DATOS!$G15928=CONFIG_METADATA!$B$4),IF(DATOS!$G15928="EX",1,IF(DATOS!$G15928="OR",--(COUNTIFS(nNIA,DATOS!$A15928,nCURSO,DATOS!$D15928,nESPEC,DATOS!$E15928,nASIG,DATOS!$I15928,nEVAL,"EX")=0),0))))</f>
      </c>
      <c r="H15928">
        <f>IF(DATOS!$G15928&lt;&gt;"EX",0,--(COUNTIFS(nNIA,DATOS!$A15928,nCURSO,DATOS!$D15928,nESPEC,DATOS!$E15928,nASIG,DATOS!$I15928,nEVAL,"OR")=0))</f>
      </c>
      <c r="I15928">
        <f>IF(DATOS!$I15928="","",IFERROR(VLOOKUP(DATOS!$I15928,CONFIG_ASIGNATURAS!$B$2:$J$91,9,FALSE()),""))</f>
      </c>
    </row>
    <row r="15929">
      <c r="F15929">
        <f>IF(DATOS!$A15929="","",DATOS!$A15929&amp;"|"&amp;DATOS!$D15929&amp;"|"&amp;DATOS!$E15929&amp;"|"&amp;DATOS!$I15929)</f>
      </c>
      <c r="G15929">
        <f>IF(DATOS!$A15929="",0,IF(CONFIG_METADATA!$B$4&lt;&gt;"OR+EX",--(DATOS!$G15929=CONFIG_METADATA!$B$4),IF(DATOS!$G15929="EX",1,IF(DATOS!$G15929="OR",--(COUNTIFS(nNIA,DATOS!$A15929,nCURSO,DATOS!$D15929,nESPEC,DATOS!$E15929,nASIG,DATOS!$I15929,nEVAL,"EX")=0),0))))</f>
      </c>
      <c r="H15929">
        <f>IF(DATOS!$G15929&lt;&gt;"EX",0,--(COUNTIFS(nNIA,DATOS!$A15929,nCURSO,DATOS!$D15929,nESPEC,DATOS!$E15929,nASIG,DATOS!$I15929,nEVAL,"OR")=0))</f>
      </c>
      <c r="I15929">
        <f>IF(DATOS!$I15929="","",IFERROR(VLOOKUP(DATOS!$I15929,CONFIG_ASIGNATURAS!$B$2:$J$91,9,FALSE()),""))</f>
      </c>
    </row>
    <row r="15930">
      <c r="F15930">
        <f>IF(DATOS!$A15930="","",DATOS!$A15930&amp;"|"&amp;DATOS!$D15930&amp;"|"&amp;DATOS!$E15930&amp;"|"&amp;DATOS!$I15930)</f>
      </c>
      <c r="G15930">
        <f>IF(DATOS!$A15930="",0,IF(CONFIG_METADATA!$B$4&lt;&gt;"OR+EX",--(DATOS!$G15930=CONFIG_METADATA!$B$4),IF(DATOS!$G15930="EX",1,IF(DATOS!$G15930="OR",--(COUNTIFS(nNIA,DATOS!$A15930,nCURSO,DATOS!$D15930,nESPEC,DATOS!$E15930,nASIG,DATOS!$I15930,nEVAL,"EX")=0),0))))</f>
      </c>
      <c r="H15930">
        <f>IF(DATOS!$G15930&lt;&gt;"EX",0,--(COUNTIFS(nNIA,DATOS!$A15930,nCURSO,DATOS!$D15930,nESPEC,DATOS!$E15930,nASIG,DATOS!$I15930,nEVAL,"OR")=0))</f>
      </c>
      <c r="I15930">
        <f>IF(DATOS!$I15930="","",IFERROR(VLOOKUP(DATOS!$I15930,CONFIG_ASIGNATURAS!$B$2:$J$91,9,FALSE()),""))</f>
      </c>
    </row>
    <row r="15931">
      <c r="F15931">
        <f>IF(DATOS!$A15931="","",DATOS!$A15931&amp;"|"&amp;DATOS!$D15931&amp;"|"&amp;DATOS!$E15931&amp;"|"&amp;DATOS!$I15931)</f>
      </c>
      <c r="G15931">
        <f>IF(DATOS!$A15931="",0,IF(CONFIG_METADATA!$B$4&lt;&gt;"OR+EX",--(DATOS!$G15931=CONFIG_METADATA!$B$4),IF(DATOS!$G15931="EX",1,IF(DATOS!$G15931="OR",--(COUNTIFS(nNIA,DATOS!$A15931,nCURSO,DATOS!$D15931,nESPEC,DATOS!$E15931,nASIG,DATOS!$I15931,nEVAL,"EX")=0),0))))</f>
      </c>
      <c r="H15931">
        <f>IF(DATOS!$G15931&lt;&gt;"EX",0,--(COUNTIFS(nNIA,DATOS!$A15931,nCURSO,DATOS!$D15931,nESPEC,DATOS!$E15931,nASIG,DATOS!$I15931,nEVAL,"OR")=0))</f>
      </c>
      <c r="I15931">
        <f>IF(DATOS!$I15931="","",IFERROR(VLOOKUP(DATOS!$I15931,CONFIG_ASIGNATURAS!$B$2:$J$91,9,FALSE()),""))</f>
      </c>
    </row>
    <row r="15932">
      <c r="F15932">
        <f>IF(DATOS!$A15932="","",DATOS!$A15932&amp;"|"&amp;DATOS!$D15932&amp;"|"&amp;DATOS!$E15932&amp;"|"&amp;DATOS!$I15932)</f>
      </c>
      <c r="G15932">
        <f>IF(DATOS!$A15932="",0,IF(CONFIG_METADATA!$B$4&lt;&gt;"OR+EX",--(DATOS!$G15932=CONFIG_METADATA!$B$4),IF(DATOS!$G15932="EX",1,IF(DATOS!$G15932="OR",--(COUNTIFS(nNIA,DATOS!$A15932,nCURSO,DATOS!$D15932,nESPEC,DATOS!$E15932,nASIG,DATOS!$I15932,nEVAL,"EX")=0),0))))</f>
      </c>
      <c r="H15932">
        <f>IF(DATOS!$G15932&lt;&gt;"EX",0,--(COUNTIFS(nNIA,DATOS!$A15932,nCURSO,DATOS!$D15932,nESPEC,DATOS!$E15932,nASIG,DATOS!$I15932,nEVAL,"OR")=0))</f>
      </c>
      <c r="I15932">
        <f>IF(DATOS!$I15932="","",IFERROR(VLOOKUP(DATOS!$I15932,CONFIG_ASIGNATURAS!$B$2:$J$91,9,FALSE()),""))</f>
      </c>
    </row>
    <row r="15933">
      <c r="F15933">
        <f>IF(DATOS!$A15933="","",DATOS!$A15933&amp;"|"&amp;DATOS!$D15933&amp;"|"&amp;DATOS!$E15933&amp;"|"&amp;DATOS!$I15933)</f>
      </c>
      <c r="G15933">
        <f>IF(DATOS!$A15933="",0,IF(CONFIG_METADATA!$B$4&lt;&gt;"OR+EX",--(DATOS!$G15933=CONFIG_METADATA!$B$4),IF(DATOS!$G15933="EX",1,IF(DATOS!$G15933="OR",--(COUNTIFS(nNIA,DATOS!$A15933,nCURSO,DATOS!$D15933,nESPEC,DATOS!$E15933,nASIG,DATOS!$I15933,nEVAL,"EX")=0),0))))</f>
      </c>
      <c r="H15933">
        <f>IF(DATOS!$G15933&lt;&gt;"EX",0,--(COUNTIFS(nNIA,DATOS!$A15933,nCURSO,DATOS!$D15933,nESPEC,DATOS!$E15933,nASIG,DATOS!$I15933,nEVAL,"OR")=0))</f>
      </c>
      <c r="I15933">
        <f>IF(DATOS!$I15933="","",IFERROR(VLOOKUP(DATOS!$I15933,CONFIG_ASIGNATURAS!$B$2:$J$91,9,FALSE()),""))</f>
      </c>
    </row>
    <row r="15934">
      <c r="F15934">
        <f>IF(DATOS!$A15934="","",DATOS!$A15934&amp;"|"&amp;DATOS!$D15934&amp;"|"&amp;DATOS!$E15934&amp;"|"&amp;DATOS!$I15934)</f>
      </c>
      <c r="G15934">
        <f>IF(DATOS!$A15934="",0,IF(CONFIG_METADATA!$B$4&lt;&gt;"OR+EX",--(DATOS!$G15934=CONFIG_METADATA!$B$4),IF(DATOS!$G15934="EX",1,IF(DATOS!$G15934="OR",--(COUNTIFS(nNIA,DATOS!$A15934,nCURSO,DATOS!$D15934,nESPEC,DATOS!$E15934,nASIG,DATOS!$I15934,nEVAL,"EX")=0),0))))</f>
      </c>
      <c r="H15934">
        <f>IF(DATOS!$G15934&lt;&gt;"EX",0,--(COUNTIFS(nNIA,DATOS!$A15934,nCURSO,DATOS!$D15934,nESPEC,DATOS!$E15934,nASIG,DATOS!$I15934,nEVAL,"OR")=0))</f>
      </c>
      <c r="I15934">
        <f>IF(DATOS!$I15934="","",IFERROR(VLOOKUP(DATOS!$I15934,CONFIG_ASIGNATURAS!$B$2:$J$91,9,FALSE()),""))</f>
      </c>
    </row>
    <row r="15935">
      <c r="F15935">
        <f>IF(DATOS!$A15935="","",DATOS!$A15935&amp;"|"&amp;DATOS!$D15935&amp;"|"&amp;DATOS!$E15935&amp;"|"&amp;DATOS!$I15935)</f>
      </c>
      <c r="G15935">
        <f>IF(DATOS!$A15935="",0,IF(CONFIG_METADATA!$B$4&lt;&gt;"OR+EX",--(DATOS!$G15935=CONFIG_METADATA!$B$4),IF(DATOS!$G15935="EX",1,IF(DATOS!$G15935="OR",--(COUNTIFS(nNIA,DATOS!$A15935,nCURSO,DATOS!$D15935,nESPEC,DATOS!$E15935,nASIG,DATOS!$I15935,nEVAL,"EX")=0),0))))</f>
      </c>
      <c r="H15935">
        <f>IF(DATOS!$G15935&lt;&gt;"EX",0,--(COUNTIFS(nNIA,DATOS!$A15935,nCURSO,DATOS!$D15935,nESPEC,DATOS!$E15935,nASIG,DATOS!$I15935,nEVAL,"OR")=0))</f>
      </c>
      <c r="I15935">
        <f>IF(DATOS!$I15935="","",IFERROR(VLOOKUP(DATOS!$I15935,CONFIG_ASIGNATURAS!$B$2:$J$91,9,FALSE()),""))</f>
      </c>
    </row>
    <row r="15936">
      <c r="F15936">
        <f>IF(DATOS!$A15936="","",DATOS!$A15936&amp;"|"&amp;DATOS!$D15936&amp;"|"&amp;DATOS!$E15936&amp;"|"&amp;DATOS!$I15936)</f>
      </c>
      <c r="G15936">
        <f>IF(DATOS!$A15936="",0,IF(CONFIG_METADATA!$B$4&lt;&gt;"OR+EX",--(DATOS!$G15936=CONFIG_METADATA!$B$4),IF(DATOS!$G15936="EX",1,IF(DATOS!$G15936="OR",--(COUNTIFS(nNIA,DATOS!$A15936,nCURSO,DATOS!$D15936,nESPEC,DATOS!$E15936,nASIG,DATOS!$I15936,nEVAL,"EX")=0),0))))</f>
      </c>
      <c r="H15936">
        <f>IF(DATOS!$G15936&lt;&gt;"EX",0,--(COUNTIFS(nNIA,DATOS!$A15936,nCURSO,DATOS!$D15936,nESPEC,DATOS!$E15936,nASIG,DATOS!$I15936,nEVAL,"OR")=0))</f>
      </c>
      <c r="I15936">
        <f>IF(DATOS!$I15936="","",IFERROR(VLOOKUP(DATOS!$I15936,CONFIG_ASIGNATURAS!$B$2:$J$91,9,FALSE()),""))</f>
      </c>
    </row>
    <row r="15937">
      <c r="F15937">
        <f>IF(DATOS!$A15937="","",DATOS!$A15937&amp;"|"&amp;DATOS!$D15937&amp;"|"&amp;DATOS!$E15937&amp;"|"&amp;DATOS!$I15937)</f>
      </c>
      <c r="G15937">
        <f>IF(DATOS!$A15937="",0,IF(CONFIG_METADATA!$B$4&lt;&gt;"OR+EX",--(DATOS!$G15937=CONFIG_METADATA!$B$4),IF(DATOS!$G15937="EX",1,IF(DATOS!$G15937="OR",--(COUNTIFS(nNIA,DATOS!$A15937,nCURSO,DATOS!$D15937,nESPEC,DATOS!$E15937,nASIG,DATOS!$I15937,nEVAL,"EX")=0),0))))</f>
      </c>
      <c r="H15937">
        <f>IF(DATOS!$G15937&lt;&gt;"EX",0,--(COUNTIFS(nNIA,DATOS!$A15937,nCURSO,DATOS!$D15937,nESPEC,DATOS!$E15937,nASIG,DATOS!$I15937,nEVAL,"OR")=0))</f>
      </c>
      <c r="I15937">
        <f>IF(DATOS!$I15937="","",IFERROR(VLOOKUP(DATOS!$I15937,CONFIG_ASIGNATURAS!$B$2:$J$91,9,FALSE()),""))</f>
      </c>
    </row>
    <row r="15938">
      <c r="F15938">
        <f>IF(DATOS!$A15938="","",DATOS!$A15938&amp;"|"&amp;DATOS!$D15938&amp;"|"&amp;DATOS!$E15938&amp;"|"&amp;DATOS!$I15938)</f>
      </c>
      <c r="G15938">
        <f>IF(DATOS!$A15938="",0,IF(CONFIG_METADATA!$B$4&lt;&gt;"OR+EX",--(DATOS!$G15938=CONFIG_METADATA!$B$4),IF(DATOS!$G15938="EX",1,IF(DATOS!$G15938="OR",--(COUNTIFS(nNIA,DATOS!$A15938,nCURSO,DATOS!$D15938,nESPEC,DATOS!$E15938,nASIG,DATOS!$I15938,nEVAL,"EX")=0),0))))</f>
      </c>
      <c r="H15938">
        <f>IF(DATOS!$G15938&lt;&gt;"EX",0,--(COUNTIFS(nNIA,DATOS!$A15938,nCURSO,DATOS!$D15938,nESPEC,DATOS!$E15938,nASIG,DATOS!$I15938,nEVAL,"OR")=0))</f>
      </c>
      <c r="I15938">
        <f>IF(DATOS!$I15938="","",IFERROR(VLOOKUP(DATOS!$I15938,CONFIG_ASIGNATURAS!$B$2:$J$91,9,FALSE()),""))</f>
      </c>
    </row>
    <row r="15939">
      <c r="F15939">
        <f>IF(DATOS!$A15939="","",DATOS!$A15939&amp;"|"&amp;DATOS!$D15939&amp;"|"&amp;DATOS!$E15939&amp;"|"&amp;DATOS!$I15939)</f>
      </c>
      <c r="G15939">
        <f>IF(DATOS!$A15939="",0,IF(CONFIG_METADATA!$B$4&lt;&gt;"OR+EX",--(DATOS!$G15939=CONFIG_METADATA!$B$4),IF(DATOS!$G15939="EX",1,IF(DATOS!$G15939="OR",--(COUNTIFS(nNIA,DATOS!$A15939,nCURSO,DATOS!$D15939,nESPEC,DATOS!$E15939,nASIG,DATOS!$I15939,nEVAL,"EX")=0),0))))</f>
      </c>
      <c r="H15939">
        <f>IF(DATOS!$G15939&lt;&gt;"EX",0,--(COUNTIFS(nNIA,DATOS!$A15939,nCURSO,DATOS!$D15939,nESPEC,DATOS!$E15939,nASIG,DATOS!$I15939,nEVAL,"OR")=0))</f>
      </c>
      <c r="I15939">
        <f>IF(DATOS!$I15939="","",IFERROR(VLOOKUP(DATOS!$I15939,CONFIG_ASIGNATURAS!$B$2:$J$91,9,FALSE()),""))</f>
      </c>
    </row>
    <row r="15940">
      <c r="F15940">
        <f>IF(DATOS!$A15940="","",DATOS!$A15940&amp;"|"&amp;DATOS!$D15940&amp;"|"&amp;DATOS!$E15940&amp;"|"&amp;DATOS!$I15940)</f>
      </c>
      <c r="G15940">
        <f>IF(DATOS!$A15940="",0,IF(CONFIG_METADATA!$B$4&lt;&gt;"OR+EX",--(DATOS!$G15940=CONFIG_METADATA!$B$4),IF(DATOS!$G15940="EX",1,IF(DATOS!$G15940="OR",--(COUNTIFS(nNIA,DATOS!$A15940,nCURSO,DATOS!$D15940,nESPEC,DATOS!$E15940,nASIG,DATOS!$I15940,nEVAL,"EX")=0),0))))</f>
      </c>
      <c r="H15940">
        <f>IF(DATOS!$G15940&lt;&gt;"EX",0,--(COUNTIFS(nNIA,DATOS!$A15940,nCURSO,DATOS!$D15940,nESPEC,DATOS!$E15940,nASIG,DATOS!$I15940,nEVAL,"OR")=0))</f>
      </c>
      <c r="I15940">
        <f>IF(DATOS!$I15940="","",IFERROR(VLOOKUP(DATOS!$I15940,CONFIG_ASIGNATURAS!$B$2:$J$91,9,FALSE()),""))</f>
      </c>
    </row>
    <row r="15941">
      <c r="F15941">
        <f>IF(DATOS!$A15941="","",DATOS!$A15941&amp;"|"&amp;DATOS!$D15941&amp;"|"&amp;DATOS!$E15941&amp;"|"&amp;DATOS!$I15941)</f>
      </c>
      <c r="G15941">
        <f>IF(DATOS!$A15941="",0,IF(CONFIG_METADATA!$B$4&lt;&gt;"OR+EX",--(DATOS!$G15941=CONFIG_METADATA!$B$4),IF(DATOS!$G15941="EX",1,IF(DATOS!$G15941="OR",--(COUNTIFS(nNIA,DATOS!$A15941,nCURSO,DATOS!$D15941,nESPEC,DATOS!$E15941,nASIG,DATOS!$I15941,nEVAL,"EX")=0),0))))</f>
      </c>
      <c r="H15941">
        <f>IF(DATOS!$G15941&lt;&gt;"EX",0,--(COUNTIFS(nNIA,DATOS!$A15941,nCURSO,DATOS!$D15941,nESPEC,DATOS!$E15941,nASIG,DATOS!$I15941,nEVAL,"OR")=0))</f>
      </c>
      <c r="I15941">
        <f>IF(DATOS!$I15941="","",IFERROR(VLOOKUP(DATOS!$I15941,CONFIG_ASIGNATURAS!$B$2:$J$91,9,FALSE()),""))</f>
      </c>
    </row>
    <row r="15942">
      <c r="F15942">
        <f>IF(DATOS!$A15942="","",DATOS!$A15942&amp;"|"&amp;DATOS!$D15942&amp;"|"&amp;DATOS!$E15942&amp;"|"&amp;DATOS!$I15942)</f>
      </c>
      <c r="G15942">
        <f>IF(DATOS!$A15942="",0,IF(CONFIG_METADATA!$B$4&lt;&gt;"OR+EX",--(DATOS!$G15942=CONFIG_METADATA!$B$4),IF(DATOS!$G15942="EX",1,IF(DATOS!$G15942="OR",--(COUNTIFS(nNIA,DATOS!$A15942,nCURSO,DATOS!$D15942,nESPEC,DATOS!$E15942,nASIG,DATOS!$I15942,nEVAL,"EX")=0),0))))</f>
      </c>
      <c r="H15942">
        <f>IF(DATOS!$G15942&lt;&gt;"EX",0,--(COUNTIFS(nNIA,DATOS!$A15942,nCURSO,DATOS!$D15942,nESPEC,DATOS!$E15942,nASIG,DATOS!$I15942,nEVAL,"OR")=0))</f>
      </c>
      <c r="I15942">
        <f>IF(DATOS!$I15942="","",IFERROR(VLOOKUP(DATOS!$I15942,CONFIG_ASIGNATURAS!$B$2:$J$91,9,FALSE()),""))</f>
      </c>
    </row>
    <row r="15943">
      <c r="F15943">
        <f>IF(DATOS!$A15943="","",DATOS!$A15943&amp;"|"&amp;DATOS!$D15943&amp;"|"&amp;DATOS!$E15943&amp;"|"&amp;DATOS!$I15943)</f>
      </c>
      <c r="G15943">
        <f>IF(DATOS!$A15943="",0,IF(CONFIG_METADATA!$B$4&lt;&gt;"OR+EX",--(DATOS!$G15943=CONFIG_METADATA!$B$4),IF(DATOS!$G15943="EX",1,IF(DATOS!$G15943="OR",--(COUNTIFS(nNIA,DATOS!$A15943,nCURSO,DATOS!$D15943,nESPEC,DATOS!$E15943,nASIG,DATOS!$I15943,nEVAL,"EX")=0),0))))</f>
      </c>
      <c r="H15943">
        <f>IF(DATOS!$G15943&lt;&gt;"EX",0,--(COUNTIFS(nNIA,DATOS!$A15943,nCURSO,DATOS!$D15943,nESPEC,DATOS!$E15943,nASIG,DATOS!$I15943,nEVAL,"OR")=0))</f>
      </c>
      <c r="I15943">
        <f>IF(DATOS!$I15943="","",IFERROR(VLOOKUP(DATOS!$I15943,CONFIG_ASIGNATURAS!$B$2:$J$91,9,FALSE()),""))</f>
      </c>
    </row>
    <row r="15944">
      <c r="F15944">
        <f>IF(DATOS!$A15944="","",DATOS!$A15944&amp;"|"&amp;DATOS!$D15944&amp;"|"&amp;DATOS!$E15944&amp;"|"&amp;DATOS!$I15944)</f>
      </c>
      <c r="G15944">
        <f>IF(DATOS!$A15944="",0,IF(CONFIG_METADATA!$B$4&lt;&gt;"OR+EX",--(DATOS!$G15944=CONFIG_METADATA!$B$4),IF(DATOS!$G15944="EX",1,IF(DATOS!$G15944="OR",--(COUNTIFS(nNIA,DATOS!$A15944,nCURSO,DATOS!$D15944,nESPEC,DATOS!$E15944,nASIG,DATOS!$I15944,nEVAL,"EX")=0),0))))</f>
      </c>
      <c r="H15944">
        <f>IF(DATOS!$G15944&lt;&gt;"EX",0,--(COUNTIFS(nNIA,DATOS!$A15944,nCURSO,DATOS!$D15944,nESPEC,DATOS!$E15944,nASIG,DATOS!$I15944,nEVAL,"OR")=0))</f>
      </c>
      <c r="I15944">
        <f>IF(DATOS!$I15944="","",IFERROR(VLOOKUP(DATOS!$I15944,CONFIG_ASIGNATURAS!$B$2:$J$91,9,FALSE()),""))</f>
      </c>
    </row>
    <row r="15945">
      <c r="F15945">
        <f>IF(DATOS!$A15945="","",DATOS!$A15945&amp;"|"&amp;DATOS!$D15945&amp;"|"&amp;DATOS!$E15945&amp;"|"&amp;DATOS!$I15945)</f>
      </c>
      <c r="G15945">
        <f>IF(DATOS!$A15945="",0,IF(CONFIG_METADATA!$B$4&lt;&gt;"OR+EX",--(DATOS!$G15945=CONFIG_METADATA!$B$4),IF(DATOS!$G15945="EX",1,IF(DATOS!$G15945="OR",--(COUNTIFS(nNIA,DATOS!$A15945,nCURSO,DATOS!$D15945,nESPEC,DATOS!$E15945,nASIG,DATOS!$I15945,nEVAL,"EX")=0),0))))</f>
      </c>
      <c r="H15945">
        <f>IF(DATOS!$G15945&lt;&gt;"EX",0,--(COUNTIFS(nNIA,DATOS!$A15945,nCURSO,DATOS!$D15945,nESPEC,DATOS!$E15945,nASIG,DATOS!$I15945,nEVAL,"OR")=0))</f>
      </c>
      <c r="I15945">
        <f>IF(DATOS!$I15945="","",IFERROR(VLOOKUP(DATOS!$I15945,CONFIG_ASIGNATURAS!$B$2:$J$91,9,FALSE()),""))</f>
      </c>
    </row>
    <row r="15946">
      <c r="F15946">
        <f>IF(DATOS!$A15946="","",DATOS!$A15946&amp;"|"&amp;DATOS!$D15946&amp;"|"&amp;DATOS!$E15946&amp;"|"&amp;DATOS!$I15946)</f>
      </c>
      <c r="G15946">
        <f>IF(DATOS!$A15946="",0,IF(CONFIG_METADATA!$B$4&lt;&gt;"OR+EX",--(DATOS!$G15946=CONFIG_METADATA!$B$4),IF(DATOS!$G15946="EX",1,IF(DATOS!$G15946="OR",--(COUNTIFS(nNIA,DATOS!$A15946,nCURSO,DATOS!$D15946,nESPEC,DATOS!$E15946,nASIG,DATOS!$I15946,nEVAL,"EX")=0),0))))</f>
      </c>
      <c r="H15946">
        <f>IF(DATOS!$G15946&lt;&gt;"EX",0,--(COUNTIFS(nNIA,DATOS!$A15946,nCURSO,DATOS!$D15946,nESPEC,DATOS!$E15946,nASIG,DATOS!$I15946,nEVAL,"OR")=0))</f>
      </c>
      <c r="I15946">
        <f>IF(DATOS!$I15946="","",IFERROR(VLOOKUP(DATOS!$I15946,CONFIG_ASIGNATURAS!$B$2:$J$91,9,FALSE()),""))</f>
      </c>
    </row>
    <row r="15947">
      <c r="F15947">
        <f>IF(DATOS!$A15947="","",DATOS!$A15947&amp;"|"&amp;DATOS!$D15947&amp;"|"&amp;DATOS!$E15947&amp;"|"&amp;DATOS!$I15947)</f>
      </c>
      <c r="G15947">
        <f>IF(DATOS!$A15947="",0,IF(CONFIG_METADATA!$B$4&lt;&gt;"OR+EX",--(DATOS!$G15947=CONFIG_METADATA!$B$4),IF(DATOS!$G15947="EX",1,IF(DATOS!$G15947="OR",--(COUNTIFS(nNIA,DATOS!$A15947,nCURSO,DATOS!$D15947,nESPEC,DATOS!$E15947,nASIG,DATOS!$I15947,nEVAL,"EX")=0),0))))</f>
      </c>
      <c r="H15947">
        <f>IF(DATOS!$G15947&lt;&gt;"EX",0,--(COUNTIFS(nNIA,DATOS!$A15947,nCURSO,DATOS!$D15947,nESPEC,DATOS!$E15947,nASIG,DATOS!$I15947,nEVAL,"OR")=0))</f>
      </c>
      <c r="I15947">
        <f>IF(DATOS!$I15947="","",IFERROR(VLOOKUP(DATOS!$I15947,CONFIG_ASIGNATURAS!$B$2:$J$91,9,FALSE()),""))</f>
      </c>
    </row>
    <row r="15948">
      <c r="F15948">
        <f>IF(DATOS!$A15948="","",DATOS!$A15948&amp;"|"&amp;DATOS!$D15948&amp;"|"&amp;DATOS!$E15948&amp;"|"&amp;DATOS!$I15948)</f>
      </c>
      <c r="G15948">
        <f>IF(DATOS!$A15948="",0,IF(CONFIG_METADATA!$B$4&lt;&gt;"OR+EX",--(DATOS!$G15948=CONFIG_METADATA!$B$4),IF(DATOS!$G15948="EX",1,IF(DATOS!$G15948="OR",--(COUNTIFS(nNIA,DATOS!$A15948,nCURSO,DATOS!$D15948,nESPEC,DATOS!$E15948,nASIG,DATOS!$I15948,nEVAL,"EX")=0),0))))</f>
      </c>
      <c r="H15948">
        <f>IF(DATOS!$G15948&lt;&gt;"EX",0,--(COUNTIFS(nNIA,DATOS!$A15948,nCURSO,DATOS!$D15948,nESPEC,DATOS!$E15948,nASIG,DATOS!$I15948,nEVAL,"OR")=0))</f>
      </c>
      <c r="I15948">
        <f>IF(DATOS!$I15948="","",IFERROR(VLOOKUP(DATOS!$I15948,CONFIG_ASIGNATURAS!$B$2:$J$91,9,FALSE()),""))</f>
      </c>
    </row>
    <row r="15949">
      <c r="F15949">
        <f>IF(DATOS!$A15949="","",DATOS!$A15949&amp;"|"&amp;DATOS!$D15949&amp;"|"&amp;DATOS!$E15949&amp;"|"&amp;DATOS!$I15949)</f>
      </c>
      <c r="G15949">
        <f>IF(DATOS!$A15949="",0,IF(CONFIG_METADATA!$B$4&lt;&gt;"OR+EX",--(DATOS!$G15949=CONFIG_METADATA!$B$4),IF(DATOS!$G15949="EX",1,IF(DATOS!$G15949="OR",--(COUNTIFS(nNIA,DATOS!$A15949,nCURSO,DATOS!$D15949,nESPEC,DATOS!$E15949,nASIG,DATOS!$I15949,nEVAL,"EX")=0),0))))</f>
      </c>
      <c r="H15949">
        <f>IF(DATOS!$G15949&lt;&gt;"EX",0,--(COUNTIFS(nNIA,DATOS!$A15949,nCURSO,DATOS!$D15949,nESPEC,DATOS!$E15949,nASIG,DATOS!$I15949,nEVAL,"OR")=0))</f>
      </c>
      <c r="I15949">
        <f>IF(DATOS!$I15949="","",IFERROR(VLOOKUP(DATOS!$I15949,CONFIG_ASIGNATURAS!$B$2:$J$91,9,FALSE()),""))</f>
      </c>
    </row>
    <row r="15950">
      <c r="F15950">
        <f>IF(DATOS!$A15950="","",DATOS!$A15950&amp;"|"&amp;DATOS!$D15950&amp;"|"&amp;DATOS!$E15950&amp;"|"&amp;DATOS!$I15950)</f>
      </c>
      <c r="G15950">
        <f>IF(DATOS!$A15950="",0,IF(CONFIG_METADATA!$B$4&lt;&gt;"OR+EX",--(DATOS!$G15950=CONFIG_METADATA!$B$4),IF(DATOS!$G15950="EX",1,IF(DATOS!$G15950="OR",--(COUNTIFS(nNIA,DATOS!$A15950,nCURSO,DATOS!$D15950,nESPEC,DATOS!$E15950,nASIG,DATOS!$I15950,nEVAL,"EX")=0),0))))</f>
      </c>
      <c r="H15950">
        <f>IF(DATOS!$G15950&lt;&gt;"EX",0,--(COUNTIFS(nNIA,DATOS!$A15950,nCURSO,DATOS!$D15950,nESPEC,DATOS!$E15950,nASIG,DATOS!$I15950,nEVAL,"OR")=0))</f>
      </c>
      <c r="I15950">
        <f>IF(DATOS!$I15950="","",IFERROR(VLOOKUP(DATOS!$I15950,CONFIG_ASIGNATURAS!$B$2:$J$91,9,FALSE()),""))</f>
      </c>
    </row>
    <row r="15951">
      <c r="F15951">
        <f>IF(DATOS!$A15951="","",DATOS!$A15951&amp;"|"&amp;DATOS!$D15951&amp;"|"&amp;DATOS!$E15951&amp;"|"&amp;DATOS!$I15951)</f>
      </c>
      <c r="G15951">
        <f>IF(DATOS!$A15951="",0,IF(CONFIG_METADATA!$B$4&lt;&gt;"OR+EX",--(DATOS!$G15951=CONFIG_METADATA!$B$4),IF(DATOS!$G15951="EX",1,IF(DATOS!$G15951="OR",--(COUNTIFS(nNIA,DATOS!$A15951,nCURSO,DATOS!$D15951,nESPEC,DATOS!$E15951,nASIG,DATOS!$I15951,nEVAL,"EX")=0),0))))</f>
      </c>
      <c r="H15951">
        <f>IF(DATOS!$G15951&lt;&gt;"EX",0,--(COUNTIFS(nNIA,DATOS!$A15951,nCURSO,DATOS!$D15951,nESPEC,DATOS!$E15951,nASIG,DATOS!$I15951,nEVAL,"OR")=0))</f>
      </c>
      <c r="I15951">
        <f>IF(DATOS!$I15951="","",IFERROR(VLOOKUP(DATOS!$I15951,CONFIG_ASIGNATURAS!$B$2:$J$91,9,FALSE()),""))</f>
      </c>
    </row>
    <row r="15952">
      <c r="F15952">
        <f>IF(DATOS!$A15952="","",DATOS!$A15952&amp;"|"&amp;DATOS!$D15952&amp;"|"&amp;DATOS!$E15952&amp;"|"&amp;DATOS!$I15952)</f>
      </c>
      <c r="G15952">
        <f>IF(DATOS!$A15952="",0,IF(CONFIG_METADATA!$B$4&lt;&gt;"OR+EX",--(DATOS!$G15952=CONFIG_METADATA!$B$4),IF(DATOS!$G15952="EX",1,IF(DATOS!$G15952="OR",--(COUNTIFS(nNIA,DATOS!$A15952,nCURSO,DATOS!$D15952,nESPEC,DATOS!$E15952,nASIG,DATOS!$I15952,nEVAL,"EX")=0),0))))</f>
      </c>
      <c r="H15952">
        <f>IF(DATOS!$G15952&lt;&gt;"EX",0,--(COUNTIFS(nNIA,DATOS!$A15952,nCURSO,DATOS!$D15952,nESPEC,DATOS!$E15952,nASIG,DATOS!$I15952,nEVAL,"OR")=0))</f>
      </c>
      <c r="I15952">
        <f>IF(DATOS!$I15952="","",IFERROR(VLOOKUP(DATOS!$I15952,CONFIG_ASIGNATURAS!$B$2:$J$91,9,FALSE()),""))</f>
      </c>
    </row>
    <row r="15953">
      <c r="F15953">
        <f>IF(DATOS!$A15953="","",DATOS!$A15953&amp;"|"&amp;DATOS!$D15953&amp;"|"&amp;DATOS!$E15953&amp;"|"&amp;DATOS!$I15953)</f>
      </c>
      <c r="G15953">
        <f>IF(DATOS!$A15953="",0,IF(CONFIG_METADATA!$B$4&lt;&gt;"OR+EX",--(DATOS!$G15953=CONFIG_METADATA!$B$4),IF(DATOS!$G15953="EX",1,IF(DATOS!$G15953="OR",--(COUNTIFS(nNIA,DATOS!$A15953,nCURSO,DATOS!$D15953,nESPEC,DATOS!$E15953,nASIG,DATOS!$I15953,nEVAL,"EX")=0),0))))</f>
      </c>
      <c r="H15953">
        <f>IF(DATOS!$G15953&lt;&gt;"EX",0,--(COUNTIFS(nNIA,DATOS!$A15953,nCURSO,DATOS!$D15953,nESPEC,DATOS!$E15953,nASIG,DATOS!$I15953,nEVAL,"OR")=0))</f>
      </c>
      <c r="I15953">
        <f>IF(DATOS!$I15953="","",IFERROR(VLOOKUP(DATOS!$I15953,CONFIG_ASIGNATURAS!$B$2:$J$91,9,FALSE()),""))</f>
      </c>
    </row>
    <row r="15954">
      <c r="F15954">
        <f>IF(DATOS!$A15954="","",DATOS!$A15954&amp;"|"&amp;DATOS!$D15954&amp;"|"&amp;DATOS!$E15954&amp;"|"&amp;DATOS!$I15954)</f>
      </c>
      <c r="G15954">
        <f>IF(DATOS!$A15954="",0,IF(CONFIG_METADATA!$B$4&lt;&gt;"OR+EX",--(DATOS!$G15954=CONFIG_METADATA!$B$4),IF(DATOS!$G15954="EX",1,IF(DATOS!$G15954="OR",--(COUNTIFS(nNIA,DATOS!$A15954,nCURSO,DATOS!$D15954,nESPEC,DATOS!$E15954,nASIG,DATOS!$I15954,nEVAL,"EX")=0),0))))</f>
      </c>
      <c r="H15954">
        <f>IF(DATOS!$G15954&lt;&gt;"EX",0,--(COUNTIFS(nNIA,DATOS!$A15954,nCURSO,DATOS!$D15954,nESPEC,DATOS!$E15954,nASIG,DATOS!$I15954,nEVAL,"OR")=0))</f>
      </c>
      <c r="I15954">
        <f>IF(DATOS!$I15954="","",IFERROR(VLOOKUP(DATOS!$I15954,CONFIG_ASIGNATURAS!$B$2:$J$91,9,FALSE()),""))</f>
      </c>
    </row>
    <row r="15955">
      <c r="F15955">
        <f>IF(DATOS!$A15955="","",DATOS!$A15955&amp;"|"&amp;DATOS!$D15955&amp;"|"&amp;DATOS!$E15955&amp;"|"&amp;DATOS!$I15955)</f>
      </c>
      <c r="G15955">
        <f>IF(DATOS!$A15955="",0,IF(CONFIG_METADATA!$B$4&lt;&gt;"OR+EX",--(DATOS!$G15955=CONFIG_METADATA!$B$4),IF(DATOS!$G15955="EX",1,IF(DATOS!$G15955="OR",--(COUNTIFS(nNIA,DATOS!$A15955,nCURSO,DATOS!$D15955,nESPEC,DATOS!$E15955,nASIG,DATOS!$I15955,nEVAL,"EX")=0),0))))</f>
      </c>
      <c r="H15955">
        <f>IF(DATOS!$G15955&lt;&gt;"EX",0,--(COUNTIFS(nNIA,DATOS!$A15955,nCURSO,DATOS!$D15955,nESPEC,DATOS!$E15955,nASIG,DATOS!$I15955,nEVAL,"OR")=0))</f>
      </c>
      <c r="I15955">
        <f>IF(DATOS!$I15955="","",IFERROR(VLOOKUP(DATOS!$I15955,CONFIG_ASIGNATURAS!$B$2:$J$91,9,FALSE()),""))</f>
      </c>
    </row>
    <row r="15956">
      <c r="F15956">
        <f>IF(DATOS!$A15956="","",DATOS!$A15956&amp;"|"&amp;DATOS!$D15956&amp;"|"&amp;DATOS!$E15956&amp;"|"&amp;DATOS!$I15956)</f>
      </c>
      <c r="G15956">
        <f>IF(DATOS!$A15956="",0,IF(CONFIG_METADATA!$B$4&lt;&gt;"OR+EX",--(DATOS!$G15956=CONFIG_METADATA!$B$4),IF(DATOS!$G15956="EX",1,IF(DATOS!$G15956="OR",--(COUNTIFS(nNIA,DATOS!$A15956,nCURSO,DATOS!$D15956,nESPEC,DATOS!$E15956,nASIG,DATOS!$I15956,nEVAL,"EX")=0),0))))</f>
      </c>
      <c r="H15956">
        <f>IF(DATOS!$G15956&lt;&gt;"EX",0,--(COUNTIFS(nNIA,DATOS!$A15956,nCURSO,DATOS!$D15956,nESPEC,DATOS!$E15956,nASIG,DATOS!$I15956,nEVAL,"OR")=0))</f>
      </c>
      <c r="I15956">
        <f>IF(DATOS!$I15956="","",IFERROR(VLOOKUP(DATOS!$I15956,CONFIG_ASIGNATURAS!$B$2:$J$91,9,FALSE()),""))</f>
      </c>
    </row>
    <row r="15957">
      <c r="F15957">
        <f>IF(DATOS!$A15957="","",DATOS!$A15957&amp;"|"&amp;DATOS!$D15957&amp;"|"&amp;DATOS!$E15957&amp;"|"&amp;DATOS!$I15957)</f>
      </c>
      <c r="G15957">
        <f>IF(DATOS!$A15957="",0,IF(CONFIG_METADATA!$B$4&lt;&gt;"OR+EX",--(DATOS!$G15957=CONFIG_METADATA!$B$4),IF(DATOS!$G15957="EX",1,IF(DATOS!$G15957="OR",--(COUNTIFS(nNIA,DATOS!$A15957,nCURSO,DATOS!$D15957,nESPEC,DATOS!$E15957,nASIG,DATOS!$I15957,nEVAL,"EX")=0),0))))</f>
      </c>
      <c r="H15957">
        <f>IF(DATOS!$G15957&lt;&gt;"EX",0,--(COUNTIFS(nNIA,DATOS!$A15957,nCURSO,DATOS!$D15957,nESPEC,DATOS!$E15957,nASIG,DATOS!$I15957,nEVAL,"OR")=0))</f>
      </c>
      <c r="I15957">
        <f>IF(DATOS!$I15957="","",IFERROR(VLOOKUP(DATOS!$I15957,CONFIG_ASIGNATURAS!$B$2:$J$91,9,FALSE()),""))</f>
      </c>
    </row>
    <row r="15958">
      <c r="F15958">
        <f>IF(DATOS!$A15958="","",DATOS!$A15958&amp;"|"&amp;DATOS!$D15958&amp;"|"&amp;DATOS!$E15958&amp;"|"&amp;DATOS!$I15958)</f>
      </c>
      <c r="G15958">
        <f>IF(DATOS!$A15958="",0,IF(CONFIG_METADATA!$B$4&lt;&gt;"OR+EX",--(DATOS!$G15958=CONFIG_METADATA!$B$4),IF(DATOS!$G15958="EX",1,IF(DATOS!$G15958="OR",--(COUNTIFS(nNIA,DATOS!$A15958,nCURSO,DATOS!$D15958,nESPEC,DATOS!$E15958,nASIG,DATOS!$I15958,nEVAL,"EX")=0),0))))</f>
      </c>
      <c r="H15958">
        <f>IF(DATOS!$G15958&lt;&gt;"EX",0,--(COUNTIFS(nNIA,DATOS!$A15958,nCURSO,DATOS!$D15958,nESPEC,DATOS!$E15958,nASIG,DATOS!$I15958,nEVAL,"OR")=0))</f>
      </c>
      <c r="I15958">
        <f>IF(DATOS!$I15958="","",IFERROR(VLOOKUP(DATOS!$I15958,CONFIG_ASIGNATURAS!$B$2:$J$91,9,FALSE()),""))</f>
      </c>
    </row>
    <row r="15959">
      <c r="F15959">
        <f>IF(DATOS!$A15959="","",DATOS!$A15959&amp;"|"&amp;DATOS!$D15959&amp;"|"&amp;DATOS!$E15959&amp;"|"&amp;DATOS!$I15959)</f>
      </c>
      <c r="G15959">
        <f>IF(DATOS!$A15959="",0,IF(CONFIG_METADATA!$B$4&lt;&gt;"OR+EX",--(DATOS!$G15959=CONFIG_METADATA!$B$4),IF(DATOS!$G15959="EX",1,IF(DATOS!$G15959="OR",--(COUNTIFS(nNIA,DATOS!$A15959,nCURSO,DATOS!$D15959,nESPEC,DATOS!$E15959,nASIG,DATOS!$I15959,nEVAL,"EX")=0),0))))</f>
      </c>
      <c r="H15959">
        <f>IF(DATOS!$G15959&lt;&gt;"EX",0,--(COUNTIFS(nNIA,DATOS!$A15959,nCURSO,DATOS!$D15959,nESPEC,DATOS!$E15959,nASIG,DATOS!$I15959,nEVAL,"OR")=0))</f>
      </c>
      <c r="I15959">
        <f>IF(DATOS!$I15959="","",IFERROR(VLOOKUP(DATOS!$I15959,CONFIG_ASIGNATURAS!$B$2:$J$91,9,FALSE()),""))</f>
      </c>
    </row>
    <row r="15960">
      <c r="F15960">
        <f>IF(DATOS!$A15960="","",DATOS!$A15960&amp;"|"&amp;DATOS!$D15960&amp;"|"&amp;DATOS!$E15960&amp;"|"&amp;DATOS!$I15960)</f>
      </c>
      <c r="G15960">
        <f>IF(DATOS!$A15960="",0,IF(CONFIG_METADATA!$B$4&lt;&gt;"OR+EX",--(DATOS!$G15960=CONFIG_METADATA!$B$4),IF(DATOS!$G15960="EX",1,IF(DATOS!$G15960="OR",--(COUNTIFS(nNIA,DATOS!$A15960,nCURSO,DATOS!$D15960,nESPEC,DATOS!$E15960,nASIG,DATOS!$I15960,nEVAL,"EX")=0),0))))</f>
      </c>
      <c r="H15960">
        <f>IF(DATOS!$G15960&lt;&gt;"EX",0,--(COUNTIFS(nNIA,DATOS!$A15960,nCURSO,DATOS!$D15960,nESPEC,DATOS!$E15960,nASIG,DATOS!$I15960,nEVAL,"OR")=0))</f>
      </c>
      <c r="I15960">
        <f>IF(DATOS!$I15960="","",IFERROR(VLOOKUP(DATOS!$I15960,CONFIG_ASIGNATURAS!$B$2:$J$91,9,FALSE()),""))</f>
      </c>
    </row>
    <row r="15961">
      <c r="F15961">
        <f>IF(DATOS!$A15961="","",DATOS!$A15961&amp;"|"&amp;DATOS!$D15961&amp;"|"&amp;DATOS!$E15961&amp;"|"&amp;DATOS!$I15961)</f>
      </c>
      <c r="G15961">
        <f>IF(DATOS!$A15961="",0,IF(CONFIG_METADATA!$B$4&lt;&gt;"OR+EX",--(DATOS!$G15961=CONFIG_METADATA!$B$4),IF(DATOS!$G15961="EX",1,IF(DATOS!$G15961="OR",--(COUNTIFS(nNIA,DATOS!$A15961,nCURSO,DATOS!$D15961,nESPEC,DATOS!$E15961,nASIG,DATOS!$I15961,nEVAL,"EX")=0),0))))</f>
      </c>
      <c r="H15961">
        <f>IF(DATOS!$G15961&lt;&gt;"EX",0,--(COUNTIFS(nNIA,DATOS!$A15961,nCURSO,DATOS!$D15961,nESPEC,DATOS!$E15961,nASIG,DATOS!$I15961,nEVAL,"OR")=0))</f>
      </c>
      <c r="I15961">
        <f>IF(DATOS!$I15961="","",IFERROR(VLOOKUP(DATOS!$I15961,CONFIG_ASIGNATURAS!$B$2:$J$91,9,FALSE()),""))</f>
      </c>
    </row>
    <row r="15962">
      <c r="F15962">
        <f>IF(DATOS!$A15962="","",DATOS!$A15962&amp;"|"&amp;DATOS!$D15962&amp;"|"&amp;DATOS!$E15962&amp;"|"&amp;DATOS!$I15962)</f>
      </c>
      <c r="G15962">
        <f>IF(DATOS!$A15962="",0,IF(CONFIG_METADATA!$B$4&lt;&gt;"OR+EX",--(DATOS!$G15962=CONFIG_METADATA!$B$4),IF(DATOS!$G15962="EX",1,IF(DATOS!$G15962="OR",--(COUNTIFS(nNIA,DATOS!$A15962,nCURSO,DATOS!$D15962,nESPEC,DATOS!$E15962,nASIG,DATOS!$I15962,nEVAL,"EX")=0),0))))</f>
      </c>
      <c r="H15962">
        <f>IF(DATOS!$G15962&lt;&gt;"EX",0,--(COUNTIFS(nNIA,DATOS!$A15962,nCURSO,DATOS!$D15962,nESPEC,DATOS!$E15962,nASIG,DATOS!$I15962,nEVAL,"OR")=0))</f>
      </c>
      <c r="I15962">
        <f>IF(DATOS!$I15962="","",IFERROR(VLOOKUP(DATOS!$I15962,CONFIG_ASIGNATURAS!$B$2:$J$91,9,FALSE()),""))</f>
      </c>
    </row>
    <row r="15963">
      <c r="F15963">
        <f>IF(DATOS!$A15963="","",DATOS!$A15963&amp;"|"&amp;DATOS!$D15963&amp;"|"&amp;DATOS!$E15963&amp;"|"&amp;DATOS!$I15963)</f>
      </c>
      <c r="G15963">
        <f>IF(DATOS!$A15963="",0,IF(CONFIG_METADATA!$B$4&lt;&gt;"OR+EX",--(DATOS!$G15963=CONFIG_METADATA!$B$4),IF(DATOS!$G15963="EX",1,IF(DATOS!$G15963="OR",--(COUNTIFS(nNIA,DATOS!$A15963,nCURSO,DATOS!$D15963,nESPEC,DATOS!$E15963,nASIG,DATOS!$I15963,nEVAL,"EX")=0),0))))</f>
      </c>
      <c r="H15963">
        <f>IF(DATOS!$G15963&lt;&gt;"EX",0,--(COUNTIFS(nNIA,DATOS!$A15963,nCURSO,DATOS!$D15963,nESPEC,DATOS!$E15963,nASIG,DATOS!$I15963,nEVAL,"OR")=0))</f>
      </c>
      <c r="I15963">
        <f>IF(DATOS!$I15963="","",IFERROR(VLOOKUP(DATOS!$I15963,CONFIG_ASIGNATURAS!$B$2:$J$91,9,FALSE()),""))</f>
      </c>
    </row>
    <row r="15964">
      <c r="F15964">
        <f>IF(DATOS!$A15964="","",DATOS!$A15964&amp;"|"&amp;DATOS!$D15964&amp;"|"&amp;DATOS!$E15964&amp;"|"&amp;DATOS!$I15964)</f>
      </c>
      <c r="G15964">
        <f>IF(DATOS!$A15964="",0,IF(CONFIG_METADATA!$B$4&lt;&gt;"OR+EX",--(DATOS!$G15964=CONFIG_METADATA!$B$4),IF(DATOS!$G15964="EX",1,IF(DATOS!$G15964="OR",--(COUNTIFS(nNIA,DATOS!$A15964,nCURSO,DATOS!$D15964,nESPEC,DATOS!$E15964,nASIG,DATOS!$I15964,nEVAL,"EX")=0),0))))</f>
      </c>
      <c r="H15964">
        <f>IF(DATOS!$G15964&lt;&gt;"EX",0,--(COUNTIFS(nNIA,DATOS!$A15964,nCURSO,DATOS!$D15964,nESPEC,DATOS!$E15964,nASIG,DATOS!$I15964,nEVAL,"OR")=0))</f>
      </c>
      <c r="I15964">
        <f>IF(DATOS!$I15964="","",IFERROR(VLOOKUP(DATOS!$I15964,CONFIG_ASIGNATURAS!$B$2:$J$91,9,FALSE()),""))</f>
      </c>
    </row>
    <row r="15965">
      <c r="F15965">
        <f>IF(DATOS!$A15965="","",DATOS!$A15965&amp;"|"&amp;DATOS!$D15965&amp;"|"&amp;DATOS!$E15965&amp;"|"&amp;DATOS!$I15965)</f>
      </c>
      <c r="G15965">
        <f>IF(DATOS!$A15965="",0,IF(CONFIG_METADATA!$B$4&lt;&gt;"OR+EX",--(DATOS!$G15965=CONFIG_METADATA!$B$4),IF(DATOS!$G15965="EX",1,IF(DATOS!$G15965="OR",--(COUNTIFS(nNIA,DATOS!$A15965,nCURSO,DATOS!$D15965,nESPEC,DATOS!$E15965,nASIG,DATOS!$I15965,nEVAL,"EX")=0),0))))</f>
      </c>
      <c r="H15965">
        <f>IF(DATOS!$G15965&lt;&gt;"EX",0,--(COUNTIFS(nNIA,DATOS!$A15965,nCURSO,DATOS!$D15965,nESPEC,DATOS!$E15965,nASIG,DATOS!$I15965,nEVAL,"OR")=0))</f>
      </c>
      <c r="I15965">
        <f>IF(DATOS!$I15965="","",IFERROR(VLOOKUP(DATOS!$I15965,CONFIG_ASIGNATURAS!$B$2:$J$91,9,FALSE()),""))</f>
      </c>
    </row>
    <row r="15966">
      <c r="F15966">
        <f>IF(DATOS!$A15966="","",DATOS!$A15966&amp;"|"&amp;DATOS!$D15966&amp;"|"&amp;DATOS!$E15966&amp;"|"&amp;DATOS!$I15966)</f>
      </c>
      <c r="G15966">
        <f>IF(DATOS!$A15966="",0,IF(CONFIG_METADATA!$B$4&lt;&gt;"OR+EX",--(DATOS!$G15966=CONFIG_METADATA!$B$4),IF(DATOS!$G15966="EX",1,IF(DATOS!$G15966="OR",--(COUNTIFS(nNIA,DATOS!$A15966,nCURSO,DATOS!$D15966,nESPEC,DATOS!$E15966,nASIG,DATOS!$I15966,nEVAL,"EX")=0),0))))</f>
      </c>
      <c r="H15966">
        <f>IF(DATOS!$G15966&lt;&gt;"EX",0,--(COUNTIFS(nNIA,DATOS!$A15966,nCURSO,DATOS!$D15966,nESPEC,DATOS!$E15966,nASIG,DATOS!$I15966,nEVAL,"OR")=0))</f>
      </c>
      <c r="I15966">
        <f>IF(DATOS!$I15966="","",IFERROR(VLOOKUP(DATOS!$I15966,CONFIG_ASIGNATURAS!$B$2:$J$91,9,FALSE()),""))</f>
      </c>
    </row>
    <row r="15967">
      <c r="F15967">
        <f>IF(DATOS!$A15967="","",DATOS!$A15967&amp;"|"&amp;DATOS!$D15967&amp;"|"&amp;DATOS!$E15967&amp;"|"&amp;DATOS!$I15967)</f>
      </c>
      <c r="G15967">
        <f>IF(DATOS!$A15967="",0,IF(CONFIG_METADATA!$B$4&lt;&gt;"OR+EX",--(DATOS!$G15967=CONFIG_METADATA!$B$4),IF(DATOS!$G15967="EX",1,IF(DATOS!$G15967="OR",--(COUNTIFS(nNIA,DATOS!$A15967,nCURSO,DATOS!$D15967,nESPEC,DATOS!$E15967,nASIG,DATOS!$I15967,nEVAL,"EX")=0),0))))</f>
      </c>
      <c r="H15967">
        <f>IF(DATOS!$G15967&lt;&gt;"EX",0,--(COUNTIFS(nNIA,DATOS!$A15967,nCURSO,DATOS!$D15967,nESPEC,DATOS!$E15967,nASIG,DATOS!$I15967,nEVAL,"OR")=0))</f>
      </c>
      <c r="I15967">
        <f>IF(DATOS!$I15967="","",IFERROR(VLOOKUP(DATOS!$I15967,CONFIG_ASIGNATURAS!$B$2:$J$91,9,FALSE()),""))</f>
      </c>
    </row>
    <row r="15968">
      <c r="F15968">
        <f>IF(DATOS!$A15968="","",DATOS!$A15968&amp;"|"&amp;DATOS!$D15968&amp;"|"&amp;DATOS!$E15968&amp;"|"&amp;DATOS!$I15968)</f>
      </c>
      <c r="G15968">
        <f>IF(DATOS!$A15968="",0,IF(CONFIG_METADATA!$B$4&lt;&gt;"OR+EX",--(DATOS!$G15968=CONFIG_METADATA!$B$4),IF(DATOS!$G15968="EX",1,IF(DATOS!$G15968="OR",--(COUNTIFS(nNIA,DATOS!$A15968,nCURSO,DATOS!$D15968,nESPEC,DATOS!$E15968,nASIG,DATOS!$I15968,nEVAL,"EX")=0),0))))</f>
      </c>
      <c r="H15968">
        <f>IF(DATOS!$G15968&lt;&gt;"EX",0,--(COUNTIFS(nNIA,DATOS!$A15968,nCURSO,DATOS!$D15968,nESPEC,DATOS!$E15968,nASIG,DATOS!$I15968,nEVAL,"OR")=0))</f>
      </c>
      <c r="I15968">
        <f>IF(DATOS!$I15968="","",IFERROR(VLOOKUP(DATOS!$I15968,CONFIG_ASIGNATURAS!$B$2:$J$91,9,FALSE()),""))</f>
      </c>
    </row>
    <row r="15969">
      <c r="F15969">
        <f>IF(DATOS!$A15969="","",DATOS!$A15969&amp;"|"&amp;DATOS!$D15969&amp;"|"&amp;DATOS!$E15969&amp;"|"&amp;DATOS!$I15969)</f>
      </c>
      <c r="G15969">
        <f>IF(DATOS!$A15969="",0,IF(CONFIG_METADATA!$B$4&lt;&gt;"OR+EX",--(DATOS!$G15969=CONFIG_METADATA!$B$4),IF(DATOS!$G15969="EX",1,IF(DATOS!$G15969="OR",--(COUNTIFS(nNIA,DATOS!$A15969,nCURSO,DATOS!$D15969,nESPEC,DATOS!$E15969,nASIG,DATOS!$I15969,nEVAL,"EX")=0),0))))</f>
      </c>
      <c r="H15969">
        <f>IF(DATOS!$G15969&lt;&gt;"EX",0,--(COUNTIFS(nNIA,DATOS!$A15969,nCURSO,DATOS!$D15969,nESPEC,DATOS!$E15969,nASIG,DATOS!$I15969,nEVAL,"OR")=0))</f>
      </c>
      <c r="I15969">
        <f>IF(DATOS!$I15969="","",IFERROR(VLOOKUP(DATOS!$I15969,CONFIG_ASIGNATURAS!$B$2:$J$91,9,FALSE()),""))</f>
      </c>
    </row>
    <row r="15970">
      <c r="F15970">
        <f>IF(DATOS!$A15970="","",DATOS!$A15970&amp;"|"&amp;DATOS!$D15970&amp;"|"&amp;DATOS!$E15970&amp;"|"&amp;DATOS!$I15970)</f>
      </c>
      <c r="G15970">
        <f>IF(DATOS!$A15970="",0,IF(CONFIG_METADATA!$B$4&lt;&gt;"OR+EX",--(DATOS!$G15970=CONFIG_METADATA!$B$4),IF(DATOS!$G15970="EX",1,IF(DATOS!$G15970="OR",--(COUNTIFS(nNIA,DATOS!$A15970,nCURSO,DATOS!$D15970,nESPEC,DATOS!$E15970,nASIG,DATOS!$I15970,nEVAL,"EX")=0),0))))</f>
      </c>
      <c r="H15970">
        <f>IF(DATOS!$G15970&lt;&gt;"EX",0,--(COUNTIFS(nNIA,DATOS!$A15970,nCURSO,DATOS!$D15970,nESPEC,DATOS!$E15970,nASIG,DATOS!$I15970,nEVAL,"OR")=0))</f>
      </c>
      <c r="I15970">
        <f>IF(DATOS!$I15970="","",IFERROR(VLOOKUP(DATOS!$I15970,CONFIG_ASIGNATURAS!$B$2:$J$91,9,FALSE()),""))</f>
      </c>
    </row>
    <row r="15971">
      <c r="F15971">
        <f>IF(DATOS!$A15971="","",DATOS!$A15971&amp;"|"&amp;DATOS!$D15971&amp;"|"&amp;DATOS!$E15971&amp;"|"&amp;DATOS!$I15971)</f>
      </c>
      <c r="G15971">
        <f>IF(DATOS!$A15971="",0,IF(CONFIG_METADATA!$B$4&lt;&gt;"OR+EX",--(DATOS!$G15971=CONFIG_METADATA!$B$4),IF(DATOS!$G15971="EX",1,IF(DATOS!$G15971="OR",--(COUNTIFS(nNIA,DATOS!$A15971,nCURSO,DATOS!$D15971,nESPEC,DATOS!$E15971,nASIG,DATOS!$I15971,nEVAL,"EX")=0),0))))</f>
      </c>
      <c r="H15971">
        <f>IF(DATOS!$G15971&lt;&gt;"EX",0,--(COUNTIFS(nNIA,DATOS!$A15971,nCURSO,DATOS!$D15971,nESPEC,DATOS!$E15971,nASIG,DATOS!$I15971,nEVAL,"OR")=0))</f>
      </c>
      <c r="I15971">
        <f>IF(DATOS!$I15971="","",IFERROR(VLOOKUP(DATOS!$I15971,CONFIG_ASIGNATURAS!$B$2:$J$91,9,FALSE()),""))</f>
      </c>
    </row>
    <row r="15972">
      <c r="F15972">
        <f>IF(DATOS!$A15972="","",DATOS!$A15972&amp;"|"&amp;DATOS!$D15972&amp;"|"&amp;DATOS!$E15972&amp;"|"&amp;DATOS!$I15972)</f>
      </c>
      <c r="G15972">
        <f>IF(DATOS!$A15972="",0,IF(CONFIG_METADATA!$B$4&lt;&gt;"OR+EX",--(DATOS!$G15972=CONFIG_METADATA!$B$4),IF(DATOS!$G15972="EX",1,IF(DATOS!$G15972="OR",--(COUNTIFS(nNIA,DATOS!$A15972,nCURSO,DATOS!$D15972,nESPEC,DATOS!$E15972,nASIG,DATOS!$I15972,nEVAL,"EX")=0),0))))</f>
      </c>
      <c r="H15972">
        <f>IF(DATOS!$G15972&lt;&gt;"EX",0,--(COUNTIFS(nNIA,DATOS!$A15972,nCURSO,DATOS!$D15972,nESPEC,DATOS!$E15972,nASIG,DATOS!$I15972,nEVAL,"OR")=0))</f>
      </c>
      <c r="I15972">
        <f>IF(DATOS!$I15972="","",IFERROR(VLOOKUP(DATOS!$I15972,CONFIG_ASIGNATURAS!$B$2:$J$91,9,FALSE()),""))</f>
      </c>
    </row>
    <row r="15973">
      <c r="F15973">
        <f>IF(DATOS!$A15973="","",DATOS!$A15973&amp;"|"&amp;DATOS!$D15973&amp;"|"&amp;DATOS!$E15973&amp;"|"&amp;DATOS!$I15973)</f>
      </c>
      <c r="G15973">
        <f>IF(DATOS!$A15973="",0,IF(CONFIG_METADATA!$B$4&lt;&gt;"OR+EX",--(DATOS!$G15973=CONFIG_METADATA!$B$4),IF(DATOS!$G15973="EX",1,IF(DATOS!$G15973="OR",--(COUNTIFS(nNIA,DATOS!$A15973,nCURSO,DATOS!$D15973,nESPEC,DATOS!$E15973,nASIG,DATOS!$I15973,nEVAL,"EX")=0),0))))</f>
      </c>
      <c r="H15973">
        <f>IF(DATOS!$G15973&lt;&gt;"EX",0,--(COUNTIFS(nNIA,DATOS!$A15973,nCURSO,DATOS!$D15973,nESPEC,DATOS!$E15973,nASIG,DATOS!$I15973,nEVAL,"OR")=0))</f>
      </c>
      <c r="I15973">
        <f>IF(DATOS!$I15973="","",IFERROR(VLOOKUP(DATOS!$I15973,CONFIG_ASIGNATURAS!$B$2:$J$91,9,FALSE()),""))</f>
      </c>
    </row>
    <row r="15974">
      <c r="F15974">
        <f>IF(DATOS!$A15974="","",DATOS!$A15974&amp;"|"&amp;DATOS!$D15974&amp;"|"&amp;DATOS!$E15974&amp;"|"&amp;DATOS!$I15974)</f>
      </c>
      <c r="G15974">
        <f>IF(DATOS!$A15974="",0,IF(CONFIG_METADATA!$B$4&lt;&gt;"OR+EX",--(DATOS!$G15974=CONFIG_METADATA!$B$4),IF(DATOS!$G15974="EX",1,IF(DATOS!$G15974="OR",--(COUNTIFS(nNIA,DATOS!$A15974,nCURSO,DATOS!$D15974,nESPEC,DATOS!$E15974,nASIG,DATOS!$I15974,nEVAL,"EX")=0),0))))</f>
      </c>
      <c r="H15974">
        <f>IF(DATOS!$G15974&lt;&gt;"EX",0,--(COUNTIFS(nNIA,DATOS!$A15974,nCURSO,DATOS!$D15974,nESPEC,DATOS!$E15974,nASIG,DATOS!$I15974,nEVAL,"OR")=0))</f>
      </c>
      <c r="I15974">
        <f>IF(DATOS!$I15974="","",IFERROR(VLOOKUP(DATOS!$I15974,CONFIG_ASIGNATURAS!$B$2:$J$91,9,FALSE()),""))</f>
      </c>
    </row>
    <row r="15975">
      <c r="F15975">
        <f>IF(DATOS!$A15975="","",DATOS!$A15975&amp;"|"&amp;DATOS!$D15975&amp;"|"&amp;DATOS!$E15975&amp;"|"&amp;DATOS!$I15975)</f>
      </c>
      <c r="G15975">
        <f>IF(DATOS!$A15975="",0,IF(CONFIG_METADATA!$B$4&lt;&gt;"OR+EX",--(DATOS!$G15975=CONFIG_METADATA!$B$4),IF(DATOS!$G15975="EX",1,IF(DATOS!$G15975="OR",--(COUNTIFS(nNIA,DATOS!$A15975,nCURSO,DATOS!$D15975,nESPEC,DATOS!$E15975,nASIG,DATOS!$I15975,nEVAL,"EX")=0),0))))</f>
      </c>
      <c r="H15975">
        <f>IF(DATOS!$G15975&lt;&gt;"EX",0,--(COUNTIFS(nNIA,DATOS!$A15975,nCURSO,DATOS!$D15975,nESPEC,DATOS!$E15975,nASIG,DATOS!$I15975,nEVAL,"OR")=0))</f>
      </c>
      <c r="I15975">
        <f>IF(DATOS!$I15975="","",IFERROR(VLOOKUP(DATOS!$I15975,CONFIG_ASIGNATURAS!$B$2:$J$91,9,FALSE()),""))</f>
      </c>
    </row>
    <row r="15976">
      <c r="F15976">
        <f>IF(DATOS!$A15976="","",DATOS!$A15976&amp;"|"&amp;DATOS!$D15976&amp;"|"&amp;DATOS!$E15976&amp;"|"&amp;DATOS!$I15976)</f>
      </c>
      <c r="G15976">
        <f>IF(DATOS!$A15976="",0,IF(CONFIG_METADATA!$B$4&lt;&gt;"OR+EX",--(DATOS!$G15976=CONFIG_METADATA!$B$4),IF(DATOS!$G15976="EX",1,IF(DATOS!$G15976="OR",--(COUNTIFS(nNIA,DATOS!$A15976,nCURSO,DATOS!$D15976,nESPEC,DATOS!$E15976,nASIG,DATOS!$I15976,nEVAL,"EX")=0),0))))</f>
      </c>
      <c r="H15976">
        <f>IF(DATOS!$G15976&lt;&gt;"EX",0,--(COUNTIFS(nNIA,DATOS!$A15976,nCURSO,DATOS!$D15976,nESPEC,DATOS!$E15976,nASIG,DATOS!$I15976,nEVAL,"OR")=0))</f>
      </c>
      <c r="I15976">
        <f>IF(DATOS!$I15976="","",IFERROR(VLOOKUP(DATOS!$I15976,CONFIG_ASIGNATURAS!$B$2:$J$91,9,FALSE()),""))</f>
      </c>
    </row>
    <row r="15977">
      <c r="F15977">
        <f>IF(DATOS!$A15977="","",DATOS!$A15977&amp;"|"&amp;DATOS!$D15977&amp;"|"&amp;DATOS!$E15977&amp;"|"&amp;DATOS!$I15977)</f>
      </c>
      <c r="G15977">
        <f>IF(DATOS!$A15977="",0,IF(CONFIG_METADATA!$B$4&lt;&gt;"OR+EX",--(DATOS!$G15977=CONFIG_METADATA!$B$4),IF(DATOS!$G15977="EX",1,IF(DATOS!$G15977="OR",--(COUNTIFS(nNIA,DATOS!$A15977,nCURSO,DATOS!$D15977,nESPEC,DATOS!$E15977,nASIG,DATOS!$I15977,nEVAL,"EX")=0),0))))</f>
      </c>
      <c r="H15977">
        <f>IF(DATOS!$G15977&lt;&gt;"EX",0,--(COUNTIFS(nNIA,DATOS!$A15977,nCURSO,DATOS!$D15977,nESPEC,DATOS!$E15977,nASIG,DATOS!$I15977,nEVAL,"OR")=0))</f>
      </c>
      <c r="I15977">
        <f>IF(DATOS!$I15977="","",IFERROR(VLOOKUP(DATOS!$I15977,CONFIG_ASIGNATURAS!$B$2:$J$91,9,FALSE()),""))</f>
      </c>
    </row>
    <row r="15978">
      <c r="F15978">
        <f>IF(DATOS!$A15978="","",DATOS!$A15978&amp;"|"&amp;DATOS!$D15978&amp;"|"&amp;DATOS!$E15978&amp;"|"&amp;DATOS!$I15978)</f>
      </c>
      <c r="G15978">
        <f>IF(DATOS!$A15978="",0,IF(CONFIG_METADATA!$B$4&lt;&gt;"OR+EX",--(DATOS!$G15978=CONFIG_METADATA!$B$4),IF(DATOS!$G15978="EX",1,IF(DATOS!$G15978="OR",--(COUNTIFS(nNIA,DATOS!$A15978,nCURSO,DATOS!$D15978,nESPEC,DATOS!$E15978,nASIG,DATOS!$I15978,nEVAL,"EX")=0),0))))</f>
      </c>
      <c r="H15978">
        <f>IF(DATOS!$G15978&lt;&gt;"EX",0,--(COUNTIFS(nNIA,DATOS!$A15978,nCURSO,DATOS!$D15978,nESPEC,DATOS!$E15978,nASIG,DATOS!$I15978,nEVAL,"OR")=0))</f>
      </c>
      <c r="I15978">
        <f>IF(DATOS!$I15978="","",IFERROR(VLOOKUP(DATOS!$I15978,CONFIG_ASIGNATURAS!$B$2:$J$91,9,FALSE()),""))</f>
      </c>
    </row>
    <row r="15979">
      <c r="F15979">
        <f>IF(DATOS!$A15979="","",DATOS!$A15979&amp;"|"&amp;DATOS!$D15979&amp;"|"&amp;DATOS!$E15979&amp;"|"&amp;DATOS!$I15979)</f>
      </c>
      <c r="G15979">
        <f>IF(DATOS!$A15979="",0,IF(CONFIG_METADATA!$B$4&lt;&gt;"OR+EX",--(DATOS!$G15979=CONFIG_METADATA!$B$4),IF(DATOS!$G15979="EX",1,IF(DATOS!$G15979="OR",--(COUNTIFS(nNIA,DATOS!$A15979,nCURSO,DATOS!$D15979,nESPEC,DATOS!$E15979,nASIG,DATOS!$I15979,nEVAL,"EX")=0),0))))</f>
      </c>
      <c r="H15979">
        <f>IF(DATOS!$G15979&lt;&gt;"EX",0,--(COUNTIFS(nNIA,DATOS!$A15979,nCURSO,DATOS!$D15979,nESPEC,DATOS!$E15979,nASIG,DATOS!$I15979,nEVAL,"OR")=0))</f>
      </c>
      <c r="I15979">
        <f>IF(DATOS!$I15979="","",IFERROR(VLOOKUP(DATOS!$I15979,CONFIG_ASIGNATURAS!$B$2:$J$91,9,FALSE()),""))</f>
      </c>
    </row>
    <row r="15980">
      <c r="F15980">
        <f>IF(DATOS!$A15980="","",DATOS!$A15980&amp;"|"&amp;DATOS!$D15980&amp;"|"&amp;DATOS!$E15980&amp;"|"&amp;DATOS!$I15980)</f>
      </c>
      <c r="G15980">
        <f>IF(DATOS!$A15980="",0,IF(CONFIG_METADATA!$B$4&lt;&gt;"OR+EX",--(DATOS!$G15980=CONFIG_METADATA!$B$4),IF(DATOS!$G15980="EX",1,IF(DATOS!$G15980="OR",--(COUNTIFS(nNIA,DATOS!$A15980,nCURSO,DATOS!$D15980,nESPEC,DATOS!$E15980,nASIG,DATOS!$I15980,nEVAL,"EX")=0),0))))</f>
      </c>
      <c r="H15980">
        <f>IF(DATOS!$G15980&lt;&gt;"EX",0,--(COUNTIFS(nNIA,DATOS!$A15980,nCURSO,DATOS!$D15980,nESPEC,DATOS!$E15980,nASIG,DATOS!$I15980,nEVAL,"OR")=0))</f>
      </c>
      <c r="I15980">
        <f>IF(DATOS!$I15980="","",IFERROR(VLOOKUP(DATOS!$I15980,CONFIG_ASIGNATURAS!$B$2:$J$91,9,FALSE()),""))</f>
      </c>
    </row>
    <row r="15981">
      <c r="F15981">
        <f>IF(DATOS!$A15981="","",DATOS!$A15981&amp;"|"&amp;DATOS!$D15981&amp;"|"&amp;DATOS!$E15981&amp;"|"&amp;DATOS!$I15981)</f>
      </c>
      <c r="G15981">
        <f>IF(DATOS!$A15981="",0,IF(CONFIG_METADATA!$B$4&lt;&gt;"OR+EX",--(DATOS!$G15981=CONFIG_METADATA!$B$4),IF(DATOS!$G15981="EX",1,IF(DATOS!$G15981="OR",--(COUNTIFS(nNIA,DATOS!$A15981,nCURSO,DATOS!$D15981,nESPEC,DATOS!$E15981,nASIG,DATOS!$I15981,nEVAL,"EX")=0),0))))</f>
      </c>
      <c r="H15981">
        <f>IF(DATOS!$G15981&lt;&gt;"EX",0,--(COUNTIFS(nNIA,DATOS!$A15981,nCURSO,DATOS!$D15981,nESPEC,DATOS!$E15981,nASIG,DATOS!$I15981,nEVAL,"OR")=0))</f>
      </c>
      <c r="I15981">
        <f>IF(DATOS!$I15981="","",IFERROR(VLOOKUP(DATOS!$I15981,CONFIG_ASIGNATURAS!$B$2:$J$91,9,FALSE()),""))</f>
      </c>
    </row>
    <row r="15982">
      <c r="F15982">
        <f>IF(DATOS!$A15982="","",DATOS!$A15982&amp;"|"&amp;DATOS!$D15982&amp;"|"&amp;DATOS!$E15982&amp;"|"&amp;DATOS!$I15982)</f>
      </c>
      <c r="G15982">
        <f>IF(DATOS!$A15982="",0,IF(CONFIG_METADATA!$B$4&lt;&gt;"OR+EX",--(DATOS!$G15982=CONFIG_METADATA!$B$4),IF(DATOS!$G15982="EX",1,IF(DATOS!$G15982="OR",--(COUNTIFS(nNIA,DATOS!$A15982,nCURSO,DATOS!$D15982,nESPEC,DATOS!$E15982,nASIG,DATOS!$I15982,nEVAL,"EX")=0),0))))</f>
      </c>
      <c r="H15982">
        <f>IF(DATOS!$G15982&lt;&gt;"EX",0,--(COUNTIFS(nNIA,DATOS!$A15982,nCURSO,DATOS!$D15982,nESPEC,DATOS!$E15982,nASIG,DATOS!$I15982,nEVAL,"OR")=0))</f>
      </c>
      <c r="I15982">
        <f>IF(DATOS!$I15982="","",IFERROR(VLOOKUP(DATOS!$I15982,CONFIG_ASIGNATURAS!$B$2:$J$91,9,FALSE()),""))</f>
      </c>
    </row>
    <row r="15983">
      <c r="F15983">
        <f>IF(DATOS!$A15983="","",DATOS!$A15983&amp;"|"&amp;DATOS!$D15983&amp;"|"&amp;DATOS!$E15983&amp;"|"&amp;DATOS!$I15983)</f>
      </c>
      <c r="G15983">
        <f>IF(DATOS!$A15983="",0,IF(CONFIG_METADATA!$B$4&lt;&gt;"OR+EX",--(DATOS!$G15983=CONFIG_METADATA!$B$4),IF(DATOS!$G15983="EX",1,IF(DATOS!$G15983="OR",--(COUNTIFS(nNIA,DATOS!$A15983,nCURSO,DATOS!$D15983,nESPEC,DATOS!$E15983,nASIG,DATOS!$I15983,nEVAL,"EX")=0),0))))</f>
      </c>
      <c r="H15983">
        <f>IF(DATOS!$G15983&lt;&gt;"EX",0,--(COUNTIFS(nNIA,DATOS!$A15983,nCURSO,DATOS!$D15983,nESPEC,DATOS!$E15983,nASIG,DATOS!$I15983,nEVAL,"OR")=0))</f>
      </c>
      <c r="I15983">
        <f>IF(DATOS!$I15983="","",IFERROR(VLOOKUP(DATOS!$I15983,CONFIG_ASIGNATURAS!$B$2:$J$91,9,FALSE()),""))</f>
      </c>
    </row>
    <row r="15984">
      <c r="F15984">
        <f>IF(DATOS!$A15984="","",DATOS!$A15984&amp;"|"&amp;DATOS!$D15984&amp;"|"&amp;DATOS!$E15984&amp;"|"&amp;DATOS!$I15984)</f>
      </c>
      <c r="G15984">
        <f>IF(DATOS!$A15984="",0,IF(CONFIG_METADATA!$B$4&lt;&gt;"OR+EX",--(DATOS!$G15984=CONFIG_METADATA!$B$4),IF(DATOS!$G15984="EX",1,IF(DATOS!$G15984="OR",--(COUNTIFS(nNIA,DATOS!$A15984,nCURSO,DATOS!$D15984,nESPEC,DATOS!$E15984,nASIG,DATOS!$I15984,nEVAL,"EX")=0),0))))</f>
      </c>
      <c r="H15984">
        <f>IF(DATOS!$G15984&lt;&gt;"EX",0,--(COUNTIFS(nNIA,DATOS!$A15984,nCURSO,DATOS!$D15984,nESPEC,DATOS!$E15984,nASIG,DATOS!$I15984,nEVAL,"OR")=0))</f>
      </c>
      <c r="I15984">
        <f>IF(DATOS!$I15984="","",IFERROR(VLOOKUP(DATOS!$I15984,CONFIG_ASIGNATURAS!$B$2:$J$91,9,FALSE()),""))</f>
      </c>
    </row>
    <row r="15985">
      <c r="F15985">
        <f>IF(DATOS!$A15985="","",DATOS!$A15985&amp;"|"&amp;DATOS!$D15985&amp;"|"&amp;DATOS!$E15985&amp;"|"&amp;DATOS!$I15985)</f>
      </c>
      <c r="G15985">
        <f>IF(DATOS!$A15985="",0,IF(CONFIG_METADATA!$B$4&lt;&gt;"OR+EX",--(DATOS!$G15985=CONFIG_METADATA!$B$4),IF(DATOS!$G15985="EX",1,IF(DATOS!$G15985="OR",--(COUNTIFS(nNIA,DATOS!$A15985,nCURSO,DATOS!$D15985,nESPEC,DATOS!$E15985,nASIG,DATOS!$I15985,nEVAL,"EX")=0),0))))</f>
      </c>
      <c r="H15985">
        <f>IF(DATOS!$G15985&lt;&gt;"EX",0,--(COUNTIFS(nNIA,DATOS!$A15985,nCURSO,DATOS!$D15985,nESPEC,DATOS!$E15985,nASIG,DATOS!$I15985,nEVAL,"OR")=0))</f>
      </c>
      <c r="I15985">
        <f>IF(DATOS!$I15985="","",IFERROR(VLOOKUP(DATOS!$I15985,CONFIG_ASIGNATURAS!$B$2:$J$91,9,FALSE()),""))</f>
      </c>
    </row>
    <row r="15986">
      <c r="F15986">
        <f>IF(DATOS!$A15986="","",DATOS!$A15986&amp;"|"&amp;DATOS!$D15986&amp;"|"&amp;DATOS!$E15986&amp;"|"&amp;DATOS!$I15986)</f>
      </c>
      <c r="G15986">
        <f>IF(DATOS!$A15986="",0,IF(CONFIG_METADATA!$B$4&lt;&gt;"OR+EX",--(DATOS!$G15986=CONFIG_METADATA!$B$4),IF(DATOS!$G15986="EX",1,IF(DATOS!$G15986="OR",--(COUNTIFS(nNIA,DATOS!$A15986,nCURSO,DATOS!$D15986,nESPEC,DATOS!$E15986,nASIG,DATOS!$I15986,nEVAL,"EX")=0),0))))</f>
      </c>
      <c r="H15986">
        <f>IF(DATOS!$G15986&lt;&gt;"EX",0,--(COUNTIFS(nNIA,DATOS!$A15986,nCURSO,DATOS!$D15986,nESPEC,DATOS!$E15986,nASIG,DATOS!$I15986,nEVAL,"OR")=0))</f>
      </c>
      <c r="I15986">
        <f>IF(DATOS!$I15986="","",IFERROR(VLOOKUP(DATOS!$I15986,CONFIG_ASIGNATURAS!$B$2:$J$91,9,FALSE()),""))</f>
      </c>
    </row>
    <row r="15987">
      <c r="F15987">
        <f>IF(DATOS!$A15987="","",DATOS!$A15987&amp;"|"&amp;DATOS!$D15987&amp;"|"&amp;DATOS!$E15987&amp;"|"&amp;DATOS!$I15987)</f>
      </c>
      <c r="G15987">
        <f>IF(DATOS!$A15987="",0,IF(CONFIG_METADATA!$B$4&lt;&gt;"OR+EX",--(DATOS!$G15987=CONFIG_METADATA!$B$4),IF(DATOS!$G15987="EX",1,IF(DATOS!$G15987="OR",--(COUNTIFS(nNIA,DATOS!$A15987,nCURSO,DATOS!$D15987,nESPEC,DATOS!$E15987,nASIG,DATOS!$I15987,nEVAL,"EX")=0),0))))</f>
      </c>
      <c r="H15987">
        <f>IF(DATOS!$G15987&lt;&gt;"EX",0,--(COUNTIFS(nNIA,DATOS!$A15987,nCURSO,DATOS!$D15987,nESPEC,DATOS!$E15987,nASIG,DATOS!$I15987,nEVAL,"OR")=0))</f>
      </c>
      <c r="I15987">
        <f>IF(DATOS!$I15987="","",IFERROR(VLOOKUP(DATOS!$I15987,CONFIG_ASIGNATURAS!$B$2:$J$91,9,FALSE()),""))</f>
      </c>
    </row>
    <row r="15988">
      <c r="F15988">
        <f>IF(DATOS!$A15988="","",DATOS!$A15988&amp;"|"&amp;DATOS!$D15988&amp;"|"&amp;DATOS!$E15988&amp;"|"&amp;DATOS!$I15988)</f>
      </c>
      <c r="G15988">
        <f>IF(DATOS!$A15988="",0,IF(CONFIG_METADATA!$B$4&lt;&gt;"OR+EX",--(DATOS!$G15988=CONFIG_METADATA!$B$4),IF(DATOS!$G15988="EX",1,IF(DATOS!$G15988="OR",--(COUNTIFS(nNIA,DATOS!$A15988,nCURSO,DATOS!$D15988,nESPEC,DATOS!$E15988,nASIG,DATOS!$I15988,nEVAL,"EX")=0),0))))</f>
      </c>
      <c r="H15988">
        <f>IF(DATOS!$G15988&lt;&gt;"EX",0,--(COUNTIFS(nNIA,DATOS!$A15988,nCURSO,DATOS!$D15988,nESPEC,DATOS!$E15988,nASIG,DATOS!$I15988,nEVAL,"OR")=0))</f>
      </c>
      <c r="I15988">
        <f>IF(DATOS!$I15988="","",IFERROR(VLOOKUP(DATOS!$I15988,CONFIG_ASIGNATURAS!$B$2:$J$91,9,FALSE()),""))</f>
      </c>
    </row>
    <row r="15989">
      <c r="F15989">
        <f>IF(DATOS!$A15989="","",DATOS!$A15989&amp;"|"&amp;DATOS!$D15989&amp;"|"&amp;DATOS!$E15989&amp;"|"&amp;DATOS!$I15989)</f>
      </c>
      <c r="G15989">
        <f>IF(DATOS!$A15989="",0,IF(CONFIG_METADATA!$B$4&lt;&gt;"OR+EX",--(DATOS!$G15989=CONFIG_METADATA!$B$4),IF(DATOS!$G15989="EX",1,IF(DATOS!$G15989="OR",--(COUNTIFS(nNIA,DATOS!$A15989,nCURSO,DATOS!$D15989,nESPEC,DATOS!$E15989,nASIG,DATOS!$I15989,nEVAL,"EX")=0),0))))</f>
      </c>
      <c r="H15989">
        <f>IF(DATOS!$G15989&lt;&gt;"EX",0,--(COUNTIFS(nNIA,DATOS!$A15989,nCURSO,DATOS!$D15989,nESPEC,DATOS!$E15989,nASIG,DATOS!$I15989,nEVAL,"OR")=0))</f>
      </c>
      <c r="I15989">
        <f>IF(DATOS!$I15989="","",IFERROR(VLOOKUP(DATOS!$I15989,CONFIG_ASIGNATURAS!$B$2:$J$91,9,FALSE()),""))</f>
      </c>
    </row>
    <row r="15990">
      <c r="F15990">
        <f>IF(DATOS!$A15990="","",DATOS!$A15990&amp;"|"&amp;DATOS!$D15990&amp;"|"&amp;DATOS!$E15990&amp;"|"&amp;DATOS!$I15990)</f>
      </c>
      <c r="G15990">
        <f>IF(DATOS!$A15990="",0,IF(CONFIG_METADATA!$B$4&lt;&gt;"OR+EX",--(DATOS!$G15990=CONFIG_METADATA!$B$4),IF(DATOS!$G15990="EX",1,IF(DATOS!$G15990="OR",--(COUNTIFS(nNIA,DATOS!$A15990,nCURSO,DATOS!$D15990,nESPEC,DATOS!$E15990,nASIG,DATOS!$I15990,nEVAL,"EX")=0),0))))</f>
      </c>
      <c r="H15990">
        <f>IF(DATOS!$G15990&lt;&gt;"EX",0,--(COUNTIFS(nNIA,DATOS!$A15990,nCURSO,DATOS!$D15990,nESPEC,DATOS!$E15990,nASIG,DATOS!$I15990,nEVAL,"OR")=0))</f>
      </c>
      <c r="I15990">
        <f>IF(DATOS!$I15990="","",IFERROR(VLOOKUP(DATOS!$I15990,CONFIG_ASIGNATURAS!$B$2:$J$91,9,FALSE()),""))</f>
      </c>
    </row>
    <row r="15991">
      <c r="F15991">
        <f>IF(DATOS!$A15991="","",DATOS!$A15991&amp;"|"&amp;DATOS!$D15991&amp;"|"&amp;DATOS!$E15991&amp;"|"&amp;DATOS!$I15991)</f>
      </c>
      <c r="G15991">
        <f>IF(DATOS!$A15991="",0,IF(CONFIG_METADATA!$B$4&lt;&gt;"OR+EX",--(DATOS!$G15991=CONFIG_METADATA!$B$4),IF(DATOS!$G15991="EX",1,IF(DATOS!$G15991="OR",--(COUNTIFS(nNIA,DATOS!$A15991,nCURSO,DATOS!$D15991,nESPEC,DATOS!$E15991,nASIG,DATOS!$I15991,nEVAL,"EX")=0),0))))</f>
      </c>
      <c r="H15991">
        <f>IF(DATOS!$G15991&lt;&gt;"EX",0,--(COUNTIFS(nNIA,DATOS!$A15991,nCURSO,DATOS!$D15991,nESPEC,DATOS!$E15991,nASIG,DATOS!$I15991,nEVAL,"OR")=0))</f>
      </c>
      <c r="I15991">
        <f>IF(DATOS!$I15991="","",IFERROR(VLOOKUP(DATOS!$I15991,CONFIG_ASIGNATURAS!$B$2:$J$91,9,FALSE()),""))</f>
      </c>
    </row>
    <row r="15992">
      <c r="F15992">
        <f>IF(DATOS!$A15992="","",DATOS!$A15992&amp;"|"&amp;DATOS!$D15992&amp;"|"&amp;DATOS!$E15992&amp;"|"&amp;DATOS!$I15992)</f>
      </c>
      <c r="G15992">
        <f>IF(DATOS!$A15992="",0,IF(CONFIG_METADATA!$B$4&lt;&gt;"OR+EX",--(DATOS!$G15992=CONFIG_METADATA!$B$4),IF(DATOS!$G15992="EX",1,IF(DATOS!$G15992="OR",--(COUNTIFS(nNIA,DATOS!$A15992,nCURSO,DATOS!$D15992,nESPEC,DATOS!$E15992,nASIG,DATOS!$I15992,nEVAL,"EX")=0),0))))</f>
      </c>
      <c r="H15992">
        <f>IF(DATOS!$G15992&lt;&gt;"EX",0,--(COUNTIFS(nNIA,DATOS!$A15992,nCURSO,DATOS!$D15992,nESPEC,DATOS!$E15992,nASIG,DATOS!$I15992,nEVAL,"OR")=0))</f>
      </c>
      <c r="I15992">
        <f>IF(DATOS!$I15992="","",IFERROR(VLOOKUP(DATOS!$I15992,CONFIG_ASIGNATURAS!$B$2:$J$91,9,FALSE()),""))</f>
      </c>
    </row>
    <row r="15993">
      <c r="F15993">
        <f>IF(DATOS!$A15993="","",DATOS!$A15993&amp;"|"&amp;DATOS!$D15993&amp;"|"&amp;DATOS!$E15993&amp;"|"&amp;DATOS!$I15993)</f>
      </c>
      <c r="G15993">
        <f>IF(DATOS!$A15993="",0,IF(CONFIG_METADATA!$B$4&lt;&gt;"OR+EX",--(DATOS!$G15993=CONFIG_METADATA!$B$4),IF(DATOS!$G15993="EX",1,IF(DATOS!$G15993="OR",--(COUNTIFS(nNIA,DATOS!$A15993,nCURSO,DATOS!$D15993,nESPEC,DATOS!$E15993,nASIG,DATOS!$I15993,nEVAL,"EX")=0),0))))</f>
      </c>
      <c r="H15993">
        <f>IF(DATOS!$G15993&lt;&gt;"EX",0,--(COUNTIFS(nNIA,DATOS!$A15993,nCURSO,DATOS!$D15993,nESPEC,DATOS!$E15993,nASIG,DATOS!$I15993,nEVAL,"OR")=0))</f>
      </c>
      <c r="I15993">
        <f>IF(DATOS!$I15993="","",IFERROR(VLOOKUP(DATOS!$I15993,CONFIG_ASIGNATURAS!$B$2:$J$91,9,FALSE()),""))</f>
      </c>
    </row>
    <row r="15994">
      <c r="F15994">
        <f>IF(DATOS!$A15994="","",DATOS!$A15994&amp;"|"&amp;DATOS!$D15994&amp;"|"&amp;DATOS!$E15994&amp;"|"&amp;DATOS!$I15994)</f>
      </c>
      <c r="G15994">
        <f>IF(DATOS!$A15994="",0,IF(CONFIG_METADATA!$B$4&lt;&gt;"OR+EX",--(DATOS!$G15994=CONFIG_METADATA!$B$4),IF(DATOS!$G15994="EX",1,IF(DATOS!$G15994="OR",--(COUNTIFS(nNIA,DATOS!$A15994,nCURSO,DATOS!$D15994,nESPEC,DATOS!$E15994,nASIG,DATOS!$I15994,nEVAL,"EX")=0),0))))</f>
      </c>
      <c r="H15994">
        <f>IF(DATOS!$G15994&lt;&gt;"EX",0,--(COUNTIFS(nNIA,DATOS!$A15994,nCURSO,DATOS!$D15994,nESPEC,DATOS!$E15994,nASIG,DATOS!$I15994,nEVAL,"OR")=0))</f>
      </c>
      <c r="I15994">
        <f>IF(DATOS!$I15994="","",IFERROR(VLOOKUP(DATOS!$I15994,CONFIG_ASIGNATURAS!$B$2:$J$91,9,FALSE()),""))</f>
      </c>
    </row>
    <row r="15995">
      <c r="F15995">
        <f>IF(DATOS!$A15995="","",DATOS!$A15995&amp;"|"&amp;DATOS!$D15995&amp;"|"&amp;DATOS!$E15995&amp;"|"&amp;DATOS!$I15995)</f>
      </c>
      <c r="G15995">
        <f>IF(DATOS!$A15995="",0,IF(CONFIG_METADATA!$B$4&lt;&gt;"OR+EX",--(DATOS!$G15995=CONFIG_METADATA!$B$4),IF(DATOS!$G15995="EX",1,IF(DATOS!$G15995="OR",--(COUNTIFS(nNIA,DATOS!$A15995,nCURSO,DATOS!$D15995,nESPEC,DATOS!$E15995,nASIG,DATOS!$I15995,nEVAL,"EX")=0),0))))</f>
      </c>
      <c r="H15995">
        <f>IF(DATOS!$G15995&lt;&gt;"EX",0,--(COUNTIFS(nNIA,DATOS!$A15995,nCURSO,DATOS!$D15995,nESPEC,DATOS!$E15995,nASIG,DATOS!$I15995,nEVAL,"OR")=0))</f>
      </c>
      <c r="I15995">
        <f>IF(DATOS!$I15995="","",IFERROR(VLOOKUP(DATOS!$I15995,CONFIG_ASIGNATURAS!$B$2:$J$91,9,FALSE()),""))</f>
      </c>
    </row>
    <row r="15996">
      <c r="F15996">
        <f>IF(DATOS!$A15996="","",DATOS!$A15996&amp;"|"&amp;DATOS!$D15996&amp;"|"&amp;DATOS!$E15996&amp;"|"&amp;DATOS!$I15996)</f>
      </c>
      <c r="G15996">
        <f>IF(DATOS!$A15996="",0,IF(CONFIG_METADATA!$B$4&lt;&gt;"OR+EX",--(DATOS!$G15996=CONFIG_METADATA!$B$4),IF(DATOS!$G15996="EX",1,IF(DATOS!$G15996="OR",--(COUNTIFS(nNIA,DATOS!$A15996,nCURSO,DATOS!$D15996,nESPEC,DATOS!$E15996,nASIG,DATOS!$I15996,nEVAL,"EX")=0),0))))</f>
      </c>
      <c r="H15996">
        <f>IF(DATOS!$G15996&lt;&gt;"EX",0,--(COUNTIFS(nNIA,DATOS!$A15996,nCURSO,DATOS!$D15996,nESPEC,DATOS!$E15996,nASIG,DATOS!$I15996,nEVAL,"OR")=0))</f>
      </c>
      <c r="I15996">
        <f>IF(DATOS!$I15996="","",IFERROR(VLOOKUP(DATOS!$I15996,CONFIG_ASIGNATURAS!$B$2:$J$91,9,FALSE()),""))</f>
      </c>
    </row>
    <row r="15997">
      <c r="F15997">
        <f>IF(DATOS!$A15997="","",DATOS!$A15997&amp;"|"&amp;DATOS!$D15997&amp;"|"&amp;DATOS!$E15997&amp;"|"&amp;DATOS!$I15997)</f>
      </c>
      <c r="G15997">
        <f>IF(DATOS!$A15997="",0,IF(CONFIG_METADATA!$B$4&lt;&gt;"OR+EX",--(DATOS!$G15997=CONFIG_METADATA!$B$4),IF(DATOS!$G15997="EX",1,IF(DATOS!$G15997="OR",--(COUNTIFS(nNIA,DATOS!$A15997,nCURSO,DATOS!$D15997,nESPEC,DATOS!$E15997,nASIG,DATOS!$I15997,nEVAL,"EX")=0),0))))</f>
      </c>
      <c r="H15997">
        <f>IF(DATOS!$G15997&lt;&gt;"EX",0,--(COUNTIFS(nNIA,DATOS!$A15997,nCURSO,DATOS!$D15997,nESPEC,DATOS!$E15997,nASIG,DATOS!$I15997,nEVAL,"OR")=0))</f>
      </c>
      <c r="I15997">
        <f>IF(DATOS!$I15997="","",IFERROR(VLOOKUP(DATOS!$I15997,CONFIG_ASIGNATURAS!$B$2:$J$91,9,FALSE()),""))</f>
      </c>
    </row>
    <row r="15998">
      <c r="F15998">
        <f>IF(DATOS!$A15998="","",DATOS!$A15998&amp;"|"&amp;DATOS!$D15998&amp;"|"&amp;DATOS!$E15998&amp;"|"&amp;DATOS!$I15998)</f>
      </c>
      <c r="G15998">
        <f>IF(DATOS!$A15998="",0,IF(CONFIG_METADATA!$B$4&lt;&gt;"OR+EX",--(DATOS!$G15998=CONFIG_METADATA!$B$4),IF(DATOS!$G15998="EX",1,IF(DATOS!$G15998="OR",--(COUNTIFS(nNIA,DATOS!$A15998,nCURSO,DATOS!$D15998,nESPEC,DATOS!$E15998,nASIG,DATOS!$I15998,nEVAL,"EX")=0),0))))</f>
      </c>
      <c r="H15998">
        <f>IF(DATOS!$G15998&lt;&gt;"EX",0,--(COUNTIFS(nNIA,DATOS!$A15998,nCURSO,DATOS!$D15998,nESPEC,DATOS!$E15998,nASIG,DATOS!$I15998,nEVAL,"OR")=0))</f>
      </c>
      <c r="I15998">
        <f>IF(DATOS!$I15998="","",IFERROR(VLOOKUP(DATOS!$I15998,CONFIG_ASIGNATURAS!$B$2:$J$91,9,FALSE()),""))</f>
      </c>
    </row>
    <row r="15999">
      <c r="F15999">
        <f>IF(DATOS!$A15999="","",DATOS!$A15999&amp;"|"&amp;DATOS!$D15999&amp;"|"&amp;DATOS!$E15999&amp;"|"&amp;DATOS!$I15999)</f>
      </c>
      <c r="G15999">
        <f>IF(DATOS!$A15999="",0,IF(CONFIG_METADATA!$B$4&lt;&gt;"OR+EX",--(DATOS!$G15999=CONFIG_METADATA!$B$4),IF(DATOS!$G15999="EX",1,IF(DATOS!$G15999="OR",--(COUNTIFS(nNIA,DATOS!$A15999,nCURSO,DATOS!$D15999,nESPEC,DATOS!$E15999,nASIG,DATOS!$I15999,nEVAL,"EX")=0),0))))</f>
      </c>
      <c r="H15999">
        <f>IF(DATOS!$G15999&lt;&gt;"EX",0,--(COUNTIFS(nNIA,DATOS!$A15999,nCURSO,DATOS!$D15999,nESPEC,DATOS!$E15999,nASIG,DATOS!$I15999,nEVAL,"OR")=0))</f>
      </c>
      <c r="I15999">
        <f>IF(DATOS!$I15999="","",IFERROR(VLOOKUP(DATOS!$I15999,CONFIG_ASIGNATURAS!$B$2:$J$91,9,FALSE()),""))</f>
      </c>
    </row>
    <row r="16000">
      <c r="F16000">
        <f>IF(DATOS!$A16000="","",DATOS!$A16000&amp;"|"&amp;DATOS!$D16000&amp;"|"&amp;DATOS!$E16000&amp;"|"&amp;DATOS!$I16000)</f>
      </c>
      <c r="G16000">
        <f>IF(DATOS!$A16000="",0,IF(CONFIG_METADATA!$B$4&lt;&gt;"OR+EX",--(DATOS!$G16000=CONFIG_METADATA!$B$4),IF(DATOS!$G16000="EX",1,IF(DATOS!$G16000="OR",--(COUNTIFS(nNIA,DATOS!$A16000,nCURSO,DATOS!$D16000,nESPEC,DATOS!$E16000,nASIG,DATOS!$I16000,nEVAL,"EX")=0),0))))</f>
      </c>
      <c r="H16000">
        <f>IF(DATOS!$G16000&lt;&gt;"EX",0,--(COUNTIFS(nNIA,DATOS!$A16000,nCURSO,DATOS!$D16000,nESPEC,DATOS!$E16000,nASIG,DATOS!$I16000,nEVAL,"OR")=0))</f>
      </c>
      <c r="I16000">
        <f>IF(DATOS!$I16000="","",IFERROR(VLOOKUP(DATOS!$I16000,CONFIG_ASIGNATURAS!$B$2:$J$91,9,FALSE()),""))</f>
      </c>
    </row>
    <row r="16001">
      <c r="F16001">
        <f>IF(DATOS!$A16001="","",DATOS!$A16001&amp;"|"&amp;DATOS!$D16001&amp;"|"&amp;DATOS!$E16001&amp;"|"&amp;DATOS!$I16001)</f>
      </c>
      <c r="G16001">
        <f>IF(DATOS!$A16001="",0,IF(CONFIG_METADATA!$B$4&lt;&gt;"OR+EX",--(DATOS!$G16001=CONFIG_METADATA!$B$4),IF(DATOS!$G16001="EX",1,IF(DATOS!$G16001="OR",--(COUNTIFS(nNIA,DATOS!$A16001,nCURSO,DATOS!$D16001,nESPEC,DATOS!$E16001,nASIG,DATOS!$I16001,nEVAL,"EX")=0),0))))</f>
      </c>
      <c r="H16001">
        <f>IF(DATOS!$G16001&lt;&gt;"EX",0,--(COUNTIFS(nNIA,DATOS!$A16001,nCURSO,DATOS!$D16001,nESPEC,DATOS!$E16001,nASIG,DATOS!$I16001,nEVAL,"OR")=0))</f>
      </c>
      <c r="I16001">
        <f>IF(DATOS!$I16001="","",IFERROR(VLOOKUP(DATOS!$I16001,CONFIG_ASIGNATURAS!$B$2:$J$91,9,FALSE()),""))</f>
      </c>
    </row>
    <row r="16002">
      <c r="F16002">
        <f>IF(DATOS!$A16002="","",DATOS!$A16002&amp;"|"&amp;DATOS!$D16002&amp;"|"&amp;DATOS!$E16002&amp;"|"&amp;DATOS!$I16002)</f>
      </c>
      <c r="G16002">
        <f>IF(DATOS!$A16002="",0,IF(CONFIG_METADATA!$B$4&lt;&gt;"OR+EX",--(DATOS!$G16002=CONFIG_METADATA!$B$4),IF(DATOS!$G16002="EX",1,IF(DATOS!$G16002="OR",--(COUNTIFS(nNIA,DATOS!$A16002,nCURSO,DATOS!$D16002,nESPEC,DATOS!$E16002,nASIG,DATOS!$I16002,nEVAL,"EX")=0),0))))</f>
      </c>
      <c r="H16002">
        <f>IF(DATOS!$G16002&lt;&gt;"EX",0,--(COUNTIFS(nNIA,DATOS!$A16002,nCURSO,DATOS!$D16002,nESPEC,DATOS!$E16002,nASIG,DATOS!$I16002,nEVAL,"OR")=0))</f>
      </c>
      <c r="I16002">
        <f>IF(DATOS!$I16002="","",IFERROR(VLOOKUP(DATOS!$I16002,CONFIG_ASIGNATURAS!$B$2:$J$91,9,FALSE()),""))</f>
      </c>
    </row>
    <row r="16003">
      <c r="F16003">
        <f>IF(DATOS!$A16003="","",DATOS!$A16003&amp;"|"&amp;DATOS!$D16003&amp;"|"&amp;DATOS!$E16003&amp;"|"&amp;DATOS!$I16003)</f>
      </c>
      <c r="G16003">
        <f>IF(DATOS!$A16003="",0,IF(CONFIG_METADATA!$B$4&lt;&gt;"OR+EX",--(DATOS!$G16003=CONFIG_METADATA!$B$4),IF(DATOS!$G16003="EX",1,IF(DATOS!$G16003="OR",--(COUNTIFS(nNIA,DATOS!$A16003,nCURSO,DATOS!$D16003,nESPEC,DATOS!$E16003,nASIG,DATOS!$I16003,nEVAL,"EX")=0),0))))</f>
      </c>
      <c r="H16003">
        <f>IF(DATOS!$G16003&lt;&gt;"EX",0,--(COUNTIFS(nNIA,DATOS!$A16003,nCURSO,DATOS!$D16003,nESPEC,DATOS!$E16003,nASIG,DATOS!$I16003,nEVAL,"OR")=0))</f>
      </c>
      <c r="I16003">
        <f>IF(DATOS!$I16003="","",IFERROR(VLOOKUP(DATOS!$I16003,CONFIG_ASIGNATURAS!$B$2:$J$91,9,FALSE()),""))</f>
      </c>
    </row>
    <row r="16004">
      <c r="F16004">
        <f>IF(DATOS!$A16004="","",DATOS!$A16004&amp;"|"&amp;DATOS!$D16004&amp;"|"&amp;DATOS!$E16004&amp;"|"&amp;DATOS!$I16004)</f>
      </c>
      <c r="G16004">
        <f>IF(DATOS!$A16004="",0,IF(CONFIG_METADATA!$B$4&lt;&gt;"OR+EX",--(DATOS!$G16004=CONFIG_METADATA!$B$4),IF(DATOS!$G16004="EX",1,IF(DATOS!$G16004="OR",--(COUNTIFS(nNIA,DATOS!$A16004,nCURSO,DATOS!$D16004,nESPEC,DATOS!$E16004,nASIG,DATOS!$I16004,nEVAL,"EX")=0),0))))</f>
      </c>
      <c r="H16004">
        <f>IF(DATOS!$G16004&lt;&gt;"EX",0,--(COUNTIFS(nNIA,DATOS!$A16004,nCURSO,DATOS!$D16004,nESPEC,DATOS!$E16004,nASIG,DATOS!$I16004,nEVAL,"OR")=0))</f>
      </c>
      <c r="I16004">
        <f>IF(DATOS!$I16004="","",IFERROR(VLOOKUP(DATOS!$I16004,CONFIG_ASIGNATURAS!$B$2:$J$91,9,FALSE()),""))</f>
      </c>
    </row>
    <row r="16005">
      <c r="F16005">
        <f>IF(DATOS!$A16005="","",DATOS!$A16005&amp;"|"&amp;DATOS!$D16005&amp;"|"&amp;DATOS!$E16005&amp;"|"&amp;DATOS!$I16005)</f>
      </c>
      <c r="G16005">
        <f>IF(DATOS!$A16005="",0,IF(CONFIG_METADATA!$B$4&lt;&gt;"OR+EX",--(DATOS!$G16005=CONFIG_METADATA!$B$4),IF(DATOS!$G16005="EX",1,IF(DATOS!$G16005="OR",--(COUNTIFS(nNIA,DATOS!$A16005,nCURSO,DATOS!$D16005,nESPEC,DATOS!$E16005,nASIG,DATOS!$I16005,nEVAL,"EX")=0),0))))</f>
      </c>
      <c r="H16005">
        <f>IF(DATOS!$G16005&lt;&gt;"EX",0,--(COUNTIFS(nNIA,DATOS!$A16005,nCURSO,DATOS!$D16005,nESPEC,DATOS!$E16005,nASIG,DATOS!$I16005,nEVAL,"OR")=0))</f>
      </c>
      <c r="I16005">
        <f>IF(DATOS!$I16005="","",IFERROR(VLOOKUP(DATOS!$I16005,CONFIG_ASIGNATURAS!$B$2:$J$91,9,FALSE()),""))</f>
      </c>
    </row>
    <row r="16006">
      <c r="F16006">
        <f>IF(DATOS!$A16006="","",DATOS!$A16006&amp;"|"&amp;DATOS!$D16006&amp;"|"&amp;DATOS!$E16006&amp;"|"&amp;DATOS!$I16006)</f>
      </c>
      <c r="G16006">
        <f>IF(DATOS!$A16006="",0,IF(CONFIG_METADATA!$B$4&lt;&gt;"OR+EX",--(DATOS!$G16006=CONFIG_METADATA!$B$4),IF(DATOS!$G16006="EX",1,IF(DATOS!$G16006="OR",--(COUNTIFS(nNIA,DATOS!$A16006,nCURSO,DATOS!$D16006,nESPEC,DATOS!$E16006,nASIG,DATOS!$I16006,nEVAL,"EX")=0),0))))</f>
      </c>
      <c r="H16006">
        <f>IF(DATOS!$G16006&lt;&gt;"EX",0,--(COUNTIFS(nNIA,DATOS!$A16006,nCURSO,DATOS!$D16006,nESPEC,DATOS!$E16006,nASIG,DATOS!$I16006,nEVAL,"OR")=0))</f>
      </c>
      <c r="I16006">
        <f>IF(DATOS!$I16006="","",IFERROR(VLOOKUP(DATOS!$I16006,CONFIG_ASIGNATURAS!$B$2:$J$91,9,FALSE()),""))</f>
      </c>
    </row>
    <row r="16007">
      <c r="F16007">
        <f>IF(DATOS!$A16007="","",DATOS!$A16007&amp;"|"&amp;DATOS!$D16007&amp;"|"&amp;DATOS!$E16007&amp;"|"&amp;DATOS!$I16007)</f>
      </c>
      <c r="G16007">
        <f>IF(DATOS!$A16007="",0,IF(CONFIG_METADATA!$B$4&lt;&gt;"OR+EX",--(DATOS!$G16007=CONFIG_METADATA!$B$4),IF(DATOS!$G16007="EX",1,IF(DATOS!$G16007="OR",--(COUNTIFS(nNIA,DATOS!$A16007,nCURSO,DATOS!$D16007,nESPEC,DATOS!$E16007,nASIG,DATOS!$I16007,nEVAL,"EX")=0),0))))</f>
      </c>
      <c r="H16007">
        <f>IF(DATOS!$G16007&lt;&gt;"EX",0,--(COUNTIFS(nNIA,DATOS!$A16007,nCURSO,DATOS!$D16007,nESPEC,DATOS!$E16007,nASIG,DATOS!$I16007,nEVAL,"OR")=0))</f>
      </c>
      <c r="I16007">
        <f>IF(DATOS!$I16007="","",IFERROR(VLOOKUP(DATOS!$I16007,CONFIG_ASIGNATURAS!$B$2:$J$91,9,FALSE()),""))</f>
      </c>
    </row>
    <row r="16008">
      <c r="F16008">
        <f>IF(DATOS!$A16008="","",DATOS!$A16008&amp;"|"&amp;DATOS!$D16008&amp;"|"&amp;DATOS!$E16008&amp;"|"&amp;DATOS!$I16008)</f>
      </c>
      <c r="G16008">
        <f>IF(DATOS!$A16008="",0,IF(CONFIG_METADATA!$B$4&lt;&gt;"OR+EX",--(DATOS!$G16008=CONFIG_METADATA!$B$4),IF(DATOS!$G16008="EX",1,IF(DATOS!$G16008="OR",--(COUNTIFS(nNIA,DATOS!$A16008,nCURSO,DATOS!$D16008,nESPEC,DATOS!$E16008,nASIG,DATOS!$I16008,nEVAL,"EX")=0),0))))</f>
      </c>
      <c r="H16008">
        <f>IF(DATOS!$G16008&lt;&gt;"EX",0,--(COUNTIFS(nNIA,DATOS!$A16008,nCURSO,DATOS!$D16008,nESPEC,DATOS!$E16008,nASIG,DATOS!$I16008,nEVAL,"OR")=0))</f>
      </c>
      <c r="I16008">
        <f>IF(DATOS!$I16008="","",IFERROR(VLOOKUP(DATOS!$I16008,CONFIG_ASIGNATURAS!$B$2:$J$91,9,FALSE()),""))</f>
      </c>
    </row>
    <row r="16009">
      <c r="F16009">
        <f>IF(DATOS!$A16009="","",DATOS!$A16009&amp;"|"&amp;DATOS!$D16009&amp;"|"&amp;DATOS!$E16009&amp;"|"&amp;DATOS!$I16009)</f>
      </c>
      <c r="G16009">
        <f>IF(DATOS!$A16009="",0,IF(CONFIG_METADATA!$B$4&lt;&gt;"OR+EX",--(DATOS!$G16009=CONFIG_METADATA!$B$4),IF(DATOS!$G16009="EX",1,IF(DATOS!$G16009="OR",--(COUNTIFS(nNIA,DATOS!$A16009,nCURSO,DATOS!$D16009,nESPEC,DATOS!$E16009,nASIG,DATOS!$I16009,nEVAL,"EX")=0),0))))</f>
      </c>
      <c r="H16009">
        <f>IF(DATOS!$G16009&lt;&gt;"EX",0,--(COUNTIFS(nNIA,DATOS!$A16009,nCURSO,DATOS!$D16009,nESPEC,DATOS!$E16009,nASIG,DATOS!$I16009,nEVAL,"OR")=0))</f>
      </c>
      <c r="I16009">
        <f>IF(DATOS!$I16009="","",IFERROR(VLOOKUP(DATOS!$I16009,CONFIG_ASIGNATURAS!$B$2:$J$91,9,FALSE()),""))</f>
      </c>
    </row>
    <row r="16010">
      <c r="F16010">
        <f>IF(DATOS!$A16010="","",DATOS!$A16010&amp;"|"&amp;DATOS!$D16010&amp;"|"&amp;DATOS!$E16010&amp;"|"&amp;DATOS!$I16010)</f>
      </c>
      <c r="G16010">
        <f>IF(DATOS!$A16010="",0,IF(CONFIG_METADATA!$B$4&lt;&gt;"OR+EX",--(DATOS!$G16010=CONFIG_METADATA!$B$4),IF(DATOS!$G16010="EX",1,IF(DATOS!$G16010="OR",--(COUNTIFS(nNIA,DATOS!$A16010,nCURSO,DATOS!$D16010,nESPEC,DATOS!$E16010,nASIG,DATOS!$I16010,nEVAL,"EX")=0),0))))</f>
      </c>
      <c r="H16010">
        <f>IF(DATOS!$G16010&lt;&gt;"EX",0,--(COUNTIFS(nNIA,DATOS!$A16010,nCURSO,DATOS!$D16010,nESPEC,DATOS!$E16010,nASIG,DATOS!$I16010,nEVAL,"OR")=0))</f>
      </c>
      <c r="I16010">
        <f>IF(DATOS!$I16010="","",IFERROR(VLOOKUP(DATOS!$I16010,CONFIG_ASIGNATURAS!$B$2:$J$91,9,FALSE()),""))</f>
      </c>
    </row>
    <row r="16011">
      <c r="F16011">
        <f>IF(DATOS!$A16011="","",DATOS!$A16011&amp;"|"&amp;DATOS!$D16011&amp;"|"&amp;DATOS!$E16011&amp;"|"&amp;DATOS!$I16011)</f>
      </c>
      <c r="G16011">
        <f>IF(DATOS!$A16011="",0,IF(CONFIG_METADATA!$B$4&lt;&gt;"OR+EX",--(DATOS!$G16011=CONFIG_METADATA!$B$4),IF(DATOS!$G16011="EX",1,IF(DATOS!$G16011="OR",--(COUNTIFS(nNIA,DATOS!$A16011,nCURSO,DATOS!$D16011,nESPEC,DATOS!$E16011,nASIG,DATOS!$I16011,nEVAL,"EX")=0),0))))</f>
      </c>
      <c r="H16011">
        <f>IF(DATOS!$G16011&lt;&gt;"EX",0,--(COUNTIFS(nNIA,DATOS!$A16011,nCURSO,DATOS!$D16011,nESPEC,DATOS!$E16011,nASIG,DATOS!$I16011,nEVAL,"OR")=0))</f>
      </c>
      <c r="I16011">
        <f>IF(DATOS!$I16011="","",IFERROR(VLOOKUP(DATOS!$I16011,CONFIG_ASIGNATURAS!$B$2:$J$91,9,FALSE()),""))</f>
      </c>
    </row>
    <row r="16012">
      <c r="F16012">
        <f>IF(DATOS!$A16012="","",DATOS!$A16012&amp;"|"&amp;DATOS!$D16012&amp;"|"&amp;DATOS!$E16012&amp;"|"&amp;DATOS!$I16012)</f>
      </c>
      <c r="G16012">
        <f>IF(DATOS!$A16012="",0,IF(CONFIG_METADATA!$B$4&lt;&gt;"OR+EX",--(DATOS!$G16012=CONFIG_METADATA!$B$4),IF(DATOS!$G16012="EX",1,IF(DATOS!$G16012="OR",--(COUNTIFS(nNIA,DATOS!$A16012,nCURSO,DATOS!$D16012,nESPEC,DATOS!$E16012,nASIG,DATOS!$I16012,nEVAL,"EX")=0),0))))</f>
      </c>
      <c r="H16012">
        <f>IF(DATOS!$G16012&lt;&gt;"EX",0,--(COUNTIFS(nNIA,DATOS!$A16012,nCURSO,DATOS!$D16012,nESPEC,DATOS!$E16012,nASIG,DATOS!$I16012,nEVAL,"OR")=0))</f>
      </c>
      <c r="I16012">
        <f>IF(DATOS!$I16012="","",IFERROR(VLOOKUP(DATOS!$I16012,CONFIG_ASIGNATURAS!$B$2:$J$91,9,FALSE()),""))</f>
      </c>
    </row>
    <row r="16013">
      <c r="F16013">
        <f>IF(DATOS!$A16013="","",DATOS!$A16013&amp;"|"&amp;DATOS!$D16013&amp;"|"&amp;DATOS!$E16013&amp;"|"&amp;DATOS!$I16013)</f>
      </c>
      <c r="G16013">
        <f>IF(DATOS!$A16013="",0,IF(CONFIG_METADATA!$B$4&lt;&gt;"OR+EX",--(DATOS!$G16013=CONFIG_METADATA!$B$4),IF(DATOS!$G16013="EX",1,IF(DATOS!$G16013="OR",--(COUNTIFS(nNIA,DATOS!$A16013,nCURSO,DATOS!$D16013,nESPEC,DATOS!$E16013,nASIG,DATOS!$I16013,nEVAL,"EX")=0),0))))</f>
      </c>
      <c r="H16013">
        <f>IF(DATOS!$G16013&lt;&gt;"EX",0,--(COUNTIFS(nNIA,DATOS!$A16013,nCURSO,DATOS!$D16013,nESPEC,DATOS!$E16013,nASIG,DATOS!$I16013,nEVAL,"OR")=0))</f>
      </c>
      <c r="I16013">
        <f>IF(DATOS!$I16013="","",IFERROR(VLOOKUP(DATOS!$I16013,CONFIG_ASIGNATURAS!$B$2:$J$91,9,FALSE()),""))</f>
      </c>
    </row>
    <row r="16014">
      <c r="F16014">
        <f>IF(DATOS!$A16014="","",DATOS!$A16014&amp;"|"&amp;DATOS!$D16014&amp;"|"&amp;DATOS!$E16014&amp;"|"&amp;DATOS!$I16014)</f>
      </c>
      <c r="G16014">
        <f>IF(DATOS!$A16014="",0,IF(CONFIG_METADATA!$B$4&lt;&gt;"OR+EX",--(DATOS!$G16014=CONFIG_METADATA!$B$4),IF(DATOS!$G16014="EX",1,IF(DATOS!$G16014="OR",--(COUNTIFS(nNIA,DATOS!$A16014,nCURSO,DATOS!$D16014,nESPEC,DATOS!$E16014,nASIG,DATOS!$I16014,nEVAL,"EX")=0),0))))</f>
      </c>
      <c r="H16014">
        <f>IF(DATOS!$G16014&lt;&gt;"EX",0,--(COUNTIFS(nNIA,DATOS!$A16014,nCURSO,DATOS!$D16014,nESPEC,DATOS!$E16014,nASIG,DATOS!$I16014,nEVAL,"OR")=0))</f>
      </c>
      <c r="I16014">
        <f>IF(DATOS!$I16014="","",IFERROR(VLOOKUP(DATOS!$I16014,CONFIG_ASIGNATURAS!$B$2:$J$91,9,FALSE()),""))</f>
      </c>
    </row>
    <row r="16015">
      <c r="F16015">
        <f>IF(DATOS!$A16015="","",DATOS!$A16015&amp;"|"&amp;DATOS!$D16015&amp;"|"&amp;DATOS!$E16015&amp;"|"&amp;DATOS!$I16015)</f>
      </c>
      <c r="G16015">
        <f>IF(DATOS!$A16015="",0,IF(CONFIG_METADATA!$B$4&lt;&gt;"OR+EX",--(DATOS!$G16015=CONFIG_METADATA!$B$4),IF(DATOS!$G16015="EX",1,IF(DATOS!$G16015="OR",--(COUNTIFS(nNIA,DATOS!$A16015,nCURSO,DATOS!$D16015,nESPEC,DATOS!$E16015,nASIG,DATOS!$I16015,nEVAL,"EX")=0),0))))</f>
      </c>
      <c r="H16015">
        <f>IF(DATOS!$G16015&lt;&gt;"EX",0,--(COUNTIFS(nNIA,DATOS!$A16015,nCURSO,DATOS!$D16015,nESPEC,DATOS!$E16015,nASIG,DATOS!$I16015,nEVAL,"OR")=0))</f>
      </c>
      <c r="I16015">
        <f>IF(DATOS!$I16015="","",IFERROR(VLOOKUP(DATOS!$I16015,CONFIG_ASIGNATURAS!$B$2:$J$91,9,FALSE()),""))</f>
      </c>
    </row>
    <row r="16016">
      <c r="F16016">
        <f>IF(DATOS!$A16016="","",DATOS!$A16016&amp;"|"&amp;DATOS!$D16016&amp;"|"&amp;DATOS!$E16016&amp;"|"&amp;DATOS!$I16016)</f>
      </c>
      <c r="G16016">
        <f>IF(DATOS!$A16016="",0,IF(CONFIG_METADATA!$B$4&lt;&gt;"OR+EX",--(DATOS!$G16016=CONFIG_METADATA!$B$4),IF(DATOS!$G16016="EX",1,IF(DATOS!$G16016="OR",--(COUNTIFS(nNIA,DATOS!$A16016,nCURSO,DATOS!$D16016,nESPEC,DATOS!$E16016,nASIG,DATOS!$I16016,nEVAL,"EX")=0),0))))</f>
      </c>
      <c r="H16016">
        <f>IF(DATOS!$G16016&lt;&gt;"EX",0,--(COUNTIFS(nNIA,DATOS!$A16016,nCURSO,DATOS!$D16016,nESPEC,DATOS!$E16016,nASIG,DATOS!$I16016,nEVAL,"OR")=0))</f>
      </c>
      <c r="I16016">
        <f>IF(DATOS!$I16016="","",IFERROR(VLOOKUP(DATOS!$I16016,CONFIG_ASIGNATURAS!$B$2:$J$91,9,FALSE()),""))</f>
      </c>
    </row>
    <row r="16017">
      <c r="F16017">
        <f>IF(DATOS!$A16017="","",DATOS!$A16017&amp;"|"&amp;DATOS!$D16017&amp;"|"&amp;DATOS!$E16017&amp;"|"&amp;DATOS!$I16017)</f>
      </c>
      <c r="G16017">
        <f>IF(DATOS!$A16017="",0,IF(CONFIG_METADATA!$B$4&lt;&gt;"OR+EX",--(DATOS!$G16017=CONFIG_METADATA!$B$4),IF(DATOS!$G16017="EX",1,IF(DATOS!$G16017="OR",--(COUNTIFS(nNIA,DATOS!$A16017,nCURSO,DATOS!$D16017,nESPEC,DATOS!$E16017,nASIG,DATOS!$I16017,nEVAL,"EX")=0),0))))</f>
      </c>
      <c r="H16017">
        <f>IF(DATOS!$G16017&lt;&gt;"EX",0,--(COUNTIFS(nNIA,DATOS!$A16017,nCURSO,DATOS!$D16017,nESPEC,DATOS!$E16017,nASIG,DATOS!$I16017,nEVAL,"OR")=0))</f>
      </c>
      <c r="I16017">
        <f>IF(DATOS!$I16017="","",IFERROR(VLOOKUP(DATOS!$I16017,CONFIG_ASIGNATURAS!$B$2:$J$91,9,FALSE()),""))</f>
      </c>
    </row>
    <row r="16018">
      <c r="F16018">
        <f>IF(DATOS!$A16018="","",DATOS!$A16018&amp;"|"&amp;DATOS!$D16018&amp;"|"&amp;DATOS!$E16018&amp;"|"&amp;DATOS!$I16018)</f>
      </c>
      <c r="G16018">
        <f>IF(DATOS!$A16018="",0,IF(CONFIG_METADATA!$B$4&lt;&gt;"OR+EX",--(DATOS!$G16018=CONFIG_METADATA!$B$4),IF(DATOS!$G16018="EX",1,IF(DATOS!$G16018="OR",--(COUNTIFS(nNIA,DATOS!$A16018,nCURSO,DATOS!$D16018,nESPEC,DATOS!$E16018,nASIG,DATOS!$I16018,nEVAL,"EX")=0),0))))</f>
      </c>
      <c r="H16018">
        <f>IF(DATOS!$G16018&lt;&gt;"EX",0,--(COUNTIFS(nNIA,DATOS!$A16018,nCURSO,DATOS!$D16018,nESPEC,DATOS!$E16018,nASIG,DATOS!$I16018,nEVAL,"OR")=0))</f>
      </c>
      <c r="I16018">
        <f>IF(DATOS!$I16018="","",IFERROR(VLOOKUP(DATOS!$I16018,CONFIG_ASIGNATURAS!$B$2:$J$91,9,FALSE()),""))</f>
      </c>
    </row>
    <row r="16019">
      <c r="F16019">
        <f>IF(DATOS!$A16019="","",DATOS!$A16019&amp;"|"&amp;DATOS!$D16019&amp;"|"&amp;DATOS!$E16019&amp;"|"&amp;DATOS!$I16019)</f>
      </c>
      <c r="G16019">
        <f>IF(DATOS!$A16019="",0,IF(CONFIG_METADATA!$B$4&lt;&gt;"OR+EX",--(DATOS!$G16019=CONFIG_METADATA!$B$4),IF(DATOS!$G16019="EX",1,IF(DATOS!$G16019="OR",--(COUNTIFS(nNIA,DATOS!$A16019,nCURSO,DATOS!$D16019,nESPEC,DATOS!$E16019,nASIG,DATOS!$I16019,nEVAL,"EX")=0),0))))</f>
      </c>
      <c r="H16019">
        <f>IF(DATOS!$G16019&lt;&gt;"EX",0,--(COUNTIFS(nNIA,DATOS!$A16019,nCURSO,DATOS!$D16019,nESPEC,DATOS!$E16019,nASIG,DATOS!$I16019,nEVAL,"OR")=0))</f>
      </c>
      <c r="I16019">
        <f>IF(DATOS!$I16019="","",IFERROR(VLOOKUP(DATOS!$I16019,CONFIG_ASIGNATURAS!$B$2:$J$91,9,FALSE()),""))</f>
      </c>
    </row>
    <row r="16020">
      <c r="F16020">
        <f>IF(DATOS!$A16020="","",DATOS!$A16020&amp;"|"&amp;DATOS!$D16020&amp;"|"&amp;DATOS!$E16020&amp;"|"&amp;DATOS!$I16020)</f>
      </c>
      <c r="G16020">
        <f>IF(DATOS!$A16020="",0,IF(CONFIG_METADATA!$B$4&lt;&gt;"OR+EX",--(DATOS!$G16020=CONFIG_METADATA!$B$4),IF(DATOS!$G16020="EX",1,IF(DATOS!$G16020="OR",--(COUNTIFS(nNIA,DATOS!$A16020,nCURSO,DATOS!$D16020,nESPEC,DATOS!$E16020,nASIG,DATOS!$I16020,nEVAL,"EX")=0),0))))</f>
      </c>
      <c r="H16020">
        <f>IF(DATOS!$G16020&lt;&gt;"EX",0,--(COUNTIFS(nNIA,DATOS!$A16020,nCURSO,DATOS!$D16020,nESPEC,DATOS!$E16020,nASIG,DATOS!$I16020,nEVAL,"OR")=0))</f>
      </c>
      <c r="I16020">
        <f>IF(DATOS!$I16020="","",IFERROR(VLOOKUP(DATOS!$I16020,CONFIG_ASIGNATURAS!$B$2:$J$91,9,FALSE()),""))</f>
      </c>
    </row>
    <row r="16021">
      <c r="F16021">
        <f>IF(DATOS!$A16021="","",DATOS!$A16021&amp;"|"&amp;DATOS!$D16021&amp;"|"&amp;DATOS!$E16021&amp;"|"&amp;DATOS!$I16021)</f>
      </c>
      <c r="G16021">
        <f>IF(DATOS!$A16021="",0,IF(CONFIG_METADATA!$B$4&lt;&gt;"OR+EX",--(DATOS!$G16021=CONFIG_METADATA!$B$4),IF(DATOS!$G16021="EX",1,IF(DATOS!$G16021="OR",--(COUNTIFS(nNIA,DATOS!$A16021,nCURSO,DATOS!$D16021,nESPEC,DATOS!$E16021,nASIG,DATOS!$I16021,nEVAL,"EX")=0),0))))</f>
      </c>
      <c r="H16021">
        <f>IF(DATOS!$G16021&lt;&gt;"EX",0,--(COUNTIFS(nNIA,DATOS!$A16021,nCURSO,DATOS!$D16021,nESPEC,DATOS!$E16021,nASIG,DATOS!$I16021,nEVAL,"OR")=0))</f>
      </c>
      <c r="I16021">
        <f>IF(DATOS!$I16021="","",IFERROR(VLOOKUP(DATOS!$I16021,CONFIG_ASIGNATURAS!$B$2:$J$91,9,FALSE()),""))</f>
      </c>
    </row>
    <row r="16022">
      <c r="F16022">
        <f>IF(DATOS!$A16022="","",DATOS!$A16022&amp;"|"&amp;DATOS!$D16022&amp;"|"&amp;DATOS!$E16022&amp;"|"&amp;DATOS!$I16022)</f>
      </c>
      <c r="G16022">
        <f>IF(DATOS!$A16022="",0,IF(CONFIG_METADATA!$B$4&lt;&gt;"OR+EX",--(DATOS!$G16022=CONFIG_METADATA!$B$4),IF(DATOS!$G16022="EX",1,IF(DATOS!$G16022="OR",--(COUNTIFS(nNIA,DATOS!$A16022,nCURSO,DATOS!$D16022,nESPEC,DATOS!$E16022,nASIG,DATOS!$I16022,nEVAL,"EX")=0),0))))</f>
      </c>
      <c r="H16022">
        <f>IF(DATOS!$G16022&lt;&gt;"EX",0,--(COUNTIFS(nNIA,DATOS!$A16022,nCURSO,DATOS!$D16022,nESPEC,DATOS!$E16022,nASIG,DATOS!$I16022,nEVAL,"OR")=0))</f>
      </c>
      <c r="I16022">
        <f>IF(DATOS!$I16022="","",IFERROR(VLOOKUP(DATOS!$I16022,CONFIG_ASIGNATURAS!$B$2:$J$91,9,FALSE()),""))</f>
      </c>
    </row>
    <row r="16023">
      <c r="F16023">
        <f>IF(DATOS!$A16023="","",DATOS!$A16023&amp;"|"&amp;DATOS!$D16023&amp;"|"&amp;DATOS!$E16023&amp;"|"&amp;DATOS!$I16023)</f>
      </c>
      <c r="G16023">
        <f>IF(DATOS!$A16023="",0,IF(CONFIG_METADATA!$B$4&lt;&gt;"OR+EX",--(DATOS!$G16023=CONFIG_METADATA!$B$4),IF(DATOS!$G16023="EX",1,IF(DATOS!$G16023="OR",--(COUNTIFS(nNIA,DATOS!$A16023,nCURSO,DATOS!$D16023,nESPEC,DATOS!$E16023,nASIG,DATOS!$I16023,nEVAL,"EX")=0),0))))</f>
      </c>
      <c r="H16023">
        <f>IF(DATOS!$G16023&lt;&gt;"EX",0,--(COUNTIFS(nNIA,DATOS!$A16023,nCURSO,DATOS!$D16023,nESPEC,DATOS!$E16023,nASIG,DATOS!$I16023,nEVAL,"OR")=0))</f>
      </c>
      <c r="I16023">
        <f>IF(DATOS!$I16023="","",IFERROR(VLOOKUP(DATOS!$I16023,CONFIG_ASIGNATURAS!$B$2:$J$91,9,FALSE()),""))</f>
      </c>
    </row>
    <row r="16024">
      <c r="F16024">
        <f>IF(DATOS!$A16024="","",DATOS!$A16024&amp;"|"&amp;DATOS!$D16024&amp;"|"&amp;DATOS!$E16024&amp;"|"&amp;DATOS!$I16024)</f>
      </c>
      <c r="G16024">
        <f>IF(DATOS!$A16024="",0,IF(CONFIG_METADATA!$B$4&lt;&gt;"OR+EX",--(DATOS!$G16024=CONFIG_METADATA!$B$4),IF(DATOS!$G16024="EX",1,IF(DATOS!$G16024="OR",--(COUNTIFS(nNIA,DATOS!$A16024,nCURSO,DATOS!$D16024,nESPEC,DATOS!$E16024,nASIG,DATOS!$I16024,nEVAL,"EX")=0),0))))</f>
      </c>
      <c r="H16024">
        <f>IF(DATOS!$G16024&lt;&gt;"EX",0,--(COUNTIFS(nNIA,DATOS!$A16024,nCURSO,DATOS!$D16024,nESPEC,DATOS!$E16024,nASIG,DATOS!$I16024,nEVAL,"OR")=0))</f>
      </c>
      <c r="I16024">
        <f>IF(DATOS!$I16024="","",IFERROR(VLOOKUP(DATOS!$I16024,CONFIG_ASIGNATURAS!$B$2:$J$91,9,FALSE()),""))</f>
      </c>
    </row>
    <row r="16025">
      <c r="F16025">
        <f>IF(DATOS!$A16025="","",DATOS!$A16025&amp;"|"&amp;DATOS!$D16025&amp;"|"&amp;DATOS!$E16025&amp;"|"&amp;DATOS!$I16025)</f>
      </c>
      <c r="G16025">
        <f>IF(DATOS!$A16025="",0,IF(CONFIG_METADATA!$B$4&lt;&gt;"OR+EX",--(DATOS!$G16025=CONFIG_METADATA!$B$4),IF(DATOS!$G16025="EX",1,IF(DATOS!$G16025="OR",--(COUNTIFS(nNIA,DATOS!$A16025,nCURSO,DATOS!$D16025,nESPEC,DATOS!$E16025,nASIG,DATOS!$I16025,nEVAL,"EX")=0),0))))</f>
      </c>
      <c r="H16025">
        <f>IF(DATOS!$G16025&lt;&gt;"EX",0,--(COUNTIFS(nNIA,DATOS!$A16025,nCURSO,DATOS!$D16025,nESPEC,DATOS!$E16025,nASIG,DATOS!$I16025,nEVAL,"OR")=0))</f>
      </c>
      <c r="I16025">
        <f>IF(DATOS!$I16025="","",IFERROR(VLOOKUP(DATOS!$I16025,CONFIG_ASIGNATURAS!$B$2:$J$91,9,FALSE()),""))</f>
      </c>
    </row>
    <row r="16026">
      <c r="F16026">
        <f>IF(DATOS!$A16026="","",DATOS!$A16026&amp;"|"&amp;DATOS!$D16026&amp;"|"&amp;DATOS!$E16026&amp;"|"&amp;DATOS!$I16026)</f>
      </c>
      <c r="G16026">
        <f>IF(DATOS!$A16026="",0,IF(CONFIG_METADATA!$B$4&lt;&gt;"OR+EX",--(DATOS!$G16026=CONFIG_METADATA!$B$4),IF(DATOS!$G16026="EX",1,IF(DATOS!$G16026="OR",--(COUNTIFS(nNIA,DATOS!$A16026,nCURSO,DATOS!$D16026,nESPEC,DATOS!$E16026,nASIG,DATOS!$I16026,nEVAL,"EX")=0),0))))</f>
      </c>
      <c r="H16026">
        <f>IF(DATOS!$G16026&lt;&gt;"EX",0,--(COUNTIFS(nNIA,DATOS!$A16026,nCURSO,DATOS!$D16026,nESPEC,DATOS!$E16026,nASIG,DATOS!$I16026,nEVAL,"OR")=0))</f>
      </c>
      <c r="I16026">
        <f>IF(DATOS!$I16026="","",IFERROR(VLOOKUP(DATOS!$I16026,CONFIG_ASIGNATURAS!$B$2:$J$91,9,FALSE()),""))</f>
      </c>
    </row>
    <row r="16027">
      <c r="F16027">
        <f>IF(DATOS!$A16027="","",DATOS!$A16027&amp;"|"&amp;DATOS!$D16027&amp;"|"&amp;DATOS!$E16027&amp;"|"&amp;DATOS!$I16027)</f>
      </c>
      <c r="G16027">
        <f>IF(DATOS!$A16027="",0,IF(CONFIG_METADATA!$B$4&lt;&gt;"OR+EX",--(DATOS!$G16027=CONFIG_METADATA!$B$4),IF(DATOS!$G16027="EX",1,IF(DATOS!$G16027="OR",--(COUNTIFS(nNIA,DATOS!$A16027,nCURSO,DATOS!$D16027,nESPEC,DATOS!$E16027,nASIG,DATOS!$I16027,nEVAL,"EX")=0),0))))</f>
      </c>
      <c r="H16027">
        <f>IF(DATOS!$G16027&lt;&gt;"EX",0,--(COUNTIFS(nNIA,DATOS!$A16027,nCURSO,DATOS!$D16027,nESPEC,DATOS!$E16027,nASIG,DATOS!$I16027,nEVAL,"OR")=0))</f>
      </c>
      <c r="I16027">
        <f>IF(DATOS!$I16027="","",IFERROR(VLOOKUP(DATOS!$I16027,CONFIG_ASIGNATURAS!$B$2:$J$91,9,FALSE()),""))</f>
      </c>
    </row>
    <row r="16028">
      <c r="F16028">
        <f>IF(DATOS!$A16028="","",DATOS!$A16028&amp;"|"&amp;DATOS!$D16028&amp;"|"&amp;DATOS!$E16028&amp;"|"&amp;DATOS!$I16028)</f>
      </c>
      <c r="G16028">
        <f>IF(DATOS!$A16028="",0,IF(CONFIG_METADATA!$B$4&lt;&gt;"OR+EX",--(DATOS!$G16028=CONFIG_METADATA!$B$4),IF(DATOS!$G16028="EX",1,IF(DATOS!$G16028="OR",--(COUNTIFS(nNIA,DATOS!$A16028,nCURSO,DATOS!$D16028,nESPEC,DATOS!$E16028,nASIG,DATOS!$I16028,nEVAL,"EX")=0),0))))</f>
      </c>
      <c r="H16028">
        <f>IF(DATOS!$G16028&lt;&gt;"EX",0,--(COUNTIFS(nNIA,DATOS!$A16028,nCURSO,DATOS!$D16028,nESPEC,DATOS!$E16028,nASIG,DATOS!$I16028,nEVAL,"OR")=0))</f>
      </c>
      <c r="I16028">
        <f>IF(DATOS!$I16028="","",IFERROR(VLOOKUP(DATOS!$I16028,CONFIG_ASIGNATURAS!$B$2:$J$91,9,FALSE()),""))</f>
      </c>
    </row>
    <row r="16029">
      <c r="F16029">
        <f>IF(DATOS!$A16029="","",DATOS!$A16029&amp;"|"&amp;DATOS!$D16029&amp;"|"&amp;DATOS!$E16029&amp;"|"&amp;DATOS!$I16029)</f>
      </c>
      <c r="G16029">
        <f>IF(DATOS!$A16029="",0,IF(CONFIG_METADATA!$B$4&lt;&gt;"OR+EX",--(DATOS!$G16029=CONFIG_METADATA!$B$4),IF(DATOS!$G16029="EX",1,IF(DATOS!$G16029="OR",--(COUNTIFS(nNIA,DATOS!$A16029,nCURSO,DATOS!$D16029,nESPEC,DATOS!$E16029,nASIG,DATOS!$I16029,nEVAL,"EX")=0),0))))</f>
      </c>
      <c r="H16029">
        <f>IF(DATOS!$G16029&lt;&gt;"EX",0,--(COUNTIFS(nNIA,DATOS!$A16029,nCURSO,DATOS!$D16029,nESPEC,DATOS!$E16029,nASIG,DATOS!$I16029,nEVAL,"OR")=0))</f>
      </c>
      <c r="I16029">
        <f>IF(DATOS!$I16029="","",IFERROR(VLOOKUP(DATOS!$I16029,CONFIG_ASIGNATURAS!$B$2:$J$91,9,FALSE()),""))</f>
      </c>
    </row>
    <row r="16030">
      <c r="F16030">
        <f>IF(DATOS!$A16030="","",DATOS!$A16030&amp;"|"&amp;DATOS!$D16030&amp;"|"&amp;DATOS!$E16030&amp;"|"&amp;DATOS!$I16030)</f>
      </c>
      <c r="G16030">
        <f>IF(DATOS!$A16030="",0,IF(CONFIG_METADATA!$B$4&lt;&gt;"OR+EX",--(DATOS!$G16030=CONFIG_METADATA!$B$4),IF(DATOS!$G16030="EX",1,IF(DATOS!$G16030="OR",--(COUNTIFS(nNIA,DATOS!$A16030,nCURSO,DATOS!$D16030,nESPEC,DATOS!$E16030,nASIG,DATOS!$I16030,nEVAL,"EX")=0),0))))</f>
      </c>
      <c r="H16030">
        <f>IF(DATOS!$G16030&lt;&gt;"EX",0,--(COUNTIFS(nNIA,DATOS!$A16030,nCURSO,DATOS!$D16030,nESPEC,DATOS!$E16030,nASIG,DATOS!$I16030,nEVAL,"OR")=0))</f>
      </c>
      <c r="I16030">
        <f>IF(DATOS!$I16030="","",IFERROR(VLOOKUP(DATOS!$I16030,CONFIG_ASIGNATURAS!$B$2:$J$91,9,FALSE()),""))</f>
      </c>
    </row>
    <row r="16031">
      <c r="F16031">
        <f>IF(DATOS!$A16031="","",DATOS!$A16031&amp;"|"&amp;DATOS!$D16031&amp;"|"&amp;DATOS!$E16031&amp;"|"&amp;DATOS!$I16031)</f>
      </c>
      <c r="G16031">
        <f>IF(DATOS!$A16031="",0,IF(CONFIG_METADATA!$B$4&lt;&gt;"OR+EX",--(DATOS!$G16031=CONFIG_METADATA!$B$4),IF(DATOS!$G16031="EX",1,IF(DATOS!$G16031="OR",--(COUNTIFS(nNIA,DATOS!$A16031,nCURSO,DATOS!$D16031,nESPEC,DATOS!$E16031,nASIG,DATOS!$I16031,nEVAL,"EX")=0),0))))</f>
      </c>
      <c r="H16031">
        <f>IF(DATOS!$G16031&lt;&gt;"EX",0,--(COUNTIFS(nNIA,DATOS!$A16031,nCURSO,DATOS!$D16031,nESPEC,DATOS!$E16031,nASIG,DATOS!$I16031,nEVAL,"OR")=0))</f>
      </c>
      <c r="I16031">
        <f>IF(DATOS!$I16031="","",IFERROR(VLOOKUP(DATOS!$I16031,CONFIG_ASIGNATURAS!$B$2:$J$91,9,FALSE()),""))</f>
      </c>
    </row>
    <row r="16032">
      <c r="F16032">
        <f>IF(DATOS!$A16032="","",DATOS!$A16032&amp;"|"&amp;DATOS!$D16032&amp;"|"&amp;DATOS!$E16032&amp;"|"&amp;DATOS!$I16032)</f>
      </c>
      <c r="G16032">
        <f>IF(DATOS!$A16032="",0,IF(CONFIG_METADATA!$B$4&lt;&gt;"OR+EX",--(DATOS!$G16032=CONFIG_METADATA!$B$4),IF(DATOS!$G16032="EX",1,IF(DATOS!$G16032="OR",--(COUNTIFS(nNIA,DATOS!$A16032,nCURSO,DATOS!$D16032,nESPEC,DATOS!$E16032,nASIG,DATOS!$I16032,nEVAL,"EX")=0),0))))</f>
      </c>
      <c r="H16032">
        <f>IF(DATOS!$G16032&lt;&gt;"EX",0,--(COUNTIFS(nNIA,DATOS!$A16032,nCURSO,DATOS!$D16032,nESPEC,DATOS!$E16032,nASIG,DATOS!$I16032,nEVAL,"OR")=0))</f>
      </c>
      <c r="I16032">
        <f>IF(DATOS!$I16032="","",IFERROR(VLOOKUP(DATOS!$I16032,CONFIG_ASIGNATURAS!$B$2:$J$91,9,FALSE()),""))</f>
      </c>
    </row>
    <row r="16033">
      <c r="F16033">
        <f>IF(DATOS!$A16033="","",DATOS!$A16033&amp;"|"&amp;DATOS!$D16033&amp;"|"&amp;DATOS!$E16033&amp;"|"&amp;DATOS!$I16033)</f>
      </c>
      <c r="G16033">
        <f>IF(DATOS!$A16033="",0,IF(CONFIG_METADATA!$B$4&lt;&gt;"OR+EX",--(DATOS!$G16033=CONFIG_METADATA!$B$4),IF(DATOS!$G16033="EX",1,IF(DATOS!$G16033="OR",--(COUNTIFS(nNIA,DATOS!$A16033,nCURSO,DATOS!$D16033,nESPEC,DATOS!$E16033,nASIG,DATOS!$I16033,nEVAL,"EX")=0),0))))</f>
      </c>
      <c r="H16033">
        <f>IF(DATOS!$G16033&lt;&gt;"EX",0,--(COUNTIFS(nNIA,DATOS!$A16033,nCURSO,DATOS!$D16033,nESPEC,DATOS!$E16033,nASIG,DATOS!$I16033,nEVAL,"OR")=0))</f>
      </c>
      <c r="I16033">
        <f>IF(DATOS!$I16033="","",IFERROR(VLOOKUP(DATOS!$I16033,CONFIG_ASIGNATURAS!$B$2:$J$91,9,FALSE()),""))</f>
      </c>
    </row>
    <row r="16034">
      <c r="F16034">
        <f>IF(DATOS!$A16034="","",DATOS!$A16034&amp;"|"&amp;DATOS!$D16034&amp;"|"&amp;DATOS!$E16034&amp;"|"&amp;DATOS!$I16034)</f>
      </c>
      <c r="G16034">
        <f>IF(DATOS!$A16034="",0,IF(CONFIG_METADATA!$B$4&lt;&gt;"OR+EX",--(DATOS!$G16034=CONFIG_METADATA!$B$4),IF(DATOS!$G16034="EX",1,IF(DATOS!$G16034="OR",--(COUNTIFS(nNIA,DATOS!$A16034,nCURSO,DATOS!$D16034,nESPEC,DATOS!$E16034,nASIG,DATOS!$I16034,nEVAL,"EX")=0),0))))</f>
      </c>
      <c r="H16034">
        <f>IF(DATOS!$G16034&lt;&gt;"EX",0,--(COUNTIFS(nNIA,DATOS!$A16034,nCURSO,DATOS!$D16034,nESPEC,DATOS!$E16034,nASIG,DATOS!$I16034,nEVAL,"OR")=0))</f>
      </c>
      <c r="I16034">
        <f>IF(DATOS!$I16034="","",IFERROR(VLOOKUP(DATOS!$I16034,CONFIG_ASIGNATURAS!$B$2:$J$91,9,FALSE()),""))</f>
      </c>
    </row>
    <row r="16035">
      <c r="F16035">
        <f>IF(DATOS!$A16035="","",DATOS!$A16035&amp;"|"&amp;DATOS!$D16035&amp;"|"&amp;DATOS!$E16035&amp;"|"&amp;DATOS!$I16035)</f>
      </c>
      <c r="G16035">
        <f>IF(DATOS!$A16035="",0,IF(CONFIG_METADATA!$B$4&lt;&gt;"OR+EX",--(DATOS!$G16035=CONFIG_METADATA!$B$4),IF(DATOS!$G16035="EX",1,IF(DATOS!$G16035="OR",--(COUNTIFS(nNIA,DATOS!$A16035,nCURSO,DATOS!$D16035,nESPEC,DATOS!$E16035,nASIG,DATOS!$I16035,nEVAL,"EX")=0),0))))</f>
      </c>
      <c r="H16035">
        <f>IF(DATOS!$G16035&lt;&gt;"EX",0,--(COUNTIFS(nNIA,DATOS!$A16035,nCURSO,DATOS!$D16035,nESPEC,DATOS!$E16035,nASIG,DATOS!$I16035,nEVAL,"OR")=0))</f>
      </c>
      <c r="I16035">
        <f>IF(DATOS!$I16035="","",IFERROR(VLOOKUP(DATOS!$I16035,CONFIG_ASIGNATURAS!$B$2:$J$91,9,FALSE()),""))</f>
      </c>
    </row>
    <row r="16036">
      <c r="F16036">
        <f>IF(DATOS!$A16036="","",DATOS!$A16036&amp;"|"&amp;DATOS!$D16036&amp;"|"&amp;DATOS!$E16036&amp;"|"&amp;DATOS!$I16036)</f>
      </c>
      <c r="G16036">
        <f>IF(DATOS!$A16036="",0,IF(CONFIG_METADATA!$B$4&lt;&gt;"OR+EX",--(DATOS!$G16036=CONFIG_METADATA!$B$4),IF(DATOS!$G16036="EX",1,IF(DATOS!$G16036="OR",--(COUNTIFS(nNIA,DATOS!$A16036,nCURSO,DATOS!$D16036,nESPEC,DATOS!$E16036,nASIG,DATOS!$I16036,nEVAL,"EX")=0),0))))</f>
      </c>
      <c r="H16036">
        <f>IF(DATOS!$G16036&lt;&gt;"EX",0,--(COUNTIFS(nNIA,DATOS!$A16036,nCURSO,DATOS!$D16036,nESPEC,DATOS!$E16036,nASIG,DATOS!$I16036,nEVAL,"OR")=0))</f>
      </c>
      <c r="I16036">
        <f>IF(DATOS!$I16036="","",IFERROR(VLOOKUP(DATOS!$I16036,CONFIG_ASIGNATURAS!$B$2:$J$91,9,FALSE()),""))</f>
      </c>
    </row>
    <row r="16037">
      <c r="F16037">
        <f>IF(DATOS!$A16037="","",DATOS!$A16037&amp;"|"&amp;DATOS!$D16037&amp;"|"&amp;DATOS!$E16037&amp;"|"&amp;DATOS!$I16037)</f>
      </c>
      <c r="G16037">
        <f>IF(DATOS!$A16037="",0,IF(CONFIG_METADATA!$B$4&lt;&gt;"OR+EX",--(DATOS!$G16037=CONFIG_METADATA!$B$4),IF(DATOS!$G16037="EX",1,IF(DATOS!$G16037="OR",--(COUNTIFS(nNIA,DATOS!$A16037,nCURSO,DATOS!$D16037,nESPEC,DATOS!$E16037,nASIG,DATOS!$I16037,nEVAL,"EX")=0),0))))</f>
      </c>
      <c r="H16037">
        <f>IF(DATOS!$G16037&lt;&gt;"EX",0,--(COUNTIFS(nNIA,DATOS!$A16037,nCURSO,DATOS!$D16037,nESPEC,DATOS!$E16037,nASIG,DATOS!$I16037,nEVAL,"OR")=0))</f>
      </c>
      <c r="I16037">
        <f>IF(DATOS!$I16037="","",IFERROR(VLOOKUP(DATOS!$I16037,CONFIG_ASIGNATURAS!$B$2:$J$91,9,FALSE()),""))</f>
      </c>
    </row>
    <row r="16038">
      <c r="F16038">
        <f>IF(DATOS!$A16038="","",DATOS!$A16038&amp;"|"&amp;DATOS!$D16038&amp;"|"&amp;DATOS!$E16038&amp;"|"&amp;DATOS!$I16038)</f>
      </c>
      <c r="G16038">
        <f>IF(DATOS!$A16038="",0,IF(CONFIG_METADATA!$B$4&lt;&gt;"OR+EX",--(DATOS!$G16038=CONFIG_METADATA!$B$4),IF(DATOS!$G16038="EX",1,IF(DATOS!$G16038="OR",--(COUNTIFS(nNIA,DATOS!$A16038,nCURSO,DATOS!$D16038,nESPEC,DATOS!$E16038,nASIG,DATOS!$I16038,nEVAL,"EX")=0),0))))</f>
      </c>
      <c r="H16038">
        <f>IF(DATOS!$G16038&lt;&gt;"EX",0,--(COUNTIFS(nNIA,DATOS!$A16038,nCURSO,DATOS!$D16038,nESPEC,DATOS!$E16038,nASIG,DATOS!$I16038,nEVAL,"OR")=0))</f>
      </c>
      <c r="I16038">
        <f>IF(DATOS!$I16038="","",IFERROR(VLOOKUP(DATOS!$I16038,CONFIG_ASIGNATURAS!$B$2:$J$91,9,FALSE()),""))</f>
      </c>
    </row>
    <row r="16039">
      <c r="F16039">
        <f>IF(DATOS!$A16039="","",DATOS!$A16039&amp;"|"&amp;DATOS!$D16039&amp;"|"&amp;DATOS!$E16039&amp;"|"&amp;DATOS!$I16039)</f>
      </c>
      <c r="G16039">
        <f>IF(DATOS!$A16039="",0,IF(CONFIG_METADATA!$B$4&lt;&gt;"OR+EX",--(DATOS!$G16039=CONFIG_METADATA!$B$4),IF(DATOS!$G16039="EX",1,IF(DATOS!$G16039="OR",--(COUNTIFS(nNIA,DATOS!$A16039,nCURSO,DATOS!$D16039,nESPEC,DATOS!$E16039,nASIG,DATOS!$I16039,nEVAL,"EX")=0),0))))</f>
      </c>
      <c r="H16039">
        <f>IF(DATOS!$G16039&lt;&gt;"EX",0,--(COUNTIFS(nNIA,DATOS!$A16039,nCURSO,DATOS!$D16039,nESPEC,DATOS!$E16039,nASIG,DATOS!$I16039,nEVAL,"OR")=0))</f>
      </c>
      <c r="I16039">
        <f>IF(DATOS!$I16039="","",IFERROR(VLOOKUP(DATOS!$I16039,CONFIG_ASIGNATURAS!$B$2:$J$91,9,FALSE()),""))</f>
      </c>
    </row>
    <row r="16040">
      <c r="F16040">
        <f>IF(DATOS!$A16040="","",DATOS!$A16040&amp;"|"&amp;DATOS!$D16040&amp;"|"&amp;DATOS!$E16040&amp;"|"&amp;DATOS!$I16040)</f>
      </c>
      <c r="G16040">
        <f>IF(DATOS!$A16040="",0,IF(CONFIG_METADATA!$B$4&lt;&gt;"OR+EX",--(DATOS!$G16040=CONFIG_METADATA!$B$4),IF(DATOS!$G16040="EX",1,IF(DATOS!$G16040="OR",--(COUNTIFS(nNIA,DATOS!$A16040,nCURSO,DATOS!$D16040,nESPEC,DATOS!$E16040,nASIG,DATOS!$I16040,nEVAL,"EX")=0),0))))</f>
      </c>
      <c r="H16040">
        <f>IF(DATOS!$G16040&lt;&gt;"EX",0,--(COUNTIFS(nNIA,DATOS!$A16040,nCURSO,DATOS!$D16040,nESPEC,DATOS!$E16040,nASIG,DATOS!$I16040,nEVAL,"OR")=0))</f>
      </c>
      <c r="I16040">
        <f>IF(DATOS!$I16040="","",IFERROR(VLOOKUP(DATOS!$I16040,CONFIG_ASIGNATURAS!$B$2:$J$91,9,FALSE()),""))</f>
      </c>
    </row>
    <row r="16041">
      <c r="F16041">
        <f>IF(DATOS!$A16041="","",DATOS!$A16041&amp;"|"&amp;DATOS!$D16041&amp;"|"&amp;DATOS!$E16041&amp;"|"&amp;DATOS!$I16041)</f>
      </c>
      <c r="G16041">
        <f>IF(DATOS!$A16041="",0,IF(CONFIG_METADATA!$B$4&lt;&gt;"OR+EX",--(DATOS!$G16041=CONFIG_METADATA!$B$4),IF(DATOS!$G16041="EX",1,IF(DATOS!$G16041="OR",--(COUNTIFS(nNIA,DATOS!$A16041,nCURSO,DATOS!$D16041,nESPEC,DATOS!$E16041,nASIG,DATOS!$I16041,nEVAL,"EX")=0),0))))</f>
      </c>
      <c r="H16041">
        <f>IF(DATOS!$G16041&lt;&gt;"EX",0,--(COUNTIFS(nNIA,DATOS!$A16041,nCURSO,DATOS!$D16041,nESPEC,DATOS!$E16041,nASIG,DATOS!$I16041,nEVAL,"OR")=0))</f>
      </c>
      <c r="I16041">
        <f>IF(DATOS!$I16041="","",IFERROR(VLOOKUP(DATOS!$I16041,CONFIG_ASIGNATURAS!$B$2:$J$91,9,FALSE()),""))</f>
      </c>
    </row>
    <row r="16042">
      <c r="F16042">
        <f>IF(DATOS!$A16042="","",DATOS!$A16042&amp;"|"&amp;DATOS!$D16042&amp;"|"&amp;DATOS!$E16042&amp;"|"&amp;DATOS!$I16042)</f>
      </c>
      <c r="G16042">
        <f>IF(DATOS!$A16042="",0,IF(CONFIG_METADATA!$B$4&lt;&gt;"OR+EX",--(DATOS!$G16042=CONFIG_METADATA!$B$4),IF(DATOS!$G16042="EX",1,IF(DATOS!$G16042="OR",--(COUNTIFS(nNIA,DATOS!$A16042,nCURSO,DATOS!$D16042,nESPEC,DATOS!$E16042,nASIG,DATOS!$I16042,nEVAL,"EX")=0),0))))</f>
      </c>
      <c r="H16042">
        <f>IF(DATOS!$G16042&lt;&gt;"EX",0,--(COUNTIFS(nNIA,DATOS!$A16042,nCURSO,DATOS!$D16042,nESPEC,DATOS!$E16042,nASIG,DATOS!$I16042,nEVAL,"OR")=0))</f>
      </c>
      <c r="I16042">
        <f>IF(DATOS!$I16042="","",IFERROR(VLOOKUP(DATOS!$I16042,CONFIG_ASIGNATURAS!$B$2:$J$91,9,FALSE()),""))</f>
      </c>
    </row>
    <row r="16043">
      <c r="F16043">
        <f>IF(DATOS!$A16043="","",DATOS!$A16043&amp;"|"&amp;DATOS!$D16043&amp;"|"&amp;DATOS!$E16043&amp;"|"&amp;DATOS!$I16043)</f>
      </c>
      <c r="G16043">
        <f>IF(DATOS!$A16043="",0,IF(CONFIG_METADATA!$B$4&lt;&gt;"OR+EX",--(DATOS!$G16043=CONFIG_METADATA!$B$4),IF(DATOS!$G16043="EX",1,IF(DATOS!$G16043="OR",--(COUNTIFS(nNIA,DATOS!$A16043,nCURSO,DATOS!$D16043,nESPEC,DATOS!$E16043,nASIG,DATOS!$I16043,nEVAL,"EX")=0),0))))</f>
      </c>
      <c r="H16043">
        <f>IF(DATOS!$G16043&lt;&gt;"EX",0,--(COUNTIFS(nNIA,DATOS!$A16043,nCURSO,DATOS!$D16043,nESPEC,DATOS!$E16043,nASIG,DATOS!$I16043,nEVAL,"OR")=0))</f>
      </c>
      <c r="I16043">
        <f>IF(DATOS!$I16043="","",IFERROR(VLOOKUP(DATOS!$I16043,CONFIG_ASIGNATURAS!$B$2:$J$91,9,FALSE()),""))</f>
      </c>
    </row>
    <row r="16044">
      <c r="F16044">
        <f>IF(DATOS!$A16044="","",DATOS!$A16044&amp;"|"&amp;DATOS!$D16044&amp;"|"&amp;DATOS!$E16044&amp;"|"&amp;DATOS!$I16044)</f>
      </c>
      <c r="G16044">
        <f>IF(DATOS!$A16044="",0,IF(CONFIG_METADATA!$B$4&lt;&gt;"OR+EX",--(DATOS!$G16044=CONFIG_METADATA!$B$4),IF(DATOS!$G16044="EX",1,IF(DATOS!$G16044="OR",--(COUNTIFS(nNIA,DATOS!$A16044,nCURSO,DATOS!$D16044,nESPEC,DATOS!$E16044,nASIG,DATOS!$I16044,nEVAL,"EX")=0),0))))</f>
      </c>
      <c r="H16044">
        <f>IF(DATOS!$G16044&lt;&gt;"EX",0,--(COUNTIFS(nNIA,DATOS!$A16044,nCURSO,DATOS!$D16044,nESPEC,DATOS!$E16044,nASIG,DATOS!$I16044,nEVAL,"OR")=0))</f>
      </c>
      <c r="I16044">
        <f>IF(DATOS!$I16044="","",IFERROR(VLOOKUP(DATOS!$I16044,CONFIG_ASIGNATURAS!$B$2:$J$91,9,FALSE()),""))</f>
      </c>
    </row>
    <row r="16045">
      <c r="F16045">
        <f>IF(DATOS!$A16045="","",DATOS!$A16045&amp;"|"&amp;DATOS!$D16045&amp;"|"&amp;DATOS!$E16045&amp;"|"&amp;DATOS!$I16045)</f>
      </c>
      <c r="G16045">
        <f>IF(DATOS!$A16045="",0,IF(CONFIG_METADATA!$B$4&lt;&gt;"OR+EX",--(DATOS!$G16045=CONFIG_METADATA!$B$4),IF(DATOS!$G16045="EX",1,IF(DATOS!$G16045="OR",--(COUNTIFS(nNIA,DATOS!$A16045,nCURSO,DATOS!$D16045,nESPEC,DATOS!$E16045,nASIG,DATOS!$I16045,nEVAL,"EX")=0),0))))</f>
      </c>
      <c r="H16045">
        <f>IF(DATOS!$G16045&lt;&gt;"EX",0,--(COUNTIFS(nNIA,DATOS!$A16045,nCURSO,DATOS!$D16045,nESPEC,DATOS!$E16045,nASIG,DATOS!$I16045,nEVAL,"OR")=0))</f>
      </c>
      <c r="I16045">
        <f>IF(DATOS!$I16045="","",IFERROR(VLOOKUP(DATOS!$I16045,CONFIG_ASIGNATURAS!$B$2:$J$91,9,FALSE()),""))</f>
      </c>
    </row>
    <row r="16046">
      <c r="F16046">
        <f>IF(DATOS!$A16046="","",DATOS!$A16046&amp;"|"&amp;DATOS!$D16046&amp;"|"&amp;DATOS!$E16046&amp;"|"&amp;DATOS!$I16046)</f>
      </c>
      <c r="G16046">
        <f>IF(DATOS!$A16046="",0,IF(CONFIG_METADATA!$B$4&lt;&gt;"OR+EX",--(DATOS!$G16046=CONFIG_METADATA!$B$4),IF(DATOS!$G16046="EX",1,IF(DATOS!$G16046="OR",--(COUNTIFS(nNIA,DATOS!$A16046,nCURSO,DATOS!$D16046,nESPEC,DATOS!$E16046,nASIG,DATOS!$I16046,nEVAL,"EX")=0),0))))</f>
      </c>
      <c r="H16046">
        <f>IF(DATOS!$G16046&lt;&gt;"EX",0,--(COUNTIFS(nNIA,DATOS!$A16046,nCURSO,DATOS!$D16046,nESPEC,DATOS!$E16046,nASIG,DATOS!$I16046,nEVAL,"OR")=0))</f>
      </c>
      <c r="I16046">
        <f>IF(DATOS!$I16046="","",IFERROR(VLOOKUP(DATOS!$I16046,CONFIG_ASIGNATURAS!$B$2:$J$91,9,FALSE()),""))</f>
      </c>
    </row>
    <row r="16047">
      <c r="F16047">
        <f>IF(DATOS!$A16047="","",DATOS!$A16047&amp;"|"&amp;DATOS!$D16047&amp;"|"&amp;DATOS!$E16047&amp;"|"&amp;DATOS!$I16047)</f>
      </c>
      <c r="G16047">
        <f>IF(DATOS!$A16047="",0,IF(CONFIG_METADATA!$B$4&lt;&gt;"OR+EX",--(DATOS!$G16047=CONFIG_METADATA!$B$4),IF(DATOS!$G16047="EX",1,IF(DATOS!$G16047="OR",--(COUNTIFS(nNIA,DATOS!$A16047,nCURSO,DATOS!$D16047,nESPEC,DATOS!$E16047,nASIG,DATOS!$I16047,nEVAL,"EX")=0),0))))</f>
      </c>
      <c r="H16047">
        <f>IF(DATOS!$G16047&lt;&gt;"EX",0,--(COUNTIFS(nNIA,DATOS!$A16047,nCURSO,DATOS!$D16047,nESPEC,DATOS!$E16047,nASIG,DATOS!$I16047,nEVAL,"OR")=0))</f>
      </c>
      <c r="I16047">
        <f>IF(DATOS!$I16047="","",IFERROR(VLOOKUP(DATOS!$I16047,CONFIG_ASIGNATURAS!$B$2:$J$91,9,FALSE()),""))</f>
      </c>
    </row>
    <row r="16048">
      <c r="F16048">
        <f>IF(DATOS!$A16048="","",DATOS!$A16048&amp;"|"&amp;DATOS!$D16048&amp;"|"&amp;DATOS!$E16048&amp;"|"&amp;DATOS!$I16048)</f>
      </c>
      <c r="G16048">
        <f>IF(DATOS!$A16048="",0,IF(CONFIG_METADATA!$B$4&lt;&gt;"OR+EX",--(DATOS!$G16048=CONFIG_METADATA!$B$4),IF(DATOS!$G16048="EX",1,IF(DATOS!$G16048="OR",--(COUNTIFS(nNIA,DATOS!$A16048,nCURSO,DATOS!$D16048,nESPEC,DATOS!$E16048,nASIG,DATOS!$I16048,nEVAL,"EX")=0),0))))</f>
      </c>
      <c r="H16048">
        <f>IF(DATOS!$G16048&lt;&gt;"EX",0,--(COUNTIFS(nNIA,DATOS!$A16048,nCURSO,DATOS!$D16048,nESPEC,DATOS!$E16048,nASIG,DATOS!$I16048,nEVAL,"OR")=0))</f>
      </c>
      <c r="I16048">
        <f>IF(DATOS!$I16048="","",IFERROR(VLOOKUP(DATOS!$I16048,CONFIG_ASIGNATURAS!$B$2:$J$91,9,FALSE()),""))</f>
      </c>
    </row>
    <row r="16049">
      <c r="F16049">
        <f>IF(DATOS!$A16049="","",DATOS!$A16049&amp;"|"&amp;DATOS!$D16049&amp;"|"&amp;DATOS!$E16049&amp;"|"&amp;DATOS!$I16049)</f>
      </c>
      <c r="G16049">
        <f>IF(DATOS!$A16049="",0,IF(CONFIG_METADATA!$B$4&lt;&gt;"OR+EX",--(DATOS!$G16049=CONFIG_METADATA!$B$4),IF(DATOS!$G16049="EX",1,IF(DATOS!$G16049="OR",--(COUNTIFS(nNIA,DATOS!$A16049,nCURSO,DATOS!$D16049,nESPEC,DATOS!$E16049,nASIG,DATOS!$I16049,nEVAL,"EX")=0),0))))</f>
      </c>
      <c r="H16049">
        <f>IF(DATOS!$G16049&lt;&gt;"EX",0,--(COUNTIFS(nNIA,DATOS!$A16049,nCURSO,DATOS!$D16049,nESPEC,DATOS!$E16049,nASIG,DATOS!$I16049,nEVAL,"OR")=0))</f>
      </c>
      <c r="I16049">
        <f>IF(DATOS!$I16049="","",IFERROR(VLOOKUP(DATOS!$I16049,CONFIG_ASIGNATURAS!$B$2:$J$91,9,FALSE()),""))</f>
      </c>
    </row>
    <row r="16050">
      <c r="F16050">
        <f>IF(DATOS!$A16050="","",DATOS!$A16050&amp;"|"&amp;DATOS!$D16050&amp;"|"&amp;DATOS!$E16050&amp;"|"&amp;DATOS!$I16050)</f>
      </c>
      <c r="G16050">
        <f>IF(DATOS!$A16050="",0,IF(CONFIG_METADATA!$B$4&lt;&gt;"OR+EX",--(DATOS!$G16050=CONFIG_METADATA!$B$4),IF(DATOS!$G16050="EX",1,IF(DATOS!$G16050="OR",--(COUNTIFS(nNIA,DATOS!$A16050,nCURSO,DATOS!$D16050,nESPEC,DATOS!$E16050,nASIG,DATOS!$I16050,nEVAL,"EX")=0),0))))</f>
      </c>
      <c r="H16050">
        <f>IF(DATOS!$G16050&lt;&gt;"EX",0,--(COUNTIFS(nNIA,DATOS!$A16050,nCURSO,DATOS!$D16050,nESPEC,DATOS!$E16050,nASIG,DATOS!$I16050,nEVAL,"OR")=0))</f>
      </c>
      <c r="I16050">
        <f>IF(DATOS!$I16050="","",IFERROR(VLOOKUP(DATOS!$I16050,CONFIG_ASIGNATURAS!$B$2:$J$91,9,FALSE()),""))</f>
      </c>
    </row>
    <row r="16051">
      <c r="F16051">
        <f>IF(DATOS!$A16051="","",DATOS!$A16051&amp;"|"&amp;DATOS!$D16051&amp;"|"&amp;DATOS!$E16051&amp;"|"&amp;DATOS!$I16051)</f>
      </c>
      <c r="G16051">
        <f>IF(DATOS!$A16051="",0,IF(CONFIG_METADATA!$B$4&lt;&gt;"OR+EX",--(DATOS!$G16051=CONFIG_METADATA!$B$4),IF(DATOS!$G16051="EX",1,IF(DATOS!$G16051="OR",--(COUNTIFS(nNIA,DATOS!$A16051,nCURSO,DATOS!$D16051,nESPEC,DATOS!$E16051,nASIG,DATOS!$I16051,nEVAL,"EX")=0),0))))</f>
      </c>
      <c r="H16051">
        <f>IF(DATOS!$G16051&lt;&gt;"EX",0,--(COUNTIFS(nNIA,DATOS!$A16051,nCURSO,DATOS!$D16051,nESPEC,DATOS!$E16051,nASIG,DATOS!$I16051,nEVAL,"OR")=0))</f>
      </c>
      <c r="I16051">
        <f>IF(DATOS!$I16051="","",IFERROR(VLOOKUP(DATOS!$I16051,CONFIG_ASIGNATURAS!$B$2:$J$91,9,FALSE()),""))</f>
      </c>
    </row>
    <row r="16052">
      <c r="F16052">
        <f>IF(DATOS!$A16052="","",DATOS!$A16052&amp;"|"&amp;DATOS!$D16052&amp;"|"&amp;DATOS!$E16052&amp;"|"&amp;DATOS!$I16052)</f>
      </c>
      <c r="G16052">
        <f>IF(DATOS!$A16052="",0,IF(CONFIG_METADATA!$B$4&lt;&gt;"OR+EX",--(DATOS!$G16052=CONFIG_METADATA!$B$4),IF(DATOS!$G16052="EX",1,IF(DATOS!$G16052="OR",--(COUNTIFS(nNIA,DATOS!$A16052,nCURSO,DATOS!$D16052,nESPEC,DATOS!$E16052,nASIG,DATOS!$I16052,nEVAL,"EX")=0),0))))</f>
      </c>
      <c r="H16052">
        <f>IF(DATOS!$G16052&lt;&gt;"EX",0,--(COUNTIFS(nNIA,DATOS!$A16052,nCURSO,DATOS!$D16052,nESPEC,DATOS!$E16052,nASIG,DATOS!$I16052,nEVAL,"OR")=0))</f>
      </c>
      <c r="I16052">
        <f>IF(DATOS!$I16052="","",IFERROR(VLOOKUP(DATOS!$I16052,CONFIG_ASIGNATURAS!$B$2:$J$91,9,FALSE()),""))</f>
      </c>
    </row>
    <row r="16053">
      <c r="F16053">
        <f>IF(DATOS!$A16053="","",DATOS!$A16053&amp;"|"&amp;DATOS!$D16053&amp;"|"&amp;DATOS!$E16053&amp;"|"&amp;DATOS!$I16053)</f>
      </c>
      <c r="G16053">
        <f>IF(DATOS!$A16053="",0,IF(CONFIG_METADATA!$B$4&lt;&gt;"OR+EX",--(DATOS!$G16053=CONFIG_METADATA!$B$4),IF(DATOS!$G16053="EX",1,IF(DATOS!$G16053="OR",--(COUNTIFS(nNIA,DATOS!$A16053,nCURSO,DATOS!$D16053,nESPEC,DATOS!$E16053,nASIG,DATOS!$I16053,nEVAL,"EX")=0),0))))</f>
      </c>
      <c r="H16053">
        <f>IF(DATOS!$G16053&lt;&gt;"EX",0,--(COUNTIFS(nNIA,DATOS!$A16053,nCURSO,DATOS!$D16053,nESPEC,DATOS!$E16053,nASIG,DATOS!$I16053,nEVAL,"OR")=0))</f>
      </c>
      <c r="I16053">
        <f>IF(DATOS!$I16053="","",IFERROR(VLOOKUP(DATOS!$I16053,CONFIG_ASIGNATURAS!$B$2:$J$91,9,FALSE()),""))</f>
      </c>
    </row>
    <row r="16054">
      <c r="F16054">
        <f>IF(DATOS!$A16054="","",DATOS!$A16054&amp;"|"&amp;DATOS!$D16054&amp;"|"&amp;DATOS!$E16054&amp;"|"&amp;DATOS!$I16054)</f>
      </c>
      <c r="G16054">
        <f>IF(DATOS!$A16054="",0,IF(CONFIG_METADATA!$B$4&lt;&gt;"OR+EX",--(DATOS!$G16054=CONFIG_METADATA!$B$4),IF(DATOS!$G16054="EX",1,IF(DATOS!$G16054="OR",--(COUNTIFS(nNIA,DATOS!$A16054,nCURSO,DATOS!$D16054,nESPEC,DATOS!$E16054,nASIG,DATOS!$I16054,nEVAL,"EX")=0),0))))</f>
      </c>
      <c r="H16054">
        <f>IF(DATOS!$G16054&lt;&gt;"EX",0,--(COUNTIFS(nNIA,DATOS!$A16054,nCURSO,DATOS!$D16054,nESPEC,DATOS!$E16054,nASIG,DATOS!$I16054,nEVAL,"OR")=0))</f>
      </c>
      <c r="I16054">
        <f>IF(DATOS!$I16054="","",IFERROR(VLOOKUP(DATOS!$I16054,CONFIG_ASIGNATURAS!$B$2:$J$91,9,FALSE()),""))</f>
      </c>
    </row>
    <row r="16055">
      <c r="F16055">
        <f>IF(DATOS!$A16055="","",DATOS!$A16055&amp;"|"&amp;DATOS!$D16055&amp;"|"&amp;DATOS!$E16055&amp;"|"&amp;DATOS!$I16055)</f>
      </c>
      <c r="G16055">
        <f>IF(DATOS!$A16055="",0,IF(CONFIG_METADATA!$B$4&lt;&gt;"OR+EX",--(DATOS!$G16055=CONFIG_METADATA!$B$4),IF(DATOS!$G16055="EX",1,IF(DATOS!$G16055="OR",--(COUNTIFS(nNIA,DATOS!$A16055,nCURSO,DATOS!$D16055,nESPEC,DATOS!$E16055,nASIG,DATOS!$I16055,nEVAL,"EX")=0),0))))</f>
      </c>
      <c r="H16055">
        <f>IF(DATOS!$G16055&lt;&gt;"EX",0,--(COUNTIFS(nNIA,DATOS!$A16055,nCURSO,DATOS!$D16055,nESPEC,DATOS!$E16055,nASIG,DATOS!$I16055,nEVAL,"OR")=0))</f>
      </c>
      <c r="I16055">
        <f>IF(DATOS!$I16055="","",IFERROR(VLOOKUP(DATOS!$I16055,CONFIG_ASIGNATURAS!$B$2:$J$91,9,FALSE()),""))</f>
      </c>
    </row>
    <row r="16056">
      <c r="F16056">
        <f>IF(DATOS!$A16056="","",DATOS!$A16056&amp;"|"&amp;DATOS!$D16056&amp;"|"&amp;DATOS!$E16056&amp;"|"&amp;DATOS!$I16056)</f>
      </c>
      <c r="G16056">
        <f>IF(DATOS!$A16056="",0,IF(CONFIG_METADATA!$B$4&lt;&gt;"OR+EX",--(DATOS!$G16056=CONFIG_METADATA!$B$4),IF(DATOS!$G16056="EX",1,IF(DATOS!$G16056="OR",--(COUNTIFS(nNIA,DATOS!$A16056,nCURSO,DATOS!$D16056,nESPEC,DATOS!$E16056,nASIG,DATOS!$I16056,nEVAL,"EX")=0),0))))</f>
      </c>
      <c r="H16056">
        <f>IF(DATOS!$G16056&lt;&gt;"EX",0,--(COUNTIFS(nNIA,DATOS!$A16056,nCURSO,DATOS!$D16056,nESPEC,DATOS!$E16056,nASIG,DATOS!$I16056,nEVAL,"OR")=0))</f>
      </c>
      <c r="I16056">
        <f>IF(DATOS!$I16056="","",IFERROR(VLOOKUP(DATOS!$I16056,CONFIG_ASIGNATURAS!$B$2:$J$91,9,FALSE()),""))</f>
      </c>
    </row>
    <row r="16057">
      <c r="F16057">
        <f>IF(DATOS!$A16057="","",DATOS!$A16057&amp;"|"&amp;DATOS!$D16057&amp;"|"&amp;DATOS!$E16057&amp;"|"&amp;DATOS!$I16057)</f>
      </c>
      <c r="G16057">
        <f>IF(DATOS!$A16057="",0,IF(CONFIG_METADATA!$B$4&lt;&gt;"OR+EX",--(DATOS!$G16057=CONFIG_METADATA!$B$4),IF(DATOS!$G16057="EX",1,IF(DATOS!$G16057="OR",--(COUNTIFS(nNIA,DATOS!$A16057,nCURSO,DATOS!$D16057,nESPEC,DATOS!$E16057,nASIG,DATOS!$I16057,nEVAL,"EX")=0),0))))</f>
      </c>
      <c r="H16057">
        <f>IF(DATOS!$G16057&lt;&gt;"EX",0,--(COUNTIFS(nNIA,DATOS!$A16057,nCURSO,DATOS!$D16057,nESPEC,DATOS!$E16057,nASIG,DATOS!$I16057,nEVAL,"OR")=0))</f>
      </c>
      <c r="I16057">
        <f>IF(DATOS!$I16057="","",IFERROR(VLOOKUP(DATOS!$I16057,CONFIG_ASIGNATURAS!$B$2:$J$91,9,FALSE()),""))</f>
      </c>
    </row>
    <row r="16058">
      <c r="F16058">
        <f>IF(DATOS!$A16058="","",DATOS!$A16058&amp;"|"&amp;DATOS!$D16058&amp;"|"&amp;DATOS!$E16058&amp;"|"&amp;DATOS!$I16058)</f>
      </c>
      <c r="G16058">
        <f>IF(DATOS!$A16058="",0,IF(CONFIG_METADATA!$B$4&lt;&gt;"OR+EX",--(DATOS!$G16058=CONFIG_METADATA!$B$4),IF(DATOS!$G16058="EX",1,IF(DATOS!$G16058="OR",--(COUNTIFS(nNIA,DATOS!$A16058,nCURSO,DATOS!$D16058,nESPEC,DATOS!$E16058,nASIG,DATOS!$I16058,nEVAL,"EX")=0),0))))</f>
      </c>
      <c r="H16058">
        <f>IF(DATOS!$G16058&lt;&gt;"EX",0,--(COUNTIFS(nNIA,DATOS!$A16058,nCURSO,DATOS!$D16058,nESPEC,DATOS!$E16058,nASIG,DATOS!$I16058,nEVAL,"OR")=0))</f>
      </c>
      <c r="I16058">
        <f>IF(DATOS!$I16058="","",IFERROR(VLOOKUP(DATOS!$I16058,CONFIG_ASIGNATURAS!$B$2:$J$91,9,FALSE()),""))</f>
      </c>
    </row>
    <row r="16059">
      <c r="F16059">
        <f>IF(DATOS!$A16059="","",DATOS!$A16059&amp;"|"&amp;DATOS!$D16059&amp;"|"&amp;DATOS!$E16059&amp;"|"&amp;DATOS!$I16059)</f>
      </c>
      <c r="G16059">
        <f>IF(DATOS!$A16059="",0,IF(CONFIG_METADATA!$B$4&lt;&gt;"OR+EX",--(DATOS!$G16059=CONFIG_METADATA!$B$4),IF(DATOS!$G16059="EX",1,IF(DATOS!$G16059="OR",--(COUNTIFS(nNIA,DATOS!$A16059,nCURSO,DATOS!$D16059,nESPEC,DATOS!$E16059,nASIG,DATOS!$I16059,nEVAL,"EX")=0),0))))</f>
      </c>
      <c r="H16059">
        <f>IF(DATOS!$G16059&lt;&gt;"EX",0,--(COUNTIFS(nNIA,DATOS!$A16059,nCURSO,DATOS!$D16059,nESPEC,DATOS!$E16059,nASIG,DATOS!$I16059,nEVAL,"OR")=0))</f>
      </c>
      <c r="I16059">
        <f>IF(DATOS!$I16059="","",IFERROR(VLOOKUP(DATOS!$I16059,CONFIG_ASIGNATURAS!$B$2:$J$91,9,FALSE()),""))</f>
      </c>
    </row>
    <row r="16060">
      <c r="F16060">
        <f>IF(DATOS!$A16060="","",DATOS!$A16060&amp;"|"&amp;DATOS!$D16060&amp;"|"&amp;DATOS!$E16060&amp;"|"&amp;DATOS!$I16060)</f>
      </c>
      <c r="G16060">
        <f>IF(DATOS!$A16060="",0,IF(CONFIG_METADATA!$B$4&lt;&gt;"OR+EX",--(DATOS!$G16060=CONFIG_METADATA!$B$4),IF(DATOS!$G16060="EX",1,IF(DATOS!$G16060="OR",--(COUNTIFS(nNIA,DATOS!$A16060,nCURSO,DATOS!$D16060,nESPEC,DATOS!$E16060,nASIG,DATOS!$I16060,nEVAL,"EX")=0),0))))</f>
      </c>
      <c r="H16060">
        <f>IF(DATOS!$G16060&lt;&gt;"EX",0,--(COUNTIFS(nNIA,DATOS!$A16060,nCURSO,DATOS!$D16060,nESPEC,DATOS!$E16060,nASIG,DATOS!$I16060,nEVAL,"OR")=0))</f>
      </c>
      <c r="I16060">
        <f>IF(DATOS!$I16060="","",IFERROR(VLOOKUP(DATOS!$I16060,CONFIG_ASIGNATURAS!$B$2:$J$91,9,FALSE()),""))</f>
      </c>
    </row>
    <row r="16061">
      <c r="F16061">
        <f>IF(DATOS!$A16061="","",DATOS!$A16061&amp;"|"&amp;DATOS!$D16061&amp;"|"&amp;DATOS!$E16061&amp;"|"&amp;DATOS!$I16061)</f>
      </c>
      <c r="G16061">
        <f>IF(DATOS!$A16061="",0,IF(CONFIG_METADATA!$B$4&lt;&gt;"OR+EX",--(DATOS!$G16061=CONFIG_METADATA!$B$4),IF(DATOS!$G16061="EX",1,IF(DATOS!$G16061="OR",--(COUNTIFS(nNIA,DATOS!$A16061,nCURSO,DATOS!$D16061,nESPEC,DATOS!$E16061,nASIG,DATOS!$I16061,nEVAL,"EX")=0),0))))</f>
      </c>
      <c r="H16061">
        <f>IF(DATOS!$G16061&lt;&gt;"EX",0,--(COUNTIFS(nNIA,DATOS!$A16061,nCURSO,DATOS!$D16061,nESPEC,DATOS!$E16061,nASIG,DATOS!$I16061,nEVAL,"OR")=0))</f>
      </c>
      <c r="I16061">
        <f>IF(DATOS!$I16061="","",IFERROR(VLOOKUP(DATOS!$I16061,CONFIG_ASIGNATURAS!$B$2:$J$91,9,FALSE()),""))</f>
      </c>
    </row>
    <row r="16062">
      <c r="F16062">
        <f>IF(DATOS!$A16062="","",DATOS!$A16062&amp;"|"&amp;DATOS!$D16062&amp;"|"&amp;DATOS!$E16062&amp;"|"&amp;DATOS!$I16062)</f>
      </c>
      <c r="G16062">
        <f>IF(DATOS!$A16062="",0,IF(CONFIG_METADATA!$B$4&lt;&gt;"OR+EX",--(DATOS!$G16062=CONFIG_METADATA!$B$4),IF(DATOS!$G16062="EX",1,IF(DATOS!$G16062="OR",--(COUNTIFS(nNIA,DATOS!$A16062,nCURSO,DATOS!$D16062,nESPEC,DATOS!$E16062,nASIG,DATOS!$I16062,nEVAL,"EX")=0),0))))</f>
      </c>
      <c r="H16062">
        <f>IF(DATOS!$G16062&lt;&gt;"EX",0,--(COUNTIFS(nNIA,DATOS!$A16062,nCURSO,DATOS!$D16062,nESPEC,DATOS!$E16062,nASIG,DATOS!$I16062,nEVAL,"OR")=0))</f>
      </c>
      <c r="I16062">
        <f>IF(DATOS!$I16062="","",IFERROR(VLOOKUP(DATOS!$I16062,CONFIG_ASIGNATURAS!$B$2:$J$91,9,FALSE()),""))</f>
      </c>
    </row>
    <row r="16063">
      <c r="F16063">
        <f>IF(DATOS!$A16063="","",DATOS!$A16063&amp;"|"&amp;DATOS!$D16063&amp;"|"&amp;DATOS!$E16063&amp;"|"&amp;DATOS!$I16063)</f>
      </c>
      <c r="G16063">
        <f>IF(DATOS!$A16063="",0,IF(CONFIG_METADATA!$B$4&lt;&gt;"OR+EX",--(DATOS!$G16063=CONFIG_METADATA!$B$4),IF(DATOS!$G16063="EX",1,IF(DATOS!$G16063="OR",--(COUNTIFS(nNIA,DATOS!$A16063,nCURSO,DATOS!$D16063,nESPEC,DATOS!$E16063,nASIG,DATOS!$I16063,nEVAL,"EX")=0),0))))</f>
      </c>
      <c r="H16063">
        <f>IF(DATOS!$G16063&lt;&gt;"EX",0,--(COUNTIFS(nNIA,DATOS!$A16063,nCURSO,DATOS!$D16063,nESPEC,DATOS!$E16063,nASIG,DATOS!$I16063,nEVAL,"OR")=0))</f>
      </c>
      <c r="I16063">
        <f>IF(DATOS!$I16063="","",IFERROR(VLOOKUP(DATOS!$I16063,CONFIG_ASIGNATURAS!$B$2:$J$91,9,FALSE()),""))</f>
      </c>
    </row>
    <row r="16064">
      <c r="F16064">
        <f>IF(DATOS!$A16064="","",DATOS!$A16064&amp;"|"&amp;DATOS!$D16064&amp;"|"&amp;DATOS!$E16064&amp;"|"&amp;DATOS!$I16064)</f>
      </c>
      <c r="G16064">
        <f>IF(DATOS!$A16064="",0,IF(CONFIG_METADATA!$B$4&lt;&gt;"OR+EX",--(DATOS!$G16064=CONFIG_METADATA!$B$4),IF(DATOS!$G16064="EX",1,IF(DATOS!$G16064="OR",--(COUNTIFS(nNIA,DATOS!$A16064,nCURSO,DATOS!$D16064,nESPEC,DATOS!$E16064,nASIG,DATOS!$I16064,nEVAL,"EX")=0),0))))</f>
      </c>
      <c r="H16064">
        <f>IF(DATOS!$G16064&lt;&gt;"EX",0,--(COUNTIFS(nNIA,DATOS!$A16064,nCURSO,DATOS!$D16064,nESPEC,DATOS!$E16064,nASIG,DATOS!$I16064,nEVAL,"OR")=0))</f>
      </c>
      <c r="I16064">
        <f>IF(DATOS!$I16064="","",IFERROR(VLOOKUP(DATOS!$I16064,CONFIG_ASIGNATURAS!$B$2:$J$91,9,FALSE()),""))</f>
      </c>
    </row>
    <row r="16065">
      <c r="F16065">
        <f>IF(DATOS!$A16065="","",DATOS!$A16065&amp;"|"&amp;DATOS!$D16065&amp;"|"&amp;DATOS!$E16065&amp;"|"&amp;DATOS!$I16065)</f>
      </c>
      <c r="G16065">
        <f>IF(DATOS!$A16065="",0,IF(CONFIG_METADATA!$B$4&lt;&gt;"OR+EX",--(DATOS!$G16065=CONFIG_METADATA!$B$4),IF(DATOS!$G16065="EX",1,IF(DATOS!$G16065="OR",--(COUNTIFS(nNIA,DATOS!$A16065,nCURSO,DATOS!$D16065,nESPEC,DATOS!$E16065,nASIG,DATOS!$I16065,nEVAL,"EX")=0),0))))</f>
      </c>
      <c r="H16065">
        <f>IF(DATOS!$G16065&lt;&gt;"EX",0,--(COUNTIFS(nNIA,DATOS!$A16065,nCURSO,DATOS!$D16065,nESPEC,DATOS!$E16065,nASIG,DATOS!$I16065,nEVAL,"OR")=0))</f>
      </c>
      <c r="I16065">
        <f>IF(DATOS!$I16065="","",IFERROR(VLOOKUP(DATOS!$I16065,CONFIG_ASIGNATURAS!$B$2:$J$91,9,FALSE()),""))</f>
      </c>
    </row>
    <row r="16066">
      <c r="F16066">
        <f>IF(DATOS!$A16066="","",DATOS!$A16066&amp;"|"&amp;DATOS!$D16066&amp;"|"&amp;DATOS!$E16066&amp;"|"&amp;DATOS!$I16066)</f>
      </c>
      <c r="G16066">
        <f>IF(DATOS!$A16066="",0,IF(CONFIG_METADATA!$B$4&lt;&gt;"OR+EX",--(DATOS!$G16066=CONFIG_METADATA!$B$4),IF(DATOS!$G16066="EX",1,IF(DATOS!$G16066="OR",--(COUNTIFS(nNIA,DATOS!$A16066,nCURSO,DATOS!$D16066,nESPEC,DATOS!$E16066,nASIG,DATOS!$I16066,nEVAL,"EX")=0),0))))</f>
      </c>
      <c r="H16066">
        <f>IF(DATOS!$G16066&lt;&gt;"EX",0,--(COUNTIFS(nNIA,DATOS!$A16066,nCURSO,DATOS!$D16066,nESPEC,DATOS!$E16066,nASIG,DATOS!$I16066,nEVAL,"OR")=0))</f>
      </c>
      <c r="I16066">
        <f>IF(DATOS!$I16066="","",IFERROR(VLOOKUP(DATOS!$I16066,CONFIG_ASIGNATURAS!$B$2:$J$91,9,FALSE()),""))</f>
      </c>
    </row>
    <row r="16067">
      <c r="F16067">
        <f>IF(DATOS!$A16067="","",DATOS!$A16067&amp;"|"&amp;DATOS!$D16067&amp;"|"&amp;DATOS!$E16067&amp;"|"&amp;DATOS!$I16067)</f>
      </c>
      <c r="G16067">
        <f>IF(DATOS!$A16067="",0,IF(CONFIG_METADATA!$B$4&lt;&gt;"OR+EX",--(DATOS!$G16067=CONFIG_METADATA!$B$4),IF(DATOS!$G16067="EX",1,IF(DATOS!$G16067="OR",--(COUNTIFS(nNIA,DATOS!$A16067,nCURSO,DATOS!$D16067,nESPEC,DATOS!$E16067,nASIG,DATOS!$I16067,nEVAL,"EX")=0),0))))</f>
      </c>
      <c r="H16067">
        <f>IF(DATOS!$G16067&lt;&gt;"EX",0,--(COUNTIFS(nNIA,DATOS!$A16067,nCURSO,DATOS!$D16067,nESPEC,DATOS!$E16067,nASIG,DATOS!$I16067,nEVAL,"OR")=0))</f>
      </c>
      <c r="I16067">
        <f>IF(DATOS!$I16067="","",IFERROR(VLOOKUP(DATOS!$I16067,CONFIG_ASIGNATURAS!$B$2:$J$91,9,FALSE()),""))</f>
      </c>
    </row>
    <row r="16068">
      <c r="F16068">
        <f>IF(DATOS!$A16068="","",DATOS!$A16068&amp;"|"&amp;DATOS!$D16068&amp;"|"&amp;DATOS!$E16068&amp;"|"&amp;DATOS!$I16068)</f>
      </c>
      <c r="G16068">
        <f>IF(DATOS!$A16068="",0,IF(CONFIG_METADATA!$B$4&lt;&gt;"OR+EX",--(DATOS!$G16068=CONFIG_METADATA!$B$4),IF(DATOS!$G16068="EX",1,IF(DATOS!$G16068="OR",--(COUNTIFS(nNIA,DATOS!$A16068,nCURSO,DATOS!$D16068,nESPEC,DATOS!$E16068,nASIG,DATOS!$I16068,nEVAL,"EX")=0),0))))</f>
      </c>
      <c r="H16068">
        <f>IF(DATOS!$G16068&lt;&gt;"EX",0,--(COUNTIFS(nNIA,DATOS!$A16068,nCURSO,DATOS!$D16068,nESPEC,DATOS!$E16068,nASIG,DATOS!$I16068,nEVAL,"OR")=0))</f>
      </c>
      <c r="I16068">
        <f>IF(DATOS!$I16068="","",IFERROR(VLOOKUP(DATOS!$I16068,CONFIG_ASIGNATURAS!$B$2:$J$91,9,FALSE()),""))</f>
      </c>
    </row>
    <row r="16069">
      <c r="F16069">
        <f>IF(DATOS!$A16069="","",DATOS!$A16069&amp;"|"&amp;DATOS!$D16069&amp;"|"&amp;DATOS!$E16069&amp;"|"&amp;DATOS!$I16069)</f>
      </c>
      <c r="G16069">
        <f>IF(DATOS!$A16069="",0,IF(CONFIG_METADATA!$B$4&lt;&gt;"OR+EX",--(DATOS!$G16069=CONFIG_METADATA!$B$4),IF(DATOS!$G16069="EX",1,IF(DATOS!$G16069="OR",--(COUNTIFS(nNIA,DATOS!$A16069,nCURSO,DATOS!$D16069,nESPEC,DATOS!$E16069,nASIG,DATOS!$I16069,nEVAL,"EX")=0),0))))</f>
      </c>
      <c r="H16069">
        <f>IF(DATOS!$G16069&lt;&gt;"EX",0,--(COUNTIFS(nNIA,DATOS!$A16069,nCURSO,DATOS!$D16069,nESPEC,DATOS!$E16069,nASIG,DATOS!$I16069,nEVAL,"OR")=0))</f>
      </c>
      <c r="I16069">
        <f>IF(DATOS!$I16069="","",IFERROR(VLOOKUP(DATOS!$I16069,CONFIG_ASIGNATURAS!$B$2:$J$91,9,FALSE()),""))</f>
      </c>
    </row>
    <row r="16070">
      <c r="F16070">
        <f>IF(DATOS!$A16070="","",DATOS!$A16070&amp;"|"&amp;DATOS!$D16070&amp;"|"&amp;DATOS!$E16070&amp;"|"&amp;DATOS!$I16070)</f>
      </c>
      <c r="G16070">
        <f>IF(DATOS!$A16070="",0,IF(CONFIG_METADATA!$B$4&lt;&gt;"OR+EX",--(DATOS!$G16070=CONFIG_METADATA!$B$4),IF(DATOS!$G16070="EX",1,IF(DATOS!$G16070="OR",--(COUNTIFS(nNIA,DATOS!$A16070,nCURSO,DATOS!$D16070,nESPEC,DATOS!$E16070,nASIG,DATOS!$I16070,nEVAL,"EX")=0),0))))</f>
      </c>
      <c r="H16070">
        <f>IF(DATOS!$G16070&lt;&gt;"EX",0,--(COUNTIFS(nNIA,DATOS!$A16070,nCURSO,DATOS!$D16070,nESPEC,DATOS!$E16070,nASIG,DATOS!$I16070,nEVAL,"OR")=0))</f>
      </c>
      <c r="I16070">
        <f>IF(DATOS!$I16070="","",IFERROR(VLOOKUP(DATOS!$I16070,CONFIG_ASIGNATURAS!$B$2:$J$91,9,FALSE()),""))</f>
      </c>
    </row>
    <row r="16071">
      <c r="F16071">
        <f>IF(DATOS!$A16071="","",DATOS!$A16071&amp;"|"&amp;DATOS!$D16071&amp;"|"&amp;DATOS!$E16071&amp;"|"&amp;DATOS!$I16071)</f>
      </c>
      <c r="G16071">
        <f>IF(DATOS!$A16071="",0,IF(CONFIG_METADATA!$B$4&lt;&gt;"OR+EX",--(DATOS!$G16071=CONFIG_METADATA!$B$4),IF(DATOS!$G16071="EX",1,IF(DATOS!$G16071="OR",--(COUNTIFS(nNIA,DATOS!$A16071,nCURSO,DATOS!$D16071,nESPEC,DATOS!$E16071,nASIG,DATOS!$I16071,nEVAL,"EX")=0),0))))</f>
      </c>
      <c r="H16071">
        <f>IF(DATOS!$G16071&lt;&gt;"EX",0,--(COUNTIFS(nNIA,DATOS!$A16071,nCURSO,DATOS!$D16071,nESPEC,DATOS!$E16071,nASIG,DATOS!$I16071,nEVAL,"OR")=0))</f>
      </c>
      <c r="I16071">
        <f>IF(DATOS!$I16071="","",IFERROR(VLOOKUP(DATOS!$I16071,CONFIG_ASIGNATURAS!$B$2:$J$91,9,FALSE()),""))</f>
      </c>
    </row>
    <row r="16072">
      <c r="F16072">
        <f>IF(DATOS!$A16072="","",DATOS!$A16072&amp;"|"&amp;DATOS!$D16072&amp;"|"&amp;DATOS!$E16072&amp;"|"&amp;DATOS!$I16072)</f>
      </c>
      <c r="G16072">
        <f>IF(DATOS!$A16072="",0,IF(CONFIG_METADATA!$B$4&lt;&gt;"OR+EX",--(DATOS!$G16072=CONFIG_METADATA!$B$4),IF(DATOS!$G16072="EX",1,IF(DATOS!$G16072="OR",--(COUNTIFS(nNIA,DATOS!$A16072,nCURSO,DATOS!$D16072,nESPEC,DATOS!$E16072,nASIG,DATOS!$I16072,nEVAL,"EX")=0),0))))</f>
      </c>
      <c r="H16072">
        <f>IF(DATOS!$G16072&lt;&gt;"EX",0,--(COUNTIFS(nNIA,DATOS!$A16072,nCURSO,DATOS!$D16072,nESPEC,DATOS!$E16072,nASIG,DATOS!$I16072,nEVAL,"OR")=0))</f>
      </c>
      <c r="I16072">
        <f>IF(DATOS!$I16072="","",IFERROR(VLOOKUP(DATOS!$I16072,CONFIG_ASIGNATURAS!$B$2:$J$91,9,FALSE()),""))</f>
      </c>
    </row>
    <row r="16073">
      <c r="F16073">
        <f>IF(DATOS!$A16073="","",DATOS!$A16073&amp;"|"&amp;DATOS!$D16073&amp;"|"&amp;DATOS!$E16073&amp;"|"&amp;DATOS!$I16073)</f>
      </c>
      <c r="G16073">
        <f>IF(DATOS!$A16073="",0,IF(CONFIG_METADATA!$B$4&lt;&gt;"OR+EX",--(DATOS!$G16073=CONFIG_METADATA!$B$4),IF(DATOS!$G16073="EX",1,IF(DATOS!$G16073="OR",--(COUNTIFS(nNIA,DATOS!$A16073,nCURSO,DATOS!$D16073,nESPEC,DATOS!$E16073,nASIG,DATOS!$I16073,nEVAL,"EX")=0),0))))</f>
      </c>
      <c r="H16073">
        <f>IF(DATOS!$G16073&lt;&gt;"EX",0,--(COUNTIFS(nNIA,DATOS!$A16073,nCURSO,DATOS!$D16073,nESPEC,DATOS!$E16073,nASIG,DATOS!$I16073,nEVAL,"OR")=0))</f>
      </c>
      <c r="I16073">
        <f>IF(DATOS!$I16073="","",IFERROR(VLOOKUP(DATOS!$I16073,CONFIG_ASIGNATURAS!$B$2:$J$91,9,FALSE()),""))</f>
      </c>
    </row>
    <row r="16074">
      <c r="F16074">
        <f>IF(DATOS!$A16074="","",DATOS!$A16074&amp;"|"&amp;DATOS!$D16074&amp;"|"&amp;DATOS!$E16074&amp;"|"&amp;DATOS!$I16074)</f>
      </c>
      <c r="G16074">
        <f>IF(DATOS!$A16074="",0,IF(CONFIG_METADATA!$B$4&lt;&gt;"OR+EX",--(DATOS!$G16074=CONFIG_METADATA!$B$4),IF(DATOS!$G16074="EX",1,IF(DATOS!$G16074="OR",--(COUNTIFS(nNIA,DATOS!$A16074,nCURSO,DATOS!$D16074,nESPEC,DATOS!$E16074,nASIG,DATOS!$I16074,nEVAL,"EX")=0),0))))</f>
      </c>
      <c r="H16074">
        <f>IF(DATOS!$G16074&lt;&gt;"EX",0,--(COUNTIFS(nNIA,DATOS!$A16074,nCURSO,DATOS!$D16074,nESPEC,DATOS!$E16074,nASIG,DATOS!$I16074,nEVAL,"OR")=0))</f>
      </c>
      <c r="I16074">
        <f>IF(DATOS!$I16074="","",IFERROR(VLOOKUP(DATOS!$I16074,CONFIG_ASIGNATURAS!$B$2:$J$91,9,FALSE()),""))</f>
      </c>
    </row>
    <row r="16075">
      <c r="F16075">
        <f>IF(DATOS!$A16075="","",DATOS!$A16075&amp;"|"&amp;DATOS!$D16075&amp;"|"&amp;DATOS!$E16075&amp;"|"&amp;DATOS!$I16075)</f>
      </c>
      <c r="G16075">
        <f>IF(DATOS!$A16075="",0,IF(CONFIG_METADATA!$B$4&lt;&gt;"OR+EX",--(DATOS!$G16075=CONFIG_METADATA!$B$4),IF(DATOS!$G16075="EX",1,IF(DATOS!$G16075="OR",--(COUNTIFS(nNIA,DATOS!$A16075,nCURSO,DATOS!$D16075,nESPEC,DATOS!$E16075,nASIG,DATOS!$I16075,nEVAL,"EX")=0),0))))</f>
      </c>
      <c r="H16075">
        <f>IF(DATOS!$G16075&lt;&gt;"EX",0,--(COUNTIFS(nNIA,DATOS!$A16075,nCURSO,DATOS!$D16075,nESPEC,DATOS!$E16075,nASIG,DATOS!$I16075,nEVAL,"OR")=0))</f>
      </c>
      <c r="I16075">
        <f>IF(DATOS!$I16075="","",IFERROR(VLOOKUP(DATOS!$I16075,CONFIG_ASIGNATURAS!$B$2:$J$91,9,FALSE()),""))</f>
      </c>
    </row>
    <row r="16076">
      <c r="F16076">
        <f>IF(DATOS!$A16076="","",DATOS!$A16076&amp;"|"&amp;DATOS!$D16076&amp;"|"&amp;DATOS!$E16076&amp;"|"&amp;DATOS!$I16076)</f>
      </c>
      <c r="G16076">
        <f>IF(DATOS!$A16076="",0,IF(CONFIG_METADATA!$B$4&lt;&gt;"OR+EX",--(DATOS!$G16076=CONFIG_METADATA!$B$4),IF(DATOS!$G16076="EX",1,IF(DATOS!$G16076="OR",--(COUNTIFS(nNIA,DATOS!$A16076,nCURSO,DATOS!$D16076,nESPEC,DATOS!$E16076,nASIG,DATOS!$I16076,nEVAL,"EX")=0),0))))</f>
      </c>
      <c r="H16076">
        <f>IF(DATOS!$G16076&lt;&gt;"EX",0,--(COUNTIFS(nNIA,DATOS!$A16076,nCURSO,DATOS!$D16076,nESPEC,DATOS!$E16076,nASIG,DATOS!$I16076,nEVAL,"OR")=0))</f>
      </c>
      <c r="I16076">
        <f>IF(DATOS!$I16076="","",IFERROR(VLOOKUP(DATOS!$I16076,CONFIG_ASIGNATURAS!$B$2:$J$91,9,FALSE()),""))</f>
      </c>
    </row>
    <row r="16077">
      <c r="F16077">
        <f>IF(DATOS!$A16077="","",DATOS!$A16077&amp;"|"&amp;DATOS!$D16077&amp;"|"&amp;DATOS!$E16077&amp;"|"&amp;DATOS!$I16077)</f>
      </c>
      <c r="G16077">
        <f>IF(DATOS!$A16077="",0,IF(CONFIG_METADATA!$B$4&lt;&gt;"OR+EX",--(DATOS!$G16077=CONFIG_METADATA!$B$4),IF(DATOS!$G16077="EX",1,IF(DATOS!$G16077="OR",--(COUNTIFS(nNIA,DATOS!$A16077,nCURSO,DATOS!$D16077,nESPEC,DATOS!$E16077,nASIG,DATOS!$I16077,nEVAL,"EX")=0),0))))</f>
      </c>
      <c r="H16077">
        <f>IF(DATOS!$G16077&lt;&gt;"EX",0,--(COUNTIFS(nNIA,DATOS!$A16077,nCURSO,DATOS!$D16077,nESPEC,DATOS!$E16077,nASIG,DATOS!$I16077,nEVAL,"OR")=0))</f>
      </c>
      <c r="I16077">
        <f>IF(DATOS!$I16077="","",IFERROR(VLOOKUP(DATOS!$I16077,CONFIG_ASIGNATURAS!$B$2:$J$91,9,FALSE()),""))</f>
      </c>
    </row>
    <row r="16078">
      <c r="F16078">
        <f>IF(DATOS!$A16078="","",DATOS!$A16078&amp;"|"&amp;DATOS!$D16078&amp;"|"&amp;DATOS!$E16078&amp;"|"&amp;DATOS!$I16078)</f>
      </c>
      <c r="G16078">
        <f>IF(DATOS!$A16078="",0,IF(CONFIG_METADATA!$B$4&lt;&gt;"OR+EX",--(DATOS!$G16078=CONFIG_METADATA!$B$4),IF(DATOS!$G16078="EX",1,IF(DATOS!$G16078="OR",--(COUNTIFS(nNIA,DATOS!$A16078,nCURSO,DATOS!$D16078,nESPEC,DATOS!$E16078,nASIG,DATOS!$I16078,nEVAL,"EX")=0),0))))</f>
      </c>
      <c r="H16078">
        <f>IF(DATOS!$G16078&lt;&gt;"EX",0,--(COUNTIFS(nNIA,DATOS!$A16078,nCURSO,DATOS!$D16078,nESPEC,DATOS!$E16078,nASIG,DATOS!$I16078,nEVAL,"OR")=0))</f>
      </c>
      <c r="I16078">
        <f>IF(DATOS!$I16078="","",IFERROR(VLOOKUP(DATOS!$I16078,CONFIG_ASIGNATURAS!$B$2:$J$91,9,FALSE()),""))</f>
      </c>
    </row>
    <row r="16079">
      <c r="F16079">
        <f>IF(DATOS!$A16079="","",DATOS!$A16079&amp;"|"&amp;DATOS!$D16079&amp;"|"&amp;DATOS!$E16079&amp;"|"&amp;DATOS!$I16079)</f>
      </c>
      <c r="G16079">
        <f>IF(DATOS!$A16079="",0,IF(CONFIG_METADATA!$B$4&lt;&gt;"OR+EX",--(DATOS!$G16079=CONFIG_METADATA!$B$4),IF(DATOS!$G16079="EX",1,IF(DATOS!$G16079="OR",--(COUNTIFS(nNIA,DATOS!$A16079,nCURSO,DATOS!$D16079,nESPEC,DATOS!$E16079,nASIG,DATOS!$I16079,nEVAL,"EX")=0),0))))</f>
      </c>
      <c r="H16079">
        <f>IF(DATOS!$G16079&lt;&gt;"EX",0,--(COUNTIFS(nNIA,DATOS!$A16079,nCURSO,DATOS!$D16079,nESPEC,DATOS!$E16079,nASIG,DATOS!$I16079,nEVAL,"OR")=0))</f>
      </c>
      <c r="I16079">
        <f>IF(DATOS!$I16079="","",IFERROR(VLOOKUP(DATOS!$I16079,CONFIG_ASIGNATURAS!$B$2:$J$91,9,FALSE()),""))</f>
      </c>
    </row>
    <row r="16080">
      <c r="F16080">
        <f>IF(DATOS!$A16080="","",DATOS!$A16080&amp;"|"&amp;DATOS!$D16080&amp;"|"&amp;DATOS!$E16080&amp;"|"&amp;DATOS!$I16080)</f>
      </c>
      <c r="G16080">
        <f>IF(DATOS!$A16080="",0,IF(CONFIG_METADATA!$B$4&lt;&gt;"OR+EX",--(DATOS!$G16080=CONFIG_METADATA!$B$4),IF(DATOS!$G16080="EX",1,IF(DATOS!$G16080="OR",--(COUNTIFS(nNIA,DATOS!$A16080,nCURSO,DATOS!$D16080,nESPEC,DATOS!$E16080,nASIG,DATOS!$I16080,nEVAL,"EX")=0),0))))</f>
      </c>
      <c r="H16080">
        <f>IF(DATOS!$G16080&lt;&gt;"EX",0,--(COUNTIFS(nNIA,DATOS!$A16080,nCURSO,DATOS!$D16080,nESPEC,DATOS!$E16080,nASIG,DATOS!$I16080,nEVAL,"OR")=0))</f>
      </c>
      <c r="I16080">
        <f>IF(DATOS!$I16080="","",IFERROR(VLOOKUP(DATOS!$I16080,CONFIG_ASIGNATURAS!$B$2:$J$91,9,FALSE()),""))</f>
      </c>
    </row>
    <row r="16081">
      <c r="F16081">
        <f>IF(DATOS!$A16081="","",DATOS!$A16081&amp;"|"&amp;DATOS!$D16081&amp;"|"&amp;DATOS!$E16081&amp;"|"&amp;DATOS!$I16081)</f>
      </c>
      <c r="G16081">
        <f>IF(DATOS!$A16081="",0,IF(CONFIG_METADATA!$B$4&lt;&gt;"OR+EX",--(DATOS!$G16081=CONFIG_METADATA!$B$4),IF(DATOS!$G16081="EX",1,IF(DATOS!$G16081="OR",--(COUNTIFS(nNIA,DATOS!$A16081,nCURSO,DATOS!$D16081,nESPEC,DATOS!$E16081,nASIG,DATOS!$I16081,nEVAL,"EX")=0),0))))</f>
      </c>
      <c r="H16081">
        <f>IF(DATOS!$G16081&lt;&gt;"EX",0,--(COUNTIFS(nNIA,DATOS!$A16081,nCURSO,DATOS!$D16081,nESPEC,DATOS!$E16081,nASIG,DATOS!$I16081,nEVAL,"OR")=0))</f>
      </c>
      <c r="I16081">
        <f>IF(DATOS!$I16081="","",IFERROR(VLOOKUP(DATOS!$I16081,CONFIG_ASIGNATURAS!$B$2:$J$91,9,FALSE()),""))</f>
      </c>
    </row>
    <row r="16082">
      <c r="F16082">
        <f>IF(DATOS!$A16082="","",DATOS!$A16082&amp;"|"&amp;DATOS!$D16082&amp;"|"&amp;DATOS!$E16082&amp;"|"&amp;DATOS!$I16082)</f>
      </c>
      <c r="G16082">
        <f>IF(DATOS!$A16082="",0,IF(CONFIG_METADATA!$B$4&lt;&gt;"OR+EX",--(DATOS!$G16082=CONFIG_METADATA!$B$4),IF(DATOS!$G16082="EX",1,IF(DATOS!$G16082="OR",--(COUNTIFS(nNIA,DATOS!$A16082,nCURSO,DATOS!$D16082,nESPEC,DATOS!$E16082,nASIG,DATOS!$I16082,nEVAL,"EX")=0),0))))</f>
      </c>
      <c r="H16082">
        <f>IF(DATOS!$G16082&lt;&gt;"EX",0,--(COUNTIFS(nNIA,DATOS!$A16082,nCURSO,DATOS!$D16082,nESPEC,DATOS!$E16082,nASIG,DATOS!$I16082,nEVAL,"OR")=0))</f>
      </c>
      <c r="I16082">
        <f>IF(DATOS!$I16082="","",IFERROR(VLOOKUP(DATOS!$I16082,CONFIG_ASIGNATURAS!$B$2:$J$91,9,FALSE()),""))</f>
      </c>
    </row>
    <row r="16083">
      <c r="F16083">
        <f>IF(DATOS!$A16083="","",DATOS!$A16083&amp;"|"&amp;DATOS!$D16083&amp;"|"&amp;DATOS!$E16083&amp;"|"&amp;DATOS!$I16083)</f>
      </c>
      <c r="G16083">
        <f>IF(DATOS!$A16083="",0,IF(CONFIG_METADATA!$B$4&lt;&gt;"OR+EX",--(DATOS!$G16083=CONFIG_METADATA!$B$4),IF(DATOS!$G16083="EX",1,IF(DATOS!$G16083="OR",--(COUNTIFS(nNIA,DATOS!$A16083,nCURSO,DATOS!$D16083,nESPEC,DATOS!$E16083,nASIG,DATOS!$I16083,nEVAL,"EX")=0),0))))</f>
      </c>
      <c r="H16083">
        <f>IF(DATOS!$G16083&lt;&gt;"EX",0,--(COUNTIFS(nNIA,DATOS!$A16083,nCURSO,DATOS!$D16083,nESPEC,DATOS!$E16083,nASIG,DATOS!$I16083,nEVAL,"OR")=0))</f>
      </c>
      <c r="I16083">
        <f>IF(DATOS!$I16083="","",IFERROR(VLOOKUP(DATOS!$I16083,CONFIG_ASIGNATURAS!$B$2:$J$91,9,FALSE()),""))</f>
      </c>
    </row>
    <row r="16084">
      <c r="F16084">
        <f>IF(DATOS!$A16084="","",DATOS!$A16084&amp;"|"&amp;DATOS!$D16084&amp;"|"&amp;DATOS!$E16084&amp;"|"&amp;DATOS!$I16084)</f>
      </c>
      <c r="G16084">
        <f>IF(DATOS!$A16084="",0,IF(CONFIG_METADATA!$B$4&lt;&gt;"OR+EX",--(DATOS!$G16084=CONFIG_METADATA!$B$4),IF(DATOS!$G16084="EX",1,IF(DATOS!$G16084="OR",--(COUNTIFS(nNIA,DATOS!$A16084,nCURSO,DATOS!$D16084,nESPEC,DATOS!$E16084,nASIG,DATOS!$I16084,nEVAL,"EX")=0),0))))</f>
      </c>
      <c r="H16084">
        <f>IF(DATOS!$G16084&lt;&gt;"EX",0,--(COUNTIFS(nNIA,DATOS!$A16084,nCURSO,DATOS!$D16084,nESPEC,DATOS!$E16084,nASIG,DATOS!$I16084,nEVAL,"OR")=0))</f>
      </c>
      <c r="I16084">
        <f>IF(DATOS!$I16084="","",IFERROR(VLOOKUP(DATOS!$I16084,CONFIG_ASIGNATURAS!$B$2:$J$91,9,FALSE()),""))</f>
      </c>
    </row>
    <row r="16085">
      <c r="F16085">
        <f>IF(DATOS!$A16085="","",DATOS!$A16085&amp;"|"&amp;DATOS!$D16085&amp;"|"&amp;DATOS!$E16085&amp;"|"&amp;DATOS!$I16085)</f>
      </c>
      <c r="G16085">
        <f>IF(DATOS!$A16085="",0,IF(CONFIG_METADATA!$B$4&lt;&gt;"OR+EX",--(DATOS!$G16085=CONFIG_METADATA!$B$4),IF(DATOS!$G16085="EX",1,IF(DATOS!$G16085="OR",--(COUNTIFS(nNIA,DATOS!$A16085,nCURSO,DATOS!$D16085,nESPEC,DATOS!$E16085,nASIG,DATOS!$I16085,nEVAL,"EX")=0),0))))</f>
      </c>
      <c r="H16085">
        <f>IF(DATOS!$G16085&lt;&gt;"EX",0,--(COUNTIFS(nNIA,DATOS!$A16085,nCURSO,DATOS!$D16085,nESPEC,DATOS!$E16085,nASIG,DATOS!$I16085,nEVAL,"OR")=0))</f>
      </c>
      <c r="I16085">
        <f>IF(DATOS!$I16085="","",IFERROR(VLOOKUP(DATOS!$I16085,CONFIG_ASIGNATURAS!$B$2:$J$91,9,FALSE()),""))</f>
      </c>
    </row>
    <row r="16086">
      <c r="F16086">
        <f>IF(DATOS!$A16086="","",DATOS!$A16086&amp;"|"&amp;DATOS!$D16086&amp;"|"&amp;DATOS!$E16086&amp;"|"&amp;DATOS!$I16086)</f>
      </c>
      <c r="G16086">
        <f>IF(DATOS!$A16086="",0,IF(CONFIG_METADATA!$B$4&lt;&gt;"OR+EX",--(DATOS!$G16086=CONFIG_METADATA!$B$4),IF(DATOS!$G16086="EX",1,IF(DATOS!$G16086="OR",--(COUNTIFS(nNIA,DATOS!$A16086,nCURSO,DATOS!$D16086,nESPEC,DATOS!$E16086,nASIG,DATOS!$I16086,nEVAL,"EX")=0),0))))</f>
      </c>
      <c r="H16086">
        <f>IF(DATOS!$G16086&lt;&gt;"EX",0,--(COUNTIFS(nNIA,DATOS!$A16086,nCURSO,DATOS!$D16086,nESPEC,DATOS!$E16086,nASIG,DATOS!$I16086,nEVAL,"OR")=0))</f>
      </c>
      <c r="I16086">
        <f>IF(DATOS!$I16086="","",IFERROR(VLOOKUP(DATOS!$I16086,CONFIG_ASIGNATURAS!$B$2:$J$91,9,FALSE()),""))</f>
      </c>
    </row>
    <row r="16087">
      <c r="F16087">
        <f>IF(DATOS!$A16087="","",DATOS!$A16087&amp;"|"&amp;DATOS!$D16087&amp;"|"&amp;DATOS!$E16087&amp;"|"&amp;DATOS!$I16087)</f>
      </c>
      <c r="G16087">
        <f>IF(DATOS!$A16087="",0,IF(CONFIG_METADATA!$B$4&lt;&gt;"OR+EX",--(DATOS!$G16087=CONFIG_METADATA!$B$4),IF(DATOS!$G16087="EX",1,IF(DATOS!$G16087="OR",--(COUNTIFS(nNIA,DATOS!$A16087,nCURSO,DATOS!$D16087,nESPEC,DATOS!$E16087,nASIG,DATOS!$I16087,nEVAL,"EX")=0),0))))</f>
      </c>
      <c r="H16087">
        <f>IF(DATOS!$G16087&lt;&gt;"EX",0,--(COUNTIFS(nNIA,DATOS!$A16087,nCURSO,DATOS!$D16087,nESPEC,DATOS!$E16087,nASIG,DATOS!$I16087,nEVAL,"OR")=0))</f>
      </c>
      <c r="I16087">
        <f>IF(DATOS!$I16087="","",IFERROR(VLOOKUP(DATOS!$I16087,CONFIG_ASIGNATURAS!$B$2:$J$91,9,FALSE()),""))</f>
      </c>
    </row>
    <row r="16088">
      <c r="F16088">
        <f>IF(DATOS!$A16088="","",DATOS!$A16088&amp;"|"&amp;DATOS!$D16088&amp;"|"&amp;DATOS!$E16088&amp;"|"&amp;DATOS!$I16088)</f>
      </c>
      <c r="G16088">
        <f>IF(DATOS!$A16088="",0,IF(CONFIG_METADATA!$B$4&lt;&gt;"OR+EX",--(DATOS!$G16088=CONFIG_METADATA!$B$4),IF(DATOS!$G16088="EX",1,IF(DATOS!$G16088="OR",--(COUNTIFS(nNIA,DATOS!$A16088,nCURSO,DATOS!$D16088,nESPEC,DATOS!$E16088,nASIG,DATOS!$I16088,nEVAL,"EX")=0),0))))</f>
      </c>
      <c r="H16088">
        <f>IF(DATOS!$G16088&lt;&gt;"EX",0,--(COUNTIFS(nNIA,DATOS!$A16088,nCURSO,DATOS!$D16088,nESPEC,DATOS!$E16088,nASIG,DATOS!$I16088,nEVAL,"OR")=0))</f>
      </c>
      <c r="I16088">
        <f>IF(DATOS!$I16088="","",IFERROR(VLOOKUP(DATOS!$I16088,CONFIG_ASIGNATURAS!$B$2:$J$91,9,FALSE()),""))</f>
      </c>
    </row>
    <row r="16089">
      <c r="F16089">
        <f>IF(DATOS!$A16089="","",DATOS!$A16089&amp;"|"&amp;DATOS!$D16089&amp;"|"&amp;DATOS!$E16089&amp;"|"&amp;DATOS!$I16089)</f>
      </c>
      <c r="G16089">
        <f>IF(DATOS!$A16089="",0,IF(CONFIG_METADATA!$B$4&lt;&gt;"OR+EX",--(DATOS!$G16089=CONFIG_METADATA!$B$4),IF(DATOS!$G16089="EX",1,IF(DATOS!$G16089="OR",--(COUNTIFS(nNIA,DATOS!$A16089,nCURSO,DATOS!$D16089,nESPEC,DATOS!$E16089,nASIG,DATOS!$I16089,nEVAL,"EX")=0),0))))</f>
      </c>
      <c r="H16089">
        <f>IF(DATOS!$G16089&lt;&gt;"EX",0,--(COUNTIFS(nNIA,DATOS!$A16089,nCURSO,DATOS!$D16089,nESPEC,DATOS!$E16089,nASIG,DATOS!$I16089,nEVAL,"OR")=0))</f>
      </c>
      <c r="I16089">
        <f>IF(DATOS!$I16089="","",IFERROR(VLOOKUP(DATOS!$I16089,CONFIG_ASIGNATURAS!$B$2:$J$91,9,FALSE()),""))</f>
      </c>
    </row>
    <row r="16090">
      <c r="F16090">
        <f>IF(DATOS!$A16090="","",DATOS!$A16090&amp;"|"&amp;DATOS!$D16090&amp;"|"&amp;DATOS!$E16090&amp;"|"&amp;DATOS!$I16090)</f>
      </c>
      <c r="G16090">
        <f>IF(DATOS!$A16090="",0,IF(CONFIG_METADATA!$B$4&lt;&gt;"OR+EX",--(DATOS!$G16090=CONFIG_METADATA!$B$4),IF(DATOS!$G16090="EX",1,IF(DATOS!$G16090="OR",--(COUNTIFS(nNIA,DATOS!$A16090,nCURSO,DATOS!$D16090,nESPEC,DATOS!$E16090,nASIG,DATOS!$I16090,nEVAL,"EX")=0),0))))</f>
      </c>
      <c r="H16090">
        <f>IF(DATOS!$G16090&lt;&gt;"EX",0,--(COUNTIFS(nNIA,DATOS!$A16090,nCURSO,DATOS!$D16090,nESPEC,DATOS!$E16090,nASIG,DATOS!$I16090,nEVAL,"OR")=0))</f>
      </c>
      <c r="I16090">
        <f>IF(DATOS!$I16090="","",IFERROR(VLOOKUP(DATOS!$I16090,CONFIG_ASIGNATURAS!$B$2:$J$91,9,FALSE()),""))</f>
      </c>
    </row>
    <row r="16091">
      <c r="F16091">
        <f>IF(DATOS!$A16091="","",DATOS!$A16091&amp;"|"&amp;DATOS!$D16091&amp;"|"&amp;DATOS!$E16091&amp;"|"&amp;DATOS!$I16091)</f>
      </c>
      <c r="G16091">
        <f>IF(DATOS!$A16091="",0,IF(CONFIG_METADATA!$B$4&lt;&gt;"OR+EX",--(DATOS!$G16091=CONFIG_METADATA!$B$4),IF(DATOS!$G16091="EX",1,IF(DATOS!$G16091="OR",--(COUNTIFS(nNIA,DATOS!$A16091,nCURSO,DATOS!$D16091,nESPEC,DATOS!$E16091,nASIG,DATOS!$I16091,nEVAL,"EX")=0),0))))</f>
      </c>
      <c r="H16091">
        <f>IF(DATOS!$G16091&lt;&gt;"EX",0,--(COUNTIFS(nNIA,DATOS!$A16091,nCURSO,DATOS!$D16091,nESPEC,DATOS!$E16091,nASIG,DATOS!$I16091,nEVAL,"OR")=0))</f>
      </c>
      <c r="I16091">
        <f>IF(DATOS!$I16091="","",IFERROR(VLOOKUP(DATOS!$I16091,CONFIG_ASIGNATURAS!$B$2:$J$91,9,FALSE()),""))</f>
      </c>
    </row>
    <row r="16092">
      <c r="F16092">
        <f>IF(DATOS!$A16092="","",DATOS!$A16092&amp;"|"&amp;DATOS!$D16092&amp;"|"&amp;DATOS!$E16092&amp;"|"&amp;DATOS!$I16092)</f>
      </c>
      <c r="G16092">
        <f>IF(DATOS!$A16092="",0,IF(CONFIG_METADATA!$B$4&lt;&gt;"OR+EX",--(DATOS!$G16092=CONFIG_METADATA!$B$4),IF(DATOS!$G16092="EX",1,IF(DATOS!$G16092="OR",--(COUNTIFS(nNIA,DATOS!$A16092,nCURSO,DATOS!$D16092,nESPEC,DATOS!$E16092,nASIG,DATOS!$I16092,nEVAL,"EX")=0),0))))</f>
      </c>
      <c r="H16092">
        <f>IF(DATOS!$G16092&lt;&gt;"EX",0,--(COUNTIFS(nNIA,DATOS!$A16092,nCURSO,DATOS!$D16092,nESPEC,DATOS!$E16092,nASIG,DATOS!$I16092,nEVAL,"OR")=0))</f>
      </c>
      <c r="I16092">
        <f>IF(DATOS!$I16092="","",IFERROR(VLOOKUP(DATOS!$I16092,CONFIG_ASIGNATURAS!$B$2:$J$91,9,FALSE()),""))</f>
      </c>
    </row>
    <row r="16093">
      <c r="F16093">
        <f>IF(DATOS!$A16093="","",DATOS!$A16093&amp;"|"&amp;DATOS!$D16093&amp;"|"&amp;DATOS!$E16093&amp;"|"&amp;DATOS!$I16093)</f>
      </c>
      <c r="G16093">
        <f>IF(DATOS!$A16093="",0,IF(CONFIG_METADATA!$B$4&lt;&gt;"OR+EX",--(DATOS!$G16093=CONFIG_METADATA!$B$4),IF(DATOS!$G16093="EX",1,IF(DATOS!$G16093="OR",--(COUNTIFS(nNIA,DATOS!$A16093,nCURSO,DATOS!$D16093,nESPEC,DATOS!$E16093,nASIG,DATOS!$I16093,nEVAL,"EX")=0),0))))</f>
      </c>
      <c r="H16093">
        <f>IF(DATOS!$G16093&lt;&gt;"EX",0,--(COUNTIFS(nNIA,DATOS!$A16093,nCURSO,DATOS!$D16093,nESPEC,DATOS!$E16093,nASIG,DATOS!$I16093,nEVAL,"OR")=0))</f>
      </c>
      <c r="I16093">
        <f>IF(DATOS!$I16093="","",IFERROR(VLOOKUP(DATOS!$I16093,CONFIG_ASIGNATURAS!$B$2:$J$91,9,FALSE()),""))</f>
      </c>
    </row>
    <row r="16094">
      <c r="F16094">
        <f>IF(DATOS!$A16094="","",DATOS!$A16094&amp;"|"&amp;DATOS!$D16094&amp;"|"&amp;DATOS!$E16094&amp;"|"&amp;DATOS!$I16094)</f>
      </c>
      <c r="G16094">
        <f>IF(DATOS!$A16094="",0,IF(CONFIG_METADATA!$B$4&lt;&gt;"OR+EX",--(DATOS!$G16094=CONFIG_METADATA!$B$4),IF(DATOS!$G16094="EX",1,IF(DATOS!$G16094="OR",--(COUNTIFS(nNIA,DATOS!$A16094,nCURSO,DATOS!$D16094,nESPEC,DATOS!$E16094,nASIG,DATOS!$I16094,nEVAL,"EX")=0),0))))</f>
      </c>
      <c r="H16094">
        <f>IF(DATOS!$G16094&lt;&gt;"EX",0,--(COUNTIFS(nNIA,DATOS!$A16094,nCURSO,DATOS!$D16094,nESPEC,DATOS!$E16094,nASIG,DATOS!$I16094,nEVAL,"OR")=0))</f>
      </c>
      <c r="I16094">
        <f>IF(DATOS!$I16094="","",IFERROR(VLOOKUP(DATOS!$I16094,CONFIG_ASIGNATURAS!$B$2:$J$91,9,FALSE()),""))</f>
      </c>
    </row>
    <row r="16095">
      <c r="F16095">
        <f>IF(DATOS!$A16095="","",DATOS!$A16095&amp;"|"&amp;DATOS!$D16095&amp;"|"&amp;DATOS!$E16095&amp;"|"&amp;DATOS!$I16095)</f>
      </c>
      <c r="G16095">
        <f>IF(DATOS!$A16095="",0,IF(CONFIG_METADATA!$B$4&lt;&gt;"OR+EX",--(DATOS!$G16095=CONFIG_METADATA!$B$4),IF(DATOS!$G16095="EX",1,IF(DATOS!$G16095="OR",--(COUNTIFS(nNIA,DATOS!$A16095,nCURSO,DATOS!$D16095,nESPEC,DATOS!$E16095,nASIG,DATOS!$I16095,nEVAL,"EX")=0),0))))</f>
      </c>
      <c r="H16095">
        <f>IF(DATOS!$G16095&lt;&gt;"EX",0,--(COUNTIFS(nNIA,DATOS!$A16095,nCURSO,DATOS!$D16095,nESPEC,DATOS!$E16095,nASIG,DATOS!$I16095,nEVAL,"OR")=0))</f>
      </c>
      <c r="I16095">
        <f>IF(DATOS!$I16095="","",IFERROR(VLOOKUP(DATOS!$I16095,CONFIG_ASIGNATURAS!$B$2:$J$91,9,FALSE()),""))</f>
      </c>
    </row>
    <row r="16096">
      <c r="F16096">
        <f>IF(DATOS!$A16096="","",DATOS!$A16096&amp;"|"&amp;DATOS!$D16096&amp;"|"&amp;DATOS!$E16096&amp;"|"&amp;DATOS!$I16096)</f>
      </c>
      <c r="G16096">
        <f>IF(DATOS!$A16096="",0,IF(CONFIG_METADATA!$B$4&lt;&gt;"OR+EX",--(DATOS!$G16096=CONFIG_METADATA!$B$4),IF(DATOS!$G16096="EX",1,IF(DATOS!$G16096="OR",--(COUNTIFS(nNIA,DATOS!$A16096,nCURSO,DATOS!$D16096,nESPEC,DATOS!$E16096,nASIG,DATOS!$I16096,nEVAL,"EX")=0),0))))</f>
      </c>
      <c r="H16096">
        <f>IF(DATOS!$G16096&lt;&gt;"EX",0,--(COUNTIFS(nNIA,DATOS!$A16096,nCURSO,DATOS!$D16096,nESPEC,DATOS!$E16096,nASIG,DATOS!$I16096,nEVAL,"OR")=0))</f>
      </c>
      <c r="I16096">
        <f>IF(DATOS!$I16096="","",IFERROR(VLOOKUP(DATOS!$I16096,CONFIG_ASIGNATURAS!$B$2:$J$91,9,FALSE()),""))</f>
      </c>
    </row>
    <row r="16097">
      <c r="F16097">
        <f>IF(DATOS!$A16097="","",DATOS!$A16097&amp;"|"&amp;DATOS!$D16097&amp;"|"&amp;DATOS!$E16097&amp;"|"&amp;DATOS!$I16097)</f>
      </c>
      <c r="G16097">
        <f>IF(DATOS!$A16097="",0,IF(CONFIG_METADATA!$B$4&lt;&gt;"OR+EX",--(DATOS!$G16097=CONFIG_METADATA!$B$4),IF(DATOS!$G16097="EX",1,IF(DATOS!$G16097="OR",--(COUNTIFS(nNIA,DATOS!$A16097,nCURSO,DATOS!$D16097,nESPEC,DATOS!$E16097,nASIG,DATOS!$I16097,nEVAL,"EX")=0),0))))</f>
      </c>
      <c r="H16097">
        <f>IF(DATOS!$G16097&lt;&gt;"EX",0,--(COUNTIFS(nNIA,DATOS!$A16097,nCURSO,DATOS!$D16097,nESPEC,DATOS!$E16097,nASIG,DATOS!$I16097,nEVAL,"OR")=0))</f>
      </c>
      <c r="I16097">
        <f>IF(DATOS!$I16097="","",IFERROR(VLOOKUP(DATOS!$I16097,CONFIG_ASIGNATURAS!$B$2:$J$91,9,FALSE()),""))</f>
      </c>
    </row>
    <row r="16098">
      <c r="F16098">
        <f>IF(DATOS!$A16098="","",DATOS!$A16098&amp;"|"&amp;DATOS!$D16098&amp;"|"&amp;DATOS!$E16098&amp;"|"&amp;DATOS!$I16098)</f>
      </c>
      <c r="G16098">
        <f>IF(DATOS!$A16098="",0,IF(CONFIG_METADATA!$B$4&lt;&gt;"OR+EX",--(DATOS!$G16098=CONFIG_METADATA!$B$4),IF(DATOS!$G16098="EX",1,IF(DATOS!$G16098="OR",--(COUNTIFS(nNIA,DATOS!$A16098,nCURSO,DATOS!$D16098,nESPEC,DATOS!$E16098,nASIG,DATOS!$I16098,nEVAL,"EX")=0),0))))</f>
      </c>
      <c r="H16098">
        <f>IF(DATOS!$G16098&lt;&gt;"EX",0,--(COUNTIFS(nNIA,DATOS!$A16098,nCURSO,DATOS!$D16098,nESPEC,DATOS!$E16098,nASIG,DATOS!$I16098,nEVAL,"OR")=0))</f>
      </c>
      <c r="I16098">
        <f>IF(DATOS!$I16098="","",IFERROR(VLOOKUP(DATOS!$I16098,CONFIG_ASIGNATURAS!$B$2:$J$91,9,FALSE()),""))</f>
      </c>
    </row>
    <row r="16099">
      <c r="F16099">
        <f>IF(DATOS!$A16099="","",DATOS!$A16099&amp;"|"&amp;DATOS!$D16099&amp;"|"&amp;DATOS!$E16099&amp;"|"&amp;DATOS!$I16099)</f>
      </c>
      <c r="G16099">
        <f>IF(DATOS!$A16099="",0,IF(CONFIG_METADATA!$B$4&lt;&gt;"OR+EX",--(DATOS!$G16099=CONFIG_METADATA!$B$4),IF(DATOS!$G16099="EX",1,IF(DATOS!$G16099="OR",--(COUNTIFS(nNIA,DATOS!$A16099,nCURSO,DATOS!$D16099,nESPEC,DATOS!$E16099,nASIG,DATOS!$I16099,nEVAL,"EX")=0),0))))</f>
      </c>
      <c r="H16099">
        <f>IF(DATOS!$G16099&lt;&gt;"EX",0,--(COUNTIFS(nNIA,DATOS!$A16099,nCURSO,DATOS!$D16099,nESPEC,DATOS!$E16099,nASIG,DATOS!$I16099,nEVAL,"OR")=0))</f>
      </c>
      <c r="I16099">
        <f>IF(DATOS!$I16099="","",IFERROR(VLOOKUP(DATOS!$I16099,CONFIG_ASIGNATURAS!$B$2:$J$91,9,FALSE()),""))</f>
      </c>
    </row>
    <row r="16100">
      <c r="F16100">
        <f>IF(DATOS!$A16100="","",DATOS!$A16100&amp;"|"&amp;DATOS!$D16100&amp;"|"&amp;DATOS!$E16100&amp;"|"&amp;DATOS!$I16100)</f>
      </c>
      <c r="G16100">
        <f>IF(DATOS!$A16100="",0,IF(CONFIG_METADATA!$B$4&lt;&gt;"OR+EX",--(DATOS!$G16100=CONFIG_METADATA!$B$4),IF(DATOS!$G16100="EX",1,IF(DATOS!$G16100="OR",--(COUNTIFS(nNIA,DATOS!$A16100,nCURSO,DATOS!$D16100,nESPEC,DATOS!$E16100,nASIG,DATOS!$I16100,nEVAL,"EX")=0),0))))</f>
      </c>
      <c r="H16100">
        <f>IF(DATOS!$G16100&lt;&gt;"EX",0,--(COUNTIFS(nNIA,DATOS!$A16100,nCURSO,DATOS!$D16100,nESPEC,DATOS!$E16100,nASIG,DATOS!$I16100,nEVAL,"OR")=0))</f>
      </c>
      <c r="I16100">
        <f>IF(DATOS!$I16100="","",IFERROR(VLOOKUP(DATOS!$I16100,CONFIG_ASIGNATURAS!$B$2:$J$91,9,FALSE()),""))</f>
      </c>
    </row>
    <row r="16101">
      <c r="F16101">
        <f>IF(DATOS!$A16101="","",DATOS!$A16101&amp;"|"&amp;DATOS!$D16101&amp;"|"&amp;DATOS!$E16101&amp;"|"&amp;DATOS!$I16101)</f>
      </c>
      <c r="G16101">
        <f>IF(DATOS!$A16101="",0,IF(CONFIG_METADATA!$B$4&lt;&gt;"OR+EX",--(DATOS!$G16101=CONFIG_METADATA!$B$4),IF(DATOS!$G16101="EX",1,IF(DATOS!$G16101="OR",--(COUNTIFS(nNIA,DATOS!$A16101,nCURSO,DATOS!$D16101,nESPEC,DATOS!$E16101,nASIG,DATOS!$I16101,nEVAL,"EX")=0),0))))</f>
      </c>
      <c r="H16101">
        <f>IF(DATOS!$G16101&lt;&gt;"EX",0,--(COUNTIFS(nNIA,DATOS!$A16101,nCURSO,DATOS!$D16101,nESPEC,DATOS!$E16101,nASIG,DATOS!$I16101,nEVAL,"OR")=0))</f>
      </c>
      <c r="I16101">
        <f>IF(DATOS!$I16101="","",IFERROR(VLOOKUP(DATOS!$I16101,CONFIG_ASIGNATURAS!$B$2:$J$91,9,FALSE()),""))</f>
      </c>
    </row>
    <row r="16102">
      <c r="F16102">
        <f>IF(DATOS!$A16102="","",DATOS!$A16102&amp;"|"&amp;DATOS!$D16102&amp;"|"&amp;DATOS!$E16102&amp;"|"&amp;DATOS!$I16102)</f>
      </c>
      <c r="G16102">
        <f>IF(DATOS!$A16102="",0,IF(CONFIG_METADATA!$B$4&lt;&gt;"OR+EX",--(DATOS!$G16102=CONFIG_METADATA!$B$4),IF(DATOS!$G16102="EX",1,IF(DATOS!$G16102="OR",--(COUNTIFS(nNIA,DATOS!$A16102,nCURSO,DATOS!$D16102,nESPEC,DATOS!$E16102,nASIG,DATOS!$I16102,nEVAL,"EX")=0),0))))</f>
      </c>
      <c r="H16102">
        <f>IF(DATOS!$G16102&lt;&gt;"EX",0,--(COUNTIFS(nNIA,DATOS!$A16102,nCURSO,DATOS!$D16102,nESPEC,DATOS!$E16102,nASIG,DATOS!$I16102,nEVAL,"OR")=0))</f>
      </c>
      <c r="I16102">
        <f>IF(DATOS!$I16102="","",IFERROR(VLOOKUP(DATOS!$I16102,CONFIG_ASIGNATURAS!$B$2:$J$91,9,FALSE()),""))</f>
      </c>
    </row>
    <row r="16103">
      <c r="F16103">
        <f>IF(DATOS!$A16103="","",DATOS!$A16103&amp;"|"&amp;DATOS!$D16103&amp;"|"&amp;DATOS!$E16103&amp;"|"&amp;DATOS!$I16103)</f>
      </c>
      <c r="G16103">
        <f>IF(DATOS!$A16103="",0,IF(CONFIG_METADATA!$B$4&lt;&gt;"OR+EX",--(DATOS!$G16103=CONFIG_METADATA!$B$4),IF(DATOS!$G16103="EX",1,IF(DATOS!$G16103="OR",--(COUNTIFS(nNIA,DATOS!$A16103,nCURSO,DATOS!$D16103,nESPEC,DATOS!$E16103,nASIG,DATOS!$I16103,nEVAL,"EX")=0),0))))</f>
      </c>
      <c r="H16103">
        <f>IF(DATOS!$G16103&lt;&gt;"EX",0,--(COUNTIFS(nNIA,DATOS!$A16103,nCURSO,DATOS!$D16103,nESPEC,DATOS!$E16103,nASIG,DATOS!$I16103,nEVAL,"OR")=0))</f>
      </c>
      <c r="I16103">
        <f>IF(DATOS!$I16103="","",IFERROR(VLOOKUP(DATOS!$I16103,CONFIG_ASIGNATURAS!$B$2:$J$91,9,FALSE()),""))</f>
      </c>
    </row>
    <row r="16104">
      <c r="F16104">
        <f>IF(DATOS!$A16104="","",DATOS!$A16104&amp;"|"&amp;DATOS!$D16104&amp;"|"&amp;DATOS!$E16104&amp;"|"&amp;DATOS!$I16104)</f>
      </c>
      <c r="G16104">
        <f>IF(DATOS!$A16104="",0,IF(CONFIG_METADATA!$B$4&lt;&gt;"OR+EX",--(DATOS!$G16104=CONFIG_METADATA!$B$4),IF(DATOS!$G16104="EX",1,IF(DATOS!$G16104="OR",--(COUNTIFS(nNIA,DATOS!$A16104,nCURSO,DATOS!$D16104,nESPEC,DATOS!$E16104,nASIG,DATOS!$I16104,nEVAL,"EX")=0),0))))</f>
      </c>
      <c r="H16104">
        <f>IF(DATOS!$G16104&lt;&gt;"EX",0,--(COUNTIFS(nNIA,DATOS!$A16104,nCURSO,DATOS!$D16104,nESPEC,DATOS!$E16104,nASIG,DATOS!$I16104,nEVAL,"OR")=0))</f>
      </c>
      <c r="I16104">
        <f>IF(DATOS!$I16104="","",IFERROR(VLOOKUP(DATOS!$I16104,CONFIG_ASIGNATURAS!$B$2:$J$91,9,FALSE()),""))</f>
      </c>
    </row>
    <row r="16105">
      <c r="F16105">
        <f>IF(DATOS!$A16105="","",DATOS!$A16105&amp;"|"&amp;DATOS!$D16105&amp;"|"&amp;DATOS!$E16105&amp;"|"&amp;DATOS!$I16105)</f>
      </c>
      <c r="G16105">
        <f>IF(DATOS!$A16105="",0,IF(CONFIG_METADATA!$B$4&lt;&gt;"OR+EX",--(DATOS!$G16105=CONFIG_METADATA!$B$4),IF(DATOS!$G16105="EX",1,IF(DATOS!$G16105="OR",--(COUNTIFS(nNIA,DATOS!$A16105,nCURSO,DATOS!$D16105,nESPEC,DATOS!$E16105,nASIG,DATOS!$I16105,nEVAL,"EX")=0),0))))</f>
      </c>
      <c r="H16105">
        <f>IF(DATOS!$G16105&lt;&gt;"EX",0,--(COUNTIFS(nNIA,DATOS!$A16105,nCURSO,DATOS!$D16105,nESPEC,DATOS!$E16105,nASIG,DATOS!$I16105,nEVAL,"OR")=0))</f>
      </c>
      <c r="I16105">
        <f>IF(DATOS!$I16105="","",IFERROR(VLOOKUP(DATOS!$I16105,CONFIG_ASIGNATURAS!$B$2:$J$91,9,FALSE()),""))</f>
      </c>
    </row>
    <row r="16106">
      <c r="F16106">
        <f>IF(DATOS!$A16106="","",DATOS!$A16106&amp;"|"&amp;DATOS!$D16106&amp;"|"&amp;DATOS!$E16106&amp;"|"&amp;DATOS!$I16106)</f>
      </c>
      <c r="G16106">
        <f>IF(DATOS!$A16106="",0,IF(CONFIG_METADATA!$B$4&lt;&gt;"OR+EX",--(DATOS!$G16106=CONFIG_METADATA!$B$4),IF(DATOS!$G16106="EX",1,IF(DATOS!$G16106="OR",--(COUNTIFS(nNIA,DATOS!$A16106,nCURSO,DATOS!$D16106,nESPEC,DATOS!$E16106,nASIG,DATOS!$I16106,nEVAL,"EX")=0),0))))</f>
      </c>
      <c r="H16106">
        <f>IF(DATOS!$G16106&lt;&gt;"EX",0,--(COUNTIFS(nNIA,DATOS!$A16106,nCURSO,DATOS!$D16106,nESPEC,DATOS!$E16106,nASIG,DATOS!$I16106,nEVAL,"OR")=0))</f>
      </c>
      <c r="I16106">
        <f>IF(DATOS!$I16106="","",IFERROR(VLOOKUP(DATOS!$I16106,CONFIG_ASIGNATURAS!$B$2:$J$91,9,FALSE()),""))</f>
      </c>
    </row>
    <row r="16107">
      <c r="F16107">
        <f>IF(DATOS!$A16107="","",DATOS!$A16107&amp;"|"&amp;DATOS!$D16107&amp;"|"&amp;DATOS!$E16107&amp;"|"&amp;DATOS!$I16107)</f>
      </c>
      <c r="G16107">
        <f>IF(DATOS!$A16107="",0,IF(CONFIG_METADATA!$B$4&lt;&gt;"OR+EX",--(DATOS!$G16107=CONFIG_METADATA!$B$4),IF(DATOS!$G16107="EX",1,IF(DATOS!$G16107="OR",--(COUNTIFS(nNIA,DATOS!$A16107,nCURSO,DATOS!$D16107,nESPEC,DATOS!$E16107,nASIG,DATOS!$I16107,nEVAL,"EX")=0),0))))</f>
      </c>
      <c r="H16107">
        <f>IF(DATOS!$G16107&lt;&gt;"EX",0,--(COUNTIFS(nNIA,DATOS!$A16107,nCURSO,DATOS!$D16107,nESPEC,DATOS!$E16107,nASIG,DATOS!$I16107,nEVAL,"OR")=0))</f>
      </c>
      <c r="I16107">
        <f>IF(DATOS!$I16107="","",IFERROR(VLOOKUP(DATOS!$I16107,CONFIG_ASIGNATURAS!$B$2:$J$91,9,FALSE()),""))</f>
      </c>
    </row>
    <row r="16108">
      <c r="F16108">
        <f>IF(DATOS!$A16108="","",DATOS!$A16108&amp;"|"&amp;DATOS!$D16108&amp;"|"&amp;DATOS!$E16108&amp;"|"&amp;DATOS!$I16108)</f>
      </c>
      <c r="G16108">
        <f>IF(DATOS!$A16108="",0,IF(CONFIG_METADATA!$B$4&lt;&gt;"OR+EX",--(DATOS!$G16108=CONFIG_METADATA!$B$4),IF(DATOS!$G16108="EX",1,IF(DATOS!$G16108="OR",--(COUNTIFS(nNIA,DATOS!$A16108,nCURSO,DATOS!$D16108,nESPEC,DATOS!$E16108,nASIG,DATOS!$I16108,nEVAL,"EX")=0),0))))</f>
      </c>
      <c r="H16108">
        <f>IF(DATOS!$G16108&lt;&gt;"EX",0,--(COUNTIFS(nNIA,DATOS!$A16108,nCURSO,DATOS!$D16108,nESPEC,DATOS!$E16108,nASIG,DATOS!$I16108,nEVAL,"OR")=0))</f>
      </c>
      <c r="I16108">
        <f>IF(DATOS!$I16108="","",IFERROR(VLOOKUP(DATOS!$I16108,CONFIG_ASIGNATURAS!$B$2:$J$91,9,FALSE()),""))</f>
      </c>
    </row>
    <row r="16109">
      <c r="F16109">
        <f>IF(DATOS!$A16109="","",DATOS!$A16109&amp;"|"&amp;DATOS!$D16109&amp;"|"&amp;DATOS!$E16109&amp;"|"&amp;DATOS!$I16109)</f>
      </c>
      <c r="G16109">
        <f>IF(DATOS!$A16109="",0,IF(CONFIG_METADATA!$B$4&lt;&gt;"OR+EX",--(DATOS!$G16109=CONFIG_METADATA!$B$4),IF(DATOS!$G16109="EX",1,IF(DATOS!$G16109="OR",--(COUNTIFS(nNIA,DATOS!$A16109,nCURSO,DATOS!$D16109,nESPEC,DATOS!$E16109,nASIG,DATOS!$I16109,nEVAL,"EX")=0),0))))</f>
      </c>
      <c r="H16109">
        <f>IF(DATOS!$G16109&lt;&gt;"EX",0,--(COUNTIFS(nNIA,DATOS!$A16109,nCURSO,DATOS!$D16109,nESPEC,DATOS!$E16109,nASIG,DATOS!$I16109,nEVAL,"OR")=0))</f>
      </c>
      <c r="I16109">
        <f>IF(DATOS!$I16109="","",IFERROR(VLOOKUP(DATOS!$I16109,CONFIG_ASIGNATURAS!$B$2:$J$91,9,FALSE()),""))</f>
      </c>
    </row>
    <row r="16110">
      <c r="F16110">
        <f>IF(DATOS!$A16110="","",DATOS!$A16110&amp;"|"&amp;DATOS!$D16110&amp;"|"&amp;DATOS!$E16110&amp;"|"&amp;DATOS!$I16110)</f>
      </c>
      <c r="G16110">
        <f>IF(DATOS!$A16110="",0,IF(CONFIG_METADATA!$B$4&lt;&gt;"OR+EX",--(DATOS!$G16110=CONFIG_METADATA!$B$4),IF(DATOS!$G16110="EX",1,IF(DATOS!$G16110="OR",--(COUNTIFS(nNIA,DATOS!$A16110,nCURSO,DATOS!$D16110,nESPEC,DATOS!$E16110,nASIG,DATOS!$I16110,nEVAL,"EX")=0),0))))</f>
      </c>
      <c r="H16110">
        <f>IF(DATOS!$G16110&lt;&gt;"EX",0,--(COUNTIFS(nNIA,DATOS!$A16110,nCURSO,DATOS!$D16110,nESPEC,DATOS!$E16110,nASIG,DATOS!$I16110,nEVAL,"OR")=0))</f>
      </c>
      <c r="I16110">
        <f>IF(DATOS!$I16110="","",IFERROR(VLOOKUP(DATOS!$I16110,CONFIG_ASIGNATURAS!$B$2:$J$91,9,FALSE()),""))</f>
      </c>
    </row>
    <row r="16111">
      <c r="F16111">
        <f>IF(DATOS!$A16111="","",DATOS!$A16111&amp;"|"&amp;DATOS!$D16111&amp;"|"&amp;DATOS!$E16111&amp;"|"&amp;DATOS!$I16111)</f>
      </c>
      <c r="G16111">
        <f>IF(DATOS!$A16111="",0,IF(CONFIG_METADATA!$B$4&lt;&gt;"OR+EX",--(DATOS!$G16111=CONFIG_METADATA!$B$4),IF(DATOS!$G16111="EX",1,IF(DATOS!$G16111="OR",--(COUNTIFS(nNIA,DATOS!$A16111,nCURSO,DATOS!$D16111,nESPEC,DATOS!$E16111,nASIG,DATOS!$I16111,nEVAL,"EX")=0),0))))</f>
      </c>
      <c r="H16111">
        <f>IF(DATOS!$G16111&lt;&gt;"EX",0,--(COUNTIFS(nNIA,DATOS!$A16111,nCURSO,DATOS!$D16111,nESPEC,DATOS!$E16111,nASIG,DATOS!$I16111,nEVAL,"OR")=0))</f>
      </c>
      <c r="I16111">
        <f>IF(DATOS!$I16111="","",IFERROR(VLOOKUP(DATOS!$I16111,CONFIG_ASIGNATURAS!$B$2:$J$91,9,FALSE()),""))</f>
      </c>
    </row>
    <row r="16112">
      <c r="F16112">
        <f>IF(DATOS!$A16112="","",DATOS!$A16112&amp;"|"&amp;DATOS!$D16112&amp;"|"&amp;DATOS!$E16112&amp;"|"&amp;DATOS!$I16112)</f>
      </c>
      <c r="G16112">
        <f>IF(DATOS!$A16112="",0,IF(CONFIG_METADATA!$B$4&lt;&gt;"OR+EX",--(DATOS!$G16112=CONFIG_METADATA!$B$4),IF(DATOS!$G16112="EX",1,IF(DATOS!$G16112="OR",--(COUNTIFS(nNIA,DATOS!$A16112,nCURSO,DATOS!$D16112,nESPEC,DATOS!$E16112,nASIG,DATOS!$I16112,nEVAL,"EX")=0),0))))</f>
      </c>
      <c r="H16112">
        <f>IF(DATOS!$G16112&lt;&gt;"EX",0,--(COUNTIFS(nNIA,DATOS!$A16112,nCURSO,DATOS!$D16112,nESPEC,DATOS!$E16112,nASIG,DATOS!$I16112,nEVAL,"OR")=0))</f>
      </c>
      <c r="I16112">
        <f>IF(DATOS!$I16112="","",IFERROR(VLOOKUP(DATOS!$I16112,CONFIG_ASIGNATURAS!$B$2:$J$91,9,FALSE()),""))</f>
      </c>
    </row>
    <row r="16113">
      <c r="F16113">
        <f>IF(DATOS!$A16113="","",DATOS!$A16113&amp;"|"&amp;DATOS!$D16113&amp;"|"&amp;DATOS!$E16113&amp;"|"&amp;DATOS!$I16113)</f>
      </c>
      <c r="G16113">
        <f>IF(DATOS!$A16113="",0,IF(CONFIG_METADATA!$B$4&lt;&gt;"OR+EX",--(DATOS!$G16113=CONFIG_METADATA!$B$4),IF(DATOS!$G16113="EX",1,IF(DATOS!$G16113="OR",--(COUNTIFS(nNIA,DATOS!$A16113,nCURSO,DATOS!$D16113,nESPEC,DATOS!$E16113,nASIG,DATOS!$I16113,nEVAL,"EX")=0),0))))</f>
      </c>
      <c r="H16113">
        <f>IF(DATOS!$G16113&lt;&gt;"EX",0,--(COUNTIFS(nNIA,DATOS!$A16113,nCURSO,DATOS!$D16113,nESPEC,DATOS!$E16113,nASIG,DATOS!$I16113,nEVAL,"OR")=0))</f>
      </c>
      <c r="I16113">
        <f>IF(DATOS!$I16113="","",IFERROR(VLOOKUP(DATOS!$I16113,CONFIG_ASIGNATURAS!$B$2:$J$91,9,FALSE()),""))</f>
      </c>
    </row>
    <row r="16114">
      <c r="F16114">
        <f>IF(DATOS!$A16114="","",DATOS!$A16114&amp;"|"&amp;DATOS!$D16114&amp;"|"&amp;DATOS!$E16114&amp;"|"&amp;DATOS!$I16114)</f>
      </c>
      <c r="G16114">
        <f>IF(DATOS!$A16114="",0,IF(CONFIG_METADATA!$B$4&lt;&gt;"OR+EX",--(DATOS!$G16114=CONFIG_METADATA!$B$4),IF(DATOS!$G16114="EX",1,IF(DATOS!$G16114="OR",--(COUNTIFS(nNIA,DATOS!$A16114,nCURSO,DATOS!$D16114,nESPEC,DATOS!$E16114,nASIG,DATOS!$I16114,nEVAL,"EX")=0),0))))</f>
      </c>
      <c r="H16114">
        <f>IF(DATOS!$G16114&lt;&gt;"EX",0,--(COUNTIFS(nNIA,DATOS!$A16114,nCURSO,DATOS!$D16114,nESPEC,DATOS!$E16114,nASIG,DATOS!$I16114,nEVAL,"OR")=0))</f>
      </c>
      <c r="I16114">
        <f>IF(DATOS!$I16114="","",IFERROR(VLOOKUP(DATOS!$I16114,CONFIG_ASIGNATURAS!$B$2:$J$91,9,FALSE()),""))</f>
      </c>
    </row>
    <row r="16115">
      <c r="F16115">
        <f>IF(DATOS!$A16115="","",DATOS!$A16115&amp;"|"&amp;DATOS!$D16115&amp;"|"&amp;DATOS!$E16115&amp;"|"&amp;DATOS!$I16115)</f>
      </c>
      <c r="G16115">
        <f>IF(DATOS!$A16115="",0,IF(CONFIG_METADATA!$B$4&lt;&gt;"OR+EX",--(DATOS!$G16115=CONFIG_METADATA!$B$4),IF(DATOS!$G16115="EX",1,IF(DATOS!$G16115="OR",--(COUNTIFS(nNIA,DATOS!$A16115,nCURSO,DATOS!$D16115,nESPEC,DATOS!$E16115,nASIG,DATOS!$I16115,nEVAL,"EX")=0),0))))</f>
      </c>
      <c r="H16115">
        <f>IF(DATOS!$G16115&lt;&gt;"EX",0,--(COUNTIFS(nNIA,DATOS!$A16115,nCURSO,DATOS!$D16115,nESPEC,DATOS!$E16115,nASIG,DATOS!$I16115,nEVAL,"OR")=0))</f>
      </c>
      <c r="I16115">
        <f>IF(DATOS!$I16115="","",IFERROR(VLOOKUP(DATOS!$I16115,CONFIG_ASIGNATURAS!$B$2:$J$91,9,FALSE()),""))</f>
      </c>
    </row>
    <row r="16116">
      <c r="F16116">
        <f>IF(DATOS!$A16116="","",DATOS!$A16116&amp;"|"&amp;DATOS!$D16116&amp;"|"&amp;DATOS!$E16116&amp;"|"&amp;DATOS!$I16116)</f>
      </c>
      <c r="G16116">
        <f>IF(DATOS!$A16116="",0,IF(CONFIG_METADATA!$B$4&lt;&gt;"OR+EX",--(DATOS!$G16116=CONFIG_METADATA!$B$4),IF(DATOS!$G16116="EX",1,IF(DATOS!$G16116="OR",--(COUNTIFS(nNIA,DATOS!$A16116,nCURSO,DATOS!$D16116,nESPEC,DATOS!$E16116,nASIG,DATOS!$I16116,nEVAL,"EX")=0),0))))</f>
      </c>
      <c r="H16116">
        <f>IF(DATOS!$G16116&lt;&gt;"EX",0,--(COUNTIFS(nNIA,DATOS!$A16116,nCURSO,DATOS!$D16116,nESPEC,DATOS!$E16116,nASIG,DATOS!$I16116,nEVAL,"OR")=0))</f>
      </c>
      <c r="I16116">
        <f>IF(DATOS!$I16116="","",IFERROR(VLOOKUP(DATOS!$I16116,CONFIG_ASIGNATURAS!$B$2:$J$91,9,FALSE()),""))</f>
      </c>
    </row>
    <row r="16117">
      <c r="F16117">
        <f>IF(DATOS!$A16117="","",DATOS!$A16117&amp;"|"&amp;DATOS!$D16117&amp;"|"&amp;DATOS!$E16117&amp;"|"&amp;DATOS!$I16117)</f>
      </c>
      <c r="G16117">
        <f>IF(DATOS!$A16117="",0,IF(CONFIG_METADATA!$B$4&lt;&gt;"OR+EX",--(DATOS!$G16117=CONFIG_METADATA!$B$4),IF(DATOS!$G16117="EX",1,IF(DATOS!$G16117="OR",--(COUNTIFS(nNIA,DATOS!$A16117,nCURSO,DATOS!$D16117,nESPEC,DATOS!$E16117,nASIG,DATOS!$I16117,nEVAL,"EX")=0),0))))</f>
      </c>
      <c r="H16117">
        <f>IF(DATOS!$G16117&lt;&gt;"EX",0,--(COUNTIFS(nNIA,DATOS!$A16117,nCURSO,DATOS!$D16117,nESPEC,DATOS!$E16117,nASIG,DATOS!$I16117,nEVAL,"OR")=0))</f>
      </c>
      <c r="I16117">
        <f>IF(DATOS!$I16117="","",IFERROR(VLOOKUP(DATOS!$I16117,CONFIG_ASIGNATURAS!$B$2:$J$91,9,FALSE()),""))</f>
      </c>
    </row>
    <row r="16118">
      <c r="F16118">
        <f>IF(DATOS!$A16118="","",DATOS!$A16118&amp;"|"&amp;DATOS!$D16118&amp;"|"&amp;DATOS!$E16118&amp;"|"&amp;DATOS!$I16118)</f>
      </c>
      <c r="G16118">
        <f>IF(DATOS!$A16118="",0,IF(CONFIG_METADATA!$B$4&lt;&gt;"OR+EX",--(DATOS!$G16118=CONFIG_METADATA!$B$4),IF(DATOS!$G16118="EX",1,IF(DATOS!$G16118="OR",--(COUNTIFS(nNIA,DATOS!$A16118,nCURSO,DATOS!$D16118,nESPEC,DATOS!$E16118,nASIG,DATOS!$I16118,nEVAL,"EX")=0),0))))</f>
      </c>
      <c r="H16118">
        <f>IF(DATOS!$G16118&lt;&gt;"EX",0,--(COUNTIFS(nNIA,DATOS!$A16118,nCURSO,DATOS!$D16118,nESPEC,DATOS!$E16118,nASIG,DATOS!$I16118,nEVAL,"OR")=0))</f>
      </c>
      <c r="I16118">
        <f>IF(DATOS!$I16118="","",IFERROR(VLOOKUP(DATOS!$I16118,CONFIG_ASIGNATURAS!$B$2:$J$91,9,FALSE()),""))</f>
      </c>
    </row>
    <row r="16119">
      <c r="F16119">
        <f>IF(DATOS!$A16119="","",DATOS!$A16119&amp;"|"&amp;DATOS!$D16119&amp;"|"&amp;DATOS!$E16119&amp;"|"&amp;DATOS!$I16119)</f>
      </c>
      <c r="G16119">
        <f>IF(DATOS!$A16119="",0,IF(CONFIG_METADATA!$B$4&lt;&gt;"OR+EX",--(DATOS!$G16119=CONFIG_METADATA!$B$4),IF(DATOS!$G16119="EX",1,IF(DATOS!$G16119="OR",--(COUNTIFS(nNIA,DATOS!$A16119,nCURSO,DATOS!$D16119,nESPEC,DATOS!$E16119,nASIG,DATOS!$I16119,nEVAL,"EX")=0),0))))</f>
      </c>
      <c r="H16119">
        <f>IF(DATOS!$G16119&lt;&gt;"EX",0,--(COUNTIFS(nNIA,DATOS!$A16119,nCURSO,DATOS!$D16119,nESPEC,DATOS!$E16119,nASIG,DATOS!$I16119,nEVAL,"OR")=0))</f>
      </c>
      <c r="I16119">
        <f>IF(DATOS!$I16119="","",IFERROR(VLOOKUP(DATOS!$I16119,CONFIG_ASIGNATURAS!$B$2:$J$91,9,FALSE()),""))</f>
      </c>
    </row>
    <row r="16120">
      <c r="F16120">
        <f>IF(DATOS!$A16120="","",DATOS!$A16120&amp;"|"&amp;DATOS!$D16120&amp;"|"&amp;DATOS!$E16120&amp;"|"&amp;DATOS!$I16120)</f>
      </c>
      <c r="G16120">
        <f>IF(DATOS!$A16120="",0,IF(CONFIG_METADATA!$B$4&lt;&gt;"OR+EX",--(DATOS!$G16120=CONFIG_METADATA!$B$4),IF(DATOS!$G16120="EX",1,IF(DATOS!$G16120="OR",--(COUNTIFS(nNIA,DATOS!$A16120,nCURSO,DATOS!$D16120,nESPEC,DATOS!$E16120,nASIG,DATOS!$I16120,nEVAL,"EX")=0),0))))</f>
      </c>
      <c r="H16120">
        <f>IF(DATOS!$G16120&lt;&gt;"EX",0,--(COUNTIFS(nNIA,DATOS!$A16120,nCURSO,DATOS!$D16120,nESPEC,DATOS!$E16120,nASIG,DATOS!$I16120,nEVAL,"OR")=0))</f>
      </c>
      <c r="I16120">
        <f>IF(DATOS!$I16120="","",IFERROR(VLOOKUP(DATOS!$I16120,CONFIG_ASIGNATURAS!$B$2:$J$91,9,FALSE()),""))</f>
      </c>
    </row>
    <row r="16121">
      <c r="F16121">
        <f>IF(DATOS!$A16121="","",DATOS!$A16121&amp;"|"&amp;DATOS!$D16121&amp;"|"&amp;DATOS!$E16121&amp;"|"&amp;DATOS!$I16121)</f>
      </c>
      <c r="G16121">
        <f>IF(DATOS!$A16121="",0,IF(CONFIG_METADATA!$B$4&lt;&gt;"OR+EX",--(DATOS!$G16121=CONFIG_METADATA!$B$4),IF(DATOS!$G16121="EX",1,IF(DATOS!$G16121="OR",--(COUNTIFS(nNIA,DATOS!$A16121,nCURSO,DATOS!$D16121,nESPEC,DATOS!$E16121,nASIG,DATOS!$I16121,nEVAL,"EX")=0),0))))</f>
      </c>
      <c r="H16121">
        <f>IF(DATOS!$G16121&lt;&gt;"EX",0,--(COUNTIFS(nNIA,DATOS!$A16121,nCURSO,DATOS!$D16121,nESPEC,DATOS!$E16121,nASIG,DATOS!$I16121,nEVAL,"OR")=0))</f>
      </c>
      <c r="I16121">
        <f>IF(DATOS!$I16121="","",IFERROR(VLOOKUP(DATOS!$I16121,CONFIG_ASIGNATURAS!$B$2:$J$91,9,FALSE()),""))</f>
      </c>
    </row>
    <row r="16122">
      <c r="F16122">
        <f>IF(DATOS!$A16122="","",DATOS!$A16122&amp;"|"&amp;DATOS!$D16122&amp;"|"&amp;DATOS!$E16122&amp;"|"&amp;DATOS!$I16122)</f>
      </c>
      <c r="G16122">
        <f>IF(DATOS!$A16122="",0,IF(CONFIG_METADATA!$B$4&lt;&gt;"OR+EX",--(DATOS!$G16122=CONFIG_METADATA!$B$4),IF(DATOS!$G16122="EX",1,IF(DATOS!$G16122="OR",--(COUNTIFS(nNIA,DATOS!$A16122,nCURSO,DATOS!$D16122,nESPEC,DATOS!$E16122,nASIG,DATOS!$I16122,nEVAL,"EX")=0),0))))</f>
      </c>
      <c r="H16122">
        <f>IF(DATOS!$G16122&lt;&gt;"EX",0,--(COUNTIFS(nNIA,DATOS!$A16122,nCURSO,DATOS!$D16122,nESPEC,DATOS!$E16122,nASIG,DATOS!$I16122,nEVAL,"OR")=0))</f>
      </c>
      <c r="I16122">
        <f>IF(DATOS!$I16122="","",IFERROR(VLOOKUP(DATOS!$I16122,CONFIG_ASIGNATURAS!$B$2:$J$91,9,FALSE()),""))</f>
      </c>
    </row>
    <row r="16123">
      <c r="F16123">
        <f>IF(DATOS!$A16123="","",DATOS!$A16123&amp;"|"&amp;DATOS!$D16123&amp;"|"&amp;DATOS!$E16123&amp;"|"&amp;DATOS!$I16123)</f>
      </c>
      <c r="G16123">
        <f>IF(DATOS!$A16123="",0,IF(CONFIG_METADATA!$B$4&lt;&gt;"OR+EX",--(DATOS!$G16123=CONFIG_METADATA!$B$4),IF(DATOS!$G16123="EX",1,IF(DATOS!$G16123="OR",--(COUNTIFS(nNIA,DATOS!$A16123,nCURSO,DATOS!$D16123,nESPEC,DATOS!$E16123,nASIG,DATOS!$I16123,nEVAL,"EX")=0),0))))</f>
      </c>
      <c r="H16123">
        <f>IF(DATOS!$G16123&lt;&gt;"EX",0,--(COUNTIFS(nNIA,DATOS!$A16123,nCURSO,DATOS!$D16123,nESPEC,DATOS!$E16123,nASIG,DATOS!$I16123,nEVAL,"OR")=0))</f>
      </c>
      <c r="I16123">
        <f>IF(DATOS!$I16123="","",IFERROR(VLOOKUP(DATOS!$I16123,CONFIG_ASIGNATURAS!$B$2:$J$91,9,FALSE()),""))</f>
      </c>
    </row>
    <row r="16124">
      <c r="F16124">
        <f>IF(DATOS!$A16124="","",DATOS!$A16124&amp;"|"&amp;DATOS!$D16124&amp;"|"&amp;DATOS!$E16124&amp;"|"&amp;DATOS!$I16124)</f>
      </c>
      <c r="G16124">
        <f>IF(DATOS!$A16124="",0,IF(CONFIG_METADATA!$B$4&lt;&gt;"OR+EX",--(DATOS!$G16124=CONFIG_METADATA!$B$4),IF(DATOS!$G16124="EX",1,IF(DATOS!$G16124="OR",--(COUNTIFS(nNIA,DATOS!$A16124,nCURSO,DATOS!$D16124,nESPEC,DATOS!$E16124,nASIG,DATOS!$I16124,nEVAL,"EX")=0),0))))</f>
      </c>
      <c r="H16124">
        <f>IF(DATOS!$G16124&lt;&gt;"EX",0,--(COUNTIFS(nNIA,DATOS!$A16124,nCURSO,DATOS!$D16124,nESPEC,DATOS!$E16124,nASIG,DATOS!$I16124,nEVAL,"OR")=0))</f>
      </c>
      <c r="I16124">
        <f>IF(DATOS!$I16124="","",IFERROR(VLOOKUP(DATOS!$I16124,CONFIG_ASIGNATURAS!$B$2:$J$91,9,FALSE()),""))</f>
      </c>
    </row>
    <row r="16125">
      <c r="F16125">
        <f>IF(DATOS!$A16125="","",DATOS!$A16125&amp;"|"&amp;DATOS!$D16125&amp;"|"&amp;DATOS!$E16125&amp;"|"&amp;DATOS!$I16125)</f>
      </c>
      <c r="G16125">
        <f>IF(DATOS!$A16125="",0,IF(CONFIG_METADATA!$B$4&lt;&gt;"OR+EX",--(DATOS!$G16125=CONFIG_METADATA!$B$4),IF(DATOS!$G16125="EX",1,IF(DATOS!$G16125="OR",--(COUNTIFS(nNIA,DATOS!$A16125,nCURSO,DATOS!$D16125,nESPEC,DATOS!$E16125,nASIG,DATOS!$I16125,nEVAL,"EX")=0),0))))</f>
      </c>
      <c r="H16125">
        <f>IF(DATOS!$G16125&lt;&gt;"EX",0,--(COUNTIFS(nNIA,DATOS!$A16125,nCURSO,DATOS!$D16125,nESPEC,DATOS!$E16125,nASIG,DATOS!$I16125,nEVAL,"OR")=0))</f>
      </c>
      <c r="I16125">
        <f>IF(DATOS!$I16125="","",IFERROR(VLOOKUP(DATOS!$I16125,CONFIG_ASIGNATURAS!$B$2:$J$91,9,FALSE()),""))</f>
      </c>
    </row>
    <row r="16126">
      <c r="F16126">
        <f>IF(DATOS!$A16126="","",DATOS!$A16126&amp;"|"&amp;DATOS!$D16126&amp;"|"&amp;DATOS!$E16126&amp;"|"&amp;DATOS!$I16126)</f>
      </c>
      <c r="G16126">
        <f>IF(DATOS!$A16126="",0,IF(CONFIG_METADATA!$B$4&lt;&gt;"OR+EX",--(DATOS!$G16126=CONFIG_METADATA!$B$4),IF(DATOS!$G16126="EX",1,IF(DATOS!$G16126="OR",--(COUNTIFS(nNIA,DATOS!$A16126,nCURSO,DATOS!$D16126,nESPEC,DATOS!$E16126,nASIG,DATOS!$I16126,nEVAL,"EX")=0),0))))</f>
      </c>
      <c r="H16126">
        <f>IF(DATOS!$G16126&lt;&gt;"EX",0,--(COUNTIFS(nNIA,DATOS!$A16126,nCURSO,DATOS!$D16126,nESPEC,DATOS!$E16126,nASIG,DATOS!$I16126,nEVAL,"OR")=0))</f>
      </c>
      <c r="I16126">
        <f>IF(DATOS!$I16126="","",IFERROR(VLOOKUP(DATOS!$I16126,CONFIG_ASIGNATURAS!$B$2:$J$91,9,FALSE()),""))</f>
      </c>
    </row>
    <row r="16127">
      <c r="F16127">
        <f>IF(DATOS!$A16127="","",DATOS!$A16127&amp;"|"&amp;DATOS!$D16127&amp;"|"&amp;DATOS!$E16127&amp;"|"&amp;DATOS!$I16127)</f>
      </c>
      <c r="G16127">
        <f>IF(DATOS!$A16127="",0,IF(CONFIG_METADATA!$B$4&lt;&gt;"OR+EX",--(DATOS!$G16127=CONFIG_METADATA!$B$4),IF(DATOS!$G16127="EX",1,IF(DATOS!$G16127="OR",--(COUNTIFS(nNIA,DATOS!$A16127,nCURSO,DATOS!$D16127,nESPEC,DATOS!$E16127,nASIG,DATOS!$I16127,nEVAL,"EX")=0),0))))</f>
      </c>
      <c r="H16127">
        <f>IF(DATOS!$G16127&lt;&gt;"EX",0,--(COUNTIFS(nNIA,DATOS!$A16127,nCURSO,DATOS!$D16127,nESPEC,DATOS!$E16127,nASIG,DATOS!$I16127,nEVAL,"OR")=0))</f>
      </c>
      <c r="I16127">
        <f>IF(DATOS!$I16127="","",IFERROR(VLOOKUP(DATOS!$I16127,CONFIG_ASIGNATURAS!$B$2:$J$91,9,FALSE()),""))</f>
      </c>
    </row>
    <row r="16128">
      <c r="F16128">
        <f>IF(DATOS!$A16128="","",DATOS!$A16128&amp;"|"&amp;DATOS!$D16128&amp;"|"&amp;DATOS!$E16128&amp;"|"&amp;DATOS!$I16128)</f>
      </c>
      <c r="G16128">
        <f>IF(DATOS!$A16128="",0,IF(CONFIG_METADATA!$B$4&lt;&gt;"OR+EX",--(DATOS!$G16128=CONFIG_METADATA!$B$4),IF(DATOS!$G16128="EX",1,IF(DATOS!$G16128="OR",--(COUNTIFS(nNIA,DATOS!$A16128,nCURSO,DATOS!$D16128,nESPEC,DATOS!$E16128,nASIG,DATOS!$I16128,nEVAL,"EX")=0),0))))</f>
      </c>
      <c r="H16128">
        <f>IF(DATOS!$G16128&lt;&gt;"EX",0,--(COUNTIFS(nNIA,DATOS!$A16128,nCURSO,DATOS!$D16128,nESPEC,DATOS!$E16128,nASIG,DATOS!$I16128,nEVAL,"OR")=0))</f>
      </c>
      <c r="I16128">
        <f>IF(DATOS!$I16128="","",IFERROR(VLOOKUP(DATOS!$I16128,CONFIG_ASIGNATURAS!$B$2:$J$91,9,FALSE()),""))</f>
      </c>
    </row>
    <row r="16129">
      <c r="F16129">
        <f>IF(DATOS!$A16129="","",DATOS!$A16129&amp;"|"&amp;DATOS!$D16129&amp;"|"&amp;DATOS!$E16129&amp;"|"&amp;DATOS!$I16129)</f>
      </c>
      <c r="G16129">
        <f>IF(DATOS!$A16129="",0,IF(CONFIG_METADATA!$B$4&lt;&gt;"OR+EX",--(DATOS!$G16129=CONFIG_METADATA!$B$4),IF(DATOS!$G16129="EX",1,IF(DATOS!$G16129="OR",--(COUNTIFS(nNIA,DATOS!$A16129,nCURSO,DATOS!$D16129,nESPEC,DATOS!$E16129,nASIG,DATOS!$I16129,nEVAL,"EX")=0),0))))</f>
      </c>
      <c r="H16129">
        <f>IF(DATOS!$G16129&lt;&gt;"EX",0,--(COUNTIFS(nNIA,DATOS!$A16129,nCURSO,DATOS!$D16129,nESPEC,DATOS!$E16129,nASIG,DATOS!$I16129,nEVAL,"OR")=0))</f>
      </c>
      <c r="I16129">
        <f>IF(DATOS!$I16129="","",IFERROR(VLOOKUP(DATOS!$I16129,CONFIG_ASIGNATURAS!$B$2:$J$91,9,FALSE()),""))</f>
      </c>
    </row>
    <row r="16130">
      <c r="F16130">
        <f>IF(DATOS!$A16130="","",DATOS!$A16130&amp;"|"&amp;DATOS!$D16130&amp;"|"&amp;DATOS!$E16130&amp;"|"&amp;DATOS!$I16130)</f>
      </c>
      <c r="G16130">
        <f>IF(DATOS!$A16130="",0,IF(CONFIG_METADATA!$B$4&lt;&gt;"OR+EX",--(DATOS!$G16130=CONFIG_METADATA!$B$4),IF(DATOS!$G16130="EX",1,IF(DATOS!$G16130="OR",--(COUNTIFS(nNIA,DATOS!$A16130,nCURSO,DATOS!$D16130,nESPEC,DATOS!$E16130,nASIG,DATOS!$I16130,nEVAL,"EX")=0),0))))</f>
      </c>
      <c r="H16130">
        <f>IF(DATOS!$G16130&lt;&gt;"EX",0,--(COUNTIFS(nNIA,DATOS!$A16130,nCURSO,DATOS!$D16130,nESPEC,DATOS!$E16130,nASIG,DATOS!$I16130,nEVAL,"OR")=0))</f>
      </c>
      <c r="I16130">
        <f>IF(DATOS!$I16130="","",IFERROR(VLOOKUP(DATOS!$I16130,CONFIG_ASIGNATURAS!$B$2:$J$91,9,FALSE()),""))</f>
      </c>
    </row>
    <row r="16131">
      <c r="F16131">
        <f>IF(DATOS!$A16131="","",DATOS!$A16131&amp;"|"&amp;DATOS!$D16131&amp;"|"&amp;DATOS!$E16131&amp;"|"&amp;DATOS!$I16131)</f>
      </c>
      <c r="G16131">
        <f>IF(DATOS!$A16131="",0,IF(CONFIG_METADATA!$B$4&lt;&gt;"OR+EX",--(DATOS!$G16131=CONFIG_METADATA!$B$4),IF(DATOS!$G16131="EX",1,IF(DATOS!$G16131="OR",--(COUNTIFS(nNIA,DATOS!$A16131,nCURSO,DATOS!$D16131,nESPEC,DATOS!$E16131,nASIG,DATOS!$I16131,nEVAL,"EX")=0),0))))</f>
      </c>
      <c r="H16131">
        <f>IF(DATOS!$G16131&lt;&gt;"EX",0,--(COUNTIFS(nNIA,DATOS!$A16131,nCURSO,DATOS!$D16131,nESPEC,DATOS!$E16131,nASIG,DATOS!$I16131,nEVAL,"OR")=0))</f>
      </c>
      <c r="I16131">
        <f>IF(DATOS!$I16131="","",IFERROR(VLOOKUP(DATOS!$I16131,CONFIG_ASIGNATURAS!$B$2:$J$91,9,FALSE()),""))</f>
      </c>
    </row>
    <row r="16132">
      <c r="F16132">
        <f>IF(DATOS!$A16132="","",DATOS!$A16132&amp;"|"&amp;DATOS!$D16132&amp;"|"&amp;DATOS!$E16132&amp;"|"&amp;DATOS!$I16132)</f>
      </c>
      <c r="G16132">
        <f>IF(DATOS!$A16132="",0,IF(CONFIG_METADATA!$B$4&lt;&gt;"OR+EX",--(DATOS!$G16132=CONFIG_METADATA!$B$4),IF(DATOS!$G16132="EX",1,IF(DATOS!$G16132="OR",--(COUNTIFS(nNIA,DATOS!$A16132,nCURSO,DATOS!$D16132,nESPEC,DATOS!$E16132,nASIG,DATOS!$I16132,nEVAL,"EX")=0),0))))</f>
      </c>
      <c r="H16132">
        <f>IF(DATOS!$G16132&lt;&gt;"EX",0,--(COUNTIFS(nNIA,DATOS!$A16132,nCURSO,DATOS!$D16132,nESPEC,DATOS!$E16132,nASIG,DATOS!$I16132,nEVAL,"OR")=0))</f>
      </c>
      <c r="I16132">
        <f>IF(DATOS!$I16132="","",IFERROR(VLOOKUP(DATOS!$I16132,CONFIG_ASIGNATURAS!$B$2:$J$91,9,FALSE()),""))</f>
      </c>
    </row>
    <row r="16133">
      <c r="F16133">
        <f>IF(DATOS!$A16133="","",DATOS!$A16133&amp;"|"&amp;DATOS!$D16133&amp;"|"&amp;DATOS!$E16133&amp;"|"&amp;DATOS!$I16133)</f>
      </c>
      <c r="G16133">
        <f>IF(DATOS!$A16133="",0,IF(CONFIG_METADATA!$B$4&lt;&gt;"OR+EX",--(DATOS!$G16133=CONFIG_METADATA!$B$4),IF(DATOS!$G16133="EX",1,IF(DATOS!$G16133="OR",--(COUNTIFS(nNIA,DATOS!$A16133,nCURSO,DATOS!$D16133,nESPEC,DATOS!$E16133,nASIG,DATOS!$I16133,nEVAL,"EX")=0),0))))</f>
      </c>
      <c r="H16133">
        <f>IF(DATOS!$G16133&lt;&gt;"EX",0,--(COUNTIFS(nNIA,DATOS!$A16133,nCURSO,DATOS!$D16133,nESPEC,DATOS!$E16133,nASIG,DATOS!$I16133,nEVAL,"OR")=0))</f>
      </c>
      <c r="I16133">
        <f>IF(DATOS!$I16133="","",IFERROR(VLOOKUP(DATOS!$I16133,CONFIG_ASIGNATURAS!$B$2:$J$91,9,FALSE()),""))</f>
      </c>
    </row>
    <row r="16134">
      <c r="F16134">
        <f>IF(DATOS!$A16134="","",DATOS!$A16134&amp;"|"&amp;DATOS!$D16134&amp;"|"&amp;DATOS!$E16134&amp;"|"&amp;DATOS!$I16134)</f>
      </c>
      <c r="G16134">
        <f>IF(DATOS!$A16134="",0,IF(CONFIG_METADATA!$B$4&lt;&gt;"OR+EX",--(DATOS!$G16134=CONFIG_METADATA!$B$4),IF(DATOS!$G16134="EX",1,IF(DATOS!$G16134="OR",--(COUNTIFS(nNIA,DATOS!$A16134,nCURSO,DATOS!$D16134,nESPEC,DATOS!$E16134,nASIG,DATOS!$I16134,nEVAL,"EX")=0),0))))</f>
      </c>
      <c r="H16134">
        <f>IF(DATOS!$G16134&lt;&gt;"EX",0,--(COUNTIFS(nNIA,DATOS!$A16134,nCURSO,DATOS!$D16134,nESPEC,DATOS!$E16134,nASIG,DATOS!$I16134,nEVAL,"OR")=0))</f>
      </c>
      <c r="I16134">
        <f>IF(DATOS!$I16134="","",IFERROR(VLOOKUP(DATOS!$I16134,CONFIG_ASIGNATURAS!$B$2:$J$91,9,FALSE()),""))</f>
      </c>
    </row>
    <row r="16135">
      <c r="F16135">
        <f>IF(DATOS!$A16135="","",DATOS!$A16135&amp;"|"&amp;DATOS!$D16135&amp;"|"&amp;DATOS!$E16135&amp;"|"&amp;DATOS!$I16135)</f>
      </c>
      <c r="G16135">
        <f>IF(DATOS!$A16135="",0,IF(CONFIG_METADATA!$B$4&lt;&gt;"OR+EX",--(DATOS!$G16135=CONFIG_METADATA!$B$4),IF(DATOS!$G16135="EX",1,IF(DATOS!$G16135="OR",--(COUNTIFS(nNIA,DATOS!$A16135,nCURSO,DATOS!$D16135,nESPEC,DATOS!$E16135,nASIG,DATOS!$I16135,nEVAL,"EX")=0),0))))</f>
      </c>
      <c r="H16135">
        <f>IF(DATOS!$G16135&lt;&gt;"EX",0,--(COUNTIFS(nNIA,DATOS!$A16135,nCURSO,DATOS!$D16135,nESPEC,DATOS!$E16135,nASIG,DATOS!$I16135,nEVAL,"OR")=0))</f>
      </c>
      <c r="I16135">
        <f>IF(DATOS!$I16135="","",IFERROR(VLOOKUP(DATOS!$I16135,CONFIG_ASIGNATURAS!$B$2:$J$91,9,FALSE()),""))</f>
      </c>
    </row>
    <row r="16136">
      <c r="F16136">
        <f>IF(DATOS!$A16136="","",DATOS!$A16136&amp;"|"&amp;DATOS!$D16136&amp;"|"&amp;DATOS!$E16136&amp;"|"&amp;DATOS!$I16136)</f>
      </c>
      <c r="G16136">
        <f>IF(DATOS!$A16136="",0,IF(CONFIG_METADATA!$B$4&lt;&gt;"OR+EX",--(DATOS!$G16136=CONFIG_METADATA!$B$4),IF(DATOS!$G16136="EX",1,IF(DATOS!$G16136="OR",--(COUNTIFS(nNIA,DATOS!$A16136,nCURSO,DATOS!$D16136,nESPEC,DATOS!$E16136,nASIG,DATOS!$I16136,nEVAL,"EX")=0),0))))</f>
      </c>
      <c r="H16136">
        <f>IF(DATOS!$G16136&lt;&gt;"EX",0,--(COUNTIFS(nNIA,DATOS!$A16136,nCURSO,DATOS!$D16136,nESPEC,DATOS!$E16136,nASIG,DATOS!$I16136,nEVAL,"OR")=0))</f>
      </c>
      <c r="I16136">
        <f>IF(DATOS!$I16136="","",IFERROR(VLOOKUP(DATOS!$I16136,CONFIG_ASIGNATURAS!$B$2:$J$91,9,FALSE()),""))</f>
      </c>
    </row>
    <row r="16137">
      <c r="F16137">
        <f>IF(DATOS!$A16137="","",DATOS!$A16137&amp;"|"&amp;DATOS!$D16137&amp;"|"&amp;DATOS!$E16137&amp;"|"&amp;DATOS!$I16137)</f>
      </c>
      <c r="G16137">
        <f>IF(DATOS!$A16137="",0,IF(CONFIG_METADATA!$B$4&lt;&gt;"OR+EX",--(DATOS!$G16137=CONFIG_METADATA!$B$4),IF(DATOS!$G16137="EX",1,IF(DATOS!$G16137="OR",--(COUNTIFS(nNIA,DATOS!$A16137,nCURSO,DATOS!$D16137,nESPEC,DATOS!$E16137,nASIG,DATOS!$I16137,nEVAL,"EX")=0),0))))</f>
      </c>
      <c r="H16137">
        <f>IF(DATOS!$G16137&lt;&gt;"EX",0,--(COUNTIFS(nNIA,DATOS!$A16137,nCURSO,DATOS!$D16137,nESPEC,DATOS!$E16137,nASIG,DATOS!$I16137,nEVAL,"OR")=0))</f>
      </c>
      <c r="I16137">
        <f>IF(DATOS!$I16137="","",IFERROR(VLOOKUP(DATOS!$I16137,CONFIG_ASIGNATURAS!$B$2:$J$91,9,FALSE()),""))</f>
      </c>
    </row>
    <row r="16138">
      <c r="F16138">
        <f>IF(DATOS!$A16138="","",DATOS!$A16138&amp;"|"&amp;DATOS!$D16138&amp;"|"&amp;DATOS!$E16138&amp;"|"&amp;DATOS!$I16138)</f>
      </c>
      <c r="G16138">
        <f>IF(DATOS!$A16138="",0,IF(CONFIG_METADATA!$B$4&lt;&gt;"OR+EX",--(DATOS!$G16138=CONFIG_METADATA!$B$4),IF(DATOS!$G16138="EX",1,IF(DATOS!$G16138="OR",--(COUNTIFS(nNIA,DATOS!$A16138,nCURSO,DATOS!$D16138,nESPEC,DATOS!$E16138,nASIG,DATOS!$I16138,nEVAL,"EX")=0),0))))</f>
      </c>
      <c r="H16138">
        <f>IF(DATOS!$G16138&lt;&gt;"EX",0,--(COUNTIFS(nNIA,DATOS!$A16138,nCURSO,DATOS!$D16138,nESPEC,DATOS!$E16138,nASIG,DATOS!$I16138,nEVAL,"OR")=0))</f>
      </c>
      <c r="I16138">
        <f>IF(DATOS!$I16138="","",IFERROR(VLOOKUP(DATOS!$I16138,CONFIG_ASIGNATURAS!$B$2:$J$91,9,FALSE()),""))</f>
      </c>
    </row>
    <row r="16139">
      <c r="F16139">
        <f>IF(DATOS!$A16139="","",DATOS!$A16139&amp;"|"&amp;DATOS!$D16139&amp;"|"&amp;DATOS!$E16139&amp;"|"&amp;DATOS!$I16139)</f>
      </c>
      <c r="G16139">
        <f>IF(DATOS!$A16139="",0,IF(CONFIG_METADATA!$B$4&lt;&gt;"OR+EX",--(DATOS!$G16139=CONFIG_METADATA!$B$4),IF(DATOS!$G16139="EX",1,IF(DATOS!$G16139="OR",--(COUNTIFS(nNIA,DATOS!$A16139,nCURSO,DATOS!$D16139,nESPEC,DATOS!$E16139,nASIG,DATOS!$I16139,nEVAL,"EX")=0),0))))</f>
      </c>
      <c r="H16139">
        <f>IF(DATOS!$G16139&lt;&gt;"EX",0,--(COUNTIFS(nNIA,DATOS!$A16139,nCURSO,DATOS!$D16139,nESPEC,DATOS!$E16139,nASIG,DATOS!$I16139,nEVAL,"OR")=0))</f>
      </c>
      <c r="I16139">
        <f>IF(DATOS!$I16139="","",IFERROR(VLOOKUP(DATOS!$I16139,CONFIG_ASIGNATURAS!$B$2:$J$91,9,FALSE()),""))</f>
      </c>
    </row>
    <row r="16140">
      <c r="F16140">
        <f>IF(DATOS!$A16140="","",DATOS!$A16140&amp;"|"&amp;DATOS!$D16140&amp;"|"&amp;DATOS!$E16140&amp;"|"&amp;DATOS!$I16140)</f>
      </c>
      <c r="G16140">
        <f>IF(DATOS!$A16140="",0,IF(CONFIG_METADATA!$B$4&lt;&gt;"OR+EX",--(DATOS!$G16140=CONFIG_METADATA!$B$4),IF(DATOS!$G16140="EX",1,IF(DATOS!$G16140="OR",--(COUNTIFS(nNIA,DATOS!$A16140,nCURSO,DATOS!$D16140,nESPEC,DATOS!$E16140,nASIG,DATOS!$I16140,nEVAL,"EX")=0),0))))</f>
      </c>
      <c r="H16140">
        <f>IF(DATOS!$G16140&lt;&gt;"EX",0,--(COUNTIFS(nNIA,DATOS!$A16140,nCURSO,DATOS!$D16140,nESPEC,DATOS!$E16140,nASIG,DATOS!$I16140,nEVAL,"OR")=0))</f>
      </c>
      <c r="I16140">
        <f>IF(DATOS!$I16140="","",IFERROR(VLOOKUP(DATOS!$I16140,CONFIG_ASIGNATURAS!$B$2:$J$91,9,FALSE()),""))</f>
      </c>
    </row>
    <row r="16141">
      <c r="F16141">
        <f>IF(DATOS!$A16141="","",DATOS!$A16141&amp;"|"&amp;DATOS!$D16141&amp;"|"&amp;DATOS!$E16141&amp;"|"&amp;DATOS!$I16141)</f>
      </c>
      <c r="G16141">
        <f>IF(DATOS!$A16141="",0,IF(CONFIG_METADATA!$B$4&lt;&gt;"OR+EX",--(DATOS!$G16141=CONFIG_METADATA!$B$4),IF(DATOS!$G16141="EX",1,IF(DATOS!$G16141="OR",--(COUNTIFS(nNIA,DATOS!$A16141,nCURSO,DATOS!$D16141,nESPEC,DATOS!$E16141,nASIG,DATOS!$I16141,nEVAL,"EX")=0),0))))</f>
      </c>
      <c r="H16141">
        <f>IF(DATOS!$G16141&lt;&gt;"EX",0,--(COUNTIFS(nNIA,DATOS!$A16141,nCURSO,DATOS!$D16141,nESPEC,DATOS!$E16141,nASIG,DATOS!$I16141,nEVAL,"OR")=0))</f>
      </c>
      <c r="I16141">
        <f>IF(DATOS!$I16141="","",IFERROR(VLOOKUP(DATOS!$I16141,CONFIG_ASIGNATURAS!$B$2:$J$91,9,FALSE()),""))</f>
      </c>
    </row>
    <row r="16142">
      <c r="F16142">
        <f>IF(DATOS!$A16142="","",DATOS!$A16142&amp;"|"&amp;DATOS!$D16142&amp;"|"&amp;DATOS!$E16142&amp;"|"&amp;DATOS!$I16142)</f>
      </c>
      <c r="G16142">
        <f>IF(DATOS!$A16142="",0,IF(CONFIG_METADATA!$B$4&lt;&gt;"OR+EX",--(DATOS!$G16142=CONFIG_METADATA!$B$4),IF(DATOS!$G16142="EX",1,IF(DATOS!$G16142="OR",--(COUNTIFS(nNIA,DATOS!$A16142,nCURSO,DATOS!$D16142,nESPEC,DATOS!$E16142,nASIG,DATOS!$I16142,nEVAL,"EX")=0),0))))</f>
      </c>
      <c r="H16142">
        <f>IF(DATOS!$G16142&lt;&gt;"EX",0,--(COUNTIFS(nNIA,DATOS!$A16142,nCURSO,DATOS!$D16142,nESPEC,DATOS!$E16142,nASIG,DATOS!$I16142,nEVAL,"OR")=0))</f>
      </c>
      <c r="I16142">
        <f>IF(DATOS!$I16142="","",IFERROR(VLOOKUP(DATOS!$I16142,CONFIG_ASIGNATURAS!$B$2:$J$91,9,FALSE()),""))</f>
      </c>
    </row>
    <row r="16143">
      <c r="F16143">
        <f>IF(DATOS!$A16143="","",DATOS!$A16143&amp;"|"&amp;DATOS!$D16143&amp;"|"&amp;DATOS!$E16143&amp;"|"&amp;DATOS!$I16143)</f>
      </c>
      <c r="G16143">
        <f>IF(DATOS!$A16143="",0,IF(CONFIG_METADATA!$B$4&lt;&gt;"OR+EX",--(DATOS!$G16143=CONFIG_METADATA!$B$4),IF(DATOS!$G16143="EX",1,IF(DATOS!$G16143="OR",--(COUNTIFS(nNIA,DATOS!$A16143,nCURSO,DATOS!$D16143,nESPEC,DATOS!$E16143,nASIG,DATOS!$I16143,nEVAL,"EX")=0),0))))</f>
      </c>
      <c r="H16143">
        <f>IF(DATOS!$G16143&lt;&gt;"EX",0,--(COUNTIFS(nNIA,DATOS!$A16143,nCURSO,DATOS!$D16143,nESPEC,DATOS!$E16143,nASIG,DATOS!$I16143,nEVAL,"OR")=0))</f>
      </c>
      <c r="I16143">
        <f>IF(DATOS!$I16143="","",IFERROR(VLOOKUP(DATOS!$I16143,CONFIG_ASIGNATURAS!$B$2:$J$91,9,FALSE()),""))</f>
      </c>
    </row>
    <row r="16144">
      <c r="F16144">
        <f>IF(DATOS!$A16144="","",DATOS!$A16144&amp;"|"&amp;DATOS!$D16144&amp;"|"&amp;DATOS!$E16144&amp;"|"&amp;DATOS!$I16144)</f>
      </c>
      <c r="G16144">
        <f>IF(DATOS!$A16144="",0,IF(CONFIG_METADATA!$B$4&lt;&gt;"OR+EX",--(DATOS!$G16144=CONFIG_METADATA!$B$4),IF(DATOS!$G16144="EX",1,IF(DATOS!$G16144="OR",--(COUNTIFS(nNIA,DATOS!$A16144,nCURSO,DATOS!$D16144,nESPEC,DATOS!$E16144,nASIG,DATOS!$I16144,nEVAL,"EX")=0),0))))</f>
      </c>
      <c r="H16144">
        <f>IF(DATOS!$G16144&lt;&gt;"EX",0,--(COUNTIFS(nNIA,DATOS!$A16144,nCURSO,DATOS!$D16144,nESPEC,DATOS!$E16144,nASIG,DATOS!$I16144,nEVAL,"OR")=0))</f>
      </c>
      <c r="I16144">
        <f>IF(DATOS!$I16144="","",IFERROR(VLOOKUP(DATOS!$I16144,CONFIG_ASIGNATURAS!$B$2:$J$91,9,FALSE()),""))</f>
      </c>
    </row>
    <row r="16145">
      <c r="F16145">
        <f>IF(DATOS!$A16145="","",DATOS!$A16145&amp;"|"&amp;DATOS!$D16145&amp;"|"&amp;DATOS!$E16145&amp;"|"&amp;DATOS!$I16145)</f>
      </c>
      <c r="G16145">
        <f>IF(DATOS!$A16145="",0,IF(CONFIG_METADATA!$B$4&lt;&gt;"OR+EX",--(DATOS!$G16145=CONFIG_METADATA!$B$4),IF(DATOS!$G16145="EX",1,IF(DATOS!$G16145="OR",--(COUNTIFS(nNIA,DATOS!$A16145,nCURSO,DATOS!$D16145,nESPEC,DATOS!$E16145,nASIG,DATOS!$I16145,nEVAL,"EX")=0),0))))</f>
      </c>
      <c r="H16145">
        <f>IF(DATOS!$G16145&lt;&gt;"EX",0,--(COUNTIFS(nNIA,DATOS!$A16145,nCURSO,DATOS!$D16145,nESPEC,DATOS!$E16145,nASIG,DATOS!$I16145,nEVAL,"OR")=0))</f>
      </c>
      <c r="I16145">
        <f>IF(DATOS!$I16145="","",IFERROR(VLOOKUP(DATOS!$I16145,CONFIG_ASIGNATURAS!$B$2:$J$91,9,FALSE()),""))</f>
      </c>
    </row>
    <row r="16146">
      <c r="F16146">
        <f>IF(DATOS!$A16146="","",DATOS!$A16146&amp;"|"&amp;DATOS!$D16146&amp;"|"&amp;DATOS!$E16146&amp;"|"&amp;DATOS!$I16146)</f>
      </c>
      <c r="G16146">
        <f>IF(DATOS!$A16146="",0,IF(CONFIG_METADATA!$B$4&lt;&gt;"OR+EX",--(DATOS!$G16146=CONFIG_METADATA!$B$4),IF(DATOS!$G16146="EX",1,IF(DATOS!$G16146="OR",--(COUNTIFS(nNIA,DATOS!$A16146,nCURSO,DATOS!$D16146,nESPEC,DATOS!$E16146,nASIG,DATOS!$I16146,nEVAL,"EX")=0),0))))</f>
      </c>
      <c r="H16146">
        <f>IF(DATOS!$G16146&lt;&gt;"EX",0,--(COUNTIFS(nNIA,DATOS!$A16146,nCURSO,DATOS!$D16146,nESPEC,DATOS!$E16146,nASIG,DATOS!$I16146,nEVAL,"OR")=0))</f>
      </c>
      <c r="I16146">
        <f>IF(DATOS!$I16146="","",IFERROR(VLOOKUP(DATOS!$I16146,CONFIG_ASIGNATURAS!$B$2:$J$91,9,FALSE()),""))</f>
      </c>
    </row>
    <row r="16147">
      <c r="F16147">
        <f>IF(DATOS!$A16147="","",DATOS!$A16147&amp;"|"&amp;DATOS!$D16147&amp;"|"&amp;DATOS!$E16147&amp;"|"&amp;DATOS!$I16147)</f>
      </c>
      <c r="G16147">
        <f>IF(DATOS!$A16147="",0,IF(CONFIG_METADATA!$B$4&lt;&gt;"OR+EX",--(DATOS!$G16147=CONFIG_METADATA!$B$4),IF(DATOS!$G16147="EX",1,IF(DATOS!$G16147="OR",--(COUNTIFS(nNIA,DATOS!$A16147,nCURSO,DATOS!$D16147,nESPEC,DATOS!$E16147,nASIG,DATOS!$I16147,nEVAL,"EX")=0),0))))</f>
      </c>
      <c r="H16147">
        <f>IF(DATOS!$G16147&lt;&gt;"EX",0,--(COUNTIFS(nNIA,DATOS!$A16147,nCURSO,DATOS!$D16147,nESPEC,DATOS!$E16147,nASIG,DATOS!$I16147,nEVAL,"OR")=0))</f>
      </c>
      <c r="I16147">
        <f>IF(DATOS!$I16147="","",IFERROR(VLOOKUP(DATOS!$I16147,CONFIG_ASIGNATURAS!$B$2:$J$91,9,FALSE()),""))</f>
      </c>
    </row>
    <row r="16148">
      <c r="F16148">
        <f>IF(DATOS!$A16148="","",DATOS!$A16148&amp;"|"&amp;DATOS!$D16148&amp;"|"&amp;DATOS!$E16148&amp;"|"&amp;DATOS!$I16148)</f>
      </c>
      <c r="G16148">
        <f>IF(DATOS!$A16148="",0,IF(CONFIG_METADATA!$B$4&lt;&gt;"OR+EX",--(DATOS!$G16148=CONFIG_METADATA!$B$4),IF(DATOS!$G16148="EX",1,IF(DATOS!$G16148="OR",--(COUNTIFS(nNIA,DATOS!$A16148,nCURSO,DATOS!$D16148,nESPEC,DATOS!$E16148,nASIG,DATOS!$I16148,nEVAL,"EX")=0),0))))</f>
      </c>
      <c r="H16148">
        <f>IF(DATOS!$G16148&lt;&gt;"EX",0,--(COUNTIFS(nNIA,DATOS!$A16148,nCURSO,DATOS!$D16148,nESPEC,DATOS!$E16148,nASIG,DATOS!$I16148,nEVAL,"OR")=0))</f>
      </c>
      <c r="I16148">
        <f>IF(DATOS!$I16148="","",IFERROR(VLOOKUP(DATOS!$I16148,CONFIG_ASIGNATURAS!$B$2:$J$91,9,FALSE()),""))</f>
      </c>
    </row>
    <row r="16149">
      <c r="F16149">
        <f>IF(DATOS!$A16149="","",DATOS!$A16149&amp;"|"&amp;DATOS!$D16149&amp;"|"&amp;DATOS!$E16149&amp;"|"&amp;DATOS!$I16149)</f>
      </c>
      <c r="G16149">
        <f>IF(DATOS!$A16149="",0,IF(CONFIG_METADATA!$B$4&lt;&gt;"OR+EX",--(DATOS!$G16149=CONFIG_METADATA!$B$4),IF(DATOS!$G16149="EX",1,IF(DATOS!$G16149="OR",--(COUNTIFS(nNIA,DATOS!$A16149,nCURSO,DATOS!$D16149,nESPEC,DATOS!$E16149,nASIG,DATOS!$I16149,nEVAL,"EX")=0),0))))</f>
      </c>
      <c r="H16149">
        <f>IF(DATOS!$G16149&lt;&gt;"EX",0,--(COUNTIFS(nNIA,DATOS!$A16149,nCURSO,DATOS!$D16149,nESPEC,DATOS!$E16149,nASIG,DATOS!$I16149,nEVAL,"OR")=0))</f>
      </c>
      <c r="I16149">
        <f>IF(DATOS!$I16149="","",IFERROR(VLOOKUP(DATOS!$I16149,CONFIG_ASIGNATURAS!$B$2:$J$91,9,FALSE()),""))</f>
      </c>
    </row>
    <row r="16150">
      <c r="F16150">
        <f>IF(DATOS!$A16150="","",DATOS!$A16150&amp;"|"&amp;DATOS!$D16150&amp;"|"&amp;DATOS!$E16150&amp;"|"&amp;DATOS!$I16150)</f>
      </c>
      <c r="G16150">
        <f>IF(DATOS!$A16150="",0,IF(CONFIG_METADATA!$B$4&lt;&gt;"OR+EX",--(DATOS!$G16150=CONFIG_METADATA!$B$4),IF(DATOS!$G16150="EX",1,IF(DATOS!$G16150="OR",--(COUNTIFS(nNIA,DATOS!$A16150,nCURSO,DATOS!$D16150,nESPEC,DATOS!$E16150,nASIG,DATOS!$I16150,nEVAL,"EX")=0),0))))</f>
      </c>
      <c r="H16150">
        <f>IF(DATOS!$G16150&lt;&gt;"EX",0,--(COUNTIFS(nNIA,DATOS!$A16150,nCURSO,DATOS!$D16150,nESPEC,DATOS!$E16150,nASIG,DATOS!$I16150,nEVAL,"OR")=0))</f>
      </c>
      <c r="I16150">
        <f>IF(DATOS!$I16150="","",IFERROR(VLOOKUP(DATOS!$I16150,CONFIG_ASIGNATURAS!$B$2:$J$91,9,FALSE()),""))</f>
      </c>
    </row>
    <row r="16151">
      <c r="F16151">
        <f>IF(DATOS!$A16151="","",DATOS!$A16151&amp;"|"&amp;DATOS!$D16151&amp;"|"&amp;DATOS!$E16151&amp;"|"&amp;DATOS!$I16151)</f>
      </c>
      <c r="G16151">
        <f>IF(DATOS!$A16151="",0,IF(CONFIG_METADATA!$B$4&lt;&gt;"OR+EX",--(DATOS!$G16151=CONFIG_METADATA!$B$4),IF(DATOS!$G16151="EX",1,IF(DATOS!$G16151="OR",--(COUNTIFS(nNIA,DATOS!$A16151,nCURSO,DATOS!$D16151,nESPEC,DATOS!$E16151,nASIG,DATOS!$I16151,nEVAL,"EX")=0),0))))</f>
      </c>
      <c r="H16151">
        <f>IF(DATOS!$G16151&lt;&gt;"EX",0,--(COUNTIFS(nNIA,DATOS!$A16151,nCURSO,DATOS!$D16151,nESPEC,DATOS!$E16151,nASIG,DATOS!$I16151,nEVAL,"OR")=0))</f>
      </c>
      <c r="I16151">
        <f>IF(DATOS!$I16151="","",IFERROR(VLOOKUP(DATOS!$I16151,CONFIG_ASIGNATURAS!$B$2:$J$91,9,FALSE()),""))</f>
      </c>
    </row>
    <row r="16152">
      <c r="F16152">
        <f>IF(DATOS!$A16152="","",DATOS!$A16152&amp;"|"&amp;DATOS!$D16152&amp;"|"&amp;DATOS!$E16152&amp;"|"&amp;DATOS!$I16152)</f>
      </c>
      <c r="G16152">
        <f>IF(DATOS!$A16152="",0,IF(CONFIG_METADATA!$B$4&lt;&gt;"OR+EX",--(DATOS!$G16152=CONFIG_METADATA!$B$4),IF(DATOS!$G16152="EX",1,IF(DATOS!$G16152="OR",--(COUNTIFS(nNIA,DATOS!$A16152,nCURSO,DATOS!$D16152,nESPEC,DATOS!$E16152,nASIG,DATOS!$I16152,nEVAL,"EX")=0),0))))</f>
      </c>
      <c r="H16152">
        <f>IF(DATOS!$G16152&lt;&gt;"EX",0,--(COUNTIFS(nNIA,DATOS!$A16152,nCURSO,DATOS!$D16152,nESPEC,DATOS!$E16152,nASIG,DATOS!$I16152,nEVAL,"OR")=0))</f>
      </c>
      <c r="I16152">
        <f>IF(DATOS!$I16152="","",IFERROR(VLOOKUP(DATOS!$I16152,CONFIG_ASIGNATURAS!$B$2:$J$91,9,FALSE()),""))</f>
      </c>
    </row>
    <row r="16153">
      <c r="F16153">
        <f>IF(DATOS!$A16153="","",DATOS!$A16153&amp;"|"&amp;DATOS!$D16153&amp;"|"&amp;DATOS!$E16153&amp;"|"&amp;DATOS!$I16153)</f>
      </c>
      <c r="G16153">
        <f>IF(DATOS!$A16153="",0,IF(CONFIG_METADATA!$B$4&lt;&gt;"OR+EX",--(DATOS!$G16153=CONFIG_METADATA!$B$4),IF(DATOS!$G16153="EX",1,IF(DATOS!$G16153="OR",--(COUNTIFS(nNIA,DATOS!$A16153,nCURSO,DATOS!$D16153,nESPEC,DATOS!$E16153,nASIG,DATOS!$I16153,nEVAL,"EX")=0),0))))</f>
      </c>
      <c r="H16153">
        <f>IF(DATOS!$G16153&lt;&gt;"EX",0,--(COUNTIFS(nNIA,DATOS!$A16153,nCURSO,DATOS!$D16153,nESPEC,DATOS!$E16153,nASIG,DATOS!$I16153,nEVAL,"OR")=0))</f>
      </c>
      <c r="I16153">
        <f>IF(DATOS!$I16153="","",IFERROR(VLOOKUP(DATOS!$I16153,CONFIG_ASIGNATURAS!$B$2:$J$91,9,FALSE()),""))</f>
      </c>
    </row>
    <row r="16154">
      <c r="F16154">
        <f>IF(DATOS!$A16154="","",DATOS!$A16154&amp;"|"&amp;DATOS!$D16154&amp;"|"&amp;DATOS!$E16154&amp;"|"&amp;DATOS!$I16154)</f>
      </c>
      <c r="G16154">
        <f>IF(DATOS!$A16154="",0,IF(CONFIG_METADATA!$B$4&lt;&gt;"OR+EX",--(DATOS!$G16154=CONFIG_METADATA!$B$4),IF(DATOS!$G16154="EX",1,IF(DATOS!$G16154="OR",--(COUNTIFS(nNIA,DATOS!$A16154,nCURSO,DATOS!$D16154,nESPEC,DATOS!$E16154,nASIG,DATOS!$I16154,nEVAL,"EX")=0),0))))</f>
      </c>
      <c r="H16154">
        <f>IF(DATOS!$G16154&lt;&gt;"EX",0,--(COUNTIFS(nNIA,DATOS!$A16154,nCURSO,DATOS!$D16154,nESPEC,DATOS!$E16154,nASIG,DATOS!$I16154,nEVAL,"OR")=0))</f>
      </c>
      <c r="I16154">
        <f>IF(DATOS!$I16154="","",IFERROR(VLOOKUP(DATOS!$I16154,CONFIG_ASIGNATURAS!$B$2:$J$91,9,FALSE()),""))</f>
      </c>
    </row>
    <row r="16155">
      <c r="F16155">
        <f>IF(DATOS!$A16155="","",DATOS!$A16155&amp;"|"&amp;DATOS!$D16155&amp;"|"&amp;DATOS!$E16155&amp;"|"&amp;DATOS!$I16155)</f>
      </c>
      <c r="G16155">
        <f>IF(DATOS!$A16155="",0,IF(CONFIG_METADATA!$B$4&lt;&gt;"OR+EX",--(DATOS!$G16155=CONFIG_METADATA!$B$4),IF(DATOS!$G16155="EX",1,IF(DATOS!$G16155="OR",--(COUNTIFS(nNIA,DATOS!$A16155,nCURSO,DATOS!$D16155,nESPEC,DATOS!$E16155,nASIG,DATOS!$I16155,nEVAL,"EX")=0),0))))</f>
      </c>
      <c r="H16155">
        <f>IF(DATOS!$G16155&lt;&gt;"EX",0,--(COUNTIFS(nNIA,DATOS!$A16155,nCURSO,DATOS!$D16155,nESPEC,DATOS!$E16155,nASIG,DATOS!$I16155,nEVAL,"OR")=0))</f>
      </c>
      <c r="I16155">
        <f>IF(DATOS!$I16155="","",IFERROR(VLOOKUP(DATOS!$I16155,CONFIG_ASIGNATURAS!$B$2:$J$91,9,FALSE()),""))</f>
      </c>
    </row>
    <row r="16156">
      <c r="F16156">
        <f>IF(DATOS!$A16156="","",DATOS!$A16156&amp;"|"&amp;DATOS!$D16156&amp;"|"&amp;DATOS!$E16156&amp;"|"&amp;DATOS!$I16156)</f>
      </c>
      <c r="G16156">
        <f>IF(DATOS!$A16156="",0,IF(CONFIG_METADATA!$B$4&lt;&gt;"OR+EX",--(DATOS!$G16156=CONFIG_METADATA!$B$4),IF(DATOS!$G16156="EX",1,IF(DATOS!$G16156="OR",--(COUNTIFS(nNIA,DATOS!$A16156,nCURSO,DATOS!$D16156,nESPEC,DATOS!$E16156,nASIG,DATOS!$I16156,nEVAL,"EX")=0),0))))</f>
      </c>
      <c r="H16156">
        <f>IF(DATOS!$G16156&lt;&gt;"EX",0,--(COUNTIFS(nNIA,DATOS!$A16156,nCURSO,DATOS!$D16156,nESPEC,DATOS!$E16156,nASIG,DATOS!$I16156,nEVAL,"OR")=0))</f>
      </c>
      <c r="I16156">
        <f>IF(DATOS!$I16156="","",IFERROR(VLOOKUP(DATOS!$I16156,CONFIG_ASIGNATURAS!$B$2:$J$91,9,FALSE()),""))</f>
      </c>
    </row>
    <row r="16157">
      <c r="F16157">
        <f>IF(DATOS!$A16157="","",DATOS!$A16157&amp;"|"&amp;DATOS!$D16157&amp;"|"&amp;DATOS!$E16157&amp;"|"&amp;DATOS!$I16157)</f>
      </c>
      <c r="G16157">
        <f>IF(DATOS!$A16157="",0,IF(CONFIG_METADATA!$B$4&lt;&gt;"OR+EX",--(DATOS!$G16157=CONFIG_METADATA!$B$4),IF(DATOS!$G16157="EX",1,IF(DATOS!$G16157="OR",--(COUNTIFS(nNIA,DATOS!$A16157,nCURSO,DATOS!$D16157,nESPEC,DATOS!$E16157,nASIG,DATOS!$I16157,nEVAL,"EX")=0),0))))</f>
      </c>
      <c r="H16157">
        <f>IF(DATOS!$G16157&lt;&gt;"EX",0,--(COUNTIFS(nNIA,DATOS!$A16157,nCURSO,DATOS!$D16157,nESPEC,DATOS!$E16157,nASIG,DATOS!$I16157,nEVAL,"OR")=0))</f>
      </c>
      <c r="I16157">
        <f>IF(DATOS!$I16157="","",IFERROR(VLOOKUP(DATOS!$I16157,CONFIG_ASIGNATURAS!$B$2:$J$91,9,FALSE()),""))</f>
      </c>
    </row>
    <row r="16158">
      <c r="F16158">
        <f>IF(DATOS!$A16158="","",DATOS!$A16158&amp;"|"&amp;DATOS!$D16158&amp;"|"&amp;DATOS!$E16158&amp;"|"&amp;DATOS!$I16158)</f>
      </c>
      <c r="G16158">
        <f>IF(DATOS!$A16158="",0,IF(CONFIG_METADATA!$B$4&lt;&gt;"OR+EX",--(DATOS!$G16158=CONFIG_METADATA!$B$4),IF(DATOS!$G16158="EX",1,IF(DATOS!$G16158="OR",--(COUNTIFS(nNIA,DATOS!$A16158,nCURSO,DATOS!$D16158,nESPEC,DATOS!$E16158,nASIG,DATOS!$I16158,nEVAL,"EX")=0),0))))</f>
      </c>
      <c r="H16158">
        <f>IF(DATOS!$G16158&lt;&gt;"EX",0,--(COUNTIFS(nNIA,DATOS!$A16158,nCURSO,DATOS!$D16158,nESPEC,DATOS!$E16158,nASIG,DATOS!$I16158,nEVAL,"OR")=0))</f>
      </c>
      <c r="I16158">
        <f>IF(DATOS!$I16158="","",IFERROR(VLOOKUP(DATOS!$I16158,CONFIG_ASIGNATURAS!$B$2:$J$91,9,FALSE()),""))</f>
      </c>
    </row>
    <row r="16159">
      <c r="F16159">
        <f>IF(DATOS!$A16159="","",DATOS!$A16159&amp;"|"&amp;DATOS!$D16159&amp;"|"&amp;DATOS!$E16159&amp;"|"&amp;DATOS!$I16159)</f>
      </c>
      <c r="G16159">
        <f>IF(DATOS!$A16159="",0,IF(CONFIG_METADATA!$B$4&lt;&gt;"OR+EX",--(DATOS!$G16159=CONFIG_METADATA!$B$4),IF(DATOS!$G16159="EX",1,IF(DATOS!$G16159="OR",--(COUNTIFS(nNIA,DATOS!$A16159,nCURSO,DATOS!$D16159,nESPEC,DATOS!$E16159,nASIG,DATOS!$I16159,nEVAL,"EX")=0),0))))</f>
      </c>
      <c r="H16159">
        <f>IF(DATOS!$G16159&lt;&gt;"EX",0,--(COUNTIFS(nNIA,DATOS!$A16159,nCURSO,DATOS!$D16159,nESPEC,DATOS!$E16159,nASIG,DATOS!$I16159,nEVAL,"OR")=0))</f>
      </c>
      <c r="I16159">
        <f>IF(DATOS!$I16159="","",IFERROR(VLOOKUP(DATOS!$I16159,CONFIG_ASIGNATURAS!$B$2:$J$91,9,FALSE()),""))</f>
      </c>
    </row>
    <row r="16160">
      <c r="F16160">
        <f>IF(DATOS!$A16160="","",DATOS!$A16160&amp;"|"&amp;DATOS!$D16160&amp;"|"&amp;DATOS!$E16160&amp;"|"&amp;DATOS!$I16160)</f>
      </c>
      <c r="G16160">
        <f>IF(DATOS!$A16160="",0,IF(CONFIG_METADATA!$B$4&lt;&gt;"OR+EX",--(DATOS!$G16160=CONFIG_METADATA!$B$4),IF(DATOS!$G16160="EX",1,IF(DATOS!$G16160="OR",--(COUNTIFS(nNIA,DATOS!$A16160,nCURSO,DATOS!$D16160,nESPEC,DATOS!$E16160,nASIG,DATOS!$I16160,nEVAL,"EX")=0),0))))</f>
      </c>
      <c r="H16160">
        <f>IF(DATOS!$G16160&lt;&gt;"EX",0,--(COUNTIFS(nNIA,DATOS!$A16160,nCURSO,DATOS!$D16160,nESPEC,DATOS!$E16160,nASIG,DATOS!$I16160,nEVAL,"OR")=0))</f>
      </c>
      <c r="I16160">
        <f>IF(DATOS!$I16160="","",IFERROR(VLOOKUP(DATOS!$I16160,CONFIG_ASIGNATURAS!$B$2:$J$91,9,FALSE()),""))</f>
      </c>
    </row>
    <row r="16161">
      <c r="F16161">
        <f>IF(DATOS!$A16161="","",DATOS!$A16161&amp;"|"&amp;DATOS!$D16161&amp;"|"&amp;DATOS!$E16161&amp;"|"&amp;DATOS!$I16161)</f>
      </c>
      <c r="G16161">
        <f>IF(DATOS!$A16161="",0,IF(CONFIG_METADATA!$B$4&lt;&gt;"OR+EX",--(DATOS!$G16161=CONFIG_METADATA!$B$4),IF(DATOS!$G16161="EX",1,IF(DATOS!$G16161="OR",--(COUNTIFS(nNIA,DATOS!$A16161,nCURSO,DATOS!$D16161,nESPEC,DATOS!$E16161,nASIG,DATOS!$I16161,nEVAL,"EX")=0),0))))</f>
      </c>
      <c r="H16161">
        <f>IF(DATOS!$G16161&lt;&gt;"EX",0,--(COUNTIFS(nNIA,DATOS!$A16161,nCURSO,DATOS!$D16161,nESPEC,DATOS!$E16161,nASIG,DATOS!$I16161,nEVAL,"OR")=0))</f>
      </c>
      <c r="I16161">
        <f>IF(DATOS!$I16161="","",IFERROR(VLOOKUP(DATOS!$I16161,CONFIG_ASIGNATURAS!$B$2:$J$91,9,FALSE()),""))</f>
      </c>
    </row>
    <row r="16162">
      <c r="F16162">
        <f>IF(DATOS!$A16162="","",DATOS!$A16162&amp;"|"&amp;DATOS!$D16162&amp;"|"&amp;DATOS!$E16162&amp;"|"&amp;DATOS!$I16162)</f>
      </c>
      <c r="G16162">
        <f>IF(DATOS!$A16162="",0,IF(CONFIG_METADATA!$B$4&lt;&gt;"OR+EX",--(DATOS!$G16162=CONFIG_METADATA!$B$4),IF(DATOS!$G16162="EX",1,IF(DATOS!$G16162="OR",--(COUNTIFS(nNIA,DATOS!$A16162,nCURSO,DATOS!$D16162,nESPEC,DATOS!$E16162,nASIG,DATOS!$I16162,nEVAL,"EX")=0),0))))</f>
      </c>
      <c r="H16162">
        <f>IF(DATOS!$G16162&lt;&gt;"EX",0,--(COUNTIFS(nNIA,DATOS!$A16162,nCURSO,DATOS!$D16162,nESPEC,DATOS!$E16162,nASIG,DATOS!$I16162,nEVAL,"OR")=0))</f>
      </c>
      <c r="I16162">
        <f>IF(DATOS!$I16162="","",IFERROR(VLOOKUP(DATOS!$I16162,CONFIG_ASIGNATURAS!$B$2:$J$91,9,FALSE()),""))</f>
      </c>
    </row>
    <row r="16163">
      <c r="F16163">
        <f>IF(DATOS!$A16163="","",DATOS!$A16163&amp;"|"&amp;DATOS!$D16163&amp;"|"&amp;DATOS!$E16163&amp;"|"&amp;DATOS!$I16163)</f>
      </c>
      <c r="G16163">
        <f>IF(DATOS!$A16163="",0,IF(CONFIG_METADATA!$B$4&lt;&gt;"OR+EX",--(DATOS!$G16163=CONFIG_METADATA!$B$4),IF(DATOS!$G16163="EX",1,IF(DATOS!$G16163="OR",--(COUNTIFS(nNIA,DATOS!$A16163,nCURSO,DATOS!$D16163,nESPEC,DATOS!$E16163,nASIG,DATOS!$I16163,nEVAL,"EX")=0),0))))</f>
      </c>
      <c r="H16163">
        <f>IF(DATOS!$G16163&lt;&gt;"EX",0,--(COUNTIFS(nNIA,DATOS!$A16163,nCURSO,DATOS!$D16163,nESPEC,DATOS!$E16163,nASIG,DATOS!$I16163,nEVAL,"OR")=0))</f>
      </c>
      <c r="I16163">
        <f>IF(DATOS!$I16163="","",IFERROR(VLOOKUP(DATOS!$I16163,CONFIG_ASIGNATURAS!$B$2:$J$91,9,FALSE()),""))</f>
      </c>
    </row>
    <row r="16164">
      <c r="F16164">
        <f>IF(DATOS!$A16164="","",DATOS!$A16164&amp;"|"&amp;DATOS!$D16164&amp;"|"&amp;DATOS!$E16164&amp;"|"&amp;DATOS!$I16164)</f>
      </c>
      <c r="G16164">
        <f>IF(DATOS!$A16164="",0,IF(CONFIG_METADATA!$B$4&lt;&gt;"OR+EX",--(DATOS!$G16164=CONFIG_METADATA!$B$4),IF(DATOS!$G16164="EX",1,IF(DATOS!$G16164="OR",--(COUNTIFS(nNIA,DATOS!$A16164,nCURSO,DATOS!$D16164,nESPEC,DATOS!$E16164,nASIG,DATOS!$I16164,nEVAL,"EX")=0),0))))</f>
      </c>
      <c r="H16164">
        <f>IF(DATOS!$G16164&lt;&gt;"EX",0,--(COUNTIFS(nNIA,DATOS!$A16164,nCURSO,DATOS!$D16164,nESPEC,DATOS!$E16164,nASIG,DATOS!$I16164,nEVAL,"OR")=0))</f>
      </c>
      <c r="I16164">
        <f>IF(DATOS!$I16164="","",IFERROR(VLOOKUP(DATOS!$I16164,CONFIG_ASIGNATURAS!$B$2:$J$91,9,FALSE()),""))</f>
      </c>
    </row>
    <row r="16165">
      <c r="F16165">
        <f>IF(DATOS!$A16165="","",DATOS!$A16165&amp;"|"&amp;DATOS!$D16165&amp;"|"&amp;DATOS!$E16165&amp;"|"&amp;DATOS!$I16165)</f>
      </c>
      <c r="G16165">
        <f>IF(DATOS!$A16165="",0,IF(CONFIG_METADATA!$B$4&lt;&gt;"OR+EX",--(DATOS!$G16165=CONFIG_METADATA!$B$4),IF(DATOS!$G16165="EX",1,IF(DATOS!$G16165="OR",--(COUNTIFS(nNIA,DATOS!$A16165,nCURSO,DATOS!$D16165,nESPEC,DATOS!$E16165,nASIG,DATOS!$I16165,nEVAL,"EX")=0),0))))</f>
      </c>
      <c r="H16165">
        <f>IF(DATOS!$G16165&lt;&gt;"EX",0,--(COUNTIFS(nNIA,DATOS!$A16165,nCURSO,DATOS!$D16165,nESPEC,DATOS!$E16165,nASIG,DATOS!$I16165,nEVAL,"OR")=0))</f>
      </c>
      <c r="I16165">
        <f>IF(DATOS!$I16165="","",IFERROR(VLOOKUP(DATOS!$I16165,CONFIG_ASIGNATURAS!$B$2:$J$91,9,FALSE()),""))</f>
      </c>
    </row>
    <row r="16166">
      <c r="F16166">
        <f>IF(DATOS!$A16166="","",DATOS!$A16166&amp;"|"&amp;DATOS!$D16166&amp;"|"&amp;DATOS!$E16166&amp;"|"&amp;DATOS!$I16166)</f>
      </c>
      <c r="G16166">
        <f>IF(DATOS!$A16166="",0,IF(CONFIG_METADATA!$B$4&lt;&gt;"OR+EX",--(DATOS!$G16166=CONFIG_METADATA!$B$4),IF(DATOS!$G16166="EX",1,IF(DATOS!$G16166="OR",--(COUNTIFS(nNIA,DATOS!$A16166,nCURSO,DATOS!$D16166,nESPEC,DATOS!$E16166,nASIG,DATOS!$I16166,nEVAL,"EX")=0),0))))</f>
      </c>
      <c r="H16166">
        <f>IF(DATOS!$G16166&lt;&gt;"EX",0,--(COUNTIFS(nNIA,DATOS!$A16166,nCURSO,DATOS!$D16166,nESPEC,DATOS!$E16166,nASIG,DATOS!$I16166,nEVAL,"OR")=0))</f>
      </c>
      <c r="I16166">
        <f>IF(DATOS!$I16166="","",IFERROR(VLOOKUP(DATOS!$I16166,CONFIG_ASIGNATURAS!$B$2:$J$91,9,FALSE()),""))</f>
      </c>
    </row>
    <row r="16167">
      <c r="F16167">
        <f>IF(DATOS!$A16167="","",DATOS!$A16167&amp;"|"&amp;DATOS!$D16167&amp;"|"&amp;DATOS!$E16167&amp;"|"&amp;DATOS!$I16167)</f>
      </c>
      <c r="G16167">
        <f>IF(DATOS!$A16167="",0,IF(CONFIG_METADATA!$B$4&lt;&gt;"OR+EX",--(DATOS!$G16167=CONFIG_METADATA!$B$4),IF(DATOS!$G16167="EX",1,IF(DATOS!$G16167="OR",--(COUNTIFS(nNIA,DATOS!$A16167,nCURSO,DATOS!$D16167,nESPEC,DATOS!$E16167,nASIG,DATOS!$I16167,nEVAL,"EX")=0),0))))</f>
      </c>
      <c r="H16167">
        <f>IF(DATOS!$G16167&lt;&gt;"EX",0,--(COUNTIFS(nNIA,DATOS!$A16167,nCURSO,DATOS!$D16167,nESPEC,DATOS!$E16167,nASIG,DATOS!$I16167,nEVAL,"OR")=0))</f>
      </c>
      <c r="I16167">
        <f>IF(DATOS!$I16167="","",IFERROR(VLOOKUP(DATOS!$I16167,CONFIG_ASIGNATURAS!$B$2:$J$91,9,FALSE()),""))</f>
      </c>
    </row>
    <row r="16168">
      <c r="F16168">
        <f>IF(DATOS!$A16168="","",DATOS!$A16168&amp;"|"&amp;DATOS!$D16168&amp;"|"&amp;DATOS!$E16168&amp;"|"&amp;DATOS!$I16168)</f>
      </c>
      <c r="G16168">
        <f>IF(DATOS!$A16168="",0,IF(CONFIG_METADATA!$B$4&lt;&gt;"OR+EX",--(DATOS!$G16168=CONFIG_METADATA!$B$4),IF(DATOS!$G16168="EX",1,IF(DATOS!$G16168="OR",--(COUNTIFS(nNIA,DATOS!$A16168,nCURSO,DATOS!$D16168,nESPEC,DATOS!$E16168,nASIG,DATOS!$I16168,nEVAL,"EX")=0),0))))</f>
      </c>
      <c r="H16168">
        <f>IF(DATOS!$G16168&lt;&gt;"EX",0,--(COUNTIFS(nNIA,DATOS!$A16168,nCURSO,DATOS!$D16168,nESPEC,DATOS!$E16168,nASIG,DATOS!$I16168,nEVAL,"OR")=0))</f>
      </c>
      <c r="I16168">
        <f>IF(DATOS!$I16168="","",IFERROR(VLOOKUP(DATOS!$I16168,CONFIG_ASIGNATURAS!$B$2:$J$91,9,FALSE()),""))</f>
      </c>
    </row>
    <row r="16169">
      <c r="F16169">
        <f>IF(DATOS!$A16169="","",DATOS!$A16169&amp;"|"&amp;DATOS!$D16169&amp;"|"&amp;DATOS!$E16169&amp;"|"&amp;DATOS!$I16169)</f>
      </c>
      <c r="G16169">
        <f>IF(DATOS!$A16169="",0,IF(CONFIG_METADATA!$B$4&lt;&gt;"OR+EX",--(DATOS!$G16169=CONFIG_METADATA!$B$4),IF(DATOS!$G16169="EX",1,IF(DATOS!$G16169="OR",--(COUNTIFS(nNIA,DATOS!$A16169,nCURSO,DATOS!$D16169,nESPEC,DATOS!$E16169,nASIG,DATOS!$I16169,nEVAL,"EX")=0),0))))</f>
      </c>
      <c r="H16169">
        <f>IF(DATOS!$G16169&lt;&gt;"EX",0,--(COUNTIFS(nNIA,DATOS!$A16169,nCURSO,DATOS!$D16169,nESPEC,DATOS!$E16169,nASIG,DATOS!$I16169,nEVAL,"OR")=0))</f>
      </c>
      <c r="I16169">
        <f>IF(DATOS!$I16169="","",IFERROR(VLOOKUP(DATOS!$I16169,CONFIG_ASIGNATURAS!$B$2:$J$91,9,FALSE()),""))</f>
      </c>
    </row>
    <row r="16170">
      <c r="F16170">
        <f>IF(DATOS!$A16170="","",DATOS!$A16170&amp;"|"&amp;DATOS!$D16170&amp;"|"&amp;DATOS!$E16170&amp;"|"&amp;DATOS!$I16170)</f>
      </c>
      <c r="G16170">
        <f>IF(DATOS!$A16170="",0,IF(CONFIG_METADATA!$B$4&lt;&gt;"OR+EX",--(DATOS!$G16170=CONFIG_METADATA!$B$4),IF(DATOS!$G16170="EX",1,IF(DATOS!$G16170="OR",--(COUNTIFS(nNIA,DATOS!$A16170,nCURSO,DATOS!$D16170,nESPEC,DATOS!$E16170,nASIG,DATOS!$I16170,nEVAL,"EX")=0),0))))</f>
      </c>
      <c r="H16170">
        <f>IF(DATOS!$G16170&lt;&gt;"EX",0,--(COUNTIFS(nNIA,DATOS!$A16170,nCURSO,DATOS!$D16170,nESPEC,DATOS!$E16170,nASIG,DATOS!$I16170,nEVAL,"OR")=0))</f>
      </c>
      <c r="I16170">
        <f>IF(DATOS!$I16170="","",IFERROR(VLOOKUP(DATOS!$I16170,CONFIG_ASIGNATURAS!$B$2:$J$91,9,FALSE()),""))</f>
      </c>
    </row>
    <row r="16171">
      <c r="F16171">
        <f>IF(DATOS!$A16171="","",DATOS!$A16171&amp;"|"&amp;DATOS!$D16171&amp;"|"&amp;DATOS!$E16171&amp;"|"&amp;DATOS!$I16171)</f>
      </c>
      <c r="G16171">
        <f>IF(DATOS!$A16171="",0,IF(CONFIG_METADATA!$B$4&lt;&gt;"OR+EX",--(DATOS!$G16171=CONFIG_METADATA!$B$4),IF(DATOS!$G16171="EX",1,IF(DATOS!$G16171="OR",--(COUNTIFS(nNIA,DATOS!$A16171,nCURSO,DATOS!$D16171,nESPEC,DATOS!$E16171,nASIG,DATOS!$I16171,nEVAL,"EX")=0),0))))</f>
      </c>
      <c r="H16171">
        <f>IF(DATOS!$G16171&lt;&gt;"EX",0,--(COUNTIFS(nNIA,DATOS!$A16171,nCURSO,DATOS!$D16171,nESPEC,DATOS!$E16171,nASIG,DATOS!$I16171,nEVAL,"OR")=0))</f>
      </c>
      <c r="I16171">
        <f>IF(DATOS!$I16171="","",IFERROR(VLOOKUP(DATOS!$I16171,CONFIG_ASIGNATURAS!$B$2:$J$91,9,FALSE()),""))</f>
      </c>
    </row>
    <row r="16172">
      <c r="F16172">
        <f>IF(DATOS!$A16172="","",DATOS!$A16172&amp;"|"&amp;DATOS!$D16172&amp;"|"&amp;DATOS!$E16172&amp;"|"&amp;DATOS!$I16172)</f>
      </c>
      <c r="G16172">
        <f>IF(DATOS!$A16172="",0,IF(CONFIG_METADATA!$B$4&lt;&gt;"OR+EX",--(DATOS!$G16172=CONFIG_METADATA!$B$4),IF(DATOS!$G16172="EX",1,IF(DATOS!$G16172="OR",--(COUNTIFS(nNIA,DATOS!$A16172,nCURSO,DATOS!$D16172,nESPEC,DATOS!$E16172,nASIG,DATOS!$I16172,nEVAL,"EX")=0),0))))</f>
      </c>
      <c r="H16172">
        <f>IF(DATOS!$G16172&lt;&gt;"EX",0,--(COUNTIFS(nNIA,DATOS!$A16172,nCURSO,DATOS!$D16172,nESPEC,DATOS!$E16172,nASIG,DATOS!$I16172,nEVAL,"OR")=0))</f>
      </c>
      <c r="I16172">
        <f>IF(DATOS!$I16172="","",IFERROR(VLOOKUP(DATOS!$I16172,CONFIG_ASIGNATURAS!$B$2:$J$91,9,FALSE()),""))</f>
      </c>
    </row>
    <row r="16173">
      <c r="F16173">
        <f>IF(DATOS!$A16173="","",DATOS!$A16173&amp;"|"&amp;DATOS!$D16173&amp;"|"&amp;DATOS!$E16173&amp;"|"&amp;DATOS!$I16173)</f>
      </c>
      <c r="G16173">
        <f>IF(DATOS!$A16173="",0,IF(CONFIG_METADATA!$B$4&lt;&gt;"OR+EX",--(DATOS!$G16173=CONFIG_METADATA!$B$4),IF(DATOS!$G16173="EX",1,IF(DATOS!$G16173="OR",--(COUNTIFS(nNIA,DATOS!$A16173,nCURSO,DATOS!$D16173,nESPEC,DATOS!$E16173,nASIG,DATOS!$I16173,nEVAL,"EX")=0),0))))</f>
      </c>
      <c r="H16173">
        <f>IF(DATOS!$G16173&lt;&gt;"EX",0,--(COUNTIFS(nNIA,DATOS!$A16173,nCURSO,DATOS!$D16173,nESPEC,DATOS!$E16173,nASIG,DATOS!$I16173,nEVAL,"OR")=0))</f>
      </c>
      <c r="I16173">
        <f>IF(DATOS!$I16173="","",IFERROR(VLOOKUP(DATOS!$I16173,CONFIG_ASIGNATURAS!$B$2:$J$91,9,FALSE()),""))</f>
      </c>
    </row>
    <row r="16174">
      <c r="F16174">
        <f>IF(DATOS!$A16174="","",DATOS!$A16174&amp;"|"&amp;DATOS!$D16174&amp;"|"&amp;DATOS!$E16174&amp;"|"&amp;DATOS!$I16174)</f>
      </c>
      <c r="G16174">
        <f>IF(DATOS!$A16174="",0,IF(CONFIG_METADATA!$B$4&lt;&gt;"OR+EX",--(DATOS!$G16174=CONFIG_METADATA!$B$4),IF(DATOS!$G16174="EX",1,IF(DATOS!$G16174="OR",--(COUNTIFS(nNIA,DATOS!$A16174,nCURSO,DATOS!$D16174,nESPEC,DATOS!$E16174,nASIG,DATOS!$I16174,nEVAL,"EX")=0),0))))</f>
      </c>
      <c r="H16174">
        <f>IF(DATOS!$G16174&lt;&gt;"EX",0,--(COUNTIFS(nNIA,DATOS!$A16174,nCURSO,DATOS!$D16174,nESPEC,DATOS!$E16174,nASIG,DATOS!$I16174,nEVAL,"OR")=0))</f>
      </c>
      <c r="I16174">
        <f>IF(DATOS!$I16174="","",IFERROR(VLOOKUP(DATOS!$I16174,CONFIG_ASIGNATURAS!$B$2:$J$91,9,FALSE()),""))</f>
      </c>
    </row>
    <row r="16175">
      <c r="F16175">
        <f>IF(DATOS!$A16175="","",DATOS!$A16175&amp;"|"&amp;DATOS!$D16175&amp;"|"&amp;DATOS!$E16175&amp;"|"&amp;DATOS!$I16175)</f>
      </c>
      <c r="G16175">
        <f>IF(DATOS!$A16175="",0,IF(CONFIG_METADATA!$B$4&lt;&gt;"OR+EX",--(DATOS!$G16175=CONFIG_METADATA!$B$4),IF(DATOS!$G16175="EX",1,IF(DATOS!$G16175="OR",--(COUNTIFS(nNIA,DATOS!$A16175,nCURSO,DATOS!$D16175,nESPEC,DATOS!$E16175,nASIG,DATOS!$I16175,nEVAL,"EX")=0),0))))</f>
      </c>
      <c r="H16175">
        <f>IF(DATOS!$G16175&lt;&gt;"EX",0,--(COUNTIFS(nNIA,DATOS!$A16175,nCURSO,DATOS!$D16175,nESPEC,DATOS!$E16175,nASIG,DATOS!$I16175,nEVAL,"OR")=0))</f>
      </c>
      <c r="I16175">
        <f>IF(DATOS!$I16175="","",IFERROR(VLOOKUP(DATOS!$I16175,CONFIG_ASIGNATURAS!$B$2:$J$91,9,FALSE()),""))</f>
      </c>
    </row>
    <row r="16176">
      <c r="F16176">
        <f>IF(DATOS!$A16176="","",DATOS!$A16176&amp;"|"&amp;DATOS!$D16176&amp;"|"&amp;DATOS!$E16176&amp;"|"&amp;DATOS!$I16176)</f>
      </c>
      <c r="G16176">
        <f>IF(DATOS!$A16176="",0,IF(CONFIG_METADATA!$B$4&lt;&gt;"OR+EX",--(DATOS!$G16176=CONFIG_METADATA!$B$4),IF(DATOS!$G16176="EX",1,IF(DATOS!$G16176="OR",--(COUNTIFS(nNIA,DATOS!$A16176,nCURSO,DATOS!$D16176,nESPEC,DATOS!$E16176,nASIG,DATOS!$I16176,nEVAL,"EX")=0),0))))</f>
      </c>
      <c r="H16176">
        <f>IF(DATOS!$G16176&lt;&gt;"EX",0,--(COUNTIFS(nNIA,DATOS!$A16176,nCURSO,DATOS!$D16176,nESPEC,DATOS!$E16176,nASIG,DATOS!$I16176,nEVAL,"OR")=0))</f>
      </c>
      <c r="I16176">
        <f>IF(DATOS!$I16176="","",IFERROR(VLOOKUP(DATOS!$I16176,CONFIG_ASIGNATURAS!$B$2:$J$91,9,FALSE()),""))</f>
      </c>
    </row>
    <row r="16177">
      <c r="F16177">
        <f>IF(DATOS!$A16177="","",DATOS!$A16177&amp;"|"&amp;DATOS!$D16177&amp;"|"&amp;DATOS!$E16177&amp;"|"&amp;DATOS!$I16177)</f>
      </c>
      <c r="G16177">
        <f>IF(DATOS!$A16177="",0,IF(CONFIG_METADATA!$B$4&lt;&gt;"OR+EX",--(DATOS!$G16177=CONFIG_METADATA!$B$4),IF(DATOS!$G16177="EX",1,IF(DATOS!$G16177="OR",--(COUNTIFS(nNIA,DATOS!$A16177,nCURSO,DATOS!$D16177,nESPEC,DATOS!$E16177,nASIG,DATOS!$I16177,nEVAL,"EX")=0),0))))</f>
      </c>
      <c r="H16177">
        <f>IF(DATOS!$G16177&lt;&gt;"EX",0,--(COUNTIFS(nNIA,DATOS!$A16177,nCURSO,DATOS!$D16177,nESPEC,DATOS!$E16177,nASIG,DATOS!$I16177,nEVAL,"OR")=0))</f>
      </c>
      <c r="I16177">
        <f>IF(DATOS!$I16177="","",IFERROR(VLOOKUP(DATOS!$I16177,CONFIG_ASIGNATURAS!$B$2:$J$91,9,FALSE()),""))</f>
      </c>
    </row>
    <row r="16178">
      <c r="F16178">
        <f>IF(DATOS!$A16178="","",DATOS!$A16178&amp;"|"&amp;DATOS!$D16178&amp;"|"&amp;DATOS!$E16178&amp;"|"&amp;DATOS!$I16178)</f>
      </c>
      <c r="G16178">
        <f>IF(DATOS!$A16178="",0,IF(CONFIG_METADATA!$B$4&lt;&gt;"OR+EX",--(DATOS!$G16178=CONFIG_METADATA!$B$4),IF(DATOS!$G16178="EX",1,IF(DATOS!$G16178="OR",--(COUNTIFS(nNIA,DATOS!$A16178,nCURSO,DATOS!$D16178,nESPEC,DATOS!$E16178,nASIG,DATOS!$I16178,nEVAL,"EX")=0),0))))</f>
      </c>
      <c r="H16178">
        <f>IF(DATOS!$G16178&lt;&gt;"EX",0,--(COUNTIFS(nNIA,DATOS!$A16178,nCURSO,DATOS!$D16178,nESPEC,DATOS!$E16178,nASIG,DATOS!$I16178,nEVAL,"OR")=0))</f>
      </c>
      <c r="I16178">
        <f>IF(DATOS!$I16178="","",IFERROR(VLOOKUP(DATOS!$I16178,CONFIG_ASIGNATURAS!$B$2:$J$91,9,FALSE()),""))</f>
      </c>
    </row>
    <row r="16179">
      <c r="F16179">
        <f>IF(DATOS!$A16179="","",DATOS!$A16179&amp;"|"&amp;DATOS!$D16179&amp;"|"&amp;DATOS!$E16179&amp;"|"&amp;DATOS!$I16179)</f>
      </c>
      <c r="G16179">
        <f>IF(DATOS!$A16179="",0,IF(CONFIG_METADATA!$B$4&lt;&gt;"OR+EX",--(DATOS!$G16179=CONFIG_METADATA!$B$4),IF(DATOS!$G16179="EX",1,IF(DATOS!$G16179="OR",--(COUNTIFS(nNIA,DATOS!$A16179,nCURSO,DATOS!$D16179,nESPEC,DATOS!$E16179,nASIG,DATOS!$I16179,nEVAL,"EX")=0),0))))</f>
      </c>
      <c r="H16179">
        <f>IF(DATOS!$G16179&lt;&gt;"EX",0,--(COUNTIFS(nNIA,DATOS!$A16179,nCURSO,DATOS!$D16179,nESPEC,DATOS!$E16179,nASIG,DATOS!$I16179,nEVAL,"OR")=0))</f>
      </c>
      <c r="I16179">
        <f>IF(DATOS!$I16179="","",IFERROR(VLOOKUP(DATOS!$I16179,CONFIG_ASIGNATURAS!$B$2:$J$91,9,FALSE()),""))</f>
      </c>
    </row>
    <row r="16180">
      <c r="F16180">
        <f>IF(DATOS!$A16180="","",DATOS!$A16180&amp;"|"&amp;DATOS!$D16180&amp;"|"&amp;DATOS!$E16180&amp;"|"&amp;DATOS!$I16180)</f>
      </c>
      <c r="G16180">
        <f>IF(DATOS!$A16180="",0,IF(CONFIG_METADATA!$B$4&lt;&gt;"OR+EX",--(DATOS!$G16180=CONFIG_METADATA!$B$4),IF(DATOS!$G16180="EX",1,IF(DATOS!$G16180="OR",--(COUNTIFS(nNIA,DATOS!$A16180,nCURSO,DATOS!$D16180,nESPEC,DATOS!$E16180,nASIG,DATOS!$I16180,nEVAL,"EX")=0),0))))</f>
      </c>
      <c r="H16180">
        <f>IF(DATOS!$G16180&lt;&gt;"EX",0,--(COUNTIFS(nNIA,DATOS!$A16180,nCURSO,DATOS!$D16180,nESPEC,DATOS!$E16180,nASIG,DATOS!$I16180,nEVAL,"OR")=0))</f>
      </c>
      <c r="I16180">
        <f>IF(DATOS!$I16180="","",IFERROR(VLOOKUP(DATOS!$I16180,CONFIG_ASIGNATURAS!$B$2:$J$91,9,FALSE()),""))</f>
      </c>
    </row>
    <row r="16181">
      <c r="F16181">
        <f>IF(DATOS!$A16181="","",DATOS!$A16181&amp;"|"&amp;DATOS!$D16181&amp;"|"&amp;DATOS!$E16181&amp;"|"&amp;DATOS!$I16181)</f>
      </c>
      <c r="G16181">
        <f>IF(DATOS!$A16181="",0,IF(CONFIG_METADATA!$B$4&lt;&gt;"OR+EX",--(DATOS!$G16181=CONFIG_METADATA!$B$4),IF(DATOS!$G16181="EX",1,IF(DATOS!$G16181="OR",--(COUNTIFS(nNIA,DATOS!$A16181,nCURSO,DATOS!$D16181,nESPEC,DATOS!$E16181,nASIG,DATOS!$I16181,nEVAL,"EX")=0),0))))</f>
      </c>
      <c r="H16181">
        <f>IF(DATOS!$G16181&lt;&gt;"EX",0,--(COUNTIFS(nNIA,DATOS!$A16181,nCURSO,DATOS!$D16181,nESPEC,DATOS!$E16181,nASIG,DATOS!$I16181,nEVAL,"OR")=0))</f>
      </c>
      <c r="I16181">
        <f>IF(DATOS!$I16181="","",IFERROR(VLOOKUP(DATOS!$I16181,CONFIG_ASIGNATURAS!$B$2:$J$91,9,FALSE()),""))</f>
      </c>
    </row>
    <row r="16182">
      <c r="F16182">
        <f>IF(DATOS!$A16182="","",DATOS!$A16182&amp;"|"&amp;DATOS!$D16182&amp;"|"&amp;DATOS!$E16182&amp;"|"&amp;DATOS!$I16182)</f>
      </c>
      <c r="G16182">
        <f>IF(DATOS!$A16182="",0,IF(CONFIG_METADATA!$B$4&lt;&gt;"OR+EX",--(DATOS!$G16182=CONFIG_METADATA!$B$4),IF(DATOS!$G16182="EX",1,IF(DATOS!$G16182="OR",--(COUNTIFS(nNIA,DATOS!$A16182,nCURSO,DATOS!$D16182,nESPEC,DATOS!$E16182,nASIG,DATOS!$I16182,nEVAL,"EX")=0),0))))</f>
      </c>
      <c r="H16182">
        <f>IF(DATOS!$G16182&lt;&gt;"EX",0,--(COUNTIFS(nNIA,DATOS!$A16182,nCURSO,DATOS!$D16182,nESPEC,DATOS!$E16182,nASIG,DATOS!$I16182,nEVAL,"OR")=0))</f>
      </c>
      <c r="I16182">
        <f>IF(DATOS!$I16182="","",IFERROR(VLOOKUP(DATOS!$I16182,CONFIG_ASIGNATURAS!$B$2:$J$91,9,FALSE()),""))</f>
      </c>
    </row>
    <row r="16183">
      <c r="F16183">
        <f>IF(DATOS!$A16183="","",DATOS!$A16183&amp;"|"&amp;DATOS!$D16183&amp;"|"&amp;DATOS!$E16183&amp;"|"&amp;DATOS!$I16183)</f>
      </c>
      <c r="G16183">
        <f>IF(DATOS!$A16183="",0,IF(CONFIG_METADATA!$B$4&lt;&gt;"OR+EX",--(DATOS!$G16183=CONFIG_METADATA!$B$4),IF(DATOS!$G16183="EX",1,IF(DATOS!$G16183="OR",--(COUNTIFS(nNIA,DATOS!$A16183,nCURSO,DATOS!$D16183,nESPEC,DATOS!$E16183,nASIG,DATOS!$I16183,nEVAL,"EX")=0),0))))</f>
      </c>
      <c r="H16183">
        <f>IF(DATOS!$G16183&lt;&gt;"EX",0,--(COUNTIFS(nNIA,DATOS!$A16183,nCURSO,DATOS!$D16183,nESPEC,DATOS!$E16183,nASIG,DATOS!$I16183,nEVAL,"OR")=0))</f>
      </c>
      <c r="I16183">
        <f>IF(DATOS!$I16183="","",IFERROR(VLOOKUP(DATOS!$I16183,CONFIG_ASIGNATURAS!$B$2:$J$91,9,FALSE()),""))</f>
      </c>
    </row>
    <row r="16184">
      <c r="F16184">
        <f>IF(DATOS!$A16184="","",DATOS!$A16184&amp;"|"&amp;DATOS!$D16184&amp;"|"&amp;DATOS!$E16184&amp;"|"&amp;DATOS!$I16184)</f>
      </c>
      <c r="G16184">
        <f>IF(DATOS!$A16184="",0,IF(CONFIG_METADATA!$B$4&lt;&gt;"OR+EX",--(DATOS!$G16184=CONFIG_METADATA!$B$4),IF(DATOS!$G16184="EX",1,IF(DATOS!$G16184="OR",--(COUNTIFS(nNIA,DATOS!$A16184,nCURSO,DATOS!$D16184,nESPEC,DATOS!$E16184,nASIG,DATOS!$I16184,nEVAL,"EX")=0),0))))</f>
      </c>
      <c r="H16184">
        <f>IF(DATOS!$G16184&lt;&gt;"EX",0,--(COUNTIFS(nNIA,DATOS!$A16184,nCURSO,DATOS!$D16184,nESPEC,DATOS!$E16184,nASIG,DATOS!$I16184,nEVAL,"OR")=0))</f>
      </c>
      <c r="I16184">
        <f>IF(DATOS!$I16184="","",IFERROR(VLOOKUP(DATOS!$I16184,CONFIG_ASIGNATURAS!$B$2:$J$91,9,FALSE()),""))</f>
      </c>
    </row>
    <row r="16185">
      <c r="F16185">
        <f>IF(DATOS!$A16185="","",DATOS!$A16185&amp;"|"&amp;DATOS!$D16185&amp;"|"&amp;DATOS!$E16185&amp;"|"&amp;DATOS!$I16185)</f>
      </c>
      <c r="G16185">
        <f>IF(DATOS!$A16185="",0,IF(CONFIG_METADATA!$B$4&lt;&gt;"OR+EX",--(DATOS!$G16185=CONFIG_METADATA!$B$4),IF(DATOS!$G16185="EX",1,IF(DATOS!$G16185="OR",--(COUNTIFS(nNIA,DATOS!$A16185,nCURSO,DATOS!$D16185,nESPEC,DATOS!$E16185,nASIG,DATOS!$I16185,nEVAL,"EX")=0),0))))</f>
      </c>
      <c r="H16185">
        <f>IF(DATOS!$G16185&lt;&gt;"EX",0,--(COUNTIFS(nNIA,DATOS!$A16185,nCURSO,DATOS!$D16185,nESPEC,DATOS!$E16185,nASIG,DATOS!$I16185,nEVAL,"OR")=0))</f>
      </c>
      <c r="I16185">
        <f>IF(DATOS!$I16185="","",IFERROR(VLOOKUP(DATOS!$I16185,CONFIG_ASIGNATURAS!$B$2:$J$91,9,FALSE()),""))</f>
      </c>
    </row>
    <row r="16186">
      <c r="F16186">
        <f>IF(DATOS!$A16186="","",DATOS!$A16186&amp;"|"&amp;DATOS!$D16186&amp;"|"&amp;DATOS!$E16186&amp;"|"&amp;DATOS!$I16186)</f>
      </c>
      <c r="G16186">
        <f>IF(DATOS!$A16186="",0,IF(CONFIG_METADATA!$B$4&lt;&gt;"OR+EX",--(DATOS!$G16186=CONFIG_METADATA!$B$4),IF(DATOS!$G16186="EX",1,IF(DATOS!$G16186="OR",--(COUNTIFS(nNIA,DATOS!$A16186,nCURSO,DATOS!$D16186,nESPEC,DATOS!$E16186,nASIG,DATOS!$I16186,nEVAL,"EX")=0),0))))</f>
      </c>
      <c r="H16186">
        <f>IF(DATOS!$G16186&lt;&gt;"EX",0,--(COUNTIFS(nNIA,DATOS!$A16186,nCURSO,DATOS!$D16186,nESPEC,DATOS!$E16186,nASIG,DATOS!$I16186,nEVAL,"OR")=0))</f>
      </c>
      <c r="I16186">
        <f>IF(DATOS!$I16186="","",IFERROR(VLOOKUP(DATOS!$I16186,CONFIG_ASIGNATURAS!$B$2:$J$91,9,FALSE()),""))</f>
      </c>
    </row>
    <row r="16187">
      <c r="F16187">
        <f>IF(DATOS!$A16187="","",DATOS!$A16187&amp;"|"&amp;DATOS!$D16187&amp;"|"&amp;DATOS!$E16187&amp;"|"&amp;DATOS!$I16187)</f>
      </c>
      <c r="G16187">
        <f>IF(DATOS!$A16187="",0,IF(CONFIG_METADATA!$B$4&lt;&gt;"OR+EX",--(DATOS!$G16187=CONFIG_METADATA!$B$4),IF(DATOS!$G16187="EX",1,IF(DATOS!$G16187="OR",--(COUNTIFS(nNIA,DATOS!$A16187,nCURSO,DATOS!$D16187,nESPEC,DATOS!$E16187,nASIG,DATOS!$I16187,nEVAL,"EX")=0),0))))</f>
      </c>
      <c r="H16187">
        <f>IF(DATOS!$G16187&lt;&gt;"EX",0,--(COUNTIFS(nNIA,DATOS!$A16187,nCURSO,DATOS!$D16187,nESPEC,DATOS!$E16187,nASIG,DATOS!$I16187,nEVAL,"OR")=0))</f>
      </c>
      <c r="I16187">
        <f>IF(DATOS!$I16187="","",IFERROR(VLOOKUP(DATOS!$I16187,CONFIG_ASIGNATURAS!$B$2:$J$91,9,FALSE()),""))</f>
      </c>
    </row>
    <row r="16188">
      <c r="F16188">
        <f>IF(DATOS!$A16188="","",DATOS!$A16188&amp;"|"&amp;DATOS!$D16188&amp;"|"&amp;DATOS!$E16188&amp;"|"&amp;DATOS!$I16188)</f>
      </c>
      <c r="G16188">
        <f>IF(DATOS!$A16188="",0,IF(CONFIG_METADATA!$B$4&lt;&gt;"OR+EX",--(DATOS!$G16188=CONFIG_METADATA!$B$4),IF(DATOS!$G16188="EX",1,IF(DATOS!$G16188="OR",--(COUNTIFS(nNIA,DATOS!$A16188,nCURSO,DATOS!$D16188,nESPEC,DATOS!$E16188,nASIG,DATOS!$I16188,nEVAL,"EX")=0),0))))</f>
      </c>
      <c r="H16188">
        <f>IF(DATOS!$G16188&lt;&gt;"EX",0,--(COUNTIFS(nNIA,DATOS!$A16188,nCURSO,DATOS!$D16188,nESPEC,DATOS!$E16188,nASIG,DATOS!$I16188,nEVAL,"OR")=0))</f>
      </c>
      <c r="I16188">
        <f>IF(DATOS!$I16188="","",IFERROR(VLOOKUP(DATOS!$I16188,CONFIG_ASIGNATURAS!$B$2:$J$91,9,FALSE()),""))</f>
      </c>
    </row>
    <row r="16189">
      <c r="F16189">
        <f>IF(DATOS!$A16189="","",DATOS!$A16189&amp;"|"&amp;DATOS!$D16189&amp;"|"&amp;DATOS!$E16189&amp;"|"&amp;DATOS!$I16189)</f>
      </c>
      <c r="G16189">
        <f>IF(DATOS!$A16189="",0,IF(CONFIG_METADATA!$B$4&lt;&gt;"OR+EX",--(DATOS!$G16189=CONFIG_METADATA!$B$4),IF(DATOS!$G16189="EX",1,IF(DATOS!$G16189="OR",--(COUNTIFS(nNIA,DATOS!$A16189,nCURSO,DATOS!$D16189,nESPEC,DATOS!$E16189,nASIG,DATOS!$I16189,nEVAL,"EX")=0),0))))</f>
      </c>
      <c r="H16189">
        <f>IF(DATOS!$G16189&lt;&gt;"EX",0,--(COUNTIFS(nNIA,DATOS!$A16189,nCURSO,DATOS!$D16189,nESPEC,DATOS!$E16189,nASIG,DATOS!$I16189,nEVAL,"OR")=0))</f>
      </c>
      <c r="I16189">
        <f>IF(DATOS!$I16189="","",IFERROR(VLOOKUP(DATOS!$I16189,CONFIG_ASIGNATURAS!$B$2:$J$91,9,FALSE()),""))</f>
      </c>
    </row>
    <row r="16190">
      <c r="F16190">
        <f>IF(DATOS!$A16190="","",DATOS!$A16190&amp;"|"&amp;DATOS!$D16190&amp;"|"&amp;DATOS!$E16190&amp;"|"&amp;DATOS!$I16190)</f>
      </c>
      <c r="G16190">
        <f>IF(DATOS!$A16190="",0,IF(CONFIG_METADATA!$B$4&lt;&gt;"OR+EX",--(DATOS!$G16190=CONFIG_METADATA!$B$4),IF(DATOS!$G16190="EX",1,IF(DATOS!$G16190="OR",--(COUNTIFS(nNIA,DATOS!$A16190,nCURSO,DATOS!$D16190,nESPEC,DATOS!$E16190,nASIG,DATOS!$I16190,nEVAL,"EX")=0),0))))</f>
      </c>
      <c r="H16190">
        <f>IF(DATOS!$G16190&lt;&gt;"EX",0,--(COUNTIFS(nNIA,DATOS!$A16190,nCURSO,DATOS!$D16190,nESPEC,DATOS!$E16190,nASIG,DATOS!$I16190,nEVAL,"OR")=0))</f>
      </c>
      <c r="I16190">
        <f>IF(DATOS!$I16190="","",IFERROR(VLOOKUP(DATOS!$I16190,CONFIG_ASIGNATURAS!$B$2:$J$91,9,FALSE()),""))</f>
      </c>
    </row>
    <row r="16191">
      <c r="F16191">
        <f>IF(DATOS!$A16191="","",DATOS!$A16191&amp;"|"&amp;DATOS!$D16191&amp;"|"&amp;DATOS!$E16191&amp;"|"&amp;DATOS!$I16191)</f>
      </c>
      <c r="G16191">
        <f>IF(DATOS!$A16191="",0,IF(CONFIG_METADATA!$B$4&lt;&gt;"OR+EX",--(DATOS!$G16191=CONFIG_METADATA!$B$4),IF(DATOS!$G16191="EX",1,IF(DATOS!$G16191="OR",--(COUNTIFS(nNIA,DATOS!$A16191,nCURSO,DATOS!$D16191,nESPEC,DATOS!$E16191,nASIG,DATOS!$I16191,nEVAL,"EX")=0),0))))</f>
      </c>
      <c r="H16191">
        <f>IF(DATOS!$G16191&lt;&gt;"EX",0,--(COUNTIFS(nNIA,DATOS!$A16191,nCURSO,DATOS!$D16191,nESPEC,DATOS!$E16191,nASIG,DATOS!$I16191,nEVAL,"OR")=0))</f>
      </c>
      <c r="I16191">
        <f>IF(DATOS!$I16191="","",IFERROR(VLOOKUP(DATOS!$I16191,CONFIG_ASIGNATURAS!$B$2:$J$91,9,FALSE()),""))</f>
      </c>
    </row>
    <row r="16192">
      <c r="F16192">
        <f>IF(DATOS!$A16192="","",DATOS!$A16192&amp;"|"&amp;DATOS!$D16192&amp;"|"&amp;DATOS!$E16192&amp;"|"&amp;DATOS!$I16192)</f>
      </c>
      <c r="G16192">
        <f>IF(DATOS!$A16192="",0,IF(CONFIG_METADATA!$B$4&lt;&gt;"OR+EX",--(DATOS!$G16192=CONFIG_METADATA!$B$4),IF(DATOS!$G16192="EX",1,IF(DATOS!$G16192="OR",--(COUNTIFS(nNIA,DATOS!$A16192,nCURSO,DATOS!$D16192,nESPEC,DATOS!$E16192,nASIG,DATOS!$I16192,nEVAL,"EX")=0),0))))</f>
      </c>
      <c r="H16192">
        <f>IF(DATOS!$G16192&lt;&gt;"EX",0,--(COUNTIFS(nNIA,DATOS!$A16192,nCURSO,DATOS!$D16192,nESPEC,DATOS!$E16192,nASIG,DATOS!$I16192,nEVAL,"OR")=0))</f>
      </c>
      <c r="I16192">
        <f>IF(DATOS!$I16192="","",IFERROR(VLOOKUP(DATOS!$I16192,CONFIG_ASIGNATURAS!$B$2:$J$91,9,FALSE()),""))</f>
      </c>
    </row>
    <row r="16193">
      <c r="F16193">
        <f>IF(DATOS!$A16193="","",DATOS!$A16193&amp;"|"&amp;DATOS!$D16193&amp;"|"&amp;DATOS!$E16193&amp;"|"&amp;DATOS!$I16193)</f>
      </c>
      <c r="G16193">
        <f>IF(DATOS!$A16193="",0,IF(CONFIG_METADATA!$B$4&lt;&gt;"OR+EX",--(DATOS!$G16193=CONFIG_METADATA!$B$4),IF(DATOS!$G16193="EX",1,IF(DATOS!$G16193="OR",--(COUNTIFS(nNIA,DATOS!$A16193,nCURSO,DATOS!$D16193,nESPEC,DATOS!$E16193,nASIG,DATOS!$I16193,nEVAL,"EX")=0),0))))</f>
      </c>
      <c r="H16193">
        <f>IF(DATOS!$G16193&lt;&gt;"EX",0,--(COUNTIFS(nNIA,DATOS!$A16193,nCURSO,DATOS!$D16193,nESPEC,DATOS!$E16193,nASIG,DATOS!$I16193,nEVAL,"OR")=0))</f>
      </c>
      <c r="I16193">
        <f>IF(DATOS!$I16193="","",IFERROR(VLOOKUP(DATOS!$I16193,CONFIG_ASIGNATURAS!$B$2:$J$91,9,FALSE()),""))</f>
      </c>
    </row>
    <row r="16194">
      <c r="F16194">
        <f>IF(DATOS!$A16194="","",DATOS!$A16194&amp;"|"&amp;DATOS!$D16194&amp;"|"&amp;DATOS!$E16194&amp;"|"&amp;DATOS!$I16194)</f>
      </c>
      <c r="G16194">
        <f>IF(DATOS!$A16194="",0,IF(CONFIG_METADATA!$B$4&lt;&gt;"OR+EX",--(DATOS!$G16194=CONFIG_METADATA!$B$4),IF(DATOS!$G16194="EX",1,IF(DATOS!$G16194="OR",--(COUNTIFS(nNIA,DATOS!$A16194,nCURSO,DATOS!$D16194,nESPEC,DATOS!$E16194,nASIG,DATOS!$I16194,nEVAL,"EX")=0),0))))</f>
      </c>
      <c r="H16194">
        <f>IF(DATOS!$G16194&lt;&gt;"EX",0,--(COUNTIFS(nNIA,DATOS!$A16194,nCURSO,DATOS!$D16194,nESPEC,DATOS!$E16194,nASIG,DATOS!$I16194,nEVAL,"OR")=0))</f>
      </c>
      <c r="I16194">
        <f>IF(DATOS!$I16194="","",IFERROR(VLOOKUP(DATOS!$I16194,CONFIG_ASIGNATURAS!$B$2:$J$91,9,FALSE()),""))</f>
      </c>
    </row>
    <row r="16195">
      <c r="F16195">
        <f>IF(DATOS!$A16195="","",DATOS!$A16195&amp;"|"&amp;DATOS!$D16195&amp;"|"&amp;DATOS!$E16195&amp;"|"&amp;DATOS!$I16195)</f>
      </c>
      <c r="G16195">
        <f>IF(DATOS!$A16195="",0,IF(CONFIG_METADATA!$B$4&lt;&gt;"OR+EX",--(DATOS!$G16195=CONFIG_METADATA!$B$4),IF(DATOS!$G16195="EX",1,IF(DATOS!$G16195="OR",--(COUNTIFS(nNIA,DATOS!$A16195,nCURSO,DATOS!$D16195,nESPEC,DATOS!$E16195,nASIG,DATOS!$I16195,nEVAL,"EX")=0),0))))</f>
      </c>
      <c r="H16195">
        <f>IF(DATOS!$G16195&lt;&gt;"EX",0,--(COUNTIFS(nNIA,DATOS!$A16195,nCURSO,DATOS!$D16195,nESPEC,DATOS!$E16195,nASIG,DATOS!$I16195,nEVAL,"OR")=0))</f>
      </c>
      <c r="I16195">
        <f>IF(DATOS!$I16195="","",IFERROR(VLOOKUP(DATOS!$I16195,CONFIG_ASIGNATURAS!$B$2:$J$91,9,FALSE()),""))</f>
      </c>
    </row>
    <row r="16196">
      <c r="F16196">
        <f>IF(DATOS!$A16196="","",DATOS!$A16196&amp;"|"&amp;DATOS!$D16196&amp;"|"&amp;DATOS!$E16196&amp;"|"&amp;DATOS!$I16196)</f>
      </c>
      <c r="G16196">
        <f>IF(DATOS!$A16196="",0,IF(CONFIG_METADATA!$B$4&lt;&gt;"OR+EX",--(DATOS!$G16196=CONFIG_METADATA!$B$4),IF(DATOS!$G16196="EX",1,IF(DATOS!$G16196="OR",--(COUNTIFS(nNIA,DATOS!$A16196,nCURSO,DATOS!$D16196,nESPEC,DATOS!$E16196,nASIG,DATOS!$I16196,nEVAL,"EX")=0),0))))</f>
      </c>
      <c r="H16196">
        <f>IF(DATOS!$G16196&lt;&gt;"EX",0,--(COUNTIFS(nNIA,DATOS!$A16196,nCURSO,DATOS!$D16196,nESPEC,DATOS!$E16196,nASIG,DATOS!$I16196,nEVAL,"OR")=0))</f>
      </c>
      <c r="I16196">
        <f>IF(DATOS!$I16196="","",IFERROR(VLOOKUP(DATOS!$I16196,CONFIG_ASIGNATURAS!$B$2:$J$91,9,FALSE()),""))</f>
      </c>
    </row>
    <row r="16197">
      <c r="F16197">
        <f>IF(DATOS!$A16197="","",DATOS!$A16197&amp;"|"&amp;DATOS!$D16197&amp;"|"&amp;DATOS!$E16197&amp;"|"&amp;DATOS!$I16197)</f>
      </c>
      <c r="G16197">
        <f>IF(DATOS!$A16197="",0,IF(CONFIG_METADATA!$B$4&lt;&gt;"OR+EX",--(DATOS!$G16197=CONFIG_METADATA!$B$4),IF(DATOS!$G16197="EX",1,IF(DATOS!$G16197="OR",--(COUNTIFS(nNIA,DATOS!$A16197,nCURSO,DATOS!$D16197,nESPEC,DATOS!$E16197,nASIG,DATOS!$I16197,nEVAL,"EX")=0),0))))</f>
      </c>
      <c r="H16197">
        <f>IF(DATOS!$G16197&lt;&gt;"EX",0,--(COUNTIFS(nNIA,DATOS!$A16197,nCURSO,DATOS!$D16197,nESPEC,DATOS!$E16197,nASIG,DATOS!$I16197,nEVAL,"OR")=0))</f>
      </c>
      <c r="I16197">
        <f>IF(DATOS!$I16197="","",IFERROR(VLOOKUP(DATOS!$I16197,CONFIG_ASIGNATURAS!$B$2:$J$91,9,FALSE()),""))</f>
      </c>
    </row>
    <row r="16198">
      <c r="F16198">
        <f>IF(DATOS!$A16198="","",DATOS!$A16198&amp;"|"&amp;DATOS!$D16198&amp;"|"&amp;DATOS!$E16198&amp;"|"&amp;DATOS!$I16198)</f>
      </c>
      <c r="G16198">
        <f>IF(DATOS!$A16198="",0,IF(CONFIG_METADATA!$B$4&lt;&gt;"OR+EX",--(DATOS!$G16198=CONFIG_METADATA!$B$4),IF(DATOS!$G16198="EX",1,IF(DATOS!$G16198="OR",--(COUNTIFS(nNIA,DATOS!$A16198,nCURSO,DATOS!$D16198,nESPEC,DATOS!$E16198,nASIG,DATOS!$I16198,nEVAL,"EX")=0),0))))</f>
      </c>
      <c r="H16198">
        <f>IF(DATOS!$G16198&lt;&gt;"EX",0,--(COUNTIFS(nNIA,DATOS!$A16198,nCURSO,DATOS!$D16198,nESPEC,DATOS!$E16198,nASIG,DATOS!$I16198,nEVAL,"OR")=0))</f>
      </c>
      <c r="I16198">
        <f>IF(DATOS!$I16198="","",IFERROR(VLOOKUP(DATOS!$I16198,CONFIG_ASIGNATURAS!$B$2:$J$91,9,FALSE()),""))</f>
      </c>
    </row>
    <row r="16199">
      <c r="F16199">
        <f>IF(DATOS!$A16199="","",DATOS!$A16199&amp;"|"&amp;DATOS!$D16199&amp;"|"&amp;DATOS!$E16199&amp;"|"&amp;DATOS!$I16199)</f>
      </c>
      <c r="G16199">
        <f>IF(DATOS!$A16199="",0,IF(CONFIG_METADATA!$B$4&lt;&gt;"OR+EX",--(DATOS!$G16199=CONFIG_METADATA!$B$4),IF(DATOS!$G16199="EX",1,IF(DATOS!$G16199="OR",--(COUNTIFS(nNIA,DATOS!$A16199,nCURSO,DATOS!$D16199,nESPEC,DATOS!$E16199,nASIG,DATOS!$I16199,nEVAL,"EX")=0),0))))</f>
      </c>
      <c r="H16199">
        <f>IF(DATOS!$G16199&lt;&gt;"EX",0,--(COUNTIFS(nNIA,DATOS!$A16199,nCURSO,DATOS!$D16199,nESPEC,DATOS!$E16199,nASIG,DATOS!$I16199,nEVAL,"OR")=0))</f>
      </c>
      <c r="I16199">
        <f>IF(DATOS!$I16199="","",IFERROR(VLOOKUP(DATOS!$I16199,CONFIG_ASIGNATURAS!$B$2:$J$91,9,FALSE()),""))</f>
      </c>
    </row>
    <row r="16200">
      <c r="F16200">
        <f>IF(DATOS!$A16200="","",DATOS!$A16200&amp;"|"&amp;DATOS!$D16200&amp;"|"&amp;DATOS!$E16200&amp;"|"&amp;DATOS!$I16200)</f>
      </c>
      <c r="G16200">
        <f>IF(DATOS!$A16200="",0,IF(CONFIG_METADATA!$B$4&lt;&gt;"OR+EX",--(DATOS!$G16200=CONFIG_METADATA!$B$4),IF(DATOS!$G16200="EX",1,IF(DATOS!$G16200="OR",--(COUNTIFS(nNIA,DATOS!$A16200,nCURSO,DATOS!$D16200,nESPEC,DATOS!$E16200,nASIG,DATOS!$I16200,nEVAL,"EX")=0),0))))</f>
      </c>
      <c r="H16200">
        <f>IF(DATOS!$G16200&lt;&gt;"EX",0,--(COUNTIFS(nNIA,DATOS!$A16200,nCURSO,DATOS!$D16200,nESPEC,DATOS!$E16200,nASIG,DATOS!$I16200,nEVAL,"OR")=0))</f>
      </c>
      <c r="I16200">
        <f>IF(DATOS!$I16200="","",IFERROR(VLOOKUP(DATOS!$I16200,CONFIG_ASIGNATURAS!$B$2:$J$91,9,FALSE()),""))</f>
      </c>
    </row>
    <row r="16201">
      <c r="F16201">
        <f>IF(DATOS!$A16201="","",DATOS!$A16201&amp;"|"&amp;DATOS!$D16201&amp;"|"&amp;DATOS!$E16201&amp;"|"&amp;DATOS!$I16201)</f>
      </c>
      <c r="G16201">
        <f>IF(DATOS!$A16201="",0,IF(CONFIG_METADATA!$B$4&lt;&gt;"OR+EX",--(DATOS!$G16201=CONFIG_METADATA!$B$4),IF(DATOS!$G16201="EX",1,IF(DATOS!$G16201="OR",--(COUNTIFS(nNIA,DATOS!$A16201,nCURSO,DATOS!$D16201,nESPEC,DATOS!$E16201,nASIG,DATOS!$I16201,nEVAL,"EX")=0),0))))</f>
      </c>
      <c r="H16201">
        <f>IF(DATOS!$G16201&lt;&gt;"EX",0,--(COUNTIFS(nNIA,DATOS!$A16201,nCURSO,DATOS!$D16201,nESPEC,DATOS!$E16201,nASIG,DATOS!$I16201,nEVAL,"OR")=0))</f>
      </c>
      <c r="I16201">
        <f>IF(DATOS!$I16201="","",IFERROR(VLOOKUP(DATOS!$I16201,CONFIG_ASIGNATURAS!$B$2:$J$91,9,FALSE()),""))</f>
      </c>
    </row>
    <row r="16202">
      <c r="F16202">
        <f>IF(DATOS!$A16202="","",DATOS!$A16202&amp;"|"&amp;DATOS!$D16202&amp;"|"&amp;DATOS!$E16202&amp;"|"&amp;DATOS!$I16202)</f>
      </c>
      <c r="G16202">
        <f>IF(DATOS!$A16202="",0,IF(CONFIG_METADATA!$B$4&lt;&gt;"OR+EX",--(DATOS!$G16202=CONFIG_METADATA!$B$4),IF(DATOS!$G16202="EX",1,IF(DATOS!$G16202="OR",--(COUNTIFS(nNIA,DATOS!$A16202,nCURSO,DATOS!$D16202,nESPEC,DATOS!$E16202,nASIG,DATOS!$I16202,nEVAL,"EX")=0),0))))</f>
      </c>
      <c r="H16202">
        <f>IF(DATOS!$G16202&lt;&gt;"EX",0,--(COUNTIFS(nNIA,DATOS!$A16202,nCURSO,DATOS!$D16202,nESPEC,DATOS!$E16202,nASIG,DATOS!$I16202,nEVAL,"OR")=0))</f>
      </c>
      <c r="I16202">
        <f>IF(DATOS!$I16202="","",IFERROR(VLOOKUP(DATOS!$I16202,CONFIG_ASIGNATURAS!$B$2:$J$91,9,FALSE()),""))</f>
      </c>
    </row>
    <row r="16203">
      <c r="F16203">
        <f>IF(DATOS!$A16203="","",DATOS!$A16203&amp;"|"&amp;DATOS!$D16203&amp;"|"&amp;DATOS!$E16203&amp;"|"&amp;DATOS!$I16203)</f>
      </c>
      <c r="G16203">
        <f>IF(DATOS!$A16203="",0,IF(CONFIG_METADATA!$B$4&lt;&gt;"OR+EX",--(DATOS!$G16203=CONFIG_METADATA!$B$4),IF(DATOS!$G16203="EX",1,IF(DATOS!$G16203="OR",--(COUNTIFS(nNIA,DATOS!$A16203,nCURSO,DATOS!$D16203,nESPEC,DATOS!$E16203,nASIG,DATOS!$I16203,nEVAL,"EX")=0),0))))</f>
      </c>
      <c r="H16203">
        <f>IF(DATOS!$G16203&lt;&gt;"EX",0,--(COUNTIFS(nNIA,DATOS!$A16203,nCURSO,DATOS!$D16203,nESPEC,DATOS!$E16203,nASIG,DATOS!$I16203,nEVAL,"OR")=0))</f>
      </c>
      <c r="I16203">
        <f>IF(DATOS!$I16203="","",IFERROR(VLOOKUP(DATOS!$I16203,CONFIG_ASIGNATURAS!$B$2:$J$91,9,FALSE()),""))</f>
      </c>
    </row>
    <row r="16204">
      <c r="F16204">
        <f>IF(DATOS!$A16204="","",DATOS!$A16204&amp;"|"&amp;DATOS!$D16204&amp;"|"&amp;DATOS!$E16204&amp;"|"&amp;DATOS!$I16204)</f>
      </c>
      <c r="G16204">
        <f>IF(DATOS!$A16204="",0,IF(CONFIG_METADATA!$B$4&lt;&gt;"OR+EX",--(DATOS!$G16204=CONFIG_METADATA!$B$4),IF(DATOS!$G16204="EX",1,IF(DATOS!$G16204="OR",--(COUNTIFS(nNIA,DATOS!$A16204,nCURSO,DATOS!$D16204,nESPEC,DATOS!$E16204,nASIG,DATOS!$I16204,nEVAL,"EX")=0),0))))</f>
      </c>
      <c r="H16204">
        <f>IF(DATOS!$G16204&lt;&gt;"EX",0,--(COUNTIFS(nNIA,DATOS!$A16204,nCURSO,DATOS!$D16204,nESPEC,DATOS!$E16204,nASIG,DATOS!$I16204,nEVAL,"OR")=0))</f>
      </c>
      <c r="I16204">
        <f>IF(DATOS!$I16204="","",IFERROR(VLOOKUP(DATOS!$I16204,CONFIG_ASIGNATURAS!$B$2:$J$91,9,FALSE()),""))</f>
      </c>
    </row>
    <row r="16205">
      <c r="F16205">
        <f>IF(DATOS!$A16205="","",DATOS!$A16205&amp;"|"&amp;DATOS!$D16205&amp;"|"&amp;DATOS!$E16205&amp;"|"&amp;DATOS!$I16205)</f>
      </c>
      <c r="G16205">
        <f>IF(DATOS!$A16205="",0,IF(CONFIG_METADATA!$B$4&lt;&gt;"OR+EX",--(DATOS!$G16205=CONFIG_METADATA!$B$4),IF(DATOS!$G16205="EX",1,IF(DATOS!$G16205="OR",--(COUNTIFS(nNIA,DATOS!$A16205,nCURSO,DATOS!$D16205,nESPEC,DATOS!$E16205,nASIG,DATOS!$I16205,nEVAL,"EX")=0),0))))</f>
      </c>
      <c r="H16205">
        <f>IF(DATOS!$G16205&lt;&gt;"EX",0,--(COUNTIFS(nNIA,DATOS!$A16205,nCURSO,DATOS!$D16205,nESPEC,DATOS!$E16205,nASIG,DATOS!$I16205,nEVAL,"OR")=0))</f>
      </c>
      <c r="I16205">
        <f>IF(DATOS!$I16205="","",IFERROR(VLOOKUP(DATOS!$I16205,CONFIG_ASIGNATURAS!$B$2:$J$91,9,FALSE()),""))</f>
      </c>
    </row>
    <row r="16206">
      <c r="F16206">
        <f>IF(DATOS!$A16206="","",DATOS!$A16206&amp;"|"&amp;DATOS!$D16206&amp;"|"&amp;DATOS!$E16206&amp;"|"&amp;DATOS!$I16206)</f>
      </c>
      <c r="G16206">
        <f>IF(DATOS!$A16206="",0,IF(CONFIG_METADATA!$B$4&lt;&gt;"OR+EX",--(DATOS!$G16206=CONFIG_METADATA!$B$4),IF(DATOS!$G16206="EX",1,IF(DATOS!$G16206="OR",--(COUNTIFS(nNIA,DATOS!$A16206,nCURSO,DATOS!$D16206,nESPEC,DATOS!$E16206,nASIG,DATOS!$I16206,nEVAL,"EX")=0),0))))</f>
      </c>
      <c r="H16206">
        <f>IF(DATOS!$G16206&lt;&gt;"EX",0,--(COUNTIFS(nNIA,DATOS!$A16206,nCURSO,DATOS!$D16206,nESPEC,DATOS!$E16206,nASIG,DATOS!$I16206,nEVAL,"OR")=0))</f>
      </c>
      <c r="I16206">
        <f>IF(DATOS!$I16206="","",IFERROR(VLOOKUP(DATOS!$I16206,CONFIG_ASIGNATURAS!$B$2:$J$91,9,FALSE()),""))</f>
      </c>
    </row>
    <row r="16207">
      <c r="F16207">
        <f>IF(DATOS!$A16207="","",DATOS!$A16207&amp;"|"&amp;DATOS!$D16207&amp;"|"&amp;DATOS!$E16207&amp;"|"&amp;DATOS!$I16207)</f>
      </c>
      <c r="G16207">
        <f>IF(DATOS!$A16207="",0,IF(CONFIG_METADATA!$B$4&lt;&gt;"OR+EX",--(DATOS!$G16207=CONFIG_METADATA!$B$4),IF(DATOS!$G16207="EX",1,IF(DATOS!$G16207="OR",--(COUNTIFS(nNIA,DATOS!$A16207,nCURSO,DATOS!$D16207,nESPEC,DATOS!$E16207,nASIG,DATOS!$I16207,nEVAL,"EX")=0),0))))</f>
      </c>
      <c r="H16207">
        <f>IF(DATOS!$G16207&lt;&gt;"EX",0,--(COUNTIFS(nNIA,DATOS!$A16207,nCURSO,DATOS!$D16207,nESPEC,DATOS!$E16207,nASIG,DATOS!$I16207,nEVAL,"OR")=0))</f>
      </c>
      <c r="I16207">
        <f>IF(DATOS!$I16207="","",IFERROR(VLOOKUP(DATOS!$I16207,CONFIG_ASIGNATURAS!$B$2:$J$91,9,FALSE()),""))</f>
      </c>
    </row>
    <row r="16208">
      <c r="F16208">
        <f>IF(DATOS!$A16208="","",DATOS!$A16208&amp;"|"&amp;DATOS!$D16208&amp;"|"&amp;DATOS!$E16208&amp;"|"&amp;DATOS!$I16208)</f>
      </c>
      <c r="G16208">
        <f>IF(DATOS!$A16208="",0,IF(CONFIG_METADATA!$B$4&lt;&gt;"OR+EX",--(DATOS!$G16208=CONFIG_METADATA!$B$4),IF(DATOS!$G16208="EX",1,IF(DATOS!$G16208="OR",--(COUNTIFS(nNIA,DATOS!$A16208,nCURSO,DATOS!$D16208,nESPEC,DATOS!$E16208,nASIG,DATOS!$I16208,nEVAL,"EX")=0),0))))</f>
      </c>
      <c r="H16208">
        <f>IF(DATOS!$G16208&lt;&gt;"EX",0,--(COUNTIFS(nNIA,DATOS!$A16208,nCURSO,DATOS!$D16208,nESPEC,DATOS!$E16208,nASIG,DATOS!$I16208,nEVAL,"OR")=0))</f>
      </c>
      <c r="I16208">
        <f>IF(DATOS!$I16208="","",IFERROR(VLOOKUP(DATOS!$I16208,CONFIG_ASIGNATURAS!$B$2:$J$91,9,FALSE()),""))</f>
      </c>
    </row>
    <row r="16209">
      <c r="F16209">
        <f>IF(DATOS!$A16209="","",DATOS!$A16209&amp;"|"&amp;DATOS!$D16209&amp;"|"&amp;DATOS!$E16209&amp;"|"&amp;DATOS!$I16209)</f>
      </c>
      <c r="G16209">
        <f>IF(DATOS!$A16209="",0,IF(CONFIG_METADATA!$B$4&lt;&gt;"OR+EX",--(DATOS!$G16209=CONFIG_METADATA!$B$4),IF(DATOS!$G16209="EX",1,IF(DATOS!$G16209="OR",--(COUNTIFS(nNIA,DATOS!$A16209,nCURSO,DATOS!$D16209,nESPEC,DATOS!$E16209,nASIG,DATOS!$I16209,nEVAL,"EX")=0),0))))</f>
      </c>
      <c r="H16209">
        <f>IF(DATOS!$G16209&lt;&gt;"EX",0,--(COUNTIFS(nNIA,DATOS!$A16209,nCURSO,DATOS!$D16209,nESPEC,DATOS!$E16209,nASIG,DATOS!$I16209,nEVAL,"OR")=0))</f>
      </c>
      <c r="I16209">
        <f>IF(DATOS!$I16209="","",IFERROR(VLOOKUP(DATOS!$I16209,CONFIG_ASIGNATURAS!$B$2:$J$91,9,FALSE()),""))</f>
      </c>
    </row>
    <row r="16210">
      <c r="F16210">
        <f>IF(DATOS!$A16210="","",DATOS!$A16210&amp;"|"&amp;DATOS!$D16210&amp;"|"&amp;DATOS!$E16210&amp;"|"&amp;DATOS!$I16210)</f>
      </c>
      <c r="G16210">
        <f>IF(DATOS!$A16210="",0,IF(CONFIG_METADATA!$B$4&lt;&gt;"OR+EX",--(DATOS!$G16210=CONFIG_METADATA!$B$4),IF(DATOS!$G16210="EX",1,IF(DATOS!$G16210="OR",--(COUNTIFS(nNIA,DATOS!$A16210,nCURSO,DATOS!$D16210,nESPEC,DATOS!$E16210,nASIG,DATOS!$I16210,nEVAL,"EX")=0),0))))</f>
      </c>
      <c r="H16210">
        <f>IF(DATOS!$G16210&lt;&gt;"EX",0,--(COUNTIFS(nNIA,DATOS!$A16210,nCURSO,DATOS!$D16210,nESPEC,DATOS!$E16210,nASIG,DATOS!$I16210,nEVAL,"OR")=0))</f>
      </c>
      <c r="I16210">
        <f>IF(DATOS!$I16210="","",IFERROR(VLOOKUP(DATOS!$I16210,CONFIG_ASIGNATURAS!$B$2:$J$91,9,FALSE()),""))</f>
      </c>
    </row>
    <row r="16211">
      <c r="F16211">
        <f>IF(DATOS!$A16211="","",DATOS!$A16211&amp;"|"&amp;DATOS!$D16211&amp;"|"&amp;DATOS!$E16211&amp;"|"&amp;DATOS!$I16211)</f>
      </c>
      <c r="G16211">
        <f>IF(DATOS!$A16211="",0,IF(CONFIG_METADATA!$B$4&lt;&gt;"OR+EX",--(DATOS!$G16211=CONFIG_METADATA!$B$4),IF(DATOS!$G16211="EX",1,IF(DATOS!$G16211="OR",--(COUNTIFS(nNIA,DATOS!$A16211,nCURSO,DATOS!$D16211,nESPEC,DATOS!$E16211,nASIG,DATOS!$I16211,nEVAL,"EX")=0),0))))</f>
      </c>
      <c r="H16211">
        <f>IF(DATOS!$G16211&lt;&gt;"EX",0,--(COUNTIFS(nNIA,DATOS!$A16211,nCURSO,DATOS!$D16211,nESPEC,DATOS!$E16211,nASIG,DATOS!$I16211,nEVAL,"OR")=0))</f>
      </c>
      <c r="I16211">
        <f>IF(DATOS!$I16211="","",IFERROR(VLOOKUP(DATOS!$I16211,CONFIG_ASIGNATURAS!$B$2:$J$91,9,FALSE()),""))</f>
      </c>
    </row>
    <row r="16212">
      <c r="F16212">
        <f>IF(DATOS!$A16212="","",DATOS!$A16212&amp;"|"&amp;DATOS!$D16212&amp;"|"&amp;DATOS!$E16212&amp;"|"&amp;DATOS!$I16212)</f>
      </c>
      <c r="G16212">
        <f>IF(DATOS!$A16212="",0,IF(CONFIG_METADATA!$B$4&lt;&gt;"OR+EX",--(DATOS!$G16212=CONFIG_METADATA!$B$4),IF(DATOS!$G16212="EX",1,IF(DATOS!$G16212="OR",--(COUNTIFS(nNIA,DATOS!$A16212,nCURSO,DATOS!$D16212,nESPEC,DATOS!$E16212,nASIG,DATOS!$I16212,nEVAL,"EX")=0),0))))</f>
      </c>
      <c r="H16212">
        <f>IF(DATOS!$G16212&lt;&gt;"EX",0,--(COUNTIFS(nNIA,DATOS!$A16212,nCURSO,DATOS!$D16212,nESPEC,DATOS!$E16212,nASIG,DATOS!$I16212,nEVAL,"OR")=0))</f>
      </c>
      <c r="I16212">
        <f>IF(DATOS!$I16212="","",IFERROR(VLOOKUP(DATOS!$I16212,CONFIG_ASIGNATURAS!$B$2:$J$91,9,FALSE()),""))</f>
      </c>
    </row>
    <row r="16213">
      <c r="F16213">
        <f>IF(DATOS!$A16213="","",DATOS!$A16213&amp;"|"&amp;DATOS!$D16213&amp;"|"&amp;DATOS!$E16213&amp;"|"&amp;DATOS!$I16213)</f>
      </c>
      <c r="G16213">
        <f>IF(DATOS!$A16213="",0,IF(CONFIG_METADATA!$B$4&lt;&gt;"OR+EX",--(DATOS!$G16213=CONFIG_METADATA!$B$4),IF(DATOS!$G16213="EX",1,IF(DATOS!$G16213="OR",--(COUNTIFS(nNIA,DATOS!$A16213,nCURSO,DATOS!$D16213,nESPEC,DATOS!$E16213,nASIG,DATOS!$I16213,nEVAL,"EX")=0),0))))</f>
      </c>
      <c r="H16213">
        <f>IF(DATOS!$G16213&lt;&gt;"EX",0,--(COUNTIFS(nNIA,DATOS!$A16213,nCURSO,DATOS!$D16213,nESPEC,DATOS!$E16213,nASIG,DATOS!$I16213,nEVAL,"OR")=0))</f>
      </c>
      <c r="I16213">
        <f>IF(DATOS!$I16213="","",IFERROR(VLOOKUP(DATOS!$I16213,CONFIG_ASIGNATURAS!$B$2:$J$91,9,FALSE()),""))</f>
      </c>
    </row>
    <row r="16214">
      <c r="F16214">
        <f>IF(DATOS!$A16214="","",DATOS!$A16214&amp;"|"&amp;DATOS!$D16214&amp;"|"&amp;DATOS!$E16214&amp;"|"&amp;DATOS!$I16214)</f>
      </c>
      <c r="G16214">
        <f>IF(DATOS!$A16214="",0,IF(CONFIG_METADATA!$B$4&lt;&gt;"OR+EX",--(DATOS!$G16214=CONFIG_METADATA!$B$4),IF(DATOS!$G16214="EX",1,IF(DATOS!$G16214="OR",--(COUNTIFS(nNIA,DATOS!$A16214,nCURSO,DATOS!$D16214,nESPEC,DATOS!$E16214,nASIG,DATOS!$I16214,nEVAL,"EX")=0),0))))</f>
      </c>
      <c r="H16214">
        <f>IF(DATOS!$G16214&lt;&gt;"EX",0,--(COUNTIFS(nNIA,DATOS!$A16214,nCURSO,DATOS!$D16214,nESPEC,DATOS!$E16214,nASIG,DATOS!$I16214,nEVAL,"OR")=0))</f>
      </c>
      <c r="I16214">
        <f>IF(DATOS!$I16214="","",IFERROR(VLOOKUP(DATOS!$I16214,CONFIG_ASIGNATURAS!$B$2:$J$91,9,FALSE()),""))</f>
      </c>
    </row>
    <row r="16215">
      <c r="F16215">
        <f>IF(DATOS!$A16215="","",DATOS!$A16215&amp;"|"&amp;DATOS!$D16215&amp;"|"&amp;DATOS!$E16215&amp;"|"&amp;DATOS!$I16215)</f>
      </c>
      <c r="G16215">
        <f>IF(DATOS!$A16215="",0,IF(CONFIG_METADATA!$B$4&lt;&gt;"OR+EX",--(DATOS!$G16215=CONFIG_METADATA!$B$4),IF(DATOS!$G16215="EX",1,IF(DATOS!$G16215="OR",--(COUNTIFS(nNIA,DATOS!$A16215,nCURSO,DATOS!$D16215,nESPEC,DATOS!$E16215,nASIG,DATOS!$I16215,nEVAL,"EX")=0),0))))</f>
      </c>
      <c r="H16215">
        <f>IF(DATOS!$G16215&lt;&gt;"EX",0,--(COUNTIFS(nNIA,DATOS!$A16215,nCURSO,DATOS!$D16215,nESPEC,DATOS!$E16215,nASIG,DATOS!$I16215,nEVAL,"OR")=0))</f>
      </c>
      <c r="I16215">
        <f>IF(DATOS!$I16215="","",IFERROR(VLOOKUP(DATOS!$I16215,CONFIG_ASIGNATURAS!$B$2:$J$91,9,FALSE()),""))</f>
      </c>
    </row>
    <row r="16216">
      <c r="F16216">
        <f>IF(DATOS!$A16216="","",DATOS!$A16216&amp;"|"&amp;DATOS!$D16216&amp;"|"&amp;DATOS!$E16216&amp;"|"&amp;DATOS!$I16216)</f>
      </c>
      <c r="G16216">
        <f>IF(DATOS!$A16216="",0,IF(CONFIG_METADATA!$B$4&lt;&gt;"OR+EX",--(DATOS!$G16216=CONFIG_METADATA!$B$4),IF(DATOS!$G16216="EX",1,IF(DATOS!$G16216="OR",--(COUNTIFS(nNIA,DATOS!$A16216,nCURSO,DATOS!$D16216,nESPEC,DATOS!$E16216,nASIG,DATOS!$I16216,nEVAL,"EX")=0),0))))</f>
      </c>
      <c r="H16216">
        <f>IF(DATOS!$G16216&lt;&gt;"EX",0,--(COUNTIFS(nNIA,DATOS!$A16216,nCURSO,DATOS!$D16216,nESPEC,DATOS!$E16216,nASIG,DATOS!$I16216,nEVAL,"OR")=0))</f>
      </c>
      <c r="I16216">
        <f>IF(DATOS!$I16216="","",IFERROR(VLOOKUP(DATOS!$I16216,CONFIG_ASIGNATURAS!$B$2:$J$91,9,FALSE()),""))</f>
      </c>
    </row>
    <row r="16217">
      <c r="F16217">
        <f>IF(DATOS!$A16217="","",DATOS!$A16217&amp;"|"&amp;DATOS!$D16217&amp;"|"&amp;DATOS!$E16217&amp;"|"&amp;DATOS!$I16217)</f>
      </c>
      <c r="G16217">
        <f>IF(DATOS!$A16217="",0,IF(CONFIG_METADATA!$B$4&lt;&gt;"OR+EX",--(DATOS!$G16217=CONFIG_METADATA!$B$4),IF(DATOS!$G16217="EX",1,IF(DATOS!$G16217="OR",--(COUNTIFS(nNIA,DATOS!$A16217,nCURSO,DATOS!$D16217,nESPEC,DATOS!$E16217,nASIG,DATOS!$I16217,nEVAL,"EX")=0),0))))</f>
      </c>
      <c r="H16217">
        <f>IF(DATOS!$G16217&lt;&gt;"EX",0,--(COUNTIFS(nNIA,DATOS!$A16217,nCURSO,DATOS!$D16217,nESPEC,DATOS!$E16217,nASIG,DATOS!$I16217,nEVAL,"OR")=0))</f>
      </c>
      <c r="I16217">
        <f>IF(DATOS!$I16217="","",IFERROR(VLOOKUP(DATOS!$I16217,CONFIG_ASIGNATURAS!$B$2:$J$91,9,FALSE()),""))</f>
      </c>
    </row>
    <row r="16218">
      <c r="F16218">
        <f>IF(DATOS!$A16218="","",DATOS!$A16218&amp;"|"&amp;DATOS!$D16218&amp;"|"&amp;DATOS!$E16218&amp;"|"&amp;DATOS!$I16218)</f>
      </c>
      <c r="G16218">
        <f>IF(DATOS!$A16218="",0,IF(CONFIG_METADATA!$B$4&lt;&gt;"OR+EX",--(DATOS!$G16218=CONFIG_METADATA!$B$4),IF(DATOS!$G16218="EX",1,IF(DATOS!$G16218="OR",--(COUNTIFS(nNIA,DATOS!$A16218,nCURSO,DATOS!$D16218,nESPEC,DATOS!$E16218,nASIG,DATOS!$I16218,nEVAL,"EX")=0),0))))</f>
      </c>
      <c r="H16218">
        <f>IF(DATOS!$G16218&lt;&gt;"EX",0,--(COUNTIFS(nNIA,DATOS!$A16218,nCURSO,DATOS!$D16218,nESPEC,DATOS!$E16218,nASIG,DATOS!$I16218,nEVAL,"OR")=0))</f>
      </c>
      <c r="I16218">
        <f>IF(DATOS!$I16218="","",IFERROR(VLOOKUP(DATOS!$I16218,CONFIG_ASIGNATURAS!$B$2:$J$91,9,FALSE()),""))</f>
      </c>
    </row>
    <row r="16219">
      <c r="F16219">
        <f>IF(DATOS!$A16219="","",DATOS!$A16219&amp;"|"&amp;DATOS!$D16219&amp;"|"&amp;DATOS!$E16219&amp;"|"&amp;DATOS!$I16219)</f>
      </c>
      <c r="G16219">
        <f>IF(DATOS!$A16219="",0,IF(CONFIG_METADATA!$B$4&lt;&gt;"OR+EX",--(DATOS!$G16219=CONFIG_METADATA!$B$4),IF(DATOS!$G16219="EX",1,IF(DATOS!$G16219="OR",--(COUNTIFS(nNIA,DATOS!$A16219,nCURSO,DATOS!$D16219,nESPEC,DATOS!$E16219,nASIG,DATOS!$I16219,nEVAL,"EX")=0),0))))</f>
      </c>
      <c r="H16219">
        <f>IF(DATOS!$G16219&lt;&gt;"EX",0,--(COUNTIFS(nNIA,DATOS!$A16219,nCURSO,DATOS!$D16219,nESPEC,DATOS!$E16219,nASIG,DATOS!$I16219,nEVAL,"OR")=0))</f>
      </c>
      <c r="I16219">
        <f>IF(DATOS!$I16219="","",IFERROR(VLOOKUP(DATOS!$I16219,CONFIG_ASIGNATURAS!$B$2:$J$91,9,FALSE()),""))</f>
      </c>
    </row>
    <row r="16220">
      <c r="F16220">
        <f>IF(DATOS!$A16220="","",DATOS!$A16220&amp;"|"&amp;DATOS!$D16220&amp;"|"&amp;DATOS!$E16220&amp;"|"&amp;DATOS!$I16220)</f>
      </c>
      <c r="G16220">
        <f>IF(DATOS!$A16220="",0,IF(CONFIG_METADATA!$B$4&lt;&gt;"OR+EX",--(DATOS!$G16220=CONFIG_METADATA!$B$4),IF(DATOS!$G16220="EX",1,IF(DATOS!$G16220="OR",--(COUNTIFS(nNIA,DATOS!$A16220,nCURSO,DATOS!$D16220,nESPEC,DATOS!$E16220,nASIG,DATOS!$I16220,nEVAL,"EX")=0),0))))</f>
      </c>
      <c r="H16220">
        <f>IF(DATOS!$G16220&lt;&gt;"EX",0,--(COUNTIFS(nNIA,DATOS!$A16220,nCURSO,DATOS!$D16220,nESPEC,DATOS!$E16220,nASIG,DATOS!$I16220,nEVAL,"OR")=0))</f>
      </c>
      <c r="I16220">
        <f>IF(DATOS!$I16220="","",IFERROR(VLOOKUP(DATOS!$I16220,CONFIG_ASIGNATURAS!$B$2:$J$91,9,FALSE()),""))</f>
      </c>
    </row>
    <row r="16221">
      <c r="F16221">
        <f>IF(DATOS!$A16221="","",DATOS!$A16221&amp;"|"&amp;DATOS!$D16221&amp;"|"&amp;DATOS!$E16221&amp;"|"&amp;DATOS!$I16221)</f>
      </c>
      <c r="G16221">
        <f>IF(DATOS!$A16221="",0,IF(CONFIG_METADATA!$B$4&lt;&gt;"OR+EX",--(DATOS!$G16221=CONFIG_METADATA!$B$4),IF(DATOS!$G16221="EX",1,IF(DATOS!$G16221="OR",--(COUNTIFS(nNIA,DATOS!$A16221,nCURSO,DATOS!$D16221,nESPEC,DATOS!$E16221,nASIG,DATOS!$I16221,nEVAL,"EX")=0),0))))</f>
      </c>
      <c r="H16221">
        <f>IF(DATOS!$G16221&lt;&gt;"EX",0,--(COUNTIFS(nNIA,DATOS!$A16221,nCURSO,DATOS!$D16221,nESPEC,DATOS!$E16221,nASIG,DATOS!$I16221,nEVAL,"OR")=0))</f>
      </c>
      <c r="I16221">
        <f>IF(DATOS!$I16221="","",IFERROR(VLOOKUP(DATOS!$I16221,CONFIG_ASIGNATURAS!$B$2:$J$91,9,FALSE()),""))</f>
      </c>
    </row>
    <row r="16222">
      <c r="F16222">
        <f>IF(DATOS!$A16222="","",DATOS!$A16222&amp;"|"&amp;DATOS!$D16222&amp;"|"&amp;DATOS!$E16222&amp;"|"&amp;DATOS!$I16222)</f>
      </c>
      <c r="G16222">
        <f>IF(DATOS!$A16222="",0,IF(CONFIG_METADATA!$B$4&lt;&gt;"OR+EX",--(DATOS!$G16222=CONFIG_METADATA!$B$4),IF(DATOS!$G16222="EX",1,IF(DATOS!$G16222="OR",--(COUNTIFS(nNIA,DATOS!$A16222,nCURSO,DATOS!$D16222,nESPEC,DATOS!$E16222,nASIG,DATOS!$I16222,nEVAL,"EX")=0),0))))</f>
      </c>
      <c r="H16222">
        <f>IF(DATOS!$G16222&lt;&gt;"EX",0,--(COUNTIFS(nNIA,DATOS!$A16222,nCURSO,DATOS!$D16222,nESPEC,DATOS!$E16222,nASIG,DATOS!$I16222,nEVAL,"OR")=0))</f>
      </c>
      <c r="I16222">
        <f>IF(DATOS!$I16222="","",IFERROR(VLOOKUP(DATOS!$I16222,CONFIG_ASIGNATURAS!$B$2:$J$91,9,FALSE()),""))</f>
      </c>
    </row>
    <row r="16223">
      <c r="F16223">
        <f>IF(DATOS!$A16223="","",DATOS!$A16223&amp;"|"&amp;DATOS!$D16223&amp;"|"&amp;DATOS!$E16223&amp;"|"&amp;DATOS!$I16223)</f>
      </c>
      <c r="G16223">
        <f>IF(DATOS!$A16223="",0,IF(CONFIG_METADATA!$B$4&lt;&gt;"OR+EX",--(DATOS!$G16223=CONFIG_METADATA!$B$4),IF(DATOS!$G16223="EX",1,IF(DATOS!$G16223="OR",--(COUNTIFS(nNIA,DATOS!$A16223,nCURSO,DATOS!$D16223,nESPEC,DATOS!$E16223,nASIG,DATOS!$I16223,nEVAL,"EX")=0),0))))</f>
      </c>
      <c r="H16223">
        <f>IF(DATOS!$G16223&lt;&gt;"EX",0,--(COUNTIFS(nNIA,DATOS!$A16223,nCURSO,DATOS!$D16223,nESPEC,DATOS!$E16223,nASIG,DATOS!$I16223,nEVAL,"OR")=0))</f>
      </c>
      <c r="I16223">
        <f>IF(DATOS!$I16223="","",IFERROR(VLOOKUP(DATOS!$I16223,CONFIG_ASIGNATURAS!$B$2:$J$91,9,FALSE()),""))</f>
      </c>
    </row>
    <row r="16224">
      <c r="F16224">
        <f>IF(DATOS!$A16224="","",DATOS!$A16224&amp;"|"&amp;DATOS!$D16224&amp;"|"&amp;DATOS!$E16224&amp;"|"&amp;DATOS!$I16224)</f>
      </c>
      <c r="G16224">
        <f>IF(DATOS!$A16224="",0,IF(CONFIG_METADATA!$B$4&lt;&gt;"OR+EX",--(DATOS!$G16224=CONFIG_METADATA!$B$4),IF(DATOS!$G16224="EX",1,IF(DATOS!$G16224="OR",--(COUNTIFS(nNIA,DATOS!$A16224,nCURSO,DATOS!$D16224,nESPEC,DATOS!$E16224,nASIG,DATOS!$I16224,nEVAL,"EX")=0),0))))</f>
      </c>
      <c r="H16224">
        <f>IF(DATOS!$G16224&lt;&gt;"EX",0,--(COUNTIFS(nNIA,DATOS!$A16224,nCURSO,DATOS!$D16224,nESPEC,DATOS!$E16224,nASIG,DATOS!$I16224,nEVAL,"OR")=0))</f>
      </c>
      <c r="I16224">
        <f>IF(DATOS!$I16224="","",IFERROR(VLOOKUP(DATOS!$I16224,CONFIG_ASIGNATURAS!$B$2:$J$91,9,FALSE()),""))</f>
      </c>
    </row>
    <row r="16225">
      <c r="F16225">
        <f>IF(DATOS!$A16225="","",DATOS!$A16225&amp;"|"&amp;DATOS!$D16225&amp;"|"&amp;DATOS!$E16225&amp;"|"&amp;DATOS!$I16225)</f>
      </c>
      <c r="G16225">
        <f>IF(DATOS!$A16225="",0,IF(CONFIG_METADATA!$B$4&lt;&gt;"OR+EX",--(DATOS!$G16225=CONFIG_METADATA!$B$4),IF(DATOS!$G16225="EX",1,IF(DATOS!$G16225="OR",--(COUNTIFS(nNIA,DATOS!$A16225,nCURSO,DATOS!$D16225,nESPEC,DATOS!$E16225,nASIG,DATOS!$I16225,nEVAL,"EX")=0),0))))</f>
      </c>
      <c r="H16225">
        <f>IF(DATOS!$G16225&lt;&gt;"EX",0,--(COUNTIFS(nNIA,DATOS!$A16225,nCURSO,DATOS!$D16225,nESPEC,DATOS!$E16225,nASIG,DATOS!$I16225,nEVAL,"OR")=0))</f>
      </c>
      <c r="I16225">
        <f>IF(DATOS!$I16225="","",IFERROR(VLOOKUP(DATOS!$I16225,CONFIG_ASIGNATURAS!$B$2:$J$91,9,FALSE()),""))</f>
      </c>
    </row>
    <row r="16226">
      <c r="F16226">
        <f>IF(DATOS!$A16226="","",DATOS!$A16226&amp;"|"&amp;DATOS!$D16226&amp;"|"&amp;DATOS!$E16226&amp;"|"&amp;DATOS!$I16226)</f>
      </c>
      <c r="G16226">
        <f>IF(DATOS!$A16226="",0,IF(CONFIG_METADATA!$B$4&lt;&gt;"OR+EX",--(DATOS!$G16226=CONFIG_METADATA!$B$4),IF(DATOS!$G16226="EX",1,IF(DATOS!$G16226="OR",--(COUNTIFS(nNIA,DATOS!$A16226,nCURSO,DATOS!$D16226,nESPEC,DATOS!$E16226,nASIG,DATOS!$I16226,nEVAL,"EX")=0),0))))</f>
      </c>
      <c r="H16226">
        <f>IF(DATOS!$G16226&lt;&gt;"EX",0,--(COUNTIFS(nNIA,DATOS!$A16226,nCURSO,DATOS!$D16226,nESPEC,DATOS!$E16226,nASIG,DATOS!$I16226,nEVAL,"OR")=0))</f>
      </c>
      <c r="I16226">
        <f>IF(DATOS!$I16226="","",IFERROR(VLOOKUP(DATOS!$I16226,CONFIG_ASIGNATURAS!$B$2:$J$91,9,FALSE()),""))</f>
      </c>
    </row>
    <row r="16227">
      <c r="F16227">
        <f>IF(DATOS!$A16227="","",DATOS!$A16227&amp;"|"&amp;DATOS!$D16227&amp;"|"&amp;DATOS!$E16227&amp;"|"&amp;DATOS!$I16227)</f>
      </c>
      <c r="G16227">
        <f>IF(DATOS!$A16227="",0,IF(CONFIG_METADATA!$B$4&lt;&gt;"OR+EX",--(DATOS!$G16227=CONFIG_METADATA!$B$4),IF(DATOS!$G16227="EX",1,IF(DATOS!$G16227="OR",--(COUNTIFS(nNIA,DATOS!$A16227,nCURSO,DATOS!$D16227,nESPEC,DATOS!$E16227,nASIG,DATOS!$I16227,nEVAL,"EX")=0),0))))</f>
      </c>
      <c r="H16227">
        <f>IF(DATOS!$G16227&lt;&gt;"EX",0,--(COUNTIFS(nNIA,DATOS!$A16227,nCURSO,DATOS!$D16227,nESPEC,DATOS!$E16227,nASIG,DATOS!$I16227,nEVAL,"OR")=0))</f>
      </c>
      <c r="I16227">
        <f>IF(DATOS!$I16227="","",IFERROR(VLOOKUP(DATOS!$I16227,CONFIG_ASIGNATURAS!$B$2:$J$91,9,FALSE()),""))</f>
      </c>
    </row>
    <row r="16228">
      <c r="F16228">
        <f>IF(DATOS!$A16228="","",DATOS!$A16228&amp;"|"&amp;DATOS!$D16228&amp;"|"&amp;DATOS!$E16228&amp;"|"&amp;DATOS!$I16228)</f>
      </c>
      <c r="G16228">
        <f>IF(DATOS!$A16228="",0,IF(CONFIG_METADATA!$B$4&lt;&gt;"OR+EX",--(DATOS!$G16228=CONFIG_METADATA!$B$4),IF(DATOS!$G16228="EX",1,IF(DATOS!$G16228="OR",--(COUNTIFS(nNIA,DATOS!$A16228,nCURSO,DATOS!$D16228,nESPEC,DATOS!$E16228,nASIG,DATOS!$I16228,nEVAL,"EX")=0),0))))</f>
      </c>
      <c r="H16228">
        <f>IF(DATOS!$G16228&lt;&gt;"EX",0,--(COUNTIFS(nNIA,DATOS!$A16228,nCURSO,DATOS!$D16228,nESPEC,DATOS!$E16228,nASIG,DATOS!$I16228,nEVAL,"OR")=0))</f>
      </c>
      <c r="I16228">
        <f>IF(DATOS!$I16228="","",IFERROR(VLOOKUP(DATOS!$I16228,CONFIG_ASIGNATURAS!$B$2:$J$91,9,FALSE()),""))</f>
      </c>
    </row>
    <row r="16229">
      <c r="F16229">
        <f>IF(DATOS!$A16229="","",DATOS!$A16229&amp;"|"&amp;DATOS!$D16229&amp;"|"&amp;DATOS!$E16229&amp;"|"&amp;DATOS!$I16229)</f>
      </c>
      <c r="G16229">
        <f>IF(DATOS!$A16229="",0,IF(CONFIG_METADATA!$B$4&lt;&gt;"OR+EX",--(DATOS!$G16229=CONFIG_METADATA!$B$4),IF(DATOS!$G16229="EX",1,IF(DATOS!$G16229="OR",--(COUNTIFS(nNIA,DATOS!$A16229,nCURSO,DATOS!$D16229,nESPEC,DATOS!$E16229,nASIG,DATOS!$I16229,nEVAL,"EX")=0),0))))</f>
      </c>
      <c r="H16229">
        <f>IF(DATOS!$G16229&lt;&gt;"EX",0,--(COUNTIFS(nNIA,DATOS!$A16229,nCURSO,DATOS!$D16229,nESPEC,DATOS!$E16229,nASIG,DATOS!$I16229,nEVAL,"OR")=0))</f>
      </c>
      <c r="I16229">
        <f>IF(DATOS!$I16229="","",IFERROR(VLOOKUP(DATOS!$I16229,CONFIG_ASIGNATURAS!$B$2:$J$91,9,FALSE()),""))</f>
      </c>
    </row>
    <row r="16230">
      <c r="F16230">
        <f>IF(DATOS!$A16230="","",DATOS!$A16230&amp;"|"&amp;DATOS!$D16230&amp;"|"&amp;DATOS!$E16230&amp;"|"&amp;DATOS!$I16230)</f>
      </c>
      <c r="G16230">
        <f>IF(DATOS!$A16230="",0,IF(CONFIG_METADATA!$B$4&lt;&gt;"OR+EX",--(DATOS!$G16230=CONFIG_METADATA!$B$4),IF(DATOS!$G16230="EX",1,IF(DATOS!$G16230="OR",--(COUNTIFS(nNIA,DATOS!$A16230,nCURSO,DATOS!$D16230,nESPEC,DATOS!$E16230,nASIG,DATOS!$I16230,nEVAL,"EX")=0),0))))</f>
      </c>
      <c r="H16230">
        <f>IF(DATOS!$G16230&lt;&gt;"EX",0,--(COUNTIFS(nNIA,DATOS!$A16230,nCURSO,DATOS!$D16230,nESPEC,DATOS!$E16230,nASIG,DATOS!$I16230,nEVAL,"OR")=0))</f>
      </c>
      <c r="I16230">
        <f>IF(DATOS!$I16230="","",IFERROR(VLOOKUP(DATOS!$I16230,CONFIG_ASIGNATURAS!$B$2:$J$91,9,FALSE()),""))</f>
      </c>
    </row>
    <row r="16231">
      <c r="F16231">
        <f>IF(DATOS!$A16231="","",DATOS!$A16231&amp;"|"&amp;DATOS!$D16231&amp;"|"&amp;DATOS!$E16231&amp;"|"&amp;DATOS!$I16231)</f>
      </c>
      <c r="G16231">
        <f>IF(DATOS!$A16231="",0,IF(CONFIG_METADATA!$B$4&lt;&gt;"OR+EX",--(DATOS!$G16231=CONFIG_METADATA!$B$4),IF(DATOS!$G16231="EX",1,IF(DATOS!$G16231="OR",--(COUNTIFS(nNIA,DATOS!$A16231,nCURSO,DATOS!$D16231,nESPEC,DATOS!$E16231,nASIG,DATOS!$I16231,nEVAL,"EX")=0),0))))</f>
      </c>
      <c r="H16231">
        <f>IF(DATOS!$G16231&lt;&gt;"EX",0,--(COUNTIFS(nNIA,DATOS!$A16231,nCURSO,DATOS!$D16231,nESPEC,DATOS!$E16231,nASIG,DATOS!$I16231,nEVAL,"OR")=0))</f>
      </c>
      <c r="I16231">
        <f>IF(DATOS!$I16231="","",IFERROR(VLOOKUP(DATOS!$I16231,CONFIG_ASIGNATURAS!$B$2:$J$91,9,FALSE()),""))</f>
      </c>
    </row>
    <row r="16232">
      <c r="F16232">
        <f>IF(DATOS!$A16232="","",DATOS!$A16232&amp;"|"&amp;DATOS!$D16232&amp;"|"&amp;DATOS!$E16232&amp;"|"&amp;DATOS!$I16232)</f>
      </c>
      <c r="G16232">
        <f>IF(DATOS!$A16232="",0,IF(CONFIG_METADATA!$B$4&lt;&gt;"OR+EX",--(DATOS!$G16232=CONFIG_METADATA!$B$4),IF(DATOS!$G16232="EX",1,IF(DATOS!$G16232="OR",--(COUNTIFS(nNIA,DATOS!$A16232,nCURSO,DATOS!$D16232,nESPEC,DATOS!$E16232,nASIG,DATOS!$I16232,nEVAL,"EX")=0),0))))</f>
      </c>
      <c r="H16232">
        <f>IF(DATOS!$G16232&lt;&gt;"EX",0,--(COUNTIFS(nNIA,DATOS!$A16232,nCURSO,DATOS!$D16232,nESPEC,DATOS!$E16232,nASIG,DATOS!$I16232,nEVAL,"OR")=0))</f>
      </c>
      <c r="I16232">
        <f>IF(DATOS!$I16232="","",IFERROR(VLOOKUP(DATOS!$I16232,CONFIG_ASIGNATURAS!$B$2:$J$91,9,FALSE()),""))</f>
      </c>
    </row>
    <row r="16233">
      <c r="F16233">
        <f>IF(DATOS!$A16233="","",DATOS!$A16233&amp;"|"&amp;DATOS!$D16233&amp;"|"&amp;DATOS!$E16233&amp;"|"&amp;DATOS!$I16233)</f>
      </c>
      <c r="G16233">
        <f>IF(DATOS!$A16233="",0,IF(CONFIG_METADATA!$B$4&lt;&gt;"OR+EX",--(DATOS!$G16233=CONFIG_METADATA!$B$4),IF(DATOS!$G16233="EX",1,IF(DATOS!$G16233="OR",--(COUNTIFS(nNIA,DATOS!$A16233,nCURSO,DATOS!$D16233,nESPEC,DATOS!$E16233,nASIG,DATOS!$I16233,nEVAL,"EX")=0),0))))</f>
      </c>
      <c r="H16233">
        <f>IF(DATOS!$G16233&lt;&gt;"EX",0,--(COUNTIFS(nNIA,DATOS!$A16233,nCURSO,DATOS!$D16233,nESPEC,DATOS!$E16233,nASIG,DATOS!$I16233,nEVAL,"OR")=0))</f>
      </c>
      <c r="I16233">
        <f>IF(DATOS!$I16233="","",IFERROR(VLOOKUP(DATOS!$I16233,CONFIG_ASIGNATURAS!$B$2:$J$91,9,FALSE()),""))</f>
      </c>
    </row>
    <row r="16234">
      <c r="F16234">
        <f>IF(DATOS!$A16234="","",DATOS!$A16234&amp;"|"&amp;DATOS!$D16234&amp;"|"&amp;DATOS!$E16234&amp;"|"&amp;DATOS!$I16234)</f>
      </c>
      <c r="G16234">
        <f>IF(DATOS!$A16234="",0,IF(CONFIG_METADATA!$B$4&lt;&gt;"OR+EX",--(DATOS!$G16234=CONFIG_METADATA!$B$4),IF(DATOS!$G16234="EX",1,IF(DATOS!$G16234="OR",--(COUNTIFS(nNIA,DATOS!$A16234,nCURSO,DATOS!$D16234,nESPEC,DATOS!$E16234,nASIG,DATOS!$I16234,nEVAL,"EX")=0),0))))</f>
      </c>
      <c r="H16234">
        <f>IF(DATOS!$G16234&lt;&gt;"EX",0,--(COUNTIFS(nNIA,DATOS!$A16234,nCURSO,DATOS!$D16234,nESPEC,DATOS!$E16234,nASIG,DATOS!$I16234,nEVAL,"OR")=0))</f>
      </c>
      <c r="I16234">
        <f>IF(DATOS!$I16234="","",IFERROR(VLOOKUP(DATOS!$I16234,CONFIG_ASIGNATURAS!$B$2:$J$91,9,FALSE()),""))</f>
      </c>
    </row>
    <row r="16235">
      <c r="F16235">
        <f>IF(DATOS!$A16235="","",DATOS!$A16235&amp;"|"&amp;DATOS!$D16235&amp;"|"&amp;DATOS!$E16235&amp;"|"&amp;DATOS!$I16235)</f>
      </c>
      <c r="G16235">
        <f>IF(DATOS!$A16235="",0,IF(CONFIG_METADATA!$B$4&lt;&gt;"OR+EX",--(DATOS!$G16235=CONFIG_METADATA!$B$4),IF(DATOS!$G16235="EX",1,IF(DATOS!$G16235="OR",--(COUNTIFS(nNIA,DATOS!$A16235,nCURSO,DATOS!$D16235,nESPEC,DATOS!$E16235,nASIG,DATOS!$I16235,nEVAL,"EX")=0),0))))</f>
      </c>
      <c r="H16235">
        <f>IF(DATOS!$G16235&lt;&gt;"EX",0,--(COUNTIFS(nNIA,DATOS!$A16235,nCURSO,DATOS!$D16235,nESPEC,DATOS!$E16235,nASIG,DATOS!$I16235,nEVAL,"OR")=0))</f>
      </c>
      <c r="I16235">
        <f>IF(DATOS!$I16235="","",IFERROR(VLOOKUP(DATOS!$I16235,CONFIG_ASIGNATURAS!$B$2:$J$91,9,FALSE()),""))</f>
      </c>
    </row>
    <row r="16236">
      <c r="F16236">
        <f>IF(DATOS!$A16236="","",DATOS!$A16236&amp;"|"&amp;DATOS!$D16236&amp;"|"&amp;DATOS!$E16236&amp;"|"&amp;DATOS!$I16236)</f>
      </c>
      <c r="G16236">
        <f>IF(DATOS!$A16236="",0,IF(CONFIG_METADATA!$B$4&lt;&gt;"OR+EX",--(DATOS!$G16236=CONFIG_METADATA!$B$4),IF(DATOS!$G16236="EX",1,IF(DATOS!$G16236="OR",--(COUNTIFS(nNIA,DATOS!$A16236,nCURSO,DATOS!$D16236,nESPEC,DATOS!$E16236,nASIG,DATOS!$I16236,nEVAL,"EX")=0),0))))</f>
      </c>
      <c r="H16236">
        <f>IF(DATOS!$G16236&lt;&gt;"EX",0,--(COUNTIFS(nNIA,DATOS!$A16236,nCURSO,DATOS!$D16236,nESPEC,DATOS!$E16236,nASIG,DATOS!$I16236,nEVAL,"OR")=0))</f>
      </c>
      <c r="I16236">
        <f>IF(DATOS!$I16236="","",IFERROR(VLOOKUP(DATOS!$I16236,CONFIG_ASIGNATURAS!$B$2:$J$91,9,FALSE()),""))</f>
      </c>
    </row>
    <row r="16237">
      <c r="F16237">
        <f>IF(DATOS!$A16237="","",DATOS!$A16237&amp;"|"&amp;DATOS!$D16237&amp;"|"&amp;DATOS!$E16237&amp;"|"&amp;DATOS!$I16237)</f>
      </c>
      <c r="G16237">
        <f>IF(DATOS!$A16237="",0,IF(CONFIG_METADATA!$B$4&lt;&gt;"OR+EX",--(DATOS!$G16237=CONFIG_METADATA!$B$4),IF(DATOS!$G16237="EX",1,IF(DATOS!$G16237="OR",--(COUNTIFS(nNIA,DATOS!$A16237,nCURSO,DATOS!$D16237,nESPEC,DATOS!$E16237,nASIG,DATOS!$I16237,nEVAL,"EX")=0),0))))</f>
      </c>
      <c r="H16237">
        <f>IF(DATOS!$G16237&lt;&gt;"EX",0,--(COUNTIFS(nNIA,DATOS!$A16237,nCURSO,DATOS!$D16237,nESPEC,DATOS!$E16237,nASIG,DATOS!$I16237,nEVAL,"OR")=0))</f>
      </c>
      <c r="I16237">
        <f>IF(DATOS!$I16237="","",IFERROR(VLOOKUP(DATOS!$I16237,CONFIG_ASIGNATURAS!$B$2:$J$91,9,FALSE()),""))</f>
      </c>
    </row>
    <row r="16238">
      <c r="F16238">
        <f>IF(DATOS!$A16238="","",DATOS!$A16238&amp;"|"&amp;DATOS!$D16238&amp;"|"&amp;DATOS!$E16238&amp;"|"&amp;DATOS!$I16238)</f>
      </c>
      <c r="G16238">
        <f>IF(DATOS!$A16238="",0,IF(CONFIG_METADATA!$B$4&lt;&gt;"OR+EX",--(DATOS!$G16238=CONFIG_METADATA!$B$4),IF(DATOS!$G16238="EX",1,IF(DATOS!$G16238="OR",--(COUNTIFS(nNIA,DATOS!$A16238,nCURSO,DATOS!$D16238,nESPEC,DATOS!$E16238,nASIG,DATOS!$I16238,nEVAL,"EX")=0),0))))</f>
      </c>
      <c r="H16238">
        <f>IF(DATOS!$G16238&lt;&gt;"EX",0,--(COUNTIFS(nNIA,DATOS!$A16238,nCURSO,DATOS!$D16238,nESPEC,DATOS!$E16238,nASIG,DATOS!$I16238,nEVAL,"OR")=0))</f>
      </c>
      <c r="I16238">
        <f>IF(DATOS!$I16238="","",IFERROR(VLOOKUP(DATOS!$I16238,CONFIG_ASIGNATURAS!$B$2:$J$91,9,FALSE()),""))</f>
      </c>
    </row>
    <row r="16239">
      <c r="F16239">
        <f>IF(DATOS!$A16239="","",DATOS!$A16239&amp;"|"&amp;DATOS!$D16239&amp;"|"&amp;DATOS!$E16239&amp;"|"&amp;DATOS!$I16239)</f>
      </c>
      <c r="G16239">
        <f>IF(DATOS!$A16239="",0,IF(CONFIG_METADATA!$B$4&lt;&gt;"OR+EX",--(DATOS!$G16239=CONFIG_METADATA!$B$4),IF(DATOS!$G16239="EX",1,IF(DATOS!$G16239="OR",--(COUNTIFS(nNIA,DATOS!$A16239,nCURSO,DATOS!$D16239,nESPEC,DATOS!$E16239,nASIG,DATOS!$I16239,nEVAL,"EX")=0),0))))</f>
      </c>
      <c r="H16239">
        <f>IF(DATOS!$G16239&lt;&gt;"EX",0,--(COUNTIFS(nNIA,DATOS!$A16239,nCURSO,DATOS!$D16239,nESPEC,DATOS!$E16239,nASIG,DATOS!$I16239,nEVAL,"OR")=0))</f>
      </c>
      <c r="I16239">
        <f>IF(DATOS!$I16239="","",IFERROR(VLOOKUP(DATOS!$I16239,CONFIG_ASIGNATURAS!$B$2:$J$91,9,FALSE()),""))</f>
      </c>
    </row>
    <row r="16240">
      <c r="F16240">
        <f>IF(DATOS!$A16240="","",DATOS!$A16240&amp;"|"&amp;DATOS!$D16240&amp;"|"&amp;DATOS!$E16240&amp;"|"&amp;DATOS!$I16240)</f>
      </c>
      <c r="G16240">
        <f>IF(DATOS!$A16240="",0,IF(CONFIG_METADATA!$B$4&lt;&gt;"OR+EX",--(DATOS!$G16240=CONFIG_METADATA!$B$4),IF(DATOS!$G16240="EX",1,IF(DATOS!$G16240="OR",--(COUNTIFS(nNIA,DATOS!$A16240,nCURSO,DATOS!$D16240,nESPEC,DATOS!$E16240,nASIG,DATOS!$I16240,nEVAL,"EX")=0),0))))</f>
      </c>
      <c r="H16240">
        <f>IF(DATOS!$G16240&lt;&gt;"EX",0,--(COUNTIFS(nNIA,DATOS!$A16240,nCURSO,DATOS!$D16240,nESPEC,DATOS!$E16240,nASIG,DATOS!$I16240,nEVAL,"OR")=0))</f>
      </c>
      <c r="I16240">
        <f>IF(DATOS!$I16240="","",IFERROR(VLOOKUP(DATOS!$I16240,CONFIG_ASIGNATURAS!$B$2:$J$91,9,FALSE()),""))</f>
      </c>
    </row>
    <row r="16241">
      <c r="F16241">
        <f>IF(DATOS!$A16241="","",DATOS!$A16241&amp;"|"&amp;DATOS!$D16241&amp;"|"&amp;DATOS!$E16241&amp;"|"&amp;DATOS!$I16241)</f>
      </c>
      <c r="G16241">
        <f>IF(DATOS!$A16241="",0,IF(CONFIG_METADATA!$B$4&lt;&gt;"OR+EX",--(DATOS!$G16241=CONFIG_METADATA!$B$4),IF(DATOS!$G16241="EX",1,IF(DATOS!$G16241="OR",--(COUNTIFS(nNIA,DATOS!$A16241,nCURSO,DATOS!$D16241,nESPEC,DATOS!$E16241,nASIG,DATOS!$I16241,nEVAL,"EX")=0),0))))</f>
      </c>
      <c r="H16241">
        <f>IF(DATOS!$G16241&lt;&gt;"EX",0,--(COUNTIFS(nNIA,DATOS!$A16241,nCURSO,DATOS!$D16241,nESPEC,DATOS!$E16241,nASIG,DATOS!$I16241,nEVAL,"OR")=0))</f>
      </c>
      <c r="I16241">
        <f>IF(DATOS!$I16241="","",IFERROR(VLOOKUP(DATOS!$I16241,CONFIG_ASIGNATURAS!$B$2:$J$91,9,FALSE()),""))</f>
      </c>
    </row>
    <row r="16242">
      <c r="F16242">
        <f>IF(DATOS!$A16242="","",DATOS!$A16242&amp;"|"&amp;DATOS!$D16242&amp;"|"&amp;DATOS!$E16242&amp;"|"&amp;DATOS!$I16242)</f>
      </c>
      <c r="G16242">
        <f>IF(DATOS!$A16242="",0,IF(CONFIG_METADATA!$B$4&lt;&gt;"OR+EX",--(DATOS!$G16242=CONFIG_METADATA!$B$4),IF(DATOS!$G16242="EX",1,IF(DATOS!$G16242="OR",--(COUNTIFS(nNIA,DATOS!$A16242,nCURSO,DATOS!$D16242,nESPEC,DATOS!$E16242,nASIG,DATOS!$I16242,nEVAL,"EX")=0),0))))</f>
      </c>
      <c r="H16242">
        <f>IF(DATOS!$G16242&lt;&gt;"EX",0,--(COUNTIFS(nNIA,DATOS!$A16242,nCURSO,DATOS!$D16242,nESPEC,DATOS!$E16242,nASIG,DATOS!$I16242,nEVAL,"OR")=0))</f>
      </c>
      <c r="I16242">
        <f>IF(DATOS!$I16242="","",IFERROR(VLOOKUP(DATOS!$I16242,CONFIG_ASIGNATURAS!$B$2:$J$91,9,FALSE()),""))</f>
      </c>
    </row>
    <row r="16243">
      <c r="F16243">
        <f>IF(DATOS!$A16243="","",DATOS!$A16243&amp;"|"&amp;DATOS!$D16243&amp;"|"&amp;DATOS!$E16243&amp;"|"&amp;DATOS!$I16243)</f>
      </c>
      <c r="G16243">
        <f>IF(DATOS!$A16243="",0,IF(CONFIG_METADATA!$B$4&lt;&gt;"OR+EX",--(DATOS!$G16243=CONFIG_METADATA!$B$4),IF(DATOS!$G16243="EX",1,IF(DATOS!$G16243="OR",--(COUNTIFS(nNIA,DATOS!$A16243,nCURSO,DATOS!$D16243,nESPEC,DATOS!$E16243,nASIG,DATOS!$I16243,nEVAL,"EX")=0),0))))</f>
      </c>
      <c r="H16243">
        <f>IF(DATOS!$G16243&lt;&gt;"EX",0,--(COUNTIFS(nNIA,DATOS!$A16243,nCURSO,DATOS!$D16243,nESPEC,DATOS!$E16243,nASIG,DATOS!$I16243,nEVAL,"OR")=0))</f>
      </c>
      <c r="I16243">
        <f>IF(DATOS!$I16243="","",IFERROR(VLOOKUP(DATOS!$I16243,CONFIG_ASIGNATURAS!$B$2:$J$91,9,FALSE()),""))</f>
      </c>
    </row>
    <row r="16244">
      <c r="F16244">
        <f>IF(DATOS!$A16244="","",DATOS!$A16244&amp;"|"&amp;DATOS!$D16244&amp;"|"&amp;DATOS!$E16244&amp;"|"&amp;DATOS!$I16244)</f>
      </c>
      <c r="G16244">
        <f>IF(DATOS!$A16244="",0,IF(CONFIG_METADATA!$B$4&lt;&gt;"OR+EX",--(DATOS!$G16244=CONFIG_METADATA!$B$4),IF(DATOS!$G16244="EX",1,IF(DATOS!$G16244="OR",--(COUNTIFS(nNIA,DATOS!$A16244,nCURSO,DATOS!$D16244,nESPEC,DATOS!$E16244,nASIG,DATOS!$I16244,nEVAL,"EX")=0),0))))</f>
      </c>
      <c r="H16244">
        <f>IF(DATOS!$G16244&lt;&gt;"EX",0,--(COUNTIFS(nNIA,DATOS!$A16244,nCURSO,DATOS!$D16244,nESPEC,DATOS!$E16244,nASIG,DATOS!$I16244,nEVAL,"OR")=0))</f>
      </c>
      <c r="I16244">
        <f>IF(DATOS!$I16244="","",IFERROR(VLOOKUP(DATOS!$I16244,CONFIG_ASIGNATURAS!$B$2:$J$91,9,FALSE()),""))</f>
      </c>
    </row>
    <row r="16245">
      <c r="F16245">
        <f>IF(DATOS!$A16245="","",DATOS!$A16245&amp;"|"&amp;DATOS!$D16245&amp;"|"&amp;DATOS!$E16245&amp;"|"&amp;DATOS!$I16245)</f>
      </c>
      <c r="G16245">
        <f>IF(DATOS!$A16245="",0,IF(CONFIG_METADATA!$B$4&lt;&gt;"OR+EX",--(DATOS!$G16245=CONFIG_METADATA!$B$4),IF(DATOS!$G16245="EX",1,IF(DATOS!$G16245="OR",--(COUNTIFS(nNIA,DATOS!$A16245,nCURSO,DATOS!$D16245,nESPEC,DATOS!$E16245,nASIG,DATOS!$I16245,nEVAL,"EX")=0),0))))</f>
      </c>
      <c r="H16245">
        <f>IF(DATOS!$G16245&lt;&gt;"EX",0,--(COUNTIFS(nNIA,DATOS!$A16245,nCURSO,DATOS!$D16245,nESPEC,DATOS!$E16245,nASIG,DATOS!$I16245,nEVAL,"OR")=0))</f>
      </c>
      <c r="I16245">
        <f>IF(DATOS!$I16245="","",IFERROR(VLOOKUP(DATOS!$I16245,CONFIG_ASIGNATURAS!$B$2:$J$91,9,FALSE()),""))</f>
      </c>
    </row>
    <row r="16246">
      <c r="F16246">
        <f>IF(DATOS!$A16246="","",DATOS!$A16246&amp;"|"&amp;DATOS!$D16246&amp;"|"&amp;DATOS!$E16246&amp;"|"&amp;DATOS!$I16246)</f>
      </c>
      <c r="G16246">
        <f>IF(DATOS!$A16246="",0,IF(CONFIG_METADATA!$B$4&lt;&gt;"OR+EX",--(DATOS!$G16246=CONFIG_METADATA!$B$4),IF(DATOS!$G16246="EX",1,IF(DATOS!$G16246="OR",--(COUNTIFS(nNIA,DATOS!$A16246,nCURSO,DATOS!$D16246,nESPEC,DATOS!$E16246,nASIG,DATOS!$I16246,nEVAL,"EX")=0),0))))</f>
      </c>
      <c r="H16246">
        <f>IF(DATOS!$G16246&lt;&gt;"EX",0,--(COUNTIFS(nNIA,DATOS!$A16246,nCURSO,DATOS!$D16246,nESPEC,DATOS!$E16246,nASIG,DATOS!$I16246,nEVAL,"OR")=0))</f>
      </c>
      <c r="I16246">
        <f>IF(DATOS!$I16246="","",IFERROR(VLOOKUP(DATOS!$I16246,CONFIG_ASIGNATURAS!$B$2:$J$91,9,FALSE()),""))</f>
      </c>
    </row>
    <row r="16247">
      <c r="F16247">
        <f>IF(DATOS!$A16247="","",DATOS!$A16247&amp;"|"&amp;DATOS!$D16247&amp;"|"&amp;DATOS!$E16247&amp;"|"&amp;DATOS!$I16247)</f>
      </c>
      <c r="G16247">
        <f>IF(DATOS!$A16247="",0,IF(CONFIG_METADATA!$B$4&lt;&gt;"OR+EX",--(DATOS!$G16247=CONFIG_METADATA!$B$4),IF(DATOS!$G16247="EX",1,IF(DATOS!$G16247="OR",--(COUNTIFS(nNIA,DATOS!$A16247,nCURSO,DATOS!$D16247,nESPEC,DATOS!$E16247,nASIG,DATOS!$I16247,nEVAL,"EX")=0),0))))</f>
      </c>
      <c r="H16247">
        <f>IF(DATOS!$G16247&lt;&gt;"EX",0,--(COUNTIFS(nNIA,DATOS!$A16247,nCURSO,DATOS!$D16247,nESPEC,DATOS!$E16247,nASIG,DATOS!$I16247,nEVAL,"OR")=0))</f>
      </c>
      <c r="I16247">
        <f>IF(DATOS!$I16247="","",IFERROR(VLOOKUP(DATOS!$I16247,CONFIG_ASIGNATURAS!$B$2:$J$91,9,FALSE()),""))</f>
      </c>
    </row>
    <row r="16248">
      <c r="F16248">
        <f>IF(DATOS!$A16248="","",DATOS!$A16248&amp;"|"&amp;DATOS!$D16248&amp;"|"&amp;DATOS!$E16248&amp;"|"&amp;DATOS!$I16248)</f>
      </c>
      <c r="G16248">
        <f>IF(DATOS!$A16248="",0,IF(CONFIG_METADATA!$B$4&lt;&gt;"OR+EX",--(DATOS!$G16248=CONFIG_METADATA!$B$4),IF(DATOS!$G16248="EX",1,IF(DATOS!$G16248="OR",--(COUNTIFS(nNIA,DATOS!$A16248,nCURSO,DATOS!$D16248,nESPEC,DATOS!$E16248,nASIG,DATOS!$I16248,nEVAL,"EX")=0),0))))</f>
      </c>
      <c r="H16248">
        <f>IF(DATOS!$G16248&lt;&gt;"EX",0,--(COUNTIFS(nNIA,DATOS!$A16248,nCURSO,DATOS!$D16248,nESPEC,DATOS!$E16248,nASIG,DATOS!$I16248,nEVAL,"OR")=0))</f>
      </c>
      <c r="I16248">
        <f>IF(DATOS!$I16248="","",IFERROR(VLOOKUP(DATOS!$I16248,CONFIG_ASIGNATURAS!$B$2:$J$91,9,FALSE()),""))</f>
      </c>
    </row>
    <row r="16249">
      <c r="F16249">
        <f>IF(DATOS!$A16249="","",DATOS!$A16249&amp;"|"&amp;DATOS!$D16249&amp;"|"&amp;DATOS!$E16249&amp;"|"&amp;DATOS!$I16249)</f>
      </c>
      <c r="G16249">
        <f>IF(DATOS!$A16249="",0,IF(CONFIG_METADATA!$B$4&lt;&gt;"OR+EX",--(DATOS!$G16249=CONFIG_METADATA!$B$4),IF(DATOS!$G16249="EX",1,IF(DATOS!$G16249="OR",--(COUNTIFS(nNIA,DATOS!$A16249,nCURSO,DATOS!$D16249,nESPEC,DATOS!$E16249,nASIG,DATOS!$I16249,nEVAL,"EX")=0),0))))</f>
      </c>
      <c r="H16249">
        <f>IF(DATOS!$G16249&lt;&gt;"EX",0,--(COUNTIFS(nNIA,DATOS!$A16249,nCURSO,DATOS!$D16249,nESPEC,DATOS!$E16249,nASIG,DATOS!$I16249,nEVAL,"OR")=0))</f>
      </c>
      <c r="I16249">
        <f>IF(DATOS!$I16249="","",IFERROR(VLOOKUP(DATOS!$I16249,CONFIG_ASIGNATURAS!$B$2:$J$91,9,FALSE()),""))</f>
      </c>
    </row>
    <row r="16250">
      <c r="F16250">
        <f>IF(DATOS!$A16250="","",DATOS!$A16250&amp;"|"&amp;DATOS!$D16250&amp;"|"&amp;DATOS!$E16250&amp;"|"&amp;DATOS!$I16250)</f>
      </c>
      <c r="G16250">
        <f>IF(DATOS!$A16250="",0,IF(CONFIG_METADATA!$B$4&lt;&gt;"OR+EX",--(DATOS!$G16250=CONFIG_METADATA!$B$4),IF(DATOS!$G16250="EX",1,IF(DATOS!$G16250="OR",--(COUNTIFS(nNIA,DATOS!$A16250,nCURSO,DATOS!$D16250,nESPEC,DATOS!$E16250,nASIG,DATOS!$I16250,nEVAL,"EX")=0),0))))</f>
      </c>
      <c r="H16250">
        <f>IF(DATOS!$G16250&lt;&gt;"EX",0,--(COUNTIFS(nNIA,DATOS!$A16250,nCURSO,DATOS!$D16250,nESPEC,DATOS!$E16250,nASIG,DATOS!$I16250,nEVAL,"OR")=0))</f>
      </c>
      <c r="I16250">
        <f>IF(DATOS!$I16250="","",IFERROR(VLOOKUP(DATOS!$I16250,CONFIG_ASIGNATURAS!$B$2:$J$91,9,FALSE()),""))</f>
      </c>
    </row>
    <row r="16251">
      <c r="F16251">
        <f>IF(DATOS!$A16251="","",DATOS!$A16251&amp;"|"&amp;DATOS!$D16251&amp;"|"&amp;DATOS!$E16251&amp;"|"&amp;DATOS!$I16251)</f>
      </c>
      <c r="G16251">
        <f>IF(DATOS!$A16251="",0,IF(CONFIG_METADATA!$B$4&lt;&gt;"OR+EX",--(DATOS!$G16251=CONFIG_METADATA!$B$4),IF(DATOS!$G16251="EX",1,IF(DATOS!$G16251="OR",--(COUNTIFS(nNIA,DATOS!$A16251,nCURSO,DATOS!$D16251,nESPEC,DATOS!$E16251,nASIG,DATOS!$I16251,nEVAL,"EX")=0),0))))</f>
      </c>
      <c r="H16251">
        <f>IF(DATOS!$G16251&lt;&gt;"EX",0,--(COUNTIFS(nNIA,DATOS!$A16251,nCURSO,DATOS!$D16251,nESPEC,DATOS!$E16251,nASIG,DATOS!$I16251,nEVAL,"OR")=0))</f>
      </c>
      <c r="I16251">
        <f>IF(DATOS!$I16251="","",IFERROR(VLOOKUP(DATOS!$I16251,CONFIG_ASIGNATURAS!$B$2:$J$91,9,FALSE()),""))</f>
      </c>
    </row>
    <row r="16252">
      <c r="F16252">
        <f>IF(DATOS!$A16252="","",DATOS!$A16252&amp;"|"&amp;DATOS!$D16252&amp;"|"&amp;DATOS!$E16252&amp;"|"&amp;DATOS!$I16252)</f>
      </c>
      <c r="G16252">
        <f>IF(DATOS!$A16252="",0,IF(CONFIG_METADATA!$B$4&lt;&gt;"OR+EX",--(DATOS!$G16252=CONFIG_METADATA!$B$4),IF(DATOS!$G16252="EX",1,IF(DATOS!$G16252="OR",--(COUNTIFS(nNIA,DATOS!$A16252,nCURSO,DATOS!$D16252,nESPEC,DATOS!$E16252,nASIG,DATOS!$I16252,nEVAL,"EX")=0),0))))</f>
      </c>
      <c r="H16252">
        <f>IF(DATOS!$G16252&lt;&gt;"EX",0,--(COUNTIFS(nNIA,DATOS!$A16252,nCURSO,DATOS!$D16252,nESPEC,DATOS!$E16252,nASIG,DATOS!$I16252,nEVAL,"OR")=0))</f>
      </c>
      <c r="I16252">
        <f>IF(DATOS!$I16252="","",IFERROR(VLOOKUP(DATOS!$I16252,CONFIG_ASIGNATURAS!$B$2:$J$91,9,FALSE()),""))</f>
      </c>
    </row>
    <row r="16253">
      <c r="F16253">
        <f>IF(DATOS!$A16253="","",DATOS!$A16253&amp;"|"&amp;DATOS!$D16253&amp;"|"&amp;DATOS!$E16253&amp;"|"&amp;DATOS!$I16253)</f>
      </c>
      <c r="G16253">
        <f>IF(DATOS!$A16253="",0,IF(CONFIG_METADATA!$B$4&lt;&gt;"OR+EX",--(DATOS!$G16253=CONFIG_METADATA!$B$4),IF(DATOS!$G16253="EX",1,IF(DATOS!$G16253="OR",--(COUNTIFS(nNIA,DATOS!$A16253,nCURSO,DATOS!$D16253,nESPEC,DATOS!$E16253,nASIG,DATOS!$I16253,nEVAL,"EX")=0),0))))</f>
      </c>
      <c r="H16253">
        <f>IF(DATOS!$G16253&lt;&gt;"EX",0,--(COUNTIFS(nNIA,DATOS!$A16253,nCURSO,DATOS!$D16253,nESPEC,DATOS!$E16253,nASIG,DATOS!$I16253,nEVAL,"OR")=0))</f>
      </c>
      <c r="I16253">
        <f>IF(DATOS!$I16253="","",IFERROR(VLOOKUP(DATOS!$I16253,CONFIG_ASIGNATURAS!$B$2:$J$91,9,FALSE()),""))</f>
      </c>
    </row>
    <row r="16254">
      <c r="F16254">
        <f>IF(DATOS!$A16254="","",DATOS!$A16254&amp;"|"&amp;DATOS!$D16254&amp;"|"&amp;DATOS!$E16254&amp;"|"&amp;DATOS!$I16254)</f>
      </c>
      <c r="G16254">
        <f>IF(DATOS!$A16254="",0,IF(CONFIG_METADATA!$B$4&lt;&gt;"OR+EX",--(DATOS!$G16254=CONFIG_METADATA!$B$4),IF(DATOS!$G16254="EX",1,IF(DATOS!$G16254="OR",--(COUNTIFS(nNIA,DATOS!$A16254,nCURSO,DATOS!$D16254,nESPEC,DATOS!$E16254,nASIG,DATOS!$I16254,nEVAL,"EX")=0),0))))</f>
      </c>
      <c r="H16254">
        <f>IF(DATOS!$G16254&lt;&gt;"EX",0,--(COUNTIFS(nNIA,DATOS!$A16254,nCURSO,DATOS!$D16254,nESPEC,DATOS!$E16254,nASIG,DATOS!$I16254,nEVAL,"OR")=0))</f>
      </c>
      <c r="I16254">
        <f>IF(DATOS!$I16254="","",IFERROR(VLOOKUP(DATOS!$I16254,CONFIG_ASIGNATURAS!$B$2:$J$91,9,FALSE()),""))</f>
      </c>
    </row>
    <row r="16255">
      <c r="F16255">
        <f>IF(DATOS!$A16255="","",DATOS!$A16255&amp;"|"&amp;DATOS!$D16255&amp;"|"&amp;DATOS!$E16255&amp;"|"&amp;DATOS!$I16255)</f>
      </c>
      <c r="G16255">
        <f>IF(DATOS!$A16255="",0,IF(CONFIG_METADATA!$B$4&lt;&gt;"OR+EX",--(DATOS!$G16255=CONFIG_METADATA!$B$4),IF(DATOS!$G16255="EX",1,IF(DATOS!$G16255="OR",--(COUNTIFS(nNIA,DATOS!$A16255,nCURSO,DATOS!$D16255,nESPEC,DATOS!$E16255,nASIG,DATOS!$I16255,nEVAL,"EX")=0),0))))</f>
      </c>
      <c r="H16255">
        <f>IF(DATOS!$G16255&lt;&gt;"EX",0,--(COUNTIFS(nNIA,DATOS!$A16255,nCURSO,DATOS!$D16255,nESPEC,DATOS!$E16255,nASIG,DATOS!$I16255,nEVAL,"OR")=0))</f>
      </c>
      <c r="I16255">
        <f>IF(DATOS!$I16255="","",IFERROR(VLOOKUP(DATOS!$I16255,CONFIG_ASIGNATURAS!$B$2:$J$91,9,FALSE()),""))</f>
      </c>
    </row>
    <row r="16256">
      <c r="F16256">
        <f>IF(DATOS!$A16256="","",DATOS!$A16256&amp;"|"&amp;DATOS!$D16256&amp;"|"&amp;DATOS!$E16256&amp;"|"&amp;DATOS!$I16256)</f>
      </c>
      <c r="G16256">
        <f>IF(DATOS!$A16256="",0,IF(CONFIG_METADATA!$B$4&lt;&gt;"OR+EX",--(DATOS!$G16256=CONFIG_METADATA!$B$4),IF(DATOS!$G16256="EX",1,IF(DATOS!$G16256="OR",--(COUNTIFS(nNIA,DATOS!$A16256,nCURSO,DATOS!$D16256,nESPEC,DATOS!$E16256,nASIG,DATOS!$I16256,nEVAL,"EX")=0),0))))</f>
      </c>
      <c r="H16256">
        <f>IF(DATOS!$G16256&lt;&gt;"EX",0,--(COUNTIFS(nNIA,DATOS!$A16256,nCURSO,DATOS!$D16256,nESPEC,DATOS!$E16256,nASIG,DATOS!$I16256,nEVAL,"OR")=0))</f>
      </c>
      <c r="I16256">
        <f>IF(DATOS!$I16256="","",IFERROR(VLOOKUP(DATOS!$I16256,CONFIG_ASIGNATURAS!$B$2:$J$91,9,FALSE()),""))</f>
      </c>
    </row>
    <row r="16257">
      <c r="F16257">
        <f>IF(DATOS!$A16257="","",DATOS!$A16257&amp;"|"&amp;DATOS!$D16257&amp;"|"&amp;DATOS!$E16257&amp;"|"&amp;DATOS!$I16257)</f>
      </c>
      <c r="G16257">
        <f>IF(DATOS!$A16257="",0,IF(CONFIG_METADATA!$B$4&lt;&gt;"OR+EX",--(DATOS!$G16257=CONFIG_METADATA!$B$4),IF(DATOS!$G16257="EX",1,IF(DATOS!$G16257="OR",--(COUNTIFS(nNIA,DATOS!$A16257,nCURSO,DATOS!$D16257,nESPEC,DATOS!$E16257,nASIG,DATOS!$I16257,nEVAL,"EX")=0),0))))</f>
      </c>
      <c r="H16257">
        <f>IF(DATOS!$G16257&lt;&gt;"EX",0,--(COUNTIFS(nNIA,DATOS!$A16257,nCURSO,DATOS!$D16257,nESPEC,DATOS!$E16257,nASIG,DATOS!$I16257,nEVAL,"OR")=0))</f>
      </c>
      <c r="I16257">
        <f>IF(DATOS!$I16257="","",IFERROR(VLOOKUP(DATOS!$I16257,CONFIG_ASIGNATURAS!$B$2:$J$91,9,FALSE()),""))</f>
      </c>
    </row>
    <row r="16258">
      <c r="F16258">
        <f>IF(DATOS!$A16258="","",DATOS!$A16258&amp;"|"&amp;DATOS!$D16258&amp;"|"&amp;DATOS!$E16258&amp;"|"&amp;DATOS!$I16258)</f>
      </c>
      <c r="G16258">
        <f>IF(DATOS!$A16258="",0,IF(CONFIG_METADATA!$B$4&lt;&gt;"OR+EX",--(DATOS!$G16258=CONFIG_METADATA!$B$4),IF(DATOS!$G16258="EX",1,IF(DATOS!$G16258="OR",--(COUNTIFS(nNIA,DATOS!$A16258,nCURSO,DATOS!$D16258,nESPEC,DATOS!$E16258,nASIG,DATOS!$I16258,nEVAL,"EX")=0),0))))</f>
      </c>
      <c r="H16258">
        <f>IF(DATOS!$G16258&lt;&gt;"EX",0,--(COUNTIFS(nNIA,DATOS!$A16258,nCURSO,DATOS!$D16258,nESPEC,DATOS!$E16258,nASIG,DATOS!$I16258,nEVAL,"OR")=0))</f>
      </c>
      <c r="I16258">
        <f>IF(DATOS!$I16258="","",IFERROR(VLOOKUP(DATOS!$I16258,CONFIG_ASIGNATURAS!$B$2:$J$91,9,FALSE()),""))</f>
      </c>
    </row>
    <row r="16259">
      <c r="F16259">
        <f>IF(DATOS!$A16259="","",DATOS!$A16259&amp;"|"&amp;DATOS!$D16259&amp;"|"&amp;DATOS!$E16259&amp;"|"&amp;DATOS!$I16259)</f>
      </c>
      <c r="G16259">
        <f>IF(DATOS!$A16259="",0,IF(CONFIG_METADATA!$B$4&lt;&gt;"OR+EX",--(DATOS!$G16259=CONFIG_METADATA!$B$4),IF(DATOS!$G16259="EX",1,IF(DATOS!$G16259="OR",--(COUNTIFS(nNIA,DATOS!$A16259,nCURSO,DATOS!$D16259,nESPEC,DATOS!$E16259,nASIG,DATOS!$I16259,nEVAL,"EX")=0),0))))</f>
      </c>
      <c r="H16259">
        <f>IF(DATOS!$G16259&lt;&gt;"EX",0,--(COUNTIFS(nNIA,DATOS!$A16259,nCURSO,DATOS!$D16259,nESPEC,DATOS!$E16259,nASIG,DATOS!$I16259,nEVAL,"OR")=0))</f>
      </c>
      <c r="I16259">
        <f>IF(DATOS!$I16259="","",IFERROR(VLOOKUP(DATOS!$I16259,CONFIG_ASIGNATURAS!$B$2:$J$91,9,FALSE()),""))</f>
      </c>
    </row>
    <row r="16260">
      <c r="F16260">
        <f>IF(DATOS!$A16260="","",DATOS!$A16260&amp;"|"&amp;DATOS!$D16260&amp;"|"&amp;DATOS!$E16260&amp;"|"&amp;DATOS!$I16260)</f>
      </c>
      <c r="G16260">
        <f>IF(DATOS!$A16260="",0,IF(CONFIG_METADATA!$B$4&lt;&gt;"OR+EX",--(DATOS!$G16260=CONFIG_METADATA!$B$4),IF(DATOS!$G16260="EX",1,IF(DATOS!$G16260="OR",--(COUNTIFS(nNIA,DATOS!$A16260,nCURSO,DATOS!$D16260,nESPEC,DATOS!$E16260,nASIG,DATOS!$I16260,nEVAL,"EX")=0),0))))</f>
      </c>
      <c r="H16260">
        <f>IF(DATOS!$G16260&lt;&gt;"EX",0,--(COUNTIFS(nNIA,DATOS!$A16260,nCURSO,DATOS!$D16260,nESPEC,DATOS!$E16260,nASIG,DATOS!$I16260,nEVAL,"OR")=0))</f>
      </c>
      <c r="I16260">
        <f>IF(DATOS!$I16260="","",IFERROR(VLOOKUP(DATOS!$I16260,CONFIG_ASIGNATURAS!$B$2:$J$91,9,FALSE()),""))</f>
      </c>
    </row>
    <row r="16261">
      <c r="F16261">
        <f>IF(DATOS!$A16261="","",DATOS!$A16261&amp;"|"&amp;DATOS!$D16261&amp;"|"&amp;DATOS!$E16261&amp;"|"&amp;DATOS!$I16261)</f>
      </c>
      <c r="G16261">
        <f>IF(DATOS!$A16261="",0,IF(CONFIG_METADATA!$B$4&lt;&gt;"OR+EX",--(DATOS!$G16261=CONFIG_METADATA!$B$4),IF(DATOS!$G16261="EX",1,IF(DATOS!$G16261="OR",--(COUNTIFS(nNIA,DATOS!$A16261,nCURSO,DATOS!$D16261,nESPEC,DATOS!$E16261,nASIG,DATOS!$I16261,nEVAL,"EX")=0),0))))</f>
      </c>
      <c r="H16261">
        <f>IF(DATOS!$G16261&lt;&gt;"EX",0,--(COUNTIFS(nNIA,DATOS!$A16261,nCURSO,DATOS!$D16261,nESPEC,DATOS!$E16261,nASIG,DATOS!$I16261,nEVAL,"OR")=0))</f>
      </c>
      <c r="I16261">
        <f>IF(DATOS!$I16261="","",IFERROR(VLOOKUP(DATOS!$I16261,CONFIG_ASIGNATURAS!$B$2:$J$91,9,FALSE()),""))</f>
      </c>
    </row>
    <row r="16262">
      <c r="F16262">
        <f>IF(DATOS!$A16262="","",DATOS!$A16262&amp;"|"&amp;DATOS!$D16262&amp;"|"&amp;DATOS!$E16262&amp;"|"&amp;DATOS!$I16262)</f>
      </c>
      <c r="G16262">
        <f>IF(DATOS!$A16262="",0,IF(CONFIG_METADATA!$B$4&lt;&gt;"OR+EX",--(DATOS!$G16262=CONFIG_METADATA!$B$4),IF(DATOS!$G16262="EX",1,IF(DATOS!$G16262="OR",--(COUNTIFS(nNIA,DATOS!$A16262,nCURSO,DATOS!$D16262,nESPEC,DATOS!$E16262,nASIG,DATOS!$I16262,nEVAL,"EX")=0),0))))</f>
      </c>
      <c r="H16262">
        <f>IF(DATOS!$G16262&lt;&gt;"EX",0,--(COUNTIFS(nNIA,DATOS!$A16262,nCURSO,DATOS!$D16262,nESPEC,DATOS!$E16262,nASIG,DATOS!$I16262,nEVAL,"OR")=0))</f>
      </c>
      <c r="I16262">
        <f>IF(DATOS!$I16262="","",IFERROR(VLOOKUP(DATOS!$I16262,CONFIG_ASIGNATURAS!$B$2:$J$91,9,FALSE()),""))</f>
      </c>
    </row>
    <row r="16263">
      <c r="F16263">
        <f>IF(DATOS!$A16263="","",DATOS!$A16263&amp;"|"&amp;DATOS!$D16263&amp;"|"&amp;DATOS!$E16263&amp;"|"&amp;DATOS!$I16263)</f>
      </c>
      <c r="G16263">
        <f>IF(DATOS!$A16263="",0,IF(CONFIG_METADATA!$B$4&lt;&gt;"OR+EX",--(DATOS!$G16263=CONFIG_METADATA!$B$4),IF(DATOS!$G16263="EX",1,IF(DATOS!$G16263="OR",--(COUNTIFS(nNIA,DATOS!$A16263,nCURSO,DATOS!$D16263,nESPEC,DATOS!$E16263,nASIG,DATOS!$I16263,nEVAL,"EX")=0),0))))</f>
      </c>
      <c r="H16263">
        <f>IF(DATOS!$G16263&lt;&gt;"EX",0,--(COUNTIFS(nNIA,DATOS!$A16263,nCURSO,DATOS!$D16263,nESPEC,DATOS!$E16263,nASIG,DATOS!$I16263,nEVAL,"OR")=0))</f>
      </c>
      <c r="I16263">
        <f>IF(DATOS!$I16263="","",IFERROR(VLOOKUP(DATOS!$I16263,CONFIG_ASIGNATURAS!$B$2:$J$91,9,FALSE()),""))</f>
      </c>
    </row>
    <row r="16264">
      <c r="F16264">
        <f>IF(DATOS!$A16264="","",DATOS!$A16264&amp;"|"&amp;DATOS!$D16264&amp;"|"&amp;DATOS!$E16264&amp;"|"&amp;DATOS!$I16264)</f>
      </c>
      <c r="G16264">
        <f>IF(DATOS!$A16264="",0,IF(CONFIG_METADATA!$B$4&lt;&gt;"OR+EX",--(DATOS!$G16264=CONFIG_METADATA!$B$4),IF(DATOS!$G16264="EX",1,IF(DATOS!$G16264="OR",--(COUNTIFS(nNIA,DATOS!$A16264,nCURSO,DATOS!$D16264,nESPEC,DATOS!$E16264,nASIG,DATOS!$I16264,nEVAL,"EX")=0),0))))</f>
      </c>
      <c r="H16264">
        <f>IF(DATOS!$G16264&lt;&gt;"EX",0,--(COUNTIFS(nNIA,DATOS!$A16264,nCURSO,DATOS!$D16264,nESPEC,DATOS!$E16264,nASIG,DATOS!$I16264,nEVAL,"OR")=0))</f>
      </c>
      <c r="I16264">
        <f>IF(DATOS!$I16264="","",IFERROR(VLOOKUP(DATOS!$I16264,CONFIG_ASIGNATURAS!$B$2:$J$91,9,FALSE()),""))</f>
      </c>
    </row>
    <row r="16265">
      <c r="F16265">
        <f>IF(DATOS!$A16265="","",DATOS!$A16265&amp;"|"&amp;DATOS!$D16265&amp;"|"&amp;DATOS!$E16265&amp;"|"&amp;DATOS!$I16265)</f>
      </c>
      <c r="G16265">
        <f>IF(DATOS!$A16265="",0,IF(CONFIG_METADATA!$B$4&lt;&gt;"OR+EX",--(DATOS!$G16265=CONFIG_METADATA!$B$4),IF(DATOS!$G16265="EX",1,IF(DATOS!$G16265="OR",--(COUNTIFS(nNIA,DATOS!$A16265,nCURSO,DATOS!$D16265,nESPEC,DATOS!$E16265,nASIG,DATOS!$I16265,nEVAL,"EX")=0),0))))</f>
      </c>
      <c r="H16265">
        <f>IF(DATOS!$G16265&lt;&gt;"EX",0,--(COUNTIFS(nNIA,DATOS!$A16265,nCURSO,DATOS!$D16265,nESPEC,DATOS!$E16265,nASIG,DATOS!$I16265,nEVAL,"OR")=0))</f>
      </c>
      <c r="I16265">
        <f>IF(DATOS!$I16265="","",IFERROR(VLOOKUP(DATOS!$I16265,CONFIG_ASIGNATURAS!$B$2:$J$91,9,FALSE()),""))</f>
      </c>
    </row>
    <row r="16266">
      <c r="F16266">
        <f>IF(DATOS!$A16266="","",DATOS!$A16266&amp;"|"&amp;DATOS!$D16266&amp;"|"&amp;DATOS!$E16266&amp;"|"&amp;DATOS!$I16266)</f>
      </c>
      <c r="G16266">
        <f>IF(DATOS!$A16266="",0,IF(CONFIG_METADATA!$B$4&lt;&gt;"OR+EX",--(DATOS!$G16266=CONFIG_METADATA!$B$4),IF(DATOS!$G16266="EX",1,IF(DATOS!$G16266="OR",--(COUNTIFS(nNIA,DATOS!$A16266,nCURSO,DATOS!$D16266,nESPEC,DATOS!$E16266,nASIG,DATOS!$I16266,nEVAL,"EX")=0),0))))</f>
      </c>
      <c r="H16266">
        <f>IF(DATOS!$G16266&lt;&gt;"EX",0,--(COUNTIFS(nNIA,DATOS!$A16266,nCURSO,DATOS!$D16266,nESPEC,DATOS!$E16266,nASIG,DATOS!$I16266,nEVAL,"OR")=0))</f>
      </c>
      <c r="I16266">
        <f>IF(DATOS!$I16266="","",IFERROR(VLOOKUP(DATOS!$I16266,CONFIG_ASIGNATURAS!$B$2:$J$91,9,FALSE()),""))</f>
      </c>
    </row>
    <row r="16267">
      <c r="F16267">
        <f>IF(DATOS!$A16267="","",DATOS!$A16267&amp;"|"&amp;DATOS!$D16267&amp;"|"&amp;DATOS!$E16267&amp;"|"&amp;DATOS!$I16267)</f>
      </c>
      <c r="G16267">
        <f>IF(DATOS!$A16267="",0,IF(CONFIG_METADATA!$B$4&lt;&gt;"OR+EX",--(DATOS!$G16267=CONFIG_METADATA!$B$4),IF(DATOS!$G16267="EX",1,IF(DATOS!$G16267="OR",--(COUNTIFS(nNIA,DATOS!$A16267,nCURSO,DATOS!$D16267,nESPEC,DATOS!$E16267,nASIG,DATOS!$I16267,nEVAL,"EX")=0),0))))</f>
      </c>
      <c r="H16267">
        <f>IF(DATOS!$G16267&lt;&gt;"EX",0,--(COUNTIFS(nNIA,DATOS!$A16267,nCURSO,DATOS!$D16267,nESPEC,DATOS!$E16267,nASIG,DATOS!$I16267,nEVAL,"OR")=0))</f>
      </c>
      <c r="I16267">
        <f>IF(DATOS!$I16267="","",IFERROR(VLOOKUP(DATOS!$I16267,CONFIG_ASIGNATURAS!$B$2:$J$91,9,FALSE()),""))</f>
      </c>
    </row>
    <row r="16268">
      <c r="F16268">
        <f>IF(DATOS!$A16268="","",DATOS!$A16268&amp;"|"&amp;DATOS!$D16268&amp;"|"&amp;DATOS!$E16268&amp;"|"&amp;DATOS!$I16268)</f>
      </c>
      <c r="G16268">
        <f>IF(DATOS!$A16268="",0,IF(CONFIG_METADATA!$B$4&lt;&gt;"OR+EX",--(DATOS!$G16268=CONFIG_METADATA!$B$4),IF(DATOS!$G16268="EX",1,IF(DATOS!$G16268="OR",--(COUNTIFS(nNIA,DATOS!$A16268,nCURSO,DATOS!$D16268,nESPEC,DATOS!$E16268,nASIG,DATOS!$I16268,nEVAL,"EX")=0),0))))</f>
      </c>
      <c r="H16268">
        <f>IF(DATOS!$G16268&lt;&gt;"EX",0,--(COUNTIFS(nNIA,DATOS!$A16268,nCURSO,DATOS!$D16268,nESPEC,DATOS!$E16268,nASIG,DATOS!$I16268,nEVAL,"OR")=0))</f>
      </c>
      <c r="I16268">
        <f>IF(DATOS!$I16268="","",IFERROR(VLOOKUP(DATOS!$I16268,CONFIG_ASIGNATURAS!$B$2:$J$91,9,FALSE()),""))</f>
      </c>
    </row>
    <row r="16269">
      <c r="F16269">
        <f>IF(DATOS!$A16269="","",DATOS!$A16269&amp;"|"&amp;DATOS!$D16269&amp;"|"&amp;DATOS!$E16269&amp;"|"&amp;DATOS!$I16269)</f>
      </c>
      <c r="G16269">
        <f>IF(DATOS!$A16269="",0,IF(CONFIG_METADATA!$B$4&lt;&gt;"OR+EX",--(DATOS!$G16269=CONFIG_METADATA!$B$4),IF(DATOS!$G16269="EX",1,IF(DATOS!$G16269="OR",--(COUNTIFS(nNIA,DATOS!$A16269,nCURSO,DATOS!$D16269,nESPEC,DATOS!$E16269,nASIG,DATOS!$I16269,nEVAL,"EX")=0),0))))</f>
      </c>
      <c r="H16269">
        <f>IF(DATOS!$G16269&lt;&gt;"EX",0,--(COUNTIFS(nNIA,DATOS!$A16269,nCURSO,DATOS!$D16269,nESPEC,DATOS!$E16269,nASIG,DATOS!$I16269,nEVAL,"OR")=0))</f>
      </c>
      <c r="I16269">
        <f>IF(DATOS!$I16269="","",IFERROR(VLOOKUP(DATOS!$I16269,CONFIG_ASIGNATURAS!$B$2:$J$91,9,FALSE()),""))</f>
      </c>
    </row>
    <row r="16270">
      <c r="F16270">
        <f>IF(DATOS!$A16270="","",DATOS!$A16270&amp;"|"&amp;DATOS!$D16270&amp;"|"&amp;DATOS!$E16270&amp;"|"&amp;DATOS!$I16270)</f>
      </c>
      <c r="G16270">
        <f>IF(DATOS!$A16270="",0,IF(CONFIG_METADATA!$B$4&lt;&gt;"OR+EX",--(DATOS!$G16270=CONFIG_METADATA!$B$4),IF(DATOS!$G16270="EX",1,IF(DATOS!$G16270="OR",--(COUNTIFS(nNIA,DATOS!$A16270,nCURSO,DATOS!$D16270,nESPEC,DATOS!$E16270,nASIG,DATOS!$I16270,nEVAL,"EX")=0),0))))</f>
      </c>
      <c r="H16270">
        <f>IF(DATOS!$G16270&lt;&gt;"EX",0,--(COUNTIFS(nNIA,DATOS!$A16270,nCURSO,DATOS!$D16270,nESPEC,DATOS!$E16270,nASIG,DATOS!$I16270,nEVAL,"OR")=0))</f>
      </c>
      <c r="I16270">
        <f>IF(DATOS!$I16270="","",IFERROR(VLOOKUP(DATOS!$I16270,CONFIG_ASIGNATURAS!$B$2:$J$91,9,FALSE()),""))</f>
      </c>
    </row>
    <row r="16271">
      <c r="F16271">
        <f>IF(DATOS!$A16271="","",DATOS!$A16271&amp;"|"&amp;DATOS!$D16271&amp;"|"&amp;DATOS!$E16271&amp;"|"&amp;DATOS!$I16271)</f>
      </c>
      <c r="G16271">
        <f>IF(DATOS!$A16271="",0,IF(CONFIG_METADATA!$B$4&lt;&gt;"OR+EX",--(DATOS!$G16271=CONFIG_METADATA!$B$4),IF(DATOS!$G16271="EX",1,IF(DATOS!$G16271="OR",--(COUNTIFS(nNIA,DATOS!$A16271,nCURSO,DATOS!$D16271,nESPEC,DATOS!$E16271,nASIG,DATOS!$I16271,nEVAL,"EX")=0),0))))</f>
      </c>
      <c r="H16271">
        <f>IF(DATOS!$G16271&lt;&gt;"EX",0,--(COUNTIFS(nNIA,DATOS!$A16271,nCURSO,DATOS!$D16271,nESPEC,DATOS!$E16271,nASIG,DATOS!$I16271,nEVAL,"OR")=0))</f>
      </c>
      <c r="I16271">
        <f>IF(DATOS!$I16271="","",IFERROR(VLOOKUP(DATOS!$I16271,CONFIG_ASIGNATURAS!$B$2:$J$91,9,FALSE()),""))</f>
      </c>
    </row>
    <row r="16272">
      <c r="F16272">
        <f>IF(DATOS!$A16272="","",DATOS!$A16272&amp;"|"&amp;DATOS!$D16272&amp;"|"&amp;DATOS!$E16272&amp;"|"&amp;DATOS!$I16272)</f>
      </c>
      <c r="G16272">
        <f>IF(DATOS!$A16272="",0,IF(CONFIG_METADATA!$B$4&lt;&gt;"OR+EX",--(DATOS!$G16272=CONFIG_METADATA!$B$4),IF(DATOS!$G16272="EX",1,IF(DATOS!$G16272="OR",--(COUNTIFS(nNIA,DATOS!$A16272,nCURSO,DATOS!$D16272,nESPEC,DATOS!$E16272,nASIG,DATOS!$I16272,nEVAL,"EX")=0),0))))</f>
      </c>
      <c r="H16272">
        <f>IF(DATOS!$G16272&lt;&gt;"EX",0,--(COUNTIFS(nNIA,DATOS!$A16272,nCURSO,DATOS!$D16272,nESPEC,DATOS!$E16272,nASIG,DATOS!$I16272,nEVAL,"OR")=0))</f>
      </c>
      <c r="I16272">
        <f>IF(DATOS!$I16272="","",IFERROR(VLOOKUP(DATOS!$I16272,CONFIG_ASIGNATURAS!$B$2:$J$91,9,FALSE()),""))</f>
      </c>
    </row>
    <row r="16273">
      <c r="F16273">
        <f>IF(DATOS!$A16273="","",DATOS!$A16273&amp;"|"&amp;DATOS!$D16273&amp;"|"&amp;DATOS!$E16273&amp;"|"&amp;DATOS!$I16273)</f>
      </c>
      <c r="G16273">
        <f>IF(DATOS!$A16273="",0,IF(CONFIG_METADATA!$B$4&lt;&gt;"OR+EX",--(DATOS!$G16273=CONFIG_METADATA!$B$4),IF(DATOS!$G16273="EX",1,IF(DATOS!$G16273="OR",--(COUNTIFS(nNIA,DATOS!$A16273,nCURSO,DATOS!$D16273,nESPEC,DATOS!$E16273,nASIG,DATOS!$I16273,nEVAL,"EX")=0),0))))</f>
      </c>
      <c r="H16273">
        <f>IF(DATOS!$G16273&lt;&gt;"EX",0,--(COUNTIFS(nNIA,DATOS!$A16273,nCURSO,DATOS!$D16273,nESPEC,DATOS!$E16273,nASIG,DATOS!$I16273,nEVAL,"OR")=0))</f>
      </c>
      <c r="I16273">
        <f>IF(DATOS!$I16273="","",IFERROR(VLOOKUP(DATOS!$I16273,CONFIG_ASIGNATURAS!$B$2:$J$91,9,FALSE()),""))</f>
      </c>
    </row>
    <row r="16274">
      <c r="F16274">
        <f>IF(DATOS!$A16274="","",DATOS!$A16274&amp;"|"&amp;DATOS!$D16274&amp;"|"&amp;DATOS!$E16274&amp;"|"&amp;DATOS!$I16274)</f>
      </c>
      <c r="G16274">
        <f>IF(DATOS!$A16274="",0,IF(CONFIG_METADATA!$B$4&lt;&gt;"OR+EX",--(DATOS!$G16274=CONFIG_METADATA!$B$4),IF(DATOS!$G16274="EX",1,IF(DATOS!$G16274="OR",--(COUNTIFS(nNIA,DATOS!$A16274,nCURSO,DATOS!$D16274,nESPEC,DATOS!$E16274,nASIG,DATOS!$I16274,nEVAL,"EX")=0),0))))</f>
      </c>
      <c r="H16274">
        <f>IF(DATOS!$G16274&lt;&gt;"EX",0,--(COUNTIFS(nNIA,DATOS!$A16274,nCURSO,DATOS!$D16274,nESPEC,DATOS!$E16274,nASIG,DATOS!$I16274,nEVAL,"OR")=0))</f>
      </c>
      <c r="I16274">
        <f>IF(DATOS!$I16274="","",IFERROR(VLOOKUP(DATOS!$I16274,CONFIG_ASIGNATURAS!$B$2:$J$91,9,FALSE()),""))</f>
      </c>
    </row>
    <row r="16275">
      <c r="F16275">
        <f>IF(DATOS!$A16275="","",DATOS!$A16275&amp;"|"&amp;DATOS!$D16275&amp;"|"&amp;DATOS!$E16275&amp;"|"&amp;DATOS!$I16275)</f>
      </c>
      <c r="G16275">
        <f>IF(DATOS!$A16275="",0,IF(CONFIG_METADATA!$B$4&lt;&gt;"OR+EX",--(DATOS!$G16275=CONFIG_METADATA!$B$4),IF(DATOS!$G16275="EX",1,IF(DATOS!$G16275="OR",--(COUNTIFS(nNIA,DATOS!$A16275,nCURSO,DATOS!$D16275,nESPEC,DATOS!$E16275,nASIG,DATOS!$I16275,nEVAL,"EX")=0),0))))</f>
      </c>
      <c r="H16275">
        <f>IF(DATOS!$G16275&lt;&gt;"EX",0,--(COUNTIFS(nNIA,DATOS!$A16275,nCURSO,DATOS!$D16275,nESPEC,DATOS!$E16275,nASIG,DATOS!$I16275,nEVAL,"OR")=0))</f>
      </c>
      <c r="I16275">
        <f>IF(DATOS!$I16275="","",IFERROR(VLOOKUP(DATOS!$I16275,CONFIG_ASIGNATURAS!$B$2:$J$91,9,FALSE()),""))</f>
      </c>
    </row>
    <row r="16276">
      <c r="F16276">
        <f>IF(DATOS!$A16276="","",DATOS!$A16276&amp;"|"&amp;DATOS!$D16276&amp;"|"&amp;DATOS!$E16276&amp;"|"&amp;DATOS!$I16276)</f>
      </c>
      <c r="G16276">
        <f>IF(DATOS!$A16276="",0,IF(CONFIG_METADATA!$B$4&lt;&gt;"OR+EX",--(DATOS!$G16276=CONFIG_METADATA!$B$4),IF(DATOS!$G16276="EX",1,IF(DATOS!$G16276="OR",--(COUNTIFS(nNIA,DATOS!$A16276,nCURSO,DATOS!$D16276,nESPEC,DATOS!$E16276,nASIG,DATOS!$I16276,nEVAL,"EX")=0),0))))</f>
      </c>
      <c r="H16276">
        <f>IF(DATOS!$G16276&lt;&gt;"EX",0,--(COUNTIFS(nNIA,DATOS!$A16276,nCURSO,DATOS!$D16276,nESPEC,DATOS!$E16276,nASIG,DATOS!$I16276,nEVAL,"OR")=0))</f>
      </c>
      <c r="I16276">
        <f>IF(DATOS!$I16276="","",IFERROR(VLOOKUP(DATOS!$I16276,CONFIG_ASIGNATURAS!$B$2:$J$91,9,FALSE()),""))</f>
      </c>
    </row>
    <row r="16277">
      <c r="F16277">
        <f>IF(DATOS!$A16277="","",DATOS!$A16277&amp;"|"&amp;DATOS!$D16277&amp;"|"&amp;DATOS!$E16277&amp;"|"&amp;DATOS!$I16277)</f>
      </c>
      <c r="G16277">
        <f>IF(DATOS!$A16277="",0,IF(CONFIG_METADATA!$B$4&lt;&gt;"OR+EX",--(DATOS!$G16277=CONFIG_METADATA!$B$4),IF(DATOS!$G16277="EX",1,IF(DATOS!$G16277="OR",--(COUNTIFS(nNIA,DATOS!$A16277,nCURSO,DATOS!$D16277,nESPEC,DATOS!$E16277,nASIG,DATOS!$I16277,nEVAL,"EX")=0),0))))</f>
      </c>
      <c r="H16277">
        <f>IF(DATOS!$G16277&lt;&gt;"EX",0,--(COUNTIFS(nNIA,DATOS!$A16277,nCURSO,DATOS!$D16277,nESPEC,DATOS!$E16277,nASIG,DATOS!$I16277,nEVAL,"OR")=0))</f>
      </c>
      <c r="I16277">
        <f>IF(DATOS!$I16277="","",IFERROR(VLOOKUP(DATOS!$I16277,CONFIG_ASIGNATURAS!$B$2:$J$91,9,FALSE()),""))</f>
      </c>
    </row>
    <row r="16278">
      <c r="F16278">
        <f>IF(DATOS!$A16278="","",DATOS!$A16278&amp;"|"&amp;DATOS!$D16278&amp;"|"&amp;DATOS!$E16278&amp;"|"&amp;DATOS!$I16278)</f>
      </c>
      <c r="G16278">
        <f>IF(DATOS!$A16278="",0,IF(CONFIG_METADATA!$B$4&lt;&gt;"OR+EX",--(DATOS!$G16278=CONFIG_METADATA!$B$4),IF(DATOS!$G16278="EX",1,IF(DATOS!$G16278="OR",--(COUNTIFS(nNIA,DATOS!$A16278,nCURSO,DATOS!$D16278,nESPEC,DATOS!$E16278,nASIG,DATOS!$I16278,nEVAL,"EX")=0),0))))</f>
      </c>
      <c r="H16278">
        <f>IF(DATOS!$G16278&lt;&gt;"EX",0,--(COUNTIFS(nNIA,DATOS!$A16278,nCURSO,DATOS!$D16278,nESPEC,DATOS!$E16278,nASIG,DATOS!$I16278,nEVAL,"OR")=0))</f>
      </c>
      <c r="I16278">
        <f>IF(DATOS!$I16278="","",IFERROR(VLOOKUP(DATOS!$I16278,CONFIG_ASIGNATURAS!$B$2:$J$91,9,FALSE()),""))</f>
      </c>
    </row>
    <row r="16279">
      <c r="F16279">
        <f>IF(DATOS!$A16279="","",DATOS!$A16279&amp;"|"&amp;DATOS!$D16279&amp;"|"&amp;DATOS!$E16279&amp;"|"&amp;DATOS!$I16279)</f>
      </c>
      <c r="G16279">
        <f>IF(DATOS!$A16279="",0,IF(CONFIG_METADATA!$B$4&lt;&gt;"OR+EX",--(DATOS!$G16279=CONFIG_METADATA!$B$4),IF(DATOS!$G16279="EX",1,IF(DATOS!$G16279="OR",--(COUNTIFS(nNIA,DATOS!$A16279,nCURSO,DATOS!$D16279,nESPEC,DATOS!$E16279,nASIG,DATOS!$I16279,nEVAL,"EX")=0),0))))</f>
      </c>
      <c r="H16279">
        <f>IF(DATOS!$G16279&lt;&gt;"EX",0,--(COUNTIFS(nNIA,DATOS!$A16279,nCURSO,DATOS!$D16279,nESPEC,DATOS!$E16279,nASIG,DATOS!$I16279,nEVAL,"OR")=0))</f>
      </c>
      <c r="I16279">
        <f>IF(DATOS!$I16279="","",IFERROR(VLOOKUP(DATOS!$I16279,CONFIG_ASIGNATURAS!$B$2:$J$91,9,FALSE()),""))</f>
      </c>
    </row>
    <row r="16280">
      <c r="F16280">
        <f>IF(DATOS!$A16280="","",DATOS!$A16280&amp;"|"&amp;DATOS!$D16280&amp;"|"&amp;DATOS!$E16280&amp;"|"&amp;DATOS!$I16280)</f>
      </c>
      <c r="G16280">
        <f>IF(DATOS!$A16280="",0,IF(CONFIG_METADATA!$B$4&lt;&gt;"OR+EX",--(DATOS!$G16280=CONFIG_METADATA!$B$4),IF(DATOS!$G16280="EX",1,IF(DATOS!$G16280="OR",--(COUNTIFS(nNIA,DATOS!$A16280,nCURSO,DATOS!$D16280,nESPEC,DATOS!$E16280,nASIG,DATOS!$I16280,nEVAL,"EX")=0),0))))</f>
      </c>
      <c r="H16280">
        <f>IF(DATOS!$G16280&lt;&gt;"EX",0,--(COUNTIFS(nNIA,DATOS!$A16280,nCURSO,DATOS!$D16280,nESPEC,DATOS!$E16280,nASIG,DATOS!$I16280,nEVAL,"OR")=0))</f>
      </c>
      <c r="I16280">
        <f>IF(DATOS!$I16280="","",IFERROR(VLOOKUP(DATOS!$I16280,CONFIG_ASIGNATURAS!$B$2:$J$91,9,FALSE()),""))</f>
      </c>
    </row>
    <row r="16281">
      <c r="F16281">
        <f>IF(DATOS!$A16281="","",DATOS!$A16281&amp;"|"&amp;DATOS!$D16281&amp;"|"&amp;DATOS!$E16281&amp;"|"&amp;DATOS!$I16281)</f>
      </c>
      <c r="G16281">
        <f>IF(DATOS!$A16281="",0,IF(CONFIG_METADATA!$B$4&lt;&gt;"OR+EX",--(DATOS!$G16281=CONFIG_METADATA!$B$4),IF(DATOS!$G16281="EX",1,IF(DATOS!$G16281="OR",--(COUNTIFS(nNIA,DATOS!$A16281,nCURSO,DATOS!$D16281,nESPEC,DATOS!$E16281,nASIG,DATOS!$I16281,nEVAL,"EX")=0),0))))</f>
      </c>
      <c r="H16281">
        <f>IF(DATOS!$G16281&lt;&gt;"EX",0,--(COUNTIFS(nNIA,DATOS!$A16281,nCURSO,DATOS!$D16281,nESPEC,DATOS!$E16281,nASIG,DATOS!$I16281,nEVAL,"OR")=0))</f>
      </c>
      <c r="I16281">
        <f>IF(DATOS!$I16281="","",IFERROR(VLOOKUP(DATOS!$I16281,CONFIG_ASIGNATURAS!$B$2:$J$91,9,FALSE()),""))</f>
      </c>
    </row>
    <row r="16282">
      <c r="F16282">
        <f>IF(DATOS!$A16282="","",DATOS!$A16282&amp;"|"&amp;DATOS!$D16282&amp;"|"&amp;DATOS!$E16282&amp;"|"&amp;DATOS!$I16282)</f>
      </c>
      <c r="G16282">
        <f>IF(DATOS!$A16282="",0,IF(CONFIG_METADATA!$B$4&lt;&gt;"OR+EX",--(DATOS!$G16282=CONFIG_METADATA!$B$4),IF(DATOS!$G16282="EX",1,IF(DATOS!$G16282="OR",--(COUNTIFS(nNIA,DATOS!$A16282,nCURSO,DATOS!$D16282,nESPEC,DATOS!$E16282,nASIG,DATOS!$I16282,nEVAL,"EX")=0),0))))</f>
      </c>
      <c r="H16282">
        <f>IF(DATOS!$G16282&lt;&gt;"EX",0,--(COUNTIFS(nNIA,DATOS!$A16282,nCURSO,DATOS!$D16282,nESPEC,DATOS!$E16282,nASIG,DATOS!$I16282,nEVAL,"OR")=0))</f>
      </c>
      <c r="I16282">
        <f>IF(DATOS!$I16282="","",IFERROR(VLOOKUP(DATOS!$I16282,CONFIG_ASIGNATURAS!$B$2:$J$91,9,FALSE()),""))</f>
      </c>
    </row>
    <row r="16283">
      <c r="F16283">
        <f>IF(DATOS!$A16283="","",DATOS!$A16283&amp;"|"&amp;DATOS!$D16283&amp;"|"&amp;DATOS!$E16283&amp;"|"&amp;DATOS!$I16283)</f>
      </c>
      <c r="G16283">
        <f>IF(DATOS!$A16283="",0,IF(CONFIG_METADATA!$B$4&lt;&gt;"OR+EX",--(DATOS!$G16283=CONFIG_METADATA!$B$4),IF(DATOS!$G16283="EX",1,IF(DATOS!$G16283="OR",--(COUNTIFS(nNIA,DATOS!$A16283,nCURSO,DATOS!$D16283,nESPEC,DATOS!$E16283,nASIG,DATOS!$I16283,nEVAL,"EX")=0),0))))</f>
      </c>
      <c r="H16283">
        <f>IF(DATOS!$G16283&lt;&gt;"EX",0,--(COUNTIFS(nNIA,DATOS!$A16283,nCURSO,DATOS!$D16283,nESPEC,DATOS!$E16283,nASIG,DATOS!$I16283,nEVAL,"OR")=0))</f>
      </c>
      <c r="I16283">
        <f>IF(DATOS!$I16283="","",IFERROR(VLOOKUP(DATOS!$I16283,CONFIG_ASIGNATURAS!$B$2:$J$91,9,FALSE()),""))</f>
      </c>
    </row>
    <row r="16284">
      <c r="F16284">
        <f>IF(DATOS!$A16284="","",DATOS!$A16284&amp;"|"&amp;DATOS!$D16284&amp;"|"&amp;DATOS!$E16284&amp;"|"&amp;DATOS!$I16284)</f>
      </c>
      <c r="G16284">
        <f>IF(DATOS!$A16284="",0,IF(CONFIG_METADATA!$B$4&lt;&gt;"OR+EX",--(DATOS!$G16284=CONFIG_METADATA!$B$4),IF(DATOS!$G16284="EX",1,IF(DATOS!$G16284="OR",--(COUNTIFS(nNIA,DATOS!$A16284,nCURSO,DATOS!$D16284,nESPEC,DATOS!$E16284,nASIG,DATOS!$I16284,nEVAL,"EX")=0),0))))</f>
      </c>
      <c r="H16284">
        <f>IF(DATOS!$G16284&lt;&gt;"EX",0,--(COUNTIFS(nNIA,DATOS!$A16284,nCURSO,DATOS!$D16284,nESPEC,DATOS!$E16284,nASIG,DATOS!$I16284,nEVAL,"OR")=0))</f>
      </c>
      <c r="I16284">
        <f>IF(DATOS!$I16284="","",IFERROR(VLOOKUP(DATOS!$I16284,CONFIG_ASIGNATURAS!$B$2:$J$91,9,FALSE()),""))</f>
      </c>
    </row>
    <row r="16285">
      <c r="F16285">
        <f>IF(DATOS!$A16285="","",DATOS!$A16285&amp;"|"&amp;DATOS!$D16285&amp;"|"&amp;DATOS!$E16285&amp;"|"&amp;DATOS!$I16285)</f>
      </c>
      <c r="G16285">
        <f>IF(DATOS!$A16285="",0,IF(CONFIG_METADATA!$B$4&lt;&gt;"OR+EX",--(DATOS!$G16285=CONFIG_METADATA!$B$4),IF(DATOS!$G16285="EX",1,IF(DATOS!$G16285="OR",--(COUNTIFS(nNIA,DATOS!$A16285,nCURSO,DATOS!$D16285,nESPEC,DATOS!$E16285,nASIG,DATOS!$I16285,nEVAL,"EX")=0),0))))</f>
      </c>
      <c r="H16285">
        <f>IF(DATOS!$G16285&lt;&gt;"EX",0,--(COUNTIFS(nNIA,DATOS!$A16285,nCURSO,DATOS!$D16285,nESPEC,DATOS!$E16285,nASIG,DATOS!$I16285,nEVAL,"OR")=0))</f>
      </c>
      <c r="I16285">
        <f>IF(DATOS!$I16285="","",IFERROR(VLOOKUP(DATOS!$I16285,CONFIG_ASIGNATURAS!$B$2:$J$91,9,FALSE()),""))</f>
      </c>
    </row>
    <row r="16286">
      <c r="F16286">
        <f>IF(DATOS!$A16286="","",DATOS!$A16286&amp;"|"&amp;DATOS!$D16286&amp;"|"&amp;DATOS!$E16286&amp;"|"&amp;DATOS!$I16286)</f>
      </c>
      <c r="G16286">
        <f>IF(DATOS!$A16286="",0,IF(CONFIG_METADATA!$B$4&lt;&gt;"OR+EX",--(DATOS!$G16286=CONFIG_METADATA!$B$4),IF(DATOS!$G16286="EX",1,IF(DATOS!$G16286="OR",--(COUNTIFS(nNIA,DATOS!$A16286,nCURSO,DATOS!$D16286,nESPEC,DATOS!$E16286,nASIG,DATOS!$I16286,nEVAL,"EX")=0),0))))</f>
      </c>
      <c r="H16286">
        <f>IF(DATOS!$G16286&lt;&gt;"EX",0,--(COUNTIFS(nNIA,DATOS!$A16286,nCURSO,DATOS!$D16286,nESPEC,DATOS!$E16286,nASIG,DATOS!$I16286,nEVAL,"OR")=0))</f>
      </c>
      <c r="I16286">
        <f>IF(DATOS!$I16286="","",IFERROR(VLOOKUP(DATOS!$I16286,CONFIG_ASIGNATURAS!$B$2:$J$91,9,FALSE()),""))</f>
      </c>
    </row>
    <row r="16287">
      <c r="F16287">
        <f>IF(DATOS!$A16287="","",DATOS!$A16287&amp;"|"&amp;DATOS!$D16287&amp;"|"&amp;DATOS!$E16287&amp;"|"&amp;DATOS!$I16287)</f>
      </c>
      <c r="G16287">
        <f>IF(DATOS!$A16287="",0,IF(CONFIG_METADATA!$B$4&lt;&gt;"OR+EX",--(DATOS!$G16287=CONFIG_METADATA!$B$4),IF(DATOS!$G16287="EX",1,IF(DATOS!$G16287="OR",--(COUNTIFS(nNIA,DATOS!$A16287,nCURSO,DATOS!$D16287,nESPEC,DATOS!$E16287,nASIG,DATOS!$I16287,nEVAL,"EX")=0),0))))</f>
      </c>
      <c r="H16287">
        <f>IF(DATOS!$G16287&lt;&gt;"EX",0,--(COUNTIFS(nNIA,DATOS!$A16287,nCURSO,DATOS!$D16287,nESPEC,DATOS!$E16287,nASIG,DATOS!$I16287,nEVAL,"OR")=0))</f>
      </c>
      <c r="I16287">
        <f>IF(DATOS!$I16287="","",IFERROR(VLOOKUP(DATOS!$I16287,CONFIG_ASIGNATURAS!$B$2:$J$91,9,FALSE()),""))</f>
      </c>
    </row>
    <row r="16288">
      <c r="F16288">
        <f>IF(DATOS!$A16288="","",DATOS!$A16288&amp;"|"&amp;DATOS!$D16288&amp;"|"&amp;DATOS!$E16288&amp;"|"&amp;DATOS!$I16288)</f>
      </c>
      <c r="G16288">
        <f>IF(DATOS!$A16288="",0,IF(CONFIG_METADATA!$B$4&lt;&gt;"OR+EX",--(DATOS!$G16288=CONFIG_METADATA!$B$4),IF(DATOS!$G16288="EX",1,IF(DATOS!$G16288="OR",--(COUNTIFS(nNIA,DATOS!$A16288,nCURSO,DATOS!$D16288,nESPEC,DATOS!$E16288,nASIG,DATOS!$I16288,nEVAL,"EX")=0),0))))</f>
      </c>
      <c r="H16288">
        <f>IF(DATOS!$G16288&lt;&gt;"EX",0,--(COUNTIFS(nNIA,DATOS!$A16288,nCURSO,DATOS!$D16288,nESPEC,DATOS!$E16288,nASIG,DATOS!$I16288,nEVAL,"OR")=0))</f>
      </c>
      <c r="I16288">
        <f>IF(DATOS!$I16288="","",IFERROR(VLOOKUP(DATOS!$I16288,CONFIG_ASIGNATURAS!$B$2:$J$91,9,FALSE()),""))</f>
      </c>
    </row>
    <row r="16289">
      <c r="F16289">
        <f>IF(DATOS!$A16289="","",DATOS!$A16289&amp;"|"&amp;DATOS!$D16289&amp;"|"&amp;DATOS!$E16289&amp;"|"&amp;DATOS!$I16289)</f>
      </c>
      <c r="G16289">
        <f>IF(DATOS!$A16289="",0,IF(CONFIG_METADATA!$B$4&lt;&gt;"OR+EX",--(DATOS!$G16289=CONFIG_METADATA!$B$4),IF(DATOS!$G16289="EX",1,IF(DATOS!$G16289="OR",--(COUNTIFS(nNIA,DATOS!$A16289,nCURSO,DATOS!$D16289,nESPEC,DATOS!$E16289,nASIG,DATOS!$I16289,nEVAL,"EX")=0),0))))</f>
      </c>
      <c r="H16289">
        <f>IF(DATOS!$G16289&lt;&gt;"EX",0,--(COUNTIFS(nNIA,DATOS!$A16289,nCURSO,DATOS!$D16289,nESPEC,DATOS!$E16289,nASIG,DATOS!$I16289,nEVAL,"OR")=0))</f>
      </c>
      <c r="I16289">
        <f>IF(DATOS!$I16289="","",IFERROR(VLOOKUP(DATOS!$I16289,CONFIG_ASIGNATURAS!$B$2:$J$91,9,FALSE()),""))</f>
      </c>
    </row>
    <row r="16290">
      <c r="F16290">
        <f>IF(DATOS!$A16290="","",DATOS!$A16290&amp;"|"&amp;DATOS!$D16290&amp;"|"&amp;DATOS!$E16290&amp;"|"&amp;DATOS!$I16290)</f>
      </c>
      <c r="G16290">
        <f>IF(DATOS!$A16290="",0,IF(CONFIG_METADATA!$B$4&lt;&gt;"OR+EX",--(DATOS!$G16290=CONFIG_METADATA!$B$4),IF(DATOS!$G16290="EX",1,IF(DATOS!$G16290="OR",--(COUNTIFS(nNIA,DATOS!$A16290,nCURSO,DATOS!$D16290,nESPEC,DATOS!$E16290,nASIG,DATOS!$I16290,nEVAL,"EX")=0),0))))</f>
      </c>
      <c r="H16290">
        <f>IF(DATOS!$G16290&lt;&gt;"EX",0,--(COUNTIFS(nNIA,DATOS!$A16290,nCURSO,DATOS!$D16290,nESPEC,DATOS!$E16290,nASIG,DATOS!$I16290,nEVAL,"OR")=0))</f>
      </c>
      <c r="I16290">
        <f>IF(DATOS!$I16290="","",IFERROR(VLOOKUP(DATOS!$I16290,CONFIG_ASIGNATURAS!$B$2:$J$91,9,FALSE()),""))</f>
      </c>
    </row>
    <row r="16291">
      <c r="F16291">
        <f>IF(DATOS!$A16291="","",DATOS!$A16291&amp;"|"&amp;DATOS!$D16291&amp;"|"&amp;DATOS!$E16291&amp;"|"&amp;DATOS!$I16291)</f>
      </c>
      <c r="G16291">
        <f>IF(DATOS!$A16291="",0,IF(CONFIG_METADATA!$B$4&lt;&gt;"OR+EX",--(DATOS!$G16291=CONFIG_METADATA!$B$4),IF(DATOS!$G16291="EX",1,IF(DATOS!$G16291="OR",--(COUNTIFS(nNIA,DATOS!$A16291,nCURSO,DATOS!$D16291,nESPEC,DATOS!$E16291,nASIG,DATOS!$I16291,nEVAL,"EX")=0),0))))</f>
      </c>
      <c r="H16291">
        <f>IF(DATOS!$G16291&lt;&gt;"EX",0,--(COUNTIFS(nNIA,DATOS!$A16291,nCURSO,DATOS!$D16291,nESPEC,DATOS!$E16291,nASIG,DATOS!$I16291,nEVAL,"OR")=0))</f>
      </c>
      <c r="I16291">
        <f>IF(DATOS!$I16291="","",IFERROR(VLOOKUP(DATOS!$I16291,CONFIG_ASIGNATURAS!$B$2:$J$91,9,FALSE()),""))</f>
      </c>
    </row>
    <row r="16292">
      <c r="F16292">
        <f>IF(DATOS!$A16292="","",DATOS!$A16292&amp;"|"&amp;DATOS!$D16292&amp;"|"&amp;DATOS!$E16292&amp;"|"&amp;DATOS!$I16292)</f>
      </c>
      <c r="G16292">
        <f>IF(DATOS!$A16292="",0,IF(CONFIG_METADATA!$B$4&lt;&gt;"OR+EX",--(DATOS!$G16292=CONFIG_METADATA!$B$4),IF(DATOS!$G16292="EX",1,IF(DATOS!$G16292="OR",--(COUNTIFS(nNIA,DATOS!$A16292,nCURSO,DATOS!$D16292,nESPEC,DATOS!$E16292,nASIG,DATOS!$I16292,nEVAL,"EX")=0),0))))</f>
      </c>
      <c r="H16292">
        <f>IF(DATOS!$G16292&lt;&gt;"EX",0,--(COUNTIFS(nNIA,DATOS!$A16292,nCURSO,DATOS!$D16292,nESPEC,DATOS!$E16292,nASIG,DATOS!$I16292,nEVAL,"OR")=0))</f>
      </c>
      <c r="I16292">
        <f>IF(DATOS!$I16292="","",IFERROR(VLOOKUP(DATOS!$I16292,CONFIG_ASIGNATURAS!$B$2:$J$91,9,FALSE()),""))</f>
      </c>
    </row>
    <row r="16293">
      <c r="F16293">
        <f>IF(DATOS!$A16293="","",DATOS!$A16293&amp;"|"&amp;DATOS!$D16293&amp;"|"&amp;DATOS!$E16293&amp;"|"&amp;DATOS!$I16293)</f>
      </c>
      <c r="G16293">
        <f>IF(DATOS!$A16293="",0,IF(CONFIG_METADATA!$B$4&lt;&gt;"OR+EX",--(DATOS!$G16293=CONFIG_METADATA!$B$4),IF(DATOS!$G16293="EX",1,IF(DATOS!$G16293="OR",--(COUNTIFS(nNIA,DATOS!$A16293,nCURSO,DATOS!$D16293,nESPEC,DATOS!$E16293,nASIG,DATOS!$I16293,nEVAL,"EX")=0),0))))</f>
      </c>
      <c r="H16293">
        <f>IF(DATOS!$G16293&lt;&gt;"EX",0,--(COUNTIFS(nNIA,DATOS!$A16293,nCURSO,DATOS!$D16293,nESPEC,DATOS!$E16293,nASIG,DATOS!$I16293,nEVAL,"OR")=0))</f>
      </c>
      <c r="I16293">
        <f>IF(DATOS!$I16293="","",IFERROR(VLOOKUP(DATOS!$I16293,CONFIG_ASIGNATURAS!$B$2:$J$91,9,FALSE()),""))</f>
      </c>
    </row>
    <row r="16294">
      <c r="F16294">
        <f>IF(DATOS!$A16294="","",DATOS!$A16294&amp;"|"&amp;DATOS!$D16294&amp;"|"&amp;DATOS!$E16294&amp;"|"&amp;DATOS!$I16294)</f>
      </c>
      <c r="G16294">
        <f>IF(DATOS!$A16294="",0,IF(CONFIG_METADATA!$B$4&lt;&gt;"OR+EX",--(DATOS!$G16294=CONFIG_METADATA!$B$4),IF(DATOS!$G16294="EX",1,IF(DATOS!$G16294="OR",--(COUNTIFS(nNIA,DATOS!$A16294,nCURSO,DATOS!$D16294,nESPEC,DATOS!$E16294,nASIG,DATOS!$I16294,nEVAL,"EX")=0),0))))</f>
      </c>
      <c r="H16294">
        <f>IF(DATOS!$G16294&lt;&gt;"EX",0,--(COUNTIFS(nNIA,DATOS!$A16294,nCURSO,DATOS!$D16294,nESPEC,DATOS!$E16294,nASIG,DATOS!$I16294,nEVAL,"OR")=0))</f>
      </c>
      <c r="I16294">
        <f>IF(DATOS!$I16294="","",IFERROR(VLOOKUP(DATOS!$I16294,CONFIG_ASIGNATURAS!$B$2:$J$91,9,FALSE()),""))</f>
      </c>
    </row>
    <row r="16295">
      <c r="F16295">
        <f>IF(DATOS!$A16295="","",DATOS!$A16295&amp;"|"&amp;DATOS!$D16295&amp;"|"&amp;DATOS!$E16295&amp;"|"&amp;DATOS!$I16295)</f>
      </c>
      <c r="G16295">
        <f>IF(DATOS!$A16295="",0,IF(CONFIG_METADATA!$B$4&lt;&gt;"OR+EX",--(DATOS!$G16295=CONFIG_METADATA!$B$4),IF(DATOS!$G16295="EX",1,IF(DATOS!$G16295="OR",--(COUNTIFS(nNIA,DATOS!$A16295,nCURSO,DATOS!$D16295,nESPEC,DATOS!$E16295,nASIG,DATOS!$I16295,nEVAL,"EX")=0),0))))</f>
      </c>
      <c r="H16295">
        <f>IF(DATOS!$G16295&lt;&gt;"EX",0,--(COUNTIFS(nNIA,DATOS!$A16295,nCURSO,DATOS!$D16295,nESPEC,DATOS!$E16295,nASIG,DATOS!$I16295,nEVAL,"OR")=0))</f>
      </c>
      <c r="I16295">
        <f>IF(DATOS!$I16295="","",IFERROR(VLOOKUP(DATOS!$I16295,CONFIG_ASIGNATURAS!$B$2:$J$91,9,FALSE()),""))</f>
      </c>
    </row>
    <row r="16296">
      <c r="F16296">
        <f>IF(DATOS!$A16296="","",DATOS!$A16296&amp;"|"&amp;DATOS!$D16296&amp;"|"&amp;DATOS!$E16296&amp;"|"&amp;DATOS!$I16296)</f>
      </c>
      <c r="G16296">
        <f>IF(DATOS!$A16296="",0,IF(CONFIG_METADATA!$B$4&lt;&gt;"OR+EX",--(DATOS!$G16296=CONFIG_METADATA!$B$4),IF(DATOS!$G16296="EX",1,IF(DATOS!$G16296="OR",--(COUNTIFS(nNIA,DATOS!$A16296,nCURSO,DATOS!$D16296,nESPEC,DATOS!$E16296,nASIG,DATOS!$I16296,nEVAL,"EX")=0),0))))</f>
      </c>
      <c r="H16296">
        <f>IF(DATOS!$G16296&lt;&gt;"EX",0,--(COUNTIFS(nNIA,DATOS!$A16296,nCURSO,DATOS!$D16296,nESPEC,DATOS!$E16296,nASIG,DATOS!$I16296,nEVAL,"OR")=0))</f>
      </c>
      <c r="I16296">
        <f>IF(DATOS!$I16296="","",IFERROR(VLOOKUP(DATOS!$I16296,CONFIG_ASIGNATURAS!$B$2:$J$91,9,FALSE()),""))</f>
      </c>
    </row>
    <row r="16297">
      <c r="F16297">
        <f>IF(DATOS!$A16297="","",DATOS!$A16297&amp;"|"&amp;DATOS!$D16297&amp;"|"&amp;DATOS!$E16297&amp;"|"&amp;DATOS!$I16297)</f>
      </c>
      <c r="G16297">
        <f>IF(DATOS!$A16297="",0,IF(CONFIG_METADATA!$B$4&lt;&gt;"OR+EX",--(DATOS!$G16297=CONFIG_METADATA!$B$4),IF(DATOS!$G16297="EX",1,IF(DATOS!$G16297="OR",--(COUNTIFS(nNIA,DATOS!$A16297,nCURSO,DATOS!$D16297,nESPEC,DATOS!$E16297,nASIG,DATOS!$I16297,nEVAL,"EX")=0),0))))</f>
      </c>
      <c r="H16297">
        <f>IF(DATOS!$G16297&lt;&gt;"EX",0,--(COUNTIFS(nNIA,DATOS!$A16297,nCURSO,DATOS!$D16297,nESPEC,DATOS!$E16297,nASIG,DATOS!$I16297,nEVAL,"OR")=0))</f>
      </c>
      <c r="I16297">
        <f>IF(DATOS!$I16297="","",IFERROR(VLOOKUP(DATOS!$I16297,CONFIG_ASIGNATURAS!$B$2:$J$91,9,FALSE()),""))</f>
      </c>
    </row>
    <row r="16298">
      <c r="F16298">
        <f>IF(DATOS!$A16298="","",DATOS!$A16298&amp;"|"&amp;DATOS!$D16298&amp;"|"&amp;DATOS!$E16298&amp;"|"&amp;DATOS!$I16298)</f>
      </c>
      <c r="G16298">
        <f>IF(DATOS!$A16298="",0,IF(CONFIG_METADATA!$B$4&lt;&gt;"OR+EX",--(DATOS!$G16298=CONFIG_METADATA!$B$4),IF(DATOS!$G16298="EX",1,IF(DATOS!$G16298="OR",--(COUNTIFS(nNIA,DATOS!$A16298,nCURSO,DATOS!$D16298,nESPEC,DATOS!$E16298,nASIG,DATOS!$I16298,nEVAL,"EX")=0),0))))</f>
      </c>
      <c r="H16298">
        <f>IF(DATOS!$G16298&lt;&gt;"EX",0,--(COUNTIFS(nNIA,DATOS!$A16298,nCURSO,DATOS!$D16298,nESPEC,DATOS!$E16298,nASIG,DATOS!$I16298,nEVAL,"OR")=0))</f>
      </c>
      <c r="I16298">
        <f>IF(DATOS!$I16298="","",IFERROR(VLOOKUP(DATOS!$I16298,CONFIG_ASIGNATURAS!$B$2:$J$91,9,FALSE()),""))</f>
      </c>
    </row>
    <row r="16299">
      <c r="F16299">
        <f>IF(DATOS!$A16299="","",DATOS!$A16299&amp;"|"&amp;DATOS!$D16299&amp;"|"&amp;DATOS!$E16299&amp;"|"&amp;DATOS!$I16299)</f>
      </c>
      <c r="G16299">
        <f>IF(DATOS!$A16299="",0,IF(CONFIG_METADATA!$B$4&lt;&gt;"OR+EX",--(DATOS!$G16299=CONFIG_METADATA!$B$4),IF(DATOS!$G16299="EX",1,IF(DATOS!$G16299="OR",--(COUNTIFS(nNIA,DATOS!$A16299,nCURSO,DATOS!$D16299,nESPEC,DATOS!$E16299,nASIG,DATOS!$I16299,nEVAL,"EX")=0),0))))</f>
      </c>
      <c r="H16299">
        <f>IF(DATOS!$G16299&lt;&gt;"EX",0,--(COUNTIFS(nNIA,DATOS!$A16299,nCURSO,DATOS!$D16299,nESPEC,DATOS!$E16299,nASIG,DATOS!$I16299,nEVAL,"OR")=0))</f>
      </c>
      <c r="I16299">
        <f>IF(DATOS!$I16299="","",IFERROR(VLOOKUP(DATOS!$I16299,CONFIG_ASIGNATURAS!$B$2:$J$91,9,FALSE()),""))</f>
      </c>
    </row>
    <row r="16300">
      <c r="F16300">
        <f>IF(DATOS!$A16300="","",DATOS!$A16300&amp;"|"&amp;DATOS!$D16300&amp;"|"&amp;DATOS!$E16300&amp;"|"&amp;DATOS!$I16300)</f>
      </c>
      <c r="G16300">
        <f>IF(DATOS!$A16300="",0,IF(CONFIG_METADATA!$B$4&lt;&gt;"OR+EX",--(DATOS!$G16300=CONFIG_METADATA!$B$4),IF(DATOS!$G16300="EX",1,IF(DATOS!$G16300="OR",--(COUNTIFS(nNIA,DATOS!$A16300,nCURSO,DATOS!$D16300,nESPEC,DATOS!$E16300,nASIG,DATOS!$I16300,nEVAL,"EX")=0),0))))</f>
      </c>
      <c r="H16300">
        <f>IF(DATOS!$G16300&lt;&gt;"EX",0,--(COUNTIFS(nNIA,DATOS!$A16300,nCURSO,DATOS!$D16300,nESPEC,DATOS!$E16300,nASIG,DATOS!$I16300,nEVAL,"OR")=0))</f>
      </c>
      <c r="I16300">
        <f>IF(DATOS!$I16300="","",IFERROR(VLOOKUP(DATOS!$I16300,CONFIG_ASIGNATURAS!$B$2:$J$91,9,FALSE()),""))</f>
      </c>
    </row>
    <row r="16301">
      <c r="F16301">
        <f>IF(DATOS!$A16301="","",DATOS!$A16301&amp;"|"&amp;DATOS!$D16301&amp;"|"&amp;DATOS!$E16301&amp;"|"&amp;DATOS!$I16301)</f>
      </c>
      <c r="G16301">
        <f>IF(DATOS!$A16301="",0,IF(CONFIG_METADATA!$B$4&lt;&gt;"OR+EX",--(DATOS!$G16301=CONFIG_METADATA!$B$4),IF(DATOS!$G16301="EX",1,IF(DATOS!$G16301="OR",--(COUNTIFS(nNIA,DATOS!$A16301,nCURSO,DATOS!$D16301,nESPEC,DATOS!$E16301,nASIG,DATOS!$I16301,nEVAL,"EX")=0),0))))</f>
      </c>
      <c r="H16301">
        <f>IF(DATOS!$G16301&lt;&gt;"EX",0,--(COUNTIFS(nNIA,DATOS!$A16301,nCURSO,DATOS!$D16301,nESPEC,DATOS!$E16301,nASIG,DATOS!$I16301,nEVAL,"OR")=0))</f>
      </c>
      <c r="I16301">
        <f>IF(DATOS!$I16301="","",IFERROR(VLOOKUP(DATOS!$I16301,CONFIG_ASIGNATURAS!$B$2:$J$91,9,FALSE()),""))</f>
      </c>
    </row>
    <row r="16302">
      <c r="F16302">
        <f>IF(DATOS!$A16302="","",DATOS!$A16302&amp;"|"&amp;DATOS!$D16302&amp;"|"&amp;DATOS!$E16302&amp;"|"&amp;DATOS!$I16302)</f>
      </c>
      <c r="G16302">
        <f>IF(DATOS!$A16302="",0,IF(CONFIG_METADATA!$B$4&lt;&gt;"OR+EX",--(DATOS!$G16302=CONFIG_METADATA!$B$4),IF(DATOS!$G16302="EX",1,IF(DATOS!$G16302="OR",--(COUNTIFS(nNIA,DATOS!$A16302,nCURSO,DATOS!$D16302,nESPEC,DATOS!$E16302,nASIG,DATOS!$I16302,nEVAL,"EX")=0),0))))</f>
      </c>
      <c r="H16302">
        <f>IF(DATOS!$G16302&lt;&gt;"EX",0,--(COUNTIFS(nNIA,DATOS!$A16302,nCURSO,DATOS!$D16302,nESPEC,DATOS!$E16302,nASIG,DATOS!$I16302,nEVAL,"OR")=0))</f>
      </c>
      <c r="I16302">
        <f>IF(DATOS!$I16302="","",IFERROR(VLOOKUP(DATOS!$I16302,CONFIG_ASIGNATURAS!$B$2:$J$91,9,FALSE()),""))</f>
      </c>
    </row>
    <row r="16303">
      <c r="F16303">
        <f>IF(DATOS!$A16303="","",DATOS!$A16303&amp;"|"&amp;DATOS!$D16303&amp;"|"&amp;DATOS!$E16303&amp;"|"&amp;DATOS!$I16303)</f>
      </c>
      <c r="G16303">
        <f>IF(DATOS!$A16303="",0,IF(CONFIG_METADATA!$B$4&lt;&gt;"OR+EX",--(DATOS!$G16303=CONFIG_METADATA!$B$4),IF(DATOS!$G16303="EX",1,IF(DATOS!$G16303="OR",--(COUNTIFS(nNIA,DATOS!$A16303,nCURSO,DATOS!$D16303,nESPEC,DATOS!$E16303,nASIG,DATOS!$I16303,nEVAL,"EX")=0),0))))</f>
      </c>
      <c r="H16303">
        <f>IF(DATOS!$G16303&lt;&gt;"EX",0,--(COUNTIFS(nNIA,DATOS!$A16303,nCURSO,DATOS!$D16303,nESPEC,DATOS!$E16303,nASIG,DATOS!$I16303,nEVAL,"OR")=0))</f>
      </c>
      <c r="I16303">
        <f>IF(DATOS!$I16303="","",IFERROR(VLOOKUP(DATOS!$I16303,CONFIG_ASIGNATURAS!$B$2:$J$91,9,FALSE()),""))</f>
      </c>
    </row>
    <row r="16304">
      <c r="F16304">
        <f>IF(DATOS!$A16304="","",DATOS!$A16304&amp;"|"&amp;DATOS!$D16304&amp;"|"&amp;DATOS!$E16304&amp;"|"&amp;DATOS!$I16304)</f>
      </c>
      <c r="G16304">
        <f>IF(DATOS!$A16304="",0,IF(CONFIG_METADATA!$B$4&lt;&gt;"OR+EX",--(DATOS!$G16304=CONFIG_METADATA!$B$4),IF(DATOS!$G16304="EX",1,IF(DATOS!$G16304="OR",--(COUNTIFS(nNIA,DATOS!$A16304,nCURSO,DATOS!$D16304,nESPEC,DATOS!$E16304,nASIG,DATOS!$I16304,nEVAL,"EX")=0),0))))</f>
      </c>
      <c r="H16304">
        <f>IF(DATOS!$G16304&lt;&gt;"EX",0,--(COUNTIFS(nNIA,DATOS!$A16304,nCURSO,DATOS!$D16304,nESPEC,DATOS!$E16304,nASIG,DATOS!$I16304,nEVAL,"OR")=0))</f>
      </c>
      <c r="I16304">
        <f>IF(DATOS!$I16304="","",IFERROR(VLOOKUP(DATOS!$I16304,CONFIG_ASIGNATURAS!$B$2:$J$91,9,FALSE()),""))</f>
      </c>
    </row>
    <row r="16305">
      <c r="F16305">
        <f>IF(DATOS!$A16305="","",DATOS!$A16305&amp;"|"&amp;DATOS!$D16305&amp;"|"&amp;DATOS!$E16305&amp;"|"&amp;DATOS!$I16305)</f>
      </c>
      <c r="G16305">
        <f>IF(DATOS!$A16305="",0,IF(CONFIG_METADATA!$B$4&lt;&gt;"OR+EX",--(DATOS!$G16305=CONFIG_METADATA!$B$4),IF(DATOS!$G16305="EX",1,IF(DATOS!$G16305="OR",--(COUNTIFS(nNIA,DATOS!$A16305,nCURSO,DATOS!$D16305,nESPEC,DATOS!$E16305,nASIG,DATOS!$I16305,nEVAL,"EX")=0),0))))</f>
      </c>
      <c r="H16305">
        <f>IF(DATOS!$G16305&lt;&gt;"EX",0,--(COUNTIFS(nNIA,DATOS!$A16305,nCURSO,DATOS!$D16305,nESPEC,DATOS!$E16305,nASIG,DATOS!$I16305,nEVAL,"OR")=0))</f>
      </c>
      <c r="I16305">
        <f>IF(DATOS!$I16305="","",IFERROR(VLOOKUP(DATOS!$I16305,CONFIG_ASIGNATURAS!$B$2:$J$91,9,FALSE()),""))</f>
      </c>
    </row>
    <row r="16306">
      <c r="F16306">
        <f>IF(DATOS!$A16306="","",DATOS!$A16306&amp;"|"&amp;DATOS!$D16306&amp;"|"&amp;DATOS!$E16306&amp;"|"&amp;DATOS!$I16306)</f>
      </c>
      <c r="G16306">
        <f>IF(DATOS!$A16306="",0,IF(CONFIG_METADATA!$B$4&lt;&gt;"OR+EX",--(DATOS!$G16306=CONFIG_METADATA!$B$4),IF(DATOS!$G16306="EX",1,IF(DATOS!$G16306="OR",--(COUNTIFS(nNIA,DATOS!$A16306,nCURSO,DATOS!$D16306,nESPEC,DATOS!$E16306,nASIG,DATOS!$I16306,nEVAL,"EX")=0),0))))</f>
      </c>
      <c r="H16306">
        <f>IF(DATOS!$G16306&lt;&gt;"EX",0,--(COUNTIFS(nNIA,DATOS!$A16306,nCURSO,DATOS!$D16306,nESPEC,DATOS!$E16306,nASIG,DATOS!$I16306,nEVAL,"OR")=0))</f>
      </c>
      <c r="I16306">
        <f>IF(DATOS!$I16306="","",IFERROR(VLOOKUP(DATOS!$I16306,CONFIG_ASIGNATURAS!$B$2:$J$91,9,FALSE()),""))</f>
      </c>
    </row>
    <row r="16307">
      <c r="F16307">
        <f>IF(DATOS!$A16307="","",DATOS!$A16307&amp;"|"&amp;DATOS!$D16307&amp;"|"&amp;DATOS!$E16307&amp;"|"&amp;DATOS!$I16307)</f>
      </c>
      <c r="G16307">
        <f>IF(DATOS!$A16307="",0,IF(CONFIG_METADATA!$B$4&lt;&gt;"OR+EX",--(DATOS!$G16307=CONFIG_METADATA!$B$4),IF(DATOS!$G16307="EX",1,IF(DATOS!$G16307="OR",--(COUNTIFS(nNIA,DATOS!$A16307,nCURSO,DATOS!$D16307,nESPEC,DATOS!$E16307,nASIG,DATOS!$I16307,nEVAL,"EX")=0),0))))</f>
      </c>
      <c r="H16307">
        <f>IF(DATOS!$G16307&lt;&gt;"EX",0,--(COUNTIFS(nNIA,DATOS!$A16307,nCURSO,DATOS!$D16307,nESPEC,DATOS!$E16307,nASIG,DATOS!$I16307,nEVAL,"OR")=0))</f>
      </c>
      <c r="I16307">
        <f>IF(DATOS!$I16307="","",IFERROR(VLOOKUP(DATOS!$I16307,CONFIG_ASIGNATURAS!$B$2:$J$91,9,FALSE()),""))</f>
      </c>
    </row>
    <row r="16308">
      <c r="F16308">
        <f>IF(DATOS!$A16308="","",DATOS!$A16308&amp;"|"&amp;DATOS!$D16308&amp;"|"&amp;DATOS!$E16308&amp;"|"&amp;DATOS!$I16308)</f>
      </c>
      <c r="G16308">
        <f>IF(DATOS!$A16308="",0,IF(CONFIG_METADATA!$B$4&lt;&gt;"OR+EX",--(DATOS!$G16308=CONFIG_METADATA!$B$4),IF(DATOS!$G16308="EX",1,IF(DATOS!$G16308="OR",--(COUNTIFS(nNIA,DATOS!$A16308,nCURSO,DATOS!$D16308,nESPEC,DATOS!$E16308,nASIG,DATOS!$I16308,nEVAL,"EX")=0),0))))</f>
      </c>
      <c r="H16308">
        <f>IF(DATOS!$G16308&lt;&gt;"EX",0,--(COUNTIFS(nNIA,DATOS!$A16308,nCURSO,DATOS!$D16308,nESPEC,DATOS!$E16308,nASIG,DATOS!$I16308,nEVAL,"OR")=0))</f>
      </c>
      <c r="I16308">
        <f>IF(DATOS!$I16308="","",IFERROR(VLOOKUP(DATOS!$I16308,CONFIG_ASIGNATURAS!$B$2:$J$91,9,FALSE()),""))</f>
      </c>
    </row>
    <row r="16309">
      <c r="F16309">
        <f>IF(DATOS!$A16309="","",DATOS!$A16309&amp;"|"&amp;DATOS!$D16309&amp;"|"&amp;DATOS!$E16309&amp;"|"&amp;DATOS!$I16309)</f>
      </c>
      <c r="G16309">
        <f>IF(DATOS!$A16309="",0,IF(CONFIG_METADATA!$B$4&lt;&gt;"OR+EX",--(DATOS!$G16309=CONFIG_METADATA!$B$4),IF(DATOS!$G16309="EX",1,IF(DATOS!$G16309="OR",--(COUNTIFS(nNIA,DATOS!$A16309,nCURSO,DATOS!$D16309,nESPEC,DATOS!$E16309,nASIG,DATOS!$I16309,nEVAL,"EX")=0),0))))</f>
      </c>
      <c r="H16309">
        <f>IF(DATOS!$G16309&lt;&gt;"EX",0,--(COUNTIFS(nNIA,DATOS!$A16309,nCURSO,DATOS!$D16309,nESPEC,DATOS!$E16309,nASIG,DATOS!$I16309,nEVAL,"OR")=0))</f>
      </c>
      <c r="I16309">
        <f>IF(DATOS!$I16309="","",IFERROR(VLOOKUP(DATOS!$I16309,CONFIG_ASIGNATURAS!$B$2:$J$91,9,FALSE()),""))</f>
      </c>
    </row>
    <row r="16310">
      <c r="F16310">
        <f>IF(DATOS!$A16310="","",DATOS!$A16310&amp;"|"&amp;DATOS!$D16310&amp;"|"&amp;DATOS!$E16310&amp;"|"&amp;DATOS!$I16310)</f>
      </c>
      <c r="G16310">
        <f>IF(DATOS!$A16310="",0,IF(CONFIG_METADATA!$B$4&lt;&gt;"OR+EX",--(DATOS!$G16310=CONFIG_METADATA!$B$4),IF(DATOS!$G16310="EX",1,IF(DATOS!$G16310="OR",--(COUNTIFS(nNIA,DATOS!$A16310,nCURSO,DATOS!$D16310,nESPEC,DATOS!$E16310,nASIG,DATOS!$I16310,nEVAL,"EX")=0),0))))</f>
      </c>
      <c r="H16310">
        <f>IF(DATOS!$G16310&lt;&gt;"EX",0,--(COUNTIFS(nNIA,DATOS!$A16310,nCURSO,DATOS!$D16310,nESPEC,DATOS!$E16310,nASIG,DATOS!$I16310,nEVAL,"OR")=0))</f>
      </c>
      <c r="I16310">
        <f>IF(DATOS!$I16310="","",IFERROR(VLOOKUP(DATOS!$I16310,CONFIG_ASIGNATURAS!$B$2:$J$91,9,FALSE()),""))</f>
      </c>
    </row>
    <row r="16311">
      <c r="F16311">
        <f>IF(DATOS!$A16311="","",DATOS!$A16311&amp;"|"&amp;DATOS!$D16311&amp;"|"&amp;DATOS!$E16311&amp;"|"&amp;DATOS!$I16311)</f>
      </c>
      <c r="G16311">
        <f>IF(DATOS!$A16311="",0,IF(CONFIG_METADATA!$B$4&lt;&gt;"OR+EX",--(DATOS!$G16311=CONFIG_METADATA!$B$4),IF(DATOS!$G16311="EX",1,IF(DATOS!$G16311="OR",--(COUNTIFS(nNIA,DATOS!$A16311,nCURSO,DATOS!$D16311,nESPEC,DATOS!$E16311,nASIG,DATOS!$I16311,nEVAL,"EX")=0),0))))</f>
      </c>
      <c r="H16311">
        <f>IF(DATOS!$G16311&lt;&gt;"EX",0,--(COUNTIFS(nNIA,DATOS!$A16311,nCURSO,DATOS!$D16311,nESPEC,DATOS!$E16311,nASIG,DATOS!$I16311,nEVAL,"OR")=0))</f>
      </c>
      <c r="I16311">
        <f>IF(DATOS!$I16311="","",IFERROR(VLOOKUP(DATOS!$I16311,CONFIG_ASIGNATURAS!$B$2:$J$91,9,FALSE()),""))</f>
      </c>
    </row>
    <row r="16312">
      <c r="F16312">
        <f>IF(DATOS!$A16312="","",DATOS!$A16312&amp;"|"&amp;DATOS!$D16312&amp;"|"&amp;DATOS!$E16312&amp;"|"&amp;DATOS!$I16312)</f>
      </c>
      <c r="G16312">
        <f>IF(DATOS!$A16312="",0,IF(CONFIG_METADATA!$B$4&lt;&gt;"OR+EX",--(DATOS!$G16312=CONFIG_METADATA!$B$4),IF(DATOS!$G16312="EX",1,IF(DATOS!$G16312="OR",--(COUNTIFS(nNIA,DATOS!$A16312,nCURSO,DATOS!$D16312,nESPEC,DATOS!$E16312,nASIG,DATOS!$I16312,nEVAL,"EX")=0),0))))</f>
      </c>
      <c r="H16312">
        <f>IF(DATOS!$G16312&lt;&gt;"EX",0,--(COUNTIFS(nNIA,DATOS!$A16312,nCURSO,DATOS!$D16312,nESPEC,DATOS!$E16312,nASIG,DATOS!$I16312,nEVAL,"OR")=0))</f>
      </c>
      <c r="I16312">
        <f>IF(DATOS!$I16312="","",IFERROR(VLOOKUP(DATOS!$I16312,CONFIG_ASIGNATURAS!$B$2:$J$91,9,FALSE()),""))</f>
      </c>
    </row>
    <row r="16313">
      <c r="F16313">
        <f>IF(DATOS!$A16313="","",DATOS!$A16313&amp;"|"&amp;DATOS!$D16313&amp;"|"&amp;DATOS!$E16313&amp;"|"&amp;DATOS!$I16313)</f>
      </c>
      <c r="G16313">
        <f>IF(DATOS!$A16313="",0,IF(CONFIG_METADATA!$B$4&lt;&gt;"OR+EX",--(DATOS!$G16313=CONFIG_METADATA!$B$4),IF(DATOS!$G16313="EX",1,IF(DATOS!$G16313="OR",--(COUNTIFS(nNIA,DATOS!$A16313,nCURSO,DATOS!$D16313,nESPEC,DATOS!$E16313,nASIG,DATOS!$I16313,nEVAL,"EX")=0),0))))</f>
      </c>
      <c r="H16313">
        <f>IF(DATOS!$G16313&lt;&gt;"EX",0,--(COUNTIFS(nNIA,DATOS!$A16313,nCURSO,DATOS!$D16313,nESPEC,DATOS!$E16313,nASIG,DATOS!$I16313,nEVAL,"OR")=0))</f>
      </c>
      <c r="I16313">
        <f>IF(DATOS!$I16313="","",IFERROR(VLOOKUP(DATOS!$I16313,CONFIG_ASIGNATURAS!$B$2:$J$91,9,FALSE()),""))</f>
      </c>
    </row>
    <row r="16314">
      <c r="F16314">
        <f>IF(DATOS!$A16314="","",DATOS!$A16314&amp;"|"&amp;DATOS!$D16314&amp;"|"&amp;DATOS!$E16314&amp;"|"&amp;DATOS!$I16314)</f>
      </c>
      <c r="G16314">
        <f>IF(DATOS!$A16314="",0,IF(CONFIG_METADATA!$B$4&lt;&gt;"OR+EX",--(DATOS!$G16314=CONFIG_METADATA!$B$4),IF(DATOS!$G16314="EX",1,IF(DATOS!$G16314="OR",--(COUNTIFS(nNIA,DATOS!$A16314,nCURSO,DATOS!$D16314,nESPEC,DATOS!$E16314,nASIG,DATOS!$I16314,nEVAL,"EX")=0),0))))</f>
      </c>
      <c r="H16314">
        <f>IF(DATOS!$G16314&lt;&gt;"EX",0,--(COUNTIFS(nNIA,DATOS!$A16314,nCURSO,DATOS!$D16314,nESPEC,DATOS!$E16314,nASIG,DATOS!$I16314,nEVAL,"OR")=0))</f>
      </c>
      <c r="I16314">
        <f>IF(DATOS!$I16314="","",IFERROR(VLOOKUP(DATOS!$I16314,CONFIG_ASIGNATURAS!$B$2:$J$91,9,FALSE()),""))</f>
      </c>
    </row>
    <row r="16315">
      <c r="F16315">
        <f>IF(DATOS!$A16315="","",DATOS!$A16315&amp;"|"&amp;DATOS!$D16315&amp;"|"&amp;DATOS!$E16315&amp;"|"&amp;DATOS!$I16315)</f>
      </c>
      <c r="G16315">
        <f>IF(DATOS!$A16315="",0,IF(CONFIG_METADATA!$B$4&lt;&gt;"OR+EX",--(DATOS!$G16315=CONFIG_METADATA!$B$4),IF(DATOS!$G16315="EX",1,IF(DATOS!$G16315="OR",--(COUNTIFS(nNIA,DATOS!$A16315,nCURSO,DATOS!$D16315,nESPEC,DATOS!$E16315,nASIG,DATOS!$I16315,nEVAL,"EX")=0),0))))</f>
      </c>
      <c r="H16315">
        <f>IF(DATOS!$G16315&lt;&gt;"EX",0,--(COUNTIFS(nNIA,DATOS!$A16315,nCURSO,DATOS!$D16315,nESPEC,DATOS!$E16315,nASIG,DATOS!$I16315,nEVAL,"OR")=0))</f>
      </c>
      <c r="I16315">
        <f>IF(DATOS!$I16315="","",IFERROR(VLOOKUP(DATOS!$I16315,CONFIG_ASIGNATURAS!$B$2:$J$91,9,FALSE()),""))</f>
      </c>
    </row>
    <row r="16316">
      <c r="F16316">
        <f>IF(DATOS!$A16316="","",DATOS!$A16316&amp;"|"&amp;DATOS!$D16316&amp;"|"&amp;DATOS!$E16316&amp;"|"&amp;DATOS!$I16316)</f>
      </c>
      <c r="G16316">
        <f>IF(DATOS!$A16316="",0,IF(CONFIG_METADATA!$B$4&lt;&gt;"OR+EX",--(DATOS!$G16316=CONFIG_METADATA!$B$4),IF(DATOS!$G16316="EX",1,IF(DATOS!$G16316="OR",--(COUNTIFS(nNIA,DATOS!$A16316,nCURSO,DATOS!$D16316,nESPEC,DATOS!$E16316,nASIG,DATOS!$I16316,nEVAL,"EX")=0),0))))</f>
      </c>
      <c r="H16316">
        <f>IF(DATOS!$G16316&lt;&gt;"EX",0,--(COUNTIFS(nNIA,DATOS!$A16316,nCURSO,DATOS!$D16316,nESPEC,DATOS!$E16316,nASIG,DATOS!$I16316,nEVAL,"OR")=0))</f>
      </c>
      <c r="I16316">
        <f>IF(DATOS!$I16316="","",IFERROR(VLOOKUP(DATOS!$I16316,CONFIG_ASIGNATURAS!$B$2:$J$91,9,FALSE()),""))</f>
      </c>
    </row>
    <row r="16317">
      <c r="F16317">
        <f>IF(DATOS!$A16317="","",DATOS!$A16317&amp;"|"&amp;DATOS!$D16317&amp;"|"&amp;DATOS!$E16317&amp;"|"&amp;DATOS!$I16317)</f>
      </c>
      <c r="G16317">
        <f>IF(DATOS!$A16317="",0,IF(CONFIG_METADATA!$B$4&lt;&gt;"OR+EX",--(DATOS!$G16317=CONFIG_METADATA!$B$4),IF(DATOS!$G16317="EX",1,IF(DATOS!$G16317="OR",--(COUNTIFS(nNIA,DATOS!$A16317,nCURSO,DATOS!$D16317,nESPEC,DATOS!$E16317,nASIG,DATOS!$I16317,nEVAL,"EX")=0),0))))</f>
      </c>
      <c r="H16317">
        <f>IF(DATOS!$G16317&lt;&gt;"EX",0,--(COUNTIFS(nNIA,DATOS!$A16317,nCURSO,DATOS!$D16317,nESPEC,DATOS!$E16317,nASIG,DATOS!$I16317,nEVAL,"OR")=0))</f>
      </c>
      <c r="I16317">
        <f>IF(DATOS!$I16317="","",IFERROR(VLOOKUP(DATOS!$I16317,CONFIG_ASIGNATURAS!$B$2:$J$91,9,FALSE()),""))</f>
      </c>
    </row>
    <row r="16318">
      <c r="F16318">
        <f>IF(DATOS!$A16318="","",DATOS!$A16318&amp;"|"&amp;DATOS!$D16318&amp;"|"&amp;DATOS!$E16318&amp;"|"&amp;DATOS!$I16318)</f>
      </c>
      <c r="G16318">
        <f>IF(DATOS!$A16318="",0,IF(CONFIG_METADATA!$B$4&lt;&gt;"OR+EX",--(DATOS!$G16318=CONFIG_METADATA!$B$4),IF(DATOS!$G16318="EX",1,IF(DATOS!$G16318="OR",--(COUNTIFS(nNIA,DATOS!$A16318,nCURSO,DATOS!$D16318,nESPEC,DATOS!$E16318,nASIG,DATOS!$I16318,nEVAL,"EX")=0),0))))</f>
      </c>
      <c r="H16318">
        <f>IF(DATOS!$G16318&lt;&gt;"EX",0,--(COUNTIFS(nNIA,DATOS!$A16318,nCURSO,DATOS!$D16318,nESPEC,DATOS!$E16318,nASIG,DATOS!$I16318,nEVAL,"OR")=0))</f>
      </c>
      <c r="I16318">
        <f>IF(DATOS!$I16318="","",IFERROR(VLOOKUP(DATOS!$I16318,CONFIG_ASIGNATURAS!$B$2:$J$91,9,FALSE()),""))</f>
      </c>
    </row>
    <row r="16319">
      <c r="F16319">
        <f>IF(DATOS!$A16319="","",DATOS!$A16319&amp;"|"&amp;DATOS!$D16319&amp;"|"&amp;DATOS!$E16319&amp;"|"&amp;DATOS!$I16319)</f>
      </c>
      <c r="G16319">
        <f>IF(DATOS!$A16319="",0,IF(CONFIG_METADATA!$B$4&lt;&gt;"OR+EX",--(DATOS!$G16319=CONFIG_METADATA!$B$4),IF(DATOS!$G16319="EX",1,IF(DATOS!$G16319="OR",--(COUNTIFS(nNIA,DATOS!$A16319,nCURSO,DATOS!$D16319,nESPEC,DATOS!$E16319,nASIG,DATOS!$I16319,nEVAL,"EX")=0),0))))</f>
      </c>
      <c r="H16319">
        <f>IF(DATOS!$G16319&lt;&gt;"EX",0,--(COUNTIFS(nNIA,DATOS!$A16319,nCURSO,DATOS!$D16319,nESPEC,DATOS!$E16319,nASIG,DATOS!$I16319,nEVAL,"OR")=0))</f>
      </c>
      <c r="I16319">
        <f>IF(DATOS!$I16319="","",IFERROR(VLOOKUP(DATOS!$I16319,CONFIG_ASIGNATURAS!$B$2:$J$91,9,FALSE()),""))</f>
      </c>
    </row>
    <row r="16320">
      <c r="F16320">
        <f>IF(DATOS!$A16320="","",DATOS!$A16320&amp;"|"&amp;DATOS!$D16320&amp;"|"&amp;DATOS!$E16320&amp;"|"&amp;DATOS!$I16320)</f>
      </c>
      <c r="G16320">
        <f>IF(DATOS!$A16320="",0,IF(CONFIG_METADATA!$B$4&lt;&gt;"OR+EX",--(DATOS!$G16320=CONFIG_METADATA!$B$4),IF(DATOS!$G16320="EX",1,IF(DATOS!$G16320="OR",--(COUNTIFS(nNIA,DATOS!$A16320,nCURSO,DATOS!$D16320,nESPEC,DATOS!$E16320,nASIG,DATOS!$I16320,nEVAL,"EX")=0),0))))</f>
      </c>
      <c r="H16320">
        <f>IF(DATOS!$G16320&lt;&gt;"EX",0,--(COUNTIFS(nNIA,DATOS!$A16320,nCURSO,DATOS!$D16320,nESPEC,DATOS!$E16320,nASIG,DATOS!$I16320,nEVAL,"OR")=0))</f>
      </c>
      <c r="I16320">
        <f>IF(DATOS!$I16320="","",IFERROR(VLOOKUP(DATOS!$I16320,CONFIG_ASIGNATURAS!$B$2:$J$91,9,FALSE()),""))</f>
      </c>
    </row>
    <row r="16321">
      <c r="F16321">
        <f>IF(DATOS!$A16321="","",DATOS!$A16321&amp;"|"&amp;DATOS!$D16321&amp;"|"&amp;DATOS!$E16321&amp;"|"&amp;DATOS!$I16321)</f>
      </c>
      <c r="G16321">
        <f>IF(DATOS!$A16321="",0,IF(CONFIG_METADATA!$B$4&lt;&gt;"OR+EX",--(DATOS!$G16321=CONFIG_METADATA!$B$4),IF(DATOS!$G16321="EX",1,IF(DATOS!$G16321="OR",--(COUNTIFS(nNIA,DATOS!$A16321,nCURSO,DATOS!$D16321,nESPEC,DATOS!$E16321,nASIG,DATOS!$I16321,nEVAL,"EX")=0),0))))</f>
      </c>
      <c r="H16321">
        <f>IF(DATOS!$G16321&lt;&gt;"EX",0,--(COUNTIFS(nNIA,DATOS!$A16321,nCURSO,DATOS!$D16321,nESPEC,DATOS!$E16321,nASIG,DATOS!$I16321,nEVAL,"OR")=0))</f>
      </c>
      <c r="I16321">
        <f>IF(DATOS!$I16321="","",IFERROR(VLOOKUP(DATOS!$I16321,CONFIG_ASIGNATURAS!$B$2:$J$91,9,FALSE()),""))</f>
      </c>
    </row>
    <row r="16322">
      <c r="F16322">
        <f>IF(DATOS!$A16322="","",DATOS!$A16322&amp;"|"&amp;DATOS!$D16322&amp;"|"&amp;DATOS!$E16322&amp;"|"&amp;DATOS!$I16322)</f>
      </c>
      <c r="G16322">
        <f>IF(DATOS!$A16322="",0,IF(CONFIG_METADATA!$B$4&lt;&gt;"OR+EX",--(DATOS!$G16322=CONFIG_METADATA!$B$4),IF(DATOS!$G16322="EX",1,IF(DATOS!$G16322="OR",--(COUNTIFS(nNIA,DATOS!$A16322,nCURSO,DATOS!$D16322,nESPEC,DATOS!$E16322,nASIG,DATOS!$I16322,nEVAL,"EX")=0),0))))</f>
      </c>
      <c r="H16322">
        <f>IF(DATOS!$G16322&lt;&gt;"EX",0,--(COUNTIFS(nNIA,DATOS!$A16322,nCURSO,DATOS!$D16322,nESPEC,DATOS!$E16322,nASIG,DATOS!$I16322,nEVAL,"OR")=0))</f>
      </c>
      <c r="I16322">
        <f>IF(DATOS!$I16322="","",IFERROR(VLOOKUP(DATOS!$I16322,CONFIG_ASIGNATURAS!$B$2:$J$91,9,FALSE()),""))</f>
      </c>
    </row>
    <row r="16323">
      <c r="F16323">
        <f>IF(DATOS!$A16323="","",DATOS!$A16323&amp;"|"&amp;DATOS!$D16323&amp;"|"&amp;DATOS!$E16323&amp;"|"&amp;DATOS!$I16323)</f>
      </c>
      <c r="G16323">
        <f>IF(DATOS!$A16323="",0,IF(CONFIG_METADATA!$B$4&lt;&gt;"OR+EX",--(DATOS!$G16323=CONFIG_METADATA!$B$4),IF(DATOS!$G16323="EX",1,IF(DATOS!$G16323="OR",--(COUNTIFS(nNIA,DATOS!$A16323,nCURSO,DATOS!$D16323,nESPEC,DATOS!$E16323,nASIG,DATOS!$I16323,nEVAL,"EX")=0),0))))</f>
      </c>
      <c r="H16323">
        <f>IF(DATOS!$G16323&lt;&gt;"EX",0,--(COUNTIFS(nNIA,DATOS!$A16323,nCURSO,DATOS!$D16323,nESPEC,DATOS!$E16323,nASIG,DATOS!$I16323,nEVAL,"OR")=0))</f>
      </c>
      <c r="I16323">
        <f>IF(DATOS!$I16323="","",IFERROR(VLOOKUP(DATOS!$I16323,CONFIG_ASIGNATURAS!$B$2:$J$91,9,FALSE()),""))</f>
      </c>
    </row>
    <row r="16324">
      <c r="F16324">
        <f>IF(DATOS!$A16324="","",DATOS!$A16324&amp;"|"&amp;DATOS!$D16324&amp;"|"&amp;DATOS!$E16324&amp;"|"&amp;DATOS!$I16324)</f>
      </c>
      <c r="G16324">
        <f>IF(DATOS!$A16324="",0,IF(CONFIG_METADATA!$B$4&lt;&gt;"OR+EX",--(DATOS!$G16324=CONFIG_METADATA!$B$4),IF(DATOS!$G16324="EX",1,IF(DATOS!$G16324="OR",--(COUNTIFS(nNIA,DATOS!$A16324,nCURSO,DATOS!$D16324,nESPEC,DATOS!$E16324,nASIG,DATOS!$I16324,nEVAL,"EX")=0),0))))</f>
      </c>
      <c r="H16324">
        <f>IF(DATOS!$G16324&lt;&gt;"EX",0,--(COUNTIFS(nNIA,DATOS!$A16324,nCURSO,DATOS!$D16324,nESPEC,DATOS!$E16324,nASIG,DATOS!$I16324,nEVAL,"OR")=0))</f>
      </c>
      <c r="I16324">
        <f>IF(DATOS!$I16324="","",IFERROR(VLOOKUP(DATOS!$I16324,CONFIG_ASIGNATURAS!$B$2:$J$91,9,FALSE()),""))</f>
      </c>
    </row>
    <row r="16325">
      <c r="F16325">
        <f>IF(DATOS!$A16325="","",DATOS!$A16325&amp;"|"&amp;DATOS!$D16325&amp;"|"&amp;DATOS!$E16325&amp;"|"&amp;DATOS!$I16325)</f>
      </c>
      <c r="G16325">
        <f>IF(DATOS!$A16325="",0,IF(CONFIG_METADATA!$B$4&lt;&gt;"OR+EX",--(DATOS!$G16325=CONFIG_METADATA!$B$4),IF(DATOS!$G16325="EX",1,IF(DATOS!$G16325="OR",--(COUNTIFS(nNIA,DATOS!$A16325,nCURSO,DATOS!$D16325,nESPEC,DATOS!$E16325,nASIG,DATOS!$I16325,nEVAL,"EX")=0),0))))</f>
      </c>
      <c r="H16325">
        <f>IF(DATOS!$G16325&lt;&gt;"EX",0,--(COUNTIFS(nNIA,DATOS!$A16325,nCURSO,DATOS!$D16325,nESPEC,DATOS!$E16325,nASIG,DATOS!$I16325,nEVAL,"OR")=0))</f>
      </c>
      <c r="I16325">
        <f>IF(DATOS!$I16325="","",IFERROR(VLOOKUP(DATOS!$I16325,CONFIG_ASIGNATURAS!$B$2:$J$91,9,FALSE()),""))</f>
      </c>
    </row>
    <row r="16326">
      <c r="F16326">
        <f>IF(DATOS!$A16326="","",DATOS!$A16326&amp;"|"&amp;DATOS!$D16326&amp;"|"&amp;DATOS!$E16326&amp;"|"&amp;DATOS!$I16326)</f>
      </c>
      <c r="G16326">
        <f>IF(DATOS!$A16326="",0,IF(CONFIG_METADATA!$B$4&lt;&gt;"OR+EX",--(DATOS!$G16326=CONFIG_METADATA!$B$4),IF(DATOS!$G16326="EX",1,IF(DATOS!$G16326="OR",--(COUNTIFS(nNIA,DATOS!$A16326,nCURSO,DATOS!$D16326,nESPEC,DATOS!$E16326,nASIG,DATOS!$I16326,nEVAL,"EX")=0),0))))</f>
      </c>
      <c r="H16326">
        <f>IF(DATOS!$G16326&lt;&gt;"EX",0,--(COUNTIFS(nNIA,DATOS!$A16326,nCURSO,DATOS!$D16326,nESPEC,DATOS!$E16326,nASIG,DATOS!$I16326,nEVAL,"OR")=0))</f>
      </c>
      <c r="I16326">
        <f>IF(DATOS!$I16326="","",IFERROR(VLOOKUP(DATOS!$I16326,CONFIG_ASIGNATURAS!$B$2:$J$91,9,FALSE()),""))</f>
      </c>
    </row>
    <row r="16327">
      <c r="F16327">
        <f>IF(DATOS!$A16327="","",DATOS!$A16327&amp;"|"&amp;DATOS!$D16327&amp;"|"&amp;DATOS!$E16327&amp;"|"&amp;DATOS!$I16327)</f>
      </c>
      <c r="G16327">
        <f>IF(DATOS!$A16327="",0,IF(CONFIG_METADATA!$B$4&lt;&gt;"OR+EX",--(DATOS!$G16327=CONFIG_METADATA!$B$4),IF(DATOS!$G16327="EX",1,IF(DATOS!$G16327="OR",--(COUNTIFS(nNIA,DATOS!$A16327,nCURSO,DATOS!$D16327,nESPEC,DATOS!$E16327,nASIG,DATOS!$I16327,nEVAL,"EX")=0),0))))</f>
      </c>
      <c r="H16327">
        <f>IF(DATOS!$G16327&lt;&gt;"EX",0,--(COUNTIFS(nNIA,DATOS!$A16327,nCURSO,DATOS!$D16327,nESPEC,DATOS!$E16327,nASIG,DATOS!$I16327,nEVAL,"OR")=0))</f>
      </c>
      <c r="I16327">
        <f>IF(DATOS!$I16327="","",IFERROR(VLOOKUP(DATOS!$I16327,CONFIG_ASIGNATURAS!$B$2:$J$91,9,FALSE()),""))</f>
      </c>
    </row>
    <row r="16328">
      <c r="F16328">
        <f>IF(DATOS!$A16328="","",DATOS!$A16328&amp;"|"&amp;DATOS!$D16328&amp;"|"&amp;DATOS!$E16328&amp;"|"&amp;DATOS!$I16328)</f>
      </c>
      <c r="G16328">
        <f>IF(DATOS!$A16328="",0,IF(CONFIG_METADATA!$B$4&lt;&gt;"OR+EX",--(DATOS!$G16328=CONFIG_METADATA!$B$4),IF(DATOS!$G16328="EX",1,IF(DATOS!$G16328="OR",--(COUNTIFS(nNIA,DATOS!$A16328,nCURSO,DATOS!$D16328,nESPEC,DATOS!$E16328,nASIG,DATOS!$I16328,nEVAL,"EX")=0),0))))</f>
      </c>
      <c r="H16328">
        <f>IF(DATOS!$G16328&lt;&gt;"EX",0,--(COUNTIFS(nNIA,DATOS!$A16328,nCURSO,DATOS!$D16328,nESPEC,DATOS!$E16328,nASIG,DATOS!$I16328,nEVAL,"OR")=0))</f>
      </c>
      <c r="I16328">
        <f>IF(DATOS!$I16328="","",IFERROR(VLOOKUP(DATOS!$I16328,CONFIG_ASIGNATURAS!$B$2:$J$91,9,FALSE()),""))</f>
      </c>
    </row>
    <row r="16329">
      <c r="F16329">
        <f>IF(DATOS!$A16329="","",DATOS!$A16329&amp;"|"&amp;DATOS!$D16329&amp;"|"&amp;DATOS!$E16329&amp;"|"&amp;DATOS!$I16329)</f>
      </c>
      <c r="G16329">
        <f>IF(DATOS!$A16329="",0,IF(CONFIG_METADATA!$B$4&lt;&gt;"OR+EX",--(DATOS!$G16329=CONFIG_METADATA!$B$4),IF(DATOS!$G16329="EX",1,IF(DATOS!$G16329="OR",--(COUNTIFS(nNIA,DATOS!$A16329,nCURSO,DATOS!$D16329,nESPEC,DATOS!$E16329,nASIG,DATOS!$I16329,nEVAL,"EX")=0),0))))</f>
      </c>
      <c r="H16329">
        <f>IF(DATOS!$G16329&lt;&gt;"EX",0,--(COUNTIFS(nNIA,DATOS!$A16329,nCURSO,DATOS!$D16329,nESPEC,DATOS!$E16329,nASIG,DATOS!$I16329,nEVAL,"OR")=0))</f>
      </c>
      <c r="I16329">
        <f>IF(DATOS!$I16329="","",IFERROR(VLOOKUP(DATOS!$I16329,CONFIG_ASIGNATURAS!$B$2:$J$91,9,FALSE()),""))</f>
      </c>
    </row>
    <row r="16330">
      <c r="F16330">
        <f>IF(DATOS!$A16330="","",DATOS!$A16330&amp;"|"&amp;DATOS!$D16330&amp;"|"&amp;DATOS!$E16330&amp;"|"&amp;DATOS!$I16330)</f>
      </c>
      <c r="G16330">
        <f>IF(DATOS!$A16330="",0,IF(CONFIG_METADATA!$B$4&lt;&gt;"OR+EX",--(DATOS!$G16330=CONFIG_METADATA!$B$4),IF(DATOS!$G16330="EX",1,IF(DATOS!$G16330="OR",--(COUNTIFS(nNIA,DATOS!$A16330,nCURSO,DATOS!$D16330,nESPEC,DATOS!$E16330,nASIG,DATOS!$I16330,nEVAL,"EX")=0),0))))</f>
      </c>
      <c r="H16330">
        <f>IF(DATOS!$G16330&lt;&gt;"EX",0,--(COUNTIFS(nNIA,DATOS!$A16330,nCURSO,DATOS!$D16330,nESPEC,DATOS!$E16330,nASIG,DATOS!$I16330,nEVAL,"OR")=0))</f>
      </c>
      <c r="I16330">
        <f>IF(DATOS!$I16330="","",IFERROR(VLOOKUP(DATOS!$I16330,CONFIG_ASIGNATURAS!$B$2:$J$91,9,FALSE()),""))</f>
      </c>
    </row>
    <row r="16331">
      <c r="F16331">
        <f>IF(DATOS!$A16331="","",DATOS!$A16331&amp;"|"&amp;DATOS!$D16331&amp;"|"&amp;DATOS!$E16331&amp;"|"&amp;DATOS!$I16331)</f>
      </c>
      <c r="G16331">
        <f>IF(DATOS!$A16331="",0,IF(CONFIG_METADATA!$B$4&lt;&gt;"OR+EX",--(DATOS!$G16331=CONFIG_METADATA!$B$4),IF(DATOS!$G16331="EX",1,IF(DATOS!$G16331="OR",--(COUNTIFS(nNIA,DATOS!$A16331,nCURSO,DATOS!$D16331,nESPEC,DATOS!$E16331,nASIG,DATOS!$I16331,nEVAL,"EX")=0),0))))</f>
      </c>
      <c r="H16331">
        <f>IF(DATOS!$G16331&lt;&gt;"EX",0,--(COUNTIFS(nNIA,DATOS!$A16331,nCURSO,DATOS!$D16331,nESPEC,DATOS!$E16331,nASIG,DATOS!$I16331,nEVAL,"OR")=0))</f>
      </c>
      <c r="I16331">
        <f>IF(DATOS!$I16331="","",IFERROR(VLOOKUP(DATOS!$I16331,CONFIG_ASIGNATURAS!$B$2:$J$91,9,FALSE()),""))</f>
      </c>
    </row>
    <row r="16332">
      <c r="F16332">
        <f>IF(DATOS!$A16332="","",DATOS!$A16332&amp;"|"&amp;DATOS!$D16332&amp;"|"&amp;DATOS!$E16332&amp;"|"&amp;DATOS!$I16332)</f>
      </c>
      <c r="G16332">
        <f>IF(DATOS!$A16332="",0,IF(CONFIG_METADATA!$B$4&lt;&gt;"OR+EX",--(DATOS!$G16332=CONFIG_METADATA!$B$4),IF(DATOS!$G16332="EX",1,IF(DATOS!$G16332="OR",--(COUNTIFS(nNIA,DATOS!$A16332,nCURSO,DATOS!$D16332,nESPEC,DATOS!$E16332,nASIG,DATOS!$I16332,nEVAL,"EX")=0),0))))</f>
      </c>
      <c r="H16332">
        <f>IF(DATOS!$G16332&lt;&gt;"EX",0,--(COUNTIFS(nNIA,DATOS!$A16332,nCURSO,DATOS!$D16332,nESPEC,DATOS!$E16332,nASIG,DATOS!$I16332,nEVAL,"OR")=0))</f>
      </c>
      <c r="I16332">
        <f>IF(DATOS!$I16332="","",IFERROR(VLOOKUP(DATOS!$I16332,CONFIG_ASIGNATURAS!$B$2:$J$91,9,FALSE()),""))</f>
      </c>
    </row>
    <row r="16333">
      <c r="F16333">
        <f>IF(DATOS!$A16333="","",DATOS!$A16333&amp;"|"&amp;DATOS!$D16333&amp;"|"&amp;DATOS!$E16333&amp;"|"&amp;DATOS!$I16333)</f>
      </c>
      <c r="G16333">
        <f>IF(DATOS!$A16333="",0,IF(CONFIG_METADATA!$B$4&lt;&gt;"OR+EX",--(DATOS!$G16333=CONFIG_METADATA!$B$4),IF(DATOS!$G16333="EX",1,IF(DATOS!$G16333="OR",--(COUNTIFS(nNIA,DATOS!$A16333,nCURSO,DATOS!$D16333,nESPEC,DATOS!$E16333,nASIG,DATOS!$I16333,nEVAL,"EX")=0),0))))</f>
      </c>
      <c r="H16333">
        <f>IF(DATOS!$G16333&lt;&gt;"EX",0,--(COUNTIFS(nNIA,DATOS!$A16333,nCURSO,DATOS!$D16333,nESPEC,DATOS!$E16333,nASIG,DATOS!$I16333,nEVAL,"OR")=0))</f>
      </c>
      <c r="I16333">
        <f>IF(DATOS!$I16333="","",IFERROR(VLOOKUP(DATOS!$I16333,CONFIG_ASIGNATURAS!$B$2:$J$91,9,FALSE()),""))</f>
      </c>
    </row>
    <row r="16334">
      <c r="F16334">
        <f>IF(DATOS!$A16334="","",DATOS!$A16334&amp;"|"&amp;DATOS!$D16334&amp;"|"&amp;DATOS!$E16334&amp;"|"&amp;DATOS!$I16334)</f>
      </c>
      <c r="G16334">
        <f>IF(DATOS!$A16334="",0,IF(CONFIG_METADATA!$B$4&lt;&gt;"OR+EX",--(DATOS!$G16334=CONFIG_METADATA!$B$4),IF(DATOS!$G16334="EX",1,IF(DATOS!$G16334="OR",--(COUNTIFS(nNIA,DATOS!$A16334,nCURSO,DATOS!$D16334,nESPEC,DATOS!$E16334,nASIG,DATOS!$I16334,nEVAL,"EX")=0),0))))</f>
      </c>
      <c r="H16334">
        <f>IF(DATOS!$G16334&lt;&gt;"EX",0,--(COUNTIFS(nNIA,DATOS!$A16334,nCURSO,DATOS!$D16334,nESPEC,DATOS!$E16334,nASIG,DATOS!$I16334,nEVAL,"OR")=0))</f>
      </c>
      <c r="I16334">
        <f>IF(DATOS!$I16334="","",IFERROR(VLOOKUP(DATOS!$I16334,CONFIG_ASIGNATURAS!$B$2:$J$91,9,FALSE()),""))</f>
      </c>
    </row>
    <row r="16335">
      <c r="F16335">
        <f>IF(DATOS!$A16335="","",DATOS!$A16335&amp;"|"&amp;DATOS!$D16335&amp;"|"&amp;DATOS!$E16335&amp;"|"&amp;DATOS!$I16335)</f>
      </c>
      <c r="G16335">
        <f>IF(DATOS!$A16335="",0,IF(CONFIG_METADATA!$B$4&lt;&gt;"OR+EX",--(DATOS!$G16335=CONFIG_METADATA!$B$4),IF(DATOS!$G16335="EX",1,IF(DATOS!$G16335="OR",--(COUNTIFS(nNIA,DATOS!$A16335,nCURSO,DATOS!$D16335,nESPEC,DATOS!$E16335,nASIG,DATOS!$I16335,nEVAL,"EX")=0),0))))</f>
      </c>
      <c r="H16335">
        <f>IF(DATOS!$G16335&lt;&gt;"EX",0,--(COUNTIFS(nNIA,DATOS!$A16335,nCURSO,DATOS!$D16335,nESPEC,DATOS!$E16335,nASIG,DATOS!$I16335,nEVAL,"OR")=0))</f>
      </c>
      <c r="I16335">
        <f>IF(DATOS!$I16335="","",IFERROR(VLOOKUP(DATOS!$I16335,CONFIG_ASIGNATURAS!$B$2:$J$91,9,FALSE()),""))</f>
      </c>
    </row>
    <row r="16336">
      <c r="F16336">
        <f>IF(DATOS!$A16336="","",DATOS!$A16336&amp;"|"&amp;DATOS!$D16336&amp;"|"&amp;DATOS!$E16336&amp;"|"&amp;DATOS!$I16336)</f>
      </c>
      <c r="G16336">
        <f>IF(DATOS!$A16336="",0,IF(CONFIG_METADATA!$B$4&lt;&gt;"OR+EX",--(DATOS!$G16336=CONFIG_METADATA!$B$4),IF(DATOS!$G16336="EX",1,IF(DATOS!$G16336="OR",--(COUNTIFS(nNIA,DATOS!$A16336,nCURSO,DATOS!$D16336,nESPEC,DATOS!$E16336,nASIG,DATOS!$I16336,nEVAL,"EX")=0),0))))</f>
      </c>
      <c r="H16336">
        <f>IF(DATOS!$G16336&lt;&gt;"EX",0,--(COUNTIFS(nNIA,DATOS!$A16336,nCURSO,DATOS!$D16336,nESPEC,DATOS!$E16336,nASIG,DATOS!$I16336,nEVAL,"OR")=0))</f>
      </c>
      <c r="I16336">
        <f>IF(DATOS!$I16336="","",IFERROR(VLOOKUP(DATOS!$I16336,CONFIG_ASIGNATURAS!$B$2:$J$91,9,FALSE()),""))</f>
      </c>
    </row>
    <row r="16337">
      <c r="F16337">
        <f>IF(DATOS!$A16337="","",DATOS!$A16337&amp;"|"&amp;DATOS!$D16337&amp;"|"&amp;DATOS!$E16337&amp;"|"&amp;DATOS!$I16337)</f>
      </c>
      <c r="G16337">
        <f>IF(DATOS!$A16337="",0,IF(CONFIG_METADATA!$B$4&lt;&gt;"OR+EX",--(DATOS!$G16337=CONFIG_METADATA!$B$4),IF(DATOS!$G16337="EX",1,IF(DATOS!$G16337="OR",--(COUNTIFS(nNIA,DATOS!$A16337,nCURSO,DATOS!$D16337,nESPEC,DATOS!$E16337,nASIG,DATOS!$I16337,nEVAL,"EX")=0),0))))</f>
      </c>
      <c r="H16337">
        <f>IF(DATOS!$G16337&lt;&gt;"EX",0,--(COUNTIFS(nNIA,DATOS!$A16337,nCURSO,DATOS!$D16337,nESPEC,DATOS!$E16337,nASIG,DATOS!$I16337,nEVAL,"OR")=0))</f>
      </c>
      <c r="I16337">
        <f>IF(DATOS!$I16337="","",IFERROR(VLOOKUP(DATOS!$I16337,CONFIG_ASIGNATURAS!$B$2:$J$91,9,FALSE()),""))</f>
      </c>
    </row>
    <row r="16338">
      <c r="F16338">
        <f>IF(DATOS!$A16338="","",DATOS!$A16338&amp;"|"&amp;DATOS!$D16338&amp;"|"&amp;DATOS!$E16338&amp;"|"&amp;DATOS!$I16338)</f>
      </c>
      <c r="G16338">
        <f>IF(DATOS!$A16338="",0,IF(CONFIG_METADATA!$B$4&lt;&gt;"OR+EX",--(DATOS!$G16338=CONFIG_METADATA!$B$4),IF(DATOS!$G16338="EX",1,IF(DATOS!$G16338="OR",--(COUNTIFS(nNIA,DATOS!$A16338,nCURSO,DATOS!$D16338,nESPEC,DATOS!$E16338,nASIG,DATOS!$I16338,nEVAL,"EX")=0),0))))</f>
      </c>
      <c r="H16338">
        <f>IF(DATOS!$G16338&lt;&gt;"EX",0,--(COUNTIFS(nNIA,DATOS!$A16338,nCURSO,DATOS!$D16338,nESPEC,DATOS!$E16338,nASIG,DATOS!$I16338,nEVAL,"OR")=0))</f>
      </c>
      <c r="I16338">
        <f>IF(DATOS!$I16338="","",IFERROR(VLOOKUP(DATOS!$I16338,CONFIG_ASIGNATURAS!$B$2:$J$91,9,FALSE()),""))</f>
      </c>
    </row>
    <row r="16339">
      <c r="F16339">
        <f>IF(DATOS!$A16339="","",DATOS!$A16339&amp;"|"&amp;DATOS!$D16339&amp;"|"&amp;DATOS!$E16339&amp;"|"&amp;DATOS!$I16339)</f>
      </c>
      <c r="G16339">
        <f>IF(DATOS!$A16339="",0,IF(CONFIG_METADATA!$B$4&lt;&gt;"OR+EX",--(DATOS!$G16339=CONFIG_METADATA!$B$4),IF(DATOS!$G16339="EX",1,IF(DATOS!$G16339="OR",--(COUNTIFS(nNIA,DATOS!$A16339,nCURSO,DATOS!$D16339,nESPEC,DATOS!$E16339,nASIG,DATOS!$I16339,nEVAL,"EX")=0),0))))</f>
      </c>
      <c r="H16339">
        <f>IF(DATOS!$G16339&lt;&gt;"EX",0,--(COUNTIFS(nNIA,DATOS!$A16339,nCURSO,DATOS!$D16339,nESPEC,DATOS!$E16339,nASIG,DATOS!$I16339,nEVAL,"OR")=0))</f>
      </c>
      <c r="I16339">
        <f>IF(DATOS!$I16339="","",IFERROR(VLOOKUP(DATOS!$I16339,CONFIG_ASIGNATURAS!$B$2:$J$91,9,FALSE()),""))</f>
      </c>
    </row>
    <row r="16340">
      <c r="F16340">
        <f>IF(DATOS!$A16340="","",DATOS!$A16340&amp;"|"&amp;DATOS!$D16340&amp;"|"&amp;DATOS!$E16340&amp;"|"&amp;DATOS!$I16340)</f>
      </c>
      <c r="G16340">
        <f>IF(DATOS!$A16340="",0,IF(CONFIG_METADATA!$B$4&lt;&gt;"OR+EX",--(DATOS!$G16340=CONFIG_METADATA!$B$4),IF(DATOS!$G16340="EX",1,IF(DATOS!$G16340="OR",--(COUNTIFS(nNIA,DATOS!$A16340,nCURSO,DATOS!$D16340,nESPEC,DATOS!$E16340,nASIG,DATOS!$I16340,nEVAL,"EX")=0),0))))</f>
      </c>
      <c r="H16340">
        <f>IF(DATOS!$G16340&lt;&gt;"EX",0,--(COUNTIFS(nNIA,DATOS!$A16340,nCURSO,DATOS!$D16340,nESPEC,DATOS!$E16340,nASIG,DATOS!$I16340,nEVAL,"OR")=0))</f>
      </c>
      <c r="I16340">
        <f>IF(DATOS!$I16340="","",IFERROR(VLOOKUP(DATOS!$I16340,CONFIG_ASIGNATURAS!$B$2:$J$91,9,FALSE()),""))</f>
      </c>
    </row>
    <row r="16341">
      <c r="F16341">
        <f>IF(DATOS!$A16341="","",DATOS!$A16341&amp;"|"&amp;DATOS!$D16341&amp;"|"&amp;DATOS!$E16341&amp;"|"&amp;DATOS!$I16341)</f>
      </c>
      <c r="G16341">
        <f>IF(DATOS!$A16341="",0,IF(CONFIG_METADATA!$B$4&lt;&gt;"OR+EX",--(DATOS!$G16341=CONFIG_METADATA!$B$4),IF(DATOS!$G16341="EX",1,IF(DATOS!$G16341="OR",--(COUNTIFS(nNIA,DATOS!$A16341,nCURSO,DATOS!$D16341,nESPEC,DATOS!$E16341,nASIG,DATOS!$I16341,nEVAL,"EX")=0),0))))</f>
      </c>
      <c r="H16341">
        <f>IF(DATOS!$G16341&lt;&gt;"EX",0,--(COUNTIFS(nNIA,DATOS!$A16341,nCURSO,DATOS!$D16341,nESPEC,DATOS!$E16341,nASIG,DATOS!$I16341,nEVAL,"OR")=0))</f>
      </c>
      <c r="I16341">
        <f>IF(DATOS!$I16341="","",IFERROR(VLOOKUP(DATOS!$I16341,CONFIG_ASIGNATURAS!$B$2:$J$91,9,FALSE()),""))</f>
      </c>
    </row>
    <row r="16342">
      <c r="F16342">
        <f>IF(DATOS!$A16342="","",DATOS!$A16342&amp;"|"&amp;DATOS!$D16342&amp;"|"&amp;DATOS!$E16342&amp;"|"&amp;DATOS!$I16342)</f>
      </c>
      <c r="G16342">
        <f>IF(DATOS!$A16342="",0,IF(CONFIG_METADATA!$B$4&lt;&gt;"OR+EX",--(DATOS!$G16342=CONFIG_METADATA!$B$4),IF(DATOS!$G16342="EX",1,IF(DATOS!$G16342="OR",--(COUNTIFS(nNIA,DATOS!$A16342,nCURSO,DATOS!$D16342,nESPEC,DATOS!$E16342,nASIG,DATOS!$I16342,nEVAL,"EX")=0),0))))</f>
      </c>
      <c r="H16342">
        <f>IF(DATOS!$G16342&lt;&gt;"EX",0,--(COUNTIFS(nNIA,DATOS!$A16342,nCURSO,DATOS!$D16342,nESPEC,DATOS!$E16342,nASIG,DATOS!$I16342,nEVAL,"OR")=0))</f>
      </c>
      <c r="I16342">
        <f>IF(DATOS!$I16342="","",IFERROR(VLOOKUP(DATOS!$I16342,CONFIG_ASIGNATURAS!$B$2:$J$91,9,FALSE()),""))</f>
      </c>
    </row>
    <row r="16343">
      <c r="F16343">
        <f>IF(DATOS!$A16343="","",DATOS!$A16343&amp;"|"&amp;DATOS!$D16343&amp;"|"&amp;DATOS!$E16343&amp;"|"&amp;DATOS!$I16343)</f>
      </c>
      <c r="G16343">
        <f>IF(DATOS!$A16343="",0,IF(CONFIG_METADATA!$B$4&lt;&gt;"OR+EX",--(DATOS!$G16343=CONFIG_METADATA!$B$4),IF(DATOS!$G16343="EX",1,IF(DATOS!$G16343="OR",--(COUNTIFS(nNIA,DATOS!$A16343,nCURSO,DATOS!$D16343,nESPEC,DATOS!$E16343,nASIG,DATOS!$I16343,nEVAL,"EX")=0),0))))</f>
      </c>
      <c r="H16343">
        <f>IF(DATOS!$G16343&lt;&gt;"EX",0,--(COUNTIFS(nNIA,DATOS!$A16343,nCURSO,DATOS!$D16343,nESPEC,DATOS!$E16343,nASIG,DATOS!$I16343,nEVAL,"OR")=0))</f>
      </c>
      <c r="I16343">
        <f>IF(DATOS!$I16343="","",IFERROR(VLOOKUP(DATOS!$I16343,CONFIG_ASIGNATURAS!$B$2:$J$91,9,FALSE()),""))</f>
      </c>
    </row>
    <row r="16344">
      <c r="F16344">
        <f>IF(DATOS!$A16344="","",DATOS!$A16344&amp;"|"&amp;DATOS!$D16344&amp;"|"&amp;DATOS!$E16344&amp;"|"&amp;DATOS!$I16344)</f>
      </c>
      <c r="G16344">
        <f>IF(DATOS!$A16344="",0,IF(CONFIG_METADATA!$B$4&lt;&gt;"OR+EX",--(DATOS!$G16344=CONFIG_METADATA!$B$4),IF(DATOS!$G16344="EX",1,IF(DATOS!$G16344="OR",--(COUNTIFS(nNIA,DATOS!$A16344,nCURSO,DATOS!$D16344,nESPEC,DATOS!$E16344,nASIG,DATOS!$I16344,nEVAL,"EX")=0),0))))</f>
      </c>
      <c r="H16344">
        <f>IF(DATOS!$G16344&lt;&gt;"EX",0,--(COUNTIFS(nNIA,DATOS!$A16344,nCURSO,DATOS!$D16344,nESPEC,DATOS!$E16344,nASIG,DATOS!$I16344,nEVAL,"OR")=0))</f>
      </c>
      <c r="I16344">
        <f>IF(DATOS!$I16344="","",IFERROR(VLOOKUP(DATOS!$I16344,CONFIG_ASIGNATURAS!$B$2:$J$91,9,FALSE()),""))</f>
      </c>
    </row>
    <row r="16345">
      <c r="F16345">
        <f>IF(DATOS!$A16345="","",DATOS!$A16345&amp;"|"&amp;DATOS!$D16345&amp;"|"&amp;DATOS!$E16345&amp;"|"&amp;DATOS!$I16345)</f>
      </c>
      <c r="G16345">
        <f>IF(DATOS!$A16345="",0,IF(CONFIG_METADATA!$B$4&lt;&gt;"OR+EX",--(DATOS!$G16345=CONFIG_METADATA!$B$4),IF(DATOS!$G16345="EX",1,IF(DATOS!$G16345="OR",--(COUNTIFS(nNIA,DATOS!$A16345,nCURSO,DATOS!$D16345,nESPEC,DATOS!$E16345,nASIG,DATOS!$I16345,nEVAL,"EX")=0),0))))</f>
      </c>
      <c r="H16345">
        <f>IF(DATOS!$G16345&lt;&gt;"EX",0,--(COUNTIFS(nNIA,DATOS!$A16345,nCURSO,DATOS!$D16345,nESPEC,DATOS!$E16345,nASIG,DATOS!$I16345,nEVAL,"OR")=0))</f>
      </c>
      <c r="I16345">
        <f>IF(DATOS!$I16345="","",IFERROR(VLOOKUP(DATOS!$I16345,CONFIG_ASIGNATURAS!$B$2:$J$91,9,FALSE()),""))</f>
      </c>
    </row>
    <row r="16346">
      <c r="F16346">
        <f>IF(DATOS!$A16346="","",DATOS!$A16346&amp;"|"&amp;DATOS!$D16346&amp;"|"&amp;DATOS!$E16346&amp;"|"&amp;DATOS!$I16346)</f>
      </c>
      <c r="G16346">
        <f>IF(DATOS!$A16346="",0,IF(CONFIG_METADATA!$B$4&lt;&gt;"OR+EX",--(DATOS!$G16346=CONFIG_METADATA!$B$4),IF(DATOS!$G16346="EX",1,IF(DATOS!$G16346="OR",--(COUNTIFS(nNIA,DATOS!$A16346,nCURSO,DATOS!$D16346,nESPEC,DATOS!$E16346,nASIG,DATOS!$I16346,nEVAL,"EX")=0),0))))</f>
      </c>
      <c r="H16346">
        <f>IF(DATOS!$G16346&lt;&gt;"EX",0,--(COUNTIFS(nNIA,DATOS!$A16346,nCURSO,DATOS!$D16346,nESPEC,DATOS!$E16346,nASIG,DATOS!$I16346,nEVAL,"OR")=0))</f>
      </c>
      <c r="I16346">
        <f>IF(DATOS!$I16346="","",IFERROR(VLOOKUP(DATOS!$I16346,CONFIG_ASIGNATURAS!$B$2:$J$91,9,FALSE()),""))</f>
      </c>
    </row>
    <row r="16347">
      <c r="F16347">
        <f>IF(DATOS!$A16347="","",DATOS!$A16347&amp;"|"&amp;DATOS!$D16347&amp;"|"&amp;DATOS!$E16347&amp;"|"&amp;DATOS!$I16347)</f>
      </c>
      <c r="G16347">
        <f>IF(DATOS!$A16347="",0,IF(CONFIG_METADATA!$B$4&lt;&gt;"OR+EX",--(DATOS!$G16347=CONFIG_METADATA!$B$4),IF(DATOS!$G16347="EX",1,IF(DATOS!$G16347="OR",--(COUNTIFS(nNIA,DATOS!$A16347,nCURSO,DATOS!$D16347,nESPEC,DATOS!$E16347,nASIG,DATOS!$I16347,nEVAL,"EX")=0),0))))</f>
      </c>
      <c r="H16347">
        <f>IF(DATOS!$G16347&lt;&gt;"EX",0,--(COUNTIFS(nNIA,DATOS!$A16347,nCURSO,DATOS!$D16347,nESPEC,DATOS!$E16347,nASIG,DATOS!$I16347,nEVAL,"OR")=0))</f>
      </c>
      <c r="I16347">
        <f>IF(DATOS!$I16347="","",IFERROR(VLOOKUP(DATOS!$I16347,CONFIG_ASIGNATURAS!$B$2:$J$91,9,FALSE()),""))</f>
      </c>
    </row>
    <row r="16348">
      <c r="F16348">
        <f>IF(DATOS!$A16348="","",DATOS!$A16348&amp;"|"&amp;DATOS!$D16348&amp;"|"&amp;DATOS!$E16348&amp;"|"&amp;DATOS!$I16348)</f>
      </c>
      <c r="G16348">
        <f>IF(DATOS!$A16348="",0,IF(CONFIG_METADATA!$B$4&lt;&gt;"OR+EX",--(DATOS!$G16348=CONFIG_METADATA!$B$4),IF(DATOS!$G16348="EX",1,IF(DATOS!$G16348="OR",--(COUNTIFS(nNIA,DATOS!$A16348,nCURSO,DATOS!$D16348,nESPEC,DATOS!$E16348,nASIG,DATOS!$I16348,nEVAL,"EX")=0),0))))</f>
      </c>
      <c r="H16348">
        <f>IF(DATOS!$G16348&lt;&gt;"EX",0,--(COUNTIFS(nNIA,DATOS!$A16348,nCURSO,DATOS!$D16348,nESPEC,DATOS!$E16348,nASIG,DATOS!$I16348,nEVAL,"OR")=0))</f>
      </c>
      <c r="I16348">
        <f>IF(DATOS!$I16348="","",IFERROR(VLOOKUP(DATOS!$I16348,CONFIG_ASIGNATURAS!$B$2:$J$91,9,FALSE()),""))</f>
      </c>
    </row>
    <row r="16349">
      <c r="F16349">
        <f>IF(DATOS!$A16349="","",DATOS!$A16349&amp;"|"&amp;DATOS!$D16349&amp;"|"&amp;DATOS!$E16349&amp;"|"&amp;DATOS!$I16349)</f>
      </c>
      <c r="G16349">
        <f>IF(DATOS!$A16349="",0,IF(CONFIG_METADATA!$B$4&lt;&gt;"OR+EX",--(DATOS!$G16349=CONFIG_METADATA!$B$4),IF(DATOS!$G16349="EX",1,IF(DATOS!$G16349="OR",--(COUNTIFS(nNIA,DATOS!$A16349,nCURSO,DATOS!$D16349,nESPEC,DATOS!$E16349,nASIG,DATOS!$I16349,nEVAL,"EX")=0),0))))</f>
      </c>
      <c r="H16349">
        <f>IF(DATOS!$G16349&lt;&gt;"EX",0,--(COUNTIFS(nNIA,DATOS!$A16349,nCURSO,DATOS!$D16349,nESPEC,DATOS!$E16349,nASIG,DATOS!$I16349,nEVAL,"OR")=0))</f>
      </c>
      <c r="I16349">
        <f>IF(DATOS!$I16349="","",IFERROR(VLOOKUP(DATOS!$I16349,CONFIG_ASIGNATURAS!$B$2:$J$91,9,FALSE()),""))</f>
      </c>
    </row>
    <row r="16350">
      <c r="F16350">
        <f>IF(DATOS!$A16350="","",DATOS!$A16350&amp;"|"&amp;DATOS!$D16350&amp;"|"&amp;DATOS!$E16350&amp;"|"&amp;DATOS!$I16350)</f>
      </c>
      <c r="G16350">
        <f>IF(DATOS!$A16350="",0,IF(CONFIG_METADATA!$B$4&lt;&gt;"OR+EX",--(DATOS!$G16350=CONFIG_METADATA!$B$4),IF(DATOS!$G16350="EX",1,IF(DATOS!$G16350="OR",--(COUNTIFS(nNIA,DATOS!$A16350,nCURSO,DATOS!$D16350,nESPEC,DATOS!$E16350,nASIG,DATOS!$I16350,nEVAL,"EX")=0),0))))</f>
      </c>
      <c r="H16350">
        <f>IF(DATOS!$G16350&lt;&gt;"EX",0,--(COUNTIFS(nNIA,DATOS!$A16350,nCURSO,DATOS!$D16350,nESPEC,DATOS!$E16350,nASIG,DATOS!$I16350,nEVAL,"OR")=0))</f>
      </c>
      <c r="I16350">
        <f>IF(DATOS!$I16350="","",IFERROR(VLOOKUP(DATOS!$I16350,CONFIG_ASIGNATURAS!$B$2:$J$91,9,FALSE()),""))</f>
      </c>
    </row>
    <row r="16351">
      <c r="F16351">
        <f>IF(DATOS!$A16351="","",DATOS!$A16351&amp;"|"&amp;DATOS!$D16351&amp;"|"&amp;DATOS!$E16351&amp;"|"&amp;DATOS!$I16351)</f>
      </c>
      <c r="G16351">
        <f>IF(DATOS!$A16351="",0,IF(CONFIG_METADATA!$B$4&lt;&gt;"OR+EX",--(DATOS!$G16351=CONFIG_METADATA!$B$4),IF(DATOS!$G16351="EX",1,IF(DATOS!$G16351="OR",--(COUNTIFS(nNIA,DATOS!$A16351,nCURSO,DATOS!$D16351,nESPEC,DATOS!$E16351,nASIG,DATOS!$I16351,nEVAL,"EX")=0),0))))</f>
      </c>
      <c r="H16351">
        <f>IF(DATOS!$G16351&lt;&gt;"EX",0,--(COUNTIFS(nNIA,DATOS!$A16351,nCURSO,DATOS!$D16351,nESPEC,DATOS!$E16351,nASIG,DATOS!$I16351,nEVAL,"OR")=0))</f>
      </c>
      <c r="I16351">
        <f>IF(DATOS!$I16351="","",IFERROR(VLOOKUP(DATOS!$I16351,CONFIG_ASIGNATURAS!$B$2:$J$91,9,FALSE()),""))</f>
      </c>
    </row>
    <row r="16352">
      <c r="F16352">
        <f>IF(DATOS!$A16352="","",DATOS!$A16352&amp;"|"&amp;DATOS!$D16352&amp;"|"&amp;DATOS!$E16352&amp;"|"&amp;DATOS!$I16352)</f>
      </c>
      <c r="G16352">
        <f>IF(DATOS!$A16352="",0,IF(CONFIG_METADATA!$B$4&lt;&gt;"OR+EX",--(DATOS!$G16352=CONFIG_METADATA!$B$4),IF(DATOS!$G16352="EX",1,IF(DATOS!$G16352="OR",--(COUNTIFS(nNIA,DATOS!$A16352,nCURSO,DATOS!$D16352,nESPEC,DATOS!$E16352,nASIG,DATOS!$I16352,nEVAL,"EX")=0),0))))</f>
      </c>
      <c r="H16352">
        <f>IF(DATOS!$G16352&lt;&gt;"EX",0,--(COUNTIFS(nNIA,DATOS!$A16352,nCURSO,DATOS!$D16352,nESPEC,DATOS!$E16352,nASIG,DATOS!$I16352,nEVAL,"OR")=0))</f>
      </c>
      <c r="I16352">
        <f>IF(DATOS!$I16352="","",IFERROR(VLOOKUP(DATOS!$I16352,CONFIG_ASIGNATURAS!$B$2:$J$91,9,FALSE()),""))</f>
      </c>
    </row>
    <row r="16353">
      <c r="F16353">
        <f>IF(DATOS!$A16353="","",DATOS!$A16353&amp;"|"&amp;DATOS!$D16353&amp;"|"&amp;DATOS!$E16353&amp;"|"&amp;DATOS!$I16353)</f>
      </c>
      <c r="G16353">
        <f>IF(DATOS!$A16353="",0,IF(CONFIG_METADATA!$B$4&lt;&gt;"OR+EX",--(DATOS!$G16353=CONFIG_METADATA!$B$4),IF(DATOS!$G16353="EX",1,IF(DATOS!$G16353="OR",--(COUNTIFS(nNIA,DATOS!$A16353,nCURSO,DATOS!$D16353,nESPEC,DATOS!$E16353,nASIG,DATOS!$I16353,nEVAL,"EX")=0),0))))</f>
      </c>
      <c r="H16353">
        <f>IF(DATOS!$G16353&lt;&gt;"EX",0,--(COUNTIFS(nNIA,DATOS!$A16353,nCURSO,DATOS!$D16353,nESPEC,DATOS!$E16353,nASIG,DATOS!$I16353,nEVAL,"OR")=0))</f>
      </c>
      <c r="I16353">
        <f>IF(DATOS!$I16353="","",IFERROR(VLOOKUP(DATOS!$I16353,CONFIG_ASIGNATURAS!$B$2:$J$91,9,FALSE()),""))</f>
      </c>
    </row>
    <row r="16354">
      <c r="F16354">
        <f>IF(DATOS!$A16354="","",DATOS!$A16354&amp;"|"&amp;DATOS!$D16354&amp;"|"&amp;DATOS!$E16354&amp;"|"&amp;DATOS!$I16354)</f>
      </c>
      <c r="G16354">
        <f>IF(DATOS!$A16354="",0,IF(CONFIG_METADATA!$B$4&lt;&gt;"OR+EX",--(DATOS!$G16354=CONFIG_METADATA!$B$4),IF(DATOS!$G16354="EX",1,IF(DATOS!$G16354="OR",--(COUNTIFS(nNIA,DATOS!$A16354,nCURSO,DATOS!$D16354,nESPEC,DATOS!$E16354,nASIG,DATOS!$I16354,nEVAL,"EX")=0),0))))</f>
      </c>
      <c r="H16354">
        <f>IF(DATOS!$G16354&lt;&gt;"EX",0,--(COUNTIFS(nNIA,DATOS!$A16354,nCURSO,DATOS!$D16354,nESPEC,DATOS!$E16354,nASIG,DATOS!$I16354,nEVAL,"OR")=0))</f>
      </c>
      <c r="I16354">
        <f>IF(DATOS!$I16354="","",IFERROR(VLOOKUP(DATOS!$I16354,CONFIG_ASIGNATURAS!$B$2:$J$91,9,FALSE()),""))</f>
      </c>
    </row>
    <row r="16355">
      <c r="F16355">
        <f>IF(DATOS!$A16355="","",DATOS!$A16355&amp;"|"&amp;DATOS!$D16355&amp;"|"&amp;DATOS!$E16355&amp;"|"&amp;DATOS!$I16355)</f>
      </c>
      <c r="G16355">
        <f>IF(DATOS!$A16355="",0,IF(CONFIG_METADATA!$B$4&lt;&gt;"OR+EX",--(DATOS!$G16355=CONFIG_METADATA!$B$4),IF(DATOS!$G16355="EX",1,IF(DATOS!$G16355="OR",--(COUNTIFS(nNIA,DATOS!$A16355,nCURSO,DATOS!$D16355,nESPEC,DATOS!$E16355,nASIG,DATOS!$I16355,nEVAL,"EX")=0),0))))</f>
      </c>
      <c r="H16355">
        <f>IF(DATOS!$G16355&lt;&gt;"EX",0,--(COUNTIFS(nNIA,DATOS!$A16355,nCURSO,DATOS!$D16355,nESPEC,DATOS!$E16355,nASIG,DATOS!$I16355,nEVAL,"OR")=0))</f>
      </c>
      <c r="I16355">
        <f>IF(DATOS!$I16355="","",IFERROR(VLOOKUP(DATOS!$I16355,CONFIG_ASIGNATURAS!$B$2:$J$91,9,FALSE()),""))</f>
      </c>
    </row>
    <row r="16356">
      <c r="F16356">
        <f>IF(DATOS!$A16356="","",DATOS!$A16356&amp;"|"&amp;DATOS!$D16356&amp;"|"&amp;DATOS!$E16356&amp;"|"&amp;DATOS!$I16356)</f>
      </c>
      <c r="G16356">
        <f>IF(DATOS!$A16356="",0,IF(CONFIG_METADATA!$B$4&lt;&gt;"OR+EX",--(DATOS!$G16356=CONFIG_METADATA!$B$4),IF(DATOS!$G16356="EX",1,IF(DATOS!$G16356="OR",--(COUNTIFS(nNIA,DATOS!$A16356,nCURSO,DATOS!$D16356,nESPEC,DATOS!$E16356,nASIG,DATOS!$I16356,nEVAL,"EX")=0),0))))</f>
      </c>
      <c r="H16356">
        <f>IF(DATOS!$G16356&lt;&gt;"EX",0,--(COUNTIFS(nNIA,DATOS!$A16356,nCURSO,DATOS!$D16356,nESPEC,DATOS!$E16356,nASIG,DATOS!$I16356,nEVAL,"OR")=0))</f>
      </c>
      <c r="I16356">
        <f>IF(DATOS!$I16356="","",IFERROR(VLOOKUP(DATOS!$I16356,CONFIG_ASIGNATURAS!$B$2:$J$91,9,FALSE()),""))</f>
      </c>
    </row>
    <row r="16357">
      <c r="F16357">
        <f>IF(DATOS!$A16357="","",DATOS!$A16357&amp;"|"&amp;DATOS!$D16357&amp;"|"&amp;DATOS!$E16357&amp;"|"&amp;DATOS!$I16357)</f>
      </c>
      <c r="G16357">
        <f>IF(DATOS!$A16357="",0,IF(CONFIG_METADATA!$B$4&lt;&gt;"OR+EX",--(DATOS!$G16357=CONFIG_METADATA!$B$4),IF(DATOS!$G16357="EX",1,IF(DATOS!$G16357="OR",--(COUNTIFS(nNIA,DATOS!$A16357,nCURSO,DATOS!$D16357,nESPEC,DATOS!$E16357,nASIG,DATOS!$I16357,nEVAL,"EX")=0),0))))</f>
      </c>
      <c r="H16357">
        <f>IF(DATOS!$G16357&lt;&gt;"EX",0,--(COUNTIFS(nNIA,DATOS!$A16357,nCURSO,DATOS!$D16357,nESPEC,DATOS!$E16357,nASIG,DATOS!$I16357,nEVAL,"OR")=0))</f>
      </c>
      <c r="I16357">
        <f>IF(DATOS!$I16357="","",IFERROR(VLOOKUP(DATOS!$I16357,CONFIG_ASIGNATURAS!$B$2:$J$91,9,FALSE()),""))</f>
      </c>
    </row>
    <row r="16358">
      <c r="F16358">
        <f>IF(DATOS!$A16358="","",DATOS!$A16358&amp;"|"&amp;DATOS!$D16358&amp;"|"&amp;DATOS!$E16358&amp;"|"&amp;DATOS!$I16358)</f>
      </c>
      <c r="G16358">
        <f>IF(DATOS!$A16358="",0,IF(CONFIG_METADATA!$B$4&lt;&gt;"OR+EX",--(DATOS!$G16358=CONFIG_METADATA!$B$4),IF(DATOS!$G16358="EX",1,IF(DATOS!$G16358="OR",--(COUNTIFS(nNIA,DATOS!$A16358,nCURSO,DATOS!$D16358,nESPEC,DATOS!$E16358,nASIG,DATOS!$I16358,nEVAL,"EX")=0),0))))</f>
      </c>
      <c r="H16358">
        <f>IF(DATOS!$G16358&lt;&gt;"EX",0,--(COUNTIFS(nNIA,DATOS!$A16358,nCURSO,DATOS!$D16358,nESPEC,DATOS!$E16358,nASIG,DATOS!$I16358,nEVAL,"OR")=0))</f>
      </c>
      <c r="I16358">
        <f>IF(DATOS!$I16358="","",IFERROR(VLOOKUP(DATOS!$I16358,CONFIG_ASIGNATURAS!$B$2:$J$91,9,FALSE()),""))</f>
      </c>
    </row>
    <row r="16359">
      <c r="F16359">
        <f>IF(DATOS!$A16359="","",DATOS!$A16359&amp;"|"&amp;DATOS!$D16359&amp;"|"&amp;DATOS!$E16359&amp;"|"&amp;DATOS!$I16359)</f>
      </c>
      <c r="G16359">
        <f>IF(DATOS!$A16359="",0,IF(CONFIG_METADATA!$B$4&lt;&gt;"OR+EX",--(DATOS!$G16359=CONFIG_METADATA!$B$4),IF(DATOS!$G16359="EX",1,IF(DATOS!$G16359="OR",--(COUNTIFS(nNIA,DATOS!$A16359,nCURSO,DATOS!$D16359,nESPEC,DATOS!$E16359,nASIG,DATOS!$I16359,nEVAL,"EX")=0),0))))</f>
      </c>
      <c r="H16359">
        <f>IF(DATOS!$G16359&lt;&gt;"EX",0,--(COUNTIFS(nNIA,DATOS!$A16359,nCURSO,DATOS!$D16359,nESPEC,DATOS!$E16359,nASIG,DATOS!$I16359,nEVAL,"OR")=0))</f>
      </c>
      <c r="I16359">
        <f>IF(DATOS!$I16359="","",IFERROR(VLOOKUP(DATOS!$I16359,CONFIG_ASIGNATURAS!$B$2:$J$91,9,FALSE()),""))</f>
      </c>
    </row>
    <row r="16360">
      <c r="F16360">
        <f>IF(DATOS!$A16360="","",DATOS!$A16360&amp;"|"&amp;DATOS!$D16360&amp;"|"&amp;DATOS!$E16360&amp;"|"&amp;DATOS!$I16360)</f>
      </c>
      <c r="G16360">
        <f>IF(DATOS!$A16360="",0,IF(CONFIG_METADATA!$B$4&lt;&gt;"OR+EX",--(DATOS!$G16360=CONFIG_METADATA!$B$4),IF(DATOS!$G16360="EX",1,IF(DATOS!$G16360="OR",--(COUNTIFS(nNIA,DATOS!$A16360,nCURSO,DATOS!$D16360,nESPEC,DATOS!$E16360,nASIG,DATOS!$I16360,nEVAL,"EX")=0),0))))</f>
      </c>
      <c r="H16360">
        <f>IF(DATOS!$G16360&lt;&gt;"EX",0,--(COUNTIFS(nNIA,DATOS!$A16360,nCURSO,DATOS!$D16360,nESPEC,DATOS!$E16360,nASIG,DATOS!$I16360,nEVAL,"OR")=0))</f>
      </c>
      <c r="I16360">
        <f>IF(DATOS!$I16360="","",IFERROR(VLOOKUP(DATOS!$I16360,CONFIG_ASIGNATURAS!$B$2:$J$91,9,FALSE()),""))</f>
      </c>
    </row>
    <row r="16361">
      <c r="F16361">
        <f>IF(DATOS!$A16361="","",DATOS!$A16361&amp;"|"&amp;DATOS!$D16361&amp;"|"&amp;DATOS!$E16361&amp;"|"&amp;DATOS!$I16361)</f>
      </c>
      <c r="G16361">
        <f>IF(DATOS!$A16361="",0,IF(CONFIG_METADATA!$B$4&lt;&gt;"OR+EX",--(DATOS!$G16361=CONFIG_METADATA!$B$4),IF(DATOS!$G16361="EX",1,IF(DATOS!$G16361="OR",--(COUNTIFS(nNIA,DATOS!$A16361,nCURSO,DATOS!$D16361,nESPEC,DATOS!$E16361,nASIG,DATOS!$I16361,nEVAL,"EX")=0),0))))</f>
      </c>
      <c r="H16361">
        <f>IF(DATOS!$G16361&lt;&gt;"EX",0,--(COUNTIFS(nNIA,DATOS!$A16361,nCURSO,DATOS!$D16361,nESPEC,DATOS!$E16361,nASIG,DATOS!$I16361,nEVAL,"OR")=0))</f>
      </c>
      <c r="I16361">
        <f>IF(DATOS!$I16361="","",IFERROR(VLOOKUP(DATOS!$I16361,CONFIG_ASIGNATURAS!$B$2:$J$91,9,FALSE()),""))</f>
      </c>
    </row>
    <row r="16362">
      <c r="F16362">
        <f>IF(DATOS!$A16362="","",DATOS!$A16362&amp;"|"&amp;DATOS!$D16362&amp;"|"&amp;DATOS!$E16362&amp;"|"&amp;DATOS!$I16362)</f>
      </c>
      <c r="G16362">
        <f>IF(DATOS!$A16362="",0,IF(CONFIG_METADATA!$B$4&lt;&gt;"OR+EX",--(DATOS!$G16362=CONFIG_METADATA!$B$4),IF(DATOS!$G16362="EX",1,IF(DATOS!$G16362="OR",--(COUNTIFS(nNIA,DATOS!$A16362,nCURSO,DATOS!$D16362,nESPEC,DATOS!$E16362,nASIG,DATOS!$I16362,nEVAL,"EX")=0),0))))</f>
      </c>
      <c r="H16362">
        <f>IF(DATOS!$G16362&lt;&gt;"EX",0,--(COUNTIFS(nNIA,DATOS!$A16362,nCURSO,DATOS!$D16362,nESPEC,DATOS!$E16362,nASIG,DATOS!$I16362,nEVAL,"OR")=0))</f>
      </c>
      <c r="I16362">
        <f>IF(DATOS!$I16362="","",IFERROR(VLOOKUP(DATOS!$I16362,CONFIG_ASIGNATURAS!$B$2:$J$91,9,FALSE()),""))</f>
      </c>
    </row>
    <row r="16363">
      <c r="F16363">
        <f>IF(DATOS!$A16363="","",DATOS!$A16363&amp;"|"&amp;DATOS!$D16363&amp;"|"&amp;DATOS!$E16363&amp;"|"&amp;DATOS!$I16363)</f>
      </c>
      <c r="G16363">
        <f>IF(DATOS!$A16363="",0,IF(CONFIG_METADATA!$B$4&lt;&gt;"OR+EX",--(DATOS!$G16363=CONFIG_METADATA!$B$4),IF(DATOS!$G16363="EX",1,IF(DATOS!$G16363="OR",--(COUNTIFS(nNIA,DATOS!$A16363,nCURSO,DATOS!$D16363,nESPEC,DATOS!$E16363,nASIG,DATOS!$I16363,nEVAL,"EX")=0),0))))</f>
      </c>
      <c r="H16363">
        <f>IF(DATOS!$G16363&lt;&gt;"EX",0,--(COUNTIFS(nNIA,DATOS!$A16363,nCURSO,DATOS!$D16363,nESPEC,DATOS!$E16363,nASIG,DATOS!$I16363,nEVAL,"OR")=0))</f>
      </c>
      <c r="I16363">
        <f>IF(DATOS!$I16363="","",IFERROR(VLOOKUP(DATOS!$I16363,CONFIG_ASIGNATURAS!$B$2:$J$91,9,FALSE()),""))</f>
      </c>
    </row>
    <row r="16364">
      <c r="F16364">
        <f>IF(DATOS!$A16364="","",DATOS!$A16364&amp;"|"&amp;DATOS!$D16364&amp;"|"&amp;DATOS!$E16364&amp;"|"&amp;DATOS!$I16364)</f>
      </c>
      <c r="G16364">
        <f>IF(DATOS!$A16364="",0,IF(CONFIG_METADATA!$B$4&lt;&gt;"OR+EX",--(DATOS!$G16364=CONFIG_METADATA!$B$4),IF(DATOS!$G16364="EX",1,IF(DATOS!$G16364="OR",--(COUNTIFS(nNIA,DATOS!$A16364,nCURSO,DATOS!$D16364,nESPEC,DATOS!$E16364,nASIG,DATOS!$I16364,nEVAL,"EX")=0),0))))</f>
      </c>
      <c r="H16364">
        <f>IF(DATOS!$G16364&lt;&gt;"EX",0,--(COUNTIFS(nNIA,DATOS!$A16364,nCURSO,DATOS!$D16364,nESPEC,DATOS!$E16364,nASIG,DATOS!$I16364,nEVAL,"OR")=0))</f>
      </c>
      <c r="I16364">
        <f>IF(DATOS!$I16364="","",IFERROR(VLOOKUP(DATOS!$I16364,CONFIG_ASIGNATURAS!$B$2:$J$91,9,FALSE()),""))</f>
      </c>
    </row>
    <row r="16365">
      <c r="F16365">
        <f>IF(DATOS!$A16365="","",DATOS!$A16365&amp;"|"&amp;DATOS!$D16365&amp;"|"&amp;DATOS!$E16365&amp;"|"&amp;DATOS!$I16365)</f>
      </c>
      <c r="G16365">
        <f>IF(DATOS!$A16365="",0,IF(CONFIG_METADATA!$B$4&lt;&gt;"OR+EX",--(DATOS!$G16365=CONFIG_METADATA!$B$4),IF(DATOS!$G16365="EX",1,IF(DATOS!$G16365="OR",--(COUNTIFS(nNIA,DATOS!$A16365,nCURSO,DATOS!$D16365,nESPEC,DATOS!$E16365,nASIG,DATOS!$I16365,nEVAL,"EX")=0),0))))</f>
      </c>
      <c r="H16365">
        <f>IF(DATOS!$G16365&lt;&gt;"EX",0,--(COUNTIFS(nNIA,DATOS!$A16365,nCURSO,DATOS!$D16365,nESPEC,DATOS!$E16365,nASIG,DATOS!$I16365,nEVAL,"OR")=0))</f>
      </c>
      <c r="I16365">
        <f>IF(DATOS!$I16365="","",IFERROR(VLOOKUP(DATOS!$I16365,CONFIG_ASIGNATURAS!$B$2:$J$91,9,FALSE()),""))</f>
      </c>
    </row>
    <row r="16366">
      <c r="F16366">
        <f>IF(DATOS!$A16366="","",DATOS!$A16366&amp;"|"&amp;DATOS!$D16366&amp;"|"&amp;DATOS!$E16366&amp;"|"&amp;DATOS!$I16366)</f>
      </c>
      <c r="G16366">
        <f>IF(DATOS!$A16366="",0,IF(CONFIG_METADATA!$B$4&lt;&gt;"OR+EX",--(DATOS!$G16366=CONFIG_METADATA!$B$4),IF(DATOS!$G16366="EX",1,IF(DATOS!$G16366="OR",--(COUNTIFS(nNIA,DATOS!$A16366,nCURSO,DATOS!$D16366,nESPEC,DATOS!$E16366,nASIG,DATOS!$I16366,nEVAL,"EX")=0),0))))</f>
      </c>
      <c r="H16366">
        <f>IF(DATOS!$G16366&lt;&gt;"EX",0,--(COUNTIFS(nNIA,DATOS!$A16366,nCURSO,DATOS!$D16366,nESPEC,DATOS!$E16366,nASIG,DATOS!$I16366,nEVAL,"OR")=0))</f>
      </c>
      <c r="I16366">
        <f>IF(DATOS!$I16366="","",IFERROR(VLOOKUP(DATOS!$I16366,CONFIG_ASIGNATURAS!$B$2:$J$91,9,FALSE()),""))</f>
      </c>
    </row>
    <row r="16367">
      <c r="F16367">
        <f>IF(DATOS!$A16367="","",DATOS!$A16367&amp;"|"&amp;DATOS!$D16367&amp;"|"&amp;DATOS!$E16367&amp;"|"&amp;DATOS!$I16367)</f>
      </c>
      <c r="G16367">
        <f>IF(DATOS!$A16367="",0,IF(CONFIG_METADATA!$B$4&lt;&gt;"OR+EX",--(DATOS!$G16367=CONFIG_METADATA!$B$4),IF(DATOS!$G16367="EX",1,IF(DATOS!$G16367="OR",--(COUNTIFS(nNIA,DATOS!$A16367,nCURSO,DATOS!$D16367,nESPEC,DATOS!$E16367,nASIG,DATOS!$I16367,nEVAL,"EX")=0),0))))</f>
      </c>
      <c r="H16367">
        <f>IF(DATOS!$G16367&lt;&gt;"EX",0,--(COUNTIFS(nNIA,DATOS!$A16367,nCURSO,DATOS!$D16367,nESPEC,DATOS!$E16367,nASIG,DATOS!$I16367,nEVAL,"OR")=0))</f>
      </c>
      <c r="I16367">
        <f>IF(DATOS!$I16367="","",IFERROR(VLOOKUP(DATOS!$I16367,CONFIG_ASIGNATURAS!$B$2:$J$91,9,FALSE()),""))</f>
      </c>
    </row>
    <row r="16368">
      <c r="F16368">
        <f>IF(DATOS!$A16368="","",DATOS!$A16368&amp;"|"&amp;DATOS!$D16368&amp;"|"&amp;DATOS!$E16368&amp;"|"&amp;DATOS!$I16368)</f>
      </c>
      <c r="G16368">
        <f>IF(DATOS!$A16368="",0,IF(CONFIG_METADATA!$B$4&lt;&gt;"OR+EX",--(DATOS!$G16368=CONFIG_METADATA!$B$4),IF(DATOS!$G16368="EX",1,IF(DATOS!$G16368="OR",--(COUNTIFS(nNIA,DATOS!$A16368,nCURSO,DATOS!$D16368,nESPEC,DATOS!$E16368,nASIG,DATOS!$I16368,nEVAL,"EX")=0),0))))</f>
      </c>
      <c r="H16368">
        <f>IF(DATOS!$G16368&lt;&gt;"EX",0,--(COUNTIFS(nNIA,DATOS!$A16368,nCURSO,DATOS!$D16368,nESPEC,DATOS!$E16368,nASIG,DATOS!$I16368,nEVAL,"OR")=0))</f>
      </c>
      <c r="I16368">
        <f>IF(DATOS!$I16368="","",IFERROR(VLOOKUP(DATOS!$I16368,CONFIG_ASIGNATURAS!$B$2:$J$91,9,FALSE()),""))</f>
      </c>
    </row>
    <row r="16369">
      <c r="F16369">
        <f>IF(DATOS!$A16369="","",DATOS!$A16369&amp;"|"&amp;DATOS!$D16369&amp;"|"&amp;DATOS!$E16369&amp;"|"&amp;DATOS!$I16369)</f>
      </c>
      <c r="G16369">
        <f>IF(DATOS!$A16369="",0,IF(CONFIG_METADATA!$B$4&lt;&gt;"OR+EX",--(DATOS!$G16369=CONFIG_METADATA!$B$4),IF(DATOS!$G16369="EX",1,IF(DATOS!$G16369="OR",--(COUNTIFS(nNIA,DATOS!$A16369,nCURSO,DATOS!$D16369,nESPEC,DATOS!$E16369,nASIG,DATOS!$I16369,nEVAL,"EX")=0),0))))</f>
      </c>
      <c r="H16369">
        <f>IF(DATOS!$G16369&lt;&gt;"EX",0,--(COUNTIFS(nNIA,DATOS!$A16369,nCURSO,DATOS!$D16369,nESPEC,DATOS!$E16369,nASIG,DATOS!$I16369,nEVAL,"OR")=0))</f>
      </c>
      <c r="I16369">
        <f>IF(DATOS!$I16369="","",IFERROR(VLOOKUP(DATOS!$I16369,CONFIG_ASIGNATURAS!$B$2:$J$91,9,FALSE()),""))</f>
      </c>
    </row>
    <row r="16370">
      <c r="F16370">
        <f>IF(DATOS!$A16370="","",DATOS!$A16370&amp;"|"&amp;DATOS!$D16370&amp;"|"&amp;DATOS!$E16370&amp;"|"&amp;DATOS!$I16370)</f>
      </c>
      <c r="G16370">
        <f>IF(DATOS!$A16370="",0,IF(CONFIG_METADATA!$B$4&lt;&gt;"OR+EX",--(DATOS!$G16370=CONFIG_METADATA!$B$4),IF(DATOS!$G16370="EX",1,IF(DATOS!$G16370="OR",--(COUNTIFS(nNIA,DATOS!$A16370,nCURSO,DATOS!$D16370,nESPEC,DATOS!$E16370,nASIG,DATOS!$I16370,nEVAL,"EX")=0),0))))</f>
      </c>
      <c r="H16370">
        <f>IF(DATOS!$G16370&lt;&gt;"EX",0,--(COUNTIFS(nNIA,DATOS!$A16370,nCURSO,DATOS!$D16370,nESPEC,DATOS!$E16370,nASIG,DATOS!$I16370,nEVAL,"OR")=0))</f>
      </c>
      <c r="I16370">
        <f>IF(DATOS!$I16370="","",IFERROR(VLOOKUP(DATOS!$I16370,CONFIG_ASIGNATURAS!$B$2:$J$91,9,FALSE()),""))</f>
      </c>
    </row>
    <row r="16371">
      <c r="F16371">
        <f>IF(DATOS!$A16371="","",DATOS!$A16371&amp;"|"&amp;DATOS!$D16371&amp;"|"&amp;DATOS!$E16371&amp;"|"&amp;DATOS!$I16371)</f>
      </c>
      <c r="G16371">
        <f>IF(DATOS!$A16371="",0,IF(CONFIG_METADATA!$B$4&lt;&gt;"OR+EX",--(DATOS!$G16371=CONFIG_METADATA!$B$4),IF(DATOS!$G16371="EX",1,IF(DATOS!$G16371="OR",--(COUNTIFS(nNIA,DATOS!$A16371,nCURSO,DATOS!$D16371,nESPEC,DATOS!$E16371,nASIG,DATOS!$I16371,nEVAL,"EX")=0),0))))</f>
      </c>
      <c r="H16371">
        <f>IF(DATOS!$G16371&lt;&gt;"EX",0,--(COUNTIFS(nNIA,DATOS!$A16371,nCURSO,DATOS!$D16371,nESPEC,DATOS!$E16371,nASIG,DATOS!$I16371,nEVAL,"OR")=0))</f>
      </c>
      <c r="I16371">
        <f>IF(DATOS!$I16371="","",IFERROR(VLOOKUP(DATOS!$I16371,CONFIG_ASIGNATURAS!$B$2:$J$91,9,FALSE()),""))</f>
      </c>
    </row>
    <row r="16372">
      <c r="F16372">
        <f>IF(DATOS!$A16372="","",DATOS!$A16372&amp;"|"&amp;DATOS!$D16372&amp;"|"&amp;DATOS!$E16372&amp;"|"&amp;DATOS!$I16372)</f>
      </c>
      <c r="G16372">
        <f>IF(DATOS!$A16372="",0,IF(CONFIG_METADATA!$B$4&lt;&gt;"OR+EX",--(DATOS!$G16372=CONFIG_METADATA!$B$4),IF(DATOS!$G16372="EX",1,IF(DATOS!$G16372="OR",--(COUNTIFS(nNIA,DATOS!$A16372,nCURSO,DATOS!$D16372,nESPEC,DATOS!$E16372,nASIG,DATOS!$I16372,nEVAL,"EX")=0),0))))</f>
      </c>
      <c r="H16372">
        <f>IF(DATOS!$G16372&lt;&gt;"EX",0,--(COUNTIFS(nNIA,DATOS!$A16372,nCURSO,DATOS!$D16372,nESPEC,DATOS!$E16372,nASIG,DATOS!$I16372,nEVAL,"OR")=0))</f>
      </c>
      <c r="I16372">
        <f>IF(DATOS!$I16372="","",IFERROR(VLOOKUP(DATOS!$I16372,CONFIG_ASIGNATURAS!$B$2:$J$91,9,FALSE()),""))</f>
      </c>
    </row>
    <row r="16373">
      <c r="F16373">
        <f>IF(DATOS!$A16373="","",DATOS!$A16373&amp;"|"&amp;DATOS!$D16373&amp;"|"&amp;DATOS!$E16373&amp;"|"&amp;DATOS!$I16373)</f>
      </c>
      <c r="G16373">
        <f>IF(DATOS!$A16373="",0,IF(CONFIG_METADATA!$B$4&lt;&gt;"OR+EX",--(DATOS!$G16373=CONFIG_METADATA!$B$4),IF(DATOS!$G16373="EX",1,IF(DATOS!$G16373="OR",--(COUNTIFS(nNIA,DATOS!$A16373,nCURSO,DATOS!$D16373,nESPEC,DATOS!$E16373,nASIG,DATOS!$I16373,nEVAL,"EX")=0),0))))</f>
      </c>
      <c r="H16373">
        <f>IF(DATOS!$G16373&lt;&gt;"EX",0,--(COUNTIFS(nNIA,DATOS!$A16373,nCURSO,DATOS!$D16373,nESPEC,DATOS!$E16373,nASIG,DATOS!$I16373,nEVAL,"OR")=0))</f>
      </c>
      <c r="I16373">
        <f>IF(DATOS!$I16373="","",IFERROR(VLOOKUP(DATOS!$I16373,CONFIG_ASIGNATURAS!$B$2:$J$91,9,FALSE()),""))</f>
      </c>
    </row>
    <row r="16374">
      <c r="F16374">
        <f>IF(DATOS!$A16374="","",DATOS!$A16374&amp;"|"&amp;DATOS!$D16374&amp;"|"&amp;DATOS!$E16374&amp;"|"&amp;DATOS!$I16374)</f>
      </c>
      <c r="G16374">
        <f>IF(DATOS!$A16374="",0,IF(CONFIG_METADATA!$B$4&lt;&gt;"OR+EX",--(DATOS!$G16374=CONFIG_METADATA!$B$4),IF(DATOS!$G16374="EX",1,IF(DATOS!$G16374="OR",--(COUNTIFS(nNIA,DATOS!$A16374,nCURSO,DATOS!$D16374,nESPEC,DATOS!$E16374,nASIG,DATOS!$I16374,nEVAL,"EX")=0),0))))</f>
      </c>
      <c r="H16374">
        <f>IF(DATOS!$G16374&lt;&gt;"EX",0,--(COUNTIFS(nNIA,DATOS!$A16374,nCURSO,DATOS!$D16374,nESPEC,DATOS!$E16374,nASIG,DATOS!$I16374,nEVAL,"OR")=0))</f>
      </c>
      <c r="I16374">
        <f>IF(DATOS!$I16374="","",IFERROR(VLOOKUP(DATOS!$I16374,CONFIG_ASIGNATURAS!$B$2:$J$91,9,FALSE()),""))</f>
      </c>
    </row>
    <row r="16375">
      <c r="F16375">
        <f>IF(DATOS!$A16375="","",DATOS!$A16375&amp;"|"&amp;DATOS!$D16375&amp;"|"&amp;DATOS!$E16375&amp;"|"&amp;DATOS!$I16375)</f>
      </c>
      <c r="G16375">
        <f>IF(DATOS!$A16375="",0,IF(CONFIG_METADATA!$B$4&lt;&gt;"OR+EX",--(DATOS!$G16375=CONFIG_METADATA!$B$4),IF(DATOS!$G16375="EX",1,IF(DATOS!$G16375="OR",--(COUNTIFS(nNIA,DATOS!$A16375,nCURSO,DATOS!$D16375,nESPEC,DATOS!$E16375,nASIG,DATOS!$I16375,nEVAL,"EX")=0),0))))</f>
      </c>
      <c r="H16375">
        <f>IF(DATOS!$G16375&lt;&gt;"EX",0,--(COUNTIFS(nNIA,DATOS!$A16375,nCURSO,DATOS!$D16375,nESPEC,DATOS!$E16375,nASIG,DATOS!$I16375,nEVAL,"OR")=0))</f>
      </c>
      <c r="I16375">
        <f>IF(DATOS!$I16375="","",IFERROR(VLOOKUP(DATOS!$I16375,CONFIG_ASIGNATURAS!$B$2:$J$91,9,FALSE()),""))</f>
      </c>
    </row>
    <row r="16376">
      <c r="F16376">
        <f>IF(DATOS!$A16376="","",DATOS!$A16376&amp;"|"&amp;DATOS!$D16376&amp;"|"&amp;DATOS!$E16376&amp;"|"&amp;DATOS!$I16376)</f>
      </c>
      <c r="G16376">
        <f>IF(DATOS!$A16376="",0,IF(CONFIG_METADATA!$B$4&lt;&gt;"OR+EX",--(DATOS!$G16376=CONFIG_METADATA!$B$4),IF(DATOS!$G16376="EX",1,IF(DATOS!$G16376="OR",--(COUNTIFS(nNIA,DATOS!$A16376,nCURSO,DATOS!$D16376,nESPEC,DATOS!$E16376,nASIG,DATOS!$I16376,nEVAL,"EX")=0),0))))</f>
      </c>
      <c r="H16376">
        <f>IF(DATOS!$G16376&lt;&gt;"EX",0,--(COUNTIFS(nNIA,DATOS!$A16376,nCURSO,DATOS!$D16376,nESPEC,DATOS!$E16376,nASIG,DATOS!$I16376,nEVAL,"OR")=0))</f>
      </c>
      <c r="I16376">
        <f>IF(DATOS!$I16376="","",IFERROR(VLOOKUP(DATOS!$I16376,CONFIG_ASIGNATURAS!$B$2:$J$91,9,FALSE()),""))</f>
      </c>
    </row>
    <row r="16377">
      <c r="F16377">
        <f>IF(DATOS!$A16377="","",DATOS!$A16377&amp;"|"&amp;DATOS!$D16377&amp;"|"&amp;DATOS!$E16377&amp;"|"&amp;DATOS!$I16377)</f>
      </c>
      <c r="G16377">
        <f>IF(DATOS!$A16377="",0,IF(CONFIG_METADATA!$B$4&lt;&gt;"OR+EX",--(DATOS!$G16377=CONFIG_METADATA!$B$4),IF(DATOS!$G16377="EX",1,IF(DATOS!$G16377="OR",--(COUNTIFS(nNIA,DATOS!$A16377,nCURSO,DATOS!$D16377,nESPEC,DATOS!$E16377,nASIG,DATOS!$I16377,nEVAL,"EX")=0),0))))</f>
      </c>
      <c r="H16377">
        <f>IF(DATOS!$G16377&lt;&gt;"EX",0,--(COUNTIFS(nNIA,DATOS!$A16377,nCURSO,DATOS!$D16377,nESPEC,DATOS!$E16377,nASIG,DATOS!$I16377,nEVAL,"OR")=0))</f>
      </c>
      <c r="I16377">
        <f>IF(DATOS!$I16377="","",IFERROR(VLOOKUP(DATOS!$I16377,CONFIG_ASIGNATURAS!$B$2:$J$91,9,FALSE()),""))</f>
      </c>
    </row>
    <row r="16378">
      <c r="F16378">
        <f>IF(DATOS!$A16378="","",DATOS!$A16378&amp;"|"&amp;DATOS!$D16378&amp;"|"&amp;DATOS!$E16378&amp;"|"&amp;DATOS!$I16378)</f>
      </c>
      <c r="G16378">
        <f>IF(DATOS!$A16378="",0,IF(CONFIG_METADATA!$B$4&lt;&gt;"OR+EX",--(DATOS!$G16378=CONFIG_METADATA!$B$4),IF(DATOS!$G16378="EX",1,IF(DATOS!$G16378="OR",--(COUNTIFS(nNIA,DATOS!$A16378,nCURSO,DATOS!$D16378,nESPEC,DATOS!$E16378,nASIG,DATOS!$I16378,nEVAL,"EX")=0),0))))</f>
      </c>
      <c r="H16378">
        <f>IF(DATOS!$G16378&lt;&gt;"EX",0,--(COUNTIFS(nNIA,DATOS!$A16378,nCURSO,DATOS!$D16378,nESPEC,DATOS!$E16378,nASIG,DATOS!$I16378,nEVAL,"OR")=0))</f>
      </c>
      <c r="I16378">
        <f>IF(DATOS!$I16378="","",IFERROR(VLOOKUP(DATOS!$I16378,CONFIG_ASIGNATURAS!$B$2:$J$91,9,FALSE()),""))</f>
      </c>
    </row>
    <row r="16379">
      <c r="F16379">
        <f>IF(DATOS!$A16379="","",DATOS!$A16379&amp;"|"&amp;DATOS!$D16379&amp;"|"&amp;DATOS!$E16379&amp;"|"&amp;DATOS!$I16379)</f>
      </c>
      <c r="G16379">
        <f>IF(DATOS!$A16379="",0,IF(CONFIG_METADATA!$B$4&lt;&gt;"OR+EX",--(DATOS!$G16379=CONFIG_METADATA!$B$4),IF(DATOS!$G16379="EX",1,IF(DATOS!$G16379="OR",--(COUNTIFS(nNIA,DATOS!$A16379,nCURSO,DATOS!$D16379,nESPEC,DATOS!$E16379,nASIG,DATOS!$I16379,nEVAL,"EX")=0),0))))</f>
      </c>
      <c r="H16379">
        <f>IF(DATOS!$G16379&lt;&gt;"EX",0,--(COUNTIFS(nNIA,DATOS!$A16379,nCURSO,DATOS!$D16379,nESPEC,DATOS!$E16379,nASIG,DATOS!$I16379,nEVAL,"OR")=0))</f>
      </c>
      <c r="I16379">
        <f>IF(DATOS!$I16379="","",IFERROR(VLOOKUP(DATOS!$I16379,CONFIG_ASIGNATURAS!$B$2:$J$91,9,FALSE()),""))</f>
      </c>
    </row>
    <row r="16380">
      <c r="F16380">
        <f>IF(DATOS!$A16380="","",DATOS!$A16380&amp;"|"&amp;DATOS!$D16380&amp;"|"&amp;DATOS!$E16380&amp;"|"&amp;DATOS!$I16380)</f>
      </c>
      <c r="G16380">
        <f>IF(DATOS!$A16380="",0,IF(CONFIG_METADATA!$B$4&lt;&gt;"OR+EX",--(DATOS!$G16380=CONFIG_METADATA!$B$4),IF(DATOS!$G16380="EX",1,IF(DATOS!$G16380="OR",--(COUNTIFS(nNIA,DATOS!$A16380,nCURSO,DATOS!$D16380,nESPEC,DATOS!$E16380,nASIG,DATOS!$I16380,nEVAL,"EX")=0),0))))</f>
      </c>
      <c r="H16380">
        <f>IF(DATOS!$G16380&lt;&gt;"EX",0,--(COUNTIFS(nNIA,DATOS!$A16380,nCURSO,DATOS!$D16380,nESPEC,DATOS!$E16380,nASIG,DATOS!$I16380,nEVAL,"OR")=0))</f>
      </c>
      <c r="I16380">
        <f>IF(DATOS!$I16380="","",IFERROR(VLOOKUP(DATOS!$I16380,CONFIG_ASIGNATURAS!$B$2:$J$91,9,FALSE()),""))</f>
      </c>
    </row>
    <row r="16381">
      <c r="F16381">
        <f>IF(DATOS!$A16381="","",DATOS!$A16381&amp;"|"&amp;DATOS!$D16381&amp;"|"&amp;DATOS!$E16381&amp;"|"&amp;DATOS!$I16381)</f>
      </c>
      <c r="G16381">
        <f>IF(DATOS!$A16381="",0,IF(CONFIG_METADATA!$B$4&lt;&gt;"OR+EX",--(DATOS!$G16381=CONFIG_METADATA!$B$4),IF(DATOS!$G16381="EX",1,IF(DATOS!$G16381="OR",--(COUNTIFS(nNIA,DATOS!$A16381,nCURSO,DATOS!$D16381,nESPEC,DATOS!$E16381,nASIG,DATOS!$I16381,nEVAL,"EX")=0),0))))</f>
      </c>
      <c r="H16381">
        <f>IF(DATOS!$G16381&lt;&gt;"EX",0,--(COUNTIFS(nNIA,DATOS!$A16381,nCURSO,DATOS!$D16381,nESPEC,DATOS!$E16381,nASIG,DATOS!$I16381,nEVAL,"OR")=0))</f>
      </c>
      <c r="I16381">
        <f>IF(DATOS!$I16381="","",IFERROR(VLOOKUP(DATOS!$I16381,CONFIG_ASIGNATURAS!$B$2:$J$91,9,FALSE()),""))</f>
      </c>
    </row>
    <row r="16382">
      <c r="F16382">
        <f>IF(DATOS!$A16382="","",DATOS!$A16382&amp;"|"&amp;DATOS!$D16382&amp;"|"&amp;DATOS!$E16382&amp;"|"&amp;DATOS!$I16382)</f>
      </c>
      <c r="G16382">
        <f>IF(DATOS!$A16382="",0,IF(CONFIG_METADATA!$B$4&lt;&gt;"OR+EX",--(DATOS!$G16382=CONFIG_METADATA!$B$4),IF(DATOS!$G16382="EX",1,IF(DATOS!$G16382="OR",--(COUNTIFS(nNIA,DATOS!$A16382,nCURSO,DATOS!$D16382,nESPEC,DATOS!$E16382,nASIG,DATOS!$I16382,nEVAL,"EX")=0),0))))</f>
      </c>
      <c r="H16382">
        <f>IF(DATOS!$G16382&lt;&gt;"EX",0,--(COUNTIFS(nNIA,DATOS!$A16382,nCURSO,DATOS!$D16382,nESPEC,DATOS!$E16382,nASIG,DATOS!$I16382,nEVAL,"OR")=0))</f>
      </c>
      <c r="I16382">
        <f>IF(DATOS!$I16382="","",IFERROR(VLOOKUP(DATOS!$I16382,CONFIG_ASIGNATURAS!$B$2:$J$91,9,FALSE()),""))</f>
      </c>
    </row>
    <row r="16383">
      <c r="F16383">
        <f>IF(DATOS!$A16383="","",DATOS!$A16383&amp;"|"&amp;DATOS!$D16383&amp;"|"&amp;DATOS!$E16383&amp;"|"&amp;DATOS!$I16383)</f>
      </c>
      <c r="G16383">
        <f>IF(DATOS!$A16383="",0,IF(CONFIG_METADATA!$B$4&lt;&gt;"OR+EX",--(DATOS!$G16383=CONFIG_METADATA!$B$4),IF(DATOS!$G16383="EX",1,IF(DATOS!$G16383="OR",--(COUNTIFS(nNIA,DATOS!$A16383,nCURSO,DATOS!$D16383,nESPEC,DATOS!$E16383,nASIG,DATOS!$I16383,nEVAL,"EX")=0),0))))</f>
      </c>
      <c r="H16383">
        <f>IF(DATOS!$G16383&lt;&gt;"EX",0,--(COUNTIFS(nNIA,DATOS!$A16383,nCURSO,DATOS!$D16383,nESPEC,DATOS!$E16383,nASIG,DATOS!$I16383,nEVAL,"OR")=0))</f>
      </c>
      <c r="I16383">
        <f>IF(DATOS!$I16383="","",IFERROR(VLOOKUP(DATOS!$I16383,CONFIG_ASIGNATURAS!$B$2:$J$91,9,FALSE()),""))</f>
      </c>
    </row>
    <row r="16384">
      <c r="F16384">
        <f>IF(DATOS!$A16384="","",DATOS!$A16384&amp;"|"&amp;DATOS!$D16384&amp;"|"&amp;DATOS!$E16384&amp;"|"&amp;DATOS!$I16384)</f>
      </c>
      <c r="G16384">
        <f>IF(DATOS!$A16384="",0,IF(CONFIG_METADATA!$B$4&lt;&gt;"OR+EX",--(DATOS!$G16384=CONFIG_METADATA!$B$4),IF(DATOS!$G16384="EX",1,IF(DATOS!$G16384="OR",--(COUNTIFS(nNIA,DATOS!$A16384,nCURSO,DATOS!$D16384,nESPEC,DATOS!$E16384,nASIG,DATOS!$I16384,nEVAL,"EX")=0),0))))</f>
      </c>
      <c r="H16384">
        <f>IF(DATOS!$G16384&lt;&gt;"EX",0,--(COUNTIFS(nNIA,DATOS!$A16384,nCURSO,DATOS!$D16384,nESPEC,DATOS!$E16384,nASIG,DATOS!$I16384,nEVAL,"OR")=0))</f>
      </c>
      <c r="I16384">
        <f>IF(DATOS!$I16384="","",IFERROR(VLOOKUP(DATOS!$I16384,CONFIG_ASIGNATURAS!$B$2:$J$91,9,FALSE()),""))</f>
      </c>
    </row>
    <row r="16385">
      <c r="F16385">
        <f>IF(DATOS!$A16385="","",DATOS!$A16385&amp;"|"&amp;DATOS!$D16385&amp;"|"&amp;DATOS!$E16385&amp;"|"&amp;DATOS!$I16385)</f>
      </c>
      <c r="G16385">
        <f>IF(DATOS!$A16385="",0,IF(CONFIG_METADATA!$B$4&lt;&gt;"OR+EX",--(DATOS!$G16385=CONFIG_METADATA!$B$4),IF(DATOS!$G16385="EX",1,IF(DATOS!$G16385="OR",--(COUNTIFS(nNIA,DATOS!$A16385,nCURSO,DATOS!$D16385,nESPEC,DATOS!$E16385,nASIG,DATOS!$I16385,nEVAL,"EX")=0),0))))</f>
      </c>
      <c r="H16385">
        <f>IF(DATOS!$G16385&lt;&gt;"EX",0,--(COUNTIFS(nNIA,DATOS!$A16385,nCURSO,DATOS!$D16385,nESPEC,DATOS!$E16385,nASIG,DATOS!$I16385,nEVAL,"OR")=0))</f>
      </c>
      <c r="I16385">
        <f>IF(DATOS!$I16385="","",IFERROR(VLOOKUP(DATOS!$I16385,CONFIG_ASIGNATURAS!$B$2:$J$91,9,FALSE()),""))</f>
      </c>
    </row>
    <row r="16386">
      <c r="F16386">
        <f>IF(DATOS!$A16386="","",DATOS!$A16386&amp;"|"&amp;DATOS!$D16386&amp;"|"&amp;DATOS!$E16386&amp;"|"&amp;DATOS!$I16386)</f>
      </c>
      <c r="G16386">
        <f>IF(DATOS!$A16386="",0,IF(CONFIG_METADATA!$B$4&lt;&gt;"OR+EX",--(DATOS!$G16386=CONFIG_METADATA!$B$4),IF(DATOS!$G16386="EX",1,IF(DATOS!$G16386="OR",--(COUNTIFS(nNIA,DATOS!$A16386,nCURSO,DATOS!$D16386,nESPEC,DATOS!$E16386,nASIG,DATOS!$I16386,nEVAL,"EX")=0),0))))</f>
      </c>
      <c r="H16386">
        <f>IF(DATOS!$G16386&lt;&gt;"EX",0,--(COUNTIFS(nNIA,DATOS!$A16386,nCURSO,DATOS!$D16386,nESPEC,DATOS!$E16386,nASIG,DATOS!$I16386,nEVAL,"OR")=0))</f>
      </c>
      <c r="I16386">
        <f>IF(DATOS!$I16386="","",IFERROR(VLOOKUP(DATOS!$I16386,CONFIG_ASIGNATURAS!$B$2:$J$91,9,FALSE()),""))</f>
      </c>
    </row>
    <row r="16387">
      <c r="F16387">
        <f>IF(DATOS!$A16387="","",DATOS!$A16387&amp;"|"&amp;DATOS!$D16387&amp;"|"&amp;DATOS!$E16387&amp;"|"&amp;DATOS!$I16387)</f>
      </c>
      <c r="G16387">
        <f>IF(DATOS!$A16387="",0,IF(CONFIG_METADATA!$B$4&lt;&gt;"OR+EX",--(DATOS!$G16387=CONFIG_METADATA!$B$4),IF(DATOS!$G16387="EX",1,IF(DATOS!$G16387="OR",--(COUNTIFS(nNIA,DATOS!$A16387,nCURSO,DATOS!$D16387,nESPEC,DATOS!$E16387,nASIG,DATOS!$I16387,nEVAL,"EX")=0),0))))</f>
      </c>
      <c r="H16387">
        <f>IF(DATOS!$G16387&lt;&gt;"EX",0,--(COUNTIFS(nNIA,DATOS!$A16387,nCURSO,DATOS!$D16387,nESPEC,DATOS!$E16387,nASIG,DATOS!$I16387,nEVAL,"OR")=0))</f>
      </c>
      <c r="I16387">
        <f>IF(DATOS!$I16387="","",IFERROR(VLOOKUP(DATOS!$I16387,CONFIG_ASIGNATURAS!$B$2:$J$91,9,FALSE()),""))</f>
      </c>
    </row>
    <row r="16388">
      <c r="F16388">
        <f>IF(DATOS!$A16388="","",DATOS!$A16388&amp;"|"&amp;DATOS!$D16388&amp;"|"&amp;DATOS!$E16388&amp;"|"&amp;DATOS!$I16388)</f>
      </c>
      <c r="G16388">
        <f>IF(DATOS!$A16388="",0,IF(CONFIG_METADATA!$B$4&lt;&gt;"OR+EX",--(DATOS!$G16388=CONFIG_METADATA!$B$4),IF(DATOS!$G16388="EX",1,IF(DATOS!$G16388="OR",--(COUNTIFS(nNIA,DATOS!$A16388,nCURSO,DATOS!$D16388,nESPEC,DATOS!$E16388,nASIG,DATOS!$I16388,nEVAL,"EX")=0),0))))</f>
      </c>
      <c r="H16388">
        <f>IF(DATOS!$G16388&lt;&gt;"EX",0,--(COUNTIFS(nNIA,DATOS!$A16388,nCURSO,DATOS!$D16388,nESPEC,DATOS!$E16388,nASIG,DATOS!$I16388,nEVAL,"OR")=0))</f>
      </c>
      <c r="I16388">
        <f>IF(DATOS!$I16388="","",IFERROR(VLOOKUP(DATOS!$I16388,CONFIG_ASIGNATURAS!$B$2:$J$91,9,FALSE()),""))</f>
      </c>
    </row>
    <row r="16389">
      <c r="F16389">
        <f>IF(DATOS!$A16389="","",DATOS!$A16389&amp;"|"&amp;DATOS!$D16389&amp;"|"&amp;DATOS!$E16389&amp;"|"&amp;DATOS!$I16389)</f>
      </c>
      <c r="G16389">
        <f>IF(DATOS!$A16389="",0,IF(CONFIG_METADATA!$B$4&lt;&gt;"OR+EX",--(DATOS!$G16389=CONFIG_METADATA!$B$4),IF(DATOS!$G16389="EX",1,IF(DATOS!$G16389="OR",--(COUNTIFS(nNIA,DATOS!$A16389,nCURSO,DATOS!$D16389,nESPEC,DATOS!$E16389,nASIG,DATOS!$I16389,nEVAL,"EX")=0),0))))</f>
      </c>
      <c r="H16389">
        <f>IF(DATOS!$G16389&lt;&gt;"EX",0,--(COUNTIFS(nNIA,DATOS!$A16389,nCURSO,DATOS!$D16389,nESPEC,DATOS!$E16389,nASIG,DATOS!$I16389,nEVAL,"OR")=0))</f>
      </c>
      <c r="I16389">
        <f>IF(DATOS!$I16389="","",IFERROR(VLOOKUP(DATOS!$I16389,CONFIG_ASIGNATURAS!$B$2:$J$91,9,FALSE()),""))</f>
      </c>
    </row>
    <row r="16390">
      <c r="F16390">
        <f>IF(DATOS!$A16390="","",DATOS!$A16390&amp;"|"&amp;DATOS!$D16390&amp;"|"&amp;DATOS!$E16390&amp;"|"&amp;DATOS!$I16390)</f>
      </c>
      <c r="G16390">
        <f>IF(DATOS!$A16390="",0,IF(CONFIG_METADATA!$B$4&lt;&gt;"OR+EX",--(DATOS!$G16390=CONFIG_METADATA!$B$4),IF(DATOS!$G16390="EX",1,IF(DATOS!$G16390="OR",--(COUNTIFS(nNIA,DATOS!$A16390,nCURSO,DATOS!$D16390,nESPEC,DATOS!$E16390,nASIG,DATOS!$I16390,nEVAL,"EX")=0),0))))</f>
      </c>
      <c r="H16390">
        <f>IF(DATOS!$G16390&lt;&gt;"EX",0,--(COUNTIFS(nNIA,DATOS!$A16390,nCURSO,DATOS!$D16390,nESPEC,DATOS!$E16390,nASIG,DATOS!$I16390,nEVAL,"OR")=0))</f>
      </c>
      <c r="I16390">
        <f>IF(DATOS!$I16390="","",IFERROR(VLOOKUP(DATOS!$I16390,CONFIG_ASIGNATURAS!$B$2:$J$91,9,FALSE()),""))</f>
      </c>
    </row>
    <row r="16391">
      <c r="F16391">
        <f>IF(DATOS!$A16391="","",DATOS!$A16391&amp;"|"&amp;DATOS!$D16391&amp;"|"&amp;DATOS!$E16391&amp;"|"&amp;DATOS!$I16391)</f>
      </c>
      <c r="G16391">
        <f>IF(DATOS!$A16391="",0,IF(CONFIG_METADATA!$B$4&lt;&gt;"OR+EX",--(DATOS!$G16391=CONFIG_METADATA!$B$4),IF(DATOS!$G16391="EX",1,IF(DATOS!$G16391="OR",--(COUNTIFS(nNIA,DATOS!$A16391,nCURSO,DATOS!$D16391,nESPEC,DATOS!$E16391,nASIG,DATOS!$I16391,nEVAL,"EX")=0),0))))</f>
      </c>
      <c r="H16391">
        <f>IF(DATOS!$G16391&lt;&gt;"EX",0,--(COUNTIFS(nNIA,DATOS!$A16391,nCURSO,DATOS!$D16391,nESPEC,DATOS!$E16391,nASIG,DATOS!$I16391,nEVAL,"OR")=0))</f>
      </c>
      <c r="I16391">
        <f>IF(DATOS!$I16391="","",IFERROR(VLOOKUP(DATOS!$I16391,CONFIG_ASIGNATURAS!$B$2:$J$91,9,FALSE()),""))</f>
      </c>
    </row>
    <row r="16392">
      <c r="F16392">
        <f>IF(DATOS!$A16392="","",DATOS!$A16392&amp;"|"&amp;DATOS!$D16392&amp;"|"&amp;DATOS!$E16392&amp;"|"&amp;DATOS!$I16392)</f>
      </c>
      <c r="G16392">
        <f>IF(DATOS!$A16392="",0,IF(CONFIG_METADATA!$B$4&lt;&gt;"OR+EX",--(DATOS!$G16392=CONFIG_METADATA!$B$4),IF(DATOS!$G16392="EX",1,IF(DATOS!$G16392="OR",--(COUNTIFS(nNIA,DATOS!$A16392,nCURSO,DATOS!$D16392,nESPEC,DATOS!$E16392,nASIG,DATOS!$I16392,nEVAL,"EX")=0),0))))</f>
      </c>
      <c r="H16392">
        <f>IF(DATOS!$G16392&lt;&gt;"EX",0,--(COUNTIFS(nNIA,DATOS!$A16392,nCURSO,DATOS!$D16392,nESPEC,DATOS!$E16392,nASIG,DATOS!$I16392,nEVAL,"OR")=0))</f>
      </c>
      <c r="I16392">
        <f>IF(DATOS!$I16392="","",IFERROR(VLOOKUP(DATOS!$I16392,CONFIG_ASIGNATURAS!$B$2:$J$91,9,FALSE()),""))</f>
      </c>
    </row>
    <row r="16393">
      <c r="F16393">
        <f>IF(DATOS!$A16393="","",DATOS!$A16393&amp;"|"&amp;DATOS!$D16393&amp;"|"&amp;DATOS!$E16393&amp;"|"&amp;DATOS!$I16393)</f>
      </c>
      <c r="G16393">
        <f>IF(DATOS!$A16393="",0,IF(CONFIG_METADATA!$B$4&lt;&gt;"OR+EX",--(DATOS!$G16393=CONFIG_METADATA!$B$4),IF(DATOS!$G16393="EX",1,IF(DATOS!$G16393="OR",--(COUNTIFS(nNIA,DATOS!$A16393,nCURSO,DATOS!$D16393,nESPEC,DATOS!$E16393,nASIG,DATOS!$I16393,nEVAL,"EX")=0),0))))</f>
      </c>
      <c r="H16393">
        <f>IF(DATOS!$G16393&lt;&gt;"EX",0,--(COUNTIFS(nNIA,DATOS!$A16393,nCURSO,DATOS!$D16393,nESPEC,DATOS!$E16393,nASIG,DATOS!$I16393,nEVAL,"OR")=0))</f>
      </c>
      <c r="I16393">
        <f>IF(DATOS!$I16393="","",IFERROR(VLOOKUP(DATOS!$I16393,CONFIG_ASIGNATURAS!$B$2:$J$91,9,FALSE()),""))</f>
      </c>
    </row>
    <row r="16394">
      <c r="F16394">
        <f>IF(DATOS!$A16394="","",DATOS!$A16394&amp;"|"&amp;DATOS!$D16394&amp;"|"&amp;DATOS!$E16394&amp;"|"&amp;DATOS!$I16394)</f>
      </c>
      <c r="G16394">
        <f>IF(DATOS!$A16394="",0,IF(CONFIG_METADATA!$B$4&lt;&gt;"OR+EX",--(DATOS!$G16394=CONFIG_METADATA!$B$4),IF(DATOS!$G16394="EX",1,IF(DATOS!$G16394="OR",--(COUNTIFS(nNIA,DATOS!$A16394,nCURSO,DATOS!$D16394,nESPEC,DATOS!$E16394,nASIG,DATOS!$I16394,nEVAL,"EX")=0),0))))</f>
      </c>
      <c r="H16394">
        <f>IF(DATOS!$G16394&lt;&gt;"EX",0,--(COUNTIFS(nNIA,DATOS!$A16394,nCURSO,DATOS!$D16394,nESPEC,DATOS!$E16394,nASIG,DATOS!$I16394,nEVAL,"OR")=0))</f>
      </c>
      <c r="I16394">
        <f>IF(DATOS!$I16394="","",IFERROR(VLOOKUP(DATOS!$I16394,CONFIG_ASIGNATURAS!$B$2:$J$91,9,FALSE()),""))</f>
      </c>
    </row>
    <row r="16395">
      <c r="F16395">
        <f>IF(DATOS!$A16395="","",DATOS!$A16395&amp;"|"&amp;DATOS!$D16395&amp;"|"&amp;DATOS!$E16395&amp;"|"&amp;DATOS!$I16395)</f>
      </c>
      <c r="G16395">
        <f>IF(DATOS!$A16395="",0,IF(CONFIG_METADATA!$B$4&lt;&gt;"OR+EX",--(DATOS!$G16395=CONFIG_METADATA!$B$4),IF(DATOS!$G16395="EX",1,IF(DATOS!$G16395="OR",--(COUNTIFS(nNIA,DATOS!$A16395,nCURSO,DATOS!$D16395,nESPEC,DATOS!$E16395,nASIG,DATOS!$I16395,nEVAL,"EX")=0),0))))</f>
      </c>
      <c r="H16395">
        <f>IF(DATOS!$G16395&lt;&gt;"EX",0,--(COUNTIFS(nNIA,DATOS!$A16395,nCURSO,DATOS!$D16395,nESPEC,DATOS!$E16395,nASIG,DATOS!$I16395,nEVAL,"OR")=0))</f>
      </c>
      <c r="I16395">
        <f>IF(DATOS!$I16395="","",IFERROR(VLOOKUP(DATOS!$I16395,CONFIG_ASIGNATURAS!$B$2:$J$91,9,FALSE()),""))</f>
      </c>
    </row>
    <row r="16396">
      <c r="F16396">
        <f>IF(DATOS!$A16396="","",DATOS!$A16396&amp;"|"&amp;DATOS!$D16396&amp;"|"&amp;DATOS!$E16396&amp;"|"&amp;DATOS!$I16396)</f>
      </c>
      <c r="G16396">
        <f>IF(DATOS!$A16396="",0,IF(CONFIG_METADATA!$B$4&lt;&gt;"OR+EX",--(DATOS!$G16396=CONFIG_METADATA!$B$4),IF(DATOS!$G16396="EX",1,IF(DATOS!$G16396="OR",--(COUNTIFS(nNIA,DATOS!$A16396,nCURSO,DATOS!$D16396,nESPEC,DATOS!$E16396,nASIG,DATOS!$I16396,nEVAL,"EX")=0),0))))</f>
      </c>
      <c r="H16396">
        <f>IF(DATOS!$G16396&lt;&gt;"EX",0,--(COUNTIFS(nNIA,DATOS!$A16396,nCURSO,DATOS!$D16396,nESPEC,DATOS!$E16396,nASIG,DATOS!$I16396,nEVAL,"OR")=0))</f>
      </c>
      <c r="I16396">
        <f>IF(DATOS!$I16396="","",IFERROR(VLOOKUP(DATOS!$I16396,CONFIG_ASIGNATURAS!$B$2:$J$91,9,FALSE()),""))</f>
      </c>
    </row>
    <row r="16397">
      <c r="F16397">
        <f>IF(DATOS!$A16397="","",DATOS!$A16397&amp;"|"&amp;DATOS!$D16397&amp;"|"&amp;DATOS!$E16397&amp;"|"&amp;DATOS!$I16397)</f>
      </c>
      <c r="G16397">
        <f>IF(DATOS!$A16397="",0,IF(CONFIG_METADATA!$B$4&lt;&gt;"OR+EX",--(DATOS!$G16397=CONFIG_METADATA!$B$4),IF(DATOS!$G16397="EX",1,IF(DATOS!$G16397="OR",--(COUNTIFS(nNIA,DATOS!$A16397,nCURSO,DATOS!$D16397,nESPEC,DATOS!$E16397,nASIG,DATOS!$I16397,nEVAL,"EX")=0),0))))</f>
      </c>
      <c r="H16397">
        <f>IF(DATOS!$G16397&lt;&gt;"EX",0,--(COUNTIFS(nNIA,DATOS!$A16397,nCURSO,DATOS!$D16397,nESPEC,DATOS!$E16397,nASIG,DATOS!$I16397,nEVAL,"OR")=0))</f>
      </c>
      <c r="I16397">
        <f>IF(DATOS!$I16397="","",IFERROR(VLOOKUP(DATOS!$I16397,CONFIG_ASIGNATURAS!$B$2:$J$91,9,FALSE()),""))</f>
      </c>
    </row>
    <row r="16398">
      <c r="F16398">
        <f>IF(DATOS!$A16398="","",DATOS!$A16398&amp;"|"&amp;DATOS!$D16398&amp;"|"&amp;DATOS!$E16398&amp;"|"&amp;DATOS!$I16398)</f>
      </c>
      <c r="G16398">
        <f>IF(DATOS!$A16398="",0,IF(CONFIG_METADATA!$B$4&lt;&gt;"OR+EX",--(DATOS!$G16398=CONFIG_METADATA!$B$4),IF(DATOS!$G16398="EX",1,IF(DATOS!$G16398="OR",--(COUNTIFS(nNIA,DATOS!$A16398,nCURSO,DATOS!$D16398,nESPEC,DATOS!$E16398,nASIG,DATOS!$I16398,nEVAL,"EX")=0),0))))</f>
      </c>
      <c r="H16398">
        <f>IF(DATOS!$G16398&lt;&gt;"EX",0,--(COUNTIFS(nNIA,DATOS!$A16398,nCURSO,DATOS!$D16398,nESPEC,DATOS!$E16398,nASIG,DATOS!$I16398,nEVAL,"OR")=0))</f>
      </c>
      <c r="I16398">
        <f>IF(DATOS!$I16398="","",IFERROR(VLOOKUP(DATOS!$I16398,CONFIG_ASIGNATURAS!$B$2:$J$91,9,FALSE()),""))</f>
      </c>
    </row>
    <row r="16399">
      <c r="F16399">
        <f>IF(DATOS!$A16399="","",DATOS!$A16399&amp;"|"&amp;DATOS!$D16399&amp;"|"&amp;DATOS!$E16399&amp;"|"&amp;DATOS!$I16399)</f>
      </c>
      <c r="G16399">
        <f>IF(DATOS!$A16399="",0,IF(CONFIG_METADATA!$B$4&lt;&gt;"OR+EX",--(DATOS!$G16399=CONFIG_METADATA!$B$4),IF(DATOS!$G16399="EX",1,IF(DATOS!$G16399="OR",--(COUNTIFS(nNIA,DATOS!$A16399,nCURSO,DATOS!$D16399,nESPEC,DATOS!$E16399,nASIG,DATOS!$I16399,nEVAL,"EX")=0),0))))</f>
      </c>
      <c r="H16399">
        <f>IF(DATOS!$G16399&lt;&gt;"EX",0,--(COUNTIFS(nNIA,DATOS!$A16399,nCURSO,DATOS!$D16399,nESPEC,DATOS!$E16399,nASIG,DATOS!$I16399,nEVAL,"OR")=0))</f>
      </c>
      <c r="I16399">
        <f>IF(DATOS!$I16399="","",IFERROR(VLOOKUP(DATOS!$I16399,CONFIG_ASIGNATURAS!$B$2:$J$91,9,FALSE()),""))</f>
      </c>
    </row>
    <row r="16400">
      <c r="F16400">
        <f>IF(DATOS!$A16400="","",DATOS!$A16400&amp;"|"&amp;DATOS!$D16400&amp;"|"&amp;DATOS!$E16400&amp;"|"&amp;DATOS!$I16400)</f>
      </c>
      <c r="G16400">
        <f>IF(DATOS!$A16400="",0,IF(CONFIG_METADATA!$B$4&lt;&gt;"OR+EX",--(DATOS!$G16400=CONFIG_METADATA!$B$4),IF(DATOS!$G16400="EX",1,IF(DATOS!$G16400="OR",--(COUNTIFS(nNIA,DATOS!$A16400,nCURSO,DATOS!$D16400,nESPEC,DATOS!$E16400,nASIG,DATOS!$I16400,nEVAL,"EX")=0),0))))</f>
      </c>
      <c r="H16400">
        <f>IF(DATOS!$G16400&lt;&gt;"EX",0,--(COUNTIFS(nNIA,DATOS!$A16400,nCURSO,DATOS!$D16400,nESPEC,DATOS!$E16400,nASIG,DATOS!$I16400,nEVAL,"OR")=0))</f>
      </c>
      <c r="I16400">
        <f>IF(DATOS!$I16400="","",IFERROR(VLOOKUP(DATOS!$I16400,CONFIG_ASIGNATURAS!$B$2:$J$91,9,FALSE()),""))</f>
      </c>
    </row>
    <row r="16401">
      <c r="F16401">
        <f>IF(DATOS!$A16401="","",DATOS!$A16401&amp;"|"&amp;DATOS!$D16401&amp;"|"&amp;DATOS!$E16401&amp;"|"&amp;DATOS!$I16401)</f>
      </c>
      <c r="G16401">
        <f>IF(DATOS!$A16401="",0,IF(CONFIG_METADATA!$B$4&lt;&gt;"OR+EX",--(DATOS!$G16401=CONFIG_METADATA!$B$4),IF(DATOS!$G16401="EX",1,IF(DATOS!$G16401="OR",--(COUNTIFS(nNIA,DATOS!$A16401,nCURSO,DATOS!$D16401,nESPEC,DATOS!$E16401,nASIG,DATOS!$I16401,nEVAL,"EX")=0),0))))</f>
      </c>
      <c r="H16401">
        <f>IF(DATOS!$G16401&lt;&gt;"EX",0,--(COUNTIFS(nNIA,DATOS!$A16401,nCURSO,DATOS!$D16401,nESPEC,DATOS!$E16401,nASIG,DATOS!$I16401,nEVAL,"OR")=0))</f>
      </c>
      <c r="I16401">
        <f>IF(DATOS!$I16401="","",IFERROR(VLOOKUP(DATOS!$I16401,CONFIG_ASIGNATURAS!$B$2:$J$91,9,FALSE()),""))</f>
      </c>
    </row>
    <row r="16402">
      <c r="F16402">
        <f>IF(DATOS!$A16402="","",DATOS!$A16402&amp;"|"&amp;DATOS!$D16402&amp;"|"&amp;DATOS!$E16402&amp;"|"&amp;DATOS!$I16402)</f>
      </c>
      <c r="G16402">
        <f>IF(DATOS!$A16402="",0,IF(CONFIG_METADATA!$B$4&lt;&gt;"OR+EX",--(DATOS!$G16402=CONFIG_METADATA!$B$4),IF(DATOS!$G16402="EX",1,IF(DATOS!$G16402="OR",--(COUNTIFS(nNIA,DATOS!$A16402,nCURSO,DATOS!$D16402,nESPEC,DATOS!$E16402,nASIG,DATOS!$I16402,nEVAL,"EX")=0),0))))</f>
      </c>
      <c r="H16402">
        <f>IF(DATOS!$G16402&lt;&gt;"EX",0,--(COUNTIFS(nNIA,DATOS!$A16402,nCURSO,DATOS!$D16402,nESPEC,DATOS!$E16402,nASIG,DATOS!$I16402,nEVAL,"OR")=0))</f>
      </c>
      <c r="I16402">
        <f>IF(DATOS!$I16402="","",IFERROR(VLOOKUP(DATOS!$I16402,CONFIG_ASIGNATURAS!$B$2:$J$91,9,FALSE()),""))</f>
      </c>
    </row>
    <row r="16403">
      <c r="F16403">
        <f>IF(DATOS!$A16403="","",DATOS!$A16403&amp;"|"&amp;DATOS!$D16403&amp;"|"&amp;DATOS!$E16403&amp;"|"&amp;DATOS!$I16403)</f>
      </c>
      <c r="G16403">
        <f>IF(DATOS!$A16403="",0,IF(CONFIG_METADATA!$B$4&lt;&gt;"OR+EX",--(DATOS!$G16403=CONFIG_METADATA!$B$4),IF(DATOS!$G16403="EX",1,IF(DATOS!$G16403="OR",--(COUNTIFS(nNIA,DATOS!$A16403,nCURSO,DATOS!$D16403,nESPEC,DATOS!$E16403,nASIG,DATOS!$I16403,nEVAL,"EX")=0),0))))</f>
      </c>
      <c r="H16403">
        <f>IF(DATOS!$G16403&lt;&gt;"EX",0,--(COUNTIFS(nNIA,DATOS!$A16403,nCURSO,DATOS!$D16403,nESPEC,DATOS!$E16403,nASIG,DATOS!$I16403,nEVAL,"OR")=0))</f>
      </c>
      <c r="I16403">
        <f>IF(DATOS!$I16403="","",IFERROR(VLOOKUP(DATOS!$I16403,CONFIG_ASIGNATURAS!$B$2:$J$91,9,FALSE()),""))</f>
      </c>
    </row>
    <row r="16404">
      <c r="F16404">
        <f>IF(DATOS!$A16404="","",DATOS!$A16404&amp;"|"&amp;DATOS!$D16404&amp;"|"&amp;DATOS!$E16404&amp;"|"&amp;DATOS!$I16404)</f>
      </c>
      <c r="G16404">
        <f>IF(DATOS!$A16404="",0,IF(CONFIG_METADATA!$B$4&lt;&gt;"OR+EX",--(DATOS!$G16404=CONFIG_METADATA!$B$4),IF(DATOS!$G16404="EX",1,IF(DATOS!$G16404="OR",--(COUNTIFS(nNIA,DATOS!$A16404,nCURSO,DATOS!$D16404,nESPEC,DATOS!$E16404,nASIG,DATOS!$I16404,nEVAL,"EX")=0),0))))</f>
      </c>
      <c r="H16404">
        <f>IF(DATOS!$G16404&lt;&gt;"EX",0,--(COUNTIFS(nNIA,DATOS!$A16404,nCURSO,DATOS!$D16404,nESPEC,DATOS!$E16404,nASIG,DATOS!$I16404,nEVAL,"OR")=0))</f>
      </c>
      <c r="I16404">
        <f>IF(DATOS!$I16404="","",IFERROR(VLOOKUP(DATOS!$I16404,CONFIG_ASIGNATURAS!$B$2:$J$91,9,FALSE()),""))</f>
      </c>
    </row>
    <row r="16405">
      <c r="F16405">
        <f>IF(DATOS!$A16405="","",DATOS!$A16405&amp;"|"&amp;DATOS!$D16405&amp;"|"&amp;DATOS!$E16405&amp;"|"&amp;DATOS!$I16405)</f>
      </c>
      <c r="G16405">
        <f>IF(DATOS!$A16405="",0,IF(CONFIG_METADATA!$B$4&lt;&gt;"OR+EX",--(DATOS!$G16405=CONFIG_METADATA!$B$4),IF(DATOS!$G16405="EX",1,IF(DATOS!$G16405="OR",--(COUNTIFS(nNIA,DATOS!$A16405,nCURSO,DATOS!$D16405,nESPEC,DATOS!$E16405,nASIG,DATOS!$I16405,nEVAL,"EX")=0),0))))</f>
      </c>
      <c r="H16405">
        <f>IF(DATOS!$G16405&lt;&gt;"EX",0,--(COUNTIFS(nNIA,DATOS!$A16405,nCURSO,DATOS!$D16405,nESPEC,DATOS!$E16405,nASIG,DATOS!$I16405,nEVAL,"OR")=0))</f>
      </c>
      <c r="I16405">
        <f>IF(DATOS!$I16405="","",IFERROR(VLOOKUP(DATOS!$I16405,CONFIG_ASIGNATURAS!$B$2:$J$91,9,FALSE()),""))</f>
      </c>
    </row>
    <row r="16406">
      <c r="F16406">
        <f>IF(DATOS!$A16406="","",DATOS!$A16406&amp;"|"&amp;DATOS!$D16406&amp;"|"&amp;DATOS!$E16406&amp;"|"&amp;DATOS!$I16406)</f>
      </c>
      <c r="G16406">
        <f>IF(DATOS!$A16406="",0,IF(CONFIG_METADATA!$B$4&lt;&gt;"OR+EX",--(DATOS!$G16406=CONFIG_METADATA!$B$4),IF(DATOS!$G16406="EX",1,IF(DATOS!$G16406="OR",--(COUNTIFS(nNIA,DATOS!$A16406,nCURSO,DATOS!$D16406,nESPEC,DATOS!$E16406,nASIG,DATOS!$I16406,nEVAL,"EX")=0),0))))</f>
      </c>
      <c r="H16406">
        <f>IF(DATOS!$G16406&lt;&gt;"EX",0,--(COUNTIFS(nNIA,DATOS!$A16406,nCURSO,DATOS!$D16406,nESPEC,DATOS!$E16406,nASIG,DATOS!$I16406,nEVAL,"OR")=0))</f>
      </c>
      <c r="I16406">
        <f>IF(DATOS!$I16406="","",IFERROR(VLOOKUP(DATOS!$I16406,CONFIG_ASIGNATURAS!$B$2:$J$91,9,FALSE()),""))</f>
      </c>
    </row>
    <row r="16407">
      <c r="F16407">
        <f>IF(DATOS!$A16407="","",DATOS!$A16407&amp;"|"&amp;DATOS!$D16407&amp;"|"&amp;DATOS!$E16407&amp;"|"&amp;DATOS!$I16407)</f>
      </c>
      <c r="G16407">
        <f>IF(DATOS!$A16407="",0,IF(CONFIG_METADATA!$B$4&lt;&gt;"OR+EX",--(DATOS!$G16407=CONFIG_METADATA!$B$4),IF(DATOS!$G16407="EX",1,IF(DATOS!$G16407="OR",--(COUNTIFS(nNIA,DATOS!$A16407,nCURSO,DATOS!$D16407,nESPEC,DATOS!$E16407,nASIG,DATOS!$I16407,nEVAL,"EX")=0),0))))</f>
      </c>
      <c r="H16407">
        <f>IF(DATOS!$G16407&lt;&gt;"EX",0,--(COUNTIFS(nNIA,DATOS!$A16407,nCURSO,DATOS!$D16407,nESPEC,DATOS!$E16407,nASIG,DATOS!$I16407,nEVAL,"OR")=0))</f>
      </c>
      <c r="I16407">
        <f>IF(DATOS!$I16407="","",IFERROR(VLOOKUP(DATOS!$I16407,CONFIG_ASIGNATURAS!$B$2:$J$91,9,FALSE()),""))</f>
      </c>
    </row>
    <row r="16408">
      <c r="F16408">
        <f>IF(DATOS!$A16408="","",DATOS!$A16408&amp;"|"&amp;DATOS!$D16408&amp;"|"&amp;DATOS!$E16408&amp;"|"&amp;DATOS!$I16408)</f>
      </c>
      <c r="G16408">
        <f>IF(DATOS!$A16408="",0,IF(CONFIG_METADATA!$B$4&lt;&gt;"OR+EX",--(DATOS!$G16408=CONFIG_METADATA!$B$4),IF(DATOS!$G16408="EX",1,IF(DATOS!$G16408="OR",--(COUNTIFS(nNIA,DATOS!$A16408,nCURSO,DATOS!$D16408,nESPEC,DATOS!$E16408,nASIG,DATOS!$I16408,nEVAL,"EX")=0),0))))</f>
      </c>
      <c r="H16408">
        <f>IF(DATOS!$G16408&lt;&gt;"EX",0,--(COUNTIFS(nNIA,DATOS!$A16408,nCURSO,DATOS!$D16408,nESPEC,DATOS!$E16408,nASIG,DATOS!$I16408,nEVAL,"OR")=0))</f>
      </c>
      <c r="I16408">
        <f>IF(DATOS!$I16408="","",IFERROR(VLOOKUP(DATOS!$I16408,CONFIG_ASIGNATURAS!$B$2:$J$91,9,FALSE()),""))</f>
      </c>
    </row>
    <row r="16409">
      <c r="F16409">
        <f>IF(DATOS!$A16409="","",DATOS!$A16409&amp;"|"&amp;DATOS!$D16409&amp;"|"&amp;DATOS!$E16409&amp;"|"&amp;DATOS!$I16409)</f>
      </c>
      <c r="G16409">
        <f>IF(DATOS!$A16409="",0,IF(CONFIG_METADATA!$B$4&lt;&gt;"OR+EX",--(DATOS!$G16409=CONFIG_METADATA!$B$4),IF(DATOS!$G16409="EX",1,IF(DATOS!$G16409="OR",--(COUNTIFS(nNIA,DATOS!$A16409,nCURSO,DATOS!$D16409,nESPEC,DATOS!$E16409,nASIG,DATOS!$I16409,nEVAL,"EX")=0),0))))</f>
      </c>
      <c r="H16409">
        <f>IF(DATOS!$G16409&lt;&gt;"EX",0,--(COUNTIFS(nNIA,DATOS!$A16409,nCURSO,DATOS!$D16409,nESPEC,DATOS!$E16409,nASIG,DATOS!$I16409,nEVAL,"OR")=0))</f>
      </c>
      <c r="I16409">
        <f>IF(DATOS!$I16409="","",IFERROR(VLOOKUP(DATOS!$I16409,CONFIG_ASIGNATURAS!$B$2:$J$91,9,FALSE()),""))</f>
      </c>
    </row>
    <row r="16410">
      <c r="F16410">
        <f>IF(DATOS!$A16410="","",DATOS!$A16410&amp;"|"&amp;DATOS!$D16410&amp;"|"&amp;DATOS!$E16410&amp;"|"&amp;DATOS!$I16410)</f>
      </c>
      <c r="G16410">
        <f>IF(DATOS!$A16410="",0,IF(CONFIG_METADATA!$B$4&lt;&gt;"OR+EX",--(DATOS!$G16410=CONFIG_METADATA!$B$4),IF(DATOS!$G16410="EX",1,IF(DATOS!$G16410="OR",--(COUNTIFS(nNIA,DATOS!$A16410,nCURSO,DATOS!$D16410,nESPEC,DATOS!$E16410,nASIG,DATOS!$I16410,nEVAL,"EX")=0),0))))</f>
      </c>
      <c r="H16410">
        <f>IF(DATOS!$G16410&lt;&gt;"EX",0,--(COUNTIFS(nNIA,DATOS!$A16410,nCURSO,DATOS!$D16410,nESPEC,DATOS!$E16410,nASIG,DATOS!$I16410,nEVAL,"OR")=0))</f>
      </c>
      <c r="I16410">
        <f>IF(DATOS!$I16410="","",IFERROR(VLOOKUP(DATOS!$I16410,CONFIG_ASIGNATURAS!$B$2:$J$91,9,FALSE()),""))</f>
      </c>
    </row>
    <row r="16411">
      <c r="F16411">
        <f>IF(DATOS!$A16411="","",DATOS!$A16411&amp;"|"&amp;DATOS!$D16411&amp;"|"&amp;DATOS!$E16411&amp;"|"&amp;DATOS!$I16411)</f>
      </c>
      <c r="G16411">
        <f>IF(DATOS!$A16411="",0,IF(CONFIG_METADATA!$B$4&lt;&gt;"OR+EX",--(DATOS!$G16411=CONFIG_METADATA!$B$4),IF(DATOS!$G16411="EX",1,IF(DATOS!$G16411="OR",--(COUNTIFS(nNIA,DATOS!$A16411,nCURSO,DATOS!$D16411,nESPEC,DATOS!$E16411,nASIG,DATOS!$I16411,nEVAL,"EX")=0),0))))</f>
      </c>
      <c r="H16411">
        <f>IF(DATOS!$G16411&lt;&gt;"EX",0,--(COUNTIFS(nNIA,DATOS!$A16411,nCURSO,DATOS!$D16411,nESPEC,DATOS!$E16411,nASIG,DATOS!$I16411,nEVAL,"OR")=0))</f>
      </c>
      <c r="I16411">
        <f>IF(DATOS!$I16411="","",IFERROR(VLOOKUP(DATOS!$I16411,CONFIG_ASIGNATURAS!$B$2:$J$91,9,FALSE()),""))</f>
      </c>
    </row>
    <row r="16412">
      <c r="F16412">
        <f>IF(DATOS!$A16412="","",DATOS!$A16412&amp;"|"&amp;DATOS!$D16412&amp;"|"&amp;DATOS!$E16412&amp;"|"&amp;DATOS!$I16412)</f>
      </c>
      <c r="G16412">
        <f>IF(DATOS!$A16412="",0,IF(CONFIG_METADATA!$B$4&lt;&gt;"OR+EX",--(DATOS!$G16412=CONFIG_METADATA!$B$4),IF(DATOS!$G16412="EX",1,IF(DATOS!$G16412="OR",--(COUNTIFS(nNIA,DATOS!$A16412,nCURSO,DATOS!$D16412,nESPEC,DATOS!$E16412,nASIG,DATOS!$I16412,nEVAL,"EX")=0),0))))</f>
      </c>
      <c r="H16412">
        <f>IF(DATOS!$G16412&lt;&gt;"EX",0,--(COUNTIFS(nNIA,DATOS!$A16412,nCURSO,DATOS!$D16412,nESPEC,DATOS!$E16412,nASIG,DATOS!$I16412,nEVAL,"OR")=0))</f>
      </c>
      <c r="I16412">
        <f>IF(DATOS!$I16412="","",IFERROR(VLOOKUP(DATOS!$I16412,CONFIG_ASIGNATURAS!$B$2:$J$91,9,FALSE()),""))</f>
      </c>
    </row>
    <row r="16413">
      <c r="F16413">
        <f>IF(DATOS!$A16413="","",DATOS!$A16413&amp;"|"&amp;DATOS!$D16413&amp;"|"&amp;DATOS!$E16413&amp;"|"&amp;DATOS!$I16413)</f>
      </c>
      <c r="G16413">
        <f>IF(DATOS!$A16413="",0,IF(CONFIG_METADATA!$B$4&lt;&gt;"OR+EX",--(DATOS!$G16413=CONFIG_METADATA!$B$4),IF(DATOS!$G16413="EX",1,IF(DATOS!$G16413="OR",--(COUNTIFS(nNIA,DATOS!$A16413,nCURSO,DATOS!$D16413,nESPEC,DATOS!$E16413,nASIG,DATOS!$I16413,nEVAL,"EX")=0),0))))</f>
      </c>
      <c r="H16413">
        <f>IF(DATOS!$G16413&lt;&gt;"EX",0,--(COUNTIFS(nNIA,DATOS!$A16413,nCURSO,DATOS!$D16413,nESPEC,DATOS!$E16413,nASIG,DATOS!$I16413,nEVAL,"OR")=0))</f>
      </c>
      <c r="I16413">
        <f>IF(DATOS!$I16413="","",IFERROR(VLOOKUP(DATOS!$I16413,CONFIG_ASIGNATURAS!$B$2:$J$91,9,FALSE()),""))</f>
      </c>
    </row>
    <row r="16414">
      <c r="F16414">
        <f>IF(DATOS!$A16414="","",DATOS!$A16414&amp;"|"&amp;DATOS!$D16414&amp;"|"&amp;DATOS!$E16414&amp;"|"&amp;DATOS!$I16414)</f>
      </c>
      <c r="G16414">
        <f>IF(DATOS!$A16414="",0,IF(CONFIG_METADATA!$B$4&lt;&gt;"OR+EX",--(DATOS!$G16414=CONFIG_METADATA!$B$4),IF(DATOS!$G16414="EX",1,IF(DATOS!$G16414="OR",--(COUNTIFS(nNIA,DATOS!$A16414,nCURSO,DATOS!$D16414,nESPEC,DATOS!$E16414,nASIG,DATOS!$I16414,nEVAL,"EX")=0),0))))</f>
      </c>
      <c r="H16414">
        <f>IF(DATOS!$G16414&lt;&gt;"EX",0,--(COUNTIFS(nNIA,DATOS!$A16414,nCURSO,DATOS!$D16414,nESPEC,DATOS!$E16414,nASIG,DATOS!$I16414,nEVAL,"OR")=0))</f>
      </c>
      <c r="I16414">
        <f>IF(DATOS!$I16414="","",IFERROR(VLOOKUP(DATOS!$I16414,CONFIG_ASIGNATURAS!$B$2:$J$91,9,FALSE()),""))</f>
      </c>
    </row>
    <row r="16415">
      <c r="F16415">
        <f>IF(DATOS!$A16415="","",DATOS!$A16415&amp;"|"&amp;DATOS!$D16415&amp;"|"&amp;DATOS!$E16415&amp;"|"&amp;DATOS!$I16415)</f>
      </c>
      <c r="G16415">
        <f>IF(DATOS!$A16415="",0,IF(CONFIG_METADATA!$B$4&lt;&gt;"OR+EX",--(DATOS!$G16415=CONFIG_METADATA!$B$4),IF(DATOS!$G16415="EX",1,IF(DATOS!$G16415="OR",--(COUNTIFS(nNIA,DATOS!$A16415,nCURSO,DATOS!$D16415,nESPEC,DATOS!$E16415,nASIG,DATOS!$I16415,nEVAL,"EX")=0),0))))</f>
      </c>
      <c r="H16415">
        <f>IF(DATOS!$G16415&lt;&gt;"EX",0,--(COUNTIFS(nNIA,DATOS!$A16415,nCURSO,DATOS!$D16415,nESPEC,DATOS!$E16415,nASIG,DATOS!$I16415,nEVAL,"OR")=0))</f>
      </c>
      <c r="I16415">
        <f>IF(DATOS!$I16415="","",IFERROR(VLOOKUP(DATOS!$I16415,CONFIG_ASIGNATURAS!$B$2:$J$91,9,FALSE()),""))</f>
      </c>
    </row>
    <row r="16416">
      <c r="F16416">
        <f>IF(DATOS!$A16416="","",DATOS!$A16416&amp;"|"&amp;DATOS!$D16416&amp;"|"&amp;DATOS!$E16416&amp;"|"&amp;DATOS!$I16416)</f>
      </c>
      <c r="G16416">
        <f>IF(DATOS!$A16416="",0,IF(CONFIG_METADATA!$B$4&lt;&gt;"OR+EX",--(DATOS!$G16416=CONFIG_METADATA!$B$4),IF(DATOS!$G16416="EX",1,IF(DATOS!$G16416="OR",--(COUNTIFS(nNIA,DATOS!$A16416,nCURSO,DATOS!$D16416,nESPEC,DATOS!$E16416,nASIG,DATOS!$I16416,nEVAL,"EX")=0),0))))</f>
      </c>
      <c r="H16416">
        <f>IF(DATOS!$G16416&lt;&gt;"EX",0,--(COUNTIFS(nNIA,DATOS!$A16416,nCURSO,DATOS!$D16416,nESPEC,DATOS!$E16416,nASIG,DATOS!$I16416,nEVAL,"OR")=0))</f>
      </c>
      <c r="I16416">
        <f>IF(DATOS!$I16416="","",IFERROR(VLOOKUP(DATOS!$I16416,CONFIG_ASIGNATURAS!$B$2:$J$91,9,FALSE()),""))</f>
      </c>
    </row>
    <row r="16417">
      <c r="F16417">
        <f>IF(DATOS!$A16417="","",DATOS!$A16417&amp;"|"&amp;DATOS!$D16417&amp;"|"&amp;DATOS!$E16417&amp;"|"&amp;DATOS!$I16417)</f>
      </c>
      <c r="G16417">
        <f>IF(DATOS!$A16417="",0,IF(CONFIG_METADATA!$B$4&lt;&gt;"OR+EX",--(DATOS!$G16417=CONFIG_METADATA!$B$4),IF(DATOS!$G16417="EX",1,IF(DATOS!$G16417="OR",--(COUNTIFS(nNIA,DATOS!$A16417,nCURSO,DATOS!$D16417,nESPEC,DATOS!$E16417,nASIG,DATOS!$I16417,nEVAL,"EX")=0),0))))</f>
      </c>
      <c r="H16417">
        <f>IF(DATOS!$G16417&lt;&gt;"EX",0,--(COUNTIFS(nNIA,DATOS!$A16417,nCURSO,DATOS!$D16417,nESPEC,DATOS!$E16417,nASIG,DATOS!$I16417,nEVAL,"OR")=0))</f>
      </c>
      <c r="I16417">
        <f>IF(DATOS!$I16417="","",IFERROR(VLOOKUP(DATOS!$I16417,CONFIG_ASIGNATURAS!$B$2:$J$91,9,FALSE()),""))</f>
      </c>
    </row>
    <row r="16418">
      <c r="F16418">
        <f>IF(DATOS!$A16418="","",DATOS!$A16418&amp;"|"&amp;DATOS!$D16418&amp;"|"&amp;DATOS!$E16418&amp;"|"&amp;DATOS!$I16418)</f>
      </c>
      <c r="G16418">
        <f>IF(DATOS!$A16418="",0,IF(CONFIG_METADATA!$B$4&lt;&gt;"OR+EX",--(DATOS!$G16418=CONFIG_METADATA!$B$4),IF(DATOS!$G16418="EX",1,IF(DATOS!$G16418="OR",--(COUNTIFS(nNIA,DATOS!$A16418,nCURSO,DATOS!$D16418,nESPEC,DATOS!$E16418,nASIG,DATOS!$I16418,nEVAL,"EX")=0),0))))</f>
      </c>
      <c r="H16418">
        <f>IF(DATOS!$G16418&lt;&gt;"EX",0,--(COUNTIFS(nNIA,DATOS!$A16418,nCURSO,DATOS!$D16418,nESPEC,DATOS!$E16418,nASIG,DATOS!$I16418,nEVAL,"OR")=0))</f>
      </c>
      <c r="I16418">
        <f>IF(DATOS!$I16418="","",IFERROR(VLOOKUP(DATOS!$I16418,CONFIG_ASIGNATURAS!$B$2:$J$91,9,FALSE()),""))</f>
      </c>
    </row>
    <row r="16419">
      <c r="F16419">
        <f>IF(DATOS!$A16419="","",DATOS!$A16419&amp;"|"&amp;DATOS!$D16419&amp;"|"&amp;DATOS!$E16419&amp;"|"&amp;DATOS!$I16419)</f>
      </c>
      <c r="G16419">
        <f>IF(DATOS!$A16419="",0,IF(CONFIG_METADATA!$B$4&lt;&gt;"OR+EX",--(DATOS!$G16419=CONFIG_METADATA!$B$4),IF(DATOS!$G16419="EX",1,IF(DATOS!$G16419="OR",--(COUNTIFS(nNIA,DATOS!$A16419,nCURSO,DATOS!$D16419,nESPEC,DATOS!$E16419,nASIG,DATOS!$I16419,nEVAL,"EX")=0),0))))</f>
      </c>
      <c r="H16419">
        <f>IF(DATOS!$G16419&lt;&gt;"EX",0,--(COUNTIFS(nNIA,DATOS!$A16419,nCURSO,DATOS!$D16419,nESPEC,DATOS!$E16419,nASIG,DATOS!$I16419,nEVAL,"OR")=0))</f>
      </c>
      <c r="I16419">
        <f>IF(DATOS!$I16419="","",IFERROR(VLOOKUP(DATOS!$I16419,CONFIG_ASIGNATURAS!$B$2:$J$91,9,FALSE()),""))</f>
      </c>
    </row>
    <row r="16420">
      <c r="F16420">
        <f>IF(DATOS!$A16420="","",DATOS!$A16420&amp;"|"&amp;DATOS!$D16420&amp;"|"&amp;DATOS!$E16420&amp;"|"&amp;DATOS!$I16420)</f>
      </c>
      <c r="G16420">
        <f>IF(DATOS!$A16420="",0,IF(CONFIG_METADATA!$B$4&lt;&gt;"OR+EX",--(DATOS!$G16420=CONFIG_METADATA!$B$4),IF(DATOS!$G16420="EX",1,IF(DATOS!$G16420="OR",--(COUNTIFS(nNIA,DATOS!$A16420,nCURSO,DATOS!$D16420,nESPEC,DATOS!$E16420,nASIG,DATOS!$I16420,nEVAL,"EX")=0),0))))</f>
      </c>
      <c r="H16420">
        <f>IF(DATOS!$G16420&lt;&gt;"EX",0,--(COUNTIFS(nNIA,DATOS!$A16420,nCURSO,DATOS!$D16420,nESPEC,DATOS!$E16420,nASIG,DATOS!$I16420,nEVAL,"OR")=0))</f>
      </c>
      <c r="I16420">
        <f>IF(DATOS!$I16420="","",IFERROR(VLOOKUP(DATOS!$I16420,CONFIG_ASIGNATURAS!$B$2:$J$91,9,FALSE()),""))</f>
      </c>
    </row>
    <row r="16421">
      <c r="F16421">
        <f>IF(DATOS!$A16421="","",DATOS!$A16421&amp;"|"&amp;DATOS!$D16421&amp;"|"&amp;DATOS!$E16421&amp;"|"&amp;DATOS!$I16421)</f>
      </c>
      <c r="G16421">
        <f>IF(DATOS!$A16421="",0,IF(CONFIG_METADATA!$B$4&lt;&gt;"OR+EX",--(DATOS!$G16421=CONFIG_METADATA!$B$4),IF(DATOS!$G16421="EX",1,IF(DATOS!$G16421="OR",--(COUNTIFS(nNIA,DATOS!$A16421,nCURSO,DATOS!$D16421,nESPEC,DATOS!$E16421,nASIG,DATOS!$I16421,nEVAL,"EX")=0),0))))</f>
      </c>
      <c r="H16421">
        <f>IF(DATOS!$G16421&lt;&gt;"EX",0,--(COUNTIFS(nNIA,DATOS!$A16421,nCURSO,DATOS!$D16421,nESPEC,DATOS!$E16421,nASIG,DATOS!$I16421,nEVAL,"OR")=0))</f>
      </c>
      <c r="I16421">
        <f>IF(DATOS!$I16421="","",IFERROR(VLOOKUP(DATOS!$I16421,CONFIG_ASIGNATURAS!$B$2:$J$91,9,FALSE()),""))</f>
      </c>
    </row>
    <row r="16422">
      <c r="F16422">
        <f>IF(DATOS!$A16422="","",DATOS!$A16422&amp;"|"&amp;DATOS!$D16422&amp;"|"&amp;DATOS!$E16422&amp;"|"&amp;DATOS!$I16422)</f>
      </c>
      <c r="G16422">
        <f>IF(DATOS!$A16422="",0,IF(CONFIG_METADATA!$B$4&lt;&gt;"OR+EX",--(DATOS!$G16422=CONFIG_METADATA!$B$4),IF(DATOS!$G16422="EX",1,IF(DATOS!$G16422="OR",--(COUNTIFS(nNIA,DATOS!$A16422,nCURSO,DATOS!$D16422,nESPEC,DATOS!$E16422,nASIG,DATOS!$I16422,nEVAL,"EX")=0),0))))</f>
      </c>
      <c r="H16422">
        <f>IF(DATOS!$G16422&lt;&gt;"EX",0,--(COUNTIFS(nNIA,DATOS!$A16422,nCURSO,DATOS!$D16422,nESPEC,DATOS!$E16422,nASIG,DATOS!$I16422,nEVAL,"OR")=0))</f>
      </c>
      <c r="I16422">
        <f>IF(DATOS!$I16422="","",IFERROR(VLOOKUP(DATOS!$I16422,CONFIG_ASIGNATURAS!$B$2:$J$91,9,FALSE()),""))</f>
      </c>
    </row>
    <row r="16423">
      <c r="F16423">
        <f>IF(DATOS!$A16423="","",DATOS!$A16423&amp;"|"&amp;DATOS!$D16423&amp;"|"&amp;DATOS!$E16423&amp;"|"&amp;DATOS!$I16423)</f>
      </c>
      <c r="G16423">
        <f>IF(DATOS!$A16423="",0,IF(CONFIG_METADATA!$B$4&lt;&gt;"OR+EX",--(DATOS!$G16423=CONFIG_METADATA!$B$4),IF(DATOS!$G16423="EX",1,IF(DATOS!$G16423="OR",--(COUNTIFS(nNIA,DATOS!$A16423,nCURSO,DATOS!$D16423,nESPEC,DATOS!$E16423,nASIG,DATOS!$I16423,nEVAL,"EX")=0),0))))</f>
      </c>
      <c r="H16423">
        <f>IF(DATOS!$G16423&lt;&gt;"EX",0,--(COUNTIFS(nNIA,DATOS!$A16423,nCURSO,DATOS!$D16423,nESPEC,DATOS!$E16423,nASIG,DATOS!$I16423,nEVAL,"OR")=0))</f>
      </c>
      <c r="I16423">
        <f>IF(DATOS!$I16423="","",IFERROR(VLOOKUP(DATOS!$I16423,CONFIG_ASIGNATURAS!$B$2:$J$91,9,FALSE()),""))</f>
      </c>
    </row>
    <row r="16424">
      <c r="F16424">
        <f>IF(DATOS!$A16424="","",DATOS!$A16424&amp;"|"&amp;DATOS!$D16424&amp;"|"&amp;DATOS!$E16424&amp;"|"&amp;DATOS!$I16424)</f>
      </c>
      <c r="G16424">
        <f>IF(DATOS!$A16424="",0,IF(CONFIG_METADATA!$B$4&lt;&gt;"OR+EX",--(DATOS!$G16424=CONFIG_METADATA!$B$4),IF(DATOS!$G16424="EX",1,IF(DATOS!$G16424="OR",--(COUNTIFS(nNIA,DATOS!$A16424,nCURSO,DATOS!$D16424,nESPEC,DATOS!$E16424,nASIG,DATOS!$I16424,nEVAL,"EX")=0),0))))</f>
      </c>
      <c r="H16424">
        <f>IF(DATOS!$G16424&lt;&gt;"EX",0,--(COUNTIFS(nNIA,DATOS!$A16424,nCURSO,DATOS!$D16424,nESPEC,DATOS!$E16424,nASIG,DATOS!$I16424,nEVAL,"OR")=0))</f>
      </c>
      <c r="I16424">
        <f>IF(DATOS!$I16424="","",IFERROR(VLOOKUP(DATOS!$I16424,CONFIG_ASIGNATURAS!$B$2:$J$91,9,FALSE()),""))</f>
      </c>
    </row>
    <row r="16425">
      <c r="F16425">
        <f>IF(DATOS!$A16425="","",DATOS!$A16425&amp;"|"&amp;DATOS!$D16425&amp;"|"&amp;DATOS!$E16425&amp;"|"&amp;DATOS!$I16425)</f>
      </c>
      <c r="G16425">
        <f>IF(DATOS!$A16425="",0,IF(CONFIG_METADATA!$B$4&lt;&gt;"OR+EX",--(DATOS!$G16425=CONFIG_METADATA!$B$4),IF(DATOS!$G16425="EX",1,IF(DATOS!$G16425="OR",--(COUNTIFS(nNIA,DATOS!$A16425,nCURSO,DATOS!$D16425,nESPEC,DATOS!$E16425,nASIG,DATOS!$I16425,nEVAL,"EX")=0),0))))</f>
      </c>
      <c r="H16425">
        <f>IF(DATOS!$G16425&lt;&gt;"EX",0,--(COUNTIFS(nNIA,DATOS!$A16425,nCURSO,DATOS!$D16425,nESPEC,DATOS!$E16425,nASIG,DATOS!$I16425,nEVAL,"OR")=0))</f>
      </c>
      <c r="I16425">
        <f>IF(DATOS!$I16425="","",IFERROR(VLOOKUP(DATOS!$I16425,CONFIG_ASIGNATURAS!$B$2:$J$91,9,FALSE()),""))</f>
      </c>
    </row>
    <row r="16426">
      <c r="F16426">
        <f>IF(DATOS!$A16426="","",DATOS!$A16426&amp;"|"&amp;DATOS!$D16426&amp;"|"&amp;DATOS!$E16426&amp;"|"&amp;DATOS!$I16426)</f>
      </c>
      <c r="G16426">
        <f>IF(DATOS!$A16426="",0,IF(CONFIG_METADATA!$B$4&lt;&gt;"OR+EX",--(DATOS!$G16426=CONFIG_METADATA!$B$4),IF(DATOS!$G16426="EX",1,IF(DATOS!$G16426="OR",--(COUNTIFS(nNIA,DATOS!$A16426,nCURSO,DATOS!$D16426,nESPEC,DATOS!$E16426,nASIG,DATOS!$I16426,nEVAL,"EX")=0),0))))</f>
      </c>
      <c r="H16426">
        <f>IF(DATOS!$G16426&lt;&gt;"EX",0,--(COUNTIFS(nNIA,DATOS!$A16426,nCURSO,DATOS!$D16426,nESPEC,DATOS!$E16426,nASIG,DATOS!$I16426,nEVAL,"OR")=0))</f>
      </c>
      <c r="I16426">
        <f>IF(DATOS!$I16426="","",IFERROR(VLOOKUP(DATOS!$I16426,CONFIG_ASIGNATURAS!$B$2:$J$91,9,FALSE()),""))</f>
      </c>
    </row>
    <row r="16427">
      <c r="F16427">
        <f>IF(DATOS!$A16427="","",DATOS!$A16427&amp;"|"&amp;DATOS!$D16427&amp;"|"&amp;DATOS!$E16427&amp;"|"&amp;DATOS!$I16427)</f>
      </c>
      <c r="G16427">
        <f>IF(DATOS!$A16427="",0,IF(CONFIG_METADATA!$B$4&lt;&gt;"OR+EX",--(DATOS!$G16427=CONFIG_METADATA!$B$4),IF(DATOS!$G16427="EX",1,IF(DATOS!$G16427="OR",--(COUNTIFS(nNIA,DATOS!$A16427,nCURSO,DATOS!$D16427,nESPEC,DATOS!$E16427,nASIG,DATOS!$I16427,nEVAL,"EX")=0),0))))</f>
      </c>
      <c r="H16427">
        <f>IF(DATOS!$G16427&lt;&gt;"EX",0,--(COUNTIFS(nNIA,DATOS!$A16427,nCURSO,DATOS!$D16427,nESPEC,DATOS!$E16427,nASIG,DATOS!$I16427,nEVAL,"OR")=0))</f>
      </c>
      <c r="I16427">
        <f>IF(DATOS!$I16427="","",IFERROR(VLOOKUP(DATOS!$I16427,CONFIG_ASIGNATURAS!$B$2:$J$91,9,FALSE()),""))</f>
      </c>
    </row>
    <row r="16428">
      <c r="F16428">
        <f>IF(DATOS!$A16428="","",DATOS!$A16428&amp;"|"&amp;DATOS!$D16428&amp;"|"&amp;DATOS!$E16428&amp;"|"&amp;DATOS!$I16428)</f>
      </c>
      <c r="G16428">
        <f>IF(DATOS!$A16428="",0,IF(CONFIG_METADATA!$B$4&lt;&gt;"OR+EX",--(DATOS!$G16428=CONFIG_METADATA!$B$4),IF(DATOS!$G16428="EX",1,IF(DATOS!$G16428="OR",--(COUNTIFS(nNIA,DATOS!$A16428,nCURSO,DATOS!$D16428,nESPEC,DATOS!$E16428,nASIG,DATOS!$I16428,nEVAL,"EX")=0),0))))</f>
      </c>
      <c r="H16428">
        <f>IF(DATOS!$G16428&lt;&gt;"EX",0,--(COUNTIFS(nNIA,DATOS!$A16428,nCURSO,DATOS!$D16428,nESPEC,DATOS!$E16428,nASIG,DATOS!$I16428,nEVAL,"OR")=0))</f>
      </c>
      <c r="I16428">
        <f>IF(DATOS!$I16428="","",IFERROR(VLOOKUP(DATOS!$I16428,CONFIG_ASIGNATURAS!$B$2:$J$91,9,FALSE()),""))</f>
      </c>
    </row>
    <row r="16429">
      <c r="F16429">
        <f>IF(DATOS!$A16429="","",DATOS!$A16429&amp;"|"&amp;DATOS!$D16429&amp;"|"&amp;DATOS!$E16429&amp;"|"&amp;DATOS!$I16429)</f>
      </c>
      <c r="G16429">
        <f>IF(DATOS!$A16429="",0,IF(CONFIG_METADATA!$B$4&lt;&gt;"OR+EX",--(DATOS!$G16429=CONFIG_METADATA!$B$4),IF(DATOS!$G16429="EX",1,IF(DATOS!$G16429="OR",--(COUNTIFS(nNIA,DATOS!$A16429,nCURSO,DATOS!$D16429,nESPEC,DATOS!$E16429,nASIG,DATOS!$I16429,nEVAL,"EX")=0),0))))</f>
      </c>
      <c r="H16429">
        <f>IF(DATOS!$G16429&lt;&gt;"EX",0,--(COUNTIFS(nNIA,DATOS!$A16429,nCURSO,DATOS!$D16429,nESPEC,DATOS!$E16429,nASIG,DATOS!$I16429,nEVAL,"OR")=0))</f>
      </c>
      <c r="I16429">
        <f>IF(DATOS!$I16429="","",IFERROR(VLOOKUP(DATOS!$I16429,CONFIG_ASIGNATURAS!$B$2:$J$91,9,FALSE()),""))</f>
      </c>
    </row>
    <row r="16430">
      <c r="F16430">
        <f>IF(DATOS!$A16430="","",DATOS!$A16430&amp;"|"&amp;DATOS!$D16430&amp;"|"&amp;DATOS!$E16430&amp;"|"&amp;DATOS!$I16430)</f>
      </c>
      <c r="G16430">
        <f>IF(DATOS!$A16430="",0,IF(CONFIG_METADATA!$B$4&lt;&gt;"OR+EX",--(DATOS!$G16430=CONFIG_METADATA!$B$4),IF(DATOS!$G16430="EX",1,IF(DATOS!$G16430="OR",--(COUNTIFS(nNIA,DATOS!$A16430,nCURSO,DATOS!$D16430,nESPEC,DATOS!$E16430,nASIG,DATOS!$I16430,nEVAL,"EX")=0),0))))</f>
      </c>
      <c r="H16430">
        <f>IF(DATOS!$G16430&lt;&gt;"EX",0,--(COUNTIFS(nNIA,DATOS!$A16430,nCURSO,DATOS!$D16430,nESPEC,DATOS!$E16430,nASIG,DATOS!$I16430,nEVAL,"OR")=0))</f>
      </c>
      <c r="I16430">
        <f>IF(DATOS!$I16430="","",IFERROR(VLOOKUP(DATOS!$I16430,CONFIG_ASIGNATURAS!$B$2:$J$91,9,FALSE()),""))</f>
      </c>
    </row>
    <row r="16431">
      <c r="F16431">
        <f>IF(DATOS!$A16431="","",DATOS!$A16431&amp;"|"&amp;DATOS!$D16431&amp;"|"&amp;DATOS!$E16431&amp;"|"&amp;DATOS!$I16431)</f>
      </c>
      <c r="G16431">
        <f>IF(DATOS!$A16431="",0,IF(CONFIG_METADATA!$B$4&lt;&gt;"OR+EX",--(DATOS!$G16431=CONFIG_METADATA!$B$4),IF(DATOS!$G16431="EX",1,IF(DATOS!$G16431="OR",--(COUNTIFS(nNIA,DATOS!$A16431,nCURSO,DATOS!$D16431,nESPEC,DATOS!$E16431,nASIG,DATOS!$I16431,nEVAL,"EX")=0),0))))</f>
      </c>
      <c r="H16431">
        <f>IF(DATOS!$G16431&lt;&gt;"EX",0,--(COUNTIFS(nNIA,DATOS!$A16431,nCURSO,DATOS!$D16431,nESPEC,DATOS!$E16431,nASIG,DATOS!$I16431,nEVAL,"OR")=0))</f>
      </c>
      <c r="I16431">
        <f>IF(DATOS!$I16431="","",IFERROR(VLOOKUP(DATOS!$I16431,CONFIG_ASIGNATURAS!$B$2:$J$91,9,FALSE()),""))</f>
      </c>
    </row>
    <row r="16432">
      <c r="F16432">
        <f>IF(DATOS!$A16432="","",DATOS!$A16432&amp;"|"&amp;DATOS!$D16432&amp;"|"&amp;DATOS!$E16432&amp;"|"&amp;DATOS!$I16432)</f>
      </c>
      <c r="G16432">
        <f>IF(DATOS!$A16432="",0,IF(CONFIG_METADATA!$B$4&lt;&gt;"OR+EX",--(DATOS!$G16432=CONFIG_METADATA!$B$4),IF(DATOS!$G16432="EX",1,IF(DATOS!$G16432="OR",--(COUNTIFS(nNIA,DATOS!$A16432,nCURSO,DATOS!$D16432,nESPEC,DATOS!$E16432,nASIG,DATOS!$I16432,nEVAL,"EX")=0),0))))</f>
      </c>
      <c r="H16432">
        <f>IF(DATOS!$G16432&lt;&gt;"EX",0,--(COUNTIFS(nNIA,DATOS!$A16432,nCURSO,DATOS!$D16432,nESPEC,DATOS!$E16432,nASIG,DATOS!$I16432,nEVAL,"OR")=0))</f>
      </c>
      <c r="I16432">
        <f>IF(DATOS!$I16432="","",IFERROR(VLOOKUP(DATOS!$I16432,CONFIG_ASIGNATURAS!$B$2:$J$91,9,FALSE()),""))</f>
      </c>
    </row>
    <row r="16433">
      <c r="F16433">
        <f>IF(DATOS!$A16433="","",DATOS!$A16433&amp;"|"&amp;DATOS!$D16433&amp;"|"&amp;DATOS!$E16433&amp;"|"&amp;DATOS!$I16433)</f>
      </c>
      <c r="G16433">
        <f>IF(DATOS!$A16433="",0,IF(CONFIG_METADATA!$B$4&lt;&gt;"OR+EX",--(DATOS!$G16433=CONFIG_METADATA!$B$4),IF(DATOS!$G16433="EX",1,IF(DATOS!$G16433="OR",--(COUNTIFS(nNIA,DATOS!$A16433,nCURSO,DATOS!$D16433,nESPEC,DATOS!$E16433,nASIG,DATOS!$I16433,nEVAL,"EX")=0),0))))</f>
      </c>
      <c r="H16433">
        <f>IF(DATOS!$G16433&lt;&gt;"EX",0,--(COUNTIFS(nNIA,DATOS!$A16433,nCURSO,DATOS!$D16433,nESPEC,DATOS!$E16433,nASIG,DATOS!$I16433,nEVAL,"OR")=0))</f>
      </c>
      <c r="I16433">
        <f>IF(DATOS!$I16433="","",IFERROR(VLOOKUP(DATOS!$I16433,CONFIG_ASIGNATURAS!$B$2:$J$91,9,FALSE()),""))</f>
      </c>
    </row>
    <row r="16434">
      <c r="F16434">
        <f>IF(DATOS!$A16434="","",DATOS!$A16434&amp;"|"&amp;DATOS!$D16434&amp;"|"&amp;DATOS!$E16434&amp;"|"&amp;DATOS!$I16434)</f>
      </c>
      <c r="G16434">
        <f>IF(DATOS!$A16434="",0,IF(CONFIG_METADATA!$B$4&lt;&gt;"OR+EX",--(DATOS!$G16434=CONFIG_METADATA!$B$4),IF(DATOS!$G16434="EX",1,IF(DATOS!$G16434="OR",--(COUNTIFS(nNIA,DATOS!$A16434,nCURSO,DATOS!$D16434,nESPEC,DATOS!$E16434,nASIG,DATOS!$I16434,nEVAL,"EX")=0),0))))</f>
      </c>
      <c r="H16434">
        <f>IF(DATOS!$G16434&lt;&gt;"EX",0,--(COUNTIFS(nNIA,DATOS!$A16434,nCURSO,DATOS!$D16434,nESPEC,DATOS!$E16434,nASIG,DATOS!$I16434,nEVAL,"OR")=0))</f>
      </c>
      <c r="I16434">
        <f>IF(DATOS!$I16434="","",IFERROR(VLOOKUP(DATOS!$I16434,CONFIG_ASIGNATURAS!$B$2:$J$91,9,FALSE()),""))</f>
      </c>
    </row>
    <row r="16435">
      <c r="F16435">
        <f>IF(DATOS!$A16435="","",DATOS!$A16435&amp;"|"&amp;DATOS!$D16435&amp;"|"&amp;DATOS!$E16435&amp;"|"&amp;DATOS!$I16435)</f>
      </c>
      <c r="G16435">
        <f>IF(DATOS!$A16435="",0,IF(CONFIG_METADATA!$B$4&lt;&gt;"OR+EX",--(DATOS!$G16435=CONFIG_METADATA!$B$4),IF(DATOS!$G16435="EX",1,IF(DATOS!$G16435="OR",--(COUNTIFS(nNIA,DATOS!$A16435,nCURSO,DATOS!$D16435,nESPEC,DATOS!$E16435,nASIG,DATOS!$I16435,nEVAL,"EX")=0),0))))</f>
      </c>
      <c r="H16435">
        <f>IF(DATOS!$G16435&lt;&gt;"EX",0,--(COUNTIFS(nNIA,DATOS!$A16435,nCURSO,DATOS!$D16435,nESPEC,DATOS!$E16435,nASIG,DATOS!$I16435,nEVAL,"OR")=0))</f>
      </c>
      <c r="I16435">
        <f>IF(DATOS!$I16435="","",IFERROR(VLOOKUP(DATOS!$I16435,CONFIG_ASIGNATURAS!$B$2:$J$91,9,FALSE()),""))</f>
      </c>
    </row>
    <row r="16436">
      <c r="F16436">
        <f>IF(DATOS!$A16436="","",DATOS!$A16436&amp;"|"&amp;DATOS!$D16436&amp;"|"&amp;DATOS!$E16436&amp;"|"&amp;DATOS!$I16436)</f>
      </c>
      <c r="G16436">
        <f>IF(DATOS!$A16436="",0,IF(CONFIG_METADATA!$B$4&lt;&gt;"OR+EX",--(DATOS!$G16436=CONFIG_METADATA!$B$4),IF(DATOS!$G16436="EX",1,IF(DATOS!$G16436="OR",--(COUNTIFS(nNIA,DATOS!$A16436,nCURSO,DATOS!$D16436,nESPEC,DATOS!$E16436,nASIG,DATOS!$I16436,nEVAL,"EX")=0),0))))</f>
      </c>
      <c r="H16436">
        <f>IF(DATOS!$G16436&lt;&gt;"EX",0,--(COUNTIFS(nNIA,DATOS!$A16436,nCURSO,DATOS!$D16436,nESPEC,DATOS!$E16436,nASIG,DATOS!$I16436,nEVAL,"OR")=0))</f>
      </c>
      <c r="I16436">
        <f>IF(DATOS!$I16436="","",IFERROR(VLOOKUP(DATOS!$I16436,CONFIG_ASIGNATURAS!$B$2:$J$91,9,FALSE()),""))</f>
      </c>
    </row>
    <row r="16437">
      <c r="F16437">
        <f>IF(DATOS!$A16437="","",DATOS!$A16437&amp;"|"&amp;DATOS!$D16437&amp;"|"&amp;DATOS!$E16437&amp;"|"&amp;DATOS!$I16437)</f>
      </c>
      <c r="G16437">
        <f>IF(DATOS!$A16437="",0,IF(CONFIG_METADATA!$B$4&lt;&gt;"OR+EX",--(DATOS!$G16437=CONFIG_METADATA!$B$4),IF(DATOS!$G16437="EX",1,IF(DATOS!$G16437="OR",--(COUNTIFS(nNIA,DATOS!$A16437,nCURSO,DATOS!$D16437,nESPEC,DATOS!$E16437,nASIG,DATOS!$I16437,nEVAL,"EX")=0),0))))</f>
      </c>
      <c r="H16437">
        <f>IF(DATOS!$G16437&lt;&gt;"EX",0,--(COUNTIFS(nNIA,DATOS!$A16437,nCURSO,DATOS!$D16437,nESPEC,DATOS!$E16437,nASIG,DATOS!$I16437,nEVAL,"OR")=0))</f>
      </c>
      <c r="I16437">
        <f>IF(DATOS!$I16437="","",IFERROR(VLOOKUP(DATOS!$I16437,CONFIG_ASIGNATURAS!$B$2:$J$91,9,FALSE()),""))</f>
      </c>
    </row>
    <row r="16438">
      <c r="F16438">
        <f>IF(DATOS!$A16438="","",DATOS!$A16438&amp;"|"&amp;DATOS!$D16438&amp;"|"&amp;DATOS!$E16438&amp;"|"&amp;DATOS!$I16438)</f>
      </c>
      <c r="G16438">
        <f>IF(DATOS!$A16438="",0,IF(CONFIG_METADATA!$B$4&lt;&gt;"OR+EX",--(DATOS!$G16438=CONFIG_METADATA!$B$4),IF(DATOS!$G16438="EX",1,IF(DATOS!$G16438="OR",--(COUNTIFS(nNIA,DATOS!$A16438,nCURSO,DATOS!$D16438,nESPEC,DATOS!$E16438,nASIG,DATOS!$I16438,nEVAL,"EX")=0),0))))</f>
      </c>
      <c r="H16438">
        <f>IF(DATOS!$G16438&lt;&gt;"EX",0,--(COUNTIFS(nNIA,DATOS!$A16438,nCURSO,DATOS!$D16438,nESPEC,DATOS!$E16438,nASIG,DATOS!$I16438,nEVAL,"OR")=0))</f>
      </c>
      <c r="I16438">
        <f>IF(DATOS!$I16438="","",IFERROR(VLOOKUP(DATOS!$I16438,CONFIG_ASIGNATURAS!$B$2:$J$91,9,FALSE()),""))</f>
      </c>
    </row>
    <row r="16439">
      <c r="F16439">
        <f>IF(DATOS!$A16439="","",DATOS!$A16439&amp;"|"&amp;DATOS!$D16439&amp;"|"&amp;DATOS!$E16439&amp;"|"&amp;DATOS!$I16439)</f>
      </c>
      <c r="G16439">
        <f>IF(DATOS!$A16439="",0,IF(CONFIG_METADATA!$B$4&lt;&gt;"OR+EX",--(DATOS!$G16439=CONFIG_METADATA!$B$4),IF(DATOS!$G16439="EX",1,IF(DATOS!$G16439="OR",--(COUNTIFS(nNIA,DATOS!$A16439,nCURSO,DATOS!$D16439,nESPEC,DATOS!$E16439,nASIG,DATOS!$I16439,nEVAL,"EX")=0),0))))</f>
      </c>
      <c r="H16439">
        <f>IF(DATOS!$G16439&lt;&gt;"EX",0,--(COUNTIFS(nNIA,DATOS!$A16439,nCURSO,DATOS!$D16439,nESPEC,DATOS!$E16439,nASIG,DATOS!$I16439,nEVAL,"OR")=0))</f>
      </c>
      <c r="I16439">
        <f>IF(DATOS!$I16439="","",IFERROR(VLOOKUP(DATOS!$I16439,CONFIG_ASIGNATURAS!$B$2:$J$91,9,FALSE()),""))</f>
      </c>
    </row>
    <row r="16440">
      <c r="F16440">
        <f>IF(DATOS!$A16440="","",DATOS!$A16440&amp;"|"&amp;DATOS!$D16440&amp;"|"&amp;DATOS!$E16440&amp;"|"&amp;DATOS!$I16440)</f>
      </c>
      <c r="G16440">
        <f>IF(DATOS!$A16440="",0,IF(CONFIG_METADATA!$B$4&lt;&gt;"OR+EX",--(DATOS!$G16440=CONFIG_METADATA!$B$4),IF(DATOS!$G16440="EX",1,IF(DATOS!$G16440="OR",--(COUNTIFS(nNIA,DATOS!$A16440,nCURSO,DATOS!$D16440,nESPEC,DATOS!$E16440,nASIG,DATOS!$I16440,nEVAL,"EX")=0),0))))</f>
      </c>
      <c r="H16440">
        <f>IF(DATOS!$G16440&lt;&gt;"EX",0,--(COUNTIFS(nNIA,DATOS!$A16440,nCURSO,DATOS!$D16440,nESPEC,DATOS!$E16440,nASIG,DATOS!$I16440,nEVAL,"OR")=0))</f>
      </c>
      <c r="I16440">
        <f>IF(DATOS!$I16440="","",IFERROR(VLOOKUP(DATOS!$I16440,CONFIG_ASIGNATURAS!$B$2:$J$91,9,FALSE()),""))</f>
      </c>
    </row>
    <row r="16441">
      <c r="F16441">
        <f>IF(DATOS!$A16441="","",DATOS!$A16441&amp;"|"&amp;DATOS!$D16441&amp;"|"&amp;DATOS!$E16441&amp;"|"&amp;DATOS!$I16441)</f>
      </c>
      <c r="G16441">
        <f>IF(DATOS!$A16441="",0,IF(CONFIG_METADATA!$B$4&lt;&gt;"OR+EX",--(DATOS!$G16441=CONFIG_METADATA!$B$4),IF(DATOS!$G16441="EX",1,IF(DATOS!$G16441="OR",--(COUNTIFS(nNIA,DATOS!$A16441,nCURSO,DATOS!$D16441,nESPEC,DATOS!$E16441,nASIG,DATOS!$I16441,nEVAL,"EX")=0),0))))</f>
      </c>
      <c r="H16441">
        <f>IF(DATOS!$G16441&lt;&gt;"EX",0,--(COUNTIFS(nNIA,DATOS!$A16441,nCURSO,DATOS!$D16441,nESPEC,DATOS!$E16441,nASIG,DATOS!$I16441,nEVAL,"OR")=0))</f>
      </c>
      <c r="I16441">
        <f>IF(DATOS!$I16441="","",IFERROR(VLOOKUP(DATOS!$I16441,CONFIG_ASIGNATURAS!$B$2:$J$91,9,FALSE()),""))</f>
      </c>
    </row>
    <row r="16442">
      <c r="F16442">
        <f>IF(DATOS!$A16442="","",DATOS!$A16442&amp;"|"&amp;DATOS!$D16442&amp;"|"&amp;DATOS!$E16442&amp;"|"&amp;DATOS!$I16442)</f>
      </c>
      <c r="G16442">
        <f>IF(DATOS!$A16442="",0,IF(CONFIG_METADATA!$B$4&lt;&gt;"OR+EX",--(DATOS!$G16442=CONFIG_METADATA!$B$4),IF(DATOS!$G16442="EX",1,IF(DATOS!$G16442="OR",--(COUNTIFS(nNIA,DATOS!$A16442,nCURSO,DATOS!$D16442,nESPEC,DATOS!$E16442,nASIG,DATOS!$I16442,nEVAL,"EX")=0),0))))</f>
      </c>
      <c r="H16442">
        <f>IF(DATOS!$G16442&lt;&gt;"EX",0,--(COUNTIFS(nNIA,DATOS!$A16442,nCURSO,DATOS!$D16442,nESPEC,DATOS!$E16442,nASIG,DATOS!$I16442,nEVAL,"OR")=0))</f>
      </c>
      <c r="I16442">
        <f>IF(DATOS!$I16442="","",IFERROR(VLOOKUP(DATOS!$I16442,CONFIG_ASIGNATURAS!$B$2:$J$91,9,FALSE()),""))</f>
      </c>
    </row>
    <row r="16443">
      <c r="F16443">
        <f>IF(DATOS!$A16443="","",DATOS!$A16443&amp;"|"&amp;DATOS!$D16443&amp;"|"&amp;DATOS!$E16443&amp;"|"&amp;DATOS!$I16443)</f>
      </c>
      <c r="G16443">
        <f>IF(DATOS!$A16443="",0,IF(CONFIG_METADATA!$B$4&lt;&gt;"OR+EX",--(DATOS!$G16443=CONFIG_METADATA!$B$4),IF(DATOS!$G16443="EX",1,IF(DATOS!$G16443="OR",--(COUNTIFS(nNIA,DATOS!$A16443,nCURSO,DATOS!$D16443,nESPEC,DATOS!$E16443,nASIG,DATOS!$I16443,nEVAL,"EX")=0),0))))</f>
      </c>
      <c r="H16443">
        <f>IF(DATOS!$G16443&lt;&gt;"EX",0,--(COUNTIFS(nNIA,DATOS!$A16443,nCURSO,DATOS!$D16443,nESPEC,DATOS!$E16443,nASIG,DATOS!$I16443,nEVAL,"OR")=0))</f>
      </c>
      <c r="I16443">
        <f>IF(DATOS!$I16443="","",IFERROR(VLOOKUP(DATOS!$I16443,CONFIG_ASIGNATURAS!$B$2:$J$91,9,FALSE()),""))</f>
      </c>
    </row>
    <row r="16444">
      <c r="F16444">
        <f>IF(DATOS!$A16444="","",DATOS!$A16444&amp;"|"&amp;DATOS!$D16444&amp;"|"&amp;DATOS!$E16444&amp;"|"&amp;DATOS!$I16444)</f>
      </c>
      <c r="G16444">
        <f>IF(DATOS!$A16444="",0,IF(CONFIG_METADATA!$B$4&lt;&gt;"OR+EX",--(DATOS!$G16444=CONFIG_METADATA!$B$4),IF(DATOS!$G16444="EX",1,IF(DATOS!$G16444="OR",--(COUNTIFS(nNIA,DATOS!$A16444,nCURSO,DATOS!$D16444,nESPEC,DATOS!$E16444,nASIG,DATOS!$I16444,nEVAL,"EX")=0),0))))</f>
      </c>
      <c r="H16444">
        <f>IF(DATOS!$G16444&lt;&gt;"EX",0,--(COUNTIFS(nNIA,DATOS!$A16444,nCURSO,DATOS!$D16444,nESPEC,DATOS!$E16444,nASIG,DATOS!$I16444,nEVAL,"OR")=0))</f>
      </c>
      <c r="I16444">
        <f>IF(DATOS!$I16444="","",IFERROR(VLOOKUP(DATOS!$I16444,CONFIG_ASIGNATURAS!$B$2:$J$91,9,FALSE()),""))</f>
      </c>
    </row>
    <row r="16445">
      <c r="F16445">
        <f>IF(DATOS!$A16445="","",DATOS!$A16445&amp;"|"&amp;DATOS!$D16445&amp;"|"&amp;DATOS!$E16445&amp;"|"&amp;DATOS!$I16445)</f>
      </c>
      <c r="G16445">
        <f>IF(DATOS!$A16445="",0,IF(CONFIG_METADATA!$B$4&lt;&gt;"OR+EX",--(DATOS!$G16445=CONFIG_METADATA!$B$4),IF(DATOS!$G16445="EX",1,IF(DATOS!$G16445="OR",--(COUNTIFS(nNIA,DATOS!$A16445,nCURSO,DATOS!$D16445,nESPEC,DATOS!$E16445,nASIG,DATOS!$I16445,nEVAL,"EX")=0),0))))</f>
      </c>
      <c r="H16445">
        <f>IF(DATOS!$G16445&lt;&gt;"EX",0,--(COUNTIFS(nNIA,DATOS!$A16445,nCURSO,DATOS!$D16445,nESPEC,DATOS!$E16445,nASIG,DATOS!$I16445,nEVAL,"OR")=0))</f>
      </c>
      <c r="I16445">
        <f>IF(DATOS!$I16445="","",IFERROR(VLOOKUP(DATOS!$I16445,CONFIG_ASIGNATURAS!$B$2:$J$91,9,FALSE()),""))</f>
      </c>
    </row>
    <row r="16446">
      <c r="F16446">
        <f>IF(DATOS!$A16446="","",DATOS!$A16446&amp;"|"&amp;DATOS!$D16446&amp;"|"&amp;DATOS!$E16446&amp;"|"&amp;DATOS!$I16446)</f>
      </c>
      <c r="G16446">
        <f>IF(DATOS!$A16446="",0,IF(CONFIG_METADATA!$B$4&lt;&gt;"OR+EX",--(DATOS!$G16446=CONFIG_METADATA!$B$4),IF(DATOS!$G16446="EX",1,IF(DATOS!$G16446="OR",--(COUNTIFS(nNIA,DATOS!$A16446,nCURSO,DATOS!$D16446,nESPEC,DATOS!$E16446,nASIG,DATOS!$I16446,nEVAL,"EX")=0),0))))</f>
      </c>
      <c r="H16446">
        <f>IF(DATOS!$G16446&lt;&gt;"EX",0,--(COUNTIFS(nNIA,DATOS!$A16446,nCURSO,DATOS!$D16446,nESPEC,DATOS!$E16446,nASIG,DATOS!$I16446,nEVAL,"OR")=0))</f>
      </c>
      <c r="I16446">
        <f>IF(DATOS!$I16446="","",IFERROR(VLOOKUP(DATOS!$I16446,CONFIG_ASIGNATURAS!$B$2:$J$91,9,FALSE()),""))</f>
      </c>
    </row>
    <row r="16447">
      <c r="F16447">
        <f>IF(DATOS!$A16447="","",DATOS!$A16447&amp;"|"&amp;DATOS!$D16447&amp;"|"&amp;DATOS!$E16447&amp;"|"&amp;DATOS!$I16447)</f>
      </c>
      <c r="G16447">
        <f>IF(DATOS!$A16447="",0,IF(CONFIG_METADATA!$B$4&lt;&gt;"OR+EX",--(DATOS!$G16447=CONFIG_METADATA!$B$4),IF(DATOS!$G16447="EX",1,IF(DATOS!$G16447="OR",--(COUNTIFS(nNIA,DATOS!$A16447,nCURSO,DATOS!$D16447,nESPEC,DATOS!$E16447,nASIG,DATOS!$I16447,nEVAL,"EX")=0),0))))</f>
      </c>
      <c r="H16447">
        <f>IF(DATOS!$G16447&lt;&gt;"EX",0,--(COUNTIFS(nNIA,DATOS!$A16447,nCURSO,DATOS!$D16447,nESPEC,DATOS!$E16447,nASIG,DATOS!$I16447,nEVAL,"OR")=0))</f>
      </c>
      <c r="I16447">
        <f>IF(DATOS!$I16447="","",IFERROR(VLOOKUP(DATOS!$I16447,CONFIG_ASIGNATURAS!$B$2:$J$91,9,FALSE()),""))</f>
      </c>
    </row>
    <row r="16448">
      <c r="F16448">
        <f>IF(DATOS!$A16448="","",DATOS!$A16448&amp;"|"&amp;DATOS!$D16448&amp;"|"&amp;DATOS!$E16448&amp;"|"&amp;DATOS!$I16448)</f>
      </c>
      <c r="G16448">
        <f>IF(DATOS!$A16448="",0,IF(CONFIG_METADATA!$B$4&lt;&gt;"OR+EX",--(DATOS!$G16448=CONFIG_METADATA!$B$4),IF(DATOS!$G16448="EX",1,IF(DATOS!$G16448="OR",--(COUNTIFS(nNIA,DATOS!$A16448,nCURSO,DATOS!$D16448,nESPEC,DATOS!$E16448,nASIG,DATOS!$I16448,nEVAL,"EX")=0),0))))</f>
      </c>
      <c r="H16448">
        <f>IF(DATOS!$G16448&lt;&gt;"EX",0,--(COUNTIFS(nNIA,DATOS!$A16448,nCURSO,DATOS!$D16448,nESPEC,DATOS!$E16448,nASIG,DATOS!$I16448,nEVAL,"OR")=0))</f>
      </c>
      <c r="I16448">
        <f>IF(DATOS!$I16448="","",IFERROR(VLOOKUP(DATOS!$I16448,CONFIG_ASIGNATURAS!$B$2:$J$91,9,FALSE()),""))</f>
      </c>
    </row>
    <row r="16449">
      <c r="F16449">
        <f>IF(DATOS!$A16449="","",DATOS!$A16449&amp;"|"&amp;DATOS!$D16449&amp;"|"&amp;DATOS!$E16449&amp;"|"&amp;DATOS!$I16449)</f>
      </c>
      <c r="G16449">
        <f>IF(DATOS!$A16449="",0,IF(CONFIG_METADATA!$B$4&lt;&gt;"OR+EX",--(DATOS!$G16449=CONFIG_METADATA!$B$4),IF(DATOS!$G16449="EX",1,IF(DATOS!$G16449="OR",--(COUNTIFS(nNIA,DATOS!$A16449,nCURSO,DATOS!$D16449,nESPEC,DATOS!$E16449,nASIG,DATOS!$I16449,nEVAL,"EX")=0),0))))</f>
      </c>
      <c r="H16449">
        <f>IF(DATOS!$G16449&lt;&gt;"EX",0,--(COUNTIFS(nNIA,DATOS!$A16449,nCURSO,DATOS!$D16449,nESPEC,DATOS!$E16449,nASIG,DATOS!$I16449,nEVAL,"OR")=0))</f>
      </c>
      <c r="I16449">
        <f>IF(DATOS!$I16449="","",IFERROR(VLOOKUP(DATOS!$I16449,CONFIG_ASIGNATURAS!$B$2:$J$91,9,FALSE()),""))</f>
      </c>
    </row>
    <row r="16450">
      <c r="F16450">
        <f>IF(DATOS!$A16450="","",DATOS!$A16450&amp;"|"&amp;DATOS!$D16450&amp;"|"&amp;DATOS!$E16450&amp;"|"&amp;DATOS!$I16450)</f>
      </c>
      <c r="G16450">
        <f>IF(DATOS!$A16450="",0,IF(CONFIG_METADATA!$B$4&lt;&gt;"OR+EX",--(DATOS!$G16450=CONFIG_METADATA!$B$4),IF(DATOS!$G16450="EX",1,IF(DATOS!$G16450="OR",--(COUNTIFS(nNIA,DATOS!$A16450,nCURSO,DATOS!$D16450,nESPEC,DATOS!$E16450,nASIG,DATOS!$I16450,nEVAL,"EX")=0),0))))</f>
      </c>
      <c r="H16450">
        <f>IF(DATOS!$G16450&lt;&gt;"EX",0,--(COUNTIFS(nNIA,DATOS!$A16450,nCURSO,DATOS!$D16450,nESPEC,DATOS!$E16450,nASIG,DATOS!$I16450,nEVAL,"OR")=0))</f>
      </c>
      <c r="I16450">
        <f>IF(DATOS!$I16450="","",IFERROR(VLOOKUP(DATOS!$I16450,CONFIG_ASIGNATURAS!$B$2:$J$91,9,FALSE()),""))</f>
      </c>
    </row>
    <row r="16451">
      <c r="F16451">
        <f>IF(DATOS!$A16451="","",DATOS!$A16451&amp;"|"&amp;DATOS!$D16451&amp;"|"&amp;DATOS!$E16451&amp;"|"&amp;DATOS!$I16451)</f>
      </c>
      <c r="G16451">
        <f>IF(DATOS!$A16451="",0,IF(CONFIG_METADATA!$B$4&lt;&gt;"OR+EX",--(DATOS!$G16451=CONFIG_METADATA!$B$4),IF(DATOS!$G16451="EX",1,IF(DATOS!$G16451="OR",--(COUNTIFS(nNIA,DATOS!$A16451,nCURSO,DATOS!$D16451,nESPEC,DATOS!$E16451,nASIG,DATOS!$I16451,nEVAL,"EX")=0),0))))</f>
      </c>
      <c r="H16451">
        <f>IF(DATOS!$G16451&lt;&gt;"EX",0,--(COUNTIFS(nNIA,DATOS!$A16451,nCURSO,DATOS!$D16451,nESPEC,DATOS!$E16451,nASIG,DATOS!$I16451,nEVAL,"OR")=0))</f>
      </c>
      <c r="I16451">
        <f>IF(DATOS!$I16451="","",IFERROR(VLOOKUP(DATOS!$I16451,CONFIG_ASIGNATURAS!$B$2:$J$91,9,FALSE()),""))</f>
      </c>
    </row>
    <row r="16452">
      <c r="F16452">
        <f>IF(DATOS!$A16452="","",DATOS!$A16452&amp;"|"&amp;DATOS!$D16452&amp;"|"&amp;DATOS!$E16452&amp;"|"&amp;DATOS!$I16452)</f>
      </c>
      <c r="G16452">
        <f>IF(DATOS!$A16452="",0,IF(CONFIG_METADATA!$B$4&lt;&gt;"OR+EX",--(DATOS!$G16452=CONFIG_METADATA!$B$4),IF(DATOS!$G16452="EX",1,IF(DATOS!$G16452="OR",--(COUNTIFS(nNIA,DATOS!$A16452,nCURSO,DATOS!$D16452,nESPEC,DATOS!$E16452,nASIG,DATOS!$I16452,nEVAL,"EX")=0),0))))</f>
      </c>
      <c r="H16452">
        <f>IF(DATOS!$G16452&lt;&gt;"EX",0,--(COUNTIFS(nNIA,DATOS!$A16452,nCURSO,DATOS!$D16452,nESPEC,DATOS!$E16452,nASIG,DATOS!$I16452,nEVAL,"OR")=0))</f>
      </c>
      <c r="I16452">
        <f>IF(DATOS!$I16452="","",IFERROR(VLOOKUP(DATOS!$I16452,CONFIG_ASIGNATURAS!$B$2:$J$91,9,FALSE()),""))</f>
      </c>
    </row>
    <row r="16453">
      <c r="F16453">
        <f>IF(DATOS!$A16453="","",DATOS!$A16453&amp;"|"&amp;DATOS!$D16453&amp;"|"&amp;DATOS!$E16453&amp;"|"&amp;DATOS!$I16453)</f>
      </c>
      <c r="G16453">
        <f>IF(DATOS!$A16453="",0,IF(CONFIG_METADATA!$B$4&lt;&gt;"OR+EX",--(DATOS!$G16453=CONFIG_METADATA!$B$4),IF(DATOS!$G16453="EX",1,IF(DATOS!$G16453="OR",--(COUNTIFS(nNIA,DATOS!$A16453,nCURSO,DATOS!$D16453,nESPEC,DATOS!$E16453,nASIG,DATOS!$I16453,nEVAL,"EX")=0),0))))</f>
      </c>
      <c r="H16453">
        <f>IF(DATOS!$G16453&lt;&gt;"EX",0,--(COUNTIFS(nNIA,DATOS!$A16453,nCURSO,DATOS!$D16453,nESPEC,DATOS!$E16453,nASIG,DATOS!$I16453,nEVAL,"OR")=0))</f>
      </c>
      <c r="I16453">
        <f>IF(DATOS!$I16453="","",IFERROR(VLOOKUP(DATOS!$I16453,CONFIG_ASIGNATURAS!$B$2:$J$91,9,FALSE()),""))</f>
      </c>
    </row>
    <row r="16454">
      <c r="F16454">
        <f>IF(DATOS!$A16454="","",DATOS!$A16454&amp;"|"&amp;DATOS!$D16454&amp;"|"&amp;DATOS!$E16454&amp;"|"&amp;DATOS!$I16454)</f>
      </c>
      <c r="G16454">
        <f>IF(DATOS!$A16454="",0,IF(CONFIG_METADATA!$B$4&lt;&gt;"OR+EX",--(DATOS!$G16454=CONFIG_METADATA!$B$4),IF(DATOS!$G16454="EX",1,IF(DATOS!$G16454="OR",--(COUNTIFS(nNIA,DATOS!$A16454,nCURSO,DATOS!$D16454,nESPEC,DATOS!$E16454,nASIG,DATOS!$I16454,nEVAL,"EX")=0),0))))</f>
      </c>
      <c r="H16454">
        <f>IF(DATOS!$G16454&lt;&gt;"EX",0,--(COUNTIFS(nNIA,DATOS!$A16454,nCURSO,DATOS!$D16454,nESPEC,DATOS!$E16454,nASIG,DATOS!$I16454,nEVAL,"OR")=0))</f>
      </c>
      <c r="I16454">
        <f>IF(DATOS!$I16454="","",IFERROR(VLOOKUP(DATOS!$I16454,CONFIG_ASIGNATURAS!$B$2:$J$91,9,FALSE()),""))</f>
      </c>
    </row>
    <row r="16455">
      <c r="F16455">
        <f>IF(DATOS!$A16455="","",DATOS!$A16455&amp;"|"&amp;DATOS!$D16455&amp;"|"&amp;DATOS!$E16455&amp;"|"&amp;DATOS!$I16455)</f>
      </c>
      <c r="G16455">
        <f>IF(DATOS!$A16455="",0,IF(CONFIG_METADATA!$B$4&lt;&gt;"OR+EX",--(DATOS!$G16455=CONFIG_METADATA!$B$4),IF(DATOS!$G16455="EX",1,IF(DATOS!$G16455="OR",--(COUNTIFS(nNIA,DATOS!$A16455,nCURSO,DATOS!$D16455,nESPEC,DATOS!$E16455,nASIG,DATOS!$I16455,nEVAL,"EX")=0),0))))</f>
      </c>
      <c r="H16455">
        <f>IF(DATOS!$G16455&lt;&gt;"EX",0,--(COUNTIFS(nNIA,DATOS!$A16455,nCURSO,DATOS!$D16455,nESPEC,DATOS!$E16455,nASIG,DATOS!$I16455,nEVAL,"OR")=0))</f>
      </c>
      <c r="I16455">
        <f>IF(DATOS!$I16455="","",IFERROR(VLOOKUP(DATOS!$I16455,CONFIG_ASIGNATURAS!$B$2:$J$91,9,FALSE()),""))</f>
      </c>
    </row>
    <row r="16456">
      <c r="F16456">
        <f>IF(DATOS!$A16456="","",DATOS!$A16456&amp;"|"&amp;DATOS!$D16456&amp;"|"&amp;DATOS!$E16456&amp;"|"&amp;DATOS!$I16456)</f>
      </c>
      <c r="G16456">
        <f>IF(DATOS!$A16456="",0,IF(CONFIG_METADATA!$B$4&lt;&gt;"OR+EX",--(DATOS!$G16456=CONFIG_METADATA!$B$4),IF(DATOS!$G16456="EX",1,IF(DATOS!$G16456="OR",--(COUNTIFS(nNIA,DATOS!$A16456,nCURSO,DATOS!$D16456,nESPEC,DATOS!$E16456,nASIG,DATOS!$I16456,nEVAL,"EX")=0),0))))</f>
      </c>
      <c r="H16456">
        <f>IF(DATOS!$G16456&lt;&gt;"EX",0,--(COUNTIFS(nNIA,DATOS!$A16456,nCURSO,DATOS!$D16456,nESPEC,DATOS!$E16456,nASIG,DATOS!$I16456,nEVAL,"OR")=0))</f>
      </c>
      <c r="I16456">
        <f>IF(DATOS!$I16456="","",IFERROR(VLOOKUP(DATOS!$I16456,CONFIG_ASIGNATURAS!$B$2:$J$91,9,FALSE()),""))</f>
      </c>
    </row>
    <row r="16457">
      <c r="F16457">
        <f>IF(DATOS!$A16457="","",DATOS!$A16457&amp;"|"&amp;DATOS!$D16457&amp;"|"&amp;DATOS!$E16457&amp;"|"&amp;DATOS!$I16457)</f>
      </c>
      <c r="G16457">
        <f>IF(DATOS!$A16457="",0,IF(CONFIG_METADATA!$B$4&lt;&gt;"OR+EX",--(DATOS!$G16457=CONFIG_METADATA!$B$4),IF(DATOS!$G16457="EX",1,IF(DATOS!$G16457="OR",--(COUNTIFS(nNIA,DATOS!$A16457,nCURSO,DATOS!$D16457,nESPEC,DATOS!$E16457,nASIG,DATOS!$I16457,nEVAL,"EX")=0),0))))</f>
      </c>
      <c r="H16457">
        <f>IF(DATOS!$G16457&lt;&gt;"EX",0,--(COUNTIFS(nNIA,DATOS!$A16457,nCURSO,DATOS!$D16457,nESPEC,DATOS!$E16457,nASIG,DATOS!$I16457,nEVAL,"OR")=0))</f>
      </c>
      <c r="I16457">
        <f>IF(DATOS!$I16457="","",IFERROR(VLOOKUP(DATOS!$I16457,CONFIG_ASIGNATURAS!$B$2:$J$91,9,FALSE()),""))</f>
      </c>
    </row>
    <row r="16458">
      <c r="F16458">
        <f>IF(DATOS!$A16458="","",DATOS!$A16458&amp;"|"&amp;DATOS!$D16458&amp;"|"&amp;DATOS!$E16458&amp;"|"&amp;DATOS!$I16458)</f>
      </c>
      <c r="G16458">
        <f>IF(DATOS!$A16458="",0,IF(CONFIG_METADATA!$B$4&lt;&gt;"OR+EX",--(DATOS!$G16458=CONFIG_METADATA!$B$4),IF(DATOS!$G16458="EX",1,IF(DATOS!$G16458="OR",--(COUNTIFS(nNIA,DATOS!$A16458,nCURSO,DATOS!$D16458,nESPEC,DATOS!$E16458,nASIG,DATOS!$I16458,nEVAL,"EX")=0),0))))</f>
      </c>
      <c r="H16458">
        <f>IF(DATOS!$G16458&lt;&gt;"EX",0,--(COUNTIFS(nNIA,DATOS!$A16458,nCURSO,DATOS!$D16458,nESPEC,DATOS!$E16458,nASIG,DATOS!$I16458,nEVAL,"OR")=0))</f>
      </c>
      <c r="I16458">
        <f>IF(DATOS!$I16458="","",IFERROR(VLOOKUP(DATOS!$I16458,CONFIG_ASIGNATURAS!$B$2:$J$91,9,FALSE()),""))</f>
      </c>
    </row>
    <row r="16459">
      <c r="F16459">
        <f>IF(DATOS!$A16459="","",DATOS!$A16459&amp;"|"&amp;DATOS!$D16459&amp;"|"&amp;DATOS!$E16459&amp;"|"&amp;DATOS!$I16459)</f>
      </c>
      <c r="G16459">
        <f>IF(DATOS!$A16459="",0,IF(CONFIG_METADATA!$B$4&lt;&gt;"OR+EX",--(DATOS!$G16459=CONFIG_METADATA!$B$4),IF(DATOS!$G16459="EX",1,IF(DATOS!$G16459="OR",--(COUNTIFS(nNIA,DATOS!$A16459,nCURSO,DATOS!$D16459,nESPEC,DATOS!$E16459,nASIG,DATOS!$I16459,nEVAL,"EX")=0),0))))</f>
      </c>
      <c r="H16459">
        <f>IF(DATOS!$G16459&lt;&gt;"EX",0,--(COUNTIFS(nNIA,DATOS!$A16459,nCURSO,DATOS!$D16459,nESPEC,DATOS!$E16459,nASIG,DATOS!$I16459,nEVAL,"OR")=0))</f>
      </c>
      <c r="I16459">
        <f>IF(DATOS!$I16459="","",IFERROR(VLOOKUP(DATOS!$I16459,CONFIG_ASIGNATURAS!$B$2:$J$91,9,FALSE()),""))</f>
      </c>
    </row>
    <row r="16460">
      <c r="F16460">
        <f>IF(DATOS!$A16460="","",DATOS!$A16460&amp;"|"&amp;DATOS!$D16460&amp;"|"&amp;DATOS!$E16460&amp;"|"&amp;DATOS!$I16460)</f>
      </c>
      <c r="G16460">
        <f>IF(DATOS!$A16460="",0,IF(CONFIG_METADATA!$B$4&lt;&gt;"OR+EX",--(DATOS!$G16460=CONFIG_METADATA!$B$4),IF(DATOS!$G16460="EX",1,IF(DATOS!$G16460="OR",--(COUNTIFS(nNIA,DATOS!$A16460,nCURSO,DATOS!$D16460,nESPEC,DATOS!$E16460,nASIG,DATOS!$I16460,nEVAL,"EX")=0),0))))</f>
      </c>
      <c r="H16460">
        <f>IF(DATOS!$G16460&lt;&gt;"EX",0,--(COUNTIFS(nNIA,DATOS!$A16460,nCURSO,DATOS!$D16460,nESPEC,DATOS!$E16460,nASIG,DATOS!$I16460,nEVAL,"OR")=0))</f>
      </c>
      <c r="I16460">
        <f>IF(DATOS!$I16460="","",IFERROR(VLOOKUP(DATOS!$I16460,CONFIG_ASIGNATURAS!$B$2:$J$91,9,FALSE()),""))</f>
      </c>
    </row>
    <row r="16461">
      <c r="F16461">
        <f>IF(DATOS!$A16461="","",DATOS!$A16461&amp;"|"&amp;DATOS!$D16461&amp;"|"&amp;DATOS!$E16461&amp;"|"&amp;DATOS!$I16461)</f>
      </c>
      <c r="G16461">
        <f>IF(DATOS!$A16461="",0,IF(CONFIG_METADATA!$B$4&lt;&gt;"OR+EX",--(DATOS!$G16461=CONFIG_METADATA!$B$4),IF(DATOS!$G16461="EX",1,IF(DATOS!$G16461="OR",--(COUNTIFS(nNIA,DATOS!$A16461,nCURSO,DATOS!$D16461,nESPEC,DATOS!$E16461,nASIG,DATOS!$I16461,nEVAL,"EX")=0),0))))</f>
      </c>
      <c r="H16461">
        <f>IF(DATOS!$G16461&lt;&gt;"EX",0,--(COUNTIFS(nNIA,DATOS!$A16461,nCURSO,DATOS!$D16461,nESPEC,DATOS!$E16461,nASIG,DATOS!$I16461,nEVAL,"OR")=0))</f>
      </c>
      <c r="I16461">
        <f>IF(DATOS!$I16461="","",IFERROR(VLOOKUP(DATOS!$I16461,CONFIG_ASIGNATURAS!$B$2:$J$91,9,FALSE()),""))</f>
      </c>
    </row>
    <row r="16462">
      <c r="F16462">
        <f>IF(DATOS!$A16462="","",DATOS!$A16462&amp;"|"&amp;DATOS!$D16462&amp;"|"&amp;DATOS!$E16462&amp;"|"&amp;DATOS!$I16462)</f>
      </c>
      <c r="G16462">
        <f>IF(DATOS!$A16462="",0,IF(CONFIG_METADATA!$B$4&lt;&gt;"OR+EX",--(DATOS!$G16462=CONFIG_METADATA!$B$4),IF(DATOS!$G16462="EX",1,IF(DATOS!$G16462="OR",--(COUNTIFS(nNIA,DATOS!$A16462,nCURSO,DATOS!$D16462,nESPEC,DATOS!$E16462,nASIG,DATOS!$I16462,nEVAL,"EX")=0),0))))</f>
      </c>
      <c r="H16462">
        <f>IF(DATOS!$G16462&lt;&gt;"EX",0,--(COUNTIFS(nNIA,DATOS!$A16462,nCURSO,DATOS!$D16462,nESPEC,DATOS!$E16462,nASIG,DATOS!$I16462,nEVAL,"OR")=0))</f>
      </c>
      <c r="I16462">
        <f>IF(DATOS!$I16462="","",IFERROR(VLOOKUP(DATOS!$I16462,CONFIG_ASIGNATURAS!$B$2:$J$91,9,FALSE()),""))</f>
      </c>
    </row>
    <row r="16463">
      <c r="F16463">
        <f>IF(DATOS!$A16463="","",DATOS!$A16463&amp;"|"&amp;DATOS!$D16463&amp;"|"&amp;DATOS!$E16463&amp;"|"&amp;DATOS!$I16463)</f>
      </c>
      <c r="G16463">
        <f>IF(DATOS!$A16463="",0,IF(CONFIG_METADATA!$B$4&lt;&gt;"OR+EX",--(DATOS!$G16463=CONFIG_METADATA!$B$4),IF(DATOS!$G16463="EX",1,IF(DATOS!$G16463="OR",--(COUNTIFS(nNIA,DATOS!$A16463,nCURSO,DATOS!$D16463,nESPEC,DATOS!$E16463,nASIG,DATOS!$I16463,nEVAL,"EX")=0),0))))</f>
      </c>
      <c r="H16463">
        <f>IF(DATOS!$G16463&lt;&gt;"EX",0,--(COUNTIFS(nNIA,DATOS!$A16463,nCURSO,DATOS!$D16463,nESPEC,DATOS!$E16463,nASIG,DATOS!$I16463,nEVAL,"OR")=0))</f>
      </c>
      <c r="I16463">
        <f>IF(DATOS!$I16463="","",IFERROR(VLOOKUP(DATOS!$I16463,CONFIG_ASIGNATURAS!$B$2:$J$91,9,FALSE()),""))</f>
      </c>
    </row>
    <row r="16464">
      <c r="F16464">
        <f>IF(DATOS!$A16464="","",DATOS!$A16464&amp;"|"&amp;DATOS!$D16464&amp;"|"&amp;DATOS!$E16464&amp;"|"&amp;DATOS!$I16464)</f>
      </c>
      <c r="G16464">
        <f>IF(DATOS!$A16464="",0,IF(CONFIG_METADATA!$B$4&lt;&gt;"OR+EX",--(DATOS!$G16464=CONFIG_METADATA!$B$4),IF(DATOS!$G16464="EX",1,IF(DATOS!$G16464="OR",--(COUNTIFS(nNIA,DATOS!$A16464,nCURSO,DATOS!$D16464,nESPEC,DATOS!$E16464,nASIG,DATOS!$I16464,nEVAL,"EX")=0),0))))</f>
      </c>
      <c r="H16464">
        <f>IF(DATOS!$G16464&lt;&gt;"EX",0,--(COUNTIFS(nNIA,DATOS!$A16464,nCURSO,DATOS!$D16464,nESPEC,DATOS!$E16464,nASIG,DATOS!$I16464,nEVAL,"OR")=0))</f>
      </c>
      <c r="I16464">
        <f>IF(DATOS!$I16464="","",IFERROR(VLOOKUP(DATOS!$I16464,CONFIG_ASIGNATURAS!$B$2:$J$91,9,FALSE()),""))</f>
      </c>
    </row>
    <row r="16465">
      <c r="F16465">
        <f>IF(DATOS!$A16465="","",DATOS!$A16465&amp;"|"&amp;DATOS!$D16465&amp;"|"&amp;DATOS!$E16465&amp;"|"&amp;DATOS!$I16465)</f>
      </c>
      <c r="G16465">
        <f>IF(DATOS!$A16465="",0,IF(CONFIG_METADATA!$B$4&lt;&gt;"OR+EX",--(DATOS!$G16465=CONFIG_METADATA!$B$4),IF(DATOS!$G16465="EX",1,IF(DATOS!$G16465="OR",--(COUNTIFS(nNIA,DATOS!$A16465,nCURSO,DATOS!$D16465,nESPEC,DATOS!$E16465,nASIG,DATOS!$I16465,nEVAL,"EX")=0),0))))</f>
      </c>
      <c r="H16465">
        <f>IF(DATOS!$G16465&lt;&gt;"EX",0,--(COUNTIFS(nNIA,DATOS!$A16465,nCURSO,DATOS!$D16465,nESPEC,DATOS!$E16465,nASIG,DATOS!$I16465,nEVAL,"OR")=0))</f>
      </c>
      <c r="I16465">
        <f>IF(DATOS!$I16465="","",IFERROR(VLOOKUP(DATOS!$I16465,CONFIG_ASIGNATURAS!$B$2:$J$91,9,FALSE()),""))</f>
      </c>
    </row>
    <row r="16466">
      <c r="F16466">
        <f>IF(DATOS!$A16466="","",DATOS!$A16466&amp;"|"&amp;DATOS!$D16466&amp;"|"&amp;DATOS!$E16466&amp;"|"&amp;DATOS!$I16466)</f>
      </c>
      <c r="G16466">
        <f>IF(DATOS!$A16466="",0,IF(CONFIG_METADATA!$B$4&lt;&gt;"OR+EX",--(DATOS!$G16466=CONFIG_METADATA!$B$4),IF(DATOS!$G16466="EX",1,IF(DATOS!$G16466="OR",--(COUNTIFS(nNIA,DATOS!$A16466,nCURSO,DATOS!$D16466,nESPEC,DATOS!$E16466,nASIG,DATOS!$I16466,nEVAL,"EX")=0),0))))</f>
      </c>
      <c r="H16466">
        <f>IF(DATOS!$G16466&lt;&gt;"EX",0,--(COUNTIFS(nNIA,DATOS!$A16466,nCURSO,DATOS!$D16466,nESPEC,DATOS!$E16466,nASIG,DATOS!$I16466,nEVAL,"OR")=0))</f>
      </c>
      <c r="I16466">
        <f>IF(DATOS!$I16466="","",IFERROR(VLOOKUP(DATOS!$I16466,CONFIG_ASIGNATURAS!$B$2:$J$91,9,FALSE()),""))</f>
      </c>
    </row>
    <row r="16467">
      <c r="F16467">
        <f>IF(DATOS!$A16467="","",DATOS!$A16467&amp;"|"&amp;DATOS!$D16467&amp;"|"&amp;DATOS!$E16467&amp;"|"&amp;DATOS!$I16467)</f>
      </c>
      <c r="G16467">
        <f>IF(DATOS!$A16467="",0,IF(CONFIG_METADATA!$B$4&lt;&gt;"OR+EX",--(DATOS!$G16467=CONFIG_METADATA!$B$4),IF(DATOS!$G16467="EX",1,IF(DATOS!$G16467="OR",--(COUNTIFS(nNIA,DATOS!$A16467,nCURSO,DATOS!$D16467,nESPEC,DATOS!$E16467,nASIG,DATOS!$I16467,nEVAL,"EX")=0),0))))</f>
      </c>
      <c r="H16467">
        <f>IF(DATOS!$G16467&lt;&gt;"EX",0,--(COUNTIFS(nNIA,DATOS!$A16467,nCURSO,DATOS!$D16467,nESPEC,DATOS!$E16467,nASIG,DATOS!$I16467,nEVAL,"OR")=0))</f>
      </c>
      <c r="I16467">
        <f>IF(DATOS!$I16467="","",IFERROR(VLOOKUP(DATOS!$I16467,CONFIG_ASIGNATURAS!$B$2:$J$91,9,FALSE()),""))</f>
      </c>
    </row>
    <row r="16468">
      <c r="F16468">
        <f>IF(DATOS!$A16468="","",DATOS!$A16468&amp;"|"&amp;DATOS!$D16468&amp;"|"&amp;DATOS!$E16468&amp;"|"&amp;DATOS!$I16468)</f>
      </c>
      <c r="G16468">
        <f>IF(DATOS!$A16468="",0,IF(CONFIG_METADATA!$B$4&lt;&gt;"OR+EX",--(DATOS!$G16468=CONFIG_METADATA!$B$4),IF(DATOS!$G16468="EX",1,IF(DATOS!$G16468="OR",--(COUNTIFS(nNIA,DATOS!$A16468,nCURSO,DATOS!$D16468,nESPEC,DATOS!$E16468,nASIG,DATOS!$I16468,nEVAL,"EX")=0),0))))</f>
      </c>
      <c r="H16468">
        <f>IF(DATOS!$G16468&lt;&gt;"EX",0,--(COUNTIFS(nNIA,DATOS!$A16468,nCURSO,DATOS!$D16468,nESPEC,DATOS!$E16468,nASIG,DATOS!$I16468,nEVAL,"OR")=0))</f>
      </c>
      <c r="I16468">
        <f>IF(DATOS!$I16468="","",IFERROR(VLOOKUP(DATOS!$I16468,CONFIG_ASIGNATURAS!$B$2:$J$91,9,FALSE()),""))</f>
      </c>
    </row>
    <row r="16469">
      <c r="F16469">
        <f>IF(DATOS!$A16469="","",DATOS!$A16469&amp;"|"&amp;DATOS!$D16469&amp;"|"&amp;DATOS!$E16469&amp;"|"&amp;DATOS!$I16469)</f>
      </c>
      <c r="G16469">
        <f>IF(DATOS!$A16469="",0,IF(CONFIG_METADATA!$B$4&lt;&gt;"OR+EX",--(DATOS!$G16469=CONFIG_METADATA!$B$4),IF(DATOS!$G16469="EX",1,IF(DATOS!$G16469="OR",--(COUNTIFS(nNIA,DATOS!$A16469,nCURSO,DATOS!$D16469,nESPEC,DATOS!$E16469,nASIG,DATOS!$I16469,nEVAL,"EX")=0),0))))</f>
      </c>
      <c r="H16469">
        <f>IF(DATOS!$G16469&lt;&gt;"EX",0,--(COUNTIFS(nNIA,DATOS!$A16469,nCURSO,DATOS!$D16469,nESPEC,DATOS!$E16469,nASIG,DATOS!$I16469,nEVAL,"OR")=0))</f>
      </c>
      <c r="I16469">
        <f>IF(DATOS!$I16469="","",IFERROR(VLOOKUP(DATOS!$I16469,CONFIG_ASIGNATURAS!$B$2:$J$91,9,FALSE()),""))</f>
      </c>
    </row>
    <row r="16470">
      <c r="F16470">
        <f>IF(DATOS!$A16470="","",DATOS!$A16470&amp;"|"&amp;DATOS!$D16470&amp;"|"&amp;DATOS!$E16470&amp;"|"&amp;DATOS!$I16470)</f>
      </c>
      <c r="G16470">
        <f>IF(DATOS!$A16470="",0,IF(CONFIG_METADATA!$B$4&lt;&gt;"OR+EX",--(DATOS!$G16470=CONFIG_METADATA!$B$4),IF(DATOS!$G16470="EX",1,IF(DATOS!$G16470="OR",--(COUNTIFS(nNIA,DATOS!$A16470,nCURSO,DATOS!$D16470,nESPEC,DATOS!$E16470,nASIG,DATOS!$I16470,nEVAL,"EX")=0),0))))</f>
      </c>
      <c r="H16470">
        <f>IF(DATOS!$G16470&lt;&gt;"EX",0,--(COUNTIFS(nNIA,DATOS!$A16470,nCURSO,DATOS!$D16470,nESPEC,DATOS!$E16470,nASIG,DATOS!$I16470,nEVAL,"OR")=0))</f>
      </c>
      <c r="I16470">
        <f>IF(DATOS!$I16470="","",IFERROR(VLOOKUP(DATOS!$I16470,CONFIG_ASIGNATURAS!$B$2:$J$91,9,FALSE()),""))</f>
      </c>
    </row>
    <row r="16471">
      <c r="F16471">
        <f>IF(DATOS!$A16471="","",DATOS!$A16471&amp;"|"&amp;DATOS!$D16471&amp;"|"&amp;DATOS!$E16471&amp;"|"&amp;DATOS!$I16471)</f>
      </c>
      <c r="G16471">
        <f>IF(DATOS!$A16471="",0,IF(CONFIG_METADATA!$B$4&lt;&gt;"OR+EX",--(DATOS!$G16471=CONFIG_METADATA!$B$4),IF(DATOS!$G16471="EX",1,IF(DATOS!$G16471="OR",--(COUNTIFS(nNIA,DATOS!$A16471,nCURSO,DATOS!$D16471,nESPEC,DATOS!$E16471,nASIG,DATOS!$I16471,nEVAL,"EX")=0),0))))</f>
      </c>
      <c r="H16471">
        <f>IF(DATOS!$G16471&lt;&gt;"EX",0,--(COUNTIFS(nNIA,DATOS!$A16471,nCURSO,DATOS!$D16471,nESPEC,DATOS!$E16471,nASIG,DATOS!$I16471,nEVAL,"OR")=0))</f>
      </c>
      <c r="I16471">
        <f>IF(DATOS!$I16471="","",IFERROR(VLOOKUP(DATOS!$I16471,CONFIG_ASIGNATURAS!$B$2:$J$91,9,FALSE()),""))</f>
      </c>
    </row>
    <row r="16472">
      <c r="F16472">
        <f>IF(DATOS!$A16472="","",DATOS!$A16472&amp;"|"&amp;DATOS!$D16472&amp;"|"&amp;DATOS!$E16472&amp;"|"&amp;DATOS!$I16472)</f>
      </c>
      <c r="G16472">
        <f>IF(DATOS!$A16472="",0,IF(CONFIG_METADATA!$B$4&lt;&gt;"OR+EX",--(DATOS!$G16472=CONFIG_METADATA!$B$4),IF(DATOS!$G16472="EX",1,IF(DATOS!$G16472="OR",--(COUNTIFS(nNIA,DATOS!$A16472,nCURSO,DATOS!$D16472,nESPEC,DATOS!$E16472,nASIG,DATOS!$I16472,nEVAL,"EX")=0),0))))</f>
      </c>
      <c r="H16472">
        <f>IF(DATOS!$G16472&lt;&gt;"EX",0,--(COUNTIFS(nNIA,DATOS!$A16472,nCURSO,DATOS!$D16472,nESPEC,DATOS!$E16472,nASIG,DATOS!$I16472,nEVAL,"OR")=0))</f>
      </c>
      <c r="I16472">
        <f>IF(DATOS!$I16472="","",IFERROR(VLOOKUP(DATOS!$I16472,CONFIG_ASIGNATURAS!$B$2:$J$91,9,FALSE()),""))</f>
      </c>
    </row>
    <row r="16473">
      <c r="F16473">
        <f>IF(DATOS!$A16473="","",DATOS!$A16473&amp;"|"&amp;DATOS!$D16473&amp;"|"&amp;DATOS!$E16473&amp;"|"&amp;DATOS!$I16473)</f>
      </c>
      <c r="G16473">
        <f>IF(DATOS!$A16473="",0,IF(CONFIG_METADATA!$B$4&lt;&gt;"OR+EX",--(DATOS!$G16473=CONFIG_METADATA!$B$4),IF(DATOS!$G16473="EX",1,IF(DATOS!$G16473="OR",--(COUNTIFS(nNIA,DATOS!$A16473,nCURSO,DATOS!$D16473,nESPEC,DATOS!$E16473,nASIG,DATOS!$I16473,nEVAL,"EX")=0),0))))</f>
      </c>
      <c r="H16473">
        <f>IF(DATOS!$G16473&lt;&gt;"EX",0,--(COUNTIFS(nNIA,DATOS!$A16473,nCURSO,DATOS!$D16473,nESPEC,DATOS!$E16473,nASIG,DATOS!$I16473,nEVAL,"OR")=0))</f>
      </c>
      <c r="I16473">
        <f>IF(DATOS!$I16473="","",IFERROR(VLOOKUP(DATOS!$I16473,CONFIG_ASIGNATURAS!$B$2:$J$91,9,FALSE()),""))</f>
      </c>
    </row>
    <row r="16474">
      <c r="F16474">
        <f>IF(DATOS!$A16474="","",DATOS!$A16474&amp;"|"&amp;DATOS!$D16474&amp;"|"&amp;DATOS!$E16474&amp;"|"&amp;DATOS!$I16474)</f>
      </c>
      <c r="G16474">
        <f>IF(DATOS!$A16474="",0,IF(CONFIG_METADATA!$B$4&lt;&gt;"OR+EX",--(DATOS!$G16474=CONFIG_METADATA!$B$4),IF(DATOS!$G16474="EX",1,IF(DATOS!$G16474="OR",--(COUNTIFS(nNIA,DATOS!$A16474,nCURSO,DATOS!$D16474,nESPEC,DATOS!$E16474,nASIG,DATOS!$I16474,nEVAL,"EX")=0),0))))</f>
      </c>
      <c r="H16474">
        <f>IF(DATOS!$G16474&lt;&gt;"EX",0,--(COUNTIFS(nNIA,DATOS!$A16474,nCURSO,DATOS!$D16474,nESPEC,DATOS!$E16474,nASIG,DATOS!$I16474,nEVAL,"OR")=0))</f>
      </c>
      <c r="I16474">
        <f>IF(DATOS!$I16474="","",IFERROR(VLOOKUP(DATOS!$I16474,CONFIG_ASIGNATURAS!$B$2:$J$91,9,FALSE()),""))</f>
      </c>
    </row>
    <row r="16475">
      <c r="F16475">
        <f>IF(DATOS!$A16475="","",DATOS!$A16475&amp;"|"&amp;DATOS!$D16475&amp;"|"&amp;DATOS!$E16475&amp;"|"&amp;DATOS!$I16475)</f>
      </c>
      <c r="G16475">
        <f>IF(DATOS!$A16475="",0,IF(CONFIG_METADATA!$B$4&lt;&gt;"OR+EX",--(DATOS!$G16475=CONFIG_METADATA!$B$4),IF(DATOS!$G16475="EX",1,IF(DATOS!$G16475="OR",--(COUNTIFS(nNIA,DATOS!$A16475,nCURSO,DATOS!$D16475,nESPEC,DATOS!$E16475,nASIG,DATOS!$I16475,nEVAL,"EX")=0),0))))</f>
      </c>
      <c r="H16475">
        <f>IF(DATOS!$G16475&lt;&gt;"EX",0,--(COUNTIFS(nNIA,DATOS!$A16475,nCURSO,DATOS!$D16475,nESPEC,DATOS!$E16475,nASIG,DATOS!$I16475,nEVAL,"OR")=0))</f>
      </c>
      <c r="I16475">
        <f>IF(DATOS!$I16475="","",IFERROR(VLOOKUP(DATOS!$I16475,CONFIG_ASIGNATURAS!$B$2:$J$91,9,FALSE()),""))</f>
      </c>
    </row>
    <row r="16476">
      <c r="F16476">
        <f>IF(DATOS!$A16476="","",DATOS!$A16476&amp;"|"&amp;DATOS!$D16476&amp;"|"&amp;DATOS!$E16476&amp;"|"&amp;DATOS!$I16476)</f>
      </c>
      <c r="G16476">
        <f>IF(DATOS!$A16476="",0,IF(CONFIG_METADATA!$B$4&lt;&gt;"OR+EX",--(DATOS!$G16476=CONFIG_METADATA!$B$4),IF(DATOS!$G16476="EX",1,IF(DATOS!$G16476="OR",--(COUNTIFS(nNIA,DATOS!$A16476,nCURSO,DATOS!$D16476,nESPEC,DATOS!$E16476,nASIG,DATOS!$I16476,nEVAL,"EX")=0),0))))</f>
      </c>
      <c r="H16476">
        <f>IF(DATOS!$G16476&lt;&gt;"EX",0,--(COUNTIFS(nNIA,DATOS!$A16476,nCURSO,DATOS!$D16476,nESPEC,DATOS!$E16476,nASIG,DATOS!$I16476,nEVAL,"OR")=0))</f>
      </c>
      <c r="I16476">
        <f>IF(DATOS!$I16476="","",IFERROR(VLOOKUP(DATOS!$I16476,CONFIG_ASIGNATURAS!$B$2:$J$91,9,FALSE()),""))</f>
      </c>
    </row>
    <row r="16477">
      <c r="F16477">
        <f>IF(DATOS!$A16477="","",DATOS!$A16477&amp;"|"&amp;DATOS!$D16477&amp;"|"&amp;DATOS!$E16477&amp;"|"&amp;DATOS!$I16477)</f>
      </c>
      <c r="G16477">
        <f>IF(DATOS!$A16477="",0,IF(CONFIG_METADATA!$B$4&lt;&gt;"OR+EX",--(DATOS!$G16477=CONFIG_METADATA!$B$4),IF(DATOS!$G16477="EX",1,IF(DATOS!$G16477="OR",--(COUNTIFS(nNIA,DATOS!$A16477,nCURSO,DATOS!$D16477,nESPEC,DATOS!$E16477,nASIG,DATOS!$I16477,nEVAL,"EX")=0),0))))</f>
      </c>
      <c r="H16477">
        <f>IF(DATOS!$G16477&lt;&gt;"EX",0,--(COUNTIFS(nNIA,DATOS!$A16477,nCURSO,DATOS!$D16477,nESPEC,DATOS!$E16477,nASIG,DATOS!$I16477,nEVAL,"OR")=0))</f>
      </c>
      <c r="I16477">
        <f>IF(DATOS!$I16477="","",IFERROR(VLOOKUP(DATOS!$I16477,CONFIG_ASIGNATURAS!$B$2:$J$91,9,FALSE()),""))</f>
      </c>
    </row>
    <row r="16478">
      <c r="F16478">
        <f>IF(DATOS!$A16478="","",DATOS!$A16478&amp;"|"&amp;DATOS!$D16478&amp;"|"&amp;DATOS!$E16478&amp;"|"&amp;DATOS!$I16478)</f>
      </c>
      <c r="G16478">
        <f>IF(DATOS!$A16478="",0,IF(CONFIG_METADATA!$B$4&lt;&gt;"OR+EX",--(DATOS!$G16478=CONFIG_METADATA!$B$4),IF(DATOS!$G16478="EX",1,IF(DATOS!$G16478="OR",--(COUNTIFS(nNIA,DATOS!$A16478,nCURSO,DATOS!$D16478,nESPEC,DATOS!$E16478,nASIG,DATOS!$I16478,nEVAL,"EX")=0),0))))</f>
      </c>
      <c r="H16478">
        <f>IF(DATOS!$G16478&lt;&gt;"EX",0,--(COUNTIFS(nNIA,DATOS!$A16478,nCURSO,DATOS!$D16478,nESPEC,DATOS!$E16478,nASIG,DATOS!$I16478,nEVAL,"OR")=0))</f>
      </c>
      <c r="I16478">
        <f>IF(DATOS!$I16478="","",IFERROR(VLOOKUP(DATOS!$I16478,CONFIG_ASIGNATURAS!$B$2:$J$91,9,FALSE()),""))</f>
      </c>
    </row>
    <row r="16479">
      <c r="F16479">
        <f>IF(DATOS!$A16479="","",DATOS!$A16479&amp;"|"&amp;DATOS!$D16479&amp;"|"&amp;DATOS!$E16479&amp;"|"&amp;DATOS!$I16479)</f>
      </c>
      <c r="G16479">
        <f>IF(DATOS!$A16479="",0,IF(CONFIG_METADATA!$B$4&lt;&gt;"OR+EX",--(DATOS!$G16479=CONFIG_METADATA!$B$4),IF(DATOS!$G16479="EX",1,IF(DATOS!$G16479="OR",--(COUNTIFS(nNIA,DATOS!$A16479,nCURSO,DATOS!$D16479,nESPEC,DATOS!$E16479,nASIG,DATOS!$I16479,nEVAL,"EX")=0),0))))</f>
      </c>
      <c r="H16479">
        <f>IF(DATOS!$G16479&lt;&gt;"EX",0,--(COUNTIFS(nNIA,DATOS!$A16479,nCURSO,DATOS!$D16479,nESPEC,DATOS!$E16479,nASIG,DATOS!$I16479,nEVAL,"OR")=0))</f>
      </c>
      <c r="I16479">
        <f>IF(DATOS!$I16479="","",IFERROR(VLOOKUP(DATOS!$I16479,CONFIG_ASIGNATURAS!$B$2:$J$91,9,FALSE()),""))</f>
      </c>
    </row>
    <row r="16480">
      <c r="F16480">
        <f>IF(DATOS!$A16480="","",DATOS!$A16480&amp;"|"&amp;DATOS!$D16480&amp;"|"&amp;DATOS!$E16480&amp;"|"&amp;DATOS!$I16480)</f>
      </c>
      <c r="G16480">
        <f>IF(DATOS!$A16480="",0,IF(CONFIG_METADATA!$B$4&lt;&gt;"OR+EX",--(DATOS!$G16480=CONFIG_METADATA!$B$4),IF(DATOS!$G16480="EX",1,IF(DATOS!$G16480="OR",--(COUNTIFS(nNIA,DATOS!$A16480,nCURSO,DATOS!$D16480,nESPEC,DATOS!$E16480,nASIG,DATOS!$I16480,nEVAL,"EX")=0),0))))</f>
      </c>
      <c r="H16480">
        <f>IF(DATOS!$G16480&lt;&gt;"EX",0,--(COUNTIFS(nNIA,DATOS!$A16480,nCURSO,DATOS!$D16480,nESPEC,DATOS!$E16480,nASIG,DATOS!$I16480,nEVAL,"OR")=0))</f>
      </c>
      <c r="I16480">
        <f>IF(DATOS!$I16480="","",IFERROR(VLOOKUP(DATOS!$I16480,CONFIG_ASIGNATURAS!$B$2:$J$91,9,FALSE()),""))</f>
      </c>
    </row>
    <row r="16481">
      <c r="F16481">
        <f>IF(DATOS!$A16481="","",DATOS!$A16481&amp;"|"&amp;DATOS!$D16481&amp;"|"&amp;DATOS!$E16481&amp;"|"&amp;DATOS!$I16481)</f>
      </c>
      <c r="G16481">
        <f>IF(DATOS!$A16481="",0,IF(CONFIG_METADATA!$B$4&lt;&gt;"OR+EX",--(DATOS!$G16481=CONFIG_METADATA!$B$4),IF(DATOS!$G16481="EX",1,IF(DATOS!$G16481="OR",--(COUNTIFS(nNIA,DATOS!$A16481,nCURSO,DATOS!$D16481,nESPEC,DATOS!$E16481,nASIG,DATOS!$I16481,nEVAL,"EX")=0),0))))</f>
      </c>
      <c r="H16481">
        <f>IF(DATOS!$G16481&lt;&gt;"EX",0,--(COUNTIFS(nNIA,DATOS!$A16481,nCURSO,DATOS!$D16481,nESPEC,DATOS!$E16481,nASIG,DATOS!$I16481,nEVAL,"OR")=0))</f>
      </c>
      <c r="I16481">
        <f>IF(DATOS!$I16481="","",IFERROR(VLOOKUP(DATOS!$I16481,CONFIG_ASIGNATURAS!$B$2:$J$91,9,FALSE()),""))</f>
      </c>
    </row>
    <row r="16482">
      <c r="F16482">
        <f>IF(DATOS!$A16482="","",DATOS!$A16482&amp;"|"&amp;DATOS!$D16482&amp;"|"&amp;DATOS!$E16482&amp;"|"&amp;DATOS!$I16482)</f>
      </c>
      <c r="G16482">
        <f>IF(DATOS!$A16482="",0,IF(CONFIG_METADATA!$B$4&lt;&gt;"OR+EX",--(DATOS!$G16482=CONFIG_METADATA!$B$4),IF(DATOS!$G16482="EX",1,IF(DATOS!$G16482="OR",--(COUNTIFS(nNIA,DATOS!$A16482,nCURSO,DATOS!$D16482,nESPEC,DATOS!$E16482,nASIG,DATOS!$I16482,nEVAL,"EX")=0),0))))</f>
      </c>
      <c r="H16482">
        <f>IF(DATOS!$G16482&lt;&gt;"EX",0,--(COUNTIFS(nNIA,DATOS!$A16482,nCURSO,DATOS!$D16482,nESPEC,DATOS!$E16482,nASIG,DATOS!$I16482,nEVAL,"OR")=0))</f>
      </c>
      <c r="I16482">
        <f>IF(DATOS!$I16482="","",IFERROR(VLOOKUP(DATOS!$I16482,CONFIG_ASIGNATURAS!$B$2:$J$91,9,FALSE()),""))</f>
      </c>
    </row>
    <row r="16483">
      <c r="F16483">
        <f>IF(DATOS!$A16483="","",DATOS!$A16483&amp;"|"&amp;DATOS!$D16483&amp;"|"&amp;DATOS!$E16483&amp;"|"&amp;DATOS!$I16483)</f>
      </c>
      <c r="G16483">
        <f>IF(DATOS!$A16483="",0,IF(CONFIG_METADATA!$B$4&lt;&gt;"OR+EX",--(DATOS!$G16483=CONFIG_METADATA!$B$4),IF(DATOS!$G16483="EX",1,IF(DATOS!$G16483="OR",--(COUNTIFS(nNIA,DATOS!$A16483,nCURSO,DATOS!$D16483,nESPEC,DATOS!$E16483,nASIG,DATOS!$I16483,nEVAL,"EX")=0),0))))</f>
      </c>
      <c r="H16483">
        <f>IF(DATOS!$G16483&lt;&gt;"EX",0,--(COUNTIFS(nNIA,DATOS!$A16483,nCURSO,DATOS!$D16483,nESPEC,DATOS!$E16483,nASIG,DATOS!$I16483,nEVAL,"OR")=0))</f>
      </c>
      <c r="I16483">
        <f>IF(DATOS!$I16483="","",IFERROR(VLOOKUP(DATOS!$I16483,CONFIG_ASIGNATURAS!$B$2:$J$91,9,FALSE()),""))</f>
      </c>
    </row>
    <row r="16484">
      <c r="F16484">
        <f>IF(DATOS!$A16484="","",DATOS!$A16484&amp;"|"&amp;DATOS!$D16484&amp;"|"&amp;DATOS!$E16484&amp;"|"&amp;DATOS!$I16484)</f>
      </c>
      <c r="G16484">
        <f>IF(DATOS!$A16484="",0,IF(CONFIG_METADATA!$B$4&lt;&gt;"OR+EX",--(DATOS!$G16484=CONFIG_METADATA!$B$4),IF(DATOS!$G16484="EX",1,IF(DATOS!$G16484="OR",--(COUNTIFS(nNIA,DATOS!$A16484,nCURSO,DATOS!$D16484,nESPEC,DATOS!$E16484,nASIG,DATOS!$I16484,nEVAL,"EX")=0),0))))</f>
      </c>
      <c r="H16484">
        <f>IF(DATOS!$G16484&lt;&gt;"EX",0,--(COUNTIFS(nNIA,DATOS!$A16484,nCURSO,DATOS!$D16484,nESPEC,DATOS!$E16484,nASIG,DATOS!$I16484,nEVAL,"OR")=0))</f>
      </c>
      <c r="I16484">
        <f>IF(DATOS!$I16484="","",IFERROR(VLOOKUP(DATOS!$I16484,CONFIG_ASIGNATURAS!$B$2:$J$91,9,FALSE()),""))</f>
      </c>
    </row>
    <row r="16485">
      <c r="F16485">
        <f>IF(DATOS!$A16485="","",DATOS!$A16485&amp;"|"&amp;DATOS!$D16485&amp;"|"&amp;DATOS!$E16485&amp;"|"&amp;DATOS!$I16485)</f>
      </c>
      <c r="G16485">
        <f>IF(DATOS!$A16485="",0,IF(CONFIG_METADATA!$B$4&lt;&gt;"OR+EX",--(DATOS!$G16485=CONFIG_METADATA!$B$4),IF(DATOS!$G16485="EX",1,IF(DATOS!$G16485="OR",--(COUNTIFS(nNIA,DATOS!$A16485,nCURSO,DATOS!$D16485,nESPEC,DATOS!$E16485,nASIG,DATOS!$I16485,nEVAL,"EX")=0),0))))</f>
      </c>
      <c r="H16485">
        <f>IF(DATOS!$G16485&lt;&gt;"EX",0,--(COUNTIFS(nNIA,DATOS!$A16485,nCURSO,DATOS!$D16485,nESPEC,DATOS!$E16485,nASIG,DATOS!$I16485,nEVAL,"OR")=0))</f>
      </c>
      <c r="I16485">
        <f>IF(DATOS!$I16485="","",IFERROR(VLOOKUP(DATOS!$I16485,CONFIG_ASIGNATURAS!$B$2:$J$91,9,FALSE()),""))</f>
      </c>
    </row>
    <row r="16486">
      <c r="F16486">
        <f>IF(DATOS!$A16486="","",DATOS!$A16486&amp;"|"&amp;DATOS!$D16486&amp;"|"&amp;DATOS!$E16486&amp;"|"&amp;DATOS!$I16486)</f>
      </c>
      <c r="G16486">
        <f>IF(DATOS!$A16486="",0,IF(CONFIG_METADATA!$B$4&lt;&gt;"OR+EX",--(DATOS!$G16486=CONFIG_METADATA!$B$4),IF(DATOS!$G16486="EX",1,IF(DATOS!$G16486="OR",--(COUNTIFS(nNIA,DATOS!$A16486,nCURSO,DATOS!$D16486,nESPEC,DATOS!$E16486,nASIG,DATOS!$I16486,nEVAL,"EX")=0),0))))</f>
      </c>
      <c r="H16486">
        <f>IF(DATOS!$G16486&lt;&gt;"EX",0,--(COUNTIFS(nNIA,DATOS!$A16486,nCURSO,DATOS!$D16486,nESPEC,DATOS!$E16486,nASIG,DATOS!$I16486,nEVAL,"OR")=0))</f>
      </c>
      <c r="I16486">
        <f>IF(DATOS!$I16486="","",IFERROR(VLOOKUP(DATOS!$I16486,CONFIG_ASIGNATURAS!$B$2:$J$91,9,FALSE()),""))</f>
      </c>
    </row>
    <row r="16487">
      <c r="F16487">
        <f>IF(DATOS!$A16487="","",DATOS!$A16487&amp;"|"&amp;DATOS!$D16487&amp;"|"&amp;DATOS!$E16487&amp;"|"&amp;DATOS!$I16487)</f>
      </c>
      <c r="G16487">
        <f>IF(DATOS!$A16487="",0,IF(CONFIG_METADATA!$B$4&lt;&gt;"OR+EX",--(DATOS!$G16487=CONFIG_METADATA!$B$4),IF(DATOS!$G16487="EX",1,IF(DATOS!$G16487="OR",--(COUNTIFS(nNIA,DATOS!$A16487,nCURSO,DATOS!$D16487,nESPEC,DATOS!$E16487,nASIG,DATOS!$I16487,nEVAL,"EX")=0),0))))</f>
      </c>
      <c r="H16487">
        <f>IF(DATOS!$G16487&lt;&gt;"EX",0,--(COUNTIFS(nNIA,DATOS!$A16487,nCURSO,DATOS!$D16487,nESPEC,DATOS!$E16487,nASIG,DATOS!$I16487,nEVAL,"OR")=0))</f>
      </c>
      <c r="I16487">
        <f>IF(DATOS!$I16487="","",IFERROR(VLOOKUP(DATOS!$I16487,CONFIG_ASIGNATURAS!$B$2:$J$91,9,FALSE()),""))</f>
      </c>
    </row>
    <row r="16488">
      <c r="F16488">
        <f>IF(DATOS!$A16488="","",DATOS!$A16488&amp;"|"&amp;DATOS!$D16488&amp;"|"&amp;DATOS!$E16488&amp;"|"&amp;DATOS!$I16488)</f>
      </c>
      <c r="G16488">
        <f>IF(DATOS!$A16488="",0,IF(CONFIG_METADATA!$B$4&lt;&gt;"OR+EX",--(DATOS!$G16488=CONFIG_METADATA!$B$4),IF(DATOS!$G16488="EX",1,IF(DATOS!$G16488="OR",--(COUNTIFS(nNIA,DATOS!$A16488,nCURSO,DATOS!$D16488,nESPEC,DATOS!$E16488,nASIG,DATOS!$I16488,nEVAL,"EX")=0),0))))</f>
      </c>
      <c r="H16488">
        <f>IF(DATOS!$G16488&lt;&gt;"EX",0,--(COUNTIFS(nNIA,DATOS!$A16488,nCURSO,DATOS!$D16488,nESPEC,DATOS!$E16488,nASIG,DATOS!$I16488,nEVAL,"OR")=0))</f>
      </c>
      <c r="I16488">
        <f>IF(DATOS!$I16488="","",IFERROR(VLOOKUP(DATOS!$I16488,CONFIG_ASIGNATURAS!$B$2:$J$91,9,FALSE()),""))</f>
      </c>
    </row>
    <row r="16489">
      <c r="F16489">
        <f>IF(DATOS!$A16489="","",DATOS!$A16489&amp;"|"&amp;DATOS!$D16489&amp;"|"&amp;DATOS!$E16489&amp;"|"&amp;DATOS!$I16489)</f>
      </c>
      <c r="G16489">
        <f>IF(DATOS!$A16489="",0,IF(CONFIG_METADATA!$B$4&lt;&gt;"OR+EX",--(DATOS!$G16489=CONFIG_METADATA!$B$4),IF(DATOS!$G16489="EX",1,IF(DATOS!$G16489="OR",--(COUNTIFS(nNIA,DATOS!$A16489,nCURSO,DATOS!$D16489,nESPEC,DATOS!$E16489,nASIG,DATOS!$I16489,nEVAL,"EX")=0),0))))</f>
      </c>
      <c r="H16489">
        <f>IF(DATOS!$G16489&lt;&gt;"EX",0,--(COUNTIFS(nNIA,DATOS!$A16489,nCURSO,DATOS!$D16489,nESPEC,DATOS!$E16489,nASIG,DATOS!$I16489,nEVAL,"OR")=0))</f>
      </c>
      <c r="I16489">
        <f>IF(DATOS!$I16489="","",IFERROR(VLOOKUP(DATOS!$I16489,CONFIG_ASIGNATURAS!$B$2:$J$91,9,FALSE()),""))</f>
      </c>
    </row>
    <row r="16490">
      <c r="F16490">
        <f>IF(DATOS!$A16490="","",DATOS!$A16490&amp;"|"&amp;DATOS!$D16490&amp;"|"&amp;DATOS!$E16490&amp;"|"&amp;DATOS!$I16490)</f>
      </c>
      <c r="G16490">
        <f>IF(DATOS!$A16490="",0,IF(CONFIG_METADATA!$B$4&lt;&gt;"OR+EX",--(DATOS!$G16490=CONFIG_METADATA!$B$4),IF(DATOS!$G16490="EX",1,IF(DATOS!$G16490="OR",--(COUNTIFS(nNIA,DATOS!$A16490,nCURSO,DATOS!$D16490,nESPEC,DATOS!$E16490,nASIG,DATOS!$I16490,nEVAL,"EX")=0),0))))</f>
      </c>
      <c r="H16490">
        <f>IF(DATOS!$G16490&lt;&gt;"EX",0,--(COUNTIFS(nNIA,DATOS!$A16490,nCURSO,DATOS!$D16490,nESPEC,DATOS!$E16490,nASIG,DATOS!$I16490,nEVAL,"OR")=0))</f>
      </c>
      <c r="I16490">
        <f>IF(DATOS!$I16490="","",IFERROR(VLOOKUP(DATOS!$I16490,CONFIG_ASIGNATURAS!$B$2:$J$91,9,FALSE()),""))</f>
      </c>
    </row>
    <row r="16491">
      <c r="F16491">
        <f>IF(DATOS!$A16491="","",DATOS!$A16491&amp;"|"&amp;DATOS!$D16491&amp;"|"&amp;DATOS!$E16491&amp;"|"&amp;DATOS!$I16491)</f>
      </c>
      <c r="G16491">
        <f>IF(DATOS!$A16491="",0,IF(CONFIG_METADATA!$B$4&lt;&gt;"OR+EX",--(DATOS!$G16491=CONFIG_METADATA!$B$4),IF(DATOS!$G16491="EX",1,IF(DATOS!$G16491="OR",--(COUNTIFS(nNIA,DATOS!$A16491,nCURSO,DATOS!$D16491,nESPEC,DATOS!$E16491,nASIG,DATOS!$I16491,nEVAL,"EX")=0),0))))</f>
      </c>
      <c r="H16491">
        <f>IF(DATOS!$G16491&lt;&gt;"EX",0,--(COUNTIFS(nNIA,DATOS!$A16491,nCURSO,DATOS!$D16491,nESPEC,DATOS!$E16491,nASIG,DATOS!$I16491,nEVAL,"OR")=0))</f>
      </c>
      <c r="I16491">
        <f>IF(DATOS!$I16491="","",IFERROR(VLOOKUP(DATOS!$I16491,CONFIG_ASIGNATURAS!$B$2:$J$91,9,FALSE()),""))</f>
      </c>
    </row>
    <row r="16492">
      <c r="F16492">
        <f>IF(DATOS!$A16492="","",DATOS!$A16492&amp;"|"&amp;DATOS!$D16492&amp;"|"&amp;DATOS!$E16492&amp;"|"&amp;DATOS!$I16492)</f>
      </c>
      <c r="G16492">
        <f>IF(DATOS!$A16492="",0,IF(CONFIG_METADATA!$B$4&lt;&gt;"OR+EX",--(DATOS!$G16492=CONFIG_METADATA!$B$4),IF(DATOS!$G16492="EX",1,IF(DATOS!$G16492="OR",--(COUNTIFS(nNIA,DATOS!$A16492,nCURSO,DATOS!$D16492,nESPEC,DATOS!$E16492,nASIG,DATOS!$I16492,nEVAL,"EX")=0),0))))</f>
      </c>
      <c r="H16492">
        <f>IF(DATOS!$G16492&lt;&gt;"EX",0,--(COUNTIFS(nNIA,DATOS!$A16492,nCURSO,DATOS!$D16492,nESPEC,DATOS!$E16492,nASIG,DATOS!$I16492,nEVAL,"OR")=0))</f>
      </c>
      <c r="I16492">
        <f>IF(DATOS!$I16492="","",IFERROR(VLOOKUP(DATOS!$I16492,CONFIG_ASIGNATURAS!$B$2:$J$91,9,FALSE()),""))</f>
      </c>
    </row>
    <row r="16493">
      <c r="F16493">
        <f>IF(DATOS!$A16493="","",DATOS!$A16493&amp;"|"&amp;DATOS!$D16493&amp;"|"&amp;DATOS!$E16493&amp;"|"&amp;DATOS!$I16493)</f>
      </c>
      <c r="G16493">
        <f>IF(DATOS!$A16493="",0,IF(CONFIG_METADATA!$B$4&lt;&gt;"OR+EX",--(DATOS!$G16493=CONFIG_METADATA!$B$4),IF(DATOS!$G16493="EX",1,IF(DATOS!$G16493="OR",--(COUNTIFS(nNIA,DATOS!$A16493,nCURSO,DATOS!$D16493,nESPEC,DATOS!$E16493,nASIG,DATOS!$I16493,nEVAL,"EX")=0),0))))</f>
      </c>
      <c r="H16493">
        <f>IF(DATOS!$G16493&lt;&gt;"EX",0,--(COUNTIFS(nNIA,DATOS!$A16493,nCURSO,DATOS!$D16493,nESPEC,DATOS!$E16493,nASIG,DATOS!$I16493,nEVAL,"OR")=0))</f>
      </c>
      <c r="I16493">
        <f>IF(DATOS!$I16493="","",IFERROR(VLOOKUP(DATOS!$I16493,CONFIG_ASIGNATURAS!$B$2:$J$91,9,FALSE()),""))</f>
      </c>
    </row>
    <row r="16494">
      <c r="F16494">
        <f>IF(DATOS!$A16494="","",DATOS!$A16494&amp;"|"&amp;DATOS!$D16494&amp;"|"&amp;DATOS!$E16494&amp;"|"&amp;DATOS!$I16494)</f>
      </c>
      <c r="G16494">
        <f>IF(DATOS!$A16494="",0,IF(CONFIG_METADATA!$B$4&lt;&gt;"OR+EX",--(DATOS!$G16494=CONFIG_METADATA!$B$4),IF(DATOS!$G16494="EX",1,IF(DATOS!$G16494="OR",--(COUNTIFS(nNIA,DATOS!$A16494,nCURSO,DATOS!$D16494,nESPEC,DATOS!$E16494,nASIG,DATOS!$I16494,nEVAL,"EX")=0),0))))</f>
      </c>
      <c r="H16494">
        <f>IF(DATOS!$G16494&lt;&gt;"EX",0,--(COUNTIFS(nNIA,DATOS!$A16494,nCURSO,DATOS!$D16494,nESPEC,DATOS!$E16494,nASIG,DATOS!$I16494,nEVAL,"OR")=0))</f>
      </c>
      <c r="I16494">
        <f>IF(DATOS!$I16494="","",IFERROR(VLOOKUP(DATOS!$I16494,CONFIG_ASIGNATURAS!$B$2:$J$91,9,FALSE()),""))</f>
      </c>
    </row>
    <row r="16495">
      <c r="F16495">
        <f>IF(DATOS!$A16495="","",DATOS!$A16495&amp;"|"&amp;DATOS!$D16495&amp;"|"&amp;DATOS!$E16495&amp;"|"&amp;DATOS!$I16495)</f>
      </c>
      <c r="G16495">
        <f>IF(DATOS!$A16495="",0,IF(CONFIG_METADATA!$B$4&lt;&gt;"OR+EX",--(DATOS!$G16495=CONFIG_METADATA!$B$4),IF(DATOS!$G16495="EX",1,IF(DATOS!$G16495="OR",--(COUNTIFS(nNIA,DATOS!$A16495,nCURSO,DATOS!$D16495,nESPEC,DATOS!$E16495,nASIG,DATOS!$I16495,nEVAL,"EX")=0),0))))</f>
      </c>
      <c r="H16495">
        <f>IF(DATOS!$G16495&lt;&gt;"EX",0,--(COUNTIFS(nNIA,DATOS!$A16495,nCURSO,DATOS!$D16495,nESPEC,DATOS!$E16495,nASIG,DATOS!$I16495,nEVAL,"OR")=0))</f>
      </c>
      <c r="I16495">
        <f>IF(DATOS!$I16495="","",IFERROR(VLOOKUP(DATOS!$I16495,CONFIG_ASIGNATURAS!$B$2:$J$91,9,FALSE()),""))</f>
      </c>
    </row>
    <row r="16496">
      <c r="F16496">
        <f>IF(DATOS!$A16496="","",DATOS!$A16496&amp;"|"&amp;DATOS!$D16496&amp;"|"&amp;DATOS!$E16496&amp;"|"&amp;DATOS!$I16496)</f>
      </c>
      <c r="G16496">
        <f>IF(DATOS!$A16496="",0,IF(CONFIG_METADATA!$B$4&lt;&gt;"OR+EX",--(DATOS!$G16496=CONFIG_METADATA!$B$4),IF(DATOS!$G16496="EX",1,IF(DATOS!$G16496="OR",--(COUNTIFS(nNIA,DATOS!$A16496,nCURSO,DATOS!$D16496,nESPEC,DATOS!$E16496,nASIG,DATOS!$I16496,nEVAL,"EX")=0),0))))</f>
      </c>
      <c r="H16496">
        <f>IF(DATOS!$G16496&lt;&gt;"EX",0,--(COUNTIFS(nNIA,DATOS!$A16496,nCURSO,DATOS!$D16496,nESPEC,DATOS!$E16496,nASIG,DATOS!$I16496,nEVAL,"OR")=0))</f>
      </c>
      <c r="I16496">
        <f>IF(DATOS!$I16496="","",IFERROR(VLOOKUP(DATOS!$I16496,CONFIG_ASIGNATURAS!$B$2:$J$91,9,FALSE()),""))</f>
      </c>
    </row>
    <row r="16497">
      <c r="F16497">
        <f>IF(DATOS!$A16497="","",DATOS!$A16497&amp;"|"&amp;DATOS!$D16497&amp;"|"&amp;DATOS!$E16497&amp;"|"&amp;DATOS!$I16497)</f>
      </c>
      <c r="G16497">
        <f>IF(DATOS!$A16497="",0,IF(CONFIG_METADATA!$B$4&lt;&gt;"OR+EX",--(DATOS!$G16497=CONFIG_METADATA!$B$4),IF(DATOS!$G16497="EX",1,IF(DATOS!$G16497="OR",--(COUNTIFS(nNIA,DATOS!$A16497,nCURSO,DATOS!$D16497,nESPEC,DATOS!$E16497,nASIG,DATOS!$I16497,nEVAL,"EX")=0),0))))</f>
      </c>
      <c r="H16497">
        <f>IF(DATOS!$G16497&lt;&gt;"EX",0,--(COUNTIFS(nNIA,DATOS!$A16497,nCURSO,DATOS!$D16497,nESPEC,DATOS!$E16497,nASIG,DATOS!$I16497,nEVAL,"OR")=0))</f>
      </c>
      <c r="I16497">
        <f>IF(DATOS!$I16497="","",IFERROR(VLOOKUP(DATOS!$I16497,CONFIG_ASIGNATURAS!$B$2:$J$91,9,FALSE()),""))</f>
      </c>
    </row>
    <row r="16498">
      <c r="F16498">
        <f>IF(DATOS!$A16498="","",DATOS!$A16498&amp;"|"&amp;DATOS!$D16498&amp;"|"&amp;DATOS!$E16498&amp;"|"&amp;DATOS!$I16498)</f>
      </c>
      <c r="G16498">
        <f>IF(DATOS!$A16498="",0,IF(CONFIG_METADATA!$B$4&lt;&gt;"OR+EX",--(DATOS!$G16498=CONFIG_METADATA!$B$4),IF(DATOS!$G16498="EX",1,IF(DATOS!$G16498="OR",--(COUNTIFS(nNIA,DATOS!$A16498,nCURSO,DATOS!$D16498,nESPEC,DATOS!$E16498,nASIG,DATOS!$I16498,nEVAL,"EX")=0),0))))</f>
      </c>
      <c r="H16498">
        <f>IF(DATOS!$G16498&lt;&gt;"EX",0,--(COUNTIFS(nNIA,DATOS!$A16498,nCURSO,DATOS!$D16498,nESPEC,DATOS!$E16498,nASIG,DATOS!$I16498,nEVAL,"OR")=0))</f>
      </c>
      <c r="I16498">
        <f>IF(DATOS!$I16498="","",IFERROR(VLOOKUP(DATOS!$I16498,CONFIG_ASIGNATURAS!$B$2:$J$91,9,FALSE()),""))</f>
      </c>
    </row>
    <row r="16499">
      <c r="F16499">
        <f>IF(DATOS!$A16499="","",DATOS!$A16499&amp;"|"&amp;DATOS!$D16499&amp;"|"&amp;DATOS!$E16499&amp;"|"&amp;DATOS!$I16499)</f>
      </c>
      <c r="G16499">
        <f>IF(DATOS!$A16499="",0,IF(CONFIG_METADATA!$B$4&lt;&gt;"OR+EX",--(DATOS!$G16499=CONFIG_METADATA!$B$4),IF(DATOS!$G16499="EX",1,IF(DATOS!$G16499="OR",--(COUNTIFS(nNIA,DATOS!$A16499,nCURSO,DATOS!$D16499,nESPEC,DATOS!$E16499,nASIG,DATOS!$I16499,nEVAL,"EX")=0),0))))</f>
      </c>
      <c r="H16499">
        <f>IF(DATOS!$G16499&lt;&gt;"EX",0,--(COUNTIFS(nNIA,DATOS!$A16499,nCURSO,DATOS!$D16499,nESPEC,DATOS!$E16499,nASIG,DATOS!$I16499,nEVAL,"OR")=0))</f>
      </c>
      <c r="I16499">
        <f>IF(DATOS!$I16499="","",IFERROR(VLOOKUP(DATOS!$I16499,CONFIG_ASIGNATURAS!$B$2:$J$91,9,FALSE()),""))</f>
      </c>
    </row>
    <row r="16500">
      <c r="F16500">
        <f>IF(DATOS!$A16500="","",DATOS!$A16500&amp;"|"&amp;DATOS!$D16500&amp;"|"&amp;DATOS!$E16500&amp;"|"&amp;DATOS!$I16500)</f>
      </c>
      <c r="G16500">
        <f>IF(DATOS!$A16500="",0,IF(CONFIG_METADATA!$B$4&lt;&gt;"OR+EX",--(DATOS!$G16500=CONFIG_METADATA!$B$4),IF(DATOS!$G16500="EX",1,IF(DATOS!$G16500="OR",--(COUNTIFS(nNIA,DATOS!$A16500,nCURSO,DATOS!$D16500,nESPEC,DATOS!$E16500,nASIG,DATOS!$I16500,nEVAL,"EX")=0),0))))</f>
      </c>
      <c r="H16500">
        <f>IF(DATOS!$G16500&lt;&gt;"EX",0,--(COUNTIFS(nNIA,DATOS!$A16500,nCURSO,DATOS!$D16500,nESPEC,DATOS!$E16500,nASIG,DATOS!$I16500,nEVAL,"OR")=0))</f>
      </c>
      <c r="I16500">
        <f>IF(DATOS!$I16500="","",IFERROR(VLOOKUP(DATOS!$I16500,CONFIG_ASIGNATURAS!$B$2:$J$91,9,FALSE()),""))</f>
      </c>
    </row>
    <row r="16501">
      <c r="F16501">
        <f>IF(DATOS!$A16501="","",DATOS!$A16501&amp;"|"&amp;DATOS!$D16501&amp;"|"&amp;DATOS!$E16501&amp;"|"&amp;DATOS!$I16501)</f>
      </c>
      <c r="G16501">
        <f>IF(DATOS!$A16501="",0,IF(CONFIG_METADATA!$B$4&lt;&gt;"OR+EX",--(DATOS!$G16501=CONFIG_METADATA!$B$4),IF(DATOS!$G16501="EX",1,IF(DATOS!$G16501="OR",--(COUNTIFS(nNIA,DATOS!$A16501,nCURSO,DATOS!$D16501,nESPEC,DATOS!$E16501,nASIG,DATOS!$I16501,nEVAL,"EX")=0),0))))</f>
      </c>
      <c r="H16501">
        <f>IF(DATOS!$G16501&lt;&gt;"EX",0,--(COUNTIFS(nNIA,DATOS!$A16501,nCURSO,DATOS!$D16501,nESPEC,DATOS!$E16501,nASIG,DATOS!$I16501,nEVAL,"OR")=0))</f>
      </c>
      <c r="I16501">
        <f>IF(DATOS!$I16501="","",IFERROR(VLOOKUP(DATOS!$I16501,CONFIG_ASIGNATURAS!$B$2:$J$91,9,FALSE()),""))</f>
      </c>
    </row>
    <row r="16502">
      <c r="F16502">
        <f>IF(DATOS!$A16502="","",DATOS!$A16502&amp;"|"&amp;DATOS!$D16502&amp;"|"&amp;DATOS!$E16502&amp;"|"&amp;DATOS!$I16502)</f>
      </c>
      <c r="G16502">
        <f>IF(DATOS!$A16502="",0,IF(CONFIG_METADATA!$B$4&lt;&gt;"OR+EX",--(DATOS!$G16502=CONFIG_METADATA!$B$4),IF(DATOS!$G16502="EX",1,IF(DATOS!$G16502="OR",--(COUNTIFS(nNIA,DATOS!$A16502,nCURSO,DATOS!$D16502,nESPEC,DATOS!$E16502,nASIG,DATOS!$I16502,nEVAL,"EX")=0),0))))</f>
      </c>
      <c r="H16502">
        <f>IF(DATOS!$G16502&lt;&gt;"EX",0,--(COUNTIFS(nNIA,DATOS!$A16502,nCURSO,DATOS!$D16502,nESPEC,DATOS!$E16502,nASIG,DATOS!$I16502,nEVAL,"OR")=0))</f>
      </c>
      <c r="I16502">
        <f>IF(DATOS!$I16502="","",IFERROR(VLOOKUP(DATOS!$I16502,CONFIG_ASIGNATURAS!$B$2:$J$91,9,FALSE()),""))</f>
      </c>
    </row>
    <row r="16503">
      <c r="F16503">
        <f>IF(DATOS!$A16503="","",DATOS!$A16503&amp;"|"&amp;DATOS!$D16503&amp;"|"&amp;DATOS!$E16503&amp;"|"&amp;DATOS!$I16503)</f>
      </c>
      <c r="G16503">
        <f>IF(DATOS!$A16503="",0,IF(CONFIG_METADATA!$B$4&lt;&gt;"OR+EX",--(DATOS!$G16503=CONFIG_METADATA!$B$4),IF(DATOS!$G16503="EX",1,IF(DATOS!$G16503="OR",--(COUNTIFS(nNIA,DATOS!$A16503,nCURSO,DATOS!$D16503,nESPEC,DATOS!$E16503,nASIG,DATOS!$I16503,nEVAL,"EX")=0),0))))</f>
      </c>
      <c r="H16503">
        <f>IF(DATOS!$G16503&lt;&gt;"EX",0,--(COUNTIFS(nNIA,DATOS!$A16503,nCURSO,DATOS!$D16503,nESPEC,DATOS!$E16503,nASIG,DATOS!$I16503,nEVAL,"OR")=0))</f>
      </c>
      <c r="I16503">
        <f>IF(DATOS!$I16503="","",IFERROR(VLOOKUP(DATOS!$I16503,CONFIG_ASIGNATURAS!$B$2:$J$91,9,FALSE()),""))</f>
      </c>
    </row>
    <row r="16504">
      <c r="F16504">
        <f>IF(DATOS!$A16504="","",DATOS!$A16504&amp;"|"&amp;DATOS!$D16504&amp;"|"&amp;DATOS!$E16504&amp;"|"&amp;DATOS!$I16504)</f>
      </c>
      <c r="G16504">
        <f>IF(DATOS!$A16504="",0,IF(CONFIG_METADATA!$B$4&lt;&gt;"OR+EX",--(DATOS!$G16504=CONFIG_METADATA!$B$4),IF(DATOS!$G16504="EX",1,IF(DATOS!$G16504="OR",--(COUNTIFS(nNIA,DATOS!$A16504,nCURSO,DATOS!$D16504,nESPEC,DATOS!$E16504,nASIG,DATOS!$I16504,nEVAL,"EX")=0),0))))</f>
      </c>
      <c r="H16504">
        <f>IF(DATOS!$G16504&lt;&gt;"EX",0,--(COUNTIFS(nNIA,DATOS!$A16504,nCURSO,DATOS!$D16504,nESPEC,DATOS!$E16504,nASIG,DATOS!$I16504,nEVAL,"OR")=0))</f>
      </c>
      <c r="I16504">
        <f>IF(DATOS!$I16504="","",IFERROR(VLOOKUP(DATOS!$I16504,CONFIG_ASIGNATURAS!$B$2:$J$91,9,FALSE()),""))</f>
      </c>
    </row>
    <row r="16505">
      <c r="F16505">
        <f>IF(DATOS!$A16505="","",DATOS!$A16505&amp;"|"&amp;DATOS!$D16505&amp;"|"&amp;DATOS!$E16505&amp;"|"&amp;DATOS!$I16505)</f>
      </c>
      <c r="G16505">
        <f>IF(DATOS!$A16505="",0,IF(CONFIG_METADATA!$B$4&lt;&gt;"OR+EX",--(DATOS!$G16505=CONFIG_METADATA!$B$4),IF(DATOS!$G16505="EX",1,IF(DATOS!$G16505="OR",--(COUNTIFS(nNIA,DATOS!$A16505,nCURSO,DATOS!$D16505,nESPEC,DATOS!$E16505,nASIG,DATOS!$I16505,nEVAL,"EX")=0),0))))</f>
      </c>
      <c r="H16505">
        <f>IF(DATOS!$G16505&lt;&gt;"EX",0,--(COUNTIFS(nNIA,DATOS!$A16505,nCURSO,DATOS!$D16505,nESPEC,DATOS!$E16505,nASIG,DATOS!$I16505,nEVAL,"OR")=0))</f>
      </c>
      <c r="I16505">
        <f>IF(DATOS!$I16505="","",IFERROR(VLOOKUP(DATOS!$I16505,CONFIG_ASIGNATURAS!$B$2:$J$91,9,FALSE()),""))</f>
      </c>
    </row>
    <row r="16506">
      <c r="F16506">
        <f>IF(DATOS!$A16506="","",DATOS!$A16506&amp;"|"&amp;DATOS!$D16506&amp;"|"&amp;DATOS!$E16506&amp;"|"&amp;DATOS!$I16506)</f>
      </c>
      <c r="G16506">
        <f>IF(DATOS!$A16506="",0,IF(CONFIG_METADATA!$B$4&lt;&gt;"OR+EX",--(DATOS!$G16506=CONFIG_METADATA!$B$4),IF(DATOS!$G16506="EX",1,IF(DATOS!$G16506="OR",--(COUNTIFS(nNIA,DATOS!$A16506,nCURSO,DATOS!$D16506,nESPEC,DATOS!$E16506,nASIG,DATOS!$I16506,nEVAL,"EX")=0),0))))</f>
      </c>
      <c r="H16506">
        <f>IF(DATOS!$G16506&lt;&gt;"EX",0,--(COUNTIFS(nNIA,DATOS!$A16506,nCURSO,DATOS!$D16506,nESPEC,DATOS!$E16506,nASIG,DATOS!$I16506,nEVAL,"OR")=0))</f>
      </c>
      <c r="I16506">
        <f>IF(DATOS!$I16506="","",IFERROR(VLOOKUP(DATOS!$I16506,CONFIG_ASIGNATURAS!$B$2:$J$91,9,FALSE()),""))</f>
      </c>
    </row>
    <row r="16507">
      <c r="F16507">
        <f>IF(DATOS!$A16507="","",DATOS!$A16507&amp;"|"&amp;DATOS!$D16507&amp;"|"&amp;DATOS!$E16507&amp;"|"&amp;DATOS!$I16507)</f>
      </c>
      <c r="G16507">
        <f>IF(DATOS!$A16507="",0,IF(CONFIG_METADATA!$B$4&lt;&gt;"OR+EX",--(DATOS!$G16507=CONFIG_METADATA!$B$4),IF(DATOS!$G16507="EX",1,IF(DATOS!$G16507="OR",--(COUNTIFS(nNIA,DATOS!$A16507,nCURSO,DATOS!$D16507,nESPEC,DATOS!$E16507,nASIG,DATOS!$I16507,nEVAL,"EX")=0),0))))</f>
      </c>
      <c r="H16507">
        <f>IF(DATOS!$G16507&lt;&gt;"EX",0,--(COUNTIFS(nNIA,DATOS!$A16507,nCURSO,DATOS!$D16507,nESPEC,DATOS!$E16507,nASIG,DATOS!$I16507,nEVAL,"OR")=0))</f>
      </c>
      <c r="I16507">
        <f>IF(DATOS!$I16507="","",IFERROR(VLOOKUP(DATOS!$I16507,CONFIG_ASIGNATURAS!$B$2:$J$91,9,FALSE()),""))</f>
      </c>
    </row>
    <row r="16508">
      <c r="F16508">
        <f>IF(DATOS!$A16508="","",DATOS!$A16508&amp;"|"&amp;DATOS!$D16508&amp;"|"&amp;DATOS!$E16508&amp;"|"&amp;DATOS!$I16508)</f>
      </c>
      <c r="G16508">
        <f>IF(DATOS!$A16508="",0,IF(CONFIG_METADATA!$B$4&lt;&gt;"OR+EX",--(DATOS!$G16508=CONFIG_METADATA!$B$4),IF(DATOS!$G16508="EX",1,IF(DATOS!$G16508="OR",--(COUNTIFS(nNIA,DATOS!$A16508,nCURSO,DATOS!$D16508,nESPEC,DATOS!$E16508,nASIG,DATOS!$I16508,nEVAL,"EX")=0),0))))</f>
      </c>
      <c r="H16508">
        <f>IF(DATOS!$G16508&lt;&gt;"EX",0,--(COUNTIFS(nNIA,DATOS!$A16508,nCURSO,DATOS!$D16508,nESPEC,DATOS!$E16508,nASIG,DATOS!$I16508,nEVAL,"OR")=0))</f>
      </c>
      <c r="I16508">
        <f>IF(DATOS!$I16508="","",IFERROR(VLOOKUP(DATOS!$I16508,CONFIG_ASIGNATURAS!$B$2:$J$91,9,FALSE()),""))</f>
      </c>
    </row>
    <row r="16509">
      <c r="F16509">
        <f>IF(DATOS!$A16509="","",DATOS!$A16509&amp;"|"&amp;DATOS!$D16509&amp;"|"&amp;DATOS!$E16509&amp;"|"&amp;DATOS!$I16509)</f>
      </c>
      <c r="G16509">
        <f>IF(DATOS!$A16509="",0,IF(CONFIG_METADATA!$B$4&lt;&gt;"OR+EX",--(DATOS!$G16509=CONFIG_METADATA!$B$4),IF(DATOS!$G16509="EX",1,IF(DATOS!$G16509="OR",--(COUNTIFS(nNIA,DATOS!$A16509,nCURSO,DATOS!$D16509,nESPEC,DATOS!$E16509,nASIG,DATOS!$I16509,nEVAL,"EX")=0),0))))</f>
      </c>
      <c r="H16509">
        <f>IF(DATOS!$G16509&lt;&gt;"EX",0,--(COUNTIFS(nNIA,DATOS!$A16509,nCURSO,DATOS!$D16509,nESPEC,DATOS!$E16509,nASIG,DATOS!$I16509,nEVAL,"OR")=0))</f>
      </c>
      <c r="I16509">
        <f>IF(DATOS!$I16509="","",IFERROR(VLOOKUP(DATOS!$I16509,CONFIG_ASIGNATURAS!$B$2:$J$91,9,FALSE()),""))</f>
      </c>
    </row>
    <row r="16510">
      <c r="F16510">
        <f>IF(DATOS!$A16510="","",DATOS!$A16510&amp;"|"&amp;DATOS!$D16510&amp;"|"&amp;DATOS!$E16510&amp;"|"&amp;DATOS!$I16510)</f>
      </c>
      <c r="G16510">
        <f>IF(DATOS!$A16510="",0,IF(CONFIG_METADATA!$B$4&lt;&gt;"OR+EX",--(DATOS!$G16510=CONFIG_METADATA!$B$4),IF(DATOS!$G16510="EX",1,IF(DATOS!$G16510="OR",--(COUNTIFS(nNIA,DATOS!$A16510,nCURSO,DATOS!$D16510,nESPEC,DATOS!$E16510,nASIG,DATOS!$I16510,nEVAL,"EX")=0),0))))</f>
      </c>
      <c r="H16510">
        <f>IF(DATOS!$G16510&lt;&gt;"EX",0,--(COUNTIFS(nNIA,DATOS!$A16510,nCURSO,DATOS!$D16510,nESPEC,DATOS!$E16510,nASIG,DATOS!$I16510,nEVAL,"OR")=0))</f>
      </c>
      <c r="I16510">
        <f>IF(DATOS!$I16510="","",IFERROR(VLOOKUP(DATOS!$I16510,CONFIG_ASIGNATURAS!$B$2:$J$91,9,FALSE()),""))</f>
      </c>
    </row>
    <row r="16511">
      <c r="F16511">
        <f>IF(DATOS!$A16511="","",DATOS!$A16511&amp;"|"&amp;DATOS!$D16511&amp;"|"&amp;DATOS!$E16511&amp;"|"&amp;DATOS!$I16511)</f>
      </c>
      <c r="G16511">
        <f>IF(DATOS!$A16511="",0,IF(CONFIG_METADATA!$B$4&lt;&gt;"OR+EX",--(DATOS!$G16511=CONFIG_METADATA!$B$4),IF(DATOS!$G16511="EX",1,IF(DATOS!$G16511="OR",--(COUNTIFS(nNIA,DATOS!$A16511,nCURSO,DATOS!$D16511,nESPEC,DATOS!$E16511,nASIG,DATOS!$I16511,nEVAL,"EX")=0),0))))</f>
      </c>
      <c r="H16511">
        <f>IF(DATOS!$G16511&lt;&gt;"EX",0,--(COUNTIFS(nNIA,DATOS!$A16511,nCURSO,DATOS!$D16511,nESPEC,DATOS!$E16511,nASIG,DATOS!$I16511,nEVAL,"OR")=0))</f>
      </c>
      <c r="I16511">
        <f>IF(DATOS!$I16511="","",IFERROR(VLOOKUP(DATOS!$I16511,CONFIG_ASIGNATURAS!$B$2:$J$91,9,FALSE()),""))</f>
      </c>
    </row>
    <row r="16512">
      <c r="F16512">
        <f>IF(DATOS!$A16512="","",DATOS!$A16512&amp;"|"&amp;DATOS!$D16512&amp;"|"&amp;DATOS!$E16512&amp;"|"&amp;DATOS!$I16512)</f>
      </c>
      <c r="G16512">
        <f>IF(DATOS!$A16512="",0,IF(CONFIG_METADATA!$B$4&lt;&gt;"OR+EX",--(DATOS!$G16512=CONFIG_METADATA!$B$4),IF(DATOS!$G16512="EX",1,IF(DATOS!$G16512="OR",--(COUNTIFS(nNIA,DATOS!$A16512,nCURSO,DATOS!$D16512,nESPEC,DATOS!$E16512,nASIG,DATOS!$I16512,nEVAL,"EX")=0),0))))</f>
      </c>
      <c r="H16512">
        <f>IF(DATOS!$G16512&lt;&gt;"EX",0,--(COUNTIFS(nNIA,DATOS!$A16512,nCURSO,DATOS!$D16512,nESPEC,DATOS!$E16512,nASIG,DATOS!$I16512,nEVAL,"OR")=0))</f>
      </c>
      <c r="I16512">
        <f>IF(DATOS!$I16512="","",IFERROR(VLOOKUP(DATOS!$I16512,CONFIG_ASIGNATURAS!$B$2:$J$91,9,FALSE()),""))</f>
      </c>
    </row>
    <row r="16513">
      <c r="F16513">
        <f>IF(DATOS!$A16513="","",DATOS!$A16513&amp;"|"&amp;DATOS!$D16513&amp;"|"&amp;DATOS!$E16513&amp;"|"&amp;DATOS!$I16513)</f>
      </c>
      <c r="G16513">
        <f>IF(DATOS!$A16513="",0,IF(CONFIG_METADATA!$B$4&lt;&gt;"OR+EX",--(DATOS!$G16513=CONFIG_METADATA!$B$4),IF(DATOS!$G16513="EX",1,IF(DATOS!$G16513="OR",--(COUNTIFS(nNIA,DATOS!$A16513,nCURSO,DATOS!$D16513,nESPEC,DATOS!$E16513,nASIG,DATOS!$I16513,nEVAL,"EX")=0),0))))</f>
      </c>
      <c r="H16513">
        <f>IF(DATOS!$G16513&lt;&gt;"EX",0,--(COUNTIFS(nNIA,DATOS!$A16513,nCURSO,DATOS!$D16513,nESPEC,DATOS!$E16513,nASIG,DATOS!$I16513,nEVAL,"OR")=0))</f>
      </c>
      <c r="I16513">
        <f>IF(DATOS!$I16513="","",IFERROR(VLOOKUP(DATOS!$I16513,CONFIG_ASIGNATURAS!$B$2:$J$91,9,FALSE()),""))</f>
      </c>
    </row>
    <row r="16514">
      <c r="F16514">
        <f>IF(DATOS!$A16514="","",DATOS!$A16514&amp;"|"&amp;DATOS!$D16514&amp;"|"&amp;DATOS!$E16514&amp;"|"&amp;DATOS!$I16514)</f>
      </c>
      <c r="G16514">
        <f>IF(DATOS!$A16514="",0,IF(CONFIG_METADATA!$B$4&lt;&gt;"OR+EX",--(DATOS!$G16514=CONFIG_METADATA!$B$4),IF(DATOS!$G16514="EX",1,IF(DATOS!$G16514="OR",--(COUNTIFS(nNIA,DATOS!$A16514,nCURSO,DATOS!$D16514,nESPEC,DATOS!$E16514,nASIG,DATOS!$I16514,nEVAL,"EX")=0),0))))</f>
      </c>
      <c r="H16514">
        <f>IF(DATOS!$G16514&lt;&gt;"EX",0,--(COUNTIFS(nNIA,DATOS!$A16514,nCURSO,DATOS!$D16514,nESPEC,DATOS!$E16514,nASIG,DATOS!$I16514,nEVAL,"OR")=0))</f>
      </c>
      <c r="I16514">
        <f>IF(DATOS!$I16514="","",IFERROR(VLOOKUP(DATOS!$I16514,CONFIG_ASIGNATURAS!$B$2:$J$91,9,FALSE()),""))</f>
      </c>
    </row>
    <row r="16515">
      <c r="F16515">
        <f>IF(DATOS!$A16515="","",DATOS!$A16515&amp;"|"&amp;DATOS!$D16515&amp;"|"&amp;DATOS!$E16515&amp;"|"&amp;DATOS!$I16515)</f>
      </c>
      <c r="G16515">
        <f>IF(DATOS!$A16515="",0,IF(CONFIG_METADATA!$B$4&lt;&gt;"OR+EX",--(DATOS!$G16515=CONFIG_METADATA!$B$4),IF(DATOS!$G16515="EX",1,IF(DATOS!$G16515="OR",--(COUNTIFS(nNIA,DATOS!$A16515,nCURSO,DATOS!$D16515,nESPEC,DATOS!$E16515,nASIG,DATOS!$I16515,nEVAL,"EX")=0),0))))</f>
      </c>
      <c r="H16515">
        <f>IF(DATOS!$G16515&lt;&gt;"EX",0,--(COUNTIFS(nNIA,DATOS!$A16515,nCURSO,DATOS!$D16515,nESPEC,DATOS!$E16515,nASIG,DATOS!$I16515,nEVAL,"OR")=0))</f>
      </c>
      <c r="I16515">
        <f>IF(DATOS!$I16515="","",IFERROR(VLOOKUP(DATOS!$I16515,CONFIG_ASIGNATURAS!$B$2:$J$91,9,FALSE()),""))</f>
      </c>
    </row>
    <row r="16516">
      <c r="F16516">
        <f>IF(DATOS!$A16516="","",DATOS!$A16516&amp;"|"&amp;DATOS!$D16516&amp;"|"&amp;DATOS!$E16516&amp;"|"&amp;DATOS!$I16516)</f>
      </c>
      <c r="G16516">
        <f>IF(DATOS!$A16516="",0,IF(CONFIG_METADATA!$B$4&lt;&gt;"OR+EX",--(DATOS!$G16516=CONFIG_METADATA!$B$4),IF(DATOS!$G16516="EX",1,IF(DATOS!$G16516="OR",--(COUNTIFS(nNIA,DATOS!$A16516,nCURSO,DATOS!$D16516,nESPEC,DATOS!$E16516,nASIG,DATOS!$I16516,nEVAL,"EX")=0),0))))</f>
      </c>
      <c r="H16516">
        <f>IF(DATOS!$G16516&lt;&gt;"EX",0,--(COUNTIFS(nNIA,DATOS!$A16516,nCURSO,DATOS!$D16516,nESPEC,DATOS!$E16516,nASIG,DATOS!$I16516,nEVAL,"OR")=0))</f>
      </c>
      <c r="I16516">
        <f>IF(DATOS!$I16516="","",IFERROR(VLOOKUP(DATOS!$I16516,CONFIG_ASIGNATURAS!$B$2:$J$91,9,FALSE()),""))</f>
      </c>
    </row>
    <row r="16517">
      <c r="F16517">
        <f>IF(DATOS!$A16517="","",DATOS!$A16517&amp;"|"&amp;DATOS!$D16517&amp;"|"&amp;DATOS!$E16517&amp;"|"&amp;DATOS!$I16517)</f>
      </c>
      <c r="G16517">
        <f>IF(DATOS!$A16517="",0,IF(CONFIG_METADATA!$B$4&lt;&gt;"OR+EX",--(DATOS!$G16517=CONFIG_METADATA!$B$4),IF(DATOS!$G16517="EX",1,IF(DATOS!$G16517="OR",--(COUNTIFS(nNIA,DATOS!$A16517,nCURSO,DATOS!$D16517,nESPEC,DATOS!$E16517,nASIG,DATOS!$I16517,nEVAL,"EX")=0),0))))</f>
      </c>
      <c r="H16517">
        <f>IF(DATOS!$G16517&lt;&gt;"EX",0,--(COUNTIFS(nNIA,DATOS!$A16517,nCURSO,DATOS!$D16517,nESPEC,DATOS!$E16517,nASIG,DATOS!$I16517,nEVAL,"OR")=0))</f>
      </c>
      <c r="I16517">
        <f>IF(DATOS!$I16517="","",IFERROR(VLOOKUP(DATOS!$I16517,CONFIG_ASIGNATURAS!$B$2:$J$91,9,FALSE()),""))</f>
      </c>
    </row>
    <row r="16518">
      <c r="F16518">
        <f>IF(DATOS!$A16518="","",DATOS!$A16518&amp;"|"&amp;DATOS!$D16518&amp;"|"&amp;DATOS!$E16518&amp;"|"&amp;DATOS!$I16518)</f>
      </c>
      <c r="G16518">
        <f>IF(DATOS!$A16518="",0,IF(CONFIG_METADATA!$B$4&lt;&gt;"OR+EX",--(DATOS!$G16518=CONFIG_METADATA!$B$4),IF(DATOS!$G16518="EX",1,IF(DATOS!$G16518="OR",--(COUNTIFS(nNIA,DATOS!$A16518,nCURSO,DATOS!$D16518,nESPEC,DATOS!$E16518,nASIG,DATOS!$I16518,nEVAL,"EX")=0),0))))</f>
      </c>
      <c r="H16518">
        <f>IF(DATOS!$G16518&lt;&gt;"EX",0,--(COUNTIFS(nNIA,DATOS!$A16518,nCURSO,DATOS!$D16518,nESPEC,DATOS!$E16518,nASIG,DATOS!$I16518,nEVAL,"OR")=0))</f>
      </c>
      <c r="I16518">
        <f>IF(DATOS!$I16518="","",IFERROR(VLOOKUP(DATOS!$I16518,CONFIG_ASIGNATURAS!$B$2:$J$91,9,FALSE()),""))</f>
      </c>
    </row>
    <row r="16519">
      <c r="F16519">
        <f>IF(DATOS!$A16519="","",DATOS!$A16519&amp;"|"&amp;DATOS!$D16519&amp;"|"&amp;DATOS!$E16519&amp;"|"&amp;DATOS!$I16519)</f>
      </c>
      <c r="G16519">
        <f>IF(DATOS!$A16519="",0,IF(CONFIG_METADATA!$B$4&lt;&gt;"OR+EX",--(DATOS!$G16519=CONFIG_METADATA!$B$4),IF(DATOS!$G16519="EX",1,IF(DATOS!$G16519="OR",--(COUNTIFS(nNIA,DATOS!$A16519,nCURSO,DATOS!$D16519,nESPEC,DATOS!$E16519,nASIG,DATOS!$I16519,nEVAL,"EX")=0),0))))</f>
      </c>
      <c r="H16519">
        <f>IF(DATOS!$G16519&lt;&gt;"EX",0,--(COUNTIFS(nNIA,DATOS!$A16519,nCURSO,DATOS!$D16519,nESPEC,DATOS!$E16519,nASIG,DATOS!$I16519,nEVAL,"OR")=0))</f>
      </c>
      <c r="I16519">
        <f>IF(DATOS!$I16519="","",IFERROR(VLOOKUP(DATOS!$I16519,CONFIG_ASIGNATURAS!$B$2:$J$91,9,FALSE()),""))</f>
      </c>
    </row>
    <row r="16520">
      <c r="F16520">
        <f>IF(DATOS!$A16520="","",DATOS!$A16520&amp;"|"&amp;DATOS!$D16520&amp;"|"&amp;DATOS!$E16520&amp;"|"&amp;DATOS!$I16520)</f>
      </c>
      <c r="G16520">
        <f>IF(DATOS!$A16520="",0,IF(CONFIG_METADATA!$B$4&lt;&gt;"OR+EX",--(DATOS!$G16520=CONFIG_METADATA!$B$4),IF(DATOS!$G16520="EX",1,IF(DATOS!$G16520="OR",--(COUNTIFS(nNIA,DATOS!$A16520,nCURSO,DATOS!$D16520,nESPEC,DATOS!$E16520,nASIG,DATOS!$I16520,nEVAL,"EX")=0),0))))</f>
      </c>
      <c r="H16520">
        <f>IF(DATOS!$G16520&lt;&gt;"EX",0,--(COUNTIFS(nNIA,DATOS!$A16520,nCURSO,DATOS!$D16520,nESPEC,DATOS!$E16520,nASIG,DATOS!$I16520,nEVAL,"OR")=0))</f>
      </c>
      <c r="I16520">
        <f>IF(DATOS!$I16520="","",IFERROR(VLOOKUP(DATOS!$I16520,CONFIG_ASIGNATURAS!$B$2:$J$91,9,FALSE()),""))</f>
      </c>
    </row>
    <row r="16521">
      <c r="F16521">
        <f>IF(DATOS!$A16521="","",DATOS!$A16521&amp;"|"&amp;DATOS!$D16521&amp;"|"&amp;DATOS!$E16521&amp;"|"&amp;DATOS!$I16521)</f>
      </c>
      <c r="G16521">
        <f>IF(DATOS!$A16521="",0,IF(CONFIG_METADATA!$B$4&lt;&gt;"OR+EX",--(DATOS!$G16521=CONFIG_METADATA!$B$4),IF(DATOS!$G16521="EX",1,IF(DATOS!$G16521="OR",--(COUNTIFS(nNIA,DATOS!$A16521,nCURSO,DATOS!$D16521,nESPEC,DATOS!$E16521,nASIG,DATOS!$I16521,nEVAL,"EX")=0),0))))</f>
      </c>
      <c r="H16521">
        <f>IF(DATOS!$G16521&lt;&gt;"EX",0,--(COUNTIFS(nNIA,DATOS!$A16521,nCURSO,DATOS!$D16521,nESPEC,DATOS!$E16521,nASIG,DATOS!$I16521,nEVAL,"OR")=0))</f>
      </c>
      <c r="I16521">
        <f>IF(DATOS!$I16521="","",IFERROR(VLOOKUP(DATOS!$I16521,CONFIG_ASIGNATURAS!$B$2:$J$91,9,FALSE()),""))</f>
      </c>
    </row>
    <row r="16522">
      <c r="F16522">
        <f>IF(DATOS!$A16522="","",DATOS!$A16522&amp;"|"&amp;DATOS!$D16522&amp;"|"&amp;DATOS!$E16522&amp;"|"&amp;DATOS!$I16522)</f>
      </c>
      <c r="G16522">
        <f>IF(DATOS!$A16522="",0,IF(CONFIG_METADATA!$B$4&lt;&gt;"OR+EX",--(DATOS!$G16522=CONFIG_METADATA!$B$4),IF(DATOS!$G16522="EX",1,IF(DATOS!$G16522="OR",--(COUNTIFS(nNIA,DATOS!$A16522,nCURSO,DATOS!$D16522,nESPEC,DATOS!$E16522,nASIG,DATOS!$I16522,nEVAL,"EX")=0),0))))</f>
      </c>
      <c r="H16522">
        <f>IF(DATOS!$G16522&lt;&gt;"EX",0,--(COUNTIFS(nNIA,DATOS!$A16522,nCURSO,DATOS!$D16522,nESPEC,DATOS!$E16522,nASIG,DATOS!$I16522,nEVAL,"OR")=0))</f>
      </c>
      <c r="I16522">
        <f>IF(DATOS!$I16522="","",IFERROR(VLOOKUP(DATOS!$I16522,CONFIG_ASIGNATURAS!$B$2:$J$91,9,FALSE()),""))</f>
      </c>
    </row>
    <row r="16523">
      <c r="F16523">
        <f>IF(DATOS!$A16523="","",DATOS!$A16523&amp;"|"&amp;DATOS!$D16523&amp;"|"&amp;DATOS!$E16523&amp;"|"&amp;DATOS!$I16523)</f>
      </c>
      <c r="G16523">
        <f>IF(DATOS!$A16523="",0,IF(CONFIG_METADATA!$B$4&lt;&gt;"OR+EX",--(DATOS!$G16523=CONFIG_METADATA!$B$4),IF(DATOS!$G16523="EX",1,IF(DATOS!$G16523="OR",--(COUNTIFS(nNIA,DATOS!$A16523,nCURSO,DATOS!$D16523,nESPEC,DATOS!$E16523,nASIG,DATOS!$I16523,nEVAL,"EX")=0),0))))</f>
      </c>
      <c r="H16523">
        <f>IF(DATOS!$G16523&lt;&gt;"EX",0,--(COUNTIFS(nNIA,DATOS!$A16523,nCURSO,DATOS!$D16523,nESPEC,DATOS!$E16523,nASIG,DATOS!$I16523,nEVAL,"OR")=0))</f>
      </c>
      <c r="I16523">
        <f>IF(DATOS!$I16523="","",IFERROR(VLOOKUP(DATOS!$I16523,CONFIG_ASIGNATURAS!$B$2:$J$91,9,FALSE()),""))</f>
      </c>
    </row>
    <row r="16524">
      <c r="F16524">
        <f>IF(DATOS!$A16524="","",DATOS!$A16524&amp;"|"&amp;DATOS!$D16524&amp;"|"&amp;DATOS!$E16524&amp;"|"&amp;DATOS!$I16524)</f>
      </c>
      <c r="G16524">
        <f>IF(DATOS!$A16524="",0,IF(CONFIG_METADATA!$B$4&lt;&gt;"OR+EX",--(DATOS!$G16524=CONFIG_METADATA!$B$4),IF(DATOS!$G16524="EX",1,IF(DATOS!$G16524="OR",--(COUNTIFS(nNIA,DATOS!$A16524,nCURSO,DATOS!$D16524,nESPEC,DATOS!$E16524,nASIG,DATOS!$I16524,nEVAL,"EX")=0),0))))</f>
      </c>
      <c r="H16524">
        <f>IF(DATOS!$G16524&lt;&gt;"EX",0,--(COUNTIFS(nNIA,DATOS!$A16524,nCURSO,DATOS!$D16524,nESPEC,DATOS!$E16524,nASIG,DATOS!$I16524,nEVAL,"OR")=0))</f>
      </c>
      <c r="I16524">
        <f>IF(DATOS!$I16524="","",IFERROR(VLOOKUP(DATOS!$I16524,CONFIG_ASIGNATURAS!$B$2:$J$91,9,FALSE()),""))</f>
      </c>
    </row>
    <row r="16525">
      <c r="F16525">
        <f>IF(DATOS!$A16525="","",DATOS!$A16525&amp;"|"&amp;DATOS!$D16525&amp;"|"&amp;DATOS!$E16525&amp;"|"&amp;DATOS!$I16525)</f>
      </c>
      <c r="G16525">
        <f>IF(DATOS!$A16525="",0,IF(CONFIG_METADATA!$B$4&lt;&gt;"OR+EX",--(DATOS!$G16525=CONFIG_METADATA!$B$4),IF(DATOS!$G16525="EX",1,IF(DATOS!$G16525="OR",--(COUNTIFS(nNIA,DATOS!$A16525,nCURSO,DATOS!$D16525,nESPEC,DATOS!$E16525,nASIG,DATOS!$I16525,nEVAL,"EX")=0),0))))</f>
      </c>
      <c r="H16525">
        <f>IF(DATOS!$G16525&lt;&gt;"EX",0,--(COUNTIFS(nNIA,DATOS!$A16525,nCURSO,DATOS!$D16525,nESPEC,DATOS!$E16525,nASIG,DATOS!$I16525,nEVAL,"OR")=0))</f>
      </c>
      <c r="I16525">
        <f>IF(DATOS!$I16525="","",IFERROR(VLOOKUP(DATOS!$I16525,CONFIG_ASIGNATURAS!$B$2:$J$91,9,FALSE()),""))</f>
      </c>
    </row>
    <row r="16526">
      <c r="F16526">
        <f>IF(DATOS!$A16526="","",DATOS!$A16526&amp;"|"&amp;DATOS!$D16526&amp;"|"&amp;DATOS!$E16526&amp;"|"&amp;DATOS!$I16526)</f>
      </c>
      <c r="G16526">
        <f>IF(DATOS!$A16526="",0,IF(CONFIG_METADATA!$B$4&lt;&gt;"OR+EX",--(DATOS!$G16526=CONFIG_METADATA!$B$4),IF(DATOS!$G16526="EX",1,IF(DATOS!$G16526="OR",--(COUNTIFS(nNIA,DATOS!$A16526,nCURSO,DATOS!$D16526,nESPEC,DATOS!$E16526,nASIG,DATOS!$I16526,nEVAL,"EX")=0),0))))</f>
      </c>
      <c r="H16526">
        <f>IF(DATOS!$G16526&lt;&gt;"EX",0,--(COUNTIFS(nNIA,DATOS!$A16526,nCURSO,DATOS!$D16526,nESPEC,DATOS!$E16526,nASIG,DATOS!$I16526,nEVAL,"OR")=0))</f>
      </c>
      <c r="I16526">
        <f>IF(DATOS!$I16526="","",IFERROR(VLOOKUP(DATOS!$I16526,CONFIG_ASIGNATURAS!$B$2:$J$91,9,FALSE()),""))</f>
      </c>
    </row>
    <row r="16527">
      <c r="F16527">
        <f>IF(DATOS!$A16527="","",DATOS!$A16527&amp;"|"&amp;DATOS!$D16527&amp;"|"&amp;DATOS!$E16527&amp;"|"&amp;DATOS!$I16527)</f>
      </c>
      <c r="G16527">
        <f>IF(DATOS!$A16527="",0,IF(CONFIG_METADATA!$B$4&lt;&gt;"OR+EX",--(DATOS!$G16527=CONFIG_METADATA!$B$4),IF(DATOS!$G16527="EX",1,IF(DATOS!$G16527="OR",--(COUNTIFS(nNIA,DATOS!$A16527,nCURSO,DATOS!$D16527,nESPEC,DATOS!$E16527,nASIG,DATOS!$I16527,nEVAL,"EX")=0),0))))</f>
      </c>
      <c r="H16527">
        <f>IF(DATOS!$G16527&lt;&gt;"EX",0,--(COUNTIFS(nNIA,DATOS!$A16527,nCURSO,DATOS!$D16527,nESPEC,DATOS!$E16527,nASIG,DATOS!$I16527,nEVAL,"OR")=0))</f>
      </c>
      <c r="I16527">
        <f>IF(DATOS!$I16527="","",IFERROR(VLOOKUP(DATOS!$I16527,CONFIG_ASIGNATURAS!$B$2:$J$91,9,FALSE()),""))</f>
      </c>
    </row>
    <row r="16528">
      <c r="F16528">
        <f>IF(DATOS!$A16528="","",DATOS!$A16528&amp;"|"&amp;DATOS!$D16528&amp;"|"&amp;DATOS!$E16528&amp;"|"&amp;DATOS!$I16528)</f>
      </c>
      <c r="G16528">
        <f>IF(DATOS!$A16528="",0,IF(CONFIG_METADATA!$B$4&lt;&gt;"OR+EX",--(DATOS!$G16528=CONFIG_METADATA!$B$4),IF(DATOS!$G16528="EX",1,IF(DATOS!$G16528="OR",--(COUNTIFS(nNIA,DATOS!$A16528,nCURSO,DATOS!$D16528,nESPEC,DATOS!$E16528,nASIG,DATOS!$I16528,nEVAL,"EX")=0),0))))</f>
      </c>
      <c r="H16528">
        <f>IF(DATOS!$G16528&lt;&gt;"EX",0,--(COUNTIFS(nNIA,DATOS!$A16528,nCURSO,DATOS!$D16528,nESPEC,DATOS!$E16528,nASIG,DATOS!$I16528,nEVAL,"OR")=0))</f>
      </c>
      <c r="I16528">
        <f>IF(DATOS!$I16528="","",IFERROR(VLOOKUP(DATOS!$I16528,CONFIG_ASIGNATURAS!$B$2:$J$91,9,FALSE()),""))</f>
      </c>
    </row>
    <row r="16529">
      <c r="F16529">
        <f>IF(DATOS!$A16529="","",DATOS!$A16529&amp;"|"&amp;DATOS!$D16529&amp;"|"&amp;DATOS!$E16529&amp;"|"&amp;DATOS!$I16529)</f>
      </c>
      <c r="G16529">
        <f>IF(DATOS!$A16529="",0,IF(CONFIG_METADATA!$B$4&lt;&gt;"OR+EX",--(DATOS!$G16529=CONFIG_METADATA!$B$4),IF(DATOS!$G16529="EX",1,IF(DATOS!$G16529="OR",--(COUNTIFS(nNIA,DATOS!$A16529,nCURSO,DATOS!$D16529,nESPEC,DATOS!$E16529,nASIG,DATOS!$I16529,nEVAL,"EX")=0),0))))</f>
      </c>
      <c r="H16529">
        <f>IF(DATOS!$G16529&lt;&gt;"EX",0,--(COUNTIFS(nNIA,DATOS!$A16529,nCURSO,DATOS!$D16529,nESPEC,DATOS!$E16529,nASIG,DATOS!$I16529,nEVAL,"OR")=0))</f>
      </c>
      <c r="I16529">
        <f>IF(DATOS!$I16529="","",IFERROR(VLOOKUP(DATOS!$I16529,CONFIG_ASIGNATURAS!$B$2:$J$91,9,FALSE()),""))</f>
      </c>
    </row>
    <row r="16530">
      <c r="F16530">
        <f>IF(DATOS!$A16530="","",DATOS!$A16530&amp;"|"&amp;DATOS!$D16530&amp;"|"&amp;DATOS!$E16530&amp;"|"&amp;DATOS!$I16530)</f>
      </c>
      <c r="G16530">
        <f>IF(DATOS!$A16530="",0,IF(CONFIG_METADATA!$B$4&lt;&gt;"OR+EX",--(DATOS!$G16530=CONFIG_METADATA!$B$4),IF(DATOS!$G16530="EX",1,IF(DATOS!$G16530="OR",--(COUNTIFS(nNIA,DATOS!$A16530,nCURSO,DATOS!$D16530,nESPEC,DATOS!$E16530,nASIG,DATOS!$I16530,nEVAL,"EX")=0),0))))</f>
      </c>
      <c r="H16530">
        <f>IF(DATOS!$G16530&lt;&gt;"EX",0,--(COUNTIFS(nNIA,DATOS!$A16530,nCURSO,DATOS!$D16530,nESPEC,DATOS!$E16530,nASIG,DATOS!$I16530,nEVAL,"OR")=0))</f>
      </c>
      <c r="I16530">
        <f>IF(DATOS!$I16530="","",IFERROR(VLOOKUP(DATOS!$I16530,CONFIG_ASIGNATURAS!$B$2:$J$91,9,FALSE()),""))</f>
      </c>
    </row>
    <row r="16531">
      <c r="F16531">
        <f>IF(DATOS!$A16531="","",DATOS!$A16531&amp;"|"&amp;DATOS!$D16531&amp;"|"&amp;DATOS!$E16531&amp;"|"&amp;DATOS!$I16531)</f>
      </c>
      <c r="G16531">
        <f>IF(DATOS!$A16531="",0,IF(CONFIG_METADATA!$B$4&lt;&gt;"OR+EX",--(DATOS!$G16531=CONFIG_METADATA!$B$4),IF(DATOS!$G16531="EX",1,IF(DATOS!$G16531="OR",--(COUNTIFS(nNIA,DATOS!$A16531,nCURSO,DATOS!$D16531,nESPEC,DATOS!$E16531,nASIG,DATOS!$I16531,nEVAL,"EX")=0),0))))</f>
      </c>
      <c r="H16531">
        <f>IF(DATOS!$G16531&lt;&gt;"EX",0,--(COUNTIFS(nNIA,DATOS!$A16531,nCURSO,DATOS!$D16531,nESPEC,DATOS!$E16531,nASIG,DATOS!$I16531,nEVAL,"OR")=0))</f>
      </c>
      <c r="I16531">
        <f>IF(DATOS!$I16531="","",IFERROR(VLOOKUP(DATOS!$I16531,CONFIG_ASIGNATURAS!$B$2:$J$91,9,FALSE()),""))</f>
      </c>
    </row>
    <row r="16532">
      <c r="F16532">
        <f>IF(DATOS!$A16532="","",DATOS!$A16532&amp;"|"&amp;DATOS!$D16532&amp;"|"&amp;DATOS!$E16532&amp;"|"&amp;DATOS!$I16532)</f>
      </c>
      <c r="G16532">
        <f>IF(DATOS!$A16532="",0,IF(CONFIG_METADATA!$B$4&lt;&gt;"OR+EX",--(DATOS!$G16532=CONFIG_METADATA!$B$4),IF(DATOS!$G16532="EX",1,IF(DATOS!$G16532="OR",--(COUNTIFS(nNIA,DATOS!$A16532,nCURSO,DATOS!$D16532,nESPEC,DATOS!$E16532,nASIG,DATOS!$I16532,nEVAL,"EX")=0),0))))</f>
      </c>
      <c r="H16532">
        <f>IF(DATOS!$G16532&lt;&gt;"EX",0,--(COUNTIFS(nNIA,DATOS!$A16532,nCURSO,DATOS!$D16532,nESPEC,DATOS!$E16532,nASIG,DATOS!$I16532,nEVAL,"OR")=0))</f>
      </c>
      <c r="I16532">
        <f>IF(DATOS!$I16532="","",IFERROR(VLOOKUP(DATOS!$I16532,CONFIG_ASIGNATURAS!$B$2:$J$91,9,FALSE()),""))</f>
      </c>
    </row>
    <row r="16533">
      <c r="F16533">
        <f>IF(DATOS!$A16533="","",DATOS!$A16533&amp;"|"&amp;DATOS!$D16533&amp;"|"&amp;DATOS!$E16533&amp;"|"&amp;DATOS!$I16533)</f>
      </c>
      <c r="G16533">
        <f>IF(DATOS!$A16533="",0,IF(CONFIG_METADATA!$B$4&lt;&gt;"OR+EX",--(DATOS!$G16533=CONFIG_METADATA!$B$4),IF(DATOS!$G16533="EX",1,IF(DATOS!$G16533="OR",--(COUNTIFS(nNIA,DATOS!$A16533,nCURSO,DATOS!$D16533,nESPEC,DATOS!$E16533,nASIG,DATOS!$I16533,nEVAL,"EX")=0),0))))</f>
      </c>
      <c r="H16533">
        <f>IF(DATOS!$G16533&lt;&gt;"EX",0,--(COUNTIFS(nNIA,DATOS!$A16533,nCURSO,DATOS!$D16533,nESPEC,DATOS!$E16533,nASIG,DATOS!$I16533,nEVAL,"OR")=0))</f>
      </c>
      <c r="I16533">
        <f>IF(DATOS!$I16533="","",IFERROR(VLOOKUP(DATOS!$I16533,CONFIG_ASIGNATURAS!$B$2:$J$91,9,FALSE()),""))</f>
      </c>
    </row>
    <row r="16534">
      <c r="F16534">
        <f>IF(DATOS!$A16534="","",DATOS!$A16534&amp;"|"&amp;DATOS!$D16534&amp;"|"&amp;DATOS!$E16534&amp;"|"&amp;DATOS!$I16534)</f>
      </c>
      <c r="G16534">
        <f>IF(DATOS!$A16534="",0,IF(CONFIG_METADATA!$B$4&lt;&gt;"OR+EX",--(DATOS!$G16534=CONFIG_METADATA!$B$4),IF(DATOS!$G16534="EX",1,IF(DATOS!$G16534="OR",--(COUNTIFS(nNIA,DATOS!$A16534,nCURSO,DATOS!$D16534,nESPEC,DATOS!$E16534,nASIG,DATOS!$I16534,nEVAL,"EX")=0),0))))</f>
      </c>
      <c r="H16534">
        <f>IF(DATOS!$G16534&lt;&gt;"EX",0,--(COUNTIFS(nNIA,DATOS!$A16534,nCURSO,DATOS!$D16534,nESPEC,DATOS!$E16534,nASIG,DATOS!$I16534,nEVAL,"OR")=0))</f>
      </c>
      <c r="I16534">
        <f>IF(DATOS!$I16534="","",IFERROR(VLOOKUP(DATOS!$I16534,CONFIG_ASIGNATURAS!$B$2:$J$91,9,FALSE()),""))</f>
      </c>
    </row>
    <row r="16535">
      <c r="F16535">
        <f>IF(DATOS!$A16535="","",DATOS!$A16535&amp;"|"&amp;DATOS!$D16535&amp;"|"&amp;DATOS!$E16535&amp;"|"&amp;DATOS!$I16535)</f>
      </c>
      <c r="G16535">
        <f>IF(DATOS!$A16535="",0,IF(CONFIG_METADATA!$B$4&lt;&gt;"OR+EX",--(DATOS!$G16535=CONFIG_METADATA!$B$4),IF(DATOS!$G16535="EX",1,IF(DATOS!$G16535="OR",--(COUNTIFS(nNIA,DATOS!$A16535,nCURSO,DATOS!$D16535,nESPEC,DATOS!$E16535,nASIG,DATOS!$I16535,nEVAL,"EX")=0),0))))</f>
      </c>
      <c r="H16535">
        <f>IF(DATOS!$G16535&lt;&gt;"EX",0,--(COUNTIFS(nNIA,DATOS!$A16535,nCURSO,DATOS!$D16535,nESPEC,DATOS!$E16535,nASIG,DATOS!$I16535,nEVAL,"OR")=0))</f>
      </c>
      <c r="I16535">
        <f>IF(DATOS!$I16535="","",IFERROR(VLOOKUP(DATOS!$I16535,CONFIG_ASIGNATURAS!$B$2:$J$91,9,FALSE()),""))</f>
      </c>
    </row>
    <row r="16536">
      <c r="F16536">
        <f>IF(DATOS!$A16536="","",DATOS!$A16536&amp;"|"&amp;DATOS!$D16536&amp;"|"&amp;DATOS!$E16536&amp;"|"&amp;DATOS!$I16536)</f>
      </c>
      <c r="G16536">
        <f>IF(DATOS!$A16536="",0,IF(CONFIG_METADATA!$B$4&lt;&gt;"OR+EX",--(DATOS!$G16536=CONFIG_METADATA!$B$4),IF(DATOS!$G16536="EX",1,IF(DATOS!$G16536="OR",--(COUNTIFS(nNIA,DATOS!$A16536,nCURSO,DATOS!$D16536,nESPEC,DATOS!$E16536,nASIG,DATOS!$I16536,nEVAL,"EX")=0),0))))</f>
      </c>
      <c r="H16536">
        <f>IF(DATOS!$G16536&lt;&gt;"EX",0,--(COUNTIFS(nNIA,DATOS!$A16536,nCURSO,DATOS!$D16536,nESPEC,DATOS!$E16536,nASIG,DATOS!$I16536,nEVAL,"OR")=0))</f>
      </c>
      <c r="I16536">
        <f>IF(DATOS!$I16536="","",IFERROR(VLOOKUP(DATOS!$I16536,CONFIG_ASIGNATURAS!$B$2:$J$91,9,FALSE()),""))</f>
      </c>
    </row>
    <row r="16537">
      <c r="F16537">
        <f>IF(DATOS!$A16537="","",DATOS!$A16537&amp;"|"&amp;DATOS!$D16537&amp;"|"&amp;DATOS!$E16537&amp;"|"&amp;DATOS!$I16537)</f>
      </c>
      <c r="G16537">
        <f>IF(DATOS!$A16537="",0,IF(CONFIG_METADATA!$B$4&lt;&gt;"OR+EX",--(DATOS!$G16537=CONFIG_METADATA!$B$4),IF(DATOS!$G16537="EX",1,IF(DATOS!$G16537="OR",--(COUNTIFS(nNIA,DATOS!$A16537,nCURSO,DATOS!$D16537,nESPEC,DATOS!$E16537,nASIG,DATOS!$I16537,nEVAL,"EX")=0),0))))</f>
      </c>
      <c r="H16537">
        <f>IF(DATOS!$G16537&lt;&gt;"EX",0,--(COUNTIFS(nNIA,DATOS!$A16537,nCURSO,DATOS!$D16537,nESPEC,DATOS!$E16537,nASIG,DATOS!$I16537,nEVAL,"OR")=0))</f>
      </c>
      <c r="I16537">
        <f>IF(DATOS!$I16537="","",IFERROR(VLOOKUP(DATOS!$I16537,CONFIG_ASIGNATURAS!$B$2:$J$91,9,FALSE()),""))</f>
      </c>
    </row>
    <row r="16538">
      <c r="F16538">
        <f>IF(DATOS!$A16538="","",DATOS!$A16538&amp;"|"&amp;DATOS!$D16538&amp;"|"&amp;DATOS!$E16538&amp;"|"&amp;DATOS!$I16538)</f>
      </c>
      <c r="G16538">
        <f>IF(DATOS!$A16538="",0,IF(CONFIG_METADATA!$B$4&lt;&gt;"OR+EX",--(DATOS!$G16538=CONFIG_METADATA!$B$4),IF(DATOS!$G16538="EX",1,IF(DATOS!$G16538="OR",--(COUNTIFS(nNIA,DATOS!$A16538,nCURSO,DATOS!$D16538,nESPEC,DATOS!$E16538,nASIG,DATOS!$I16538,nEVAL,"EX")=0),0))))</f>
      </c>
      <c r="H16538">
        <f>IF(DATOS!$G16538&lt;&gt;"EX",0,--(COUNTIFS(nNIA,DATOS!$A16538,nCURSO,DATOS!$D16538,nESPEC,DATOS!$E16538,nASIG,DATOS!$I16538,nEVAL,"OR")=0))</f>
      </c>
      <c r="I16538">
        <f>IF(DATOS!$I16538="","",IFERROR(VLOOKUP(DATOS!$I16538,CONFIG_ASIGNATURAS!$B$2:$J$91,9,FALSE()),""))</f>
      </c>
    </row>
    <row r="16539">
      <c r="F16539">
        <f>IF(DATOS!$A16539="","",DATOS!$A16539&amp;"|"&amp;DATOS!$D16539&amp;"|"&amp;DATOS!$E16539&amp;"|"&amp;DATOS!$I16539)</f>
      </c>
      <c r="G16539">
        <f>IF(DATOS!$A16539="",0,IF(CONFIG_METADATA!$B$4&lt;&gt;"OR+EX",--(DATOS!$G16539=CONFIG_METADATA!$B$4),IF(DATOS!$G16539="EX",1,IF(DATOS!$G16539="OR",--(COUNTIFS(nNIA,DATOS!$A16539,nCURSO,DATOS!$D16539,nESPEC,DATOS!$E16539,nASIG,DATOS!$I16539,nEVAL,"EX")=0),0))))</f>
      </c>
      <c r="H16539">
        <f>IF(DATOS!$G16539&lt;&gt;"EX",0,--(COUNTIFS(nNIA,DATOS!$A16539,nCURSO,DATOS!$D16539,nESPEC,DATOS!$E16539,nASIG,DATOS!$I16539,nEVAL,"OR")=0))</f>
      </c>
      <c r="I16539">
        <f>IF(DATOS!$I16539="","",IFERROR(VLOOKUP(DATOS!$I16539,CONFIG_ASIGNATURAS!$B$2:$J$91,9,FALSE()),""))</f>
      </c>
    </row>
    <row r="16540">
      <c r="F16540">
        <f>IF(DATOS!$A16540="","",DATOS!$A16540&amp;"|"&amp;DATOS!$D16540&amp;"|"&amp;DATOS!$E16540&amp;"|"&amp;DATOS!$I16540)</f>
      </c>
      <c r="G16540">
        <f>IF(DATOS!$A16540="",0,IF(CONFIG_METADATA!$B$4&lt;&gt;"OR+EX",--(DATOS!$G16540=CONFIG_METADATA!$B$4),IF(DATOS!$G16540="EX",1,IF(DATOS!$G16540="OR",--(COUNTIFS(nNIA,DATOS!$A16540,nCURSO,DATOS!$D16540,nESPEC,DATOS!$E16540,nASIG,DATOS!$I16540,nEVAL,"EX")=0),0))))</f>
      </c>
      <c r="H16540">
        <f>IF(DATOS!$G16540&lt;&gt;"EX",0,--(COUNTIFS(nNIA,DATOS!$A16540,nCURSO,DATOS!$D16540,nESPEC,DATOS!$E16540,nASIG,DATOS!$I16540,nEVAL,"OR")=0))</f>
      </c>
      <c r="I16540">
        <f>IF(DATOS!$I16540="","",IFERROR(VLOOKUP(DATOS!$I16540,CONFIG_ASIGNATURAS!$B$2:$J$91,9,FALSE()),""))</f>
      </c>
    </row>
    <row r="16541">
      <c r="F16541">
        <f>IF(DATOS!$A16541="","",DATOS!$A16541&amp;"|"&amp;DATOS!$D16541&amp;"|"&amp;DATOS!$E16541&amp;"|"&amp;DATOS!$I16541)</f>
      </c>
      <c r="G16541">
        <f>IF(DATOS!$A16541="",0,IF(CONFIG_METADATA!$B$4&lt;&gt;"OR+EX",--(DATOS!$G16541=CONFIG_METADATA!$B$4),IF(DATOS!$G16541="EX",1,IF(DATOS!$G16541="OR",--(COUNTIFS(nNIA,DATOS!$A16541,nCURSO,DATOS!$D16541,nESPEC,DATOS!$E16541,nASIG,DATOS!$I16541,nEVAL,"EX")=0),0))))</f>
      </c>
      <c r="H16541">
        <f>IF(DATOS!$G16541&lt;&gt;"EX",0,--(COUNTIFS(nNIA,DATOS!$A16541,nCURSO,DATOS!$D16541,nESPEC,DATOS!$E16541,nASIG,DATOS!$I16541,nEVAL,"OR")=0))</f>
      </c>
      <c r="I16541">
        <f>IF(DATOS!$I16541="","",IFERROR(VLOOKUP(DATOS!$I16541,CONFIG_ASIGNATURAS!$B$2:$J$91,9,FALSE()),""))</f>
      </c>
    </row>
    <row r="16542">
      <c r="F16542">
        <f>IF(DATOS!$A16542="","",DATOS!$A16542&amp;"|"&amp;DATOS!$D16542&amp;"|"&amp;DATOS!$E16542&amp;"|"&amp;DATOS!$I16542)</f>
      </c>
      <c r="G16542">
        <f>IF(DATOS!$A16542="",0,IF(CONFIG_METADATA!$B$4&lt;&gt;"OR+EX",--(DATOS!$G16542=CONFIG_METADATA!$B$4),IF(DATOS!$G16542="EX",1,IF(DATOS!$G16542="OR",--(COUNTIFS(nNIA,DATOS!$A16542,nCURSO,DATOS!$D16542,nESPEC,DATOS!$E16542,nASIG,DATOS!$I16542,nEVAL,"EX")=0),0))))</f>
      </c>
      <c r="H16542">
        <f>IF(DATOS!$G16542&lt;&gt;"EX",0,--(COUNTIFS(nNIA,DATOS!$A16542,nCURSO,DATOS!$D16542,nESPEC,DATOS!$E16542,nASIG,DATOS!$I16542,nEVAL,"OR")=0))</f>
      </c>
      <c r="I16542">
        <f>IF(DATOS!$I16542="","",IFERROR(VLOOKUP(DATOS!$I16542,CONFIG_ASIGNATURAS!$B$2:$J$91,9,FALSE()),""))</f>
      </c>
    </row>
    <row r="16543">
      <c r="F16543">
        <f>IF(DATOS!$A16543="","",DATOS!$A16543&amp;"|"&amp;DATOS!$D16543&amp;"|"&amp;DATOS!$E16543&amp;"|"&amp;DATOS!$I16543)</f>
      </c>
      <c r="G16543">
        <f>IF(DATOS!$A16543="",0,IF(CONFIG_METADATA!$B$4&lt;&gt;"OR+EX",--(DATOS!$G16543=CONFIG_METADATA!$B$4),IF(DATOS!$G16543="EX",1,IF(DATOS!$G16543="OR",--(COUNTIFS(nNIA,DATOS!$A16543,nCURSO,DATOS!$D16543,nESPEC,DATOS!$E16543,nASIG,DATOS!$I16543,nEVAL,"EX")=0),0))))</f>
      </c>
      <c r="H16543">
        <f>IF(DATOS!$G16543&lt;&gt;"EX",0,--(COUNTIFS(nNIA,DATOS!$A16543,nCURSO,DATOS!$D16543,nESPEC,DATOS!$E16543,nASIG,DATOS!$I16543,nEVAL,"OR")=0))</f>
      </c>
      <c r="I16543">
        <f>IF(DATOS!$I16543="","",IFERROR(VLOOKUP(DATOS!$I16543,CONFIG_ASIGNATURAS!$B$2:$J$91,9,FALSE()),""))</f>
      </c>
    </row>
    <row r="16544">
      <c r="F16544">
        <f>IF(DATOS!$A16544="","",DATOS!$A16544&amp;"|"&amp;DATOS!$D16544&amp;"|"&amp;DATOS!$E16544&amp;"|"&amp;DATOS!$I16544)</f>
      </c>
      <c r="G16544">
        <f>IF(DATOS!$A16544="",0,IF(CONFIG_METADATA!$B$4&lt;&gt;"OR+EX",--(DATOS!$G16544=CONFIG_METADATA!$B$4),IF(DATOS!$G16544="EX",1,IF(DATOS!$G16544="OR",--(COUNTIFS(nNIA,DATOS!$A16544,nCURSO,DATOS!$D16544,nESPEC,DATOS!$E16544,nASIG,DATOS!$I16544,nEVAL,"EX")=0),0))))</f>
      </c>
      <c r="H16544">
        <f>IF(DATOS!$G16544&lt;&gt;"EX",0,--(COUNTIFS(nNIA,DATOS!$A16544,nCURSO,DATOS!$D16544,nESPEC,DATOS!$E16544,nASIG,DATOS!$I16544,nEVAL,"OR")=0))</f>
      </c>
      <c r="I16544">
        <f>IF(DATOS!$I16544="","",IFERROR(VLOOKUP(DATOS!$I16544,CONFIG_ASIGNATURAS!$B$2:$J$91,9,FALSE()),""))</f>
      </c>
    </row>
    <row r="16545">
      <c r="F16545">
        <f>IF(DATOS!$A16545="","",DATOS!$A16545&amp;"|"&amp;DATOS!$D16545&amp;"|"&amp;DATOS!$E16545&amp;"|"&amp;DATOS!$I16545)</f>
      </c>
      <c r="G16545">
        <f>IF(DATOS!$A16545="",0,IF(CONFIG_METADATA!$B$4&lt;&gt;"OR+EX",--(DATOS!$G16545=CONFIG_METADATA!$B$4),IF(DATOS!$G16545="EX",1,IF(DATOS!$G16545="OR",--(COUNTIFS(nNIA,DATOS!$A16545,nCURSO,DATOS!$D16545,nESPEC,DATOS!$E16545,nASIG,DATOS!$I16545,nEVAL,"EX")=0),0))))</f>
      </c>
      <c r="H16545">
        <f>IF(DATOS!$G16545&lt;&gt;"EX",0,--(COUNTIFS(nNIA,DATOS!$A16545,nCURSO,DATOS!$D16545,nESPEC,DATOS!$E16545,nASIG,DATOS!$I16545,nEVAL,"OR")=0))</f>
      </c>
      <c r="I16545">
        <f>IF(DATOS!$I16545="","",IFERROR(VLOOKUP(DATOS!$I16545,CONFIG_ASIGNATURAS!$B$2:$J$91,9,FALSE()),""))</f>
      </c>
    </row>
    <row r="16546">
      <c r="F16546">
        <f>IF(DATOS!$A16546="","",DATOS!$A16546&amp;"|"&amp;DATOS!$D16546&amp;"|"&amp;DATOS!$E16546&amp;"|"&amp;DATOS!$I16546)</f>
      </c>
      <c r="G16546">
        <f>IF(DATOS!$A16546="",0,IF(CONFIG_METADATA!$B$4&lt;&gt;"OR+EX",--(DATOS!$G16546=CONFIG_METADATA!$B$4),IF(DATOS!$G16546="EX",1,IF(DATOS!$G16546="OR",--(COUNTIFS(nNIA,DATOS!$A16546,nCURSO,DATOS!$D16546,nESPEC,DATOS!$E16546,nASIG,DATOS!$I16546,nEVAL,"EX")=0),0))))</f>
      </c>
      <c r="H16546">
        <f>IF(DATOS!$G16546&lt;&gt;"EX",0,--(COUNTIFS(nNIA,DATOS!$A16546,nCURSO,DATOS!$D16546,nESPEC,DATOS!$E16546,nASIG,DATOS!$I16546,nEVAL,"OR")=0))</f>
      </c>
      <c r="I16546">
        <f>IF(DATOS!$I16546="","",IFERROR(VLOOKUP(DATOS!$I16546,CONFIG_ASIGNATURAS!$B$2:$J$91,9,FALSE()),""))</f>
      </c>
    </row>
    <row r="16547">
      <c r="F16547">
        <f>IF(DATOS!$A16547="","",DATOS!$A16547&amp;"|"&amp;DATOS!$D16547&amp;"|"&amp;DATOS!$E16547&amp;"|"&amp;DATOS!$I16547)</f>
      </c>
      <c r="G16547">
        <f>IF(DATOS!$A16547="",0,IF(CONFIG_METADATA!$B$4&lt;&gt;"OR+EX",--(DATOS!$G16547=CONFIG_METADATA!$B$4),IF(DATOS!$G16547="EX",1,IF(DATOS!$G16547="OR",--(COUNTIFS(nNIA,DATOS!$A16547,nCURSO,DATOS!$D16547,nESPEC,DATOS!$E16547,nASIG,DATOS!$I16547,nEVAL,"EX")=0),0))))</f>
      </c>
      <c r="H16547">
        <f>IF(DATOS!$G16547&lt;&gt;"EX",0,--(COUNTIFS(nNIA,DATOS!$A16547,nCURSO,DATOS!$D16547,nESPEC,DATOS!$E16547,nASIG,DATOS!$I16547,nEVAL,"OR")=0))</f>
      </c>
      <c r="I16547">
        <f>IF(DATOS!$I16547="","",IFERROR(VLOOKUP(DATOS!$I16547,CONFIG_ASIGNATURAS!$B$2:$J$91,9,FALSE()),""))</f>
      </c>
    </row>
    <row r="16548">
      <c r="F16548">
        <f>IF(DATOS!$A16548="","",DATOS!$A16548&amp;"|"&amp;DATOS!$D16548&amp;"|"&amp;DATOS!$E16548&amp;"|"&amp;DATOS!$I16548)</f>
      </c>
      <c r="G16548">
        <f>IF(DATOS!$A16548="",0,IF(CONFIG_METADATA!$B$4&lt;&gt;"OR+EX",--(DATOS!$G16548=CONFIG_METADATA!$B$4),IF(DATOS!$G16548="EX",1,IF(DATOS!$G16548="OR",--(COUNTIFS(nNIA,DATOS!$A16548,nCURSO,DATOS!$D16548,nESPEC,DATOS!$E16548,nASIG,DATOS!$I16548,nEVAL,"EX")=0),0))))</f>
      </c>
      <c r="H16548">
        <f>IF(DATOS!$G16548&lt;&gt;"EX",0,--(COUNTIFS(nNIA,DATOS!$A16548,nCURSO,DATOS!$D16548,nESPEC,DATOS!$E16548,nASIG,DATOS!$I16548,nEVAL,"OR")=0))</f>
      </c>
      <c r="I16548">
        <f>IF(DATOS!$I16548="","",IFERROR(VLOOKUP(DATOS!$I16548,CONFIG_ASIGNATURAS!$B$2:$J$91,9,FALSE()),""))</f>
      </c>
    </row>
    <row r="16549">
      <c r="F16549">
        <f>IF(DATOS!$A16549="","",DATOS!$A16549&amp;"|"&amp;DATOS!$D16549&amp;"|"&amp;DATOS!$E16549&amp;"|"&amp;DATOS!$I16549)</f>
      </c>
      <c r="G16549">
        <f>IF(DATOS!$A16549="",0,IF(CONFIG_METADATA!$B$4&lt;&gt;"OR+EX",--(DATOS!$G16549=CONFIG_METADATA!$B$4),IF(DATOS!$G16549="EX",1,IF(DATOS!$G16549="OR",--(COUNTIFS(nNIA,DATOS!$A16549,nCURSO,DATOS!$D16549,nESPEC,DATOS!$E16549,nASIG,DATOS!$I16549,nEVAL,"EX")=0),0))))</f>
      </c>
      <c r="H16549">
        <f>IF(DATOS!$G16549&lt;&gt;"EX",0,--(COUNTIFS(nNIA,DATOS!$A16549,nCURSO,DATOS!$D16549,nESPEC,DATOS!$E16549,nASIG,DATOS!$I16549,nEVAL,"OR")=0))</f>
      </c>
      <c r="I16549">
        <f>IF(DATOS!$I16549="","",IFERROR(VLOOKUP(DATOS!$I16549,CONFIG_ASIGNATURAS!$B$2:$J$91,9,FALSE()),""))</f>
      </c>
    </row>
    <row r="16550">
      <c r="F16550">
        <f>IF(DATOS!$A16550="","",DATOS!$A16550&amp;"|"&amp;DATOS!$D16550&amp;"|"&amp;DATOS!$E16550&amp;"|"&amp;DATOS!$I16550)</f>
      </c>
      <c r="G16550">
        <f>IF(DATOS!$A16550="",0,IF(CONFIG_METADATA!$B$4&lt;&gt;"OR+EX",--(DATOS!$G16550=CONFIG_METADATA!$B$4),IF(DATOS!$G16550="EX",1,IF(DATOS!$G16550="OR",--(COUNTIFS(nNIA,DATOS!$A16550,nCURSO,DATOS!$D16550,nESPEC,DATOS!$E16550,nASIG,DATOS!$I16550,nEVAL,"EX")=0),0))))</f>
      </c>
      <c r="H16550">
        <f>IF(DATOS!$G16550&lt;&gt;"EX",0,--(COUNTIFS(nNIA,DATOS!$A16550,nCURSO,DATOS!$D16550,nESPEC,DATOS!$E16550,nASIG,DATOS!$I16550,nEVAL,"OR")=0))</f>
      </c>
      <c r="I16550">
        <f>IF(DATOS!$I16550="","",IFERROR(VLOOKUP(DATOS!$I16550,CONFIG_ASIGNATURAS!$B$2:$J$91,9,FALSE()),""))</f>
      </c>
    </row>
    <row r="16551">
      <c r="F16551">
        <f>IF(DATOS!$A16551="","",DATOS!$A16551&amp;"|"&amp;DATOS!$D16551&amp;"|"&amp;DATOS!$E16551&amp;"|"&amp;DATOS!$I16551)</f>
      </c>
      <c r="G16551">
        <f>IF(DATOS!$A16551="",0,IF(CONFIG_METADATA!$B$4&lt;&gt;"OR+EX",--(DATOS!$G16551=CONFIG_METADATA!$B$4),IF(DATOS!$G16551="EX",1,IF(DATOS!$G16551="OR",--(COUNTIFS(nNIA,DATOS!$A16551,nCURSO,DATOS!$D16551,nESPEC,DATOS!$E16551,nASIG,DATOS!$I16551,nEVAL,"EX")=0),0))))</f>
      </c>
      <c r="H16551">
        <f>IF(DATOS!$G16551&lt;&gt;"EX",0,--(COUNTIFS(nNIA,DATOS!$A16551,nCURSO,DATOS!$D16551,nESPEC,DATOS!$E16551,nASIG,DATOS!$I16551,nEVAL,"OR")=0))</f>
      </c>
      <c r="I16551">
        <f>IF(DATOS!$I16551="","",IFERROR(VLOOKUP(DATOS!$I16551,CONFIG_ASIGNATURAS!$B$2:$J$91,9,FALSE()),""))</f>
      </c>
    </row>
    <row r="16552">
      <c r="F16552">
        <f>IF(DATOS!$A16552="","",DATOS!$A16552&amp;"|"&amp;DATOS!$D16552&amp;"|"&amp;DATOS!$E16552&amp;"|"&amp;DATOS!$I16552)</f>
      </c>
      <c r="G16552">
        <f>IF(DATOS!$A16552="",0,IF(CONFIG_METADATA!$B$4&lt;&gt;"OR+EX",--(DATOS!$G16552=CONFIG_METADATA!$B$4),IF(DATOS!$G16552="EX",1,IF(DATOS!$G16552="OR",--(COUNTIFS(nNIA,DATOS!$A16552,nCURSO,DATOS!$D16552,nESPEC,DATOS!$E16552,nASIG,DATOS!$I16552,nEVAL,"EX")=0),0))))</f>
      </c>
      <c r="H16552">
        <f>IF(DATOS!$G16552&lt;&gt;"EX",0,--(COUNTIFS(nNIA,DATOS!$A16552,nCURSO,DATOS!$D16552,nESPEC,DATOS!$E16552,nASIG,DATOS!$I16552,nEVAL,"OR")=0))</f>
      </c>
      <c r="I16552">
        <f>IF(DATOS!$I16552="","",IFERROR(VLOOKUP(DATOS!$I16552,CONFIG_ASIGNATURAS!$B$2:$J$91,9,FALSE()),""))</f>
      </c>
    </row>
    <row r="16553">
      <c r="F16553">
        <f>IF(DATOS!$A16553="","",DATOS!$A16553&amp;"|"&amp;DATOS!$D16553&amp;"|"&amp;DATOS!$E16553&amp;"|"&amp;DATOS!$I16553)</f>
      </c>
      <c r="G16553">
        <f>IF(DATOS!$A16553="",0,IF(CONFIG_METADATA!$B$4&lt;&gt;"OR+EX",--(DATOS!$G16553=CONFIG_METADATA!$B$4),IF(DATOS!$G16553="EX",1,IF(DATOS!$G16553="OR",--(COUNTIFS(nNIA,DATOS!$A16553,nCURSO,DATOS!$D16553,nESPEC,DATOS!$E16553,nASIG,DATOS!$I16553,nEVAL,"EX")=0),0))))</f>
      </c>
      <c r="H16553">
        <f>IF(DATOS!$G16553&lt;&gt;"EX",0,--(COUNTIFS(nNIA,DATOS!$A16553,nCURSO,DATOS!$D16553,nESPEC,DATOS!$E16553,nASIG,DATOS!$I16553,nEVAL,"OR")=0))</f>
      </c>
      <c r="I16553">
        <f>IF(DATOS!$I16553="","",IFERROR(VLOOKUP(DATOS!$I16553,CONFIG_ASIGNATURAS!$B$2:$J$91,9,FALSE()),""))</f>
      </c>
    </row>
    <row r="16554">
      <c r="F16554">
        <f>IF(DATOS!$A16554="","",DATOS!$A16554&amp;"|"&amp;DATOS!$D16554&amp;"|"&amp;DATOS!$E16554&amp;"|"&amp;DATOS!$I16554)</f>
      </c>
      <c r="G16554">
        <f>IF(DATOS!$A16554="",0,IF(CONFIG_METADATA!$B$4&lt;&gt;"OR+EX",--(DATOS!$G16554=CONFIG_METADATA!$B$4),IF(DATOS!$G16554="EX",1,IF(DATOS!$G16554="OR",--(COUNTIFS(nNIA,DATOS!$A16554,nCURSO,DATOS!$D16554,nESPEC,DATOS!$E16554,nASIG,DATOS!$I16554,nEVAL,"EX")=0),0))))</f>
      </c>
      <c r="H16554">
        <f>IF(DATOS!$G16554&lt;&gt;"EX",0,--(COUNTIFS(nNIA,DATOS!$A16554,nCURSO,DATOS!$D16554,nESPEC,DATOS!$E16554,nASIG,DATOS!$I16554,nEVAL,"OR")=0))</f>
      </c>
      <c r="I16554">
        <f>IF(DATOS!$I16554="","",IFERROR(VLOOKUP(DATOS!$I16554,CONFIG_ASIGNATURAS!$B$2:$J$91,9,FALSE()),""))</f>
      </c>
    </row>
    <row r="16555">
      <c r="F16555">
        <f>IF(DATOS!$A16555="","",DATOS!$A16555&amp;"|"&amp;DATOS!$D16555&amp;"|"&amp;DATOS!$E16555&amp;"|"&amp;DATOS!$I16555)</f>
      </c>
      <c r="G16555">
        <f>IF(DATOS!$A16555="",0,IF(CONFIG_METADATA!$B$4&lt;&gt;"OR+EX",--(DATOS!$G16555=CONFIG_METADATA!$B$4),IF(DATOS!$G16555="EX",1,IF(DATOS!$G16555="OR",--(COUNTIFS(nNIA,DATOS!$A16555,nCURSO,DATOS!$D16555,nESPEC,DATOS!$E16555,nASIG,DATOS!$I16555,nEVAL,"EX")=0),0))))</f>
      </c>
      <c r="H16555">
        <f>IF(DATOS!$G16555&lt;&gt;"EX",0,--(COUNTIFS(nNIA,DATOS!$A16555,nCURSO,DATOS!$D16555,nESPEC,DATOS!$E16555,nASIG,DATOS!$I16555,nEVAL,"OR")=0))</f>
      </c>
      <c r="I16555">
        <f>IF(DATOS!$I16555="","",IFERROR(VLOOKUP(DATOS!$I16555,CONFIG_ASIGNATURAS!$B$2:$J$91,9,FALSE()),""))</f>
      </c>
    </row>
    <row r="16556">
      <c r="F16556">
        <f>IF(DATOS!$A16556="","",DATOS!$A16556&amp;"|"&amp;DATOS!$D16556&amp;"|"&amp;DATOS!$E16556&amp;"|"&amp;DATOS!$I16556)</f>
      </c>
      <c r="G16556">
        <f>IF(DATOS!$A16556="",0,IF(CONFIG_METADATA!$B$4&lt;&gt;"OR+EX",--(DATOS!$G16556=CONFIG_METADATA!$B$4),IF(DATOS!$G16556="EX",1,IF(DATOS!$G16556="OR",--(COUNTIFS(nNIA,DATOS!$A16556,nCURSO,DATOS!$D16556,nESPEC,DATOS!$E16556,nASIG,DATOS!$I16556,nEVAL,"EX")=0),0))))</f>
      </c>
      <c r="H16556">
        <f>IF(DATOS!$G16556&lt;&gt;"EX",0,--(COUNTIFS(nNIA,DATOS!$A16556,nCURSO,DATOS!$D16556,nESPEC,DATOS!$E16556,nASIG,DATOS!$I16556,nEVAL,"OR")=0))</f>
      </c>
      <c r="I16556">
        <f>IF(DATOS!$I16556="","",IFERROR(VLOOKUP(DATOS!$I16556,CONFIG_ASIGNATURAS!$B$2:$J$91,9,FALSE()),""))</f>
      </c>
    </row>
    <row r="16557">
      <c r="F16557">
        <f>IF(DATOS!$A16557="","",DATOS!$A16557&amp;"|"&amp;DATOS!$D16557&amp;"|"&amp;DATOS!$E16557&amp;"|"&amp;DATOS!$I16557)</f>
      </c>
      <c r="G16557">
        <f>IF(DATOS!$A16557="",0,IF(CONFIG_METADATA!$B$4&lt;&gt;"OR+EX",--(DATOS!$G16557=CONFIG_METADATA!$B$4),IF(DATOS!$G16557="EX",1,IF(DATOS!$G16557="OR",--(COUNTIFS(nNIA,DATOS!$A16557,nCURSO,DATOS!$D16557,nESPEC,DATOS!$E16557,nASIG,DATOS!$I16557,nEVAL,"EX")=0),0))))</f>
      </c>
      <c r="H16557">
        <f>IF(DATOS!$G16557&lt;&gt;"EX",0,--(COUNTIFS(nNIA,DATOS!$A16557,nCURSO,DATOS!$D16557,nESPEC,DATOS!$E16557,nASIG,DATOS!$I16557,nEVAL,"OR")=0))</f>
      </c>
      <c r="I16557">
        <f>IF(DATOS!$I16557="","",IFERROR(VLOOKUP(DATOS!$I16557,CONFIG_ASIGNATURAS!$B$2:$J$91,9,FALSE()),""))</f>
      </c>
    </row>
    <row r="16558">
      <c r="F16558">
        <f>IF(DATOS!$A16558="","",DATOS!$A16558&amp;"|"&amp;DATOS!$D16558&amp;"|"&amp;DATOS!$E16558&amp;"|"&amp;DATOS!$I16558)</f>
      </c>
      <c r="G16558">
        <f>IF(DATOS!$A16558="",0,IF(CONFIG_METADATA!$B$4&lt;&gt;"OR+EX",--(DATOS!$G16558=CONFIG_METADATA!$B$4),IF(DATOS!$G16558="EX",1,IF(DATOS!$G16558="OR",--(COUNTIFS(nNIA,DATOS!$A16558,nCURSO,DATOS!$D16558,nESPEC,DATOS!$E16558,nASIG,DATOS!$I16558,nEVAL,"EX")=0),0))))</f>
      </c>
      <c r="H16558">
        <f>IF(DATOS!$G16558&lt;&gt;"EX",0,--(COUNTIFS(nNIA,DATOS!$A16558,nCURSO,DATOS!$D16558,nESPEC,DATOS!$E16558,nASIG,DATOS!$I16558,nEVAL,"OR")=0))</f>
      </c>
      <c r="I16558">
        <f>IF(DATOS!$I16558="","",IFERROR(VLOOKUP(DATOS!$I16558,CONFIG_ASIGNATURAS!$B$2:$J$91,9,FALSE()),""))</f>
      </c>
    </row>
    <row r="16559">
      <c r="F16559">
        <f>IF(DATOS!$A16559="","",DATOS!$A16559&amp;"|"&amp;DATOS!$D16559&amp;"|"&amp;DATOS!$E16559&amp;"|"&amp;DATOS!$I16559)</f>
      </c>
      <c r="G16559">
        <f>IF(DATOS!$A16559="",0,IF(CONFIG_METADATA!$B$4&lt;&gt;"OR+EX",--(DATOS!$G16559=CONFIG_METADATA!$B$4),IF(DATOS!$G16559="EX",1,IF(DATOS!$G16559="OR",--(COUNTIFS(nNIA,DATOS!$A16559,nCURSO,DATOS!$D16559,nESPEC,DATOS!$E16559,nASIG,DATOS!$I16559,nEVAL,"EX")=0),0))))</f>
      </c>
      <c r="H16559">
        <f>IF(DATOS!$G16559&lt;&gt;"EX",0,--(COUNTIFS(nNIA,DATOS!$A16559,nCURSO,DATOS!$D16559,nESPEC,DATOS!$E16559,nASIG,DATOS!$I16559,nEVAL,"OR")=0))</f>
      </c>
      <c r="I16559">
        <f>IF(DATOS!$I16559="","",IFERROR(VLOOKUP(DATOS!$I16559,CONFIG_ASIGNATURAS!$B$2:$J$91,9,FALSE()),""))</f>
      </c>
    </row>
    <row r="16560">
      <c r="F16560">
        <f>IF(DATOS!$A16560="","",DATOS!$A16560&amp;"|"&amp;DATOS!$D16560&amp;"|"&amp;DATOS!$E16560&amp;"|"&amp;DATOS!$I16560)</f>
      </c>
      <c r="G16560">
        <f>IF(DATOS!$A16560="",0,IF(CONFIG_METADATA!$B$4&lt;&gt;"OR+EX",--(DATOS!$G16560=CONFIG_METADATA!$B$4),IF(DATOS!$G16560="EX",1,IF(DATOS!$G16560="OR",--(COUNTIFS(nNIA,DATOS!$A16560,nCURSO,DATOS!$D16560,nESPEC,DATOS!$E16560,nASIG,DATOS!$I16560,nEVAL,"EX")=0),0))))</f>
      </c>
      <c r="H16560">
        <f>IF(DATOS!$G16560&lt;&gt;"EX",0,--(COUNTIFS(nNIA,DATOS!$A16560,nCURSO,DATOS!$D16560,nESPEC,DATOS!$E16560,nASIG,DATOS!$I16560,nEVAL,"OR")=0))</f>
      </c>
      <c r="I16560">
        <f>IF(DATOS!$I16560="","",IFERROR(VLOOKUP(DATOS!$I16560,CONFIG_ASIGNATURAS!$B$2:$J$91,9,FALSE()),""))</f>
      </c>
    </row>
    <row r="16561">
      <c r="F16561">
        <f>IF(DATOS!$A16561="","",DATOS!$A16561&amp;"|"&amp;DATOS!$D16561&amp;"|"&amp;DATOS!$E16561&amp;"|"&amp;DATOS!$I16561)</f>
      </c>
      <c r="G16561">
        <f>IF(DATOS!$A16561="",0,IF(CONFIG_METADATA!$B$4&lt;&gt;"OR+EX",--(DATOS!$G16561=CONFIG_METADATA!$B$4),IF(DATOS!$G16561="EX",1,IF(DATOS!$G16561="OR",--(COUNTIFS(nNIA,DATOS!$A16561,nCURSO,DATOS!$D16561,nESPEC,DATOS!$E16561,nASIG,DATOS!$I16561,nEVAL,"EX")=0),0))))</f>
      </c>
      <c r="H16561">
        <f>IF(DATOS!$G16561&lt;&gt;"EX",0,--(COUNTIFS(nNIA,DATOS!$A16561,nCURSO,DATOS!$D16561,nESPEC,DATOS!$E16561,nASIG,DATOS!$I16561,nEVAL,"OR")=0))</f>
      </c>
      <c r="I16561">
        <f>IF(DATOS!$I16561="","",IFERROR(VLOOKUP(DATOS!$I16561,CONFIG_ASIGNATURAS!$B$2:$J$91,9,FALSE()),""))</f>
      </c>
    </row>
    <row r="16562">
      <c r="F16562">
        <f>IF(DATOS!$A16562="","",DATOS!$A16562&amp;"|"&amp;DATOS!$D16562&amp;"|"&amp;DATOS!$E16562&amp;"|"&amp;DATOS!$I16562)</f>
      </c>
      <c r="G16562">
        <f>IF(DATOS!$A16562="",0,IF(CONFIG_METADATA!$B$4&lt;&gt;"OR+EX",--(DATOS!$G16562=CONFIG_METADATA!$B$4),IF(DATOS!$G16562="EX",1,IF(DATOS!$G16562="OR",--(COUNTIFS(nNIA,DATOS!$A16562,nCURSO,DATOS!$D16562,nESPEC,DATOS!$E16562,nASIG,DATOS!$I16562,nEVAL,"EX")=0),0))))</f>
      </c>
      <c r="H16562">
        <f>IF(DATOS!$G16562&lt;&gt;"EX",0,--(COUNTIFS(nNIA,DATOS!$A16562,nCURSO,DATOS!$D16562,nESPEC,DATOS!$E16562,nASIG,DATOS!$I16562,nEVAL,"OR")=0))</f>
      </c>
      <c r="I16562">
        <f>IF(DATOS!$I16562="","",IFERROR(VLOOKUP(DATOS!$I16562,CONFIG_ASIGNATURAS!$B$2:$J$91,9,FALSE()),""))</f>
      </c>
    </row>
    <row r="16563">
      <c r="F16563">
        <f>IF(DATOS!$A16563="","",DATOS!$A16563&amp;"|"&amp;DATOS!$D16563&amp;"|"&amp;DATOS!$E16563&amp;"|"&amp;DATOS!$I16563)</f>
      </c>
      <c r="G16563">
        <f>IF(DATOS!$A16563="",0,IF(CONFIG_METADATA!$B$4&lt;&gt;"OR+EX",--(DATOS!$G16563=CONFIG_METADATA!$B$4),IF(DATOS!$G16563="EX",1,IF(DATOS!$G16563="OR",--(COUNTIFS(nNIA,DATOS!$A16563,nCURSO,DATOS!$D16563,nESPEC,DATOS!$E16563,nASIG,DATOS!$I16563,nEVAL,"EX")=0),0))))</f>
      </c>
      <c r="H16563">
        <f>IF(DATOS!$G16563&lt;&gt;"EX",0,--(COUNTIFS(nNIA,DATOS!$A16563,nCURSO,DATOS!$D16563,nESPEC,DATOS!$E16563,nASIG,DATOS!$I16563,nEVAL,"OR")=0))</f>
      </c>
      <c r="I16563">
        <f>IF(DATOS!$I16563="","",IFERROR(VLOOKUP(DATOS!$I16563,CONFIG_ASIGNATURAS!$B$2:$J$91,9,FALSE()),""))</f>
      </c>
    </row>
    <row r="16564">
      <c r="F16564">
        <f>IF(DATOS!$A16564="","",DATOS!$A16564&amp;"|"&amp;DATOS!$D16564&amp;"|"&amp;DATOS!$E16564&amp;"|"&amp;DATOS!$I16564)</f>
      </c>
      <c r="G16564">
        <f>IF(DATOS!$A16564="",0,IF(CONFIG_METADATA!$B$4&lt;&gt;"OR+EX",--(DATOS!$G16564=CONFIG_METADATA!$B$4),IF(DATOS!$G16564="EX",1,IF(DATOS!$G16564="OR",--(COUNTIFS(nNIA,DATOS!$A16564,nCURSO,DATOS!$D16564,nESPEC,DATOS!$E16564,nASIG,DATOS!$I16564,nEVAL,"EX")=0),0))))</f>
      </c>
      <c r="H16564">
        <f>IF(DATOS!$G16564&lt;&gt;"EX",0,--(COUNTIFS(nNIA,DATOS!$A16564,nCURSO,DATOS!$D16564,nESPEC,DATOS!$E16564,nASIG,DATOS!$I16564,nEVAL,"OR")=0))</f>
      </c>
      <c r="I16564">
        <f>IF(DATOS!$I16564="","",IFERROR(VLOOKUP(DATOS!$I16564,CONFIG_ASIGNATURAS!$B$2:$J$91,9,FALSE()),""))</f>
      </c>
    </row>
    <row r="16565">
      <c r="F16565">
        <f>IF(DATOS!$A16565="","",DATOS!$A16565&amp;"|"&amp;DATOS!$D16565&amp;"|"&amp;DATOS!$E16565&amp;"|"&amp;DATOS!$I16565)</f>
      </c>
      <c r="G16565">
        <f>IF(DATOS!$A16565="",0,IF(CONFIG_METADATA!$B$4&lt;&gt;"OR+EX",--(DATOS!$G16565=CONFIG_METADATA!$B$4),IF(DATOS!$G16565="EX",1,IF(DATOS!$G16565="OR",--(COUNTIFS(nNIA,DATOS!$A16565,nCURSO,DATOS!$D16565,nESPEC,DATOS!$E16565,nASIG,DATOS!$I16565,nEVAL,"EX")=0),0))))</f>
      </c>
      <c r="H16565">
        <f>IF(DATOS!$G16565&lt;&gt;"EX",0,--(COUNTIFS(nNIA,DATOS!$A16565,nCURSO,DATOS!$D16565,nESPEC,DATOS!$E16565,nASIG,DATOS!$I16565,nEVAL,"OR")=0))</f>
      </c>
      <c r="I16565">
        <f>IF(DATOS!$I16565="","",IFERROR(VLOOKUP(DATOS!$I16565,CONFIG_ASIGNATURAS!$B$2:$J$91,9,FALSE()),""))</f>
      </c>
    </row>
    <row r="16566">
      <c r="F16566">
        <f>IF(DATOS!$A16566="","",DATOS!$A16566&amp;"|"&amp;DATOS!$D16566&amp;"|"&amp;DATOS!$E16566&amp;"|"&amp;DATOS!$I16566)</f>
      </c>
      <c r="G16566">
        <f>IF(DATOS!$A16566="",0,IF(CONFIG_METADATA!$B$4&lt;&gt;"OR+EX",--(DATOS!$G16566=CONFIG_METADATA!$B$4),IF(DATOS!$G16566="EX",1,IF(DATOS!$G16566="OR",--(COUNTIFS(nNIA,DATOS!$A16566,nCURSO,DATOS!$D16566,nESPEC,DATOS!$E16566,nASIG,DATOS!$I16566,nEVAL,"EX")=0),0))))</f>
      </c>
      <c r="H16566">
        <f>IF(DATOS!$G16566&lt;&gt;"EX",0,--(COUNTIFS(nNIA,DATOS!$A16566,nCURSO,DATOS!$D16566,nESPEC,DATOS!$E16566,nASIG,DATOS!$I16566,nEVAL,"OR")=0))</f>
      </c>
      <c r="I16566">
        <f>IF(DATOS!$I16566="","",IFERROR(VLOOKUP(DATOS!$I16566,CONFIG_ASIGNATURAS!$B$2:$J$91,9,FALSE()),""))</f>
      </c>
    </row>
    <row r="16567">
      <c r="F16567">
        <f>IF(DATOS!$A16567="","",DATOS!$A16567&amp;"|"&amp;DATOS!$D16567&amp;"|"&amp;DATOS!$E16567&amp;"|"&amp;DATOS!$I16567)</f>
      </c>
      <c r="G16567">
        <f>IF(DATOS!$A16567="",0,IF(CONFIG_METADATA!$B$4&lt;&gt;"OR+EX",--(DATOS!$G16567=CONFIG_METADATA!$B$4),IF(DATOS!$G16567="EX",1,IF(DATOS!$G16567="OR",--(COUNTIFS(nNIA,DATOS!$A16567,nCURSO,DATOS!$D16567,nESPEC,DATOS!$E16567,nASIG,DATOS!$I16567,nEVAL,"EX")=0),0))))</f>
      </c>
      <c r="H16567">
        <f>IF(DATOS!$G16567&lt;&gt;"EX",0,--(COUNTIFS(nNIA,DATOS!$A16567,nCURSO,DATOS!$D16567,nESPEC,DATOS!$E16567,nASIG,DATOS!$I16567,nEVAL,"OR")=0))</f>
      </c>
      <c r="I16567">
        <f>IF(DATOS!$I16567="","",IFERROR(VLOOKUP(DATOS!$I16567,CONFIG_ASIGNATURAS!$B$2:$J$91,9,FALSE()),""))</f>
      </c>
    </row>
    <row r="16568">
      <c r="F16568">
        <f>IF(DATOS!$A16568="","",DATOS!$A16568&amp;"|"&amp;DATOS!$D16568&amp;"|"&amp;DATOS!$E16568&amp;"|"&amp;DATOS!$I16568)</f>
      </c>
      <c r="G16568">
        <f>IF(DATOS!$A16568="",0,IF(CONFIG_METADATA!$B$4&lt;&gt;"OR+EX",--(DATOS!$G16568=CONFIG_METADATA!$B$4),IF(DATOS!$G16568="EX",1,IF(DATOS!$G16568="OR",--(COUNTIFS(nNIA,DATOS!$A16568,nCURSO,DATOS!$D16568,nESPEC,DATOS!$E16568,nASIG,DATOS!$I16568,nEVAL,"EX")=0),0))))</f>
      </c>
      <c r="H16568">
        <f>IF(DATOS!$G16568&lt;&gt;"EX",0,--(COUNTIFS(nNIA,DATOS!$A16568,nCURSO,DATOS!$D16568,nESPEC,DATOS!$E16568,nASIG,DATOS!$I16568,nEVAL,"OR")=0))</f>
      </c>
      <c r="I16568">
        <f>IF(DATOS!$I16568="","",IFERROR(VLOOKUP(DATOS!$I16568,CONFIG_ASIGNATURAS!$B$2:$J$91,9,FALSE()),""))</f>
      </c>
    </row>
    <row r="16569">
      <c r="F16569">
        <f>IF(DATOS!$A16569="","",DATOS!$A16569&amp;"|"&amp;DATOS!$D16569&amp;"|"&amp;DATOS!$E16569&amp;"|"&amp;DATOS!$I16569)</f>
      </c>
      <c r="G16569">
        <f>IF(DATOS!$A16569="",0,IF(CONFIG_METADATA!$B$4&lt;&gt;"OR+EX",--(DATOS!$G16569=CONFIG_METADATA!$B$4),IF(DATOS!$G16569="EX",1,IF(DATOS!$G16569="OR",--(COUNTIFS(nNIA,DATOS!$A16569,nCURSO,DATOS!$D16569,nESPEC,DATOS!$E16569,nASIG,DATOS!$I16569,nEVAL,"EX")=0),0))))</f>
      </c>
      <c r="H16569">
        <f>IF(DATOS!$G16569&lt;&gt;"EX",0,--(COUNTIFS(nNIA,DATOS!$A16569,nCURSO,DATOS!$D16569,nESPEC,DATOS!$E16569,nASIG,DATOS!$I16569,nEVAL,"OR")=0))</f>
      </c>
      <c r="I16569">
        <f>IF(DATOS!$I16569="","",IFERROR(VLOOKUP(DATOS!$I16569,CONFIG_ASIGNATURAS!$B$2:$J$91,9,FALSE()),""))</f>
      </c>
    </row>
    <row r="16570">
      <c r="F16570">
        <f>IF(DATOS!$A16570="","",DATOS!$A16570&amp;"|"&amp;DATOS!$D16570&amp;"|"&amp;DATOS!$E16570&amp;"|"&amp;DATOS!$I16570)</f>
      </c>
      <c r="G16570">
        <f>IF(DATOS!$A16570="",0,IF(CONFIG_METADATA!$B$4&lt;&gt;"OR+EX",--(DATOS!$G16570=CONFIG_METADATA!$B$4),IF(DATOS!$G16570="EX",1,IF(DATOS!$G16570="OR",--(COUNTIFS(nNIA,DATOS!$A16570,nCURSO,DATOS!$D16570,nESPEC,DATOS!$E16570,nASIG,DATOS!$I16570,nEVAL,"EX")=0),0))))</f>
      </c>
      <c r="H16570">
        <f>IF(DATOS!$G16570&lt;&gt;"EX",0,--(COUNTIFS(nNIA,DATOS!$A16570,nCURSO,DATOS!$D16570,nESPEC,DATOS!$E16570,nASIG,DATOS!$I16570,nEVAL,"OR")=0))</f>
      </c>
      <c r="I16570">
        <f>IF(DATOS!$I16570="","",IFERROR(VLOOKUP(DATOS!$I16570,CONFIG_ASIGNATURAS!$B$2:$J$91,9,FALSE()),""))</f>
      </c>
    </row>
    <row r="16571">
      <c r="F16571">
        <f>IF(DATOS!$A16571="","",DATOS!$A16571&amp;"|"&amp;DATOS!$D16571&amp;"|"&amp;DATOS!$E16571&amp;"|"&amp;DATOS!$I16571)</f>
      </c>
      <c r="G16571">
        <f>IF(DATOS!$A16571="",0,IF(CONFIG_METADATA!$B$4&lt;&gt;"OR+EX",--(DATOS!$G16571=CONFIG_METADATA!$B$4),IF(DATOS!$G16571="EX",1,IF(DATOS!$G16571="OR",--(COUNTIFS(nNIA,DATOS!$A16571,nCURSO,DATOS!$D16571,nESPEC,DATOS!$E16571,nASIG,DATOS!$I16571,nEVAL,"EX")=0),0))))</f>
      </c>
      <c r="H16571">
        <f>IF(DATOS!$G16571&lt;&gt;"EX",0,--(COUNTIFS(nNIA,DATOS!$A16571,nCURSO,DATOS!$D16571,nESPEC,DATOS!$E16571,nASIG,DATOS!$I16571,nEVAL,"OR")=0))</f>
      </c>
      <c r="I16571">
        <f>IF(DATOS!$I16571="","",IFERROR(VLOOKUP(DATOS!$I16571,CONFIG_ASIGNATURAS!$B$2:$J$91,9,FALSE()),""))</f>
      </c>
    </row>
    <row r="16572">
      <c r="F16572">
        <f>IF(DATOS!$A16572="","",DATOS!$A16572&amp;"|"&amp;DATOS!$D16572&amp;"|"&amp;DATOS!$E16572&amp;"|"&amp;DATOS!$I16572)</f>
      </c>
      <c r="G16572">
        <f>IF(DATOS!$A16572="",0,IF(CONFIG_METADATA!$B$4&lt;&gt;"OR+EX",--(DATOS!$G16572=CONFIG_METADATA!$B$4),IF(DATOS!$G16572="EX",1,IF(DATOS!$G16572="OR",--(COUNTIFS(nNIA,DATOS!$A16572,nCURSO,DATOS!$D16572,nESPEC,DATOS!$E16572,nASIG,DATOS!$I16572,nEVAL,"EX")=0),0))))</f>
      </c>
      <c r="H16572">
        <f>IF(DATOS!$G16572&lt;&gt;"EX",0,--(COUNTIFS(nNIA,DATOS!$A16572,nCURSO,DATOS!$D16572,nESPEC,DATOS!$E16572,nASIG,DATOS!$I16572,nEVAL,"OR")=0))</f>
      </c>
      <c r="I16572">
        <f>IF(DATOS!$I16572="","",IFERROR(VLOOKUP(DATOS!$I16572,CONFIG_ASIGNATURAS!$B$2:$J$91,9,FALSE()),""))</f>
      </c>
    </row>
    <row r="16573">
      <c r="F16573">
        <f>IF(DATOS!$A16573="","",DATOS!$A16573&amp;"|"&amp;DATOS!$D16573&amp;"|"&amp;DATOS!$E16573&amp;"|"&amp;DATOS!$I16573)</f>
      </c>
      <c r="G16573">
        <f>IF(DATOS!$A16573="",0,IF(CONFIG_METADATA!$B$4&lt;&gt;"OR+EX",--(DATOS!$G16573=CONFIG_METADATA!$B$4),IF(DATOS!$G16573="EX",1,IF(DATOS!$G16573="OR",--(COUNTIFS(nNIA,DATOS!$A16573,nCURSO,DATOS!$D16573,nESPEC,DATOS!$E16573,nASIG,DATOS!$I16573,nEVAL,"EX")=0),0))))</f>
      </c>
      <c r="H16573">
        <f>IF(DATOS!$G16573&lt;&gt;"EX",0,--(COUNTIFS(nNIA,DATOS!$A16573,nCURSO,DATOS!$D16573,nESPEC,DATOS!$E16573,nASIG,DATOS!$I16573,nEVAL,"OR")=0))</f>
      </c>
      <c r="I16573">
        <f>IF(DATOS!$I16573="","",IFERROR(VLOOKUP(DATOS!$I16573,CONFIG_ASIGNATURAS!$B$2:$J$91,9,FALSE()),""))</f>
      </c>
    </row>
    <row r="16574">
      <c r="F16574">
        <f>IF(DATOS!$A16574="","",DATOS!$A16574&amp;"|"&amp;DATOS!$D16574&amp;"|"&amp;DATOS!$E16574&amp;"|"&amp;DATOS!$I16574)</f>
      </c>
      <c r="G16574">
        <f>IF(DATOS!$A16574="",0,IF(CONFIG_METADATA!$B$4&lt;&gt;"OR+EX",--(DATOS!$G16574=CONFIG_METADATA!$B$4),IF(DATOS!$G16574="EX",1,IF(DATOS!$G16574="OR",--(COUNTIFS(nNIA,DATOS!$A16574,nCURSO,DATOS!$D16574,nESPEC,DATOS!$E16574,nASIG,DATOS!$I16574,nEVAL,"EX")=0),0))))</f>
      </c>
      <c r="H16574">
        <f>IF(DATOS!$G16574&lt;&gt;"EX",0,--(COUNTIFS(nNIA,DATOS!$A16574,nCURSO,DATOS!$D16574,nESPEC,DATOS!$E16574,nASIG,DATOS!$I16574,nEVAL,"OR")=0))</f>
      </c>
      <c r="I16574">
        <f>IF(DATOS!$I16574="","",IFERROR(VLOOKUP(DATOS!$I16574,CONFIG_ASIGNATURAS!$B$2:$J$91,9,FALSE()),""))</f>
      </c>
    </row>
    <row r="16575">
      <c r="F16575">
        <f>IF(DATOS!$A16575="","",DATOS!$A16575&amp;"|"&amp;DATOS!$D16575&amp;"|"&amp;DATOS!$E16575&amp;"|"&amp;DATOS!$I16575)</f>
      </c>
      <c r="G16575">
        <f>IF(DATOS!$A16575="",0,IF(CONFIG_METADATA!$B$4&lt;&gt;"OR+EX",--(DATOS!$G16575=CONFIG_METADATA!$B$4),IF(DATOS!$G16575="EX",1,IF(DATOS!$G16575="OR",--(COUNTIFS(nNIA,DATOS!$A16575,nCURSO,DATOS!$D16575,nESPEC,DATOS!$E16575,nASIG,DATOS!$I16575,nEVAL,"EX")=0),0))))</f>
      </c>
      <c r="H16575">
        <f>IF(DATOS!$G16575&lt;&gt;"EX",0,--(COUNTIFS(nNIA,DATOS!$A16575,nCURSO,DATOS!$D16575,nESPEC,DATOS!$E16575,nASIG,DATOS!$I16575,nEVAL,"OR")=0))</f>
      </c>
      <c r="I16575">
        <f>IF(DATOS!$I16575="","",IFERROR(VLOOKUP(DATOS!$I16575,CONFIG_ASIGNATURAS!$B$2:$J$91,9,FALSE()),""))</f>
      </c>
    </row>
    <row r="16576">
      <c r="F16576">
        <f>IF(DATOS!$A16576="","",DATOS!$A16576&amp;"|"&amp;DATOS!$D16576&amp;"|"&amp;DATOS!$E16576&amp;"|"&amp;DATOS!$I16576)</f>
      </c>
      <c r="G16576">
        <f>IF(DATOS!$A16576="",0,IF(CONFIG_METADATA!$B$4&lt;&gt;"OR+EX",--(DATOS!$G16576=CONFIG_METADATA!$B$4),IF(DATOS!$G16576="EX",1,IF(DATOS!$G16576="OR",--(COUNTIFS(nNIA,DATOS!$A16576,nCURSO,DATOS!$D16576,nESPEC,DATOS!$E16576,nASIG,DATOS!$I16576,nEVAL,"EX")=0),0))))</f>
      </c>
      <c r="H16576">
        <f>IF(DATOS!$G16576&lt;&gt;"EX",0,--(COUNTIFS(nNIA,DATOS!$A16576,nCURSO,DATOS!$D16576,nESPEC,DATOS!$E16576,nASIG,DATOS!$I16576,nEVAL,"OR")=0))</f>
      </c>
      <c r="I16576">
        <f>IF(DATOS!$I16576="","",IFERROR(VLOOKUP(DATOS!$I16576,CONFIG_ASIGNATURAS!$B$2:$J$91,9,FALSE()),""))</f>
      </c>
    </row>
    <row r="16577">
      <c r="F16577">
        <f>IF(DATOS!$A16577="","",DATOS!$A16577&amp;"|"&amp;DATOS!$D16577&amp;"|"&amp;DATOS!$E16577&amp;"|"&amp;DATOS!$I16577)</f>
      </c>
      <c r="G16577">
        <f>IF(DATOS!$A16577="",0,IF(CONFIG_METADATA!$B$4&lt;&gt;"OR+EX",--(DATOS!$G16577=CONFIG_METADATA!$B$4),IF(DATOS!$G16577="EX",1,IF(DATOS!$G16577="OR",--(COUNTIFS(nNIA,DATOS!$A16577,nCURSO,DATOS!$D16577,nESPEC,DATOS!$E16577,nASIG,DATOS!$I16577,nEVAL,"EX")=0),0))))</f>
      </c>
      <c r="H16577">
        <f>IF(DATOS!$G16577&lt;&gt;"EX",0,--(COUNTIFS(nNIA,DATOS!$A16577,nCURSO,DATOS!$D16577,nESPEC,DATOS!$E16577,nASIG,DATOS!$I16577,nEVAL,"OR")=0))</f>
      </c>
      <c r="I16577">
        <f>IF(DATOS!$I16577="","",IFERROR(VLOOKUP(DATOS!$I16577,CONFIG_ASIGNATURAS!$B$2:$J$91,9,FALSE()),""))</f>
      </c>
    </row>
    <row r="16578">
      <c r="F16578">
        <f>IF(DATOS!$A16578="","",DATOS!$A16578&amp;"|"&amp;DATOS!$D16578&amp;"|"&amp;DATOS!$E16578&amp;"|"&amp;DATOS!$I16578)</f>
      </c>
      <c r="G16578">
        <f>IF(DATOS!$A16578="",0,IF(CONFIG_METADATA!$B$4&lt;&gt;"OR+EX",--(DATOS!$G16578=CONFIG_METADATA!$B$4),IF(DATOS!$G16578="EX",1,IF(DATOS!$G16578="OR",--(COUNTIFS(nNIA,DATOS!$A16578,nCURSO,DATOS!$D16578,nESPEC,DATOS!$E16578,nASIG,DATOS!$I16578,nEVAL,"EX")=0),0))))</f>
      </c>
      <c r="H16578">
        <f>IF(DATOS!$G16578&lt;&gt;"EX",0,--(COUNTIFS(nNIA,DATOS!$A16578,nCURSO,DATOS!$D16578,nESPEC,DATOS!$E16578,nASIG,DATOS!$I16578,nEVAL,"OR")=0))</f>
      </c>
      <c r="I16578">
        <f>IF(DATOS!$I16578="","",IFERROR(VLOOKUP(DATOS!$I16578,CONFIG_ASIGNATURAS!$B$2:$J$91,9,FALSE()),""))</f>
      </c>
    </row>
    <row r="16579">
      <c r="F16579">
        <f>IF(DATOS!$A16579="","",DATOS!$A16579&amp;"|"&amp;DATOS!$D16579&amp;"|"&amp;DATOS!$E16579&amp;"|"&amp;DATOS!$I16579)</f>
      </c>
      <c r="G16579">
        <f>IF(DATOS!$A16579="",0,IF(CONFIG_METADATA!$B$4&lt;&gt;"OR+EX",--(DATOS!$G16579=CONFIG_METADATA!$B$4),IF(DATOS!$G16579="EX",1,IF(DATOS!$G16579="OR",--(COUNTIFS(nNIA,DATOS!$A16579,nCURSO,DATOS!$D16579,nESPEC,DATOS!$E16579,nASIG,DATOS!$I16579,nEVAL,"EX")=0),0))))</f>
      </c>
      <c r="H16579">
        <f>IF(DATOS!$G16579&lt;&gt;"EX",0,--(COUNTIFS(nNIA,DATOS!$A16579,nCURSO,DATOS!$D16579,nESPEC,DATOS!$E16579,nASIG,DATOS!$I16579,nEVAL,"OR")=0))</f>
      </c>
      <c r="I16579">
        <f>IF(DATOS!$I16579="","",IFERROR(VLOOKUP(DATOS!$I16579,CONFIG_ASIGNATURAS!$B$2:$J$91,9,FALSE()),""))</f>
      </c>
    </row>
    <row r="16580">
      <c r="F16580">
        <f>IF(DATOS!$A16580="","",DATOS!$A16580&amp;"|"&amp;DATOS!$D16580&amp;"|"&amp;DATOS!$E16580&amp;"|"&amp;DATOS!$I16580)</f>
      </c>
      <c r="G16580">
        <f>IF(DATOS!$A16580="",0,IF(CONFIG_METADATA!$B$4&lt;&gt;"OR+EX",--(DATOS!$G16580=CONFIG_METADATA!$B$4),IF(DATOS!$G16580="EX",1,IF(DATOS!$G16580="OR",--(COUNTIFS(nNIA,DATOS!$A16580,nCURSO,DATOS!$D16580,nESPEC,DATOS!$E16580,nASIG,DATOS!$I16580,nEVAL,"EX")=0),0))))</f>
      </c>
      <c r="H16580">
        <f>IF(DATOS!$G16580&lt;&gt;"EX",0,--(COUNTIFS(nNIA,DATOS!$A16580,nCURSO,DATOS!$D16580,nESPEC,DATOS!$E16580,nASIG,DATOS!$I16580,nEVAL,"OR")=0))</f>
      </c>
      <c r="I16580">
        <f>IF(DATOS!$I16580="","",IFERROR(VLOOKUP(DATOS!$I16580,CONFIG_ASIGNATURAS!$B$2:$J$91,9,FALSE()),""))</f>
      </c>
    </row>
    <row r="16581">
      <c r="F16581">
        <f>IF(DATOS!$A16581="","",DATOS!$A16581&amp;"|"&amp;DATOS!$D16581&amp;"|"&amp;DATOS!$E16581&amp;"|"&amp;DATOS!$I16581)</f>
      </c>
      <c r="G16581">
        <f>IF(DATOS!$A16581="",0,IF(CONFIG_METADATA!$B$4&lt;&gt;"OR+EX",--(DATOS!$G16581=CONFIG_METADATA!$B$4),IF(DATOS!$G16581="EX",1,IF(DATOS!$G16581="OR",--(COUNTIFS(nNIA,DATOS!$A16581,nCURSO,DATOS!$D16581,nESPEC,DATOS!$E16581,nASIG,DATOS!$I16581,nEVAL,"EX")=0),0))))</f>
      </c>
      <c r="H16581">
        <f>IF(DATOS!$G16581&lt;&gt;"EX",0,--(COUNTIFS(nNIA,DATOS!$A16581,nCURSO,DATOS!$D16581,nESPEC,DATOS!$E16581,nASIG,DATOS!$I16581,nEVAL,"OR")=0))</f>
      </c>
      <c r="I16581">
        <f>IF(DATOS!$I16581="","",IFERROR(VLOOKUP(DATOS!$I16581,CONFIG_ASIGNATURAS!$B$2:$J$91,9,FALSE()),""))</f>
      </c>
    </row>
    <row r="16582">
      <c r="F16582">
        <f>IF(DATOS!$A16582="","",DATOS!$A16582&amp;"|"&amp;DATOS!$D16582&amp;"|"&amp;DATOS!$E16582&amp;"|"&amp;DATOS!$I16582)</f>
      </c>
      <c r="G16582">
        <f>IF(DATOS!$A16582="",0,IF(CONFIG_METADATA!$B$4&lt;&gt;"OR+EX",--(DATOS!$G16582=CONFIG_METADATA!$B$4),IF(DATOS!$G16582="EX",1,IF(DATOS!$G16582="OR",--(COUNTIFS(nNIA,DATOS!$A16582,nCURSO,DATOS!$D16582,nESPEC,DATOS!$E16582,nASIG,DATOS!$I16582,nEVAL,"EX")=0),0))))</f>
      </c>
      <c r="H16582">
        <f>IF(DATOS!$G16582&lt;&gt;"EX",0,--(COUNTIFS(nNIA,DATOS!$A16582,nCURSO,DATOS!$D16582,nESPEC,DATOS!$E16582,nASIG,DATOS!$I16582,nEVAL,"OR")=0))</f>
      </c>
      <c r="I16582">
        <f>IF(DATOS!$I16582="","",IFERROR(VLOOKUP(DATOS!$I16582,CONFIG_ASIGNATURAS!$B$2:$J$91,9,FALSE()),""))</f>
      </c>
    </row>
    <row r="16583">
      <c r="F16583">
        <f>IF(DATOS!$A16583="","",DATOS!$A16583&amp;"|"&amp;DATOS!$D16583&amp;"|"&amp;DATOS!$E16583&amp;"|"&amp;DATOS!$I16583)</f>
      </c>
      <c r="G16583">
        <f>IF(DATOS!$A16583="",0,IF(CONFIG_METADATA!$B$4&lt;&gt;"OR+EX",--(DATOS!$G16583=CONFIG_METADATA!$B$4),IF(DATOS!$G16583="EX",1,IF(DATOS!$G16583="OR",--(COUNTIFS(nNIA,DATOS!$A16583,nCURSO,DATOS!$D16583,nESPEC,DATOS!$E16583,nASIG,DATOS!$I16583,nEVAL,"EX")=0),0))))</f>
      </c>
      <c r="H16583">
        <f>IF(DATOS!$G16583&lt;&gt;"EX",0,--(COUNTIFS(nNIA,DATOS!$A16583,nCURSO,DATOS!$D16583,nESPEC,DATOS!$E16583,nASIG,DATOS!$I16583,nEVAL,"OR")=0))</f>
      </c>
      <c r="I16583">
        <f>IF(DATOS!$I16583="","",IFERROR(VLOOKUP(DATOS!$I16583,CONFIG_ASIGNATURAS!$B$2:$J$91,9,FALSE()),""))</f>
      </c>
    </row>
    <row r="16584">
      <c r="F16584">
        <f>IF(DATOS!$A16584="","",DATOS!$A16584&amp;"|"&amp;DATOS!$D16584&amp;"|"&amp;DATOS!$E16584&amp;"|"&amp;DATOS!$I16584)</f>
      </c>
      <c r="G16584">
        <f>IF(DATOS!$A16584="",0,IF(CONFIG_METADATA!$B$4&lt;&gt;"OR+EX",--(DATOS!$G16584=CONFIG_METADATA!$B$4),IF(DATOS!$G16584="EX",1,IF(DATOS!$G16584="OR",--(COUNTIFS(nNIA,DATOS!$A16584,nCURSO,DATOS!$D16584,nESPEC,DATOS!$E16584,nASIG,DATOS!$I16584,nEVAL,"EX")=0),0))))</f>
      </c>
      <c r="H16584">
        <f>IF(DATOS!$G16584&lt;&gt;"EX",0,--(COUNTIFS(nNIA,DATOS!$A16584,nCURSO,DATOS!$D16584,nESPEC,DATOS!$E16584,nASIG,DATOS!$I16584,nEVAL,"OR")=0))</f>
      </c>
      <c r="I16584">
        <f>IF(DATOS!$I16584="","",IFERROR(VLOOKUP(DATOS!$I16584,CONFIG_ASIGNATURAS!$B$2:$J$91,9,FALSE()),""))</f>
      </c>
    </row>
    <row r="16585">
      <c r="F16585">
        <f>IF(DATOS!$A16585="","",DATOS!$A16585&amp;"|"&amp;DATOS!$D16585&amp;"|"&amp;DATOS!$E16585&amp;"|"&amp;DATOS!$I16585)</f>
      </c>
      <c r="G16585">
        <f>IF(DATOS!$A16585="",0,IF(CONFIG_METADATA!$B$4&lt;&gt;"OR+EX",--(DATOS!$G16585=CONFIG_METADATA!$B$4),IF(DATOS!$G16585="EX",1,IF(DATOS!$G16585="OR",--(COUNTIFS(nNIA,DATOS!$A16585,nCURSO,DATOS!$D16585,nESPEC,DATOS!$E16585,nASIG,DATOS!$I16585,nEVAL,"EX")=0),0))))</f>
      </c>
      <c r="H16585">
        <f>IF(DATOS!$G16585&lt;&gt;"EX",0,--(COUNTIFS(nNIA,DATOS!$A16585,nCURSO,DATOS!$D16585,nESPEC,DATOS!$E16585,nASIG,DATOS!$I16585,nEVAL,"OR")=0))</f>
      </c>
      <c r="I16585">
        <f>IF(DATOS!$I16585="","",IFERROR(VLOOKUP(DATOS!$I16585,CONFIG_ASIGNATURAS!$B$2:$J$91,9,FALSE()),""))</f>
      </c>
    </row>
    <row r="16586">
      <c r="F16586">
        <f>IF(DATOS!$A16586="","",DATOS!$A16586&amp;"|"&amp;DATOS!$D16586&amp;"|"&amp;DATOS!$E16586&amp;"|"&amp;DATOS!$I16586)</f>
      </c>
      <c r="G16586">
        <f>IF(DATOS!$A16586="",0,IF(CONFIG_METADATA!$B$4&lt;&gt;"OR+EX",--(DATOS!$G16586=CONFIG_METADATA!$B$4),IF(DATOS!$G16586="EX",1,IF(DATOS!$G16586="OR",--(COUNTIFS(nNIA,DATOS!$A16586,nCURSO,DATOS!$D16586,nESPEC,DATOS!$E16586,nASIG,DATOS!$I16586,nEVAL,"EX")=0),0))))</f>
      </c>
      <c r="H16586">
        <f>IF(DATOS!$G16586&lt;&gt;"EX",0,--(COUNTIFS(nNIA,DATOS!$A16586,nCURSO,DATOS!$D16586,nESPEC,DATOS!$E16586,nASIG,DATOS!$I16586,nEVAL,"OR")=0))</f>
      </c>
      <c r="I16586">
        <f>IF(DATOS!$I16586="","",IFERROR(VLOOKUP(DATOS!$I16586,CONFIG_ASIGNATURAS!$B$2:$J$91,9,FALSE()),""))</f>
      </c>
    </row>
    <row r="16587">
      <c r="F16587">
        <f>IF(DATOS!$A16587="","",DATOS!$A16587&amp;"|"&amp;DATOS!$D16587&amp;"|"&amp;DATOS!$E16587&amp;"|"&amp;DATOS!$I16587)</f>
      </c>
      <c r="G16587">
        <f>IF(DATOS!$A16587="",0,IF(CONFIG_METADATA!$B$4&lt;&gt;"OR+EX",--(DATOS!$G16587=CONFIG_METADATA!$B$4),IF(DATOS!$G16587="EX",1,IF(DATOS!$G16587="OR",--(COUNTIFS(nNIA,DATOS!$A16587,nCURSO,DATOS!$D16587,nESPEC,DATOS!$E16587,nASIG,DATOS!$I16587,nEVAL,"EX")=0),0))))</f>
      </c>
      <c r="H16587">
        <f>IF(DATOS!$G16587&lt;&gt;"EX",0,--(COUNTIFS(nNIA,DATOS!$A16587,nCURSO,DATOS!$D16587,nESPEC,DATOS!$E16587,nASIG,DATOS!$I16587,nEVAL,"OR")=0))</f>
      </c>
      <c r="I16587">
        <f>IF(DATOS!$I16587="","",IFERROR(VLOOKUP(DATOS!$I16587,CONFIG_ASIGNATURAS!$B$2:$J$91,9,FALSE()),""))</f>
      </c>
    </row>
    <row r="16588">
      <c r="F16588">
        <f>IF(DATOS!$A16588="","",DATOS!$A16588&amp;"|"&amp;DATOS!$D16588&amp;"|"&amp;DATOS!$E16588&amp;"|"&amp;DATOS!$I16588)</f>
      </c>
      <c r="G16588">
        <f>IF(DATOS!$A16588="",0,IF(CONFIG_METADATA!$B$4&lt;&gt;"OR+EX",--(DATOS!$G16588=CONFIG_METADATA!$B$4),IF(DATOS!$G16588="EX",1,IF(DATOS!$G16588="OR",--(COUNTIFS(nNIA,DATOS!$A16588,nCURSO,DATOS!$D16588,nESPEC,DATOS!$E16588,nASIG,DATOS!$I16588,nEVAL,"EX")=0),0))))</f>
      </c>
      <c r="H16588">
        <f>IF(DATOS!$G16588&lt;&gt;"EX",0,--(COUNTIFS(nNIA,DATOS!$A16588,nCURSO,DATOS!$D16588,nESPEC,DATOS!$E16588,nASIG,DATOS!$I16588,nEVAL,"OR")=0))</f>
      </c>
      <c r="I16588">
        <f>IF(DATOS!$I16588="","",IFERROR(VLOOKUP(DATOS!$I16588,CONFIG_ASIGNATURAS!$B$2:$J$91,9,FALSE()),""))</f>
      </c>
    </row>
    <row r="16589">
      <c r="F16589">
        <f>IF(DATOS!$A16589="","",DATOS!$A16589&amp;"|"&amp;DATOS!$D16589&amp;"|"&amp;DATOS!$E16589&amp;"|"&amp;DATOS!$I16589)</f>
      </c>
      <c r="G16589">
        <f>IF(DATOS!$A16589="",0,IF(CONFIG_METADATA!$B$4&lt;&gt;"OR+EX",--(DATOS!$G16589=CONFIG_METADATA!$B$4),IF(DATOS!$G16589="EX",1,IF(DATOS!$G16589="OR",--(COUNTIFS(nNIA,DATOS!$A16589,nCURSO,DATOS!$D16589,nESPEC,DATOS!$E16589,nASIG,DATOS!$I16589,nEVAL,"EX")=0),0))))</f>
      </c>
      <c r="H16589">
        <f>IF(DATOS!$G16589&lt;&gt;"EX",0,--(COUNTIFS(nNIA,DATOS!$A16589,nCURSO,DATOS!$D16589,nESPEC,DATOS!$E16589,nASIG,DATOS!$I16589,nEVAL,"OR")=0))</f>
      </c>
      <c r="I16589">
        <f>IF(DATOS!$I16589="","",IFERROR(VLOOKUP(DATOS!$I16589,CONFIG_ASIGNATURAS!$B$2:$J$91,9,FALSE()),""))</f>
      </c>
    </row>
    <row r="16590">
      <c r="F16590">
        <f>IF(DATOS!$A16590="","",DATOS!$A16590&amp;"|"&amp;DATOS!$D16590&amp;"|"&amp;DATOS!$E16590&amp;"|"&amp;DATOS!$I16590)</f>
      </c>
      <c r="G16590">
        <f>IF(DATOS!$A16590="",0,IF(CONFIG_METADATA!$B$4&lt;&gt;"OR+EX",--(DATOS!$G16590=CONFIG_METADATA!$B$4),IF(DATOS!$G16590="EX",1,IF(DATOS!$G16590="OR",--(COUNTIFS(nNIA,DATOS!$A16590,nCURSO,DATOS!$D16590,nESPEC,DATOS!$E16590,nASIG,DATOS!$I16590,nEVAL,"EX")=0),0))))</f>
      </c>
      <c r="H16590">
        <f>IF(DATOS!$G16590&lt;&gt;"EX",0,--(COUNTIFS(nNIA,DATOS!$A16590,nCURSO,DATOS!$D16590,nESPEC,DATOS!$E16590,nASIG,DATOS!$I16590,nEVAL,"OR")=0))</f>
      </c>
      <c r="I16590">
        <f>IF(DATOS!$I16590="","",IFERROR(VLOOKUP(DATOS!$I16590,CONFIG_ASIGNATURAS!$B$2:$J$91,9,FALSE()),""))</f>
      </c>
    </row>
    <row r="16591">
      <c r="F16591">
        <f>IF(DATOS!$A16591="","",DATOS!$A16591&amp;"|"&amp;DATOS!$D16591&amp;"|"&amp;DATOS!$E16591&amp;"|"&amp;DATOS!$I16591)</f>
      </c>
      <c r="G16591">
        <f>IF(DATOS!$A16591="",0,IF(CONFIG_METADATA!$B$4&lt;&gt;"OR+EX",--(DATOS!$G16591=CONFIG_METADATA!$B$4),IF(DATOS!$G16591="EX",1,IF(DATOS!$G16591="OR",--(COUNTIFS(nNIA,DATOS!$A16591,nCURSO,DATOS!$D16591,nESPEC,DATOS!$E16591,nASIG,DATOS!$I16591,nEVAL,"EX")=0),0))))</f>
      </c>
      <c r="H16591">
        <f>IF(DATOS!$G16591&lt;&gt;"EX",0,--(COUNTIFS(nNIA,DATOS!$A16591,nCURSO,DATOS!$D16591,nESPEC,DATOS!$E16591,nASIG,DATOS!$I16591,nEVAL,"OR")=0))</f>
      </c>
      <c r="I16591">
        <f>IF(DATOS!$I16591="","",IFERROR(VLOOKUP(DATOS!$I16591,CONFIG_ASIGNATURAS!$B$2:$J$91,9,FALSE()),""))</f>
      </c>
    </row>
    <row r="16592">
      <c r="F16592">
        <f>IF(DATOS!$A16592="","",DATOS!$A16592&amp;"|"&amp;DATOS!$D16592&amp;"|"&amp;DATOS!$E16592&amp;"|"&amp;DATOS!$I16592)</f>
      </c>
      <c r="G16592">
        <f>IF(DATOS!$A16592="",0,IF(CONFIG_METADATA!$B$4&lt;&gt;"OR+EX",--(DATOS!$G16592=CONFIG_METADATA!$B$4),IF(DATOS!$G16592="EX",1,IF(DATOS!$G16592="OR",--(COUNTIFS(nNIA,DATOS!$A16592,nCURSO,DATOS!$D16592,nESPEC,DATOS!$E16592,nASIG,DATOS!$I16592,nEVAL,"EX")=0),0))))</f>
      </c>
      <c r="H16592">
        <f>IF(DATOS!$G16592&lt;&gt;"EX",0,--(COUNTIFS(nNIA,DATOS!$A16592,nCURSO,DATOS!$D16592,nESPEC,DATOS!$E16592,nASIG,DATOS!$I16592,nEVAL,"OR")=0))</f>
      </c>
      <c r="I16592">
        <f>IF(DATOS!$I16592="","",IFERROR(VLOOKUP(DATOS!$I16592,CONFIG_ASIGNATURAS!$B$2:$J$91,9,FALSE()),""))</f>
      </c>
    </row>
    <row r="16593">
      <c r="F16593">
        <f>IF(DATOS!$A16593="","",DATOS!$A16593&amp;"|"&amp;DATOS!$D16593&amp;"|"&amp;DATOS!$E16593&amp;"|"&amp;DATOS!$I16593)</f>
      </c>
      <c r="G16593">
        <f>IF(DATOS!$A16593="",0,IF(CONFIG_METADATA!$B$4&lt;&gt;"OR+EX",--(DATOS!$G16593=CONFIG_METADATA!$B$4),IF(DATOS!$G16593="EX",1,IF(DATOS!$G16593="OR",--(COUNTIFS(nNIA,DATOS!$A16593,nCURSO,DATOS!$D16593,nESPEC,DATOS!$E16593,nASIG,DATOS!$I16593,nEVAL,"EX")=0),0))))</f>
      </c>
      <c r="H16593">
        <f>IF(DATOS!$G16593&lt;&gt;"EX",0,--(COUNTIFS(nNIA,DATOS!$A16593,nCURSO,DATOS!$D16593,nESPEC,DATOS!$E16593,nASIG,DATOS!$I16593,nEVAL,"OR")=0))</f>
      </c>
      <c r="I16593">
        <f>IF(DATOS!$I16593="","",IFERROR(VLOOKUP(DATOS!$I16593,CONFIG_ASIGNATURAS!$B$2:$J$91,9,FALSE()),""))</f>
      </c>
    </row>
    <row r="16594">
      <c r="F16594">
        <f>IF(DATOS!$A16594="","",DATOS!$A16594&amp;"|"&amp;DATOS!$D16594&amp;"|"&amp;DATOS!$E16594&amp;"|"&amp;DATOS!$I16594)</f>
      </c>
      <c r="G16594">
        <f>IF(DATOS!$A16594="",0,IF(CONFIG_METADATA!$B$4&lt;&gt;"OR+EX",--(DATOS!$G16594=CONFIG_METADATA!$B$4),IF(DATOS!$G16594="EX",1,IF(DATOS!$G16594="OR",--(COUNTIFS(nNIA,DATOS!$A16594,nCURSO,DATOS!$D16594,nESPEC,DATOS!$E16594,nASIG,DATOS!$I16594,nEVAL,"EX")=0),0))))</f>
      </c>
      <c r="H16594">
        <f>IF(DATOS!$G16594&lt;&gt;"EX",0,--(COUNTIFS(nNIA,DATOS!$A16594,nCURSO,DATOS!$D16594,nESPEC,DATOS!$E16594,nASIG,DATOS!$I16594,nEVAL,"OR")=0))</f>
      </c>
      <c r="I16594">
        <f>IF(DATOS!$I16594="","",IFERROR(VLOOKUP(DATOS!$I16594,CONFIG_ASIGNATURAS!$B$2:$J$91,9,FALSE()),""))</f>
      </c>
    </row>
    <row r="16595">
      <c r="F16595">
        <f>IF(DATOS!$A16595="","",DATOS!$A16595&amp;"|"&amp;DATOS!$D16595&amp;"|"&amp;DATOS!$E16595&amp;"|"&amp;DATOS!$I16595)</f>
      </c>
      <c r="G16595">
        <f>IF(DATOS!$A16595="",0,IF(CONFIG_METADATA!$B$4&lt;&gt;"OR+EX",--(DATOS!$G16595=CONFIG_METADATA!$B$4),IF(DATOS!$G16595="EX",1,IF(DATOS!$G16595="OR",--(COUNTIFS(nNIA,DATOS!$A16595,nCURSO,DATOS!$D16595,nESPEC,DATOS!$E16595,nASIG,DATOS!$I16595,nEVAL,"EX")=0),0))))</f>
      </c>
      <c r="H16595">
        <f>IF(DATOS!$G16595&lt;&gt;"EX",0,--(COUNTIFS(nNIA,DATOS!$A16595,nCURSO,DATOS!$D16595,nESPEC,DATOS!$E16595,nASIG,DATOS!$I16595,nEVAL,"OR")=0))</f>
      </c>
      <c r="I16595">
        <f>IF(DATOS!$I16595="","",IFERROR(VLOOKUP(DATOS!$I16595,CONFIG_ASIGNATURAS!$B$2:$J$91,9,FALSE()),""))</f>
      </c>
    </row>
    <row r="16596">
      <c r="F16596">
        <f>IF(DATOS!$A16596="","",DATOS!$A16596&amp;"|"&amp;DATOS!$D16596&amp;"|"&amp;DATOS!$E16596&amp;"|"&amp;DATOS!$I16596)</f>
      </c>
      <c r="G16596">
        <f>IF(DATOS!$A16596="",0,IF(CONFIG_METADATA!$B$4&lt;&gt;"OR+EX",--(DATOS!$G16596=CONFIG_METADATA!$B$4),IF(DATOS!$G16596="EX",1,IF(DATOS!$G16596="OR",--(COUNTIFS(nNIA,DATOS!$A16596,nCURSO,DATOS!$D16596,nESPEC,DATOS!$E16596,nASIG,DATOS!$I16596,nEVAL,"EX")=0),0))))</f>
      </c>
      <c r="H16596">
        <f>IF(DATOS!$G16596&lt;&gt;"EX",0,--(COUNTIFS(nNIA,DATOS!$A16596,nCURSO,DATOS!$D16596,nESPEC,DATOS!$E16596,nASIG,DATOS!$I16596,nEVAL,"OR")=0))</f>
      </c>
      <c r="I16596">
        <f>IF(DATOS!$I16596="","",IFERROR(VLOOKUP(DATOS!$I16596,CONFIG_ASIGNATURAS!$B$2:$J$91,9,FALSE()),""))</f>
      </c>
    </row>
    <row r="16597">
      <c r="F16597">
        <f>IF(DATOS!$A16597="","",DATOS!$A16597&amp;"|"&amp;DATOS!$D16597&amp;"|"&amp;DATOS!$E16597&amp;"|"&amp;DATOS!$I16597)</f>
      </c>
      <c r="G16597">
        <f>IF(DATOS!$A16597="",0,IF(CONFIG_METADATA!$B$4&lt;&gt;"OR+EX",--(DATOS!$G16597=CONFIG_METADATA!$B$4),IF(DATOS!$G16597="EX",1,IF(DATOS!$G16597="OR",--(COUNTIFS(nNIA,DATOS!$A16597,nCURSO,DATOS!$D16597,nESPEC,DATOS!$E16597,nASIG,DATOS!$I16597,nEVAL,"EX")=0),0))))</f>
      </c>
      <c r="H16597">
        <f>IF(DATOS!$G16597&lt;&gt;"EX",0,--(COUNTIFS(nNIA,DATOS!$A16597,nCURSO,DATOS!$D16597,nESPEC,DATOS!$E16597,nASIG,DATOS!$I16597,nEVAL,"OR")=0))</f>
      </c>
      <c r="I16597">
        <f>IF(DATOS!$I16597="","",IFERROR(VLOOKUP(DATOS!$I16597,CONFIG_ASIGNATURAS!$B$2:$J$91,9,FALSE()),""))</f>
      </c>
    </row>
    <row r="16598">
      <c r="F16598">
        <f>IF(DATOS!$A16598="","",DATOS!$A16598&amp;"|"&amp;DATOS!$D16598&amp;"|"&amp;DATOS!$E16598&amp;"|"&amp;DATOS!$I16598)</f>
      </c>
      <c r="G16598">
        <f>IF(DATOS!$A16598="",0,IF(CONFIG_METADATA!$B$4&lt;&gt;"OR+EX",--(DATOS!$G16598=CONFIG_METADATA!$B$4),IF(DATOS!$G16598="EX",1,IF(DATOS!$G16598="OR",--(COUNTIFS(nNIA,DATOS!$A16598,nCURSO,DATOS!$D16598,nESPEC,DATOS!$E16598,nASIG,DATOS!$I16598,nEVAL,"EX")=0),0))))</f>
      </c>
      <c r="H16598">
        <f>IF(DATOS!$G16598&lt;&gt;"EX",0,--(COUNTIFS(nNIA,DATOS!$A16598,nCURSO,DATOS!$D16598,nESPEC,DATOS!$E16598,nASIG,DATOS!$I16598,nEVAL,"OR")=0))</f>
      </c>
      <c r="I16598">
        <f>IF(DATOS!$I16598="","",IFERROR(VLOOKUP(DATOS!$I16598,CONFIG_ASIGNATURAS!$B$2:$J$91,9,FALSE()),""))</f>
      </c>
    </row>
    <row r="16599">
      <c r="F16599">
        <f>IF(DATOS!$A16599="","",DATOS!$A16599&amp;"|"&amp;DATOS!$D16599&amp;"|"&amp;DATOS!$E16599&amp;"|"&amp;DATOS!$I16599)</f>
      </c>
      <c r="G16599">
        <f>IF(DATOS!$A16599="",0,IF(CONFIG_METADATA!$B$4&lt;&gt;"OR+EX",--(DATOS!$G16599=CONFIG_METADATA!$B$4),IF(DATOS!$G16599="EX",1,IF(DATOS!$G16599="OR",--(COUNTIFS(nNIA,DATOS!$A16599,nCURSO,DATOS!$D16599,nESPEC,DATOS!$E16599,nASIG,DATOS!$I16599,nEVAL,"EX")=0),0))))</f>
      </c>
      <c r="H16599">
        <f>IF(DATOS!$G16599&lt;&gt;"EX",0,--(COUNTIFS(nNIA,DATOS!$A16599,nCURSO,DATOS!$D16599,nESPEC,DATOS!$E16599,nASIG,DATOS!$I16599,nEVAL,"OR")=0))</f>
      </c>
      <c r="I16599">
        <f>IF(DATOS!$I16599="","",IFERROR(VLOOKUP(DATOS!$I16599,CONFIG_ASIGNATURAS!$B$2:$J$91,9,FALSE()),""))</f>
      </c>
    </row>
    <row r="16600">
      <c r="F16600">
        <f>IF(DATOS!$A16600="","",DATOS!$A16600&amp;"|"&amp;DATOS!$D16600&amp;"|"&amp;DATOS!$E16600&amp;"|"&amp;DATOS!$I16600)</f>
      </c>
      <c r="G16600">
        <f>IF(DATOS!$A16600="",0,IF(CONFIG_METADATA!$B$4&lt;&gt;"OR+EX",--(DATOS!$G16600=CONFIG_METADATA!$B$4),IF(DATOS!$G16600="EX",1,IF(DATOS!$G16600="OR",--(COUNTIFS(nNIA,DATOS!$A16600,nCURSO,DATOS!$D16600,nESPEC,DATOS!$E16600,nASIG,DATOS!$I16600,nEVAL,"EX")=0),0))))</f>
      </c>
      <c r="H16600">
        <f>IF(DATOS!$G16600&lt;&gt;"EX",0,--(COUNTIFS(nNIA,DATOS!$A16600,nCURSO,DATOS!$D16600,nESPEC,DATOS!$E16600,nASIG,DATOS!$I16600,nEVAL,"OR")=0))</f>
      </c>
      <c r="I16600">
        <f>IF(DATOS!$I16600="","",IFERROR(VLOOKUP(DATOS!$I16600,CONFIG_ASIGNATURAS!$B$2:$J$91,9,FALSE()),""))</f>
      </c>
    </row>
    <row r="16601">
      <c r="F16601">
        <f>IF(DATOS!$A16601="","",DATOS!$A16601&amp;"|"&amp;DATOS!$D16601&amp;"|"&amp;DATOS!$E16601&amp;"|"&amp;DATOS!$I16601)</f>
      </c>
      <c r="G16601">
        <f>IF(DATOS!$A16601="",0,IF(CONFIG_METADATA!$B$4&lt;&gt;"OR+EX",--(DATOS!$G16601=CONFIG_METADATA!$B$4),IF(DATOS!$G16601="EX",1,IF(DATOS!$G16601="OR",--(COUNTIFS(nNIA,DATOS!$A16601,nCURSO,DATOS!$D16601,nESPEC,DATOS!$E16601,nASIG,DATOS!$I16601,nEVAL,"EX")=0),0))))</f>
      </c>
      <c r="H16601">
        <f>IF(DATOS!$G16601&lt;&gt;"EX",0,--(COUNTIFS(nNIA,DATOS!$A16601,nCURSO,DATOS!$D16601,nESPEC,DATOS!$E16601,nASIG,DATOS!$I16601,nEVAL,"OR")=0))</f>
      </c>
      <c r="I16601">
        <f>IF(DATOS!$I16601="","",IFERROR(VLOOKUP(DATOS!$I16601,CONFIG_ASIGNATURAS!$B$2:$J$91,9,FALSE()),""))</f>
      </c>
    </row>
    <row r="16602">
      <c r="F16602">
        <f>IF(DATOS!$A16602="","",DATOS!$A16602&amp;"|"&amp;DATOS!$D16602&amp;"|"&amp;DATOS!$E16602&amp;"|"&amp;DATOS!$I16602)</f>
      </c>
      <c r="G16602">
        <f>IF(DATOS!$A16602="",0,IF(CONFIG_METADATA!$B$4&lt;&gt;"OR+EX",--(DATOS!$G16602=CONFIG_METADATA!$B$4),IF(DATOS!$G16602="EX",1,IF(DATOS!$G16602="OR",--(COUNTIFS(nNIA,DATOS!$A16602,nCURSO,DATOS!$D16602,nESPEC,DATOS!$E16602,nASIG,DATOS!$I16602,nEVAL,"EX")=0),0))))</f>
      </c>
      <c r="H16602">
        <f>IF(DATOS!$G16602&lt;&gt;"EX",0,--(COUNTIFS(nNIA,DATOS!$A16602,nCURSO,DATOS!$D16602,nESPEC,DATOS!$E16602,nASIG,DATOS!$I16602,nEVAL,"OR")=0))</f>
      </c>
      <c r="I16602">
        <f>IF(DATOS!$I16602="","",IFERROR(VLOOKUP(DATOS!$I16602,CONFIG_ASIGNATURAS!$B$2:$J$91,9,FALSE()),""))</f>
      </c>
    </row>
    <row r="16603">
      <c r="F16603">
        <f>IF(DATOS!$A16603="","",DATOS!$A16603&amp;"|"&amp;DATOS!$D16603&amp;"|"&amp;DATOS!$E16603&amp;"|"&amp;DATOS!$I16603)</f>
      </c>
      <c r="G16603">
        <f>IF(DATOS!$A16603="",0,IF(CONFIG_METADATA!$B$4&lt;&gt;"OR+EX",--(DATOS!$G16603=CONFIG_METADATA!$B$4),IF(DATOS!$G16603="EX",1,IF(DATOS!$G16603="OR",--(COUNTIFS(nNIA,DATOS!$A16603,nCURSO,DATOS!$D16603,nESPEC,DATOS!$E16603,nASIG,DATOS!$I16603,nEVAL,"EX")=0),0))))</f>
      </c>
      <c r="H16603">
        <f>IF(DATOS!$G16603&lt;&gt;"EX",0,--(COUNTIFS(nNIA,DATOS!$A16603,nCURSO,DATOS!$D16603,nESPEC,DATOS!$E16603,nASIG,DATOS!$I16603,nEVAL,"OR")=0))</f>
      </c>
      <c r="I16603">
        <f>IF(DATOS!$I16603="","",IFERROR(VLOOKUP(DATOS!$I16603,CONFIG_ASIGNATURAS!$B$2:$J$91,9,FALSE()),""))</f>
      </c>
    </row>
    <row r="16604">
      <c r="F16604">
        <f>IF(DATOS!$A16604="","",DATOS!$A16604&amp;"|"&amp;DATOS!$D16604&amp;"|"&amp;DATOS!$E16604&amp;"|"&amp;DATOS!$I16604)</f>
      </c>
      <c r="G16604">
        <f>IF(DATOS!$A16604="",0,IF(CONFIG_METADATA!$B$4&lt;&gt;"OR+EX",--(DATOS!$G16604=CONFIG_METADATA!$B$4),IF(DATOS!$G16604="EX",1,IF(DATOS!$G16604="OR",--(COUNTIFS(nNIA,DATOS!$A16604,nCURSO,DATOS!$D16604,nESPEC,DATOS!$E16604,nASIG,DATOS!$I16604,nEVAL,"EX")=0),0))))</f>
      </c>
      <c r="H16604">
        <f>IF(DATOS!$G16604&lt;&gt;"EX",0,--(COUNTIFS(nNIA,DATOS!$A16604,nCURSO,DATOS!$D16604,nESPEC,DATOS!$E16604,nASIG,DATOS!$I16604,nEVAL,"OR")=0))</f>
      </c>
      <c r="I16604">
        <f>IF(DATOS!$I16604="","",IFERROR(VLOOKUP(DATOS!$I16604,CONFIG_ASIGNATURAS!$B$2:$J$91,9,FALSE()),""))</f>
      </c>
    </row>
    <row r="16605">
      <c r="F16605">
        <f>IF(DATOS!$A16605="","",DATOS!$A16605&amp;"|"&amp;DATOS!$D16605&amp;"|"&amp;DATOS!$E16605&amp;"|"&amp;DATOS!$I16605)</f>
      </c>
      <c r="G16605">
        <f>IF(DATOS!$A16605="",0,IF(CONFIG_METADATA!$B$4&lt;&gt;"OR+EX",--(DATOS!$G16605=CONFIG_METADATA!$B$4),IF(DATOS!$G16605="EX",1,IF(DATOS!$G16605="OR",--(COUNTIFS(nNIA,DATOS!$A16605,nCURSO,DATOS!$D16605,nESPEC,DATOS!$E16605,nASIG,DATOS!$I16605,nEVAL,"EX")=0),0))))</f>
      </c>
      <c r="H16605">
        <f>IF(DATOS!$G16605&lt;&gt;"EX",0,--(COUNTIFS(nNIA,DATOS!$A16605,nCURSO,DATOS!$D16605,nESPEC,DATOS!$E16605,nASIG,DATOS!$I16605,nEVAL,"OR")=0))</f>
      </c>
      <c r="I16605">
        <f>IF(DATOS!$I16605="","",IFERROR(VLOOKUP(DATOS!$I16605,CONFIG_ASIGNATURAS!$B$2:$J$91,9,FALSE()),""))</f>
      </c>
    </row>
    <row r="16606">
      <c r="F16606">
        <f>IF(DATOS!$A16606="","",DATOS!$A16606&amp;"|"&amp;DATOS!$D16606&amp;"|"&amp;DATOS!$E16606&amp;"|"&amp;DATOS!$I16606)</f>
      </c>
      <c r="G16606">
        <f>IF(DATOS!$A16606="",0,IF(CONFIG_METADATA!$B$4&lt;&gt;"OR+EX",--(DATOS!$G16606=CONFIG_METADATA!$B$4),IF(DATOS!$G16606="EX",1,IF(DATOS!$G16606="OR",--(COUNTIFS(nNIA,DATOS!$A16606,nCURSO,DATOS!$D16606,nESPEC,DATOS!$E16606,nASIG,DATOS!$I16606,nEVAL,"EX")=0),0))))</f>
      </c>
      <c r="H16606">
        <f>IF(DATOS!$G16606&lt;&gt;"EX",0,--(COUNTIFS(nNIA,DATOS!$A16606,nCURSO,DATOS!$D16606,nESPEC,DATOS!$E16606,nASIG,DATOS!$I16606,nEVAL,"OR")=0))</f>
      </c>
      <c r="I16606">
        <f>IF(DATOS!$I16606="","",IFERROR(VLOOKUP(DATOS!$I16606,CONFIG_ASIGNATURAS!$B$2:$J$91,9,FALSE()),""))</f>
      </c>
    </row>
    <row r="16607">
      <c r="F16607">
        <f>IF(DATOS!$A16607="","",DATOS!$A16607&amp;"|"&amp;DATOS!$D16607&amp;"|"&amp;DATOS!$E16607&amp;"|"&amp;DATOS!$I16607)</f>
      </c>
      <c r="G16607">
        <f>IF(DATOS!$A16607="",0,IF(CONFIG_METADATA!$B$4&lt;&gt;"OR+EX",--(DATOS!$G16607=CONFIG_METADATA!$B$4),IF(DATOS!$G16607="EX",1,IF(DATOS!$G16607="OR",--(COUNTIFS(nNIA,DATOS!$A16607,nCURSO,DATOS!$D16607,nESPEC,DATOS!$E16607,nASIG,DATOS!$I16607,nEVAL,"EX")=0),0))))</f>
      </c>
      <c r="H16607">
        <f>IF(DATOS!$G16607&lt;&gt;"EX",0,--(COUNTIFS(nNIA,DATOS!$A16607,nCURSO,DATOS!$D16607,nESPEC,DATOS!$E16607,nASIG,DATOS!$I16607,nEVAL,"OR")=0))</f>
      </c>
      <c r="I16607">
        <f>IF(DATOS!$I16607="","",IFERROR(VLOOKUP(DATOS!$I16607,CONFIG_ASIGNATURAS!$B$2:$J$91,9,FALSE()),""))</f>
      </c>
    </row>
    <row r="16608">
      <c r="F16608">
        <f>IF(DATOS!$A16608="","",DATOS!$A16608&amp;"|"&amp;DATOS!$D16608&amp;"|"&amp;DATOS!$E16608&amp;"|"&amp;DATOS!$I16608)</f>
      </c>
      <c r="G16608">
        <f>IF(DATOS!$A16608="",0,IF(CONFIG_METADATA!$B$4&lt;&gt;"OR+EX",--(DATOS!$G16608=CONFIG_METADATA!$B$4),IF(DATOS!$G16608="EX",1,IF(DATOS!$G16608="OR",--(COUNTIFS(nNIA,DATOS!$A16608,nCURSO,DATOS!$D16608,nESPEC,DATOS!$E16608,nASIG,DATOS!$I16608,nEVAL,"EX")=0),0))))</f>
      </c>
      <c r="H16608">
        <f>IF(DATOS!$G16608&lt;&gt;"EX",0,--(COUNTIFS(nNIA,DATOS!$A16608,nCURSO,DATOS!$D16608,nESPEC,DATOS!$E16608,nASIG,DATOS!$I16608,nEVAL,"OR")=0))</f>
      </c>
      <c r="I16608">
        <f>IF(DATOS!$I16608="","",IFERROR(VLOOKUP(DATOS!$I16608,CONFIG_ASIGNATURAS!$B$2:$J$91,9,FALSE()),""))</f>
      </c>
    </row>
    <row r="16609">
      <c r="F16609">
        <f>IF(DATOS!$A16609="","",DATOS!$A16609&amp;"|"&amp;DATOS!$D16609&amp;"|"&amp;DATOS!$E16609&amp;"|"&amp;DATOS!$I16609)</f>
      </c>
      <c r="G16609">
        <f>IF(DATOS!$A16609="",0,IF(CONFIG_METADATA!$B$4&lt;&gt;"OR+EX",--(DATOS!$G16609=CONFIG_METADATA!$B$4),IF(DATOS!$G16609="EX",1,IF(DATOS!$G16609="OR",--(COUNTIFS(nNIA,DATOS!$A16609,nCURSO,DATOS!$D16609,nESPEC,DATOS!$E16609,nASIG,DATOS!$I16609,nEVAL,"EX")=0),0))))</f>
      </c>
      <c r="H16609">
        <f>IF(DATOS!$G16609&lt;&gt;"EX",0,--(COUNTIFS(nNIA,DATOS!$A16609,nCURSO,DATOS!$D16609,nESPEC,DATOS!$E16609,nASIG,DATOS!$I16609,nEVAL,"OR")=0))</f>
      </c>
      <c r="I16609">
        <f>IF(DATOS!$I16609="","",IFERROR(VLOOKUP(DATOS!$I16609,CONFIG_ASIGNATURAS!$B$2:$J$91,9,FALSE()),""))</f>
      </c>
    </row>
    <row r="16610">
      <c r="F16610">
        <f>IF(DATOS!$A16610="","",DATOS!$A16610&amp;"|"&amp;DATOS!$D16610&amp;"|"&amp;DATOS!$E16610&amp;"|"&amp;DATOS!$I16610)</f>
      </c>
      <c r="G16610">
        <f>IF(DATOS!$A16610="",0,IF(CONFIG_METADATA!$B$4&lt;&gt;"OR+EX",--(DATOS!$G16610=CONFIG_METADATA!$B$4),IF(DATOS!$G16610="EX",1,IF(DATOS!$G16610="OR",--(COUNTIFS(nNIA,DATOS!$A16610,nCURSO,DATOS!$D16610,nESPEC,DATOS!$E16610,nASIG,DATOS!$I16610,nEVAL,"EX")=0),0))))</f>
      </c>
      <c r="H16610">
        <f>IF(DATOS!$G16610&lt;&gt;"EX",0,--(COUNTIFS(nNIA,DATOS!$A16610,nCURSO,DATOS!$D16610,nESPEC,DATOS!$E16610,nASIG,DATOS!$I16610,nEVAL,"OR")=0))</f>
      </c>
      <c r="I16610">
        <f>IF(DATOS!$I16610="","",IFERROR(VLOOKUP(DATOS!$I16610,CONFIG_ASIGNATURAS!$B$2:$J$91,9,FALSE()),""))</f>
      </c>
    </row>
    <row r="16611">
      <c r="F16611">
        <f>IF(DATOS!$A16611="","",DATOS!$A16611&amp;"|"&amp;DATOS!$D16611&amp;"|"&amp;DATOS!$E16611&amp;"|"&amp;DATOS!$I16611)</f>
      </c>
      <c r="G16611">
        <f>IF(DATOS!$A16611="",0,IF(CONFIG_METADATA!$B$4&lt;&gt;"OR+EX",--(DATOS!$G16611=CONFIG_METADATA!$B$4),IF(DATOS!$G16611="EX",1,IF(DATOS!$G16611="OR",--(COUNTIFS(nNIA,DATOS!$A16611,nCURSO,DATOS!$D16611,nESPEC,DATOS!$E16611,nASIG,DATOS!$I16611,nEVAL,"EX")=0),0))))</f>
      </c>
      <c r="H16611">
        <f>IF(DATOS!$G16611&lt;&gt;"EX",0,--(COUNTIFS(nNIA,DATOS!$A16611,nCURSO,DATOS!$D16611,nESPEC,DATOS!$E16611,nASIG,DATOS!$I16611,nEVAL,"OR")=0))</f>
      </c>
      <c r="I16611">
        <f>IF(DATOS!$I16611="","",IFERROR(VLOOKUP(DATOS!$I16611,CONFIG_ASIGNATURAS!$B$2:$J$91,9,FALSE()),""))</f>
      </c>
    </row>
    <row r="16612">
      <c r="F16612">
        <f>IF(DATOS!$A16612="","",DATOS!$A16612&amp;"|"&amp;DATOS!$D16612&amp;"|"&amp;DATOS!$E16612&amp;"|"&amp;DATOS!$I16612)</f>
      </c>
      <c r="G16612">
        <f>IF(DATOS!$A16612="",0,IF(CONFIG_METADATA!$B$4&lt;&gt;"OR+EX",--(DATOS!$G16612=CONFIG_METADATA!$B$4),IF(DATOS!$G16612="EX",1,IF(DATOS!$G16612="OR",--(COUNTIFS(nNIA,DATOS!$A16612,nCURSO,DATOS!$D16612,nESPEC,DATOS!$E16612,nASIG,DATOS!$I16612,nEVAL,"EX")=0),0))))</f>
      </c>
      <c r="H16612">
        <f>IF(DATOS!$G16612&lt;&gt;"EX",0,--(COUNTIFS(nNIA,DATOS!$A16612,nCURSO,DATOS!$D16612,nESPEC,DATOS!$E16612,nASIG,DATOS!$I16612,nEVAL,"OR")=0))</f>
      </c>
      <c r="I16612">
        <f>IF(DATOS!$I16612="","",IFERROR(VLOOKUP(DATOS!$I16612,CONFIG_ASIGNATURAS!$B$2:$J$91,9,FALSE()),""))</f>
      </c>
    </row>
    <row r="16613">
      <c r="F16613">
        <f>IF(DATOS!$A16613="","",DATOS!$A16613&amp;"|"&amp;DATOS!$D16613&amp;"|"&amp;DATOS!$E16613&amp;"|"&amp;DATOS!$I16613)</f>
      </c>
      <c r="G16613">
        <f>IF(DATOS!$A16613="",0,IF(CONFIG_METADATA!$B$4&lt;&gt;"OR+EX",--(DATOS!$G16613=CONFIG_METADATA!$B$4),IF(DATOS!$G16613="EX",1,IF(DATOS!$G16613="OR",--(COUNTIFS(nNIA,DATOS!$A16613,nCURSO,DATOS!$D16613,nESPEC,DATOS!$E16613,nASIG,DATOS!$I16613,nEVAL,"EX")=0),0))))</f>
      </c>
      <c r="H16613">
        <f>IF(DATOS!$G16613&lt;&gt;"EX",0,--(COUNTIFS(nNIA,DATOS!$A16613,nCURSO,DATOS!$D16613,nESPEC,DATOS!$E16613,nASIG,DATOS!$I16613,nEVAL,"OR")=0))</f>
      </c>
      <c r="I16613">
        <f>IF(DATOS!$I16613="","",IFERROR(VLOOKUP(DATOS!$I16613,CONFIG_ASIGNATURAS!$B$2:$J$91,9,FALSE()),""))</f>
      </c>
    </row>
    <row r="16614">
      <c r="F16614">
        <f>IF(DATOS!$A16614="","",DATOS!$A16614&amp;"|"&amp;DATOS!$D16614&amp;"|"&amp;DATOS!$E16614&amp;"|"&amp;DATOS!$I16614)</f>
      </c>
      <c r="G16614">
        <f>IF(DATOS!$A16614="",0,IF(CONFIG_METADATA!$B$4&lt;&gt;"OR+EX",--(DATOS!$G16614=CONFIG_METADATA!$B$4),IF(DATOS!$G16614="EX",1,IF(DATOS!$G16614="OR",--(COUNTIFS(nNIA,DATOS!$A16614,nCURSO,DATOS!$D16614,nESPEC,DATOS!$E16614,nASIG,DATOS!$I16614,nEVAL,"EX")=0),0))))</f>
      </c>
      <c r="H16614">
        <f>IF(DATOS!$G16614&lt;&gt;"EX",0,--(COUNTIFS(nNIA,DATOS!$A16614,nCURSO,DATOS!$D16614,nESPEC,DATOS!$E16614,nASIG,DATOS!$I16614,nEVAL,"OR")=0))</f>
      </c>
      <c r="I16614">
        <f>IF(DATOS!$I16614="","",IFERROR(VLOOKUP(DATOS!$I16614,CONFIG_ASIGNATURAS!$B$2:$J$91,9,FALSE()),""))</f>
      </c>
    </row>
    <row r="16615">
      <c r="F16615">
        <f>IF(DATOS!$A16615="","",DATOS!$A16615&amp;"|"&amp;DATOS!$D16615&amp;"|"&amp;DATOS!$E16615&amp;"|"&amp;DATOS!$I16615)</f>
      </c>
      <c r="G16615">
        <f>IF(DATOS!$A16615="",0,IF(CONFIG_METADATA!$B$4&lt;&gt;"OR+EX",--(DATOS!$G16615=CONFIG_METADATA!$B$4),IF(DATOS!$G16615="EX",1,IF(DATOS!$G16615="OR",--(COUNTIFS(nNIA,DATOS!$A16615,nCURSO,DATOS!$D16615,nESPEC,DATOS!$E16615,nASIG,DATOS!$I16615,nEVAL,"EX")=0),0))))</f>
      </c>
      <c r="H16615">
        <f>IF(DATOS!$G16615&lt;&gt;"EX",0,--(COUNTIFS(nNIA,DATOS!$A16615,nCURSO,DATOS!$D16615,nESPEC,DATOS!$E16615,nASIG,DATOS!$I16615,nEVAL,"OR")=0))</f>
      </c>
      <c r="I16615">
        <f>IF(DATOS!$I16615="","",IFERROR(VLOOKUP(DATOS!$I16615,CONFIG_ASIGNATURAS!$B$2:$J$91,9,FALSE()),""))</f>
      </c>
    </row>
    <row r="16616">
      <c r="F16616">
        <f>IF(DATOS!$A16616="","",DATOS!$A16616&amp;"|"&amp;DATOS!$D16616&amp;"|"&amp;DATOS!$E16616&amp;"|"&amp;DATOS!$I16616)</f>
      </c>
      <c r="G16616">
        <f>IF(DATOS!$A16616="",0,IF(CONFIG_METADATA!$B$4&lt;&gt;"OR+EX",--(DATOS!$G16616=CONFIG_METADATA!$B$4),IF(DATOS!$G16616="EX",1,IF(DATOS!$G16616="OR",--(COUNTIFS(nNIA,DATOS!$A16616,nCURSO,DATOS!$D16616,nESPEC,DATOS!$E16616,nASIG,DATOS!$I16616,nEVAL,"EX")=0),0))))</f>
      </c>
      <c r="H16616">
        <f>IF(DATOS!$G16616&lt;&gt;"EX",0,--(COUNTIFS(nNIA,DATOS!$A16616,nCURSO,DATOS!$D16616,nESPEC,DATOS!$E16616,nASIG,DATOS!$I16616,nEVAL,"OR")=0))</f>
      </c>
      <c r="I16616">
        <f>IF(DATOS!$I16616="","",IFERROR(VLOOKUP(DATOS!$I16616,CONFIG_ASIGNATURAS!$B$2:$J$91,9,FALSE()),""))</f>
      </c>
    </row>
    <row r="16617">
      <c r="F16617">
        <f>IF(DATOS!$A16617="","",DATOS!$A16617&amp;"|"&amp;DATOS!$D16617&amp;"|"&amp;DATOS!$E16617&amp;"|"&amp;DATOS!$I16617)</f>
      </c>
      <c r="G16617">
        <f>IF(DATOS!$A16617="",0,IF(CONFIG_METADATA!$B$4&lt;&gt;"OR+EX",--(DATOS!$G16617=CONFIG_METADATA!$B$4),IF(DATOS!$G16617="EX",1,IF(DATOS!$G16617="OR",--(COUNTIFS(nNIA,DATOS!$A16617,nCURSO,DATOS!$D16617,nESPEC,DATOS!$E16617,nASIG,DATOS!$I16617,nEVAL,"EX")=0),0))))</f>
      </c>
      <c r="H16617">
        <f>IF(DATOS!$G16617&lt;&gt;"EX",0,--(COUNTIFS(nNIA,DATOS!$A16617,nCURSO,DATOS!$D16617,nESPEC,DATOS!$E16617,nASIG,DATOS!$I16617,nEVAL,"OR")=0))</f>
      </c>
      <c r="I16617">
        <f>IF(DATOS!$I16617="","",IFERROR(VLOOKUP(DATOS!$I16617,CONFIG_ASIGNATURAS!$B$2:$J$91,9,FALSE()),""))</f>
      </c>
    </row>
    <row r="16618">
      <c r="F16618">
        <f>IF(DATOS!$A16618="","",DATOS!$A16618&amp;"|"&amp;DATOS!$D16618&amp;"|"&amp;DATOS!$E16618&amp;"|"&amp;DATOS!$I16618)</f>
      </c>
      <c r="G16618">
        <f>IF(DATOS!$A16618="",0,IF(CONFIG_METADATA!$B$4&lt;&gt;"OR+EX",--(DATOS!$G16618=CONFIG_METADATA!$B$4),IF(DATOS!$G16618="EX",1,IF(DATOS!$G16618="OR",--(COUNTIFS(nNIA,DATOS!$A16618,nCURSO,DATOS!$D16618,nESPEC,DATOS!$E16618,nASIG,DATOS!$I16618,nEVAL,"EX")=0),0))))</f>
      </c>
      <c r="H16618">
        <f>IF(DATOS!$G16618&lt;&gt;"EX",0,--(COUNTIFS(nNIA,DATOS!$A16618,nCURSO,DATOS!$D16618,nESPEC,DATOS!$E16618,nASIG,DATOS!$I16618,nEVAL,"OR")=0))</f>
      </c>
      <c r="I16618">
        <f>IF(DATOS!$I16618="","",IFERROR(VLOOKUP(DATOS!$I16618,CONFIG_ASIGNATURAS!$B$2:$J$91,9,FALSE()),""))</f>
      </c>
    </row>
    <row r="16619">
      <c r="F16619">
        <f>IF(DATOS!$A16619="","",DATOS!$A16619&amp;"|"&amp;DATOS!$D16619&amp;"|"&amp;DATOS!$E16619&amp;"|"&amp;DATOS!$I16619)</f>
      </c>
      <c r="G16619">
        <f>IF(DATOS!$A16619="",0,IF(CONFIG_METADATA!$B$4&lt;&gt;"OR+EX",--(DATOS!$G16619=CONFIG_METADATA!$B$4),IF(DATOS!$G16619="EX",1,IF(DATOS!$G16619="OR",--(COUNTIFS(nNIA,DATOS!$A16619,nCURSO,DATOS!$D16619,nESPEC,DATOS!$E16619,nASIG,DATOS!$I16619,nEVAL,"EX")=0),0))))</f>
      </c>
      <c r="H16619">
        <f>IF(DATOS!$G16619&lt;&gt;"EX",0,--(COUNTIFS(nNIA,DATOS!$A16619,nCURSO,DATOS!$D16619,nESPEC,DATOS!$E16619,nASIG,DATOS!$I16619,nEVAL,"OR")=0))</f>
      </c>
      <c r="I16619">
        <f>IF(DATOS!$I16619="","",IFERROR(VLOOKUP(DATOS!$I16619,CONFIG_ASIGNATURAS!$B$2:$J$91,9,FALSE()),""))</f>
      </c>
    </row>
    <row r="16620">
      <c r="F16620">
        <f>IF(DATOS!$A16620="","",DATOS!$A16620&amp;"|"&amp;DATOS!$D16620&amp;"|"&amp;DATOS!$E16620&amp;"|"&amp;DATOS!$I16620)</f>
      </c>
      <c r="G16620">
        <f>IF(DATOS!$A16620="",0,IF(CONFIG_METADATA!$B$4&lt;&gt;"OR+EX",--(DATOS!$G16620=CONFIG_METADATA!$B$4),IF(DATOS!$G16620="EX",1,IF(DATOS!$G16620="OR",--(COUNTIFS(nNIA,DATOS!$A16620,nCURSO,DATOS!$D16620,nESPEC,DATOS!$E16620,nASIG,DATOS!$I16620,nEVAL,"EX")=0),0))))</f>
      </c>
      <c r="H16620">
        <f>IF(DATOS!$G16620&lt;&gt;"EX",0,--(COUNTIFS(nNIA,DATOS!$A16620,nCURSO,DATOS!$D16620,nESPEC,DATOS!$E16620,nASIG,DATOS!$I16620,nEVAL,"OR")=0))</f>
      </c>
      <c r="I16620">
        <f>IF(DATOS!$I16620="","",IFERROR(VLOOKUP(DATOS!$I16620,CONFIG_ASIGNATURAS!$B$2:$J$91,9,FALSE()),""))</f>
      </c>
    </row>
    <row r="16621">
      <c r="F16621">
        <f>IF(DATOS!$A16621="","",DATOS!$A16621&amp;"|"&amp;DATOS!$D16621&amp;"|"&amp;DATOS!$E16621&amp;"|"&amp;DATOS!$I16621)</f>
      </c>
      <c r="G16621">
        <f>IF(DATOS!$A16621="",0,IF(CONFIG_METADATA!$B$4&lt;&gt;"OR+EX",--(DATOS!$G16621=CONFIG_METADATA!$B$4),IF(DATOS!$G16621="EX",1,IF(DATOS!$G16621="OR",--(COUNTIFS(nNIA,DATOS!$A16621,nCURSO,DATOS!$D16621,nESPEC,DATOS!$E16621,nASIG,DATOS!$I16621,nEVAL,"EX")=0),0))))</f>
      </c>
      <c r="H16621">
        <f>IF(DATOS!$G16621&lt;&gt;"EX",0,--(COUNTIFS(nNIA,DATOS!$A16621,nCURSO,DATOS!$D16621,nESPEC,DATOS!$E16621,nASIG,DATOS!$I16621,nEVAL,"OR")=0))</f>
      </c>
      <c r="I16621">
        <f>IF(DATOS!$I16621="","",IFERROR(VLOOKUP(DATOS!$I16621,CONFIG_ASIGNATURAS!$B$2:$J$91,9,FALSE()),""))</f>
      </c>
    </row>
    <row r="16622">
      <c r="F16622">
        <f>IF(DATOS!$A16622="","",DATOS!$A16622&amp;"|"&amp;DATOS!$D16622&amp;"|"&amp;DATOS!$E16622&amp;"|"&amp;DATOS!$I16622)</f>
      </c>
      <c r="G16622">
        <f>IF(DATOS!$A16622="",0,IF(CONFIG_METADATA!$B$4&lt;&gt;"OR+EX",--(DATOS!$G16622=CONFIG_METADATA!$B$4),IF(DATOS!$G16622="EX",1,IF(DATOS!$G16622="OR",--(COUNTIFS(nNIA,DATOS!$A16622,nCURSO,DATOS!$D16622,nESPEC,DATOS!$E16622,nASIG,DATOS!$I16622,nEVAL,"EX")=0),0))))</f>
      </c>
      <c r="H16622">
        <f>IF(DATOS!$G16622&lt;&gt;"EX",0,--(COUNTIFS(nNIA,DATOS!$A16622,nCURSO,DATOS!$D16622,nESPEC,DATOS!$E16622,nASIG,DATOS!$I16622,nEVAL,"OR")=0))</f>
      </c>
      <c r="I16622">
        <f>IF(DATOS!$I16622="","",IFERROR(VLOOKUP(DATOS!$I16622,CONFIG_ASIGNATURAS!$B$2:$J$91,9,FALSE()),""))</f>
      </c>
    </row>
    <row r="16623">
      <c r="F16623">
        <f>IF(DATOS!$A16623="","",DATOS!$A16623&amp;"|"&amp;DATOS!$D16623&amp;"|"&amp;DATOS!$E16623&amp;"|"&amp;DATOS!$I16623)</f>
      </c>
      <c r="G16623">
        <f>IF(DATOS!$A16623="",0,IF(CONFIG_METADATA!$B$4&lt;&gt;"OR+EX",--(DATOS!$G16623=CONFIG_METADATA!$B$4),IF(DATOS!$G16623="EX",1,IF(DATOS!$G16623="OR",--(COUNTIFS(nNIA,DATOS!$A16623,nCURSO,DATOS!$D16623,nESPEC,DATOS!$E16623,nASIG,DATOS!$I16623,nEVAL,"EX")=0),0))))</f>
      </c>
      <c r="H16623">
        <f>IF(DATOS!$G16623&lt;&gt;"EX",0,--(COUNTIFS(nNIA,DATOS!$A16623,nCURSO,DATOS!$D16623,nESPEC,DATOS!$E16623,nASIG,DATOS!$I16623,nEVAL,"OR")=0))</f>
      </c>
      <c r="I16623">
        <f>IF(DATOS!$I16623="","",IFERROR(VLOOKUP(DATOS!$I16623,CONFIG_ASIGNATURAS!$B$2:$J$91,9,FALSE()),""))</f>
      </c>
    </row>
    <row r="16624">
      <c r="F16624">
        <f>IF(DATOS!$A16624="","",DATOS!$A16624&amp;"|"&amp;DATOS!$D16624&amp;"|"&amp;DATOS!$E16624&amp;"|"&amp;DATOS!$I16624)</f>
      </c>
      <c r="G16624">
        <f>IF(DATOS!$A16624="",0,IF(CONFIG_METADATA!$B$4&lt;&gt;"OR+EX",--(DATOS!$G16624=CONFIG_METADATA!$B$4),IF(DATOS!$G16624="EX",1,IF(DATOS!$G16624="OR",--(COUNTIFS(nNIA,DATOS!$A16624,nCURSO,DATOS!$D16624,nESPEC,DATOS!$E16624,nASIG,DATOS!$I16624,nEVAL,"EX")=0),0))))</f>
      </c>
      <c r="H16624">
        <f>IF(DATOS!$G16624&lt;&gt;"EX",0,--(COUNTIFS(nNIA,DATOS!$A16624,nCURSO,DATOS!$D16624,nESPEC,DATOS!$E16624,nASIG,DATOS!$I16624,nEVAL,"OR")=0))</f>
      </c>
      <c r="I16624">
        <f>IF(DATOS!$I16624="","",IFERROR(VLOOKUP(DATOS!$I16624,CONFIG_ASIGNATURAS!$B$2:$J$91,9,FALSE()),""))</f>
      </c>
    </row>
    <row r="16625">
      <c r="F16625">
        <f>IF(DATOS!$A16625="","",DATOS!$A16625&amp;"|"&amp;DATOS!$D16625&amp;"|"&amp;DATOS!$E16625&amp;"|"&amp;DATOS!$I16625)</f>
      </c>
      <c r="G16625">
        <f>IF(DATOS!$A16625="",0,IF(CONFIG_METADATA!$B$4&lt;&gt;"OR+EX",--(DATOS!$G16625=CONFIG_METADATA!$B$4),IF(DATOS!$G16625="EX",1,IF(DATOS!$G16625="OR",--(COUNTIFS(nNIA,DATOS!$A16625,nCURSO,DATOS!$D16625,nESPEC,DATOS!$E16625,nASIG,DATOS!$I16625,nEVAL,"EX")=0),0))))</f>
      </c>
      <c r="H16625">
        <f>IF(DATOS!$G16625&lt;&gt;"EX",0,--(COUNTIFS(nNIA,DATOS!$A16625,nCURSO,DATOS!$D16625,nESPEC,DATOS!$E16625,nASIG,DATOS!$I16625,nEVAL,"OR")=0))</f>
      </c>
      <c r="I16625">
        <f>IF(DATOS!$I16625="","",IFERROR(VLOOKUP(DATOS!$I16625,CONFIG_ASIGNATURAS!$B$2:$J$91,9,FALSE()),""))</f>
      </c>
    </row>
    <row r="16626">
      <c r="F16626">
        <f>IF(DATOS!$A16626="","",DATOS!$A16626&amp;"|"&amp;DATOS!$D16626&amp;"|"&amp;DATOS!$E16626&amp;"|"&amp;DATOS!$I16626)</f>
      </c>
      <c r="G16626">
        <f>IF(DATOS!$A16626="",0,IF(CONFIG_METADATA!$B$4&lt;&gt;"OR+EX",--(DATOS!$G16626=CONFIG_METADATA!$B$4),IF(DATOS!$G16626="EX",1,IF(DATOS!$G16626="OR",--(COUNTIFS(nNIA,DATOS!$A16626,nCURSO,DATOS!$D16626,nESPEC,DATOS!$E16626,nASIG,DATOS!$I16626,nEVAL,"EX")=0),0))))</f>
      </c>
      <c r="H16626">
        <f>IF(DATOS!$G16626&lt;&gt;"EX",0,--(COUNTIFS(nNIA,DATOS!$A16626,nCURSO,DATOS!$D16626,nESPEC,DATOS!$E16626,nASIG,DATOS!$I16626,nEVAL,"OR")=0))</f>
      </c>
      <c r="I16626">
        <f>IF(DATOS!$I16626="","",IFERROR(VLOOKUP(DATOS!$I16626,CONFIG_ASIGNATURAS!$B$2:$J$91,9,FALSE()),""))</f>
      </c>
    </row>
    <row r="16627">
      <c r="F16627">
        <f>IF(DATOS!$A16627="","",DATOS!$A16627&amp;"|"&amp;DATOS!$D16627&amp;"|"&amp;DATOS!$E16627&amp;"|"&amp;DATOS!$I16627)</f>
      </c>
      <c r="G16627">
        <f>IF(DATOS!$A16627="",0,IF(CONFIG_METADATA!$B$4&lt;&gt;"OR+EX",--(DATOS!$G16627=CONFIG_METADATA!$B$4),IF(DATOS!$G16627="EX",1,IF(DATOS!$G16627="OR",--(COUNTIFS(nNIA,DATOS!$A16627,nCURSO,DATOS!$D16627,nESPEC,DATOS!$E16627,nASIG,DATOS!$I16627,nEVAL,"EX")=0),0))))</f>
      </c>
      <c r="H16627">
        <f>IF(DATOS!$G16627&lt;&gt;"EX",0,--(COUNTIFS(nNIA,DATOS!$A16627,nCURSO,DATOS!$D16627,nESPEC,DATOS!$E16627,nASIG,DATOS!$I16627,nEVAL,"OR")=0))</f>
      </c>
      <c r="I16627">
        <f>IF(DATOS!$I16627="","",IFERROR(VLOOKUP(DATOS!$I16627,CONFIG_ASIGNATURAS!$B$2:$J$91,9,FALSE()),""))</f>
      </c>
    </row>
    <row r="16628">
      <c r="F16628">
        <f>IF(DATOS!$A16628="","",DATOS!$A16628&amp;"|"&amp;DATOS!$D16628&amp;"|"&amp;DATOS!$E16628&amp;"|"&amp;DATOS!$I16628)</f>
      </c>
      <c r="G16628">
        <f>IF(DATOS!$A16628="",0,IF(CONFIG_METADATA!$B$4&lt;&gt;"OR+EX",--(DATOS!$G16628=CONFIG_METADATA!$B$4),IF(DATOS!$G16628="EX",1,IF(DATOS!$G16628="OR",--(COUNTIFS(nNIA,DATOS!$A16628,nCURSO,DATOS!$D16628,nESPEC,DATOS!$E16628,nASIG,DATOS!$I16628,nEVAL,"EX")=0),0))))</f>
      </c>
      <c r="H16628">
        <f>IF(DATOS!$G16628&lt;&gt;"EX",0,--(COUNTIFS(nNIA,DATOS!$A16628,nCURSO,DATOS!$D16628,nESPEC,DATOS!$E16628,nASIG,DATOS!$I16628,nEVAL,"OR")=0))</f>
      </c>
      <c r="I16628">
        <f>IF(DATOS!$I16628="","",IFERROR(VLOOKUP(DATOS!$I16628,CONFIG_ASIGNATURAS!$B$2:$J$91,9,FALSE()),""))</f>
      </c>
    </row>
    <row r="16629">
      <c r="F16629">
        <f>IF(DATOS!$A16629="","",DATOS!$A16629&amp;"|"&amp;DATOS!$D16629&amp;"|"&amp;DATOS!$E16629&amp;"|"&amp;DATOS!$I16629)</f>
      </c>
      <c r="G16629">
        <f>IF(DATOS!$A16629="",0,IF(CONFIG_METADATA!$B$4&lt;&gt;"OR+EX",--(DATOS!$G16629=CONFIG_METADATA!$B$4),IF(DATOS!$G16629="EX",1,IF(DATOS!$G16629="OR",--(COUNTIFS(nNIA,DATOS!$A16629,nCURSO,DATOS!$D16629,nESPEC,DATOS!$E16629,nASIG,DATOS!$I16629,nEVAL,"EX")=0),0))))</f>
      </c>
      <c r="H16629">
        <f>IF(DATOS!$G16629&lt;&gt;"EX",0,--(COUNTIFS(nNIA,DATOS!$A16629,nCURSO,DATOS!$D16629,nESPEC,DATOS!$E16629,nASIG,DATOS!$I16629,nEVAL,"OR")=0))</f>
      </c>
      <c r="I16629">
        <f>IF(DATOS!$I16629="","",IFERROR(VLOOKUP(DATOS!$I16629,CONFIG_ASIGNATURAS!$B$2:$J$91,9,FALSE()),""))</f>
      </c>
    </row>
    <row r="16630">
      <c r="F16630">
        <f>IF(DATOS!$A16630="","",DATOS!$A16630&amp;"|"&amp;DATOS!$D16630&amp;"|"&amp;DATOS!$E16630&amp;"|"&amp;DATOS!$I16630)</f>
      </c>
      <c r="G16630">
        <f>IF(DATOS!$A16630="",0,IF(CONFIG_METADATA!$B$4&lt;&gt;"OR+EX",--(DATOS!$G16630=CONFIG_METADATA!$B$4),IF(DATOS!$G16630="EX",1,IF(DATOS!$G16630="OR",--(COUNTIFS(nNIA,DATOS!$A16630,nCURSO,DATOS!$D16630,nESPEC,DATOS!$E16630,nASIG,DATOS!$I16630,nEVAL,"EX")=0),0))))</f>
      </c>
      <c r="H16630">
        <f>IF(DATOS!$G16630&lt;&gt;"EX",0,--(COUNTIFS(nNIA,DATOS!$A16630,nCURSO,DATOS!$D16630,nESPEC,DATOS!$E16630,nASIG,DATOS!$I16630,nEVAL,"OR")=0))</f>
      </c>
      <c r="I16630">
        <f>IF(DATOS!$I16630="","",IFERROR(VLOOKUP(DATOS!$I16630,CONFIG_ASIGNATURAS!$B$2:$J$91,9,FALSE()),""))</f>
      </c>
    </row>
    <row r="16631">
      <c r="F16631">
        <f>IF(DATOS!$A16631="","",DATOS!$A16631&amp;"|"&amp;DATOS!$D16631&amp;"|"&amp;DATOS!$E16631&amp;"|"&amp;DATOS!$I16631)</f>
      </c>
      <c r="G16631">
        <f>IF(DATOS!$A16631="",0,IF(CONFIG_METADATA!$B$4&lt;&gt;"OR+EX",--(DATOS!$G16631=CONFIG_METADATA!$B$4),IF(DATOS!$G16631="EX",1,IF(DATOS!$G16631="OR",--(COUNTIFS(nNIA,DATOS!$A16631,nCURSO,DATOS!$D16631,nESPEC,DATOS!$E16631,nASIG,DATOS!$I16631,nEVAL,"EX")=0),0))))</f>
      </c>
      <c r="H16631">
        <f>IF(DATOS!$G16631&lt;&gt;"EX",0,--(COUNTIFS(nNIA,DATOS!$A16631,nCURSO,DATOS!$D16631,nESPEC,DATOS!$E16631,nASIG,DATOS!$I16631,nEVAL,"OR")=0))</f>
      </c>
      <c r="I16631">
        <f>IF(DATOS!$I16631="","",IFERROR(VLOOKUP(DATOS!$I16631,CONFIG_ASIGNATURAS!$B$2:$J$91,9,FALSE()),""))</f>
      </c>
    </row>
    <row r="16632">
      <c r="F16632">
        <f>IF(DATOS!$A16632="","",DATOS!$A16632&amp;"|"&amp;DATOS!$D16632&amp;"|"&amp;DATOS!$E16632&amp;"|"&amp;DATOS!$I16632)</f>
      </c>
      <c r="G16632">
        <f>IF(DATOS!$A16632="",0,IF(CONFIG_METADATA!$B$4&lt;&gt;"OR+EX",--(DATOS!$G16632=CONFIG_METADATA!$B$4),IF(DATOS!$G16632="EX",1,IF(DATOS!$G16632="OR",--(COUNTIFS(nNIA,DATOS!$A16632,nCURSO,DATOS!$D16632,nESPEC,DATOS!$E16632,nASIG,DATOS!$I16632,nEVAL,"EX")=0),0))))</f>
      </c>
      <c r="H16632">
        <f>IF(DATOS!$G16632&lt;&gt;"EX",0,--(COUNTIFS(nNIA,DATOS!$A16632,nCURSO,DATOS!$D16632,nESPEC,DATOS!$E16632,nASIG,DATOS!$I16632,nEVAL,"OR")=0))</f>
      </c>
      <c r="I16632">
        <f>IF(DATOS!$I16632="","",IFERROR(VLOOKUP(DATOS!$I16632,CONFIG_ASIGNATURAS!$B$2:$J$91,9,FALSE()),""))</f>
      </c>
    </row>
    <row r="16633">
      <c r="F16633">
        <f>IF(DATOS!$A16633="","",DATOS!$A16633&amp;"|"&amp;DATOS!$D16633&amp;"|"&amp;DATOS!$E16633&amp;"|"&amp;DATOS!$I16633)</f>
      </c>
      <c r="G16633">
        <f>IF(DATOS!$A16633="",0,IF(CONFIG_METADATA!$B$4&lt;&gt;"OR+EX",--(DATOS!$G16633=CONFIG_METADATA!$B$4),IF(DATOS!$G16633="EX",1,IF(DATOS!$G16633="OR",--(COUNTIFS(nNIA,DATOS!$A16633,nCURSO,DATOS!$D16633,nESPEC,DATOS!$E16633,nASIG,DATOS!$I16633,nEVAL,"EX")=0),0))))</f>
      </c>
      <c r="H16633">
        <f>IF(DATOS!$G16633&lt;&gt;"EX",0,--(COUNTIFS(nNIA,DATOS!$A16633,nCURSO,DATOS!$D16633,nESPEC,DATOS!$E16633,nASIG,DATOS!$I16633,nEVAL,"OR")=0))</f>
      </c>
      <c r="I16633">
        <f>IF(DATOS!$I16633="","",IFERROR(VLOOKUP(DATOS!$I16633,CONFIG_ASIGNATURAS!$B$2:$J$91,9,FALSE()),""))</f>
      </c>
    </row>
    <row r="16634">
      <c r="F16634">
        <f>IF(DATOS!$A16634="","",DATOS!$A16634&amp;"|"&amp;DATOS!$D16634&amp;"|"&amp;DATOS!$E16634&amp;"|"&amp;DATOS!$I16634)</f>
      </c>
      <c r="G16634">
        <f>IF(DATOS!$A16634="",0,IF(CONFIG_METADATA!$B$4&lt;&gt;"OR+EX",--(DATOS!$G16634=CONFIG_METADATA!$B$4),IF(DATOS!$G16634="EX",1,IF(DATOS!$G16634="OR",--(COUNTIFS(nNIA,DATOS!$A16634,nCURSO,DATOS!$D16634,nESPEC,DATOS!$E16634,nASIG,DATOS!$I16634,nEVAL,"EX")=0),0))))</f>
      </c>
      <c r="H16634">
        <f>IF(DATOS!$G16634&lt;&gt;"EX",0,--(COUNTIFS(nNIA,DATOS!$A16634,nCURSO,DATOS!$D16634,nESPEC,DATOS!$E16634,nASIG,DATOS!$I16634,nEVAL,"OR")=0))</f>
      </c>
      <c r="I16634">
        <f>IF(DATOS!$I16634="","",IFERROR(VLOOKUP(DATOS!$I16634,CONFIG_ASIGNATURAS!$B$2:$J$91,9,FALSE()),""))</f>
      </c>
    </row>
    <row r="16635">
      <c r="F16635">
        <f>IF(DATOS!$A16635="","",DATOS!$A16635&amp;"|"&amp;DATOS!$D16635&amp;"|"&amp;DATOS!$E16635&amp;"|"&amp;DATOS!$I16635)</f>
      </c>
      <c r="G16635">
        <f>IF(DATOS!$A16635="",0,IF(CONFIG_METADATA!$B$4&lt;&gt;"OR+EX",--(DATOS!$G16635=CONFIG_METADATA!$B$4),IF(DATOS!$G16635="EX",1,IF(DATOS!$G16635="OR",--(COUNTIFS(nNIA,DATOS!$A16635,nCURSO,DATOS!$D16635,nESPEC,DATOS!$E16635,nASIG,DATOS!$I16635,nEVAL,"EX")=0),0))))</f>
      </c>
      <c r="H16635">
        <f>IF(DATOS!$G16635&lt;&gt;"EX",0,--(COUNTIFS(nNIA,DATOS!$A16635,nCURSO,DATOS!$D16635,nESPEC,DATOS!$E16635,nASIG,DATOS!$I16635,nEVAL,"OR")=0))</f>
      </c>
      <c r="I16635">
        <f>IF(DATOS!$I16635="","",IFERROR(VLOOKUP(DATOS!$I16635,CONFIG_ASIGNATURAS!$B$2:$J$91,9,FALSE()),""))</f>
      </c>
    </row>
    <row r="16636">
      <c r="F16636">
        <f>IF(DATOS!$A16636="","",DATOS!$A16636&amp;"|"&amp;DATOS!$D16636&amp;"|"&amp;DATOS!$E16636&amp;"|"&amp;DATOS!$I16636)</f>
      </c>
      <c r="G16636">
        <f>IF(DATOS!$A16636="",0,IF(CONFIG_METADATA!$B$4&lt;&gt;"OR+EX",--(DATOS!$G16636=CONFIG_METADATA!$B$4),IF(DATOS!$G16636="EX",1,IF(DATOS!$G16636="OR",--(COUNTIFS(nNIA,DATOS!$A16636,nCURSO,DATOS!$D16636,nESPEC,DATOS!$E16636,nASIG,DATOS!$I16636,nEVAL,"EX")=0),0))))</f>
      </c>
      <c r="H16636">
        <f>IF(DATOS!$G16636&lt;&gt;"EX",0,--(COUNTIFS(nNIA,DATOS!$A16636,nCURSO,DATOS!$D16636,nESPEC,DATOS!$E16636,nASIG,DATOS!$I16636,nEVAL,"OR")=0))</f>
      </c>
      <c r="I16636">
        <f>IF(DATOS!$I16636="","",IFERROR(VLOOKUP(DATOS!$I16636,CONFIG_ASIGNATURAS!$B$2:$J$91,9,FALSE()),""))</f>
      </c>
    </row>
    <row r="16637">
      <c r="F16637">
        <f>IF(DATOS!$A16637="","",DATOS!$A16637&amp;"|"&amp;DATOS!$D16637&amp;"|"&amp;DATOS!$E16637&amp;"|"&amp;DATOS!$I16637)</f>
      </c>
      <c r="G16637">
        <f>IF(DATOS!$A16637="",0,IF(CONFIG_METADATA!$B$4&lt;&gt;"OR+EX",--(DATOS!$G16637=CONFIG_METADATA!$B$4),IF(DATOS!$G16637="EX",1,IF(DATOS!$G16637="OR",--(COUNTIFS(nNIA,DATOS!$A16637,nCURSO,DATOS!$D16637,nESPEC,DATOS!$E16637,nASIG,DATOS!$I16637,nEVAL,"EX")=0),0))))</f>
      </c>
      <c r="H16637">
        <f>IF(DATOS!$G16637&lt;&gt;"EX",0,--(COUNTIFS(nNIA,DATOS!$A16637,nCURSO,DATOS!$D16637,nESPEC,DATOS!$E16637,nASIG,DATOS!$I16637,nEVAL,"OR")=0))</f>
      </c>
      <c r="I16637">
        <f>IF(DATOS!$I16637="","",IFERROR(VLOOKUP(DATOS!$I16637,CONFIG_ASIGNATURAS!$B$2:$J$91,9,FALSE()),""))</f>
      </c>
    </row>
    <row r="16638">
      <c r="F16638">
        <f>IF(DATOS!$A16638="","",DATOS!$A16638&amp;"|"&amp;DATOS!$D16638&amp;"|"&amp;DATOS!$E16638&amp;"|"&amp;DATOS!$I16638)</f>
      </c>
      <c r="G16638">
        <f>IF(DATOS!$A16638="",0,IF(CONFIG_METADATA!$B$4&lt;&gt;"OR+EX",--(DATOS!$G16638=CONFIG_METADATA!$B$4),IF(DATOS!$G16638="EX",1,IF(DATOS!$G16638="OR",--(COUNTIFS(nNIA,DATOS!$A16638,nCURSO,DATOS!$D16638,nESPEC,DATOS!$E16638,nASIG,DATOS!$I16638,nEVAL,"EX")=0),0))))</f>
      </c>
      <c r="H16638">
        <f>IF(DATOS!$G16638&lt;&gt;"EX",0,--(COUNTIFS(nNIA,DATOS!$A16638,nCURSO,DATOS!$D16638,nESPEC,DATOS!$E16638,nASIG,DATOS!$I16638,nEVAL,"OR")=0))</f>
      </c>
      <c r="I16638">
        <f>IF(DATOS!$I16638="","",IFERROR(VLOOKUP(DATOS!$I16638,CONFIG_ASIGNATURAS!$B$2:$J$91,9,FALSE()),""))</f>
      </c>
    </row>
    <row r="16639">
      <c r="F16639">
        <f>IF(DATOS!$A16639="","",DATOS!$A16639&amp;"|"&amp;DATOS!$D16639&amp;"|"&amp;DATOS!$E16639&amp;"|"&amp;DATOS!$I16639)</f>
      </c>
      <c r="G16639">
        <f>IF(DATOS!$A16639="",0,IF(CONFIG_METADATA!$B$4&lt;&gt;"OR+EX",--(DATOS!$G16639=CONFIG_METADATA!$B$4),IF(DATOS!$G16639="EX",1,IF(DATOS!$G16639="OR",--(COUNTIFS(nNIA,DATOS!$A16639,nCURSO,DATOS!$D16639,nESPEC,DATOS!$E16639,nASIG,DATOS!$I16639,nEVAL,"EX")=0),0))))</f>
      </c>
      <c r="H16639">
        <f>IF(DATOS!$G16639&lt;&gt;"EX",0,--(COUNTIFS(nNIA,DATOS!$A16639,nCURSO,DATOS!$D16639,nESPEC,DATOS!$E16639,nASIG,DATOS!$I16639,nEVAL,"OR")=0))</f>
      </c>
      <c r="I16639">
        <f>IF(DATOS!$I16639="","",IFERROR(VLOOKUP(DATOS!$I16639,CONFIG_ASIGNATURAS!$B$2:$J$91,9,FALSE()),""))</f>
      </c>
    </row>
    <row r="16640">
      <c r="F16640">
        <f>IF(DATOS!$A16640="","",DATOS!$A16640&amp;"|"&amp;DATOS!$D16640&amp;"|"&amp;DATOS!$E16640&amp;"|"&amp;DATOS!$I16640)</f>
      </c>
      <c r="G16640">
        <f>IF(DATOS!$A16640="",0,IF(CONFIG_METADATA!$B$4&lt;&gt;"OR+EX",--(DATOS!$G16640=CONFIG_METADATA!$B$4),IF(DATOS!$G16640="EX",1,IF(DATOS!$G16640="OR",--(COUNTIFS(nNIA,DATOS!$A16640,nCURSO,DATOS!$D16640,nESPEC,DATOS!$E16640,nASIG,DATOS!$I16640,nEVAL,"EX")=0),0))))</f>
      </c>
      <c r="H16640">
        <f>IF(DATOS!$G16640&lt;&gt;"EX",0,--(COUNTIFS(nNIA,DATOS!$A16640,nCURSO,DATOS!$D16640,nESPEC,DATOS!$E16640,nASIG,DATOS!$I16640,nEVAL,"OR")=0))</f>
      </c>
      <c r="I16640">
        <f>IF(DATOS!$I16640="","",IFERROR(VLOOKUP(DATOS!$I16640,CONFIG_ASIGNATURAS!$B$2:$J$91,9,FALSE()),""))</f>
      </c>
    </row>
    <row r="16641">
      <c r="F16641">
        <f>IF(DATOS!$A16641="","",DATOS!$A16641&amp;"|"&amp;DATOS!$D16641&amp;"|"&amp;DATOS!$E16641&amp;"|"&amp;DATOS!$I16641)</f>
      </c>
      <c r="G16641">
        <f>IF(DATOS!$A16641="",0,IF(CONFIG_METADATA!$B$4&lt;&gt;"OR+EX",--(DATOS!$G16641=CONFIG_METADATA!$B$4),IF(DATOS!$G16641="EX",1,IF(DATOS!$G16641="OR",--(COUNTIFS(nNIA,DATOS!$A16641,nCURSO,DATOS!$D16641,nESPEC,DATOS!$E16641,nASIG,DATOS!$I16641,nEVAL,"EX")=0),0))))</f>
      </c>
      <c r="H16641">
        <f>IF(DATOS!$G16641&lt;&gt;"EX",0,--(COUNTIFS(nNIA,DATOS!$A16641,nCURSO,DATOS!$D16641,nESPEC,DATOS!$E16641,nASIG,DATOS!$I16641,nEVAL,"OR")=0))</f>
      </c>
      <c r="I16641">
        <f>IF(DATOS!$I16641="","",IFERROR(VLOOKUP(DATOS!$I16641,CONFIG_ASIGNATURAS!$B$2:$J$91,9,FALSE()),""))</f>
      </c>
    </row>
    <row r="16642">
      <c r="F16642">
        <f>IF(DATOS!$A16642="","",DATOS!$A16642&amp;"|"&amp;DATOS!$D16642&amp;"|"&amp;DATOS!$E16642&amp;"|"&amp;DATOS!$I16642)</f>
      </c>
      <c r="G16642">
        <f>IF(DATOS!$A16642="",0,IF(CONFIG_METADATA!$B$4&lt;&gt;"OR+EX",--(DATOS!$G16642=CONFIG_METADATA!$B$4),IF(DATOS!$G16642="EX",1,IF(DATOS!$G16642="OR",--(COUNTIFS(nNIA,DATOS!$A16642,nCURSO,DATOS!$D16642,nESPEC,DATOS!$E16642,nASIG,DATOS!$I16642,nEVAL,"EX")=0),0))))</f>
      </c>
      <c r="H16642">
        <f>IF(DATOS!$G16642&lt;&gt;"EX",0,--(COUNTIFS(nNIA,DATOS!$A16642,nCURSO,DATOS!$D16642,nESPEC,DATOS!$E16642,nASIG,DATOS!$I16642,nEVAL,"OR")=0))</f>
      </c>
      <c r="I16642">
        <f>IF(DATOS!$I16642="","",IFERROR(VLOOKUP(DATOS!$I16642,CONFIG_ASIGNATURAS!$B$2:$J$91,9,FALSE()),""))</f>
      </c>
    </row>
    <row r="16643">
      <c r="F16643">
        <f>IF(DATOS!$A16643="","",DATOS!$A16643&amp;"|"&amp;DATOS!$D16643&amp;"|"&amp;DATOS!$E16643&amp;"|"&amp;DATOS!$I16643)</f>
      </c>
      <c r="G16643">
        <f>IF(DATOS!$A16643="",0,IF(CONFIG_METADATA!$B$4&lt;&gt;"OR+EX",--(DATOS!$G16643=CONFIG_METADATA!$B$4),IF(DATOS!$G16643="EX",1,IF(DATOS!$G16643="OR",--(COUNTIFS(nNIA,DATOS!$A16643,nCURSO,DATOS!$D16643,nESPEC,DATOS!$E16643,nASIG,DATOS!$I16643,nEVAL,"EX")=0),0))))</f>
      </c>
      <c r="H16643">
        <f>IF(DATOS!$G16643&lt;&gt;"EX",0,--(COUNTIFS(nNIA,DATOS!$A16643,nCURSO,DATOS!$D16643,nESPEC,DATOS!$E16643,nASIG,DATOS!$I16643,nEVAL,"OR")=0))</f>
      </c>
      <c r="I16643">
        <f>IF(DATOS!$I16643="","",IFERROR(VLOOKUP(DATOS!$I16643,CONFIG_ASIGNATURAS!$B$2:$J$91,9,FALSE()),""))</f>
      </c>
    </row>
    <row r="16644">
      <c r="F16644">
        <f>IF(DATOS!$A16644="","",DATOS!$A16644&amp;"|"&amp;DATOS!$D16644&amp;"|"&amp;DATOS!$E16644&amp;"|"&amp;DATOS!$I16644)</f>
      </c>
      <c r="G16644">
        <f>IF(DATOS!$A16644="",0,IF(CONFIG_METADATA!$B$4&lt;&gt;"OR+EX",--(DATOS!$G16644=CONFIG_METADATA!$B$4),IF(DATOS!$G16644="EX",1,IF(DATOS!$G16644="OR",--(COUNTIFS(nNIA,DATOS!$A16644,nCURSO,DATOS!$D16644,nESPEC,DATOS!$E16644,nASIG,DATOS!$I16644,nEVAL,"EX")=0),0))))</f>
      </c>
      <c r="H16644">
        <f>IF(DATOS!$G16644&lt;&gt;"EX",0,--(COUNTIFS(nNIA,DATOS!$A16644,nCURSO,DATOS!$D16644,nESPEC,DATOS!$E16644,nASIG,DATOS!$I16644,nEVAL,"OR")=0))</f>
      </c>
      <c r="I16644">
        <f>IF(DATOS!$I16644="","",IFERROR(VLOOKUP(DATOS!$I16644,CONFIG_ASIGNATURAS!$B$2:$J$91,9,FALSE()),""))</f>
      </c>
    </row>
    <row r="16645">
      <c r="F16645">
        <f>IF(DATOS!$A16645="","",DATOS!$A16645&amp;"|"&amp;DATOS!$D16645&amp;"|"&amp;DATOS!$E16645&amp;"|"&amp;DATOS!$I16645)</f>
      </c>
      <c r="G16645">
        <f>IF(DATOS!$A16645="",0,IF(CONFIG_METADATA!$B$4&lt;&gt;"OR+EX",--(DATOS!$G16645=CONFIG_METADATA!$B$4),IF(DATOS!$G16645="EX",1,IF(DATOS!$G16645="OR",--(COUNTIFS(nNIA,DATOS!$A16645,nCURSO,DATOS!$D16645,nESPEC,DATOS!$E16645,nASIG,DATOS!$I16645,nEVAL,"EX")=0),0))))</f>
      </c>
      <c r="H16645">
        <f>IF(DATOS!$G16645&lt;&gt;"EX",0,--(COUNTIFS(nNIA,DATOS!$A16645,nCURSO,DATOS!$D16645,nESPEC,DATOS!$E16645,nASIG,DATOS!$I16645,nEVAL,"OR")=0))</f>
      </c>
      <c r="I16645">
        <f>IF(DATOS!$I16645="","",IFERROR(VLOOKUP(DATOS!$I16645,CONFIG_ASIGNATURAS!$B$2:$J$91,9,FALSE()),""))</f>
      </c>
    </row>
    <row r="16646">
      <c r="F16646">
        <f>IF(DATOS!$A16646="","",DATOS!$A16646&amp;"|"&amp;DATOS!$D16646&amp;"|"&amp;DATOS!$E16646&amp;"|"&amp;DATOS!$I16646)</f>
      </c>
      <c r="G16646">
        <f>IF(DATOS!$A16646="",0,IF(CONFIG_METADATA!$B$4&lt;&gt;"OR+EX",--(DATOS!$G16646=CONFIG_METADATA!$B$4),IF(DATOS!$G16646="EX",1,IF(DATOS!$G16646="OR",--(COUNTIFS(nNIA,DATOS!$A16646,nCURSO,DATOS!$D16646,nESPEC,DATOS!$E16646,nASIG,DATOS!$I16646,nEVAL,"EX")=0),0))))</f>
      </c>
      <c r="H16646">
        <f>IF(DATOS!$G16646&lt;&gt;"EX",0,--(COUNTIFS(nNIA,DATOS!$A16646,nCURSO,DATOS!$D16646,nESPEC,DATOS!$E16646,nASIG,DATOS!$I16646,nEVAL,"OR")=0))</f>
      </c>
      <c r="I16646">
        <f>IF(DATOS!$I16646="","",IFERROR(VLOOKUP(DATOS!$I16646,CONFIG_ASIGNATURAS!$B$2:$J$91,9,FALSE()),""))</f>
      </c>
    </row>
    <row r="16647">
      <c r="F16647">
        <f>IF(DATOS!$A16647="","",DATOS!$A16647&amp;"|"&amp;DATOS!$D16647&amp;"|"&amp;DATOS!$E16647&amp;"|"&amp;DATOS!$I16647)</f>
      </c>
      <c r="G16647">
        <f>IF(DATOS!$A16647="",0,IF(CONFIG_METADATA!$B$4&lt;&gt;"OR+EX",--(DATOS!$G16647=CONFIG_METADATA!$B$4),IF(DATOS!$G16647="EX",1,IF(DATOS!$G16647="OR",--(COUNTIFS(nNIA,DATOS!$A16647,nCURSO,DATOS!$D16647,nESPEC,DATOS!$E16647,nASIG,DATOS!$I16647,nEVAL,"EX")=0),0))))</f>
      </c>
      <c r="H16647">
        <f>IF(DATOS!$G16647&lt;&gt;"EX",0,--(COUNTIFS(nNIA,DATOS!$A16647,nCURSO,DATOS!$D16647,nESPEC,DATOS!$E16647,nASIG,DATOS!$I16647,nEVAL,"OR")=0))</f>
      </c>
      <c r="I16647">
        <f>IF(DATOS!$I16647="","",IFERROR(VLOOKUP(DATOS!$I16647,CONFIG_ASIGNATURAS!$B$2:$J$91,9,FALSE()),""))</f>
      </c>
    </row>
    <row r="16648">
      <c r="F16648">
        <f>IF(DATOS!$A16648="","",DATOS!$A16648&amp;"|"&amp;DATOS!$D16648&amp;"|"&amp;DATOS!$E16648&amp;"|"&amp;DATOS!$I16648)</f>
      </c>
      <c r="G16648">
        <f>IF(DATOS!$A16648="",0,IF(CONFIG_METADATA!$B$4&lt;&gt;"OR+EX",--(DATOS!$G16648=CONFIG_METADATA!$B$4),IF(DATOS!$G16648="EX",1,IF(DATOS!$G16648="OR",--(COUNTIFS(nNIA,DATOS!$A16648,nCURSO,DATOS!$D16648,nESPEC,DATOS!$E16648,nASIG,DATOS!$I16648,nEVAL,"EX")=0),0))))</f>
      </c>
      <c r="H16648">
        <f>IF(DATOS!$G16648&lt;&gt;"EX",0,--(COUNTIFS(nNIA,DATOS!$A16648,nCURSO,DATOS!$D16648,nESPEC,DATOS!$E16648,nASIG,DATOS!$I16648,nEVAL,"OR")=0))</f>
      </c>
      <c r="I16648">
        <f>IF(DATOS!$I16648="","",IFERROR(VLOOKUP(DATOS!$I16648,CONFIG_ASIGNATURAS!$B$2:$J$91,9,FALSE()),""))</f>
      </c>
    </row>
    <row r="16649">
      <c r="F16649">
        <f>IF(DATOS!$A16649="","",DATOS!$A16649&amp;"|"&amp;DATOS!$D16649&amp;"|"&amp;DATOS!$E16649&amp;"|"&amp;DATOS!$I16649)</f>
      </c>
      <c r="G16649">
        <f>IF(DATOS!$A16649="",0,IF(CONFIG_METADATA!$B$4&lt;&gt;"OR+EX",--(DATOS!$G16649=CONFIG_METADATA!$B$4),IF(DATOS!$G16649="EX",1,IF(DATOS!$G16649="OR",--(COUNTIFS(nNIA,DATOS!$A16649,nCURSO,DATOS!$D16649,nESPEC,DATOS!$E16649,nASIG,DATOS!$I16649,nEVAL,"EX")=0),0))))</f>
      </c>
      <c r="H16649">
        <f>IF(DATOS!$G16649&lt;&gt;"EX",0,--(COUNTIFS(nNIA,DATOS!$A16649,nCURSO,DATOS!$D16649,nESPEC,DATOS!$E16649,nASIG,DATOS!$I16649,nEVAL,"OR")=0))</f>
      </c>
      <c r="I16649">
        <f>IF(DATOS!$I16649="","",IFERROR(VLOOKUP(DATOS!$I16649,CONFIG_ASIGNATURAS!$B$2:$J$91,9,FALSE()),""))</f>
      </c>
    </row>
    <row r="16650">
      <c r="F16650">
        <f>IF(DATOS!$A16650="","",DATOS!$A16650&amp;"|"&amp;DATOS!$D16650&amp;"|"&amp;DATOS!$E16650&amp;"|"&amp;DATOS!$I16650)</f>
      </c>
      <c r="G16650">
        <f>IF(DATOS!$A16650="",0,IF(CONFIG_METADATA!$B$4&lt;&gt;"OR+EX",--(DATOS!$G16650=CONFIG_METADATA!$B$4),IF(DATOS!$G16650="EX",1,IF(DATOS!$G16650="OR",--(COUNTIFS(nNIA,DATOS!$A16650,nCURSO,DATOS!$D16650,nESPEC,DATOS!$E16650,nASIG,DATOS!$I16650,nEVAL,"EX")=0),0))))</f>
      </c>
      <c r="H16650">
        <f>IF(DATOS!$G16650&lt;&gt;"EX",0,--(COUNTIFS(nNIA,DATOS!$A16650,nCURSO,DATOS!$D16650,nESPEC,DATOS!$E16650,nASIG,DATOS!$I16650,nEVAL,"OR")=0))</f>
      </c>
      <c r="I16650">
        <f>IF(DATOS!$I16650="","",IFERROR(VLOOKUP(DATOS!$I16650,CONFIG_ASIGNATURAS!$B$2:$J$91,9,FALSE()),""))</f>
      </c>
    </row>
    <row r="16651">
      <c r="F16651">
        <f>IF(DATOS!$A16651="","",DATOS!$A16651&amp;"|"&amp;DATOS!$D16651&amp;"|"&amp;DATOS!$E16651&amp;"|"&amp;DATOS!$I16651)</f>
      </c>
      <c r="G16651">
        <f>IF(DATOS!$A16651="",0,IF(CONFIG_METADATA!$B$4&lt;&gt;"OR+EX",--(DATOS!$G16651=CONFIG_METADATA!$B$4),IF(DATOS!$G16651="EX",1,IF(DATOS!$G16651="OR",--(COUNTIFS(nNIA,DATOS!$A16651,nCURSO,DATOS!$D16651,nESPEC,DATOS!$E16651,nASIG,DATOS!$I16651,nEVAL,"EX")=0),0))))</f>
      </c>
      <c r="H16651">
        <f>IF(DATOS!$G16651&lt;&gt;"EX",0,--(COUNTIFS(nNIA,DATOS!$A16651,nCURSO,DATOS!$D16651,nESPEC,DATOS!$E16651,nASIG,DATOS!$I16651,nEVAL,"OR")=0))</f>
      </c>
      <c r="I16651">
        <f>IF(DATOS!$I16651="","",IFERROR(VLOOKUP(DATOS!$I16651,CONFIG_ASIGNATURAS!$B$2:$J$91,9,FALSE()),""))</f>
      </c>
    </row>
    <row r="16652">
      <c r="F16652">
        <f>IF(DATOS!$A16652="","",DATOS!$A16652&amp;"|"&amp;DATOS!$D16652&amp;"|"&amp;DATOS!$E16652&amp;"|"&amp;DATOS!$I16652)</f>
      </c>
      <c r="G16652">
        <f>IF(DATOS!$A16652="",0,IF(CONFIG_METADATA!$B$4&lt;&gt;"OR+EX",--(DATOS!$G16652=CONFIG_METADATA!$B$4),IF(DATOS!$G16652="EX",1,IF(DATOS!$G16652="OR",--(COUNTIFS(nNIA,DATOS!$A16652,nCURSO,DATOS!$D16652,nESPEC,DATOS!$E16652,nASIG,DATOS!$I16652,nEVAL,"EX")=0),0))))</f>
      </c>
      <c r="H16652">
        <f>IF(DATOS!$G16652&lt;&gt;"EX",0,--(COUNTIFS(nNIA,DATOS!$A16652,nCURSO,DATOS!$D16652,nESPEC,DATOS!$E16652,nASIG,DATOS!$I16652,nEVAL,"OR")=0))</f>
      </c>
      <c r="I16652">
        <f>IF(DATOS!$I16652="","",IFERROR(VLOOKUP(DATOS!$I16652,CONFIG_ASIGNATURAS!$B$2:$J$91,9,FALSE()),""))</f>
      </c>
    </row>
    <row r="16653">
      <c r="F16653">
        <f>IF(DATOS!$A16653="","",DATOS!$A16653&amp;"|"&amp;DATOS!$D16653&amp;"|"&amp;DATOS!$E16653&amp;"|"&amp;DATOS!$I16653)</f>
      </c>
      <c r="G16653">
        <f>IF(DATOS!$A16653="",0,IF(CONFIG_METADATA!$B$4&lt;&gt;"OR+EX",--(DATOS!$G16653=CONFIG_METADATA!$B$4),IF(DATOS!$G16653="EX",1,IF(DATOS!$G16653="OR",--(COUNTIFS(nNIA,DATOS!$A16653,nCURSO,DATOS!$D16653,nESPEC,DATOS!$E16653,nASIG,DATOS!$I16653,nEVAL,"EX")=0),0))))</f>
      </c>
      <c r="H16653">
        <f>IF(DATOS!$G16653&lt;&gt;"EX",0,--(COUNTIFS(nNIA,DATOS!$A16653,nCURSO,DATOS!$D16653,nESPEC,DATOS!$E16653,nASIG,DATOS!$I16653,nEVAL,"OR")=0))</f>
      </c>
      <c r="I16653">
        <f>IF(DATOS!$I16653="","",IFERROR(VLOOKUP(DATOS!$I16653,CONFIG_ASIGNATURAS!$B$2:$J$91,9,FALSE()),""))</f>
      </c>
    </row>
    <row r="16654">
      <c r="F16654">
        <f>IF(DATOS!$A16654="","",DATOS!$A16654&amp;"|"&amp;DATOS!$D16654&amp;"|"&amp;DATOS!$E16654&amp;"|"&amp;DATOS!$I16654)</f>
      </c>
      <c r="G16654">
        <f>IF(DATOS!$A16654="",0,IF(CONFIG_METADATA!$B$4&lt;&gt;"OR+EX",--(DATOS!$G16654=CONFIG_METADATA!$B$4),IF(DATOS!$G16654="EX",1,IF(DATOS!$G16654="OR",--(COUNTIFS(nNIA,DATOS!$A16654,nCURSO,DATOS!$D16654,nESPEC,DATOS!$E16654,nASIG,DATOS!$I16654,nEVAL,"EX")=0),0))))</f>
      </c>
      <c r="H16654">
        <f>IF(DATOS!$G16654&lt;&gt;"EX",0,--(COUNTIFS(nNIA,DATOS!$A16654,nCURSO,DATOS!$D16654,nESPEC,DATOS!$E16654,nASIG,DATOS!$I16654,nEVAL,"OR")=0))</f>
      </c>
      <c r="I16654">
        <f>IF(DATOS!$I16654="","",IFERROR(VLOOKUP(DATOS!$I16654,CONFIG_ASIGNATURAS!$B$2:$J$91,9,FALSE()),""))</f>
      </c>
    </row>
    <row r="16655">
      <c r="F16655">
        <f>IF(DATOS!$A16655="","",DATOS!$A16655&amp;"|"&amp;DATOS!$D16655&amp;"|"&amp;DATOS!$E16655&amp;"|"&amp;DATOS!$I16655)</f>
      </c>
      <c r="G16655">
        <f>IF(DATOS!$A16655="",0,IF(CONFIG_METADATA!$B$4&lt;&gt;"OR+EX",--(DATOS!$G16655=CONFIG_METADATA!$B$4),IF(DATOS!$G16655="EX",1,IF(DATOS!$G16655="OR",--(COUNTIFS(nNIA,DATOS!$A16655,nCURSO,DATOS!$D16655,nESPEC,DATOS!$E16655,nASIG,DATOS!$I16655,nEVAL,"EX")=0),0))))</f>
      </c>
      <c r="H16655">
        <f>IF(DATOS!$G16655&lt;&gt;"EX",0,--(COUNTIFS(nNIA,DATOS!$A16655,nCURSO,DATOS!$D16655,nESPEC,DATOS!$E16655,nASIG,DATOS!$I16655,nEVAL,"OR")=0))</f>
      </c>
      <c r="I16655">
        <f>IF(DATOS!$I16655="","",IFERROR(VLOOKUP(DATOS!$I16655,CONFIG_ASIGNATURAS!$B$2:$J$91,9,FALSE()),""))</f>
      </c>
    </row>
    <row r="16656">
      <c r="F16656">
        <f>IF(DATOS!$A16656="","",DATOS!$A16656&amp;"|"&amp;DATOS!$D16656&amp;"|"&amp;DATOS!$E16656&amp;"|"&amp;DATOS!$I16656)</f>
      </c>
      <c r="G16656">
        <f>IF(DATOS!$A16656="",0,IF(CONFIG_METADATA!$B$4&lt;&gt;"OR+EX",--(DATOS!$G16656=CONFIG_METADATA!$B$4),IF(DATOS!$G16656="EX",1,IF(DATOS!$G16656="OR",--(COUNTIFS(nNIA,DATOS!$A16656,nCURSO,DATOS!$D16656,nESPEC,DATOS!$E16656,nASIG,DATOS!$I16656,nEVAL,"EX")=0),0))))</f>
      </c>
      <c r="H16656">
        <f>IF(DATOS!$G16656&lt;&gt;"EX",0,--(COUNTIFS(nNIA,DATOS!$A16656,nCURSO,DATOS!$D16656,nESPEC,DATOS!$E16656,nASIG,DATOS!$I16656,nEVAL,"OR")=0))</f>
      </c>
      <c r="I16656">
        <f>IF(DATOS!$I16656="","",IFERROR(VLOOKUP(DATOS!$I16656,CONFIG_ASIGNATURAS!$B$2:$J$91,9,FALSE()),""))</f>
      </c>
    </row>
    <row r="16657">
      <c r="F16657">
        <f>IF(DATOS!$A16657="","",DATOS!$A16657&amp;"|"&amp;DATOS!$D16657&amp;"|"&amp;DATOS!$E16657&amp;"|"&amp;DATOS!$I16657)</f>
      </c>
      <c r="G16657">
        <f>IF(DATOS!$A16657="",0,IF(CONFIG_METADATA!$B$4&lt;&gt;"OR+EX",--(DATOS!$G16657=CONFIG_METADATA!$B$4),IF(DATOS!$G16657="EX",1,IF(DATOS!$G16657="OR",--(COUNTIFS(nNIA,DATOS!$A16657,nCURSO,DATOS!$D16657,nESPEC,DATOS!$E16657,nASIG,DATOS!$I16657,nEVAL,"EX")=0),0))))</f>
      </c>
      <c r="H16657">
        <f>IF(DATOS!$G16657&lt;&gt;"EX",0,--(COUNTIFS(nNIA,DATOS!$A16657,nCURSO,DATOS!$D16657,nESPEC,DATOS!$E16657,nASIG,DATOS!$I16657,nEVAL,"OR")=0))</f>
      </c>
      <c r="I16657">
        <f>IF(DATOS!$I16657="","",IFERROR(VLOOKUP(DATOS!$I16657,CONFIG_ASIGNATURAS!$B$2:$J$91,9,FALSE()),""))</f>
      </c>
    </row>
    <row r="16658">
      <c r="F16658">
        <f>IF(DATOS!$A16658="","",DATOS!$A16658&amp;"|"&amp;DATOS!$D16658&amp;"|"&amp;DATOS!$E16658&amp;"|"&amp;DATOS!$I16658)</f>
      </c>
      <c r="G16658">
        <f>IF(DATOS!$A16658="",0,IF(CONFIG_METADATA!$B$4&lt;&gt;"OR+EX",--(DATOS!$G16658=CONFIG_METADATA!$B$4),IF(DATOS!$G16658="EX",1,IF(DATOS!$G16658="OR",--(COUNTIFS(nNIA,DATOS!$A16658,nCURSO,DATOS!$D16658,nESPEC,DATOS!$E16658,nASIG,DATOS!$I16658,nEVAL,"EX")=0),0))))</f>
      </c>
      <c r="H16658">
        <f>IF(DATOS!$G16658&lt;&gt;"EX",0,--(COUNTIFS(nNIA,DATOS!$A16658,nCURSO,DATOS!$D16658,nESPEC,DATOS!$E16658,nASIG,DATOS!$I16658,nEVAL,"OR")=0))</f>
      </c>
      <c r="I16658">
        <f>IF(DATOS!$I16658="","",IFERROR(VLOOKUP(DATOS!$I16658,CONFIG_ASIGNATURAS!$B$2:$J$91,9,FALSE()),""))</f>
      </c>
    </row>
    <row r="16659">
      <c r="F16659">
        <f>IF(DATOS!$A16659="","",DATOS!$A16659&amp;"|"&amp;DATOS!$D16659&amp;"|"&amp;DATOS!$E16659&amp;"|"&amp;DATOS!$I16659)</f>
      </c>
      <c r="G16659">
        <f>IF(DATOS!$A16659="",0,IF(CONFIG_METADATA!$B$4&lt;&gt;"OR+EX",--(DATOS!$G16659=CONFIG_METADATA!$B$4),IF(DATOS!$G16659="EX",1,IF(DATOS!$G16659="OR",--(COUNTIFS(nNIA,DATOS!$A16659,nCURSO,DATOS!$D16659,nESPEC,DATOS!$E16659,nASIG,DATOS!$I16659,nEVAL,"EX")=0),0))))</f>
      </c>
      <c r="H16659">
        <f>IF(DATOS!$G16659&lt;&gt;"EX",0,--(COUNTIFS(nNIA,DATOS!$A16659,nCURSO,DATOS!$D16659,nESPEC,DATOS!$E16659,nASIG,DATOS!$I16659,nEVAL,"OR")=0))</f>
      </c>
      <c r="I16659">
        <f>IF(DATOS!$I16659="","",IFERROR(VLOOKUP(DATOS!$I16659,CONFIG_ASIGNATURAS!$B$2:$J$91,9,FALSE()),""))</f>
      </c>
    </row>
    <row r="16660">
      <c r="F16660">
        <f>IF(DATOS!$A16660="","",DATOS!$A16660&amp;"|"&amp;DATOS!$D16660&amp;"|"&amp;DATOS!$E16660&amp;"|"&amp;DATOS!$I16660)</f>
      </c>
      <c r="G16660">
        <f>IF(DATOS!$A16660="",0,IF(CONFIG_METADATA!$B$4&lt;&gt;"OR+EX",--(DATOS!$G16660=CONFIG_METADATA!$B$4),IF(DATOS!$G16660="EX",1,IF(DATOS!$G16660="OR",--(COUNTIFS(nNIA,DATOS!$A16660,nCURSO,DATOS!$D16660,nESPEC,DATOS!$E16660,nASIG,DATOS!$I16660,nEVAL,"EX")=0),0))))</f>
      </c>
      <c r="H16660">
        <f>IF(DATOS!$G16660&lt;&gt;"EX",0,--(COUNTIFS(nNIA,DATOS!$A16660,nCURSO,DATOS!$D16660,nESPEC,DATOS!$E16660,nASIG,DATOS!$I16660,nEVAL,"OR")=0))</f>
      </c>
      <c r="I16660">
        <f>IF(DATOS!$I16660="","",IFERROR(VLOOKUP(DATOS!$I16660,CONFIG_ASIGNATURAS!$B$2:$J$91,9,FALSE()),""))</f>
      </c>
    </row>
    <row r="16661">
      <c r="F16661">
        <f>IF(DATOS!$A16661="","",DATOS!$A16661&amp;"|"&amp;DATOS!$D16661&amp;"|"&amp;DATOS!$E16661&amp;"|"&amp;DATOS!$I16661)</f>
      </c>
      <c r="G16661">
        <f>IF(DATOS!$A16661="",0,IF(CONFIG_METADATA!$B$4&lt;&gt;"OR+EX",--(DATOS!$G16661=CONFIG_METADATA!$B$4),IF(DATOS!$G16661="EX",1,IF(DATOS!$G16661="OR",--(COUNTIFS(nNIA,DATOS!$A16661,nCURSO,DATOS!$D16661,nESPEC,DATOS!$E16661,nASIG,DATOS!$I16661,nEVAL,"EX")=0),0))))</f>
      </c>
      <c r="H16661">
        <f>IF(DATOS!$G16661&lt;&gt;"EX",0,--(COUNTIFS(nNIA,DATOS!$A16661,nCURSO,DATOS!$D16661,nESPEC,DATOS!$E16661,nASIG,DATOS!$I16661,nEVAL,"OR")=0))</f>
      </c>
      <c r="I16661">
        <f>IF(DATOS!$I16661="","",IFERROR(VLOOKUP(DATOS!$I16661,CONFIG_ASIGNATURAS!$B$2:$J$91,9,FALSE()),""))</f>
      </c>
    </row>
    <row r="16662">
      <c r="F16662">
        <f>IF(DATOS!$A16662="","",DATOS!$A16662&amp;"|"&amp;DATOS!$D16662&amp;"|"&amp;DATOS!$E16662&amp;"|"&amp;DATOS!$I16662)</f>
      </c>
      <c r="G16662">
        <f>IF(DATOS!$A16662="",0,IF(CONFIG_METADATA!$B$4&lt;&gt;"OR+EX",--(DATOS!$G16662=CONFIG_METADATA!$B$4),IF(DATOS!$G16662="EX",1,IF(DATOS!$G16662="OR",--(COUNTIFS(nNIA,DATOS!$A16662,nCURSO,DATOS!$D16662,nESPEC,DATOS!$E16662,nASIG,DATOS!$I16662,nEVAL,"EX")=0),0))))</f>
      </c>
      <c r="H16662">
        <f>IF(DATOS!$G16662&lt;&gt;"EX",0,--(COUNTIFS(nNIA,DATOS!$A16662,nCURSO,DATOS!$D16662,nESPEC,DATOS!$E16662,nASIG,DATOS!$I16662,nEVAL,"OR")=0))</f>
      </c>
      <c r="I16662">
        <f>IF(DATOS!$I16662="","",IFERROR(VLOOKUP(DATOS!$I16662,CONFIG_ASIGNATURAS!$B$2:$J$91,9,FALSE()),""))</f>
      </c>
    </row>
    <row r="16663">
      <c r="F16663">
        <f>IF(DATOS!$A16663="","",DATOS!$A16663&amp;"|"&amp;DATOS!$D16663&amp;"|"&amp;DATOS!$E16663&amp;"|"&amp;DATOS!$I16663)</f>
      </c>
      <c r="G16663">
        <f>IF(DATOS!$A16663="",0,IF(CONFIG_METADATA!$B$4&lt;&gt;"OR+EX",--(DATOS!$G16663=CONFIG_METADATA!$B$4),IF(DATOS!$G16663="EX",1,IF(DATOS!$G16663="OR",--(COUNTIFS(nNIA,DATOS!$A16663,nCURSO,DATOS!$D16663,nESPEC,DATOS!$E16663,nASIG,DATOS!$I16663,nEVAL,"EX")=0),0))))</f>
      </c>
      <c r="H16663">
        <f>IF(DATOS!$G16663&lt;&gt;"EX",0,--(COUNTIFS(nNIA,DATOS!$A16663,nCURSO,DATOS!$D16663,nESPEC,DATOS!$E16663,nASIG,DATOS!$I16663,nEVAL,"OR")=0))</f>
      </c>
      <c r="I16663">
        <f>IF(DATOS!$I16663="","",IFERROR(VLOOKUP(DATOS!$I16663,CONFIG_ASIGNATURAS!$B$2:$J$91,9,FALSE()),""))</f>
      </c>
    </row>
    <row r="16664">
      <c r="F16664">
        <f>IF(DATOS!$A16664="","",DATOS!$A16664&amp;"|"&amp;DATOS!$D16664&amp;"|"&amp;DATOS!$E16664&amp;"|"&amp;DATOS!$I16664)</f>
      </c>
      <c r="G16664">
        <f>IF(DATOS!$A16664="",0,IF(CONFIG_METADATA!$B$4&lt;&gt;"OR+EX",--(DATOS!$G16664=CONFIG_METADATA!$B$4),IF(DATOS!$G16664="EX",1,IF(DATOS!$G16664="OR",--(COUNTIFS(nNIA,DATOS!$A16664,nCURSO,DATOS!$D16664,nESPEC,DATOS!$E16664,nASIG,DATOS!$I16664,nEVAL,"EX")=0),0))))</f>
      </c>
      <c r="H16664">
        <f>IF(DATOS!$G16664&lt;&gt;"EX",0,--(COUNTIFS(nNIA,DATOS!$A16664,nCURSO,DATOS!$D16664,nESPEC,DATOS!$E16664,nASIG,DATOS!$I16664,nEVAL,"OR")=0))</f>
      </c>
      <c r="I16664">
        <f>IF(DATOS!$I16664="","",IFERROR(VLOOKUP(DATOS!$I16664,CONFIG_ASIGNATURAS!$B$2:$J$91,9,FALSE()),""))</f>
      </c>
    </row>
    <row r="16665">
      <c r="F16665">
        <f>IF(DATOS!$A16665="","",DATOS!$A16665&amp;"|"&amp;DATOS!$D16665&amp;"|"&amp;DATOS!$E16665&amp;"|"&amp;DATOS!$I16665)</f>
      </c>
      <c r="G16665">
        <f>IF(DATOS!$A16665="",0,IF(CONFIG_METADATA!$B$4&lt;&gt;"OR+EX",--(DATOS!$G16665=CONFIG_METADATA!$B$4),IF(DATOS!$G16665="EX",1,IF(DATOS!$G16665="OR",--(COUNTIFS(nNIA,DATOS!$A16665,nCURSO,DATOS!$D16665,nESPEC,DATOS!$E16665,nASIG,DATOS!$I16665,nEVAL,"EX")=0),0))))</f>
      </c>
      <c r="H16665">
        <f>IF(DATOS!$G16665&lt;&gt;"EX",0,--(COUNTIFS(nNIA,DATOS!$A16665,nCURSO,DATOS!$D16665,nESPEC,DATOS!$E16665,nASIG,DATOS!$I16665,nEVAL,"OR")=0))</f>
      </c>
      <c r="I16665">
        <f>IF(DATOS!$I16665="","",IFERROR(VLOOKUP(DATOS!$I16665,CONFIG_ASIGNATURAS!$B$2:$J$91,9,FALSE()),""))</f>
      </c>
    </row>
    <row r="16666">
      <c r="F16666">
        <f>IF(DATOS!$A16666="","",DATOS!$A16666&amp;"|"&amp;DATOS!$D16666&amp;"|"&amp;DATOS!$E16666&amp;"|"&amp;DATOS!$I16666)</f>
      </c>
      <c r="G16666">
        <f>IF(DATOS!$A16666="",0,IF(CONFIG_METADATA!$B$4&lt;&gt;"OR+EX",--(DATOS!$G16666=CONFIG_METADATA!$B$4),IF(DATOS!$G16666="EX",1,IF(DATOS!$G16666="OR",--(COUNTIFS(nNIA,DATOS!$A16666,nCURSO,DATOS!$D16666,nESPEC,DATOS!$E16666,nASIG,DATOS!$I16666,nEVAL,"EX")=0),0))))</f>
      </c>
      <c r="H16666">
        <f>IF(DATOS!$G16666&lt;&gt;"EX",0,--(COUNTIFS(nNIA,DATOS!$A16666,nCURSO,DATOS!$D16666,nESPEC,DATOS!$E16666,nASIG,DATOS!$I16666,nEVAL,"OR")=0))</f>
      </c>
      <c r="I16666">
        <f>IF(DATOS!$I16666="","",IFERROR(VLOOKUP(DATOS!$I16666,CONFIG_ASIGNATURAS!$B$2:$J$91,9,FALSE()),""))</f>
      </c>
    </row>
    <row r="16667">
      <c r="F16667">
        <f>IF(DATOS!$A16667="","",DATOS!$A16667&amp;"|"&amp;DATOS!$D16667&amp;"|"&amp;DATOS!$E16667&amp;"|"&amp;DATOS!$I16667)</f>
      </c>
      <c r="G16667">
        <f>IF(DATOS!$A16667="",0,IF(CONFIG_METADATA!$B$4&lt;&gt;"OR+EX",--(DATOS!$G16667=CONFIG_METADATA!$B$4),IF(DATOS!$G16667="EX",1,IF(DATOS!$G16667="OR",--(COUNTIFS(nNIA,DATOS!$A16667,nCURSO,DATOS!$D16667,nESPEC,DATOS!$E16667,nASIG,DATOS!$I16667,nEVAL,"EX")=0),0))))</f>
      </c>
      <c r="H16667">
        <f>IF(DATOS!$G16667&lt;&gt;"EX",0,--(COUNTIFS(nNIA,DATOS!$A16667,nCURSO,DATOS!$D16667,nESPEC,DATOS!$E16667,nASIG,DATOS!$I16667,nEVAL,"OR")=0))</f>
      </c>
      <c r="I16667">
        <f>IF(DATOS!$I16667="","",IFERROR(VLOOKUP(DATOS!$I16667,CONFIG_ASIGNATURAS!$B$2:$J$91,9,FALSE()),""))</f>
      </c>
    </row>
    <row r="16668">
      <c r="F16668">
        <f>IF(DATOS!$A16668="","",DATOS!$A16668&amp;"|"&amp;DATOS!$D16668&amp;"|"&amp;DATOS!$E16668&amp;"|"&amp;DATOS!$I16668)</f>
      </c>
      <c r="G16668">
        <f>IF(DATOS!$A16668="",0,IF(CONFIG_METADATA!$B$4&lt;&gt;"OR+EX",--(DATOS!$G16668=CONFIG_METADATA!$B$4),IF(DATOS!$G16668="EX",1,IF(DATOS!$G16668="OR",--(COUNTIFS(nNIA,DATOS!$A16668,nCURSO,DATOS!$D16668,nESPEC,DATOS!$E16668,nASIG,DATOS!$I16668,nEVAL,"EX")=0),0))))</f>
      </c>
      <c r="H16668">
        <f>IF(DATOS!$G16668&lt;&gt;"EX",0,--(COUNTIFS(nNIA,DATOS!$A16668,nCURSO,DATOS!$D16668,nESPEC,DATOS!$E16668,nASIG,DATOS!$I16668,nEVAL,"OR")=0))</f>
      </c>
      <c r="I16668">
        <f>IF(DATOS!$I16668="","",IFERROR(VLOOKUP(DATOS!$I16668,CONFIG_ASIGNATURAS!$B$2:$J$91,9,FALSE()),""))</f>
      </c>
    </row>
    <row r="16669">
      <c r="F16669">
        <f>IF(DATOS!$A16669="","",DATOS!$A16669&amp;"|"&amp;DATOS!$D16669&amp;"|"&amp;DATOS!$E16669&amp;"|"&amp;DATOS!$I16669)</f>
      </c>
      <c r="G16669">
        <f>IF(DATOS!$A16669="",0,IF(CONFIG_METADATA!$B$4&lt;&gt;"OR+EX",--(DATOS!$G16669=CONFIG_METADATA!$B$4),IF(DATOS!$G16669="EX",1,IF(DATOS!$G16669="OR",--(COUNTIFS(nNIA,DATOS!$A16669,nCURSO,DATOS!$D16669,nESPEC,DATOS!$E16669,nASIG,DATOS!$I16669,nEVAL,"EX")=0),0))))</f>
      </c>
      <c r="H16669">
        <f>IF(DATOS!$G16669&lt;&gt;"EX",0,--(COUNTIFS(nNIA,DATOS!$A16669,nCURSO,DATOS!$D16669,nESPEC,DATOS!$E16669,nASIG,DATOS!$I16669,nEVAL,"OR")=0))</f>
      </c>
      <c r="I16669">
        <f>IF(DATOS!$I16669="","",IFERROR(VLOOKUP(DATOS!$I16669,CONFIG_ASIGNATURAS!$B$2:$J$91,9,FALSE()),""))</f>
      </c>
    </row>
    <row r="16670">
      <c r="F16670">
        <f>IF(DATOS!$A16670="","",DATOS!$A16670&amp;"|"&amp;DATOS!$D16670&amp;"|"&amp;DATOS!$E16670&amp;"|"&amp;DATOS!$I16670)</f>
      </c>
      <c r="G16670">
        <f>IF(DATOS!$A16670="",0,IF(CONFIG_METADATA!$B$4&lt;&gt;"OR+EX",--(DATOS!$G16670=CONFIG_METADATA!$B$4),IF(DATOS!$G16670="EX",1,IF(DATOS!$G16670="OR",--(COUNTIFS(nNIA,DATOS!$A16670,nCURSO,DATOS!$D16670,nESPEC,DATOS!$E16670,nASIG,DATOS!$I16670,nEVAL,"EX")=0),0))))</f>
      </c>
      <c r="H16670">
        <f>IF(DATOS!$G16670&lt;&gt;"EX",0,--(COUNTIFS(nNIA,DATOS!$A16670,nCURSO,DATOS!$D16670,nESPEC,DATOS!$E16670,nASIG,DATOS!$I16670,nEVAL,"OR")=0))</f>
      </c>
      <c r="I16670">
        <f>IF(DATOS!$I16670="","",IFERROR(VLOOKUP(DATOS!$I16670,CONFIG_ASIGNATURAS!$B$2:$J$91,9,FALSE()),""))</f>
      </c>
    </row>
    <row r="16671">
      <c r="F16671">
        <f>IF(DATOS!$A16671="","",DATOS!$A16671&amp;"|"&amp;DATOS!$D16671&amp;"|"&amp;DATOS!$E16671&amp;"|"&amp;DATOS!$I16671)</f>
      </c>
      <c r="G16671">
        <f>IF(DATOS!$A16671="",0,IF(CONFIG_METADATA!$B$4&lt;&gt;"OR+EX",--(DATOS!$G16671=CONFIG_METADATA!$B$4),IF(DATOS!$G16671="EX",1,IF(DATOS!$G16671="OR",--(COUNTIFS(nNIA,DATOS!$A16671,nCURSO,DATOS!$D16671,nESPEC,DATOS!$E16671,nASIG,DATOS!$I16671,nEVAL,"EX")=0),0))))</f>
      </c>
      <c r="H16671">
        <f>IF(DATOS!$G16671&lt;&gt;"EX",0,--(COUNTIFS(nNIA,DATOS!$A16671,nCURSO,DATOS!$D16671,nESPEC,DATOS!$E16671,nASIG,DATOS!$I16671,nEVAL,"OR")=0))</f>
      </c>
      <c r="I16671">
        <f>IF(DATOS!$I16671="","",IFERROR(VLOOKUP(DATOS!$I16671,CONFIG_ASIGNATURAS!$B$2:$J$91,9,FALSE()),""))</f>
      </c>
    </row>
    <row r="16672">
      <c r="F16672">
        <f>IF(DATOS!$A16672="","",DATOS!$A16672&amp;"|"&amp;DATOS!$D16672&amp;"|"&amp;DATOS!$E16672&amp;"|"&amp;DATOS!$I16672)</f>
      </c>
      <c r="G16672">
        <f>IF(DATOS!$A16672="",0,IF(CONFIG_METADATA!$B$4&lt;&gt;"OR+EX",--(DATOS!$G16672=CONFIG_METADATA!$B$4),IF(DATOS!$G16672="EX",1,IF(DATOS!$G16672="OR",--(COUNTIFS(nNIA,DATOS!$A16672,nCURSO,DATOS!$D16672,nESPEC,DATOS!$E16672,nASIG,DATOS!$I16672,nEVAL,"EX")=0),0))))</f>
      </c>
      <c r="H16672">
        <f>IF(DATOS!$G16672&lt;&gt;"EX",0,--(COUNTIFS(nNIA,DATOS!$A16672,nCURSO,DATOS!$D16672,nESPEC,DATOS!$E16672,nASIG,DATOS!$I16672,nEVAL,"OR")=0))</f>
      </c>
      <c r="I16672">
        <f>IF(DATOS!$I16672="","",IFERROR(VLOOKUP(DATOS!$I16672,CONFIG_ASIGNATURAS!$B$2:$J$91,9,FALSE()),""))</f>
      </c>
    </row>
    <row r="16673">
      <c r="F16673">
        <f>IF(DATOS!$A16673="","",DATOS!$A16673&amp;"|"&amp;DATOS!$D16673&amp;"|"&amp;DATOS!$E16673&amp;"|"&amp;DATOS!$I16673)</f>
      </c>
      <c r="G16673">
        <f>IF(DATOS!$A16673="",0,IF(CONFIG_METADATA!$B$4&lt;&gt;"OR+EX",--(DATOS!$G16673=CONFIG_METADATA!$B$4),IF(DATOS!$G16673="EX",1,IF(DATOS!$G16673="OR",--(COUNTIFS(nNIA,DATOS!$A16673,nCURSO,DATOS!$D16673,nESPEC,DATOS!$E16673,nASIG,DATOS!$I16673,nEVAL,"EX")=0),0))))</f>
      </c>
      <c r="H16673">
        <f>IF(DATOS!$G16673&lt;&gt;"EX",0,--(COUNTIFS(nNIA,DATOS!$A16673,nCURSO,DATOS!$D16673,nESPEC,DATOS!$E16673,nASIG,DATOS!$I16673,nEVAL,"OR")=0))</f>
      </c>
      <c r="I16673">
        <f>IF(DATOS!$I16673="","",IFERROR(VLOOKUP(DATOS!$I16673,CONFIG_ASIGNATURAS!$B$2:$J$91,9,FALSE()),""))</f>
      </c>
    </row>
    <row r="16674">
      <c r="F16674">
        <f>IF(DATOS!$A16674="","",DATOS!$A16674&amp;"|"&amp;DATOS!$D16674&amp;"|"&amp;DATOS!$E16674&amp;"|"&amp;DATOS!$I16674)</f>
      </c>
      <c r="G16674">
        <f>IF(DATOS!$A16674="",0,IF(CONFIG_METADATA!$B$4&lt;&gt;"OR+EX",--(DATOS!$G16674=CONFIG_METADATA!$B$4),IF(DATOS!$G16674="EX",1,IF(DATOS!$G16674="OR",--(COUNTIFS(nNIA,DATOS!$A16674,nCURSO,DATOS!$D16674,nESPEC,DATOS!$E16674,nASIG,DATOS!$I16674,nEVAL,"EX")=0),0))))</f>
      </c>
      <c r="H16674">
        <f>IF(DATOS!$G16674&lt;&gt;"EX",0,--(COUNTIFS(nNIA,DATOS!$A16674,nCURSO,DATOS!$D16674,nESPEC,DATOS!$E16674,nASIG,DATOS!$I16674,nEVAL,"OR")=0))</f>
      </c>
      <c r="I16674">
        <f>IF(DATOS!$I16674="","",IFERROR(VLOOKUP(DATOS!$I16674,CONFIG_ASIGNATURAS!$B$2:$J$91,9,FALSE()),""))</f>
      </c>
    </row>
    <row r="16675">
      <c r="F16675">
        <f>IF(DATOS!$A16675="","",DATOS!$A16675&amp;"|"&amp;DATOS!$D16675&amp;"|"&amp;DATOS!$E16675&amp;"|"&amp;DATOS!$I16675)</f>
      </c>
      <c r="G16675">
        <f>IF(DATOS!$A16675="",0,IF(CONFIG_METADATA!$B$4&lt;&gt;"OR+EX",--(DATOS!$G16675=CONFIG_METADATA!$B$4),IF(DATOS!$G16675="EX",1,IF(DATOS!$G16675="OR",--(COUNTIFS(nNIA,DATOS!$A16675,nCURSO,DATOS!$D16675,nESPEC,DATOS!$E16675,nASIG,DATOS!$I16675,nEVAL,"EX")=0),0))))</f>
      </c>
      <c r="H16675">
        <f>IF(DATOS!$G16675&lt;&gt;"EX",0,--(COUNTIFS(nNIA,DATOS!$A16675,nCURSO,DATOS!$D16675,nESPEC,DATOS!$E16675,nASIG,DATOS!$I16675,nEVAL,"OR")=0))</f>
      </c>
      <c r="I16675">
        <f>IF(DATOS!$I16675="","",IFERROR(VLOOKUP(DATOS!$I16675,CONFIG_ASIGNATURAS!$B$2:$J$91,9,FALSE()),""))</f>
      </c>
    </row>
    <row r="16676">
      <c r="F16676">
        <f>IF(DATOS!$A16676="","",DATOS!$A16676&amp;"|"&amp;DATOS!$D16676&amp;"|"&amp;DATOS!$E16676&amp;"|"&amp;DATOS!$I16676)</f>
      </c>
      <c r="G16676">
        <f>IF(DATOS!$A16676="",0,IF(CONFIG_METADATA!$B$4&lt;&gt;"OR+EX",--(DATOS!$G16676=CONFIG_METADATA!$B$4),IF(DATOS!$G16676="EX",1,IF(DATOS!$G16676="OR",--(COUNTIFS(nNIA,DATOS!$A16676,nCURSO,DATOS!$D16676,nESPEC,DATOS!$E16676,nASIG,DATOS!$I16676,nEVAL,"EX")=0),0))))</f>
      </c>
      <c r="H16676">
        <f>IF(DATOS!$G16676&lt;&gt;"EX",0,--(COUNTIFS(nNIA,DATOS!$A16676,nCURSO,DATOS!$D16676,nESPEC,DATOS!$E16676,nASIG,DATOS!$I16676,nEVAL,"OR")=0))</f>
      </c>
      <c r="I16676">
        <f>IF(DATOS!$I16676="","",IFERROR(VLOOKUP(DATOS!$I16676,CONFIG_ASIGNATURAS!$B$2:$J$91,9,FALSE()),""))</f>
      </c>
    </row>
    <row r="16677">
      <c r="F16677">
        <f>IF(DATOS!$A16677="","",DATOS!$A16677&amp;"|"&amp;DATOS!$D16677&amp;"|"&amp;DATOS!$E16677&amp;"|"&amp;DATOS!$I16677)</f>
      </c>
      <c r="G16677">
        <f>IF(DATOS!$A16677="",0,IF(CONFIG_METADATA!$B$4&lt;&gt;"OR+EX",--(DATOS!$G16677=CONFIG_METADATA!$B$4),IF(DATOS!$G16677="EX",1,IF(DATOS!$G16677="OR",--(COUNTIFS(nNIA,DATOS!$A16677,nCURSO,DATOS!$D16677,nESPEC,DATOS!$E16677,nASIG,DATOS!$I16677,nEVAL,"EX")=0),0))))</f>
      </c>
      <c r="H16677">
        <f>IF(DATOS!$G16677&lt;&gt;"EX",0,--(COUNTIFS(nNIA,DATOS!$A16677,nCURSO,DATOS!$D16677,nESPEC,DATOS!$E16677,nASIG,DATOS!$I16677,nEVAL,"OR")=0))</f>
      </c>
      <c r="I16677">
        <f>IF(DATOS!$I16677="","",IFERROR(VLOOKUP(DATOS!$I16677,CONFIG_ASIGNATURAS!$B$2:$J$91,9,FALSE()),""))</f>
      </c>
    </row>
    <row r="16678">
      <c r="F16678">
        <f>IF(DATOS!$A16678="","",DATOS!$A16678&amp;"|"&amp;DATOS!$D16678&amp;"|"&amp;DATOS!$E16678&amp;"|"&amp;DATOS!$I16678)</f>
      </c>
      <c r="G16678">
        <f>IF(DATOS!$A16678="",0,IF(CONFIG_METADATA!$B$4&lt;&gt;"OR+EX",--(DATOS!$G16678=CONFIG_METADATA!$B$4),IF(DATOS!$G16678="EX",1,IF(DATOS!$G16678="OR",--(COUNTIFS(nNIA,DATOS!$A16678,nCURSO,DATOS!$D16678,nESPEC,DATOS!$E16678,nASIG,DATOS!$I16678,nEVAL,"EX")=0),0))))</f>
      </c>
      <c r="H16678">
        <f>IF(DATOS!$G16678&lt;&gt;"EX",0,--(COUNTIFS(nNIA,DATOS!$A16678,nCURSO,DATOS!$D16678,nESPEC,DATOS!$E16678,nASIG,DATOS!$I16678,nEVAL,"OR")=0))</f>
      </c>
      <c r="I16678">
        <f>IF(DATOS!$I16678="","",IFERROR(VLOOKUP(DATOS!$I16678,CONFIG_ASIGNATURAS!$B$2:$J$91,9,FALSE()),""))</f>
      </c>
    </row>
    <row r="16679">
      <c r="F16679">
        <f>IF(DATOS!$A16679="","",DATOS!$A16679&amp;"|"&amp;DATOS!$D16679&amp;"|"&amp;DATOS!$E16679&amp;"|"&amp;DATOS!$I16679)</f>
      </c>
      <c r="G16679">
        <f>IF(DATOS!$A16679="",0,IF(CONFIG_METADATA!$B$4&lt;&gt;"OR+EX",--(DATOS!$G16679=CONFIG_METADATA!$B$4),IF(DATOS!$G16679="EX",1,IF(DATOS!$G16679="OR",--(COUNTIFS(nNIA,DATOS!$A16679,nCURSO,DATOS!$D16679,nESPEC,DATOS!$E16679,nASIG,DATOS!$I16679,nEVAL,"EX")=0),0))))</f>
      </c>
      <c r="H16679">
        <f>IF(DATOS!$G16679&lt;&gt;"EX",0,--(COUNTIFS(nNIA,DATOS!$A16679,nCURSO,DATOS!$D16679,nESPEC,DATOS!$E16679,nASIG,DATOS!$I16679,nEVAL,"OR")=0))</f>
      </c>
      <c r="I16679">
        <f>IF(DATOS!$I16679="","",IFERROR(VLOOKUP(DATOS!$I16679,CONFIG_ASIGNATURAS!$B$2:$J$91,9,FALSE()),""))</f>
      </c>
    </row>
    <row r="16680">
      <c r="F16680">
        <f>IF(DATOS!$A16680="","",DATOS!$A16680&amp;"|"&amp;DATOS!$D16680&amp;"|"&amp;DATOS!$E16680&amp;"|"&amp;DATOS!$I16680)</f>
      </c>
      <c r="G16680">
        <f>IF(DATOS!$A16680="",0,IF(CONFIG_METADATA!$B$4&lt;&gt;"OR+EX",--(DATOS!$G16680=CONFIG_METADATA!$B$4),IF(DATOS!$G16680="EX",1,IF(DATOS!$G16680="OR",--(COUNTIFS(nNIA,DATOS!$A16680,nCURSO,DATOS!$D16680,nESPEC,DATOS!$E16680,nASIG,DATOS!$I16680,nEVAL,"EX")=0),0))))</f>
      </c>
      <c r="H16680">
        <f>IF(DATOS!$G16680&lt;&gt;"EX",0,--(COUNTIFS(nNIA,DATOS!$A16680,nCURSO,DATOS!$D16680,nESPEC,DATOS!$E16680,nASIG,DATOS!$I16680,nEVAL,"OR")=0))</f>
      </c>
      <c r="I16680">
        <f>IF(DATOS!$I16680="","",IFERROR(VLOOKUP(DATOS!$I16680,CONFIG_ASIGNATURAS!$B$2:$J$91,9,FALSE()),""))</f>
      </c>
    </row>
    <row r="16681">
      <c r="F16681">
        <f>IF(DATOS!$A16681="","",DATOS!$A16681&amp;"|"&amp;DATOS!$D16681&amp;"|"&amp;DATOS!$E16681&amp;"|"&amp;DATOS!$I16681)</f>
      </c>
      <c r="G16681">
        <f>IF(DATOS!$A16681="",0,IF(CONFIG_METADATA!$B$4&lt;&gt;"OR+EX",--(DATOS!$G16681=CONFIG_METADATA!$B$4),IF(DATOS!$G16681="EX",1,IF(DATOS!$G16681="OR",--(COUNTIFS(nNIA,DATOS!$A16681,nCURSO,DATOS!$D16681,nESPEC,DATOS!$E16681,nASIG,DATOS!$I16681,nEVAL,"EX")=0),0))))</f>
      </c>
      <c r="H16681">
        <f>IF(DATOS!$G16681&lt;&gt;"EX",0,--(COUNTIFS(nNIA,DATOS!$A16681,nCURSO,DATOS!$D16681,nESPEC,DATOS!$E16681,nASIG,DATOS!$I16681,nEVAL,"OR")=0))</f>
      </c>
      <c r="I16681">
        <f>IF(DATOS!$I16681="","",IFERROR(VLOOKUP(DATOS!$I16681,CONFIG_ASIGNATURAS!$B$2:$J$91,9,FALSE()),""))</f>
      </c>
    </row>
    <row r="16682">
      <c r="F16682">
        <f>IF(DATOS!$A16682="","",DATOS!$A16682&amp;"|"&amp;DATOS!$D16682&amp;"|"&amp;DATOS!$E16682&amp;"|"&amp;DATOS!$I16682)</f>
      </c>
      <c r="G16682">
        <f>IF(DATOS!$A16682="",0,IF(CONFIG_METADATA!$B$4&lt;&gt;"OR+EX",--(DATOS!$G16682=CONFIG_METADATA!$B$4),IF(DATOS!$G16682="EX",1,IF(DATOS!$G16682="OR",--(COUNTIFS(nNIA,DATOS!$A16682,nCURSO,DATOS!$D16682,nESPEC,DATOS!$E16682,nASIG,DATOS!$I16682,nEVAL,"EX")=0),0))))</f>
      </c>
      <c r="H16682">
        <f>IF(DATOS!$G16682&lt;&gt;"EX",0,--(COUNTIFS(nNIA,DATOS!$A16682,nCURSO,DATOS!$D16682,nESPEC,DATOS!$E16682,nASIG,DATOS!$I16682,nEVAL,"OR")=0))</f>
      </c>
      <c r="I16682">
        <f>IF(DATOS!$I16682="","",IFERROR(VLOOKUP(DATOS!$I16682,CONFIG_ASIGNATURAS!$B$2:$J$91,9,FALSE()),""))</f>
      </c>
    </row>
    <row r="16683">
      <c r="F16683">
        <f>IF(DATOS!$A16683="","",DATOS!$A16683&amp;"|"&amp;DATOS!$D16683&amp;"|"&amp;DATOS!$E16683&amp;"|"&amp;DATOS!$I16683)</f>
      </c>
      <c r="G16683">
        <f>IF(DATOS!$A16683="",0,IF(CONFIG_METADATA!$B$4&lt;&gt;"OR+EX",--(DATOS!$G16683=CONFIG_METADATA!$B$4),IF(DATOS!$G16683="EX",1,IF(DATOS!$G16683="OR",--(COUNTIFS(nNIA,DATOS!$A16683,nCURSO,DATOS!$D16683,nESPEC,DATOS!$E16683,nASIG,DATOS!$I16683,nEVAL,"EX")=0),0))))</f>
      </c>
      <c r="H16683">
        <f>IF(DATOS!$G16683&lt;&gt;"EX",0,--(COUNTIFS(nNIA,DATOS!$A16683,nCURSO,DATOS!$D16683,nESPEC,DATOS!$E16683,nASIG,DATOS!$I16683,nEVAL,"OR")=0))</f>
      </c>
      <c r="I16683">
        <f>IF(DATOS!$I16683="","",IFERROR(VLOOKUP(DATOS!$I16683,CONFIG_ASIGNATURAS!$B$2:$J$91,9,FALSE()),""))</f>
      </c>
    </row>
    <row r="16684">
      <c r="F16684">
        <f>IF(DATOS!$A16684="","",DATOS!$A16684&amp;"|"&amp;DATOS!$D16684&amp;"|"&amp;DATOS!$E16684&amp;"|"&amp;DATOS!$I16684)</f>
      </c>
      <c r="G16684">
        <f>IF(DATOS!$A16684="",0,IF(CONFIG_METADATA!$B$4&lt;&gt;"OR+EX",--(DATOS!$G16684=CONFIG_METADATA!$B$4),IF(DATOS!$G16684="EX",1,IF(DATOS!$G16684="OR",--(COUNTIFS(nNIA,DATOS!$A16684,nCURSO,DATOS!$D16684,nESPEC,DATOS!$E16684,nASIG,DATOS!$I16684,nEVAL,"EX")=0),0))))</f>
      </c>
      <c r="H16684">
        <f>IF(DATOS!$G16684&lt;&gt;"EX",0,--(COUNTIFS(nNIA,DATOS!$A16684,nCURSO,DATOS!$D16684,nESPEC,DATOS!$E16684,nASIG,DATOS!$I16684,nEVAL,"OR")=0))</f>
      </c>
      <c r="I16684">
        <f>IF(DATOS!$I16684="","",IFERROR(VLOOKUP(DATOS!$I16684,CONFIG_ASIGNATURAS!$B$2:$J$91,9,FALSE()),""))</f>
      </c>
    </row>
    <row r="16685">
      <c r="F16685">
        <f>IF(DATOS!$A16685="","",DATOS!$A16685&amp;"|"&amp;DATOS!$D16685&amp;"|"&amp;DATOS!$E16685&amp;"|"&amp;DATOS!$I16685)</f>
      </c>
      <c r="G16685">
        <f>IF(DATOS!$A16685="",0,IF(CONFIG_METADATA!$B$4&lt;&gt;"OR+EX",--(DATOS!$G16685=CONFIG_METADATA!$B$4),IF(DATOS!$G16685="EX",1,IF(DATOS!$G16685="OR",--(COUNTIFS(nNIA,DATOS!$A16685,nCURSO,DATOS!$D16685,nESPEC,DATOS!$E16685,nASIG,DATOS!$I16685,nEVAL,"EX")=0),0))))</f>
      </c>
      <c r="H16685">
        <f>IF(DATOS!$G16685&lt;&gt;"EX",0,--(COUNTIFS(nNIA,DATOS!$A16685,nCURSO,DATOS!$D16685,nESPEC,DATOS!$E16685,nASIG,DATOS!$I16685,nEVAL,"OR")=0))</f>
      </c>
      <c r="I16685">
        <f>IF(DATOS!$I16685="","",IFERROR(VLOOKUP(DATOS!$I16685,CONFIG_ASIGNATURAS!$B$2:$J$91,9,FALSE()),""))</f>
      </c>
    </row>
    <row r="16686">
      <c r="F16686">
        <f>IF(DATOS!$A16686="","",DATOS!$A16686&amp;"|"&amp;DATOS!$D16686&amp;"|"&amp;DATOS!$E16686&amp;"|"&amp;DATOS!$I16686)</f>
      </c>
      <c r="G16686">
        <f>IF(DATOS!$A16686="",0,IF(CONFIG_METADATA!$B$4&lt;&gt;"OR+EX",--(DATOS!$G16686=CONFIG_METADATA!$B$4),IF(DATOS!$G16686="EX",1,IF(DATOS!$G16686="OR",--(COUNTIFS(nNIA,DATOS!$A16686,nCURSO,DATOS!$D16686,nESPEC,DATOS!$E16686,nASIG,DATOS!$I16686,nEVAL,"EX")=0),0))))</f>
      </c>
      <c r="H16686">
        <f>IF(DATOS!$G16686&lt;&gt;"EX",0,--(COUNTIFS(nNIA,DATOS!$A16686,nCURSO,DATOS!$D16686,nESPEC,DATOS!$E16686,nASIG,DATOS!$I16686,nEVAL,"OR")=0))</f>
      </c>
      <c r="I16686">
        <f>IF(DATOS!$I16686="","",IFERROR(VLOOKUP(DATOS!$I16686,CONFIG_ASIGNATURAS!$B$2:$J$91,9,FALSE()),""))</f>
      </c>
    </row>
    <row r="16687">
      <c r="F16687">
        <f>IF(DATOS!$A16687="","",DATOS!$A16687&amp;"|"&amp;DATOS!$D16687&amp;"|"&amp;DATOS!$E16687&amp;"|"&amp;DATOS!$I16687)</f>
      </c>
      <c r="G16687">
        <f>IF(DATOS!$A16687="",0,IF(CONFIG_METADATA!$B$4&lt;&gt;"OR+EX",--(DATOS!$G16687=CONFIG_METADATA!$B$4),IF(DATOS!$G16687="EX",1,IF(DATOS!$G16687="OR",--(COUNTIFS(nNIA,DATOS!$A16687,nCURSO,DATOS!$D16687,nESPEC,DATOS!$E16687,nASIG,DATOS!$I16687,nEVAL,"EX")=0),0))))</f>
      </c>
      <c r="H16687">
        <f>IF(DATOS!$G16687&lt;&gt;"EX",0,--(COUNTIFS(nNIA,DATOS!$A16687,nCURSO,DATOS!$D16687,nESPEC,DATOS!$E16687,nASIG,DATOS!$I16687,nEVAL,"OR")=0))</f>
      </c>
      <c r="I16687">
        <f>IF(DATOS!$I16687="","",IFERROR(VLOOKUP(DATOS!$I16687,CONFIG_ASIGNATURAS!$B$2:$J$91,9,FALSE()),""))</f>
      </c>
    </row>
    <row r="16688">
      <c r="F16688">
        <f>IF(DATOS!$A16688="","",DATOS!$A16688&amp;"|"&amp;DATOS!$D16688&amp;"|"&amp;DATOS!$E16688&amp;"|"&amp;DATOS!$I16688)</f>
      </c>
      <c r="G16688">
        <f>IF(DATOS!$A16688="",0,IF(CONFIG_METADATA!$B$4&lt;&gt;"OR+EX",--(DATOS!$G16688=CONFIG_METADATA!$B$4),IF(DATOS!$G16688="EX",1,IF(DATOS!$G16688="OR",--(COUNTIFS(nNIA,DATOS!$A16688,nCURSO,DATOS!$D16688,nESPEC,DATOS!$E16688,nASIG,DATOS!$I16688,nEVAL,"EX")=0),0))))</f>
      </c>
      <c r="H16688">
        <f>IF(DATOS!$G16688&lt;&gt;"EX",0,--(COUNTIFS(nNIA,DATOS!$A16688,nCURSO,DATOS!$D16688,nESPEC,DATOS!$E16688,nASIG,DATOS!$I16688,nEVAL,"OR")=0))</f>
      </c>
      <c r="I16688">
        <f>IF(DATOS!$I16688="","",IFERROR(VLOOKUP(DATOS!$I16688,CONFIG_ASIGNATURAS!$B$2:$J$91,9,FALSE()),""))</f>
      </c>
    </row>
    <row r="16689">
      <c r="F16689">
        <f>IF(DATOS!$A16689="","",DATOS!$A16689&amp;"|"&amp;DATOS!$D16689&amp;"|"&amp;DATOS!$E16689&amp;"|"&amp;DATOS!$I16689)</f>
      </c>
      <c r="G16689">
        <f>IF(DATOS!$A16689="",0,IF(CONFIG_METADATA!$B$4&lt;&gt;"OR+EX",--(DATOS!$G16689=CONFIG_METADATA!$B$4),IF(DATOS!$G16689="EX",1,IF(DATOS!$G16689="OR",--(COUNTIFS(nNIA,DATOS!$A16689,nCURSO,DATOS!$D16689,nESPEC,DATOS!$E16689,nASIG,DATOS!$I16689,nEVAL,"EX")=0),0))))</f>
      </c>
      <c r="H16689">
        <f>IF(DATOS!$G16689&lt;&gt;"EX",0,--(COUNTIFS(nNIA,DATOS!$A16689,nCURSO,DATOS!$D16689,nESPEC,DATOS!$E16689,nASIG,DATOS!$I16689,nEVAL,"OR")=0))</f>
      </c>
      <c r="I16689">
        <f>IF(DATOS!$I16689="","",IFERROR(VLOOKUP(DATOS!$I16689,CONFIG_ASIGNATURAS!$B$2:$J$91,9,FALSE()),""))</f>
      </c>
    </row>
    <row r="16690">
      <c r="F16690">
        <f>IF(DATOS!$A16690="","",DATOS!$A16690&amp;"|"&amp;DATOS!$D16690&amp;"|"&amp;DATOS!$E16690&amp;"|"&amp;DATOS!$I16690)</f>
      </c>
      <c r="G16690">
        <f>IF(DATOS!$A16690="",0,IF(CONFIG_METADATA!$B$4&lt;&gt;"OR+EX",--(DATOS!$G16690=CONFIG_METADATA!$B$4),IF(DATOS!$G16690="EX",1,IF(DATOS!$G16690="OR",--(COUNTIFS(nNIA,DATOS!$A16690,nCURSO,DATOS!$D16690,nESPEC,DATOS!$E16690,nASIG,DATOS!$I16690,nEVAL,"EX")=0),0))))</f>
      </c>
      <c r="H16690">
        <f>IF(DATOS!$G16690&lt;&gt;"EX",0,--(COUNTIFS(nNIA,DATOS!$A16690,nCURSO,DATOS!$D16690,nESPEC,DATOS!$E16690,nASIG,DATOS!$I16690,nEVAL,"OR")=0))</f>
      </c>
      <c r="I16690">
        <f>IF(DATOS!$I16690="","",IFERROR(VLOOKUP(DATOS!$I16690,CONFIG_ASIGNATURAS!$B$2:$J$91,9,FALSE()),""))</f>
      </c>
    </row>
    <row r="16691">
      <c r="F16691">
        <f>IF(DATOS!$A16691="","",DATOS!$A16691&amp;"|"&amp;DATOS!$D16691&amp;"|"&amp;DATOS!$E16691&amp;"|"&amp;DATOS!$I16691)</f>
      </c>
      <c r="G16691">
        <f>IF(DATOS!$A16691="",0,IF(CONFIG_METADATA!$B$4&lt;&gt;"OR+EX",--(DATOS!$G16691=CONFIG_METADATA!$B$4),IF(DATOS!$G16691="EX",1,IF(DATOS!$G16691="OR",--(COUNTIFS(nNIA,DATOS!$A16691,nCURSO,DATOS!$D16691,nESPEC,DATOS!$E16691,nASIG,DATOS!$I16691,nEVAL,"EX")=0),0))))</f>
      </c>
      <c r="H16691">
        <f>IF(DATOS!$G16691&lt;&gt;"EX",0,--(COUNTIFS(nNIA,DATOS!$A16691,nCURSO,DATOS!$D16691,nESPEC,DATOS!$E16691,nASIG,DATOS!$I16691,nEVAL,"OR")=0))</f>
      </c>
      <c r="I16691">
        <f>IF(DATOS!$I16691="","",IFERROR(VLOOKUP(DATOS!$I16691,CONFIG_ASIGNATURAS!$B$2:$J$91,9,FALSE()),""))</f>
      </c>
    </row>
    <row r="16692">
      <c r="F16692">
        <f>IF(DATOS!$A16692="","",DATOS!$A16692&amp;"|"&amp;DATOS!$D16692&amp;"|"&amp;DATOS!$E16692&amp;"|"&amp;DATOS!$I16692)</f>
      </c>
      <c r="G16692">
        <f>IF(DATOS!$A16692="",0,IF(CONFIG_METADATA!$B$4&lt;&gt;"OR+EX",--(DATOS!$G16692=CONFIG_METADATA!$B$4),IF(DATOS!$G16692="EX",1,IF(DATOS!$G16692="OR",--(COUNTIFS(nNIA,DATOS!$A16692,nCURSO,DATOS!$D16692,nESPEC,DATOS!$E16692,nASIG,DATOS!$I16692,nEVAL,"EX")=0),0))))</f>
      </c>
      <c r="H16692">
        <f>IF(DATOS!$G16692&lt;&gt;"EX",0,--(COUNTIFS(nNIA,DATOS!$A16692,nCURSO,DATOS!$D16692,nESPEC,DATOS!$E16692,nASIG,DATOS!$I16692,nEVAL,"OR")=0))</f>
      </c>
      <c r="I16692">
        <f>IF(DATOS!$I16692="","",IFERROR(VLOOKUP(DATOS!$I16692,CONFIG_ASIGNATURAS!$B$2:$J$91,9,FALSE()),""))</f>
      </c>
    </row>
    <row r="16693">
      <c r="F16693">
        <f>IF(DATOS!$A16693="","",DATOS!$A16693&amp;"|"&amp;DATOS!$D16693&amp;"|"&amp;DATOS!$E16693&amp;"|"&amp;DATOS!$I16693)</f>
      </c>
      <c r="G16693">
        <f>IF(DATOS!$A16693="",0,IF(CONFIG_METADATA!$B$4&lt;&gt;"OR+EX",--(DATOS!$G16693=CONFIG_METADATA!$B$4),IF(DATOS!$G16693="EX",1,IF(DATOS!$G16693="OR",--(COUNTIFS(nNIA,DATOS!$A16693,nCURSO,DATOS!$D16693,nESPEC,DATOS!$E16693,nASIG,DATOS!$I16693,nEVAL,"EX")=0),0))))</f>
      </c>
      <c r="H16693">
        <f>IF(DATOS!$G16693&lt;&gt;"EX",0,--(COUNTIFS(nNIA,DATOS!$A16693,nCURSO,DATOS!$D16693,nESPEC,DATOS!$E16693,nASIG,DATOS!$I16693,nEVAL,"OR")=0))</f>
      </c>
      <c r="I16693">
        <f>IF(DATOS!$I16693="","",IFERROR(VLOOKUP(DATOS!$I16693,CONFIG_ASIGNATURAS!$B$2:$J$91,9,FALSE()),""))</f>
      </c>
    </row>
    <row r="16694">
      <c r="F16694">
        <f>IF(DATOS!$A16694="","",DATOS!$A16694&amp;"|"&amp;DATOS!$D16694&amp;"|"&amp;DATOS!$E16694&amp;"|"&amp;DATOS!$I16694)</f>
      </c>
      <c r="G16694">
        <f>IF(DATOS!$A16694="",0,IF(CONFIG_METADATA!$B$4&lt;&gt;"OR+EX",--(DATOS!$G16694=CONFIG_METADATA!$B$4),IF(DATOS!$G16694="EX",1,IF(DATOS!$G16694="OR",--(COUNTIFS(nNIA,DATOS!$A16694,nCURSO,DATOS!$D16694,nESPEC,DATOS!$E16694,nASIG,DATOS!$I16694,nEVAL,"EX")=0),0))))</f>
      </c>
      <c r="H16694">
        <f>IF(DATOS!$G16694&lt;&gt;"EX",0,--(COUNTIFS(nNIA,DATOS!$A16694,nCURSO,DATOS!$D16694,nESPEC,DATOS!$E16694,nASIG,DATOS!$I16694,nEVAL,"OR")=0))</f>
      </c>
      <c r="I16694">
        <f>IF(DATOS!$I16694="","",IFERROR(VLOOKUP(DATOS!$I16694,CONFIG_ASIGNATURAS!$B$2:$J$91,9,FALSE()),""))</f>
      </c>
    </row>
    <row r="16695">
      <c r="F16695">
        <f>IF(DATOS!$A16695="","",DATOS!$A16695&amp;"|"&amp;DATOS!$D16695&amp;"|"&amp;DATOS!$E16695&amp;"|"&amp;DATOS!$I16695)</f>
      </c>
      <c r="G16695">
        <f>IF(DATOS!$A16695="",0,IF(CONFIG_METADATA!$B$4&lt;&gt;"OR+EX",--(DATOS!$G16695=CONFIG_METADATA!$B$4),IF(DATOS!$G16695="EX",1,IF(DATOS!$G16695="OR",--(COUNTIFS(nNIA,DATOS!$A16695,nCURSO,DATOS!$D16695,nESPEC,DATOS!$E16695,nASIG,DATOS!$I16695,nEVAL,"EX")=0),0))))</f>
      </c>
      <c r="H16695">
        <f>IF(DATOS!$G16695&lt;&gt;"EX",0,--(COUNTIFS(nNIA,DATOS!$A16695,nCURSO,DATOS!$D16695,nESPEC,DATOS!$E16695,nASIG,DATOS!$I16695,nEVAL,"OR")=0))</f>
      </c>
      <c r="I16695">
        <f>IF(DATOS!$I16695="","",IFERROR(VLOOKUP(DATOS!$I16695,CONFIG_ASIGNATURAS!$B$2:$J$91,9,FALSE()),""))</f>
      </c>
    </row>
    <row r="16696">
      <c r="F16696">
        <f>IF(DATOS!$A16696="","",DATOS!$A16696&amp;"|"&amp;DATOS!$D16696&amp;"|"&amp;DATOS!$E16696&amp;"|"&amp;DATOS!$I16696)</f>
      </c>
      <c r="G16696">
        <f>IF(DATOS!$A16696="",0,IF(CONFIG_METADATA!$B$4&lt;&gt;"OR+EX",--(DATOS!$G16696=CONFIG_METADATA!$B$4),IF(DATOS!$G16696="EX",1,IF(DATOS!$G16696="OR",--(COUNTIFS(nNIA,DATOS!$A16696,nCURSO,DATOS!$D16696,nESPEC,DATOS!$E16696,nASIG,DATOS!$I16696,nEVAL,"EX")=0),0))))</f>
      </c>
      <c r="H16696">
        <f>IF(DATOS!$G16696&lt;&gt;"EX",0,--(COUNTIFS(nNIA,DATOS!$A16696,nCURSO,DATOS!$D16696,nESPEC,DATOS!$E16696,nASIG,DATOS!$I16696,nEVAL,"OR")=0))</f>
      </c>
      <c r="I16696">
        <f>IF(DATOS!$I16696="","",IFERROR(VLOOKUP(DATOS!$I16696,CONFIG_ASIGNATURAS!$B$2:$J$91,9,FALSE()),""))</f>
      </c>
    </row>
    <row r="16697">
      <c r="F16697">
        <f>IF(DATOS!$A16697="","",DATOS!$A16697&amp;"|"&amp;DATOS!$D16697&amp;"|"&amp;DATOS!$E16697&amp;"|"&amp;DATOS!$I16697)</f>
      </c>
      <c r="G16697">
        <f>IF(DATOS!$A16697="",0,IF(CONFIG_METADATA!$B$4&lt;&gt;"OR+EX",--(DATOS!$G16697=CONFIG_METADATA!$B$4),IF(DATOS!$G16697="EX",1,IF(DATOS!$G16697="OR",--(COUNTIFS(nNIA,DATOS!$A16697,nCURSO,DATOS!$D16697,nESPEC,DATOS!$E16697,nASIG,DATOS!$I16697,nEVAL,"EX")=0),0))))</f>
      </c>
      <c r="H16697">
        <f>IF(DATOS!$G16697&lt;&gt;"EX",0,--(COUNTIFS(nNIA,DATOS!$A16697,nCURSO,DATOS!$D16697,nESPEC,DATOS!$E16697,nASIG,DATOS!$I16697,nEVAL,"OR")=0))</f>
      </c>
      <c r="I16697">
        <f>IF(DATOS!$I16697="","",IFERROR(VLOOKUP(DATOS!$I16697,CONFIG_ASIGNATURAS!$B$2:$J$91,9,FALSE()),""))</f>
      </c>
    </row>
    <row r="16698">
      <c r="F16698">
        <f>IF(DATOS!$A16698="","",DATOS!$A16698&amp;"|"&amp;DATOS!$D16698&amp;"|"&amp;DATOS!$E16698&amp;"|"&amp;DATOS!$I16698)</f>
      </c>
      <c r="G16698">
        <f>IF(DATOS!$A16698="",0,IF(CONFIG_METADATA!$B$4&lt;&gt;"OR+EX",--(DATOS!$G16698=CONFIG_METADATA!$B$4),IF(DATOS!$G16698="EX",1,IF(DATOS!$G16698="OR",--(COUNTIFS(nNIA,DATOS!$A16698,nCURSO,DATOS!$D16698,nESPEC,DATOS!$E16698,nASIG,DATOS!$I16698,nEVAL,"EX")=0),0))))</f>
      </c>
      <c r="H16698">
        <f>IF(DATOS!$G16698&lt;&gt;"EX",0,--(COUNTIFS(nNIA,DATOS!$A16698,nCURSO,DATOS!$D16698,nESPEC,DATOS!$E16698,nASIG,DATOS!$I16698,nEVAL,"OR")=0))</f>
      </c>
      <c r="I16698">
        <f>IF(DATOS!$I16698="","",IFERROR(VLOOKUP(DATOS!$I16698,CONFIG_ASIGNATURAS!$B$2:$J$91,9,FALSE()),""))</f>
      </c>
    </row>
    <row r="16699">
      <c r="F16699">
        <f>IF(DATOS!$A16699="","",DATOS!$A16699&amp;"|"&amp;DATOS!$D16699&amp;"|"&amp;DATOS!$E16699&amp;"|"&amp;DATOS!$I16699)</f>
      </c>
      <c r="G16699">
        <f>IF(DATOS!$A16699="",0,IF(CONFIG_METADATA!$B$4&lt;&gt;"OR+EX",--(DATOS!$G16699=CONFIG_METADATA!$B$4),IF(DATOS!$G16699="EX",1,IF(DATOS!$G16699="OR",--(COUNTIFS(nNIA,DATOS!$A16699,nCURSO,DATOS!$D16699,nESPEC,DATOS!$E16699,nASIG,DATOS!$I16699,nEVAL,"EX")=0),0))))</f>
      </c>
      <c r="H16699">
        <f>IF(DATOS!$G16699&lt;&gt;"EX",0,--(COUNTIFS(nNIA,DATOS!$A16699,nCURSO,DATOS!$D16699,nESPEC,DATOS!$E16699,nASIG,DATOS!$I16699,nEVAL,"OR")=0))</f>
      </c>
      <c r="I16699">
        <f>IF(DATOS!$I16699="","",IFERROR(VLOOKUP(DATOS!$I16699,CONFIG_ASIGNATURAS!$B$2:$J$91,9,FALSE()),""))</f>
      </c>
    </row>
    <row r="16700">
      <c r="F16700">
        <f>IF(DATOS!$A16700="","",DATOS!$A16700&amp;"|"&amp;DATOS!$D16700&amp;"|"&amp;DATOS!$E16700&amp;"|"&amp;DATOS!$I16700)</f>
      </c>
      <c r="G16700">
        <f>IF(DATOS!$A16700="",0,IF(CONFIG_METADATA!$B$4&lt;&gt;"OR+EX",--(DATOS!$G16700=CONFIG_METADATA!$B$4),IF(DATOS!$G16700="EX",1,IF(DATOS!$G16700="OR",--(COUNTIFS(nNIA,DATOS!$A16700,nCURSO,DATOS!$D16700,nESPEC,DATOS!$E16700,nASIG,DATOS!$I16700,nEVAL,"EX")=0),0))))</f>
      </c>
      <c r="H16700">
        <f>IF(DATOS!$G16700&lt;&gt;"EX",0,--(COUNTIFS(nNIA,DATOS!$A16700,nCURSO,DATOS!$D16700,nESPEC,DATOS!$E16700,nASIG,DATOS!$I16700,nEVAL,"OR")=0))</f>
      </c>
      <c r="I16700">
        <f>IF(DATOS!$I16700="","",IFERROR(VLOOKUP(DATOS!$I16700,CONFIG_ASIGNATURAS!$B$2:$J$91,9,FALSE()),""))</f>
      </c>
    </row>
    <row r="16701">
      <c r="F16701">
        <f>IF(DATOS!$A16701="","",DATOS!$A16701&amp;"|"&amp;DATOS!$D16701&amp;"|"&amp;DATOS!$E16701&amp;"|"&amp;DATOS!$I16701)</f>
      </c>
      <c r="G16701">
        <f>IF(DATOS!$A16701="",0,IF(CONFIG_METADATA!$B$4&lt;&gt;"OR+EX",--(DATOS!$G16701=CONFIG_METADATA!$B$4),IF(DATOS!$G16701="EX",1,IF(DATOS!$G16701="OR",--(COUNTIFS(nNIA,DATOS!$A16701,nCURSO,DATOS!$D16701,nESPEC,DATOS!$E16701,nASIG,DATOS!$I16701,nEVAL,"EX")=0),0))))</f>
      </c>
      <c r="H16701">
        <f>IF(DATOS!$G16701&lt;&gt;"EX",0,--(COUNTIFS(nNIA,DATOS!$A16701,nCURSO,DATOS!$D16701,nESPEC,DATOS!$E16701,nASIG,DATOS!$I16701,nEVAL,"OR")=0))</f>
      </c>
      <c r="I16701">
        <f>IF(DATOS!$I16701="","",IFERROR(VLOOKUP(DATOS!$I16701,CONFIG_ASIGNATURAS!$B$2:$J$91,9,FALSE()),""))</f>
      </c>
    </row>
    <row r="16702">
      <c r="F16702">
        <f>IF(DATOS!$A16702="","",DATOS!$A16702&amp;"|"&amp;DATOS!$D16702&amp;"|"&amp;DATOS!$E16702&amp;"|"&amp;DATOS!$I16702)</f>
      </c>
      <c r="G16702">
        <f>IF(DATOS!$A16702="",0,IF(CONFIG_METADATA!$B$4&lt;&gt;"OR+EX",--(DATOS!$G16702=CONFIG_METADATA!$B$4),IF(DATOS!$G16702="EX",1,IF(DATOS!$G16702="OR",--(COUNTIFS(nNIA,DATOS!$A16702,nCURSO,DATOS!$D16702,nESPEC,DATOS!$E16702,nASIG,DATOS!$I16702,nEVAL,"EX")=0),0))))</f>
      </c>
      <c r="H16702">
        <f>IF(DATOS!$G16702&lt;&gt;"EX",0,--(COUNTIFS(nNIA,DATOS!$A16702,nCURSO,DATOS!$D16702,nESPEC,DATOS!$E16702,nASIG,DATOS!$I16702,nEVAL,"OR")=0))</f>
      </c>
      <c r="I16702">
        <f>IF(DATOS!$I16702="","",IFERROR(VLOOKUP(DATOS!$I16702,CONFIG_ASIGNATURAS!$B$2:$J$91,9,FALSE()),""))</f>
      </c>
    </row>
    <row r="16703">
      <c r="F16703">
        <f>IF(DATOS!$A16703="","",DATOS!$A16703&amp;"|"&amp;DATOS!$D16703&amp;"|"&amp;DATOS!$E16703&amp;"|"&amp;DATOS!$I16703)</f>
      </c>
      <c r="G16703">
        <f>IF(DATOS!$A16703="",0,IF(CONFIG_METADATA!$B$4&lt;&gt;"OR+EX",--(DATOS!$G16703=CONFIG_METADATA!$B$4),IF(DATOS!$G16703="EX",1,IF(DATOS!$G16703="OR",--(COUNTIFS(nNIA,DATOS!$A16703,nCURSO,DATOS!$D16703,nESPEC,DATOS!$E16703,nASIG,DATOS!$I16703,nEVAL,"EX")=0),0))))</f>
      </c>
      <c r="H16703">
        <f>IF(DATOS!$G16703&lt;&gt;"EX",0,--(COUNTIFS(nNIA,DATOS!$A16703,nCURSO,DATOS!$D16703,nESPEC,DATOS!$E16703,nASIG,DATOS!$I16703,nEVAL,"OR")=0))</f>
      </c>
      <c r="I16703">
        <f>IF(DATOS!$I16703="","",IFERROR(VLOOKUP(DATOS!$I16703,CONFIG_ASIGNATURAS!$B$2:$J$91,9,FALSE()),""))</f>
      </c>
    </row>
    <row r="16704">
      <c r="F16704">
        <f>IF(DATOS!$A16704="","",DATOS!$A16704&amp;"|"&amp;DATOS!$D16704&amp;"|"&amp;DATOS!$E16704&amp;"|"&amp;DATOS!$I16704)</f>
      </c>
      <c r="G16704">
        <f>IF(DATOS!$A16704="",0,IF(CONFIG_METADATA!$B$4&lt;&gt;"OR+EX",--(DATOS!$G16704=CONFIG_METADATA!$B$4),IF(DATOS!$G16704="EX",1,IF(DATOS!$G16704="OR",--(COUNTIFS(nNIA,DATOS!$A16704,nCURSO,DATOS!$D16704,nESPEC,DATOS!$E16704,nASIG,DATOS!$I16704,nEVAL,"EX")=0),0))))</f>
      </c>
      <c r="H16704">
        <f>IF(DATOS!$G16704&lt;&gt;"EX",0,--(COUNTIFS(nNIA,DATOS!$A16704,nCURSO,DATOS!$D16704,nESPEC,DATOS!$E16704,nASIG,DATOS!$I16704,nEVAL,"OR")=0))</f>
      </c>
      <c r="I16704">
        <f>IF(DATOS!$I16704="","",IFERROR(VLOOKUP(DATOS!$I16704,CONFIG_ASIGNATURAS!$B$2:$J$91,9,FALSE()),""))</f>
      </c>
    </row>
    <row r="16705">
      <c r="F16705">
        <f>IF(DATOS!$A16705="","",DATOS!$A16705&amp;"|"&amp;DATOS!$D16705&amp;"|"&amp;DATOS!$E16705&amp;"|"&amp;DATOS!$I16705)</f>
      </c>
      <c r="G16705">
        <f>IF(DATOS!$A16705="",0,IF(CONFIG_METADATA!$B$4&lt;&gt;"OR+EX",--(DATOS!$G16705=CONFIG_METADATA!$B$4),IF(DATOS!$G16705="EX",1,IF(DATOS!$G16705="OR",--(COUNTIFS(nNIA,DATOS!$A16705,nCURSO,DATOS!$D16705,nESPEC,DATOS!$E16705,nASIG,DATOS!$I16705,nEVAL,"EX")=0),0))))</f>
      </c>
      <c r="H16705">
        <f>IF(DATOS!$G16705&lt;&gt;"EX",0,--(COUNTIFS(nNIA,DATOS!$A16705,nCURSO,DATOS!$D16705,nESPEC,DATOS!$E16705,nASIG,DATOS!$I16705,nEVAL,"OR")=0))</f>
      </c>
      <c r="I16705">
        <f>IF(DATOS!$I16705="","",IFERROR(VLOOKUP(DATOS!$I16705,CONFIG_ASIGNATURAS!$B$2:$J$91,9,FALSE()),""))</f>
      </c>
    </row>
    <row r="16706">
      <c r="F16706">
        <f>IF(DATOS!$A16706="","",DATOS!$A16706&amp;"|"&amp;DATOS!$D16706&amp;"|"&amp;DATOS!$E16706&amp;"|"&amp;DATOS!$I16706)</f>
      </c>
      <c r="G16706">
        <f>IF(DATOS!$A16706="",0,IF(CONFIG_METADATA!$B$4&lt;&gt;"OR+EX",--(DATOS!$G16706=CONFIG_METADATA!$B$4),IF(DATOS!$G16706="EX",1,IF(DATOS!$G16706="OR",--(COUNTIFS(nNIA,DATOS!$A16706,nCURSO,DATOS!$D16706,nESPEC,DATOS!$E16706,nASIG,DATOS!$I16706,nEVAL,"EX")=0),0))))</f>
      </c>
      <c r="H16706">
        <f>IF(DATOS!$G16706&lt;&gt;"EX",0,--(COUNTIFS(nNIA,DATOS!$A16706,nCURSO,DATOS!$D16706,nESPEC,DATOS!$E16706,nASIG,DATOS!$I16706,nEVAL,"OR")=0))</f>
      </c>
      <c r="I16706">
        <f>IF(DATOS!$I16706="","",IFERROR(VLOOKUP(DATOS!$I16706,CONFIG_ASIGNATURAS!$B$2:$J$91,9,FALSE()),""))</f>
      </c>
    </row>
    <row r="16707">
      <c r="F16707">
        <f>IF(DATOS!$A16707="","",DATOS!$A16707&amp;"|"&amp;DATOS!$D16707&amp;"|"&amp;DATOS!$E16707&amp;"|"&amp;DATOS!$I16707)</f>
      </c>
      <c r="G16707">
        <f>IF(DATOS!$A16707="",0,IF(CONFIG_METADATA!$B$4&lt;&gt;"OR+EX",--(DATOS!$G16707=CONFIG_METADATA!$B$4),IF(DATOS!$G16707="EX",1,IF(DATOS!$G16707="OR",--(COUNTIFS(nNIA,DATOS!$A16707,nCURSO,DATOS!$D16707,nESPEC,DATOS!$E16707,nASIG,DATOS!$I16707,nEVAL,"EX")=0),0))))</f>
      </c>
      <c r="H16707">
        <f>IF(DATOS!$G16707&lt;&gt;"EX",0,--(COUNTIFS(nNIA,DATOS!$A16707,nCURSO,DATOS!$D16707,nESPEC,DATOS!$E16707,nASIG,DATOS!$I16707,nEVAL,"OR")=0))</f>
      </c>
      <c r="I16707">
        <f>IF(DATOS!$I16707="","",IFERROR(VLOOKUP(DATOS!$I16707,CONFIG_ASIGNATURAS!$B$2:$J$91,9,FALSE()),""))</f>
      </c>
    </row>
    <row r="16708">
      <c r="F16708">
        <f>IF(DATOS!$A16708="","",DATOS!$A16708&amp;"|"&amp;DATOS!$D16708&amp;"|"&amp;DATOS!$E16708&amp;"|"&amp;DATOS!$I16708)</f>
      </c>
      <c r="G16708">
        <f>IF(DATOS!$A16708="",0,IF(CONFIG_METADATA!$B$4&lt;&gt;"OR+EX",--(DATOS!$G16708=CONFIG_METADATA!$B$4),IF(DATOS!$G16708="EX",1,IF(DATOS!$G16708="OR",--(COUNTIFS(nNIA,DATOS!$A16708,nCURSO,DATOS!$D16708,nESPEC,DATOS!$E16708,nASIG,DATOS!$I16708,nEVAL,"EX")=0),0))))</f>
      </c>
      <c r="H16708">
        <f>IF(DATOS!$G16708&lt;&gt;"EX",0,--(COUNTIFS(nNIA,DATOS!$A16708,nCURSO,DATOS!$D16708,nESPEC,DATOS!$E16708,nASIG,DATOS!$I16708,nEVAL,"OR")=0))</f>
      </c>
      <c r="I16708">
        <f>IF(DATOS!$I16708="","",IFERROR(VLOOKUP(DATOS!$I16708,CONFIG_ASIGNATURAS!$B$2:$J$91,9,FALSE()),""))</f>
      </c>
    </row>
    <row r="16709">
      <c r="F16709">
        <f>IF(DATOS!$A16709="","",DATOS!$A16709&amp;"|"&amp;DATOS!$D16709&amp;"|"&amp;DATOS!$E16709&amp;"|"&amp;DATOS!$I16709)</f>
      </c>
      <c r="G16709">
        <f>IF(DATOS!$A16709="",0,IF(CONFIG_METADATA!$B$4&lt;&gt;"OR+EX",--(DATOS!$G16709=CONFIG_METADATA!$B$4),IF(DATOS!$G16709="EX",1,IF(DATOS!$G16709="OR",--(COUNTIFS(nNIA,DATOS!$A16709,nCURSO,DATOS!$D16709,nESPEC,DATOS!$E16709,nASIG,DATOS!$I16709,nEVAL,"EX")=0),0))))</f>
      </c>
      <c r="H16709">
        <f>IF(DATOS!$G16709&lt;&gt;"EX",0,--(COUNTIFS(nNIA,DATOS!$A16709,nCURSO,DATOS!$D16709,nESPEC,DATOS!$E16709,nASIG,DATOS!$I16709,nEVAL,"OR")=0))</f>
      </c>
      <c r="I16709">
        <f>IF(DATOS!$I16709="","",IFERROR(VLOOKUP(DATOS!$I16709,CONFIG_ASIGNATURAS!$B$2:$J$91,9,FALSE()),""))</f>
      </c>
    </row>
    <row r="16710">
      <c r="F16710">
        <f>IF(DATOS!$A16710="","",DATOS!$A16710&amp;"|"&amp;DATOS!$D16710&amp;"|"&amp;DATOS!$E16710&amp;"|"&amp;DATOS!$I16710)</f>
      </c>
      <c r="G16710">
        <f>IF(DATOS!$A16710="",0,IF(CONFIG_METADATA!$B$4&lt;&gt;"OR+EX",--(DATOS!$G16710=CONFIG_METADATA!$B$4),IF(DATOS!$G16710="EX",1,IF(DATOS!$G16710="OR",--(COUNTIFS(nNIA,DATOS!$A16710,nCURSO,DATOS!$D16710,nESPEC,DATOS!$E16710,nASIG,DATOS!$I16710,nEVAL,"EX")=0),0))))</f>
      </c>
      <c r="H16710">
        <f>IF(DATOS!$G16710&lt;&gt;"EX",0,--(COUNTIFS(nNIA,DATOS!$A16710,nCURSO,DATOS!$D16710,nESPEC,DATOS!$E16710,nASIG,DATOS!$I16710,nEVAL,"OR")=0))</f>
      </c>
      <c r="I16710">
        <f>IF(DATOS!$I16710="","",IFERROR(VLOOKUP(DATOS!$I16710,CONFIG_ASIGNATURAS!$B$2:$J$91,9,FALSE()),""))</f>
      </c>
    </row>
    <row r="16711">
      <c r="F16711">
        <f>IF(DATOS!$A16711="","",DATOS!$A16711&amp;"|"&amp;DATOS!$D16711&amp;"|"&amp;DATOS!$E16711&amp;"|"&amp;DATOS!$I16711)</f>
      </c>
      <c r="G16711">
        <f>IF(DATOS!$A16711="",0,IF(CONFIG_METADATA!$B$4&lt;&gt;"OR+EX",--(DATOS!$G16711=CONFIG_METADATA!$B$4),IF(DATOS!$G16711="EX",1,IF(DATOS!$G16711="OR",--(COUNTIFS(nNIA,DATOS!$A16711,nCURSO,DATOS!$D16711,nESPEC,DATOS!$E16711,nASIG,DATOS!$I16711,nEVAL,"EX")=0),0))))</f>
      </c>
      <c r="H16711">
        <f>IF(DATOS!$G16711&lt;&gt;"EX",0,--(COUNTIFS(nNIA,DATOS!$A16711,nCURSO,DATOS!$D16711,nESPEC,DATOS!$E16711,nASIG,DATOS!$I16711,nEVAL,"OR")=0))</f>
      </c>
      <c r="I16711">
        <f>IF(DATOS!$I16711="","",IFERROR(VLOOKUP(DATOS!$I16711,CONFIG_ASIGNATURAS!$B$2:$J$91,9,FALSE()),""))</f>
      </c>
    </row>
    <row r="16712">
      <c r="F16712">
        <f>IF(DATOS!$A16712="","",DATOS!$A16712&amp;"|"&amp;DATOS!$D16712&amp;"|"&amp;DATOS!$E16712&amp;"|"&amp;DATOS!$I16712)</f>
      </c>
      <c r="G16712">
        <f>IF(DATOS!$A16712="",0,IF(CONFIG_METADATA!$B$4&lt;&gt;"OR+EX",--(DATOS!$G16712=CONFIG_METADATA!$B$4),IF(DATOS!$G16712="EX",1,IF(DATOS!$G16712="OR",--(COUNTIFS(nNIA,DATOS!$A16712,nCURSO,DATOS!$D16712,nESPEC,DATOS!$E16712,nASIG,DATOS!$I16712,nEVAL,"EX")=0),0))))</f>
      </c>
      <c r="H16712">
        <f>IF(DATOS!$G16712&lt;&gt;"EX",0,--(COUNTIFS(nNIA,DATOS!$A16712,nCURSO,DATOS!$D16712,nESPEC,DATOS!$E16712,nASIG,DATOS!$I16712,nEVAL,"OR")=0))</f>
      </c>
      <c r="I16712">
        <f>IF(DATOS!$I16712="","",IFERROR(VLOOKUP(DATOS!$I16712,CONFIG_ASIGNATURAS!$B$2:$J$91,9,FALSE()),""))</f>
      </c>
    </row>
    <row r="16713">
      <c r="F16713">
        <f>IF(DATOS!$A16713="","",DATOS!$A16713&amp;"|"&amp;DATOS!$D16713&amp;"|"&amp;DATOS!$E16713&amp;"|"&amp;DATOS!$I16713)</f>
      </c>
      <c r="G16713">
        <f>IF(DATOS!$A16713="",0,IF(CONFIG_METADATA!$B$4&lt;&gt;"OR+EX",--(DATOS!$G16713=CONFIG_METADATA!$B$4),IF(DATOS!$G16713="EX",1,IF(DATOS!$G16713="OR",--(COUNTIFS(nNIA,DATOS!$A16713,nCURSO,DATOS!$D16713,nESPEC,DATOS!$E16713,nASIG,DATOS!$I16713,nEVAL,"EX")=0),0))))</f>
      </c>
      <c r="H16713">
        <f>IF(DATOS!$G16713&lt;&gt;"EX",0,--(COUNTIFS(nNIA,DATOS!$A16713,nCURSO,DATOS!$D16713,nESPEC,DATOS!$E16713,nASIG,DATOS!$I16713,nEVAL,"OR")=0))</f>
      </c>
      <c r="I16713">
        <f>IF(DATOS!$I16713="","",IFERROR(VLOOKUP(DATOS!$I16713,CONFIG_ASIGNATURAS!$B$2:$J$91,9,FALSE()),""))</f>
      </c>
    </row>
    <row r="16714">
      <c r="F16714">
        <f>IF(DATOS!$A16714="","",DATOS!$A16714&amp;"|"&amp;DATOS!$D16714&amp;"|"&amp;DATOS!$E16714&amp;"|"&amp;DATOS!$I16714)</f>
      </c>
      <c r="G16714">
        <f>IF(DATOS!$A16714="",0,IF(CONFIG_METADATA!$B$4&lt;&gt;"OR+EX",--(DATOS!$G16714=CONFIG_METADATA!$B$4),IF(DATOS!$G16714="EX",1,IF(DATOS!$G16714="OR",--(COUNTIFS(nNIA,DATOS!$A16714,nCURSO,DATOS!$D16714,nESPEC,DATOS!$E16714,nASIG,DATOS!$I16714,nEVAL,"EX")=0),0))))</f>
      </c>
      <c r="H16714">
        <f>IF(DATOS!$G16714&lt;&gt;"EX",0,--(COUNTIFS(nNIA,DATOS!$A16714,nCURSO,DATOS!$D16714,nESPEC,DATOS!$E16714,nASIG,DATOS!$I16714,nEVAL,"OR")=0))</f>
      </c>
      <c r="I16714">
        <f>IF(DATOS!$I16714="","",IFERROR(VLOOKUP(DATOS!$I16714,CONFIG_ASIGNATURAS!$B$2:$J$91,9,FALSE()),""))</f>
      </c>
    </row>
    <row r="16715">
      <c r="F16715">
        <f>IF(DATOS!$A16715="","",DATOS!$A16715&amp;"|"&amp;DATOS!$D16715&amp;"|"&amp;DATOS!$E16715&amp;"|"&amp;DATOS!$I16715)</f>
      </c>
      <c r="G16715">
        <f>IF(DATOS!$A16715="",0,IF(CONFIG_METADATA!$B$4&lt;&gt;"OR+EX",--(DATOS!$G16715=CONFIG_METADATA!$B$4),IF(DATOS!$G16715="EX",1,IF(DATOS!$G16715="OR",--(COUNTIFS(nNIA,DATOS!$A16715,nCURSO,DATOS!$D16715,nESPEC,DATOS!$E16715,nASIG,DATOS!$I16715,nEVAL,"EX")=0),0))))</f>
      </c>
      <c r="H16715">
        <f>IF(DATOS!$G16715&lt;&gt;"EX",0,--(COUNTIFS(nNIA,DATOS!$A16715,nCURSO,DATOS!$D16715,nESPEC,DATOS!$E16715,nASIG,DATOS!$I16715,nEVAL,"OR")=0))</f>
      </c>
      <c r="I16715">
        <f>IF(DATOS!$I16715="","",IFERROR(VLOOKUP(DATOS!$I16715,CONFIG_ASIGNATURAS!$B$2:$J$91,9,FALSE()),""))</f>
      </c>
    </row>
    <row r="16716">
      <c r="F16716">
        <f>IF(DATOS!$A16716="","",DATOS!$A16716&amp;"|"&amp;DATOS!$D16716&amp;"|"&amp;DATOS!$E16716&amp;"|"&amp;DATOS!$I16716)</f>
      </c>
      <c r="G16716">
        <f>IF(DATOS!$A16716="",0,IF(CONFIG_METADATA!$B$4&lt;&gt;"OR+EX",--(DATOS!$G16716=CONFIG_METADATA!$B$4),IF(DATOS!$G16716="EX",1,IF(DATOS!$G16716="OR",--(COUNTIFS(nNIA,DATOS!$A16716,nCURSO,DATOS!$D16716,nESPEC,DATOS!$E16716,nASIG,DATOS!$I16716,nEVAL,"EX")=0),0))))</f>
      </c>
      <c r="H16716">
        <f>IF(DATOS!$G16716&lt;&gt;"EX",0,--(COUNTIFS(nNIA,DATOS!$A16716,nCURSO,DATOS!$D16716,nESPEC,DATOS!$E16716,nASIG,DATOS!$I16716,nEVAL,"OR")=0))</f>
      </c>
      <c r="I16716">
        <f>IF(DATOS!$I16716="","",IFERROR(VLOOKUP(DATOS!$I16716,CONFIG_ASIGNATURAS!$B$2:$J$91,9,FALSE()),""))</f>
      </c>
    </row>
    <row r="16717">
      <c r="F16717">
        <f>IF(DATOS!$A16717="","",DATOS!$A16717&amp;"|"&amp;DATOS!$D16717&amp;"|"&amp;DATOS!$E16717&amp;"|"&amp;DATOS!$I16717)</f>
      </c>
      <c r="G16717">
        <f>IF(DATOS!$A16717="",0,IF(CONFIG_METADATA!$B$4&lt;&gt;"OR+EX",--(DATOS!$G16717=CONFIG_METADATA!$B$4),IF(DATOS!$G16717="EX",1,IF(DATOS!$G16717="OR",--(COUNTIFS(nNIA,DATOS!$A16717,nCURSO,DATOS!$D16717,nESPEC,DATOS!$E16717,nASIG,DATOS!$I16717,nEVAL,"EX")=0),0))))</f>
      </c>
      <c r="H16717">
        <f>IF(DATOS!$G16717&lt;&gt;"EX",0,--(COUNTIFS(nNIA,DATOS!$A16717,nCURSO,DATOS!$D16717,nESPEC,DATOS!$E16717,nASIG,DATOS!$I16717,nEVAL,"OR")=0))</f>
      </c>
      <c r="I16717">
        <f>IF(DATOS!$I16717="","",IFERROR(VLOOKUP(DATOS!$I16717,CONFIG_ASIGNATURAS!$B$2:$J$91,9,FALSE()),""))</f>
      </c>
    </row>
    <row r="16718">
      <c r="F16718">
        <f>IF(DATOS!$A16718="","",DATOS!$A16718&amp;"|"&amp;DATOS!$D16718&amp;"|"&amp;DATOS!$E16718&amp;"|"&amp;DATOS!$I16718)</f>
      </c>
      <c r="G16718">
        <f>IF(DATOS!$A16718="",0,IF(CONFIG_METADATA!$B$4&lt;&gt;"OR+EX",--(DATOS!$G16718=CONFIG_METADATA!$B$4),IF(DATOS!$G16718="EX",1,IF(DATOS!$G16718="OR",--(COUNTIFS(nNIA,DATOS!$A16718,nCURSO,DATOS!$D16718,nESPEC,DATOS!$E16718,nASIG,DATOS!$I16718,nEVAL,"EX")=0),0))))</f>
      </c>
      <c r="H16718">
        <f>IF(DATOS!$G16718&lt;&gt;"EX",0,--(COUNTIFS(nNIA,DATOS!$A16718,nCURSO,DATOS!$D16718,nESPEC,DATOS!$E16718,nASIG,DATOS!$I16718,nEVAL,"OR")=0))</f>
      </c>
      <c r="I16718">
        <f>IF(DATOS!$I16718="","",IFERROR(VLOOKUP(DATOS!$I16718,CONFIG_ASIGNATURAS!$B$2:$J$91,9,FALSE()),""))</f>
      </c>
    </row>
    <row r="16719">
      <c r="F16719">
        <f>IF(DATOS!$A16719="","",DATOS!$A16719&amp;"|"&amp;DATOS!$D16719&amp;"|"&amp;DATOS!$E16719&amp;"|"&amp;DATOS!$I16719)</f>
      </c>
      <c r="G16719">
        <f>IF(DATOS!$A16719="",0,IF(CONFIG_METADATA!$B$4&lt;&gt;"OR+EX",--(DATOS!$G16719=CONFIG_METADATA!$B$4),IF(DATOS!$G16719="EX",1,IF(DATOS!$G16719="OR",--(COUNTIFS(nNIA,DATOS!$A16719,nCURSO,DATOS!$D16719,nESPEC,DATOS!$E16719,nASIG,DATOS!$I16719,nEVAL,"EX")=0),0))))</f>
      </c>
      <c r="H16719">
        <f>IF(DATOS!$G16719&lt;&gt;"EX",0,--(COUNTIFS(nNIA,DATOS!$A16719,nCURSO,DATOS!$D16719,nESPEC,DATOS!$E16719,nASIG,DATOS!$I16719,nEVAL,"OR")=0))</f>
      </c>
      <c r="I16719">
        <f>IF(DATOS!$I16719="","",IFERROR(VLOOKUP(DATOS!$I16719,CONFIG_ASIGNATURAS!$B$2:$J$91,9,FALSE()),""))</f>
      </c>
    </row>
    <row r="16720">
      <c r="F16720">
        <f>IF(DATOS!$A16720="","",DATOS!$A16720&amp;"|"&amp;DATOS!$D16720&amp;"|"&amp;DATOS!$E16720&amp;"|"&amp;DATOS!$I16720)</f>
      </c>
      <c r="G16720">
        <f>IF(DATOS!$A16720="",0,IF(CONFIG_METADATA!$B$4&lt;&gt;"OR+EX",--(DATOS!$G16720=CONFIG_METADATA!$B$4),IF(DATOS!$G16720="EX",1,IF(DATOS!$G16720="OR",--(COUNTIFS(nNIA,DATOS!$A16720,nCURSO,DATOS!$D16720,nESPEC,DATOS!$E16720,nASIG,DATOS!$I16720,nEVAL,"EX")=0),0))))</f>
      </c>
      <c r="H16720">
        <f>IF(DATOS!$G16720&lt;&gt;"EX",0,--(COUNTIFS(nNIA,DATOS!$A16720,nCURSO,DATOS!$D16720,nESPEC,DATOS!$E16720,nASIG,DATOS!$I16720,nEVAL,"OR")=0))</f>
      </c>
      <c r="I16720">
        <f>IF(DATOS!$I16720="","",IFERROR(VLOOKUP(DATOS!$I16720,CONFIG_ASIGNATURAS!$B$2:$J$91,9,FALSE()),""))</f>
      </c>
    </row>
    <row r="16721">
      <c r="F16721">
        <f>IF(DATOS!$A16721="","",DATOS!$A16721&amp;"|"&amp;DATOS!$D16721&amp;"|"&amp;DATOS!$E16721&amp;"|"&amp;DATOS!$I16721)</f>
      </c>
      <c r="G16721">
        <f>IF(DATOS!$A16721="",0,IF(CONFIG_METADATA!$B$4&lt;&gt;"OR+EX",--(DATOS!$G16721=CONFIG_METADATA!$B$4),IF(DATOS!$G16721="EX",1,IF(DATOS!$G16721="OR",--(COUNTIFS(nNIA,DATOS!$A16721,nCURSO,DATOS!$D16721,nESPEC,DATOS!$E16721,nASIG,DATOS!$I16721,nEVAL,"EX")=0),0))))</f>
      </c>
      <c r="H16721">
        <f>IF(DATOS!$G16721&lt;&gt;"EX",0,--(COUNTIFS(nNIA,DATOS!$A16721,nCURSO,DATOS!$D16721,nESPEC,DATOS!$E16721,nASIG,DATOS!$I16721,nEVAL,"OR")=0))</f>
      </c>
      <c r="I16721">
        <f>IF(DATOS!$I16721="","",IFERROR(VLOOKUP(DATOS!$I16721,CONFIG_ASIGNATURAS!$B$2:$J$91,9,FALSE()),""))</f>
      </c>
    </row>
    <row r="16722">
      <c r="F16722">
        <f>IF(DATOS!$A16722="","",DATOS!$A16722&amp;"|"&amp;DATOS!$D16722&amp;"|"&amp;DATOS!$E16722&amp;"|"&amp;DATOS!$I16722)</f>
      </c>
      <c r="G16722">
        <f>IF(DATOS!$A16722="",0,IF(CONFIG_METADATA!$B$4&lt;&gt;"OR+EX",--(DATOS!$G16722=CONFIG_METADATA!$B$4),IF(DATOS!$G16722="EX",1,IF(DATOS!$G16722="OR",--(COUNTIFS(nNIA,DATOS!$A16722,nCURSO,DATOS!$D16722,nESPEC,DATOS!$E16722,nASIG,DATOS!$I16722,nEVAL,"EX")=0),0))))</f>
      </c>
      <c r="H16722">
        <f>IF(DATOS!$G16722&lt;&gt;"EX",0,--(COUNTIFS(nNIA,DATOS!$A16722,nCURSO,DATOS!$D16722,nESPEC,DATOS!$E16722,nASIG,DATOS!$I16722,nEVAL,"OR")=0))</f>
      </c>
      <c r="I16722">
        <f>IF(DATOS!$I16722="","",IFERROR(VLOOKUP(DATOS!$I16722,CONFIG_ASIGNATURAS!$B$2:$J$91,9,FALSE()),""))</f>
      </c>
    </row>
    <row r="16723">
      <c r="F16723">
        <f>IF(DATOS!$A16723="","",DATOS!$A16723&amp;"|"&amp;DATOS!$D16723&amp;"|"&amp;DATOS!$E16723&amp;"|"&amp;DATOS!$I16723)</f>
      </c>
      <c r="G16723">
        <f>IF(DATOS!$A16723="",0,IF(CONFIG_METADATA!$B$4&lt;&gt;"OR+EX",--(DATOS!$G16723=CONFIG_METADATA!$B$4),IF(DATOS!$G16723="EX",1,IF(DATOS!$G16723="OR",--(COUNTIFS(nNIA,DATOS!$A16723,nCURSO,DATOS!$D16723,nESPEC,DATOS!$E16723,nASIG,DATOS!$I16723,nEVAL,"EX")=0),0))))</f>
      </c>
      <c r="H16723">
        <f>IF(DATOS!$G16723&lt;&gt;"EX",0,--(COUNTIFS(nNIA,DATOS!$A16723,nCURSO,DATOS!$D16723,nESPEC,DATOS!$E16723,nASIG,DATOS!$I16723,nEVAL,"OR")=0))</f>
      </c>
      <c r="I16723">
        <f>IF(DATOS!$I16723="","",IFERROR(VLOOKUP(DATOS!$I16723,CONFIG_ASIGNATURAS!$B$2:$J$91,9,FALSE()),""))</f>
      </c>
    </row>
    <row r="16724">
      <c r="F16724">
        <f>IF(DATOS!$A16724="","",DATOS!$A16724&amp;"|"&amp;DATOS!$D16724&amp;"|"&amp;DATOS!$E16724&amp;"|"&amp;DATOS!$I16724)</f>
      </c>
      <c r="G16724">
        <f>IF(DATOS!$A16724="",0,IF(CONFIG_METADATA!$B$4&lt;&gt;"OR+EX",--(DATOS!$G16724=CONFIG_METADATA!$B$4),IF(DATOS!$G16724="EX",1,IF(DATOS!$G16724="OR",--(COUNTIFS(nNIA,DATOS!$A16724,nCURSO,DATOS!$D16724,nESPEC,DATOS!$E16724,nASIG,DATOS!$I16724,nEVAL,"EX")=0),0))))</f>
      </c>
      <c r="H16724">
        <f>IF(DATOS!$G16724&lt;&gt;"EX",0,--(COUNTIFS(nNIA,DATOS!$A16724,nCURSO,DATOS!$D16724,nESPEC,DATOS!$E16724,nASIG,DATOS!$I16724,nEVAL,"OR")=0))</f>
      </c>
      <c r="I16724">
        <f>IF(DATOS!$I16724="","",IFERROR(VLOOKUP(DATOS!$I16724,CONFIG_ASIGNATURAS!$B$2:$J$91,9,FALSE()),""))</f>
      </c>
    </row>
    <row r="16725">
      <c r="F16725">
        <f>IF(DATOS!$A16725="","",DATOS!$A16725&amp;"|"&amp;DATOS!$D16725&amp;"|"&amp;DATOS!$E16725&amp;"|"&amp;DATOS!$I16725)</f>
      </c>
      <c r="G16725">
        <f>IF(DATOS!$A16725="",0,IF(CONFIG_METADATA!$B$4&lt;&gt;"OR+EX",--(DATOS!$G16725=CONFIG_METADATA!$B$4),IF(DATOS!$G16725="EX",1,IF(DATOS!$G16725="OR",--(COUNTIFS(nNIA,DATOS!$A16725,nCURSO,DATOS!$D16725,nESPEC,DATOS!$E16725,nASIG,DATOS!$I16725,nEVAL,"EX")=0),0))))</f>
      </c>
      <c r="H16725">
        <f>IF(DATOS!$G16725&lt;&gt;"EX",0,--(COUNTIFS(nNIA,DATOS!$A16725,nCURSO,DATOS!$D16725,nESPEC,DATOS!$E16725,nASIG,DATOS!$I16725,nEVAL,"OR")=0))</f>
      </c>
      <c r="I16725">
        <f>IF(DATOS!$I16725="","",IFERROR(VLOOKUP(DATOS!$I16725,CONFIG_ASIGNATURAS!$B$2:$J$91,9,FALSE()),""))</f>
      </c>
    </row>
    <row r="16726">
      <c r="F16726">
        <f>IF(DATOS!$A16726="","",DATOS!$A16726&amp;"|"&amp;DATOS!$D16726&amp;"|"&amp;DATOS!$E16726&amp;"|"&amp;DATOS!$I16726)</f>
      </c>
      <c r="G16726">
        <f>IF(DATOS!$A16726="",0,IF(CONFIG_METADATA!$B$4&lt;&gt;"OR+EX",--(DATOS!$G16726=CONFIG_METADATA!$B$4),IF(DATOS!$G16726="EX",1,IF(DATOS!$G16726="OR",--(COUNTIFS(nNIA,DATOS!$A16726,nCURSO,DATOS!$D16726,nESPEC,DATOS!$E16726,nASIG,DATOS!$I16726,nEVAL,"EX")=0),0))))</f>
      </c>
      <c r="H16726">
        <f>IF(DATOS!$G16726&lt;&gt;"EX",0,--(COUNTIFS(nNIA,DATOS!$A16726,nCURSO,DATOS!$D16726,nESPEC,DATOS!$E16726,nASIG,DATOS!$I16726,nEVAL,"OR")=0))</f>
      </c>
      <c r="I16726">
        <f>IF(DATOS!$I16726="","",IFERROR(VLOOKUP(DATOS!$I16726,CONFIG_ASIGNATURAS!$B$2:$J$91,9,FALSE()),""))</f>
      </c>
    </row>
    <row r="16727">
      <c r="F16727">
        <f>IF(DATOS!$A16727="","",DATOS!$A16727&amp;"|"&amp;DATOS!$D16727&amp;"|"&amp;DATOS!$E16727&amp;"|"&amp;DATOS!$I16727)</f>
      </c>
      <c r="G16727">
        <f>IF(DATOS!$A16727="",0,IF(CONFIG_METADATA!$B$4&lt;&gt;"OR+EX",--(DATOS!$G16727=CONFIG_METADATA!$B$4),IF(DATOS!$G16727="EX",1,IF(DATOS!$G16727="OR",--(COUNTIFS(nNIA,DATOS!$A16727,nCURSO,DATOS!$D16727,nESPEC,DATOS!$E16727,nASIG,DATOS!$I16727,nEVAL,"EX")=0),0))))</f>
      </c>
      <c r="H16727">
        <f>IF(DATOS!$G16727&lt;&gt;"EX",0,--(COUNTIFS(nNIA,DATOS!$A16727,nCURSO,DATOS!$D16727,nESPEC,DATOS!$E16727,nASIG,DATOS!$I16727,nEVAL,"OR")=0))</f>
      </c>
      <c r="I16727">
        <f>IF(DATOS!$I16727="","",IFERROR(VLOOKUP(DATOS!$I16727,CONFIG_ASIGNATURAS!$B$2:$J$91,9,FALSE()),""))</f>
      </c>
    </row>
    <row r="16728">
      <c r="F16728">
        <f>IF(DATOS!$A16728="","",DATOS!$A16728&amp;"|"&amp;DATOS!$D16728&amp;"|"&amp;DATOS!$E16728&amp;"|"&amp;DATOS!$I16728)</f>
      </c>
      <c r="G16728">
        <f>IF(DATOS!$A16728="",0,IF(CONFIG_METADATA!$B$4&lt;&gt;"OR+EX",--(DATOS!$G16728=CONFIG_METADATA!$B$4),IF(DATOS!$G16728="EX",1,IF(DATOS!$G16728="OR",--(COUNTIFS(nNIA,DATOS!$A16728,nCURSO,DATOS!$D16728,nESPEC,DATOS!$E16728,nASIG,DATOS!$I16728,nEVAL,"EX")=0),0))))</f>
      </c>
      <c r="H16728">
        <f>IF(DATOS!$G16728&lt;&gt;"EX",0,--(COUNTIFS(nNIA,DATOS!$A16728,nCURSO,DATOS!$D16728,nESPEC,DATOS!$E16728,nASIG,DATOS!$I16728,nEVAL,"OR")=0))</f>
      </c>
      <c r="I16728">
        <f>IF(DATOS!$I16728="","",IFERROR(VLOOKUP(DATOS!$I16728,CONFIG_ASIGNATURAS!$B$2:$J$91,9,FALSE()),""))</f>
      </c>
    </row>
    <row r="16729">
      <c r="F16729">
        <f>IF(DATOS!$A16729="","",DATOS!$A16729&amp;"|"&amp;DATOS!$D16729&amp;"|"&amp;DATOS!$E16729&amp;"|"&amp;DATOS!$I16729)</f>
      </c>
      <c r="G16729">
        <f>IF(DATOS!$A16729="",0,IF(CONFIG_METADATA!$B$4&lt;&gt;"OR+EX",--(DATOS!$G16729=CONFIG_METADATA!$B$4),IF(DATOS!$G16729="EX",1,IF(DATOS!$G16729="OR",--(COUNTIFS(nNIA,DATOS!$A16729,nCURSO,DATOS!$D16729,nESPEC,DATOS!$E16729,nASIG,DATOS!$I16729,nEVAL,"EX")=0),0))))</f>
      </c>
      <c r="H16729">
        <f>IF(DATOS!$G16729&lt;&gt;"EX",0,--(COUNTIFS(nNIA,DATOS!$A16729,nCURSO,DATOS!$D16729,nESPEC,DATOS!$E16729,nASIG,DATOS!$I16729,nEVAL,"OR")=0))</f>
      </c>
      <c r="I16729">
        <f>IF(DATOS!$I16729="","",IFERROR(VLOOKUP(DATOS!$I16729,CONFIG_ASIGNATURAS!$B$2:$J$91,9,FALSE()),""))</f>
      </c>
    </row>
    <row r="16730">
      <c r="F16730">
        <f>IF(DATOS!$A16730="","",DATOS!$A16730&amp;"|"&amp;DATOS!$D16730&amp;"|"&amp;DATOS!$E16730&amp;"|"&amp;DATOS!$I16730)</f>
      </c>
      <c r="G16730">
        <f>IF(DATOS!$A16730="",0,IF(CONFIG_METADATA!$B$4&lt;&gt;"OR+EX",--(DATOS!$G16730=CONFIG_METADATA!$B$4),IF(DATOS!$G16730="EX",1,IF(DATOS!$G16730="OR",--(COUNTIFS(nNIA,DATOS!$A16730,nCURSO,DATOS!$D16730,nESPEC,DATOS!$E16730,nASIG,DATOS!$I16730,nEVAL,"EX")=0),0))))</f>
      </c>
      <c r="H16730">
        <f>IF(DATOS!$G16730&lt;&gt;"EX",0,--(COUNTIFS(nNIA,DATOS!$A16730,nCURSO,DATOS!$D16730,nESPEC,DATOS!$E16730,nASIG,DATOS!$I16730,nEVAL,"OR")=0))</f>
      </c>
      <c r="I16730">
        <f>IF(DATOS!$I16730="","",IFERROR(VLOOKUP(DATOS!$I16730,CONFIG_ASIGNATURAS!$B$2:$J$91,9,FALSE()),""))</f>
      </c>
    </row>
    <row r="16731">
      <c r="F16731">
        <f>IF(DATOS!$A16731="","",DATOS!$A16731&amp;"|"&amp;DATOS!$D16731&amp;"|"&amp;DATOS!$E16731&amp;"|"&amp;DATOS!$I16731)</f>
      </c>
      <c r="G16731">
        <f>IF(DATOS!$A16731="",0,IF(CONFIG_METADATA!$B$4&lt;&gt;"OR+EX",--(DATOS!$G16731=CONFIG_METADATA!$B$4),IF(DATOS!$G16731="EX",1,IF(DATOS!$G16731="OR",--(COUNTIFS(nNIA,DATOS!$A16731,nCURSO,DATOS!$D16731,nESPEC,DATOS!$E16731,nASIG,DATOS!$I16731,nEVAL,"EX")=0),0))))</f>
      </c>
      <c r="H16731">
        <f>IF(DATOS!$G16731&lt;&gt;"EX",0,--(COUNTIFS(nNIA,DATOS!$A16731,nCURSO,DATOS!$D16731,nESPEC,DATOS!$E16731,nASIG,DATOS!$I16731,nEVAL,"OR")=0))</f>
      </c>
      <c r="I16731">
        <f>IF(DATOS!$I16731="","",IFERROR(VLOOKUP(DATOS!$I16731,CONFIG_ASIGNATURAS!$B$2:$J$91,9,FALSE()),""))</f>
      </c>
    </row>
    <row r="16732">
      <c r="F16732">
        <f>IF(DATOS!$A16732="","",DATOS!$A16732&amp;"|"&amp;DATOS!$D16732&amp;"|"&amp;DATOS!$E16732&amp;"|"&amp;DATOS!$I16732)</f>
      </c>
      <c r="G16732">
        <f>IF(DATOS!$A16732="",0,IF(CONFIG_METADATA!$B$4&lt;&gt;"OR+EX",--(DATOS!$G16732=CONFIG_METADATA!$B$4),IF(DATOS!$G16732="EX",1,IF(DATOS!$G16732="OR",--(COUNTIFS(nNIA,DATOS!$A16732,nCURSO,DATOS!$D16732,nESPEC,DATOS!$E16732,nASIG,DATOS!$I16732,nEVAL,"EX")=0),0))))</f>
      </c>
      <c r="H16732">
        <f>IF(DATOS!$G16732&lt;&gt;"EX",0,--(COUNTIFS(nNIA,DATOS!$A16732,nCURSO,DATOS!$D16732,nESPEC,DATOS!$E16732,nASIG,DATOS!$I16732,nEVAL,"OR")=0))</f>
      </c>
      <c r="I16732">
        <f>IF(DATOS!$I16732="","",IFERROR(VLOOKUP(DATOS!$I16732,CONFIG_ASIGNATURAS!$B$2:$J$91,9,FALSE()),""))</f>
      </c>
    </row>
    <row r="16733">
      <c r="F16733">
        <f>IF(DATOS!$A16733="","",DATOS!$A16733&amp;"|"&amp;DATOS!$D16733&amp;"|"&amp;DATOS!$E16733&amp;"|"&amp;DATOS!$I16733)</f>
      </c>
      <c r="G16733">
        <f>IF(DATOS!$A16733="",0,IF(CONFIG_METADATA!$B$4&lt;&gt;"OR+EX",--(DATOS!$G16733=CONFIG_METADATA!$B$4),IF(DATOS!$G16733="EX",1,IF(DATOS!$G16733="OR",--(COUNTIFS(nNIA,DATOS!$A16733,nCURSO,DATOS!$D16733,nESPEC,DATOS!$E16733,nASIG,DATOS!$I16733,nEVAL,"EX")=0),0))))</f>
      </c>
      <c r="H16733">
        <f>IF(DATOS!$G16733&lt;&gt;"EX",0,--(COUNTIFS(nNIA,DATOS!$A16733,nCURSO,DATOS!$D16733,nESPEC,DATOS!$E16733,nASIG,DATOS!$I16733,nEVAL,"OR")=0))</f>
      </c>
      <c r="I16733">
        <f>IF(DATOS!$I16733="","",IFERROR(VLOOKUP(DATOS!$I16733,CONFIG_ASIGNATURAS!$B$2:$J$91,9,FALSE()),""))</f>
      </c>
    </row>
    <row r="16734">
      <c r="F16734">
        <f>IF(DATOS!$A16734="","",DATOS!$A16734&amp;"|"&amp;DATOS!$D16734&amp;"|"&amp;DATOS!$E16734&amp;"|"&amp;DATOS!$I16734)</f>
      </c>
      <c r="G16734">
        <f>IF(DATOS!$A16734="",0,IF(CONFIG_METADATA!$B$4&lt;&gt;"OR+EX",--(DATOS!$G16734=CONFIG_METADATA!$B$4),IF(DATOS!$G16734="EX",1,IF(DATOS!$G16734="OR",--(COUNTIFS(nNIA,DATOS!$A16734,nCURSO,DATOS!$D16734,nESPEC,DATOS!$E16734,nASIG,DATOS!$I16734,nEVAL,"EX")=0),0))))</f>
      </c>
      <c r="H16734">
        <f>IF(DATOS!$G16734&lt;&gt;"EX",0,--(COUNTIFS(nNIA,DATOS!$A16734,nCURSO,DATOS!$D16734,nESPEC,DATOS!$E16734,nASIG,DATOS!$I16734,nEVAL,"OR")=0))</f>
      </c>
      <c r="I16734">
        <f>IF(DATOS!$I16734="","",IFERROR(VLOOKUP(DATOS!$I16734,CONFIG_ASIGNATURAS!$B$2:$J$91,9,FALSE()),""))</f>
      </c>
    </row>
    <row r="16735">
      <c r="F16735">
        <f>IF(DATOS!$A16735="","",DATOS!$A16735&amp;"|"&amp;DATOS!$D16735&amp;"|"&amp;DATOS!$E16735&amp;"|"&amp;DATOS!$I16735)</f>
      </c>
      <c r="G16735">
        <f>IF(DATOS!$A16735="",0,IF(CONFIG_METADATA!$B$4&lt;&gt;"OR+EX",--(DATOS!$G16735=CONFIG_METADATA!$B$4),IF(DATOS!$G16735="EX",1,IF(DATOS!$G16735="OR",--(COUNTIFS(nNIA,DATOS!$A16735,nCURSO,DATOS!$D16735,nESPEC,DATOS!$E16735,nASIG,DATOS!$I16735,nEVAL,"EX")=0),0))))</f>
      </c>
      <c r="H16735">
        <f>IF(DATOS!$G16735&lt;&gt;"EX",0,--(COUNTIFS(nNIA,DATOS!$A16735,nCURSO,DATOS!$D16735,nESPEC,DATOS!$E16735,nASIG,DATOS!$I16735,nEVAL,"OR")=0))</f>
      </c>
      <c r="I16735">
        <f>IF(DATOS!$I16735="","",IFERROR(VLOOKUP(DATOS!$I16735,CONFIG_ASIGNATURAS!$B$2:$J$91,9,FALSE()),""))</f>
      </c>
    </row>
    <row r="16736">
      <c r="F16736">
        <f>IF(DATOS!$A16736="","",DATOS!$A16736&amp;"|"&amp;DATOS!$D16736&amp;"|"&amp;DATOS!$E16736&amp;"|"&amp;DATOS!$I16736)</f>
      </c>
      <c r="G16736">
        <f>IF(DATOS!$A16736="",0,IF(CONFIG_METADATA!$B$4&lt;&gt;"OR+EX",--(DATOS!$G16736=CONFIG_METADATA!$B$4),IF(DATOS!$G16736="EX",1,IF(DATOS!$G16736="OR",--(COUNTIFS(nNIA,DATOS!$A16736,nCURSO,DATOS!$D16736,nESPEC,DATOS!$E16736,nASIG,DATOS!$I16736,nEVAL,"EX")=0),0))))</f>
      </c>
      <c r="H16736">
        <f>IF(DATOS!$G16736&lt;&gt;"EX",0,--(COUNTIFS(nNIA,DATOS!$A16736,nCURSO,DATOS!$D16736,nESPEC,DATOS!$E16736,nASIG,DATOS!$I16736,nEVAL,"OR")=0))</f>
      </c>
      <c r="I16736">
        <f>IF(DATOS!$I16736="","",IFERROR(VLOOKUP(DATOS!$I16736,CONFIG_ASIGNATURAS!$B$2:$J$91,9,FALSE()),""))</f>
      </c>
    </row>
    <row r="16737">
      <c r="F16737">
        <f>IF(DATOS!$A16737="","",DATOS!$A16737&amp;"|"&amp;DATOS!$D16737&amp;"|"&amp;DATOS!$E16737&amp;"|"&amp;DATOS!$I16737)</f>
      </c>
      <c r="G16737">
        <f>IF(DATOS!$A16737="",0,IF(CONFIG_METADATA!$B$4&lt;&gt;"OR+EX",--(DATOS!$G16737=CONFIG_METADATA!$B$4),IF(DATOS!$G16737="EX",1,IF(DATOS!$G16737="OR",--(COUNTIFS(nNIA,DATOS!$A16737,nCURSO,DATOS!$D16737,nESPEC,DATOS!$E16737,nASIG,DATOS!$I16737,nEVAL,"EX")=0),0))))</f>
      </c>
      <c r="H16737">
        <f>IF(DATOS!$G16737&lt;&gt;"EX",0,--(COUNTIFS(nNIA,DATOS!$A16737,nCURSO,DATOS!$D16737,nESPEC,DATOS!$E16737,nASIG,DATOS!$I16737,nEVAL,"OR")=0))</f>
      </c>
      <c r="I16737">
        <f>IF(DATOS!$I16737="","",IFERROR(VLOOKUP(DATOS!$I16737,CONFIG_ASIGNATURAS!$B$2:$J$91,9,FALSE()),""))</f>
      </c>
    </row>
    <row r="16738">
      <c r="F16738">
        <f>IF(DATOS!$A16738="","",DATOS!$A16738&amp;"|"&amp;DATOS!$D16738&amp;"|"&amp;DATOS!$E16738&amp;"|"&amp;DATOS!$I16738)</f>
      </c>
      <c r="G16738">
        <f>IF(DATOS!$A16738="",0,IF(CONFIG_METADATA!$B$4&lt;&gt;"OR+EX",--(DATOS!$G16738=CONFIG_METADATA!$B$4),IF(DATOS!$G16738="EX",1,IF(DATOS!$G16738="OR",--(COUNTIFS(nNIA,DATOS!$A16738,nCURSO,DATOS!$D16738,nESPEC,DATOS!$E16738,nASIG,DATOS!$I16738,nEVAL,"EX")=0),0))))</f>
      </c>
      <c r="H16738">
        <f>IF(DATOS!$G16738&lt;&gt;"EX",0,--(COUNTIFS(nNIA,DATOS!$A16738,nCURSO,DATOS!$D16738,nESPEC,DATOS!$E16738,nASIG,DATOS!$I16738,nEVAL,"OR")=0))</f>
      </c>
      <c r="I16738">
        <f>IF(DATOS!$I16738="","",IFERROR(VLOOKUP(DATOS!$I16738,CONFIG_ASIGNATURAS!$B$2:$J$91,9,FALSE()),""))</f>
      </c>
    </row>
    <row r="16739">
      <c r="F16739">
        <f>IF(DATOS!$A16739="","",DATOS!$A16739&amp;"|"&amp;DATOS!$D16739&amp;"|"&amp;DATOS!$E16739&amp;"|"&amp;DATOS!$I16739)</f>
      </c>
      <c r="G16739">
        <f>IF(DATOS!$A16739="",0,IF(CONFIG_METADATA!$B$4&lt;&gt;"OR+EX",--(DATOS!$G16739=CONFIG_METADATA!$B$4),IF(DATOS!$G16739="EX",1,IF(DATOS!$G16739="OR",--(COUNTIFS(nNIA,DATOS!$A16739,nCURSO,DATOS!$D16739,nESPEC,DATOS!$E16739,nASIG,DATOS!$I16739,nEVAL,"EX")=0),0))))</f>
      </c>
      <c r="H16739">
        <f>IF(DATOS!$G16739&lt;&gt;"EX",0,--(COUNTIFS(nNIA,DATOS!$A16739,nCURSO,DATOS!$D16739,nESPEC,DATOS!$E16739,nASIG,DATOS!$I16739,nEVAL,"OR")=0))</f>
      </c>
      <c r="I16739">
        <f>IF(DATOS!$I16739="","",IFERROR(VLOOKUP(DATOS!$I16739,CONFIG_ASIGNATURAS!$B$2:$J$91,9,FALSE()),""))</f>
      </c>
    </row>
    <row r="16740">
      <c r="F16740">
        <f>IF(DATOS!$A16740="","",DATOS!$A16740&amp;"|"&amp;DATOS!$D16740&amp;"|"&amp;DATOS!$E16740&amp;"|"&amp;DATOS!$I16740)</f>
      </c>
      <c r="G16740">
        <f>IF(DATOS!$A16740="",0,IF(CONFIG_METADATA!$B$4&lt;&gt;"OR+EX",--(DATOS!$G16740=CONFIG_METADATA!$B$4),IF(DATOS!$G16740="EX",1,IF(DATOS!$G16740="OR",--(COUNTIFS(nNIA,DATOS!$A16740,nCURSO,DATOS!$D16740,nESPEC,DATOS!$E16740,nASIG,DATOS!$I16740,nEVAL,"EX")=0),0))))</f>
      </c>
      <c r="H16740">
        <f>IF(DATOS!$G16740&lt;&gt;"EX",0,--(COUNTIFS(nNIA,DATOS!$A16740,nCURSO,DATOS!$D16740,nESPEC,DATOS!$E16740,nASIG,DATOS!$I16740,nEVAL,"OR")=0))</f>
      </c>
      <c r="I16740">
        <f>IF(DATOS!$I16740="","",IFERROR(VLOOKUP(DATOS!$I16740,CONFIG_ASIGNATURAS!$B$2:$J$91,9,FALSE()),""))</f>
      </c>
    </row>
    <row r="16741">
      <c r="F16741">
        <f>IF(DATOS!$A16741="","",DATOS!$A16741&amp;"|"&amp;DATOS!$D16741&amp;"|"&amp;DATOS!$E16741&amp;"|"&amp;DATOS!$I16741)</f>
      </c>
      <c r="G16741">
        <f>IF(DATOS!$A16741="",0,IF(CONFIG_METADATA!$B$4&lt;&gt;"OR+EX",--(DATOS!$G16741=CONFIG_METADATA!$B$4),IF(DATOS!$G16741="EX",1,IF(DATOS!$G16741="OR",--(COUNTIFS(nNIA,DATOS!$A16741,nCURSO,DATOS!$D16741,nESPEC,DATOS!$E16741,nASIG,DATOS!$I16741,nEVAL,"EX")=0),0))))</f>
      </c>
      <c r="H16741">
        <f>IF(DATOS!$G16741&lt;&gt;"EX",0,--(COUNTIFS(nNIA,DATOS!$A16741,nCURSO,DATOS!$D16741,nESPEC,DATOS!$E16741,nASIG,DATOS!$I16741,nEVAL,"OR")=0))</f>
      </c>
      <c r="I16741">
        <f>IF(DATOS!$I16741="","",IFERROR(VLOOKUP(DATOS!$I16741,CONFIG_ASIGNATURAS!$B$2:$J$91,9,FALSE()),""))</f>
      </c>
    </row>
    <row r="16742">
      <c r="F16742">
        <f>IF(DATOS!$A16742="","",DATOS!$A16742&amp;"|"&amp;DATOS!$D16742&amp;"|"&amp;DATOS!$E16742&amp;"|"&amp;DATOS!$I16742)</f>
      </c>
      <c r="G16742">
        <f>IF(DATOS!$A16742="",0,IF(CONFIG_METADATA!$B$4&lt;&gt;"OR+EX",--(DATOS!$G16742=CONFIG_METADATA!$B$4),IF(DATOS!$G16742="EX",1,IF(DATOS!$G16742="OR",--(COUNTIFS(nNIA,DATOS!$A16742,nCURSO,DATOS!$D16742,nESPEC,DATOS!$E16742,nASIG,DATOS!$I16742,nEVAL,"EX")=0),0))))</f>
      </c>
      <c r="H16742">
        <f>IF(DATOS!$G16742&lt;&gt;"EX",0,--(COUNTIFS(nNIA,DATOS!$A16742,nCURSO,DATOS!$D16742,nESPEC,DATOS!$E16742,nASIG,DATOS!$I16742,nEVAL,"OR")=0))</f>
      </c>
      <c r="I16742">
        <f>IF(DATOS!$I16742="","",IFERROR(VLOOKUP(DATOS!$I16742,CONFIG_ASIGNATURAS!$B$2:$J$91,9,FALSE()),""))</f>
      </c>
    </row>
    <row r="16743">
      <c r="F16743">
        <f>IF(DATOS!$A16743="","",DATOS!$A16743&amp;"|"&amp;DATOS!$D16743&amp;"|"&amp;DATOS!$E16743&amp;"|"&amp;DATOS!$I16743)</f>
      </c>
      <c r="G16743">
        <f>IF(DATOS!$A16743="",0,IF(CONFIG_METADATA!$B$4&lt;&gt;"OR+EX",--(DATOS!$G16743=CONFIG_METADATA!$B$4),IF(DATOS!$G16743="EX",1,IF(DATOS!$G16743="OR",--(COUNTIFS(nNIA,DATOS!$A16743,nCURSO,DATOS!$D16743,nESPEC,DATOS!$E16743,nASIG,DATOS!$I16743,nEVAL,"EX")=0),0))))</f>
      </c>
      <c r="H16743">
        <f>IF(DATOS!$G16743&lt;&gt;"EX",0,--(COUNTIFS(nNIA,DATOS!$A16743,nCURSO,DATOS!$D16743,nESPEC,DATOS!$E16743,nASIG,DATOS!$I16743,nEVAL,"OR")=0))</f>
      </c>
      <c r="I16743">
        <f>IF(DATOS!$I16743="","",IFERROR(VLOOKUP(DATOS!$I16743,CONFIG_ASIGNATURAS!$B$2:$J$91,9,FALSE()),""))</f>
      </c>
    </row>
    <row r="16744">
      <c r="F16744">
        <f>IF(DATOS!$A16744="","",DATOS!$A16744&amp;"|"&amp;DATOS!$D16744&amp;"|"&amp;DATOS!$E16744&amp;"|"&amp;DATOS!$I16744)</f>
      </c>
      <c r="G16744">
        <f>IF(DATOS!$A16744="",0,IF(CONFIG_METADATA!$B$4&lt;&gt;"OR+EX",--(DATOS!$G16744=CONFIG_METADATA!$B$4),IF(DATOS!$G16744="EX",1,IF(DATOS!$G16744="OR",--(COUNTIFS(nNIA,DATOS!$A16744,nCURSO,DATOS!$D16744,nESPEC,DATOS!$E16744,nASIG,DATOS!$I16744,nEVAL,"EX")=0),0))))</f>
      </c>
      <c r="H16744">
        <f>IF(DATOS!$G16744&lt;&gt;"EX",0,--(COUNTIFS(nNIA,DATOS!$A16744,nCURSO,DATOS!$D16744,nESPEC,DATOS!$E16744,nASIG,DATOS!$I16744,nEVAL,"OR")=0))</f>
      </c>
      <c r="I16744">
        <f>IF(DATOS!$I16744="","",IFERROR(VLOOKUP(DATOS!$I16744,CONFIG_ASIGNATURAS!$B$2:$J$91,9,FALSE()),""))</f>
      </c>
    </row>
    <row r="16745">
      <c r="F16745">
        <f>IF(DATOS!$A16745="","",DATOS!$A16745&amp;"|"&amp;DATOS!$D16745&amp;"|"&amp;DATOS!$E16745&amp;"|"&amp;DATOS!$I16745)</f>
      </c>
      <c r="G16745">
        <f>IF(DATOS!$A16745="",0,IF(CONFIG_METADATA!$B$4&lt;&gt;"OR+EX",--(DATOS!$G16745=CONFIG_METADATA!$B$4),IF(DATOS!$G16745="EX",1,IF(DATOS!$G16745="OR",--(COUNTIFS(nNIA,DATOS!$A16745,nCURSO,DATOS!$D16745,nESPEC,DATOS!$E16745,nASIG,DATOS!$I16745,nEVAL,"EX")=0),0))))</f>
      </c>
      <c r="H16745">
        <f>IF(DATOS!$G16745&lt;&gt;"EX",0,--(COUNTIFS(nNIA,DATOS!$A16745,nCURSO,DATOS!$D16745,nESPEC,DATOS!$E16745,nASIG,DATOS!$I16745,nEVAL,"OR")=0))</f>
      </c>
      <c r="I16745">
        <f>IF(DATOS!$I16745="","",IFERROR(VLOOKUP(DATOS!$I16745,CONFIG_ASIGNATURAS!$B$2:$J$91,9,FALSE()),""))</f>
      </c>
    </row>
    <row r="16746">
      <c r="F16746">
        <f>IF(DATOS!$A16746="","",DATOS!$A16746&amp;"|"&amp;DATOS!$D16746&amp;"|"&amp;DATOS!$E16746&amp;"|"&amp;DATOS!$I16746)</f>
      </c>
      <c r="G16746">
        <f>IF(DATOS!$A16746="",0,IF(CONFIG_METADATA!$B$4&lt;&gt;"OR+EX",--(DATOS!$G16746=CONFIG_METADATA!$B$4),IF(DATOS!$G16746="EX",1,IF(DATOS!$G16746="OR",--(COUNTIFS(nNIA,DATOS!$A16746,nCURSO,DATOS!$D16746,nESPEC,DATOS!$E16746,nASIG,DATOS!$I16746,nEVAL,"EX")=0),0))))</f>
      </c>
      <c r="H16746">
        <f>IF(DATOS!$G16746&lt;&gt;"EX",0,--(COUNTIFS(nNIA,DATOS!$A16746,nCURSO,DATOS!$D16746,nESPEC,DATOS!$E16746,nASIG,DATOS!$I16746,nEVAL,"OR")=0))</f>
      </c>
      <c r="I16746">
        <f>IF(DATOS!$I16746="","",IFERROR(VLOOKUP(DATOS!$I16746,CONFIG_ASIGNATURAS!$B$2:$J$91,9,FALSE()),""))</f>
      </c>
    </row>
    <row r="16747">
      <c r="F16747">
        <f>IF(DATOS!$A16747="","",DATOS!$A16747&amp;"|"&amp;DATOS!$D16747&amp;"|"&amp;DATOS!$E16747&amp;"|"&amp;DATOS!$I16747)</f>
      </c>
      <c r="G16747">
        <f>IF(DATOS!$A16747="",0,IF(CONFIG_METADATA!$B$4&lt;&gt;"OR+EX",--(DATOS!$G16747=CONFIG_METADATA!$B$4),IF(DATOS!$G16747="EX",1,IF(DATOS!$G16747="OR",--(COUNTIFS(nNIA,DATOS!$A16747,nCURSO,DATOS!$D16747,nESPEC,DATOS!$E16747,nASIG,DATOS!$I16747,nEVAL,"EX")=0),0))))</f>
      </c>
      <c r="H16747">
        <f>IF(DATOS!$G16747&lt;&gt;"EX",0,--(COUNTIFS(nNIA,DATOS!$A16747,nCURSO,DATOS!$D16747,nESPEC,DATOS!$E16747,nASIG,DATOS!$I16747,nEVAL,"OR")=0))</f>
      </c>
      <c r="I16747">
        <f>IF(DATOS!$I16747="","",IFERROR(VLOOKUP(DATOS!$I16747,CONFIG_ASIGNATURAS!$B$2:$J$91,9,FALSE()),""))</f>
      </c>
    </row>
    <row r="16748">
      <c r="F16748">
        <f>IF(DATOS!$A16748="","",DATOS!$A16748&amp;"|"&amp;DATOS!$D16748&amp;"|"&amp;DATOS!$E16748&amp;"|"&amp;DATOS!$I16748)</f>
      </c>
      <c r="G16748">
        <f>IF(DATOS!$A16748="",0,IF(CONFIG_METADATA!$B$4&lt;&gt;"OR+EX",--(DATOS!$G16748=CONFIG_METADATA!$B$4),IF(DATOS!$G16748="EX",1,IF(DATOS!$G16748="OR",--(COUNTIFS(nNIA,DATOS!$A16748,nCURSO,DATOS!$D16748,nESPEC,DATOS!$E16748,nASIG,DATOS!$I16748,nEVAL,"EX")=0),0))))</f>
      </c>
      <c r="H16748">
        <f>IF(DATOS!$G16748&lt;&gt;"EX",0,--(COUNTIFS(nNIA,DATOS!$A16748,nCURSO,DATOS!$D16748,nESPEC,DATOS!$E16748,nASIG,DATOS!$I16748,nEVAL,"OR")=0))</f>
      </c>
      <c r="I16748">
        <f>IF(DATOS!$I16748="","",IFERROR(VLOOKUP(DATOS!$I16748,CONFIG_ASIGNATURAS!$B$2:$J$91,9,FALSE()),""))</f>
      </c>
    </row>
    <row r="16749">
      <c r="F16749">
        <f>IF(DATOS!$A16749="","",DATOS!$A16749&amp;"|"&amp;DATOS!$D16749&amp;"|"&amp;DATOS!$E16749&amp;"|"&amp;DATOS!$I16749)</f>
      </c>
      <c r="G16749">
        <f>IF(DATOS!$A16749="",0,IF(CONFIG_METADATA!$B$4&lt;&gt;"OR+EX",--(DATOS!$G16749=CONFIG_METADATA!$B$4),IF(DATOS!$G16749="EX",1,IF(DATOS!$G16749="OR",--(COUNTIFS(nNIA,DATOS!$A16749,nCURSO,DATOS!$D16749,nESPEC,DATOS!$E16749,nASIG,DATOS!$I16749,nEVAL,"EX")=0),0))))</f>
      </c>
      <c r="H16749">
        <f>IF(DATOS!$G16749&lt;&gt;"EX",0,--(COUNTIFS(nNIA,DATOS!$A16749,nCURSO,DATOS!$D16749,nESPEC,DATOS!$E16749,nASIG,DATOS!$I16749,nEVAL,"OR")=0))</f>
      </c>
      <c r="I16749">
        <f>IF(DATOS!$I16749="","",IFERROR(VLOOKUP(DATOS!$I16749,CONFIG_ASIGNATURAS!$B$2:$J$91,9,FALSE()),""))</f>
      </c>
    </row>
    <row r="16750">
      <c r="F16750">
        <f>IF(DATOS!$A16750="","",DATOS!$A16750&amp;"|"&amp;DATOS!$D16750&amp;"|"&amp;DATOS!$E16750&amp;"|"&amp;DATOS!$I16750)</f>
      </c>
      <c r="G16750">
        <f>IF(DATOS!$A16750="",0,IF(CONFIG_METADATA!$B$4&lt;&gt;"OR+EX",--(DATOS!$G16750=CONFIG_METADATA!$B$4),IF(DATOS!$G16750="EX",1,IF(DATOS!$G16750="OR",--(COUNTIFS(nNIA,DATOS!$A16750,nCURSO,DATOS!$D16750,nESPEC,DATOS!$E16750,nASIG,DATOS!$I16750,nEVAL,"EX")=0),0))))</f>
      </c>
      <c r="H16750">
        <f>IF(DATOS!$G16750&lt;&gt;"EX",0,--(COUNTIFS(nNIA,DATOS!$A16750,nCURSO,DATOS!$D16750,nESPEC,DATOS!$E16750,nASIG,DATOS!$I16750,nEVAL,"OR")=0))</f>
      </c>
      <c r="I16750">
        <f>IF(DATOS!$I16750="","",IFERROR(VLOOKUP(DATOS!$I16750,CONFIG_ASIGNATURAS!$B$2:$J$91,9,FALSE()),""))</f>
      </c>
    </row>
    <row r="16751">
      <c r="F16751">
        <f>IF(DATOS!$A16751="","",DATOS!$A16751&amp;"|"&amp;DATOS!$D16751&amp;"|"&amp;DATOS!$E16751&amp;"|"&amp;DATOS!$I16751)</f>
      </c>
      <c r="G16751">
        <f>IF(DATOS!$A16751="",0,IF(CONFIG_METADATA!$B$4&lt;&gt;"OR+EX",--(DATOS!$G16751=CONFIG_METADATA!$B$4),IF(DATOS!$G16751="EX",1,IF(DATOS!$G16751="OR",--(COUNTIFS(nNIA,DATOS!$A16751,nCURSO,DATOS!$D16751,nESPEC,DATOS!$E16751,nASIG,DATOS!$I16751,nEVAL,"EX")=0),0))))</f>
      </c>
      <c r="H16751">
        <f>IF(DATOS!$G16751&lt;&gt;"EX",0,--(COUNTIFS(nNIA,DATOS!$A16751,nCURSO,DATOS!$D16751,nESPEC,DATOS!$E16751,nASIG,DATOS!$I16751,nEVAL,"OR")=0))</f>
      </c>
      <c r="I16751">
        <f>IF(DATOS!$I16751="","",IFERROR(VLOOKUP(DATOS!$I16751,CONFIG_ASIGNATURAS!$B$2:$J$91,9,FALSE()),""))</f>
      </c>
    </row>
    <row r="16752">
      <c r="F16752">
        <f>IF(DATOS!$A16752="","",DATOS!$A16752&amp;"|"&amp;DATOS!$D16752&amp;"|"&amp;DATOS!$E16752&amp;"|"&amp;DATOS!$I16752)</f>
      </c>
      <c r="G16752">
        <f>IF(DATOS!$A16752="",0,IF(CONFIG_METADATA!$B$4&lt;&gt;"OR+EX",--(DATOS!$G16752=CONFIG_METADATA!$B$4),IF(DATOS!$G16752="EX",1,IF(DATOS!$G16752="OR",--(COUNTIFS(nNIA,DATOS!$A16752,nCURSO,DATOS!$D16752,nESPEC,DATOS!$E16752,nASIG,DATOS!$I16752,nEVAL,"EX")=0),0))))</f>
      </c>
      <c r="H16752">
        <f>IF(DATOS!$G16752&lt;&gt;"EX",0,--(COUNTIFS(nNIA,DATOS!$A16752,nCURSO,DATOS!$D16752,nESPEC,DATOS!$E16752,nASIG,DATOS!$I16752,nEVAL,"OR")=0))</f>
      </c>
      <c r="I16752">
        <f>IF(DATOS!$I16752="","",IFERROR(VLOOKUP(DATOS!$I16752,CONFIG_ASIGNATURAS!$B$2:$J$91,9,FALSE()),""))</f>
      </c>
    </row>
    <row r="16753">
      <c r="F16753">
        <f>IF(DATOS!$A16753="","",DATOS!$A16753&amp;"|"&amp;DATOS!$D16753&amp;"|"&amp;DATOS!$E16753&amp;"|"&amp;DATOS!$I16753)</f>
      </c>
      <c r="G16753">
        <f>IF(DATOS!$A16753="",0,IF(CONFIG_METADATA!$B$4&lt;&gt;"OR+EX",--(DATOS!$G16753=CONFIG_METADATA!$B$4),IF(DATOS!$G16753="EX",1,IF(DATOS!$G16753="OR",--(COUNTIFS(nNIA,DATOS!$A16753,nCURSO,DATOS!$D16753,nESPEC,DATOS!$E16753,nASIG,DATOS!$I16753,nEVAL,"EX")=0),0))))</f>
      </c>
      <c r="H16753">
        <f>IF(DATOS!$G16753&lt;&gt;"EX",0,--(COUNTIFS(nNIA,DATOS!$A16753,nCURSO,DATOS!$D16753,nESPEC,DATOS!$E16753,nASIG,DATOS!$I16753,nEVAL,"OR")=0))</f>
      </c>
      <c r="I16753">
        <f>IF(DATOS!$I16753="","",IFERROR(VLOOKUP(DATOS!$I16753,CONFIG_ASIGNATURAS!$B$2:$J$91,9,FALSE()),""))</f>
      </c>
    </row>
    <row r="16754">
      <c r="F16754">
        <f>IF(DATOS!$A16754="","",DATOS!$A16754&amp;"|"&amp;DATOS!$D16754&amp;"|"&amp;DATOS!$E16754&amp;"|"&amp;DATOS!$I16754)</f>
      </c>
      <c r="G16754">
        <f>IF(DATOS!$A16754="",0,IF(CONFIG_METADATA!$B$4&lt;&gt;"OR+EX",--(DATOS!$G16754=CONFIG_METADATA!$B$4),IF(DATOS!$G16754="EX",1,IF(DATOS!$G16754="OR",--(COUNTIFS(nNIA,DATOS!$A16754,nCURSO,DATOS!$D16754,nESPEC,DATOS!$E16754,nASIG,DATOS!$I16754,nEVAL,"EX")=0),0))))</f>
      </c>
      <c r="H16754">
        <f>IF(DATOS!$G16754&lt;&gt;"EX",0,--(COUNTIFS(nNIA,DATOS!$A16754,nCURSO,DATOS!$D16754,nESPEC,DATOS!$E16754,nASIG,DATOS!$I16754,nEVAL,"OR")=0))</f>
      </c>
      <c r="I16754">
        <f>IF(DATOS!$I16754="","",IFERROR(VLOOKUP(DATOS!$I16754,CONFIG_ASIGNATURAS!$B$2:$J$91,9,FALSE()),""))</f>
      </c>
    </row>
    <row r="16755">
      <c r="F16755">
        <f>IF(DATOS!$A16755="","",DATOS!$A16755&amp;"|"&amp;DATOS!$D16755&amp;"|"&amp;DATOS!$E16755&amp;"|"&amp;DATOS!$I16755)</f>
      </c>
      <c r="G16755">
        <f>IF(DATOS!$A16755="",0,IF(CONFIG_METADATA!$B$4&lt;&gt;"OR+EX",--(DATOS!$G16755=CONFIG_METADATA!$B$4),IF(DATOS!$G16755="EX",1,IF(DATOS!$G16755="OR",--(COUNTIFS(nNIA,DATOS!$A16755,nCURSO,DATOS!$D16755,nESPEC,DATOS!$E16755,nASIG,DATOS!$I16755,nEVAL,"EX")=0),0))))</f>
      </c>
      <c r="H16755">
        <f>IF(DATOS!$G16755&lt;&gt;"EX",0,--(COUNTIFS(nNIA,DATOS!$A16755,nCURSO,DATOS!$D16755,nESPEC,DATOS!$E16755,nASIG,DATOS!$I16755,nEVAL,"OR")=0))</f>
      </c>
      <c r="I16755">
        <f>IF(DATOS!$I16755="","",IFERROR(VLOOKUP(DATOS!$I16755,CONFIG_ASIGNATURAS!$B$2:$J$91,9,FALSE()),""))</f>
      </c>
    </row>
    <row r="16756">
      <c r="F16756">
        <f>IF(DATOS!$A16756="","",DATOS!$A16756&amp;"|"&amp;DATOS!$D16756&amp;"|"&amp;DATOS!$E16756&amp;"|"&amp;DATOS!$I16756)</f>
      </c>
      <c r="G16756">
        <f>IF(DATOS!$A16756="",0,IF(CONFIG_METADATA!$B$4&lt;&gt;"OR+EX",--(DATOS!$G16756=CONFIG_METADATA!$B$4),IF(DATOS!$G16756="EX",1,IF(DATOS!$G16756="OR",--(COUNTIFS(nNIA,DATOS!$A16756,nCURSO,DATOS!$D16756,nESPEC,DATOS!$E16756,nASIG,DATOS!$I16756,nEVAL,"EX")=0),0))))</f>
      </c>
      <c r="H16756">
        <f>IF(DATOS!$G16756&lt;&gt;"EX",0,--(COUNTIFS(nNIA,DATOS!$A16756,nCURSO,DATOS!$D16756,nESPEC,DATOS!$E16756,nASIG,DATOS!$I16756,nEVAL,"OR")=0))</f>
      </c>
      <c r="I16756">
        <f>IF(DATOS!$I16756="","",IFERROR(VLOOKUP(DATOS!$I16756,CONFIG_ASIGNATURAS!$B$2:$J$91,9,FALSE()),""))</f>
      </c>
    </row>
    <row r="16757">
      <c r="F16757">
        <f>IF(DATOS!$A16757="","",DATOS!$A16757&amp;"|"&amp;DATOS!$D16757&amp;"|"&amp;DATOS!$E16757&amp;"|"&amp;DATOS!$I16757)</f>
      </c>
      <c r="G16757">
        <f>IF(DATOS!$A16757="",0,IF(CONFIG_METADATA!$B$4&lt;&gt;"OR+EX",--(DATOS!$G16757=CONFIG_METADATA!$B$4),IF(DATOS!$G16757="EX",1,IF(DATOS!$G16757="OR",--(COUNTIFS(nNIA,DATOS!$A16757,nCURSO,DATOS!$D16757,nESPEC,DATOS!$E16757,nASIG,DATOS!$I16757,nEVAL,"EX")=0),0))))</f>
      </c>
      <c r="H16757">
        <f>IF(DATOS!$G16757&lt;&gt;"EX",0,--(COUNTIFS(nNIA,DATOS!$A16757,nCURSO,DATOS!$D16757,nESPEC,DATOS!$E16757,nASIG,DATOS!$I16757,nEVAL,"OR")=0))</f>
      </c>
      <c r="I16757">
        <f>IF(DATOS!$I16757="","",IFERROR(VLOOKUP(DATOS!$I16757,CONFIG_ASIGNATURAS!$B$2:$J$91,9,FALSE()),""))</f>
      </c>
    </row>
    <row r="16758">
      <c r="F16758">
        <f>IF(DATOS!$A16758="","",DATOS!$A16758&amp;"|"&amp;DATOS!$D16758&amp;"|"&amp;DATOS!$E16758&amp;"|"&amp;DATOS!$I16758)</f>
      </c>
      <c r="G16758">
        <f>IF(DATOS!$A16758="",0,IF(CONFIG_METADATA!$B$4&lt;&gt;"OR+EX",--(DATOS!$G16758=CONFIG_METADATA!$B$4),IF(DATOS!$G16758="EX",1,IF(DATOS!$G16758="OR",--(COUNTIFS(nNIA,DATOS!$A16758,nCURSO,DATOS!$D16758,nESPEC,DATOS!$E16758,nASIG,DATOS!$I16758,nEVAL,"EX")=0),0))))</f>
      </c>
      <c r="H16758">
        <f>IF(DATOS!$G16758&lt;&gt;"EX",0,--(COUNTIFS(nNIA,DATOS!$A16758,nCURSO,DATOS!$D16758,nESPEC,DATOS!$E16758,nASIG,DATOS!$I16758,nEVAL,"OR")=0))</f>
      </c>
      <c r="I16758">
        <f>IF(DATOS!$I16758="","",IFERROR(VLOOKUP(DATOS!$I16758,CONFIG_ASIGNATURAS!$B$2:$J$91,9,FALSE()),""))</f>
      </c>
    </row>
    <row r="16759">
      <c r="F16759">
        <f>IF(DATOS!$A16759="","",DATOS!$A16759&amp;"|"&amp;DATOS!$D16759&amp;"|"&amp;DATOS!$E16759&amp;"|"&amp;DATOS!$I16759)</f>
      </c>
      <c r="G16759">
        <f>IF(DATOS!$A16759="",0,IF(CONFIG_METADATA!$B$4&lt;&gt;"OR+EX",--(DATOS!$G16759=CONFIG_METADATA!$B$4),IF(DATOS!$G16759="EX",1,IF(DATOS!$G16759="OR",--(COUNTIFS(nNIA,DATOS!$A16759,nCURSO,DATOS!$D16759,nESPEC,DATOS!$E16759,nASIG,DATOS!$I16759,nEVAL,"EX")=0),0))))</f>
      </c>
      <c r="H16759">
        <f>IF(DATOS!$G16759&lt;&gt;"EX",0,--(COUNTIFS(nNIA,DATOS!$A16759,nCURSO,DATOS!$D16759,nESPEC,DATOS!$E16759,nASIG,DATOS!$I16759,nEVAL,"OR")=0))</f>
      </c>
      <c r="I16759">
        <f>IF(DATOS!$I16759="","",IFERROR(VLOOKUP(DATOS!$I16759,CONFIG_ASIGNATURAS!$B$2:$J$91,9,FALSE()),""))</f>
      </c>
    </row>
    <row r="16760">
      <c r="F16760">
        <f>IF(DATOS!$A16760="","",DATOS!$A16760&amp;"|"&amp;DATOS!$D16760&amp;"|"&amp;DATOS!$E16760&amp;"|"&amp;DATOS!$I16760)</f>
      </c>
      <c r="G16760">
        <f>IF(DATOS!$A16760="",0,IF(CONFIG_METADATA!$B$4&lt;&gt;"OR+EX",--(DATOS!$G16760=CONFIG_METADATA!$B$4),IF(DATOS!$G16760="EX",1,IF(DATOS!$G16760="OR",--(COUNTIFS(nNIA,DATOS!$A16760,nCURSO,DATOS!$D16760,nESPEC,DATOS!$E16760,nASIG,DATOS!$I16760,nEVAL,"EX")=0),0))))</f>
      </c>
      <c r="H16760">
        <f>IF(DATOS!$G16760&lt;&gt;"EX",0,--(COUNTIFS(nNIA,DATOS!$A16760,nCURSO,DATOS!$D16760,nESPEC,DATOS!$E16760,nASIG,DATOS!$I16760,nEVAL,"OR")=0))</f>
      </c>
      <c r="I16760">
        <f>IF(DATOS!$I16760="","",IFERROR(VLOOKUP(DATOS!$I16760,CONFIG_ASIGNATURAS!$B$2:$J$91,9,FALSE()),""))</f>
      </c>
    </row>
    <row r="16761">
      <c r="F16761">
        <f>IF(DATOS!$A16761="","",DATOS!$A16761&amp;"|"&amp;DATOS!$D16761&amp;"|"&amp;DATOS!$E16761&amp;"|"&amp;DATOS!$I16761)</f>
      </c>
      <c r="G16761">
        <f>IF(DATOS!$A16761="",0,IF(CONFIG_METADATA!$B$4&lt;&gt;"OR+EX",--(DATOS!$G16761=CONFIG_METADATA!$B$4),IF(DATOS!$G16761="EX",1,IF(DATOS!$G16761="OR",--(COUNTIFS(nNIA,DATOS!$A16761,nCURSO,DATOS!$D16761,nESPEC,DATOS!$E16761,nASIG,DATOS!$I16761,nEVAL,"EX")=0),0))))</f>
      </c>
      <c r="H16761">
        <f>IF(DATOS!$G16761&lt;&gt;"EX",0,--(COUNTIFS(nNIA,DATOS!$A16761,nCURSO,DATOS!$D16761,nESPEC,DATOS!$E16761,nASIG,DATOS!$I16761,nEVAL,"OR")=0))</f>
      </c>
      <c r="I16761">
        <f>IF(DATOS!$I16761="","",IFERROR(VLOOKUP(DATOS!$I16761,CONFIG_ASIGNATURAS!$B$2:$J$91,9,FALSE()),""))</f>
      </c>
    </row>
    <row r="16762">
      <c r="F16762">
        <f>IF(DATOS!$A16762="","",DATOS!$A16762&amp;"|"&amp;DATOS!$D16762&amp;"|"&amp;DATOS!$E16762&amp;"|"&amp;DATOS!$I16762)</f>
      </c>
      <c r="G16762">
        <f>IF(DATOS!$A16762="",0,IF(CONFIG_METADATA!$B$4&lt;&gt;"OR+EX",--(DATOS!$G16762=CONFIG_METADATA!$B$4),IF(DATOS!$G16762="EX",1,IF(DATOS!$G16762="OR",--(COUNTIFS(nNIA,DATOS!$A16762,nCURSO,DATOS!$D16762,nESPEC,DATOS!$E16762,nASIG,DATOS!$I16762,nEVAL,"EX")=0),0))))</f>
      </c>
      <c r="H16762">
        <f>IF(DATOS!$G16762&lt;&gt;"EX",0,--(COUNTIFS(nNIA,DATOS!$A16762,nCURSO,DATOS!$D16762,nESPEC,DATOS!$E16762,nASIG,DATOS!$I16762,nEVAL,"OR")=0))</f>
      </c>
      <c r="I16762">
        <f>IF(DATOS!$I16762="","",IFERROR(VLOOKUP(DATOS!$I16762,CONFIG_ASIGNATURAS!$B$2:$J$91,9,FALSE()),""))</f>
      </c>
    </row>
    <row r="16763">
      <c r="F16763">
        <f>IF(DATOS!$A16763="","",DATOS!$A16763&amp;"|"&amp;DATOS!$D16763&amp;"|"&amp;DATOS!$E16763&amp;"|"&amp;DATOS!$I16763)</f>
      </c>
      <c r="G16763">
        <f>IF(DATOS!$A16763="",0,IF(CONFIG_METADATA!$B$4&lt;&gt;"OR+EX",--(DATOS!$G16763=CONFIG_METADATA!$B$4),IF(DATOS!$G16763="EX",1,IF(DATOS!$G16763="OR",--(COUNTIFS(nNIA,DATOS!$A16763,nCURSO,DATOS!$D16763,nESPEC,DATOS!$E16763,nASIG,DATOS!$I16763,nEVAL,"EX")=0),0))))</f>
      </c>
      <c r="H16763">
        <f>IF(DATOS!$G16763&lt;&gt;"EX",0,--(COUNTIFS(nNIA,DATOS!$A16763,nCURSO,DATOS!$D16763,nESPEC,DATOS!$E16763,nASIG,DATOS!$I16763,nEVAL,"OR")=0))</f>
      </c>
      <c r="I16763">
        <f>IF(DATOS!$I16763="","",IFERROR(VLOOKUP(DATOS!$I16763,CONFIG_ASIGNATURAS!$B$2:$J$91,9,FALSE()),""))</f>
      </c>
    </row>
    <row r="16764">
      <c r="F16764">
        <f>IF(DATOS!$A16764="","",DATOS!$A16764&amp;"|"&amp;DATOS!$D16764&amp;"|"&amp;DATOS!$E16764&amp;"|"&amp;DATOS!$I16764)</f>
      </c>
      <c r="G16764">
        <f>IF(DATOS!$A16764="",0,IF(CONFIG_METADATA!$B$4&lt;&gt;"OR+EX",--(DATOS!$G16764=CONFIG_METADATA!$B$4),IF(DATOS!$G16764="EX",1,IF(DATOS!$G16764="OR",--(COUNTIFS(nNIA,DATOS!$A16764,nCURSO,DATOS!$D16764,nESPEC,DATOS!$E16764,nASIG,DATOS!$I16764,nEVAL,"EX")=0),0))))</f>
      </c>
      <c r="H16764">
        <f>IF(DATOS!$G16764&lt;&gt;"EX",0,--(COUNTIFS(nNIA,DATOS!$A16764,nCURSO,DATOS!$D16764,nESPEC,DATOS!$E16764,nASIG,DATOS!$I16764,nEVAL,"OR")=0))</f>
      </c>
      <c r="I16764">
        <f>IF(DATOS!$I16764="","",IFERROR(VLOOKUP(DATOS!$I16764,CONFIG_ASIGNATURAS!$B$2:$J$91,9,FALSE()),""))</f>
      </c>
    </row>
    <row r="16765">
      <c r="F16765">
        <f>IF(DATOS!$A16765="","",DATOS!$A16765&amp;"|"&amp;DATOS!$D16765&amp;"|"&amp;DATOS!$E16765&amp;"|"&amp;DATOS!$I16765)</f>
      </c>
      <c r="G16765">
        <f>IF(DATOS!$A16765="",0,IF(CONFIG_METADATA!$B$4&lt;&gt;"OR+EX",--(DATOS!$G16765=CONFIG_METADATA!$B$4),IF(DATOS!$G16765="EX",1,IF(DATOS!$G16765="OR",--(COUNTIFS(nNIA,DATOS!$A16765,nCURSO,DATOS!$D16765,nESPEC,DATOS!$E16765,nASIG,DATOS!$I16765,nEVAL,"EX")=0),0))))</f>
      </c>
      <c r="H16765">
        <f>IF(DATOS!$G16765&lt;&gt;"EX",0,--(COUNTIFS(nNIA,DATOS!$A16765,nCURSO,DATOS!$D16765,nESPEC,DATOS!$E16765,nASIG,DATOS!$I16765,nEVAL,"OR")=0))</f>
      </c>
      <c r="I16765">
        <f>IF(DATOS!$I16765="","",IFERROR(VLOOKUP(DATOS!$I16765,CONFIG_ASIGNATURAS!$B$2:$J$91,9,FALSE()),""))</f>
      </c>
    </row>
    <row r="16766">
      <c r="F16766">
        <f>IF(DATOS!$A16766="","",DATOS!$A16766&amp;"|"&amp;DATOS!$D16766&amp;"|"&amp;DATOS!$E16766&amp;"|"&amp;DATOS!$I16766)</f>
      </c>
      <c r="G16766">
        <f>IF(DATOS!$A16766="",0,IF(CONFIG_METADATA!$B$4&lt;&gt;"OR+EX",--(DATOS!$G16766=CONFIG_METADATA!$B$4),IF(DATOS!$G16766="EX",1,IF(DATOS!$G16766="OR",--(COUNTIFS(nNIA,DATOS!$A16766,nCURSO,DATOS!$D16766,nESPEC,DATOS!$E16766,nASIG,DATOS!$I16766,nEVAL,"EX")=0),0))))</f>
      </c>
      <c r="H16766">
        <f>IF(DATOS!$G16766&lt;&gt;"EX",0,--(COUNTIFS(nNIA,DATOS!$A16766,nCURSO,DATOS!$D16766,nESPEC,DATOS!$E16766,nASIG,DATOS!$I16766,nEVAL,"OR")=0))</f>
      </c>
      <c r="I16766">
        <f>IF(DATOS!$I16766="","",IFERROR(VLOOKUP(DATOS!$I16766,CONFIG_ASIGNATURAS!$B$2:$J$91,9,FALSE()),""))</f>
      </c>
    </row>
    <row r="16767">
      <c r="F16767">
        <f>IF(DATOS!$A16767="","",DATOS!$A16767&amp;"|"&amp;DATOS!$D16767&amp;"|"&amp;DATOS!$E16767&amp;"|"&amp;DATOS!$I16767)</f>
      </c>
      <c r="G16767">
        <f>IF(DATOS!$A16767="",0,IF(CONFIG_METADATA!$B$4&lt;&gt;"OR+EX",--(DATOS!$G16767=CONFIG_METADATA!$B$4),IF(DATOS!$G16767="EX",1,IF(DATOS!$G16767="OR",--(COUNTIFS(nNIA,DATOS!$A16767,nCURSO,DATOS!$D16767,nESPEC,DATOS!$E16767,nASIG,DATOS!$I16767,nEVAL,"EX")=0),0))))</f>
      </c>
      <c r="H16767">
        <f>IF(DATOS!$G16767&lt;&gt;"EX",0,--(COUNTIFS(nNIA,DATOS!$A16767,nCURSO,DATOS!$D16767,nESPEC,DATOS!$E16767,nASIG,DATOS!$I16767,nEVAL,"OR")=0))</f>
      </c>
      <c r="I16767">
        <f>IF(DATOS!$I16767="","",IFERROR(VLOOKUP(DATOS!$I16767,CONFIG_ASIGNATURAS!$B$2:$J$91,9,FALSE()),""))</f>
      </c>
    </row>
    <row r="16768">
      <c r="F16768">
        <f>IF(DATOS!$A16768="","",DATOS!$A16768&amp;"|"&amp;DATOS!$D16768&amp;"|"&amp;DATOS!$E16768&amp;"|"&amp;DATOS!$I16768)</f>
      </c>
      <c r="G16768">
        <f>IF(DATOS!$A16768="",0,IF(CONFIG_METADATA!$B$4&lt;&gt;"OR+EX",--(DATOS!$G16768=CONFIG_METADATA!$B$4),IF(DATOS!$G16768="EX",1,IF(DATOS!$G16768="OR",--(COUNTIFS(nNIA,DATOS!$A16768,nCURSO,DATOS!$D16768,nESPEC,DATOS!$E16768,nASIG,DATOS!$I16768,nEVAL,"EX")=0),0))))</f>
      </c>
      <c r="H16768">
        <f>IF(DATOS!$G16768&lt;&gt;"EX",0,--(COUNTIFS(nNIA,DATOS!$A16768,nCURSO,DATOS!$D16768,nESPEC,DATOS!$E16768,nASIG,DATOS!$I16768,nEVAL,"OR")=0))</f>
      </c>
      <c r="I16768">
        <f>IF(DATOS!$I16768="","",IFERROR(VLOOKUP(DATOS!$I16768,CONFIG_ASIGNATURAS!$B$2:$J$91,9,FALSE()),""))</f>
      </c>
    </row>
    <row r="16769">
      <c r="F16769">
        <f>IF(DATOS!$A16769="","",DATOS!$A16769&amp;"|"&amp;DATOS!$D16769&amp;"|"&amp;DATOS!$E16769&amp;"|"&amp;DATOS!$I16769)</f>
      </c>
      <c r="G16769">
        <f>IF(DATOS!$A16769="",0,IF(CONFIG_METADATA!$B$4&lt;&gt;"OR+EX",--(DATOS!$G16769=CONFIG_METADATA!$B$4),IF(DATOS!$G16769="EX",1,IF(DATOS!$G16769="OR",--(COUNTIFS(nNIA,DATOS!$A16769,nCURSO,DATOS!$D16769,nESPEC,DATOS!$E16769,nASIG,DATOS!$I16769,nEVAL,"EX")=0),0))))</f>
      </c>
      <c r="H16769">
        <f>IF(DATOS!$G16769&lt;&gt;"EX",0,--(COUNTIFS(nNIA,DATOS!$A16769,nCURSO,DATOS!$D16769,nESPEC,DATOS!$E16769,nASIG,DATOS!$I16769,nEVAL,"OR")=0))</f>
      </c>
      <c r="I16769">
        <f>IF(DATOS!$I16769="","",IFERROR(VLOOKUP(DATOS!$I16769,CONFIG_ASIGNATURAS!$B$2:$J$91,9,FALSE()),""))</f>
      </c>
    </row>
    <row r="16770">
      <c r="F16770">
        <f>IF(DATOS!$A16770="","",DATOS!$A16770&amp;"|"&amp;DATOS!$D16770&amp;"|"&amp;DATOS!$E16770&amp;"|"&amp;DATOS!$I16770)</f>
      </c>
      <c r="G16770">
        <f>IF(DATOS!$A16770="",0,IF(CONFIG_METADATA!$B$4&lt;&gt;"OR+EX",--(DATOS!$G16770=CONFIG_METADATA!$B$4),IF(DATOS!$G16770="EX",1,IF(DATOS!$G16770="OR",--(COUNTIFS(nNIA,DATOS!$A16770,nCURSO,DATOS!$D16770,nESPEC,DATOS!$E16770,nASIG,DATOS!$I16770,nEVAL,"EX")=0),0))))</f>
      </c>
      <c r="H16770">
        <f>IF(DATOS!$G16770&lt;&gt;"EX",0,--(COUNTIFS(nNIA,DATOS!$A16770,nCURSO,DATOS!$D16770,nESPEC,DATOS!$E16770,nASIG,DATOS!$I16770,nEVAL,"OR")=0))</f>
      </c>
      <c r="I16770">
        <f>IF(DATOS!$I16770="","",IFERROR(VLOOKUP(DATOS!$I16770,CONFIG_ASIGNATURAS!$B$2:$J$91,9,FALSE()),""))</f>
      </c>
    </row>
    <row r="16771">
      <c r="F16771">
        <f>IF(DATOS!$A16771="","",DATOS!$A16771&amp;"|"&amp;DATOS!$D16771&amp;"|"&amp;DATOS!$E16771&amp;"|"&amp;DATOS!$I16771)</f>
      </c>
      <c r="G16771">
        <f>IF(DATOS!$A16771="",0,IF(CONFIG_METADATA!$B$4&lt;&gt;"OR+EX",--(DATOS!$G16771=CONFIG_METADATA!$B$4),IF(DATOS!$G16771="EX",1,IF(DATOS!$G16771="OR",--(COUNTIFS(nNIA,DATOS!$A16771,nCURSO,DATOS!$D16771,nESPEC,DATOS!$E16771,nASIG,DATOS!$I16771,nEVAL,"EX")=0),0))))</f>
      </c>
      <c r="H16771">
        <f>IF(DATOS!$G16771&lt;&gt;"EX",0,--(COUNTIFS(nNIA,DATOS!$A16771,nCURSO,DATOS!$D16771,nESPEC,DATOS!$E16771,nASIG,DATOS!$I16771,nEVAL,"OR")=0))</f>
      </c>
      <c r="I16771">
        <f>IF(DATOS!$I16771="","",IFERROR(VLOOKUP(DATOS!$I16771,CONFIG_ASIGNATURAS!$B$2:$J$91,9,FALSE()),""))</f>
      </c>
    </row>
    <row r="16772">
      <c r="F16772">
        <f>IF(DATOS!$A16772="","",DATOS!$A16772&amp;"|"&amp;DATOS!$D16772&amp;"|"&amp;DATOS!$E16772&amp;"|"&amp;DATOS!$I16772)</f>
      </c>
      <c r="G16772">
        <f>IF(DATOS!$A16772="",0,IF(CONFIG_METADATA!$B$4&lt;&gt;"OR+EX",--(DATOS!$G16772=CONFIG_METADATA!$B$4),IF(DATOS!$G16772="EX",1,IF(DATOS!$G16772="OR",--(COUNTIFS(nNIA,DATOS!$A16772,nCURSO,DATOS!$D16772,nESPEC,DATOS!$E16772,nASIG,DATOS!$I16772,nEVAL,"EX")=0),0))))</f>
      </c>
      <c r="H16772">
        <f>IF(DATOS!$G16772&lt;&gt;"EX",0,--(COUNTIFS(nNIA,DATOS!$A16772,nCURSO,DATOS!$D16772,nESPEC,DATOS!$E16772,nASIG,DATOS!$I16772,nEVAL,"OR")=0))</f>
      </c>
      <c r="I16772">
        <f>IF(DATOS!$I16772="","",IFERROR(VLOOKUP(DATOS!$I16772,CONFIG_ASIGNATURAS!$B$2:$J$91,9,FALSE()),""))</f>
      </c>
    </row>
    <row r="16773">
      <c r="F16773">
        <f>IF(DATOS!$A16773="","",DATOS!$A16773&amp;"|"&amp;DATOS!$D16773&amp;"|"&amp;DATOS!$E16773&amp;"|"&amp;DATOS!$I16773)</f>
      </c>
      <c r="G16773">
        <f>IF(DATOS!$A16773="",0,IF(CONFIG_METADATA!$B$4&lt;&gt;"OR+EX",--(DATOS!$G16773=CONFIG_METADATA!$B$4),IF(DATOS!$G16773="EX",1,IF(DATOS!$G16773="OR",--(COUNTIFS(nNIA,DATOS!$A16773,nCURSO,DATOS!$D16773,nESPEC,DATOS!$E16773,nASIG,DATOS!$I16773,nEVAL,"EX")=0),0))))</f>
      </c>
      <c r="H16773">
        <f>IF(DATOS!$G16773&lt;&gt;"EX",0,--(COUNTIFS(nNIA,DATOS!$A16773,nCURSO,DATOS!$D16773,nESPEC,DATOS!$E16773,nASIG,DATOS!$I16773,nEVAL,"OR")=0))</f>
      </c>
      <c r="I16773">
        <f>IF(DATOS!$I16773="","",IFERROR(VLOOKUP(DATOS!$I16773,CONFIG_ASIGNATURAS!$B$2:$J$91,9,FALSE()),""))</f>
      </c>
    </row>
    <row r="16774">
      <c r="F16774">
        <f>IF(DATOS!$A16774="","",DATOS!$A16774&amp;"|"&amp;DATOS!$D16774&amp;"|"&amp;DATOS!$E16774&amp;"|"&amp;DATOS!$I16774)</f>
      </c>
      <c r="G16774">
        <f>IF(DATOS!$A16774="",0,IF(CONFIG_METADATA!$B$4&lt;&gt;"OR+EX",--(DATOS!$G16774=CONFIG_METADATA!$B$4),IF(DATOS!$G16774="EX",1,IF(DATOS!$G16774="OR",--(COUNTIFS(nNIA,DATOS!$A16774,nCURSO,DATOS!$D16774,nESPEC,DATOS!$E16774,nASIG,DATOS!$I16774,nEVAL,"EX")=0),0))))</f>
      </c>
      <c r="H16774">
        <f>IF(DATOS!$G16774&lt;&gt;"EX",0,--(COUNTIFS(nNIA,DATOS!$A16774,nCURSO,DATOS!$D16774,nESPEC,DATOS!$E16774,nASIG,DATOS!$I16774,nEVAL,"OR")=0))</f>
      </c>
      <c r="I16774">
        <f>IF(DATOS!$I16774="","",IFERROR(VLOOKUP(DATOS!$I16774,CONFIG_ASIGNATURAS!$B$2:$J$91,9,FALSE()),""))</f>
      </c>
    </row>
    <row r="16775">
      <c r="F16775">
        <f>IF(DATOS!$A16775="","",DATOS!$A16775&amp;"|"&amp;DATOS!$D16775&amp;"|"&amp;DATOS!$E16775&amp;"|"&amp;DATOS!$I16775)</f>
      </c>
      <c r="G16775">
        <f>IF(DATOS!$A16775="",0,IF(CONFIG_METADATA!$B$4&lt;&gt;"OR+EX",--(DATOS!$G16775=CONFIG_METADATA!$B$4),IF(DATOS!$G16775="EX",1,IF(DATOS!$G16775="OR",--(COUNTIFS(nNIA,DATOS!$A16775,nCURSO,DATOS!$D16775,nESPEC,DATOS!$E16775,nASIG,DATOS!$I16775,nEVAL,"EX")=0),0))))</f>
      </c>
      <c r="H16775">
        <f>IF(DATOS!$G16775&lt;&gt;"EX",0,--(COUNTIFS(nNIA,DATOS!$A16775,nCURSO,DATOS!$D16775,nESPEC,DATOS!$E16775,nASIG,DATOS!$I16775,nEVAL,"OR")=0))</f>
      </c>
      <c r="I16775">
        <f>IF(DATOS!$I16775="","",IFERROR(VLOOKUP(DATOS!$I16775,CONFIG_ASIGNATURAS!$B$2:$J$91,9,FALSE()),""))</f>
      </c>
    </row>
    <row r="16776">
      <c r="F16776">
        <f>IF(DATOS!$A16776="","",DATOS!$A16776&amp;"|"&amp;DATOS!$D16776&amp;"|"&amp;DATOS!$E16776&amp;"|"&amp;DATOS!$I16776)</f>
      </c>
      <c r="G16776">
        <f>IF(DATOS!$A16776="",0,IF(CONFIG_METADATA!$B$4&lt;&gt;"OR+EX",--(DATOS!$G16776=CONFIG_METADATA!$B$4),IF(DATOS!$G16776="EX",1,IF(DATOS!$G16776="OR",--(COUNTIFS(nNIA,DATOS!$A16776,nCURSO,DATOS!$D16776,nESPEC,DATOS!$E16776,nASIG,DATOS!$I16776,nEVAL,"EX")=0),0))))</f>
      </c>
      <c r="H16776">
        <f>IF(DATOS!$G16776&lt;&gt;"EX",0,--(COUNTIFS(nNIA,DATOS!$A16776,nCURSO,DATOS!$D16776,nESPEC,DATOS!$E16776,nASIG,DATOS!$I16776,nEVAL,"OR")=0))</f>
      </c>
      <c r="I16776">
        <f>IF(DATOS!$I16776="","",IFERROR(VLOOKUP(DATOS!$I16776,CONFIG_ASIGNATURAS!$B$2:$J$91,9,FALSE()),""))</f>
      </c>
    </row>
    <row r="16777">
      <c r="F16777">
        <f>IF(DATOS!$A16777="","",DATOS!$A16777&amp;"|"&amp;DATOS!$D16777&amp;"|"&amp;DATOS!$E16777&amp;"|"&amp;DATOS!$I16777)</f>
      </c>
      <c r="G16777">
        <f>IF(DATOS!$A16777="",0,IF(CONFIG_METADATA!$B$4&lt;&gt;"OR+EX",--(DATOS!$G16777=CONFIG_METADATA!$B$4),IF(DATOS!$G16777="EX",1,IF(DATOS!$G16777="OR",--(COUNTIFS(nNIA,DATOS!$A16777,nCURSO,DATOS!$D16777,nESPEC,DATOS!$E16777,nASIG,DATOS!$I16777,nEVAL,"EX")=0),0))))</f>
      </c>
      <c r="H16777">
        <f>IF(DATOS!$G16777&lt;&gt;"EX",0,--(COUNTIFS(nNIA,DATOS!$A16777,nCURSO,DATOS!$D16777,nESPEC,DATOS!$E16777,nASIG,DATOS!$I16777,nEVAL,"OR")=0))</f>
      </c>
      <c r="I16777">
        <f>IF(DATOS!$I16777="","",IFERROR(VLOOKUP(DATOS!$I16777,CONFIG_ASIGNATURAS!$B$2:$J$91,9,FALSE()),""))</f>
      </c>
    </row>
    <row r="16778">
      <c r="F16778">
        <f>IF(DATOS!$A16778="","",DATOS!$A16778&amp;"|"&amp;DATOS!$D16778&amp;"|"&amp;DATOS!$E16778&amp;"|"&amp;DATOS!$I16778)</f>
      </c>
      <c r="G16778">
        <f>IF(DATOS!$A16778="",0,IF(CONFIG_METADATA!$B$4&lt;&gt;"OR+EX",--(DATOS!$G16778=CONFIG_METADATA!$B$4),IF(DATOS!$G16778="EX",1,IF(DATOS!$G16778="OR",--(COUNTIFS(nNIA,DATOS!$A16778,nCURSO,DATOS!$D16778,nESPEC,DATOS!$E16778,nASIG,DATOS!$I16778,nEVAL,"EX")=0),0))))</f>
      </c>
      <c r="H16778">
        <f>IF(DATOS!$G16778&lt;&gt;"EX",0,--(COUNTIFS(nNIA,DATOS!$A16778,nCURSO,DATOS!$D16778,nESPEC,DATOS!$E16778,nASIG,DATOS!$I16778,nEVAL,"OR")=0))</f>
      </c>
      <c r="I16778">
        <f>IF(DATOS!$I16778="","",IFERROR(VLOOKUP(DATOS!$I16778,CONFIG_ASIGNATURAS!$B$2:$J$91,9,FALSE()),""))</f>
      </c>
    </row>
    <row r="16779">
      <c r="F16779">
        <f>IF(DATOS!$A16779="","",DATOS!$A16779&amp;"|"&amp;DATOS!$D16779&amp;"|"&amp;DATOS!$E16779&amp;"|"&amp;DATOS!$I16779)</f>
      </c>
      <c r="G16779">
        <f>IF(DATOS!$A16779="",0,IF(CONFIG_METADATA!$B$4&lt;&gt;"OR+EX",--(DATOS!$G16779=CONFIG_METADATA!$B$4),IF(DATOS!$G16779="EX",1,IF(DATOS!$G16779="OR",--(COUNTIFS(nNIA,DATOS!$A16779,nCURSO,DATOS!$D16779,nESPEC,DATOS!$E16779,nASIG,DATOS!$I16779,nEVAL,"EX")=0),0))))</f>
      </c>
      <c r="H16779">
        <f>IF(DATOS!$G16779&lt;&gt;"EX",0,--(COUNTIFS(nNIA,DATOS!$A16779,nCURSO,DATOS!$D16779,nESPEC,DATOS!$E16779,nASIG,DATOS!$I16779,nEVAL,"OR")=0))</f>
      </c>
      <c r="I16779">
        <f>IF(DATOS!$I16779="","",IFERROR(VLOOKUP(DATOS!$I16779,CONFIG_ASIGNATURAS!$B$2:$J$91,9,FALSE()),""))</f>
      </c>
    </row>
    <row r="16780">
      <c r="F16780">
        <f>IF(DATOS!$A16780="","",DATOS!$A16780&amp;"|"&amp;DATOS!$D16780&amp;"|"&amp;DATOS!$E16780&amp;"|"&amp;DATOS!$I16780)</f>
      </c>
      <c r="G16780">
        <f>IF(DATOS!$A16780="",0,IF(CONFIG_METADATA!$B$4&lt;&gt;"OR+EX",--(DATOS!$G16780=CONFIG_METADATA!$B$4),IF(DATOS!$G16780="EX",1,IF(DATOS!$G16780="OR",--(COUNTIFS(nNIA,DATOS!$A16780,nCURSO,DATOS!$D16780,nESPEC,DATOS!$E16780,nASIG,DATOS!$I16780,nEVAL,"EX")=0),0))))</f>
      </c>
      <c r="H16780">
        <f>IF(DATOS!$G16780&lt;&gt;"EX",0,--(COUNTIFS(nNIA,DATOS!$A16780,nCURSO,DATOS!$D16780,nESPEC,DATOS!$E16780,nASIG,DATOS!$I16780,nEVAL,"OR")=0))</f>
      </c>
      <c r="I16780">
        <f>IF(DATOS!$I16780="","",IFERROR(VLOOKUP(DATOS!$I16780,CONFIG_ASIGNATURAS!$B$2:$J$91,9,FALSE()),""))</f>
      </c>
    </row>
    <row r="16781">
      <c r="F16781">
        <f>IF(DATOS!$A16781="","",DATOS!$A16781&amp;"|"&amp;DATOS!$D16781&amp;"|"&amp;DATOS!$E16781&amp;"|"&amp;DATOS!$I16781)</f>
      </c>
      <c r="G16781">
        <f>IF(DATOS!$A16781="",0,IF(CONFIG_METADATA!$B$4&lt;&gt;"OR+EX",--(DATOS!$G16781=CONFIG_METADATA!$B$4),IF(DATOS!$G16781="EX",1,IF(DATOS!$G16781="OR",--(COUNTIFS(nNIA,DATOS!$A16781,nCURSO,DATOS!$D16781,nESPEC,DATOS!$E16781,nASIG,DATOS!$I16781,nEVAL,"EX")=0),0))))</f>
      </c>
      <c r="H16781">
        <f>IF(DATOS!$G16781&lt;&gt;"EX",0,--(COUNTIFS(nNIA,DATOS!$A16781,nCURSO,DATOS!$D16781,nESPEC,DATOS!$E16781,nASIG,DATOS!$I16781,nEVAL,"OR")=0))</f>
      </c>
      <c r="I16781">
        <f>IF(DATOS!$I16781="","",IFERROR(VLOOKUP(DATOS!$I16781,CONFIG_ASIGNATURAS!$B$2:$J$91,9,FALSE()),""))</f>
      </c>
    </row>
    <row r="16782">
      <c r="F16782">
        <f>IF(DATOS!$A16782="","",DATOS!$A16782&amp;"|"&amp;DATOS!$D16782&amp;"|"&amp;DATOS!$E16782&amp;"|"&amp;DATOS!$I16782)</f>
      </c>
      <c r="G16782">
        <f>IF(DATOS!$A16782="",0,IF(CONFIG_METADATA!$B$4&lt;&gt;"OR+EX",--(DATOS!$G16782=CONFIG_METADATA!$B$4),IF(DATOS!$G16782="EX",1,IF(DATOS!$G16782="OR",--(COUNTIFS(nNIA,DATOS!$A16782,nCURSO,DATOS!$D16782,nESPEC,DATOS!$E16782,nASIG,DATOS!$I16782,nEVAL,"EX")=0),0))))</f>
      </c>
      <c r="H16782">
        <f>IF(DATOS!$G16782&lt;&gt;"EX",0,--(COUNTIFS(nNIA,DATOS!$A16782,nCURSO,DATOS!$D16782,nESPEC,DATOS!$E16782,nASIG,DATOS!$I16782,nEVAL,"OR")=0))</f>
      </c>
      <c r="I16782">
        <f>IF(DATOS!$I16782="","",IFERROR(VLOOKUP(DATOS!$I16782,CONFIG_ASIGNATURAS!$B$2:$J$91,9,FALSE()),""))</f>
      </c>
    </row>
    <row r="16783">
      <c r="F16783">
        <f>IF(DATOS!$A16783="","",DATOS!$A16783&amp;"|"&amp;DATOS!$D16783&amp;"|"&amp;DATOS!$E16783&amp;"|"&amp;DATOS!$I16783)</f>
      </c>
      <c r="G16783">
        <f>IF(DATOS!$A16783="",0,IF(CONFIG_METADATA!$B$4&lt;&gt;"OR+EX",--(DATOS!$G16783=CONFIG_METADATA!$B$4),IF(DATOS!$G16783="EX",1,IF(DATOS!$G16783="OR",--(COUNTIFS(nNIA,DATOS!$A16783,nCURSO,DATOS!$D16783,nESPEC,DATOS!$E16783,nASIG,DATOS!$I16783,nEVAL,"EX")=0),0))))</f>
      </c>
      <c r="H16783">
        <f>IF(DATOS!$G16783&lt;&gt;"EX",0,--(COUNTIFS(nNIA,DATOS!$A16783,nCURSO,DATOS!$D16783,nESPEC,DATOS!$E16783,nASIG,DATOS!$I16783,nEVAL,"OR")=0))</f>
      </c>
      <c r="I16783">
        <f>IF(DATOS!$I16783="","",IFERROR(VLOOKUP(DATOS!$I16783,CONFIG_ASIGNATURAS!$B$2:$J$91,9,FALSE()),""))</f>
      </c>
    </row>
    <row r="16784">
      <c r="F16784">
        <f>IF(DATOS!$A16784="","",DATOS!$A16784&amp;"|"&amp;DATOS!$D16784&amp;"|"&amp;DATOS!$E16784&amp;"|"&amp;DATOS!$I16784)</f>
      </c>
      <c r="G16784">
        <f>IF(DATOS!$A16784="",0,IF(CONFIG_METADATA!$B$4&lt;&gt;"OR+EX",--(DATOS!$G16784=CONFIG_METADATA!$B$4),IF(DATOS!$G16784="EX",1,IF(DATOS!$G16784="OR",--(COUNTIFS(nNIA,DATOS!$A16784,nCURSO,DATOS!$D16784,nESPEC,DATOS!$E16784,nASIG,DATOS!$I16784,nEVAL,"EX")=0),0))))</f>
      </c>
      <c r="H16784">
        <f>IF(DATOS!$G16784&lt;&gt;"EX",0,--(COUNTIFS(nNIA,DATOS!$A16784,nCURSO,DATOS!$D16784,nESPEC,DATOS!$E16784,nASIG,DATOS!$I16784,nEVAL,"OR")=0))</f>
      </c>
      <c r="I16784">
        <f>IF(DATOS!$I16784="","",IFERROR(VLOOKUP(DATOS!$I16784,CONFIG_ASIGNATURAS!$B$2:$J$91,9,FALSE()),""))</f>
      </c>
    </row>
    <row r="16785">
      <c r="F16785">
        <f>IF(DATOS!$A16785="","",DATOS!$A16785&amp;"|"&amp;DATOS!$D16785&amp;"|"&amp;DATOS!$E16785&amp;"|"&amp;DATOS!$I16785)</f>
      </c>
      <c r="G16785">
        <f>IF(DATOS!$A16785="",0,IF(CONFIG_METADATA!$B$4&lt;&gt;"OR+EX",--(DATOS!$G16785=CONFIG_METADATA!$B$4),IF(DATOS!$G16785="EX",1,IF(DATOS!$G16785="OR",--(COUNTIFS(nNIA,DATOS!$A16785,nCURSO,DATOS!$D16785,nESPEC,DATOS!$E16785,nASIG,DATOS!$I16785,nEVAL,"EX")=0),0))))</f>
      </c>
      <c r="H16785">
        <f>IF(DATOS!$G16785&lt;&gt;"EX",0,--(COUNTIFS(nNIA,DATOS!$A16785,nCURSO,DATOS!$D16785,nESPEC,DATOS!$E16785,nASIG,DATOS!$I16785,nEVAL,"OR")=0))</f>
      </c>
      <c r="I16785">
        <f>IF(DATOS!$I16785="","",IFERROR(VLOOKUP(DATOS!$I16785,CONFIG_ASIGNATURAS!$B$2:$J$91,9,FALSE()),""))</f>
      </c>
    </row>
    <row r="16786">
      <c r="F16786">
        <f>IF(DATOS!$A16786="","",DATOS!$A16786&amp;"|"&amp;DATOS!$D16786&amp;"|"&amp;DATOS!$E16786&amp;"|"&amp;DATOS!$I16786)</f>
      </c>
      <c r="G16786">
        <f>IF(DATOS!$A16786="",0,IF(CONFIG_METADATA!$B$4&lt;&gt;"OR+EX",--(DATOS!$G16786=CONFIG_METADATA!$B$4),IF(DATOS!$G16786="EX",1,IF(DATOS!$G16786="OR",--(COUNTIFS(nNIA,DATOS!$A16786,nCURSO,DATOS!$D16786,nESPEC,DATOS!$E16786,nASIG,DATOS!$I16786,nEVAL,"EX")=0),0))))</f>
      </c>
      <c r="H16786">
        <f>IF(DATOS!$G16786&lt;&gt;"EX",0,--(COUNTIFS(nNIA,DATOS!$A16786,nCURSO,DATOS!$D16786,nESPEC,DATOS!$E16786,nASIG,DATOS!$I16786,nEVAL,"OR")=0))</f>
      </c>
      <c r="I16786">
        <f>IF(DATOS!$I16786="","",IFERROR(VLOOKUP(DATOS!$I16786,CONFIG_ASIGNATURAS!$B$2:$J$91,9,FALSE()),""))</f>
      </c>
    </row>
    <row r="16787">
      <c r="F16787">
        <f>IF(DATOS!$A16787="","",DATOS!$A16787&amp;"|"&amp;DATOS!$D16787&amp;"|"&amp;DATOS!$E16787&amp;"|"&amp;DATOS!$I16787)</f>
      </c>
      <c r="G16787">
        <f>IF(DATOS!$A16787="",0,IF(CONFIG_METADATA!$B$4&lt;&gt;"OR+EX",--(DATOS!$G16787=CONFIG_METADATA!$B$4),IF(DATOS!$G16787="EX",1,IF(DATOS!$G16787="OR",--(COUNTIFS(nNIA,DATOS!$A16787,nCURSO,DATOS!$D16787,nESPEC,DATOS!$E16787,nASIG,DATOS!$I16787,nEVAL,"EX")=0),0))))</f>
      </c>
      <c r="H16787">
        <f>IF(DATOS!$G16787&lt;&gt;"EX",0,--(COUNTIFS(nNIA,DATOS!$A16787,nCURSO,DATOS!$D16787,nESPEC,DATOS!$E16787,nASIG,DATOS!$I16787,nEVAL,"OR")=0))</f>
      </c>
      <c r="I16787">
        <f>IF(DATOS!$I16787="","",IFERROR(VLOOKUP(DATOS!$I16787,CONFIG_ASIGNATURAS!$B$2:$J$91,9,FALSE()),""))</f>
      </c>
    </row>
    <row r="16788">
      <c r="F16788">
        <f>IF(DATOS!$A16788="","",DATOS!$A16788&amp;"|"&amp;DATOS!$D16788&amp;"|"&amp;DATOS!$E16788&amp;"|"&amp;DATOS!$I16788)</f>
      </c>
      <c r="G16788">
        <f>IF(DATOS!$A16788="",0,IF(CONFIG_METADATA!$B$4&lt;&gt;"OR+EX",--(DATOS!$G16788=CONFIG_METADATA!$B$4),IF(DATOS!$G16788="EX",1,IF(DATOS!$G16788="OR",--(COUNTIFS(nNIA,DATOS!$A16788,nCURSO,DATOS!$D16788,nESPEC,DATOS!$E16788,nASIG,DATOS!$I16788,nEVAL,"EX")=0),0))))</f>
      </c>
      <c r="H16788">
        <f>IF(DATOS!$G16788&lt;&gt;"EX",0,--(COUNTIFS(nNIA,DATOS!$A16788,nCURSO,DATOS!$D16788,nESPEC,DATOS!$E16788,nASIG,DATOS!$I16788,nEVAL,"OR")=0))</f>
      </c>
      <c r="I16788">
        <f>IF(DATOS!$I16788="","",IFERROR(VLOOKUP(DATOS!$I16788,CONFIG_ASIGNATURAS!$B$2:$J$91,9,FALSE()),""))</f>
      </c>
    </row>
    <row r="16789">
      <c r="F16789">
        <f>IF(DATOS!$A16789="","",DATOS!$A16789&amp;"|"&amp;DATOS!$D16789&amp;"|"&amp;DATOS!$E16789&amp;"|"&amp;DATOS!$I16789)</f>
      </c>
      <c r="G16789">
        <f>IF(DATOS!$A16789="",0,IF(CONFIG_METADATA!$B$4&lt;&gt;"OR+EX",--(DATOS!$G16789=CONFIG_METADATA!$B$4),IF(DATOS!$G16789="EX",1,IF(DATOS!$G16789="OR",--(COUNTIFS(nNIA,DATOS!$A16789,nCURSO,DATOS!$D16789,nESPEC,DATOS!$E16789,nASIG,DATOS!$I16789,nEVAL,"EX")=0),0))))</f>
      </c>
      <c r="H16789">
        <f>IF(DATOS!$G16789&lt;&gt;"EX",0,--(COUNTIFS(nNIA,DATOS!$A16789,nCURSO,DATOS!$D16789,nESPEC,DATOS!$E16789,nASIG,DATOS!$I16789,nEVAL,"OR")=0))</f>
      </c>
      <c r="I16789">
        <f>IF(DATOS!$I16789="","",IFERROR(VLOOKUP(DATOS!$I16789,CONFIG_ASIGNATURAS!$B$2:$J$91,9,FALSE()),""))</f>
      </c>
    </row>
    <row r="16790">
      <c r="F16790">
        <f>IF(DATOS!$A16790="","",DATOS!$A16790&amp;"|"&amp;DATOS!$D16790&amp;"|"&amp;DATOS!$E16790&amp;"|"&amp;DATOS!$I16790)</f>
      </c>
      <c r="G16790">
        <f>IF(DATOS!$A16790="",0,IF(CONFIG_METADATA!$B$4&lt;&gt;"OR+EX",--(DATOS!$G16790=CONFIG_METADATA!$B$4),IF(DATOS!$G16790="EX",1,IF(DATOS!$G16790="OR",--(COUNTIFS(nNIA,DATOS!$A16790,nCURSO,DATOS!$D16790,nESPEC,DATOS!$E16790,nASIG,DATOS!$I16790,nEVAL,"EX")=0),0))))</f>
      </c>
      <c r="H16790">
        <f>IF(DATOS!$G16790&lt;&gt;"EX",0,--(COUNTIFS(nNIA,DATOS!$A16790,nCURSO,DATOS!$D16790,nESPEC,DATOS!$E16790,nASIG,DATOS!$I16790,nEVAL,"OR")=0))</f>
      </c>
      <c r="I16790">
        <f>IF(DATOS!$I16790="","",IFERROR(VLOOKUP(DATOS!$I16790,CONFIG_ASIGNATURAS!$B$2:$J$91,9,FALSE()),""))</f>
      </c>
    </row>
    <row r="16791">
      <c r="F16791">
        <f>IF(DATOS!$A16791="","",DATOS!$A16791&amp;"|"&amp;DATOS!$D16791&amp;"|"&amp;DATOS!$E16791&amp;"|"&amp;DATOS!$I16791)</f>
      </c>
      <c r="G16791">
        <f>IF(DATOS!$A16791="",0,IF(CONFIG_METADATA!$B$4&lt;&gt;"OR+EX",--(DATOS!$G16791=CONFIG_METADATA!$B$4),IF(DATOS!$G16791="EX",1,IF(DATOS!$G16791="OR",--(COUNTIFS(nNIA,DATOS!$A16791,nCURSO,DATOS!$D16791,nESPEC,DATOS!$E16791,nASIG,DATOS!$I16791,nEVAL,"EX")=0),0))))</f>
      </c>
      <c r="H16791">
        <f>IF(DATOS!$G16791&lt;&gt;"EX",0,--(COUNTIFS(nNIA,DATOS!$A16791,nCURSO,DATOS!$D16791,nESPEC,DATOS!$E16791,nASIG,DATOS!$I16791,nEVAL,"OR")=0))</f>
      </c>
      <c r="I16791">
        <f>IF(DATOS!$I16791="","",IFERROR(VLOOKUP(DATOS!$I16791,CONFIG_ASIGNATURAS!$B$2:$J$91,9,FALSE()),""))</f>
      </c>
    </row>
    <row r="16792">
      <c r="F16792">
        <f>IF(DATOS!$A16792="","",DATOS!$A16792&amp;"|"&amp;DATOS!$D16792&amp;"|"&amp;DATOS!$E16792&amp;"|"&amp;DATOS!$I16792)</f>
      </c>
      <c r="G16792">
        <f>IF(DATOS!$A16792="",0,IF(CONFIG_METADATA!$B$4&lt;&gt;"OR+EX",--(DATOS!$G16792=CONFIG_METADATA!$B$4),IF(DATOS!$G16792="EX",1,IF(DATOS!$G16792="OR",--(COUNTIFS(nNIA,DATOS!$A16792,nCURSO,DATOS!$D16792,nESPEC,DATOS!$E16792,nASIG,DATOS!$I16792,nEVAL,"EX")=0),0))))</f>
      </c>
      <c r="H16792">
        <f>IF(DATOS!$G16792&lt;&gt;"EX",0,--(COUNTIFS(nNIA,DATOS!$A16792,nCURSO,DATOS!$D16792,nESPEC,DATOS!$E16792,nASIG,DATOS!$I16792,nEVAL,"OR")=0))</f>
      </c>
      <c r="I16792">
        <f>IF(DATOS!$I16792="","",IFERROR(VLOOKUP(DATOS!$I16792,CONFIG_ASIGNATURAS!$B$2:$J$91,9,FALSE()),""))</f>
      </c>
    </row>
    <row r="16793">
      <c r="F16793">
        <f>IF(DATOS!$A16793="","",DATOS!$A16793&amp;"|"&amp;DATOS!$D16793&amp;"|"&amp;DATOS!$E16793&amp;"|"&amp;DATOS!$I16793)</f>
      </c>
      <c r="G16793">
        <f>IF(DATOS!$A16793="",0,IF(CONFIG_METADATA!$B$4&lt;&gt;"OR+EX",--(DATOS!$G16793=CONFIG_METADATA!$B$4),IF(DATOS!$G16793="EX",1,IF(DATOS!$G16793="OR",--(COUNTIFS(nNIA,DATOS!$A16793,nCURSO,DATOS!$D16793,nESPEC,DATOS!$E16793,nASIG,DATOS!$I16793,nEVAL,"EX")=0),0))))</f>
      </c>
      <c r="H16793">
        <f>IF(DATOS!$G16793&lt;&gt;"EX",0,--(COUNTIFS(nNIA,DATOS!$A16793,nCURSO,DATOS!$D16793,nESPEC,DATOS!$E16793,nASIG,DATOS!$I16793,nEVAL,"OR")=0))</f>
      </c>
      <c r="I16793">
        <f>IF(DATOS!$I16793="","",IFERROR(VLOOKUP(DATOS!$I16793,CONFIG_ASIGNATURAS!$B$2:$J$91,9,FALSE()),""))</f>
      </c>
    </row>
    <row r="16794">
      <c r="F16794">
        <f>IF(DATOS!$A16794="","",DATOS!$A16794&amp;"|"&amp;DATOS!$D16794&amp;"|"&amp;DATOS!$E16794&amp;"|"&amp;DATOS!$I16794)</f>
      </c>
      <c r="G16794">
        <f>IF(DATOS!$A16794="",0,IF(CONFIG_METADATA!$B$4&lt;&gt;"OR+EX",--(DATOS!$G16794=CONFIG_METADATA!$B$4),IF(DATOS!$G16794="EX",1,IF(DATOS!$G16794="OR",--(COUNTIFS(nNIA,DATOS!$A16794,nCURSO,DATOS!$D16794,nESPEC,DATOS!$E16794,nASIG,DATOS!$I16794,nEVAL,"EX")=0),0))))</f>
      </c>
      <c r="H16794">
        <f>IF(DATOS!$G16794&lt;&gt;"EX",0,--(COUNTIFS(nNIA,DATOS!$A16794,nCURSO,DATOS!$D16794,nESPEC,DATOS!$E16794,nASIG,DATOS!$I16794,nEVAL,"OR")=0))</f>
      </c>
      <c r="I16794">
        <f>IF(DATOS!$I16794="","",IFERROR(VLOOKUP(DATOS!$I16794,CONFIG_ASIGNATURAS!$B$2:$J$91,9,FALSE()),""))</f>
      </c>
    </row>
    <row r="16795">
      <c r="F16795">
        <f>IF(DATOS!$A16795="","",DATOS!$A16795&amp;"|"&amp;DATOS!$D16795&amp;"|"&amp;DATOS!$E16795&amp;"|"&amp;DATOS!$I16795)</f>
      </c>
      <c r="G16795">
        <f>IF(DATOS!$A16795="",0,IF(CONFIG_METADATA!$B$4&lt;&gt;"OR+EX",--(DATOS!$G16795=CONFIG_METADATA!$B$4),IF(DATOS!$G16795="EX",1,IF(DATOS!$G16795="OR",--(COUNTIFS(nNIA,DATOS!$A16795,nCURSO,DATOS!$D16795,nESPEC,DATOS!$E16795,nASIG,DATOS!$I16795,nEVAL,"EX")=0),0))))</f>
      </c>
      <c r="H16795">
        <f>IF(DATOS!$G16795&lt;&gt;"EX",0,--(COUNTIFS(nNIA,DATOS!$A16795,nCURSO,DATOS!$D16795,nESPEC,DATOS!$E16795,nASIG,DATOS!$I16795,nEVAL,"OR")=0))</f>
      </c>
      <c r="I16795">
        <f>IF(DATOS!$I16795="","",IFERROR(VLOOKUP(DATOS!$I16795,CONFIG_ASIGNATURAS!$B$2:$J$91,9,FALSE()),""))</f>
      </c>
    </row>
    <row r="16796">
      <c r="F16796">
        <f>IF(DATOS!$A16796="","",DATOS!$A16796&amp;"|"&amp;DATOS!$D16796&amp;"|"&amp;DATOS!$E16796&amp;"|"&amp;DATOS!$I16796)</f>
      </c>
      <c r="G16796">
        <f>IF(DATOS!$A16796="",0,IF(CONFIG_METADATA!$B$4&lt;&gt;"OR+EX",--(DATOS!$G16796=CONFIG_METADATA!$B$4),IF(DATOS!$G16796="EX",1,IF(DATOS!$G16796="OR",--(COUNTIFS(nNIA,DATOS!$A16796,nCURSO,DATOS!$D16796,nESPEC,DATOS!$E16796,nASIG,DATOS!$I16796,nEVAL,"EX")=0),0))))</f>
      </c>
      <c r="H16796">
        <f>IF(DATOS!$G16796&lt;&gt;"EX",0,--(COUNTIFS(nNIA,DATOS!$A16796,nCURSO,DATOS!$D16796,nESPEC,DATOS!$E16796,nASIG,DATOS!$I16796,nEVAL,"OR")=0))</f>
      </c>
      <c r="I16796">
        <f>IF(DATOS!$I16796="","",IFERROR(VLOOKUP(DATOS!$I16796,CONFIG_ASIGNATURAS!$B$2:$J$91,9,FALSE()),""))</f>
      </c>
    </row>
    <row r="16797">
      <c r="F16797">
        <f>IF(DATOS!$A16797="","",DATOS!$A16797&amp;"|"&amp;DATOS!$D16797&amp;"|"&amp;DATOS!$E16797&amp;"|"&amp;DATOS!$I16797)</f>
      </c>
      <c r="G16797">
        <f>IF(DATOS!$A16797="",0,IF(CONFIG_METADATA!$B$4&lt;&gt;"OR+EX",--(DATOS!$G16797=CONFIG_METADATA!$B$4),IF(DATOS!$G16797="EX",1,IF(DATOS!$G16797="OR",--(COUNTIFS(nNIA,DATOS!$A16797,nCURSO,DATOS!$D16797,nESPEC,DATOS!$E16797,nASIG,DATOS!$I16797,nEVAL,"EX")=0),0))))</f>
      </c>
      <c r="H16797">
        <f>IF(DATOS!$G16797&lt;&gt;"EX",0,--(COUNTIFS(nNIA,DATOS!$A16797,nCURSO,DATOS!$D16797,nESPEC,DATOS!$E16797,nASIG,DATOS!$I16797,nEVAL,"OR")=0))</f>
      </c>
      <c r="I16797">
        <f>IF(DATOS!$I16797="","",IFERROR(VLOOKUP(DATOS!$I16797,CONFIG_ASIGNATURAS!$B$2:$J$91,9,FALSE()),""))</f>
      </c>
    </row>
    <row r="16798">
      <c r="F16798">
        <f>IF(DATOS!$A16798="","",DATOS!$A16798&amp;"|"&amp;DATOS!$D16798&amp;"|"&amp;DATOS!$E16798&amp;"|"&amp;DATOS!$I16798)</f>
      </c>
      <c r="G16798">
        <f>IF(DATOS!$A16798="",0,IF(CONFIG_METADATA!$B$4&lt;&gt;"OR+EX",--(DATOS!$G16798=CONFIG_METADATA!$B$4),IF(DATOS!$G16798="EX",1,IF(DATOS!$G16798="OR",--(COUNTIFS(nNIA,DATOS!$A16798,nCURSO,DATOS!$D16798,nESPEC,DATOS!$E16798,nASIG,DATOS!$I16798,nEVAL,"EX")=0),0))))</f>
      </c>
      <c r="H16798">
        <f>IF(DATOS!$G16798&lt;&gt;"EX",0,--(COUNTIFS(nNIA,DATOS!$A16798,nCURSO,DATOS!$D16798,nESPEC,DATOS!$E16798,nASIG,DATOS!$I16798,nEVAL,"OR")=0))</f>
      </c>
      <c r="I16798">
        <f>IF(DATOS!$I16798="","",IFERROR(VLOOKUP(DATOS!$I16798,CONFIG_ASIGNATURAS!$B$2:$J$91,9,FALSE()),""))</f>
      </c>
    </row>
    <row r="16799">
      <c r="F16799">
        <f>IF(DATOS!$A16799="","",DATOS!$A16799&amp;"|"&amp;DATOS!$D16799&amp;"|"&amp;DATOS!$E16799&amp;"|"&amp;DATOS!$I16799)</f>
      </c>
      <c r="G16799">
        <f>IF(DATOS!$A16799="",0,IF(CONFIG_METADATA!$B$4&lt;&gt;"OR+EX",--(DATOS!$G16799=CONFIG_METADATA!$B$4),IF(DATOS!$G16799="EX",1,IF(DATOS!$G16799="OR",--(COUNTIFS(nNIA,DATOS!$A16799,nCURSO,DATOS!$D16799,nESPEC,DATOS!$E16799,nASIG,DATOS!$I16799,nEVAL,"EX")=0),0))))</f>
      </c>
      <c r="H16799">
        <f>IF(DATOS!$G16799&lt;&gt;"EX",0,--(COUNTIFS(nNIA,DATOS!$A16799,nCURSO,DATOS!$D16799,nESPEC,DATOS!$E16799,nASIG,DATOS!$I16799,nEVAL,"OR")=0))</f>
      </c>
      <c r="I16799">
        <f>IF(DATOS!$I16799="","",IFERROR(VLOOKUP(DATOS!$I16799,CONFIG_ASIGNATURAS!$B$2:$J$91,9,FALSE()),""))</f>
      </c>
    </row>
    <row r="16800">
      <c r="F16800">
        <f>IF(DATOS!$A16800="","",DATOS!$A16800&amp;"|"&amp;DATOS!$D16800&amp;"|"&amp;DATOS!$E16800&amp;"|"&amp;DATOS!$I16800)</f>
      </c>
      <c r="G16800">
        <f>IF(DATOS!$A16800="",0,IF(CONFIG_METADATA!$B$4&lt;&gt;"OR+EX",--(DATOS!$G16800=CONFIG_METADATA!$B$4),IF(DATOS!$G16800="EX",1,IF(DATOS!$G16800="OR",--(COUNTIFS(nNIA,DATOS!$A16800,nCURSO,DATOS!$D16800,nESPEC,DATOS!$E16800,nASIG,DATOS!$I16800,nEVAL,"EX")=0),0))))</f>
      </c>
      <c r="H16800">
        <f>IF(DATOS!$G16800&lt;&gt;"EX",0,--(COUNTIFS(nNIA,DATOS!$A16800,nCURSO,DATOS!$D16800,nESPEC,DATOS!$E16800,nASIG,DATOS!$I16800,nEVAL,"OR")=0))</f>
      </c>
      <c r="I16800">
        <f>IF(DATOS!$I16800="","",IFERROR(VLOOKUP(DATOS!$I16800,CONFIG_ASIGNATURAS!$B$2:$J$91,9,FALSE()),""))</f>
      </c>
    </row>
    <row r="16801">
      <c r="F16801">
        <f>IF(DATOS!$A16801="","",DATOS!$A16801&amp;"|"&amp;DATOS!$D16801&amp;"|"&amp;DATOS!$E16801&amp;"|"&amp;DATOS!$I16801)</f>
      </c>
      <c r="G16801">
        <f>IF(DATOS!$A16801="",0,IF(CONFIG_METADATA!$B$4&lt;&gt;"OR+EX",--(DATOS!$G16801=CONFIG_METADATA!$B$4),IF(DATOS!$G16801="EX",1,IF(DATOS!$G16801="OR",--(COUNTIFS(nNIA,DATOS!$A16801,nCURSO,DATOS!$D16801,nESPEC,DATOS!$E16801,nASIG,DATOS!$I16801,nEVAL,"EX")=0),0))))</f>
      </c>
      <c r="H16801">
        <f>IF(DATOS!$G16801&lt;&gt;"EX",0,--(COUNTIFS(nNIA,DATOS!$A16801,nCURSO,DATOS!$D16801,nESPEC,DATOS!$E16801,nASIG,DATOS!$I16801,nEVAL,"OR")=0))</f>
      </c>
      <c r="I16801">
        <f>IF(DATOS!$I16801="","",IFERROR(VLOOKUP(DATOS!$I16801,CONFIG_ASIGNATURAS!$B$2:$J$91,9,FALSE()),""))</f>
      </c>
    </row>
    <row r="16802">
      <c r="F16802">
        <f>IF(DATOS!$A16802="","",DATOS!$A16802&amp;"|"&amp;DATOS!$D16802&amp;"|"&amp;DATOS!$E16802&amp;"|"&amp;DATOS!$I16802)</f>
      </c>
      <c r="G16802">
        <f>IF(DATOS!$A16802="",0,IF(CONFIG_METADATA!$B$4&lt;&gt;"OR+EX",--(DATOS!$G16802=CONFIG_METADATA!$B$4),IF(DATOS!$G16802="EX",1,IF(DATOS!$G16802="OR",--(COUNTIFS(nNIA,DATOS!$A16802,nCURSO,DATOS!$D16802,nESPEC,DATOS!$E16802,nASIG,DATOS!$I16802,nEVAL,"EX")=0),0))))</f>
      </c>
      <c r="H16802">
        <f>IF(DATOS!$G16802&lt;&gt;"EX",0,--(COUNTIFS(nNIA,DATOS!$A16802,nCURSO,DATOS!$D16802,nESPEC,DATOS!$E16802,nASIG,DATOS!$I16802,nEVAL,"OR")=0))</f>
      </c>
      <c r="I16802">
        <f>IF(DATOS!$I16802="","",IFERROR(VLOOKUP(DATOS!$I16802,CONFIG_ASIGNATURAS!$B$2:$J$91,9,FALSE()),""))</f>
      </c>
    </row>
    <row r="16803">
      <c r="F16803">
        <f>IF(DATOS!$A16803="","",DATOS!$A16803&amp;"|"&amp;DATOS!$D16803&amp;"|"&amp;DATOS!$E16803&amp;"|"&amp;DATOS!$I16803)</f>
      </c>
      <c r="G16803">
        <f>IF(DATOS!$A16803="",0,IF(CONFIG_METADATA!$B$4&lt;&gt;"OR+EX",--(DATOS!$G16803=CONFIG_METADATA!$B$4),IF(DATOS!$G16803="EX",1,IF(DATOS!$G16803="OR",--(COUNTIFS(nNIA,DATOS!$A16803,nCURSO,DATOS!$D16803,nESPEC,DATOS!$E16803,nASIG,DATOS!$I16803,nEVAL,"EX")=0),0))))</f>
      </c>
      <c r="H16803">
        <f>IF(DATOS!$G16803&lt;&gt;"EX",0,--(COUNTIFS(nNIA,DATOS!$A16803,nCURSO,DATOS!$D16803,nESPEC,DATOS!$E16803,nASIG,DATOS!$I16803,nEVAL,"OR")=0))</f>
      </c>
      <c r="I16803">
        <f>IF(DATOS!$I16803="","",IFERROR(VLOOKUP(DATOS!$I16803,CONFIG_ASIGNATURAS!$B$2:$J$91,9,FALSE()),""))</f>
      </c>
    </row>
    <row r="16804">
      <c r="F16804">
        <f>IF(DATOS!$A16804="","",DATOS!$A16804&amp;"|"&amp;DATOS!$D16804&amp;"|"&amp;DATOS!$E16804&amp;"|"&amp;DATOS!$I16804)</f>
      </c>
      <c r="G16804">
        <f>IF(DATOS!$A16804="",0,IF(CONFIG_METADATA!$B$4&lt;&gt;"OR+EX",--(DATOS!$G16804=CONFIG_METADATA!$B$4),IF(DATOS!$G16804="EX",1,IF(DATOS!$G16804="OR",--(COUNTIFS(nNIA,DATOS!$A16804,nCURSO,DATOS!$D16804,nESPEC,DATOS!$E16804,nASIG,DATOS!$I16804,nEVAL,"EX")=0),0))))</f>
      </c>
      <c r="H16804">
        <f>IF(DATOS!$G16804&lt;&gt;"EX",0,--(COUNTIFS(nNIA,DATOS!$A16804,nCURSO,DATOS!$D16804,nESPEC,DATOS!$E16804,nASIG,DATOS!$I16804,nEVAL,"OR")=0))</f>
      </c>
      <c r="I16804">
        <f>IF(DATOS!$I16804="","",IFERROR(VLOOKUP(DATOS!$I16804,CONFIG_ASIGNATURAS!$B$2:$J$91,9,FALSE()),""))</f>
      </c>
    </row>
    <row r="16805">
      <c r="F16805">
        <f>IF(DATOS!$A16805="","",DATOS!$A16805&amp;"|"&amp;DATOS!$D16805&amp;"|"&amp;DATOS!$E16805&amp;"|"&amp;DATOS!$I16805)</f>
      </c>
      <c r="G16805">
        <f>IF(DATOS!$A16805="",0,IF(CONFIG_METADATA!$B$4&lt;&gt;"OR+EX",--(DATOS!$G16805=CONFIG_METADATA!$B$4),IF(DATOS!$G16805="EX",1,IF(DATOS!$G16805="OR",--(COUNTIFS(nNIA,DATOS!$A16805,nCURSO,DATOS!$D16805,nESPEC,DATOS!$E16805,nASIG,DATOS!$I16805,nEVAL,"EX")=0),0))))</f>
      </c>
      <c r="H16805">
        <f>IF(DATOS!$G16805&lt;&gt;"EX",0,--(COUNTIFS(nNIA,DATOS!$A16805,nCURSO,DATOS!$D16805,nESPEC,DATOS!$E16805,nASIG,DATOS!$I16805,nEVAL,"OR")=0))</f>
      </c>
      <c r="I16805">
        <f>IF(DATOS!$I16805="","",IFERROR(VLOOKUP(DATOS!$I16805,CONFIG_ASIGNATURAS!$B$2:$J$91,9,FALSE()),""))</f>
      </c>
    </row>
    <row r="16806">
      <c r="F16806">
        <f>IF(DATOS!$A16806="","",DATOS!$A16806&amp;"|"&amp;DATOS!$D16806&amp;"|"&amp;DATOS!$E16806&amp;"|"&amp;DATOS!$I16806)</f>
      </c>
      <c r="G16806">
        <f>IF(DATOS!$A16806="",0,IF(CONFIG_METADATA!$B$4&lt;&gt;"OR+EX",--(DATOS!$G16806=CONFIG_METADATA!$B$4),IF(DATOS!$G16806="EX",1,IF(DATOS!$G16806="OR",--(COUNTIFS(nNIA,DATOS!$A16806,nCURSO,DATOS!$D16806,nESPEC,DATOS!$E16806,nASIG,DATOS!$I16806,nEVAL,"EX")=0),0))))</f>
      </c>
      <c r="H16806">
        <f>IF(DATOS!$G16806&lt;&gt;"EX",0,--(COUNTIFS(nNIA,DATOS!$A16806,nCURSO,DATOS!$D16806,nESPEC,DATOS!$E16806,nASIG,DATOS!$I16806,nEVAL,"OR")=0))</f>
      </c>
      <c r="I16806">
        <f>IF(DATOS!$I16806="","",IFERROR(VLOOKUP(DATOS!$I16806,CONFIG_ASIGNATURAS!$B$2:$J$91,9,FALSE()),""))</f>
      </c>
    </row>
    <row r="16807">
      <c r="F16807">
        <f>IF(DATOS!$A16807="","",DATOS!$A16807&amp;"|"&amp;DATOS!$D16807&amp;"|"&amp;DATOS!$E16807&amp;"|"&amp;DATOS!$I16807)</f>
      </c>
      <c r="G16807">
        <f>IF(DATOS!$A16807="",0,IF(CONFIG_METADATA!$B$4&lt;&gt;"OR+EX",--(DATOS!$G16807=CONFIG_METADATA!$B$4),IF(DATOS!$G16807="EX",1,IF(DATOS!$G16807="OR",--(COUNTIFS(nNIA,DATOS!$A16807,nCURSO,DATOS!$D16807,nESPEC,DATOS!$E16807,nASIG,DATOS!$I16807,nEVAL,"EX")=0),0))))</f>
      </c>
      <c r="H16807">
        <f>IF(DATOS!$G16807&lt;&gt;"EX",0,--(COUNTIFS(nNIA,DATOS!$A16807,nCURSO,DATOS!$D16807,nESPEC,DATOS!$E16807,nASIG,DATOS!$I16807,nEVAL,"OR")=0))</f>
      </c>
      <c r="I16807">
        <f>IF(DATOS!$I16807="","",IFERROR(VLOOKUP(DATOS!$I16807,CONFIG_ASIGNATURAS!$B$2:$J$91,9,FALSE()),""))</f>
      </c>
    </row>
    <row r="16808">
      <c r="F16808">
        <f>IF(DATOS!$A16808="","",DATOS!$A16808&amp;"|"&amp;DATOS!$D16808&amp;"|"&amp;DATOS!$E16808&amp;"|"&amp;DATOS!$I16808)</f>
      </c>
      <c r="G16808">
        <f>IF(DATOS!$A16808="",0,IF(CONFIG_METADATA!$B$4&lt;&gt;"OR+EX",--(DATOS!$G16808=CONFIG_METADATA!$B$4),IF(DATOS!$G16808="EX",1,IF(DATOS!$G16808="OR",--(COUNTIFS(nNIA,DATOS!$A16808,nCURSO,DATOS!$D16808,nESPEC,DATOS!$E16808,nASIG,DATOS!$I16808,nEVAL,"EX")=0),0))))</f>
      </c>
      <c r="H16808">
        <f>IF(DATOS!$G16808&lt;&gt;"EX",0,--(COUNTIFS(nNIA,DATOS!$A16808,nCURSO,DATOS!$D16808,nESPEC,DATOS!$E16808,nASIG,DATOS!$I16808,nEVAL,"OR")=0))</f>
      </c>
      <c r="I16808">
        <f>IF(DATOS!$I16808="","",IFERROR(VLOOKUP(DATOS!$I16808,CONFIG_ASIGNATURAS!$B$2:$J$91,9,FALSE()),""))</f>
      </c>
    </row>
    <row r="16809">
      <c r="F16809">
        <f>IF(DATOS!$A16809="","",DATOS!$A16809&amp;"|"&amp;DATOS!$D16809&amp;"|"&amp;DATOS!$E16809&amp;"|"&amp;DATOS!$I16809)</f>
      </c>
      <c r="G16809">
        <f>IF(DATOS!$A16809="",0,IF(CONFIG_METADATA!$B$4&lt;&gt;"OR+EX",--(DATOS!$G16809=CONFIG_METADATA!$B$4),IF(DATOS!$G16809="EX",1,IF(DATOS!$G16809="OR",--(COUNTIFS(nNIA,DATOS!$A16809,nCURSO,DATOS!$D16809,nESPEC,DATOS!$E16809,nASIG,DATOS!$I16809,nEVAL,"EX")=0),0))))</f>
      </c>
      <c r="H16809">
        <f>IF(DATOS!$G16809&lt;&gt;"EX",0,--(COUNTIFS(nNIA,DATOS!$A16809,nCURSO,DATOS!$D16809,nESPEC,DATOS!$E16809,nASIG,DATOS!$I16809,nEVAL,"OR")=0))</f>
      </c>
      <c r="I16809">
        <f>IF(DATOS!$I16809="","",IFERROR(VLOOKUP(DATOS!$I16809,CONFIG_ASIGNATURAS!$B$2:$J$91,9,FALSE()),""))</f>
      </c>
    </row>
    <row r="16810">
      <c r="F16810">
        <f>IF(DATOS!$A16810="","",DATOS!$A16810&amp;"|"&amp;DATOS!$D16810&amp;"|"&amp;DATOS!$E16810&amp;"|"&amp;DATOS!$I16810)</f>
      </c>
      <c r="G16810">
        <f>IF(DATOS!$A16810="",0,IF(CONFIG_METADATA!$B$4&lt;&gt;"OR+EX",--(DATOS!$G16810=CONFIG_METADATA!$B$4),IF(DATOS!$G16810="EX",1,IF(DATOS!$G16810="OR",--(COUNTIFS(nNIA,DATOS!$A16810,nCURSO,DATOS!$D16810,nESPEC,DATOS!$E16810,nASIG,DATOS!$I16810,nEVAL,"EX")=0),0))))</f>
      </c>
      <c r="H16810">
        <f>IF(DATOS!$G16810&lt;&gt;"EX",0,--(COUNTIFS(nNIA,DATOS!$A16810,nCURSO,DATOS!$D16810,nESPEC,DATOS!$E16810,nASIG,DATOS!$I16810,nEVAL,"OR")=0))</f>
      </c>
      <c r="I16810">
        <f>IF(DATOS!$I16810="","",IFERROR(VLOOKUP(DATOS!$I16810,CONFIG_ASIGNATURAS!$B$2:$J$91,9,FALSE()),""))</f>
      </c>
    </row>
    <row r="16811">
      <c r="F16811">
        <f>IF(DATOS!$A16811="","",DATOS!$A16811&amp;"|"&amp;DATOS!$D16811&amp;"|"&amp;DATOS!$E16811&amp;"|"&amp;DATOS!$I16811)</f>
      </c>
      <c r="G16811">
        <f>IF(DATOS!$A16811="",0,IF(CONFIG_METADATA!$B$4&lt;&gt;"OR+EX",--(DATOS!$G16811=CONFIG_METADATA!$B$4),IF(DATOS!$G16811="EX",1,IF(DATOS!$G16811="OR",--(COUNTIFS(nNIA,DATOS!$A16811,nCURSO,DATOS!$D16811,nESPEC,DATOS!$E16811,nASIG,DATOS!$I16811,nEVAL,"EX")=0),0))))</f>
      </c>
      <c r="H16811">
        <f>IF(DATOS!$G16811&lt;&gt;"EX",0,--(COUNTIFS(nNIA,DATOS!$A16811,nCURSO,DATOS!$D16811,nESPEC,DATOS!$E16811,nASIG,DATOS!$I16811,nEVAL,"OR")=0))</f>
      </c>
      <c r="I16811">
        <f>IF(DATOS!$I16811="","",IFERROR(VLOOKUP(DATOS!$I16811,CONFIG_ASIGNATURAS!$B$2:$J$91,9,FALSE()),""))</f>
      </c>
    </row>
    <row r="16812">
      <c r="F16812">
        <f>IF(DATOS!$A16812="","",DATOS!$A16812&amp;"|"&amp;DATOS!$D16812&amp;"|"&amp;DATOS!$E16812&amp;"|"&amp;DATOS!$I16812)</f>
      </c>
      <c r="G16812">
        <f>IF(DATOS!$A16812="",0,IF(CONFIG_METADATA!$B$4&lt;&gt;"OR+EX",--(DATOS!$G16812=CONFIG_METADATA!$B$4),IF(DATOS!$G16812="EX",1,IF(DATOS!$G16812="OR",--(COUNTIFS(nNIA,DATOS!$A16812,nCURSO,DATOS!$D16812,nESPEC,DATOS!$E16812,nASIG,DATOS!$I16812,nEVAL,"EX")=0),0))))</f>
      </c>
      <c r="H16812">
        <f>IF(DATOS!$G16812&lt;&gt;"EX",0,--(COUNTIFS(nNIA,DATOS!$A16812,nCURSO,DATOS!$D16812,nESPEC,DATOS!$E16812,nASIG,DATOS!$I16812,nEVAL,"OR")=0))</f>
      </c>
      <c r="I16812">
        <f>IF(DATOS!$I16812="","",IFERROR(VLOOKUP(DATOS!$I16812,CONFIG_ASIGNATURAS!$B$2:$J$91,9,FALSE()),""))</f>
      </c>
    </row>
    <row r="16813">
      <c r="F16813">
        <f>IF(DATOS!$A16813="","",DATOS!$A16813&amp;"|"&amp;DATOS!$D16813&amp;"|"&amp;DATOS!$E16813&amp;"|"&amp;DATOS!$I16813)</f>
      </c>
      <c r="G16813">
        <f>IF(DATOS!$A16813="",0,IF(CONFIG_METADATA!$B$4&lt;&gt;"OR+EX",--(DATOS!$G16813=CONFIG_METADATA!$B$4),IF(DATOS!$G16813="EX",1,IF(DATOS!$G16813="OR",--(COUNTIFS(nNIA,DATOS!$A16813,nCURSO,DATOS!$D16813,nESPEC,DATOS!$E16813,nASIG,DATOS!$I16813,nEVAL,"EX")=0),0))))</f>
      </c>
      <c r="H16813">
        <f>IF(DATOS!$G16813&lt;&gt;"EX",0,--(COUNTIFS(nNIA,DATOS!$A16813,nCURSO,DATOS!$D16813,nESPEC,DATOS!$E16813,nASIG,DATOS!$I16813,nEVAL,"OR")=0))</f>
      </c>
      <c r="I16813">
        <f>IF(DATOS!$I16813="","",IFERROR(VLOOKUP(DATOS!$I16813,CONFIG_ASIGNATURAS!$B$2:$J$91,9,FALSE()),""))</f>
      </c>
    </row>
    <row r="16814">
      <c r="F16814">
        <f>IF(DATOS!$A16814="","",DATOS!$A16814&amp;"|"&amp;DATOS!$D16814&amp;"|"&amp;DATOS!$E16814&amp;"|"&amp;DATOS!$I16814)</f>
      </c>
      <c r="G16814">
        <f>IF(DATOS!$A16814="",0,IF(CONFIG_METADATA!$B$4&lt;&gt;"OR+EX",--(DATOS!$G16814=CONFIG_METADATA!$B$4),IF(DATOS!$G16814="EX",1,IF(DATOS!$G16814="OR",--(COUNTIFS(nNIA,DATOS!$A16814,nCURSO,DATOS!$D16814,nESPEC,DATOS!$E16814,nASIG,DATOS!$I16814,nEVAL,"EX")=0),0))))</f>
      </c>
      <c r="H16814">
        <f>IF(DATOS!$G16814&lt;&gt;"EX",0,--(COUNTIFS(nNIA,DATOS!$A16814,nCURSO,DATOS!$D16814,nESPEC,DATOS!$E16814,nASIG,DATOS!$I16814,nEVAL,"OR")=0))</f>
      </c>
      <c r="I16814">
        <f>IF(DATOS!$I16814="","",IFERROR(VLOOKUP(DATOS!$I16814,CONFIG_ASIGNATURAS!$B$2:$J$91,9,FALSE()),""))</f>
      </c>
    </row>
    <row r="16815">
      <c r="F16815">
        <f>IF(DATOS!$A16815="","",DATOS!$A16815&amp;"|"&amp;DATOS!$D16815&amp;"|"&amp;DATOS!$E16815&amp;"|"&amp;DATOS!$I16815)</f>
      </c>
      <c r="G16815">
        <f>IF(DATOS!$A16815="",0,IF(CONFIG_METADATA!$B$4&lt;&gt;"OR+EX",--(DATOS!$G16815=CONFIG_METADATA!$B$4),IF(DATOS!$G16815="EX",1,IF(DATOS!$G16815="OR",--(COUNTIFS(nNIA,DATOS!$A16815,nCURSO,DATOS!$D16815,nESPEC,DATOS!$E16815,nASIG,DATOS!$I16815,nEVAL,"EX")=0),0))))</f>
      </c>
      <c r="H16815">
        <f>IF(DATOS!$G16815&lt;&gt;"EX",0,--(COUNTIFS(nNIA,DATOS!$A16815,nCURSO,DATOS!$D16815,nESPEC,DATOS!$E16815,nASIG,DATOS!$I16815,nEVAL,"OR")=0))</f>
      </c>
      <c r="I16815">
        <f>IF(DATOS!$I16815="","",IFERROR(VLOOKUP(DATOS!$I16815,CONFIG_ASIGNATURAS!$B$2:$J$91,9,FALSE()),""))</f>
      </c>
    </row>
    <row r="16816">
      <c r="F16816">
        <f>IF(DATOS!$A16816="","",DATOS!$A16816&amp;"|"&amp;DATOS!$D16816&amp;"|"&amp;DATOS!$E16816&amp;"|"&amp;DATOS!$I16816)</f>
      </c>
      <c r="G16816">
        <f>IF(DATOS!$A16816="",0,IF(CONFIG_METADATA!$B$4&lt;&gt;"OR+EX",--(DATOS!$G16816=CONFIG_METADATA!$B$4),IF(DATOS!$G16816="EX",1,IF(DATOS!$G16816="OR",--(COUNTIFS(nNIA,DATOS!$A16816,nCURSO,DATOS!$D16816,nESPEC,DATOS!$E16816,nASIG,DATOS!$I16816,nEVAL,"EX")=0),0))))</f>
      </c>
      <c r="H16816">
        <f>IF(DATOS!$G16816&lt;&gt;"EX",0,--(COUNTIFS(nNIA,DATOS!$A16816,nCURSO,DATOS!$D16816,nESPEC,DATOS!$E16816,nASIG,DATOS!$I16816,nEVAL,"OR")=0))</f>
      </c>
      <c r="I16816">
        <f>IF(DATOS!$I16816="","",IFERROR(VLOOKUP(DATOS!$I16816,CONFIG_ASIGNATURAS!$B$2:$J$91,9,FALSE()),""))</f>
      </c>
    </row>
    <row r="16817">
      <c r="F16817">
        <f>IF(DATOS!$A16817="","",DATOS!$A16817&amp;"|"&amp;DATOS!$D16817&amp;"|"&amp;DATOS!$E16817&amp;"|"&amp;DATOS!$I16817)</f>
      </c>
      <c r="G16817">
        <f>IF(DATOS!$A16817="",0,IF(CONFIG_METADATA!$B$4&lt;&gt;"OR+EX",--(DATOS!$G16817=CONFIG_METADATA!$B$4),IF(DATOS!$G16817="EX",1,IF(DATOS!$G16817="OR",--(COUNTIFS(nNIA,DATOS!$A16817,nCURSO,DATOS!$D16817,nESPEC,DATOS!$E16817,nASIG,DATOS!$I16817,nEVAL,"EX")=0),0))))</f>
      </c>
      <c r="H16817">
        <f>IF(DATOS!$G16817&lt;&gt;"EX",0,--(COUNTIFS(nNIA,DATOS!$A16817,nCURSO,DATOS!$D16817,nESPEC,DATOS!$E16817,nASIG,DATOS!$I16817,nEVAL,"OR")=0))</f>
      </c>
      <c r="I16817">
        <f>IF(DATOS!$I16817="","",IFERROR(VLOOKUP(DATOS!$I16817,CONFIG_ASIGNATURAS!$B$2:$J$91,9,FALSE()),""))</f>
      </c>
    </row>
    <row r="16818">
      <c r="F16818">
        <f>IF(DATOS!$A16818="","",DATOS!$A16818&amp;"|"&amp;DATOS!$D16818&amp;"|"&amp;DATOS!$E16818&amp;"|"&amp;DATOS!$I16818)</f>
      </c>
      <c r="G16818">
        <f>IF(DATOS!$A16818="",0,IF(CONFIG_METADATA!$B$4&lt;&gt;"OR+EX",--(DATOS!$G16818=CONFIG_METADATA!$B$4),IF(DATOS!$G16818="EX",1,IF(DATOS!$G16818="OR",--(COUNTIFS(nNIA,DATOS!$A16818,nCURSO,DATOS!$D16818,nESPEC,DATOS!$E16818,nASIG,DATOS!$I16818,nEVAL,"EX")=0),0))))</f>
      </c>
      <c r="H16818">
        <f>IF(DATOS!$G16818&lt;&gt;"EX",0,--(COUNTIFS(nNIA,DATOS!$A16818,nCURSO,DATOS!$D16818,nESPEC,DATOS!$E16818,nASIG,DATOS!$I16818,nEVAL,"OR")=0))</f>
      </c>
      <c r="I16818">
        <f>IF(DATOS!$I16818="","",IFERROR(VLOOKUP(DATOS!$I16818,CONFIG_ASIGNATURAS!$B$2:$J$91,9,FALSE()),""))</f>
      </c>
    </row>
    <row r="16819">
      <c r="F16819">
        <f>IF(DATOS!$A16819="","",DATOS!$A16819&amp;"|"&amp;DATOS!$D16819&amp;"|"&amp;DATOS!$E16819&amp;"|"&amp;DATOS!$I16819)</f>
      </c>
      <c r="G16819">
        <f>IF(DATOS!$A16819="",0,IF(CONFIG_METADATA!$B$4&lt;&gt;"OR+EX",--(DATOS!$G16819=CONFIG_METADATA!$B$4),IF(DATOS!$G16819="EX",1,IF(DATOS!$G16819="OR",--(COUNTIFS(nNIA,DATOS!$A16819,nCURSO,DATOS!$D16819,nESPEC,DATOS!$E16819,nASIG,DATOS!$I16819,nEVAL,"EX")=0),0))))</f>
      </c>
      <c r="H16819">
        <f>IF(DATOS!$G16819&lt;&gt;"EX",0,--(COUNTIFS(nNIA,DATOS!$A16819,nCURSO,DATOS!$D16819,nESPEC,DATOS!$E16819,nASIG,DATOS!$I16819,nEVAL,"OR")=0))</f>
      </c>
      <c r="I16819">
        <f>IF(DATOS!$I16819="","",IFERROR(VLOOKUP(DATOS!$I16819,CONFIG_ASIGNATURAS!$B$2:$J$91,9,FALSE()),""))</f>
      </c>
    </row>
    <row r="16820">
      <c r="F16820">
        <f>IF(DATOS!$A16820="","",DATOS!$A16820&amp;"|"&amp;DATOS!$D16820&amp;"|"&amp;DATOS!$E16820&amp;"|"&amp;DATOS!$I16820)</f>
      </c>
      <c r="G16820">
        <f>IF(DATOS!$A16820="",0,IF(CONFIG_METADATA!$B$4&lt;&gt;"OR+EX",--(DATOS!$G16820=CONFIG_METADATA!$B$4),IF(DATOS!$G16820="EX",1,IF(DATOS!$G16820="OR",--(COUNTIFS(nNIA,DATOS!$A16820,nCURSO,DATOS!$D16820,nESPEC,DATOS!$E16820,nASIG,DATOS!$I16820,nEVAL,"EX")=0),0))))</f>
      </c>
      <c r="H16820">
        <f>IF(DATOS!$G16820&lt;&gt;"EX",0,--(COUNTIFS(nNIA,DATOS!$A16820,nCURSO,DATOS!$D16820,nESPEC,DATOS!$E16820,nASIG,DATOS!$I16820,nEVAL,"OR")=0))</f>
      </c>
      <c r="I16820">
        <f>IF(DATOS!$I16820="","",IFERROR(VLOOKUP(DATOS!$I16820,CONFIG_ASIGNATURAS!$B$2:$J$91,9,FALSE()),""))</f>
      </c>
    </row>
    <row r="16821">
      <c r="F16821">
        <f>IF(DATOS!$A16821="","",DATOS!$A16821&amp;"|"&amp;DATOS!$D16821&amp;"|"&amp;DATOS!$E16821&amp;"|"&amp;DATOS!$I16821)</f>
      </c>
      <c r="G16821">
        <f>IF(DATOS!$A16821="",0,IF(CONFIG_METADATA!$B$4&lt;&gt;"OR+EX",--(DATOS!$G16821=CONFIG_METADATA!$B$4),IF(DATOS!$G16821="EX",1,IF(DATOS!$G16821="OR",--(COUNTIFS(nNIA,DATOS!$A16821,nCURSO,DATOS!$D16821,nESPEC,DATOS!$E16821,nASIG,DATOS!$I16821,nEVAL,"EX")=0),0))))</f>
      </c>
      <c r="H16821">
        <f>IF(DATOS!$G16821&lt;&gt;"EX",0,--(COUNTIFS(nNIA,DATOS!$A16821,nCURSO,DATOS!$D16821,nESPEC,DATOS!$E16821,nASIG,DATOS!$I16821,nEVAL,"OR")=0))</f>
      </c>
      <c r="I16821">
        <f>IF(DATOS!$I16821="","",IFERROR(VLOOKUP(DATOS!$I16821,CONFIG_ASIGNATURAS!$B$2:$J$91,9,FALSE()),""))</f>
      </c>
    </row>
    <row r="16822">
      <c r="F16822">
        <f>IF(DATOS!$A16822="","",DATOS!$A16822&amp;"|"&amp;DATOS!$D16822&amp;"|"&amp;DATOS!$E16822&amp;"|"&amp;DATOS!$I16822)</f>
      </c>
      <c r="G16822">
        <f>IF(DATOS!$A16822="",0,IF(CONFIG_METADATA!$B$4&lt;&gt;"OR+EX",--(DATOS!$G16822=CONFIG_METADATA!$B$4),IF(DATOS!$G16822="EX",1,IF(DATOS!$G16822="OR",--(COUNTIFS(nNIA,DATOS!$A16822,nCURSO,DATOS!$D16822,nESPEC,DATOS!$E16822,nASIG,DATOS!$I16822,nEVAL,"EX")=0),0))))</f>
      </c>
      <c r="H16822">
        <f>IF(DATOS!$G16822&lt;&gt;"EX",0,--(COUNTIFS(nNIA,DATOS!$A16822,nCURSO,DATOS!$D16822,nESPEC,DATOS!$E16822,nASIG,DATOS!$I16822,nEVAL,"OR")=0))</f>
      </c>
      <c r="I16822">
        <f>IF(DATOS!$I16822="","",IFERROR(VLOOKUP(DATOS!$I16822,CONFIG_ASIGNATURAS!$B$2:$J$91,9,FALSE()),""))</f>
      </c>
    </row>
    <row r="16823">
      <c r="F16823">
        <f>IF(DATOS!$A16823="","",DATOS!$A16823&amp;"|"&amp;DATOS!$D16823&amp;"|"&amp;DATOS!$E16823&amp;"|"&amp;DATOS!$I16823)</f>
      </c>
      <c r="G16823">
        <f>IF(DATOS!$A16823="",0,IF(CONFIG_METADATA!$B$4&lt;&gt;"OR+EX",--(DATOS!$G16823=CONFIG_METADATA!$B$4),IF(DATOS!$G16823="EX",1,IF(DATOS!$G16823="OR",--(COUNTIFS(nNIA,DATOS!$A16823,nCURSO,DATOS!$D16823,nESPEC,DATOS!$E16823,nASIG,DATOS!$I16823,nEVAL,"EX")=0),0))))</f>
      </c>
      <c r="H16823">
        <f>IF(DATOS!$G16823&lt;&gt;"EX",0,--(COUNTIFS(nNIA,DATOS!$A16823,nCURSO,DATOS!$D16823,nESPEC,DATOS!$E16823,nASIG,DATOS!$I16823,nEVAL,"OR")=0))</f>
      </c>
      <c r="I16823">
        <f>IF(DATOS!$I16823="","",IFERROR(VLOOKUP(DATOS!$I16823,CONFIG_ASIGNATURAS!$B$2:$J$91,9,FALSE()),""))</f>
      </c>
    </row>
    <row r="16824">
      <c r="F16824">
        <f>IF(DATOS!$A16824="","",DATOS!$A16824&amp;"|"&amp;DATOS!$D16824&amp;"|"&amp;DATOS!$E16824&amp;"|"&amp;DATOS!$I16824)</f>
      </c>
      <c r="G16824">
        <f>IF(DATOS!$A16824="",0,IF(CONFIG_METADATA!$B$4&lt;&gt;"OR+EX",--(DATOS!$G16824=CONFIG_METADATA!$B$4),IF(DATOS!$G16824="EX",1,IF(DATOS!$G16824="OR",--(COUNTIFS(nNIA,DATOS!$A16824,nCURSO,DATOS!$D16824,nESPEC,DATOS!$E16824,nASIG,DATOS!$I16824,nEVAL,"EX")=0),0))))</f>
      </c>
      <c r="H16824">
        <f>IF(DATOS!$G16824&lt;&gt;"EX",0,--(COUNTIFS(nNIA,DATOS!$A16824,nCURSO,DATOS!$D16824,nESPEC,DATOS!$E16824,nASIG,DATOS!$I16824,nEVAL,"OR")=0))</f>
      </c>
      <c r="I16824">
        <f>IF(DATOS!$I16824="","",IFERROR(VLOOKUP(DATOS!$I16824,CONFIG_ASIGNATURAS!$B$2:$J$91,9,FALSE()),""))</f>
      </c>
    </row>
    <row r="16825">
      <c r="F16825">
        <f>IF(DATOS!$A16825="","",DATOS!$A16825&amp;"|"&amp;DATOS!$D16825&amp;"|"&amp;DATOS!$E16825&amp;"|"&amp;DATOS!$I16825)</f>
      </c>
      <c r="G16825">
        <f>IF(DATOS!$A16825="",0,IF(CONFIG_METADATA!$B$4&lt;&gt;"OR+EX",--(DATOS!$G16825=CONFIG_METADATA!$B$4),IF(DATOS!$G16825="EX",1,IF(DATOS!$G16825="OR",--(COUNTIFS(nNIA,DATOS!$A16825,nCURSO,DATOS!$D16825,nESPEC,DATOS!$E16825,nASIG,DATOS!$I16825,nEVAL,"EX")=0),0))))</f>
      </c>
      <c r="H16825">
        <f>IF(DATOS!$G16825&lt;&gt;"EX",0,--(COUNTIFS(nNIA,DATOS!$A16825,nCURSO,DATOS!$D16825,nESPEC,DATOS!$E16825,nASIG,DATOS!$I16825,nEVAL,"OR")=0))</f>
      </c>
      <c r="I16825">
        <f>IF(DATOS!$I16825="","",IFERROR(VLOOKUP(DATOS!$I16825,CONFIG_ASIGNATURAS!$B$2:$J$91,9,FALSE()),""))</f>
      </c>
    </row>
    <row r="16826">
      <c r="F16826">
        <f>IF(DATOS!$A16826="","",DATOS!$A16826&amp;"|"&amp;DATOS!$D16826&amp;"|"&amp;DATOS!$E16826&amp;"|"&amp;DATOS!$I16826)</f>
      </c>
      <c r="G16826">
        <f>IF(DATOS!$A16826="",0,IF(CONFIG_METADATA!$B$4&lt;&gt;"OR+EX",--(DATOS!$G16826=CONFIG_METADATA!$B$4),IF(DATOS!$G16826="EX",1,IF(DATOS!$G16826="OR",--(COUNTIFS(nNIA,DATOS!$A16826,nCURSO,DATOS!$D16826,nESPEC,DATOS!$E16826,nASIG,DATOS!$I16826,nEVAL,"EX")=0),0))))</f>
      </c>
      <c r="H16826">
        <f>IF(DATOS!$G16826&lt;&gt;"EX",0,--(COUNTIFS(nNIA,DATOS!$A16826,nCURSO,DATOS!$D16826,nESPEC,DATOS!$E16826,nASIG,DATOS!$I16826,nEVAL,"OR")=0))</f>
      </c>
      <c r="I16826">
        <f>IF(DATOS!$I16826="","",IFERROR(VLOOKUP(DATOS!$I16826,CONFIG_ASIGNATURAS!$B$2:$J$91,9,FALSE()),""))</f>
      </c>
    </row>
    <row r="16827">
      <c r="F16827">
        <f>IF(DATOS!$A16827="","",DATOS!$A16827&amp;"|"&amp;DATOS!$D16827&amp;"|"&amp;DATOS!$E16827&amp;"|"&amp;DATOS!$I16827)</f>
      </c>
      <c r="G16827">
        <f>IF(DATOS!$A16827="",0,IF(CONFIG_METADATA!$B$4&lt;&gt;"OR+EX",--(DATOS!$G16827=CONFIG_METADATA!$B$4),IF(DATOS!$G16827="EX",1,IF(DATOS!$G16827="OR",--(COUNTIFS(nNIA,DATOS!$A16827,nCURSO,DATOS!$D16827,nESPEC,DATOS!$E16827,nASIG,DATOS!$I16827,nEVAL,"EX")=0),0))))</f>
      </c>
      <c r="H16827">
        <f>IF(DATOS!$G16827&lt;&gt;"EX",0,--(COUNTIFS(nNIA,DATOS!$A16827,nCURSO,DATOS!$D16827,nESPEC,DATOS!$E16827,nASIG,DATOS!$I16827,nEVAL,"OR")=0))</f>
      </c>
      <c r="I16827">
        <f>IF(DATOS!$I16827="","",IFERROR(VLOOKUP(DATOS!$I16827,CONFIG_ASIGNATURAS!$B$2:$J$91,9,FALSE()),""))</f>
      </c>
    </row>
    <row r="16828">
      <c r="F16828">
        <f>IF(DATOS!$A16828="","",DATOS!$A16828&amp;"|"&amp;DATOS!$D16828&amp;"|"&amp;DATOS!$E16828&amp;"|"&amp;DATOS!$I16828)</f>
      </c>
      <c r="G16828">
        <f>IF(DATOS!$A16828="",0,IF(CONFIG_METADATA!$B$4&lt;&gt;"OR+EX",--(DATOS!$G16828=CONFIG_METADATA!$B$4),IF(DATOS!$G16828="EX",1,IF(DATOS!$G16828="OR",--(COUNTIFS(nNIA,DATOS!$A16828,nCURSO,DATOS!$D16828,nESPEC,DATOS!$E16828,nASIG,DATOS!$I16828,nEVAL,"EX")=0),0))))</f>
      </c>
      <c r="H16828">
        <f>IF(DATOS!$G16828&lt;&gt;"EX",0,--(COUNTIFS(nNIA,DATOS!$A16828,nCURSO,DATOS!$D16828,nESPEC,DATOS!$E16828,nASIG,DATOS!$I16828,nEVAL,"OR")=0))</f>
      </c>
      <c r="I16828">
        <f>IF(DATOS!$I16828="","",IFERROR(VLOOKUP(DATOS!$I16828,CONFIG_ASIGNATURAS!$B$2:$J$91,9,FALSE()),""))</f>
      </c>
    </row>
    <row r="16829">
      <c r="F16829">
        <f>IF(DATOS!$A16829="","",DATOS!$A16829&amp;"|"&amp;DATOS!$D16829&amp;"|"&amp;DATOS!$E16829&amp;"|"&amp;DATOS!$I16829)</f>
      </c>
      <c r="G16829">
        <f>IF(DATOS!$A16829="",0,IF(CONFIG_METADATA!$B$4&lt;&gt;"OR+EX",--(DATOS!$G16829=CONFIG_METADATA!$B$4),IF(DATOS!$G16829="EX",1,IF(DATOS!$G16829="OR",--(COUNTIFS(nNIA,DATOS!$A16829,nCURSO,DATOS!$D16829,nESPEC,DATOS!$E16829,nASIG,DATOS!$I16829,nEVAL,"EX")=0),0))))</f>
      </c>
      <c r="H16829">
        <f>IF(DATOS!$G16829&lt;&gt;"EX",0,--(COUNTIFS(nNIA,DATOS!$A16829,nCURSO,DATOS!$D16829,nESPEC,DATOS!$E16829,nASIG,DATOS!$I16829,nEVAL,"OR")=0))</f>
      </c>
      <c r="I16829">
        <f>IF(DATOS!$I16829="","",IFERROR(VLOOKUP(DATOS!$I16829,CONFIG_ASIGNATURAS!$B$2:$J$91,9,FALSE()),""))</f>
      </c>
    </row>
    <row r="16830">
      <c r="F16830">
        <f>IF(DATOS!$A16830="","",DATOS!$A16830&amp;"|"&amp;DATOS!$D16830&amp;"|"&amp;DATOS!$E16830&amp;"|"&amp;DATOS!$I16830)</f>
      </c>
      <c r="G16830">
        <f>IF(DATOS!$A16830="",0,IF(CONFIG_METADATA!$B$4&lt;&gt;"OR+EX",--(DATOS!$G16830=CONFIG_METADATA!$B$4),IF(DATOS!$G16830="EX",1,IF(DATOS!$G16830="OR",--(COUNTIFS(nNIA,DATOS!$A16830,nCURSO,DATOS!$D16830,nESPEC,DATOS!$E16830,nASIG,DATOS!$I16830,nEVAL,"EX")=0),0))))</f>
      </c>
      <c r="H16830">
        <f>IF(DATOS!$G16830&lt;&gt;"EX",0,--(COUNTIFS(nNIA,DATOS!$A16830,nCURSO,DATOS!$D16830,nESPEC,DATOS!$E16830,nASIG,DATOS!$I16830,nEVAL,"OR")=0))</f>
      </c>
      <c r="I16830">
        <f>IF(DATOS!$I16830="","",IFERROR(VLOOKUP(DATOS!$I16830,CONFIG_ASIGNATURAS!$B$2:$J$91,9,FALSE()),""))</f>
      </c>
    </row>
    <row r="16831">
      <c r="F16831">
        <f>IF(DATOS!$A16831="","",DATOS!$A16831&amp;"|"&amp;DATOS!$D16831&amp;"|"&amp;DATOS!$E16831&amp;"|"&amp;DATOS!$I16831)</f>
      </c>
      <c r="G16831">
        <f>IF(DATOS!$A16831="",0,IF(CONFIG_METADATA!$B$4&lt;&gt;"OR+EX",--(DATOS!$G16831=CONFIG_METADATA!$B$4),IF(DATOS!$G16831="EX",1,IF(DATOS!$G16831="OR",--(COUNTIFS(nNIA,DATOS!$A16831,nCURSO,DATOS!$D16831,nESPEC,DATOS!$E16831,nASIG,DATOS!$I16831,nEVAL,"EX")=0),0))))</f>
      </c>
      <c r="H16831">
        <f>IF(DATOS!$G16831&lt;&gt;"EX",0,--(COUNTIFS(nNIA,DATOS!$A16831,nCURSO,DATOS!$D16831,nESPEC,DATOS!$E16831,nASIG,DATOS!$I16831,nEVAL,"OR")=0))</f>
      </c>
      <c r="I16831">
        <f>IF(DATOS!$I16831="","",IFERROR(VLOOKUP(DATOS!$I16831,CONFIG_ASIGNATURAS!$B$2:$J$91,9,FALSE()),""))</f>
      </c>
    </row>
    <row r="16832">
      <c r="F16832">
        <f>IF(DATOS!$A16832="","",DATOS!$A16832&amp;"|"&amp;DATOS!$D16832&amp;"|"&amp;DATOS!$E16832&amp;"|"&amp;DATOS!$I16832)</f>
      </c>
      <c r="G16832">
        <f>IF(DATOS!$A16832="",0,IF(CONFIG_METADATA!$B$4&lt;&gt;"OR+EX",--(DATOS!$G16832=CONFIG_METADATA!$B$4),IF(DATOS!$G16832="EX",1,IF(DATOS!$G16832="OR",--(COUNTIFS(nNIA,DATOS!$A16832,nCURSO,DATOS!$D16832,nESPEC,DATOS!$E16832,nASIG,DATOS!$I16832,nEVAL,"EX")=0),0))))</f>
      </c>
      <c r="H16832">
        <f>IF(DATOS!$G16832&lt;&gt;"EX",0,--(COUNTIFS(nNIA,DATOS!$A16832,nCURSO,DATOS!$D16832,nESPEC,DATOS!$E16832,nASIG,DATOS!$I16832,nEVAL,"OR")=0))</f>
      </c>
      <c r="I16832">
        <f>IF(DATOS!$I16832="","",IFERROR(VLOOKUP(DATOS!$I16832,CONFIG_ASIGNATURAS!$B$2:$J$91,9,FALSE()),""))</f>
      </c>
    </row>
    <row r="16833">
      <c r="F16833">
        <f>IF(DATOS!$A16833="","",DATOS!$A16833&amp;"|"&amp;DATOS!$D16833&amp;"|"&amp;DATOS!$E16833&amp;"|"&amp;DATOS!$I16833)</f>
      </c>
      <c r="G16833">
        <f>IF(DATOS!$A16833="",0,IF(CONFIG_METADATA!$B$4&lt;&gt;"OR+EX",--(DATOS!$G16833=CONFIG_METADATA!$B$4),IF(DATOS!$G16833="EX",1,IF(DATOS!$G16833="OR",--(COUNTIFS(nNIA,DATOS!$A16833,nCURSO,DATOS!$D16833,nESPEC,DATOS!$E16833,nASIG,DATOS!$I16833,nEVAL,"EX")=0),0))))</f>
      </c>
      <c r="H16833">
        <f>IF(DATOS!$G16833&lt;&gt;"EX",0,--(COUNTIFS(nNIA,DATOS!$A16833,nCURSO,DATOS!$D16833,nESPEC,DATOS!$E16833,nASIG,DATOS!$I16833,nEVAL,"OR")=0))</f>
      </c>
      <c r="I16833">
        <f>IF(DATOS!$I16833="","",IFERROR(VLOOKUP(DATOS!$I16833,CONFIG_ASIGNATURAS!$B$2:$J$91,9,FALSE()),""))</f>
      </c>
    </row>
    <row r="16834">
      <c r="F16834">
        <f>IF(DATOS!$A16834="","",DATOS!$A16834&amp;"|"&amp;DATOS!$D16834&amp;"|"&amp;DATOS!$E16834&amp;"|"&amp;DATOS!$I16834)</f>
      </c>
      <c r="G16834">
        <f>IF(DATOS!$A16834="",0,IF(CONFIG_METADATA!$B$4&lt;&gt;"OR+EX",--(DATOS!$G16834=CONFIG_METADATA!$B$4),IF(DATOS!$G16834="EX",1,IF(DATOS!$G16834="OR",--(COUNTIFS(nNIA,DATOS!$A16834,nCURSO,DATOS!$D16834,nESPEC,DATOS!$E16834,nASIG,DATOS!$I16834,nEVAL,"EX")=0),0))))</f>
      </c>
      <c r="H16834">
        <f>IF(DATOS!$G16834&lt;&gt;"EX",0,--(COUNTIFS(nNIA,DATOS!$A16834,nCURSO,DATOS!$D16834,nESPEC,DATOS!$E16834,nASIG,DATOS!$I16834,nEVAL,"OR")=0))</f>
      </c>
      <c r="I16834">
        <f>IF(DATOS!$I16834="","",IFERROR(VLOOKUP(DATOS!$I16834,CONFIG_ASIGNATURAS!$B$2:$J$91,9,FALSE()),""))</f>
      </c>
    </row>
    <row r="16835">
      <c r="F16835">
        <f>IF(DATOS!$A16835="","",DATOS!$A16835&amp;"|"&amp;DATOS!$D16835&amp;"|"&amp;DATOS!$E16835&amp;"|"&amp;DATOS!$I16835)</f>
      </c>
      <c r="G16835">
        <f>IF(DATOS!$A16835="",0,IF(CONFIG_METADATA!$B$4&lt;&gt;"OR+EX",--(DATOS!$G16835=CONFIG_METADATA!$B$4),IF(DATOS!$G16835="EX",1,IF(DATOS!$G16835="OR",--(COUNTIFS(nNIA,DATOS!$A16835,nCURSO,DATOS!$D16835,nESPEC,DATOS!$E16835,nASIG,DATOS!$I16835,nEVAL,"EX")=0),0))))</f>
      </c>
      <c r="H16835">
        <f>IF(DATOS!$G16835&lt;&gt;"EX",0,--(COUNTIFS(nNIA,DATOS!$A16835,nCURSO,DATOS!$D16835,nESPEC,DATOS!$E16835,nASIG,DATOS!$I16835,nEVAL,"OR")=0))</f>
      </c>
      <c r="I16835">
        <f>IF(DATOS!$I16835="","",IFERROR(VLOOKUP(DATOS!$I16835,CONFIG_ASIGNATURAS!$B$2:$J$91,9,FALSE()),""))</f>
      </c>
    </row>
    <row r="16836">
      <c r="F16836">
        <f>IF(DATOS!$A16836="","",DATOS!$A16836&amp;"|"&amp;DATOS!$D16836&amp;"|"&amp;DATOS!$E16836&amp;"|"&amp;DATOS!$I16836)</f>
      </c>
      <c r="G16836">
        <f>IF(DATOS!$A16836="",0,IF(CONFIG_METADATA!$B$4&lt;&gt;"OR+EX",--(DATOS!$G16836=CONFIG_METADATA!$B$4),IF(DATOS!$G16836="EX",1,IF(DATOS!$G16836="OR",--(COUNTIFS(nNIA,DATOS!$A16836,nCURSO,DATOS!$D16836,nESPEC,DATOS!$E16836,nASIG,DATOS!$I16836,nEVAL,"EX")=0),0))))</f>
      </c>
      <c r="H16836">
        <f>IF(DATOS!$G16836&lt;&gt;"EX",0,--(COUNTIFS(nNIA,DATOS!$A16836,nCURSO,DATOS!$D16836,nESPEC,DATOS!$E16836,nASIG,DATOS!$I16836,nEVAL,"OR")=0))</f>
      </c>
      <c r="I16836">
        <f>IF(DATOS!$I16836="","",IFERROR(VLOOKUP(DATOS!$I16836,CONFIG_ASIGNATURAS!$B$2:$J$91,9,FALSE()),""))</f>
      </c>
    </row>
    <row r="16837">
      <c r="F16837">
        <f>IF(DATOS!$A16837="","",DATOS!$A16837&amp;"|"&amp;DATOS!$D16837&amp;"|"&amp;DATOS!$E16837&amp;"|"&amp;DATOS!$I16837)</f>
      </c>
      <c r="G16837">
        <f>IF(DATOS!$A16837="",0,IF(CONFIG_METADATA!$B$4&lt;&gt;"OR+EX",--(DATOS!$G16837=CONFIG_METADATA!$B$4),IF(DATOS!$G16837="EX",1,IF(DATOS!$G16837="OR",--(COUNTIFS(nNIA,DATOS!$A16837,nCURSO,DATOS!$D16837,nESPEC,DATOS!$E16837,nASIG,DATOS!$I16837,nEVAL,"EX")=0),0))))</f>
      </c>
      <c r="H16837">
        <f>IF(DATOS!$G16837&lt;&gt;"EX",0,--(COUNTIFS(nNIA,DATOS!$A16837,nCURSO,DATOS!$D16837,nESPEC,DATOS!$E16837,nASIG,DATOS!$I16837,nEVAL,"OR")=0))</f>
      </c>
      <c r="I16837">
        <f>IF(DATOS!$I16837="","",IFERROR(VLOOKUP(DATOS!$I16837,CONFIG_ASIGNATURAS!$B$2:$J$91,9,FALSE()),""))</f>
      </c>
    </row>
    <row r="16838">
      <c r="F16838">
        <f>IF(DATOS!$A16838="","",DATOS!$A16838&amp;"|"&amp;DATOS!$D16838&amp;"|"&amp;DATOS!$E16838&amp;"|"&amp;DATOS!$I16838)</f>
      </c>
      <c r="G16838">
        <f>IF(DATOS!$A16838="",0,IF(CONFIG_METADATA!$B$4&lt;&gt;"OR+EX",--(DATOS!$G16838=CONFIG_METADATA!$B$4),IF(DATOS!$G16838="EX",1,IF(DATOS!$G16838="OR",--(COUNTIFS(nNIA,DATOS!$A16838,nCURSO,DATOS!$D16838,nESPEC,DATOS!$E16838,nASIG,DATOS!$I16838,nEVAL,"EX")=0),0))))</f>
      </c>
      <c r="H16838">
        <f>IF(DATOS!$G16838&lt;&gt;"EX",0,--(COUNTIFS(nNIA,DATOS!$A16838,nCURSO,DATOS!$D16838,nESPEC,DATOS!$E16838,nASIG,DATOS!$I16838,nEVAL,"OR")=0))</f>
      </c>
      <c r="I16838">
        <f>IF(DATOS!$I16838="","",IFERROR(VLOOKUP(DATOS!$I16838,CONFIG_ASIGNATURAS!$B$2:$J$91,9,FALSE()),""))</f>
      </c>
    </row>
    <row r="16839">
      <c r="F16839">
        <f>IF(DATOS!$A16839="","",DATOS!$A16839&amp;"|"&amp;DATOS!$D16839&amp;"|"&amp;DATOS!$E16839&amp;"|"&amp;DATOS!$I16839)</f>
      </c>
      <c r="G16839">
        <f>IF(DATOS!$A16839="",0,IF(CONFIG_METADATA!$B$4&lt;&gt;"OR+EX",--(DATOS!$G16839=CONFIG_METADATA!$B$4),IF(DATOS!$G16839="EX",1,IF(DATOS!$G16839="OR",--(COUNTIFS(nNIA,DATOS!$A16839,nCURSO,DATOS!$D16839,nESPEC,DATOS!$E16839,nASIG,DATOS!$I16839,nEVAL,"EX")=0),0))))</f>
      </c>
      <c r="H16839">
        <f>IF(DATOS!$G16839&lt;&gt;"EX",0,--(COUNTIFS(nNIA,DATOS!$A16839,nCURSO,DATOS!$D16839,nESPEC,DATOS!$E16839,nASIG,DATOS!$I16839,nEVAL,"OR")=0))</f>
      </c>
      <c r="I16839">
        <f>IF(DATOS!$I16839="","",IFERROR(VLOOKUP(DATOS!$I16839,CONFIG_ASIGNATURAS!$B$2:$J$91,9,FALSE()),""))</f>
      </c>
    </row>
    <row r="16840">
      <c r="F16840">
        <f>IF(DATOS!$A16840="","",DATOS!$A16840&amp;"|"&amp;DATOS!$D16840&amp;"|"&amp;DATOS!$E16840&amp;"|"&amp;DATOS!$I16840)</f>
      </c>
      <c r="G16840">
        <f>IF(DATOS!$A16840="",0,IF(CONFIG_METADATA!$B$4&lt;&gt;"OR+EX",--(DATOS!$G16840=CONFIG_METADATA!$B$4),IF(DATOS!$G16840="EX",1,IF(DATOS!$G16840="OR",--(COUNTIFS(nNIA,DATOS!$A16840,nCURSO,DATOS!$D16840,nESPEC,DATOS!$E16840,nASIG,DATOS!$I16840,nEVAL,"EX")=0),0))))</f>
      </c>
      <c r="H16840">
        <f>IF(DATOS!$G16840&lt;&gt;"EX",0,--(COUNTIFS(nNIA,DATOS!$A16840,nCURSO,DATOS!$D16840,nESPEC,DATOS!$E16840,nASIG,DATOS!$I16840,nEVAL,"OR")=0))</f>
      </c>
      <c r="I16840">
        <f>IF(DATOS!$I16840="","",IFERROR(VLOOKUP(DATOS!$I16840,CONFIG_ASIGNATURAS!$B$2:$J$91,9,FALSE()),""))</f>
      </c>
    </row>
    <row r="16841">
      <c r="F16841">
        <f>IF(DATOS!$A16841="","",DATOS!$A16841&amp;"|"&amp;DATOS!$D16841&amp;"|"&amp;DATOS!$E16841&amp;"|"&amp;DATOS!$I16841)</f>
      </c>
      <c r="G16841">
        <f>IF(DATOS!$A16841="",0,IF(CONFIG_METADATA!$B$4&lt;&gt;"OR+EX",--(DATOS!$G16841=CONFIG_METADATA!$B$4),IF(DATOS!$G16841="EX",1,IF(DATOS!$G16841="OR",--(COUNTIFS(nNIA,DATOS!$A16841,nCURSO,DATOS!$D16841,nESPEC,DATOS!$E16841,nASIG,DATOS!$I16841,nEVAL,"EX")=0),0))))</f>
      </c>
      <c r="H16841">
        <f>IF(DATOS!$G16841&lt;&gt;"EX",0,--(COUNTIFS(nNIA,DATOS!$A16841,nCURSO,DATOS!$D16841,nESPEC,DATOS!$E16841,nASIG,DATOS!$I16841,nEVAL,"OR")=0))</f>
      </c>
      <c r="I16841">
        <f>IF(DATOS!$I16841="","",IFERROR(VLOOKUP(DATOS!$I16841,CONFIG_ASIGNATURAS!$B$2:$J$91,9,FALSE()),""))</f>
      </c>
    </row>
    <row r="16842">
      <c r="F16842">
        <f>IF(DATOS!$A16842="","",DATOS!$A16842&amp;"|"&amp;DATOS!$D16842&amp;"|"&amp;DATOS!$E16842&amp;"|"&amp;DATOS!$I16842)</f>
      </c>
      <c r="G16842">
        <f>IF(DATOS!$A16842="",0,IF(CONFIG_METADATA!$B$4&lt;&gt;"OR+EX",--(DATOS!$G16842=CONFIG_METADATA!$B$4),IF(DATOS!$G16842="EX",1,IF(DATOS!$G16842="OR",--(COUNTIFS(nNIA,DATOS!$A16842,nCURSO,DATOS!$D16842,nESPEC,DATOS!$E16842,nASIG,DATOS!$I16842,nEVAL,"EX")=0),0))))</f>
      </c>
      <c r="H16842">
        <f>IF(DATOS!$G16842&lt;&gt;"EX",0,--(COUNTIFS(nNIA,DATOS!$A16842,nCURSO,DATOS!$D16842,nESPEC,DATOS!$E16842,nASIG,DATOS!$I16842,nEVAL,"OR")=0))</f>
      </c>
      <c r="I16842">
        <f>IF(DATOS!$I16842="","",IFERROR(VLOOKUP(DATOS!$I16842,CONFIG_ASIGNATURAS!$B$2:$J$91,9,FALSE()),""))</f>
      </c>
    </row>
    <row r="16843">
      <c r="F16843">
        <f>IF(DATOS!$A16843="","",DATOS!$A16843&amp;"|"&amp;DATOS!$D16843&amp;"|"&amp;DATOS!$E16843&amp;"|"&amp;DATOS!$I16843)</f>
      </c>
      <c r="G16843">
        <f>IF(DATOS!$A16843="",0,IF(CONFIG_METADATA!$B$4&lt;&gt;"OR+EX",--(DATOS!$G16843=CONFIG_METADATA!$B$4),IF(DATOS!$G16843="EX",1,IF(DATOS!$G16843="OR",--(COUNTIFS(nNIA,DATOS!$A16843,nCURSO,DATOS!$D16843,nESPEC,DATOS!$E16843,nASIG,DATOS!$I16843,nEVAL,"EX")=0),0))))</f>
      </c>
      <c r="H16843">
        <f>IF(DATOS!$G16843&lt;&gt;"EX",0,--(COUNTIFS(nNIA,DATOS!$A16843,nCURSO,DATOS!$D16843,nESPEC,DATOS!$E16843,nASIG,DATOS!$I16843,nEVAL,"OR")=0))</f>
      </c>
      <c r="I16843">
        <f>IF(DATOS!$I16843="","",IFERROR(VLOOKUP(DATOS!$I16843,CONFIG_ASIGNATURAS!$B$2:$J$91,9,FALSE()),""))</f>
      </c>
    </row>
    <row r="16844">
      <c r="F16844">
        <f>IF(DATOS!$A16844="","",DATOS!$A16844&amp;"|"&amp;DATOS!$D16844&amp;"|"&amp;DATOS!$E16844&amp;"|"&amp;DATOS!$I16844)</f>
      </c>
      <c r="G16844">
        <f>IF(DATOS!$A16844="",0,IF(CONFIG_METADATA!$B$4&lt;&gt;"OR+EX",--(DATOS!$G16844=CONFIG_METADATA!$B$4),IF(DATOS!$G16844="EX",1,IF(DATOS!$G16844="OR",--(COUNTIFS(nNIA,DATOS!$A16844,nCURSO,DATOS!$D16844,nESPEC,DATOS!$E16844,nASIG,DATOS!$I16844,nEVAL,"EX")=0),0))))</f>
      </c>
      <c r="H16844">
        <f>IF(DATOS!$G16844&lt;&gt;"EX",0,--(COUNTIFS(nNIA,DATOS!$A16844,nCURSO,DATOS!$D16844,nESPEC,DATOS!$E16844,nASIG,DATOS!$I16844,nEVAL,"OR")=0))</f>
      </c>
      <c r="I16844">
        <f>IF(DATOS!$I16844="","",IFERROR(VLOOKUP(DATOS!$I16844,CONFIG_ASIGNATURAS!$B$2:$J$91,9,FALSE()),""))</f>
      </c>
    </row>
    <row r="16845">
      <c r="F16845">
        <f>IF(DATOS!$A16845="","",DATOS!$A16845&amp;"|"&amp;DATOS!$D16845&amp;"|"&amp;DATOS!$E16845&amp;"|"&amp;DATOS!$I16845)</f>
      </c>
      <c r="G16845">
        <f>IF(DATOS!$A16845="",0,IF(CONFIG_METADATA!$B$4&lt;&gt;"OR+EX",--(DATOS!$G16845=CONFIG_METADATA!$B$4),IF(DATOS!$G16845="EX",1,IF(DATOS!$G16845="OR",--(COUNTIFS(nNIA,DATOS!$A16845,nCURSO,DATOS!$D16845,nESPEC,DATOS!$E16845,nASIG,DATOS!$I16845,nEVAL,"EX")=0),0))))</f>
      </c>
      <c r="H16845">
        <f>IF(DATOS!$G16845&lt;&gt;"EX",0,--(COUNTIFS(nNIA,DATOS!$A16845,nCURSO,DATOS!$D16845,nESPEC,DATOS!$E16845,nASIG,DATOS!$I16845,nEVAL,"OR")=0))</f>
      </c>
      <c r="I16845">
        <f>IF(DATOS!$I16845="","",IFERROR(VLOOKUP(DATOS!$I16845,CONFIG_ASIGNATURAS!$B$2:$J$91,9,FALSE()),""))</f>
      </c>
    </row>
    <row r="16846">
      <c r="F16846">
        <f>IF(DATOS!$A16846="","",DATOS!$A16846&amp;"|"&amp;DATOS!$D16846&amp;"|"&amp;DATOS!$E16846&amp;"|"&amp;DATOS!$I16846)</f>
      </c>
      <c r="G16846">
        <f>IF(DATOS!$A16846="",0,IF(CONFIG_METADATA!$B$4&lt;&gt;"OR+EX",--(DATOS!$G16846=CONFIG_METADATA!$B$4),IF(DATOS!$G16846="EX",1,IF(DATOS!$G16846="OR",--(COUNTIFS(nNIA,DATOS!$A16846,nCURSO,DATOS!$D16846,nESPEC,DATOS!$E16846,nASIG,DATOS!$I16846,nEVAL,"EX")=0),0))))</f>
      </c>
      <c r="H16846">
        <f>IF(DATOS!$G16846&lt;&gt;"EX",0,--(COUNTIFS(nNIA,DATOS!$A16846,nCURSO,DATOS!$D16846,nESPEC,DATOS!$E16846,nASIG,DATOS!$I16846,nEVAL,"OR")=0))</f>
      </c>
      <c r="I16846">
        <f>IF(DATOS!$I16846="","",IFERROR(VLOOKUP(DATOS!$I16846,CONFIG_ASIGNATURAS!$B$2:$J$91,9,FALSE()),""))</f>
      </c>
    </row>
    <row r="16847">
      <c r="F16847">
        <f>IF(DATOS!$A16847="","",DATOS!$A16847&amp;"|"&amp;DATOS!$D16847&amp;"|"&amp;DATOS!$E16847&amp;"|"&amp;DATOS!$I16847)</f>
      </c>
      <c r="G16847">
        <f>IF(DATOS!$A16847="",0,IF(CONFIG_METADATA!$B$4&lt;&gt;"OR+EX",--(DATOS!$G16847=CONFIG_METADATA!$B$4),IF(DATOS!$G16847="EX",1,IF(DATOS!$G16847="OR",--(COUNTIFS(nNIA,DATOS!$A16847,nCURSO,DATOS!$D16847,nESPEC,DATOS!$E16847,nASIG,DATOS!$I16847,nEVAL,"EX")=0),0))))</f>
      </c>
      <c r="H16847">
        <f>IF(DATOS!$G16847&lt;&gt;"EX",0,--(COUNTIFS(nNIA,DATOS!$A16847,nCURSO,DATOS!$D16847,nESPEC,DATOS!$E16847,nASIG,DATOS!$I16847,nEVAL,"OR")=0))</f>
      </c>
      <c r="I16847">
        <f>IF(DATOS!$I16847="","",IFERROR(VLOOKUP(DATOS!$I16847,CONFIG_ASIGNATURAS!$B$2:$J$91,9,FALSE()),""))</f>
      </c>
    </row>
    <row r="16848">
      <c r="F16848">
        <f>IF(DATOS!$A16848="","",DATOS!$A16848&amp;"|"&amp;DATOS!$D16848&amp;"|"&amp;DATOS!$E16848&amp;"|"&amp;DATOS!$I16848)</f>
      </c>
      <c r="G16848">
        <f>IF(DATOS!$A16848="",0,IF(CONFIG_METADATA!$B$4&lt;&gt;"OR+EX",--(DATOS!$G16848=CONFIG_METADATA!$B$4),IF(DATOS!$G16848="EX",1,IF(DATOS!$G16848="OR",--(COUNTIFS(nNIA,DATOS!$A16848,nCURSO,DATOS!$D16848,nESPEC,DATOS!$E16848,nASIG,DATOS!$I16848,nEVAL,"EX")=0),0))))</f>
      </c>
      <c r="H16848">
        <f>IF(DATOS!$G16848&lt;&gt;"EX",0,--(COUNTIFS(nNIA,DATOS!$A16848,nCURSO,DATOS!$D16848,nESPEC,DATOS!$E16848,nASIG,DATOS!$I16848,nEVAL,"OR")=0))</f>
      </c>
      <c r="I16848">
        <f>IF(DATOS!$I16848="","",IFERROR(VLOOKUP(DATOS!$I16848,CONFIG_ASIGNATURAS!$B$2:$J$91,9,FALSE()),""))</f>
      </c>
    </row>
    <row r="16849">
      <c r="F16849">
        <f>IF(DATOS!$A16849="","",DATOS!$A16849&amp;"|"&amp;DATOS!$D16849&amp;"|"&amp;DATOS!$E16849&amp;"|"&amp;DATOS!$I16849)</f>
      </c>
      <c r="G16849">
        <f>IF(DATOS!$A16849="",0,IF(CONFIG_METADATA!$B$4&lt;&gt;"OR+EX",--(DATOS!$G16849=CONFIG_METADATA!$B$4),IF(DATOS!$G16849="EX",1,IF(DATOS!$G16849="OR",--(COUNTIFS(nNIA,DATOS!$A16849,nCURSO,DATOS!$D16849,nESPEC,DATOS!$E16849,nASIG,DATOS!$I16849,nEVAL,"EX")=0),0))))</f>
      </c>
      <c r="H16849">
        <f>IF(DATOS!$G16849&lt;&gt;"EX",0,--(COUNTIFS(nNIA,DATOS!$A16849,nCURSO,DATOS!$D16849,nESPEC,DATOS!$E16849,nASIG,DATOS!$I16849,nEVAL,"OR")=0))</f>
      </c>
      <c r="I16849">
        <f>IF(DATOS!$I16849="","",IFERROR(VLOOKUP(DATOS!$I16849,CONFIG_ASIGNATURAS!$B$2:$J$91,9,FALSE()),""))</f>
      </c>
    </row>
    <row r="16850">
      <c r="F16850">
        <f>IF(DATOS!$A16850="","",DATOS!$A16850&amp;"|"&amp;DATOS!$D16850&amp;"|"&amp;DATOS!$E16850&amp;"|"&amp;DATOS!$I16850)</f>
      </c>
      <c r="G16850">
        <f>IF(DATOS!$A16850="",0,IF(CONFIG_METADATA!$B$4&lt;&gt;"OR+EX",--(DATOS!$G16850=CONFIG_METADATA!$B$4),IF(DATOS!$G16850="EX",1,IF(DATOS!$G16850="OR",--(COUNTIFS(nNIA,DATOS!$A16850,nCURSO,DATOS!$D16850,nESPEC,DATOS!$E16850,nASIG,DATOS!$I16850,nEVAL,"EX")=0),0))))</f>
      </c>
      <c r="H16850">
        <f>IF(DATOS!$G16850&lt;&gt;"EX",0,--(COUNTIFS(nNIA,DATOS!$A16850,nCURSO,DATOS!$D16850,nESPEC,DATOS!$E16850,nASIG,DATOS!$I16850,nEVAL,"OR")=0))</f>
      </c>
      <c r="I16850">
        <f>IF(DATOS!$I16850="","",IFERROR(VLOOKUP(DATOS!$I16850,CONFIG_ASIGNATURAS!$B$2:$J$91,9,FALSE()),""))</f>
      </c>
    </row>
    <row r="16851">
      <c r="F16851">
        <f>IF(DATOS!$A16851="","",DATOS!$A16851&amp;"|"&amp;DATOS!$D16851&amp;"|"&amp;DATOS!$E16851&amp;"|"&amp;DATOS!$I16851)</f>
      </c>
      <c r="G16851">
        <f>IF(DATOS!$A16851="",0,IF(CONFIG_METADATA!$B$4&lt;&gt;"OR+EX",--(DATOS!$G16851=CONFIG_METADATA!$B$4),IF(DATOS!$G16851="EX",1,IF(DATOS!$G16851="OR",--(COUNTIFS(nNIA,DATOS!$A16851,nCURSO,DATOS!$D16851,nESPEC,DATOS!$E16851,nASIG,DATOS!$I16851,nEVAL,"EX")=0),0))))</f>
      </c>
      <c r="H16851">
        <f>IF(DATOS!$G16851&lt;&gt;"EX",0,--(COUNTIFS(nNIA,DATOS!$A16851,nCURSO,DATOS!$D16851,nESPEC,DATOS!$E16851,nASIG,DATOS!$I16851,nEVAL,"OR")=0))</f>
      </c>
      <c r="I16851">
        <f>IF(DATOS!$I16851="","",IFERROR(VLOOKUP(DATOS!$I16851,CONFIG_ASIGNATURAS!$B$2:$J$91,9,FALSE()),""))</f>
      </c>
    </row>
    <row r="16852">
      <c r="F16852">
        <f>IF(DATOS!$A16852="","",DATOS!$A16852&amp;"|"&amp;DATOS!$D16852&amp;"|"&amp;DATOS!$E16852&amp;"|"&amp;DATOS!$I16852)</f>
      </c>
      <c r="G16852">
        <f>IF(DATOS!$A16852="",0,IF(CONFIG_METADATA!$B$4&lt;&gt;"OR+EX",--(DATOS!$G16852=CONFIG_METADATA!$B$4),IF(DATOS!$G16852="EX",1,IF(DATOS!$G16852="OR",--(COUNTIFS(nNIA,DATOS!$A16852,nCURSO,DATOS!$D16852,nESPEC,DATOS!$E16852,nASIG,DATOS!$I16852,nEVAL,"EX")=0),0))))</f>
      </c>
      <c r="H16852">
        <f>IF(DATOS!$G16852&lt;&gt;"EX",0,--(COUNTIFS(nNIA,DATOS!$A16852,nCURSO,DATOS!$D16852,nESPEC,DATOS!$E16852,nASIG,DATOS!$I16852,nEVAL,"OR")=0))</f>
      </c>
      <c r="I16852">
        <f>IF(DATOS!$I16852="","",IFERROR(VLOOKUP(DATOS!$I16852,CONFIG_ASIGNATURAS!$B$2:$J$91,9,FALSE()),""))</f>
      </c>
    </row>
    <row r="16853">
      <c r="F16853">
        <f>IF(DATOS!$A16853="","",DATOS!$A16853&amp;"|"&amp;DATOS!$D16853&amp;"|"&amp;DATOS!$E16853&amp;"|"&amp;DATOS!$I16853)</f>
      </c>
      <c r="G16853">
        <f>IF(DATOS!$A16853="",0,IF(CONFIG_METADATA!$B$4&lt;&gt;"OR+EX",--(DATOS!$G16853=CONFIG_METADATA!$B$4),IF(DATOS!$G16853="EX",1,IF(DATOS!$G16853="OR",--(COUNTIFS(nNIA,DATOS!$A16853,nCURSO,DATOS!$D16853,nESPEC,DATOS!$E16853,nASIG,DATOS!$I16853,nEVAL,"EX")=0),0))))</f>
      </c>
      <c r="H16853">
        <f>IF(DATOS!$G16853&lt;&gt;"EX",0,--(COUNTIFS(nNIA,DATOS!$A16853,nCURSO,DATOS!$D16853,nESPEC,DATOS!$E16853,nASIG,DATOS!$I16853,nEVAL,"OR")=0))</f>
      </c>
      <c r="I16853">
        <f>IF(DATOS!$I16853="","",IFERROR(VLOOKUP(DATOS!$I16853,CONFIG_ASIGNATURAS!$B$2:$J$91,9,FALSE()),""))</f>
      </c>
    </row>
    <row r="16854">
      <c r="F16854">
        <f>IF(DATOS!$A16854="","",DATOS!$A16854&amp;"|"&amp;DATOS!$D16854&amp;"|"&amp;DATOS!$E16854&amp;"|"&amp;DATOS!$I16854)</f>
      </c>
      <c r="G16854">
        <f>IF(DATOS!$A16854="",0,IF(CONFIG_METADATA!$B$4&lt;&gt;"OR+EX",--(DATOS!$G16854=CONFIG_METADATA!$B$4),IF(DATOS!$G16854="EX",1,IF(DATOS!$G16854="OR",--(COUNTIFS(nNIA,DATOS!$A16854,nCURSO,DATOS!$D16854,nESPEC,DATOS!$E16854,nASIG,DATOS!$I16854,nEVAL,"EX")=0),0))))</f>
      </c>
      <c r="H16854">
        <f>IF(DATOS!$G16854&lt;&gt;"EX",0,--(COUNTIFS(nNIA,DATOS!$A16854,nCURSO,DATOS!$D16854,nESPEC,DATOS!$E16854,nASIG,DATOS!$I16854,nEVAL,"OR")=0))</f>
      </c>
      <c r="I16854">
        <f>IF(DATOS!$I16854="","",IFERROR(VLOOKUP(DATOS!$I16854,CONFIG_ASIGNATURAS!$B$2:$J$91,9,FALSE()),""))</f>
      </c>
    </row>
    <row r="16855">
      <c r="F16855">
        <f>IF(DATOS!$A16855="","",DATOS!$A16855&amp;"|"&amp;DATOS!$D16855&amp;"|"&amp;DATOS!$E16855&amp;"|"&amp;DATOS!$I16855)</f>
      </c>
      <c r="G16855">
        <f>IF(DATOS!$A16855="",0,IF(CONFIG_METADATA!$B$4&lt;&gt;"OR+EX",--(DATOS!$G16855=CONFIG_METADATA!$B$4),IF(DATOS!$G16855="EX",1,IF(DATOS!$G16855="OR",--(COUNTIFS(nNIA,DATOS!$A16855,nCURSO,DATOS!$D16855,nESPEC,DATOS!$E16855,nASIG,DATOS!$I16855,nEVAL,"EX")=0),0))))</f>
      </c>
      <c r="H16855">
        <f>IF(DATOS!$G16855&lt;&gt;"EX",0,--(COUNTIFS(nNIA,DATOS!$A16855,nCURSO,DATOS!$D16855,nESPEC,DATOS!$E16855,nASIG,DATOS!$I16855,nEVAL,"OR")=0))</f>
      </c>
      <c r="I16855">
        <f>IF(DATOS!$I16855="","",IFERROR(VLOOKUP(DATOS!$I16855,CONFIG_ASIGNATURAS!$B$2:$J$91,9,FALSE()),""))</f>
      </c>
    </row>
    <row r="16856">
      <c r="F16856">
        <f>IF(DATOS!$A16856="","",DATOS!$A16856&amp;"|"&amp;DATOS!$D16856&amp;"|"&amp;DATOS!$E16856&amp;"|"&amp;DATOS!$I16856)</f>
      </c>
      <c r="G16856">
        <f>IF(DATOS!$A16856="",0,IF(CONFIG_METADATA!$B$4&lt;&gt;"OR+EX",--(DATOS!$G16856=CONFIG_METADATA!$B$4),IF(DATOS!$G16856="EX",1,IF(DATOS!$G16856="OR",--(COUNTIFS(nNIA,DATOS!$A16856,nCURSO,DATOS!$D16856,nESPEC,DATOS!$E16856,nASIG,DATOS!$I16856,nEVAL,"EX")=0),0))))</f>
      </c>
      <c r="H16856">
        <f>IF(DATOS!$G16856&lt;&gt;"EX",0,--(COUNTIFS(nNIA,DATOS!$A16856,nCURSO,DATOS!$D16856,nESPEC,DATOS!$E16856,nASIG,DATOS!$I16856,nEVAL,"OR")=0))</f>
      </c>
      <c r="I16856">
        <f>IF(DATOS!$I16856="","",IFERROR(VLOOKUP(DATOS!$I16856,CONFIG_ASIGNATURAS!$B$2:$J$91,9,FALSE()),""))</f>
      </c>
    </row>
    <row r="16857">
      <c r="F16857">
        <f>IF(DATOS!$A16857="","",DATOS!$A16857&amp;"|"&amp;DATOS!$D16857&amp;"|"&amp;DATOS!$E16857&amp;"|"&amp;DATOS!$I16857)</f>
      </c>
      <c r="G16857">
        <f>IF(DATOS!$A16857="",0,IF(CONFIG_METADATA!$B$4&lt;&gt;"OR+EX",--(DATOS!$G16857=CONFIG_METADATA!$B$4),IF(DATOS!$G16857="EX",1,IF(DATOS!$G16857="OR",--(COUNTIFS(nNIA,DATOS!$A16857,nCURSO,DATOS!$D16857,nESPEC,DATOS!$E16857,nASIG,DATOS!$I16857,nEVAL,"EX")=0),0))))</f>
      </c>
      <c r="H16857">
        <f>IF(DATOS!$G16857&lt;&gt;"EX",0,--(COUNTIFS(nNIA,DATOS!$A16857,nCURSO,DATOS!$D16857,nESPEC,DATOS!$E16857,nASIG,DATOS!$I16857,nEVAL,"OR")=0))</f>
      </c>
      <c r="I16857">
        <f>IF(DATOS!$I16857="","",IFERROR(VLOOKUP(DATOS!$I16857,CONFIG_ASIGNATURAS!$B$2:$J$91,9,FALSE()),""))</f>
      </c>
    </row>
    <row r="16858">
      <c r="F16858">
        <f>IF(DATOS!$A16858="","",DATOS!$A16858&amp;"|"&amp;DATOS!$D16858&amp;"|"&amp;DATOS!$E16858&amp;"|"&amp;DATOS!$I16858)</f>
      </c>
      <c r="G16858">
        <f>IF(DATOS!$A16858="",0,IF(CONFIG_METADATA!$B$4&lt;&gt;"OR+EX",--(DATOS!$G16858=CONFIG_METADATA!$B$4),IF(DATOS!$G16858="EX",1,IF(DATOS!$G16858="OR",--(COUNTIFS(nNIA,DATOS!$A16858,nCURSO,DATOS!$D16858,nESPEC,DATOS!$E16858,nASIG,DATOS!$I16858,nEVAL,"EX")=0),0))))</f>
      </c>
      <c r="H16858">
        <f>IF(DATOS!$G16858&lt;&gt;"EX",0,--(COUNTIFS(nNIA,DATOS!$A16858,nCURSO,DATOS!$D16858,nESPEC,DATOS!$E16858,nASIG,DATOS!$I16858,nEVAL,"OR")=0))</f>
      </c>
      <c r="I16858">
        <f>IF(DATOS!$I16858="","",IFERROR(VLOOKUP(DATOS!$I16858,CONFIG_ASIGNATURAS!$B$2:$J$91,9,FALSE()),""))</f>
      </c>
    </row>
    <row r="16859">
      <c r="F16859">
        <f>IF(DATOS!$A16859="","",DATOS!$A16859&amp;"|"&amp;DATOS!$D16859&amp;"|"&amp;DATOS!$E16859&amp;"|"&amp;DATOS!$I16859)</f>
      </c>
      <c r="G16859">
        <f>IF(DATOS!$A16859="",0,IF(CONFIG_METADATA!$B$4&lt;&gt;"OR+EX",--(DATOS!$G16859=CONFIG_METADATA!$B$4),IF(DATOS!$G16859="EX",1,IF(DATOS!$G16859="OR",--(COUNTIFS(nNIA,DATOS!$A16859,nCURSO,DATOS!$D16859,nESPEC,DATOS!$E16859,nASIG,DATOS!$I16859,nEVAL,"EX")=0),0))))</f>
      </c>
      <c r="H16859">
        <f>IF(DATOS!$G16859&lt;&gt;"EX",0,--(COUNTIFS(nNIA,DATOS!$A16859,nCURSO,DATOS!$D16859,nESPEC,DATOS!$E16859,nASIG,DATOS!$I16859,nEVAL,"OR")=0))</f>
      </c>
      <c r="I16859">
        <f>IF(DATOS!$I16859="","",IFERROR(VLOOKUP(DATOS!$I16859,CONFIG_ASIGNATURAS!$B$2:$J$91,9,FALSE()),""))</f>
      </c>
    </row>
    <row r="16860">
      <c r="F16860">
        <f>IF(DATOS!$A16860="","",DATOS!$A16860&amp;"|"&amp;DATOS!$D16860&amp;"|"&amp;DATOS!$E16860&amp;"|"&amp;DATOS!$I16860)</f>
      </c>
      <c r="G16860">
        <f>IF(DATOS!$A16860="",0,IF(CONFIG_METADATA!$B$4&lt;&gt;"OR+EX",--(DATOS!$G16860=CONFIG_METADATA!$B$4),IF(DATOS!$G16860="EX",1,IF(DATOS!$G16860="OR",--(COUNTIFS(nNIA,DATOS!$A16860,nCURSO,DATOS!$D16860,nESPEC,DATOS!$E16860,nASIG,DATOS!$I16860,nEVAL,"EX")=0),0))))</f>
      </c>
      <c r="H16860">
        <f>IF(DATOS!$G16860&lt;&gt;"EX",0,--(COUNTIFS(nNIA,DATOS!$A16860,nCURSO,DATOS!$D16860,nESPEC,DATOS!$E16860,nASIG,DATOS!$I16860,nEVAL,"OR")=0))</f>
      </c>
      <c r="I16860">
        <f>IF(DATOS!$I16860="","",IFERROR(VLOOKUP(DATOS!$I16860,CONFIG_ASIGNATURAS!$B$2:$J$91,9,FALSE()),""))</f>
      </c>
    </row>
    <row r="16861">
      <c r="F16861">
        <f>IF(DATOS!$A16861="","",DATOS!$A16861&amp;"|"&amp;DATOS!$D16861&amp;"|"&amp;DATOS!$E16861&amp;"|"&amp;DATOS!$I16861)</f>
      </c>
      <c r="G16861">
        <f>IF(DATOS!$A16861="",0,IF(CONFIG_METADATA!$B$4&lt;&gt;"OR+EX",--(DATOS!$G16861=CONFIG_METADATA!$B$4),IF(DATOS!$G16861="EX",1,IF(DATOS!$G16861="OR",--(COUNTIFS(nNIA,DATOS!$A16861,nCURSO,DATOS!$D16861,nESPEC,DATOS!$E16861,nASIG,DATOS!$I16861,nEVAL,"EX")=0),0))))</f>
      </c>
      <c r="H16861">
        <f>IF(DATOS!$G16861&lt;&gt;"EX",0,--(COUNTIFS(nNIA,DATOS!$A16861,nCURSO,DATOS!$D16861,nESPEC,DATOS!$E16861,nASIG,DATOS!$I16861,nEVAL,"OR")=0))</f>
      </c>
      <c r="I16861">
        <f>IF(DATOS!$I16861="","",IFERROR(VLOOKUP(DATOS!$I16861,CONFIG_ASIGNATURAS!$B$2:$J$91,9,FALSE()),""))</f>
      </c>
    </row>
    <row r="16862">
      <c r="F16862">
        <f>IF(DATOS!$A16862="","",DATOS!$A16862&amp;"|"&amp;DATOS!$D16862&amp;"|"&amp;DATOS!$E16862&amp;"|"&amp;DATOS!$I16862)</f>
      </c>
      <c r="G16862">
        <f>IF(DATOS!$A16862="",0,IF(CONFIG_METADATA!$B$4&lt;&gt;"OR+EX",--(DATOS!$G16862=CONFIG_METADATA!$B$4),IF(DATOS!$G16862="EX",1,IF(DATOS!$G16862="OR",--(COUNTIFS(nNIA,DATOS!$A16862,nCURSO,DATOS!$D16862,nESPEC,DATOS!$E16862,nASIG,DATOS!$I16862,nEVAL,"EX")=0),0))))</f>
      </c>
      <c r="H16862">
        <f>IF(DATOS!$G16862&lt;&gt;"EX",0,--(COUNTIFS(nNIA,DATOS!$A16862,nCURSO,DATOS!$D16862,nESPEC,DATOS!$E16862,nASIG,DATOS!$I16862,nEVAL,"OR")=0))</f>
      </c>
      <c r="I16862">
        <f>IF(DATOS!$I16862="","",IFERROR(VLOOKUP(DATOS!$I16862,CONFIG_ASIGNATURAS!$B$2:$J$91,9,FALSE()),""))</f>
      </c>
    </row>
    <row r="16863">
      <c r="F16863">
        <f>IF(DATOS!$A16863="","",DATOS!$A16863&amp;"|"&amp;DATOS!$D16863&amp;"|"&amp;DATOS!$E16863&amp;"|"&amp;DATOS!$I16863)</f>
      </c>
      <c r="G16863">
        <f>IF(DATOS!$A16863="",0,IF(CONFIG_METADATA!$B$4&lt;&gt;"OR+EX",--(DATOS!$G16863=CONFIG_METADATA!$B$4),IF(DATOS!$G16863="EX",1,IF(DATOS!$G16863="OR",--(COUNTIFS(nNIA,DATOS!$A16863,nCURSO,DATOS!$D16863,nESPEC,DATOS!$E16863,nASIG,DATOS!$I16863,nEVAL,"EX")=0),0))))</f>
      </c>
      <c r="H16863">
        <f>IF(DATOS!$G16863&lt;&gt;"EX",0,--(COUNTIFS(nNIA,DATOS!$A16863,nCURSO,DATOS!$D16863,nESPEC,DATOS!$E16863,nASIG,DATOS!$I16863,nEVAL,"OR")=0))</f>
      </c>
      <c r="I16863">
        <f>IF(DATOS!$I16863="","",IFERROR(VLOOKUP(DATOS!$I16863,CONFIG_ASIGNATURAS!$B$2:$J$91,9,FALSE()),""))</f>
      </c>
    </row>
    <row r="16864">
      <c r="F16864">
        <f>IF(DATOS!$A16864="","",DATOS!$A16864&amp;"|"&amp;DATOS!$D16864&amp;"|"&amp;DATOS!$E16864&amp;"|"&amp;DATOS!$I16864)</f>
      </c>
      <c r="G16864">
        <f>IF(DATOS!$A16864="",0,IF(CONFIG_METADATA!$B$4&lt;&gt;"OR+EX",--(DATOS!$G16864=CONFIG_METADATA!$B$4),IF(DATOS!$G16864="EX",1,IF(DATOS!$G16864="OR",--(COUNTIFS(nNIA,DATOS!$A16864,nCURSO,DATOS!$D16864,nESPEC,DATOS!$E16864,nASIG,DATOS!$I16864,nEVAL,"EX")=0),0))))</f>
      </c>
      <c r="H16864">
        <f>IF(DATOS!$G16864&lt;&gt;"EX",0,--(COUNTIFS(nNIA,DATOS!$A16864,nCURSO,DATOS!$D16864,nESPEC,DATOS!$E16864,nASIG,DATOS!$I16864,nEVAL,"OR")=0))</f>
      </c>
      <c r="I16864">
        <f>IF(DATOS!$I16864="","",IFERROR(VLOOKUP(DATOS!$I16864,CONFIG_ASIGNATURAS!$B$2:$J$91,9,FALSE()),""))</f>
      </c>
    </row>
    <row r="16865">
      <c r="F16865">
        <f>IF(DATOS!$A16865="","",DATOS!$A16865&amp;"|"&amp;DATOS!$D16865&amp;"|"&amp;DATOS!$E16865&amp;"|"&amp;DATOS!$I16865)</f>
      </c>
      <c r="G16865">
        <f>IF(DATOS!$A16865="",0,IF(CONFIG_METADATA!$B$4&lt;&gt;"OR+EX",--(DATOS!$G16865=CONFIG_METADATA!$B$4),IF(DATOS!$G16865="EX",1,IF(DATOS!$G16865="OR",--(COUNTIFS(nNIA,DATOS!$A16865,nCURSO,DATOS!$D16865,nESPEC,DATOS!$E16865,nASIG,DATOS!$I16865,nEVAL,"EX")=0),0))))</f>
      </c>
      <c r="H16865">
        <f>IF(DATOS!$G16865&lt;&gt;"EX",0,--(COUNTIFS(nNIA,DATOS!$A16865,nCURSO,DATOS!$D16865,nESPEC,DATOS!$E16865,nASIG,DATOS!$I16865,nEVAL,"OR")=0))</f>
      </c>
      <c r="I16865">
        <f>IF(DATOS!$I16865="","",IFERROR(VLOOKUP(DATOS!$I16865,CONFIG_ASIGNATURAS!$B$2:$J$91,9,FALSE()),""))</f>
      </c>
    </row>
    <row r="16866">
      <c r="F16866">
        <f>IF(DATOS!$A16866="","",DATOS!$A16866&amp;"|"&amp;DATOS!$D16866&amp;"|"&amp;DATOS!$E16866&amp;"|"&amp;DATOS!$I16866)</f>
      </c>
      <c r="G16866">
        <f>IF(DATOS!$A16866="",0,IF(CONFIG_METADATA!$B$4&lt;&gt;"OR+EX",--(DATOS!$G16866=CONFIG_METADATA!$B$4),IF(DATOS!$G16866="EX",1,IF(DATOS!$G16866="OR",--(COUNTIFS(nNIA,DATOS!$A16866,nCURSO,DATOS!$D16866,nESPEC,DATOS!$E16866,nASIG,DATOS!$I16866,nEVAL,"EX")=0),0))))</f>
      </c>
      <c r="H16866">
        <f>IF(DATOS!$G16866&lt;&gt;"EX",0,--(COUNTIFS(nNIA,DATOS!$A16866,nCURSO,DATOS!$D16866,nESPEC,DATOS!$E16866,nASIG,DATOS!$I16866,nEVAL,"OR")=0))</f>
      </c>
      <c r="I16866">
        <f>IF(DATOS!$I16866="","",IFERROR(VLOOKUP(DATOS!$I16866,CONFIG_ASIGNATURAS!$B$2:$J$91,9,FALSE()),""))</f>
      </c>
    </row>
    <row r="16867">
      <c r="F16867">
        <f>IF(DATOS!$A16867="","",DATOS!$A16867&amp;"|"&amp;DATOS!$D16867&amp;"|"&amp;DATOS!$E16867&amp;"|"&amp;DATOS!$I16867)</f>
      </c>
      <c r="G16867">
        <f>IF(DATOS!$A16867="",0,IF(CONFIG_METADATA!$B$4&lt;&gt;"OR+EX",--(DATOS!$G16867=CONFIG_METADATA!$B$4),IF(DATOS!$G16867="EX",1,IF(DATOS!$G16867="OR",--(COUNTIFS(nNIA,DATOS!$A16867,nCURSO,DATOS!$D16867,nESPEC,DATOS!$E16867,nASIG,DATOS!$I16867,nEVAL,"EX")=0),0))))</f>
      </c>
      <c r="H16867">
        <f>IF(DATOS!$G16867&lt;&gt;"EX",0,--(COUNTIFS(nNIA,DATOS!$A16867,nCURSO,DATOS!$D16867,nESPEC,DATOS!$E16867,nASIG,DATOS!$I16867,nEVAL,"OR")=0))</f>
      </c>
      <c r="I16867">
        <f>IF(DATOS!$I16867="","",IFERROR(VLOOKUP(DATOS!$I16867,CONFIG_ASIGNATURAS!$B$2:$J$91,9,FALSE()),""))</f>
      </c>
    </row>
    <row r="16868">
      <c r="F16868">
        <f>IF(DATOS!$A16868="","",DATOS!$A16868&amp;"|"&amp;DATOS!$D16868&amp;"|"&amp;DATOS!$E16868&amp;"|"&amp;DATOS!$I16868)</f>
      </c>
      <c r="G16868">
        <f>IF(DATOS!$A16868="",0,IF(CONFIG_METADATA!$B$4&lt;&gt;"OR+EX",--(DATOS!$G16868=CONFIG_METADATA!$B$4),IF(DATOS!$G16868="EX",1,IF(DATOS!$G16868="OR",--(COUNTIFS(nNIA,DATOS!$A16868,nCURSO,DATOS!$D16868,nESPEC,DATOS!$E16868,nASIG,DATOS!$I16868,nEVAL,"EX")=0),0))))</f>
      </c>
      <c r="H16868">
        <f>IF(DATOS!$G16868&lt;&gt;"EX",0,--(COUNTIFS(nNIA,DATOS!$A16868,nCURSO,DATOS!$D16868,nESPEC,DATOS!$E16868,nASIG,DATOS!$I16868,nEVAL,"OR")=0))</f>
      </c>
      <c r="I16868">
        <f>IF(DATOS!$I16868="","",IFERROR(VLOOKUP(DATOS!$I16868,CONFIG_ASIGNATURAS!$B$2:$J$91,9,FALSE()),""))</f>
      </c>
    </row>
    <row r="16869">
      <c r="F16869">
        <f>IF(DATOS!$A16869="","",DATOS!$A16869&amp;"|"&amp;DATOS!$D16869&amp;"|"&amp;DATOS!$E16869&amp;"|"&amp;DATOS!$I16869)</f>
      </c>
      <c r="G16869">
        <f>IF(DATOS!$A16869="",0,IF(CONFIG_METADATA!$B$4&lt;&gt;"OR+EX",--(DATOS!$G16869=CONFIG_METADATA!$B$4),IF(DATOS!$G16869="EX",1,IF(DATOS!$G16869="OR",--(COUNTIFS(nNIA,DATOS!$A16869,nCURSO,DATOS!$D16869,nESPEC,DATOS!$E16869,nASIG,DATOS!$I16869,nEVAL,"EX")=0),0))))</f>
      </c>
      <c r="H16869">
        <f>IF(DATOS!$G16869&lt;&gt;"EX",0,--(COUNTIFS(nNIA,DATOS!$A16869,nCURSO,DATOS!$D16869,nESPEC,DATOS!$E16869,nASIG,DATOS!$I16869,nEVAL,"OR")=0))</f>
      </c>
      <c r="I16869">
        <f>IF(DATOS!$I16869="","",IFERROR(VLOOKUP(DATOS!$I16869,CONFIG_ASIGNATURAS!$B$2:$J$91,9,FALSE()),""))</f>
      </c>
    </row>
    <row r="16870">
      <c r="F16870">
        <f>IF(DATOS!$A16870="","",DATOS!$A16870&amp;"|"&amp;DATOS!$D16870&amp;"|"&amp;DATOS!$E16870&amp;"|"&amp;DATOS!$I16870)</f>
      </c>
      <c r="G16870">
        <f>IF(DATOS!$A16870="",0,IF(CONFIG_METADATA!$B$4&lt;&gt;"OR+EX",--(DATOS!$G16870=CONFIG_METADATA!$B$4),IF(DATOS!$G16870="EX",1,IF(DATOS!$G16870="OR",--(COUNTIFS(nNIA,DATOS!$A16870,nCURSO,DATOS!$D16870,nESPEC,DATOS!$E16870,nASIG,DATOS!$I16870,nEVAL,"EX")=0),0))))</f>
      </c>
      <c r="H16870">
        <f>IF(DATOS!$G16870&lt;&gt;"EX",0,--(COUNTIFS(nNIA,DATOS!$A16870,nCURSO,DATOS!$D16870,nESPEC,DATOS!$E16870,nASIG,DATOS!$I16870,nEVAL,"OR")=0))</f>
      </c>
      <c r="I16870">
        <f>IF(DATOS!$I16870="","",IFERROR(VLOOKUP(DATOS!$I16870,CONFIG_ASIGNATURAS!$B$2:$J$91,9,FALSE()),""))</f>
      </c>
    </row>
    <row r="16871">
      <c r="F16871">
        <f>IF(DATOS!$A16871="","",DATOS!$A16871&amp;"|"&amp;DATOS!$D16871&amp;"|"&amp;DATOS!$E16871&amp;"|"&amp;DATOS!$I16871)</f>
      </c>
      <c r="G16871">
        <f>IF(DATOS!$A16871="",0,IF(CONFIG_METADATA!$B$4&lt;&gt;"OR+EX",--(DATOS!$G16871=CONFIG_METADATA!$B$4),IF(DATOS!$G16871="EX",1,IF(DATOS!$G16871="OR",--(COUNTIFS(nNIA,DATOS!$A16871,nCURSO,DATOS!$D16871,nESPEC,DATOS!$E16871,nASIG,DATOS!$I16871,nEVAL,"EX")=0),0))))</f>
      </c>
      <c r="H16871">
        <f>IF(DATOS!$G16871&lt;&gt;"EX",0,--(COUNTIFS(nNIA,DATOS!$A16871,nCURSO,DATOS!$D16871,nESPEC,DATOS!$E16871,nASIG,DATOS!$I16871,nEVAL,"OR")=0))</f>
      </c>
      <c r="I16871">
        <f>IF(DATOS!$I16871="","",IFERROR(VLOOKUP(DATOS!$I16871,CONFIG_ASIGNATURAS!$B$2:$J$91,9,FALSE()),""))</f>
      </c>
    </row>
    <row r="16872">
      <c r="F16872">
        <f>IF(DATOS!$A16872="","",DATOS!$A16872&amp;"|"&amp;DATOS!$D16872&amp;"|"&amp;DATOS!$E16872&amp;"|"&amp;DATOS!$I16872)</f>
      </c>
      <c r="G16872">
        <f>IF(DATOS!$A16872="",0,IF(CONFIG_METADATA!$B$4&lt;&gt;"OR+EX",--(DATOS!$G16872=CONFIG_METADATA!$B$4),IF(DATOS!$G16872="EX",1,IF(DATOS!$G16872="OR",--(COUNTIFS(nNIA,DATOS!$A16872,nCURSO,DATOS!$D16872,nESPEC,DATOS!$E16872,nASIG,DATOS!$I16872,nEVAL,"EX")=0),0))))</f>
      </c>
      <c r="H16872">
        <f>IF(DATOS!$G16872&lt;&gt;"EX",0,--(COUNTIFS(nNIA,DATOS!$A16872,nCURSO,DATOS!$D16872,nESPEC,DATOS!$E16872,nASIG,DATOS!$I16872,nEVAL,"OR")=0))</f>
      </c>
      <c r="I16872">
        <f>IF(DATOS!$I16872="","",IFERROR(VLOOKUP(DATOS!$I16872,CONFIG_ASIGNATURAS!$B$2:$J$91,9,FALSE()),""))</f>
      </c>
    </row>
    <row r="16873">
      <c r="F16873">
        <f>IF(DATOS!$A16873="","",DATOS!$A16873&amp;"|"&amp;DATOS!$D16873&amp;"|"&amp;DATOS!$E16873&amp;"|"&amp;DATOS!$I16873)</f>
      </c>
      <c r="G16873">
        <f>IF(DATOS!$A16873="",0,IF(CONFIG_METADATA!$B$4&lt;&gt;"OR+EX",--(DATOS!$G16873=CONFIG_METADATA!$B$4),IF(DATOS!$G16873="EX",1,IF(DATOS!$G16873="OR",--(COUNTIFS(nNIA,DATOS!$A16873,nCURSO,DATOS!$D16873,nESPEC,DATOS!$E16873,nASIG,DATOS!$I16873,nEVAL,"EX")=0),0))))</f>
      </c>
      <c r="H16873">
        <f>IF(DATOS!$G16873&lt;&gt;"EX",0,--(COUNTIFS(nNIA,DATOS!$A16873,nCURSO,DATOS!$D16873,nESPEC,DATOS!$E16873,nASIG,DATOS!$I16873,nEVAL,"OR")=0))</f>
      </c>
      <c r="I16873">
        <f>IF(DATOS!$I16873="","",IFERROR(VLOOKUP(DATOS!$I16873,CONFIG_ASIGNATURAS!$B$2:$J$91,9,FALSE()),""))</f>
      </c>
    </row>
    <row r="16874">
      <c r="F16874">
        <f>IF(DATOS!$A16874="","",DATOS!$A16874&amp;"|"&amp;DATOS!$D16874&amp;"|"&amp;DATOS!$E16874&amp;"|"&amp;DATOS!$I16874)</f>
      </c>
      <c r="G16874">
        <f>IF(DATOS!$A16874="",0,IF(CONFIG_METADATA!$B$4&lt;&gt;"OR+EX",--(DATOS!$G16874=CONFIG_METADATA!$B$4),IF(DATOS!$G16874="EX",1,IF(DATOS!$G16874="OR",--(COUNTIFS(nNIA,DATOS!$A16874,nCURSO,DATOS!$D16874,nESPEC,DATOS!$E16874,nASIG,DATOS!$I16874,nEVAL,"EX")=0),0))))</f>
      </c>
      <c r="H16874">
        <f>IF(DATOS!$G16874&lt;&gt;"EX",0,--(COUNTIFS(nNIA,DATOS!$A16874,nCURSO,DATOS!$D16874,nESPEC,DATOS!$E16874,nASIG,DATOS!$I16874,nEVAL,"OR")=0))</f>
      </c>
      <c r="I16874">
        <f>IF(DATOS!$I16874="","",IFERROR(VLOOKUP(DATOS!$I16874,CONFIG_ASIGNATURAS!$B$2:$J$91,9,FALSE()),""))</f>
      </c>
    </row>
    <row r="16875">
      <c r="F16875">
        <f>IF(DATOS!$A16875="","",DATOS!$A16875&amp;"|"&amp;DATOS!$D16875&amp;"|"&amp;DATOS!$E16875&amp;"|"&amp;DATOS!$I16875)</f>
      </c>
      <c r="G16875">
        <f>IF(DATOS!$A16875="",0,IF(CONFIG_METADATA!$B$4&lt;&gt;"OR+EX",--(DATOS!$G16875=CONFIG_METADATA!$B$4),IF(DATOS!$G16875="EX",1,IF(DATOS!$G16875="OR",--(COUNTIFS(nNIA,DATOS!$A16875,nCURSO,DATOS!$D16875,nESPEC,DATOS!$E16875,nASIG,DATOS!$I16875,nEVAL,"EX")=0),0))))</f>
      </c>
      <c r="H16875">
        <f>IF(DATOS!$G16875&lt;&gt;"EX",0,--(COUNTIFS(nNIA,DATOS!$A16875,nCURSO,DATOS!$D16875,nESPEC,DATOS!$E16875,nASIG,DATOS!$I16875,nEVAL,"OR")=0))</f>
      </c>
      <c r="I16875">
        <f>IF(DATOS!$I16875="","",IFERROR(VLOOKUP(DATOS!$I16875,CONFIG_ASIGNATURAS!$B$2:$J$91,9,FALSE()),""))</f>
      </c>
    </row>
    <row r="16876">
      <c r="F16876">
        <f>IF(DATOS!$A16876="","",DATOS!$A16876&amp;"|"&amp;DATOS!$D16876&amp;"|"&amp;DATOS!$E16876&amp;"|"&amp;DATOS!$I16876)</f>
      </c>
      <c r="G16876">
        <f>IF(DATOS!$A16876="",0,IF(CONFIG_METADATA!$B$4&lt;&gt;"OR+EX",--(DATOS!$G16876=CONFIG_METADATA!$B$4),IF(DATOS!$G16876="EX",1,IF(DATOS!$G16876="OR",--(COUNTIFS(nNIA,DATOS!$A16876,nCURSO,DATOS!$D16876,nESPEC,DATOS!$E16876,nASIG,DATOS!$I16876,nEVAL,"EX")=0),0))))</f>
      </c>
      <c r="H16876">
        <f>IF(DATOS!$G16876&lt;&gt;"EX",0,--(COUNTIFS(nNIA,DATOS!$A16876,nCURSO,DATOS!$D16876,nESPEC,DATOS!$E16876,nASIG,DATOS!$I16876,nEVAL,"OR")=0))</f>
      </c>
      <c r="I16876">
        <f>IF(DATOS!$I16876="","",IFERROR(VLOOKUP(DATOS!$I16876,CONFIG_ASIGNATURAS!$B$2:$J$91,9,FALSE()),""))</f>
      </c>
    </row>
    <row r="16877">
      <c r="F16877">
        <f>IF(DATOS!$A16877="","",DATOS!$A16877&amp;"|"&amp;DATOS!$D16877&amp;"|"&amp;DATOS!$E16877&amp;"|"&amp;DATOS!$I16877)</f>
      </c>
      <c r="G16877">
        <f>IF(DATOS!$A16877="",0,IF(CONFIG_METADATA!$B$4&lt;&gt;"OR+EX",--(DATOS!$G16877=CONFIG_METADATA!$B$4),IF(DATOS!$G16877="EX",1,IF(DATOS!$G16877="OR",--(COUNTIFS(nNIA,DATOS!$A16877,nCURSO,DATOS!$D16877,nESPEC,DATOS!$E16877,nASIG,DATOS!$I16877,nEVAL,"EX")=0),0))))</f>
      </c>
      <c r="H16877">
        <f>IF(DATOS!$G16877&lt;&gt;"EX",0,--(COUNTIFS(nNIA,DATOS!$A16877,nCURSO,DATOS!$D16877,nESPEC,DATOS!$E16877,nASIG,DATOS!$I16877,nEVAL,"OR")=0))</f>
      </c>
      <c r="I16877">
        <f>IF(DATOS!$I16877="","",IFERROR(VLOOKUP(DATOS!$I16877,CONFIG_ASIGNATURAS!$B$2:$J$91,9,FALSE()),""))</f>
      </c>
    </row>
    <row r="16878">
      <c r="F16878">
        <f>IF(DATOS!$A16878="","",DATOS!$A16878&amp;"|"&amp;DATOS!$D16878&amp;"|"&amp;DATOS!$E16878&amp;"|"&amp;DATOS!$I16878)</f>
      </c>
      <c r="G16878">
        <f>IF(DATOS!$A16878="",0,IF(CONFIG_METADATA!$B$4&lt;&gt;"OR+EX",--(DATOS!$G16878=CONFIG_METADATA!$B$4),IF(DATOS!$G16878="EX",1,IF(DATOS!$G16878="OR",--(COUNTIFS(nNIA,DATOS!$A16878,nCURSO,DATOS!$D16878,nESPEC,DATOS!$E16878,nASIG,DATOS!$I16878,nEVAL,"EX")=0),0))))</f>
      </c>
      <c r="H16878">
        <f>IF(DATOS!$G16878&lt;&gt;"EX",0,--(COUNTIFS(nNIA,DATOS!$A16878,nCURSO,DATOS!$D16878,nESPEC,DATOS!$E16878,nASIG,DATOS!$I16878,nEVAL,"OR")=0))</f>
      </c>
      <c r="I16878">
        <f>IF(DATOS!$I16878="","",IFERROR(VLOOKUP(DATOS!$I16878,CONFIG_ASIGNATURAS!$B$2:$J$91,9,FALSE()),""))</f>
      </c>
    </row>
    <row r="16879">
      <c r="F16879">
        <f>IF(DATOS!$A16879="","",DATOS!$A16879&amp;"|"&amp;DATOS!$D16879&amp;"|"&amp;DATOS!$E16879&amp;"|"&amp;DATOS!$I16879)</f>
      </c>
      <c r="G16879">
        <f>IF(DATOS!$A16879="",0,IF(CONFIG_METADATA!$B$4&lt;&gt;"OR+EX",--(DATOS!$G16879=CONFIG_METADATA!$B$4),IF(DATOS!$G16879="EX",1,IF(DATOS!$G16879="OR",--(COUNTIFS(nNIA,DATOS!$A16879,nCURSO,DATOS!$D16879,nESPEC,DATOS!$E16879,nASIG,DATOS!$I16879,nEVAL,"EX")=0),0))))</f>
      </c>
      <c r="H16879">
        <f>IF(DATOS!$G16879&lt;&gt;"EX",0,--(COUNTIFS(nNIA,DATOS!$A16879,nCURSO,DATOS!$D16879,nESPEC,DATOS!$E16879,nASIG,DATOS!$I16879,nEVAL,"OR")=0))</f>
      </c>
      <c r="I16879">
        <f>IF(DATOS!$I16879="","",IFERROR(VLOOKUP(DATOS!$I16879,CONFIG_ASIGNATURAS!$B$2:$J$91,9,FALSE()),""))</f>
      </c>
    </row>
    <row r="16880">
      <c r="F16880">
        <f>IF(DATOS!$A16880="","",DATOS!$A16880&amp;"|"&amp;DATOS!$D16880&amp;"|"&amp;DATOS!$E16880&amp;"|"&amp;DATOS!$I16880)</f>
      </c>
      <c r="G16880">
        <f>IF(DATOS!$A16880="",0,IF(CONFIG_METADATA!$B$4&lt;&gt;"OR+EX",--(DATOS!$G16880=CONFIG_METADATA!$B$4),IF(DATOS!$G16880="EX",1,IF(DATOS!$G16880="OR",--(COUNTIFS(nNIA,DATOS!$A16880,nCURSO,DATOS!$D16880,nESPEC,DATOS!$E16880,nASIG,DATOS!$I16880,nEVAL,"EX")=0),0))))</f>
      </c>
      <c r="H16880">
        <f>IF(DATOS!$G16880&lt;&gt;"EX",0,--(COUNTIFS(nNIA,DATOS!$A16880,nCURSO,DATOS!$D16880,nESPEC,DATOS!$E16880,nASIG,DATOS!$I16880,nEVAL,"OR")=0))</f>
      </c>
      <c r="I16880">
        <f>IF(DATOS!$I16880="","",IFERROR(VLOOKUP(DATOS!$I16880,CONFIG_ASIGNATURAS!$B$2:$J$91,9,FALSE()),""))</f>
      </c>
    </row>
    <row r="16881">
      <c r="F16881">
        <f>IF(DATOS!$A16881="","",DATOS!$A16881&amp;"|"&amp;DATOS!$D16881&amp;"|"&amp;DATOS!$E16881&amp;"|"&amp;DATOS!$I16881)</f>
      </c>
      <c r="G16881">
        <f>IF(DATOS!$A16881="",0,IF(CONFIG_METADATA!$B$4&lt;&gt;"OR+EX",--(DATOS!$G16881=CONFIG_METADATA!$B$4),IF(DATOS!$G16881="EX",1,IF(DATOS!$G16881="OR",--(COUNTIFS(nNIA,DATOS!$A16881,nCURSO,DATOS!$D16881,nESPEC,DATOS!$E16881,nASIG,DATOS!$I16881,nEVAL,"EX")=0),0))))</f>
      </c>
      <c r="H16881">
        <f>IF(DATOS!$G16881&lt;&gt;"EX",0,--(COUNTIFS(nNIA,DATOS!$A16881,nCURSO,DATOS!$D16881,nESPEC,DATOS!$E16881,nASIG,DATOS!$I16881,nEVAL,"OR")=0))</f>
      </c>
      <c r="I16881">
        <f>IF(DATOS!$I16881="","",IFERROR(VLOOKUP(DATOS!$I16881,CONFIG_ASIGNATURAS!$B$2:$J$91,9,FALSE()),""))</f>
      </c>
    </row>
    <row r="16882">
      <c r="F16882">
        <f>IF(DATOS!$A16882="","",DATOS!$A16882&amp;"|"&amp;DATOS!$D16882&amp;"|"&amp;DATOS!$E16882&amp;"|"&amp;DATOS!$I16882)</f>
      </c>
      <c r="G16882">
        <f>IF(DATOS!$A16882="",0,IF(CONFIG_METADATA!$B$4&lt;&gt;"OR+EX",--(DATOS!$G16882=CONFIG_METADATA!$B$4),IF(DATOS!$G16882="EX",1,IF(DATOS!$G16882="OR",--(COUNTIFS(nNIA,DATOS!$A16882,nCURSO,DATOS!$D16882,nESPEC,DATOS!$E16882,nASIG,DATOS!$I16882,nEVAL,"EX")=0),0))))</f>
      </c>
      <c r="H16882">
        <f>IF(DATOS!$G16882&lt;&gt;"EX",0,--(COUNTIFS(nNIA,DATOS!$A16882,nCURSO,DATOS!$D16882,nESPEC,DATOS!$E16882,nASIG,DATOS!$I16882,nEVAL,"OR")=0))</f>
      </c>
      <c r="I16882">
        <f>IF(DATOS!$I16882="","",IFERROR(VLOOKUP(DATOS!$I16882,CONFIG_ASIGNATURAS!$B$2:$J$91,9,FALSE()),""))</f>
      </c>
    </row>
    <row r="16883">
      <c r="F16883">
        <f>IF(DATOS!$A16883="","",DATOS!$A16883&amp;"|"&amp;DATOS!$D16883&amp;"|"&amp;DATOS!$E16883&amp;"|"&amp;DATOS!$I16883)</f>
      </c>
      <c r="G16883">
        <f>IF(DATOS!$A16883="",0,IF(CONFIG_METADATA!$B$4&lt;&gt;"OR+EX",--(DATOS!$G16883=CONFIG_METADATA!$B$4),IF(DATOS!$G16883="EX",1,IF(DATOS!$G16883="OR",--(COUNTIFS(nNIA,DATOS!$A16883,nCURSO,DATOS!$D16883,nESPEC,DATOS!$E16883,nASIG,DATOS!$I16883,nEVAL,"EX")=0),0))))</f>
      </c>
      <c r="H16883">
        <f>IF(DATOS!$G16883&lt;&gt;"EX",0,--(COUNTIFS(nNIA,DATOS!$A16883,nCURSO,DATOS!$D16883,nESPEC,DATOS!$E16883,nASIG,DATOS!$I16883,nEVAL,"OR")=0))</f>
      </c>
      <c r="I16883">
        <f>IF(DATOS!$I16883="","",IFERROR(VLOOKUP(DATOS!$I16883,CONFIG_ASIGNATURAS!$B$2:$J$91,9,FALSE()),""))</f>
      </c>
    </row>
    <row r="16884">
      <c r="F16884">
        <f>IF(DATOS!$A16884="","",DATOS!$A16884&amp;"|"&amp;DATOS!$D16884&amp;"|"&amp;DATOS!$E16884&amp;"|"&amp;DATOS!$I16884)</f>
      </c>
      <c r="G16884">
        <f>IF(DATOS!$A16884="",0,IF(CONFIG_METADATA!$B$4&lt;&gt;"OR+EX",--(DATOS!$G16884=CONFIG_METADATA!$B$4),IF(DATOS!$G16884="EX",1,IF(DATOS!$G16884="OR",--(COUNTIFS(nNIA,DATOS!$A16884,nCURSO,DATOS!$D16884,nESPEC,DATOS!$E16884,nASIG,DATOS!$I16884,nEVAL,"EX")=0),0))))</f>
      </c>
      <c r="H16884">
        <f>IF(DATOS!$G16884&lt;&gt;"EX",0,--(COUNTIFS(nNIA,DATOS!$A16884,nCURSO,DATOS!$D16884,nESPEC,DATOS!$E16884,nASIG,DATOS!$I16884,nEVAL,"OR")=0))</f>
      </c>
      <c r="I16884">
        <f>IF(DATOS!$I16884="","",IFERROR(VLOOKUP(DATOS!$I16884,CONFIG_ASIGNATURAS!$B$2:$J$91,9,FALSE()),""))</f>
      </c>
    </row>
    <row r="16885">
      <c r="F16885">
        <f>IF(DATOS!$A16885="","",DATOS!$A16885&amp;"|"&amp;DATOS!$D16885&amp;"|"&amp;DATOS!$E16885&amp;"|"&amp;DATOS!$I16885)</f>
      </c>
      <c r="G16885">
        <f>IF(DATOS!$A16885="",0,IF(CONFIG_METADATA!$B$4&lt;&gt;"OR+EX",--(DATOS!$G16885=CONFIG_METADATA!$B$4),IF(DATOS!$G16885="EX",1,IF(DATOS!$G16885="OR",--(COUNTIFS(nNIA,DATOS!$A16885,nCURSO,DATOS!$D16885,nESPEC,DATOS!$E16885,nASIG,DATOS!$I16885,nEVAL,"EX")=0),0))))</f>
      </c>
      <c r="H16885">
        <f>IF(DATOS!$G16885&lt;&gt;"EX",0,--(COUNTIFS(nNIA,DATOS!$A16885,nCURSO,DATOS!$D16885,nESPEC,DATOS!$E16885,nASIG,DATOS!$I16885,nEVAL,"OR")=0))</f>
      </c>
      <c r="I16885">
        <f>IF(DATOS!$I16885="","",IFERROR(VLOOKUP(DATOS!$I16885,CONFIG_ASIGNATURAS!$B$2:$J$91,9,FALSE()),""))</f>
      </c>
    </row>
    <row r="16886">
      <c r="F16886">
        <f>IF(DATOS!$A16886="","",DATOS!$A16886&amp;"|"&amp;DATOS!$D16886&amp;"|"&amp;DATOS!$E16886&amp;"|"&amp;DATOS!$I16886)</f>
      </c>
      <c r="G16886">
        <f>IF(DATOS!$A16886="",0,IF(CONFIG_METADATA!$B$4&lt;&gt;"OR+EX",--(DATOS!$G16886=CONFIG_METADATA!$B$4),IF(DATOS!$G16886="EX",1,IF(DATOS!$G16886="OR",--(COUNTIFS(nNIA,DATOS!$A16886,nCURSO,DATOS!$D16886,nESPEC,DATOS!$E16886,nASIG,DATOS!$I16886,nEVAL,"EX")=0),0))))</f>
      </c>
      <c r="H16886">
        <f>IF(DATOS!$G16886&lt;&gt;"EX",0,--(COUNTIFS(nNIA,DATOS!$A16886,nCURSO,DATOS!$D16886,nESPEC,DATOS!$E16886,nASIG,DATOS!$I16886,nEVAL,"OR")=0))</f>
      </c>
      <c r="I16886">
        <f>IF(DATOS!$I16886="","",IFERROR(VLOOKUP(DATOS!$I16886,CONFIG_ASIGNATURAS!$B$2:$J$91,9,FALSE()),""))</f>
      </c>
    </row>
    <row r="16887">
      <c r="F16887">
        <f>IF(DATOS!$A16887="","",DATOS!$A16887&amp;"|"&amp;DATOS!$D16887&amp;"|"&amp;DATOS!$E16887&amp;"|"&amp;DATOS!$I16887)</f>
      </c>
      <c r="G16887">
        <f>IF(DATOS!$A16887="",0,IF(CONFIG_METADATA!$B$4&lt;&gt;"OR+EX",--(DATOS!$G16887=CONFIG_METADATA!$B$4),IF(DATOS!$G16887="EX",1,IF(DATOS!$G16887="OR",--(COUNTIFS(nNIA,DATOS!$A16887,nCURSO,DATOS!$D16887,nESPEC,DATOS!$E16887,nASIG,DATOS!$I16887,nEVAL,"EX")=0),0))))</f>
      </c>
      <c r="H16887">
        <f>IF(DATOS!$G16887&lt;&gt;"EX",0,--(COUNTIFS(nNIA,DATOS!$A16887,nCURSO,DATOS!$D16887,nESPEC,DATOS!$E16887,nASIG,DATOS!$I16887,nEVAL,"OR")=0))</f>
      </c>
      <c r="I16887">
        <f>IF(DATOS!$I16887="","",IFERROR(VLOOKUP(DATOS!$I16887,CONFIG_ASIGNATURAS!$B$2:$J$91,9,FALSE()),""))</f>
      </c>
    </row>
    <row r="16888">
      <c r="F16888">
        <f>IF(DATOS!$A16888="","",DATOS!$A16888&amp;"|"&amp;DATOS!$D16888&amp;"|"&amp;DATOS!$E16888&amp;"|"&amp;DATOS!$I16888)</f>
      </c>
      <c r="G16888">
        <f>IF(DATOS!$A16888="",0,IF(CONFIG_METADATA!$B$4&lt;&gt;"OR+EX",--(DATOS!$G16888=CONFIG_METADATA!$B$4),IF(DATOS!$G16888="EX",1,IF(DATOS!$G16888="OR",--(COUNTIFS(nNIA,DATOS!$A16888,nCURSO,DATOS!$D16888,nESPEC,DATOS!$E16888,nASIG,DATOS!$I16888,nEVAL,"EX")=0),0))))</f>
      </c>
      <c r="H16888">
        <f>IF(DATOS!$G16888&lt;&gt;"EX",0,--(COUNTIFS(nNIA,DATOS!$A16888,nCURSO,DATOS!$D16888,nESPEC,DATOS!$E16888,nASIG,DATOS!$I16888,nEVAL,"OR")=0))</f>
      </c>
      <c r="I16888">
        <f>IF(DATOS!$I16888="","",IFERROR(VLOOKUP(DATOS!$I16888,CONFIG_ASIGNATURAS!$B$2:$J$91,9,FALSE()),""))</f>
      </c>
    </row>
    <row r="16889">
      <c r="F16889">
        <f>IF(DATOS!$A16889="","",DATOS!$A16889&amp;"|"&amp;DATOS!$D16889&amp;"|"&amp;DATOS!$E16889&amp;"|"&amp;DATOS!$I16889)</f>
      </c>
      <c r="G16889">
        <f>IF(DATOS!$A16889="",0,IF(CONFIG_METADATA!$B$4&lt;&gt;"OR+EX",--(DATOS!$G16889=CONFIG_METADATA!$B$4),IF(DATOS!$G16889="EX",1,IF(DATOS!$G16889="OR",--(COUNTIFS(nNIA,DATOS!$A16889,nCURSO,DATOS!$D16889,nESPEC,DATOS!$E16889,nASIG,DATOS!$I16889,nEVAL,"EX")=0),0))))</f>
      </c>
      <c r="H16889">
        <f>IF(DATOS!$G16889&lt;&gt;"EX",0,--(COUNTIFS(nNIA,DATOS!$A16889,nCURSO,DATOS!$D16889,nESPEC,DATOS!$E16889,nASIG,DATOS!$I16889,nEVAL,"OR")=0))</f>
      </c>
      <c r="I16889">
        <f>IF(DATOS!$I16889="","",IFERROR(VLOOKUP(DATOS!$I16889,CONFIG_ASIGNATURAS!$B$2:$J$91,9,FALSE()),""))</f>
      </c>
    </row>
    <row r="16890">
      <c r="F16890">
        <f>IF(DATOS!$A16890="","",DATOS!$A16890&amp;"|"&amp;DATOS!$D16890&amp;"|"&amp;DATOS!$E16890&amp;"|"&amp;DATOS!$I16890)</f>
      </c>
      <c r="G16890">
        <f>IF(DATOS!$A16890="",0,IF(CONFIG_METADATA!$B$4&lt;&gt;"OR+EX",--(DATOS!$G16890=CONFIG_METADATA!$B$4),IF(DATOS!$G16890="EX",1,IF(DATOS!$G16890="OR",--(COUNTIFS(nNIA,DATOS!$A16890,nCURSO,DATOS!$D16890,nESPEC,DATOS!$E16890,nASIG,DATOS!$I16890,nEVAL,"EX")=0),0))))</f>
      </c>
      <c r="H16890">
        <f>IF(DATOS!$G16890&lt;&gt;"EX",0,--(COUNTIFS(nNIA,DATOS!$A16890,nCURSO,DATOS!$D16890,nESPEC,DATOS!$E16890,nASIG,DATOS!$I16890,nEVAL,"OR")=0))</f>
      </c>
      <c r="I16890">
        <f>IF(DATOS!$I16890="","",IFERROR(VLOOKUP(DATOS!$I16890,CONFIG_ASIGNATURAS!$B$2:$J$91,9,FALSE()),""))</f>
      </c>
    </row>
    <row r="16891">
      <c r="F16891">
        <f>IF(DATOS!$A16891="","",DATOS!$A16891&amp;"|"&amp;DATOS!$D16891&amp;"|"&amp;DATOS!$E16891&amp;"|"&amp;DATOS!$I16891)</f>
      </c>
      <c r="G16891">
        <f>IF(DATOS!$A16891="",0,IF(CONFIG_METADATA!$B$4&lt;&gt;"OR+EX",--(DATOS!$G16891=CONFIG_METADATA!$B$4),IF(DATOS!$G16891="EX",1,IF(DATOS!$G16891="OR",--(COUNTIFS(nNIA,DATOS!$A16891,nCURSO,DATOS!$D16891,nESPEC,DATOS!$E16891,nASIG,DATOS!$I16891,nEVAL,"EX")=0),0))))</f>
      </c>
      <c r="H16891">
        <f>IF(DATOS!$G16891&lt;&gt;"EX",0,--(COUNTIFS(nNIA,DATOS!$A16891,nCURSO,DATOS!$D16891,nESPEC,DATOS!$E16891,nASIG,DATOS!$I16891,nEVAL,"OR")=0))</f>
      </c>
      <c r="I16891">
        <f>IF(DATOS!$I16891="","",IFERROR(VLOOKUP(DATOS!$I16891,CONFIG_ASIGNATURAS!$B$2:$J$91,9,FALSE()),""))</f>
      </c>
    </row>
    <row r="16892">
      <c r="F16892">
        <f>IF(DATOS!$A16892="","",DATOS!$A16892&amp;"|"&amp;DATOS!$D16892&amp;"|"&amp;DATOS!$E16892&amp;"|"&amp;DATOS!$I16892)</f>
      </c>
      <c r="G16892">
        <f>IF(DATOS!$A16892="",0,IF(CONFIG_METADATA!$B$4&lt;&gt;"OR+EX",--(DATOS!$G16892=CONFIG_METADATA!$B$4),IF(DATOS!$G16892="EX",1,IF(DATOS!$G16892="OR",--(COUNTIFS(nNIA,DATOS!$A16892,nCURSO,DATOS!$D16892,nESPEC,DATOS!$E16892,nASIG,DATOS!$I16892,nEVAL,"EX")=0),0))))</f>
      </c>
      <c r="H16892">
        <f>IF(DATOS!$G16892&lt;&gt;"EX",0,--(COUNTIFS(nNIA,DATOS!$A16892,nCURSO,DATOS!$D16892,nESPEC,DATOS!$E16892,nASIG,DATOS!$I16892,nEVAL,"OR")=0))</f>
      </c>
      <c r="I16892">
        <f>IF(DATOS!$I16892="","",IFERROR(VLOOKUP(DATOS!$I16892,CONFIG_ASIGNATURAS!$B$2:$J$91,9,FALSE()),""))</f>
      </c>
    </row>
    <row r="16893">
      <c r="F16893">
        <f>IF(DATOS!$A16893="","",DATOS!$A16893&amp;"|"&amp;DATOS!$D16893&amp;"|"&amp;DATOS!$E16893&amp;"|"&amp;DATOS!$I16893)</f>
      </c>
      <c r="G16893">
        <f>IF(DATOS!$A16893="",0,IF(CONFIG_METADATA!$B$4&lt;&gt;"OR+EX",--(DATOS!$G16893=CONFIG_METADATA!$B$4),IF(DATOS!$G16893="EX",1,IF(DATOS!$G16893="OR",--(COUNTIFS(nNIA,DATOS!$A16893,nCURSO,DATOS!$D16893,nESPEC,DATOS!$E16893,nASIG,DATOS!$I16893,nEVAL,"EX")=0),0))))</f>
      </c>
      <c r="H16893">
        <f>IF(DATOS!$G16893&lt;&gt;"EX",0,--(COUNTIFS(nNIA,DATOS!$A16893,nCURSO,DATOS!$D16893,nESPEC,DATOS!$E16893,nASIG,DATOS!$I16893,nEVAL,"OR")=0))</f>
      </c>
      <c r="I16893">
        <f>IF(DATOS!$I16893="","",IFERROR(VLOOKUP(DATOS!$I16893,CONFIG_ASIGNATURAS!$B$2:$J$91,9,FALSE()),""))</f>
      </c>
    </row>
    <row r="16894">
      <c r="F16894">
        <f>IF(DATOS!$A16894="","",DATOS!$A16894&amp;"|"&amp;DATOS!$D16894&amp;"|"&amp;DATOS!$E16894&amp;"|"&amp;DATOS!$I16894)</f>
      </c>
      <c r="G16894">
        <f>IF(DATOS!$A16894="",0,IF(CONFIG_METADATA!$B$4&lt;&gt;"OR+EX",--(DATOS!$G16894=CONFIG_METADATA!$B$4),IF(DATOS!$G16894="EX",1,IF(DATOS!$G16894="OR",--(COUNTIFS(nNIA,DATOS!$A16894,nCURSO,DATOS!$D16894,nESPEC,DATOS!$E16894,nASIG,DATOS!$I16894,nEVAL,"EX")=0),0))))</f>
      </c>
      <c r="H16894">
        <f>IF(DATOS!$G16894&lt;&gt;"EX",0,--(COUNTIFS(nNIA,DATOS!$A16894,nCURSO,DATOS!$D16894,nESPEC,DATOS!$E16894,nASIG,DATOS!$I16894,nEVAL,"OR")=0))</f>
      </c>
      <c r="I16894">
        <f>IF(DATOS!$I16894="","",IFERROR(VLOOKUP(DATOS!$I16894,CONFIG_ASIGNATURAS!$B$2:$J$91,9,FALSE()),""))</f>
      </c>
    </row>
    <row r="16895">
      <c r="F16895">
        <f>IF(DATOS!$A16895="","",DATOS!$A16895&amp;"|"&amp;DATOS!$D16895&amp;"|"&amp;DATOS!$E16895&amp;"|"&amp;DATOS!$I16895)</f>
      </c>
      <c r="G16895">
        <f>IF(DATOS!$A16895="",0,IF(CONFIG_METADATA!$B$4&lt;&gt;"OR+EX",--(DATOS!$G16895=CONFIG_METADATA!$B$4),IF(DATOS!$G16895="EX",1,IF(DATOS!$G16895="OR",--(COUNTIFS(nNIA,DATOS!$A16895,nCURSO,DATOS!$D16895,nESPEC,DATOS!$E16895,nASIG,DATOS!$I16895,nEVAL,"EX")=0),0))))</f>
      </c>
      <c r="H16895">
        <f>IF(DATOS!$G16895&lt;&gt;"EX",0,--(COUNTIFS(nNIA,DATOS!$A16895,nCURSO,DATOS!$D16895,nESPEC,DATOS!$E16895,nASIG,DATOS!$I16895,nEVAL,"OR")=0))</f>
      </c>
      <c r="I16895">
        <f>IF(DATOS!$I16895="","",IFERROR(VLOOKUP(DATOS!$I16895,CONFIG_ASIGNATURAS!$B$2:$J$91,9,FALSE()),""))</f>
      </c>
    </row>
    <row r="16896">
      <c r="F16896">
        <f>IF(DATOS!$A16896="","",DATOS!$A16896&amp;"|"&amp;DATOS!$D16896&amp;"|"&amp;DATOS!$E16896&amp;"|"&amp;DATOS!$I16896)</f>
      </c>
      <c r="G16896">
        <f>IF(DATOS!$A16896="",0,IF(CONFIG_METADATA!$B$4&lt;&gt;"OR+EX",--(DATOS!$G16896=CONFIG_METADATA!$B$4),IF(DATOS!$G16896="EX",1,IF(DATOS!$G16896="OR",--(COUNTIFS(nNIA,DATOS!$A16896,nCURSO,DATOS!$D16896,nESPEC,DATOS!$E16896,nASIG,DATOS!$I16896,nEVAL,"EX")=0),0))))</f>
      </c>
      <c r="H16896">
        <f>IF(DATOS!$G16896&lt;&gt;"EX",0,--(COUNTIFS(nNIA,DATOS!$A16896,nCURSO,DATOS!$D16896,nESPEC,DATOS!$E16896,nASIG,DATOS!$I16896,nEVAL,"OR")=0))</f>
      </c>
      <c r="I16896">
        <f>IF(DATOS!$I16896="","",IFERROR(VLOOKUP(DATOS!$I16896,CONFIG_ASIGNATURAS!$B$2:$J$91,9,FALSE()),""))</f>
      </c>
    </row>
    <row r="16897">
      <c r="F16897">
        <f>IF(DATOS!$A16897="","",DATOS!$A16897&amp;"|"&amp;DATOS!$D16897&amp;"|"&amp;DATOS!$E16897&amp;"|"&amp;DATOS!$I16897)</f>
      </c>
      <c r="G16897">
        <f>IF(DATOS!$A16897="",0,IF(CONFIG_METADATA!$B$4&lt;&gt;"OR+EX",--(DATOS!$G16897=CONFIG_METADATA!$B$4),IF(DATOS!$G16897="EX",1,IF(DATOS!$G16897="OR",--(COUNTIFS(nNIA,DATOS!$A16897,nCURSO,DATOS!$D16897,nESPEC,DATOS!$E16897,nASIG,DATOS!$I16897,nEVAL,"EX")=0),0))))</f>
      </c>
      <c r="H16897">
        <f>IF(DATOS!$G16897&lt;&gt;"EX",0,--(COUNTIFS(nNIA,DATOS!$A16897,nCURSO,DATOS!$D16897,nESPEC,DATOS!$E16897,nASIG,DATOS!$I16897,nEVAL,"OR")=0))</f>
      </c>
      <c r="I16897">
        <f>IF(DATOS!$I16897="","",IFERROR(VLOOKUP(DATOS!$I16897,CONFIG_ASIGNATURAS!$B$2:$J$91,9,FALSE()),""))</f>
      </c>
    </row>
    <row r="16898">
      <c r="F16898">
        <f>IF(DATOS!$A16898="","",DATOS!$A16898&amp;"|"&amp;DATOS!$D16898&amp;"|"&amp;DATOS!$E16898&amp;"|"&amp;DATOS!$I16898)</f>
      </c>
      <c r="G16898">
        <f>IF(DATOS!$A16898="",0,IF(CONFIG_METADATA!$B$4&lt;&gt;"OR+EX",--(DATOS!$G16898=CONFIG_METADATA!$B$4),IF(DATOS!$G16898="EX",1,IF(DATOS!$G16898="OR",--(COUNTIFS(nNIA,DATOS!$A16898,nCURSO,DATOS!$D16898,nESPEC,DATOS!$E16898,nASIG,DATOS!$I16898,nEVAL,"EX")=0),0))))</f>
      </c>
      <c r="H16898">
        <f>IF(DATOS!$G16898&lt;&gt;"EX",0,--(COUNTIFS(nNIA,DATOS!$A16898,nCURSO,DATOS!$D16898,nESPEC,DATOS!$E16898,nASIG,DATOS!$I16898,nEVAL,"OR")=0))</f>
      </c>
      <c r="I16898">
        <f>IF(DATOS!$I16898="","",IFERROR(VLOOKUP(DATOS!$I16898,CONFIG_ASIGNATURAS!$B$2:$J$91,9,FALSE()),""))</f>
      </c>
    </row>
    <row r="16899">
      <c r="F16899">
        <f>IF(DATOS!$A16899="","",DATOS!$A16899&amp;"|"&amp;DATOS!$D16899&amp;"|"&amp;DATOS!$E16899&amp;"|"&amp;DATOS!$I16899)</f>
      </c>
      <c r="G16899">
        <f>IF(DATOS!$A16899="",0,IF(CONFIG_METADATA!$B$4&lt;&gt;"OR+EX",--(DATOS!$G16899=CONFIG_METADATA!$B$4),IF(DATOS!$G16899="EX",1,IF(DATOS!$G16899="OR",--(COUNTIFS(nNIA,DATOS!$A16899,nCURSO,DATOS!$D16899,nESPEC,DATOS!$E16899,nASIG,DATOS!$I16899,nEVAL,"EX")=0),0))))</f>
      </c>
      <c r="H16899">
        <f>IF(DATOS!$G16899&lt;&gt;"EX",0,--(COUNTIFS(nNIA,DATOS!$A16899,nCURSO,DATOS!$D16899,nESPEC,DATOS!$E16899,nASIG,DATOS!$I16899,nEVAL,"OR")=0))</f>
      </c>
      <c r="I16899">
        <f>IF(DATOS!$I16899="","",IFERROR(VLOOKUP(DATOS!$I16899,CONFIG_ASIGNATURAS!$B$2:$J$91,9,FALSE()),""))</f>
      </c>
    </row>
    <row r="16900">
      <c r="F16900">
        <f>IF(DATOS!$A16900="","",DATOS!$A16900&amp;"|"&amp;DATOS!$D16900&amp;"|"&amp;DATOS!$E16900&amp;"|"&amp;DATOS!$I16900)</f>
      </c>
      <c r="G16900">
        <f>IF(DATOS!$A16900="",0,IF(CONFIG_METADATA!$B$4&lt;&gt;"OR+EX",--(DATOS!$G16900=CONFIG_METADATA!$B$4),IF(DATOS!$G16900="EX",1,IF(DATOS!$G16900="OR",--(COUNTIFS(nNIA,DATOS!$A16900,nCURSO,DATOS!$D16900,nESPEC,DATOS!$E16900,nASIG,DATOS!$I16900,nEVAL,"EX")=0),0))))</f>
      </c>
      <c r="H16900">
        <f>IF(DATOS!$G16900&lt;&gt;"EX",0,--(COUNTIFS(nNIA,DATOS!$A16900,nCURSO,DATOS!$D16900,nESPEC,DATOS!$E16900,nASIG,DATOS!$I16900,nEVAL,"OR")=0))</f>
      </c>
      <c r="I16900">
        <f>IF(DATOS!$I16900="","",IFERROR(VLOOKUP(DATOS!$I16900,CONFIG_ASIGNATURAS!$B$2:$J$91,9,FALSE()),""))</f>
      </c>
    </row>
    <row r="16901">
      <c r="F16901">
        <f>IF(DATOS!$A16901="","",DATOS!$A16901&amp;"|"&amp;DATOS!$D16901&amp;"|"&amp;DATOS!$E16901&amp;"|"&amp;DATOS!$I16901)</f>
      </c>
      <c r="G16901">
        <f>IF(DATOS!$A16901="",0,IF(CONFIG_METADATA!$B$4&lt;&gt;"OR+EX",--(DATOS!$G16901=CONFIG_METADATA!$B$4),IF(DATOS!$G16901="EX",1,IF(DATOS!$G16901="OR",--(COUNTIFS(nNIA,DATOS!$A16901,nCURSO,DATOS!$D16901,nESPEC,DATOS!$E16901,nASIG,DATOS!$I16901,nEVAL,"EX")=0),0))))</f>
      </c>
      <c r="H16901">
        <f>IF(DATOS!$G16901&lt;&gt;"EX",0,--(COUNTIFS(nNIA,DATOS!$A16901,nCURSO,DATOS!$D16901,nESPEC,DATOS!$E16901,nASIG,DATOS!$I16901,nEVAL,"OR")=0))</f>
      </c>
      <c r="I16901">
        <f>IF(DATOS!$I16901="","",IFERROR(VLOOKUP(DATOS!$I16901,CONFIG_ASIGNATURAS!$B$2:$J$91,9,FALSE()),""))</f>
      </c>
    </row>
    <row r="16902">
      <c r="F16902">
        <f>IF(DATOS!$A16902="","",DATOS!$A16902&amp;"|"&amp;DATOS!$D16902&amp;"|"&amp;DATOS!$E16902&amp;"|"&amp;DATOS!$I16902)</f>
      </c>
      <c r="G16902">
        <f>IF(DATOS!$A16902="",0,IF(CONFIG_METADATA!$B$4&lt;&gt;"OR+EX",--(DATOS!$G16902=CONFIG_METADATA!$B$4),IF(DATOS!$G16902="EX",1,IF(DATOS!$G16902="OR",--(COUNTIFS(nNIA,DATOS!$A16902,nCURSO,DATOS!$D16902,nESPEC,DATOS!$E16902,nASIG,DATOS!$I16902,nEVAL,"EX")=0),0))))</f>
      </c>
      <c r="H16902">
        <f>IF(DATOS!$G16902&lt;&gt;"EX",0,--(COUNTIFS(nNIA,DATOS!$A16902,nCURSO,DATOS!$D16902,nESPEC,DATOS!$E16902,nASIG,DATOS!$I16902,nEVAL,"OR")=0))</f>
      </c>
      <c r="I16902">
        <f>IF(DATOS!$I16902="","",IFERROR(VLOOKUP(DATOS!$I16902,CONFIG_ASIGNATURAS!$B$2:$J$91,9,FALSE()),""))</f>
      </c>
    </row>
    <row r="16903">
      <c r="F16903">
        <f>IF(DATOS!$A16903="","",DATOS!$A16903&amp;"|"&amp;DATOS!$D16903&amp;"|"&amp;DATOS!$E16903&amp;"|"&amp;DATOS!$I16903)</f>
      </c>
      <c r="G16903">
        <f>IF(DATOS!$A16903="",0,IF(CONFIG_METADATA!$B$4&lt;&gt;"OR+EX",--(DATOS!$G16903=CONFIG_METADATA!$B$4),IF(DATOS!$G16903="EX",1,IF(DATOS!$G16903="OR",--(COUNTIFS(nNIA,DATOS!$A16903,nCURSO,DATOS!$D16903,nESPEC,DATOS!$E16903,nASIG,DATOS!$I16903,nEVAL,"EX")=0),0))))</f>
      </c>
      <c r="H16903">
        <f>IF(DATOS!$G16903&lt;&gt;"EX",0,--(COUNTIFS(nNIA,DATOS!$A16903,nCURSO,DATOS!$D16903,nESPEC,DATOS!$E16903,nASIG,DATOS!$I16903,nEVAL,"OR")=0))</f>
      </c>
      <c r="I16903">
        <f>IF(DATOS!$I16903="","",IFERROR(VLOOKUP(DATOS!$I16903,CONFIG_ASIGNATURAS!$B$2:$J$91,9,FALSE()),""))</f>
      </c>
    </row>
    <row r="16904">
      <c r="F16904">
        <f>IF(DATOS!$A16904="","",DATOS!$A16904&amp;"|"&amp;DATOS!$D16904&amp;"|"&amp;DATOS!$E16904&amp;"|"&amp;DATOS!$I16904)</f>
      </c>
      <c r="G16904">
        <f>IF(DATOS!$A16904="",0,IF(CONFIG_METADATA!$B$4&lt;&gt;"OR+EX",--(DATOS!$G16904=CONFIG_METADATA!$B$4),IF(DATOS!$G16904="EX",1,IF(DATOS!$G16904="OR",--(COUNTIFS(nNIA,DATOS!$A16904,nCURSO,DATOS!$D16904,nESPEC,DATOS!$E16904,nASIG,DATOS!$I16904,nEVAL,"EX")=0),0))))</f>
      </c>
      <c r="H16904">
        <f>IF(DATOS!$G16904&lt;&gt;"EX",0,--(COUNTIFS(nNIA,DATOS!$A16904,nCURSO,DATOS!$D16904,nESPEC,DATOS!$E16904,nASIG,DATOS!$I16904,nEVAL,"OR")=0))</f>
      </c>
      <c r="I16904">
        <f>IF(DATOS!$I16904="","",IFERROR(VLOOKUP(DATOS!$I16904,CONFIG_ASIGNATURAS!$B$2:$J$91,9,FALSE()),""))</f>
      </c>
    </row>
    <row r="16905">
      <c r="F16905">
        <f>IF(DATOS!$A16905="","",DATOS!$A16905&amp;"|"&amp;DATOS!$D16905&amp;"|"&amp;DATOS!$E16905&amp;"|"&amp;DATOS!$I16905)</f>
      </c>
      <c r="G16905">
        <f>IF(DATOS!$A16905="",0,IF(CONFIG_METADATA!$B$4&lt;&gt;"OR+EX",--(DATOS!$G16905=CONFIG_METADATA!$B$4),IF(DATOS!$G16905="EX",1,IF(DATOS!$G16905="OR",--(COUNTIFS(nNIA,DATOS!$A16905,nCURSO,DATOS!$D16905,nESPEC,DATOS!$E16905,nASIG,DATOS!$I16905,nEVAL,"EX")=0),0))))</f>
      </c>
      <c r="H16905">
        <f>IF(DATOS!$G16905&lt;&gt;"EX",0,--(COUNTIFS(nNIA,DATOS!$A16905,nCURSO,DATOS!$D16905,nESPEC,DATOS!$E16905,nASIG,DATOS!$I16905,nEVAL,"OR")=0))</f>
      </c>
      <c r="I16905">
        <f>IF(DATOS!$I16905="","",IFERROR(VLOOKUP(DATOS!$I16905,CONFIG_ASIGNATURAS!$B$2:$J$91,9,FALSE()),""))</f>
      </c>
    </row>
    <row r="16906">
      <c r="F16906">
        <f>IF(DATOS!$A16906="","",DATOS!$A16906&amp;"|"&amp;DATOS!$D16906&amp;"|"&amp;DATOS!$E16906&amp;"|"&amp;DATOS!$I16906)</f>
      </c>
      <c r="G16906">
        <f>IF(DATOS!$A16906="",0,IF(CONFIG_METADATA!$B$4&lt;&gt;"OR+EX",--(DATOS!$G16906=CONFIG_METADATA!$B$4),IF(DATOS!$G16906="EX",1,IF(DATOS!$G16906="OR",--(COUNTIFS(nNIA,DATOS!$A16906,nCURSO,DATOS!$D16906,nESPEC,DATOS!$E16906,nASIG,DATOS!$I16906,nEVAL,"EX")=0),0))))</f>
      </c>
      <c r="H16906">
        <f>IF(DATOS!$G16906&lt;&gt;"EX",0,--(COUNTIFS(nNIA,DATOS!$A16906,nCURSO,DATOS!$D16906,nESPEC,DATOS!$E16906,nASIG,DATOS!$I16906,nEVAL,"OR")=0))</f>
      </c>
      <c r="I16906">
        <f>IF(DATOS!$I16906="","",IFERROR(VLOOKUP(DATOS!$I16906,CONFIG_ASIGNATURAS!$B$2:$J$91,9,FALSE()),""))</f>
      </c>
    </row>
    <row r="16907">
      <c r="F16907">
        <f>IF(DATOS!$A16907="","",DATOS!$A16907&amp;"|"&amp;DATOS!$D16907&amp;"|"&amp;DATOS!$E16907&amp;"|"&amp;DATOS!$I16907)</f>
      </c>
      <c r="G16907">
        <f>IF(DATOS!$A16907="",0,IF(CONFIG_METADATA!$B$4&lt;&gt;"OR+EX",--(DATOS!$G16907=CONFIG_METADATA!$B$4),IF(DATOS!$G16907="EX",1,IF(DATOS!$G16907="OR",--(COUNTIFS(nNIA,DATOS!$A16907,nCURSO,DATOS!$D16907,nESPEC,DATOS!$E16907,nASIG,DATOS!$I16907,nEVAL,"EX")=0),0))))</f>
      </c>
      <c r="H16907">
        <f>IF(DATOS!$G16907&lt;&gt;"EX",0,--(COUNTIFS(nNIA,DATOS!$A16907,nCURSO,DATOS!$D16907,nESPEC,DATOS!$E16907,nASIG,DATOS!$I16907,nEVAL,"OR")=0))</f>
      </c>
      <c r="I16907">
        <f>IF(DATOS!$I16907="","",IFERROR(VLOOKUP(DATOS!$I16907,CONFIG_ASIGNATURAS!$B$2:$J$91,9,FALSE()),""))</f>
      </c>
    </row>
    <row r="16908">
      <c r="F16908">
        <f>IF(DATOS!$A16908="","",DATOS!$A16908&amp;"|"&amp;DATOS!$D16908&amp;"|"&amp;DATOS!$E16908&amp;"|"&amp;DATOS!$I16908)</f>
      </c>
      <c r="G16908">
        <f>IF(DATOS!$A16908="",0,IF(CONFIG_METADATA!$B$4&lt;&gt;"OR+EX",--(DATOS!$G16908=CONFIG_METADATA!$B$4),IF(DATOS!$G16908="EX",1,IF(DATOS!$G16908="OR",--(COUNTIFS(nNIA,DATOS!$A16908,nCURSO,DATOS!$D16908,nESPEC,DATOS!$E16908,nASIG,DATOS!$I16908,nEVAL,"EX")=0),0))))</f>
      </c>
      <c r="H16908">
        <f>IF(DATOS!$G16908&lt;&gt;"EX",0,--(COUNTIFS(nNIA,DATOS!$A16908,nCURSO,DATOS!$D16908,nESPEC,DATOS!$E16908,nASIG,DATOS!$I16908,nEVAL,"OR")=0))</f>
      </c>
      <c r="I16908">
        <f>IF(DATOS!$I16908="","",IFERROR(VLOOKUP(DATOS!$I16908,CONFIG_ASIGNATURAS!$B$2:$J$91,9,FALSE()),""))</f>
      </c>
    </row>
    <row r="16909">
      <c r="F16909">
        <f>IF(DATOS!$A16909="","",DATOS!$A16909&amp;"|"&amp;DATOS!$D16909&amp;"|"&amp;DATOS!$E16909&amp;"|"&amp;DATOS!$I16909)</f>
      </c>
      <c r="G16909">
        <f>IF(DATOS!$A16909="",0,IF(CONFIG_METADATA!$B$4&lt;&gt;"OR+EX",--(DATOS!$G16909=CONFIG_METADATA!$B$4),IF(DATOS!$G16909="EX",1,IF(DATOS!$G16909="OR",--(COUNTIFS(nNIA,DATOS!$A16909,nCURSO,DATOS!$D16909,nESPEC,DATOS!$E16909,nASIG,DATOS!$I16909,nEVAL,"EX")=0),0))))</f>
      </c>
      <c r="H16909">
        <f>IF(DATOS!$G16909&lt;&gt;"EX",0,--(COUNTIFS(nNIA,DATOS!$A16909,nCURSO,DATOS!$D16909,nESPEC,DATOS!$E16909,nASIG,DATOS!$I16909,nEVAL,"OR")=0))</f>
      </c>
      <c r="I16909">
        <f>IF(DATOS!$I16909="","",IFERROR(VLOOKUP(DATOS!$I16909,CONFIG_ASIGNATURAS!$B$2:$J$91,9,FALSE()),""))</f>
      </c>
    </row>
    <row r="16910">
      <c r="F16910">
        <f>IF(DATOS!$A16910="","",DATOS!$A16910&amp;"|"&amp;DATOS!$D16910&amp;"|"&amp;DATOS!$E16910&amp;"|"&amp;DATOS!$I16910)</f>
      </c>
      <c r="G16910">
        <f>IF(DATOS!$A16910="",0,IF(CONFIG_METADATA!$B$4&lt;&gt;"OR+EX",--(DATOS!$G16910=CONFIG_METADATA!$B$4),IF(DATOS!$G16910="EX",1,IF(DATOS!$G16910="OR",--(COUNTIFS(nNIA,DATOS!$A16910,nCURSO,DATOS!$D16910,nESPEC,DATOS!$E16910,nASIG,DATOS!$I16910,nEVAL,"EX")=0),0))))</f>
      </c>
      <c r="H16910">
        <f>IF(DATOS!$G16910&lt;&gt;"EX",0,--(COUNTIFS(nNIA,DATOS!$A16910,nCURSO,DATOS!$D16910,nESPEC,DATOS!$E16910,nASIG,DATOS!$I16910,nEVAL,"OR")=0))</f>
      </c>
      <c r="I16910">
        <f>IF(DATOS!$I16910="","",IFERROR(VLOOKUP(DATOS!$I16910,CONFIG_ASIGNATURAS!$B$2:$J$91,9,FALSE()),""))</f>
      </c>
    </row>
    <row r="16911">
      <c r="F16911">
        <f>IF(DATOS!$A16911="","",DATOS!$A16911&amp;"|"&amp;DATOS!$D16911&amp;"|"&amp;DATOS!$E16911&amp;"|"&amp;DATOS!$I16911)</f>
      </c>
      <c r="G16911">
        <f>IF(DATOS!$A16911="",0,IF(CONFIG_METADATA!$B$4&lt;&gt;"OR+EX",--(DATOS!$G16911=CONFIG_METADATA!$B$4),IF(DATOS!$G16911="EX",1,IF(DATOS!$G16911="OR",--(COUNTIFS(nNIA,DATOS!$A16911,nCURSO,DATOS!$D16911,nESPEC,DATOS!$E16911,nASIG,DATOS!$I16911,nEVAL,"EX")=0),0))))</f>
      </c>
      <c r="H16911">
        <f>IF(DATOS!$G16911&lt;&gt;"EX",0,--(COUNTIFS(nNIA,DATOS!$A16911,nCURSO,DATOS!$D16911,nESPEC,DATOS!$E16911,nASIG,DATOS!$I16911,nEVAL,"OR")=0))</f>
      </c>
      <c r="I16911">
        <f>IF(DATOS!$I16911="","",IFERROR(VLOOKUP(DATOS!$I16911,CONFIG_ASIGNATURAS!$B$2:$J$91,9,FALSE()),""))</f>
      </c>
    </row>
    <row r="16912">
      <c r="F16912">
        <f>IF(DATOS!$A16912="","",DATOS!$A16912&amp;"|"&amp;DATOS!$D16912&amp;"|"&amp;DATOS!$E16912&amp;"|"&amp;DATOS!$I16912)</f>
      </c>
      <c r="G16912">
        <f>IF(DATOS!$A16912="",0,IF(CONFIG_METADATA!$B$4&lt;&gt;"OR+EX",--(DATOS!$G16912=CONFIG_METADATA!$B$4),IF(DATOS!$G16912="EX",1,IF(DATOS!$G16912="OR",--(COUNTIFS(nNIA,DATOS!$A16912,nCURSO,DATOS!$D16912,nESPEC,DATOS!$E16912,nASIG,DATOS!$I16912,nEVAL,"EX")=0),0))))</f>
      </c>
      <c r="H16912">
        <f>IF(DATOS!$G16912&lt;&gt;"EX",0,--(COUNTIFS(nNIA,DATOS!$A16912,nCURSO,DATOS!$D16912,nESPEC,DATOS!$E16912,nASIG,DATOS!$I16912,nEVAL,"OR")=0))</f>
      </c>
      <c r="I16912">
        <f>IF(DATOS!$I16912="","",IFERROR(VLOOKUP(DATOS!$I16912,CONFIG_ASIGNATURAS!$B$2:$J$91,9,FALSE()),""))</f>
      </c>
    </row>
    <row r="16913">
      <c r="F16913">
        <f>IF(DATOS!$A16913="","",DATOS!$A16913&amp;"|"&amp;DATOS!$D16913&amp;"|"&amp;DATOS!$E16913&amp;"|"&amp;DATOS!$I16913)</f>
      </c>
      <c r="G16913">
        <f>IF(DATOS!$A16913="",0,IF(CONFIG_METADATA!$B$4&lt;&gt;"OR+EX",--(DATOS!$G16913=CONFIG_METADATA!$B$4),IF(DATOS!$G16913="EX",1,IF(DATOS!$G16913="OR",--(COUNTIFS(nNIA,DATOS!$A16913,nCURSO,DATOS!$D16913,nESPEC,DATOS!$E16913,nASIG,DATOS!$I16913,nEVAL,"EX")=0),0))))</f>
      </c>
      <c r="H16913">
        <f>IF(DATOS!$G16913&lt;&gt;"EX",0,--(COUNTIFS(nNIA,DATOS!$A16913,nCURSO,DATOS!$D16913,nESPEC,DATOS!$E16913,nASIG,DATOS!$I16913,nEVAL,"OR")=0))</f>
      </c>
      <c r="I16913">
        <f>IF(DATOS!$I16913="","",IFERROR(VLOOKUP(DATOS!$I16913,CONFIG_ASIGNATURAS!$B$2:$J$91,9,FALSE()),""))</f>
      </c>
    </row>
    <row r="16914">
      <c r="F16914">
        <f>IF(DATOS!$A16914="","",DATOS!$A16914&amp;"|"&amp;DATOS!$D16914&amp;"|"&amp;DATOS!$E16914&amp;"|"&amp;DATOS!$I16914)</f>
      </c>
      <c r="G16914">
        <f>IF(DATOS!$A16914="",0,IF(CONFIG_METADATA!$B$4&lt;&gt;"OR+EX",--(DATOS!$G16914=CONFIG_METADATA!$B$4),IF(DATOS!$G16914="EX",1,IF(DATOS!$G16914="OR",--(COUNTIFS(nNIA,DATOS!$A16914,nCURSO,DATOS!$D16914,nESPEC,DATOS!$E16914,nASIG,DATOS!$I16914,nEVAL,"EX")=0),0))))</f>
      </c>
      <c r="H16914">
        <f>IF(DATOS!$G16914&lt;&gt;"EX",0,--(COUNTIFS(nNIA,DATOS!$A16914,nCURSO,DATOS!$D16914,nESPEC,DATOS!$E16914,nASIG,DATOS!$I16914,nEVAL,"OR")=0))</f>
      </c>
      <c r="I16914">
        <f>IF(DATOS!$I16914="","",IFERROR(VLOOKUP(DATOS!$I16914,CONFIG_ASIGNATURAS!$B$2:$J$91,9,FALSE()),""))</f>
      </c>
    </row>
    <row r="16915">
      <c r="F16915">
        <f>IF(DATOS!$A16915="","",DATOS!$A16915&amp;"|"&amp;DATOS!$D16915&amp;"|"&amp;DATOS!$E16915&amp;"|"&amp;DATOS!$I16915)</f>
      </c>
      <c r="G16915">
        <f>IF(DATOS!$A16915="",0,IF(CONFIG_METADATA!$B$4&lt;&gt;"OR+EX",--(DATOS!$G16915=CONFIG_METADATA!$B$4),IF(DATOS!$G16915="EX",1,IF(DATOS!$G16915="OR",--(COUNTIFS(nNIA,DATOS!$A16915,nCURSO,DATOS!$D16915,nESPEC,DATOS!$E16915,nASIG,DATOS!$I16915,nEVAL,"EX")=0),0))))</f>
      </c>
      <c r="H16915">
        <f>IF(DATOS!$G16915&lt;&gt;"EX",0,--(COUNTIFS(nNIA,DATOS!$A16915,nCURSO,DATOS!$D16915,nESPEC,DATOS!$E16915,nASIG,DATOS!$I16915,nEVAL,"OR")=0))</f>
      </c>
      <c r="I16915">
        <f>IF(DATOS!$I16915="","",IFERROR(VLOOKUP(DATOS!$I16915,CONFIG_ASIGNATURAS!$B$2:$J$91,9,FALSE()),""))</f>
      </c>
    </row>
    <row r="16916">
      <c r="F16916">
        <f>IF(DATOS!$A16916="","",DATOS!$A16916&amp;"|"&amp;DATOS!$D16916&amp;"|"&amp;DATOS!$E16916&amp;"|"&amp;DATOS!$I16916)</f>
      </c>
      <c r="G16916">
        <f>IF(DATOS!$A16916="",0,IF(CONFIG_METADATA!$B$4&lt;&gt;"OR+EX",--(DATOS!$G16916=CONFIG_METADATA!$B$4),IF(DATOS!$G16916="EX",1,IF(DATOS!$G16916="OR",--(COUNTIFS(nNIA,DATOS!$A16916,nCURSO,DATOS!$D16916,nESPEC,DATOS!$E16916,nASIG,DATOS!$I16916,nEVAL,"EX")=0),0))))</f>
      </c>
      <c r="H16916">
        <f>IF(DATOS!$G16916&lt;&gt;"EX",0,--(COUNTIFS(nNIA,DATOS!$A16916,nCURSO,DATOS!$D16916,nESPEC,DATOS!$E16916,nASIG,DATOS!$I16916,nEVAL,"OR")=0))</f>
      </c>
      <c r="I16916">
        <f>IF(DATOS!$I16916="","",IFERROR(VLOOKUP(DATOS!$I16916,CONFIG_ASIGNATURAS!$B$2:$J$91,9,FALSE()),""))</f>
      </c>
    </row>
    <row r="16917">
      <c r="F16917">
        <f>IF(DATOS!$A16917="","",DATOS!$A16917&amp;"|"&amp;DATOS!$D16917&amp;"|"&amp;DATOS!$E16917&amp;"|"&amp;DATOS!$I16917)</f>
      </c>
      <c r="G16917">
        <f>IF(DATOS!$A16917="",0,IF(CONFIG_METADATA!$B$4&lt;&gt;"OR+EX",--(DATOS!$G16917=CONFIG_METADATA!$B$4),IF(DATOS!$G16917="EX",1,IF(DATOS!$G16917="OR",--(COUNTIFS(nNIA,DATOS!$A16917,nCURSO,DATOS!$D16917,nESPEC,DATOS!$E16917,nASIG,DATOS!$I16917,nEVAL,"EX")=0),0))))</f>
      </c>
      <c r="H16917">
        <f>IF(DATOS!$G16917&lt;&gt;"EX",0,--(COUNTIFS(nNIA,DATOS!$A16917,nCURSO,DATOS!$D16917,nESPEC,DATOS!$E16917,nASIG,DATOS!$I16917,nEVAL,"OR")=0))</f>
      </c>
      <c r="I16917">
        <f>IF(DATOS!$I16917="","",IFERROR(VLOOKUP(DATOS!$I16917,CONFIG_ASIGNATURAS!$B$2:$J$91,9,FALSE()),""))</f>
      </c>
    </row>
    <row r="16918">
      <c r="F16918">
        <f>IF(DATOS!$A16918="","",DATOS!$A16918&amp;"|"&amp;DATOS!$D16918&amp;"|"&amp;DATOS!$E16918&amp;"|"&amp;DATOS!$I16918)</f>
      </c>
      <c r="G16918">
        <f>IF(DATOS!$A16918="",0,IF(CONFIG_METADATA!$B$4&lt;&gt;"OR+EX",--(DATOS!$G16918=CONFIG_METADATA!$B$4),IF(DATOS!$G16918="EX",1,IF(DATOS!$G16918="OR",--(COUNTIFS(nNIA,DATOS!$A16918,nCURSO,DATOS!$D16918,nESPEC,DATOS!$E16918,nASIG,DATOS!$I16918,nEVAL,"EX")=0),0))))</f>
      </c>
      <c r="H16918">
        <f>IF(DATOS!$G16918&lt;&gt;"EX",0,--(COUNTIFS(nNIA,DATOS!$A16918,nCURSO,DATOS!$D16918,nESPEC,DATOS!$E16918,nASIG,DATOS!$I16918,nEVAL,"OR")=0))</f>
      </c>
      <c r="I16918">
        <f>IF(DATOS!$I16918="","",IFERROR(VLOOKUP(DATOS!$I16918,CONFIG_ASIGNATURAS!$B$2:$J$91,9,FALSE()),""))</f>
      </c>
    </row>
    <row r="16919">
      <c r="F16919">
        <f>IF(DATOS!$A16919="","",DATOS!$A16919&amp;"|"&amp;DATOS!$D16919&amp;"|"&amp;DATOS!$E16919&amp;"|"&amp;DATOS!$I16919)</f>
      </c>
      <c r="G16919">
        <f>IF(DATOS!$A16919="",0,IF(CONFIG_METADATA!$B$4&lt;&gt;"OR+EX",--(DATOS!$G16919=CONFIG_METADATA!$B$4),IF(DATOS!$G16919="EX",1,IF(DATOS!$G16919="OR",--(COUNTIFS(nNIA,DATOS!$A16919,nCURSO,DATOS!$D16919,nESPEC,DATOS!$E16919,nASIG,DATOS!$I16919,nEVAL,"EX")=0),0))))</f>
      </c>
      <c r="H16919">
        <f>IF(DATOS!$G16919&lt;&gt;"EX",0,--(COUNTIFS(nNIA,DATOS!$A16919,nCURSO,DATOS!$D16919,nESPEC,DATOS!$E16919,nASIG,DATOS!$I16919,nEVAL,"OR")=0))</f>
      </c>
      <c r="I16919">
        <f>IF(DATOS!$I16919="","",IFERROR(VLOOKUP(DATOS!$I16919,CONFIG_ASIGNATURAS!$B$2:$J$91,9,FALSE()),""))</f>
      </c>
    </row>
    <row r="16920">
      <c r="F16920">
        <f>IF(DATOS!$A16920="","",DATOS!$A16920&amp;"|"&amp;DATOS!$D16920&amp;"|"&amp;DATOS!$E16920&amp;"|"&amp;DATOS!$I16920)</f>
      </c>
      <c r="G16920">
        <f>IF(DATOS!$A16920="",0,IF(CONFIG_METADATA!$B$4&lt;&gt;"OR+EX",--(DATOS!$G16920=CONFIG_METADATA!$B$4),IF(DATOS!$G16920="EX",1,IF(DATOS!$G16920="OR",--(COUNTIFS(nNIA,DATOS!$A16920,nCURSO,DATOS!$D16920,nESPEC,DATOS!$E16920,nASIG,DATOS!$I16920,nEVAL,"EX")=0),0))))</f>
      </c>
      <c r="H16920">
        <f>IF(DATOS!$G16920&lt;&gt;"EX",0,--(COUNTIFS(nNIA,DATOS!$A16920,nCURSO,DATOS!$D16920,nESPEC,DATOS!$E16920,nASIG,DATOS!$I16920,nEVAL,"OR")=0))</f>
      </c>
      <c r="I16920">
        <f>IF(DATOS!$I16920="","",IFERROR(VLOOKUP(DATOS!$I16920,CONFIG_ASIGNATURAS!$B$2:$J$91,9,FALSE()),""))</f>
      </c>
    </row>
    <row r="16921">
      <c r="F16921">
        <f>IF(DATOS!$A16921="","",DATOS!$A16921&amp;"|"&amp;DATOS!$D16921&amp;"|"&amp;DATOS!$E16921&amp;"|"&amp;DATOS!$I16921)</f>
      </c>
      <c r="G16921">
        <f>IF(DATOS!$A16921="",0,IF(CONFIG_METADATA!$B$4&lt;&gt;"OR+EX",--(DATOS!$G16921=CONFIG_METADATA!$B$4),IF(DATOS!$G16921="EX",1,IF(DATOS!$G16921="OR",--(COUNTIFS(nNIA,DATOS!$A16921,nCURSO,DATOS!$D16921,nESPEC,DATOS!$E16921,nASIG,DATOS!$I16921,nEVAL,"EX")=0),0))))</f>
      </c>
      <c r="H16921">
        <f>IF(DATOS!$G16921&lt;&gt;"EX",0,--(COUNTIFS(nNIA,DATOS!$A16921,nCURSO,DATOS!$D16921,nESPEC,DATOS!$E16921,nASIG,DATOS!$I16921,nEVAL,"OR")=0))</f>
      </c>
      <c r="I16921">
        <f>IF(DATOS!$I16921="","",IFERROR(VLOOKUP(DATOS!$I16921,CONFIG_ASIGNATURAS!$B$2:$J$91,9,FALSE()),""))</f>
      </c>
    </row>
    <row r="16922">
      <c r="F16922">
        <f>IF(DATOS!$A16922="","",DATOS!$A16922&amp;"|"&amp;DATOS!$D16922&amp;"|"&amp;DATOS!$E16922&amp;"|"&amp;DATOS!$I16922)</f>
      </c>
      <c r="G16922">
        <f>IF(DATOS!$A16922="",0,IF(CONFIG_METADATA!$B$4&lt;&gt;"OR+EX",--(DATOS!$G16922=CONFIG_METADATA!$B$4),IF(DATOS!$G16922="EX",1,IF(DATOS!$G16922="OR",--(COUNTIFS(nNIA,DATOS!$A16922,nCURSO,DATOS!$D16922,nESPEC,DATOS!$E16922,nASIG,DATOS!$I16922,nEVAL,"EX")=0),0))))</f>
      </c>
      <c r="H16922">
        <f>IF(DATOS!$G16922&lt;&gt;"EX",0,--(COUNTIFS(nNIA,DATOS!$A16922,nCURSO,DATOS!$D16922,nESPEC,DATOS!$E16922,nASIG,DATOS!$I16922,nEVAL,"OR")=0))</f>
      </c>
      <c r="I16922">
        <f>IF(DATOS!$I16922="","",IFERROR(VLOOKUP(DATOS!$I16922,CONFIG_ASIGNATURAS!$B$2:$J$91,9,FALSE()),""))</f>
      </c>
    </row>
    <row r="16923">
      <c r="F16923">
        <f>IF(DATOS!$A16923="","",DATOS!$A16923&amp;"|"&amp;DATOS!$D16923&amp;"|"&amp;DATOS!$E16923&amp;"|"&amp;DATOS!$I16923)</f>
      </c>
      <c r="G16923">
        <f>IF(DATOS!$A16923="",0,IF(CONFIG_METADATA!$B$4&lt;&gt;"OR+EX",--(DATOS!$G16923=CONFIG_METADATA!$B$4),IF(DATOS!$G16923="EX",1,IF(DATOS!$G16923="OR",--(COUNTIFS(nNIA,DATOS!$A16923,nCURSO,DATOS!$D16923,nESPEC,DATOS!$E16923,nASIG,DATOS!$I16923,nEVAL,"EX")=0),0))))</f>
      </c>
      <c r="H16923">
        <f>IF(DATOS!$G16923&lt;&gt;"EX",0,--(COUNTIFS(nNIA,DATOS!$A16923,nCURSO,DATOS!$D16923,nESPEC,DATOS!$E16923,nASIG,DATOS!$I16923,nEVAL,"OR")=0))</f>
      </c>
      <c r="I16923">
        <f>IF(DATOS!$I16923="","",IFERROR(VLOOKUP(DATOS!$I16923,CONFIG_ASIGNATURAS!$B$2:$J$91,9,FALSE()),""))</f>
      </c>
    </row>
    <row r="16924">
      <c r="F16924">
        <f>IF(DATOS!$A16924="","",DATOS!$A16924&amp;"|"&amp;DATOS!$D16924&amp;"|"&amp;DATOS!$E16924&amp;"|"&amp;DATOS!$I16924)</f>
      </c>
      <c r="G16924">
        <f>IF(DATOS!$A16924="",0,IF(CONFIG_METADATA!$B$4&lt;&gt;"OR+EX",--(DATOS!$G16924=CONFIG_METADATA!$B$4),IF(DATOS!$G16924="EX",1,IF(DATOS!$G16924="OR",--(COUNTIFS(nNIA,DATOS!$A16924,nCURSO,DATOS!$D16924,nESPEC,DATOS!$E16924,nASIG,DATOS!$I16924,nEVAL,"EX")=0),0))))</f>
      </c>
      <c r="H16924">
        <f>IF(DATOS!$G16924&lt;&gt;"EX",0,--(COUNTIFS(nNIA,DATOS!$A16924,nCURSO,DATOS!$D16924,nESPEC,DATOS!$E16924,nASIG,DATOS!$I16924,nEVAL,"OR")=0))</f>
      </c>
      <c r="I16924">
        <f>IF(DATOS!$I16924="","",IFERROR(VLOOKUP(DATOS!$I16924,CONFIG_ASIGNATURAS!$B$2:$J$91,9,FALSE()),""))</f>
      </c>
    </row>
    <row r="16925">
      <c r="F16925">
        <f>IF(DATOS!$A16925="","",DATOS!$A16925&amp;"|"&amp;DATOS!$D16925&amp;"|"&amp;DATOS!$E16925&amp;"|"&amp;DATOS!$I16925)</f>
      </c>
      <c r="G16925">
        <f>IF(DATOS!$A16925="",0,IF(CONFIG_METADATA!$B$4&lt;&gt;"OR+EX",--(DATOS!$G16925=CONFIG_METADATA!$B$4),IF(DATOS!$G16925="EX",1,IF(DATOS!$G16925="OR",--(COUNTIFS(nNIA,DATOS!$A16925,nCURSO,DATOS!$D16925,nESPEC,DATOS!$E16925,nASIG,DATOS!$I16925,nEVAL,"EX")=0),0))))</f>
      </c>
      <c r="H16925">
        <f>IF(DATOS!$G16925&lt;&gt;"EX",0,--(COUNTIFS(nNIA,DATOS!$A16925,nCURSO,DATOS!$D16925,nESPEC,DATOS!$E16925,nASIG,DATOS!$I16925,nEVAL,"OR")=0))</f>
      </c>
      <c r="I16925">
        <f>IF(DATOS!$I16925="","",IFERROR(VLOOKUP(DATOS!$I16925,CONFIG_ASIGNATURAS!$B$2:$J$91,9,FALSE()),""))</f>
      </c>
    </row>
    <row r="16926">
      <c r="F16926">
        <f>IF(DATOS!$A16926="","",DATOS!$A16926&amp;"|"&amp;DATOS!$D16926&amp;"|"&amp;DATOS!$E16926&amp;"|"&amp;DATOS!$I16926)</f>
      </c>
      <c r="G16926">
        <f>IF(DATOS!$A16926="",0,IF(CONFIG_METADATA!$B$4&lt;&gt;"OR+EX",--(DATOS!$G16926=CONFIG_METADATA!$B$4),IF(DATOS!$G16926="EX",1,IF(DATOS!$G16926="OR",--(COUNTIFS(nNIA,DATOS!$A16926,nCURSO,DATOS!$D16926,nESPEC,DATOS!$E16926,nASIG,DATOS!$I16926,nEVAL,"EX")=0),0))))</f>
      </c>
      <c r="H16926">
        <f>IF(DATOS!$G16926&lt;&gt;"EX",0,--(COUNTIFS(nNIA,DATOS!$A16926,nCURSO,DATOS!$D16926,nESPEC,DATOS!$E16926,nASIG,DATOS!$I16926,nEVAL,"OR")=0))</f>
      </c>
      <c r="I16926">
        <f>IF(DATOS!$I16926="","",IFERROR(VLOOKUP(DATOS!$I16926,CONFIG_ASIGNATURAS!$B$2:$J$91,9,FALSE()),""))</f>
      </c>
    </row>
    <row r="16927">
      <c r="F16927">
        <f>IF(DATOS!$A16927="","",DATOS!$A16927&amp;"|"&amp;DATOS!$D16927&amp;"|"&amp;DATOS!$E16927&amp;"|"&amp;DATOS!$I16927)</f>
      </c>
      <c r="G16927">
        <f>IF(DATOS!$A16927="",0,IF(CONFIG_METADATA!$B$4&lt;&gt;"OR+EX",--(DATOS!$G16927=CONFIG_METADATA!$B$4),IF(DATOS!$G16927="EX",1,IF(DATOS!$G16927="OR",--(COUNTIFS(nNIA,DATOS!$A16927,nCURSO,DATOS!$D16927,nESPEC,DATOS!$E16927,nASIG,DATOS!$I16927,nEVAL,"EX")=0),0))))</f>
      </c>
      <c r="H16927">
        <f>IF(DATOS!$G16927&lt;&gt;"EX",0,--(COUNTIFS(nNIA,DATOS!$A16927,nCURSO,DATOS!$D16927,nESPEC,DATOS!$E16927,nASIG,DATOS!$I16927,nEVAL,"OR")=0))</f>
      </c>
      <c r="I16927">
        <f>IF(DATOS!$I16927="","",IFERROR(VLOOKUP(DATOS!$I16927,CONFIG_ASIGNATURAS!$B$2:$J$91,9,FALSE()),""))</f>
      </c>
    </row>
    <row r="16928">
      <c r="F16928">
        <f>IF(DATOS!$A16928="","",DATOS!$A16928&amp;"|"&amp;DATOS!$D16928&amp;"|"&amp;DATOS!$E16928&amp;"|"&amp;DATOS!$I16928)</f>
      </c>
      <c r="G16928">
        <f>IF(DATOS!$A16928="",0,IF(CONFIG_METADATA!$B$4&lt;&gt;"OR+EX",--(DATOS!$G16928=CONFIG_METADATA!$B$4),IF(DATOS!$G16928="EX",1,IF(DATOS!$G16928="OR",--(COUNTIFS(nNIA,DATOS!$A16928,nCURSO,DATOS!$D16928,nESPEC,DATOS!$E16928,nASIG,DATOS!$I16928,nEVAL,"EX")=0),0))))</f>
      </c>
      <c r="H16928">
        <f>IF(DATOS!$G16928&lt;&gt;"EX",0,--(COUNTIFS(nNIA,DATOS!$A16928,nCURSO,DATOS!$D16928,nESPEC,DATOS!$E16928,nASIG,DATOS!$I16928,nEVAL,"OR")=0))</f>
      </c>
      <c r="I16928">
        <f>IF(DATOS!$I16928="","",IFERROR(VLOOKUP(DATOS!$I16928,CONFIG_ASIGNATURAS!$B$2:$J$91,9,FALSE()),""))</f>
      </c>
    </row>
    <row r="16929">
      <c r="F16929">
        <f>IF(DATOS!$A16929="","",DATOS!$A16929&amp;"|"&amp;DATOS!$D16929&amp;"|"&amp;DATOS!$E16929&amp;"|"&amp;DATOS!$I16929)</f>
      </c>
      <c r="G16929">
        <f>IF(DATOS!$A16929="",0,IF(CONFIG_METADATA!$B$4&lt;&gt;"OR+EX",--(DATOS!$G16929=CONFIG_METADATA!$B$4),IF(DATOS!$G16929="EX",1,IF(DATOS!$G16929="OR",--(COUNTIFS(nNIA,DATOS!$A16929,nCURSO,DATOS!$D16929,nESPEC,DATOS!$E16929,nASIG,DATOS!$I16929,nEVAL,"EX")=0),0))))</f>
      </c>
      <c r="H16929">
        <f>IF(DATOS!$G16929&lt;&gt;"EX",0,--(COUNTIFS(nNIA,DATOS!$A16929,nCURSO,DATOS!$D16929,nESPEC,DATOS!$E16929,nASIG,DATOS!$I16929,nEVAL,"OR")=0))</f>
      </c>
      <c r="I16929">
        <f>IF(DATOS!$I16929="","",IFERROR(VLOOKUP(DATOS!$I16929,CONFIG_ASIGNATURAS!$B$2:$J$91,9,FALSE()),""))</f>
      </c>
    </row>
    <row r="16930">
      <c r="F16930">
        <f>IF(DATOS!$A16930="","",DATOS!$A16930&amp;"|"&amp;DATOS!$D16930&amp;"|"&amp;DATOS!$E16930&amp;"|"&amp;DATOS!$I16930)</f>
      </c>
      <c r="G16930">
        <f>IF(DATOS!$A16930="",0,IF(CONFIG_METADATA!$B$4&lt;&gt;"OR+EX",--(DATOS!$G16930=CONFIG_METADATA!$B$4),IF(DATOS!$G16930="EX",1,IF(DATOS!$G16930="OR",--(COUNTIFS(nNIA,DATOS!$A16930,nCURSO,DATOS!$D16930,nESPEC,DATOS!$E16930,nASIG,DATOS!$I16930,nEVAL,"EX")=0),0))))</f>
      </c>
      <c r="H16930">
        <f>IF(DATOS!$G16930&lt;&gt;"EX",0,--(COUNTIFS(nNIA,DATOS!$A16930,nCURSO,DATOS!$D16930,nESPEC,DATOS!$E16930,nASIG,DATOS!$I16930,nEVAL,"OR")=0))</f>
      </c>
      <c r="I16930">
        <f>IF(DATOS!$I16930="","",IFERROR(VLOOKUP(DATOS!$I16930,CONFIG_ASIGNATURAS!$B$2:$J$91,9,FALSE()),""))</f>
      </c>
    </row>
    <row r="16931">
      <c r="F16931">
        <f>IF(DATOS!$A16931="","",DATOS!$A16931&amp;"|"&amp;DATOS!$D16931&amp;"|"&amp;DATOS!$E16931&amp;"|"&amp;DATOS!$I16931)</f>
      </c>
      <c r="G16931">
        <f>IF(DATOS!$A16931="",0,IF(CONFIG_METADATA!$B$4&lt;&gt;"OR+EX",--(DATOS!$G16931=CONFIG_METADATA!$B$4),IF(DATOS!$G16931="EX",1,IF(DATOS!$G16931="OR",--(COUNTIFS(nNIA,DATOS!$A16931,nCURSO,DATOS!$D16931,nESPEC,DATOS!$E16931,nASIG,DATOS!$I16931,nEVAL,"EX")=0),0))))</f>
      </c>
      <c r="H16931">
        <f>IF(DATOS!$G16931&lt;&gt;"EX",0,--(COUNTIFS(nNIA,DATOS!$A16931,nCURSO,DATOS!$D16931,nESPEC,DATOS!$E16931,nASIG,DATOS!$I16931,nEVAL,"OR")=0))</f>
      </c>
      <c r="I16931">
        <f>IF(DATOS!$I16931="","",IFERROR(VLOOKUP(DATOS!$I16931,CONFIG_ASIGNATURAS!$B$2:$J$91,9,FALSE()),""))</f>
      </c>
    </row>
    <row r="16932">
      <c r="F16932">
        <f>IF(DATOS!$A16932="","",DATOS!$A16932&amp;"|"&amp;DATOS!$D16932&amp;"|"&amp;DATOS!$E16932&amp;"|"&amp;DATOS!$I16932)</f>
      </c>
      <c r="G16932">
        <f>IF(DATOS!$A16932="",0,IF(CONFIG_METADATA!$B$4&lt;&gt;"OR+EX",--(DATOS!$G16932=CONFIG_METADATA!$B$4),IF(DATOS!$G16932="EX",1,IF(DATOS!$G16932="OR",--(COUNTIFS(nNIA,DATOS!$A16932,nCURSO,DATOS!$D16932,nESPEC,DATOS!$E16932,nASIG,DATOS!$I16932,nEVAL,"EX")=0),0))))</f>
      </c>
      <c r="H16932">
        <f>IF(DATOS!$G16932&lt;&gt;"EX",0,--(COUNTIFS(nNIA,DATOS!$A16932,nCURSO,DATOS!$D16932,nESPEC,DATOS!$E16932,nASIG,DATOS!$I16932,nEVAL,"OR")=0))</f>
      </c>
      <c r="I16932">
        <f>IF(DATOS!$I16932="","",IFERROR(VLOOKUP(DATOS!$I16932,CONFIG_ASIGNATURAS!$B$2:$J$91,9,FALSE()),""))</f>
      </c>
    </row>
    <row r="16933">
      <c r="F16933">
        <f>IF(DATOS!$A16933="","",DATOS!$A16933&amp;"|"&amp;DATOS!$D16933&amp;"|"&amp;DATOS!$E16933&amp;"|"&amp;DATOS!$I16933)</f>
      </c>
      <c r="G16933">
        <f>IF(DATOS!$A16933="",0,IF(CONFIG_METADATA!$B$4&lt;&gt;"OR+EX",--(DATOS!$G16933=CONFIG_METADATA!$B$4),IF(DATOS!$G16933="EX",1,IF(DATOS!$G16933="OR",--(COUNTIFS(nNIA,DATOS!$A16933,nCURSO,DATOS!$D16933,nESPEC,DATOS!$E16933,nASIG,DATOS!$I16933,nEVAL,"EX")=0),0))))</f>
      </c>
      <c r="H16933">
        <f>IF(DATOS!$G16933&lt;&gt;"EX",0,--(COUNTIFS(nNIA,DATOS!$A16933,nCURSO,DATOS!$D16933,nESPEC,DATOS!$E16933,nASIG,DATOS!$I16933,nEVAL,"OR")=0))</f>
      </c>
      <c r="I16933">
        <f>IF(DATOS!$I16933="","",IFERROR(VLOOKUP(DATOS!$I16933,CONFIG_ASIGNATURAS!$B$2:$J$91,9,FALSE()),""))</f>
      </c>
    </row>
    <row r="16934">
      <c r="F16934">
        <f>IF(DATOS!$A16934="","",DATOS!$A16934&amp;"|"&amp;DATOS!$D16934&amp;"|"&amp;DATOS!$E16934&amp;"|"&amp;DATOS!$I16934)</f>
      </c>
      <c r="G16934">
        <f>IF(DATOS!$A16934="",0,IF(CONFIG_METADATA!$B$4&lt;&gt;"OR+EX",--(DATOS!$G16934=CONFIG_METADATA!$B$4),IF(DATOS!$G16934="EX",1,IF(DATOS!$G16934="OR",--(COUNTIFS(nNIA,DATOS!$A16934,nCURSO,DATOS!$D16934,nESPEC,DATOS!$E16934,nASIG,DATOS!$I16934,nEVAL,"EX")=0),0))))</f>
      </c>
      <c r="H16934">
        <f>IF(DATOS!$G16934&lt;&gt;"EX",0,--(COUNTIFS(nNIA,DATOS!$A16934,nCURSO,DATOS!$D16934,nESPEC,DATOS!$E16934,nASIG,DATOS!$I16934,nEVAL,"OR")=0))</f>
      </c>
      <c r="I16934">
        <f>IF(DATOS!$I16934="","",IFERROR(VLOOKUP(DATOS!$I16934,CONFIG_ASIGNATURAS!$B$2:$J$91,9,FALSE()),""))</f>
      </c>
    </row>
    <row r="16935">
      <c r="F16935">
        <f>IF(DATOS!$A16935="","",DATOS!$A16935&amp;"|"&amp;DATOS!$D16935&amp;"|"&amp;DATOS!$E16935&amp;"|"&amp;DATOS!$I16935)</f>
      </c>
      <c r="G16935">
        <f>IF(DATOS!$A16935="",0,IF(CONFIG_METADATA!$B$4&lt;&gt;"OR+EX",--(DATOS!$G16935=CONFIG_METADATA!$B$4),IF(DATOS!$G16935="EX",1,IF(DATOS!$G16935="OR",--(COUNTIFS(nNIA,DATOS!$A16935,nCURSO,DATOS!$D16935,nESPEC,DATOS!$E16935,nASIG,DATOS!$I16935,nEVAL,"EX")=0),0))))</f>
      </c>
      <c r="H16935">
        <f>IF(DATOS!$G16935&lt;&gt;"EX",0,--(COUNTIFS(nNIA,DATOS!$A16935,nCURSO,DATOS!$D16935,nESPEC,DATOS!$E16935,nASIG,DATOS!$I16935,nEVAL,"OR")=0))</f>
      </c>
      <c r="I16935">
        <f>IF(DATOS!$I16935="","",IFERROR(VLOOKUP(DATOS!$I16935,CONFIG_ASIGNATURAS!$B$2:$J$91,9,FALSE()),""))</f>
      </c>
    </row>
    <row r="16936">
      <c r="F16936">
        <f>IF(DATOS!$A16936="","",DATOS!$A16936&amp;"|"&amp;DATOS!$D16936&amp;"|"&amp;DATOS!$E16936&amp;"|"&amp;DATOS!$I16936)</f>
      </c>
      <c r="G16936">
        <f>IF(DATOS!$A16936="",0,IF(CONFIG_METADATA!$B$4&lt;&gt;"OR+EX",--(DATOS!$G16936=CONFIG_METADATA!$B$4),IF(DATOS!$G16936="EX",1,IF(DATOS!$G16936="OR",--(COUNTIFS(nNIA,DATOS!$A16936,nCURSO,DATOS!$D16936,nESPEC,DATOS!$E16936,nASIG,DATOS!$I16936,nEVAL,"EX")=0),0))))</f>
      </c>
      <c r="H16936">
        <f>IF(DATOS!$G16936&lt;&gt;"EX",0,--(COUNTIFS(nNIA,DATOS!$A16936,nCURSO,DATOS!$D16936,nESPEC,DATOS!$E16936,nASIG,DATOS!$I16936,nEVAL,"OR")=0))</f>
      </c>
      <c r="I16936">
        <f>IF(DATOS!$I16936="","",IFERROR(VLOOKUP(DATOS!$I16936,CONFIG_ASIGNATURAS!$B$2:$J$91,9,FALSE()),""))</f>
      </c>
    </row>
    <row r="16937">
      <c r="F16937">
        <f>IF(DATOS!$A16937="","",DATOS!$A16937&amp;"|"&amp;DATOS!$D16937&amp;"|"&amp;DATOS!$E16937&amp;"|"&amp;DATOS!$I16937)</f>
      </c>
      <c r="G16937">
        <f>IF(DATOS!$A16937="",0,IF(CONFIG_METADATA!$B$4&lt;&gt;"OR+EX",--(DATOS!$G16937=CONFIG_METADATA!$B$4),IF(DATOS!$G16937="EX",1,IF(DATOS!$G16937="OR",--(COUNTIFS(nNIA,DATOS!$A16937,nCURSO,DATOS!$D16937,nESPEC,DATOS!$E16937,nASIG,DATOS!$I16937,nEVAL,"EX")=0),0))))</f>
      </c>
      <c r="H16937">
        <f>IF(DATOS!$G16937&lt;&gt;"EX",0,--(COUNTIFS(nNIA,DATOS!$A16937,nCURSO,DATOS!$D16937,nESPEC,DATOS!$E16937,nASIG,DATOS!$I16937,nEVAL,"OR")=0))</f>
      </c>
      <c r="I16937">
        <f>IF(DATOS!$I16937="","",IFERROR(VLOOKUP(DATOS!$I16937,CONFIG_ASIGNATURAS!$B$2:$J$91,9,FALSE()),""))</f>
      </c>
    </row>
    <row r="16938">
      <c r="F16938">
        <f>IF(DATOS!$A16938="","",DATOS!$A16938&amp;"|"&amp;DATOS!$D16938&amp;"|"&amp;DATOS!$E16938&amp;"|"&amp;DATOS!$I16938)</f>
      </c>
      <c r="G16938">
        <f>IF(DATOS!$A16938="",0,IF(CONFIG_METADATA!$B$4&lt;&gt;"OR+EX",--(DATOS!$G16938=CONFIG_METADATA!$B$4),IF(DATOS!$G16938="EX",1,IF(DATOS!$G16938="OR",--(COUNTIFS(nNIA,DATOS!$A16938,nCURSO,DATOS!$D16938,nESPEC,DATOS!$E16938,nASIG,DATOS!$I16938,nEVAL,"EX")=0),0))))</f>
      </c>
      <c r="H16938">
        <f>IF(DATOS!$G16938&lt;&gt;"EX",0,--(COUNTIFS(nNIA,DATOS!$A16938,nCURSO,DATOS!$D16938,nESPEC,DATOS!$E16938,nASIG,DATOS!$I16938,nEVAL,"OR")=0))</f>
      </c>
      <c r="I16938">
        <f>IF(DATOS!$I16938="","",IFERROR(VLOOKUP(DATOS!$I16938,CONFIG_ASIGNATURAS!$B$2:$J$91,9,FALSE()),""))</f>
      </c>
    </row>
    <row r="16939">
      <c r="F16939">
        <f>IF(DATOS!$A16939="","",DATOS!$A16939&amp;"|"&amp;DATOS!$D16939&amp;"|"&amp;DATOS!$E16939&amp;"|"&amp;DATOS!$I16939)</f>
      </c>
      <c r="G16939">
        <f>IF(DATOS!$A16939="",0,IF(CONFIG_METADATA!$B$4&lt;&gt;"OR+EX",--(DATOS!$G16939=CONFIG_METADATA!$B$4),IF(DATOS!$G16939="EX",1,IF(DATOS!$G16939="OR",--(COUNTIFS(nNIA,DATOS!$A16939,nCURSO,DATOS!$D16939,nESPEC,DATOS!$E16939,nASIG,DATOS!$I16939,nEVAL,"EX")=0),0))))</f>
      </c>
      <c r="H16939">
        <f>IF(DATOS!$G16939&lt;&gt;"EX",0,--(COUNTIFS(nNIA,DATOS!$A16939,nCURSO,DATOS!$D16939,nESPEC,DATOS!$E16939,nASIG,DATOS!$I16939,nEVAL,"OR")=0))</f>
      </c>
      <c r="I16939">
        <f>IF(DATOS!$I16939="","",IFERROR(VLOOKUP(DATOS!$I16939,CONFIG_ASIGNATURAS!$B$2:$J$91,9,FALSE()),""))</f>
      </c>
    </row>
    <row r="16940">
      <c r="F16940">
        <f>IF(DATOS!$A16940="","",DATOS!$A16940&amp;"|"&amp;DATOS!$D16940&amp;"|"&amp;DATOS!$E16940&amp;"|"&amp;DATOS!$I16940)</f>
      </c>
      <c r="G16940">
        <f>IF(DATOS!$A16940="",0,IF(CONFIG_METADATA!$B$4&lt;&gt;"OR+EX",--(DATOS!$G16940=CONFIG_METADATA!$B$4),IF(DATOS!$G16940="EX",1,IF(DATOS!$G16940="OR",--(COUNTIFS(nNIA,DATOS!$A16940,nCURSO,DATOS!$D16940,nESPEC,DATOS!$E16940,nASIG,DATOS!$I16940,nEVAL,"EX")=0),0))))</f>
      </c>
      <c r="H16940">
        <f>IF(DATOS!$G16940&lt;&gt;"EX",0,--(COUNTIFS(nNIA,DATOS!$A16940,nCURSO,DATOS!$D16940,nESPEC,DATOS!$E16940,nASIG,DATOS!$I16940,nEVAL,"OR")=0))</f>
      </c>
      <c r="I16940">
        <f>IF(DATOS!$I16940="","",IFERROR(VLOOKUP(DATOS!$I16940,CONFIG_ASIGNATURAS!$B$2:$J$91,9,FALSE()),""))</f>
      </c>
    </row>
    <row r="16941">
      <c r="F16941">
        <f>IF(DATOS!$A16941="","",DATOS!$A16941&amp;"|"&amp;DATOS!$D16941&amp;"|"&amp;DATOS!$E16941&amp;"|"&amp;DATOS!$I16941)</f>
      </c>
      <c r="G16941">
        <f>IF(DATOS!$A16941="",0,IF(CONFIG_METADATA!$B$4&lt;&gt;"OR+EX",--(DATOS!$G16941=CONFIG_METADATA!$B$4),IF(DATOS!$G16941="EX",1,IF(DATOS!$G16941="OR",--(COUNTIFS(nNIA,DATOS!$A16941,nCURSO,DATOS!$D16941,nESPEC,DATOS!$E16941,nASIG,DATOS!$I16941,nEVAL,"EX")=0),0))))</f>
      </c>
      <c r="H16941">
        <f>IF(DATOS!$G16941&lt;&gt;"EX",0,--(COUNTIFS(nNIA,DATOS!$A16941,nCURSO,DATOS!$D16941,nESPEC,DATOS!$E16941,nASIG,DATOS!$I16941,nEVAL,"OR")=0))</f>
      </c>
      <c r="I16941">
        <f>IF(DATOS!$I16941="","",IFERROR(VLOOKUP(DATOS!$I16941,CONFIG_ASIGNATURAS!$B$2:$J$91,9,FALSE()),""))</f>
      </c>
    </row>
    <row r="16942">
      <c r="F16942">
        <f>IF(DATOS!$A16942="","",DATOS!$A16942&amp;"|"&amp;DATOS!$D16942&amp;"|"&amp;DATOS!$E16942&amp;"|"&amp;DATOS!$I16942)</f>
      </c>
      <c r="G16942">
        <f>IF(DATOS!$A16942="",0,IF(CONFIG_METADATA!$B$4&lt;&gt;"OR+EX",--(DATOS!$G16942=CONFIG_METADATA!$B$4),IF(DATOS!$G16942="EX",1,IF(DATOS!$G16942="OR",--(COUNTIFS(nNIA,DATOS!$A16942,nCURSO,DATOS!$D16942,nESPEC,DATOS!$E16942,nASIG,DATOS!$I16942,nEVAL,"EX")=0),0))))</f>
      </c>
      <c r="H16942">
        <f>IF(DATOS!$G16942&lt;&gt;"EX",0,--(COUNTIFS(nNIA,DATOS!$A16942,nCURSO,DATOS!$D16942,nESPEC,DATOS!$E16942,nASIG,DATOS!$I16942,nEVAL,"OR")=0))</f>
      </c>
      <c r="I16942">
        <f>IF(DATOS!$I16942="","",IFERROR(VLOOKUP(DATOS!$I16942,CONFIG_ASIGNATURAS!$B$2:$J$91,9,FALSE()),""))</f>
      </c>
    </row>
    <row r="16943">
      <c r="F16943">
        <f>IF(DATOS!$A16943="","",DATOS!$A16943&amp;"|"&amp;DATOS!$D16943&amp;"|"&amp;DATOS!$E16943&amp;"|"&amp;DATOS!$I16943)</f>
      </c>
      <c r="G16943">
        <f>IF(DATOS!$A16943="",0,IF(CONFIG_METADATA!$B$4&lt;&gt;"OR+EX",--(DATOS!$G16943=CONFIG_METADATA!$B$4),IF(DATOS!$G16943="EX",1,IF(DATOS!$G16943="OR",--(COUNTIFS(nNIA,DATOS!$A16943,nCURSO,DATOS!$D16943,nESPEC,DATOS!$E16943,nASIG,DATOS!$I16943,nEVAL,"EX")=0),0))))</f>
      </c>
      <c r="H16943">
        <f>IF(DATOS!$G16943&lt;&gt;"EX",0,--(COUNTIFS(nNIA,DATOS!$A16943,nCURSO,DATOS!$D16943,nESPEC,DATOS!$E16943,nASIG,DATOS!$I16943,nEVAL,"OR")=0))</f>
      </c>
      <c r="I16943">
        <f>IF(DATOS!$I16943="","",IFERROR(VLOOKUP(DATOS!$I16943,CONFIG_ASIGNATURAS!$B$2:$J$91,9,FALSE()),""))</f>
      </c>
    </row>
    <row r="16944">
      <c r="F16944">
        <f>IF(DATOS!$A16944="","",DATOS!$A16944&amp;"|"&amp;DATOS!$D16944&amp;"|"&amp;DATOS!$E16944&amp;"|"&amp;DATOS!$I16944)</f>
      </c>
      <c r="G16944">
        <f>IF(DATOS!$A16944="",0,IF(CONFIG_METADATA!$B$4&lt;&gt;"OR+EX",--(DATOS!$G16944=CONFIG_METADATA!$B$4),IF(DATOS!$G16944="EX",1,IF(DATOS!$G16944="OR",--(COUNTIFS(nNIA,DATOS!$A16944,nCURSO,DATOS!$D16944,nESPEC,DATOS!$E16944,nASIG,DATOS!$I16944,nEVAL,"EX")=0),0))))</f>
      </c>
      <c r="H16944">
        <f>IF(DATOS!$G16944&lt;&gt;"EX",0,--(COUNTIFS(nNIA,DATOS!$A16944,nCURSO,DATOS!$D16944,nESPEC,DATOS!$E16944,nASIG,DATOS!$I16944,nEVAL,"OR")=0))</f>
      </c>
      <c r="I16944">
        <f>IF(DATOS!$I16944="","",IFERROR(VLOOKUP(DATOS!$I16944,CONFIG_ASIGNATURAS!$B$2:$J$91,9,FALSE()),""))</f>
      </c>
    </row>
    <row r="16945">
      <c r="F16945">
        <f>IF(DATOS!$A16945="","",DATOS!$A16945&amp;"|"&amp;DATOS!$D16945&amp;"|"&amp;DATOS!$E16945&amp;"|"&amp;DATOS!$I16945)</f>
      </c>
      <c r="G16945">
        <f>IF(DATOS!$A16945="",0,IF(CONFIG_METADATA!$B$4&lt;&gt;"OR+EX",--(DATOS!$G16945=CONFIG_METADATA!$B$4),IF(DATOS!$G16945="EX",1,IF(DATOS!$G16945="OR",--(COUNTIFS(nNIA,DATOS!$A16945,nCURSO,DATOS!$D16945,nESPEC,DATOS!$E16945,nASIG,DATOS!$I16945,nEVAL,"EX")=0),0))))</f>
      </c>
      <c r="H16945">
        <f>IF(DATOS!$G16945&lt;&gt;"EX",0,--(COUNTIFS(nNIA,DATOS!$A16945,nCURSO,DATOS!$D16945,nESPEC,DATOS!$E16945,nASIG,DATOS!$I16945,nEVAL,"OR")=0))</f>
      </c>
      <c r="I16945">
        <f>IF(DATOS!$I16945="","",IFERROR(VLOOKUP(DATOS!$I16945,CONFIG_ASIGNATURAS!$B$2:$J$91,9,FALSE()),""))</f>
      </c>
    </row>
    <row r="16946">
      <c r="F16946">
        <f>IF(DATOS!$A16946="","",DATOS!$A16946&amp;"|"&amp;DATOS!$D16946&amp;"|"&amp;DATOS!$E16946&amp;"|"&amp;DATOS!$I16946)</f>
      </c>
      <c r="G16946">
        <f>IF(DATOS!$A16946="",0,IF(CONFIG_METADATA!$B$4&lt;&gt;"OR+EX",--(DATOS!$G16946=CONFIG_METADATA!$B$4),IF(DATOS!$G16946="EX",1,IF(DATOS!$G16946="OR",--(COUNTIFS(nNIA,DATOS!$A16946,nCURSO,DATOS!$D16946,nESPEC,DATOS!$E16946,nASIG,DATOS!$I16946,nEVAL,"EX")=0),0))))</f>
      </c>
      <c r="H16946">
        <f>IF(DATOS!$G16946&lt;&gt;"EX",0,--(COUNTIFS(nNIA,DATOS!$A16946,nCURSO,DATOS!$D16946,nESPEC,DATOS!$E16946,nASIG,DATOS!$I16946,nEVAL,"OR")=0))</f>
      </c>
      <c r="I16946">
        <f>IF(DATOS!$I16946="","",IFERROR(VLOOKUP(DATOS!$I16946,CONFIG_ASIGNATURAS!$B$2:$J$91,9,FALSE()),""))</f>
      </c>
    </row>
    <row r="16947">
      <c r="F16947">
        <f>IF(DATOS!$A16947="","",DATOS!$A16947&amp;"|"&amp;DATOS!$D16947&amp;"|"&amp;DATOS!$E16947&amp;"|"&amp;DATOS!$I16947)</f>
      </c>
      <c r="G16947">
        <f>IF(DATOS!$A16947="",0,IF(CONFIG_METADATA!$B$4&lt;&gt;"OR+EX",--(DATOS!$G16947=CONFIG_METADATA!$B$4),IF(DATOS!$G16947="EX",1,IF(DATOS!$G16947="OR",--(COUNTIFS(nNIA,DATOS!$A16947,nCURSO,DATOS!$D16947,nESPEC,DATOS!$E16947,nASIG,DATOS!$I16947,nEVAL,"EX")=0),0))))</f>
      </c>
      <c r="H16947">
        <f>IF(DATOS!$G16947&lt;&gt;"EX",0,--(COUNTIFS(nNIA,DATOS!$A16947,nCURSO,DATOS!$D16947,nESPEC,DATOS!$E16947,nASIG,DATOS!$I16947,nEVAL,"OR")=0))</f>
      </c>
      <c r="I16947">
        <f>IF(DATOS!$I16947="","",IFERROR(VLOOKUP(DATOS!$I16947,CONFIG_ASIGNATURAS!$B$2:$J$91,9,FALSE()),""))</f>
      </c>
    </row>
    <row r="16948">
      <c r="F16948">
        <f>IF(DATOS!$A16948="","",DATOS!$A16948&amp;"|"&amp;DATOS!$D16948&amp;"|"&amp;DATOS!$E16948&amp;"|"&amp;DATOS!$I16948)</f>
      </c>
      <c r="G16948">
        <f>IF(DATOS!$A16948="",0,IF(CONFIG_METADATA!$B$4&lt;&gt;"OR+EX",--(DATOS!$G16948=CONFIG_METADATA!$B$4),IF(DATOS!$G16948="EX",1,IF(DATOS!$G16948="OR",--(COUNTIFS(nNIA,DATOS!$A16948,nCURSO,DATOS!$D16948,nESPEC,DATOS!$E16948,nASIG,DATOS!$I16948,nEVAL,"EX")=0),0))))</f>
      </c>
      <c r="H16948">
        <f>IF(DATOS!$G16948&lt;&gt;"EX",0,--(COUNTIFS(nNIA,DATOS!$A16948,nCURSO,DATOS!$D16948,nESPEC,DATOS!$E16948,nASIG,DATOS!$I16948,nEVAL,"OR")=0))</f>
      </c>
      <c r="I16948">
        <f>IF(DATOS!$I16948="","",IFERROR(VLOOKUP(DATOS!$I16948,CONFIG_ASIGNATURAS!$B$2:$J$91,9,FALSE()),""))</f>
      </c>
    </row>
    <row r="16949">
      <c r="F16949">
        <f>IF(DATOS!$A16949="","",DATOS!$A16949&amp;"|"&amp;DATOS!$D16949&amp;"|"&amp;DATOS!$E16949&amp;"|"&amp;DATOS!$I16949)</f>
      </c>
      <c r="G16949">
        <f>IF(DATOS!$A16949="",0,IF(CONFIG_METADATA!$B$4&lt;&gt;"OR+EX",--(DATOS!$G16949=CONFIG_METADATA!$B$4),IF(DATOS!$G16949="EX",1,IF(DATOS!$G16949="OR",--(COUNTIFS(nNIA,DATOS!$A16949,nCURSO,DATOS!$D16949,nESPEC,DATOS!$E16949,nASIG,DATOS!$I16949,nEVAL,"EX")=0),0))))</f>
      </c>
      <c r="H16949">
        <f>IF(DATOS!$G16949&lt;&gt;"EX",0,--(COUNTIFS(nNIA,DATOS!$A16949,nCURSO,DATOS!$D16949,nESPEC,DATOS!$E16949,nASIG,DATOS!$I16949,nEVAL,"OR")=0))</f>
      </c>
      <c r="I16949">
        <f>IF(DATOS!$I16949="","",IFERROR(VLOOKUP(DATOS!$I16949,CONFIG_ASIGNATURAS!$B$2:$J$91,9,FALSE()),""))</f>
      </c>
    </row>
    <row r="16950">
      <c r="F16950">
        <f>IF(DATOS!$A16950="","",DATOS!$A16950&amp;"|"&amp;DATOS!$D16950&amp;"|"&amp;DATOS!$E16950&amp;"|"&amp;DATOS!$I16950)</f>
      </c>
      <c r="G16950">
        <f>IF(DATOS!$A16950="",0,IF(CONFIG_METADATA!$B$4&lt;&gt;"OR+EX",--(DATOS!$G16950=CONFIG_METADATA!$B$4),IF(DATOS!$G16950="EX",1,IF(DATOS!$G16950="OR",--(COUNTIFS(nNIA,DATOS!$A16950,nCURSO,DATOS!$D16950,nESPEC,DATOS!$E16950,nASIG,DATOS!$I16950,nEVAL,"EX")=0),0))))</f>
      </c>
      <c r="H16950">
        <f>IF(DATOS!$G16950&lt;&gt;"EX",0,--(COUNTIFS(nNIA,DATOS!$A16950,nCURSO,DATOS!$D16950,nESPEC,DATOS!$E16950,nASIG,DATOS!$I16950,nEVAL,"OR")=0))</f>
      </c>
      <c r="I16950">
        <f>IF(DATOS!$I16950="","",IFERROR(VLOOKUP(DATOS!$I16950,CONFIG_ASIGNATURAS!$B$2:$J$91,9,FALSE()),""))</f>
      </c>
    </row>
    <row r="16951">
      <c r="F16951">
        <f>IF(DATOS!$A16951="","",DATOS!$A16951&amp;"|"&amp;DATOS!$D16951&amp;"|"&amp;DATOS!$E16951&amp;"|"&amp;DATOS!$I16951)</f>
      </c>
      <c r="G16951">
        <f>IF(DATOS!$A16951="",0,IF(CONFIG_METADATA!$B$4&lt;&gt;"OR+EX",--(DATOS!$G16951=CONFIG_METADATA!$B$4),IF(DATOS!$G16951="EX",1,IF(DATOS!$G16951="OR",--(COUNTIFS(nNIA,DATOS!$A16951,nCURSO,DATOS!$D16951,nESPEC,DATOS!$E16951,nASIG,DATOS!$I16951,nEVAL,"EX")=0),0))))</f>
      </c>
      <c r="H16951">
        <f>IF(DATOS!$G16951&lt;&gt;"EX",0,--(COUNTIFS(nNIA,DATOS!$A16951,nCURSO,DATOS!$D16951,nESPEC,DATOS!$E16951,nASIG,DATOS!$I16951,nEVAL,"OR")=0))</f>
      </c>
      <c r="I16951">
        <f>IF(DATOS!$I16951="","",IFERROR(VLOOKUP(DATOS!$I16951,CONFIG_ASIGNATURAS!$B$2:$J$91,9,FALSE()),""))</f>
      </c>
    </row>
    <row r="16952">
      <c r="F16952">
        <f>IF(DATOS!$A16952="","",DATOS!$A16952&amp;"|"&amp;DATOS!$D16952&amp;"|"&amp;DATOS!$E16952&amp;"|"&amp;DATOS!$I16952)</f>
      </c>
      <c r="G16952">
        <f>IF(DATOS!$A16952="",0,IF(CONFIG_METADATA!$B$4&lt;&gt;"OR+EX",--(DATOS!$G16952=CONFIG_METADATA!$B$4),IF(DATOS!$G16952="EX",1,IF(DATOS!$G16952="OR",--(COUNTIFS(nNIA,DATOS!$A16952,nCURSO,DATOS!$D16952,nESPEC,DATOS!$E16952,nASIG,DATOS!$I16952,nEVAL,"EX")=0),0))))</f>
      </c>
      <c r="H16952">
        <f>IF(DATOS!$G16952&lt;&gt;"EX",0,--(COUNTIFS(nNIA,DATOS!$A16952,nCURSO,DATOS!$D16952,nESPEC,DATOS!$E16952,nASIG,DATOS!$I16952,nEVAL,"OR")=0))</f>
      </c>
      <c r="I16952">
        <f>IF(DATOS!$I16952="","",IFERROR(VLOOKUP(DATOS!$I16952,CONFIG_ASIGNATURAS!$B$2:$J$91,9,FALSE()),""))</f>
      </c>
    </row>
    <row r="16953">
      <c r="F16953">
        <f>IF(DATOS!$A16953="","",DATOS!$A16953&amp;"|"&amp;DATOS!$D16953&amp;"|"&amp;DATOS!$E16953&amp;"|"&amp;DATOS!$I16953)</f>
      </c>
      <c r="G16953">
        <f>IF(DATOS!$A16953="",0,IF(CONFIG_METADATA!$B$4&lt;&gt;"OR+EX",--(DATOS!$G16953=CONFIG_METADATA!$B$4),IF(DATOS!$G16953="EX",1,IF(DATOS!$G16953="OR",--(COUNTIFS(nNIA,DATOS!$A16953,nCURSO,DATOS!$D16953,nESPEC,DATOS!$E16953,nASIG,DATOS!$I16953,nEVAL,"EX")=0),0))))</f>
      </c>
      <c r="H16953">
        <f>IF(DATOS!$G16953&lt;&gt;"EX",0,--(COUNTIFS(nNIA,DATOS!$A16953,nCURSO,DATOS!$D16953,nESPEC,DATOS!$E16953,nASIG,DATOS!$I16953,nEVAL,"OR")=0))</f>
      </c>
      <c r="I16953">
        <f>IF(DATOS!$I16953="","",IFERROR(VLOOKUP(DATOS!$I16953,CONFIG_ASIGNATURAS!$B$2:$J$91,9,FALSE()),""))</f>
      </c>
    </row>
    <row r="16954">
      <c r="F16954">
        <f>IF(DATOS!$A16954="","",DATOS!$A16954&amp;"|"&amp;DATOS!$D16954&amp;"|"&amp;DATOS!$E16954&amp;"|"&amp;DATOS!$I16954)</f>
      </c>
      <c r="G16954">
        <f>IF(DATOS!$A16954="",0,IF(CONFIG_METADATA!$B$4&lt;&gt;"OR+EX",--(DATOS!$G16954=CONFIG_METADATA!$B$4),IF(DATOS!$G16954="EX",1,IF(DATOS!$G16954="OR",--(COUNTIFS(nNIA,DATOS!$A16954,nCURSO,DATOS!$D16954,nESPEC,DATOS!$E16954,nASIG,DATOS!$I16954,nEVAL,"EX")=0),0))))</f>
      </c>
      <c r="H16954">
        <f>IF(DATOS!$G16954&lt;&gt;"EX",0,--(COUNTIFS(nNIA,DATOS!$A16954,nCURSO,DATOS!$D16954,nESPEC,DATOS!$E16954,nASIG,DATOS!$I16954,nEVAL,"OR")=0))</f>
      </c>
      <c r="I16954">
        <f>IF(DATOS!$I16954="","",IFERROR(VLOOKUP(DATOS!$I16954,CONFIG_ASIGNATURAS!$B$2:$J$91,9,FALSE()),""))</f>
      </c>
    </row>
    <row r="16955">
      <c r="F16955">
        <f>IF(DATOS!$A16955="","",DATOS!$A16955&amp;"|"&amp;DATOS!$D16955&amp;"|"&amp;DATOS!$E16955&amp;"|"&amp;DATOS!$I16955)</f>
      </c>
      <c r="G16955">
        <f>IF(DATOS!$A16955="",0,IF(CONFIG_METADATA!$B$4&lt;&gt;"OR+EX",--(DATOS!$G16955=CONFIG_METADATA!$B$4),IF(DATOS!$G16955="EX",1,IF(DATOS!$G16955="OR",--(COUNTIFS(nNIA,DATOS!$A16955,nCURSO,DATOS!$D16955,nESPEC,DATOS!$E16955,nASIG,DATOS!$I16955,nEVAL,"EX")=0),0))))</f>
      </c>
      <c r="H16955">
        <f>IF(DATOS!$G16955&lt;&gt;"EX",0,--(COUNTIFS(nNIA,DATOS!$A16955,nCURSO,DATOS!$D16955,nESPEC,DATOS!$E16955,nASIG,DATOS!$I16955,nEVAL,"OR")=0))</f>
      </c>
      <c r="I16955">
        <f>IF(DATOS!$I16955="","",IFERROR(VLOOKUP(DATOS!$I16955,CONFIG_ASIGNATURAS!$B$2:$J$91,9,FALSE()),""))</f>
      </c>
    </row>
    <row r="16956">
      <c r="F16956">
        <f>IF(DATOS!$A16956="","",DATOS!$A16956&amp;"|"&amp;DATOS!$D16956&amp;"|"&amp;DATOS!$E16956&amp;"|"&amp;DATOS!$I16956)</f>
      </c>
      <c r="G16956">
        <f>IF(DATOS!$A16956="",0,IF(CONFIG_METADATA!$B$4&lt;&gt;"OR+EX",--(DATOS!$G16956=CONFIG_METADATA!$B$4),IF(DATOS!$G16956="EX",1,IF(DATOS!$G16956="OR",--(COUNTIFS(nNIA,DATOS!$A16956,nCURSO,DATOS!$D16956,nESPEC,DATOS!$E16956,nASIG,DATOS!$I16956,nEVAL,"EX")=0),0))))</f>
      </c>
      <c r="H16956">
        <f>IF(DATOS!$G16956&lt;&gt;"EX",0,--(COUNTIFS(nNIA,DATOS!$A16956,nCURSO,DATOS!$D16956,nESPEC,DATOS!$E16956,nASIG,DATOS!$I16956,nEVAL,"OR")=0))</f>
      </c>
      <c r="I16956">
        <f>IF(DATOS!$I16956="","",IFERROR(VLOOKUP(DATOS!$I16956,CONFIG_ASIGNATURAS!$B$2:$J$91,9,FALSE()),""))</f>
      </c>
    </row>
    <row r="16957">
      <c r="F16957">
        <f>IF(DATOS!$A16957="","",DATOS!$A16957&amp;"|"&amp;DATOS!$D16957&amp;"|"&amp;DATOS!$E16957&amp;"|"&amp;DATOS!$I16957)</f>
      </c>
      <c r="G16957">
        <f>IF(DATOS!$A16957="",0,IF(CONFIG_METADATA!$B$4&lt;&gt;"OR+EX",--(DATOS!$G16957=CONFIG_METADATA!$B$4),IF(DATOS!$G16957="EX",1,IF(DATOS!$G16957="OR",--(COUNTIFS(nNIA,DATOS!$A16957,nCURSO,DATOS!$D16957,nESPEC,DATOS!$E16957,nASIG,DATOS!$I16957,nEVAL,"EX")=0),0))))</f>
      </c>
      <c r="H16957">
        <f>IF(DATOS!$G16957&lt;&gt;"EX",0,--(COUNTIFS(nNIA,DATOS!$A16957,nCURSO,DATOS!$D16957,nESPEC,DATOS!$E16957,nASIG,DATOS!$I16957,nEVAL,"OR")=0))</f>
      </c>
      <c r="I16957">
        <f>IF(DATOS!$I16957="","",IFERROR(VLOOKUP(DATOS!$I16957,CONFIG_ASIGNATURAS!$B$2:$J$91,9,FALSE()),""))</f>
      </c>
    </row>
    <row r="16958">
      <c r="F16958">
        <f>IF(DATOS!$A16958="","",DATOS!$A16958&amp;"|"&amp;DATOS!$D16958&amp;"|"&amp;DATOS!$E16958&amp;"|"&amp;DATOS!$I16958)</f>
      </c>
      <c r="G16958">
        <f>IF(DATOS!$A16958="",0,IF(CONFIG_METADATA!$B$4&lt;&gt;"OR+EX",--(DATOS!$G16958=CONFIG_METADATA!$B$4),IF(DATOS!$G16958="EX",1,IF(DATOS!$G16958="OR",--(COUNTIFS(nNIA,DATOS!$A16958,nCURSO,DATOS!$D16958,nESPEC,DATOS!$E16958,nASIG,DATOS!$I16958,nEVAL,"EX")=0),0))))</f>
      </c>
      <c r="H16958">
        <f>IF(DATOS!$G16958&lt;&gt;"EX",0,--(COUNTIFS(nNIA,DATOS!$A16958,nCURSO,DATOS!$D16958,nESPEC,DATOS!$E16958,nASIG,DATOS!$I16958,nEVAL,"OR")=0))</f>
      </c>
      <c r="I16958">
        <f>IF(DATOS!$I16958="","",IFERROR(VLOOKUP(DATOS!$I16958,CONFIG_ASIGNATURAS!$B$2:$J$91,9,FALSE()),""))</f>
      </c>
    </row>
    <row r="16959">
      <c r="F16959">
        <f>IF(DATOS!$A16959="","",DATOS!$A16959&amp;"|"&amp;DATOS!$D16959&amp;"|"&amp;DATOS!$E16959&amp;"|"&amp;DATOS!$I16959)</f>
      </c>
      <c r="G16959">
        <f>IF(DATOS!$A16959="",0,IF(CONFIG_METADATA!$B$4&lt;&gt;"OR+EX",--(DATOS!$G16959=CONFIG_METADATA!$B$4),IF(DATOS!$G16959="EX",1,IF(DATOS!$G16959="OR",--(COUNTIFS(nNIA,DATOS!$A16959,nCURSO,DATOS!$D16959,nESPEC,DATOS!$E16959,nASIG,DATOS!$I16959,nEVAL,"EX")=0),0))))</f>
      </c>
      <c r="H16959">
        <f>IF(DATOS!$G16959&lt;&gt;"EX",0,--(COUNTIFS(nNIA,DATOS!$A16959,nCURSO,DATOS!$D16959,nESPEC,DATOS!$E16959,nASIG,DATOS!$I16959,nEVAL,"OR")=0))</f>
      </c>
      <c r="I16959">
        <f>IF(DATOS!$I16959="","",IFERROR(VLOOKUP(DATOS!$I16959,CONFIG_ASIGNATURAS!$B$2:$J$91,9,FALSE()),""))</f>
      </c>
    </row>
    <row r="16960">
      <c r="F16960">
        <f>IF(DATOS!$A16960="","",DATOS!$A16960&amp;"|"&amp;DATOS!$D16960&amp;"|"&amp;DATOS!$E16960&amp;"|"&amp;DATOS!$I16960)</f>
      </c>
      <c r="G16960">
        <f>IF(DATOS!$A16960="",0,IF(CONFIG_METADATA!$B$4&lt;&gt;"OR+EX",--(DATOS!$G16960=CONFIG_METADATA!$B$4),IF(DATOS!$G16960="EX",1,IF(DATOS!$G16960="OR",--(COUNTIFS(nNIA,DATOS!$A16960,nCURSO,DATOS!$D16960,nESPEC,DATOS!$E16960,nASIG,DATOS!$I16960,nEVAL,"EX")=0),0))))</f>
      </c>
      <c r="H16960">
        <f>IF(DATOS!$G16960&lt;&gt;"EX",0,--(COUNTIFS(nNIA,DATOS!$A16960,nCURSO,DATOS!$D16960,nESPEC,DATOS!$E16960,nASIG,DATOS!$I16960,nEVAL,"OR")=0))</f>
      </c>
      <c r="I16960">
        <f>IF(DATOS!$I16960="","",IFERROR(VLOOKUP(DATOS!$I16960,CONFIG_ASIGNATURAS!$B$2:$J$91,9,FALSE()),""))</f>
      </c>
    </row>
    <row r="16961">
      <c r="F16961">
        <f>IF(DATOS!$A16961="","",DATOS!$A16961&amp;"|"&amp;DATOS!$D16961&amp;"|"&amp;DATOS!$E16961&amp;"|"&amp;DATOS!$I16961)</f>
      </c>
      <c r="G16961">
        <f>IF(DATOS!$A16961="",0,IF(CONFIG_METADATA!$B$4&lt;&gt;"OR+EX",--(DATOS!$G16961=CONFIG_METADATA!$B$4),IF(DATOS!$G16961="EX",1,IF(DATOS!$G16961="OR",--(COUNTIFS(nNIA,DATOS!$A16961,nCURSO,DATOS!$D16961,nESPEC,DATOS!$E16961,nASIG,DATOS!$I16961,nEVAL,"EX")=0),0))))</f>
      </c>
      <c r="H16961">
        <f>IF(DATOS!$G16961&lt;&gt;"EX",0,--(COUNTIFS(nNIA,DATOS!$A16961,nCURSO,DATOS!$D16961,nESPEC,DATOS!$E16961,nASIG,DATOS!$I16961,nEVAL,"OR")=0))</f>
      </c>
      <c r="I16961">
        <f>IF(DATOS!$I16961="","",IFERROR(VLOOKUP(DATOS!$I16961,CONFIG_ASIGNATURAS!$B$2:$J$91,9,FALSE()),""))</f>
      </c>
    </row>
    <row r="16962">
      <c r="F16962">
        <f>IF(DATOS!$A16962="","",DATOS!$A16962&amp;"|"&amp;DATOS!$D16962&amp;"|"&amp;DATOS!$E16962&amp;"|"&amp;DATOS!$I16962)</f>
      </c>
      <c r="G16962">
        <f>IF(DATOS!$A16962="",0,IF(CONFIG_METADATA!$B$4&lt;&gt;"OR+EX",--(DATOS!$G16962=CONFIG_METADATA!$B$4),IF(DATOS!$G16962="EX",1,IF(DATOS!$G16962="OR",--(COUNTIFS(nNIA,DATOS!$A16962,nCURSO,DATOS!$D16962,nESPEC,DATOS!$E16962,nASIG,DATOS!$I16962,nEVAL,"EX")=0),0))))</f>
      </c>
      <c r="H16962">
        <f>IF(DATOS!$G16962&lt;&gt;"EX",0,--(COUNTIFS(nNIA,DATOS!$A16962,nCURSO,DATOS!$D16962,nESPEC,DATOS!$E16962,nASIG,DATOS!$I16962,nEVAL,"OR")=0))</f>
      </c>
      <c r="I16962">
        <f>IF(DATOS!$I16962="","",IFERROR(VLOOKUP(DATOS!$I16962,CONFIG_ASIGNATURAS!$B$2:$J$91,9,FALSE()),""))</f>
      </c>
    </row>
    <row r="16963">
      <c r="F16963">
        <f>IF(DATOS!$A16963="","",DATOS!$A16963&amp;"|"&amp;DATOS!$D16963&amp;"|"&amp;DATOS!$E16963&amp;"|"&amp;DATOS!$I16963)</f>
      </c>
      <c r="G16963">
        <f>IF(DATOS!$A16963="",0,IF(CONFIG_METADATA!$B$4&lt;&gt;"OR+EX",--(DATOS!$G16963=CONFIG_METADATA!$B$4),IF(DATOS!$G16963="EX",1,IF(DATOS!$G16963="OR",--(COUNTIFS(nNIA,DATOS!$A16963,nCURSO,DATOS!$D16963,nESPEC,DATOS!$E16963,nASIG,DATOS!$I16963,nEVAL,"EX")=0),0))))</f>
      </c>
      <c r="H16963">
        <f>IF(DATOS!$G16963&lt;&gt;"EX",0,--(COUNTIFS(nNIA,DATOS!$A16963,nCURSO,DATOS!$D16963,nESPEC,DATOS!$E16963,nASIG,DATOS!$I16963,nEVAL,"OR")=0))</f>
      </c>
      <c r="I16963">
        <f>IF(DATOS!$I16963="","",IFERROR(VLOOKUP(DATOS!$I16963,CONFIG_ASIGNATURAS!$B$2:$J$91,9,FALSE()),""))</f>
      </c>
    </row>
    <row r="16964">
      <c r="F16964">
        <f>IF(DATOS!$A16964="","",DATOS!$A16964&amp;"|"&amp;DATOS!$D16964&amp;"|"&amp;DATOS!$E16964&amp;"|"&amp;DATOS!$I16964)</f>
      </c>
      <c r="G16964">
        <f>IF(DATOS!$A16964="",0,IF(CONFIG_METADATA!$B$4&lt;&gt;"OR+EX",--(DATOS!$G16964=CONFIG_METADATA!$B$4),IF(DATOS!$G16964="EX",1,IF(DATOS!$G16964="OR",--(COUNTIFS(nNIA,DATOS!$A16964,nCURSO,DATOS!$D16964,nESPEC,DATOS!$E16964,nASIG,DATOS!$I16964,nEVAL,"EX")=0),0))))</f>
      </c>
      <c r="H16964">
        <f>IF(DATOS!$G16964&lt;&gt;"EX",0,--(COUNTIFS(nNIA,DATOS!$A16964,nCURSO,DATOS!$D16964,nESPEC,DATOS!$E16964,nASIG,DATOS!$I16964,nEVAL,"OR")=0))</f>
      </c>
      <c r="I16964">
        <f>IF(DATOS!$I16964="","",IFERROR(VLOOKUP(DATOS!$I16964,CONFIG_ASIGNATURAS!$B$2:$J$91,9,FALSE()),""))</f>
      </c>
    </row>
    <row r="16965">
      <c r="F16965">
        <f>IF(DATOS!$A16965="","",DATOS!$A16965&amp;"|"&amp;DATOS!$D16965&amp;"|"&amp;DATOS!$E16965&amp;"|"&amp;DATOS!$I16965)</f>
      </c>
      <c r="G16965">
        <f>IF(DATOS!$A16965="",0,IF(CONFIG_METADATA!$B$4&lt;&gt;"OR+EX",--(DATOS!$G16965=CONFIG_METADATA!$B$4),IF(DATOS!$G16965="EX",1,IF(DATOS!$G16965="OR",--(COUNTIFS(nNIA,DATOS!$A16965,nCURSO,DATOS!$D16965,nESPEC,DATOS!$E16965,nASIG,DATOS!$I16965,nEVAL,"EX")=0),0))))</f>
      </c>
      <c r="H16965">
        <f>IF(DATOS!$G16965&lt;&gt;"EX",0,--(COUNTIFS(nNIA,DATOS!$A16965,nCURSO,DATOS!$D16965,nESPEC,DATOS!$E16965,nASIG,DATOS!$I16965,nEVAL,"OR")=0))</f>
      </c>
      <c r="I16965">
        <f>IF(DATOS!$I16965="","",IFERROR(VLOOKUP(DATOS!$I16965,CONFIG_ASIGNATURAS!$B$2:$J$91,9,FALSE()),""))</f>
      </c>
    </row>
    <row r="16966">
      <c r="F16966">
        <f>IF(DATOS!$A16966="","",DATOS!$A16966&amp;"|"&amp;DATOS!$D16966&amp;"|"&amp;DATOS!$E16966&amp;"|"&amp;DATOS!$I16966)</f>
      </c>
      <c r="G16966">
        <f>IF(DATOS!$A16966="",0,IF(CONFIG_METADATA!$B$4&lt;&gt;"OR+EX",--(DATOS!$G16966=CONFIG_METADATA!$B$4),IF(DATOS!$G16966="EX",1,IF(DATOS!$G16966="OR",--(COUNTIFS(nNIA,DATOS!$A16966,nCURSO,DATOS!$D16966,nESPEC,DATOS!$E16966,nASIG,DATOS!$I16966,nEVAL,"EX")=0),0))))</f>
      </c>
      <c r="H16966">
        <f>IF(DATOS!$G16966&lt;&gt;"EX",0,--(COUNTIFS(nNIA,DATOS!$A16966,nCURSO,DATOS!$D16966,nESPEC,DATOS!$E16966,nASIG,DATOS!$I16966,nEVAL,"OR")=0))</f>
      </c>
      <c r="I16966">
        <f>IF(DATOS!$I16966="","",IFERROR(VLOOKUP(DATOS!$I16966,CONFIG_ASIGNATURAS!$B$2:$J$91,9,FALSE()),""))</f>
      </c>
    </row>
    <row r="16967">
      <c r="F16967">
        <f>IF(DATOS!$A16967="","",DATOS!$A16967&amp;"|"&amp;DATOS!$D16967&amp;"|"&amp;DATOS!$E16967&amp;"|"&amp;DATOS!$I16967)</f>
      </c>
      <c r="G16967">
        <f>IF(DATOS!$A16967="",0,IF(CONFIG_METADATA!$B$4&lt;&gt;"OR+EX",--(DATOS!$G16967=CONFIG_METADATA!$B$4),IF(DATOS!$G16967="EX",1,IF(DATOS!$G16967="OR",--(COUNTIFS(nNIA,DATOS!$A16967,nCURSO,DATOS!$D16967,nESPEC,DATOS!$E16967,nASIG,DATOS!$I16967,nEVAL,"EX")=0),0))))</f>
      </c>
      <c r="H16967">
        <f>IF(DATOS!$G16967&lt;&gt;"EX",0,--(COUNTIFS(nNIA,DATOS!$A16967,nCURSO,DATOS!$D16967,nESPEC,DATOS!$E16967,nASIG,DATOS!$I16967,nEVAL,"OR")=0))</f>
      </c>
      <c r="I16967">
        <f>IF(DATOS!$I16967="","",IFERROR(VLOOKUP(DATOS!$I16967,CONFIG_ASIGNATURAS!$B$2:$J$91,9,FALSE()),""))</f>
      </c>
    </row>
    <row r="16968">
      <c r="F16968">
        <f>IF(DATOS!$A16968="","",DATOS!$A16968&amp;"|"&amp;DATOS!$D16968&amp;"|"&amp;DATOS!$E16968&amp;"|"&amp;DATOS!$I16968)</f>
      </c>
      <c r="G16968">
        <f>IF(DATOS!$A16968="",0,IF(CONFIG_METADATA!$B$4&lt;&gt;"OR+EX",--(DATOS!$G16968=CONFIG_METADATA!$B$4),IF(DATOS!$G16968="EX",1,IF(DATOS!$G16968="OR",--(COUNTIFS(nNIA,DATOS!$A16968,nCURSO,DATOS!$D16968,nESPEC,DATOS!$E16968,nASIG,DATOS!$I16968,nEVAL,"EX")=0),0))))</f>
      </c>
      <c r="H16968">
        <f>IF(DATOS!$G16968&lt;&gt;"EX",0,--(COUNTIFS(nNIA,DATOS!$A16968,nCURSO,DATOS!$D16968,nESPEC,DATOS!$E16968,nASIG,DATOS!$I16968,nEVAL,"OR")=0))</f>
      </c>
      <c r="I16968">
        <f>IF(DATOS!$I16968="","",IFERROR(VLOOKUP(DATOS!$I16968,CONFIG_ASIGNATURAS!$B$2:$J$91,9,FALSE()),""))</f>
      </c>
    </row>
    <row r="16969">
      <c r="F16969">
        <f>IF(DATOS!$A16969="","",DATOS!$A16969&amp;"|"&amp;DATOS!$D16969&amp;"|"&amp;DATOS!$E16969&amp;"|"&amp;DATOS!$I16969)</f>
      </c>
      <c r="G16969">
        <f>IF(DATOS!$A16969="",0,IF(CONFIG_METADATA!$B$4&lt;&gt;"OR+EX",--(DATOS!$G16969=CONFIG_METADATA!$B$4),IF(DATOS!$G16969="EX",1,IF(DATOS!$G16969="OR",--(COUNTIFS(nNIA,DATOS!$A16969,nCURSO,DATOS!$D16969,nESPEC,DATOS!$E16969,nASIG,DATOS!$I16969,nEVAL,"EX")=0),0))))</f>
      </c>
      <c r="H16969">
        <f>IF(DATOS!$G16969&lt;&gt;"EX",0,--(COUNTIFS(nNIA,DATOS!$A16969,nCURSO,DATOS!$D16969,nESPEC,DATOS!$E16969,nASIG,DATOS!$I16969,nEVAL,"OR")=0))</f>
      </c>
      <c r="I16969">
        <f>IF(DATOS!$I16969="","",IFERROR(VLOOKUP(DATOS!$I16969,CONFIG_ASIGNATURAS!$B$2:$J$91,9,FALSE()),""))</f>
      </c>
    </row>
    <row r="16970">
      <c r="F16970">
        <f>IF(DATOS!$A16970="","",DATOS!$A16970&amp;"|"&amp;DATOS!$D16970&amp;"|"&amp;DATOS!$E16970&amp;"|"&amp;DATOS!$I16970)</f>
      </c>
      <c r="G16970">
        <f>IF(DATOS!$A16970="",0,IF(CONFIG_METADATA!$B$4&lt;&gt;"OR+EX",--(DATOS!$G16970=CONFIG_METADATA!$B$4),IF(DATOS!$G16970="EX",1,IF(DATOS!$G16970="OR",--(COUNTIFS(nNIA,DATOS!$A16970,nCURSO,DATOS!$D16970,nESPEC,DATOS!$E16970,nASIG,DATOS!$I16970,nEVAL,"EX")=0),0))))</f>
      </c>
      <c r="H16970">
        <f>IF(DATOS!$G16970&lt;&gt;"EX",0,--(COUNTIFS(nNIA,DATOS!$A16970,nCURSO,DATOS!$D16970,nESPEC,DATOS!$E16970,nASIG,DATOS!$I16970,nEVAL,"OR")=0))</f>
      </c>
      <c r="I16970">
        <f>IF(DATOS!$I16970="","",IFERROR(VLOOKUP(DATOS!$I16970,CONFIG_ASIGNATURAS!$B$2:$J$91,9,FALSE()),""))</f>
      </c>
    </row>
    <row r="16971">
      <c r="F16971">
        <f>IF(DATOS!$A16971="","",DATOS!$A16971&amp;"|"&amp;DATOS!$D16971&amp;"|"&amp;DATOS!$E16971&amp;"|"&amp;DATOS!$I16971)</f>
      </c>
      <c r="G16971">
        <f>IF(DATOS!$A16971="",0,IF(CONFIG_METADATA!$B$4&lt;&gt;"OR+EX",--(DATOS!$G16971=CONFIG_METADATA!$B$4),IF(DATOS!$G16971="EX",1,IF(DATOS!$G16971="OR",--(COUNTIFS(nNIA,DATOS!$A16971,nCURSO,DATOS!$D16971,nESPEC,DATOS!$E16971,nASIG,DATOS!$I16971,nEVAL,"EX")=0),0))))</f>
      </c>
      <c r="H16971">
        <f>IF(DATOS!$G16971&lt;&gt;"EX",0,--(COUNTIFS(nNIA,DATOS!$A16971,nCURSO,DATOS!$D16971,nESPEC,DATOS!$E16971,nASIG,DATOS!$I16971,nEVAL,"OR")=0))</f>
      </c>
      <c r="I16971">
        <f>IF(DATOS!$I16971="","",IFERROR(VLOOKUP(DATOS!$I16971,CONFIG_ASIGNATURAS!$B$2:$J$91,9,FALSE()),""))</f>
      </c>
    </row>
    <row r="16972">
      <c r="F16972">
        <f>IF(DATOS!$A16972="","",DATOS!$A16972&amp;"|"&amp;DATOS!$D16972&amp;"|"&amp;DATOS!$E16972&amp;"|"&amp;DATOS!$I16972)</f>
      </c>
      <c r="G16972">
        <f>IF(DATOS!$A16972="",0,IF(CONFIG_METADATA!$B$4&lt;&gt;"OR+EX",--(DATOS!$G16972=CONFIG_METADATA!$B$4),IF(DATOS!$G16972="EX",1,IF(DATOS!$G16972="OR",--(COUNTIFS(nNIA,DATOS!$A16972,nCURSO,DATOS!$D16972,nESPEC,DATOS!$E16972,nASIG,DATOS!$I16972,nEVAL,"EX")=0),0))))</f>
      </c>
      <c r="H16972">
        <f>IF(DATOS!$G16972&lt;&gt;"EX",0,--(COUNTIFS(nNIA,DATOS!$A16972,nCURSO,DATOS!$D16972,nESPEC,DATOS!$E16972,nASIG,DATOS!$I16972,nEVAL,"OR")=0))</f>
      </c>
      <c r="I16972">
        <f>IF(DATOS!$I16972="","",IFERROR(VLOOKUP(DATOS!$I16972,CONFIG_ASIGNATURAS!$B$2:$J$91,9,FALSE()),""))</f>
      </c>
    </row>
    <row r="16973">
      <c r="F16973">
        <f>IF(DATOS!$A16973="","",DATOS!$A16973&amp;"|"&amp;DATOS!$D16973&amp;"|"&amp;DATOS!$E16973&amp;"|"&amp;DATOS!$I16973)</f>
      </c>
      <c r="G16973">
        <f>IF(DATOS!$A16973="",0,IF(CONFIG_METADATA!$B$4&lt;&gt;"OR+EX",--(DATOS!$G16973=CONFIG_METADATA!$B$4),IF(DATOS!$G16973="EX",1,IF(DATOS!$G16973="OR",--(COUNTIFS(nNIA,DATOS!$A16973,nCURSO,DATOS!$D16973,nESPEC,DATOS!$E16973,nASIG,DATOS!$I16973,nEVAL,"EX")=0),0))))</f>
      </c>
      <c r="H16973">
        <f>IF(DATOS!$G16973&lt;&gt;"EX",0,--(COUNTIFS(nNIA,DATOS!$A16973,nCURSO,DATOS!$D16973,nESPEC,DATOS!$E16973,nASIG,DATOS!$I16973,nEVAL,"OR")=0))</f>
      </c>
      <c r="I16973">
        <f>IF(DATOS!$I16973="","",IFERROR(VLOOKUP(DATOS!$I16973,CONFIG_ASIGNATURAS!$B$2:$J$91,9,FALSE()),""))</f>
      </c>
    </row>
    <row r="16974">
      <c r="F16974">
        <f>IF(DATOS!$A16974="","",DATOS!$A16974&amp;"|"&amp;DATOS!$D16974&amp;"|"&amp;DATOS!$E16974&amp;"|"&amp;DATOS!$I16974)</f>
      </c>
      <c r="G16974">
        <f>IF(DATOS!$A16974="",0,IF(CONFIG_METADATA!$B$4&lt;&gt;"OR+EX",--(DATOS!$G16974=CONFIG_METADATA!$B$4),IF(DATOS!$G16974="EX",1,IF(DATOS!$G16974="OR",--(COUNTIFS(nNIA,DATOS!$A16974,nCURSO,DATOS!$D16974,nESPEC,DATOS!$E16974,nASIG,DATOS!$I16974,nEVAL,"EX")=0),0))))</f>
      </c>
      <c r="H16974">
        <f>IF(DATOS!$G16974&lt;&gt;"EX",0,--(COUNTIFS(nNIA,DATOS!$A16974,nCURSO,DATOS!$D16974,nESPEC,DATOS!$E16974,nASIG,DATOS!$I16974,nEVAL,"OR")=0))</f>
      </c>
      <c r="I16974">
        <f>IF(DATOS!$I16974="","",IFERROR(VLOOKUP(DATOS!$I16974,CONFIG_ASIGNATURAS!$B$2:$J$91,9,FALSE()),""))</f>
      </c>
    </row>
    <row r="16975">
      <c r="F16975">
        <f>IF(DATOS!$A16975="","",DATOS!$A16975&amp;"|"&amp;DATOS!$D16975&amp;"|"&amp;DATOS!$E16975&amp;"|"&amp;DATOS!$I16975)</f>
      </c>
      <c r="G16975">
        <f>IF(DATOS!$A16975="",0,IF(CONFIG_METADATA!$B$4&lt;&gt;"OR+EX",--(DATOS!$G16975=CONFIG_METADATA!$B$4),IF(DATOS!$G16975="EX",1,IF(DATOS!$G16975="OR",--(COUNTIFS(nNIA,DATOS!$A16975,nCURSO,DATOS!$D16975,nESPEC,DATOS!$E16975,nASIG,DATOS!$I16975,nEVAL,"EX")=0),0))))</f>
      </c>
      <c r="H16975">
        <f>IF(DATOS!$G16975&lt;&gt;"EX",0,--(COUNTIFS(nNIA,DATOS!$A16975,nCURSO,DATOS!$D16975,nESPEC,DATOS!$E16975,nASIG,DATOS!$I16975,nEVAL,"OR")=0))</f>
      </c>
      <c r="I16975">
        <f>IF(DATOS!$I16975="","",IFERROR(VLOOKUP(DATOS!$I16975,CONFIG_ASIGNATURAS!$B$2:$J$91,9,FALSE()),""))</f>
      </c>
    </row>
    <row r="16976">
      <c r="F16976">
        <f>IF(DATOS!$A16976="","",DATOS!$A16976&amp;"|"&amp;DATOS!$D16976&amp;"|"&amp;DATOS!$E16976&amp;"|"&amp;DATOS!$I16976)</f>
      </c>
      <c r="G16976">
        <f>IF(DATOS!$A16976="",0,IF(CONFIG_METADATA!$B$4&lt;&gt;"OR+EX",--(DATOS!$G16976=CONFIG_METADATA!$B$4),IF(DATOS!$G16976="EX",1,IF(DATOS!$G16976="OR",--(COUNTIFS(nNIA,DATOS!$A16976,nCURSO,DATOS!$D16976,nESPEC,DATOS!$E16976,nASIG,DATOS!$I16976,nEVAL,"EX")=0),0))))</f>
      </c>
      <c r="H16976">
        <f>IF(DATOS!$G16976&lt;&gt;"EX",0,--(COUNTIFS(nNIA,DATOS!$A16976,nCURSO,DATOS!$D16976,nESPEC,DATOS!$E16976,nASIG,DATOS!$I16976,nEVAL,"OR")=0))</f>
      </c>
      <c r="I16976">
        <f>IF(DATOS!$I16976="","",IFERROR(VLOOKUP(DATOS!$I16976,CONFIG_ASIGNATURAS!$B$2:$J$91,9,FALSE()),""))</f>
      </c>
    </row>
    <row r="16977">
      <c r="F16977">
        <f>IF(DATOS!$A16977="","",DATOS!$A16977&amp;"|"&amp;DATOS!$D16977&amp;"|"&amp;DATOS!$E16977&amp;"|"&amp;DATOS!$I16977)</f>
      </c>
      <c r="G16977">
        <f>IF(DATOS!$A16977="",0,IF(CONFIG_METADATA!$B$4&lt;&gt;"OR+EX",--(DATOS!$G16977=CONFIG_METADATA!$B$4),IF(DATOS!$G16977="EX",1,IF(DATOS!$G16977="OR",--(COUNTIFS(nNIA,DATOS!$A16977,nCURSO,DATOS!$D16977,nESPEC,DATOS!$E16977,nASIG,DATOS!$I16977,nEVAL,"EX")=0),0))))</f>
      </c>
      <c r="H16977">
        <f>IF(DATOS!$G16977&lt;&gt;"EX",0,--(COUNTIFS(nNIA,DATOS!$A16977,nCURSO,DATOS!$D16977,nESPEC,DATOS!$E16977,nASIG,DATOS!$I16977,nEVAL,"OR")=0))</f>
      </c>
      <c r="I16977">
        <f>IF(DATOS!$I16977="","",IFERROR(VLOOKUP(DATOS!$I16977,CONFIG_ASIGNATURAS!$B$2:$J$91,9,FALSE()),""))</f>
      </c>
    </row>
    <row r="16978">
      <c r="F16978">
        <f>IF(DATOS!$A16978="","",DATOS!$A16978&amp;"|"&amp;DATOS!$D16978&amp;"|"&amp;DATOS!$E16978&amp;"|"&amp;DATOS!$I16978)</f>
      </c>
      <c r="G16978">
        <f>IF(DATOS!$A16978="",0,IF(CONFIG_METADATA!$B$4&lt;&gt;"OR+EX",--(DATOS!$G16978=CONFIG_METADATA!$B$4),IF(DATOS!$G16978="EX",1,IF(DATOS!$G16978="OR",--(COUNTIFS(nNIA,DATOS!$A16978,nCURSO,DATOS!$D16978,nESPEC,DATOS!$E16978,nASIG,DATOS!$I16978,nEVAL,"EX")=0),0))))</f>
      </c>
      <c r="H16978">
        <f>IF(DATOS!$G16978&lt;&gt;"EX",0,--(COUNTIFS(nNIA,DATOS!$A16978,nCURSO,DATOS!$D16978,nESPEC,DATOS!$E16978,nASIG,DATOS!$I16978,nEVAL,"OR")=0))</f>
      </c>
      <c r="I16978">
        <f>IF(DATOS!$I16978="","",IFERROR(VLOOKUP(DATOS!$I16978,CONFIG_ASIGNATURAS!$B$2:$J$91,9,FALSE()),""))</f>
      </c>
    </row>
    <row r="16979">
      <c r="F16979">
        <f>IF(DATOS!$A16979="","",DATOS!$A16979&amp;"|"&amp;DATOS!$D16979&amp;"|"&amp;DATOS!$E16979&amp;"|"&amp;DATOS!$I16979)</f>
      </c>
      <c r="G16979">
        <f>IF(DATOS!$A16979="",0,IF(CONFIG_METADATA!$B$4&lt;&gt;"OR+EX",--(DATOS!$G16979=CONFIG_METADATA!$B$4),IF(DATOS!$G16979="EX",1,IF(DATOS!$G16979="OR",--(COUNTIFS(nNIA,DATOS!$A16979,nCURSO,DATOS!$D16979,nESPEC,DATOS!$E16979,nASIG,DATOS!$I16979,nEVAL,"EX")=0),0))))</f>
      </c>
      <c r="H16979">
        <f>IF(DATOS!$G16979&lt;&gt;"EX",0,--(COUNTIFS(nNIA,DATOS!$A16979,nCURSO,DATOS!$D16979,nESPEC,DATOS!$E16979,nASIG,DATOS!$I16979,nEVAL,"OR")=0))</f>
      </c>
      <c r="I16979">
        <f>IF(DATOS!$I16979="","",IFERROR(VLOOKUP(DATOS!$I16979,CONFIG_ASIGNATURAS!$B$2:$J$91,9,FALSE()),""))</f>
      </c>
    </row>
    <row r="16980">
      <c r="F16980">
        <f>IF(DATOS!$A16980="","",DATOS!$A16980&amp;"|"&amp;DATOS!$D16980&amp;"|"&amp;DATOS!$E16980&amp;"|"&amp;DATOS!$I16980)</f>
      </c>
      <c r="G16980">
        <f>IF(DATOS!$A16980="",0,IF(CONFIG_METADATA!$B$4&lt;&gt;"OR+EX",--(DATOS!$G16980=CONFIG_METADATA!$B$4),IF(DATOS!$G16980="EX",1,IF(DATOS!$G16980="OR",--(COUNTIFS(nNIA,DATOS!$A16980,nCURSO,DATOS!$D16980,nESPEC,DATOS!$E16980,nASIG,DATOS!$I16980,nEVAL,"EX")=0),0))))</f>
      </c>
      <c r="H16980">
        <f>IF(DATOS!$G16980&lt;&gt;"EX",0,--(COUNTIFS(nNIA,DATOS!$A16980,nCURSO,DATOS!$D16980,nESPEC,DATOS!$E16980,nASIG,DATOS!$I16980,nEVAL,"OR")=0))</f>
      </c>
      <c r="I16980">
        <f>IF(DATOS!$I16980="","",IFERROR(VLOOKUP(DATOS!$I16980,CONFIG_ASIGNATURAS!$B$2:$J$91,9,FALSE()),""))</f>
      </c>
    </row>
    <row r="16981">
      <c r="F16981">
        <f>IF(DATOS!$A16981="","",DATOS!$A16981&amp;"|"&amp;DATOS!$D16981&amp;"|"&amp;DATOS!$E16981&amp;"|"&amp;DATOS!$I16981)</f>
      </c>
      <c r="G16981">
        <f>IF(DATOS!$A16981="",0,IF(CONFIG_METADATA!$B$4&lt;&gt;"OR+EX",--(DATOS!$G16981=CONFIG_METADATA!$B$4),IF(DATOS!$G16981="EX",1,IF(DATOS!$G16981="OR",--(COUNTIFS(nNIA,DATOS!$A16981,nCURSO,DATOS!$D16981,nESPEC,DATOS!$E16981,nASIG,DATOS!$I16981,nEVAL,"EX")=0),0))))</f>
      </c>
      <c r="H16981">
        <f>IF(DATOS!$G16981&lt;&gt;"EX",0,--(COUNTIFS(nNIA,DATOS!$A16981,nCURSO,DATOS!$D16981,nESPEC,DATOS!$E16981,nASIG,DATOS!$I16981,nEVAL,"OR")=0))</f>
      </c>
      <c r="I16981">
        <f>IF(DATOS!$I16981="","",IFERROR(VLOOKUP(DATOS!$I16981,CONFIG_ASIGNATURAS!$B$2:$J$91,9,FALSE()),""))</f>
      </c>
    </row>
    <row r="16982">
      <c r="F16982">
        <f>IF(DATOS!$A16982="","",DATOS!$A16982&amp;"|"&amp;DATOS!$D16982&amp;"|"&amp;DATOS!$E16982&amp;"|"&amp;DATOS!$I16982)</f>
      </c>
      <c r="G16982">
        <f>IF(DATOS!$A16982="",0,IF(CONFIG_METADATA!$B$4&lt;&gt;"OR+EX",--(DATOS!$G16982=CONFIG_METADATA!$B$4),IF(DATOS!$G16982="EX",1,IF(DATOS!$G16982="OR",--(COUNTIFS(nNIA,DATOS!$A16982,nCURSO,DATOS!$D16982,nESPEC,DATOS!$E16982,nASIG,DATOS!$I16982,nEVAL,"EX")=0),0))))</f>
      </c>
      <c r="H16982">
        <f>IF(DATOS!$G16982&lt;&gt;"EX",0,--(COUNTIFS(nNIA,DATOS!$A16982,nCURSO,DATOS!$D16982,nESPEC,DATOS!$E16982,nASIG,DATOS!$I16982,nEVAL,"OR")=0))</f>
      </c>
      <c r="I16982">
        <f>IF(DATOS!$I16982="","",IFERROR(VLOOKUP(DATOS!$I16982,CONFIG_ASIGNATURAS!$B$2:$J$91,9,FALSE()),""))</f>
      </c>
    </row>
    <row r="16983">
      <c r="F16983">
        <f>IF(DATOS!$A16983="","",DATOS!$A16983&amp;"|"&amp;DATOS!$D16983&amp;"|"&amp;DATOS!$E16983&amp;"|"&amp;DATOS!$I16983)</f>
      </c>
      <c r="G16983">
        <f>IF(DATOS!$A16983="",0,IF(CONFIG_METADATA!$B$4&lt;&gt;"OR+EX",--(DATOS!$G16983=CONFIG_METADATA!$B$4),IF(DATOS!$G16983="EX",1,IF(DATOS!$G16983="OR",--(COUNTIFS(nNIA,DATOS!$A16983,nCURSO,DATOS!$D16983,nESPEC,DATOS!$E16983,nASIG,DATOS!$I16983,nEVAL,"EX")=0),0))))</f>
      </c>
      <c r="H16983">
        <f>IF(DATOS!$G16983&lt;&gt;"EX",0,--(COUNTIFS(nNIA,DATOS!$A16983,nCURSO,DATOS!$D16983,nESPEC,DATOS!$E16983,nASIG,DATOS!$I16983,nEVAL,"OR")=0))</f>
      </c>
      <c r="I16983">
        <f>IF(DATOS!$I16983="","",IFERROR(VLOOKUP(DATOS!$I16983,CONFIG_ASIGNATURAS!$B$2:$J$91,9,FALSE()),""))</f>
      </c>
    </row>
    <row r="16984">
      <c r="F16984">
        <f>IF(DATOS!$A16984="","",DATOS!$A16984&amp;"|"&amp;DATOS!$D16984&amp;"|"&amp;DATOS!$E16984&amp;"|"&amp;DATOS!$I16984)</f>
      </c>
      <c r="G16984">
        <f>IF(DATOS!$A16984="",0,IF(CONFIG_METADATA!$B$4&lt;&gt;"OR+EX",--(DATOS!$G16984=CONFIG_METADATA!$B$4),IF(DATOS!$G16984="EX",1,IF(DATOS!$G16984="OR",--(COUNTIFS(nNIA,DATOS!$A16984,nCURSO,DATOS!$D16984,nESPEC,DATOS!$E16984,nASIG,DATOS!$I16984,nEVAL,"EX")=0),0))))</f>
      </c>
      <c r="H16984">
        <f>IF(DATOS!$G16984&lt;&gt;"EX",0,--(COUNTIFS(nNIA,DATOS!$A16984,nCURSO,DATOS!$D16984,nESPEC,DATOS!$E16984,nASIG,DATOS!$I16984,nEVAL,"OR")=0))</f>
      </c>
      <c r="I16984">
        <f>IF(DATOS!$I16984="","",IFERROR(VLOOKUP(DATOS!$I16984,CONFIG_ASIGNATURAS!$B$2:$J$91,9,FALSE()),""))</f>
      </c>
    </row>
    <row r="16985">
      <c r="F16985">
        <f>IF(DATOS!$A16985="","",DATOS!$A16985&amp;"|"&amp;DATOS!$D16985&amp;"|"&amp;DATOS!$E16985&amp;"|"&amp;DATOS!$I16985)</f>
      </c>
      <c r="G16985">
        <f>IF(DATOS!$A16985="",0,IF(CONFIG_METADATA!$B$4&lt;&gt;"OR+EX",--(DATOS!$G16985=CONFIG_METADATA!$B$4),IF(DATOS!$G16985="EX",1,IF(DATOS!$G16985="OR",--(COUNTIFS(nNIA,DATOS!$A16985,nCURSO,DATOS!$D16985,nESPEC,DATOS!$E16985,nASIG,DATOS!$I16985,nEVAL,"EX")=0),0))))</f>
      </c>
      <c r="H16985">
        <f>IF(DATOS!$G16985&lt;&gt;"EX",0,--(COUNTIFS(nNIA,DATOS!$A16985,nCURSO,DATOS!$D16985,nESPEC,DATOS!$E16985,nASIG,DATOS!$I16985,nEVAL,"OR")=0))</f>
      </c>
      <c r="I16985">
        <f>IF(DATOS!$I16985="","",IFERROR(VLOOKUP(DATOS!$I16985,CONFIG_ASIGNATURAS!$B$2:$J$91,9,FALSE()),""))</f>
      </c>
    </row>
    <row r="16986">
      <c r="F16986">
        <f>IF(DATOS!$A16986="","",DATOS!$A16986&amp;"|"&amp;DATOS!$D16986&amp;"|"&amp;DATOS!$E16986&amp;"|"&amp;DATOS!$I16986)</f>
      </c>
      <c r="G16986">
        <f>IF(DATOS!$A16986="",0,IF(CONFIG_METADATA!$B$4&lt;&gt;"OR+EX",--(DATOS!$G16986=CONFIG_METADATA!$B$4),IF(DATOS!$G16986="EX",1,IF(DATOS!$G16986="OR",--(COUNTIFS(nNIA,DATOS!$A16986,nCURSO,DATOS!$D16986,nESPEC,DATOS!$E16986,nASIG,DATOS!$I16986,nEVAL,"EX")=0),0))))</f>
      </c>
      <c r="H16986">
        <f>IF(DATOS!$G16986&lt;&gt;"EX",0,--(COUNTIFS(nNIA,DATOS!$A16986,nCURSO,DATOS!$D16986,nESPEC,DATOS!$E16986,nASIG,DATOS!$I16986,nEVAL,"OR")=0))</f>
      </c>
      <c r="I16986">
        <f>IF(DATOS!$I16986="","",IFERROR(VLOOKUP(DATOS!$I16986,CONFIG_ASIGNATURAS!$B$2:$J$91,9,FALSE()),""))</f>
      </c>
    </row>
    <row r="16987">
      <c r="F16987">
        <f>IF(DATOS!$A16987="","",DATOS!$A16987&amp;"|"&amp;DATOS!$D16987&amp;"|"&amp;DATOS!$E16987&amp;"|"&amp;DATOS!$I16987)</f>
      </c>
      <c r="G16987">
        <f>IF(DATOS!$A16987="",0,IF(CONFIG_METADATA!$B$4&lt;&gt;"OR+EX",--(DATOS!$G16987=CONFIG_METADATA!$B$4),IF(DATOS!$G16987="EX",1,IF(DATOS!$G16987="OR",--(COUNTIFS(nNIA,DATOS!$A16987,nCURSO,DATOS!$D16987,nESPEC,DATOS!$E16987,nASIG,DATOS!$I16987,nEVAL,"EX")=0),0))))</f>
      </c>
      <c r="H16987">
        <f>IF(DATOS!$G16987&lt;&gt;"EX",0,--(COUNTIFS(nNIA,DATOS!$A16987,nCURSO,DATOS!$D16987,nESPEC,DATOS!$E16987,nASIG,DATOS!$I16987,nEVAL,"OR")=0))</f>
      </c>
      <c r="I16987">
        <f>IF(DATOS!$I16987="","",IFERROR(VLOOKUP(DATOS!$I16987,CONFIG_ASIGNATURAS!$B$2:$J$91,9,FALSE()),""))</f>
      </c>
    </row>
    <row r="16988">
      <c r="F16988">
        <f>IF(DATOS!$A16988="","",DATOS!$A16988&amp;"|"&amp;DATOS!$D16988&amp;"|"&amp;DATOS!$E16988&amp;"|"&amp;DATOS!$I16988)</f>
      </c>
      <c r="G16988">
        <f>IF(DATOS!$A16988="",0,IF(CONFIG_METADATA!$B$4&lt;&gt;"OR+EX",--(DATOS!$G16988=CONFIG_METADATA!$B$4),IF(DATOS!$G16988="EX",1,IF(DATOS!$G16988="OR",--(COUNTIFS(nNIA,DATOS!$A16988,nCURSO,DATOS!$D16988,nESPEC,DATOS!$E16988,nASIG,DATOS!$I16988,nEVAL,"EX")=0),0))))</f>
      </c>
      <c r="H16988">
        <f>IF(DATOS!$G16988&lt;&gt;"EX",0,--(COUNTIFS(nNIA,DATOS!$A16988,nCURSO,DATOS!$D16988,nESPEC,DATOS!$E16988,nASIG,DATOS!$I16988,nEVAL,"OR")=0))</f>
      </c>
      <c r="I16988">
        <f>IF(DATOS!$I16988="","",IFERROR(VLOOKUP(DATOS!$I16988,CONFIG_ASIGNATURAS!$B$2:$J$91,9,FALSE()),""))</f>
      </c>
    </row>
    <row r="16989">
      <c r="F16989">
        <f>IF(DATOS!$A16989="","",DATOS!$A16989&amp;"|"&amp;DATOS!$D16989&amp;"|"&amp;DATOS!$E16989&amp;"|"&amp;DATOS!$I16989)</f>
      </c>
      <c r="G16989">
        <f>IF(DATOS!$A16989="",0,IF(CONFIG_METADATA!$B$4&lt;&gt;"OR+EX",--(DATOS!$G16989=CONFIG_METADATA!$B$4),IF(DATOS!$G16989="EX",1,IF(DATOS!$G16989="OR",--(COUNTIFS(nNIA,DATOS!$A16989,nCURSO,DATOS!$D16989,nESPEC,DATOS!$E16989,nASIG,DATOS!$I16989,nEVAL,"EX")=0),0))))</f>
      </c>
      <c r="H16989">
        <f>IF(DATOS!$G16989&lt;&gt;"EX",0,--(COUNTIFS(nNIA,DATOS!$A16989,nCURSO,DATOS!$D16989,nESPEC,DATOS!$E16989,nASIG,DATOS!$I16989,nEVAL,"OR")=0))</f>
      </c>
      <c r="I16989">
        <f>IF(DATOS!$I16989="","",IFERROR(VLOOKUP(DATOS!$I16989,CONFIG_ASIGNATURAS!$B$2:$J$91,9,FALSE()),""))</f>
      </c>
    </row>
    <row r="16990">
      <c r="F16990">
        <f>IF(DATOS!$A16990="","",DATOS!$A16990&amp;"|"&amp;DATOS!$D16990&amp;"|"&amp;DATOS!$E16990&amp;"|"&amp;DATOS!$I16990)</f>
      </c>
      <c r="G16990">
        <f>IF(DATOS!$A16990="",0,IF(CONFIG_METADATA!$B$4&lt;&gt;"OR+EX",--(DATOS!$G16990=CONFIG_METADATA!$B$4),IF(DATOS!$G16990="EX",1,IF(DATOS!$G16990="OR",--(COUNTIFS(nNIA,DATOS!$A16990,nCURSO,DATOS!$D16990,nESPEC,DATOS!$E16990,nASIG,DATOS!$I16990,nEVAL,"EX")=0),0))))</f>
      </c>
      <c r="H16990">
        <f>IF(DATOS!$G16990&lt;&gt;"EX",0,--(COUNTIFS(nNIA,DATOS!$A16990,nCURSO,DATOS!$D16990,nESPEC,DATOS!$E16990,nASIG,DATOS!$I16990,nEVAL,"OR")=0))</f>
      </c>
      <c r="I16990">
        <f>IF(DATOS!$I16990="","",IFERROR(VLOOKUP(DATOS!$I16990,CONFIG_ASIGNATURAS!$B$2:$J$91,9,FALSE()),""))</f>
      </c>
    </row>
    <row r="16991">
      <c r="F16991">
        <f>IF(DATOS!$A16991="","",DATOS!$A16991&amp;"|"&amp;DATOS!$D16991&amp;"|"&amp;DATOS!$E16991&amp;"|"&amp;DATOS!$I16991)</f>
      </c>
      <c r="G16991">
        <f>IF(DATOS!$A16991="",0,IF(CONFIG_METADATA!$B$4&lt;&gt;"OR+EX",--(DATOS!$G16991=CONFIG_METADATA!$B$4),IF(DATOS!$G16991="EX",1,IF(DATOS!$G16991="OR",--(COUNTIFS(nNIA,DATOS!$A16991,nCURSO,DATOS!$D16991,nESPEC,DATOS!$E16991,nASIG,DATOS!$I16991,nEVAL,"EX")=0),0))))</f>
      </c>
      <c r="H16991">
        <f>IF(DATOS!$G16991&lt;&gt;"EX",0,--(COUNTIFS(nNIA,DATOS!$A16991,nCURSO,DATOS!$D16991,nESPEC,DATOS!$E16991,nASIG,DATOS!$I16991,nEVAL,"OR")=0))</f>
      </c>
      <c r="I16991">
        <f>IF(DATOS!$I16991="","",IFERROR(VLOOKUP(DATOS!$I16991,CONFIG_ASIGNATURAS!$B$2:$J$91,9,FALSE()),""))</f>
      </c>
    </row>
    <row r="16992">
      <c r="F16992">
        <f>IF(DATOS!$A16992="","",DATOS!$A16992&amp;"|"&amp;DATOS!$D16992&amp;"|"&amp;DATOS!$E16992&amp;"|"&amp;DATOS!$I16992)</f>
      </c>
      <c r="G16992">
        <f>IF(DATOS!$A16992="",0,IF(CONFIG_METADATA!$B$4&lt;&gt;"OR+EX",--(DATOS!$G16992=CONFIG_METADATA!$B$4),IF(DATOS!$G16992="EX",1,IF(DATOS!$G16992="OR",--(COUNTIFS(nNIA,DATOS!$A16992,nCURSO,DATOS!$D16992,nESPEC,DATOS!$E16992,nASIG,DATOS!$I16992,nEVAL,"EX")=0),0))))</f>
      </c>
      <c r="H16992">
        <f>IF(DATOS!$G16992&lt;&gt;"EX",0,--(COUNTIFS(nNIA,DATOS!$A16992,nCURSO,DATOS!$D16992,nESPEC,DATOS!$E16992,nASIG,DATOS!$I16992,nEVAL,"OR")=0))</f>
      </c>
      <c r="I16992">
        <f>IF(DATOS!$I16992="","",IFERROR(VLOOKUP(DATOS!$I16992,CONFIG_ASIGNATURAS!$B$2:$J$91,9,FALSE()),""))</f>
      </c>
    </row>
    <row r="16993">
      <c r="F16993">
        <f>IF(DATOS!$A16993="","",DATOS!$A16993&amp;"|"&amp;DATOS!$D16993&amp;"|"&amp;DATOS!$E16993&amp;"|"&amp;DATOS!$I16993)</f>
      </c>
      <c r="G16993">
        <f>IF(DATOS!$A16993="",0,IF(CONFIG_METADATA!$B$4&lt;&gt;"OR+EX",--(DATOS!$G16993=CONFIG_METADATA!$B$4),IF(DATOS!$G16993="EX",1,IF(DATOS!$G16993="OR",--(COUNTIFS(nNIA,DATOS!$A16993,nCURSO,DATOS!$D16993,nESPEC,DATOS!$E16993,nASIG,DATOS!$I16993,nEVAL,"EX")=0),0))))</f>
      </c>
      <c r="H16993">
        <f>IF(DATOS!$G16993&lt;&gt;"EX",0,--(COUNTIFS(nNIA,DATOS!$A16993,nCURSO,DATOS!$D16993,nESPEC,DATOS!$E16993,nASIG,DATOS!$I16993,nEVAL,"OR")=0))</f>
      </c>
      <c r="I16993">
        <f>IF(DATOS!$I16993="","",IFERROR(VLOOKUP(DATOS!$I16993,CONFIG_ASIGNATURAS!$B$2:$J$91,9,FALSE()),""))</f>
      </c>
    </row>
    <row r="16994">
      <c r="F16994">
        <f>IF(DATOS!$A16994="","",DATOS!$A16994&amp;"|"&amp;DATOS!$D16994&amp;"|"&amp;DATOS!$E16994&amp;"|"&amp;DATOS!$I16994)</f>
      </c>
      <c r="G16994">
        <f>IF(DATOS!$A16994="",0,IF(CONFIG_METADATA!$B$4&lt;&gt;"OR+EX",--(DATOS!$G16994=CONFIG_METADATA!$B$4),IF(DATOS!$G16994="EX",1,IF(DATOS!$G16994="OR",--(COUNTIFS(nNIA,DATOS!$A16994,nCURSO,DATOS!$D16994,nESPEC,DATOS!$E16994,nASIG,DATOS!$I16994,nEVAL,"EX")=0),0))))</f>
      </c>
      <c r="H16994">
        <f>IF(DATOS!$G16994&lt;&gt;"EX",0,--(COUNTIFS(nNIA,DATOS!$A16994,nCURSO,DATOS!$D16994,nESPEC,DATOS!$E16994,nASIG,DATOS!$I16994,nEVAL,"OR")=0))</f>
      </c>
      <c r="I16994">
        <f>IF(DATOS!$I16994="","",IFERROR(VLOOKUP(DATOS!$I16994,CONFIG_ASIGNATURAS!$B$2:$J$91,9,FALSE()),""))</f>
      </c>
    </row>
    <row r="16995">
      <c r="F16995">
        <f>IF(DATOS!$A16995="","",DATOS!$A16995&amp;"|"&amp;DATOS!$D16995&amp;"|"&amp;DATOS!$E16995&amp;"|"&amp;DATOS!$I16995)</f>
      </c>
      <c r="G16995">
        <f>IF(DATOS!$A16995="",0,IF(CONFIG_METADATA!$B$4&lt;&gt;"OR+EX",--(DATOS!$G16995=CONFIG_METADATA!$B$4),IF(DATOS!$G16995="EX",1,IF(DATOS!$G16995="OR",--(COUNTIFS(nNIA,DATOS!$A16995,nCURSO,DATOS!$D16995,nESPEC,DATOS!$E16995,nASIG,DATOS!$I16995,nEVAL,"EX")=0),0))))</f>
      </c>
      <c r="H16995">
        <f>IF(DATOS!$G16995&lt;&gt;"EX",0,--(COUNTIFS(nNIA,DATOS!$A16995,nCURSO,DATOS!$D16995,nESPEC,DATOS!$E16995,nASIG,DATOS!$I16995,nEVAL,"OR")=0))</f>
      </c>
      <c r="I16995">
        <f>IF(DATOS!$I16995="","",IFERROR(VLOOKUP(DATOS!$I16995,CONFIG_ASIGNATURAS!$B$2:$J$91,9,FALSE()),""))</f>
      </c>
    </row>
    <row r="16996">
      <c r="F16996">
        <f>IF(DATOS!$A16996="","",DATOS!$A16996&amp;"|"&amp;DATOS!$D16996&amp;"|"&amp;DATOS!$E16996&amp;"|"&amp;DATOS!$I16996)</f>
      </c>
      <c r="G16996">
        <f>IF(DATOS!$A16996="",0,IF(CONFIG_METADATA!$B$4&lt;&gt;"OR+EX",--(DATOS!$G16996=CONFIG_METADATA!$B$4),IF(DATOS!$G16996="EX",1,IF(DATOS!$G16996="OR",--(COUNTIFS(nNIA,DATOS!$A16996,nCURSO,DATOS!$D16996,nESPEC,DATOS!$E16996,nASIG,DATOS!$I16996,nEVAL,"EX")=0),0))))</f>
      </c>
      <c r="H16996">
        <f>IF(DATOS!$G16996&lt;&gt;"EX",0,--(COUNTIFS(nNIA,DATOS!$A16996,nCURSO,DATOS!$D16996,nESPEC,DATOS!$E16996,nASIG,DATOS!$I16996,nEVAL,"OR")=0))</f>
      </c>
      <c r="I16996">
        <f>IF(DATOS!$I16996="","",IFERROR(VLOOKUP(DATOS!$I16996,CONFIG_ASIGNATURAS!$B$2:$J$91,9,FALSE()),""))</f>
      </c>
    </row>
    <row r="16997">
      <c r="F16997">
        <f>IF(DATOS!$A16997="","",DATOS!$A16997&amp;"|"&amp;DATOS!$D16997&amp;"|"&amp;DATOS!$E16997&amp;"|"&amp;DATOS!$I16997)</f>
      </c>
      <c r="G16997">
        <f>IF(DATOS!$A16997="",0,IF(CONFIG_METADATA!$B$4&lt;&gt;"OR+EX",--(DATOS!$G16997=CONFIG_METADATA!$B$4),IF(DATOS!$G16997="EX",1,IF(DATOS!$G16997="OR",--(COUNTIFS(nNIA,DATOS!$A16997,nCURSO,DATOS!$D16997,nESPEC,DATOS!$E16997,nASIG,DATOS!$I16997,nEVAL,"EX")=0),0))))</f>
      </c>
      <c r="H16997">
        <f>IF(DATOS!$G16997&lt;&gt;"EX",0,--(COUNTIFS(nNIA,DATOS!$A16997,nCURSO,DATOS!$D16997,nESPEC,DATOS!$E16997,nASIG,DATOS!$I16997,nEVAL,"OR")=0))</f>
      </c>
      <c r="I16997">
        <f>IF(DATOS!$I16997="","",IFERROR(VLOOKUP(DATOS!$I16997,CONFIG_ASIGNATURAS!$B$2:$J$91,9,FALSE()),""))</f>
      </c>
    </row>
    <row r="16998">
      <c r="F16998">
        <f>IF(DATOS!$A16998="","",DATOS!$A16998&amp;"|"&amp;DATOS!$D16998&amp;"|"&amp;DATOS!$E16998&amp;"|"&amp;DATOS!$I16998)</f>
      </c>
      <c r="G16998">
        <f>IF(DATOS!$A16998="",0,IF(CONFIG_METADATA!$B$4&lt;&gt;"OR+EX",--(DATOS!$G16998=CONFIG_METADATA!$B$4),IF(DATOS!$G16998="EX",1,IF(DATOS!$G16998="OR",--(COUNTIFS(nNIA,DATOS!$A16998,nCURSO,DATOS!$D16998,nESPEC,DATOS!$E16998,nASIG,DATOS!$I16998,nEVAL,"EX")=0),0))))</f>
      </c>
      <c r="H16998">
        <f>IF(DATOS!$G16998&lt;&gt;"EX",0,--(COUNTIFS(nNIA,DATOS!$A16998,nCURSO,DATOS!$D16998,nESPEC,DATOS!$E16998,nASIG,DATOS!$I16998,nEVAL,"OR")=0))</f>
      </c>
      <c r="I16998">
        <f>IF(DATOS!$I16998="","",IFERROR(VLOOKUP(DATOS!$I16998,CONFIG_ASIGNATURAS!$B$2:$J$91,9,FALSE()),""))</f>
      </c>
    </row>
    <row r="16999">
      <c r="F16999">
        <f>IF(DATOS!$A16999="","",DATOS!$A16999&amp;"|"&amp;DATOS!$D16999&amp;"|"&amp;DATOS!$E16999&amp;"|"&amp;DATOS!$I16999)</f>
      </c>
      <c r="G16999">
        <f>IF(DATOS!$A16999="",0,IF(CONFIG_METADATA!$B$4&lt;&gt;"OR+EX",--(DATOS!$G16999=CONFIG_METADATA!$B$4),IF(DATOS!$G16999="EX",1,IF(DATOS!$G16999="OR",--(COUNTIFS(nNIA,DATOS!$A16999,nCURSO,DATOS!$D16999,nESPEC,DATOS!$E16999,nASIG,DATOS!$I16999,nEVAL,"EX")=0),0))))</f>
      </c>
      <c r="H16999">
        <f>IF(DATOS!$G16999&lt;&gt;"EX",0,--(COUNTIFS(nNIA,DATOS!$A16999,nCURSO,DATOS!$D16999,nESPEC,DATOS!$E16999,nASIG,DATOS!$I16999,nEVAL,"OR")=0))</f>
      </c>
      <c r="I16999">
        <f>IF(DATOS!$I16999="","",IFERROR(VLOOKUP(DATOS!$I16999,CONFIG_ASIGNATURAS!$B$2:$J$91,9,FALSE()),""))</f>
      </c>
    </row>
    <row r="17000">
      <c r="F17000">
        <f>IF(DATOS!$A17000="","",DATOS!$A17000&amp;"|"&amp;DATOS!$D17000&amp;"|"&amp;DATOS!$E17000&amp;"|"&amp;DATOS!$I17000)</f>
      </c>
      <c r="G17000">
        <f>IF(DATOS!$A17000="",0,IF(CONFIG_METADATA!$B$4&lt;&gt;"OR+EX",--(DATOS!$G17000=CONFIG_METADATA!$B$4),IF(DATOS!$G17000="EX",1,IF(DATOS!$G17000="OR",--(COUNTIFS(nNIA,DATOS!$A17000,nCURSO,DATOS!$D17000,nESPEC,DATOS!$E17000,nASIG,DATOS!$I17000,nEVAL,"EX")=0),0))))</f>
      </c>
      <c r="H17000">
        <f>IF(DATOS!$G17000&lt;&gt;"EX",0,--(COUNTIFS(nNIA,DATOS!$A17000,nCURSO,DATOS!$D17000,nESPEC,DATOS!$E17000,nASIG,DATOS!$I17000,nEVAL,"OR")=0))</f>
      </c>
      <c r="I17000">
        <f>IF(DATOS!$I17000="","",IFERROR(VLOOKUP(DATOS!$I17000,CONFIG_ASIGNATURAS!$B$2:$J$91,9,FALSE()),""))</f>
      </c>
    </row>
    <row r="17001">
      <c r="F17001">
        <f>IF(DATOS!$A17001="","",DATOS!$A17001&amp;"|"&amp;DATOS!$D17001&amp;"|"&amp;DATOS!$E17001&amp;"|"&amp;DATOS!$I17001)</f>
      </c>
      <c r="G17001">
        <f>IF(DATOS!$A17001="",0,IF(CONFIG_METADATA!$B$4&lt;&gt;"OR+EX",--(DATOS!$G17001=CONFIG_METADATA!$B$4),IF(DATOS!$G17001="EX",1,IF(DATOS!$G17001="OR",--(COUNTIFS(nNIA,DATOS!$A17001,nCURSO,DATOS!$D17001,nESPEC,DATOS!$E17001,nASIG,DATOS!$I17001,nEVAL,"EX")=0),0))))</f>
      </c>
      <c r="H17001">
        <f>IF(DATOS!$G17001&lt;&gt;"EX",0,--(COUNTIFS(nNIA,DATOS!$A17001,nCURSO,DATOS!$D17001,nESPEC,DATOS!$E17001,nASIG,DATOS!$I17001,nEVAL,"OR")=0))</f>
      </c>
      <c r="I17001">
        <f>IF(DATOS!$I17001="","",IFERROR(VLOOKUP(DATOS!$I17001,CONFIG_ASIGNATURAS!$B$2:$J$91,9,FALSE()),""))</f>
      </c>
    </row>
    <row r="17002">
      <c r="F17002">
        <f>IF(DATOS!$A17002="","",DATOS!$A17002&amp;"|"&amp;DATOS!$D17002&amp;"|"&amp;DATOS!$E17002&amp;"|"&amp;DATOS!$I17002)</f>
      </c>
      <c r="G17002">
        <f>IF(DATOS!$A17002="",0,IF(CONFIG_METADATA!$B$4&lt;&gt;"OR+EX",--(DATOS!$G17002=CONFIG_METADATA!$B$4),IF(DATOS!$G17002="EX",1,IF(DATOS!$G17002="OR",--(COUNTIFS(nNIA,DATOS!$A17002,nCURSO,DATOS!$D17002,nESPEC,DATOS!$E17002,nASIG,DATOS!$I17002,nEVAL,"EX")=0),0))))</f>
      </c>
      <c r="H17002">
        <f>IF(DATOS!$G17002&lt;&gt;"EX",0,--(COUNTIFS(nNIA,DATOS!$A17002,nCURSO,DATOS!$D17002,nESPEC,DATOS!$E17002,nASIG,DATOS!$I17002,nEVAL,"OR")=0))</f>
      </c>
      <c r="I17002">
        <f>IF(DATOS!$I17002="","",IFERROR(VLOOKUP(DATOS!$I17002,CONFIG_ASIGNATURAS!$B$2:$J$91,9,FALSE()),""))</f>
      </c>
    </row>
    <row r="17003">
      <c r="F17003">
        <f>IF(DATOS!$A17003="","",DATOS!$A17003&amp;"|"&amp;DATOS!$D17003&amp;"|"&amp;DATOS!$E17003&amp;"|"&amp;DATOS!$I17003)</f>
      </c>
      <c r="G17003">
        <f>IF(DATOS!$A17003="",0,IF(CONFIG_METADATA!$B$4&lt;&gt;"OR+EX",--(DATOS!$G17003=CONFIG_METADATA!$B$4),IF(DATOS!$G17003="EX",1,IF(DATOS!$G17003="OR",--(COUNTIFS(nNIA,DATOS!$A17003,nCURSO,DATOS!$D17003,nESPEC,DATOS!$E17003,nASIG,DATOS!$I17003,nEVAL,"EX")=0),0))))</f>
      </c>
      <c r="H17003">
        <f>IF(DATOS!$G17003&lt;&gt;"EX",0,--(COUNTIFS(nNIA,DATOS!$A17003,nCURSO,DATOS!$D17003,nESPEC,DATOS!$E17003,nASIG,DATOS!$I17003,nEVAL,"OR")=0))</f>
      </c>
      <c r="I17003">
        <f>IF(DATOS!$I17003="","",IFERROR(VLOOKUP(DATOS!$I17003,CONFIG_ASIGNATURAS!$B$2:$J$91,9,FALSE()),""))</f>
      </c>
    </row>
    <row r="17004">
      <c r="F17004">
        <f>IF(DATOS!$A17004="","",DATOS!$A17004&amp;"|"&amp;DATOS!$D17004&amp;"|"&amp;DATOS!$E17004&amp;"|"&amp;DATOS!$I17004)</f>
      </c>
      <c r="G17004">
        <f>IF(DATOS!$A17004="",0,IF(CONFIG_METADATA!$B$4&lt;&gt;"OR+EX",--(DATOS!$G17004=CONFIG_METADATA!$B$4),IF(DATOS!$G17004="EX",1,IF(DATOS!$G17004="OR",--(COUNTIFS(nNIA,DATOS!$A17004,nCURSO,DATOS!$D17004,nESPEC,DATOS!$E17004,nASIG,DATOS!$I17004,nEVAL,"EX")=0),0))))</f>
      </c>
      <c r="H17004">
        <f>IF(DATOS!$G17004&lt;&gt;"EX",0,--(COUNTIFS(nNIA,DATOS!$A17004,nCURSO,DATOS!$D17004,nESPEC,DATOS!$E17004,nASIG,DATOS!$I17004,nEVAL,"OR")=0))</f>
      </c>
      <c r="I17004">
        <f>IF(DATOS!$I17004="","",IFERROR(VLOOKUP(DATOS!$I17004,CONFIG_ASIGNATURAS!$B$2:$J$91,9,FALSE()),""))</f>
      </c>
    </row>
    <row r="17005">
      <c r="F17005">
        <f>IF(DATOS!$A17005="","",DATOS!$A17005&amp;"|"&amp;DATOS!$D17005&amp;"|"&amp;DATOS!$E17005&amp;"|"&amp;DATOS!$I17005)</f>
      </c>
      <c r="G17005">
        <f>IF(DATOS!$A17005="",0,IF(CONFIG_METADATA!$B$4&lt;&gt;"OR+EX",--(DATOS!$G17005=CONFIG_METADATA!$B$4),IF(DATOS!$G17005="EX",1,IF(DATOS!$G17005="OR",--(COUNTIFS(nNIA,DATOS!$A17005,nCURSO,DATOS!$D17005,nESPEC,DATOS!$E17005,nASIG,DATOS!$I17005,nEVAL,"EX")=0),0))))</f>
      </c>
      <c r="H17005">
        <f>IF(DATOS!$G17005&lt;&gt;"EX",0,--(COUNTIFS(nNIA,DATOS!$A17005,nCURSO,DATOS!$D17005,nESPEC,DATOS!$E17005,nASIG,DATOS!$I17005,nEVAL,"OR")=0))</f>
      </c>
      <c r="I17005">
        <f>IF(DATOS!$I17005="","",IFERROR(VLOOKUP(DATOS!$I17005,CONFIG_ASIGNATURAS!$B$2:$J$91,9,FALSE()),""))</f>
      </c>
    </row>
    <row r="17006">
      <c r="F17006">
        <f>IF(DATOS!$A17006="","",DATOS!$A17006&amp;"|"&amp;DATOS!$D17006&amp;"|"&amp;DATOS!$E17006&amp;"|"&amp;DATOS!$I17006)</f>
      </c>
      <c r="G17006">
        <f>IF(DATOS!$A17006="",0,IF(CONFIG_METADATA!$B$4&lt;&gt;"OR+EX",--(DATOS!$G17006=CONFIG_METADATA!$B$4),IF(DATOS!$G17006="EX",1,IF(DATOS!$G17006="OR",--(COUNTIFS(nNIA,DATOS!$A17006,nCURSO,DATOS!$D17006,nESPEC,DATOS!$E17006,nASIG,DATOS!$I17006,nEVAL,"EX")=0),0))))</f>
      </c>
      <c r="H17006">
        <f>IF(DATOS!$G17006&lt;&gt;"EX",0,--(COUNTIFS(nNIA,DATOS!$A17006,nCURSO,DATOS!$D17006,nESPEC,DATOS!$E17006,nASIG,DATOS!$I17006,nEVAL,"OR")=0))</f>
      </c>
      <c r="I17006">
        <f>IF(DATOS!$I17006="","",IFERROR(VLOOKUP(DATOS!$I17006,CONFIG_ASIGNATURAS!$B$2:$J$91,9,FALSE()),""))</f>
      </c>
    </row>
    <row r="17007">
      <c r="F17007">
        <f>IF(DATOS!$A17007="","",DATOS!$A17007&amp;"|"&amp;DATOS!$D17007&amp;"|"&amp;DATOS!$E17007&amp;"|"&amp;DATOS!$I17007)</f>
      </c>
      <c r="G17007">
        <f>IF(DATOS!$A17007="",0,IF(CONFIG_METADATA!$B$4&lt;&gt;"OR+EX",--(DATOS!$G17007=CONFIG_METADATA!$B$4),IF(DATOS!$G17007="EX",1,IF(DATOS!$G17007="OR",--(COUNTIFS(nNIA,DATOS!$A17007,nCURSO,DATOS!$D17007,nESPEC,DATOS!$E17007,nASIG,DATOS!$I17007,nEVAL,"EX")=0),0))))</f>
      </c>
      <c r="H17007">
        <f>IF(DATOS!$G17007&lt;&gt;"EX",0,--(COUNTIFS(nNIA,DATOS!$A17007,nCURSO,DATOS!$D17007,nESPEC,DATOS!$E17007,nASIG,DATOS!$I17007,nEVAL,"OR")=0))</f>
      </c>
      <c r="I17007">
        <f>IF(DATOS!$I17007="","",IFERROR(VLOOKUP(DATOS!$I17007,CONFIG_ASIGNATURAS!$B$2:$J$91,9,FALSE()),""))</f>
      </c>
    </row>
    <row r="17008">
      <c r="F17008">
        <f>IF(DATOS!$A17008="","",DATOS!$A17008&amp;"|"&amp;DATOS!$D17008&amp;"|"&amp;DATOS!$E17008&amp;"|"&amp;DATOS!$I17008)</f>
      </c>
      <c r="G17008">
        <f>IF(DATOS!$A17008="",0,IF(CONFIG_METADATA!$B$4&lt;&gt;"OR+EX",--(DATOS!$G17008=CONFIG_METADATA!$B$4),IF(DATOS!$G17008="EX",1,IF(DATOS!$G17008="OR",--(COUNTIFS(nNIA,DATOS!$A17008,nCURSO,DATOS!$D17008,nESPEC,DATOS!$E17008,nASIG,DATOS!$I17008,nEVAL,"EX")=0),0))))</f>
      </c>
      <c r="H17008">
        <f>IF(DATOS!$G17008&lt;&gt;"EX",0,--(COUNTIFS(nNIA,DATOS!$A17008,nCURSO,DATOS!$D17008,nESPEC,DATOS!$E17008,nASIG,DATOS!$I17008,nEVAL,"OR")=0))</f>
      </c>
      <c r="I17008">
        <f>IF(DATOS!$I17008="","",IFERROR(VLOOKUP(DATOS!$I17008,CONFIG_ASIGNATURAS!$B$2:$J$91,9,FALSE()),""))</f>
      </c>
    </row>
    <row r="17009">
      <c r="F17009">
        <f>IF(DATOS!$A17009="","",DATOS!$A17009&amp;"|"&amp;DATOS!$D17009&amp;"|"&amp;DATOS!$E17009&amp;"|"&amp;DATOS!$I17009)</f>
      </c>
      <c r="G17009">
        <f>IF(DATOS!$A17009="",0,IF(CONFIG_METADATA!$B$4&lt;&gt;"OR+EX",--(DATOS!$G17009=CONFIG_METADATA!$B$4),IF(DATOS!$G17009="EX",1,IF(DATOS!$G17009="OR",--(COUNTIFS(nNIA,DATOS!$A17009,nCURSO,DATOS!$D17009,nESPEC,DATOS!$E17009,nASIG,DATOS!$I17009,nEVAL,"EX")=0),0))))</f>
      </c>
      <c r="H17009">
        <f>IF(DATOS!$G17009&lt;&gt;"EX",0,--(COUNTIFS(nNIA,DATOS!$A17009,nCURSO,DATOS!$D17009,nESPEC,DATOS!$E17009,nASIG,DATOS!$I17009,nEVAL,"OR")=0))</f>
      </c>
      <c r="I17009">
        <f>IF(DATOS!$I17009="","",IFERROR(VLOOKUP(DATOS!$I17009,CONFIG_ASIGNATURAS!$B$2:$J$91,9,FALSE()),""))</f>
      </c>
    </row>
    <row r="17010">
      <c r="F17010">
        <f>IF(DATOS!$A17010="","",DATOS!$A17010&amp;"|"&amp;DATOS!$D17010&amp;"|"&amp;DATOS!$E17010&amp;"|"&amp;DATOS!$I17010)</f>
      </c>
      <c r="G17010">
        <f>IF(DATOS!$A17010="",0,IF(CONFIG_METADATA!$B$4&lt;&gt;"OR+EX",--(DATOS!$G17010=CONFIG_METADATA!$B$4),IF(DATOS!$G17010="EX",1,IF(DATOS!$G17010="OR",--(COUNTIFS(nNIA,DATOS!$A17010,nCURSO,DATOS!$D17010,nESPEC,DATOS!$E17010,nASIG,DATOS!$I17010,nEVAL,"EX")=0),0))))</f>
      </c>
      <c r="H17010">
        <f>IF(DATOS!$G17010&lt;&gt;"EX",0,--(COUNTIFS(nNIA,DATOS!$A17010,nCURSO,DATOS!$D17010,nESPEC,DATOS!$E17010,nASIG,DATOS!$I17010,nEVAL,"OR")=0))</f>
      </c>
      <c r="I17010">
        <f>IF(DATOS!$I17010="","",IFERROR(VLOOKUP(DATOS!$I17010,CONFIG_ASIGNATURAS!$B$2:$J$91,9,FALSE()),""))</f>
      </c>
    </row>
    <row r="17011">
      <c r="F17011">
        <f>IF(DATOS!$A17011="","",DATOS!$A17011&amp;"|"&amp;DATOS!$D17011&amp;"|"&amp;DATOS!$E17011&amp;"|"&amp;DATOS!$I17011)</f>
      </c>
      <c r="G17011">
        <f>IF(DATOS!$A17011="",0,IF(CONFIG_METADATA!$B$4&lt;&gt;"OR+EX",--(DATOS!$G17011=CONFIG_METADATA!$B$4),IF(DATOS!$G17011="EX",1,IF(DATOS!$G17011="OR",--(COUNTIFS(nNIA,DATOS!$A17011,nCURSO,DATOS!$D17011,nESPEC,DATOS!$E17011,nASIG,DATOS!$I17011,nEVAL,"EX")=0),0))))</f>
      </c>
      <c r="H17011">
        <f>IF(DATOS!$G17011&lt;&gt;"EX",0,--(COUNTIFS(nNIA,DATOS!$A17011,nCURSO,DATOS!$D17011,nESPEC,DATOS!$E17011,nASIG,DATOS!$I17011,nEVAL,"OR")=0))</f>
      </c>
      <c r="I17011">
        <f>IF(DATOS!$I17011="","",IFERROR(VLOOKUP(DATOS!$I17011,CONFIG_ASIGNATURAS!$B$2:$J$91,9,FALSE()),""))</f>
      </c>
    </row>
    <row r="17012">
      <c r="F17012">
        <f>IF(DATOS!$A17012="","",DATOS!$A17012&amp;"|"&amp;DATOS!$D17012&amp;"|"&amp;DATOS!$E17012&amp;"|"&amp;DATOS!$I17012)</f>
      </c>
      <c r="G17012">
        <f>IF(DATOS!$A17012="",0,IF(CONFIG_METADATA!$B$4&lt;&gt;"OR+EX",--(DATOS!$G17012=CONFIG_METADATA!$B$4),IF(DATOS!$G17012="EX",1,IF(DATOS!$G17012="OR",--(COUNTIFS(nNIA,DATOS!$A17012,nCURSO,DATOS!$D17012,nESPEC,DATOS!$E17012,nASIG,DATOS!$I17012,nEVAL,"EX")=0),0))))</f>
      </c>
      <c r="H17012">
        <f>IF(DATOS!$G17012&lt;&gt;"EX",0,--(COUNTIFS(nNIA,DATOS!$A17012,nCURSO,DATOS!$D17012,nESPEC,DATOS!$E17012,nASIG,DATOS!$I17012,nEVAL,"OR")=0))</f>
      </c>
      <c r="I17012">
        <f>IF(DATOS!$I17012="","",IFERROR(VLOOKUP(DATOS!$I17012,CONFIG_ASIGNATURAS!$B$2:$J$91,9,FALSE()),""))</f>
      </c>
    </row>
    <row r="17013">
      <c r="F17013">
        <f>IF(DATOS!$A17013="","",DATOS!$A17013&amp;"|"&amp;DATOS!$D17013&amp;"|"&amp;DATOS!$E17013&amp;"|"&amp;DATOS!$I17013)</f>
      </c>
      <c r="G17013">
        <f>IF(DATOS!$A17013="",0,IF(CONFIG_METADATA!$B$4&lt;&gt;"OR+EX",--(DATOS!$G17013=CONFIG_METADATA!$B$4),IF(DATOS!$G17013="EX",1,IF(DATOS!$G17013="OR",--(COUNTIFS(nNIA,DATOS!$A17013,nCURSO,DATOS!$D17013,nESPEC,DATOS!$E17013,nASIG,DATOS!$I17013,nEVAL,"EX")=0),0))))</f>
      </c>
      <c r="H17013">
        <f>IF(DATOS!$G17013&lt;&gt;"EX",0,--(COUNTIFS(nNIA,DATOS!$A17013,nCURSO,DATOS!$D17013,nESPEC,DATOS!$E17013,nASIG,DATOS!$I17013,nEVAL,"OR")=0))</f>
      </c>
      <c r="I17013">
        <f>IF(DATOS!$I17013="","",IFERROR(VLOOKUP(DATOS!$I17013,CONFIG_ASIGNATURAS!$B$2:$J$91,9,FALSE()),""))</f>
      </c>
    </row>
    <row r="17014">
      <c r="F17014">
        <f>IF(DATOS!$A17014="","",DATOS!$A17014&amp;"|"&amp;DATOS!$D17014&amp;"|"&amp;DATOS!$E17014&amp;"|"&amp;DATOS!$I17014)</f>
      </c>
      <c r="G17014">
        <f>IF(DATOS!$A17014="",0,IF(CONFIG_METADATA!$B$4&lt;&gt;"OR+EX",--(DATOS!$G17014=CONFIG_METADATA!$B$4),IF(DATOS!$G17014="EX",1,IF(DATOS!$G17014="OR",--(COUNTIFS(nNIA,DATOS!$A17014,nCURSO,DATOS!$D17014,nESPEC,DATOS!$E17014,nASIG,DATOS!$I17014,nEVAL,"EX")=0),0))))</f>
      </c>
      <c r="H17014">
        <f>IF(DATOS!$G17014&lt;&gt;"EX",0,--(COUNTIFS(nNIA,DATOS!$A17014,nCURSO,DATOS!$D17014,nESPEC,DATOS!$E17014,nASIG,DATOS!$I17014,nEVAL,"OR")=0))</f>
      </c>
      <c r="I17014">
        <f>IF(DATOS!$I17014="","",IFERROR(VLOOKUP(DATOS!$I17014,CONFIG_ASIGNATURAS!$B$2:$J$91,9,FALSE()),""))</f>
      </c>
    </row>
    <row r="17015">
      <c r="F17015">
        <f>IF(DATOS!$A17015="","",DATOS!$A17015&amp;"|"&amp;DATOS!$D17015&amp;"|"&amp;DATOS!$E17015&amp;"|"&amp;DATOS!$I17015)</f>
      </c>
      <c r="G17015">
        <f>IF(DATOS!$A17015="",0,IF(CONFIG_METADATA!$B$4&lt;&gt;"OR+EX",--(DATOS!$G17015=CONFIG_METADATA!$B$4),IF(DATOS!$G17015="EX",1,IF(DATOS!$G17015="OR",--(COUNTIFS(nNIA,DATOS!$A17015,nCURSO,DATOS!$D17015,nESPEC,DATOS!$E17015,nASIG,DATOS!$I17015,nEVAL,"EX")=0),0))))</f>
      </c>
      <c r="H17015">
        <f>IF(DATOS!$G17015&lt;&gt;"EX",0,--(COUNTIFS(nNIA,DATOS!$A17015,nCURSO,DATOS!$D17015,nESPEC,DATOS!$E17015,nASIG,DATOS!$I17015,nEVAL,"OR")=0))</f>
      </c>
      <c r="I17015">
        <f>IF(DATOS!$I17015="","",IFERROR(VLOOKUP(DATOS!$I17015,CONFIG_ASIGNATURAS!$B$2:$J$91,9,FALSE()),""))</f>
      </c>
    </row>
    <row r="17016">
      <c r="F17016">
        <f>IF(DATOS!$A17016="","",DATOS!$A17016&amp;"|"&amp;DATOS!$D17016&amp;"|"&amp;DATOS!$E17016&amp;"|"&amp;DATOS!$I17016)</f>
      </c>
      <c r="G17016">
        <f>IF(DATOS!$A17016="",0,IF(CONFIG_METADATA!$B$4&lt;&gt;"OR+EX",--(DATOS!$G17016=CONFIG_METADATA!$B$4),IF(DATOS!$G17016="EX",1,IF(DATOS!$G17016="OR",--(COUNTIFS(nNIA,DATOS!$A17016,nCURSO,DATOS!$D17016,nESPEC,DATOS!$E17016,nASIG,DATOS!$I17016,nEVAL,"EX")=0),0))))</f>
      </c>
      <c r="H17016">
        <f>IF(DATOS!$G17016&lt;&gt;"EX",0,--(COUNTIFS(nNIA,DATOS!$A17016,nCURSO,DATOS!$D17016,nESPEC,DATOS!$E17016,nASIG,DATOS!$I17016,nEVAL,"OR")=0))</f>
      </c>
      <c r="I17016">
        <f>IF(DATOS!$I17016="","",IFERROR(VLOOKUP(DATOS!$I17016,CONFIG_ASIGNATURAS!$B$2:$J$91,9,FALSE()),""))</f>
      </c>
    </row>
    <row r="17017">
      <c r="F17017">
        <f>IF(DATOS!$A17017="","",DATOS!$A17017&amp;"|"&amp;DATOS!$D17017&amp;"|"&amp;DATOS!$E17017&amp;"|"&amp;DATOS!$I17017)</f>
      </c>
      <c r="G17017">
        <f>IF(DATOS!$A17017="",0,IF(CONFIG_METADATA!$B$4&lt;&gt;"OR+EX",--(DATOS!$G17017=CONFIG_METADATA!$B$4),IF(DATOS!$G17017="EX",1,IF(DATOS!$G17017="OR",--(COUNTIFS(nNIA,DATOS!$A17017,nCURSO,DATOS!$D17017,nESPEC,DATOS!$E17017,nASIG,DATOS!$I17017,nEVAL,"EX")=0),0))))</f>
      </c>
      <c r="H17017">
        <f>IF(DATOS!$G17017&lt;&gt;"EX",0,--(COUNTIFS(nNIA,DATOS!$A17017,nCURSO,DATOS!$D17017,nESPEC,DATOS!$E17017,nASIG,DATOS!$I17017,nEVAL,"OR")=0))</f>
      </c>
      <c r="I17017">
        <f>IF(DATOS!$I17017="","",IFERROR(VLOOKUP(DATOS!$I17017,CONFIG_ASIGNATURAS!$B$2:$J$91,9,FALSE()),""))</f>
      </c>
    </row>
    <row r="17018">
      <c r="F17018">
        <f>IF(DATOS!$A17018="","",DATOS!$A17018&amp;"|"&amp;DATOS!$D17018&amp;"|"&amp;DATOS!$E17018&amp;"|"&amp;DATOS!$I17018)</f>
      </c>
      <c r="G17018">
        <f>IF(DATOS!$A17018="",0,IF(CONFIG_METADATA!$B$4&lt;&gt;"OR+EX",--(DATOS!$G17018=CONFIG_METADATA!$B$4),IF(DATOS!$G17018="EX",1,IF(DATOS!$G17018="OR",--(COUNTIFS(nNIA,DATOS!$A17018,nCURSO,DATOS!$D17018,nESPEC,DATOS!$E17018,nASIG,DATOS!$I17018,nEVAL,"EX")=0),0))))</f>
      </c>
      <c r="H17018">
        <f>IF(DATOS!$G17018&lt;&gt;"EX",0,--(COUNTIFS(nNIA,DATOS!$A17018,nCURSO,DATOS!$D17018,nESPEC,DATOS!$E17018,nASIG,DATOS!$I17018,nEVAL,"OR")=0))</f>
      </c>
      <c r="I17018">
        <f>IF(DATOS!$I17018="","",IFERROR(VLOOKUP(DATOS!$I17018,CONFIG_ASIGNATURAS!$B$2:$J$91,9,FALSE()),""))</f>
      </c>
    </row>
    <row r="17019">
      <c r="F17019">
        <f>IF(DATOS!$A17019="","",DATOS!$A17019&amp;"|"&amp;DATOS!$D17019&amp;"|"&amp;DATOS!$E17019&amp;"|"&amp;DATOS!$I17019)</f>
      </c>
      <c r="G17019">
        <f>IF(DATOS!$A17019="",0,IF(CONFIG_METADATA!$B$4&lt;&gt;"OR+EX",--(DATOS!$G17019=CONFIG_METADATA!$B$4),IF(DATOS!$G17019="EX",1,IF(DATOS!$G17019="OR",--(COUNTIFS(nNIA,DATOS!$A17019,nCURSO,DATOS!$D17019,nESPEC,DATOS!$E17019,nASIG,DATOS!$I17019,nEVAL,"EX")=0),0))))</f>
      </c>
      <c r="H17019">
        <f>IF(DATOS!$G17019&lt;&gt;"EX",0,--(COUNTIFS(nNIA,DATOS!$A17019,nCURSO,DATOS!$D17019,nESPEC,DATOS!$E17019,nASIG,DATOS!$I17019,nEVAL,"OR")=0))</f>
      </c>
      <c r="I17019">
        <f>IF(DATOS!$I17019="","",IFERROR(VLOOKUP(DATOS!$I17019,CONFIG_ASIGNATURAS!$B$2:$J$91,9,FALSE()),""))</f>
      </c>
    </row>
    <row r="17020">
      <c r="F17020">
        <f>IF(DATOS!$A17020="","",DATOS!$A17020&amp;"|"&amp;DATOS!$D17020&amp;"|"&amp;DATOS!$E17020&amp;"|"&amp;DATOS!$I17020)</f>
      </c>
      <c r="G17020">
        <f>IF(DATOS!$A17020="",0,IF(CONFIG_METADATA!$B$4&lt;&gt;"OR+EX",--(DATOS!$G17020=CONFIG_METADATA!$B$4),IF(DATOS!$G17020="EX",1,IF(DATOS!$G17020="OR",--(COUNTIFS(nNIA,DATOS!$A17020,nCURSO,DATOS!$D17020,nESPEC,DATOS!$E17020,nASIG,DATOS!$I17020,nEVAL,"EX")=0),0))))</f>
      </c>
      <c r="H17020">
        <f>IF(DATOS!$G17020&lt;&gt;"EX",0,--(COUNTIFS(nNIA,DATOS!$A17020,nCURSO,DATOS!$D17020,nESPEC,DATOS!$E17020,nASIG,DATOS!$I17020,nEVAL,"OR")=0))</f>
      </c>
      <c r="I17020">
        <f>IF(DATOS!$I17020="","",IFERROR(VLOOKUP(DATOS!$I17020,CONFIG_ASIGNATURAS!$B$2:$J$91,9,FALSE()),""))</f>
      </c>
    </row>
    <row r="17021">
      <c r="F17021">
        <f>IF(DATOS!$A17021="","",DATOS!$A17021&amp;"|"&amp;DATOS!$D17021&amp;"|"&amp;DATOS!$E17021&amp;"|"&amp;DATOS!$I17021)</f>
      </c>
      <c r="G17021">
        <f>IF(DATOS!$A17021="",0,IF(CONFIG_METADATA!$B$4&lt;&gt;"OR+EX",--(DATOS!$G17021=CONFIG_METADATA!$B$4),IF(DATOS!$G17021="EX",1,IF(DATOS!$G17021="OR",--(COUNTIFS(nNIA,DATOS!$A17021,nCURSO,DATOS!$D17021,nESPEC,DATOS!$E17021,nASIG,DATOS!$I17021,nEVAL,"EX")=0),0))))</f>
      </c>
      <c r="H17021">
        <f>IF(DATOS!$G17021&lt;&gt;"EX",0,--(COUNTIFS(nNIA,DATOS!$A17021,nCURSO,DATOS!$D17021,nESPEC,DATOS!$E17021,nASIG,DATOS!$I17021,nEVAL,"OR")=0))</f>
      </c>
      <c r="I17021">
        <f>IF(DATOS!$I17021="","",IFERROR(VLOOKUP(DATOS!$I17021,CONFIG_ASIGNATURAS!$B$2:$J$91,9,FALSE()),""))</f>
      </c>
    </row>
    <row r="17022">
      <c r="F17022">
        <f>IF(DATOS!$A17022="","",DATOS!$A17022&amp;"|"&amp;DATOS!$D17022&amp;"|"&amp;DATOS!$E17022&amp;"|"&amp;DATOS!$I17022)</f>
      </c>
      <c r="G17022">
        <f>IF(DATOS!$A17022="",0,IF(CONFIG_METADATA!$B$4&lt;&gt;"OR+EX",--(DATOS!$G17022=CONFIG_METADATA!$B$4),IF(DATOS!$G17022="EX",1,IF(DATOS!$G17022="OR",--(COUNTIFS(nNIA,DATOS!$A17022,nCURSO,DATOS!$D17022,nESPEC,DATOS!$E17022,nASIG,DATOS!$I17022,nEVAL,"EX")=0),0))))</f>
      </c>
      <c r="H17022">
        <f>IF(DATOS!$G17022&lt;&gt;"EX",0,--(COUNTIFS(nNIA,DATOS!$A17022,nCURSO,DATOS!$D17022,nESPEC,DATOS!$E17022,nASIG,DATOS!$I17022,nEVAL,"OR")=0))</f>
      </c>
      <c r="I17022">
        <f>IF(DATOS!$I17022="","",IFERROR(VLOOKUP(DATOS!$I17022,CONFIG_ASIGNATURAS!$B$2:$J$91,9,FALSE()),""))</f>
      </c>
    </row>
    <row r="17023">
      <c r="F17023">
        <f>IF(DATOS!$A17023="","",DATOS!$A17023&amp;"|"&amp;DATOS!$D17023&amp;"|"&amp;DATOS!$E17023&amp;"|"&amp;DATOS!$I17023)</f>
      </c>
      <c r="G17023">
        <f>IF(DATOS!$A17023="",0,IF(CONFIG_METADATA!$B$4&lt;&gt;"OR+EX",--(DATOS!$G17023=CONFIG_METADATA!$B$4),IF(DATOS!$G17023="EX",1,IF(DATOS!$G17023="OR",--(COUNTIFS(nNIA,DATOS!$A17023,nCURSO,DATOS!$D17023,nESPEC,DATOS!$E17023,nASIG,DATOS!$I17023,nEVAL,"EX")=0),0))))</f>
      </c>
      <c r="H17023">
        <f>IF(DATOS!$G17023&lt;&gt;"EX",0,--(COUNTIFS(nNIA,DATOS!$A17023,nCURSO,DATOS!$D17023,nESPEC,DATOS!$E17023,nASIG,DATOS!$I17023,nEVAL,"OR")=0))</f>
      </c>
      <c r="I17023">
        <f>IF(DATOS!$I17023="","",IFERROR(VLOOKUP(DATOS!$I17023,CONFIG_ASIGNATURAS!$B$2:$J$91,9,FALSE()),""))</f>
      </c>
    </row>
    <row r="17024">
      <c r="F17024">
        <f>IF(DATOS!$A17024="","",DATOS!$A17024&amp;"|"&amp;DATOS!$D17024&amp;"|"&amp;DATOS!$E17024&amp;"|"&amp;DATOS!$I17024)</f>
      </c>
      <c r="G17024">
        <f>IF(DATOS!$A17024="",0,IF(CONFIG_METADATA!$B$4&lt;&gt;"OR+EX",--(DATOS!$G17024=CONFIG_METADATA!$B$4),IF(DATOS!$G17024="EX",1,IF(DATOS!$G17024="OR",--(COUNTIFS(nNIA,DATOS!$A17024,nCURSO,DATOS!$D17024,nESPEC,DATOS!$E17024,nASIG,DATOS!$I17024,nEVAL,"EX")=0),0))))</f>
      </c>
      <c r="H17024">
        <f>IF(DATOS!$G17024&lt;&gt;"EX",0,--(COUNTIFS(nNIA,DATOS!$A17024,nCURSO,DATOS!$D17024,nESPEC,DATOS!$E17024,nASIG,DATOS!$I17024,nEVAL,"OR")=0))</f>
      </c>
      <c r="I17024">
        <f>IF(DATOS!$I17024="","",IFERROR(VLOOKUP(DATOS!$I17024,CONFIG_ASIGNATURAS!$B$2:$J$91,9,FALSE()),""))</f>
      </c>
    </row>
    <row r="17025">
      <c r="F17025">
        <f>IF(DATOS!$A17025="","",DATOS!$A17025&amp;"|"&amp;DATOS!$D17025&amp;"|"&amp;DATOS!$E17025&amp;"|"&amp;DATOS!$I17025)</f>
      </c>
      <c r="G17025">
        <f>IF(DATOS!$A17025="",0,IF(CONFIG_METADATA!$B$4&lt;&gt;"OR+EX",--(DATOS!$G17025=CONFIG_METADATA!$B$4),IF(DATOS!$G17025="EX",1,IF(DATOS!$G17025="OR",--(COUNTIFS(nNIA,DATOS!$A17025,nCURSO,DATOS!$D17025,nESPEC,DATOS!$E17025,nASIG,DATOS!$I17025,nEVAL,"EX")=0),0))))</f>
      </c>
      <c r="H17025">
        <f>IF(DATOS!$G17025&lt;&gt;"EX",0,--(COUNTIFS(nNIA,DATOS!$A17025,nCURSO,DATOS!$D17025,nESPEC,DATOS!$E17025,nASIG,DATOS!$I17025,nEVAL,"OR")=0))</f>
      </c>
      <c r="I17025">
        <f>IF(DATOS!$I17025="","",IFERROR(VLOOKUP(DATOS!$I17025,CONFIG_ASIGNATURAS!$B$2:$J$91,9,FALSE()),""))</f>
      </c>
    </row>
    <row r="17026">
      <c r="F17026">
        <f>IF(DATOS!$A17026="","",DATOS!$A17026&amp;"|"&amp;DATOS!$D17026&amp;"|"&amp;DATOS!$E17026&amp;"|"&amp;DATOS!$I17026)</f>
      </c>
      <c r="G17026">
        <f>IF(DATOS!$A17026="",0,IF(CONFIG_METADATA!$B$4&lt;&gt;"OR+EX",--(DATOS!$G17026=CONFIG_METADATA!$B$4),IF(DATOS!$G17026="EX",1,IF(DATOS!$G17026="OR",--(COUNTIFS(nNIA,DATOS!$A17026,nCURSO,DATOS!$D17026,nESPEC,DATOS!$E17026,nASIG,DATOS!$I17026,nEVAL,"EX")=0),0))))</f>
      </c>
      <c r="H17026">
        <f>IF(DATOS!$G17026&lt;&gt;"EX",0,--(COUNTIFS(nNIA,DATOS!$A17026,nCURSO,DATOS!$D17026,nESPEC,DATOS!$E17026,nASIG,DATOS!$I17026,nEVAL,"OR")=0))</f>
      </c>
      <c r="I17026">
        <f>IF(DATOS!$I17026="","",IFERROR(VLOOKUP(DATOS!$I17026,CONFIG_ASIGNATURAS!$B$2:$J$91,9,FALSE()),""))</f>
      </c>
    </row>
    <row r="17027">
      <c r="F17027">
        <f>IF(DATOS!$A17027="","",DATOS!$A17027&amp;"|"&amp;DATOS!$D17027&amp;"|"&amp;DATOS!$E17027&amp;"|"&amp;DATOS!$I17027)</f>
      </c>
      <c r="G17027">
        <f>IF(DATOS!$A17027="",0,IF(CONFIG_METADATA!$B$4&lt;&gt;"OR+EX",--(DATOS!$G17027=CONFIG_METADATA!$B$4),IF(DATOS!$G17027="EX",1,IF(DATOS!$G17027="OR",--(COUNTIFS(nNIA,DATOS!$A17027,nCURSO,DATOS!$D17027,nESPEC,DATOS!$E17027,nASIG,DATOS!$I17027,nEVAL,"EX")=0),0))))</f>
      </c>
      <c r="H17027">
        <f>IF(DATOS!$G17027&lt;&gt;"EX",0,--(COUNTIFS(nNIA,DATOS!$A17027,nCURSO,DATOS!$D17027,nESPEC,DATOS!$E17027,nASIG,DATOS!$I17027,nEVAL,"OR")=0))</f>
      </c>
      <c r="I17027">
        <f>IF(DATOS!$I17027="","",IFERROR(VLOOKUP(DATOS!$I17027,CONFIG_ASIGNATURAS!$B$2:$J$91,9,FALSE()),""))</f>
      </c>
    </row>
    <row r="17028">
      <c r="F17028">
        <f>IF(DATOS!$A17028="","",DATOS!$A17028&amp;"|"&amp;DATOS!$D17028&amp;"|"&amp;DATOS!$E17028&amp;"|"&amp;DATOS!$I17028)</f>
      </c>
      <c r="G17028">
        <f>IF(DATOS!$A17028="",0,IF(CONFIG_METADATA!$B$4&lt;&gt;"OR+EX",--(DATOS!$G17028=CONFIG_METADATA!$B$4),IF(DATOS!$G17028="EX",1,IF(DATOS!$G17028="OR",--(COUNTIFS(nNIA,DATOS!$A17028,nCURSO,DATOS!$D17028,nESPEC,DATOS!$E17028,nASIG,DATOS!$I17028,nEVAL,"EX")=0),0))))</f>
      </c>
      <c r="H17028">
        <f>IF(DATOS!$G17028&lt;&gt;"EX",0,--(COUNTIFS(nNIA,DATOS!$A17028,nCURSO,DATOS!$D17028,nESPEC,DATOS!$E17028,nASIG,DATOS!$I17028,nEVAL,"OR")=0))</f>
      </c>
      <c r="I17028">
        <f>IF(DATOS!$I17028="","",IFERROR(VLOOKUP(DATOS!$I17028,CONFIG_ASIGNATURAS!$B$2:$J$91,9,FALSE()),""))</f>
      </c>
    </row>
    <row r="17029">
      <c r="F17029">
        <f>IF(DATOS!$A17029="","",DATOS!$A17029&amp;"|"&amp;DATOS!$D17029&amp;"|"&amp;DATOS!$E17029&amp;"|"&amp;DATOS!$I17029)</f>
      </c>
      <c r="G17029">
        <f>IF(DATOS!$A17029="",0,IF(CONFIG_METADATA!$B$4&lt;&gt;"OR+EX",--(DATOS!$G17029=CONFIG_METADATA!$B$4),IF(DATOS!$G17029="EX",1,IF(DATOS!$G17029="OR",--(COUNTIFS(nNIA,DATOS!$A17029,nCURSO,DATOS!$D17029,nESPEC,DATOS!$E17029,nASIG,DATOS!$I17029,nEVAL,"EX")=0),0))))</f>
      </c>
      <c r="H17029">
        <f>IF(DATOS!$G17029&lt;&gt;"EX",0,--(COUNTIFS(nNIA,DATOS!$A17029,nCURSO,DATOS!$D17029,nESPEC,DATOS!$E17029,nASIG,DATOS!$I17029,nEVAL,"OR")=0))</f>
      </c>
      <c r="I17029">
        <f>IF(DATOS!$I17029="","",IFERROR(VLOOKUP(DATOS!$I17029,CONFIG_ASIGNATURAS!$B$2:$J$91,9,FALSE()),""))</f>
      </c>
    </row>
    <row r="17030">
      <c r="F17030">
        <f>IF(DATOS!$A17030="","",DATOS!$A17030&amp;"|"&amp;DATOS!$D17030&amp;"|"&amp;DATOS!$E17030&amp;"|"&amp;DATOS!$I17030)</f>
      </c>
      <c r="G17030">
        <f>IF(DATOS!$A17030="",0,IF(CONFIG_METADATA!$B$4&lt;&gt;"OR+EX",--(DATOS!$G17030=CONFIG_METADATA!$B$4),IF(DATOS!$G17030="EX",1,IF(DATOS!$G17030="OR",--(COUNTIFS(nNIA,DATOS!$A17030,nCURSO,DATOS!$D17030,nESPEC,DATOS!$E17030,nASIG,DATOS!$I17030,nEVAL,"EX")=0),0))))</f>
      </c>
      <c r="H17030">
        <f>IF(DATOS!$G17030&lt;&gt;"EX",0,--(COUNTIFS(nNIA,DATOS!$A17030,nCURSO,DATOS!$D17030,nESPEC,DATOS!$E17030,nASIG,DATOS!$I17030,nEVAL,"OR")=0))</f>
      </c>
      <c r="I17030">
        <f>IF(DATOS!$I17030="","",IFERROR(VLOOKUP(DATOS!$I17030,CONFIG_ASIGNATURAS!$B$2:$J$91,9,FALSE()),""))</f>
      </c>
    </row>
    <row r="17031">
      <c r="F17031">
        <f>IF(DATOS!$A17031="","",DATOS!$A17031&amp;"|"&amp;DATOS!$D17031&amp;"|"&amp;DATOS!$E17031&amp;"|"&amp;DATOS!$I17031)</f>
      </c>
      <c r="G17031">
        <f>IF(DATOS!$A17031="",0,IF(CONFIG_METADATA!$B$4&lt;&gt;"OR+EX",--(DATOS!$G17031=CONFIG_METADATA!$B$4),IF(DATOS!$G17031="EX",1,IF(DATOS!$G17031="OR",--(COUNTIFS(nNIA,DATOS!$A17031,nCURSO,DATOS!$D17031,nESPEC,DATOS!$E17031,nASIG,DATOS!$I17031,nEVAL,"EX")=0),0))))</f>
      </c>
      <c r="H17031">
        <f>IF(DATOS!$G17031&lt;&gt;"EX",0,--(COUNTIFS(nNIA,DATOS!$A17031,nCURSO,DATOS!$D17031,nESPEC,DATOS!$E17031,nASIG,DATOS!$I17031,nEVAL,"OR")=0))</f>
      </c>
      <c r="I17031">
        <f>IF(DATOS!$I17031="","",IFERROR(VLOOKUP(DATOS!$I17031,CONFIG_ASIGNATURAS!$B$2:$J$91,9,FALSE()),""))</f>
      </c>
    </row>
    <row r="17032">
      <c r="F17032">
        <f>IF(DATOS!$A17032="","",DATOS!$A17032&amp;"|"&amp;DATOS!$D17032&amp;"|"&amp;DATOS!$E17032&amp;"|"&amp;DATOS!$I17032)</f>
      </c>
      <c r="G17032">
        <f>IF(DATOS!$A17032="",0,IF(CONFIG_METADATA!$B$4&lt;&gt;"OR+EX",--(DATOS!$G17032=CONFIG_METADATA!$B$4),IF(DATOS!$G17032="EX",1,IF(DATOS!$G17032="OR",--(COUNTIFS(nNIA,DATOS!$A17032,nCURSO,DATOS!$D17032,nESPEC,DATOS!$E17032,nASIG,DATOS!$I17032,nEVAL,"EX")=0),0))))</f>
      </c>
      <c r="H17032">
        <f>IF(DATOS!$G17032&lt;&gt;"EX",0,--(COUNTIFS(nNIA,DATOS!$A17032,nCURSO,DATOS!$D17032,nESPEC,DATOS!$E17032,nASIG,DATOS!$I17032,nEVAL,"OR")=0))</f>
      </c>
      <c r="I17032">
        <f>IF(DATOS!$I17032="","",IFERROR(VLOOKUP(DATOS!$I17032,CONFIG_ASIGNATURAS!$B$2:$J$91,9,FALSE()),""))</f>
      </c>
    </row>
    <row r="17033">
      <c r="F17033">
        <f>IF(DATOS!$A17033="","",DATOS!$A17033&amp;"|"&amp;DATOS!$D17033&amp;"|"&amp;DATOS!$E17033&amp;"|"&amp;DATOS!$I17033)</f>
      </c>
      <c r="G17033">
        <f>IF(DATOS!$A17033="",0,IF(CONFIG_METADATA!$B$4&lt;&gt;"OR+EX",--(DATOS!$G17033=CONFIG_METADATA!$B$4),IF(DATOS!$G17033="EX",1,IF(DATOS!$G17033="OR",--(COUNTIFS(nNIA,DATOS!$A17033,nCURSO,DATOS!$D17033,nESPEC,DATOS!$E17033,nASIG,DATOS!$I17033,nEVAL,"EX")=0),0))))</f>
      </c>
      <c r="H17033">
        <f>IF(DATOS!$G17033&lt;&gt;"EX",0,--(COUNTIFS(nNIA,DATOS!$A17033,nCURSO,DATOS!$D17033,nESPEC,DATOS!$E17033,nASIG,DATOS!$I17033,nEVAL,"OR")=0))</f>
      </c>
      <c r="I17033">
        <f>IF(DATOS!$I17033="","",IFERROR(VLOOKUP(DATOS!$I17033,CONFIG_ASIGNATURAS!$B$2:$J$91,9,FALSE()),""))</f>
      </c>
    </row>
    <row r="17034">
      <c r="F17034">
        <f>IF(DATOS!$A17034="","",DATOS!$A17034&amp;"|"&amp;DATOS!$D17034&amp;"|"&amp;DATOS!$E17034&amp;"|"&amp;DATOS!$I17034)</f>
      </c>
      <c r="G17034">
        <f>IF(DATOS!$A17034="",0,IF(CONFIG_METADATA!$B$4&lt;&gt;"OR+EX",--(DATOS!$G17034=CONFIG_METADATA!$B$4),IF(DATOS!$G17034="EX",1,IF(DATOS!$G17034="OR",--(COUNTIFS(nNIA,DATOS!$A17034,nCURSO,DATOS!$D17034,nESPEC,DATOS!$E17034,nASIG,DATOS!$I17034,nEVAL,"EX")=0),0))))</f>
      </c>
      <c r="H17034">
        <f>IF(DATOS!$G17034&lt;&gt;"EX",0,--(COUNTIFS(nNIA,DATOS!$A17034,nCURSO,DATOS!$D17034,nESPEC,DATOS!$E17034,nASIG,DATOS!$I17034,nEVAL,"OR")=0))</f>
      </c>
      <c r="I17034">
        <f>IF(DATOS!$I17034="","",IFERROR(VLOOKUP(DATOS!$I17034,CONFIG_ASIGNATURAS!$B$2:$J$91,9,FALSE()),""))</f>
      </c>
    </row>
    <row r="17035">
      <c r="F17035">
        <f>IF(DATOS!$A17035="","",DATOS!$A17035&amp;"|"&amp;DATOS!$D17035&amp;"|"&amp;DATOS!$E17035&amp;"|"&amp;DATOS!$I17035)</f>
      </c>
      <c r="G17035">
        <f>IF(DATOS!$A17035="",0,IF(CONFIG_METADATA!$B$4&lt;&gt;"OR+EX",--(DATOS!$G17035=CONFIG_METADATA!$B$4),IF(DATOS!$G17035="EX",1,IF(DATOS!$G17035="OR",--(COUNTIFS(nNIA,DATOS!$A17035,nCURSO,DATOS!$D17035,nESPEC,DATOS!$E17035,nASIG,DATOS!$I17035,nEVAL,"EX")=0),0))))</f>
      </c>
      <c r="H17035">
        <f>IF(DATOS!$G17035&lt;&gt;"EX",0,--(COUNTIFS(nNIA,DATOS!$A17035,nCURSO,DATOS!$D17035,nESPEC,DATOS!$E17035,nASIG,DATOS!$I17035,nEVAL,"OR")=0))</f>
      </c>
      <c r="I17035">
        <f>IF(DATOS!$I17035="","",IFERROR(VLOOKUP(DATOS!$I17035,CONFIG_ASIGNATURAS!$B$2:$J$91,9,FALSE()),""))</f>
      </c>
    </row>
    <row r="17036">
      <c r="F17036">
        <f>IF(DATOS!$A17036="","",DATOS!$A17036&amp;"|"&amp;DATOS!$D17036&amp;"|"&amp;DATOS!$E17036&amp;"|"&amp;DATOS!$I17036)</f>
      </c>
      <c r="G17036">
        <f>IF(DATOS!$A17036="",0,IF(CONFIG_METADATA!$B$4&lt;&gt;"OR+EX",--(DATOS!$G17036=CONFIG_METADATA!$B$4),IF(DATOS!$G17036="EX",1,IF(DATOS!$G17036="OR",--(COUNTIFS(nNIA,DATOS!$A17036,nCURSO,DATOS!$D17036,nESPEC,DATOS!$E17036,nASIG,DATOS!$I17036,nEVAL,"EX")=0),0))))</f>
      </c>
      <c r="H17036">
        <f>IF(DATOS!$G17036&lt;&gt;"EX",0,--(COUNTIFS(nNIA,DATOS!$A17036,nCURSO,DATOS!$D17036,nESPEC,DATOS!$E17036,nASIG,DATOS!$I17036,nEVAL,"OR")=0))</f>
      </c>
      <c r="I17036">
        <f>IF(DATOS!$I17036="","",IFERROR(VLOOKUP(DATOS!$I17036,CONFIG_ASIGNATURAS!$B$2:$J$91,9,FALSE()),""))</f>
      </c>
    </row>
    <row r="17037">
      <c r="F17037">
        <f>IF(DATOS!$A17037="","",DATOS!$A17037&amp;"|"&amp;DATOS!$D17037&amp;"|"&amp;DATOS!$E17037&amp;"|"&amp;DATOS!$I17037)</f>
      </c>
      <c r="G17037">
        <f>IF(DATOS!$A17037="",0,IF(CONFIG_METADATA!$B$4&lt;&gt;"OR+EX",--(DATOS!$G17037=CONFIG_METADATA!$B$4),IF(DATOS!$G17037="EX",1,IF(DATOS!$G17037="OR",--(COUNTIFS(nNIA,DATOS!$A17037,nCURSO,DATOS!$D17037,nESPEC,DATOS!$E17037,nASIG,DATOS!$I17037,nEVAL,"EX")=0),0))))</f>
      </c>
      <c r="H17037">
        <f>IF(DATOS!$G17037&lt;&gt;"EX",0,--(COUNTIFS(nNIA,DATOS!$A17037,nCURSO,DATOS!$D17037,nESPEC,DATOS!$E17037,nASIG,DATOS!$I17037,nEVAL,"OR")=0))</f>
      </c>
      <c r="I17037">
        <f>IF(DATOS!$I17037="","",IFERROR(VLOOKUP(DATOS!$I17037,CONFIG_ASIGNATURAS!$B$2:$J$91,9,FALSE()),""))</f>
      </c>
    </row>
    <row r="17038">
      <c r="F17038">
        <f>IF(DATOS!$A17038="","",DATOS!$A17038&amp;"|"&amp;DATOS!$D17038&amp;"|"&amp;DATOS!$E17038&amp;"|"&amp;DATOS!$I17038)</f>
      </c>
      <c r="G17038">
        <f>IF(DATOS!$A17038="",0,IF(CONFIG_METADATA!$B$4&lt;&gt;"OR+EX",--(DATOS!$G17038=CONFIG_METADATA!$B$4),IF(DATOS!$G17038="EX",1,IF(DATOS!$G17038="OR",--(COUNTIFS(nNIA,DATOS!$A17038,nCURSO,DATOS!$D17038,nESPEC,DATOS!$E17038,nASIG,DATOS!$I17038,nEVAL,"EX")=0),0))))</f>
      </c>
      <c r="H17038">
        <f>IF(DATOS!$G17038&lt;&gt;"EX",0,--(COUNTIFS(nNIA,DATOS!$A17038,nCURSO,DATOS!$D17038,nESPEC,DATOS!$E17038,nASIG,DATOS!$I17038,nEVAL,"OR")=0))</f>
      </c>
      <c r="I17038">
        <f>IF(DATOS!$I17038="","",IFERROR(VLOOKUP(DATOS!$I17038,CONFIG_ASIGNATURAS!$B$2:$J$91,9,FALSE()),""))</f>
      </c>
    </row>
    <row r="17039">
      <c r="F17039">
        <f>IF(DATOS!$A17039="","",DATOS!$A17039&amp;"|"&amp;DATOS!$D17039&amp;"|"&amp;DATOS!$E17039&amp;"|"&amp;DATOS!$I17039)</f>
      </c>
      <c r="G17039">
        <f>IF(DATOS!$A17039="",0,IF(CONFIG_METADATA!$B$4&lt;&gt;"OR+EX",--(DATOS!$G17039=CONFIG_METADATA!$B$4),IF(DATOS!$G17039="EX",1,IF(DATOS!$G17039="OR",--(COUNTIFS(nNIA,DATOS!$A17039,nCURSO,DATOS!$D17039,nESPEC,DATOS!$E17039,nASIG,DATOS!$I17039,nEVAL,"EX")=0),0))))</f>
      </c>
      <c r="H17039">
        <f>IF(DATOS!$G17039&lt;&gt;"EX",0,--(COUNTIFS(nNIA,DATOS!$A17039,nCURSO,DATOS!$D17039,nESPEC,DATOS!$E17039,nASIG,DATOS!$I17039,nEVAL,"OR")=0))</f>
      </c>
      <c r="I17039">
        <f>IF(DATOS!$I17039="","",IFERROR(VLOOKUP(DATOS!$I17039,CONFIG_ASIGNATURAS!$B$2:$J$91,9,FALSE()),""))</f>
      </c>
    </row>
    <row r="17040">
      <c r="F17040">
        <f>IF(DATOS!$A17040="","",DATOS!$A17040&amp;"|"&amp;DATOS!$D17040&amp;"|"&amp;DATOS!$E17040&amp;"|"&amp;DATOS!$I17040)</f>
      </c>
      <c r="G17040">
        <f>IF(DATOS!$A17040="",0,IF(CONFIG_METADATA!$B$4&lt;&gt;"OR+EX",--(DATOS!$G17040=CONFIG_METADATA!$B$4),IF(DATOS!$G17040="EX",1,IF(DATOS!$G17040="OR",--(COUNTIFS(nNIA,DATOS!$A17040,nCURSO,DATOS!$D17040,nESPEC,DATOS!$E17040,nASIG,DATOS!$I17040,nEVAL,"EX")=0),0))))</f>
      </c>
      <c r="H17040">
        <f>IF(DATOS!$G17040&lt;&gt;"EX",0,--(COUNTIFS(nNIA,DATOS!$A17040,nCURSO,DATOS!$D17040,nESPEC,DATOS!$E17040,nASIG,DATOS!$I17040,nEVAL,"OR")=0))</f>
      </c>
      <c r="I17040">
        <f>IF(DATOS!$I17040="","",IFERROR(VLOOKUP(DATOS!$I17040,CONFIG_ASIGNATURAS!$B$2:$J$91,9,FALSE()),""))</f>
      </c>
    </row>
    <row r="17041">
      <c r="F17041">
        <f>IF(DATOS!$A17041="","",DATOS!$A17041&amp;"|"&amp;DATOS!$D17041&amp;"|"&amp;DATOS!$E17041&amp;"|"&amp;DATOS!$I17041)</f>
      </c>
      <c r="G17041">
        <f>IF(DATOS!$A17041="",0,IF(CONFIG_METADATA!$B$4&lt;&gt;"OR+EX",--(DATOS!$G17041=CONFIG_METADATA!$B$4),IF(DATOS!$G17041="EX",1,IF(DATOS!$G17041="OR",--(COUNTIFS(nNIA,DATOS!$A17041,nCURSO,DATOS!$D17041,nESPEC,DATOS!$E17041,nASIG,DATOS!$I17041,nEVAL,"EX")=0),0))))</f>
      </c>
      <c r="H17041">
        <f>IF(DATOS!$G17041&lt;&gt;"EX",0,--(COUNTIFS(nNIA,DATOS!$A17041,nCURSO,DATOS!$D17041,nESPEC,DATOS!$E17041,nASIG,DATOS!$I17041,nEVAL,"OR")=0))</f>
      </c>
      <c r="I17041">
        <f>IF(DATOS!$I17041="","",IFERROR(VLOOKUP(DATOS!$I17041,CONFIG_ASIGNATURAS!$B$2:$J$91,9,FALSE()),""))</f>
      </c>
    </row>
    <row r="17042">
      <c r="F17042">
        <f>IF(DATOS!$A17042="","",DATOS!$A17042&amp;"|"&amp;DATOS!$D17042&amp;"|"&amp;DATOS!$E17042&amp;"|"&amp;DATOS!$I17042)</f>
      </c>
      <c r="G17042">
        <f>IF(DATOS!$A17042="",0,IF(CONFIG_METADATA!$B$4&lt;&gt;"OR+EX",--(DATOS!$G17042=CONFIG_METADATA!$B$4),IF(DATOS!$G17042="EX",1,IF(DATOS!$G17042="OR",--(COUNTIFS(nNIA,DATOS!$A17042,nCURSO,DATOS!$D17042,nESPEC,DATOS!$E17042,nASIG,DATOS!$I17042,nEVAL,"EX")=0),0))))</f>
      </c>
      <c r="H17042">
        <f>IF(DATOS!$G17042&lt;&gt;"EX",0,--(COUNTIFS(nNIA,DATOS!$A17042,nCURSO,DATOS!$D17042,nESPEC,DATOS!$E17042,nASIG,DATOS!$I17042,nEVAL,"OR")=0))</f>
      </c>
      <c r="I17042">
        <f>IF(DATOS!$I17042="","",IFERROR(VLOOKUP(DATOS!$I17042,CONFIG_ASIGNATURAS!$B$2:$J$91,9,FALSE()),""))</f>
      </c>
    </row>
    <row r="17043">
      <c r="F17043">
        <f>IF(DATOS!$A17043="","",DATOS!$A17043&amp;"|"&amp;DATOS!$D17043&amp;"|"&amp;DATOS!$E17043&amp;"|"&amp;DATOS!$I17043)</f>
      </c>
      <c r="G17043">
        <f>IF(DATOS!$A17043="",0,IF(CONFIG_METADATA!$B$4&lt;&gt;"OR+EX",--(DATOS!$G17043=CONFIG_METADATA!$B$4),IF(DATOS!$G17043="EX",1,IF(DATOS!$G17043="OR",--(COUNTIFS(nNIA,DATOS!$A17043,nCURSO,DATOS!$D17043,nESPEC,DATOS!$E17043,nASIG,DATOS!$I17043,nEVAL,"EX")=0),0))))</f>
      </c>
      <c r="H17043">
        <f>IF(DATOS!$G17043&lt;&gt;"EX",0,--(COUNTIFS(nNIA,DATOS!$A17043,nCURSO,DATOS!$D17043,nESPEC,DATOS!$E17043,nASIG,DATOS!$I17043,nEVAL,"OR")=0))</f>
      </c>
      <c r="I17043">
        <f>IF(DATOS!$I17043="","",IFERROR(VLOOKUP(DATOS!$I17043,CONFIG_ASIGNATURAS!$B$2:$J$91,9,FALSE()),""))</f>
      </c>
    </row>
    <row r="17044">
      <c r="F17044">
        <f>IF(DATOS!$A17044="","",DATOS!$A17044&amp;"|"&amp;DATOS!$D17044&amp;"|"&amp;DATOS!$E17044&amp;"|"&amp;DATOS!$I17044)</f>
      </c>
      <c r="G17044">
        <f>IF(DATOS!$A17044="",0,IF(CONFIG_METADATA!$B$4&lt;&gt;"OR+EX",--(DATOS!$G17044=CONFIG_METADATA!$B$4),IF(DATOS!$G17044="EX",1,IF(DATOS!$G17044="OR",--(COUNTIFS(nNIA,DATOS!$A17044,nCURSO,DATOS!$D17044,nESPEC,DATOS!$E17044,nASIG,DATOS!$I17044,nEVAL,"EX")=0),0))))</f>
      </c>
      <c r="H17044">
        <f>IF(DATOS!$G17044&lt;&gt;"EX",0,--(COUNTIFS(nNIA,DATOS!$A17044,nCURSO,DATOS!$D17044,nESPEC,DATOS!$E17044,nASIG,DATOS!$I17044,nEVAL,"OR")=0))</f>
      </c>
      <c r="I17044">
        <f>IF(DATOS!$I17044="","",IFERROR(VLOOKUP(DATOS!$I17044,CONFIG_ASIGNATURAS!$B$2:$J$91,9,FALSE()),""))</f>
      </c>
    </row>
    <row r="17045">
      <c r="F17045">
        <f>IF(DATOS!$A17045="","",DATOS!$A17045&amp;"|"&amp;DATOS!$D17045&amp;"|"&amp;DATOS!$E17045&amp;"|"&amp;DATOS!$I17045)</f>
      </c>
      <c r="G17045">
        <f>IF(DATOS!$A17045="",0,IF(CONFIG_METADATA!$B$4&lt;&gt;"OR+EX",--(DATOS!$G17045=CONFIG_METADATA!$B$4),IF(DATOS!$G17045="EX",1,IF(DATOS!$G17045="OR",--(COUNTIFS(nNIA,DATOS!$A17045,nCURSO,DATOS!$D17045,nESPEC,DATOS!$E17045,nASIG,DATOS!$I17045,nEVAL,"EX")=0),0))))</f>
      </c>
      <c r="H17045">
        <f>IF(DATOS!$G17045&lt;&gt;"EX",0,--(COUNTIFS(nNIA,DATOS!$A17045,nCURSO,DATOS!$D17045,nESPEC,DATOS!$E17045,nASIG,DATOS!$I17045,nEVAL,"OR")=0))</f>
      </c>
      <c r="I17045">
        <f>IF(DATOS!$I17045="","",IFERROR(VLOOKUP(DATOS!$I17045,CONFIG_ASIGNATURAS!$B$2:$J$91,9,FALSE()),""))</f>
      </c>
    </row>
    <row r="17046">
      <c r="F17046">
        <f>IF(DATOS!$A17046="","",DATOS!$A17046&amp;"|"&amp;DATOS!$D17046&amp;"|"&amp;DATOS!$E17046&amp;"|"&amp;DATOS!$I17046)</f>
      </c>
      <c r="G17046">
        <f>IF(DATOS!$A17046="",0,IF(CONFIG_METADATA!$B$4&lt;&gt;"OR+EX",--(DATOS!$G17046=CONFIG_METADATA!$B$4),IF(DATOS!$G17046="EX",1,IF(DATOS!$G17046="OR",--(COUNTIFS(nNIA,DATOS!$A17046,nCURSO,DATOS!$D17046,nESPEC,DATOS!$E17046,nASIG,DATOS!$I17046,nEVAL,"EX")=0),0))))</f>
      </c>
      <c r="H17046">
        <f>IF(DATOS!$G17046&lt;&gt;"EX",0,--(COUNTIFS(nNIA,DATOS!$A17046,nCURSO,DATOS!$D17046,nESPEC,DATOS!$E17046,nASIG,DATOS!$I17046,nEVAL,"OR")=0))</f>
      </c>
      <c r="I17046">
        <f>IF(DATOS!$I17046="","",IFERROR(VLOOKUP(DATOS!$I17046,CONFIG_ASIGNATURAS!$B$2:$J$91,9,FALSE()),""))</f>
      </c>
    </row>
    <row r="17047">
      <c r="F17047">
        <f>IF(DATOS!$A17047="","",DATOS!$A17047&amp;"|"&amp;DATOS!$D17047&amp;"|"&amp;DATOS!$E17047&amp;"|"&amp;DATOS!$I17047)</f>
      </c>
      <c r="G17047">
        <f>IF(DATOS!$A17047="",0,IF(CONFIG_METADATA!$B$4&lt;&gt;"OR+EX",--(DATOS!$G17047=CONFIG_METADATA!$B$4),IF(DATOS!$G17047="EX",1,IF(DATOS!$G17047="OR",--(COUNTIFS(nNIA,DATOS!$A17047,nCURSO,DATOS!$D17047,nESPEC,DATOS!$E17047,nASIG,DATOS!$I17047,nEVAL,"EX")=0),0))))</f>
      </c>
      <c r="H17047">
        <f>IF(DATOS!$G17047&lt;&gt;"EX",0,--(COUNTIFS(nNIA,DATOS!$A17047,nCURSO,DATOS!$D17047,nESPEC,DATOS!$E17047,nASIG,DATOS!$I17047,nEVAL,"OR")=0))</f>
      </c>
      <c r="I17047">
        <f>IF(DATOS!$I17047="","",IFERROR(VLOOKUP(DATOS!$I17047,CONFIG_ASIGNATURAS!$B$2:$J$91,9,FALSE()),""))</f>
      </c>
    </row>
    <row r="17048">
      <c r="F17048">
        <f>IF(DATOS!$A17048="","",DATOS!$A17048&amp;"|"&amp;DATOS!$D17048&amp;"|"&amp;DATOS!$E17048&amp;"|"&amp;DATOS!$I17048)</f>
      </c>
      <c r="G17048">
        <f>IF(DATOS!$A17048="",0,IF(CONFIG_METADATA!$B$4&lt;&gt;"OR+EX",--(DATOS!$G17048=CONFIG_METADATA!$B$4),IF(DATOS!$G17048="EX",1,IF(DATOS!$G17048="OR",--(COUNTIFS(nNIA,DATOS!$A17048,nCURSO,DATOS!$D17048,nESPEC,DATOS!$E17048,nASIG,DATOS!$I17048,nEVAL,"EX")=0),0))))</f>
      </c>
      <c r="H17048">
        <f>IF(DATOS!$G17048&lt;&gt;"EX",0,--(COUNTIFS(nNIA,DATOS!$A17048,nCURSO,DATOS!$D17048,nESPEC,DATOS!$E17048,nASIG,DATOS!$I17048,nEVAL,"OR")=0))</f>
      </c>
      <c r="I17048">
        <f>IF(DATOS!$I17048="","",IFERROR(VLOOKUP(DATOS!$I17048,CONFIG_ASIGNATURAS!$B$2:$J$91,9,FALSE()),""))</f>
      </c>
    </row>
    <row r="17049">
      <c r="F17049">
        <f>IF(DATOS!$A17049="","",DATOS!$A17049&amp;"|"&amp;DATOS!$D17049&amp;"|"&amp;DATOS!$E17049&amp;"|"&amp;DATOS!$I17049)</f>
      </c>
      <c r="G17049">
        <f>IF(DATOS!$A17049="",0,IF(CONFIG_METADATA!$B$4&lt;&gt;"OR+EX",--(DATOS!$G17049=CONFIG_METADATA!$B$4),IF(DATOS!$G17049="EX",1,IF(DATOS!$G17049="OR",--(COUNTIFS(nNIA,DATOS!$A17049,nCURSO,DATOS!$D17049,nESPEC,DATOS!$E17049,nASIG,DATOS!$I17049,nEVAL,"EX")=0),0))))</f>
      </c>
      <c r="H17049">
        <f>IF(DATOS!$G17049&lt;&gt;"EX",0,--(COUNTIFS(nNIA,DATOS!$A17049,nCURSO,DATOS!$D17049,nESPEC,DATOS!$E17049,nASIG,DATOS!$I17049,nEVAL,"OR")=0))</f>
      </c>
      <c r="I17049">
        <f>IF(DATOS!$I17049="","",IFERROR(VLOOKUP(DATOS!$I17049,CONFIG_ASIGNATURAS!$B$2:$J$91,9,FALSE()),""))</f>
      </c>
    </row>
    <row r="17050">
      <c r="F17050">
        <f>IF(DATOS!$A17050="","",DATOS!$A17050&amp;"|"&amp;DATOS!$D17050&amp;"|"&amp;DATOS!$E17050&amp;"|"&amp;DATOS!$I17050)</f>
      </c>
      <c r="G17050">
        <f>IF(DATOS!$A17050="",0,IF(CONFIG_METADATA!$B$4&lt;&gt;"OR+EX",--(DATOS!$G17050=CONFIG_METADATA!$B$4),IF(DATOS!$G17050="EX",1,IF(DATOS!$G17050="OR",--(COUNTIFS(nNIA,DATOS!$A17050,nCURSO,DATOS!$D17050,nESPEC,DATOS!$E17050,nASIG,DATOS!$I17050,nEVAL,"EX")=0),0))))</f>
      </c>
      <c r="H17050">
        <f>IF(DATOS!$G17050&lt;&gt;"EX",0,--(COUNTIFS(nNIA,DATOS!$A17050,nCURSO,DATOS!$D17050,nESPEC,DATOS!$E17050,nASIG,DATOS!$I17050,nEVAL,"OR")=0))</f>
      </c>
      <c r="I17050">
        <f>IF(DATOS!$I17050="","",IFERROR(VLOOKUP(DATOS!$I17050,CONFIG_ASIGNATURAS!$B$2:$J$91,9,FALSE()),""))</f>
      </c>
    </row>
    <row r="17051">
      <c r="F17051">
        <f>IF(DATOS!$A17051="","",DATOS!$A17051&amp;"|"&amp;DATOS!$D17051&amp;"|"&amp;DATOS!$E17051&amp;"|"&amp;DATOS!$I17051)</f>
      </c>
      <c r="G17051">
        <f>IF(DATOS!$A17051="",0,IF(CONFIG_METADATA!$B$4&lt;&gt;"OR+EX",--(DATOS!$G17051=CONFIG_METADATA!$B$4),IF(DATOS!$G17051="EX",1,IF(DATOS!$G17051="OR",--(COUNTIFS(nNIA,DATOS!$A17051,nCURSO,DATOS!$D17051,nESPEC,DATOS!$E17051,nASIG,DATOS!$I17051,nEVAL,"EX")=0),0))))</f>
      </c>
      <c r="H17051">
        <f>IF(DATOS!$G17051&lt;&gt;"EX",0,--(COUNTIFS(nNIA,DATOS!$A17051,nCURSO,DATOS!$D17051,nESPEC,DATOS!$E17051,nASIG,DATOS!$I17051,nEVAL,"OR")=0))</f>
      </c>
      <c r="I17051">
        <f>IF(DATOS!$I17051="","",IFERROR(VLOOKUP(DATOS!$I17051,CONFIG_ASIGNATURAS!$B$2:$J$91,9,FALSE()),""))</f>
      </c>
    </row>
    <row r="17052">
      <c r="F17052">
        <f>IF(DATOS!$A17052="","",DATOS!$A17052&amp;"|"&amp;DATOS!$D17052&amp;"|"&amp;DATOS!$E17052&amp;"|"&amp;DATOS!$I17052)</f>
      </c>
      <c r="G17052">
        <f>IF(DATOS!$A17052="",0,IF(CONFIG_METADATA!$B$4&lt;&gt;"OR+EX",--(DATOS!$G17052=CONFIG_METADATA!$B$4),IF(DATOS!$G17052="EX",1,IF(DATOS!$G17052="OR",--(COUNTIFS(nNIA,DATOS!$A17052,nCURSO,DATOS!$D17052,nESPEC,DATOS!$E17052,nASIG,DATOS!$I17052,nEVAL,"EX")=0),0))))</f>
      </c>
      <c r="H17052">
        <f>IF(DATOS!$G17052&lt;&gt;"EX",0,--(COUNTIFS(nNIA,DATOS!$A17052,nCURSO,DATOS!$D17052,nESPEC,DATOS!$E17052,nASIG,DATOS!$I17052,nEVAL,"OR")=0))</f>
      </c>
      <c r="I17052">
        <f>IF(DATOS!$I17052="","",IFERROR(VLOOKUP(DATOS!$I17052,CONFIG_ASIGNATURAS!$B$2:$J$91,9,FALSE()),""))</f>
      </c>
    </row>
    <row r="17053">
      <c r="F17053">
        <f>IF(DATOS!$A17053="","",DATOS!$A17053&amp;"|"&amp;DATOS!$D17053&amp;"|"&amp;DATOS!$E17053&amp;"|"&amp;DATOS!$I17053)</f>
      </c>
      <c r="G17053">
        <f>IF(DATOS!$A17053="",0,IF(CONFIG_METADATA!$B$4&lt;&gt;"OR+EX",--(DATOS!$G17053=CONFIG_METADATA!$B$4),IF(DATOS!$G17053="EX",1,IF(DATOS!$G17053="OR",--(COUNTIFS(nNIA,DATOS!$A17053,nCURSO,DATOS!$D17053,nESPEC,DATOS!$E17053,nASIG,DATOS!$I17053,nEVAL,"EX")=0),0))))</f>
      </c>
      <c r="H17053">
        <f>IF(DATOS!$G17053&lt;&gt;"EX",0,--(COUNTIFS(nNIA,DATOS!$A17053,nCURSO,DATOS!$D17053,nESPEC,DATOS!$E17053,nASIG,DATOS!$I17053,nEVAL,"OR")=0))</f>
      </c>
      <c r="I17053">
        <f>IF(DATOS!$I17053="","",IFERROR(VLOOKUP(DATOS!$I17053,CONFIG_ASIGNATURAS!$B$2:$J$91,9,FALSE()),""))</f>
      </c>
    </row>
    <row r="17054">
      <c r="F17054">
        <f>IF(DATOS!$A17054="","",DATOS!$A17054&amp;"|"&amp;DATOS!$D17054&amp;"|"&amp;DATOS!$E17054&amp;"|"&amp;DATOS!$I17054)</f>
      </c>
      <c r="G17054">
        <f>IF(DATOS!$A17054="",0,IF(CONFIG_METADATA!$B$4&lt;&gt;"OR+EX",--(DATOS!$G17054=CONFIG_METADATA!$B$4),IF(DATOS!$G17054="EX",1,IF(DATOS!$G17054="OR",--(COUNTIFS(nNIA,DATOS!$A17054,nCURSO,DATOS!$D17054,nESPEC,DATOS!$E17054,nASIG,DATOS!$I17054,nEVAL,"EX")=0),0))))</f>
      </c>
      <c r="H17054">
        <f>IF(DATOS!$G17054&lt;&gt;"EX",0,--(COUNTIFS(nNIA,DATOS!$A17054,nCURSO,DATOS!$D17054,nESPEC,DATOS!$E17054,nASIG,DATOS!$I17054,nEVAL,"OR")=0))</f>
      </c>
      <c r="I17054">
        <f>IF(DATOS!$I17054="","",IFERROR(VLOOKUP(DATOS!$I17054,CONFIG_ASIGNATURAS!$B$2:$J$91,9,FALSE()),""))</f>
      </c>
    </row>
    <row r="17055">
      <c r="F17055">
        <f>IF(DATOS!$A17055="","",DATOS!$A17055&amp;"|"&amp;DATOS!$D17055&amp;"|"&amp;DATOS!$E17055&amp;"|"&amp;DATOS!$I17055)</f>
      </c>
      <c r="G17055">
        <f>IF(DATOS!$A17055="",0,IF(CONFIG_METADATA!$B$4&lt;&gt;"OR+EX",--(DATOS!$G17055=CONFIG_METADATA!$B$4),IF(DATOS!$G17055="EX",1,IF(DATOS!$G17055="OR",--(COUNTIFS(nNIA,DATOS!$A17055,nCURSO,DATOS!$D17055,nESPEC,DATOS!$E17055,nASIG,DATOS!$I17055,nEVAL,"EX")=0),0))))</f>
      </c>
      <c r="H17055">
        <f>IF(DATOS!$G17055&lt;&gt;"EX",0,--(COUNTIFS(nNIA,DATOS!$A17055,nCURSO,DATOS!$D17055,nESPEC,DATOS!$E17055,nASIG,DATOS!$I17055,nEVAL,"OR")=0))</f>
      </c>
      <c r="I17055">
        <f>IF(DATOS!$I17055="","",IFERROR(VLOOKUP(DATOS!$I17055,CONFIG_ASIGNATURAS!$B$2:$J$91,9,FALSE()),""))</f>
      </c>
    </row>
    <row r="17056">
      <c r="F17056">
        <f>IF(DATOS!$A17056="","",DATOS!$A17056&amp;"|"&amp;DATOS!$D17056&amp;"|"&amp;DATOS!$E17056&amp;"|"&amp;DATOS!$I17056)</f>
      </c>
      <c r="G17056">
        <f>IF(DATOS!$A17056="",0,IF(CONFIG_METADATA!$B$4&lt;&gt;"OR+EX",--(DATOS!$G17056=CONFIG_METADATA!$B$4),IF(DATOS!$G17056="EX",1,IF(DATOS!$G17056="OR",--(COUNTIFS(nNIA,DATOS!$A17056,nCURSO,DATOS!$D17056,nESPEC,DATOS!$E17056,nASIG,DATOS!$I17056,nEVAL,"EX")=0),0))))</f>
      </c>
      <c r="H17056">
        <f>IF(DATOS!$G17056&lt;&gt;"EX",0,--(COUNTIFS(nNIA,DATOS!$A17056,nCURSO,DATOS!$D17056,nESPEC,DATOS!$E17056,nASIG,DATOS!$I17056,nEVAL,"OR")=0))</f>
      </c>
      <c r="I17056">
        <f>IF(DATOS!$I17056="","",IFERROR(VLOOKUP(DATOS!$I17056,CONFIG_ASIGNATURAS!$B$2:$J$91,9,FALSE()),""))</f>
      </c>
    </row>
    <row r="17057">
      <c r="F17057">
        <f>IF(DATOS!$A17057="","",DATOS!$A17057&amp;"|"&amp;DATOS!$D17057&amp;"|"&amp;DATOS!$E17057&amp;"|"&amp;DATOS!$I17057)</f>
      </c>
      <c r="G17057">
        <f>IF(DATOS!$A17057="",0,IF(CONFIG_METADATA!$B$4&lt;&gt;"OR+EX",--(DATOS!$G17057=CONFIG_METADATA!$B$4),IF(DATOS!$G17057="EX",1,IF(DATOS!$G17057="OR",--(COUNTIFS(nNIA,DATOS!$A17057,nCURSO,DATOS!$D17057,nESPEC,DATOS!$E17057,nASIG,DATOS!$I17057,nEVAL,"EX")=0),0))))</f>
      </c>
      <c r="H17057">
        <f>IF(DATOS!$G17057&lt;&gt;"EX",0,--(COUNTIFS(nNIA,DATOS!$A17057,nCURSO,DATOS!$D17057,nESPEC,DATOS!$E17057,nASIG,DATOS!$I17057,nEVAL,"OR")=0))</f>
      </c>
      <c r="I17057">
        <f>IF(DATOS!$I17057="","",IFERROR(VLOOKUP(DATOS!$I17057,CONFIG_ASIGNATURAS!$B$2:$J$91,9,FALSE()),""))</f>
      </c>
    </row>
    <row r="17058">
      <c r="F17058">
        <f>IF(DATOS!$A17058="","",DATOS!$A17058&amp;"|"&amp;DATOS!$D17058&amp;"|"&amp;DATOS!$E17058&amp;"|"&amp;DATOS!$I17058)</f>
      </c>
      <c r="G17058">
        <f>IF(DATOS!$A17058="",0,IF(CONFIG_METADATA!$B$4&lt;&gt;"OR+EX",--(DATOS!$G17058=CONFIG_METADATA!$B$4),IF(DATOS!$G17058="EX",1,IF(DATOS!$G17058="OR",--(COUNTIFS(nNIA,DATOS!$A17058,nCURSO,DATOS!$D17058,nESPEC,DATOS!$E17058,nASIG,DATOS!$I17058,nEVAL,"EX")=0),0))))</f>
      </c>
      <c r="H17058">
        <f>IF(DATOS!$G17058&lt;&gt;"EX",0,--(COUNTIFS(nNIA,DATOS!$A17058,nCURSO,DATOS!$D17058,nESPEC,DATOS!$E17058,nASIG,DATOS!$I17058,nEVAL,"OR")=0))</f>
      </c>
      <c r="I17058">
        <f>IF(DATOS!$I17058="","",IFERROR(VLOOKUP(DATOS!$I17058,CONFIG_ASIGNATURAS!$B$2:$J$91,9,FALSE()),""))</f>
      </c>
    </row>
    <row r="17059">
      <c r="F17059">
        <f>IF(DATOS!$A17059="","",DATOS!$A17059&amp;"|"&amp;DATOS!$D17059&amp;"|"&amp;DATOS!$E17059&amp;"|"&amp;DATOS!$I17059)</f>
      </c>
      <c r="G17059">
        <f>IF(DATOS!$A17059="",0,IF(CONFIG_METADATA!$B$4&lt;&gt;"OR+EX",--(DATOS!$G17059=CONFIG_METADATA!$B$4),IF(DATOS!$G17059="EX",1,IF(DATOS!$G17059="OR",--(COUNTIFS(nNIA,DATOS!$A17059,nCURSO,DATOS!$D17059,nESPEC,DATOS!$E17059,nASIG,DATOS!$I17059,nEVAL,"EX")=0),0))))</f>
      </c>
      <c r="H17059">
        <f>IF(DATOS!$G17059&lt;&gt;"EX",0,--(COUNTIFS(nNIA,DATOS!$A17059,nCURSO,DATOS!$D17059,nESPEC,DATOS!$E17059,nASIG,DATOS!$I17059,nEVAL,"OR")=0))</f>
      </c>
      <c r="I17059">
        <f>IF(DATOS!$I17059="","",IFERROR(VLOOKUP(DATOS!$I17059,CONFIG_ASIGNATURAS!$B$2:$J$91,9,FALSE()),""))</f>
      </c>
    </row>
    <row r="17060">
      <c r="F17060">
        <f>IF(DATOS!$A17060="","",DATOS!$A17060&amp;"|"&amp;DATOS!$D17060&amp;"|"&amp;DATOS!$E17060&amp;"|"&amp;DATOS!$I17060)</f>
      </c>
      <c r="G17060">
        <f>IF(DATOS!$A17060="",0,IF(CONFIG_METADATA!$B$4&lt;&gt;"OR+EX",--(DATOS!$G17060=CONFIG_METADATA!$B$4),IF(DATOS!$G17060="EX",1,IF(DATOS!$G17060="OR",--(COUNTIFS(nNIA,DATOS!$A17060,nCURSO,DATOS!$D17060,nESPEC,DATOS!$E17060,nASIG,DATOS!$I17060,nEVAL,"EX")=0),0))))</f>
      </c>
      <c r="H17060">
        <f>IF(DATOS!$G17060&lt;&gt;"EX",0,--(COUNTIFS(nNIA,DATOS!$A17060,nCURSO,DATOS!$D17060,nESPEC,DATOS!$E17060,nASIG,DATOS!$I17060,nEVAL,"OR")=0))</f>
      </c>
      <c r="I17060">
        <f>IF(DATOS!$I17060="","",IFERROR(VLOOKUP(DATOS!$I17060,CONFIG_ASIGNATURAS!$B$2:$J$91,9,FALSE()),""))</f>
      </c>
    </row>
    <row r="17061">
      <c r="F17061">
        <f>IF(DATOS!$A17061="","",DATOS!$A17061&amp;"|"&amp;DATOS!$D17061&amp;"|"&amp;DATOS!$E17061&amp;"|"&amp;DATOS!$I17061)</f>
      </c>
      <c r="G17061">
        <f>IF(DATOS!$A17061="",0,IF(CONFIG_METADATA!$B$4&lt;&gt;"OR+EX",--(DATOS!$G17061=CONFIG_METADATA!$B$4),IF(DATOS!$G17061="EX",1,IF(DATOS!$G17061="OR",--(COUNTIFS(nNIA,DATOS!$A17061,nCURSO,DATOS!$D17061,nESPEC,DATOS!$E17061,nASIG,DATOS!$I17061,nEVAL,"EX")=0),0))))</f>
      </c>
      <c r="H17061">
        <f>IF(DATOS!$G17061&lt;&gt;"EX",0,--(COUNTIFS(nNIA,DATOS!$A17061,nCURSO,DATOS!$D17061,nESPEC,DATOS!$E17061,nASIG,DATOS!$I17061,nEVAL,"OR")=0))</f>
      </c>
      <c r="I17061">
        <f>IF(DATOS!$I17061="","",IFERROR(VLOOKUP(DATOS!$I17061,CONFIG_ASIGNATURAS!$B$2:$J$91,9,FALSE()),""))</f>
      </c>
    </row>
    <row r="17062">
      <c r="F17062">
        <f>IF(DATOS!$A17062="","",DATOS!$A17062&amp;"|"&amp;DATOS!$D17062&amp;"|"&amp;DATOS!$E17062&amp;"|"&amp;DATOS!$I17062)</f>
      </c>
      <c r="G17062">
        <f>IF(DATOS!$A17062="",0,IF(CONFIG_METADATA!$B$4&lt;&gt;"OR+EX",--(DATOS!$G17062=CONFIG_METADATA!$B$4),IF(DATOS!$G17062="EX",1,IF(DATOS!$G17062="OR",--(COUNTIFS(nNIA,DATOS!$A17062,nCURSO,DATOS!$D17062,nESPEC,DATOS!$E17062,nASIG,DATOS!$I17062,nEVAL,"EX")=0),0))))</f>
      </c>
      <c r="H17062">
        <f>IF(DATOS!$G17062&lt;&gt;"EX",0,--(COUNTIFS(nNIA,DATOS!$A17062,nCURSO,DATOS!$D17062,nESPEC,DATOS!$E17062,nASIG,DATOS!$I17062,nEVAL,"OR")=0))</f>
      </c>
      <c r="I17062">
        <f>IF(DATOS!$I17062="","",IFERROR(VLOOKUP(DATOS!$I17062,CONFIG_ASIGNATURAS!$B$2:$J$91,9,FALSE()),""))</f>
      </c>
    </row>
    <row r="17063">
      <c r="F17063">
        <f>IF(DATOS!$A17063="","",DATOS!$A17063&amp;"|"&amp;DATOS!$D17063&amp;"|"&amp;DATOS!$E17063&amp;"|"&amp;DATOS!$I17063)</f>
      </c>
      <c r="G17063">
        <f>IF(DATOS!$A17063="",0,IF(CONFIG_METADATA!$B$4&lt;&gt;"OR+EX",--(DATOS!$G17063=CONFIG_METADATA!$B$4),IF(DATOS!$G17063="EX",1,IF(DATOS!$G17063="OR",--(COUNTIFS(nNIA,DATOS!$A17063,nCURSO,DATOS!$D17063,nESPEC,DATOS!$E17063,nASIG,DATOS!$I17063,nEVAL,"EX")=0),0))))</f>
      </c>
      <c r="H17063">
        <f>IF(DATOS!$G17063&lt;&gt;"EX",0,--(COUNTIFS(nNIA,DATOS!$A17063,nCURSO,DATOS!$D17063,nESPEC,DATOS!$E17063,nASIG,DATOS!$I17063,nEVAL,"OR")=0))</f>
      </c>
      <c r="I17063">
        <f>IF(DATOS!$I17063="","",IFERROR(VLOOKUP(DATOS!$I17063,CONFIG_ASIGNATURAS!$B$2:$J$91,9,FALSE()),""))</f>
      </c>
    </row>
    <row r="17064">
      <c r="F17064">
        <f>IF(DATOS!$A17064="","",DATOS!$A17064&amp;"|"&amp;DATOS!$D17064&amp;"|"&amp;DATOS!$E17064&amp;"|"&amp;DATOS!$I17064)</f>
      </c>
      <c r="G17064">
        <f>IF(DATOS!$A17064="",0,IF(CONFIG_METADATA!$B$4&lt;&gt;"OR+EX",--(DATOS!$G17064=CONFIG_METADATA!$B$4),IF(DATOS!$G17064="EX",1,IF(DATOS!$G17064="OR",--(COUNTIFS(nNIA,DATOS!$A17064,nCURSO,DATOS!$D17064,nESPEC,DATOS!$E17064,nASIG,DATOS!$I17064,nEVAL,"EX")=0),0))))</f>
      </c>
      <c r="H17064">
        <f>IF(DATOS!$G17064&lt;&gt;"EX",0,--(COUNTIFS(nNIA,DATOS!$A17064,nCURSO,DATOS!$D17064,nESPEC,DATOS!$E17064,nASIG,DATOS!$I17064,nEVAL,"OR")=0))</f>
      </c>
      <c r="I17064">
        <f>IF(DATOS!$I17064="","",IFERROR(VLOOKUP(DATOS!$I17064,CONFIG_ASIGNATURAS!$B$2:$J$91,9,FALSE()),""))</f>
      </c>
    </row>
    <row r="17065">
      <c r="F17065">
        <f>IF(DATOS!$A17065="","",DATOS!$A17065&amp;"|"&amp;DATOS!$D17065&amp;"|"&amp;DATOS!$E17065&amp;"|"&amp;DATOS!$I17065)</f>
      </c>
      <c r="G17065">
        <f>IF(DATOS!$A17065="",0,IF(CONFIG_METADATA!$B$4&lt;&gt;"OR+EX",--(DATOS!$G17065=CONFIG_METADATA!$B$4),IF(DATOS!$G17065="EX",1,IF(DATOS!$G17065="OR",--(COUNTIFS(nNIA,DATOS!$A17065,nCURSO,DATOS!$D17065,nESPEC,DATOS!$E17065,nASIG,DATOS!$I17065,nEVAL,"EX")=0),0))))</f>
      </c>
      <c r="H17065">
        <f>IF(DATOS!$G17065&lt;&gt;"EX",0,--(COUNTIFS(nNIA,DATOS!$A17065,nCURSO,DATOS!$D17065,nESPEC,DATOS!$E17065,nASIG,DATOS!$I17065,nEVAL,"OR")=0))</f>
      </c>
      <c r="I17065">
        <f>IF(DATOS!$I17065="","",IFERROR(VLOOKUP(DATOS!$I17065,CONFIG_ASIGNATURAS!$B$2:$J$91,9,FALSE()),""))</f>
      </c>
    </row>
    <row r="17066">
      <c r="F17066">
        <f>IF(DATOS!$A17066="","",DATOS!$A17066&amp;"|"&amp;DATOS!$D17066&amp;"|"&amp;DATOS!$E17066&amp;"|"&amp;DATOS!$I17066)</f>
      </c>
      <c r="G17066">
        <f>IF(DATOS!$A17066="",0,IF(CONFIG_METADATA!$B$4&lt;&gt;"OR+EX",--(DATOS!$G17066=CONFIG_METADATA!$B$4),IF(DATOS!$G17066="EX",1,IF(DATOS!$G17066="OR",--(COUNTIFS(nNIA,DATOS!$A17066,nCURSO,DATOS!$D17066,nESPEC,DATOS!$E17066,nASIG,DATOS!$I17066,nEVAL,"EX")=0),0))))</f>
      </c>
      <c r="H17066">
        <f>IF(DATOS!$G17066&lt;&gt;"EX",0,--(COUNTIFS(nNIA,DATOS!$A17066,nCURSO,DATOS!$D17066,nESPEC,DATOS!$E17066,nASIG,DATOS!$I17066,nEVAL,"OR")=0))</f>
      </c>
      <c r="I17066">
        <f>IF(DATOS!$I17066="","",IFERROR(VLOOKUP(DATOS!$I17066,CONFIG_ASIGNATURAS!$B$2:$J$91,9,FALSE()),""))</f>
      </c>
    </row>
    <row r="17067">
      <c r="F17067">
        <f>IF(DATOS!$A17067="","",DATOS!$A17067&amp;"|"&amp;DATOS!$D17067&amp;"|"&amp;DATOS!$E17067&amp;"|"&amp;DATOS!$I17067)</f>
      </c>
      <c r="G17067">
        <f>IF(DATOS!$A17067="",0,IF(CONFIG_METADATA!$B$4&lt;&gt;"OR+EX",--(DATOS!$G17067=CONFIG_METADATA!$B$4),IF(DATOS!$G17067="EX",1,IF(DATOS!$G17067="OR",--(COUNTIFS(nNIA,DATOS!$A17067,nCURSO,DATOS!$D17067,nESPEC,DATOS!$E17067,nASIG,DATOS!$I17067,nEVAL,"EX")=0),0))))</f>
      </c>
      <c r="H17067">
        <f>IF(DATOS!$G17067&lt;&gt;"EX",0,--(COUNTIFS(nNIA,DATOS!$A17067,nCURSO,DATOS!$D17067,nESPEC,DATOS!$E17067,nASIG,DATOS!$I17067,nEVAL,"OR")=0))</f>
      </c>
      <c r="I17067">
        <f>IF(DATOS!$I17067="","",IFERROR(VLOOKUP(DATOS!$I17067,CONFIG_ASIGNATURAS!$B$2:$J$91,9,FALSE()),""))</f>
      </c>
    </row>
    <row r="17068">
      <c r="F17068">
        <f>IF(DATOS!$A17068="","",DATOS!$A17068&amp;"|"&amp;DATOS!$D17068&amp;"|"&amp;DATOS!$E17068&amp;"|"&amp;DATOS!$I17068)</f>
      </c>
      <c r="G17068">
        <f>IF(DATOS!$A17068="",0,IF(CONFIG_METADATA!$B$4&lt;&gt;"OR+EX",--(DATOS!$G17068=CONFIG_METADATA!$B$4),IF(DATOS!$G17068="EX",1,IF(DATOS!$G17068="OR",--(COUNTIFS(nNIA,DATOS!$A17068,nCURSO,DATOS!$D17068,nESPEC,DATOS!$E17068,nASIG,DATOS!$I17068,nEVAL,"EX")=0),0))))</f>
      </c>
      <c r="H17068">
        <f>IF(DATOS!$G17068&lt;&gt;"EX",0,--(COUNTIFS(nNIA,DATOS!$A17068,nCURSO,DATOS!$D17068,nESPEC,DATOS!$E17068,nASIG,DATOS!$I17068,nEVAL,"OR")=0))</f>
      </c>
      <c r="I17068">
        <f>IF(DATOS!$I17068="","",IFERROR(VLOOKUP(DATOS!$I17068,CONFIG_ASIGNATURAS!$B$2:$J$91,9,FALSE()),""))</f>
      </c>
    </row>
    <row r="17069">
      <c r="F17069">
        <f>IF(DATOS!$A17069="","",DATOS!$A17069&amp;"|"&amp;DATOS!$D17069&amp;"|"&amp;DATOS!$E17069&amp;"|"&amp;DATOS!$I17069)</f>
      </c>
      <c r="G17069">
        <f>IF(DATOS!$A17069="",0,IF(CONFIG_METADATA!$B$4&lt;&gt;"OR+EX",--(DATOS!$G17069=CONFIG_METADATA!$B$4),IF(DATOS!$G17069="EX",1,IF(DATOS!$G17069="OR",--(COUNTIFS(nNIA,DATOS!$A17069,nCURSO,DATOS!$D17069,nESPEC,DATOS!$E17069,nASIG,DATOS!$I17069,nEVAL,"EX")=0),0))))</f>
      </c>
      <c r="H17069">
        <f>IF(DATOS!$G17069&lt;&gt;"EX",0,--(COUNTIFS(nNIA,DATOS!$A17069,nCURSO,DATOS!$D17069,nESPEC,DATOS!$E17069,nASIG,DATOS!$I17069,nEVAL,"OR")=0))</f>
      </c>
      <c r="I17069">
        <f>IF(DATOS!$I17069="","",IFERROR(VLOOKUP(DATOS!$I17069,CONFIG_ASIGNATURAS!$B$2:$J$91,9,FALSE()),""))</f>
      </c>
    </row>
    <row r="17070">
      <c r="F17070">
        <f>IF(DATOS!$A17070="","",DATOS!$A17070&amp;"|"&amp;DATOS!$D17070&amp;"|"&amp;DATOS!$E17070&amp;"|"&amp;DATOS!$I17070)</f>
      </c>
      <c r="G17070">
        <f>IF(DATOS!$A17070="",0,IF(CONFIG_METADATA!$B$4&lt;&gt;"OR+EX",--(DATOS!$G17070=CONFIG_METADATA!$B$4),IF(DATOS!$G17070="EX",1,IF(DATOS!$G17070="OR",--(COUNTIFS(nNIA,DATOS!$A17070,nCURSO,DATOS!$D17070,nESPEC,DATOS!$E17070,nASIG,DATOS!$I17070,nEVAL,"EX")=0),0))))</f>
      </c>
      <c r="H17070">
        <f>IF(DATOS!$G17070&lt;&gt;"EX",0,--(COUNTIFS(nNIA,DATOS!$A17070,nCURSO,DATOS!$D17070,nESPEC,DATOS!$E17070,nASIG,DATOS!$I17070,nEVAL,"OR")=0))</f>
      </c>
      <c r="I17070">
        <f>IF(DATOS!$I17070="","",IFERROR(VLOOKUP(DATOS!$I17070,CONFIG_ASIGNATURAS!$B$2:$J$91,9,FALSE()),""))</f>
      </c>
    </row>
    <row r="17071">
      <c r="F17071">
        <f>IF(DATOS!$A17071="","",DATOS!$A17071&amp;"|"&amp;DATOS!$D17071&amp;"|"&amp;DATOS!$E17071&amp;"|"&amp;DATOS!$I17071)</f>
      </c>
      <c r="G17071">
        <f>IF(DATOS!$A17071="",0,IF(CONFIG_METADATA!$B$4&lt;&gt;"OR+EX",--(DATOS!$G17071=CONFIG_METADATA!$B$4),IF(DATOS!$G17071="EX",1,IF(DATOS!$G17071="OR",--(COUNTIFS(nNIA,DATOS!$A17071,nCURSO,DATOS!$D17071,nESPEC,DATOS!$E17071,nASIG,DATOS!$I17071,nEVAL,"EX")=0),0))))</f>
      </c>
      <c r="H17071">
        <f>IF(DATOS!$G17071&lt;&gt;"EX",0,--(COUNTIFS(nNIA,DATOS!$A17071,nCURSO,DATOS!$D17071,nESPEC,DATOS!$E17071,nASIG,DATOS!$I17071,nEVAL,"OR")=0))</f>
      </c>
      <c r="I17071">
        <f>IF(DATOS!$I17071="","",IFERROR(VLOOKUP(DATOS!$I17071,CONFIG_ASIGNATURAS!$B$2:$J$91,9,FALSE()),""))</f>
      </c>
    </row>
    <row r="17072">
      <c r="F17072">
        <f>IF(DATOS!$A17072="","",DATOS!$A17072&amp;"|"&amp;DATOS!$D17072&amp;"|"&amp;DATOS!$E17072&amp;"|"&amp;DATOS!$I17072)</f>
      </c>
      <c r="G17072">
        <f>IF(DATOS!$A17072="",0,IF(CONFIG_METADATA!$B$4&lt;&gt;"OR+EX",--(DATOS!$G17072=CONFIG_METADATA!$B$4),IF(DATOS!$G17072="EX",1,IF(DATOS!$G17072="OR",--(COUNTIFS(nNIA,DATOS!$A17072,nCURSO,DATOS!$D17072,nESPEC,DATOS!$E17072,nASIG,DATOS!$I17072,nEVAL,"EX")=0),0))))</f>
      </c>
      <c r="H17072">
        <f>IF(DATOS!$G17072&lt;&gt;"EX",0,--(COUNTIFS(nNIA,DATOS!$A17072,nCURSO,DATOS!$D17072,nESPEC,DATOS!$E17072,nASIG,DATOS!$I17072,nEVAL,"OR")=0))</f>
      </c>
      <c r="I17072">
        <f>IF(DATOS!$I17072="","",IFERROR(VLOOKUP(DATOS!$I17072,CONFIG_ASIGNATURAS!$B$2:$J$91,9,FALSE()),""))</f>
      </c>
    </row>
    <row r="17073">
      <c r="F17073">
        <f>IF(DATOS!$A17073="","",DATOS!$A17073&amp;"|"&amp;DATOS!$D17073&amp;"|"&amp;DATOS!$E17073&amp;"|"&amp;DATOS!$I17073)</f>
      </c>
      <c r="G17073">
        <f>IF(DATOS!$A17073="",0,IF(CONFIG_METADATA!$B$4&lt;&gt;"OR+EX",--(DATOS!$G17073=CONFIG_METADATA!$B$4),IF(DATOS!$G17073="EX",1,IF(DATOS!$G17073="OR",--(COUNTIFS(nNIA,DATOS!$A17073,nCURSO,DATOS!$D17073,nESPEC,DATOS!$E17073,nASIG,DATOS!$I17073,nEVAL,"EX")=0),0))))</f>
      </c>
      <c r="H17073">
        <f>IF(DATOS!$G17073&lt;&gt;"EX",0,--(COUNTIFS(nNIA,DATOS!$A17073,nCURSO,DATOS!$D17073,nESPEC,DATOS!$E17073,nASIG,DATOS!$I17073,nEVAL,"OR")=0))</f>
      </c>
      <c r="I17073">
        <f>IF(DATOS!$I17073="","",IFERROR(VLOOKUP(DATOS!$I17073,CONFIG_ASIGNATURAS!$B$2:$J$91,9,FALSE()),""))</f>
      </c>
    </row>
    <row r="17074">
      <c r="F17074">
        <f>IF(DATOS!$A17074="","",DATOS!$A17074&amp;"|"&amp;DATOS!$D17074&amp;"|"&amp;DATOS!$E17074&amp;"|"&amp;DATOS!$I17074)</f>
      </c>
      <c r="G17074">
        <f>IF(DATOS!$A17074="",0,IF(CONFIG_METADATA!$B$4&lt;&gt;"OR+EX",--(DATOS!$G17074=CONFIG_METADATA!$B$4),IF(DATOS!$G17074="EX",1,IF(DATOS!$G17074="OR",--(COUNTIFS(nNIA,DATOS!$A17074,nCURSO,DATOS!$D17074,nESPEC,DATOS!$E17074,nASIG,DATOS!$I17074,nEVAL,"EX")=0),0))))</f>
      </c>
      <c r="H17074">
        <f>IF(DATOS!$G17074&lt;&gt;"EX",0,--(COUNTIFS(nNIA,DATOS!$A17074,nCURSO,DATOS!$D17074,nESPEC,DATOS!$E17074,nASIG,DATOS!$I17074,nEVAL,"OR")=0))</f>
      </c>
      <c r="I17074">
        <f>IF(DATOS!$I17074="","",IFERROR(VLOOKUP(DATOS!$I17074,CONFIG_ASIGNATURAS!$B$2:$J$91,9,FALSE()),""))</f>
      </c>
    </row>
    <row r="17075">
      <c r="F17075">
        <f>IF(DATOS!$A17075="","",DATOS!$A17075&amp;"|"&amp;DATOS!$D17075&amp;"|"&amp;DATOS!$E17075&amp;"|"&amp;DATOS!$I17075)</f>
      </c>
      <c r="G17075">
        <f>IF(DATOS!$A17075="",0,IF(CONFIG_METADATA!$B$4&lt;&gt;"OR+EX",--(DATOS!$G17075=CONFIG_METADATA!$B$4),IF(DATOS!$G17075="EX",1,IF(DATOS!$G17075="OR",--(COUNTIFS(nNIA,DATOS!$A17075,nCURSO,DATOS!$D17075,nESPEC,DATOS!$E17075,nASIG,DATOS!$I17075,nEVAL,"EX")=0),0))))</f>
      </c>
      <c r="H17075">
        <f>IF(DATOS!$G17075&lt;&gt;"EX",0,--(COUNTIFS(nNIA,DATOS!$A17075,nCURSO,DATOS!$D17075,nESPEC,DATOS!$E17075,nASIG,DATOS!$I17075,nEVAL,"OR")=0))</f>
      </c>
      <c r="I17075">
        <f>IF(DATOS!$I17075="","",IFERROR(VLOOKUP(DATOS!$I17075,CONFIG_ASIGNATURAS!$B$2:$J$91,9,FALSE()),""))</f>
      </c>
    </row>
    <row r="17076">
      <c r="F17076">
        <f>IF(DATOS!$A17076="","",DATOS!$A17076&amp;"|"&amp;DATOS!$D17076&amp;"|"&amp;DATOS!$E17076&amp;"|"&amp;DATOS!$I17076)</f>
      </c>
      <c r="G17076">
        <f>IF(DATOS!$A17076="",0,IF(CONFIG_METADATA!$B$4&lt;&gt;"OR+EX",--(DATOS!$G17076=CONFIG_METADATA!$B$4),IF(DATOS!$G17076="EX",1,IF(DATOS!$G17076="OR",--(COUNTIFS(nNIA,DATOS!$A17076,nCURSO,DATOS!$D17076,nESPEC,DATOS!$E17076,nASIG,DATOS!$I17076,nEVAL,"EX")=0),0))))</f>
      </c>
      <c r="H17076">
        <f>IF(DATOS!$G17076&lt;&gt;"EX",0,--(COUNTIFS(nNIA,DATOS!$A17076,nCURSO,DATOS!$D17076,nESPEC,DATOS!$E17076,nASIG,DATOS!$I17076,nEVAL,"OR")=0))</f>
      </c>
      <c r="I17076">
        <f>IF(DATOS!$I17076="","",IFERROR(VLOOKUP(DATOS!$I17076,CONFIG_ASIGNATURAS!$B$2:$J$91,9,FALSE()),""))</f>
      </c>
    </row>
    <row r="17077">
      <c r="F17077">
        <f>IF(DATOS!$A17077="","",DATOS!$A17077&amp;"|"&amp;DATOS!$D17077&amp;"|"&amp;DATOS!$E17077&amp;"|"&amp;DATOS!$I17077)</f>
      </c>
      <c r="G17077">
        <f>IF(DATOS!$A17077="",0,IF(CONFIG_METADATA!$B$4&lt;&gt;"OR+EX",--(DATOS!$G17077=CONFIG_METADATA!$B$4),IF(DATOS!$G17077="EX",1,IF(DATOS!$G17077="OR",--(COUNTIFS(nNIA,DATOS!$A17077,nCURSO,DATOS!$D17077,nESPEC,DATOS!$E17077,nASIG,DATOS!$I17077,nEVAL,"EX")=0),0))))</f>
      </c>
      <c r="H17077">
        <f>IF(DATOS!$G17077&lt;&gt;"EX",0,--(COUNTIFS(nNIA,DATOS!$A17077,nCURSO,DATOS!$D17077,nESPEC,DATOS!$E17077,nASIG,DATOS!$I17077,nEVAL,"OR")=0))</f>
      </c>
      <c r="I17077">
        <f>IF(DATOS!$I17077="","",IFERROR(VLOOKUP(DATOS!$I17077,CONFIG_ASIGNATURAS!$B$2:$J$91,9,FALSE()),""))</f>
      </c>
    </row>
    <row r="17078">
      <c r="F17078">
        <f>IF(DATOS!$A17078="","",DATOS!$A17078&amp;"|"&amp;DATOS!$D17078&amp;"|"&amp;DATOS!$E17078&amp;"|"&amp;DATOS!$I17078)</f>
      </c>
      <c r="G17078">
        <f>IF(DATOS!$A17078="",0,IF(CONFIG_METADATA!$B$4&lt;&gt;"OR+EX",--(DATOS!$G17078=CONFIG_METADATA!$B$4),IF(DATOS!$G17078="EX",1,IF(DATOS!$G17078="OR",--(COUNTIFS(nNIA,DATOS!$A17078,nCURSO,DATOS!$D17078,nESPEC,DATOS!$E17078,nASIG,DATOS!$I17078,nEVAL,"EX")=0),0))))</f>
      </c>
      <c r="H17078">
        <f>IF(DATOS!$G17078&lt;&gt;"EX",0,--(COUNTIFS(nNIA,DATOS!$A17078,nCURSO,DATOS!$D17078,nESPEC,DATOS!$E17078,nASIG,DATOS!$I17078,nEVAL,"OR")=0))</f>
      </c>
      <c r="I17078">
        <f>IF(DATOS!$I17078="","",IFERROR(VLOOKUP(DATOS!$I17078,CONFIG_ASIGNATURAS!$B$2:$J$91,9,FALSE()),""))</f>
      </c>
    </row>
    <row r="17079">
      <c r="F17079">
        <f>IF(DATOS!$A17079="","",DATOS!$A17079&amp;"|"&amp;DATOS!$D17079&amp;"|"&amp;DATOS!$E17079&amp;"|"&amp;DATOS!$I17079)</f>
      </c>
      <c r="G17079">
        <f>IF(DATOS!$A17079="",0,IF(CONFIG_METADATA!$B$4&lt;&gt;"OR+EX",--(DATOS!$G17079=CONFIG_METADATA!$B$4),IF(DATOS!$G17079="EX",1,IF(DATOS!$G17079="OR",--(COUNTIFS(nNIA,DATOS!$A17079,nCURSO,DATOS!$D17079,nESPEC,DATOS!$E17079,nASIG,DATOS!$I17079,nEVAL,"EX")=0),0))))</f>
      </c>
      <c r="H17079">
        <f>IF(DATOS!$G17079&lt;&gt;"EX",0,--(COUNTIFS(nNIA,DATOS!$A17079,nCURSO,DATOS!$D17079,nESPEC,DATOS!$E17079,nASIG,DATOS!$I17079,nEVAL,"OR")=0))</f>
      </c>
      <c r="I17079">
        <f>IF(DATOS!$I17079="","",IFERROR(VLOOKUP(DATOS!$I17079,CONFIG_ASIGNATURAS!$B$2:$J$91,9,FALSE()),""))</f>
      </c>
    </row>
    <row r="17080">
      <c r="F17080">
        <f>IF(DATOS!$A17080="","",DATOS!$A17080&amp;"|"&amp;DATOS!$D17080&amp;"|"&amp;DATOS!$E17080&amp;"|"&amp;DATOS!$I17080)</f>
      </c>
      <c r="G17080">
        <f>IF(DATOS!$A17080="",0,IF(CONFIG_METADATA!$B$4&lt;&gt;"OR+EX",--(DATOS!$G17080=CONFIG_METADATA!$B$4),IF(DATOS!$G17080="EX",1,IF(DATOS!$G17080="OR",--(COUNTIFS(nNIA,DATOS!$A17080,nCURSO,DATOS!$D17080,nESPEC,DATOS!$E17080,nASIG,DATOS!$I17080,nEVAL,"EX")=0),0))))</f>
      </c>
      <c r="H17080">
        <f>IF(DATOS!$G17080&lt;&gt;"EX",0,--(COUNTIFS(nNIA,DATOS!$A17080,nCURSO,DATOS!$D17080,nESPEC,DATOS!$E17080,nASIG,DATOS!$I17080,nEVAL,"OR")=0))</f>
      </c>
      <c r="I17080">
        <f>IF(DATOS!$I17080="","",IFERROR(VLOOKUP(DATOS!$I17080,CONFIG_ASIGNATURAS!$B$2:$J$91,9,FALSE()),""))</f>
      </c>
    </row>
    <row r="17081">
      <c r="F17081">
        <f>IF(DATOS!$A17081="","",DATOS!$A17081&amp;"|"&amp;DATOS!$D17081&amp;"|"&amp;DATOS!$E17081&amp;"|"&amp;DATOS!$I17081)</f>
      </c>
      <c r="G17081">
        <f>IF(DATOS!$A17081="",0,IF(CONFIG_METADATA!$B$4&lt;&gt;"OR+EX",--(DATOS!$G17081=CONFIG_METADATA!$B$4),IF(DATOS!$G17081="EX",1,IF(DATOS!$G17081="OR",--(COUNTIFS(nNIA,DATOS!$A17081,nCURSO,DATOS!$D17081,nESPEC,DATOS!$E17081,nASIG,DATOS!$I17081,nEVAL,"EX")=0),0))))</f>
      </c>
      <c r="H17081">
        <f>IF(DATOS!$G17081&lt;&gt;"EX",0,--(COUNTIFS(nNIA,DATOS!$A17081,nCURSO,DATOS!$D17081,nESPEC,DATOS!$E17081,nASIG,DATOS!$I17081,nEVAL,"OR")=0))</f>
      </c>
      <c r="I17081">
        <f>IF(DATOS!$I17081="","",IFERROR(VLOOKUP(DATOS!$I17081,CONFIG_ASIGNATURAS!$B$2:$J$91,9,FALSE()),""))</f>
      </c>
    </row>
    <row r="17082">
      <c r="F17082">
        <f>IF(DATOS!$A17082="","",DATOS!$A17082&amp;"|"&amp;DATOS!$D17082&amp;"|"&amp;DATOS!$E17082&amp;"|"&amp;DATOS!$I17082)</f>
      </c>
      <c r="G17082">
        <f>IF(DATOS!$A17082="",0,IF(CONFIG_METADATA!$B$4&lt;&gt;"OR+EX",--(DATOS!$G17082=CONFIG_METADATA!$B$4),IF(DATOS!$G17082="EX",1,IF(DATOS!$G17082="OR",--(COUNTIFS(nNIA,DATOS!$A17082,nCURSO,DATOS!$D17082,nESPEC,DATOS!$E17082,nASIG,DATOS!$I17082,nEVAL,"EX")=0),0))))</f>
      </c>
      <c r="H17082">
        <f>IF(DATOS!$G17082&lt;&gt;"EX",0,--(COUNTIFS(nNIA,DATOS!$A17082,nCURSO,DATOS!$D17082,nESPEC,DATOS!$E17082,nASIG,DATOS!$I17082,nEVAL,"OR")=0))</f>
      </c>
      <c r="I17082">
        <f>IF(DATOS!$I17082="","",IFERROR(VLOOKUP(DATOS!$I17082,CONFIG_ASIGNATURAS!$B$2:$J$91,9,FALSE()),""))</f>
      </c>
    </row>
    <row r="17083">
      <c r="F17083">
        <f>IF(DATOS!$A17083="","",DATOS!$A17083&amp;"|"&amp;DATOS!$D17083&amp;"|"&amp;DATOS!$E17083&amp;"|"&amp;DATOS!$I17083)</f>
      </c>
      <c r="G17083">
        <f>IF(DATOS!$A17083="",0,IF(CONFIG_METADATA!$B$4&lt;&gt;"OR+EX",--(DATOS!$G17083=CONFIG_METADATA!$B$4),IF(DATOS!$G17083="EX",1,IF(DATOS!$G17083="OR",--(COUNTIFS(nNIA,DATOS!$A17083,nCURSO,DATOS!$D17083,nESPEC,DATOS!$E17083,nASIG,DATOS!$I17083,nEVAL,"EX")=0),0))))</f>
      </c>
      <c r="H17083">
        <f>IF(DATOS!$G17083&lt;&gt;"EX",0,--(COUNTIFS(nNIA,DATOS!$A17083,nCURSO,DATOS!$D17083,nESPEC,DATOS!$E17083,nASIG,DATOS!$I17083,nEVAL,"OR")=0))</f>
      </c>
      <c r="I17083">
        <f>IF(DATOS!$I17083="","",IFERROR(VLOOKUP(DATOS!$I17083,CONFIG_ASIGNATURAS!$B$2:$J$91,9,FALSE()),""))</f>
      </c>
    </row>
    <row r="17084">
      <c r="F17084">
        <f>IF(DATOS!$A17084="","",DATOS!$A17084&amp;"|"&amp;DATOS!$D17084&amp;"|"&amp;DATOS!$E17084&amp;"|"&amp;DATOS!$I17084)</f>
      </c>
      <c r="G17084">
        <f>IF(DATOS!$A17084="",0,IF(CONFIG_METADATA!$B$4&lt;&gt;"OR+EX",--(DATOS!$G17084=CONFIG_METADATA!$B$4),IF(DATOS!$G17084="EX",1,IF(DATOS!$G17084="OR",--(COUNTIFS(nNIA,DATOS!$A17084,nCURSO,DATOS!$D17084,nESPEC,DATOS!$E17084,nASIG,DATOS!$I17084,nEVAL,"EX")=0),0))))</f>
      </c>
      <c r="H17084">
        <f>IF(DATOS!$G17084&lt;&gt;"EX",0,--(COUNTIFS(nNIA,DATOS!$A17084,nCURSO,DATOS!$D17084,nESPEC,DATOS!$E17084,nASIG,DATOS!$I17084,nEVAL,"OR")=0))</f>
      </c>
      <c r="I17084">
        <f>IF(DATOS!$I17084="","",IFERROR(VLOOKUP(DATOS!$I17084,CONFIG_ASIGNATURAS!$B$2:$J$91,9,FALSE()),""))</f>
      </c>
    </row>
    <row r="17085">
      <c r="F17085">
        <f>IF(DATOS!$A17085="","",DATOS!$A17085&amp;"|"&amp;DATOS!$D17085&amp;"|"&amp;DATOS!$E17085&amp;"|"&amp;DATOS!$I17085)</f>
      </c>
      <c r="G17085">
        <f>IF(DATOS!$A17085="",0,IF(CONFIG_METADATA!$B$4&lt;&gt;"OR+EX",--(DATOS!$G17085=CONFIG_METADATA!$B$4),IF(DATOS!$G17085="EX",1,IF(DATOS!$G17085="OR",--(COUNTIFS(nNIA,DATOS!$A17085,nCURSO,DATOS!$D17085,nESPEC,DATOS!$E17085,nASIG,DATOS!$I17085,nEVAL,"EX")=0),0))))</f>
      </c>
      <c r="H17085">
        <f>IF(DATOS!$G17085&lt;&gt;"EX",0,--(COUNTIFS(nNIA,DATOS!$A17085,nCURSO,DATOS!$D17085,nESPEC,DATOS!$E17085,nASIG,DATOS!$I17085,nEVAL,"OR")=0))</f>
      </c>
      <c r="I17085">
        <f>IF(DATOS!$I17085="","",IFERROR(VLOOKUP(DATOS!$I17085,CONFIG_ASIGNATURAS!$B$2:$J$91,9,FALSE()),""))</f>
      </c>
    </row>
    <row r="17086">
      <c r="F17086">
        <f>IF(DATOS!$A17086="","",DATOS!$A17086&amp;"|"&amp;DATOS!$D17086&amp;"|"&amp;DATOS!$E17086&amp;"|"&amp;DATOS!$I17086)</f>
      </c>
      <c r="G17086">
        <f>IF(DATOS!$A17086="",0,IF(CONFIG_METADATA!$B$4&lt;&gt;"OR+EX",--(DATOS!$G17086=CONFIG_METADATA!$B$4),IF(DATOS!$G17086="EX",1,IF(DATOS!$G17086="OR",--(COUNTIFS(nNIA,DATOS!$A17086,nCURSO,DATOS!$D17086,nESPEC,DATOS!$E17086,nASIG,DATOS!$I17086,nEVAL,"EX")=0),0))))</f>
      </c>
      <c r="H17086">
        <f>IF(DATOS!$G17086&lt;&gt;"EX",0,--(COUNTIFS(nNIA,DATOS!$A17086,nCURSO,DATOS!$D17086,nESPEC,DATOS!$E17086,nASIG,DATOS!$I17086,nEVAL,"OR")=0))</f>
      </c>
      <c r="I17086">
        <f>IF(DATOS!$I17086="","",IFERROR(VLOOKUP(DATOS!$I17086,CONFIG_ASIGNATURAS!$B$2:$J$91,9,FALSE()),""))</f>
      </c>
    </row>
    <row r="17087">
      <c r="F17087">
        <f>IF(DATOS!$A17087="","",DATOS!$A17087&amp;"|"&amp;DATOS!$D17087&amp;"|"&amp;DATOS!$E17087&amp;"|"&amp;DATOS!$I17087)</f>
      </c>
      <c r="G17087">
        <f>IF(DATOS!$A17087="",0,IF(CONFIG_METADATA!$B$4&lt;&gt;"OR+EX",--(DATOS!$G17087=CONFIG_METADATA!$B$4),IF(DATOS!$G17087="EX",1,IF(DATOS!$G17087="OR",--(COUNTIFS(nNIA,DATOS!$A17087,nCURSO,DATOS!$D17087,nESPEC,DATOS!$E17087,nASIG,DATOS!$I17087,nEVAL,"EX")=0),0))))</f>
      </c>
      <c r="H17087">
        <f>IF(DATOS!$G17087&lt;&gt;"EX",0,--(COUNTIFS(nNIA,DATOS!$A17087,nCURSO,DATOS!$D17087,nESPEC,DATOS!$E17087,nASIG,DATOS!$I17087,nEVAL,"OR")=0))</f>
      </c>
      <c r="I17087">
        <f>IF(DATOS!$I17087="","",IFERROR(VLOOKUP(DATOS!$I17087,CONFIG_ASIGNATURAS!$B$2:$J$91,9,FALSE()),""))</f>
      </c>
    </row>
    <row r="17088">
      <c r="F17088">
        <f>IF(DATOS!$A17088="","",DATOS!$A17088&amp;"|"&amp;DATOS!$D17088&amp;"|"&amp;DATOS!$E17088&amp;"|"&amp;DATOS!$I17088)</f>
      </c>
      <c r="G17088">
        <f>IF(DATOS!$A17088="",0,IF(CONFIG_METADATA!$B$4&lt;&gt;"OR+EX",--(DATOS!$G17088=CONFIG_METADATA!$B$4),IF(DATOS!$G17088="EX",1,IF(DATOS!$G17088="OR",--(COUNTIFS(nNIA,DATOS!$A17088,nCURSO,DATOS!$D17088,nESPEC,DATOS!$E17088,nASIG,DATOS!$I17088,nEVAL,"EX")=0),0))))</f>
      </c>
      <c r="H17088">
        <f>IF(DATOS!$G17088&lt;&gt;"EX",0,--(COUNTIFS(nNIA,DATOS!$A17088,nCURSO,DATOS!$D17088,nESPEC,DATOS!$E17088,nASIG,DATOS!$I17088,nEVAL,"OR")=0))</f>
      </c>
      <c r="I17088">
        <f>IF(DATOS!$I17088="","",IFERROR(VLOOKUP(DATOS!$I17088,CONFIG_ASIGNATURAS!$B$2:$J$91,9,FALSE()),""))</f>
      </c>
    </row>
    <row r="17089">
      <c r="F17089">
        <f>IF(DATOS!$A17089="","",DATOS!$A17089&amp;"|"&amp;DATOS!$D17089&amp;"|"&amp;DATOS!$E17089&amp;"|"&amp;DATOS!$I17089)</f>
      </c>
      <c r="G17089">
        <f>IF(DATOS!$A17089="",0,IF(CONFIG_METADATA!$B$4&lt;&gt;"OR+EX",--(DATOS!$G17089=CONFIG_METADATA!$B$4),IF(DATOS!$G17089="EX",1,IF(DATOS!$G17089="OR",--(COUNTIFS(nNIA,DATOS!$A17089,nCURSO,DATOS!$D17089,nESPEC,DATOS!$E17089,nASIG,DATOS!$I17089,nEVAL,"EX")=0),0))))</f>
      </c>
      <c r="H17089">
        <f>IF(DATOS!$G17089&lt;&gt;"EX",0,--(COUNTIFS(nNIA,DATOS!$A17089,nCURSO,DATOS!$D17089,nESPEC,DATOS!$E17089,nASIG,DATOS!$I17089,nEVAL,"OR")=0))</f>
      </c>
      <c r="I17089">
        <f>IF(DATOS!$I17089="","",IFERROR(VLOOKUP(DATOS!$I17089,CONFIG_ASIGNATURAS!$B$2:$J$91,9,FALSE()),""))</f>
      </c>
    </row>
    <row r="17090">
      <c r="F17090">
        <f>IF(DATOS!$A17090="","",DATOS!$A17090&amp;"|"&amp;DATOS!$D17090&amp;"|"&amp;DATOS!$E17090&amp;"|"&amp;DATOS!$I17090)</f>
      </c>
      <c r="G17090">
        <f>IF(DATOS!$A17090="",0,IF(CONFIG_METADATA!$B$4&lt;&gt;"OR+EX",--(DATOS!$G17090=CONFIG_METADATA!$B$4),IF(DATOS!$G17090="EX",1,IF(DATOS!$G17090="OR",--(COUNTIFS(nNIA,DATOS!$A17090,nCURSO,DATOS!$D17090,nESPEC,DATOS!$E17090,nASIG,DATOS!$I17090,nEVAL,"EX")=0),0))))</f>
      </c>
      <c r="H17090">
        <f>IF(DATOS!$G17090&lt;&gt;"EX",0,--(COUNTIFS(nNIA,DATOS!$A17090,nCURSO,DATOS!$D17090,nESPEC,DATOS!$E17090,nASIG,DATOS!$I17090,nEVAL,"OR")=0))</f>
      </c>
      <c r="I17090">
        <f>IF(DATOS!$I17090="","",IFERROR(VLOOKUP(DATOS!$I17090,CONFIG_ASIGNATURAS!$B$2:$J$91,9,FALSE()),""))</f>
      </c>
    </row>
    <row r="17091">
      <c r="F17091">
        <f>IF(DATOS!$A17091="","",DATOS!$A17091&amp;"|"&amp;DATOS!$D17091&amp;"|"&amp;DATOS!$E17091&amp;"|"&amp;DATOS!$I17091)</f>
      </c>
      <c r="G17091">
        <f>IF(DATOS!$A17091="",0,IF(CONFIG_METADATA!$B$4&lt;&gt;"OR+EX",--(DATOS!$G17091=CONFIG_METADATA!$B$4),IF(DATOS!$G17091="EX",1,IF(DATOS!$G17091="OR",--(COUNTIFS(nNIA,DATOS!$A17091,nCURSO,DATOS!$D17091,nESPEC,DATOS!$E17091,nASIG,DATOS!$I17091,nEVAL,"EX")=0),0))))</f>
      </c>
      <c r="H17091">
        <f>IF(DATOS!$G17091&lt;&gt;"EX",0,--(COUNTIFS(nNIA,DATOS!$A17091,nCURSO,DATOS!$D17091,nESPEC,DATOS!$E17091,nASIG,DATOS!$I17091,nEVAL,"OR")=0))</f>
      </c>
      <c r="I17091">
        <f>IF(DATOS!$I17091="","",IFERROR(VLOOKUP(DATOS!$I17091,CONFIG_ASIGNATURAS!$B$2:$J$91,9,FALSE()),""))</f>
      </c>
    </row>
    <row r="17092">
      <c r="F17092">
        <f>IF(DATOS!$A17092="","",DATOS!$A17092&amp;"|"&amp;DATOS!$D17092&amp;"|"&amp;DATOS!$E17092&amp;"|"&amp;DATOS!$I17092)</f>
      </c>
      <c r="G17092">
        <f>IF(DATOS!$A17092="",0,IF(CONFIG_METADATA!$B$4&lt;&gt;"OR+EX",--(DATOS!$G17092=CONFIG_METADATA!$B$4),IF(DATOS!$G17092="EX",1,IF(DATOS!$G17092="OR",--(COUNTIFS(nNIA,DATOS!$A17092,nCURSO,DATOS!$D17092,nESPEC,DATOS!$E17092,nASIG,DATOS!$I17092,nEVAL,"EX")=0),0))))</f>
      </c>
      <c r="H17092">
        <f>IF(DATOS!$G17092&lt;&gt;"EX",0,--(COUNTIFS(nNIA,DATOS!$A17092,nCURSO,DATOS!$D17092,nESPEC,DATOS!$E17092,nASIG,DATOS!$I17092,nEVAL,"OR")=0))</f>
      </c>
      <c r="I17092">
        <f>IF(DATOS!$I17092="","",IFERROR(VLOOKUP(DATOS!$I17092,CONFIG_ASIGNATURAS!$B$2:$J$91,9,FALSE()),""))</f>
      </c>
    </row>
    <row r="17093">
      <c r="F17093">
        <f>IF(DATOS!$A17093="","",DATOS!$A17093&amp;"|"&amp;DATOS!$D17093&amp;"|"&amp;DATOS!$E17093&amp;"|"&amp;DATOS!$I17093)</f>
      </c>
      <c r="G17093">
        <f>IF(DATOS!$A17093="",0,IF(CONFIG_METADATA!$B$4&lt;&gt;"OR+EX",--(DATOS!$G17093=CONFIG_METADATA!$B$4),IF(DATOS!$G17093="EX",1,IF(DATOS!$G17093="OR",--(COUNTIFS(nNIA,DATOS!$A17093,nCURSO,DATOS!$D17093,nESPEC,DATOS!$E17093,nASIG,DATOS!$I17093,nEVAL,"EX")=0),0))))</f>
      </c>
      <c r="H17093">
        <f>IF(DATOS!$G17093&lt;&gt;"EX",0,--(COUNTIFS(nNIA,DATOS!$A17093,nCURSO,DATOS!$D17093,nESPEC,DATOS!$E17093,nASIG,DATOS!$I17093,nEVAL,"OR")=0))</f>
      </c>
      <c r="I17093">
        <f>IF(DATOS!$I17093="","",IFERROR(VLOOKUP(DATOS!$I17093,CONFIG_ASIGNATURAS!$B$2:$J$91,9,FALSE()),""))</f>
      </c>
    </row>
    <row r="17094">
      <c r="F17094">
        <f>IF(DATOS!$A17094="","",DATOS!$A17094&amp;"|"&amp;DATOS!$D17094&amp;"|"&amp;DATOS!$E17094&amp;"|"&amp;DATOS!$I17094)</f>
      </c>
      <c r="G17094">
        <f>IF(DATOS!$A17094="",0,IF(CONFIG_METADATA!$B$4&lt;&gt;"OR+EX",--(DATOS!$G17094=CONFIG_METADATA!$B$4),IF(DATOS!$G17094="EX",1,IF(DATOS!$G17094="OR",--(COUNTIFS(nNIA,DATOS!$A17094,nCURSO,DATOS!$D17094,nESPEC,DATOS!$E17094,nASIG,DATOS!$I17094,nEVAL,"EX")=0),0))))</f>
      </c>
      <c r="H17094">
        <f>IF(DATOS!$G17094&lt;&gt;"EX",0,--(COUNTIFS(nNIA,DATOS!$A17094,nCURSO,DATOS!$D17094,nESPEC,DATOS!$E17094,nASIG,DATOS!$I17094,nEVAL,"OR")=0))</f>
      </c>
      <c r="I17094">
        <f>IF(DATOS!$I17094="","",IFERROR(VLOOKUP(DATOS!$I17094,CONFIG_ASIGNATURAS!$B$2:$J$91,9,FALSE()),""))</f>
      </c>
    </row>
    <row r="17095">
      <c r="F17095">
        <f>IF(DATOS!$A17095="","",DATOS!$A17095&amp;"|"&amp;DATOS!$D17095&amp;"|"&amp;DATOS!$E17095&amp;"|"&amp;DATOS!$I17095)</f>
      </c>
      <c r="G17095">
        <f>IF(DATOS!$A17095="",0,IF(CONFIG_METADATA!$B$4&lt;&gt;"OR+EX",--(DATOS!$G17095=CONFIG_METADATA!$B$4),IF(DATOS!$G17095="EX",1,IF(DATOS!$G17095="OR",--(COUNTIFS(nNIA,DATOS!$A17095,nCURSO,DATOS!$D17095,nESPEC,DATOS!$E17095,nASIG,DATOS!$I17095,nEVAL,"EX")=0),0))))</f>
      </c>
      <c r="H17095">
        <f>IF(DATOS!$G17095&lt;&gt;"EX",0,--(COUNTIFS(nNIA,DATOS!$A17095,nCURSO,DATOS!$D17095,nESPEC,DATOS!$E17095,nASIG,DATOS!$I17095,nEVAL,"OR")=0))</f>
      </c>
      <c r="I17095">
        <f>IF(DATOS!$I17095="","",IFERROR(VLOOKUP(DATOS!$I17095,CONFIG_ASIGNATURAS!$B$2:$J$91,9,FALSE()),""))</f>
      </c>
    </row>
    <row r="17096">
      <c r="F17096">
        <f>IF(DATOS!$A17096="","",DATOS!$A17096&amp;"|"&amp;DATOS!$D17096&amp;"|"&amp;DATOS!$E17096&amp;"|"&amp;DATOS!$I17096)</f>
      </c>
      <c r="G17096">
        <f>IF(DATOS!$A17096="",0,IF(CONFIG_METADATA!$B$4&lt;&gt;"OR+EX",--(DATOS!$G17096=CONFIG_METADATA!$B$4),IF(DATOS!$G17096="EX",1,IF(DATOS!$G17096="OR",--(COUNTIFS(nNIA,DATOS!$A17096,nCURSO,DATOS!$D17096,nESPEC,DATOS!$E17096,nASIG,DATOS!$I17096,nEVAL,"EX")=0),0))))</f>
      </c>
      <c r="H17096">
        <f>IF(DATOS!$G17096&lt;&gt;"EX",0,--(COUNTIFS(nNIA,DATOS!$A17096,nCURSO,DATOS!$D17096,nESPEC,DATOS!$E17096,nASIG,DATOS!$I17096,nEVAL,"OR")=0))</f>
      </c>
      <c r="I17096">
        <f>IF(DATOS!$I17096="","",IFERROR(VLOOKUP(DATOS!$I17096,CONFIG_ASIGNATURAS!$B$2:$J$91,9,FALSE()),""))</f>
      </c>
    </row>
    <row r="17097">
      <c r="F17097">
        <f>IF(DATOS!$A17097="","",DATOS!$A17097&amp;"|"&amp;DATOS!$D17097&amp;"|"&amp;DATOS!$E17097&amp;"|"&amp;DATOS!$I17097)</f>
      </c>
      <c r="G17097">
        <f>IF(DATOS!$A17097="",0,IF(CONFIG_METADATA!$B$4&lt;&gt;"OR+EX",--(DATOS!$G17097=CONFIG_METADATA!$B$4),IF(DATOS!$G17097="EX",1,IF(DATOS!$G17097="OR",--(COUNTIFS(nNIA,DATOS!$A17097,nCURSO,DATOS!$D17097,nESPEC,DATOS!$E17097,nASIG,DATOS!$I17097,nEVAL,"EX")=0),0))))</f>
      </c>
      <c r="H17097">
        <f>IF(DATOS!$G17097&lt;&gt;"EX",0,--(COUNTIFS(nNIA,DATOS!$A17097,nCURSO,DATOS!$D17097,nESPEC,DATOS!$E17097,nASIG,DATOS!$I17097,nEVAL,"OR")=0))</f>
      </c>
      <c r="I17097">
        <f>IF(DATOS!$I17097="","",IFERROR(VLOOKUP(DATOS!$I17097,CONFIG_ASIGNATURAS!$B$2:$J$91,9,FALSE()),""))</f>
      </c>
    </row>
    <row r="17098">
      <c r="F17098">
        <f>IF(DATOS!$A17098="","",DATOS!$A17098&amp;"|"&amp;DATOS!$D17098&amp;"|"&amp;DATOS!$E17098&amp;"|"&amp;DATOS!$I17098)</f>
      </c>
      <c r="G17098">
        <f>IF(DATOS!$A17098="",0,IF(CONFIG_METADATA!$B$4&lt;&gt;"OR+EX",--(DATOS!$G17098=CONFIG_METADATA!$B$4),IF(DATOS!$G17098="EX",1,IF(DATOS!$G17098="OR",--(COUNTIFS(nNIA,DATOS!$A17098,nCURSO,DATOS!$D17098,nESPEC,DATOS!$E17098,nASIG,DATOS!$I17098,nEVAL,"EX")=0),0))))</f>
      </c>
      <c r="H17098">
        <f>IF(DATOS!$G17098&lt;&gt;"EX",0,--(COUNTIFS(nNIA,DATOS!$A17098,nCURSO,DATOS!$D17098,nESPEC,DATOS!$E17098,nASIG,DATOS!$I17098,nEVAL,"OR")=0))</f>
      </c>
      <c r="I17098">
        <f>IF(DATOS!$I17098="","",IFERROR(VLOOKUP(DATOS!$I17098,CONFIG_ASIGNATURAS!$B$2:$J$91,9,FALSE()),""))</f>
      </c>
    </row>
    <row r="17099">
      <c r="F17099">
        <f>IF(DATOS!$A17099="","",DATOS!$A17099&amp;"|"&amp;DATOS!$D17099&amp;"|"&amp;DATOS!$E17099&amp;"|"&amp;DATOS!$I17099)</f>
      </c>
      <c r="G17099">
        <f>IF(DATOS!$A17099="",0,IF(CONFIG_METADATA!$B$4&lt;&gt;"OR+EX",--(DATOS!$G17099=CONFIG_METADATA!$B$4),IF(DATOS!$G17099="EX",1,IF(DATOS!$G17099="OR",--(COUNTIFS(nNIA,DATOS!$A17099,nCURSO,DATOS!$D17099,nESPEC,DATOS!$E17099,nASIG,DATOS!$I17099,nEVAL,"EX")=0),0))))</f>
      </c>
      <c r="H17099">
        <f>IF(DATOS!$G17099&lt;&gt;"EX",0,--(COUNTIFS(nNIA,DATOS!$A17099,nCURSO,DATOS!$D17099,nESPEC,DATOS!$E17099,nASIG,DATOS!$I17099,nEVAL,"OR")=0))</f>
      </c>
      <c r="I17099">
        <f>IF(DATOS!$I17099="","",IFERROR(VLOOKUP(DATOS!$I17099,CONFIG_ASIGNATURAS!$B$2:$J$91,9,FALSE()),""))</f>
      </c>
    </row>
    <row r="17100">
      <c r="F17100">
        <f>IF(DATOS!$A17100="","",DATOS!$A17100&amp;"|"&amp;DATOS!$D17100&amp;"|"&amp;DATOS!$E17100&amp;"|"&amp;DATOS!$I17100)</f>
      </c>
      <c r="G17100">
        <f>IF(DATOS!$A17100="",0,IF(CONFIG_METADATA!$B$4&lt;&gt;"OR+EX",--(DATOS!$G17100=CONFIG_METADATA!$B$4),IF(DATOS!$G17100="EX",1,IF(DATOS!$G17100="OR",--(COUNTIFS(nNIA,DATOS!$A17100,nCURSO,DATOS!$D17100,nESPEC,DATOS!$E17100,nASIG,DATOS!$I17100,nEVAL,"EX")=0),0))))</f>
      </c>
      <c r="H17100">
        <f>IF(DATOS!$G17100&lt;&gt;"EX",0,--(COUNTIFS(nNIA,DATOS!$A17100,nCURSO,DATOS!$D17100,nESPEC,DATOS!$E17100,nASIG,DATOS!$I17100,nEVAL,"OR")=0))</f>
      </c>
      <c r="I17100">
        <f>IF(DATOS!$I17100="","",IFERROR(VLOOKUP(DATOS!$I17100,CONFIG_ASIGNATURAS!$B$2:$J$91,9,FALSE()),""))</f>
      </c>
    </row>
    <row r="17101">
      <c r="F17101">
        <f>IF(DATOS!$A17101="","",DATOS!$A17101&amp;"|"&amp;DATOS!$D17101&amp;"|"&amp;DATOS!$E17101&amp;"|"&amp;DATOS!$I17101)</f>
      </c>
      <c r="G17101">
        <f>IF(DATOS!$A17101="",0,IF(CONFIG_METADATA!$B$4&lt;&gt;"OR+EX",--(DATOS!$G17101=CONFIG_METADATA!$B$4),IF(DATOS!$G17101="EX",1,IF(DATOS!$G17101="OR",--(COUNTIFS(nNIA,DATOS!$A17101,nCURSO,DATOS!$D17101,nESPEC,DATOS!$E17101,nASIG,DATOS!$I17101,nEVAL,"EX")=0),0))))</f>
      </c>
      <c r="H17101">
        <f>IF(DATOS!$G17101&lt;&gt;"EX",0,--(COUNTIFS(nNIA,DATOS!$A17101,nCURSO,DATOS!$D17101,nESPEC,DATOS!$E17101,nASIG,DATOS!$I17101,nEVAL,"OR")=0))</f>
      </c>
      <c r="I17101">
        <f>IF(DATOS!$I17101="","",IFERROR(VLOOKUP(DATOS!$I17101,CONFIG_ASIGNATURAS!$B$2:$J$91,9,FALSE()),""))</f>
      </c>
    </row>
    <row r="17102">
      <c r="F17102">
        <f>IF(DATOS!$A17102="","",DATOS!$A17102&amp;"|"&amp;DATOS!$D17102&amp;"|"&amp;DATOS!$E17102&amp;"|"&amp;DATOS!$I17102)</f>
      </c>
      <c r="G17102">
        <f>IF(DATOS!$A17102="",0,IF(CONFIG_METADATA!$B$4&lt;&gt;"OR+EX",--(DATOS!$G17102=CONFIG_METADATA!$B$4),IF(DATOS!$G17102="EX",1,IF(DATOS!$G17102="OR",--(COUNTIFS(nNIA,DATOS!$A17102,nCURSO,DATOS!$D17102,nESPEC,DATOS!$E17102,nASIG,DATOS!$I17102,nEVAL,"EX")=0),0))))</f>
      </c>
      <c r="H17102">
        <f>IF(DATOS!$G17102&lt;&gt;"EX",0,--(COUNTIFS(nNIA,DATOS!$A17102,nCURSO,DATOS!$D17102,nESPEC,DATOS!$E17102,nASIG,DATOS!$I17102,nEVAL,"OR")=0))</f>
      </c>
      <c r="I17102">
        <f>IF(DATOS!$I17102="","",IFERROR(VLOOKUP(DATOS!$I17102,CONFIG_ASIGNATURAS!$B$2:$J$91,9,FALSE()),""))</f>
      </c>
    </row>
    <row r="17103">
      <c r="F17103">
        <f>IF(DATOS!$A17103="","",DATOS!$A17103&amp;"|"&amp;DATOS!$D17103&amp;"|"&amp;DATOS!$E17103&amp;"|"&amp;DATOS!$I17103)</f>
      </c>
      <c r="G17103">
        <f>IF(DATOS!$A17103="",0,IF(CONFIG_METADATA!$B$4&lt;&gt;"OR+EX",--(DATOS!$G17103=CONFIG_METADATA!$B$4),IF(DATOS!$G17103="EX",1,IF(DATOS!$G17103="OR",--(COUNTIFS(nNIA,DATOS!$A17103,nCURSO,DATOS!$D17103,nESPEC,DATOS!$E17103,nASIG,DATOS!$I17103,nEVAL,"EX")=0),0))))</f>
      </c>
      <c r="H17103">
        <f>IF(DATOS!$G17103&lt;&gt;"EX",0,--(COUNTIFS(nNIA,DATOS!$A17103,nCURSO,DATOS!$D17103,nESPEC,DATOS!$E17103,nASIG,DATOS!$I17103,nEVAL,"OR")=0))</f>
      </c>
      <c r="I17103">
        <f>IF(DATOS!$I17103="","",IFERROR(VLOOKUP(DATOS!$I17103,CONFIG_ASIGNATURAS!$B$2:$J$91,9,FALSE()),""))</f>
      </c>
    </row>
    <row r="17104">
      <c r="F17104">
        <f>IF(DATOS!$A17104="","",DATOS!$A17104&amp;"|"&amp;DATOS!$D17104&amp;"|"&amp;DATOS!$E17104&amp;"|"&amp;DATOS!$I17104)</f>
      </c>
      <c r="G17104">
        <f>IF(DATOS!$A17104="",0,IF(CONFIG_METADATA!$B$4&lt;&gt;"OR+EX",--(DATOS!$G17104=CONFIG_METADATA!$B$4),IF(DATOS!$G17104="EX",1,IF(DATOS!$G17104="OR",--(COUNTIFS(nNIA,DATOS!$A17104,nCURSO,DATOS!$D17104,nESPEC,DATOS!$E17104,nASIG,DATOS!$I17104,nEVAL,"EX")=0),0))))</f>
      </c>
      <c r="H17104">
        <f>IF(DATOS!$G17104&lt;&gt;"EX",0,--(COUNTIFS(nNIA,DATOS!$A17104,nCURSO,DATOS!$D17104,nESPEC,DATOS!$E17104,nASIG,DATOS!$I17104,nEVAL,"OR")=0))</f>
      </c>
      <c r="I17104">
        <f>IF(DATOS!$I17104="","",IFERROR(VLOOKUP(DATOS!$I17104,CONFIG_ASIGNATURAS!$B$2:$J$91,9,FALSE()),""))</f>
      </c>
    </row>
    <row r="17105">
      <c r="F17105">
        <f>IF(DATOS!$A17105="","",DATOS!$A17105&amp;"|"&amp;DATOS!$D17105&amp;"|"&amp;DATOS!$E17105&amp;"|"&amp;DATOS!$I17105)</f>
      </c>
      <c r="G17105">
        <f>IF(DATOS!$A17105="",0,IF(CONFIG_METADATA!$B$4&lt;&gt;"OR+EX",--(DATOS!$G17105=CONFIG_METADATA!$B$4),IF(DATOS!$G17105="EX",1,IF(DATOS!$G17105="OR",--(COUNTIFS(nNIA,DATOS!$A17105,nCURSO,DATOS!$D17105,nESPEC,DATOS!$E17105,nASIG,DATOS!$I17105,nEVAL,"EX")=0),0))))</f>
      </c>
      <c r="H17105">
        <f>IF(DATOS!$G17105&lt;&gt;"EX",0,--(COUNTIFS(nNIA,DATOS!$A17105,nCURSO,DATOS!$D17105,nESPEC,DATOS!$E17105,nASIG,DATOS!$I17105,nEVAL,"OR")=0))</f>
      </c>
      <c r="I17105">
        <f>IF(DATOS!$I17105="","",IFERROR(VLOOKUP(DATOS!$I17105,CONFIG_ASIGNATURAS!$B$2:$J$91,9,FALSE()),""))</f>
      </c>
    </row>
    <row r="17106">
      <c r="F17106">
        <f>IF(DATOS!$A17106="","",DATOS!$A17106&amp;"|"&amp;DATOS!$D17106&amp;"|"&amp;DATOS!$E17106&amp;"|"&amp;DATOS!$I17106)</f>
      </c>
      <c r="G17106">
        <f>IF(DATOS!$A17106="",0,IF(CONFIG_METADATA!$B$4&lt;&gt;"OR+EX",--(DATOS!$G17106=CONFIG_METADATA!$B$4),IF(DATOS!$G17106="EX",1,IF(DATOS!$G17106="OR",--(COUNTIFS(nNIA,DATOS!$A17106,nCURSO,DATOS!$D17106,nESPEC,DATOS!$E17106,nASIG,DATOS!$I17106,nEVAL,"EX")=0),0))))</f>
      </c>
      <c r="H17106">
        <f>IF(DATOS!$G17106&lt;&gt;"EX",0,--(COUNTIFS(nNIA,DATOS!$A17106,nCURSO,DATOS!$D17106,nESPEC,DATOS!$E17106,nASIG,DATOS!$I17106,nEVAL,"OR")=0))</f>
      </c>
      <c r="I17106">
        <f>IF(DATOS!$I17106="","",IFERROR(VLOOKUP(DATOS!$I17106,CONFIG_ASIGNATURAS!$B$2:$J$91,9,FALSE()),""))</f>
      </c>
    </row>
    <row r="17107">
      <c r="F17107">
        <f>IF(DATOS!$A17107="","",DATOS!$A17107&amp;"|"&amp;DATOS!$D17107&amp;"|"&amp;DATOS!$E17107&amp;"|"&amp;DATOS!$I17107)</f>
      </c>
      <c r="G17107">
        <f>IF(DATOS!$A17107="",0,IF(CONFIG_METADATA!$B$4&lt;&gt;"OR+EX",--(DATOS!$G17107=CONFIG_METADATA!$B$4),IF(DATOS!$G17107="EX",1,IF(DATOS!$G17107="OR",--(COUNTIFS(nNIA,DATOS!$A17107,nCURSO,DATOS!$D17107,nESPEC,DATOS!$E17107,nASIG,DATOS!$I17107,nEVAL,"EX")=0),0))))</f>
      </c>
      <c r="H17107">
        <f>IF(DATOS!$G17107&lt;&gt;"EX",0,--(COUNTIFS(nNIA,DATOS!$A17107,nCURSO,DATOS!$D17107,nESPEC,DATOS!$E17107,nASIG,DATOS!$I17107,nEVAL,"OR")=0))</f>
      </c>
      <c r="I17107">
        <f>IF(DATOS!$I17107="","",IFERROR(VLOOKUP(DATOS!$I17107,CONFIG_ASIGNATURAS!$B$2:$J$91,9,FALSE()),""))</f>
      </c>
    </row>
    <row r="17108">
      <c r="F17108">
        <f>IF(DATOS!$A17108="","",DATOS!$A17108&amp;"|"&amp;DATOS!$D17108&amp;"|"&amp;DATOS!$E17108&amp;"|"&amp;DATOS!$I17108)</f>
      </c>
      <c r="G17108">
        <f>IF(DATOS!$A17108="",0,IF(CONFIG_METADATA!$B$4&lt;&gt;"OR+EX",--(DATOS!$G17108=CONFIG_METADATA!$B$4),IF(DATOS!$G17108="EX",1,IF(DATOS!$G17108="OR",--(COUNTIFS(nNIA,DATOS!$A17108,nCURSO,DATOS!$D17108,nESPEC,DATOS!$E17108,nASIG,DATOS!$I17108,nEVAL,"EX")=0),0))))</f>
      </c>
      <c r="H17108">
        <f>IF(DATOS!$G17108&lt;&gt;"EX",0,--(COUNTIFS(nNIA,DATOS!$A17108,nCURSO,DATOS!$D17108,nESPEC,DATOS!$E17108,nASIG,DATOS!$I17108,nEVAL,"OR")=0))</f>
      </c>
      <c r="I17108">
        <f>IF(DATOS!$I17108="","",IFERROR(VLOOKUP(DATOS!$I17108,CONFIG_ASIGNATURAS!$B$2:$J$91,9,FALSE()),""))</f>
      </c>
    </row>
    <row r="17109">
      <c r="F17109">
        <f>IF(DATOS!$A17109="","",DATOS!$A17109&amp;"|"&amp;DATOS!$D17109&amp;"|"&amp;DATOS!$E17109&amp;"|"&amp;DATOS!$I17109)</f>
      </c>
      <c r="G17109">
        <f>IF(DATOS!$A17109="",0,IF(CONFIG_METADATA!$B$4&lt;&gt;"OR+EX",--(DATOS!$G17109=CONFIG_METADATA!$B$4),IF(DATOS!$G17109="EX",1,IF(DATOS!$G17109="OR",--(COUNTIFS(nNIA,DATOS!$A17109,nCURSO,DATOS!$D17109,nESPEC,DATOS!$E17109,nASIG,DATOS!$I17109,nEVAL,"EX")=0),0))))</f>
      </c>
      <c r="H17109">
        <f>IF(DATOS!$G17109&lt;&gt;"EX",0,--(COUNTIFS(nNIA,DATOS!$A17109,nCURSO,DATOS!$D17109,nESPEC,DATOS!$E17109,nASIG,DATOS!$I17109,nEVAL,"OR")=0))</f>
      </c>
      <c r="I17109">
        <f>IF(DATOS!$I17109="","",IFERROR(VLOOKUP(DATOS!$I17109,CONFIG_ASIGNATURAS!$B$2:$J$91,9,FALSE()),""))</f>
      </c>
    </row>
    <row r="17110">
      <c r="F17110">
        <f>IF(DATOS!$A17110="","",DATOS!$A17110&amp;"|"&amp;DATOS!$D17110&amp;"|"&amp;DATOS!$E17110&amp;"|"&amp;DATOS!$I17110)</f>
      </c>
      <c r="G17110">
        <f>IF(DATOS!$A17110="",0,IF(CONFIG_METADATA!$B$4&lt;&gt;"OR+EX",--(DATOS!$G17110=CONFIG_METADATA!$B$4),IF(DATOS!$G17110="EX",1,IF(DATOS!$G17110="OR",--(COUNTIFS(nNIA,DATOS!$A17110,nCURSO,DATOS!$D17110,nESPEC,DATOS!$E17110,nASIG,DATOS!$I17110,nEVAL,"EX")=0),0))))</f>
      </c>
      <c r="H17110">
        <f>IF(DATOS!$G17110&lt;&gt;"EX",0,--(COUNTIFS(nNIA,DATOS!$A17110,nCURSO,DATOS!$D17110,nESPEC,DATOS!$E17110,nASIG,DATOS!$I17110,nEVAL,"OR")=0))</f>
      </c>
      <c r="I17110">
        <f>IF(DATOS!$I17110="","",IFERROR(VLOOKUP(DATOS!$I17110,CONFIG_ASIGNATURAS!$B$2:$J$91,9,FALSE()),""))</f>
      </c>
    </row>
    <row r="17111">
      <c r="F17111">
        <f>IF(DATOS!$A17111="","",DATOS!$A17111&amp;"|"&amp;DATOS!$D17111&amp;"|"&amp;DATOS!$E17111&amp;"|"&amp;DATOS!$I17111)</f>
      </c>
      <c r="G17111">
        <f>IF(DATOS!$A17111="",0,IF(CONFIG_METADATA!$B$4&lt;&gt;"OR+EX",--(DATOS!$G17111=CONFIG_METADATA!$B$4),IF(DATOS!$G17111="EX",1,IF(DATOS!$G17111="OR",--(COUNTIFS(nNIA,DATOS!$A17111,nCURSO,DATOS!$D17111,nESPEC,DATOS!$E17111,nASIG,DATOS!$I17111,nEVAL,"EX")=0),0))))</f>
      </c>
      <c r="H17111">
        <f>IF(DATOS!$G17111&lt;&gt;"EX",0,--(COUNTIFS(nNIA,DATOS!$A17111,nCURSO,DATOS!$D17111,nESPEC,DATOS!$E17111,nASIG,DATOS!$I17111,nEVAL,"OR")=0))</f>
      </c>
      <c r="I17111">
        <f>IF(DATOS!$I17111="","",IFERROR(VLOOKUP(DATOS!$I17111,CONFIG_ASIGNATURAS!$B$2:$J$91,9,FALSE()),""))</f>
      </c>
    </row>
    <row r="17112">
      <c r="F17112">
        <f>IF(DATOS!$A17112="","",DATOS!$A17112&amp;"|"&amp;DATOS!$D17112&amp;"|"&amp;DATOS!$E17112&amp;"|"&amp;DATOS!$I17112)</f>
      </c>
      <c r="G17112">
        <f>IF(DATOS!$A17112="",0,IF(CONFIG_METADATA!$B$4&lt;&gt;"OR+EX",--(DATOS!$G17112=CONFIG_METADATA!$B$4),IF(DATOS!$G17112="EX",1,IF(DATOS!$G17112="OR",--(COUNTIFS(nNIA,DATOS!$A17112,nCURSO,DATOS!$D17112,nESPEC,DATOS!$E17112,nASIG,DATOS!$I17112,nEVAL,"EX")=0),0))))</f>
      </c>
      <c r="H17112">
        <f>IF(DATOS!$G17112&lt;&gt;"EX",0,--(COUNTIFS(nNIA,DATOS!$A17112,nCURSO,DATOS!$D17112,nESPEC,DATOS!$E17112,nASIG,DATOS!$I17112,nEVAL,"OR")=0))</f>
      </c>
      <c r="I17112">
        <f>IF(DATOS!$I17112="","",IFERROR(VLOOKUP(DATOS!$I17112,CONFIG_ASIGNATURAS!$B$2:$J$91,9,FALSE()),""))</f>
      </c>
    </row>
    <row r="17113">
      <c r="F17113">
        <f>IF(DATOS!$A17113="","",DATOS!$A17113&amp;"|"&amp;DATOS!$D17113&amp;"|"&amp;DATOS!$E17113&amp;"|"&amp;DATOS!$I17113)</f>
      </c>
      <c r="G17113">
        <f>IF(DATOS!$A17113="",0,IF(CONFIG_METADATA!$B$4&lt;&gt;"OR+EX",--(DATOS!$G17113=CONFIG_METADATA!$B$4),IF(DATOS!$G17113="EX",1,IF(DATOS!$G17113="OR",--(COUNTIFS(nNIA,DATOS!$A17113,nCURSO,DATOS!$D17113,nESPEC,DATOS!$E17113,nASIG,DATOS!$I17113,nEVAL,"EX")=0),0))))</f>
      </c>
      <c r="H17113">
        <f>IF(DATOS!$G17113&lt;&gt;"EX",0,--(COUNTIFS(nNIA,DATOS!$A17113,nCURSO,DATOS!$D17113,nESPEC,DATOS!$E17113,nASIG,DATOS!$I17113,nEVAL,"OR")=0))</f>
      </c>
      <c r="I17113">
        <f>IF(DATOS!$I17113="","",IFERROR(VLOOKUP(DATOS!$I17113,CONFIG_ASIGNATURAS!$B$2:$J$91,9,FALSE()),""))</f>
      </c>
    </row>
    <row r="17114">
      <c r="F17114">
        <f>IF(DATOS!$A17114="","",DATOS!$A17114&amp;"|"&amp;DATOS!$D17114&amp;"|"&amp;DATOS!$E17114&amp;"|"&amp;DATOS!$I17114)</f>
      </c>
      <c r="G17114">
        <f>IF(DATOS!$A17114="",0,IF(CONFIG_METADATA!$B$4&lt;&gt;"OR+EX",--(DATOS!$G17114=CONFIG_METADATA!$B$4),IF(DATOS!$G17114="EX",1,IF(DATOS!$G17114="OR",--(COUNTIFS(nNIA,DATOS!$A17114,nCURSO,DATOS!$D17114,nESPEC,DATOS!$E17114,nASIG,DATOS!$I17114,nEVAL,"EX")=0),0))))</f>
      </c>
      <c r="H17114">
        <f>IF(DATOS!$G17114&lt;&gt;"EX",0,--(COUNTIFS(nNIA,DATOS!$A17114,nCURSO,DATOS!$D17114,nESPEC,DATOS!$E17114,nASIG,DATOS!$I17114,nEVAL,"OR")=0))</f>
      </c>
      <c r="I17114">
        <f>IF(DATOS!$I17114="","",IFERROR(VLOOKUP(DATOS!$I17114,CONFIG_ASIGNATURAS!$B$2:$J$91,9,FALSE()),""))</f>
      </c>
    </row>
    <row r="17115">
      <c r="F17115">
        <f>IF(DATOS!$A17115="","",DATOS!$A17115&amp;"|"&amp;DATOS!$D17115&amp;"|"&amp;DATOS!$E17115&amp;"|"&amp;DATOS!$I17115)</f>
      </c>
      <c r="G17115">
        <f>IF(DATOS!$A17115="",0,IF(CONFIG_METADATA!$B$4&lt;&gt;"OR+EX",--(DATOS!$G17115=CONFIG_METADATA!$B$4),IF(DATOS!$G17115="EX",1,IF(DATOS!$G17115="OR",--(COUNTIFS(nNIA,DATOS!$A17115,nCURSO,DATOS!$D17115,nESPEC,DATOS!$E17115,nASIG,DATOS!$I17115,nEVAL,"EX")=0),0))))</f>
      </c>
      <c r="H17115">
        <f>IF(DATOS!$G17115&lt;&gt;"EX",0,--(COUNTIFS(nNIA,DATOS!$A17115,nCURSO,DATOS!$D17115,nESPEC,DATOS!$E17115,nASIG,DATOS!$I17115,nEVAL,"OR")=0))</f>
      </c>
      <c r="I17115">
        <f>IF(DATOS!$I17115="","",IFERROR(VLOOKUP(DATOS!$I17115,CONFIG_ASIGNATURAS!$B$2:$J$91,9,FALSE()),""))</f>
      </c>
    </row>
    <row r="17116">
      <c r="F17116">
        <f>IF(DATOS!$A17116="","",DATOS!$A17116&amp;"|"&amp;DATOS!$D17116&amp;"|"&amp;DATOS!$E17116&amp;"|"&amp;DATOS!$I17116)</f>
      </c>
      <c r="G17116">
        <f>IF(DATOS!$A17116="",0,IF(CONFIG_METADATA!$B$4&lt;&gt;"OR+EX",--(DATOS!$G17116=CONFIG_METADATA!$B$4),IF(DATOS!$G17116="EX",1,IF(DATOS!$G17116="OR",--(COUNTIFS(nNIA,DATOS!$A17116,nCURSO,DATOS!$D17116,nESPEC,DATOS!$E17116,nASIG,DATOS!$I17116,nEVAL,"EX")=0),0))))</f>
      </c>
      <c r="H17116">
        <f>IF(DATOS!$G17116&lt;&gt;"EX",0,--(COUNTIFS(nNIA,DATOS!$A17116,nCURSO,DATOS!$D17116,nESPEC,DATOS!$E17116,nASIG,DATOS!$I17116,nEVAL,"OR")=0))</f>
      </c>
      <c r="I17116">
        <f>IF(DATOS!$I17116="","",IFERROR(VLOOKUP(DATOS!$I17116,CONFIG_ASIGNATURAS!$B$2:$J$91,9,FALSE()),""))</f>
      </c>
    </row>
    <row r="17117">
      <c r="F17117">
        <f>IF(DATOS!$A17117="","",DATOS!$A17117&amp;"|"&amp;DATOS!$D17117&amp;"|"&amp;DATOS!$E17117&amp;"|"&amp;DATOS!$I17117)</f>
      </c>
      <c r="G17117">
        <f>IF(DATOS!$A17117="",0,IF(CONFIG_METADATA!$B$4&lt;&gt;"OR+EX",--(DATOS!$G17117=CONFIG_METADATA!$B$4),IF(DATOS!$G17117="EX",1,IF(DATOS!$G17117="OR",--(COUNTIFS(nNIA,DATOS!$A17117,nCURSO,DATOS!$D17117,nESPEC,DATOS!$E17117,nASIG,DATOS!$I17117,nEVAL,"EX")=0),0))))</f>
      </c>
      <c r="H17117">
        <f>IF(DATOS!$G17117&lt;&gt;"EX",0,--(COUNTIFS(nNIA,DATOS!$A17117,nCURSO,DATOS!$D17117,nESPEC,DATOS!$E17117,nASIG,DATOS!$I17117,nEVAL,"OR")=0))</f>
      </c>
      <c r="I17117">
        <f>IF(DATOS!$I17117="","",IFERROR(VLOOKUP(DATOS!$I17117,CONFIG_ASIGNATURAS!$B$2:$J$91,9,FALSE()),""))</f>
      </c>
    </row>
    <row r="17118">
      <c r="F17118">
        <f>IF(DATOS!$A17118="","",DATOS!$A17118&amp;"|"&amp;DATOS!$D17118&amp;"|"&amp;DATOS!$E17118&amp;"|"&amp;DATOS!$I17118)</f>
      </c>
      <c r="G17118">
        <f>IF(DATOS!$A17118="",0,IF(CONFIG_METADATA!$B$4&lt;&gt;"OR+EX",--(DATOS!$G17118=CONFIG_METADATA!$B$4),IF(DATOS!$G17118="EX",1,IF(DATOS!$G17118="OR",--(COUNTIFS(nNIA,DATOS!$A17118,nCURSO,DATOS!$D17118,nESPEC,DATOS!$E17118,nASIG,DATOS!$I17118,nEVAL,"EX")=0),0))))</f>
      </c>
      <c r="H17118">
        <f>IF(DATOS!$G17118&lt;&gt;"EX",0,--(COUNTIFS(nNIA,DATOS!$A17118,nCURSO,DATOS!$D17118,nESPEC,DATOS!$E17118,nASIG,DATOS!$I17118,nEVAL,"OR")=0))</f>
      </c>
      <c r="I17118">
        <f>IF(DATOS!$I17118="","",IFERROR(VLOOKUP(DATOS!$I17118,CONFIG_ASIGNATURAS!$B$2:$J$91,9,FALSE()),""))</f>
      </c>
    </row>
    <row r="17119">
      <c r="F17119">
        <f>IF(DATOS!$A17119="","",DATOS!$A17119&amp;"|"&amp;DATOS!$D17119&amp;"|"&amp;DATOS!$E17119&amp;"|"&amp;DATOS!$I17119)</f>
      </c>
      <c r="G17119">
        <f>IF(DATOS!$A17119="",0,IF(CONFIG_METADATA!$B$4&lt;&gt;"OR+EX",--(DATOS!$G17119=CONFIG_METADATA!$B$4),IF(DATOS!$G17119="EX",1,IF(DATOS!$G17119="OR",--(COUNTIFS(nNIA,DATOS!$A17119,nCURSO,DATOS!$D17119,nESPEC,DATOS!$E17119,nASIG,DATOS!$I17119,nEVAL,"EX")=0),0))))</f>
      </c>
      <c r="H17119">
        <f>IF(DATOS!$G17119&lt;&gt;"EX",0,--(COUNTIFS(nNIA,DATOS!$A17119,nCURSO,DATOS!$D17119,nESPEC,DATOS!$E17119,nASIG,DATOS!$I17119,nEVAL,"OR")=0))</f>
      </c>
      <c r="I17119">
        <f>IF(DATOS!$I17119="","",IFERROR(VLOOKUP(DATOS!$I17119,CONFIG_ASIGNATURAS!$B$2:$J$91,9,FALSE()),""))</f>
      </c>
    </row>
    <row r="17120">
      <c r="F17120">
        <f>IF(DATOS!$A17120="","",DATOS!$A17120&amp;"|"&amp;DATOS!$D17120&amp;"|"&amp;DATOS!$E17120&amp;"|"&amp;DATOS!$I17120)</f>
      </c>
      <c r="G17120">
        <f>IF(DATOS!$A17120="",0,IF(CONFIG_METADATA!$B$4&lt;&gt;"OR+EX",--(DATOS!$G17120=CONFIG_METADATA!$B$4),IF(DATOS!$G17120="EX",1,IF(DATOS!$G17120="OR",--(COUNTIFS(nNIA,DATOS!$A17120,nCURSO,DATOS!$D17120,nESPEC,DATOS!$E17120,nASIG,DATOS!$I17120,nEVAL,"EX")=0),0))))</f>
      </c>
      <c r="H17120">
        <f>IF(DATOS!$G17120&lt;&gt;"EX",0,--(COUNTIFS(nNIA,DATOS!$A17120,nCURSO,DATOS!$D17120,nESPEC,DATOS!$E17120,nASIG,DATOS!$I17120,nEVAL,"OR")=0))</f>
      </c>
      <c r="I17120">
        <f>IF(DATOS!$I17120="","",IFERROR(VLOOKUP(DATOS!$I17120,CONFIG_ASIGNATURAS!$B$2:$J$91,9,FALSE()),""))</f>
      </c>
    </row>
    <row r="17121">
      <c r="F17121">
        <f>IF(DATOS!$A17121="","",DATOS!$A17121&amp;"|"&amp;DATOS!$D17121&amp;"|"&amp;DATOS!$E17121&amp;"|"&amp;DATOS!$I17121)</f>
      </c>
      <c r="G17121">
        <f>IF(DATOS!$A17121="",0,IF(CONFIG_METADATA!$B$4&lt;&gt;"OR+EX",--(DATOS!$G17121=CONFIG_METADATA!$B$4),IF(DATOS!$G17121="EX",1,IF(DATOS!$G17121="OR",--(COUNTIFS(nNIA,DATOS!$A17121,nCURSO,DATOS!$D17121,nESPEC,DATOS!$E17121,nASIG,DATOS!$I17121,nEVAL,"EX")=0),0))))</f>
      </c>
      <c r="H17121">
        <f>IF(DATOS!$G17121&lt;&gt;"EX",0,--(COUNTIFS(nNIA,DATOS!$A17121,nCURSO,DATOS!$D17121,nESPEC,DATOS!$E17121,nASIG,DATOS!$I17121,nEVAL,"OR")=0))</f>
      </c>
      <c r="I17121">
        <f>IF(DATOS!$I17121="","",IFERROR(VLOOKUP(DATOS!$I17121,CONFIG_ASIGNATURAS!$B$2:$J$91,9,FALSE()),""))</f>
      </c>
    </row>
    <row r="17122">
      <c r="F17122">
        <f>IF(DATOS!$A17122="","",DATOS!$A17122&amp;"|"&amp;DATOS!$D17122&amp;"|"&amp;DATOS!$E17122&amp;"|"&amp;DATOS!$I17122)</f>
      </c>
      <c r="G17122">
        <f>IF(DATOS!$A17122="",0,IF(CONFIG_METADATA!$B$4&lt;&gt;"OR+EX",--(DATOS!$G17122=CONFIG_METADATA!$B$4),IF(DATOS!$G17122="EX",1,IF(DATOS!$G17122="OR",--(COUNTIFS(nNIA,DATOS!$A17122,nCURSO,DATOS!$D17122,nESPEC,DATOS!$E17122,nASIG,DATOS!$I17122,nEVAL,"EX")=0),0))))</f>
      </c>
      <c r="H17122">
        <f>IF(DATOS!$G17122&lt;&gt;"EX",0,--(COUNTIFS(nNIA,DATOS!$A17122,nCURSO,DATOS!$D17122,nESPEC,DATOS!$E17122,nASIG,DATOS!$I17122,nEVAL,"OR")=0))</f>
      </c>
      <c r="I17122">
        <f>IF(DATOS!$I17122="","",IFERROR(VLOOKUP(DATOS!$I17122,CONFIG_ASIGNATURAS!$B$2:$J$91,9,FALSE()),""))</f>
      </c>
    </row>
    <row r="17123">
      <c r="F17123">
        <f>IF(DATOS!$A17123="","",DATOS!$A17123&amp;"|"&amp;DATOS!$D17123&amp;"|"&amp;DATOS!$E17123&amp;"|"&amp;DATOS!$I17123)</f>
      </c>
      <c r="G17123">
        <f>IF(DATOS!$A17123="",0,IF(CONFIG_METADATA!$B$4&lt;&gt;"OR+EX",--(DATOS!$G17123=CONFIG_METADATA!$B$4),IF(DATOS!$G17123="EX",1,IF(DATOS!$G17123="OR",--(COUNTIFS(nNIA,DATOS!$A17123,nCURSO,DATOS!$D17123,nESPEC,DATOS!$E17123,nASIG,DATOS!$I17123,nEVAL,"EX")=0),0))))</f>
      </c>
      <c r="H17123">
        <f>IF(DATOS!$G17123&lt;&gt;"EX",0,--(COUNTIFS(nNIA,DATOS!$A17123,nCURSO,DATOS!$D17123,nESPEC,DATOS!$E17123,nASIG,DATOS!$I17123,nEVAL,"OR")=0))</f>
      </c>
      <c r="I17123">
        <f>IF(DATOS!$I17123="","",IFERROR(VLOOKUP(DATOS!$I17123,CONFIG_ASIGNATURAS!$B$2:$J$91,9,FALSE()),""))</f>
      </c>
    </row>
    <row r="17124">
      <c r="F17124">
        <f>IF(DATOS!$A17124="","",DATOS!$A17124&amp;"|"&amp;DATOS!$D17124&amp;"|"&amp;DATOS!$E17124&amp;"|"&amp;DATOS!$I17124)</f>
      </c>
      <c r="G17124">
        <f>IF(DATOS!$A17124="",0,IF(CONFIG_METADATA!$B$4&lt;&gt;"OR+EX",--(DATOS!$G17124=CONFIG_METADATA!$B$4),IF(DATOS!$G17124="EX",1,IF(DATOS!$G17124="OR",--(COUNTIFS(nNIA,DATOS!$A17124,nCURSO,DATOS!$D17124,nESPEC,DATOS!$E17124,nASIG,DATOS!$I17124,nEVAL,"EX")=0),0))))</f>
      </c>
      <c r="H17124">
        <f>IF(DATOS!$G17124&lt;&gt;"EX",0,--(COUNTIFS(nNIA,DATOS!$A17124,nCURSO,DATOS!$D17124,nESPEC,DATOS!$E17124,nASIG,DATOS!$I17124,nEVAL,"OR")=0))</f>
      </c>
      <c r="I17124">
        <f>IF(DATOS!$I17124="","",IFERROR(VLOOKUP(DATOS!$I17124,CONFIG_ASIGNATURAS!$B$2:$J$91,9,FALSE()),""))</f>
      </c>
    </row>
    <row r="17125">
      <c r="F17125">
        <f>IF(DATOS!$A17125="","",DATOS!$A17125&amp;"|"&amp;DATOS!$D17125&amp;"|"&amp;DATOS!$E17125&amp;"|"&amp;DATOS!$I17125)</f>
      </c>
      <c r="G17125">
        <f>IF(DATOS!$A17125="",0,IF(CONFIG_METADATA!$B$4&lt;&gt;"OR+EX",--(DATOS!$G17125=CONFIG_METADATA!$B$4),IF(DATOS!$G17125="EX",1,IF(DATOS!$G17125="OR",--(COUNTIFS(nNIA,DATOS!$A17125,nCURSO,DATOS!$D17125,nESPEC,DATOS!$E17125,nASIG,DATOS!$I17125,nEVAL,"EX")=0),0))))</f>
      </c>
      <c r="H17125">
        <f>IF(DATOS!$G17125&lt;&gt;"EX",0,--(COUNTIFS(nNIA,DATOS!$A17125,nCURSO,DATOS!$D17125,nESPEC,DATOS!$E17125,nASIG,DATOS!$I17125,nEVAL,"OR")=0))</f>
      </c>
      <c r="I17125">
        <f>IF(DATOS!$I17125="","",IFERROR(VLOOKUP(DATOS!$I17125,CONFIG_ASIGNATURAS!$B$2:$J$91,9,FALSE()),""))</f>
      </c>
    </row>
    <row r="17126">
      <c r="F17126">
        <f>IF(DATOS!$A17126="","",DATOS!$A17126&amp;"|"&amp;DATOS!$D17126&amp;"|"&amp;DATOS!$E17126&amp;"|"&amp;DATOS!$I17126)</f>
      </c>
      <c r="G17126">
        <f>IF(DATOS!$A17126="",0,IF(CONFIG_METADATA!$B$4&lt;&gt;"OR+EX",--(DATOS!$G17126=CONFIG_METADATA!$B$4),IF(DATOS!$G17126="EX",1,IF(DATOS!$G17126="OR",--(COUNTIFS(nNIA,DATOS!$A17126,nCURSO,DATOS!$D17126,nESPEC,DATOS!$E17126,nASIG,DATOS!$I17126,nEVAL,"EX")=0),0))))</f>
      </c>
      <c r="H17126">
        <f>IF(DATOS!$G17126&lt;&gt;"EX",0,--(COUNTIFS(nNIA,DATOS!$A17126,nCURSO,DATOS!$D17126,nESPEC,DATOS!$E17126,nASIG,DATOS!$I17126,nEVAL,"OR")=0))</f>
      </c>
      <c r="I17126">
        <f>IF(DATOS!$I17126="","",IFERROR(VLOOKUP(DATOS!$I17126,CONFIG_ASIGNATURAS!$B$2:$J$91,9,FALSE()),""))</f>
      </c>
    </row>
    <row r="17127">
      <c r="F17127">
        <f>IF(DATOS!$A17127="","",DATOS!$A17127&amp;"|"&amp;DATOS!$D17127&amp;"|"&amp;DATOS!$E17127&amp;"|"&amp;DATOS!$I17127)</f>
      </c>
      <c r="G17127">
        <f>IF(DATOS!$A17127="",0,IF(CONFIG_METADATA!$B$4&lt;&gt;"OR+EX",--(DATOS!$G17127=CONFIG_METADATA!$B$4),IF(DATOS!$G17127="EX",1,IF(DATOS!$G17127="OR",--(COUNTIFS(nNIA,DATOS!$A17127,nCURSO,DATOS!$D17127,nESPEC,DATOS!$E17127,nASIG,DATOS!$I17127,nEVAL,"EX")=0),0))))</f>
      </c>
      <c r="H17127">
        <f>IF(DATOS!$G17127&lt;&gt;"EX",0,--(COUNTIFS(nNIA,DATOS!$A17127,nCURSO,DATOS!$D17127,nESPEC,DATOS!$E17127,nASIG,DATOS!$I17127,nEVAL,"OR")=0))</f>
      </c>
      <c r="I17127">
        <f>IF(DATOS!$I17127="","",IFERROR(VLOOKUP(DATOS!$I17127,CONFIG_ASIGNATURAS!$B$2:$J$91,9,FALSE()),""))</f>
      </c>
    </row>
    <row r="17128">
      <c r="F17128">
        <f>IF(DATOS!$A17128="","",DATOS!$A17128&amp;"|"&amp;DATOS!$D17128&amp;"|"&amp;DATOS!$E17128&amp;"|"&amp;DATOS!$I17128)</f>
      </c>
      <c r="G17128">
        <f>IF(DATOS!$A17128="",0,IF(CONFIG_METADATA!$B$4&lt;&gt;"OR+EX",--(DATOS!$G17128=CONFIG_METADATA!$B$4),IF(DATOS!$G17128="EX",1,IF(DATOS!$G17128="OR",--(COUNTIFS(nNIA,DATOS!$A17128,nCURSO,DATOS!$D17128,nESPEC,DATOS!$E17128,nASIG,DATOS!$I17128,nEVAL,"EX")=0),0))))</f>
      </c>
      <c r="H17128">
        <f>IF(DATOS!$G17128&lt;&gt;"EX",0,--(COUNTIFS(nNIA,DATOS!$A17128,nCURSO,DATOS!$D17128,nESPEC,DATOS!$E17128,nASIG,DATOS!$I17128,nEVAL,"OR")=0))</f>
      </c>
      <c r="I17128">
        <f>IF(DATOS!$I17128="","",IFERROR(VLOOKUP(DATOS!$I17128,CONFIG_ASIGNATURAS!$B$2:$J$91,9,FALSE()),""))</f>
      </c>
    </row>
    <row r="17129">
      <c r="F17129">
        <f>IF(DATOS!$A17129="","",DATOS!$A17129&amp;"|"&amp;DATOS!$D17129&amp;"|"&amp;DATOS!$E17129&amp;"|"&amp;DATOS!$I17129)</f>
      </c>
      <c r="G17129">
        <f>IF(DATOS!$A17129="",0,IF(CONFIG_METADATA!$B$4&lt;&gt;"OR+EX",--(DATOS!$G17129=CONFIG_METADATA!$B$4),IF(DATOS!$G17129="EX",1,IF(DATOS!$G17129="OR",--(COUNTIFS(nNIA,DATOS!$A17129,nCURSO,DATOS!$D17129,nESPEC,DATOS!$E17129,nASIG,DATOS!$I17129,nEVAL,"EX")=0),0))))</f>
      </c>
      <c r="H17129">
        <f>IF(DATOS!$G17129&lt;&gt;"EX",0,--(COUNTIFS(nNIA,DATOS!$A17129,nCURSO,DATOS!$D17129,nESPEC,DATOS!$E17129,nASIG,DATOS!$I17129,nEVAL,"OR")=0))</f>
      </c>
      <c r="I17129">
        <f>IF(DATOS!$I17129="","",IFERROR(VLOOKUP(DATOS!$I17129,CONFIG_ASIGNATURAS!$B$2:$J$91,9,FALSE()),""))</f>
      </c>
    </row>
    <row r="17130">
      <c r="F17130">
        <f>IF(DATOS!$A17130="","",DATOS!$A17130&amp;"|"&amp;DATOS!$D17130&amp;"|"&amp;DATOS!$E17130&amp;"|"&amp;DATOS!$I17130)</f>
      </c>
      <c r="G17130">
        <f>IF(DATOS!$A17130="",0,IF(CONFIG_METADATA!$B$4&lt;&gt;"OR+EX",--(DATOS!$G17130=CONFIG_METADATA!$B$4),IF(DATOS!$G17130="EX",1,IF(DATOS!$G17130="OR",--(COUNTIFS(nNIA,DATOS!$A17130,nCURSO,DATOS!$D17130,nESPEC,DATOS!$E17130,nASIG,DATOS!$I17130,nEVAL,"EX")=0),0))))</f>
      </c>
      <c r="H17130">
        <f>IF(DATOS!$G17130&lt;&gt;"EX",0,--(COUNTIFS(nNIA,DATOS!$A17130,nCURSO,DATOS!$D17130,nESPEC,DATOS!$E17130,nASIG,DATOS!$I17130,nEVAL,"OR")=0))</f>
      </c>
      <c r="I17130">
        <f>IF(DATOS!$I17130="","",IFERROR(VLOOKUP(DATOS!$I17130,CONFIG_ASIGNATURAS!$B$2:$J$91,9,FALSE()),""))</f>
      </c>
    </row>
    <row r="17131">
      <c r="F17131">
        <f>IF(DATOS!$A17131="","",DATOS!$A17131&amp;"|"&amp;DATOS!$D17131&amp;"|"&amp;DATOS!$E17131&amp;"|"&amp;DATOS!$I17131)</f>
      </c>
      <c r="G17131">
        <f>IF(DATOS!$A17131="",0,IF(CONFIG_METADATA!$B$4&lt;&gt;"OR+EX",--(DATOS!$G17131=CONFIG_METADATA!$B$4),IF(DATOS!$G17131="EX",1,IF(DATOS!$G17131="OR",--(COUNTIFS(nNIA,DATOS!$A17131,nCURSO,DATOS!$D17131,nESPEC,DATOS!$E17131,nASIG,DATOS!$I17131,nEVAL,"EX")=0),0))))</f>
      </c>
      <c r="H17131">
        <f>IF(DATOS!$G17131&lt;&gt;"EX",0,--(COUNTIFS(nNIA,DATOS!$A17131,nCURSO,DATOS!$D17131,nESPEC,DATOS!$E17131,nASIG,DATOS!$I17131,nEVAL,"OR")=0))</f>
      </c>
      <c r="I17131">
        <f>IF(DATOS!$I17131="","",IFERROR(VLOOKUP(DATOS!$I17131,CONFIG_ASIGNATURAS!$B$2:$J$91,9,FALSE()),""))</f>
      </c>
    </row>
    <row r="17132">
      <c r="F17132">
        <f>IF(DATOS!$A17132="","",DATOS!$A17132&amp;"|"&amp;DATOS!$D17132&amp;"|"&amp;DATOS!$E17132&amp;"|"&amp;DATOS!$I17132)</f>
      </c>
      <c r="G17132">
        <f>IF(DATOS!$A17132="",0,IF(CONFIG_METADATA!$B$4&lt;&gt;"OR+EX",--(DATOS!$G17132=CONFIG_METADATA!$B$4),IF(DATOS!$G17132="EX",1,IF(DATOS!$G17132="OR",--(COUNTIFS(nNIA,DATOS!$A17132,nCURSO,DATOS!$D17132,nESPEC,DATOS!$E17132,nASIG,DATOS!$I17132,nEVAL,"EX")=0),0))))</f>
      </c>
      <c r="H17132">
        <f>IF(DATOS!$G17132&lt;&gt;"EX",0,--(COUNTIFS(nNIA,DATOS!$A17132,nCURSO,DATOS!$D17132,nESPEC,DATOS!$E17132,nASIG,DATOS!$I17132,nEVAL,"OR")=0))</f>
      </c>
      <c r="I17132">
        <f>IF(DATOS!$I17132="","",IFERROR(VLOOKUP(DATOS!$I17132,CONFIG_ASIGNATURAS!$B$2:$J$91,9,FALSE()),""))</f>
      </c>
    </row>
    <row r="17133">
      <c r="F17133">
        <f>IF(DATOS!$A17133="","",DATOS!$A17133&amp;"|"&amp;DATOS!$D17133&amp;"|"&amp;DATOS!$E17133&amp;"|"&amp;DATOS!$I17133)</f>
      </c>
      <c r="G17133">
        <f>IF(DATOS!$A17133="",0,IF(CONFIG_METADATA!$B$4&lt;&gt;"OR+EX",--(DATOS!$G17133=CONFIG_METADATA!$B$4),IF(DATOS!$G17133="EX",1,IF(DATOS!$G17133="OR",--(COUNTIFS(nNIA,DATOS!$A17133,nCURSO,DATOS!$D17133,nESPEC,DATOS!$E17133,nASIG,DATOS!$I17133,nEVAL,"EX")=0),0))))</f>
      </c>
      <c r="H17133">
        <f>IF(DATOS!$G17133&lt;&gt;"EX",0,--(COUNTIFS(nNIA,DATOS!$A17133,nCURSO,DATOS!$D17133,nESPEC,DATOS!$E17133,nASIG,DATOS!$I17133,nEVAL,"OR")=0))</f>
      </c>
      <c r="I17133">
        <f>IF(DATOS!$I17133="","",IFERROR(VLOOKUP(DATOS!$I17133,CONFIG_ASIGNATURAS!$B$2:$J$91,9,FALSE()),""))</f>
      </c>
    </row>
    <row r="17134">
      <c r="F17134">
        <f>IF(DATOS!$A17134="","",DATOS!$A17134&amp;"|"&amp;DATOS!$D17134&amp;"|"&amp;DATOS!$E17134&amp;"|"&amp;DATOS!$I17134)</f>
      </c>
      <c r="G17134">
        <f>IF(DATOS!$A17134="",0,IF(CONFIG_METADATA!$B$4&lt;&gt;"OR+EX",--(DATOS!$G17134=CONFIG_METADATA!$B$4),IF(DATOS!$G17134="EX",1,IF(DATOS!$G17134="OR",--(COUNTIFS(nNIA,DATOS!$A17134,nCURSO,DATOS!$D17134,nESPEC,DATOS!$E17134,nASIG,DATOS!$I17134,nEVAL,"EX")=0),0))))</f>
      </c>
      <c r="H17134">
        <f>IF(DATOS!$G17134&lt;&gt;"EX",0,--(COUNTIFS(nNIA,DATOS!$A17134,nCURSO,DATOS!$D17134,nESPEC,DATOS!$E17134,nASIG,DATOS!$I17134,nEVAL,"OR")=0))</f>
      </c>
      <c r="I17134">
        <f>IF(DATOS!$I17134="","",IFERROR(VLOOKUP(DATOS!$I17134,CONFIG_ASIGNATURAS!$B$2:$J$91,9,FALSE()),""))</f>
      </c>
    </row>
    <row r="17135">
      <c r="F17135">
        <f>IF(DATOS!$A17135="","",DATOS!$A17135&amp;"|"&amp;DATOS!$D17135&amp;"|"&amp;DATOS!$E17135&amp;"|"&amp;DATOS!$I17135)</f>
      </c>
      <c r="G17135">
        <f>IF(DATOS!$A17135="",0,IF(CONFIG_METADATA!$B$4&lt;&gt;"OR+EX",--(DATOS!$G17135=CONFIG_METADATA!$B$4),IF(DATOS!$G17135="EX",1,IF(DATOS!$G17135="OR",--(COUNTIFS(nNIA,DATOS!$A17135,nCURSO,DATOS!$D17135,nESPEC,DATOS!$E17135,nASIG,DATOS!$I17135,nEVAL,"EX")=0),0))))</f>
      </c>
      <c r="H17135">
        <f>IF(DATOS!$G17135&lt;&gt;"EX",0,--(COUNTIFS(nNIA,DATOS!$A17135,nCURSO,DATOS!$D17135,nESPEC,DATOS!$E17135,nASIG,DATOS!$I17135,nEVAL,"OR")=0))</f>
      </c>
      <c r="I17135">
        <f>IF(DATOS!$I17135="","",IFERROR(VLOOKUP(DATOS!$I17135,CONFIG_ASIGNATURAS!$B$2:$J$91,9,FALSE()),""))</f>
      </c>
    </row>
    <row r="17136">
      <c r="F17136">
        <f>IF(DATOS!$A17136="","",DATOS!$A17136&amp;"|"&amp;DATOS!$D17136&amp;"|"&amp;DATOS!$E17136&amp;"|"&amp;DATOS!$I17136)</f>
      </c>
      <c r="G17136">
        <f>IF(DATOS!$A17136="",0,IF(CONFIG_METADATA!$B$4&lt;&gt;"OR+EX",--(DATOS!$G17136=CONFIG_METADATA!$B$4),IF(DATOS!$G17136="EX",1,IF(DATOS!$G17136="OR",--(COUNTIFS(nNIA,DATOS!$A17136,nCURSO,DATOS!$D17136,nESPEC,DATOS!$E17136,nASIG,DATOS!$I17136,nEVAL,"EX")=0),0))))</f>
      </c>
      <c r="H17136">
        <f>IF(DATOS!$G17136&lt;&gt;"EX",0,--(COUNTIFS(nNIA,DATOS!$A17136,nCURSO,DATOS!$D17136,nESPEC,DATOS!$E17136,nASIG,DATOS!$I17136,nEVAL,"OR")=0))</f>
      </c>
      <c r="I17136">
        <f>IF(DATOS!$I17136="","",IFERROR(VLOOKUP(DATOS!$I17136,CONFIG_ASIGNATURAS!$B$2:$J$91,9,FALSE()),""))</f>
      </c>
    </row>
    <row r="17137">
      <c r="F17137">
        <f>IF(DATOS!$A17137="","",DATOS!$A17137&amp;"|"&amp;DATOS!$D17137&amp;"|"&amp;DATOS!$E17137&amp;"|"&amp;DATOS!$I17137)</f>
      </c>
      <c r="G17137">
        <f>IF(DATOS!$A17137="",0,IF(CONFIG_METADATA!$B$4&lt;&gt;"OR+EX",--(DATOS!$G17137=CONFIG_METADATA!$B$4),IF(DATOS!$G17137="EX",1,IF(DATOS!$G17137="OR",--(COUNTIFS(nNIA,DATOS!$A17137,nCURSO,DATOS!$D17137,nESPEC,DATOS!$E17137,nASIG,DATOS!$I17137,nEVAL,"EX")=0),0))))</f>
      </c>
      <c r="H17137">
        <f>IF(DATOS!$G17137&lt;&gt;"EX",0,--(COUNTIFS(nNIA,DATOS!$A17137,nCURSO,DATOS!$D17137,nESPEC,DATOS!$E17137,nASIG,DATOS!$I17137,nEVAL,"OR")=0))</f>
      </c>
      <c r="I17137">
        <f>IF(DATOS!$I17137="","",IFERROR(VLOOKUP(DATOS!$I17137,CONFIG_ASIGNATURAS!$B$2:$J$91,9,FALSE()),""))</f>
      </c>
    </row>
    <row r="17138">
      <c r="F17138">
        <f>IF(DATOS!$A17138="","",DATOS!$A17138&amp;"|"&amp;DATOS!$D17138&amp;"|"&amp;DATOS!$E17138&amp;"|"&amp;DATOS!$I17138)</f>
      </c>
      <c r="G17138">
        <f>IF(DATOS!$A17138="",0,IF(CONFIG_METADATA!$B$4&lt;&gt;"OR+EX",--(DATOS!$G17138=CONFIG_METADATA!$B$4),IF(DATOS!$G17138="EX",1,IF(DATOS!$G17138="OR",--(COUNTIFS(nNIA,DATOS!$A17138,nCURSO,DATOS!$D17138,nESPEC,DATOS!$E17138,nASIG,DATOS!$I17138,nEVAL,"EX")=0),0))))</f>
      </c>
      <c r="H17138">
        <f>IF(DATOS!$G17138&lt;&gt;"EX",0,--(COUNTIFS(nNIA,DATOS!$A17138,nCURSO,DATOS!$D17138,nESPEC,DATOS!$E17138,nASIG,DATOS!$I17138,nEVAL,"OR")=0))</f>
      </c>
      <c r="I17138">
        <f>IF(DATOS!$I17138="","",IFERROR(VLOOKUP(DATOS!$I17138,CONFIG_ASIGNATURAS!$B$2:$J$91,9,FALSE()),""))</f>
      </c>
    </row>
    <row r="17139">
      <c r="F17139">
        <f>IF(DATOS!$A17139="","",DATOS!$A17139&amp;"|"&amp;DATOS!$D17139&amp;"|"&amp;DATOS!$E17139&amp;"|"&amp;DATOS!$I17139)</f>
      </c>
      <c r="G17139">
        <f>IF(DATOS!$A17139="",0,IF(CONFIG_METADATA!$B$4&lt;&gt;"OR+EX",--(DATOS!$G17139=CONFIG_METADATA!$B$4),IF(DATOS!$G17139="EX",1,IF(DATOS!$G17139="OR",--(COUNTIFS(nNIA,DATOS!$A17139,nCURSO,DATOS!$D17139,nESPEC,DATOS!$E17139,nASIG,DATOS!$I17139,nEVAL,"EX")=0),0))))</f>
      </c>
      <c r="H17139">
        <f>IF(DATOS!$G17139&lt;&gt;"EX",0,--(COUNTIFS(nNIA,DATOS!$A17139,nCURSO,DATOS!$D17139,nESPEC,DATOS!$E17139,nASIG,DATOS!$I17139,nEVAL,"OR")=0))</f>
      </c>
      <c r="I17139">
        <f>IF(DATOS!$I17139="","",IFERROR(VLOOKUP(DATOS!$I17139,CONFIG_ASIGNATURAS!$B$2:$J$91,9,FALSE()),""))</f>
      </c>
    </row>
    <row r="17140">
      <c r="F17140">
        <f>IF(DATOS!$A17140="","",DATOS!$A17140&amp;"|"&amp;DATOS!$D17140&amp;"|"&amp;DATOS!$E17140&amp;"|"&amp;DATOS!$I17140)</f>
      </c>
      <c r="G17140">
        <f>IF(DATOS!$A17140="",0,IF(CONFIG_METADATA!$B$4&lt;&gt;"OR+EX",--(DATOS!$G17140=CONFIG_METADATA!$B$4),IF(DATOS!$G17140="EX",1,IF(DATOS!$G17140="OR",--(COUNTIFS(nNIA,DATOS!$A17140,nCURSO,DATOS!$D17140,nESPEC,DATOS!$E17140,nASIG,DATOS!$I17140,nEVAL,"EX")=0),0))))</f>
      </c>
      <c r="H17140">
        <f>IF(DATOS!$G17140&lt;&gt;"EX",0,--(COUNTIFS(nNIA,DATOS!$A17140,nCURSO,DATOS!$D17140,nESPEC,DATOS!$E17140,nASIG,DATOS!$I17140,nEVAL,"OR")=0))</f>
      </c>
      <c r="I17140">
        <f>IF(DATOS!$I17140="","",IFERROR(VLOOKUP(DATOS!$I17140,CONFIG_ASIGNATURAS!$B$2:$J$91,9,FALSE()),""))</f>
      </c>
    </row>
    <row r="17141">
      <c r="F17141">
        <f>IF(DATOS!$A17141="","",DATOS!$A17141&amp;"|"&amp;DATOS!$D17141&amp;"|"&amp;DATOS!$E17141&amp;"|"&amp;DATOS!$I17141)</f>
      </c>
      <c r="G17141">
        <f>IF(DATOS!$A17141="",0,IF(CONFIG_METADATA!$B$4&lt;&gt;"OR+EX",--(DATOS!$G17141=CONFIG_METADATA!$B$4),IF(DATOS!$G17141="EX",1,IF(DATOS!$G17141="OR",--(COUNTIFS(nNIA,DATOS!$A17141,nCURSO,DATOS!$D17141,nESPEC,DATOS!$E17141,nASIG,DATOS!$I17141,nEVAL,"EX")=0),0))))</f>
      </c>
      <c r="H17141">
        <f>IF(DATOS!$G17141&lt;&gt;"EX",0,--(COUNTIFS(nNIA,DATOS!$A17141,nCURSO,DATOS!$D17141,nESPEC,DATOS!$E17141,nASIG,DATOS!$I17141,nEVAL,"OR")=0))</f>
      </c>
      <c r="I17141">
        <f>IF(DATOS!$I17141="","",IFERROR(VLOOKUP(DATOS!$I17141,CONFIG_ASIGNATURAS!$B$2:$J$91,9,FALSE()),""))</f>
      </c>
    </row>
    <row r="17142">
      <c r="F17142">
        <f>IF(DATOS!$A17142="","",DATOS!$A17142&amp;"|"&amp;DATOS!$D17142&amp;"|"&amp;DATOS!$E17142&amp;"|"&amp;DATOS!$I17142)</f>
      </c>
      <c r="G17142">
        <f>IF(DATOS!$A17142="",0,IF(CONFIG_METADATA!$B$4&lt;&gt;"OR+EX",--(DATOS!$G17142=CONFIG_METADATA!$B$4),IF(DATOS!$G17142="EX",1,IF(DATOS!$G17142="OR",--(COUNTIFS(nNIA,DATOS!$A17142,nCURSO,DATOS!$D17142,nESPEC,DATOS!$E17142,nASIG,DATOS!$I17142,nEVAL,"EX")=0),0))))</f>
      </c>
      <c r="H17142">
        <f>IF(DATOS!$G17142&lt;&gt;"EX",0,--(COUNTIFS(nNIA,DATOS!$A17142,nCURSO,DATOS!$D17142,nESPEC,DATOS!$E17142,nASIG,DATOS!$I17142,nEVAL,"OR")=0))</f>
      </c>
      <c r="I17142">
        <f>IF(DATOS!$I17142="","",IFERROR(VLOOKUP(DATOS!$I17142,CONFIG_ASIGNATURAS!$B$2:$J$91,9,FALSE()),""))</f>
      </c>
    </row>
    <row r="17143">
      <c r="F17143">
        <f>IF(DATOS!$A17143="","",DATOS!$A17143&amp;"|"&amp;DATOS!$D17143&amp;"|"&amp;DATOS!$E17143&amp;"|"&amp;DATOS!$I17143)</f>
      </c>
      <c r="G17143">
        <f>IF(DATOS!$A17143="",0,IF(CONFIG_METADATA!$B$4&lt;&gt;"OR+EX",--(DATOS!$G17143=CONFIG_METADATA!$B$4),IF(DATOS!$G17143="EX",1,IF(DATOS!$G17143="OR",--(COUNTIFS(nNIA,DATOS!$A17143,nCURSO,DATOS!$D17143,nESPEC,DATOS!$E17143,nASIG,DATOS!$I17143,nEVAL,"EX")=0),0))))</f>
      </c>
      <c r="H17143">
        <f>IF(DATOS!$G17143&lt;&gt;"EX",0,--(COUNTIFS(nNIA,DATOS!$A17143,nCURSO,DATOS!$D17143,nESPEC,DATOS!$E17143,nASIG,DATOS!$I17143,nEVAL,"OR")=0))</f>
      </c>
      <c r="I17143">
        <f>IF(DATOS!$I17143="","",IFERROR(VLOOKUP(DATOS!$I17143,CONFIG_ASIGNATURAS!$B$2:$J$91,9,FALSE()),""))</f>
      </c>
    </row>
    <row r="17144">
      <c r="F17144">
        <f>IF(DATOS!$A17144="","",DATOS!$A17144&amp;"|"&amp;DATOS!$D17144&amp;"|"&amp;DATOS!$E17144&amp;"|"&amp;DATOS!$I17144)</f>
      </c>
      <c r="G17144">
        <f>IF(DATOS!$A17144="",0,IF(CONFIG_METADATA!$B$4&lt;&gt;"OR+EX",--(DATOS!$G17144=CONFIG_METADATA!$B$4),IF(DATOS!$G17144="EX",1,IF(DATOS!$G17144="OR",--(COUNTIFS(nNIA,DATOS!$A17144,nCURSO,DATOS!$D17144,nESPEC,DATOS!$E17144,nASIG,DATOS!$I17144,nEVAL,"EX")=0),0))))</f>
      </c>
      <c r="H17144">
        <f>IF(DATOS!$G17144&lt;&gt;"EX",0,--(COUNTIFS(nNIA,DATOS!$A17144,nCURSO,DATOS!$D17144,nESPEC,DATOS!$E17144,nASIG,DATOS!$I17144,nEVAL,"OR")=0))</f>
      </c>
      <c r="I17144">
        <f>IF(DATOS!$I17144="","",IFERROR(VLOOKUP(DATOS!$I17144,CONFIG_ASIGNATURAS!$B$2:$J$91,9,FALSE()),""))</f>
      </c>
    </row>
    <row r="17145">
      <c r="F17145">
        <f>IF(DATOS!$A17145="","",DATOS!$A17145&amp;"|"&amp;DATOS!$D17145&amp;"|"&amp;DATOS!$E17145&amp;"|"&amp;DATOS!$I17145)</f>
      </c>
      <c r="G17145">
        <f>IF(DATOS!$A17145="",0,IF(CONFIG_METADATA!$B$4&lt;&gt;"OR+EX",--(DATOS!$G17145=CONFIG_METADATA!$B$4),IF(DATOS!$G17145="EX",1,IF(DATOS!$G17145="OR",--(COUNTIFS(nNIA,DATOS!$A17145,nCURSO,DATOS!$D17145,nESPEC,DATOS!$E17145,nASIG,DATOS!$I17145,nEVAL,"EX")=0),0))))</f>
      </c>
      <c r="H17145">
        <f>IF(DATOS!$G17145&lt;&gt;"EX",0,--(COUNTIFS(nNIA,DATOS!$A17145,nCURSO,DATOS!$D17145,nESPEC,DATOS!$E17145,nASIG,DATOS!$I17145,nEVAL,"OR")=0))</f>
      </c>
      <c r="I17145">
        <f>IF(DATOS!$I17145="","",IFERROR(VLOOKUP(DATOS!$I17145,CONFIG_ASIGNATURAS!$B$2:$J$91,9,FALSE()),""))</f>
      </c>
    </row>
    <row r="17146">
      <c r="F17146">
        <f>IF(DATOS!$A17146="","",DATOS!$A17146&amp;"|"&amp;DATOS!$D17146&amp;"|"&amp;DATOS!$E17146&amp;"|"&amp;DATOS!$I17146)</f>
      </c>
      <c r="G17146">
        <f>IF(DATOS!$A17146="",0,IF(CONFIG_METADATA!$B$4&lt;&gt;"OR+EX",--(DATOS!$G17146=CONFIG_METADATA!$B$4),IF(DATOS!$G17146="EX",1,IF(DATOS!$G17146="OR",--(COUNTIFS(nNIA,DATOS!$A17146,nCURSO,DATOS!$D17146,nESPEC,DATOS!$E17146,nASIG,DATOS!$I17146,nEVAL,"EX")=0),0))))</f>
      </c>
      <c r="H17146">
        <f>IF(DATOS!$G17146&lt;&gt;"EX",0,--(COUNTIFS(nNIA,DATOS!$A17146,nCURSO,DATOS!$D17146,nESPEC,DATOS!$E17146,nASIG,DATOS!$I17146,nEVAL,"OR")=0))</f>
      </c>
      <c r="I17146">
        <f>IF(DATOS!$I17146="","",IFERROR(VLOOKUP(DATOS!$I17146,CONFIG_ASIGNATURAS!$B$2:$J$91,9,FALSE()),""))</f>
      </c>
    </row>
    <row r="17147">
      <c r="F17147">
        <f>IF(DATOS!$A17147="","",DATOS!$A17147&amp;"|"&amp;DATOS!$D17147&amp;"|"&amp;DATOS!$E17147&amp;"|"&amp;DATOS!$I17147)</f>
      </c>
      <c r="G17147">
        <f>IF(DATOS!$A17147="",0,IF(CONFIG_METADATA!$B$4&lt;&gt;"OR+EX",--(DATOS!$G17147=CONFIG_METADATA!$B$4),IF(DATOS!$G17147="EX",1,IF(DATOS!$G17147="OR",--(COUNTIFS(nNIA,DATOS!$A17147,nCURSO,DATOS!$D17147,nESPEC,DATOS!$E17147,nASIG,DATOS!$I17147,nEVAL,"EX")=0),0))))</f>
      </c>
      <c r="H17147">
        <f>IF(DATOS!$G17147&lt;&gt;"EX",0,--(COUNTIFS(nNIA,DATOS!$A17147,nCURSO,DATOS!$D17147,nESPEC,DATOS!$E17147,nASIG,DATOS!$I17147,nEVAL,"OR")=0))</f>
      </c>
      <c r="I17147">
        <f>IF(DATOS!$I17147="","",IFERROR(VLOOKUP(DATOS!$I17147,CONFIG_ASIGNATURAS!$B$2:$J$91,9,FALSE()),""))</f>
      </c>
    </row>
    <row r="17148">
      <c r="F17148">
        <f>IF(DATOS!$A17148="","",DATOS!$A17148&amp;"|"&amp;DATOS!$D17148&amp;"|"&amp;DATOS!$E17148&amp;"|"&amp;DATOS!$I17148)</f>
      </c>
      <c r="G17148">
        <f>IF(DATOS!$A17148="",0,IF(CONFIG_METADATA!$B$4&lt;&gt;"OR+EX",--(DATOS!$G17148=CONFIG_METADATA!$B$4),IF(DATOS!$G17148="EX",1,IF(DATOS!$G17148="OR",--(COUNTIFS(nNIA,DATOS!$A17148,nCURSO,DATOS!$D17148,nESPEC,DATOS!$E17148,nASIG,DATOS!$I17148,nEVAL,"EX")=0),0))))</f>
      </c>
      <c r="H17148">
        <f>IF(DATOS!$G17148&lt;&gt;"EX",0,--(COUNTIFS(nNIA,DATOS!$A17148,nCURSO,DATOS!$D17148,nESPEC,DATOS!$E17148,nASIG,DATOS!$I17148,nEVAL,"OR")=0))</f>
      </c>
      <c r="I17148">
        <f>IF(DATOS!$I17148="","",IFERROR(VLOOKUP(DATOS!$I17148,CONFIG_ASIGNATURAS!$B$2:$J$91,9,FALSE()),""))</f>
      </c>
    </row>
    <row r="17149">
      <c r="F17149">
        <f>IF(DATOS!$A17149="","",DATOS!$A17149&amp;"|"&amp;DATOS!$D17149&amp;"|"&amp;DATOS!$E17149&amp;"|"&amp;DATOS!$I17149)</f>
      </c>
      <c r="G17149">
        <f>IF(DATOS!$A17149="",0,IF(CONFIG_METADATA!$B$4&lt;&gt;"OR+EX",--(DATOS!$G17149=CONFIG_METADATA!$B$4),IF(DATOS!$G17149="EX",1,IF(DATOS!$G17149="OR",--(COUNTIFS(nNIA,DATOS!$A17149,nCURSO,DATOS!$D17149,nESPEC,DATOS!$E17149,nASIG,DATOS!$I17149,nEVAL,"EX")=0),0))))</f>
      </c>
      <c r="H17149">
        <f>IF(DATOS!$G17149&lt;&gt;"EX",0,--(COUNTIFS(nNIA,DATOS!$A17149,nCURSO,DATOS!$D17149,nESPEC,DATOS!$E17149,nASIG,DATOS!$I17149,nEVAL,"OR")=0))</f>
      </c>
      <c r="I17149">
        <f>IF(DATOS!$I17149="","",IFERROR(VLOOKUP(DATOS!$I17149,CONFIG_ASIGNATURAS!$B$2:$J$91,9,FALSE()),""))</f>
      </c>
    </row>
    <row r="17150">
      <c r="F17150">
        <f>IF(DATOS!$A17150="","",DATOS!$A17150&amp;"|"&amp;DATOS!$D17150&amp;"|"&amp;DATOS!$E17150&amp;"|"&amp;DATOS!$I17150)</f>
      </c>
      <c r="G17150">
        <f>IF(DATOS!$A17150="",0,IF(CONFIG_METADATA!$B$4&lt;&gt;"OR+EX",--(DATOS!$G17150=CONFIG_METADATA!$B$4),IF(DATOS!$G17150="EX",1,IF(DATOS!$G17150="OR",--(COUNTIFS(nNIA,DATOS!$A17150,nCURSO,DATOS!$D17150,nESPEC,DATOS!$E17150,nASIG,DATOS!$I17150,nEVAL,"EX")=0),0))))</f>
      </c>
      <c r="H17150">
        <f>IF(DATOS!$G17150&lt;&gt;"EX",0,--(COUNTIFS(nNIA,DATOS!$A17150,nCURSO,DATOS!$D17150,nESPEC,DATOS!$E17150,nASIG,DATOS!$I17150,nEVAL,"OR")=0))</f>
      </c>
      <c r="I17150">
        <f>IF(DATOS!$I17150="","",IFERROR(VLOOKUP(DATOS!$I17150,CONFIG_ASIGNATURAS!$B$2:$J$91,9,FALSE()),""))</f>
      </c>
    </row>
    <row r="17151">
      <c r="F17151">
        <f>IF(DATOS!$A17151="","",DATOS!$A17151&amp;"|"&amp;DATOS!$D17151&amp;"|"&amp;DATOS!$E17151&amp;"|"&amp;DATOS!$I17151)</f>
      </c>
      <c r="G17151">
        <f>IF(DATOS!$A17151="",0,IF(CONFIG_METADATA!$B$4&lt;&gt;"OR+EX",--(DATOS!$G17151=CONFIG_METADATA!$B$4),IF(DATOS!$G17151="EX",1,IF(DATOS!$G17151="OR",--(COUNTIFS(nNIA,DATOS!$A17151,nCURSO,DATOS!$D17151,nESPEC,DATOS!$E17151,nASIG,DATOS!$I17151,nEVAL,"EX")=0),0))))</f>
      </c>
      <c r="H17151">
        <f>IF(DATOS!$G17151&lt;&gt;"EX",0,--(COUNTIFS(nNIA,DATOS!$A17151,nCURSO,DATOS!$D17151,nESPEC,DATOS!$E17151,nASIG,DATOS!$I17151,nEVAL,"OR")=0))</f>
      </c>
      <c r="I17151">
        <f>IF(DATOS!$I17151="","",IFERROR(VLOOKUP(DATOS!$I17151,CONFIG_ASIGNATURAS!$B$2:$J$91,9,FALSE()),""))</f>
      </c>
    </row>
    <row r="17152">
      <c r="F17152">
        <f>IF(DATOS!$A17152="","",DATOS!$A17152&amp;"|"&amp;DATOS!$D17152&amp;"|"&amp;DATOS!$E17152&amp;"|"&amp;DATOS!$I17152)</f>
      </c>
      <c r="G17152">
        <f>IF(DATOS!$A17152="",0,IF(CONFIG_METADATA!$B$4&lt;&gt;"OR+EX",--(DATOS!$G17152=CONFIG_METADATA!$B$4),IF(DATOS!$G17152="EX",1,IF(DATOS!$G17152="OR",--(COUNTIFS(nNIA,DATOS!$A17152,nCURSO,DATOS!$D17152,nESPEC,DATOS!$E17152,nASIG,DATOS!$I17152,nEVAL,"EX")=0),0))))</f>
      </c>
      <c r="H17152">
        <f>IF(DATOS!$G17152&lt;&gt;"EX",0,--(COUNTIFS(nNIA,DATOS!$A17152,nCURSO,DATOS!$D17152,nESPEC,DATOS!$E17152,nASIG,DATOS!$I17152,nEVAL,"OR")=0))</f>
      </c>
      <c r="I17152">
        <f>IF(DATOS!$I17152="","",IFERROR(VLOOKUP(DATOS!$I17152,CONFIG_ASIGNATURAS!$B$2:$J$91,9,FALSE()),""))</f>
      </c>
    </row>
    <row r="17153">
      <c r="F17153">
        <f>IF(DATOS!$A17153="","",DATOS!$A17153&amp;"|"&amp;DATOS!$D17153&amp;"|"&amp;DATOS!$E17153&amp;"|"&amp;DATOS!$I17153)</f>
      </c>
      <c r="G17153">
        <f>IF(DATOS!$A17153="",0,IF(CONFIG_METADATA!$B$4&lt;&gt;"OR+EX",--(DATOS!$G17153=CONFIG_METADATA!$B$4),IF(DATOS!$G17153="EX",1,IF(DATOS!$G17153="OR",--(COUNTIFS(nNIA,DATOS!$A17153,nCURSO,DATOS!$D17153,nESPEC,DATOS!$E17153,nASIG,DATOS!$I17153,nEVAL,"EX")=0),0))))</f>
      </c>
      <c r="H17153">
        <f>IF(DATOS!$G17153&lt;&gt;"EX",0,--(COUNTIFS(nNIA,DATOS!$A17153,nCURSO,DATOS!$D17153,nESPEC,DATOS!$E17153,nASIG,DATOS!$I17153,nEVAL,"OR")=0))</f>
      </c>
      <c r="I17153">
        <f>IF(DATOS!$I17153="","",IFERROR(VLOOKUP(DATOS!$I17153,CONFIG_ASIGNATURAS!$B$2:$J$91,9,FALSE()),""))</f>
      </c>
    </row>
    <row r="17154">
      <c r="F17154">
        <f>IF(DATOS!$A17154="","",DATOS!$A17154&amp;"|"&amp;DATOS!$D17154&amp;"|"&amp;DATOS!$E17154&amp;"|"&amp;DATOS!$I17154)</f>
      </c>
      <c r="G17154">
        <f>IF(DATOS!$A17154="",0,IF(CONFIG_METADATA!$B$4&lt;&gt;"OR+EX",--(DATOS!$G17154=CONFIG_METADATA!$B$4),IF(DATOS!$G17154="EX",1,IF(DATOS!$G17154="OR",--(COUNTIFS(nNIA,DATOS!$A17154,nCURSO,DATOS!$D17154,nESPEC,DATOS!$E17154,nASIG,DATOS!$I17154,nEVAL,"EX")=0),0))))</f>
      </c>
      <c r="H17154">
        <f>IF(DATOS!$G17154&lt;&gt;"EX",0,--(COUNTIFS(nNIA,DATOS!$A17154,nCURSO,DATOS!$D17154,nESPEC,DATOS!$E17154,nASIG,DATOS!$I17154,nEVAL,"OR")=0))</f>
      </c>
      <c r="I17154">
        <f>IF(DATOS!$I17154="","",IFERROR(VLOOKUP(DATOS!$I17154,CONFIG_ASIGNATURAS!$B$2:$J$91,9,FALSE()),""))</f>
      </c>
    </row>
    <row r="17155">
      <c r="F17155">
        <f>IF(DATOS!$A17155="","",DATOS!$A17155&amp;"|"&amp;DATOS!$D17155&amp;"|"&amp;DATOS!$E17155&amp;"|"&amp;DATOS!$I17155)</f>
      </c>
      <c r="G17155">
        <f>IF(DATOS!$A17155="",0,IF(CONFIG_METADATA!$B$4&lt;&gt;"OR+EX",--(DATOS!$G17155=CONFIG_METADATA!$B$4),IF(DATOS!$G17155="EX",1,IF(DATOS!$G17155="OR",--(COUNTIFS(nNIA,DATOS!$A17155,nCURSO,DATOS!$D17155,nESPEC,DATOS!$E17155,nASIG,DATOS!$I17155,nEVAL,"EX")=0),0))))</f>
      </c>
      <c r="H17155">
        <f>IF(DATOS!$G17155&lt;&gt;"EX",0,--(COUNTIFS(nNIA,DATOS!$A17155,nCURSO,DATOS!$D17155,nESPEC,DATOS!$E17155,nASIG,DATOS!$I17155,nEVAL,"OR")=0))</f>
      </c>
      <c r="I17155">
        <f>IF(DATOS!$I17155="","",IFERROR(VLOOKUP(DATOS!$I17155,CONFIG_ASIGNATURAS!$B$2:$J$91,9,FALSE()),""))</f>
      </c>
    </row>
    <row r="17156">
      <c r="F17156">
        <f>IF(DATOS!$A17156="","",DATOS!$A17156&amp;"|"&amp;DATOS!$D17156&amp;"|"&amp;DATOS!$E17156&amp;"|"&amp;DATOS!$I17156)</f>
      </c>
      <c r="G17156">
        <f>IF(DATOS!$A17156="",0,IF(CONFIG_METADATA!$B$4&lt;&gt;"OR+EX",--(DATOS!$G17156=CONFIG_METADATA!$B$4),IF(DATOS!$G17156="EX",1,IF(DATOS!$G17156="OR",--(COUNTIFS(nNIA,DATOS!$A17156,nCURSO,DATOS!$D17156,nESPEC,DATOS!$E17156,nASIG,DATOS!$I17156,nEVAL,"EX")=0),0))))</f>
      </c>
      <c r="H17156">
        <f>IF(DATOS!$G17156&lt;&gt;"EX",0,--(COUNTIFS(nNIA,DATOS!$A17156,nCURSO,DATOS!$D17156,nESPEC,DATOS!$E17156,nASIG,DATOS!$I17156,nEVAL,"OR")=0))</f>
      </c>
      <c r="I17156">
        <f>IF(DATOS!$I17156="","",IFERROR(VLOOKUP(DATOS!$I17156,CONFIG_ASIGNATURAS!$B$2:$J$91,9,FALSE()),""))</f>
      </c>
    </row>
    <row r="17157">
      <c r="F17157">
        <f>IF(DATOS!$A17157="","",DATOS!$A17157&amp;"|"&amp;DATOS!$D17157&amp;"|"&amp;DATOS!$E17157&amp;"|"&amp;DATOS!$I17157)</f>
      </c>
      <c r="G17157">
        <f>IF(DATOS!$A17157="",0,IF(CONFIG_METADATA!$B$4&lt;&gt;"OR+EX",--(DATOS!$G17157=CONFIG_METADATA!$B$4),IF(DATOS!$G17157="EX",1,IF(DATOS!$G17157="OR",--(COUNTIFS(nNIA,DATOS!$A17157,nCURSO,DATOS!$D17157,nESPEC,DATOS!$E17157,nASIG,DATOS!$I17157,nEVAL,"EX")=0),0))))</f>
      </c>
      <c r="H17157">
        <f>IF(DATOS!$G17157&lt;&gt;"EX",0,--(COUNTIFS(nNIA,DATOS!$A17157,nCURSO,DATOS!$D17157,nESPEC,DATOS!$E17157,nASIG,DATOS!$I17157,nEVAL,"OR")=0))</f>
      </c>
      <c r="I17157">
        <f>IF(DATOS!$I17157="","",IFERROR(VLOOKUP(DATOS!$I17157,CONFIG_ASIGNATURAS!$B$2:$J$91,9,FALSE()),""))</f>
      </c>
    </row>
    <row r="17158">
      <c r="F17158">
        <f>IF(DATOS!$A17158="","",DATOS!$A17158&amp;"|"&amp;DATOS!$D17158&amp;"|"&amp;DATOS!$E17158&amp;"|"&amp;DATOS!$I17158)</f>
      </c>
      <c r="G17158">
        <f>IF(DATOS!$A17158="",0,IF(CONFIG_METADATA!$B$4&lt;&gt;"OR+EX",--(DATOS!$G17158=CONFIG_METADATA!$B$4),IF(DATOS!$G17158="EX",1,IF(DATOS!$G17158="OR",--(COUNTIFS(nNIA,DATOS!$A17158,nCURSO,DATOS!$D17158,nESPEC,DATOS!$E17158,nASIG,DATOS!$I17158,nEVAL,"EX")=0),0))))</f>
      </c>
      <c r="H17158">
        <f>IF(DATOS!$G17158&lt;&gt;"EX",0,--(COUNTIFS(nNIA,DATOS!$A17158,nCURSO,DATOS!$D17158,nESPEC,DATOS!$E17158,nASIG,DATOS!$I17158,nEVAL,"OR")=0))</f>
      </c>
      <c r="I17158">
        <f>IF(DATOS!$I17158="","",IFERROR(VLOOKUP(DATOS!$I17158,CONFIG_ASIGNATURAS!$B$2:$J$91,9,FALSE()),""))</f>
      </c>
    </row>
    <row r="17159">
      <c r="F17159">
        <f>IF(DATOS!$A17159="","",DATOS!$A17159&amp;"|"&amp;DATOS!$D17159&amp;"|"&amp;DATOS!$E17159&amp;"|"&amp;DATOS!$I17159)</f>
      </c>
      <c r="G17159">
        <f>IF(DATOS!$A17159="",0,IF(CONFIG_METADATA!$B$4&lt;&gt;"OR+EX",--(DATOS!$G17159=CONFIG_METADATA!$B$4),IF(DATOS!$G17159="EX",1,IF(DATOS!$G17159="OR",--(COUNTIFS(nNIA,DATOS!$A17159,nCURSO,DATOS!$D17159,nESPEC,DATOS!$E17159,nASIG,DATOS!$I17159,nEVAL,"EX")=0),0))))</f>
      </c>
      <c r="H17159">
        <f>IF(DATOS!$G17159&lt;&gt;"EX",0,--(COUNTIFS(nNIA,DATOS!$A17159,nCURSO,DATOS!$D17159,nESPEC,DATOS!$E17159,nASIG,DATOS!$I17159,nEVAL,"OR")=0))</f>
      </c>
      <c r="I17159">
        <f>IF(DATOS!$I17159="","",IFERROR(VLOOKUP(DATOS!$I17159,CONFIG_ASIGNATURAS!$B$2:$J$91,9,FALSE()),""))</f>
      </c>
    </row>
    <row r="17160">
      <c r="F17160">
        <f>IF(DATOS!$A17160="","",DATOS!$A17160&amp;"|"&amp;DATOS!$D17160&amp;"|"&amp;DATOS!$E17160&amp;"|"&amp;DATOS!$I17160)</f>
      </c>
      <c r="G17160">
        <f>IF(DATOS!$A17160="",0,IF(CONFIG_METADATA!$B$4&lt;&gt;"OR+EX",--(DATOS!$G17160=CONFIG_METADATA!$B$4),IF(DATOS!$G17160="EX",1,IF(DATOS!$G17160="OR",--(COUNTIFS(nNIA,DATOS!$A17160,nCURSO,DATOS!$D17160,nESPEC,DATOS!$E17160,nASIG,DATOS!$I17160,nEVAL,"EX")=0),0))))</f>
      </c>
      <c r="H17160">
        <f>IF(DATOS!$G17160&lt;&gt;"EX",0,--(COUNTIFS(nNIA,DATOS!$A17160,nCURSO,DATOS!$D17160,nESPEC,DATOS!$E17160,nASIG,DATOS!$I17160,nEVAL,"OR")=0))</f>
      </c>
      <c r="I17160">
        <f>IF(DATOS!$I17160="","",IFERROR(VLOOKUP(DATOS!$I17160,CONFIG_ASIGNATURAS!$B$2:$J$91,9,FALSE()),""))</f>
      </c>
    </row>
    <row r="17161">
      <c r="F17161">
        <f>IF(DATOS!$A17161="","",DATOS!$A17161&amp;"|"&amp;DATOS!$D17161&amp;"|"&amp;DATOS!$E17161&amp;"|"&amp;DATOS!$I17161)</f>
      </c>
      <c r="G17161">
        <f>IF(DATOS!$A17161="",0,IF(CONFIG_METADATA!$B$4&lt;&gt;"OR+EX",--(DATOS!$G17161=CONFIG_METADATA!$B$4),IF(DATOS!$G17161="EX",1,IF(DATOS!$G17161="OR",--(COUNTIFS(nNIA,DATOS!$A17161,nCURSO,DATOS!$D17161,nESPEC,DATOS!$E17161,nASIG,DATOS!$I17161,nEVAL,"EX")=0),0))))</f>
      </c>
      <c r="H17161">
        <f>IF(DATOS!$G17161&lt;&gt;"EX",0,--(COUNTIFS(nNIA,DATOS!$A17161,nCURSO,DATOS!$D17161,nESPEC,DATOS!$E17161,nASIG,DATOS!$I17161,nEVAL,"OR")=0))</f>
      </c>
      <c r="I17161">
        <f>IF(DATOS!$I17161="","",IFERROR(VLOOKUP(DATOS!$I17161,CONFIG_ASIGNATURAS!$B$2:$J$91,9,FALSE()),""))</f>
      </c>
    </row>
    <row r="17162">
      <c r="F17162">
        <f>IF(DATOS!$A17162="","",DATOS!$A17162&amp;"|"&amp;DATOS!$D17162&amp;"|"&amp;DATOS!$E17162&amp;"|"&amp;DATOS!$I17162)</f>
      </c>
      <c r="G17162">
        <f>IF(DATOS!$A17162="",0,IF(CONFIG_METADATA!$B$4&lt;&gt;"OR+EX",--(DATOS!$G17162=CONFIG_METADATA!$B$4),IF(DATOS!$G17162="EX",1,IF(DATOS!$G17162="OR",--(COUNTIFS(nNIA,DATOS!$A17162,nCURSO,DATOS!$D17162,nESPEC,DATOS!$E17162,nASIG,DATOS!$I17162,nEVAL,"EX")=0),0))))</f>
      </c>
      <c r="H17162">
        <f>IF(DATOS!$G17162&lt;&gt;"EX",0,--(COUNTIFS(nNIA,DATOS!$A17162,nCURSO,DATOS!$D17162,nESPEC,DATOS!$E17162,nASIG,DATOS!$I17162,nEVAL,"OR")=0))</f>
      </c>
      <c r="I17162">
        <f>IF(DATOS!$I17162="","",IFERROR(VLOOKUP(DATOS!$I17162,CONFIG_ASIGNATURAS!$B$2:$J$91,9,FALSE()),""))</f>
      </c>
    </row>
    <row r="17163">
      <c r="F17163">
        <f>IF(DATOS!$A17163="","",DATOS!$A17163&amp;"|"&amp;DATOS!$D17163&amp;"|"&amp;DATOS!$E17163&amp;"|"&amp;DATOS!$I17163)</f>
      </c>
      <c r="G17163">
        <f>IF(DATOS!$A17163="",0,IF(CONFIG_METADATA!$B$4&lt;&gt;"OR+EX",--(DATOS!$G17163=CONFIG_METADATA!$B$4),IF(DATOS!$G17163="EX",1,IF(DATOS!$G17163="OR",--(COUNTIFS(nNIA,DATOS!$A17163,nCURSO,DATOS!$D17163,nESPEC,DATOS!$E17163,nASIG,DATOS!$I17163,nEVAL,"EX")=0),0))))</f>
      </c>
      <c r="H17163">
        <f>IF(DATOS!$G17163&lt;&gt;"EX",0,--(COUNTIFS(nNIA,DATOS!$A17163,nCURSO,DATOS!$D17163,nESPEC,DATOS!$E17163,nASIG,DATOS!$I17163,nEVAL,"OR")=0))</f>
      </c>
      <c r="I17163">
        <f>IF(DATOS!$I17163="","",IFERROR(VLOOKUP(DATOS!$I17163,CONFIG_ASIGNATURAS!$B$2:$J$91,9,FALSE()),""))</f>
      </c>
    </row>
    <row r="17164">
      <c r="F17164">
        <f>IF(DATOS!$A17164="","",DATOS!$A17164&amp;"|"&amp;DATOS!$D17164&amp;"|"&amp;DATOS!$E17164&amp;"|"&amp;DATOS!$I17164)</f>
      </c>
      <c r="G17164">
        <f>IF(DATOS!$A17164="",0,IF(CONFIG_METADATA!$B$4&lt;&gt;"OR+EX",--(DATOS!$G17164=CONFIG_METADATA!$B$4),IF(DATOS!$G17164="EX",1,IF(DATOS!$G17164="OR",--(COUNTIFS(nNIA,DATOS!$A17164,nCURSO,DATOS!$D17164,nESPEC,DATOS!$E17164,nASIG,DATOS!$I17164,nEVAL,"EX")=0),0))))</f>
      </c>
      <c r="H17164">
        <f>IF(DATOS!$G17164&lt;&gt;"EX",0,--(COUNTIFS(nNIA,DATOS!$A17164,nCURSO,DATOS!$D17164,nESPEC,DATOS!$E17164,nASIG,DATOS!$I17164,nEVAL,"OR")=0))</f>
      </c>
      <c r="I17164">
        <f>IF(DATOS!$I17164="","",IFERROR(VLOOKUP(DATOS!$I17164,CONFIG_ASIGNATURAS!$B$2:$J$91,9,FALSE()),""))</f>
      </c>
    </row>
    <row r="17165">
      <c r="F17165">
        <f>IF(DATOS!$A17165="","",DATOS!$A17165&amp;"|"&amp;DATOS!$D17165&amp;"|"&amp;DATOS!$E17165&amp;"|"&amp;DATOS!$I17165)</f>
      </c>
      <c r="G17165">
        <f>IF(DATOS!$A17165="",0,IF(CONFIG_METADATA!$B$4&lt;&gt;"OR+EX",--(DATOS!$G17165=CONFIG_METADATA!$B$4),IF(DATOS!$G17165="EX",1,IF(DATOS!$G17165="OR",--(COUNTIFS(nNIA,DATOS!$A17165,nCURSO,DATOS!$D17165,nESPEC,DATOS!$E17165,nASIG,DATOS!$I17165,nEVAL,"EX")=0),0))))</f>
      </c>
      <c r="H17165">
        <f>IF(DATOS!$G17165&lt;&gt;"EX",0,--(COUNTIFS(nNIA,DATOS!$A17165,nCURSO,DATOS!$D17165,nESPEC,DATOS!$E17165,nASIG,DATOS!$I17165,nEVAL,"OR")=0))</f>
      </c>
      <c r="I17165">
        <f>IF(DATOS!$I17165="","",IFERROR(VLOOKUP(DATOS!$I17165,CONFIG_ASIGNATURAS!$B$2:$J$91,9,FALSE()),""))</f>
      </c>
    </row>
    <row r="17166">
      <c r="F17166">
        <f>IF(DATOS!$A17166="","",DATOS!$A17166&amp;"|"&amp;DATOS!$D17166&amp;"|"&amp;DATOS!$E17166&amp;"|"&amp;DATOS!$I17166)</f>
      </c>
      <c r="G17166">
        <f>IF(DATOS!$A17166="",0,IF(CONFIG_METADATA!$B$4&lt;&gt;"OR+EX",--(DATOS!$G17166=CONFIG_METADATA!$B$4),IF(DATOS!$G17166="EX",1,IF(DATOS!$G17166="OR",--(COUNTIFS(nNIA,DATOS!$A17166,nCURSO,DATOS!$D17166,nESPEC,DATOS!$E17166,nASIG,DATOS!$I17166,nEVAL,"EX")=0),0))))</f>
      </c>
      <c r="H17166">
        <f>IF(DATOS!$G17166&lt;&gt;"EX",0,--(COUNTIFS(nNIA,DATOS!$A17166,nCURSO,DATOS!$D17166,nESPEC,DATOS!$E17166,nASIG,DATOS!$I17166,nEVAL,"OR")=0))</f>
      </c>
      <c r="I17166">
        <f>IF(DATOS!$I17166="","",IFERROR(VLOOKUP(DATOS!$I17166,CONFIG_ASIGNATURAS!$B$2:$J$91,9,FALSE()),""))</f>
      </c>
    </row>
    <row r="17167">
      <c r="F17167">
        <f>IF(DATOS!$A17167="","",DATOS!$A17167&amp;"|"&amp;DATOS!$D17167&amp;"|"&amp;DATOS!$E17167&amp;"|"&amp;DATOS!$I17167)</f>
      </c>
      <c r="G17167">
        <f>IF(DATOS!$A17167="",0,IF(CONFIG_METADATA!$B$4&lt;&gt;"OR+EX",--(DATOS!$G17167=CONFIG_METADATA!$B$4),IF(DATOS!$G17167="EX",1,IF(DATOS!$G17167="OR",--(COUNTIFS(nNIA,DATOS!$A17167,nCURSO,DATOS!$D17167,nESPEC,DATOS!$E17167,nASIG,DATOS!$I17167,nEVAL,"EX")=0),0))))</f>
      </c>
      <c r="H17167">
        <f>IF(DATOS!$G17167&lt;&gt;"EX",0,--(COUNTIFS(nNIA,DATOS!$A17167,nCURSO,DATOS!$D17167,nESPEC,DATOS!$E17167,nASIG,DATOS!$I17167,nEVAL,"OR")=0))</f>
      </c>
      <c r="I17167">
        <f>IF(DATOS!$I17167="","",IFERROR(VLOOKUP(DATOS!$I17167,CONFIG_ASIGNATURAS!$B$2:$J$91,9,FALSE()),""))</f>
      </c>
    </row>
    <row r="17168">
      <c r="F17168">
        <f>IF(DATOS!$A17168="","",DATOS!$A17168&amp;"|"&amp;DATOS!$D17168&amp;"|"&amp;DATOS!$E17168&amp;"|"&amp;DATOS!$I17168)</f>
      </c>
      <c r="G17168">
        <f>IF(DATOS!$A17168="",0,IF(CONFIG_METADATA!$B$4&lt;&gt;"OR+EX",--(DATOS!$G17168=CONFIG_METADATA!$B$4),IF(DATOS!$G17168="EX",1,IF(DATOS!$G17168="OR",--(COUNTIFS(nNIA,DATOS!$A17168,nCURSO,DATOS!$D17168,nESPEC,DATOS!$E17168,nASIG,DATOS!$I17168,nEVAL,"EX")=0),0))))</f>
      </c>
      <c r="H17168">
        <f>IF(DATOS!$G17168&lt;&gt;"EX",0,--(COUNTIFS(nNIA,DATOS!$A17168,nCURSO,DATOS!$D17168,nESPEC,DATOS!$E17168,nASIG,DATOS!$I17168,nEVAL,"OR")=0))</f>
      </c>
      <c r="I17168">
        <f>IF(DATOS!$I17168="","",IFERROR(VLOOKUP(DATOS!$I17168,CONFIG_ASIGNATURAS!$B$2:$J$91,9,FALSE()),""))</f>
      </c>
    </row>
    <row r="17169">
      <c r="F17169">
        <f>IF(DATOS!$A17169="","",DATOS!$A17169&amp;"|"&amp;DATOS!$D17169&amp;"|"&amp;DATOS!$E17169&amp;"|"&amp;DATOS!$I17169)</f>
      </c>
      <c r="G17169">
        <f>IF(DATOS!$A17169="",0,IF(CONFIG_METADATA!$B$4&lt;&gt;"OR+EX",--(DATOS!$G17169=CONFIG_METADATA!$B$4),IF(DATOS!$G17169="EX",1,IF(DATOS!$G17169="OR",--(COUNTIFS(nNIA,DATOS!$A17169,nCURSO,DATOS!$D17169,nESPEC,DATOS!$E17169,nASIG,DATOS!$I17169,nEVAL,"EX")=0),0))))</f>
      </c>
      <c r="H17169">
        <f>IF(DATOS!$G17169&lt;&gt;"EX",0,--(COUNTIFS(nNIA,DATOS!$A17169,nCURSO,DATOS!$D17169,nESPEC,DATOS!$E17169,nASIG,DATOS!$I17169,nEVAL,"OR")=0))</f>
      </c>
      <c r="I17169">
        <f>IF(DATOS!$I17169="","",IFERROR(VLOOKUP(DATOS!$I17169,CONFIG_ASIGNATURAS!$B$2:$J$91,9,FALSE()),""))</f>
      </c>
    </row>
    <row r="17170">
      <c r="F17170">
        <f>IF(DATOS!$A17170="","",DATOS!$A17170&amp;"|"&amp;DATOS!$D17170&amp;"|"&amp;DATOS!$E17170&amp;"|"&amp;DATOS!$I17170)</f>
      </c>
      <c r="G17170">
        <f>IF(DATOS!$A17170="",0,IF(CONFIG_METADATA!$B$4&lt;&gt;"OR+EX",--(DATOS!$G17170=CONFIG_METADATA!$B$4),IF(DATOS!$G17170="EX",1,IF(DATOS!$G17170="OR",--(COUNTIFS(nNIA,DATOS!$A17170,nCURSO,DATOS!$D17170,nESPEC,DATOS!$E17170,nASIG,DATOS!$I17170,nEVAL,"EX")=0),0))))</f>
      </c>
      <c r="H17170">
        <f>IF(DATOS!$G17170&lt;&gt;"EX",0,--(COUNTIFS(nNIA,DATOS!$A17170,nCURSO,DATOS!$D17170,nESPEC,DATOS!$E17170,nASIG,DATOS!$I17170,nEVAL,"OR")=0))</f>
      </c>
      <c r="I17170">
        <f>IF(DATOS!$I17170="","",IFERROR(VLOOKUP(DATOS!$I17170,CONFIG_ASIGNATURAS!$B$2:$J$91,9,FALSE()),""))</f>
      </c>
    </row>
    <row r="17171">
      <c r="F17171">
        <f>IF(DATOS!$A17171="","",DATOS!$A17171&amp;"|"&amp;DATOS!$D17171&amp;"|"&amp;DATOS!$E17171&amp;"|"&amp;DATOS!$I17171)</f>
      </c>
      <c r="G17171">
        <f>IF(DATOS!$A17171="",0,IF(CONFIG_METADATA!$B$4&lt;&gt;"OR+EX",--(DATOS!$G17171=CONFIG_METADATA!$B$4),IF(DATOS!$G17171="EX",1,IF(DATOS!$G17171="OR",--(COUNTIFS(nNIA,DATOS!$A17171,nCURSO,DATOS!$D17171,nESPEC,DATOS!$E17171,nASIG,DATOS!$I17171,nEVAL,"EX")=0),0))))</f>
      </c>
      <c r="H17171">
        <f>IF(DATOS!$G17171&lt;&gt;"EX",0,--(COUNTIFS(nNIA,DATOS!$A17171,nCURSO,DATOS!$D17171,nESPEC,DATOS!$E17171,nASIG,DATOS!$I17171,nEVAL,"OR")=0))</f>
      </c>
      <c r="I17171">
        <f>IF(DATOS!$I17171="","",IFERROR(VLOOKUP(DATOS!$I17171,CONFIG_ASIGNATURAS!$B$2:$J$91,9,FALSE()),""))</f>
      </c>
    </row>
    <row r="17172">
      <c r="F17172">
        <f>IF(DATOS!$A17172="","",DATOS!$A17172&amp;"|"&amp;DATOS!$D17172&amp;"|"&amp;DATOS!$E17172&amp;"|"&amp;DATOS!$I17172)</f>
      </c>
      <c r="G17172">
        <f>IF(DATOS!$A17172="",0,IF(CONFIG_METADATA!$B$4&lt;&gt;"OR+EX",--(DATOS!$G17172=CONFIG_METADATA!$B$4),IF(DATOS!$G17172="EX",1,IF(DATOS!$G17172="OR",--(COUNTIFS(nNIA,DATOS!$A17172,nCURSO,DATOS!$D17172,nESPEC,DATOS!$E17172,nASIG,DATOS!$I17172,nEVAL,"EX")=0),0))))</f>
      </c>
      <c r="H17172">
        <f>IF(DATOS!$G17172&lt;&gt;"EX",0,--(COUNTIFS(nNIA,DATOS!$A17172,nCURSO,DATOS!$D17172,nESPEC,DATOS!$E17172,nASIG,DATOS!$I17172,nEVAL,"OR")=0))</f>
      </c>
      <c r="I17172">
        <f>IF(DATOS!$I17172="","",IFERROR(VLOOKUP(DATOS!$I17172,CONFIG_ASIGNATURAS!$B$2:$J$91,9,FALSE()),""))</f>
      </c>
    </row>
    <row r="17173">
      <c r="F17173">
        <f>IF(DATOS!$A17173="","",DATOS!$A17173&amp;"|"&amp;DATOS!$D17173&amp;"|"&amp;DATOS!$E17173&amp;"|"&amp;DATOS!$I17173)</f>
      </c>
      <c r="G17173">
        <f>IF(DATOS!$A17173="",0,IF(CONFIG_METADATA!$B$4&lt;&gt;"OR+EX",--(DATOS!$G17173=CONFIG_METADATA!$B$4),IF(DATOS!$G17173="EX",1,IF(DATOS!$G17173="OR",--(COUNTIFS(nNIA,DATOS!$A17173,nCURSO,DATOS!$D17173,nESPEC,DATOS!$E17173,nASIG,DATOS!$I17173,nEVAL,"EX")=0),0))))</f>
      </c>
      <c r="H17173">
        <f>IF(DATOS!$G17173&lt;&gt;"EX",0,--(COUNTIFS(nNIA,DATOS!$A17173,nCURSO,DATOS!$D17173,nESPEC,DATOS!$E17173,nASIG,DATOS!$I17173,nEVAL,"OR")=0))</f>
      </c>
      <c r="I17173">
        <f>IF(DATOS!$I17173="","",IFERROR(VLOOKUP(DATOS!$I17173,CONFIG_ASIGNATURAS!$B$2:$J$91,9,FALSE()),""))</f>
      </c>
    </row>
    <row r="17174">
      <c r="F17174">
        <f>IF(DATOS!$A17174="","",DATOS!$A17174&amp;"|"&amp;DATOS!$D17174&amp;"|"&amp;DATOS!$E17174&amp;"|"&amp;DATOS!$I17174)</f>
      </c>
      <c r="G17174">
        <f>IF(DATOS!$A17174="",0,IF(CONFIG_METADATA!$B$4&lt;&gt;"OR+EX",--(DATOS!$G17174=CONFIG_METADATA!$B$4),IF(DATOS!$G17174="EX",1,IF(DATOS!$G17174="OR",--(COUNTIFS(nNIA,DATOS!$A17174,nCURSO,DATOS!$D17174,nESPEC,DATOS!$E17174,nASIG,DATOS!$I17174,nEVAL,"EX")=0),0))))</f>
      </c>
      <c r="H17174">
        <f>IF(DATOS!$G17174&lt;&gt;"EX",0,--(COUNTIFS(nNIA,DATOS!$A17174,nCURSO,DATOS!$D17174,nESPEC,DATOS!$E17174,nASIG,DATOS!$I17174,nEVAL,"OR")=0))</f>
      </c>
      <c r="I17174">
        <f>IF(DATOS!$I17174="","",IFERROR(VLOOKUP(DATOS!$I17174,CONFIG_ASIGNATURAS!$B$2:$J$91,9,FALSE()),""))</f>
      </c>
    </row>
    <row r="17175">
      <c r="F17175">
        <f>IF(DATOS!$A17175="","",DATOS!$A17175&amp;"|"&amp;DATOS!$D17175&amp;"|"&amp;DATOS!$E17175&amp;"|"&amp;DATOS!$I17175)</f>
      </c>
      <c r="G17175">
        <f>IF(DATOS!$A17175="",0,IF(CONFIG_METADATA!$B$4&lt;&gt;"OR+EX",--(DATOS!$G17175=CONFIG_METADATA!$B$4),IF(DATOS!$G17175="EX",1,IF(DATOS!$G17175="OR",--(COUNTIFS(nNIA,DATOS!$A17175,nCURSO,DATOS!$D17175,nESPEC,DATOS!$E17175,nASIG,DATOS!$I17175,nEVAL,"EX")=0),0))))</f>
      </c>
      <c r="H17175">
        <f>IF(DATOS!$G17175&lt;&gt;"EX",0,--(COUNTIFS(nNIA,DATOS!$A17175,nCURSO,DATOS!$D17175,nESPEC,DATOS!$E17175,nASIG,DATOS!$I17175,nEVAL,"OR")=0))</f>
      </c>
      <c r="I17175">
        <f>IF(DATOS!$I17175="","",IFERROR(VLOOKUP(DATOS!$I17175,CONFIG_ASIGNATURAS!$B$2:$J$91,9,FALSE()),""))</f>
      </c>
    </row>
    <row r="17176">
      <c r="F17176">
        <f>IF(DATOS!$A17176="","",DATOS!$A17176&amp;"|"&amp;DATOS!$D17176&amp;"|"&amp;DATOS!$E17176&amp;"|"&amp;DATOS!$I17176)</f>
      </c>
      <c r="G17176">
        <f>IF(DATOS!$A17176="",0,IF(CONFIG_METADATA!$B$4&lt;&gt;"OR+EX",--(DATOS!$G17176=CONFIG_METADATA!$B$4),IF(DATOS!$G17176="EX",1,IF(DATOS!$G17176="OR",--(COUNTIFS(nNIA,DATOS!$A17176,nCURSO,DATOS!$D17176,nESPEC,DATOS!$E17176,nASIG,DATOS!$I17176,nEVAL,"EX")=0),0))))</f>
      </c>
      <c r="H17176">
        <f>IF(DATOS!$G17176&lt;&gt;"EX",0,--(COUNTIFS(nNIA,DATOS!$A17176,nCURSO,DATOS!$D17176,nESPEC,DATOS!$E17176,nASIG,DATOS!$I17176,nEVAL,"OR")=0))</f>
      </c>
      <c r="I17176">
        <f>IF(DATOS!$I17176="","",IFERROR(VLOOKUP(DATOS!$I17176,CONFIG_ASIGNATURAS!$B$2:$J$91,9,FALSE()),""))</f>
      </c>
    </row>
    <row r="17177">
      <c r="F17177">
        <f>IF(DATOS!$A17177="","",DATOS!$A17177&amp;"|"&amp;DATOS!$D17177&amp;"|"&amp;DATOS!$E17177&amp;"|"&amp;DATOS!$I17177)</f>
      </c>
      <c r="G17177">
        <f>IF(DATOS!$A17177="",0,IF(CONFIG_METADATA!$B$4&lt;&gt;"OR+EX",--(DATOS!$G17177=CONFIG_METADATA!$B$4),IF(DATOS!$G17177="EX",1,IF(DATOS!$G17177="OR",--(COUNTIFS(nNIA,DATOS!$A17177,nCURSO,DATOS!$D17177,nESPEC,DATOS!$E17177,nASIG,DATOS!$I17177,nEVAL,"EX")=0),0))))</f>
      </c>
      <c r="H17177">
        <f>IF(DATOS!$G17177&lt;&gt;"EX",0,--(COUNTIFS(nNIA,DATOS!$A17177,nCURSO,DATOS!$D17177,nESPEC,DATOS!$E17177,nASIG,DATOS!$I17177,nEVAL,"OR")=0))</f>
      </c>
      <c r="I17177">
        <f>IF(DATOS!$I17177="","",IFERROR(VLOOKUP(DATOS!$I17177,CONFIG_ASIGNATURAS!$B$2:$J$91,9,FALSE()),""))</f>
      </c>
    </row>
    <row r="17178">
      <c r="F17178">
        <f>IF(DATOS!$A17178="","",DATOS!$A17178&amp;"|"&amp;DATOS!$D17178&amp;"|"&amp;DATOS!$E17178&amp;"|"&amp;DATOS!$I17178)</f>
      </c>
      <c r="G17178">
        <f>IF(DATOS!$A17178="",0,IF(CONFIG_METADATA!$B$4&lt;&gt;"OR+EX",--(DATOS!$G17178=CONFIG_METADATA!$B$4),IF(DATOS!$G17178="EX",1,IF(DATOS!$G17178="OR",--(COUNTIFS(nNIA,DATOS!$A17178,nCURSO,DATOS!$D17178,nESPEC,DATOS!$E17178,nASIG,DATOS!$I17178,nEVAL,"EX")=0),0))))</f>
      </c>
      <c r="H17178">
        <f>IF(DATOS!$G17178&lt;&gt;"EX",0,--(COUNTIFS(nNIA,DATOS!$A17178,nCURSO,DATOS!$D17178,nESPEC,DATOS!$E17178,nASIG,DATOS!$I17178,nEVAL,"OR")=0))</f>
      </c>
      <c r="I17178">
        <f>IF(DATOS!$I17178="","",IFERROR(VLOOKUP(DATOS!$I17178,CONFIG_ASIGNATURAS!$B$2:$J$91,9,FALSE()),""))</f>
      </c>
    </row>
    <row r="17179">
      <c r="F17179">
        <f>IF(DATOS!$A17179="","",DATOS!$A17179&amp;"|"&amp;DATOS!$D17179&amp;"|"&amp;DATOS!$E17179&amp;"|"&amp;DATOS!$I17179)</f>
      </c>
      <c r="G17179">
        <f>IF(DATOS!$A17179="",0,IF(CONFIG_METADATA!$B$4&lt;&gt;"OR+EX",--(DATOS!$G17179=CONFIG_METADATA!$B$4),IF(DATOS!$G17179="EX",1,IF(DATOS!$G17179="OR",--(COUNTIFS(nNIA,DATOS!$A17179,nCURSO,DATOS!$D17179,nESPEC,DATOS!$E17179,nASIG,DATOS!$I17179,nEVAL,"EX")=0),0))))</f>
      </c>
      <c r="H17179">
        <f>IF(DATOS!$G17179&lt;&gt;"EX",0,--(COUNTIFS(nNIA,DATOS!$A17179,nCURSO,DATOS!$D17179,nESPEC,DATOS!$E17179,nASIG,DATOS!$I17179,nEVAL,"OR")=0))</f>
      </c>
      <c r="I17179">
        <f>IF(DATOS!$I17179="","",IFERROR(VLOOKUP(DATOS!$I17179,CONFIG_ASIGNATURAS!$B$2:$J$91,9,FALSE()),""))</f>
      </c>
    </row>
    <row r="17180">
      <c r="F17180">
        <f>IF(DATOS!$A17180="","",DATOS!$A17180&amp;"|"&amp;DATOS!$D17180&amp;"|"&amp;DATOS!$E17180&amp;"|"&amp;DATOS!$I17180)</f>
      </c>
      <c r="G17180">
        <f>IF(DATOS!$A17180="",0,IF(CONFIG_METADATA!$B$4&lt;&gt;"OR+EX",--(DATOS!$G17180=CONFIG_METADATA!$B$4),IF(DATOS!$G17180="EX",1,IF(DATOS!$G17180="OR",--(COUNTIFS(nNIA,DATOS!$A17180,nCURSO,DATOS!$D17180,nESPEC,DATOS!$E17180,nASIG,DATOS!$I17180,nEVAL,"EX")=0),0))))</f>
      </c>
      <c r="H17180">
        <f>IF(DATOS!$G17180&lt;&gt;"EX",0,--(COUNTIFS(nNIA,DATOS!$A17180,nCURSO,DATOS!$D17180,nESPEC,DATOS!$E17180,nASIG,DATOS!$I17180,nEVAL,"OR")=0))</f>
      </c>
      <c r="I17180">
        <f>IF(DATOS!$I17180="","",IFERROR(VLOOKUP(DATOS!$I17180,CONFIG_ASIGNATURAS!$B$2:$J$91,9,FALSE()),""))</f>
      </c>
    </row>
    <row r="17181">
      <c r="F17181">
        <f>IF(DATOS!$A17181="","",DATOS!$A17181&amp;"|"&amp;DATOS!$D17181&amp;"|"&amp;DATOS!$E17181&amp;"|"&amp;DATOS!$I17181)</f>
      </c>
      <c r="G17181">
        <f>IF(DATOS!$A17181="",0,IF(CONFIG_METADATA!$B$4&lt;&gt;"OR+EX",--(DATOS!$G17181=CONFIG_METADATA!$B$4),IF(DATOS!$G17181="EX",1,IF(DATOS!$G17181="OR",--(COUNTIFS(nNIA,DATOS!$A17181,nCURSO,DATOS!$D17181,nESPEC,DATOS!$E17181,nASIG,DATOS!$I17181,nEVAL,"EX")=0),0))))</f>
      </c>
      <c r="H17181">
        <f>IF(DATOS!$G17181&lt;&gt;"EX",0,--(COUNTIFS(nNIA,DATOS!$A17181,nCURSO,DATOS!$D17181,nESPEC,DATOS!$E17181,nASIG,DATOS!$I17181,nEVAL,"OR")=0))</f>
      </c>
      <c r="I17181">
        <f>IF(DATOS!$I17181="","",IFERROR(VLOOKUP(DATOS!$I17181,CONFIG_ASIGNATURAS!$B$2:$J$91,9,FALSE()),""))</f>
      </c>
    </row>
    <row r="17182">
      <c r="F17182">
        <f>IF(DATOS!$A17182="","",DATOS!$A17182&amp;"|"&amp;DATOS!$D17182&amp;"|"&amp;DATOS!$E17182&amp;"|"&amp;DATOS!$I17182)</f>
      </c>
      <c r="G17182">
        <f>IF(DATOS!$A17182="",0,IF(CONFIG_METADATA!$B$4&lt;&gt;"OR+EX",--(DATOS!$G17182=CONFIG_METADATA!$B$4),IF(DATOS!$G17182="EX",1,IF(DATOS!$G17182="OR",--(COUNTIFS(nNIA,DATOS!$A17182,nCURSO,DATOS!$D17182,nESPEC,DATOS!$E17182,nASIG,DATOS!$I17182,nEVAL,"EX")=0),0))))</f>
      </c>
      <c r="H17182">
        <f>IF(DATOS!$G17182&lt;&gt;"EX",0,--(COUNTIFS(nNIA,DATOS!$A17182,nCURSO,DATOS!$D17182,nESPEC,DATOS!$E17182,nASIG,DATOS!$I17182,nEVAL,"OR")=0))</f>
      </c>
      <c r="I17182">
        <f>IF(DATOS!$I17182="","",IFERROR(VLOOKUP(DATOS!$I17182,CONFIG_ASIGNATURAS!$B$2:$J$91,9,FALSE()),""))</f>
      </c>
    </row>
    <row r="17183">
      <c r="F17183">
        <f>IF(DATOS!$A17183="","",DATOS!$A17183&amp;"|"&amp;DATOS!$D17183&amp;"|"&amp;DATOS!$E17183&amp;"|"&amp;DATOS!$I17183)</f>
      </c>
      <c r="G17183">
        <f>IF(DATOS!$A17183="",0,IF(CONFIG_METADATA!$B$4&lt;&gt;"OR+EX",--(DATOS!$G17183=CONFIG_METADATA!$B$4),IF(DATOS!$G17183="EX",1,IF(DATOS!$G17183="OR",--(COUNTIFS(nNIA,DATOS!$A17183,nCURSO,DATOS!$D17183,nESPEC,DATOS!$E17183,nASIG,DATOS!$I17183,nEVAL,"EX")=0),0))))</f>
      </c>
      <c r="H17183">
        <f>IF(DATOS!$G17183&lt;&gt;"EX",0,--(COUNTIFS(nNIA,DATOS!$A17183,nCURSO,DATOS!$D17183,nESPEC,DATOS!$E17183,nASIG,DATOS!$I17183,nEVAL,"OR")=0))</f>
      </c>
      <c r="I17183">
        <f>IF(DATOS!$I17183="","",IFERROR(VLOOKUP(DATOS!$I17183,CONFIG_ASIGNATURAS!$B$2:$J$91,9,FALSE()),""))</f>
      </c>
    </row>
    <row r="17184">
      <c r="F17184">
        <f>IF(DATOS!$A17184="","",DATOS!$A17184&amp;"|"&amp;DATOS!$D17184&amp;"|"&amp;DATOS!$E17184&amp;"|"&amp;DATOS!$I17184)</f>
      </c>
      <c r="G17184">
        <f>IF(DATOS!$A17184="",0,IF(CONFIG_METADATA!$B$4&lt;&gt;"OR+EX",--(DATOS!$G17184=CONFIG_METADATA!$B$4),IF(DATOS!$G17184="EX",1,IF(DATOS!$G17184="OR",--(COUNTIFS(nNIA,DATOS!$A17184,nCURSO,DATOS!$D17184,nESPEC,DATOS!$E17184,nASIG,DATOS!$I17184,nEVAL,"EX")=0),0))))</f>
      </c>
      <c r="H17184">
        <f>IF(DATOS!$G17184&lt;&gt;"EX",0,--(COUNTIFS(nNIA,DATOS!$A17184,nCURSO,DATOS!$D17184,nESPEC,DATOS!$E17184,nASIG,DATOS!$I17184,nEVAL,"OR")=0))</f>
      </c>
      <c r="I17184">
        <f>IF(DATOS!$I17184="","",IFERROR(VLOOKUP(DATOS!$I17184,CONFIG_ASIGNATURAS!$B$2:$J$91,9,FALSE()),""))</f>
      </c>
    </row>
    <row r="17185">
      <c r="F17185">
        <f>IF(DATOS!$A17185="","",DATOS!$A17185&amp;"|"&amp;DATOS!$D17185&amp;"|"&amp;DATOS!$E17185&amp;"|"&amp;DATOS!$I17185)</f>
      </c>
      <c r="G17185">
        <f>IF(DATOS!$A17185="",0,IF(CONFIG_METADATA!$B$4&lt;&gt;"OR+EX",--(DATOS!$G17185=CONFIG_METADATA!$B$4),IF(DATOS!$G17185="EX",1,IF(DATOS!$G17185="OR",--(COUNTIFS(nNIA,DATOS!$A17185,nCURSO,DATOS!$D17185,nESPEC,DATOS!$E17185,nASIG,DATOS!$I17185,nEVAL,"EX")=0),0))))</f>
      </c>
      <c r="H17185">
        <f>IF(DATOS!$G17185&lt;&gt;"EX",0,--(COUNTIFS(nNIA,DATOS!$A17185,nCURSO,DATOS!$D17185,nESPEC,DATOS!$E17185,nASIG,DATOS!$I17185,nEVAL,"OR")=0))</f>
      </c>
      <c r="I17185">
        <f>IF(DATOS!$I17185="","",IFERROR(VLOOKUP(DATOS!$I17185,CONFIG_ASIGNATURAS!$B$2:$J$91,9,FALSE()),""))</f>
      </c>
    </row>
    <row r="17186">
      <c r="F17186">
        <f>IF(DATOS!$A17186="","",DATOS!$A17186&amp;"|"&amp;DATOS!$D17186&amp;"|"&amp;DATOS!$E17186&amp;"|"&amp;DATOS!$I17186)</f>
      </c>
      <c r="G17186">
        <f>IF(DATOS!$A17186="",0,IF(CONFIG_METADATA!$B$4&lt;&gt;"OR+EX",--(DATOS!$G17186=CONFIG_METADATA!$B$4),IF(DATOS!$G17186="EX",1,IF(DATOS!$G17186="OR",--(COUNTIFS(nNIA,DATOS!$A17186,nCURSO,DATOS!$D17186,nESPEC,DATOS!$E17186,nASIG,DATOS!$I17186,nEVAL,"EX")=0),0))))</f>
      </c>
      <c r="H17186">
        <f>IF(DATOS!$G17186&lt;&gt;"EX",0,--(COUNTIFS(nNIA,DATOS!$A17186,nCURSO,DATOS!$D17186,nESPEC,DATOS!$E17186,nASIG,DATOS!$I17186,nEVAL,"OR")=0))</f>
      </c>
      <c r="I17186">
        <f>IF(DATOS!$I17186="","",IFERROR(VLOOKUP(DATOS!$I17186,CONFIG_ASIGNATURAS!$B$2:$J$91,9,FALSE()),""))</f>
      </c>
    </row>
    <row r="17187">
      <c r="F17187">
        <f>IF(DATOS!$A17187="","",DATOS!$A17187&amp;"|"&amp;DATOS!$D17187&amp;"|"&amp;DATOS!$E17187&amp;"|"&amp;DATOS!$I17187)</f>
      </c>
      <c r="G17187">
        <f>IF(DATOS!$A17187="",0,IF(CONFIG_METADATA!$B$4&lt;&gt;"OR+EX",--(DATOS!$G17187=CONFIG_METADATA!$B$4),IF(DATOS!$G17187="EX",1,IF(DATOS!$G17187="OR",--(COUNTIFS(nNIA,DATOS!$A17187,nCURSO,DATOS!$D17187,nESPEC,DATOS!$E17187,nASIG,DATOS!$I17187,nEVAL,"EX")=0),0))))</f>
      </c>
      <c r="H17187">
        <f>IF(DATOS!$G17187&lt;&gt;"EX",0,--(COUNTIFS(nNIA,DATOS!$A17187,nCURSO,DATOS!$D17187,nESPEC,DATOS!$E17187,nASIG,DATOS!$I17187,nEVAL,"OR")=0))</f>
      </c>
      <c r="I17187">
        <f>IF(DATOS!$I17187="","",IFERROR(VLOOKUP(DATOS!$I17187,CONFIG_ASIGNATURAS!$B$2:$J$91,9,FALSE()),""))</f>
      </c>
    </row>
    <row r="17188">
      <c r="F17188">
        <f>IF(DATOS!$A17188="","",DATOS!$A17188&amp;"|"&amp;DATOS!$D17188&amp;"|"&amp;DATOS!$E17188&amp;"|"&amp;DATOS!$I17188)</f>
      </c>
      <c r="G17188">
        <f>IF(DATOS!$A17188="",0,IF(CONFIG_METADATA!$B$4&lt;&gt;"OR+EX",--(DATOS!$G17188=CONFIG_METADATA!$B$4),IF(DATOS!$G17188="EX",1,IF(DATOS!$G17188="OR",--(COUNTIFS(nNIA,DATOS!$A17188,nCURSO,DATOS!$D17188,nESPEC,DATOS!$E17188,nASIG,DATOS!$I17188,nEVAL,"EX")=0),0))))</f>
      </c>
      <c r="H17188">
        <f>IF(DATOS!$G17188&lt;&gt;"EX",0,--(COUNTIFS(nNIA,DATOS!$A17188,nCURSO,DATOS!$D17188,nESPEC,DATOS!$E17188,nASIG,DATOS!$I17188,nEVAL,"OR")=0))</f>
      </c>
      <c r="I17188">
        <f>IF(DATOS!$I17188="","",IFERROR(VLOOKUP(DATOS!$I17188,CONFIG_ASIGNATURAS!$B$2:$J$91,9,FALSE()),""))</f>
      </c>
    </row>
    <row r="17189">
      <c r="F17189">
        <f>IF(DATOS!$A17189="","",DATOS!$A17189&amp;"|"&amp;DATOS!$D17189&amp;"|"&amp;DATOS!$E17189&amp;"|"&amp;DATOS!$I17189)</f>
      </c>
      <c r="G17189">
        <f>IF(DATOS!$A17189="",0,IF(CONFIG_METADATA!$B$4&lt;&gt;"OR+EX",--(DATOS!$G17189=CONFIG_METADATA!$B$4),IF(DATOS!$G17189="EX",1,IF(DATOS!$G17189="OR",--(COUNTIFS(nNIA,DATOS!$A17189,nCURSO,DATOS!$D17189,nESPEC,DATOS!$E17189,nASIG,DATOS!$I17189,nEVAL,"EX")=0),0))))</f>
      </c>
      <c r="H17189">
        <f>IF(DATOS!$G17189&lt;&gt;"EX",0,--(COUNTIFS(nNIA,DATOS!$A17189,nCURSO,DATOS!$D17189,nESPEC,DATOS!$E17189,nASIG,DATOS!$I17189,nEVAL,"OR")=0))</f>
      </c>
      <c r="I17189">
        <f>IF(DATOS!$I17189="","",IFERROR(VLOOKUP(DATOS!$I17189,CONFIG_ASIGNATURAS!$B$2:$J$91,9,FALSE()),""))</f>
      </c>
    </row>
    <row r="17190">
      <c r="F17190">
        <f>IF(DATOS!$A17190="","",DATOS!$A17190&amp;"|"&amp;DATOS!$D17190&amp;"|"&amp;DATOS!$E17190&amp;"|"&amp;DATOS!$I17190)</f>
      </c>
      <c r="G17190">
        <f>IF(DATOS!$A17190="",0,IF(CONFIG_METADATA!$B$4&lt;&gt;"OR+EX",--(DATOS!$G17190=CONFIG_METADATA!$B$4),IF(DATOS!$G17190="EX",1,IF(DATOS!$G17190="OR",--(COUNTIFS(nNIA,DATOS!$A17190,nCURSO,DATOS!$D17190,nESPEC,DATOS!$E17190,nASIG,DATOS!$I17190,nEVAL,"EX")=0),0))))</f>
      </c>
      <c r="H17190">
        <f>IF(DATOS!$G17190&lt;&gt;"EX",0,--(COUNTIFS(nNIA,DATOS!$A17190,nCURSO,DATOS!$D17190,nESPEC,DATOS!$E17190,nASIG,DATOS!$I17190,nEVAL,"OR")=0))</f>
      </c>
      <c r="I17190">
        <f>IF(DATOS!$I17190="","",IFERROR(VLOOKUP(DATOS!$I17190,CONFIG_ASIGNATURAS!$B$2:$J$91,9,FALSE()),""))</f>
      </c>
    </row>
    <row r="17191">
      <c r="F17191">
        <f>IF(DATOS!$A17191="","",DATOS!$A17191&amp;"|"&amp;DATOS!$D17191&amp;"|"&amp;DATOS!$E17191&amp;"|"&amp;DATOS!$I17191)</f>
      </c>
      <c r="G17191">
        <f>IF(DATOS!$A17191="",0,IF(CONFIG_METADATA!$B$4&lt;&gt;"OR+EX",--(DATOS!$G17191=CONFIG_METADATA!$B$4),IF(DATOS!$G17191="EX",1,IF(DATOS!$G17191="OR",--(COUNTIFS(nNIA,DATOS!$A17191,nCURSO,DATOS!$D17191,nESPEC,DATOS!$E17191,nASIG,DATOS!$I17191,nEVAL,"EX")=0),0))))</f>
      </c>
      <c r="H17191">
        <f>IF(DATOS!$G17191&lt;&gt;"EX",0,--(COUNTIFS(nNIA,DATOS!$A17191,nCURSO,DATOS!$D17191,nESPEC,DATOS!$E17191,nASIG,DATOS!$I17191,nEVAL,"OR")=0))</f>
      </c>
      <c r="I17191">
        <f>IF(DATOS!$I17191="","",IFERROR(VLOOKUP(DATOS!$I17191,CONFIG_ASIGNATURAS!$B$2:$J$91,9,FALSE()),""))</f>
      </c>
    </row>
    <row r="17192">
      <c r="F17192">
        <f>IF(DATOS!$A17192="","",DATOS!$A17192&amp;"|"&amp;DATOS!$D17192&amp;"|"&amp;DATOS!$E17192&amp;"|"&amp;DATOS!$I17192)</f>
      </c>
      <c r="G17192">
        <f>IF(DATOS!$A17192="",0,IF(CONFIG_METADATA!$B$4&lt;&gt;"OR+EX",--(DATOS!$G17192=CONFIG_METADATA!$B$4),IF(DATOS!$G17192="EX",1,IF(DATOS!$G17192="OR",--(COUNTIFS(nNIA,DATOS!$A17192,nCURSO,DATOS!$D17192,nESPEC,DATOS!$E17192,nASIG,DATOS!$I17192,nEVAL,"EX")=0),0))))</f>
      </c>
      <c r="H17192">
        <f>IF(DATOS!$G17192&lt;&gt;"EX",0,--(COUNTIFS(nNIA,DATOS!$A17192,nCURSO,DATOS!$D17192,nESPEC,DATOS!$E17192,nASIG,DATOS!$I17192,nEVAL,"OR")=0))</f>
      </c>
      <c r="I17192">
        <f>IF(DATOS!$I17192="","",IFERROR(VLOOKUP(DATOS!$I17192,CONFIG_ASIGNATURAS!$B$2:$J$91,9,FALSE()),""))</f>
      </c>
    </row>
    <row r="17193">
      <c r="F17193">
        <f>IF(DATOS!$A17193="","",DATOS!$A17193&amp;"|"&amp;DATOS!$D17193&amp;"|"&amp;DATOS!$E17193&amp;"|"&amp;DATOS!$I17193)</f>
      </c>
      <c r="G17193">
        <f>IF(DATOS!$A17193="",0,IF(CONFIG_METADATA!$B$4&lt;&gt;"OR+EX",--(DATOS!$G17193=CONFIG_METADATA!$B$4),IF(DATOS!$G17193="EX",1,IF(DATOS!$G17193="OR",--(COUNTIFS(nNIA,DATOS!$A17193,nCURSO,DATOS!$D17193,nESPEC,DATOS!$E17193,nASIG,DATOS!$I17193,nEVAL,"EX")=0),0))))</f>
      </c>
      <c r="H17193">
        <f>IF(DATOS!$G17193&lt;&gt;"EX",0,--(COUNTIFS(nNIA,DATOS!$A17193,nCURSO,DATOS!$D17193,nESPEC,DATOS!$E17193,nASIG,DATOS!$I17193,nEVAL,"OR")=0))</f>
      </c>
      <c r="I17193">
        <f>IF(DATOS!$I17193="","",IFERROR(VLOOKUP(DATOS!$I17193,CONFIG_ASIGNATURAS!$B$2:$J$91,9,FALSE()),""))</f>
      </c>
    </row>
    <row r="17194">
      <c r="F17194">
        <f>IF(DATOS!$A17194="","",DATOS!$A17194&amp;"|"&amp;DATOS!$D17194&amp;"|"&amp;DATOS!$E17194&amp;"|"&amp;DATOS!$I17194)</f>
      </c>
      <c r="G17194">
        <f>IF(DATOS!$A17194="",0,IF(CONFIG_METADATA!$B$4&lt;&gt;"OR+EX",--(DATOS!$G17194=CONFIG_METADATA!$B$4),IF(DATOS!$G17194="EX",1,IF(DATOS!$G17194="OR",--(COUNTIFS(nNIA,DATOS!$A17194,nCURSO,DATOS!$D17194,nESPEC,DATOS!$E17194,nASIG,DATOS!$I17194,nEVAL,"EX")=0),0))))</f>
      </c>
      <c r="H17194">
        <f>IF(DATOS!$G17194&lt;&gt;"EX",0,--(COUNTIFS(nNIA,DATOS!$A17194,nCURSO,DATOS!$D17194,nESPEC,DATOS!$E17194,nASIG,DATOS!$I17194,nEVAL,"OR")=0))</f>
      </c>
      <c r="I17194">
        <f>IF(DATOS!$I17194="","",IFERROR(VLOOKUP(DATOS!$I17194,CONFIG_ASIGNATURAS!$B$2:$J$91,9,FALSE()),""))</f>
      </c>
    </row>
    <row r="17195">
      <c r="F17195">
        <f>IF(DATOS!$A17195="","",DATOS!$A17195&amp;"|"&amp;DATOS!$D17195&amp;"|"&amp;DATOS!$E17195&amp;"|"&amp;DATOS!$I17195)</f>
      </c>
      <c r="G17195">
        <f>IF(DATOS!$A17195="",0,IF(CONFIG_METADATA!$B$4&lt;&gt;"OR+EX",--(DATOS!$G17195=CONFIG_METADATA!$B$4),IF(DATOS!$G17195="EX",1,IF(DATOS!$G17195="OR",--(COUNTIFS(nNIA,DATOS!$A17195,nCURSO,DATOS!$D17195,nESPEC,DATOS!$E17195,nASIG,DATOS!$I17195,nEVAL,"EX")=0),0))))</f>
      </c>
      <c r="H17195">
        <f>IF(DATOS!$G17195&lt;&gt;"EX",0,--(COUNTIFS(nNIA,DATOS!$A17195,nCURSO,DATOS!$D17195,nESPEC,DATOS!$E17195,nASIG,DATOS!$I17195,nEVAL,"OR")=0))</f>
      </c>
      <c r="I17195">
        <f>IF(DATOS!$I17195="","",IFERROR(VLOOKUP(DATOS!$I17195,CONFIG_ASIGNATURAS!$B$2:$J$91,9,FALSE()),""))</f>
      </c>
    </row>
    <row r="17196">
      <c r="F17196">
        <f>IF(DATOS!$A17196="","",DATOS!$A17196&amp;"|"&amp;DATOS!$D17196&amp;"|"&amp;DATOS!$E17196&amp;"|"&amp;DATOS!$I17196)</f>
      </c>
      <c r="G17196">
        <f>IF(DATOS!$A17196="",0,IF(CONFIG_METADATA!$B$4&lt;&gt;"OR+EX",--(DATOS!$G17196=CONFIG_METADATA!$B$4),IF(DATOS!$G17196="EX",1,IF(DATOS!$G17196="OR",--(COUNTIFS(nNIA,DATOS!$A17196,nCURSO,DATOS!$D17196,nESPEC,DATOS!$E17196,nASIG,DATOS!$I17196,nEVAL,"EX")=0),0))))</f>
      </c>
      <c r="H17196">
        <f>IF(DATOS!$G17196&lt;&gt;"EX",0,--(COUNTIFS(nNIA,DATOS!$A17196,nCURSO,DATOS!$D17196,nESPEC,DATOS!$E17196,nASIG,DATOS!$I17196,nEVAL,"OR")=0))</f>
      </c>
      <c r="I17196">
        <f>IF(DATOS!$I17196="","",IFERROR(VLOOKUP(DATOS!$I17196,CONFIG_ASIGNATURAS!$B$2:$J$91,9,FALSE()),""))</f>
      </c>
    </row>
    <row r="17197">
      <c r="F17197">
        <f>IF(DATOS!$A17197="","",DATOS!$A17197&amp;"|"&amp;DATOS!$D17197&amp;"|"&amp;DATOS!$E17197&amp;"|"&amp;DATOS!$I17197)</f>
      </c>
      <c r="G17197">
        <f>IF(DATOS!$A17197="",0,IF(CONFIG_METADATA!$B$4&lt;&gt;"OR+EX",--(DATOS!$G17197=CONFIG_METADATA!$B$4),IF(DATOS!$G17197="EX",1,IF(DATOS!$G17197="OR",--(COUNTIFS(nNIA,DATOS!$A17197,nCURSO,DATOS!$D17197,nESPEC,DATOS!$E17197,nASIG,DATOS!$I17197,nEVAL,"EX")=0),0))))</f>
      </c>
      <c r="H17197">
        <f>IF(DATOS!$G17197&lt;&gt;"EX",0,--(COUNTIFS(nNIA,DATOS!$A17197,nCURSO,DATOS!$D17197,nESPEC,DATOS!$E17197,nASIG,DATOS!$I17197,nEVAL,"OR")=0))</f>
      </c>
      <c r="I17197">
        <f>IF(DATOS!$I17197="","",IFERROR(VLOOKUP(DATOS!$I17197,CONFIG_ASIGNATURAS!$B$2:$J$91,9,FALSE()),""))</f>
      </c>
    </row>
    <row r="17198">
      <c r="F17198">
        <f>IF(DATOS!$A17198="","",DATOS!$A17198&amp;"|"&amp;DATOS!$D17198&amp;"|"&amp;DATOS!$E17198&amp;"|"&amp;DATOS!$I17198)</f>
      </c>
      <c r="G17198">
        <f>IF(DATOS!$A17198="",0,IF(CONFIG_METADATA!$B$4&lt;&gt;"OR+EX",--(DATOS!$G17198=CONFIG_METADATA!$B$4),IF(DATOS!$G17198="EX",1,IF(DATOS!$G17198="OR",--(COUNTIFS(nNIA,DATOS!$A17198,nCURSO,DATOS!$D17198,nESPEC,DATOS!$E17198,nASIG,DATOS!$I17198,nEVAL,"EX")=0),0))))</f>
      </c>
      <c r="H17198">
        <f>IF(DATOS!$G17198&lt;&gt;"EX",0,--(COUNTIFS(nNIA,DATOS!$A17198,nCURSO,DATOS!$D17198,nESPEC,DATOS!$E17198,nASIG,DATOS!$I17198,nEVAL,"OR")=0))</f>
      </c>
      <c r="I17198">
        <f>IF(DATOS!$I17198="","",IFERROR(VLOOKUP(DATOS!$I17198,CONFIG_ASIGNATURAS!$B$2:$J$91,9,FALSE()),""))</f>
      </c>
    </row>
    <row r="17199">
      <c r="F17199">
        <f>IF(DATOS!$A17199="","",DATOS!$A17199&amp;"|"&amp;DATOS!$D17199&amp;"|"&amp;DATOS!$E17199&amp;"|"&amp;DATOS!$I17199)</f>
      </c>
      <c r="G17199">
        <f>IF(DATOS!$A17199="",0,IF(CONFIG_METADATA!$B$4&lt;&gt;"OR+EX",--(DATOS!$G17199=CONFIG_METADATA!$B$4),IF(DATOS!$G17199="EX",1,IF(DATOS!$G17199="OR",--(COUNTIFS(nNIA,DATOS!$A17199,nCURSO,DATOS!$D17199,nESPEC,DATOS!$E17199,nASIG,DATOS!$I17199,nEVAL,"EX")=0),0))))</f>
      </c>
      <c r="H17199">
        <f>IF(DATOS!$G17199&lt;&gt;"EX",0,--(COUNTIFS(nNIA,DATOS!$A17199,nCURSO,DATOS!$D17199,nESPEC,DATOS!$E17199,nASIG,DATOS!$I17199,nEVAL,"OR")=0))</f>
      </c>
      <c r="I17199">
        <f>IF(DATOS!$I17199="","",IFERROR(VLOOKUP(DATOS!$I17199,CONFIG_ASIGNATURAS!$B$2:$J$91,9,FALSE()),""))</f>
      </c>
    </row>
    <row r="17200">
      <c r="F17200">
        <f>IF(DATOS!$A17200="","",DATOS!$A17200&amp;"|"&amp;DATOS!$D17200&amp;"|"&amp;DATOS!$E17200&amp;"|"&amp;DATOS!$I17200)</f>
      </c>
      <c r="G17200">
        <f>IF(DATOS!$A17200="",0,IF(CONFIG_METADATA!$B$4&lt;&gt;"OR+EX",--(DATOS!$G17200=CONFIG_METADATA!$B$4),IF(DATOS!$G17200="EX",1,IF(DATOS!$G17200="OR",--(COUNTIFS(nNIA,DATOS!$A17200,nCURSO,DATOS!$D17200,nESPEC,DATOS!$E17200,nASIG,DATOS!$I17200,nEVAL,"EX")=0),0))))</f>
      </c>
      <c r="H17200">
        <f>IF(DATOS!$G17200&lt;&gt;"EX",0,--(COUNTIFS(nNIA,DATOS!$A17200,nCURSO,DATOS!$D17200,nESPEC,DATOS!$E17200,nASIG,DATOS!$I17200,nEVAL,"OR")=0))</f>
      </c>
      <c r="I17200">
        <f>IF(DATOS!$I17200="","",IFERROR(VLOOKUP(DATOS!$I17200,CONFIG_ASIGNATURAS!$B$2:$J$91,9,FALSE()),""))</f>
      </c>
    </row>
    <row r="17201">
      <c r="F17201">
        <f>IF(DATOS!$A17201="","",DATOS!$A17201&amp;"|"&amp;DATOS!$D17201&amp;"|"&amp;DATOS!$E17201&amp;"|"&amp;DATOS!$I17201)</f>
      </c>
      <c r="G17201">
        <f>IF(DATOS!$A17201="",0,IF(CONFIG_METADATA!$B$4&lt;&gt;"OR+EX",--(DATOS!$G17201=CONFIG_METADATA!$B$4),IF(DATOS!$G17201="EX",1,IF(DATOS!$G17201="OR",--(COUNTIFS(nNIA,DATOS!$A17201,nCURSO,DATOS!$D17201,nESPEC,DATOS!$E17201,nASIG,DATOS!$I17201,nEVAL,"EX")=0),0))))</f>
      </c>
      <c r="H17201">
        <f>IF(DATOS!$G17201&lt;&gt;"EX",0,--(COUNTIFS(nNIA,DATOS!$A17201,nCURSO,DATOS!$D17201,nESPEC,DATOS!$E17201,nASIG,DATOS!$I17201,nEVAL,"OR")=0))</f>
      </c>
      <c r="I17201">
        <f>IF(DATOS!$I17201="","",IFERROR(VLOOKUP(DATOS!$I17201,CONFIG_ASIGNATURAS!$B$2:$J$91,9,FALSE()),""))</f>
      </c>
    </row>
    <row r="17202">
      <c r="F17202">
        <f>IF(DATOS!$A17202="","",DATOS!$A17202&amp;"|"&amp;DATOS!$D17202&amp;"|"&amp;DATOS!$E17202&amp;"|"&amp;DATOS!$I17202)</f>
      </c>
      <c r="G17202">
        <f>IF(DATOS!$A17202="",0,IF(CONFIG_METADATA!$B$4&lt;&gt;"OR+EX",--(DATOS!$G17202=CONFIG_METADATA!$B$4),IF(DATOS!$G17202="EX",1,IF(DATOS!$G17202="OR",--(COUNTIFS(nNIA,DATOS!$A17202,nCURSO,DATOS!$D17202,nESPEC,DATOS!$E17202,nASIG,DATOS!$I17202,nEVAL,"EX")=0),0))))</f>
      </c>
      <c r="H17202">
        <f>IF(DATOS!$G17202&lt;&gt;"EX",0,--(COUNTIFS(nNIA,DATOS!$A17202,nCURSO,DATOS!$D17202,nESPEC,DATOS!$E17202,nASIG,DATOS!$I17202,nEVAL,"OR")=0))</f>
      </c>
      <c r="I17202">
        <f>IF(DATOS!$I17202="","",IFERROR(VLOOKUP(DATOS!$I17202,CONFIG_ASIGNATURAS!$B$2:$J$91,9,FALSE()),""))</f>
      </c>
    </row>
    <row r="17203">
      <c r="F17203">
        <f>IF(DATOS!$A17203="","",DATOS!$A17203&amp;"|"&amp;DATOS!$D17203&amp;"|"&amp;DATOS!$E17203&amp;"|"&amp;DATOS!$I17203)</f>
      </c>
      <c r="G17203">
        <f>IF(DATOS!$A17203="",0,IF(CONFIG_METADATA!$B$4&lt;&gt;"OR+EX",--(DATOS!$G17203=CONFIG_METADATA!$B$4),IF(DATOS!$G17203="EX",1,IF(DATOS!$G17203="OR",--(COUNTIFS(nNIA,DATOS!$A17203,nCURSO,DATOS!$D17203,nESPEC,DATOS!$E17203,nASIG,DATOS!$I17203,nEVAL,"EX")=0),0))))</f>
      </c>
      <c r="H17203">
        <f>IF(DATOS!$G17203&lt;&gt;"EX",0,--(COUNTIFS(nNIA,DATOS!$A17203,nCURSO,DATOS!$D17203,nESPEC,DATOS!$E17203,nASIG,DATOS!$I17203,nEVAL,"OR")=0))</f>
      </c>
      <c r="I17203">
        <f>IF(DATOS!$I17203="","",IFERROR(VLOOKUP(DATOS!$I17203,CONFIG_ASIGNATURAS!$B$2:$J$91,9,FALSE()),""))</f>
      </c>
    </row>
    <row r="17204">
      <c r="F17204">
        <f>IF(DATOS!$A17204="","",DATOS!$A17204&amp;"|"&amp;DATOS!$D17204&amp;"|"&amp;DATOS!$E17204&amp;"|"&amp;DATOS!$I17204)</f>
      </c>
      <c r="G17204">
        <f>IF(DATOS!$A17204="",0,IF(CONFIG_METADATA!$B$4&lt;&gt;"OR+EX",--(DATOS!$G17204=CONFIG_METADATA!$B$4),IF(DATOS!$G17204="EX",1,IF(DATOS!$G17204="OR",--(COUNTIFS(nNIA,DATOS!$A17204,nCURSO,DATOS!$D17204,nESPEC,DATOS!$E17204,nASIG,DATOS!$I17204,nEVAL,"EX")=0),0))))</f>
      </c>
      <c r="H17204">
        <f>IF(DATOS!$G17204&lt;&gt;"EX",0,--(COUNTIFS(nNIA,DATOS!$A17204,nCURSO,DATOS!$D17204,nESPEC,DATOS!$E17204,nASIG,DATOS!$I17204,nEVAL,"OR")=0))</f>
      </c>
      <c r="I17204">
        <f>IF(DATOS!$I17204="","",IFERROR(VLOOKUP(DATOS!$I17204,CONFIG_ASIGNATURAS!$B$2:$J$91,9,FALSE()),""))</f>
      </c>
    </row>
    <row r="17205">
      <c r="F17205">
        <f>IF(DATOS!$A17205="","",DATOS!$A17205&amp;"|"&amp;DATOS!$D17205&amp;"|"&amp;DATOS!$E17205&amp;"|"&amp;DATOS!$I17205)</f>
      </c>
      <c r="G17205">
        <f>IF(DATOS!$A17205="",0,IF(CONFIG_METADATA!$B$4&lt;&gt;"OR+EX",--(DATOS!$G17205=CONFIG_METADATA!$B$4),IF(DATOS!$G17205="EX",1,IF(DATOS!$G17205="OR",--(COUNTIFS(nNIA,DATOS!$A17205,nCURSO,DATOS!$D17205,nESPEC,DATOS!$E17205,nASIG,DATOS!$I17205,nEVAL,"EX")=0),0))))</f>
      </c>
      <c r="H17205">
        <f>IF(DATOS!$G17205&lt;&gt;"EX",0,--(COUNTIFS(nNIA,DATOS!$A17205,nCURSO,DATOS!$D17205,nESPEC,DATOS!$E17205,nASIG,DATOS!$I17205,nEVAL,"OR")=0))</f>
      </c>
      <c r="I17205">
        <f>IF(DATOS!$I17205="","",IFERROR(VLOOKUP(DATOS!$I17205,CONFIG_ASIGNATURAS!$B$2:$J$91,9,FALSE()),""))</f>
      </c>
    </row>
    <row r="17206">
      <c r="F17206">
        <f>IF(DATOS!$A17206="","",DATOS!$A17206&amp;"|"&amp;DATOS!$D17206&amp;"|"&amp;DATOS!$E17206&amp;"|"&amp;DATOS!$I17206)</f>
      </c>
      <c r="G17206">
        <f>IF(DATOS!$A17206="",0,IF(CONFIG_METADATA!$B$4&lt;&gt;"OR+EX",--(DATOS!$G17206=CONFIG_METADATA!$B$4),IF(DATOS!$G17206="EX",1,IF(DATOS!$G17206="OR",--(COUNTIFS(nNIA,DATOS!$A17206,nCURSO,DATOS!$D17206,nESPEC,DATOS!$E17206,nASIG,DATOS!$I17206,nEVAL,"EX")=0),0))))</f>
      </c>
      <c r="H17206">
        <f>IF(DATOS!$G17206&lt;&gt;"EX",0,--(COUNTIFS(nNIA,DATOS!$A17206,nCURSO,DATOS!$D17206,nESPEC,DATOS!$E17206,nASIG,DATOS!$I17206,nEVAL,"OR")=0))</f>
      </c>
      <c r="I17206">
        <f>IF(DATOS!$I17206="","",IFERROR(VLOOKUP(DATOS!$I17206,CONFIG_ASIGNATURAS!$B$2:$J$91,9,FALSE()),""))</f>
      </c>
    </row>
    <row r="17207">
      <c r="F17207">
        <f>IF(DATOS!$A17207="","",DATOS!$A17207&amp;"|"&amp;DATOS!$D17207&amp;"|"&amp;DATOS!$E17207&amp;"|"&amp;DATOS!$I17207)</f>
      </c>
      <c r="G17207">
        <f>IF(DATOS!$A17207="",0,IF(CONFIG_METADATA!$B$4&lt;&gt;"OR+EX",--(DATOS!$G17207=CONFIG_METADATA!$B$4),IF(DATOS!$G17207="EX",1,IF(DATOS!$G17207="OR",--(COUNTIFS(nNIA,DATOS!$A17207,nCURSO,DATOS!$D17207,nESPEC,DATOS!$E17207,nASIG,DATOS!$I17207,nEVAL,"EX")=0),0))))</f>
      </c>
      <c r="H17207">
        <f>IF(DATOS!$G17207&lt;&gt;"EX",0,--(COUNTIFS(nNIA,DATOS!$A17207,nCURSO,DATOS!$D17207,nESPEC,DATOS!$E17207,nASIG,DATOS!$I17207,nEVAL,"OR")=0))</f>
      </c>
      <c r="I17207">
        <f>IF(DATOS!$I17207="","",IFERROR(VLOOKUP(DATOS!$I17207,CONFIG_ASIGNATURAS!$B$2:$J$91,9,FALSE()),""))</f>
      </c>
    </row>
    <row r="17208">
      <c r="F17208">
        <f>IF(DATOS!$A17208="","",DATOS!$A17208&amp;"|"&amp;DATOS!$D17208&amp;"|"&amp;DATOS!$E17208&amp;"|"&amp;DATOS!$I17208)</f>
      </c>
      <c r="G17208">
        <f>IF(DATOS!$A17208="",0,IF(CONFIG_METADATA!$B$4&lt;&gt;"OR+EX",--(DATOS!$G17208=CONFIG_METADATA!$B$4),IF(DATOS!$G17208="EX",1,IF(DATOS!$G17208="OR",--(COUNTIFS(nNIA,DATOS!$A17208,nCURSO,DATOS!$D17208,nESPEC,DATOS!$E17208,nASIG,DATOS!$I17208,nEVAL,"EX")=0),0))))</f>
      </c>
      <c r="H17208">
        <f>IF(DATOS!$G17208&lt;&gt;"EX",0,--(COUNTIFS(nNIA,DATOS!$A17208,nCURSO,DATOS!$D17208,nESPEC,DATOS!$E17208,nASIG,DATOS!$I17208,nEVAL,"OR")=0))</f>
      </c>
      <c r="I17208">
        <f>IF(DATOS!$I17208="","",IFERROR(VLOOKUP(DATOS!$I17208,CONFIG_ASIGNATURAS!$B$2:$J$91,9,FALSE()),""))</f>
      </c>
    </row>
    <row r="17209">
      <c r="F17209">
        <f>IF(DATOS!$A17209="","",DATOS!$A17209&amp;"|"&amp;DATOS!$D17209&amp;"|"&amp;DATOS!$E17209&amp;"|"&amp;DATOS!$I17209)</f>
      </c>
      <c r="G17209">
        <f>IF(DATOS!$A17209="",0,IF(CONFIG_METADATA!$B$4&lt;&gt;"OR+EX",--(DATOS!$G17209=CONFIG_METADATA!$B$4),IF(DATOS!$G17209="EX",1,IF(DATOS!$G17209="OR",--(COUNTIFS(nNIA,DATOS!$A17209,nCURSO,DATOS!$D17209,nESPEC,DATOS!$E17209,nASIG,DATOS!$I17209,nEVAL,"EX")=0),0))))</f>
      </c>
      <c r="H17209">
        <f>IF(DATOS!$G17209&lt;&gt;"EX",0,--(COUNTIFS(nNIA,DATOS!$A17209,nCURSO,DATOS!$D17209,nESPEC,DATOS!$E17209,nASIG,DATOS!$I17209,nEVAL,"OR")=0))</f>
      </c>
      <c r="I17209">
        <f>IF(DATOS!$I17209="","",IFERROR(VLOOKUP(DATOS!$I17209,CONFIG_ASIGNATURAS!$B$2:$J$91,9,FALSE()),""))</f>
      </c>
    </row>
    <row r="17210">
      <c r="F17210">
        <f>IF(DATOS!$A17210="","",DATOS!$A17210&amp;"|"&amp;DATOS!$D17210&amp;"|"&amp;DATOS!$E17210&amp;"|"&amp;DATOS!$I17210)</f>
      </c>
      <c r="G17210">
        <f>IF(DATOS!$A17210="",0,IF(CONFIG_METADATA!$B$4&lt;&gt;"OR+EX",--(DATOS!$G17210=CONFIG_METADATA!$B$4),IF(DATOS!$G17210="EX",1,IF(DATOS!$G17210="OR",--(COUNTIFS(nNIA,DATOS!$A17210,nCURSO,DATOS!$D17210,nESPEC,DATOS!$E17210,nASIG,DATOS!$I17210,nEVAL,"EX")=0),0))))</f>
      </c>
      <c r="H17210">
        <f>IF(DATOS!$G17210&lt;&gt;"EX",0,--(COUNTIFS(nNIA,DATOS!$A17210,nCURSO,DATOS!$D17210,nESPEC,DATOS!$E17210,nASIG,DATOS!$I17210,nEVAL,"OR")=0))</f>
      </c>
      <c r="I17210">
        <f>IF(DATOS!$I17210="","",IFERROR(VLOOKUP(DATOS!$I17210,CONFIG_ASIGNATURAS!$B$2:$J$91,9,FALSE()),""))</f>
      </c>
    </row>
    <row r="17211">
      <c r="F17211">
        <f>IF(DATOS!$A17211="","",DATOS!$A17211&amp;"|"&amp;DATOS!$D17211&amp;"|"&amp;DATOS!$E17211&amp;"|"&amp;DATOS!$I17211)</f>
      </c>
      <c r="G17211">
        <f>IF(DATOS!$A17211="",0,IF(CONFIG_METADATA!$B$4&lt;&gt;"OR+EX",--(DATOS!$G17211=CONFIG_METADATA!$B$4),IF(DATOS!$G17211="EX",1,IF(DATOS!$G17211="OR",--(COUNTIFS(nNIA,DATOS!$A17211,nCURSO,DATOS!$D17211,nESPEC,DATOS!$E17211,nASIG,DATOS!$I17211,nEVAL,"EX")=0),0))))</f>
      </c>
      <c r="H17211">
        <f>IF(DATOS!$G17211&lt;&gt;"EX",0,--(COUNTIFS(nNIA,DATOS!$A17211,nCURSO,DATOS!$D17211,nESPEC,DATOS!$E17211,nASIG,DATOS!$I17211,nEVAL,"OR")=0))</f>
      </c>
      <c r="I17211">
        <f>IF(DATOS!$I17211="","",IFERROR(VLOOKUP(DATOS!$I17211,CONFIG_ASIGNATURAS!$B$2:$J$91,9,FALSE()),""))</f>
      </c>
    </row>
    <row r="17212">
      <c r="F17212">
        <f>IF(DATOS!$A17212="","",DATOS!$A17212&amp;"|"&amp;DATOS!$D17212&amp;"|"&amp;DATOS!$E17212&amp;"|"&amp;DATOS!$I17212)</f>
      </c>
      <c r="G17212">
        <f>IF(DATOS!$A17212="",0,IF(CONFIG_METADATA!$B$4&lt;&gt;"OR+EX",--(DATOS!$G17212=CONFIG_METADATA!$B$4),IF(DATOS!$G17212="EX",1,IF(DATOS!$G17212="OR",--(COUNTIFS(nNIA,DATOS!$A17212,nCURSO,DATOS!$D17212,nESPEC,DATOS!$E17212,nASIG,DATOS!$I17212,nEVAL,"EX")=0),0))))</f>
      </c>
      <c r="H17212">
        <f>IF(DATOS!$G17212&lt;&gt;"EX",0,--(COUNTIFS(nNIA,DATOS!$A17212,nCURSO,DATOS!$D17212,nESPEC,DATOS!$E17212,nASIG,DATOS!$I17212,nEVAL,"OR")=0))</f>
      </c>
      <c r="I17212">
        <f>IF(DATOS!$I17212="","",IFERROR(VLOOKUP(DATOS!$I17212,CONFIG_ASIGNATURAS!$B$2:$J$91,9,FALSE()),""))</f>
      </c>
    </row>
    <row r="17213">
      <c r="F17213">
        <f>IF(DATOS!$A17213="","",DATOS!$A17213&amp;"|"&amp;DATOS!$D17213&amp;"|"&amp;DATOS!$E17213&amp;"|"&amp;DATOS!$I17213)</f>
      </c>
      <c r="G17213">
        <f>IF(DATOS!$A17213="",0,IF(CONFIG_METADATA!$B$4&lt;&gt;"OR+EX",--(DATOS!$G17213=CONFIG_METADATA!$B$4),IF(DATOS!$G17213="EX",1,IF(DATOS!$G17213="OR",--(COUNTIFS(nNIA,DATOS!$A17213,nCURSO,DATOS!$D17213,nESPEC,DATOS!$E17213,nASIG,DATOS!$I17213,nEVAL,"EX")=0),0))))</f>
      </c>
      <c r="H17213">
        <f>IF(DATOS!$G17213&lt;&gt;"EX",0,--(COUNTIFS(nNIA,DATOS!$A17213,nCURSO,DATOS!$D17213,nESPEC,DATOS!$E17213,nASIG,DATOS!$I17213,nEVAL,"OR")=0))</f>
      </c>
      <c r="I17213">
        <f>IF(DATOS!$I17213="","",IFERROR(VLOOKUP(DATOS!$I17213,CONFIG_ASIGNATURAS!$B$2:$J$91,9,FALSE()),""))</f>
      </c>
    </row>
    <row r="17214">
      <c r="F17214">
        <f>IF(DATOS!$A17214="","",DATOS!$A17214&amp;"|"&amp;DATOS!$D17214&amp;"|"&amp;DATOS!$E17214&amp;"|"&amp;DATOS!$I17214)</f>
      </c>
      <c r="G17214">
        <f>IF(DATOS!$A17214="",0,IF(CONFIG_METADATA!$B$4&lt;&gt;"OR+EX",--(DATOS!$G17214=CONFIG_METADATA!$B$4),IF(DATOS!$G17214="EX",1,IF(DATOS!$G17214="OR",--(COUNTIFS(nNIA,DATOS!$A17214,nCURSO,DATOS!$D17214,nESPEC,DATOS!$E17214,nASIG,DATOS!$I17214,nEVAL,"EX")=0),0))))</f>
      </c>
      <c r="H17214">
        <f>IF(DATOS!$G17214&lt;&gt;"EX",0,--(COUNTIFS(nNIA,DATOS!$A17214,nCURSO,DATOS!$D17214,nESPEC,DATOS!$E17214,nASIG,DATOS!$I17214,nEVAL,"OR")=0))</f>
      </c>
      <c r="I17214">
        <f>IF(DATOS!$I17214="","",IFERROR(VLOOKUP(DATOS!$I17214,CONFIG_ASIGNATURAS!$B$2:$J$91,9,FALSE()),""))</f>
      </c>
    </row>
    <row r="17215">
      <c r="F17215">
        <f>IF(DATOS!$A17215="","",DATOS!$A17215&amp;"|"&amp;DATOS!$D17215&amp;"|"&amp;DATOS!$E17215&amp;"|"&amp;DATOS!$I17215)</f>
      </c>
      <c r="G17215">
        <f>IF(DATOS!$A17215="",0,IF(CONFIG_METADATA!$B$4&lt;&gt;"OR+EX",--(DATOS!$G17215=CONFIG_METADATA!$B$4),IF(DATOS!$G17215="EX",1,IF(DATOS!$G17215="OR",--(COUNTIFS(nNIA,DATOS!$A17215,nCURSO,DATOS!$D17215,nESPEC,DATOS!$E17215,nASIG,DATOS!$I17215,nEVAL,"EX")=0),0))))</f>
      </c>
      <c r="H17215">
        <f>IF(DATOS!$G17215&lt;&gt;"EX",0,--(COUNTIFS(nNIA,DATOS!$A17215,nCURSO,DATOS!$D17215,nESPEC,DATOS!$E17215,nASIG,DATOS!$I17215,nEVAL,"OR")=0))</f>
      </c>
      <c r="I17215">
        <f>IF(DATOS!$I17215="","",IFERROR(VLOOKUP(DATOS!$I17215,CONFIG_ASIGNATURAS!$B$2:$J$91,9,FALSE()),""))</f>
      </c>
    </row>
    <row r="17216">
      <c r="F17216">
        <f>IF(DATOS!$A17216="","",DATOS!$A17216&amp;"|"&amp;DATOS!$D17216&amp;"|"&amp;DATOS!$E17216&amp;"|"&amp;DATOS!$I17216)</f>
      </c>
      <c r="G17216">
        <f>IF(DATOS!$A17216="",0,IF(CONFIG_METADATA!$B$4&lt;&gt;"OR+EX",--(DATOS!$G17216=CONFIG_METADATA!$B$4),IF(DATOS!$G17216="EX",1,IF(DATOS!$G17216="OR",--(COUNTIFS(nNIA,DATOS!$A17216,nCURSO,DATOS!$D17216,nESPEC,DATOS!$E17216,nASIG,DATOS!$I17216,nEVAL,"EX")=0),0))))</f>
      </c>
      <c r="H17216">
        <f>IF(DATOS!$G17216&lt;&gt;"EX",0,--(COUNTIFS(nNIA,DATOS!$A17216,nCURSO,DATOS!$D17216,nESPEC,DATOS!$E17216,nASIG,DATOS!$I17216,nEVAL,"OR")=0))</f>
      </c>
      <c r="I17216">
        <f>IF(DATOS!$I17216="","",IFERROR(VLOOKUP(DATOS!$I17216,CONFIG_ASIGNATURAS!$B$2:$J$91,9,FALSE()),""))</f>
      </c>
    </row>
    <row r="17217">
      <c r="F17217">
        <f>IF(DATOS!$A17217="","",DATOS!$A17217&amp;"|"&amp;DATOS!$D17217&amp;"|"&amp;DATOS!$E17217&amp;"|"&amp;DATOS!$I17217)</f>
      </c>
      <c r="G17217">
        <f>IF(DATOS!$A17217="",0,IF(CONFIG_METADATA!$B$4&lt;&gt;"OR+EX",--(DATOS!$G17217=CONFIG_METADATA!$B$4),IF(DATOS!$G17217="EX",1,IF(DATOS!$G17217="OR",--(COUNTIFS(nNIA,DATOS!$A17217,nCURSO,DATOS!$D17217,nESPEC,DATOS!$E17217,nASIG,DATOS!$I17217,nEVAL,"EX")=0),0))))</f>
      </c>
      <c r="H17217">
        <f>IF(DATOS!$G17217&lt;&gt;"EX",0,--(COUNTIFS(nNIA,DATOS!$A17217,nCURSO,DATOS!$D17217,nESPEC,DATOS!$E17217,nASIG,DATOS!$I17217,nEVAL,"OR")=0))</f>
      </c>
      <c r="I17217">
        <f>IF(DATOS!$I17217="","",IFERROR(VLOOKUP(DATOS!$I17217,CONFIG_ASIGNATURAS!$B$2:$J$91,9,FALSE()),""))</f>
      </c>
    </row>
    <row r="17218">
      <c r="F17218">
        <f>IF(DATOS!$A17218="","",DATOS!$A17218&amp;"|"&amp;DATOS!$D17218&amp;"|"&amp;DATOS!$E17218&amp;"|"&amp;DATOS!$I17218)</f>
      </c>
      <c r="G17218">
        <f>IF(DATOS!$A17218="",0,IF(CONFIG_METADATA!$B$4&lt;&gt;"OR+EX",--(DATOS!$G17218=CONFIG_METADATA!$B$4),IF(DATOS!$G17218="EX",1,IF(DATOS!$G17218="OR",--(COUNTIFS(nNIA,DATOS!$A17218,nCURSO,DATOS!$D17218,nESPEC,DATOS!$E17218,nASIG,DATOS!$I17218,nEVAL,"EX")=0),0))))</f>
      </c>
      <c r="H17218">
        <f>IF(DATOS!$G17218&lt;&gt;"EX",0,--(COUNTIFS(nNIA,DATOS!$A17218,nCURSO,DATOS!$D17218,nESPEC,DATOS!$E17218,nASIG,DATOS!$I17218,nEVAL,"OR")=0))</f>
      </c>
      <c r="I17218">
        <f>IF(DATOS!$I17218="","",IFERROR(VLOOKUP(DATOS!$I17218,CONFIG_ASIGNATURAS!$B$2:$J$91,9,FALSE()),""))</f>
      </c>
    </row>
    <row r="17219">
      <c r="F17219">
        <f>IF(DATOS!$A17219="","",DATOS!$A17219&amp;"|"&amp;DATOS!$D17219&amp;"|"&amp;DATOS!$E17219&amp;"|"&amp;DATOS!$I17219)</f>
      </c>
      <c r="G17219">
        <f>IF(DATOS!$A17219="",0,IF(CONFIG_METADATA!$B$4&lt;&gt;"OR+EX",--(DATOS!$G17219=CONFIG_METADATA!$B$4),IF(DATOS!$G17219="EX",1,IF(DATOS!$G17219="OR",--(COUNTIFS(nNIA,DATOS!$A17219,nCURSO,DATOS!$D17219,nESPEC,DATOS!$E17219,nASIG,DATOS!$I17219,nEVAL,"EX")=0),0))))</f>
      </c>
      <c r="H17219">
        <f>IF(DATOS!$G17219&lt;&gt;"EX",0,--(COUNTIFS(nNIA,DATOS!$A17219,nCURSO,DATOS!$D17219,nESPEC,DATOS!$E17219,nASIG,DATOS!$I17219,nEVAL,"OR")=0))</f>
      </c>
      <c r="I17219">
        <f>IF(DATOS!$I17219="","",IFERROR(VLOOKUP(DATOS!$I17219,CONFIG_ASIGNATURAS!$B$2:$J$91,9,FALSE()),""))</f>
      </c>
    </row>
    <row r="17220">
      <c r="F17220">
        <f>IF(DATOS!$A17220="","",DATOS!$A17220&amp;"|"&amp;DATOS!$D17220&amp;"|"&amp;DATOS!$E17220&amp;"|"&amp;DATOS!$I17220)</f>
      </c>
      <c r="G17220">
        <f>IF(DATOS!$A17220="",0,IF(CONFIG_METADATA!$B$4&lt;&gt;"OR+EX",--(DATOS!$G17220=CONFIG_METADATA!$B$4),IF(DATOS!$G17220="EX",1,IF(DATOS!$G17220="OR",--(COUNTIFS(nNIA,DATOS!$A17220,nCURSO,DATOS!$D17220,nESPEC,DATOS!$E17220,nASIG,DATOS!$I17220,nEVAL,"EX")=0),0))))</f>
      </c>
      <c r="H17220">
        <f>IF(DATOS!$G17220&lt;&gt;"EX",0,--(COUNTIFS(nNIA,DATOS!$A17220,nCURSO,DATOS!$D17220,nESPEC,DATOS!$E17220,nASIG,DATOS!$I17220,nEVAL,"OR")=0))</f>
      </c>
      <c r="I17220">
        <f>IF(DATOS!$I17220="","",IFERROR(VLOOKUP(DATOS!$I17220,CONFIG_ASIGNATURAS!$B$2:$J$91,9,FALSE()),""))</f>
      </c>
    </row>
    <row r="17221">
      <c r="F17221">
        <f>IF(DATOS!$A17221="","",DATOS!$A17221&amp;"|"&amp;DATOS!$D17221&amp;"|"&amp;DATOS!$E17221&amp;"|"&amp;DATOS!$I17221)</f>
      </c>
      <c r="G17221">
        <f>IF(DATOS!$A17221="",0,IF(CONFIG_METADATA!$B$4&lt;&gt;"OR+EX",--(DATOS!$G17221=CONFIG_METADATA!$B$4),IF(DATOS!$G17221="EX",1,IF(DATOS!$G17221="OR",--(COUNTIFS(nNIA,DATOS!$A17221,nCURSO,DATOS!$D17221,nESPEC,DATOS!$E17221,nASIG,DATOS!$I17221,nEVAL,"EX")=0),0))))</f>
      </c>
      <c r="H17221">
        <f>IF(DATOS!$G17221&lt;&gt;"EX",0,--(COUNTIFS(nNIA,DATOS!$A17221,nCURSO,DATOS!$D17221,nESPEC,DATOS!$E17221,nASIG,DATOS!$I17221,nEVAL,"OR")=0))</f>
      </c>
      <c r="I17221">
        <f>IF(DATOS!$I17221="","",IFERROR(VLOOKUP(DATOS!$I17221,CONFIG_ASIGNATURAS!$B$2:$J$91,9,FALSE()),""))</f>
      </c>
    </row>
    <row r="17222">
      <c r="F17222">
        <f>IF(DATOS!$A17222="","",DATOS!$A17222&amp;"|"&amp;DATOS!$D17222&amp;"|"&amp;DATOS!$E17222&amp;"|"&amp;DATOS!$I17222)</f>
      </c>
      <c r="G17222">
        <f>IF(DATOS!$A17222="",0,IF(CONFIG_METADATA!$B$4&lt;&gt;"OR+EX",--(DATOS!$G17222=CONFIG_METADATA!$B$4),IF(DATOS!$G17222="EX",1,IF(DATOS!$G17222="OR",--(COUNTIFS(nNIA,DATOS!$A17222,nCURSO,DATOS!$D17222,nESPEC,DATOS!$E17222,nASIG,DATOS!$I17222,nEVAL,"EX")=0),0))))</f>
      </c>
      <c r="H17222">
        <f>IF(DATOS!$G17222&lt;&gt;"EX",0,--(COUNTIFS(nNIA,DATOS!$A17222,nCURSO,DATOS!$D17222,nESPEC,DATOS!$E17222,nASIG,DATOS!$I17222,nEVAL,"OR")=0))</f>
      </c>
      <c r="I17222">
        <f>IF(DATOS!$I17222="","",IFERROR(VLOOKUP(DATOS!$I17222,CONFIG_ASIGNATURAS!$B$2:$J$91,9,FALSE()),""))</f>
      </c>
    </row>
    <row r="17223">
      <c r="F17223">
        <f>IF(DATOS!$A17223="","",DATOS!$A17223&amp;"|"&amp;DATOS!$D17223&amp;"|"&amp;DATOS!$E17223&amp;"|"&amp;DATOS!$I17223)</f>
      </c>
      <c r="G17223">
        <f>IF(DATOS!$A17223="",0,IF(CONFIG_METADATA!$B$4&lt;&gt;"OR+EX",--(DATOS!$G17223=CONFIG_METADATA!$B$4),IF(DATOS!$G17223="EX",1,IF(DATOS!$G17223="OR",--(COUNTIFS(nNIA,DATOS!$A17223,nCURSO,DATOS!$D17223,nESPEC,DATOS!$E17223,nASIG,DATOS!$I17223,nEVAL,"EX")=0),0))))</f>
      </c>
      <c r="H17223">
        <f>IF(DATOS!$G17223&lt;&gt;"EX",0,--(COUNTIFS(nNIA,DATOS!$A17223,nCURSO,DATOS!$D17223,nESPEC,DATOS!$E17223,nASIG,DATOS!$I17223,nEVAL,"OR")=0))</f>
      </c>
      <c r="I17223">
        <f>IF(DATOS!$I17223="","",IFERROR(VLOOKUP(DATOS!$I17223,CONFIG_ASIGNATURAS!$B$2:$J$91,9,FALSE()),""))</f>
      </c>
    </row>
    <row r="17224">
      <c r="F17224">
        <f>IF(DATOS!$A17224="","",DATOS!$A17224&amp;"|"&amp;DATOS!$D17224&amp;"|"&amp;DATOS!$E17224&amp;"|"&amp;DATOS!$I17224)</f>
      </c>
      <c r="G17224">
        <f>IF(DATOS!$A17224="",0,IF(CONFIG_METADATA!$B$4&lt;&gt;"OR+EX",--(DATOS!$G17224=CONFIG_METADATA!$B$4),IF(DATOS!$G17224="EX",1,IF(DATOS!$G17224="OR",--(COUNTIFS(nNIA,DATOS!$A17224,nCURSO,DATOS!$D17224,nESPEC,DATOS!$E17224,nASIG,DATOS!$I17224,nEVAL,"EX")=0),0))))</f>
      </c>
      <c r="H17224">
        <f>IF(DATOS!$G17224&lt;&gt;"EX",0,--(COUNTIFS(nNIA,DATOS!$A17224,nCURSO,DATOS!$D17224,nESPEC,DATOS!$E17224,nASIG,DATOS!$I17224,nEVAL,"OR")=0))</f>
      </c>
      <c r="I17224">
        <f>IF(DATOS!$I17224="","",IFERROR(VLOOKUP(DATOS!$I17224,CONFIG_ASIGNATURAS!$B$2:$J$91,9,FALSE()),""))</f>
      </c>
    </row>
    <row r="17225">
      <c r="F17225">
        <f>IF(DATOS!$A17225="","",DATOS!$A17225&amp;"|"&amp;DATOS!$D17225&amp;"|"&amp;DATOS!$E17225&amp;"|"&amp;DATOS!$I17225)</f>
      </c>
      <c r="G17225">
        <f>IF(DATOS!$A17225="",0,IF(CONFIG_METADATA!$B$4&lt;&gt;"OR+EX",--(DATOS!$G17225=CONFIG_METADATA!$B$4),IF(DATOS!$G17225="EX",1,IF(DATOS!$G17225="OR",--(COUNTIFS(nNIA,DATOS!$A17225,nCURSO,DATOS!$D17225,nESPEC,DATOS!$E17225,nASIG,DATOS!$I17225,nEVAL,"EX")=0),0))))</f>
      </c>
      <c r="H17225">
        <f>IF(DATOS!$G17225&lt;&gt;"EX",0,--(COUNTIFS(nNIA,DATOS!$A17225,nCURSO,DATOS!$D17225,nESPEC,DATOS!$E17225,nASIG,DATOS!$I17225,nEVAL,"OR")=0))</f>
      </c>
      <c r="I17225">
        <f>IF(DATOS!$I17225="","",IFERROR(VLOOKUP(DATOS!$I17225,CONFIG_ASIGNATURAS!$B$2:$J$91,9,FALSE()),""))</f>
      </c>
    </row>
    <row r="17226">
      <c r="F17226">
        <f>IF(DATOS!$A17226="","",DATOS!$A17226&amp;"|"&amp;DATOS!$D17226&amp;"|"&amp;DATOS!$E17226&amp;"|"&amp;DATOS!$I17226)</f>
      </c>
      <c r="G17226">
        <f>IF(DATOS!$A17226="",0,IF(CONFIG_METADATA!$B$4&lt;&gt;"OR+EX",--(DATOS!$G17226=CONFIG_METADATA!$B$4),IF(DATOS!$G17226="EX",1,IF(DATOS!$G17226="OR",--(COUNTIFS(nNIA,DATOS!$A17226,nCURSO,DATOS!$D17226,nESPEC,DATOS!$E17226,nASIG,DATOS!$I17226,nEVAL,"EX")=0),0))))</f>
      </c>
      <c r="H17226">
        <f>IF(DATOS!$G17226&lt;&gt;"EX",0,--(COUNTIFS(nNIA,DATOS!$A17226,nCURSO,DATOS!$D17226,nESPEC,DATOS!$E17226,nASIG,DATOS!$I17226,nEVAL,"OR")=0))</f>
      </c>
      <c r="I17226">
        <f>IF(DATOS!$I17226="","",IFERROR(VLOOKUP(DATOS!$I17226,CONFIG_ASIGNATURAS!$B$2:$J$91,9,FALSE()),""))</f>
      </c>
    </row>
    <row r="17227">
      <c r="F17227">
        <f>IF(DATOS!$A17227="","",DATOS!$A17227&amp;"|"&amp;DATOS!$D17227&amp;"|"&amp;DATOS!$E17227&amp;"|"&amp;DATOS!$I17227)</f>
      </c>
      <c r="G17227">
        <f>IF(DATOS!$A17227="",0,IF(CONFIG_METADATA!$B$4&lt;&gt;"OR+EX",--(DATOS!$G17227=CONFIG_METADATA!$B$4),IF(DATOS!$G17227="EX",1,IF(DATOS!$G17227="OR",--(COUNTIFS(nNIA,DATOS!$A17227,nCURSO,DATOS!$D17227,nESPEC,DATOS!$E17227,nASIG,DATOS!$I17227,nEVAL,"EX")=0),0))))</f>
      </c>
      <c r="H17227">
        <f>IF(DATOS!$G17227&lt;&gt;"EX",0,--(COUNTIFS(nNIA,DATOS!$A17227,nCURSO,DATOS!$D17227,nESPEC,DATOS!$E17227,nASIG,DATOS!$I17227,nEVAL,"OR")=0))</f>
      </c>
      <c r="I17227">
        <f>IF(DATOS!$I17227="","",IFERROR(VLOOKUP(DATOS!$I17227,CONFIG_ASIGNATURAS!$B$2:$J$91,9,FALSE()),""))</f>
      </c>
    </row>
    <row r="17228">
      <c r="F17228">
        <f>IF(DATOS!$A17228="","",DATOS!$A17228&amp;"|"&amp;DATOS!$D17228&amp;"|"&amp;DATOS!$E17228&amp;"|"&amp;DATOS!$I17228)</f>
      </c>
      <c r="G17228">
        <f>IF(DATOS!$A17228="",0,IF(CONFIG_METADATA!$B$4&lt;&gt;"OR+EX",--(DATOS!$G17228=CONFIG_METADATA!$B$4),IF(DATOS!$G17228="EX",1,IF(DATOS!$G17228="OR",--(COUNTIFS(nNIA,DATOS!$A17228,nCURSO,DATOS!$D17228,nESPEC,DATOS!$E17228,nASIG,DATOS!$I17228,nEVAL,"EX")=0),0))))</f>
      </c>
      <c r="H17228">
        <f>IF(DATOS!$G17228&lt;&gt;"EX",0,--(COUNTIFS(nNIA,DATOS!$A17228,nCURSO,DATOS!$D17228,nESPEC,DATOS!$E17228,nASIG,DATOS!$I17228,nEVAL,"OR")=0))</f>
      </c>
      <c r="I17228">
        <f>IF(DATOS!$I17228="","",IFERROR(VLOOKUP(DATOS!$I17228,CONFIG_ASIGNATURAS!$B$2:$J$91,9,FALSE()),""))</f>
      </c>
    </row>
    <row r="17229">
      <c r="F17229">
        <f>IF(DATOS!$A17229="","",DATOS!$A17229&amp;"|"&amp;DATOS!$D17229&amp;"|"&amp;DATOS!$E17229&amp;"|"&amp;DATOS!$I17229)</f>
      </c>
      <c r="G17229">
        <f>IF(DATOS!$A17229="",0,IF(CONFIG_METADATA!$B$4&lt;&gt;"OR+EX",--(DATOS!$G17229=CONFIG_METADATA!$B$4),IF(DATOS!$G17229="EX",1,IF(DATOS!$G17229="OR",--(COUNTIFS(nNIA,DATOS!$A17229,nCURSO,DATOS!$D17229,nESPEC,DATOS!$E17229,nASIG,DATOS!$I17229,nEVAL,"EX")=0),0))))</f>
      </c>
      <c r="H17229">
        <f>IF(DATOS!$G17229&lt;&gt;"EX",0,--(COUNTIFS(nNIA,DATOS!$A17229,nCURSO,DATOS!$D17229,nESPEC,DATOS!$E17229,nASIG,DATOS!$I17229,nEVAL,"OR")=0))</f>
      </c>
      <c r="I17229">
        <f>IF(DATOS!$I17229="","",IFERROR(VLOOKUP(DATOS!$I17229,CONFIG_ASIGNATURAS!$B$2:$J$91,9,FALSE()),""))</f>
      </c>
    </row>
    <row r="17230">
      <c r="F17230">
        <f>IF(DATOS!$A17230="","",DATOS!$A17230&amp;"|"&amp;DATOS!$D17230&amp;"|"&amp;DATOS!$E17230&amp;"|"&amp;DATOS!$I17230)</f>
      </c>
      <c r="G17230">
        <f>IF(DATOS!$A17230="",0,IF(CONFIG_METADATA!$B$4&lt;&gt;"OR+EX",--(DATOS!$G17230=CONFIG_METADATA!$B$4),IF(DATOS!$G17230="EX",1,IF(DATOS!$G17230="OR",--(COUNTIFS(nNIA,DATOS!$A17230,nCURSO,DATOS!$D17230,nESPEC,DATOS!$E17230,nASIG,DATOS!$I17230,nEVAL,"EX")=0),0))))</f>
      </c>
      <c r="H17230">
        <f>IF(DATOS!$G17230&lt;&gt;"EX",0,--(COUNTIFS(nNIA,DATOS!$A17230,nCURSO,DATOS!$D17230,nESPEC,DATOS!$E17230,nASIG,DATOS!$I17230,nEVAL,"OR")=0))</f>
      </c>
      <c r="I17230">
        <f>IF(DATOS!$I17230="","",IFERROR(VLOOKUP(DATOS!$I17230,CONFIG_ASIGNATURAS!$B$2:$J$91,9,FALSE()),""))</f>
      </c>
    </row>
    <row r="17231">
      <c r="F17231">
        <f>IF(DATOS!$A17231="","",DATOS!$A17231&amp;"|"&amp;DATOS!$D17231&amp;"|"&amp;DATOS!$E17231&amp;"|"&amp;DATOS!$I17231)</f>
      </c>
      <c r="G17231">
        <f>IF(DATOS!$A17231="",0,IF(CONFIG_METADATA!$B$4&lt;&gt;"OR+EX",--(DATOS!$G17231=CONFIG_METADATA!$B$4),IF(DATOS!$G17231="EX",1,IF(DATOS!$G17231="OR",--(COUNTIFS(nNIA,DATOS!$A17231,nCURSO,DATOS!$D17231,nESPEC,DATOS!$E17231,nASIG,DATOS!$I17231,nEVAL,"EX")=0),0))))</f>
      </c>
      <c r="H17231">
        <f>IF(DATOS!$G17231&lt;&gt;"EX",0,--(COUNTIFS(nNIA,DATOS!$A17231,nCURSO,DATOS!$D17231,nESPEC,DATOS!$E17231,nASIG,DATOS!$I17231,nEVAL,"OR")=0))</f>
      </c>
      <c r="I17231">
        <f>IF(DATOS!$I17231="","",IFERROR(VLOOKUP(DATOS!$I17231,CONFIG_ASIGNATURAS!$B$2:$J$91,9,FALSE()),""))</f>
      </c>
    </row>
    <row r="17232">
      <c r="F17232">
        <f>IF(DATOS!$A17232="","",DATOS!$A17232&amp;"|"&amp;DATOS!$D17232&amp;"|"&amp;DATOS!$E17232&amp;"|"&amp;DATOS!$I17232)</f>
      </c>
      <c r="G17232">
        <f>IF(DATOS!$A17232="",0,IF(CONFIG_METADATA!$B$4&lt;&gt;"OR+EX",--(DATOS!$G17232=CONFIG_METADATA!$B$4),IF(DATOS!$G17232="EX",1,IF(DATOS!$G17232="OR",--(COUNTIFS(nNIA,DATOS!$A17232,nCURSO,DATOS!$D17232,nESPEC,DATOS!$E17232,nASIG,DATOS!$I17232,nEVAL,"EX")=0),0))))</f>
      </c>
      <c r="H17232">
        <f>IF(DATOS!$G17232&lt;&gt;"EX",0,--(COUNTIFS(nNIA,DATOS!$A17232,nCURSO,DATOS!$D17232,nESPEC,DATOS!$E17232,nASIG,DATOS!$I17232,nEVAL,"OR")=0))</f>
      </c>
      <c r="I17232">
        <f>IF(DATOS!$I17232="","",IFERROR(VLOOKUP(DATOS!$I17232,CONFIG_ASIGNATURAS!$B$2:$J$91,9,FALSE()),""))</f>
      </c>
    </row>
    <row r="17233">
      <c r="F17233">
        <f>IF(DATOS!$A17233="","",DATOS!$A17233&amp;"|"&amp;DATOS!$D17233&amp;"|"&amp;DATOS!$E17233&amp;"|"&amp;DATOS!$I17233)</f>
      </c>
      <c r="G17233">
        <f>IF(DATOS!$A17233="",0,IF(CONFIG_METADATA!$B$4&lt;&gt;"OR+EX",--(DATOS!$G17233=CONFIG_METADATA!$B$4),IF(DATOS!$G17233="EX",1,IF(DATOS!$G17233="OR",--(COUNTIFS(nNIA,DATOS!$A17233,nCURSO,DATOS!$D17233,nESPEC,DATOS!$E17233,nASIG,DATOS!$I17233,nEVAL,"EX")=0),0))))</f>
      </c>
      <c r="H17233">
        <f>IF(DATOS!$G17233&lt;&gt;"EX",0,--(COUNTIFS(nNIA,DATOS!$A17233,nCURSO,DATOS!$D17233,nESPEC,DATOS!$E17233,nASIG,DATOS!$I17233,nEVAL,"OR")=0))</f>
      </c>
      <c r="I17233">
        <f>IF(DATOS!$I17233="","",IFERROR(VLOOKUP(DATOS!$I17233,CONFIG_ASIGNATURAS!$B$2:$J$91,9,FALSE()),""))</f>
      </c>
    </row>
    <row r="17234">
      <c r="F17234">
        <f>IF(DATOS!$A17234="","",DATOS!$A17234&amp;"|"&amp;DATOS!$D17234&amp;"|"&amp;DATOS!$E17234&amp;"|"&amp;DATOS!$I17234)</f>
      </c>
      <c r="G17234">
        <f>IF(DATOS!$A17234="",0,IF(CONFIG_METADATA!$B$4&lt;&gt;"OR+EX",--(DATOS!$G17234=CONFIG_METADATA!$B$4),IF(DATOS!$G17234="EX",1,IF(DATOS!$G17234="OR",--(COUNTIFS(nNIA,DATOS!$A17234,nCURSO,DATOS!$D17234,nESPEC,DATOS!$E17234,nASIG,DATOS!$I17234,nEVAL,"EX")=0),0))))</f>
      </c>
      <c r="H17234">
        <f>IF(DATOS!$G17234&lt;&gt;"EX",0,--(COUNTIFS(nNIA,DATOS!$A17234,nCURSO,DATOS!$D17234,nESPEC,DATOS!$E17234,nASIG,DATOS!$I17234,nEVAL,"OR")=0))</f>
      </c>
      <c r="I17234">
        <f>IF(DATOS!$I17234="","",IFERROR(VLOOKUP(DATOS!$I17234,CONFIG_ASIGNATURAS!$B$2:$J$91,9,FALSE()),""))</f>
      </c>
    </row>
    <row r="17235">
      <c r="F17235">
        <f>IF(DATOS!$A17235="","",DATOS!$A17235&amp;"|"&amp;DATOS!$D17235&amp;"|"&amp;DATOS!$E17235&amp;"|"&amp;DATOS!$I17235)</f>
      </c>
      <c r="G17235">
        <f>IF(DATOS!$A17235="",0,IF(CONFIG_METADATA!$B$4&lt;&gt;"OR+EX",--(DATOS!$G17235=CONFIG_METADATA!$B$4),IF(DATOS!$G17235="EX",1,IF(DATOS!$G17235="OR",--(COUNTIFS(nNIA,DATOS!$A17235,nCURSO,DATOS!$D17235,nESPEC,DATOS!$E17235,nASIG,DATOS!$I17235,nEVAL,"EX")=0),0))))</f>
      </c>
      <c r="H17235">
        <f>IF(DATOS!$G17235&lt;&gt;"EX",0,--(COUNTIFS(nNIA,DATOS!$A17235,nCURSO,DATOS!$D17235,nESPEC,DATOS!$E17235,nASIG,DATOS!$I17235,nEVAL,"OR")=0))</f>
      </c>
      <c r="I17235">
        <f>IF(DATOS!$I17235="","",IFERROR(VLOOKUP(DATOS!$I17235,CONFIG_ASIGNATURAS!$B$2:$J$91,9,FALSE()),""))</f>
      </c>
    </row>
    <row r="17236">
      <c r="F17236">
        <f>IF(DATOS!$A17236="","",DATOS!$A17236&amp;"|"&amp;DATOS!$D17236&amp;"|"&amp;DATOS!$E17236&amp;"|"&amp;DATOS!$I17236)</f>
      </c>
      <c r="G17236">
        <f>IF(DATOS!$A17236="",0,IF(CONFIG_METADATA!$B$4&lt;&gt;"OR+EX",--(DATOS!$G17236=CONFIG_METADATA!$B$4),IF(DATOS!$G17236="EX",1,IF(DATOS!$G17236="OR",--(COUNTIFS(nNIA,DATOS!$A17236,nCURSO,DATOS!$D17236,nESPEC,DATOS!$E17236,nASIG,DATOS!$I17236,nEVAL,"EX")=0),0))))</f>
      </c>
      <c r="H17236">
        <f>IF(DATOS!$G17236&lt;&gt;"EX",0,--(COUNTIFS(nNIA,DATOS!$A17236,nCURSO,DATOS!$D17236,nESPEC,DATOS!$E17236,nASIG,DATOS!$I17236,nEVAL,"OR")=0))</f>
      </c>
      <c r="I17236">
        <f>IF(DATOS!$I17236="","",IFERROR(VLOOKUP(DATOS!$I17236,CONFIG_ASIGNATURAS!$B$2:$J$91,9,FALSE()),""))</f>
      </c>
    </row>
    <row r="17237">
      <c r="F17237">
        <f>IF(DATOS!$A17237="","",DATOS!$A17237&amp;"|"&amp;DATOS!$D17237&amp;"|"&amp;DATOS!$E17237&amp;"|"&amp;DATOS!$I17237)</f>
      </c>
      <c r="G17237">
        <f>IF(DATOS!$A17237="",0,IF(CONFIG_METADATA!$B$4&lt;&gt;"OR+EX",--(DATOS!$G17237=CONFIG_METADATA!$B$4),IF(DATOS!$G17237="EX",1,IF(DATOS!$G17237="OR",--(COUNTIFS(nNIA,DATOS!$A17237,nCURSO,DATOS!$D17237,nESPEC,DATOS!$E17237,nASIG,DATOS!$I17237,nEVAL,"EX")=0),0))))</f>
      </c>
      <c r="H17237">
        <f>IF(DATOS!$G17237&lt;&gt;"EX",0,--(COUNTIFS(nNIA,DATOS!$A17237,nCURSO,DATOS!$D17237,nESPEC,DATOS!$E17237,nASIG,DATOS!$I17237,nEVAL,"OR")=0))</f>
      </c>
      <c r="I17237">
        <f>IF(DATOS!$I17237="","",IFERROR(VLOOKUP(DATOS!$I17237,CONFIG_ASIGNATURAS!$B$2:$J$91,9,FALSE()),""))</f>
      </c>
    </row>
    <row r="17238">
      <c r="F17238">
        <f>IF(DATOS!$A17238="","",DATOS!$A17238&amp;"|"&amp;DATOS!$D17238&amp;"|"&amp;DATOS!$E17238&amp;"|"&amp;DATOS!$I17238)</f>
      </c>
      <c r="G17238">
        <f>IF(DATOS!$A17238="",0,IF(CONFIG_METADATA!$B$4&lt;&gt;"OR+EX",--(DATOS!$G17238=CONFIG_METADATA!$B$4),IF(DATOS!$G17238="EX",1,IF(DATOS!$G17238="OR",--(COUNTIFS(nNIA,DATOS!$A17238,nCURSO,DATOS!$D17238,nESPEC,DATOS!$E17238,nASIG,DATOS!$I17238,nEVAL,"EX")=0),0))))</f>
      </c>
      <c r="H17238">
        <f>IF(DATOS!$G17238&lt;&gt;"EX",0,--(COUNTIFS(nNIA,DATOS!$A17238,nCURSO,DATOS!$D17238,nESPEC,DATOS!$E17238,nASIG,DATOS!$I17238,nEVAL,"OR")=0))</f>
      </c>
      <c r="I17238">
        <f>IF(DATOS!$I17238="","",IFERROR(VLOOKUP(DATOS!$I17238,CONFIG_ASIGNATURAS!$B$2:$J$91,9,FALSE()),""))</f>
      </c>
    </row>
    <row r="17239">
      <c r="F17239">
        <f>IF(DATOS!$A17239="","",DATOS!$A17239&amp;"|"&amp;DATOS!$D17239&amp;"|"&amp;DATOS!$E17239&amp;"|"&amp;DATOS!$I17239)</f>
      </c>
      <c r="G17239">
        <f>IF(DATOS!$A17239="",0,IF(CONFIG_METADATA!$B$4&lt;&gt;"OR+EX",--(DATOS!$G17239=CONFIG_METADATA!$B$4),IF(DATOS!$G17239="EX",1,IF(DATOS!$G17239="OR",--(COUNTIFS(nNIA,DATOS!$A17239,nCURSO,DATOS!$D17239,nESPEC,DATOS!$E17239,nASIG,DATOS!$I17239,nEVAL,"EX")=0),0))))</f>
      </c>
      <c r="H17239">
        <f>IF(DATOS!$G17239&lt;&gt;"EX",0,--(COUNTIFS(nNIA,DATOS!$A17239,nCURSO,DATOS!$D17239,nESPEC,DATOS!$E17239,nASIG,DATOS!$I17239,nEVAL,"OR")=0))</f>
      </c>
      <c r="I17239">
        <f>IF(DATOS!$I17239="","",IFERROR(VLOOKUP(DATOS!$I17239,CONFIG_ASIGNATURAS!$B$2:$J$91,9,FALSE()),""))</f>
      </c>
    </row>
    <row r="17240">
      <c r="F17240">
        <f>IF(DATOS!$A17240="","",DATOS!$A17240&amp;"|"&amp;DATOS!$D17240&amp;"|"&amp;DATOS!$E17240&amp;"|"&amp;DATOS!$I17240)</f>
      </c>
      <c r="G17240">
        <f>IF(DATOS!$A17240="",0,IF(CONFIG_METADATA!$B$4&lt;&gt;"OR+EX",--(DATOS!$G17240=CONFIG_METADATA!$B$4),IF(DATOS!$G17240="EX",1,IF(DATOS!$G17240="OR",--(COUNTIFS(nNIA,DATOS!$A17240,nCURSO,DATOS!$D17240,nESPEC,DATOS!$E17240,nASIG,DATOS!$I17240,nEVAL,"EX")=0),0))))</f>
      </c>
      <c r="H17240">
        <f>IF(DATOS!$G17240&lt;&gt;"EX",0,--(COUNTIFS(nNIA,DATOS!$A17240,nCURSO,DATOS!$D17240,nESPEC,DATOS!$E17240,nASIG,DATOS!$I17240,nEVAL,"OR")=0))</f>
      </c>
      <c r="I17240">
        <f>IF(DATOS!$I17240="","",IFERROR(VLOOKUP(DATOS!$I17240,CONFIG_ASIGNATURAS!$B$2:$J$91,9,FALSE()),""))</f>
      </c>
    </row>
    <row r="17241">
      <c r="F17241">
        <f>IF(DATOS!$A17241="","",DATOS!$A17241&amp;"|"&amp;DATOS!$D17241&amp;"|"&amp;DATOS!$E17241&amp;"|"&amp;DATOS!$I17241)</f>
      </c>
      <c r="G17241">
        <f>IF(DATOS!$A17241="",0,IF(CONFIG_METADATA!$B$4&lt;&gt;"OR+EX",--(DATOS!$G17241=CONFIG_METADATA!$B$4),IF(DATOS!$G17241="EX",1,IF(DATOS!$G17241="OR",--(COUNTIFS(nNIA,DATOS!$A17241,nCURSO,DATOS!$D17241,nESPEC,DATOS!$E17241,nASIG,DATOS!$I17241,nEVAL,"EX")=0),0))))</f>
      </c>
      <c r="H17241">
        <f>IF(DATOS!$G17241&lt;&gt;"EX",0,--(COUNTIFS(nNIA,DATOS!$A17241,nCURSO,DATOS!$D17241,nESPEC,DATOS!$E17241,nASIG,DATOS!$I17241,nEVAL,"OR")=0))</f>
      </c>
      <c r="I17241">
        <f>IF(DATOS!$I17241="","",IFERROR(VLOOKUP(DATOS!$I17241,CONFIG_ASIGNATURAS!$B$2:$J$91,9,FALSE()),""))</f>
      </c>
    </row>
    <row r="17242">
      <c r="F17242">
        <f>IF(DATOS!$A17242="","",DATOS!$A17242&amp;"|"&amp;DATOS!$D17242&amp;"|"&amp;DATOS!$E17242&amp;"|"&amp;DATOS!$I17242)</f>
      </c>
      <c r="G17242">
        <f>IF(DATOS!$A17242="",0,IF(CONFIG_METADATA!$B$4&lt;&gt;"OR+EX",--(DATOS!$G17242=CONFIG_METADATA!$B$4),IF(DATOS!$G17242="EX",1,IF(DATOS!$G17242="OR",--(COUNTIFS(nNIA,DATOS!$A17242,nCURSO,DATOS!$D17242,nESPEC,DATOS!$E17242,nASIG,DATOS!$I17242,nEVAL,"EX")=0),0))))</f>
      </c>
      <c r="H17242">
        <f>IF(DATOS!$G17242&lt;&gt;"EX",0,--(COUNTIFS(nNIA,DATOS!$A17242,nCURSO,DATOS!$D17242,nESPEC,DATOS!$E17242,nASIG,DATOS!$I17242,nEVAL,"OR")=0))</f>
      </c>
      <c r="I17242">
        <f>IF(DATOS!$I17242="","",IFERROR(VLOOKUP(DATOS!$I17242,CONFIG_ASIGNATURAS!$B$2:$J$91,9,FALSE()),""))</f>
      </c>
    </row>
    <row r="17243">
      <c r="F17243">
        <f>IF(DATOS!$A17243="","",DATOS!$A17243&amp;"|"&amp;DATOS!$D17243&amp;"|"&amp;DATOS!$E17243&amp;"|"&amp;DATOS!$I17243)</f>
      </c>
      <c r="G17243">
        <f>IF(DATOS!$A17243="",0,IF(CONFIG_METADATA!$B$4&lt;&gt;"OR+EX",--(DATOS!$G17243=CONFIG_METADATA!$B$4),IF(DATOS!$G17243="EX",1,IF(DATOS!$G17243="OR",--(COUNTIFS(nNIA,DATOS!$A17243,nCURSO,DATOS!$D17243,nESPEC,DATOS!$E17243,nASIG,DATOS!$I17243,nEVAL,"EX")=0),0))))</f>
      </c>
      <c r="H17243">
        <f>IF(DATOS!$G17243&lt;&gt;"EX",0,--(COUNTIFS(nNIA,DATOS!$A17243,nCURSO,DATOS!$D17243,nESPEC,DATOS!$E17243,nASIG,DATOS!$I17243,nEVAL,"OR")=0))</f>
      </c>
      <c r="I17243">
        <f>IF(DATOS!$I17243="","",IFERROR(VLOOKUP(DATOS!$I17243,CONFIG_ASIGNATURAS!$B$2:$J$91,9,FALSE()),""))</f>
      </c>
    </row>
    <row r="17244">
      <c r="F17244">
        <f>IF(DATOS!$A17244="","",DATOS!$A17244&amp;"|"&amp;DATOS!$D17244&amp;"|"&amp;DATOS!$E17244&amp;"|"&amp;DATOS!$I17244)</f>
      </c>
      <c r="G17244">
        <f>IF(DATOS!$A17244="",0,IF(CONFIG_METADATA!$B$4&lt;&gt;"OR+EX",--(DATOS!$G17244=CONFIG_METADATA!$B$4),IF(DATOS!$G17244="EX",1,IF(DATOS!$G17244="OR",--(COUNTIFS(nNIA,DATOS!$A17244,nCURSO,DATOS!$D17244,nESPEC,DATOS!$E17244,nASIG,DATOS!$I17244,nEVAL,"EX")=0),0))))</f>
      </c>
      <c r="H17244">
        <f>IF(DATOS!$G17244&lt;&gt;"EX",0,--(COUNTIFS(nNIA,DATOS!$A17244,nCURSO,DATOS!$D17244,nESPEC,DATOS!$E17244,nASIG,DATOS!$I17244,nEVAL,"OR")=0))</f>
      </c>
      <c r="I17244">
        <f>IF(DATOS!$I17244="","",IFERROR(VLOOKUP(DATOS!$I17244,CONFIG_ASIGNATURAS!$B$2:$J$91,9,FALSE()),""))</f>
      </c>
    </row>
    <row r="17245">
      <c r="F17245">
        <f>IF(DATOS!$A17245="","",DATOS!$A17245&amp;"|"&amp;DATOS!$D17245&amp;"|"&amp;DATOS!$E17245&amp;"|"&amp;DATOS!$I17245)</f>
      </c>
      <c r="G17245">
        <f>IF(DATOS!$A17245="",0,IF(CONFIG_METADATA!$B$4&lt;&gt;"OR+EX",--(DATOS!$G17245=CONFIG_METADATA!$B$4),IF(DATOS!$G17245="EX",1,IF(DATOS!$G17245="OR",--(COUNTIFS(nNIA,DATOS!$A17245,nCURSO,DATOS!$D17245,nESPEC,DATOS!$E17245,nASIG,DATOS!$I17245,nEVAL,"EX")=0),0))))</f>
      </c>
      <c r="H17245">
        <f>IF(DATOS!$G17245&lt;&gt;"EX",0,--(COUNTIFS(nNIA,DATOS!$A17245,nCURSO,DATOS!$D17245,nESPEC,DATOS!$E17245,nASIG,DATOS!$I17245,nEVAL,"OR")=0))</f>
      </c>
      <c r="I17245">
        <f>IF(DATOS!$I17245="","",IFERROR(VLOOKUP(DATOS!$I17245,CONFIG_ASIGNATURAS!$B$2:$J$91,9,FALSE()),""))</f>
      </c>
    </row>
    <row r="17246">
      <c r="F17246">
        <f>IF(DATOS!$A17246="","",DATOS!$A17246&amp;"|"&amp;DATOS!$D17246&amp;"|"&amp;DATOS!$E17246&amp;"|"&amp;DATOS!$I17246)</f>
      </c>
      <c r="G17246">
        <f>IF(DATOS!$A17246="",0,IF(CONFIG_METADATA!$B$4&lt;&gt;"OR+EX",--(DATOS!$G17246=CONFIG_METADATA!$B$4),IF(DATOS!$G17246="EX",1,IF(DATOS!$G17246="OR",--(COUNTIFS(nNIA,DATOS!$A17246,nCURSO,DATOS!$D17246,nESPEC,DATOS!$E17246,nASIG,DATOS!$I17246,nEVAL,"EX")=0),0))))</f>
      </c>
      <c r="H17246">
        <f>IF(DATOS!$G17246&lt;&gt;"EX",0,--(COUNTIFS(nNIA,DATOS!$A17246,nCURSO,DATOS!$D17246,nESPEC,DATOS!$E17246,nASIG,DATOS!$I17246,nEVAL,"OR")=0))</f>
      </c>
      <c r="I17246">
        <f>IF(DATOS!$I17246="","",IFERROR(VLOOKUP(DATOS!$I17246,CONFIG_ASIGNATURAS!$B$2:$J$91,9,FALSE()),""))</f>
      </c>
    </row>
    <row r="17247">
      <c r="F17247">
        <f>IF(DATOS!$A17247="","",DATOS!$A17247&amp;"|"&amp;DATOS!$D17247&amp;"|"&amp;DATOS!$E17247&amp;"|"&amp;DATOS!$I17247)</f>
      </c>
      <c r="G17247">
        <f>IF(DATOS!$A17247="",0,IF(CONFIG_METADATA!$B$4&lt;&gt;"OR+EX",--(DATOS!$G17247=CONFIG_METADATA!$B$4),IF(DATOS!$G17247="EX",1,IF(DATOS!$G17247="OR",--(COUNTIFS(nNIA,DATOS!$A17247,nCURSO,DATOS!$D17247,nESPEC,DATOS!$E17247,nASIG,DATOS!$I17247,nEVAL,"EX")=0),0))))</f>
      </c>
      <c r="H17247">
        <f>IF(DATOS!$G17247&lt;&gt;"EX",0,--(COUNTIFS(nNIA,DATOS!$A17247,nCURSO,DATOS!$D17247,nESPEC,DATOS!$E17247,nASIG,DATOS!$I17247,nEVAL,"OR")=0))</f>
      </c>
      <c r="I17247">
        <f>IF(DATOS!$I17247="","",IFERROR(VLOOKUP(DATOS!$I17247,CONFIG_ASIGNATURAS!$B$2:$J$91,9,FALSE()),""))</f>
      </c>
    </row>
    <row r="17248">
      <c r="F17248">
        <f>IF(DATOS!$A17248="","",DATOS!$A17248&amp;"|"&amp;DATOS!$D17248&amp;"|"&amp;DATOS!$E17248&amp;"|"&amp;DATOS!$I17248)</f>
      </c>
      <c r="G17248">
        <f>IF(DATOS!$A17248="",0,IF(CONFIG_METADATA!$B$4&lt;&gt;"OR+EX",--(DATOS!$G17248=CONFIG_METADATA!$B$4),IF(DATOS!$G17248="EX",1,IF(DATOS!$G17248="OR",--(COUNTIFS(nNIA,DATOS!$A17248,nCURSO,DATOS!$D17248,nESPEC,DATOS!$E17248,nASIG,DATOS!$I17248,nEVAL,"EX")=0),0))))</f>
      </c>
      <c r="H17248">
        <f>IF(DATOS!$G17248&lt;&gt;"EX",0,--(COUNTIFS(nNIA,DATOS!$A17248,nCURSO,DATOS!$D17248,nESPEC,DATOS!$E17248,nASIG,DATOS!$I17248,nEVAL,"OR")=0))</f>
      </c>
      <c r="I17248">
        <f>IF(DATOS!$I17248="","",IFERROR(VLOOKUP(DATOS!$I17248,CONFIG_ASIGNATURAS!$B$2:$J$91,9,FALSE()),""))</f>
      </c>
    </row>
    <row r="17249">
      <c r="F17249">
        <f>IF(DATOS!$A17249="","",DATOS!$A17249&amp;"|"&amp;DATOS!$D17249&amp;"|"&amp;DATOS!$E17249&amp;"|"&amp;DATOS!$I17249)</f>
      </c>
      <c r="G17249">
        <f>IF(DATOS!$A17249="",0,IF(CONFIG_METADATA!$B$4&lt;&gt;"OR+EX",--(DATOS!$G17249=CONFIG_METADATA!$B$4),IF(DATOS!$G17249="EX",1,IF(DATOS!$G17249="OR",--(COUNTIFS(nNIA,DATOS!$A17249,nCURSO,DATOS!$D17249,nESPEC,DATOS!$E17249,nASIG,DATOS!$I17249,nEVAL,"EX")=0),0))))</f>
      </c>
      <c r="H17249">
        <f>IF(DATOS!$G17249&lt;&gt;"EX",0,--(COUNTIFS(nNIA,DATOS!$A17249,nCURSO,DATOS!$D17249,nESPEC,DATOS!$E17249,nASIG,DATOS!$I17249,nEVAL,"OR")=0))</f>
      </c>
      <c r="I17249">
        <f>IF(DATOS!$I17249="","",IFERROR(VLOOKUP(DATOS!$I17249,CONFIG_ASIGNATURAS!$B$2:$J$91,9,FALSE()),""))</f>
      </c>
    </row>
    <row r="17250">
      <c r="F17250">
        <f>IF(DATOS!$A17250="","",DATOS!$A17250&amp;"|"&amp;DATOS!$D17250&amp;"|"&amp;DATOS!$E17250&amp;"|"&amp;DATOS!$I17250)</f>
      </c>
      <c r="G17250">
        <f>IF(DATOS!$A17250="",0,IF(CONFIG_METADATA!$B$4&lt;&gt;"OR+EX",--(DATOS!$G17250=CONFIG_METADATA!$B$4),IF(DATOS!$G17250="EX",1,IF(DATOS!$G17250="OR",--(COUNTIFS(nNIA,DATOS!$A17250,nCURSO,DATOS!$D17250,nESPEC,DATOS!$E17250,nASIG,DATOS!$I17250,nEVAL,"EX")=0),0))))</f>
      </c>
      <c r="H17250">
        <f>IF(DATOS!$G17250&lt;&gt;"EX",0,--(COUNTIFS(nNIA,DATOS!$A17250,nCURSO,DATOS!$D17250,nESPEC,DATOS!$E17250,nASIG,DATOS!$I17250,nEVAL,"OR")=0))</f>
      </c>
      <c r="I17250">
        <f>IF(DATOS!$I17250="","",IFERROR(VLOOKUP(DATOS!$I17250,CONFIG_ASIGNATURAS!$B$2:$J$91,9,FALSE()),""))</f>
      </c>
    </row>
    <row r="17251">
      <c r="F17251">
        <f>IF(DATOS!$A17251="","",DATOS!$A17251&amp;"|"&amp;DATOS!$D17251&amp;"|"&amp;DATOS!$E17251&amp;"|"&amp;DATOS!$I17251)</f>
      </c>
      <c r="G17251">
        <f>IF(DATOS!$A17251="",0,IF(CONFIG_METADATA!$B$4&lt;&gt;"OR+EX",--(DATOS!$G17251=CONFIG_METADATA!$B$4),IF(DATOS!$G17251="EX",1,IF(DATOS!$G17251="OR",--(COUNTIFS(nNIA,DATOS!$A17251,nCURSO,DATOS!$D17251,nESPEC,DATOS!$E17251,nASIG,DATOS!$I17251,nEVAL,"EX")=0),0))))</f>
      </c>
      <c r="H17251">
        <f>IF(DATOS!$G17251&lt;&gt;"EX",0,--(COUNTIFS(nNIA,DATOS!$A17251,nCURSO,DATOS!$D17251,nESPEC,DATOS!$E17251,nASIG,DATOS!$I17251,nEVAL,"OR")=0))</f>
      </c>
      <c r="I17251">
        <f>IF(DATOS!$I17251="","",IFERROR(VLOOKUP(DATOS!$I17251,CONFIG_ASIGNATURAS!$B$2:$J$91,9,FALSE()),""))</f>
      </c>
    </row>
    <row r="17252">
      <c r="F17252">
        <f>IF(DATOS!$A17252="","",DATOS!$A17252&amp;"|"&amp;DATOS!$D17252&amp;"|"&amp;DATOS!$E17252&amp;"|"&amp;DATOS!$I17252)</f>
      </c>
      <c r="G17252">
        <f>IF(DATOS!$A17252="",0,IF(CONFIG_METADATA!$B$4&lt;&gt;"OR+EX",--(DATOS!$G17252=CONFIG_METADATA!$B$4),IF(DATOS!$G17252="EX",1,IF(DATOS!$G17252="OR",--(COUNTIFS(nNIA,DATOS!$A17252,nCURSO,DATOS!$D17252,nESPEC,DATOS!$E17252,nASIG,DATOS!$I17252,nEVAL,"EX")=0),0))))</f>
      </c>
      <c r="H17252">
        <f>IF(DATOS!$G17252&lt;&gt;"EX",0,--(COUNTIFS(nNIA,DATOS!$A17252,nCURSO,DATOS!$D17252,nESPEC,DATOS!$E17252,nASIG,DATOS!$I17252,nEVAL,"OR")=0))</f>
      </c>
      <c r="I17252">
        <f>IF(DATOS!$I17252="","",IFERROR(VLOOKUP(DATOS!$I17252,CONFIG_ASIGNATURAS!$B$2:$J$91,9,FALSE()),""))</f>
      </c>
    </row>
    <row r="17253">
      <c r="F17253">
        <f>IF(DATOS!$A17253="","",DATOS!$A17253&amp;"|"&amp;DATOS!$D17253&amp;"|"&amp;DATOS!$E17253&amp;"|"&amp;DATOS!$I17253)</f>
      </c>
      <c r="G17253">
        <f>IF(DATOS!$A17253="",0,IF(CONFIG_METADATA!$B$4&lt;&gt;"OR+EX",--(DATOS!$G17253=CONFIG_METADATA!$B$4),IF(DATOS!$G17253="EX",1,IF(DATOS!$G17253="OR",--(COUNTIFS(nNIA,DATOS!$A17253,nCURSO,DATOS!$D17253,nESPEC,DATOS!$E17253,nASIG,DATOS!$I17253,nEVAL,"EX")=0),0))))</f>
      </c>
      <c r="H17253">
        <f>IF(DATOS!$G17253&lt;&gt;"EX",0,--(COUNTIFS(nNIA,DATOS!$A17253,nCURSO,DATOS!$D17253,nESPEC,DATOS!$E17253,nASIG,DATOS!$I17253,nEVAL,"OR")=0))</f>
      </c>
      <c r="I17253">
        <f>IF(DATOS!$I17253="","",IFERROR(VLOOKUP(DATOS!$I17253,CONFIG_ASIGNATURAS!$B$2:$J$91,9,FALSE()),""))</f>
      </c>
    </row>
    <row r="17254">
      <c r="F17254">
        <f>IF(DATOS!$A17254="","",DATOS!$A17254&amp;"|"&amp;DATOS!$D17254&amp;"|"&amp;DATOS!$E17254&amp;"|"&amp;DATOS!$I17254)</f>
      </c>
      <c r="G17254">
        <f>IF(DATOS!$A17254="",0,IF(CONFIG_METADATA!$B$4&lt;&gt;"OR+EX",--(DATOS!$G17254=CONFIG_METADATA!$B$4),IF(DATOS!$G17254="EX",1,IF(DATOS!$G17254="OR",--(COUNTIFS(nNIA,DATOS!$A17254,nCURSO,DATOS!$D17254,nESPEC,DATOS!$E17254,nASIG,DATOS!$I17254,nEVAL,"EX")=0),0))))</f>
      </c>
      <c r="H17254">
        <f>IF(DATOS!$G17254&lt;&gt;"EX",0,--(COUNTIFS(nNIA,DATOS!$A17254,nCURSO,DATOS!$D17254,nESPEC,DATOS!$E17254,nASIG,DATOS!$I17254,nEVAL,"OR")=0))</f>
      </c>
      <c r="I17254">
        <f>IF(DATOS!$I17254="","",IFERROR(VLOOKUP(DATOS!$I17254,CONFIG_ASIGNATURAS!$B$2:$J$91,9,FALSE()),""))</f>
      </c>
    </row>
    <row r="17255">
      <c r="F17255">
        <f>IF(DATOS!$A17255="","",DATOS!$A17255&amp;"|"&amp;DATOS!$D17255&amp;"|"&amp;DATOS!$E17255&amp;"|"&amp;DATOS!$I17255)</f>
      </c>
      <c r="G17255">
        <f>IF(DATOS!$A17255="",0,IF(CONFIG_METADATA!$B$4&lt;&gt;"OR+EX",--(DATOS!$G17255=CONFIG_METADATA!$B$4),IF(DATOS!$G17255="EX",1,IF(DATOS!$G17255="OR",--(COUNTIFS(nNIA,DATOS!$A17255,nCURSO,DATOS!$D17255,nESPEC,DATOS!$E17255,nASIG,DATOS!$I17255,nEVAL,"EX")=0),0))))</f>
      </c>
      <c r="H17255">
        <f>IF(DATOS!$G17255&lt;&gt;"EX",0,--(COUNTIFS(nNIA,DATOS!$A17255,nCURSO,DATOS!$D17255,nESPEC,DATOS!$E17255,nASIG,DATOS!$I17255,nEVAL,"OR")=0))</f>
      </c>
      <c r="I17255">
        <f>IF(DATOS!$I17255="","",IFERROR(VLOOKUP(DATOS!$I17255,CONFIG_ASIGNATURAS!$B$2:$J$91,9,FALSE()),""))</f>
      </c>
    </row>
    <row r="17256">
      <c r="F17256">
        <f>IF(DATOS!$A17256="","",DATOS!$A17256&amp;"|"&amp;DATOS!$D17256&amp;"|"&amp;DATOS!$E17256&amp;"|"&amp;DATOS!$I17256)</f>
      </c>
      <c r="G17256">
        <f>IF(DATOS!$A17256="",0,IF(CONFIG_METADATA!$B$4&lt;&gt;"OR+EX",--(DATOS!$G17256=CONFIG_METADATA!$B$4),IF(DATOS!$G17256="EX",1,IF(DATOS!$G17256="OR",--(COUNTIFS(nNIA,DATOS!$A17256,nCURSO,DATOS!$D17256,nESPEC,DATOS!$E17256,nASIG,DATOS!$I17256,nEVAL,"EX")=0),0))))</f>
      </c>
      <c r="H17256">
        <f>IF(DATOS!$G17256&lt;&gt;"EX",0,--(COUNTIFS(nNIA,DATOS!$A17256,nCURSO,DATOS!$D17256,nESPEC,DATOS!$E17256,nASIG,DATOS!$I17256,nEVAL,"OR")=0))</f>
      </c>
      <c r="I17256">
        <f>IF(DATOS!$I17256="","",IFERROR(VLOOKUP(DATOS!$I17256,CONFIG_ASIGNATURAS!$B$2:$J$91,9,FALSE()),""))</f>
      </c>
    </row>
    <row r="17257">
      <c r="F17257">
        <f>IF(DATOS!$A17257="","",DATOS!$A17257&amp;"|"&amp;DATOS!$D17257&amp;"|"&amp;DATOS!$E17257&amp;"|"&amp;DATOS!$I17257)</f>
      </c>
      <c r="G17257">
        <f>IF(DATOS!$A17257="",0,IF(CONFIG_METADATA!$B$4&lt;&gt;"OR+EX",--(DATOS!$G17257=CONFIG_METADATA!$B$4),IF(DATOS!$G17257="EX",1,IF(DATOS!$G17257="OR",--(COUNTIFS(nNIA,DATOS!$A17257,nCURSO,DATOS!$D17257,nESPEC,DATOS!$E17257,nASIG,DATOS!$I17257,nEVAL,"EX")=0),0))))</f>
      </c>
      <c r="H17257">
        <f>IF(DATOS!$G17257&lt;&gt;"EX",0,--(COUNTIFS(nNIA,DATOS!$A17257,nCURSO,DATOS!$D17257,nESPEC,DATOS!$E17257,nASIG,DATOS!$I17257,nEVAL,"OR")=0))</f>
      </c>
      <c r="I17257">
        <f>IF(DATOS!$I17257="","",IFERROR(VLOOKUP(DATOS!$I17257,CONFIG_ASIGNATURAS!$B$2:$J$91,9,FALSE()),""))</f>
      </c>
    </row>
    <row r="17258">
      <c r="F17258">
        <f>IF(DATOS!$A17258="","",DATOS!$A17258&amp;"|"&amp;DATOS!$D17258&amp;"|"&amp;DATOS!$E17258&amp;"|"&amp;DATOS!$I17258)</f>
      </c>
      <c r="G17258">
        <f>IF(DATOS!$A17258="",0,IF(CONFIG_METADATA!$B$4&lt;&gt;"OR+EX",--(DATOS!$G17258=CONFIG_METADATA!$B$4),IF(DATOS!$G17258="EX",1,IF(DATOS!$G17258="OR",--(COUNTIFS(nNIA,DATOS!$A17258,nCURSO,DATOS!$D17258,nESPEC,DATOS!$E17258,nASIG,DATOS!$I17258,nEVAL,"EX")=0),0))))</f>
      </c>
      <c r="H17258">
        <f>IF(DATOS!$G17258&lt;&gt;"EX",0,--(COUNTIFS(nNIA,DATOS!$A17258,nCURSO,DATOS!$D17258,nESPEC,DATOS!$E17258,nASIG,DATOS!$I17258,nEVAL,"OR")=0))</f>
      </c>
      <c r="I17258">
        <f>IF(DATOS!$I17258="","",IFERROR(VLOOKUP(DATOS!$I17258,CONFIG_ASIGNATURAS!$B$2:$J$91,9,FALSE()),""))</f>
      </c>
    </row>
    <row r="17259">
      <c r="F17259">
        <f>IF(DATOS!$A17259="","",DATOS!$A17259&amp;"|"&amp;DATOS!$D17259&amp;"|"&amp;DATOS!$E17259&amp;"|"&amp;DATOS!$I17259)</f>
      </c>
      <c r="G17259">
        <f>IF(DATOS!$A17259="",0,IF(CONFIG_METADATA!$B$4&lt;&gt;"OR+EX",--(DATOS!$G17259=CONFIG_METADATA!$B$4),IF(DATOS!$G17259="EX",1,IF(DATOS!$G17259="OR",--(COUNTIFS(nNIA,DATOS!$A17259,nCURSO,DATOS!$D17259,nESPEC,DATOS!$E17259,nASIG,DATOS!$I17259,nEVAL,"EX")=0),0))))</f>
      </c>
      <c r="H17259">
        <f>IF(DATOS!$G17259&lt;&gt;"EX",0,--(COUNTIFS(nNIA,DATOS!$A17259,nCURSO,DATOS!$D17259,nESPEC,DATOS!$E17259,nASIG,DATOS!$I17259,nEVAL,"OR")=0))</f>
      </c>
      <c r="I17259">
        <f>IF(DATOS!$I17259="","",IFERROR(VLOOKUP(DATOS!$I17259,CONFIG_ASIGNATURAS!$B$2:$J$91,9,FALSE()),""))</f>
      </c>
    </row>
    <row r="17260">
      <c r="F17260">
        <f>IF(DATOS!$A17260="","",DATOS!$A17260&amp;"|"&amp;DATOS!$D17260&amp;"|"&amp;DATOS!$E17260&amp;"|"&amp;DATOS!$I17260)</f>
      </c>
      <c r="G17260">
        <f>IF(DATOS!$A17260="",0,IF(CONFIG_METADATA!$B$4&lt;&gt;"OR+EX",--(DATOS!$G17260=CONFIG_METADATA!$B$4),IF(DATOS!$G17260="EX",1,IF(DATOS!$G17260="OR",--(COUNTIFS(nNIA,DATOS!$A17260,nCURSO,DATOS!$D17260,nESPEC,DATOS!$E17260,nASIG,DATOS!$I17260,nEVAL,"EX")=0),0))))</f>
      </c>
      <c r="H17260">
        <f>IF(DATOS!$G17260&lt;&gt;"EX",0,--(COUNTIFS(nNIA,DATOS!$A17260,nCURSO,DATOS!$D17260,nESPEC,DATOS!$E17260,nASIG,DATOS!$I17260,nEVAL,"OR")=0))</f>
      </c>
      <c r="I17260">
        <f>IF(DATOS!$I17260="","",IFERROR(VLOOKUP(DATOS!$I17260,CONFIG_ASIGNATURAS!$B$2:$J$91,9,FALSE()),""))</f>
      </c>
    </row>
    <row r="17261">
      <c r="F17261">
        <f>IF(DATOS!$A17261="","",DATOS!$A17261&amp;"|"&amp;DATOS!$D17261&amp;"|"&amp;DATOS!$E17261&amp;"|"&amp;DATOS!$I17261)</f>
      </c>
      <c r="G17261">
        <f>IF(DATOS!$A17261="",0,IF(CONFIG_METADATA!$B$4&lt;&gt;"OR+EX",--(DATOS!$G17261=CONFIG_METADATA!$B$4),IF(DATOS!$G17261="EX",1,IF(DATOS!$G17261="OR",--(COUNTIFS(nNIA,DATOS!$A17261,nCURSO,DATOS!$D17261,nESPEC,DATOS!$E17261,nASIG,DATOS!$I17261,nEVAL,"EX")=0),0))))</f>
      </c>
      <c r="H17261">
        <f>IF(DATOS!$G17261&lt;&gt;"EX",0,--(COUNTIFS(nNIA,DATOS!$A17261,nCURSO,DATOS!$D17261,nESPEC,DATOS!$E17261,nASIG,DATOS!$I17261,nEVAL,"OR")=0))</f>
      </c>
      <c r="I17261">
        <f>IF(DATOS!$I17261="","",IFERROR(VLOOKUP(DATOS!$I17261,CONFIG_ASIGNATURAS!$B$2:$J$91,9,FALSE()),""))</f>
      </c>
    </row>
    <row r="17262">
      <c r="F17262">
        <f>IF(DATOS!$A17262="","",DATOS!$A17262&amp;"|"&amp;DATOS!$D17262&amp;"|"&amp;DATOS!$E17262&amp;"|"&amp;DATOS!$I17262)</f>
      </c>
      <c r="G17262">
        <f>IF(DATOS!$A17262="",0,IF(CONFIG_METADATA!$B$4&lt;&gt;"OR+EX",--(DATOS!$G17262=CONFIG_METADATA!$B$4),IF(DATOS!$G17262="EX",1,IF(DATOS!$G17262="OR",--(COUNTIFS(nNIA,DATOS!$A17262,nCURSO,DATOS!$D17262,nESPEC,DATOS!$E17262,nASIG,DATOS!$I17262,nEVAL,"EX")=0),0))))</f>
      </c>
      <c r="H17262">
        <f>IF(DATOS!$G17262&lt;&gt;"EX",0,--(COUNTIFS(nNIA,DATOS!$A17262,nCURSO,DATOS!$D17262,nESPEC,DATOS!$E17262,nASIG,DATOS!$I17262,nEVAL,"OR")=0))</f>
      </c>
      <c r="I17262">
        <f>IF(DATOS!$I17262="","",IFERROR(VLOOKUP(DATOS!$I17262,CONFIG_ASIGNATURAS!$B$2:$J$91,9,FALSE()),""))</f>
      </c>
    </row>
    <row r="17263">
      <c r="F17263">
        <f>IF(DATOS!$A17263="","",DATOS!$A17263&amp;"|"&amp;DATOS!$D17263&amp;"|"&amp;DATOS!$E17263&amp;"|"&amp;DATOS!$I17263)</f>
      </c>
      <c r="G17263">
        <f>IF(DATOS!$A17263="",0,IF(CONFIG_METADATA!$B$4&lt;&gt;"OR+EX",--(DATOS!$G17263=CONFIG_METADATA!$B$4),IF(DATOS!$G17263="EX",1,IF(DATOS!$G17263="OR",--(COUNTIFS(nNIA,DATOS!$A17263,nCURSO,DATOS!$D17263,nESPEC,DATOS!$E17263,nASIG,DATOS!$I17263,nEVAL,"EX")=0),0))))</f>
      </c>
      <c r="H17263">
        <f>IF(DATOS!$G17263&lt;&gt;"EX",0,--(COUNTIFS(nNIA,DATOS!$A17263,nCURSO,DATOS!$D17263,nESPEC,DATOS!$E17263,nASIG,DATOS!$I17263,nEVAL,"OR")=0))</f>
      </c>
      <c r="I17263">
        <f>IF(DATOS!$I17263="","",IFERROR(VLOOKUP(DATOS!$I17263,CONFIG_ASIGNATURAS!$B$2:$J$91,9,FALSE()),""))</f>
      </c>
    </row>
    <row r="17264">
      <c r="F17264">
        <f>IF(DATOS!$A17264="","",DATOS!$A17264&amp;"|"&amp;DATOS!$D17264&amp;"|"&amp;DATOS!$E17264&amp;"|"&amp;DATOS!$I17264)</f>
      </c>
      <c r="G17264">
        <f>IF(DATOS!$A17264="",0,IF(CONFIG_METADATA!$B$4&lt;&gt;"OR+EX",--(DATOS!$G17264=CONFIG_METADATA!$B$4),IF(DATOS!$G17264="EX",1,IF(DATOS!$G17264="OR",--(COUNTIFS(nNIA,DATOS!$A17264,nCURSO,DATOS!$D17264,nESPEC,DATOS!$E17264,nASIG,DATOS!$I17264,nEVAL,"EX")=0),0))))</f>
      </c>
      <c r="H17264">
        <f>IF(DATOS!$G17264&lt;&gt;"EX",0,--(COUNTIFS(nNIA,DATOS!$A17264,nCURSO,DATOS!$D17264,nESPEC,DATOS!$E17264,nASIG,DATOS!$I17264,nEVAL,"OR")=0))</f>
      </c>
      <c r="I17264">
        <f>IF(DATOS!$I17264="","",IFERROR(VLOOKUP(DATOS!$I17264,CONFIG_ASIGNATURAS!$B$2:$J$91,9,FALSE()),""))</f>
      </c>
    </row>
    <row r="17265">
      <c r="F17265">
        <f>IF(DATOS!$A17265="","",DATOS!$A17265&amp;"|"&amp;DATOS!$D17265&amp;"|"&amp;DATOS!$E17265&amp;"|"&amp;DATOS!$I17265)</f>
      </c>
      <c r="G17265">
        <f>IF(DATOS!$A17265="",0,IF(CONFIG_METADATA!$B$4&lt;&gt;"OR+EX",--(DATOS!$G17265=CONFIG_METADATA!$B$4),IF(DATOS!$G17265="EX",1,IF(DATOS!$G17265="OR",--(COUNTIFS(nNIA,DATOS!$A17265,nCURSO,DATOS!$D17265,nESPEC,DATOS!$E17265,nASIG,DATOS!$I17265,nEVAL,"EX")=0),0))))</f>
      </c>
      <c r="H17265">
        <f>IF(DATOS!$G17265&lt;&gt;"EX",0,--(COUNTIFS(nNIA,DATOS!$A17265,nCURSO,DATOS!$D17265,nESPEC,DATOS!$E17265,nASIG,DATOS!$I17265,nEVAL,"OR")=0))</f>
      </c>
      <c r="I17265">
        <f>IF(DATOS!$I17265="","",IFERROR(VLOOKUP(DATOS!$I17265,CONFIG_ASIGNATURAS!$B$2:$J$91,9,FALSE()),""))</f>
      </c>
    </row>
    <row r="17266">
      <c r="F17266">
        <f>IF(DATOS!$A17266="","",DATOS!$A17266&amp;"|"&amp;DATOS!$D17266&amp;"|"&amp;DATOS!$E17266&amp;"|"&amp;DATOS!$I17266)</f>
      </c>
      <c r="G17266">
        <f>IF(DATOS!$A17266="",0,IF(CONFIG_METADATA!$B$4&lt;&gt;"OR+EX",--(DATOS!$G17266=CONFIG_METADATA!$B$4),IF(DATOS!$G17266="EX",1,IF(DATOS!$G17266="OR",--(COUNTIFS(nNIA,DATOS!$A17266,nCURSO,DATOS!$D17266,nESPEC,DATOS!$E17266,nASIG,DATOS!$I17266,nEVAL,"EX")=0),0))))</f>
      </c>
      <c r="H17266">
        <f>IF(DATOS!$G17266&lt;&gt;"EX",0,--(COUNTIFS(nNIA,DATOS!$A17266,nCURSO,DATOS!$D17266,nESPEC,DATOS!$E17266,nASIG,DATOS!$I17266,nEVAL,"OR")=0))</f>
      </c>
      <c r="I17266">
        <f>IF(DATOS!$I17266="","",IFERROR(VLOOKUP(DATOS!$I17266,CONFIG_ASIGNATURAS!$B$2:$J$91,9,FALSE()),""))</f>
      </c>
    </row>
    <row r="17267">
      <c r="F17267">
        <f>IF(DATOS!$A17267="","",DATOS!$A17267&amp;"|"&amp;DATOS!$D17267&amp;"|"&amp;DATOS!$E17267&amp;"|"&amp;DATOS!$I17267)</f>
      </c>
      <c r="G17267">
        <f>IF(DATOS!$A17267="",0,IF(CONFIG_METADATA!$B$4&lt;&gt;"OR+EX",--(DATOS!$G17267=CONFIG_METADATA!$B$4),IF(DATOS!$G17267="EX",1,IF(DATOS!$G17267="OR",--(COUNTIFS(nNIA,DATOS!$A17267,nCURSO,DATOS!$D17267,nESPEC,DATOS!$E17267,nASIG,DATOS!$I17267,nEVAL,"EX")=0),0))))</f>
      </c>
      <c r="H17267">
        <f>IF(DATOS!$G17267&lt;&gt;"EX",0,--(COUNTIFS(nNIA,DATOS!$A17267,nCURSO,DATOS!$D17267,nESPEC,DATOS!$E17267,nASIG,DATOS!$I17267,nEVAL,"OR")=0))</f>
      </c>
      <c r="I17267">
        <f>IF(DATOS!$I17267="","",IFERROR(VLOOKUP(DATOS!$I17267,CONFIG_ASIGNATURAS!$B$2:$J$91,9,FALSE()),""))</f>
      </c>
    </row>
    <row r="17268">
      <c r="F17268">
        <f>IF(DATOS!$A17268="","",DATOS!$A17268&amp;"|"&amp;DATOS!$D17268&amp;"|"&amp;DATOS!$E17268&amp;"|"&amp;DATOS!$I17268)</f>
      </c>
      <c r="G17268">
        <f>IF(DATOS!$A17268="",0,IF(CONFIG_METADATA!$B$4&lt;&gt;"OR+EX",--(DATOS!$G17268=CONFIG_METADATA!$B$4),IF(DATOS!$G17268="EX",1,IF(DATOS!$G17268="OR",--(COUNTIFS(nNIA,DATOS!$A17268,nCURSO,DATOS!$D17268,nESPEC,DATOS!$E17268,nASIG,DATOS!$I17268,nEVAL,"EX")=0),0))))</f>
      </c>
      <c r="H17268">
        <f>IF(DATOS!$G17268&lt;&gt;"EX",0,--(COUNTIFS(nNIA,DATOS!$A17268,nCURSO,DATOS!$D17268,nESPEC,DATOS!$E17268,nASIG,DATOS!$I17268,nEVAL,"OR")=0))</f>
      </c>
      <c r="I17268">
        <f>IF(DATOS!$I17268="","",IFERROR(VLOOKUP(DATOS!$I17268,CONFIG_ASIGNATURAS!$B$2:$J$91,9,FALSE()),""))</f>
      </c>
    </row>
    <row r="17269">
      <c r="F17269">
        <f>IF(DATOS!$A17269="","",DATOS!$A17269&amp;"|"&amp;DATOS!$D17269&amp;"|"&amp;DATOS!$E17269&amp;"|"&amp;DATOS!$I17269)</f>
      </c>
      <c r="G17269">
        <f>IF(DATOS!$A17269="",0,IF(CONFIG_METADATA!$B$4&lt;&gt;"OR+EX",--(DATOS!$G17269=CONFIG_METADATA!$B$4),IF(DATOS!$G17269="EX",1,IF(DATOS!$G17269="OR",--(COUNTIFS(nNIA,DATOS!$A17269,nCURSO,DATOS!$D17269,nESPEC,DATOS!$E17269,nASIG,DATOS!$I17269,nEVAL,"EX")=0),0))))</f>
      </c>
      <c r="H17269">
        <f>IF(DATOS!$G17269&lt;&gt;"EX",0,--(COUNTIFS(nNIA,DATOS!$A17269,nCURSO,DATOS!$D17269,nESPEC,DATOS!$E17269,nASIG,DATOS!$I17269,nEVAL,"OR")=0))</f>
      </c>
      <c r="I17269">
        <f>IF(DATOS!$I17269="","",IFERROR(VLOOKUP(DATOS!$I17269,CONFIG_ASIGNATURAS!$B$2:$J$91,9,FALSE()),""))</f>
      </c>
    </row>
    <row r="17270">
      <c r="F17270">
        <f>IF(DATOS!$A17270="","",DATOS!$A17270&amp;"|"&amp;DATOS!$D17270&amp;"|"&amp;DATOS!$E17270&amp;"|"&amp;DATOS!$I17270)</f>
      </c>
      <c r="G17270">
        <f>IF(DATOS!$A17270="",0,IF(CONFIG_METADATA!$B$4&lt;&gt;"OR+EX",--(DATOS!$G17270=CONFIG_METADATA!$B$4),IF(DATOS!$G17270="EX",1,IF(DATOS!$G17270="OR",--(COUNTIFS(nNIA,DATOS!$A17270,nCURSO,DATOS!$D17270,nESPEC,DATOS!$E17270,nASIG,DATOS!$I17270,nEVAL,"EX")=0),0))))</f>
      </c>
      <c r="H17270">
        <f>IF(DATOS!$G17270&lt;&gt;"EX",0,--(COUNTIFS(nNIA,DATOS!$A17270,nCURSO,DATOS!$D17270,nESPEC,DATOS!$E17270,nASIG,DATOS!$I17270,nEVAL,"OR")=0))</f>
      </c>
      <c r="I17270">
        <f>IF(DATOS!$I17270="","",IFERROR(VLOOKUP(DATOS!$I17270,CONFIG_ASIGNATURAS!$B$2:$J$91,9,FALSE()),""))</f>
      </c>
    </row>
    <row r="17271">
      <c r="F17271">
        <f>IF(DATOS!$A17271="","",DATOS!$A17271&amp;"|"&amp;DATOS!$D17271&amp;"|"&amp;DATOS!$E17271&amp;"|"&amp;DATOS!$I17271)</f>
      </c>
      <c r="G17271">
        <f>IF(DATOS!$A17271="",0,IF(CONFIG_METADATA!$B$4&lt;&gt;"OR+EX",--(DATOS!$G17271=CONFIG_METADATA!$B$4),IF(DATOS!$G17271="EX",1,IF(DATOS!$G17271="OR",--(COUNTIFS(nNIA,DATOS!$A17271,nCURSO,DATOS!$D17271,nESPEC,DATOS!$E17271,nASIG,DATOS!$I17271,nEVAL,"EX")=0),0))))</f>
      </c>
      <c r="H17271">
        <f>IF(DATOS!$G17271&lt;&gt;"EX",0,--(COUNTIFS(nNIA,DATOS!$A17271,nCURSO,DATOS!$D17271,nESPEC,DATOS!$E17271,nASIG,DATOS!$I17271,nEVAL,"OR")=0))</f>
      </c>
      <c r="I17271">
        <f>IF(DATOS!$I17271="","",IFERROR(VLOOKUP(DATOS!$I17271,CONFIG_ASIGNATURAS!$B$2:$J$91,9,FALSE()),""))</f>
      </c>
    </row>
    <row r="17272">
      <c r="F17272">
        <f>IF(DATOS!$A17272="","",DATOS!$A17272&amp;"|"&amp;DATOS!$D17272&amp;"|"&amp;DATOS!$E17272&amp;"|"&amp;DATOS!$I17272)</f>
      </c>
      <c r="G17272">
        <f>IF(DATOS!$A17272="",0,IF(CONFIG_METADATA!$B$4&lt;&gt;"OR+EX",--(DATOS!$G17272=CONFIG_METADATA!$B$4),IF(DATOS!$G17272="EX",1,IF(DATOS!$G17272="OR",--(COUNTIFS(nNIA,DATOS!$A17272,nCURSO,DATOS!$D17272,nESPEC,DATOS!$E17272,nASIG,DATOS!$I17272,nEVAL,"EX")=0),0))))</f>
      </c>
      <c r="H17272">
        <f>IF(DATOS!$G17272&lt;&gt;"EX",0,--(COUNTIFS(nNIA,DATOS!$A17272,nCURSO,DATOS!$D17272,nESPEC,DATOS!$E17272,nASIG,DATOS!$I17272,nEVAL,"OR")=0))</f>
      </c>
      <c r="I17272">
        <f>IF(DATOS!$I17272="","",IFERROR(VLOOKUP(DATOS!$I17272,CONFIG_ASIGNATURAS!$B$2:$J$91,9,FALSE()),""))</f>
      </c>
    </row>
    <row r="17273">
      <c r="F17273">
        <f>IF(DATOS!$A17273="","",DATOS!$A17273&amp;"|"&amp;DATOS!$D17273&amp;"|"&amp;DATOS!$E17273&amp;"|"&amp;DATOS!$I17273)</f>
      </c>
      <c r="G17273">
        <f>IF(DATOS!$A17273="",0,IF(CONFIG_METADATA!$B$4&lt;&gt;"OR+EX",--(DATOS!$G17273=CONFIG_METADATA!$B$4),IF(DATOS!$G17273="EX",1,IF(DATOS!$G17273="OR",--(COUNTIFS(nNIA,DATOS!$A17273,nCURSO,DATOS!$D17273,nESPEC,DATOS!$E17273,nASIG,DATOS!$I17273,nEVAL,"EX")=0),0))))</f>
      </c>
      <c r="H17273">
        <f>IF(DATOS!$G17273&lt;&gt;"EX",0,--(COUNTIFS(nNIA,DATOS!$A17273,nCURSO,DATOS!$D17273,nESPEC,DATOS!$E17273,nASIG,DATOS!$I17273,nEVAL,"OR")=0))</f>
      </c>
      <c r="I17273">
        <f>IF(DATOS!$I17273="","",IFERROR(VLOOKUP(DATOS!$I17273,CONFIG_ASIGNATURAS!$B$2:$J$91,9,FALSE()),""))</f>
      </c>
    </row>
    <row r="17274">
      <c r="F17274">
        <f>IF(DATOS!$A17274="","",DATOS!$A17274&amp;"|"&amp;DATOS!$D17274&amp;"|"&amp;DATOS!$E17274&amp;"|"&amp;DATOS!$I17274)</f>
      </c>
      <c r="G17274">
        <f>IF(DATOS!$A17274="",0,IF(CONFIG_METADATA!$B$4&lt;&gt;"OR+EX",--(DATOS!$G17274=CONFIG_METADATA!$B$4),IF(DATOS!$G17274="EX",1,IF(DATOS!$G17274="OR",--(COUNTIFS(nNIA,DATOS!$A17274,nCURSO,DATOS!$D17274,nESPEC,DATOS!$E17274,nASIG,DATOS!$I17274,nEVAL,"EX")=0),0))))</f>
      </c>
      <c r="H17274">
        <f>IF(DATOS!$G17274&lt;&gt;"EX",0,--(COUNTIFS(nNIA,DATOS!$A17274,nCURSO,DATOS!$D17274,nESPEC,DATOS!$E17274,nASIG,DATOS!$I17274,nEVAL,"OR")=0))</f>
      </c>
      <c r="I17274">
        <f>IF(DATOS!$I17274="","",IFERROR(VLOOKUP(DATOS!$I17274,CONFIG_ASIGNATURAS!$B$2:$J$91,9,FALSE()),""))</f>
      </c>
    </row>
    <row r="17275">
      <c r="F17275">
        <f>IF(DATOS!$A17275="","",DATOS!$A17275&amp;"|"&amp;DATOS!$D17275&amp;"|"&amp;DATOS!$E17275&amp;"|"&amp;DATOS!$I17275)</f>
      </c>
      <c r="G17275">
        <f>IF(DATOS!$A17275="",0,IF(CONFIG_METADATA!$B$4&lt;&gt;"OR+EX",--(DATOS!$G17275=CONFIG_METADATA!$B$4),IF(DATOS!$G17275="EX",1,IF(DATOS!$G17275="OR",--(COUNTIFS(nNIA,DATOS!$A17275,nCURSO,DATOS!$D17275,nESPEC,DATOS!$E17275,nASIG,DATOS!$I17275,nEVAL,"EX")=0),0))))</f>
      </c>
      <c r="H17275">
        <f>IF(DATOS!$G17275&lt;&gt;"EX",0,--(COUNTIFS(nNIA,DATOS!$A17275,nCURSO,DATOS!$D17275,nESPEC,DATOS!$E17275,nASIG,DATOS!$I17275,nEVAL,"OR")=0))</f>
      </c>
      <c r="I17275">
        <f>IF(DATOS!$I17275="","",IFERROR(VLOOKUP(DATOS!$I17275,CONFIG_ASIGNATURAS!$B$2:$J$91,9,FALSE()),""))</f>
      </c>
    </row>
    <row r="17276">
      <c r="F17276">
        <f>IF(DATOS!$A17276="","",DATOS!$A17276&amp;"|"&amp;DATOS!$D17276&amp;"|"&amp;DATOS!$E17276&amp;"|"&amp;DATOS!$I17276)</f>
      </c>
      <c r="G17276">
        <f>IF(DATOS!$A17276="",0,IF(CONFIG_METADATA!$B$4&lt;&gt;"OR+EX",--(DATOS!$G17276=CONFIG_METADATA!$B$4),IF(DATOS!$G17276="EX",1,IF(DATOS!$G17276="OR",--(COUNTIFS(nNIA,DATOS!$A17276,nCURSO,DATOS!$D17276,nESPEC,DATOS!$E17276,nASIG,DATOS!$I17276,nEVAL,"EX")=0),0))))</f>
      </c>
      <c r="H17276">
        <f>IF(DATOS!$G17276&lt;&gt;"EX",0,--(COUNTIFS(nNIA,DATOS!$A17276,nCURSO,DATOS!$D17276,nESPEC,DATOS!$E17276,nASIG,DATOS!$I17276,nEVAL,"OR")=0))</f>
      </c>
      <c r="I17276">
        <f>IF(DATOS!$I17276="","",IFERROR(VLOOKUP(DATOS!$I17276,CONFIG_ASIGNATURAS!$B$2:$J$91,9,FALSE()),""))</f>
      </c>
    </row>
    <row r="17277">
      <c r="F17277">
        <f>IF(DATOS!$A17277="","",DATOS!$A17277&amp;"|"&amp;DATOS!$D17277&amp;"|"&amp;DATOS!$E17277&amp;"|"&amp;DATOS!$I17277)</f>
      </c>
      <c r="G17277">
        <f>IF(DATOS!$A17277="",0,IF(CONFIG_METADATA!$B$4&lt;&gt;"OR+EX",--(DATOS!$G17277=CONFIG_METADATA!$B$4),IF(DATOS!$G17277="EX",1,IF(DATOS!$G17277="OR",--(COUNTIFS(nNIA,DATOS!$A17277,nCURSO,DATOS!$D17277,nESPEC,DATOS!$E17277,nASIG,DATOS!$I17277,nEVAL,"EX")=0),0))))</f>
      </c>
      <c r="H17277">
        <f>IF(DATOS!$G17277&lt;&gt;"EX",0,--(COUNTIFS(nNIA,DATOS!$A17277,nCURSO,DATOS!$D17277,nESPEC,DATOS!$E17277,nASIG,DATOS!$I17277,nEVAL,"OR")=0))</f>
      </c>
      <c r="I17277">
        <f>IF(DATOS!$I17277="","",IFERROR(VLOOKUP(DATOS!$I17277,CONFIG_ASIGNATURAS!$B$2:$J$91,9,FALSE()),""))</f>
      </c>
    </row>
    <row r="17278">
      <c r="F17278">
        <f>IF(DATOS!$A17278="","",DATOS!$A17278&amp;"|"&amp;DATOS!$D17278&amp;"|"&amp;DATOS!$E17278&amp;"|"&amp;DATOS!$I17278)</f>
      </c>
      <c r="G17278">
        <f>IF(DATOS!$A17278="",0,IF(CONFIG_METADATA!$B$4&lt;&gt;"OR+EX",--(DATOS!$G17278=CONFIG_METADATA!$B$4),IF(DATOS!$G17278="EX",1,IF(DATOS!$G17278="OR",--(COUNTIFS(nNIA,DATOS!$A17278,nCURSO,DATOS!$D17278,nESPEC,DATOS!$E17278,nASIG,DATOS!$I17278,nEVAL,"EX")=0),0))))</f>
      </c>
      <c r="H17278">
        <f>IF(DATOS!$G17278&lt;&gt;"EX",0,--(COUNTIFS(nNIA,DATOS!$A17278,nCURSO,DATOS!$D17278,nESPEC,DATOS!$E17278,nASIG,DATOS!$I17278,nEVAL,"OR")=0))</f>
      </c>
      <c r="I17278">
        <f>IF(DATOS!$I17278="","",IFERROR(VLOOKUP(DATOS!$I17278,CONFIG_ASIGNATURAS!$B$2:$J$91,9,FALSE()),""))</f>
      </c>
    </row>
    <row r="17279">
      <c r="F17279">
        <f>IF(DATOS!$A17279="","",DATOS!$A17279&amp;"|"&amp;DATOS!$D17279&amp;"|"&amp;DATOS!$E17279&amp;"|"&amp;DATOS!$I17279)</f>
      </c>
      <c r="G17279">
        <f>IF(DATOS!$A17279="",0,IF(CONFIG_METADATA!$B$4&lt;&gt;"OR+EX",--(DATOS!$G17279=CONFIG_METADATA!$B$4),IF(DATOS!$G17279="EX",1,IF(DATOS!$G17279="OR",--(COUNTIFS(nNIA,DATOS!$A17279,nCURSO,DATOS!$D17279,nESPEC,DATOS!$E17279,nASIG,DATOS!$I17279,nEVAL,"EX")=0),0))))</f>
      </c>
      <c r="H17279">
        <f>IF(DATOS!$G17279&lt;&gt;"EX",0,--(COUNTIFS(nNIA,DATOS!$A17279,nCURSO,DATOS!$D17279,nESPEC,DATOS!$E17279,nASIG,DATOS!$I17279,nEVAL,"OR")=0))</f>
      </c>
      <c r="I17279">
        <f>IF(DATOS!$I17279="","",IFERROR(VLOOKUP(DATOS!$I17279,CONFIG_ASIGNATURAS!$B$2:$J$91,9,FALSE()),""))</f>
      </c>
    </row>
    <row r="17280">
      <c r="F17280">
        <f>IF(DATOS!$A17280="","",DATOS!$A17280&amp;"|"&amp;DATOS!$D17280&amp;"|"&amp;DATOS!$E17280&amp;"|"&amp;DATOS!$I17280)</f>
      </c>
      <c r="G17280">
        <f>IF(DATOS!$A17280="",0,IF(CONFIG_METADATA!$B$4&lt;&gt;"OR+EX",--(DATOS!$G17280=CONFIG_METADATA!$B$4),IF(DATOS!$G17280="EX",1,IF(DATOS!$G17280="OR",--(COUNTIFS(nNIA,DATOS!$A17280,nCURSO,DATOS!$D17280,nESPEC,DATOS!$E17280,nASIG,DATOS!$I17280,nEVAL,"EX")=0),0))))</f>
      </c>
      <c r="H17280">
        <f>IF(DATOS!$G17280&lt;&gt;"EX",0,--(COUNTIFS(nNIA,DATOS!$A17280,nCURSO,DATOS!$D17280,nESPEC,DATOS!$E17280,nASIG,DATOS!$I17280,nEVAL,"OR")=0))</f>
      </c>
      <c r="I17280">
        <f>IF(DATOS!$I17280="","",IFERROR(VLOOKUP(DATOS!$I17280,CONFIG_ASIGNATURAS!$B$2:$J$91,9,FALSE()),""))</f>
      </c>
    </row>
    <row r="17281">
      <c r="F17281">
        <f>IF(DATOS!$A17281="","",DATOS!$A17281&amp;"|"&amp;DATOS!$D17281&amp;"|"&amp;DATOS!$E17281&amp;"|"&amp;DATOS!$I17281)</f>
      </c>
      <c r="G17281">
        <f>IF(DATOS!$A17281="",0,IF(CONFIG_METADATA!$B$4&lt;&gt;"OR+EX",--(DATOS!$G17281=CONFIG_METADATA!$B$4),IF(DATOS!$G17281="EX",1,IF(DATOS!$G17281="OR",--(COUNTIFS(nNIA,DATOS!$A17281,nCURSO,DATOS!$D17281,nESPEC,DATOS!$E17281,nASIG,DATOS!$I17281,nEVAL,"EX")=0),0))))</f>
      </c>
      <c r="H17281">
        <f>IF(DATOS!$G17281&lt;&gt;"EX",0,--(COUNTIFS(nNIA,DATOS!$A17281,nCURSO,DATOS!$D17281,nESPEC,DATOS!$E17281,nASIG,DATOS!$I17281,nEVAL,"OR")=0))</f>
      </c>
      <c r="I17281">
        <f>IF(DATOS!$I17281="","",IFERROR(VLOOKUP(DATOS!$I17281,CONFIG_ASIGNATURAS!$B$2:$J$91,9,FALSE()),""))</f>
      </c>
    </row>
    <row r="17282">
      <c r="F17282">
        <f>IF(DATOS!$A17282="","",DATOS!$A17282&amp;"|"&amp;DATOS!$D17282&amp;"|"&amp;DATOS!$E17282&amp;"|"&amp;DATOS!$I17282)</f>
      </c>
      <c r="G17282">
        <f>IF(DATOS!$A17282="",0,IF(CONFIG_METADATA!$B$4&lt;&gt;"OR+EX",--(DATOS!$G17282=CONFIG_METADATA!$B$4),IF(DATOS!$G17282="EX",1,IF(DATOS!$G17282="OR",--(COUNTIFS(nNIA,DATOS!$A17282,nCURSO,DATOS!$D17282,nESPEC,DATOS!$E17282,nASIG,DATOS!$I17282,nEVAL,"EX")=0),0))))</f>
      </c>
      <c r="H17282">
        <f>IF(DATOS!$G17282&lt;&gt;"EX",0,--(COUNTIFS(nNIA,DATOS!$A17282,nCURSO,DATOS!$D17282,nESPEC,DATOS!$E17282,nASIG,DATOS!$I17282,nEVAL,"OR")=0))</f>
      </c>
      <c r="I17282">
        <f>IF(DATOS!$I17282="","",IFERROR(VLOOKUP(DATOS!$I17282,CONFIG_ASIGNATURAS!$B$2:$J$91,9,FALSE()),""))</f>
      </c>
    </row>
    <row r="17283">
      <c r="F17283">
        <f>IF(DATOS!$A17283="","",DATOS!$A17283&amp;"|"&amp;DATOS!$D17283&amp;"|"&amp;DATOS!$E17283&amp;"|"&amp;DATOS!$I17283)</f>
      </c>
      <c r="G17283">
        <f>IF(DATOS!$A17283="",0,IF(CONFIG_METADATA!$B$4&lt;&gt;"OR+EX",--(DATOS!$G17283=CONFIG_METADATA!$B$4),IF(DATOS!$G17283="EX",1,IF(DATOS!$G17283="OR",--(COUNTIFS(nNIA,DATOS!$A17283,nCURSO,DATOS!$D17283,nESPEC,DATOS!$E17283,nASIG,DATOS!$I17283,nEVAL,"EX")=0),0))))</f>
      </c>
      <c r="H17283">
        <f>IF(DATOS!$G17283&lt;&gt;"EX",0,--(COUNTIFS(nNIA,DATOS!$A17283,nCURSO,DATOS!$D17283,nESPEC,DATOS!$E17283,nASIG,DATOS!$I17283,nEVAL,"OR")=0))</f>
      </c>
      <c r="I17283">
        <f>IF(DATOS!$I17283="","",IFERROR(VLOOKUP(DATOS!$I17283,CONFIG_ASIGNATURAS!$B$2:$J$91,9,FALSE()),""))</f>
      </c>
    </row>
    <row r="17284">
      <c r="F17284">
        <f>IF(DATOS!$A17284="","",DATOS!$A17284&amp;"|"&amp;DATOS!$D17284&amp;"|"&amp;DATOS!$E17284&amp;"|"&amp;DATOS!$I17284)</f>
      </c>
      <c r="G17284">
        <f>IF(DATOS!$A17284="",0,IF(CONFIG_METADATA!$B$4&lt;&gt;"OR+EX",--(DATOS!$G17284=CONFIG_METADATA!$B$4),IF(DATOS!$G17284="EX",1,IF(DATOS!$G17284="OR",--(COUNTIFS(nNIA,DATOS!$A17284,nCURSO,DATOS!$D17284,nESPEC,DATOS!$E17284,nASIG,DATOS!$I17284,nEVAL,"EX")=0),0))))</f>
      </c>
      <c r="H17284">
        <f>IF(DATOS!$G17284&lt;&gt;"EX",0,--(COUNTIFS(nNIA,DATOS!$A17284,nCURSO,DATOS!$D17284,nESPEC,DATOS!$E17284,nASIG,DATOS!$I17284,nEVAL,"OR")=0))</f>
      </c>
      <c r="I17284">
        <f>IF(DATOS!$I17284="","",IFERROR(VLOOKUP(DATOS!$I17284,CONFIG_ASIGNATURAS!$B$2:$J$91,9,FALSE()),""))</f>
      </c>
    </row>
    <row r="17285">
      <c r="F17285">
        <f>IF(DATOS!$A17285="","",DATOS!$A17285&amp;"|"&amp;DATOS!$D17285&amp;"|"&amp;DATOS!$E17285&amp;"|"&amp;DATOS!$I17285)</f>
      </c>
      <c r="G17285">
        <f>IF(DATOS!$A17285="",0,IF(CONFIG_METADATA!$B$4&lt;&gt;"OR+EX",--(DATOS!$G17285=CONFIG_METADATA!$B$4),IF(DATOS!$G17285="EX",1,IF(DATOS!$G17285="OR",--(COUNTIFS(nNIA,DATOS!$A17285,nCURSO,DATOS!$D17285,nESPEC,DATOS!$E17285,nASIG,DATOS!$I17285,nEVAL,"EX")=0),0))))</f>
      </c>
      <c r="H17285">
        <f>IF(DATOS!$G17285&lt;&gt;"EX",0,--(COUNTIFS(nNIA,DATOS!$A17285,nCURSO,DATOS!$D17285,nESPEC,DATOS!$E17285,nASIG,DATOS!$I17285,nEVAL,"OR")=0))</f>
      </c>
      <c r="I17285">
        <f>IF(DATOS!$I17285="","",IFERROR(VLOOKUP(DATOS!$I17285,CONFIG_ASIGNATURAS!$B$2:$J$91,9,FALSE()),""))</f>
      </c>
    </row>
    <row r="17286">
      <c r="F17286">
        <f>IF(DATOS!$A17286="","",DATOS!$A17286&amp;"|"&amp;DATOS!$D17286&amp;"|"&amp;DATOS!$E17286&amp;"|"&amp;DATOS!$I17286)</f>
      </c>
      <c r="G17286">
        <f>IF(DATOS!$A17286="",0,IF(CONFIG_METADATA!$B$4&lt;&gt;"OR+EX",--(DATOS!$G17286=CONFIG_METADATA!$B$4),IF(DATOS!$G17286="EX",1,IF(DATOS!$G17286="OR",--(COUNTIFS(nNIA,DATOS!$A17286,nCURSO,DATOS!$D17286,nESPEC,DATOS!$E17286,nASIG,DATOS!$I17286,nEVAL,"EX")=0),0))))</f>
      </c>
      <c r="H17286">
        <f>IF(DATOS!$G17286&lt;&gt;"EX",0,--(COUNTIFS(nNIA,DATOS!$A17286,nCURSO,DATOS!$D17286,nESPEC,DATOS!$E17286,nASIG,DATOS!$I17286,nEVAL,"OR")=0))</f>
      </c>
      <c r="I17286">
        <f>IF(DATOS!$I17286="","",IFERROR(VLOOKUP(DATOS!$I17286,CONFIG_ASIGNATURAS!$B$2:$J$91,9,FALSE()),""))</f>
      </c>
    </row>
    <row r="17287">
      <c r="F17287">
        <f>IF(DATOS!$A17287="","",DATOS!$A17287&amp;"|"&amp;DATOS!$D17287&amp;"|"&amp;DATOS!$E17287&amp;"|"&amp;DATOS!$I17287)</f>
      </c>
      <c r="G17287">
        <f>IF(DATOS!$A17287="",0,IF(CONFIG_METADATA!$B$4&lt;&gt;"OR+EX",--(DATOS!$G17287=CONFIG_METADATA!$B$4),IF(DATOS!$G17287="EX",1,IF(DATOS!$G17287="OR",--(COUNTIFS(nNIA,DATOS!$A17287,nCURSO,DATOS!$D17287,nESPEC,DATOS!$E17287,nASIG,DATOS!$I17287,nEVAL,"EX")=0),0))))</f>
      </c>
      <c r="H17287">
        <f>IF(DATOS!$G17287&lt;&gt;"EX",0,--(COUNTIFS(nNIA,DATOS!$A17287,nCURSO,DATOS!$D17287,nESPEC,DATOS!$E17287,nASIG,DATOS!$I17287,nEVAL,"OR")=0))</f>
      </c>
      <c r="I17287">
        <f>IF(DATOS!$I17287="","",IFERROR(VLOOKUP(DATOS!$I17287,CONFIG_ASIGNATURAS!$B$2:$J$91,9,FALSE()),""))</f>
      </c>
    </row>
    <row r="17288">
      <c r="F17288">
        <f>IF(DATOS!$A17288="","",DATOS!$A17288&amp;"|"&amp;DATOS!$D17288&amp;"|"&amp;DATOS!$E17288&amp;"|"&amp;DATOS!$I17288)</f>
      </c>
      <c r="G17288">
        <f>IF(DATOS!$A17288="",0,IF(CONFIG_METADATA!$B$4&lt;&gt;"OR+EX",--(DATOS!$G17288=CONFIG_METADATA!$B$4),IF(DATOS!$G17288="EX",1,IF(DATOS!$G17288="OR",--(COUNTIFS(nNIA,DATOS!$A17288,nCURSO,DATOS!$D17288,nESPEC,DATOS!$E17288,nASIG,DATOS!$I17288,nEVAL,"EX")=0),0))))</f>
      </c>
      <c r="H17288">
        <f>IF(DATOS!$G17288&lt;&gt;"EX",0,--(COUNTIFS(nNIA,DATOS!$A17288,nCURSO,DATOS!$D17288,nESPEC,DATOS!$E17288,nASIG,DATOS!$I17288,nEVAL,"OR")=0))</f>
      </c>
      <c r="I17288">
        <f>IF(DATOS!$I17288="","",IFERROR(VLOOKUP(DATOS!$I17288,CONFIG_ASIGNATURAS!$B$2:$J$91,9,FALSE()),""))</f>
      </c>
    </row>
    <row r="17289">
      <c r="F17289">
        <f>IF(DATOS!$A17289="","",DATOS!$A17289&amp;"|"&amp;DATOS!$D17289&amp;"|"&amp;DATOS!$E17289&amp;"|"&amp;DATOS!$I17289)</f>
      </c>
      <c r="G17289">
        <f>IF(DATOS!$A17289="",0,IF(CONFIG_METADATA!$B$4&lt;&gt;"OR+EX",--(DATOS!$G17289=CONFIG_METADATA!$B$4),IF(DATOS!$G17289="EX",1,IF(DATOS!$G17289="OR",--(COUNTIFS(nNIA,DATOS!$A17289,nCURSO,DATOS!$D17289,nESPEC,DATOS!$E17289,nASIG,DATOS!$I17289,nEVAL,"EX")=0),0))))</f>
      </c>
      <c r="H17289">
        <f>IF(DATOS!$G17289&lt;&gt;"EX",0,--(COUNTIFS(nNIA,DATOS!$A17289,nCURSO,DATOS!$D17289,nESPEC,DATOS!$E17289,nASIG,DATOS!$I17289,nEVAL,"OR")=0))</f>
      </c>
      <c r="I17289">
        <f>IF(DATOS!$I17289="","",IFERROR(VLOOKUP(DATOS!$I17289,CONFIG_ASIGNATURAS!$B$2:$J$91,9,FALSE()),""))</f>
      </c>
    </row>
    <row r="17290">
      <c r="F17290">
        <f>IF(DATOS!$A17290="","",DATOS!$A17290&amp;"|"&amp;DATOS!$D17290&amp;"|"&amp;DATOS!$E17290&amp;"|"&amp;DATOS!$I17290)</f>
      </c>
      <c r="G17290">
        <f>IF(DATOS!$A17290="",0,IF(CONFIG_METADATA!$B$4&lt;&gt;"OR+EX",--(DATOS!$G17290=CONFIG_METADATA!$B$4),IF(DATOS!$G17290="EX",1,IF(DATOS!$G17290="OR",--(COUNTIFS(nNIA,DATOS!$A17290,nCURSO,DATOS!$D17290,nESPEC,DATOS!$E17290,nASIG,DATOS!$I17290,nEVAL,"EX")=0),0))))</f>
      </c>
      <c r="H17290">
        <f>IF(DATOS!$G17290&lt;&gt;"EX",0,--(COUNTIFS(nNIA,DATOS!$A17290,nCURSO,DATOS!$D17290,nESPEC,DATOS!$E17290,nASIG,DATOS!$I17290,nEVAL,"OR")=0))</f>
      </c>
      <c r="I17290">
        <f>IF(DATOS!$I17290="","",IFERROR(VLOOKUP(DATOS!$I17290,CONFIG_ASIGNATURAS!$B$2:$J$91,9,FALSE()),""))</f>
      </c>
    </row>
    <row r="17291">
      <c r="F17291">
        <f>IF(DATOS!$A17291="","",DATOS!$A17291&amp;"|"&amp;DATOS!$D17291&amp;"|"&amp;DATOS!$E17291&amp;"|"&amp;DATOS!$I17291)</f>
      </c>
      <c r="G17291">
        <f>IF(DATOS!$A17291="",0,IF(CONFIG_METADATA!$B$4&lt;&gt;"OR+EX",--(DATOS!$G17291=CONFIG_METADATA!$B$4),IF(DATOS!$G17291="EX",1,IF(DATOS!$G17291="OR",--(COUNTIFS(nNIA,DATOS!$A17291,nCURSO,DATOS!$D17291,nESPEC,DATOS!$E17291,nASIG,DATOS!$I17291,nEVAL,"EX")=0),0))))</f>
      </c>
      <c r="H17291">
        <f>IF(DATOS!$G17291&lt;&gt;"EX",0,--(COUNTIFS(nNIA,DATOS!$A17291,nCURSO,DATOS!$D17291,nESPEC,DATOS!$E17291,nASIG,DATOS!$I17291,nEVAL,"OR")=0))</f>
      </c>
      <c r="I17291">
        <f>IF(DATOS!$I17291="","",IFERROR(VLOOKUP(DATOS!$I17291,CONFIG_ASIGNATURAS!$B$2:$J$91,9,FALSE()),""))</f>
      </c>
    </row>
    <row r="17292">
      <c r="F17292">
        <f>IF(DATOS!$A17292="","",DATOS!$A17292&amp;"|"&amp;DATOS!$D17292&amp;"|"&amp;DATOS!$E17292&amp;"|"&amp;DATOS!$I17292)</f>
      </c>
      <c r="G17292">
        <f>IF(DATOS!$A17292="",0,IF(CONFIG_METADATA!$B$4&lt;&gt;"OR+EX",--(DATOS!$G17292=CONFIG_METADATA!$B$4),IF(DATOS!$G17292="EX",1,IF(DATOS!$G17292="OR",--(COUNTIFS(nNIA,DATOS!$A17292,nCURSO,DATOS!$D17292,nESPEC,DATOS!$E17292,nASIG,DATOS!$I17292,nEVAL,"EX")=0),0))))</f>
      </c>
      <c r="H17292">
        <f>IF(DATOS!$G17292&lt;&gt;"EX",0,--(COUNTIFS(nNIA,DATOS!$A17292,nCURSO,DATOS!$D17292,nESPEC,DATOS!$E17292,nASIG,DATOS!$I17292,nEVAL,"OR")=0))</f>
      </c>
      <c r="I17292">
        <f>IF(DATOS!$I17292="","",IFERROR(VLOOKUP(DATOS!$I17292,CONFIG_ASIGNATURAS!$B$2:$J$91,9,FALSE()),""))</f>
      </c>
    </row>
    <row r="17293">
      <c r="F17293">
        <f>IF(DATOS!$A17293="","",DATOS!$A17293&amp;"|"&amp;DATOS!$D17293&amp;"|"&amp;DATOS!$E17293&amp;"|"&amp;DATOS!$I17293)</f>
      </c>
      <c r="G17293">
        <f>IF(DATOS!$A17293="",0,IF(CONFIG_METADATA!$B$4&lt;&gt;"OR+EX",--(DATOS!$G17293=CONFIG_METADATA!$B$4),IF(DATOS!$G17293="EX",1,IF(DATOS!$G17293="OR",--(COUNTIFS(nNIA,DATOS!$A17293,nCURSO,DATOS!$D17293,nESPEC,DATOS!$E17293,nASIG,DATOS!$I17293,nEVAL,"EX")=0),0))))</f>
      </c>
      <c r="H17293">
        <f>IF(DATOS!$G17293&lt;&gt;"EX",0,--(COUNTIFS(nNIA,DATOS!$A17293,nCURSO,DATOS!$D17293,nESPEC,DATOS!$E17293,nASIG,DATOS!$I17293,nEVAL,"OR")=0))</f>
      </c>
      <c r="I17293">
        <f>IF(DATOS!$I17293="","",IFERROR(VLOOKUP(DATOS!$I17293,CONFIG_ASIGNATURAS!$B$2:$J$91,9,FALSE()),""))</f>
      </c>
    </row>
    <row r="17294">
      <c r="F17294">
        <f>IF(DATOS!$A17294="","",DATOS!$A17294&amp;"|"&amp;DATOS!$D17294&amp;"|"&amp;DATOS!$E17294&amp;"|"&amp;DATOS!$I17294)</f>
      </c>
      <c r="G17294">
        <f>IF(DATOS!$A17294="",0,IF(CONFIG_METADATA!$B$4&lt;&gt;"OR+EX",--(DATOS!$G17294=CONFIG_METADATA!$B$4),IF(DATOS!$G17294="EX",1,IF(DATOS!$G17294="OR",--(COUNTIFS(nNIA,DATOS!$A17294,nCURSO,DATOS!$D17294,nESPEC,DATOS!$E17294,nASIG,DATOS!$I17294,nEVAL,"EX")=0),0))))</f>
      </c>
      <c r="H17294">
        <f>IF(DATOS!$G17294&lt;&gt;"EX",0,--(COUNTIFS(nNIA,DATOS!$A17294,nCURSO,DATOS!$D17294,nESPEC,DATOS!$E17294,nASIG,DATOS!$I17294,nEVAL,"OR")=0))</f>
      </c>
      <c r="I17294">
        <f>IF(DATOS!$I17294="","",IFERROR(VLOOKUP(DATOS!$I17294,CONFIG_ASIGNATURAS!$B$2:$J$91,9,FALSE()),""))</f>
      </c>
    </row>
    <row r="17295">
      <c r="F17295">
        <f>IF(DATOS!$A17295="","",DATOS!$A17295&amp;"|"&amp;DATOS!$D17295&amp;"|"&amp;DATOS!$E17295&amp;"|"&amp;DATOS!$I17295)</f>
      </c>
      <c r="G17295">
        <f>IF(DATOS!$A17295="",0,IF(CONFIG_METADATA!$B$4&lt;&gt;"OR+EX",--(DATOS!$G17295=CONFIG_METADATA!$B$4),IF(DATOS!$G17295="EX",1,IF(DATOS!$G17295="OR",--(COUNTIFS(nNIA,DATOS!$A17295,nCURSO,DATOS!$D17295,nESPEC,DATOS!$E17295,nASIG,DATOS!$I17295,nEVAL,"EX")=0),0))))</f>
      </c>
      <c r="H17295">
        <f>IF(DATOS!$G17295&lt;&gt;"EX",0,--(COUNTIFS(nNIA,DATOS!$A17295,nCURSO,DATOS!$D17295,nESPEC,DATOS!$E17295,nASIG,DATOS!$I17295,nEVAL,"OR")=0))</f>
      </c>
      <c r="I17295">
        <f>IF(DATOS!$I17295="","",IFERROR(VLOOKUP(DATOS!$I17295,CONFIG_ASIGNATURAS!$B$2:$J$91,9,FALSE()),""))</f>
      </c>
    </row>
    <row r="17296">
      <c r="F17296">
        <f>IF(DATOS!$A17296="","",DATOS!$A17296&amp;"|"&amp;DATOS!$D17296&amp;"|"&amp;DATOS!$E17296&amp;"|"&amp;DATOS!$I17296)</f>
      </c>
      <c r="G17296">
        <f>IF(DATOS!$A17296="",0,IF(CONFIG_METADATA!$B$4&lt;&gt;"OR+EX",--(DATOS!$G17296=CONFIG_METADATA!$B$4),IF(DATOS!$G17296="EX",1,IF(DATOS!$G17296="OR",--(COUNTIFS(nNIA,DATOS!$A17296,nCURSO,DATOS!$D17296,nESPEC,DATOS!$E17296,nASIG,DATOS!$I17296,nEVAL,"EX")=0),0))))</f>
      </c>
      <c r="H17296">
        <f>IF(DATOS!$G17296&lt;&gt;"EX",0,--(COUNTIFS(nNIA,DATOS!$A17296,nCURSO,DATOS!$D17296,nESPEC,DATOS!$E17296,nASIG,DATOS!$I17296,nEVAL,"OR")=0))</f>
      </c>
      <c r="I17296">
        <f>IF(DATOS!$I17296="","",IFERROR(VLOOKUP(DATOS!$I17296,CONFIG_ASIGNATURAS!$B$2:$J$91,9,FALSE()),""))</f>
      </c>
    </row>
    <row r="17297">
      <c r="F17297">
        <f>IF(DATOS!$A17297="","",DATOS!$A17297&amp;"|"&amp;DATOS!$D17297&amp;"|"&amp;DATOS!$E17297&amp;"|"&amp;DATOS!$I17297)</f>
      </c>
      <c r="G17297">
        <f>IF(DATOS!$A17297="",0,IF(CONFIG_METADATA!$B$4&lt;&gt;"OR+EX",--(DATOS!$G17297=CONFIG_METADATA!$B$4),IF(DATOS!$G17297="EX",1,IF(DATOS!$G17297="OR",--(COUNTIFS(nNIA,DATOS!$A17297,nCURSO,DATOS!$D17297,nESPEC,DATOS!$E17297,nASIG,DATOS!$I17297,nEVAL,"EX")=0),0))))</f>
      </c>
      <c r="H17297">
        <f>IF(DATOS!$G17297&lt;&gt;"EX",0,--(COUNTIFS(nNIA,DATOS!$A17297,nCURSO,DATOS!$D17297,nESPEC,DATOS!$E17297,nASIG,DATOS!$I17297,nEVAL,"OR")=0))</f>
      </c>
      <c r="I17297">
        <f>IF(DATOS!$I17297="","",IFERROR(VLOOKUP(DATOS!$I17297,CONFIG_ASIGNATURAS!$B$2:$J$91,9,FALSE()),""))</f>
      </c>
    </row>
    <row r="17298">
      <c r="F17298">
        <f>IF(DATOS!$A17298="","",DATOS!$A17298&amp;"|"&amp;DATOS!$D17298&amp;"|"&amp;DATOS!$E17298&amp;"|"&amp;DATOS!$I17298)</f>
      </c>
      <c r="G17298">
        <f>IF(DATOS!$A17298="",0,IF(CONFIG_METADATA!$B$4&lt;&gt;"OR+EX",--(DATOS!$G17298=CONFIG_METADATA!$B$4),IF(DATOS!$G17298="EX",1,IF(DATOS!$G17298="OR",--(COUNTIFS(nNIA,DATOS!$A17298,nCURSO,DATOS!$D17298,nESPEC,DATOS!$E17298,nASIG,DATOS!$I17298,nEVAL,"EX")=0),0))))</f>
      </c>
      <c r="H17298">
        <f>IF(DATOS!$G17298&lt;&gt;"EX",0,--(COUNTIFS(nNIA,DATOS!$A17298,nCURSO,DATOS!$D17298,nESPEC,DATOS!$E17298,nASIG,DATOS!$I17298,nEVAL,"OR")=0))</f>
      </c>
      <c r="I17298">
        <f>IF(DATOS!$I17298="","",IFERROR(VLOOKUP(DATOS!$I17298,CONFIG_ASIGNATURAS!$B$2:$J$91,9,FALSE()),""))</f>
      </c>
    </row>
    <row r="17299">
      <c r="F17299">
        <f>IF(DATOS!$A17299="","",DATOS!$A17299&amp;"|"&amp;DATOS!$D17299&amp;"|"&amp;DATOS!$E17299&amp;"|"&amp;DATOS!$I17299)</f>
      </c>
      <c r="G17299">
        <f>IF(DATOS!$A17299="",0,IF(CONFIG_METADATA!$B$4&lt;&gt;"OR+EX",--(DATOS!$G17299=CONFIG_METADATA!$B$4),IF(DATOS!$G17299="EX",1,IF(DATOS!$G17299="OR",--(COUNTIFS(nNIA,DATOS!$A17299,nCURSO,DATOS!$D17299,nESPEC,DATOS!$E17299,nASIG,DATOS!$I17299,nEVAL,"EX")=0),0))))</f>
      </c>
      <c r="H17299">
        <f>IF(DATOS!$G17299&lt;&gt;"EX",0,--(COUNTIFS(nNIA,DATOS!$A17299,nCURSO,DATOS!$D17299,nESPEC,DATOS!$E17299,nASIG,DATOS!$I17299,nEVAL,"OR")=0))</f>
      </c>
      <c r="I17299">
        <f>IF(DATOS!$I17299="","",IFERROR(VLOOKUP(DATOS!$I17299,CONFIG_ASIGNATURAS!$B$2:$J$91,9,FALSE()),""))</f>
      </c>
    </row>
    <row r="17300">
      <c r="F17300">
        <f>IF(DATOS!$A17300="","",DATOS!$A17300&amp;"|"&amp;DATOS!$D17300&amp;"|"&amp;DATOS!$E17300&amp;"|"&amp;DATOS!$I17300)</f>
      </c>
      <c r="G17300">
        <f>IF(DATOS!$A17300="",0,IF(CONFIG_METADATA!$B$4&lt;&gt;"OR+EX",--(DATOS!$G17300=CONFIG_METADATA!$B$4),IF(DATOS!$G17300="EX",1,IF(DATOS!$G17300="OR",--(COUNTIFS(nNIA,DATOS!$A17300,nCURSO,DATOS!$D17300,nESPEC,DATOS!$E17300,nASIG,DATOS!$I17300,nEVAL,"EX")=0),0))))</f>
      </c>
      <c r="H17300">
        <f>IF(DATOS!$G17300&lt;&gt;"EX",0,--(COUNTIFS(nNIA,DATOS!$A17300,nCURSO,DATOS!$D17300,nESPEC,DATOS!$E17300,nASIG,DATOS!$I17300,nEVAL,"OR")=0))</f>
      </c>
      <c r="I17300">
        <f>IF(DATOS!$I17300="","",IFERROR(VLOOKUP(DATOS!$I17300,CONFIG_ASIGNATURAS!$B$2:$J$91,9,FALSE()),""))</f>
      </c>
    </row>
    <row r="17301">
      <c r="F17301">
        <f>IF(DATOS!$A17301="","",DATOS!$A17301&amp;"|"&amp;DATOS!$D17301&amp;"|"&amp;DATOS!$E17301&amp;"|"&amp;DATOS!$I17301)</f>
      </c>
      <c r="G17301">
        <f>IF(DATOS!$A17301="",0,IF(CONFIG_METADATA!$B$4&lt;&gt;"OR+EX",--(DATOS!$G17301=CONFIG_METADATA!$B$4),IF(DATOS!$G17301="EX",1,IF(DATOS!$G17301="OR",--(COUNTIFS(nNIA,DATOS!$A17301,nCURSO,DATOS!$D17301,nESPEC,DATOS!$E17301,nASIG,DATOS!$I17301,nEVAL,"EX")=0),0))))</f>
      </c>
      <c r="H17301">
        <f>IF(DATOS!$G17301&lt;&gt;"EX",0,--(COUNTIFS(nNIA,DATOS!$A17301,nCURSO,DATOS!$D17301,nESPEC,DATOS!$E17301,nASIG,DATOS!$I17301,nEVAL,"OR")=0))</f>
      </c>
      <c r="I17301">
        <f>IF(DATOS!$I17301="","",IFERROR(VLOOKUP(DATOS!$I17301,CONFIG_ASIGNATURAS!$B$2:$J$91,9,FALSE()),""))</f>
      </c>
    </row>
    <row r="17302">
      <c r="F17302">
        <f>IF(DATOS!$A17302="","",DATOS!$A17302&amp;"|"&amp;DATOS!$D17302&amp;"|"&amp;DATOS!$E17302&amp;"|"&amp;DATOS!$I17302)</f>
      </c>
      <c r="G17302">
        <f>IF(DATOS!$A17302="",0,IF(CONFIG_METADATA!$B$4&lt;&gt;"OR+EX",--(DATOS!$G17302=CONFIG_METADATA!$B$4),IF(DATOS!$G17302="EX",1,IF(DATOS!$G17302="OR",--(COUNTIFS(nNIA,DATOS!$A17302,nCURSO,DATOS!$D17302,nESPEC,DATOS!$E17302,nASIG,DATOS!$I17302,nEVAL,"EX")=0),0))))</f>
      </c>
      <c r="H17302">
        <f>IF(DATOS!$G17302&lt;&gt;"EX",0,--(COUNTIFS(nNIA,DATOS!$A17302,nCURSO,DATOS!$D17302,nESPEC,DATOS!$E17302,nASIG,DATOS!$I17302,nEVAL,"OR")=0))</f>
      </c>
      <c r="I17302">
        <f>IF(DATOS!$I17302="","",IFERROR(VLOOKUP(DATOS!$I17302,CONFIG_ASIGNATURAS!$B$2:$J$91,9,FALSE()),""))</f>
      </c>
    </row>
    <row r="17303">
      <c r="F17303">
        <f>IF(DATOS!$A17303="","",DATOS!$A17303&amp;"|"&amp;DATOS!$D17303&amp;"|"&amp;DATOS!$E17303&amp;"|"&amp;DATOS!$I17303)</f>
      </c>
      <c r="G17303">
        <f>IF(DATOS!$A17303="",0,IF(CONFIG_METADATA!$B$4&lt;&gt;"OR+EX",--(DATOS!$G17303=CONFIG_METADATA!$B$4),IF(DATOS!$G17303="EX",1,IF(DATOS!$G17303="OR",--(COUNTIFS(nNIA,DATOS!$A17303,nCURSO,DATOS!$D17303,nESPEC,DATOS!$E17303,nASIG,DATOS!$I17303,nEVAL,"EX")=0),0))))</f>
      </c>
      <c r="H17303">
        <f>IF(DATOS!$G17303&lt;&gt;"EX",0,--(COUNTIFS(nNIA,DATOS!$A17303,nCURSO,DATOS!$D17303,nESPEC,DATOS!$E17303,nASIG,DATOS!$I17303,nEVAL,"OR")=0))</f>
      </c>
      <c r="I17303">
        <f>IF(DATOS!$I17303="","",IFERROR(VLOOKUP(DATOS!$I17303,CONFIG_ASIGNATURAS!$B$2:$J$91,9,FALSE()),""))</f>
      </c>
    </row>
    <row r="17304">
      <c r="F17304">
        <f>IF(DATOS!$A17304="","",DATOS!$A17304&amp;"|"&amp;DATOS!$D17304&amp;"|"&amp;DATOS!$E17304&amp;"|"&amp;DATOS!$I17304)</f>
      </c>
      <c r="G17304">
        <f>IF(DATOS!$A17304="",0,IF(CONFIG_METADATA!$B$4&lt;&gt;"OR+EX",--(DATOS!$G17304=CONFIG_METADATA!$B$4),IF(DATOS!$G17304="EX",1,IF(DATOS!$G17304="OR",--(COUNTIFS(nNIA,DATOS!$A17304,nCURSO,DATOS!$D17304,nESPEC,DATOS!$E17304,nASIG,DATOS!$I17304,nEVAL,"EX")=0),0))))</f>
      </c>
      <c r="H17304">
        <f>IF(DATOS!$G17304&lt;&gt;"EX",0,--(COUNTIFS(nNIA,DATOS!$A17304,nCURSO,DATOS!$D17304,nESPEC,DATOS!$E17304,nASIG,DATOS!$I17304,nEVAL,"OR")=0))</f>
      </c>
      <c r="I17304">
        <f>IF(DATOS!$I17304="","",IFERROR(VLOOKUP(DATOS!$I17304,CONFIG_ASIGNATURAS!$B$2:$J$91,9,FALSE()),""))</f>
      </c>
    </row>
    <row r="17305">
      <c r="F17305">
        <f>IF(DATOS!$A17305="","",DATOS!$A17305&amp;"|"&amp;DATOS!$D17305&amp;"|"&amp;DATOS!$E17305&amp;"|"&amp;DATOS!$I17305)</f>
      </c>
      <c r="G17305">
        <f>IF(DATOS!$A17305="",0,IF(CONFIG_METADATA!$B$4&lt;&gt;"OR+EX",--(DATOS!$G17305=CONFIG_METADATA!$B$4),IF(DATOS!$G17305="EX",1,IF(DATOS!$G17305="OR",--(COUNTIFS(nNIA,DATOS!$A17305,nCURSO,DATOS!$D17305,nESPEC,DATOS!$E17305,nASIG,DATOS!$I17305,nEVAL,"EX")=0),0))))</f>
      </c>
      <c r="H17305">
        <f>IF(DATOS!$G17305&lt;&gt;"EX",0,--(COUNTIFS(nNIA,DATOS!$A17305,nCURSO,DATOS!$D17305,nESPEC,DATOS!$E17305,nASIG,DATOS!$I17305,nEVAL,"OR")=0))</f>
      </c>
      <c r="I17305">
        <f>IF(DATOS!$I17305="","",IFERROR(VLOOKUP(DATOS!$I17305,CONFIG_ASIGNATURAS!$B$2:$J$91,9,FALSE()),""))</f>
      </c>
    </row>
    <row r="17306">
      <c r="F17306">
        <f>IF(DATOS!$A17306="","",DATOS!$A17306&amp;"|"&amp;DATOS!$D17306&amp;"|"&amp;DATOS!$E17306&amp;"|"&amp;DATOS!$I17306)</f>
      </c>
      <c r="G17306">
        <f>IF(DATOS!$A17306="",0,IF(CONFIG_METADATA!$B$4&lt;&gt;"OR+EX",--(DATOS!$G17306=CONFIG_METADATA!$B$4),IF(DATOS!$G17306="EX",1,IF(DATOS!$G17306="OR",--(COUNTIFS(nNIA,DATOS!$A17306,nCURSO,DATOS!$D17306,nESPEC,DATOS!$E17306,nASIG,DATOS!$I17306,nEVAL,"EX")=0),0))))</f>
      </c>
      <c r="H17306">
        <f>IF(DATOS!$G17306&lt;&gt;"EX",0,--(COUNTIFS(nNIA,DATOS!$A17306,nCURSO,DATOS!$D17306,nESPEC,DATOS!$E17306,nASIG,DATOS!$I17306,nEVAL,"OR")=0))</f>
      </c>
      <c r="I17306">
        <f>IF(DATOS!$I17306="","",IFERROR(VLOOKUP(DATOS!$I17306,CONFIG_ASIGNATURAS!$B$2:$J$91,9,FALSE()),""))</f>
      </c>
    </row>
    <row r="17307">
      <c r="F17307">
        <f>IF(DATOS!$A17307="","",DATOS!$A17307&amp;"|"&amp;DATOS!$D17307&amp;"|"&amp;DATOS!$E17307&amp;"|"&amp;DATOS!$I17307)</f>
      </c>
      <c r="G17307">
        <f>IF(DATOS!$A17307="",0,IF(CONFIG_METADATA!$B$4&lt;&gt;"OR+EX",--(DATOS!$G17307=CONFIG_METADATA!$B$4),IF(DATOS!$G17307="EX",1,IF(DATOS!$G17307="OR",--(COUNTIFS(nNIA,DATOS!$A17307,nCURSO,DATOS!$D17307,nESPEC,DATOS!$E17307,nASIG,DATOS!$I17307,nEVAL,"EX")=0),0))))</f>
      </c>
      <c r="H17307">
        <f>IF(DATOS!$G17307&lt;&gt;"EX",0,--(COUNTIFS(nNIA,DATOS!$A17307,nCURSO,DATOS!$D17307,nESPEC,DATOS!$E17307,nASIG,DATOS!$I17307,nEVAL,"OR")=0))</f>
      </c>
      <c r="I17307">
        <f>IF(DATOS!$I17307="","",IFERROR(VLOOKUP(DATOS!$I17307,CONFIG_ASIGNATURAS!$B$2:$J$91,9,FALSE()),""))</f>
      </c>
    </row>
    <row r="17308">
      <c r="F17308">
        <f>IF(DATOS!$A17308="","",DATOS!$A17308&amp;"|"&amp;DATOS!$D17308&amp;"|"&amp;DATOS!$E17308&amp;"|"&amp;DATOS!$I17308)</f>
      </c>
      <c r="G17308">
        <f>IF(DATOS!$A17308="",0,IF(CONFIG_METADATA!$B$4&lt;&gt;"OR+EX",--(DATOS!$G17308=CONFIG_METADATA!$B$4),IF(DATOS!$G17308="EX",1,IF(DATOS!$G17308="OR",--(COUNTIFS(nNIA,DATOS!$A17308,nCURSO,DATOS!$D17308,nESPEC,DATOS!$E17308,nASIG,DATOS!$I17308,nEVAL,"EX")=0),0))))</f>
      </c>
      <c r="H17308">
        <f>IF(DATOS!$G17308&lt;&gt;"EX",0,--(COUNTIFS(nNIA,DATOS!$A17308,nCURSO,DATOS!$D17308,nESPEC,DATOS!$E17308,nASIG,DATOS!$I17308,nEVAL,"OR")=0))</f>
      </c>
      <c r="I17308">
        <f>IF(DATOS!$I17308="","",IFERROR(VLOOKUP(DATOS!$I17308,CONFIG_ASIGNATURAS!$B$2:$J$91,9,FALSE()),""))</f>
      </c>
    </row>
    <row r="17309">
      <c r="F17309">
        <f>IF(DATOS!$A17309="","",DATOS!$A17309&amp;"|"&amp;DATOS!$D17309&amp;"|"&amp;DATOS!$E17309&amp;"|"&amp;DATOS!$I17309)</f>
      </c>
      <c r="G17309">
        <f>IF(DATOS!$A17309="",0,IF(CONFIG_METADATA!$B$4&lt;&gt;"OR+EX",--(DATOS!$G17309=CONFIG_METADATA!$B$4),IF(DATOS!$G17309="EX",1,IF(DATOS!$G17309="OR",--(COUNTIFS(nNIA,DATOS!$A17309,nCURSO,DATOS!$D17309,nESPEC,DATOS!$E17309,nASIG,DATOS!$I17309,nEVAL,"EX")=0),0))))</f>
      </c>
      <c r="H17309">
        <f>IF(DATOS!$G17309&lt;&gt;"EX",0,--(COUNTIFS(nNIA,DATOS!$A17309,nCURSO,DATOS!$D17309,nESPEC,DATOS!$E17309,nASIG,DATOS!$I17309,nEVAL,"OR")=0))</f>
      </c>
      <c r="I17309">
        <f>IF(DATOS!$I17309="","",IFERROR(VLOOKUP(DATOS!$I17309,CONFIG_ASIGNATURAS!$B$2:$J$91,9,FALSE()),""))</f>
      </c>
    </row>
    <row r="17310">
      <c r="F17310">
        <f>IF(DATOS!$A17310="","",DATOS!$A17310&amp;"|"&amp;DATOS!$D17310&amp;"|"&amp;DATOS!$E17310&amp;"|"&amp;DATOS!$I17310)</f>
      </c>
      <c r="G17310">
        <f>IF(DATOS!$A17310="",0,IF(CONFIG_METADATA!$B$4&lt;&gt;"OR+EX",--(DATOS!$G17310=CONFIG_METADATA!$B$4),IF(DATOS!$G17310="EX",1,IF(DATOS!$G17310="OR",--(COUNTIFS(nNIA,DATOS!$A17310,nCURSO,DATOS!$D17310,nESPEC,DATOS!$E17310,nASIG,DATOS!$I17310,nEVAL,"EX")=0),0))))</f>
      </c>
      <c r="H17310">
        <f>IF(DATOS!$G17310&lt;&gt;"EX",0,--(COUNTIFS(nNIA,DATOS!$A17310,nCURSO,DATOS!$D17310,nESPEC,DATOS!$E17310,nASIG,DATOS!$I17310,nEVAL,"OR")=0))</f>
      </c>
      <c r="I17310">
        <f>IF(DATOS!$I17310="","",IFERROR(VLOOKUP(DATOS!$I17310,CONFIG_ASIGNATURAS!$B$2:$J$91,9,FALSE()),""))</f>
      </c>
    </row>
    <row r="17311">
      <c r="F17311">
        <f>IF(DATOS!$A17311="","",DATOS!$A17311&amp;"|"&amp;DATOS!$D17311&amp;"|"&amp;DATOS!$E17311&amp;"|"&amp;DATOS!$I17311)</f>
      </c>
      <c r="G17311">
        <f>IF(DATOS!$A17311="",0,IF(CONFIG_METADATA!$B$4&lt;&gt;"OR+EX",--(DATOS!$G17311=CONFIG_METADATA!$B$4),IF(DATOS!$G17311="EX",1,IF(DATOS!$G17311="OR",--(COUNTIFS(nNIA,DATOS!$A17311,nCURSO,DATOS!$D17311,nESPEC,DATOS!$E17311,nASIG,DATOS!$I17311,nEVAL,"EX")=0),0))))</f>
      </c>
      <c r="H17311">
        <f>IF(DATOS!$G17311&lt;&gt;"EX",0,--(COUNTIFS(nNIA,DATOS!$A17311,nCURSO,DATOS!$D17311,nESPEC,DATOS!$E17311,nASIG,DATOS!$I17311,nEVAL,"OR")=0))</f>
      </c>
      <c r="I17311">
        <f>IF(DATOS!$I17311="","",IFERROR(VLOOKUP(DATOS!$I17311,CONFIG_ASIGNATURAS!$B$2:$J$91,9,FALSE()),""))</f>
      </c>
    </row>
    <row r="17312">
      <c r="F17312">
        <f>IF(DATOS!$A17312="","",DATOS!$A17312&amp;"|"&amp;DATOS!$D17312&amp;"|"&amp;DATOS!$E17312&amp;"|"&amp;DATOS!$I17312)</f>
      </c>
      <c r="G17312">
        <f>IF(DATOS!$A17312="",0,IF(CONFIG_METADATA!$B$4&lt;&gt;"OR+EX",--(DATOS!$G17312=CONFIG_METADATA!$B$4),IF(DATOS!$G17312="EX",1,IF(DATOS!$G17312="OR",--(COUNTIFS(nNIA,DATOS!$A17312,nCURSO,DATOS!$D17312,nESPEC,DATOS!$E17312,nASIG,DATOS!$I17312,nEVAL,"EX")=0),0))))</f>
      </c>
      <c r="H17312">
        <f>IF(DATOS!$G17312&lt;&gt;"EX",0,--(COUNTIFS(nNIA,DATOS!$A17312,nCURSO,DATOS!$D17312,nESPEC,DATOS!$E17312,nASIG,DATOS!$I17312,nEVAL,"OR")=0))</f>
      </c>
      <c r="I17312">
        <f>IF(DATOS!$I17312="","",IFERROR(VLOOKUP(DATOS!$I17312,CONFIG_ASIGNATURAS!$B$2:$J$91,9,FALSE()),""))</f>
      </c>
    </row>
    <row r="17313">
      <c r="F17313">
        <f>IF(DATOS!$A17313="","",DATOS!$A17313&amp;"|"&amp;DATOS!$D17313&amp;"|"&amp;DATOS!$E17313&amp;"|"&amp;DATOS!$I17313)</f>
      </c>
      <c r="G17313">
        <f>IF(DATOS!$A17313="",0,IF(CONFIG_METADATA!$B$4&lt;&gt;"OR+EX",--(DATOS!$G17313=CONFIG_METADATA!$B$4),IF(DATOS!$G17313="EX",1,IF(DATOS!$G17313="OR",--(COUNTIFS(nNIA,DATOS!$A17313,nCURSO,DATOS!$D17313,nESPEC,DATOS!$E17313,nASIG,DATOS!$I17313,nEVAL,"EX")=0),0))))</f>
      </c>
      <c r="H17313">
        <f>IF(DATOS!$G17313&lt;&gt;"EX",0,--(COUNTIFS(nNIA,DATOS!$A17313,nCURSO,DATOS!$D17313,nESPEC,DATOS!$E17313,nASIG,DATOS!$I17313,nEVAL,"OR")=0))</f>
      </c>
      <c r="I17313">
        <f>IF(DATOS!$I17313="","",IFERROR(VLOOKUP(DATOS!$I17313,CONFIG_ASIGNATURAS!$B$2:$J$91,9,FALSE()),""))</f>
      </c>
    </row>
    <row r="17314">
      <c r="F17314">
        <f>IF(DATOS!$A17314="","",DATOS!$A17314&amp;"|"&amp;DATOS!$D17314&amp;"|"&amp;DATOS!$E17314&amp;"|"&amp;DATOS!$I17314)</f>
      </c>
      <c r="G17314">
        <f>IF(DATOS!$A17314="",0,IF(CONFIG_METADATA!$B$4&lt;&gt;"OR+EX",--(DATOS!$G17314=CONFIG_METADATA!$B$4),IF(DATOS!$G17314="EX",1,IF(DATOS!$G17314="OR",--(COUNTIFS(nNIA,DATOS!$A17314,nCURSO,DATOS!$D17314,nESPEC,DATOS!$E17314,nASIG,DATOS!$I17314,nEVAL,"EX")=0),0))))</f>
      </c>
      <c r="H17314">
        <f>IF(DATOS!$G17314&lt;&gt;"EX",0,--(COUNTIFS(nNIA,DATOS!$A17314,nCURSO,DATOS!$D17314,nESPEC,DATOS!$E17314,nASIG,DATOS!$I17314,nEVAL,"OR")=0))</f>
      </c>
      <c r="I17314">
        <f>IF(DATOS!$I17314="","",IFERROR(VLOOKUP(DATOS!$I17314,CONFIG_ASIGNATURAS!$B$2:$J$91,9,FALSE()),""))</f>
      </c>
    </row>
    <row r="17315">
      <c r="F17315">
        <f>IF(DATOS!$A17315="","",DATOS!$A17315&amp;"|"&amp;DATOS!$D17315&amp;"|"&amp;DATOS!$E17315&amp;"|"&amp;DATOS!$I17315)</f>
      </c>
      <c r="G17315">
        <f>IF(DATOS!$A17315="",0,IF(CONFIG_METADATA!$B$4&lt;&gt;"OR+EX",--(DATOS!$G17315=CONFIG_METADATA!$B$4),IF(DATOS!$G17315="EX",1,IF(DATOS!$G17315="OR",--(COUNTIFS(nNIA,DATOS!$A17315,nCURSO,DATOS!$D17315,nESPEC,DATOS!$E17315,nASIG,DATOS!$I17315,nEVAL,"EX")=0),0))))</f>
      </c>
      <c r="H17315">
        <f>IF(DATOS!$G17315&lt;&gt;"EX",0,--(COUNTIFS(nNIA,DATOS!$A17315,nCURSO,DATOS!$D17315,nESPEC,DATOS!$E17315,nASIG,DATOS!$I17315,nEVAL,"OR")=0))</f>
      </c>
      <c r="I17315">
        <f>IF(DATOS!$I17315="","",IFERROR(VLOOKUP(DATOS!$I17315,CONFIG_ASIGNATURAS!$B$2:$J$91,9,FALSE()),""))</f>
      </c>
    </row>
    <row r="17316">
      <c r="F17316">
        <f>IF(DATOS!$A17316="","",DATOS!$A17316&amp;"|"&amp;DATOS!$D17316&amp;"|"&amp;DATOS!$E17316&amp;"|"&amp;DATOS!$I17316)</f>
      </c>
      <c r="G17316">
        <f>IF(DATOS!$A17316="",0,IF(CONFIG_METADATA!$B$4&lt;&gt;"OR+EX",--(DATOS!$G17316=CONFIG_METADATA!$B$4),IF(DATOS!$G17316="EX",1,IF(DATOS!$G17316="OR",--(COUNTIFS(nNIA,DATOS!$A17316,nCURSO,DATOS!$D17316,nESPEC,DATOS!$E17316,nASIG,DATOS!$I17316,nEVAL,"EX")=0),0))))</f>
      </c>
      <c r="H17316">
        <f>IF(DATOS!$G17316&lt;&gt;"EX",0,--(COUNTIFS(nNIA,DATOS!$A17316,nCURSO,DATOS!$D17316,nESPEC,DATOS!$E17316,nASIG,DATOS!$I17316,nEVAL,"OR")=0))</f>
      </c>
      <c r="I17316">
        <f>IF(DATOS!$I17316="","",IFERROR(VLOOKUP(DATOS!$I17316,CONFIG_ASIGNATURAS!$B$2:$J$91,9,FALSE()),""))</f>
      </c>
    </row>
    <row r="17317">
      <c r="F17317">
        <f>IF(DATOS!$A17317="","",DATOS!$A17317&amp;"|"&amp;DATOS!$D17317&amp;"|"&amp;DATOS!$E17317&amp;"|"&amp;DATOS!$I17317)</f>
      </c>
      <c r="G17317">
        <f>IF(DATOS!$A17317="",0,IF(CONFIG_METADATA!$B$4&lt;&gt;"OR+EX",--(DATOS!$G17317=CONFIG_METADATA!$B$4),IF(DATOS!$G17317="EX",1,IF(DATOS!$G17317="OR",--(COUNTIFS(nNIA,DATOS!$A17317,nCURSO,DATOS!$D17317,nESPEC,DATOS!$E17317,nASIG,DATOS!$I17317,nEVAL,"EX")=0),0))))</f>
      </c>
      <c r="H17317">
        <f>IF(DATOS!$G17317&lt;&gt;"EX",0,--(COUNTIFS(nNIA,DATOS!$A17317,nCURSO,DATOS!$D17317,nESPEC,DATOS!$E17317,nASIG,DATOS!$I17317,nEVAL,"OR")=0))</f>
      </c>
      <c r="I17317">
        <f>IF(DATOS!$I17317="","",IFERROR(VLOOKUP(DATOS!$I17317,CONFIG_ASIGNATURAS!$B$2:$J$91,9,FALSE()),""))</f>
      </c>
    </row>
    <row r="17318">
      <c r="F17318">
        <f>IF(DATOS!$A17318="","",DATOS!$A17318&amp;"|"&amp;DATOS!$D17318&amp;"|"&amp;DATOS!$E17318&amp;"|"&amp;DATOS!$I17318)</f>
      </c>
      <c r="G17318">
        <f>IF(DATOS!$A17318="",0,IF(CONFIG_METADATA!$B$4&lt;&gt;"OR+EX",--(DATOS!$G17318=CONFIG_METADATA!$B$4),IF(DATOS!$G17318="EX",1,IF(DATOS!$G17318="OR",--(COUNTIFS(nNIA,DATOS!$A17318,nCURSO,DATOS!$D17318,nESPEC,DATOS!$E17318,nASIG,DATOS!$I17318,nEVAL,"EX")=0),0))))</f>
      </c>
      <c r="H17318">
        <f>IF(DATOS!$G17318&lt;&gt;"EX",0,--(COUNTIFS(nNIA,DATOS!$A17318,nCURSO,DATOS!$D17318,nESPEC,DATOS!$E17318,nASIG,DATOS!$I17318,nEVAL,"OR")=0))</f>
      </c>
      <c r="I17318">
        <f>IF(DATOS!$I17318="","",IFERROR(VLOOKUP(DATOS!$I17318,CONFIG_ASIGNATURAS!$B$2:$J$91,9,FALSE()),""))</f>
      </c>
    </row>
    <row r="17319">
      <c r="F17319">
        <f>IF(DATOS!$A17319="","",DATOS!$A17319&amp;"|"&amp;DATOS!$D17319&amp;"|"&amp;DATOS!$E17319&amp;"|"&amp;DATOS!$I17319)</f>
      </c>
      <c r="G17319">
        <f>IF(DATOS!$A17319="",0,IF(CONFIG_METADATA!$B$4&lt;&gt;"OR+EX",--(DATOS!$G17319=CONFIG_METADATA!$B$4),IF(DATOS!$G17319="EX",1,IF(DATOS!$G17319="OR",--(COUNTIFS(nNIA,DATOS!$A17319,nCURSO,DATOS!$D17319,nESPEC,DATOS!$E17319,nASIG,DATOS!$I17319,nEVAL,"EX")=0),0))))</f>
      </c>
      <c r="H17319">
        <f>IF(DATOS!$G17319&lt;&gt;"EX",0,--(COUNTIFS(nNIA,DATOS!$A17319,nCURSO,DATOS!$D17319,nESPEC,DATOS!$E17319,nASIG,DATOS!$I17319,nEVAL,"OR")=0))</f>
      </c>
      <c r="I17319">
        <f>IF(DATOS!$I17319="","",IFERROR(VLOOKUP(DATOS!$I17319,CONFIG_ASIGNATURAS!$B$2:$J$91,9,FALSE()),""))</f>
      </c>
    </row>
    <row r="17320">
      <c r="F17320">
        <f>IF(DATOS!$A17320="","",DATOS!$A17320&amp;"|"&amp;DATOS!$D17320&amp;"|"&amp;DATOS!$E17320&amp;"|"&amp;DATOS!$I17320)</f>
      </c>
      <c r="G17320">
        <f>IF(DATOS!$A17320="",0,IF(CONFIG_METADATA!$B$4&lt;&gt;"OR+EX",--(DATOS!$G17320=CONFIG_METADATA!$B$4),IF(DATOS!$G17320="EX",1,IF(DATOS!$G17320="OR",--(COUNTIFS(nNIA,DATOS!$A17320,nCURSO,DATOS!$D17320,nESPEC,DATOS!$E17320,nASIG,DATOS!$I17320,nEVAL,"EX")=0),0))))</f>
      </c>
      <c r="H17320">
        <f>IF(DATOS!$G17320&lt;&gt;"EX",0,--(COUNTIFS(nNIA,DATOS!$A17320,nCURSO,DATOS!$D17320,nESPEC,DATOS!$E17320,nASIG,DATOS!$I17320,nEVAL,"OR")=0))</f>
      </c>
      <c r="I17320">
        <f>IF(DATOS!$I17320="","",IFERROR(VLOOKUP(DATOS!$I17320,CONFIG_ASIGNATURAS!$B$2:$J$91,9,FALSE()),""))</f>
      </c>
    </row>
    <row r="17321">
      <c r="F17321">
        <f>IF(DATOS!$A17321="","",DATOS!$A17321&amp;"|"&amp;DATOS!$D17321&amp;"|"&amp;DATOS!$E17321&amp;"|"&amp;DATOS!$I17321)</f>
      </c>
      <c r="G17321">
        <f>IF(DATOS!$A17321="",0,IF(CONFIG_METADATA!$B$4&lt;&gt;"OR+EX",--(DATOS!$G17321=CONFIG_METADATA!$B$4),IF(DATOS!$G17321="EX",1,IF(DATOS!$G17321="OR",--(COUNTIFS(nNIA,DATOS!$A17321,nCURSO,DATOS!$D17321,nESPEC,DATOS!$E17321,nASIG,DATOS!$I17321,nEVAL,"EX")=0),0))))</f>
      </c>
      <c r="H17321">
        <f>IF(DATOS!$G17321&lt;&gt;"EX",0,--(COUNTIFS(nNIA,DATOS!$A17321,nCURSO,DATOS!$D17321,nESPEC,DATOS!$E17321,nASIG,DATOS!$I17321,nEVAL,"OR")=0))</f>
      </c>
      <c r="I17321">
        <f>IF(DATOS!$I17321="","",IFERROR(VLOOKUP(DATOS!$I17321,CONFIG_ASIGNATURAS!$B$2:$J$91,9,FALSE()),""))</f>
      </c>
    </row>
    <row r="17322">
      <c r="F17322">
        <f>IF(DATOS!$A17322="","",DATOS!$A17322&amp;"|"&amp;DATOS!$D17322&amp;"|"&amp;DATOS!$E17322&amp;"|"&amp;DATOS!$I17322)</f>
      </c>
      <c r="G17322">
        <f>IF(DATOS!$A17322="",0,IF(CONFIG_METADATA!$B$4&lt;&gt;"OR+EX",--(DATOS!$G17322=CONFIG_METADATA!$B$4),IF(DATOS!$G17322="EX",1,IF(DATOS!$G17322="OR",--(COUNTIFS(nNIA,DATOS!$A17322,nCURSO,DATOS!$D17322,nESPEC,DATOS!$E17322,nASIG,DATOS!$I17322,nEVAL,"EX")=0),0))))</f>
      </c>
      <c r="H17322">
        <f>IF(DATOS!$G17322&lt;&gt;"EX",0,--(COUNTIFS(nNIA,DATOS!$A17322,nCURSO,DATOS!$D17322,nESPEC,DATOS!$E17322,nASIG,DATOS!$I17322,nEVAL,"OR")=0))</f>
      </c>
      <c r="I17322">
        <f>IF(DATOS!$I17322="","",IFERROR(VLOOKUP(DATOS!$I17322,CONFIG_ASIGNATURAS!$B$2:$J$91,9,FALSE()),""))</f>
      </c>
    </row>
    <row r="17323">
      <c r="F17323">
        <f>IF(DATOS!$A17323="","",DATOS!$A17323&amp;"|"&amp;DATOS!$D17323&amp;"|"&amp;DATOS!$E17323&amp;"|"&amp;DATOS!$I17323)</f>
      </c>
      <c r="G17323">
        <f>IF(DATOS!$A17323="",0,IF(CONFIG_METADATA!$B$4&lt;&gt;"OR+EX",--(DATOS!$G17323=CONFIG_METADATA!$B$4),IF(DATOS!$G17323="EX",1,IF(DATOS!$G17323="OR",--(COUNTIFS(nNIA,DATOS!$A17323,nCURSO,DATOS!$D17323,nESPEC,DATOS!$E17323,nASIG,DATOS!$I17323,nEVAL,"EX")=0),0))))</f>
      </c>
      <c r="H17323">
        <f>IF(DATOS!$G17323&lt;&gt;"EX",0,--(COUNTIFS(nNIA,DATOS!$A17323,nCURSO,DATOS!$D17323,nESPEC,DATOS!$E17323,nASIG,DATOS!$I17323,nEVAL,"OR")=0))</f>
      </c>
      <c r="I17323">
        <f>IF(DATOS!$I17323="","",IFERROR(VLOOKUP(DATOS!$I17323,CONFIG_ASIGNATURAS!$B$2:$J$91,9,FALSE()),""))</f>
      </c>
    </row>
    <row r="17324">
      <c r="F17324">
        <f>IF(DATOS!$A17324="","",DATOS!$A17324&amp;"|"&amp;DATOS!$D17324&amp;"|"&amp;DATOS!$E17324&amp;"|"&amp;DATOS!$I17324)</f>
      </c>
      <c r="G17324">
        <f>IF(DATOS!$A17324="",0,IF(CONFIG_METADATA!$B$4&lt;&gt;"OR+EX",--(DATOS!$G17324=CONFIG_METADATA!$B$4),IF(DATOS!$G17324="EX",1,IF(DATOS!$G17324="OR",--(COUNTIFS(nNIA,DATOS!$A17324,nCURSO,DATOS!$D17324,nESPEC,DATOS!$E17324,nASIG,DATOS!$I17324,nEVAL,"EX")=0),0))))</f>
      </c>
      <c r="H17324">
        <f>IF(DATOS!$G17324&lt;&gt;"EX",0,--(COUNTIFS(nNIA,DATOS!$A17324,nCURSO,DATOS!$D17324,nESPEC,DATOS!$E17324,nASIG,DATOS!$I17324,nEVAL,"OR")=0))</f>
      </c>
      <c r="I17324">
        <f>IF(DATOS!$I17324="","",IFERROR(VLOOKUP(DATOS!$I17324,CONFIG_ASIGNATURAS!$B$2:$J$91,9,FALSE()),""))</f>
      </c>
    </row>
    <row r="17325">
      <c r="F17325">
        <f>IF(DATOS!$A17325="","",DATOS!$A17325&amp;"|"&amp;DATOS!$D17325&amp;"|"&amp;DATOS!$E17325&amp;"|"&amp;DATOS!$I17325)</f>
      </c>
      <c r="G17325">
        <f>IF(DATOS!$A17325="",0,IF(CONFIG_METADATA!$B$4&lt;&gt;"OR+EX",--(DATOS!$G17325=CONFIG_METADATA!$B$4),IF(DATOS!$G17325="EX",1,IF(DATOS!$G17325="OR",--(COUNTIFS(nNIA,DATOS!$A17325,nCURSO,DATOS!$D17325,nESPEC,DATOS!$E17325,nASIG,DATOS!$I17325,nEVAL,"EX")=0),0))))</f>
      </c>
      <c r="H17325">
        <f>IF(DATOS!$G17325&lt;&gt;"EX",0,--(COUNTIFS(nNIA,DATOS!$A17325,nCURSO,DATOS!$D17325,nESPEC,DATOS!$E17325,nASIG,DATOS!$I17325,nEVAL,"OR")=0))</f>
      </c>
      <c r="I17325">
        <f>IF(DATOS!$I17325="","",IFERROR(VLOOKUP(DATOS!$I17325,CONFIG_ASIGNATURAS!$B$2:$J$91,9,FALSE()),""))</f>
      </c>
    </row>
    <row r="17326">
      <c r="F17326">
        <f>IF(DATOS!$A17326="","",DATOS!$A17326&amp;"|"&amp;DATOS!$D17326&amp;"|"&amp;DATOS!$E17326&amp;"|"&amp;DATOS!$I17326)</f>
      </c>
      <c r="G17326">
        <f>IF(DATOS!$A17326="",0,IF(CONFIG_METADATA!$B$4&lt;&gt;"OR+EX",--(DATOS!$G17326=CONFIG_METADATA!$B$4),IF(DATOS!$G17326="EX",1,IF(DATOS!$G17326="OR",--(COUNTIFS(nNIA,DATOS!$A17326,nCURSO,DATOS!$D17326,nESPEC,DATOS!$E17326,nASIG,DATOS!$I17326,nEVAL,"EX")=0),0))))</f>
      </c>
      <c r="H17326">
        <f>IF(DATOS!$G17326&lt;&gt;"EX",0,--(COUNTIFS(nNIA,DATOS!$A17326,nCURSO,DATOS!$D17326,nESPEC,DATOS!$E17326,nASIG,DATOS!$I17326,nEVAL,"OR")=0))</f>
      </c>
      <c r="I17326">
        <f>IF(DATOS!$I17326="","",IFERROR(VLOOKUP(DATOS!$I17326,CONFIG_ASIGNATURAS!$B$2:$J$91,9,FALSE()),""))</f>
      </c>
    </row>
    <row r="17327">
      <c r="F17327">
        <f>IF(DATOS!$A17327="","",DATOS!$A17327&amp;"|"&amp;DATOS!$D17327&amp;"|"&amp;DATOS!$E17327&amp;"|"&amp;DATOS!$I17327)</f>
      </c>
      <c r="G17327">
        <f>IF(DATOS!$A17327="",0,IF(CONFIG_METADATA!$B$4&lt;&gt;"OR+EX",--(DATOS!$G17327=CONFIG_METADATA!$B$4),IF(DATOS!$G17327="EX",1,IF(DATOS!$G17327="OR",--(COUNTIFS(nNIA,DATOS!$A17327,nCURSO,DATOS!$D17327,nESPEC,DATOS!$E17327,nASIG,DATOS!$I17327,nEVAL,"EX")=0),0))))</f>
      </c>
      <c r="H17327">
        <f>IF(DATOS!$G17327&lt;&gt;"EX",0,--(COUNTIFS(nNIA,DATOS!$A17327,nCURSO,DATOS!$D17327,nESPEC,DATOS!$E17327,nASIG,DATOS!$I17327,nEVAL,"OR")=0))</f>
      </c>
      <c r="I17327">
        <f>IF(DATOS!$I17327="","",IFERROR(VLOOKUP(DATOS!$I17327,CONFIG_ASIGNATURAS!$B$2:$J$91,9,FALSE()),""))</f>
      </c>
    </row>
    <row r="17328">
      <c r="F17328">
        <f>IF(DATOS!$A17328="","",DATOS!$A17328&amp;"|"&amp;DATOS!$D17328&amp;"|"&amp;DATOS!$E17328&amp;"|"&amp;DATOS!$I17328)</f>
      </c>
      <c r="G17328">
        <f>IF(DATOS!$A17328="",0,IF(CONFIG_METADATA!$B$4&lt;&gt;"OR+EX",--(DATOS!$G17328=CONFIG_METADATA!$B$4),IF(DATOS!$G17328="EX",1,IF(DATOS!$G17328="OR",--(COUNTIFS(nNIA,DATOS!$A17328,nCURSO,DATOS!$D17328,nESPEC,DATOS!$E17328,nASIG,DATOS!$I17328,nEVAL,"EX")=0),0))))</f>
      </c>
      <c r="H17328">
        <f>IF(DATOS!$G17328&lt;&gt;"EX",0,--(COUNTIFS(nNIA,DATOS!$A17328,nCURSO,DATOS!$D17328,nESPEC,DATOS!$E17328,nASIG,DATOS!$I17328,nEVAL,"OR")=0))</f>
      </c>
      <c r="I17328">
        <f>IF(DATOS!$I17328="","",IFERROR(VLOOKUP(DATOS!$I17328,CONFIG_ASIGNATURAS!$B$2:$J$91,9,FALSE()),""))</f>
      </c>
    </row>
    <row r="17329">
      <c r="F17329">
        <f>IF(DATOS!$A17329="","",DATOS!$A17329&amp;"|"&amp;DATOS!$D17329&amp;"|"&amp;DATOS!$E17329&amp;"|"&amp;DATOS!$I17329)</f>
      </c>
      <c r="G17329">
        <f>IF(DATOS!$A17329="",0,IF(CONFIG_METADATA!$B$4&lt;&gt;"OR+EX",--(DATOS!$G17329=CONFIG_METADATA!$B$4),IF(DATOS!$G17329="EX",1,IF(DATOS!$G17329="OR",--(COUNTIFS(nNIA,DATOS!$A17329,nCURSO,DATOS!$D17329,nESPEC,DATOS!$E17329,nASIG,DATOS!$I17329,nEVAL,"EX")=0),0))))</f>
      </c>
      <c r="H17329">
        <f>IF(DATOS!$G17329&lt;&gt;"EX",0,--(COUNTIFS(nNIA,DATOS!$A17329,nCURSO,DATOS!$D17329,nESPEC,DATOS!$E17329,nASIG,DATOS!$I17329,nEVAL,"OR")=0))</f>
      </c>
      <c r="I17329">
        <f>IF(DATOS!$I17329="","",IFERROR(VLOOKUP(DATOS!$I17329,CONFIG_ASIGNATURAS!$B$2:$J$91,9,FALSE()),""))</f>
      </c>
    </row>
    <row r="17330">
      <c r="F17330">
        <f>IF(DATOS!$A17330="","",DATOS!$A17330&amp;"|"&amp;DATOS!$D17330&amp;"|"&amp;DATOS!$E17330&amp;"|"&amp;DATOS!$I17330)</f>
      </c>
      <c r="G17330">
        <f>IF(DATOS!$A17330="",0,IF(CONFIG_METADATA!$B$4&lt;&gt;"OR+EX",--(DATOS!$G17330=CONFIG_METADATA!$B$4),IF(DATOS!$G17330="EX",1,IF(DATOS!$G17330="OR",--(COUNTIFS(nNIA,DATOS!$A17330,nCURSO,DATOS!$D17330,nESPEC,DATOS!$E17330,nASIG,DATOS!$I17330,nEVAL,"EX")=0),0))))</f>
      </c>
      <c r="H17330">
        <f>IF(DATOS!$G17330&lt;&gt;"EX",0,--(COUNTIFS(nNIA,DATOS!$A17330,nCURSO,DATOS!$D17330,nESPEC,DATOS!$E17330,nASIG,DATOS!$I17330,nEVAL,"OR")=0))</f>
      </c>
      <c r="I17330">
        <f>IF(DATOS!$I17330="","",IFERROR(VLOOKUP(DATOS!$I17330,CONFIG_ASIGNATURAS!$B$2:$J$91,9,FALSE()),""))</f>
      </c>
    </row>
    <row r="17331">
      <c r="F17331">
        <f>IF(DATOS!$A17331="","",DATOS!$A17331&amp;"|"&amp;DATOS!$D17331&amp;"|"&amp;DATOS!$E17331&amp;"|"&amp;DATOS!$I17331)</f>
      </c>
      <c r="G17331">
        <f>IF(DATOS!$A17331="",0,IF(CONFIG_METADATA!$B$4&lt;&gt;"OR+EX",--(DATOS!$G17331=CONFIG_METADATA!$B$4),IF(DATOS!$G17331="EX",1,IF(DATOS!$G17331="OR",--(COUNTIFS(nNIA,DATOS!$A17331,nCURSO,DATOS!$D17331,nESPEC,DATOS!$E17331,nASIG,DATOS!$I17331,nEVAL,"EX")=0),0))))</f>
      </c>
      <c r="H17331">
        <f>IF(DATOS!$G17331&lt;&gt;"EX",0,--(COUNTIFS(nNIA,DATOS!$A17331,nCURSO,DATOS!$D17331,nESPEC,DATOS!$E17331,nASIG,DATOS!$I17331,nEVAL,"OR")=0))</f>
      </c>
      <c r="I17331">
        <f>IF(DATOS!$I17331="","",IFERROR(VLOOKUP(DATOS!$I17331,CONFIG_ASIGNATURAS!$B$2:$J$91,9,FALSE()),""))</f>
      </c>
    </row>
    <row r="17332">
      <c r="F17332">
        <f>IF(DATOS!$A17332="","",DATOS!$A17332&amp;"|"&amp;DATOS!$D17332&amp;"|"&amp;DATOS!$E17332&amp;"|"&amp;DATOS!$I17332)</f>
      </c>
      <c r="G17332">
        <f>IF(DATOS!$A17332="",0,IF(CONFIG_METADATA!$B$4&lt;&gt;"OR+EX",--(DATOS!$G17332=CONFIG_METADATA!$B$4),IF(DATOS!$G17332="EX",1,IF(DATOS!$G17332="OR",--(COUNTIFS(nNIA,DATOS!$A17332,nCURSO,DATOS!$D17332,nESPEC,DATOS!$E17332,nASIG,DATOS!$I17332,nEVAL,"EX")=0),0))))</f>
      </c>
      <c r="H17332">
        <f>IF(DATOS!$G17332&lt;&gt;"EX",0,--(COUNTIFS(nNIA,DATOS!$A17332,nCURSO,DATOS!$D17332,nESPEC,DATOS!$E17332,nASIG,DATOS!$I17332,nEVAL,"OR")=0))</f>
      </c>
      <c r="I17332">
        <f>IF(DATOS!$I17332="","",IFERROR(VLOOKUP(DATOS!$I17332,CONFIG_ASIGNATURAS!$B$2:$J$91,9,FALSE()),""))</f>
      </c>
    </row>
    <row r="17333">
      <c r="F17333">
        <f>IF(DATOS!$A17333="","",DATOS!$A17333&amp;"|"&amp;DATOS!$D17333&amp;"|"&amp;DATOS!$E17333&amp;"|"&amp;DATOS!$I17333)</f>
      </c>
      <c r="G17333">
        <f>IF(DATOS!$A17333="",0,IF(CONFIG_METADATA!$B$4&lt;&gt;"OR+EX",--(DATOS!$G17333=CONFIG_METADATA!$B$4),IF(DATOS!$G17333="EX",1,IF(DATOS!$G17333="OR",--(COUNTIFS(nNIA,DATOS!$A17333,nCURSO,DATOS!$D17333,nESPEC,DATOS!$E17333,nASIG,DATOS!$I17333,nEVAL,"EX")=0),0))))</f>
      </c>
      <c r="H17333">
        <f>IF(DATOS!$G17333&lt;&gt;"EX",0,--(COUNTIFS(nNIA,DATOS!$A17333,nCURSO,DATOS!$D17333,nESPEC,DATOS!$E17333,nASIG,DATOS!$I17333,nEVAL,"OR")=0))</f>
      </c>
      <c r="I17333">
        <f>IF(DATOS!$I17333="","",IFERROR(VLOOKUP(DATOS!$I17333,CONFIG_ASIGNATURAS!$B$2:$J$91,9,FALSE()),""))</f>
      </c>
    </row>
    <row r="17334">
      <c r="F17334">
        <f>IF(DATOS!$A17334="","",DATOS!$A17334&amp;"|"&amp;DATOS!$D17334&amp;"|"&amp;DATOS!$E17334&amp;"|"&amp;DATOS!$I17334)</f>
      </c>
      <c r="G17334">
        <f>IF(DATOS!$A17334="",0,IF(CONFIG_METADATA!$B$4&lt;&gt;"OR+EX",--(DATOS!$G17334=CONFIG_METADATA!$B$4),IF(DATOS!$G17334="EX",1,IF(DATOS!$G17334="OR",--(COUNTIFS(nNIA,DATOS!$A17334,nCURSO,DATOS!$D17334,nESPEC,DATOS!$E17334,nASIG,DATOS!$I17334,nEVAL,"EX")=0),0))))</f>
      </c>
      <c r="H17334">
        <f>IF(DATOS!$G17334&lt;&gt;"EX",0,--(COUNTIFS(nNIA,DATOS!$A17334,nCURSO,DATOS!$D17334,nESPEC,DATOS!$E17334,nASIG,DATOS!$I17334,nEVAL,"OR")=0))</f>
      </c>
      <c r="I17334">
        <f>IF(DATOS!$I17334="","",IFERROR(VLOOKUP(DATOS!$I17334,CONFIG_ASIGNATURAS!$B$2:$J$91,9,FALSE()),""))</f>
      </c>
    </row>
    <row r="17335">
      <c r="F17335">
        <f>IF(DATOS!$A17335="","",DATOS!$A17335&amp;"|"&amp;DATOS!$D17335&amp;"|"&amp;DATOS!$E17335&amp;"|"&amp;DATOS!$I17335)</f>
      </c>
      <c r="G17335">
        <f>IF(DATOS!$A17335="",0,IF(CONFIG_METADATA!$B$4&lt;&gt;"OR+EX",--(DATOS!$G17335=CONFIG_METADATA!$B$4),IF(DATOS!$G17335="EX",1,IF(DATOS!$G17335="OR",--(COUNTIFS(nNIA,DATOS!$A17335,nCURSO,DATOS!$D17335,nESPEC,DATOS!$E17335,nASIG,DATOS!$I17335,nEVAL,"EX")=0),0))))</f>
      </c>
      <c r="H17335">
        <f>IF(DATOS!$G17335&lt;&gt;"EX",0,--(COUNTIFS(nNIA,DATOS!$A17335,nCURSO,DATOS!$D17335,nESPEC,DATOS!$E17335,nASIG,DATOS!$I17335,nEVAL,"OR")=0))</f>
      </c>
      <c r="I17335">
        <f>IF(DATOS!$I17335="","",IFERROR(VLOOKUP(DATOS!$I17335,CONFIG_ASIGNATURAS!$B$2:$J$91,9,FALSE()),""))</f>
      </c>
    </row>
    <row r="17336">
      <c r="F17336">
        <f>IF(DATOS!$A17336="","",DATOS!$A17336&amp;"|"&amp;DATOS!$D17336&amp;"|"&amp;DATOS!$E17336&amp;"|"&amp;DATOS!$I17336)</f>
      </c>
      <c r="G17336">
        <f>IF(DATOS!$A17336="",0,IF(CONFIG_METADATA!$B$4&lt;&gt;"OR+EX",--(DATOS!$G17336=CONFIG_METADATA!$B$4),IF(DATOS!$G17336="EX",1,IF(DATOS!$G17336="OR",--(COUNTIFS(nNIA,DATOS!$A17336,nCURSO,DATOS!$D17336,nESPEC,DATOS!$E17336,nASIG,DATOS!$I17336,nEVAL,"EX")=0),0))))</f>
      </c>
      <c r="H17336">
        <f>IF(DATOS!$G17336&lt;&gt;"EX",0,--(COUNTIFS(nNIA,DATOS!$A17336,nCURSO,DATOS!$D17336,nESPEC,DATOS!$E17336,nASIG,DATOS!$I17336,nEVAL,"OR")=0))</f>
      </c>
      <c r="I17336">
        <f>IF(DATOS!$I17336="","",IFERROR(VLOOKUP(DATOS!$I17336,CONFIG_ASIGNATURAS!$B$2:$J$91,9,FALSE()),""))</f>
      </c>
    </row>
    <row r="17337">
      <c r="F17337">
        <f>IF(DATOS!$A17337="","",DATOS!$A17337&amp;"|"&amp;DATOS!$D17337&amp;"|"&amp;DATOS!$E17337&amp;"|"&amp;DATOS!$I17337)</f>
      </c>
      <c r="G17337">
        <f>IF(DATOS!$A17337="",0,IF(CONFIG_METADATA!$B$4&lt;&gt;"OR+EX",--(DATOS!$G17337=CONFIG_METADATA!$B$4),IF(DATOS!$G17337="EX",1,IF(DATOS!$G17337="OR",--(COUNTIFS(nNIA,DATOS!$A17337,nCURSO,DATOS!$D17337,nESPEC,DATOS!$E17337,nASIG,DATOS!$I17337,nEVAL,"EX")=0),0))))</f>
      </c>
      <c r="H17337">
        <f>IF(DATOS!$G17337&lt;&gt;"EX",0,--(COUNTIFS(nNIA,DATOS!$A17337,nCURSO,DATOS!$D17337,nESPEC,DATOS!$E17337,nASIG,DATOS!$I17337,nEVAL,"OR")=0))</f>
      </c>
      <c r="I17337">
        <f>IF(DATOS!$I17337="","",IFERROR(VLOOKUP(DATOS!$I17337,CONFIG_ASIGNATURAS!$B$2:$J$91,9,FALSE()),""))</f>
      </c>
    </row>
    <row r="17338">
      <c r="F17338">
        <f>IF(DATOS!$A17338="","",DATOS!$A17338&amp;"|"&amp;DATOS!$D17338&amp;"|"&amp;DATOS!$E17338&amp;"|"&amp;DATOS!$I17338)</f>
      </c>
      <c r="G17338">
        <f>IF(DATOS!$A17338="",0,IF(CONFIG_METADATA!$B$4&lt;&gt;"OR+EX",--(DATOS!$G17338=CONFIG_METADATA!$B$4),IF(DATOS!$G17338="EX",1,IF(DATOS!$G17338="OR",--(COUNTIFS(nNIA,DATOS!$A17338,nCURSO,DATOS!$D17338,nESPEC,DATOS!$E17338,nASIG,DATOS!$I17338,nEVAL,"EX")=0),0))))</f>
      </c>
      <c r="H17338">
        <f>IF(DATOS!$G17338&lt;&gt;"EX",0,--(COUNTIFS(nNIA,DATOS!$A17338,nCURSO,DATOS!$D17338,nESPEC,DATOS!$E17338,nASIG,DATOS!$I17338,nEVAL,"OR")=0))</f>
      </c>
      <c r="I17338">
        <f>IF(DATOS!$I17338="","",IFERROR(VLOOKUP(DATOS!$I17338,CONFIG_ASIGNATURAS!$B$2:$J$91,9,FALSE()),""))</f>
      </c>
    </row>
    <row r="17339">
      <c r="F17339">
        <f>IF(DATOS!$A17339="","",DATOS!$A17339&amp;"|"&amp;DATOS!$D17339&amp;"|"&amp;DATOS!$E17339&amp;"|"&amp;DATOS!$I17339)</f>
      </c>
      <c r="G17339">
        <f>IF(DATOS!$A17339="",0,IF(CONFIG_METADATA!$B$4&lt;&gt;"OR+EX",--(DATOS!$G17339=CONFIG_METADATA!$B$4),IF(DATOS!$G17339="EX",1,IF(DATOS!$G17339="OR",--(COUNTIFS(nNIA,DATOS!$A17339,nCURSO,DATOS!$D17339,nESPEC,DATOS!$E17339,nASIG,DATOS!$I17339,nEVAL,"EX")=0),0))))</f>
      </c>
      <c r="H17339">
        <f>IF(DATOS!$G17339&lt;&gt;"EX",0,--(COUNTIFS(nNIA,DATOS!$A17339,nCURSO,DATOS!$D17339,nESPEC,DATOS!$E17339,nASIG,DATOS!$I17339,nEVAL,"OR")=0))</f>
      </c>
      <c r="I17339">
        <f>IF(DATOS!$I17339="","",IFERROR(VLOOKUP(DATOS!$I17339,CONFIG_ASIGNATURAS!$B$2:$J$91,9,FALSE()),""))</f>
      </c>
    </row>
    <row r="17340">
      <c r="F17340">
        <f>IF(DATOS!$A17340="","",DATOS!$A17340&amp;"|"&amp;DATOS!$D17340&amp;"|"&amp;DATOS!$E17340&amp;"|"&amp;DATOS!$I17340)</f>
      </c>
      <c r="G17340">
        <f>IF(DATOS!$A17340="",0,IF(CONFIG_METADATA!$B$4&lt;&gt;"OR+EX",--(DATOS!$G17340=CONFIG_METADATA!$B$4),IF(DATOS!$G17340="EX",1,IF(DATOS!$G17340="OR",--(COUNTIFS(nNIA,DATOS!$A17340,nCURSO,DATOS!$D17340,nESPEC,DATOS!$E17340,nASIG,DATOS!$I17340,nEVAL,"EX")=0),0))))</f>
      </c>
      <c r="H17340">
        <f>IF(DATOS!$G17340&lt;&gt;"EX",0,--(COUNTIFS(nNIA,DATOS!$A17340,nCURSO,DATOS!$D17340,nESPEC,DATOS!$E17340,nASIG,DATOS!$I17340,nEVAL,"OR")=0))</f>
      </c>
      <c r="I17340">
        <f>IF(DATOS!$I17340="","",IFERROR(VLOOKUP(DATOS!$I17340,CONFIG_ASIGNATURAS!$B$2:$J$91,9,FALSE()),""))</f>
      </c>
    </row>
    <row r="17341">
      <c r="F17341">
        <f>IF(DATOS!$A17341="","",DATOS!$A17341&amp;"|"&amp;DATOS!$D17341&amp;"|"&amp;DATOS!$E17341&amp;"|"&amp;DATOS!$I17341)</f>
      </c>
      <c r="G17341">
        <f>IF(DATOS!$A17341="",0,IF(CONFIG_METADATA!$B$4&lt;&gt;"OR+EX",--(DATOS!$G17341=CONFIG_METADATA!$B$4),IF(DATOS!$G17341="EX",1,IF(DATOS!$G17341="OR",--(COUNTIFS(nNIA,DATOS!$A17341,nCURSO,DATOS!$D17341,nESPEC,DATOS!$E17341,nASIG,DATOS!$I17341,nEVAL,"EX")=0),0))))</f>
      </c>
      <c r="H17341">
        <f>IF(DATOS!$G17341&lt;&gt;"EX",0,--(COUNTIFS(nNIA,DATOS!$A17341,nCURSO,DATOS!$D17341,nESPEC,DATOS!$E17341,nASIG,DATOS!$I17341,nEVAL,"OR")=0))</f>
      </c>
      <c r="I17341">
        <f>IF(DATOS!$I17341="","",IFERROR(VLOOKUP(DATOS!$I17341,CONFIG_ASIGNATURAS!$B$2:$J$91,9,FALSE()),""))</f>
      </c>
    </row>
    <row r="17342">
      <c r="F17342">
        <f>IF(DATOS!$A17342="","",DATOS!$A17342&amp;"|"&amp;DATOS!$D17342&amp;"|"&amp;DATOS!$E17342&amp;"|"&amp;DATOS!$I17342)</f>
      </c>
      <c r="G17342">
        <f>IF(DATOS!$A17342="",0,IF(CONFIG_METADATA!$B$4&lt;&gt;"OR+EX",--(DATOS!$G17342=CONFIG_METADATA!$B$4),IF(DATOS!$G17342="EX",1,IF(DATOS!$G17342="OR",--(COUNTIFS(nNIA,DATOS!$A17342,nCURSO,DATOS!$D17342,nESPEC,DATOS!$E17342,nASIG,DATOS!$I17342,nEVAL,"EX")=0),0))))</f>
      </c>
      <c r="H17342">
        <f>IF(DATOS!$G17342&lt;&gt;"EX",0,--(COUNTIFS(nNIA,DATOS!$A17342,nCURSO,DATOS!$D17342,nESPEC,DATOS!$E17342,nASIG,DATOS!$I17342,nEVAL,"OR")=0))</f>
      </c>
      <c r="I17342">
        <f>IF(DATOS!$I17342="","",IFERROR(VLOOKUP(DATOS!$I17342,CONFIG_ASIGNATURAS!$B$2:$J$91,9,FALSE()),""))</f>
      </c>
    </row>
    <row r="17343">
      <c r="F17343">
        <f>IF(DATOS!$A17343="","",DATOS!$A17343&amp;"|"&amp;DATOS!$D17343&amp;"|"&amp;DATOS!$E17343&amp;"|"&amp;DATOS!$I17343)</f>
      </c>
      <c r="G17343">
        <f>IF(DATOS!$A17343="",0,IF(CONFIG_METADATA!$B$4&lt;&gt;"OR+EX",--(DATOS!$G17343=CONFIG_METADATA!$B$4),IF(DATOS!$G17343="EX",1,IF(DATOS!$G17343="OR",--(COUNTIFS(nNIA,DATOS!$A17343,nCURSO,DATOS!$D17343,nESPEC,DATOS!$E17343,nASIG,DATOS!$I17343,nEVAL,"EX")=0),0))))</f>
      </c>
      <c r="H17343">
        <f>IF(DATOS!$G17343&lt;&gt;"EX",0,--(COUNTIFS(nNIA,DATOS!$A17343,nCURSO,DATOS!$D17343,nESPEC,DATOS!$E17343,nASIG,DATOS!$I17343,nEVAL,"OR")=0))</f>
      </c>
      <c r="I17343">
        <f>IF(DATOS!$I17343="","",IFERROR(VLOOKUP(DATOS!$I17343,CONFIG_ASIGNATURAS!$B$2:$J$91,9,FALSE()),""))</f>
      </c>
    </row>
    <row r="17344">
      <c r="F17344">
        <f>IF(DATOS!$A17344="","",DATOS!$A17344&amp;"|"&amp;DATOS!$D17344&amp;"|"&amp;DATOS!$E17344&amp;"|"&amp;DATOS!$I17344)</f>
      </c>
      <c r="G17344">
        <f>IF(DATOS!$A17344="",0,IF(CONFIG_METADATA!$B$4&lt;&gt;"OR+EX",--(DATOS!$G17344=CONFIG_METADATA!$B$4),IF(DATOS!$G17344="EX",1,IF(DATOS!$G17344="OR",--(COUNTIFS(nNIA,DATOS!$A17344,nCURSO,DATOS!$D17344,nESPEC,DATOS!$E17344,nASIG,DATOS!$I17344,nEVAL,"EX")=0),0))))</f>
      </c>
      <c r="H17344">
        <f>IF(DATOS!$G17344&lt;&gt;"EX",0,--(COUNTIFS(nNIA,DATOS!$A17344,nCURSO,DATOS!$D17344,nESPEC,DATOS!$E17344,nASIG,DATOS!$I17344,nEVAL,"OR")=0))</f>
      </c>
      <c r="I17344">
        <f>IF(DATOS!$I17344="","",IFERROR(VLOOKUP(DATOS!$I17344,CONFIG_ASIGNATURAS!$B$2:$J$91,9,FALSE()),""))</f>
      </c>
    </row>
    <row r="17345">
      <c r="F17345">
        <f>IF(DATOS!$A17345="","",DATOS!$A17345&amp;"|"&amp;DATOS!$D17345&amp;"|"&amp;DATOS!$E17345&amp;"|"&amp;DATOS!$I17345)</f>
      </c>
      <c r="G17345">
        <f>IF(DATOS!$A17345="",0,IF(CONFIG_METADATA!$B$4&lt;&gt;"OR+EX",--(DATOS!$G17345=CONFIG_METADATA!$B$4),IF(DATOS!$G17345="EX",1,IF(DATOS!$G17345="OR",--(COUNTIFS(nNIA,DATOS!$A17345,nCURSO,DATOS!$D17345,nESPEC,DATOS!$E17345,nASIG,DATOS!$I17345,nEVAL,"EX")=0),0))))</f>
      </c>
      <c r="H17345">
        <f>IF(DATOS!$G17345&lt;&gt;"EX",0,--(COUNTIFS(nNIA,DATOS!$A17345,nCURSO,DATOS!$D17345,nESPEC,DATOS!$E17345,nASIG,DATOS!$I17345,nEVAL,"OR")=0))</f>
      </c>
      <c r="I17345">
        <f>IF(DATOS!$I17345="","",IFERROR(VLOOKUP(DATOS!$I17345,CONFIG_ASIGNATURAS!$B$2:$J$91,9,FALSE()),""))</f>
      </c>
    </row>
    <row r="17346">
      <c r="F17346">
        <f>IF(DATOS!$A17346="","",DATOS!$A17346&amp;"|"&amp;DATOS!$D17346&amp;"|"&amp;DATOS!$E17346&amp;"|"&amp;DATOS!$I17346)</f>
      </c>
      <c r="G17346">
        <f>IF(DATOS!$A17346="",0,IF(CONFIG_METADATA!$B$4&lt;&gt;"OR+EX",--(DATOS!$G17346=CONFIG_METADATA!$B$4),IF(DATOS!$G17346="EX",1,IF(DATOS!$G17346="OR",--(COUNTIFS(nNIA,DATOS!$A17346,nCURSO,DATOS!$D17346,nESPEC,DATOS!$E17346,nASIG,DATOS!$I17346,nEVAL,"EX")=0),0))))</f>
      </c>
      <c r="H17346">
        <f>IF(DATOS!$G17346&lt;&gt;"EX",0,--(COUNTIFS(nNIA,DATOS!$A17346,nCURSO,DATOS!$D17346,nESPEC,DATOS!$E17346,nASIG,DATOS!$I17346,nEVAL,"OR")=0))</f>
      </c>
      <c r="I17346">
        <f>IF(DATOS!$I17346="","",IFERROR(VLOOKUP(DATOS!$I17346,CONFIG_ASIGNATURAS!$B$2:$J$91,9,FALSE()),""))</f>
      </c>
    </row>
    <row r="17347">
      <c r="F17347">
        <f>IF(DATOS!$A17347="","",DATOS!$A17347&amp;"|"&amp;DATOS!$D17347&amp;"|"&amp;DATOS!$E17347&amp;"|"&amp;DATOS!$I17347)</f>
      </c>
      <c r="G17347">
        <f>IF(DATOS!$A17347="",0,IF(CONFIG_METADATA!$B$4&lt;&gt;"OR+EX",--(DATOS!$G17347=CONFIG_METADATA!$B$4),IF(DATOS!$G17347="EX",1,IF(DATOS!$G17347="OR",--(COUNTIFS(nNIA,DATOS!$A17347,nCURSO,DATOS!$D17347,nESPEC,DATOS!$E17347,nASIG,DATOS!$I17347,nEVAL,"EX")=0),0))))</f>
      </c>
      <c r="H17347">
        <f>IF(DATOS!$G17347&lt;&gt;"EX",0,--(COUNTIFS(nNIA,DATOS!$A17347,nCURSO,DATOS!$D17347,nESPEC,DATOS!$E17347,nASIG,DATOS!$I17347,nEVAL,"OR")=0))</f>
      </c>
      <c r="I17347">
        <f>IF(DATOS!$I17347="","",IFERROR(VLOOKUP(DATOS!$I17347,CONFIG_ASIGNATURAS!$B$2:$J$91,9,FALSE()),""))</f>
      </c>
    </row>
    <row r="17348">
      <c r="F17348">
        <f>IF(DATOS!$A17348="","",DATOS!$A17348&amp;"|"&amp;DATOS!$D17348&amp;"|"&amp;DATOS!$E17348&amp;"|"&amp;DATOS!$I17348)</f>
      </c>
      <c r="G17348">
        <f>IF(DATOS!$A17348="",0,IF(CONFIG_METADATA!$B$4&lt;&gt;"OR+EX",--(DATOS!$G17348=CONFIG_METADATA!$B$4),IF(DATOS!$G17348="EX",1,IF(DATOS!$G17348="OR",--(COUNTIFS(nNIA,DATOS!$A17348,nCURSO,DATOS!$D17348,nESPEC,DATOS!$E17348,nASIG,DATOS!$I17348,nEVAL,"EX")=0),0))))</f>
      </c>
      <c r="H17348">
        <f>IF(DATOS!$G17348&lt;&gt;"EX",0,--(COUNTIFS(nNIA,DATOS!$A17348,nCURSO,DATOS!$D17348,nESPEC,DATOS!$E17348,nASIG,DATOS!$I17348,nEVAL,"OR")=0))</f>
      </c>
      <c r="I17348">
        <f>IF(DATOS!$I17348="","",IFERROR(VLOOKUP(DATOS!$I17348,CONFIG_ASIGNATURAS!$B$2:$J$91,9,FALSE()),""))</f>
      </c>
    </row>
    <row r="17349">
      <c r="F17349">
        <f>IF(DATOS!$A17349="","",DATOS!$A17349&amp;"|"&amp;DATOS!$D17349&amp;"|"&amp;DATOS!$E17349&amp;"|"&amp;DATOS!$I17349)</f>
      </c>
      <c r="G17349">
        <f>IF(DATOS!$A17349="",0,IF(CONFIG_METADATA!$B$4&lt;&gt;"OR+EX",--(DATOS!$G17349=CONFIG_METADATA!$B$4),IF(DATOS!$G17349="EX",1,IF(DATOS!$G17349="OR",--(COUNTIFS(nNIA,DATOS!$A17349,nCURSO,DATOS!$D17349,nESPEC,DATOS!$E17349,nASIG,DATOS!$I17349,nEVAL,"EX")=0),0))))</f>
      </c>
      <c r="H17349">
        <f>IF(DATOS!$G17349&lt;&gt;"EX",0,--(COUNTIFS(nNIA,DATOS!$A17349,nCURSO,DATOS!$D17349,nESPEC,DATOS!$E17349,nASIG,DATOS!$I17349,nEVAL,"OR")=0))</f>
      </c>
      <c r="I17349">
        <f>IF(DATOS!$I17349="","",IFERROR(VLOOKUP(DATOS!$I17349,CONFIG_ASIGNATURAS!$B$2:$J$91,9,FALSE()),""))</f>
      </c>
    </row>
    <row r="17350">
      <c r="F17350">
        <f>IF(DATOS!$A17350="","",DATOS!$A17350&amp;"|"&amp;DATOS!$D17350&amp;"|"&amp;DATOS!$E17350&amp;"|"&amp;DATOS!$I17350)</f>
      </c>
      <c r="G17350">
        <f>IF(DATOS!$A17350="",0,IF(CONFIG_METADATA!$B$4&lt;&gt;"OR+EX",--(DATOS!$G17350=CONFIG_METADATA!$B$4),IF(DATOS!$G17350="EX",1,IF(DATOS!$G17350="OR",--(COUNTIFS(nNIA,DATOS!$A17350,nCURSO,DATOS!$D17350,nESPEC,DATOS!$E17350,nASIG,DATOS!$I17350,nEVAL,"EX")=0),0))))</f>
      </c>
      <c r="H17350">
        <f>IF(DATOS!$G17350&lt;&gt;"EX",0,--(COUNTIFS(nNIA,DATOS!$A17350,nCURSO,DATOS!$D17350,nESPEC,DATOS!$E17350,nASIG,DATOS!$I17350,nEVAL,"OR")=0))</f>
      </c>
      <c r="I17350">
        <f>IF(DATOS!$I17350="","",IFERROR(VLOOKUP(DATOS!$I17350,CONFIG_ASIGNATURAS!$B$2:$J$91,9,FALSE()),""))</f>
      </c>
    </row>
    <row r="17351">
      <c r="F17351">
        <f>IF(DATOS!$A17351="","",DATOS!$A17351&amp;"|"&amp;DATOS!$D17351&amp;"|"&amp;DATOS!$E17351&amp;"|"&amp;DATOS!$I17351)</f>
      </c>
      <c r="G17351">
        <f>IF(DATOS!$A17351="",0,IF(CONFIG_METADATA!$B$4&lt;&gt;"OR+EX",--(DATOS!$G17351=CONFIG_METADATA!$B$4),IF(DATOS!$G17351="EX",1,IF(DATOS!$G17351="OR",--(COUNTIFS(nNIA,DATOS!$A17351,nCURSO,DATOS!$D17351,nESPEC,DATOS!$E17351,nASIG,DATOS!$I17351,nEVAL,"EX")=0),0))))</f>
      </c>
      <c r="H17351">
        <f>IF(DATOS!$G17351&lt;&gt;"EX",0,--(COUNTIFS(nNIA,DATOS!$A17351,nCURSO,DATOS!$D17351,nESPEC,DATOS!$E17351,nASIG,DATOS!$I17351,nEVAL,"OR")=0))</f>
      </c>
      <c r="I17351">
        <f>IF(DATOS!$I17351="","",IFERROR(VLOOKUP(DATOS!$I17351,CONFIG_ASIGNATURAS!$B$2:$J$91,9,FALSE()),""))</f>
      </c>
    </row>
    <row r="17352">
      <c r="F17352">
        <f>IF(DATOS!$A17352="","",DATOS!$A17352&amp;"|"&amp;DATOS!$D17352&amp;"|"&amp;DATOS!$E17352&amp;"|"&amp;DATOS!$I17352)</f>
      </c>
      <c r="G17352">
        <f>IF(DATOS!$A17352="",0,IF(CONFIG_METADATA!$B$4&lt;&gt;"OR+EX",--(DATOS!$G17352=CONFIG_METADATA!$B$4),IF(DATOS!$G17352="EX",1,IF(DATOS!$G17352="OR",--(COUNTIFS(nNIA,DATOS!$A17352,nCURSO,DATOS!$D17352,nESPEC,DATOS!$E17352,nASIG,DATOS!$I17352,nEVAL,"EX")=0),0))))</f>
      </c>
      <c r="H17352">
        <f>IF(DATOS!$G17352&lt;&gt;"EX",0,--(COUNTIFS(nNIA,DATOS!$A17352,nCURSO,DATOS!$D17352,nESPEC,DATOS!$E17352,nASIG,DATOS!$I17352,nEVAL,"OR")=0))</f>
      </c>
      <c r="I17352">
        <f>IF(DATOS!$I17352="","",IFERROR(VLOOKUP(DATOS!$I17352,CONFIG_ASIGNATURAS!$B$2:$J$91,9,FALSE()),""))</f>
      </c>
    </row>
    <row r="17353">
      <c r="F17353">
        <f>IF(DATOS!$A17353="","",DATOS!$A17353&amp;"|"&amp;DATOS!$D17353&amp;"|"&amp;DATOS!$E17353&amp;"|"&amp;DATOS!$I17353)</f>
      </c>
      <c r="G17353">
        <f>IF(DATOS!$A17353="",0,IF(CONFIG_METADATA!$B$4&lt;&gt;"OR+EX",--(DATOS!$G17353=CONFIG_METADATA!$B$4),IF(DATOS!$G17353="EX",1,IF(DATOS!$G17353="OR",--(COUNTIFS(nNIA,DATOS!$A17353,nCURSO,DATOS!$D17353,nESPEC,DATOS!$E17353,nASIG,DATOS!$I17353,nEVAL,"EX")=0),0))))</f>
      </c>
      <c r="H17353">
        <f>IF(DATOS!$G17353&lt;&gt;"EX",0,--(COUNTIFS(nNIA,DATOS!$A17353,nCURSO,DATOS!$D17353,nESPEC,DATOS!$E17353,nASIG,DATOS!$I17353,nEVAL,"OR")=0))</f>
      </c>
      <c r="I17353">
        <f>IF(DATOS!$I17353="","",IFERROR(VLOOKUP(DATOS!$I17353,CONFIG_ASIGNATURAS!$B$2:$J$91,9,FALSE()),""))</f>
      </c>
    </row>
    <row r="17354">
      <c r="F17354">
        <f>IF(DATOS!$A17354="","",DATOS!$A17354&amp;"|"&amp;DATOS!$D17354&amp;"|"&amp;DATOS!$E17354&amp;"|"&amp;DATOS!$I17354)</f>
      </c>
      <c r="G17354">
        <f>IF(DATOS!$A17354="",0,IF(CONFIG_METADATA!$B$4&lt;&gt;"OR+EX",--(DATOS!$G17354=CONFIG_METADATA!$B$4),IF(DATOS!$G17354="EX",1,IF(DATOS!$G17354="OR",--(COUNTIFS(nNIA,DATOS!$A17354,nCURSO,DATOS!$D17354,nESPEC,DATOS!$E17354,nASIG,DATOS!$I17354,nEVAL,"EX")=0),0))))</f>
      </c>
      <c r="H17354">
        <f>IF(DATOS!$G17354&lt;&gt;"EX",0,--(COUNTIFS(nNIA,DATOS!$A17354,nCURSO,DATOS!$D17354,nESPEC,DATOS!$E17354,nASIG,DATOS!$I17354,nEVAL,"OR")=0))</f>
      </c>
      <c r="I17354">
        <f>IF(DATOS!$I17354="","",IFERROR(VLOOKUP(DATOS!$I17354,CONFIG_ASIGNATURAS!$B$2:$J$91,9,FALSE()),""))</f>
      </c>
    </row>
    <row r="17355">
      <c r="F17355">
        <f>IF(DATOS!$A17355="","",DATOS!$A17355&amp;"|"&amp;DATOS!$D17355&amp;"|"&amp;DATOS!$E17355&amp;"|"&amp;DATOS!$I17355)</f>
      </c>
      <c r="G17355">
        <f>IF(DATOS!$A17355="",0,IF(CONFIG_METADATA!$B$4&lt;&gt;"OR+EX",--(DATOS!$G17355=CONFIG_METADATA!$B$4),IF(DATOS!$G17355="EX",1,IF(DATOS!$G17355="OR",--(COUNTIFS(nNIA,DATOS!$A17355,nCURSO,DATOS!$D17355,nESPEC,DATOS!$E17355,nASIG,DATOS!$I17355,nEVAL,"EX")=0),0))))</f>
      </c>
      <c r="H17355">
        <f>IF(DATOS!$G17355&lt;&gt;"EX",0,--(COUNTIFS(nNIA,DATOS!$A17355,nCURSO,DATOS!$D17355,nESPEC,DATOS!$E17355,nASIG,DATOS!$I17355,nEVAL,"OR")=0))</f>
      </c>
      <c r="I17355">
        <f>IF(DATOS!$I17355="","",IFERROR(VLOOKUP(DATOS!$I17355,CONFIG_ASIGNATURAS!$B$2:$J$91,9,FALSE()),""))</f>
      </c>
    </row>
    <row r="17356">
      <c r="F17356">
        <f>IF(DATOS!$A17356="","",DATOS!$A17356&amp;"|"&amp;DATOS!$D17356&amp;"|"&amp;DATOS!$E17356&amp;"|"&amp;DATOS!$I17356)</f>
      </c>
      <c r="G17356">
        <f>IF(DATOS!$A17356="",0,IF(CONFIG_METADATA!$B$4&lt;&gt;"OR+EX",--(DATOS!$G17356=CONFIG_METADATA!$B$4),IF(DATOS!$G17356="EX",1,IF(DATOS!$G17356="OR",--(COUNTIFS(nNIA,DATOS!$A17356,nCURSO,DATOS!$D17356,nESPEC,DATOS!$E17356,nASIG,DATOS!$I17356,nEVAL,"EX")=0),0))))</f>
      </c>
      <c r="H17356">
        <f>IF(DATOS!$G17356&lt;&gt;"EX",0,--(COUNTIFS(nNIA,DATOS!$A17356,nCURSO,DATOS!$D17356,nESPEC,DATOS!$E17356,nASIG,DATOS!$I17356,nEVAL,"OR")=0))</f>
      </c>
      <c r="I17356">
        <f>IF(DATOS!$I17356="","",IFERROR(VLOOKUP(DATOS!$I17356,CONFIG_ASIGNATURAS!$B$2:$J$91,9,FALSE()),""))</f>
      </c>
    </row>
    <row r="17357">
      <c r="F17357">
        <f>IF(DATOS!$A17357="","",DATOS!$A17357&amp;"|"&amp;DATOS!$D17357&amp;"|"&amp;DATOS!$E17357&amp;"|"&amp;DATOS!$I17357)</f>
      </c>
      <c r="G17357">
        <f>IF(DATOS!$A17357="",0,IF(CONFIG_METADATA!$B$4&lt;&gt;"OR+EX",--(DATOS!$G17357=CONFIG_METADATA!$B$4),IF(DATOS!$G17357="EX",1,IF(DATOS!$G17357="OR",--(COUNTIFS(nNIA,DATOS!$A17357,nCURSO,DATOS!$D17357,nESPEC,DATOS!$E17357,nASIG,DATOS!$I17357,nEVAL,"EX")=0),0))))</f>
      </c>
      <c r="H17357">
        <f>IF(DATOS!$G17357&lt;&gt;"EX",0,--(COUNTIFS(nNIA,DATOS!$A17357,nCURSO,DATOS!$D17357,nESPEC,DATOS!$E17357,nASIG,DATOS!$I17357,nEVAL,"OR")=0))</f>
      </c>
      <c r="I17357">
        <f>IF(DATOS!$I17357="","",IFERROR(VLOOKUP(DATOS!$I17357,CONFIG_ASIGNATURAS!$B$2:$J$91,9,FALSE()),""))</f>
      </c>
    </row>
    <row r="17358">
      <c r="F17358">
        <f>IF(DATOS!$A17358="","",DATOS!$A17358&amp;"|"&amp;DATOS!$D17358&amp;"|"&amp;DATOS!$E17358&amp;"|"&amp;DATOS!$I17358)</f>
      </c>
      <c r="G17358">
        <f>IF(DATOS!$A17358="",0,IF(CONFIG_METADATA!$B$4&lt;&gt;"OR+EX",--(DATOS!$G17358=CONFIG_METADATA!$B$4),IF(DATOS!$G17358="EX",1,IF(DATOS!$G17358="OR",--(COUNTIFS(nNIA,DATOS!$A17358,nCURSO,DATOS!$D17358,nESPEC,DATOS!$E17358,nASIG,DATOS!$I17358,nEVAL,"EX")=0),0))))</f>
      </c>
      <c r="H17358">
        <f>IF(DATOS!$G17358&lt;&gt;"EX",0,--(COUNTIFS(nNIA,DATOS!$A17358,nCURSO,DATOS!$D17358,nESPEC,DATOS!$E17358,nASIG,DATOS!$I17358,nEVAL,"OR")=0))</f>
      </c>
      <c r="I17358">
        <f>IF(DATOS!$I17358="","",IFERROR(VLOOKUP(DATOS!$I17358,CONFIG_ASIGNATURAS!$B$2:$J$91,9,FALSE()),""))</f>
      </c>
    </row>
    <row r="17359">
      <c r="F17359">
        <f>IF(DATOS!$A17359="","",DATOS!$A17359&amp;"|"&amp;DATOS!$D17359&amp;"|"&amp;DATOS!$E17359&amp;"|"&amp;DATOS!$I17359)</f>
      </c>
      <c r="G17359">
        <f>IF(DATOS!$A17359="",0,IF(CONFIG_METADATA!$B$4&lt;&gt;"OR+EX",--(DATOS!$G17359=CONFIG_METADATA!$B$4),IF(DATOS!$G17359="EX",1,IF(DATOS!$G17359="OR",--(COUNTIFS(nNIA,DATOS!$A17359,nCURSO,DATOS!$D17359,nESPEC,DATOS!$E17359,nASIG,DATOS!$I17359,nEVAL,"EX")=0),0))))</f>
      </c>
      <c r="H17359">
        <f>IF(DATOS!$G17359&lt;&gt;"EX",0,--(COUNTIFS(nNIA,DATOS!$A17359,nCURSO,DATOS!$D17359,nESPEC,DATOS!$E17359,nASIG,DATOS!$I17359,nEVAL,"OR")=0))</f>
      </c>
      <c r="I17359">
        <f>IF(DATOS!$I17359="","",IFERROR(VLOOKUP(DATOS!$I17359,CONFIG_ASIGNATURAS!$B$2:$J$91,9,FALSE()),""))</f>
      </c>
    </row>
    <row r="17360">
      <c r="F17360">
        <f>IF(DATOS!$A17360="","",DATOS!$A17360&amp;"|"&amp;DATOS!$D17360&amp;"|"&amp;DATOS!$E17360&amp;"|"&amp;DATOS!$I17360)</f>
      </c>
      <c r="G17360">
        <f>IF(DATOS!$A17360="",0,IF(CONFIG_METADATA!$B$4&lt;&gt;"OR+EX",--(DATOS!$G17360=CONFIG_METADATA!$B$4),IF(DATOS!$G17360="EX",1,IF(DATOS!$G17360="OR",--(COUNTIFS(nNIA,DATOS!$A17360,nCURSO,DATOS!$D17360,nESPEC,DATOS!$E17360,nASIG,DATOS!$I17360,nEVAL,"EX")=0),0))))</f>
      </c>
      <c r="H17360">
        <f>IF(DATOS!$G17360&lt;&gt;"EX",0,--(COUNTIFS(nNIA,DATOS!$A17360,nCURSO,DATOS!$D17360,nESPEC,DATOS!$E17360,nASIG,DATOS!$I17360,nEVAL,"OR")=0))</f>
      </c>
      <c r="I17360">
        <f>IF(DATOS!$I17360="","",IFERROR(VLOOKUP(DATOS!$I17360,CONFIG_ASIGNATURAS!$B$2:$J$91,9,FALSE()),""))</f>
      </c>
    </row>
    <row r="17361">
      <c r="F17361">
        <f>IF(DATOS!$A17361="","",DATOS!$A17361&amp;"|"&amp;DATOS!$D17361&amp;"|"&amp;DATOS!$E17361&amp;"|"&amp;DATOS!$I17361)</f>
      </c>
      <c r="G17361">
        <f>IF(DATOS!$A17361="",0,IF(CONFIG_METADATA!$B$4&lt;&gt;"OR+EX",--(DATOS!$G17361=CONFIG_METADATA!$B$4),IF(DATOS!$G17361="EX",1,IF(DATOS!$G17361="OR",--(COUNTIFS(nNIA,DATOS!$A17361,nCURSO,DATOS!$D17361,nESPEC,DATOS!$E17361,nASIG,DATOS!$I17361,nEVAL,"EX")=0),0))))</f>
      </c>
      <c r="H17361">
        <f>IF(DATOS!$G17361&lt;&gt;"EX",0,--(COUNTIFS(nNIA,DATOS!$A17361,nCURSO,DATOS!$D17361,nESPEC,DATOS!$E17361,nASIG,DATOS!$I17361,nEVAL,"OR")=0))</f>
      </c>
      <c r="I17361">
        <f>IF(DATOS!$I17361="","",IFERROR(VLOOKUP(DATOS!$I17361,CONFIG_ASIGNATURAS!$B$2:$J$91,9,FALSE()),""))</f>
      </c>
    </row>
    <row r="17362">
      <c r="F17362">
        <f>IF(DATOS!$A17362="","",DATOS!$A17362&amp;"|"&amp;DATOS!$D17362&amp;"|"&amp;DATOS!$E17362&amp;"|"&amp;DATOS!$I17362)</f>
      </c>
      <c r="G17362">
        <f>IF(DATOS!$A17362="",0,IF(CONFIG_METADATA!$B$4&lt;&gt;"OR+EX",--(DATOS!$G17362=CONFIG_METADATA!$B$4),IF(DATOS!$G17362="EX",1,IF(DATOS!$G17362="OR",--(COUNTIFS(nNIA,DATOS!$A17362,nCURSO,DATOS!$D17362,nESPEC,DATOS!$E17362,nASIG,DATOS!$I17362,nEVAL,"EX")=0),0))))</f>
      </c>
      <c r="H17362">
        <f>IF(DATOS!$G17362&lt;&gt;"EX",0,--(COUNTIFS(nNIA,DATOS!$A17362,nCURSO,DATOS!$D17362,nESPEC,DATOS!$E17362,nASIG,DATOS!$I17362,nEVAL,"OR")=0))</f>
      </c>
      <c r="I17362">
        <f>IF(DATOS!$I17362="","",IFERROR(VLOOKUP(DATOS!$I17362,CONFIG_ASIGNATURAS!$B$2:$J$91,9,FALSE()),""))</f>
      </c>
    </row>
    <row r="17363">
      <c r="F17363">
        <f>IF(DATOS!$A17363="","",DATOS!$A17363&amp;"|"&amp;DATOS!$D17363&amp;"|"&amp;DATOS!$E17363&amp;"|"&amp;DATOS!$I17363)</f>
      </c>
      <c r="G17363">
        <f>IF(DATOS!$A17363="",0,IF(CONFIG_METADATA!$B$4&lt;&gt;"OR+EX",--(DATOS!$G17363=CONFIG_METADATA!$B$4),IF(DATOS!$G17363="EX",1,IF(DATOS!$G17363="OR",--(COUNTIFS(nNIA,DATOS!$A17363,nCURSO,DATOS!$D17363,nESPEC,DATOS!$E17363,nASIG,DATOS!$I17363,nEVAL,"EX")=0),0))))</f>
      </c>
      <c r="H17363">
        <f>IF(DATOS!$G17363&lt;&gt;"EX",0,--(COUNTIFS(nNIA,DATOS!$A17363,nCURSO,DATOS!$D17363,nESPEC,DATOS!$E17363,nASIG,DATOS!$I17363,nEVAL,"OR")=0))</f>
      </c>
      <c r="I17363">
        <f>IF(DATOS!$I17363="","",IFERROR(VLOOKUP(DATOS!$I17363,CONFIG_ASIGNATURAS!$B$2:$J$91,9,FALSE()),""))</f>
      </c>
    </row>
    <row r="17364">
      <c r="F17364">
        <f>IF(DATOS!$A17364="","",DATOS!$A17364&amp;"|"&amp;DATOS!$D17364&amp;"|"&amp;DATOS!$E17364&amp;"|"&amp;DATOS!$I17364)</f>
      </c>
      <c r="G17364">
        <f>IF(DATOS!$A17364="",0,IF(CONFIG_METADATA!$B$4&lt;&gt;"OR+EX",--(DATOS!$G17364=CONFIG_METADATA!$B$4),IF(DATOS!$G17364="EX",1,IF(DATOS!$G17364="OR",--(COUNTIFS(nNIA,DATOS!$A17364,nCURSO,DATOS!$D17364,nESPEC,DATOS!$E17364,nASIG,DATOS!$I17364,nEVAL,"EX")=0),0))))</f>
      </c>
      <c r="H17364">
        <f>IF(DATOS!$G17364&lt;&gt;"EX",0,--(COUNTIFS(nNIA,DATOS!$A17364,nCURSO,DATOS!$D17364,nESPEC,DATOS!$E17364,nASIG,DATOS!$I17364,nEVAL,"OR")=0))</f>
      </c>
      <c r="I17364">
        <f>IF(DATOS!$I17364="","",IFERROR(VLOOKUP(DATOS!$I17364,CONFIG_ASIGNATURAS!$B$2:$J$91,9,FALSE()),""))</f>
      </c>
    </row>
    <row r="17365">
      <c r="F17365">
        <f>IF(DATOS!$A17365="","",DATOS!$A17365&amp;"|"&amp;DATOS!$D17365&amp;"|"&amp;DATOS!$E17365&amp;"|"&amp;DATOS!$I17365)</f>
      </c>
      <c r="G17365">
        <f>IF(DATOS!$A17365="",0,IF(CONFIG_METADATA!$B$4&lt;&gt;"OR+EX",--(DATOS!$G17365=CONFIG_METADATA!$B$4),IF(DATOS!$G17365="EX",1,IF(DATOS!$G17365="OR",--(COUNTIFS(nNIA,DATOS!$A17365,nCURSO,DATOS!$D17365,nESPEC,DATOS!$E17365,nASIG,DATOS!$I17365,nEVAL,"EX")=0),0))))</f>
      </c>
      <c r="H17365">
        <f>IF(DATOS!$G17365&lt;&gt;"EX",0,--(COUNTIFS(nNIA,DATOS!$A17365,nCURSO,DATOS!$D17365,nESPEC,DATOS!$E17365,nASIG,DATOS!$I17365,nEVAL,"OR")=0))</f>
      </c>
      <c r="I17365">
        <f>IF(DATOS!$I17365="","",IFERROR(VLOOKUP(DATOS!$I17365,CONFIG_ASIGNATURAS!$B$2:$J$91,9,FALSE()),""))</f>
      </c>
    </row>
    <row r="17366">
      <c r="F17366">
        <f>IF(DATOS!$A17366="","",DATOS!$A17366&amp;"|"&amp;DATOS!$D17366&amp;"|"&amp;DATOS!$E17366&amp;"|"&amp;DATOS!$I17366)</f>
      </c>
      <c r="G17366">
        <f>IF(DATOS!$A17366="",0,IF(CONFIG_METADATA!$B$4&lt;&gt;"OR+EX",--(DATOS!$G17366=CONFIG_METADATA!$B$4),IF(DATOS!$G17366="EX",1,IF(DATOS!$G17366="OR",--(COUNTIFS(nNIA,DATOS!$A17366,nCURSO,DATOS!$D17366,nESPEC,DATOS!$E17366,nASIG,DATOS!$I17366,nEVAL,"EX")=0),0))))</f>
      </c>
      <c r="H17366">
        <f>IF(DATOS!$G17366&lt;&gt;"EX",0,--(COUNTIFS(nNIA,DATOS!$A17366,nCURSO,DATOS!$D17366,nESPEC,DATOS!$E17366,nASIG,DATOS!$I17366,nEVAL,"OR")=0))</f>
      </c>
      <c r="I17366">
        <f>IF(DATOS!$I17366="","",IFERROR(VLOOKUP(DATOS!$I17366,CONFIG_ASIGNATURAS!$B$2:$J$91,9,FALSE()),""))</f>
      </c>
    </row>
    <row r="17367">
      <c r="F17367">
        <f>IF(DATOS!$A17367="","",DATOS!$A17367&amp;"|"&amp;DATOS!$D17367&amp;"|"&amp;DATOS!$E17367&amp;"|"&amp;DATOS!$I17367)</f>
      </c>
      <c r="G17367">
        <f>IF(DATOS!$A17367="",0,IF(CONFIG_METADATA!$B$4&lt;&gt;"OR+EX",--(DATOS!$G17367=CONFIG_METADATA!$B$4),IF(DATOS!$G17367="EX",1,IF(DATOS!$G17367="OR",--(COUNTIFS(nNIA,DATOS!$A17367,nCURSO,DATOS!$D17367,nESPEC,DATOS!$E17367,nASIG,DATOS!$I17367,nEVAL,"EX")=0),0))))</f>
      </c>
      <c r="H17367">
        <f>IF(DATOS!$G17367&lt;&gt;"EX",0,--(COUNTIFS(nNIA,DATOS!$A17367,nCURSO,DATOS!$D17367,nESPEC,DATOS!$E17367,nASIG,DATOS!$I17367,nEVAL,"OR")=0))</f>
      </c>
      <c r="I17367">
        <f>IF(DATOS!$I17367="","",IFERROR(VLOOKUP(DATOS!$I17367,CONFIG_ASIGNATURAS!$B$2:$J$91,9,FALSE()),""))</f>
      </c>
    </row>
    <row r="17368">
      <c r="F17368">
        <f>IF(DATOS!$A17368="","",DATOS!$A17368&amp;"|"&amp;DATOS!$D17368&amp;"|"&amp;DATOS!$E17368&amp;"|"&amp;DATOS!$I17368)</f>
      </c>
      <c r="G17368">
        <f>IF(DATOS!$A17368="",0,IF(CONFIG_METADATA!$B$4&lt;&gt;"OR+EX",--(DATOS!$G17368=CONFIG_METADATA!$B$4),IF(DATOS!$G17368="EX",1,IF(DATOS!$G17368="OR",--(COUNTIFS(nNIA,DATOS!$A17368,nCURSO,DATOS!$D17368,nESPEC,DATOS!$E17368,nASIG,DATOS!$I17368,nEVAL,"EX")=0),0))))</f>
      </c>
      <c r="H17368">
        <f>IF(DATOS!$G17368&lt;&gt;"EX",0,--(COUNTIFS(nNIA,DATOS!$A17368,nCURSO,DATOS!$D17368,nESPEC,DATOS!$E17368,nASIG,DATOS!$I17368,nEVAL,"OR")=0))</f>
      </c>
      <c r="I17368">
        <f>IF(DATOS!$I17368="","",IFERROR(VLOOKUP(DATOS!$I17368,CONFIG_ASIGNATURAS!$B$2:$J$91,9,FALSE()),""))</f>
      </c>
    </row>
    <row r="17369">
      <c r="F17369">
        <f>IF(DATOS!$A17369="","",DATOS!$A17369&amp;"|"&amp;DATOS!$D17369&amp;"|"&amp;DATOS!$E17369&amp;"|"&amp;DATOS!$I17369)</f>
      </c>
      <c r="G17369">
        <f>IF(DATOS!$A17369="",0,IF(CONFIG_METADATA!$B$4&lt;&gt;"OR+EX",--(DATOS!$G17369=CONFIG_METADATA!$B$4),IF(DATOS!$G17369="EX",1,IF(DATOS!$G17369="OR",--(COUNTIFS(nNIA,DATOS!$A17369,nCURSO,DATOS!$D17369,nESPEC,DATOS!$E17369,nASIG,DATOS!$I17369,nEVAL,"EX")=0),0))))</f>
      </c>
      <c r="H17369">
        <f>IF(DATOS!$G17369&lt;&gt;"EX",0,--(COUNTIFS(nNIA,DATOS!$A17369,nCURSO,DATOS!$D17369,nESPEC,DATOS!$E17369,nASIG,DATOS!$I17369,nEVAL,"OR")=0))</f>
      </c>
      <c r="I17369">
        <f>IF(DATOS!$I17369="","",IFERROR(VLOOKUP(DATOS!$I17369,CONFIG_ASIGNATURAS!$B$2:$J$91,9,FALSE()),""))</f>
      </c>
    </row>
    <row r="17370">
      <c r="F17370">
        <f>IF(DATOS!$A17370="","",DATOS!$A17370&amp;"|"&amp;DATOS!$D17370&amp;"|"&amp;DATOS!$E17370&amp;"|"&amp;DATOS!$I17370)</f>
      </c>
      <c r="G17370">
        <f>IF(DATOS!$A17370="",0,IF(CONFIG_METADATA!$B$4&lt;&gt;"OR+EX",--(DATOS!$G17370=CONFIG_METADATA!$B$4),IF(DATOS!$G17370="EX",1,IF(DATOS!$G17370="OR",--(COUNTIFS(nNIA,DATOS!$A17370,nCURSO,DATOS!$D17370,nESPEC,DATOS!$E17370,nASIG,DATOS!$I17370,nEVAL,"EX")=0),0))))</f>
      </c>
      <c r="H17370">
        <f>IF(DATOS!$G17370&lt;&gt;"EX",0,--(COUNTIFS(nNIA,DATOS!$A17370,nCURSO,DATOS!$D17370,nESPEC,DATOS!$E17370,nASIG,DATOS!$I17370,nEVAL,"OR")=0))</f>
      </c>
      <c r="I17370">
        <f>IF(DATOS!$I17370="","",IFERROR(VLOOKUP(DATOS!$I17370,CONFIG_ASIGNATURAS!$B$2:$J$91,9,FALSE()),""))</f>
      </c>
    </row>
    <row r="17371">
      <c r="F17371">
        <f>IF(DATOS!$A17371="","",DATOS!$A17371&amp;"|"&amp;DATOS!$D17371&amp;"|"&amp;DATOS!$E17371&amp;"|"&amp;DATOS!$I17371)</f>
      </c>
      <c r="G17371">
        <f>IF(DATOS!$A17371="",0,IF(CONFIG_METADATA!$B$4&lt;&gt;"OR+EX",--(DATOS!$G17371=CONFIG_METADATA!$B$4),IF(DATOS!$G17371="EX",1,IF(DATOS!$G17371="OR",--(COUNTIFS(nNIA,DATOS!$A17371,nCURSO,DATOS!$D17371,nESPEC,DATOS!$E17371,nASIG,DATOS!$I17371,nEVAL,"EX")=0),0))))</f>
      </c>
      <c r="H17371">
        <f>IF(DATOS!$G17371&lt;&gt;"EX",0,--(COUNTIFS(nNIA,DATOS!$A17371,nCURSO,DATOS!$D17371,nESPEC,DATOS!$E17371,nASIG,DATOS!$I17371,nEVAL,"OR")=0))</f>
      </c>
      <c r="I17371">
        <f>IF(DATOS!$I17371="","",IFERROR(VLOOKUP(DATOS!$I17371,CONFIG_ASIGNATURAS!$B$2:$J$91,9,FALSE()),""))</f>
      </c>
    </row>
    <row r="17372">
      <c r="F17372">
        <f>IF(DATOS!$A17372="","",DATOS!$A17372&amp;"|"&amp;DATOS!$D17372&amp;"|"&amp;DATOS!$E17372&amp;"|"&amp;DATOS!$I17372)</f>
      </c>
      <c r="G17372">
        <f>IF(DATOS!$A17372="",0,IF(CONFIG_METADATA!$B$4&lt;&gt;"OR+EX",--(DATOS!$G17372=CONFIG_METADATA!$B$4),IF(DATOS!$G17372="EX",1,IF(DATOS!$G17372="OR",--(COUNTIFS(nNIA,DATOS!$A17372,nCURSO,DATOS!$D17372,nESPEC,DATOS!$E17372,nASIG,DATOS!$I17372,nEVAL,"EX")=0),0))))</f>
      </c>
      <c r="H17372">
        <f>IF(DATOS!$G17372&lt;&gt;"EX",0,--(COUNTIFS(nNIA,DATOS!$A17372,nCURSO,DATOS!$D17372,nESPEC,DATOS!$E17372,nASIG,DATOS!$I17372,nEVAL,"OR")=0))</f>
      </c>
      <c r="I17372">
        <f>IF(DATOS!$I17372="","",IFERROR(VLOOKUP(DATOS!$I17372,CONFIG_ASIGNATURAS!$B$2:$J$91,9,FALSE()),""))</f>
      </c>
    </row>
    <row r="17373">
      <c r="F17373">
        <f>IF(DATOS!$A17373="","",DATOS!$A17373&amp;"|"&amp;DATOS!$D17373&amp;"|"&amp;DATOS!$E17373&amp;"|"&amp;DATOS!$I17373)</f>
      </c>
      <c r="G17373">
        <f>IF(DATOS!$A17373="",0,IF(CONFIG_METADATA!$B$4&lt;&gt;"OR+EX",--(DATOS!$G17373=CONFIG_METADATA!$B$4),IF(DATOS!$G17373="EX",1,IF(DATOS!$G17373="OR",--(COUNTIFS(nNIA,DATOS!$A17373,nCURSO,DATOS!$D17373,nESPEC,DATOS!$E17373,nASIG,DATOS!$I17373,nEVAL,"EX")=0),0))))</f>
      </c>
      <c r="H17373">
        <f>IF(DATOS!$G17373&lt;&gt;"EX",0,--(COUNTIFS(nNIA,DATOS!$A17373,nCURSO,DATOS!$D17373,nESPEC,DATOS!$E17373,nASIG,DATOS!$I17373,nEVAL,"OR")=0))</f>
      </c>
      <c r="I17373">
        <f>IF(DATOS!$I17373="","",IFERROR(VLOOKUP(DATOS!$I17373,CONFIG_ASIGNATURAS!$B$2:$J$91,9,FALSE()),""))</f>
      </c>
    </row>
    <row r="17374">
      <c r="F17374">
        <f>IF(DATOS!$A17374="","",DATOS!$A17374&amp;"|"&amp;DATOS!$D17374&amp;"|"&amp;DATOS!$E17374&amp;"|"&amp;DATOS!$I17374)</f>
      </c>
      <c r="G17374">
        <f>IF(DATOS!$A17374="",0,IF(CONFIG_METADATA!$B$4&lt;&gt;"OR+EX",--(DATOS!$G17374=CONFIG_METADATA!$B$4),IF(DATOS!$G17374="EX",1,IF(DATOS!$G17374="OR",--(COUNTIFS(nNIA,DATOS!$A17374,nCURSO,DATOS!$D17374,nESPEC,DATOS!$E17374,nASIG,DATOS!$I17374,nEVAL,"EX")=0),0))))</f>
      </c>
      <c r="H17374">
        <f>IF(DATOS!$G17374&lt;&gt;"EX",0,--(COUNTIFS(nNIA,DATOS!$A17374,nCURSO,DATOS!$D17374,nESPEC,DATOS!$E17374,nASIG,DATOS!$I17374,nEVAL,"OR")=0))</f>
      </c>
      <c r="I17374">
        <f>IF(DATOS!$I17374="","",IFERROR(VLOOKUP(DATOS!$I17374,CONFIG_ASIGNATURAS!$B$2:$J$91,9,FALSE()),""))</f>
      </c>
    </row>
    <row r="17375">
      <c r="F17375">
        <f>IF(DATOS!$A17375="","",DATOS!$A17375&amp;"|"&amp;DATOS!$D17375&amp;"|"&amp;DATOS!$E17375&amp;"|"&amp;DATOS!$I17375)</f>
      </c>
      <c r="G17375">
        <f>IF(DATOS!$A17375="",0,IF(CONFIG_METADATA!$B$4&lt;&gt;"OR+EX",--(DATOS!$G17375=CONFIG_METADATA!$B$4),IF(DATOS!$G17375="EX",1,IF(DATOS!$G17375="OR",--(COUNTIFS(nNIA,DATOS!$A17375,nCURSO,DATOS!$D17375,nESPEC,DATOS!$E17375,nASIG,DATOS!$I17375,nEVAL,"EX")=0),0))))</f>
      </c>
      <c r="H17375">
        <f>IF(DATOS!$G17375&lt;&gt;"EX",0,--(COUNTIFS(nNIA,DATOS!$A17375,nCURSO,DATOS!$D17375,nESPEC,DATOS!$E17375,nASIG,DATOS!$I17375,nEVAL,"OR")=0))</f>
      </c>
      <c r="I17375">
        <f>IF(DATOS!$I17375="","",IFERROR(VLOOKUP(DATOS!$I17375,CONFIG_ASIGNATURAS!$B$2:$J$91,9,FALSE()),""))</f>
      </c>
    </row>
    <row r="17376">
      <c r="F17376">
        <f>IF(DATOS!$A17376="","",DATOS!$A17376&amp;"|"&amp;DATOS!$D17376&amp;"|"&amp;DATOS!$E17376&amp;"|"&amp;DATOS!$I17376)</f>
      </c>
      <c r="G17376">
        <f>IF(DATOS!$A17376="",0,IF(CONFIG_METADATA!$B$4&lt;&gt;"OR+EX",--(DATOS!$G17376=CONFIG_METADATA!$B$4),IF(DATOS!$G17376="EX",1,IF(DATOS!$G17376="OR",--(COUNTIFS(nNIA,DATOS!$A17376,nCURSO,DATOS!$D17376,nESPEC,DATOS!$E17376,nASIG,DATOS!$I17376,nEVAL,"EX")=0),0))))</f>
      </c>
      <c r="H17376">
        <f>IF(DATOS!$G17376&lt;&gt;"EX",0,--(COUNTIFS(nNIA,DATOS!$A17376,nCURSO,DATOS!$D17376,nESPEC,DATOS!$E17376,nASIG,DATOS!$I17376,nEVAL,"OR")=0))</f>
      </c>
      <c r="I17376">
        <f>IF(DATOS!$I17376="","",IFERROR(VLOOKUP(DATOS!$I17376,CONFIG_ASIGNATURAS!$B$2:$J$91,9,FALSE()),""))</f>
      </c>
    </row>
    <row r="17377">
      <c r="F17377">
        <f>IF(DATOS!$A17377="","",DATOS!$A17377&amp;"|"&amp;DATOS!$D17377&amp;"|"&amp;DATOS!$E17377&amp;"|"&amp;DATOS!$I17377)</f>
      </c>
      <c r="G17377">
        <f>IF(DATOS!$A17377="",0,IF(CONFIG_METADATA!$B$4&lt;&gt;"OR+EX",--(DATOS!$G17377=CONFIG_METADATA!$B$4),IF(DATOS!$G17377="EX",1,IF(DATOS!$G17377="OR",--(COUNTIFS(nNIA,DATOS!$A17377,nCURSO,DATOS!$D17377,nESPEC,DATOS!$E17377,nASIG,DATOS!$I17377,nEVAL,"EX")=0),0))))</f>
      </c>
      <c r="H17377">
        <f>IF(DATOS!$G17377&lt;&gt;"EX",0,--(COUNTIFS(nNIA,DATOS!$A17377,nCURSO,DATOS!$D17377,nESPEC,DATOS!$E17377,nASIG,DATOS!$I17377,nEVAL,"OR")=0))</f>
      </c>
      <c r="I17377">
        <f>IF(DATOS!$I17377="","",IFERROR(VLOOKUP(DATOS!$I17377,CONFIG_ASIGNATURAS!$B$2:$J$91,9,FALSE()),""))</f>
      </c>
    </row>
    <row r="17378">
      <c r="F17378">
        <f>IF(DATOS!$A17378="","",DATOS!$A17378&amp;"|"&amp;DATOS!$D17378&amp;"|"&amp;DATOS!$E17378&amp;"|"&amp;DATOS!$I17378)</f>
      </c>
      <c r="G17378">
        <f>IF(DATOS!$A17378="",0,IF(CONFIG_METADATA!$B$4&lt;&gt;"OR+EX",--(DATOS!$G17378=CONFIG_METADATA!$B$4),IF(DATOS!$G17378="EX",1,IF(DATOS!$G17378="OR",--(COUNTIFS(nNIA,DATOS!$A17378,nCURSO,DATOS!$D17378,nESPEC,DATOS!$E17378,nASIG,DATOS!$I17378,nEVAL,"EX")=0),0))))</f>
      </c>
      <c r="H17378">
        <f>IF(DATOS!$G17378&lt;&gt;"EX",0,--(COUNTIFS(nNIA,DATOS!$A17378,nCURSO,DATOS!$D17378,nESPEC,DATOS!$E17378,nASIG,DATOS!$I17378,nEVAL,"OR")=0))</f>
      </c>
      <c r="I17378">
        <f>IF(DATOS!$I17378="","",IFERROR(VLOOKUP(DATOS!$I17378,CONFIG_ASIGNATURAS!$B$2:$J$91,9,FALSE()),""))</f>
      </c>
    </row>
    <row r="17379">
      <c r="F17379">
        <f>IF(DATOS!$A17379="","",DATOS!$A17379&amp;"|"&amp;DATOS!$D17379&amp;"|"&amp;DATOS!$E17379&amp;"|"&amp;DATOS!$I17379)</f>
      </c>
      <c r="G17379">
        <f>IF(DATOS!$A17379="",0,IF(CONFIG_METADATA!$B$4&lt;&gt;"OR+EX",--(DATOS!$G17379=CONFIG_METADATA!$B$4),IF(DATOS!$G17379="EX",1,IF(DATOS!$G17379="OR",--(COUNTIFS(nNIA,DATOS!$A17379,nCURSO,DATOS!$D17379,nESPEC,DATOS!$E17379,nASIG,DATOS!$I17379,nEVAL,"EX")=0),0))))</f>
      </c>
      <c r="H17379">
        <f>IF(DATOS!$G17379&lt;&gt;"EX",0,--(COUNTIFS(nNIA,DATOS!$A17379,nCURSO,DATOS!$D17379,nESPEC,DATOS!$E17379,nASIG,DATOS!$I17379,nEVAL,"OR")=0))</f>
      </c>
      <c r="I17379">
        <f>IF(DATOS!$I17379="","",IFERROR(VLOOKUP(DATOS!$I17379,CONFIG_ASIGNATURAS!$B$2:$J$91,9,FALSE()),""))</f>
      </c>
    </row>
    <row r="17380">
      <c r="F17380">
        <f>IF(DATOS!$A17380="","",DATOS!$A17380&amp;"|"&amp;DATOS!$D17380&amp;"|"&amp;DATOS!$E17380&amp;"|"&amp;DATOS!$I17380)</f>
      </c>
      <c r="G17380">
        <f>IF(DATOS!$A17380="",0,IF(CONFIG_METADATA!$B$4&lt;&gt;"OR+EX",--(DATOS!$G17380=CONFIG_METADATA!$B$4),IF(DATOS!$G17380="EX",1,IF(DATOS!$G17380="OR",--(COUNTIFS(nNIA,DATOS!$A17380,nCURSO,DATOS!$D17380,nESPEC,DATOS!$E17380,nASIG,DATOS!$I17380,nEVAL,"EX")=0),0))))</f>
      </c>
      <c r="H17380">
        <f>IF(DATOS!$G17380&lt;&gt;"EX",0,--(COUNTIFS(nNIA,DATOS!$A17380,nCURSO,DATOS!$D17380,nESPEC,DATOS!$E17380,nASIG,DATOS!$I17380,nEVAL,"OR")=0))</f>
      </c>
      <c r="I17380">
        <f>IF(DATOS!$I17380="","",IFERROR(VLOOKUP(DATOS!$I17380,CONFIG_ASIGNATURAS!$B$2:$J$91,9,FALSE()),""))</f>
      </c>
    </row>
    <row r="17381">
      <c r="F17381">
        <f>IF(DATOS!$A17381="","",DATOS!$A17381&amp;"|"&amp;DATOS!$D17381&amp;"|"&amp;DATOS!$E17381&amp;"|"&amp;DATOS!$I17381)</f>
      </c>
      <c r="G17381">
        <f>IF(DATOS!$A17381="",0,IF(CONFIG_METADATA!$B$4&lt;&gt;"OR+EX",--(DATOS!$G17381=CONFIG_METADATA!$B$4),IF(DATOS!$G17381="EX",1,IF(DATOS!$G17381="OR",--(COUNTIFS(nNIA,DATOS!$A17381,nCURSO,DATOS!$D17381,nESPEC,DATOS!$E17381,nASIG,DATOS!$I17381,nEVAL,"EX")=0),0))))</f>
      </c>
      <c r="H17381">
        <f>IF(DATOS!$G17381&lt;&gt;"EX",0,--(COUNTIFS(nNIA,DATOS!$A17381,nCURSO,DATOS!$D17381,nESPEC,DATOS!$E17381,nASIG,DATOS!$I17381,nEVAL,"OR")=0))</f>
      </c>
      <c r="I17381">
        <f>IF(DATOS!$I17381="","",IFERROR(VLOOKUP(DATOS!$I17381,CONFIG_ASIGNATURAS!$B$2:$J$91,9,FALSE()),""))</f>
      </c>
    </row>
    <row r="17382">
      <c r="F17382">
        <f>IF(DATOS!$A17382="","",DATOS!$A17382&amp;"|"&amp;DATOS!$D17382&amp;"|"&amp;DATOS!$E17382&amp;"|"&amp;DATOS!$I17382)</f>
      </c>
      <c r="G17382">
        <f>IF(DATOS!$A17382="",0,IF(CONFIG_METADATA!$B$4&lt;&gt;"OR+EX",--(DATOS!$G17382=CONFIG_METADATA!$B$4),IF(DATOS!$G17382="EX",1,IF(DATOS!$G17382="OR",--(COUNTIFS(nNIA,DATOS!$A17382,nCURSO,DATOS!$D17382,nESPEC,DATOS!$E17382,nASIG,DATOS!$I17382,nEVAL,"EX")=0),0))))</f>
      </c>
      <c r="H17382">
        <f>IF(DATOS!$G17382&lt;&gt;"EX",0,--(COUNTIFS(nNIA,DATOS!$A17382,nCURSO,DATOS!$D17382,nESPEC,DATOS!$E17382,nASIG,DATOS!$I17382,nEVAL,"OR")=0))</f>
      </c>
      <c r="I17382">
        <f>IF(DATOS!$I17382="","",IFERROR(VLOOKUP(DATOS!$I17382,CONFIG_ASIGNATURAS!$B$2:$J$91,9,FALSE()),""))</f>
      </c>
    </row>
    <row r="17383">
      <c r="F17383">
        <f>IF(DATOS!$A17383="","",DATOS!$A17383&amp;"|"&amp;DATOS!$D17383&amp;"|"&amp;DATOS!$E17383&amp;"|"&amp;DATOS!$I17383)</f>
      </c>
      <c r="G17383">
        <f>IF(DATOS!$A17383="",0,IF(CONFIG_METADATA!$B$4&lt;&gt;"OR+EX",--(DATOS!$G17383=CONFIG_METADATA!$B$4),IF(DATOS!$G17383="EX",1,IF(DATOS!$G17383="OR",--(COUNTIFS(nNIA,DATOS!$A17383,nCURSO,DATOS!$D17383,nESPEC,DATOS!$E17383,nASIG,DATOS!$I17383,nEVAL,"EX")=0),0))))</f>
      </c>
      <c r="H17383">
        <f>IF(DATOS!$G17383&lt;&gt;"EX",0,--(COUNTIFS(nNIA,DATOS!$A17383,nCURSO,DATOS!$D17383,nESPEC,DATOS!$E17383,nASIG,DATOS!$I17383,nEVAL,"OR")=0))</f>
      </c>
      <c r="I17383">
        <f>IF(DATOS!$I17383="","",IFERROR(VLOOKUP(DATOS!$I17383,CONFIG_ASIGNATURAS!$B$2:$J$91,9,FALSE()),""))</f>
      </c>
    </row>
    <row r="17384">
      <c r="F17384">
        <f>IF(DATOS!$A17384="","",DATOS!$A17384&amp;"|"&amp;DATOS!$D17384&amp;"|"&amp;DATOS!$E17384&amp;"|"&amp;DATOS!$I17384)</f>
      </c>
      <c r="G17384">
        <f>IF(DATOS!$A17384="",0,IF(CONFIG_METADATA!$B$4&lt;&gt;"OR+EX",--(DATOS!$G17384=CONFIG_METADATA!$B$4),IF(DATOS!$G17384="EX",1,IF(DATOS!$G17384="OR",--(COUNTIFS(nNIA,DATOS!$A17384,nCURSO,DATOS!$D17384,nESPEC,DATOS!$E17384,nASIG,DATOS!$I17384,nEVAL,"EX")=0),0))))</f>
      </c>
      <c r="H17384">
        <f>IF(DATOS!$G17384&lt;&gt;"EX",0,--(COUNTIFS(nNIA,DATOS!$A17384,nCURSO,DATOS!$D17384,nESPEC,DATOS!$E17384,nASIG,DATOS!$I17384,nEVAL,"OR")=0))</f>
      </c>
      <c r="I17384">
        <f>IF(DATOS!$I17384="","",IFERROR(VLOOKUP(DATOS!$I17384,CONFIG_ASIGNATURAS!$B$2:$J$91,9,FALSE()),""))</f>
      </c>
    </row>
    <row r="17385">
      <c r="F17385">
        <f>IF(DATOS!$A17385="","",DATOS!$A17385&amp;"|"&amp;DATOS!$D17385&amp;"|"&amp;DATOS!$E17385&amp;"|"&amp;DATOS!$I17385)</f>
      </c>
      <c r="G17385">
        <f>IF(DATOS!$A17385="",0,IF(CONFIG_METADATA!$B$4&lt;&gt;"OR+EX",--(DATOS!$G17385=CONFIG_METADATA!$B$4),IF(DATOS!$G17385="EX",1,IF(DATOS!$G17385="OR",--(COUNTIFS(nNIA,DATOS!$A17385,nCURSO,DATOS!$D17385,nESPEC,DATOS!$E17385,nASIG,DATOS!$I17385,nEVAL,"EX")=0),0))))</f>
      </c>
      <c r="H17385">
        <f>IF(DATOS!$G17385&lt;&gt;"EX",0,--(COUNTIFS(nNIA,DATOS!$A17385,nCURSO,DATOS!$D17385,nESPEC,DATOS!$E17385,nASIG,DATOS!$I17385,nEVAL,"OR")=0))</f>
      </c>
      <c r="I17385">
        <f>IF(DATOS!$I17385="","",IFERROR(VLOOKUP(DATOS!$I17385,CONFIG_ASIGNATURAS!$B$2:$J$91,9,FALSE()),""))</f>
      </c>
    </row>
    <row r="17386">
      <c r="F17386">
        <f>IF(DATOS!$A17386="","",DATOS!$A17386&amp;"|"&amp;DATOS!$D17386&amp;"|"&amp;DATOS!$E17386&amp;"|"&amp;DATOS!$I17386)</f>
      </c>
      <c r="G17386">
        <f>IF(DATOS!$A17386="",0,IF(CONFIG_METADATA!$B$4&lt;&gt;"OR+EX",--(DATOS!$G17386=CONFIG_METADATA!$B$4),IF(DATOS!$G17386="EX",1,IF(DATOS!$G17386="OR",--(COUNTIFS(nNIA,DATOS!$A17386,nCURSO,DATOS!$D17386,nESPEC,DATOS!$E17386,nASIG,DATOS!$I17386,nEVAL,"EX")=0),0))))</f>
      </c>
      <c r="H17386">
        <f>IF(DATOS!$G17386&lt;&gt;"EX",0,--(COUNTIFS(nNIA,DATOS!$A17386,nCURSO,DATOS!$D17386,nESPEC,DATOS!$E17386,nASIG,DATOS!$I17386,nEVAL,"OR")=0))</f>
      </c>
      <c r="I17386">
        <f>IF(DATOS!$I17386="","",IFERROR(VLOOKUP(DATOS!$I17386,CONFIG_ASIGNATURAS!$B$2:$J$91,9,FALSE()),""))</f>
      </c>
    </row>
    <row r="17387">
      <c r="F17387">
        <f>IF(DATOS!$A17387="","",DATOS!$A17387&amp;"|"&amp;DATOS!$D17387&amp;"|"&amp;DATOS!$E17387&amp;"|"&amp;DATOS!$I17387)</f>
      </c>
      <c r="G17387">
        <f>IF(DATOS!$A17387="",0,IF(CONFIG_METADATA!$B$4&lt;&gt;"OR+EX",--(DATOS!$G17387=CONFIG_METADATA!$B$4),IF(DATOS!$G17387="EX",1,IF(DATOS!$G17387="OR",--(COUNTIFS(nNIA,DATOS!$A17387,nCURSO,DATOS!$D17387,nESPEC,DATOS!$E17387,nASIG,DATOS!$I17387,nEVAL,"EX")=0),0))))</f>
      </c>
      <c r="H17387">
        <f>IF(DATOS!$G17387&lt;&gt;"EX",0,--(COUNTIFS(nNIA,DATOS!$A17387,nCURSO,DATOS!$D17387,nESPEC,DATOS!$E17387,nASIG,DATOS!$I17387,nEVAL,"OR")=0))</f>
      </c>
      <c r="I17387">
        <f>IF(DATOS!$I17387="","",IFERROR(VLOOKUP(DATOS!$I17387,CONFIG_ASIGNATURAS!$B$2:$J$91,9,FALSE()),""))</f>
      </c>
    </row>
    <row r="17388">
      <c r="F17388">
        <f>IF(DATOS!$A17388="","",DATOS!$A17388&amp;"|"&amp;DATOS!$D17388&amp;"|"&amp;DATOS!$E17388&amp;"|"&amp;DATOS!$I17388)</f>
      </c>
      <c r="G17388">
        <f>IF(DATOS!$A17388="",0,IF(CONFIG_METADATA!$B$4&lt;&gt;"OR+EX",--(DATOS!$G17388=CONFIG_METADATA!$B$4),IF(DATOS!$G17388="EX",1,IF(DATOS!$G17388="OR",--(COUNTIFS(nNIA,DATOS!$A17388,nCURSO,DATOS!$D17388,nESPEC,DATOS!$E17388,nASIG,DATOS!$I17388,nEVAL,"EX")=0),0))))</f>
      </c>
      <c r="H17388">
        <f>IF(DATOS!$G17388&lt;&gt;"EX",0,--(COUNTIFS(nNIA,DATOS!$A17388,nCURSO,DATOS!$D17388,nESPEC,DATOS!$E17388,nASIG,DATOS!$I17388,nEVAL,"OR")=0))</f>
      </c>
      <c r="I17388">
        <f>IF(DATOS!$I17388="","",IFERROR(VLOOKUP(DATOS!$I17388,CONFIG_ASIGNATURAS!$B$2:$J$91,9,FALSE()),""))</f>
      </c>
    </row>
    <row r="17389">
      <c r="F17389">
        <f>IF(DATOS!$A17389="","",DATOS!$A17389&amp;"|"&amp;DATOS!$D17389&amp;"|"&amp;DATOS!$E17389&amp;"|"&amp;DATOS!$I17389)</f>
      </c>
      <c r="G17389">
        <f>IF(DATOS!$A17389="",0,IF(CONFIG_METADATA!$B$4&lt;&gt;"OR+EX",--(DATOS!$G17389=CONFIG_METADATA!$B$4),IF(DATOS!$G17389="EX",1,IF(DATOS!$G17389="OR",--(COUNTIFS(nNIA,DATOS!$A17389,nCURSO,DATOS!$D17389,nESPEC,DATOS!$E17389,nASIG,DATOS!$I17389,nEVAL,"EX")=0),0))))</f>
      </c>
      <c r="H17389">
        <f>IF(DATOS!$G17389&lt;&gt;"EX",0,--(COUNTIFS(nNIA,DATOS!$A17389,nCURSO,DATOS!$D17389,nESPEC,DATOS!$E17389,nASIG,DATOS!$I17389,nEVAL,"OR")=0))</f>
      </c>
      <c r="I17389">
        <f>IF(DATOS!$I17389="","",IFERROR(VLOOKUP(DATOS!$I17389,CONFIG_ASIGNATURAS!$B$2:$J$91,9,FALSE()),""))</f>
      </c>
    </row>
    <row r="17390">
      <c r="F17390">
        <f>IF(DATOS!$A17390="","",DATOS!$A17390&amp;"|"&amp;DATOS!$D17390&amp;"|"&amp;DATOS!$E17390&amp;"|"&amp;DATOS!$I17390)</f>
      </c>
      <c r="G17390">
        <f>IF(DATOS!$A17390="",0,IF(CONFIG_METADATA!$B$4&lt;&gt;"OR+EX",--(DATOS!$G17390=CONFIG_METADATA!$B$4),IF(DATOS!$G17390="EX",1,IF(DATOS!$G17390="OR",--(COUNTIFS(nNIA,DATOS!$A17390,nCURSO,DATOS!$D17390,nESPEC,DATOS!$E17390,nASIG,DATOS!$I17390,nEVAL,"EX")=0),0))))</f>
      </c>
      <c r="H17390">
        <f>IF(DATOS!$G17390&lt;&gt;"EX",0,--(COUNTIFS(nNIA,DATOS!$A17390,nCURSO,DATOS!$D17390,nESPEC,DATOS!$E17390,nASIG,DATOS!$I17390,nEVAL,"OR")=0))</f>
      </c>
      <c r="I17390">
        <f>IF(DATOS!$I17390="","",IFERROR(VLOOKUP(DATOS!$I17390,CONFIG_ASIGNATURAS!$B$2:$J$91,9,FALSE()),""))</f>
      </c>
    </row>
    <row r="17391">
      <c r="F17391">
        <f>IF(DATOS!$A17391="","",DATOS!$A17391&amp;"|"&amp;DATOS!$D17391&amp;"|"&amp;DATOS!$E17391&amp;"|"&amp;DATOS!$I17391)</f>
      </c>
      <c r="G17391">
        <f>IF(DATOS!$A17391="",0,IF(CONFIG_METADATA!$B$4&lt;&gt;"OR+EX",--(DATOS!$G17391=CONFIG_METADATA!$B$4),IF(DATOS!$G17391="EX",1,IF(DATOS!$G17391="OR",--(COUNTIFS(nNIA,DATOS!$A17391,nCURSO,DATOS!$D17391,nESPEC,DATOS!$E17391,nASIG,DATOS!$I17391,nEVAL,"EX")=0),0))))</f>
      </c>
      <c r="H17391">
        <f>IF(DATOS!$G17391&lt;&gt;"EX",0,--(COUNTIFS(nNIA,DATOS!$A17391,nCURSO,DATOS!$D17391,nESPEC,DATOS!$E17391,nASIG,DATOS!$I17391,nEVAL,"OR")=0))</f>
      </c>
      <c r="I17391">
        <f>IF(DATOS!$I17391="","",IFERROR(VLOOKUP(DATOS!$I17391,CONFIG_ASIGNATURAS!$B$2:$J$91,9,FALSE()),""))</f>
      </c>
    </row>
    <row r="17392">
      <c r="F17392">
        <f>IF(DATOS!$A17392="","",DATOS!$A17392&amp;"|"&amp;DATOS!$D17392&amp;"|"&amp;DATOS!$E17392&amp;"|"&amp;DATOS!$I17392)</f>
      </c>
      <c r="G17392">
        <f>IF(DATOS!$A17392="",0,IF(CONFIG_METADATA!$B$4&lt;&gt;"OR+EX",--(DATOS!$G17392=CONFIG_METADATA!$B$4),IF(DATOS!$G17392="EX",1,IF(DATOS!$G17392="OR",--(COUNTIFS(nNIA,DATOS!$A17392,nCURSO,DATOS!$D17392,nESPEC,DATOS!$E17392,nASIG,DATOS!$I17392,nEVAL,"EX")=0),0))))</f>
      </c>
      <c r="H17392">
        <f>IF(DATOS!$G17392&lt;&gt;"EX",0,--(COUNTIFS(nNIA,DATOS!$A17392,nCURSO,DATOS!$D17392,nESPEC,DATOS!$E17392,nASIG,DATOS!$I17392,nEVAL,"OR")=0))</f>
      </c>
      <c r="I17392">
        <f>IF(DATOS!$I17392="","",IFERROR(VLOOKUP(DATOS!$I17392,CONFIG_ASIGNATURAS!$B$2:$J$91,9,FALSE()),""))</f>
      </c>
    </row>
    <row r="17393">
      <c r="F17393">
        <f>IF(DATOS!$A17393="","",DATOS!$A17393&amp;"|"&amp;DATOS!$D17393&amp;"|"&amp;DATOS!$E17393&amp;"|"&amp;DATOS!$I17393)</f>
      </c>
      <c r="G17393">
        <f>IF(DATOS!$A17393="",0,IF(CONFIG_METADATA!$B$4&lt;&gt;"OR+EX",--(DATOS!$G17393=CONFIG_METADATA!$B$4),IF(DATOS!$G17393="EX",1,IF(DATOS!$G17393="OR",--(COUNTIFS(nNIA,DATOS!$A17393,nCURSO,DATOS!$D17393,nESPEC,DATOS!$E17393,nASIG,DATOS!$I17393,nEVAL,"EX")=0),0))))</f>
      </c>
      <c r="H17393">
        <f>IF(DATOS!$G17393&lt;&gt;"EX",0,--(COUNTIFS(nNIA,DATOS!$A17393,nCURSO,DATOS!$D17393,nESPEC,DATOS!$E17393,nASIG,DATOS!$I17393,nEVAL,"OR")=0))</f>
      </c>
      <c r="I17393">
        <f>IF(DATOS!$I17393="","",IFERROR(VLOOKUP(DATOS!$I17393,CONFIG_ASIGNATURAS!$B$2:$J$91,9,FALSE()),""))</f>
      </c>
    </row>
    <row r="17394">
      <c r="F17394">
        <f>IF(DATOS!$A17394="","",DATOS!$A17394&amp;"|"&amp;DATOS!$D17394&amp;"|"&amp;DATOS!$E17394&amp;"|"&amp;DATOS!$I17394)</f>
      </c>
      <c r="G17394">
        <f>IF(DATOS!$A17394="",0,IF(CONFIG_METADATA!$B$4&lt;&gt;"OR+EX",--(DATOS!$G17394=CONFIG_METADATA!$B$4),IF(DATOS!$G17394="EX",1,IF(DATOS!$G17394="OR",--(COUNTIFS(nNIA,DATOS!$A17394,nCURSO,DATOS!$D17394,nESPEC,DATOS!$E17394,nASIG,DATOS!$I17394,nEVAL,"EX")=0),0))))</f>
      </c>
      <c r="H17394">
        <f>IF(DATOS!$G17394&lt;&gt;"EX",0,--(COUNTIFS(nNIA,DATOS!$A17394,nCURSO,DATOS!$D17394,nESPEC,DATOS!$E17394,nASIG,DATOS!$I17394,nEVAL,"OR")=0))</f>
      </c>
      <c r="I17394">
        <f>IF(DATOS!$I17394="","",IFERROR(VLOOKUP(DATOS!$I17394,CONFIG_ASIGNATURAS!$B$2:$J$91,9,FALSE()),""))</f>
      </c>
    </row>
    <row r="17395">
      <c r="F17395">
        <f>IF(DATOS!$A17395="","",DATOS!$A17395&amp;"|"&amp;DATOS!$D17395&amp;"|"&amp;DATOS!$E17395&amp;"|"&amp;DATOS!$I17395)</f>
      </c>
      <c r="G17395">
        <f>IF(DATOS!$A17395="",0,IF(CONFIG_METADATA!$B$4&lt;&gt;"OR+EX",--(DATOS!$G17395=CONFIG_METADATA!$B$4),IF(DATOS!$G17395="EX",1,IF(DATOS!$G17395="OR",--(COUNTIFS(nNIA,DATOS!$A17395,nCURSO,DATOS!$D17395,nESPEC,DATOS!$E17395,nASIG,DATOS!$I17395,nEVAL,"EX")=0),0))))</f>
      </c>
      <c r="H17395">
        <f>IF(DATOS!$G17395&lt;&gt;"EX",0,--(COUNTIFS(nNIA,DATOS!$A17395,nCURSO,DATOS!$D17395,nESPEC,DATOS!$E17395,nASIG,DATOS!$I17395,nEVAL,"OR")=0))</f>
      </c>
      <c r="I17395">
        <f>IF(DATOS!$I17395="","",IFERROR(VLOOKUP(DATOS!$I17395,CONFIG_ASIGNATURAS!$B$2:$J$91,9,FALSE()),""))</f>
      </c>
    </row>
    <row r="17396">
      <c r="F17396">
        <f>IF(DATOS!$A17396="","",DATOS!$A17396&amp;"|"&amp;DATOS!$D17396&amp;"|"&amp;DATOS!$E17396&amp;"|"&amp;DATOS!$I17396)</f>
      </c>
      <c r="G17396">
        <f>IF(DATOS!$A17396="",0,IF(CONFIG_METADATA!$B$4&lt;&gt;"OR+EX",--(DATOS!$G17396=CONFIG_METADATA!$B$4),IF(DATOS!$G17396="EX",1,IF(DATOS!$G17396="OR",--(COUNTIFS(nNIA,DATOS!$A17396,nCURSO,DATOS!$D17396,nESPEC,DATOS!$E17396,nASIG,DATOS!$I17396,nEVAL,"EX")=0),0))))</f>
      </c>
      <c r="H17396">
        <f>IF(DATOS!$G17396&lt;&gt;"EX",0,--(COUNTIFS(nNIA,DATOS!$A17396,nCURSO,DATOS!$D17396,nESPEC,DATOS!$E17396,nASIG,DATOS!$I17396,nEVAL,"OR")=0))</f>
      </c>
      <c r="I17396">
        <f>IF(DATOS!$I17396="","",IFERROR(VLOOKUP(DATOS!$I17396,CONFIG_ASIGNATURAS!$B$2:$J$91,9,FALSE()),""))</f>
      </c>
    </row>
    <row r="17397">
      <c r="F17397">
        <f>IF(DATOS!$A17397="","",DATOS!$A17397&amp;"|"&amp;DATOS!$D17397&amp;"|"&amp;DATOS!$E17397&amp;"|"&amp;DATOS!$I17397)</f>
      </c>
      <c r="G17397">
        <f>IF(DATOS!$A17397="",0,IF(CONFIG_METADATA!$B$4&lt;&gt;"OR+EX",--(DATOS!$G17397=CONFIG_METADATA!$B$4),IF(DATOS!$G17397="EX",1,IF(DATOS!$G17397="OR",--(COUNTIFS(nNIA,DATOS!$A17397,nCURSO,DATOS!$D17397,nESPEC,DATOS!$E17397,nASIG,DATOS!$I17397,nEVAL,"EX")=0),0))))</f>
      </c>
      <c r="H17397">
        <f>IF(DATOS!$G17397&lt;&gt;"EX",0,--(COUNTIFS(nNIA,DATOS!$A17397,nCURSO,DATOS!$D17397,nESPEC,DATOS!$E17397,nASIG,DATOS!$I17397,nEVAL,"OR")=0))</f>
      </c>
      <c r="I17397">
        <f>IF(DATOS!$I17397="","",IFERROR(VLOOKUP(DATOS!$I17397,CONFIG_ASIGNATURAS!$B$2:$J$91,9,FALSE()),""))</f>
      </c>
    </row>
    <row r="17398">
      <c r="F17398">
        <f>IF(DATOS!$A17398="","",DATOS!$A17398&amp;"|"&amp;DATOS!$D17398&amp;"|"&amp;DATOS!$E17398&amp;"|"&amp;DATOS!$I17398)</f>
      </c>
      <c r="G17398">
        <f>IF(DATOS!$A17398="",0,IF(CONFIG_METADATA!$B$4&lt;&gt;"OR+EX",--(DATOS!$G17398=CONFIG_METADATA!$B$4),IF(DATOS!$G17398="EX",1,IF(DATOS!$G17398="OR",--(COUNTIFS(nNIA,DATOS!$A17398,nCURSO,DATOS!$D17398,nESPEC,DATOS!$E17398,nASIG,DATOS!$I17398,nEVAL,"EX")=0),0))))</f>
      </c>
      <c r="H17398">
        <f>IF(DATOS!$G17398&lt;&gt;"EX",0,--(COUNTIFS(nNIA,DATOS!$A17398,nCURSO,DATOS!$D17398,nESPEC,DATOS!$E17398,nASIG,DATOS!$I17398,nEVAL,"OR")=0))</f>
      </c>
      <c r="I17398">
        <f>IF(DATOS!$I17398="","",IFERROR(VLOOKUP(DATOS!$I17398,CONFIG_ASIGNATURAS!$B$2:$J$91,9,FALSE()),""))</f>
      </c>
    </row>
    <row r="17399">
      <c r="F17399">
        <f>IF(DATOS!$A17399="","",DATOS!$A17399&amp;"|"&amp;DATOS!$D17399&amp;"|"&amp;DATOS!$E17399&amp;"|"&amp;DATOS!$I17399)</f>
      </c>
      <c r="G17399">
        <f>IF(DATOS!$A17399="",0,IF(CONFIG_METADATA!$B$4&lt;&gt;"OR+EX",--(DATOS!$G17399=CONFIG_METADATA!$B$4),IF(DATOS!$G17399="EX",1,IF(DATOS!$G17399="OR",--(COUNTIFS(nNIA,DATOS!$A17399,nCURSO,DATOS!$D17399,nESPEC,DATOS!$E17399,nASIG,DATOS!$I17399,nEVAL,"EX")=0),0))))</f>
      </c>
      <c r="H17399">
        <f>IF(DATOS!$G17399&lt;&gt;"EX",0,--(COUNTIFS(nNIA,DATOS!$A17399,nCURSO,DATOS!$D17399,nESPEC,DATOS!$E17399,nASIG,DATOS!$I17399,nEVAL,"OR")=0))</f>
      </c>
      <c r="I17399">
        <f>IF(DATOS!$I17399="","",IFERROR(VLOOKUP(DATOS!$I17399,CONFIG_ASIGNATURAS!$B$2:$J$91,9,FALSE()),""))</f>
      </c>
    </row>
    <row r="17400">
      <c r="F17400">
        <f>IF(DATOS!$A17400="","",DATOS!$A17400&amp;"|"&amp;DATOS!$D17400&amp;"|"&amp;DATOS!$E17400&amp;"|"&amp;DATOS!$I17400)</f>
      </c>
      <c r="G17400">
        <f>IF(DATOS!$A17400="",0,IF(CONFIG_METADATA!$B$4&lt;&gt;"OR+EX",--(DATOS!$G17400=CONFIG_METADATA!$B$4),IF(DATOS!$G17400="EX",1,IF(DATOS!$G17400="OR",--(COUNTIFS(nNIA,DATOS!$A17400,nCURSO,DATOS!$D17400,nESPEC,DATOS!$E17400,nASIG,DATOS!$I17400,nEVAL,"EX")=0),0))))</f>
      </c>
      <c r="H17400">
        <f>IF(DATOS!$G17400&lt;&gt;"EX",0,--(COUNTIFS(nNIA,DATOS!$A17400,nCURSO,DATOS!$D17400,nESPEC,DATOS!$E17400,nASIG,DATOS!$I17400,nEVAL,"OR")=0))</f>
      </c>
      <c r="I17400">
        <f>IF(DATOS!$I17400="","",IFERROR(VLOOKUP(DATOS!$I17400,CONFIG_ASIGNATURAS!$B$2:$J$91,9,FALSE()),""))</f>
      </c>
    </row>
    <row r="17401">
      <c r="F17401">
        <f>IF(DATOS!$A17401="","",DATOS!$A17401&amp;"|"&amp;DATOS!$D17401&amp;"|"&amp;DATOS!$E17401&amp;"|"&amp;DATOS!$I17401)</f>
      </c>
      <c r="G17401">
        <f>IF(DATOS!$A17401="",0,IF(CONFIG_METADATA!$B$4&lt;&gt;"OR+EX",--(DATOS!$G17401=CONFIG_METADATA!$B$4),IF(DATOS!$G17401="EX",1,IF(DATOS!$G17401="OR",--(COUNTIFS(nNIA,DATOS!$A17401,nCURSO,DATOS!$D17401,nESPEC,DATOS!$E17401,nASIG,DATOS!$I17401,nEVAL,"EX")=0),0))))</f>
      </c>
      <c r="H17401">
        <f>IF(DATOS!$G17401&lt;&gt;"EX",0,--(COUNTIFS(nNIA,DATOS!$A17401,nCURSO,DATOS!$D17401,nESPEC,DATOS!$E17401,nASIG,DATOS!$I17401,nEVAL,"OR")=0))</f>
      </c>
      <c r="I17401">
        <f>IF(DATOS!$I17401="","",IFERROR(VLOOKUP(DATOS!$I17401,CONFIG_ASIGNATURAS!$B$2:$J$91,9,FALSE()),""))</f>
      </c>
    </row>
    <row r="17402">
      <c r="F17402">
        <f>IF(DATOS!$A17402="","",DATOS!$A17402&amp;"|"&amp;DATOS!$D17402&amp;"|"&amp;DATOS!$E17402&amp;"|"&amp;DATOS!$I17402)</f>
      </c>
      <c r="G17402">
        <f>IF(DATOS!$A17402="",0,IF(CONFIG_METADATA!$B$4&lt;&gt;"OR+EX",--(DATOS!$G17402=CONFIG_METADATA!$B$4),IF(DATOS!$G17402="EX",1,IF(DATOS!$G17402="OR",--(COUNTIFS(nNIA,DATOS!$A17402,nCURSO,DATOS!$D17402,nESPEC,DATOS!$E17402,nASIG,DATOS!$I17402,nEVAL,"EX")=0),0))))</f>
      </c>
      <c r="H17402">
        <f>IF(DATOS!$G17402&lt;&gt;"EX",0,--(COUNTIFS(nNIA,DATOS!$A17402,nCURSO,DATOS!$D17402,nESPEC,DATOS!$E17402,nASIG,DATOS!$I17402,nEVAL,"OR")=0))</f>
      </c>
      <c r="I17402">
        <f>IF(DATOS!$I17402="","",IFERROR(VLOOKUP(DATOS!$I17402,CONFIG_ASIGNATURAS!$B$2:$J$91,9,FALSE()),""))</f>
      </c>
    </row>
    <row r="17403">
      <c r="F17403">
        <f>IF(DATOS!$A17403="","",DATOS!$A17403&amp;"|"&amp;DATOS!$D17403&amp;"|"&amp;DATOS!$E17403&amp;"|"&amp;DATOS!$I17403)</f>
      </c>
      <c r="G17403">
        <f>IF(DATOS!$A17403="",0,IF(CONFIG_METADATA!$B$4&lt;&gt;"OR+EX",--(DATOS!$G17403=CONFIG_METADATA!$B$4),IF(DATOS!$G17403="EX",1,IF(DATOS!$G17403="OR",--(COUNTIFS(nNIA,DATOS!$A17403,nCURSO,DATOS!$D17403,nESPEC,DATOS!$E17403,nASIG,DATOS!$I17403,nEVAL,"EX")=0),0))))</f>
      </c>
      <c r="H17403">
        <f>IF(DATOS!$G17403&lt;&gt;"EX",0,--(COUNTIFS(nNIA,DATOS!$A17403,nCURSO,DATOS!$D17403,nESPEC,DATOS!$E17403,nASIG,DATOS!$I17403,nEVAL,"OR")=0))</f>
      </c>
      <c r="I17403">
        <f>IF(DATOS!$I17403="","",IFERROR(VLOOKUP(DATOS!$I17403,CONFIG_ASIGNATURAS!$B$2:$J$91,9,FALSE()),""))</f>
      </c>
    </row>
    <row r="17404">
      <c r="F17404">
        <f>IF(DATOS!$A17404="","",DATOS!$A17404&amp;"|"&amp;DATOS!$D17404&amp;"|"&amp;DATOS!$E17404&amp;"|"&amp;DATOS!$I17404)</f>
      </c>
      <c r="G17404">
        <f>IF(DATOS!$A17404="",0,IF(CONFIG_METADATA!$B$4&lt;&gt;"OR+EX",--(DATOS!$G17404=CONFIG_METADATA!$B$4),IF(DATOS!$G17404="EX",1,IF(DATOS!$G17404="OR",--(COUNTIFS(nNIA,DATOS!$A17404,nCURSO,DATOS!$D17404,nESPEC,DATOS!$E17404,nASIG,DATOS!$I17404,nEVAL,"EX")=0),0))))</f>
      </c>
      <c r="H17404">
        <f>IF(DATOS!$G17404&lt;&gt;"EX",0,--(COUNTIFS(nNIA,DATOS!$A17404,nCURSO,DATOS!$D17404,nESPEC,DATOS!$E17404,nASIG,DATOS!$I17404,nEVAL,"OR")=0))</f>
      </c>
      <c r="I17404">
        <f>IF(DATOS!$I17404="","",IFERROR(VLOOKUP(DATOS!$I17404,CONFIG_ASIGNATURAS!$B$2:$J$91,9,FALSE()),""))</f>
      </c>
    </row>
    <row r="17405">
      <c r="F17405">
        <f>IF(DATOS!$A17405="","",DATOS!$A17405&amp;"|"&amp;DATOS!$D17405&amp;"|"&amp;DATOS!$E17405&amp;"|"&amp;DATOS!$I17405)</f>
      </c>
      <c r="G17405">
        <f>IF(DATOS!$A17405="",0,IF(CONFIG_METADATA!$B$4&lt;&gt;"OR+EX",--(DATOS!$G17405=CONFIG_METADATA!$B$4),IF(DATOS!$G17405="EX",1,IF(DATOS!$G17405="OR",--(COUNTIFS(nNIA,DATOS!$A17405,nCURSO,DATOS!$D17405,nESPEC,DATOS!$E17405,nASIG,DATOS!$I17405,nEVAL,"EX")=0),0))))</f>
      </c>
      <c r="H17405">
        <f>IF(DATOS!$G17405&lt;&gt;"EX",0,--(COUNTIFS(nNIA,DATOS!$A17405,nCURSO,DATOS!$D17405,nESPEC,DATOS!$E17405,nASIG,DATOS!$I17405,nEVAL,"OR")=0))</f>
      </c>
      <c r="I17405">
        <f>IF(DATOS!$I17405="","",IFERROR(VLOOKUP(DATOS!$I17405,CONFIG_ASIGNATURAS!$B$2:$J$91,9,FALSE()),""))</f>
      </c>
    </row>
    <row r="17406">
      <c r="F17406">
        <f>IF(DATOS!$A17406="","",DATOS!$A17406&amp;"|"&amp;DATOS!$D17406&amp;"|"&amp;DATOS!$E17406&amp;"|"&amp;DATOS!$I17406)</f>
      </c>
      <c r="G17406">
        <f>IF(DATOS!$A17406="",0,IF(CONFIG_METADATA!$B$4&lt;&gt;"OR+EX",--(DATOS!$G17406=CONFIG_METADATA!$B$4),IF(DATOS!$G17406="EX",1,IF(DATOS!$G17406="OR",--(COUNTIFS(nNIA,DATOS!$A17406,nCURSO,DATOS!$D17406,nESPEC,DATOS!$E17406,nASIG,DATOS!$I17406,nEVAL,"EX")=0),0))))</f>
      </c>
      <c r="H17406">
        <f>IF(DATOS!$G17406&lt;&gt;"EX",0,--(COUNTIFS(nNIA,DATOS!$A17406,nCURSO,DATOS!$D17406,nESPEC,DATOS!$E17406,nASIG,DATOS!$I17406,nEVAL,"OR")=0))</f>
      </c>
      <c r="I17406">
        <f>IF(DATOS!$I17406="","",IFERROR(VLOOKUP(DATOS!$I17406,CONFIG_ASIGNATURAS!$B$2:$J$91,9,FALSE()),""))</f>
      </c>
    </row>
    <row r="17407">
      <c r="F17407">
        <f>IF(DATOS!$A17407="","",DATOS!$A17407&amp;"|"&amp;DATOS!$D17407&amp;"|"&amp;DATOS!$E17407&amp;"|"&amp;DATOS!$I17407)</f>
      </c>
      <c r="G17407">
        <f>IF(DATOS!$A17407="",0,IF(CONFIG_METADATA!$B$4&lt;&gt;"OR+EX",--(DATOS!$G17407=CONFIG_METADATA!$B$4),IF(DATOS!$G17407="EX",1,IF(DATOS!$G17407="OR",--(COUNTIFS(nNIA,DATOS!$A17407,nCURSO,DATOS!$D17407,nESPEC,DATOS!$E17407,nASIG,DATOS!$I17407,nEVAL,"EX")=0),0))))</f>
      </c>
      <c r="H17407">
        <f>IF(DATOS!$G17407&lt;&gt;"EX",0,--(COUNTIFS(nNIA,DATOS!$A17407,nCURSO,DATOS!$D17407,nESPEC,DATOS!$E17407,nASIG,DATOS!$I17407,nEVAL,"OR")=0))</f>
      </c>
      <c r="I17407">
        <f>IF(DATOS!$I17407="","",IFERROR(VLOOKUP(DATOS!$I17407,CONFIG_ASIGNATURAS!$B$2:$J$91,9,FALSE()),""))</f>
      </c>
    </row>
    <row r="17408">
      <c r="F17408">
        <f>IF(DATOS!$A17408="","",DATOS!$A17408&amp;"|"&amp;DATOS!$D17408&amp;"|"&amp;DATOS!$E17408&amp;"|"&amp;DATOS!$I17408)</f>
      </c>
      <c r="G17408">
        <f>IF(DATOS!$A17408="",0,IF(CONFIG_METADATA!$B$4&lt;&gt;"OR+EX",--(DATOS!$G17408=CONFIG_METADATA!$B$4),IF(DATOS!$G17408="EX",1,IF(DATOS!$G17408="OR",--(COUNTIFS(nNIA,DATOS!$A17408,nCURSO,DATOS!$D17408,nESPEC,DATOS!$E17408,nASIG,DATOS!$I17408,nEVAL,"EX")=0),0))))</f>
      </c>
      <c r="H17408">
        <f>IF(DATOS!$G17408&lt;&gt;"EX",0,--(COUNTIFS(nNIA,DATOS!$A17408,nCURSO,DATOS!$D17408,nESPEC,DATOS!$E17408,nASIG,DATOS!$I17408,nEVAL,"OR")=0))</f>
      </c>
      <c r="I17408">
        <f>IF(DATOS!$I17408="","",IFERROR(VLOOKUP(DATOS!$I17408,CONFIG_ASIGNATURAS!$B$2:$J$91,9,FALSE()),""))</f>
      </c>
    </row>
    <row r="17409">
      <c r="F17409">
        <f>IF(DATOS!$A17409="","",DATOS!$A17409&amp;"|"&amp;DATOS!$D17409&amp;"|"&amp;DATOS!$E17409&amp;"|"&amp;DATOS!$I17409)</f>
      </c>
      <c r="G17409">
        <f>IF(DATOS!$A17409="",0,IF(CONFIG_METADATA!$B$4&lt;&gt;"OR+EX",--(DATOS!$G17409=CONFIG_METADATA!$B$4),IF(DATOS!$G17409="EX",1,IF(DATOS!$G17409="OR",--(COUNTIFS(nNIA,DATOS!$A17409,nCURSO,DATOS!$D17409,nESPEC,DATOS!$E17409,nASIG,DATOS!$I17409,nEVAL,"EX")=0),0))))</f>
      </c>
      <c r="H17409">
        <f>IF(DATOS!$G17409&lt;&gt;"EX",0,--(COUNTIFS(nNIA,DATOS!$A17409,nCURSO,DATOS!$D17409,nESPEC,DATOS!$E17409,nASIG,DATOS!$I17409,nEVAL,"OR")=0))</f>
      </c>
      <c r="I17409">
        <f>IF(DATOS!$I17409="","",IFERROR(VLOOKUP(DATOS!$I17409,CONFIG_ASIGNATURAS!$B$2:$J$91,9,FALSE()),""))</f>
      </c>
    </row>
    <row r="17410">
      <c r="F17410">
        <f>IF(DATOS!$A17410="","",DATOS!$A17410&amp;"|"&amp;DATOS!$D17410&amp;"|"&amp;DATOS!$E17410&amp;"|"&amp;DATOS!$I17410)</f>
      </c>
      <c r="G17410">
        <f>IF(DATOS!$A17410="",0,IF(CONFIG_METADATA!$B$4&lt;&gt;"OR+EX",--(DATOS!$G17410=CONFIG_METADATA!$B$4),IF(DATOS!$G17410="EX",1,IF(DATOS!$G17410="OR",--(COUNTIFS(nNIA,DATOS!$A17410,nCURSO,DATOS!$D17410,nESPEC,DATOS!$E17410,nASIG,DATOS!$I17410,nEVAL,"EX")=0),0))))</f>
      </c>
      <c r="H17410">
        <f>IF(DATOS!$G17410&lt;&gt;"EX",0,--(COUNTIFS(nNIA,DATOS!$A17410,nCURSO,DATOS!$D17410,nESPEC,DATOS!$E17410,nASIG,DATOS!$I17410,nEVAL,"OR")=0))</f>
      </c>
      <c r="I17410">
        <f>IF(DATOS!$I17410="","",IFERROR(VLOOKUP(DATOS!$I17410,CONFIG_ASIGNATURAS!$B$2:$J$91,9,FALSE()),""))</f>
      </c>
    </row>
    <row r="17411">
      <c r="F17411">
        <f>IF(DATOS!$A17411="","",DATOS!$A17411&amp;"|"&amp;DATOS!$D17411&amp;"|"&amp;DATOS!$E17411&amp;"|"&amp;DATOS!$I17411)</f>
      </c>
      <c r="G17411">
        <f>IF(DATOS!$A17411="",0,IF(CONFIG_METADATA!$B$4&lt;&gt;"OR+EX",--(DATOS!$G17411=CONFIG_METADATA!$B$4),IF(DATOS!$G17411="EX",1,IF(DATOS!$G17411="OR",--(COUNTIFS(nNIA,DATOS!$A17411,nCURSO,DATOS!$D17411,nESPEC,DATOS!$E17411,nASIG,DATOS!$I17411,nEVAL,"EX")=0),0))))</f>
      </c>
      <c r="H17411">
        <f>IF(DATOS!$G17411&lt;&gt;"EX",0,--(COUNTIFS(nNIA,DATOS!$A17411,nCURSO,DATOS!$D17411,nESPEC,DATOS!$E17411,nASIG,DATOS!$I17411,nEVAL,"OR")=0))</f>
      </c>
      <c r="I17411">
        <f>IF(DATOS!$I17411="","",IFERROR(VLOOKUP(DATOS!$I17411,CONFIG_ASIGNATURAS!$B$2:$J$91,9,FALSE()),""))</f>
      </c>
    </row>
    <row r="17412">
      <c r="F17412">
        <f>IF(DATOS!$A17412="","",DATOS!$A17412&amp;"|"&amp;DATOS!$D17412&amp;"|"&amp;DATOS!$E17412&amp;"|"&amp;DATOS!$I17412)</f>
      </c>
      <c r="G17412">
        <f>IF(DATOS!$A17412="",0,IF(CONFIG_METADATA!$B$4&lt;&gt;"OR+EX",--(DATOS!$G17412=CONFIG_METADATA!$B$4),IF(DATOS!$G17412="EX",1,IF(DATOS!$G17412="OR",--(COUNTIFS(nNIA,DATOS!$A17412,nCURSO,DATOS!$D17412,nESPEC,DATOS!$E17412,nASIG,DATOS!$I17412,nEVAL,"EX")=0),0))))</f>
      </c>
      <c r="H17412">
        <f>IF(DATOS!$G17412&lt;&gt;"EX",0,--(COUNTIFS(nNIA,DATOS!$A17412,nCURSO,DATOS!$D17412,nESPEC,DATOS!$E17412,nASIG,DATOS!$I17412,nEVAL,"OR")=0))</f>
      </c>
      <c r="I17412">
        <f>IF(DATOS!$I17412="","",IFERROR(VLOOKUP(DATOS!$I17412,CONFIG_ASIGNATURAS!$B$2:$J$91,9,FALSE()),""))</f>
      </c>
    </row>
    <row r="17413">
      <c r="F17413">
        <f>IF(DATOS!$A17413="","",DATOS!$A17413&amp;"|"&amp;DATOS!$D17413&amp;"|"&amp;DATOS!$E17413&amp;"|"&amp;DATOS!$I17413)</f>
      </c>
      <c r="G17413">
        <f>IF(DATOS!$A17413="",0,IF(CONFIG_METADATA!$B$4&lt;&gt;"OR+EX",--(DATOS!$G17413=CONFIG_METADATA!$B$4),IF(DATOS!$G17413="EX",1,IF(DATOS!$G17413="OR",--(COUNTIFS(nNIA,DATOS!$A17413,nCURSO,DATOS!$D17413,nESPEC,DATOS!$E17413,nASIG,DATOS!$I17413,nEVAL,"EX")=0),0))))</f>
      </c>
      <c r="H17413">
        <f>IF(DATOS!$G17413&lt;&gt;"EX",0,--(COUNTIFS(nNIA,DATOS!$A17413,nCURSO,DATOS!$D17413,nESPEC,DATOS!$E17413,nASIG,DATOS!$I17413,nEVAL,"OR")=0))</f>
      </c>
      <c r="I17413">
        <f>IF(DATOS!$I17413="","",IFERROR(VLOOKUP(DATOS!$I17413,CONFIG_ASIGNATURAS!$B$2:$J$91,9,FALSE()),""))</f>
      </c>
    </row>
    <row r="17414">
      <c r="F17414">
        <f>IF(DATOS!$A17414="","",DATOS!$A17414&amp;"|"&amp;DATOS!$D17414&amp;"|"&amp;DATOS!$E17414&amp;"|"&amp;DATOS!$I17414)</f>
      </c>
      <c r="G17414">
        <f>IF(DATOS!$A17414="",0,IF(CONFIG_METADATA!$B$4&lt;&gt;"OR+EX",--(DATOS!$G17414=CONFIG_METADATA!$B$4),IF(DATOS!$G17414="EX",1,IF(DATOS!$G17414="OR",--(COUNTIFS(nNIA,DATOS!$A17414,nCURSO,DATOS!$D17414,nESPEC,DATOS!$E17414,nASIG,DATOS!$I17414,nEVAL,"EX")=0),0))))</f>
      </c>
      <c r="H17414">
        <f>IF(DATOS!$G17414&lt;&gt;"EX",0,--(COUNTIFS(nNIA,DATOS!$A17414,nCURSO,DATOS!$D17414,nESPEC,DATOS!$E17414,nASIG,DATOS!$I17414,nEVAL,"OR")=0))</f>
      </c>
      <c r="I17414">
        <f>IF(DATOS!$I17414="","",IFERROR(VLOOKUP(DATOS!$I17414,CONFIG_ASIGNATURAS!$B$2:$J$91,9,FALSE()),""))</f>
      </c>
    </row>
    <row r="17415">
      <c r="F17415">
        <f>IF(DATOS!$A17415="","",DATOS!$A17415&amp;"|"&amp;DATOS!$D17415&amp;"|"&amp;DATOS!$E17415&amp;"|"&amp;DATOS!$I17415)</f>
      </c>
      <c r="G17415">
        <f>IF(DATOS!$A17415="",0,IF(CONFIG_METADATA!$B$4&lt;&gt;"OR+EX",--(DATOS!$G17415=CONFIG_METADATA!$B$4),IF(DATOS!$G17415="EX",1,IF(DATOS!$G17415="OR",--(COUNTIFS(nNIA,DATOS!$A17415,nCURSO,DATOS!$D17415,nESPEC,DATOS!$E17415,nASIG,DATOS!$I17415,nEVAL,"EX")=0),0))))</f>
      </c>
      <c r="H17415">
        <f>IF(DATOS!$G17415&lt;&gt;"EX",0,--(COUNTIFS(nNIA,DATOS!$A17415,nCURSO,DATOS!$D17415,nESPEC,DATOS!$E17415,nASIG,DATOS!$I17415,nEVAL,"OR")=0))</f>
      </c>
      <c r="I17415">
        <f>IF(DATOS!$I17415="","",IFERROR(VLOOKUP(DATOS!$I17415,CONFIG_ASIGNATURAS!$B$2:$J$91,9,FALSE()),""))</f>
      </c>
    </row>
    <row r="17416">
      <c r="F17416">
        <f>IF(DATOS!$A17416="","",DATOS!$A17416&amp;"|"&amp;DATOS!$D17416&amp;"|"&amp;DATOS!$E17416&amp;"|"&amp;DATOS!$I17416)</f>
      </c>
      <c r="G17416">
        <f>IF(DATOS!$A17416="",0,IF(CONFIG_METADATA!$B$4&lt;&gt;"OR+EX",--(DATOS!$G17416=CONFIG_METADATA!$B$4),IF(DATOS!$G17416="EX",1,IF(DATOS!$G17416="OR",--(COUNTIFS(nNIA,DATOS!$A17416,nCURSO,DATOS!$D17416,nESPEC,DATOS!$E17416,nASIG,DATOS!$I17416,nEVAL,"EX")=0),0))))</f>
      </c>
      <c r="H17416">
        <f>IF(DATOS!$G17416&lt;&gt;"EX",0,--(COUNTIFS(nNIA,DATOS!$A17416,nCURSO,DATOS!$D17416,nESPEC,DATOS!$E17416,nASIG,DATOS!$I17416,nEVAL,"OR")=0))</f>
      </c>
      <c r="I17416">
        <f>IF(DATOS!$I17416="","",IFERROR(VLOOKUP(DATOS!$I17416,CONFIG_ASIGNATURAS!$B$2:$J$91,9,FALSE()),""))</f>
      </c>
    </row>
    <row r="17417">
      <c r="F17417">
        <f>IF(DATOS!$A17417="","",DATOS!$A17417&amp;"|"&amp;DATOS!$D17417&amp;"|"&amp;DATOS!$E17417&amp;"|"&amp;DATOS!$I17417)</f>
      </c>
      <c r="G17417">
        <f>IF(DATOS!$A17417="",0,IF(CONFIG_METADATA!$B$4&lt;&gt;"OR+EX",--(DATOS!$G17417=CONFIG_METADATA!$B$4),IF(DATOS!$G17417="EX",1,IF(DATOS!$G17417="OR",--(COUNTIFS(nNIA,DATOS!$A17417,nCURSO,DATOS!$D17417,nESPEC,DATOS!$E17417,nASIG,DATOS!$I17417,nEVAL,"EX")=0),0))))</f>
      </c>
      <c r="H17417">
        <f>IF(DATOS!$G17417&lt;&gt;"EX",0,--(COUNTIFS(nNIA,DATOS!$A17417,nCURSO,DATOS!$D17417,nESPEC,DATOS!$E17417,nASIG,DATOS!$I17417,nEVAL,"OR")=0))</f>
      </c>
      <c r="I17417">
        <f>IF(DATOS!$I17417="","",IFERROR(VLOOKUP(DATOS!$I17417,CONFIG_ASIGNATURAS!$B$2:$J$91,9,FALSE()),""))</f>
      </c>
    </row>
    <row r="17418">
      <c r="F17418">
        <f>IF(DATOS!$A17418="","",DATOS!$A17418&amp;"|"&amp;DATOS!$D17418&amp;"|"&amp;DATOS!$E17418&amp;"|"&amp;DATOS!$I17418)</f>
      </c>
      <c r="G17418">
        <f>IF(DATOS!$A17418="",0,IF(CONFIG_METADATA!$B$4&lt;&gt;"OR+EX",--(DATOS!$G17418=CONFIG_METADATA!$B$4),IF(DATOS!$G17418="EX",1,IF(DATOS!$G17418="OR",--(COUNTIFS(nNIA,DATOS!$A17418,nCURSO,DATOS!$D17418,nESPEC,DATOS!$E17418,nASIG,DATOS!$I17418,nEVAL,"EX")=0),0))))</f>
      </c>
      <c r="H17418">
        <f>IF(DATOS!$G17418&lt;&gt;"EX",0,--(COUNTIFS(nNIA,DATOS!$A17418,nCURSO,DATOS!$D17418,nESPEC,DATOS!$E17418,nASIG,DATOS!$I17418,nEVAL,"OR")=0))</f>
      </c>
      <c r="I17418">
        <f>IF(DATOS!$I17418="","",IFERROR(VLOOKUP(DATOS!$I17418,CONFIG_ASIGNATURAS!$B$2:$J$91,9,FALSE()),""))</f>
      </c>
    </row>
    <row r="17419">
      <c r="F17419">
        <f>IF(DATOS!$A17419="","",DATOS!$A17419&amp;"|"&amp;DATOS!$D17419&amp;"|"&amp;DATOS!$E17419&amp;"|"&amp;DATOS!$I17419)</f>
      </c>
      <c r="G17419">
        <f>IF(DATOS!$A17419="",0,IF(CONFIG_METADATA!$B$4&lt;&gt;"OR+EX",--(DATOS!$G17419=CONFIG_METADATA!$B$4),IF(DATOS!$G17419="EX",1,IF(DATOS!$G17419="OR",--(COUNTIFS(nNIA,DATOS!$A17419,nCURSO,DATOS!$D17419,nESPEC,DATOS!$E17419,nASIG,DATOS!$I17419,nEVAL,"EX")=0),0))))</f>
      </c>
      <c r="H17419">
        <f>IF(DATOS!$G17419&lt;&gt;"EX",0,--(COUNTIFS(nNIA,DATOS!$A17419,nCURSO,DATOS!$D17419,nESPEC,DATOS!$E17419,nASIG,DATOS!$I17419,nEVAL,"OR")=0))</f>
      </c>
      <c r="I17419">
        <f>IF(DATOS!$I17419="","",IFERROR(VLOOKUP(DATOS!$I17419,CONFIG_ASIGNATURAS!$B$2:$J$91,9,FALSE()),""))</f>
      </c>
    </row>
    <row r="17420">
      <c r="F17420">
        <f>IF(DATOS!$A17420="","",DATOS!$A17420&amp;"|"&amp;DATOS!$D17420&amp;"|"&amp;DATOS!$E17420&amp;"|"&amp;DATOS!$I17420)</f>
      </c>
      <c r="G17420">
        <f>IF(DATOS!$A17420="",0,IF(CONFIG_METADATA!$B$4&lt;&gt;"OR+EX",--(DATOS!$G17420=CONFIG_METADATA!$B$4),IF(DATOS!$G17420="EX",1,IF(DATOS!$G17420="OR",--(COUNTIFS(nNIA,DATOS!$A17420,nCURSO,DATOS!$D17420,nESPEC,DATOS!$E17420,nASIG,DATOS!$I17420,nEVAL,"EX")=0),0))))</f>
      </c>
      <c r="H17420">
        <f>IF(DATOS!$G17420&lt;&gt;"EX",0,--(COUNTIFS(nNIA,DATOS!$A17420,nCURSO,DATOS!$D17420,nESPEC,DATOS!$E17420,nASIG,DATOS!$I17420,nEVAL,"OR")=0))</f>
      </c>
      <c r="I17420">
        <f>IF(DATOS!$I17420="","",IFERROR(VLOOKUP(DATOS!$I17420,CONFIG_ASIGNATURAS!$B$2:$J$91,9,FALSE()),""))</f>
      </c>
    </row>
    <row r="17421">
      <c r="F17421">
        <f>IF(DATOS!$A17421="","",DATOS!$A17421&amp;"|"&amp;DATOS!$D17421&amp;"|"&amp;DATOS!$E17421&amp;"|"&amp;DATOS!$I17421)</f>
      </c>
      <c r="G17421">
        <f>IF(DATOS!$A17421="",0,IF(CONFIG_METADATA!$B$4&lt;&gt;"OR+EX",--(DATOS!$G17421=CONFIG_METADATA!$B$4),IF(DATOS!$G17421="EX",1,IF(DATOS!$G17421="OR",--(COUNTIFS(nNIA,DATOS!$A17421,nCURSO,DATOS!$D17421,nESPEC,DATOS!$E17421,nASIG,DATOS!$I17421,nEVAL,"EX")=0),0))))</f>
      </c>
      <c r="H17421">
        <f>IF(DATOS!$G17421&lt;&gt;"EX",0,--(COUNTIFS(nNIA,DATOS!$A17421,nCURSO,DATOS!$D17421,nESPEC,DATOS!$E17421,nASIG,DATOS!$I17421,nEVAL,"OR")=0))</f>
      </c>
      <c r="I17421">
        <f>IF(DATOS!$I17421="","",IFERROR(VLOOKUP(DATOS!$I17421,CONFIG_ASIGNATURAS!$B$2:$J$91,9,FALSE()),""))</f>
      </c>
    </row>
    <row r="17422">
      <c r="F17422">
        <f>IF(DATOS!$A17422="","",DATOS!$A17422&amp;"|"&amp;DATOS!$D17422&amp;"|"&amp;DATOS!$E17422&amp;"|"&amp;DATOS!$I17422)</f>
      </c>
      <c r="G17422">
        <f>IF(DATOS!$A17422="",0,IF(CONFIG_METADATA!$B$4&lt;&gt;"OR+EX",--(DATOS!$G17422=CONFIG_METADATA!$B$4),IF(DATOS!$G17422="EX",1,IF(DATOS!$G17422="OR",--(COUNTIFS(nNIA,DATOS!$A17422,nCURSO,DATOS!$D17422,nESPEC,DATOS!$E17422,nASIG,DATOS!$I17422,nEVAL,"EX")=0),0))))</f>
      </c>
      <c r="H17422">
        <f>IF(DATOS!$G17422&lt;&gt;"EX",0,--(COUNTIFS(nNIA,DATOS!$A17422,nCURSO,DATOS!$D17422,nESPEC,DATOS!$E17422,nASIG,DATOS!$I17422,nEVAL,"OR")=0))</f>
      </c>
      <c r="I17422">
        <f>IF(DATOS!$I17422="","",IFERROR(VLOOKUP(DATOS!$I17422,CONFIG_ASIGNATURAS!$B$2:$J$91,9,FALSE()),""))</f>
      </c>
    </row>
    <row r="17423">
      <c r="F17423">
        <f>IF(DATOS!$A17423="","",DATOS!$A17423&amp;"|"&amp;DATOS!$D17423&amp;"|"&amp;DATOS!$E17423&amp;"|"&amp;DATOS!$I17423)</f>
      </c>
      <c r="G17423">
        <f>IF(DATOS!$A17423="",0,IF(CONFIG_METADATA!$B$4&lt;&gt;"OR+EX",--(DATOS!$G17423=CONFIG_METADATA!$B$4),IF(DATOS!$G17423="EX",1,IF(DATOS!$G17423="OR",--(COUNTIFS(nNIA,DATOS!$A17423,nCURSO,DATOS!$D17423,nESPEC,DATOS!$E17423,nASIG,DATOS!$I17423,nEVAL,"EX")=0),0))))</f>
      </c>
      <c r="H17423">
        <f>IF(DATOS!$G17423&lt;&gt;"EX",0,--(COUNTIFS(nNIA,DATOS!$A17423,nCURSO,DATOS!$D17423,nESPEC,DATOS!$E17423,nASIG,DATOS!$I17423,nEVAL,"OR")=0))</f>
      </c>
      <c r="I17423">
        <f>IF(DATOS!$I17423="","",IFERROR(VLOOKUP(DATOS!$I17423,CONFIG_ASIGNATURAS!$B$2:$J$91,9,FALSE()),""))</f>
      </c>
    </row>
    <row r="17424">
      <c r="F17424">
        <f>IF(DATOS!$A17424="","",DATOS!$A17424&amp;"|"&amp;DATOS!$D17424&amp;"|"&amp;DATOS!$E17424&amp;"|"&amp;DATOS!$I17424)</f>
      </c>
      <c r="G17424">
        <f>IF(DATOS!$A17424="",0,IF(CONFIG_METADATA!$B$4&lt;&gt;"OR+EX",--(DATOS!$G17424=CONFIG_METADATA!$B$4),IF(DATOS!$G17424="EX",1,IF(DATOS!$G17424="OR",--(COUNTIFS(nNIA,DATOS!$A17424,nCURSO,DATOS!$D17424,nESPEC,DATOS!$E17424,nASIG,DATOS!$I17424,nEVAL,"EX")=0),0))))</f>
      </c>
      <c r="H17424">
        <f>IF(DATOS!$G17424&lt;&gt;"EX",0,--(COUNTIFS(nNIA,DATOS!$A17424,nCURSO,DATOS!$D17424,nESPEC,DATOS!$E17424,nASIG,DATOS!$I17424,nEVAL,"OR")=0))</f>
      </c>
      <c r="I17424">
        <f>IF(DATOS!$I17424="","",IFERROR(VLOOKUP(DATOS!$I17424,CONFIG_ASIGNATURAS!$B$2:$J$91,9,FALSE()),""))</f>
      </c>
    </row>
    <row r="17425">
      <c r="F17425">
        <f>IF(DATOS!$A17425="","",DATOS!$A17425&amp;"|"&amp;DATOS!$D17425&amp;"|"&amp;DATOS!$E17425&amp;"|"&amp;DATOS!$I17425)</f>
      </c>
      <c r="G17425">
        <f>IF(DATOS!$A17425="",0,IF(CONFIG_METADATA!$B$4&lt;&gt;"OR+EX",--(DATOS!$G17425=CONFIG_METADATA!$B$4),IF(DATOS!$G17425="EX",1,IF(DATOS!$G17425="OR",--(COUNTIFS(nNIA,DATOS!$A17425,nCURSO,DATOS!$D17425,nESPEC,DATOS!$E17425,nASIG,DATOS!$I17425,nEVAL,"EX")=0),0))))</f>
      </c>
      <c r="H17425">
        <f>IF(DATOS!$G17425&lt;&gt;"EX",0,--(COUNTIFS(nNIA,DATOS!$A17425,nCURSO,DATOS!$D17425,nESPEC,DATOS!$E17425,nASIG,DATOS!$I17425,nEVAL,"OR")=0))</f>
      </c>
      <c r="I17425">
        <f>IF(DATOS!$I17425="","",IFERROR(VLOOKUP(DATOS!$I17425,CONFIG_ASIGNATURAS!$B$2:$J$91,9,FALSE()),""))</f>
      </c>
    </row>
    <row r="17426">
      <c r="F17426">
        <f>IF(DATOS!$A17426="","",DATOS!$A17426&amp;"|"&amp;DATOS!$D17426&amp;"|"&amp;DATOS!$E17426&amp;"|"&amp;DATOS!$I17426)</f>
      </c>
      <c r="G17426">
        <f>IF(DATOS!$A17426="",0,IF(CONFIG_METADATA!$B$4&lt;&gt;"OR+EX",--(DATOS!$G17426=CONFIG_METADATA!$B$4),IF(DATOS!$G17426="EX",1,IF(DATOS!$G17426="OR",--(COUNTIFS(nNIA,DATOS!$A17426,nCURSO,DATOS!$D17426,nESPEC,DATOS!$E17426,nASIG,DATOS!$I17426,nEVAL,"EX")=0),0))))</f>
      </c>
      <c r="H17426">
        <f>IF(DATOS!$G17426&lt;&gt;"EX",0,--(COUNTIFS(nNIA,DATOS!$A17426,nCURSO,DATOS!$D17426,nESPEC,DATOS!$E17426,nASIG,DATOS!$I17426,nEVAL,"OR")=0))</f>
      </c>
      <c r="I17426">
        <f>IF(DATOS!$I17426="","",IFERROR(VLOOKUP(DATOS!$I17426,CONFIG_ASIGNATURAS!$B$2:$J$91,9,FALSE()),""))</f>
      </c>
    </row>
    <row r="17427">
      <c r="F17427">
        <f>IF(DATOS!$A17427="","",DATOS!$A17427&amp;"|"&amp;DATOS!$D17427&amp;"|"&amp;DATOS!$E17427&amp;"|"&amp;DATOS!$I17427)</f>
      </c>
      <c r="G17427">
        <f>IF(DATOS!$A17427="",0,IF(CONFIG_METADATA!$B$4&lt;&gt;"OR+EX",--(DATOS!$G17427=CONFIG_METADATA!$B$4),IF(DATOS!$G17427="EX",1,IF(DATOS!$G17427="OR",--(COUNTIFS(nNIA,DATOS!$A17427,nCURSO,DATOS!$D17427,nESPEC,DATOS!$E17427,nASIG,DATOS!$I17427,nEVAL,"EX")=0),0))))</f>
      </c>
      <c r="H17427">
        <f>IF(DATOS!$G17427&lt;&gt;"EX",0,--(COUNTIFS(nNIA,DATOS!$A17427,nCURSO,DATOS!$D17427,nESPEC,DATOS!$E17427,nASIG,DATOS!$I17427,nEVAL,"OR")=0))</f>
      </c>
      <c r="I17427">
        <f>IF(DATOS!$I17427="","",IFERROR(VLOOKUP(DATOS!$I17427,CONFIG_ASIGNATURAS!$B$2:$J$91,9,FALSE()),""))</f>
      </c>
    </row>
    <row r="17428">
      <c r="F17428">
        <f>IF(DATOS!$A17428="","",DATOS!$A17428&amp;"|"&amp;DATOS!$D17428&amp;"|"&amp;DATOS!$E17428&amp;"|"&amp;DATOS!$I17428)</f>
      </c>
      <c r="G17428">
        <f>IF(DATOS!$A17428="",0,IF(CONFIG_METADATA!$B$4&lt;&gt;"OR+EX",--(DATOS!$G17428=CONFIG_METADATA!$B$4),IF(DATOS!$G17428="EX",1,IF(DATOS!$G17428="OR",--(COUNTIFS(nNIA,DATOS!$A17428,nCURSO,DATOS!$D17428,nESPEC,DATOS!$E17428,nASIG,DATOS!$I17428,nEVAL,"EX")=0),0))))</f>
      </c>
      <c r="H17428">
        <f>IF(DATOS!$G17428&lt;&gt;"EX",0,--(COUNTIFS(nNIA,DATOS!$A17428,nCURSO,DATOS!$D17428,nESPEC,DATOS!$E17428,nASIG,DATOS!$I17428,nEVAL,"OR")=0))</f>
      </c>
      <c r="I17428">
        <f>IF(DATOS!$I17428="","",IFERROR(VLOOKUP(DATOS!$I17428,CONFIG_ASIGNATURAS!$B$2:$J$91,9,FALSE()),""))</f>
      </c>
    </row>
    <row r="17429">
      <c r="F17429">
        <f>IF(DATOS!$A17429="","",DATOS!$A17429&amp;"|"&amp;DATOS!$D17429&amp;"|"&amp;DATOS!$E17429&amp;"|"&amp;DATOS!$I17429)</f>
      </c>
      <c r="G17429">
        <f>IF(DATOS!$A17429="",0,IF(CONFIG_METADATA!$B$4&lt;&gt;"OR+EX",--(DATOS!$G17429=CONFIG_METADATA!$B$4),IF(DATOS!$G17429="EX",1,IF(DATOS!$G17429="OR",--(COUNTIFS(nNIA,DATOS!$A17429,nCURSO,DATOS!$D17429,nESPEC,DATOS!$E17429,nASIG,DATOS!$I17429,nEVAL,"EX")=0),0))))</f>
      </c>
      <c r="H17429">
        <f>IF(DATOS!$G17429&lt;&gt;"EX",0,--(COUNTIFS(nNIA,DATOS!$A17429,nCURSO,DATOS!$D17429,nESPEC,DATOS!$E17429,nASIG,DATOS!$I17429,nEVAL,"OR")=0))</f>
      </c>
      <c r="I17429">
        <f>IF(DATOS!$I17429="","",IFERROR(VLOOKUP(DATOS!$I17429,CONFIG_ASIGNATURAS!$B$2:$J$91,9,FALSE()),""))</f>
      </c>
    </row>
    <row r="17430">
      <c r="F17430">
        <f>IF(DATOS!$A17430="","",DATOS!$A17430&amp;"|"&amp;DATOS!$D17430&amp;"|"&amp;DATOS!$E17430&amp;"|"&amp;DATOS!$I17430)</f>
      </c>
      <c r="G17430">
        <f>IF(DATOS!$A17430="",0,IF(CONFIG_METADATA!$B$4&lt;&gt;"OR+EX",--(DATOS!$G17430=CONFIG_METADATA!$B$4),IF(DATOS!$G17430="EX",1,IF(DATOS!$G17430="OR",--(COUNTIFS(nNIA,DATOS!$A17430,nCURSO,DATOS!$D17430,nESPEC,DATOS!$E17430,nASIG,DATOS!$I17430,nEVAL,"EX")=0),0))))</f>
      </c>
      <c r="H17430">
        <f>IF(DATOS!$G17430&lt;&gt;"EX",0,--(COUNTIFS(nNIA,DATOS!$A17430,nCURSO,DATOS!$D17430,nESPEC,DATOS!$E17430,nASIG,DATOS!$I17430,nEVAL,"OR")=0))</f>
      </c>
      <c r="I17430">
        <f>IF(DATOS!$I17430="","",IFERROR(VLOOKUP(DATOS!$I17430,CONFIG_ASIGNATURAS!$B$2:$J$91,9,FALSE()),""))</f>
      </c>
    </row>
    <row r="17431">
      <c r="F17431">
        <f>IF(DATOS!$A17431="","",DATOS!$A17431&amp;"|"&amp;DATOS!$D17431&amp;"|"&amp;DATOS!$E17431&amp;"|"&amp;DATOS!$I17431)</f>
      </c>
      <c r="G17431">
        <f>IF(DATOS!$A17431="",0,IF(CONFIG_METADATA!$B$4&lt;&gt;"OR+EX",--(DATOS!$G17431=CONFIG_METADATA!$B$4),IF(DATOS!$G17431="EX",1,IF(DATOS!$G17431="OR",--(COUNTIFS(nNIA,DATOS!$A17431,nCURSO,DATOS!$D17431,nESPEC,DATOS!$E17431,nASIG,DATOS!$I17431,nEVAL,"EX")=0),0))))</f>
      </c>
      <c r="H17431">
        <f>IF(DATOS!$G17431&lt;&gt;"EX",0,--(COUNTIFS(nNIA,DATOS!$A17431,nCURSO,DATOS!$D17431,nESPEC,DATOS!$E17431,nASIG,DATOS!$I17431,nEVAL,"OR")=0))</f>
      </c>
      <c r="I17431">
        <f>IF(DATOS!$I17431="","",IFERROR(VLOOKUP(DATOS!$I17431,CONFIG_ASIGNATURAS!$B$2:$J$91,9,FALSE()),""))</f>
      </c>
    </row>
    <row r="17432">
      <c r="F17432">
        <f>IF(DATOS!$A17432="","",DATOS!$A17432&amp;"|"&amp;DATOS!$D17432&amp;"|"&amp;DATOS!$E17432&amp;"|"&amp;DATOS!$I17432)</f>
      </c>
      <c r="G17432">
        <f>IF(DATOS!$A17432="",0,IF(CONFIG_METADATA!$B$4&lt;&gt;"OR+EX",--(DATOS!$G17432=CONFIG_METADATA!$B$4),IF(DATOS!$G17432="EX",1,IF(DATOS!$G17432="OR",--(COUNTIFS(nNIA,DATOS!$A17432,nCURSO,DATOS!$D17432,nESPEC,DATOS!$E17432,nASIG,DATOS!$I17432,nEVAL,"EX")=0),0))))</f>
      </c>
      <c r="H17432">
        <f>IF(DATOS!$G17432&lt;&gt;"EX",0,--(COUNTIFS(nNIA,DATOS!$A17432,nCURSO,DATOS!$D17432,nESPEC,DATOS!$E17432,nASIG,DATOS!$I17432,nEVAL,"OR")=0))</f>
      </c>
      <c r="I17432">
        <f>IF(DATOS!$I17432="","",IFERROR(VLOOKUP(DATOS!$I17432,CONFIG_ASIGNATURAS!$B$2:$J$91,9,FALSE()),""))</f>
      </c>
    </row>
    <row r="17433">
      <c r="F17433">
        <f>IF(DATOS!$A17433="","",DATOS!$A17433&amp;"|"&amp;DATOS!$D17433&amp;"|"&amp;DATOS!$E17433&amp;"|"&amp;DATOS!$I17433)</f>
      </c>
      <c r="G17433">
        <f>IF(DATOS!$A17433="",0,IF(CONFIG_METADATA!$B$4&lt;&gt;"OR+EX",--(DATOS!$G17433=CONFIG_METADATA!$B$4),IF(DATOS!$G17433="EX",1,IF(DATOS!$G17433="OR",--(COUNTIFS(nNIA,DATOS!$A17433,nCURSO,DATOS!$D17433,nESPEC,DATOS!$E17433,nASIG,DATOS!$I17433,nEVAL,"EX")=0),0))))</f>
      </c>
      <c r="H17433">
        <f>IF(DATOS!$G17433&lt;&gt;"EX",0,--(COUNTIFS(nNIA,DATOS!$A17433,nCURSO,DATOS!$D17433,nESPEC,DATOS!$E17433,nASIG,DATOS!$I17433,nEVAL,"OR")=0))</f>
      </c>
      <c r="I17433">
        <f>IF(DATOS!$I17433="","",IFERROR(VLOOKUP(DATOS!$I17433,CONFIG_ASIGNATURAS!$B$2:$J$91,9,FALSE()),""))</f>
      </c>
    </row>
    <row r="17434">
      <c r="F17434">
        <f>IF(DATOS!$A17434="","",DATOS!$A17434&amp;"|"&amp;DATOS!$D17434&amp;"|"&amp;DATOS!$E17434&amp;"|"&amp;DATOS!$I17434)</f>
      </c>
      <c r="G17434">
        <f>IF(DATOS!$A17434="",0,IF(CONFIG_METADATA!$B$4&lt;&gt;"OR+EX",--(DATOS!$G17434=CONFIG_METADATA!$B$4),IF(DATOS!$G17434="EX",1,IF(DATOS!$G17434="OR",--(COUNTIFS(nNIA,DATOS!$A17434,nCURSO,DATOS!$D17434,nESPEC,DATOS!$E17434,nASIG,DATOS!$I17434,nEVAL,"EX")=0),0))))</f>
      </c>
      <c r="H17434">
        <f>IF(DATOS!$G17434&lt;&gt;"EX",0,--(COUNTIFS(nNIA,DATOS!$A17434,nCURSO,DATOS!$D17434,nESPEC,DATOS!$E17434,nASIG,DATOS!$I17434,nEVAL,"OR")=0))</f>
      </c>
      <c r="I17434">
        <f>IF(DATOS!$I17434="","",IFERROR(VLOOKUP(DATOS!$I17434,CONFIG_ASIGNATURAS!$B$2:$J$91,9,FALSE()),""))</f>
      </c>
    </row>
    <row r="17435">
      <c r="F17435">
        <f>IF(DATOS!$A17435="","",DATOS!$A17435&amp;"|"&amp;DATOS!$D17435&amp;"|"&amp;DATOS!$E17435&amp;"|"&amp;DATOS!$I17435)</f>
      </c>
      <c r="G17435">
        <f>IF(DATOS!$A17435="",0,IF(CONFIG_METADATA!$B$4&lt;&gt;"OR+EX",--(DATOS!$G17435=CONFIG_METADATA!$B$4),IF(DATOS!$G17435="EX",1,IF(DATOS!$G17435="OR",--(COUNTIFS(nNIA,DATOS!$A17435,nCURSO,DATOS!$D17435,nESPEC,DATOS!$E17435,nASIG,DATOS!$I17435,nEVAL,"EX")=0),0))))</f>
      </c>
      <c r="H17435">
        <f>IF(DATOS!$G17435&lt;&gt;"EX",0,--(COUNTIFS(nNIA,DATOS!$A17435,nCURSO,DATOS!$D17435,nESPEC,DATOS!$E17435,nASIG,DATOS!$I17435,nEVAL,"OR")=0))</f>
      </c>
      <c r="I17435">
        <f>IF(DATOS!$I17435="","",IFERROR(VLOOKUP(DATOS!$I17435,CONFIG_ASIGNATURAS!$B$2:$J$91,9,FALSE()),""))</f>
      </c>
    </row>
    <row r="17436">
      <c r="F17436">
        <f>IF(DATOS!$A17436="","",DATOS!$A17436&amp;"|"&amp;DATOS!$D17436&amp;"|"&amp;DATOS!$E17436&amp;"|"&amp;DATOS!$I17436)</f>
      </c>
      <c r="G17436">
        <f>IF(DATOS!$A17436="",0,IF(CONFIG_METADATA!$B$4&lt;&gt;"OR+EX",--(DATOS!$G17436=CONFIG_METADATA!$B$4),IF(DATOS!$G17436="EX",1,IF(DATOS!$G17436="OR",--(COUNTIFS(nNIA,DATOS!$A17436,nCURSO,DATOS!$D17436,nESPEC,DATOS!$E17436,nASIG,DATOS!$I17436,nEVAL,"EX")=0),0))))</f>
      </c>
      <c r="H17436">
        <f>IF(DATOS!$G17436&lt;&gt;"EX",0,--(COUNTIFS(nNIA,DATOS!$A17436,nCURSO,DATOS!$D17436,nESPEC,DATOS!$E17436,nASIG,DATOS!$I17436,nEVAL,"OR")=0))</f>
      </c>
      <c r="I17436">
        <f>IF(DATOS!$I17436="","",IFERROR(VLOOKUP(DATOS!$I17436,CONFIG_ASIGNATURAS!$B$2:$J$91,9,FALSE()),""))</f>
      </c>
    </row>
    <row r="17437">
      <c r="F17437">
        <f>IF(DATOS!$A17437="","",DATOS!$A17437&amp;"|"&amp;DATOS!$D17437&amp;"|"&amp;DATOS!$E17437&amp;"|"&amp;DATOS!$I17437)</f>
      </c>
      <c r="G17437">
        <f>IF(DATOS!$A17437="",0,IF(CONFIG_METADATA!$B$4&lt;&gt;"OR+EX",--(DATOS!$G17437=CONFIG_METADATA!$B$4),IF(DATOS!$G17437="EX",1,IF(DATOS!$G17437="OR",--(COUNTIFS(nNIA,DATOS!$A17437,nCURSO,DATOS!$D17437,nESPEC,DATOS!$E17437,nASIG,DATOS!$I17437,nEVAL,"EX")=0),0))))</f>
      </c>
      <c r="H17437">
        <f>IF(DATOS!$G17437&lt;&gt;"EX",0,--(COUNTIFS(nNIA,DATOS!$A17437,nCURSO,DATOS!$D17437,nESPEC,DATOS!$E17437,nASIG,DATOS!$I17437,nEVAL,"OR")=0))</f>
      </c>
      <c r="I17437">
        <f>IF(DATOS!$I17437="","",IFERROR(VLOOKUP(DATOS!$I17437,CONFIG_ASIGNATURAS!$B$2:$J$91,9,FALSE()),""))</f>
      </c>
    </row>
    <row r="17438">
      <c r="F17438">
        <f>IF(DATOS!$A17438="","",DATOS!$A17438&amp;"|"&amp;DATOS!$D17438&amp;"|"&amp;DATOS!$E17438&amp;"|"&amp;DATOS!$I17438)</f>
      </c>
      <c r="G17438">
        <f>IF(DATOS!$A17438="",0,IF(CONFIG_METADATA!$B$4&lt;&gt;"OR+EX",--(DATOS!$G17438=CONFIG_METADATA!$B$4),IF(DATOS!$G17438="EX",1,IF(DATOS!$G17438="OR",--(COUNTIFS(nNIA,DATOS!$A17438,nCURSO,DATOS!$D17438,nESPEC,DATOS!$E17438,nASIG,DATOS!$I17438,nEVAL,"EX")=0),0))))</f>
      </c>
      <c r="H17438">
        <f>IF(DATOS!$G17438&lt;&gt;"EX",0,--(COUNTIFS(nNIA,DATOS!$A17438,nCURSO,DATOS!$D17438,nESPEC,DATOS!$E17438,nASIG,DATOS!$I17438,nEVAL,"OR")=0))</f>
      </c>
      <c r="I17438">
        <f>IF(DATOS!$I17438="","",IFERROR(VLOOKUP(DATOS!$I17438,CONFIG_ASIGNATURAS!$B$2:$J$91,9,FALSE()),""))</f>
      </c>
    </row>
    <row r="17439">
      <c r="F17439">
        <f>IF(DATOS!$A17439="","",DATOS!$A17439&amp;"|"&amp;DATOS!$D17439&amp;"|"&amp;DATOS!$E17439&amp;"|"&amp;DATOS!$I17439)</f>
      </c>
      <c r="G17439">
        <f>IF(DATOS!$A17439="",0,IF(CONFIG_METADATA!$B$4&lt;&gt;"OR+EX",--(DATOS!$G17439=CONFIG_METADATA!$B$4),IF(DATOS!$G17439="EX",1,IF(DATOS!$G17439="OR",--(COUNTIFS(nNIA,DATOS!$A17439,nCURSO,DATOS!$D17439,nESPEC,DATOS!$E17439,nASIG,DATOS!$I17439,nEVAL,"EX")=0),0))))</f>
      </c>
      <c r="H17439">
        <f>IF(DATOS!$G17439&lt;&gt;"EX",0,--(COUNTIFS(nNIA,DATOS!$A17439,nCURSO,DATOS!$D17439,nESPEC,DATOS!$E17439,nASIG,DATOS!$I17439,nEVAL,"OR")=0))</f>
      </c>
      <c r="I17439">
        <f>IF(DATOS!$I17439="","",IFERROR(VLOOKUP(DATOS!$I17439,CONFIG_ASIGNATURAS!$B$2:$J$91,9,FALSE()),""))</f>
      </c>
    </row>
    <row r="17440">
      <c r="F17440">
        <f>IF(DATOS!$A17440="","",DATOS!$A17440&amp;"|"&amp;DATOS!$D17440&amp;"|"&amp;DATOS!$E17440&amp;"|"&amp;DATOS!$I17440)</f>
      </c>
      <c r="G17440">
        <f>IF(DATOS!$A17440="",0,IF(CONFIG_METADATA!$B$4&lt;&gt;"OR+EX",--(DATOS!$G17440=CONFIG_METADATA!$B$4),IF(DATOS!$G17440="EX",1,IF(DATOS!$G17440="OR",--(COUNTIFS(nNIA,DATOS!$A17440,nCURSO,DATOS!$D17440,nESPEC,DATOS!$E17440,nASIG,DATOS!$I17440,nEVAL,"EX")=0),0))))</f>
      </c>
      <c r="H17440">
        <f>IF(DATOS!$G17440&lt;&gt;"EX",0,--(COUNTIFS(nNIA,DATOS!$A17440,nCURSO,DATOS!$D17440,nESPEC,DATOS!$E17440,nASIG,DATOS!$I17440,nEVAL,"OR")=0))</f>
      </c>
      <c r="I17440">
        <f>IF(DATOS!$I17440="","",IFERROR(VLOOKUP(DATOS!$I17440,CONFIG_ASIGNATURAS!$B$2:$J$91,9,FALSE()),""))</f>
      </c>
    </row>
    <row r="17441">
      <c r="F17441">
        <f>IF(DATOS!$A17441="","",DATOS!$A17441&amp;"|"&amp;DATOS!$D17441&amp;"|"&amp;DATOS!$E17441&amp;"|"&amp;DATOS!$I17441)</f>
      </c>
      <c r="G17441">
        <f>IF(DATOS!$A17441="",0,IF(CONFIG_METADATA!$B$4&lt;&gt;"OR+EX",--(DATOS!$G17441=CONFIG_METADATA!$B$4),IF(DATOS!$G17441="EX",1,IF(DATOS!$G17441="OR",--(COUNTIFS(nNIA,DATOS!$A17441,nCURSO,DATOS!$D17441,nESPEC,DATOS!$E17441,nASIG,DATOS!$I17441,nEVAL,"EX")=0),0))))</f>
      </c>
      <c r="H17441">
        <f>IF(DATOS!$G17441&lt;&gt;"EX",0,--(COUNTIFS(nNIA,DATOS!$A17441,nCURSO,DATOS!$D17441,nESPEC,DATOS!$E17441,nASIG,DATOS!$I17441,nEVAL,"OR")=0))</f>
      </c>
      <c r="I17441">
        <f>IF(DATOS!$I17441="","",IFERROR(VLOOKUP(DATOS!$I17441,CONFIG_ASIGNATURAS!$B$2:$J$91,9,FALSE()),""))</f>
      </c>
    </row>
    <row r="17442">
      <c r="F17442">
        <f>IF(DATOS!$A17442="","",DATOS!$A17442&amp;"|"&amp;DATOS!$D17442&amp;"|"&amp;DATOS!$E17442&amp;"|"&amp;DATOS!$I17442)</f>
      </c>
      <c r="G17442">
        <f>IF(DATOS!$A17442="",0,IF(CONFIG_METADATA!$B$4&lt;&gt;"OR+EX",--(DATOS!$G17442=CONFIG_METADATA!$B$4),IF(DATOS!$G17442="EX",1,IF(DATOS!$G17442="OR",--(COUNTIFS(nNIA,DATOS!$A17442,nCURSO,DATOS!$D17442,nESPEC,DATOS!$E17442,nASIG,DATOS!$I17442,nEVAL,"EX")=0),0))))</f>
      </c>
      <c r="H17442">
        <f>IF(DATOS!$G17442&lt;&gt;"EX",0,--(COUNTIFS(nNIA,DATOS!$A17442,nCURSO,DATOS!$D17442,nESPEC,DATOS!$E17442,nASIG,DATOS!$I17442,nEVAL,"OR")=0))</f>
      </c>
      <c r="I17442">
        <f>IF(DATOS!$I17442="","",IFERROR(VLOOKUP(DATOS!$I17442,CONFIG_ASIGNATURAS!$B$2:$J$91,9,FALSE()),""))</f>
      </c>
    </row>
    <row r="17443">
      <c r="F17443">
        <f>IF(DATOS!$A17443="","",DATOS!$A17443&amp;"|"&amp;DATOS!$D17443&amp;"|"&amp;DATOS!$E17443&amp;"|"&amp;DATOS!$I17443)</f>
      </c>
      <c r="G17443">
        <f>IF(DATOS!$A17443="",0,IF(CONFIG_METADATA!$B$4&lt;&gt;"OR+EX",--(DATOS!$G17443=CONFIG_METADATA!$B$4),IF(DATOS!$G17443="EX",1,IF(DATOS!$G17443="OR",--(COUNTIFS(nNIA,DATOS!$A17443,nCURSO,DATOS!$D17443,nESPEC,DATOS!$E17443,nASIG,DATOS!$I17443,nEVAL,"EX")=0),0))))</f>
      </c>
      <c r="H17443">
        <f>IF(DATOS!$G17443&lt;&gt;"EX",0,--(COUNTIFS(nNIA,DATOS!$A17443,nCURSO,DATOS!$D17443,nESPEC,DATOS!$E17443,nASIG,DATOS!$I17443,nEVAL,"OR")=0))</f>
      </c>
      <c r="I17443">
        <f>IF(DATOS!$I17443="","",IFERROR(VLOOKUP(DATOS!$I17443,CONFIG_ASIGNATURAS!$B$2:$J$91,9,FALSE()),""))</f>
      </c>
    </row>
    <row r="17444">
      <c r="F17444">
        <f>IF(DATOS!$A17444="","",DATOS!$A17444&amp;"|"&amp;DATOS!$D17444&amp;"|"&amp;DATOS!$E17444&amp;"|"&amp;DATOS!$I17444)</f>
      </c>
      <c r="G17444">
        <f>IF(DATOS!$A17444="",0,IF(CONFIG_METADATA!$B$4&lt;&gt;"OR+EX",--(DATOS!$G17444=CONFIG_METADATA!$B$4),IF(DATOS!$G17444="EX",1,IF(DATOS!$G17444="OR",--(COUNTIFS(nNIA,DATOS!$A17444,nCURSO,DATOS!$D17444,nESPEC,DATOS!$E17444,nASIG,DATOS!$I17444,nEVAL,"EX")=0),0))))</f>
      </c>
      <c r="H17444">
        <f>IF(DATOS!$G17444&lt;&gt;"EX",0,--(COUNTIFS(nNIA,DATOS!$A17444,nCURSO,DATOS!$D17444,nESPEC,DATOS!$E17444,nASIG,DATOS!$I17444,nEVAL,"OR")=0))</f>
      </c>
      <c r="I17444">
        <f>IF(DATOS!$I17444="","",IFERROR(VLOOKUP(DATOS!$I17444,CONFIG_ASIGNATURAS!$B$2:$J$91,9,FALSE()),""))</f>
      </c>
    </row>
    <row r="17445">
      <c r="F17445">
        <f>IF(DATOS!$A17445="","",DATOS!$A17445&amp;"|"&amp;DATOS!$D17445&amp;"|"&amp;DATOS!$E17445&amp;"|"&amp;DATOS!$I17445)</f>
      </c>
      <c r="G17445">
        <f>IF(DATOS!$A17445="",0,IF(CONFIG_METADATA!$B$4&lt;&gt;"OR+EX",--(DATOS!$G17445=CONFIG_METADATA!$B$4),IF(DATOS!$G17445="EX",1,IF(DATOS!$G17445="OR",--(COUNTIFS(nNIA,DATOS!$A17445,nCURSO,DATOS!$D17445,nESPEC,DATOS!$E17445,nASIG,DATOS!$I17445,nEVAL,"EX")=0),0))))</f>
      </c>
      <c r="H17445">
        <f>IF(DATOS!$G17445&lt;&gt;"EX",0,--(COUNTIFS(nNIA,DATOS!$A17445,nCURSO,DATOS!$D17445,nESPEC,DATOS!$E17445,nASIG,DATOS!$I17445,nEVAL,"OR")=0))</f>
      </c>
      <c r="I17445">
        <f>IF(DATOS!$I17445="","",IFERROR(VLOOKUP(DATOS!$I17445,CONFIG_ASIGNATURAS!$B$2:$J$91,9,FALSE()),""))</f>
      </c>
    </row>
    <row r="17446">
      <c r="F17446">
        <f>IF(DATOS!$A17446="","",DATOS!$A17446&amp;"|"&amp;DATOS!$D17446&amp;"|"&amp;DATOS!$E17446&amp;"|"&amp;DATOS!$I17446)</f>
      </c>
      <c r="G17446">
        <f>IF(DATOS!$A17446="",0,IF(CONFIG_METADATA!$B$4&lt;&gt;"OR+EX",--(DATOS!$G17446=CONFIG_METADATA!$B$4),IF(DATOS!$G17446="EX",1,IF(DATOS!$G17446="OR",--(COUNTIFS(nNIA,DATOS!$A17446,nCURSO,DATOS!$D17446,nESPEC,DATOS!$E17446,nASIG,DATOS!$I17446,nEVAL,"EX")=0),0))))</f>
      </c>
      <c r="H17446">
        <f>IF(DATOS!$G17446&lt;&gt;"EX",0,--(COUNTIFS(nNIA,DATOS!$A17446,nCURSO,DATOS!$D17446,nESPEC,DATOS!$E17446,nASIG,DATOS!$I17446,nEVAL,"OR")=0))</f>
      </c>
      <c r="I17446">
        <f>IF(DATOS!$I17446="","",IFERROR(VLOOKUP(DATOS!$I17446,CONFIG_ASIGNATURAS!$B$2:$J$91,9,FALSE()),""))</f>
      </c>
    </row>
    <row r="17447">
      <c r="F17447">
        <f>IF(DATOS!$A17447="","",DATOS!$A17447&amp;"|"&amp;DATOS!$D17447&amp;"|"&amp;DATOS!$E17447&amp;"|"&amp;DATOS!$I17447)</f>
      </c>
      <c r="G17447">
        <f>IF(DATOS!$A17447="",0,IF(CONFIG_METADATA!$B$4&lt;&gt;"OR+EX",--(DATOS!$G17447=CONFIG_METADATA!$B$4),IF(DATOS!$G17447="EX",1,IF(DATOS!$G17447="OR",--(COUNTIFS(nNIA,DATOS!$A17447,nCURSO,DATOS!$D17447,nESPEC,DATOS!$E17447,nASIG,DATOS!$I17447,nEVAL,"EX")=0),0))))</f>
      </c>
      <c r="H17447">
        <f>IF(DATOS!$G17447&lt;&gt;"EX",0,--(COUNTIFS(nNIA,DATOS!$A17447,nCURSO,DATOS!$D17447,nESPEC,DATOS!$E17447,nASIG,DATOS!$I17447,nEVAL,"OR")=0))</f>
      </c>
      <c r="I17447">
        <f>IF(DATOS!$I17447="","",IFERROR(VLOOKUP(DATOS!$I17447,CONFIG_ASIGNATURAS!$B$2:$J$91,9,FALSE()),""))</f>
      </c>
    </row>
    <row r="17448">
      <c r="F17448">
        <f>IF(DATOS!$A17448="","",DATOS!$A17448&amp;"|"&amp;DATOS!$D17448&amp;"|"&amp;DATOS!$E17448&amp;"|"&amp;DATOS!$I17448)</f>
      </c>
      <c r="G17448">
        <f>IF(DATOS!$A17448="",0,IF(CONFIG_METADATA!$B$4&lt;&gt;"OR+EX",--(DATOS!$G17448=CONFIG_METADATA!$B$4),IF(DATOS!$G17448="EX",1,IF(DATOS!$G17448="OR",--(COUNTIFS(nNIA,DATOS!$A17448,nCURSO,DATOS!$D17448,nESPEC,DATOS!$E17448,nASIG,DATOS!$I17448,nEVAL,"EX")=0),0))))</f>
      </c>
      <c r="H17448">
        <f>IF(DATOS!$G17448&lt;&gt;"EX",0,--(COUNTIFS(nNIA,DATOS!$A17448,nCURSO,DATOS!$D17448,nESPEC,DATOS!$E17448,nASIG,DATOS!$I17448,nEVAL,"OR")=0))</f>
      </c>
      <c r="I17448">
        <f>IF(DATOS!$I17448="","",IFERROR(VLOOKUP(DATOS!$I17448,CONFIG_ASIGNATURAS!$B$2:$J$91,9,FALSE()),""))</f>
      </c>
    </row>
    <row r="17449">
      <c r="F17449">
        <f>IF(DATOS!$A17449="","",DATOS!$A17449&amp;"|"&amp;DATOS!$D17449&amp;"|"&amp;DATOS!$E17449&amp;"|"&amp;DATOS!$I17449)</f>
      </c>
      <c r="G17449">
        <f>IF(DATOS!$A17449="",0,IF(CONFIG_METADATA!$B$4&lt;&gt;"OR+EX",--(DATOS!$G17449=CONFIG_METADATA!$B$4),IF(DATOS!$G17449="EX",1,IF(DATOS!$G17449="OR",--(COUNTIFS(nNIA,DATOS!$A17449,nCURSO,DATOS!$D17449,nESPEC,DATOS!$E17449,nASIG,DATOS!$I17449,nEVAL,"EX")=0),0))))</f>
      </c>
      <c r="H17449">
        <f>IF(DATOS!$G17449&lt;&gt;"EX",0,--(COUNTIFS(nNIA,DATOS!$A17449,nCURSO,DATOS!$D17449,nESPEC,DATOS!$E17449,nASIG,DATOS!$I17449,nEVAL,"OR")=0))</f>
      </c>
      <c r="I17449">
        <f>IF(DATOS!$I17449="","",IFERROR(VLOOKUP(DATOS!$I17449,CONFIG_ASIGNATURAS!$B$2:$J$91,9,FALSE()),""))</f>
      </c>
    </row>
    <row r="17450">
      <c r="F17450">
        <f>IF(DATOS!$A17450="","",DATOS!$A17450&amp;"|"&amp;DATOS!$D17450&amp;"|"&amp;DATOS!$E17450&amp;"|"&amp;DATOS!$I17450)</f>
      </c>
      <c r="G17450">
        <f>IF(DATOS!$A17450="",0,IF(CONFIG_METADATA!$B$4&lt;&gt;"OR+EX",--(DATOS!$G17450=CONFIG_METADATA!$B$4),IF(DATOS!$G17450="EX",1,IF(DATOS!$G17450="OR",--(COUNTIFS(nNIA,DATOS!$A17450,nCURSO,DATOS!$D17450,nESPEC,DATOS!$E17450,nASIG,DATOS!$I17450,nEVAL,"EX")=0),0))))</f>
      </c>
      <c r="H17450">
        <f>IF(DATOS!$G17450&lt;&gt;"EX",0,--(COUNTIFS(nNIA,DATOS!$A17450,nCURSO,DATOS!$D17450,nESPEC,DATOS!$E17450,nASIG,DATOS!$I17450,nEVAL,"OR")=0))</f>
      </c>
      <c r="I17450">
        <f>IF(DATOS!$I17450="","",IFERROR(VLOOKUP(DATOS!$I17450,CONFIG_ASIGNATURAS!$B$2:$J$91,9,FALSE()),""))</f>
      </c>
    </row>
    <row r="17451">
      <c r="F17451">
        <f>IF(DATOS!$A17451="","",DATOS!$A17451&amp;"|"&amp;DATOS!$D17451&amp;"|"&amp;DATOS!$E17451&amp;"|"&amp;DATOS!$I17451)</f>
      </c>
      <c r="G17451">
        <f>IF(DATOS!$A17451="",0,IF(CONFIG_METADATA!$B$4&lt;&gt;"OR+EX",--(DATOS!$G17451=CONFIG_METADATA!$B$4),IF(DATOS!$G17451="EX",1,IF(DATOS!$G17451="OR",--(COUNTIFS(nNIA,DATOS!$A17451,nCURSO,DATOS!$D17451,nESPEC,DATOS!$E17451,nASIG,DATOS!$I17451,nEVAL,"EX")=0),0))))</f>
      </c>
      <c r="H17451">
        <f>IF(DATOS!$G17451&lt;&gt;"EX",0,--(COUNTIFS(nNIA,DATOS!$A17451,nCURSO,DATOS!$D17451,nESPEC,DATOS!$E17451,nASIG,DATOS!$I17451,nEVAL,"OR")=0))</f>
      </c>
      <c r="I17451">
        <f>IF(DATOS!$I17451="","",IFERROR(VLOOKUP(DATOS!$I17451,CONFIG_ASIGNATURAS!$B$2:$J$91,9,FALSE()),""))</f>
      </c>
    </row>
    <row r="17452">
      <c r="F17452">
        <f>IF(DATOS!$A17452="","",DATOS!$A17452&amp;"|"&amp;DATOS!$D17452&amp;"|"&amp;DATOS!$E17452&amp;"|"&amp;DATOS!$I17452)</f>
      </c>
      <c r="G17452">
        <f>IF(DATOS!$A17452="",0,IF(CONFIG_METADATA!$B$4&lt;&gt;"OR+EX",--(DATOS!$G17452=CONFIG_METADATA!$B$4),IF(DATOS!$G17452="EX",1,IF(DATOS!$G17452="OR",--(COUNTIFS(nNIA,DATOS!$A17452,nCURSO,DATOS!$D17452,nESPEC,DATOS!$E17452,nASIG,DATOS!$I17452,nEVAL,"EX")=0),0))))</f>
      </c>
      <c r="H17452">
        <f>IF(DATOS!$G17452&lt;&gt;"EX",0,--(COUNTIFS(nNIA,DATOS!$A17452,nCURSO,DATOS!$D17452,nESPEC,DATOS!$E17452,nASIG,DATOS!$I17452,nEVAL,"OR")=0))</f>
      </c>
      <c r="I17452">
        <f>IF(DATOS!$I17452="","",IFERROR(VLOOKUP(DATOS!$I17452,CONFIG_ASIGNATURAS!$B$2:$J$91,9,FALSE()),""))</f>
      </c>
    </row>
    <row r="17453">
      <c r="F17453">
        <f>IF(DATOS!$A17453="","",DATOS!$A17453&amp;"|"&amp;DATOS!$D17453&amp;"|"&amp;DATOS!$E17453&amp;"|"&amp;DATOS!$I17453)</f>
      </c>
      <c r="G17453">
        <f>IF(DATOS!$A17453="",0,IF(CONFIG_METADATA!$B$4&lt;&gt;"OR+EX",--(DATOS!$G17453=CONFIG_METADATA!$B$4),IF(DATOS!$G17453="EX",1,IF(DATOS!$G17453="OR",--(COUNTIFS(nNIA,DATOS!$A17453,nCURSO,DATOS!$D17453,nESPEC,DATOS!$E17453,nASIG,DATOS!$I17453,nEVAL,"EX")=0),0))))</f>
      </c>
      <c r="H17453">
        <f>IF(DATOS!$G17453&lt;&gt;"EX",0,--(COUNTIFS(nNIA,DATOS!$A17453,nCURSO,DATOS!$D17453,nESPEC,DATOS!$E17453,nASIG,DATOS!$I17453,nEVAL,"OR")=0))</f>
      </c>
      <c r="I17453">
        <f>IF(DATOS!$I17453="","",IFERROR(VLOOKUP(DATOS!$I17453,CONFIG_ASIGNATURAS!$B$2:$J$91,9,FALSE()),""))</f>
      </c>
    </row>
    <row r="17454">
      <c r="F17454">
        <f>IF(DATOS!$A17454="","",DATOS!$A17454&amp;"|"&amp;DATOS!$D17454&amp;"|"&amp;DATOS!$E17454&amp;"|"&amp;DATOS!$I17454)</f>
      </c>
      <c r="G17454">
        <f>IF(DATOS!$A17454="",0,IF(CONFIG_METADATA!$B$4&lt;&gt;"OR+EX",--(DATOS!$G17454=CONFIG_METADATA!$B$4),IF(DATOS!$G17454="EX",1,IF(DATOS!$G17454="OR",--(COUNTIFS(nNIA,DATOS!$A17454,nCURSO,DATOS!$D17454,nESPEC,DATOS!$E17454,nASIG,DATOS!$I17454,nEVAL,"EX")=0),0))))</f>
      </c>
      <c r="H17454">
        <f>IF(DATOS!$G17454&lt;&gt;"EX",0,--(COUNTIFS(nNIA,DATOS!$A17454,nCURSO,DATOS!$D17454,nESPEC,DATOS!$E17454,nASIG,DATOS!$I17454,nEVAL,"OR")=0))</f>
      </c>
      <c r="I17454">
        <f>IF(DATOS!$I17454="","",IFERROR(VLOOKUP(DATOS!$I17454,CONFIG_ASIGNATURAS!$B$2:$J$91,9,FALSE()),""))</f>
      </c>
    </row>
    <row r="17455">
      <c r="F17455">
        <f>IF(DATOS!$A17455="","",DATOS!$A17455&amp;"|"&amp;DATOS!$D17455&amp;"|"&amp;DATOS!$E17455&amp;"|"&amp;DATOS!$I17455)</f>
      </c>
      <c r="G17455">
        <f>IF(DATOS!$A17455="",0,IF(CONFIG_METADATA!$B$4&lt;&gt;"OR+EX",--(DATOS!$G17455=CONFIG_METADATA!$B$4),IF(DATOS!$G17455="EX",1,IF(DATOS!$G17455="OR",--(COUNTIFS(nNIA,DATOS!$A17455,nCURSO,DATOS!$D17455,nESPEC,DATOS!$E17455,nASIG,DATOS!$I17455,nEVAL,"EX")=0),0))))</f>
      </c>
      <c r="H17455">
        <f>IF(DATOS!$G17455&lt;&gt;"EX",0,--(COUNTIFS(nNIA,DATOS!$A17455,nCURSO,DATOS!$D17455,nESPEC,DATOS!$E17455,nASIG,DATOS!$I17455,nEVAL,"OR")=0))</f>
      </c>
      <c r="I17455">
        <f>IF(DATOS!$I17455="","",IFERROR(VLOOKUP(DATOS!$I17455,CONFIG_ASIGNATURAS!$B$2:$J$91,9,FALSE()),""))</f>
      </c>
    </row>
    <row r="17456">
      <c r="F17456">
        <f>IF(DATOS!$A17456="","",DATOS!$A17456&amp;"|"&amp;DATOS!$D17456&amp;"|"&amp;DATOS!$E17456&amp;"|"&amp;DATOS!$I17456)</f>
      </c>
      <c r="G17456">
        <f>IF(DATOS!$A17456="",0,IF(CONFIG_METADATA!$B$4&lt;&gt;"OR+EX",--(DATOS!$G17456=CONFIG_METADATA!$B$4),IF(DATOS!$G17456="EX",1,IF(DATOS!$G17456="OR",--(COUNTIFS(nNIA,DATOS!$A17456,nCURSO,DATOS!$D17456,nESPEC,DATOS!$E17456,nASIG,DATOS!$I17456,nEVAL,"EX")=0),0))))</f>
      </c>
      <c r="H17456">
        <f>IF(DATOS!$G17456&lt;&gt;"EX",0,--(COUNTIFS(nNIA,DATOS!$A17456,nCURSO,DATOS!$D17456,nESPEC,DATOS!$E17456,nASIG,DATOS!$I17456,nEVAL,"OR")=0))</f>
      </c>
      <c r="I17456">
        <f>IF(DATOS!$I17456="","",IFERROR(VLOOKUP(DATOS!$I17456,CONFIG_ASIGNATURAS!$B$2:$J$91,9,FALSE()),""))</f>
      </c>
    </row>
    <row r="17457">
      <c r="F17457">
        <f>IF(DATOS!$A17457="","",DATOS!$A17457&amp;"|"&amp;DATOS!$D17457&amp;"|"&amp;DATOS!$E17457&amp;"|"&amp;DATOS!$I17457)</f>
      </c>
      <c r="G17457">
        <f>IF(DATOS!$A17457="",0,IF(CONFIG_METADATA!$B$4&lt;&gt;"OR+EX",--(DATOS!$G17457=CONFIG_METADATA!$B$4),IF(DATOS!$G17457="EX",1,IF(DATOS!$G17457="OR",--(COUNTIFS(nNIA,DATOS!$A17457,nCURSO,DATOS!$D17457,nESPEC,DATOS!$E17457,nASIG,DATOS!$I17457,nEVAL,"EX")=0),0))))</f>
      </c>
      <c r="H17457">
        <f>IF(DATOS!$G17457&lt;&gt;"EX",0,--(COUNTIFS(nNIA,DATOS!$A17457,nCURSO,DATOS!$D17457,nESPEC,DATOS!$E17457,nASIG,DATOS!$I17457,nEVAL,"OR")=0))</f>
      </c>
      <c r="I17457">
        <f>IF(DATOS!$I17457="","",IFERROR(VLOOKUP(DATOS!$I17457,CONFIG_ASIGNATURAS!$B$2:$J$91,9,FALSE()),""))</f>
      </c>
    </row>
    <row r="17458">
      <c r="F17458">
        <f>IF(DATOS!$A17458="","",DATOS!$A17458&amp;"|"&amp;DATOS!$D17458&amp;"|"&amp;DATOS!$E17458&amp;"|"&amp;DATOS!$I17458)</f>
      </c>
      <c r="G17458">
        <f>IF(DATOS!$A17458="",0,IF(CONFIG_METADATA!$B$4&lt;&gt;"OR+EX",--(DATOS!$G17458=CONFIG_METADATA!$B$4),IF(DATOS!$G17458="EX",1,IF(DATOS!$G17458="OR",--(COUNTIFS(nNIA,DATOS!$A17458,nCURSO,DATOS!$D17458,nESPEC,DATOS!$E17458,nASIG,DATOS!$I17458,nEVAL,"EX")=0),0))))</f>
      </c>
      <c r="H17458">
        <f>IF(DATOS!$G17458&lt;&gt;"EX",0,--(COUNTIFS(nNIA,DATOS!$A17458,nCURSO,DATOS!$D17458,nESPEC,DATOS!$E17458,nASIG,DATOS!$I17458,nEVAL,"OR")=0))</f>
      </c>
      <c r="I17458">
        <f>IF(DATOS!$I17458="","",IFERROR(VLOOKUP(DATOS!$I17458,CONFIG_ASIGNATURAS!$B$2:$J$91,9,FALSE()),""))</f>
      </c>
    </row>
    <row r="17459">
      <c r="F17459">
        <f>IF(DATOS!$A17459="","",DATOS!$A17459&amp;"|"&amp;DATOS!$D17459&amp;"|"&amp;DATOS!$E17459&amp;"|"&amp;DATOS!$I17459)</f>
      </c>
      <c r="G17459">
        <f>IF(DATOS!$A17459="",0,IF(CONFIG_METADATA!$B$4&lt;&gt;"OR+EX",--(DATOS!$G17459=CONFIG_METADATA!$B$4),IF(DATOS!$G17459="EX",1,IF(DATOS!$G17459="OR",--(COUNTIFS(nNIA,DATOS!$A17459,nCURSO,DATOS!$D17459,nESPEC,DATOS!$E17459,nASIG,DATOS!$I17459,nEVAL,"EX")=0),0))))</f>
      </c>
      <c r="H17459">
        <f>IF(DATOS!$G17459&lt;&gt;"EX",0,--(COUNTIFS(nNIA,DATOS!$A17459,nCURSO,DATOS!$D17459,nESPEC,DATOS!$E17459,nASIG,DATOS!$I17459,nEVAL,"OR")=0))</f>
      </c>
      <c r="I17459">
        <f>IF(DATOS!$I17459="","",IFERROR(VLOOKUP(DATOS!$I17459,CONFIG_ASIGNATURAS!$B$2:$J$91,9,FALSE()),""))</f>
      </c>
    </row>
    <row r="17460">
      <c r="F17460">
        <f>IF(DATOS!$A17460="","",DATOS!$A17460&amp;"|"&amp;DATOS!$D17460&amp;"|"&amp;DATOS!$E17460&amp;"|"&amp;DATOS!$I17460)</f>
      </c>
      <c r="G17460">
        <f>IF(DATOS!$A17460="",0,IF(CONFIG_METADATA!$B$4&lt;&gt;"OR+EX",--(DATOS!$G17460=CONFIG_METADATA!$B$4),IF(DATOS!$G17460="EX",1,IF(DATOS!$G17460="OR",--(COUNTIFS(nNIA,DATOS!$A17460,nCURSO,DATOS!$D17460,nESPEC,DATOS!$E17460,nASIG,DATOS!$I17460,nEVAL,"EX")=0),0))))</f>
      </c>
      <c r="H17460">
        <f>IF(DATOS!$G17460&lt;&gt;"EX",0,--(COUNTIFS(nNIA,DATOS!$A17460,nCURSO,DATOS!$D17460,nESPEC,DATOS!$E17460,nASIG,DATOS!$I17460,nEVAL,"OR")=0))</f>
      </c>
      <c r="I17460">
        <f>IF(DATOS!$I17460="","",IFERROR(VLOOKUP(DATOS!$I17460,CONFIG_ASIGNATURAS!$B$2:$J$91,9,FALSE()),""))</f>
      </c>
    </row>
    <row r="17461">
      <c r="F17461">
        <f>IF(DATOS!$A17461="","",DATOS!$A17461&amp;"|"&amp;DATOS!$D17461&amp;"|"&amp;DATOS!$E17461&amp;"|"&amp;DATOS!$I17461)</f>
      </c>
      <c r="G17461">
        <f>IF(DATOS!$A17461="",0,IF(CONFIG_METADATA!$B$4&lt;&gt;"OR+EX",--(DATOS!$G17461=CONFIG_METADATA!$B$4),IF(DATOS!$G17461="EX",1,IF(DATOS!$G17461="OR",--(COUNTIFS(nNIA,DATOS!$A17461,nCURSO,DATOS!$D17461,nESPEC,DATOS!$E17461,nASIG,DATOS!$I17461,nEVAL,"EX")=0),0))))</f>
      </c>
      <c r="H17461">
        <f>IF(DATOS!$G17461&lt;&gt;"EX",0,--(COUNTIFS(nNIA,DATOS!$A17461,nCURSO,DATOS!$D17461,nESPEC,DATOS!$E17461,nASIG,DATOS!$I17461,nEVAL,"OR")=0))</f>
      </c>
      <c r="I17461">
        <f>IF(DATOS!$I17461="","",IFERROR(VLOOKUP(DATOS!$I17461,CONFIG_ASIGNATURAS!$B$2:$J$91,9,FALSE()),""))</f>
      </c>
    </row>
    <row r="17462">
      <c r="F17462">
        <f>IF(DATOS!$A17462="","",DATOS!$A17462&amp;"|"&amp;DATOS!$D17462&amp;"|"&amp;DATOS!$E17462&amp;"|"&amp;DATOS!$I17462)</f>
      </c>
      <c r="G17462">
        <f>IF(DATOS!$A17462="",0,IF(CONFIG_METADATA!$B$4&lt;&gt;"OR+EX",--(DATOS!$G17462=CONFIG_METADATA!$B$4),IF(DATOS!$G17462="EX",1,IF(DATOS!$G17462="OR",--(COUNTIFS(nNIA,DATOS!$A17462,nCURSO,DATOS!$D17462,nESPEC,DATOS!$E17462,nASIG,DATOS!$I17462,nEVAL,"EX")=0),0))))</f>
      </c>
      <c r="H17462">
        <f>IF(DATOS!$G17462&lt;&gt;"EX",0,--(COUNTIFS(nNIA,DATOS!$A17462,nCURSO,DATOS!$D17462,nESPEC,DATOS!$E17462,nASIG,DATOS!$I17462,nEVAL,"OR")=0))</f>
      </c>
      <c r="I17462">
        <f>IF(DATOS!$I17462="","",IFERROR(VLOOKUP(DATOS!$I17462,CONFIG_ASIGNATURAS!$B$2:$J$91,9,FALSE()),""))</f>
      </c>
    </row>
    <row r="17463">
      <c r="F17463">
        <f>IF(DATOS!$A17463="","",DATOS!$A17463&amp;"|"&amp;DATOS!$D17463&amp;"|"&amp;DATOS!$E17463&amp;"|"&amp;DATOS!$I17463)</f>
      </c>
      <c r="G17463">
        <f>IF(DATOS!$A17463="",0,IF(CONFIG_METADATA!$B$4&lt;&gt;"OR+EX",--(DATOS!$G17463=CONFIG_METADATA!$B$4),IF(DATOS!$G17463="EX",1,IF(DATOS!$G17463="OR",--(COUNTIFS(nNIA,DATOS!$A17463,nCURSO,DATOS!$D17463,nESPEC,DATOS!$E17463,nASIG,DATOS!$I17463,nEVAL,"EX")=0),0))))</f>
      </c>
      <c r="H17463">
        <f>IF(DATOS!$G17463&lt;&gt;"EX",0,--(COUNTIFS(nNIA,DATOS!$A17463,nCURSO,DATOS!$D17463,nESPEC,DATOS!$E17463,nASIG,DATOS!$I17463,nEVAL,"OR")=0))</f>
      </c>
      <c r="I17463">
        <f>IF(DATOS!$I17463="","",IFERROR(VLOOKUP(DATOS!$I17463,CONFIG_ASIGNATURAS!$B$2:$J$91,9,FALSE()),""))</f>
      </c>
    </row>
    <row r="17464">
      <c r="F17464">
        <f>IF(DATOS!$A17464="","",DATOS!$A17464&amp;"|"&amp;DATOS!$D17464&amp;"|"&amp;DATOS!$E17464&amp;"|"&amp;DATOS!$I17464)</f>
      </c>
      <c r="G17464">
        <f>IF(DATOS!$A17464="",0,IF(CONFIG_METADATA!$B$4&lt;&gt;"OR+EX",--(DATOS!$G17464=CONFIG_METADATA!$B$4),IF(DATOS!$G17464="EX",1,IF(DATOS!$G17464="OR",--(COUNTIFS(nNIA,DATOS!$A17464,nCURSO,DATOS!$D17464,nESPEC,DATOS!$E17464,nASIG,DATOS!$I17464,nEVAL,"EX")=0),0))))</f>
      </c>
      <c r="H17464">
        <f>IF(DATOS!$G17464&lt;&gt;"EX",0,--(COUNTIFS(nNIA,DATOS!$A17464,nCURSO,DATOS!$D17464,nESPEC,DATOS!$E17464,nASIG,DATOS!$I17464,nEVAL,"OR")=0))</f>
      </c>
      <c r="I17464">
        <f>IF(DATOS!$I17464="","",IFERROR(VLOOKUP(DATOS!$I17464,CONFIG_ASIGNATURAS!$B$2:$J$91,9,FALSE()),""))</f>
      </c>
    </row>
    <row r="17465">
      <c r="F17465">
        <f>IF(DATOS!$A17465="","",DATOS!$A17465&amp;"|"&amp;DATOS!$D17465&amp;"|"&amp;DATOS!$E17465&amp;"|"&amp;DATOS!$I17465)</f>
      </c>
      <c r="G17465">
        <f>IF(DATOS!$A17465="",0,IF(CONFIG_METADATA!$B$4&lt;&gt;"OR+EX",--(DATOS!$G17465=CONFIG_METADATA!$B$4),IF(DATOS!$G17465="EX",1,IF(DATOS!$G17465="OR",--(COUNTIFS(nNIA,DATOS!$A17465,nCURSO,DATOS!$D17465,nESPEC,DATOS!$E17465,nASIG,DATOS!$I17465,nEVAL,"EX")=0),0))))</f>
      </c>
      <c r="H17465">
        <f>IF(DATOS!$G17465&lt;&gt;"EX",0,--(COUNTIFS(nNIA,DATOS!$A17465,nCURSO,DATOS!$D17465,nESPEC,DATOS!$E17465,nASIG,DATOS!$I17465,nEVAL,"OR")=0))</f>
      </c>
      <c r="I17465">
        <f>IF(DATOS!$I17465="","",IFERROR(VLOOKUP(DATOS!$I17465,CONFIG_ASIGNATURAS!$B$2:$J$91,9,FALSE()),""))</f>
      </c>
    </row>
    <row r="17466">
      <c r="F17466">
        <f>IF(DATOS!$A17466="","",DATOS!$A17466&amp;"|"&amp;DATOS!$D17466&amp;"|"&amp;DATOS!$E17466&amp;"|"&amp;DATOS!$I17466)</f>
      </c>
      <c r="G17466">
        <f>IF(DATOS!$A17466="",0,IF(CONFIG_METADATA!$B$4&lt;&gt;"OR+EX",--(DATOS!$G17466=CONFIG_METADATA!$B$4),IF(DATOS!$G17466="EX",1,IF(DATOS!$G17466="OR",--(COUNTIFS(nNIA,DATOS!$A17466,nCURSO,DATOS!$D17466,nESPEC,DATOS!$E17466,nASIG,DATOS!$I17466,nEVAL,"EX")=0),0))))</f>
      </c>
      <c r="H17466">
        <f>IF(DATOS!$G17466&lt;&gt;"EX",0,--(COUNTIFS(nNIA,DATOS!$A17466,nCURSO,DATOS!$D17466,nESPEC,DATOS!$E17466,nASIG,DATOS!$I17466,nEVAL,"OR")=0))</f>
      </c>
      <c r="I17466">
        <f>IF(DATOS!$I17466="","",IFERROR(VLOOKUP(DATOS!$I17466,CONFIG_ASIGNATURAS!$B$2:$J$91,9,FALSE()),""))</f>
      </c>
    </row>
    <row r="17467">
      <c r="F17467">
        <f>IF(DATOS!$A17467="","",DATOS!$A17467&amp;"|"&amp;DATOS!$D17467&amp;"|"&amp;DATOS!$E17467&amp;"|"&amp;DATOS!$I17467)</f>
      </c>
      <c r="G17467">
        <f>IF(DATOS!$A17467="",0,IF(CONFIG_METADATA!$B$4&lt;&gt;"OR+EX",--(DATOS!$G17467=CONFIG_METADATA!$B$4),IF(DATOS!$G17467="EX",1,IF(DATOS!$G17467="OR",--(COUNTIFS(nNIA,DATOS!$A17467,nCURSO,DATOS!$D17467,nESPEC,DATOS!$E17467,nASIG,DATOS!$I17467,nEVAL,"EX")=0),0))))</f>
      </c>
      <c r="H17467">
        <f>IF(DATOS!$G17467&lt;&gt;"EX",0,--(COUNTIFS(nNIA,DATOS!$A17467,nCURSO,DATOS!$D17467,nESPEC,DATOS!$E17467,nASIG,DATOS!$I17467,nEVAL,"OR")=0))</f>
      </c>
      <c r="I17467">
        <f>IF(DATOS!$I17467="","",IFERROR(VLOOKUP(DATOS!$I17467,CONFIG_ASIGNATURAS!$B$2:$J$91,9,FALSE()),""))</f>
      </c>
    </row>
    <row r="17468">
      <c r="F17468">
        <f>IF(DATOS!$A17468="","",DATOS!$A17468&amp;"|"&amp;DATOS!$D17468&amp;"|"&amp;DATOS!$E17468&amp;"|"&amp;DATOS!$I17468)</f>
      </c>
      <c r="G17468">
        <f>IF(DATOS!$A17468="",0,IF(CONFIG_METADATA!$B$4&lt;&gt;"OR+EX",--(DATOS!$G17468=CONFIG_METADATA!$B$4),IF(DATOS!$G17468="EX",1,IF(DATOS!$G17468="OR",--(COUNTIFS(nNIA,DATOS!$A17468,nCURSO,DATOS!$D17468,nESPEC,DATOS!$E17468,nASIG,DATOS!$I17468,nEVAL,"EX")=0),0))))</f>
      </c>
      <c r="H17468">
        <f>IF(DATOS!$G17468&lt;&gt;"EX",0,--(COUNTIFS(nNIA,DATOS!$A17468,nCURSO,DATOS!$D17468,nESPEC,DATOS!$E17468,nASIG,DATOS!$I17468,nEVAL,"OR")=0))</f>
      </c>
      <c r="I17468">
        <f>IF(DATOS!$I17468="","",IFERROR(VLOOKUP(DATOS!$I17468,CONFIG_ASIGNATURAS!$B$2:$J$91,9,FALSE()),""))</f>
      </c>
    </row>
    <row r="17469">
      <c r="F17469">
        <f>IF(DATOS!$A17469="","",DATOS!$A17469&amp;"|"&amp;DATOS!$D17469&amp;"|"&amp;DATOS!$E17469&amp;"|"&amp;DATOS!$I17469)</f>
      </c>
      <c r="G17469">
        <f>IF(DATOS!$A17469="",0,IF(CONFIG_METADATA!$B$4&lt;&gt;"OR+EX",--(DATOS!$G17469=CONFIG_METADATA!$B$4),IF(DATOS!$G17469="EX",1,IF(DATOS!$G17469="OR",--(COUNTIFS(nNIA,DATOS!$A17469,nCURSO,DATOS!$D17469,nESPEC,DATOS!$E17469,nASIG,DATOS!$I17469,nEVAL,"EX")=0),0))))</f>
      </c>
      <c r="H17469">
        <f>IF(DATOS!$G17469&lt;&gt;"EX",0,--(COUNTIFS(nNIA,DATOS!$A17469,nCURSO,DATOS!$D17469,nESPEC,DATOS!$E17469,nASIG,DATOS!$I17469,nEVAL,"OR")=0))</f>
      </c>
      <c r="I17469">
        <f>IF(DATOS!$I17469="","",IFERROR(VLOOKUP(DATOS!$I17469,CONFIG_ASIGNATURAS!$B$2:$J$91,9,FALSE()),""))</f>
      </c>
    </row>
    <row r="17470">
      <c r="F17470">
        <f>IF(DATOS!$A17470="","",DATOS!$A17470&amp;"|"&amp;DATOS!$D17470&amp;"|"&amp;DATOS!$E17470&amp;"|"&amp;DATOS!$I17470)</f>
      </c>
      <c r="G17470">
        <f>IF(DATOS!$A17470="",0,IF(CONFIG_METADATA!$B$4&lt;&gt;"OR+EX",--(DATOS!$G17470=CONFIG_METADATA!$B$4),IF(DATOS!$G17470="EX",1,IF(DATOS!$G17470="OR",--(COUNTIFS(nNIA,DATOS!$A17470,nCURSO,DATOS!$D17470,nESPEC,DATOS!$E17470,nASIG,DATOS!$I17470,nEVAL,"EX")=0),0))))</f>
      </c>
      <c r="H17470">
        <f>IF(DATOS!$G17470&lt;&gt;"EX",0,--(COUNTIFS(nNIA,DATOS!$A17470,nCURSO,DATOS!$D17470,nESPEC,DATOS!$E17470,nASIG,DATOS!$I17470,nEVAL,"OR")=0))</f>
      </c>
      <c r="I17470">
        <f>IF(DATOS!$I17470="","",IFERROR(VLOOKUP(DATOS!$I17470,CONFIG_ASIGNATURAS!$B$2:$J$91,9,FALSE()),""))</f>
      </c>
    </row>
    <row r="17471">
      <c r="F17471">
        <f>IF(DATOS!$A17471="","",DATOS!$A17471&amp;"|"&amp;DATOS!$D17471&amp;"|"&amp;DATOS!$E17471&amp;"|"&amp;DATOS!$I17471)</f>
      </c>
      <c r="G17471">
        <f>IF(DATOS!$A17471="",0,IF(CONFIG_METADATA!$B$4&lt;&gt;"OR+EX",--(DATOS!$G17471=CONFIG_METADATA!$B$4),IF(DATOS!$G17471="EX",1,IF(DATOS!$G17471="OR",--(COUNTIFS(nNIA,DATOS!$A17471,nCURSO,DATOS!$D17471,nESPEC,DATOS!$E17471,nASIG,DATOS!$I17471,nEVAL,"EX")=0),0))))</f>
      </c>
      <c r="H17471">
        <f>IF(DATOS!$G17471&lt;&gt;"EX",0,--(COUNTIFS(nNIA,DATOS!$A17471,nCURSO,DATOS!$D17471,nESPEC,DATOS!$E17471,nASIG,DATOS!$I17471,nEVAL,"OR")=0))</f>
      </c>
      <c r="I17471">
        <f>IF(DATOS!$I17471="","",IFERROR(VLOOKUP(DATOS!$I17471,CONFIG_ASIGNATURAS!$B$2:$J$91,9,FALSE()),""))</f>
      </c>
    </row>
    <row r="17472">
      <c r="F17472">
        <f>IF(DATOS!$A17472="","",DATOS!$A17472&amp;"|"&amp;DATOS!$D17472&amp;"|"&amp;DATOS!$E17472&amp;"|"&amp;DATOS!$I17472)</f>
      </c>
      <c r="G17472">
        <f>IF(DATOS!$A17472="",0,IF(CONFIG_METADATA!$B$4&lt;&gt;"OR+EX",--(DATOS!$G17472=CONFIG_METADATA!$B$4),IF(DATOS!$G17472="EX",1,IF(DATOS!$G17472="OR",--(COUNTIFS(nNIA,DATOS!$A17472,nCURSO,DATOS!$D17472,nESPEC,DATOS!$E17472,nASIG,DATOS!$I17472,nEVAL,"EX")=0),0))))</f>
      </c>
      <c r="H17472">
        <f>IF(DATOS!$G17472&lt;&gt;"EX",0,--(COUNTIFS(nNIA,DATOS!$A17472,nCURSO,DATOS!$D17472,nESPEC,DATOS!$E17472,nASIG,DATOS!$I17472,nEVAL,"OR")=0))</f>
      </c>
      <c r="I17472">
        <f>IF(DATOS!$I17472="","",IFERROR(VLOOKUP(DATOS!$I17472,CONFIG_ASIGNATURAS!$B$2:$J$91,9,FALSE()),""))</f>
      </c>
    </row>
    <row r="17473">
      <c r="F17473">
        <f>IF(DATOS!$A17473="","",DATOS!$A17473&amp;"|"&amp;DATOS!$D17473&amp;"|"&amp;DATOS!$E17473&amp;"|"&amp;DATOS!$I17473)</f>
      </c>
      <c r="G17473">
        <f>IF(DATOS!$A17473="",0,IF(CONFIG_METADATA!$B$4&lt;&gt;"OR+EX",--(DATOS!$G17473=CONFIG_METADATA!$B$4),IF(DATOS!$G17473="EX",1,IF(DATOS!$G17473="OR",--(COUNTIFS(nNIA,DATOS!$A17473,nCURSO,DATOS!$D17473,nESPEC,DATOS!$E17473,nASIG,DATOS!$I17473,nEVAL,"EX")=0),0))))</f>
      </c>
      <c r="H17473">
        <f>IF(DATOS!$G17473&lt;&gt;"EX",0,--(COUNTIFS(nNIA,DATOS!$A17473,nCURSO,DATOS!$D17473,nESPEC,DATOS!$E17473,nASIG,DATOS!$I17473,nEVAL,"OR")=0))</f>
      </c>
      <c r="I17473">
        <f>IF(DATOS!$I17473="","",IFERROR(VLOOKUP(DATOS!$I17473,CONFIG_ASIGNATURAS!$B$2:$J$91,9,FALSE()),""))</f>
      </c>
    </row>
    <row r="17474">
      <c r="F17474">
        <f>IF(DATOS!$A17474="","",DATOS!$A17474&amp;"|"&amp;DATOS!$D17474&amp;"|"&amp;DATOS!$E17474&amp;"|"&amp;DATOS!$I17474)</f>
      </c>
      <c r="G17474">
        <f>IF(DATOS!$A17474="",0,IF(CONFIG_METADATA!$B$4&lt;&gt;"OR+EX",--(DATOS!$G17474=CONFIG_METADATA!$B$4),IF(DATOS!$G17474="EX",1,IF(DATOS!$G17474="OR",--(COUNTIFS(nNIA,DATOS!$A17474,nCURSO,DATOS!$D17474,nESPEC,DATOS!$E17474,nASIG,DATOS!$I17474,nEVAL,"EX")=0),0))))</f>
      </c>
      <c r="H17474">
        <f>IF(DATOS!$G17474&lt;&gt;"EX",0,--(COUNTIFS(nNIA,DATOS!$A17474,nCURSO,DATOS!$D17474,nESPEC,DATOS!$E17474,nASIG,DATOS!$I17474,nEVAL,"OR")=0))</f>
      </c>
      <c r="I17474">
        <f>IF(DATOS!$I17474="","",IFERROR(VLOOKUP(DATOS!$I17474,CONFIG_ASIGNATURAS!$B$2:$J$91,9,FALSE()),""))</f>
      </c>
    </row>
    <row r="17475">
      <c r="F17475">
        <f>IF(DATOS!$A17475="","",DATOS!$A17475&amp;"|"&amp;DATOS!$D17475&amp;"|"&amp;DATOS!$E17475&amp;"|"&amp;DATOS!$I17475)</f>
      </c>
      <c r="G17475">
        <f>IF(DATOS!$A17475="",0,IF(CONFIG_METADATA!$B$4&lt;&gt;"OR+EX",--(DATOS!$G17475=CONFIG_METADATA!$B$4),IF(DATOS!$G17475="EX",1,IF(DATOS!$G17475="OR",--(COUNTIFS(nNIA,DATOS!$A17475,nCURSO,DATOS!$D17475,nESPEC,DATOS!$E17475,nASIG,DATOS!$I17475,nEVAL,"EX")=0),0))))</f>
      </c>
      <c r="H17475">
        <f>IF(DATOS!$G17475&lt;&gt;"EX",0,--(COUNTIFS(nNIA,DATOS!$A17475,nCURSO,DATOS!$D17475,nESPEC,DATOS!$E17475,nASIG,DATOS!$I17475,nEVAL,"OR")=0))</f>
      </c>
      <c r="I17475">
        <f>IF(DATOS!$I17475="","",IFERROR(VLOOKUP(DATOS!$I17475,CONFIG_ASIGNATURAS!$B$2:$J$91,9,FALSE()),""))</f>
      </c>
    </row>
    <row r="17476">
      <c r="F17476">
        <f>IF(DATOS!$A17476="","",DATOS!$A17476&amp;"|"&amp;DATOS!$D17476&amp;"|"&amp;DATOS!$E17476&amp;"|"&amp;DATOS!$I17476)</f>
      </c>
      <c r="G17476">
        <f>IF(DATOS!$A17476="",0,IF(CONFIG_METADATA!$B$4&lt;&gt;"OR+EX",--(DATOS!$G17476=CONFIG_METADATA!$B$4),IF(DATOS!$G17476="EX",1,IF(DATOS!$G17476="OR",--(COUNTIFS(nNIA,DATOS!$A17476,nCURSO,DATOS!$D17476,nESPEC,DATOS!$E17476,nASIG,DATOS!$I17476,nEVAL,"EX")=0),0))))</f>
      </c>
      <c r="H17476">
        <f>IF(DATOS!$G17476&lt;&gt;"EX",0,--(COUNTIFS(nNIA,DATOS!$A17476,nCURSO,DATOS!$D17476,nESPEC,DATOS!$E17476,nASIG,DATOS!$I17476,nEVAL,"OR")=0))</f>
      </c>
      <c r="I17476">
        <f>IF(DATOS!$I17476="","",IFERROR(VLOOKUP(DATOS!$I17476,CONFIG_ASIGNATURAS!$B$2:$J$91,9,FALSE()),""))</f>
      </c>
    </row>
    <row r="17477">
      <c r="F17477">
        <f>IF(DATOS!$A17477="","",DATOS!$A17477&amp;"|"&amp;DATOS!$D17477&amp;"|"&amp;DATOS!$E17477&amp;"|"&amp;DATOS!$I17477)</f>
      </c>
      <c r="G17477">
        <f>IF(DATOS!$A17477="",0,IF(CONFIG_METADATA!$B$4&lt;&gt;"OR+EX",--(DATOS!$G17477=CONFIG_METADATA!$B$4),IF(DATOS!$G17477="EX",1,IF(DATOS!$G17477="OR",--(COUNTIFS(nNIA,DATOS!$A17477,nCURSO,DATOS!$D17477,nESPEC,DATOS!$E17477,nASIG,DATOS!$I17477,nEVAL,"EX")=0),0))))</f>
      </c>
      <c r="H17477">
        <f>IF(DATOS!$G17477&lt;&gt;"EX",0,--(COUNTIFS(nNIA,DATOS!$A17477,nCURSO,DATOS!$D17477,nESPEC,DATOS!$E17477,nASIG,DATOS!$I17477,nEVAL,"OR")=0))</f>
      </c>
      <c r="I17477">
        <f>IF(DATOS!$I17477="","",IFERROR(VLOOKUP(DATOS!$I17477,CONFIG_ASIGNATURAS!$B$2:$J$91,9,FALSE()),""))</f>
      </c>
    </row>
    <row r="17478">
      <c r="F17478">
        <f>IF(DATOS!$A17478="","",DATOS!$A17478&amp;"|"&amp;DATOS!$D17478&amp;"|"&amp;DATOS!$E17478&amp;"|"&amp;DATOS!$I17478)</f>
      </c>
      <c r="G17478">
        <f>IF(DATOS!$A17478="",0,IF(CONFIG_METADATA!$B$4&lt;&gt;"OR+EX",--(DATOS!$G17478=CONFIG_METADATA!$B$4),IF(DATOS!$G17478="EX",1,IF(DATOS!$G17478="OR",--(COUNTIFS(nNIA,DATOS!$A17478,nCURSO,DATOS!$D17478,nESPEC,DATOS!$E17478,nASIG,DATOS!$I17478,nEVAL,"EX")=0),0))))</f>
      </c>
      <c r="H17478">
        <f>IF(DATOS!$G17478&lt;&gt;"EX",0,--(COUNTIFS(nNIA,DATOS!$A17478,nCURSO,DATOS!$D17478,nESPEC,DATOS!$E17478,nASIG,DATOS!$I17478,nEVAL,"OR")=0))</f>
      </c>
      <c r="I17478">
        <f>IF(DATOS!$I17478="","",IFERROR(VLOOKUP(DATOS!$I17478,CONFIG_ASIGNATURAS!$B$2:$J$91,9,FALSE()),""))</f>
      </c>
    </row>
    <row r="17479">
      <c r="F17479">
        <f>IF(DATOS!$A17479="","",DATOS!$A17479&amp;"|"&amp;DATOS!$D17479&amp;"|"&amp;DATOS!$E17479&amp;"|"&amp;DATOS!$I17479)</f>
      </c>
      <c r="G17479">
        <f>IF(DATOS!$A17479="",0,IF(CONFIG_METADATA!$B$4&lt;&gt;"OR+EX",--(DATOS!$G17479=CONFIG_METADATA!$B$4),IF(DATOS!$G17479="EX",1,IF(DATOS!$G17479="OR",--(COUNTIFS(nNIA,DATOS!$A17479,nCURSO,DATOS!$D17479,nESPEC,DATOS!$E17479,nASIG,DATOS!$I17479,nEVAL,"EX")=0),0))))</f>
      </c>
      <c r="H17479">
        <f>IF(DATOS!$G17479&lt;&gt;"EX",0,--(COUNTIFS(nNIA,DATOS!$A17479,nCURSO,DATOS!$D17479,nESPEC,DATOS!$E17479,nASIG,DATOS!$I17479,nEVAL,"OR")=0))</f>
      </c>
      <c r="I17479">
        <f>IF(DATOS!$I17479="","",IFERROR(VLOOKUP(DATOS!$I17479,CONFIG_ASIGNATURAS!$B$2:$J$91,9,FALSE()),""))</f>
      </c>
    </row>
    <row r="17480">
      <c r="F17480">
        <f>IF(DATOS!$A17480="","",DATOS!$A17480&amp;"|"&amp;DATOS!$D17480&amp;"|"&amp;DATOS!$E17480&amp;"|"&amp;DATOS!$I17480)</f>
      </c>
      <c r="G17480">
        <f>IF(DATOS!$A17480="",0,IF(CONFIG_METADATA!$B$4&lt;&gt;"OR+EX",--(DATOS!$G17480=CONFIG_METADATA!$B$4),IF(DATOS!$G17480="EX",1,IF(DATOS!$G17480="OR",--(COUNTIFS(nNIA,DATOS!$A17480,nCURSO,DATOS!$D17480,nESPEC,DATOS!$E17480,nASIG,DATOS!$I17480,nEVAL,"EX")=0),0))))</f>
      </c>
      <c r="H17480">
        <f>IF(DATOS!$G17480&lt;&gt;"EX",0,--(COUNTIFS(nNIA,DATOS!$A17480,nCURSO,DATOS!$D17480,nESPEC,DATOS!$E17480,nASIG,DATOS!$I17480,nEVAL,"OR")=0))</f>
      </c>
      <c r="I17480">
        <f>IF(DATOS!$I17480="","",IFERROR(VLOOKUP(DATOS!$I17480,CONFIG_ASIGNATURAS!$B$2:$J$91,9,FALSE()),""))</f>
      </c>
    </row>
    <row r="17481">
      <c r="F17481">
        <f>IF(DATOS!$A17481="","",DATOS!$A17481&amp;"|"&amp;DATOS!$D17481&amp;"|"&amp;DATOS!$E17481&amp;"|"&amp;DATOS!$I17481)</f>
      </c>
      <c r="G17481">
        <f>IF(DATOS!$A17481="",0,IF(CONFIG_METADATA!$B$4&lt;&gt;"OR+EX",--(DATOS!$G17481=CONFIG_METADATA!$B$4),IF(DATOS!$G17481="EX",1,IF(DATOS!$G17481="OR",--(COUNTIFS(nNIA,DATOS!$A17481,nCURSO,DATOS!$D17481,nESPEC,DATOS!$E17481,nASIG,DATOS!$I17481,nEVAL,"EX")=0),0))))</f>
      </c>
      <c r="H17481">
        <f>IF(DATOS!$G17481&lt;&gt;"EX",0,--(COUNTIFS(nNIA,DATOS!$A17481,nCURSO,DATOS!$D17481,nESPEC,DATOS!$E17481,nASIG,DATOS!$I17481,nEVAL,"OR")=0))</f>
      </c>
      <c r="I17481">
        <f>IF(DATOS!$I17481="","",IFERROR(VLOOKUP(DATOS!$I17481,CONFIG_ASIGNATURAS!$B$2:$J$91,9,FALSE()),""))</f>
      </c>
    </row>
    <row r="17482">
      <c r="F17482">
        <f>IF(DATOS!$A17482="","",DATOS!$A17482&amp;"|"&amp;DATOS!$D17482&amp;"|"&amp;DATOS!$E17482&amp;"|"&amp;DATOS!$I17482)</f>
      </c>
      <c r="G17482">
        <f>IF(DATOS!$A17482="",0,IF(CONFIG_METADATA!$B$4&lt;&gt;"OR+EX",--(DATOS!$G17482=CONFIG_METADATA!$B$4),IF(DATOS!$G17482="EX",1,IF(DATOS!$G17482="OR",--(COUNTIFS(nNIA,DATOS!$A17482,nCURSO,DATOS!$D17482,nESPEC,DATOS!$E17482,nASIG,DATOS!$I17482,nEVAL,"EX")=0),0))))</f>
      </c>
      <c r="H17482">
        <f>IF(DATOS!$G17482&lt;&gt;"EX",0,--(COUNTIFS(nNIA,DATOS!$A17482,nCURSO,DATOS!$D17482,nESPEC,DATOS!$E17482,nASIG,DATOS!$I17482,nEVAL,"OR")=0))</f>
      </c>
      <c r="I17482">
        <f>IF(DATOS!$I17482="","",IFERROR(VLOOKUP(DATOS!$I17482,CONFIG_ASIGNATURAS!$B$2:$J$91,9,FALSE()),""))</f>
      </c>
    </row>
    <row r="17483">
      <c r="F17483">
        <f>IF(DATOS!$A17483="","",DATOS!$A17483&amp;"|"&amp;DATOS!$D17483&amp;"|"&amp;DATOS!$E17483&amp;"|"&amp;DATOS!$I17483)</f>
      </c>
      <c r="G17483">
        <f>IF(DATOS!$A17483="",0,IF(CONFIG_METADATA!$B$4&lt;&gt;"OR+EX",--(DATOS!$G17483=CONFIG_METADATA!$B$4),IF(DATOS!$G17483="EX",1,IF(DATOS!$G17483="OR",--(COUNTIFS(nNIA,DATOS!$A17483,nCURSO,DATOS!$D17483,nESPEC,DATOS!$E17483,nASIG,DATOS!$I17483,nEVAL,"EX")=0),0))))</f>
      </c>
      <c r="H17483">
        <f>IF(DATOS!$G17483&lt;&gt;"EX",0,--(COUNTIFS(nNIA,DATOS!$A17483,nCURSO,DATOS!$D17483,nESPEC,DATOS!$E17483,nASIG,DATOS!$I17483,nEVAL,"OR")=0))</f>
      </c>
      <c r="I17483">
        <f>IF(DATOS!$I17483="","",IFERROR(VLOOKUP(DATOS!$I17483,CONFIG_ASIGNATURAS!$B$2:$J$91,9,FALSE()),""))</f>
      </c>
    </row>
    <row r="17484">
      <c r="F17484">
        <f>IF(DATOS!$A17484="","",DATOS!$A17484&amp;"|"&amp;DATOS!$D17484&amp;"|"&amp;DATOS!$E17484&amp;"|"&amp;DATOS!$I17484)</f>
      </c>
      <c r="G17484">
        <f>IF(DATOS!$A17484="",0,IF(CONFIG_METADATA!$B$4&lt;&gt;"OR+EX",--(DATOS!$G17484=CONFIG_METADATA!$B$4),IF(DATOS!$G17484="EX",1,IF(DATOS!$G17484="OR",--(COUNTIFS(nNIA,DATOS!$A17484,nCURSO,DATOS!$D17484,nESPEC,DATOS!$E17484,nASIG,DATOS!$I17484,nEVAL,"EX")=0),0))))</f>
      </c>
      <c r="H17484">
        <f>IF(DATOS!$G17484&lt;&gt;"EX",0,--(COUNTIFS(nNIA,DATOS!$A17484,nCURSO,DATOS!$D17484,nESPEC,DATOS!$E17484,nASIG,DATOS!$I17484,nEVAL,"OR")=0))</f>
      </c>
      <c r="I17484">
        <f>IF(DATOS!$I17484="","",IFERROR(VLOOKUP(DATOS!$I17484,CONFIG_ASIGNATURAS!$B$2:$J$91,9,FALSE()),""))</f>
      </c>
    </row>
    <row r="17485">
      <c r="F17485">
        <f>IF(DATOS!$A17485="","",DATOS!$A17485&amp;"|"&amp;DATOS!$D17485&amp;"|"&amp;DATOS!$E17485&amp;"|"&amp;DATOS!$I17485)</f>
      </c>
      <c r="G17485">
        <f>IF(DATOS!$A17485="",0,IF(CONFIG_METADATA!$B$4&lt;&gt;"OR+EX",--(DATOS!$G17485=CONFIG_METADATA!$B$4),IF(DATOS!$G17485="EX",1,IF(DATOS!$G17485="OR",--(COUNTIFS(nNIA,DATOS!$A17485,nCURSO,DATOS!$D17485,nESPEC,DATOS!$E17485,nASIG,DATOS!$I17485,nEVAL,"EX")=0),0))))</f>
      </c>
      <c r="H17485">
        <f>IF(DATOS!$G17485&lt;&gt;"EX",0,--(COUNTIFS(nNIA,DATOS!$A17485,nCURSO,DATOS!$D17485,nESPEC,DATOS!$E17485,nASIG,DATOS!$I17485,nEVAL,"OR")=0))</f>
      </c>
      <c r="I17485">
        <f>IF(DATOS!$I17485="","",IFERROR(VLOOKUP(DATOS!$I17485,CONFIG_ASIGNATURAS!$B$2:$J$91,9,FALSE()),""))</f>
      </c>
    </row>
    <row r="17486">
      <c r="F17486">
        <f>IF(DATOS!$A17486="","",DATOS!$A17486&amp;"|"&amp;DATOS!$D17486&amp;"|"&amp;DATOS!$E17486&amp;"|"&amp;DATOS!$I17486)</f>
      </c>
      <c r="G17486">
        <f>IF(DATOS!$A17486="",0,IF(CONFIG_METADATA!$B$4&lt;&gt;"OR+EX",--(DATOS!$G17486=CONFIG_METADATA!$B$4),IF(DATOS!$G17486="EX",1,IF(DATOS!$G17486="OR",--(COUNTIFS(nNIA,DATOS!$A17486,nCURSO,DATOS!$D17486,nESPEC,DATOS!$E17486,nASIG,DATOS!$I17486,nEVAL,"EX")=0),0))))</f>
      </c>
      <c r="H17486">
        <f>IF(DATOS!$G17486&lt;&gt;"EX",0,--(COUNTIFS(nNIA,DATOS!$A17486,nCURSO,DATOS!$D17486,nESPEC,DATOS!$E17486,nASIG,DATOS!$I17486,nEVAL,"OR")=0))</f>
      </c>
      <c r="I17486">
        <f>IF(DATOS!$I17486="","",IFERROR(VLOOKUP(DATOS!$I17486,CONFIG_ASIGNATURAS!$B$2:$J$91,9,FALSE()),""))</f>
      </c>
    </row>
    <row r="17487">
      <c r="F17487">
        <f>IF(DATOS!$A17487="","",DATOS!$A17487&amp;"|"&amp;DATOS!$D17487&amp;"|"&amp;DATOS!$E17487&amp;"|"&amp;DATOS!$I17487)</f>
      </c>
      <c r="G17487">
        <f>IF(DATOS!$A17487="",0,IF(CONFIG_METADATA!$B$4&lt;&gt;"OR+EX",--(DATOS!$G17487=CONFIG_METADATA!$B$4),IF(DATOS!$G17487="EX",1,IF(DATOS!$G17487="OR",--(COUNTIFS(nNIA,DATOS!$A17487,nCURSO,DATOS!$D17487,nESPEC,DATOS!$E17487,nASIG,DATOS!$I17487,nEVAL,"EX")=0),0))))</f>
      </c>
      <c r="H17487">
        <f>IF(DATOS!$G17487&lt;&gt;"EX",0,--(COUNTIFS(nNIA,DATOS!$A17487,nCURSO,DATOS!$D17487,nESPEC,DATOS!$E17487,nASIG,DATOS!$I17487,nEVAL,"OR")=0))</f>
      </c>
      <c r="I17487">
        <f>IF(DATOS!$I17487="","",IFERROR(VLOOKUP(DATOS!$I17487,CONFIG_ASIGNATURAS!$B$2:$J$91,9,FALSE()),""))</f>
      </c>
    </row>
    <row r="17488">
      <c r="F17488">
        <f>IF(DATOS!$A17488="","",DATOS!$A17488&amp;"|"&amp;DATOS!$D17488&amp;"|"&amp;DATOS!$E17488&amp;"|"&amp;DATOS!$I17488)</f>
      </c>
      <c r="G17488">
        <f>IF(DATOS!$A17488="",0,IF(CONFIG_METADATA!$B$4&lt;&gt;"OR+EX",--(DATOS!$G17488=CONFIG_METADATA!$B$4),IF(DATOS!$G17488="EX",1,IF(DATOS!$G17488="OR",--(COUNTIFS(nNIA,DATOS!$A17488,nCURSO,DATOS!$D17488,nESPEC,DATOS!$E17488,nASIG,DATOS!$I17488,nEVAL,"EX")=0),0))))</f>
      </c>
      <c r="H17488">
        <f>IF(DATOS!$G17488&lt;&gt;"EX",0,--(COUNTIFS(nNIA,DATOS!$A17488,nCURSO,DATOS!$D17488,nESPEC,DATOS!$E17488,nASIG,DATOS!$I17488,nEVAL,"OR")=0))</f>
      </c>
      <c r="I17488">
        <f>IF(DATOS!$I17488="","",IFERROR(VLOOKUP(DATOS!$I17488,CONFIG_ASIGNATURAS!$B$2:$J$91,9,FALSE()),""))</f>
      </c>
    </row>
    <row r="17489">
      <c r="F17489">
        <f>IF(DATOS!$A17489="","",DATOS!$A17489&amp;"|"&amp;DATOS!$D17489&amp;"|"&amp;DATOS!$E17489&amp;"|"&amp;DATOS!$I17489)</f>
      </c>
      <c r="G17489">
        <f>IF(DATOS!$A17489="",0,IF(CONFIG_METADATA!$B$4&lt;&gt;"OR+EX",--(DATOS!$G17489=CONFIG_METADATA!$B$4),IF(DATOS!$G17489="EX",1,IF(DATOS!$G17489="OR",--(COUNTIFS(nNIA,DATOS!$A17489,nCURSO,DATOS!$D17489,nESPEC,DATOS!$E17489,nASIG,DATOS!$I17489,nEVAL,"EX")=0),0))))</f>
      </c>
      <c r="H17489">
        <f>IF(DATOS!$G17489&lt;&gt;"EX",0,--(COUNTIFS(nNIA,DATOS!$A17489,nCURSO,DATOS!$D17489,nESPEC,DATOS!$E17489,nASIG,DATOS!$I17489,nEVAL,"OR")=0))</f>
      </c>
      <c r="I17489">
        <f>IF(DATOS!$I17489="","",IFERROR(VLOOKUP(DATOS!$I17489,CONFIG_ASIGNATURAS!$B$2:$J$91,9,FALSE()),""))</f>
      </c>
    </row>
    <row r="17490">
      <c r="F17490">
        <f>IF(DATOS!$A17490="","",DATOS!$A17490&amp;"|"&amp;DATOS!$D17490&amp;"|"&amp;DATOS!$E17490&amp;"|"&amp;DATOS!$I17490)</f>
      </c>
      <c r="G17490">
        <f>IF(DATOS!$A17490="",0,IF(CONFIG_METADATA!$B$4&lt;&gt;"OR+EX",--(DATOS!$G17490=CONFIG_METADATA!$B$4),IF(DATOS!$G17490="EX",1,IF(DATOS!$G17490="OR",--(COUNTIFS(nNIA,DATOS!$A17490,nCURSO,DATOS!$D17490,nESPEC,DATOS!$E17490,nASIG,DATOS!$I17490,nEVAL,"EX")=0),0))))</f>
      </c>
      <c r="H17490">
        <f>IF(DATOS!$G17490&lt;&gt;"EX",0,--(COUNTIFS(nNIA,DATOS!$A17490,nCURSO,DATOS!$D17490,nESPEC,DATOS!$E17490,nASIG,DATOS!$I17490,nEVAL,"OR")=0))</f>
      </c>
      <c r="I17490">
        <f>IF(DATOS!$I17490="","",IFERROR(VLOOKUP(DATOS!$I17490,CONFIG_ASIGNATURAS!$B$2:$J$91,9,FALSE()),""))</f>
      </c>
    </row>
    <row r="17491">
      <c r="F17491">
        <f>IF(DATOS!$A17491="","",DATOS!$A17491&amp;"|"&amp;DATOS!$D17491&amp;"|"&amp;DATOS!$E17491&amp;"|"&amp;DATOS!$I17491)</f>
      </c>
      <c r="G17491">
        <f>IF(DATOS!$A17491="",0,IF(CONFIG_METADATA!$B$4&lt;&gt;"OR+EX",--(DATOS!$G17491=CONFIG_METADATA!$B$4),IF(DATOS!$G17491="EX",1,IF(DATOS!$G17491="OR",--(COUNTIFS(nNIA,DATOS!$A17491,nCURSO,DATOS!$D17491,nESPEC,DATOS!$E17491,nASIG,DATOS!$I17491,nEVAL,"EX")=0),0))))</f>
      </c>
      <c r="H17491">
        <f>IF(DATOS!$G17491&lt;&gt;"EX",0,--(COUNTIFS(nNIA,DATOS!$A17491,nCURSO,DATOS!$D17491,nESPEC,DATOS!$E17491,nASIG,DATOS!$I17491,nEVAL,"OR")=0))</f>
      </c>
      <c r="I17491">
        <f>IF(DATOS!$I17491="","",IFERROR(VLOOKUP(DATOS!$I17491,CONFIG_ASIGNATURAS!$B$2:$J$91,9,FALSE()),""))</f>
      </c>
    </row>
    <row r="17492">
      <c r="F17492">
        <f>IF(DATOS!$A17492="","",DATOS!$A17492&amp;"|"&amp;DATOS!$D17492&amp;"|"&amp;DATOS!$E17492&amp;"|"&amp;DATOS!$I17492)</f>
      </c>
      <c r="G17492">
        <f>IF(DATOS!$A17492="",0,IF(CONFIG_METADATA!$B$4&lt;&gt;"OR+EX",--(DATOS!$G17492=CONFIG_METADATA!$B$4),IF(DATOS!$G17492="EX",1,IF(DATOS!$G17492="OR",--(COUNTIFS(nNIA,DATOS!$A17492,nCURSO,DATOS!$D17492,nESPEC,DATOS!$E17492,nASIG,DATOS!$I17492,nEVAL,"EX")=0),0))))</f>
      </c>
      <c r="H17492">
        <f>IF(DATOS!$G17492&lt;&gt;"EX",0,--(COUNTIFS(nNIA,DATOS!$A17492,nCURSO,DATOS!$D17492,nESPEC,DATOS!$E17492,nASIG,DATOS!$I17492,nEVAL,"OR")=0))</f>
      </c>
      <c r="I17492">
        <f>IF(DATOS!$I17492="","",IFERROR(VLOOKUP(DATOS!$I17492,CONFIG_ASIGNATURAS!$B$2:$J$91,9,FALSE()),""))</f>
      </c>
    </row>
    <row r="17493">
      <c r="F17493">
        <f>IF(DATOS!$A17493="","",DATOS!$A17493&amp;"|"&amp;DATOS!$D17493&amp;"|"&amp;DATOS!$E17493&amp;"|"&amp;DATOS!$I17493)</f>
      </c>
      <c r="G17493">
        <f>IF(DATOS!$A17493="",0,IF(CONFIG_METADATA!$B$4&lt;&gt;"OR+EX",--(DATOS!$G17493=CONFIG_METADATA!$B$4),IF(DATOS!$G17493="EX",1,IF(DATOS!$G17493="OR",--(COUNTIFS(nNIA,DATOS!$A17493,nCURSO,DATOS!$D17493,nESPEC,DATOS!$E17493,nASIG,DATOS!$I17493,nEVAL,"EX")=0),0))))</f>
      </c>
      <c r="H17493">
        <f>IF(DATOS!$G17493&lt;&gt;"EX",0,--(COUNTIFS(nNIA,DATOS!$A17493,nCURSO,DATOS!$D17493,nESPEC,DATOS!$E17493,nASIG,DATOS!$I17493,nEVAL,"OR")=0))</f>
      </c>
      <c r="I17493">
        <f>IF(DATOS!$I17493="","",IFERROR(VLOOKUP(DATOS!$I17493,CONFIG_ASIGNATURAS!$B$2:$J$91,9,FALSE()),""))</f>
      </c>
    </row>
    <row r="17494">
      <c r="F17494">
        <f>IF(DATOS!$A17494="","",DATOS!$A17494&amp;"|"&amp;DATOS!$D17494&amp;"|"&amp;DATOS!$E17494&amp;"|"&amp;DATOS!$I17494)</f>
      </c>
      <c r="G17494">
        <f>IF(DATOS!$A17494="",0,IF(CONFIG_METADATA!$B$4&lt;&gt;"OR+EX",--(DATOS!$G17494=CONFIG_METADATA!$B$4),IF(DATOS!$G17494="EX",1,IF(DATOS!$G17494="OR",--(COUNTIFS(nNIA,DATOS!$A17494,nCURSO,DATOS!$D17494,nESPEC,DATOS!$E17494,nASIG,DATOS!$I17494,nEVAL,"EX")=0),0))))</f>
      </c>
      <c r="H17494">
        <f>IF(DATOS!$G17494&lt;&gt;"EX",0,--(COUNTIFS(nNIA,DATOS!$A17494,nCURSO,DATOS!$D17494,nESPEC,DATOS!$E17494,nASIG,DATOS!$I17494,nEVAL,"OR")=0))</f>
      </c>
      <c r="I17494">
        <f>IF(DATOS!$I17494="","",IFERROR(VLOOKUP(DATOS!$I17494,CONFIG_ASIGNATURAS!$B$2:$J$91,9,FALSE()),""))</f>
      </c>
    </row>
    <row r="17495">
      <c r="F17495">
        <f>IF(DATOS!$A17495="","",DATOS!$A17495&amp;"|"&amp;DATOS!$D17495&amp;"|"&amp;DATOS!$E17495&amp;"|"&amp;DATOS!$I17495)</f>
      </c>
      <c r="G17495">
        <f>IF(DATOS!$A17495="",0,IF(CONFIG_METADATA!$B$4&lt;&gt;"OR+EX",--(DATOS!$G17495=CONFIG_METADATA!$B$4),IF(DATOS!$G17495="EX",1,IF(DATOS!$G17495="OR",--(COUNTIFS(nNIA,DATOS!$A17495,nCURSO,DATOS!$D17495,nESPEC,DATOS!$E17495,nASIG,DATOS!$I17495,nEVAL,"EX")=0),0))))</f>
      </c>
      <c r="H17495">
        <f>IF(DATOS!$G17495&lt;&gt;"EX",0,--(COUNTIFS(nNIA,DATOS!$A17495,nCURSO,DATOS!$D17495,nESPEC,DATOS!$E17495,nASIG,DATOS!$I17495,nEVAL,"OR")=0))</f>
      </c>
      <c r="I17495">
        <f>IF(DATOS!$I17495="","",IFERROR(VLOOKUP(DATOS!$I17495,CONFIG_ASIGNATURAS!$B$2:$J$91,9,FALSE()),""))</f>
      </c>
    </row>
    <row r="17496">
      <c r="F17496">
        <f>IF(DATOS!$A17496="","",DATOS!$A17496&amp;"|"&amp;DATOS!$D17496&amp;"|"&amp;DATOS!$E17496&amp;"|"&amp;DATOS!$I17496)</f>
      </c>
      <c r="G17496">
        <f>IF(DATOS!$A17496="",0,IF(CONFIG_METADATA!$B$4&lt;&gt;"OR+EX",--(DATOS!$G17496=CONFIG_METADATA!$B$4),IF(DATOS!$G17496="EX",1,IF(DATOS!$G17496="OR",--(COUNTIFS(nNIA,DATOS!$A17496,nCURSO,DATOS!$D17496,nESPEC,DATOS!$E17496,nASIG,DATOS!$I17496,nEVAL,"EX")=0),0))))</f>
      </c>
      <c r="H17496">
        <f>IF(DATOS!$G17496&lt;&gt;"EX",0,--(COUNTIFS(nNIA,DATOS!$A17496,nCURSO,DATOS!$D17496,nESPEC,DATOS!$E17496,nASIG,DATOS!$I17496,nEVAL,"OR")=0))</f>
      </c>
      <c r="I17496">
        <f>IF(DATOS!$I17496="","",IFERROR(VLOOKUP(DATOS!$I17496,CONFIG_ASIGNATURAS!$B$2:$J$91,9,FALSE()),""))</f>
      </c>
    </row>
    <row r="17497">
      <c r="F17497">
        <f>IF(DATOS!$A17497="","",DATOS!$A17497&amp;"|"&amp;DATOS!$D17497&amp;"|"&amp;DATOS!$E17497&amp;"|"&amp;DATOS!$I17497)</f>
      </c>
      <c r="G17497">
        <f>IF(DATOS!$A17497="",0,IF(CONFIG_METADATA!$B$4&lt;&gt;"OR+EX",--(DATOS!$G17497=CONFIG_METADATA!$B$4),IF(DATOS!$G17497="EX",1,IF(DATOS!$G17497="OR",--(COUNTIFS(nNIA,DATOS!$A17497,nCURSO,DATOS!$D17497,nESPEC,DATOS!$E17497,nASIG,DATOS!$I17497,nEVAL,"EX")=0),0))))</f>
      </c>
      <c r="H17497">
        <f>IF(DATOS!$G17497&lt;&gt;"EX",0,--(COUNTIFS(nNIA,DATOS!$A17497,nCURSO,DATOS!$D17497,nESPEC,DATOS!$E17497,nASIG,DATOS!$I17497,nEVAL,"OR")=0))</f>
      </c>
      <c r="I17497">
        <f>IF(DATOS!$I17497="","",IFERROR(VLOOKUP(DATOS!$I17497,CONFIG_ASIGNATURAS!$B$2:$J$91,9,FALSE()),""))</f>
      </c>
    </row>
    <row r="17498">
      <c r="F17498">
        <f>IF(DATOS!$A17498="","",DATOS!$A17498&amp;"|"&amp;DATOS!$D17498&amp;"|"&amp;DATOS!$E17498&amp;"|"&amp;DATOS!$I17498)</f>
      </c>
      <c r="G17498">
        <f>IF(DATOS!$A17498="",0,IF(CONFIG_METADATA!$B$4&lt;&gt;"OR+EX",--(DATOS!$G17498=CONFIG_METADATA!$B$4),IF(DATOS!$G17498="EX",1,IF(DATOS!$G17498="OR",--(COUNTIFS(nNIA,DATOS!$A17498,nCURSO,DATOS!$D17498,nESPEC,DATOS!$E17498,nASIG,DATOS!$I17498,nEVAL,"EX")=0),0))))</f>
      </c>
      <c r="H17498">
        <f>IF(DATOS!$G17498&lt;&gt;"EX",0,--(COUNTIFS(nNIA,DATOS!$A17498,nCURSO,DATOS!$D17498,nESPEC,DATOS!$E17498,nASIG,DATOS!$I17498,nEVAL,"OR")=0))</f>
      </c>
      <c r="I17498">
        <f>IF(DATOS!$I17498="","",IFERROR(VLOOKUP(DATOS!$I17498,CONFIG_ASIGNATURAS!$B$2:$J$91,9,FALSE()),""))</f>
      </c>
    </row>
    <row r="17499">
      <c r="F17499">
        <f>IF(DATOS!$A17499="","",DATOS!$A17499&amp;"|"&amp;DATOS!$D17499&amp;"|"&amp;DATOS!$E17499&amp;"|"&amp;DATOS!$I17499)</f>
      </c>
      <c r="G17499">
        <f>IF(DATOS!$A17499="",0,IF(CONFIG_METADATA!$B$4&lt;&gt;"OR+EX",--(DATOS!$G17499=CONFIG_METADATA!$B$4),IF(DATOS!$G17499="EX",1,IF(DATOS!$G17499="OR",--(COUNTIFS(nNIA,DATOS!$A17499,nCURSO,DATOS!$D17499,nESPEC,DATOS!$E17499,nASIG,DATOS!$I17499,nEVAL,"EX")=0),0))))</f>
      </c>
      <c r="H17499">
        <f>IF(DATOS!$G17499&lt;&gt;"EX",0,--(COUNTIFS(nNIA,DATOS!$A17499,nCURSO,DATOS!$D17499,nESPEC,DATOS!$E17499,nASIG,DATOS!$I17499,nEVAL,"OR")=0))</f>
      </c>
      <c r="I17499">
        <f>IF(DATOS!$I17499="","",IFERROR(VLOOKUP(DATOS!$I17499,CONFIG_ASIGNATURAS!$B$2:$J$91,9,FALSE()),""))</f>
      </c>
    </row>
    <row r="17500">
      <c r="F17500">
        <f>IF(DATOS!$A17500="","",DATOS!$A17500&amp;"|"&amp;DATOS!$D17500&amp;"|"&amp;DATOS!$E17500&amp;"|"&amp;DATOS!$I17500)</f>
      </c>
      <c r="G17500">
        <f>IF(DATOS!$A17500="",0,IF(CONFIG_METADATA!$B$4&lt;&gt;"OR+EX",--(DATOS!$G17500=CONFIG_METADATA!$B$4),IF(DATOS!$G17500="EX",1,IF(DATOS!$G17500="OR",--(COUNTIFS(nNIA,DATOS!$A17500,nCURSO,DATOS!$D17500,nESPEC,DATOS!$E17500,nASIG,DATOS!$I17500,nEVAL,"EX")=0),0))))</f>
      </c>
      <c r="H17500">
        <f>IF(DATOS!$G17500&lt;&gt;"EX",0,--(COUNTIFS(nNIA,DATOS!$A17500,nCURSO,DATOS!$D17500,nESPEC,DATOS!$E17500,nASIG,DATOS!$I17500,nEVAL,"OR")=0))</f>
      </c>
      <c r="I17500">
        <f>IF(DATOS!$I17500="","",IFERROR(VLOOKUP(DATOS!$I17500,CONFIG_ASIGNATURAS!$B$2:$J$91,9,FALSE()),""))</f>
      </c>
    </row>
    <row r="17501">
      <c r="F17501">
        <f>IF(DATOS!$A17501="","",DATOS!$A17501&amp;"|"&amp;DATOS!$D17501&amp;"|"&amp;DATOS!$E17501&amp;"|"&amp;DATOS!$I17501)</f>
      </c>
      <c r="G17501">
        <f>IF(DATOS!$A17501="",0,IF(CONFIG_METADATA!$B$4&lt;&gt;"OR+EX",--(DATOS!$G17501=CONFIG_METADATA!$B$4),IF(DATOS!$G17501="EX",1,IF(DATOS!$G17501="OR",--(COUNTIFS(nNIA,DATOS!$A17501,nCURSO,DATOS!$D17501,nESPEC,DATOS!$E17501,nASIG,DATOS!$I17501,nEVAL,"EX")=0),0))))</f>
      </c>
      <c r="H17501">
        <f>IF(DATOS!$G17501&lt;&gt;"EX",0,--(COUNTIFS(nNIA,DATOS!$A17501,nCURSO,DATOS!$D17501,nESPEC,DATOS!$E17501,nASIG,DATOS!$I17501,nEVAL,"OR")=0))</f>
      </c>
      <c r="I17501">
        <f>IF(DATOS!$I17501="","",IFERROR(VLOOKUP(DATOS!$I17501,CONFIG_ASIGNATURAS!$B$2:$J$91,9,FALSE()),""))</f>
      </c>
    </row>
    <row r="17502">
      <c r="F17502">
        <f>IF(DATOS!$A17502="","",DATOS!$A17502&amp;"|"&amp;DATOS!$D17502&amp;"|"&amp;DATOS!$E17502&amp;"|"&amp;DATOS!$I17502)</f>
      </c>
      <c r="G17502">
        <f>IF(DATOS!$A17502="",0,IF(CONFIG_METADATA!$B$4&lt;&gt;"OR+EX",--(DATOS!$G17502=CONFIG_METADATA!$B$4),IF(DATOS!$G17502="EX",1,IF(DATOS!$G17502="OR",--(COUNTIFS(nNIA,DATOS!$A17502,nCURSO,DATOS!$D17502,nESPEC,DATOS!$E17502,nASIG,DATOS!$I17502,nEVAL,"EX")=0),0))))</f>
      </c>
      <c r="H17502">
        <f>IF(DATOS!$G17502&lt;&gt;"EX",0,--(COUNTIFS(nNIA,DATOS!$A17502,nCURSO,DATOS!$D17502,nESPEC,DATOS!$E17502,nASIG,DATOS!$I17502,nEVAL,"OR")=0))</f>
      </c>
      <c r="I17502">
        <f>IF(DATOS!$I17502="","",IFERROR(VLOOKUP(DATOS!$I17502,CONFIG_ASIGNATURAS!$B$2:$J$91,9,FALSE()),""))</f>
      </c>
    </row>
    <row r="17503">
      <c r="F17503">
        <f>IF(DATOS!$A17503="","",DATOS!$A17503&amp;"|"&amp;DATOS!$D17503&amp;"|"&amp;DATOS!$E17503&amp;"|"&amp;DATOS!$I17503)</f>
      </c>
      <c r="G17503">
        <f>IF(DATOS!$A17503="",0,IF(CONFIG_METADATA!$B$4&lt;&gt;"OR+EX",--(DATOS!$G17503=CONFIG_METADATA!$B$4),IF(DATOS!$G17503="EX",1,IF(DATOS!$G17503="OR",--(COUNTIFS(nNIA,DATOS!$A17503,nCURSO,DATOS!$D17503,nESPEC,DATOS!$E17503,nASIG,DATOS!$I17503,nEVAL,"EX")=0),0))))</f>
      </c>
      <c r="H17503">
        <f>IF(DATOS!$G17503&lt;&gt;"EX",0,--(COUNTIFS(nNIA,DATOS!$A17503,nCURSO,DATOS!$D17503,nESPEC,DATOS!$E17503,nASIG,DATOS!$I17503,nEVAL,"OR")=0))</f>
      </c>
      <c r="I17503">
        <f>IF(DATOS!$I17503="","",IFERROR(VLOOKUP(DATOS!$I17503,CONFIG_ASIGNATURAS!$B$2:$J$91,9,FALSE()),""))</f>
      </c>
    </row>
    <row r="17504">
      <c r="F17504">
        <f>IF(DATOS!$A17504="","",DATOS!$A17504&amp;"|"&amp;DATOS!$D17504&amp;"|"&amp;DATOS!$E17504&amp;"|"&amp;DATOS!$I17504)</f>
      </c>
      <c r="G17504">
        <f>IF(DATOS!$A17504="",0,IF(CONFIG_METADATA!$B$4&lt;&gt;"OR+EX",--(DATOS!$G17504=CONFIG_METADATA!$B$4),IF(DATOS!$G17504="EX",1,IF(DATOS!$G17504="OR",--(COUNTIFS(nNIA,DATOS!$A17504,nCURSO,DATOS!$D17504,nESPEC,DATOS!$E17504,nASIG,DATOS!$I17504,nEVAL,"EX")=0),0))))</f>
      </c>
      <c r="H17504">
        <f>IF(DATOS!$G17504&lt;&gt;"EX",0,--(COUNTIFS(nNIA,DATOS!$A17504,nCURSO,DATOS!$D17504,nESPEC,DATOS!$E17504,nASIG,DATOS!$I17504,nEVAL,"OR")=0))</f>
      </c>
      <c r="I17504">
        <f>IF(DATOS!$I17504="","",IFERROR(VLOOKUP(DATOS!$I17504,CONFIG_ASIGNATURAS!$B$2:$J$91,9,FALSE()),""))</f>
      </c>
    </row>
    <row r="17505">
      <c r="F17505">
        <f>IF(DATOS!$A17505="","",DATOS!$A17505&amp;"|"&amp;DATOS!$D17505&amp;"|"&amp;DATOS!$E17505&amp;"|"&amp;DATOS!$I17505)</f>
      </c>
      <c r="G17505">
        <f>IF(DATOS!$A17505="",0,IF(CONFIG_METADATA!$B$4&lt;&gt;"OR+EX",--(DATOS!$G17505=CONFIG_METADATA!$B$4),IF(DATOS!$G17505="EX",1,IF(DATOS!$G17505="OR",--(COUNTIFS(nNIA,DATOS!$A17505,nCURSO,DATOS!$D17505,nESPEC,DATOS!$E17505,nASIG,DATOS!$I17505,nEVAL,"EX")=0),0))))</f>
      </c>
      <c r="H17505">
        <f>IF(DATOS!$G17505&lt;&gt;"EX",0,--(COUNTIFS(nNIA,DATOS!$A17505,nCURSO,DATOS!$D17505,nESPEC,DATOS!$E17505,nASIG,DATOS!$I17505,nEVAL,"OR")=0))</f>
      </c>
      <c r="I17505">
        <f>IF(DATOS!$I17505="","",IFERROR(VLOOKUP(DATOS!$I17505,CONFIG_ASIGNATURAS!$B$2:$J$91,9,FALSE()),""))</f>
      </c>
    </row>
    <row r="17506">
      <c r="F17506">
        <f>IF(DATOS!$A17506="","",DATOS!$A17506&amp;"|"&amp;DATOS!$D17506&amp;"|"&amp;DATOS!$E17506&amp;"|"&amp;DATOS!$I17506)</f>
      </c>
      <c r="G17506">
        <f>IF(DATOS!$A17506="",0,IF(CONFIG_METADATA!$B$4&lt;&gt;"OR+EX",--(DATOS!$G17506=CONFIG_METADATA!$B$4),IF(DATOS!$G17506="EX",1,IF(DATOS!$G17506="OR",--(COUNTIFS(nNIA,DATOS!$A17506,nCURSO,DATOS!$D17506,nESPEC,DATOS!$E17506,nASIG,DATOS!$I17506,nEVAL,"EX")=0),0))))</f>
      </c>
      <c r="H17506">
        <f>IF(DATOS!$G17506&lt;&gt;"EX",0,--(COUNTIFS(nNIA,DATOS!$A17506,nCURSO,DATOS!$D17506,nESPEC,DATOS!$E17506,nASIG,DATOS!$I17506,nEVAL,"OR")=0))</f>
      </c>
      <c r="I17506">
        <f>IF(DATOS!$I17506="","",IFERROR(VLOOKUP(DATOS!$I17506,CONFIG_ASIGNATURAS!$B$2:$J$91,9,FALSE()),""))</f>
      </c>
    </row>
    <row r="17507">
      <c r="F17507">
        <f>IF(DATOS!$A17507="","",DATOS!$A17507&amp;"|"&amp;DATOS!$D17507&amp;"|"&amp;DATOS!$E17507&amp;"|"&amp;DATOS!$I17507)</f>
      </c>
      <c r="G17507">
        <f>IF(DATOS!$A17507="",0,IF(CONFIG_METADATA!$B$4&lt;&gt;"OR+EX",--(DATOS!$G17507=CONFIG_METADATA!$B$4),IF(DATOS!$G17507="EX",1,IF(DATOS!$G17507="OR",--(COUNTIFS(nNIA,DATOS!$A17507,nCURSO,DATOS!$D17507,nESPEC,DATOS!$E17507,nASIG,DATOS!$I17507,nEVAL,"EX")=0),0))))</f>
      </c>
      <c r="H17507">
        <f>IF(DATOS!$G17507&lt;&gt;"EX",0,--(COUNTIFS(nNIA,DATOS!$A17507,nCURSO,DATOS!$D17507,nESPEC,DATOS!$E17507,nASIG,DATOS!$I17507,nEVAL,"OR")=0))</f>
      </c>
      <c r="I17507">
        <f>IF(DATOS!$I17507="","",IFERROR(VLOOKUP(DATOS!$I17507,CONFIG_ASIGNATURAS!$B$2:$J$91,9,FALSE()),""))</f>
      </c>
    </row>
    <row r="17508">
      <c r="F17508">
        <f>IF(DATOS!$A17508="","",DATOS!$A17508&amp;"|"&amp;DATOS!$D17508&amp;"|"&amp;DATOS!$E17508&amp;"|"&amp;DATOS!$I17508)</f>
      </c>
      <c r="G17508">
        <f>IF(DATOS!$A17508="",0,IF(CONFIG_METADATA!$B$4&lt;&gt;"OR+EX",--(DATOS!$G17508=CONFIG_METADATA!$B$4),IF(DATOS!$G17508="EX",1,IF(DATOS!$G17508="OR",--(COUNTIFS(nNIA,DATOS!$A17508,nCURSO,DATOS!$D17508,nESPEC,DATOS!$E17508,nASIG,DATOS!$I17508,nEVAL,"EX")=0),0))))</f>
      </c>
      <c r="H17508">
        <f>IF(DATOS!$G17508&lt;&gt;"EX",0,--(COUNTIFS(nNIA,DATOS!$A17508,nCURSO,DATOS!$D17508,nESPEC,DATOS!$E17508,nASIG,DATOS!$I17508,nEVAL,"OR")=0))</f>
      </c>
      <c r="I17508">
        <f>IF(DATOS!$I17508="","",IFERROR(VLOOKUP(DATOS!$I17508,CONFIG_ASIGNATURAS!$B$2:$J$91,9,FALSE()),""))</f>
      </c>
    </row>
    <row r="17509">
      <c r="F17509">
        <f>IF(DATOS!$A17509="","",DATOS!$A17509&amp;"|"&amp;DATOS!$D17509&amp;"|"&amp;DATOS!$E17509&amp;"|"&amp;DATOS!$I17509)</f>
      </c>
      <c r="G17509">
        <f>IF(DATOS!$A17509="",0,IF(CONFIG_METADATA!$B$4&lt;&gt;"OR+EX",--(DATOS!$G17509=CONFIG_METADATA!$B$4),IF(DATOS!$G17509="EX",1,IF(DATOS!$G17509="OR",--(COUNTIFS(nNIA,DATOS!$A17509,nCURSO,DATOS!$D17509,nESPEC,DATOS!$E17509,nASIG,DATOS!$I17509,nEVAL,"EX")=0),0))))</f>
      </c>
      <c r="H17509">
        <f>IF(DATOS!$G17509&lt;&gt;"EX",0,--(COUNTIFS(nNIA,DATOS!$A17509,nCURSO,DATOS!$D17509,nESPEC,DATOS!$E17509,nASIG,DATOS!$I17509,nEVAL,"OR")=0))</f>
      </c>
      <c r="I17509">
        <f>IF(DATOS!$I17509="","",IFERROR(VLOOKUP(DATOS!$I17509,CONFIG_ASIGNATURAS!$B$2:$J$91,9,FALSE()),""))</f>
      </c>
    </row>
    <row r="17510">
      <c r="F17510">
        <f>IF(DATOS!$A17510="","",DATOS!$A17510&amp;"|"&amp;DATOS!$D17510&amp;"|"&amp;DATOS!$E17510&amp;"|"&amp;DATOS!$I17510)</f>
      </c>
      <c r="G17510">
        <f>IF(DATOS!$A17510="",0,IF(CONFIG_METADATA!$B$4&lt;&gt;"OR+EX",--(DATOS!$G17510=CONFIG_METADATA!$B$4),IF(DATOS!$G17510="EX",1,IF(DATOS!$G17510="OR",--(COUNTIFS(nNIA,DATOS!$A17510,nCURSO,DATOS!$D17510,nESPEC,DATOS!$E17510,nASIG,DATOS!$I17510,nEVAL,"EX")=0),0))))</f>
      </c>
      <c r="H17510">
        <f>IF(DATOS!$G17510&lt;&gt;"EX",0,--(COUNTIFS(nNIA,DATOS!$A17510,nCURSO,DATOS!$D17510,nESPEC,DATOS!$E17510,nASIG,DATOS!$I17510,nEVAL,"OR")=0))</f>
      </c>
      <c r="I17510">
        <f>IF(DATOS!$I17510="","",IFERROR(VLOOKUP(DATOS!$I17510,CONFIG_ASIGNATURAS!$B$2:$J$91,9,FALSE()),""))</f>
      </c>
    </row>
    <row r="17511">
      <c r="F17511">
        <f>IF(DATOS!$A17511="","",DATOS!$A17511&amp;"|"&amp;DATOS!$D17511&amp;"|"&amp;DATOS!$E17511&amp;"|"&amp;DATOS!$I17511)</f>
      </c>
      <c r="G17511">
        <f>IF(DATOS!$A17511="",0,IF(CONFIG_METADATA!$B$4&lt;&gt;"OR+EX",--(DATOS!$G17511=CONFIG_METADATA!$B$4),IF(DATOS!$G17511="EX",1,IF(DATOS!$G17511="OR",--(COUNTIFS(nNIA,DATOS!$A17511,nCURSO,DATOS!$D17511,nESPEC,DATOS!$E17511,nASIG,DATOS!$I17511,nEVAL,"EX")=0),0))))</f>
      </c>
      <c r="H17511">
        <f>IF(DATOS!$G17511&lt;&gt;"EX",0,--(COUNTIFS(nNIA,DATOS!$A17511,nCURSO,DATOS!$D17511,nESPEC,DATOS!$E17511,nASIG,DATOS!$I17511,nEVAL,"OR")=0))</f>
      </c>
      <c r="I17511">
        <f>IF(DATOS!$I17511="","",IFERROR(VLOOKUP(DATOS!$I17511,CONFIG_ASIGNATURAS!$B$2:$J$91,9,FALSE()),""))</f>
      </c>
    </row>
    <row r="17512">
      <c r="F17512">
        <f>IF(DATOS!$A17512="","",DATOS!$A17512&amp;"|"&amp;DATOS!$D17512&amp;"|"&amp;DATOS!$E17512&amp;"|"&amp;DATOS!$I17512)</f>
      </c>
      <c r="G17512">
        <f>IF(DATOS!$A17512="",0,IF(CONFIG_METADATA!$B$4&lt;&gt;"OR+EX",--(DATOS!$G17512=CONFIG_METADATA!$B$4),IF(DATOS!$G17512="EX",1,IF(DATOS!$G17512="OR",--(COUNTIFS(nNIA,DATOS!$A17512,nCURSO,DATOS!$D17512,nESPEC,DATOS!$E17512,nASIG,DATOS!$I17512,nEVAL,"EX")=0),0))))</f>
      </c>
      <c r="H17512">
        <f>IF(DATOS!$G17512&lt;&gt;"EX",0,--(COUNTIFS(nNIA,DATOS!$A17512,nCURSO,DATOS!$D17512,nESPEC,DATOS!$E17512,nASIG,DATOS!$I17512,nEVAL,"OR")=0))</f>
      </c>
      <c r="I17512">
        <f>IF(DATOS!$I17512="","",IFERROR(VLOOKUP(DATOS!$I17512,CONFIG_ASIGNATURAS!$B$2:$J$91,9,FALSE()),""))</f>
      </c>
    </row>
    <row r="17513">
      <c r="F17513">
        <f>IF(DATOS!$A17513="","",DATOS!$A17513&amp;"|"&amp;DATOS!$D17513&amp;"|"&amp;DATOS!$E17513&amp;"|"&amp;DATOS!$I17513)</f>
      </c>
      <c r="G17513">
        <f>IF(DATOS!$A17513="",0,IF(CONFIG_METADATA!$B$4&lt;&gt;"OR+EX",--(DATOS!$G17513=CONFIG_METADATA!$B$4),IF(DATOS!$G17513="EX",1,IF(DATOS!$G17513="OR",--(COUNTIFS(nNIA,DATOS!$A17513,nCURSO,DATOS!$D17513,nESPEC,DATOS!$E17513,nASIG,DATOS!$I17513,nEVAL,"EX")=0),0))))</f>
      </c>
      <c r="H17513">
        <f>IF(DATOS!$G17513&lt;&gt;"EX",0,--(COUNTIFS(nNIA,DATOS!$A17513,nCURSO,DATOS!$D17513,nESPEC,DATOS!$E17513,nASIG,DATOS!$I17513,nEVAL,"OR")=0))</f>
      </c>
      <c r="I17513">
        <f>IF(DATOS!$I17513="","",IFERROR(VLOOKUP(DATOS!$I17513,CONFIG_ASIGNATURAS!$B$2:$J$91,9,FALSE()),""))</f>
      </c>
    </row>
    <row r="17514">
      <c r="F17514">
        <f>IF(DATOS!$A17514="","",DATOS!$A17514&amp;"|"&amp;DATOS!$D17514&amp;"|"&amp;DATOS!$E17514&amp;"|"&amp;DATOS!$I17514)</f>
      </c>
      <c r="G17514">
        <f>IF(DATOS!$A17514="",0,IF(CONFIG_METADATA!$B$4&lt;&gt;"OR+EX",--(DATOS!$G17514=CONFIG_METADATA!$B$4),IF(DATOS!$G17514="EX",1,IF(DATOS!$G17514="OR",--(COUNTIFS(nNIA,DATOS!$A17514,nCURSO,DATOS!$D17514,nESPEC,DATOS!$E17514,nASIG,DATOS!$I17514,nEVAL,"EX")=0),0))))</f>
      </c>
      <c r="H17514">
        <f>IF(DATOS!$G17514&lt;&gt;"EX",0,--(COUNTIFS(nNIA,DATOS!$A17514,nCURSO,DATOS!$D17514,nESPEC,DATOS!$E17514,nASIG,DATOS!$I17514,nEVAL,"OR")=0))</f>
      </c>
      <c r="I17514">
        <f>IF(DATOS!$I17514="","",IFERROR(VLOOKUP(DATOS!$I17514,CONFIG_ASIGNATURAS!$B$2:$J$91,9,FALSE()),""))</f>
      </c>
    </row>
    <row r="17515">
      <c r="F17515">
        <f>IF(DATOS!$A17515="","",DATOS!$A17515&amp;"|"&amp;DATOS!$D17515&amp;"|"&amp;DATOS!$E17515&amp;"|"&amp;DATOS!$I17515)</f>
      </c>
      <c r="G17515">
        <f>IF(DATOS!$A17515="",0,IF(CONFIG_METADATA!$B$4&lt;&gt;"OR+EX",--(DATOS!$G17515=CONFIG_METADATA!$B$4),IF(DATOS!$G17515="EX",1,IF(DATOS!$G17515="OR",--(COUNTIFS(nNIA,DATOS!$A17515,nCURSO,DATOS!$D17515,nESPEC,DATOS!$E17515,nASIG,DATOS!$I17515,nEVAL,"EX")=0),0))))</f>
      </c>
      <c r="H17515">
        <f>IF(DATOS!$G17515&lt;&gt;"EX",0,--(COUNTIFS(nNIA,DATOS!$A17515,nCURSO,DATOS!$D17515,nESPEC,DATOS!$E17515,nASIG,DATOS!$I17515,nEVAL,"OR")=0))</f>
      </c>
      <c r="I17515">
        <f>IF(DATOS!$I17515="","",IFERROR(VLOOKUP(DATOS!$I17515,CONFIG_ASIGNATURAS!$B$2:$J$91,9,FALSE()),""))</f>
      </c>
    </row>
    <row r="17516">
      <c r="F17516">
        <f>IF(DATOS!$A17516="","",DATOS!$A17516&amp;"|"&amp;DATOS!$D17516&amp;"|"&amp;DATOS!$E17516&amp;"|"&amp;DATOS!$I17516)</f>
      </c>
      <c r="G17516">
        <f>IF(DATOS!$A17516="",0,IF(CONFIG_METADATA!$B$4&lt;&gt;"OR+EX",--(DATOS!$G17516=CONFIG_METADATA!$B$4),IF(DATOS!$G17516="EX",1,IF(DATOS!$G17516="OR",--(COUNTIFS(nNIA,DATOS!$A17516,nCURSO,DATOS!$D17516,nESPEC,DATOS!$E17516,nASIG,DATOS!$I17516,nEVAL,"EX")=0),0))))</f>
      </c>
      <c r="H17516">
        <f>IF(DATOS!$G17516&lt;&gt;"EX",0,--(COUNTIFS(nNIA,DATOS!$A17516,nCURSO,DATOS!$D17516,nESPEC,DATOS!$E17516,nASIG,DATOS!$I17516,nEVAL,"OR")=0))</f>
      </c>
      <c r="I17516">
        <f>IF(DATOS!$I17516="","",IFERROR(VLOOKUP(DATOS!$I17516,CONFIG_ASIGNATURAS!$B$2:$J$91,9,FALSE()),""))</f>
      </c>
    </row>
    <row r="17517">
      <c r="F17517">
        <f>IF(DATOS!$A17517="","",DATOS!$A17517&amp;"|"&amp;DATOS!$D17517&amp;"|"&amp;DATOS!$E17517&amp;"|"&amp;DATOS!$I17517)</f>
      </c>
      <c r="G17517">
        <f>IF(DATOS!$A17517="",0,IF(CONFIG_METADATA!$B$4&lt;&gt;"OR+EX",--(DATOS!$G17517=CONFIG_METADATA!$B$4),IF(DATOS!$G17517="EX",1,IF(DATOS!$G17517="OR",--(COUNTIFS(nNIA,DATOS!$A17517,nCURSO,DATOS!$D17517,nESPEC,DATOS!$E17517,nASIG,DATOS!$I17517,nEVAL,"EX")=0),0))))</f>
      </c>
      <c r="H17517">
        <f>IF(DATOS!$G17517&lt;&gt;"EX",0,--(COUNTIFS(nNIA,DATOS!$A17517,nCURSO,DATOS!$D17517,nESPEC,DATOS!$E17517,nASIG,DATOS!$I17517,nEVAL,"OR")=0))</f>
      </c>
      <c r="I17517">
        <f>IF(DATOS!$I17517="","",IFERROR(VLOOKUP(DATOS!$I17517,CONFIG_ASIGNATURAS!$B$2:$J$91,9,FALSE()),""))</f>
      </c>
    </row>
    <row r="17518">
      <c r="F17518">
        <f>IF(DATOS!$A17518="","",DATOS!$A17518&amp;"|"&amp;DATOS!$D17518&amp;"|"&amp;DATOS!$E17518&amp;"|"&amp;DATOS!$I17518)</f>
      </c>
      <c r="G17518">
        <f>IF(DATOS!$A17518="",0,IF(CONFIG_METADATA!$B$4&lt;&gt;"OR+EX",--(DATOS!$G17518=CONFIG_METADATA!$B$4),IF(DATOS!$G17518="EX",1,IF(DATOS!$G17518="OR",--(COUNTIFS(nNIA,DATOS!$A17518,nCURSO,DATOS!$D17518,nESPEC,DATOS!$E17518,nASIG,DATOS!$I17518,nEVAL,"EX")=0),0))))</f>
      </c>
      <c r="H17518">
        <f>IF(DATOS!$G17518&lt;&gt;"EX",0,--(COUNTIFS(nNIA,DATOS!$A17518,nCURSO,DATOS!$D17518,nESPEC,DATOS!$E17518,nASIG,DATOS!$I17518,nEVAL,"OR")=0))</f>
      </c>
      <c r="I17518">
        <f>IF(DATOS!$I17518="","",IFERROR(VLOOKUP(DATOS!$I17518,CONFIG_ASIGNATURAS!$B$2:$J$91,9,FALSE()),""))</f>
      </c>
    </row>
    <row r="17519">
      <c r="F17519">
        <f>IF(DATOS!$A17519="","",DATOS!$A17519&amp;"|"&amp;DATOS!$D17519&amp;"|"&amp;DATOS!$E17519&amp;"|"&amp;DATOS!$I17519)</f>
      </c>
      <c r="G17519">
        <f>IF(DATOS!$A17519="",0,IF(CONFIG_METADATA!$B$4&lt;&gt;"OR+EX",--(DATOS!$G17519=CONFIG_METADATA!$B$4),IF(DATOS!$G17519="EX",1,IF(DATOS!$G17519="OR",--(COUNTIFS(nNIA,DATOS!$A17519,nCURSO,DATOS!$D17519,nESPEC,DATOS!$E17519,nASIG,DATOS!$I17519,nEVAL,"EX")=0),0))))</f>
      </c>
      <c r="H17519">
        <f>IF(DATOS!$G17519&lt;&gt;"EX",0,--(COUNTIFS(nNIA,DATOS!$A17519,nCURSO,DATOS!$D17519,nESPEC,DATOS!$E17519,nASIG,DATOS!$I17519,nEVAL,"OR")=0))</f>
      </c>
      <c r="I17519">
        <f>IF(DATOS!$I17519="","",IFERROR(VLOOKUP(DATOS!$I17519,CONFIG_ASIGNATURAS!$B$2:$J$91,9,FALSE()),""))</f>
      </c>
    </row>
    <row r="17520">
      <c r="F17520">
        <f>IF(DATOS!$A17520="","",DATOS!$A17520&amp;"|"&amp;DATOS!$D17520&amp;"|"&amp;DATOS!$E17520&amp;"|"&amp;DATOS!$I17520)</f>
      </c>
      <c r="G17520">
        <f>IF(DATOS!$A17520="",0,IF(CONFIG_METADATA!$B$4&lt;&gt;"OR+EX",--(DATOS!$G17520=CONFIG_METADATA!$B$4),IF(DATOS!$G17520="EX",1,IF(DATOS!$G17520="OR",--(COUNTIFS(nNIA,DATOS!$A17520,nCURSO,DATOS!$D17520,nESPEC,DATOS!$E17520,nASIG,DATOS!$I17520,nEVAL,"EX")=0),0))))</f>
      </c>
      <c r="H17520">
        <f>IF(DATOS!$G17520&lt;&gt;"EX",0,--(COUNTIFS(nNIA,DATOS!$A17520,nCURSO,DATOS!$D17520,nESPEC,DATOS!$E17520,nASIG,DATOS!$I17520,nEVAL,"OR")=0))</f>
      </c>
      <c r="I17520">
        <f>IF(DATOS!$I17520="","",IFERROR(VLOOKUP(DATOS!$I17520,CONFIG_ASIGNATURAS!$B$2:$J$91,9,FALSE()),""))</f>
      </c>
    </row>
    <row r="17521">
      <c r="F17521">
        <f>IF(DATOS!$A17521="","",DATOS!$A17521&amp;"|"&amp;DATOS!$D17521&amp;"|"&amp;DATOS!$E17521&amp;"|"&amp;DATOS!$I17521)</f>
      </c>
      <c r="G17521">
        <f>IF(DATOS!$A17521="",0,IF(CONFIG_METADATA!$B$4&lt;&gt;"OR+EX",--(DATOS!$G17521=CONFIG_METADATA!$B$4),IF(DATOS!$G17521="EX",1,IF(DATOS!$G17521="OR",--(COUNTIFS(nNIA,DATOS!$A17521,nCURSO,DATOS!$D17521,nESPEC,DATOS!$E17521,nASIG,DATOS!$I17521,nEVAL,"EX")=0),0))))</f>
      </c>
      <c r="H17521">
        <f>IF(DATOS!$G17521&lt;&gt;"EX",0,--(COUNTIFS(nNIA,DATOS!$A17521,nCURSO,DATOS!$D17521,nESPEC,DATOS!$E17521,nASIG,DATOS!$I17521,nEVAL,"OR")=0))</f>
      </c>
      <c r="I17521">
        <f>IF(DATOS!$I17521="","",IFERROR(VLOOKUP(DATOS!$I17521,CONFIG_ASIGNATURAS!$B$2:$J$91,9,FALSE()),""))</f>
      </c>
    </row>
    <row r="17522">
      <c r="F17522">
        <f>IF(DATOS!$A17522="","",DATOS!$A17522&amp;"|"&amp;DATOS!$D17522&amp;"|"&amp;DATOS!$E17522&amp;"|"&amp;DATOS!$I17522)</f>
      </c>
      <c r="G17522">
        <f>IF(DATOS!$A17522="",0,IF(CONFIG_METADATA!$B$4&lt;&gt;"OR+EX",--(DATOS!$G17522=CONFIG_METADATA!$B$4),IF(DATOS!$G17522="EX",1,IF(DATOS!$G17522="OR",--(COUNTIFS(nNIA,DATOS!$A17522,nCURSO,DATOS!$D17522,nESPEC,DATOS!$E17522,nASIG,DATOS!$I17522,nEVAL,"EX")=0),0))))</f>
      </c>
      <c r="H17522">
        <f>IF(DATOS!$G17522&lt;&gt;"EX",0,--(COUNTIFS(nNIA,DATOS!$A17522,nCURSO,DATOS!$D17522,nESPEC,DATOS!$E17522,nASIG,DATOS!$I17522,nEVAL,"OR")=0))</f>
      </c>
      <c r="I17522">
        <f>IF(DATOS!$I17522="","",IFERROR(VLOOKUP(DATOS!$I17522,CONFIG_ASIGNATURAS!$B$2:$J$91,9,FALSE()),""))</f>
      </c>
    </row>
    <row r="17523">
      <c r="F17523">
        <f>IF(DATOS!$A17523="","",DATOS!$A17523&amp;"|"&amp;DATOS!$D17523&amp;"|"&amp;DATOS!$E17523&amp;"|"&amp;DATOS!$I17523)</f>
      </c>
      <c r="G17523">
        <f>IF(DATOS!$A17523="",0,IF(CONFIG_METADATA!$B$4&lt;&gt;"OR+EX",--(DATOS!$G17523=CONFIG_METADATA!$B$4),IF(DATOS!$G17523="EX",1,IF(DATOS!$G17523="OR",--(COUNTIFS(nNIA,DATOS!$A17523,nCURSO,DATOS!$D17523,nESPEC,DATOS!$E17523,nASIG,DATOS!$I17523,nEVAL,"EX")=0),0))))</f>
      </c>
      <c r="H17523">
        <f>IF(DATOS!$G17523&lt;&gt;"EX",0,--(COUNTIFS(nNIA,DATOS!$A17523,nCURSO,DATOS!$D17523,nESPEC,DATOS!$E17523,nASIG,DATOS!$I17523,nEVAL,"OR")=0))</f>
      </c>
      <c r="I17523">
        <f>IF(DATOS!$I17523="","",IFERROR(VLOOKUP(DATOS!$I17523,CONFIG_ASIGNATURAS!$B$2:$J$91,9,FALSE()),""))</f>
      </c>
    </row>
    <row r="17524">
      <c r="F17524">
        <f>IF(DATOS!$A17524="","",DATOS!$A17524&amp;"|"&amp;DATOS!$D17524&amp;"|"&amp;DATOS!$E17524&amp;"|"&amp;DATOS!$I17524)</f>
      </c>
      <c r="G17524">
        <f>IF(DATOS!$A17524="",0,IF(CONFIG_METADATA!$B$4&lt;&gt;"OR+EX",--(DATOS!$G17524=CONFIG_METADATA!$B$4),IF(DATOS!$G17524="EX",1,IF(DATOS!$G17524="OR",--(COUNTIFS(nNIA,DATOS!$A17524,nCURSO,DATOS!$D17524,nESPEC,DATOS!$E17524,nASIG,DATOS!$I17524,nEVAL,"EX")=0),0))))</f>
      </c>
      <c r="H17524">
        <f>IF(DATOS!$G17524&lt;&gt;"EX",0,--(COUNTIFS(nNIA,DATOS!$A17524,nCURSO,DATOS!$D17524,nESPEC,DATOS!$E17524,nASIG,DATOS!$I17524,nEVAL,"OR")=0))</f>
      </c>
      <c r="I17524">
        <f>IF(DATOS!$I17524="","",IFERROR(VLOOKUP(DATOS!$I17524,CONFIG_ASIGNATURAS!$B$2:$J$91,9,FALSE()),""))</f>
      </c>
    </row>
    <row r="17525">
      <c r="F17525">
        <f>IF(DATOS!$A17525="","",DATOS!$A17525&amp;"|"&amp;DATOS!$D17525&amp;"|"&amp;DATOS!$E17525&amp;"|"&amp;DATOS!$I17525)</f>
      </c>
      <c r="G17525">
        <f>IF(DATOS!$A17525="",0,IF(CONFIG_METADATA!$B$4&lt;&gt;"OR+EX",--(DATOS!$G17525=CONFIG_METADATA!$B$4),IF(DATOS!$G17525="EX",1,IF(DATOS!$G17525="OR",--(COUNTIFS(nNIA,DATOS!$A17525,nCURSO,DATOS!$D17525,nESPEC,DATOS!$E17525,nASIG,DATOS!$I17525,nEVAL,"EX")=0),0))))</f>
      </c>
      <c r="H17525">
        <f>IF(DATOS!$G17525&lt;&gt;"EX",0,--(COUNTIFS(nNIA,DATOS!$A17525,nCURSO,DATOS!$D17525,nESPEC,DATOS!$E17525,nASIG,DATOS!$I17525,nEVAL,"OR")=0))</f>
      </c>
      <c r="I17525">
        <f>IF(DATOS!$I17525="","",IFERROR(VLOOKUP(DATOS!$I17525,CONFIG_ASIGNATURAS!$B$2:$J$91,9,FALSE()),""))</f>
      </c>
    </row>
    <row r="17526">
      <c r="F17526">
        <f>IF(DATOS!$A17526="","",DATOS!$A17526&amp;"|"&amp;DATOS!$D17526&amp;"|"&amp;DATOS!$E17526&amp;"|"&amp;DATOS!$I17526)</f>
      </c>
      <c r="G17526">
        <f>IF(DATOS!$A17526="",0,IF(CONFIG_METADATA!$B$4&lt;&gt;"OR+EX",--(DATOS!$G17526=CONFIG_METADATA!$B$4),IF(DATOS!$G17526="EX",1,IF(DATOS!$G17526="OR",--(COUNTIFS(nNIA,DATOS!$A17526,nCURSO,DATOS!$D17526,nESPEC,DATOS!$E17526,nASIG,DATOS!$I17526,nEVAL,"EX")=0),0))))</f>
      </c>
      <c r="H17526">
        <f>IF(DATOS!$G17526&lt;&gt;"EX",0,--(COUNTIFS(nNIA,DATOS!$A17526,nCURSO,DATOS!$D17526,nESPEC,DATOS!$E17526,nASIG,DATOS!$I17526,nEVAL,"OR")=0))</f>
      </c>
      <c r="I17526">
        <f>IF(DATOS!$I17526="","",IFERROR(VLOOKUP(DATOS!$I17526,CONFIG_ASIGNATURAS!$B$2:$J$91,9,FALSE()),""))</f>
      </c>
    </row>
    <row r="17527">
      <c r="F17527">
        <f>IF(DATOS!$A17527="","",DATOS!$A17527&amp;"|"&amp;DATOS!$D17527&amp;"|"&amp;DATOS!$E17527&amp;"|"&amp;DATOS!$I17527)</f>
      </c>
      <c r="G17527">
        <f>IF(DATOS!$A17527="",0,IF(CONFIG_METADATA!$B$4&lt;&gt;"OR+EX",--(DATOS!$G17527=CONFIG_METADATA!$B$4),IF(DATOS!$G17527="EX",1,IF(DATOS!$G17527="OR",--(COUNTIFS(nNIA,DATOS!$A17527,nCURSO,DATOS!$D17527,nESPEC,DATOS!$E17527,nASIG,DATOS!$I17527,nEVAL,"EX")=0),0))))</f>
      </c>
      <c r="H17527">
        <f>IF(DATOS!$G17527&lt;&gt;"EX",0,--(COUNTIFS(nNIA,DATOS!$A17527,nCURSO,DATOS!$D17527,nESPEC,DATOS!$E17527,nASIG,DATOS!$I17527,nEVAL,"OR")=0))</f>
      </c>
      <c r="I17527">
        <f>IF(DATOS!$I17527="","",IFERROR(VLOOKUP(DATOS!$I17527,CONFIG_ASIGNATURAS!$B$2:$J$91,9,FALSE()),""))</f>
      </c>
    </row>
    <row r="17528">
      <c r="F17528">
        <f>IF(DATOS!$A17528="","",DATOS!$A17528&amp;"|"&amp;DATOS!$D17528&amp;"|"&amp;DATOS!$E17528&amp;"|"&amp;DATOS!$I17528)</f>
      </c>
      <c r="G17528">
        <f>IF(DATOS!$A17528="",0,IF(CONFIG_METADATA!$B$4&lt;&gt;"OR+EX",--(DATOS!$G17528=CONFIG_METADATA!$B$4),IF(DATOS!$G17528="EX",1,IF(DATOS!$G17528="OR",--(COUNTIFS(nNIA,DATOS!$A17528,nCURSO,DATOS!$D17528,nESPEC,DATOS!$E17528,nASIG,DATOS!$I17528,nEVAL,"EX")=0),0))))</f>
      </c>
      <c r="H17528">
        <f>IF(DATOS!$G17528&lt;&gt;"EX",0,--(COUNTIFS(nNIA,DATOS!$A17528,nCURSO,DATOS!$D17528,nESPEC,DATOS!$E17528,nASIG,DATOS!$I17528,nEVAL,"OR")=0))</f>
      </c>
      <c r="I17528">
        <f>IF(DATOS!$I17528="","",IFERROR(VLOOKUP(DATOS!$I17528,CONFIG_ASIGNATURAS!$B$2:$J$91,9,FALSE()),""))</f>
      </c>
    </row>
    <row r="17529">
      <c r="F17529">
        <f>IF(DATOS!$A17529="","",DATOS!$A17529&amp;"|"&amp;DATOS!$D17529&amp;"|"&amp;DATOS!$E17529&amp;"|"&amp;DATOS!$I17529)</f>
      </c>
      <c r="G17529">
        <f>IF(DATOS!$A17529="",0,IF(CONFIG_METADATA!$B$4&lt;&gt;"OR+EX",--(DATOS!$G17529=CONFIG_METADATA!$B$4),IF(DATOS!$G17529="EX",1,IF(DATOS!$G17529="OR",--(COUNTIFS(nNIA,DATOS!$A17529,nCURSO,DATOS!$D17529,nESPEC,DATOS!$E17529,nASIG,DATOS!$I17529,nEVAL,"EX")=0),0))))</f>
      </c>
      <c r="H17529">
        <f>IF(DATOS!$G17529&lt;&gt;"EX",0,--(COUNTIFS(nNIA,DATOS!$A17529,nCURSO,DATOS!$D17529,nESPEC,DATOS!$E17529,nASIG,DATOS!$I17529,nEVAL,"OR")=0))</f>
      </c>
      <c r="I17529">
        <f>IF(DATOS!$I17529="","",IFERROR(VLOOKUP(DATOS!$I17529,CONFIG_ASIGNATURAS!$B$2:$J$91,9,FALSE()),""))</f>
      </c>
    </row>
    <row r="17530">
      <c r="F17530">
        <f>IF(DATOS!$A17530="","",DATOS!$A17530&amp;"|"&amp;DATOS!$D17530&amp;"|"&amp;DATOS!$E17530&amp;"|"&amp;DATOS!$I17530)</f>
      </c>
      <c r="G17530">
        <f>IF(DATOS!$A17530="",0,IF(CONFIG_METADATA!$B$4&lt;&gt;"OR+EX",--(DATOS!$G17530=CONFIG_METADATA!$B$4),IF(DATOS!$G17530="EX",1,IF(DATOS!$G17530="OR",--(COUNTIFS(nNIA,DATOS!$A17530,nCURSO,DATOS!$D17530,nESPEC,DATOS!$E17530,nASIG,DATOS!$I17530,nEVAL,"EX")=0),0))))</f>
      </c>
      <c r="H17530">
        <f>IF(DATOS!$G17530&lt;&gt;"EX",0,--(COUNTIFS(nNIA,DATOS!$A17530,nCURSO,DATOS!$D17530,nESPEC,DATOS!$E17530,nASIG,DATOS!$I17530,nEVAL,"OR")=0))</f>
      </c>
      <c r="I17530">
        <f>IF(DATOS!$I17530="","",IFERROR(VLOOKUP(DATOS!$I17530,CONFIG_ASIGNATURAS!$B$2:$J$91,9,FALSE()),""))</f>
      </c>
    </row>
    <row r="17531">
      <c r="F17531">
        <f>IF(DATOS!$A17531="","",DATOS!$A17531&amp;"|"&amp;DATOS!$D17531&amp;"|"&amp;DATOS!$E17531&amp;"|"&amp;DATOS!$I17531)</f>
      </c>
      <c r="G17531">
        <f>IF(DATOS!$A17531="",0,IF(CONFIG_METADATA!$B$4&lt;&gt;"OR+EX",--(DATOS!$G17531=CONFIG_METADATA!$B$4),IF(DATOS!$G17531="EX",1,IF(DATOS!$G17531="OR",--(COUNTIFS(nNIA,DATOS!$A17531,nCURSO,DATOS!$D17531,nESPEC,DATOS!$E17531,nASIG,DATOS!$I17531,nEVAL,"EX")=0),0))))</f>
      </c>
      <c r="H17531">
        <f>IF(DATOS!$G17531&lt;&gt;"EX",0,--(COUNTIFS(nNIA,DATOS!$A17531,nCURSO,DATOS!$D17531,nESPEC,DATOS!$E17531,nASIG,DATOS!$I17531,nEVAL,"OR")=0))</f>
      </c>
      <c r="I17531">
        <f>IF(DATOS!$I17531="","",IFERROR(VLOOKUP(DATOS!$I17531,CONFIG_ASIGNATURAS!$B$2:$J$91,9,FALSE()),""))</f>
      </c>
    </row>
    <row r="17532">
      <c r="F17532">
        <f>IF(DATOS!$A17532="","",DATOS!$A17532&amp;"|"&amp;DATOS!$D17532&amp;"|"&amp;DATOS!$E17532&amp;"|"&amp;DATOS!$I17532)</f>
      </c>
      <c r="G17532">
        <f>IF(DATOS!$A17532="",0,IF(CONFIG_METADATA!$B$4&lt;&gt;"OR+EX",--(DATOS!$G17532=CONFIG_METADATA!$B$4),IF(DATOS!$G17532="EX",1,IF(DATOS!$G17532="OR",--(COUNTIFS(nNIA,DATOS!$A17532,nCURSO,DATOS!$D17532,nESPEC,DATOS!$E17532,nASIG,DATOS!$I17532,nEVAL,"EX")=0),0))))</f>
      </c>
      <c r="H17532">
        <f>IF(DATOS!$G17532&lt;&gt;"EX",0,--(COUNTIFS(nNIA,DATOS!$A17532,nCURSO,DATOS!$D17532,nESPEC,DATOS!$E17532,nASIG,DATOS!$I17532,nEVAL,"OR")=0))</f>
      </c>
      <c r="I17532">
        <f>IF(DATOS!$I17532="","",IFERROR(VLOOKUP(DATOS!$I17532,CONFIG_ASIGNATURAS!$B$2:$J$91,9,FALSE()),""))</f>
      </c>
    </row>
    <row r="17533">
      <c r="F17533">
        <f>IF(DATOS!$A17533="","",DATOS!$A17533&amp;"|"&amp;DATOS!$D17533&amp;"|"&amp;DATOS!$E17533&amp;"|"&amp;DATOS!$I17533)</f>
      </c>
      <c r="G17533">
        <f>IF(DATOS!$A17533="",0,IF(CONFIG_METADATA!$B$4&lt;&gt;"OR+EX",--(DATOS!$G17533=CONFIG_METADATA!$B$4),IF(DATOS!$G17533="EX",1,IF(DATOS!$G17533="OR",--(COUNTIFS(nNIA,DATOS!$A17533,nCURSO,DATOS!$D17533,nESPEC,DATOS!$E17533,nASIG,DATOS!$I17533,nEVAL,"EX")=0),0))))</f>
      </c>
      <c r="H17533">
        <f>IF(DATOS!$G17533&lt;&gt;"EX",0,--(COUNTIFS(nNIA,DATOS!$A17533,nCURSO,DATOS!$D17533,nESPEC,DATOS!$E17533,nASIG,DATOS!$I17533,nEVAL,"OR")=0))</f>
      </c>
      <c r="I17533">
        <f>IF(DATOS!$I17533="","",IFERROR(VLOOKUP(DATOS!$I17533,CONFIG_ASIGNATURAS!$B$2:$J$91,9,FALSE()),""))</f>
      </c>
    </row>
    <row r="17534">
      <c r="F17534">
        <f>IF(DATOS!$A17534="","",DATOS!$A17534&amp;"|"&amp;DATOS!$D17534&amp;"|"&amp;DATOS!$E17534&amp;"|"&amp;DATOS!$I17534)</f>
      </c>
      <c r="G17534">
        <f>IF(DATOS!$A17534="",0,IF(CONFIG_METADATA!$B$4&lt;&gt;"OR+EX",--(DATOS!$G17534=CONFIG_METADATA!$B$4),IF(DATOS!$G17534="EX",1,IF(DATOS!$G17534="OR",--(COUNTIFS(nNIA,DATOS!$A17534,nCURSO,DATOS!$D17534,nESPEC,DATOS!$E17534,nASIG,DATOS!$I17534,nEVAL,"EX")=0),0))))</f>
      </c>
      <c r="H17534">
        <f>IF(DATOS!$G17534&lt;&gt;"EX",0,--(COUNTIFS(nNIA,DATOS!$A17534,nCURSO,DATOS!$D17534,nESPEC,DATOS!$E17534,nASIG,DATOS!$I17534,nEVAL,"OR")=0))</f>
      </c>
      <c r="I17534">
        <f>IF(DATOS!$I17534="","",IFERROR(VLOOKUP(DATOS!$I17534,CONFIG_ASIGNATURAS!$B$2:$J$91,9,FALSE()),""))</f>
      </c>
    </row>
    <row r="17535">
      <c r="F17535">
        <f>IF(DATOS!$A17535="","",DATOS!$A17535&amp;"|"&amp;DATOS!$D17535&amp;"|"&amp;DATOS!$E17535&amp;"|"&amp;DATOS!$I17535)</f>
      </c>
      <c r="G17535">
        <f>IF(DATOS!$A17535="",0,IF(CONFIG_METADATA!$B$4&lt;&gt;"OR+EX",--(DATOS!$G17535=CONFIG_METADATA!$B$4),IF(DATOS!$G17535="EX",1,IF(DATOS!$G17535="OR",--(COUNTIFS(nNIA,DATOS!$A17535,nCURSO,DATOS!$D17535,nESPEC,DATOS!$E17535,nASIG,DATOS!$I17535,nEVAL,"EX")=0),0))))</f>
      </c>
      <c r="H17535">
        <f>IF(DATOS!$G17535&lt;&gt;"EX",0,--(COUNTIFS(nNIA,DATOS!$A17535,nCURSO,DATOS!$D17535,nESPEC,DATOS!$E17535,nASIG,DATOS!$I17535,nEVAL,"OR")=0))</f>
      </c>
      <c r="I17535">
        <f>IF(DATOS!$I17535="","",IFERROR(VLOOKUP(DATOS!$I17535,CONFIG_ASIGNATURAS!$B$2:$J$91,9,FALSE()),""))</f>
      </c>
    </row>
    <row r="17536">
      <c r="F17536">
        <f>IF(DATOS!$A17536="","",DATOS!$A17536&amp;"|"&amp;DATOS!$D17536&amp;"|"&amp;DATOS!$E17536&amp;"|"&amp;DATOS!$I17536)</f>
      </c>
      <c r="G17536">
        <f>IF(DATOS!$A17536="",0,IF(CONFIG_METADATA!$B$4&lt;&gt;"OR+EX",--(DATOS!$G17536=CONFIG_METADATA!$B$4),IF(DATOS!$G17536="EX",1,IF(DATOS!$G17536="OR",--(COUNTIFS(nNIA,DATOS!$A17536,nCURSO,DATOS!$D17536,nESPEC,DATOS!$E17536,nASIG,DATOS!$I17536,nEVAL,"EX")=0),0))))</f>
      </c>
      <c r="H17536">
        <f>IF(DATOS!$G17536&lt;&gt;"EX",0,--(COUNTIFS(nNIA,DATOS!$A17536,nCURSO,DATOS!$D17536,nESPEC,DATOS!$E17536,nASIG,DATOS!$I17536,nEVAL,"OR")=0))</f>
      </c>
      <c r="I17536">
        <f>IF(DATOS!$I17536="","",IFERROR(VLOOKUP(DATOS!$I17536,CONFIG_ASIGNATURAS!$B$2:$J$91,9,FALSE()),""))</f>
      </c>
    </row>
    <row r="17537">
      <c r="F17537">
        <f>IF(DATOS!$A17537="","",DATOS!$A17537&amp;"|"&amp;DATOS!$D17537&amp;"|"&amp;DATOS!$E17537&amp;"|"&amp;DATOS!$I17537)</f>
      </c>
      <c r="G17537">
        <f>IF(DATOS!$A17537="",0,IF(CONFIG_METADATA!$B$4&lt;&gt;"OR+EX",--(DATOS!$G17537=CONFIG_METADATA!$B$4),IF(DATOS!$G17537="EX",1,IF(DATOS!$G17537="OR",--(COUNTIFS(nNIA,DATOS!$A17537,nCURSO,DATOS!$D17537,nESPEC,DATOS!$E17537,nASIG,DATOS!$I17537,nEVAL,"EX")=0),0))))</f>
      </c>
      <c r="H17537">
        <f>IF(DATOS!$G17537&lt;&gt;"EX",0,--(COUNTIFS(nNIA,DATOS!$A17537,nCURSO,DATOS!$D17537,nESPEC,DATOS!$E17537,nASIG,DATOS!$I17537,nEVAL,"OR")=0))</f>
      </c>
      <c r="I17537">
        <f>IF(DATOS!$I17537="","",IFERROR(VLOOKUP(DATOS!$I17537,CONFIG_ASIGNATURAS!$B$2:$J$91,9,FALSE()),""))</f>
      </c>
    </row>
    <row r="17538">
      <c r="F17538">
        <f>IF(DATOS!$A17538="","",DATOS!$A17538&amp;"|"&amp;DATOS!$D17538&amp;"|"&amp;DATOS!$E17538&amp;"|"&amp;DATOS!$I17538)</f>
      </c>
      <c r="G17538">
        <f>IF(DATOS!$A17538="",0,IF(CONFIG_METADATA!$B$4&lt;&gt;"OR+EX",--(DATOS!$G17538=CONFIG_METADATA!$B$4),IF(DATOS!$G17538="EX",1,IF(DATOS!$G17538="OR",--(COUNTIFS(nNIA,DATOS!$A17538,nCURSO,DATOS!$D17538,nESPEC,DATOS!$E17538,nASIG,DATOS!$I17538,nEVAL,"EX")=0),0))))</f>
      </c>
      <c r="H17538">
        <f>IF(DATOS!$G17538&lt;&gt;"EX",0,--(COUNTIFS(nNIA,DATOS!$A17538,nCURSO,DATOS!$D17538,nESPEC,DATOS!$E17538,nASIG,DATOS!$I17538,nEVAL,"OR")=0))</f>
      </c>
      <c r="I17538">
        <f>IF(DATOS!$I17538="","",IFERROR(VLOOKUP(DATOS!$I17538,CONFIG_ASIGNATURAS!$B$2:$J$91,9,FALSE()),""))</f>
      </c>
    </row>
    <row r="17539">
      <c r="F17539">
        <f>IF(DATOS!$A17539="","",DATOS!$A17539&amp;"|"&amp;DATOS!$D17539&amp;"|"&amp;DATOS!$E17539&amp;"|"&amp;DATOS!$I17539)</f>
      </c>
      <c r="G17539">
        <f>IF(DATOS!$A17539="",0,IF(CONFIG_METADATA!$B$4&lt;&gt;"OR+EX",--(DATOS!$G17539=CONFIG_METADATA!$B$4),IF(DATOS!$G17539="EX",1,IF(DATOS!$G17539="OR",--(COUNTIFS(nNIA,DATOS!$A17539,nCURSO,DATOS!$D17539,nESPEC,DATOS!$E17539,nASIG,DATOS!$I17539,nEVAL,"EX")=0),0))))</f>
      </c>
      <c r="H17539">
        <f>IF(DATOS!$G17539&lt;&gt;"EX",0,--(COUNTIFS(nNIA,DATOS!$A17539,nCURSO,DATOS!$D17539,nESPEC,DATOS!$E17539,nASIG,DATOS!$I17539,nEVAL,"OR")=0))</f>
      </c>
      <c r="I17539">
        <f>IF(DATOS!$I17539="","",IFERROR(VLOOKUP(DATOS!$I17539,CONFIG_ASIGNATURAS!$B$2:$J$91,9,FALSE()),""))</f>
      </c>
    </row>
    <row r="17540">
      <c r="F17540">
        <f>IF(DATOS!$A17540="","",DATOS!$A17540&amp;"|"&amp;DATOS!$D17540&amp;"|"&amp;DATOS!$E17540&amp;"|"&amp;DATOS!$I17540)</f>
      </c>
      <c r="G17540">
        <f>IF(DATOS!$A17540="",0,IF(CONFIG_METADATA!$B$4&lt;&gt;"OR+EX",--(DATOS!$G17540=CONFIG_METADATA!$B$4),IF(DATOS!$G17540="EX",1,IF(DATOS!$G17540="OR",--(COUNTIFS(nNIA,DATOS!$A17540,nCURSO,DATOS!$D17540,nESPEC,DATOS!$E17540,nASIG,DATOS!$I17540,nEVAL,"EX")=0),0))))</f>
      </c>
      <c r="H17540">
        <f>IF(DATOS!$G17540&lt;&gt;"EX",0,--(COUNTIFS(nNIA,DATOS!$A17540,nCURSO,DATOS!$D17540,nESPEC,DATOS!$E17540,nASIG,DATOS!$I17540,nEVAL,"OR")=0))</f>
      </c>
      <c r="I17540">
        <f>IF(DATOS!$I17540="","",IFERROR(VLOOKUP(DATOS!$I17540,CONFIG_ASIGNATURAS!$B$2:$J$91,9,FALSE()),""))</f>
      </c>
    </row>
    <row r="17541">
      <c r="F17541">
        <f>IF(DATOS!$A17541="","",DATOS!$A17541&amp;"|"&amp;DATOS!$D17541&amp;"|"&amp;DATOS!$E17541&amp;"|"&amp;DATOS!$I17541)</f>
      </c>
      <c r="G17541">
        <f>IF(DATOS!$A17541="",0,IF(CONFIG_METADATA!$B$4&lt;&gt;"OR+EX",--(DATOS!$G17541=CONFIG_METADATA!$B$4),IF(DATOS!$G17541="EX",1,IF(DATOS!$G17541="OR",--(COUNTIFS(nNIA,DATOS!$A17541,nCURSO,DATOS!$D17541,nESPEC,DATOS!$E17541,nASIG,DATOS!$I17541,nEVAL,"EX")=0),0))))</f>
      </c>
      <c r="H17541">
        <f>IF(DATOS!$G17541&lt;&gt;"EX",0,--(COUNTIFS(nNIA,DATOS!$A17541,nCURSO,DATOS!$D17541,nESPEC,DATOS!$E17541,nASIG,DATOS!$I17541,nEVAL,"OR")=0))</f>
      </c>
      <c r="I17541">
        <f>IF(DATOS!$I17541="","",IFERROR(VLOOKUP(DATOS!$I17541,CONFIG_ASIGNATURAS!$B$2:$J$91,9,FALSE()),""))</f>
      </c>
    </row>
    <row r="17542">
      <c r="F17542">
        <f>IF(DATOS!$A17542="","",DATOS!$A17542&amp;"|"&amp;DATOS!$D17542&amp;"|"&amp;DATOS!$E17542&amp;"|"&amp;DATOS!$I17542)</f>
      </c>
      <c r="G17542">
        <f>IF(DATOS!$A17542="",0,IF(CONFIG_METADATA!$B$4&lt;&gt;"OR+EX",--(DATOS!$G17542=CONFIG_METADATA!$B$4),IF(DATOS!$G17542="EX",1,IF(DATOS!$G17542="OR",--(COUNTIFS(nNIA,DATOS!$A17542,nCURSO,DATOS!$D17542,nESPEC,DATOS!$E17542,nASIG,DATOS!$I17542,nEVAL,"EX")=0),0))))</f>
      </c>
      <c r="H17542">
        <f>IF(DATOS!$G17542&lt;&gt;"EX",0,--(COUNTIFS(nNIA,DATOS!$A17542,nCURSO,DATOS!$D17542,nESPEC,DATOS!$E17542,nASIG,DATOS!$I17542,nEVAL,"OR")=0))</f>
      </c>
      <c r="I17542">
        <f>IF(DATOS!$I17542="","",IFERROR(VLOOKUP(DATOS!$I17542,CONFIG_ASIGNATURAS!$B$2:$J$91,9,FALSE()),""))</f>
      </c>
    </row>
    <row r="17543">
      <c r="F17543">
        <f>IF(DATOS!$A17543="","",DATOS!$A17543&amp;"|"&amp;DATOS!$D17543&amp;"|"&amp;DATOS!$E17543&amp;"|"&amp;DATOS!$I17543)</f>
      </c>
      <c r="G17543">
        <f>IF(DATOS!$A17543="",0,IF(CONFIG_METADATA!$B$4&lt;&gt;"OR+EX",--(DATOS!$G17543=CONFIG_METADATA!$B$4),IF(DATOS!$G17543="EX",1,IF(DATOS!$G17543="OR",--(COUNTIFS(nNIA,DATOS!$A17543,nCURSO,DATOS!$D17543,nESPEC,DATOS!$E17543,nASIG,DATOS!$I17543,nEVAL,"EX")=0),0))))</f>
      </c>
      <c r="H17543">
        <f>IF(DATOS!$G17543&lt;&gt;"EX",0,--(COUNTIFS(nNIA,DATOS!$A17543,nCURSO,DATOS!$D17543,nESPEC,DATOS!$E17543,nASIG,DATOS!$I17543,nEVAL,"OR")=0))</f>
      </c>
      <c r="I17543">
        <f>IF(DATOS!$I17543="","",IFERROR(VLOOKUP(DATOS!$I17543,CONFIG_ASIGNATURAS!$B$2:$J$91,9,FALSE()),""))</f>
      </c>
    </row>
    <row r="17544">
      <c r="F17544">
        <f>IF(DATOS!$A17544="","",DATOS!$A17544&amp;"|"&amp;DATOS!$D17544&amp;"|"&amp;DATOS!$E17544&amp;"|"&amp;DATOS!$I17544)</f>
      </c>
      <c r="G17544">
        <f>IF(DATOS!$A17544="",0,IF(CONFIG_METADATA!$B$4&lt;&gt;"OR+EX",--(DATOS!$G17544=CONFIG_METADATA!$B$4),IF(DATOS!$G17544="EX",1,IF(DATOS!$G17544="OR",--(COUNTIFS(nNIA,DATOS!$A17544,nCURSO,DATOS!$D17544,nESPEC,DATOS!$E17544,nASIG,DATOS!$I17544,nEVAL,"EX")=0),0))))</f>
      </c>
      <c r="H17544">
        <f>IF(DATOS!$G17544&lt;&gt;"EX",0,--(COUNTIFS(nNIA,DATOS!$A17544,nCURSO,DATOS!$D17544,nESPEC,DATOS!$E17544,nASIG,DATOS!$I17544,nEVAL,"OR")=0))</f>
      </c>
      <c r="I17544">
        <f>IF(DATOS!$I17544="","",IFERROR(VLOOKUP(DATOS!$I17544,CONFIG_ASIGNATURAS!$B$2:$J$91,9,FALSE()),""))</f>
      </c>
    </row>
    <row r="17545">
      <c r="F17545">
        <f>IF(DATOS!$A17545="","",DATOS!$A17545&amp;"|"&amp;DATOS!$D17545&amp;"|"&amp;DATOS!$E17545&amp;"|"&amp;DATOS!$I17545)</f>
      </c>
      <c r="G17545">
        <f>IF(DATOS!$A17545="",0,IF(CONFIG_METADATA!$B$4&lt;&gt;"OR+EX",--(DATOS!$G17545=CONFIG_METADATA!$B$4),IF(DATOS!$G17545="EX",1,IF(DATOS!$G17545="OR",--(COUNTIFS(nNIA,DATOS!$A17545,nCURSO,DATOS!$D17545,nESPEC,DATOS!$E17545,nASIG,DATOS!$I17545,nEVAL,"EX")=0),0))))</f>
      </c>
      <c r="H17545">
        <f>IF(DATOS!$G17545&lt;&gt;"EX",0,--(COUNTIFS(nNIA,DATOS!$A17545,nCURSO,DATOS!$D17545,nESPEC,DATOS!$E17545,nASIG,DATOS!$I17545,nEVAL,"OR")=0))</f>
      </c>
      <c r="I17545">
        <f>IF(DATOS!$I17545="","",IFERROR(VLOOKUP(DATOS!$I17545,CONFIG_ASIGNATURAS!$B$2:$J$91,9,FALSE()),""))</f>
      </c>
    </row>
    <row r="17546">
      <c r="F17546">
        <f>IF(DATOS!$A17546="","",DATOS!$A17546&amp;"|"&amp;DATOS!$D17546&amp;"|"&amp;DATOS!$E17546&amp;"|"&amp;DATOS!$I17546)</f>
      </c>
      <c r="G17546">
        <f>IF(DATOS!$A17546="",0,IF(CONFIG_METADATA!$B$4&lt;&gt;"OR+EX",--(DATOS!$G17546=CONFIG_METADATA!$B$4),IF(DATOS!$G17546="EX",1,IF(DATOS!$G17546="OR",--(COUNTIFS(nNIA,DATOS!$A17546,nCURSO,DATOS!$D17546,nESPEC,DATOS!$E17546,nASIG,DATOS!$I17546,nEVAL,"EX")=0),0))))</f>
      </c>
      <c r="H17546">
        <f>IF(DATOS!$G17546&lt;&gt;"EX",0,--(COUNTIFS(nNIA,DATOS!$A17546,nCURSO,DATOS!$D17546,nESPEC,DATOS!$E17546,nASIG,DATOS!$I17546,nEVAL,"OR")=0))</f>
      </c>
      <c r="I17546">
        <f>IF(DATOS!$I17546="","",IFERROR(VLOOKUP(DATOS!$I17546,CONFIG_ASIGNATURAS!$B$2:$J$91,9,FALSE()),""))</f>
      </c>
    </row>
    <row r="17547">
      <c r="F17547">
        <f>IF(DATOS!$A17547="","",DATOS!$A17547&amp;"|"&amp;DATOS!$D17547&amp;"|"&amp;DATOS!$E17547&amp;"|"&amp;DATOS!$I17547)</f>
      </c>
      <c r="G17547">
        <f>IF(DATOS!$A17547="",0,IF(CONFIG_METADATA!$B$4&lt;&gt;"OR+EX",--(DATOS!$G17547=CONFIG_METADATA!$B$4),IF(DATOS!$G17547="EX",1,IF(DATOS!$G17547="OR",--(COUNTIFS(nNIA,DATOS!$A17547,nCURSO,DATOS!$D17547,nESPEC,DATOS!$E17547,nASIG,DATOS!$I17547,nEVAL,"EX")=0),0))))</f>
      </c>
      <c r="H17547">
        <f>IF(DATOS!$G17547&lt;&gt;"EX",0,--(COUNTIFS(nNIA,DATOS!$A17547,nCURSO,DATOS!$D17547,nESPEC,DATOS!$E17547,nASIG,DATOS!$I17547,nEVAL,"OR")=0))</f>
      </c>
      <c r="I17547">
        <f>IF(DATOS!$I17547="","",IFERROR(VLOOKUP(DATOS!$I17547,CONFIG_ASIGNATURAS!$B$2:$J$91,9,FALSE()),""))</f>
      </c>
    </row>
    <row r="17548">
      <c r="F17548">
        <f>IF(DATOS!$A17548="","",DATOS!$A17548&amp;"|"&amp;DATOS!$D17548&amp;"|"&amp;DATOS!$E17548&amp;"|"&amp;DATOS!$I17548)</f>
      </c>
      <c r="G17548">
        <f>IF(DATOS!$A17548="",0,IF(CONFIG_METADATA!$B$4&lt;&gt;"OR+EX",--(DATOS!$G17548=CONFIG_METADATA!$B$4),IF(DATOS!$G17548="EX",1,IF(DATOS!$G17548="OR",--(COUNTIFS(nNIA,DATOS!$A17548,nCURSO,DATOS!$D17548,nESPEC,DATOS!$E17548,nASIG,DATOS!$I17548,nEVAL,"EX")=0),0))))</f>
      </c>
      <c r="H17548">
        <f>IF(DATOS!$G17548&lt;&gt;"EX",0,--(COUNTIFS(nNIA,DATOS!$A17548,nCURSO,DATOS!$D17548,nESPEC,DATOS!$E17548,nASIG,DATOS!$I17548,nEVAL,"OR")=0))</f>
      </c>
      <c r="I17548">
        <f>IF(DATOS!$I17548="","",IFERROR(VLOOKUP(DATOS!$I17548,CONFIG_ASIGNATURAS!$B$2:$J$91,9,FALSE()),""))</f>
      </c>
    </row>
    <row r="17549">
      <c r="F17549">
        <f>IF(DATOS!$A17549="","",DATOS!$A17549&amp;"|"&amp;DATOS!$D17549&amp;"|"&amp;DATOS!$E17549&amp;"|"&amp;DATOS!$I17549)</f>
      </c>
      <c r="G17549">
        <f>IF(DATOS!$A17549="",0,IF(CONFIG_METADATA!$B$4&lt;&gt;"OR+EX",--(DATOS!$G17549=CONFIG_METADATA!$B$4),IF(DATOS!$G17549="EX",1,IF(DATOS!$G17549="OR",--(COUNTIFS(nNIA,DATOS!$A17549,nCURSO,DATOS!$D17549,nESPEC,DATOS!$E17549,nASIG,DATOS!$I17549,nEVAL,"EX")=0),0))))</f>
      </c>
      <c r="H17549">
        <f>IF(DATOS!$G17549&lt;&gt;"EX",0,--(COUNTIFS(nNIA,DATOS!$A17549,nCURSO,DATOS!$D17549,nESPEC,DATOS!$E17549,nASIG,DATOS!$I17549,nEVAL,"OR")=0))</f>
      </c>
      <c r="I17549">
        <f>IF(DATOS!$I17549="","",IFERROR(VLOOKUP(DATOS!$I17549,CONFIG_ASIGNATURAS!$B$2:$J$91,9,FALSE()),""))</f>
      </c>
    </row>
    <row r="17550">
      <c r="F17550">
        <f>IF(DATOS!$A17550="","",DATOS!$A17550&amp;"|"&amp;DATOS!$D17550&amp;"|"&amp;DATOS!$E17550&amp;"|"&amp;DATOS!$I17550)</f>
      </c>
      <c r="G17550">
        <f>IF(DATOS!$A17550="",0,IF(CONFIG_METADATA!$B$4&lt;&gt;"OR+EX",--(DATOS!$G17550=CONFIG_METADATA!$B$4),IF(DATOS!$G17550="EX",1,IF(DATOS!$G17550="OR",--(COUNTIFS(nNIA,DATOS!$A17550,nCURSO,DATOS!$D17550,nESPEC,DATOS!$E17550,nASIG,DATOS!$I17550,nEVAL,"EX")=0),0))))</f>
      </c>
      <c r="H17550">
        <f>IF(DATOS!$G17550&lt;&gt;"EX",0,--(COUNTIFS(nNIA,DATOS!$A17550,nCURSO,DATOS!$D17550,nESPEC,DATOS!$E17550,nASIG,DATOS!$I17550,nEVAL,"OR")=0))</f>
      </c>
      <c r="I17550">
        <f>IF(DATOS!$I17550="","",IFERROR(VLOOKUP(DATOS!$I17550,CONFIG_ASIGNATURAS!$B$2:$J$91,9,FALSE()),""))</f>
      </c>
    </row>
    <row r="17551">
      <c r="F17551">
        <f>IF(DATOS!$A17551="","",DATOS!$A17551&amp;"|"&amp;DATOS!$D17551&amp;"|"&amp;DATOS!$E17551&amp;"|"&amp;DATOS!$I17551)</f>
      </c>
      <c r="G17551">
        <f>IF(DATOS!$A17551="",0,IF(CONFIG_METADATA!$B$4&lt;&gt;"OR+EX",--(DATOS!$G17551=CONFIG_METADATA!$B$4),IF(DATOS!$G17551="EX",1,IF(DATOS!$G17551="OR",--(COUNTIFS(nNIA,DATOS!$A17551,nCURSO,DATOS!$D17551,nESPEC,DATOS!$E17551,nASIG,DATOS!$I17551,nEVAL,"EX")=0),0))))</f>
      </c>
      <c r="H17551">
        <f>IF(DATOS!$G17551&lt;&gt;"EX",0,--(COUNTIFS(nNIA,DATOS!$A17551,nCURSO,DATOS!$D17551,nESPEC,DATOS!$E17551,nASIG,DATOS!$I17551,nEVAL,"OR")=0))</f>
      </c>
      <c r="I17551">
        <f>IF(DATOS!$I17551="","",IFERROR(VLOOKUP(DATOS!$I17551,CONFIG_ASIGNATURAS!$B$2:$J$91,9,FALSE()),""))</f>
      </c>
    </row>
    <row r="17552">
      <c r="F17552">
        <f>IF(DATOS!$A17552="","",DATOS!$A17552&amp;"|"&amp;DATOS!$D17552&amp;"|"&amp;DATOS!$E17552&amp;"|"&amp;DATOS!$I17552)</f>
      </c>
      <c r="G17552">
        <f>IF(DATOS!$A17552="",0,IF(CONFIG_METADATA!$B$4&lt;&gt;"OR+EX",--(DATOS!$G17552=CONFIG_METADATA!$B$4),IF(DATOS!$G17552="EX",1,IF(DATOS!$G17552="OR",--(COUNTIFS(nNIA,DATOS!$A17552,nCURSO,DATOS!$D17552,nESPEC,DATOS!$E17552,nASIG,DATOS!$I17552,nEVAL,"EX")=0),0))))</f>
      </c>
      <c r="H17552">
        <f>IF(DATOS!$G17552&lt;&gt;"EX",0,--(COUNTIFS(nNIA,DATOS!$A17552,nCURSO,DATOS!$D17552,nESPEC,DATOS!$E17552,nASIG,DATOS!$I17552,nEVAL,"OR")=0))</f>
      </c>
      <c r="I17552">
        <f>IF(DATOS!$I17552="","",IFERROR(VLOOKUP(DATOS!$I17552,CONFIG_ASIGNATURAS!$B$2:$J$91,9,FALSE()),""))</f>
      </c>
    </row>
    <row r="17553">
      <c r="F17553">
        <f>IF(DATOS!$A17553="","",DATOS!$A17553&amp;"|"&amp;DATOS!$D17553&amp;"|"&amp;DATOS!$E17553&amp;"|"&amp;DATOS!$I17553)</f>
      </c>
      <c r="G17553">
        <f>IF(DATOS!$A17553="",0,IF(CONFIG_METADATA!$B$4&lt;&gt;"OR+EX",--(DATOS!$G17553=CONFIG_METADATA!$B$4),IF(DATOS!$G17553="EX",1,IF(DATOS!$G17553="OR",--(COUNTIFS(nNIA,DATOS!$A17553,nCURSO,DATOS!$D17553,nESPEC,DATOS!$E17553,nASIG,DATOS!$I17553,nEVAL,"EX")=0),0))))</f>
      </c>
      <c r="H17553">
        <f>IF(DATOS!$G17553&lt;&gt;"EX",0,--(COUNTIFS(nNIA,DATOS!$A17553,nCURSO,DATOS!$D17553,nESPEC,DATOS!$E17553,nASIG,DATOS!$I17553,nEVAL,"OR")=0))</f>
      </c>
      <c r="I17553">
        <f>IF(DATOS!$I17553="","",IFERROR(VLOOKUP(DATOS!$I17553,CONFIG_ASIGNATURAS!$B$2:$J$91,9,FALSE()),""))</f>
      </c>
    </row>
    <row r="17554">
      <c r="F17554">
        <f>IF(DATOS!$A17554="","",DATOS!$A17554&amp;"|"&amp;DATOS!$D17554&amp;"|"&amp;DATOS!$E17554&amp;"|"&amp;DATOS!$I17554)</f>
      </c>
      <c r="G17554">
        <f>IF(DATOS!$A17554="",0,IF(CONFIG_METADATA!$B$4&lt;&gt;"OR+EX",--(DATOS!$G17554=CONFIG_METADATA!$B$4),IF(DATOS!$G17554="EX",1,IF(DATOS!$G17554="OR",--(COUNTIFS(nNIA,DATOS!$A17554,nCURSO,DATOS!$D17554,nESPEC,DATOS!$E17554,nASIG,DATOS!$I17554,nEVAL,"EX")=0),0))))</f>
      </c>
      <c r="H17554">
        <f>IF(DATOS!$G17554&lt;&gt;"EX",0,--(COUNTIFS(nNIA,DATOS!$A17554,nCURSO,DATOS!$D17554,nESPEC,DATOS!$E17554,nASIG,DATOS!$I17554,nEVAL,"OR")=0))</f>
      </c>
      <c r="I17554">
        <f>IF(DATOS!$I17554="","",IFERROR(VLOOKUP(DATOS!$I17554,CONFIG_ASIGNATURAS!$B$2:$J$91,9,FALSE()),""))</f>
      </c>
    </row>
    <row r="17555">
      <c r="F17555">
        <f>IF(DATOS!$A17555="","",DATOS!$A17555&amp;"|"&amp;DATOS!$D17555&amp;"|"&amp;DATOS!$E17555&amp;"|"&amp;DATOS!$I17555)</f>
      </c>
      <c r="G17555">
        <f>IF(DATOS!$A17555="",0,IF(CONFIG_METADATA!$B$4&lt;&gt;"OR+EX",--(DATOS!$G17555=CONFIG_METADATA!$B$4),IF(DATOS!$G17555="EX",1,IF(DATOS!$G17555="OR",--(COUNTIFS(nNIA,DATOS!$A17555,nCURSO,DATOS!$D17555,nESPEC,DATOS!$E17555,nASIG,DATOS!$I17555,nEVAL,"EX")=0),0))))</f>
      </c>
      <c r="H17555">
        <f>IF(DATOS!$G17555&lt;&gt;"EX",0,--(COUNTIFS(nNIA,DATOS!$A17555,nCURSO,DATOS!$D17555,nESPEC,DATOS!$E17555,nASIG,DATOS!$I17555,nEVAL,"OR")=0))</f>
      </c>
      <c r="I17555">
        <f>IF(DATOS!$I17555="","",IFERROR(VLOOKUP(DATOS!$I17555,CONFIG_ASIGNATURAS!$B$2:$J$91,9,FALSE()),""))</f>
      </c>
    </row>
    <row r="17556">
      <c r="F17556">
        <f>IF(DATOS!$A17556="","",DATOS!$A17556&amp;"|"&amp;DATOS!$D17556&amp;"|"&amp;DATOS!$E17556&amp;"|"&amp;DATOS!$I17556)</f>
      </c>
      <c r="G17556">
        <f>IF(DATOS!$A17556="",0,IF(CONFIG_METADATA!$B$4&lt;&gt;"OR+EX",--(DATOS!$G17556=CONFIG_METADATA!$B$4),IF(DATOS!$G17556="EX",1,IF(DATOS!$G17556="OR",--(COUNTIFS(nNIA,DATOS!$A17556,nCURSO,DATOS!$D17556,nESPEC,DATOS!$E17556,nASIG,DATOS!$I17556,nEVAL,"EX")=0),0))))</f>
      </c>
      <c r="H17556">
        <f>IF(DATOS!$G17556&lt;&gt;"EX",0,--(COUNTIFS(nNIA,DATOS!$A17556,nCURSO,DATOS!$D17556,nESPEC,DATOS!$E17556,nASIG,DATOS!$I17556,nEVAL,"OR")=0))</f>
      </c>
      <c r="I17556">
        <f>IF(DATOS!$I17556="","",IFERROR(VLOOKUP(DATOS!$I17556,CONFIG_ASIGNATURAS!$B$2:$J$91,9,FALSE()),""))</f>
      </c>
    </row>
    <row r="17557">
      <c r="F17557">
        <f>IF(DATOS!$A17557="","",DATOS!$A17557&amp;"|"&amp;DATOS!$D17557&amp;"|"&amp;DATOS!$E17557&amp;"|"&amp;DATOS!$I17557)</f>
      </c>
      <c r="G17557">
        <f>IF(DATOS!$A17557="",0,IF(CONFIG_METADATA!$B$4&lt;&gt;"OR+EX",--(DATOS!$G17557=CONFIG_METADATA!$B$4),IF(DATOS!$G17557="EX",1,IF(DATOS!$G17557="OR",--(COUNTIFS(nNIA,DATOS!$A17557,nCURSO,DATOS!$D17557,nESPEC,DATOS!$E17557,nASIG,DATOS!$I17557,nEVAL,"EX")=0),0))))</f>
      </c>
      <c r="H17557">
        <f>IF(DATOS!$G17557&lt;&gt;"EX",0,--(COUNTIFS(nNIA,DATOS!$A17557,nCURSO,DATOS!$D17557,nESPEC,DATOS!$E17557,nASIG,DATOS!$I17557,nEVAL,"OR")=0))</f>
      </c>
      <c r="I17557">
        <f>IF(DATOS!$I17557="","",IFERROR(VLOOKUP(DATOS!$I17557,CONFIG_ASIGNATURAS!$B$2:$J$91,9,FALSE()),""))</f>
      </c>
    </row>
    <row r="17558">
      <c r="F17558">
        <f>IF(DATOS!$A17558="","",DATOS!$A17558&amp;"|"&amp;DATOS!$D17558&amp;"|"&amp;DATOS!$E17558&amp;"|"&amp;DATOS!$I17558)</f>
      </c>
      <c r="G17558">
        <f>IF(DATOS!$A17558="",0,IF(CONFIG_METADATA!$B$4&lt;&gt;"OR+EX",--(DATOS!$G17558=CONFIG_METADATA!$B$4),IF(DATOS!$G17558="EX",1,IF(DATOS!$G17558="OR",--(COUNTIFS(nNIA,DATOS!$A17558,nCURSO,DATOS!$D17558,nESPEC,DATOS!$E17558,nASIG,DATOS!$I17558,nEVAL,"EX")=0),0))))</f>
      </c>
      <c r="H17558">
        <f>IF(DATOS!$G17558&lt;&gt;"EX",0,--(COUNTIFS(nNIA,DATOS!$A17558,nCURSO,DATOS!$D17558,nESPEC,DATOS!$E17558,nASIG,DATOS!$I17558,nEVAL,"OR")=0))</f>
      </c>
      <c r="I17558">
        <f>IF(DATOS!$I17558="","",IFERROR(VLOOKUP(DATOS!$I17558,CONFIG_ASIGNATURAS!$B$2:$J$91,9,FALSE()),""))</f>
      </c>
    </row>
    <row r="17559">
      <c r="F17559">
        <f>IF(DATOS!$A17559="","",DATOS!$A17559&amp;"|"&amp;DATOS!$D17559&amp;"|"&amp;DATOS!$E17559&amp;"|"&amp;DATOS!$I17559)</f>
      </c>
      <c r="G17559">
        <f>IF(DATOS!$A17559="",0,IF(CONFIG_METADATA!$B$4&lt;&gt;"OR+EX",--(DATOS!$G17559=CONFIG_METADATA!$B$4),IF(DATOS!$G17559="EX",1,IF(DATOS!$G17559="OR",--(COUNTIFS(nNIA,DATOS!$A17559,nCURSO,DATOS!$D17559,nESPEC,DATOS!$E17559,nASIG,DATOS!$I17559,nEVAL,"EX")=0),0))))</f>
      </c>
      <c r="H17559">
        <f>IF(DATOS!$G17559&lt;&gt;"EX",0,--(COUNTIFS(nNIA,DATOS!$A17559,nCURSO,DATOS!$D17559,nESPEC,DATOS!$E17559,nASIG,DATOS!$I17559,nEVAL,"OR")=0))</f>
      </c>
      <c r="I17559">
        <f>IF(DATOS!$I17559="","",IFERROR(VLOOKUP(DATOS!$I17559,CONFIG_ASIGNATURAS!$B$2:$J$91,9,FALSE()),""))</f>
      </c>
    </row>
    <row r="17560">
      <c r="F17560">
        <f>IF(DATOS!$A17560="","",DATOS!$A17560&amp;"|"&amp;DATOS!$D17560&amp;"|"&amp;DATOS!$E17560&amp;"|"&amp;DATOS!$I17560)</f>
      </c>
      <c r="G17560">
        <f>IF(DATOS!$A17560="",0,IF(CONFIG_METADATA!$B$4&lt;&gt;"OR+EX",--(DATOS!$G17560=CONFIG_METADATA!$B$4),IF(DATOS!$G17560="EX",1,IF(DATOS!$G17560="OR",--(COUNTIFS(nNIA,DATOS!$A17560,nCURSO,DATOS!$D17560,nESPEC,DATOS!$E17560,nASIG,DATOS!$I17560,nEVAL,"EX")=0),0))))</f>
      </c>
      <c r="H17560">
        <f>IF(DATOS!$G17560&lt;&gt;"EX",0,--(COUNTIFS(nNIA,DATOS!$A17560,nCURSO,DATOS!$D17560,nESPEC,DATOS!$E17560,nASIG,DATOS!$I17560,nEVAL,"OR")=0))</f>
      </c>
      <c r="I17560">
        <f>IF(DATOS!$I17560="","",IFERROR(VLOOKUP(DATOS!$I17560,CONFIG_ASIGNATURAS!$B$2:$J$91,9,FALSE()),""))</f>
      </c>
    </row>
    <row r="17561">
      <c r="F17561">
        <f>IF(DATOS!$A17561="","",DATOS!$A17561&amp;"|"&amp;DATOS!$D17561&amp;"|"&amp;DATOS!$E17561&amp;"|"&amp;DATOS!$I17561)</f>
      </c>
      <c r="G17561">
        <f>IF(DATOS!$A17561="",0,IF(CONFIG_METADATA!$B$4&lt;&gt;"OR+EX",--(DATOS!$G17561=CONFIG_METADATA!$B$4),IF(DATOS!$G17561="EX",1,IF(DATOS!$G17561="OR",--(COUNTIFS(nNIA,DATOS!$A17561,nCURSO,DATOS!$D17561,nESPEC,DATOS!$E17561,nASIG,DATOS!$I17561,nEVAL,"EX")=0),0))))</f>
      </c>
      <c r="H17561">
        <f>IF(DATOS!$G17561&lt;&gt;"EX",0,--(COUNTIFS(nNIA,DATOS!$A17561,nCURSO,DATOS!$D17561,nESPEC,DATOS!$E17561,nASIG,DATOS!$I17561,nEVAL,"OR")=0))</f>
      </c>
      <c r="I17561">
        <f>IF(DATOS!$I17561="","",IFERROR(VLOOKUP(DATOS!$I17561,CONFIG_ASIGNATURAS!$B$2:$J$91,9,FALSE()),""))</f>
      </c>
    </row>
    <row r="17562">
      <c r="F17562">
        <f>IF(DATOS!$A17562="","",DATOS!$A17562&amp;"|"&amp;DATOS!$D17562&amp;"|"&amp;DATOS!$E17562&amp;"|"&amp;DATOS!$I17562)</f>
      </c>
      <c r="G17562">
        <f>IF(DATOS!$A17562="",0,IF(CONFIG_METADATA!$B$4&lt;&gt;"OR+EX",--(DATOS!$G17562=CONFIG_METADATA!$B$4),IF(DATOS!$G17562="EX",1,IF(DATOS!$G17562="OR",--(COUNTIFS(nNIA,DATOS!$A17562,nCURSO,DATOS!$D17562,nESPEC,DATOS!$E17562,nASIG,DATOS!$I17562,nEVAL,"EX")=0),0))))</f>
      </c>
      <c r="H17562">
        <f>IF(DATOS!$G17562&lt;&gt;"EX",0,--(COUNTIFS(nNIA,DATOS!$A17562,nCURSO,DATOS!$D17562,nESPEC,DATOS!$E17562,nASIG,DATOS!$I17562,nEVAL,"OR")=0))</f>
      </c>
      <c r="I17562">
        <f>IF(DATOS!$I17562="","",IFERROR(VLOOKUP(DATOS!$I17562,CONFIG_ASIGNATURAS!$B$2:$J$91,9,FALSE()),""))</f>
      </c>
    </row>
    <row r="17563">
      <c r="F17563">
        <f>IF(DATOS!$A17563="","",DATOS!$A17563&amp;"|"&amp;DATOS!$D17563&amp;"|"&amp;DATOS!$E17563&amp;"|"&amp;DATOS!$I17563)</f>
      </c>
      <c r="G17563">
        <f>IF(DATOS!$A17563="",0,IF(CONFIG_METADATA!$B$4&lt;&gt;"OR+EX",--(DATOS!$G17563=CONFIG_METADATA!$B$4),IF(DATOS!$G17563="EX",1,IF(DATOS!$G17563="OR",--(COUNTIFS(nNIA,DATOS!$A17563,nCURSO,DATOS!$D17563,nESPEC,DATOS!$E17563,nASIG,DATOS!$I17563,nEVAL,"EX")=0),0))))</f>
      </c>
      <c r="H17563">
        <f>IF(DATOS!$G17563&lt;&gt;"EX",0,--(COUNTIFS(nNIA,DATOS!$A17563,nCURSO,DATOS!$D17563,nESPEC,DATOS!$E17563,nASIG,DATOS!$I17563,nEVAL,"OR")=0))</f>
      </c>
      <c r="I17563">
        <f>IF(DATOS!$I17563="","",IFERROR(VLOOKUP(DATOS!$I17563,CONFIG_ASIGNATURAS!$B$2:$J$91,9,FALSE()),""))</f>
      </c>
    </row>
    <row r="17564">
      <c r="F17564">
        <f>IF(DATOS!$A17564="","",DATOS!$A17564&amp;"|"&amp;DATOS!$D17564&amp;"|"&amp;DATOS!$E17564&amp;"|"&amp;DATOS!$I17564)</f>
      </c>
      <c r="G17564">
        <f>IF(DATOS!$A17564="",0,IF(CONFIG_METADATA!$B$4&lt;&gt;"OR+EX",--(DATOS!$G17564=CONFIG_METADATA!$B$4),IF(DATOS!$G17564="EX",1,IF(DATOS!$G17564="OR",--(COUNTIFS(nNIA,DATOS!$A17564,nCURSO,DATOS!$D17564,nESPEC,DATOS!$E17564,nASIG,DATOS!$I17564,nEVAL,"EX")=0),0))))</f>
      </c>
      <c r="H17564">
        <f>IF(DATOS!$G17564&lt;&gt;"EX",0,--(COUNTIFS(nNIA,DATOS!$A17564,nCURSO,DATOS!$D17564,nESPEC,DATOS!$E17564,nASIG,DATOS!$I17564,nEVAL,"OR")=0))</f>
      </c>
      <c r="I17564">
        <f>IF(DATOS!$I17564="","",IFERROR(VLOOKUP(DATOS!$I17564,CONFIG_ASIGNATURAS!$B$2:$J$91,9,FALSE()),""))</f>
      </c>
    </row>
    <row r="17565">
      <c r="F17565">
        <f>IF(DATOS!$A17565="","",DATOS!$A17565&amp;"|"&amp;DATOS!$D17565&amp;"|"&amp;DATOS!$E17565&amp;"|"&amp;DATOS!$I17565)</f>
      </c>
      <c r="G17565">
        <f>IF(DATOS!$A17565="",0,IF(CONFIG_METADATA!$B$4&lt;&gt;"OR+EX",--(DATOS!$G17565=CONFIG_METADATA!$B$4),IF(DATOS!$G17565="EX",1,IF(DATOS!$G17565="OR",--(COUNTIFS(nNIA,DATOS!$A17565,nCURSO,DATOS!$D17565,nESPEC,DATOS!$E17565,nASIG,DATOS!$I17565,nEVAL,"EX")=0),0))))</f>
      </c>
      <c r="H17565">
        <f>IF(DATOS!$G17565&lt;&gt;"EX",0,--(COUNTIFS(nNIA,DATOS!$A17565,nCURSO,DATOS!$D17565,nESPEC,DATOS!$E17565,nASIG,DATOS!$I17565,nEVAL,"OR")=0))</f>
      </c>
      <c r="I17565">
        <f>IF(DATOS!$I17565="","",IFERROR(VLOOKUP(DATOS!$I17565,CONFIG_ASIGNATURAS!$B$2:$J$91,9,FALSE()),""))</f>
      </c>
    </row>
    <row r="17566">
      <c r="F17566">
        <f>IF(DATOS!$A17566="","",DATOS!$A17566&amp;"|"&amp;DATOS!$D17566&amp;"|"&amp;DATOS!$E17566&amp;"|"&amp;DATOS!$I17566)</f>
      </c>
      <c r="G17566">
        <f>IF(DATOS!$A17566="",0,IF(CONFIG_METADATA!$B$4&lt;&gt;"OR+EX",--(DATOS!$G17566=CONFIG_METADATA!$B$4),IF(DATOS!$G17566="EX",1,IF(DATOS!$G17566="OR",--(COUNTIFS(nNIA,DATOS!$A17566,nCURSO,DATOS!$D17566,nESPEC,DATOS!$E17566,nASIG,DATOS!$I17566,nEVAL,"EX")=0),0))))</f>
      </c>
      <c r="H17566">
        <f>IF(DATOS!$G17566&lt;&gt;"EX",0,--(COUNTIFS(nNIA,DATOS!$A17566,nCURSO,DATOS!$D17566,nESPEC,DATOS!$E17566,nASIG,DATOS!$I17566,nEVAL,"OR")=0))</f>
      </c>
      <c r="I17566">
        <f>IF(DATOS!$I17566="","",IFERROR(VLOOKUP(DATOS!$I17566,CONFIG_ASIGNATURAS!$B$2:$J$91,9,FALSE()),""))</f>
      </c>
    </row>
    <row r="17567">
      <c r="F17567">
        <f>IF(DATOS!$A17567="","",DATOS!$A17567&amp;"|"&amp;DATOS!$D17567&amp;"|"&amp;DATOS!$E17567&amp;"|"&amp;DATOS!$I17567)</f>
      </c>
      <c r="G17567">
        <f>IF(DATOS!$A17567="",0,IF(CONFIG_METADATA!$B$4&lt;&gt;"OR+EX",--(DATOS!$G17567=CONFIG_METADATA!$B$4),IF(DATOS!$G17567="EX",1,IF(DATOS!$G17567="OR",--(COUNTIFS(nNIA,DATOS!$A17567,nCURSO,DATOS!$D17567,nESPEC,DATOS!$E17567,nASIG,DATOS!$I17567,nEVAL,"EX")=0),0))))</f>
      </c>
      <c r="H17567">
        <f>IF(DATOS!$G17567&lt;&gt;"EX",0,--(COUNTIFS(nNIA,DATOS!$A17567,nCURSO,DATOS!$D17567,nESPEC,DATOS!$E17567,nASIG,DATOS!$I17567,nEVAL,"OR")=0))</f>
      </c>
      <c r="I17567">
        <f>IF(DATOS!$I17567="","",IFERROR(VLOOKUP(DATOS!$I17567,CONFIG_ASIGNATURAS!$B$2:$J$91,9,FALSE()),""))</f>
      </c>
    </row>
    <row r="17568">
      <c r="F17568">
        <f>IF(DATOS!$A17568="","",DATOS!$A17568&amp;"|"&amp;DATOS!$D17568&amp;"|"&amp;DATOS!$E17568&amp;"|"&amp;DATOS!$I17568)</f>
      </c>
      <c r="G17568">
        <f>IF(DATOS!$A17568="",0,IF(CONFIG_METADATA!$B$4&lt;&gt;"OR+EX",--(DATOS!$G17568=CONFIG_METADATA!$B$4),IF(DATOS!$G17568="EX",1,IF(DATOS!$G17568="OR",--(COUNTIFS(nNIA,DATOS!$A17568,nCURSO,DATOS!$D17568,nESPEC,DATOS!$E17568,nASIG,DATOS!$I17568,nEVAL,"EX")=0),0))))</f>
      </c>
      <c r="H17568">
        <f>IF(DATOS!$G17568&lt;&gt;"EX",0,--(COUNTIFS(nNIA,DATOS!$A17568,nCURSO,DATOS!$D17568,nESPEC,DATOS!$E17568,nASIG,DATOS!$I17568,nEVAL,"OR")=0))</f>
      </c>
      <c r="I17568">
        <f>IF(DATOS!$I17568="","",IFERROR(VLOOKUP(DATOS!$I17568,CONFIG_ASIGNATURAS!$B$2:$J$91,9,FALSE()),""))</f>
      </c>
    </row>
    <row r="17569">
      <c r="F17569">
        <f>IF(DATOS!$A17569="","",DATOS!$A17569&amp;"|"&amp;DATOS!$D17569&amp;"|"&amp;DATOS!$E17569&amp;"|"&amp;DATOS!$I17569)</f>
      </c>
      <c r="G17569">
        <f>IF(DATOS!$A17569="",0,IF(CONFIG_METADATA!$B$4&lt;&gt;"OR+EX",--(DATOS!$G17569=CONFIG_METADATA!$B$4),IF(DATOS!$G17569="EX",1,IF(DATOS!$G17569="OR",--(COUNTIFS(nNIA,DATOS!$A17569,nCURSO,DATOS!$D17569,nESPEC,DATOS!$E17569,nASIG,DATOS!$I17569,nEVAL,"EX")=0),0))))</f>
      </c>
      <c r="H17569">
        <f>IF(DATOS!$G17569&lt;&gt;"EX",0,--(COUNTIFS(nNIA,DATOS!$A17569,nCURSO,DATOS!$D17569,nESPEC,DATOS!$E17569,nASIG,DATOS!$I17569,nEVAL,"OR")=0))</f>
      </c>
      <c r="I17569">
        <f>IF(DATOS!$I17569="","",IFERROR(VLOOKUP(DATOS!$I17569,CONFIG_ASIGNATURAS!$B$2:$J$91,9,FALSE()),""))</f>
      </c>
    </row>
    <row r="17570">
      <c r="F17570">
        <f>IF(DATOS!$A17570="","",DATOS!$A17570&amp;"|"&amp;DATOS!$D17570&amp;"|"&amp;DATOS!$E17570&amp;"|"&amp;DATOS!$I17570)</f>
      </c>
      <c r="G17570">
        <f>IF(DATOS!$A17570="",0,IF(CONFIG_METADATA!$B$4&lt;&gt;"OR+EX",--(DATOS!$G17570=CONFIG_METADATA!$B$4),IF(DATOS!$G17570="EX",1,IF(DATOS!$G17570="OR",--(COUNTIFS(nNIA,DATOS!$A17570,nCURSO,DATOS!$D17570,nESPEC,DATOS!$E17570,nASIG,DATOS!$I17570,nEVAL,"EX")=0),0))))</f>
      </c>
      <c r="H17570">
        <f>IF(DATOS!$G17570&lt;&gt;"EX",0,--(COUNTIFS(nNIA,DATOS!$A17570,nCURSO,DATOS!$D17570,nESPEC,DATOS!$E17570,nASIG,DATOS!$I17570,nEVAL,"OR")=0))</f>
      </c>
      <c r="I17570">
        <f>IF(DATOS!$I17570="","",IFERROR(VLOOKUP(DATOS!$I17570,CONFIG_ASIGNATURAS!$B$2:$J$91,9,FALSE()),""))</f>
      </c>
    </row>
    <row r="17571">
      <c r="F17571">
        <f>IF(DATOS!$A17571="","",DATOS!$A17571&amp;"|"&amp;DATOS!$D17571&amp;"|"&amp;DATOS!$E17571&amp;"|"&amp;DATOS!$I17571)</f>
      </c>
      <c r="G17571">
        <f>IF(DATOS!$A17571="",0,IF(CONFIG_METADATA!$B$4&lt;&gt;"OR+EX",--(DATOS!$G17571=CONFIG_METADATA!$B$4),IF(DATOS!$G17571="EX",1,IF(DATOS!$G17571="OR",--(COUNTIFS(nNIA,DATOS!$A17571,nCURSO,DATOS!$D17571,nESPEC,DATOS!$E17571,nASIG,DATOS!$I17571,nEVAL,"EX")=0),0))))</f>
      </c>
      <c r="H17571">
        <f>IF(DATOS!$G17571&lt;&gt;"EX",0,--(COUNTIFS(nNIA,DATOS!$A17571,nCURSO,DATOS!$D17571,nESPEC,DATOS!$E17571,nASIG,DATOS!$I17571,nEVAL,"OR")=0))</f>
      </c>
      <c r="I17571">
        <f>IF(DATOS!$I17571="","",IFERROR(VLOOKUP(DATOS!$I17571,CONFIG_ASIGNATURAS!$B$2:$J$91,9,FALSE()),""))</f>
      </c>
    </row>
    <row r="17572">
      <c r="F17572">
        <f>IF(DATOS!$A17572="","",DATOS!$A17572&amp;"|"&amp;DATOS!$D17572&amp;"|"&amp;DATOS!$E17572&amp;"|"&amp;DATOS!$I17572)</f>
      </c>
      <c r="G17572">
        <f>IF(DATOS!$A17572="",0,IF(CONFIG_METADATA!$B$4&lt;&gt;"OR+EX",--(DATOS!$G17572=CONFIG_METADATA!$B$4),IF(DATOS!$G17572="EX",1,IF(DATOS!$G17572="OR",--(COUNTIFS(nNIA,DATOS!$A17572,nCURSO,DATOS!$D17572,nESPEC,DATOS!$E17572,nASIG,DATOS!$I17572,nEVAL,"EX")=0),0))))</f>
      </c>
      <c r="H17572">
        <f>IF(DATOS!$G17572&lt;&gt;"EX",0,--(COUNTIFS(nNIA,DATOS!$A17572,nCURSO,DATOS!$D17572,nESPEC,DATOS!$E17572,nASIG,DATOS!$I17572,nEVAL,"OR")=0))</f>
      </c>
      <c r="I17572">
        <f>IF(DATOS!$I17572="","",IFERROR(VLOOKUP(DATOS!$I17572,CONFIG_ASIGNATURAS!$B$2:$J$91,9,FALSE()),""))</f>
      </c>
    </row>
    <row r="17573">
      <c r="F17573">
        <f>IF(DATOS!$A17573="","",DATOS!$A17573&amp;"|"&amp;DATOS!$D17573&amp;"|"&amp;DATOS!$E17573&amp;"|"&amp;DATOS!$I17573)</f>
      </c>
      <c r="G17573">
        <f>IF(DATOS!$A17573="",0,IF(CONFIG_METADATA!$B$4&lt;&gt;"OR+EX",--(DATOS!$G17573=CONFIG_METADATA!$B$4),IF(DATOS!$G17573="EX",1,IF(DATOS!$G17573="OR",--(COUNTIFS(nNIA,DATOS!$A17573,nCURSO,DATOS!$D17573,nESPEC,DATOS!$E17573,nASIG,DATOS!$I17573,nEVAL,"EX")=0),0))))</f>
      </c>
      <c r="H17573">
        <f>IF(DATOS!$G17573&lt;&gt;"EX",0,--(COUNTIFS(nNIA,DATOS!$A17573,nCURSO,DATOS!$D17573,nESPEC,DATOS!$E17573,nASIG,DATOS!$I17573,nEVAL,"OR")=0))</f>
      </c>
      <c r="I17573">
        <f>IF(DATOS!$I17573="","",IFERROR(VLOOKUP(DATOS!$I17573,CONFIG_ASIGNATURAS!$B$2:$J$91,9,FALSE()),""))</f>
      </c>
    </row>
    <row r="17574">
      <c r="F17574">
        <f>IF(DATOS!$A17574="","",DATOS!$A17574&amp;"|"&amp;DATOS!$D17574&amp;"|"&amp;DATOS!$E17574&amp;"|"&amp;DATOS!$I17574)</f>
      </c>
      <c r="G17574">
        <f>IF(DATOS!$A17574="",0,IF(CONFIG_METADATA!$B$4&lt;&gt;"OR+EX",--(DATOS!$G17574=CONFIG_METADATA!$B$4),IF(DATOS!$G17574="EX",1,IF(DATOS!$G17574="OR",--(COUNTIFS(nNIA,DATOS!$A17574,nCURSO,DATOS!$D17574,nESPEC,DATOS!$E17574,nASIG,DATOS!$I17574,nEVAL,"EX")=0),0))))</f>
      </c>
      <c r="H17574">
        <f>IF(DATOS!$G17574&lt;&gt;"EX",0,--(COUNTIFS(nNIA,DATOS!$A17574,nCURSO,DATOS!$D17574,nESPEC,DATOS!$E17574,nASIG,DATOS!$I17574,nEVAL,"OR")=0))</f>
      </c>
      <c r="I17574">
        <f>IF(DATOS!$I17574="","",IFERROR(VLOOKUP(DATOS!$I17574,CONFIG_ASIGNATURAS!$B$2:$J$91,9,FALSE()),""))</f>
      </c>
    </row>
    <row r="17575">
      <c r="F17575">
        <f>IF(DATOS!$A17575="","",DATOS!$A17575&amp;"|"&amp;DATOS!$D17575&amp;"|"&amp;DATOS!$E17575&amp;"|"&amp;DATOS!$I17575)</f>
      </c>
      <c r="G17575">
        <f>IF(DATOS!$A17575="",0,IF(CONFIG_METADATA!$B$4&lt;&gt;"OR+EX",--(DATOS!$G17575=CONFIG_METADATA!$B$4),IF(DATOS!$G17575="EX",1,IF(DATOS!$G17575="OR",--(COUNTIFS(nNIA,DATOS!$A17575,nCURSO,DATOS!$D17575,nESPEC,DATOS!$E17575,nASIG,DATOS!$I17575,nEVAL,"EX")=0),0))))</f>
      </c>
      <c r="H17575">
        <f>IF(DATOS!$G17575&lt;&gt;"EX",0,--(COUNTIFS(nNIA,DATOS!$A17575,nCURSO,DATOS!$D17575,nESPEC,DATOS!$E17575,nASIG,DATOS!$I17575,nEVAL,"OR")=0))</f>
      </c>
      <c r="I17575">
        <f>IF(DATOS!$I17575="","",IFERROR(VLOOKUP(DATOS!$I17575,CONFIG_ASIGNATURAS!$B$2:$J$91,9,FALSE()),""))</f>
      </c>
    </row>
    <row r="17576">
      <c r="F17576">
        <f>IF(DATOS!$A17576="","",DATOS!$A17576&amp;"|"&amp;DATOS!$D17576&amp;"|"&amp;DATOS!$E17576&amp;"|"&amp;DATOS!$I17576)</f>
      </c>
      <c r="G17576">
        <f>IF(DATOS!$A17576="",0,IF(CONFIG_METADATA!$B$4&lt;&gt;"OR+EX",--(DATOS!$G17576=CONFIG_METADATA!$B$4),IF(DATOS!$G17576="EX",1,IF(DATOS!$G17576="OR",--(COUNTIFS(nNIA,DATOS!$A17576,nCURSO,DATOS!$D17576,nESPEC,DATOS!$E17576,nASIG,DATOS!$I17576,nEVAL,"EX")=0),0))))</f>
      </c>
      <c r="H17576">
        <f>IF(DATOS!$G17576&lt;&gt;"EX",0,--(COUNTIFS(nNIA,DATOS!$A17576,nCURSO,DATOS!$D17576,nESPEC,DATOS!$E17576,nASIG,DATOS!$I17576,nEVAL,"OR")=0))</f>
      </c>
      <c r="I17576">
        <f>IF(DATOS!$I17576="","",IFERROR(VLOOKUP(DATOS!$I17576,CONFIG_ASIGNATURAS!$B$2:$J$91,9,FALSE()),""))</f>
      </c>
    </row>
    <row r="17577">
      <c r="F17577">
        <f>IF(DATOS!$A17577="","",DATOS!$A17577&amp;"|"&amp;DATOS!$D17577&amp;"|"&amp;DATOS!$E17577&amp;"|"&amp;DATOS!$I17577)</f>
      </c>
      <c r="G17577">
        <f>IF(DATOS!$A17577="",0,IF(CONFIG_METADATA!$B$4&lt;&gt;"OR+EX",--(DATOS!$G17577=CONFIG_METADATA!$B$4),IF(DATOS!$G17577="EX",1,IF(DATOS!$G17577="OR",--(COUNTIFS(nNIA,DATOS!$A17577,nCURSO,DATOS!$D17577,nESPEC,DATOS!$E17577,nASIG,DATOS!$I17577,nEVAL,"EX")=0),0))))</f>
      </c>
      <c r="H17577">
        <f>IF(DATOS!$G17577&lt;&gt;"EX",0,--(COUNTIFS(nNIA,DATOS!$A17577,nCURSO,DATOS!$D17577,nESPEC,DATOS!$E17577,nASIG,DATOS!$I17577,nEVAL,"OR")=0))</f>
      </c>
      <c r="I17577">
        <f>IF(DATOS!$I17577="","",IFERROR(VLOOKUP(DATOS!$I17577,CONFIG_ASIGNATURAS!$B$2:$J$91,9,FALSE()),""))</f>
      </c>
    </row>
    <row r="17578">
      <c r="F17578">
        <f>IF(DATOS!$A17578="","",DATOS!$A17578&amp;"|"&amp;DATOS!$D17578&amp;"|"&amp;DATOS!$E17578&amp;"|"&amp;DATOS!$I17578)</f>
      </c>
      <c r="G17578">
        <f>IF(DATOS!$A17578="",0,IF(CONFIG_METADATA!$B$4&lt;&gt;"OR+EX",--(DATOS!$G17578=CONFIG_METADATA!$B$4),IF(DATOS!$G17578="EX",1,IF(DATOS!$G17578="OR",--(COUNTIFS(nNIA,DATOS!$A17578,nCURSO,DATOS!$D17578,nESPEC,DATOS!$E17578,nASIG,DATOS!$I17578,nEVAL,"EX")=0),0))))</f>
      </c>
      <c r="H17578">
        <f>IF(DATOS!$G17578&lt;&gt;"EX",0,--(COUNTIFS(nNIA,DATOS!$A17578,nCURSO,DATOS!$D17578,nESPEC,DATOS!$E17578,nASIG,DATOS!$I17578,nEVAL,"OR")=0))</f>
      </c>
      <c r="I17578">
        <f>IF(DATOS!$I17578="","",IFERROR(VLOOKUP(DATOS!$I17578,CONFIG_ASIGNATURAS!$B$2:$J$91,9,FALSE()),""))</f>
      </c>
    </row>
    <row r="17579">
      <c r="F17579">
        <f>IF(DATOS!$A17579="","",DATOS!$A17579&amp;"|"&amp;DATOS!$D17579&amp;"|"&amp;DATOS!$E17579&amp;"|"&amp;DATOS!$I17579)</f>
      </c>
      <c r="G17579">
        <f>IF(DATOS!$A17579="",0,IF(CONFIG_METADATA!$B$4&lt;&gt;"OR+EX",--(DATOS!$G17579=CONFIG_METADATA!$B$4),IF(DATOS!$G17579="EX",1,IF(DATOS!$G17579="OR",--(COUNTIFS(nNIA,DATOS!$A17579,nCURSO,DATOS!$D17579,nESPEC,DATOS!$E17579,nASIG,DATOS!$I17579,nEVAL,"EX")=0),0))))</f>
      </c>
      <c r="H17579">
        <f>IF(DATOS!$G17579&lt;&gt;"EX",0,--(COUNTIFS(nNIA,DATOS!$A17579,nCURSO,DATOS!$D17579,nESPEC,DATOS!$E17579,nASIG,DATOS!$I17579,nEVAL,"OR")=0))</f>
      </c>
      <c r="I17579">
        <f>IF(DATOS!$I17579="","",IFERROR(VLOOKUP(DATOS!$I17579,CONFIG_ASIGNATURAS!$B$2:$J$91,9,FALSE()),""))</f>
      </c>
    </row>
    <row r="17580">
      <c r="F17580">
        <f>IF(DATOS!$A17580="","",DATOS!$A17580&amp;"|"&amp;DATOS!$D17580&amp;"|"&amp;DATOS!$E17580&amp;"|"&amp;DATOS!$I17580)</f>
      </c>
      <c r="G17580">
        <f>IF(DATOS!$A17580="",0,IF(CONFIG_METADATA!$B$4&lt;&gt;"OR+EX",--(DATOS!$G17580=CONFIG_METADATA!$B$4),IF(DATOS!$G17580="EX",1,IF(DATOS!$G17580="OR",--(COUNTIFS(nNIA,DATOS!$A17580,nCURSO,DATOS!$D17580,nESPEC,DATOS!$E17580,nASIG,DATOS!$I17580,nEVAL,"EX")=0),0))))</f>
      </c>
      <c r="H17580">
        <f>IF(DATOS!$G17580&lt;&gt;"EX",0,--(COUNTIFS(nNIA,DATOS!$A17580,nCURSO,DATOS!$D17580,nESPEC,DATOS!$E17580,nASIG,DATOS!$I17580,nEVAL,"OR")=0))</f>
      </c>
      <c r="I17580">
        <f>IF(DATOS!$I17580="","",IFERROR(VLOOKUP(DATOS!$I17580,CONFIG_ASIGNATURAS!$B$2:$J$91,9,FALSE()),""))</f>
      </c>
    </row>
    <row r="17581">
      <c r="F17581">
        <f>IF(DATOS!$A17581="","",DATOS!$A17581&amp;"|"&amp;DATOS!$D17581&amp;"|"&amp;DATOS!$E17581&amp;"|"&amp;DATOS!$I17581)</f>
      </c>
      <c r="G17581">
        <f>IF(DATOS!$A17581="",0,IF(CONFIG_METADATA!$B$4&lt;&gt;"OR+EX",--(DATOS!$G17581=CONFIG_METADATA!$B$4),IF(DATOS!$G17581="EX",1,IF(DATOS!$G17581="OR",--(COUNTIFS(nNIA,DATOS!$A17581,nCURSO,DATOS!$D17581,nESPEC,DATOS!$E17581,nASIG,DATOS!$I17581,nEVAL,"EX")=0),0))))</f>
      </c>
      <c r="H17581">
        <f>IF(DATOS!$G17581&lt;&gt;"EX",0,--(COUNTIFS(nNIA,DATOS!$A17581,nCURSO,DATOS!$D17581,nESPEC,DATOS!$E17581,nASIG,DATOS!$I17581,nEVAL,"OR")=0))</f>
      </c>
      <c r="I17581">
        <f>IF(DATOS!$I17581="","",IFERROR(VLOOKUP(DATOS!$I17581,CONFIG_ASIGNATURAS!$B$2:$J$91,9,FALSE()),""))</f>
      </c>
    </row>
    <row r="17582">
      <c r="F17582">
        <f>IF(DATOS!$A17582="","",DATOS!$A17582&amp;"|"&amp;DATOS!$D17582&amp;"|"&amp;DATOS!$E17582&amp;"|"&amp;DATOS!$I17582)</f>
      </c>
      <c r="G17582">
        <f>IF(DATOS!$A17582="",0,IF(CONFIG_METADATA!$B$4&lt;&gt;"OR+EX",--(DATOS!$G17582=CONFIG_METADATA!$B$4),IF(DATOS!$G17582="EX",1,IF(DATOS!$G17582="OR",--(COUNTIFS(nNIA,DATOS!$A17582,nCURSO,DATOS!$D17582,nESPEC,DATOS!$E17582,nASIG,DATOS!$I17582,nEVAL,"EX")=0),0))))</f>
      </c>
      <c r="H17582">
        <f>IF(DATOS!$G17582&lt;&gt;"EX",0,--(COUNTIFS(nNIA,DATOS!$A17582,nCURSO,DATOS!$D17582,nESPEC,DATOS!$E17582,nASIG,DATOS!$I17582,nEVAL,"OR")=0))</f>
      </c>
      <c r="I17582">
        <f>IF(DATOS!$I17582="","",IFERROR(VLOOKUP(DATOS!$I17582,CONFIG_ASIGNATURAS!$B$2:$J$91,9,FALSE()),""))</f>
      </c>
    </row>
    <row r="17583">
      <c r="F17583">
        <f>IF(DATOS!$A17583="","",DATOS!$A17583&amp;"|"&amp;DATOS!$D17583&amp;"|"&amp;DATOS!$E17583&amp;"|"&amp;DATOS!$I17583)</f>
      </c>
      <c r="G17583">
        <f>IF(DATOS!$A17583="",0,IF(CONFIG_METADATA!$B$4&lt;&gt;"OR+EX",--(DATOS!$G17583=CONFIG_METADATA!$B$4),IF(DATOS!$G17583="EX",1,IF(DATOS!$G17583="OR",--(COUNTIFS(nNIA,DATOS!$A17583,nCURSO,DATOS!$D17583,nESPEC,DATOS!$E17583,nASIG,DATOS!$I17583,nEVAL,"EX")=0),0))))</f>
      </c>
      <c r="H17583">
        <f>IF(DATOS!$G17583&lt;&gt;"EX",0,--(COUNTIFS(nNIA,DATOS!$A17583,nCURSO,DATOS!$D17583,nESPEC,DATOS!$E17583,nASIG,DATOS!$I17583,nEVAL,"OR")=0))</f>
      </c>
      <c r="I17583">
        <f>IF(DATOS!$I17583="","",IFERROR(VLOOKUP(DATOS!$I17583,CONFIG_ASIGNATURAS!$B$2:$J$91,9,FALSE()),""))</f>
      </c>
    </row>
    <row r="17584">
      <c r="F17584">
        <f>IF(DATOS!$A17584="","",DATOS!$A17584&amp;"|"&amp;DATOS!$D17584&amp;"|"&amp;DATOS!$E17584&amp;"|"&amp;DATOS!$I17584)</f>
      </c>
      <c r="G17584">
        <f>IF(DATOS!$A17584="",0,IF(CONFIG_METADATA!$B$4&lt;&gt;"OR+EX",--(DATOS!$G17584=CONFIG_METADATA!$B$4),IF(DATOS!$G17584="EX",1,IF(DATOS!$G17584="OR",--(COUNTIFS(nNIA,DATOS!$A17584,nCURSO,DATOS!$D17584,nESPEC,DATOS!$E17584,nASIG,DATOS!$I17584,nEVAL,"EX")=0),0))))</f>
      </c>
      <c r="H17584">
        <f>IF(DATOS!$G17584&lt;&gt;"EX",0,--(COUNTIFS(nNIA,DATOS!$A17584,nCURSO,DATOS!$D17584,nESPEC,DATOS!$E17584,nASIG,DATOS!$I17584,nEVAL,"OR")=0))</f>
      </c>
      <c r="I17584">
        <f>IF(DATOS!$I17584="","",IFERROR(VLOOKUP(DATOS!$I17584,CONFIG_ASIGNATURAS!$B$2:$J$91,9,FALSE()),""))</f>
      </c>
    </row>
    <row r="17585">
      <c r="F17585">
        <f>IF(DATOS!$A17585="","",DATOS!$A17585&amp;"|"&amp;DATOS!$D17585&amp;"|"&amp;DATOS!$E17585&amp;"|"&amp;DATOS!$I17585)</f>
      </c>
      <c r="G17585">
        <f>IF(DATOS!$A17585="",0,IF(CONFIG_METADATA!$B$4&lt;&gt;"OR+EX",--(DATOS!$G17585=CONFIG_METADATA!$B$4),IF(DATOS!$G17585="EX",1,IF(DATOS!$G17585="OR",--(COUNTIFS(nNIA,DATOS!$A17585,nCURSO,DATOS!$D17585,nESPEC,DATOS!$E17585,nASIG,DATOS!$I17585,nEVAL,"EX")=0),0))))</f>
      </c>
      <c r="H17585">
        <f>IF(DATOS!$G17585&lt;&gt;"EX",0,--(COUNTIFS(nNIA,DATOS!$A17585,nCURSO,DATOS!$D17585,nESPEC,DATOS!$E17585,nASIG,DATOS!$I17585,nEVAL,"OR")=0))</f>
      </c>
      <c r="I17585">
        <f>IF(DATOS!$I17585="","",IFERROR(VLOOKUP(DATOS!$I17585,CONFIG_ASIGNATURAS!$B$2:$J$91,9,FALSE()),""))</f>
      </c>
    </row>
    <row r="17586">
      <c r="F17586">
        <f>IF(DATOS!$A17586="","",DATOS!$A17586&amp;"|"&amp;DATOS!$D17586&amp;"|"&amp;DATOS!$E17586&amp;"|"&amp;DATOS!$I17586)</f>
      </c>
      <c r="G17586">
        <f>IF(DATOS!$A17586="",0,IF(CONFIG_METADATA!$B$4&lt;&gt;"OR+EX",--(DATOS!$G17586=CONFIG_METADATA!$B$4),IF(DATOS!$G17586="EX",1,IF(DATOS!$G17586="OR",--(COUNTIFS(nNIA,DATOS!$A17586,nCURSO,DATOS!$D17586,nESPEC,DATOS!$E17586,nASIG,DATOS!$I17586,nEVAL,"EX")=0),0))))</f>
      </c>
      <c r="H17586">
        <f>IF(DATOS!$G17586&lt;&gt;"EX",0,--(COUNTIFS(nNIA,DATOS!$A17586,nCURSO,DATOS!$D17586,nESPEC,DATOS!$E17586,nASIG,DATOS!$I17586,nEVAL,"OR")=0))</f>
      </c>
      <c r="I17586">
        <f>IF(DATOS!$I17586="","",IFERROR(VLOOKUP(DATOS!$I17586,CONFIG_ASIGNATURAS!$B$2:$J$91,9,FALSE()),""))</f>
      </c>
    </row>
    <row r="17587">
      <c r="F17587">
        <f>IF(DATOS!$A17587="","",DATOS!$A17587&amp;"|"&amp;DATOS!$D17587&amp;"|"&amp;DATOS!$E17587&amp;"|"&amp;DATOS!$I17587)</f>
      </c>
      <c r="G17587">
        <f>IF(DATOS!$A17587="",0,IF(CONFIG_METADATA!$B$4&lt;&gt;"OR+EX",--(DATOS!$G17587=CONFIG_METADATA!$B$4),IF(DATOS!$G17587="EX",1,IF(DATOS!$G17587="OR",--(COUNTIFS(nNIA,DATOS!$A17587,nCURSO,DATOS!$D17587,nESPEC,DATOS!$E17587,nASIG,DATOS!$I17587,nEVAL,"EX")=0),0))))</f>
      </c>
      <c r="H17587">
        <f>IF(DATOS!$G17587&lt;&gt;"EX",0,--(COUNTIFS(nNIA,DATOS!$A17587,nCURSO,DATOS!$D17587,nESPEC,DATOS!$E17587,nASIG,DATOS!$I17587,nEVAL,"OR")=0))</f>
      </c>
      <c r="I17587">
        <f>IF(DATOS!$I17587="","",IFERROR(VLOOKUP(DATOS!$I17587,CONFIG_ASIGNATURAS!$B$2:$J$91,9,FALSE()),""))</f>
      </c>
    </row>
    <row r="17588">
      <c r="F17588">
        <f>IF(DATOS!$A17588="","",DATOS!$A17588&amp;"|"&amp;DATOS!$D17588&amp;"|"&amp;DATOS!$E17588&amp;"|"&amp;DATOS!$I17588)</f>
      </c>
      <c r="G17588">
        <f>IF(DATOS!$A17588="",0,IF(CONFIG_METADATA!$B$4&lt;&gt;"OR+EX",--(DATOS!$G17588=CONFIG_METADATA!$B$4),IF(DATOS!$G17588="EX",1,IF(DATOS!$G17588="OR",--(COUNTIFS(nNIA,DATOS!$A17588,nCURSO,DATOS!$D17588,nESPEC,DATOS!$E17588,nASIG,DATOS!$I17588,nEVAL,"EX")=0),0))))</f>
      </c>
      <c r="H17588">
        <f>IF(DATOS!$G17588&lt;&gt;"EX",0,--(COUNTIFS(nNIA,DATOS!$A17588,nCURSO,DATOS!$D17588,nESPEC,DATOS!$E17588,nASIG,DATOS!$I17588,nEVAL,"OR")=0))</f>
      </c>
      <c r="I17588">
        <f>IF(DATOS!$I17588="","",IFERROR(VLOOKUP(DATOS!$I17588,CONFIG_ASIGNATURAS!$B$2:$J$91,9,FALSE()),""))</f>
      </c>
    </row>
    <row r="17589">
      <c r="F17589">
        <f>IF(DATOS!$A17589="","",DATOS!$A17589&amp;"|"&amp;DATOS!$D17589&amp;"|"&amp;DATOS!$E17589&amp;"|"&amp;DATOS!$I17589)</f>
      </c>
      <c r="G17589">
        <f>IF(DATOS!$A17589="",0,IF(CONFIG_METADATA!$B$4&lt;&gt;"OR+EX",--(DATOS!$G17589=CONFIG_METADATA!$B$4),IF(DATOS!$G17589="EX",1,IF(DATOS!$G17589="OR",--(COUNTIFS(nNIA,DATOS!$A17589,nCURSO,DATOS!$D17589,nESPEC,DATOS!$E17589,nASIG,DATOS!$I17589,nEVAL,"EX")=0),0))))</f>
      </c>
      <c r="H17589">
        <f>IF(DATOS!$G17589&lt;&gt;"EX",0,--(COUNTIFS(nNIA,DATOS!$A17589,nCURSO,DATOS!$D17589,nESPEC,DATOS!$E17589,nASIG,DATOS!$I17589,nEVAL,"OR")=0))</f>
      </c>
      <c r="I17589">
        <f>IF(DATOS!$I17589="","",IFERROR(VLOOKUP(DATOS!$I17589,CONFIG_ASIGNATURAS!$B$2:$J$91,9,FALSE()),""))</f>
      </c>
    </row>
    <row r="17590">
      <c r="F17590">
        <f>IF(DATOS!$A17590="","",DATOS!$A17590&amp;"|"&amp;DATOS!$D17590&amp;"|"&amp;DATOS!$E17590&amp;"|"&amp;DATOS!$I17590)</f>
      </c>
      <c r="G17590">
        <f>IF(DATOS!$A17590="",0,IF(CONFIG_METADATA!$B$4&lt;&gt;"OR+EX",--(DATOS!$G17590=CONFIG_METADATA!$B$4),IF(DATOS!$G17590="EX",1,IF(DATOS!$G17590="OR",--(COUNTIFS(nNIA,DATOS!$A17590,nCURSO,DATOS!$D17590,nESPEC,DATOS!$E17590,nASIG,DATOS!$I17590,nEVAL,"EX")=0),0))))</f>
      </c>
      <c r="H17590">
        <f>IF(DATOS!$G17590&lt;&gt;"EX",0,--(COUNTIFS(nNIA,DATOS!$A17590,nCURSO,DATOS!$D17590,nESPEC,DATOS!$E17590,nASIG,DATOS!$I17590,nEVAL,"OR")=0))</f>
      </c>
      <c r="I17590">
        <f>IF(DATOS!$I17590="","",IFERROR(VLOOKUP(DATOS!$I17590,CONFIG_ASIGNATURAS!$B$2:$J$91,9,FALSE()),""))</f>
      </c>
    </row>
    <row r="17591">
      <c r="F17591">
        <f>IF(DATOS!$A17591="","",DATOS!$A17591&amp;"|"&amp;DATOS!$D17591&amp;"|"&amp;DATOS!$E17591&amp;"|"&amp;DATOS!$I17591)</f>
      </c>
      <c r="G17591">
        <f>IF(DATOS!$A17591="",0,IF(CONFIG_METADATA!$B$4&lt;&gt;"OR+EX",--(DATOS!$G17591=CONFIG_METADATA!$B$4),IF(DATOS!$G17591="EX",1,IF(DATOS!$G17591="OR",--(COUNTIFS(nNIA,DATOS!$A17591,nCURSO,DATOS!$D17591,nESPEC,DATOS!$E17591,nASIG,DATOS!$I17591,nEVAL,"EX")=0),0))))</f>
      </c>
      <c r="H17591">
        <f>IF(DATOS!$G17591&lt;&gt;"EX",0,--(COUNTIFS(nNIA,DATOS!$A17591,nCURSO,DATOS!$D17591,nESPEC,DATOS!$E17591,nASIG,DATOS!$I17591,nEVAL,"OR")=0))</f>
      </c>
      <c r="I17591">
        <f>IF(DATOS!$I17591="","",IFERROR(VLOOKUP(DATOS!$I17591,CONFIG_ASIGNATURAS!$B$2:$J$91,9,FALSE()),""))</f>
      </c>
    </row>
    <row r="17592">
      <c r="F17592">
        <f>IF(DATOS!$A17592="","",DATOS!$A17592&amp;"|"&amp;DATOS!$D17592&amp;"|"&amp;DATOS!$E17592&amp;"|"&amp;DATOS!$I17592)</f>
      </c>
      <c r="G17592">
        <f>IF(DATOS!$A17592="",0,IF(CONFIG_METADATA!$B$4&lt;&gt;"OR+EX",--(DATOS!$G17592=CONFIG_METADATA!$B$4),IF(DATOS!$G17592="EX",1,IF(DATOS!$G17592="OR",--(COUNTIFS(nNIA,DATOS!$A17592,nCURSO,DATOS!$D17592,nESPEC,DATOS!$E17592,nASIG,DATOS!$I17592,nEVAL,"EX")=0),0))))</f>
      </c>
      <c r="H17592">
        <f>IF(DATOS!$G17592&lt;&gt;"EX",0,--(COUNTIFS(nNIA,DATOS!$A17592,nCURSO,DATOS!$D17592,nESPEC,DATOS!$E17592,nASIG,DATOS!$I17592,nEVAL,"OR")=0))</f>
      </c>
      <c r="I17592">
        <f>IF(DATOS!$I17592="","",IFERROR(VLOOKUP(DATOS!$I17592,CONFIG_ASIGNATURAS!$B$2:$J$91,9,FALSE()),""))</f>
      </c>
    </row>
    <row r="17593">
      <c r="F17593">
        <f>IF(DATOS!$A17593="","",DATOS!$A17593&amp;"|"&amp;DATOS!$D17593&amp;"|"&amp;DATOS!$E17593&amp;"|"&amp;DATOS!$I17593)</f>
      </c>
      <c r="G17593">
        <f>IF(DATOS!$A17593="",0,IF(CONFIG_METADATA!$B$4&lt;&gt;"OR+EX",--(DATOS!$G17593=CONFIG_METADATA!$B$4),IF(DATOS!$G17593="EX",1,IF(DATOS!$G17593="OR",--(COUNTIFS(nNIA,DATOS!$A17593,nCURSO,DATOS!$D17593,nESPEC,DATOS!$E17593,nASIG,DATOS!$I17593,nEVAL,"EX")=0),0))))</f>
      </c>
      <c r="H17593">
        <f>IF(DATOS!$G17593&lt;&gt;"EX",0,--(COUNTIFS(nNIA,DATOS!$A17593,nCURSO,DATOS!$D17593,nESPEC,DATOS!$E17593,nASIG,DATOS!$I17593,nEVAL,"OR")=0))</f>
      </c>
      <c r="I17593">
        <f>IF(DATOS!$I17593="","",IFERROR(VLOOKUP(DATOS!$I17593,CONFIG_ASIGNATURAS!$B$2:$J$91,9,FALSE()),""))</f>
      </c>
    </row>
    <row r="17594">
      <c r="F17594">
        <f>IF(DATOS!$A17594="","",DATOS!$A17594&amp;"|"&amp;DATOS!$D17594&amp;"|"&amp;DATOS!$E17594&amp;"|"&amp;DATOS!$I17594)</f>
      </c>
      <c r="G17594">
        <f>IF(DATOS!$A17594="",0,IF(CONFIG_METADATA!$B$4&lt;&gt;"OR+EX",--(DATOS!$G17594=CONFIG_METADATA!$B$4),IF(DATOS!$G17594="EX",1,IF(DATOS!$G17594="OR",--(COUNTIFS(nNIA,DATOS!$A17594,nCURSO,DATOS!$D17594,nESPEC,DATOS!$E17594,nASIG,DATOS!$I17594,nEVAL,"EX")=0),0))))</f>
      </c>
      <c r="H17594">
        <f>IF(DATOS!$G17594&lt;&gt;"EX",0,--(COUNTIFS(nNIA,DATOS!$A17594,nCURSO,DATOS!$D17594,nESPEC,DATOS!$E17594,nASIG,DATOS!$I17594,nEVAL,"OR")=0))</f>
      </c>
      <c r="I17594">
        <f>IF(DATOS!$I17594="","",IFERROR(VLOOKUP(DATOS!$I17594,CONFIG_ASIGNATURAS!$B$2:$J$91,9,FALSE()),""))</f>
      </c>
    </row>
    <row r="17595">
      <c r="F17595">
        <f>IF(DATOS!$A17595="","",DATOS!$A17595&amp;"|"&amp;DATOS!$D17595&amp;"|"&amp;DATOS!$E17595&amp;"|"&amp;DATOS!$I17595)</f>
      </c>
      <c r="G17595">
        <f>IF(DATOS!$A17595="",0,IF(CONFIG_METADATA!$B$4&lt;&gt;"OR+EX",--(DATOS!$G17595=CONFIG_METADATA!$B$4),IF(DATOS!$G17595="EX",1,IF(DATOS!$G17595="OR",--(COUNTIFS(nNIA,DATOS!$A17595,nCURSO,DATOS!$D17595,nESPEC,DATOS!$E17595,nASIG,DATOS!$I17595,nEVAL,"EX")=0),0))))</f>
      </c>
      <c r="H17595">
        <f>IF(DATOS!$G17595&lt;&gt;"EX",0,--(COUNTIFS(nNIA,DATOS!$A17595,nCURSO,DATOS!$D17595,nESPEC,DATOS!$E17595,nASIG,DATOS!$I17595,nEVAL,"OR")=0))</f>
      </c>
      <c r="I17595">
        <f>IF(DATOS!$I17595="","",IFERROR(VLOOKUP(DATOS!$I17595,CONFIG_ASIGNATURAS!$B$2:$J$91,9,FALSE()),""))</f>
      </c>
    </row>
    <row r="17596">
      <c r="F17596">
        <f>IF(DATOS!$A17596="","",DATOS!$A17596&amp;"|"&amp;DATOS!$D17596&amp;"|"&amp;DATOS!$E17596&amp;"|"&amp;DATOS!$I17596)</f>
      </c>
      <c r="G17596">
        <f>IF(DATOS!$A17596="",0,IF(CONFIG_METADATA!$B$4&lt;&gt;"OR+EX",--(DATOS!$G17596=CONFIG_METADATA!$B$4),IF(DATOS!$G17596="EX",1,IF(DATOS!$G17596="OR",--(COUNTIFS(nNIA,DATOS!$A17596,nCURSO,DATOS!$D17596,nESPEC,DATOS!$E17596,nASIG,DATOS!$I17596,nEVAL,"EX")=0),0))))</f>
      </c>
      <c r="H17596">
        <f>IF(DATOS!$G17596&lt;&gt;"EX",0,--(COUNTIFS(nNIA,DATOS!$A17596,nCURSO,DATOS!$D17596,nESPEC,DATOS!$E17596,nASIG,DATOS!$I17596,nEVAL,"OR")=0))</f>
      </c>
      <c r="I17596">
        <f>IF(DATOS!$I17596="","",IFERROR(VLOOKUP(DATOS!$I17596,CONFIG_ASIGNATURAS!$B$2:$J$91,9,FALSE()),""))</f>
      </c>
    </row>
    <row r="17597">
      <c r="F17597">
        <f>IF(DATOS!$A17597="","",DATOS!$A17597&amp;"|"&amp;DATOS!$D17597&amp;"|"&amp;DATOS!$E17597&amp;"|"&amp;DATOS!$I17597)</f>
      </c>
      <c r="G17597">
        <f>IF(DATOS!$A17597="",0,IF(CONFIG_METADATA!$B$4&lt;&gt;"OR+EX",--(DATOS!$G17597=CONFIG_METADATA!$B$4),IF(DATOS!$G17597="EX",1,IF(DATOS!$G17597="OR",--(COUNTIFS(nNIA,DATOS!$A17597,nCURSO,DATOS!$D17597,nESPEC,DATOS!$E17597,nASIG,DATOS!$I17597,nEVAL,"EX")=0),0))))</f>
      </c>
      <c r="H17597">
        <f>IF(DATOS!$G17597&lt;&gt;"EX",0,--(COUNTIFS(nNIA,DATOS!$A17597,nCURSO,DATOS!$D17597,nESPEC,DATOS!$E17597,nASIG,DATOS!$I17597,nEVAL,"OR")=0))</f>
      </c>
      <c r="I17597">
        <f>IF(DATOS!$I17597="","",IFERROR(VLOOKUP(DATOS!$I17597,CONFIG_ASIGNATURAS!$B$2:$J$91,9,FALSE()),""))</f>
      </c>
    </row>
    <row r="17598">
      <c r="F17598">
        <f>IF(DATOS!$A17598="","",DATOS!$A17598&amp;"|"&amp;DATOS!$D17598&amp;"|"&amp;DATOS!$E17598&amp;"|"&amp;DATOS!$I17598)</f>
      </c>
      <c r="G17598">
        <f>IF(DATOS!$A17598="",0,IF(CONFIG_METADATA!$B$4&lt;&gt;"OR+EX",--(DATOS!$G17598=CONFIG_METADATA!$B$4),IF(DATOS!$G17598="EX",1,IF(DATOS!$G17598="OR",--(COUNTIFS(nNIA,DATOS!$A17598,nCURSO,DATOS!$D17598,nESPEC,DATOS!$E17598,nASIG,DATOS!$I17598,nEVAL,"EX")=0),0))))</f>
      </c>
      <c r="H17598">
        <f>IF(DATOS!$G17598&lt;&gt;"EX",0,--(COUNTIFS(nNIA,DATOS!$A17598,nCURSO,DATOS!$D17598,nESPEC,DATOS!$E17598,nASIG,DATOS!$I17598,nEVAL,"OR")=0))</f>
      </c>
      <c r="I17598">
        <f>IF(DATOS!$I17598="","",IFERROR(VLOOKUP(DATOS!$I17598,CONFIG_ASIGNATURAS!$B$2:$J$91,9,FALSE()),""))</f>
      </c>
    </row>
    <row r="17599">
      <c r="F17599">
        <f>IF(DATOS!$A17599="","",DATOS!$A17599&amp;"|"&amp;DATOS!$D17599&amp;"|"&amp;DATOS!$E17599&amp;"|"&amp;DATOS!$I17599)</f>
      </c>
      <c r="G17599">
        <f>IF(DATOS!$A17599="",0,IF(CONFIG_METADATA!$B$4&lt;&gt;"OR+EX",--(DATOS!$G17599=CONFIG_METADATA!$B$4),IF(DATOS!$G17599="EX",1,IF(DATOS!$G17599="OR",--(COUNTIFS(nNIA,DATOS!$A17599,nCURSO,DATOS!$D17599,nESPEC,DATOS!$E17599,nASIG,DATOS!$I17599,nEVAL,"EX")=0),0))))</f>
      </c>
      <c r="H17599">
        <f>IF(DATOS!$G17599&lt;&gt;"EX",0,--(COUNTIFS(nNIA,DATOS!$A17599,nCURSO,DATOS!$D17599,nESPEC,DATOS!$E17599,nASIG,DATOS!$I17599,nEVAL,"OR")=0))</f>
      </c>
      <c r="I17599">
        <f>IF(DATOS!$I17599="","",IFERROR(VLOOKUP(DATOS!$I17599,CONFIG_ASIGNATURAS!$B$2:$J$91,9,FALSE()),""))</f>
      </c>
    </row>
    <row r="17600">
      <c r="F17600">
        <f>IF(DATOS!$A17600="","",DATOS!$A17600&amp;"|"&amp;DATOS!$D17600&amp;"|"&amp;DATOS!$E17600&amp;"|"&amp;DATOS!$I17600)</f>
      </c>
      <c r="G17600">
        <f>IF(DATOS!$A17600="",0,IF(CONFIG_METADATA!$B$4&lt;&gt;"OR+EX",--(DATOS!$G17600=CONFIG_METADATA!$B$4),IF(DATOS!$G17600="EX",1,IF(DATOS!$G17600="OR",--(COUNTIFS(nNIA,DATOS!$A17600,nCURSO,DATOS!$D17600,nESPEC,DATOS!$E17600,nASIG,DATOS!$I17600,nEVAL,"EX")=0),0))))</f>
      </c>
      <c r="H17600">
        <f>IF(DATOS!$G17600&lt;&gt;"EX",0,--(COUNTIFS(nNIA,DATOS!$A17600,nCURSO,DATOS!$D17600,nESPEC,DATOS!$E17600,nASIG,DATOS!$I17600,nEVAL,"OR")=0))</f>
      </c>
      <c r="I17600">
        <f>IF(DATOS!$I17600="","",IFERROR(VLOOKUP(DATOS!$I17600,CONFIG_ASIGNATURAS!$B$2:$J$91,9,FALSE()),""))</f>
      </c>
    </row>
    <row r="17601">
      <c r="F17601">
        <f>IF(DATOS!$A17601="","",DATOS!$A17601&amp;"|"&amp;DATOS!$D17601&amp;"|"&amp;DATOS!$E17601&amp;"|"&amp;DATOS!$I17601)</f>
      </c>
      <c r="G17601">
        <f>IF(DATOS!$A17601="",0,IF(CONFIG_METADATA!$B$4&lt;&gt;"OR+EX",--(DATOS!$G17601=CONFIG_METADATA!$B$4),IF(DATOS!$G17601="EX",1,IF(DATOS!$G17601="OR",--(COUNTIFS(nNIA,DATOS!$A17601,nCURSO,DATOS!$D17601,nESPEC,DATOS!$E17601,nASIG,DATOS!$I17601,nEVAL,"EX")=0),0))))</f>
      </c>
      <c r="H17601">
        <f>IF(DATOS!$G17601&lt;&gt;"EX",0,--(COUNTIFS(nNIA,DATOS!$A17601,nCURSO,DATOS!$D17601,nESPEC,DATOS!$E17601,nASIG,DATOS!$I17601,nEVAL,"OR")=0))</f>
      </c>
      <c r="I17601">
        <f>IF(DATOS!$I17601="","",IFERROR(VLOOKUP(DATOS!$I17601,CONFIG_ASIGNATURAS!$B$2:$J$91,9,FALSE()),""))</f>
      </c>
    </row>
    <row r="17602">
      <c r="F17602">
        <f>IF(DATOS!$A17602="","",DATOS!$A17602&amp;"|"&amp;DATOS!$D17602&amp;"|"&amp;DATOS!$E17602&amp;"|"&amp;DATOS!$I17602)</f>
      </c>
      <c r="G17602">
        <f>IF(DATOS!$A17602="",0,IF(CONFIG_METADATA!$B$4&lt;&gt;"OR+EX",--(DATOS!$G17602=CONFIG_METADATA!$B$4),IF(DATOS!$G17602="EX",1,IF(DATOS!$G17602="OR",--(COUNTIFS(nNIA,DATOS!$A17602,nCURSO,DATOS!$D17602,nESPEC,DATOS!$E17602,nASIG,DATOS!$I17602,nEVAL,"EX")=0),0))))</f>
      </c>
      <c r="H17602">
        <f>IF(DATOS!$G17602&lt;&gt;"EX",0,--(COUNTIFS(nNIA,DATOS!$A17602,nCURSO,DATOS!$D17602,nESPEC,DATOS!$E17602,nASIG,DATOS!$I17602,nEVAL,"OR")=0))</f>
      </c>
      <c r="I17602">
        <f>IF(DATOS!$I17602="","",IFERROR(VLOOKUP(DATOS!$I17602,CONFIG_ASIGNATURAS!$B$2:$J$91,9,FALSE()),""))</f>
      </c>
    </row>
    <row r="17603">
      <c r="F17603">
        <f>IF(DATOS!$A17603="","",DATOS!$A17603&amp;"|"&amp;DATOS!$D17603&amp;"|"&amp;DATOS!$E17603&amp;"|"&amp;DATOS!$I17603)</f>
      </c>
      <c r="G17603">
        <f>IF(DATOS!$A17603="",0,IF(CONFIG_METADATA!$B$4&lt;&gt;"OR+EX",--(DATOS!$G17603=CONFIG_METADATA!$B$4),IF(DATOS!$G17603="EX",1,IF(DATOS!$G17603="OR",--(COUNTIFS(nNIA,DATOS!$A17603,nCURSO,DATOS!$D17603,nESPEC,DATOS!$E17603,nASIG,DATOS!$I17603,nEVAL,"EX")=0),0))))</f>
      </c>
      <c r="H17603">
        <f>IF(DATOS!$G17603&lt;&gt;"EX",0,--(COUNTIFS(nNIA,DATOS!$A17603,nCURSO,DATOS!$D17603,nESPEC,DATOS!$E17603,nASIG,DATOS!$I17603,nEVAL,"OR")=0))</f>
      </c>
      <c r="I17603">
        <f>IF(DATOS!$I17603="","",IFERROR(VLOOKUP(DATOS!$I17603,CONFIG_ASIGNATURAS!$B$2:$J$91,9,FALSE()),""))</f>
      </c>
    </row>
    <row r="17604">
      <c r="F17604">
        <f>IF(DATOS!$A17604="","",DATOS!$A17604&amp;"|"&amp;DATOS!$D17604&amp;"|"&amp;DATOS!$E17604&amp;"|"&amp;DATOS!$I17604)</f>
      </c>
      <c r="G17604">
        <f>IF(DATOS!$A17604="",0,IF(CONFIG_METADATA!$B$4&lt;&gt;"OR+EX",--(DATOS!$G17604=CONFIG_METADATA!$B$4),IF(DATOS!$G17604="EX",1,IF(DATOS!$G17604="OR",--(COUNTIFS(nNIA,DATOS!$A17604,nCURSO,DATOS!$D17604,nESPEC,DATOS!$E17604,nASIG,DATOS!$I17604,nEVAL,"EX")=0),0))))</f>
      </c>
      <c r="H17604">
        <f>IF(DATOS!$G17604&lt;&gt;"EX",0,--(COUNTIFS(nNIA,DATOS!$A17604,nCURSO,DATOS!$D17604,nESPEC,DATOS!$E17604,nASIG,DATOS!$I17604,nEVAL,"OR")=0))</f>
      </c>
      <c r="I17604">
        <f>IF(DATOS!$I17604="","",IFERROR(VLOOKUP(DATOS!$I17604,CONFIG_ASIGNATURAS!$B$2:$J$91,9,FALSE()),""))</f>
      </c>
    </row>
    <row r="17605">
      <c r="F17605">
        <f>IF(DATOS!$A17605="","",DATOS!$A17605&amp;"|"&amp;DATOS!$D17605&amp;"|"&amp;DATOS!$E17605&amp;"|"&amp;DATOS!$I17605)</f>
      </c>
      <c r="G17605">
        <f>IF(DATOS!$A17605="",0,IF(CONFIG_METADATA!$B$4&lt;&gt;"OR+EX",--(DATOS!$G17605=CONFIG_METADATA!$B$4),IF(DATOS!$G17605="EX",1,IF(DATOS!$G17605="OR",--(COUNTIFS(nNIA,DATOS!$A17605,nCURSO,DATOS!$D17605,nESPEC,DATOS!$E17605,nASIG,DATOS!$I17605,nEVAL,"EX")=0),0))))</f>
      </c>
      <c r="H17605">
        <f>IF(DATOS!$G17605&lt;&gt;"EX",0,--(COUNTIFS(nNIA,DATOS!$A17605,nCURSO,DATOS!$D17605,nESPEC,DATOS!$E17605,nASIG,DATOS!$I17605,nEVAL,"OR")=0))</f>
      </c>
      <c r="I17605">
        <f>IF(DATOS!$I17605="","",IFERROR(VLOOKUP(DATOS!$I17605,CONFIG_ASIGNATURAS!$B$2:$J$91,9,FALSE()),""))</f>
      </c>
    </row>
    <row r="17606">
      <c r="F17606">
        <f>IF(DATOS!$A17606="","",DATOS!$A17606&amp;"|"&amp;DATOS!$D17606&amp;"|"&amp;DATOS!$E17606&amp;"|"&amp;DATOS!$I17606)</f>
      </c>
      <c r="G17606">
        <f>IF(DATOS!$A17606="",0,IF(CONFIG_METADATA!$B$4&lt;&gt;"OR+EX",--(DATOS!$G17606=CONFIG_METADATA!$B$4),IF(DATOS!$G17606="EX",1,IF(DATOS!$G17606="OR",--(COUNTIFS(nNIA,DATOS!$A17606,nCURSO,DATOS!$D17606,nESPEC,DATOS!$E17606,nASIG,DATOS!$I17606,nEVAL,"EX")=0),0))))</f>
      </c>
      <c r="H17606">
        <f>IF(DATOS!$G17606&lt;&gt;"EX",0,--(COUNTIFS(nNIA,DATOS!$A17606,nCURSO,DATOS!$D17606,nESPEC,DATOS!$E17606,nASIG,DATOS!$I17606,nEVAL,"OR")=0))</f>
      </c>
      <c r="I17606">
        <f>IF(DATOS!$I17606="","",IFERROR(VLOOKUP(DATOS!$I17606,CONFIG_ASIGNATURAS!$B$2:$J$91,9,FALSE()),""))</f>
      </c>
    </row>
    <row r="17607">
      <c r="F17607">
        <f>IF(DATOS!$A17607="","",DATOS!$A17607&amp;"|"&amp;DATOS!$D17607&amp;"|"&amp;DATOS!$E17607&amp;"|"&amp;DATOS!$I17607)</f>
      </c>
      <c r="G17607">
        <f>IF(DATOS!$A17607="",0,IF(CONFIG_METADATA!$B$4&lt;&gt;"OR+EX",--(DATOS!$G17607=CONFIG_METADATA!$B$4),IF(DATOS!$G17607="EX",1,IF(DATOS!$G17607="OR",--(COUNTIFS(nNIA,DATOS!$A17607,nCURSO,DATOS!$D17607,nESPEC,DATOS!$E17607,nASIG,DATOS!$I17607,nEVAL,"EX")=0),0))))</f>
      </c>
      <c r="H17607">
        <f>IF(DATOS!$G17607&lt;&gt;"EX",0,--(COUNTIFS(nNIA,DATOS!$A17607,nCURSO,DATOS!$D17607,nESPEC,DATOS!$E17607,nASIG,DATOS!$I17607,nEVAL,"OR")=0))</f>
      </c>
      <c r="I17607">
        <f>IF(DATOS!$I17607="","",IFERROR(VLOOKUP(DATOS!$I17607,CONFIG_ASIGNATURAS!$B$2:$J$91,9,FALSE()),""))</f>
      </c>
    </row>
    <row r="17608">
      <c r="F17608">
        <f>IF(DATOS!$A17608="","",DATOS!$A17608&amp;"|"&amp;DATOS!$D17608&amp;"|"&amp;DATOS!$E17608&amp;"|"&amp;DATOS!$I17608)</f>
      </c>
      <c r="G17608">
        <f>IF(DATOS!$A17608="",0,IF(CONFIG_METADATA!$B$4&lt;&gt;"OR+EX",--(DATOS!$G17608=CONFIG_METADATA!$B$4),IF(DATOS!$G17608="EX",1,IF(DATOS!$G17608="OR",--(COUNTIFS(nNIA,DATOS!$A17608,nCURSO,DATOS!$D17608,nESPEC,DATOS!$E17608,nASIG,DATOS!$I17608,nEVAL,"EX")=0),0))))</f>
      </c>
      <c r="H17608">
        <f>IF(DATOS!$G17608&lt;&gt;"EX",0,--(COUNTIFS(nNIA,DATOS!$A17608,nCURSO,DATOS!$D17608,nESPEC,DATOS!$E17608,nASIG,DATOS!$I17608,nEVAL,"OR")=0))</f>
      </c>
      <c r="I17608">
        <f>IF(DATOS!$I17608="","",IFERROR(VLOOKUP(DATOS!$I17608,CONFIG_ASIGNATURAS!$B$2:$J$91,9,FALSE()),""))</f>
      </c>
    </row>
    <row r="17609">
      <c r="F17609">
        <f>IF(DATOS!$A17609="","",DATOS!$A17609&amp;"|"&amp;DATOS!$D17609&amp;"|"&amp;DATOS!$E17609&amp;"|"&amp;DATOS!$I17609)</f>
      </c>
      <c r="G17609">
        <f>IF(DATOS!$A17609="",0,IF(CONFIG_METADATA!$B$4&lt;&gt;"OR+EX",--(DATOS!$G17609=CONFIG_METADATA!$B$4),IF(DATOS!$G17609="EX",1,IF(DATOS!$G17609="OR",--(COUNTIFS(nNIA,DATOS!$A17609,nCURSO,DATOS!$D17609,nESPEC,DATOS!$E17609,nASIG,DATOS!$I17609,nEVAL,"EX")=0),0))))</f>
      </c>
      <c r="H17609">
        <f>IF(DATOS!$G17609&lt;&gt;"EX",0,--(COUNTIFS(nNIA,DATOS!$A17609,nCURSO,DATOS!$D17609,nESPEC,DATOS!$E17609,nASIG,DATOS!$I17609,nEVAL,"OR")=0))</f>
      </c>
      <c r="I17609">
        <f>IF(DATOS!$I17609="","",IFERROR(VLOOKUP(DATOS!$I17609,CONFIG_ASIGNATURAS!$B$2:$J$91,9,FALSE()),""))</f>
      </c>
    </row>
    <row r="17610">
      <c r="F17610">
        <f>IF(DATOS!$A17610="","",DATOS!$A17610&amp;"|"&amp;DATOS!$D17610&amp;"|"&amp;DATOS!$E17610&amp;"|"&amp;DATOS!$I17610)</f>
      </c>
      <c r="G17610">
        <f>IF(DATOS!$A17610="",0,IF(CONFIG_METADATA!$B$4&lt;&gt;"OR+EX",--(DATOS!$G17610=CONFIG_METADATA!$B$4),IF(DATOS!$G17610="EX",1,IF(DATOS!$G17610="OR",--(COUNTIFS(nNIA,DATOS!$A17610,nCURSO,DATOS!$D17610,nESPEC,DATOS!$E17610,nASIG,DATOS!$I17610,nEVAL,"EX")=0),0))))</f>
      </c>
      <c r="H17610">
        <f>IF(DATOS!$G17610&lt;&gt;"EX",0,--(COUNTIFS(nNIA,DATOS!$A17610,nCURSO,DATOS!$D17610,nESPEC,DATOS!$E17610,nASIG,DATOS!$I17610,nEVAL,"OR")=0))</f>
      </c>
      <c r="I17610">
        <f>IF(DATOS!$I17610="","",IFERROR(VLOOKUP(DATOS!$I17610,CONFIG_ASIGNATURAS!$B$2:$J$91,9,FALSE()),""))</f>
      </c>
    </row>
    <row r="17611">
      <c r="F17611">
        <f>IF(DATOS!$A17611="","",DATOS!$A17611&amp;"|"&amp;DATOS!$D17611&amp;"|"&amp;DATOS!$E17611&amp;"|"&amp;DATOS!$I17611)</f>
      </c>
      <c r="G17611">
        <f>IF(DATOS!$A17611="",0,IF(CONFIG_METADATA!$B$4&lt;&gt;"OR+EX",--(DATOS!$G17611=CONFIG_METADATA!$B$4),IF(DATOS!$G17611="EX",1,IF(DATOS!$G17611="OR",--(COUNTIFS(nNIA,DATOS!$A17611,nCURSO,DATOS!$D17611,nESPEC,DATOS!$E17611,nASIG,DATOS!$I17611,nEVAL,"EX")=0),0))))</f>
      </c>
      <c r="H17611">
        <f>IF(DATOS!$G17611&lt;&gt;"EX",0,--(COUNTIFS(nNIA,DATOS!$A17611,nCURSO,DATOS!$D17611,nESPEC,DATOS!$E17611,nASIG,DATOS!$I17611,nEVAL,"OR")=0))</f>
      </c>
      <c r="I17611">
        <f>IF(DATOS!$I17611="","",IFERROR(VLOOKUP(DATOS!$I17611,CONFIG_ASIGNATURAS!$B$2:$J$91,9,FALSE()),""))</f>
      </c>
    </row>
    <row r="17612">
      <c r="F17612">
        <f>IF(DATOS!$A17612="","",DATOS!$A17612&amp;"|"&amp;DATOS!$D17612&amp;"|"&amp;DATOS!$E17612&amp;"|"&amp;DATOS!$I17612)</f>
      </c>
      <c r="G17612">
        <f>IF(DATOS!$A17612="",0,IF(CONFIG_METADATA!$B$4&lt;&gt;"OR+EX",--(DATOS!$G17612=CONFIG_METADATA!$B$4),IF(DATOS!$G17612="EX",1,IF(DATOS!$G17612="OR",--(COUNTIFS(nNIA,DATOS!$A17612,nCURSO,DATOS!$D17612,nESPEC,DATOS!$E17612,nASIG,DATOS!$I17612,nEVAL,"EX")=0),0))))</f>
      </c>
      <c r="H17612">
        <f>IF(DATOS!$G17612&lt;&gt;"EX",0,--(COUNTIFS(nNIA,DATOS!$A17612,nCURSO,DATOS!$D17612,nESPEC,DATOS!$E17612,nASIG,DATOS!$I17612,nEVAL,"OR")=0))</f>
      </c>
      <c r="I17612">
        <f>IF(DATOS!$I17612="","",IFERROR(VLOOKUP(DATOS!$I17612,CONFIG_ASIGNATURAS!$B$2:$J$91,9,FALSE()),""))</f>
      </c>
    </row>
    <row r="17613">
      <c r="F17613">
        <f>IF(DATOS!$A17613="","",DATOS!$A17613&amp;"|"&amp;DATOS!$D17613&amp;"|"&amp;DATOS!$E17613&amp;"|"&amp;DATOS!$I17613)</f>
      </c>
      <c r="G17613">
        <f>IF(DATOS!$A17613="",0,IF(CONFIG_METADATA!$B$4&lt;&gt;"OR+EX",--(DATOS!$G17613=CONFIG_METADATA!$B$4),IF(DATOS!$G17613="EX",1,IF(DATOS!$G17613="OR",--(COUNTIFS(nNIA,DATOS!$A17613,nCURSO,DATOS!$D17613,nESPEC,DATOS!$E17613,nASIG,DATOS!$I17613,nEVAL,"EX")=0),0))))</f>
      </c>
      <c r="H17613">
        <f>IF(DATOS!$G17613&lt;&gt;"EX",0,--(COUNTIFS(nNIA,DATOS!$A17613,nCURSO,DATOS!$D17613,nESPEC,DATOS!$E17613,nASIG,DATOS!$I17613,nEVAL,"OR")=0))</f>
      </c>
      <c r="I17613">
        <f>IF(DATOS!$I17613="","",IFERROR(VLOOKUP(DATOS!$I17613,CONFIG_ASIGNATURAS!$B$2:$J$91,9,FALSE()),""))</f>
      </c>
    </row>
    <row r="17614">
      <c r="F17614">
        <f>IF(DATOS!$A17614="","",DATOS!$A17614&amp;"|"&amp;DATOS!$D17614&amp;"|"&amp;DATOS!$E17614&amp;"|"&amp;DATOS!$I17614)</f>
      </c>
      <c r="G17614">
        <f>IF(DATOS!$A17614="",0,IF(CONFIG_METADATA!$B$4&lt;&gt;"OR+EX",--(DATOS!$G17614=CONFIG_METADATA!$B$4),IF(DATOS!$G17614="EX",1,IF(DATOS!$G17614="OR",--(COUNTIFS(nNIA,DATOS!$A17614,nCURSO,DATOS!$D17614,nESPEC,DATOS!$E17614,nASIG,DATOS!$I17614,nEVAL,"EX")=0),0))))</f>
      </c>
      <c r="H17614">
        <f>IF(DATOS!$G17614&lt;&gt;"EX",0,--(COUNTIFS(nNIA,DATOS!$A17614,nCURSO,DATOS!$D17614,nESPEC,DATOS!$E17614,nASIG,DATOS!$I17614,nEVAL,"OR")=0))</f>
      </c>
      <c r="I17614">
        <f>IF(DATOS!$I17614="","",IFERROR(VLOOKUP(DATOS!$I17614,CONFIG_ASIGNATURAS!$B$2:$J$91,9,FALSE()),""))</f>
      </c>
    </row>
    <row r="17615">
      <c r="F17615">
        <f>IF(DATOS!$A17615="","",DATOS!$A17615&amp;"|"&amp;DATOS!$D17615&amp;"|"&amp;DATOS!$E17615&amp;"|"&amp;DATOS!$I17615)</f>
      </c>
      <c r="G17615">
        <f>IF(DATOS!$A17615="",0,IF(CONFIG_METADATA!$B$4&lt;&gt;"OR+EX",--(DATOS!$G17615=CONFIG_METADATA!$B$4),IF(DATOS!$G17615="EX",1,IF(DATOS!$G17615="OR",--(COUNTIFS(nNIA,DATOS!$A17615,nCURSO,DATOS!$D17615,nESPEC,DATOS!$E17615,nASIG,DATOS!$I17615,nEVAL,"EX")=0),0))))</f>
      </c>
      <c r="H17615">
        <f>IF(DATOS!$G17615&lt;&gt;"EX",0,--(COUNTIFS(nNIA,DATOS!$A17615,nCURSO,DATOS!$D17615,nESPEC,DATOS!$E17615,nASIG,DATOS!$I17615,nEVAL,"OR")=0))</f>
      </c>
      <c r="I17615">
        <f>IF(DATOS!$I17615="","",IFERROR(VLOOKUP(DATOS!$I17615,CONFIG_ASIGNATURAS!$B$2:$J$91,9,FALSE()),""))</f>
      </c>
    </row>
    <row r="17616">
      <c r="F17616">
        <f>IF(DATOS!$A17616="","",DATOS!$A17616&amp;"|"&amp;DATOS!$D17616&amp;"|"&amp;DATOS!$E17616&amp;"|"&amp;DATOS!$I17616)</f>
      </c>
      <c r="G17616">
        <f>IF(DATOS!$A17616="",0,IF(CONFIG_METADATA!$B$4&lt;&gt;"OR+EX",--(DATOS!$G17616=CONFIG_METADATA!$B$4),IF(DATOS!$G17616="EX",1,IF(DATOS!$G17616="OR",--(COUNTIFS(nNIA,DATOS!$A17616,nCURSO,DATOS!$D17616,nESPEC,DATOS!$E17616,nASIG,DATOS!$I17616,nEVAL,"EX")=0),0))))</f>
      </c>
      <c r="H17616">
        <f>IF(DATOS!$G17616&lt;&gt;"EX",0,--(COUNTIFS(nNIA,DATOS!$A17616,nCURSO,DATOS!$D17616,nESPEC,DATOS!$E17616,nASIG,DATOS!$I17616,nEVAL,"OR")=0))</f>
      </c>
      <c r="I17616">
        <f>IF(DATOS!$I17616="","",IFERROR(VLOOKUP(DATOS!$I17616,CONFIG_ASIGNATURAS!$B$2:$J$91,9,FALSE()),""))</f>
      </c>
    </row>
    <row r="17617">
      <c r="F17617">
        <f>IF(DATOS!$A17617="","",DATOS!$A17617&amp;"|"&amp;DATOS!$D17617&amp;"|"&amp;DATOS!$E17617&amp;"|"&amp;DATOS!$I17617)</f>
      </c>
      <c r="G17617">
        <f>IF(DATOS!$A17617="",0,IF(CONFIG_METADATA!$B$4&lt;&gt;"OR+EX",--(DATOS!$G17617=CONFIG_METADATA!$B$4),IF(DATOS!$G17617="EX",1,IF(DATOS!$G17617="OR",--(COUNTIFS(nNIA,DATOS!$A17617,nCURSO,DATOS!$D17617,nESPEC,DATOS!$E17617,nASIG,DATOS!$I17617,nEVAL,"EX")=0),0))))</f>
      </c>
      <c r="H17617">
        <f>IF(DATOS!$G17617&lt;&gt;"EX",0,--(COUNTIFS(nNIA,DATOS!$A17617,nCURSO,DATOS!$D17617,nESPEC,DATOS!$E17617,nASIG,DATOS!$I17617,nEVAL,"OR")=0))</f>
      </c>
      <c r="I17617">
        <f>IF(DATOS!$I17617="","",IFERROR(VLOOKUP(DATOS!$I17617,CONFIG_ASIGNATURAS!$B$2:$J$91,9,FALSE()),""))</f>
      </c>
    </row>
    <row r="17618">
      <c r="F17618">
        <f>IF(DATOS!$A17618="","",DATOS!$A17618&amp;"|"&amp;DATOS!$D17618&amp;"|"&amp;DATOS!$E17618&amp;"|"&amp;DATOS!$I17618)</f>
      </c>
      <c r="G17618">
        <f>IF(DATOS!$A17618="",0,IF(CONFIG_METADATA!$B$4&lt;&gt;"OR+EX",--(DATOS!$G17618=CONFIG_METADATA!$B$4),IF(DATOS!$G17618="EX",1,IF(DATOS!$G17618="OR",--(COUNTIFS(nNIA,DATOS!$A17618,nCURSO,DATOS!$D17618,nESPEC,DATOS!$E17618,nASIG,DATOS!$I17618,nEVAL,"EX")=0),0))))</f>
      </c>
      <c r="H17618">
        <f>IF(DATOS!$G17618&lt;&gt;"EX",0,--(COUNTIFS(nNIA,DATOS!$A17618,nCURSO,DATOS!$D17618,nESPEC,DATOS!$E17618,nASIG,DATOS!$I17618,nEVAL,"OR")=0))</f>
      </c>
      <c r="I17618">
        <f>IF(DATOS!$I17618="","",IFERROR(VLOOKUP(DATOS!$I17618,CONFIG_ASIGNATURAS!$B$2:$J$91,9,FALSE()),""))</f>
      </c>
    </row>
    <row r="17619">
      <c r="F17619">
        <f>IF(DATOS!$A17619="","",DATOS!$A17619&amp;"|"&amp;DATOS!$D17619&amp;"|"&amp;DATOS!$E17619&amp;"|"&amp;DATOS!$I17619)</f>
      </c>
      <c r="G17619">
        <f>IF(DATOS!$A17619="",0,IF(CONFIG_METADATA!$B$4&lt;&gt;"OR+EX",--(DATOS!$G17619=CONFIG_METADATA!$B$4),IF(DATOS!$G17619="EX",1,IF(DATOS!$G17619="OR",--(COUNTIFS(nNIA,DATOS!$A17619,nCURSO,DATOS!$D17619,nESPEC,DATOS!$E17619,nASIG,DATOS!$I17619,nEVAL,"EX")=0),0))))</f>
      </c>
      <c r="H17619">
        <f>IF(DATOS!$G17619&lt;&gt;"EX",0,--(COUNTIFS(nNIA,DATOS!$A17619,nCURSO,DATOS!$D17619,nESPEC,DATOS!$E17619,nASIG,DATOS!$I17619,nEVAL,"OR")=0))</f>
      </c>
      <c r="I17619">
        <f>IF(DATOS!$I17619="","",IFERROR(VLOOKUP(DATOS!$I17619,CONFIG_ASIGNATURAS!$B$2:$J$91,9,FALSE()),""))</f>
      </c>
    </row>
    <row r="17620">
      <c r="F17620">
        <f>IF(DATOS!$A17620="","",DATOS!$A17620&amp;"|"&amp;DATOS!$D17620&amp;"|"&amp;DATOS!$E17620&amp;"|"&amp;DATOS!$I17620)</f>
      </c>
      <c r="G17620">
        <f>IF(DATOS!$A17620="",0,IF(CONFIG_METADATA!$B$4&lt;&gt;"OR+EX",--(DATOS!$G17620=CONFIG_METADATA!$B$4),IF(DATOS!$G17620="EX",1,IF(DATOS!$G17620="OR",--(COUNTIFS(nNIA,DATOS!$A17620,nCURSO,DATOS!$D17620,nESPEC,DATOS!$E17620,nASIG,DATOS!$I17620,nEVAL,"EX")=0),0))))</f>
      </c>
      <c r="H17620">
        <f>IF(DATOS!$G17620&lt;&gt;"EX",0,--(COUNTIFS(nNIA,DATOS!$A17620,nCURSO,DATOS!$D17620,nESPEC,DATOS!$E17620,nASIG,DATOS!$I17620,nEVAL,"OR")=0))</f>
      </c>
      <c r="I17620">
        <f>IF(DATOS!$I17620="","",IFERROR(VLOOKUP(DATOS!$I17620,CONFIG_ASIGNATURAS!$B$2:$J$91,9,FALSE()),""))</f>
      </c>
    </row>
    <row r="17621">
      <c r="F17621">
        <f>IF(DATOS!$A17621="","",DATOS!$A17621&amp;"|"&amp;DATOS!$D17621&amp;"|"&amp;DATOS!$E17621&amp;"|"&amp;DATOS!$I17621)</f>
      </c>
      <c r="G17621">
        <f>IF(DATOS!$A17621="",0,IF(CONFIG_METADATA!$B$4&lt;&gt;"OR+EX",--(DATOS!$G17621=CONFIG_METADATA!$B$4),IF(DATOS!$G17621="EX",1,IF(DATOS!$G17621="OR",--(COUNTIFS(nNIA,DATOS!$A17621,nCURSO,DATOS!$D17621,nESPEC,DATOS!$E17621,nASIG,DATOS!$I17621,nEVAL,"EX")=0),0))))</f>
      </c>
      <c r="H17621">
        <f>IF(DATOS!$G17621&lt;&gt;"EX",0,--(COUNTIFS(nNIA,DATOS!$A17621,nCURSO,DATOS!$D17621,nESPEC,DATOS!$E17621,nASIG,DATOS!$I17621,nEVAL,"OR")=0))</f>
      </c>
      <c r="I17621">
        <f>IF(DATOS!$I17621="","",IFERROR(VLOOKUP(DATOS!$I17621,CONFIG_ASIGNATURAS!$B$2:$J$91,9,FALSE()),""))</f>
      </c>
    </row>
    <row r="17622">
      <c r="F17622">
        <f>IF(DATOS!$A17622="","",DATOS!$A17622&amp;"|"&amp;DATOS!$D17622&amp;"|"&amp;DATOS!$E17622&amp;"|"&amp;DATOS!$I17622)</f>
      </c>
      <c r="G17622">
        <f>IF(DATOS!$A17622="",0,IF(CONFIG_METADATA!$B$4&lt;&gt;"OR+EX",--(DATOS!$G17622=CONFIG_METADATA!$B$4),IF(DATOS!$G17622="EX",1,IF(DATOS!$G17622="OR",--(COUNTIFS(nNIA,DATOS!$A17622,nCURSO,DATOS!$D17622,nESPEC,DATOS!$E17622,nASIG,DATOS!$I17622,nEVAL,"EX")=0),0))))</f>
      </c>
      <c r="H17622">
        <f>IF(DATOS!$G17622&lt;&gt;"EX",0,--(COUNTIFS(nNIA,DATOS!$A17622,nCURSO,DATOS!$D17622,nESPEC,DATOS!$E17622,nASIG,DATOS!$I17622,nEVAL,"OR")=0))</f>
      </c>
      <c r="I17622">
        <f>IF(DATOS!$I17622="","",IFERROR(VLOOKUP(DATOS!$I17622,CONFIG_ASIGNATURAS!$B$2:$J$91,9,FALSE()),""))</f>
      </c>
    </row>
    <row r="17623">
      <c r="F17623">
        <f>IF(DATOS!$A17623="","",DATOS!$A17623&amp;"|"&amp;DATOS!$D17623&amp;"|"&amp;DATOS!$E17623&amp;"|"&amp;DATOS!$I17623)</f>
      </c>
      <c r="G17623">
        <f>IF(DATOS!$A17623="",0,IF(CONFIG_METADATA!$B$4&lt;&gt;"OR+EX",--(DATOS!$G17623=CONFIG_METADATA!$B$4),IF(DATOS!$G17623="EX",1,IF(DATOS!$G17623="OR",--(COUNTIFS(nNIA,DATOS!$A17623,nCURSO,DATOS!$D17623,nESPEC,DATOS!$E17623,nASIG,DATOS!$I17623,nEVAL,"EX")=0),0))))</f>
      </c>
      <c r="H17623">
        <f>IF(DATOS!$G17623&lt;&gt;"EX",0,--(COUNTIFS(nNIA,DATOS!$A17623,nCURSO,DATOS!$D17623,nESPEC,DATOS!$E17623,nASIG,DATOS!$I17623,nEVAL,"OR")=0))</f>
      </c>
      <c r="I17623">
        <f>IF(DATOS!$I17623="","",IFERROR(VLOOKUP(DATOS!$I17623,CONFIG_ASIGNATURAS!$B$2:$J$91,9,FALSE()),""))</f>
      </c>
    </row>
    <row r="17624">
      <c r="F17624">
        <f>IF(DATOS!$A17624="","",DATOS!$A17624&amp;"|"&amp;DATOS!$D17624&amp;"|"&amp;DATOS!$E17624&amp;"|"&amp;DATOS!$I17624)</f>
      </c>
      <c r="G17624">
        <f>IF(DATOS!$A17624="",0,IF(CONFIG_METADATA!$B$4&lt;&gt;"OR+EX",--(DATOS!$G17624=CONFIG_METADATA!$B$4),IF(DATOS!$G17624="EX",1,IF(DATOS!$G17624="OR",--(COUNTIFS(nNIA,DATOS!$A17624,nCURSO,DATOS!$D17624,nESPEC,DATOS!$E17624,nASIG,DATOS!$I17624,nEVAL,"EX")=0),0))))</f>
      </c>
      <c r="H17624">
        <f>IF(DATOS!$G17624&lt;&gt;"EX",0,--(COUNTIFS(nNIA,DATOS!$A17624,nCURSO,DATOS!$D17624,nESPEC,DATOS!$E17624,nASIG,DATOS!$I17624,nEVAL,"OR")=0))</f>
      </c>
      <c r="I17624">
        <f>IF(DATOS!$I17624="","",IFERROR(VLOOKUP(DATOS!$I17624,CONFIG_ASIGNATURAS!$B$2:$J$91,9,FALSE()),""))</f>
      </c>
    </row>
    <row r="17625">
      <c r="F17625">
        <f>IF(DATOS!$A17625="","",DATOS!$A17625&amp;"|"&amp;DATOS!$D17625&amp;"|"&amp;DATOS!$E17625&amp;"|"&amp;DATOS!$I17625)</f>
      </c>
      <c r="G17625">
        <f>IF(DATOS!$A17625="",0,IF(CONFIG_METADATA!$B$4&lt;&gt;"OR+EX",--(DATOS!$G17625=CONFIG_METADATA!$B$4),IF(DATOS!$G17625="EX",1,IF(DATOS!$G17625="OR",--(COUNTIFS(nNIA,DATOS!$A17625,nCURSO,DATOS!$D17625,nESPEC,DATOS!$E17625,nASIG,DATOS!$I17625,nEVAL,"EX")=0),0))))</f>
      </c>
      <c r="H17625">
        <f>IF(DATOS!$G17625&lt;&gt;"EX",0,--(COUNTIFS(nNIA,DATOS!$A17625,nCURSO,DATOS!$D17625,nESPEC,DATOS!$E17625,nASIG,DATOS!$I17625,nEVAL,"OR")=0))</f>
      </c>
      <c r="I17625">
        <f>IF(DATOS!$I17625="","",IFERROR(VLOOKUP(DATOS!$I17625,CONFIG_ASIGNATURAS!$B$2:$J$91,9,FALSE()),""))</f>
      </c>
    </row>
    <row r="17626">
      <c r="F17626">
        <f>IF(DATOS!$A17626="","",DATOS!$A17626&amp;"|"&amp;DATOS!$D17626&amp;"|"&amp;DATOS!$E17626&amp;"|"&amp;DATOS!$I17626)</f>
      </c>
      <c r="G17626">
        <f>IF(DATOS!$A17626="",0,IF(CONFIG_METADATA!$B$4&lt;&gt;"OR+EX",--(DATOS!$G17626=CONFIG_METADATA!$B$4),IF(DATOS!$G17626="EX",1,IF(DATOS!$G17626="OR",--(COUNTIFS(nNIA,DATOS!$A17626,nCURSO,DATOS!$D17626,nESPEC,DATOS!$E17626,nASIG,DATOS!$I17626,nEVAL,"EX")=0),0))))</f>
      </c>
      <c r="H17626">
        <f>IF(DATOS!$G17626&lt;&gt;"EX",0,--(COUNTIFS(nNIA,DATOS!$A17626,nCURSO,DATOS!$D17626,nESPEC,DATOS!$E17626,nASIG,DATOS!$I17626,nEVAL,"OR")=0))</f>
      </c>
      <c r="I17626">
        <f>IF(DATOS!$I17626="","",IFERROR(VLOOKUP(DATOS!$I17626,CONFIG_ASIGNATURAS!$B$2:$J$91,9,FALSE()),""))</f>
      </c>
    </row>
    <row r="17627">
      <c r="F17627">
        <f>IF(DATOS!$A17627="","",DATOS!$A17627&amp;"|"&amp;DATOS!$D17627&amp;"|"&amp;DATOS!$E17627&amp;"|"&amp;DATOS!$I17627)</f>
      </c>
      <c r="G17627">
        <f>IF(DATOS!$A17627="",0,IF(CONFIG_METADATA!$B$4&lt;&gt;"OR+EX",--(DATOS!$G17627=CONFIG_METADATA!$B$4),IF(DATOS!$G17627="EX",1,IF(DATOS!$G17627="OR",--(COUNTIFS(nNIA,DATOS!$A17627,nCURSO,DATOS!$D17627,nESPEC,DATOS!$E17627,nASIG,DATOS!$I17627,nEVAL,"EX")=0),0))))</f>
      </c>
      <c r="H17627">
        <f>IF(DATOS!$G17627&lt;&gt;"EX",0,--(COUNTIFS(nNIA,DATOS!$A17627,nCURSO,DATOS!$D17627,nESPEC,DATOS!$E17627,nASIG,DATOS!$I17627,nEVAL,"OR")=0))</f>
      </c>
      <c r="I17627">
        <f>IF(DATOS!$I17627="","",IFERROR(VLOOKUP(DATOS!$I17627,CONFIG_ASIGNATURAS!$B$2:$J$91,9,FALSE()),""))</f>
      </c>
    </row>
    <row r="17628">
      <c r="F17628">
        <f>IF(DATOS!$A17628="","",DATOS!$A17628&amp;"|"&amp;DATOS!$D17628&amp;"|"&amp;DATOS!$E17628&amp;"|"&amp;DATOS!$I17628)</f>
      </c>
      <c r="G17628">
        <f>IF(DATOS!$A17628="",0,IF(CONFIG_METADATA!$B$4&lt;&gt;"OR+EX",--(DATOS!$G17628=CONFIG_METADATA!$B$4),IF(DATOS!$G17628="EX",1,IF(DATOS!$G17628="OR",--(COUNTIFS(nNIA,DATOS!$A17628,nCURSO,DATOS!$D17628,nESPEC,DATOS!$E17628,nASIG,DATOS!$I17628,nEVAL,"EX")=0),0))))</f>
      </c>
      <c r="H17628">
        <f>IF(DATOS!$G17628&lt;&gt;"EX",0,--(COUNTIFS(nNIA,DATOS!$A17628,nCURSO,DATOS!$D17628,nESPEC,DATOS!$E17628,nASIG,DATOS!$I17628,nEVAL,"OR")=0))</f>
      </c>
      <c r="I17628">
        <f>IF(DATOS!$I17628="","",IFERROR(VLOOKUP(DATOS!$I17628,CONFIG_ASIGNATURAS!$B$2:$J$91,9,FALSE()),""))</f>
      </c>
    </row>
    <row r="17629">
      <c r="F17629">
        <f>IF(DATOS!$A17629="","",DATOS!$A17629&amp;"|"&amp;DATOS!$D17629&amp;"|"&amp;DATOS!$E17629&amp;"|"&amp;DATOS!$I17629)</f>
      </c>
      <c r="G17629">
        <f>IF(DATOS!$A17629="",0,IF(CONFIG_METADATA!$B$4&lt;&gt;"OR+EX",--(DATOS!$G17629=CONFIG_METADATA!$B$4),IF(DATOS!$G17629="EX",1,IF(DATOS!$G17629="OR",--(COUNTIFS(nNIA,DATOS!$A17629,nCURSO,DATOS!$D17629,nESPEC,DATOS!$E17629,nASIG,DATOS!$I17629,nEVAL,"EX")=0),0))))</f>
      </c>
      <c r="H17629">
        <f>IF(DATOS!$G17629&lt;&gt;"EX",0,--(COUNTIFS(nNIA,DATOS!$A17629,nCURSO,DATOS!$D17629,nESPEC,DATOS!$E17629,nASIG,DATOS!$I17629,nEVAL,"OR")=0))</f>
      </c>
      <c r="I17629">
        <f>IF(DATOS!$I17629="","",IFERROR(VLOOKUP(DATOS!$I17629,CONFIG_ASIGNATURAS!$B$2:$J$91,9,FALSE()),""))</f>
      </c>
    </row>
    <row r="17630">
      <c r="F17630">
        <f>IF(DATOS!$A17630="","",DATOS!$A17630&amp;"|"&amp;DATOS!$D17630&amp;"|"&amp;DATOS!$E17630&amp;"|"&amp;DATOS!$I17630)</f>
      </c>
      <c r="G17630">
        <f>IF(DATOS!$A17630="",0,IF(CONFIG_METADATA!$B$4&lt;&gt;"OR+EX",--(DATOS!$G17630=CONFIG_METADATA!$B$4),IF(DATOS!$G17630="EX",1,IF(DATOS!$G17630="OR",--(COUNTIFS(nNIA,DATOS!$A17630,nCURSO,DATOS!$D17630,nESPEC,DATOS!$E17630,nASIG,DATOS!$I17630,nEVAL,"EX")=0),0))))</f>
      </c>
      <c r="H17630">
        <f>IF(DATOS!$G17630&lt;&gt;"EX",0,--(COUNTIFS(nNIA,DATOS!$A17630,nCURSO,DATOS!$D17630,nESPEC,DATOS!$E17630,nASIG,DATOS!$I17630,nEVAL,"OR")=0))</f>
      </c>
      <c r="I17630">
        <f>IF(DATOS!$I17630="","",IFERROR(VLOOKUP(DATOS!$I17630,CONFIG_ASIGNATURAS!$B$2:$J$91,9,FALSE()),""))</f>
      </c>
    </row>
    <row r="17631">
      <c r="F17631">
        <f>IF(DATOS!$A17631="","",DATOS!$A17631&amp;"|"&amp;DATOS!$D17631&amp;"|"&amp;DATOS!$E17631&amp;"|"&amp;DATOS!$I17631)</f>
      </c>
      <c r="G17631">
        <f>IF(DATOS!$A17631="",0,IF(CONFIG_METADATA!$B$4&lt;&gt;"OR+EX",--(DATOS!$G17631=CONFIG_METADATA!$B$4),IF(DATOS!$G17631="EX",1,IF(DATOS!$G17631="OR",--(COUNTIFS(nNIA,DATOS!$A17631,nCURSO,DATOS!$D17631,nESPEC,DATOS!$E17631,nASIG,DATOS!$I17631,nEVAL,"EX")=0),0))))</f>
      </c>
      <c r="H17631">
        <f>IF(DATOS!$G17631&lt;&gt;"EX",0,--(COUNTIFS(nNIA,DATOS!$A17631,nCURSO,DATOS!$D17631,nESPEC,DATOS!$E17631,nASIG,DATOS!$I17631,nEVAL,"OR")=0))</f>
      </c>
      <c r="I17631">
        <f>IF(DATOS!$I17631="","",IFERROR(VLOOKUP(DATOS!$I17631,CONFIG_ASIGNATURAS!$B$2:$J$91,9,FALSE()),""))</f>
      </c>
    </row>
    <row r="17632">
      <c r="F17632">
        <f>IF(DATOS!$A17632="","",DATOS!$A17632&amp;"|"&amp;DATOS!$D17632&amp;"|"&amp;DATOS!$E17632&amp;"|"&amp;DATOS!$I17632)</f>
      </c>
      <c r="G17632">
        <f>IF(DATOS!$A17632="",0,IF(CONFIG_METADATA!$B$4&lt;&gt;"OR+EX",--(DATOS!$G17632=CONFIG_METADATA!$B$4),IF(DATOS!$G17632="EX",1,IF(DATOS!$G17632="OR",--(COUNTIFS(nNIA,DATOS!$A17632,nCURSO,DATOS!$D17632,nESPEC,DATOS!$E17632,nASIG,DATOS!$I17632,nEVAL,"EX")=0),0))))</f>
      </c>
      <c r="H17632">
        <f>IF(DATOS!$G17632&lt;&gt;"EX",0,--(COUNTIFS(nNIA,DATOS!$A17632,nCURSO,DATOS!$D17632,nESPEC,DATOS!$E17632,nASIG,DATOS!$I17632,nEVAL,"OR")=0))</f>
      </c>
      <c r="I17632">
        <f>IF(DATOS!$I17632="","",IFERROR(VLOOKUP(DATOS!$I17632,CONFIG_ASIGNATURAS!$B$2:$J$91,9,FALSE()),""))</f>
      </c>
    </row>
    <row r="17633">
      <c r="F17633">
        <f>IF(DATOS!$A17633="","",DATOS!$A17633&amp;"|"&amp;DATOS!$D17633&amp;"|"&amp;DATOS!$E17633&amp;"|"&amp;DATOS!$I17633)</f>
      </c>
      <c r="G17633">
        <f>IF(DATOS!$A17633="",0,IF(CONFIG_METADATA!$B$4&lt;&gt;"OR+EX",--(DATOS!$G17633=CONFIG_METADATA!$B$4),IF(DATOS!$G17633="EX",1,IF(DATOS!$G17633="OR",--(COUNTIFS(nNIA,DATOS!$A17633,nCURSO,DATOS!$D17633,nESPEC,DATOS!$E17633,nASIG,DATOS!$I17633,nEVAL,"EX")=0),0))))</f>
      </c>
      <c r="H17633">
        <f>IF(DATOS!$G17633&lt;&gt;"EX",0,--(COUNTIFS(nNIA,DATOS!$A17633,nCURSO,DATOS!$D17633,nESPEC,DATOS!$E17633,nASIG,DATOS!$I17633,nEVAL,"OR")=0))</f>
      </c>
      <c r="I17633">
        <f>IF(DATOS!$I17633="","",IFERROR(VLOOKUP(DATOS!$I17633,CONFIG_ASIGNATURAS!$B$2:$J$91,9,FALSE()),""))</f>
      </c>
    </row>
    <row r="17634">
      <c r="F17634">
        <f>IF(DATOS!$A17634="","",DATOS!$A17634&amp;"|"&amp;DATOS!$D17634&amp;"|"&amp;DATOS!$E17634&amp;"|"&amp;DATOS!$I17634)</f>
      </c>
      <c r="G17634">
        <f>IF(DATOS!$A17634="",0,IF(CONFIG_METADATA!$B$4&lt;&gt;"OR+EX",--(DATOS!$G17634=CONFIG_METADATA!$B$4),IF(DATOS!$G17634="EX",1,IF(DATOS!$G17634="OR",--(COUNTIFS(nNIA,DATOS!$A17634,nCURSO,DATOS!$D17634,nESPEC,DATOS!$E17634,nASIG,DATOS!$I17634,nEVAL,"EX")=0),0))))</f>
      </c>
      <c r="H17634">
        <f>IF(DATOS!$G17634&lt;&gt;"EX",0,--(COUNTIFS(nNIA,DATOS!$A17634,nCURSO,DATOS!$D17634,nESPEC,DATOS!$E17634,nASIG,DATOS!$I17634,nEVAL,"OR")=0))</f>
      </c>
      <c r="I17634">
        <f>IF(DATOS!$I17634="","",IFERROR(VLOOKUP(DATOS!$I17634,CONFIG_ASIGNATURAS!$B$2:$J$91,9,FALSE()),""))</f>
      </c>
    </row>
    <row r="17635">
      <c r="F17635">
        <f>IF(DATOS!$A17635="","",DATOS!$A17635&amp;"|"&amp;DATOS!$D17635&amp;"|"&amp;DATOS!$E17635&amp;"|"&amp;DATOS!$I17635)</f>
      </c>
      <c r="G17635">
        <f>IF(DATOS!$A17635="",0,IF(CONFIG_METADATA!$B$4&lt;&gt;"OR+EX",--(DATOS!$G17635=CONFIG_METADATA!$B$4),IF(DATOS!$G17635="EX",1,IF(DATOS!$G17635="OR",--(COUNTIFS(nNIA,DATOS!$A17635,nCURSO,DATOS!$D17635,nESPEC,DATOS!$E17635,nASIG,DATOS!$I17635,nEVAL,"EX")=0),0))))</f>
      </c>
      <c r="H17635">
        <f>IF(DATOS!$G17635&lt;&gt;"EX",0,--(COUNTIFS(nNIA,DATOS!$A17635,nCURSO,DATOS!$D17635,nESPEC,DATOS!$E17635,nASIG,DATOS!$I17635,nEVAL,"OR")=0))</f>
      </c>
      <c r="I17635">
        <f>IF(DATOS!$I17635="","",IFERROR(VLOOKUP(DATOS!$I17635,CONFIG_ASIGNATURAS!$B$2:$J$91,9,FALSE()),""))</f>
      </c>
    </row>
    <row r="17636">
      <c r="F17636">
        <f>IF(DATOS!$A17636="","",DATOS!$A17636&amp;"|"&amp;DATOS!$D17636&amp;"|"&amp;DATOS!$E17636&amp;"|"&amp;DATOS!$I17636)</f>
      </c>
      <c r="G17636">
        <f>IF(DATOS!$A17636="",0,IF(CONFIG_METADATA!$B$4&lt;&gt;"OR+EX",--(DATOS!$G17636=CONFIG_METADATA!$B$4),IF(DATOS!$G17636="EX",1,IF(DATOS!$G17636="OR",--(COUNTIFS(nNIA,DATOS!$A17636,nCURSO,DATOS!$D17636,nESPEC,DATOS!$E17636,nASIG,DATOS!$I17636,nEVAL,"EX")=0),0))))</f>
      </c>
      <c r="H17636">
        <f>IF(DATOS!$G17636&lt;&gt;"EX",0,--(COUNTIFS(nNIA,DATOS!$A17636,nCURSO,DATOS!$D17636,nESPEC,DATOS!$E17636,nASIG,DATOS!$I17636,nEVAL,"OR")=0))</f>
      </c>
      <c r="I17636">
        <f>IF(DATOS!$I17636="","",IFERROR(VLOOKUP(DATOS!$I17636,CONFIG_ASIGNATURAS!$B$2:$J$91,9,FALSE()),""))</f>
      </c>
    </row>
    <row r="17637">
      <c r="F17637">
        <f>IF(DATOS!$A17637="","",DATOS!$A17637&amp;"|"&amp;DATOS!$D17637&amp;"|"&amp;DATOS!$E17637&amp;"|"&amp;DATOS!$I17637)</f>
      </c>
      <c r="G17637">
        <f>IF(DATOS!$A17637="",0,IF(CONFIG_METADATA!$B$4&lt;&gt;"OR+EX",--(DATOS!$G17637=CONFIG_METADATA!$B$4),IF(DATOS!$G17637="EX",1,IF(DATOS!$G17637="OR",--(COUNTIFS(nNIA,DATOS!$A17637,nCURSO,DATOS!$D17637,nESPEC,DATOS!$E17637,nASIG,DATOS!$I17637,nEVAL,"EX")=0),0))))</f>
      </c>
      <c r="H17637">
        <f>IF(DATOS!$G17637&lt;&gt;"EX",0,--(COUNTIFS(nNIA,DATOS!$A17637,nCURSO,DATOS!$D17637,nESPEC,DATOS!$E17637,nASIG,DATOS!$I17637,nEVAL,"OR")=0))</f>
      </c>
      <c r="I17637">
        <f>IF(DATOS!$I17637="","",IFERROR(VLOOKUP(DATOS!$I17637,CONFIG_ASIGNATURAS!$B$2:$J$91,9,FALSE()),""))</f>
      </c>
    </row>
    <row r="17638">
      <c r="F17638">
        <f>IF(DATOS!$A17638="","",DATOS!$A17638&amp;"|"&amp;DATOS!$D17638&amp;"|"&amp;DATOS!$E17638&amp;"|"&amp;DATOS!$I17638)</f>
      </c>
      <c r="G17638">
        <f>IF(DATOS!$A17638="",0,IF(CONFIG_METADATA!$B$4&lt;&gt;"OR+EX",--(DATOS!$G17638=CONFIG_METADATA!$B$4),IF(DATOS!$G17638="EX",1,IF(DATOS!$G17638="OR",--(COUNTIFS(nNIA,DATOS!$A17638,nCURSO,DATOS!$D17638,nESPEC,DATOS!$E17638,nASIG,DATOS!$I17638,nEVAL,"EX")=0),0))))</f>
      </c>
      <c r="H17638">
        <f>IF(DATOS!$G17638&lt;&gt;"EX",0,--(COUNTIFS(nNIA,DATOS!$A17638,nCURSO,DATOS!$D17638,nESPEC,DATOS!$E17638,nASIG,DATOS!$I17638,nEVAL,"OR")=0))</f>
      </c>
      <c r="I17638">
        <f>IF(DATOS!$I17638="","",IFERROR(VLOOKUP(DATOS!$I17638,CONFIG_ASIGNATURAS!$B$2:$J$91,9,FALSE()),""))</f>
      </c>
    </row>
    <row r="17639">
      <c r="F17639">
        <f>IF(DATOS!$A17639="","",DATOS!$A17639&amp;"|"&amp;DATOS!$D17639&amp;"|"&amp;DATOS!$E17639&amp;"|"&amp;DATOS!$I17639)</f>
      </c>
      <c r="G17639">
        <f>IF(DATOS!$A17639="",0,IF(CONFIG_METADATA!$B$4&lt;&gt;"OR+EX",--(DATOS!$G17639=CONFIG_METADATA!$B$4),IF(DATOS!$G17639="EX",1,IF(DATOS!$G17639="OR",--(COUNTIFS(nNIA,DATOS!$A17639,nCURSO,DATOS!$D17639,nESPEC,DATOS!$E17639,nASIG,DATOS!$I17639,nEVAL,"EX")=0),0))))</f>
      </c>
      <c r="H17639">
        <f>IF(DATOS!$G17639&lt;&gt;"EX",0,--(COUNTIFS(nNIA,DATOS!$A17639,nCURSO,DATOS!$D17639,nESPEC,DATOS!$E17639,nASIG,DATOS!$I17639,nEVAL,"OR")=0))</f>
      </c>
      <c r="I17639">
        <f>IF(DATOS!$I17639="","",IFERROR(VLOOKUP(DATOS!$I17639,CONFIG_ASIGNATURAS!$B$2:$J$91,9,FALSE()),""))</f>
      </c>
    </row>
    <row r="17640">
      <c r="F17640">
        <f>IF(DATOS!$A17640="","",DATOS!$A17640&amp;"|"&amp;DATOS!$D17640&amp;"|"&amp;DATOS!$E17640&amp;"|"&amp;DATOS!$I17640)</f>
      </c>
      <c r="G17640">
        <f>IF(DATOS!$A17640="",0,IF(CONFIG_METADATA!$B$4&lt;&gt;"OR+EX",--(DATOS!$G17640=CONFIG_METADATA!$B$4),IF(DATOS!$G17640="EX",1,IF(DATOS!$G17640="OR",--(COUNTIFS(nNIA,DATOS!$A17640,nCURSO,DATOS!$D17640,nESPEC,DATOS!$E17640,nASIG,DATOS!$I17640,nEVAL,"EX")=0),0))))</f>
      </c>
      <c r="H17640">
        <f>IF(DATOS!$G17640&lt;&gt;"EX",0,--(COUNTIFS(nNIA,DATOS!$A17640,nCURSO,DATOS!$D17640,nESPEC,DATOS!$E17640,nASIG,DATOS!$I17640,nEVAL,"OR")=0))</f>
      </c>
      <c r="I17640">
        <f>IF(DATOS!$I17640="","",IFERROR(VLOOKUP(DATOS!$I17640,CONFIG_ASIGNATURAS!$B$2:$J$91,9,FALSE()),""))</f>
      </c>
    </row>
    <row r="17641">
      <c r="F17641">
        <f>IF(DATOS!$A17641="","",DATOS!$A17641&amp;"|"&amp;DATOS!$D17641&amp;"|"&amp;DATOS!$E17641&amp;"|"&amp;DATOS!$I17641)</f>
      </c>
      <c r="G17641">
        <f>IF(DATOS!$A17641="",0,IF(CONFIG_METADATA!$B$4&lt;&gt;"OR+EX",--(DATOS!$G17641=CONFIG_METADATA!$B$4),IF(DATOS!$G17641="EX",1,IF(DATOS!$G17641="OR",--(COUNTIFS(nNIA,DATOS!$A17641,nCURSO,DATOS!$D17641,nESPEC,DATOS!$E17641,nASIG,DATOS!$I17641,nEVAL,"EX")=0),0))))</f>
      </c>
      <c r="H17641">
        <f>IF(DATOS!$G17641&lt;&gt;"EX",0,--(COUNTIFS(nNIA,DATOS!$A17641,nCURSO,DATOS!$D17641,nESPEC,DATOS!$E17641,nASIG,DATOS!$I17641,nEVAL,"OR")=0))</f>
      </c>
      <c r="I17641">
        <f>IF(DATOS!$I17641="","",IFERROR(VLOOKUP(DATOS!$I17641,CONFIG_ASIGNATURAS!$B$2:$J$91,9,FALSE()),""))</f>
      </c>
    </row>
    <row r="17642">
      <c r="F17642">
        <f>IF(DATOS!$A17642="","",DATOS!$A17642&amp;"|"&amp;DATOS!$D17642&amp;"|"&amp;DATOS!$E17642&amp;"|"&amp;DATOS!$I17642)</f>
      </c>
      <c r="G17642">
        <f>IF(DATOS!$A17642="",0,IF(CONFIG_METADATA!$B$4&lt;&gt;"OR+EX",--(DATOS!$G17642=CONFIG_METADATA!$B$4),IF(DATOS!$G17642="EX",1,IF(DATOS!$G17642="OR",--(COUNTIFS(nNIA,DATOS!$A17642,nCURSO,DATOS!$D17642,nESPEC,DATOS!$E17642,nASIG,DATOS!$I17642,nEVAL,"EX")=0),0))))</f>
      </c>
      <c r="H17642">
        <f>IF(DATOS!$G17642&lt;&gt;"EX",0,--(COUNTIFS(nNIA,DATOS!$A17642,nCURSO,DATOS!$D17642,nESPEC,DATOS!$E17642,nASIG,DATOS!$I17642,nEVAL,"OR")=0))</f>
      </c>
      <c r="I17642">
        <f>IF(DATOS!$I17642="","",IFERROR(VLOOKUP(DATOS!$I17642,CONFIG_ASIGNATURAS!$B$2:$J$91,9,FALSE()),""))</f>
      </c>
    </row>
    <row r="17643">
      <c r="F17643">
        <f>IF(DATOS!$A17643="","",DATOS!$A17643&amp;"|"&amp;DATOS!$D17643&amp;"|"&amp;DATOS!$E17643&amp;"|"&amp;DATOS!$I17643)</f>
      </c>
      <c r="G17643">
        <f>IF(DATOS!$A17643="",0,IF(CONFIG_METADATA!$B$4&lt;&gt;"OR+EX",--(DATOS!$G17643=CONFIG_METADATA!$B$4),IF(DATOS!$G17643="EX",1,IF(DATOS!$G17643="OR",--(COUNTIFS(nNIA,DATOS!$A17643,nCURSO,DATOS!$D17643,nESPEC,DATOS!$E17643,nASIG,DATOS!$I17643,nEVAL,"EX")=0),0))))</f>
      </c>
      <c r="H17643">
        <f>IF(DATOS!$G17643&lt;&gt;"EX",0,--(COUNTIFS(nNIA,DATOS!$A17643,nCURSO,DATOS!$D17643,nESPEC,DATOS!$E17643,nASIG,DATOS!$I17643,nEVAL,"OR")=0))</f>
      </c>
      <c r="I17643">
        <f>IF(DATOS!$I17643="","",IFERROR(VLOOKUP(DATOS!$I17643,CONFIG_ASIGNATURAS!$B$2:$J$91,9,FALSE()),""))</f>
      </c>
    </row>
    <row r="17644">
      <c r="F17644">
        <f>IF(DATOS!$A17644="","",DATOS!$A17644&amp;"|"&amp;DATOS!$D17644&amp;"|"&amp;DATOS!$E17644&amp;"|"&amp;DATOS!$I17644)</f>
      </c>
      <c r="G17644">
        <f>IF(DATOS!$A17644="",0,IF(CONFIG_METADATA!$B$4&lt;&gt;"OR+EX",--(DATOS!$G17644=CONFIG_METADATA!$B$4),IF(DATOS!$G17644="EX",1,IF(DATOS!$G17644="OR",--(COUNTIFS(nNIA,DATOS!$A17644,nCURSO,DATOS!$D17644,nESPEC,DATOS!$E17644,nASIG,DATOS!$I17644,nEVAL,"EX")=0),0))))</f>
      </c>
      <c r="H17644">
        <f>IF(DATOS!$G17644&lt;&gt;"EX",0,--(COUNTIFS(nNIA,DATOS!$A17644,nCURSO,DATOS!$D17644,nESPEC,DATOS!$E17644,nASIG,DATOS!$I17644,nEVAL,"OR")=0))</f>
      </c>
      <c r="I17644">
        <f>IF(DATOS!$I17644="","",IFERROR(VLOOKUP(DATOS!$I17644,CONFIG_ASIGNATURAS!$B$2:$J$91,9,FALSE()),""))</f>
      </c>
    </row>
    <row r="17645">
      <c r="F17645">
        <f>IF(DATOS!$A17645="","",DATOS!$A17645&amp;"|"&amp;DATOS!$D17645&amp;"|"&amp;DATOS!$E17645&amp;"|"&amp;DATOS!$I17645)</f>
      </c>
      <c r="G17645">
        <f>IF(DATOS!$A17645="",0,IF(CONFIG_METADATA!$B$4&lt;&gt;"OR+EX",--(DATOS!$G17645=CONFIG_METADATA!$B$4),IF(DATOS!$G17645="EX",1,IF(DATOS!$G17645="OR",--(COUNTIFS(nNIA,DATOS!$A17645,nCURSO,DATOS!$D17645,nESPEC,DATOS!$E17645,nASIG,DATOS!$I17645,nEVAL,"EX")=0),0))))</f>
      </c>
      <c r="H17645">
        <f>IF(DATOS!$G17645&lt;&gt;"EX",0,--(COUNTIFS(nNIA,DATOS!$A17645,nCURSO,DATOS!$D17645,nESPEC,DATOS!$E17645,nASIG,DATOS!$I17645,nEVAL,"OR")=0))</f>
      </c>
      <c r="I17645">
        <f>IF(DATOS!$I17645="","",IFERROR(VLOOKUP(DATOS!$I17645,CONFIG_ASIGNATURAS!$B$2:$J$91,9,FALSE()),""))</f>
      </c>
    </row>
    <row r="17646">
      <c r="F17646">
        <f>IF(DATOS!$A17646="","",DATOS!$A17646&amp;"|"&amp;DATOS!$D17646&amp;"|"&amp;DATOS!$E17646&amp;"|"&amp;DATOS!$I17646)</f>
      </c>
      <c r="G17646">
        <f>IF(DATOS!$A17646="",0,IF(CONFIG_METADATA!$B$4&lt;&gt;"OR+EX",--(DATOS!$G17646=CONFIG_METADATA!$B$4),IF(DATOS!$G17646="EX",1,IF(DATOS!$G17646="OR",--(COUNTIFS(nNIA,DATOS!$A17646,nCURSO,DATOS!$D17646,nESPEC,DATOS!$E17646,nASIG,DATOS!$I17646,nEVAL,"EX")=0),0))))</f>
      </c>
      <c r="H17646">
        <f>IF(DATOS!$G17646&lt;&gt;"EX",0,--(COUNTIFS(nNIA,DATOS!$A17646,nCURSO,DATOS!$D17646,nESPEC,DATOS!$E17646,nASIG,DATOS!$I17646,nEVAL,"OR")=0))</f>
      </c>
      <c r="I17646">
        <f>IF(DATOS!$I17646="","",IFERROR(VLOOKUP(DATOS!$I17646,CONFIG_ASIGNATURAS!$B$2:$J$91,9,FALSE()),""))</f>
      </c>
    </row>
    <row r="17647">
      <c r="F17647">
        <f>IF(DATOS!$A17647="","",DATOS!$A17647&amp;"|"&amp;DATOS!$D17647&amp;"|"&amp;DATOS!$E17647&amp;"|"&amp;DATOS!$I17647)</f>
      </c>
      <c r="G17647">
        <f>IF(DATOS!$A17647="",0,IF(CONFIG_METADATA!$B$4&lt;&gt;"OR+EX",--(DATOS!$G17647=CONFIG_METADATA!$B$4),IF(DATOS!$G17647="EX",1,IF(DATOS!$G17647="OR",--(COUNTIFS(nNIA,DATOS!$A17647,nCURSO,DATOS!$D17647,nESPEC,DATOS!$E17647,nASIG,DATOS!$I17647,nEVAL,"EX")=0),0))))</f>
      </c>
      <c r="H17647">
        <f>IF(DATOS!$G17647&lt;&gt;"EX",0,--(COUNTIFS(nNIA,DATOS!$A17647,nCURSO,DATOS!$D17647,nESPEC,DATOS!$E17647,nASIG,DATOS!$I17647,nEVAL,"OR")=0))</f>
      </c>
      <c r="I17647">
        <f>IF(DATOS!$I17647="","",IFERROR(VLOOKUP(DATOS!$I17647,CONFIG_ASIGNATURAS!$B$2:$J$91,9,FALSE()),""))</f>
      </c>
    </row>
    <row r="17648">
      <c r="F17648">
        <f>IF(DATOS!$A17648="","",DATOS!$A17648&amp;"|"&amp;DATOS!$D17648&amp;"|"&amp;DATOS!$E17648&amp;"|"&amp;DATOS!$I17648)</f>
      </c>
      <c r="G17648">
        <f>IF(DATOS!$A17648="",0,IF(CONFIG_METADATA!$B$4&lt;&gt;"OR+EX",--(DATOS!$G17648=CONFIG_METADATA!$B$4),IF(DATOS!$G17648="EX",1,IF(DATOS!$G17648="OR",--(COUNTIFS(nNIA,DATOS!$A17648,nCURSO,DATOS!$D17648,nESPEC,DATOS!$E17648,nASIG,DATOS!$I17648,nEVAL,"EX")=0),0))))</f>
      </c>
      <c r="H17648">
        <f>IF(DATOS!$G17648&lt;&gt;"EX",0,--(COUNTIFS(nNIA,DATOS!$A17648,nCURSO,DATOS!$D17648,nESPEC,DATOS!$E17648,nASIG,DATOS!$I17648,nEVAL,"OR")=0))</f>
      </c>
      <c r="I17648">
        <f>IF(DATOS!$I17648="","",IFERROR(VLOOKUP(DATOS!$I17648,CONFIG_ASIGNATURAS!$B$2:$J$91,9,FALSE()),""))</f>
      </c>
    </row>
    <row r="17649">
      <c r="F17649">
        <f>IF(DATOS!$A17649="","",DATOS!$A17649&amp;"|"&amp;DATOS!$D17649&amp;"|"&amp;DATOS!$E17649&amp;"|"&amp;DATOS!$I17649)</f>
      </c>
      <c r="G17649">
        <f>IF(DATOS!$A17649="",0,IF(CONFIG_METADATA!$B$4&lt;&gt;"OR+EX",--(DATOS!$G17649=CONFIG_METADATA!$B$4),IF(DATOS!$G17649="EX",1,IF(DATOS!$G17649="OR",--(COUNTIFS(nNIA,DATOS!$A17649,nCURSO,DATOS!$D17649,nESPEC,DATOS!$E17649,nASIG,DATOS!$I17649,nEVAL,"EX")=0),0))))</f>
      </c>
      <c r="H17649">
        <f>IF(DATOS!$G17649&lt;&gt;"EX",0,--(COUNTIFS(nNIA,DATOS!$A17649,nCURSO,DATOS!$D17649,nESPEC,DATOS!$E17649,nASIG,DATOS!$I17649,nEVAL,"OR")=0))</f>
      </c>
      <c r="I17649">
        <f>IF(DATOS!$I17649="","",IFERROR(VLOOKUP(DATOS!$I17649,CONFIG_ASIGNATURAS!$B$2:$J$91,9,FALSE()),""))</f>
      </c>
    </row>
    <row r="17650">
      <c r="F17650">
        <f>IF(DATOS!$A17650="","",DATOS!$A17650&amp;"|"&amp;DATOS!$D17650&amp;"|"&amp;DATOS!$E17650&amp;"|"&amp;DATOS!$I17650)</f>
      </c>
      <c r="G17650">
        <f>IF(DATOS!$A17650="",0,IF(CONFIG_METADATA!$B$4&lt;&gt;"OR+EX",--(DATOS!$G17650=CONFIG_METADATA!$B$4),IF(DATOS!$G17650="EX",1,IF(DATOS!$G17650="OR",--(COUNTIFS(nNIA,DATOS!$A17650,nCURSO,DATOS!$D17650,nESPEC,DATOS!$E17650,nASIG,DATOS!$I17650,nEVAL,"EX")=0),0))))</f>
      </c>
      <c r="H17650">
        <f>IF(DATOS!$G17650&lt;&gt;"EX",0,--(COUNTIFS(nNIA,DATOS!$A17650,nCURSO,DATOS!$D17650,nESPEC,DATOS!$E17650,nASIG,DATOS!$I17650,nEVAL,"OR")=0))</f>
      </c>
      <c r="I17650">
        <f>IF(DATOS!$I17650="","",IFERROR(VLOOKUP(DATOS!$I17650,CONFIG_ASIGNATURAS!$B$2:$J$91,9,FALSE()),""))</f>
      </c>
    </row>
    <row r="17651">
      <c r="F17651">
        <f>IF(DATOS!$A17651="","",DATOS!$A17651&amp;"|"&amp;DATOS!$D17651&amp;"|"&amp;DATOS!$E17651&amp;"|"&amp;DATOS!$I17651)</f>
      </c>
      <c r="G17651">
        <f>IF(DATOS!$A17651="",0,IF(CONFIG_METADATA!$B$4&lt;&gt;"OR+EX",--(DATOS!$G17651=CONFIG_METADATA!$B$4),IF(DATOS!$G17651="EX",1,IF(DATOS!$G17651="OR",--(COUNTIFS(nNIA,DATOS!$A17651,nCURSO,DATOS!$D17651,nESPEC,DATOS!$E17651,nASIG,DATOS!$I17651,nEVAL,"EX")=0),0))))</f>
      </c>
      <c r="H17651">
        <f>IF(DATOS!$G17651&lt;&gt;"EX",0,--(COUNTIFS(nNIA,DATOS!$A17651,nCURSO,DATOS!$D17651,nESPEC,DATOS!$E17651,nASIG,DATOS!$I17651,nEVAL,"OR")=0))</f>
      </c>
      <c r="I17651">
        <f>IF(DATOS!$I17651="","",IFERROR(VLOOKUP(DATOS!$I17651,CONFIG_ASIGNATURAS!$B$2:$J$91,9,FALSE()),""))</f>
      </c>
    </row>
    <row r="17652">
      <c r="F17652">
        <f>IF(DATOS!$A17652="","",DATOS!$A17652&amp;"|"&amp;DATOS!$D17652&amp;"|"&amp;DATOS!$E17652&amp;"|"&amp;DATOS!$I17652)</f>
      </c>
      <c r="G17652">
        <f>IF(DATOS!$A17652="",0,IF(CONFIG_METADATA!$B$4&lt;&gt;"OR+EX",--(DATOS!$G17652=CONFIG_METADATA!$B$4),IF(DATOS!$G17652="EX",1,IF(DATOS!$G17652="OR",--(COUNTIFS(nNIA,DATOS!$A17652,nCURSO,DATOS!$D17652,nESPEC,DATOS!$E17652,nASIG,DATOS!$I17652,nEVAL,"EX")=0),0))))</f>
      </c>
      <c r="H17652">
        <f>IF(DATOS!$G17652&lt;&gt;"EX",0,--(COUNTIFS(nNIA,DATOS!$A17652,nCURSO,DATOS!$D17652,nESPEC,DATOS!$E17652,nASIG,DATOS!$I17652,nEVAL,"OR")=0))</f>
      </c>
      <c r="I17652">
        <f>IF(DATOS!$I17652="","",IFERROR(VLOOKUP(DATOS!$I17652,CONFIG_ASIGNATURAS!$B$2:$J$91,9,FALSE()),""))</f>
      </c>
    </row>
    <row r="17653">
      <c r="F17653">
        <f>IF(DATOS!$A17653="","",DATOS!$A17653&amp;"|"&amp;DATOS!$D17653&amp;"|"&amp;DATOS!$E17653&amp;"|"&amp;DATOS!$I17653)</f>
      </c>
      <c r="G17653">
        <f>IF(DATOS!$A17653="",0,IF(CONFIG_METADATA!$B$4&lt;&gt;"OR+EX",--(DATOS!$G17653=CONFIG_METADATA!$B$4),IF(DATOS!$G17653="EX",1,IF(DATOS!$G17653="OR",--(COUNTIFS(nNIA,DATOS!$A17653,nCURSO,DATOS!$D17653,nESPEC,DATOS!$E17653,nASIG,DATOS!$I17653,nEVAL,"EX")=0),0))))</f>
      </c>
      <c r="H17653">
        <f>IF(DATOS!$G17653&lt;&gt;"EX",0,--(COUNTIFS(nNIA,DATOS!$A17653,nCURSO,DATOS!$D17653,nESPEC,DATOS!$E17653,nASIG,DATOS!$I17653,nEVAL,"OR")=0))</f>
      </c>
      <c r="I17653">
        <f>IF(DATOS!$I17653="","",IFERROR(VLOOKUP(DATOS!$I17653,CONFIG_ASIGNATURAS!$B$2:$J$91,9,FALSE()),""))</f>
      </c>
    </row>
    <row r="17654">
      <c r="F17654">
        <f>IF(DATOS!$A17654="","",DATOS!$A17654&amp;"|"&amp;DATOS!$D17654&amp;"|"&amp;DATOS!$E17654&amp;"|"&amp;DATOS!$I17654)</f>
      </c>
      <c r="G17654">
        <f>IF(DATOS!$A17654="",0,IF(CONFIG_METADATA!$B$4&lt;&gt;"OR+EX",--(DATOS!$G17654=CONFIG_METADATA!$B$4),IF(DATOS!$G17654="EX",1,IF(DATOS!$G17654="OR",--(COUNTIFS(nNIA,DATOS!$A17654,nCURSO,DATOS!$D17654,nESPEC,DATOS!$E17654,nASIG,DATOS!$I17654,nEVAL,"EX")=0),0))))</f>
      </c>
      <c r="H17654">
        <f>IF(DATOS!$G17654&lt;&gt;"EX",0,--(COUNTIFS(nNIA,DATOS!$A17654,nCURSO,DATOS!$D17654,nESPEC,DATOS!$E17654,nASIG,DATOS!$I17654,nEVAL,"OR")=0))</f>
      </c>
      <c r="I17654">
        <f>IF(DATOS!$I17654="","",IFERROR(VLOOKUP(DATOS!$I17654,CONFIG_ASIGNATURAS!$B$2:$J$91,9,FALSE()),""))</f>
      </c>
    </row>
    <row r="17655">
      <c r="F17655">
        <f>IF(DATOS!$A17655="","",DATOS!$A17655&amp;"|"&amp;DATOS!$D17655&amp;"|"&amp;DATOS!$E17655&amp;"|"&amp;DATOS!$I17655)</f>
      </c>
      <c r="G17655">
        <f>IF(DATOS!$A17655="",0,IF(CONFIG_METADATA!$B$4&lt;&gt;"OR+EX",--(DATOS!$G17655=CONFIG_METADATA!$B$4),IF(DATOS!$G17655="EX",1,IF(DATOS!$G17655="OR",--(COUNTIFS(nNIA,DATOS!$A17655,nCURSO,DATOS!$D17655,nESPEC,DATOS!$E17655,nASIG,DATOS!$I17655,nEVAL,"EX")=0),0))))</f>
      </c>
      <c r="H17655">
        <f>IF(DATOS!$G17655&lt;&gt;"EX",0,--(COUNTIFS(nNIA,DATOS!$A17655,nCURSO,DATOS!$D17655,nESPEC,DATOS!$E17655,nASIG,DATOS!$I17655,nEVAL,"OR")=0))</f>
      </c>
      <c r="I17655">
        <f>IF(DATOS!$I17655="","",IFERROR(VLOOKUP(DATOS!$I17655,CONFIG_ASIGNATURAS!$B$2:$J$91,9,FALSE()),""))</f>
      </c>
    </row>
    <row r="17656">
      <c r="F17656">
        <f>IF(DATOS!$A17656="","",DATOS!$A17656&amp;"|"&amp;DATOS!$D17656&amp;"|"&amp;DATOS!$E17656&amp;"|"&amp;DATOS!$I17656)</f>
      </c>
      <c r="G17656">
        <f>IF(DATOS!$A17656="",0,IF(CONFIG_METADATA!$B$4&lt;&gt;"OR+EX",--(DATOS!$G17656=CONFIG_METADATA!$B$4),IF(DATOS!$G17656="EX",1,IF(DATOS!$G17656="OR",--(COUNTIFS(nNIA,DATOS!$A17656,nCURSO,DATOS!$D17656,nESPEC,DATOS!$E17656,nASIG,DATOS!$I17656,nEVAL,"EX")=0),0))))</f>
      </c>
      <c r="H17656">
        <f>IF(DATOS!$G17656&lt;&gt;"EX",0,--(COUNTIFS(nNIA,DATOS!$A17656,nCURSO,DATOS!$D17656,nESPEC,DATOS!$E17656,nASIG,DATOS!$I17656,nEVAL,"OR")=0))</f>
      </c>
      <c r="I17656">
        <f>IF(DATOS!$I17656="","",IFERROR(VLOOKUP(DATOS!$I17656,CONFIG_ASIGNATURAS!$B$2:$J$91,9,FALSE()),""))</f>
      </c>
    </row>
    <row r="17657">
      <c r="F17657">
        <f>IF(DATOS!$A17657="","",DATOS!$A17657&amp;"|"&amp;DATOS!$D17657&amp;"|"&amp;DATOS!$E17657&amp;"|"&amp;DATOS!$I17657)</f>
      </c>
      <c r="G17657">
        <f>IF(DATOS!$A17657="",0,IF(CONFIG_METADATA!$B$4&lt;&gt;"OR+EX",--(DATOS!$G17657=CONFIG_METADATA!$B$4),IF(DATOS!$G17657="EX",1,IF(DATOS!$G17657="OR",--(COUNTIFS(nNIA,DATOS!$A17657,nCURSO,DATOS!$D17657,nESPEC,DATOS!$E17657,nASIG,DATOS!$I17657,nEVAL,"EX")=0),0))))</f>
      </c>
      <c r="H17657">
        <f>IF(DATOS!$G17657&lt;&gt;"EX",0,--(COUNTIFS(nNIA,DATOS!$A17657,nCURSO,DATOS!$D17657,nESPEC,DATOS!$E17657,nASIG,DATOS!$I17657,nEVAL,"OR")=0))</f>
      </c>
      <c r="I17657">
        <f>IF(DATOS!$I17657="","",IFERROR(VLOOKUP(DATOS!$I17657,CONFIG_ASIGNATURAS!$B$2:$J$91,9,FALSE()),""))</f>
      </c>
    </row>
    <row r="17658">
      <c r="F17658">
        <f>IF(DATOS!$A17658="","",DATOS!$A17658&amp;"|"&amp;DATOS!$D17658&amp;"|"&amp;DATOS!$E17658&amp;"|"&amp;DATOS!$I17658)</f>
      </c>
      <c r="G17658">
        <f>IF(DATOS!$A17658="",0,IF(CONFIG_METADATA!$B$4&lt;&gt;"OR+EX",--(DATOS!$G17658=CONFIG_METADATA!$B$4),IF(DATOS!$G17658="EX",1,IF(DATOS!$G17658="OR",--(COUNTIFS(nNIA,DATOS!$A17658,nCURSO,DATOS!$D17658,nESPEC,DATOS!$E17658,nASIG,DATOS!$I17658,nEVAL,"EX")=0),0))))</f>
      </c>
      <c r="H17658">
        <f>IF(DATOS!$G17658&lt;&gt;"EX",0,--(COUNTIFS(nNIA,DATOS!$A17658,nCURSO,DATOS!$D17658,nESPEC,DATOS!$E17658,nASIG,DATOS!$I17658,nEVAL,"OR")=0))</f>
      </c>
      <c r="I17658">
        <f>IF(DATOS!$I17658="","",IFERROR(VLOOKUP(DATOS!$I17658,CONFIG_ASIGNATURAS!$B$2:$J$91,9,FALSE()),""))</f>
      </c>
    </row>
    <row r="17659">
      <c r="F17659">
        <f>IF(DATOS!$A17659="","",DATOS!$A17659&amp;"|"&amp;DATOS!$D17659&amp;"|"&amp;DATOS!$E17659&amp;"|"&amp;DATOS!$I17659)</f>
      </c>
      <c r="G17659">
        <f>IF(DATOS!$A17659="",0,IF(CONFIG_METADATA!$B$4&lt;&gt;"OR+EX",--(DATOS!$G17659=CONFIG_METADATA!$B$4),IF(DATOS!$G17659="EX",1,IF(DATOS!$G17659="OR",--(COUNTIFS(nNIA,DATOS!$A17659,nCURSO,DATOS!$D17659,nESPEC,DATOS!$E17659,nASIG,DATOS!$I17659,nEVAL,"EX")=0),0))))</f>
      </c>
      <c r="H17659">
        <f>IF(DATOS!$G17659&lt;&gt;"EX",0,--(COUNTIFS(nNIA,DATOS!$A17659,nCURSO,DATOS!$D17659,nESPEC,DATOS!$E17659,nASIG,DATOS!$I17659,nEVAL,"OR")=0))</f>
      </c>
      <c r="I17659">
        <f>IF(DATOS!$I17659="","",IFERROR(VLOOKUP(DATOS!$I17659,CONFIG_ASIGNATURAS!$B$2:$J$91,9,FALSE()),""))</f>
      </c>
    </row>
    <row r="17660">
      <c r="F17660">
        <f>IF(DATOS!$A17660="","",DATOS!$A17660&amp;"|"&amp;DATOS!$D17660&amp;"|"&amp;DATOS!$E17660&amp;"|"&amp;DATOS!$I17660)</f>
      </c>
      <c r="G17660">
        <f>IF(DATOS!$A17660="",0,IF(CONFIG_METADATA!$B$4&lt;&gt;"OR+EX",--(DATOS!$G17660=CONFIG_METADATA!$B$4),IF(DATOS!$G17660="EX",1,IF(DATOS!$G17660="OR",--(COUNTIFS(nNIA,DATOS!$A17660,nCURSO,DATOS!$D17660,nESPEC,DATOS!$E17660,nASIG,DATOS!$I17660,nEVAL,"EX")=0),0))))</f>
      </c>
      <c r="H17660">
        <f>IF(DATOS!$G17660&lt;&gt;"EX",0,--(COUNTIFS(nNIA,DATOS!$A17660,nCURSO,DATOS!$D17660,nESPEC,DATOS!$E17660,nASIG,DATOS!$I17660,nEVAL,"OR")=0))</f>
      </c>
      <c r="I17660">
        <f>IF(DATOS!$I17660="","",IFERROR(VLOOKUP(DATOS!$I17660,CONFIG_ASIGNATURAS!$B$2:$J$91,9,FALSE()),""))</f>
      </c>
    </row>
    <row r="17661">
      <c r="F17661">
        <f>IF(DATOS!$A17661="","",DATOS!$A17661&amp;"|"&amp;DATOS!$D17661&amp;"|"&amp;DATOS!$E17661&amp;"|"&amp;DATOS!$I17661)</f>
      </c>
      <c r="G17661">
        <f>IF(DATOS!$A17661="",0,IF(CONFIG_METADATA!$B$4&lt;&gt;"OR+EX",--(DATOS!$G17661=CONFIG_METADATA!$B$4),IF(DATOS!$G17661="EX",1,IF(DATOS!$G17661="OR",--(COUNTIFS(nNIA,DATOS!$A17661,nCURSO,DATOS!$D17661,nESPEC,DATOS!$E17661,nASIG,DATOS!$I17661,nEVAL,"EX")=0),0))))</f>
      </c>
      <c r="H17661">
        <f>IF(DATOS!$G17661&lt;&gt;"EX",0,--(COUNTIFS(nNIA,DATOS!$A17661,nCURSO,DATOS!$D17661,nESPEC,DATOS!$E17661,nASIG,DATOS!$I17661,nEVAL,"OR")=0))</f>
      </c>
      <c r="I17661">
        <f>IF(DATOS!$I17661="","",IFERROR(VLOOKUP(DATOS!$I17661,CONFIG_ASIGNATURAS!$B$2:$J$91,9,FALSE()),""))</f>
      </c>
    </row>
    <row r="17662">
      <c r="F17662">
        <f>IF(DATOS!$A17662="","",DATOS!$A17662&amp;"|"&amp;DATOS!$D17662&amp;"|"&amp;DATOS!$E17662&amp;"|"&amp;DATOS!$I17662)</f>
      </c>
      <c r="G17662">
        <f>IF(DATOS!$A17662="",0,IF(CONFIG_METADATA!$B$4&lt;&gt;"OR+EX",--(DATOS!$G17662=CONFIG_METADATA!$B$4),IF(DATOS!$G17662="EX",1,IF(DATOS!$G17662="OR",--(COUNTIFS(nNIA,DATOS!$A17662,nCURSO,DATOS!$D17662,nESPEC,DATOS!$E17662,nASIG,DATOS!$I17662,nEVAL,"EX")=0),0))))</f>
      </c>
      <c r="H17662">
        <f>IF(DATOS!$G17662&lt;&gt;"EX",0,--(COUNTIFS(nNIA,DATOS!$A17662,nCURSO,DATOS!$D17662,nESPEC,DATOS!$E17662,nASIG,DATOS!$I17662,nEVAL,"OR")=0))</f>
      </c>
      <c r="I17662">
        <f>IF(DATOS!$I17662="","",IFERROR(VLOOKUP(DATOS!$I17662,CONFIG_ASIGNATURAS!$B$2:$J$91,9,FALSE()),""))</f>
      </c>
    </row>
    <row r="17663">
      <c r="F17663">
        <f>IF(DATOS!$A17663="","",DATOS!$A17663&amp;"|"&amp;DATOS!$D17663&amp;"|"&amp;DATOS!$E17663&amp;"|"&amp;DATOS!$I17663)</f>
      </c>
      <c r="G17663">
        <f>IF(DATOS!$A17663="",0,IF(CONFIG_METADATA!$B$4&lt;&gt;"OR+EX",--(DATOS!$G17663=CONFIG_METADATA!$B$4),IF(DATOS!$G17663="EX",1,IF(DATOS!$G17663="OR",--(COUNTIFS(nNIA,DATOS!$A17663,nCURSO,DATOS!$D17663,nESPEC,DATOS!$E17663,nASIG,DATOS!$I17663,nEVAL,"EX")=0),0))))</f>
      </c>
      <c r="H17663">
        <f>IF(DATOS!$G17663&lt;&gt;"EX",0,--(COUNTIFS(nNIA,DATOS!$A17663,nCURSO,DATOS!$D17663,nESPEC,DATOS!$E17663,nASIG,DATOS!$I17663,nEVAL,"OR")=0))</f>
      </c>
      <c r="I17663">
        <f>IF(DATOS!$I17663="","",IFERROR(VLOOKUP(DATOS!$I17663,CONFIG_ASIGNATURAS!$B$2:$J$91,9,FALSE()),""))</f>
      </c>
    </row>
    <row r="17664">
      <c r="F17664">
        <f>IF(DATOS!$A17664="","",DATOS!$A17664&amp;"|"&amp;DATOS!$D17664&amp;"|"&amp;DATOS!$E17664&amp;"|"&amp;DATOS!$I17664)</f>
      </c>
      <c r="G17664">
        <f>IF(DATOS!$A17664="",0,IF(CONFIG_METADATA!$B$4&lt;&gt;"OR+EX",--(DATOS!$G17664=CONFIG_METADATA!$B$4),IF(DATOS!$G17664="EX",1,IF(DATOS!$G17664="OR",--(COUNTIFS(nNIA,DATOS!$A17664,nCURSO,DATOS!$D17664,nESPEC,DATOS!$E17664,nASIG,DATOS!$I17664,nEVAL,"EX")=0),0))))</f>
      </c>
      <c r="H17664">
        <f>IF(DATOS!$G17664&lt;&gt;"EX",0,--(COUNTIFS(nNIA,DATOS!$A17664,nCURSO,DATOS!$D17664,nESPEC,DATOS!$E17664,nASIG,DATOS!$I17664,nEVAL,"OR")=0))</f>
      </c>
      <c r="I17664">
        <f>IF(DATOS!$I17664="","",IFERROR(VLOOKUP(DATOS!$I17664,CONFIG_ASIGNATURAS!$B$2:$J$91,9,FALSE()),""))</f>
      </c>
    </row>
    <row r="17665">
      <c r="F17665">
        <f>IF(DATOS!$A17665="","",DATOS!$A17665&amp;"|"&amp;DATOS!$D17665&amp;"|"&amp;DATOS!$E17665&amp;"|"&amp;DATOS!$I17665)</f>
      </c>
      <c r="G17665">
        <f>IF(DATOS!$A17665="",0,IF(CONFIG_METADATA!$B$4&lt;&gt;"OR+EX",--(DATOS!$G17665=CONFIG_METADATA!$B$4),IF(DATOS!$G17665="EX",1,IF(DATOS!$G17665="OR",--(COUNTIFS(nNIA,DATOS!$A17665,nCURSO,DATOS!$D17665,nESPEC,DATOS!$E17665,nASIG,DATOS!$I17665,nEVAL,"EX")=0),0))))</f>
      </c>
      <c r="H17665">
        <f>IF(DATOS!$G17665&lt;&gt;"EX",0,--(COUNTIFS(nNIA,DATOS!$A17665,nCURSO,DATOS!$D17665,nESPEC,DATOS!$E17665,nASIG,DATOS!$I17665,nEVAL,"OR")=0))</f>
      </c>
      <c r="I17665">
        <f>IF(DATOS!$I17665="","",IFERROR(VLOOKUP(DATOS!$I17665,CONFIG_ASIGNATURAS!$B$2:$J$91,9,FALSE()),""))</f>
      </c>
    </row>
    <row r="17666">
      <c r="F17666">
        <f>IF(DATOS!$A17666="","",DATOS!$A17666&amp;"|"&amp;DATOS!$D17666&amp;"|"&amp;DATOS!$E17666&amp;"|"&amp;DATOS!$I17666)</f>
      </c>
      <c r="G17666">
        <f>IF(DATOS!$A17666="",0,IF(CONFIG_METADATA!$B$4&lt;&gt;"OR+EX",--(DATOS!$G17666=CONFIG_METADATA!$B$4),IF(DATOS!$G17666="EX",1,IF(DATOS!$G17666="OR",--(COUNTIFS(nNIA,DATOS!$A17666,nCURSO,DATOS!$D17666,nESPEC,DATOS!$E17666,nASIG,DATOS!$I17666,nEVAL,"EX")=0),0))))</f>
      </c>
      <c r="H17666">
        <f>IF(DATOS!$G17666&lt;&gt;"EX",0,--(COUNTIFS(nNIA,DATOS!$A17666,nCURSO,DATOS!$D17666,nESPEC,DATOS!$E17666,nASIG,DATOS!$I17666,nEVAL,"OR")=0))</f>
      </c>
      <c r="I17666">
        <f>IF(DATOS!$I17666="","",IFERROR(VLOOKUP(DATOS!$I17666,CONFIG_ASIGNATURAS!$B$2:$J$91,9,FALSE()),""))</f>
      </c>
    </row>
    <row r="17667">
      <c r="F17667">
        <f>IF(DATOS!$A17667="","",DATOS!$A17667&amp;"|"&amp;DATOS!$D17667&amp;"|"&amp;DATOS!$E17667&amp;"|"&amp;DATOS!$I17667)</f>
      </c>
      <c r="G17667">
        <f>IF(DATOS!$A17667="",0,IF(CONFIG_METADATA!$B$4&lt;&gt;"OR+EX",--(DATOS!$G17667=CONFIG_METADATA!$B$4),IF(DATOS!$G17667="EX",1,IF(DATOS!$G17667="OR",--(COUNTIFS(nNIA,DATOS!$A17667,nCURSO,DATOS!$D17667,nESPEC,DATOS!$E17667,nASIG,DATOS!$I17667,nEVAL,"EX")=0),0))))</f>
      </c>
      <c r="H17667">
        <f>IF(DATOS!$G17667&lt;&gt;"EX",0,--(COUNTIFS(nNIA,DATOS!$A17667,nCURSO,DATOS!$D17667,nESPEC,DATOS!$E17667,nASIG,DATOS!$I17667,nEVAL,"OR")=0))</f>
      </c>
      <c r="I17667">
        <f>IF(DATOS!$I17667="","",IFERROR(VLOOKUP(DATOS!$I17667,CONFIG_ASIGNATURAS!$B$2:$J$91,9,FALSE()),""))</f>
      </c>
    </row>
    <row r="17668">
      <c r="F17668">
        <f>IF(DATOS!$A17668="","",DATOS!$A17668&amp;"|"&amp;DATOS!$D17668&amp;"|"&amp;DATOS!$E17668&amp;"|"&amp;DATOS!$I17668)</f>
      </c>
      <c r="G17668">
        <f>IF(DATOS!$A17668="",0,IF(CONFIG_METADATA!$B$4&lt;&gt;"OR+EX",--(DATOS!$G17668=CONFIG_METADATA!$B$4),IF(DATOS!$G17668="EX",1,IF(DATOS!$G17668="OR",--(COUNTIFS(nNIA,DATOS!$A17668,nCURSO,DATOS!$D17668,nESPEC,DATOS!$E17668,nASIG,DATOS!$I17668,nEVAL,"EX")=0),0))))</f>
      </c>
      <c r="H17668">
        <f>IF(DATOS!$G17668&lt;&gt;"EX",0,--(COUNTIFS(nNIA,DATOS!$A17668,nCURSO,DATOS!$D17668,nESPEC,DATOS!$E17668,nASIG,DATOS!$I17668,nEVAL,"OR")=0))</f>
      </c>
      <c r="I17668">
        <f>IF(DATOS!$I17668="","",IFERROR(VLOOKUP(DATOS!$I17668,CONFIG_ASIGNATURAS!$B$2:$J$91,9,FALSE()),""))</f>
      </c>
    </row>
    <row r="17669">
      <c r="F17669">
        <f>IF(DATOS!$A17669="","",DATOS!$A17669&amp;"|"&amp;DATOS!$D17669&amp;"|"&amp;DATOS!$E17669&amp;"|"&amp;DATOS!$I17669)</f>
      </c>
      <c r="G17669">
        <f>IF(DATOS!$A17669="",0,IF(CONFIG_METADATA!$B$4&lt;&gt;"OR+EX",--(DATOS!$G17669=CONFIG_METADATA!$B$4),IF(DATOS!$G17669="EX",1,IF(DATOS!$G17669="OR",--(COUNTIFS(nNIA,DATOS!$A17669,nCURSO,DATOS!$D17669,nESPEC,DATOS!$E17669,nASIG,DATOS!$I17669,nEVAL,"EX")=0),0))))</f>
      </c>
      <c r="H17669">
        <f>IF(DATOS!$G17669&lt;&gt;"EX",0,--(COUNTIFS(nNIA,DATOS!$A17669,nCURSO,DATOS!$D17669,nESPEC,DATOS!$E17669,nASIG,DATOS!$I17669,nEVAL,"OR")=0))</f>
      </c>
      <c r="I17669">
        <f>IF(DATOS!$I17669="","",IFERROR(VLOOKUP(DATOS!$I17669,CONFIG_ASIGNATURAS!$B$2:$J$91,9,FALSE()),""))</f>
      </c>
    </row>
    <row r="17670">
      <c r="F17670">
        <f>IF(DATOS!$A17670="","",DATOS!$A17670&amp;"|"&amp;DATOS!$D17670&amp;"|"&amp;DATOS!$E17670&amp;"|"&amp;DATOS!$I17670)</f>
      </c>
      <c r="G17670">
        <f>IF(DATOS!$A17670="",0,IF(CONFIG_METADATA!$B$4&lt;&gt;"OR+EX",--(DATOS!$G17670=CONFIG_METADATA!$B$4),IF(DATOS!$G17670="EX",1,IF(DATOS!$G17670="OR",--(COUNTIFS(nNIA,DATOS!$A17670,nCURSO,DATOS!$D17670,nESPEC,DATOS!$E17670,nASIG,DATOS!$I17670,nEVAL,"EX")=0),0))))</f>
      </c>
      <c r="H17670">
        <f>IF(DATOS!$G17670&lt;&gt;"EX",0,--(COUNTIFS(nNIA,DATOS!$A17670,nCURSO,DATOS!$D17670,nESPEC,DATOS!$E17670,nASIG,DATOS!$I17670,nEVAL,"OR")=0))</f>
      </c>
      <c r="I17670">
        <f>IF(DATOS!$I17670="","",IFERROR(VLOOKUP(DATOS!$I17670,CONFIG_ASIGNATURAS!$B$2:$J$91,9,FALSE()),""))</f>
      </c>
    </row>
    <row r="17671">
      <c r="F17671">
        <f>IF(DATOS!$A17671="","",DATOS!$A17671&amp;"|"&amp;DATOS!$D17671&amp;"|"&amp;DATOS!$E17671&amp;"|"&amp;DATOS!$I17671)</f>
      </c>
      <c r="G17671">
        <f>IF(DATOS!$A17671="",0,IF(CONFIG_METADATA!$B$4&lt;&gt;"OR+EX",--(DATOS!$G17671=CONFIG_METADATA!$B$4),IF(DATOS!$G17671="EX",1,IF(DATOS!$G17671="OR",--(COUNTIFS(nNIA,DATOS!$A17671,nCURSO,DATOS!$D17671,nESPEC,DATOS!$E17671,nASIG,DATOS!$I17671,nEVAL,"EX")=0),0))))</f>
      </c>
      <c r="H17671">
        <f>IF(DATOS!$G17671&lt;&gt;"EX",0,--(COUNTIFS(nNIA,DATOS!$A17671,nCURSO,DATOS!$D17671,nESPEC,DATOS!$E17671,nASIG,DATOS!$I17671,nEVAL,"OR")=0))</f>
      </c>
      <c r="I17671">
        <f>IF(DATOS!$I17671="","",IFERROR(VLOOKUP(DATOS!$I17671,CONFIG_ASIGNATURAS!$B$2:$J$91,9,FALSE()),""))</f>
      </c>
    </row>
    <row r="17672">
      <c r="F17672">
        <f>IF(DATOS!$A17672="","",DATOS!$A17672&amp;"|"&amp;DATOS!$D17672&amp;"|"&amp;DATOS!$E17672&amp;"|"&amp;DATOS!$I17672)</f>
      </c>
      <c r="G17672">
        <f>IF(DATOS!$A17672="",0,IF(CONFIG_METADATA!$B$4&lt;&gt;"OR+EX",--(DATOS!$G17672=CONFIG_METADATA!$B$4),IF(DATOS!$G17672="EX",1,IF(DATOS!$G17672="OR",--(COUNTIFS(nNIA,DATOS!$A17672,nCURSO,DATOS!$D17672,nESPEC,DATOS!$E17672,nASIG,DATOS!$I17672,nEVAL,"EX")=0),0))))</f>
      </c>
      <c r="H17672">
        <f>IF(DATOS!$G17672&lt;&gt;"EX",0,--(COUNTIFS(nNIA,DATOS!$A17672,nCURSO,DATOS!$D17672,nESPEC,DATOS!$E17672,nASIG,DATOS!$I17672,nEVAL,"OR")=0))</f>
      </c>
      <c r="I17672">
        <f>IF(DATOS!$I17672="","",IFERROR(VLOOKUP(DATOS!$I17672,CONFIG_ASIGNATURAS!$B$2:$J$91,9,FALSE()),""))</f>
      </c>
    </row>
    <row r="17673">
      <c r="F17673">
        <f>IF(DATOS!$A17673="","",DATOS!$A17673&amp;"|"&amp;DATOS!$D17673&amp;"|"&amp;DATOS!$E17673&amp;"|"&amp;DATOS!$I17673)</f>
      </c>
      <c r="G17673">
        <f>IF(DATOS!$A17673="",0,IF(CONFIG_METADATA!$B$4&lt;&gt;"OR+EX",--(DATOS!$G17673=CONFIG_METADATA!$B$4),IF(DATOS!$G17673="EX",1,IF(DATOS!$G17673="OR",--(COUNTIFS(nNIA,DATOS!$A17673,nCURSO,DATOS!$D17673,nESPEC,DATOS!$E17673,nASIG,DATOS!$I17673,nEVAL,"EX")=0),0))))</f>
      </c>
      <c r="H17673">
        <f>IF(DATOS!$G17673&lt;&gt;"EX",0,--(COUNTIFS(nNIA,DATOS!$A17673,nCURSO,DATOS!$D17673,nESPEC,DATOS!$E17673,nASIG,DATOS!$I17673,nEVAL,"OR")=0))</f>
      </c>
      <c r="I17673">
        <f>IF(DATOS!$I17673="","",IFERROR(VLOOKUP(DATOS!$I17673,CONFIG_ASIGNATURAS!$B$2:$J$91,9,FALSE()),""))</f>
      </c>
    </row>
    <row r="17674">
      <c r="F17674">
        <f>IF(DATOS!$A17674="","",DATOS!$A17674&amp;"|"&amp;DATOS!$D17674&amp;"|"&amp;DATOS!$E17674&amp;"|"&amp;DATOS!$I17674)</f>
      </c>
      <c r="G17674">
        <f>IF(DATOS!$A17674="",0,IF(CONFIG_METADATA!$B$4&lt;&gt;"OR+EX",--(DATOS!$G17674=CONFIG_METADATA!$B$4),IF(DATOS!$G17674="EX",1,IF(DATOS!$G17674="OR",--(COUNTIFS(nNIA,DATOS!$A17674,nCURSO,DATOS!$D17674,nESPEC,DATOS!$E17674,nASIG,DATOS!$I17674,nEVAL,"EX")=0),0))))</f>
      </c>
      <c r="H17674">
        <f>IF(DATOS!$G17674&lt;&gt;"EX",0,--(COUNTIFS(nNIA,DATOS!$A17674,nCURSO,DATOS!$D17674,nESPEC,DATOS!$E17674,nASIG,DATOS!$I17674,nEVAL,"OR")=0))</f>
      </c>
      <c r="I17674">
        <f>IF(DATOS!$I17674="","",IFERROR(VLOOKUP(DATOS!$I17674,CONFIG_ASIGNATURAS!$B$2:$J$91,9,FALSE()),""))</f>
      </c>
    </row>
    <row r="17675">
      <c r="F17675">
        <f>IF(DATOS!$A17675="","",DATOS!$A17675&amp;"|"&amp;DATOS!$D17675&amp;"|"&amp;DATOS!$E17675&amp;"|"&amp;DATOS!$I17675)</f>
      </c>
      <c r="G17675">
        <f>IF(DATOS!$A17675="",0,IF(CONFIG_METADATA!$B$4&lt;&gt;"OR+EX",--(DATOS!$G17675=CONFIG_METADATA!$B$4),IF(DATOS!$G17675="EX",1,IF(DATOS!$G17675="OR",--(COUNTIFS(nNIA,DATOS!$A17675,nCURSO,DATOS!$D17675,nESPEC,DATOS!$E17675,nASIG,DATOS!$I17675,nEVAL,"EX")=0),0))))</f>
      </c>
      <c r="H17675">
        <f>IF(DATOS!$G17675&lt;&gt;"EX",0,--(COUNTIFS(nNIA,DATOS!$A17675,nCURSO,DATOS!$D17675,nESPEC,DATOS!$E17675,nASIG,DATOS!$I17675,nEVAL,"OR")=0))</f>
      </c>
      <c r="I17675">
        <f>IF(DATOS!$I17675="","",IFERROR(VLOOKUP(DATOS!$I17675,CONFIG_ASIGNATURAS!$B$2:$J$91,9,FALSE()),""))</f>
      </c>
    </row>
    <row r="17676">
      <c r="F17676">
        <f>IF(DATOS!$A17676="","",DATOS!$A17676&amp;"|"&amp;DATOS!$D17676&amp;"|"&amp;DATOS!$E17676&amp;"|"&amp;DATOS!$I17676)</f>
      </c>
      <c r="G17676">
        <f>IF(DATOS!$A17676="",0,IF(CONFIG_METADATA!$B$4&lt;&gt;"OR+EX",--(DATOS!$G17676=CONFIG_METADATA!$B$4),IF(DATOS!$G17676="EX",1,IF(DATOS!$G17676="OR",--(COUNTIFS(nNIA,DATOS!$A17676,nCURSO,DATOS!$D17676,nESPEC,DATOS!$E17676,nASIG,DATOS!$I17676,nEVAL,"EX")=0),0))))</f>
      </c>
      <c r="H17676">
        <f>IF(DATOS!$G17676&lt;&gt;"EX",0,--(COUNTIFS(nNIA,DATOS!$A17676,nCURSO,DATOS!$D17676,nESPEC,DATOS!$E17676,nASIG,DATOS!$I17676,nEVAL,"OR")=0))</f>
      </c>
      <c r="I17676">
        <f>IF(DATOS!$I17676="","",IFERROR(VLOOKUP(DATOS!$I17676,CONFIG_ASIGNATURAS!$B$2:$J$91,9,FALSE()),""))</f>
      </c>
    </row>
    <row r="17677">
      <c r="F17677">
        <f>IF(DATOS!$A17677="","",DATOS!$A17677&amp;"|"&amp;DATOS!$D17677&amp;"|"&amp;DATOS!$E17677&amp;"|"&amp;DATOS!$I17677)</f>
      </c>
      <c r="G17677">
        <f>IF(DATOS!$A17677="",0,IF(CONFIG_METADATA!$B$4&lt;&gt;"OR+EX",--(DATOS!$G17677=CONFIG_METADATA!$B$4),IF(DATOS!$G17677="EX",1,IF(DATOS!$G17677="OR",--(COUNTIFS(nNIA,DATOS!$A17677,nCURSO,DATOS!$D17677,nESPEC,DATOS!$E17677,nASIG,DATOS!$I17677,nEVAL,"EX")=0),0))))</f>
      </c>
      <c r="H17677">
        <f>IF(DATOS!$G17677&lt;&gt;"EX",0,--(COUNTIFS(nNIA,DATOS!$A17677,nCURSO,DATOS!$D17677,nESPEC,DATOS!$E17677,nASIG,DATOS!$I17677,nEVAL,"OR")=0))</f>
      </c>
      <c r="I17677">
        <f>IF(DATOS!$I17677="","",IFERROR(VLOOKUP(DATOS!$I17677,CONFIG_ASIGNATURAS!$B$2:$J$91,9,FALSE()),""))</f>
      </c>
    </row>
    <row r="17678">
      <c r="F17678">
        <f>IF(DATOS!$A17678="","",DATOS!$A17678&amp;"|"&amp;DATOS!$D17678&amp;"|"&amp;DATOS!$E17678&amp;"|"&amp;DATOS!$I17678)</f>
      </c>
      <c r="G17678">
        <f>IF(DATOS!$A17678="",0,IF(CONFIG_METADATA!$B$4&lt;&gt;"OR+EX",--(DATOS!$G17678=CONFIG_METADATA!$B$4),IF(DATOS!$G17678="EX",1,IF(DATOS!$G17678="OR",--(COUNTIFS(nNIA,DATOS!$A17678,nCURSO,DATOS!$D17678,nESPEC,DATOS!$E17678,nASIG,DATOS!$I17678,nEVAL,"EX")=0),0))))</f>
      </c>
      <c r="H17678">
        <f>IF(DATOS!$G17678&lt;&gt;"EX",0,--(COUNTIFS(nNIA,DATOS!$A17678,nCURSO,DATOS!$D17678,nESPEC,DATOS!$E17678,nASIG,DATOS!$I17678,nEVAL,"OR")=0))</f>
      </c>
      <c r="I17678">
        <f>IF(DATOS!$I17678="","",IFERROR(VLOOKUP(DATOS!$I17678,CONFIG_ASIGNATURAS!$B$2:$J$91,9,FALSE()),""))</f>
      </c>
    </row>
    <row r="17679">
      <c r="F17679">
        <f>IF(DATOS!$A17679="","",DATOS!$A17679&amp;"|"&amp;DATOS!$D17679&amp;"|"&amp;DATOS!$E17679&amp;"|"&amp;DATOS!$I17679)</f>
      </c>
      <c r="G17679">
        <f>IF(DATOS!$A17679="",0,IF(CONFIG_METADATA!$B$4&lt;&gt;"OR+EX",--(DATOS!$G17679=CONFIG_METADATA!$B$4),IF(DATOS!$G17679="EX",1,IF(DATOS!$G17679="OR",--(COUNTIFS(nNIA,DATOS!$A17679,nCURSO,DATOS!$D17679,nESPEC,DATOS!$E17679,nASIG,DATOS!$I17679,nEVAL,"EX")=0),0))))</f>
      </c>
      <c r="H17679">
        <f>IF(DATOS!$G17679&lt;&gt;"EX",0,--(COUNTIFS(nNIA,DATOS!$A17679,nCURSO,DATOS!$D17679,nESPEC,DATOS!$E17679,nASIG,DATOS!$I17679,nEVAL,"OR")=0))</f>
      </c>
      <c r="I17679">
        <f>IF(DATOS!$I17679="","",IFERROR(VLOOKUP(DATOS!$I17679,CONFIG_ASIGNATURAS!$B$2:$J$91,9,FALSE()),""))</f>
      </c>
    </row>
    <row r="17680">
      <c r="F17680">
        <f>IF(DATOS!$A17680="","",DATOS!$A17680&amp;"|"&amp;DATOS!$D17680&amp;"|"&amp;DATOS!$E17680&amp;"|"&amp;DATOS!$I17680)</f>
      </c>
      <c r="G17680">
        <f>IF(DATOS!$A17680="",0,IF(CONFIG_METADATA!$B$4&lt;&gt;"OR+EX",--(DATOS!$G17680=CONFIG_METADATA!$B$4),IF(DATOS!$G17680="EX",1,IF(DATOS!$G17680="OR",--(COUNTIFS(nNIA,DATOS!$A17680,nCURSO,DATOS!$D17680,nESPEC,DATOS!$E17680,nASIG,DATOS!$I17680,nEVAL,"EX")=0),0))))</f>
      </c>
      <c r="H17680">
        <f>IF(DATOS!$G17680&lt;&gt;"EX",0,--(COUNTIFS(nNIA,DATOS!$A17680,nCURSO,DATOS!$D17680,nESPEC,DATOS!$E17680,nASIG,DATOS!$I17680,nEVAL,"OR")=0))</f>
      </c>
      <c r="I17680">
        <f>IF(DATOS!$I17680="","",IFERROR(VLOOKUP(DATOS!$I17680,CONFIG_ASIGNATURAS!$B$2:$J$91,9,FALSE()),""))</f>
      </c>
    </row>
    <row r="17681">
      <c r="F17681">
        <f>IF(DATOS!$A17681="","",DATOS!$A17681&amp;"|"&amp;DATOS!$D17681&amp;"|"&amp;DATOS!$E17681&amp;"|"&amp;DATOS!$I17681)</f>
      </c>
      <c r="G17681">
        <f>IF(DATOS!$A17681="",0,IF(CONFIG_METADATA!$B$4&lt;&gt;"OR+EX",--(DATOS!$G17681=CONFIG_METADATA!$B$4),IF(DATOS!$G17681="EX",1,IF(DATOS!$G17681="OR",--(COUNTIFS(nNIA,DATOS!$A17681,nCURSO,DATOS!$D17681,nESPEC,DATOS!$E17681,nASIG,DATOS!$I17681,nEVAL,"EX")=0),0))))</f>
      </c>
      <c r="H17681">
        <f>IF(DATOS!$G17681&lt;&gt;"EX",0,--(COUNTIFS(nNIA,DATOS!$A17681,nCURSO,DATOS!$D17681,nESPEC,DATOS!$E17681,nASIG,DATOS!$I17681,nEVAL,"OR")=0))</f>
      </c>
      <c r="I17681">
        <f>IF(DATOS!$I17681="","",IFERROR(VLOOKUP(DATOS!$I17681,CONFIG_ASIGNATURAS!$B$2:$J$91,9,FALSE()),""))</f>
      </c>
    </row>
    <row r="17682">
      <c r="F17682">
        <f>IF(DATOS!$A17682="","",DATOS!$A17682&amp;"|"&amp;DATOS!$D17682&amp;"|"&amp;DATOS!$E17682&amp;"|"&amp;DATOS!$I17682)</f>
      </c>
      <c r="G17682">
        <f>IF(DATOS!$A17682="",0,IF(CONFIG_METADATA!$B$4&lt;&gt;"OR+EX",--(DATOS!$G17682=CONFIG_METADATA!$B$4),IF(DATOS!$G17682="EX",1,IF(DATOS!$G17682="OR",--(COUNTIFS(nNIA,DATOS!$A17682,nCURSO,DATOS!$D17682,nESPEC,DATOS!$E17682,nASIG,DATOS!$I17682,nEVAL,"EX")=0),0))))</f>
      </c>
      <c r="H17682">
        <f>IF(DATOS!$G17682&lt;&gt;"EX",0,--(COUNTIFS(nNIA,DATOS!$A17682,nCURSO,DATOS!$D17682,nESPEC,DATOS!$E17682,nASIG,DATOS!$I17682,nEVAL,"OR")=0))</f>
      </c>
      <c r="I17682">
        <f>IF(DATOS!$I17682="","",IFERROR(VLOOKUP(DATOS!$I17682,CONFIG_ASIGNATURAS!$B$2:$J$91,9,FALSE()),""))</f>
      </c>
    </row>
    <row r="17683">
      <c r="F17683">
        <f>IF(DATOS!$A17683="","",DATOS!$A17683&amp;"|"&amp;DATOS!$D17683&amp;"|"&amp;DATOS!$E17683&amp;"|"&amp;DATOS!$I17683)</f>
      </c>
      <c r="G17683">
        <f>IF(DATOS!$A17683="",0,IF(CONFIG_METADATA!$B$4&lt;&gt;"OR+EX",--(DATOS!$G17683=CONFIG_METADATA!$B$4),IF(DATOS!$G17683="EX",1,IF(DATOS!$G17683="OR",--(COUNTIFS(nNIA,DATOS!$A17683,nCURSO,DATOS!$D17683,nESPEC,DATOS!$E17683,nASIG,DATOS!$I17683,nEVAL,"EX")=0),0))))</f>
      </c>
      <c r="H17683">
        <f>IF(DATOS!$G17683&lt;&gt;"EX",0,--(COUNTIFS(nNIA,DATOS!$A17683,nCURSO,DATOS!$D17683,nESPEC,DATOS!$E17683,nASIG,DATOS!$I17683,nEVAL,"OR")=0))</f>
      </c>
      <c r="I17683">
        <f>IF(DATOS!$I17683="","",IFERROR(VLOOKUP(DATOS!$I17683,CONFIG_ASIGNATURAS!$B$2:$J$91,9,FALSE()),""))</f>
      </c>
    </row>
    <row r="17684">
      <c r="F17684">
        <f>IF(DATOS!$A17684="","",DATOS!$A17684&amp;"|"&amp;DATOS!$D17684&amp;"|"&amp;DATOS!$E17684&amp;"|"&amp;DATOS!$I17684)</f>
      </c>
      <c r="G17684">
        <f>IF(DATOS!$A17684="",0,IF(CONFIG_METADATA!$B$4&lt;&gt;"OR+EX",--(DATOS!$G17684=CONFIG_METADATA!$B$4),IF(DATOS!$G17684="EX",1,IF(DATOS!$G17684="OR",--(COUNTIFS(nNIA,DATOS!$A17684,nCURSO,DATOS!$D17684,nESPEC,DATOS!$E17684,nASIG,DATOS!$I17684,nEVAL,"EX")=0),0))))</f>
      </c>
      <c r="H17684">
        <f>IF(DATOS!$G17684&lt;&gt;"EX",0,--(COUNTIFS(nNIA,DATOS!$A17684,nCURSO,DATOS!$D17684,nESPEC,DATOS!$E17684,nASIG,DATOS!$I17684,nEVAL,"OR")=0))</f>
      </c>
      <c r="I17684">
        <f>IF(DATOS!$I17684="","",IFERROR(VLOOKUP(DATOS!$I17684,CONFIG_ASIGNATURAS!$B$2:$J$91,9,FALSE()),""))</f>
      </c>
    </row>
    <row r="17685">
      <c r="F17685">
        <f>IF(DATOS!$A17685="","",DATOS!$A17685&amp;"|"&amp;DATOS!$D17685&amp;"|"&amp;DATOS!$E17685&amp;"|"&amp;DATOS!$I17685)</f>
      </c>
      <c r="G17685">
        <f>IF(DATOS!$A17685="",0,IF(CONFIG_METADATA!$B$4&lt;&gt;"OR+EX",--(DATOS!$G17685=CONFIG_METADATA!$B$4),IF(DATOS!$G17685="EX",1,IF(DATOS!$G17685="OR",--(COUNTIFS(nNIA,DATOS!$A17685,nCURSO,DATOS!$D17685,nESPEC,DATOS!$E17685,nASIG,DATOS!$I17685,nEVAL,"EX")=0),0))))</f>
      </c>
      <c r="H17685">
        <f>IF(DATOS!$G17685&lt;&gt;"EX",0,--(COUNTIFS(nNIA,DATOS!$A17685,nCURSO,DATOS!$D17685,nESPEC,DATOS!$E17685,nASIG,DATOS!$I17685,nEVAL,"OR")=0))</f>
      </c>
      <c r="I17685">
        <f>IF(DATOS!$I17685="","",IFERROR(VLOOKUP(DATOS!$I17685,CONFIG_ASIGNATURAS!$B$2:$J$91,9,FALSE()),""))</f>
      </c>
    </row>
    <row r="17686">
      <c r="F17686">
        <f>IF(DATOS!$A17686="","",DATOS!$A17686&amp;"|"&amp;DATOS!$D17686&amp;"|"&amp;DATOS!$E17686&amp;"|"&amp;DATOS!$I17686)</f>
      </c>
      <c r="G17686">
        <f>IF(DATOS!$A17686="",0,IF(CONFIG_METADATA!$B$4&lt;&gt;"OR+EX",--(DATOS!$G17686=CONFIG_METADATA!$B$4),IF(DATOS!$G17686="EX",1,IF(DATOS!$G17686="OR",--(COUNTIFS(nNIA,DATOS!$A17686,nCURSO,DATOS!$D17686,nESPEC,DATOS!$E17686,nASIG,DATOS!$I17686,nEVAL,"EX")=0),0))))</f>
      </c>
      <c r="H17686">
        <f>IF(DATOS!$G17686&lt;&gt;"EX",0,--(COUNTIFS(nNIA,DATOS!$A17686,nCURSO,DATOS!$D17686,nESPEC,DATOS!$E17686,nASIG,DATOS!$I17686,nEVAL,"OR")=0))</f>
      </c>
      <c r="I17686">
        <f>IF(DATOS!$I17686="","",IFERROR(VLOOKUP(DATOS!$I17686,CONFIG_ASIGNATURAS!$B$2:$J$91,9,FALSE()),""))</f>
      </c>
    </row>
    <row r="17687">
      <c r="F17687">
        <f>IF(DATOS!$A17687="","",DATOS!$A17687&amp;"|"&amp;DATOS!$D17687&amp;"|"&amp;DATOS!$E17687&amp;"|"&amp;DATOS!$I17687)</f>
      </c>
      <c r="G17687">
        <f>IF(DATOS!$A17687="",0,IF(CONFIG_METADATA!$B$4&lt;&gt;"OR+EX",--(DATOS!$G17687=CONFIG_METADATA!$B$4),IF(DATOS!$G17687="EX",1,IF(DATOS!$G17687="OR",--(COUNTIFS(nNIA,DATOS!$A17687,nCURSO,DATOS!$D17687,nESPEC,DATOS!$E17687,nASIG,DATOS!$I17687,nEVAL,"EX")=0),0))))</f>
      </c>
      <c r="H17687">
        <f>IF(DATOS!$G17687&lt;&gt;"EX",0,--(COUNTIFS(nNIA,DATOS!$A17687,nCURSO,DATOS!$D17687,nESPEC,DATOS!$E17687,nASIG,DATOS!$I17687,nEVAL,"OR")=0))</f>
      </c>
      <c r="I17687">
        <f>IF(DATOS!$I17687="","",IFERROR(VLOOKUP(DATOS!$I17687,CONFIG_ASIGNATURAS!$B$2:$J$91,9,FALSE()),""))</f>
      </c>
    </row>
    <row r="17688">
      <c r="F17688">
        <f>IF(DATOS!$A17688="","",DATOS!$A17688&amp;"|"&amp;DATOS!$D17688&amp;"|"&amp;DATOS!$E17688&amp;"|"&amp;DATOS!$I17688)</f>
      </c>
      <c r="G17688">
        <f>IF(DATOS!$A17688="",0,IF(CONFIG_METADATA!$B$4&lt;&gt;"OR+EX",--(DATOS!$G17688=CONFIG_METADATA!$B$4),IF(DATOS!$G17688="EX",1,IF(DATOS!$G17688="OR",--(COUNTIFS(nNIA,DATOS!$A17688,nCURSO,DATOS!$D17688,nESPEC,DATOS!$E17688,nASIG,DATOS!$I17688,nEVAL,"EX")=0),0))))</f>
      </c>
      <c r="H17688">
        <f>IF(DATOS!$G17688&lt;&gt;"EX",0,--(COUNTIFS(nNIA,DATOS!$A17688,nCURSO,DATOS!$D17688,nESPEC,DATOS!$E17688,nASIG,DATOS!$I17688,nEVAL,"OR")=0))</f>
      </c>
      <c r="I17688">
        <f>IF(DATOS!$I17688="","",IFERROR(VLOOKUP(DATOS!$I17688,CONFIG_ASIGNATURAS!$B$2:$J$91,9,FALSE()),""))</f>
      </c>
    </row>
    <row r="17689">
      <c r="F17689">
        <f>IF(DATOS!$A17689="","",DATOS!$A17689&amp;"|"&amp;DATOS!$D17689&amp;"|"&amp;DATOS!$E17689&amp;"|"&amp;DATOS!$I17689)</f>
      </c>
      <c r="G17689">
        <f>IF(DATOS!$A17689="",0,IF(CONFIG_METADATA!$B$4&lt;&gt;"OR+EX",--(DATOS!$G17689=CONFIG_METADATA!$B$4),IF(DATOS!$G17689="EX",1,IF(DATOS!$G17689="OR",--(COUNTIFS(nNIA,DATOS!$A17689,nCURSO,DATOS!$D17689,nESPEC,DATOS!$E17689,nASIG,DATOS!$I17689,nEVAL,"EX")=0),0))))</f>
      </c>
      <c r="H17689">
        <f>IF(DATOS!$G17689&lt;&gt;"EX",0,--(COUNTIFS(nNIA,DATOS!$A17689,nCURSO,DATOS!$D17689,nESPEC,DATOS!$E17689,nASIG,DATOS!$I17689,nEVAL,"OR")=0))</f>
      </c>
      <c r="I17689">
        <f>IF(DATOS!$I17689="","",IFERROR(VLOOKUP(DATOS!$I17689,CONFIG_ASIGNATURAS!$B$2:$J$91,9,FALSE()),""))</f>
      </c>
    </row>
    <row r="17690">
      <c r="F17690">
        <f>IF(DATOS!$A17690="","",DATOS!$A17690&amp;"|"&amp;DATOS!$D17690&amp;"|"&amp;DATOS!$E17690&amp;"|"&amp;DATOS!$I17690)</f>
      </c>
      <c r="G17690">
        <f>IF(DATOS!$A17690="",0,IF(CONFIG_METADATA!$B$4&lt;&gt;"OR+EX",--(DATOS!$G17690=CONFIG_METADATA!$B$4),IF(DATOS!$G17690="EX",1,IF(DATOS!$G17690="OR",--(COUNTIFS(nNIA,DATOS!$A17690,nCURSO,DATOS!$D17690,nESPEC,DATOS!$E17690,nASIG,DATOS!$I17690,nEVAL,"EX")=0),0))))</f>
      </c>
      <c r="H17690">
        <f>IF(DATOS!$G17690&lt;&gt;"EX",0,--(COUNTIFS(nNIA,DATOS!$A17690,nCURSO,DATOS!$D17690,nESPEC,DATOS!$E17690,nASIG,DATOS!$I17690,nEVAL,"OR")=0))</f>
      </c>
      <c r="I17690">
        <f>IF(DATOS!$I17690="","",IFERROR(VLOOKUP(DATOS!$I17690,CONFIG_ASIGNATURAS!$B$2:$J$91,9,FALSE()),""))</f>
      </c>
    </row>
    <row r="17691">
      <c r="F17691">
        <f>IF(DATOS!$A17691="","",DATOS!$A17691&amp;"|"&amp;DATOS!$D17691&amp;"|"&amp;DATOS!$E17691&amp;"|"&amp;DATOS!$I17691)</f>
      </c>
      <c r="G17691">
        <f>IF(DATOS!$A17691="",0,IF(CONFIG_METADATA!$B$4&lt;&gt;"OR+EX",--(DATOS!$G17691=CONFIG_METADATA!$B$4),IF(DATOS!$G17691="EX",1,IF(DATOS!$G17691="OR",--(COUNTIFS(nNIA,DATOS!$A17691,nCURSO,DATOS!$D17691,nESPEC,DATOS!$E17691,nASIG,DATOS!$I17691,nEVAL,"EX")=0),0))))</f>
      </c>
      <c r="H17691">
        <f>IF(DATOS!$G17691&lt;&gt;"EX",0,--(COUNTIFS(nNIA,DATOS!$A17691,nCURSO,DATOS!$D17691,nESPEC,DATOS!$E17691,nASIG,DATOS!$I17691,nEVAL,"OR")=0))</f>
      </c>
      <c r="I17691">
        <f>IF(DATOS!$I17691="","",IFERROR(VLOOKUP(DATOS!$I17691,CONFIG_ASIGNATURAS!$B$2:$J$91,9,FALSE()),""))</f>
      </c>
    </row>
    <row r="17692">
      <c r="F17692">
        <f>IF(DATOS!$A17692="","",DATOS!$A17692&amp;"|"&amp;DATOS!$D17692&amp;"|"&amp;DATOS!$E17692&amp;"|"&amp;DATOS!$I17692)</f>
      </c>
      <c r="G17692">
        <f>IF(DATOS!$A17692="",0,IF(CONFIG_METADATA!$B$4&lt;&gt;"OR+EX",--(DATOS!$G17692=CONFIG_METADATA!$B$4),IF(DATOS!$G17692="EX",1,IF(DATOS!$G17692="OR",--(COUNTIFS(nNIA,DATOS!$A17692,nCURSO,DATOS!$D17692,nESPEC,DATOS!$E17692,nASIG,DATOS!$I17692,nEVAL,"EX")=0),0))))</f>
      </c>
      <c r="H17692">
        <f>IF(DATOS!$G17692&lt;&gt;"EX",0,--(COUNTIFS(nNIA,DATOS!$A17692,nCURSO,DATOS!$D17692,nESPEC,DATOS!$E17692,nASIG,DATOS!$I17692,nEVAL,"OR")=0))</f>
      </c>
      <c r="I17692">
        <f>IF(DATOS!$I17692="","",IFERROR(VLOOKUP(DATOS!$I17692,CONFIG_ASIGNATURAS!$B$2:$J$91,9,FALSE()),""))</f>
      </c>
    </row>
    <row r="17693">
      <c r="F17693">
        <f>IF(DATOS!$A17693="","",DATOS!$A17693&amp;"|"&amp;DATOS!$D17693&amp;"|"&amp;DATOS!$E17693&amp;"|"&amp;DATOS!$I17693)</f>
      </c>
      <c r="G17693">
        <f>IF(DATOS!$A17693="",0,IF(CONFIG_METADATA!$B$4&lt;&gt;"OR+EX",--(DATOS!$G17693=CONFIG_METADATA!$B$4),IF(DATOS!$G17693="EX",1,IF(DATOS!$G17693="OR",--(COUNTIFS(nNIA,DATOS!$A17693,nCURSO,DATOS!$D17693,nESPEC,DATOS!$E17693,nASIG,DATOS!$I17693,nEVAL,"EX")=0),0))))</f>
      </c>
      <c r="H17693">
        <f>IF(DATOS!$G17693&lt;&gt;"EX",0,--(COUNTIFS(nNIA,DATOS!$A17693,nCURSO,DATOS!$D17693,nESPEC,DATOS!$E17693,nASIG,DATOS!$I17693,nEVAL,"OR")=0))</f>
      </c>
      <c r="I17693">
        <f>IF(DATOS!$I17693="","",IFERROR(VLOOKUP(DATOS!$I17693,CONFIG_ASIGNATURAS!$B$2:$J$91,9,FALSE()),""))</f>
      </c>
    </row>
    <row r="17694">
      <c r="F17694">
        <f>IF(DATOS!$A17694="","",DATOS!$A17694&amp;"|"&amp;DATOS!$D17694&amp;"|"&amp;DATOS!$E17694&amp;"|"&amp;DATOS!$I17694)</f>
      </c>
      <c r="G17694">
        <f>IF(DATOS!$A17694="",0,IF(CONFIG_METADATA!$B$4&lt;&gt;"OR+EX",--(DATOS!$G17694=CONFIG_METADATA!$B$4),IF(DATOS!$G17694="EX",1,IF(DATOS!$G17694="OR",--(COUNTIFS(nNIA,DATOS!$A17694,nCURSO,DATOS!$D17694,nESPEC,DATOS!$E17694,nASIG,DATOS!$I17694,nEVAL,"EX")=0),0))))</f>
      </c>
      <c r="H17694">
        <f>IF(DATOS!$G17694&lt;&gt;"EX",0,--(COUNTIFS(nNIA,DATOS!$A17694,nCURSO,DATOS!$D17694,nESPEC,DATOS!$E17694,nASIG,DATOS!$I17694,nEVAL,"OR")=0))</f>
      </c>
      <c r="I17694">
        <f>IF(DATOS!$I17694="","",IFERROR(VLOOKUP(DATOS!$I17694,CONFIG_ASIGNATURAS!$B$2:$J$91,9,FALSE()),""))</f>
      </c>
    </row>
    <row r="17695">
      <c r="F17695">
        <f>IF(DATOS!$A17695="","",DATOS!$A17695&amp;"|"&amp;DATOS!$D17695&amp;"|"&amp;DATOS!$E17695&amp;"|"&amp;DATOS!$I17695)</f>
      </c>
      <c r="G17695">
        <f>IF(DATOS!$A17695="",0,IF(CONFIG_METADATA!$B$4&lt;&gt;"OR+EX",--(DATOS!$G17695=CONFIG_METADATA!$B$4),IF(DATOS!$G17695="EX",1,IF(DATOS!$G17695="OR",--(COUNTIFS(nNIA,DATOS!$A17695,nCURSO,DATOS!$D17695,nESPEC,DATOS!$E17695,nASIG,DATOS!$I17695,nEVAL,"EX")=0),0))))</f>
      </c>
      <c r="H17695">
        <f>IF(DATOS!$G17695&lt;&gt;"EX",0,--(COUNTIFS(nNIA,DATOS!$A17695,nCURSO,DATOS!$D17695,nESPEC,DATOS!$E17695,nASIG,DATOS!$I17695,nEVAL,"OR")=0))</f>
      </c>
      <c r="I17695">
        <f>IF(DATOS!$I17695="","",IFERROR(VLOOKUP(DATOS!$I17695,CONFIG_ASIGNATURAS!$B$2:$J$91,9,FALSE()),""))</f>
      </c>
    </row>
    <row r="17696">
      <c r="F17696">
        <f>IF(DATOS!$A17696="","",DATOS!$A17696&amp;"|"&amp;DATOS!$D17696&amp;"|"&amp;DATOS!$E17696&amp;"|"&amp;DATOS!$I17696)</f>
      </c>
      <c r="G17696">
        <f>IF(DATOS!$A17696="",0,IF(CONFIG_METADATA!$B$4&lt;&gt;"OR+EX",--(DATOS!$G17696=CONFIG_METADATA!$B$4),IF(DATOS!$G17696="EX",1,IF(DATOS!$G17696="OR",--(COUNTIFS(nNIA,DATOS!$A17696,nCURSO,DATOS!$D17696,nESPEC,DATOS!$E17696,nASIG,DATOS!$I17696,nEVAL,"EX")=0),0))))</f>
      </c>
      <c r="H17696">
        <f>IF(DATOS!$G17696&lt;&gt;"EX",0,--(COUNTIFS(nNIA,DATOS!$A17696,nCURSO,DATOS!$D17696,nESPEC,DATOS!$E17696,nASIG,DATOS!$I17696,nEVAL,"OR")=0))</f>
      </c>
      <c r="I17696">
        <f>IF(DATOS!$I17696="","",IFERROR(VLOOKUP(DATOS!$I17696,CONFIG_ASIGNATURAS!$B$2:$J$91,9,FALSE()),""))</f>
      </c>
    </row>
    <row r="17697">
      <c r="F17697">
        <f>IF(DATOS!$A17697="","",DATOS!$A17697&amp;"|"&amp;DATOS!$D17697&amp;"|"&amp;DATOS!$E17697&amp;"|"&amp;DATOS!$I17697)</f>
      </c>
      <c r="G17697">
        <f>IF(DATOS!$A17697="",0,IF(CONFIG_METADATA!$B$4&lt;&gt;"OR+EX",--(DATOS!$G17697=CONFIG_METADATA!$B$4),IF(DATOS!$G17697="EX",1,IF(DATOS!$G17697="OR",--(COUNTIFS(nNIA,DATOS!$A17697,nCURSO,DATOS!$D17697,nESPEC,DATOS!$E17697,nASIG,DATOS!$I17697,nEVAL,"EX")=0),0))))</f>
      </c>
      <c r="H17697">
        <f>IF(DATOS!$G17697&lt;&gt;"EX",0,--(COUNTIFS(nNIA,DATOS!$A17697,nCURSO,DATOS!$D17697,nESPEC,DATOS!$E17697,nASIG,DATOS!$I17697,nEVAL,"OR")=0))</f>
      </c>
      <c r="I17697">
        <f>IF(DATOS!$I17697="","",IFERROR(VLOOKUP(DATOS!$I17697,CONFIG_ASIGNATURAS!$B$2:$J$91,9,FALSE()),""))</f>
      </c>
    </row>
    <row r="17698">
      <c r="F17698">
        <f>IF(DATOS!$A17698="","",DATOS!$A17698&amp;"|"&amp;DATOS!$D17698&amp;"|"&amp;DATOS!$E17698&amp;"|"&amp;DATOS!$I17698)</f>
      </c>
      <c r="G17698">
        <f>IF(DATOS!$A17698="",0,IF(CONFIG_METADATA!$B$4&lt;&gt;"OR+EX",--(DATOS!$G17698=CONFIG_METADATA!$B$4),IF(DATOS!$G17698="EX",1,IF(DATOS!$G17698="OR",--(COUNTIFS(nNIA,DATOS!$A17698,nCURSO,DATOS!$D17698,nESPEC,DATOS!$E17698,nASIG,DATOS!$I17698,nEVAL,"EX")=0),0))))</f>
      </c>
      <c r="H17698">
        <f>IF(DATOS!$G17698&lt;&gt;"EX",0,--(COUNTIFS(nNIA,DATOS!$A17698,nCURSO,DATOS!$D17698,nESPEC,DATOS!$E17698,nASIG,DATOS!$I17698,nEVAL,"OR")=0))</f>
      </c>
      <c r="I17698">
        <f>IF(DATOS!$I17698="","",IFERROR(VLOOKUP(DATOS!$I17698,CONFIG_ASIGNATURAS!$B$2:$J$91,9,FALSE()),""))</f>
      </c>
    </row>
    <row r="17699">
      <c r="F17699">
        <f>IF(DATOS!$A17699="","",DATOS!$A17699&amp;"|"&amp;DATOS!$D17699&amp;"|"&amp;DATOS!$E17699&amp;"|"&amp;DATOS!$I17699)</f>
      </c>
      <c r="G17699">
        <f>IF(DATOS!$A17699="",0,IF(CONFIG_METADATA!$B$4&lt;&gt;"OR+EX",--(DATOS!$G17699=CONFIG_METADATA!$B$4),IF(DATOS!$G17699="EX",1,IF(DATOS!$G17699="OR",--(COUNTIFS(nNIA,DATOS!$A17699,nCURSO,DATOS!$D17699,nESPEC,DATOS!$E17699,nASIG,DATOS!$I17699,nEVAL,"EX")=0),0))))</f>
      </c>
      <c r="H17699">
        <f>IF(DATOS!$G17699&lt;&gt;"EX",0,--(COUNTIFS(nNIA,DATOS!$A17699,nCURSO,DATOS!$D17699,nESPEC,DATOS!$E17699,nASIG,DATOS!$I17699,nEVAL,"OR")=0))</f>
      </c>
      <c r="I17699">
        <f>IF(DATOS!$I17699="","",IFERROR(VLOOKUP(DATOS!$I17699,CONFIG_ASIGNATURAS!$B$2:$J$91,9,FALSE()),""))</f>
      </c>
    </row>
    <row r="17700">
      <c r="F17700">
        <f>IF(DATOS!$A17700="","",DATOS!$A17700&amp;"|"&amp;DATOS!$D17700&amp;"|"&amp;DATOS!$E17700&amp;"|"&amp;DATOS!$I17700)</f>
      </c>
      <c r="G17700">
        <f>IF(DATOS!$A17700="",0,IF(CONFIG_METADATA!$B$4&lt;&gt;"OR+EX",--(DATOS!$G17700=CONFIG_METADATA!$B$4),IF(DATOS!$G17700="EX",1,IF(DATOS!$G17700="OR",--(COUNTIFS(nNIA,DATOS!$A17700,nCURSO,DATOS!$D17700,nESPEC,DATOS!$E17700,nASIG,DATOS!$I17700,nEVAL,"EX")=0),0))))</f>
      </c>
      <c r="H17700">
        <f>IF(DATOS!$G17700&lt;&gt;"EX",0,--(COUNTIFS(nNIA,DATOS!$A17700,nCURSO,DATOS!$D17700,nESPEC,DATOS!$E17700,nASIG,DATOS!$I17700,nEVAL,"OR")=0))</f>
      </c>
      <c r="I17700">
        <f>IF(DATOS!$I17700="","",IFERROR(VLOOKUP(DATOS!$I17700,CONFIG_ASIGNATURAS!$B$2:$J$91,9,FALSE()),""))</f>
      </c>
    </row>
    <row r="17701">
      <c r="F17701">
        <f>IF(DATOS!$A17701="","",DATOS!$A17701&amp;"|"&amp;DATOS!$D17701&amp;"|"&amp;DATOS!$E17701&amp;"|"&amp;DATOS!$I17701)</f>
      </c>
      <c r="G17701">
        <f>IF(DATOS!$A17701="",0,IF(CONFIG_METADATA!$B$4&lt;&gt;"OR+EX",--(DATOS!$G17701=CONFIG_METADATA!$B$4),IF(DATOS!$G17701="EX",1,IF(DATOS!$G17701="OR",--(COUNTIFS(nNIA,DATOS!$A17701,nCURSO,DATOS!$D17701,nESPEC,DATOS!$E17701,nASIG,DATOS!$I17701,nEVAL,"EX")=0),0))))</f>
      </c>
      <c r="H17701">
        <f>IF(DATOS!$G17701&lt;&gt;"EX",0,--(COUNTIFS(nNIA,DATOS!$A17701,nCURSO,DATOS!$D17701,nESPEC,DATOS!$E17701,nASIG,DATOS!$I17701,nEVAL,"OR")=0))</f>
      </c>
      <c r="I17701">
        <f>IF(DATOS!$I17701="","",IFERROR(VLOOKUP(DATOS!$I17701,CONFIG_ASIGNATURAS!$B$2:$J$91,9,FALSE()),""))</f>
      </c>
    </row>
    <row r="17702">
      <c r="F17702">
        <f>IF(DATOS!$A17702="","",DATOS!$A17702&amp;"|"&amp;DATOS!$D17702&amp;"|"&amp;DATOS!$E17702&amp;"|"&amp;DATOS!$I17702)</f>
      </c>
      <c r="G17702">
        <f>IF(DATOS!$A17702="",0,IF(CONFIG_METADATA!$B$4&lt;&gt;"OR+EX",--(DATOS!$G17702=CONFIG_METADATA!$B$4),IF(DATOS!$G17702="EX",1,IF(DATOS!$G17702="OR",--(COUNTIFS(nNIA,DATOS!$A17702,nCURSO,DATOS!$D17702,nESPEC,DATOS!$E17702,nASIG,DATOS!$I17702,nEVAL,"EX")=0),0))))</f>
      </c>
      <c r="H17702">
        <f>IF(DATOS!$G17702&lt;&gt;"EX",0,--(COUNTIFS(nNIA,DATOS!$A17702,nCURSO,DATOS!$D17702,nESPEC,DATOS!$E17702,nASIG,DATOS!$I17702,nEVAL,"OR")=0))</f>
      </c>
      <c r="I17702">
        <f>IF(DATOS!$I17702="","",IFERROR(VLOOKUP(DATOS!$I17702,CONFIG_ASIGNATURAS!$B$2:$J$91,9,FALSE()),""))</f>
      </c>
    </row>
    <row r="17703">
      <c r="F17703">
        <f>IF(DATOS!$A17703="","",DATOS!$A17703&amp;"|"&amp;DATOS!$D17703&amp;"|"&amp;DATOS!$E17703&amp;"|"&amp;DATOS!$I17703)</f>
      </c>
      <c r="G17703">
        <f>IF(DATOS!$A17703="",0,IF(CONFIG_METADATA!$B$4&lt;&gt;"OR+EX",--(DATOS!$G17703=CONFIG_METADATA!$B$4),IF(DATOS!$G17703="EX",1,IF(DATOS!$G17703="OR",--(COUNTIFS(nNIA,DATOS!$A17703,nCURSO,DATOS!$D17703,nESPEC,DATOS!$E17703,nASIG,DATOS!$I17703,nEVAL,"EX")=0),0))))</f>
      </c>
      <c r="H17703">
        <f>IF(DATOS!$G17703&lt;&gt;"EX",0,--(COUNTIFS(nNIA,DATOS!$A17703,nCURSO,DATOS!$D17703,nESPEC,DATOS!$E17703,nASIG,DATOS!$I17703,nEVAL,"OR")=0))</f>
      </c>
      <c r="I17703">
        <f>IF(DATOS!$I17703="","",IFERROR(VLOOKUP(DATOS!$I17703,CONFIG_ASIGNATURAS!$B$2:$J$91,9,FALSE()),""))</f>
      </c>
    </row>
    <row r="17704">
      <c r="F17704">
        <f>IF(DATOS!$A17704="","",DATOS!$A17704&amp;"|"&amp;DATOS!$D17704&amp;"|"&amp;DATOS!$E17704&amp;"|"&amp;DATOS!$I17704)</f>
      </c>
      <c r="G17704">
        <f>IF(DATOS!$A17704="",0,IF(CONFIG_METADATA!$B$4&lt;&gt;"OR+EX",--(DATOS!$G17704=CONFIG_METADATA!$B$4),IF(DATOS!$G17704="EX",1,IF(DATOS!$G17704="OR",--(COUNTIFS(nNIA,DATOS!$A17704,nCURSO,DATOS!$D17704,nESPEC,DATOS!$E17704,nASIG,DATOS!$I17704,nEVAL,"EX")=0),0))))</f>
      </c>
      <c r="H17704">
        <f>IF(DATOS!$G17704&lt;&gt;"EX",0,--(COUNTIFS(nNIA,DATOS!$A17704,nCURSO,DATOS!$D17704,nESPEC,DATOS!$E17704,nASIG,DATOS!$I17704,nEVAL,"OR")=0))</f>
      </c>
      <c r="I17704">
        <f>IF(DATOS!$I17704="","",IFERROR(VLOOKUP(DATOS!$I17704,CONFIG_ASIGNATURAS!$B$2:$J$91,9,FALSE()),""))</f>
      </c>
    </row>
    <row r="17705">
      <c r="F17705">
        <f>IF(DATOS!$A17705="","",DATOS!$A17705&amp;"|"&amp;DATOS!$D17705&amp;"|"&amp;DATOS!$E17705&amp;"|"&amp;DATOS!$I17705)</f>
      </c>
      <c r="G17705">
        <f>IF(DATOS!$A17705="",0,IF(CONFIG_METADATA!$B$4&lt;&gt;"OR+EX",--(DATOS!$G17705=CONFIG_METADATA!$B$4),IF(DATOS!$G17705="EX",1,IF(DATOS!$G17705="OR",--(COUNTIFS(nNIA,DATOS!$A17705,nCURSO,DATOS!$D17705,nESPEC,DATOS!$E17705,nASIG,DATOS!$I17705,nEVAL,"EX")=0),0))))</f>
      </c>
      <c r="H17705">
        <f>IF(DATOS!$G17705&lt;&gt;"EX",0,--(COUNTIFS(nNIA,DATOS!$A17705,nCURSO,DATOS!$D17705,nESPEC,DATOS!$E17705,nASIG,DATOS!$I17705,nEVAL,"OR")=0))</f>
      </c>
      <c r="I17705">
        <f>IF(DATOS!$I17705="","",IFERROR(VLOOKUP(DATOS!$I17705,CONFIG_ASIGNATURAS!$B$2:$J$91,9,FALSE()),""))</f>
      </c>
    </row>
    <row r="17706">
      <c r="F17706">
        <f>IF(DATOS!$A17706="","",DATOS!$A17706&amp;"|"&amp;DATOS!$D17706&amp;"|"&amp;DATOS!$E17706&amp;"|"&amp;DATOS!$I17706)</f>
      </c>
      <c r="G17706">
        <f>IF(DATOS!$A17706="",0,IF(CONFIG_METADATA!$B$4&lt;&gt;"OR+EX",--(DATOS!$G17706=CONFIG_METADATA!$B$4),IF(DATOS!$G17706="EX",1,IF(DATOS!$G17706="OR",--(COUNTIFS(nNIA,DATOS!$A17706,nCURSO,DATOS!$D17706,nESPEC,DATOS!$E17706,nASIG,DATOS!$I17706,nEVAL,"EX")=0),0))))</f>
      </c>
      <c r="H17706">
        <f>IF(DATOS!$G17706&lt;&gt;"EX",0,--(COUNTIFS(nNIA,DATOS!$A17706,nCURSO,DATOS!$D17706,nESPEC,DATOS!$E17706,nASIG,DATOS!$I17706,nEVAL,"OR")=0))</f>
      </c>
      <c r="I17706">
        <f>IF(DATOS!$I17706="","",IFERROR(VLOOKUP(DATOS!$I17706,CONFIG_ASIGNATURAS!$B$2:$J$91,9,FALSE()),""))</f>
      </c>
    </row>
    <row r="17707">
      <c r="F17707">
        <f>IF(DATOS!$A17707="","",DATOS!$A17707&amp;"|"&amp;DATOS!$D17707&amp;"|"&amp;DATOS!$E17707&amp;"|"&amp;DATOS!$I17707)</f>
      </c>
      <c r="G17707">
        <f>IF(DATOS!$A17707="",0,IF(CONFIG_METADATA!$B$4&lt;&gt;"OR+EX",--(DATOS!$G17707=CONFIG_METADATA!$B$4),IF(DATOS!$G17707="EX",1,IF(DATOS!$G17707="OR",--(COUNTIFS(nNIA,DATOS!$A17707,nCURSO,DATOS!$D17707,nESPEC,DATOS!$E17707,nASIG,DATOS!$I17707,nEVAL,"EX")=0),0))))</f>
      </c>
      <c r="H17707">
        <f>IF(DATOS!$G17707&lt;&gt;"EX",0,--(COUNTIFS(nNIA,DATOS!$A17707,nCURSO,DATOS!$D17707,nESPEC,DATOS!$E17707,nASIG,DATOS!$I17707,nEVAL,"OR")=0))</f>
      </c>
      <c r="I17707">
        <f>IF(DATOS!$I17707="","",IFERROR(VLOOKUP(DATOS!$I17707,CONFIG_ASIGNATURAS!$B$2:$J$91,9,FALSE()),""))</f>
      </c>
    </row>
    <row r="17708">
      <c r="F17708">
        <f>IF(DATOS!$A17708="","",DATOS!$A17708&amp;"|"&amp;DATOS!$D17708&amp;"|"&amp;DATOS!$E17708&amp;"|"&amp;DATOS!$I17708)</f>
      </c>
      <c r="G17708">
        <f>IF(DATOS!$A17708="",0,IF(CONFIG_METADATA!$B$4&lt;&gt;"OR+EX",--(DATOS!$G17708=CONFIG_METADATA!$B$4),IF(DATOS!$G17708="EX",1,IF(DATOS!$G17708="OR",--(COUNTIFS(nNIA,DATOS!$A17708,nCURSO,DATOS!$D17708,nESPEC,DATOS!$E17708,nASIG,DATOS!$I17708,nEVAL,"EX")=0),0))))</f>
      </c>
      <c r="H17708">
        <f>IF(DATOS!$G17708&lt;&gt;"EX",0,--(COUNTIFS(nNIA,DATOS!$A17708,nCURSO,DATOS!$D17708,nESPEC,DATOS!$E17708,nASIG,DATOS!$I17708,nEVAL,"OR")=0))</f>
      </c>
      <c r="I17708">
        <f>IF(DATOS!$I17708="","",IFERROR(VLOOKUP(DATOS!$I17708,CONFIG_ASIGNATURAS!$B$2:$J$91,9,FALSE()),""))</f>
      </c>
    </row>
    <row r="17709">
      <c r="F17709">
        <f>IF(DATOS!$A17709="","",DATOS!$A17709&amp;"|"&amp;DATOS!$D17709&amp;"|"&amp;DATOS!$E17709&amp;"|"&amp;DATOS!$I17709)</f>
      </c>
      <c r="G17709">
        <f>IF(DATOS!$A17709="",0,IF(CONFIG_METADATA!$B$4&lt;&gt;"OR+EX",--(DATOS!$G17709=CONFIG_METADATA!$B$4),IF(DATOS!$G17709="EX",1,IF(DATOS!$G17709="OR",--(COUNTIFS(nNIA,DATOS!$A17709,nCURSO,DATOS!$D17709,nESPEC,DATOS!$E17709,nASIG,DATOS!$I17709,nEVAL,"EX")=0),0))))</f>
      </c>
      <c r="H17709">
        <f>IF(DATOS!$G17709&lt;&gt;"EX",0,--(COUNTIFS(nNIA,DATOS!$A17709,nCURSO,DATOS!$D17709,nESPEC,DATOS!$E17709,nASIG,DATOS!$I17709,nEVAL,"OR")=0))</f>
      </c>
      <c r="I17709">
        <f>IF(DATOS!$I17709="","",IFERROR(VLOOKUP(DATOS!$I17709,CONFIG_ASIGNATURAS!$B$2:$J$91,9,FALSE()),""))</f>
      </c>
    </row>
    <row r="17710">
      <c r="F17710">
        <f>IF(DATOS!$A17710="","",DATOS!$A17710&amp;"|"&amp;DATOS!$D17710&amp;"|"&amp;DATOS!$E17710&amp;"|"&amp;DATOS!$I17710)</f>
      </c>
      <c r="G17710">
        <f>IF(DATOS!$A17710="",0,IF(CONFIG_METADATA!$B$4&lt;&gt;"OR+EX",--(DATOS!$G17710=CONFIG_METADATA!$B$4),IF(DATOS!$G17710="EX",1,IF(DATOS!$G17710="OR",--(COUNTIFS(nNIA,DATOS!$A17710,nCURSO,DATOS!$D17710,nESPEC,DATOS!$E17710,nASIG,DATOS!$I17710,nEVAL,"EX")=0),0))))</f>
      </c>
      <c r="H17710">
        <f>IF(DATOS!$G17710&lt;&gt;"EX",0,--(COUNTIFS(nNIA,DATOS!$A17710,nCURSO,DATOS!$D17710,nESPEC,DATOS!$E17710,nASIG,DATOS!$I17710,nEVAL,"OR")=0))</f>
      </c>
      <c r="I17710">
        <f>IF(DATOS!$I17710="","",IFERROR(VLOOKUP(DATOS!$I17710,CONFIG_ASIGNATURAS!$B$2:$J$91,9,FALSE()),""))</f>
      </c>
    </row>
    <row r="17711">
      <c r="F17711">
        <f>IF(DATOS!$A17711="","",DATOS!$A17711&amp;"|"&amp;DATOS!$D17711&amp;"|"&amp;DATOS!$E17711&amp;"|"&amp;DATOS!$I17711)</f>
      </c>
      <c r="G17711">
        <f>IF(DATOS!$A17711="",0,IF(CONFIG_METADATA!$B$4&lt;&gt;"OR+EX",--(DATOS!$G17711=CONFIG_METADATA!$B$4),IF(DATOS!$G17711="EX",1,IF(DATOS!$G17711="OR",--(COUNTIFS(nNIA,DATOS!$A17711,nCURSO,DATOS!$D17711,nESPEC,DATOS!$E17711,nASIG,DATOS!$I17711,nEVAL,"EX")=0),0))))</f>
      </c>
      <c r="H17711">
        <f>IF(DATOS!$G17711&lt;&gt;"EX",0,--(COUNTIFS(nNIA,DATOS!$A17711,nCURSO,DATOS!$D17711,nESPEC,DATOS!$E17711,nASIG,DATOS!$I17711,nEVAL,"OR")=0))</f>
      </c>
      <c r="I17711">
        <f>IF(DATOS!$I17711="","",IFERROR(VLOOKUP(DATOS!$I17711,CONFIG_ASIGNATURAS!$B$2:$J$91,9,FALSE()),""))</f>
      </c>
    </row>
    <row r="17712">
      <c r="F17712">
        <f>IF(DATOS!$A17712="","",DATOS!$A17712&amp;"|"&amp;DATOS!$D17712&amp;"|"&amp;DATOS!$E17712&amp;"|"&amp;DATOS!$I17712)</f>
      </c>
      <c r="G17712">
        <f>IF(DATOS!$A17712="",0,IF(CONFIG_METADATA!$B$4&lt;&gt;"OR+EX",--(DATOS!$G17712=CONFIG_METADATA!$B$4),IF(DATOS!$G17712="EX",1,IF(DATOS!$G17712="OR",--(COUNTIFS(nNIA,DATOS!$A17712,nCURSO,DATOS!$D17712,nESPEC,DATOS!$E17712,nASIG,DATOS!$I17712,nEVAL,"EX")=0),0))))</f>
      </c>
      <c r="H17712">
        <f>IF(DATOS!$G17712&lt;&gt;"EX",0,--(COUNTIFS(nNIA,DATOS!$A17712,nCURSO,DATOS!$D17712,nESPEC,DATOS!$E17712,nASIG,DATOS!$I17712,nEVAL,"OR")=0))</f>
      </c>
      <c r="I17712">
        <f>IF(DATOS!$I17712="","",IFERROR(VLOOKUP(DATOS!$I17712,CONFIG_ASIGNATURAS!$B$2:$J$91,9,FALSE()),""))</f>
      </c>
    </row>
    <row r="17713">
      <c r="F17713">
        <f>IF(DATOS!$A17713="","",DATOS!$A17713&amp;"|"&amp;DATOS!$D17713&amp;"|"&amp;DATOS!$E17713&amp;"|"&amp;DATOS!$I17713)</f>
      </c>
      <c r="G17713">
        <f>IF(DATOS!$A17713="",0,IF(CONFIG_METADATA!$B$4&lt;&gt;"OR+EX",--(DATOS!$G17713=CONFIG_METADATA!$B$4),IF(DATOS!$G17713="EX",1,IF(DATOS!$G17713="OR",--(COUNTIFS(nNIA,DATOS!$A17713,nCURSO,DATOS!$D17713,nESPEC,DATOS!$E17713,nASIG,DATOS!$I17713,nEVAL,"EX")=0),0))))</f>
      </c>
      <c r="H17713">
        <f>IF(DATOS!$G17713&lt;&gt;"EX",0,--(COUNTIFS(nNIA,DATOS!$A17713,nCURSO,DATOS!$D17713,nESPEC,DATOS!$E17713,nASIG,DATOS!$I17713,nEVAL,"OR")=0))</f>
      </c>
      <c r="I17713">
        <f>IF(DATOS!$I17713="","",IFERROR(VLOOKUP(DATOS!$I17713,CONFIG_ASIGNATURAS!$B$2:$J$91,9,FALSE()),""))</f>
      </c>
    </row>
    <row r="17714">
      <c r="F17714">
        <f>IF(DATOS!$A17714="","",DATOS!$A17714&amp;"|"&amp;DATOS!$D17714&amp;"|"&amp;DATOS!$E17714&amp;"|"&amp;DATOS!$I17714)</f>
      </c>
      <c r="G17714">
        <f>IF(DATOS!$A17714="",0,IF(CONFIG_METADATA!$B$4&lt;&gt;"OR+EX",--(DATOS!$G17714=CONFIG_METADATA!$B$4),IF(DATOS!$G17714="EX",1,IF(DATOS!$G17714="OR",--(COUNTIFS(nNIA,DATOS!$A17714,nCURSO,DATOS!$D17714,nESPEC,DATOS!$E17714,nASIG,DATOS!$I17714,nEVAL,"EX")=0),0))))</f>
      </c>
      <c r="H17714">
        <f>IF(DATOS!$G17714&lt;&gt;"EX",0,--(COUNTIFS(nNIA,DATOS!$A17714,nCURSO,DATOS!$D17714,nESPEC,DATOS!$E17714,nASIG,DATOS!$I17714,nEVAL,"OR")=0))</f>
      </c>
      <c r="I17714">
        <f>IF(DATOS!$I17714="","",IFERROR(VLOOKUP(DATOS!$I17714,CONFIG_ASIGNATURAS!$B$2:$J$91,9,FALSE()),""))</f>
      </c>
    </row>
    <row r="17715">
      <c r="F17715">
        <f>IF(DATOS!$A17715="","",DATOS!$A17715&amp;"|"&amp;DATOS!$D17715&amp;"|"&amp;DATOS!$E17715&amp;"|"&amp;DATOS!$I17715)</f>
      </c>
      <c r="G17715">
        <f>IF(DATOS!$A17715="",0,IF(CONFIG_METADATA!$B$4&lt;&gt;"OR+EX",--(DATOS!$G17715=CONFIG_METADATA!$B$4),IF(DATOS!$G17715="EX",1,IF(DATOS!$G17715="OR",--(COUNTIFS(nNIA,DATOS!$A17715,nCURSO,DATOS!$D17715,nESPEC,DATOS!$E17715,nASIG,DATOS!$I17715,nEVAL,"EX")=0),0))))</f>
      </c>
      <c r="H17715">
        <f>IF(DATOS!$G17715&lt;&gt;"EX",0,--(COUNTIFS(nNIA,DATOS!$A17715,nCURSO,DATOS!$D17715,nESPEC,DATOS!$E17715,nASIG,DATOS!$I17715,nEVAL,"OR")=0))</f>
      </c>
      <c r="I17715">
        <f>IF(DATOS!$I17715="","",IFERROR(VLOOKUP(DATOS!$I17715,CONFIG_ASIGNATURAS!$B$2:$J$91,9,FALSE()),""))</f>
      </c>
    </row>
    <row r="17716">
      <c r="F17716">
        <f>IF(DATOS!$A17716="","",DATOS!$A17716&amp;"|"&amp;DATOS!$D17716&amp;"|"&amp;DATOS!$E17716&amp;"|"&amp;DATOS!$I17716)</f>
      </c>
      <c r="G17716">
        <f>IF(DATOS!$A17716="",0,IF(CONFIG_METADATA!$B$4&lt;&gt;"OR+EX",--(DATOS!$G17716=CONFIG_METADATA!$B$4),IF(DATOS!$G17716="EX",1,IF(DATOS!$G17716="OR",--(COUNTIFS(nNIA,DATOS!$A17716,nCURSO,DATOS!$D17716,nESPEC,DATOS!$E17716,nASIG,DATOS!$I17716,nEVAL,"EX")=0),0))))</f>
      </c>
      <c r="H17716">
        <f>IF(DATOS!$G17716&lt;&gt;"EX",0,--(COUNTIFS(nNIA,DATOS!$A17716,nCURSO,DATOS!$D17716,nESPEC,DATOS!$E17716,nASIG,DATOS!$I17716,nEVAL,"OR")=0))</f>
      </c>
      <c r="I17716">
        <f>IF(DATOS!$I17716="","",IFERROR(VLOOKUP(DATOS!$I17716,CONFIG_ASIGNATURAS!$B$2:$J$91,9,FALSE()),""))</f>
      </c>
    </row>
    <row r="17717">
      <c r="F17717">
        <f>IF(DATOS!$A17717="","",DATOS!$A17717&amp;"|"&amp;DATOS!$D17717&amp;"|"&amp;DATOS!$E17717&amp;"|"&amp;DATOS!$I17717)</f>
      </c>
      <c r="G17717">
        <f>IF(DATOS!$A17717="",0,IF(CONFIG_METADATA!$B$4&lt;&gt;"OR+EX",--(DATOS!$G17717=CONFIG_METADATA!$B$4),IF(DATOS!$G17717="EX",1,IF(DATOS!$G17717="OR",--(COUNTIFS(nNIA,DATOS!$A17717,nCURSO,DATOS!$D17717,nESPEC,DATOS!$E17717,nASIG,DATOS!$I17717,nEVAL,"EX")=0),0))))</f>
      </c>
      <c r="H17717">
        <f>IF(DATOS!$G17717&lt;&gt;"EX",0,--(COUNTIFS(nNIA,DATOS!$A17717,nCURSO,DATOS!$D17717,nESPEC,DATOS!$E17717,nASIG,DATOS!$I17717,nEVAL,"OR")=0))</f>
      </c>
      <c r="I17717">
        <f>IF(DATOS!$I17717="","",IFERROR(VLOOKUP(DATOS!$I17717,CONFIG_ASIGNATURAS!$B$2:$J$91,9,FALSE()),""))</f>
      </c>
    </row>
    <row r="17718">
      <c r="F17718">
        <f>IF(DATOS!$A17718="","",DATOS!$A17718&amp;"|"&amp;DATOS!$D17718&amp;"|"&amp;DATOS!$E17718&amp;"|"&amp;DATOS!$I17718)</f>
      </c>
      <c r="G17718">
        <f>IF(DATOS!$A17718="",0,IF(CONFIG_METADATA!$B$4&lt;&gt;"OR+EX",--(DATOS!$G17718=CONFIG_METADATA!$B$4),IF(DATOS!$G17718="EX",1,IF(DATOS!$G17718="OR",--(COUNTIFS(nNIA,DATOS!$A17718,nCURSO,DATOS!$D17718,nESPEC,DATOS!$E17718,nASIG,DATOS!$I17718,nEVAL,"EX")=0),0))))</f>
      </c>
      <c r="H17718">
        <f>IF(DATOS!$G17718&lt;&gt;"EX",0,--(COUNTIFS(nNIA,DATOS!$A17718,nCURSO,DATOS!$D17718,nESPEC,DATOS!$E17718,nASIG,DATOS!$I17718,nEVAL,"OR")=0))</f>
      </c>
      <c r="I17718">
        <f>IF(DATOS!$I17718="","",IFERROR(VLOOKUP(DATOS!$I17718,CONFIG_ASIGNATURAS!$B$2:$J$91,9,FALSE()),""))</f>
      </c>
    </row>
    <row r="17719">
      <c r="F17719">
        <f>IF(DATOS!$A17719="","",DATOS!$A17719&amp;"|"&amp;DATOS!$D17719&amp;"|"&amp;DATOS!$E17719&amp;"|"&amp;DATOS!$I17719)</f>
      </c>
      <c r="G17719">
        <f>IF(DATOS!$A17719="",0,IF(CONFIG_METADATA!$B$4&lt;&gt;"OR+EX",--(DATOS!$G17719=CONFIG_METADATA!$B$4),IF(DATOS!$G17719="EX",1,IF(DATOS!$G17719="OR",--(COUNTIFS(nNIA,DATOS!$A17719,nCURSO,DATOS!$D17719,nESPEC,DATOS!$E17719,nASIG,DATOS!$I17719,nEVAL,"EX")=0),0))))</f>
      </c>
      <c r="H17719">
        <f>IF(DATOS!$G17719&lt;&gt;"EX",0,--(COUNTIFS(nNIA,DATOS!$A17719,nCURSO,DATOS!$D17719,nESPEC,DATOS!$E17719,nASIG,DATOS!$I17719,nEVAL,"OR")=0))</f>
      </c>
      <c r="I17719">
        <f>IF(DATOS!$I17719="","",IFERROR(VLOOKUP(DATOS!$I17719,CONFIG_ASIGNATURAS!$B$2:$J$91,9,FALSE()),""))</f>
      </c>
    </row>
    <row r="17720">
      <c r="F17720">
        <f>IF(DATOS!$A17720="","",DATOS!$A17720&amp;"|"&amp;DATOS!$D17720&amp;"|"&amp;DATOS!$E17720&amp;"|"&amp;DATOS!$I17720)</f>
      </c>
      <c r="G17720">
        <f>IF(DATOS!$A17720="",0,IF(CONFIG_METADATA!$B$4&lt;&gt;"OR+EX",--(DATOS!$G17720=CONFIG_METADATA!$B$4),IF(DATOS!$G17720="EX",1,IF(DATOS!$G17720="OR",--(COUNTIFS(nNIA,DATOS!$A17720,nCURSO,DATOS!$D17720,nESPEC,DATOS!$E17720,nASIG,DATOS!$I17720,nEVAL,"EX")=0),0))))</f>
      </c>
      <c r="H17720">
        <f>IF(DATOS!$G17720&lt;&gt;"EX",0,--(COUNTIFS(nNIA,DATOS!$A17720,nCURSO,DATOS!$D17720,nESPEC,DATOS!$E17720,nASIG,DATOS!$I17720,nEVAL,"OR")=0))</f>
      </c>
      <c r="I17720">
        <f>IF(DATOS!$I17720="","",IFERROR(VLOOKUP(DATOS!$I17720,CONFIG_ASIGNATURAS!$B$2:$J$91,9,FALSE()),""))</f>
      </c>
    </row>
    <row r="17721">
      <c r="F17721">
        <f>IF(DATOS!$A17721="","",DATOS!$A17721&amp;"|"&amp;DATOS!$D17721&amp;"|"&amp;DATOS!$E17721&amp;"|"&amp;DATOS!$I17721)</f>
      </c>
      <c r="G17721">
        <f>IF(DATOS!$A17721="",0,IF(CONFIG_METADATA!$B$4&lt;&gt;"OR+EX",--(DATOS!$G17721=CONFIG_METADATA!$B$4),IF(DATOS!$G17721="EX",1,IF(DATOS!$G17721="OR",--(COUNTIFS(nNIA,DATOS!$A17721,nCURSO,DATOS!$D17721,nESPEC,DATOS!$E17721,nASIG,DATOS!$I17721,nEVAL,"EX")=0),0))))</f>
      </c>
      <c r="H17721">
        <f>IF(DATOS!$G17721&lt;&gt;"EX",0,--(COUNTIFS(nNIA,DATOS!$A17721,nCURSO,DATOS!$D17721,nESPEC,DATOS!$E17721,nASIG,DATOS!$I17721,nEVAL,"OR")=0))</f>
      </c>
      <c r="I17721">
        <f>IF(DATOS!$I17721="","",IFERROR(VLOOKUP(DATOS!$I17721,CONFIG_ASIGNATURAS!$B$2:$J$91,9,FALSE()),""))</f>
      </c>
    </row>
    <row r="17722">
      <c r="F17722">
        <f>IF(DATOS!$A17722="","",DATOS!$A17722&amp;"|"&amp;DATOS!$D17722&amp;"|"&amp;DATOS!$E17722&amp;"|"&amp;DATOS!$I17722)</f>
      </c>
      <c r="G17722">
        <f>IF(DATOS!$A17722="",0,IF(CONFIG_METADATA!$B$4&lt;&gt;"OR+EX",--(DATOS!$G17722=CONFIG_METADATA!$B$4),IF(DATOS!$G17722="EX",1,IF(DATOS!$G17722="OR",--(COUNTIFS(nNIA,DATOS!$A17722,nCURSO,DATOS!$D17722,nESPEC,DATOS!$E17722,nASIG,DATOS!$I17722,nEVAL,"EX")=0),0))))</f>
      </c>
      <c r="H17722">
        <f>IF(DATOS!$G17722&lt;&gt;"EX",0,--(COUNTIFS(nNIA,DATOS!$A17722,nCURSO,DATOS!$D17722,nESPEC,DATOS!$E17722,nASIG,DATOS!$I17722,nEVAL,"OR")=0))</f>
      </c>
      <c r="I17722">
        <f>IF(DATOS!$I17722="","",IFERROR(VLOOKUP(DATOS!$I17722,CONFIG_ASIGNATURAS!$B$2:$J$91,9,FALSE()),""))</f>
      </c>
    </row>
    <row r="17723">
      <c r="F17723">
        <f>IF(DATOS!$A17723="","",DATOS!$A17723&amp;"|"&amp;DATOS!$D17723&amp;"|"&amp;DATOS!$E17723&amp;"|"&amp;DATOS!$I17723)</f>
      </c>
      <c r="G17723">
        <f>IF(DATOS!$A17723="",0,IF(CONFIG_METADATA!$B$4&lt;&gt;"OR+EX",--(DATOS!$G17723=CONFIG_METADATA!$B$4),IF(DATOS!$G17723="EX",1,IF(DATOS!$G17723="OR",--(COUNTIFS(nNIA,DATOS!$A17723,nCURSO,DATOS!$D17723,nESPEC,DATOS!$E17723,nASIG,DATOS!$I17723,nEVAL,"EX")=0),0))))</f>
      </c>
      <c r="H17723">
        <f>IF(DATOS!$G17723&lt;&gt;"EX",0,--(COUNTIFS(nNIA,DATOS!$A17723,nCURSO,DATOS!$D17723,nESPEC,DATOS!$E17723,nASIG,DATOS!$I17723,nEVAL,"OR")=0))</f>
      </c>
      <c r="I17723">
        <f>IF(DATOS!$I17723="","",IFERROR(VLOOKUP(DATOS!$I17723,CONFIG_ASIGNATURAS!$B$2:$J$91,9,FALSE()),""))</f>
      </c>
    </row>
    <row r="17724">
      <c r="F17724">
        <f>IF(DATOS!$A17724="","",DATOS!$A17724&amp;"|"&amp;DATOS!$D17724&amp;"|"&amp;DATOS!$E17724&amp;"|"&amp;DATOS!$I17724)</f>
      </c>
      <c r="G17724">
        <f>IF(DATOS!$A17724="",0,IF(CONFIG_METADATA!$B$4&lt;&gt;"OR+EX",--(DATOS!$G17724=CONFIG_METADATA!$B$4),IF(DATOS!$G17724="EX",1,IF(DATOS!$G17724="OR",--(COUNTIFS(nNIA,DATOS!$A17724,nCURSO,DATOS!$D17724,nESPEC,DATOS!$E17724,nASIG,DATOS!$I17724,nEVAL,"EX")=0),0))))</f>
      </c>
      <c r="H17724">
        <f>IF(DATOS!$G17724&lt;&gt;"EX",0,--(COUNTIFS(nNIA,DATOS!$A17724,nCURSO,DATOS!$D17724,nESPEC,DATOS!$E17724,nASIG,DATOS!$I17724,nEVAL,"OR")=0))</f>
      </c>
      <c r="I17724">
        <f>IF(DATOS!$I17724="","",IFERROR(VLOOKUP(DATOS!$I17724,CONFIG_ASIGNATURAS!$B$2:$J$91,9,FALSE()),""))</f>
      </c>
    </row>
    <row r="17725">
      <c r="F17725">
        <f>IF(DATOS!$A17725="","",DATOS!$A17725&amp;"|"&amp;DATOS!$D17725&amp;"|"&amp;DATOS!$E17725&amp;"|"&amp;DATOS!$I17725)</f>
      </c>
      <c r="G17725">
        <f>IF(DATOS!$A17725="",0,IF(CONFIG_METADATA!$B$4&lt;&gt;"OR+EX",--(DATOS!$G17725=CONFIG_METADATA!$B$4),IF(DATOS!$G17725="EX",1,IF(DATOS!$G17725="OR",--(COUNTIFS(nNIA,DATOS!$A17725,nCURSO,DATOS!$D17725,nESPEC,DATOS!$E17725,nASIG,DATOS!$I17725,nEVAL,"EX")=0),0))))</f>
      </c>
      <c r="H17725">
        <f>IF(DATOS!$G17725&lt;&gt;"EX",0,--(COUNTIFS(nNIA,DATOS!$A17725,nCURSO,DATOS!$D17725,nESPEC,DATOS!$E17725,nASIG,DATOS!$I17725,nEVAL,"OR")=0))</f>
      </c>
      <c r="I17725">
        <f>IF(DATOS!$I17725="","",IFERROR(VLOOKUP(DATOS!$I17725,CONFIG_ASIGNATURAS!$B$2:$J$91,9,FALSE()),""))</f>
      </c>
    </row>
    <row r="17726">
      <c r="F17726">
        <f>IF(DATOS!$A17726="","",DATOS!$A17726&amp;"|"&amp;DATOS!$D17726&amp;"|"&amp;DATOS!$E17726&amp;"|"&amp;DATOS!$I17726)</f>
      </c>
      <c r="G17726">
        <f>IF(DATOS!$A17726="",0,IF(CONFIG_METADATA!$B$4&lt;&gt;"OR+EX",--(DATOS!$G17726=CONFIG_METADATA!$B$4),IF(DATOS!$G17726="EX",1,IF(DATOS!$G17726="OR",--(COUNTIFS(nNIA,DATOS!$A17726,nCURSO,DATOS!$D17726,nESPEC,DATOS!$E17726,nASIG,DATOS!$I17726,nEVAL,"EX")=0),0))))</f>
      </c>
      <c r="H17726">
        <f>IF(DATOS!$G17726&lt;&gt;"EX",0,--(COUNTIFS(nNIA,DATOS!$A17726,nCURSO,DATOS!$D17726,nESPEC,DATOS!$E17726,nASIG,DATOS!$I17726,nEVAL,"OR")=0))</f>
      </c>
      <c r="I17726">
        <f>IF(DATOS!$I17726="","",IFERROR(VLOOKUP(DATOS!$I17726,CONFIG_ASIGNATURAS!$B$2:$J$91,9,FALSE()),""))</f>
      </c>
    </row>
    <row r="17727">
      <c r="F17727">
        <f>IF(DATOS!$A17727="","",DATOS!$A17727&amp;"|"&amp;DATOS!$D17727&amp;"|"&amp;DATOS!$E17727&amp;"|"&amp;DATOS!$I17727)</f>
      </c>
      <c r="G17727">
        <f>IF(DATOS!$A17727="",0,IF(CONFIG_METADATA!$B$4&lt;&gt;"OR+EX",--(DATOS!$G17727=CONFIG_METADATA!$B$4),IF(DATOS!$G17727="EX",1,IF(DATOS!$G17727="OR",--(COUNTIFS(nNIA,DATOS!$A17727,nCURSO,DATOS!$D17727,nESPEC,DATOS!$E17727,nASIG,DATOS!$I17727,nEVAL,"EX")=0),0))))</f>
      </c>
      <c r="H17727">
        <f>IF(DATOS!$G17727&lt;&gt;"EX",0,--(COUNTIFS(nNIA,DATOS!$A17727,nCURSO,DATOS!$D17727,nESPEC,DATOS!$E17727,nASIG,DATOS!$I17727,nEVAL,"OR")=0))</f>
      </c>
      <c r="I17727">
        <f>IF(DATOS!$I17727="","",IFERROR(VLOOKUP(DATOS!$I17727,CONFIG_ASIGNATURAS!$B$2:$J$91,9,FALSE()),""))</f>
      </c>
    </row>
    <row r="17728">
      <c r="F17728">
        <f>IF(DATOS!$A17728="","",DATOS!$A17728&amp;"|"&amp;DATOS!$D17728&amp;"|"&amp;DATOS!$E17728&amp;"|"&amp;DATOS!$I17728)</f>
      </c>
      <c r="G17728">
        <f>IF(DATOS!$A17728="",0,IF(CONFIG_METADATA!$B$4&lt;&gt;"OR+EX",--(DATOS!$G17728=CONFIG_METADATA!$B$4),IF(DATOS!$G17728="EX",1,IF(DATOS!$G17728="OR",--(COUNTIFS(nNIA,DATOS!$A17728,nCURSO,DATOS!$D17728,nESPEC,DATOS!$E17728,nASIG,DATOS!$I17728,nEVAL,"EX")=0),0))))</f>
      </c>
      <c r="H17728">
        <f>IF(DATOS!$G17728&lt;&gt;"EX",0,--(COUNTIFS(nNIA,DATOS!$A17728,nCURSO,DATOS!$D17728,nESPEC,DATOS!$E17728,nASIG,DATOS!$I17728,nEVAL,"OR")=0))</f>
      </c>
      <c r="I17728">
        <f>IF(DATOS!$I17728="","",IFERROR(VLOOKUP(DATOS!$I17728,CONFIG_ASIGNATURAS!$B$2:$J$91,9,FALSE()),""))</f>
      </c>
    </row>
    <row r="17729">
      <c r="F17729">
        <f>IF(DATOS!$A17729="","",DATOS!$A17729&amp;"|"&amp;DATOS!$D17729&amp;"|"&amp;DATOS!$E17729&amp;"|"&amp;DATOS!$I17729)</f>
      </c>
      <c r="G17729">
        <f>IF(DATOS!$A17729="",0,IF(CONFIG_METADATA!$B$4&lt;&gt;"OR+EX",--(DATOS!$G17729=CONFIG_METADATA!$B$4),IF(DATOS!$G17729="EX",1,IF(DATOS!$G17729="OR",--(COUNTIFS(nNIA,DATOS!$A17729,nCURSO,DATOS!$D17729,nESPEC,DATOS!$E17729,nASIG,DATOS!$I17729,nEVAL,"EX")=0),0))))</f>
      </c>
      <c r="H17729">
        <f>IF(DATOS!$G17729&lt;&gt;"EX",0,--(COUNTIFS(nNIA,DATOS!$A17729,nCURSO,DATOS!$D17729,nESPEC,DATOS!$E17729,nASIG,DATOS!$I17729,nEVAL,"OR")=0))</f>
      </c>
      <c r="I17729">
        <f>IF(DATOS!$I17729="","",IFERROR(VLOOKUP(DATOS!$I17729,CONFIG_ASIGNATURAS!$B$2:$J$91,9,FALSE()),""))</f>
      </c>
    </row>
    <row r="17730">
      <c r="F17730">
        <f>IF(DATOS!$A17730="","",DATOS!$A17730&amp;"|"&amp;DATOS!$D17730&amp;"|"&amp;DATOS!$E17730&amp;"|"&amp;DATOS!$I17730)</f>
      </c>
      <c r="G17730">
        <f>IF(DATOS!$A17730="",0,IF(CONFIG_METADATA!$B$4&lt;&gt;"OR+EX",--(DATOS!$G17730=CONFIG_METADATA!$B$4),IF(DATOS!$G17730="EX",1,IF(DATOS!$G17730="OR",--(COUNTIFS(nNIA,DATOS!$A17730,nCURSO,DATOS!$D17730,nESPEC,DATOS!$E17730,nASIG,DATOS!$I17730,nEVAL,"EX")=0),0))))</f>
      </c>
      <c r="H17730">
        <f>IF(DATOS!$G17730&lt;&gt;"EX",0,--(COUNTIFS(nNIA,DATOS!$A17730,nCURSO,DATOS!$D17730,nESPEC,DATOS!$E17730,nASIG,DATOS!$I17730,nEVAL,"OR")=0))</f>
      </c>
      <c r="I17730">
        <f>IF(DATOS!$I17730="","",IFERROR(VLOOKUP(DATOS!$I17730,CONFIG_ASIGNATURAS!$B$2:$J$91,9,FALSE()),""))</f>
      </c>
    </row>
    <row r="17731">
      <c r="F17731">
        <f>IF(DATOS!$A17731="","",DATOS!$A17731&amp;"|"&amp;DATOS!$D17731&amp;"|"&amp;DATOS!$E17731&amp;"|"&amp;DATOS!$I17731)</f>
      </c>
      <c r="G17731">
        <f>IF(DATOS!$A17731="",0,IF(CONFIG_METADATA!$B$4&lt;&gt;"OR+EX",--(DATOS!$G17731=CONFIG_METADATA!$B$4),IF(DATOS!$G17731="EX",1,IF(DATOS!$G17731="OR",--(COUNTIFS(nNIA,DATOS!$A17731,nCURSO,DATOS!$D17731,nESPEC,DATOS!$E17731,nASIG,DATOS!$I17731,nEVAL,"EX")=0),0))))</f>
      </c>
      <c r="H17731">
        <f>IF(DATOS!$G17731&lt;&gt;"EX",0,--(COUNTIFS(nNIA,DATOS!$A17731,nCURSO,DATOS!$D17731,nESPEC,DATOS!$E17731,nASIG,DATOS!$I17731,nEVAL,"OR")=0))</f>
      </c>
      <c r="I17731">
        <f>IF(DATOS!$I17731="","",IFERROR(VLOOKUP(DATOS!$I17731,CONFIG_ASIGNATURAS!$B$2:$J$91,9,FALSE()),""))</f>
      </c>
    </row>
    <row r="17732">
      <c r="F17732">
        <f>IF(DATOS!$A17732="","",DATOS!$A17732&amp;"|"&amp;DATOS!$D17732&amp;"|"&amp;DATOS!$E17732&amp;"|"&amp;DATOS!$I17732)</f>
      </c>
      <c r="G17732">
        <f>IF(DATOS!$A17732="",0,IF(CONFIG_METADATA!$B$4&lt;&gt;"OR+EX",--(DATOS!$G17732=CONFIG_METADATA!$B$4),IF(DATOS!$G17732="EX",1,IF(DATOS!$G17732="OR",--(COUNTIFS(nNIA,DATOS!$A17732,nCURSO,DATOS!$D17732,nESPEC,DATOS!$E17732,nASIG,DATOS!$I17732,nEVAL,"EX")=0),0))))</f>
      </c>
      <c r="H17732">
        <f>IF(DATOS!$G17732&lt;&gt;"EX",0,--(COUNTIFS(nNIA,DATOS!$A17732,nCURSO,DATOS!$D17732,nESPEC,DATOS!$E17732,nASIG,DATOS!$I17732,nEVAL,"OR")=0))</f>
      </c>
      <c r="I17732">
        <f>IF(DATOS!$I17732="","",IFERROR(VLOOKUP(DATOS!$I17732,CONFIG_ASIGNATURAS!$B$2:$J$91,9,FALSE()),""))</f>
      </c>
    </row>
    <row r="17733">
      <c r="F17733">
        <f>IF(DATOS!$A17733="","",DATOS!$A17733&amp;"|"&amp;DATOS!$D17733&amp;"|"&amp;DATOS!$E17733&amp;"|"&amp;DATOS!$I17733)</f>
      </c>
      <c r="G17733">
        <f>IF(DATOS!$A17733="",0,IF(CONFIG_METADATA!$B$4&lt;&gt;"OR+EX",--(DATOS!$G17733=CONFIG_METADATA!$B$4),IF(DATOS!$G17733="EX",1,IF(DATOS!$G17733="OR",--(COUNTIFS(nNIA,DATOS!$A17733,nCURSO,DATOS!$D17733,nESPEC,DATOS!$E17733,nASIG,DATOS!$I17733,nEVAL,"EX")=0),0))))</f>
      </c>
      <c r="H17733">
        <f>IF(DATOS!$G17733&lt;&gt;"EX",0,--(COUNTIFS(nNIA,DATOS!$A17733,nCURSO,DATOS!$D17733,nESPEC,DATOS!$E17733,nASIG,DATOS!$I17733,nEVAL,"OR")=0))</f>
      </c>
      <c r="I17733">
        <f>IF(DATOS!$I17733="","",IFERROR(VLOOKUP(DATOS!$I17733,CONFIG_ASIGNATURAS!$B$2:$J$91,9,FALSE()),""))</f>
      </c>
    </row>
    <row r="17734">
      <c r="F17734">
        <f>IF(DATOS!$A17734="","",DATOS!$A17734&amp;"|"&amp;DATOS!$D17734&amp;"|"&amp;DATOS!$E17734&amp;"|"&amp;DATOS!$I17734)</f>
      </c>
      <c r="G17734">
        <f>IF(DATOS!$A17734="",0,IF(CONFIG_METADATA!$B$4&lt;&gt;"OR+EX",--(DATOS!$G17734=CONFIG_METADATA!$B$4),IF(DATOS!$G17734="EX",1,IF(DATOS!$G17734="OR",--(COUNTIFS(nNIA,DATOS!$A17734,nCURSO,DATOS!$D17734,nESPEC,DATOS!$E17734,nASIG,DATOS!$I17734,nEVAL,"EX")=0),0))))</f>
      </c>
      <c r="H17734">
        <f>IF(DATOS!$G17734&lt;&gt;"EX",0,--(COUNTIFS(nNIA,DATOS!$A17734,nCURSO,DATOS!$D17734,nESPEC,DATOS!$E17734,nASIG,DATOS!$I17734,nEVAL,"OR")=0))</f>
      </c>
      <c r="I17734">
        <f>IF(DATOS!$I17734="","",IFERROR(VLOOKUP(DATOS!$I17734,CONFIG_ASIGNATURAS!$B$2:$J$91,9,FALSE()),""))</f>
      </c>
    </row>
    <row r="17735">
      <c r="F17735">
        <f>IF(DATOS!$A17735="","",DATOS!$A17735&amp;"|"&amp;DATOS!$D17735&amp;"|"&amp;DATOS!$E17735&amp;"|"&amp;DATOS!$I17735)</f>
      </c>
      <c r="G17735">
        <f>IF(DATOS!$A17735="",0,IF(CONFIG_METADATA!$B$4&lt;&gt;"OR+EX",--(DATOS!$G17735=CONFIG_METADATA!$B$4),IF(DATOS!$G17735="EX",1,IF(DATOS!$G17735="OR",--(COUNTIFS(nNIA,DATOS!$A17735,nCURSO,DATOS!$D17735,nESPEC,DATOS!$E17735,nASIG,DATOS!$I17735,nEVAL,"EX")=0),0))))</f>
      </c>
      <c r="H17735">
        <f>IF(DATOS!$G17735&lt;&gt;"EX",0,--(COUNTIFS(nNIA,DATOS!$A17735,nCURSO,DATOS!$D17735,nESPEC,DATOS!$E17735,nASIG,DATOS!$I17735,nEVAL,"OR")=0))</f>
      </c>
      <c r="I17735">
        <f>IF(DATOS!$I17735="","",IFERROR(VLOOKUP(DATOS!$I17735,CONFIG_ASIGNATURAS!$B$2:$J$91,9,FALSE()),""))</f>
      </c>
    </row>
    <row r="17736">
      <c r="F17736">
        <f>IF(DATOS!$A17736="","",DATOS!$A17736&amp;"|"&amp;DATOS!$D17736&amp;"|"&amp;DATOS!$E17736&amp;"|"&amp;DATOS!$I17736)</f>
      </c>
      <c r="G17736">
        <f>IF(DATOS!$A17736="",0,IF(CONFIG_METADATA!$B$4&lt;&gt;"OR+EX",--(DATOS!$G17736=CONFIG_METADATA!$B$4),IF(DATOS!$G17736="EX",1,IF(DATOS!$G17736="OR",--(COUNTIFS(nNIA,DATOS!$A17736,nCURSO,DATOS!$D17736,nESPEC,DATOS!$E17736,nASIG,DATOS!$I17736,nEVAL,"EX")=0),0))))</f>
      </c>
      <c r="H17736">
        <f>IF(DATOS!$G17736&lt;&gt;"EX",0,--(COUNTIFS(nNIA,DATOS!$A17736,nCURSO,DATOS!$D17736,nESPEC,DATOS!$E17736,nASIG,DATOS!$I17736,nEVAL,"OR")=0))</f>
      </c>
      <c r="I17736">
        <f>IF(DATOS!$I17736="","",IFERROR(VLOOKUP(DATOS!$I17736,CONFIG_ASIGNATURAS!$B$2:$J$91,9,FALSE()),""))</f>
      </c>
    </row>
    <row r="17737">
      <c r="F17737">
        <f>IF(DATOS!$A17737="","",DATOS!$A17737&amp;"|"&amp;DATOS!$D17737&amp;"|"&amp;DATOS!$E17737&amp;"|"&amp;DATOS!$I17737)</f>
      </c>
      <c r="G17737">
        <f>IF(DATOS!$A17737="",0,IF(CONFIG_METADATA!$B$4&lt;&gt;"OR+EX",--(DATOS!$G17737=CONFIG_METADATA!$B$4),IF(DATOS!$G17737="EX",1,IF(DATOS!$G17737="OR",--(COUNTIFS(nNIA,DATOS!$A17737,nCURSO,DATOS!$D17737,nESPEC,DATOS!$E17737,nASIG,DATOS!$I17737,nEVAL,"EX")=0),0))))</f>
      </c>
      <c r="H17737">
        <f>IF(DATOS!$G17737&lt;&gt;"EX",0,--(COUNTIFS(nNIA,DATOS!$A17737,nCURSO,DATOS!$D17737,nESPEC,DATOS!$E17737,nASIG,DATOS!$I17737,nEVAL,"OR")=0))</f>
      </c>
      <c r="I17737">
        <f>IF(DATOS!$I17737="","",IFERROR(VLOOKUP(DATOS!$I17737,CONFIG_ASIGNATURAS!$B$2:$J$91,9,FALSE()),""))</f>
      </c>
    </row>
    <row r="17738">
      <c r="F17738">
        <f>IF(DATOS!$A17738="","",DATOS!$A17738&amp;"|"&amp;DATOS!$D17738&amp;"|"&amp;DATOS!$E17738&amp;"|"&amp;DATOS!$I17738)</f>
      </c>
      <c r="G17738">
        <f>IF(DATOS!$A17738="",0,IF(CONFIG_METADATA!$B$4&lt;&gt;"OR+EX",--(DATOS!$G17738=CONFIG_METADATA!$B$4),IF(DATOS!$G17738="EX",1,IF(DATOS!$G17738="OR",--(COUNTIFS(nNIA,DATOS!$A17738,nCURSO,DATOS!$D17738,nESPEC,DATOS!$E17738,nASIG,DATOS!$I17738,nEVAL,"EX")=0),0))))</f>
      </c>
      <c r="H17738">
        <f>IF(DATOS!$G17738&lt;&gt;"EX",0,--(COUNTIFS(nNIA,DATOS!$A17738,nCURSO,DATOS!$D17738,nESPEC,DATOS!$E17738,nASIG,DATOS!$I17738,nEVAL,"OR")=0))</f>
      </c>
      <c r="I17738">
        <f>IF(DATOS!$I17738="","",IFERROR(VLOOKUP(DATOS!$I17738,CONFIG_ASIGNATURAS!$B$2:$J$91,9,FALSE()),""))</f>
      </c>
    </row>
    <row r="17739">
      <c r="F17739">
        <f>IF(DATOS!$A17739="","",DATOS!$A17739&amp;"|"&amp;DATOS!$D17739&amp;"|"&amp;DATOS!$E17739&amp;"|"&amp;DATOS!$I17739)</f>
      </c>
      <c r="G17739">
        <f>IF(DATOS!$A17739="",0,IF(CONFIG_METADATA!$B$4&lt;&gt;"OR+EX",--(DATOS!$G17739=CONFIG_METADATA!$B$4),IF(DATOS!$G17739="EX",1,IF(DATOS!$G17739="OR",--(COUNTIFS(nNIA,DATOS!$A17739,nCURSO,DATOS!$D17739,nESPEC,DATOS!$E17739,nASIG,DATOS!$I17739,nEVAL,"EX")=0),0))))</f>
      </c>
      <c r="H17739">
        <f>IF(DATOS!$G17739&lt;&gt;"EX",0,--(COUNTIFS(nNIA,DATOS!$A17739,nCURSO,DATOS!$D17739,nESPEC,DATOS!$E17739,nASIG,DATOS!$I17739,nEVAL,"OR")=0))</f>
      </c>
      <c r="I17739">
        <f>IF(DATOS!$I17739="","",IFERROR(VLOOKUP(DATOS!$I17739,CONFIG_ASIGNATURAS!$B$2:$J$91,9,FALSE()),""))</f>
      </c>
    </row>
    <row r="17740">
      <c r="F17740">
        <f>IF(DATOS!$A17740="","",DATOS!$A17740&amp;"|"&amp;DATOS!$D17740&amp;"|"&amp;DATOS!$E17740&amp;"|"&amp;DATOS!$I17740)</f>
      </c>
      <c r="G17740">
        <f>IF(DATOS!$A17740="",0,IF(CONFIG_METADATA!$B$4&lt;&gt;"OR+EX",--(DATOS!$G17740=CONFIG_METADATA!$B$4),IF(DATOS!$G17740="EX",1,IF(DATOS!$G17740="OR",--(COUNTIFS(nNIA,DATOS!$A17740,nCURSO,DATOS!$D17740,nESPEC,DATOS!$E17740,nASIG,DATOS!$I17740,nEVAL,"EX")=0),0))))</f>
      </c>
      <c r="H17740">
        <f>IF(DATOS!$G17740&lt;&gt;"EX",0,--(COUNTIFS(nNIA,DATOS!$A17740,nCURSO,DATOS!$D17740,nESPEC,DATOS!$E17740,nASIG,DATOS!$I17740,nEVAL,"OR")=0))</f>
      </c>
      <c r="I17740">
        <f>IF(DATOS!$I17740="","",IFERROR(VLOOKUP(DATOS!$I17740,CONFIG_ASIGNATURAS!$B$2:$J$91,9,FALSE()),""))</f>
      </c>
    </row>
    <row r="17741">
      <c r="F17741">
        <f>IF(DATOS!$A17741="","",DATOS!$A17741&amp;"|"&amp;DATOS!$D17741&amp;"|"&amp;DATOS!$E17741&amp;"|"&amp;DATOS!$I17741)</f>
      </c>
      <c r="G17741">
        <f>IF(DATOS!$A17741="",0,IF(CONFIG_METADATA!$B$4&lt;&gt;"OR+EX",--(DATOS!$G17741=CONFIG_METADATA!$B$4),IF(DATOS!$G17741="EX",1,IF(DATOS!$G17741="OR",--(COUNTIFS(nNIA,DATOS!$A17741,nCURSO,DATOS!$D17741,nESPEC,DATOS!$E17741,nASIG,DATOS!$I17741,nEVAL,"EX")=0),0))))</f>
      </c>
      <c r="H17741">
        <f>IF(DATOS!$G17741&lt;&gt;"EX",0,--(COUNTIFS(nNIA,DATOS!$A17741,nCURSO,DATOS!$D17741,nESPEC,DATOS!$E17741,nASIG,DATOS!$I17741,nEVAL,"OR")=0))</f>
      </c>
      <c r="I17741">
        <f>IF(DATOS!$I17741="","",IFERROR(VLOOKUP(DATOS!$I17741,CONFIG_ASIGNATURAS!$B$2:$J$91,9,FALSE()),""))</f>
      </c>
    </row>
    <row r="17742">
      <c r="F17742">
        <f>IF(DATOS!$A17742="","",DATOS!$A17742&amp;"|"&amp;DATOS!$D17742&amp;"|"&amp;DATOS!$E17742&amp;"|"&amp;DATOS!$I17742)</f>
      </c>
      <c r="G17742">
        <f>IF(DATOS!$A17742="",0,IF(CONFIG_METADATA!$B$4&lt;&gt;"OR+EX",--(DATOS!$G17742=CONFIG_METADATA!$B$4),IF(DATOS!$G17742="EX",1,IF(DATOS!$G17742="OR",--(COUNTIFS(nNIA,DATOS!$A17742,nCURSO,DATOS!$D17742,nESPEC,DATOS!$E17742,nASIG,DATOS!$I17742,nEVAL,"EX")=0),0))))</f>
      </c>
      <c r="H17742">
        <f>IF(DATOS!$G17742&lt;&gt;"EX",0,--(COUNTIFS(nNIA,DATOS!$A17742,nCURSO,DATOS!$D17742,nESPEC,DATOS!$E17742,nASIG,DATOS!$I17742,nEVAL,"OR")=0))</f>
      </c>
      <c r="I17742">
        <f>IF(DATOS!$I17742="","",IFERROR(VLOOKUP(DATOS!$I17742,CONFIG_ASIGNATURAS!$B$2:$J$91,9,FALSE()),""))</f>
      </c>
    </row>
    <row r="17743">
      <c r="F17743">
        <f>IF(DATOS!$A17743="","",DATOS!$A17743&amp;"|"&amp;DATOS!$D17743&amp;"|"&amp;DATOS!$E17743&amp;"|"&amp;DATOS!$I17743)</f>
      </c>
      <c r="G17743">
        <f>IF(DATOS!$A17743="",0,IF(CONFIG_METADATA!$B$4&lt;&gt;"OR+EX",--(DATOS!$G17743=CONFIG_METADATA!$B$4),IF(DATOS!$G17743="EX",1,IF(DATOS!$G17743="OR",--(COUNTIFS(nNIA,DATOS!$A17743,nCURSO,DATOS!$D17743,nESPEC,DATOS!$E17743,nASIG,DATOS!$I17743,nEVAL,"EX")=0),0))))</f>
      </c>
      <c r="H17743">
        <f>IF(DATOS!$G17743&lt;&gt;"EX",0,--(COUNTIFS(nNIA,DATOS!$A17743,nCURSO,DATOS!$D17743,nESPEC,DATOS!$E17743,nASIG,DATOS!$I17743,nEVAL,"OR")=0))</f>
      </c>
      <c r="I17743">
        <f>IF(DATOS!$I17743="","",IFERROR(VLOOKUP(DATOS!$I17743,CONFIG_ASIGNATURAS!$B$2:$J$91,9,FALSE()),""))</f>
      </c>
    </row>
    <row r="17744">
      <c r="F17744">
        <f>IF(DATOS!$A17744="","",DATOS!$A17744&amp;"|"&amp;DATOS!$D17744&amp;"|"&amp;DATOS!$E17744&amp;"|"&amp;DATOS!$I17744)</f>
      </c>
      <c r="G17744">
        <f>IF(DATOS!$A17744="",0,IF(CONFIG_METADATA!$B$4&lt;&gt;"OR+EX",--(DATOS!$G17744=CONFIG_METADATA!$B$4),IF(DATOS!$G17744="EX",1,IF(DATOS!$G17744="OR",--(COUNTIFS(nNIA,DATOS!$A17744,nCURSO,DATOS!$D17744,nESPEC,DATOS!$E17744,nASIG,DATOS!$I17744,nEVAL,"EX")=0),0))))</f>
      </c>
      <c r="H17744">
        <f>IF(DATOS!$G17744&lt;&gt;"EX",0,--(COUNTIFS(nNIA,DATOS!$A17744,nCURSO,DATOS!$D17744,nESPEC,DATOS!$E17744,nASIG,DATOS!$I17744,nEVAL,"OR")=0))</f>
      </c>
      <c r="I17744">
        <f>IF(DATOS!$I17744="","",IFERROR(VLOOKUP(DATOS!$I17744,CONFIG_ASIGNATURAS!$B$2:$J$91,9,FALSE()),""))</f>
      </c>
    </row>
    <row r="17745">
      <c r="F17745">
        <f>IF(DATOS!$A17745="","",DATOS!$A17745&amp;"|"&amp;DATOS!$D17745&amp;"|"&amp;DATOS!$E17745&amp;"|"&amp;DATOS!$I17745)</f>
      </c>
      <c r="G17745">
        <f>IF(DATOS!$A17745="",0,IF(CONFIG_METADATA!$B$4&lt;&gt;"OR+EX",--(DATOS!$G17745=CONFIG_METADATA!$B$4),IF(DATOS!$G17745="EX",1,IF(DATOS!$G17745="OR",--(COUNTIFS(nNIA,DATOS!$A17745,nCURSO,DATOS!$D17745,nESPEC,DATOS!$E17745,nASIG,DATOS!$I17745,nEVAL,"EX")=0),0))))</f>
      </c>
      <c r="H17745">
        <f>IF(DATOS!$G17745&lt;&gt;"EX",0,--(COUNTIFS(nNIA,DATOS!$A17745,nCURSO,DATOS!$D17745,nESPEC,DATOS!$E17745,nASIG,DATOS!$I17745,nEVAL,"OR")=0))</f>
      </c>
      <c r="I17745">
        <f>IF(DATOS!$I17745="","",IFERROR(VLOOKUP(DATOS!$I17745,CONFIG_ASIGNATURAS!$B$2:$J$91,9,FALSE()),""))</f>
      </c>
    </row>
    <row r="17746">
      <c r="F17746">
        <f>IF(DATOS!$A17746="","",DATOS!$A17746&amp;"|"&amp;DATOS!$D17746&amp;"|"&amp;DATOS!$E17746&amp;"|"&amp;DATOS!$I17746)</f>
      </c>
      <c r="G17746">
        <f>IF(DATOS!$A17746="",0,IF(CONFIG_METADATA!$B$4&lt;&gt;"OR+EX",--(DATOS!$G17746=CONFIG_METADATA!$B$4),IF(DATOS!$G17746="EX",1,IF(DATOS!$G17746="OR",--(COUNTIFS(nNIA,DATOS!$A17746,nCURSO,DATOS!$D17746,nESPEC,DATOS!$E17746,nASIG,DATOS!$I17746,nEVAL,"EX")=0),0))))</f>
      </c>
      <c r="H17746">
        <f>IF(DATOS!$G17746&lt;&gt;"EX",0,--(COUNTIFS(nNIA,DATOS!$A17746,nCURSO,DATOS!$D17746,nESPEC,DATOS!$E17746,nASIG,DATOS!$I17746,nEVAL,"OR")=0))</f>
      </c>
      <c r="I17746">
        <f>IF(DATOS!$I17746="","",IFERROR(VLOOKUP(DATOS!$I17746,CONFIG_ASIGNATURAS!$B$2:$J$91,9,FALSE()),""))</f>
      </c>
    </row>
    <row r="17747">
      <c r="F17747">
        <f>IF(DATOS!$A17747="","",DATOS!$A17747&amp;"|"&amp;DATOS!$D17747&amp;"|"&amp;DATOS!$E17747&amp;"|"&amp;DATOS!$I17747)</f>
      </c>
      <c r="G17747">
        <f>IF(DATOS!$A17747="",0,IF(CONFIG_METADATA!$B$4&lt;&gt;"OR+EX",--(DATOS!$G17747=CONFIG_METADATA!$B$4),IF(DATOS!$G17747="EX",1,IF(DATOS!$G17747="OR",--(COUNTIFS(nNIA,DATOS!$A17747,nCURSO,DATOS!$D17747,nESPEC,DATOS!$E17747,nASIG,DATOS!$I17747,nEVAL,"EX")=0),0))))</f>
      </c>
      <c r="H17747">
        <f>IF(DATOS!$G17747&lt;&gt;"EX",0,--(COUNTIFS(nNIA,DATOS!$A17747,nCURSO,DATOS!$D17747,nESPEC,DATOS!$E17747,nASIG,DATOS!$I17747,nEVAL,"OR")=0))</f>
      </c>
      <c r="I17747">
        <f>IF(DATOS!$I17747="","",IFERROR(VLOOKUP(DATOS!$I17747,CONFIG_ASIGNATURAS!$B$2:$J$91,9,FALSE()),""))</f>
      </c>
    </row>
    <row r="17748">
      <c r="F17748">
        <f>IF(DATOS!$A17748="","",DATOS!$A17748&amp;"|"&amp;DATOS!$D17748&amp;"|"&amp;DATOS!$E17748&amp;"|"&amp;DATOS!$I17748)</f>
      </c>
      <c r="G17748">
        <f>IF(DATOS!$A17748="",0,IF(CONFIG_METADATA!$B$4&lt;&gt;"OR+EX",--(DATOS!$G17748=CONFIG_METADATA!$B$4),IF(DATOS!$G17748="EX",1,IF(DATOS!$G17748="OR",--(COUNTIFS(nNIA,DATOS!$A17748,nCURSO,DATOS!$D17748,nESPEC,DATOS!$E17748,nASIG,DATOS!$I17748,nEVAL,"EX")=0),0))))</f>
      </c>
      <c r="H17748">
        <f>IF(DATOS!$G17748&lt;&gt;"EX",0,--(COUNTIFS(nNIA,DATOS!$A17748,nCURSO,DATOS!$D17748,nESPEC,DATOS!$E17748,nASIG,DATOS!$I17748,nEVAL,"OR")=0))</f>
      </c>
      <c r="I17748">
        <f>IF(DATOS!$I17748="","",IFERROR(VLOOKUP(DATOS!$I17748,CONFIG_ASIGNATURAS!$B$2:$J$91,9,FALSE()),""))</f>
      </c>
    </row>
    <row r="17749">
      <c r="F17749">
        <f>IF(DATOS!$A17749="","",DATOS!$A17749&amp;"|"&amp;DATOS!$D17749&amp;"|"&amp;DATOS!$E17749&amp;"|"&amp;DATOS!$I17749)</f>
      </c>
      <c r="G17749">
        <f>IF(DATOS!$A17749="",0,IF(CONFIG_METADATA!$B$4&lt;&gt;"OR+EX",--(DATOS!$G17749=CONFIG_METADATA!$B$4),IF(DATOS!$G17749="EX",1,IF(DATOS!$G17749="OR",--(COUNTIFS(nNIA,DATOS!$A17749,nCURSO,DATOS!$D17749,nESPEC,DATOS!$E17749,nASIG,DATOS!$I17749,nEVAL,"EX")=0),0))))</f>
      </c>
      <c r="H17749">
        <f>IF(DATOS!$G17749&lt;&gt;"EX",0,--(COUNTIFS(nNIA,DATOS!$A17749,nCURSO,DATOS!$D17749,nESPEC,DATOS!$E17749,nASIG,DATOS!$I17749,nEVAL,"OR")=0))</f>
      </c>
      <c r="I17749">
        <f>IF(DATOS!$I17749="","",IFERROR(VLOOKUP(DATOS!$I17749,CONFIG_ASIGNATURAS!$B$2:$J$91,9,FALSE()),""))</f>
      </c>
    </row>
    <row r="17750">
      <c r="F17750">
        <f>IF(DATOS!$A17750="","",DATOS!$A17750&amp;"|"&amp;DATOS!$D17750&amp;"|"&amp;DATOS!$E17750&amp;"|"&amp;DATOS!$I17750)</f>
      </c>
      <c r="G17750">
        <f>IF(DATOS!$A17750="",0,IF(CONFIG_METADATA!$B$4&lt;&gt;"OR+EX",--(DATOS!$G17750=CONFIG_METADATA!$B$4),IF(DATOS!$G17750="EX",1,IF(DATOS!$G17750="OR",--(COUNTIFS(nNIA,DATOS!$A17750,nCURSO,DATOS!$D17750,nESPEC,DATOS!$E17750,nASIG,DATOS!$I17750,nEVAL,"EX")=0),0))))</f>
      </c>
      <c r="H17750">
        <f>IF(DATOS!$G17750&lt;&gt;"EX",0,--(COUNTIFS(nNIA,DATOS!$A17750,nCURSO,DATOS!$D17750,nESPEC,DATOS!$E17750,nASIG,DATOS!$I17750,nEVAL,"OR")=0))</f>
      </c>
      <c r="I17750">
        <f>IF(DATOS!$I17750="","",IFERROR(VLOOKUP(DATOS!$I17750,CONFIG_ASIGNATURAS!$B$2:$J$91,9,FALSE()),""))</f>
      </c>
    </row>
    <row r="17751">
      <c r="F17751">
        <f>IF(DATOS!$A17751="","",DATOS!$A17751&amp;"|"&amp;DATOS!$D17751&amp;"|"&amp;DATOS!$E17751&amp;"|"&amp;DATOS!$I17751)</f>
      </c>
      <c r="G17751">
        <f>IF(DATOS!$A17751="",0,IF(CONFIG_METADATA!$B$4&lt;&gt;"OR+EX",--(DATOS!$G17751=CONFIG_METADATA!$B$4),IF(DATOS!$G17751="EX",1,IF(DATOS!$G17751="OR",--(COUNTIFS(nNIA,DATOS!$A17751,nCURSO,DATOS!$D17751,nESPEC,DATOS!$E17751,nASIG,DATOS!$I17751,nEVAL,"EX")=0),0))))</f>
      </c>
      <c r="H17751">
        <f>IF(DATOS!$G17751&lt;&gt;"EX",0,--(COUNTIFS(nNIA,DATOS!$A17751,nCURSO,DATOS!$D17751,nESPEC,DATOS!$E17751,nASIG,DATOS!$I17751,nEVAL,"OR")=0))</f>
      </c>
      <c r="I17751">
        <f>IF(DATOS!$I17751="","",IFERROR(VLOOKUP(DATOS!$I17751,CONFIG_ASIGNATURAS!$B$2:$J$91,9,FALSE()),""))</f>
      </c>
    </row>
    <row r="17752">
      <c r="F17752">
        <f>IF(DATOS!$A17752="","",DATOS!$A17752&amp;"|"&amp;DATOS!$D17752&amp;"|"&amp;DATOS!$E17752&amp;"|"&amp;DATOS!$I17752)</f>
      </c>
      <c r="G17752">
        <f>IF(DATOS!$A17752="",0,IF(CONFIG_METADATA!$B$4&lt;&gt;"OR+EX",--(DATOS!$G17752=CONFIG_METADATA!$B$4),IF(DATOS!$G17752="EX",1,IF(DATOS!$G17752="OR",--(COUNTIFS(nNIA,DATOS!$A17752,nCURSO,DATOS!$D17752,nESPEC,DATOS!$E17752,nASIG,DATOS!$I17752,nEVAL,"EX")=0),0))))</f>
      </c>
      <c r="H17752">
        <f>IF(DATOS!$G17752&lt;&gt;"EX",0,--(COUNTIFS(nNIA,DATOS!$A17752,nCURSO,DATOS!$D17752,nESPEC,DATOS!$E17752,nASIG,DATOS!$I17752,nEVAL,"OR")=0))</f>
      </c>
      <c r="I17752">
        <f>IF(DATOS!$I17752="","",IFERROR(VLOOKUP(DATOS!$I17752,CONFIG_ASIGNATURAS!$B$2:$J$91,9,FALSE()),""))</f>
      </c>
    </row>
    <row r="17753">
      <c r="F17753">
        <f>IF(DATOS!$A17753="","",DATOS!$A17753&amp;"|"&amp;DATOS!$D17753&amp;"|"&amp;DATOS!$E17753&amp;"|"&amp;DATOS!$I17753)</f>
      </c>
      <c r="G17753">
        <f>IF(DATOS!$A17753="",0,IF(CONFIG_METADATA!$B$4&lt;&gt;"OR+EX",--(DATOS!$G17753=CONFIG_METADATA!$B$4),IF(DATOS!$G17753="EX",1,IF(DATOS!$G17753="OR",--(COUNTIFS(nNIA,DATOS!$A17753,nCURSO,DATOS!$D17753,nESPEC,DATOS!$E17753,nASIG,DATOS!$I17753,nEVAL,"EX")=0),0))))</f>
      </c>
      <c r="H17753">
        <f>IF(DATOS!$G17753&lt;&gt;"EX",0,--(COUNTIFS(nNIA,DATOS!$A17753,nCURSO,DATOS!$D17753,nESPEC,DATOS!$E17753,nASIG,DATOS!$I17753,nEVAL,"OR")=0))</f>
      </c>
      <c r="I17753">
        <f>IF(DATOS!$I17753="","",IFERROR(VLOOKUP(DATOS!$I17753,CONFIG_ASIGNATURAS!$B$2:$J$91,9,FALSE()),""))</f>
      </c>
    </row>
    <row r="17754">
      <c r="F17754">
        <f>IF(DATOS!$A17754="","",DATOS!$A17754&amp;"|"&amp;DATOS!$D17754&amp;"|"&amp;DATOS!$E17754&amp;"|"&amp;DATOS!$I17754)</f>
      </c>
      <c r="G17754">
        <f>IF(DATOS!$A17754="",0,IF(CONFIG_METADATA!$B$4&lt;&gt;"OR+EX",--(DATOS!$G17754=CONFIG_METADATA!$B$4),IF(DATOS!$G17754="EX",1,IF(DATOS!$G17754="OR",--(COUNTIFS(nNIA,DATOS!$A17754,nCURSO,DATOS!$D17754,nESPEC,DATOS!$E17754,nASIG,DATOS!$I17754,nEVAL,"EX")=0),0))))</f>
      </c>
      <c r="H17754">
        <f>IF(DATOS!$G17754&lt;&gt;"EX",0,--(COUNTIFS(nNIA,DATOS!$A17754,nCURSO,DATOS!$D17754,nESPEC,DATOS!$E17754,nASIG,DATOS!$I17754,nEVAL,"OR")=0))</f>
      </c>
      <c r="I17754">
        <f>IF(DATOS!$I17754="","",IFERROR(VLOOKUP(DATOS!$I17754,CONFIG_ASIGNATURAS!$B$2:$J$91,9,FALSE()),""))</f>
      </c>
    </row>
    <row r="17755">
      <c r="F17755">
        <f>IF(DATOS!$A17755="","",DATOS!$A17755&amp;"|"&amp;DATOS!$D17755&amp;"|"&amp;DATOS!$E17755&amp;"|"&amp;DATOS!$I17755)</f>
      </c>
      <c r="G17755">
        <f>IF(DATOS!$A17755="",0,IF(CONFIG_METADATA!$B$4&lt;&gt;"OR+EX",--(DATOS!$G17755=CONFIG_METADATA!$B$4),IF(DATOS!$G17755="EX",1,IF(DATOS!$G17755="OR",--(COUNTIFS(nNIA,DATOS!$A17755,nCURSO,DATOS!$D17755,nESPEC,DATOS!$E17755,nASIG,DATOS!$I17755,nEVAL,"EX")=0),0))))</f>
      </c>
      <c r="H17755">
        <f>IF(DATOS!$G17755&lt;&gt;"EX",0,--(COUNTIFS(nNIA,DATOS!$A17755,nCURSO,DATOS!$D17755,nESPEC,DATOS!$E17755,nASIG,DATOS!$I17755,nEVAL,"OR")=0))</f>
      </c>
      <c r="I17755">
        <f>IF(DATOS!$I17755="","",IFERROR(VLOOKUP(DATOS!$I17755,CONFIG_ASIGNATURAS!$B$2:$J$91,9,FALSE()),""))</f>
      </c>
    </row>
    <row r="17756">
      <c r="F17756">
        <f>IF(DATOS!$A17756="","",DATOS!$A17756&amp;"|"&amp;DATOS!$D17756&amp;"|"&amp;DATOS!$E17756&amp;"|"&amp;DATOS!$I17756)</f>
      </c>
      <c r="G17756">
        <f>IF(DATOS!$A17756="",0,IF(CONFIG_METADATA!$B$4&lt;&gt;"OR+EX",--(DATOS!$G17756=CONFIG_METADATA!$B$4),IF(DATOS!$G17756="EX",1,IF(DATOS!$G17756="OR",--(COUNTIFS(nNIA,DATOS!$A17756,nCURSO,DATOS!$D17756,nESPEC,DATOS!$E17756,nASIG,DATOS!$I17756,nEVAL,"EX")=0),0))))</f>
      </c>
      <c r="H17756">
        <f>IF(DATOS!$G17756&lt;&gt;"EX",0,--(COUNTIFS(nNIA,DATOS!$A17756,nCURSO,DATOS!$D17756,nESPEC,DATOS!$E17756,nASIG,DATOS!$I17756,nEVAL,"OR")=0))</f>
      </c>
      <c r="I17756">
        <f>IF(DATOS!$I17756="","",IFERROR(VLOOKUP(DATOS!$I17756,CONFIG_ASIGNATURAS!$B$2:$J$91,9,FALSE()),""))</f>
      </c>
    </row>
    <row r="17757">
      <c r="F17757">
        <f>IF(DATOS!$A17757="","",DATOS!$A17757&amp;"|"&amp;DATOS!$D17757&amp;"|"&amp;DATOS!$E17757&amp;"|"&amp;DATOS!$I17757)</f>
      </c>
      <c r="G17757">
        <f>IF(DATOS!$A17757="",0,IF(CONFIG_METADATA!$B$4&lt;&gt;"OR+EX",--(DATOS!$G17757=CONFIG_METADATA!$B$4),IF(DATOS!$G17757="EX",1,IF(DATOS!$G17757="OR",--(COUNTIFS(nNIA,DATOS!$A17757,nCURSO,DATOS!$D17757,nESPEC,DATOS!$E17757,nASIG,DATOS!$I17757,nEVAL,"EX")=0),0))))</f>
      </c>
      <c r="H17757">
        <f>IF(DATOS!$G17757&lt;&gt;"EX",0,--(COUNTIFS(nNIA,DATOS!$A17757,nCURSO,DATOS!$D17757,nESPEC,DATOS!$E17757,nASIG,DATOS!$I17757,nEVAL,"OR")=0))</f>
      </c>
      <c r="I17757">
        <f>IF(DATOS!$I17757="","",IFERROR(VLOOKUP(DATOS!$I17757,CONFIG_ASIGNATURAS!$B$2:$J$91,9,FALSE()),""))</f>
      </c>
    </row>
    <row r="17758">
      <c r="F17758">
        <f>IF(DATOS!$A17758="","",DATOS!$A17758&amp;"|"&amp;DATOS!$D17758&amp;"|"&amp;DATOS!$E17758&amp;"|"&amp;DATOS!$I17758)</f>
      </c>
      <c r="G17758">
        <f>IF(DATOS!$A17758="",0,IF(CONFIG_METADATA!$B$4&lt;&gt;"OR+EX",--(DATOS!$G17758=CONFIG_METADATA!$B$4),IF(DATOS!$G17758="EX",1,IF(DATOS!$G17758="OR",--(COUNTIFS(nNIA,DATOS!$A17758,nCURSO,DATOS!$D17758,nESPEC,DATOS!$E17758,nASIG,DATOS!$I17758,nEVAL,"EX")=0),0))))</f>
      </c>
      <c r="H17758">
        <f>IF(DATOS!$G17758&lt;&gt;"EX",0,--(COUNTIFS(nNIA,DATOS!$A17758,nCURSO,DATOS!$D17758,nESPEC,DATOS!$E17758,nASIG,DATOS!$I17758,nEVAL,"OR")=0))</f>
      </c>
      <c r="I17758">
        <f>IF(DATOS!$I17758="","",IFERROR(VLOOKUP(DATOS!$I17758,CONFIG_ASIGNATURAS!$B$2:$J$91,9,FALSE()),""))</f>
      </c>
    </row>
    <row r="17759">
      <c r="F17759">
        <f>IF(DATOS!$A17759="","",DATOS!$A17759&amp;"|"&amp;DATOS!$D17759&amp;"|"&amp;DATOS!$E17759&amp;"|"&amp;DATOS!$I17759)</f>
      </c>
      <c r="G17759">
        <f>IF(DATOS!$A17759="",0,IF(CONFIG_METADATA!$B$4&lt;&gt;"OR+EX",--(DATOS!$G17759=CONFIG_METADATA!$B$4),IF(DATOS!$G17759="EX",1,IF(DATOS!$G17759="OR",--(COUNTIFS(nNIA,DATOS!$A17759,nCURSO,DATOS!$D17759,nESPEC,DATOS!$E17759,nASIG,DATOS!$I17759,nEVAL,"EX")=0),0))))</f>
      </c>
      <c r="H17759">
        <f>IF(DATOS!$G17759&lt;&gt;"EX",0,--(COUNTIFS(nNIA,DATOS!$A17759,nCURSO,DATOS!$D17759,nESPEC,DATOS!$E17759,nASIG,DATOS!$I17759,nEVAL,"OR")=0))</f>
      </c>
      <c r="I17759">
        <f>IF(DATOS!$I17759="","",IFERROR(VLOOKUP(DATOS!$I17759,CONFIG_ASIGNATURAS!$B$2:$J$91,9,FALSE()),""))</f>
      </c>
    </row>
    <row r="17760">
      <c r="F17760">
        <f>IF(DATOS!$A17760="","",DATOS!$A17760&amp;"|"&amp;DATOS!$D17760&amp;"|"&amp;DATOS!$E17760&amp;"|"&amp;DATOS!$I17760)</f>
      </c>
      <c r="G17760">
        <f>IF(DATOS!$A17760="",0,IF(CONFIG_METADATA!$B$4&lt;&gt;"OR+EX",--(DATOS!$G17760=CONFIG_METADATA!$B$4),IF(DATOS!$G17760="EX",1,IF(DATOS!$G17760="OR",--(COUNTIFS(nNIA,DATOS!$A17760,nCURSO,DATOS!$D17760,nESPEC,DATOS!$E17760,nASIG,DATOS!$I17760,nEVAL,"EX")=0),0))))</f>
      </c>
      <c r="H17760">
        <f>IF(DATOS!$G17760&lt;&gt;"EX",0,--(COUNTIFS(nNIA,DATOS!$A17760,nCURSO,DATOS!$D17760,nESPEC,DATOS!$E17760,nASIG,DATOS!$I17760,nEVAL,"OR")=0))</f>
      </c>
      <c r="I17760">
        <f>IF(DATOS!$I17760="","",IFERROR(VLOOKUP(DATOS!$I17760,CONFIG_ASIGNATURAS!$B$2:$J$91,9,FALSE()),""))</f>
      </c>
    </row>
    <row r="17761">
      <c r="F17761">
        <f>IF(DATOS!$A17761="","",DATOS!$A17761&amp;"|"&amp;DATOS!$D17761&amp;"|"&amp;DATOS!$E17761&amp;"|"&amp;DATOS!$I17761)</f>
      </c>
      <c r="G17761">
        <f>IF(DATOS!$A17761="",0,IF(CONFIG_METADATA!$B$4&lt;&gt;"OR+EX",--(DATOS!$G17761=CONFIG_METADATA!$B$4),IF(DATOS!$G17761="EX",1,IF(DATOS!$G17761="OR",--(COUNTIFS(nNIA,DATOS!$A17761,nCURSO,DATOS!$D17761,nESPEC,DATOS!$E17761,nASIG,DATOS!$I17761,nEVAL,"EX")=0),0))))</f>
      </c>
      <c r="H17761">
        <f>IF(DATOS!$G17761&lt;&gt;"EX",0,--(COUNTIFS(nNIA,DATOS!$A17761,nCURSO,DATOS!$D17761,nESPEC,DATOS!$E17761,nASIG,DATOS!$I17761,nEVAL,"OR")=0))</f>
      </c>
      <c r="I17761">
        <f>IF(DATOS!$I17761="","",IFERROR(VLOOKUP(DATOS!$I17761,CONFIG_ASIGNATURAS!$B$2:$J$91,9,FALSE()),""))</f>
      </c>
    </row>
    <row r="17762">
      <c r="F17762">
        <f>IF(DATOS!$A17762="","",DATOS!$A17762&amp;"|"&amp;DATOS!$D17762&amp;"|"&amp;DATOS!$E17762&amp;"|"&amp;DATOS!$I17762)</f>
      </c>
      <c r="G17762">
        <f>IF(DATOS!$A17762="",0,IF(CONFIG_METADATA!$B$4&lt;&gt;"OR+EX",--(DATOS!$G17762=CONFIG_METADATA!$B$4),IF(DATOS!$G17762="EX",1,IF(DATOS!$G17762="OR",--(COUNTIFS(nNIA,DATOS!$A17762,nCURSO,DATOS!$D17762,nESPEC,DATOS!$E17762,nASIG,DATOS!$I17762,nEVAL,"EX")=0),0))))</f>
      </c>
      <c r="H17762">
        <f>IF(DATOS!$G17762&lt;&gt;"EX",0,--(COUNTIFS(nNIA,DATOS!$A17762,nCURSO,DATOS!$D17762,nESPEC,DATOS!$E17762,nASIG,DATOS!$I17762,nEVAL,"OR")=0))</f>
      </c>
      <c r="I17762">
        <f>IF(DATOS!$I17762="","",IFERROR(VLOOKUP(DATOS!$I17762,CONFIG_ASIGNATURAS!$B$2:$J$91,9,FALSE()),""))</f>
      </c>
    </row>
    <row r="17763">
      <c r="F17763">
        <f>IF(DATOS!$A17763="","",DATOS!$A17763&amp;"|"&amp;DATOS!$D17763&amp;"|"&amp;DATOS!$E17763&amp;"|"&amp;DATOS!$I17763)</f>
      </c>
      <c r="G17763">
        <f>IF(DATOS!$A17763="",0,IF(CONFIG_METADATA!$B$4&lt;&gt;"OR+EX",--(DATOS!$G17763=CONFIG_METADATA!$B$4),IF(DATOS!$G17763="EX",1,IF(DATOS!$G17763="OR",--(COUNTIFS(nNIA,DATOS!$A17763,nCURSO,DATOS!$D17763,nESPEC,DATOS!$E17763,nASIG,DATOS!$I17763,nEVAL,"EX")=0),0))))</f>
      </c>
      <c r="H17763">
        <f>IF(DATOS!$G17763&lt;&gt;"EX",0,--(COUNTIFS(nNIA,DATOS!$A17763,nCURSO,DATOS!$D17763,nESPEC,DATOS!$E17763,nASIG,DATOS!$I17763,nEVAL,"OR")=0))</f>
      </c>
      <c r="I17763">
        <f>IF(DATOS!$I17763="","",IFERROR(VLOOKUP(DATOS!$I17763,CONFIG_ASIGNATURAS!$B$2:$J$91,9,FALSE()),""))</f>
      </c>
    </row>
    <row r="17764">
      <c r="F17764">
        <f>IF(DATOS!$A17764="","",DATOS!$A17764&amp;"|"&amp;DATOS!$D17764&amp;"|"&amp;DATOS!$E17764&amp;"|"&amp;DATOS!$I17764)</f>
      </c>
      <c r="G17764">
        <f>IF(DATOS!$A17764="",0,IF(CONFIG_METADATA!$B$4&lt;&gt;"OR+EX",--(DATOS!$G17764=CONFIG_METADATA!$B$4),IF(DATOS!$G17764="EX",1,IF(DATOS!$G17764="OR",--(COUNTIFS(nNIA,DATOS!$A17764,nCURSO,DATOS!$D17764,nESPEC,DATOS!$E17764,nASIG,DATOS!$I17764,nEVAL,"EX")=0),0))))</f>
      </c>
      <c r="H17764">
        <f>IF(DATOS!$G17764&lt;&gt;"EX",0,--(COUNTIFS(nNIA,DATOS!$A17764,nCURSO,DATOS!$D17764,nESPEC,DATOS!$E17764,nASIG,DATOS!$I17764,nEVAL,"OR")=0))</f>
      </c>
      <c r="I17764">
        <f>IF(DATOS!$I17764="","",IFERROR(VLOOKUP(DATOS!$I17764,CONFIG_ASIGNATURAS!$B$2:$J$91,9,FALSE()),""))</f>
      </c>
    </row>
    <row r="17765">
      <c r="F17765">
        <f>IF(DATOS!$A17765="","",DATOS!$A17765&amp;"|"&amp;DATOS!$D17765&amp;"|"&amp;DATOS!$E17765&amp;"|"&amp;DATOS!$I17765)</f>
      </c>
      <c r="G17765">
        <f>IF(DATOS!$A17765="",0,IF(CONFIG_METADATA!$B$4&lt;&gt;"OR+EX",--(DATOS!$G17765=CONFIG_METADATA!$B$4),IF(DATOS!$G17765="EX",1,IF(DATOS!$G17765="OR",--(COUNTIFS(nNIA,DATOS!$A17765,nCURSO,DATOS!$D17765,nESPEC,DATOS!$E17765,nASIG,DATOS!$I17765,nEVAL,"EX")=0),0))))</f>
      </c>
      <c r="H17765">
        <f>IF(DATOS!$G17765&lt;&gt;"EX",0,--(COUNTIFS(nNIA,DATOS!$A17765,nCURSO,DATOS!$D17765,nESPEC,DATOS!$E17765,nASIG,DATOS!$I17765,nEVAL,"OR")=0))</f>
      </c>
      <c r="I17765">
        <f>IF(DATOS!$I17765="","",IFERROR(VLOOKUP(DATOS!$I17765,CONFIG_ASIGNATURAS!$B$2:$J$91,9,FALSE()),""))</f>
      </c>
    </row>
    <row r="17766">
      <c r="F17766">
        <f>IF(DATOS!$A17766="","",DATOS!$A17766&amp;"|"&amp;DATOS!$D17766&amp;"|"&amp;DATOS!$E17766&amp;"|"&amp;DATOS!$I17766)</f>
      </c>
      <c r="G17766">
        <f>IF(DATOS!$A17766="",0,IF(CONFIG_METADATA!$B$4&lt;&gt;"OR+EX",--(DATOS!$G17766=CONFIG_METADATA!$B$4),IF(DATOS!$G17766="EX",1,IF(DATOS!$G17766="OR",--(COUNTIFS(nNIA,DATOS!$A17766,nCURSO,DATOS!$D17766,nESPEC,DATOS!$E17766,nASIG,DATOS!$I17766,nEVAL,"EX")=0),0))))</f>
      </c>
      <c r="H17766">
        <f>IF(DATOS!$G17766&lt;&gt;"EX",0,--(COUNTIFS(nNIA,DATOS!$A17766,nCURSO,DATOS!$D17766,nESPEC,DATOS!$E17766,nASIG,DATOS!$I17766,nEVAL,"OR")=0))</f>
      </c>
      <c r="I17766">
        <f>IF(DATOS!$I17766="","",IFERROR(VLOOKUP(DATOS!$I17766,CONFIG_ASIGNATURAS!$B$2:$J$91,9,FALSE()),""))</f>
      </c>
    </row>
    <row r="17767">
      <c r="F17767">
        <f>IF(DATOS!$A17767="","",DATOS!$A17767&amp;"|"&amp;DATOS!$D17767&amp;"|"&amp;DATOS!$E17767&amp;"|"&amp;DATOS!$I17767)</f>
      </c>
      <c r="G17767">
        <f>IF(DATOS!$A17767="",0,IF(CONFIG_METADATA!$B$4&lt;&gt;"OR+EX",--(DATOS!$G17767=CONFIG_METADATA!$B$4),IF(DATOS!$G17767="EX",1,IF(DATOS!$G17767="OR",--(COUNTIFS(nNIA,DATOS!$A17767,nCURSO,DATOS!$D17767,nESPEC,DATOS!$E17767,nASIG,DATOS!$I17767,nEVAL,"EX")=0),0))))</f>
      </c>
      <c r="H17767">
        <f>IF(DATOS!$G17767&lt;&gt;"EX",0,--(COUNTIFS(nNIA,DATOS!$A17767,nCURSO,DATOS!$D17767,nESPEC,DATOS!$E17767,nASIG,DATOS!$I17767,nEVAL,"OR")=0))</f>
      </c>
      <c r="I17767">
        <f>IF(DATOS!$I17767="","",IFERROR(VLOOKUP(DATOS!$I17767,CONFIG_ASIGNATURAS!$B$2:$J$91,9,FALSE()),""))</f>
      </c>
    </row>
    <row r="17768">
      <c r="F17768">
        <f>IF(DATOS!$A17768="","",DATOS!$A17768&amp;"|"&amp;DATOS!$D17768&amp;"|"&amp;DATOS!$E17768&amp;"|"&amp;DATOS!$I17768)</f>
      </c>
      <c r="G17768">
        <f>IF(DATOS!$A17768="",0,IF(CONFIG_METADATA!$B$4&lt;&gt;"OR+EX",--(DATOS!$G17768=CONFIG_METADATA!$B$4),IF(DATOS!$G17768="EX",1,IF(DATOS!$G17768="OR",--(COUNTIFS(nNIA,DATOS!$A17768,nCURSO,DATOS!$D17768,nESPEC,DATOS!$E17768,nASIG,DATOS!$I17768,nEVAL,"EX")=0),0))))</f>
      </c>
      <c r="H17768">
        <f>IF(DATOS!$G17768&lt;&gt;"EX",0,--(COUNTIFS(nNIA,DATOS!$A17768,nCURSO,DATOS!$D17768,nESPEC,DATOS!$E17768,nASIG,DATOS!$I17768,nEVAL,"OR")=0))</f>
      </c>
      <c r="I17768">
        <f>IF(DATOS!$I17768="","",IFERROR(VLOOKUP(DATOS!$I17768,CONFIG_ASIGNATURAS!$B$2:$J$91,9,FALSE()),""))</f>
      </c>
    </row>
    <row r="17769">
      <c r="F17769">
        <f>IF(DATOS!$A17769="","",DATOS!$A17769&amp;"|"&amp;DATOS!$D17769&amp;"|"&amp;DATOS!$E17769&amp;"|"&amp;DATOS!$I17769)</f>
      </c>
      <c r="G17769">
        <f>IF(DATOS!$A17769="",0,IF(CONFIG_METADATA!$B$4&lt;&gt;"OR+EX",--(DATOS!$G17769=CONFIG_METADATA!$B$4),IF(DATOS!$G17769="EX",1,IF(DATOS!$G17769="OR",--(COUNTIFS(nNIA,DATOS!$A17769,nCURSO,DATOS!$D17769,nESPEC,DATOS!$E17769,nASIG,DATOS!$I17769,nEVAL,"EX")=0),0))))</f>
      </c>
      <c r="H17769">
        <f>IF(DATOS!$G17769&lt;&gt;"EX",0,--(COUNTIFS(nNIA,DATOS!$A17769,nCURSO,DATOS!$D17769,nESPEC,DATOS!$E17769,nASIG,DATOS!$I17769,nEVAL,"OR")=0))</f>
      </c>
      <c r="I17769">
        <f>IF(DATOS!$I17769="","",IFERROR(VLOOKUP(DATOS!$I17769,CONFIG_ASIGNATURAS!$B$2:$J$91,9,FALSE()),""))</f>
      </c>
    </row>
    <row r="17770">
      <c r="F17770">
        <f>IF(DATOS!$A17770="","",DATOS!$A17770&amp;"|"&amp;DATOS!$D17770&amp;"|"&amp;DATOS!$E17770&amp;"|"&amp;DATOS!$I17770)</f>
      </c>
      <c r="G17770">
        <f>IF(DATOS!$A17770="",0,IF(CONFIG_METADATA!$B$4&lt;&gt;"OR+EX",--(DATOS!$G17770=CONFIG_METADATA!$B$4),IF(DATOS!$G17770="EX",1,IF(DATOS!$G17770="OR",--(COUNTIFS(nNIA,DATOS!$A17770,nCURSO,DATOS!$D17770,nESPEC,DATOS!$E17770,nASIG,DATOS!$I17770,nEVAL,"EX")=0),0))))</f>
      </c>
      <c r="H17770">
        <f>IF(DATOS!$G17770&lt;&gt;"EX",0,--(COUNTIFS(nNIA,DATOS!$A17770,nCURSO,DATOS!$D17770,nESPEC,DATOS!$E17770,nASIG,DATOS!$I17770,nEVAL,"OR")=0))</f>
      </c>
      <c r="I17770">
        <f>IF(DATOS!$I17770="","",IFERROR(VLOOKUP(DATOS!$I17770,CONFIG_ASIGNATURAS!$B$2:$J$91,9,FALSE()),""))</f>
      </c>
    </row>
    <row r="17771">
      <c r="F17771">
        <f>IF(DATOS!$A17771="","",DATOS!$A17771&amp;"|"&amp;DATOS!$D17771&amp;"|"&amp;DATOS!$E17771&amp;"|"&amp;DATOS!$I17771)</f>
      </c>
      <c r="G17771">
        <f>IF(DATOS!$A17771="",0,IF(CONFIG_METADATA!$B$4&lt;&gt;"OR+EX",--(DATOS!$G17771=CONFIG_METADATA!$B$4),IF(DATOS!$G17771="EX",1,IF(DATOS!$G17771="OR",--(COUNTIFS(nNIA,DATOS!$A17771,nCURSO,DATOS!$D17771,nESPEC,DATOS!$E17771,nASIG,DATOS!$I17771,nEVAL,"EX")=0),0))))</f>
      </c>
      <c r="H17771">
        <f>IF(DATOS!$G17771&lt;&gt;"EX",0,--(COUNTIFS(nNIA,DATOS!$A17771,nCURSO,DATOS!$D17771,nESPEC,DATOS!$E17771,nASIG,DATOS!$I17771,nEVAL,"OR")=0))</f>
      </c>
      <c r="I17771">
        <f>IF(DATOS!$I17771="","",IFERROR(VLOOKUP(DATOS!$I17771,CONFIG_ASIGNATURAS!$B$2:$J$91,9,FALSE()),""))</f>
      </c>
    </row>
    <row r="17772">
      <c r="F17772">
        <f>IF(DATOS!$A17772="","",DATOS!$A17772&amp;"|"&amp;DATOS!$D17772&amp;"|"&amp;DATOS!$E17772&amp;"|"&amp;DATOS!$I17772)</f>
      </c>
      <c r="G17772">
        <f>IF(DATOS!$A17772="",0,IF(CONFIG_METADATA!$B$4&lt;&gt;"OR+EX",--(DATOS!$G17772=CONFIG_METADATA!$B$4),IF(DATOS!$G17772="EX",1,IF(DATOS!$G17772="OR",--(COUNTIFS(nNIA,DATOS!$A17772,nCURSO,DATOS!$D17772,nESPEC,DATOS!$E17772,nASIG,DATOS!$I17772,nEVAL,"EX")=0),0))))</f>
      </c>
      <c r="H17772">
        <f>IF(DATOS!$G17772&lt;&gt;"EX",0,--(COUNTIFS(nNIA,DATOS!$A17772,nCURSO,DATOS!$D17772,nESPEC,DATOS!$E17772,nASIG,DATOS!$I17772,nEVAL,"OR")=0))</f>
      </c>
      <c r="I17772">
        <f>IF(DATOS!$I17772="","",IFERROR(VLOOKUP(DATOS!$I17772,CONFIG_ASIGNATURAS!$B$2:$J$91,9,FALSE()),""))</f>
      </c>
    </row>
    <row r="17773">
      <c r="F17773">
        <f>IF(DATOS!$A17773="","",DATOS!$A17773&amp;"|"&amp;DATOS!$D17773&amp;"|"&amp;DATOS!$E17773&amp;"|"&amp;DATOS!$I17773)</f>
      </c>
      <c r="G17773">
        <f>IF(DATOS!$A17773="",0,IF(CONFIG_METADATA!$B$4&lt;&gt;"OR+EX",--(DATOS!$G17773=CONFIG_METADATA!$B$4),IF(DATOS!$G17773="EX",1,IF(DATOS!$G17773="OR",--(COUNTIFS(nNIA,DATOS!$A17773,nCURSO,DATOS!$D17773,nESPEC,DATOS!$E17773,nASIG,DATOS!$I17773,nEVAL,"EX")=0),0))))</f>
      </c>
      <c r="H17773">
        <f>IF(DATOS!$G17773&lt;&gt;"EX",0,--(COUNTIFS(nNIA,DATOS!$A17773,nCURSO,DATOS!$D17773,nESPEC,DATOS!$E17773,nASIG,DATOS!$I17773,nEVAL,"OR")=0))</f>
      </c>
      <c r="I17773">
        <f>IF(DATOS!$I17773="","",IFERROR(VLOOKUP(DATOS!$I17773,CONFIG_ASIGNATURAS!$B$2:$J$91,9,FALSE()),""))</f>
      </c>
    </row>
    <row r="17774">
      <c r="F17774">
        <f>IF(DATOS!$A17774="","",DATOS!$A17774&amp;"|"&amp;DATOS!$D17774&amp;"|"&amp;DATOS!$E17774&amp;"|"&amp;DATOS!$I17774)</f>
      </c>
      <c r="G17774">
        <f>IF(DATOS!$A17774="",0,IF(CONFIG_METADATA!$B$4&lt;&gt;"OR+EX",--(DATOS!$G17774=CONFIG_METADATA!$B$4),IF(DATOS!$G17774="EX",1,IF(DATOS!$G17774="OR",--(COUNTIFS(nNIA,DATOS!$A17774,nCURSO,DATOS!$D17774,nESPEC,DATOS!$E17774,nASIG,DATOS!$I17774,nEVAL,"EX")=0),0))))</f>
      </c>
      <c r="H17774">
        <f>IF(DATOS!$G17774&lt;&gt;"EX",0,--(COUNTIFS(nNIA,DATOS!$A17774,nCURSO,DATOS!$D17774,nESPEC,DATOS!$E17774,nASIG,DATOS!$I17774,nEVAL,"OR")=0))</f>
      </c>
      <c r="I17774">
        <f>IF(DATOS!$I17774="","",IFERROR(VLOOKUP(DATOS!$I17774,CONFIG_ASIGNATURAS!$B$2:$J$91,9,FALSE()),""))</f>
      </c>
    </row>
    <row r="17775">
      <c r="F17775">
        <f>IF(DATOS!$A17775="","",DATOS!$A17775&amp;"|"&amp;DATOS!$D17775&amp;"|"&amp;DATOS!$E17775&amp;"|"&amp;DATOS!$I17775)</f>
      </c>
      <c r="G17775">
        <f>IF(DATOS!$A17775="",0,IF(CONFIG_METADATA!$B$4&lt;&gt;"OR+EX",--(DATOS!$G17775=CONFIG_METADATA!$B$4),IF(DATOS!$G17775="EX",1,IF(DATOS!$G17775="OR",--(COUNTIFS(nNIA,DATOS!$A17775,nCURSO,DATOS!$D17775,nESPEC,DATOS!$E17775,nASIG,DATOS!$I17775,nEVAL,"EX")=0),0))))</f>
      </c>
      <c r="H17775">
        <f>IF(DATOS!$G17775&lt;&gt;"EX",0,--(COUNTIFS(nNIA,DATOS!$A17775,nCURSO,DATOS!$D17775,nESPEC,DATOS!$E17775,nASIG,DATOS!$I17775,nEVAL,"OR")=0))</f>
      </c>
      <c r="I17775">
        <f>IF(DATOS!$I17775="","",IFERROR(VLOOKUP(DATOS!$I17775,CONFIG_ASIGNATURAS!$B$2:$J$91,9,FALSE()),""))</f>
      </c>
    </row>
    <row r="17776">
      <c r="F17776">
        <f>IF(DATOS!$A17776="","",DATOS!$A17776&amp;"|"&amp;DATOS!$D17776&amp;"|"&amp;DATOS!$E17776&amp;"|"&amp;DATOS!$I17776)</f>
      </c>
      <c r="G17776">
        <f>IF(DATOS!$A17776="",0,IF(CONFIG_METADATA!$B$4&lt;&gt;"OR+EX",--(DATOS!$G17776=CONFIG_METADATA!$B$4),IF(DATOS!$G17776="EX",1,IF(DATOS!$G17776="OR",--(COUNTIFS(nNIA,DATOS!$A17776,nCURSO,DATOS!$D17776,nESPEC,DATOS!$E17776,nASIG,DATOS!$I17776,nEVAL,"EX")=0),0))))</f>
      </c>
      <c r="H17776">
        <f>IF(DATOS!$G17776&lt;&gt;"EX",0,--(COUNTIFS(nNIA,DATOS!$A17776,nCURSO,DATOS!$D17776,nESPEC,DATOS!$E17776,nASIG,DATOS!$I17776,nEVAL,"OR")=0))</f>
      </c>
      <c r="I17776">
        <f>IF(DATOS!$I17776="","",IFERROR(VLOOKUP(DATOS!$I17776,CONFIG_ASIGNATURAS!$B$2:$J$91,9,FALSE()),""))</f>
      </c>
    </row>
    <row r="17777">
      <c r="F17777">
        <f>IF(DATOS!$A17777="","",DATOS!$A17777&amp;"|"&amp;DATOS!$D17777&amp;"|"&amp;DATOS!$E17777&amp;"|"&amp;DATOS!$I17777)</f>
      </c>
      <c r="G17777">
        <f>IF(DATOS!$A17777="",0,IF(CONFIG_METADATA!$B$4&lt;&gt;"OR+EX",--(DATOS!$G17777=CONFIG_METADATA!$B$4),IF(DATOS!$G17777="EX",1,IF(DATOS!$G17777="OR",--(COUNTIFS(nNIA,DATOS!$A17777,nCURSO,DATOS!$D17777,nESPEC,DATOS!$E17777,nASIG,DATOS!$I17777,nEVAL,"EX")=0),0))))</f>
      </c>
      <c r="H17777">
        <f>IF(DATOS!$G17777&lt;&gt;"EX",0,--(COUNTIFS(nNIA,DATOS!$A17777,nCURSO,DATOS!$D17777,nESPEC,DATOS!$E17777,nASIG,DATOS!$I17777,nEVAL,"OR")=0))</f>
      </c>
      <c r="I17777">
        <f>IF(DATOS!$I17777="","",IFERROR(VLOOKUP(DATOS!$I17777,CONFIG_ASIGNATURAS!$B$2:$J$91,9,FALSE()),""))</f>
      </c>
    </row>
    <row r="17778">
      <c r="F17778">
        <f>IF(DATOS!$A17778="","",DATOS!$A17778&amp;"|"&amp;DATOS!$D17778&amp;"|"&amp;DATOS!$E17778&amp;"|"&amp;DATOS!$I17778)</f>
      </c>
      <c r="G17778">
        <f>IF(DATOS!$A17778="",0,IF(CONFIG_METADATA!$B$4&lt;&gt;"OR+EX",--(DATOS!$G17778=CONFIG_METADATA!$B$4),IF(DATOS!$G17778="EX",1,IF(DATOS!$G17778="OR",--(COUNTIFS(nNIA,DATOS!$A17778,nCURSO,DATOS!$D17778,nESPEC,DATOS!$E17778,nASIG,DATOS!$I17778,nEVAL,"EX")=0),0))))</f>
      </c>
      <c r="H17778">
        <f>IF(DATOS!$G17778&lt;&gt;"EX",0,--(COUNTIFS(nNIA,DATOS!$A17778,nCURSO,DATOS!$D17778,nESPEC,DATOS!$E17778,nASIG,DATOS!$I17778,nEVAL,"OR")=0))</f>
      </c>
      <c r="I17778">
        <f>IF(DATOS!$I17778="","",IFERROR(VLOOKUP(DATOS!$I17778,CONFIG_ASIGNATURAS!$B$2:$J$91,9,FALSE()),""))</f>
      </c>
    </row>
    <row r="17779">
      <c r="F17779">
        <f>IF(DATOS!$A17779="","",DATOS!$A17779&amp;"|"&amp;DATOS!$D17779&amp;"|"&amp;DATOS!$E17779&amp;"|"&amp;DATOS!$I17779)</f>
      </c>
      <c r="G17779">
        <f>IF(DATOS!$A17779="",0,IF(CONFIG_METADATA!$B$4&lt;&gt;"OR+EX",--(DATOS!$G17779=CONFIG_METADATA!$B$4),IF(DATOS!$G17779="EX",1,IF(DATOS!$G17779="OR",--(COUNTIFS(nNIA,DATOS!$A17779,nCURSO,DATOS!$D17779,nESPEC,DATOS!$E17779,nASIG,DATOS!$I17779,nEVAL,"EX")=0),0))))</f>
      </c>
      <c r="H17779">
        <f>IF(DATOS!$G17779&lt;&gt;"EX",0,--(COUNTIFS(nNIA,DATOS!$A17779,nCURSO,DATOS!$D17779,nESPEC,DATOS!$E17779,nASIG,DATOS!$I17779,nEVAL,"OR")=0))</f>
      </c>
      <c r="I17779">
        <f>IF(DATOS!$I17779="","",IFERROR(VLOOKUP(DATOS!$I17779,CONFIG_ASIGNATURAS!$B$2:$J$91,9,FALSE()),""))</f>
      </c>
    </row>
    <row r="17780">
      <c r="F17780">
        <f>IF(DATOS!$A17780="","",DATOS!$A17780&amp;"|"&amp;DATOS!$D17780&amp;"|"&amp;DATOS!$E17780&amp;"|"&amp;DATOS!$I17780)</f>
      </c>
      <c r="G17780">
        <f>IF(DATOS!$A17780="",0,IF(CONFIG_METADATA!$B$4&lt;&gt;"OR+EX",--(DATOS!$G17780=CONFIG_METADATA!$B$4),IF(DATOS!$G17780="EX",1,IF(DATOS!$G17780="OR",--(COUNTIFS(nNIA,DATOS!$A17780,nCURSO,DATOS!$D17780,nESPEC,DATOS!$E17780,nASIG,DATOS!$I17780,nEVAL,"EX")=0),0))))</f>
      </c>
      <c r="H17780">
        <f>IF(DATOS!$G17780&lt;&gt;"EX",0,--(COUNTIFS(nNIA,DATOS!$A17780,nCURSO,DATOS!$D17780,nESPEC,DATOS!$E17780,nASIG,DATOS!$I17780,nEVAL,"OR")=0))</f>
      </c>
      <c r="I17780">
        <f>IF(DATOS!$I17780="","",IFERROR(VLOOKUP(DATOS!$I17780,CONFIG_ASIGNATURAS!$B$2:$J$91,9,FALSE()),""))</f>
      </c>
    </row>
    <row r="17781">
      <c r="F17781">
        <f>IF(DATOS!$A17781="","",DATOS!$A17781&amp;"|"&amp;DATOS!$D17781&amp;"|"&amp;DATOS!$E17781&amp;"|"&amp;DATOS!$I17781)</f>
      </c>
      <c r="G17781">
        <f>IF(DATOS!$A17781="",0,IF(CONFIG_METADATA!$B$4&lt;&gt;"OR+EX",--(DATOS!$G17781=CONFIG_METADATA!$B$4),IF(DATOS!$G17781="EX",1,IF(DATOS!$G17781="OR",--(COUNTIFS(nNIA,DATOS!$A17781,nCURSO,DATOS!$D17781,nESPEC,DATOS!$E17781,nASIG,DATOS!$I17781,nEVAL,"EX")=0),0))))</f>
      </c>
      <c r="H17781">
        <f>IF(DATOS!$G17781&lt;&gt;"EX",0,--(COUNTIFS(nNIA,DATOS!$A17781,nCURSO,DATOS!$D17781,nESPEC,DATOS!$E17781,nASIG,DATOS!$I17781,nEVAL,"OR")=0))</f>
      </c>
      <c r="I17781">
        <f>IF(DATOS!$I17781="","",IFERROR(VLOOKUP(DATOS!$I17781,CONFIG_ASIGNATURAS!$B$2:$J$91,9,FALSE()),""))</f>
      </c>
    </row>
    <row r="17782">
      <c r="F17782">
        <f>IF(DATOS!$A17782="","",DATOS!$A17782&amp;"|"&amp;DATOS!$D17782&amp;"|"&amp;DATOS!$E17782&amp;"|"&amp;DATOS!$I17782)</f>
      </c>
      <c r="G17782">
        <f>IF(DATOS!$A17782="",0,IF(CONFIG_METADATA!$B$4&lt;&gt;"OR+EX",--(DATOS!$G17782=CONFIG_METADATA!$B$4),IF(DATOS!$G17782="EX",1,IF(DATOS!$G17782="OR",--(COUNTIFS(nNIA,DATOS!$A17782,nCURSO,DATOS!$D17782,nESPEC,DATOS!$E17782,nASIG,DATOS!$I17782,nEVAL,"EX")=0),0))))</f>
      </c>
      <c r="H17782">
        <f>IF(DATOS!$G17782&lt;&gt;"EX",0,--(COUNTIFS(nNIA,DATOS!$A17782,nCURSO,DATOS!$D17782,nESPEC,DATOS!$E17782,nASIG,DATOS!$I17782,nEVAL,"OR")=0))</f>
      </c>
      <c r="I17782">
        <f>IF(DATOS!$I17782="","",IFERROR(VLOOKUP(DATOS!$I17782,CONFIG_ASIGNATURAS!$B$2:$J$91,9,FALSE()),""))</f>
      </c>
    </row>
    <row r="17783">
      <c r="F17783">
        <f>IF(DATOS!$A17783="","",DATOS!$A17783&amp;"|"&amp;DATOS!$D17783&amp;"|"&amp;DATOS!$E17783&amp;"|"&amp;DATOS!$I17783)</f>
      </c>
      <c r="G17783">
        <f>IF(DATOS!$A17783="",0,IF(CONFIG_METADATA!$B$4&lt;&gt;"OR+EX",--(DATOS!$G17783=CONFIG_METADATA!$B$4),IF(DATOS!$G17783="EX",1,IF(DATOS!$G17783="OR",--(COUNTIFS(nNIA,DATOS!$A17783,nCURSO,DATOS!$D17783,nESPEC,DATOS!$E17783,nASIG,DATOS!$I17783,nEVAL,"EX")=0),0))))</f>
      </c>
      <c r="H17783">
        <f>IF(DATOS!$G17783&lt;&gt;"EX",0,--(COUNTIFS(nNIA,DATOS!$A17783,nCURSO,DATOS!$D17783,nESPEC,DATOS!$E17783,nASIG,DATOS!$I17783,nEVAL,"OR")=0))</f>
      </c>
      <c r="I17783">
        <f>IF(DATOS!$I17783="","",IFERROR(VLOOKUP(DATOS!$I17783,CONFIG_ASIGNATURAS!$B$2:$J$91,9,FALSE()),""))</f>
      </c>
    </row>
    <row r="17784">
      <c r="F17784">
        <f>IF(DATOS!$A17784="","",DATOS!$A17784&amp;"|"&amp;DATOS!$D17784&amp;"|"&amp;DATOS!$E17784&amp;"|"&amp;DATOS!$I17784)</f>
      </c>
      <c r="G17784">
        <f>IF(DATOS!$A17784="",0,IF(CONFIG_METADATA!$B$4&lt;&gt;"OR+EX",--(DATOS!$G17784=CONFIG_METADATA!$B$4),IF(DATOS!$G17784="EX",1,IF(DATOS!$G17784="OR",--(COUNTIFS(nNIA,DATOS!$A17784,nCURSO,DATOS!$D17784,nESPEC,DATOS!$E17784,nASIG,DATOS!$I17784,nEVAL,"EX")=0),0))))</f>
      </c>
      <c r="H17784">
        <f>IF(DATOS!$G17784&lt;&gt;"EX",0,--(COUNTIFS(nNIA,DATOS!$A17784,nCURSO,DATOS!$D17784,nESPEC,DATOS!$E17784,nASIG,DATOS!$I17784,nEVAL,"OR")=0))</f>
      </c>
      <c r="I17784">
        <f>IF(DATOS!$I17784="","",IFERROR(VLOOKUP(DATOS!$I17784,CONFIG_ASIGNATURAS!$B$2:$J$91,9,FALSE()),""))</f>
      </c>
    </row>
    <row r="17785">
      <c r="F17785">
        <f>IF(DATOS!$A17785="","",DATOS!$A17785&amp;"|"&amp;DATOS!$D17785&amp;"|"&amp;DATOS!$E17785&amp;"|"&amp;DATOS!$I17785)</f>
      </c>
      <c r="G17785">
        <f>IF(DATOS!$A17785="",0,IF(CONFIG_METADATA!$B$4&lt;&gt;"OR+EX",--(DATOS!$G17785=CONFIG_METADATA!$B$4),IF(DATOS!$G17785="EX",1,IF(DATOS!$G17785="OR",--(COUNTIFS(nNIA,DATOS!$A17785,nCURSO,DATOS!$D17785,nESPEC,DATOS!$E17785,nASIG,DATOS!$I17785,nEVAL,"EX")=0),0))))</f>
      </c>
      <c r="H17785">
        <f>IF(DATOS!$G17785&lt;&gt;"EX",0,--(COUNTIFS(nNIA,DATOS!$A17785,nCURSO,DATOS!$D17785,nESPEC,DATOS!$E17785,nASIG,DATOS!$I17785,nEVAL,"OR")=0))</f>
      </c>
      <c r="I17785">
        <f>IF(DATOS!$I17785="","",IFERROR(VLOOKUP(DATOS!$I17785,CONFIG_ASIGNATURAS!$B$2:$J$91,9,FALSE()),""))</f>
      </c>
    </row>
    <row r="17786">
      <c r="F17786">
        <f>IF(DATOS!$A17786="","",DATOS!$A17786&amp;"|"&amp;DATOS!$D17786&amp;"|"&amp;DATOS!$E17786&amp;"|"&amp;DATOS!$I17786)</f>
      </c>
      <c r="G17786">
        <f>IF(DATOS!$A17786="",0,IF(CONFIG_METADATA!$B$4&lt;&gt;"OR+EX",--(DATOS!$G17786=CONFIG_METADATA!$B$4),IF(DATOS!$G17786="EX",1,IF(DATOS!$G17786="OR",--(COUNTIFS(nNIA,DATOS!$A17786,nCURSO,DATOS!$D17786,nESPEC,DATOS!$E17786,nASIG,DATOS!$I17786,nEVAL,"EX")=0),0))))</f>
      </c>
      <c r="H17786">
        <f>IF(DATOS!$G17786&lt;&gt;"EX",0,--(COUNTIFS(nNIA,DATOS!$A17786,nCURSO,DATOS!$D17786,nESPEC,DATOS!$E17786,nASIG,DATOS!$I17786,nEVAL,"OR")=0))</f>
      </c>
      <c r="I17786">
        <f>IF(DATOS!$I17786="","",IFERROR(VLOOKUP(DATOS!$I17786,CONFIG_ASIGNATURAS!$B$2:$J$91,9,FALSE()),""))</f>
      </c>
    </row>
    <row r="17787">
      <c r="F17787">
        <f>IF(DATOS!$A17787="","",DATOS!$A17787&amp;"|"&amp;DATOS!$D17787&amp;"|"&amp;DATOS!$E17787&amp;"|"&amp;DATOS!$I17787)</f>
      </c>
      <c r="G17787">
        <f>IF(DATOS!$A17787="",0,IF(CONFIG_METADATA!$B$4&lt;&gt;"OR+EX",--(DATOS!$G17787=CONFIG_METADATA!$B$4),IF(DATOS!$G17787="EX",1,IF(DATOS!$G17787="OR",--(COUNTIFS(nNIA,DATOS!$A17787,nCURSO,DATOS!$D17787,nESPEC,DATOS!$E17787,nASIG,DATOS!$I17787,nEVAL,"EX")=0),0))))</f>
      </c>
      <c r="H17787">
        <f>IF(DATOS!$G17787&lt;&gt;"EX",0,--(COUNTIFS(nNIA,DATOS!$A17787,nCURSO,DATOS!$D17787,nESPEC,DATOS!$E17787,nASIG,DATOS!$I17787,nEVAL,"OR")=0))</f>
      </c>
      <c r="I17787">
        <f>IF(DATOS!$I17787="","",IFERROR(VLOOKUP(DATOS!$I17787,CONFIG_ASIGNATURAS!$B$2:$J$91,9,FALSE()),""))</f>
      </c>
    </row>
    <row r="17788">
      <c r="F17788">
        <f>IF(DATOS!$A17788="","",DATOS!$A17788&amp;"|"&amp;DATOS!$D17788&amp;"|"&amp;DATOS!$E17788&amp;"|"&amp;DATOS!$I17788)</f>
      </c>
      <c r="G17788">
        <f>IF(DATOS!$A17788="",0,IF(CONFIG_METADATA!$B$4&lt;&gt;"OR+EX",--(DATOS!$G17788=CONFIG_METADATA!$B$4),IF(DATOS!$G17788="EX",1,IF(DATOS!$G17788="OR",--(COUNTIFS(nNIA,DATOS!$A17788,nCURSO,DATOS!$D17788,nESPEC,DATOS!$E17788,nASIG,DATOS!$I17788,nEVAL,"EX")=0),0))))</f>
      </c>
      <c r="H17788">
        <f>IF(DATOS!$G17788&lt;&gt;"EX",0,--(COUNTIFS(nNIA,DATOS!$A17788,nCURSO,DATOS!$D17788,nESPEC,DATOS!$E17788,nASIG,DATOS!$I17788,nEVAL,"OR")=0))</f>
      </c>
      <c r="I17788">
        <f>IF(DATOS!$I17788="","",IFERROR(VLOOKUP(DATOS!$I17788,CONFIG_ASIGNATURAS!$B$2:$J$91,9,FALSE()),""))</f>
      </c>
    </row>
    <row r="17789">
      <c r="F17789">
        <f>IF(DATOS!$A17789="","",DATOS!$A17789&amp;"|"&amp;DATOS!$D17789&amp;"|"&amp;DATOS!$E17789&amp;"|"&amp;DATOS!$I17789)</f>
      </c>
      <c r="G17789">
        <f>IF(DATOS!$A17789="",0,IF(CONFIG_METADATA!$B$4&lt;&gt;"OR+EX",--(DATOS!$G17789=CONFIG_METADATA!$B$4),IF(DATOS!$G17789="EX",1,IF(DATOS!$G17789="OR",--(COUNTIFS(nNIA,DATOS!$A17789,nCURSO,DATOS!$D17789,nESPEC,DATOS!$E17789,nASIG,DATOS!$I17789,nEVAL,"EX")=0),0))))</f>
      </c>
      <c r="H17789">
        <f>IF(DATOS!$G17789&lt;&gt;"EX",0,--(COUNTIFS(nNIA,DATOS!$A17789,nCURSO,DATOS!$D17789,nESPEC,DATOS!$E17789,nASIG,DATOS!$I17789,nEVAL,"OR")=0))</f>
      </c>
      <c r="I17789">
        <f>IF(DATOS!$I17789="","",IFERROR(VLOOKUP(DATOS!$I17789,CONFIG_ASIGNATURAS!$B$2:$J$91,9,FALSE()),""))</f>
      </c>
    </row>
    <row r="17790">
      <c r="F17790">
        <f>IF(DATOS!$A17790="","",DATOS!$A17790&amp;"|"&amp;DATOS!$D17790&amp;"|"&amp;DATOS!$E17790&amp;"|"&amp;DATOS!$I17790)</f>
      </c>
      <c r="G17790">
        <f>IF(DATOS!$A17790="",0,IF(CONFIG_METADATA!$B$4&lt;&gt;"OR+EX",--(DATOS!$G17790=CONFIG_METADATA!$B$4),IF(DATOS!$G17790="EX",1,IF(DATOS!$G17790="OR",--(COUNTIFS(nNIA,DATOS!$A17790,nCURSO,DATOS!$D17790,nESPEC,DATOS!$E17790,nASIG,DATOS!$I17790,nEVAL,"EX")=0),0))))</f>
      </c>
      <c r="H17790">
        <f>IF(DATOS!$G17790&lt;&gt;"EX",0,--(COUNTIFS(nNIA,DATOS!$A17790,nCURSO,DATOS!$D17790,nESPEC,DATOS!$E17790,nASIG,DATOS!$I17790,nEVAL,"OR")=0))</f>
      </c>
      <c r="I17790">
        <f>IF(DATOS!$I17790="","",IFERROR(VLOOKUP(DATOS!$I17790,CONFIG_ASIGNATURAS!$B$2:$J$91,9,FALSE()),""))</f>
      </c>
    </row>
    <row r="17791">
      <c r="F17791">
        <f>IF(DATOS!$A17791="","",DATOS!$A17791&amp;"|"&amp;DATOS!$D17791&amp;"|"&amp;DATOS!$E17791&amp;"|"&amp;DATOS!$I17791)</f>
      </c>
      <c r="G17791">
        <f>IF(DATOS!$A17791="",0,IF(CONFIG_METADATA!$B$4&lt;&gt;"OR+EX",--(DATOS!$G17791=CONFIG_METADATA!$B$4),IF(DATOS!$G17791="EX",1,IF(DATOS!$G17791="OR",--(COUNTIFS(nNIA,DATOS!$A17791,nCURSO,DATOS!$D17791,nESPEC,DATOS!$E17791,nASIG,DATOS!$I17791,nEVAL,"EX")=0),0))))</f>
      </c>
      <c r="H17791">
        <f>IF(DATOS!$G17791&lt;&gt;"EX",0,--(COUNTIFS(nNIA,DATOS!$A17791,nCURSO,DATOS!$D17791,nESPEC,DATOS!$E17791,nASIG,DATOS!$I17791,nEVAL,"OR")=0))</f>
      </c>
      <c r="I17791">
        <f>IF(DATOS!$I17791="","",IFERROR(VLOOKUP(DATOS!$I17791,CONFIG_ASIGNATURAS!$B$2:$J$91,9,FALSE()),""))</f>
      </c>
    </row>
    <row r="17792">
      <c r="F17792">
        <f>IF(DATOS!$A17792="","",DATOS!$A17792&amp;"|"&amp;DATOS!$D17792&amp;"|"&amp;DATOS!$E17792&amp;"|"&amp;DATOS!$I17792)</f>
      </c>
      <c r="G17792">
        <f>IF(DATOS!$A17792="",0,IF(CONFIG_METADATA!$B$4&lt;&gt;"OR+EX",--(DATOS!$G17792=CONFIG_METADATA!$B$4),IF(DATOS!$G17792="EX",1,IF(DATOS!$G17792="OR",--(COUNTIFS(nNIA,DATOS!$A17792,nCURSO,DATOS!$D17792,nESPEC,DATOS!$E17792,nASIG,DATOS!$I17792,nEVAL,"EX")=0),0))))</f>
      </c>
      <c r="H17792">
        <f>IF(DATOS!$G17792&lt;&gt;"EX",0,--(COUNTIFS(nNIA,DATOS!$A17792,nCURSO,DATOS!$D17792,nESPEC,DATOS!$E17792,nASIG,DATOS!$I17792,nEVAL,"OR")=0))</f>
      </c>
      <c r="I17792">
        <f>IF(DATOS!$I17792="","",IFERROR(VLOOKUP(DATOS!$I17792,CONFIG_ASIGNATURAS!$B$2:$J$91,9,FALSE()),""))</f>
      </c>
    </row>
    <row r="17793">
      <c r="F17793">
        <f>IF(DATOS!$A17793="","",DATOS!$A17793&amp;"|"&amp;DATOS!$D17793&amp;"|"&amp;DATOS!$E17793&amp;"|"&amp;DATOS!$I17793)</f>
      </c>
      <c r="G17793">
        <f>IF(DATOS!$A17793="",0,IF(CONFIG_METADATA!$B$4&lt;&gt;"OR+EX",--(DATOS!$G17793=CONFIG_METADATA!$B$4),IF(DATOS!$G17793="EX",1,IF(DATOS!$G17793="OR",--(COUNTIFS(nNIA,DATOS!$A17793,nCURSO,DATOS!$D17793,nESPEC,DATOS!$E17793,nASIG,DATOS!$I17793,nEVAL,"EX")=0),0))))</f>
      </c>
      <c r="H17793">
        <f>IF(DATOS!$G17793&lt;&gt;"EX",0,--(COUNTIFS(nNIA,DATOS!$A17793,nCURSO,DATOS!$D17793,nESPEC,DATOS!$E17793,nASIG,DATOS!$I17793,nEVAL,"OR")=0))</f>
      </c>
      <c r="I17793">
        <f>IF(DATOS!$I17793="","",IFERROR(VLOOKUP(DATOS!$I17793,CONFIG_ASIGNATURAS!$B$2:$J$91,9,FALSE()),""))</f>
      </c>
    </row>
    <row r="17794">
      <c r="F17794">
        <f>IF(DATOS!$A17794="","",DATOS!$A17794&amp;"|"&amp;DATOS!$D17794&amp;"|"&amp;DATOS!$E17794&amp;"|"&amp;DATOS!$I17794)</f>
      </c>
      <c r="G17794">
        <f>IF(DATOS!$A17794="",0,IF(CONFIG_METADATA!$B$4&lt;&gt;"OR+EX",--(DATOS!$G17794=CONFIG_METADATA!$B$4),IF(DATOS!$G17794="EX",1,IF(DATOS!$G17794="OR",--(COUNTIFS(nNIA,DATOS!$A17794,nCURSO,DATOS!$D17794,nESPEC,DATOS!$E17794,nASIG,DATOS!$I17794,nEVAL,"EX")=0),0))))</f>
      </c>
      <c r="H17794">
        <f>IF(DATOS!$G17794&lt;&gt;"EX",0,--(COUNTIFS(nNIA,DATOS!$A17794,nCURSO,DATOS!$D17794,nESPEC,DATOS!$E17794,nASIG,DATOS!$I17794,nEVAL,"OR")=0))</f>
      </c>
      <c r="I17794">
        <f>IF(DATOS!$I17794="","",IFERROR(VLOOKUP(DATOS!$I17794,CONFIG_ASIGNATURAS!$B$2:$J$91,9,FALSE()),""))</f>
      </c>
    </row>
    <row r="17795">
      <c r="F17795">
        <f>IF(DATOS!$A17795="","",DATOS!$A17795&amp;"|"&amp;DATOS!$D17795&amp;"|"&amp;DATOS!$E17795&amp;"|"&amp;DATOS!$I17795)</f>
      </c>
      <c r="G17795">
        <f>IF(DATOS!$A17795="",0,IF(CONFIG_METADATA!$B$4&lt;&gt;"OR+EX",--(DATOS!$G17795=CONFIG_METADATA!$B$4),IF(DATOS!$G17795="EX",1,IF(DATOS!$G17795="OR",--(COUNTIFS(nNIA,DATOS!$A17795,nCURSO,DATOS!$D17795,nESPEC,DATOS!$E17795,nASIG,DATOS!$I17795,nEVAL,"EX")=0),0))))</f>
      </c>
      <c r="H17795">
        <f>IF(DATOS!$G17795&lt;&gt;"EX",0,--(COUNTIFS(nNIA,DATOS!$A17795,nCURSO,DATOS!$D17795,nESPEC,DATOS!$E17795,nASIG,DATOS!$I17795,nEVAL,"OR")=0))</f>
      </c>
      <c r="I17795">
        <f>IF(DATOS!$I17795="","",IFERROR(VLOOKUP(DATOS!$I17795,CONFIG_ASIGNATURAS!$B$2:$J$91,9,FALSE()),""))</f>
      </c>
    </row>
    <row r="17796">
      <c r="F17796">
        <f>IF(DATOS!$A17796="","",DATOS!$A17796&amp;"|"&amp;DATOS!$D17796&amp;"|"&amp;DATOS!$E17796&amp;"|"&amp;DATOS!$I17796)</f>
      </c>
      <c r="G17796">
        <f>IF(DATOS!$A17796="",0,IF(CONFIG_METADATA!$B$4&lt;&gt;"OR+EX",--(DATOS!$G17796=CONFIG_METADATA!$B$4),IF(DATOS!$G17796="EX",1,IF(DATOS!$G17796="OR",--(COUNTIFS(nNIA,DATOS!$A17796,nCURSO,DATOS!$D17796,nESPEC,DATOS!$E17796,nASIG,DATOS!$I17796,nEVAL,"EX")=0),0))))</f>
      </c>
      <c r="H17796">
        <f>IF(DATOS!$G17796&lt;&gt;"EX",0,--(COUNTIFS(nNIA,DATOS!$A17796,nCURSO,DATOS!$D17796,nESPEC,DATOS!$E17796,nASIG,DATOS!$I17796,nEVAL,"OR")=0))</f>
      </c>
      <c r="I17796">
        <f>IF(DATOS!$I17796="","",IFERROR(VLOOKUP(DATOS!$I17796,CONFIG_ASIGNATURAS!$B$2:$J$91,9,FALSE()),""))</f>
      </c>
    </row>
    <row r="17797">
      <c r="F17797">
        <f>IF(DATOS!$A17797="","",DATOS!$A17797&amp;"|"&amp;DATOS!$D17797&amp;"|"&amp;DATOS!$E17797&amp;"|"&amp;DATOS!$I17797)</f>
      </c>
      <c r="G17797">
        <f>IF(DATOS!$A17797="",0,IF(CONFIG_METADATA!$B$4&lt;&gt;"OR+EX",--(DATOS!$G17797=CONFIG_METADATA!$B$4),IF(DATOS!$G17797="EX",1,IF(DATOS!$G17797="OR",--(COUNTIFS(nNIA,DATOS!$A17797,nCURSO,DATOS!$D17797,nESPEC,DATOS!$E17797,nASIG,DATOS!$I17797,nEVAL,"EX")=0),0))))</f>
      </c>
      <c r="H17797">
        <f>IF(DATOS!$G17797&lt;&gt;"EX",0,--(COUNTIFS(nNIA,DATOS!$A17797,nCURSO,DATOS!$D17797,nESPEC,DATOS!$E17797,nASIG,DATOS!$I17797,nEVAL,"OR")=0))</f>
      </c>
      <c r="I17797">
        <f>IF(DATOS!$I17797="","",IFERROR(VLOOKUP(DATOS!$I17797,CONFIG_ASIGNATURAS!$B$2:$J$91,9,FALSE()),""))</f>
      </c>
    </row>
    <row r="17798">
      <c r="F17798">
        <f>IF(DATOS!$A17798="","",DATOS!$A17798&amp;"|"&amp;DATOS!$D17798&amp;"|"&amp;DATOS!$E17798&amp;"|"&amp;DATOS!$I17798)</f>
      </c>
      <c r="G17798">
        <f>IF(DATOS!$A17798="",0,IF(CONFIG_METADATA!$B$4&lt;&gt;"OR+EX",--(DATOS!$G17798=CONFIG_METADATA!$B$4),IF(DATOS!$G17798="EX",1,IF(DATOS!$G17798="OR",--(COUNTIFS(nNIA,DATOS!$A17798,nCURSO,DATOS!$D17798,nESPEC,DATOS!$E17798,nASIG,DATOS!$I17798,nEVAL,"EX")=0),0))))</f>
      </c>
      <c r="H17798">
        <f>IF(DATOS!$G17798&lt;&gt;"EX",0,--(COUNTIFS(nNIA,DATOS!$A17798,nCURSO,DATOS!$D17798,nESPEC,DATOS!$E17798,nASIG,DATOS!$I17798,nEVAL,"OR")=0))</f>
      </c>
      <c r="I17798">
        <f>IF(DATOS!$I17798="","",IFERROR(VLOOKUP(DATOS!$I17798,CONFIG_ASIGNATURAS!$B$2:$J$91,9,FALSE()),""))</f>
      </c>
    </row>
    <row r="17799">
      <c r="F17799">
        <f>IF(DATOS!$A17799="","",DATOS!$A17799&amp;"|"&amp;DATOS!$D17799&amp;"|"&amp;DATOS!$E17799&amp;"|"&amp;DATOS!$I17799)</f>
      </c>
      <c r="G17799">
        <f>IF(DATOS!$A17799="",0,IF(CONFIG_METADATA!$B$4&lt;&gt;"OR+EX",--(DATOS!$G17799=CONFIG_METADATA!$B$4),IF(DATOS!$G17799="EX",1,IF(DATOS!$G17799="OR",--(COUNTIFS(nNIA,DATOS!$A17799,nCURSO,DATOS!$D17799,nESPEC,DATOS!$E17799,nASIG,DATOS!$I17799,nEVAL,"EX")=0),0))))</f>
      </c>
      <c r="H17799">
        <f>IF(DATOS!$G17799&lt;&gt;"EX",0,--(COUNTIFS(nNIA,DATOS!$A17799,nCURSO,DATOS!$D17799,nESPEC,DATOS!$E17799,nASIG,DATOS!$I17799,nEVAL,"OR")=0))</f>
      </c>
      <c r="I17799">
        <f>IF(DATOS!$I17799="","",IFERROR(VLOOKUP(DATOS!$I17799,CONFIG_ASIGNATURAS!$B$2:$J$91,9,FALSE()),""))</f>
      </c>
    </row>
    <row r="17800">
      <c r="F17800">
        <f>IF(DATOS!$A17800="","",DATOS!$A17800&amp;"|"&amp;DATOS!$D17800&amp;"|"&amp;DATOS!$E17800&amp;"|"&amp;DATOS!$I17800)</f>
      </c>
      <c r="G17800">
        <f>IF(DATOS!$A17800="",0,IF(CONFIG_METADATA!$B$4&lt;&gt;"OR+EX",--(DATOS!$G17800=CONFIG_METADATA!$B$4),IF(DATOS!$G17800="EX",1,IF(DATOS!$G17800="OR",--(COUNTIFS(nNIA,DATOS!$A17800,nCURSO,DATOS!$D17800,nESPEC,DATOS!$E17800,nASIG,DATOS!$I17800,nEVAL,"EX")=0),0))))</f>
      </c>
      <c r="H17800">
        <f>IF(DATOS!$G17800&lt;&gt;"EX",0,--(COUNTIFS(nNIA,DATOS!$A17800,nCURSO,DATOS!$D17800,nESPEC,DATOS!$E17800,nASIG,DATOS!$I17800,nEVAL,"OR")=0))</f>
      </c>
      <c r="I17800">
        <f>IF(DATOS!$I17800="","",IFERROR(VLOOKUP(DATOS!$I17800,CONFIG_ASIGNATURAS!$B$2:$J$91,9,FALSE()),""))</f>
      </c>
    </row>
    <row r="17801">
      <c r="F17801">
        <f>IF(DATOS!$A17801="","",DATOS!$A17801&amp;"|"&amp;DATOS!$D17801&amp;"|"&amp;DATOS!$E17801&amp;"|"&amp;DATOS!$I17801)</f>
      </c>
      <c r="G17801">
        <f>IF(DATOS!$A17801="",0,IF(CONFIG_METADATA!$B$4&lt;&gt;"OR+EX",--(DATOS!$G17801=CONFIG_METADATA!$B$4),IF(DATOS!$G17801="EX",1,IF(DATOS!$G17801="OR",--(COUNTIFS(nNIA,DATOS!$A17801,nCURSO,DATOS!$D17801,nESPEC,DATOS!$E17801,nASIG,DATOS!$I17801,nEVAL,"EX")=0),0))))</f>
      </c>
      <c r="H17801">
        <f>IF(DATOS!$G17801&lt;&gt;"EX",0,--(COUNTIFS(nNIA,DATOS!$A17801,nCURSO,DATOS!$D17801,nESPEC,DATOS!$E17801,nASIG,DATOS!$I17801,nEVAL,"OR")=0))</f>
      </c>
      <c r="I17801">
        <f>IF(DATOS!$I17801="","",IFERROR(VLOOKUP(DATOS!$I17801,CONFIG_ASIGNATURAS!$B$2:$J$91,9,FALSE()),""))</f>
      </c>
    </row>
    <row r="17802">
      <c r="F17802">
        <f>IF(DATOS!$A17802="","",DATOS!$A17802&amp;"|"&amp;DATOS!$D17802&amp;"|"&amp;DATOS!$E17802&amp;"|"&amp;DATOS!$I17802)</f>
      </c>
      <c r="G17802">
        <f>IF(DATOS!$A17802="",0,IF(CONFIG_METADATA!$B$4&lt;&gt;"OR+EX",--(DATOS!$G17802=CONFIG_METADATA!$B$4),IF(DATOS!$G17802="EX",1,IF(DATOS!$G17802="OR",--(COUNTIFS(nNIA,DATOS!$A17802,nCURSO,DATOS!$D17802,nESPEC,DATOS!$E17802,nASIG,DATOS!$I17802,nEVAL,"EX")=0),0))))</f>
      </c>
      <c r="H17802">
        <f>IF(DATOS!$G17802&lt;&gt;"EX",0,--(COUNTIFS(nNIA,DATOS!$A17802,nCURSO,DATOS!$D17802,nESPEC,DATOS!$E17802,nASIG,DATOS!$I17802,nEVAL,"OR")=0))</f>
      </c>
      <c r="I17802">
        <f>IF(DATOS!$I17802="","",IFERROR(VLOOKUP(DATOS!$I17802,CONFIG_ASIGNATURAS!$B$2:$J$91,9,FALSE()),""))</f>
      </c>
    </row>
    <row r="17803">
      <c r="F17803">
        <f>IF(DATOS!$A17803="","",DATOS!$A17803&amp;"|"&amp;DATOS!$D17803&amp;"|"&amp;DATOS!$E17803&amp;"|"&amp;DATOS!$I17803)</f>
      </c>
      <c r="G17803">
        <f>IF(DATOS!$A17803="",0,IF(CONFIG_METADATA!$B$4&lt;&gt;"OR+EX",--(DATOS!$G17803=CONFIG_METADATA!$B$4),IF(DATOS!$G17803="EX",1,IF(DATOS!$G17803="OR",--(COUNTIFS(nNIA,DATOS!$A17803,nCURSO,DATOS!$D17803,nESPEC,DATOS!$E17803,nASIG,DATOS!$I17803,nEVAL,"EX")=0),0))))</f>
      </c>
      <c r="H17803">
        <f>IF(DATOS!$G17803&lt;&gt;"EX",0,--(COUNTIFS(nNIA,DATOS!$A17803,nCURSO,DATOS!$D17803,nESPEC,DATOS!$E17803,nASIG,DATOS!$I17803,nEVAL,"OR")=0))</f>
      </c>
      <c r="I17803">
        <f>IF(DATOS!$I17803="","",IFERROR(VLOOKUP(DATOS!$I17803,CONFIG_ASIGNATURAS!$B$2:$J$91,9,FALSE()),""))</f>
      </c>
    </row>
    <row r="17804">
      <c r="F17804">
        <f>IF(DATOS!$A17804="","",DATOS!$A17804&amp;"|"&amp;DATOS!$D17804&amp;"|"&amp;DATOS!$E17804&amp;"|"&amp;DATOS!$I17804)</f>
      </c>
      <c r="G17804">
        <f>IF(DATOS!$A17804="",0,IF(CONFIG_METADATA!$B$4&lt;&gt;"OR+EX",--(DATOS!$G17804=CONFIG_METADATA!$B$4),IF(DATOS!$G17804="EX",1,IF(DATOS!$G17804="OR",--(COUNTIFS(nNIA,DATOS!$A17804,nCURSO,DATOS!$D17804,nESPEC,DATOS!$E17804,nASIG,DATOS!$I17804,nEVAL,"EX")=0),0))))</f>
      </c>
      <c r="H17804">
        <f>IF(DATOS!$G17804&lt;&gt;"EX",0,--(COUNTIFS(nNIA,DATOS!$A17804,nCURSO,DATOS!$D17804,nESPEC,DATOS!$E17804,nASIG,DATOS!$I17804,nEVAL,"OR")=0))</f>
      </c>
      <c r="I17804">
        <f>IF(DATOS!$I17804="","",IFERROR(VLOOKUP(DATOS!$I17804,CONFIG_ASIGNATURAS!$B$2:$J$91,9,FALSE()),""))</f>
      </c>
    </row>
    <row r="17805">
      <c r="F17805">
        <f>IF(DATOS!$A17805="","",DATOS!$A17805&amp;"|"&amp;DATOS!$D17805&amp;"|"&amp;DATOS!$E17805&amp;"|"&amp;DATOS!$I17805)</f>
      </c>
      <c r="G17805">
        <f>IF(DATOS!$A17805="",0,IF(CONFIG_METADATA!$B$4&lt;&gt;"OR+EX",--(DATOS!$G17805=CONFIG_METADATA!$B$4),IF(DATOS!$G17805="EX",1,IF(DATOS!$G17805="OR",--(COUNTIFS(nNIA,DATOS!$A17805,nCURSO,DATOS!$D17805,nESPEC,DATOS!$E17805,nASIG,DATOS!$I17805,nEVAL,"EX")=0),0))))</f>
      </c>
      <c r="H17805">
        <f>IF(DATOS!$G17805&lt;&gt;"EX",0,--(COUNTIFS(nNIA,DATOS!$A17805,nCURSO,DATOS!$D17805,nESPEC,DATOS!$E17805,nASIG,DATOS!$I17805,nEVAL,"OR")=0))</f>
      </c>
      <c r="I17805">
        <f>IF(DATOS!$I17805="","",IFERROR(VLOOKUP(DATOS!$I17805,CONFIG_ASIGNATURAS!$B$2:$J$91,9,FALSE()),""))</f>
      </c>
    </row>
    <row r="17806">
      <c r="F17806">
        <f>IF(DATOS!$A17806="","",DATOS!$A17806&amp;"|"&amp;DATOS!$D17806&amp;"|"&amp;DATOS!$E17806&amp;"|"&amp;DATOS!$I17806)</f>
      </c>
      <c r="G17806">
        <f>IF(DATOS!$A17806="",0,IF(CONFIG_METADATA!$B$4&lt;&gt;"OR+EX",--(DATOS!$G17806=CONFIG_METADATA!$B$4),IF(DATOS!$G17806="EX",1,IF(DATOS!$G17806="OR",--(COUNTIFS(nNIA,DATOS!$A17806,nCURSO,DATOS!$D17806,nESPEC,DATOS!$E17806,nASIG,DATOS!$I17806,nEVAL,"EX")=0),0))))</f>
      </c>
      <c r="H17806">
        <f>IF(DATOS!$G17806&lt;&gt;"EX",0,--(COUNTIFS(nNIA,DATOS!$A17806,nCURSO,DATOS!$D17806,nESPEC,DATOS!$E17806,nASIG,DATOS!$I17806,nEVAL,"OR")=0))</f>
      </c>
      <c r="I17806">
        <f>IF(DATOS!$I17806="","",IFERROR(VLOOKUP(DATOS!$I17806,CONFIG_ASIGNATURAS!$B$2:$J$91,9,FALSE()),""))</f>
      </c>
    </row>
    <row r="17807">
      <c r="F17807">
        <f>IF(DATOS!$A17807="","",DATOS!$A17807&amp;"|"&amp;DATOS!$D17807&amp;"|"&amp;DATOS!$E17807&amp;"|"&amp;DATOS!$I17807)</f>
      </c>
      <c r="G17807">
        <f>IF(DATOS!$A17807="",0,IF(CONFIG_METADATA!$B$4&lt;&gt;"OR+EX",--(DATOS!$G17807=CONFIG_METADATA!$B$4),IF(DATOS!$G17807="EX",1,IF(DATOS!$G17807="OR",--(COUNTIFS(nNIA,DATOS!$A17807,nCURSO,DATOS!$D17807,nESPEC,DATOS!$E17807,nASIG,DATOS!$I17807,nEVAL,"EX")=0),0))))</f>
      </c>
      <c r="H17807">
        <f>IF(DATOS!$G17807&lt;&gt;"EX",0,--(COUNTIFS(nNIA,DATOS!$A17807,nCURSO,DATOS!$D17807,nESPEC,DATOS!$E17807,nASIG,DATOS!$I17807,nEVAL,"OR")=0))</f>
      </c>
      <c r="I17807">
        <f>IF(DATOS!$I17807="","",IFERROR(VLOOKUP(DATOS!$I17807,CONFIG_ASIGNATURAS!$B$2:$J$91,9,FALSE()),""))</f>
      </c>
    </row>
    <row r="17808">
      <c r="F17808">
        <f>IF(DATOS!$A17808="","",DATOS!$A17808&amp;"|"&amp;DATOS!$D17808&amp;"|"&amp;DATOS!$E17808&amp;"|"&amp;DATOS!$I17808)</f>
      </c>
      <c r="G17808">
        <f>IF(DATOS!$A17808="",0,IF(CONFIG_METADATA!$B$4&lt;&gt;"OR+EX",--(DATOS!$G17808=CONFIG_METADATA!$B$4),IF(DATOS!$G17808="EX",1,IF(DATOS!$G17808="OR",--(COUNTIFS(nNIA,DATOS!$A17808,nCURSO,DATOS!$D17808,nESPEC,DATOS!$E17808,nASIG,DATOS!$I17808,nEVAL,"EX")=0),0))))</f>
      </c>
      <c r="H17808">
        <f>IF(DATOS!$G17808&lt;&gt;"EX",0,--(COUNTIFS(nNIA,DATOS!$A17808,nCURSO,DATOS!$D17808,nESPEC,DATOS!$E17808,nASIG,DATOS!$I17808,nEVAL,"OR")=0))</f>
      </c>
      <c r="I17808">
        <f>IF(DATOS!$I17808="","",IFERROR(VLOOKUP(DATOS!$I17808,CONFIG_ASIGNATURAS!$B$2:$J$91,9,FALSE()),""))</f>
      </c>
    </row>
    <row r="17809">
      <c r="F17809">
        <f>IF(DATOS!$A17809="","",DATOS!$A17809&amp;"|"&amp;DATOS!$D17809&amp;"|"&amp;DATOS!$E17809&amp;"|"&amp;DATOS!$I17809)</f>
      </c>
      <c r="G17809">
        <f>IF(DATOS!$A17809="",0,IF(CONFIG_METADATA!$B$4&lt;&gt;"OR+EX",--(DATOS!$G17809=CONFIG_METADATA!$B$4),IF(DATOS!$G17809="EX",1,IF(DATOS!$G17809="OR",--(COUNTIFS(nNIA,DATOS!$A17809,nCURSO,DATOS!$D17809,nESPEC,DATOS!$E17809,nASIG,DATOS!$I17809,nEVAL,"EX")=0),0))))</f>
      </c>
      <c r="H17809">
        <f>IF(DATOS!$G17809&lt;&gt;"EX",0,--(COUNTIFS(nNIA,DATOS!$A17809,nCURSO,DATOS!$D17809,nESPEC,DATOS!$E17809,nASIG,DATOS!$I17809,nEVAL,"OR")=0))</f>
      </c>
      <c r="I17809">
        <f>IF(DATOS!$I17809="","",IFERROR(VLOOKUP(DATOS!$I17809,CONFIG_ASIGNATURAS!$B$2:$J$91,9,FALSE()),""))</f>
      </c>
    </row>
    <row r="17810">
      <c r="F17810">
        <f>IF(DATOS!$A17810="","",DATOS!$A17810&amp;"|"&amp;DATOS!$D17810&amp;"|"&amp;DATOS!$E17810&amp;"|"&amp;DATOS!$I17810)</f>
      </c>
      <c r="G17810">
        <f>IF(DATOS!$A17810="",0,IF(CONFIG_METADATA!$B$4&lt;&gt;"OR+EX",--(DATOS!$G17810=CONFIG_METADATA!$B$4),IF(DATOS!$G17810="EX",1,IF(DATOS!$G17810="OR",--(COUNTIFS(nNIA,DATOS!$A17810,nCURSO,DATOS!$D17810,nESPEC,DATOS!$E17810,nASIG,DATOS!$I17810,nEVAL,"EX")=0),0))))</f>
      </c>
      <c r="H17810">
        <f>IF(DATOS!$G17810&lt;&gt;"EX",0,--(COUNTIFS(nNIA,DATOS!$A17810,nCURSO,DATOS!$D17810,nESPEC,DATOS!$E17810,nASIG,DATOS!$I17810,nEVAL,"OR")=0))</f>
      </c>
      <c r="I17810">
        <f>IF(DATOS!$I17810="","",IFERROR(VLOOKUP(DATOS!$I17810,CONFIG_ASIGNATURAS!$B$2:$J$91,9,FALSE()),""))</f>
      </c>
    </row>
    <row r="17811">
      <c r="F17811">
        <f>IF(DATOS!$A17811="","",DATOS!$A17811&amp;"|"&amp;DATOS!$D17811&amp;"|"&amp;DATOS!$E17811&amp;"|"&amp;DATOS!$I17811)</f>
      </c>
      <c r="G17811">
        <f>IF(DATOS!$A17811="",0,IF(CONFIG_METADATA!$B$4&lt;&gt;"OR+EX",--(DATOS!$G17811=CONFIG_METADATA!$B$4),IF(DATOS!$G17811="EX",1,IF(DATOS!$G17811="OR",--(COUNTIFS(nNIA,DATOS!$A17811,nCURSO,DATOS!$D17811,nESPEC,DATOS!$E17811,nASIG,DATOS!$I17811,nEVAL,"EX")=0),0))))</f>
      </c>
      <c r="H17811">
        <f>IF(DATOS!$G17811&lt;&gt;"EX",0,--(COUNTIFS(nNIA,DATOS!$A17811,nCURSO,DATOS!$D17811,nESPEC,DATOS!$E17811,nASIG,DATOS!$I17811,nEVAL,"OR")=0))</f>
      </c>
      <c r="I17811">
        <f>IF(DATOS!$I17811="","",IFERROR(VLOOKUP(DATOS!$I17811,CONFIG_ASIGNATURAS!$B$2:$J$91,9,FALSE()),""))</f>
      </c>
    </row>
    <row r="17812">
      <c r="F17812">
        <f>IF(DATOS!$A17812="","",DATOS!$A17812&amp;"|"&amp;DATOS!$D17812&amp;"|"&amp;DATOS!$E17812&amp;"|"&amp;DATOS!$I17812)</f>
      </c>
      <c r="G17812">
        <f>IF(DATOS!$A17812="",0,IF(CONFIG_METADATA!$B$4&lt;&gt;"OR+EX",--(DATOS!$G17812=CONFIG_METADATA!$B$4),IF(DATOS!$G17812="EX",1,IF(DATOS!$G17812="OR",--(COUNTIFS(nNIA,DATOS!$A17812,nCURSO,DATOS!$D17812,nESPEC,DATOS!$E17812,nASIG,DATOS!$I17812,nEVAL,"EX")=0),0))))</f>
      </c>
      <c r="H17812">
        <f>IF(DATOS!$G17812&lt;&gt;"EX",0,--(COUNTIFS(nNIA,DATOS!$A17812,nCURSO,DATOS!$D17812,nESPEC,DATOS!$E17812,nASIG,DATOS!$I17812,nEVAL,"OR")=0))</f>
      </c>
      <c r="I17812">
        <f>IF(DATOS!$I17812="","",IFERROR(VLOOKUP(DATOS!$I17812,CONFIG_ASIGNATURAS!$B$2:$J$91,9,FALSE()),""))</f>
      </c>
    </row>
    <row r="17813">
      <c r="F17813">
        <f>IF(DATOS!$A17813="","",DATOS!$A17813&amp;"|"&amp;DATOS!$D17813&amp;"|"&amp;DATOS!$E17813&amp;"|"&amp;DATOS!$I17813)</f>
      </c>
      <c r="G17813">
        <f>IF(DATOS!$A17813="",0,IF(CONFIG_METADATA!$B$4&lt;&gt;"OR+EX",--(DATOS!$G17813=CONFIG_METADATA!$B$4),IF(DATOS!$G17813="EX",1,IF(DATOS!$G17813="OR",--(COUNTIFS(nNIA,DATOS!$A17813,nCURSO,DATOS!$D17813,nESPEC,DATOS!$E17813,nASIG,DATOS!$I17813,nEVAL,"EX")=0),0))))</f>
      </c>
      <c r="H17813">
        <f>IF(DATOS!$G17813&lt;&gt;"EX",0,--(COUNTIFS(nNIA,DATOS!$A17813,nCURSO,DATOS!$D17813,nESPEC,DATOS!$E17813,nASIG,DATOS!$I17813,nEVAL,"OR")=0))</f>
      </c>
      <c r="I17813">
        <f>IF(DATOS!$I17813="","",IFERROR(VLOOKUP(DATOS!$I17813,CONFIG_ASIGNATURAS!$B$2:$J$91,9,FALSE()),""))</f>
      </c>
    </row>
    <row r="17814">
      <c r="F17814">
        <f>IF(DATOS!$A17814="","",DATOS!$A17814&amp;"|"&amp;DATOS!$D17814&amp;"|"&amp;DATOS!$E17814&amp;"|"&amp;DATOS!$I17814)</f>
      </c>
      <c r="G17814">
        <f>IF(DATOS!$A17814="",0,IF(CONFIG_METADATA!$B$4&lt;&gt;"OR+EX",--(DATOS!$G17814=CONFIG_METADATA!$B$4),IF(DATOS!$G17814="EX",1,IF(DATOS!$G17814="OR",--(COUNTIFS(nNIA,DATOS!$A17814,nCURSO,DATOS!$D17814,nESPEC,DATOS!$E17814,nASIG,DATOS!$I17814,nEVAL,"EX")=0),0))))</f>
      </c>
      <c r="H17814">
        <f>IF(DATOS!$G17814&lt;&gt;"EX",0,--(COUNTIFS(nNIA,DATOS!$A17814,nCURSO,DATOS!$D17814,nESPEC,DATOS!$E17814,nASIG,DATOS!$I17814,nEVAL,"OR")=0))</f>
      </c>
      <c r="I17814">
        <f>IF(DATOS!$I17814="","",IFERROR(VLOOKUP(DATOS!$I17814,CONFIG_ASIGNATURAS!$B$2:$J$91,9,FALSE()),""))</f>
      </c>
    </row>
    <row r="17815">
      <c r="F17815">
        <f>IF(DATOS!$A17815="","",DATOS!$A17815&amp;"|"&amp;DATOS!$D17815&amp;"|"&amp;DATOS!$E17815&amp;"|"&amp;DATOS!$I17815)</f>
      </c>
      <c r="G17815">
        <f>IF(DATOS!$A17815="",0,IF(CONFIG_METADATA!$B$4&lt;&gt;"OR+EX",--(DATOS!$G17815=CONFIG_METADATA!$B$4),IF(DATOS!$G17815="EX",1,IF(DATOS!$G17815="OR",--(COUNTIFS(nNIA,DATOS!$A17815,nCURSO,DATOS!$D17815,nESPEC,DATOS!$E17815,nASIG,DATOS!$I17815,nEVAL,"EX")=0),0))))</f>
      </c>
      <c r="H17815">
        <f>IF(DATOS!$G17815&lt;&gt;"EX",0,--(COUNTIFS(nNIA,DATOS!$A17815,nCURSO,DATOS!$D17815,nESPEC,DATOS!$E17815,nASIG,DATOS!$I17815,nEVAL,"OR")=0))</f>
      </c>
      <c r="I17815">
        <f>IF(DATOS!$I17815="","",IFERROR(VLOOKUP(DATOS!$I17815,CONFIG_ASIGNATURAS!$B$2:$J$91,9,FALSE()),""))</f>
      </c>
    </row>
    <row r="17816">
      <c r="F17816">
        <f>IF(DATOS!$A17816="","",DATOS!$A17816&amp;"|"&amp;DATOS!$D17816&amp;"|"&amp;DATOS!$E17816&amp;"|"&amp;DATOS!$I17816)</f>
      </c>
      <c r="G17816">
        <f>IF(DATOS!$A17816="",0,IF(CONFIG_METADATA!$B$4&lt;&gt;"OR+EX",--(DATOS!$G17816=CONFIG_METADATA!$B$4),IF(DATOS!$G17816="EX",1,IF(DATOS!$G17816="OR",--(COUNTIFS(nNIA,DATOS!$A17816,nCURSO,DATOS!$D17816,nESPEC,DATOS!$E17816,nASIG,DATOS!$I17816,nEVAL,"EX")=0),0))))</f>
      </c>
      <c r="H17816">
        <f>IF(DATOS!$G17816&lt;&gt;"EX",0,--(COUNTIFS(nNIA,DATOS!$A17816,nCURSO,DATOS!$D17816,nESPEC,DATOS!$E17816,nASIG,DATOS!$I17816,nEVAL,"OR")=0))</f>
      </c>
      <c r="I17816">
        <f>IF(DATOS!$I17816="","",IFERROR(VLOOKUP(DATOS!$I17816,CONFIG_ASIGNATURAS!$B$2:$J$91,9,FALSE()),""))</f>
      </c>
    </row>
    <row r="17817">
      <c r="F17817">
        <f>IF(DATOS!$A17817="","",DATOS!$A17817&amp;"|"&amp;DATOS!$D17817&amp;"|"&amp;DATOS!$E17817&amp;"|"&amp;DATOS!$I17817)</f>
      </c>
      <c r="G17817">
        <f>IF(DATOS!$A17817="",0,IF(CONFIG_METADATA!$B$4&lt;&gt;"OR+EX",--(DATOS!$G17817=CONFIG_METADATA!$B$4),IF(DATOS!$G17817="EX",1,IF(DATOS!$G17817="OR",--(COUNTIFS(nNIA,DATOS!$A17817,nCURSO,DATOS!$D17817,nESPEC,DATOS!$E17817,nASIG,DATOS!$I17817,nEVAL,"EX")=0),0))))</f>
      </c>
      <c r="H17817">
        <f>IF(DATOS!$G17817&lt;&gt;"EX",0,--(COUNTIFS(nNIA,DATOS!$A17817,nCURSO,DATOS!$D17817,nESPEC,DATOS!$E17817,nASIG,DATOS!$I17817,nEVAL,"OR")=0))</f>
      </c>
      <c r="I17817">
        <f>IF(DATOS!$I17817="","",IFERROR(VLOOKUP(DATOS!$I17817,CONFIG_ASIGNATURAS!$B$2:$J$91,9,FALSE()),""))</f>
      </c>
    </row>
    <row r="17818">
      <c r="F17818">
        <f>IF(DATOS!$A17818="","",DATOS!$A17818&amp;"|"&amp;DATOS!$D17818&amp;"|"&amp;DATOS!$E17818&amp;"|"&amp;DATOS!$I17818)</f>
      </c>
      <c r="G17818">
        <f>IF(DATOS!$A17818="",0,IF(CONFIG_METADATA!$B$4&lt;&gt;"OR+EX",--(DATOS!$G17818=CONFIG_METADATA!$B$4),IF(DATOS!$G17818="EX",1,IF(DATOS!$G17818="OR",--(COUNTIFS(nNIA,DATOS!$A17818,nCURSO,DATOS!$D17818,nESPEC,DATOS!$E17818,nASIG,DATOS!$I17818,nEVAL,"EX")=0),0))))</f>
      </c>
      <c r="H17818">
        <f>IF(DATOS!$G17818&lt;&gt;"EX",0,--(COUNTIFS(nNIA,DATOS!$A17818,nCURSO,DATOS!$D17818,nESPEC,DATOS!$E17818,nASIG,DATOS!$I17818,nEVAL,"OR")=0))</f>
      </c>
      <c r="I17818">
        <f>IF(DATOS!$I17818="","",IFERROR(VLOOKUP(DATOS!$I17818,CONFIG_ASIGNATURAS!$B$2:$J$91,9,FALSE()),""))</f>
      </c>
    </row>
    <row r="17819">
      <c r="F17819">
        <f>IF(DATOS!$A17819="","",DATOS!$A17819&amp;"|"&amp;DATOS!$D17819&amp;"|"&amp;DATOS!$E17819&amp;"|"&amp;DATOS!$I17819)</f>
      </c>
      <c r="G17819">
        <f>IF(DATOS!$A17819="",0,IF(CONFIG_METADATA!$B$4&lt;&gt;"OR+EX",--(DATOS!$G17819=CONFIG_METADATA!$B$4),IF(DATOS!$G17819="EX",1,IF(DATOS!$G17819="OR",--(COUNTIFS(nNIA,DATOS!$A17819,nCURSO,DATOS!$D17819,nESPEC,DATOS!$E17819,nASIG,DATOS!$I17819,nEVAL,"EX")=0),0))))</f>
      </c>
      <c r="H17819">
        <f>IF(DATOS!$G17819&lt;&gt;"EX",0,--(COUNTIFS(nNIA,DATOS!$A17819,nCURSO,DATOS!$D17819,nESPEC,DATOS!$E17819,nASIG,DATOS!$I17819,nEVAL,"OR")=0))</f>
      </c>
      <c r="I17819">
        <f>IF(DATOS!$I17819="","",IFERROR(VLOOKUP(DATOS!$I17819,CONFIG_ASIGNATURAS!$B$2:$J$91,9,FALSE()),""))</f>
      </c>
    </row>
    <row r="17820">
      <c r="F17820">
        <f>IF(DATOS!$A17820="","",DATOS!$A17820&amp;"|"&amp;DATOS!$D17820&amp;"|"&amp;DATOS!$E17820&amp;"|"&amp;DATOS!$I17820)</f>
      </c>
      <c r="G17820">
        <f>IF(DATOS!$A17820="",0,IF(CONFIG_METADATA!$B$4&lt;&gt;"OR+EX",--(DATOS!$G17820=CONFIG_METADATA!$B$4),IF(DATOS!$G17820="EX",1,IF(DATOS!$G17820="OR",--(COUNTIFS(nNIA,DATOS!$A17820,nCURSO,DATOS!$D17820,nESPEC,DATOS!$E17820,nASIG,DATOS!$I17820,nEVAL,"EX")=0),0))))</f>
      </c>
      <c r="H17820">
        <f>IF(DATOS!$G17820&lt;&gt;"EX",0,--(COUNTIFS(nNIA,DATOS!$A17820,nCURSO,DATOS!$D17820,nESPEC,DATOS!$E17820,nASIG,DATOS!$I17820,nEVAL,"OR")=0))</f>
      </c>
      <c r="I17820">
        <f>IF(DATOS!$I17820="","",IFERROR(VLOOKUP(DATOS!$I17820,CONFIG_ASIGNATURAS!$B$2:$J$91,9,FALSE()),""))</f>
      </c>
    </row>
    <row r="17821">
      <c r="F17821">
        <f>IF(DATOS!$A17821="","",DATOS!$A17821&amp;"|"&amp;DATOS!$D17821&amp;"|"&amp;DATOS!$E17821&amp;"|"&amp;DATOS!$I17821)</f>
      </c>
      <c r="G17821">
        <f>IF(DATOS!$A17821="",0,IF(CONFIG_METADATA!$B$4&lt;&gt;"OR+EX",--(DATOS!$G17821=CONFIG_METADATA!$B$4),IF(DATOS!$G17821="EX",1,IF(DATOS!$G17821="OR",--(COUNTIFS(nNIA,DATOS!$A17821,nCURSO,DATOS!$D17821,nESPEC,DATOS!$E17821,nASIG,DATOS!$I17821,nEVAL,"EX")=0),0))))</f>
      </c>
      <c r="H17821">
        <f>IF(DATOS!$G17821&lt;&gt;"EX",0,--(COUNTIFS(nNIA,DATOS!$A17821,nCURSO,DATOS!$D17821,nESPEC,DATOS!$E17821,nASIG,DATOS!$I17821,nEVAL,"OR")=0))</f>
      </c>
      <c r="I17821">
        <f>IF(DATOS!$I17821="","",IFERROR(VLOOKUP(DATOS!$I17821,CONFIG_ASIGNATURAS!$B$2:$J$91,9,FALSE()),""))</f>
      </c>
    </row>
    <row r="17822">
      <c r="F17822">
        <f>IF(DATOS!$A17822="","",DATOS!$A17822&amp;"|"&amp;DATOS!$D17822&amp;"|"&amp;DATOS!$E17822&amp;"|"&amp;DATOS!$I17822)</f>
      </c>
      <c r="G17822">
        <f>IF(DATOS!$A17822="",0,IF(CONFIG_METADATA!$B$4&lt;&gt;"OR+EX",--(DATOS!$G17822=CONFIG_METADATA!$B$4),IF(DATOS!$G17822="EX",1,IF(DATOS!$G17822="OR",--(COUNTIFS(nNIA,DATOS!$A17822,nCURSO,DATOS!$D17822,nESPEC,DATOS!$E17822,nASIG,DATOS!$I17822,nEVAL,"EX")=0),0))))</f>
      </c>
      <c r="H17822">
        <f>IF(DATOS!$G17822&lt;&gt;"EX",0,--(COUNTIFS(nNIA,DATOS!$A17822,nCURSO,DATOS!$D17822,nESPEC,DATOS!$E17822,nASIG,DATOS!$I17822,nEVAL,"OR")=0))</f>
      </c>
      <c r="I17822">
        <f>IF(DATOS!$I17822="","",IFERROR(VLOOKUP(DATOS!$I17822,CONFIG_ASIGNATURAS!$B$2:$J$91,9,FALSE()),""))</f>
      </c>
    </row>
    <row r="17823">
      <c r="F17823">
        <f>IF(DATOS!$A17823="","",DATOS!$A17823&amp;"|"&amp;DATOS!$D17823&amp;"|"&amp;DATOS!$E17823&amp;"|"&amp;DATOS!$I17823)</f>
      </c>
      <c r="G17823">
        <f>IF(DATOS!$A17823="",0,IF(CONFIG_METADATA!$B$4&lt;&gt;"OR+EX",--(DATOS!$G17823=CONFIG_METADATA!$B$4),IF(DATOS!$G17823="EX",1,IF(DATOS!$G17823="OR",--(COUNTIFS(nNIA,DATOS!$A17823,nCURSO,DATOS!$D17823,nESPEC,DATOS!$E17823,nASIG,DATOS!$I17823,nEVAL,"EX")=0),0))))</f>
      </c>
      <c r="H17823">
        <f>IF(DATOS!$G17823&lt;&gt;"EX",0,--(COUNTIFS(nNIA,DATOS!$A17823,nCURSO,DATOS!$D17823,nESPEC,DATOS!$E17823,nASIG,DATOS!$I17823,nEVAL,"OR")=0))</f>
      </c>
      <c r="I17823">
        <f>IF(DATOS!$I17823="","",IFERROR(VLOOKUP(DATOS!$I17823,CONFIG_ASIGNATURAS!$B$2:$J$91,9,FALSE()),""))</f>
      </c>
    </row>
    <row r="17824">
      <c r="F17824">
        <f>IF(DATOS!$A17824="","",DATOS!$A17824&amp;"|"&amp;DATOS!$D17824&amp;"|"&amp;DATOS!$E17824&amp;"|"&amp;DATOS!$I17824)</f>
      </c>
      <c r="G17824">
        <f>IF(DATOS!$A17824="",0,IF(CONFIG_METADATA!$B$4&lt;&gt;"OR+EX",--(DATOS!$G17824=CONFIG_METADATA!$B$4),IF(DATOS!$G17824="EX",1,IF(DATOS!$G17824="OR",--(COUNTIFS(nNIA,DATOS!$A17824,nCURSO,DATOS!$D17824,nESPEC,DATOS!$E17824,nASIG,DATOS!$I17824,nEVAL,"EX")=0),0))))</f>
      </c>
      <c r="H17824">
        <f>IF(DATOS!$G17824&lt;&gt;"EX",0,--(COUNTIFS(nNIA,DATOS!$A17824,nCURSO,DATOS!$D17824,nESPEC,DATOS!$E17824,nASIG,DATOS!$I17824,nEVAL,"OR")=0))</f>
      </c>
      <c r="I17824">
        <f>IF(DATOS!$I17824="","",IFERROR(VLOOKUP(DATOS!$I17824,CONFIG_ASIGNATURAS!$B$2:$J$91,9,FALSE()),""))</f>
      </c>
    </row>
    <row r="17825">
      <c r="F17825">
        <f>IF(DATOS!$A17825="","",DATOS!$A17825&amp;"|"&amp;DATOS!$D17825&amp;"|"&amp;DATOS!$E17825&amp;"|"&amp;DATOS!$I17825)</f>
      </c>
      <c r="G17825">
        <f>IF(DATOS!$A17825="",0,IF(CONFIG_METADATA!$B$4&lt;&gt;"OR+EX",--(DATOS!$G17825=CONFIG_METADATA!$B$4),IF(DATOS!$G17825="EX",1,IF(DATOS!$G17825="OR",--(COUNTIFS(nNIA,DATOS!$A17825,nCURSO,DATOS!$D17825,nESPEC,DATOS!$E17825,nASIG,DATOS!$I17825,nEVAL,"EX")=0),0))))</f>
      </c>
      <c r="H17825">
        <f>IF(DATOS!$G17825&lt;&gt;"EX",0,--(COUNTIFS(nNIA,DATOS!$A17825,nCURSO,DATOS!$D17825,nESPEC,DATOS!$E17825,nASIG,DATOS!$I17825,nEVAL,"OR")=0))</f>
      </c>
      <c r="I17825">
        <f>IF(DATOS!$I17825="","",IFERROR(VLOOKUP(DATOS!$I17825,CONFIG_ASIGNATURAS!$B$2:$J$91,9,FALSE()),""))</f>
      </c>
    </row>
    <row r="17826">
      <c r="F17826">
        <f>IF(DATOS!$A17826="","",DATOS!$A17826&amp;"|"&amp;DATOS!$D17826&amp;"|"&amp;DATOS!$E17826&amp;"|"&amp;DATOS!$I17826)</f>
      </c>
      <c r="G17826">
        <f>IF(DATOS!$A17826="",0,IF(CONFIG_METADATA!$B$4&lt;&gt;"OR+EX",--(DATOS!$G17826=CONFIG_METADATA!$B$4),IF(DATOS!$G17826="EX",1,IF(DATOS!$G17826="OR",--(COUNTIFS(nNIA,DATOS!$A17826,nCURSO,DATOS!$D17826,nESPEC,DATOS!$E17826,nASIG,DATOS!$I17826,nEVAL,"EX")=0),0))))</f>
      </c>
      <c r="H17826">
        <f>IF(DATOS!$G17826&lt;&gt;"EX",0,--(COUNTIFS(nNIA,DATOS!$A17826,nCURSO,DATOS!$D17826,nESPEC,DATOS!$E17826,nASIG,DATOS!$I17826,nEVAL,"OR")=0))</f>
      </c>
      <c r="I17826">
        <f>IF(DATOS!$I17826="","",IFERROR(VLOOKUP(DATOS!$I17826,CONFIG_ASIGNATURAS!$B$2:$J$91,9,FALSE()),""))</f>
      </c>
    </row>
    <row r="17827">
      <c r="F17827">
        <f>IF(DATOS!$A17827="","",DATOS!$A17827&amp;"|"&amp;DATOS!$D17827&amp;"|"&amp;DATOS!$E17827&amp;"|"&amp;DATOS!$I17827)</f>
      </c>
      <c r="G17827">
        <f>IF(DATOS!$A17827="",0,IF(CONFIG_METADATA!$B$4&lt;&gt;"OR+EX",--(DATOS!$G17827=CONFIG_METADATA!$B$4),IF(DATOS!$G17827="EX",1,IF(DATOS!$G17827="OR",--(COUNTIFS(nNIA,DATOS!$A17827,nCURSO,DATOS!$D17827,nESPEC,DATOS!$E17827,nASIG,DATOS!$I17827,nEVAL,"EX")=0),0))))</f>
      </c>
      <c r="H17827">
        <f>IF(DATOS!$G17827&lt;&gt;"EX",0,--(COUNTIFS(nNIA,DATOS!$A17827,nCURSO,DATOS!$D17827,nESPEC,DATOS!$E17827,nASIG,DATOS!$I17827,nEVAL,"OR")=0))</f>
      </c>
      <c r="I17827">
        <f>IF(DATOS!$I17827="","",IFERROR(VLOOKUP(DATOS!$I17827,CONFIG_ASIGNATURAS!$B$2:$J$91,9,FALSE()),""))</f>
      </c>
    </row>
    <row r="17828">
      <c r="F17828">
        <f>IF(DATOS!$A17828="","",DATOS!$A17828&amp;"|"&amp;DATOS!$D17828&amp;"|"&amp;DATOS!$E17828&amp;"|"&amp;DATOS!$I17828)</f>
      </c>
      <c r="G17828">
        <f>IF(DATOS!$A17828="",0,IF(CONFIG_METADATA!$B$4&lt;&gt;"OR+EX",--(DATOS!$G17828=CONFIG_METADATA!$B$4),IF(DATOS!$G17828="EX",1,IF(DATOS!$G17828="OR",--(COUNTIFS(nNIA,DATOS!$A17828,nCURSO,DATOS!$D17828,nESPEC,DATOS!$E17828,nASIG,DATOS!$I17828,nEVAL,"EX")=0),0))))</f>
      </c>
      <c r="H17828">
        <f>IF(DATOS!$G17828&lt;&gt;"EX",0,--(COUNTIFS(nNIA,DATOS!$A17828,nCURSO,DATOS!$D17828,nESPEC,DATOS!$E17828,nASIG,DATOS!$I17828,nEVAL,"OR")=0))</f>
      </c>
      <c r="I17828">
        <f>IF(DATOS!$I17828="","",IFERROR(VLOOKUP(DATOS!$I17828,CONFIG_ASIGNATURAS!$B$2:$J$91,9,FALSE()),""))</f>
      </c>
    </row>
    <row r="17829">
      <c r="F17829">
        <f>IF(DATOS!$A17829="","",DATOS!$A17829&amp;"|"&amp;DATOS!$D17829&amp;"|"&amp;DATOS!$E17829&amp;"|"&amp;DATOS!$I17829)</f>
      </c>
      <c r="G17829">
        <f>IF(DATOS!$A17829="",0,IF(CONFIG_METADATA!$B$4&lt;&gt;"OR+EX",--(DATOS!$G17829=CONFIG_METADATA!$B$4),IF(DATOS!$G17829="EX",1,IF(DATOS!$G17829="OR",--(COUNTIFS(nNIA,DATOS!$A17829,nCURSO,DATOS!$D17829,nESPEC,DATOS!$E17829,nASIG,DATOS!$I17829,nEVAL,"EX")=0),0))))</f>
      </c>
      <c r="H17829">
        <f>IF(DATOS!$G17829&lt;&gt;"EX",0,--(COUNTIFS(nNIA,DATOS!$A17829,nCURSO,DATOS!$D17829,nESPEC,DATOS!$E17829,nASIG,DATOS!$I17829,nEVAL,"OR")=0))</f>
      </c>
      <c r="I17829">
        <f>IF(DATOS!$I17829="","",IFERROR(VLOOKUP(DATOS!$I17829,CONFIG_ASIGNATURAS!$B$2:$J$91,9,FALSE()),""))</f>
      </c>
    </row>
    <row r="17830">
      <c r="F17830">
        <f>IF(DATOS!$A17830="","",DATOS!$A17830&amp;"|"&amp;DATOS!$D17830&amp;"|"&amp;DATOS!$E17830&amp;"|"&amp;DATOS!$I17830)</f>
      </c>
      <c r="G17830">
        <f>IF(DATOS!$A17830="",0,IF(CONFIG_METADATA!$B$4&lt;&gt;"OR+EX",--(DATOS!$G17830=CONFIG_METADATA!$B$4),IF(DATOS!$G17830="EX",1,IF(DATOS!$G17830="OR",--(COUNTIFS(nNIA,DATOS!$A17830,nCURSO,DATOS!$D17830,nESPEC,DATOS!$E17830,nASIG,DATOS!$I17830,nEVAL,"EX")=0),0))))</f>
      </c>
      <c r="H17830">
        <f>IF(DATOS!$G17830&lt;&gt;"EX",0,--(COUNTIFS(nNIA,DATOS!$A17830,nCURSO,DATOS!$D17830,nESPEC,DATOS!$E17830,nASIG,DATOS!$I17830,nEVAL,"OR")=0))</f>
      </c>
      <c r="I17830">
        <f>IF(DATOS!$I17830="","",IFERROR(VLOOKUP(DATOS!$I17830,CONFIG_ASIGNATURAS!$B$2:$J$91,9,FALSE()),""))</f>
      </c>
    </row>
    <row r="17831">
      <c r="F17831">
        <f>IF(DATOS!$A17831="","",DATOS!$A17831&amp;"|"&amp;DATOS!$D17831&amp;"|"&amp;DATOS!$E17831&amp;"|"&amp;DATOS!$I17831)</f>
      </c>
      <c r="G17831">
        <f>IF(DATOS!$A17831="",0,IF(CONFIG_METADATA!$B$4&lt;&gt;"OR+EX",--(DATOS!$G17831=CONFIG_METADATA!$B$4),IF(DATOS!$G17831="EX",1,IF(DATOS!$G17831="OR",--(COUNTIFS(nNIA,DATOS!$A17831,nCURSO,DATOS!$D17831,nESPEC,DATOS!$E17831,nASIG,DATOS!$I17831,nEVAL,"EX")=0),0))))</f>
      </c>
      <c r="H17831">
        <f>IF(DATOS!$G17831&lt;&gt;"EX",0,--(COUNTIFS(nNIA,DATOS!$A17831,nCURSO,DATOS!$D17831,nESPEC,DATOS!$E17831,nASIG,DATOS!$I17831,nEVAL,"OR")=0))</f>
      </c>
      <c r="I17831">
        <f>IF(DATOS!$I17831="","",IFERROR(VLOOKUP(DATOS!$I17831,CONFIG_ASIGNATURAS!$B$2:$J$91,9,FALSE()),""))</f>
      </c>
    </row>
    <row r="17832">
      <c r="F17832">
        <f>IF(DATOS!$A17832="","",DATOS!$A17832&amp;"|"&amp;DATOS!$D17832&amp;"|"&amp;DATOS!$E17832&amp;"|"&amp;DATOS!$I17832)</f>
      </c>
      <c r="G17832">
        <f>IF(DATOS!$A17832="",0,IF(CONFIG_METADATA!$B$4&lt;&gt;"OR+EX",--(DATOS!$G17832=CONFIG_METADATA!$B$4),IF(DATOS!$G17832="EX",1,IF(DATOS!$G17832="OR",--(COUNTIFS(nNIA,DATOS!$A17832,nCURSO,DATOS!$D17832,nESPEC,DATOS!$E17832,nASIG,DATOS!$I17832,nEVAL,"EX")=0),0))))</f>
      </c>
      <c r="H17832">
        <f>IF(DATOS!$G17832&lt;&gt;"EX",0,--(COUNTIFS(nNIA,DATOS!$A17832,nCURSO,DATOS!$D17832,nESPEC,DATOS!$E17832,nASIG,DATOS!$I17832,nEVAL,"OR")=0))</f>
      </c>
      <c r="I17832">
        <f>IF(DATOS!$I17832="","",IFERROR(VLOOKUP(DATOS!$I17832,CONFIG_ASIGNATURAS!$B$2:$J$91,9,FALSE()),""))</f>
      </c>
    </row>
    <row r="17833">
      <c r="F17833">
        <f>IF(DATOS!$A17833="","",DATOS!$A17833&amp;"|"&amp;DATOS!$D17833&amp;"|"&amp;DATOS!$E17833&amp;"|"&amp;DATOS!$I17833)</f>
      </c>
      <c r="G17833">
        <f>IF(DATOS!$A17833="",0,IF(CONFIG_METADATA!$B$4&lt;&gt;"OR+EX",--(DATOS!$G17833=CONFIG_METADATA!$B$4),IF(DATOS!$G17833="EX",1,IF(DATOS!$G17833="OR",--(COUNTIFS(nNIA,DATOS!$A17833,nCURSO,DATOS!$D17833,nESPEC,DATOS!$E17833,nASIG,DATOS!$I17833,nEVAL,"EX")=0),0))))</f>
      </c>
      <c r="H17833">
        <f>IF(DATOS!$G17833&lt;&gt;"EX",0,--(COUNTIFS(nNIA,DATOS!$A17833,nCURSO,DATOS!$D17833,nESPEC,DATOS!$E17833,nASIG,DATOS!$I17833,nEVAL,"OR")=0))</f>
      </c>
      <c r="I17833">
        <f>IF(DATOS!$I17833="","",IFERROR(VLOOKUP(DATOS!$I17833,CONFIG_ASIGNATURAS!$B$2:$J$91,9,FALSE()),""))</f>
      </c>
    </row>
    <row r="17834">
      <c r="F17834">
        <f>IF(DATOS!$A17834="","",DATOS!$A17834&amp;"|"&amp;DATOS!$D17834&amp;"|"&amp;DATOS!$E17834&amp;"|"&amp;DATOS!$I17834)</f>
      </c>
      <c r="G17834">
        <f>IF(DATOS!$A17834="",0,IF(CONFIG_METADATA!$B$4&lt;&gt;"OR+EX",--(DATOS!$G17834=CONFIG_METADATA!$B$4),IF(DATOS!$G17834="EX",1,IF(DATOS!$G17834="OR",--(COUNTIFS(nNIA,DATOS!$A17834,nCURSO,DATOS!$D17834,nESPEC,DATOS!$E17834,nASIG,DATOS!$I17834,nEVAL,"EX")=0),0))))</f>
      </c>
      <c r="H17834">
        <f>IF(DATOS!$G17834&lt;&gt;"EX",0,--(COUNTIFS(nNIA,DATOS!$A17834,nCURSO,DATOS!$D17834,nESPEC,DATOS!$E17834,nASIG,DATOS!$I17834,nEVAL,"OR")=0))</f>
      </c>
      <c r="I17834">
        <f>IF(DATOS!$I17834="","",IFERROR(VLOOKUP(DATOS!$I17834,CONFIG_ASIGNATURAS!$B$2:$J$91,9,FALSE()),""))</f>
      </c>
    </row>
    <row r="17835">
      <c r="F17835">
        <f>IF(DATOS!$A17835="","",DATOS!$A17835&amp;"|"&amp;DATOS!$D17835&amp;"|"&amp;DATOS!$E17835&amp;"|"&amp;DATOS!$I17835)</f>
      </c>
      <c r="G17835">
        <f>IF(DATOS!$A17835="",0,IF(CONFIG_METADATA!$B$4&lt;&gt;"OR+EX",--(DATOS!$G17835=CONFIG_METADATA!$B$4),IF(DATOS!$G17835="EX",1,IF(DATOS!$G17835="OR",--(COUNTIFS(nNIA,DATOS!$A17835,nCURSO,DATOS!$D17835,nESPEC,DATOS!$E17835,nASIG,DATOS!$I17835,nEVAL,"EX")=0),0))))</f>
      </c>
      <c r="H17835">
        <f>IF(DATOS!$G17835&lt;&gt;"EX",0,--(COUNTIFS(nNIA,DATOS!$A17835,nCURSO,DATOS!$D17835,nESPEC,DATOS!$E17835,nASIG,DATOS!$I17835,nEVAL,"OR")=0))</f>
      </c>
      <c r="I17835">
        <f>IF(DATOS!$I17835="","",IFERROR(VLOOKUP(DATOS!$I17835,CONFIG_ASIGNATURAS!$B$2:$J$91,9,FALSE()),""))</f>
      </c>
    </row>
    <row r="17836">
      <c r="F17836">
        <f>IF(DATOS!$A17836="","",DATOS!$A17836&amp;"|"&amp;DATOS!$D17836&amp;"|"&amp;DATOS!$E17836&amp;"|"&amp;DATOS!$I17836)</f>
      </c>
      <c r="G17836">
        <f>IF(DATOS!$A17836="",0,IF(CONFIG_METADATA!$B$4&lt;&gt;"OR+EX",--(DATOS!$G17836=CONFIG_METADATA!$B$4),IF(DATOS!$G17836="EX",1,IF(DATOS!$G17836="OR",--(COUNTIFS(nNIA,DATOS!$A17836,nCURSO,DATOS!$D17836,nESPEC,DATOS!$E17836,nASIG,DATOS!$I17836,nEVAL,"EX")=0),0))))</f>
      </c>
      <c r="H17836">
        <f>IF(DATOS!$G17836&lt;&gt;"EX",0,--(COUNTIFS(nNIA,DATOS!$A17836,nCURSO,DATOS!$D17836,nESPEC,DATOS!$E17836,nASIG,DATOS!$I17836,nEVAL,"OR")=0))</f>
      </c>
      <c r="I17836">
        <f>IF(DATOS!$I17836="","",IFERROR(VLOOKUP(DATOS!$I17836,CONFIG_ASIGNATURAS!$B$2:$J$91,9,FALSE()),""))</f>
      </c>
    </row>
    <row r="17837">
      <c r="F17837">
        <f>IF(DATOS!$A17837="","",DATOS!$A17837&amp;"|"&amp;DATOS!$D17837&amp;"|"&amp;DATOS!$E17837&amp;"|"&amp;DATOS!$I17837)</f>
      </c>
      <c r="G17837">
        <f>IF(DATOS!$A17837="",0,IF(CONFIG_METADATA!$B$4&lt;&gt;"OR+EX",--(DATOS!$G17837=CONFIG_METADATA!$B$4),IF(DATOS!$G17837="EX",1,IF(DATOS!$G17837="OR",--(COUNTIFS(nNIA,DATOS!$A17837,nCURSO,DATOS!$D17837,nESPEC,DATOS!$E17837,nASIG,DATOS!$I17837,nEVAL,"EX")=0),0))))</f>
      </c>
      <c r="H17837">
        <f>IF(DATOS!$G17837&lt;&gt;"EX",0,--(COUNTIFS(nNIA,DATOS!$A17837,nCURSO,DATOS!$D17837,nESPEC,DATOS!$E17837,nASIG,DATOS!$I17837,nEVAL,"OR")=0))</f>
      </c>
      <c r="I17837">
        <f>IF(DATOS!$I17837="","",IFERROR(VLOOKUP(DATOS!$I17837,CONFIG_ASIGNATURAS!$B$2:$J$91,9,FALSE()),""))</f>
      </c>
    </row>
    <row r="17838">
      <c r="F17838">
        <f>IF(DATOS!$A17838="","",DATOS!$A17838&amp;"|"&amp;DATOS!$D17838&amp;"|"&amp;DATOS!$E17838&amp;"|"&amp;DATOS!$I17838)</f>
      </c>
      <c r="G17838">
        <f>IF(DATOS!$A17838="",0,IF(CONFIG_METADATA!$B$4&lt;&gt;"OR+EX",--(DATOS!$G17838=CONFIG_METADATA!$B$4),IF(DATOS!$G17838="EX",1,IF(DATOS!$G17838="OR",--(COUNTIFS(nNIA,DATOS!$A17838,nCURSO,DATOS!$D17838,nESPEC,DATOS!$E17838,nASIG,DATOS!$I17838,nEVAL,"EX")=0),0))))</f>
      </c>
      <c r="H17838">
        <f>IF(DATOS!$G17838&lt;&gt;"EX",0,--(COUNTIFS(nNIA,DATOS!$A17838,nCURSO,DATOS!$D17838,nESPEC,DATOS!$E17838,nASIG,DATOS!$I17838,nEVAL,"OR")=0))</f>
      </c>
      <c r="I17838">
        <f>IF(DATOS!$I17838="","",IFERROR(VLOOKUP(DATOS!$I17838,CONFIG_ASIGNATURAS!$B$2:$J$91,9,FALSE()),""))</f>
      </c>
    </row>
    <row r="17839">
      <c r="F17839">
        <f>IF(DATOS!$A17839="","",DATOS!$A17839&amp;"|"&amp;DATOS!$D17839&amp;"|"&amp;DATOS!$E17839&amp;"|"&amp;DATOS!$I17839)</f>
      </c>
      <c r="G17839">
        <f>IF(DATOS!$A17839="",0,IF(CONFIG_METADATA!$B$4&lt;&gt;"OR+EX",--(DATOS!$G17839=CONFIG_METADATA!$B$4),IF(DATOS!$G17839="EX",1,IF(DATOS!$G17839="OR",--(COUNTIFS(nNIA,DATOS!$A17839,nCURSO,DATOS!$D17839,nESPEC,DATOS!$E17839,nASIG,DATOS!$I17839,nEVAL,"EX")=0),0))))</f>
      </c>
      <c r="H17839">
        <f>IF(DATOS!$G17839&lt;&gt;"EX",0,--(COUNTIFS(nNIA,DATOS!$A17839,nCURSO,DATOS!$D17839,nESPEC,DATOS!$E17839,nASIG,DATOS!$I17839,nEVAL,"OR")=0))</f>
      </c>
      <c r="I17839">
        <f>IF(DATOS!$I17839="","",IFERROR(VLOOKUP(DATOS!$I17839,CONFIG_ASIGNATURAS!$B$2:$J$91,9,FALSE()),""))</f>
      </c>
    </row>
    <row r="17840">
      <c r="F17840">
        <f>IF(DATOS!$A17840="","",DATOS!$A17840&amp;"|"&amp;DATOS!$D17840&amp;"|"&amp;DATOS!$E17840&amp;"|"&amp;DATOS!$I17840)</f>
      </c>
      <c r="G17840">
        <f>IF(DATOS!$A17840="",0,IF(CONFIG_METADATA!$B$4&lt;&gt;"OR+EX",--(DATOS!$G17840=CONFIG_METADATA!$B$4),IF(DATOS!$G17840="EX",1,IF(DATOS!$G17840="OR",--(COUNTIFS(nNIA,DATOS!$A17840,nCURSO,DATOS!$D17840,nESPEC,DATOS!$E17840,nASIG,DATOS!$I17840,nEVAL,"EX")=0),0))))</f>
      </c>
      <c r="H17840">
        <f>IF(DATOS!$G17840&lt;&gt;"EX",0,--(COUNTIFS(nNIA,DATOS!$A17840,nCURSO,DATOS!$D17840,nESPEC,DATOS!$E17840,nASIG,DATOS!$I17840,nEVAL,"OR")=0))</f>
      </c>
      <c r="I17840">
        <f>IF(DATOS!$I17840="","",IFERROR(VLOOKUP(DATOS!$I17840,CONFIG_ASIGNATURAS!$B$2:$J$91,9,FALSE()),""))</f>
      </c>
    </row>
    <row r="17841">
      <c r="F17841">
        <f>IF(DATOS!$A17841="","",DATOS!$A17841&amp;"|"&amp;DATOS!$D17841&amp;"|"&amp;DATOS!$E17841&amp;"|"&amp;DATOS!$I17841)</f>
      </c>
      <c r="G17841">
        <f>IF(DATOS!$A17841="",0,IF(CONFIG_METADATA!$B$4&lt;&gt;"OR+EX",--(DATOS!$G17841=CONFIG_METADATA!$B$4),IF(DATOS!$G17841="EX",1,IF(DATOS!$G17841="OR",--(COUNTIFS(nNIA,DATOS!$A17841,nCURSO,DATOS!$D17841,nESPEC,DATOS!$E17841,nASIG,DATOS!$I17841,nEVAL,"EX")=0),0))))</f>
      </c>
      <c r="H17841">
        <f>IF(DATOS!$G17841&lt;&gt;"EX",0,--(COUNTIFS(nNIA,DATOS!$A17841,nCURSO,DATOS!$D17841,nESPEC,DATOS!$E17841,nASIG,DATOS!$I17841,nEVAL,"OR")=0))</f>
      </c>
      <c r="I17841">
        <f>IF(DATOS!$I17841="","",IFERROR(VLOOKUP(DATOS!$I17841,CONFIG_ASIGNATURAS!$B$2:$J$91,9,FALSE()),""))</f>
      </c>
    </row>
    <row r="17842">
      <c r="F17842">
        <f>IF(DATOS!$A17842="","",DATOS!$A17842&amp;"|"&amp;DATOS!$D17842&amp;"|"&amp;DATOS!$E17842&amp;"|"&amp;DATOS!$I17842)</f>
      </c>
      <c r="G17842">
        <f>IF(DATOS!$A17842="",0,IF(CONFIG_METADATA!$B$4&lt;&gt;"OR+EX",--(DATOS!$G17842=CONFIG_METADATA!$B$4),IF(DATOS!$G17842="EX",1,IF(DATOS!$G17842="OR",--(COUNTIFS(nNIA,DATOS!$A17842,nCURSO,DATOS!$D17842,nESPEC,DATOS!$E17842,nASIG,DATOS!$I17842,nEVAL,"EX")=0),0))))</f>
      </c>
      <c r="H17842">
        <f>IF(DATOS!$G17842&lt;&gt;"EX",0,--(COUNTIFS(nNIA,DATOS!$A17842,nCURSO,DATOS!$D17842,nESPEC,DATOS!$E17842,nASIG,DATOS!$I17842,nEVAL,"OR")=0))</f>
      </c>
      <c r="I17842">
        <f>IF(DATOS!$I17842="","",IFERROR(VLOOKUP(DATOS!$I17842,CONFIG_ASIGNATURAS!$B$2:$J$91,9,FALSE()),""))</f>
      </c>
    </row>
    <row r="17843">
      <c r="F17843">
        <f>IF(DATOS!$A17843="","",DATOS!$A17843&amp;"|"&amp;DATOS!$D17843&amp;"|"&amp;DATOS!$E17843&amp;"|"&amp;DATOS!$I17843)</f>
      </c>
      <c r="G17843">
        <f>IF(DATOS!$A17843="",0,IF(CONFIG_METADATA!$B$4&lt;&gt;"OR+EX",--(DATOS!$G17843=CONFIG_METADATA!$B$4),IF(DATOS!$G17843="EX",1,IF(DATOS!$G17843="OR",--(COUNTIFS(nNIA,DATOS!$A17843,nCURSO,DATOS!$D17843,nESPEC,DATOS!$E17843,nASIG,DATOS!$I17843,nEVAL,"EX")=0),0))))</f>
      </c>
      <c r="H17843">
        <f>IF(DATOS!$G17843&lt;&gt;"EX",0,--(COUNTIFS(nNIA,DATOS!$A17843,nCURSO,DATOS!$D17843,nESPEC,DATOS!$E17843,nASIG,DATOS!$I17843,nEVAL,"OR")=0))</f>
      </c>
      <c r="I17843">
        <f>IF(DATOS!$I17843="","",IFERROR(VLOOKUP(DATOS!$I17843,CONFIG_ASIGNATURAS!$B$2:$J$91,9,FALSE()),""))</f>
      </c>
    </row>
    <row r="17844">
      <c r="F17844">
        <f>IF(DATOS!$A17844="","",DATOS!$A17844&amp;"|"&amp;DATOS!$D17844&amp;"|"&amp;DATOS!$E17844&amp;"|"&amp;DATOS!$I17844)</f>
      </c>
      <c r="G17844">
        <f>IF(DATOS!$A17844="",0,IF(CONFIG_METADATA!$B$4&lt;&gt;"OR+EX",--(DATOS!$G17844=CONFIG_METADATA!$B$4),IF(DATOS!$G17844="EX",1,IF(DATOS!$G17844="OR",--(COUNTIFS(nNIA,DATOS!$A17844,nCURSO,DATOS!$D17844,nESPEC,DATOS!$E17844,nASIG,DATOS!$I17844,nEVAL,"EX")=0),0))))</f>
      </c>
      <c r="H17844">
        <f>IF(DATOS!$G17844&lt;&gt;"EX",0,--(COUNTIFS(nNIA,DATOS!$A17844,nCURSO,DATOS!$D17844,nESPEC,DATOS!$E17844,nASIG,DATOS!$I17844,nEVAL,"OR")=0))</f>
      </c>
      <c r="I17844">
        <f>IF(DATOS!$I17844="","",IFERROR(VLOOKUP(DATOS!$I17844,CONFIG_ASIGNATURAS!$B$2:$J$91,9,FALSE()),""))</f>
      </c>
    </row>
    <row r="17845">
      <c r="F17845">
        <f>IF(DATOS!$A17845="","",DATOS!$A17845&amp;"|"&amp;DATOS!$D17845&amp;"|"&amp;DATOS!$E17845&amp;"|"&amp;DATOS!$I17845)</f>
      </c>
      <c r="G17845">
        <f>IF(DATOS!$A17845="",0,IF(CONFIG_METADATA!$B$4&lt;&gt;"OR+EX",--(DATOS!$G17845=CONFIG_METADATA!$B$4),IF(DATOS!$G17845="EX",1,IF(DATOS!$G17845="OR",--(COUNTIFS(nNIA,DATOS!$A17845,nCURSO,DATOS!$D17845,nESPEC,DATOS!$E17845,nASIG,DATOS!$I17845,nEVAL,"EX")=0),0))))</f>
      </c>
      <c r="H17845">
        <f>IF(DATOS!$G17845&lt;&gt;"EX",0,--(COUNTIFS(nNIA,DATOS!$A17845,nCURSO,DATOS!$D17845,nESPEC,DATOS!$E17845,nASIG,DATOS!$I17845,nEVAL,"OR")=0))</f>
      </c>
      <c r="I17845">
        <f>IF(DATOS!$I17845="","",IFERROR(VLOOKUP(DATOS!$I17845,CONFIG_ASIGNATURAS!$B$2:$J$91,9,FALSE()),""))</f>
      </c>
    </row>
    <row r="17846">
      <c r="F17846">
        <f>IF(DATOS!$A17846="","",DATOS!$A17846&amp;"|"&amp;DATOS!$D17846&amp;"|"&amp;DATOS!$E17846&amp;"|"&amp;DATOS!$I17846)</f>
      </c>
      <c r="G17846">
        <f>IF(DATOS!$A17846="",0,IF(CONFIG_METADATA!$B$4&lt;&gt;"OR+EX",--(DATOS!$G17846=CONFIG_METADATA!$B$4),IF(DATOS!$G17846="EX",1,IF(DATOS!$G17846="OR",--(COUNTIFS(nNIA,DATOS!$A17846,nCURSO,DATOS!$D17846,nESPEC,DATOS!$E17846,nASIG,DATOS!$I17846,nEVAL,"EX")=0),0))))</f>
      </c>
      <c r="H17846">
        <f>IF(DATOS!$G17846&lt;&gt;"EX",0,--(COUNTIFS(nNIA,DATOS!$A17846,nCURSO,DATOS!$D17846,nESPEC,DATOS!$E17846,nASIG,DATOS!$I17846,nEVAL,"OR")=0))</f>
      </c>
      <c r="I17846">
        <f>IF(DATOS!$I17846="","",IFERROR(VLOOKUP(DATOS!$I17846,CONFIG_ASIGNATURAS!$B$2:$J$91,9,FALSE()),""))</f>
      </c>
    </row>
    <row r="17847">
      <c r="F17847">
        <f>IF(DATOS!$A17847="","",DATOS!$A17847&amp;"|"&amp;DATOS!$D17847&amp;"|"&amp;DATOS!$E17847&amp;"|"&amp;DATOS!$I17847)</f>
      </c>
      <c r="G17847">
        <f>IF(DATOS!$A17847="",0,IF(CONFIG_METADATA!$B$4&lt;&gt;"OR+EX",--(DATOS!$G17847=CONFIG_METADATA!$B$4),IF(DATOS!$G17847="EX",1,IF(DATOS!$G17847="OR",--(COUNTIFS(nNIA,DATOS!$A17847,nCURSO,DATOS!$D17847,nESPEC,DATOS!$E17847,nASIG,DATOS!$I17847,nEVAL,"EX")=0),0))))</f>
      </c>
      <c r="H17847">
        <f>IF(DATOS!$G17847&lt;&gt;"EX",0,--(COUNTIFS(nNIA,DATOS!$A17847,nCURSO,DATOS!$D17847,nESPEC,DATOS!$E17847,nASIG,DATOS!$I17847,nEVAL,"OR")=0))</f>
      </c>
      <c r="I17847">
        <f>IF(DATOS!$I17847="","",IFERROR(VLOOKUP(DATOS!$I17847,CONFIG_ASIGNATURAS!$B$2:$J$91,9,FALSE()),""))</f>
      </c>
    </row>
    <row r="17848">
      <c r="F17848">
        <f>IF(DATOS!$A17848="","",DATOS!$A17848&amp;"|"&amp;DATOS!$D17848&amp;"|"&amp;DATOS!$E17848&amp;"|"&amp;DATOS!$I17848)</f>
      </c>
      <c r="G17848">
        <f>IF(DATOS!$A17848="",0,IF(CONFIG_METADATA!$B$4&lt;&gt;"OR+EX",--(DATOS!$G17848=CONFIG_METADATA!$B$4),IF(DATOS!$G17848="EX",1,IF(DATOS!$G17848="OR",--(COUNTIFS(nNIA,DATOS!$A17848,nCURSO,DATOS!$D17848,nESPEC,DATOS!$E17848,nASIG,DATOS!$I17848,nEVAL,"EX")=0),0))))</f>
      </c>
      <c r="H17848">
        <f>IF(DATOS!$G17848&lt;&gt;"EX",0,--(COUNTIFS(nNIA,DATOS!$A17848,nCURSO,DATOS!$D17848,nESPEC,DATOS!$E17848,nASIG,DATOS!$I17848,nEVAL,"OR")=0))</f>
      </c>
      <c r="I17848">
        <f>IF(DATOS!$I17848="","",IFERROR(VLOOKUP(DATOS!$I17848,CONFIG_ASIGNATURAS!$B$2:$J$91,9,FALSE()),""))</f>
      </c>
    </row>
    <row r="17849">
      <c r="F17849">
        <f>IF(DATOS!$A17849="","",DATOS!$A17849&amp;"|"&amp;DATOS!$D17849&amp;"|"&amp;DATOS!$E17849&amp;"|"&amp;DATOS!$I17849)</f>
      </c>
      <c r="G17849">
        <f>IF(DATOS!$A17849="",0,IF(CONFIG_METADATA!$B$4&lt;&gt;"OR+EX",--(DATOS!$G17849=CONFIG_METADATA!$B$4),IF(DATOS!$G17849="EX",1,IF(DATOS!$G17849="OR",--(COUNTIFS(nNIA,DATOS!$A17849,nCURSO,DATOS!$D17849,nESPEC,DATOS!$E17849,nASIG,DATOS!$I17849,nEVAL,"EX")=0),0))))</f>
      </c>
      <c r="H17849">
        <f>IF(DATOS!$G17849&lt;&gt;"EX",0,--(COUNTIFS(nNIA,DATOS!$A17849,nCURSO,DATOS!$D17849,nESPEC,DATOS!$E17849,nASIG,DATOS!$I17849,nEVAL,"OR")=0))</f>
      </c>
      <c r="I17849">
        <f>IF(DATOS!$I17849="","",IFERROR(VLOOKUP(DATOS!$I17849,CONFIG_ASIGNATURAS!$B$2:$J$91,9,FALSE()),""))</f>
      </c>
    </row>
    <row r="17850">
      <c r="F17850">
        <f>IF(DATOS!$A17850="","",DATOS!$A17850&amp;"|"&amp;DATOS!$D17850&amp;"|"&amp;DATOS!$E17850&amp;"|"&amp;DATOS!$I17850)</f>
      </c>
      <c r="G17850">
        <f>IF(DATOS!$A17850="",0,IF(CONFIG_METADATA!$B$4&lt;&gt;"OR+EX",--(DATOS!$G17850=CONFIG_METADATA!$B$4),IF(DATOS!$G17850="EX",1,IF(DATOS!$G17850="OR",--(COUNTIFS(nNIA,DATOS!$A17850,nCURSO,DATOS!$D17850,nESPEC,DATOS!$E17850,nASIG,DATOS!$I17850,nEVAL,"EX")=0),0))))</f>
      </c>
      <c r="H17850">
        <f>IF(DATOS!$G17850&lt;&gt;"EX",0,--(COUNTIFS(nNIA,DATOS!$A17850,nCURSO,DATOS!$D17850,nESPEC,DATOS!$E17850,nASIG,DATOS!$I17850,nEVAL,"OR")=0))</f>
      </c>
      <c r="I17850">
        <f>IF(DATOS!$I17850="","",IFERROR(VLOOKUP(DATOS!$I17850,CONFIG_ASIGNATURAS!$B$2:$J$91,9,FALSE()),""))</f>
      </c>
    </row>
    <row r="17851">
      <c r="F17851">
        <f>IF(DATOS!$A17851="","",DATOS!$A17851&amp;"|"&amp;DATOS!$D17851&amp;"|"&amp;DATOS!$E17851&amp;"|"&amp;DATOS!$I17851)</f>
      </c>
      <c r="G17851">
        <f>IF(DATOS!$A17851="",0,IF(CONFIG_METADATA!$B$4&lt;&gt;"OR+EX",--(DATOS!$G17851=CONFIG_METADATA!$B$4),IF(DATOS!$G17851="EX",1,IF(DATOS!$G17851="OR",--(COUNTIFS(nNIA,DATOS!$A17851,nCURSO,DATOS!$D17851,nESPEC,DATOS!$E17851,nASIG,DATOS!$I17851,nEVAL,"EX")=0),0))))</f>
      </c>
      <c r="H17851">
        <f>IF(DATOS!$G17851&lt;&gt;"EX",0,--(COUNTIFS(nNIA,DATOS!$A17851,nCURSO,DATOS!$D17851,nESPEC,DATOS!$E17851,nASIG,DATOS!$I17851,nEVAL,"OR")=0))</f>
      </c>
      <c r="I17851">
        <f>IF(DATOS!$I17851="","",IFERROR(VLOOKUP(DATOS!$I17851,CONFIG_ASIGNATURAS!$B$2:$J$91,9,FALSE()),""))</f>
      </c>
    </row>
    <row r="17852">
      <c r="F17852">
        <f>IF(DATOS!$A17852="","",DATOS!$A17852&amp;"|"&amp;DATOS!$D17852&amp;"|"&amp;DATOS!$E17852&amp;"|"&amp;DATOS!$I17852)</f>
      </c>
      <c r="G17852">
        <f>IF(DATOS!$A17852="",0,IF(CONFIG_METADATA!$B$4&lt;&gt;"OR+EX",--(DATOS!$G17852=CONFIG_METADATA!$B$4),IF(DATOS!$G17852="EX",1,IF(DATOS!$G17852="OR",--(COUNTIFS(nNIA,DATOS!$A17852,nCURSO,DATOS!$D17852,nESPEC,DATOS!$E17852,nASIG,DATOS!$I17852,nEVAL,"EX")=0),0))))</f>
      </c>
      <c r="H17852">
        <f>IF(DATOS!$G17852&lt;&gt;"EX",0,--(COUNTIFS(nNIA,DATOS!$A17852,nCURSO,DATOS!$D17852,nESPEC,DATOS!$E17852,nASIG,DATOS!$I17852,nEVAL,"OR")=0))</f>
      </c>
      <c r="I17852">
        <f>IF(DATOS!$I17852="","",IFERROR(VLOOKUP(DATOS!$I17852,CONFIG_ASIGNATURAS!$B$2:$J$91,9,FALSE()),""))</f>
      </c>
    </row>
    <row r="17853">
      <c r="F17853">
        <f>IF(DATOS!$A17853="","",DATOS!$A17853&amp;"|"&amp;DATOS!$D17853&amp;"|"&amp;DATOS!$E17853&amp;"|"&amp;DATOS!$I17853)</f>
      </c>
      <c r="G17853">
        <f>IF(DATOS!$A17853="",0,IF(CONFIG_METADATA!$B$4&lt;&gt;"OR+EX",--(DATOS!$G17853=CONFIG_METADATA!$B$4),IF(DATOS!$G17853="EX",1,IF(DATOS!$G17853="OR",--(COUNTIFS(nNIA,DATOS!$A17853,nCURSO,DATOS!$D17853,nESPEC,DATOS!$E17853,nASIG,DATOS!$I17853,nEVAL,"EX")=0),0))))</f>
      </c>
      <c r="H17853">
        <f>IF(DATOS!$G17853&lt;&gt;"EX",0,--(COUNTIFS(nNIA,DATOS!$A17853,nCURSO,DATOS!$D17853,nESPEC,DATOS!$E17853,nASIG,DATOS!$I17853,nEVAL,"OR")=0))</f>
      </c>
      <c r="I17853">
        <f>IF(DATOS!$I17853="","",IFERROR(VLOOKUP(DATOS!$I17853,CONFIG_ASIGNATURAS!$B$2:$J$91,9,FALSE()),""))</f>
      </c>
    </row>
    <row r="17854">
      <c r="F17854">
        <f>IF(DATOS!$A17854="","",DATOS!$A17854&amp;"|"&amp;DATOS!$D17854&amp;"|"&amp;DATOS!$E17854&amp;"|"&amp;DATOS!$I17854)</f>
      </c>
      <c r="G17854">
        <f>IF(DATOS!$A17854="",0,IF(CONFIG_METADATA!$B$4&lt;&gt;"OR+EX",--(DATOS!$G17854=CONFIG_METADATA!$B$4),IF(DATOS!$G17854="EX",1,IF(DATOS!$G17854="OR",--(COUNTIFS(nNIA,DATOS!$A17854,nCURSO,DATOS!$D17854,nESPEC,DATOS!$E17854,nASIG,DATOS!$I17854,nEVAL,"EX")=0),0))))</f>
      </c>
      <c r="H17854">
        <f>IF(DATOS!$G17854&lt;&gt;"EX",0,--(COUNTIFS(nNIA,DATOS!$A17854,nCURSO,DATOS!$D17854,nESPEC,DATOS!$E17854,nASIG,DATOS!$I17854,nEVAL,"OR")=0))</f>
      </c>
      <c r="I17854">
        <f>IF(DATOS!$I17854="","",IFERROR(VLOOKUP(DATOS!$I17854,CONFIG_ASIGNATURAS!$B$2:$J$91,9,FALSE()),""))</f>
      </c>
    </row>
    <row r="17855">
      <c r="F17855">
        <f>IF(DATOS!$A17855="","",DATOS!$A17855&amp;"|"&amp;DATOS!$D17855&amp;"|"&amp;DATOS!$E17855&amp;"|"&amp;DATOS!$I17855)</f>
      </c>
      <c r="G17855">
        <f>IF(DATOS!$A17855="",0,IF(CONFIG_METADATA!$B$4&lt;&gt;"OR+EX",--(DATOS!$G17855=CONFIG_METADATA!$B$4),IF(DATOS!$G17855="EX",1,IF(DATOS!$G17855="OR",--(COUNTIFS(nNIA,DATOS!$A17855,nCURSO,DATOS!$D17855,nESPEC,DATOS!$E17855,nASIG,DATOS!$I17855,nEVAL,"EX")=0),0))))</f>
      </c>
      <c r="H17855">
        <f>IF(DATOS!$G17855&lt;&gt;"EX",0,--(COUNTIFS(nNIA,DATOS!$A17855,nCURSO,DATOS!$D17855,nESPEC,DATOS!$E17855,nASIG,DATOS!$I17855,nEVAL,"OR")=0))</f>
      </c>
      <c r="I17855">
        <f>IF(DATOS!$I17855="","",IFERROR(VLOOKUP(DATOS!$I17855,CONFIG_ASIGNATURAS!$B$2:$J$91,9,FALSE()),""))</f>
      </c>
    </row>
    <row r="17856">
      <c r="F17856">
        <f>IF(DATOS!$A17856="","",DATOS!$A17856&amp;"|"&amp;DATOS!$D17856&amp;"|"&amp;DATOS!$E17856&amp;"|"&amp;DATOS!$I17856)</f>
      </c>
      <c r="G17856">
        <f>IF(DATOS!$A17856="",0,IF(CONFIG_METADATA!$B$4&lt;&gt;"OR+EX",--(DATOS!$G17856=CONFIG_METADATA!$B$4),IF(DATOS!$G17856="EX",1,IF(DATOS!$G17856="OR",--(COUNTIFS(nNIA,DATOS!$A17856,nCURSO,DATOS!$D17856,nESPEC,DATOS!$E17856,nASIG,DATOS!$I17856,nEVAL,"EX")=0),0))))</f>
      </c>
      <c r="H17856">
        <f>IF(DATOS!$G17856&lt;&gt;"EX",0,--(COUNTIFS(nNIA,DATOS!$A17856,nCURSO,DATOS!$D17856,nESPEC,DATOS!$E17856,nASIG,DATOS!$I17856,nEVAL,"OR")=0))</f>
      </c>
      <c r="I17856">
        <f>IF(DATOS!$I17856="","",IFERROR(VLOOKUP(DATOS!$I17856,CONFIG_ASIGNATURAS!$B$2:$J$91,9,FALSE()),""))</f>
      </c>
    </row>
    <row r="17857">
      <c r="F17857">
        <f>IF(DATOS!$A17857="","",DATOS!$A17857&amp;"|"&amp;DATOS!$D17857&amp;"|"&amp;DATOS!$E17857&amp;"|"&amp;DATOS!$I17857)</f>
      </c>
      <c r="G17857">
        <f>IF(DATOS!$A17857="",0,IF(CONFIG_METADATA!$B$4&lt;&gt;"OR+EX",--(DATOS!$G17857=CONFIG_METADATA!$B$4),IF(DATOS!$G17857="EX",1,IF(DATOS!$G17857="OR",--(COUNTIFS(nNIA,DATOS!$A17857,nCURSO,DATOS!$D17857,nESPEC,DATOS!$E17857,nASIG,DATOS!$I17857,nEVAL,"EX")=0),0))))</f>
      </c>
      <c r="H17857">
        <f>IF(DATOS!$G17857&lt;&gt;"EX",0,--(COUNTIFS(nNIA,DATOS!$A17857,nCURSO,DATOS!$D17857,nESPEC,DATOS!$E17857,nASIG,DATOS!$I17857,nEVAL,"OR")=0))</f>
      </c>
      <c r="I17857">
        <f>IF(DATOS!$I17857="","",IFERROR(VLOOKUP(DATOS!$I17857,CONFIG_ASIGNATURAS!$B$2:$J$91,9,FALSE()),""))</f>
      </c>
    </row>
    <row r="17858">
      <c r="F17858">
        <f>IF(DATOS!$A17858="","",DATOS!$A17858&amp;"|"&amp;DATOS!$D17858&amp;"|"&amp;DATOS!$E17858&amp;"|"&amp;DATOS!$I17858)</f>
      </c>
      <c r="G17858">
        <f>IF(DATOS!$A17858="",0,IF(CONFIG_METADATA!$B$4&lt;&gt;"OR+EX",--(DATOS!$G17858=CONFIG_METADATA!$B$4),IF(DATOS!$G17858="EX",1,IF(DATOS!$G17858="OR",--(COUNTIFS(nNIA,DATOS!$A17858,nCURSO,DATOS!$D17858,nESPEC,DATOS!$E17858,nASIG,DATOS!$I17858,nEVAL,"EX")=0),0))))</f>
      </c>
      <c r="H17858">
        <f>IF(DATOS!$G17858&lt;&gt;"EX",0,--(COUNTIFS(nNIA,DATOS!$A17858,nCURSO,DATOS!$D17858,nESPEC,DATOS!$E17858,nASIG,DATOS!$I17858,nEVAL,"OR")=0))</f>
      </c>
      <c r="I17858">
        <f>IF(DATOS!$I17858="","",IFERROR(VLOOKUP(DATOS!$I17858,CONFIG_ASIGNATURAS!$B$2:$J$91,9,FALSE()),""))</f>
      </c>
    </row>
    <row r="17859">
      <c r="F17859">
        <f>IF(DATOS!$A17859="","",DATOS!$A17859&amp;"|"&amp;DATOS!$D17859&amp;"|"&amp;DATOS!$E17859&amp;"|"&amp;DATOS!$I17859)</f>
      </c>
      <c r="G17859">
        <f>IF(DATOS!$A17859="",0,IF(CONFIG_METADATA!$B$4&lt;&gt;"OR+EX",--(DATOS!$G17859=CONFIG_METADATA!$B$4),IF(DATOS!$G17859="EX",1,IF(DATOS!$G17859="OR",--(COUNTIFS(nNIA,DATOS!$A17859,nCURSO,DATOS!$D17859,nESPEC,DATOS!$E17859,nASIG,DATOS!$I17859,nEVAL,"EX")=0),0))))</f>
      </c>
      <c r="H17859">
        <f>IF(DATOS!$G17859&lt;&gt;"EX",0,--(COUNTIFS(nNIA,DATOS!$A17859,nCURSO,DATOS!$D17859,nESPEC,DATOS!$E17859,nASIG,DATOS!$I17859,nEVAL,"OR")=0))</f>
      </c>
      <c r="I17859">
        <f>IF(DATOS!$I17859="","",IFERROR(VLOOKUP(DATOS!$I17859,CONFIG_ASIGNATURAS!$B$2:$J$91,9,FALSE()),""))</f>
      </c>
    </row>
    <row r="17860">
      <c r="F17860">
        <f>IF(DATOS!$A17860="","",DATOS!$A17860&amp;"|"&amp;DATOS!$D17860&amp;"|"&amp;DATOS!$E17860&amp;"|"&amp;DATOS!$I17860)</f>
      </c>
      <c r="G17860">
        <f>IF(DATOS!$A17860="",0,IF(CONFIG_METADATA!$B$4&lt;&gt;"OR+EX",--(DATOS!$G17860=CONFIG_METADATA!$B$4),IF(DATOS!$G17860="EX",1,IF(DATOS!$G17860="OR",--(COUNTIFS(nNIA,DATOS!$A17860,nCURSO,DATOS!$D17860,nESPEC,DATOS!$E17860,nASIG,DATOS!$I17860,nEVAL,"EX")=0),0))))</f>
      </c>
      <c r="H17860">
        <f>IF(DATOS!$G17860&lt;&gt;"EX",0,--(COUNTIFS(nNIA,DATOS!$A17860,nCURSO,DATOS!$D17860,nESPEC,DATOS!$E17860,nASIG,DATOS!$I17860,nEVAL,"OR")=0))</f>
      </c>
      <c r="I17860">
        <f>IF(DATOS!$I17860="","",IFERROR(VLOOKUP(DATOS!$I17860,CONFIG_ASIGNATURAS!$B$2:$J$91,9,FALSE()),""))</f>
      </c>
    </row>
    <row r="17861">
      <c r="F17861">
        <f>IF(DATOS!$A17861="","",DATOS!$A17861&amp;"|"&amp;DATOS!$D17861&amp;"|"&amp;DATOS!$E17861&amp;"|"&amp;DATOS!$I17861)</f>
      </c>
      <c r="G17861">
        <f>IF(DATOS!$A17861="",0,IF(CONFIG_METADATA!$B$4&lt;&gt;"OR+EX",--(DATOS!$G17861=CONFIG_METADATA!$B$4),IF(DATOS!$G17861="EX",1,IF(DATOS!$G17861="OR",--(COUNTIFS(nNIA,DATOS!$A17861,nCURSO,DATOS!$D17861,nESPEC,DATOS!$E17861,nASIG,DATOS!$I17861,nEVAL,"EX")=0),0))))</f>
      </c>
      <c r="H17861">
        <f>IF(DATOS!$G17861&lt;&gt;"EX",0,--(COUNTIFS(nNIA,DATOS!$A17861,nCURSO,DATOS!$D17861,nESPEC,DATOS!$E17861,nASIG,DATOS!$I17861,nEVAL,"OR")=0))</f>
      </c>
      <c r="I17861">
        <f>IF(DATOS!$I17861="","",IFERROR(VLOOKUP(DATOS!$I17861,CONFIG_ASIGNATURAS!$B$2:$J$91,9,FALSE()),""))</f>
      </c>
    </row>
    <row r="17862">
      <c r="F17862">
        <f>IF(DATOS!$A17862="","",DATOS!$A17862&amp;"|"&amp;DATOS!$D17862&amp;"|"&amp;DATOS!$E17862&amp;"|"&amp;DATOS!$I17862)</f>
      </c>
      <c r="G17862">
        <f>IF(DATOS!$A17862="",0,IF(CONFIG_METADATA!$B$4&lt;&gt;"OR+EX",--(DATOS!$G17862=CONFIG_METADATA!$B$4),IF(DATOS!$G17862="EX",1,IF(DATOS!$G17862="OR",--(COUNTIFS(nNIA,DATOS!$A17862,nCURSO,DATOS!$D17862,nESPEC,DATOS!$E17862,nASIG,DATOS!$I17862,nEVAL,"EX")=0),0))))</f>
      </c>
      <c r="H17862">
        <f>IF(DATOS!$G17862&lt;&gt;"EX",0,--(COUNTIFS(nNIA,DATOS!$A17862,nCURSO,DATOS!$D17862,nESPEC,DATOS!$E17862,nASIG,DATOS!$I17862,nEVAL,"OR")=0))</f>
      </c>
      <c r="I17862">
        <f>IF(DATOS!$I17862="","",IFERROR(VLOOKUP(DATOS!$I17862,CONFIG_ASIGNATURAS!$B$2:$J$91,9,FALSE()),""))</f>
      </c>
    </row>
    <row r="17863">
      <c r="F17863">
        <f>IF(DATOS!$A17863="","",DATOS!$A17863&amp;"|"&amp;DATOS!$D17863&amp;"|"&amp;DATOS!$E17863&amp;"|"&amp;DATOS!$I17863)</f>
      </c>
      <c r="G17863">
        <f>IF(DATOS!$A17863="",0,IF(CONFIG_METADATA!$B$4&lt;&gt;"OR+EX",--(DATOS!$G17863=CONFIG_METADATA!$B$4),IF(DATOS!$G17863="EX",1,IF(DATOS!$G17863="OR",--(COUNTIFS(nNIA,DATOS!$A17863,nCURSO,DATOS!$D17863,nESPEC,DATOS!$E17863,nASIG,DATOS!$I17863,nEVAL,"EX")=0),0))))</f>
      </c>
      <c r="H17863">
        <f>IF(DATOS!$G17863&lt;&gt;"EX",0,--(COUNTIFS(nNIA,DATOS!$A17863,nCURSO,DATOS!$D17863,nESPEC,DATOS!$E17863,nASIG,DATOS!$I17863,nEVAL,"OR")=0))</f>
      </c>
      <c r="I17863">
        <f>IF(DATOS!$I17863="","",IFERROR(VLOOKUP(DATOS!$I17863,CONFIG_ASIGNATURAS!$B$2:$J$91,9,FALSE()),""))</f>
      </c>
    </row>
    <row r="17864">
      <c r="F17864">
        <f>IF(DATOS!$A17864="","",DATOS!$A17864&amp;"|"&amp;DATOS!$D17864&amp;"|"&amp;DATOS!$E17864&amp;"|"&amp;DATOS!$I17864)</f>
      </c>
      <c r="G17864">
        <f>IF(DATOS!$A17864="",0,IF(CONFIG_METADATA!$B$4&lt;&gt;"OR+EX",--(DATOS!$G17864=CONFIG_METADATA!$B$4),IF(DATOS!$G17864="EX",1,IF(DATOS!$G17864="OR",--(COUNTIFS(nNIA,DATOS!$A17864,nCURSO,DATOS!$D17864,nESPEC,DATOS!$E17864,nASIG,DATOS!$I17864,nEVAL,"EX")=0),0))))</f>
      </c>
      <c r="H17864">
        <f>IF(DATOS!$G17864&lt;&gt;"EX",0,--(COUNTIFS(nNIA,DATOS!$A17864,nCURSO,DATOS!$D17864,nESPEC,DATOS!$E17864,nASIG,DATOS!$I17864,nEVAL,"OR")=0))</f>
      </c>
      <c r="I17864">
        <f>IF(DATOS!$I17864="","",IFERROR(VLOOKUP(DATOS!$I17864,CONFIG_ASIGNATURAS!$B$2:$J$91,9,FALSE()),""))</f>
      </c>
    </row>
    <row r="17865">
      <c r="F17865">
        <f>IF(DATOS!$A17865="","",DATOS!$A17865&amp;"|"&amp;DATOS!$D17865&amp;"|"&amp;DATOS!$E17865&amp;"|"&amp;DATOS!$I17865)</f>
      </c>
      <c r="G17865">
        <f>IF(DATOS!$A17865="",0,IF(CONFIG_METADATA!$B$4&lt;&gt;"OR+EX",--(DATOS!$G17865=CONFIG_METADATA!$B$4),IF(DATOS!$G17865="EX",1,IF(DATOS!$G17865="OR",--(COUNTIFS(nNIA,DATOS!$A17865,nCURSO,DATOS!$D17865,nESPEC,DATOS!$E17865,nASIG,DATOS!$I17865,nEVAL,"EX")=0),0))))</f>
      </c>
      <c r="H17865">
        <f>IF(DATOS!$G17865&lt;&gt;"EX",0,--(COUNTIFS(nNIA,DATOS!$A17865,nCURSO,DATOS!$D17865,nESPEC,DATOS!$E17865,nASIG,DATOS!$I17865,nEVAL,"OR")=0))</f>
      </c>
      <c r="I17865">
        <f>IF(DATOS!$I17865="","",IFERROR(VLOOKUP(DATOS!$I17865,CONFIG_ASIGNATURAS!$B$2:$J$91,9,FALSE()),""))</f>
      </c>
    </row>
    <row r="17866">
      <c r="F17866">
        <f>IF(DATOS!$A17866="","",DATOS!$A17866&amp;"|"&amp;DATOS!$D17866&amp;"|"&amp;DATOS!$E17866&amp;"|"&amp;DATOS!$I17866)</f>
      </c>
      <c r="G17866">
        <f>IF(DATOS!$A17866="",0,IF(CONFIG_METADATA!$B$4&lt;&gt;"OR+EX",--(DATOS!$G17866=CONFIG_METADATA!$B$4),IF(DATOS!$G17866="EX",1,IF(DATOS!$G17866="OR",--(COUNTIFS(nNIA,DATOS!$A17866,nCURSO,DATOS!$D17866,nESPEC,DATOS!$E17866,nASIG,DATOS!$I17866,nEVAL,"EX")=0),0))))</f>
      </c>
      <c r="H17866">
        <f>IF(DATOS!$G17866&lt;&gt;"EX",0,--(COUNTIFS(nNIA,DATOS!$A17866,nCURSO,DATOS!$D17866,nESPEC,DATOS!$E17866,nASIG,DATOS!$I17866,nEVAL,"OR")=0))</f>
      </c>
      <c r="I17866">
        <f>IF(DATOS!$I17866="","",IFERROR(VLOOKUP(DATOS!$I17866,CONFIG_ASIGNATURAS!$B$2:$J$91,9,FALSE()),""))</f>
      </c>
    </row>
    <row r="17867">
      <c r="F17867">
        <f>IF(DATOS!$A17867="","",DATOS!$A17867&amp;"|"&amp;DATOS!$D17867&amp;"|"&amp;DATOS!$E17867&amp;"|"&amp;DATOS!$I17867)</f>
      </c>
      <c r="G17867">
        <f>IF(DATOS!$A17867="",0,IF(CONFIG_METADATA!$B$4&lt;&gt;"OR+EX",--(DATOS!$G17867=CONFIG_METADATA!$B$4),IF(DATOS!$G17867="EX",1,IF(DATOS!$G17867="OR",--(COUNTIFS(nNIA,DATOS!$A17867,nCURSO,DATOS!$D17867,nESPEC,DATOS!$E17867,nASIG,DATOS!$I17867,nEVAL,"EX")=0),0))))</f>
      </c>
      <c r="H17867">
        <f>IF(DATOS!$G17867&lt;&gt;"EX",0,--(COUNTIFS(nNIA,DATOS!$A17867,nCURSO,DATOS!$D17867,nESPEC,DATOS!$E17867,nASIG,DATOS!$I17867,nEVAL,"OR")=0))</f>
      </c>
      <c r="I17867">
        <f>IF(DATOS!$I17867="","",IFERROR(VLOOKUP(DATOS!$I17867,CONFIG_ASIGNATURAS!$B$2:$J$91,9,FALSE()),""))</f>
      </c>
    </row>
    <row r="17868">
      <c r="F17868">
        <f>IF(DATOS!$A17868="","",DATOS!$A17868&amp;"|"&amp;DATOS!$D17868&amp;"|"&amp;DATOS!$E17868&amp;"|"&amp;DATOS!$I17868)</f>
      </c>
      <c r="G17868">
        <f>IF(DATOS!$A17868="",0,IF(CONFIG_METADATA!$B$4&lt;&gt;"OR+EX",--(DATOS!$G17868=CONFIG_METADATA!$B$4),IF(DATOS!$G17868="EX",1,IF(DATOS!$G17868="OR",--(COUNTIFS(nNIA,DATOS!$A17868,nCURSO,DATOS!$D17868,nESPEC,DATOS!$E17868,nASIG,DATOS!$I17868,nEVAL,"EX")=0),0))))</f>
      </c>
      <c r="H17868">
        <f>IF(DATOS!$G17868&lt;&gt;"EX",0,--(COUNTIFS(nNIA,DATOS!$A17868,nCURSO,DATOS!$D17868,nESPEC,DATOS!$E17868,nASIG,DATOS!$I17868,nEVAL,"OR")=0))</f>
      </c>
      <c r="I17868">
        <f>IF(DATOS!$I17868="","",IFERROR(VLOOKUP(DATOS!$I17868,CONFIG_ASIGNATURAS!$B$2:$J$91,9,FALSE()),""))</f>
      </c>
    </row>
    <row r="17869">
      <c r="F17869">
        <f>IF(DATOS!$A17869="","",DATOS!$A17869&amp;"|"&amp;DATOS!$D17869&amp;"|"&amp;DATOS!$E17869&amp;"|"&amp;DATOS!$I17869)</f>
      </c>
      <c r="G17869">
        <f>IF(DATOS!$A17869="",0,IF(CONFIG_METADATA!$B$4&lt;&gt;"OR+EX",--(DATOS!$G17869=CONFIG_METADATA!$B$4),IF(DATOS!$G17869="EX",1,IF(DATOS!$G17869="OR",--(COUNTIFS(nNIA,DATOS!$A17869,nCURSO,DATOS!$D17869,nESPEC,DATOS!$E17869,nASIG,DATOS!$I17869,nEVAL,"EX")=0),0))))</f>
      </c>
      <c r="H17869">
        <f>IF(DATOS!$G17869&lt;&gt;"EX",0,--(COUNTIFS(nNIA,DATOS!$A17869,nCURSO,DATOS!$D17869,nESPEC,DATOS!$E17869,nASIG,DATOS!$I17869,nEVAL,"OR")=0))</f>
      </c>
      <c r="I17869">
        <f>IF(DATOS!$I17869="","",IFERROR(VLOOKUP(DATOS!$I17869,CONFIG_ASIGNATURAS!$B$2:$J$91,9,FALSE()),""))</f>
      </c>
    </row>
    <row r="17870">
      <c r="F17870">
        <f>IF(DATOS!$A17870="","",DATOS!$A17870&amp;"|"&amp;DATOS!$D17870&amp;"|"&amp;DATOS!$E17870&amp;"|"&amp;DATOS!$I17870)</f>
      </c>
      <c r="G17870">
        <f>IF(DATOS!$A17870="",0,IF(CONFIG_METADATA!$B$4&lt;&gt;"OR+EX",--(DATOS!$G17870=CONFIG_METADATA!$B$4),IF(DATOS!$G17870="EX",1,IF(DATOS!$G17870="OR",--(COUNTIFS(nNIA,DATOS!$A17870,nCURSO,DATOS!$D17870,nESPEC,DATOS!$E17870,nASIG,DATOS!$I17870,nEVAL,"EX")=0),0))))</f>
      </c>
      <c r="H17870">
        <f>IF(DATOS!$G17870&lt;&gt;"EX",0,--(COUNTIFS(nNIA,DATOS!$A17870,nCURSO,DATOS!$D17870,nESPEC,DATOS!$E17870,nASIG,DATOS!$I17870,nEVAL,"OR")=0))</f>
      </c>
      <c r="I17870">
        <f>IF(DATOS!$I17870="","",IFERROR(VLOOKUP(DATOS!$I17870,CONFIG_ASIGNATURAS!$B$2:$J$91,9,FALSE()),""))</f>
      </c>
    </row>
    <row r="17871">
      <c r="F17871">
        <f>IF(DATOS!$A17871="","",DATOS!$A17871&amp;"|"&amp;DATOS!$D17871&amp;"|"&amp;DATOS!$E17871&amp;"|"&amp;DATOS!$I17871)</f>
      </c>
      <c r="G17871">
        <f>IF(DATOS!$A17871="",0,IF(CONFIG_METADATA!$B$4&lt;&gt;"OR+EX",--(DATOS!$G17871=CONFIG_METADATA!$B$4),IF(DATOS!$G17871="EX",1,IF(DATOS!$G17871="OR",--(COUNTIFS(nNIA,DATOS!$A17871,nCURSO,DATOS!$D17871,nESPEC,DATOS!$E17871,nASIG,DATOS!$I17871,nEVAL,"EX")=0),0))))</f>
      </c>
      <c r="H17871">
        <f>IF(DATOS!$G17871&lt;&gt;"EX",0,--(COUNTIFS(nNIA,DATOS!$A17871,nCURSO,DATOS!$D17871,nESPEC,DATOS!$E17871,nASIG,DATOS!$I17871,nEVAL,"OR")=0))</f>
      </c>
      <c r="I17871">
        <f>IF(DATOS!$I17871="","",IFERROR(VLOOKUP(DATOS!$I17871,CONFIG_ASIGNATURAS!$B$2:$J$91,9,FALSE()),""))</f>
      </c>
    </row>
    <row r="17872">
      <c r="F17872">
        <f>IF(DATOS!$A17872="","",DATOS!$A17872&amp;"|"&amp;DATOS!$D17872&amp;"|"&amp;DATOS!$E17872&amp;"|"&amp;DATOS!$I17872)</f>
      </c>
      <c r="G17872">
        <f>IF(DATOS!$A17872="",0,IF(CONFIG_METADATA!$B$4&lt;&gt;"OR+EX",--(DATOS!$G17872=CONFIG_METADATA!$B$4),IF(DATOS!$G17872="EX",1,IF(DATOS!$G17872="OR",--(COUNTIFS(nNIA,DATOS!$A17872,nCURSO,DATOS!$D17872,nESPEC,DATOS!$E17872,nASIG,DATOS!$I17872,nEVAL,"EX")=0),0))))</f>
      </c>
      <c r="H17872">
        <f>IF(DATOS!$G17872&lt;&gt;"EX",0,--(COUNTIFS(nNIA,DATOS!$A17872,nCURSO,DATOS!$D17872,nESPEC,DATOS!$E17872,nASIG,DATOS!$I17872,nEVAL,"OR")=0))</f>
      </c>
      <c r="I17872">
        <f>IF(DATOS!$I17872="","",IFERROR(VLOOKUP(DATOS!$I17872,CONFIG_ASIGNATURAS!$B$2:$J$91,9,FALSE()),""))</f>
      </c>
    </row>
    <row r="17873">
      <c r="F17873">
        <f>IF(DATOS!$A17873="","",DATOS!$A17873&amp;"|"&amp;DATOS!$D17873&amp;"|"&amp;DATOS!$E17873&amp;"|"&amp;DATOS!$I17873)</f>
      </c>
      <c r="G17873">
        <f>IF(DATOS!$A17873="",0,IF(CONFIG_METADATA!$B$4&lt;&gt;"OR+EX",--(DATOS!$G17873=CONFIG_METADATA!$B$4),IF(DATOS!$G17873="EX",1,IF(DATOS!$G17873="OR",--(COUNTIFS(nNIA,DATOS!$A17873,nCURSO,DATOS!$D17873,nESPEC,DATOS!$E17873,nASIG,DATOS!$I17873,nEVAL,"EX")=0),0))))</f>
      </c>
      <c r="H17873">
        <f>IF(DATOS!$G17873&lt;&gt;"EX",0,--(COUNTIFS(nNIA,DATOS!$A17873,nCURSO,DATOS!$D17873,nESPEC,DATOS!$E17873,nASIG,DATOS!$I17873,nEVAL,"OR")=0))</f>
      </c>
      <c r="I17873">
        <f>IF(DATOS!$I17873="","",IFERROR(VLOOKUP(DATOS!$I17873,CONFIG_ASIGNATURAS!$B$2:$J$91,9,FALSE()),""))</f>
      </c>
    </row>
    <row r="17874">
      <c r="F17874">
        <f>IF(DATOS!$A17874="","",DATOS!$A17874&amp;"|"&amp;DATOS!$D17874&amp;"|"&amp;DATOS!$E17874&amp;"|"&amp;DATOS!$I17874)</f>
      </c>
      <c r="G17874">
        <f>IF(DATOS!$A17874="",0,IF(CONFIG_METADATA!$B$4&lt;&gt;"OR+EX",--(DATOS!$G17874=CONFIG_METADATA!$B$4),IF(DATOS!$G17874="EX",1,IF(DATOS!$G17874="OR",--(COUNTIFS(nNIA,DATOS!$A17874,nCURSO,DATOS!$D17874,nESPEC,DATOS!$E17874,nASIG,DATOS!$I17874,nEVAL,"EX")=0),0))))</f>
      </c>
      <c r="H17874">
        <f>IF(DATOS!$G17874&lt;&gt;"EX",0,--(COUNTIFS(nNIA,DATOS!$A17874,nCURSO,DATOS!$D17874,nESPEC,DATOS!$E17874,nASIG,DATOS!$I17874,nEVAL,"OR")=0))</f>
      </c>
      <c r="I17874">
        <f>IF(DATOS!$I17874="","",IFERROR(VLOOKUP(DATOS!$I17874,CONFIG_ASIGNATURAS!$B$2:$J$91,9,FALSE()),""))</f>
      </c>
    </row>
    <row r="17875">
      <c r="F17875">
        <f>IF(DATOS!$A17875="","",DATOS!$A17875&amp;"|"&amp;DATOS!$D17875&amp;"|"&amp;DATOS!$E17875&amp;"|"&amp;DATOS!$I17875)</f>
      </c>
      <c r="G17875">
        <f>IF(DATOS!$A17875="",0,IF(CONFIG_METADATA!$B$4&lt;&gt;"OR+EX",--(DATOS!$G17875=CONFIG_METADATA!$B$4),IF(DATOS!$G17875="EX",1,IF(DATOS!$G17875="OR",--(COUNTIFS(nNIA,DATOS!$A17875,nCURSO,DATOS!$D17875,nESPEC,DATOS!$E17875,nASIG,DATOS!$I17875,nEVAL,"EX")=0),0))))</f>
      </c>
      <c r="H17875">
        <f>IF(DATOS!$G17875&lt;&gt;"EX",0,--(COUNTIFS(nNIA,DATOS!$A17875,nCURSO,DATOS!$D17875,nESPEC,DATOS!$E17875,nASIG,DATOS!$I17875,nEVAL,"OR")=0))</f>
      </c>
      <c r="I17875">
        <f>IF(DATOS!$I17875="","",IFERROR(VLOOKUP(DATOS!$I17875,CONFIG_ASIGNATURAS!$B$2:$J$91,9,FALSE()),""))</f>
      </c>
    </row>
    <row r="17876">
      <c r="F17876">
        <f>IF(DATOS!$A17876="","",DATOS!$A17876&amp;"|"&amp;DATOS!$D17876&amp;"|"&amp;DATOS!$E17876&amp;"|"&amp;DATOS!$I17876)</f>
      </c>
      <c r="G17876">
        <f>IF(DATOS!$A17876="",0,IF(CONFIG_METADATA!$B$4&lt;&gt;"OR+EX",--(DATOS!$G17876=CONFIG_METADATA!$B$4),IF(DATOS!$G17876="EX",1,IF(DATOS!$G17876="OR",--(COUNTIFS(nNIA,DATOS!$A17876,nCURSO,DATOS!$D17876,nESPEC,DATOS!$E17876,nASIG,DATOS!$I17876,nEVAL,"EX")=0),0))))</f>
      </c>
      <c r="H17876">
        <f>IF(DATOS!$G17876&lt;&gt;"EX",0,--(COUNTIFS(nNIA,DATOS!$A17876,nCURSO,DATOS!$D17876,nESPEC,DATOS!$E17876,nASIG,DATOS!$I17876,nEVAL,"OR")=0))</f>
      </c>
      <c r="I17876">
        <f>IF(DATOS!$I17876="","",IFERROR(VLOOKUP(DATOS!$I17876,CONFIG_ASIGNATURAS!$B$2:$J$91,9,FALSE()),""))</f>
      </c>
    </row>
    <row r="17877">
      <c r="F17877">
        <f>IF(DATOS!$A17877="","",DATOS!$A17877&amp;"|"&amp;DATOS!$D17877&amp;"|"&amp;DATOS!$E17877&amp;"|"&amp;DATOS!$I17877)</f>
      </c>
      <c r="G17877">
        <f>IF(DATOS!$A17877="",0,IF(CONFIG_METADATA!$B$4&lt;&gt;"OR+EX",--(DATOS!$G17877=CONFIG_METADATA!$B$4),IF(DATOS!$G17877="EX",1,IF(DATOS!$G17877="OR",--(COUNTIFS(nNIA,DATOS!$A17877,nCURSO,DATOS!$D17877,nESPEC,DATOS!$E17877,nASIG,DATOS!$I17877,nEVAL,"EX")=0),0))))</f>
      </c>
      <c r="H17877">
        <f>IF(DATOS!$G17877&lt;&gt;"EX",0,--(COUNTIFS(nNIA,DATOS!$A17877,nCURSO,DATOS!$D17877,nESPEC,DATOS!$E17877,nASIG,DATOS!$I17877,nEVAL,"OR")=0))</f>
      </c>
      <c r="I17877">
        <f>IF(DATOS!$I17877="","",IFERROR(VLOOKUP(DATOS!$I17877,CONFIG_ASIGNATURAS!$B$2:$J$91,9,FALSE()),""))</f>
      </c>
    </row>
    <row r="17878">
      <c r="F17878">
        <f>IF(DATOS!$A17878="","",DATOS!$A17878&amp;"|"&amp;DATOS!$D17878&amp;"|"&amp;DATOS!$E17878&amp;"|"&amp;DATOS!$I17878)</f>
      </c>
      <c r="G17878">
        <f>IF(DATOS!$A17878="",0,IF(CONFIG_METADATA!$B$4&lt;&gt;"OR+EX",--(DATOS!$G17878=CONFIG_METADATA!$B$4),IF(DATOS!$G17878="EX",1,IF(DATOS!$G17878="OR",--(COUNTIFS(nNIA,DATOS!$A17878,nCURSO,DATOS!$D17878,nESPEC,DATOS!$E17878,nASIG,DATOS!$I17878,nEVAL,"EX")=0),0))))</f>
      </c>
      <c r="H17878">
        <f>IF(DATOS!$G17878&lt;&gt;"EX",0,--(COUNTIFS(nNIA,DATOS!$A17878,nCURSO,DATOS!$D17878,nESPEC,DATOS!$E17878,nASIG,DATOS!$I17878,nEVAL,"OR")=0))</f>
      </c>
      <c r="I17878">
        <f>IF(DATOS!$I17878="","",IFERROR(VLOOKUP(DATOS!$I17878,CONFIG_ASIGNATURAS!$B$2:$J$91,9,FALSE()),""))</f>
      </c>
    </row>
    <row r="17879">
      <c r="F17879">
        <f>IF(DATOS!$A17879="","",DATOS!$A17879&amp;"|"&amp;DATOS!$D17879&amp;"|"&amp;DATOS!$E17879&amp;"|"&amp;DATOS!$I17879)</f>
      </c>
      <c r="G17879">
        <f>IF(DATOS!$A17879="",0,IF(CONFIG_METADATA!$B$4&lt;&gt;"OR+EX",--(DATOS!$G17879=CONFIG_METADATA!$B$4),IF(DATOS!$G17879="EX",1,IF(DATOS!$G17879="OR",--(COUNTIFS(nNIA,DATOS!$A17879,nCURSO,DATOS!$D17879,nESPEC,DATOS!$E17879,nASIG,DATOS!$I17879,nEVAL,"EX")=0),0))))</f>
      </c>
      <c r="H17879">
        <f>IF(DATOS!$G17879&lt;&gt;"EX",0,--(COUNTIFS(nNIA,DATOS!$A17879,nCURSO,DATOS!$D17879,nESPEC,DATOS!$E17879,nASIG,DATOS!$I17879,nEVAL,"OR")=0))</f>
      </c>
      <c r="I17879">
        <f>IF(DATOS!$I17879="","",IFERROR(VLOOKUP(DATOS!$I17879,CONFIG_ASIGNATURAS!$B$2:$J$91,9,FALSE()),""))</f>
      </c>
    </row>
    <row r="17880">
      <c r="F17880">
        <f>IF(DATOS!$A17880="","",DATOS!$A17880&amp;"|"&amp;DATOS!$D17880&amp;"|"&amp;DATOS!$E17880&amp;"|"&amp;DATOS!$I17880)</f>
      </c>
      <c r="G17880">
        <f>IF(DATOS!$A17880="",0,IF(CONFIG_METADATA!$B$4&lt;&gt;"OR+EX",--(DATOS!$G17880=CONFIG_METADATA!$B$4),IF(DATOS!$G17880="EX",1,IF(DATOS!$G17880="OR",--(COUNTIFS(nNIA,DATOS!$A17880,nCURSO,DATOS!$D17880,nESPEC,DATOS!$E17880,nASIG,DATOS!$I17880,nEVAL,"EX")=0),0))))</f>
      </c>
      <c r="H17880">
        <f>IF(DATOS!$G17880&lt;&gt;"EX",0,--(COUNTIFS(nNIA,DATOS!$A17880,nCURSO,DATOS!$D17880,nESPEC,DATOS!$E17880,nASIG,DATOS!$I17880,nEVAL,"OR")=0))</f>
      </c>
      <c r="I17880">
        <f>IF(DATOS!$I17880="","",IFERROR(VLOOKUP(DATOS!$I17880,CONFIG_ASIGNATURAS!$B$2:$J$91,9,FALSE()),""))</f>
      </c>
    </row>
    <row r="17881">
      <c r="F17881">
        <f>IF(DATOS!$A17881="","",DATOS!$A17881&amp;"|"&amp;DATOS!$D17881&amp;"|"&amp;DATOS!$E17881&amp;"|"&amp;DATOS!$I17881)</f>
      </c>
      <c r="G17881">
        <f>IF(DATOS!$A17881="",0,IF(CONFIG_METADATA!$B$4&lt;&gt;"OR+EX",--(DATOS!$G17881=CONFIG_METADATA!$B$4),IF(DATOS!$G17881="EX",1,IF(DATOS!$G17881="OR",--(COUNTIFS(nNIA,DATOS!$A17881,nCURSO,DATOS!$D17881,nESPEC,DATOS!$E17881,nASIG,DATOS!$I17881,nEVAL,"EX")=0),0))))</f>
      </c>
      <c r="H17881">
        <f>IF(DATOS!$G17881&lt;&gt;"EX",0,--(COUNTIFS(nNIA,DATOS!$A17881,nCURSO,DATOS!$D17881,nESPEC,DATOS!$E17881,nASIG,DATOS!$I17881,nEVAL,"OR")=0))</f>
      </c>
      <c r="I17881">
        <f>IF(DATOS!$I17881="","",IFERROR(VLOOKUP(DATOS!$I17881,CONFIG_ASIGNATURAS!$B$2:$J$91,9,FALSE()),""))</f>
      </c>
    </row>
    <row r="17882">
      <c r="F17882">
        <f>IF(DATOS!$A17882="","",DATOS!$A17882&amp;"|"&amp;DATOS!$D17882&amp;"|"&amp;DATOS!$E17882&amp;"|"&amp;DATOS!$I17882)</f>
      </c>
      <c r="G17882">
        <f>IF(DATOS!$A17882="",0,IF(CONFIG_METADATA!$B$4&lt;&gt;"OR+EX",--(DATOS!$G17882=CONFIG_METADATA!$B$4),IF(DATOS!$G17882="EX",1,IF(DATOS!$G17882="OR",--(COUNTIFS(nNIA,DATOS!$A17882,nCURSO,DATOS!$D17882,nESPEC,DATOS!$E17882,nASIG,DATOS!$I17882,nEVAL,"EX")=0),0))))</f>
      </c>
      <c r="H17882">
        <f>IF(DATOS!$G17882&lt;&gt;"EX",0,--(COUNTIFS(nNIA,DATOS!$A17882,nCURSO,DATOS!$D17882,nESPEC,DATOS!$E17882,nASIG,DATOS!$I17882,nEVAL,"OR")=0))</f>
      </c>
      <c r="I17882">
        <f>IF(DATOS!$I17882="","",IFERROR(VLOOKUP(DATOS!$I17882,CONFIG_ASIGNATURAS!$B$2:$J$91,9,FALSE()),""))</f>
      </c>
    </row>
    <row r="17883">
      <c r="F17883">
        <f>IF(DATOS!$A17883="","",DATOS!$A17883&amp;"|"&amp;DATOS!$D17883&amp;"|"&amp;DATOS!$E17883&amp;"|"&amp;DATOS!$I17883)</f>
      </c>
      <c r="G17883">
        <f>IF(DATOS!$A17883="",0,IF(CONFIG_METADATA!$B$4&lt;&gt;"OR+EX",--(DATOS!$G17883=CONFIG_METADATA!$B$4),IF(DATOS!$G17883="EX",1,IF(DATOS!$G17883="OR",--(COUNTIFS(nNIA,DATOS!$A17883,nCURSO,DATOS!$D17883,nESPEC,DATOS!$E17883,nASIG,DATOS!$I17883,nEVAL,"EX")=0),0))))</f>
      </c>
      <c r="H17883">
        <f>IF(DATOS!$G17883&lt;&gt;"EX",0,--(COUNTIFS(nNIA,DATOS!$A17883,nCURSO,DATOS!$D17883,nESPEC,DATOS!$E17883,nASIG,DATOS!$I17883,nEVAL,"OR")=0))</f>
      </c>
      <c r="I17883">
        <f>IF(DATOS!$I17883="","",IFERROR(VLOOKUP(DATOS!$I17883,CONFIG_ASIGNATURAS!$B$2:$J$91,9,FALSE()),""))</f>
      </c>
    </row>
    <row r="17884">
      <c r="F17884">
        <f>IF(DATOS!$A17884="","",DATOS!$A17884&amp;"|"&amp;DATOS!$D17884&amp;"|"&amp;DATOS!$E17884&amp;"|"&amp;DATOS!$I17884)</f>
      </c>
      <c r="G17884">
        <f>IF(DATOS!$A17884="",0,IF(CONFIG_METADATA!$B$4&lt;&gt;"OR+EX",--(DATOS!$G17884=CONFIG_METADATA!$B$4),IF(DATOS!$G17884="EX",1,IF(DATOS!$G17884="OR",--(COUNTIFS(nNIA,DATOS!$A17884,nCURSO,DATOS!$D17884,nESPEC,DATOS!$E17884,nASIG,DATOS!$I17884,nEVAL,"EX")=0),0))))</f>
      </c>
      <c r="H17884">
        <f>IF(DATOS!$G17884&lt;&gt;"EX",0,--(COUNTIFS(nNIA,DATOS!$A17884,nCURSO,DATOS!$D17884,nESPEC,DATOS!$E17884,nASIG,DATOS!$I17884,nEVAL,"OR")=0))</f>
      </c>
      <c r="I17884">
        <f>IF(DATOS!$I17884="","",IFERROR(VLOOKUP(DATOS!$I17884,CONFIG_ASIGNATURAS!$B$2:$J$91,9,FALSE()),""))</f>
      </c>
    </row>
    <row r="17885">
      <c r="F17885">
        <f>IF(DATOS!$A17885="","",DATOS!$A17885&amp;"|"&amp;DATOS!$D17885&amp;"|"&amp;DATOS!$E17885&amp;"|"&amp;DATOS!$I17885)</f>
      </c>
      <c r="G17885">
        <f>IF(DATOS!$A17885="",0,IF(CONFIG_METADATA!$B$4&lt;&gt;"OR+EX",--(DATOS!$G17885=CONFIG_METADATA!$B$4),IF(DATOS!$G17885="EX",1,IF(DATOS!$G17885="OR",--(COUNTIFS(nNIA,DATOS!$A17885,nCURSO,DATOS!$D17885,nESPEC,DATOS!$E17885,nASIG,DATOS!$I17885,nEVAL,"EX")=0),0))))</f>
      </c>
      <c r="H17885">
        <f>IF(DATOS!$G17885&lt;&gt;"EX",0,--(COUNTIFS(nNIA,DATOS!$A17885,nCURSO,DATOS!$D17885,nESPEC,DATOS!$E17885,nASIG,DATOS!$I17885,nEVAL,"OR")=0))</f>
      </c>
      <c r="I17885">
        <f>IF(DATOS!$I17885="","",IFERROR(VLOOKUP(DATOS!$I17885,CONFIG_ASIGNATURAS!$B$2:$J$91,9,FALSE()),""))</f>
      </c>
    </row>
    <row r="17886">
      <c r="F17886">
        <f>IF(DATOS!$A17886="","",DATOS!$A17886&amp;"|"&amp;DATOS!$D17886&amp;"|"&amp;DATOS!$E17886&amp;"|"&amp;DATOS!$I17886)</f>
      </c>
      <c r="G17886">
        <f>IF(DATOS!$A17886="",0,IF(CONFIG_METADATA!$B$4&lt;&gt;"OR+EX",--(DATOS!$G17886=CONFIG_METADATA!$B$4),IF(DATOS!$G17886="EX",1,IF(DATOS!$G17886="OR",--(COUNTIFS(nNIA,DATOS!$A17886,nCURSO,DATOS!$D17886,nESPEC,DATOS!$E17886,nASIG,DATOS!$I17886,nEVAL,"EX")=0),0))))</f>
      </c>
      <c r="H17886">
        <f>IF(DATOS!$G17886&lt;&gt;"EX",0,--(COUNTIFS(nNIA,DATOS!$A17886,nCURSO,DATOS!$D17886,nESPEC,DATOS!$E17886,nASIG,DATOS!$I17886,nEVAL,"OR")=0))</f>
      </c>
      <c r="I17886">
        <f>IF(DATOS!$I17886="","",IFERROR(VLOOKUP(DATOS!$I17886,CONFIG_ASIGNATURAS!$B$2:$J$91,9,FALSE()),""))</f>
      </c>
    </row>
    <row r="17887">
      <c r="F17887">
        <f>IF(DATOS!$A17887="","",DATOS!$A17887&amp;"|"&amp;DATOS!$D17887&amp;"|"&amp;DATOS!$E17887&amp;"|"&amp;DATOS!$I17887)</f>
      </c>
      <c r="G17887">
        <f>IF(DATOS!$A17887="",0,IF(CONFIG_METADATA!$B$4&lt;&gt;"OR+EX",--(DATOS!$G17887=CONFIG_METADATA!$B$4),IF(DATOS!$G17887="EX",1,IF(DATOS!$G17887="OR",--(COUNTIFS(nNIA,DATOS!$A17887,nCURSO,DATOS!$D17887,nESPEC,DATOS!$E17887,nASIG,DATOS!$I17887,nEVAL,"EX")=0),0))))</f>
      </c>
      <c r="H17887">
        <f>IF(DATOS!$G17887&lt;&gt;"EX",0,--(COUNTIFS(nNIA,DATOS!$A17887,nCURSO,DATOS!$D17887,nESPEC,DATOS!$E17887,nASIG,DATOS!$I17887,nEVAL,"OR")=0))</f>
      </c>
      <c r="I17887">
        <f>IF(DATOS!$I17887="","",IFERROR(VLOOKUP(DATOS!$I17887,CONFIG_ASIGNATURAS!$B$2:$J$91,9,FALSE()),""))</f>
      </c>
    </row>
    <row r="17888">
      <c r="F17888">
        <f>IF(DATOS!$A17888="","",DATOS!$A17888&amp;"|"&amp;DATOS!$D17888&amp;"|"&amp;DATOS!$E17888&amp;"|"&amp;DATOS!$I17888)</f>
      </c>
      <c r="G17888">
        <f>IF(DATOS!$A17888="",0,IF(CONFIG_METADATA!$B$4&lt;&gt;"OR+EX",--(DATOS!$G17888=CONFIG_METADATA!$B$4),IF(DATOS!$G17888="EX",1,IF(DATOS!$G17888="OR",--(COUNTIFS(nNIA,DATOS!$A17888,nCURSO,DATOS!$D17888,nESPEC,DATOS!$E17888,nASIG,DATOS!$I17888,nEVAL,"EX")=0),0))))</f>
      </c>
      <c r="H17888">
        <f>IF(DATOS!$G17888&lt;&gt;"EX",0,--(COUNTIFS(nNIA,DATOS!$A17888,nCURSO,DATOS!$D17888,nESPEC,DATOS!$E17888,nASIG,DATOS!$I17888,nEVAL,"OR")=0))</f>
      </c>
      <c r="I17888">
        <f>IF(DATOS!$I17888="","",IFERROR(VLOOKUP(DATOS!$I17888,CONFIG_ASIGNATURAS!$B$2:$J$91,9,FALSE()),""))</f>
      </c>
    </row>
    <row r="17889">
      <c r="F17889">
        <f>IF(DATOS!$A17889="","",DATOS!$A17889&amp;"|"&amp;DATOS!$D17889&amp;"|"&amp;DATOS!$E17889&amp;"|"&amp;DATOS!$I17889)</f>
      </c>
      <c r="G17889">
        <f>IF(DATOS!$A17889="",0,IF(CONFIG_METADATA!$B$4&lt;&gt;"OR+EX",--(DATOS!$G17889=CONFIG_METADATA!$B$4),IF(DATOS!$G17889="EX",1,IF(DATOS!$G17889="OR",--(COUNTIFS(nNIA,DATOS!$A17889,nCURSO,DATOS!$D17889,nESPEC,DATOS!$E17889,nASIG,DATOS!$I17889,nEVAL,"EX")=0),0))))</f>
      </c>
      <c r="H17889">
        <f>IF(DATOS!$G17889&lt;&gt;"EX",0,--(COUNTIFS(nNIA,DATOS!$A17889,nCURSO,DATOS!$D17889,nESPEC,DATOS!$E17889,nASIG,DATOS!$I17889,nEVAL,"OR")=0))</f>
      </c>
      <c r="I17889">
        <f>IF(DATOS!$I17889="","",IFERROR(VLOOKUP(DATOS!$I17889,CONFIG_ASIGNATURAS!$B$2:$J$91,9,FALSE()),""))</f>
      </c>
    </row>
    <row r="17890">
      <c r="F17890">
        <f>IF(DATOS!$A17890="","",DATOS!$A17890&amp;"|"&amp;DATOS!$D17890&amp;"|"&amp;DATOS!$E17890&amp;"|"&amp;DATOS!$I17890)</f>
      </c>
      <c r="G17890">
        <f>IF(DATOS!$A17890="",0,IF(CONFIG_METADATA!$B$4&lt;&gt;"OR+EX",--(DATOS!$G17890=CONFIG_METADATA!$B$4),IF(DATOS!$G17890="EX",1,IF(DATOS!$G17890="OR",--(COUNTIFS(nNIA,DATOS!$A17890,nCURSO,DATOS!$D17890,nESPEC,DATOS!$E17890,nASIG,DATOS!$I17890,nEVAL,"EX")=0),0))))</f>
      </c>
      <c r="H17890">
        <f>IF(DATOS!$G17890&lt;&gt;"EX",0,--(COUNTIFS(nNIA,DATOS!$A17890,nCURSO,DATOS!$D17890,nESPEC,DATOS!$E17890,nASIG,DATOS!$I17890,nEVAL,"OR")=0))</f>
      </c>
      <c r="I17890">
        <f>IF(DATOS!$I17890="","",IFERROR(VLOOKUP(DATOS!$I17890,CONFIG_ASIGNATURAS!$B$2:$J$91,9,FALSE()),""))</f>
      </c>
    </row>
    <row r="17891">
      <c r="F17891">
        <f>IF(DATOS!$A17891="","",DATOS!$A17891&amp;"|"&amp;DATOS!$D17891&amp;"|"&amp;DATOS!$E17891&amp;"|"&amp;DATOS!$I17891)</f>
      </c>
      <c r="G17891">
        <f>IF(DATOS!$A17891="",0,IF(CONFIG_METADATA!$B$4&lt;&gt;"OR+EX",--(DATOS!$G17891=CONFIG_METADATA!$B$4),IF(DATOS!$G17891="EX",1,IF(DATOS!$G17891="OR",--(COUNTIFS(nNIA,DATOS!$A17891,nCURSO,DATOS!$D17891,nESPEC,DATOS!$E17891,nASIG,DATOS!$I17891,nEVAL,"EX")=0),0))))</f>
      </c>
      <c r="H17891">
        <f>IF(DATOS!$G17891&lt;&gt;"EX",0,--(COUNTIFS(nNIA,DATOS!$A17891,nCURSO,DATOS!$D17891,nESPEC,DATOS!$E17891,nASIG,DATOS!$I17891,nEVAL,"OR")=0))</f>
      </c>
      <c r="I17891">
        <f>IF(DATOS!$I17891="","",IFERROR(VLOOKUP(DATOS!$I17891,CONFIG_ASIGNATURAS!$B$2:$J$91,9,FALSE()),""))</f>
      </c>
    </row>
    <row r="17892">
      <c r="F17892">
        <f>IF(DATOS!$A17892="","",DATOS!$A17892&amp;"|"&amp;DATOS!$D17892&amp;"|"&amp;DATOS!$E17892&amp;"|"&amp;DATOS!$I17892)</f>
      </c>
      <c r="G17892">
        <f>IF(DATOS!$A17892="",0,IF(CONFIG_METADATA!$B$4&lt;&gt;"OR+EX",--(DATOS!$G17892=CONFIG_METADATA!$B$4),IF(DATOS!$G17892="EX",1,IF(DATOS!$G17892="OR",--(COUNTIFS(nNIA,DATOS!$A17892,nCURSO,DATOS!$D17892,nESPEC,DATOS!$E17892,nASIG,DATOS!$I17892,nEVAL,"EX")=0),0))))</f>
      </c>
      <c r="H17892">
        <f>IF(DATOS!$G17892&lt;&gt;"EX",0,--(COUNTIFS(nNIA,DATOS!$A17892,nCURSO,DATOS!$D17892,nESPEC,DATOS!$E17892,nASIG,DATOS!$I17892,nEVAL,"OR")=0))</f>
      </c>
      <c r="I17892">
        <f>IF(DATOS!$I17892="","",IFERROR(VLOOKUP(DATOS!$I17892,CONFIG_ASIGNATURAS!$B$2:$J$91,9,FALSE()),""))</f>
      </c>
    </row>
    <row r="17893">
      <c r="F17893">
        <f>IF(DATOS!$A17893="","",DATOS!$A17893&amp;"|"&amp;DATOS!$D17893&amp;"|"&amp;DATOS!$E17893&amp;"|"&amp;DATOS!$I17893)</f>
      </c>
      <c r="G17893">
        <f>IF(DATOS!$A17893="",0,IF(CONFIG_METADATA!$B$4&lt;&gt;"OR+EX",--(DATOS!$G17893=CONFIG_METADATA!$B$4),IF(DATOS!$G17893="EX",1,IF(DATOS!$G17893="OR",--(COUNTIFS(nNIA,DATOS!$A17893,nCURSO,DATOS!$D17893,nESPEC,DATOS!$E17893,nASIG,DATOS!$I17893,nEVAL,"EX")=0),0))))</f>
      </c>
      <c r="H17893">
        <f>IF(DATOS!$G17893&lt;&gt;"EX",0,--(COUNTIFS(nNIA,DATOS!$A17893,nCURSO,DATOS!$D17893,nESPEC,DATOS!$E17893,nASIG,DATOS!$I17893,nEVAL,"OR")=0))</f>
      </c>
      <c r="I17893">
        <f>IF(DATOS!$I17893="","",IFERROR(VLOOKUP(DATOS!$I17893,CONFIG_ASIGNATURAS!$B$2:$J$91,9,FALSE()),""))</f>
      </c>
    </row>
    <row r="17894">
      <c r="F17894">
        <f>IF(DATOS!$A17894="","",DATOS!$A17894&amp;"|"&amp;DATOS!$D17894&amp;"|"&amp;DATOS!$E17894&amp;"|"&amp;DATOS!$I17894)</f>
      </c>
      <c r="G17894">
        <f>IF(DATOS!$A17894="",0,IF(CONFIG_METADATA!$B$4&lt;&gt;"OR+EX",--(DATOS!$G17894=CONFIG_METADATA!$B$4),IF(DATOS!$G17894="EX",1,IF(DATOS!$G17894="OR",--(COUNTIFS(nNIA,DATOS!$A17894,nCURSO,DATOS!$D17894,nESPEC,DATOS!$E17894,nASIG,DATOS!$I17894,nEVAL,"EX")=0),0))))</f>
      </c>
      <c r="H17894">
        <f>IF(DATOS!$G17894&lt;&gt;"EX",0,--(COUNTIFS(nNIA,DATOS!$A17894,nCURSO,DATOS!$D17894,nESPEC,DATOS!$E17894,nASIG,DATOS!$I17894,nEVAL,"OR")=0))</f>
      </c>
      <c r="I17894">
        <f>IF(DATOS!$I17894="","",IFERROR(VLOOKUP(DATOS!$I17894,CONFIG_ASIGNATURAS!$B$2:$J$91,9,FALSE()),""))</f>
      </c>
    </row>
    <row r="17895">
      <c r="F17895">
        <f>IF(DATOS!$A17895="","",DATOS!$A17895&amp;"|"&amp;DATOS!$D17895&amp;"|"&amp;DATOS!$E17895&amp;"|"&amp;DATOS!$I17895)</f>
      </c>
      <c r="G17895">
        <f>IF(DATOS!$A17895="",0,IF(CONFIG_METADATA!$B$4&lt;&gt;"OR+EX",--(DATOS!$G17895=CONFIG_METADATA!$B$4),IF(DATOS!$G17895="EX",1,IF(DATOS!$G17895="OR",--(COUNTIFS(nNIA,DATOS!$A17895,nCURSO,DATOS!$D17895,nESPEC,DATOS!$E17895,nASIG,DATOS!$I17895,nEVAL,"EX")=0),0))))</f>
      </c>
      <c r="H17895">
        <f>IF(DATOS!$G17895&lt;&gt;"EX",0,--(COUNTIFS(nNIA,DATOS!$A17895,nCURSO,DATOS!$D17895,nESPEC,DATOS!$E17895,nASIG,DATOS!$I17895,nEVAL,"OR")=0))</f>
      </c>
      <c r="I17895">
        <f>IF(DATOS!$I17895="","",IFERROR(VLOOKUP(DATOS!$I17895,CONFIG_ASIGNATURAS!$B$2:$J$91,9,FALSE()),""))</f>
      </c>
    </row>
    <row r="17896">
      <c r="F17896">
        <f>IF(DATOS!$A17896="","",DATOS!$A17896&amp;"|"&amp;DATOS!$D17896&amp;"|"&amp;DATOS!$E17896&amp;"|"&amp;DATOS!$I17896)</f>
      </c>
      <c r="G17896">
        <f>IF(DATOS!$A17896="",0,IF(CONFIG_METADATA!$B$4&lt;&gt;"OR+EX",--(DATOS!$G17896=CONFIG_METADATA!$B$4),IF(DATOS!$G17896="EX",1,IF(DATOS!$G17896="OR",--(COUNTIFS(nNIA,DATOS!$A17896,nCURSO,DATOS!$D17896,nESPEC,DATOS!$E17896,nASIG,DATOS!$I17896,nEVAL,"EX")=0),0))))</f>
      </c>
      <c r="H17896">
        <f>IF(DATOS!$G17896&lt;&gt;"EX",0,--(COUNTIFS(nNIA,DATOS!$A17896,nCURSO,DATOS!$D17896,nESPEC,DATOS!$E17896,nASIG,DATOS!$I17896,nEVAL,"OR")=0))</f>
      </c>
      <c r="I17896">
        <f>IF(DATOS!$I17896="","",IFERROR(VLOOKUP(DATOS!$I17896,CONFIG_ASIGNATURAS!$B$2:$J$91,9,FALSE()),""))</f>
      </c>
    </row>
    <row r="17897">
      <c r="F17897">
        <f>IF(DATOS!$A17897="","",DATOS!$A17897&amp;"|"&amp;DATOS!$D17897&amp;"|"&amp;DATOS!$E17897&amp;"|"&amp;DATOS!$I17897)</f>
      </c>
      <c r="G17897">
        <f>IF(DATOS!$A17897="",0,IF(CONFIG_METADATA!$B$4&lt;&gt;"OR+EX",--(DATOS!$G17897=CONFIG_METADATA!$B$4),IF(DATOS!$G17897="EX",1,IF(DATOS!$G17897="OR",--(COUNTIFS(nNIA,DATOS!$A17897,nCURSO,DATOS!$D17897,nESPEC,DATOS!$E17897,nASIG,DATOS!$I17897,nEVAL,"EX")=0),0))))</f>
      </c>
      <c r="H17897">
        <f>IF(DATOS!$G17897&lt;&gt;"EX",0,--(COUNTIFS(nNIA,DATOS!$A17897,nCURSO,DATOS!$D17897,nESPEC,DATOS!$E17897,nASIG,DATOS!$I17897,nEVAL,"OR")=0))</f>
      </c>
      <c r="I17897">
        <f>IF(DATOS!$I17897="","",IFERROR(VLOOKUP(DATOS!$I17897,CONFIG_ASIGNATURAS!$B$2:$J$91,9,FALSE()),""))</f>
      </c>
    </row>
    <row r="17898">
      <c r="F17898">
        <f>IF(DATOS!$A17898="","",DATOS!$A17898&amp;"|"&amp;DATOS!$D17898&amp;"|"&amp;DATOS!$E17898&amp;"|"&amp;DATOS!$I17898)</f>
      </c>
      <c r="G17898">
        <f>IF(DATOS!$A17898="",0,IF(CONFIG_METADATA!$B$4&lt;&gt;"OR+EX",--(DATOS!$G17898=CONFIG_METADATA!$B$4),IF(DATOS!$G17898="EX",1,IF(DATOS!$G17898="OR",--(COUNTIFS(nNIA,DATOS!$A17898,nCURSO,DATOS!$D17898,nESPEC,DATOS!$E17898,nASIG,DATOS!$I17898,nEVAL,"EX")=0),0))))</f>
      </c>
      <c r="H17898">
        <f>IF(DATOS!$G17898&lt;&gt;"EX",0,--(COUNTIFS(nNIA,DATOS!$A17898,nCURSO,DATOS!$D17898,nESPEC,DATOS!$E17898,nASIG,DATOS!$I17898,nEVAL,"OR")=0))</f>
      </c>
      <c r="I17898">
        <f>IF(DATOS!$I17898="","",IFERROR(VLOOKUP(DATOS!$I17898,CONFIG_ASIGNATURAS!$B$2:$J$91,9,FALSE()),""))</f>
      </c>
    </row>
    <row r="17899">
      <c r="F17899">
        <f>IF(DATOS!$A17899="","",DATOS!$A17899&amp;"|"&amp;DATOS!$D17899&amp;"|"&amp;DATOS!$E17899&amp;"|"&amp;DATOS!$I17899)</f>
      </c>
      <c r="G17899">
        <f>IF(DATOS!$A17899="",0,IF(CONFIG_METADATA!$B$4&lt;&gt;"OR+EX",--(DATOS!$G17899=CONFIG_METADATA!$B$4),IF(DATOS!$G17899="EX",1,IF(DATOS!$G17899="OR",--(COUNTIFS(nNIA,DATOS!$A17899,nCURSO,DATOS!$D17899,nESPEC,DATOS!$E17899,nASIG,DATOS!$I17899,nEVAL,"EX")=0),0))))</f>
      </c>
      <c r="H17899">
        <f>IF(DATOS!$G17899&lt;&gt;"EX",0,--(COUNTIFS(nNIA,DATOS!$A17899,nCURSO,DATOS!$D17899,nESPEC,DATOS!$E17899,nASIG,DATOS!$I17899,nEVAL,"OR")=0))</f>
      </c>
      <c r="I17899">
        <f>IF(DATOS!$I17899="","",IFERROR(VLOOKUP(DATOS!$I17899,CONFIG_ASIGNATURAS!$B$2:$J$91,9,FALSE()),""))</f>
      </c>
    </row>
    <row r="17900">
      <c r="F17900">
        <f>IF(DATOS!$A17900="","",DATOS!$A17900&amp;"|"&amp;DATOS!$D17900&amp;"|"&amp;DATOS!$E17900&amp;"|"&amp;DATOS!$I17900)</f>
      </c>
      <c r="G17900">
        <f>IF(DATOS!$A17900="",0,IF(CONFIG_METADATA!$B$4&lt;&gt;"OR+EX",--(DATOS!$G17900=CONFIG_METADATA!$B$4),IF(DATOS!$G17900="EX",1,IF(DATOS!$G17900="OR",--(COUNTIFS(nNIA,DATOS!$A17900,nCURSO,DATOS!$D17900,nESPEC,DATOS!$E17900,nASIG,DATOS!$I17900,nEVAL,"EX")=0),0))))</f>
      </c>
      <c r="H17900">
        <f>IF(DATOS!$G17900&lt;&gt;"EX",0,--(COUNTIFS(nNIA,DATOS!$A17900,nCURSO,DATOS!$D17900,nESPEC,DATOS!$E17900,nASIG,DATOS!$I17900,nEVAL,"OR")=0))</f>
      </c>
      <c r="I17900">
        <f>IF(DATOS!$I17900="","",IFERROR(VLOOKUP(DATOS!$I17900,CONFIG_ASIGNATURAS!$B$2:$J$91,9,FALSE()),""))</f>
      </c>
    </row>
    <row r="17901">
      <c r="F17901">
        <f>IF(DATOS!$A17901="","",DATOS!$A17901&amp;"|"&amp;DATOS!$D17901&amp;"|"&amp;DATOS!$E17901&amp;"|"&amp;DATOS!$I17901)</f>
      </c>
      <c r="G17901">
        <f>IF(DATOS!$A17901="",0,IF(CONFIG_METADATA!$B$4&lt;&gt;"OR+EX",--(DATOS!$G17901=CONFIG_METADATA!$B$4),IF(DATOS!$G17901="EX",1,IF(DATOS!$G17901="OR",--(COUNTIFS(nNIA,DATOS!$A17901,nCURSO,DATOS!$D17901,nESPEC,DATOS!$E17901,nASIG,DATOS!$I17901,nEVAL,"EX")=0),0))))</f>
      </c>
      <c r="H17901">
        <f>IF(DATOS!$G17901&lt;&gt;"EX",0,--(COUNTIFS(nNIA,DATOS!$A17901,nCURSO,DATOS!$D17901,nESPEC,DATOS!$E17901,nASIG,DATOS!$I17901,nEVAL,"OR")=0))</f>
      </c>
      <c r="I17901">
        <f>IF(DATOS!$I17901="","",IFERROR(VLOOKUP(DATOS!$I17901,CONFIG_ASIGNATURAS!$B$2:$J$91,9,FALSE()),""))</f>
      </c>
    </row>
    <row r="17902">
      <c r="F17902">
        <f>IF(DATOS!$A17902="","",DATOS!$A17902&amp;"|"&amp;DATOS!$D17902&amp;"|"&amp;DATOS!$E17902&amp;"|"&amp;DATOS!$I17902)</f>
      </c>
      <c r="G17902">
        <f>IF(DATOS!$A17902="",0,IF(CONFIG_METADATA!$B$4&lt;&gt;"OR+EX",--(DATOS!$G17902=CONFIG_METADATA!$B$4),IF(DATOS!$G17902="EX",1,IF(DATOS!$G17902="OR",--(COUNTIFS(nNIA,DATOS!$A17902,nCURSO,DATOS!$D17902,nESPEC,DATOS!$E17902,nASIG,DATOS!$I17902,nEVAL,"EX")=0),0))))</f>
      </c>
      <c r="H17902">
        <f>IF(DATOS!$G17902&lt;&gt;"EX",0,--(COUNTIFS(nNIA,DATOS!$A17902,nCURSO,DATOS!$D17902,nESPEC,DATOS!$E17902,nASIG,DATOS!$I17902,nEVAL,"OR")=0))</f>
      </c>
      <c r="I17902">
        <f>IF(DATOS!$I17902="","",IFERROR(VLOOKUP(DATOS!$I17902,CONFIG_ASIGNATURAS!$B$2:$J$91,9,FALSE()),""))</f>
      </c>
    </row>
    <row r="17903">
      <c r="F17903">
        <f>IF(DATOS!$A17903="","",DATOS!$A17903&amp;"|"&amp;DATOS!$D17903&amp;"|"&amp;DATOS!$E17903&amp;"|"&amp;DATOS!$I17903)</f>
      </c>
      <c r="G17903">
        <f>IF(DATOS!$A17903="",0,IF(CONFIG_METADATA!$B$4&lt;&gt;"OR+EX",--(DATOS!$G17903=CONFIG_METADATA!$B$4),IF(DATOS!$G17903="EX",1,IF(DATOS!$G17903="OR",--(COUNTIFS(nNIA,DATOS!$A17903,nCURSO,DATOS!$D17903,nESPEC,DATOS!$E17903,nASIG,DATOS!$I17903,nEVAL,"EX")=0),0))))</f>
      </c>
      <c r="H17903">
        <f>IF(DATOS!$G17903&lt;&gt;"EX",0,--(COUNTIFS(nNIA,DATOS!$A17903,nCURSO,DATOS!$D17903,nESPEC,DATOS!$E17903,nASIG,DATOS!$I17903,nEVAL,"OR")=0))</f>
      </c>
      <c r="I17903">
        <f>IF(DATOS!$I17903="","",IFERROR(VLOOKUP(DATOS!$I17903,CONFIG_ASIGNATURAS!$B$2:$J$91,9,FALSE()),""))</f>
      </c>
    </row>
    <row r="17904">
      <c r="F17904">
        <f>IF(DATOS!$A17904="","",DATOS!$A17904&amp;"|"&amp;DATOS!$D17904&amp;"|"&amp;DATOS!$E17904&amp;"|"&amp;DATOS!$I17904)</f>
      </c>
      <c r="G17904">
        <f>IF(DATOS!$A17904="",0,IF(CONFIG_METADATA!$B$4&lt;&gt;"OR+EX",--(DATOS!$G17904=CONFIG_METADATA!$B$4),IF(DATOS!$G17904="EX",1,IF(DATOS!$G17904="OR",--(COUNTIFS(nNIA,DATOS!$A17904,nCURSO,DATOS!$D17904,nESPEC,DATOS!$E17904,nASIG,DATOS!$I17904,nEVAL,"EX")=0),0))))</f>
      </c>
      <c r="H17904">
        <f>IF(DATOS!$G17904&lt;&gt;"EX",0,--(COUNTIFS(nNIA,DATOS!$A17904,nCURSO,DATOS!$D17904,nESPEC,DATOS!$E17904,nASIG,DATOS!$I17904,nEVAL,"OR")=0))</f>
      </c>
      <c r="I17904">
        <f>IF(DATOS!$I17904="","",IFERROR(VLOOKUP(DATOS!$I17904,CONFIG_ASIGNATURAS!$B$2:$J$91,9,FALSE()),""))</f>
      </c>
    </row>
    <row r="17905">
      <c r="F17905">
        <f>IF(DATOS!$A17905="","",DATOS!$A17905&amp;"|"&amp;DATOS!$D17905&amp;"|"&amp;DATOS!$E17905&amp;"|"&amp;DATOS!$I17905)</f>
      </c>
      <c r="G17905">
        <f>IF(DATOS!$A17905="",0,IF(CONFIG_METADATA!$B$4&lt;&gt;"OR+EX",--(DATOS!$G17905=CONFIG_METADATA!$B$4),IF(DATOS!$G17905="EX",1,IF(DATOS!$G17905="OR",--(COUNTIFS(nNIA,DATOS!$A17905,nCURSO,DATOS!$D17905,nESPEC,DATOS!$E17905,nASIG,DATOS!$I17905,nEVAL,"EX")=0),0))))</f>
      </c>
      <c r="H17905">
        <f>IF(DATOS!$G17905&lt;&gt;"EX",0,--(COUNTIFS(nNIA,DATOS!$A17905,nCURSO,DATOS!$D17905,nESPEC,DATOS!$E17905,nASIG,DATOS!$I17905,nEVAL,"OR")=0))</f>
      </c>
      <c r="I17905">
        <f>IF(DATOS!$I17905="","",IFERROR(VLOOKUP(DATOS!$I17905,CONFIG_ASIGNATURAS!$B$2:$J$91,9,FALSE()),""))</f>
      </c>
    </row>
    <row r="17906">
      <c r="F17906">
        <f>IF(DATOS!$A17906="","",DATOS!$A17906&amp;"|"&amp;DATOS!$D17906&amp;"|"&amp;DATOS!$E17906&amp;"|"&amp;DATOS!$I17906)</f>
      </c>
      <c r="G17906">
        <f>IF(DATOS!$A17906="",0,IF(CONFIG_METADATA!$B$4&lt;&gt;"OR+EX",--(DATOS!$G17906=CONFIG_METADATA!$B$4),IF(DATOS!$G17906="EX",1,IF(DATOS!$G17906="OR",--(COUNTIFS(nNIA,DATOS!$A17906,nCURSO,DATOS!$D17906,nESPEC,DATOS!$E17906,nASIG,DATOS!$I17906,nEVAL,"EX")=0),0))))</f>
      </c>
      <c r="H17906">
        <f>IF(DATOS!$G17906&lt;&gt;"EX",0,--(COUNTIFS(nNIA,DATOS!$A17906,nCURSO,DATOS!$D17906,nESPEC,DATOS!$E17906,nASIG,DATOS!$I17906,nEVAL,"OR")=0))</f>
      </c>
      <c r="I17906">
        <f>IF(DATOS!$I17906="","",IFERROR(VLOOKUP(DATOS!$I17906,CONFIG_ASIGNATURAS!$B$2:$J$91,9,FALSE()),""))</f>
      </c>
    </row>
    <row r="17907">
      <c r="F17907">
        <f>IF(DATOS!$A17907="","",DATOS!$A17907&amp;"|"&amp;DATOS!$D17907&amp;"|"&amp;DATOS!$E17907&amp;"|"&amp;DATOS!$I17907)</f>
      </c>
      <c r="G17907">
        <f>IF(DATOS!$A17907="",0,IF(CONFIG_METADATA!$B$4&lt;&gt;"OR+EX",--(DATOS!$G17907=CONFIG_METADATA!$B$4),IF(DATOS!$G17907="EX",1,IF(DATOS!$G17907="OR",--(COUNTIFS(nNIA,DATOS!$A17907,nCURSO,DATOS!$D17907,nESPEC,DATOS!$E17907,nASIG,DATOS!$I17907,nEVAL,"EX")=0),0))))</f>
      </c>
      <c r="H17907">
        <f>IF(DATOS!$G17907&lt;&gt;"EX",0,--(COUNTIFS(nNIA,DATOS!$A17907,nCURSO,DATOS!$D17907,nESPEC,DATOS!$E17907,nASIG,DATOS!$I17907,nEVAL,"OR")=0))</f>
      </c>
      <c r="I17907">
        <f>IF(DATOS!$I17907="","",IFERROR(VLOOKUP(DATOS!$I17907,CONFIG_ASIGNATURAS!$B$2:$J$91,9,FALSE()),""))</f>
      </c>
    </row>
    <row r="17908">
      <c r="F17908">
        <f>IF(DATOS!$A17908="","",DATOS!$A17908&amp;"|"&amp;DATOS!$D17908&amp;"|"&amp;DATOS!$E17908&amp;"|"&amp;DATOS!$I17908)</f>
      </c>
      <c r="G17908">
        <f>IF(DATOS!$A17908="",0,IF(CONFIG_METADATA!$B$4&lt;&gt;"OR+EX",--(DATOS!$G17908=CONFIG_METADATA!$B$4),IF(DATOS!$G17908="EX",1,IF(DATOS!$G17908="OR",--(COUNTIFS(nNIA,DATOS!$A17908,nCURSO,DATOS!$D17908,nESPEC,DATOS!$E17908,nASIG,DATOS!$I17908,nEVAL,"EX")=0),0))))</f>
      </c>
      <c r="H17908">
        <f>IF(DATOS!$G17908&lt;&gt;"EX",0,--(COUNTIFS(nNIA,DATOS!$A17908,nCURSO,DATOS!$D17908,nESPEC,DATOS!$E17908,nASIG,DATOS!$I17908,nEVAL,"OR")=0))</f>
      </c>
      <c r="I17908">
        <f>IF(DATOS!$I17908="","",IFERROR(VLOOKUP(DATOS!$I17908,CONFIG_ASIGNATURAS!$B$2:$J$91,9,FALSE()),""))</f>
      </c>
    </row>
    <row r="17909">
      <c r="F17909">
        <f>IF(DATOS!$A17909="","",DATOS!$A17909&amp;"|"&amp;DATOS!$D17909&amp;"|"&amp;DATOS!$E17909&amp;"|"&amp;DATOS!$I17909)</f>
      </c>
      <c r="G17909">
        <f>IF(DATOS!$A17909="",0,IF(CONFIG_METADATA!$B$4&lt;&gt;"OR+EX",--(DATOS!$G17909=CONFIG_METADATA!$B$4),IF(DATOS!$G17909="EX",1,IF(DATOS!$G17909="OR",--(COUNTIFS(nNIA,DATOS!$A17909,nCURSO,DATOS!$D17909,nESPEC,DATOS!$E17909,nASIG,DATOS!$I17909,nEVAL,"EX")=0),0))))</f>
      </c>
      <c r="H17909">
        <f>IF(DATOS!$G17909&lt;&gt;"EX",0,--(COUNTIFS(nNIA,DATOS!$A17909,nCURSO,DATOS!$D17909,nESPEC,DATOS!$E17909,nASIG,DATOS!$I17909,nEVAL,"OR")=0))</f>
      </c>
      <c r="I17909">
        <f>IF(DATOS!$I17909="","",IFERROR(VLOOKUP(DATOS!$I17909,CONFIG_ASIGNATURAS!$B$2:$J$91,9,FALSE()),""))</f>
      </c>
    </row>
    <row r="17910">
      <c r="F17910">
        <f>IF(DATOS!$A17910="","",DATOS!$A17910&amp;"|"&amp;DATOS!$D17910&amp;"|"&amp;DATOS!$E17910&amp;"|"&amp;DATOS!$I17910)</f>
      </c>
      <c r="G17910">
        <f>IF(DATOS!$A17910="",0,IF(CONFIG_METADATA!$B$4&lt;&gt;"OR+EX",--(DATOS!$G17910=CONFIG_METADATA!$B$4),IF(DATOS!$G17910="EX",1,IF(DATOS!$G17910="OR",--(COUNTIFS(nNIA,DATOS!$A17910,nCURSO,DATOS!$D17910,nESPEC,DATOS!$E17910,nASIG,DATOS!$I17910,nEVAL,"EX")=0),0))))</f>
      </c>
      <c r="H17910">
        <f>IF(DATOS!$G17910&lt;&gt;"EX",0,--(COUNTIFS(nNIA,DATOS!$A17910,nCURSO,DATOS!$D17910,nESPEC,DATOS!$E17910,nASIG,DATOS!$I17910,nEVAL,"OR")=0))</f>
      </c>
      <c r="I17910">
        <f>IF(DATOS!$I17910="","",IFERROR(VLOOKUP(DATOS!$I17910,CONFIG_ASIGNATURAS!$B$2:$J$91,9,FALSE()),""))</f>
      </c>
    </row>
    <row r="17911">
      <c r="F17911">
        <f>IF(DATOS!$A17911="","",DATOS!$A17911&amp;"|"&amp;DATOS!$D17911&amp;"|"&amp;DATOS!$E17911&amp;"|"&amp;DATOS!$I17911)</f>
      </c>
      <c r="G17911">
        <f>IF(DATOS!$A17911="",0,IF(CONFIG_METADATA!$B$4&lt;&gt;"OR+EX",--(DATOS!$G17911=CONFIG_METADATA!$B$4),IF(DATOS!$G17911="EX",1,IF(DATOS!$G17911="OR",--(COUNTIFS(nNIA,DATOS!$A17911,nCURSO,DATOS!$D17911,nESPEC,DATOS!$E17911,nASIG,DATOS!$I17911,nEVAL,"EX")=0),0))))</f>
      </c>
      <c r="H17911">
        <f>IF(DATOS!$G17911&lt;&gt;"EX",0,--(COUNTIFS(nNIA,DATOS!$A17911,nCURSO,DATOS!$D17911,nESPEC,DATOS!$E17911,nASIG,DATOS!$I17911,nEVAL,"OR")=0))</f>
      </c>
      <c r="I17911">
        <f>IF(DATOS!$I17911="","",IFERROR(VLOOKUP(DATOS!$I17911,CONFIG_ASIGNATURAS!$B$2:$J$91,9,FALSE()),""))</f>
      </c>
    </row>
    <row r="17912">
      <c r="F17912">
        <f>IF(DATOS!$A17912="","",DATOS!$A17912&amp;"|"&amp;DATOS!$D17912&amp;"|"&amp;DATOS!$E17912&amp;"|"&amp;DATOS!$I17912)</f>
      </c>
      <c r="G17912">
        <f>IF(DATOS!$A17912="",0,IF(CONFIG_METADATA!$B$4&lt;&gt;"OR+EX",--(DATOS!$G17912=CONFIG_METADATA!$B$4),IF(DATOS!$G17912="EX",1,IF(DATOS!$G17912="OR",--(COUNTIFS(nNIA,DATOS!$A17912,nCURSO,DATOS!$D17912,nESPEC,DATOS!$E17912,nASIG,DATOS!$I17912,nEVAL,"EX")=0),0))))</f>
      </c>
      <c r="H17912">
        <f>IF(DATOS!$G17912&lt;&gt;"EX",0,--(COUNTIFS(nNIA,DATOS!$A17912,nCURSO,DATOS!$D17912,nESPEC,DATOS!$E17912,nASIG,DATOS!$I17912,nEVAL,"OR")=0))</f>
      </c>
      <c r="I17912">
        <f>IF(DATOS!$I17912="","",IFERROR(VLOOKUP(DATOS!$I17912,CONFIG_ASIGNATURAS!$B$2:$J$91,9,FALSE()),""))</f>
      </c>
    </row>
    <row r="17913">
      <c r="F17913">
        <f>IF(DATOS!$A17913="","",DATOS!$A17913&amp;"|"&amp;DATOS!$D17913&amp;"|"&amp;DATOS!$E17913&amp;"|"&amp;DATOS!$I17913)</f>
      </c>
      <c r="G17913">
        <f>IF(DATOS!$A17913="",0,IF(CONFIG_METADATA!$B$4&lt;&gt;"OR+EX",--(DATOS!$G17913=CONFIG_METADATA!$B$4),IF(DATOS!$G17913="EX",1,IF(DATOS!$G17913="OR",--(COUNTIFS(nNIA,DATOS!$A17913,nCURSO,DATOS!$D17913,nESPEC,DATOS!$E17913,nASIG,DATOS!$I17913,nEVAL,"EX")=0),0))))</f>
      </c>
      <c r="H17913">
        <f>IF(DATOS!$G17913&lt;&gt;"EX",0,--(COUNTIFS(nNIA,DATOS!$A17913,nCURSO,DATOS!$D17913,nESPEC,DATOS!$E17913,nASIG,DATOS!$I17913,nEVAL,"OR")=0))</f>
      </c>
      <c r="I17913">
        <f>IF(DATOS!$I17913="","",IFERROR(VLOOKUP(DATOS!$I17913,CONFIG_ASIGNATURAS!$B$2:$J$91,9,FALSE()),""))</f>
      </c>
    </row>
    <row r="17914">
      <c r="F17914">
        <f>IF(DATOS!$A17914="","",DATOS!$A17914&amp;"|"&amp;DATOS!$D17914&amp;"|"&amp;DATOS!$E17914&amp;"|"&amp;DATOS!$I17914)</f>
      </c>
      <c r="G17914">
        <f>IF(DATOS!$A17914="",0,IF(CONFIG_METADATA!$B$4&lt;&gt;"OR+EX",--(DATOS!$G17914=CONFIG_METADATA!$B$4),IF(DATOS!$G17914="EX",1,IF(DATOS!$G17914="OR",--(COUNTIFS(nNIA,DATOS!$A17914,nCURSO,DATOS!$D17914,nESPEC,DATOS!$E17914,nASIG,DATOS!$I17914,nEVAL,"EX")=0),0))))</f>
      </c>
      <c r="H17914">
        <f>IF(DATOS!$G17914&lt;&gt;"EX",0,--(COUNTIFS(nNIA,DATOS!$A17914,nCURSO,DATOS!$D17914,nESPEC,DATOS!$E17914,nASIG,DATOS!$I17914,nEVAL,"OR")=0))</f>
      </c>
      <c r="I17914">
        <f>IF(DATOS!$I17914="","",IFERROR(VLOOKUP(DATOS!$I17914,CONFIG_ASIGNATURAS!$B$2:$J$91,9,FALSE()),""))</f>
      </c>
    </row>
    <row r="17915">
      <c r="F17915">
        <f>IF(DATOS!$A17915="","",DATOS!$A17915&amp;"|"&amp;DATOS!$D17915&amp;"|"&amp;DATOS!$E17915&amp;"|"&amp;DATOS!$I17915)</f>
      </c>
      <c r="G17915">
        <f>IF(DATOS!$A17915="",0,IF(CONFIG_METADATA!$B$4&lt;&gt;"OR+EX",--(DATOS!$G17915=CONFIG_METADATA!$B$4),IF(DATOS!$G17915="EX",1,IF(DATOS!$G17915="OR",--(COUNTIFS(nNIA,DATOS!$A17915,nCURSO,DATOS!$D17915,nESPEC,DATOS!$E17915,nASIG,DATOS!$I17915,nEVAL,"EX")=0),0))))</f>
      </c>
      <c r="H17915">
        <f>IF(DATOS!$G17915&lt;&gt;"EX",0,--(COUNTIFS(nNIA,DATOS!$A17915,nCURSO,DATOS!$D17915,nESPEC,DATOS!$E17915,nASIG,DATOS!$I17915,nEVAL,"OR")=0))</f>
      </c>
      <c r="I17915">
        <f>IF(DATOS!$I17915="","",IFERROR(VLOOKUP(DATOS!$I17915,CONFIG_ASIGNATURAS!$B$2:$J$91,9,FALSE()),""))</f>
      </c>
    </row>
    <row r="17916">
      <c r="F17916">
        <f>IF(DATOS!$A17916="","",DATOS!$A17916&amp;"|"&amp;DATOS!$D17916&amp;"|"&amp;DATOS!$E17916&amp;"|"&amp;DATOS!$I17916)</f>
      </c>
      <c r="G17916">
        <f>IF(DATOS!$A17916="",0,IF(CONFIG_METADATA!$B$4&lt;&gt;"OR+EX",--(DATOS!$G17916=CONFIG_METADATA!$B$4),IF(DATOS!$G17916="EX",1,IF(DATOS!$G17916="OR",--(COUNTIFS(nNIA,DATOS!$A17916,nCURSO,DATOS!$D17916,nESPEC,DATOS!$E17916,nASIG,DATOS!$I17916,nEVAL,"EX")=0),0))))</f>
      </c>
      <c r="H17916">
        <f>IF(DATOS!$G17916&lt;&gt;"EX",0,--(COUNTIFS(nNIA,DATOS!$A17916,nCURSO,DATOS!$D17916,nESPEC,DATOS!$E17916,nASIG,DATOS!$I17916,nEVAL,"OR")=0))</f>
      </c>
      <c r="I17916">
        <f>IF(DATOS!$I17916="","",IFERROR(VLOOKUP(DATOS!$I17916,CONFIG_ASIGNATURAS!$B$2:$J$91,9,FALSE()),""))</f>
      </c>
    </row>
    <row r="17917">
      <c r="F17917">
        <f>IF(DATOS!$A17917="","",DATOS!$A17917&amp;"|"&amp;DATOS!$D17917&amp;"|"&amp;DATOS!$E17917&amp;"|"&amp;DATOS!$I17917)</f>
      </c>
      <c r="G17917">
        <f>IF(DATOS!$A17917="",0,IF(CONFIG_METADATA!$B$4&lt;&gt;"OR+EX",--(DATOS!$G17917=CONFIG_METADATA!$B$4),IF(DATOS!$G17917="EX",1,IF(DATOS!$G17917="OR",--(COUNTIFS(nNIA,DATOS!$A17917,nCURSO,DATOS!$D17917,nESPEC,DATOS!$E17917,nASIG,DATOS!$I17917,nEVAL,"EX")=0),0))))</f>
      </c>
      <c r="H17917">
        <f>IF(DATOS!$G17917&lt;&gt;"EX",0,--(COUNTIFS(nNIA,DATOS!$A17917,nCURSO,DATOS!$D17917,nESPEC,DATOS!$E17917,nASIG,DATOS!$I17917,nEVAL,"OR")=0))</f>
      </c>
      <c r="I17917">
        <f>IF(DATOS!$I17917="","",IFERROR(VLOOKUP(DATOS!$I17917,CONFIG_ASIGNATURAS!$B$2:$J$91,9,FALSE()),""))</f>
      </c>
    </row>
    <row r="17918">
      <c r="F17918">
        <f>IF(DATOS!$A17918="","",DATOS!$A17918&amp;"|"&amp;DATOS!$D17918&amp;"|"&amp;DATOS!$E17918&amp;"|"&amp;DATOS!$I17918)</f>
      </c>
      <c r="G17918">
        <f>IF(DATOS!$A17918="",0,IF(CONFIG_METADATA!$B$4&lt;&gt;"OR+EX",--(DATOS!$G17918=CONFIG_METADATA!$B$4),IF(DATOS!$G17918="EX",1,IF(DATOS!$G17918="OR",--(COUNTIFS(nNIA,DATOS!$A17918,nCURSO,DATOS!$D17918,nESPEC,DATOS!$E17918,nASIG,DATOS!$I17918,nEVAL,"EX")=0),0))))</f>
      </c>
      <c r="H17918">
        <f>IF(DATOS!$G17918&lt;&gt;"EX",0,--(COUNTIFS(nNIA,DATOS!$A17918,nCURSO,DATOS!$D17918,nESPEC,DATOS!$E17918,nASIG,DATOS!$I17918,nEVAL,"OR")=0))</f>
      </c>
      <c r="I17918">
        <f>IF(DATOS!$I17918="","",IFERROR(VLOOKUP(DATOS!$I17918,CONFIG_ASIGNATURAS!$B$2:$J$91,9,FALSE()),""))</f>
      </c>
    </row>
    <row r="17919">
      <c r="F17919">
        <f>IF(DATOS!$A17919="","",DATOS!$A17919&amp;"|"&amp;DATOS!$D17919&amp;"|"&amp;DATOS!$E17919&amp;"|"&amp;DATOS!$I17919)</f>
      </c>
      <c r="G17919">
        <f>IF(DATOS!$A17919="",0,IF(CONFIG_METADATA!$B$4&lt;&gt;"OR+EX",--(DATOS!$G17919=CONFIG_METADATA!$B$4),IF(DATOS!$G17919="EX",1,IF(DATOS!$G17919="OR",--(COUNTIFS(nNIA,DATOS!$A17919,nCURSO,DATOS!$D17919,nESPEC,DATOS!$E17919,nASIG,DATOS!$I17919,nEVAL,"EX")=0),0))))</f>
      </c>
      <c r="H17919">
        <f>IF(DATOS!$G17919&lt;&gt;"EX",0,--(COUNTIFS(nNIA,DATOS!$A17919,nCURSO,DATOS!$D17919,nESPEC,DATOS!$E17919,nASIG,DATOS!$I17919,nEVAL,"OR")=0))</f>
      </c>
      <c r="I17919">
        <f>IF(DATOS!$I17919="","",IFERROR(VLOOKUP(DATOS!$I17919,CONFIG_ASIGNATURAS!$B$2:$J$91,9,FALSE()),""))</f>
      </c>
    </row>
    <row r="17920">
      <c r="F17920">
        <f>IF(DATOS!$A17920="","",DATOS!$A17920&amp;"|"&amp;DATOS!$D17920&amp;"|"&amp;DATOS!$E17920&amp;"|"&amp;DATOS!$I17920)</f>
      </c>
      <c r="G17920">
        <f>IF(DATOS!$A17920="",0,IF(CONFIG_METADATA!$B$4&lt;&gt;"OR+EX",--(DATOS!$G17920=CONFIG_METADATA!$B$4),IF(DATOS!$G17920="EX",1,IF(DATOS!$G17920="OR",--(COUNTIFS(nNIA,DATOS!$A17920,nCURSO,DATOS!$D17920,nESPEC,DATOS!$E17920,nASIG,DATOS!$I17920,nEVAL,"EX")=0),0))))</f>
      </c>
      <c r="H17920">
        <f>IF(DATOS!$G17920&lt;&gt;"EX",0,--(COUNTIFS(nNIA,DATOS!$A17920,nCURSO,DATOS!$D17920,nESPEC,DATOS!$E17920,nASIG,DATOS!$I17920,nEVAL,"OR")=0))</f>
      </c>
      <c r="I17920">
        <f>IF(DATOS!$I17920="","",IFERROR(VLOOKUP(DATOS!$I17920,CONFIG_ASIGNATURAS!$B$2:$J$91,9,FALSE()),""))</f>
      </c>
    </row>
    <row r="17921">
      <c r="F17921">
        <f>IF(DATOS!$A17921="","",DATOS!$A17921&amp;"|"&amp;DATOS!$D17921&amp;"|"&amp;DATOS!$E17921&amp;"|"&amp;DATOS!$I17921)</f>
      </c>
      <c r="G17921">
        <f>IF(DATOS!$A17921="",0,IF(CONFIG_METADATA!$B$4&lt;&gt;"OR+EX",--(DATOS!$G17921=CONFIG_METADATA!$B$4),IF(DATOS!$G17921="EX",1,IF(DATOS!$G17921="OR",--(COUNTIFS(nNIA,DATOS!$A17921,nCURSO,DATOS!$D17921,nESPEC,DATOS!$E17921,nASIG,DATOS!$I17921,nEVAL,"EX")=0),0))))</f>
      </c>
      <c r="H17921">
        <f>IF(DATOS!$G17921&lt;&gt;"EX",0,--(COUNTIFS(nNIA,DATOS!$A17921,nCURSO,DATOS!$D17921,nESPEC,DATOS!$E17921,nASIG,DATOS!$I17921,nEVAL,"OR")=0))</f>
      </c>
      <c r="I17921">
        <f>IF(DATOS!$I17921="","",IFERROR(VLOOKUP(DATOS!$I17921,CONFIG_ASIGNATURAS!$B$2:$J$91,9,FALSE()),""))</f>
      </c>
    </row>
    <row r="17922">
      <c r="F17922">
        <f>IF(DATOS!$A17922="","",DATOS!$A17922&amp;"|"&amp;DATOS!$D17922&amp;"|"&amp;DATOS!$E17922&amp;"|"&amp;DATOS!$I17922)</f>
      </c>
      <c r="G17922">
        <f>IF(DATOS!$A17922="",0,IF(CONFIG_METADATA!$B$4&lt;&gt;"OR+EX",--(DATOS!$G17922=CONFIG_METADATA!$B$4),IF(DATOS!$G17922="EX",1,IF(DATOS!$G17922="OR",--(COUNTIFS(nNIA,DATOS!$A17922,nCURSO,DATOS!$D17922,nESPEC,DATOS!$E17922,nASIG,DATOS!$I17922,nEVAL,"EX")=0),0))))</f>
      </c>
      <c r="H17922">
        <f>IF(DATOS!$G17922&lt;&gt;"EX",0,--(COUNTIFS(nNIA,DATOS!$A17922,nCURSO,DATOS!$D17922,nESPEC,DATOS!$E17922,nASIG,DATOS!$I17922,nEVAL,"OR")=0))</f>
      </c>
      <c r="I17922">
        <f>IF(DATOS!$I17922="","",IFERROR(VLOOKUP(DATOS!$I17922,CONFIG_ASIGNATURAS!$B$2:$J$91,9,FALSE()),""))</f>
      </c>
    </row>
    <row r="17923">
      <c r="F17923">
        <f>IF(DATOS!$A17923="","",DATOS!$A17923&amp;"|"&amp;DATOS!$D17923&amp;"|"&amp;DATOS!$E17923&amp;"|"&amp;DATOS!$I17923)</f>
      </c>
      <c r="G17923">
        <f>IF(DATOS!$A17923="",0,IF(CONFIG_METADATA!$B$4&lt;&gt;"OR+EX",--(DATOS!$G17923=CONFIG_METADATA!$B$4),IF(DATOS!$G17923="EX",1,IF(DATOS!$G17923="OR",--(COUNTIFS(nNIA,DATOS!$A17923,nCURSO,DATOS!$D17923,nESPEC,DATOS!$E17923,nASIG,DATOS!$I17923,nEVAL,"EX")=0),0))))</f>
      </c>
      <c r="H17923">
        <f>IF(DATOS!$G17923&lt;&gt;"EX",0,--(COUNTIFS(nNIA,DATOS!$A17923,nCURSO,DATOS!$D17923,nESPEC,DATOS!$E17923,nASIG,DATOS!$I17923,nEVAL,"OR")=0))</f>
      </c>
      <c r="I17923">
        <f>IF(DATOS!$I17923="","",IFERROR(VLOOKUP(DATOS!$I17923,CONFIG_ASIGNATURAS!$B$2:$J$91,9,FALSE()),""))</f>
      </c>
    </row>
    <row r="17924">
      <c r="F17924">
        <f>IF(DATOS!$A17924="","",DATOS!$A17924&amp;"|"&amp;DATOS!$D17924&amp;"|"&amp;DATOS!$E17924&amp;"|"&amp;DATOS!$I17924)</f>
      </c>
      <c r="G17924">
        <f>IF(DATOS!$A17924="",0,IF(CONFIG_METADATA!$B$4&lt;&gt;"OR+EX",--(DATOS!$G17924=CONFIG_METADATA!$B$4),IF(DATOS!$G17924="EX",1,IF(DATOS!$G17924="OR",--(COUNTIFS(nNIA,DATOS!$A17924,nCURSO,DATOS!$D17924,nESPEC,DATOS!$E17924,nASIG,DATOS!$I17924,nEVAL,"EX")=0),0))))</f>
      </c>
      <c r="H17924">
        <f>IF(DATOS!$G17924&lt;&gt;"EX",0,--(COUNTIFS(nNIA,DATOS!$A17924,nCURSO,DATOS!$D17924,nESPEC,DATOS!$E17924,nASIG,DATOS!$I17924,nEVAL,"OR")=0))</f>
      </c>
      <c r="I17924">
        <f>IF(DATOS!$I17924="","",IFERROR(VLOOKUP(DATOS!$I17924,CONFIG_ASIGNATURAS!$B$2:$J$91,9,FALSE()),""))</f>
      </c>
    </row>
    <row r="17925">
      <c r="F17925">
        <f>IF(DATOS!$A17925="","",DATOS!$A17925&amp;"|"&amp;DATOS!$D17925&amp;"|"&amp;DATOS!$E17925&amp;"|"&amp;DATOS!$I17925)</f>
      </c>
      <c r="G17925">
        <f>IF(DATOS!$A17925="",0,IF(CONFIG_METADATA!$B$4&lt;&gt;"OR+EX",--(DATOS!$G17925=CONFIG_METADATA!$B$4),IF(DATOS!$G17925="EX",1,IF(DATOS!$G17925="OR",--(COUNTIFS(nNIA,DATOS!$A17925,nCURSO,DATOS!$D17925,nESPEC,DATOS!$E17925,nASIG,DATOS!$I17925,nEVAL,"EX")=0),0))))</f>
      </c>
      <c r="H17925">
        <f>IF(DATOS!$G17925&lt;&gt;"EX",0,--(COUNTIFS(nNIA,DATOS!$A17925,nCURSO,DATOS!$D17925,nESPEC,DATOS!$E17925,nASIG,DATOS!$I17925,nEVAL,"OR")=0))</f>
      </c>
      <c r="I17925">
        <f>IF(DATOS!$I17925="","",IFERROR(VLOOKUP(DATOS!$I17925,CONFIG_ASIGNATURAS!$B$2:$J$91,9,FALSE()),""))</f>
      </c>
    </row>
    <row r="17926">
      <c r="F17926">
        <f>IF(DATOS!$A17926="","",DATOS!$A17926&amp;"|"&amp;DATOS!$D17926&amp;"|"&amp;DATOS!$E17926&amp;"|"&amp;DATOS!$I17926)</f>
      </c>
      <c r="G17926">
        <f>IF(DATOS!$A17926="",0,IF(CONFIG_METADATA!$B$4&lt;&gt;"OR+EX",--(DATOS!$G17926=CONFIG_METADATA!$B$4),IF(DATOS!$G17926="EX",1,IF(DATOS!$G17926="OR",--(COUNTIFS(nNIA,DATOS!$A17926,nCURSO,DATOS!$D17926,nESPEC,DATOS!$E17926,nASIG,DATOS!$I17926,nEVAL,"EX")=0),0))))</f>
      </c>
      <c r="H17926">
        <f>IF(DATOS!$G17926&lt;&gt;"EX",0,--(COUNTIFS(nNIA,DATOS!$A17926,nCURSO,DATOS!$D17926,nESPEC,DATOS!$E17926,nASIG,DATOS!$I17926,nEVAL,"OR")=0))</f>
      </c>
      <c r="I17926">
        <f>IF(DATOS!$I17926="","",IFERROR(VLOOKUP(DATOS!$I17926,CONFIG_ASIGNATURAS!$B$2:$J$91,9,FALSE()),""))</f>
      </c>
    </row>
    <row r="17927">
      <c r="F17927">
        <f>IF(DATOS!$A17927="","",DATOS!$A17927&amp;"|"&amp;DATOS!$D17927&amp;"|"&amp;DATOS!$E17927&amp;"|"&amp;DATOS!$I17927)</f>
      </c>
      <c r="G17927">
        <f>IF(DATOS!$A17927="",0,IF(CONFIG_METADATA!$B$4&lt;&gt;"OR+EX",--(DATOS!$G17927=CONFIG_METADATA!$B$4),IF(DATOS!$G17927="EX",1,IF(DATOS!$G17927="OR",--(COUNTIFS(nNIA,DATOS!$A17927,nCURSO,DATOS!$D17927,nESPEC,DATOS!$E17927,nASIG,DATOS!$I17927,nEVAL,"EX")=0),0))))</f>
      </c>
      <c r="H17927">
        <f>IF(DATOS!$G17927&lt;&gt;"EX",0,--(COUNTIFS(nNIA,DATOS!$A17927,nCURSO,DATOS!$D17927,nESPEC,DATOS!$E17927,nASIG,DATOS!$I17927,nEVAL,"OR")=0))</f>
      </c>
      <c r="I17927">
        <f>IF(DATOS!$I17927="","",IFERROR(VLOOKUP(DATOS!$I17927,CONFIG_ASIGNATURAS!$B$2:$J$91,9,FALSE()),""))</f>
      </c>
    </row>
    <row r="17928">
      <c r="F17928">
        <f>IF(DATOS!$A17928="","",DATOS!$A17928&amp;"|"&amp;DATOS!$D17928&amp;"|"&amp;DATOS!$E17928&amp;"|"&amp;DATOS!$I17928)</f>
      </c>
      <c r="G17928">
        <f>IF(DATOS!$A17928="",0,IF(CONFIG_METADATA!$B$4&lt;&gt;"OR+EX",--(DATOS!$G17928=CONFIG_METADATA!$B$4),IF(DATOS!$G17928="EX",1,IF(DATOS!$G17928="OR",--(COUNTIFS(nNIA,DATOS!$A17928,nCURSO,DATOS!$D17928,nESPEC,DATOS!$E17928,nASIG,DATOS!$I17928,nEVAL,"EX")=0),0))))</f>
      </c>
      <c r="H17928">
        <f>IF(DATOS!$G17928&lt;&gt;"EX",0,--(COUNTIFS(nNIA,DATOS!$A17928,nCURSO,DATOS!$D17928,nESPEC,DATOS!$E17928,nASIG,DATOS!$I17928,nEVAL,"OR")=0))</f>
      </c>
      <c r="I17928">
        <f>IF(DATOS!$I17928="","",IFERROR(VLOOKUP(DATOS!$I17928,CONFIG_ASIGNATURAS!$B$2:$J$91,9,FALSE()),""))</f>
      </c>
    </row>
    <row r="17929">
      <c r="F17929">
        <f>IF(DATOS!$A17929="","",DATOS!$A17929&amp;"|"&amp;DATOS!$D17929&amp;"|"&amp;DATOS!$E17929&amp;"|"&amp;DATOS!$I17929)</f>
      </c>
      <c r="G17929">
        <f>IF(DATOS!$A17929="",0,IF(CONFIG_METADATA!$B$4&lt;&gt;"OR+EX",--(DATOS!$G17929=CONFIG_METADATA!$B$4),IF(DATOS!$G17929="EX",1,IF(DATOS!$G17929="OR",--(COUNTIFS(nNIA,DATOS!$A17929,nCURSO,DATOS!$D17929,nESPEC,DATOS!$E17929,nASIG,DATOS!$I17929,nEVAL,"EX")=0),0))))</f>
      </c>
      <c r="H17929">
        <f>IF(DATOS!$G17929&lt;&gt;"EX",0,--(COUNTIFS(nNIA,DATOS!$A17929,nCURSO,DATOS!$D17929,nESPEC,DATOS!$E17929,nASIG,DATOS!$I17929,nEVAL,"OR")=0))</f>
      </c>
      <c r="I17929">
        <f>IF(DATOS!$I17929="","",IFERROR(VLOOKUP(DATOS!$I17929,CONFIG_ASIGNATURAS!$B$2:$J$91,9,FALSE()),""))</f>
      </c>
    </row>
    <row r="17930">
      <c r="F17930">
        <f>IF(DATOS!$A17930="","",DATOS!$A17930&amp;"|"&amp;DATOS!$D17930&amp;"|"&amp;DATOS!$E17930&amp;"|"&amp;DATOS!$I17930)</f>
      </c>
      <c r="G17930">
        <f>IF(DATOS!$A17930="",0,IF(CONFIG_METADATA!$B$4&lt;&gt;"OR+EX",--(DATOS!$G17930=CONFIG_METADATA!$B$4),IF(DATOS!$G17930="EX",1,IF(DATOS!$G17930="OR",--(COUNTIFS(nNIA,DATOS!$A17930,nCURSO,DATOS!$D17930,nESPEC,DATOS!$E17930,nASIG,DATOS!$I17930,nEVAL,"EX")=0),0))))</f>
      </c>
      <c r="H17930">
        <f>IF(DATOS!$G17930&lt;&gt;"EX",0,--(COUNTIFS(nNIA,DATOS!$A17930,nCURSO,DATOS!$D17930,nESPEC,DATOS!$E17930,nASIG,DATOS!$I17930,nEVAL,"OR")=0))</f>
      </c>
      <c r="I17930">
        <f>IF(DATOS!$I17930="","",IFERROR(VLOOKUP(DATOS!$I17930,CONFIG_ASIGNATURAS!$B$2:$J$91,9,FALSE()),""))</f>
      </c>
    </row>
    <row r="17931">
      <c r="F17931">
        <f>IF(DATOS!$A17931="","",DATOS!$A17931&amp;"|"&amp;DATOS!$D17931&amp;"|"&amp;DATOS!$E17931&amp;"|"&amp;DATOS!$I17931)</f>
      </c>
      <c r="G17931">
        <f>IF(DATOS!$A17931="",0,IF(CONFIG_METADATA!$B$4&lt;&gt;"OR+EX",--(DATOS!$G17931=CONFIG_METADATA!$B$4),IF(DATOS!$G17931="EX",1,IF(DATOS!$G17931="OR",--(COUNTIFS(nNIA,DATOS!$A17931,nCURSO,DATOS!$D17931,nESPEC,DATOS!$E17931,nASIG,DATOS!$I17931,nEVAL,"EX")=0),0))))</f>
      </c>
      <c r="H17931">
        <f>IF(DATOS!$G17931&lt;&gt;"EX",0,--(COUNTIFS(nNIA,DATOS!$A17931,nCURSO,DATOS!$D17931,nESPEC,DATOS!$E17931,nASIG,DATOS!$I17931,nEVAL,"OR")=0))</f>
      </c>
      <c r="I17931">
        <f>IF(DATOS!$I17931="","",IFERROR(VLOOKUP(DATOS!$I17931,CONFIG_ASIGNATURAS!$B$2:$J$91,9,FALSE()),""))</f>
      </c>
    </row>
    <row r="17932">
      <c r="F17932">
        <f>IF(DATOS!$A17932="","",DATOS!$A17932&amp;"|"&amp;DATOS!$D17932&amp;"|"&amp;DATOS!$E17932&amp;"|"&amp;DATOS!$I17932)</f>
      </c>
      <c r="G17932">
        <f>IF(DATOS!$A17932="",0,IF(CONFIG_METADATA!$B$4&lt;&gt;"OR+EX",--(DATOS!$G17932=CONFIG_METADATA!$B$4),IF(DATOS!$G17932="EX",1,IF(DATOS!$G17932="OR",--(COUNTIFS(nNIA,DATOS!$A17932,nCURSO,DATOS!$D17932,nESPEC,DATOS!$E17932,nASIG,DATOS!$I17932,nEVAL,"EX")=0),0))))</f>
      </c>
      <c r="H17932">
        <f>IF(DATOS!$G17932&lt;&gt;"EX",0,--(COUNTIFS(nNIA,DATOS!$A17932,nCURSO,DATOS!$D17932,nESPEC,DATOS!$E17932,nASIG,DATOS!$I17932,nEVAL,"OR")=0))</f>
      </c>
      <c r="I17932">
        <f>IF(DATOS!$I17932="","",IFERROR(VLOOKUP(DATOS!$I17932,CONFIG_ASIGNATURAS!$B$2:$J$91,9,FALSE()),""))</f>
      </c>
    </row>
    <row r="17933">
      <c r="F17933">
        <f>IF(DATOS!$A17933="","",DATOS!$A17933&amp;"|"&amp;DATOS!$D17933&amp;"|"&amp;DATOS!$E17933&amp;"|"&amp;DATOS!$I17933)</f>
      </c>
      <c r="G17933">
        <f>IF(DATOS!$A17933="",0,IF(CONFIG_METADATA!$B$4&lt;&gt;"OR+EX",--(DATOS!$G17933=CONFIG_METADATA!$B$4),IF(DATOS!$G17933="EX",1,IF(DATOS!$G17933="OR",--(COUNTIFS(nNIA,DATOS!$A17933,nCURSO,DATOS!$D17933,nESPEC,DATOS!$E17933,nASIG,DATOS!$I17933,nEVAL,"EX")=0),0))))</f>
      </c>
      <c r="H17933">
        <f>IF(DATOS!$G17933&lt;&gt;"EX",0,--(COUNTIFS(nNIA,DATOS!$A17933,nCURSO,DATOS!$D17933,nESPEC,DATOS!$E17933,nASIG,DATOS!$I17933,nEVAL,"OR")=0))</f>
      </c>
      <c r="I17933">
        <f>IF(DATOS!$I17933="","",IFERROR(VLOOKUP(DATOS!$I17933,CONFIG_ASIGNATURAS!$B$2:$J$91,9,FALSE()),""))</f>
      </c>
    </row>
    <row r="17934">
      <c r="F17934">
        <f>IF(DATOS!$A17934="","",DATOS!$A17934&amp;"|"&amp;DATOS!$D17934&amp;"|"&amp;DATOS!$E17934&amp;"|"&amp;DATOS!$I17934)</f>
      </c>
      <c r="G17934">
        <f>IF(DATOS!$A17934="",0,IF(CONFIG_METADATA!$B$4&lt;&gt;"OR+EX",--(DATOS!$G17934=CONFIG_METADATA!$B$4),IF(DATOS!$G17934="EX",1,IF(DATOS!$G17934="OR",--(COUNTIFS(nNIA,DATOS!$A17934,nCURSO,DATOS!$D17934,nESPEC,DATOS!$E17934,nASIG,DATOS!$I17934,nEVAL,"EX")=0),0))))</f>
      </c>
      <c r="H17934">
        <f>IF(DATOS!$G17934&lt;&gt;"EX",0,--(COUNTIFS(nNIA,DATOS!$A17934,nCURSO,DATOS!$D17934,nESPEC,DATOS!$E17934,nASIG,DATOS!$I17934,nEVAL,"OR")=0))</f>
      </c>
      <c r="I17934">
        <f>IF(DATOS!$I17934="","",IFERROR(VLOOKUP(DATOS!$I17934,CONFIG_ASIGNATURAS!$B$2:$J$91,9,FALSE()),""))</f>
      </c>
    </row>
    <row r="17935">
      <c r="F17935">
        <f>IF(DATOS!$A17935="","",DATOS!$A17935&amp;"|"&amp;DATOS!$D17935&amp;"|"&amp;DATOS!$E17935&amp;"|"&amp;DATOS!$I17935)</f>
      </c>
      <c r="G17935">
        <f>IF(DATOS!$A17935="",0,IF(CONFIG_METADATA!$B$4&lt;&gt;"OR+EX",--(DATOS!$G17935=CONFIG_METADATA!$B$4),IF(DATOS!$G17935="EX",1,IF(DATOS!$G17935="OR",--(COUNTIFS(nNIA,DATOS!$A17935,nCURSO,DATOS!$D17935,nESPEC,DATOS!$E17935,nASIG,DATOS!$I17935,nEVAL,"EX")=0),0))))</f>
      </c>
      <c r="H17935">
        <f>IF(DATOS!$G17935&lt;&gt;"EX",0,--(COUNTIFS(nNIA,DATOS!$A17935,nCURSO,DATOS!$D17935,nESPEC,DATOS!$E17935,nASIG,DATOS!$I17935,nEVAL,"OR")=0))</f>
      </c>
      <c r="I17935">
        <f>IF(DATOS!$I17935="","",IFERROR(VLOOKUP(DATOS!$I17935,CONFIG_ASIGNATURAS!$B$2:$J$91,9,FALSE()),""))</f>
      </c>
    </row>
    <row r="17936">
      <c r="F17936">
        <f>IF(DATOS!$A17936="","",DATOS!$A17936&amp;"|"&amp;DATOS!$D17936&amp;"|"&amp;DATOS!$E17936&amp;"|"&amp;DATOS!$I17936)</f>
      </c>
      <c r="G17936">
        <f>IF(DATOS!$A17936="",0,IF(CONFIG_METADATA!$B$4&lt;&gt;"OR+EX",--(DATOS!$G17936=CONFIG_METADATA!$B$4),IF(DATOS!$G17936="EX",1,IF(DATOS!$G17936="OR",--(COUNTIFS(nNIA,DATOS!$A17936,nCURSO,DATOS!$D17936,nESPEC,DATOS!$E17936,nASIG,DATOS!$I17936,nEVAL,"EX")=0),0))))</f>
      </c>
      <c r="H17936">
        <f>IF(DATOS!$G17936&lt;&gt;"EX",0,--(COUNTIFS(nNIA,DATOS!$A17936,nCURSO,DATOS!$D17936,nESPEC,DATOS!$E17936,nASIG,DATOS!$I17936,nEVAL,"OR")=0))</f>
      </c>
      <c r="I17936">
        <f>IF(DATOS!$I17936="","",IFERROR(VLOOKUP(DATOS!$I17936,CONFIG_ASIGNATURAS!$B$2:$J$91,9,FALSE()),""))</f>
      </c>
    </row>
    <row r="17937">
      <c r="F17937">
        <f>IF(DATOS!$A17937="","",DATOS!$A17937&amp;"|"&amp;DATOS!$D17937&amp;"|"&amp;DATOS!$E17937&amp;"|"&amp;DATOS!$I17937)</f>
      </c>
      <c r="G17937">
        <f>IF(DATOS!$A17937="",0,IF(CONFIG_METADATA!$B$4&lt;&gt;"OR+EX",--(DATOS!$G17937=CONFIG_METADATA!$B$4),IF(DATOS!$G17937="EX",1,IF(DATOS!$G17937="OR",--(COUNTIFS(nNIA,DATOS!$A17937,nCURSO,DATOS!$D17937,nESPEC,DATOS!$E17937,nASIG,DATOS!$I17937,nEVAL,"EX")=0),0))))</f>
      </c>
      <c r="H17937">
        <f>IF(DATOS!$G17937&lt;&gt;"EX",0,--(COUNTIFS(nNIA,DATOS!$A17937,nCURSO,DATOS!$D17937,nESPEC,DATOS!$E17937,nASIG,DATOS!$I17937,nEVAL,"OR")=0))</f>
      </c>
      <c r="I17937">
        <f>IF(DATOS!$I17937="","",IFERROR(VLOOKUP(DATOS!$I17937,CONFIG_ASIGNATURAS!$B$2:$J$91,9,FALSE()),""))</f>
      </c>
    </row>
    <row r="17938">
      <c r="F17938">
        <f>IF(DATOS!$A17938="","",DATOS!$A17938&amp;"|"&amp;DATOS!$D17938&amp;"|"&amp;DATOS!$E17938&amp;"|"&amp;DATOS!$I17938)</f>
      </c>
      <c r="G17938">
        <f>IF(DATOS!$A17938="",0,IF(CONFIG_METADATA!$B$4&lt;&gt;"OR+EX",--(DATOS!$G17938=CONFIG_METADATA!$B$4),IF(DATOS!$G17938="EX",1,IF(DATOS!$G17938="OR",--(COUNTIFS(nNIA,DATOS!$A17938,nCURSO,DATOS!$D17938,nESPEC,DATOS!$E17938,nASIG,DATOS!$I17938,nEVAL,"EX")=0),0))))</f>
      </c>
      <c r="H17938">
        <f>IF(DATOS!$G17938&lt;&gt;"EX",0,--(COUNTIFS(nNIA,DATOS!$A17938,nCURSO,DATOS!$D17938,nESPEC,DATOS!$E17938,nASIG,DATOS!$I17938,nEVAL,"OR")=0))</f>
      </c>
      <c r="I17938">
        <f>IF(DATOS!$I17938="","",IFERROR(VLOOKUP(DATOS!$I17938,CONFIG_ASIGNATURAS!$B$2:$J$91,9,FALSE()),""))</f>
      </c>
    </row>
    <row r="17939">
      <c r="F17939">
        <f>IF(DATOS!$A17939="","",DATOS!$A17939&amp;"|"&amp;DATOS!$D17939&amp;"|"&amp;DATOS!$E17939&amp;"|"&amp;DATOS!$I17939)</f>
      </c>
      <c r="G17939">
        <f>IF(DATOS!$A17939="",0,IF(CONFIG_METADATA!$B$4&lt;&gt;"OR+EX",--(DATOS!$G17939=CONFIG_METADATA!$B$4),IF(DATOS!$G17939="EX",1,IF(DATOS!$G17939="OR",--(COUNTIFS(nNIA,DATOS!$A17939,nCURSO,DATOS!$D17939,nESPEC,DATOS!$E17939,nASIG,DATOS!$I17939,nEVAL,"EX")=0),0))))</f>
      </c>
      <c r="H17939">
        <f>IF(DATOS!$G17939&lt;&gt;"EX",0,--(COUNTIFS(nNIA,DATOS!$A17939,nCURSO,DATOS!$D17939,nESPEC,DATOS!$E17939,nASIG,DATOS!$I17939,nEVAL,"OR")=0))</f>
      </c>
      <c r="I17939">
        <f>IF(DATOS!$I17939="","",IFERROR(VLOOKUP(DATOS!$I17939,CONFIG_ASIGNATURAS!$B$2:$J$91,9,FALSE()),""))</f>
      </c>
    </row>
    <row r="17940">
      <c r="F17940">
        <f>IF(DATOS!$A17940="","",DATOS!$A17940&amp;"|"&amp;DATOS!$D17940&amp;"|"&amp;DATOS!$E17940&amp;"|"&amp;DATOS!$I17940)</f>
      </c>
      <c r="G17940">
        <f>IF(DATOS!$A17940="",0,IF(CONFIG_METADATA!$B$4&lt;&gt;"OR+EX",--(DATOS!$G17940=CONFIG_METADATA!$B$4),IF(DATOS!$G17940="EX",1,IF(DATOS!$G17940="OR",--(COUNTIFS(nNIA,DATOS!$A17940,nCURSO,DATOS!$D17940,nESPEC,DATOS!$E17940,nASIG,DATOS!$I17940,nEVAL,"EX")=0),0))))</f>
      </c>
      <c r="H17940">
        <f>IF(DATOS!$G17940&lt;&gt;"EX",0,--(COUNTIFS(nNIA,DATOS!$A17940,nCURSO,DATOS!$D17940,nESPEC,DATOS!$E17940,nASIG,DATOS!$I17940,nEVAL,"OR")=0))</f>
      </c>
      <c r="I17940">
        <f>IF(DATOS!$I17940="","",IFERROR(VLOOKUP(DATOS!$I17940,CONFIG_ASIGNATURAS!$B$2:$J$91,9,FALSE()),""))</f>
      </c>
    </row>
    <row r="17941">
      <c r="F17941">
        <f>IF(DATOS!$A17941="","",DATOS!$A17941&amp;"|"&amp;DATOS!$D17941&amp;"|"&amp;DATOS!$E17941&amp;"|"&amp;DATOS!$I17941)</f>
      </c>
      <c r="G17941">
        <f>IF(DATOS!$A17941="",0,IF(CONFIG_METADATA!$B$4&lt;&gt;"OR+EX",--(DATOS!$G17941=CONFIG_METADATA!$B$4),IF(DATOS!$G17941="EX",1,IF(DATOS!$G17941="OR",--(COUNTIFS(nNIA,DATOS!$A17941,nCURSO,DATOS!$D17941,nESPEC,DATOS!$E17941,nASIG,DATOS!$I17941,nEVAL,"EX")=0),0))))</f>
      </c>
      <c r="H17941">
        <f>IF(DATOS!$G17941&lt;&gt;"EX",0,--(COUNTIFS(nNIA,DATOS!$A17941,nCURSO,DATOS!$D17941,nESPEC,DATOS!$E17941,nASIG,DATOS!$I17941,nEVAL,"OR")=0))</f>
      </c>
      <c r="I17941">
        <f>IF(DATOS!$I17941="","",IFERROR(VLOOKUP(DATOS!$I17941,CONFIG_ASIGNATURAS!$B$2:$J$91,9,FALSE()),""))</f>
      </c>
    </row>
    <row r="17942">
      <c r="F17942">
        <f>IF(DATOS!$A17942="","",DATOS!$A17942&amp;"|"&amp;DATOS!$D17942&amp;"|"&amp;DATOS!$E17942&amp;"|"&amp;DATOS!$I17942)</f>
      </c>
      <c r="G17942">
        <f>IF(DATOS!$A17942="",0,IF(CONFIG_METADATA!$B$4&lt;&gt;"OR+EX",--(DATOS!$G17942=CONFIG_METADATA!$B$4),IF(DATOS!$G17942="EX",1,IF(DATOS!$G17942="OR",--(COUNTIFS(nNIA,DATOS!$A17942,nCURSO,DATOS!$D17942,nESPEC,DATOS!$E17942,nASIG,DATOS!$I17942,nEVAL,"EX")=0),0))))</f>
      </c>
      <c r="H17942">
        <f>IF(DATOS!$G17942&lt;&gt;"EX",0,--(COUNTIFS(nNIA,DATOS!$A17942,nCURSO,DATOS!$D17942,nESPEC,DATOS!$E17942,nASIG,DATOS!$I17942,nEVAL,"OR")=0))</f>
      </c>
      <c r="I17942">
        <f>IF(DATOS!$I17942="","",IFERROR(VLOOKUP(DATOS!$I17942,CONFIG_ASIGNATURAS!$B$2:$J$91,9,FALSE()),""))</f>
      </c>
    </row>
    <row r="17943">
      <c r="F17943">
        <f>IF(DATOS!$A17943="","",DATOS!$A17943&amp;"|"&amp;DATOS!$D17943&amp;"|"&amp;DATOS!$E17943&amp;"|"&amp;DATOS!$I17943)</f>
      </c>
      <c r="G17943">
        <f>IF(DATOS!$A17943="",0,IF(CONFIG_METADATA!$B$4&lt;&gt;"OR+EX",--(DATOS!$G17943=CONFIG_METADATA!$B$4),IF(DATOS!$G17943="EX",1,IF(DATOS!$G17943="OR",--(COUNTIFS(nNIA,DATOS!$A17943,nCURSO,DATOS!$D17943,nESPEC,DATOS!$E17943,nASIG,DATOS!$I17943,nEVAL,"EX")=0),0))))</f>
      </c>
      <c r="H17943">
        <f>IF(DATOS!$G17943&lt;&gt;"EX",0,--(COUNTIFS(nNIA,DATOS!$A17943,nCURSO,DATOS!$D17943,nESPEC,DATOS!$E17943,nASIG,DATOS!$I17943,nEVAL,"OR")=0))</f>
      </c>
      <c r="I17943">
        <f>IF(DATOS!$I17943="","",IFERROR(VLOOKUP(DATOS!$I17943,CONFIG_ASIGNATURAS!$B$2:$J$91,9,FALSE()),""))</f>
      </c>
    </row>
    <row r="17944">
      <c r="F17944">
        <f>IF(DATOS!$A17944="","",DATOS!$A17944&amp;"|"&amp;DATOS!$D17944&amp;"|"&amp;DATOS!$E17944&amp;"|"&amp;DATOS!$I17944)</f>
      </c>
      <c r="G17944">
        <f>IF(DATOS!$A17944="",0,IF(CONFIG_METADATA!$B$4&lt;&gt;"OR+EX",--(DATOS!$G17944=CONFIG_METADATA!$B$4),IF(DATOS!$G17944="EX",1,IF(DATOS!$G17944="OR",--(COUNTIFS(nNIA,DATOS!$A17944,nCURSO,DATOS!$D17944,nESPEC,DATOS!$E17944,nASIG,DATOS!$I17944,nEVAL,"EX")=0),0))))</f>
      </c>
      <c r="H17944">
        <f>IF(DATOS!$G17944&lt;&gt;"EX",0,--(COUNTIFS(nNIA,DATOS!$A17944,nCURSO,DATOS!$D17944,nESPEC,DATOS!$E17944,nASIG,DATOS!$I17944,nEVAL,"OR")=0))</f>
      </c>
      <c r="I17944">
        <f>IF(DATOS!$I17944="","",IFERROR(VLOOKUP(DATOS!$I17944,CONFIG_ASIGNATURAS!$B$2:$J$91,9,FALSE()),""))</f>
      </c>
    </row>
    <row r="17945">
      <c r="F17945">
        <f>IF(DATOS!$A17945="","",DATOS!$A17945&amp;"|"&amp;DATOS!$D17945&amp;"|"&amp;DATOS!$E17945&amp;"|"&amp;DATOS!$I17945)</f>
      </c>
      <c r="G17945">
        <f>IF(DATOS!$A17945="",0,IF(CONFIG_METADATA!$B$4&lt;&gt;"OR+EX",--(DATOS!$G17945=CONFIG_METADATA!$B$4),IF(DATOS!$G17945="EX",1,IF(DATOS!$G17945="OR",--(COUNTIFS(nNIA,DATOS!$A17945,nCURSO,DATOS!$D17945,nESPEC,DATOS!$E17945,nASIG,DATOS!$I17945,nEVAL,"EX")=0),0))))</f>
      </c>
      <c r="H17945">
        <f>IF(DATOS!$G17945&lt;&gt;"EX",0,--(COUNTIFS(nNIA,DATOS!$A17945,nCURSO,DATOS!$D17945,nESPEC,DATOS!$E17945,nASIG,DATOS!$I17945,nEVAL,"OR")=0))</f>
      </c>
      <c r="I17945">
        <f>IF(DATOS!$I17945="","",IFERROR(VLOOKUP(DATOS!$I17945,CONFIG_ASIGNATURAS!$B$2:$J$91,9,FALSE()),""))</f>
      </c>
    </row>
    <row r="17946">
      <c r="F17946">
        <f>IF(DATOS!$A17946="","",DATOS!$A17946&amp;"|"&amp;DATOS!$D17946&amp;"|"&amp;DATOS!$E17946&amp;"|"&amp;DATOS!$I17946)</f>
      </c>
      <c r="G17946">
        <f>IF(DATOS!$A17946="",0,IF(CONFIG_METADATA!$B$4&lt;&gt;"OR+EX",--(DATOS!$G17946=CONFIG_METADATA!$B$4),IF(DATOS!$G17946="EX",1,IF(DATOS!$G17946="OR",--(COUNTIFS(nNIA,DATOS!$A17946,nCURSO,DATOS!$D17946,nESPEC,DATOS!$E17946,nASIG,DATOS!$I17946,nEVAL,"EX")=0),0))))</f>
      </c>
      <c r="H17946">
        <f>IF(DATOS!$G17946&lt;&gt;"EX",0,--(COUNTIFS(nNIA,DATOS!$A17946,nCURSO,DATOS!$D17946,nESPEC,DATOS!$E17946,nASIG,DATOS!$I17946,nEVAL,"OR")=0))</f>
      </c>
      <c r="I17946">
        <f>IF(DATOS!$I17946="","",IFERROR(VLOOKUP(DATOS!$I17946,CONFIG_ASIGNATURAS!$B$2:$J$91,9,FALSE()),""))</f>
      </c>
    </row>
    <row r="17947">
      <c r="F17947">
        <f>IF(DATOS!$A17947="","",DATOS!$A17947&amp;"|"&amp;DATOS!$D17947&amp;"|"&amp;DATOS!$E17947&amp;"|"&amp;DATOS!$I17947)</f>
      </c>
      <c r="G17947">
        <f>IF(DATOS!$A17947="",0,IF(CONFIG_METADATA!$B$4&lt;&gt;"OR+EX",--(DATOS!$G17947=CONFIG_METADATA!$B$4),IF(DATOS!$G17947="EX",1,IF(DATOS!$G17947="OR",--(COUNTIFS(nNIA,DATOS!$A17947,nCURSO,DATOS!$D17947,nESPEC,DATOS!$E17947,nASIG,DATOS!$I17947,nEVAL,"EX")=0),0))))</f>
      </c>
      <c r="H17947">
        <f>IF(DATOS!$G17947&lt;&gt;"EX",0,--(COUNTIFS(nNIA,DATOS!$A17947,nCURSO,DATOS!$D17947,nESPEC,DATOS!$E17947,nASIG,DATOS!$I17947,nEVAL,"OR")=0))</f>
      </c>
      <c r="I17947">
        <f>IF(DATOS!$I17947="","",IFERROR(VLOOKUP(DATOS!$I17947,CONFIG_ASIGNATURAS!$B$2:$J$91,9,FALSE()),""))</f>
      </c>
    </row>
    <row r="17948">
      <c r="F17948">
        <f>IF(DATOS!$A17948="","",DATOS!$A17948&amp;"|"&amp;DATOS!$D17948&amp;"|"&amp;DATOS!$E17948&amp;"|"&amp;DATOS!$I17948)</f>
      </c>
      <c r="G17948">
        <f>IF(DATOS!$A17948="",0,IF(CONFIG_METADATA!$B$4&lt;&gt;"OR+EX",--(DATOS!$G17948=CONFIG_METADATA!$B$4),IF(DATOS!$G17948="EX",1,IF(DATOS!$G17948="OR",--(COUNTIFS(nNIA,DATOS!$A17948,nCURSO,DATOS!$D17948,nESPEC,DATOS!$E17948,nASIG,DATOS!$I17948,nEVAL,"EX")=0),0))))</f>
      </c>
      <c r="H17948">
        <f>IF(DATOS!$G17948&lt;&gt;"EX",0,--(COUNTIFS(nNIA,DATOS!$A17948,nCURSO,DATOS!$D17948,nESPEC,DATOS!$E17948,nASIG,DATOS!$I17948,nEVAL,"OR")=0))</f>
      </c>
      <c r="I17948">
        <f>IF(DATOS!$I17948="","",IFERROR(VLOOKUP(DATOS!$I17948,CONFIG_ASIGNATURAS!$B$2:$J$91,9,FALSE()),""))</f>
      </c>
    </row>
    <row r="17949">
      <c r="F17949">
        <f>IF(DATOS!$A17949="","",DATOS!$A17949&amp;"|"&amp;DATOS!$D17949&amp;"|"&amp;DATOS!$E17949&amp;"|"&amp;DATOS!$I17949)</f>
      </c>
      <c r="G17949">
        <f>IF(DATOS!$A17949="",0,IF(CONFIG_METADATA!$B$4&lt;&gt;"OR+EX",--(DATOS!$G17949=CONFIG_METADATA!$B$4),IF(DATOS!$G17949="EX",1,IF(DATOS!$G17949="OR",--(COUNTIFS(nNIA,DATOS!$A17949,nCURSO,DATOS!$D17949,nESPEC,DATOS!$E17949,nASIG,DATOS!$I17949,nEVAL,"EX")=0),0))))</f>
      </c>
      <c r="H17949">
        <f>IF(DATOS!$G17949&lt;&gt;"EX",0,--(COUNTIFS(nNIA,DATOS!$A17949,nCURSO,DATOS!$D17949,nESPEC,DATOS!$E17949,nASIG,DATOS!$I17949,nEVAL,"OR")=0))</f>
      </c>
      <c r="I17949">
        <f>IF(DATOS!$I17949="","",IFERROR(VLOOKUP(DATOS!$I17949,CONFIG_ASIGNATURAS!$B$2:$J$91,9,FALSE()),""))</f>
      </c>
    </row>
    <row r="17950">
      <c r="F17950">
        <f>IF(DATOS!$A17950="","",DATOS!$A17950&amp;"|"&amp;DATOS!$D17950&amp;"|"&amp;DATOS!$E17950&amp;"|"&amp;DATOS!$I17950)</f>
      </c>
      <c r="G17950">
        <f>IF(DATOS!$A17950="",0,IF(CONFIG_METADATA!$B$4&lt;&gt;"OR+EX",--(DATOS!$G17950=CONFIG_METADATA!$B$4),IF(DATOS!$G17950="EX",1,IF(DATOS!$G17950="OR",--(COUNTIFS(nNIA,DATOS!$A17950,nCURSO,DATOS!$D17950,nESPEC,DATOS!$E17950,nASIG,DATOS!$I17950,nEVAL,"EX")=0),0))))</f>
      </c>
      <c r="H17950">
        <f>IF(DATOS!$G17950&lt;&gt;"EX",0,--(COUNTIFS(nNIA,DATOS!$A17950,nCURSO,DATOS!$D17950,nESPEC,DATOS!$E17950,nASIG,DATOS!$I17950,nEVAL,"OR")=0))</f>
      </c>
      <c r="I17950">
        <f>IF(DATOS!$I17950="","",IFERROR(VLOOKUP(DATOS!$I17950,CONFIG_ASIGNATURAS!$B$2:$J$91,9,FALSE()),""))</f>
      </c>
    </row>
    <row r="17951">
      <c r="F17951">
        <f>IF(DATOS!$A17951="","",DATOS!$A17951&amp;"|"&amp;DATOS!$D17951&amp;"|"&amp;DATOS!$E17951&amp;"|"&amp;DATOS!$I17951)</f>
      </c>
      <c r="G17951">
        <f>IF(DATOS!$A17951="",0,IF(CONFIG_METADATA!$B$4&lt;&gt;"OR+EX",--(DATOS!$G17951=CONFIG_METADATA!$B$4),IF(DATOS!$G17951="EX",1,IF(DATOS!$G17951="OR",--(COUNTIFS(nNIA,DATOS!$A17951,nCURSO,DATOS!$D17951,nESPEC,DATOS!$E17951,nASIG,DATOS!$I17951,nEVAL,"EX")=0),0))))</f>
      </c>
      <c r="H17951">
        <f>IF(DATOS!$G17951&lt;&gt;"EX",0,--(COUNTIFS(nNIA,DATOS!$A17951,nCURSO,DATOS!$D17951,nESPEC,DATOS!$E17951,nASIG,DATOS!$I17951,nEVAL,"OR")=0))</f>
      </c>
      <c r="I17951">
        <f>IF(DATOS!$I17951="","",IFERROR(VLOOKUP(DATOS!$I17951,CONFIG_ASIGNATURAS!$B$2:$J$91,9,FALSE()),""))</f>
      </c>
    </row>
    <row r="17952">
      <c r="F17952">
        <f>IF(DATOS!$A17952="","",DATOS!$A17952&amp;"|"&amp;DATOS!$D17952&amp;"|"&amp;DATOS!$E17952&amp;"|"&amp;DATOS!$I17952)</f>
      </c>
      <c r="G17952">
        <f>IF(DATOS!$A17952="",0,IF(CONFIG_METADATA!$B$4&lt;&gt;"OR+EX",--(DATOS!$G17952=CONFIG_METADATA!$B$4),IF(DATOS!$G17952="EX",1,IF(DATOS!$G17952="OR",--(COUNTIFS(nNIA,DATOS!$A17952,nCURSO,DATOS!$D17952,nESPEC,DATOS!$E17952,nASIG,DATOS!$I17952,nEVAL,"EX")=0),0))))</f>
      </c>
      <c r="H17952">
        <f>IF(DATOS!$G17952&lt;&gt;"EX",0,--(COUNTIFS(nNIA,DATOS!$A17952,nCURSO,DATOS!$D17952,nESPEC,DATOS!$E17952,nASIG,DATOS!$I17952,nEVAL,"OR")=0))</f>
      </c>
      <c r="I17952">
        <f>IF(DATOS!$I17952="","",IFERROR(VLOOKUP(DATOS!$I17952,CONFIG_ASIGNATURAS!$B$2:$J$91,9,FALSE()),""))</f>
      </c>
    </row>
    <row r="17953">
      <c r="F17953">
        <f>IF(DATOS!$A17953="","",DATOS!$A17953&amp;"|"&amp;DATOS!$D17953&amp;"|"&amp;DATOS!$E17953&amp;"|"&amp;DATOS!$I17953)</f>
      </c>
      <c r="G17953">
        <f>IF(DATOS!$A17953="",0,IF(CONFIG_METADATA!$B$4&lt;&gt;"OR+EX",--(DATOS!$G17953=CONFIG_METADATA!$B$4),IF(DATOS!$G17953="EX",1,IF(DATOS!$G17953="OR",--(COUNTIFS(nNIA,DATOS!$A17953,nCURSO,DATOS!$D17953,nESPEC,DATOS!$E17953,nASIG,DATOS!$I17953,nEVAL,"EX")=0),0))))</f>
      </c>
      <c r="H17953">
        <f>IF(DATOS!$G17953&lt;&gt;"EX",0,--(COUNTIFS(nNIA,DATOS!$A17953,nCURSO,DATOS!$D17953,nESPEC,DATOS!$E17953,nASIG,DATOS!$I17953,nEVAL,"OR")=0))</f>
      </c>
      <c r="I17953">
        <f>IF(DATOS!$I17953="","",IFERROR(VLOOKUP(DATOS!$I17953,CONFIG_ASIGNATURAS!$B$2:$J$91,9,FALSE()),""))</f>
      </c>
    </row>
    <row r="17954">
      <c r="F17954">
        <f>IF(DATOS!$A17954="","",DATOS!$A17954&amp;"|"&amp;DATOS!$D17954&amp;"|"&amp;DATOS!$E17954&amp;"|"&amp;DATOS!$I17954)</f>
      </c>
      <c r="G17954">
        <f>IF(DATOS!$A17954="",0,IF(CONFIG_METADATA!$B$4&lt;&gt;"OR+EX",--(DATOS!$G17954=CONFIG_METADATA!$B$4),IF(DATOS!$G17954="EX",1,IF(DATOS!$G17954="OR",--(COUNTIFS(nNIA,DATOS!$A17954,nCURSO,DATOS!$D17954,nESPEC,DATOS!$E17954,nASIG,DATOS!$I17954,nEVAL,"EX")=0),0))))</f>
      </c>
      <c r="H17954">
        <f>IF(DATOS!$G17954&lt;&gt;"EX",0,--(COUNTIFS(nNIA,DATOS!$A17954,nCURSO,DATOS!$D17954,nESPEC,DATOS!$E17954,nASIG,DATOS!$I17954,nEVAL,"OR")=0))</f>
      </c>
      <c r="I17954">
        <f>IF(DATOS!$I17954="","",IFERROR(VLOOKUP(DATOS!$I17954,CONFIG_ASIGNATURAS!$B$2:$J$91,9,FALSE()),""))</f>
      </c>
    </row>
    <row r="17955">
      <c r="F17955">
        <f>IF(DATOS!$A17955="","",DATOS!$A17955&amp;"|"&amp;DATOS!$D17955&amp;"|"&amp;DATOS!$E17955&amp;"|"&amp;DATOS!$I17955)</f>
      </c>
      <c r="G17955">
        <f>IF(DATOS!$A17955="",0,IF(CONFIG_METADATA!$B$4&lt;&gt;"OR+EX",--(DATOS!$G17955=CONFIG_METADATA!$B$4),IF(DATOS!$G17955="EX",1,IF(DATOS!$G17955="OR",--(COUNTIFS(nNIA,DATOS!$A17955,nCURSO,DATOS!$D17955,nESPEC,DATOS!$E17955,nASIG,DATOS!$I17955,nEVAL,"EX")=0),0))))</f>
      </c>
      <c r="H17955">
        <f>IF(DATOS!$G17955&lt;&gt;"EX",0,--(COUNTIFS(nNIA,DATOS!$A17955,nCURSO,DATOS!$D17955,nESPEC,DATOS!$E17955,nASIG,DATOS!$I17955,nEVAL,"OR")=0))</f>
      </c>
      <c r="I17955">
        <f>IF(DATOS!$I17955="","",IFERROR(VLOOKUP(DATOS!$I17955,CONFIG_ASIGNATURAS!$B$2:$J$91,9,FALSE()),""))</f>
      </c>
    </row>
    <row r="17956">
      <c r="F17956">
        <f>IF(DATOS!$A17956="","",DATOS!$A17956&amp;"|"&amp;DATOS!$D17956&amp;"|"&amp;DATOS!$E17956&amp;"|"&amp;DATOS!$I17956)</f>
      </c>
      <c r="G17956">
        <f>IF(DATOS!$A17956="",0,IF(CONFIG_METADATA!$B$4&lt;&gt;"OR+EX",--(DATOS!$G17956=CONFIG_METADATA!$B$4),IF(DATOS!$G17956="EX",1,IF(DATOS!$G17956="OR",--(COUNTIFS(nNIA,DATOS!$A17956,nCURSO,DATOS!$D17956,nESPEC,DATOS!$E17956,nASIG,DATOS!$I17956,nEVAL,"EX")=0),0))))</f>
      </c>
      <c r="H17956">
        <f>IF(DATOS!$G17956&lt;&gt;"EX",0,--(COUNTIFS(nNIA,DATOS!$A17956,nCURSO,DATOS!$D17956,nESPEC,DATOS!$E17956,nASIG,DATOS!$I17956,nEVAL,"OR")=0))</f>
      </c>
      <c r="I17956">
        <f>IF(DATOS!$I17956="","",IFERROR(VLOOKUP(DATOS!$I17956,CONFIG_ASIGNATURAS!$B$2:$J$91,9,FALSE()),""))</f>
      </c>
    </row>
    <row r="17957">
      <c r="F17957">
        <f>IF(DATOS!$A17957="","",DATOS!$A17957&amp;"|"&amp;DATOS!$D17957&amp;"|"&amp;DATOS!$E17957&amp;"|"&amp;DATOS!$I17957)</f>
      </c>
      <c r="G17957">
        <f>IF(DATOS!$A17957="",0,IF(CONFIG_METADATA!$B$4&lt;&gt;"OR+EX",--(DATOS!$G17957=CONFIG_METADATA!$B$4),IF(DATOS!$G17957="EX",1,IF(DATOS!$G17957="OR",--(COUNTIFS(nNIA,DATOS!$A17957,nCURSO,DATOS!$D17957,nESPEC,DATOS!$E17957,nASIG,DATOS!$I17957,nEVAL,"EX")=0),0))))</f>
      </c>
      <c r="H17957">
        <f>IF(DATOS!$G17957&lt;&gt;"EX",0,--(COUNTIFS(nNIA,DATOS!$A17957,nCURSO,DATOS!$D17957,nESPEC,DATOS!$E17957,nASIG,DATOS!$I17957,nEVAL,"OR")=0))</f>
      </c>
      <c r="I17957">
        <f>IF(DATOS!$I17957="","",IFERROR(VLOOKUP(DATOS!$I17957,CONFIG_ASIGNATURAS!$B$2:$J$91,9,FALSE()),""))</f>
      </c>
    </row>
    <row r="17958">
      <c r="F17958">
        <f>IF(DATOS!$A17958="","",DATOS!$A17958&amp;"|"&amp;DATOS!$D17958&amp;"|"&amp;DATOS!$E17958&amp;"|"&amp;DATOS!$I17958)</f>
      </c>
      <c r="G17958">
        <f>IF(DATOS!$A17958="",0,IF(CONFIG_METADATA!$B$4&lt;&gt;"OR+EX",--(DATOS!$G17958=CONFIG_METADATA!$B$4),IF(DATOS!$G17958="EX",1,IF(DATOS!$G17958="OR",--(COUNTIFS(nNIA,DATOS!$A17958,nCURSO,DATOS!$D17958,nESPEC,DATOS!$E17958,nASIG,DATOS!$I17958,nEVAL,"EX")=0),0))))</f>
      </c>
      <c r="H17958">
        <f>IF(DATOS!$G17958&lt;&gt;"EX",0,--(COUNTIFS(nNIA,DATOS!$A17958,nCURSO,DATOS!$D17958,nESPEC,DATOS!$E17958,nASIG,DATOS!$I17958,nEVAL,"OR")=0))</f>
      </c>
      <c r="I17958">
        <f>IF(DATOS!$I17958="","",IFERROR(VLOOKUP(DATOS!$I17958,CONFIG_ASIGNATURAS!$B$2:$J$91,9,FALSE()),""))</f>
      </c>
    </row>
    <row r="17959">
      <c r="F17959">
        <f>IF(DATOS!$A17959="","",DATOS!$A17959&amp;"|"&amp;DATOS!$D17959&amp;"|"&amp;DATOS!$E17959&amp;"|"&amp;DATOS!$I17959)</f>
      </c>
      <c r="G17959">
        <f>IF(DATOS!$A17959="",0,IF(CONFIG_METADATA!$B$4&lt;&gt;"OR+EX",--(DATOS!$G17959=CONFIG_METADATA!$B$4),IF(DATOS!$G17959="EX",1,IF(DATOS!$G17959="OR",--(COUNTIFS(nNIA,DATOS!$A17959,nCURSO,DATOS!$D17959,nESPEC,DATOS!$E17959,nASIG,DATOS!$I17959,nEVAL,"EX")=0),0))))</f>
      </c>
      <c r="H17959">
        <f>IF(DATOS!$G17959&lt;&gt;"EX",0,--(COUNTIFS(nNIA,DATOS!$A17959,nCURSO,DATOS!$D17959,nESPEC,DATOS!$E17959,nASIG,DATOS!$I17959,nEVAL,"OR")=0))</f>
      </c>
      <c r="I17959">
        <f>IF(DATOS!$I17959="","",IFERROR(VLOOKUP(DATOS!$I17959,CONFIG_ASIGNATURAS!$B$2:$J$91,9,FALSE()),""))</f>
      </c>
    </row>
    <row r="17960">
      <c r="F17960">
        <f>IF(DATOS!$A17960="","",DATOS!$A17960&amp;"|"&amp;DATOS!$D17960&amp;"|"&amp;DATOS!$E17960&amp;"|"&amp;DATOS!$I17960)</f>
      </c>
      <c r="G17960">
        <f>IF(DATOS!$A17960="",0,IF(CONFIG_METADATA!$B$4&lt;&gt;"OR+EX",--(DATOS!$G17960=CONFIG_METADATA!$B$4),IF(DATOS!$G17960="EX",1,IF(DATOS!$G17960="OR",--(COUNTIFS(nNIA,DATOS!$A17960,nCURSO,DATOS!$D17960,nESPEC,DATOS!$E17960,nASIG,DATOS!$I17960,nEVAL,"EX")=0),0))))</f>
      </c>
      <c r="H17960">
        <f>IF(DATOS!$G17960&lt;&gt;"EX",0,--(COUNTIFS(nNIA,DATOS!$A17960,nCURSO,DATOS!$D17960,nESPEC,DATOS!$E17960,nASIG,DATOS!$I17960,nEVAL,"OR")=0))</f>
      </c>
      <c r="I17960">
        <f>IF(DATOS!$I17960="","",IFERROR(VLOOKUP(DATOS!$I17960,CONFIG_ASIGNATURAS!$B$2:$J$91,9,FALSE()),""))</f>
      </c>
    </row>
    <row r="17961">
      <c r="F17961">
        <f>IF(DATOS!$A17961="","",DATOS!$A17961&amp;"|"&amp;DATOS!$D17961&amp;"|"&amp;DATOS!$E17961&amp;"|"&amp;DATOS!$I17961)</f>
      </c>
      <c r="G17961">
        <f>IF(DATOS!$A17961="",0,IF(CONFIG_METADATA!$B$4&lt;&gt;"OR+EX",--(DATOS!$G17961=CONFIG_METADATA!$B$4),IF(DATOS!$G17961="EX",1,IF(DATOS!$G17961="OR",--(COUNTIFS(nNIA,DATOS!$A17961,nCURSO,DATOS!$D17961,nESPEC,DATOS!$E17961,nASIG,DATOS!$I17961,nEVAL,"EX")=0),0))))</f>
      </c>
      <c r="H17961">
        <f>IF(DATOS!$G17961&lt;&gt;"EX",0,--(COUNTIFS(nNIA,DATOS!$A17961,nCURSO,DATOS!$D17961,nESPEC,DATOS!$E17961,nASIG,DATOS!$I17961,nEVAL,"OR")=0))</f>
      </c>
      <c r="I17961">
        <f>IF(DATOS!$I17961="","",IFERROR(VLOOKUP(DATOS!$I17961,CONFIG_ASIGNATURAS!$B$2:$J$91,9,FALSE()),""))</f>
      </c>
    </row>
    <row r="17962">
      <c r="F17962">
        <f>IF(DATOS!$A17962="","",DATOS!$A17962&amp;"|"&amp;DATOS!$D17962&amp;"|"&amp;DATOS!$E17962&amp;"|"&amp;DATOS!$I17962)</f>
      </c>
      <c r="G17962">
        <f>IF(DATOS!$A17962="",0,IF(CONFIG_METADATA!$B$4&lt;&gt;"OR+EX",--(DATOS!$G17962=CONFIG_METADATA!$B$4),IF(DATOS!$G17962="EX",1,IF(DATOS!$G17962="OR",--(COUNTIFS(nNIA,DATOS!$A17962,nCURSO,DATOS!$D17962,nESPEC,DATOS!$E17962,nASIG,DATOS!$I17962,nEVAL,"EX")=0),0))))</f>
      </c>
      <c r="H17962">
        <f>IF(DATOS!$G17962&lt;&gt;"EX",0,--(COUNTIFS(nNIA,DATOS!$A17962,nCURSO,DATOS!$D17962,nESPEC,DATOS!$E17962,nASIG,DATOS!$I17962,nEVAL,"OR")=0))</f>
      </c>
      <c r="I17962">
        <f>IF(DATOS!$I17962="","",IFERROR(VLOOKUP(DATOS!$I17962,CONFIG_ASIGNATURAS!$B$2:$J$91,9,FALSE()),""))</f>
      </c>
    </row>
    <row r="17963">
      <c r="F17963">
        <f>IF(DATOS!$A17963="","",DATOS!$A17963&amp;"|"&amp;DATOS!$D17963&amp;"|"&amp;DATOS!$E17963&amp;"|"&amp;DATOS!$I17963)</f>
      </c>
      <c r="G17963">
        <f>IF(DATOS!$A17963="",0,IF(CONFIG_METADATA!$B$4&lt;&gt;"OR+EX",--(DATOS!$G17963=CONFIG_METADATA!$B$4),IF(DATOS!$G17963="EX",1,IF(DATOS!$G17963="OR",--(COUNTIFS(nNIA,DATOS!$A17963,nCURSO,DATOS!$D17963,nESPEC,DATOS!$E17963,nASIG,DATOS!$I17963,nEVAL,"EX")=0),0))))</f>
      </c>
      <c r="H17963">
        <f>IF(DATOS!$G17963&lt;&gt;"EX",0,--(COUNTIFS(nNIA,DATOS!$A17963,nCURSO,DATOS!$D17963,nESPEC,DATOS!$E17963,nASIG,DATOS!$I17963,nEVAL,"OR")=0))</f>
      </c>
      <c r="I17963">
        <f>IF(DATOS!$I17963="","",IFERROR(VLOOKUP(DATOS!$I17963,CONFIG_ASIGNATURAS!$B$2:$J$91,9,FALSE()),""))</f>
      </c>
    </row>
    <row r="17964">
      <c r="F17964">
        <f>IF(DATOS!$A17964="","",DATOS!$A17964&amp;"|"&amp;DATOS!$D17964&amp;"|"&amp;DATOS!$E17964&amp;"|"&amp;DATOS!$I17964)</f>
      </c>
      <c r="G17964">
        <f>IF(DATOS!$A17964="",0,IF(CONFIG_METADATA!$B$4&lt;&gt;"OR+EX",--(DATOS!$G17964=CONFIG_METADATA!$B$4),IF(DATOS!$G17964="EX",1,IF(DATOS!$G17964="OR",--(COUNTIFS(nNIA,DATOS!$A17964,nCURSO,DATOS!$D17964,nESPEC,DATOS!$E17964,nASIG,DATOS!$I17964,nEVAL,"EX")=0),0))))</f>
      </c>
      <c r="H17964">
        <f>IF(DATOS!$G17964&lt;&gt;"EX",0,--(COUNTIFS(nNIA,DATOS!$A17964,nCURSO,DATOS!$D17964,nESPEC,DATOS!$E17964,nASIG,DATOS!$I17964,nEVAL,"OR")=0))</f>
      </c>
      <c r="I17964">
        <f>IF(DATOS!$I17964="","",IFERROR(VLOOKUP(DATOS!$I17964,CONFIG_ASIGNATURAS!$B$2:$J$91,9,FALSE()),""))</f>
      </c>
    </row>
    <row r="17965">
      <c r="F17965">
        <f>IF(DATOS!$A17965="","",DATOS!$A17965&amp;"|"&amp;DATOS!$D17965&amp;"|"&amp;DATOS!$E17965&amp;"|"&amp;DATOS!$I17965)</f>
      </c>
      <c r="G17965">
        <f>IF(DATOS!$A17965="",0,IF(CONFIG_METADATA!$B$4&lt;&gt;"OR+EX",--(DATOS!$G17965=CONFIG_METADATA!$B$4),IF(DATOS!$G17965="EX",1,IF(DATOS!$G17965="OR",--(COUNTIFS(nNIA,DATOS!$A17965,nCURSO,DATOS!$D17965,nESPEC,DATOS!$E17965,nASIG,DATOS!$I17965,nEVAL,"EX")=0),0))))</f>
      </c>
      <c r="H17965">
        <f>IF(DATOS!$G17965&lt;&gt;"EX",0,--(COUNTIFS(nNIA,DATOS!$A17965,nCURSO,DATOS!$D17965,nESPEC,DATOS!$E17965,nASIG,DATOS!$I17965,nEVAL,"OR")=0))</f>
      </c>
      <c r="I17965">
        <f>IF(DATOS!$I17965="","",IFERROR(VLOOKUP(DATOS!$I17965,CONFIG_ASIGNATURAS!$B$2:$J$91,9,FALSE()),""))</f>
      </c>
    </row>
    <row r="17966">
      <c r="F17966">
        <f>IF(DATOS!$A17966="","",DATOS!$A17966&amp;"|"&amp;DATOS!$D17966&amp;"|"&amp;DATOS!$E17966&amp;"|"&amp;DATOS!$I17966)</f>
      </c>
      <c r="G17966">
        <f>IF(DATOS!$A17966="",0,IF(CONFIG_METADATA!$B$4&lt;&gt;"OR+EX",--(DATOS!$G17966=CONFIG_METADATA!$B$4),IF(DATOS!$G17966="EX",1,IF(DATOS!$G17966="OR",--(COUNTIFS(nNIA,DATOS!$A17966,nCURSO,DATOS!$D17966,nESPEC,DATOS!$E17966,nASIG,DATOS!$I17966,nEVAL,"EX")=0),0))))</f>
      </c>
      <c r="H17966">
        <f>IF(DATOS!$G17966&lt;&gt;"EX",0,--(COUNTIFS(nNIA,DATOS!$A17966,nCURSO,DATOS!$D17966,nESPEC,DATOS!$E17966,nASIG,DATOS!$I17966,nEVAL,"OR")=0))</f>
      </c>
      <c r="I17966">
        <f>IF(DATOS!$I17966="","",IFERROR(VLOOKUP(DATOS!$I17966,CONFIG_ASIGNATURAS!$B$2:$J$91,9,FALSE()),""))</f>
      </c>
    </row>
    <row r="17967">
      <c r="F17967">
        <f>IF(DATOS!$A17967="","",DATOS!$A17967&amp;"|"&amp;DATOS!$D17967&amp;"|"&amp;DATOS!$E17967&amp;"|"&amp;DATOS!$I17967)</f>
      </c>
      <c r="G17967">
        <f>IF(DATOS!$A17967="",0,IF(CONFIG_METADATA!$B$4&lt;&gt;"OR+EX",--(DATOS!$G17967=CONFIG_METADATA!$B$4),IF(DATOS!$G17967="EX",1,IF(DATOS!$G17967="OR",--(COUNTIFS(nNIA,DATOS!$A17967,nCURSO,DATOS!$D17967,nESPEC,DATOS!$E17967,nASIG,DATOS!$I17967,nEVAL,"EX")=0),0))))</f>
      </c>
      <c r="H17967">
        <f>IF(DATOS!$G17967&lt;&gt;"EX",0,--(COUNTIFS(nNIA,DATOS!$A17967,nCURSO,DATOS!$D17967,nESPEC,DATOS!$E17967,nASIG,DATOS!$I17967,nEVAL,"OR")=0))</f>
      </c>
      <c r="I17967">
        <f>IF(DATOS!$I17967="","",IFERROR(VLOOKUP(DATOS!$I17967,CONFIG_ASIGNATURAS!$B$2:$J$91,9,FALSE()),""))</f>
      </c>
    </row>
    <row r="17968">
      <c r="F17968">
        <f>IF(DATOS!$A17968="","",DATOS!$A17968&amp;"|"&amp;DATOS!$D17968&amp;"|"&amp;DATOS!$E17968&amp;"|"&amp;DATOS!$I17968)</f>
      </c>
      <c r="G17968">
        <f>IF(DATOS!$A17968="",0,IF(CONFIG_METADATA!$B$4&lt;&gt;"OR+EX",--(DATOS!$G17968=CONFIG_METADATA!$B$4),IF(DATOS!$G17968="EX",1,IF(DATOS!$G17968="OR",--(COUNTIFS(nNIA,DATOS!$A17968,nCURSO,DATOS!$D17968,nESPEC,DATOS!$E17968,nASIG,DATOS!$I17968,nEVAL,"EX")=0),0))))</f>
      </c>
      <c r="H17968">
        <f>IF(DATOS!$G17968&lt;&gt;"EX",0,--(COUNTIFS(nNIA,DATOS!$A17968,nCURSO,DATOS!$D17968,nESPEC,DATOS!$E17968,nASIG,DATOS!$I17968,nEVAL,"OR")=0))</f>
      </c>
      <c r="I17968">
        <f>IF(DATOS!$I17968="","",IFERROR(VLOOKUP(DATOS!$I17968,CONFIG_ASIGNATURAS!$B$2:$J$91,9,FALSE()),""))</f>
      </c>
    </row>
    <row r="17969">
      <c r="F17969">
        <f>IF(DATOS!$A17969="","",DATOS!$A17969&amp;"|"&amp;DATOS!$D17969&amp;"|"&amp;DATOS!$E17969&amp;"|"&amp;DATOS!$I17969)</f>
      </c>
      <c r="G17969">
        <f>IF(DATOS!$A17969="",0,IF(CONFIG_METADATA!$B$4&lt;&gt;"OR+EX",--(DATOS!$G17969=CONFIG_METADATA!$B$4),IF(DATOS!$G17969="EX",1,IF(DATOS!$G17969="OR",--(COUNTIFS(nNIA,DATOS!$A17969,nCURSO,DATOS!$D17969,nESPEC,DATOS!$E17969,nASIG,DATOS!$I17969,nEVAL,"EX")=0),0))))</f>
      </c>
      <c r="H17969">
        <f>IF(DATOS!$G17969&lt;&gt;"EX",0,--(COUNTIFS(nNIA,DATOS!$A17969,nCURSO,DATOS!$D17969,nESPEC,DATOS!$E17969,nASIG,DATOS!$I17969,nEVAL,"OR")=0))</f>
      </c>
      <c r="I17969">
        <f>IF(DATOS!$I17969="","",IFERROR(VLOOKUP(DATOS!$I17969,CONFIG_ASIGNATURAS!$B$2:$J$91,9,FALSE()),""))</f>
      </c>
    </row>
    <row r="17970">
      <c r="F17970">
        <f>IF(DATOS!$A17970="","",DATOS!$A17970&amp;"|"&amp;DATOS!$D17970&amp;"|"&amp;DATOS!$E17970&amp;"|"&amp;DATOS!$I17970)</f>
      </c>
      <c r="G17970">
        <f>IF(DATOS!$A17970="",0,IF(CONFIG_METADATA!$B$4&lt;&gt;"OR+EX",--(DATOS!$G17970=CONFIG_METADATA!$B$4),IF(DATOS!$G17970="EX",1,IF(DATOS!$G17970="OR",--(COUNTIFS(nNIA,DATOS!$A17970,nCURSO,DATOS!$D17970,nESPEC,DATOS!$E17970,nASIG,DATOS!$I17970,nEVAL,"EX")=0),0))))</f>
      </c>
      <c r="H17970">
        <f>IF(DATOS!$G17970&lt;&gt;"EX",0,--(COUNTIFS(nNIA,DATOS!$A17970,nCURSO,DATOS!$D17970,nESPEC,DATOS!$E17970,nASIG,DATOS!$I17970,nEVAL,"OR")=0))</f>
      </c>
      <c r="I17970">
        <f>IF(DATOS!$I17970="","",IFERROR(VLOOKUP(DATOS!$I17970,CONFIG_ASIGNATURAS!$B$2:$J$91,9,FALSE()),""))</f>
      </c>
    </row>
    <row r="17971">
      <c r="F17971">
        <f>IF(DATOS!$A17971="","",DATOS!$A17971&amp;"|"&amp;DATOS!$D17971&amp;"|"&amp;DATOS!$E17971&amp;"|"&amp;DATOS!$I17971)</f>
      </c>
      <c r="G17971">
        <f>IF(DATOS!$A17971="",0,IF(CONFIG_METADATA!$B$4&lt;&gt;"OR+EX",--(DATOS!$G17971=CONFIG_METADATA!$B$4),IF(DATOS!$G17971="EX",1,IF(DATOS!$G17971="OR",--(COUNTIFS(nNIA,DATOS!$A17971,nCURSO,DATOS!$D17971,nESPEC,DATOS!$E17971,nASIG,DATOS!$I17971,nEVAL,"EX")=0),0))))</f>
      </c>
      <c r="H17971">
        <f>IF(DATOS!$G17971&lt;&gt;"EX",0,--(COUNTIFS(nNIA,DATOS!$A17971,nCURSO,DATOS!$D17971,nESPEC,DATOS!$E17971,nASIG,DATOS!$I17971,nEVAL,"OR")=0))</f>
      </c>
      <c r="I17971">
        <f>IF(DATOS!$I17971="","",IFERROR(VLOOKUP(DATOS!$I17971,CONFIG_ASIGNATURAS!$B$2:$J$91,9,FALSE()),""))</f>
      </c>
    </row>
    <row r="17972">
      <c r="F17972">
        <f>IF(DATOS!$A17972="","",DATOS!$A17972&amp;"|"&amp;DATOS!$D17972&amp;"|"&amp;DATOS!$E17972&amp;"|"&amp;DATOS!$I17972)</f>
      </c>
      <c r="G17972">
        <f>IF(DATOS!$A17972="",0,IF(CONFIG_METADATA!$B$4&lt;&gt;"OR+EX",--(DATOS!$G17972=CONFIG_METADATA!$B$4),IF(DATOS!$G17972="EX",1,IF(DATOS!$G17972="OR",--(COUNTIFS(nNIA,DATOS!$A17972,nCURSO,DATOS!$D17972,nESPEC,DATOS!$E17972,nASIG,DATOS!$I17972,nEVAL,"EX")=0),0))))</f>
      </c>
      <c r="H17972">
        <f>IF(DATOS!$G17972&lt;&gt;"EX",0,--(COUNTIFS(nNIA,DATOS!$A17972,nCURSO,DATOS!$D17972,nESPEC,DATOS!$E17972,nASIG,DATOS!$I17972,nEVAL,"OR")=0))</f>
      </c>
      <c r="I17972">
        <f>IF(DATOS!$I17972="","",IFERROR(VLOOKUP(DATOS!$I17972,CONFIG_ASIGNATURAS!$B$2:$J$91,9,FALSE()),""))</f>
      </c>
    </row>
    <row r="17973">
      <c r="F17973">
        <f>IF(DATOS!$A17973="","",DATOS!$A17973&amp;"|"&amp;DATOS!$D17973&amp;"|"&amp;DATOS!$E17973&amp;"|"&amp;DATOS!$I17973)</f>
      </c>
      <c r="G17973">
        <f>IF(DATOS!$A17973="",0,IF(CONFIG_METADATA!$B$4&lt;&gt;"OR+EX",--(DATOS!$G17973=CONFIG_METADATA!$B$4),IF(DATOS!$G17973="EX",1,IF(DATOS!$G17973="OR",--(COUNTIFS(nNIA,DATOS!$A17973,nCURSO,DATOS!$D17973,nESPEC,DATOS!$E17973,nASIG,DATOS!$I17973,nEVAL,"EX")=0),0))))</f>
      </c>
      <c r="H17973">
        <f>IF(DATOS!$G17973&lt;&gt;"EX",0,--(COUNTIFS(nNIA,DATOS!$A17973,nCURSO,DATOS!$D17973,nESPEC,DATOS!$E17973,nASIG,DATOS!$I17973,nEVAL,"OR")=0))</f>
      </c>
      <c r="I17973">
        <f>IF(DATOS!$I17973="","",IFERROR(VLOOKUP(DATOS!$I17973,CONFIG_ASIGNATURAS!$B$2:$J$91,9,FALSE()),""))</f>
      </c>
    </row>
    <row r="17974">
      <c r="F17974">
        <f>IF(DATOS!$A17974="","",DATOS!$A17974&amp;"|"&amp;DATOS!$D17974&amp;"|"&amp;DATOS!$E17974&amp;"|"&amp;DATOS!$I17974)</f>
      </c>
      <c r="G17974">
        <f>IF(DATOS!$A17974="",0,IF(CONFIG_METADATA!$B$4&lt;&gt;"OR+EX",--(DATOS!$G17974=CONFIG_METADATA!$B$4),IF(DATOS!$G17974="EX",1,IF(DATOS!$G17974="OR",--(COUNTIFS(nNIA,DATOS!$A17974,nCURSO,DATOS!$D17974,nESPEC,DATOS!$E17974,nASIG,DATOS!$I17974,nEVAL,"EX")=0),0))))</f>
      </c>
      <c r="H17974">
        <f>IF(DATOS!$G17974&lt;&gt;"EX",0,--(COUNTIFS(nNIA,DATOS!$A17974,nCURSO,DATOS!$D17974,nESPEC,DATOS!$E17974,nASIG,DATOS!$I17974,nEVAL,"OR")=0))</f>
      </c>
      <c r="I17974">
        <f>IF(DATOS!$I17974="","",IFERROR(VLOOKUP(DATOS!$I17974,CONFIG_ASIGNATURAS!$B$2:$J$91,9,FALSE()),""))</f>
      </c>
    </row>
    <row r="17975">
      <c r="F17975">
        <f>IF(DATOS!$A17975="","",DATOS!$A17975&amp;"|"&amp;DATOS!$D17975&amp;"|"&amp;DATOS!$E17975&amp;"|"&amp;DATOS!$I17975)</f>
      </c>
      <c r="G17975">
        <f>IF(DATOS!$A17975="",0,IF(CONFIG_METADATA!$B$4&lt;&gt;"OR+EX",--(DATOS!$G17975=CONFIG_METADATA!$B$4),IF(DATOS!$G17975="EX",1,IF(DATOS!$G17975="OR",--(COUNTIFS(nNIA,DATOS!$A17975,nCURSO,DATOS!$D17975,nESPEC,DATOS!$E17975,nASIG,DATOS!$I17975,nEVAL,"EX")=0),0))))</f>
      </c>
      <c r="H17975">
        <f>IF(DATOS!$G17975&lt;&gt;"EX",0,--(COUNTIFS(nNIA,DATOS!$A17975,nCURSO,DATOS!$D17975,nESPEC,DATOS!$E17975,nASIG,DATOS!$I17975,nEVAL,"OR")=0))</f>
      </c>
      <c r="I17975">
        <f>IF(DATOS!$I17975="","",IFERROR(VLOOKUP(DATOS!$I17975,CONFIG_ASIGNATURAS!$B$2:$J$91,9,FALSE()),""))</f>
      </c>
    </row>
    <row r="17976">
      <c r="F17976">
        <f>IF(DATOS!$A17976="","",DATOS!$A17976&amp;"|"&amp;DATOS!$D17976&amp;"|"&amp;DATOS!$E17976&amp;"|"&amp;DATOS!$I17976)</f>
      </c>
      <c r="G17976">
        <f>IF(DATOS!$A17976="",0,IF(CONFIG_METADATA!$B$4&lt;&gt;"OR+EX",--(DATOS!$G17976=CONFIG_METADATA!$B$4),IF(DATOS!$G17976="EX",1,IF(DATOS!$G17976="OR",--(COUNTIFS(nNIA,DATOS!$A17976,nCURSO,DATOS!$D17976,nESPEC,DATOS!$E17976,nASIG,DATOS!$I17976,nEVAL,"EX")=0),0))))</f>
      </c>
      <c r="H17976">
        <f>IF(DATOS!$G17976&lt;&gt;"EX",0,--(COUNTIFS(nNIA,DATOS!$A17976,nCURSO,DATOS!$D17976,nESPEC,DATOS!$E17976,nASIG,DATOS!$I17976,nEVAL,"OR")=0))</f>
      </c>
      <c r="I17976">
        <f>IF(DATOS!$I17976="","",IFERROR(VLOOKUP(DATOS!$I17976,CONFIG_ASIGNATURAS!$B$2:$J$91,9,FALSE()),""))</f>
      </c>
    </row>
    <row r="17977">
      <c r="F17977">
        <f>IF(DATOS!$A17977="","",DATOS!$A17977&amp;"|"&amp;DATOS!$D17977&amp;"|"&amp;DATOS!$E17977&amp;"|"&amp;DATOS!$I17977)</f>
      </c>
      <c r="G17977">
        <f>IF(DATOS!$A17977="",0,IF(CONFIG_METADATA!$B$4&lt;&gt;"OR+EX",--(DATOS!$G17977=CONFIG_METADATA!$B$4),IF(DATOS!$G17977="EX",1,IF(DATOS!$G17977="OR",--(COUNTIFS(nNIA,DATOS!$A17977,nCURSO,DATOS!$D17977,nESPEC,DATOS!$E17977,nASIG,DATOS!$I17977,nEVAL,"EX")=0),0))))</f>
      </c>
      <c r="H17977">
        <f>IF(DATOS!$G17977&lt;&gt;"EX",0,--(COUNTIFS(nNIA,DATOS!$A17977,nCURSO,DATOS!$D17977,nESPEC,DATOS!$E17977,nASIG,DATOS!$I17977,nEVAL,"OR")=0))</f>
      </c>
      <c r="I17977">
        <f>IF(DATOS!$I17977="","",IFERROR(VLOOKUP(DATOS!$I17977,CONFIG_ASIGNATURAS!$B$2:$J$91,9,FALSE()),""))</f>
      </c>
    </row>
    <row r="17978">
      <c r="F17978">
        <f>IF(DATOS!$A17978="","",DATOS!$A17978&amp;"|"&amp;DATOS!$D17978&amp;"|"&amp;DATOS!$E17978&amp;"|"&amp;DATOS!$I17978)</f>
      </c>
      <c r="G17978">
        <f>IF(DATOS!$A17978="",0,IF(CONFIG_METADATA!$B$4&lt;&gt;"OR+EX",--(DATOS!$G17978=CONFIG_METADATA!$B$4),IF(DATOS!$G17978="EX",1,IF(DATOS!$G17978="OR",--(COUNTIFS(nNIA,DATOS!$A17978,nCURSO,DATOS!$D17978,nESPEC,DATOS!$E17978,nASIG,DATOS!$I17978,nEVAL,"EX")=0),0))))</f>
      </c>
      <c r="H17978">
        <f>IF(DATOS!$G17978&lt;&gt;"EX",0,--(COUNTIFS(nNIA,DATOS!$A17978,nCURSO,DATOS!$D17978,nESPEC,DATOS!$E17978,nASIG,DATOS!$I17978,nEVAL,"OR")=0))</f>
      </c>
      <c r="I17978">
        <f>IF(DATOS!$I17978="","",IFERROR(VLOOKUP(DATOS!$I17978,CONFIG_ASIGNATURAS!$B$2:$J$91,9,FALSE()),""))</f>
      </c>
    </row>
    <row r="17979">
      <c r="F17979">
        <f>IF(DATOS!$A17979="","",DATOS!$A17979&amp;"|"&amp;DATOS!$D17979&amp;"|"&amp;DATOS!$E17979&amp;"|"&amp;DATOS!$I17979)</f>
      </c>
      <c r="G17979">
        <f>IF(DATOS!$A17979="",0,IF(CONFIG_METADATA!$B$4&lt;&gt;"OR+EX",--(DATOS!$G17979=CONFIG_METADATA!$B$4),IF(DATOS!$G17979="EX",1,IF(DATOS!$G17979="OR",--(COUNTIFS(nNIA,DATOS!$A17979,nCURSO,DATOS!$D17979,nESPEC,DATOS!$E17979,nASIG,DATOS!$I17979,nEVAL,"EX")=0),0))))</f>
      </c>
      <c r="H17979">
        <f>IF(DATOS!$G17979&lt;&gt;"EX",0,--(COUNTIFS(nNIA,DATOS!$A17979,nCURSO,DATOS!$D17979,nESPEC,DATOS!$E17979,nASIG,DATOS!$I17979,nEVAL,"OR")=0))</f>
      </c>
      <c r="I17979">
        <f>IF(DATOS!$I17979="","",IFERROR(VLOOKUP(DATOS!$I17979,CONFIG_ASIGNATURAS!$B$2:$J$91,9,FALSE()),""))</f>
      </c>
    </row>
    <row r="17980">
      <c r="F17980">
        <f>IF(DATOS!$A17980="","",DATOS!$A17980&amp;"|"&amp;DATOS!$D17980&amp;"|"&amp;DATOS!$E17980&amp;"|"&amp;DATOS!$I17980)</f>
      </c>
      <c r="G17980">
        <f>IF(DATOS!$A17980="",0,IF(CONFIG_METADATA!$B$4&lt;&gt;"OR+EX",--(DATOS!$G17980=CONFIG_METADATA!$B$4),IF(DATOS!$G17980="EX",1,IF(DATOS!$G17980="OR",--(COUNTIFS(nNIA,DATOS!$A17980,nCURSO,DATOS!$D17980,nESPEC,DATOS!$E17980,nASIG,DATOS!$I17980,nEVAL,"EX")=0),0))))</f>
      </c>
      <c r="H17980">
        <f>IF(DATOS!$G17980&lt;&gt;"EX",0,--(COUNTIFS(nNIA,DATOS!$A17980,nCURSO,DATOS!$D17980,nESPEC,DATOS!$E17980,nASIG,DATOS!$I17980,nEVAL,"OR")=0))</f>
      </c>
      <c r="I17980">
        <f>IF(DATOS!$I17980="","",IFERROR(VLOOKUP(DATOS!$I17980,CONFIG_ASIGNATURAS!$B$2:$J$91,9,FALSE()),""))</f>
      </c>
    </row>
    <row r="17981">
      <c r="F17981">
        <f>IF(DATOS!$A17981="","",DATOS!$A17981&amp;"|"&amp;DATOS!$D17981&amp;"|"&amp;DATOS!$E17981&amp;"|"&amp;DATOS!$I17981)</f>
      </c>
      <c r="G17981">
        <f>IF(DATOS!$A17981="",0,IF(CONFIG_METADATA!$B$4&lt;&gt;"OR+EX",--(DATOS!$G17981=CONFIG_METADATA!$B$4),IF(DATOS!$G17981="EX",1,IF(DATOS!$G17981="OR",--(COUNTIFS(nNIA,DATOS!$A17981,nCURSO,DATOS!$D17981,nESPEC,DATOS!$E17981,nASIG,DATOS!$I17981,nEVAL,"EX")=0),0))))</f>
      </c>
      <c r="H17981">
        <f>IF(DATOS!$G17981&lt;&gt;"EX",0,--(COUNTIFS(nNIA,DATOS!$A17981,nCURSO,DATOS!$D17981,nESPEC,DATOS!$E17981,nASIG,DATOS!$I17981,nEVAL,"OR")=0))</f>
      </c>
      <c r="I17981">
        <f>IF(DATOS!$I17981="","",IFERROR(VLOOKUP(DATOS!$I17981,CONFIG_ASIGNATURAS!$B$2:$J$91,9,FALSE()),""))</f>
      </c>
    </row>
    <row r="17982">
      <c r="F17982">
        <f>IF(DATOS!$A17982="","",DATOS!$A17982&amp;"|"&amp;DATOS!$D17982&amp;"|"&amp;DATOS!$E17982&amp;"|"&amp;DATOS!$I17982)</f>
      </c>
      <c r="G17982">
        <f>IF(DATOS!$A17982="",0,IF(CONFIG_METADATA!$B$4&lt;&gt;"OR+EX",--(DATOS!$G17982=CONFIG_METADATA!$B$4),IF(DATOS!$G17982="EX",1,IF(DATOS!$G17982="OR",--(COUNTIFS(nNIA,DATOS!$A17982,nCURSO,DATOS!$D17982,nESPEC,DATOS!$E17982,nASIG,DATOS!$I17982,nEVAL,"EX")=0),0))))</f>
      </c>
      <c r="H17982">
        <f>IF(DATOS!$G17982&lt;&gt;"EX",0,--(COUNTIFS(nNIA,DATOS!$A17982,nCURSO,DATOS!$D17982,nESPEC,DATOS!$E17982,nASIG,DATOS!$I17982,nEVAL,"OR")=0))</f>
      </c>
      <c r="I17982">
        <f>IF(DATOS!$I17982="","",IFERROR(VLOOKUP(DATOS!$I17982,CONFIG_ASIGNATURAS!$B$2:$J$91,9,FALSE()),""))</f>
      </c>
    </row>
    <row r="17983">
      <c r="F17983">
        <f>IF(DATOS!$A17983="","",DATOS!$A17983&amp;"|"&amp;DATOS!$D17983&amp;"|"&amp;DATOS!$E17983&amp;"|"&amp;DATOS!$I17983)</f>
      </c>
      <c r="G17983">
        <f>IF(DATOS!$A17983="",0,IF(CONFIG_METADATA!$B$4&lt;&gt;"OR+EX",--(DATOS!$G17983=CONFIG_METADATA!$B$4),IF(DATOS!$G17983="EX",1,IF(DATOS!$G17983="OR",--(COUNTIFS(nNIA,DATOS!$A17983,nCURSO,DATOS!$D17983,nESPEC,DATOS!$E17983,nASIG,DATOS!$I17983,nEVAL,"EX")=0),0))))</f>
      </c>
      <c r="H17983">
        <f>IF(DATOS!$G17983&lt;&gt;"EX",0,--(COUNTIFS(nNIA,DATOS!$A17983,nCURSO,DATOS!$D17983,nESPEC,DATOS!$E17983,nASIG,DATOS!$I17983,nEVAL,"OR")=0))</f>
      </c>
      <c r="I17983">
        <f>IF(DATOS!$I17983="","",IFERROR(VLOOKUP(DATOS!$I17983,CONFIG_ASIGNATURAS!$B$2:$J$91,9,FALSE()),""))</f>
      </c>
    </row>
    <row r="17984">
      <c r="F17984">
        <f>IF(DATOS!$A17984="","",DATOS!$A17984&amp;"|"&amp;DATOS!$D17984&amp;"|"&amp;DATOS!$E17984&amp;"|"&amp;DATOS!$I17984)</f>
      </c>
      <c r="G17984">
        <f>IF(DATOS!$A17984="",0,IF(CONFIG_METADATA!$B$4&lt;&gt;"OR+EX",--(DATOS!$G17984=CONFIG_METADATA!$B$4),IF(DATOS!$G17984="EX",1,IF(DATOS!$G17984="OR",--(COUNTIFS(nNIA,DATOS!$A17984,nCURSO,DATOS!$D17984,nESPEC,DATOS!$E17984,nASIG,DATOS!$I17984,nEVAL,"EX")=0),0))))</f>
      </c>
      <c r="H17984">
        <f>IF(DATOS!$G17984&lt;&gt;"EX",0,--(COUNTIFS(nNIA,DATOS!$A17984,nCURSO,DATOS!$D17984,nESPEC,DATOS!$E17984,nASIG,DATOS!$I17984,nEVAL,"OR")=0))</f>
      </c>
      <c r="I17984">
        <f>IF(DATOS!$I17984="","",IFERROR(VLOOKUP(DATOS!$I17984,CONFIG_ASIGNATURAS!$B$2:$J$91,9,FALSE()),""))</f>
      </c>
    </row>
    <row r="17985">
      <c r="F17985">
        <f>IF(DATOS!$A17985="","",DATOS!$A17985&amp;"|"&amp;DATOS!$D17985&amp;"|"&amp;DATOS!$E17985&amp;"|"&amp;DATOS!$I17985)</f>
      </c>
      <c r="G17985">
        <f>IF(DATOS!$A17985="",0,IF(CONFIG_METADATA!$B$4&lt;&gt;"OR+EX",--(DATOS!$G17985=CONFIG_METADATA!$B$4),IF(DATOS!$G17985="EX",1,IF(DATOS!$G17985="OR",--(COUNTIFS(nNIA,DATOS!$A17985,nCURSO,DATOS!$D17985,nESPEC,DATOS!$E17985,nASIG,DATOS!$I17985,nEVAL,"EX")=0),0))))</f>
      </c>
      <c r="H17985">
        <f>IF(DATOS!$G17985&lt;&gt;"EX",0,--(COUNTIFS(nNIA,DATOS!$A17985,nCURSO,DATOS!$D17985,nESPEC,DATOS!$E17985,nASIG,DATOS!$I17985,nEVAL,"OR")=0))</f>
      </c>
      <c r="I17985">
        <f>IF(DATOS!$I17985="","",IFERROR(VLOOKUP(DATOS!$I17985,CONFIG_ASIGNATURAS!$B$2:$J$91,9,FALSE()),""))</f>
      </c>
    </row>
    <row r="17986">
      <c r="F17986">
        <f>IF(DATOS!$A17986="","",DATOS!$A17986&amp;"|"&amp;DATOS!$D17986&amp;"|"&amp;DATOS!$E17986&amp;"|"&amp;DATOS!$I17986)</f>
      </c>
      <c r="G17986">
        <f>IF(DATOS!$A17986="",0,IF(CONFIG_METADATA!$B$4&lt;&gt;"OR+EX",--(DATOS!$G17986=CONFIG_METADATA!$B$4),IF(DATOS!$G17986="EX",1,IF(DATOS!$G17986="OR",--(COUNTIFS(nNIA,DATOS!$A17986,nCURSO,DATOS!$D17986,nESPEC,DATOS!$E17986,nASIG,DATOS!$I17986,nEVAL,"EX")=0),0))))</f>
      </c>
      <c r="H17986">
        <f>IF(DATOS!$G17986&lt;&gt;"EX",0,--(COUNTIFS(nNIA,DATOS!$A17986,nCURSO,DATOS!$D17986,nESPEC,DATOS!$E17986,nASIG,DATOS!$I17986,nEVAL,"OR")=0))</f>
      </c>
      <c r="I17986">
        <f>IF(DATOS!$I17986="","",IFERROR(VLOOKUP(DATOS!$I17986,CONFIG_ASIGNATURAS!$B$2:$J$91,9,FALSE()),""))</f>
      </c>
    </row>
    <row r="17987">
      <c r="F17987">
        <f>IF(DATOS!$A17987="","",DATOS!$A17987&amp;"|"&amp;DATOS!$D17987&amp;"|"&amp;DATOS!$E17987&amp;"|"&amp;DATOS!$I17987)</f>
      </c>
      <c r="G17987">
        <f>IF(DATOS!$A17987="",0,IF(CONFIG_METADATA!$B$4&lt;&gt;"OR+EX",--(DATOS!$G17987=CONFIG_METADATA!$B$4),IF(DATOS!$G17987="EX",1,IF(DATOS!$G17987="OR",--(COUNTIFS(nNIA,DATOS!$A17987,nCURSO,DATOS!$D17987,nESPEC,DATOS!$E17987,nASIG,DATOS!$I17987,nEVAL,"EX")=0),0))))</f>
      </c>
      <c r="H17987">
        <f>IF(DATOS!$G17987&lt;&gt;"EX",0,--(COUNTIFS(nNIA,DATOS!$A17987,nCURSO,DATOS!$D17987,nESPEC,DATOS!$E17987,nASIG,DATOS!$I17987,nEVAL,"OR")=0))</f>
      </c>
      <c r="I17987">
        <f>IF(DATOS!$I17987="","",IFERROR(VLOOKUP(DATOS!$I17987,CONFIG_ASIGNATURAS!$B$2:$J$91,9,FALSE()),""))</f>
      </c>
    </row>
    <row r="17988">
      <c r="F17988">
        <f>IF(DATOS!$A17988="","",DATOS!$A17988&amp;"|"&amp;DATOS!$D17988&amp;"|"&amp;DATOS!$E17988&amp;"|"&amp;DATOS!$I17988)</f>
      </c>
      <c r="G17988">
        <f>IF(DATOS!$A17988="",0,IF(CONFIG_METADATA!$B$4&lt;&gt;"OR+EX",--(DATOS!$G17988=CONFIG_METADATA!$B$4),IF(DATOS!$G17988="EX",1,IF(DATOS!$G17988="OR",--(COUNTIFS(nNIA,DATOS!$A17988,nCURSO,DATOS!$D17988,nESPEC,DATOS!$E17988,nASIG,DATOS!$I17988,nEVAL,"EX")=0),0))))</f>
      </c>
      <c r="H17988">
        <f>IF(DATOS!$G17988&lt;&gt;"EX",0,--(COUNTIFS(nNIA,DATOS!$A17988,nCURSO,DATOS!$D17988,nESPEC,DATOS!$E17988,nASIG,DATOS!$I17988,nEVAL,"OR")=0))</f>
      </c>
      <c r="I17988">
        <f>IF(DATOS!$I17988="","",IFERROR(VLOOKUP(DATOS!$I17988,CONFIG_ASIGNATURAS!$B$2:$J$91,9,FALSE()),""))</f>
      </c>
    </row>
    <row r="17989">
      <c r="F17989">
        <f>IF(DATOS!$A17989="","",DATOS!$A17989&amp;"|"&amp;DATOS!$D17989&amp;"|"&amp;DATOS!$E17989&amp;"|"&amp;DATOS!$I17989)</f>
      </c>
      <c r="G17989">
        <f>IF(DATOS!$A17989="",0,IF(CONFIG_METADATA!$B$4&lt;&gt;"OR+EX",--(DATOS!$G17989=CONFIG_METADATA!$B$4),IF(DATOS!$G17989="EX",1,IF(DATOS!$G17989="OR",--(COUNTIFS(nNIA,DATOS!$A17989,nCURSO,DATOS!$D17989,nESPEC,DATOS!$E17989,nASIG,DATOS!$I17989,nEVAL,"EX")=0),0))))</f>
      </c>
      <c r="H17989">
        <f>IF(DATOS!$G17989&lt;&gt;"EX",0,--(COUNTIFS(nNIA,DATOS!$A17989,nCURSO,DATOS!$D17989,nESPEC,DATOS!$E17989,nASIG,DATOS!$I17989,nEVAL,"OR")=0))</f>
      </c>
      <c r="I17989">
        <f>IF(DATOS!$I17989="","",IFERROR(VLOOKUP(DATOS!$I17989,CONFIG_ASIGNATURAS!$B$2:$J$91,9,FALSE()),""))</f>
      </c>
    </row>
    <row r="17990">
      <c r="F17990">
        <f>IF(DATOS!$A17990="","",DATOS!$A17990&amp;"|"&amp;DATOS!$D17990&amp;"|"&amp;DATOS!$E17990&amp;"|"&amp;DATOS!$I17990)</f>
      </c>
      <c r="G17990">
        <f>IF(DATOS!$A17990="",0,IF(CONFIG_METADATA!$B$4&lt;&gt;"OR+EX",--(DATOS!$G17990=CONFIG_METADATA!$B$4),IF(DATOS!$G17990="EX",1,IF(DATOS!$G17990="OR",--(COUNTIFS(nNIA,DATOS!$A17990,nCURSO,DATOS!$D17990,nESPEC,DATOS!$E17990,nASIG,DATOS!$I17990,nEVAL,"EX")=0),0))))</f>
      </c>
      <c r="H17990">
        <f>IF(DATOS!$G17990&lt;&gt;"EX",0,--(COUNTIFS(nNIA,DATOS!$A17990,nCURSO,DATOS!$D17990,nESPEC,DATOS!$E17990,nASIG,DATOS!$I17990,nEVAL,"OR")=0))</f>
      </c>
      <c r="I17990">
        <f>IF(DATOS!$I17990="","",IFERROR(VLOOKUP(DATOS!$I17990,CONFIG_ASIGNATURAS!$B$2:$J$91,9,FALSE()),""))</f>
      </c>
    </row>
    <row r="17991">
      <c r="F17991">
        <f>IF(DATOS!$A17991="","",DATOS!$A17991&amp;"|"&amp;DATOS!$D17991&amp;"|"&amp;DATOS!$E17991&amp;"|"&amp;DATOS!$I17991)</f>
      </c>
      <c r="G17991">
        <f>IF(DATOS!$A17991="",0,IF(CONFIG_METADATA!$B$4&lt;&gt;"OR+EX",--(DATOS!$G17991=CONFIG_METADATA!$B$4),IF(DATOS!$G17991="EX",1,IF(DATOS!$G17991="OR",--(COUNTIFS(nNIA,DATOS!$A17991,nCURSO,DATOS!$D17991,nESPEC,DATOS!$E17991,nASIG,DATOS!$I17991,nEVAL,"EX")=0),0))))</f>
      </c>
      <c r="H17991">
        <f>IF(DATOS!$G17991&lt;&gt;"EX",0,--(COUNTIFS(nNIA,DATOS!$A17991,nCURSO,DATOS!$D17991,nESPEC,DATOS!$E17991,nASIG,DATOS!$I17991,nEVAL,"OR")=0))</f>
      </c>
      <c r="I17991">
        <f>IF(DATOS!$I17991="","",IFERROR(VLOOKUP(DATOS!$I17991,CONFIG_ASIGNATURAS!$B$2:$J$91,9,FALSE()),""))</f>
      </c>
    </row>
    <row r="17992">
      <c r="F17992">
        <f>IF(DATOS!$A17992="","",DATOS!$A17992&amp;"|"&amp;DATOS!$D17992&amp;"|"&amp;DATOS!$E17992&amp;"|"&amp;DATOS!$I17992)</f>
      </c>
      <c r="G17992">
        <f>IF(DATOS!$A17992="",0,IF(CONFIG_METADATA!$B$4&lt;&gt;"OR+EX",--(DATOS!$G17992=CONFIG_METADATA!$B$4),IF(DATOS!$G17992="EX",1,IF(DATOS!$G17992="OR",--(COUNTIFS(nNIA,DATOS!$A17992,nCURSO,DATOS!$D17992,nESPEC,DATOS!$E17992,nASIG,DATOS!$I17992,nEVAL,"EX")=0),0))))</f>
      </c>
      <c r="H17992">
        <f>IF(DATOS!$G17992&lt;&gt;"EX",0,--(COUNTIFS(nNIA,DATOS!$A17992,nCURSO,DATOS!$D17992,nESPEC,DATOS!$E17992,nASIG,DATOS!$I17992,nEVAL,"OR")=0))</f>
      </c>
      <c r="I17992">
        <f>IF(DATOS!$I17992="","",IFERROR(VLOOKUP(DATOS!$I17992,CONFIG_ASIGNATURAS!$B$2:$J$91,9,FALSE()),""))</f>
      </c>
    </row>
    <row r="17993">
      <c r="F17993">
        <f>IF(DATOS!$A17993="","",DATOS!$A17993&amp;"|"&amp;DATOS!$D17993&amp;"|"&amp;DATOS!$E17993&amp;"|"&amp;DATOS!$I17993)</f>
      </c>
      <c r="G17993">
        <f>IF(DATOS!$A17993="",0,IF(CONFIG_METADATA!$B$4&lt;&gt;"OR+EX",--(DATOS!$G17993=CONFIG_METADATA!$B$4),IF(DATOS!$G17993="EX",1,IF(DATOS!$G17993="OR",--(COUNTIFS(nNIA,DATOS!$A17993,nCURSO,DATOS!$D17993,nESPEC,DATOS!$E17993,nASIG,DATOS!$I17993,nEVAL,"EX")=0),0))))</f>
      </c>
      <c r="H17993">
        <f>IF(DATOS!$G17993&lt;&gt;"EX",0,--(COUNTIFS(nNIA,DATOS!$A17993,nCURSO,DATOS!$D17993,nESPEC,DATOS!$E17993,nASIG,DATOS!$I17993,nEVAL,"OR")=0))</f>
      </c>
      <c r="I17993">
        <f>IF(DATOS!$I17993="","",IFERROR(VLOOKUP(DATOS!$I17993,CONFIG_ASIGNATURAS!$B$2:$J$91,9,FALSE()),""))</f>
      </c>
    </row>
    <row r="17994">
      <c r="F17994">
        <f>IF(DATOS!$A17994="","",DATOS!$A17994&amp;"|"&amp;DATOS!$D17994&amp;"|"&amp;DATOS!$E17994&amp;"|"&amp;DATOS!$I17994)</f>
      </c>
      <c r="G17994">
        <f>IF(DATOS!$A17994="",0,IF(CONFIG_METADATA!$B$4&lt;&gt;"OR+EX",--(DATOS!$G17994=CONFIG_METADATA!$B$4),IF(DATOS!$G17994="EX",1,IF(DATOS!$G17994="OR",--(COUNTIFS(nNIA,DATOS!$A17994,nCURSO,DATOS!$D17994,nESPEC,DATOS!$E17994,nASIG,DATOS!$I17994,nEVAL,"EX")=0),0))))</f>
      </c>
      <c r="H17994">
        <f>IF(DATOS!$G17994&lt;&gt;"EX",0,--(COUNTIFS(nNIA,DATOS!$A17994,nCURSO,DATOS!$D17994,nESPEC,DATOS!$E17994,nASIG,DATOS!$I17994,nEVAL,"OR")=0))</f>
      </c>
      <c r="I17994">
        <f>IF(DATOS!$I17994="","",IFERROR(VLOOKUP(DATOS!$I17994,CONFIG_ASIGNATURAS!$B$2:$J$91,9,FALSE()),""))</f>
      </c>
    </row>
    <row r="17995">
      <c r="F17995">
        <f>IF(DATOS!$A17995="","",DATOS!$A17995&amp;"|"&amp;DATOS!$D17995&amp;"|"&amp;DATOS!$E17995&amp;"|"&amp;DATOS!$I17995)</f>
      </c>
      <c r="G17995">
        <f>IF(DATOS!$A17995="",0,IF(CONFIG_METADATA!$B$4&lt;&gt;"OR+EX",--(DATOS!$G17995=CONFIG_METADATA!$B$4),IF(DATOS!$G17995="EX",1,IF(DATOS!$G17995="OR",--(COUNTIFS(nNIA,DATOS!$A17995,nCURSO,DATOS!$D17995,nESPEC,DATOS!$E17995,nASIG,DATOS!$I17995,nEVAL,"EX")=0),0))))</f>
      </c>
      <c r="H17995">
        <f>IF(DATOS!$G17995&lt;&gt;"EX",0,--(COUNTIFS(nNIA,DATOS!$A17995,nCURSO,DATOS!$D17995,nESPEC,DATOS!$E17995,nASIG,DATOS!$I17995,nEVAL,"OR")=0))</f>
      </c>
      <c r="I17995">
        <f>IF(DATOS!$I17995="","",IFERROR(VLOOKUP(DATOS!$I17995,CONFIG_ASIGNATURAS!$B$2:$J$91,9,FALSE()),""))</f>
      </c>
    </row>
    <row r="17996">
      <c r="F17996">
        <f>IF(DATOS!$A17996="","",DATOS!$A17996&amp;"|"&amp;DATOS!$D17996&amp;"|"&amp;DATOS!$E17996&amp;"|"&amp;DATOS!$I17996)</f>
      </c>
      <c r="G17996">
        <f>IF(DATOS!$A17996="",0,IF(CONFIG_METADATA!$B$4&lt;&gt;"OR+EX",--(DATOS!$G17996=CONFIG_METADATA!$B$4),IF(DATOS!$G17996="EX",1,IF(DATOS!$G17996="OR",--(COUNTIFS(nNIA,DATOS!$A17996,nCURSO,DATOS!$D17996,nESPEC,DATOS!$E17996,nASIG,DATOS!$I17996,nEVAL,"EX")=0),0))))</f>
      </c>
      <c r="H17996">
        <f>IF(DATOS!$G17996&lt;&gt;"EX",0,--(COUNTIFS(nNIA,DATOS!$A17996,nCURSO,DATOS!$D17996,nESPEC,DATOS!$E17996,nASIG,DATOS!$I17996,nEVAL,"OR")=0))</f>
      </c>
      <c r="I17996">
        <f>IF(DATOS!$I17996="","",IFERROR(VLOOKUP(DATOS!$I17996,CONFIG_ASIGNATURAS!$B$2:$J$91,9,FALSE()),""))</f>
      </c>
    </row>
    <row r="17997">
      <c r="F17997">
        <f>IF(DATOS!$A17997="","",DATOS!$A17997&amp;"|"&amp;DATOS!$D17997&amp;"|"&amp;DATOS!$E17997&amp;"|"&amp;DATOS!$I17997)</f>
      </c>
      <c r="G17997">
        <f>IF(DATOS!$A17997="",0,IF(CONFIG_METADATA!$B$4&lt;&gt;"OR+EX",--(DATOS!$G17997=CONFIG_METADATA!$B$4),IF(DATOS!$G17997="EX",1,IF(DATOS!$G17997="OR",--(COUNTIFS(nNIA,DATOS!$A17997,nCURSO,DATOS!$D17997,nESPEC,DATOS!$E17997,nASIG,DATOS!$I17997,nEVAL,"EX")=0),0))))</f>
      </c>
      <c r="H17997">
        <f>IF(DATOS!$G17997&lt;&gt;"EX",0,--(COUNTIFS(nNIA,DATOS!$A17997,nCURSO,DATOS!$D17997,nESPEC,DATOS!$E17997,nASIG,DATOS!$I17997,nEVAL,"OR")=0))</f>
      </c>
      <c r="I17997">
        <f>IF(DATOS!$I17997="","",IFERROR(VLOOKUP(DATOS!$I17997,CONFIG_ASIGNATURAS!$B$2:$J$91,9,FALSE()),""))</f>
      </c>
    </row>
    <row r="17998">
      <c r="F17998">
        <f>IF(DATOS!$A17998="","",DATOS!$A17998&amp;"|"&amp;DATOS!$D17998&amp;"|"&amp;DATOS!$E17998&amp;"|"&amp;DATOS!$I17998)</f>
      </c>
      <c r="G17998">
        <f>IF(DATOS!$A17998="",0,IF(CONFIG_METADATA!$B$4&lt;&gt;"OR+EX",--(DATOS!$G17998=CONFIG_METADATA!$B$4),IF(DATOS!$G17998="EX",1,IF(DATOS!$G17998="OR",--(COUNTIFS(nNIA,DATOS!$A17998,nCURSO,DATOS!$D17998,nESPEC,DATOS!$E17998,nASIG,DATOS!$I17998,nEVAL,"EX")=0),0))))</f>
      </c>
      <c r="H17998">
        <f>IF(DATOS!$G17998&lt;&gt;"EX",0,--(COUNTIFS(nNIA,DATOS!$A17998,nCURSO,DATOS!$D17998,nESPEC,DATOS!$E17998,nASIG,DATOS!$I17998,nEVAL,"OR")=0))</f>
      </c>
      <c r="I17998">
        <f>IF(DATOS!$I17998="","",IFERROR(VLOOKUP(DATOS!$I17998,CONFIG_ASIGNATURAS!$B$2:$J$91,9,FALSE()),""))</f>
      </c>
    </row>
    <row r="17999">
      <c r="F17999">
        <f>IF(DATOS!$A17999="","",DATOS!$A17999&amp;"|"&amp;DATOS!$D17999&amp;"|"&amp;DATOS!$E17999&amp;"|"&amp;DATOS!$I17999)</f>
      </c>
      <c r="G17999">
        <f>IF(DATOS!$A17999="",0,IF(CONFIG_METADATA!$B$4&lt;&gt;"OR+EX",--(DATOS!$G17999=CONFIG_METADATA!$B$4),IF(DATOS!$G17999="EX",1,IF(DATOS!$G17999="OR",--(COUNTIFS(nNIA,DATOS!$A17999,nCURSO,DATOS!$D17999,nESPEC,DATOS!$E17999,nASIG,DATOS!$I17999,nEVAL,"EX")=0),0))))</f>
      </c>
      <c r="H17999">
        <f>IF(DATOS!$G17999&lt;&gt;"EX",0,--(COUNTIFS(nNIA,DATOS!$A17999,nCURSO,DATOS!$D17999,nESPEC,DATOS!$E17999,nASIG,DATOS!$I17999,nEVAL,"OR")=0))</f>
      </c>
      <c r="I17999">
        <f>IF(DATOS!$I17999="","",IFERROR(VLOOKUP(DATOS!$I17999,CONFIG_ASIGNATURAS!$B$2:$J$91,9,FALSE()),""))</f>
      </c>
    </row>
    <row r="18000">
      <c r="F18000">
        <f>IF(DATOS!$A18000="","",DATOS!$A18000&amp;"|"&amp;DATOS!$D18000&amp;"|"&amp;DATOS!$E18000&amp;"|"&amp;DATOS!$I18000)</f>
      </c>
      <c r="G18000">
        <f>IF(DATOS!$A18000="",0,IF(CONFIG_METADATA!$B$4&lt;&gt;"OR+EX",--(DATOS!$G18000=CONFIG_METADATA!$B$4),IF(DATOS!$G18000="EX",1,IF(DATOS!$G18000="OR",--(COUNTIFS(nNIA,DATOS!$A18000,nCURSO,DATOS!$D18000,nESPEC,DATOS!$E18000,nASIG,DATOS!$I18000,nEVAL,"EX")=0),0))))</f>
      </c>
      <c r="H18000">
        <f>IF(DATOS!$G18000&lt;&gt;"EX",0,--(COUNTIFS(nNIA,DATOS!$A18000,nCURSO,DATOS!$D18000,nESPEC,DATOS!$E18000,nASIG,DATOS!$I18000,nEVAL,"OR")=0))</f>
      </c>
      <c r="I18000">
        <f>IF(DATOS!$I18000="","",IFERROR(VLOOKUP(DATOS!$I18000,CONFIG_ASIGNATURAS!$B$2:$J$91,9,FALSE()),""))</f>
      </c>
    </row>
    <row r="18001">
      <c r="F18001">
        <f>IF(DATOS!$A18001="","",DATOS!$A18001&amp;"|"&amp;DATOS!$D18001&amp;"|"&amp;DATOS!$E18001&amp;"|"&amp;DATOS!$I18001)</f>
      </c>
      <c r="G18001">
        <f>IF(DATOS!$A18001="",0,IF(CONFIG_METADATA!$B$4&lt;&gt;"OR+EX",--(DATOS!$G18001=CONFIG_METADATA!$B$4),IF(DATOS!$G18001="EX",1,IF(DATOS!$G18001="OR",--(COUNTIFS(nNIA,DATOS!$A18001,nCURSO,DATOS!$D18001,nESPEC,DATOS!$E18001,nASIG,DATOS!$I18001,nEVAL,"EX")=0),0))))</f>
      </c>
      <c r="H18001">
        <f>IF(DATOS!$G18001&lt;&gt;"EX",0,--(COUNTIFS(nNIA,DATOS!$A18001,nCURSO,DATOS!$D18001,nESPEC,DATOS!$E18001,nASIG,DATOS!$I18001,nEVAL,"OR")=0))</f>
      </c>
      <c r="I18001">
        <f>IF(DATOS!$I18001="","",IFERROR(VLOOKUP(DATOS!$I18001,CONFIG_ASIGNATURAS!$B$2:$J$91,9,FALSE()),""))</f>
      </c>
    </row>
    <row r="18002">
      <c r="F18002">
        <f>IF(DATOS!$A18002="","",DATOS!$A18002&amp;"|"&amp;DATOS!$D18002&amp;"|"&amp;DATOS!$E18002&amp;"|"&amp;DATOS!$I18002)</f>
      </c>
      <c r="G18002">
        <f>IF(DATOS!$A18002="",0,IF(CONFIG_METADATA!$B$4&lt;&gt;"OR+EX",--(DATOS!$G18002=CONFIG_METADATA!$B$4),IF(DATOS!$G18002="EX",1,IF(DATOS!$G18002="OR",--(COUNTIFS(nNIA,DATOS!$A18002,nCURSO,DATOS!$D18002,nESPEC,DATOS!$E18002,nASIG,DATOS!$I18002,nEVAL,"EX")=0),0))))</f>
      </c>
      <c r="H18002">
        <f>IF(DATOS!$G18002&lt;&gt;"EX",0,--(COUNTIFS(nNIA,DATOS!$A18002,nCURSO,DATOS!$D18002,nESPEC,DATOS!$E18002,nASIG,DATOS!$I18002,nEVAL,"OR")=0))</f>
      </c>
      <c r="I18002">
        <f>IF(DATOS!$I18002="","",IFERROR(VLOOKUP(DATOS!$I18002,CONFIG_ASIGNATURAS!$B$2:$J$91,9,FALSE()),""))</f>
      </c>
    </row>
    <row r="18003">
      <c r="F18003">
        <f>IF(DATOS!$A18003="","",DATOS!$A18003&amp;"|"&amp;DATOS!$D18003&amp;"|"&amp;DATOS!$E18003&amp;"|"&amp;DATOS!$I18003)</f>
      </c>
      <c r="G18003">
        <f>IF(DATOS!$A18003="",0,IF(CONFIG_METADATA!$B$4&lt;&gt;"OR+EX",--(DATOS!$G18003=CONFIG_METADATA!$B$4),IF(DATOS!$G18003="EX",1,IF(DATOS!$G18003="OR",--(COUNTIFS(nNIA,DATOS!$A18003,nCURSO,DATOS!$D18003,nESPEC,DATOS!$E18003,nASIG,DATOS!$I18003,nEVAL,"EX")=0),0))))</f>
      </c>
      <c r="H18003">
        <f>IF(DATOS!$G18003&lt;&gt;"EX",0,--(COUNTIFS(nNIA,DATOS!$A18003,nCURSO,DATOS!$D18003,nESPEC,DATOS!$E18003,nASIG,DATOS!$I18003,nEVAL,"OR")=0))</f>
      </c>
      <c r="I18003">
        <f>IF(DATOS!$I18003="","",IFERROR(VLOOKUP(DATOS!$I18003,CONFIG_ASIGNATURAS!$B$2:$J$91,9,FALSE()),""))</f>
      </c>
    </row>
    <row r="18004">
      <c r="F18004">
        <f>IF(DATOS!$A18004="","",DATOS!$A18004&amp;"|"&amp;DATOS!$D18004&amp;"|"&amp;DATOS!$E18004&amp;"|"&amp;DATOS!$I18004)</f>
      </c>
      <c r="G18004">
        <f>IF(DATOS!$A18004="",0,IF(CONFIG_METADATA!$B$4&lt;&gt;"OR+EX",--(DATOS!$G18004=CONFIG_METADATA!$B$4),IF(DATOS!$G18004="EX",1,IF(DATOS!$G18004="OR",--(COUNTIFS(nNIA,DATOS!$A18004,nCURSO,DATOS!$D18004,nESPEC,DATOS!$E18004,nASIG,DATOS!$I18004,nEVAL,"EX")=0),0))))</f>
      </c>
      <c r="H18004">
        <f>IF(DATOS!$G18004&lt;&gt;"EX",0,--(COUNTIFS(nNIA,DATOS!$A18004,nCURSO,DATOS!$D18004,nESPEC,DATOS!$E18004,nASIG,DATOS!$I18004,nEVAL,"OR")=0))</f>
      </c>
      <c r="I18004">
        <f>IF(DATOS!$I18004="","",IFERROR(VLOOKUP(DATOS!$I18004,CONFIG_ASIGNATURAS!$B$2:$J$91,9,FALSE()),""))</f>
      </c>
    </row>
    <row r="18005">
      <c r="F18005">
        <f>IF(DATOS!$A18005="","",DATOS!$A18005&amp;"|"&amp;DATOS!$D18005&amp;"|"&amp;DATOS!$E18005&amp;"|"&amp;DATOS!$I18005)</f>
      </c>
      <c r="G18005">
        <f>IF(DATOS!$A18005="",0,IF(CONFIG_METADATA!$B$4&lt;&gt;"OR+EX",--(DATOS!$G18005=CONFIG_METADATA!$B$4),IF(DATOS!$G18005="EX",1,IF(DATOS!$G18005="OR",--(COUNTIFS(nNIA,DATOS!$A18005,nCURSO,DATOS!$D18005,nESPEC,DATOS!$E18005,nASIG,DATOS!$I18005,nEVAL,"EX")=0),0))))</f>
      </c>
      <c r="H18005">
        <f>IF(DATOS!$G18005&lt;&gt;"EX",0,--(COUNTIFS(nNIA,DATOS!$A18005,nCURSO,DATOS!$D18005,nESPEC,DATOS!$E18005,nASIG,DATOS!$I18005,nEVAL,"OR")=0))</f>
      </c>
      <c r="I18005">
        <f>IF(DATOS!$I18005="","",IFERROR(VLOOKUP(DATOS!$I18005,CONFIG_ASIGNATURAS!$B$2:$J$91,9,FALSE()),""))</f>
      </c>
    </row>
    <row r="18006">
      <c r="F18006">
        <f>IF(DATOS!$A18006="","",DATOS!$A18006&amp;"|"&amp;DATOS!$D18006&amp;"|"&amp;DATOS!$E18006&amp;"|"&amp;DATOS!$I18006)</f>
      </c>
      <c r="G18006">
        <f>IF(DATOS!$A18006="",0,IF(CONFIG_METADATA!$B$4&lt;&gt;"OR+EX",--(DATOS!$G18006=CONFIG_METADATA!$B$4),IF(DATOS!$G18006="EX",1,IF(DATOS!$G18006="OR",--(COUNTIFS(nNIA,DATOS!$A18006,nCURSO,DATOS!$D18006,nESPEC,DATOS!$E18006,nASIG,DATOS!$I18006,nEVAL,"EX")=0),0))))</f>
      </c>
      <c r="H18006">
        <f>IF(DATOS!$G18006&lt;&gt;"EX",0,--(COUNTIFS(nNIA,DATOS!$A18006,nCURSO,DATOS!$D18006,nESPEC,DATOS!$E18006,nASIG,DATOS!$I18006,nEVAL,"OR")=0))</f>
      </c>
      <c r="I18006">
        <f>IF(DATOS!$I18006="","",IFERROR(VLOOKUP(DATOS!$I18006,CONFIG_ASIGNATURAS!$B$2:$J$91,9,FALSE()),""))</f>
      </c>
    </row>
    <row r="18007">
      <c r="F18007">
        <f>IF(DATOS!$A18007="","",DATOS!$A18007&amp;"|"&amp;DATOS!$D18007&amp;"|"&amp;DATOS!$E18007&amp;"|"&amp;DATOS!$I18007)</f>
      </c>
      <c r="G18007">
        <f>IF(DATOS!$A18007="",0,IF(CONFIG_METADATA!$B$4&lt;&gt;"OR+EX",--(DATOS!$G18007=CONFIG_METADATA!$B$4),IF(DATOS!$G18007="EX",1,IF(DATOS!$G18007="OR",--(COUNTIFS(nNIA,DATOS!$A18007,nCURSO,DATOS!$D18007,nESPEC,DATOS!$E18007,nASIG,DATOS!$I18007,nEVAL,"EX")=0),0))))</f>
      </c>
      <c r="H18007">
        <f>IF(DATOS!$G18007&lt;&gt;"EX",0,--(COUNTIFS(nNIA,DATOS!$A18007,nCURSO,DATOS!$D18007,nESPEC,DATOS!$E18007,nASIG,DATOS!$I18007,nEVAL,"OR")=0))</f>
      </c>
      <c r="I18007">
        <f>IF(DATOS!$I18007="","",IFERROR(VLOOKUP(DATOS!$I18007,CONFIG_ASIGNATURAS!$B$2:$J$91,9,FALSE()),""))</f>
      </c>
    </row>
    <row r="18008">
      <c r="F18008">
        <f>IF(DATOS!$A18008="","",DATOS!$A18008&amp;"|"&amp;DATOS!$D18008&amp;"|"&amp;DATOS!$E18008&amp;"|"&amp;DATOS!$I18008)</f>
      </c>
      <c r="G18008">
        <f>IF(DATOS!$A18008="",0,IF(CONFIG_METADATA!$B$4&lt;&gt;"OR+EX",--(DATOS!$G18008=CONFIG_METADATA!$B$4),IF(DATOS!$G18008="EX",1,IF(DATOS!$G18008="OR",--(COUNTIFS(nNIA,DATOS!$A18008,nCURSO,DATOS!$D18008,nESPEC,DATOS!$E18008,nASIG,DATOS!$I18008,nEVAL,"EX")=0),0))))</f>
      </c>
      <c r="H18008">
        <f>IF(DATOS!$G18008&lt;&gt;"EX",0,--(COUNTIFS(nNIA,DATOS!$A18008,nCURSO,DATOS!$D18008,nESPEC,DATOS!$E18008,nASIG,DATOS!$I18008,nEVAL,"OR")=0))</f>
      </c>
      <c r="I18008">
        <f>IF(DATOS!$I18008="","",IFERROR(VLOOKUP(DATOS!$I18008,CONFIG_ASIGNATURAS!$B$2:$J$91,9,FALSE()),""))</f>
      </c>
    </row>
    <row r="18009">
      <c r="F18009">
        <f>IF(DATOS!$A18009="","",DATOS!$A18009&amp;"|"&amp;DATOS!$D18009&amp;"|"&amp;DATOS!$E18009&amp;"|"&amp;DATOS!$I18009)</f>
      </c>
      <c r="G18009">
        <f>IF(DATOS!$A18009="",0,IF(CONFIG_METADATA!$B$4&lt;&gt;"OR+EX",--(DATOS!$G18009=CONFIG_METADATA!$B$4),IF(DATOS!$G18009="EX",1,IF(DATOS!$G18009="OR",--(COUNTIFS(nNIA,DATOS!$A18009,nCURSO,DATOS!$D18009,nESPEC,DATOS!$E18009,nASIG,DATOS!$I18009,nEVAL,"EX")=0),0))))</f>
      </c>
      <c r="H18009">
        <f>IF(DATOS!$G18009&lt;&gt;"EX",0,--(COUNTIFS(nNIA,DATOS!$A18009,nCURSO,DATOS!$D18009,nESPEC,DATOS!$E18009,nASIG,DATOS!$I18009,nEVAL,"OR")=0))</f>
      </c>
      <c r="I18009">
        <f>IF(DATOS!$I18009="","",IFERROR(VLOOKUP(DATOS!$I18009,CONFIG_ASIGNATURAS!$B$2:$J$91,9,FALSE()),""))</f>
      </c>
    </row>
    <row r="18010">
      <c r="F18010">
        <f>IF(DATOS!$A18010="","",DATOS!$A18010&amp;"|"&amp;DATOS!$D18010&amp;"|"&amp;DATOS!$E18010&amp;"|"&amp;DATOS!$I18010)</f>
      </c>
      <c r="G18010">
        <f>IF(DATOS!$A18010="",0,IF(CONFIG_METADATA!$B$4&lt;&gt;"OR+EX",--(DATOS!$G18010=CONFIG_METADATA!$B$4),IF(DATOS!$G18010="EX",1,IF(DATOS!$G18010="OR",--(COUNTIFS(nNIA,DATOS!$A18010,nCURSO,DATOS!$D18010,nESPEC,DATOS!$E18010,nASIG,DATOS!$I18010,nEVAL,"EX")=0),0))))</f>
      </c>
      <c r="H18010">
        <f>IF(DATOS!$G18010&lt;&gt;"EX",0,--(COUNTIFS(nNIA,DATOS!$A18010,nCURSO,DATOS!$D18010,nESPEC,DATOS!$E18010,nASIG,DATOS!$I18010,nEVAL,"OR")=0))</f>
      </c>
      <c r="I18010">
        <f>IF(DATOS!$I18010="","",IFERROR(VLOOKUP(DATOS!$I18010,CONFIG_ASIGNATURAS!$B$2:$J$91,9,FALSE()),""))</f>
      </c>
    </row>
    <row r="18011">
      <c r="F18011">
        <f>IF(DATOS!$A18011="","",DATOS!$A18011&amp;"|"&amp;DATOS!$D18011&amp;"|"&amp;DATOS!$E18011&amp;"|"&amp;DATOS!$I18011)</f>
      </c>
      <c r="G18011">
        <f>IF(DATOS!$A18011="",0,IF(CONFIG_METADATA!$B$4&lt;&gt;"OR+EX",--(DATOS!$G18011=CONFIG_METADATA!$B$4),IF(DATOS!$G18011="EX",1,IF(DATOS!$G18011="OR",--(COUNTIFS(nNIA,DATOS!$A18011,nCURSO,DATOS!$D18011,nESPEC,DATOS!$E18011,nASIG,DATOS!$I18011,nEVAL,"EX")=0),0))))</f>
      </c>
      <c r="H18011">
        <f>IF(DATOS!$G18011&lt;&gt;"EX",0,--(COUNTIFS(nNIA,DATOS!$A18011,nCURSO,DATOS!$D18011,nESPEC,DATOS!$E18011,nASIG,DATOS!$I18011,nEVAL,"OR")=0))</f>
      </c>
      <c r="I18011">
        <f>IF(DATOS!$I18011="","",IFERROR(VLOOKUP(DATOS!$I18011,CONFIG_ASIGNATURAS!$B$2:$J$91,9,FALSE()),""))</f>
      </c>
    </row>
    <row r="18012">
      <c r="F18012">
        <f>IF(DATOS!$A18012="","",DATOS!$A18012&amp;"|"&amp;DATOS!$D18012&amp;"|"&amp;DATOS!$E18012&amp;"|"&amp;DATOS!$I18012)</f>
      </c>
      <c r="G18012">
        <f>IF(DATOS!$A18012="",0,IF(CONFIG_METADATA!$B$4&lt;&gt;"OR+EX",--(DATOS!$G18012=CONFIG_METADATA!$B$4),IF(DATOS!$G18012="EX",1,IF(DATOS!$G18012="OR",--(COUNTIFS(nNIA,DATOS!$A18012,nCURSO,DATOS!$D18012,nESPEC,DATOS!$E18012,nASIG,DATOS!$I18012,nEVAL,"EX")=0),0))))</f>
      </c>
      <c r="H18012">
        <f>IF(DATOS!$G18012&lt;&gt;"EX",0,--(COUNTIFS(nNIA,DATOS!$A18012,nCURSO,DATOS!$D18012,nESPEC,DATOS!$E18012,nASIG,DATOS!$I18012,nEVAL,"OR")=0))</f>
      </c>
      <c r="I18012">
        <f>IF(DATOS!$I18012="","",IFERROR(VLOOKUP(DATOS!$I18012,CONFIG_ASIGNATURAS!$B$2:$J$91,9,FALSE()),""))</f>
      </c>
    </row>
    <row r="18013">
      <c r="F18013">
        <f>IF(DATOS!$A18013="","",DATOS!$A18013&amp;"|"&amp;DATOS!$D18013&amp;"|"&amp;DATOS!$E18013&amp;"|"&amp;DATOS!$I18013)</f>
      </c>
      <c r="G18013">
        <f>IF(DATOS!$A18013="",0,IF(CONFIG_METADATA!$B$4&lt;&gt;"OR+EX",--(DATOS!$G18013=CONFIG_METADATA!$B$4),IF(DATOS!$G18013="EX",1,IF(DATOS!$G18013="OR",--(COUNTIFS(nNIA,DATOS!$A18013,nCURSO,DATOS!$D18013,nESPEC,DATOS!$E18013,nASIG,DATOS!$I18013,nEVAL,"EX")=0),0))))</f>
      </c>
      <c r="H18013">
        <f>IF(DATOS!$G18013&lt;&gt;"EX",0,--(COUNTIFS(nNIA,DATOS!$A18013,nCURSO,DATOS!$D18013,nESPEC,DATOS!$E18013,nASIG,DATOS!$I18013,nEVAL,"OR")=0))</f>
      </c>
      <c r="I18013">
        <f>IF(DATOS!$I18013="","",IFERROR(VLOOKUP(DATOS!$I18013,CONFIG_ASIGNATURAS!$B$2:$J$91,9,FALSE()),""))</f>
      </c>
    </row>
    <row r="18014">
      <c r="F18014">
        <f>IF(DATOS!$A18014="","",DATOS!$A18014&amp;"|"&amp;DATOS!$D18014&amp;"|"&amp;DATOS!$E18014&amp;"|"&amp;DATOS!$I18014)</f>
      </c>
      <c r="G18014">
        <f>IF(DATOS!$A18014="",0,IF(CONFIG_METADATA!$B$4&lt;&gt;"OR+EX",--(DATOS!$G18014=CONFIG_METADATA!$B$4),IF(DATOS!$G18014="EX",1,IF(DATOS!$G18014="OR",--(COUNTIFS(nNIA,DATOS!$A18014,nCURSO,DATOS!$D18014,nESPEC,DATOS!$E18014,nASIG,DATOS!$I18014,nEVAL,"EX")=0),0))))</f>
      </c>
      <c r="H18014">
        <f>IF(DATOS!$G18014&lt;&gt;"EX",0,--(COUNTIFS(nNIA,DATOS!$A18014,nCURSO,DATOS!$D18014,nESPEC,DATOS!$E18014,nASIG,DATOS!$I18014,nEVAL,"OR")=0))</f>
      </c>
      <c r="I18014">
        <f>IF(DATOS!$I18014="","",IFERROR(VLOOKUP(DATOS!$I18014,CONFIG_ASIGNATURAS!$B$2:$J$91,9,FALSE()),""))</f>
      </c>
    </row>
    <row r="18015">
      <c r="F18015">
        <f>IF(DATOS!$A18015="","",DATOS!$A18015&amp;"|"&amp;DATOS!$D18015&amp;"|"&amp;DATOS!$E18015&amp;"|"&amp;DATOS!$I18015)</f>
      </c>
      <c r="G18015">
        <f>IF(DATOS!$A18015="",0,IF(CONFIG_METADATA!$B$4&lt;&gt;"OR+EX",--(DATOS!$G18015=CONFIG_METADATA!$B$4),IF(DATOS!$G18015="EX",1,IF(DATOS!$G18015="OR",--(COUNTIFS(nNIA,DATOS!$A18015,nCURSO,DATOS!$D18015,nESPEC,DATOS!$E18015,nASIG,DATOS!$I18015,nEVAL,"EX")=0),0))))</f>
      </c>
      <c r="H18015">
        <f>IF(DATOS!$G18015&lt;&gt;"EX",0,--(COUNTIFS(nNIA,DATOS!$A18015,nCURSO,DATOS!$D18015,nESPEC,DATOS!$E18015,nASIG,DATOS!$I18015,nEVAL,"OR")=0))</f>
      </c>
      <c r="I18015">
        <f>IF(DATOS!$I18015="","",IFERROR(VLOOKUP(DATOS!$I18015,CONFIG_ASIGNATURAS!$B$2:$J$91,9,FALSE()),""))</f>
      </c>
    </row>
    <row r="18016">
      <c r="F18016">
        <f>IF(DATOS!$A18016="","",DATOS!$A18016&amp;"|"&amp;DATOS!$D18016&amp;"|"&amp;DATOS!$E18016&amp;"|"&amp;DATOS!$I18016)</f>
      </c>
      <c r="G18016">
        <f>IF(DATOS!$A18016="",0,IF(CONFIG_METADATA!$B$4&lt;&gt;"OR+EX",--(DATOS!$G18016=CONFIG_METADATA!$B$4),IF(DATOS!$G18016="EX",1,IF(DATOS!$G18016="OR",--(COUNTIFS(nNIA,DATOS!$A18016,nCURSO,DATOS!$D18016,nESPEC,DATOS!$E18016,nASIG,DATOS!$I18016,nEVAL,"EX")=0),0))))</f>
      </c>
      <c r="H18016">
        <f>IF(DATOS!$G18016&lt;&gt;"EX",0,--(COUNTIFS(nNIA,DATOS!$A18016,nCURSO,DATOS!$D18016,nESPEC,DATOS!$E18016,nASIG,DATOS!$I18016,nEVAL,"OR")=0))</f>
      </c>
      <c r="I18016">
        <f>IF(DATOS!$I18016="","",IFERROR(VLOOKUP(DATOS!$I18016,CONFIG_ASIGNATURAS!$B$2:$J$91,9,FALSE()),""))</f>
      </c>
    </row>
    <row r="18017">
      <c r="F18017">
        <f>IF(DATOS!$A18017="","",DATOS!$A18017&amp;"|"&amp;DATOS!$D18017&amp;"|"&amp;DATOS!$E18017&amp;"|"&amp;DATOS!$I18017)</f>
      </c>
      <c r="G18017">
        <f>IF(DATOS!$A18017="",0,IF(CONFIG_METADATA!$B$4&lt;&gt;"OR+EX",--(DATOS!$G18017=CONFIG_METADATA!$B$4),IF(DATOS!$G18017="EX",1,IF(DATOS!$G18017="OR",--(COUNTIFS(nNIA,DATOS!$A18017,nCURSO,DATOS!$D18017,nESPEC,DATOS!$E18017,nASIG,DATOS!$I18017,nEVAL,"EX")=0),0))))</f>
      </c>
      <c r="H18017">
        <f>IF(DATOS!$G18017&lt;&gt;"EX",0,--(COUNTIFS(nNIA,DATOS!$A18017,nCURSO,DATOS!$D18017,nESPEC,DATOS!$E18017,nASIG,DATOS!$I18017,nEVAL,"OR")=0))</f>
      </c>
      <c r="I18017">
        <f>IF(DATOS!$I18017="","",IFERROR(VLOOKUP(DATOS!$I18017,CONFIG_ASIGNATURAS!$B$2:$J$91,9,FALSE()),""))</f>
      </c>
    </row>
    <row r="18018">
      <c r="F18018">
        <f>IF(DATOS!$A18018="","",DATOS!$A18018&amp;"|"&amp;DATOS!$D18018&amp;"|"&amp;DATOS!$E18018&amp;"|"&amp;DATOS!$I18018)</f>
      </c>
      <c r="G18018">
        <f>IF(DATOS!$A18018="",0,IF(CONFIG_METADATA!$B$4&lt;&gt;"OR+EX",--(DATOS!$G18018=CONFIG_METADATA!$B$4),IF(DATOS!$G18018="EX",1,IF(DATOS!$G18018="OR",--(COUNTIFS(nNIA,DATOS!$A18018,nCURSO,DATOS!$D18018,nESPEC,DATOS!$E18018,nASIG,DATOS!$I18018,nEVAL,"EX")=0),0))))</f>
      </c>
      <c r="H18018">
        <f>IF(DATOS!$G18018&lt;&gt;"EX",0,--(COUNTIFS(nNIA,DATOS!$A18018,nCURSO,DATOS!$D18018,nESPEC,DATOS!$E18018,nASIG,DATOS!$I18018,nEVAL,"OR")=0))</f>
      </c>
      <c r="I18018">
        <f>IF(DATOS!$I18018="","",IFERROR(VLOOKUP(DATOS!$I18018,CONFIG_ASIGNATURAS!$B$2:$J$91,9,FALSE()),""))</f>
      </c>
    </row>
    <row r="18019">
      <c r="F18019">
        <f>IF(DATOS!$A18019="","",DATOS!$A18019&amp;"|"&amp;DATOS!$D18019&amp;"|"&amp;DATOS!$E18019&amp;"|"&amp;DATOS!$I18019)</f>
      </c>
      <c r="G18019">
        <f>IF(DATOS!$A18019="",0,IF(CONFIG_METADATA!$B$4&lt;&gt;"OR+EX",--(DATOS!$G18019=CONFIG_METADATA!$B$4),IF(DATOS!$G18019="EX",1,IF(DATOS!$G18019="OR",--(COUNTIFS(nNIA,DATOS!$A18019,nCURSO,DATOS!$D18019,nESPEC,DATOS!$E18019,nASIG,DATOS!$I18019,nEVAL,"EX")=0),0))))</f>
      </c>
      <c r="H18019">
        <f>IF(DATOS!$G18019&lt;&gt;"EX",0,--(COUNTIFS(nNIA,DATOS!$A18019,nCURSO,DATOS!$D18019,nESPEC,DATOS!$E18019,nASIG,DATOS!$I18019,nEVAL,"OR")=0))</f>
      </c>
      <c r="I18019">
        <f>IF(DATOS!$I18019="","",IFERROR(VLOOKUP(DATOS!$I18019,CONFIG_ASIGNATURAS!$B$2:$J$91,9,FALSE()),""))</f>
      </c>
    </row>
    <row r="18020">
      <c r="F18020">
        <f>IF(DATOS!$A18020="","",DATOS!$A18020&amp;"|"&amp;DATOS!$D18020&amp;"|"&amp;DATOS!$E18020&amp;"|"&amp;DATOS!$I18020)</f>
      </c>
      <c r="G18020">
        <f>IF(DATOS!$A18020="",0,IF(CONFIG_METADATA!$B$4&lt;&gt;"OR+EX",--(DATOS!$G18020=CONFIG_METADATA!$B$4),IF(DATOS!$G18020="EX",1,IF(DATOS!$G18020="OR",--(COUNTIFS(nNIA,DATOS!$A18020,nCURSO,DATOS!$D18020,nESPEC,DATOS!$E18020,nASIG,DATOS!$I18020,nEVAL,"EX")=0),0))))</f>
      </c>
      <c r="H18020">
        <f>IF(DATOS!$G18020&lt;&gt;"EX",0,--(COUNTIFS(nNIA,DATOS!$A18020,nCURSO,DATOS!$D18020,nESPEC,DATOS!$E18020,nASIG,DATOS!$I18020,nEVAL,"OR")=0))</f>
      </c>
      <c r="I18020">
        <f>IF(DATOS!$I18020="","",IFERROR(VLOOKUP(DATOS!$I18020,CONFIG_ASIGNATURAS!$B$2:$J$91,9,FALSE()),""))</f>
      </c>
    </row>
    <row r="18021">
      <c r="F18021">
        <f>IF(DATOS!$A18021="","",DATOS!$A18021&amp;"|"&amp;DATOS!$D18021&amp;"|"&amp;DATOS!$E18021&amp;"|"&amp;DATOS!$I18021)</f>
      </c>
      <c r="G18021">
        <f>IF(DATOS!$A18021="",0,IF(CONFIG_METADATA!$B$4&lt;&gt;"OR+EX",--(DATOS!$G18021=CONFIG_METADATA!$B$4),IF(DATOS!$G18021="EX",1,IF(DATOS!$G18021="OR",--(COUNTIFS(nNIA,DATOS!$A18021,nCURSO,DATOS!$D18021,nESPEC,DATOS!$E18021,nASIG,DATOS!$I18021,nEVAL,"EX")=0),0))))</f>
      </c>
      <c r="H18021">
        <f>IF(DATOS!$G18021&lt;&gt;"EX",0,--(COUNTIFS(nNIA,DATOS!$A18021,nCURSO,DATOS!$D18021,nESPEC,DATOS!$E18021,nASIG,DATOS!$I18021,nEVAL,"OR")=0))</f>
      </c>
      <c r="I18021">
        <f>IF(DATOS!$I18021="","",IFERROR(VLOOKUP(DATOS!$I18021,CONFIG_ASIGNATURAS!$B$2:$J$91,9,FALSE()),""))</f>
      </c>
    </row>
    <row r="18022">
      <c r="F18022">
        <f>IF(DATOS!$A18022="","",DATOS!$A18022&amp;"|"&amp;DATOS!$D18022&amp;"|"&amp;DATOS!$E18022&amp;"|"&amp;DATOS!$I18022)</f>
      </c>
      <c r="G18022">
        <f>IF(DATOS!$A18022="",0,IF(CONFIG_METADATA!$B$4&lt;&gt;"OR+EX",--(DATOS!$G18022=CONFIG_METADATA!$B$4),IF(DATOS!$G18022="EX",1,IF(DATOS!$G18022="OR",--(COUNTIFS(nNIA,DATOS!$A18022,nCURSO,DATOS!$D18022,nESPEC,DATOS!$E18022,nASIG,DATOS!$I18022,nEVAL,"EX")=0),0))))</f>
      </c>
      <c r="H18022">
        <f>IF(DATOS!$G18022&lt;&gt;"EX",0,--(COUNTIFS(nNIA,DATOS!$A18022,nCURSO,DATOS!$D18022,nESPEC,DATOS!$E18022,nASIG,DATOS!$I18022,nEVAL,"OR")=0))</f>
      </c>
      <c r="I18022">
        <f>IF(DATOS!$I18022="","",IFERROR(VLOOKUP(DATOS!$I18022,CONFIG_ASIGNATURAS!$B$2:$J$91,9,FALSE()),""))</f>
      </c>
    </row>
    <row r="18023">
      <c r="F18023">
        <f>IF(DATOS!$A18023="","",DATOS!$A18023&amp;"|"&amp;DATOS!$D18023&amp;"|"&amp;DATOS!$E18023&amp;"|"&amp;DATOS!$I18023)</f>
      </c>
      <c r="G18023">
        <f>IF(DATOS!$A18023="",0,IF(CONFIG_METADATA!$B$4&lt;&gt;"OR+EX",--(DATOS!$G18023=CONFIG_METADATA!$B$4),IF(DATOS!$G18023="EX",1,IF(DATOS!$G18023="OR",--(COUNTIFS(nNIA,DATOS!$A18023,nCURSO,DATOS!$D18023,nESPEC,DATOS!$E18023,nASIG,DATOS!$I18023,nEVAL,"EX")=0),0))))</f>
      </c>
      <c r="H18023">
        <f>IF(DATOS!$G18023&lt;&gt;"EX",0,--(COUNTIFS(nNIA,DATOS!$A18023,nCURSO,DATOS!$D18023,nESPEC,DATOS!$E18023,nASIG,DATOS!$I18023,nEVAL,"OR")=0))</f>
      </c>
      <c r="I18023">
        <f>IF(DATOS!$I18023="","",IFERROR(VLOOKUP(DATOS!$I18023,CONFIG_ASIGNATURAS!$B$2:$J$91,9,FALSE()),""))</f>
      </c>
    </row>
    <row r="18024">
      <c r="F18024">
        <f>IF(DATOS!$A18024="","",DATOS!$A18024&amp;"|"&amp;DATOS!$D18024&amp;"|"&amp;DATOS!$E18024&amp;"|"&amp;DATOS!$I18024)</f>
      </c>
      <c r="G18024">
        <f>IF(DATOS!$A18024="",0,IF(CONFIG_METADATA!$B$4&lt;&gt;"OR+EX",--(DATOS!$G18024=CONFIG_METADATA!$B$4),IF(DATOS!$G18024="EX",1,IF(DATOS!$G18024="OR",--(COUNTIFS(nNIA,DATOS!$A18024,nCURSO,DATOS!$D18024,nESPEC,DATOS!$E18024,nASIG,DATOS!$I18024,nEVAL,"EX")=0),0))))</f>
      </c>
      <c r="H18024">
        <f>IF(DATOS!$G18024&lt;&gt;"EX",0,--(COUNTIFS(nNIA,DATOS!$A18024,nCURSO,DATOS!$D18024,nESPEC,DATOS!$E18024,nASIG,DATOS!$I18024,nEVAL,"OR")=0))</f>
      </c>
      <c r="I18024">
        <f>IF(DATOS!$I18024="","",IFERROR(VLOOKUP(DATOS!$I18024,CONFIG_ASIGNATURAS!$B$2:$J$91,9,FALSE()),""))</f>
      </c>
    </row>
    <row r="18025">
      <c r="F18025">
        <f>IF(DATOS!$A18025="","",DATOS!$A18025&amp;"|"&amp;DATOS!$D18025&amp;"|"&amp;DATOS!$E18025&amp;"|"&amp;DATOS!$I18025)</f>
      </c>
      <c r="G18025">
        <f>IF(DATOS!$A18025="",0,IF(CONFIG_METADATA!$B$4&lt;&gt;"OR+EX",--(DATOS!$G18025=CONFIG_METADATA!$B$4),IF(DATOS!$G18025="EX",1,IF(DATOS!$G18025="OR",--(COUNTIFS(nNIA,DATOS!$A18025,nCURSO,DATOS!$D18025,nESPEC,DATOS!$E18025,nASIG,DATOS!$I18025,nEVAL,"EX")=0),0))))</f>
      </c>
      <c r="H18025">
        <f>IF(DATOS!$G18025&lt;&gt;"EX",0,--(COUNTIFS(nNIA,DATOS!$A18025,nCURSO,DATOS!$D18025,nESPEC,DATOS!$E18025,nASIG,DATOS!$I18025,nEVAL,"OR")=0))</f>
      </c>
      <c r="I18025">
        <f>IF(DATOS!$I18025="","",IFERROR(VLOOKUP(DATOS!$I18025,CONFIG_ASIGNATURAS!$B$2:$J$91,9,FALSE()),""))</f>
      </c>
    </row>
    <row r="18026">
      <c r="F18026">
        <f>IF(DATOS!$A18026="","",DATOS!$A18026&amp;"|"&amp;DATOS!$D18026&amp;"|"&amp;DATOS!$E18026&amp;"|"&amp;DATOS!$I18026)</f>
      </c>
      <c r="G18026">
        <f>IF(DATOS!$A18026="",0,IF(CONFIG_METADATA!$B$4&lt;&gt;"OR+EX",--(DATOS!$G18026=CONFIG_METADATA!$B$4),IF(DATOS!$G18026="EX",1,IF(DATOS!$G18026="OR",--(COUNTIFS(nNIA,DATOS!$A18026,nCURSO,DATOS!$D18026,nESPEC,DATOS!$E18026,nASIG,DATOS!$I18026,nEVAL,"EX")=0),0))))</f>
      </c>
      <c r="H18026">
        <f>IF(DATOS!$G18026&lt;&gt;"EX",0,--(COUNTIFS(nNIA,DATOS!$A18026,nCURSO,DATOS!$D18026,nESPEC,DATOS!$E18026,nASIG,DATOS!$I18026,nEVAL,"OR")=0))</f>
      </c>
      <c r="I18026">
        <f>IF(DATOS!$I18026="","",IFERROR(VLOOKUP(DATOS!$I18026,CONFIG_ASIGNATURAS!$B$2:$J$91,9,FALSE()),""))</f>
      </c>
    </row>
    <row r="18027">
      <c r="F18027">
        <f>IF(DATOS!$A18027="","",DATOS!$A18027&amp;"|"&amp;DATOS!$D18027&amp;"|"&amp;DATOS!$E18027&amp;"|"&amp;DATOS!$I18027)</f>
      </c>
      <c r="G18027">
        <f>IF(DATOS!$A18027="",0,IF(CONFIG_METADATA!$B$4&lt;&gt;"OR+EX",--(DATOS!$G18027=CONFIG_METADATA!$B$4),IF(DATOS!$G18027="EX",1,IF(DATOS!$G18027="OR",--(COUNTIFS(nNIA,DATOS!$A18027,nCURSO,DATOS!$D18027,nESPEC,DATOS!$E18027,nASIG,DATOS!$I18027,nEVAL,"EX")=0),0))))</f>
      </c>
      <c r="H18027">
        <f>IF(DATOS!$G18027&lt;&gt;"EX",0,--(COUNTIFS(nNIA,DATOS!$A18027,nCURSO,DATOS!$D18027,nESPEC,DATOS!$E18027,nASIG,DATOS!$I18027,nEVAL,"OR")=0))</f>
      </c>
      <c r="I18027">
        <f>IF(DATOS!$I18027="","",IFERROR(VLOOKUP(DATOS!$I18027,CONFIG_ASIGNATURAS!$B$2:$J$91,9,FALSE()),""))</f>
      </c>
    </row>
    <row r="18028">
      <c r="F18028">
        <f>IF(DATOS!$A18028="","",DATOS!$A18028&amp;"|"&amp;DATOS!$D18028&amp;"|"&amp;DATOS!$E18028&amp;"|"&amp;DATOS!$I18028)</f>
      </c>
      <c r="G18028">
        <f>IF(DATOS!$A18028="",0,IF(CONFIG_METADATA!$B$4&lt;&gt;"OR+EX",--(DATOS!$G18028=CONFIG_METADATA!$B$4),IF(DATOS!$G18028="EX",1,IF(DATOS!$G18028="OR",--(COUNTIFS(nNIA,DATOS!$A18028,nCURSO,DATOS!$D18028,nESPEC,DATOS!$E18028,nASIG,DATOS!$I18028,nEVAL,"EX")=0),0))))</f>
      </c>
      <c r="H18028">
        <f>IF(DATOS!$G18028&lt;&gt;"EX",0,--(COUNTIFS(nNIA,DATOS!$A18028,nCURSO,DATOS!$D18028,nESPEC,DATOS!$E18028,nASIG,DATOS!$I18028,nEVAL,"OR")=0))</f>
      </c>
      <c r="I18028">
        <f>IF(DATOS!$I18028="","",IFERROR(VLOOKUP(DATOS!$I18028,CONFIG_ASIGNATURAS!$B$2:$J$91,9,FALSE()),""))</f>
      </c>
    </row>
    <row r="18029">
      <c r="F18029">
        <f>IF(DATOS!$A18029="","",DATOS!$A18029&amp;"|"&amp;DATOS!$D18029&amp;"|"&amp;DATOS!$E18029&amp;"|"&amp;DATOS!$I18029)</f>
      </c>
      <c r="G18029">
        <f>IF(DATOS!$A18029="",0,IF(CONFIG_METADATA!$B$4&lt;&gt;"OR+EX",--(DATOS!$G18029=CONFIG_METADATA!$B$4),IF(DATOS!$G18029="EX",1,IF(DATOS!$G18029="OR",--(COUNTIFS(nNIA,DATOS!$A18029,nCURSO,DATOS!$D18029,nESPEC,DATOS!$E18029,nASIG,DATOS!$I18029,nEVAL,"EX")=0),0))))</f>
      </c>
      <c r="H18029">
        <f>IF(DATOS!$G18029&lt;&gt;"EX",0,--(COUNTIFS(nNIA,DATOS!$A18029,nCURSO,DATOS!$D18029,nESPEC,DATOS!$E18029,nASIG,DATOS!$I18029,nEVAL,"OR")=0))</f>
      </c>
      <c r="I18029">
        <f>IF(DATOS!$I18029="","",IFERROR(VLOOKUP(DATOS!$I18029,CONFIG_ASIGNATURAS!$B$2:$J$91,9,FALSE()),""))</f>
      </c>
    </row>
    <row r="18030">
      <c r="F18030">
        <f>IF(DATOS!$A18030="","",DATOS!$A18030&amp;"|"&amp;DATOS!$D18030&amp;"|"&amp;DATOS!$E18030&amp;"|"&amp;DATOS!$I18030)</f>
      </c>
      <c r="G18030">
        <f>IF(DATOS!$A18030="",0,IF(CONFIG_METADATA!$B$4&lt;&gt;"OR+EX",--(DATOS!$G18030=CONFIG_METADATA!$B$4),IF(DATOS!$G18030="EX",1,IF(DATOS!$G18030="OR",--(COUNTIFS(nNIA,DATOS!$A18030,nCURSO,DATOS!$D18030,nESPEC,DATOS!$E18030,nASIG,DATOS!$I18030,nEVAL,"EX")=0),0))))</f>
      </c>
      <c r="H18030">
        <f>IF(DATOS!$G18030&lt;&gt;"EX",0,--(COUNTIFS(nNIA,DATOS!$A18030,nCURSO,DATOS!$D18030,nESPEC,DATOS!$E18030,nASIG,DATOS!$I18030,nEVAL,"OR")=0))</f>
      </c>
      <c r="I18030">
        <f>IF(DATOS!$I18030="","",IFERROR(VLOOKUP(DATOS!$I18030,CONFIG_ASIGNATURAS!$B$2:$J$91,9,FALSE()),""))</f>
      </c>
    </row>
    <row r="18031">
      <c r="F18031">
        <f>IF(DATOS!$A18031="","",DATOS!$A18031&amp;"|"&amp;DATOS!$D18031&amp;"|"&amp;DATOS!$E18031&amp;"|"&amp;DATOS!$I18031)</f>
      </c>
      <c r="G18031">
        <f>IF(DATOS!$A18031="",0,IF(CONFIG_METADATA!$B$4&lt;&gt;"OR+EX",--(DATOS!$G18031=CONFIG_METADATA!$B$4),IF(DATOS!$G18031="EX",1,IF(DATOS!$G18031="OR",--(COUNTIFS(nNIA,DATOS!$A18031,nCURSO,DATOS!$D18031,nESPEC,DATOS!$E18031,nASIG,DATOS!$I18031,nEVAL,"EX")=0),0))))</f>
      </c>
      <c r="H18031">
        <f>IF(DATOS!$G18031&lt;&gt;"EX",0,--(COUNTIFS(nNIA,DATOS!$A18031,nCURSO,DATOS!$D18031,nESPEC,DATOS!$E18031,nASIG,DATOS!$I18031,nEVAL,"OR")=0))</f>
      </c>
      <c r="I18031">
        <f>IF(DATOS!$I18031="","",IFERROR(VLOOKUP(DATOS!$I18031,CONFIG_ASIGNATURAS!$B$2:$J$91,9,FALSE()),""))</f>
      </c>
    </row>
    <row r="18032">
      <c r="F18032">
        <f>IF(DATOS!$A18032="","",DATOS!$A18032&amp;"|"&amp;DATOS!$D18032&amp;"|"&amp;DATOS!$E18032&amp;"|"&amp;DATOS!$I18032)</f>
      </c>
      <c r="G18032">
        <f>IF(DATOS!$A18032="",0,IF(CONFIG_METADATA!$B$4&lt;&gt;"OR+EX",--(DATOS!$G18032=CONFIG_METADATA!$B$4),IF(DATOS!$G18032="EX",1,IF(DATOS!$G18032="OR",--(COUNTIFS(nNIA,DATOS!$A18032,nCURSO,DATOS!$D18032,nESPEC,DATOS!$E18032,nASIG,DATOS!$I18032,nEVAL,"EX")=0),0))))</f>
      </c>
      <c r="H18032">
        <f>IF(DATOS!$G18032&lt;&gt;"EX",0,--(COUNTIFS(nNIA,DATOS!$A18032,nCURSO,DATOS!$D18032,nESPEC,DATOS!$E18032,nASIG,DATOS!$I18032,nEVAL,"OR")=0))</f>
      </c>
      <c r="I18032">
        <f>IF(DATOS!$I18032="","",IFERROR(VLOOKUP(DATOS!$I18032,CONFIG_ASIGNATURAS!$B$2:$J$91,9,FALSE()),""))</f>
      </c>
    </row>
    <row r="18033">
      <c r="F18033">
        <f>IF(DATOS!$A18033="","",DATOS!$A18033&amp;"|"&amp;DATOS!$D18033&amp;"|"&amp;DATOS!$E18033&amp;"|"&amp;DATOS!$I18033)</f>
      </c>
      <c r="G18033">
        <f>IF(DATOS!$A18033="",0,IF(CONFIG_METADATA!$B$4&lt;&gt;"OR+EX",--(DATOS!$G18033=CONFIG_METADATA!$B$4),IF(DATOS!$G18033="EX",1,IF(DATOS!$G18033="OR",--(COUNTIFS(nNIA,DATOS!$A18033,nCURSO,DATOS!$D18033,nESPEC,DATOS!$E18033,nASIG,DATOS!$I18033,nEVAL,"EX")=0),0))))</f>
      </c>
      <c r="H18033">
        <f>IF(DATOS!$G18033&lt;&gt;"EX",0,--(COUNTIFS(nNIA,DATOS!$A18033,nCURSO,DATOS!$D18033,nESPEC,DATOS!$E18033,nASIG,DATOS!$I18033,nEVAL,"OR")=0))</f>
      </c>
      <c r="I18033">
        <f>IF(DATOS!$I18033="","",IFERROR(VLOOKUP(DATOS!$I18033,CONFIG_ASIGNATURAS!$B$2:$J$91,9,FALSE()),""))</f>
      </c>
    </row>
    <row r="18034">
      <c r="F18034">
        <f>IF(DATOS!$A18034="","",DATOS!$A18034&amp;"|"&amp;DATOS!$D18034&amp;"|"&amp;DATOS!$E18034&amp;"|"&amp;DATOS!$I18034)</f>
      </c>
      <c r="G18034">
        <f>IF(DATOS!$A18034="",0,IF(CONFIG_METADATA!$B$4&lt;&gt;"OR+EX",--(DATOS!$G18034=CONFIG_METADATA!$B$4),IF(DATOS!$G18034="EX",1,IF(DATOS!$G18034="OR",--(COUNTIFS(nNIA,DATOS!$A18034,nCURSO,DATOS!$D18034,nESPEC,DATOS!$E18034,nASIG,DATOS!$I18034,nEVAL,"EX")=0),0))))</f>
      </c>
      <c r="H18034">
        <f>IF(DATOS!$G18034&lt;&gt;"EX",0,--(COUNTIFS(nNIA,DATOS!$A18034,nCURSO,DATOS!$D18034,nESPEC,DATOS!$E18034,nASIG,DATOS!$I18034,nEVAL,"OR")=0))</f>
      </c>
      <c r="I18034">
        <f>IF(DATOS!$I18034="","",IFERROR(VLOOKUP(DATOS!$I18034,CONFIG_ASIGNATURAS!$B$2:$J$91,9,FALSE()),""))</f>
      </c>
    </row>
    <row r="18035">
      <c r="F18035">
        <f>IF(DATOS!$A18035="","",DATOS!$A18035&amp;"|"&amp;DATOS!$D18035&amp;"|"&amp;DATOS!$E18035&amp;"|"&amp;DATOS!$I18035)</f>
      </c>
      <c r="G18035">
        <f>IF(DATOS!$A18035="",0,IF(CONFIG_METADATA!$B$4&lt;&gt;"OR+EX",--(DATOS!$G18035=CONFIG_METADATA!$B$4),IF(DATOS!$G18035="EX",1,IF(DATOS!$G18035="OR",--(COUNTIFS(nNIA,DATOS!$A18035,nCURSO,DATOS!$D18035,nESPEC,DATOS!$E18035,nASIG,DATOS!$I18035,nEVAL,"EX")=0),0))))</f>
      </c>
      <c r="H18035">
        <f>IF(DATOS!$G18035&lt;&gt;"EX",0,--(COUNTIFS(nNIA,DATOS!$A18035,nCURSO,DATOS!$D18035,nESPEC,DATOS!$E18035,nASIG,DATOS!$I18035,nEVAL,"OR")=0))</f>
      </c>
      <c r="I18035">
        <f>IF(DATOS!$I18035="","",IFERROR(VLOOKUP(DATOS!$I18035,CONFIG_ASIGNATURAS!$B$2:$J$91,9,FALSE()),""))</f>
      </c>
    </row>
    <row r="18036">
      <c r="F18036">
        <f>IF(DATOS!$A18036="","",DATOS!$A18036&amp;"|"&amp;DATOS!$D18036&amp;"|"&amp;DATOS!$E18036&amp;"|"&amp;DATOS!$I18036)</f>
      </c>
      <c r="G18036">
        <f>IF(DATOS!$A18036="",0,IF(CONFIG_METADATA!$B$4&lt;&gt;"OR+EX",--(DATOS!$G18036=CONFIG_METADATA!$B$4),IF(DATOS!$G18036="EX",1,IF(DATOS!$G18036="OR",--(COUNTIFS(nNIA,DATOS!$A18036,nCURSO,DATOS!$D18036,nESPEC,DATOS!$E18036,nASIG,DATOS!$I18036,nEVAL,"EX")=0),0))))</f>
      </c>
      <c r="H18036">
        <f>IF(DATOS!$G18036&lt;&gt;"EX",0,--(COUNTIFS(nNIA,DATOS!$A18036,nCURSO,DATOS!$D18036,nESPEC,DATOS!$E18036,nASIG,DATOS!$I18036,nEVAL,"OR")=0))</f>
      </c>
      <c r="I18036">
        <f>IF(DATOS!$I18036="","",IFERROR(VLOOKUP(DATOS!$I18036,CONFIG_ASIGNATURAS!$B$2:$J$91,9,FALSE()),""))</f>
      </c>
    </row>
    <row r="18037">
      <c r="F18037">
        <f>IF(DATOS!$A18037="","",DATOS!$A18037&amp;"|"&amp;DATOS!$D18037&amp;"|"&amp;DATOS!$E18037&amp;"|"&amp;DATOS!$I18037)</f>
      </c>
      <c r="G18037">
        <f>IF(DATOS!$A18037="",0,IF(CONFIG_METADATA!$B$4&lt;&gt;"OR+EX",--(DATOS!$G18037=CONFIG_METADATA!$B$4),IF(DATOS!$G18037="EX",1,IF(DATOS!$G18037="OR",--(COUNTIFS(nNIA,DATOS!$A18037,nCURSO,DATOS!$D18037,nESPEC,DATOS!$E18037,nASIG,DATOS!$I18037,nEVAL,"EX")=0),0))))</f>
      </c>
      <c r="H18037">
        <f>IF(DATOS!$G18037&lt;&gt;"EX",0,--(COUNTIFS(nNIA,DATOS!$A18037,nCURSO,DATOS!$D18037,nESPEC,DATOS!$E18037,nASIG,DATOS!$I18037,nEVAL,"OR")=0))</f>
      </c>
      <c r="I18037">
        <f>IF(DATOS!$I18037="","",IFERROR(VLOOKUP(DATOS!$I18037,CONFIG_ASIGNATURAS!$B$2:$J$91,9,FALSE()),""))</f>
      </c>
    </row>
    <row r="18038">
      <c r="F18038">
        <f>IF(DATOS!$A18038="","",DATOS!$A18038&amp;"|"&amp;DATOS!$D18038&amp;"|"&amp;DATOS!$E18038&amp;"|"&amp;DATOS!$I18038)</f>
      </c>
      <c r="G18038">
        <f>IF(DATOS!$A18038="",0,IF(CONFIG_METADATA!$B$4&lt;&gt;"OR+EX",--(DATOS!$G18038=CONFIG_METADATA!$B$4),IF(DATOS!$G18038="EX",1,IF(DATOS!$G18038="OR",--(COUNTIFS(nNIA,DATOS!$A18038,nCURSO,DATOS!$D18038,nESPEC,DATOS!$E18038,nASIG,DATOS!$I18038,nEVAL,"EX")=0),0))))</f>
      </c>
      <c r="H18038">
        <f>IF(DATOS!$G18038&lt;&gt;"EX",0,--(COUNTIFS(nNIA,DATOS!$A18038,nCURSO,DATOS!$D18038,nESPEC,DATOS!$E18038,nASIG,DATOS!$I18038,nEVAL,"OR")=0))</f>
      </c>
      <c r="I18038">
        <f>IF(DATOS!$I18038="","",IFERROR(VLOOKUP(DATOS!$I18038,CONFIG_ASIGNATURAS!$B$2:$J$91,9,FALSE()),""))</f>
      </c>
    </row>
    <row r="18039">
      <c r="F18039">
        <f>IF(DATOS!$A18039="","",DATOS!$A18039&amp;"|"&amp;DATOS!$D18039&amp;"|"&amp;DATOS!$E18039&amp;"|"&amp;DATOS!$I18039)</f>
      </c>
      <c r="G18039">
        <f>IF(DATOS!$A18039="",0,IF(CONFIG_METADATA!$B$4&lt;&gt;"OR+EX",--(DATOS!$G18039=CONFIG_METADATA!$B$4),IF(DATOS!$G18039="EX",1,IF(DATOS!$G18039="OR",--(COUNTIFS(nNIA,DATOS!$A18039,nCURSO,DATOS!$D18039,nESPEC,DATOS!$E18039,nASIG,DATOS!$I18039,nEVAL,"EX")=0),0))))</f>
      </c>
      <c r="H18039">
        <f>IF(DATOS!$G18039&lt;&gt;"EX",0,--(COUNTIFS(nNIA,DATOS!$A18039,nCURSO,DATOS!$D18039,nESPEC,DATOS!$E18039,nASIG,DATOS!$I18039,nEVAL,"OR")=0))</f>
      </c>
      <c r="I18039">
        <f>IF(DATOS!$I18039="","",IFERROR(VLOOKUP(DATOS!$I18039,CONFIG_ASIGNATURAS!$B$2:$J$91,9,FALSE()),""))</f>
      </c>
    </row>
    <row r="18040">
      <c r="F18040">
        <f>IF(DATOS!$A18040="","",DATOS!$A18040&amp;"|"&amp;DATOS!$D18040&amp;"|"&amp;DATOS!$E18040&amp;"|"&amp;DATOS!$I18040)</f>
      </c>
      <c r="G18040">
        <f>IF(DATOS!$A18040="",0,IF(CONFIG_METADATA!$B$4&lt;&gt;"OR+EX",--(DATOS!$G18040=CONFIG_METADATA!$B$4),IF(DATOS!$G18040="EX",1,IF(DATOS!$G18040="OR",--(COUNTIFS(nNIA,DATOS!$A18040,nCURSO,DATOS!$D18040,nESPEC,DATOS!$E18040,nASIG,DATOS!$I18040,nEVAL,"EX")=0),0))))</f>
      </c>
      <c r="H18040">
        <f>IF(DATOS!$G18040&lt;&gt;"EX",0,--(COUNTIFS(nNIA,DATOS!$A18040,nCURSO,DATOS!$D18040,nESPEC,DATOS!$E18040,nASIG,DATOS!$I18040,nEVAL,"OR")=0))</f>
      </c>
      <c r="I18040">
        <f>IF(DATOS!$I18040="","",IFERROR(VLOOKUP(DATOS!$I18040,CONFIG_ASIGNATURAS!$B$2:$J$91,9,FALSE()),""))</f>
      </c>
    </row>
    <row r="18041">
      <c r="F18041">
        <f>IF(DATOS!$A18041="","",DATOS!$A18041&amp;"|"&amp;DATOS!$D18041&amp;"|"&amp;DATOS!$E18041&amp;"|"&amp;DATOS!$I18041)</f>
      </c>
      <c r="G18041">
        <f>IF(DATOS!$A18041="",0,IF(CONFIG_METADATA!$B$4&lt;&gt;"OR+EX",--(DATOS!$G18041=CONFIG_METADATA!$B$4),IF(DATOS!$G18041="EX",1,IF(DATOS!$G18041="OR",--(COUNTIFS(nNIA,DATOS!$A18041,nCURSO,DATOS!$D18041,nESPEC,DATOS!$E18041,nASIG,DATOS!$I18041,nEVAL,"EX")=0),0))))</f>
      </c>
      <c r="H18041">
        <f>IF(DATOS!$G18041&lt;&gt;"EX",0,--(COUNTIFS(nNIA,DATOS!$A18041,nCURSO,DATOS!$D18041,nESPEC,DATOS!$E18041,nASIG,DATOS!$I18041,nEVAL,"OR")=0))</f>
      </c>
      <c r="I18041">
        <f>IF(DATOS!$I18041="","",IFERROR(VLOOKUP(DATOS!$I18041,CONFIG_ASIGNATURAS!$B$2:$J$91,9,FALSE()),""))</f>
      </c>
    </row>
    <row r="18042">
      <c r="F18042">
        <f>IF(DATOS!$A18042="","",DATOS!$A18042&amp;"|"&amp;DATOS!$D18042&amp;"|"&amp;DATOS!$E18042&amp;"|"&amp;DATOS!$I18042)</f>
      </c>
      <c r="G18042">
        <f>IF(DATOS!$A18042="",0,IF(CONFIG_METADATA!$B$4&lt;&gt;"OR+EX",--(DATOS!$G18042=CONFIG_METADATA!$B$4),IF(DATOS!$G18042="EX",1,IF(DATOS!$G18042="OR",--(COUNTIFS(nNIA,DATOS!$A18042,nCURSO,DATOS!$D18042,nESPEC,DATOS!$E18042,nASIG,DATOS!$I18042,nEVAL,"EX")=0),0))))</f>
      </c>
      <c r="H18042">
        <f>IF(DATOS!$G18042&lt;&gt;"EX",0,--(COUNTIFS(nNIA,DATOS!$A18042,nCURSO,DATOS!$D18042,nESPEC,DATOS!$E18042,nASIG,DATOS!$I18042,nEVAL,"OR")=0))</f>
      </c>
      <c r="I18042">
        <f>IF(DATOS!$I18042="","",IFERROR(VLOOKUP(DATOS!$I18042,CONFIG_ASIGNATURAS!$B$2:$J$91,9,FALSE()),""))</f>
      </c>
    </row>
    <row r="18043">
      <c r="F18043">
        <f>IF(DATOS!$A18043="","",DATOS!$A18043&amp;"|"&amp;DATOS!$D18043&amp;"|"&amp;DATOS!$E18043&amp;"|"&amp;DATOS!$I18043)</f>
      </c>
      <c r="G18043">
        <f>IF(DATOS!$A18043="",0,IF(CONFIG_METADATA!$B$4&lt;&gt;"OR+EX",--(DATOS!$G18043=CONFIG_METADATA!$B$4),IF(DATOS!$G18043="EX",1,IF(DATOS!$G18043="OR",--(COUNTIFS(nNIA,DATOS!$A18043,nCURSO,DATOS!$D18043,nESPEC,DATOS!$E18043,nASIG,DATOS!$I18043,nEVAL,"EX")=0),0))))</f>
      </c>
      <c r="H18043">
        <f>IF(DATOS!$G18043&lt;&gt;"EX",0,--(COUNTIFS(nNIA,DATOS!$A18043,nCURSO,DATOS!$D18043,nESPEC,DATOS!$E18043,nASIG,DATOS!$I18043,nEVAL,"OR")=0))</f>
      </c>
      <c r="I18043">
        <f>IF(DATOS!$I18043="","",IFERROR(VLOOKUP(DATOS!$I18043,CONFIG_ASIGNATURAS!$B$2:$J$91,9,FALSE()),""))</f>
      </c>
    </row>
    <row r="18044">
      <c r="F18044">
        <f>IF(DATOS!$A18044="","",DATOS!$A18044&amp;"|"&amp;DATOS!$D18044&amp;"|"&amp;DATOS!$E18044&amp;"|"&amp;DATOS!$I18044)</f>
      </c>
      <c r="G18044">
        <f>IF(DATOS!$A18044="",0,IF(CONFIG_METADATA!$B$4&lt;&gt;"OR+EX",--(DATOS!$G18044=CONFIG_METADATA!$B$4),IF(DATOS!$G18044="EX",1,IF(DATOS!$G18044="OR",--(COUNTIFS(nNIA,DATOS!$A18044,nCURSO,DATOS!$D18044,nESPEC,DATOS!$E18044,nASIG,DATOS!$I18044,nEVAL,"EX")=0),0))))</f>
      </c>
      <c r="H18044">
        <f>IF(DATOS!$G18044&lt;&gt;"EX",0,--(COUNTIFS(nNIA,DATOS!$A18044,nCURSO,DATOS!$D18044,nESPEC,DATOS!$E18044,nASIG,DATOS!$I18044,nEVAL,"OR")=0))</f>
      </c>
      <c r="I18044">
        <f>IF(DATOS!$I18044="","",IFERROR(VLOOKUP(DATOS!$I18044,CONFIG_ASIGNATURAS!$B$2:$J$91,9,FALSE()),""))</f>
      </c>
    </row>
    <row r="18045">
      <c r="F18045">
        <f>IF(DATOS!$A18045="","",DATOS!$A18045&amp;"|"&amp;DATOS!$D18045&amp;"|"&amp;DATOS!$E18045&amp;"|"&amp;DATOS!$I18045)</f>
      </c>
      <c r="G18045">
        <f>IF(DATOS!$A18045="",0,IF(CONFIG_METADATA!$B$4&lt;&gt;"OR+EX",--(DATOS!$G18045=CONFIG_METADATA!$B$4),IF(DATOS!$G18045="EX",1,IF(DATOS!$G18045="OR",--(COUNTIFS(nNIA,DATOS!$A18045,nCURSO,DATOS!$D18045,nESPEC,DATOS!$E18045,nASIG,DATOS!$I18045,nEVAL,"EX")=0),0))))</f>
      </c>
      <c r="H18045">
        <f>IF(DATOS!$G18045&lt;&gt;"EX",0,--(COUNTIFS(nNIA,DATOS!$A18045,nCURSO,DATOS!$D18045,nESPEC,DATOS!$E18045,nASIG,DATOS!$I18045,nEVAL,"OR")=0))</f>
      </c>
      <c r="I18045">
        <f>IF(DATOS!$I18045="","",IFERROR(VLOOKUP(DATOS!$I18045,CONFIG_ASIGNATURAS!$B$2:$J$91,9,FALSE()),""))</f>
      </c>
    </row>
    <row r="18046">
      <c r="F18046">
        <f>IF(DATOS!$A18046="","",DATOS!$A18046&amp;"|"&amp;DATOS!$D18046&amp;"|"&amp;DATOS!$E18046&amp;"|"&amp;DATOS!$I18046)</f>
      </c>
      <c r="G18046">
        <f>IF(DATOS!$A18046="",0,IF(CONFIG_METADATA!$B$4&lt;&gt;"OR+EX",--(DATOS!$G18046=CONFIG_METADATA!$B$4),IF(DATOS!$G18046="EX",1,IF(DATOS!$G18046="OR",--(COUNTIFS(nNIA,DATOS!$A18046,nCURSO,DATOS!$D18046,nESPEC,DATOS!$E18046,nASIG,DATOS!$I18046,nEVAL,"EX")=0),0))))</f>
      </c>
      <c r="H18046">
        <f>IF(DATOS!$G18046&lt;&gt;"EX",0,--(COUNTIFS(nNIA,DATOS!$A18046,nCURSO,DATOS!$D18046,nESPEC,DATOS!$E18046,nASIG,DATOS!$I18046,nEVAL,"OR")=0))</f>
      </c>
      <c r="I18046">
        <f>IF(DATOS!$I18046="","",IFERROR(VLOOKUP(DATOS!$I18046,CONFIG_ASIGNATURAS!$B$2:$J$91,9,FALSE()),""))</f>
      </c>
    </row>
    <row r="18047">
      <c r="F18047">
        <f>IF(DATOS!$A18047="","",DATOS!$A18047&amp;"|"&amp;DATOS!$D18047&amp;"|"&amp;DATOS!$E18047&amp;"|"&amp;DATOS!$I18047)</f>
      </c>
      <c r="G18047">
        <f>IF(DATOS!$A18047="",0,IF(CONFIG_METADATA!$B$4&lt;&gt;"OR+EX",--(DATOS!$G18047=CONFIG_METADATA!$B$4),IF(DATOS!$G18047="EX",1,IF(DATOS!$G18047="OR",--(COUNTIFS(nNIA,DATOS!$A18047,nCURSO,DATOS!$D18047,nESPEC,DATOS!$E18047,nASIG,DATOS!$I18047,nEVAL,"EX")=0),0))))</f>
      </c>
      <c r="H18047">
        <f>IF(DATOS!$G18047&lt;&gt;"EX",0,--(COUNTIFS(nNIA,DATOS!$A18047,nCURSO,DATOS!$D18047,nESPEC,DATOS!$E18047,nASIG,DATOS!$I18047,nEVAL,"OR")=0))</f>
      </c>
      <c r="I18047">
        <f>IF(DATOS!$I18047="","",IFERROR(VLOOKUP(DATOS!$I18047,CONFIG_ASIGNATURAS!$B$2:$J$91,9,FALSE()),""))</f>
      </c>
    </row>
    <row r="18048">
      <c r="F18048">
        <f>IF(DATOS!$A18048="","",DATOS!$A18048&amp;"|"&amp;DATOS!$D18048&amp;"|"&amp;DATOS!$E18048&amp;"|"&amp;DATOS!$I18048)</f>
      </c>
      <c r="G18048">
        <f>IF(DATOS!$A18048="",0,IF(CONFIG_METADATA!$B$4&lt;&gt;"OR+EX",--(DATOS!$G18048=CONFIG_METADATA!$B$4),IF(DATOS!$G18048="EX",1,IF(DATOS!$G18048="OR",--(COUNTIFS(nNIA,DATOS!$A18048,nCURSO,DATOS!$D18048,nESPEC,DATOS!$E18048,nASIG,DATOS!$I18048,nEVAL,"EX")=0),0))))</f>
      </c>
      <c r="H18048">
        <f>IF(DATOS!$G18048&lt;&gt;"EX",0,--(COUNTIFS(nNIA,DATOS!$A18048,nCURSO,DATOS!$D18048,nESPEC,DATOS!$E18048,nASIG,DATOS!$I18048,nEVAL,"OR")=0))</f>
      </c>
      <c r="I18048">
        <f>IF(DATOS!$I18048="","",IFERROR(VLOOKUP(DATOS!$I18048,CONFIG_ASIGNATURAS!$B$2:$J$91,9,FALSE()),""))</f>
      </c>
    </row>
    <row r="18049">
      <c r="F18049">
        <f>IF(DATOS!$A18049="","",DATOS!$A18049&amp;"|"&amp;DATOS!$D18049&amp;"|"&amp;DATOS!$E18049&amp;"|"&amp;DATOS!$I18049)</f>
      </c>
      <c r="G18049">
        <f>IF(DATOS!$A18049="",0,IF(CONFIG_METADATA!$B$4&lt;&gt;"OR+EX",--(DATOS!$G18049=CONFIG_METADATA!$B$4),IF(DATOS!$G18049="EX",1,IF(DATOS!$G18049="OR",--(COUNTIFS(nNIA,DATOS!$A18049,nCURSO,DATOS!$D18049,nESPEC,DATOS!$E18049,nASIG,DATOS!$I18049,nEVAL,"EX")=0),0))))</f>
      </c>
      <c r="H18049">
        <f>IF(DATOS!$G18049&lt;&gt;"EX",0,--(COUNTIFS(nNIA,DATOS!$A18049,nCURSO,DATOS!$D18049,nESPEC,DATOS!$E18049,nASIG,DATOS!$I18049,nEVAL,"OR")=0))</f>
      </c>
      <c r="I18049">
        <f>IF(DATOS!$I18049="","",IFERROR(VLOOKUP(DATOS!$I18049,CONFIG_ASIGNATURAS!$B$2:$J$91,9,FALSE()),""))</f>
      </c>
    </row>
    <row r="18050">
      <c r="F18050">
        <f>IF(DATOS!$A18050="","",DATOS!$A18050&amp;"|"&amp;DATOS!$D18050&amp;"|"&amp;DATOS!$E18050&amp;"|"&amp;DATOS!$I18050)</f>
      </c>
      <c r="G18050">
        <f>IF(DATOS!$A18050="",0,IF(CONFIG_METADATA!$B$4&lt;&gt;"OR+EX",--(DATOS!$G18050=CONFIG_METADATA!$B$4),IF(DATOS!$G18050="EX",1,IF(DATOS!$G18050="OR",--(COUNTIFS(nNIA,DATOS!$A18050,nCURSO,DATOS!$D18050,nESPEC,DATOS!$E18050,nASIG,DATOS!$I18050,nEVAL,"EX")=0),0))))</f>
      </c>
      <c r="H18050">
        <f>IF(DATOS!$G18050&lt;&gt;"EX",0,--(COUNTIFS(nNIA,DATOS!$A18050,nCURSO,DATOS!$D18050,nESPEC,DATOS!$E18050,nASIG,DATOS!$I18050,nEVAL,"OR")=0))</f>
      </c>
      <c r="I18050">
        <f>IF(DATOS!$I18050="","",IFERROR(VLOOKUP(DATOS!$I18050,CONFIG_ASIGNATURAS!$B$2:$J$91,9,FALSE()),""))</f>
      </c>
    </row>
    <row r="18051">
      <c r="F18051">
        <f>IF(DATOS!$A18051="","",DATOS!$A18051&amp;"|"&amp;DATOS!$D18051&amp;"|"&amp;DATOS!$E18051&amp;"|"&amp;DATOS!$I18051)</f>
      </c>
      <c r="G18051">
        <f>IF(DATOS!$A18051="",0,IF(CONFIG_METADATA!$B$4&lt;&gt;"OR+EX",--(DATOS!$G18051=CONFIG_METADATA!$B$4),IF(DATOS!$G18051="EX",1,IF(DATOS!$G18051="OR",--(COUNTIFS(nNIA,DATOS!$A18051,nCURSO,DATOS!$D18051,nESPEC,DATOS!$E18051,nASIG,DATOS!$I18051,nEVAL,"EX")=0),0))))</f>
      </c>
      <c r="H18051">
        <f>IF(DATOS!$G18051&lt;&gt;"EX",0,--(COUNTIFS(nNIA,DATOS!$A18051,nCURSO,DATOS!$D18051,nESPEC,DATOS!$E18051,nASIG,DATOS!$I18051,nEVAL,"OR")=0))</f>
      </c>
      <c r="I18051">
        <f>IF(DATOS!$I18051="","",IFERROR(VLOOKUP(DATOS!$I18051,CONFIG_ASIGNATURAS!$B$2:$J$91,9,FALSE()),""))</f>
      </c>
    </row>
    <row r="18052">
      <c r="F18052">
        <f>IF(DATOS!$A18052="","",DATOS!$A18052&amp;"|"&amp;DATOS!$D18052&amp;"|"&amp;DATOS!$E18052&amp;"|"&amp;DATOS!$I18052)</f>
      </c>
      <c r="G18052">
        <f>IF(DATOS!$A18052="",0,IF(CONFIG_METADATA!$B$4&lt;&gt;"OR+EX",--(DATOS!$G18052=CONFIG_METADATA!$B$4),IF(DATOS!$G18052="EX",1,IF(DATOS!$G18052="OR",--(COUNTIFS(nNIA,DATOS!$A18052,nCURSO,DATOS!$D18052,nESPEC,DATOS!$E18052,nASIG,DATOS!$I18052,nEVAL,"EX")=0),0))))</f>
      </c>
      <c r="H18052">
        <f>IF(DATOS!$G18052&lt;&gt;"EX",0,--(COUNTIFS(nNIA,DATOS!$A18052,nCURSO,DATOS!$D18052,nESPEC,DATOS!$E18052,nASIG,DATOS!$I18052,nEVAL,"OR")=0))</f>
      </c>
      <c r="I18052">
        <f>IF(DATOS!$I18052="","",IFERROR(VLOOKUP(DATOS!$I18052,CONFIG_ASIGNATURAS!$B$2:$J$91,9,FALSE()),""))</f>
      </c>
    </row>
    <row r="18053">
      <c r="F18053">
        <f>IF(DATOS!$A18053="","",DATOS!$A18053&amp;"|"&amp;DATOS!$D18053&amp;"|"&amp;DATOS!$E18053&amp;"|"&amp;DATOS!$I18053)</f>
      </c>
      <c r="G18053">
        <f>IF(DATOS!$A18053="",0,IF(CONFIG_METADATA!$B$4&lt;&gt;"OR+EX",--(DATOS!$G18053=CONFIG_METADATA!$B$4),IF(DATOS!$G18053="EX",1,IF(DATOS!$G18053="OR",--(COUNTIFS(nNIA,DATOS!$A18053,nCURSO,DATOS!$D18053,nESPEC,DATOS!$E18053,nASIG,DATOS!$I18053,nEVAL,"EX")=0),0))))</f>
      </c>
      <c r="H18053">
        <f>IF(DATOS!$G18053&lt;&gt;"EX",0,--(COUNTIFS(nNIA,DATOS!$A18053,nCURSO,DATOS!$D18053,nESPEC,DATOS!$E18053,nASIG,DATOS!$I18053,nEVAL,"OR")=0))</f>
      </c>
      <c r="I18053">
        <f>IF(DATOS!$I18053="","",IFERROR(VLOOKUP(DATOS!$I18053,CONFIG_ASIGNATURAS!$B$2:$J$91,9,FALSE()),""))</f>
      </c>
    </row>
    <row r="18054">
      <c r="F18054">
        <f>IF(DATOS!$A18054="","",DATOS!$A18054&amp;"|"&amp;DATOS!$D18054&amp;"|"&amp;DATOS!$E18054&amp;"|"&amp;DATOS!$I18054)</f>
      </c>
      <c r="G18054">
        <f>IF(DATOS!$A18054="",0,IF(CONFIG_METADATA!$B$4&lt;&gt;"OR+EX",--(DATOS!$G18054=CONFIG_METADATA!$B$4),IF(DATOS!$G18054="EX",1,IF(DATOS!$G18054="OR",--(COUNTIFS(nNIA,DATOS!$A18054,nCURSO,DATOS!$D18054,nESPEC,DATOS!$E18054,nASIG,DATOS!$I18054,nEVAL,"EX")=0),0))))</f>
      </c>
      <c r="H18054">
        <f>IF(DATOS!$G18054&lt;&gt;"EX",0,--(COUNTIFS(nNIA,DATOS!$A18054,nCURSO,DATOS!$D18054,nESPEC,DATOS!$E18054,nASIG,DATOS!$I18054,nEVAL,"OR")=0))</f>
      </c>
      <c r="I18054">
        <f>IF(DATOS!$I18054="","",IFERROR(VLOOKUP(DATOS!$I18054,CONFIG_ASIGNATURAS!$B$2:$J$91,9,FALSE()),""))</f>
      </c>
    </row>
    <row r="18055">
      <c r="F18055">
        <f>IF(DATOS!$A18055="","",DATOS!$A18055&amp;"|"&amp;DATOS!$D18055&amp;"|"&amp;DATOS!$E18055&amp;"|"&amp;DATOS!$I18055)</f>
      </c>
      <c r="G18055">
        <f>IF(DATOS!$A18055="",0,IF(CONFIG_METADATA!$B$4&lt;&gt;"OR+EX",--(DATOS!$G18055=CONFIG_METADATA!$B$4),IF(DATOS!$G18055="EX",1,IF(DATOS!$G18055="OR",--(COUNTIFS(nNIA,DATOS!$A18055,nCURSO,DATOS!$D18055,nESPEC,DATOS!$E18055,nASIG,DATOS!$I18055,nEVAL,"EX")=0),0))))</f>
      </c>
      <c r="H18055">
        <f>IF(DATOS!$G18055&lt;&gt;"EX",0,--(COUNTIFS(nNIA,DATOS!$A18055,nCURSO,DATOS!$D18055,nESPEC,DATOS!$E18055,nASIG,DATOS!$I18055,nEVAL,"OR")=0))</f>
      </c>
      <c r="I18055">
        <f>IF(DATOS!$I18055="","",IFERROR(VLOOKUP(DATOS!$I18055,CONFIG_ASIGNATURAS!$B$2:$J$91,9,FALSE()),""))</f>
      </c>
    </row>
    <row r="18056">
      <c r="F18056">
        <f>IF(DATOS!$A18056="","",DATOS!$A18056&amp;"|"&amp;DATOS!$D18056&amp;"|"&amp;DATOS!$E18056&amp;"|"&amp;DATOS!$I18056)</f>
      </c>
      <c r="G18056">
        <f>IF(DATOS!$A18056="",0,IF(CONFIG_METADATA!$B$4&lt;&gt;"OR+EX",--(DATOS!$G18056=CONFIG_METADATA!$B$4),IF(DATOS!$G18056="EX",1,IF(DATOS!$G18056="OR",--(COUNTIFS(nNIA,DATOS!$A18056,nCURSO,DATOS!$D18056,nESPEC,DATOS!$E18056,nASIG,DATOS!$I18056,nEVAL,"EX")=0),0))))</f>
      </c>
      <c r="H18056">
        <f>IF(DATOS!$G18056&lt;&gt;"EX",0,--(COUNTIFS(nNIA,DATOS!$A18056,nCURSO,DATOS!$D18056,nESPEC,DATOS!$E18056,nASIG,DATOS!$I18056,nEVAL,"OR")=0))</f>
      </c>
      <c r="I18056">
        <f>IF(DATOS!$I18056="","",IFERROR(VLOOKUP(DATOS!$I18056,CONFIG_ASIGNATURAS!$B$2:$J$91,9,FALSE()),""))</f>
      </c>
    </row>
    <row r="18057">
      <c r="F18057">
        <f>IF(DATOS!$A18057="","",DATOS!$A18057&amp;"|"&amp;DATOS!$D18057&amp;"|"&amp;DATOS!$E18057&amp;"|"&amp;DATOS!$I18057)</f>
      </c>
      <c r="G18057">
        <f>IF(DATOS!$A18057="",0,IF(CONFIG_METADATA!$B$4&lt;&gt;"OR+EX",--(DATOS!$G18057=CONFIG_METADATA!$B$4),IF(DATOS!$G18057="EX",1,IF(DATOS!$G18057="OR",--(COUNTIFS(nNIA,DATOS!$A18057,nCURSO,DATOS!$D18057,nESPEC,DATOS!$E18057,nASIG,DATOS!$I18057,nEVAL,"EX")=0),0))))</f>
      </c>
      <c r="H18057">
        <f>IF(DATOS!$G18057&lt;&gt;"EX",0,--(COUNTIFS(nNIA,DATOS!$A18057,nCURSO,DATOS!$D18057,nESPEC,DATOS!$E18057,nASIG,DATOS!$I18057,nEVAL,"OR")=0))</f>
      </c>
      <c r="I18057">
        <f>IF(DATOS!$I18057="","",IFERROR(VLOOKUP(DATOS!$I18057,CONFIG_ASIGNATURAS!$B$2:$J$91,9,FALSE()),""))</f>
      </c>
    </row>
    <row r="18058">
      <c r="F18058">
        <f>IF(DATOS!$A18058="","",DATOS!$A18058&amp;"|"&amp;DATOS!$D18058&amp;"|"&amp;DATOS!$E18058&amp;"|"&amp;DATOS!$I18058)</f>
      </c>
      <c r="G18058">
        <f>IF(DATOS!$A18058="",0,IF(CONFIG_METADATA!$B$4&lt;&gt;"OR+EX",--(DATOS!$G18058=CONFIG_METADATA!$B$4),IF(DATOS!$G18058="EX",1,IF(DATOS!$G18058="OR",--(COUNTIFS(nNIA,DATOS!$A18058,nCURSO,DATOS!$D18058,nESPEC,DATOS!$E18058,nASIG,DATOS!$I18058,nEVAL,"EX")=0),0))))</f>
      </c>
      <c r="H18058">
        <f>IF(DATOS!$G18058&lt;&gt;"EX",0,--(COUNTIFS(nNIA,DATOS!$A18058,nCURSO,DATOS!$D18058,nESPEC,DATOS!$E18058,nASIG,DATOS!$I18058,nEVAL,"OR")=0))</f>
      </c>
      <c r="I18058">
        <f>IF(DATOS!$I18058="","",IFERROR(VLOOKUP(DATOS!$I18058,CONFIG_ASIGNATURAS!$B$2:$J$91,9,FALSE()),""))</f>
      </c>
    </row>
    <row r="18059">
      <c r="F18059">
        <f>IF(DATOS!$A18059="","",DATOS!$A18059&amp;"|"&amp;DATOS!$D18059&amp;"|"&amp;DATOS!$E18059&amp;"|"&amp;DATOS!$I18059)</f>
      </c>
      <c r="G18059">
        <f>IF(DATOS!$A18059="",0,IF(CONFIG_METADATA!$B$4&lt;&gt;"OR+EX",--(DATOS!$G18059=CONFIG_METADATA!$B$4),IF(DATOS!$G18059="EX",1,IF(DATOS!$G18059="OR",--(COUNTIFS(nNIA,DATOS!$A18059,nCURSO,DATOS!$D18059,nESPEC,DATOS!$E18059,nASIG,DATOS!$I18059,nEVAL,"EX")=0),0))))</f>
      </c>
      <c r="H18059">
        <f>IF(DATOS!$G18059&lt;&gt;"EX",0,--(COUNTIFS(nNIA,DATOS!$A18059,nCURSO,DATOS!$D18059,nESPEC,DATOS!$E18059,nASIG,DATOS!$I18059,nEVAL,"OR")=0))</f>
      </c>
      <c r="I18059">
        <f>IF(DATOS!$I18059="","",IFERROR(VLOOKUP(DATOS!$I18059,CONFIG_ASIGNATURAS!$B$2:$J$91,9,FALSE()),""))</f>
      </c>
    </row>
    <row r="18060">
      <c r="F18060">
        <f>IF(DATOS!$A18060="","",DATOS!$A18060&amp;"|"&amp;DATOS!$D18060&amp;"|"&amp;DATOS!$E18060&amp;"|"&amp;DATOS!$I18060)</f>
      </c>
      <c r="G18060">
        <f>IF(DATOS!$A18060="",0,IF(CONFIG_METADATA!$B$4&lt;&gt;"OR+EX",--(DATOS!$G18060=CONFIG_METADATA!$B$4),IF(DATOS!$G18060="EX",1,IF(DATOS!$G18060="OR",--(COUNTIFS(nNIA,DATOS!$A18060,nCURSO,DATOS!$D18060,nESPEC,DATOS!$E18060,nASIG,DATOS!$I18060,nEVAL,"EX")=0),0))))</f>
      </c>
      <c r="H18060">
        <f>IF(DATOS!$G18060&lt;&gt;"EX",0,--(COUNTIFS(nNIA,DATOS!$A18060,nCURSO,DATOS!$D18060,nESPEC,DATOS!$E18060,nASIG,DATOS!$I18060,nEVAL,"OR")=0))</f>
      </c>
      <c r="I18060">
        <f>IF(DATOS!$I18060="","",IFERROR(VLOOKUP(DATOS!$I18060,CONFIG_ASIGNATURAS!$B$2:$J$91,9,FALSE()),""))</f>
      </c>
    </row>
    <row r="18061">
      <c r="F18061">
        <f>IF(DATOS!$A18061="","",DATOS!$A18061&amp;"|"&amp;DATOS!$D18061&amp;"|"&amp;DATOS!$E18061&amp;"|"&amp;DATOS!$I18061)</f>
      </c>
      <c r="G18061">
        <f>IF(DATOS!$A18061="",0,IF(CONFIG_METADATA!$B$4&lt;&gt;"OR+EX",--(DATOS!$G18061=CONFIG_METADATA!$B$4),IF(DATOS!$G18061="EX",1,IF(DATOS!$G18061="OR",--(COUNTIFS(nNIA,DATOS!$A18061,nCURSO,DATOS!$D18061,nESPEC,DATOS!$E18061,nASIG,DATOS!$I18061,nEVAL,"EX")=0),0))))</f>
      </c>
      <c r="H18061">
        <f>IF(DATOS!$G18061&lt;&gt;"EX",0,--(COUNTIFS(nNIA,DATOS!$A18061,nCURSO,DATOS!$D18061,nESPEC,DATOS!$E18061,nASIG,DATOS!$I18061,nEVAL,"OR")=0))</f>
      </c>
      <c r="I18061">
        <f>IF(DATOS!$I18061="","",IFERROR(VLOOKUP(DATOS!$I18061,CONFIG_ASIGNATURAS!$B$2:$J$91,9,FALSE()),""))</f>
      </c>
    </row>
    <row r="18062">
      <c r="F18062">
        <f>IF(DATOS!$A18062="","",DATOS!$A18062&amp;"|"&amp;DATOS!$D18062&amp;"|"&amp;DATOS!$E18062&amp;"|"&amp;DATOS!$I18062)</f>
      </c>
      <c r="G18062">
        <f>IF(DATOS!$A18062="",0,IF(CONFIG_METADATA!$B$4&lt;&gt;"OR+EX",--(DATOS!$G18062=CONFIG_METADATA!$B$4),IF(DATOS!$G18062="EX",1,IF(DATOS!$G18062="OR",--(COUNTIFS(nNIA,DATOS!$A18062,nCURSO,DATOS!$D18062,nESPEC,DATOS!$E18062,nASIG,DATOS!$I18062,nEVAL,"EX")=0),0))))</f>
      </c>
      <c r="H18062">
        <f>IF(DATOS!$G18062&lt;&gt;"EX",0,--(COUNTIFS(nNIA,DATOS!$A18062,nCURSO,DATOS!$D18062,nESPEC,DATOS!$E18062,nASIG,DATOS!$I18062,nEVAL,"OR")=0))</f>
      </c>
      <c r="I18062">
        <f>IF(DATOS!$I18062="","",IFERROR(VLOOKUP(DATOS!$I18062,CONFIG_ASIGNATURAS!$B$2:$J$91,9,FALSE()),""))</f>
      </c>
    </row>
    <row r="18063">
      <c r="F18063">
        <f>IF(DATOS!$A18063="","",DATOS!$A18063&amp;"|"&amp;DATOS!$D18063&amp;"|"&amp;DATOS!$E18063&amp;"|"&amp;DATOS!$I18063)</f>
      </c>
      <c r="G18063">
        <f>IF(DATOS!$A18063="",0,IF(CONFIG_METADATA!$B$4&lt;&gt;"OR+EX",--(DATOS!$G18063=CONFIG_METADATA!$B$4),IF(DATOS!$G18063="EX",1,IF(DATOS!$G18063="OR",--(COUNTIFS(nNIA,DATOS!$A18063,nCURSO,DATOS!$D18063,nESPEC,DATOS!$E18063,nASIG,DATOS!$I18063,nEVAL,"EX")=0),0))))</f>
      </c>
      <c r="H18063">
        <f>IF(DATOS!$G18063&lt;&gt;"EX",0,--(COUNTIFS(nNIA,DATOS!$A18063,nCURSO,DATOS!$D18063,nESPEC,DATOS!$E18063,nASIG,DATOS!$I18063,nEVAL,"OR")=0))</f>
      </c>
      <c r="I18063">
        <f>IF(DATOS!$I18063="","",IFERROR(VLOOKUP(DATOS!$I18063,CONFIG_ASIGNATURAS!$B$2:$J$91,9,FALSE()),""))</f>
      </c>
    </row>
    <row r="18064">
      <c r="F18064">
        <f>IF(DATOS!$A18064="","",DATOS!$A18064&amp;"|"&amp;DATOS!$D18064&amp;"|"&amp;DATOS!$E18064&amp;"|"&amp;DATOS!$I18064)</f>
      </c>
      <c r="G18064">
        <f>IF(DATOS!$A18064="",0,IF(CONFIG_METADATA!$B$4&lt;&gt;"OR+EX",--(DATOS!$G18064=CONFIG_METADATA!$B$4),IF(DATOS!$G18064="EX",1,IF(DATOS!$G18064="OR",--(COUNTIFS(nNIA,DATOS!$A18064,nCURSO,DATOS!$D18064,nESPEC,DATOS!$E18064,nASIG,DATOS!$I18064,nEVAL,"EX")=0),0))))</f>
      </c>
      <c r="H18064">
        <f>IF(DATOS!$G18064&lt;&gt;"EX",0,--(COUNTIFS(nNIA,DATOS!$A18064,nCURSO,DATOS!$D18064,nESPEC,DATOS!$E18064,nASIG,DATOS!$I18064,nEVAL,"OR")=0))</f>
      </c>
      <c r="I18064">
        <f>IF(DATOS!$I18064="","",IFERROR(VLOOKUP(DATOS!$I18064,CONFIG_ASIGNATURAS!$B$2:$J$91,9,FALSE()),""))</f>
      </c>
    </row>
    <row r="18065">
      <c r="F18065">
        <f>IF(DATOS!$A18065="","",DATOS!$A18065&amp;"|"&amp;DATOS!$D18065&amp;"|"&amp;DATOS!$E18065&amp;"|"&amp;DATOS!$I18065)</f>
      </c>
      <c r="G18065">
        <f>IF(DATOS!$A18065="",0,IF(CONFIG_METADATA!$B$4&lt;&gt;"OR+EX",--(DATOS!$G18065=CONFIG_METADATA!$B$4),IF(DATOS!$G18065="EX",1,IF(DATOS!$G18065="OR",--(COUNTIFS(nNIA,DATOS!$A18065,nCURSO,DATOS!$D18065,nESPEC,DATOS!$E18065,nASIG,DATOS!$I18065,nEVAL,"EX")=0),0))))</f>
      </c>
      <c r="H18065">
        <f>IF(DATOS!$G18065&lt;&gt;"EX",0,--(COUNTIFS(nNIA,DATOS!$A18065,nCURSO,DATOS!$D18065,nESPEC,DATOS!$E18065,nASIG,DATOS!$I18065,nEVAL,"OR")=0))</f>
      </c>
      <c r="I18065">
        <f>IF(DATOS!$I18065="","",IFERROR(VLOOKUP(DATOS!$I18065,CONFIG_ASIGNATURAS!$B$2:$J$91,9,FALSE()),""))</f>
      </c>
    </row>
    <row r="18066">
      <c r="F18066">
        <f>IF(DATOS!$A18066="","",DATOS!$A18066&amp;"|"&amp;DATOS!$D18066&amp;"|"&amp;DATOS!$E18066&amp;"|"&amp;DATOS!$I18066)</f>
      </c>
      <c r="G18066">
        <f>IF(DATOS!$A18066="",0,IF(CONFIG_METADATA!$B$4&lt;&gt;"OR+EX",--(DATOS!$G18066=CONFIG_METADATA!$B$4),IF(DATOS!$G18066="EX",1,IF(DATOS!$G18066="OR",--(COUNTIFS(nNIA,DATOS!$A18066,nCURSO,DATOS!$D18066,nESPEC,DATOS!$E18066,nASIG,DATOS!$I18066,nEVAL,"EX")=0),0))))</f>
      </c>
      <c r="H18066">
        <f>IF(DATOS!$G18066&lt;&gt;"EX",0,--(COUNTIFS(nNIA,DATOS!$A18066,nCURSO,DATOS!$D18066,nESPEC,DATOS!$E18066,nASIG,DATOS!$I18066,nEVAL,"OR")=0))</f>
      </c>
      <c r="I18066">
        <f>IF(DATOS!$I18066="","",IFERROR(VLOOKUP(DATOS!$I18066,CONFIG_ASIGNATURAS!$B$2:$J$91,9,FALSE()),""))</f>
      </c>
    </row>
    <row r="18067">
      <c r="F18067">
        <f>IF(DATOS!$A18067="","",DATOS!$A18067&amp;"|"&amp;DATOS!$D18067&amp;"|"&amp;DATOS!$E18067&amp;"|"&amp;DATOS!$I18067)</f>
      </c>
      <c r="G18067">
        <f>IF(DATOS!$A18067="",0,IF(CONFIG_METADATA!$B$4&lt;&gt;"OR+EX",--(DATOS!$G18067=CONFIG_METADATA!$B$4),IF(DATOS!$G18067="EX",1,IF(DATOS!$G18067="OR",--(COUNTIFS(nNIA,DATOS!$A18067,nCURSO,DATOS!$D18067,nESPEC,DATOS!$E18067,nASIG,DATOS!$I18067,nEVAL,"EX")=0),0))))</f>
      </c>
      <c r="H18067">
        <f>IF(DATOS!$G18067&lt;&gt;"EX",0,--(COUNTIFS(nNIA,DATOS!$A18067,nCURSO,DATOS!$D18067,nESPEC,DATOS!$E18067,nASIG,DATOS!$I18067,nEVAL,"OR")=0))</f>
      </c>
      <c r="I18067">
        <f>IF(DATOS!$I18067="","",IFERROR(VLOOKUP(DATOS!$I18067,CONFIG_ASIGNATURAS!$B$2:$J$91,9,FALSE()),""))</f>
      </c>
    </row>
    <row r="18068">
      <c r="F18068">
        <f>IF(DATOS!$A18068="","",DATOS!$A18068&amp;"|"&amp;DATOS!$D18068&amp;"|"&amp;DATOS!$E18068&amp;"|"&amp;DATOS!$I18068)</f>
      </c>
      <c r="G18068">
        <f>IF(DATOS!$A18068="",0,IF(CONFIG_METADATA!$B$4&lt;&gt;"OR+EX",--(DATOS!$G18068=CONFIG_METADATA!$B$4),IF(DATOS!$G18068="EX",1,IF(DATOS!$G18068="OR",--(COUNTIFS(nNIA,DATOS!$A18068,nCURSO,DATOS!$D18068,nESPEC,DATOS!$E18068,nASIG,DATOS!$I18068,nEVAL,"EX")=0),0))))</f>
      </c>
      <c r="H18068">
        <f>IF(DATOS!$G18068&lt;&gt;"EX",0,--(COUNTIFS(nNIA,DATOS!$A18068,nCURSO,DATOS!$D18068,nESPEC,DATOS!$E18068,nASIG,DATOS!$I18068,nEVAL,"OR")=0))</f>
      </c>
      <c r="I18068">
        <f>IF(DATOS!$I18068="","",IFERROR(VLOOKUP(DATOS!$I18068,CONFIG_ASIGNATURAS!$B$2:$J$91,9,FALSE()),""))</f>
      </c>
    </row>
    <row r="18069">
      <c r="F18069">
        <f>IF(DATOS!$A18069="","",DATOS!$A18069&amp;"|"&amp;DATOS!$D18069&amp;"|"&amp;DATOS!$E18069&amp;"|"&amp;DATOS!$I18069)</f>
      </c>
      <c r="G18069">
        <f>IF(DATOS!$A18069="",0,IF(CONFIG_METADATA!$B$4&lt;&gt;"OR+EX",--(DATOS!$G18069=CONFIG_METADATA!$B$4),IF(DATOS!$G18069="EX",1,IF(DATOS!$G18069="OR",--(COUNTIFS(nNIA,DATOS!$A18069,nCURSO,DATOS!$D18069,nESPEC,DATOS!$E18069,nASIG,DATOS!$I18069,nEVAL,"EX")=0),0))))</f>
      </c>
      <c r="H18069">
        <f>IF(DATOS!$G18069&lt;&gt;"EX",0,--(COUNTIFS(nNIA,DATOS!$A18069,nCURSO,DATOS!$D18069,nESPEC,DATOS!$E18069,nASIG,DATOS!$I18069,nEVAL,"OR")=0))</f>
      </c>
      <c r="I18069">
        <f>IF(DATOS!$I18069="","",IFERROR(VLOOKUP(DATOS!$I18069,CONFIG_ASIGNATURAS!$B$2:$J$91,9,FALSE()),""))</f>
      </c>
    </row>
    <row r="18070">
      <c r="F18070">
        <f>IF(DATOS!$A18070="","",DATOS!$A18070&amp;"|"&amp;DATOS!$D18070&amp;"|"&amp;DATOS!$E18070&amp;"|"&amp;DATOS!$I18070)</f>
      </c>
      <c r="G18070">
        <f>IF(DATOS!$A18070="",0,IF(CONFIG_METADATA!$B$4&lt;&gt;"OR+EX",--(DATOS!$G18070=CONFIG_METADATA!$B$4),IF(DATOS!$G18070="EX",1,IF(DATOS!$G18070="OR",--(COUNTIFS(nNIA,DATOS!$A18070,nCURSO,DATOS!$D18070,nESPEC,DATOS!$E18070,nASIG,DATOS!$I18070,nEVAL,"EX")=0),0))))</f>
      </c>
      <c r="H18070">
        <f>IF(DATOS!$G18070&lt;&gt;"EX",0,--(COUNTIFS(nNIA,DATOS!$A18070,nCURSO,DATOS!$D18070,nESPEC,DATOS!$E18070,nASIG,DATOS!$I18070,nEVAL,"OR")=0))</f>
      </c>
      <c r="I18070">
        <f>IF(DATOS!$I18070="","",IFERROR(VLOOKUP(DATOS!$I18070,CONFIG_ASIGNATURAS!$B$2:$J$91,9,FALSE()),""))</f>
      </c>
    </row>
    <row r="18071">
      <c r="F18071">
        <f>IF(DATOS!$A18071="","",DATOS!$A18071&amp;"|"&amp;DATOS!$D18071&amp;"|"&amp;DATOS!$E18071&amp;"|"&amp;DATOS!$I18071)</f>
      </c>
      <c r="G18071">
        <f>IF(DATOS!$A18071="",0,IF(CONFIG_METADATA!$B$4&lt;&gt;"OR+EX",--(DATOS!$G18071=CONFIG_METADATA!$B$4),IF(DATOS!$G18071="EX",1,IF(DATOS!$G18071="OR",--(COUNTIFS(nNIA,DATOS!$A18071,nCURSO,DATOS!$D18071,nESPEC,DATOS!$E18071,nASIG,DATOS!$I18071,nEVAL,"EX")=0),0))))</f>
      </c>
      <c r="H18071">
        <f>IF(DATOS!$G18071&lt;&gt;"EX",0,--(COUNTIFS(nNIA,DATOS!$A18071,nCURSO,DATOS!$D18071,nESPEC,DATOS!$E18071,nASIG,DATOS!$I18071,nEVAL,"OR")=0))</f>
      </c>
      <c r="I18071">
        <f>IF(DATOS!$I18071="","",IFERROR(VLOOKUP(DATOS!$I18071,CONFIG_ASIGNATURAS!$B$2:$J$91,9,FALSE()),""))</f>
      </c>
    </row>
    <row r="18072">
      <c r="F18072">
        <f>IF(DATOS!$A18072="","",DATOS!$A18072&amp;"|"&amp;DATOS!$D18072&amp;"|"&amp;DATOS!$E18072&amp;"|"&amp;DATOS!$I18072)</f>
      </c>
      <c r="G18072">
        <f>IF(DATOS!$A18072="",0,IF(CONFIG_METADATA!$B$4&lt;&gt;"OR+EX",--(DATOS!$G18072=CONFIG_METADATA!$B$4),IF(DATOS!$G18072="EX",1,IF(DATOS!$G18072="OR",--(COUNTIFS(nNIA,DATOS!$A18072,nCURSO,DATOS!$D18072,nESPEC,DATOS!$E18072,nASIG,DATOS!$I18072,nEVAL,"EX")=0),0))))</f>
      </c>
      <c r="H18072">
        <f>IF(DATOS!$G18072&lt;&gt;"EX",0,--(COUNTIFS(nNIA,DATOS!$A18072,nCURSO,DATOS!$D18072,nESPEC,DATOS!$E18072,nASIG,DATOS!$I18072,nEVAL,"OR")=0))</f>
      </c>
      <c r="I18072">
        <f>IF(DATOS!$I18072="","",IFERROR(VLOOKUP(DATOS!$I18072,CONFIG_ASIGNATURAS!$B$2:$J$91,9,FALSE()),""))</f>
      </c>
    </row>
    <row r="18073">
      <c r="F18073">
        <f>IF(DATOS!$A18073="","",DATOS!$A18073&amp;"|"&amp;DATOS!$D18073&amp;"|"&amp;DATOS!$E18073&amp;"|"&amp;DATOS!$I18073)</f>
      </c>
      <c r="G18073">
        <f>IF(DATOS!$A18073="",0,IF(CONFIG_METADATA!$B$4&lt;&gt;"OR+EX",--(DATOS!$G18073=CONFIG_METADATA!$B$4),IF(DATOS!$G18073="EX",1,IF(DATOS!$G18073="OR",--(COUNTIFS(nNIA,DATOS!$A18073,nCURSO,DATOS!$D18073,nESPEC,DATOS!$E18073,nASIG,DATOS!$I18073,nEVAL,"EX")=0),0))))</f>
      </c>
      <c r="H18073">
        <f>IF(DATOS!$G18073&lt;&gt;"EX",0,--(COUNTIFS(nNIA,DATOS!$A18073,nCURSO,DATOS!$D18073,nESPEC,DATOS!$E18073,nASIG,DATOS!$I18073,nEVAL,"OR")=0))</f>
      </c>
      <c r="I18073">
        <f>IF(DATOS!$I18073="","",IFERROR(VLOOKUP(DATOS!$I18073,CONFIG_ASIGNATURAS!$B$2:$J$91,9,FALSE()),""))</f>
      </c>
    </row>
    <row r="18074">
      <c r="F18074">
        <f>IF(DATOS!$A18074="","",DATOS!$A18074&amp;"|"&amp;DATOS!$D18074&amp;"|"&amp;DATOS!$E18074&amp;"|"&amp;DATOS!$I18074)</f>
      </c>
      <c r="G18074">
        <f>IF(DATOS!$A18074="",0,IF(CONFIG_METADATA!$B$4&lt;&gt;"OR+EX",--(DATOS!$G18074=CONFIG_METADATA!$B$4),IF(DATOS!$G18074="EX",1,IF(DATOS!$G18074="OR",--(COUNTIFS(nNIA,DATOS!$A18074,nCURSO,DATOS!$D18074,nESPEC,DATOS!$E18074,nASIG,DATOS!$I18074,nEVAL,"EX")=0),0))))</f>
      </c>
      <c r="H18074">
        <f>IF(DATOS!$G18074&lt;&gt;"EX",0,--(COUNTIFS(nNIA,DATOS!$A18074,nCURSO,DATOS!$D18074,nESPEC,DATOS!$E18074,nASIG,DATOS!$I18074,nEVAL,"OR")=0))</f>
      </c>
      <c r="I18074">
        <f>IF(DATOS!$I18074="","",IFERROR(VLOOKUP(DATOS!$I18074,CONFIG_ASIGNATURAS!$B$2:$J$91,9,FALSE()),""))</f>
      </c>
    </row>
    <row r="18075">
      <c r="F18075">
        <f>IF(DATOS!$A18075="","",DATOS!$A18075&amp;"|"&amp;DATOS!$D18075&amp;"|"&amp;DATOS!$E18075&amp;"|"&amp;DATOS!$I18075)</f>
      </c>
      <c r="G18075">
        <f>IF(DATOS!$A18075="",0,IF(CONFIG_METADATA!$B$4&lt;&gt;"OR+EX",--(DATOS!$G18075=CONFIG_METADATA!$B$4),IF(DATOS!$G18075="EX",1,IF(DATOS!$G18075="OR",--(COUNTIFS(nNIA,DATOS!$A18075,nCURSO,DATOS!$D18075,nESPEC,DATOS!$E18075,nASIG,DATOS!$I18075,nEVAL,"EX")=0),0))))</f>
      </c>
      <c r="H18075">
        <f>IF(DATOS!$G18075&lt;&gt;"EX",0,--(COUNTIFS(nNIA,DATOS!$A18075,nCURSO,DATOS!$D18075,nESPEC,DATOS!$E18075,nASIG,DATOS!$I18075,nEVAL,"OR")=0))</f>
      </c>
      <c r="I18075">
        <f>IF(DATOS!$I18075="","",IFERROR(VLOOKUP(DATOS!$I18075,CONFIG_ASIGNATURAS!$B$2:$J$91,9,FALSE()),""))</f>
      </c>
    </row>
    <row r="18076">
      <c r="F18076">
        <f>IF(DATOS!$A18076="","",DATOS!$A18076&amp;"|"&amp;DATOS!$D18076&amp;"|"&amp;DATOS!$E18076&amp;"|"&amp;DATOS!$I18076)</f>
      </c>
      <c r="G18076">
        <f>IF(DATOS!$A18076="",0,IF(CONFIG_METADATA!$B$4&lt;&gt;"OR+EX",--(DATOS!$G18076=CONFIG_METADATA!$B$4),IF(DATOS!$G18076="EX",1,IF(DATOS!$G18076="OR",--(COUNTIFS(nNIA,DATOS!$A18076,nCURSO,DATOS!$D18076,nESPEC,DATOS!$E18076,nASIG,DATOS!$I18076,nEVAL,"EX")=0),0))))</f>
      </c>
      <c r="H18076">
        <f>IF(DATOS!$G18076&lt;&gt;"EX",0,--(COUNTIFS(nNIA,DATOS!$A18076,nCURSO,DATOS!$D18076,nESPEC,DATOS!$E18076,nASIG,DATOS!$I18076,nEVAL,"OR")=0))</f>
      </c>
      <c r="I18076">
        <f>IF(DATOS!$I18076="","",IFERROR(VLOOKUP(DATOS!$I18076,CONFIG_ASIGNATURAS!$B$2:$J$91,9,FALSE()),""))</f>
      </c>
    </row>
    <row r="18077">
      <c r="F18077">
        <f>IF(DATOS!$A18077="","",DATOS!$A18077&amp;"|"&amp;DATOS!$D18077&amp;"|"&amp;DATOS!$E18077&amp;"|"&amp;DATOS!$I18077)</f>
      </c>
      <c r="G18077">
        <f>IF(DATOS!$A18077="",0,IF(CONFIG_METADATA!$B$4&lt;&gt;"OR+EX",--(DATOS!$G18077=CONFIG_METADATA!$B$4),IF(DATOS!$G18077="EX",1,IF(DATOS!$G18077="OR",--(COUNTIFS(nNIA,DATOS!$A18077,nCURSO,DATOS!$D18077,nESPEC,DATOS!$E18077,nASIG,DATOS!$I18077,nEVAL,"EX")=0),0))))</f>
      </c>
      <c r="H18077">
        <f>IF(DATOS!$G18077&lt;&gt;"EX",0,--(COUNTIFS(nNIA,DATOS!$A18077,nCURSO,DATOS!$D18077,nESPEC,DATOS!$E18077,nASIG,DATOS!$I18077,nEVAL,"OR")=0))</f>
      </c>
      <c r="I18077">
        <f>IF(DATOS!$I18077="","",IFERROR(VLOOKUP(DATOS!$I18077,CONFIG_ASIGNATURAS!$B$2:$J$91,9,FALSE()),""))</f>
      </c>
    </row>
    <row r="18078">
      <c r="F18078">
        <f>IF(DATOS!$A18078="","",DATOS!$A18078&amp;"|"&amp;DATOS!$D18078&amp;"|"&amp;DATOS!$E18078&amp;"|"&amp;DATOS!$I18078)</f>
      </c>
      <c r="G18078">
        <f>IF(DATOS!$A18078="",0,IF(CONFIG_METADATA!$B$4&lt;&gt;"OR+EX",--(DATOS!$G18078=CONFIG_METADATA!$B$4),IF(DATOS!$G18078="EX",1,IF(DATOS!$G18078="OR",--(COUNTIFS(nNIA,DATOS!$A18078,nCURSO,DATOS!$D18078,nESPEC,DATOS!$E18078,nASIG,DATOS!$I18078,nEVAL,"EX")=0),0))))</f>
      </c>
      <c r="H18078">
        <f>IF(DATOS!$G18078&lt;&gt;"EX",0,--(COUNTIFS(nNIA,DATOS!$A18078,nCURSO,DATOS!$D18078,nESPEC,DATOS!$E18078,nASIG,DATOS!$I18078,nEVAL,"OR")=0))</f>
      </c>
      <c r="I18078">
        <f>IF(DATOS!$I18078="","",IFERROR(VLOOKUP(DATOS!$I18078,CONFIG_ASIGNATURAS!$B$2:$J$91,9,FALSE()),""))</f>
      </c>
    </row>
    <row r="18079">
      <c r="F18079">
        <f>IF(DATOS!$A18079="","",DATOS!$A18079&amp;"|"&amp;DATOS!$D18079&amp;"|"&amp;DATOS!$E18079&amp;"|"&amp;DATOS!$I18079)</f>
      </c>
      <c r="G18079">
        <f>IF(DATOS!$A18079="",0,IF(CONFIG_METADATA!$B$4&lt;&gt;"OR+EX",--(DATOS!$G18079=CONFIG_METADATA!$B$4),IF(DATOS!$G18079="EX",1,IF(DATOS!$G18079="OR",--(COUNTIFS(nNIA,DATOS!$A18079,nCURSO,DATOS!$D18079,nESPEC,DATOS!$E18079,nASIG,DATOS!$I18079,nEVAL,"EX")=0),0))))</f>
      </c>
      <c r="H18079">
        <f>IF(DATOS!$G18079&lt;&gt;"EX",0,--(COUNTIFS(nNIA,DATOS!$A18079,nCURSO,DATOS!$D18079,nESPEC,DATOS!$E18079,nASIG,DATOS!$I18079,nEVAL,"OR")=0))</f>
      </c>
      <c r="I18079">
        <f>IF(DATOS!$I18079="","",IFERROR(VLOOKUP(DATOS!$I18079,CONFIG_ASIGNATURAS!$B$2:$J$91,9,FALSE()),""))</f>
      </c>
    </row>
    <row r="18080">
      <c r="F18080">
        <f>IF(DATOS!$A18080="","",DATOS!$A18080&amp;"|"&amp;DATOS!$D18080&amp;"|"&amp;DATOS!$E18080&amp;"|"&amp;DATOS!$I18080)</f>
      </c>
      <c r="G18080">
        <f>IF(DATOS!$A18080="",0,IF(CONFIG_METADATA!$B$4&lt;&gt;"OR+EX",--(DATOS!$G18080=CONFIG_METADATA!$B$4),IF(DATOS!$G18080="EX",1,IF(DATOS!$G18080="OR",--(COUNTIFS(nNIA,DATOS!$A18080,nCURSO,DATOS!$D18080,nESPEC,DATOS!$E18080,nASIG,DATOS!$I18080,nEVAL,"EX")=0),0))))</f>
      </c>
      <c r="H18080">
        <f>IF(DATOS!$G18080&lt;&gt;"EX",0,--(COUNTIFS(nNIA,DATOS!$A18080,nCURSO,DATOS!$D18080,nESPEC,DATOS!$E18080,nASIG,DATOS!$I18080,nEVAL,"OR")=0))</f>
      </c>
      <c r="I18080">
        <f>IF(DATOS!$I18080="","",IFERROR(VLOOKUP(DATOS!$I18080,CONFIG_ASIGNATURAS!$B$2:$J$91,9,FALSE()),""))</f>
      </c>
    </row>
    <row r="18081">
      <c r="F18081">
        <f>IF(DATOS!$A18081="","",DATOS!$A18081&amp;"|"&amp;DATOS!$D18081&amp;"|"&amp;DATOS!$E18081&amp;"|"&amp;DATOS!$I18081)</f>
      </c>
      <c r="G18081">
        <f>IF(DATOS!$A18081="",0,IF(CONFIG_METADATA!$B$4&lt;&gt;"OR+EX",--(DATOS!$G18081=CONFIG_METADATA!$B$4),IF(DATOS!$G18081="EX",1,IF(DATOS!$G18081="OR",--(COUNTIFS(nNIA,DATOS!$A18081,nCURSO,DATOS!$D18081,nESPEC,DATOS!$E18081,nASIG,DATOS!$I18081,nEVAL,"EX")=0),0))))</f>
      </c>
      <c r="H18081">
        <f>IF(DATOS!$G18081&lt;&gt;"EX",0,--(COUNTIFS(nNIA,DATOS!$A18081,nCURSO,DATOS!$D18081,nESPEC,DATOS!$E18081,nASIG,DATOS!$I18081,nEVAL,"OR")=0))</f>
      </c>
      <c r="I18081">
        <f>IF(DATOS!$I18081="","",IFERROR(VLOOKUP(DATOS!$I18081,CONFIG_ASIGNATURAS!$B$2:$J$91,9,FALSE()),""))</f>
      </c>
    </row>
    <row r="18082">
      <c r="F18082">
        <f>IF(DATOS!$A18082="","",DATOS!$A18082&amp;"|"&amp;DATOS!$D18082&amp;"|"&amp;DATOS!$E18082&amp;"|"&amp;DATOS!$I18082)</f>
      </c>
      <c r="G18082">
        <f>IF(DATOS!$A18082="",0,IF(CONFIG_METADATA!$B$4&lt;&gt;"OR+EX",--(DATOS!$G18082=CONFIG_METADATA!$B$4),IF(DATOS!$G18082="EX",1,IF(DATOS!$G18082="OR",--(COUNTIFS(nNIA,DATOS!$A18082,nCURSO,DATOS!$D18082,nESPEC,DATOS!$E18082,nASIG,DATOS!$I18082,nEVAL,"EX")=0),0))))</f>
      </c>
      <c r="H18082">
        <f>IF(DATOS!$G18082&lt;&gt;"EX",0,--(COUNTIFS(nNIA,DATOS!$A18082,nCURSO,DATOS!$D18082,nESPEC,DATOS!$E18082,nASIG,DATOS!$I18082,nEVAL,"OR")=0))</f>
      </c>
      <c r="I18082">
        <f>IF(DATOS!$I18082="","",IFERROR(VLOOKUP(DATOS!$I18082,CONFIG_ASIGNATURAS!$B$2:$J$91,9,FALSE()),""))</f>
      </c>
    </row>
    <row r="18083">
      <c r="F18083">
        <f>IF(DATOS!$A18083="","",DATOS!$A18083&amp;"|"&amp;DATOS!$D18083&amp;"|"&amp;DATOS!$E18083&amp;"|"&amp;DATOS!$I18083)</f>
      </c>
      <c r="G18083">
        <f>IF(DATOS!$A18083="",0,IF(CONFIG_METADATA!$B$4&lt;&gt;"OR+EX",--(DATOS!$G18083=CONFIG_METADATA!$B$4),IF(DATOS!$G18083="EX",1,IF(DATOS!$G18083="OR",--(COUNTIFS(nNIA,DATOS!$A18083,nCURSO,DATOS!$D18083,nESPEC,DATOS!$E18083,nASIG,DATOS!$I18083,nEVAL,"EX")=0),0))))</f>
      </c>
      <c r="H18083">
        <f>IF(DATOS!$G18083&lt;&gt;"EX",0,--(COUNTIFS(nNIA,DATOS!$A18083,nCURSO,DATOS!$D18083,nESPEC,DATOS!$E18083,nASIG,DATOS!$I18083,nEVAL,"OR")=0))</f>
      </c>
      <c r="I18083">
        <f>IF(DATOS!$I18083="","",IFERROR(VLOOKUP(DATOS!$I18083,CONFIG_ASIGNATURAS!$B$2:$J$91,9,FALSE()),""))</f>
      </c>
    </row>
    <row r="18084">
      <c r="F18084">
        <f>IF(DATOS!$A18084="","",DATOS!$A18084&amp;"|"&amp;DATOS!$D18084&amp;"|"&amp;DATOS!$E18084&amp;"|"&amp;DATOS!$I18084)</f>
      </c>
      <c r="G18084">
        <f>IF(DATOS!$A18084="",0,IF(CONFIG_METADATA!$B$4&lt;&gt;"OR+EX",--(DATOS!$G18084=CONFIG_METADATA!$B$4),IF(DATOS!$G18084="EX",1,IF(DATOS!$G18084="OR",--(COUNTIFS(nNIA,DATOS!$A18084,nCURSO,DATOS!$D18084,nESPEC,DATOS!$E18084,nASIG,DATOS!$I18084,nEVAL,"EX")=0),0))))</f>
      </c>
      <c r="H18084">
        <f>IF(DATOS!$G18084&lt;&gt;"EX",0,--(COUNTIFS(nNIA,DATOS!$A18084,nCURSO,DATOS!$D18084,nESPEC,DATOS!$E18084,nASIG,DATOS!$I18084,nEVAL,"OR")=0))</f>
      </c>
      <c r="I18084">
        <f>IF(DATOS!$I18084="","",IFERROR(VLOOKUP(DATOS!$I18084,CONFIG_ASIGNATURAS!$B$2:$J$91,9,FALSE()),""))</f>
      </c>
    </row>
    <row r="18085">
      <c r="F18085">
        <f>IF(DATOS!$A18085="","",DATOS!$A18085&amp;"|"&amp;DATOS!$D18085&amp;"|"&amp;DATOS!$E18085&amp;"|"&amp;DATOS!$I18085)</f>
      </c>
      <c r="G18085">
        <f>IF(DATOS!$A18085="",0,IF(CONFIG_METADATA!$B$4&lt;&gt;"OR+EX",--(DATOS!$G18085=CONFIG_METADATA!$B$4),IF(DATOS!$G18085="EX",1,IF(DATOS!$G18085="OR",--(COUNTIFS(nNIA,DATOS!$A18085,nCURSO,DATOS!$D18085,nESPEC,DATOS!$E18085,nASIG,DATOS!$I18085,nEVAL,"EX")=0),0))))</f>
      </c>
      <c r="H18085">
        <f>IF(DATOS!$G18085&lt;&gt;"EX",0,--(COUNTIFS(nNIA,DATOS!$A18085,nCURSO,DATOS!$D18085,nESPEC,DATOS!$E18085,nASIG,DATOS!$I18085,nEVAL,"OR")=0))</f>
      </c>
      <c r="I18085">
        <f>IF(DATOS!$I18085="","",IFERROR(VLOOKUP(DATOS!$I18085,CONFIG_ASIGNATURAS!$B$2:$J$91,9,FALSE()),""))</f>
      </c>
    </row>
    <row r="18086">
      <c r="F18086">
        <f>IF(DATOS!$A18086="","",DATOS!$A18086&amp;"|"&amp;DATOS!$D18086&amp;"|"&amp;DATOS!$E18086&amp;"|"&amp;DATOS!$I18086)</f>
      </c>
      <c r="G18086">
        <f>IF(DATOS!$A18086="",0,IF(CONFIG_METADATA!$B$4&lt;&gt;"OR+EX",--(DATOS!$G18086=CONFIG_METADATA!$B$4),IF(DATOS!$G18086="EX",1,IF(DATOS!$G18086="OR",--(COUNTIFS(nNIA,DATOS!$A18086,nCURSO,DATOS!$D18086,nESPEC,DATOS!$E18086,nASIG,DATOS!$I18086,nEVAL,"EX")=0),0))))</f>
      </c>
      <c r="H18086">
        <f>IF(DATOS!$G18086&lt;&gt;"EX",0,--(COUNTIFS(nNIA,DATOS!$A18086,nCURSO,DATOS!$D18086,nESPEC,DATOS!$E18086,nASIG,DATOS!$I18086,nEVAL,"OR")=0))</f>
      </c>
      <c r="I18086">
        <f>IF(DATOS!$I18086="","",IFERROR(VLOOKUP(DATOS!$I18086,CONFIG_ASIGNATURAS!$B$2:$J$91,9,FALSE()),""))</f>
      </c>
    </row>
    <row r="18087">
      <c r="F18087">
        <f>IF(DATOS!$A18087="","",DATOS!$A18087&amp;"|"&amp;DATOS!$D18087&amp;"|"&amp;DATOS!$E18087&amp;"|"&amp;DATOS!$I18087)</f>
      </c>
      <c r="G18087">
        <f>IF(DATOS!$A18087="",0,IF(CONFIG_METADATA!$B$4&lt;&gt;"OR+EX",--(DATOS!$G18087=CONFIG_METADATA!$B$4),IF(DATOS!$G18087="EX",1,IF(DATOS!$G18087="OR",--(COUNTIFS(nNIA,DATOS!$A18087,nCURSO,DATOS!$D18087,nESPEC,DATOS!$E18087,nASIG,DATOS!$I18087,nEVAL,"EX")=0),0))))</f>
      </c>
      <c r="H18087">
        <f>IF(DATOS!$G18087&lt;&gt;"EX",0,--(COUNTIFS(nNIA,DATOS!$A18087,nCURSO,DATOS!$D18087,nESPEC,DATOS!$E18087,nASIG,DATOS!$I18087,nEVAL,"OR")=0))</f>
      </c>
      <c r="I18087">
        <f>IF(DATOS!$I18087="","",IFERROR(VLOOKUP(DATOS!$I18087,CONFIG_ASIGNATURAS!$B$2:$J$91,9,FALSE()),""))</f>
      </c>
    </row>
    <row r="18088">
      <c r="F18088">
        <f>IF(DATOS!$A18088="","",DATOS!$A18088&amp;"|"&amp;DATOS!$D18088&amp;"|"&amp;DATOS!$E18088&amp;"|"&amp;DATOS!$I18088)</f>
      </c>
      <c r="G18088">
        <f>IF(DATOS!$A18088="",0,IF(CONFIG_METADATA!$B$4&lt;&gt;"OR+EX",--(DATOS!$G18088=CONFIG_METADATA!$B$4),IF(DATOS!$G18088="EX",1,IF(DATOS!$G18088="OR",--(COUNTIFS(nNIA,DATOS!$A18088,nCURSO,DATOS!$D18088,nESPEC,DATOS!$E18088,nASIG,DATOS!$I18088,nEVAL,"EX")=0),0))))</f>
      </c>
      <c r="H18088">
        <f>IF(DATOS!$G18088&lt;&gt;"EX",0,--(COUNTIFS(nNIA,DATOS!$A18088,nCURSO,DATOS!$D18088,nESPEC,DATOS!$E18088,nASIG,DATOS!$I18088,nEVAL,"OR")=0))</f>
      </c>
      <c r="I18088">
        <f>IF(DATOS!$I18088="","",IFERROR(VLOOKUP(DATOS!$I18088,CONFIG_ASIGNATURAS!$B$2:$J$91,9,FALSE()),""))</f>
      </c>
    </row>
    <row r="18089">
      <c r="F18089">
        <f>IF(DATOS!$A18089="","",DATOS!$A18089&amp;"|"&amp;DATOS!$D18089&amp;"|"&amp;DATOS!$E18089&amp;"|"&amp;DATOS!$I18089)</f>
      </c>
      <c r="G18089">
        <f>IF(DATOS!$A18089="",0,IF(CONFIG_METADATA!$B$4&lt;&gt;"OR+EX",--(DATOS!$G18089=CONFIG_METADATA!$B$4),IF(DATOS!$G18089="EX",1,IF(DATOS!$G18089="OR",--(COUNTIFS(nNIA,DATOS!$A18089,nCURSO,DATOS!$D18089,nESPEC,DATOS!$E18089,nASIG,DATOS!$I18089,nEVAL,"EX")=0),0))))</f>
      </c>
      <c r="H18089">
        <f>IF(DATOS!$G18089&lt;&gt;"EX",0,--(COUNTIFS(nNIA,DATOS!$A18089,nCURSO,DATOS!$D18089,nESPEC,DATOS!$E18089,nASIG,DATOS!$I18089,nEVAL,"OR")=0))</f>
      </c>
      <c r="I18089">
        <f>IF(DATOS!$I18089="","",IFERROR(VLOOKUP(DATOS!$I18089,CONFIG_ASIGNATURAS!$B$2:$J$91,9,FALSE()),""))</f>
      </c>
    </row>
    <row r="18090">
      <c r="F18090">
        <f>IF(DATOS!$A18090="","",DATOS!$A18090&amp;"|"&amp;DATOS!$D18090&amp;"|"&amp;DATOS!$E18090&amp;"|"&amp;DATOS!$I18090)</f>
      </c>
      <c r="G18090">
        <f>IF(DATOS!$A18090="",0,IF(CONFIG_METADATA!$B$4&lt;&gt;"OR+EX",--(DATOS!$G18090=CONFIG_METADATA!$B$4),IF(DATOS!$G18090="EX",1,IF(DATOS!$G18090="OR",--(COUNTIFS(nNIA,DATOS!$A18090,nCURSO,DATOS!$D18090,nESPEC,DATOS!$E18090,nASIG,DATOS!$I18090,nEVAL,"EX")=0),0))))</f>
      </c>
      <c r="H18090">
        <f>IF(DATOS!$G18090&lt;&gt;"EX",0,--(COUNTIFS(nNIA,DATOS!$A18090,nCURSO,DATOS!$D18090,nESPEC,DATOS!$E18090,nASIG,DATOS!$I18090,nEVAL,"OR")=0))</f>
      </c>
      <c r="I18090">
        <f>IF(DATOS!$I18090="","",IFERROR(VLOOKUP(DATOS!$I18090,CONFIG_ASIGNATURAS!$B$2:$J$91,9,FALSE()),""))</f>
      </c>
    </row>
    <row r="18091">
      <c r="F18091">
        <f>IF(DATOS!$A18091="","",DATOS!$A18091&amp;"|"&amp;DATOS!$D18091&amp;"|"&amp;DATOS!$E18091&amp;"|"&amp;DATOS!$I18091)</f>
      </c>
      <c r="G18091">
        <f>IF(DATOS!$A18091="",0,IF(CONFIG_METADATA!$B$4&lt;&gt;"OR+EX",--(DATOS!$G18091=CONFIG_METADATA!$B$4),IF(DATOS!$G18091="EX",1,IF(DATOS!$G18091="OR",--(COUNTIFS(nNIA,DATOS!$A18091,nCURSO,DATOS!$D18091,nESPEC,DATOS!$E18091,nASIG,DATOS!$I18091,nEVAL,"EX")=0),0))))</f>
      </c>
      <c r="H18091">
        <f>IF(DATOS!$G18091&lt;&gt;"EX",0,--(COUNTIFS(nNIA,DATOS!$A18091,nCURSO,DATOS!$D18091,nESPEC,DATOS!$E18091,nASIG,DATOS!$I18091,nEVAL,"OR")=0))</f>
      </c>
      <c r="I18091">
        <f>IF(DATOS!$I18091="","",IFERROR(VLOOKUP(DATOS!$I18091,CONFIG_ASIGNATURAS!$B$2:$J$91,9,FALSE()),""))</f>
      </c>
    </row>
    <row r="18092">
      <c r="F18092">
        <f>IF(DATOS!$A18092="","",DATOS!$A18092&amp;"|"&amp;DATOS!$D18092&amp;"|"&amp;DATOS!$E18092&amp;"|"&amp;DATOS!$I18092)</f>
      </c>
      <c r="G18092">
        <f>IF(DATOS!$A18092="",0,IF(CONFIG_METADATA!$B$4&lt;&gt;"OR+EX",--(DATOS!$G18092=CONFIG_METADATA!$B$4),IF(DATOS!$G18092="EX",1,IF(DATOS!$G18092="OR",--(COUNTIFS(nNIA,DATOS!$A18092,nCURSO,DATOS!$D18092,nESPEC,DATOS!$E18092,nASIG,DATOS!$I18092,nEVAL,"EX")=0),0))))</f>
      </c>
      <c r="H18092">
        <f>IF(DATOS!$G18092&lt;&gt;"EX",0,--(COUNTIFS(nNIA,DATOS!$A18092,nCURSO,DATOS!$D18092,nESPEC,DATOS!$E18092,nASIG,DATOS!$I18092,nEVAL,"OR")=0))</f>
      </c>
      <c r="I18092">
        <f>IF(DATOS!$I18092="","",IFERROR(VLOOKUP(DATOS!$I18092,CONFIG_ASIGNATURAS!$B$2:$J$91,9,FALSE()),""))</f>
      </c>
    </row>
    <row r="18093">
      <c r="F18093">
        <f>IF(DATOS!$A18093="","",DATOS!$A18093&amp;"|"&amp;DATOS!$D18093&amp;"|"&amp;DATOS!$E18093&amp;"|"&amp;DATOS!$I18093)</f>
      </c>
      <c r="G18093">
        <f>IF(DATOS!$A18093="",0,IF(CONFIG_METADATA!$B$4&lt;&gt;"OR+EX",--(DATOS!$G18093=CONFIG_METADATA!$B$4),IF(DATOS!$G18093="EX",1,IF(DATOS!$G18093="OR",--(COUNTIFS(nNIA,DATOS!$A18093,nCURSO,DATOS!$D18093,nESPEC,DATOS!$E18093,nASIG,DATOS!$I18093,nEVAL,"EX")=0),0))))</f>
      </c>
      <c r="H18093">
        <f>IF(DATOS!$G18093&lt;&gt;"EX",0,--(COUNTIFS(nNIA,DATOS!$A18093,nCURSO,DATOS!$D18093,nESPEC,DATOS!$E18093,nASIG,DATOS!$I18093,nEVAL,"OR")=0))</f>
      </c>
      <c r="I18093">
        <f>IF(DATOS!$I18093="","",IFERROR(VLOOKUP(DATOS!$I18093,CONFIG_ASIGNATURAS!$B$2:$J$91,9,FALSE()),""))</f>
      </c>
    </row>
    <row r="18094">
      <c r="F18094">
        <f>IF(DATOS!$A18094="","",DATOS!$A18094&amp;"|"&amp;DATOS!$D18094&amp;"|"&amp;DATOS!$E18094&amp;"|"&amp;DATOS!$I18094)</f>
      </c>
      <c r="G18094">
        <f>IF(DATOS!$A18094="",0,IF(CONFIG_METADATA!$B$4&lt;&gt;"OR+EX",--(DATOS!$G18094=CONFIG_METADATA!$B$4),IF(DATOS!$G18094="EX",1,IF(DATOS!$G18094="OR",--(COUNTIFS(nNIA,DATOS!$A18094,nCURSO,DATOS!$D18094,nESPEC,DATOS!$E18094,nASIG,DATOS!$I18094,nEVAL,"EX")=0),0))))</f>
      </c>
      <c r="H18094">
        <f>IF(DATOS!$G18094&lt;&gt;"EX",0,--(COUNTIFS(nNIA,DATOS!$A18094,nCURSO,DATOS!$D18094,nESPEC,DATOS!$E18094,nASIG,DATOS!$I18094,nEVAL,"OR")=0))</f>
      </c>
      <c r="I18094">
        <f>IF(DATOS!$I18094="","",IFERROR(VLOOKUP(DATOS!$I18094,CONFIG_ASIGNATURAS!$B$2:$J$91,9,FALSE()),""))</f>
      </c>
    </row>
    <row r="18095">
      <c r="F18095">
        <f>IF(DATOS!$A18095="","",DATOS!$A18095&amp;"|"&amp;DATOS!$D18095&amp;"|"&amp;DATOS!$E18095&amp;"|"&amp;DATOS!$I18095)</f>
      </c>
      <c r="G18095">
        <f>IF(DATOS!$A18095="",0,IF(CONFIG_METADATA!$B$4&lt;&gt;"OR+EX",--(DATOS!$G18095=CONFIG_METADATA!$B$4),IF(DATOS!$G18095="EX",1,IF(DATOS!$G18095="OR",--(COUNTIFS(nNIA,DATOS!$A18095,nCURSO,DATOS!$D18095,nESPEC,DATOS!$E18095,nASIG,DATOS!$I18095,nEVAL,"EX")=0),0))))</f>
      </c>
      <c r="H18095">
        <f>IF(DATOS!$G18095&lt;&gt;"EX",0,--(COUNTIFS(nNIA,DATOS!$A18095,nCURSO,DATOS!$D18095,nESPEC,DATOS!$E18095,nASIG,DATOS!$I18095,nEVAL,"OR")=0))</f>
      </c>
      <c r="I18095">
        <f>IF(DATOS!$I18095="","",IFERROR(VLOOKUP(DATOS!$I18095,CONFIG_ASIGNATURAS!$B$2:$J$91,9,FALSE()),""))</f>
      </c>
    </row>
    <row r="18096">
      <c r="F18096">
        <f>IF(DATOS!$A18096="","",DATOS!$A18096&amp;"|"&amp;DATOS!$D18096&amp;"|"&amp;DATOS!$E18096&amp;"|"&amp;DATOS!$I18096)</f>
      </c>
      <c r="G18096">
        <f>IF(DATOS!$A18096="",0,IF(CONFIG_METADATA!$B$4&lt;&gt;"OR+EX",--(DATOS!$G18096=CONFIG_METADATA!$B$4),IF(DATOS!$G18096="EX",1,IF(DATOS!$G18096="OR",--(COUNTIFS(nNIA,DATOS!$A18096,nCURSO,DATOS!$D18096,nESPEC,DATOS!$E18096,nASIG,DATOS!$I18096,nEVAL,"EX")=0),0))))</f>
      </c>
      <c r="H18096">
        <f>IF(DATOS!$G18096&lt;&gt;"EX",0,--(COUNTIFS(nNIA,DATOS!$A18096,nCURSO,DATOS!$D18096,nESPEC,DATOS!$E18096,nASIG,DATOS!$I18096,nEVAL,"OR")=0))</f>
      </c>
      <c r="I18096">
        <f>IF(DATOS!$I18096="","",IFERROR(VLOOKUP(DATOS!$I18096,CONFIG_ASIGNATURAS!$B$2:$J$91,9,FALSE()),""))</f>
      </c>
    </row>
    <row r="18097">
      <c r="F18097">
        <f>IF(DATOS!$A18097="","",DATOS!$A18097&amp;"|"&amp;DATOS!$D18097&amp;"|"&amp;DATOS!$E18097&amp;"|"&amp;DATOS!$I18097)</f>
      </c>
      <c r="G18097">
        <f>IF(DATOS!$A18097="",0,IF(CONFIG_METADATA!$B$4&lt;&gt;"OR+EX",--(DATOS!$G18097=CONFIG_METADATA!$B$4),IF(DATOS!$G18097="EX",1,IF(DATOS!$G18097="OR",--(COUNTIFS(nNIA,DATOS!$A18097,nCURSO,DATOS!$D18097,nESPEC,DATOS!$E18097,nASIG,DATOS!$I18097,nEVAL,"EX")=0),0))))</f>
      </c>
      <c r="H18097">
        <f>IF(DATOS!$G18097&lt;&gt;"EX",0,--(COUNTIFS(nNIA,DATOS!$A18097,nCURSO,DATOS!$D18097,nESPEC,DATOS!$E18097,nASIG,DATOS!$I18097,nEVAL,"OR")=0))</f>
      </c>
      <c r="I18097">
        <f>IF(DATOS!$I18097="","",IFERROR(VLOOKUP(DATOS!$I18097,CONFIG_ASIGNATURAS!$B$2:$J$91,9,FALSE()),""))</f>
      </c>
    </row>
    <row r="18098">
      <c r="F18098">
        <f>IF(DATOS!$A18098="","",DATOS!$A18098&amp;"|"&amp;DATOS!$D18098&amp;"|"&amp;DATOS!$E18098&amp;"|"&amp;DATOS!$I18098)</f>
      </c>
      <c r="G18098">
        <f>IF(DATOS!$A18098="",0,IF(CONFIG_METADATA!$B$4&lt;&gt;"OR+EX",--(DATOS!$G18098=CONFIG_METADATA!$B$4),IF(DATOS!$G18098="EX",1,IF(DATOS!$G18098="OR",--(COUNTIFS(nNIA,DATOS!$A18098,nCURSO,DATOS!$D18098,nESPEC,DATOS!$E18098,nASIG,DATOS!$I18098,nEVAL,"EX")=0),0))))</f>
      </c>
      <c r="H18098">
        <f>IF(DATOS!$G18098&lt;&gt;"EX",0,--(COUNTIFS(nNIA,DATOS!$A18098,nCURSO,DATOS!$D18098,nESPEC,DATOS!$E18098,nASIG,DATOS!$I18098,nEVAL,"OR")=0))</f>
      </c>
      <c r="I18098">
        <f>IF(DATOS!$I18098="","",IFERROR(VLOOKUP(DATOS!$I18098,CONFIG_ASIGNATURAS!$B$2:$J$91,9,FALSE()),""))</f>
      </c>
    </row>
    <row r="18099">
      <c r="F18099">
        <f>IF(DATOS!$A18099="","",DATOS!$A18099&amp;"|"&amp;DATOS!$D18099&amp;"|"&amp;DATOS!$E18099&amp;"|"&amp;DATOS!$I18099)</f>
      </c>
      <c r="G18099">
        <f>IF(DATOS!$A18099="",0,IF(CONFIG_METADATA!$B$4&lt;&gt;"OR+EX",--(DATOS!$G18099=CONFIG_METADATA!$B$4),IF(DATOS!$G18099="EX",1,IF(DATOS!$G18099="OR",--(COUNTIFS(nNIA,DATOS!$A18099,nCURSO,DATOS!$D18099,nESPEC,DATOS!$E18099,nASIG,DATOS!$I18099,nEVAL,"EX")=0),0))))</f>
      </c>
      <c r="H18099">
        <f>IF(DATOS!$G18099&lt;&gt;"EX",0,--(COUNTIFS(nNIA,DATOS!$A18099,nCURSO,DATOS!$D18099,nESPEC,DATOS!$E18099,nASIG,DATOS!$I18099,nEVAL,"OR")=0))</f>
      </c>
      <c r="I18099">
        <f>IF(DATOS!$I18099="","",IFERROR(VLOOKUP(DATOS!$I18099,CONFIG_ASIGNATURAS!$B$2:$J$91,9,FALSE()),""))</f>
      </c>
    </row>
    <row r="18100">
      <c r="F18100">
        <f>IF(DATOS!$A18100="","",DATOS!$A18100&amp;"|"&amp;DATOS!$D18100&amp;"|"&amp;DATOS!$E18100&amp;"|"&amp;DATOS!$I18100)</f>
      </c>
      <c r="G18100">
        <f>IF(DATOS!$A18100="",0,IF(CONFIG_METADATA!$B$4&lt;&gt;"OR+EX",--(DATOS!$G18100=CONFIG_METADATA!$B$4),IF(DATOS!$G18100="EX",1,IF(DATOS!$G18100="OR",--(COUNTIFS(nNIA,DATOS!$A18100,nCURSO,DATOS!$D18100,nESPEC,DATOS!$E18100,nASIG,DATOS!$I18100,nEVAL,"EX")=0),0))))</f>
      </c>
      <c r="H18100">
        <f>IF(DATOS!$G18100&lt;&gt;"EX",0,--(COUNTIFS(nNIA,DATOS!$A18100,nCURSO,DATOS!$D18100,nESPEC,DATOS!$E18100,nASIG,DATOS!$I18100,nEVAL,"OR")=0))</f>
      </c>
      <c r="I18100">
        <f>IF(DATOS!$I18100="","",IFERROR(VLOOKUP(DATOS!$I18100,CONFIG_ASIGNATURAS!$B$2:$J$91,9,FALSE()),""))</f>
      </c>
    </row>
    <row r="18101">
      <c r="F18101">
        <f>IF(DATOS!$A18101="","",DATOS!$A18101&amp;"|"&amp;DATOS!$D18101&amp;"|"&amp;DATOS!$E18101&amp;"|"&amp;DATOS!$I18101)</f>
      </c>
      <c r="G18101">
        <f>IF(DATOS!$A18101="",0,IF(CONFIG_METADATA!$B$4&lt;&gt;"OR+EX",--(DATOS!$G18101=CONFIG_METADATA!$B$4),IF(DATOS!$G18101="EX",1,IF(DATOS!$G18101="OR",--(COUNTIFS(nNIA,DATOS!$A18101,nCURSO,DATOS!$D18101,nESPEC,DATOS!$E18101,nASIG,DATOS!$I18101,nEVAL,"EX")=0),0))))</f>
      </c>
      <c r="H18101">
        <f>IF(DATOS!$G18101&lt;&gt;"EX",0,--(COUNTIFS(nNIA,DATOS!$A18101,nCURSO,DATOS!$D18101,nESPEC,DATOS!$E18101,nASIG,DATOS!$I18101,nEVAL,"OR")=0))</f>
      </c>
      <c r="I18101">
        <f>IF(DATOS!$I18101="","",IFERROR(VLOOKUP(DATOS!$I18101,CONFIG_ASIGNATURAS!$B$2:$J$91,9,FALSE()),""))</f>
      </c>
    </row>
    <row r="18102">
      <c r="F18102">
        <f>IF(DATOS!$A18102="","",DATOS!$A18102&amp;"|"&amp;DATOS!$D18102&amp;"|"&amp;DATOS!$E18102&amp;"|"&amp;DATOS!$I18102)</f>
      </c>
      <c r="G18102">
        <f>IF(DATOS!$A18102="",0,IF(CONFIG_METADATA!$B$4&lt;&gt;"OR+EX",--(DATOS!$G18102=CONFIG_METADATA!$B$4),IF(DATOS!$G18102="EX",1,IF(DATOS!$G18102="OR",--(COUNTIFS(nNIA,DATOS!$A18102,nCURSO,DATOS!$D18102,nESPEC,DATOS!$E18102,nASIG,DATOS!$I18102,nEVAL,"EX")=0),0))))</f>
      </c>
      <c r="H18102">
        <f>IF(DATOS!$G18102&lt;&gt;"EX",0,--(COUNTIFS(nNIA,DATOS!$A18102,nCURSO,DATOS!$D18102,nESPEC,DATOS!$E18102,nASIG,DATOS!$I18102,nEVAL,"OR")=0))</f>
      </c>
      <c r="I18102">
        <f>IF(DATOS!$I18102="","",IFERROR(VLOOKUP(DATOS!$I18102,CONFIG_ASIGNATURAS!$B$2:$J$91,9,FALSE()),""))</f>
      </c>
    </row>
    <row r="18103">
      <c r="F18103">
        <f>IF(DATOS!$A18103="","",DATOS!$A18103&amp;"|"&amp;DATOS!$D18103&amp;"|"&amp;DATOS!$E18103&amp;"|"&amp;DATOS!$I18103)</f>
      </c>
      <c r="G18103">
        <f>IF(DATOS!$A18103="",0,IF(CONFIG_METADATA!$B$4&lt;&gt;"OR+EX",--(DATOS!$G18103=CONFIG_METADATA!$B$4),IF(DATOS!$G18103="EX",1,IF(DATOS!$G18103="OR",--(COUNTIFS(nNIA,DATOS!$A18103,nCURSO,DATOS!$D18103,nESPEC,DATOS!$E18103,nASIG,DATOS!$I18103,nEVAL,"EX")=0),0))))</f>
      </c>
      <c r="H18103">
        <f>IF(DATOS!$G18103&lt;&gt;"EX",0,--(COUNTIFS(nNIA,DATOS!$A18103,nCURSO,DATOS!$D18103,nESPEC,DATOS!$E18103,nASIG,DATOS!$I18103,nEVAL,"OR")=0))</f>
      </c>
      <c r="I18103">
        <f>IF(DATOS!$I18103="","",IFERROR(VLOOKUP(DATOS!$I18103,CONFIG_ASIGNATURAS!$B$2:$J$91,9,FALSE()),""))</f>
      </c>
    </row>
    <row r="18104">
      <c r="F18104">
        <f>IF(DATOS!$A18104="","",DATOS!$A18104&amp;"|"&amp;DATOS!$D18104&amp;"|"&amp;DATOS!$E18104&amp;"|"&amp;DATOS!$I18104)</f>
      </c>
      <c r="G18104">
        <f>IF(DATOS!$A18104="",0,IF(CONFIG_METADATA!$B$4&lt;&gt;"OR+EX",--(DATOS!$G18104=CONFIG_METADATA!$B$4),IF(DATOS!$G18104="EX",1,IF(DATOS!$G18104="OR",--(COUNTIFS(nNIA,DATOS!$A18104,nCURSO,DATOS!$D18104,nESPEC,DATOS!$E18104,nASIG,DATOS!$I18104,nEVAL,"EX")=0),0))))</f>
      </c>
      <c r="H18104">
        <f>IF(DATOS!$G18104&lt;&gt;"EX",0,--(COUNTIFS(nNIA,DATOS!$A18104,nCURSO,DATOS!$D18104,nESPEC,DATOS!$E18104,nASIG,DATOS!$I18104,nEVAL,"OR")=0))</f>
      </c>
      <c r="I18104">
        <f>IF(DATOS!$I18104="","",IFERROR(VLOOKUP(DATOS!$I18104,CONFIG_ASIGNATURAS!$B$2:$J$91,9,FALSE()),""))</f>
      </c>
    </row>
    <row r="18105">
      <c r="F18105">
        <f>IF(DATOS!$A18105="","",DATOS!$A18105&amp;"|"&amp;DATOS!$D18105&amp;"|"&amp;DATOS!$E18105&amp;"|"&amp;DATOS!$I18105)</f>
      </c>
      <c r="G18105">
        <f>IF(DATOS!$A18105="",0,IF(CONFIG_METADATA!$B$4&lt;&gt;"OR+EX",--(DATOS!$G18105=CONFIG_METADATA!$B$4),IF(DATOS!$G18105="EX",1,IF(DATOS!$G18105="OR",--(COUNTIFS(nNIA,DATOS!$A18105,nCURSO,DATOS!$D18105,nESPEC,DATOS!$E18105,nASIG,DATOS!$I18105,nEVAL,"EX")=0),0))))</f>
      </c>
      <c r="H18105">
        <f>IF(DATOS!$G18105&lt;&gt;"EX",0,--(COUNTIFS(nNIA,DATOS!$A18105,nCURSO,DATOS!$D18105,nESPEC,DATOS!$E18105,nASIG,DATOS!$I18105,nEVAL,"OR")=0))</f>
      </c>
      <c r="I18105">
        <f>IF(DATOS!$I18105="","",IFERROR(VLOOKUP(DATOS!$I18105,CONFIG_ASIGNATURAS!$B$2:$J$91,9,FALSE()),""))</f>
      </c>
    </row>
    <row r="18106">
      <c r="F18106">
        <f>IF(DATOS!$A18106="","",DATOS!$A18106&amp;"|"&amp;DATOS!$D18106&amp;"|"&amp;DATOS!$E18106&amp;"|"&amp;DATOS!$I18106)</f>
      </c>
      <c r="G18106">
        <f>IF(DATOS!$A18106="",0,IF(CONFIG_METADATA!$B$4&lt;&gt;"OR+EX",--(DATOS!$G18106=CONFIG_METADATA!$B$4),IF(DATOS!$G18106="EX",1,IF(DATOS!$G18106="OR",--(COUNTIFS(nNIA,DATOS!$A18106,nCURSO,DATOS!$D18106,nESPEC,DATOS!$E18106,nASIG,DATOS!$I18106,nEVAL,"EX")=0),0))))</f>
      </c>
      <c r="H18106">
        <f>IF(DATOS!$G18106&lt;&gt;"EX",0,--(COUNTIFS(nNIA,DATOS!$A18106,nCURSO,DATOS!$D18106,nESPEC,DATOS!$E18106,nASIG,DATOS!$I18106,nEVAL,"OR")=0))</f>
      </c>
      <c r="I18106">
        <f>IF(DATOS!$I18106="","",IFERROR(VLOOKUP(DATOS!$I18106,CONFIG_ASIGNATURAS!$B$2:$J$91,9,FALSE()),""))</f>
      </c>
    </row>
    <row r="18107">
      <c r="F18107">
        <f>IF(DATOS!$A18107="","",DATOS!$A18107&amp;"|"&amp;DATOS!$D18107&amp;"|"&amp;DATOS!$E18107&amp;"|"&amp;DATOS!$I18107)</f>
      </c>
      <c r="G18107">
        <f>IF(DATOS!$A18107="",0,IF(CONFIG_METADATA!$B$4&lt;&gt;"OR+EX",--(DATOS!$G18107=CONFIG_METADATA!$B$4),IF(DATOS!$G18107="EX",1,IF(DATOS!$G18107="OR",--(COUNTIFS(nNIA,DATOS!$A18107,nCURSO,DATOS!$D18107,nESPEC,DATOS!$E18107,nASIG,DATOS!$I18107,nEVAL,"EX")=0),0))))</f>
      </c>
      <c r="H18107">
        <f>IF(DATOS!$G18107&lt;&gt;"EX",0,--(COUNTIFS(nNIA,DATOS!$A18107,nCURSO,DATOS!$D18107,nESPEC,DATOS!$E18107,nASIG,DATOS!$I18107,nEVAL,"OR")=0))</f>
      </c>
      <c r="I18107">
        <f>IF(DATOS!$I18107="","",IFERROR(VLOOKUP(DATOS!$I18107,CONFIG_ASIGNATURAS!$B$2:$J$91,9,FALSE()),""))</f>
      </c>
    </row>
    <row r="18108">
      <c r="F18108">
        <f>IF(DATOS!$A18108="","",DATOS!$A18108&amp;"|"&amp;DATOS!$D18108&amp;"|"&amp;DATOS!$E18108&amp;"|"&amp;DATOS!$I18108)</f>
      </c>
      <c r="G18108">
        <f>IF(DATOS!$A18108="",0,IF(CONFIG_METADATA!$B$4&lt;&gt;"OR+EX",--(DATOS!$G18108=CONFIG_METADATA!$B$4),IF(DATOS!$G18108="EX",1,IF(DATOS!$G18108="OR",--(COUNTIFS(nNIA,DATOS!$A18108,nCURSO,DATOS!$D18108,nESPEC,DATOS!$E18108,nASIG,DATOS!$I18108,nEVAL,"EX")=0),0))))</f>
      </c>
      <c r="H18108">
        <f>IF(DATOS!$G18108&lt;&gt;"EX",0,--(COUNTIFS(nNIA,DATOS!$A18108,nCURSO,DATOS!$D18108,nESPEC,DATOS!$E18108,nASIG,DATOS!$I18108,nEVAL,"OR")=0))</f>
      </c>
      <c r="I18108">
        <f>IF(DATOS!$I18108="","",IFERROR(VLOOKUP(DATOS!$I18108,CONFIG_ASIGNATURAS!$B$2:$J$91,9,FALSE()),""))</f>
      </c>
    </row>
    <row r="18109">
      <c r="F18109">
        <f>IF(DATOS!$A18109="","",DATOS!$A18109&amp;"|"&amp;DATOS!$D18109&amp;"|"&amp;DATOS!$E18109&amp;"|"&amp;DATOS!$I18109)</f>
      </c>
      <c r="G18109">
        <f>IF(DATOS!$A18109="",0,IF(CONFIG_METADATA!$B$4&lt;&gt;"OR+EX",--(DATOS!$G18109=CONFIG_METADATA!$B$4),IF(DATOS!$G18109="EX",1,IF(DATOS!$G18109="OR",--(COUNTIFS(nNIA,DATOS!$A18109,nCURSO,DATOS!$D18109,nESPEC,DATOS!$E18109,nASIG,DATOS!$I18109,nEVAL,"EX")=0),0))))</f>
      </c>
      <c r="H18109">
        <f>IF(DATOS!$G18109&lt;&gt;"EX",0,--(COUNTIFS(nNIA,DATOS!$A18109,nCURSO,DATOS!$D18109,nESPEC,DATOS!$E18109,nASIG,DATOS!$I18109,nEVAL,"OR")=0))</f>
      </c>
      <c r="I18109">
        <f>IF(DATOS!$I18109="","",IFERROR(VLOOKUP(DATOS!$I18109,CONFIG_ASIGNATURAS!$B$2:$J$91,9,FALSE()),""))</f>
      </c>
    </row>
    <row r="18110">
      <c r="F18110">
        <f>IF(DATOS!$A18110="","",DATOS!$A18110&amp;"|"&amp;DATOS!$D18110&amp;"|"&amp;DATOS!$E18110&amp;"|"&amp;DATOS!$I18110)</f>
      </c>
      <c r="G18110">
        <f>IF(DATOS!$A18110="",0,IF(CONFIG_METADATA!$B$4&lt;&gt;"OR+EX",--(DATOS!$G18110=CONFIG_METADATA!$B$4),IF(DATOS!$G18110="EX",1,IF(DATOS!$G18110="OR",--(COUNTIFS(nNIA,DATOS!$A18110,nCURSO,DATOS!$D18110,nESPEC,DATOS!$E18110,nASIG,DATOS!$I18110,nEVAL,"EX")=0),0))))</f>
      </c>
      <c r="H18110">
        <f>IF(DATOS!$G18110&lt;&gt;"EX",0,--(COUNTIFS(nNIA,DATOS!$A18110,nCURSO,DATOS!$D18110,nESPEC,DATOS!$E18110,nASIG,DATOS!$I18110,nEVAL,"OR")=0))</f>
      </c>
      <c r="I18110">
        <f>IF(DATOS!$I18110="","",IFERROR(VLOOKUP(DATOS!$I18110,CONFIG_ASIGNATURAS!$B$2:$J$91,9,FALSE()),""))</f>
      </c>
    </row>
    <row r="18111">
      <c r="F18111">
        <f>IF(DATOS!$A18111="","",DATOS!$A18111&amp;"|"&amp;DATOS!$D18111&amp;"|"&amp;DATOS!$E18111&amp;"|"&amp;DATOS!$I18111)</f>
      </c>
      <c r="G18111">
        <f>IF(DATOS!$A18111="",0,IF(CONFIG_METADATA!$B$4&lt;&gt;"OR+EX",--(DATOS!$G18111=CONFIG_METADATA!$B$4),IF(DATOS!$G18111="EX",1,IF(DATOS!$G18111="OR",--(COUNTIFS(nNIA,DATOS!$A18111,nCURSO,DATOS!$D18111,nESPEC,DATOS!$E18111,nASIG,DATOS!$I18111,nEVAL,"EX")=0),0))))</f>
      </c>
      <c r="H18111">
        <f>IF(DATOS!$G18111&lt;&gt;"EX",0,--(COUNTIFS(nNIA,DATOS!$A18111,nCURSO,DATOS!$D18111,nESPEC,DATOS!$E18111,nASIG,DATOS!$I18111,nEVAL,"OR")=0))</f>
      </c>
      <c r="I18111">
        <f>IF(DATOS!$I18111="","",IFERROR(VLOOKUP(DATOS!$I18111,CONFIG_ASIGNATURAS!$B$2:$J$91,9,FALSE()),""))</f>
      </c>
    </row>
    <row r="18112">
      <c r="F18112">
        <f>IF(DATOS!$A18112="","",DATOS!$A18112&amp;"|"&amp;DATOS!$D18112&amp;"|"&amp;DATOS!$E18112&amp;"|"&amp;DATOS!$I18112)</f>
      </c>
      <c r="G18112">
        <f>IF(DATOS!$A18112="",0,IF(CONFIG_METADATA!$B$4&lt;&gt;"OR+EX",--(DATOS!$G18112=CONFIG_METADATA!$B$4),IF(DATOS!$G18112="EX",1,IF(DATOS!$G18112="OR",--(COUNTIFS(nNIA,DATOS!$A18112,nCURSO,DATOS!$D18112,nESPEC,DATOS!$E18112,nASIG,DATOS!$I18112,nEVAL,"EX")=0),0))))</f>
      </c>
      <c r="H18112">
        <f>IF(DATOS!$G18112&lt;&gt;"EX",0,--(COUNTIFS(nNIA,DATOS!$A18112,nCURSO,DATOS!$D18112,nESPEC,DATOS!$E18112,nASIG,DATOS!$I18112,nEVAL,"OR")=0))</f>
      </c>
      <c r="I18112">
        <f>IF(DATOS!$I18112="","",IFERROR(VLOOKUP(DATOS!$I18112,CONFIG_ASIGNATURAS!$B$2:$J$91,9,FALSE()),""))</f>
      </c>
    </row>
    <row r="18113">
      <c r="F18113">
        <f>IF(DATOS!$A18113="","",DATOS!$A18113&amp;"|"&amp;DATOS!$D18113&amp;"|"&amp;DATOS!$E18113&amp;"|"&amp;DATOS!$I18113)</f>
      </c>
      <c r="G18113">
        <f>IF(DATOS!$A18113="",0,IF(CONFIG_METADATA!$B$4&lt;&gt;"OR+EX",--(DATOS!$G18113=CONFIG_METADATA!$B$4),IF(DATOS!$G18113="EX",1,IF(DATOS!$G18113="OR",--(COUNTIFS(nNIA,DATOS!$A18113,nCURSO,DATOS!$D18113,nESPEC,DATOS!$E18113,nASIG,DATOS!$I18113,nEVAL,"EX")=0),0))))</f>
      </c>
      <c r="H18113">
        <f>IF(DATOS!$G18113&lt;&gt;"EX",0,--(COUNTIFS(nNIA,DATOS!$A18113,nCURSO,DATOS!$D18113,nESPEC,DATOS!$E18113,nASIG,DATOS!$I18113,nEVAL,"OR")=0))</f>
      </c>
      <c r="I18113">
        <f>IF(DATOS!$I18113="","",IFERROR(VLOOKUP(DATOS!$I18113,CONFIG_ASIGNATURAS!$B$2:$J$91,9,FALSE()),""))</f>
      </c>
    </row>
    <row r="18114">
      <c r="F18114">
        <f>IF(DATOS!$A18114="","",DATOS!$A18114&amp;"|"&amp;DATOS!$D18114&amp;"|"&amp;DATOS!$E18114&amp;"|"&amp;DATOS!$I18114)</f>
      </c>
      <c r="G18114">
        <f>IF(DATOS!$A18114="",0,IF(CONFIG_METADATA!$B$4&lt;&gt;"OR+EX",--(DATOS!$G18114=CONFIG_METADATA!$B$4),IF(DATOS!$G18114="EX",1,IF(DATOS!$G18114="OR",--(COUNTIFS(nNIA,DATOS!$A18114,nCURSO,DATOS!$D18114,nESPEC,DATOS!$E18114,nASIG,DATOS!$I18114,nEVAL,"EX")=0),0))))</f>
      </c>
      <c r="H18114">
        <f>IF(DATOS!$G18114&lt;&gt;"EX",0,--(COUNTIFS(nNIA,DATOS!$A18114,nCURSO,DATOS!$D18114,nESPEC,DATOS!$E18114,nASIG,DATOS!$I18114,nEVAL,"OR")=0))</f>
      </c>
      <c r="I18114">
        <f>IF(DATOS!$I18114="","",IFERROR(VLOOKUP(DATOS!$I18114,CONFIG_ASIGNATURAS!$B$2:$J$91,9,FALSE()),""))</f>
      </c>
    </row>
    <row r="18115">
      <c r="F18115">
        <f>IF(DATOS!$A18115="","",DATOS!$A18115&amp;"|"&amp;DATOS!$D18115&amp;"|"&amp;DATOS!$E18115&amp;"|"&amp;DATOS!$I18115)</f>
      </c>
      <c r="G18115">
        <f>IF(DATOS!$A18115="",0,IF(CONFIG_METADATA!$B$4&lt;&gt;"OR+EX",--(DATOS!$G18115=CONFIG_METADATA!$B$4),IF(DATOS!$G18115="EX",1,IF(DATOS!$G18115="OR",--(COUNTIFS(nNIA,DATOS!$A18115,nCURSO,DATOS!$D18115,nESPEC,DATOS!$E18115,nASIG,DATOS!$I18115,nEVAL,"EX")=0),0))))</f>
      </c>
      <c r="H18115">
        <f>IF(DATOS!$G18115&lt;&gt;"EX",0,--(COUNTIFS(nNIA,DATOS!$A18115,nCURSO,DATOS!$D18115,nESPEC,DATOS!$E18115,nASIG,DATOS!$I18115,nEVAL,"OR")=0))</f>
      </c>
      <c r="I18115">
        <f>IF(DATOS!$I18115="","",IFERROR(VLOOKUP(DATOS!$I18115,CONFIG_ASIGNATURAS!$B$2:$J$91,9,FALSE()),""))</f>
      </c>
    </row>
    <row r="18116">
      <c r="F18116">
        <f>IF(DATOS!$A18116="","",DATOS!$A18116&amp;"|"&amp;DATOS!$D18116&amp;"|"&amp;DATOS!$E18116&amp;"|"&amp;DATOS!$I18116)</f>
      </c>
      <c r="G18116">
        <f>IF(DATOS!$A18116="",0,IF(CONFIG_METADATA!$B$4&lt;&gt;"OR+EX",--(DATOS!$G18116=CONFIG_METADATA!$B$4),IF(DATOS!$G18116="EX",1,IF(DATOS!$G18116="OR",--(COUNTIFS(nNIA,DATOS!$A18116,nCURSO,DATOS!$D18116,nESPEC,DATOS!$E18116,nASIG,DATOS!$I18116,nEVAL,"EX")=0),0))))</f>
      </c>
      <c r="H18116">
        <f>IF(DATOS!$G18116&lt;&gt;"EX",0,--(COUNTIFS(nNIA,DATOS!$A18116,nCURSO,DATOS!$D18116,nESPEC,DATOS!$E18116,nASIG,DATOS!$I18116,nEVAL,"OR")=0))</f>
      </c>
      <c r="I18116">
        <f>IF(DATOS!$I18116="","",IFERROR(VLOOKUP(DATOS!$I18116,CONFIG_ASIGNATURAS!$B$2:$J$91,9,FALSE()),""))</f>
      </c>
    </row>
    <row r="18117">
      <c r="F18117">
        <f>IF(DATOS!$A18117="","",DATOS!$A18117&amp;"|"&amp;DATOS!$D18117&amp;"|"&amp;DATOS!$E18117&amp;"|"&amp;DATOS!$I18117)</f>
      </c>
      <c r="G18117">
        <f>IF(DATOS!$A18117="",0,IF(CONFIG_METADATA!$B$4&lt;&gt;"OR+EX",--(DATOS!$G18117=CONFIG_METADATA!$B$4),IF(DATOS!$G18117="EX",1,IF(DATOS!$G18117="OR",--(COUNTIFS(nNIA,DATOS!$A18117,nCURSO,DATOS!$D18117,nESPEC,DATOS!$E18117,nASIG,DATOS!$I18117,nEVAL,"EX")=0),0))))</f>
      </c>
      <c r="H18117">
        <f>IF(DATOS!$G18117&lt;&gt;"EX",0,--(COUNTIFS(nNIA,DATOS!$A18117,nCURSO,DATOS!$D18117,nESPEC,DATOS!$E18117,nASIG,DATOS!$I18117,nEVAL,"OR")=0))</f>
      </c>
      <c r="I18117">
        <f>IF(DATOS!$I18117="","",IFERROR(VLOOKUP(DATOS!$I18117,CONFIG_ASIGNATURAS!$B$2:$J$91,9,FALSE()),""))</f>
      </c>
    </row>
    <row r="18118">
      <c r="F18118">
        <f>IF(DATOS!$A18118="","",DATOS!$A18118&amp;"|"&amp;DATOS!$D18118&amp;"|"&amp;DATOS!$E18118&amp;"|"&amp;DATOS!$I18118)</f>
      </c>
      <c r="G18118">
        <f>IF(DATOS!$A18118="",0,IF(CONFIG_METADATA!$B$4&lt;&gt;"OR+EX",--(DATOS!$G18118=CONFIG_METADATA!$B$4),IF(DATOS!$G18118="EX",1,IF(DATOS!$G18118="OR",--(COUNTIFS(nNIA,DATOS!$A18118,nCURSO,DATOS!$D18118,nESPEC,DATOS!$E18118,nASIG,DATOS!$I18118,nEVAL,"EX")=0),0))))</f>
      </c>
      <c r="H18118">
        <f>IF(DATOS!$G18118&lt;&gt;"EX",0,--(COUNTIFS(nNIA,DATOS!$A18118,nCURSO,DATOS!$D18118,nESPEC,DATOS!$E18118,nASIG,DATOS!$I18118,nEVAL,"OR")=0))</f>
      </c>
      <c r="I18118">
        <f>IF(DATOS!$I18118="","",IFERROR(VLOOKUP(DATOS!$I18118,CONFIG_ASIGNATURAS!$B$2:$J$91,9,FALSE()),""))</f>
      </c>
    </row>
    <row r="18119">
      <c r="F18119">
        <f>IF(DATOS!$A18119="","",DATOS!$A18119&amp;"|"&amp;DATOS!$D18119&amp;"|"&amp;DATOS!$E18119&amp;"|"&amp;DATOS!$I18119)</f>
      </c>
      <c r="G18119">
        <f>IF(DATOS!$A18119="",0,IF(CONFIG_METADATA!$B$4&lt;&gt;"OR+EX",--(DATOS!$G18119=CONFIG_METADATA!$B$4),IF(DATOS!$G18119="EX",1,IF(DATOS!$G18119="OR",--(COUNTIFS(nNIA,DATOS!$A18119,nCURSO,DATOS!$D18119,nESPEC,DATOS!$E18119,nASIG,DATOS!$I18119,nEVAL,"EX")=0),0))))</f>
      </c>
      <c r="H18119">
        <f>IF(DATOS!$G18119&lt;&gt;"EX",0,--(COUNTIFS(nNIA,DATOS!$A18119,nCURSO,DATOS!$D18119,nESPEC,DATOS!$E18119,nASIG,DATOS!$I18119,nEVAL,"OR")=0))</f>
      </c>
      <c r="I18119">
        <f>IF(DATOS!$I18119="","",IFERROR(VLOOKUP(DATOS!$I18119,CONFIG_ASIGNATURAS!$B$2:$J$91,9,FALSE()),""))</f>
      </c>
    </row>
    <row r="18120">
      <c r="F18120">
        <f>IF(DATOS!$A18120="","",DATOS!$A18120&amp;"|"&amp;DATOS!$D18120&amp;"|"&amp;DATOS!$E18120&amp;"|"&amp;DATOS!$I18120)</f>
      </c>
      <c r="G18120">
        <f>IF(DATOS!$A18120="",0,IF(CONFIG_METADATA!$B$4&lt;&gt;"OR+EX",--(DATOS!$G18120=CONFIG_METADATA!$B$4),IF(DATOS!$G18120="EX",1,IF(DATOS!$G18120="OR",--(COUNTIFS(nNIA,DATOS!$A18120,nCURSO,DATOS!$D18120,nESPEC,DATOS!$E18120,nASIG,DATOS!$I18120,nEVAL,"EX")=0),0))))</f>
      </c>
      <c r="H18120">
        <f>IF(DATOS!$G18120&lt;&gt;"EX",0,--(COUNTIFS(nNIA,DATOS!$A18120,nCURSO,DATOS!$D18120,nESPEC,DATOS!$E18120,nASIG,DATOS!$I18120,nEVAL,"OR")=0))</f>
      </c>
      <c r="I18120">
        <f>IF(DATOS!$I18120="","",IFERROR(VLOOKUP(DATOS!$I18120,CONFIG_ASIGNATURAS!$B$2:$J$91,9,FALSE()),""))</f>
      </c>
    </row>
    <row r="18121">
      <c r="F18121">
        <f>IF(DATOS!$A18121="","",DATOS!$A18121&amp;"|"&amp;DATOS!$D18121&amp;"|"&amp;DATOS!$E18121&amp;"|"&amp;DATOS!$I18121)</f>
      </c>
      <c r="G18121">
        <f>IF(DATOS!$A18121="",0,IF(CONFIG_METADATA!$B$4&lt;&gt;"OR+EX",--(DATOS!$G18121=CONFIG_METADATA!$B$4),IF(DATOS!$G18121="EX",1,IF(DATOS!$G18121="OR",--(COUNTIFS(nNIA,DATOS!$A18121,nCURSO,DATOS!$D18121,nESPEC,DATOS!$E18121,nASIG,DATOS!$I18121,nEVAL,"EX")=0),0))))</f>
      </c>
      <c r="H18121">
        <f>IF(DATOS!$G18121&lt;&gt;"EX",0,--(COUNTIFS(nNIA,DATOS!$A18121,nCURSO,DATOS!$D18121,nESPEC,DATOS!$E18121,nASIG,DATOS!$I18121,nEVAL,"OR")=0))</f>
      </c>
      <c r="I18121">
        <f>IF(DATOS!$I18121="","",IFERROR(VLOOKUP(DATOS!$I18121,CONFIG_ASIGNATURAS!$B$2:$J$91,9,FALSE()),""))</f>
      </c>
    </row>
    <row r="18122">
      <c r="F18122">
        <f>IF(DATOS!$A18122="","",DATOS!$A18122&amp;"|"&amp;DATOS!$D18122&amp;"|"&amp;DATOS!$E18122&amp;"|"&amp;DATOS!$I18122)</f>
      </c>
      <c r="G18122">
        <f>IF(DATOS!$A18122="",0,IF(CONFIG_METADATA!$B$4&lt;&gt;"OR+EX",--(DATOS!$G18122=CONFIG_METADATA!$B$4),IF(DATOS!$G18122="EX",1,IF(DATOS!$G18122="OR",--(COUNTIFS(nNIA,DATOS!$A18122,nCURSO,DATOS!$D18122,nESPEC,DATOS!$E18122,nASIG,DATOS!$I18122,nEVAL,"EX")=0),0))))</f>
      </c>
      <c r="H18122">
        <f>IF(DATOS!$G18122&lt;&gt;"EX",0,--(COUNTIFS(nNIA,DATOS!$A18122,nCURSO,DATOS!$D18122,nESPEC,DATOS!$E18122,nASIG,DATOS!$I18122,nEVAL,"OR")=0))</f>
      </c>
      <c r="I18122">
        <f>IF(DATOS!$I18122="","",IFERROR(VLOOKUP(DATOS!$I18122,CONFIG_ASIGNATURAS!$B$2:$J$91,9,FALSE()),""))</f>
      </c>
    </row>
    <row r="18123">
      <c r="F18123">
        <f>IF(DATOS!$A18123="","",DATOS!$A18123&amp;"|"&amp;DATOS!$D18123&amp;"|"&amp;DATOS!$E18123&amp;"|"&amp;DATOS!$I18123)</f>
      </c>
      <c r="G18123">
        <f>IF(DATOS!$A18123="",0,IF(CONFIG_METADATA!$B$4&lt;&gt;"OR+EX",--(DATOS!$G18123=CONFIG_METADATA!$B$4),IF(DATOS!$G18123="EX",1,IF(DATOS!$G18123="OR",--(COUNTIFS(nNIA,DATOS!$A18123,nCURSO,DATOS!$D18123,nESPEC,DATOS!$E18123,nASIG,DATOS!$I18123,nEVAL,"EX")=0),0))))</f>
      </c>
      <c r="H18123">
        <f>IF(DATOS!$G18123&lt;&gt;"EX",0,--(COUNTIFS(nNIA,DATOS!$A18123,nCURSO,DATOS!$D18123,nESPEC,DATOS!$E18123,nASIG,DATOS!$I18123,nEVAL,"OR")=0))</f>
      </c>
      <c r="I18123">
        <f>IF(DATOS!$I18123="","",IFERROR(VLOOKUP(DATOS!$I18123,CONFIG_ASIGNATURAS!$B$2:$J$91,9,FALSE()),""))</f>
      </c>
    </row>
    <row r="18124">
      <c r="F18124">
        <f>IF(DATOS!$A18124="","",DATOS!$A18124&amp;"|"&amp;DATOS!$D18124&amp;"|"&amp;DATOS!$E18124&amp;"|"&amp;DATOS!$I18124)</f>
      </c>
      <c r="G18124">
        <f>IF(DATOS!$A18124="",0,IF(CONFIG_METADATA!$B$4&lt;&gt;"OR+EX",--(DATOS!$G18124=CONFIG_METADATA!$B$4),IF(DATOS!$G18124="EX",1,IF(DATOS!$G18124="OR",--(COUNTIFS(nNIA,DATOS!$A18124,nCURSO,DATOS!$D18124,nESPEC,DATOS!$E18124,nASIG,DATOS!$I18124,nEVAL,"EX")=0),0))))</f>
      </c>
      <c r="H18124">
        <f>IF(DATOS!$G18124&lt;&gt;"EX",0,--(COUNTIFS(nNIA,DATOS!$A18124,nCURSO,DATOS!$D18124,nESPEC,DATOS!$E18124,nASIG,DATOS!$I18124,nEVAL,"OR")=0))</f>
      </c>
      <c r="I18124">
        <f>IF(DATOS!$I18124="","",IFERROR(VLOOKUP(DATOS!$I18124,CONFIG_ASIGNATURAS!$B$2:$J$91,9,FALSE()),""))</f>
      </c>
    </row>
    <row r="18125">
      <c r="F18125">
        <f>IF(DATOS!$A18125="","",DATOS!$A18125&amp;"|"&amp;DATOS!$D18125&amp;"|"&amp;DATOS!$E18125&amp;"|"&amp;DATOS!$I18125)</f>
      </c>
      <c r="G18125">
        <f>IF(DATOS!$A18125="",0,IF(CONFIG_METADATA!$B$4&lt;&gt;"OR+EX",--(DATOS!$G18125=CONFIG_METADATA!$B$4),IF(DATOS!$G18125="EX",1,IF(DATOS!$G18125="OR",--(COUNTIFS(nNIA,DATOS!$A18125,nCURSO,DATOS!$D18125,nESPEC,DATOS!$E18125,nASIG,DATOS!$I18125,nEVAL,"EX")=0),0))))</f>
      </c>
      <c r="H18125">
        <f>IF(DATOS!$G18125&lt;&gt;"EX",0,--(COUNTIFS(nNIA,DATOS!$A18125,nCURSO,DATOS!$D18125,nESPEC,DATOS!$E18125,nASIG,DATOS!$I18125,nEVAL,"OR")=0))</f>
      </c>
      <c r="I18125">
        <f>IF(DATOS!$I18125="","",IFERROR(VLOOKUP(DATOS!$I18125,CONFIG_ASIGNATURAS!$B$2:$J$91,9,FALSE()),""))</f>
      </c>
    </row>
    <row r="18126">
      <c r="F18126">
        <f>IF(DATOS!$A18126="","",DATOS!$A18126&amp;"|"&amp;DATOS!$D18126&amp;"|"&amp;DATOS!$E18126&amp;"|"&amp;DATOS!$I18126)</f>
      </c>
      <c r="G18126">
        <f>IF(DATOS!$A18126="",0,IF(CONFIG_METADATA!$B$4&lt;&gt;"OR+EX",--(DATOS!$G18126=CONFIG_METADATA!$B$4),IF(DATOS!$G18126="EX",1,IF(DATOS!$G18126="OR",--(COUNTIFS(nNIA,DATOS!$A18126,nCURSO,DATOS!$D18126,nESPEC,DATOS!$E18126,nASIG,DATOS!$I18126,nEVAL,"EX")=0),0))))</f>
      </c>
      <c r="H18126">
        <f>IF(DATOS!$G18126&lt;&gt;"EX",0,--(COUNTIFS(nNIA,DATOS!$A18126,nCURSO,DATOS!$D18126,nESPEC,DATOS!$E18126,nASIG,DATOS!$I18126,nEVAL,"OR")=0))</f>
      </c>
      <c r="I18126">
        <f>IF(DATOS!$I18126="","",IFERROR(VLOOKUP(DATOS!$I18126,CONFIG_ASIGNATURAS!$B$2:$J$91,9,FALSE()),""))</f>
      </c>
    </row>
    <row r="18127">
      <c r="F18127">
        <f>IF(DATOS!$A18127="","",DATOS!$A18127&amp;"|"&amp;DATOS!$D18127&amp;"|"&amp;DATOS!$E18127&amp;"|"&amp;DATOS!$I18127)</f>
      </c>
      <c r="G18127">
        <f>IF(DATOS!$A18127="",0,IF(CONFIG_METADATA!$B$4&lt;&gt;"OR+EX",--(DATOS!$G18127=CONFIG_METADATA!$B$4),IF(DATOS!$G18127="EX",1,IF(DATOS!$G18127="OR",--(COUNTIFS(nNIA,DATOS!$A18127,nCURSO,DATOS!$D18127,nESPEC,DATOS!$E18127,nASIG,DATOS!$I18127,nEVAL,"EX")=0),0))))</f>
      </c>
      <c r="H18127">
        <f>IF(DATOS!$G18127&lt;&gt;"EX",0,--(COUNTIFS(nNIA,DATOS!$A18127,nCURSO,DATOS!$D18127,nESPEC,DATOS!$E18127,nASIG,DATOS!$I18127,nEVAL,"OR")=0))</f>
      </c>
      <c r="I18127">
        <f>IF(DATOS!$I18127="","",IFERROR(VLOOKUP(DATOS!$I18127,CONFIG_ASIGNATURAS!$B$2:$J$91,9,FALSE()),""))</f>
      </c>
    </row>
    <row r="18128">
      <c r="F18128">
        <f>IF(DATOS!$A18128="","",DATOS!$A18128&amp;"|"&amp;DATOS!$D18128&amp;"|"&amp;DATOS!$E18128&amp;"|"&amp;DATOS!$I18128)</f>
      </c>
      <c r="G18128">
        <f>IF(DATOS!$A18128="",0,IF(CONFIG_METADATA!$B$4&lt;&gt;"OR+EX",--(DATOS!$G18128=CONFIG_METADATA!$B$4),IF(DATOS!$G18128="EX",1,IF(DATOS!$G18128="OR",--(COUNTIFS(nNIA,DATOS!$A18128,nCURSO,DATOS!$D18128,nESPEC,DATOS!$E18128,nASIG,DATOS!$I18128,nEVAL,"EX")=0),0))))</f>
      </c>
      <c r="H18128">
        <f>IF(DATOS!$G18128&lt;&gt;"EX",0,--(COUNTIFS(nNIA,DATOS!$A18128,nCURSO,DATOS!$D18128,nESPEC,DATOS!$E18128,nASIG,DATOS!$I18128,nEVAL,"OR")=0))</f>
      </c>
      <c r="I18128">
        <f>IF(DATOS!$I18128="","",IFERROR(VLOOKUP(DATOS!$I18128,CONFIG_ASIGNATURAS!$B$2:$J$91,9,FALSE()),""))</f>
      </c>
    </row>
    <row r="18129">
      <c r="F18129">
        <f>IF(DATOS!$A18129="","",DATOS!$A18129&amp;"|"&amp;DATOS!$D18129&amp;"|"&amp;DATOS!$E18129&amp;"|"&amp;DATOS!$I18129)</f>
      </c>
      <c r="G18129">
        <f>IF(DATOS!$A18129="",0,IF(CONFIG_METADATA!$B$4&lt;&gt;"OR+EX",--(DATOS!$G18129=CONFIG_METADATA!$B$4),IF(DATOS!$G18129="EX",1,IF(DATOS!$G18129="OR",--(COUNTIFS(nNIA,DATOS!$A18129,nCURSO,DATOS!$D18129,nESPEC,DATOS!$E18129,nASIG,DATOS!$I18129,nEVAL,"EX")=0),0))))</f>
      </c>
      <c r="H18129">
        <f>IF(DATOS!$G18129&lt;&gt;"EX",0,--(COUNTIFS(nNIA,DATOS!$A18129,nCURSO,DATOS!$D18129,nESPEC,DATOS!$E18129,nASIG,DATOS!$I18129,nEVAL,"OR")=0))</f>
      </c>
      <c r="I18129">
        <f>IF(DATOS!$I18129="","",IFERROR(VLOOKUP(DATOS!$I18129,CONFIG_ASIGNATURAS!$B$2:$J$91,9,FALSE()),""))</f>
      </c>
    </row>
    <row r="18130">
      <c r="F18130">
        <f>IF(DATOS!$A18130="","",DATOS!$A18130&amp;"|"&amp;DATOS!$D18130&amp;"|"&amp;DATOS!$E18130&amp;"|"&amp;DATOS!$I18130)</f>
      </c>
      <c r="G18130">
        <f>IF(DATOS!$A18130="",0,IF(CONFIG_METADATA!$B$4&lt;&gt;"OR+EX",--(DATOS!$G18130=CONFIG_METADATA!$B$4),IF(DATOS!$G18130="EX",1,IF(DATOS!$G18130="OR",--(COUNTIFS(nNIA,DATOS!$A18130,nCURSO,DATOS!$D18130,nESPEC,DATOS!$E18130,nASIG,DATOS!$I18130,nEVAL,"EX")=0),0))))</f>
      </c>
      <c r="H18130">
        <f>IF(DATOS!$G18130&lt;&gt;"EX",0,--(COUNTIFS(nNIA,DATOS!$A18130,nCURSO,DATOS!$D18130,nESPEC,DATOS!$E18130,nASIG,DATOS!$I18130,nEVAL,"OR")=0))</f>
      </c>
      <c r="I18130">
        <f>IF(DATOS!$I18130="","",IFERROR(VLOOKUP(DATOS!$I18130,CONFIG_ASIGNATURAS!$B$2:$J$91,9,FALSE()),""))</f>
      </c>
    </row>
    <row r="18131">
      <c r="F18131">
        <f>IF(DATOS!$A18131="","",DATOS!$A18131&amp;"|"&amp;DATOS!$D18131&amp;"|"&amp;DATOS!$E18131&amp;"|"&amp;DATOS!$I18131)</f>
      </c>
      <c r="G18131">
        <f>IF(DATOS!$A18131="",0,IF(CONFIG_METADATA!$B$4&lt;&gt;"OR+EX",--(DATOS!$G18131=CONFIG_METADATA!$B$4),IF(DATOS!$G18131="EX",1,IF(DATOS!$G18131="OR",--(COUNTIFS(nNIA,DATOS!$A18131,nCURSO,DATOS!$D18131,nESPEC,DATOS!$E18131,nASIG,DATOS!$I18131,nEVAL,"EX")=0),0))))</f>
      </c>
      <c r="H18131">
        <f>IF(DATOS!$G18131&lt;&gt;"EX",0,--(COUNTIFS(nNIA,DATOS!$A18131,nCURSO,DATOS!$D18131,nESPEC,DATOS!$E18131,nASIG,DATOS!$I18131,nEVAL,"OR")=0))</f>
      </c>
      <c r="I18131">
        <f>IF(DATOS!$I18131="","",IFERROR(VLOOKUP(DATOS!$I18131,CONFIG_ASIGNATURAS!$B$2:$J$91,9,FALSE()),""))</f>
      </c>
    </row>
    <row r="18132">
      <c r="F18132">
        <f>IF(DATOS!$A18132="","",DATOS!$A18132&amp;"|"&amp;DATOS!$D18132&amp;"|"&amp;DATOS!$E18132&amp;"|"&amp;DATOS!$I18132)</f>
      </c>
      <c r="G18132">
        <f>IF(DATOS!$A18132="",0,IF(CONFIG_METADATA!$B$4&lt;&gt;"OR+EX",--(DATOS!$G18132=CONFIG_METADATA!$B$4),IF(DATOS!$G18132="EX",1,IF(DATOS!$G18132="OR",--(COUNTIFS(nNIA,DATOS!$A18132,nCURSO,DATOS!$D18132,nESPEC,DATOS!$E18132,nASIG,DATOS!$I18132,nEVAL,"EX")=0),0))))</f>
      </c>
      <c r="H18132">
        <f>IF(DATOS!$G18132&lt;&gt;"EX",0,--(COUNTIFS(nNIA,DATOS!$A18132,nCURSO,DATOS!$D18132,nESPEC,DATOS!$E18132,nASIG,DATOS!$I18132,nEVAL,"OR")=0))</f>
      </c>
      <c r="I18132">
        <f>IF(DATOS!$I18132="","",IFERROR(VLOOKUP(DATOS!$I18132,CONFIG_ASIGNATURAS!$B$2:$J$91,9,FALSE()),""))</f>
      </c>
    </row>
    <row r="18133">
      <c r="F18133">
        <f>IF(DATOS!$A18133="","",DATOS!$A18133&amp;"|"&amp;DATOS!$D18133&amp;"|"&amp;DATOS!$E18133&amp;"|"&amp;DATOS!$I18133)</f>
      </c>
      <c r="G18133">
        <f>IF(DATOS!$A18133="",0,IF(CONFIG_METADATA!$B$4&lt;&gt;"OR+EX",--(DATOS!$G18133=CONFIG_METADATA!$B$4),IF(DATOS!$G18133="EX",1,IF(DATOS!$G18133="OR",--(COUNTIFS(nNIA,DATOS!$A18133,nCURSO,DATOS!$D18133,nESPEC,DATOS!$E18133,nASIG,DATOS!$I18133,nEVAL,"EX")=0),0))))</f>
      </c>
      <c r="H18133">
        <f>IF(DATOS!$G18133&lt;&gt;"EX",0,--(COUNTIFS(nNIA,DATOS!$A18133,nCURSO,DATOS!$D18133,nESPEC,DATOS!$E18133,nASIG,DATOS!$I18133,nEVAL,"OR")=0))</f>
      </c>
      <c r="I18133">
        <f>IF(DATOS!$I18133="","",IFERROR(VLOOKUP(DATOS!$I18133,CONFIG_ASIGNATURAS!$B$2:$J$91,9,FALSE()),""))</f>
      </c>
    </row>
    <row r="18134">
      <c r="F18134">
        <f>IF(DATOS!$A18134="","",DATOS!$A18134&amp;"|"&amp;DATOS!$D18134&amp;"|"&amp;DATOS!$E18134&amp;"|"&amp;DATOS!$I18134)</f>
      </c>
      <c r="G18134">
        <f>IF(DATOS!$A18134="",0,IF(CONFIG_METADATA!$B$4&lt;&gt;"OR+EX",--(DATOS!$G18134=CONFIG_METADATA!$B$4),IF(DATOS!$G18134="EX",1,IF(DATOS!$G18134="OR",--(COUNTIFS(nNIA,DATOS!$A18134,nCURSO,DATOS!$D18134,nESPEC,DATOS!$E18134,nASIG,DATOS!$I18134,nEVAL,"EX")=0),0))))</f>
      </c>
      <c r="H18134">
        <f>IF(DATOS!$G18134&lt;&gt;"EX",0,--(COUNTIFS(nNIA,DATOS!$A18134,nCURSO,DATOS!$D18134,nESPEC,DATOS!$E18134,nASIG,DATOS!$I18134,nEVAL,"OR")=0))</f>
      </c>
      <c r="I18134">
        <f>IF(DATOS!$I18134="","",IFERROR(VLOOKUP(DATOS!$I18134,CONFIG_ASIGNATURAS!$B$2:$J$91,9,FALSE()),""))</f>
      </c>
    </row>
    <row r="18135">
      <c r="F18135">
        <f>IF(DATOS!$A18135="","",DATOS!$A18135&amp;"|"&amp;DATOS!$D18135&amp;"|"&amp;DATOS!$E18135&amp;"|"&amp;DATOS!$I18135)</f>
      </c>
      <c r="G18135">
        <f>IF(DATOS!$A18135="",0,IF(CONFIG_METADATA!$B$4&lt;&gt;"OR+EX",--(DATOS!$G18135=CONFIG_METADATA!$B$4),IF(DATOS!$G18135="EX",1,IF(DATOS!$G18135="OR",--(COUNTIFS(nNIA,DATOS!$A18135,nCURSO,DATOS!$D18135,nESPEC,DATOS!$E18135,nASIG,DATOS!$I18135,nEVAL,"EX")=0),0))))</f>
      </c>
      <c r="H18135">
        <f>IF(DATOS!$G18135&lt;&gt;"EX",0,--(COUNTIFS(nNIA,DATOS!$A18135,nCURSO,DATOS!$D18135,nESPEC,DATOS!$E18135,nASIG,DATOS!$I18135,nEVAL,"OR")=0))</f>
      </c>
      <c r="I18135">
        <f>IF(DATOS!$I18135="","",IFERROR(VLOOKUP(DATOS!$I18135,CONFIG_ASIGNATURAS!$B$2:$J$91,9,FALSE()),""))</f>
      </c>
    </row>
    <row r="18136">
      <c r="F18136">
        <f>IF(DATOS!$A18136="","",DATOS!$A18136&amp;"|"&amp;DATOS!$D18136&amp;"|"&amp;DATOS!$E18136&amp;"|"&amp;DATOS!$I18136)</f>
      </c>
      <c r="G18136">
        <f>IF(DATOS!$A18136="",0,IF(CONFIG_METADATA!$B$4&lt;&gt;"OR+EX",--(DATOS!$G18136=CONFIG_METADATA!$B$4),IF(DATOS!$G18136="EX",1,IF(DATOS!$G18136="OR",--(COUNTIFS(nNIA,DATOS!$A18136,nCURSO,DATOS!$D18136,nESPEC,DATOS!$E18136,nASIG,DATOS!$I18136,nEVAL,"EX")=0),0))))</f>
      </c>
      <c r="H18136">
        <f>IF(DATOS!$G18136&lt;&gt;"EX",0,--(COUNTIFS(nNIA,DATOS!$A18136,nCURSO,DATOS!$D18136,nESPEC,DATOS!$E18136,nASIG,DATOS!$I18136,nEVAL,"OR")=0))</f>
      </c>
      <c r="I18136">
        <f>IF(DATOS!$I18136="","",IFERROR(VLOOKUP(DATOS!$I18136,CONFIG_ASIGNATURAS!$B$2:$J$91,9,FALSE()),""))</f>
      </c>
    </row>
    <row r="18137">
      <c r="F18137">
        <f>IF(DATOS!$A18137="","",DATOS!$A18137&amp;"|"&amp;DATOS!$D18137&amp;"|"&amp;DATOS!$E18137&amp;"|"&amp;DATOS!$I18137)</f>
      </c>
      <c r="G18137">
        <f>IF(DATOS!$A18137="",0,IF(CONFIG_METADATA!$B$4&lt;&gt;"OR+EX",--(DATOS!$G18137=CONFIG_METADATA!$B$4),IF(DATOS!$G18137="EX",1,IF(DATOS!$G18137="OR",--(COUNTIFS(nNIA,DATOS!$A18137,nCURSO,DATOS!$D18137,nESPEC,DATOS!$E18137,nASIG,DATOS!$I18137,nEVAL,"EX")=0),0))))</f>
      </c>
      <c r="H18137">
        <f>IF(DATOS!$G18137&lt;&gt;"EX",0,--(COUNTIFS(nNIA,DATOS!$A18137,nCURSO,DATOS!$D18137,nESPEC,DATOS!$E18137,nASIG,DATOS!$I18137,nEVAL,"OR")=0))</f>
      </c>
      <c r="I18137">
        <f>IF(DATOS!$I18137="","",IFERROR(VLOOKUP(DATOS!$I18137,CONFIG_ASIGNATURAS!$B$2:$J$91,9,FALSE()),""))</f>
      </c>
    </row>
    <row r="18138">
      <c r="F18138">
        <f>IF(DATOS!$A18138="","",DATOS!$A18138&amp;"|"&amp;DATOS!$D18138&amp;"|"&amp;DATOS!$E18138&amp;"|"&amp;DATOS!$I18138)</f>
      </c>
      <c r="G18138">
        <f>IF(DATOS!$A18138="",0,IF(CONFIG_METADATA!$B$4&lt;&gt;"OR+EX",--(DATOS!$G18138=CONFIG_METADATA!$B$4),IF(DATOS!$G18138="EX",1,IF(DATOS!$G18138="OR",--(COUNTIFS(nNIA,DATOS!$A18138,nCURSO,DATOS!$D18138,nESPEC,DATOS!$E18138,nASIG,DATOS!$I18138,nEVAL,"EX")=0),0))))</f>
      </c>
      <c r="H18138">
        <f>IF(DATOS!$G18138&lt;&gt;"EX",0,--(COUNTIFS(nNIA,DATOS!$A18138,nCURSO,DATOS!$D18138,nESPEC,DATOS!$E18138,nASIG,DATOS!$I18138,nEVAL,"OR")=0))</f>
      </c>
      <c r="I18138">
        <f>IF(DATOS!$I18138="","",IFERROR(VLOOKUP(DATOS!$I18138,CONFIG_ASIGNATURAS!$B$2:$J$91,9,FALSE()),""))</f>
      </c>
    </row>
    <row r="18139">
      <c r="F18139">
        <f>IF(DATOS!$A18139="","",DATOS!$A18139&amp;"|"&amp;DATOS!$D18139&amp;"|"&amp;DATOS!$E18139&amp;"|"&amp;DATOS!$I18139)</f>
      </c>
      <c r="G18139">
        <f>IF(DATOS!$A18139="",0,IF(CONFIG_METADATA!$B$4&lt;&gt;"OR+EX",--(DATOS!$G18139=CONFIG_METADATA!$B$4),IF(DATOS!$G18139="EX",1,IF(DATOS!$G18139="OR",--(COUNTIFS(nNIA,DATOS!$A18139,nCURSO,DATOS!$D18139,nESPEC,DATOS!$E18139,nASIG,DATOS!$I18139,nEVAL,"EX")=0),0))))</f>
      </c>
      <c r="H18139">
        <f>IF(DATOS!$G18139&lt;&gt;"EX",0,--(COUNTIFS(nNIA,DATOS!$A18139,nCURSO,DATOS!$D18139,nESPEC,DATOS!$E18139,nASIG,DATOS!$I18139,nEVAL,"OR")=0))</f>
      </c>
      <c r="I18139">
        <f>IF(DATOS!$I18139="","",IFERROR(VLOOKUP(DATOS!$I18139,CONFIG_ASIGNATURAS!$B$2:$J$91,9,FALSE()),""))</f>
      </c>
    </row>
    <row r="18140">
      <c r="F18140">
        <f>IF(DATOS!$A18140="","",DATOS!$A18140&amp;"|"&amp;DATOS!$D18140&amp;"|"&amp;DATOS!$E18140&amp;"|"&amp;DATOS!$I18140)</f>
      </c>
      <c r="G18140">
        <f>IF(DATOS!$A18140="",0,IF(CONFIG_METADATA!$B$4&lt;&gt;"OR+EX",--(DATOS!$G18140=CONFIG_METADATA!$B$4),IF(DATOS!$G18140="EX",1,IF(DATOS!$G18140="OR",--(COUNTIFS(nNIA,DATOS!$A18140,nCURSO,DATOS!$D18140,nESPEC,DATOS!$E18140,nASIG,DATOS!$I18140,nEVAL,"EX")=0),0))))</f>
      </c>
      <c r="H18140">
        <f>IF(DATOS!$G18140&lt;&gt;"EX",0,--(COUNTIFS(nNIA,DATOS!$A18140,nCURSO,DATOS!$D18140,nESPEC,DATOS!$E18140,nASIG,DATOS!$I18140,nEVAL,"OR")=0))</f>
      </c>
      <c r="I18140">
        <f>IF(DATOS!$I18140="","",IFERROR(VLOOKUP(DATOS!$I18140,CONFIG_ASIGNATURAS!$B$2:$J$91,9,FALSE()),""))</f>
      </c>
    </row>
    <row r="18141">
      <c r="F18141">
        <f>IF(DATOS!$A18141="","",DATOS!$A18141&amp;"|"&amp;DATOS!$D18141&amp;"|"&amp;DATOS!$E18141&amp;"|"&amp;DATOS!$I18141)</f>
      </c>
      <c r="G18141">
        <f>IF(DATOS!$A18141="",0,IF(CONFIG_METADATA!$B$4&lt;&gt;"OR+EX",--(DATOS!$G18141=CONFIG_METADATA!$B$4),IF(DATOS!$G18141="EX",1,IF(DATOS!$G18141="OR",--(COUNTIFS(nNIA,DATOS!$A18141,nCURSO,DATOS!$D18141,nESPEC,DATOS!$E18141,nASIG,DATOS!$I18141,nEVAL,"EX")=0),0))))</f>
      </c>
      <c r="H18141">
        <f>IF(DATOS!$G18141&lt;&gt;"EX",0,--(COUNTIFS(nNIA,DATOS!$A18141,nCURSO,DATOS!$D18141,nESPEC,DATOS!$E18141,nASIG,DATOS!$I18141,nEVAL,"OR")=0))</f>
      </c>
      <c r="I18141">
        <f>IF(DATOS!$I18141="","",IFERROR(VLOOKUP(DATOS!$I18141,CONFIG_ASIGNATURAS!$B$2:$J$91,9,FALSE()),""))</f>
      </c>
    </row>
    <row r="18142">
      <c r="F18142">
        <f>IF(DATOS!$A18142="","",DATOS!$A18142&amp;"|"&amp;DATOS!$D18142&amp;"|"&amp;DATOS!$E18142&amp;"|"&amp;DATOS!$I18142)</f>
      </c>
      <c r="G18142">
        <f>IF(DATOS!$A18142="",0,IF(CONFIG_METADATA!$B$4&lt;&gt;"OR+EX",--(DATOS!$G18142=CONFIG_METADATA!$B$4),IF(DATOS!$G18142="EX",1,IF(DATOS!$G18142="OR",--(COUNTIFS(nNIA,DATOS!$A18142,nCURSO,DATOS!$D18142,nESPEC,DATOS!$E18142,nASIG,DATOS!$I18142,nEVAL,"EX")=0),0))))</f>
      </c>
      <c r="H18142">
        <f>IF(DATOS!$G18142&lt;&gt;"EX",0,--(COUNTIFS(nNIA,DATOS!$A18142,nCURSO,DATOS!$D18142,nESPEC,DATOS!$E18142,nASIG,DATOS!$I18142,nEVAL,"OR")=0))</f>
      </c>
      <c r="I18142">
        <f>IF(DATOS!$I18142="","",IFERROR(VLOOKUP(DATOS!$I18142,CONFIG_ASIGNATURAS!$B$2:$J$91,9,FALSE()),""))</f>
      </c>
    </row>
    <row r="18143">
      <c r="F18143">
        <f>IF(DATOS!$A18143="","",DATOS!$A18143&amp;"|"&amp;DATOS!$D18143&amp;"|"&amp;DATOS!$E18143&amp;"|"&amp;DATOS!$I18143)</f>
      </c>
      <c r="G18143">
        <f>IF(DATOS!$A18143="",0,IF(CONFIG_METADATA!$B$4&lt;&gt;"OR+EX",--(DATOS!$G18143=CONFIG_METADATA!$B$4),IF(DATOS!$G18143="EX",1,IF(DATOS!$G18143="OR",--(COUNTIFS(nNIA,DATOS!$A18143,nCURSO,DATOS!$D18143,nESPEC,DATOS!$E18143,nASIG,DATOS!$I18143,nEVAL,"EX")=0),0))))</f>
      </c>
      <c r="H18143">
        <f>IF(DATOS!$G18143&lt;&gt;"EX",0,--(COUNTIFS(nNIA,DATOS!$A18143,nCURSO,DATOS!$D18143,nESPEC,DATOS!$E18143,nASIG,DATOS!$I18143,nEVAL,"OR")=0))</f>
      </c>
      <c r="I18143">
        <f>IF(DATOS!$I18143="","",IFERROR(VLOOKUP(DATOS!$I18143,CONFIG_ASIGNATURAS!$B$2:$J$91,9,FALSE()),""))</f>
      </c>
    </row>
    <row r="18144">
      <c r="F18144">
        <f>IF(DATOS!$A18144="","",DATOS!$A18144&amp;"|"&amp;DATOS!$D18144&amp;"|"&amp;DATOS!$E18144&amp;"|"&amp;DATOS!$I18144)</f>
      </c>
      <c r="G18144">
        <f>IF(DATOS!$A18144="",0,IF(CONFIG_METADATA!$B$4&lt;&gt;"OR+EX",--(DATOS!$G18144=CONFIG_METADATA!$B$4),IF(DATOS!$G18144="EX",1,IF(DATOS!$G18144="OR",--(COUNTIFS(nNIA,DATOS!$A18144,nCURSO,DATOS!$D18144,nESPEC,DATOS!$E18144,nASIG,DATOS!$I18144,nEVAL,"EX")=0),0))))</f>
      </c>
      <c r="H18144">
        <f>IF(DATOS!$G18144&lt;&gt;"EX",0,--(COUNTIFS(nNIA,DATOS!$A18144,nCURSO,DATOS!$D18144,nESPEC,DATOS!$E18144,nASIG,DATOS!$I18144,nEVAL,"OR")=0))</f>
      </c>
      <c r="I18144">
        <f>IF(DATOS!$I18144="","",IFERROR(VLOOKUP(DATOS!$I18144,CONFIG_ASIGNATURAS!$B$2:$J$91,9,FALSE()),""))</f>
      </c>
    </row>
    <row r="18145">
      <c r="F18145">
        <f>IF(DATOS!$A18145="","",DATOS!$A18145&amp;"|"&amp;DATOS!$D18145&amp;"|"&amp;DATOS!$E18145&amp;"|"&amp;DATOS!$I18145)</f>
      </c>
      <c r="G18145">
        <f>IF(DATOS!$A18145="",0,IF(CONFIG_METADATA!$B$4&lt;&gt;"OR+EX",--(DATOS!$G18145=CONFIG_METADATA!$B$4),IF(DATOS!$G18145="EX",1,IF(DATOS!$G18145="OR",--(COUNTIFS(nNIA,DATOS!$A18145,nCURSO,DATOS!$D18145,nESPEC,DATOS!$E18145,nASIG,DATOS!$I18145,nEVAL,"EX")=0),0))))</f>
      </c>
      <c r="H18145">
        <f>IF(DATOS!$G18145&lt;&gt;"EX",0,--(COUNTIFS(nNIA,DATOS!$A18145,nCURSO,DATOS!$D18145,nESPEC,DATOS!$E18145,nASIG,DATOS!$I18145,nEVAL,"OR")=0))</f>
      </c>
      <c r="I18145">
        <f>IF(DATOS!$I18145="","",IFERROR(VLOOKUP(DATOS!$I18145,CONFIG_ASIGNATURAS!$B$2:$J$91,9,FALSE()),""))</f>
      </c>
    </row>
    <row r="18146">
      <c r="F18146">
        <f>IF(DATOS!$A18146="","",DATOS!$A18146&amp;"|"&amp;DATOS!$D18146&amp;"|"&amp;DATOS!$E18146&amp;"|"&amp;DATOS!$I18146)</f>
      </c>
      <c r="G18146">
        <f>IF(DATOS!$A18146="",0,IF(CONFIG_METADATA!$B$4&lt;&gt;"OR+EX",--(DATOS!$G18146=CONFIG_METADATA!$B$4),IF(DATOS!$G18146="EX",1,IF(DATOS!$G18146="OR",--(COUNTIFS(nNIA,DATOS!$A18146,nCURSO,DATOS!$D18146,nESPEC,DATOS!$E18146,nASIG,DATOS!$I18146,nEVAL,"EX")=0),0))))</f>
      </c>
      <c r="H18146">
        <f>IF(DATOS!$G18146&lt;&gt;"EX",0,--(COUNTIFS(nNIA,DATOS!$A18146,nCURSO,DATOS!$D18146,nESPEC,DATOS!$E18146,nASIG,DATOS!$I18146,nEVAL,"OR")=0))</f>
      </c>
      <c r="I18146">
        <f>IF(DATOS!$I18146="","",IFERROR(VLOOKUP(DATOS!$I18146,CONFIG_ASIGNATURAS!$B$2:$J$91,9,FALSE()),""))</f>
      </c>
    </row>
    <row r="18147">
      <c r="F18147">
        <f>IF(DATOS!$A18147="","",DATOS!$A18147&amp;"|"&amp;DATOS!$D18147&amp;"|"&amp;DATOS!$E18147&amp;"|"&amp;DATOS!$I18147)</f>
      </c>
      <c r="G18147">
        <f>IF(DATOS!$A18147="",0,IF(CONFIG_METADATA!$B$4&lt;&gt;"OR+EX",--(DATOS!$G18147=CONFIG_METADATA!$B$4),IF(DATOS!$G18147="EX",1,IF(DATOS!$G18147="OR",--(COUNTIFS(nNIA,DATOS!$A18147,nCURSO,DATOS!$D18147,nESPEC,DATOS!$E18147,nASIG,DATOS!$I18147,nEVAL,"EX")=0),0))))</f>
      </c>
      <c r="H18147">
        <f>IF(DATOS!$G18147&lt;&gt;"EX",0,--(COUNTIFS(nNIA,DATOS!$A18147,nCURSO,DATOS!$D18147,nESPEC,DATOS!$E18147,nASIG,DATOS!$I18147,nEVAL,"OR")=0))</f>
      </c>
      <c r="I18147">
        <f>IF(DATOS!$I18147="","",IFERROR(VLOOKUP(DATOS!$I18147,CONFIG_ASIGNATURAS!$B$2:$J$91,9,FALSE()),""))</f>
      </c>
    </row>
    <row r="18148">
      <c r="F18148">
        <f>IF(DATOS!$A18148="","",DATOS!$A18148&amp;"|"&amp;DATOS!$D18148&amp;"|"&amp;DATOS!$E18148&amp;"|"&amp;DATOS!$I18148)</f>
      </c>
      <c r="G18148">
        <f>IF(DATOS!$A18148="",0,IF(CONFIG_METADATA!$B$4&lt;&gt;"OR+EX",--(DATOS!$G18148=CONFIG_METADATA!$B$4),IF(DATOS!$G18148="EX",1,IF(DATOS!$G18148="OR",--(COUNTIFS(nNIA,DATOS!$A18148,nCURSO,DATOS!$D18148,nESPEC,DATOS!$E18148,nASIG,DATOS!$I18148,nEVAL,"EX")=0),0))))</f>
      </c>
      <c r="H18148">
        <f>IF(DATOS!$G18148&lt;&gt;"EX",0,--(COUNTIFS(nNIA,DATOS!$A18148,nCURSO,DATOS!$D18148,nESPEC,DATOS!$E18148,nASIG,DATOS!$I18148,nEVAL,"OR")=0))</f>
      </c>
      <c r="I18148">
        <f>IF(DATOS!$I18148="","",IFERROR(VLOOKUP(DATOS!$I18148,CONFIG_ASIGNATURAS!$B$2:$J$91,9,FALSE()),""))</f>
      </c>
    </row>
    <row r="18149">
      <c r="F18149">
        <f>IF(DATOS!$A18149="","",DATOS!$A18149&amp;"|"&amp;DATOS!$D18149&amp;"|"&amp;DATOS!$E18149&amp;"|"&amp;DATOS!$I18149)</f>
      </c>
      <c r="G18149">
        <f>IF(DATOS!$A18149="",0,IF(CONFIG_METADATA!$B$4&lt;&gt;"OR+EX",--(DATOS!$G18149=CONFIG_METADATA!$B$4),IF(DATOS!$G18149="EX",1,IF(DATOS!$G18149="OR",--(COUNTIFS(nNIA,DATOS!$A18149,nCURSO,DATOS!$D18149,nESPEC,DATOS!$E18149,nASIG,DATOS!$I18149,nEVAL,"EX")=0),0))))</f>
      </c>
      <c r="H18149">
        <f>IF(DATOS!$G18149&lt;&gt;"EX",0,--(COUNTIFS(nNIA,DATOS!$A18149,nCURSO,DATOS!$D18149,nESPEC,DATOS!$E18149,nASIG,DATOS!$I18149,nEVAL,"OR")=0))</f>
      </c>
      <c r="I18149">
        <f>IF(DATOS!$I18149="","",IFERROR(VLOOKUP(DATOS!$I18149,CONFIG_ASIGNATURAS!$B$2:$J$91,9,FALSE()),""))</f>
      </c>
    </row>
    <row r="18150">
      <c r="F18150">
        <f>IF(DATOS!$A18150="","",DATOS!$A18150&amp;"|"&amp;DATOS!$D18150&amp;"|"&amp;DATOS!$E18150&amp;"|"&amp;DATOS!$I18150)</f>
      </c>
      <c r="G18150">
        <f>IF(DATOS!$A18150="",0,IF(CONFIG_METADATA!$B$4&lt;&gt;"OR+EX",--(DATOS!$G18150=CONFIG_METADATA!$B$4),IF(DATOS!$G18150="EX",1,IF(DATOS!$G18150="OR",--(COUNTIFS(nNIA,DATOS!$A18150,nCURSO,DATOS!$D18150,nESPEC,DATOS!$E18150,nASIG,DATOS!$I18150,nEVAL,"EX")=0),0))))</f>
      </c>
      <c r="H18150">
        <f>IF(DATOS!$G18150&lt;&gt;"EX",0,--(COUNTIFS(nNIA,DATOS!$A18150,nCURSO,DATOS!$D18150,nESPEC,DATOS!$E18150,nASIG,DATOS!$I18150,nEVAL,"OR")=0))</f>
      </c>
      <c r="I18150">
        <f>IF(DATOS!$I18150="","",IFERROR(VLOOKUP(DATOS!$I18150,CONFIG_ASIGNATURAS!$B$2:$J$91,9,FALSE()),""))</f>
      </c>
    </row>
    <row r="18151">
      <c r="F18151">
        <f>IF(DATOS!$A18151="","",DATOS!$A18151&amp;"|"&amp;DATOS!$D18151&amp;"|"&amp;DATOS!$E18151&amp;"|"&amp;DATOS!$I18151)</f>
      </c>
      <c r="G18151">
        <f>IF(DATOS!$A18151="",0,IF(CONFIG_METADATA!$B$4&lt;&gt;"OR+EX",--(DATOS!$G18151=CONFIG_METADATA!$B$4),IF(DATOS!$G18151="EX",1,IF(DATOS!$G18151="OR",--(COUNTIFS(nNIA,DATOS!$A18151,nCURSO,DATOS!$D18151,nESPEC,DATOS!$E18151,nASIG,DATOS!$I18151,nEVAL,"EX")=0),0))))</f>
      </c>
      <c r="H18151">
        <f>IF(DATOS!$G18151&lt;&gt;"EX",0,--(COUNTIFS(nNIA,DATOS!$A18151,nCURSO,DATOS!$D18151,nESPEC,DATOS!$E18151,nASIG,DATOS!$I18151,nEVAL,"OR")=0))</f>
      </c>
      <c r="I18151">
        <f>IF(DATOS!$I18151="","",IFERROR(VLOOKUP(DATOS!$I18151,CONFIG_ASIGNATURAS!$B$2:$J$91,9,FALSE()),""))</f>
      </c>
    </row>
    <row r="18152">
      <c r="F18152">
        <f>IF(DATOS!$A18152="","",DATOS!$A18152&amp;"|"&amp;DATOS!$D18152&amp;"|"&amp;DATOS!$E18152&amp;"|"&amp;DATOS!$I18152)</f>
      </c>
      <c r="G18152">
        <f>IF(DATOS!$A18152="",0,IF(CONFIG_METADATA!$B$4&lt;&gt;"OR+EX",--(DATOS!$G18152=CONFIG_METADATA!$B$4),IF(DATOS!$G18152="EX",1,IF(DATOS!$G18152="OR",--(COUNTIFS(nNIA,DATOS!$A18152,nCURSO,DATOS!$D18152,nESPEC,DATOS!$E18152,nASIG,DATOS!$I18152,nEVAL,"EX")=0),0))))</f>
      </c>
      <c r="H18152">
        <f>IF(DATOS!$G18152&lt;&gt;"EX",0,--(COUNTIFS(nNIA,DATOS!$A18152,nCURSO,DATOS!$D18152,nESPEC,DATOS!$E18152,nASIG,DATOS!$I18152,nEVAL,"OR")=0))</f>
      </c>
      <c r="I18152">
        <f>IF(DATOS!$I18152="","",IFERROR(VLOOKUP(DATOS!$I18152,CONFIG_ASIGNATURAS!$B$2:$J$91,9,FALSE()),""))</f>
      </c>
    </row>
    <row r="18153">
      <c r="F18153">
        <f>IF(DATOS!$A18153="","",DATOS!$A18153&amp;"|"&amp;DATOS!$D18153&amp;"|"&amp;DATOS!$E18153&amp;"|"&amp;DATOS!$I18153)</f>
      </c>
      <c r="G18153">
        <f>IF(DATOS!$A18153="",0,IF(CONFIG_METADATA!$B$4&lt;&gt;"OR+EX",--(DATOS!$G18153=CONFIG_METADATA!$B$4),IF(DATOS!$G18153="EX",1,IF(DATOS!$G18153="OR",--(COUNTIFS(nNIA,DATOS!$A18153,nCURSO,DATOS!$D18153,nESPEC,DATOS!$E18153,nASIG,DATOS!$I18153,nEVAL,"EX")=0),0))))</f>
      </c>
      <c r="H18153">
        <f>IF(DATOS!$G18153&lt;&gt;"EX",0,--(COUNTIFS(nNIA,DATOS!$A18153,nCURSO,DATOS!$D18153,nESPEC,DATOS!$E18153,nASIG,DATOS!$I18153,nEVAL,"OR")=0))</f>
      </c>
      <c r="I18153">
        <f>IF(DATOS!$I18153="","",IFERROR(VLOOKUP(DATOS!$I18153,CONFIG_ASIGNATURAS!$B$2:$J$91,9,FALSE()),""))</f>
      </c>
    </row>
    <row r="18154">
      <c r="F18154">
        <f>IF(DATOS!$A18154="","",DATOS!$A18154&amp;"|"&amp;DATOS!$D18154&amp;"|"&amp;DATOS!$E18154&amp;"|"&amp;DATOS!$I18154)</f>
      </c>
      <c r="G18154">
        <f>IF(DATOS!$A18154="",0,IF(CONFIG_METADATA!$B$4&lt;&gt;"OR+EX",--(DATOS!$G18154=CONFIG_METADATA!$B$4),IF(DATOS!$G18154="EX",1,IF(DATOS!$G18154="OR",--(COUNTIFS(nNIA,DATOS!$A18154,nCURSO,DATOS!$D18154,nESPEC,DATOS!$E18154,nASIG,DATOS!$I18154,nEVAL,"EX")=0),0))))</f>
      </c>
      <c r="H18154">
        <f>IF(DATOS!$G18154&lt;&gt;"EX",0,--(COUNTIFS(nNIA,DATOS!$A18154,nCURSO,DATOS!$D18154,nESPEC,DATOS!$E18154,nASIG,DATOS!$I18154,nEVAL,"OR")=0))</f>
      </c>
      <c r="I18154">
        <f>IF(DATOS!$I18154="","",IFERROR(VLOOKUP(DATOS!$I18154,CONFIG_ASIGNATURAS!$B$2:$J$91,9,FALSE()),""))</f>
      </c>
    </row>
    <row r="18155">
      <c r="F18155">
        <f>IF(DATOS!$A18155="","",DATOS!$A18155&amp;"|"&amp;DATOS!$D18155&amp;"|"&amp;DATOS!$E18155&amp;"|"&amp;DATOS!$I18155)</f>
      </c>
      <c r="G18155">
        <f>IF(DATOS!$A18155="",0,IF(CONFIG_METADATA!$B$4&lt;&gt;"OR+EX",--(DATOS!$G18155=CONFIG_METADATA!$B$4),IF(DATOS!$G18155="EX",1,IF(DATOS!$G18155="OR",--(COUNTIFS(nNIA,DATOS!$A18155,nCURSO,DATOS!$D18155,nESPEC,DATOS!$E18155,nASIG,DATOS!$I18155,nEVAL,"EX")=0),0))))</f>
      </c>
      <c r="H18155">
        <f>IF(DATOS!$G18155&lt;&gt;"EX",0,--(COUNTIFS(nNIA,DATOS!$A18155,nCURSO,DATOS!$D18155,nESPEC,DATOS!$E18155,nASIG,DATOS!$I18155,nEVAL,"OR")=0))</f>
      </c>
      <c r="I18155">
        <f>IF(DATOS!$I18155="","",IFERROR(VLOOKUP(DATOS!$I18155,CONFIG_ASIGNATURAS!$B$2:$J$91,9,FALSE()),""))</f>
      </c>
    </row>
    <row r="18156">
      <c r="F18156">
        <f>IF(DATOS!$A18156="","",DATOS!$A18156&amp;"|"&amp;DATOS!$D18156&amp;"|"&amp;DATOS!$E18156&amp;"|"&amp;DATOS!$I18156)</f>
      </c>
      <c r="G18156">
        <f>IF(DATOS!$A18156="",0,IF(CONFIG_METADATA!$B$4&lt;&gt;"OR+EX",--(DATOS!$G18156=CONFIG_METADATA!$B$4),IF(DATOS!$G18156="EX",1,IF(DATOS!$G18156="OR",--(COUNTIFS(nNIA,DATOS!$A18156,nCURSO,DATOS!$D18156,nESPEC,DATOS!$E18156,nASIG,DATOS!$I18156,nEVAL,"EX")=0),0))))</f>
      </c>
      <c r="H18156">
        <f>IF(DATOS!$G18156&lt;&gt;"EX",0,--(COUNTIFS(nNIA,DATOS!$A18156,nCURSO,DATOS!$D18156,nESPEC,DATOS!$E18156,nASIG,DATOS!$I18156,nEVAL,"OR")=0))</f>
      </c>
      <c r="I18156">
        <f>IF(DATOS!$I18156="","",IFERROR(VLOOKUP(DATOS!$I18156,CONFIG_ASIGNATURAS!$B$2:$J$91,9,FALSE()),""))</f>
      </c>
    </row>
    <row r="18157">
      <c r="F18157">
        <f>IF(DATOS!$A18157="","",DATOS!$A18157&amp;"|"&amp;DATOS!$D18157&amp;"|"&amp;DATOS!$E18157&amp;"|"&amp;DATOS!$I18157)</f>
      </c>
      <c r="G18157">
        <f>IF(DATOS!$A18157="",0,IF(CONFIG_METADATA!$B$4&lt;&gt;"OR+EX",--(DATOS!$G18157=CONFIG_METADATA!$B$4),IF(DATOS!$G18157="EX",1,IF(DATOS!$G18157="OR",--(COUNTIFS(nNIA,DATOS!$A18157,nCURSO,DATOS!$D18157,nESPEC,DATOS!$E18157,nASIG,DATOS!$I18157,nEVAL,"EX")=0),0))))</f>
      </c>
      <c r="H18157">
        <f>IF(DATOS!$G18157&lt;&gt;"EX",0,--(COUNTIFS(nNIA,DATOS!$A18157,nCURSO,DATOS!$D18157,nESPEC,DATOS!$E18157,nASIG,DATOS!$I18157,nEVAL,"OR")=0))</f>
      </c>
      <c r="I18157">
        <f>IF(DATOS!$I18157="","",IFERROR(VLOOKUP(DATOS!$I18157,CONFIG_ASIGNATURAS!$B$2:$J$91,9,FALSE()),""))</f>
      </c>
    </row>
    <row r="18158">
      <c r="F18158">
        <f>IF(DATOS!$A18158="","",DATOS!$A18158&amp;"|"&amp;DATOS!$D18158&amp;"|"&amp;DATOS!$E18158&amp;"|"&amp;DATOS!$I18158)</f>
      </c>
      <c r="G18158">
        <f>IF(DATOS!$A18158="",0,IF(CONFIG_METADATA!$B$4&lt;&gt;"OR+EX",--(DATOS!$G18158=CONFIG_METADATA!$B$4),IF(DATOS!$G18158="EX",1,IF(DATOS!$G18158="OR",--(COUNTIFS(nNIA,DATOS!$A18158,nCURSO,DATOS!$D18158,nESPEC,DATOS!$E18158,nASIG,DATOS!$I18158,nEVAL,"EX")=0),0))))</f>
      </c>
      <c r="H18158">
        <f>IF(DATOS!$G18158&lt;&gt;"EX",0,--(COUNTIFS(nNIA,DATOS!$A18158,nCURSO,DATOS!$D18158,nESPEC,DATOS!$E18158,nASIG,DATOS!$I18158,nEVAL,"OR")=0))</f>
      </c>
      <c r="I18158">
        <f>IF(DATOS!$I18158="","",IFERROR(VLOOKUP(DATOS!$I18158,CONFIG_ASIGNATURAS!$B$2:$J$91,9,FALSE()),""))</f>
      </c>
    </row>
    <row r="18159">
      <c r="F18159">
        <f>IF(DATOS!$A18159="","",DATOS!$A18159&amp;"|"&amp;DATOS!$D18159&amp;"|"&amp;DATOS!$E18159&amp;"|"&amp;DATOS!$I18159)</f>
      </c>
      <c r="G18159">
        <f>IF(DATOS!$A18159="",0,IF(CONFIG_METADATA!$B$4&lt;&gt;"OR+EX",--(DATOS!$G18159=CONFIG_METADATA!$B$4),IF(DATOS!$G18159="EX",1,IF(DATOS!$G18159="OR",--(COUNTIFS(nNIA,DATOS!$A18159,nCURSO,DATOS!$D18159,nESPEC,DATOS!$E18159,nASIG,DATOS!$I18159,nEVAL,"EX")=0),0))))</f>
      </c>
      <c r="H18159">
        <f>IF(DATOS!$G18159&lt;&gt;"EX",0,--(COUNTIFS(nNIA,DATOS!$A18159,nCURSO,DATOS!$D18159,nESPEC,DATOS!$E18159,nASIG,DATOS!$I18159,nEVAL,"OR")=0))</f>
      </c>
      <c r="I18159">
        <f>IF(DATOS!$I18159="","",IFERROR(VLOOKUP(DATOS!$I18159,CONFIG_ASIGNATURAS!$B$2:$J$91,9,FALSE()),""))</f>
      </c>
    </row>
    <row r="18160">
      <c r="F18160">
        <f>IF(DATOS!$A18160="","",DATOS!$A18160&amp;"|"&amp;DATOS!$D18160&amp;"|"&amp;DATOS!$E18160&amp;"|"&amp;DATOS!$I18160)</f>
      </c>
      <c r="G18160">
        <f>IF(DATOS!$A18160="",0,IF(CONFIG_METADATA!$B$4&lt;&gt;"OR+EX",--(DATOS!$G18160=CONFIG_METADATA!$B$4),IF(DATOS!$G18160="EX",1,IF(DATOS!$G18160="OR",--(COUNTIFS(nNIA,DATOS!$A18160,nCURSO,DATOS!$D18160,nESPEC,DATOS!$E18160,nASIG,DATOS!$I18160,nEVAL,"EX")=0),0))))</f>
      </c>
      <c r="H18160">
        <f>IF(DATOS!$G18160&lt;&gt;"EX",0,--(COUNTIFS(nNIA,DATOS!$A18160,nCURSO,DATOS!$D18160,nESPEC,DATOS!$E18160,nASIG,DATOS!$I18160,nEVAL,"OR")=0))</f>
      </c>
      <c r="I18160">
        <f>IF(DATOS!$I18160="","",IFERROR(VLOOKUP(DATOS!$I18160,CONFIG_ASIGNATURAS!$B$2:$J$91,9,FALSE()),""))</f>
      </c>
    </row>
    <row r="18161">
      <c r="F18161">
        <f>IF(DATOS!$A18161="","",DATOS!$A18161&amp;"|"&amp;DATOS!$D18161&amp;"|"&amp;DATOS!$E18161&amp;"|"&amp;DATOS!$I18161)</f>
      </c>
      <c r="G18161">
        <f>IF(DATOS!$A18161="",0,IF(CONFIG_METADATA!$B$4&lt;&gt;"OR+EX",--(DATOS!$G18161=CONFIG_METADATA!$B$4),IF(DATOS!$G18161="EX",1,IF(DATOS!$G18161="OR",--(COUNTIFS(nNIA,DATOS!$A18161,nCURSO,DATOS!$D18161,nESPEC,DATOS!$E18161,nASIG,DATOS!$I18161,nEVAL,"EX")=0),0))))</f>
      </c>
      <c r="H18161">
        <f>IF(DATOS!$G18161&lt;&gt;"EX",0,--(COUNTIFS(nNIA,DATOS!$A18161,nCURSO,DATOS!$D18161,nESPEC,DATOS!$E18161,nASIG,DATOS!$I18161,nEVAL,"OR")=0))</f>
      </c>
      <c r="I18161">
        <f>IF(DATOS!$I18161="","",IFERROR(VLOOKUP(DATOS!$I18161,CONFIG_ASIGNATURAS!$B$2:$J$91,9,FALSE()),""))</f>
      </c>
    </row>
    <row r="18162">
      <c r="F18162">
        <f>IF(DATOS!$A18162="","",DATOS!$A18162&amp;"|"&amp;DATOS!$D18162&amp;"|"&amp;DATOS!$E18162&amp;"|"&amp;DATOS!$I18162)</f>
      </c>
      <c r="G18162">
        <f>IF(DATOS!$A18162="",0,IF(CONFIG_METADATA!$B$4&lt;&gt;"OR+EX",--(DATOS!$G18162=CONFIG_METADATA!$B$4),IF(DATOS!$G18162="EX",1,IF(DATOS!$G18162="OR",--(COUNTIFS(nNIA,DATOS!$A18162,nCURSO,DATOS!$D18162,nESPEC,DATOS!$E18162,nASIG,DATOS!$I18162,nEVAL,"EX")=0),0))))</f>
      </c>
      <c r="H18162">
        <f>IF(DATOS!$G18162&lt;&gt;"EX",0,--(COUNTIFS(nNIA,DATOS!$A18162,nCURSO,DATOS!$D18162,nESPEC,DATOS!$E18162,nASIG,DATOS!$I18162,nEVAL,"OR")=0))</f>
      </c>
      <c r="I18162">
        <f>IF(DATOS!$I18162="","",IFERROR(VLOOKUP(DATOS!$I18162,CONFIG_ASIGNATURAS!$B$2:$J$91,9,FALSE()),""))</f>
      </c>
    </row>
    <row r="18163">
      <c r="F18163">
        <f>IF(DATOS!$A18163="","",DATOS!$A18163&amp;"|"&amp;DATOS!$D18163&amp;"|"&amp;DATOS!$E18163&amp;"|"&amp;DATOS!$I18163)</f>
      </c>
      <c r="G18163">
        <f>IF(DATOS!$A18163="",0,IF(CONFIG_METADATA!$B$4&lt;&gt;"OR+EX",--(DATOS!$G18163=CONFIG_METADATA!$B$4),IF(DATOS!$G18163="EX",1,IF(DATOS!$G18163="OR",--(COUNTIFS(nNIA,DATOS!$A18163,nCURSO,DATOS!$D18163,nESPEC,DATOS!$E18163,nASIG,DATOS!$I18163,nEVAL,"EX")=0),0))))</f>
      </c>
      <c r="H18163">
        <f>IF(DATOS!$G18163&lt;&gt;"EX",0,--(COUNTIFS(nNIA,DATOS!$A18163,nCURSO,DATOS!$D18163,nESPEC,DATOS!$E18163,nASIG,DATOS!$I18163,nEVAL,"OR")=0))</f>
      </c>
      <c r="I18163">
        <f>IF(DATOS!$I18163="","",IFERROR(VLOOKUP(DATOS!$I18163,CONFIG_ASIGNATURAS!$B$2:$J$91,9,FALSE()),""))</f>
      </c>
    </row>
    <row r="18164">
      <c r="F18164">
        <f>IF(DATOS!$A18164="","",DATOS!$A18164&amp;"|"&amp;DATOS!$D18164&amp;"|"&amp;DATOS!$E18164&amp;"|"&amp;DATOS!$I18164)</f>
      </c>
      <c r="G18164">
        <f>IF(DATOS!$A18164="",0,IF(CONFIG_METADATA!$B$4&lt;&gt;"OR+EX",--(DATOS!$G18164=CONFIG_METADATA!$B$4),IF(DATOS!$G18164="EX",1,IF(DATOS!$G18164="OR",--(COUNTIFS(nNIA,DATOS!$A18164,nCURSO,DATOS!$D18164,nESPEC,DATOS!$E18164,nASIG,DATOS!$I18164,nEVAL,"EX")=0),0))))</f>
      </c>
      <c r="H18164">
        <f>IF(DATOS!$G18164&lt;&gt;"EX",0,--(COUNTIFS(nNIA,DATOS!$A18164,nCURSO,DATOS!$D18164,nESPEC,DATOS!$E18164,nASIG,DATOS!$I18164,nEVAL,"OR")=0))</f>
      </c>
      <c r="I18164">
        <f>IF(DATOS!$I18164="","",IFERROR(VLOOKUP(DATOS!$I18164,CONFIG_ASIGNATURAS!$B$2:$J$91,9,FALSE()),""))</f>
      </c>
    </row>
    <row r="18165">
      <c r="F18165">
        <f>IF(DATOS!$A18165="","",DATOS!$A18165&amp;"|"&amp;DATOS!$D18165&amp;"|"&amp;DATOS!$E18165&amp;"|"&amp;DATOS!$I18165)</f>
      </c>
      <c r="G18165">
        <f>IF(DATOS!$A18165="",0,IF(CONFIG_METADATA!$B$4&lt;&gt;"OR+EX",--(DATOS!$G18165=CONFIG_METADATA!$B$4),IF(DATOS!$G18165="EX",1,IF(DATOS!$G18165="OR",--(COUNTIFS(nNIA,DATOS!$A18165,nCURSO,DATOS!$D18165,nESPEC,DATOS!$E18165,nASIG,DATOS!$I18165,nEVAL,"EX")=0),0))))</f>
      </c>
      <c r="H18165">
        <f>IF(DATOS!$G18165&lt;&gt;"EX",0,--(COUNTIFS(nNIA,DATOS!$A18165,nCURSO,DATOS!$D18165,nESPEC,DATOS!$E18165,nASIG,DATOS!$I18165,nEVAL,"OR")=0))</f>
      </c>
      <c r="I18165">
        <f>IF(DATOS!$I18165="","",IFERROR(VLOOKUP(DATOS!$I18165,CONFIG_ASIGNATURAS!$B$2:$J$91,9,FALSE()),""))</f>
      </c>
    </row>
    <row r="18166">
      <c r="F18166">
        <f>IF(DATOS!$A18166="","",DATOS!$A18166&amp;"|"&amp;DATOS!$D18166&amp;"|"&amp;DATOS!$E18166&amp;"|"&amp;DATOS!$I18166)</f>
      </c>
      <c r="G18166">
        <f>IF(DATOS!$A18166="",0,IF(CONFIG_METADATA!$B$4&lt;&gt;"OR+EX",--(DATOS!$G18166=CONFIG_METADATA!$B$4),IF(DATOS!$G18166="EX",1,IF(DATOS!$G18166="OR",--(COUNTIFS(nNIA,DATOS!$A18166,nCURSO,DATOS!$D18166,nESPEC,DATOS!$E18166,nASIG,DATOS!$I18166,nEVAL,"EX")=0),0))))</f>
      </c>
      <c r="H18166">
        <f>IF(DATOS!$G18166&lt;&gt;"EX",0,--(COUNTIFS(nNIA,DATOS!$A18166,nCURSO,DATOS!$D18166,nESPEC,DATOS!$E18166,nASIG,DATOS!$I18166,nEVAL,"OR")=0))</f>
      </c>
      <c r="I18166">
        <f>IF(DATOS!$I18166="","",IFERROR(VLOOKUP(DATOS!$I18166,CONFIG_ASIGNATURAS!$B$2:$J$91,9,FALSE()),""))</f>
      </c>
    </row>
    <row r="18167">
      <c r="F18167">
        <f>IF(DATOS!$A18167="","",DATOS!$A18167&amp;"|"&amp;DATOS!$D18167&amp;"|"&amp;DATOS!$E18167&amp;"|"&amp;DATOS!$I18167)</f>
      </c>
      <c r="G18167">
        <f>IF(DATOS!$A18167="",0,IF(CONFIG_METADATA!$B$4&lt;&gt;"OR+EX",--(DATOS!$G18167=CONFIG_METADATA!$B$4),IF(DATOS!$G18167="EX",1,IF(DATOS!$G18167="OR",--(COUNTIFS(nNIA,DATOS!$A18167,nCURSO,DATOS!$D18167,nESPEC,DATOS!$E18167,nASIG,DATOS!$I18167,nEVAL,"EX")=0),0))))</f>
      </c>
      <c r="H18167">
        <f>IF(DATOS!$G18167&lt;&gt;"EX",0,--(COUNTIFS(nNIA,DATOS!$A18167,nCURSO,DATOS!$D18167,nESPEC,DATOS!$E18167,nASIG,DATOS!$I18167,nEVAL,"OR")=0))</f>
      </c>
      <c r="I18167">
        <f>IF(DATOS!$I18167="","",IFERROR(VLOOKUP(DATOS!$I18167,CONFIG_ASIGNATURAS!$B$2:$J$91,9,FALSE()),""))</f>
      </c>
    </row>
    <row r="18168">
      <c r="F18168">
        <f>IF(DATOS!$A18168="","",DATOS!$A18168&amp;"|"&amp;DATOS!$D18168&amp;"|"&amp;DATOS!$E18168&amp;"|"&amp;DATOS!$I18168)</f>
      </c>
      <c r="G18168">
        <f>IF(DATOS!$A18168="",0,IF(CONFIG_METADATA!$B$4&lt;&gt;"OR+EX",--(DATOS!$G18168=CONFIG_METADATA!$B$4),IF(DATOS!$G18168="EX",1,IF(DATOS!$G18168="OR",--(COUNTIFS(nNIA,DATOS!$A18168,nCURSO,DATOS!$D18168,nESPEC,DATOS!$E18168,nASIG,DATOS!$I18168,nEVAL,"EX")=0),0))))</f>
      </c>
      <c r="H18168">
        <f>IF(DATOS!$G18168&lt;&gt;"EX",0,--(COUNTIFS(nNIA,DATOS!$A18168,nCURSO,DATOS!$D18168,nESPEC,DATOS!$E18168,nASIG,DATOS!$I18168,nEVAL,"OR")=0))</f>
      </c>
      <c r="I18168">
        <f>IF(DATOS!$I18168="","",IFERROR(VLOOKUP(DATOS!$I18168,CONFIG_ASIGNATURAS!$B$2:$J$91,9,FALSE()),""))</f>
      </c>
    </row>
    <row r="18169">
      <c r="F18169">
        <f>IF(DATOS!$A18169="","",DATOS!$A18169&amp;"|"&amp;DATOS!$D18169&amp;"|"&amp;DATOS!$E18169&amp;"|"&amp;DATOS!$I18169)</f>
      </c>
      <c r="G18169">
        <f>IF(DATOS!$A18169="",0,IF(CONFIG_METADATA!$B$4&lt;&gt;"OR+EX",--(DATOS!$G18169=CONFIG_METADATA!$B$4),IF(DATOS!$G18169="EX",1,IF(DATOS!$G18169="OR",--(COUNTIFS(nNIA,DATOS!$A18169,nCURSO,DATOS!$D18169,nESPEC,DATOS!$E18169,nASIG,DATOS!$I18169,nEVAL,"EX")=0),0))))</f>
      </c>
      <c r="H18169">
        <f>IF(DATOS!$G18169&lt;&gt;"EX",0,--(COUNTIFS(nNIA,DATOS!$A18169,nCURSO,DATOS!$D18169,nESPEC,DATOS!$E18169,nASIG,DATOS!$I18169,nEVAL,"OR")=0))</f>
      </c>
      <c r="I18169">
        <f>IF(DATOS!$I18169="","",IFERROR(VLOOKUP(DATOS!$I18169,CONFIG_ASIGNATURAS!$B$2:$J$91,9,FALSE()),""))</f>
      </c>
    </row>
    <row r="18170">
      <c r="F18170">
        <f>IF(DATOS!$A18170="","",DATOS!$A18170&amp;"|"&amp;DATOS!$D18170&amp;"|"&amp;DATOS!$E18170&amp;"|"&amp;DATOS!$I18170)</f>
      </c>
      <c r="G18170">
        <f>IF(DATOS!$A18170="",0,IF(CONFIG_METADATA!$B$4&lt;&gt;"OR+EX",--(DATOS!$G18170=CONFIG_METADATA!$B$4),IF(DATOS!$G18170="EX",1,IF(DATOS!$G18170="OR",--(COUNTIFS(nNIA,DATOS!$A18170,nCURSO,DATOS!$D18170,nESPEC,DATOS!$E18170,nASIG,DATOS!$I18170,nEVAL,"EX")=0),0))))</f>
      </c>
      <c r="H18170">
        <f>IF(DATOS!$G18170&lt;&gt;"EX",0,--(COUNTIFS(nNIA,DATOS!$A18170,nCURSO,DATOS!$D18170,nESPEC,DATOS!$E18170,nASIG,DATOS!$I18170,nEVAL,"OR")=0))</f>
      </c>
      <c r="I18170">
        <f>IF(DATOS!$I18170="","",IFERROR(VLOOKUP(DATOS!$I18170,CONFIG_ASIGNATURAS!$B$2:$J$91,9,FALSE()),""))</f>
      </c>
    </row>
    <row r="18171">
      <c r="F18171">
        <f>IF(DATOS!$A18171="","",DATOS!$A18171&amp;"|"&amp;DATOS!$D18171&amp;"|"&amp;DATOS!$E18171&amp;"|"&amp;DATOS!$I18171)</f>
      </c>
      <c r="G18171">
        <f>IF(DATOS!$A18171="",0,IF(CONFIG_METADATA!$B$4&lt;&gt;"OR+EX",--(DATOS!$G18171=CONFIG_METADATA!$B$4),IF(DATOS!$G18171="EX",1,IF(DATOS!$G18171="OR",--(COUNTIFS(nNIA,DATOS!$A18171,nCURSO,DATOS!$D18171,nESPEC,DATOS!$E18171,nASIG,DATOS!$I18171,nEVAL,"EX")=0),0))))</f>
      </c>
      <c r="H18171">
        <f>IF(DATOS!$G18171&lt;&gt;"EX",0,--(COUNTIFS(nNIA,DATOS!$A18171,nCURSO,DATOS!$D18171,nESPEC,DATOS!$E18171,nASIG,DATOS!$I18171,nEVAL,"OR")=0))</f>
      </c>
      <c r="I18171">
        <f>IF(DATOS!$I18171="","",IFERROR(VLOOKUP(DATOS!$I18171,CONFIG_ASIGNATURAS!$B$2:$J$91,9,FALSE()),""))</f>
      </c>
    </row>
    <row r="18172">
      <c r="F18172">
        <f>IF(DATOS!$A18172="","",DATOS!$A18172&amp;"|"&amp;DATOS!$D18172&amp;"|"&amp;DATOS!$E18172&amp;"|"&amp;DATOS!$I18172)</f>
      </c>
      <c r="G18172">
        <f>IF(DATOS!$A18172="",0,IF(CONFIG_METADATA!$B$4&lt;&gt;"OR+EX",--(DATOS!$G18172=CONFIG_METADATA!$B$4),IF(DATOS!$G18172="EX",1,IF(DATOS!$G18172="OR",--(COUNTIFS(nNIA,DATOS!$A18172,nCURSO,DATOS!$D18172,nESPEC,DATOS!$E18172,nASIG,DATOS!$I18172,nEVAL,"EX")=0),0))))</f>
      </c>
      <c r="H18172">
        <f>IF(DATOS!$G18172&lt;&gt;"EX",0,--(COUNTIFS(nNIA,DATOS!$A18172,nCURSO,DATOS!$D18172,nESPEC,DATOS!$E18172,nASIG,DATOS!$I18172,nEVAL,"OR")=0))</f>
      </c>
      <c r="I18172">
        <f>IF(DATOS!$I18172="","",IFERROR(VLOOKUP(DATOS!$I18172,CONFIG_ASIGNATURAS!$B$2:$J$91,9,FALSE()),""))</f>
      </c>
    </row>
    <row r="18173">
      <c r="F18173">
        <f>IF(DATOS!$A18173="","",DATOS!$A18173&amp;"|"&amp;DATOS!$D18173&amp;"|"&amp;DATOS!$E18173&amp;"|"&amp;DATOS!$I18173)</f>
      </c>
      <c r="G18173">
        <f>IF(DATOS!$A18173="",0,IF(CONFIG_METADATA!$B$4&lt;&gt;"OR+EX",--(DATOS!$G18173=CONFIG_METADATA!$B$4),IF(DATOS!$G18173="EX",1,IF(DATOS!$G18173="OR",--(COUNTIFS(nNIA,DATOS!$A18173,nCURSO,DATOS!$D18173,nESPEC,DATOS!$E18173,nASIG,DATOS!$I18173,nEVAL,"EX")=0),0))))</f>
      </c>
      <c r="H18173">
        <f>IF(DATOS!$G18173&lt;&gt;"EX",0,--(COUNTIFS(nNIA,DATOS!$A18173,nCURSO,DATOS!$D18173,nESPEC,DATOS!$E18173,nASIG,DATOS!$I18173,nEVAL,"OR")=0))</f>
      </c>
      <c r="I18173">
        <f>IF(DATOS!$I18173="","",IFERROR(VLOOKUP(DATOS!$I18173,CONFIG_ASIGNATURAS!$B$2:$J$91,9,FALSE()),""))</f>
      </c>
    </row>
    <row r="18174">
      <c r="F18174">
        <f>IF(DATOS!$A18174="","",DATOS!$A18174&amp;"|"&amp;DATOS!$D18174&amp;"|"&amp;DATOS!$E18174&amp;"|"&amp;DATOS!$I18174)</f>
      </c>
      <c r="G18174">
        <f>IF(DATOS!$A18174="",0,IF(CONFIG_METADATA!$B$4&lt;&gt;"OR+EX",--(DATOS!$G18174=CONFIG_METADATA!$B$4),IF(DATOS!$G18174="EX",1,IF(DATOS!$G18174="OR",--(COUNTIFS(nNIA,DATOS!$A18174,nCURSO,DATOS!$D18174,nESPEC,DATOS!$E18174,nASIG,DATOS!$I18174,nEVAL,"EX")=0),0))))</f>
      </c>
      <c r="H18174">
        <f>IF(DATOS!$G18174&lt;&gt;"EX",0,--(COUNTIFS(nNIA,DATOS!$A18174,nCURSO,DATOS!$D18174,nESPEC,DATOS!$E18174,nASIG,DATOS!$I18174,nEVAL,"OR")=0))</f>
      </c>
      <c r="I18174">
        <f>IF(DATOS!$I18174="","",IFERROR(VLOOKUP(DATOS!$I18174,CONFIG_ASIGNATURAS!$B$2:$J$91,9,FALSE()),""))</f>
      </c>
    </row>
    <row r="18175">
      <c r="F18175">
        <f>IF(DATOS!$A18175="","",DATOS!$A18175&amp;"|"&amp;DATOS!$D18175&amp;"|"&amp;DATOS!$E18175&amp;"|"&amp;DATOS!$I18175)</f>
      </c>
      <c r="G18175">
        <f>IF(DATOS!$A18175="",0,IF(CONFIG_METADATA!$B$4&lt;&gt;"OR+EX",--(DATOS!$G18175=CONFIG_METADATA!$B$4),IF(DATOS!$G18175="EX",1,IF(DATOS!$G18175="OR",--(COUNTIFS(nNIA,DATOS!$A18175,nCURSO,DATOS!$D18175,nESPEC,DATOS!$E18175,nASIG,DATOS!$I18175,nEVAL,"EX")=0),0))))</f>
      </c>
      <c r="H18175">
        <f>IF(DATOS!$G18175&lt;&gt;"EX",0,--(COUNTIFS(nNIA,DATOS!$A18175,nCURSO,DATOS!$D18175,nESPEC,DATOS!$E18175,nASIG,DATOS!$I18175,nEVAL,"OR")=0))</f>
      </c>
      <c r="I18175">
        <f>IF(DATOS!$I18175="","",IFERROR(VLOOKUP(DATOS!$I18175,CONFIG_ASIGNATURAS!$B$2:$J$91,9,FALSE()),""))</f>
      </c>
    </row>
    <row r="18176">
      <c r="F18176">
        <f>IF(DATOS!$A18176="","",DATOS!$A18176&amp;"|"&amp;DATOS!$D18176&amp;"|"&amp;DATOS!$E18176&amp;"|"&amp;DATOS!$I18176)</f>
      </c>
      <c r="G18176">
        <f>IF(DATOS!$A18176="",0,IF(CONFIG_METADATA!$B$4&lt;&gt;"OR+EX",--(DATOS!$G18176=CONFIG_METADATA!$B$4),IF(DATOS!$G18176="EX",1,IF(DATOS!$G18176="OR",--(COUNTIFS(nNIA,DATOS!$A18176,nCURSO,DATOS!$D18176,nESPEC,DATOS!$E18176,nASIG,DATOS!$I18176,nEVAL,"EX")=0),0))))</f>
      </c>
      <c r="H18176">
        <f>IF(DATOS!$G18176&lt;&gt;"EX",0,--(COUNTIFS(nNIA,DATOS!$A18176,nCURSO,DATOS!$D18176,nESPEC,DATOS!$E18176,nASIG,DATOS!$I18176,nEVAL,"OR")=0))</f>
      </c>
      <c r="I18176">
        <f>IF(DATOS!$I18176="","",IFERROR(VLOOKUP(DATOS!$I18176,CONFIG_ASIGNATURAS!$B$2:$J$91,9,FALSE()),""))</f>
      </c>
    </row>
    <row r="18177">
      <c r="F18177">
        <f>IF(DATOS!$A18177="","",DATOS!$A18177&amp;"|"&amp;DATOS!$D18177&amp;"|"&amp;DATOS!$E18177&amp;"|"&amp;DATOS!$I18177)</f>
      </c>
      <c r="G18177">
        <f>IF(DATOS!$A18177="",0,IF(CONFIG_METADATA!$B$4&lt;&gt;"OR+EX",--(DATOS!$G18177=CONFIG_METADATA!$B$4),IF(DATOS!$G18177="EX",1,IF(DATOS!$G18177="OR",--(COUNTIFS(nNIA,DATOS!$A18177,nCURSO,DATOS!$D18177,nESPEC,DATOS!$E18177,nASIG,DATOS!$I18177,nEVAL,"EX")=0),0))))</f>
      </c>
      <c r="H18177">
        <f>IF(DATOS!$G18177&lt;&gt;"EX",0,--(COUNTIFS(nNIA,DATOS!$A18177,nCURSO,DATOS!$D18177,nESPEC,DATOS!$E18177,nASIG,DATOS!$I18177,nEVAL,"OR")=0))</f>
      </c>
      <c r="I18177">
        <f>IF(DATOS!$I18177="","",IFERROR(VLOOKUP(DATOS!$I18177,CONFIG_ASIGNATURAS!$B$2:$J$91,9,FALSE()),""))</f>
      </c>
    </row>
    <row r="18178">
      <c r="F18178">
        <f>IF(DATOS!$A18178="","",DATOS!$A18178&amp;"|"&amp;DATOS!$D18178&amp;"|"&amp;DATOS!$E18178&amp;"|"&amp;DATOS!$I18178)</f>
      </c>
      <c r="G18178">
        <f>IF(DATOS!$A18178="",0,IF(CONFIG_METADATA!$B$4&lt;&gt;"OR+EX",--(DATOS!$G18178=CONFIG_METADATA!$B$4),IF(DATOS!$G18178="EX",1,IF(DATOS!$G18178="OR",--(COUNTIFS(nNIA,DATOS!$A18178,nCURSO,DATOS!$D18178,nESPEC,DATOS!$E18178,nASIG,DATOS!$I18178,nEVAL,"EX")=0),0))))</f>
      </c>
      <c r="H18178">
        <f>IF(DATOS!$G18178&lt;&gt;"EX",0,--(COUNTIFS(nNIA,DATOS!$A18178,nCURSO,DATOS!$D18178,nESPEC,DATOS!$E18178,nASIG,DATOS!$I18178,nEVAL,"OR")=0))</f>
      </c>
      <c r="I18178">
        <f>IF(DATOS!$I18178="","",IFERROR(VLOOKUP(DATOS!$I18178,CONFIG_ASIGNATURAS!$B$2:$J$91,9,FALSE()),""))</f>
      </c>
    </row>
    <row r="18179">
      <c r="F18179">
        <f>IF(DATOS!$A18179="","",DATOS!$A18179&amp;"|"&amp;DATOS!$D18179&amp;"|"&amp;DATOS!$E18179&amp;"|"&amp;DATOS!$I18179)</f>
      </c>
      <c r="G18179">
        <f>IF(DATOS!$A18179="",0,IF(CONFIG_METADATA!$B$4&lt;&gt;"OR+EX",--(DATOS!$G18179=CONFIG_METADATA!$B$4),IF(DATOS!$G18179="EX",1,IF(DATOS!$G18179="OR",--(COUNTIFS(nNIA,DATOS!$A18179,nCURSO,DATOS!$D18179,nESPEC,DATOS!$E18179,nASIG,DATOS!$I18179,nEVAL,"EX")=0),0))))</f>
      </c>
      <c r="H18179">
        <f>IF(DATOS!$G18179&lt;&gt;"EX",0,--(COUNTIFS(nNIA,DATOS!$A18179,nCURSO,DATOS!$D18179,nESPEC,DATOS!$E18179,nASIG,DATOS!$I18179,nEVAL,"OR")=0))</f>
      </c>
      <c r="I18179">
        <f>IF(DATOS!$I18179="","",IFERROR(VLOOKUP(DATOS!$I18179,CONFIG_ASIGNATURAS!$B$2:$J$91,9,FALSE()),""))</f>
      </c>
    </row>
    <row r="18180">
      <c r="F18180">
        <f>IF(DATOS!$A18180="","",DATOS!$A18180&amp;"|"&amp;DATOS!$D18180&amp;"|"&amp;DATOS!$E18180&amp;"|"&amp;DATOS!$I18180)</f>
      </c>
      <c r="G18180">
        <f>IF(DATOS!$A18180="",0,IF(CONFIG_METADATA!$B$4&lt;&gt;"OR+EX",--(DATOS!$G18180=CONFIG_METADATA!$B$4),IF(DATOS!$G18180="EX",1,IF(DATOS!$G18180="OR",--(COUNTIFS(nNIA,DATOS!$A18180,nCURSO,DATOS!$D18180,nESPEC,DATOS!$E18180,nASIG,DATOS!$I18180,nEVAL,"EX")=0),0))))</f>
      </c>
      <c r="H18180">
        <f>IF(DATOS!$G18180&lt;&gt;"EX",0,--(COUNTIFS(nNIA,DATOS!$A18180,nCURSO,DATOS!$D18180,nESPEC,DATOS!$E18180,nASIG,DATOS!$I18180,nEVAL,"OR")=0))</f>
      </c>
      <c r="I18180">
        <f>IF(DATOS!$I18180="","",IFERROR(VLOOKUP(DATOS!$I18180,CONFIG_ASIGNATURAS!$B$2:$J$91,9,FALSE()),""))</f>
      </c>
    </row>
    <row r="18181">
      <c r="F18181">
        <f>IF(DATOS!$A18181="","",DATOS!$A18181&amp;"|"&amp;DATOS!$D18181&amp;"|"&amp;DATOS!$E18181&amp;"|"&amp;DATOS!$I18181)</f>
      </c>
      <c r="G18181">
        <f>IF(DATOS!$A18181="",0,IF(CONFIG_METADATA!$B$4&lt;&gt;"OR+EX",--(DATOS!$G18181=CONFIG_METADATA!$B$4),IF(DATOS!$G18181="EX",1,IF(DATOS!$G18181="OR",--(COUNTIFS(nNIA,DATOS!$A18181,nCURSO,DATOS!$D18181,nESPEC,DATOS!$E18181,nASIG,DATOS!$I18181,nEVAL,"EX")=0),0))))</f>
      </c>
      <c r="H18181">
        <f>IF(DATOS!$G18181&lt;&gt;"EX",0,--(COUNTIFS(nNIA,DATOS!$A18181,nCURSO,DATOS!$D18181,nESPEC,DATOS!$E18181,nASIG,DATOS!$I18181,nEVAL,"OR")=0))</f>
      </c>
      <c r="I18181">
        <f>IF(DATOS!$I18181="","",IFERROR(VLOOKUP(DATOS!$I18181,CONFIG_ASIGNATURAS!$B$2:$J$91,9,FALSE()),""))</f>
      </c>
    </row>
    <row r="18182">
      <c r="F18182">
        <f>IF(DATOS!$A18182="","",DATOS!$A18182&amp;"|"&amp;DATOS!$D18182&amp;"|"&amp;DATOS!$E18182&amp;"|"&amp;DATOS!$I18182)</f>
      </c>
      <c r="G18182">
        <f>IF(DATOS!$A18182="",0,IF(CONFIG_METADATA!$B$4&lt;&gt;"OR+EX",--(DATOS!$G18182=CONFIG_METADATA!$B$4),IF(DATOS!$G18182="EX",1,IF(DATOS!$G18182="OR",--(COUNTIFS(nNIA,DATOS!$A18182,nCURSO,DATOS!$D18182,nESPEC,DATOS!$E18182,nASIG,DATOS!$I18182,nEVAL,"EX")=0),0))))</f>
      </c>
      <c r="H18182">
        <f>IF(DATOS!$G18182&lt;&gt;"EX",0,--(COUNTIFS(nNIA,DATOS!$A18182,nCURSO,DATOS!$D18182,nESPEC,DATOS!$E18182,nASIG,DATOS!$I18182,nEVAL,"OR")=0))</f>
      </c>
      <c r="I18182">
        <f>IF(DATOS!$I18182="","",IFERROR(VLOOKUP(DATOS!$I18182,CONFIG_ASIGNATURAS!$B$2:$J$91,9,FALSE()),""))</f>
      </c>
    </row>
    <row r="18183">
      <c r="F18183">
        <f>IF(DATOS!$A18183="","",DATOS!$A18183&amp;"|"&amp;DATOS!$D18183&amp;"|"&amp;DATOS!$E18183&amp;"|"&amp;DATOS!$I18183)</f>
      </c>
      <c r="G18183">
        <f>IF(DATOS!$A18183="",0,IF(CONFIG_METADATA!$B$4&lt;&gt;"OR+EX",--(DATOS!$G18183=CONFIG_METADATA!$B$4),IF(DATOS!$G18183="EX",1,IF(DATOS!$G18183="OR",--(COUNTIFS(nNIA,DATOS!$A18183,nCURSO,DATOS!$D18183,nESPEC,DATOS!$E18183,nASIG,DATOS!$I18183,nEVAL,"EX")=0),0))))</f>
      </c>
      <c r="H18183">
        <f>IF(DATOS!$G18183&lt;&gt;"EX",0,--(COUNTIFS(nNIA,DATOS!$A18183,nCURSO,DATOS!$D18183,nESPEC,DATOS!$E18183,nASIG,DATOS!$I18183,nEVAL,"OR")=0))</f>
      </c>
      <c r="I18183">
        <f>IF(DATOS!$I18183="","",IFERROR(VLOOKUP(DATOS!$I18183,CONFIG_ASIGNATURAS!$B$2:$J$91,9,FALSE()),""))</f>
      </c>
    </row>
    <row r="18184">
      <c r="F18184">
        <f>IF(DATOS!$A18184="","",DATOS!$A18184&amp;"|"&amp;DATOS!$D18184&amp;"|"&amp;DATOS!$E18184&amp;"|"&amp;DATOS!$I18184)</f>
      </c>
      <c r="G18184">
        <f>IF(DATOS!$A18184="",0,IF(CONFIG_METADATA!$B$4&lt;&gt;"OR+EX",--(DATOS!$G18184=CONFIG_METADATA!$B$4),IF(DATOS!$G18184="EX",1,IF(DATOS!$G18184="OR",--(COUNTIFS(nNIA,DATOS!$A18184,nCURSO,DATOS!$D18184,nESPEC,DATOS!$E18184,nASIG,DATOS!$I18184,nEVAL,"EX")=0),0))))</f>
      </c>
      <c r="H18184">
        <f>IF(DATOS!$G18184&lt;&gt;"EX",0,--(COUNTIFS(nNIA,DATOS!$A18184,nCURSO,DATOS!$D18184,nESPEC,DATOS!$E18184,nASIG,DATOS!$I18184,nEVAL,"OR")=0))</f>
      </c>
      <c r="I18184">
        <f>IF(DATOS!$I18184="","",IFERROR(VLOOKUP(DATOS!$I18184,CONFIG_ASIGNATURAS!$B$2:$J$91,9,FALSE()),""))</f>
      </c>
    </row>
    <row r="18185">
      <c r="F18185">
        <f>IF(DATOS!$A18185="","",DATOS!$A18185&amp;"|"&amp;DATOS!$D18185&amp;"|"&amp;DATOS!$E18185&amp;"|"&amp;DATOS!$I18185)</f>
      </c>
      <c r="G18185">
        <f>IF(DATOS!$A18185="",0,IF(CONFIG_METADATA!$B$4&lt;&gt;"OR+EX",--(DATOS!$G18185=CONFIG_METADATA!$B$4),IF(DATOS!$G18185="EX",1,IF(DATOS!$G18185="OR",--(COUNTIFS(nNIA,DATOS!$A18185,nCURSO,DATOS!$D18185,nESPEC,DATOS!$E18185,nASIG,DATOS!$I18185,nEVAL,"EX")=0),0))))</f>
      </c>
      <c r="H18185">
        <f>IF(DATOS!$G18185&lt;&gt;"EX",0,--(COUNTIFS(nNIA,DATOS!$A18185,nCURSO,DATOS!$D18185,nESPEC,DATOS!$E18185,nASIG,DATOS!$I18185,nEVAL,"OR")=0))</f>
      </c>
      <c r="I18185">
        <f>IF(DATOS!$I18185="","",IFERROR(VLOOKUP(DATOS!$I18185,CONFIG_ASIGNATURAS!$B$2:$J$91,9,FALSE()),""))</f>
      </c>
    </row>
    <row r="18186">
      <c r="F18186">
        <f>IF(DATOS!$A18186="","",DATOS!$A18186&amp;"|"&amp;DATOS!$D18186&amp;"|"&amp;DATOS!$E18186&amp;"|"&amp;DATOS!$I18186)</f>
      </c>
      <c r="G18186">
        <f>IF(DATOS!$A18186="",0,IF(CONFIG_METADATA!$B$4&lt;&gt;"OR+EX",--(DATOS!$G18186=CONFIG_METADATA!$B$4),IF(DATOS!$G18186="EX",1,IF(DATOS!$G18186="OR",--(COUNTIFS(nNIA,DATOS!$A18186,nCURSO,DATOS!$D18186,nESPEC,DATOS!$E18186,nASIG,DATOS!$I18186,nEVAL,"EX")=0),0))))</f>
      </c>
      <c r="H18186">
        <f>IF(DATOS!$G18186&lt;&gt;"EX",0,--(COUNTIFS(nNIA,DATOS!$A18186,nCURSO,DATOS!$D18186,nESPEC,DATOS!$E18186,nASIG,DATOS!$I18186,nEVAL,"OR")=0))</f>
      </c>
      <c r="I18186">
        <f>IF(DATOS!$I18186="","",IFERROR(VLOOKUP(DATOS!$I18186,CONFIG_ASIGNATURAS!$B$2:$J$91,9,FALSE()),""))</f>
      </c>
    </row>
    <row r="18187">
      <c r="F18187">
        <f>IF(DATOS!$A18187="","",DATOS!$A18187&amp;"|"&amp;DATOS!$D18187&amp;"|"&amp;DATOS!$E18187&amp;"|"&amp;DATOS!$I18187)</f>
      </c>
      <c r="G18187">
        <f>IF(DATOS!$A18187="",0,IF(CONFIG_METADATA!$B$4&lt;&gt;"OR+EX",--(DATOS!$G18187=CONFIG_METADATA!$B$4),IF(DATOS!$G18187="EX",1,IF(DATOS!$G18187="OR",--(COUNTIFS(nNIA,DATOS!$A18187,nCURSO,DATOS!$D18187,nESPEC,DATOS!$E18187,nASIG,DATOS!$I18187,nEVAL,"EX")=0),0))))</f>
      </c>
      <c r="H18187">
        <f>IF(DATOS!$G18187&lt;&gt;"EX",0,--(COUNTIFS(nNIA,DATOS!$A18187,nCURSO,DATOS!$D18187,nESPEC,DATOS!$E18187,nASIG,DATOS!$I18187,nEVAL,"OR")=0))</f>
      </c>
      <c r="I18187">
        <f>IF(DATOS!$I18187="","",IFERROR(VLOOKUP(DATOS!$I18187,CONFIG_ASIGNATURAS!$B$2:$J$91,9,FALSE()),""))</f>
      </c>
    </row>
    <row r="18188">
      <c r="F18188">
        <f>IF(DATOS!$A18188="","",DATOS!$A18188&amp;"|"&amp;DATOS!$D18188&amp;"|"&amp;DATOS!$E18188&amp;"|"&amp;DATOS!$I18188)</f>
      </c>
      <c r="G18188">
        <f>IF(DATOS!$A18188="",0,IF(CONFIG_METADATA!$B$4&lt;&gt;"OR+EX",--(DATOS!$G18188=CONFIG_METADATA!$B$4),IF(DATOS!$G18188="EX",1,IF(DATOS!$G18188="OR",--(COUNTIFS(nNIA,DATOS!$A18188,nCURSO,DATOS!$D18188,nESPEC,DATOS!$E18188,nASIG,DATOS!$I18188,nEVAL,"EX")=0),0))))</f>
      </c>
      <c r="H18188">
        <f>IF(DATOS!$G18188&lt;&gt;"EX",0,--(COUNTIFS(nNIA,DATOS!$A18188,nCURSO,DATOS!$D18188,nESPEC,DATOS!$E18188,nASIG,DATOS!$I18188,nEVAL,"OR")=0))</f>
      </c>
      <c r="I18188">
        <f>IF(DATOS!$I18188="","",IFERROR(VLOOKUP(DATOS!$I18188,CONFIG_ASIGNATURAS!$B$2:$J$91,9,FALSE()),""))</f>
      </c>
    </row>
    <row r="18189">
      <c r="F18189">
        <f>IF(DATOS!$A18189="","",DATOS!$A18189&amp;"|"&amp;DATOS!$D18189&amp;"|"&amp;DATOS!$E18189&amp;"|"&amp;DATOS!$I18189)</f>
      </c>
      <c r="G18189">
        <f>IF(DATOS!$A18189="",0,IF(CONFIG_METADATA!$B$4&lt;&gt;"OR+EX",--(DATOS!$G18189=CONFIG_METADATA!$B$4),IF(DATOS!$G18189="EX",1,IF(DATOS!$G18189="OR",--(COUNTIFS(nNIA,DATOS!$A18189,nCURSO,DATOS!$D18189,nESPEC,DATOS!$E18189,nASIG,DATOS!$I18189,nEVAL,"EX")=0),0))))</f>
      </c>
      <c r="H18189">
        <f>IF(DATOS!$G18189&lt;&gt;"EX",0,--(COUNTIFS(nNIA,DATOS!$A18189,nCURSO,DATOS!$D18189,nESPEC,DATOS!$E18189,nASIG,DATOS!$I18189,nEVAL,"OR")=0))</f>
      </c>
      <c r="I18189">
        <f>IF(DATOS!$I18189="","",IFERROR(VLOOKUP(DATOS!$I18189,CONFIG_ASIGNATURAS!$B$2:$J$91,9,FALSE()),""))</f>
      </c>
    </row>
    <row r="18190">
      <c r="F18190">
        <f>IF(DATOS!$A18190="","",DATOS!$A18190&amp;"|"&amp;DATOS!$D18190&amp;"|"&amp;DATOS!$E18190&amp;"|"&amp;DATOS!$I18190)</f>
      </c>
      <c r="G18190">
        <f>IF(DATOS!$A18190="",0,IF(CONFIG_METADATA!$B$4&lt;&gt;"OR+EX",--(DATOS!$G18190=CONFIG_METADATA!$B$4),IF(DATOS!$G18190="EX",1,IF(DATOS!$G18190="OR",--(COUNTIFS(nNIA,DATOS!$A18190,nCURSO,DATOS!$D18190,nESPEC,DATOS!$E18190,nASIG,DATOS!$I18190,nEVAL,"EX")=0),0))))</f>
      </c>
      <c r="H18190">
        <f>IF(DATOS!$G18190&lt;&gt;"EX",0,--(COUNTIFS(nNIA,DATOS!$A18190,nCURSO,DATOS!$D18190,nESPEC,DATOS!$E18190,nASIG,DATOS!$I18190,nEVAL,"OR")=0))</f>
      </c>
      <c r="I18190">
        <f>IF(DATOS!$I18190="","",IFERROR(VLOOKUP(DATOS!$I18190,CONFIG_ASIGNATURAS!$B$2:$J$91,9,FALSE()),""))</f>
      </c>
    </row>
    <row r="18191">
      <c r="F18191">
        <f>IF(DATOS!$A18191="","",DATOS!$A18191&amp;"|"&amp;DATOS!$D18191&amp;"|"&amp;DATOS!$E18191&amp;"|"&amp;DATOS!$I18191)</f>
      </c>
      <c r="G18191">
        <f>IF(DATOS!$A18191="",0,IF(CONFIG_METADATA!$B$4&lt;&gt;"OR+EX",--(DATOS!$G18191=CONFIG_METADATA!$B$4),IF(DATOS!$G18191="EX",1,IF(DATOS!$G18191="OR",--(COUNTIFS(nNIA,DATOS!$A18191,nCURSO,DATOS!$D18191,nESPEC,DATOS!$E18191,nASIG,DATOS!$I18191,nEVAL,"EX")=0),0))))</f>
      </c>
      <c r="H18191">
        <f>IF(DATOS!$G18191&lt;&gt;"EX",0,--(COUNTIFS(nNIA,DATOS!$A18191,nCURSO,DATOS!$D18191,nESPEC,DATOS!$E18191,nASIG,DATOS!$I18191,nEVAL,"OR")=0))</f>
      </c>
      <c r="I18191">
        <f>IF(DATOS!$I18191="","",IFERROR(VLOOKUP(DATOS!$I18191,CONFIG_ASIGNATURAS!$B$2:$J$91,9,FALSE()),""))</f>
      </c>
    </row>
    <row r="18192">
      <c r="F18192">
        <f>IF(DATOS!$A18192="","",DATOS!$A18192&amp;"|"&amp;DATOS!$D18192&amp;"|"&amp;DATOS!$E18192&amp;"|"&amp;DATOS!$I18192)</f>
      </c>
      <c r="G18192">
        <f>IF(DATOS!$A18192="",0,IF(CONFIG_METADATA!$B$4&lt;&gt;"OR+EX",--(DATOS!$G18192=CONFIG_METADATA!$B$4),IF(DATOS!$G18192="EX",1,IF(DATOS!$G18192="OR",--(COUNTIFS(nNIA,DATOS!$A18192,nCURSO,DATOS!$D18192,nESPEC,DATOS!$E18192,nASIG,DATOS!$I18192,nEVAL,"EX")=0),0))))</f>
      </c>
      <c r="H18192">
        <f>IF(DATOS!$G18192&lt;&gt;"EX",0,--(COUNTIFS(nNIA,DATOS!$A18192,nCURSO,DATOS!$D18192,nESPEC,DATOS!$E18192,nASIG,DATOS!$I18192,nEVAL,"OR")=0))</f>
      </c>
      <c r="I18192">
        <f>IF(DATOS!$I18192="","",IFERROR(VLOOKUP(DATOS!$I18192,CONFIG_ASIGNATURAS!$B$2:$J$91,9,FALSE()),""))</f>
      </c>
    </row>
    <row r="18193">
      <c r="F18193">
        <f>IF(DATOS!$A18193="","",DATOS!$A18193&amp;"|"&amp;DATOS!$D18193&amp;"|"&amp;DATOS!$E18193&amp;"|"&amp;DATOS!$I18193)</f>
      </c>
      <c r="G18193">
        <f>IF(DATOS!$A18193="",0,IF(CONFIG_METADATA!$B$4&lt;&gt;"OR+EX",--(DATOS!$G18193=CONFIG_METADATA!$B$4),IF(DATOS!$G18193="EX",1,IF(DATOS!$G18193="OR",--(COUNTIFS(nNIA,DATOS!$A18193,nCURSO,DATOS!$D18193,nESPEC,DATOS!$E18193,nASIG,DATOS!$I18193,nEVAL,"EX")=0),0))))</f>
      </c>
      <c r="H18193">
        <f>IF(DATOS!$G18193&lt;&gt;"EX",0,--(COUNTIFS(nNIA,DATOS!$A18193,nCURSO,DATOS!$D18193,nESPEC,DATOS!$E18193,nASIG,DATOS!$I18193,nEVAL,"OR")=0))</f>
      </c>
      <c r="I18193">
        <f>IF(DATOS!$I18193="","",IFERROR(VLOOKUP(DATOS!$I18193,CONFIG_ASIGNATURAS!$B$2:$J$91,9,FALSE()),""))</f>
      </c>
    </row>
    <row r="18194">
      <c r="F18194">
        <f>IF(DATOS!$A18194="","",DATOS!$A18194&amp;"|"&amp;DATOS!$D18194&amp;"|"&amp;DATOS!$E18194&amp;"|"&amp;DATOS!$I18194)</f>
      </c>
      <c r="G18194">
        <f>IF(DATOS!$A18194="",0,IF(CONFIG_METADATA!$B$4&lt;&gt;"OR+EX",--(DATOS!$G18194=CONFIG_METADATA!$B$4),IF(DATOS!$G18194="EX",1,IF(DATOS!$G18194="OR",--(COUNTIFS(nNIA,DATOS!$A18194,nCURSO,DATOS!$D18194,nESPEC,DATOS!$E18194,nASIG,DATOS!$I18194,nEVAL,"EX")=0),0))))</f>
      </c>
      <c r="H18194">
        <f>IF(DATOS!$G18194&lt;&gt;"EX",0,--(COUNTIFS(nNIA,DATOS!$A18194,nCURSO,DATOS!$D18194,nESPEC,DATOS!$E18194,nASIG,DATOS!$I18194,nEVAL,"OR")=0))</f>
      </c>
      <c r="I18194">
        <f>IF(DATOS!$I18194="","",IFERROR(VLOOKUP(DATOS!$I18194,CONFIG_ASIGNATURAS!$B$2:$J$91,9,FALSE()),""))</f>
      </c>
    </row>
    <row r="18195">
      <c r="F18195">
        <f>IF(DATOS!$A18195="","",DATOS!$A18195&amp;"|"&amp;DATOS!$D18195&amp;"|"&amp;DATOS!$E18195&amp;"|"&amp;DATOS!$I18195)</f>
      </c>
      <c r="G18195">
        <f>IF(DATOS!$A18195="",0,IF(CONFIG_METADATA!$B$4&lt;&gt;"OR+EX",--(DATOS!$G18195=CONFIG_METADATA!$B$4),IF(DATOS!$G18195="EX",1,IF(DATOS!$G18195="OR",--(COUNTIFS(nNIA,DATOS!$A18195,nCURSO,DATOS!$D18195,nESPEC,DATOS!$E18195,nASIG,DATOS!$I18195,nEVAL,"EX")=0),0))))</f>
      </c>
      <c r="H18195">
        <f>IF(DATOS!$G18195&lt;&gt;"EX",0,--(COUNTIFS(nNIA,DATOS!$A18195,nCURSO,DATOS!$D18195,nESPEC,DATOS!$E18195,nASIG,DATOS!$I18195,nEVAL,"OR")=0))</f>
      </c>
      <c r="I18195">
        <f>IF(DATOS!$I18195="","",IFERROR(VLOOKUP(DATOS!$I18195,CONFIG_ASIGNATURAS!$B$2:$J$91,9,FALSE()),""))</f>
      </c>
    </row>
    <row r="18196">
      <c r="F18196">
        <f>IF(DATOS!$A18196="","",DATOS!$A18196&amp;"|"&amp;DATOS!$D18196&amp;"|"&amp;DATOS!$E18196&amp;"|"&amp;DATOS!$I18196)</f>
      </c>
      <c r="G18196">
        <f>IF(DATOS!$A18196="",0,IF(CONFIG_METADATA!$B$4&lt;&gt;"OR+EX",--(DATOS!$G18196=CONFIG_METADATA!$B$4),IF(DATOS!$G18196="EX",1,IF(DATOS!$G18196="OR",--(COUNTIFS(nNIA,DATOS!$A18196,nCURSO,DATOS!$D18196,nESPEC,DATOS!$E18196,nASIG,DATOS!$I18196,nEVAL,"EX")=0),0))))</f>
      </c>
      <c r="H18196">
        <f>IF(DATOS!$G18196&lt;&gt;"EX",0,--(COUNTIFS(nNIA,DATOS!$A18196,nCURSO,DATOS!$D18196,nESPEC,DATOS!$E18196,nASIG,DATOS!$I18196,nEVAL,"OR")=0))</f>
      </c>
      <c r="I18196">
        <f>IF(DATOS!$I18196="","",IFERROR(VLOOKUP(DATOS!$I18196,CONFIG_ASIGNATURAS!$B$2:$J$91,9,FALSE()),""))</f>
      </c>
    </row>
    <row r="18197">
      <c r="F18197">
        <f>IF(DATOS!$A18197="","",DATOS!$A18197&amp;"|"&amp;DATOS!$D18197&amp;"|"&amp;DATOS!$E18197&amp;"|"&amp;DATOS!$I18197)</f>
      </c>
      <c r="G18197">
        <f>IF(DATOS!$A18197="",0,IF(CONFIG_METADATA!$B$4&lt;&gt;"OR+EX",--(DATOS!$G18197=CONFIG_METADATA!$B$4),IF(DATOS!$G18197="EX",1,IF(DATOS!$G18197="OR",--(COUNTIFS(nNIA,DATOS!$A18197,nCURSO,DATOS!$D18197,nESPEC,DATOS!$E18197,nASIG,DATOS!$I18197,nEVAL,"EX")=0),0))))</f>
      </c>
      <c r="H18197">
        <f>IF(DATOS!$G18197&lt;&gt;"EX",0,--(COUNTIFS(nNIA,DATOS!$A18197,nCURSO,DATOS!$D18197,nESPEC,DATOS!$E18197,nASIG,DATOS!$I18197,nEVAL,"OR")=0))</f>
      </c>
      <c r="I18197">
        <f>IF(DATOS!$I18197="","",IFERROR(VLOOKUP(DATOS!$I18197,CONFIG_ASIGNATURAS!$B$2:$J$91,9,FALSE()),""))</f>
      </c>
    </row>
    <row r="18198">
      <c r="F18198">
        <f>IF(DATOS!$A18198="","",DATOS!$A18198&amp;"|"&amp;DATOS!$D18198&amp;"|"&amp;DATOS!$E18198&amp;"|"&amp;DATOS!$I18198)</f>
      </c>
      <c r="G18198">
        <f>IF(DATOS!$A18198="",0,IF(CONFIG_METADATA!$B$4&lt;&gt;"OR+EX",--(DATOS!$G18198=CONFIG_METADATA!$B$4),IF(DATOS!$G18198="EX",1,IF(DATOS!$G18198="OR",--(COUNTIFS(nNIA,DATOS!$A18198,nCURSO,DATOS!$D18198,nESPEC,DATOS!$E18198,nASIG,DATOS!$I18198,nEVAL,"EX")=0),0))))</f>
      </c>
      <c r="H18198">
        <f>IF(DATOS!$G18198&lt;&gt;"EX",0,--(COUNTIFS(nNIA,DATOS!$A18198,nCURSO,DATOS!$D18198,nESPEC,DATOS!$E18198,nASIG,DATOS!$I18198,nEVAL,"OR")=0))</f>
      </c>
      <c r="I18198">
        <f>IF(DATOS!$I18198="","",IFERROR(VLOOKUP(DATOS!$I18198,CONFIG_ASIGNATURAS!$B$2:$J$91,9,FALSE()),""))</f>
      </c>
    </row>
    <row r="18199">
      <c r="F18199">
        <f>IF(DATOS!$A18199="","",DATOS!$A18199&amp;"|"&amp;DATOS!$D18199&amp;"|"&amp;DATOS!$E18199&amp;"|"&amp;DATOS!$I18199)</f>
      </c>
      <c r="G18199">
        <f>IF(DATOS!$A18199="",0,IF(CONFIG_METADATA!$B$4&lt;&gt;"OR+EX",--(DATOS!$G18199=CONFIG_METADATA!$B$4),IF(DATOS!$G18199="EX",1,IF(DATOS!$G18199="OR",--(COUNTIFS(nNIA,DATOS!$A18199,nCURSO,DATOS!$D18199,nESPEC,DATOS!$E18199,nASIG,DATOS!$I18199,nEVAL,"EX")=0),0))))</f>
      </c>
      <c r="H18199">
        <f>IF(DATOS!$G18199&lt;&gt;"EX",0,--(COUNTIFS(nNIA,DATOS!$A18199,nCURSO,DATOS!$D18199,nESPEC,DATOS!$E18199,nASIG,DATOS!$I18199,nEVAL,"OR")=0))</f>
      </c>
      <c r="I18199">
        <f>IF(DATOS!$I18199="","",IFERROR(VLOOKUP(DATOS!$I18199,CONFIG_ASIGNATURAS!$B$2:$J$91,9,FALSE()),""))</f>
      </c>
    </row>
    <row r="18200">
      <c r="F18200">
        <f>IF(DATOS!$A18200="","",DATOS!$A18200&amp;"|"&amp;DATOS!$D18200&amp;"|"&amp;DATOS!$E18200&amp;"|"&amp;DATOS!$I18200)</f>
      </c>
      <c r="G18200">
        <f>IF(DATOS!$A18200="",0,IF(CONFIG_METADATA!$B$4&lt;&gt;"OR+EX",--(DATOS!$G18200=CONFIG_METADATA!$B$4),IF(DATOS!$G18200="EX",1,IF(DATOS!$G18200="OR",--(COUNTIFS(nNIA,DATOS!$A18200,nCURSO,DATOS!$D18200,nESPEC,DATOS!$E18200,nASIG,DATOS!$I18200,nEVAL,"EX")=0),0))))</f>
      </c>
      <c r="H18200">
        <f>IF(DATOS!$G18200&lt;&gt;"EX",0,--(COUNTIFS(nNIA,DATOS!$A18200,nCURSO,DATOS!$D18200,nESPEC,DATOS!$E18200,nASIG,DATOS!$I18200,nEVAL,"OR")=0))</f>
      </c>
      <c r="I18200">
        <f>IF(DATOS!$I18200="","",IFERROR(VLOOKUP(DATOS!$I18200,CONFIG_ASIGNATURAS!$B$2:$J$91,9,FALSE()),""))</f>
      </c>
    </row>
    <row r="18201">
      <c r="F18201">
        <f>IF(DATOS!$A18201="","",DATOS!$A18201&amp;"|"&amp;DATOS!$D18201&amp;"|"&amp;DATOS!$E18201&amp;"|"&amp;DATOS!$I18201)</f>
      </c>
      <c r="G18201">
        <f>IF(DATOS!$A18201="",0,IF(CONFIG_METADATA!$B$4&lt;&gt;"OR+EX",--(DATOS!$G18201=CONFIG_METADATA!$B$4),IF(DATOS!$G18201="EX",1,IF(DATOS!$G18201="OR",--(COUNTIFS(nNIA,DATOS!$A18201,nCURSO,DATOS!$D18201,nESPEC,DATOS!$E18201,nASIG,DATOS!$I18201,nEVAL,"EX")=0),0))))</f>
      </c>
      <c r="H18201">
        <f>IF(DATOS!$G18201&lt;&gt;"EX",0,--(COUNTIFS(nNIA,DATOS!$A18201,nCURSO,DATOS!$D18201,nESPEC,DATOS!$E18201,nASIG,DATOS!$I18201,nEVAL,"OR")=0))</f>
      </c>
      <c r="I18201">
        <f>IF(DATOS!$I18201="","",IFERROR(VLOOKUP(DATOS!$I18201,CONFIG_ASIGNATURAS!$B$2:$J$91,9,FALSE()),""))</f>
      </c>
    </row>
    <row r="18202">
      <c r="F18202">
        <f>IF(DATOS!$A18202="","",DATOS!$A18202&amp;"|"&amp;DATOS!$D18202&amp;"|"&amp;DATOS!$E18202&amp;"|"&amp;DATOS!$I18202)</f>
      </c>
      <c r="G18202">
        <f>IF(DATOS!$A18202="",0,IF(CONFIG_METADATA!$B$4&lt;&gt;"OR+EX",--(DATOS!$G18202=CONFIG_METADATA!$B$4),IF(DATOS!$G18202="EX",1,IF(DATOS!$G18202="OR",--(COUNTIFS(nNIA,DATOS!$A18202,nCURSO,DATOS!$D18202,nESPEC,DATOS!$E18202,nASIG,DATOS!$I18202,nEVAL,"EX")=0),0))))</f>
      </c>
      <c r="H18202">
        <f>IF(DATOS!$G18202&lt;&gt;"EX",0,--(COUNTIFS(nNIA,DATOS!$A18202,nCURSO,DATOS!$D18202,nESPEC,DATOS!$E18202,nASIG,DATOS!$I18202,nEVAL,"OR")=0))</f>
      </c>
      <c r="I18202">
        <f>IF(DATOS!$I18202="","",IFERROR(VLOOKUP(DATOS!$I18202,CONFIG_ASIGNATURAS!$B$2:$J$91,9,FALSE()),""))</f>
      </c>
    </row>
    <row r="18203">
      <c r="F18203">
        <f>IF(DATOS!$A18203="","",DATOS!$A18203&amp;"|"&amp;DATOS!$D18203&amp;"|"&amp;DATOS!$E18203&amp;"|"&amp;DATOS!$I18203)</f>
      </c>
      <c r="G18203">
        <f>IF(DATOS!$A18203="",0,IF(CONFIG_METADATA!$B$4&lt;&gt;"OR+EX",--(DATOS!$G18203=CONFIG_METADATA!$B$4),IF(DATOS!$G18203="EX",1,IF(DATOS!$G18203="OR",--(COUNTIFS(nNIA,DATOS!$A18203,nCURSO,DATOS!$D18203,nESPEC,DATOS!$E18203,nASIG,DATOS!$I18203,nEVAL,"EX")=0),0))))</f>
      </c>
      <c r="H18203">
        <f>IF(DATOS!$G18203&lt;&gt;"EX",0,--(COUNTIFS(nNIA,DATOS!$A18203,nCURSO,DATOS!$D18203,nESPEC,DATOS!$E18203,nASIG,DATOS!$I18203,nEVAL,"OR")=0))</f>
      </c>
      <c r="I18203">
        <f>IF(DATOS!$I18203="","",IFERROR(VLOOKUP(DATOS!$I18203,CONFIG_ASIGNATURAS!$B$2:$J$91,9,FALSE()),""))</f>
      </c>
    </row>
    <row r="18204">
      <c r="F18204">
        <f>IF(DATOS!$A18204="","",DATOS!$A18204&amp;"|"&amp;DATOS!$D18204&amp;"|"&amp;DATOS!$E18204&amp;"|"&amp;DATOS!$I18204)</f>
      </c>
      <c r="G18204">
        <f>IF(DATOS!$A18204="",0,IF(CONFIG_METADATA!$B$4&lt;&gt;"OR+EX",--(DATOS!$G18204=CONFIG_METADATA!$B$4),IF(DATOS!$G18204="EX",1,IF(DATOS!$G18204="OR",--(COUNTIFS(nNIA,DATOS!$A18204,nCURSO,DATOS!$D18204,nESPEC,DATOS!$E18204,nASIG,DATOS!$I18204,nEVAL,"EX")=0),0))))</f>
      </c>
      <c r="H18204">
        <f>IF(DATOS!$G18204&lt;&gt;"EX",0,--(COUNTIFS(nNIA,DATOS!$A18204,nCURSO,DATOS!$D18204,nESPEC,DATOS!$E18204,nASIG,DATOS!$I18204,nEVAL,"OR")=0))</f>
      </c>
      <c r="I18204">
        <f>IF(DATOS!$I18204="","",IFERROR(VLOOKUP(DATOS!$I18204,CONFIG_ASIGNATURAS!$B$2:$J$91,9,FALSE()),""))</f>
      </c>
    </row>
    <row r="18205">
      <c r="F18205">
        <f>IF(DATOS!$A18205="","",DATOS!$A18205&amp;"|"&amp;DATOS!$D18205&amp;"|"&amp;DATOS!$E18205&amp;"|"&amp;DATOS!$I18205)</f>
      </c>
      <c r="G18205">
        <f>IF(DATOS!$A18205="",0,IF(CONFIG_METADATA!$B$4&lt;&gt;"OR+EX",--(DATOS!$G18205=CONFIG_METADATA!$B$4),IF(DATOS!$G18205="EX",1,IF(DATOS!$G18205="OR",--(COUNTIFS(nNIA,DATOS!$A18205,nCURSO,DATOS!$D18205,nESPEC,DATOS!$E18205,nASIG,DATOS!$I18205,nEVAL,"EX")=0),0))))</f>
      </c>
      <c r="H18205">
        <f>IF(DATOS!$G18205&lt;&gt;"EX",0,--(COUNTIFS(nNIA,DATOS!$A18205,nCURSO,DATOS!$D18205,nESPEC,DATOS!$E18205,nASIG,DATOS!$I18205,nEVAL,"OR")=0))</f>
      </c>
      <c r="I18205">
        <f>IF(DATOS!$I18205="","",IFERROR(VLOOKUP(DATOS!$I18205,CONFIG_ASIGNATURAS!$B$2:$J$91,9,FALSE()),""))</f>
      </c>
    </row>
    <row r="18206">
      <c r="F18206">
        <f>IF(DATOS!$A18206="","",DATOS!$A18206&amp;"|"&amp;DATOS!$D18206&amp;"|"&amp;DATOS!$E18206&amp;"|"&amp;DATOS!$I18206)</f>
      </c>
      <c r="G18206">
        <f>IF(DATOS!$A18206="",0,IF(CONFIG_METADATA!$B$4&lt;&gt;"OR+EX",--(DATOS!$G18206=CONFIG_METADATA!$B$4),IF(DATOS!$G18206="EX",1,IF(DATOS!$G18206="OR",--(COUNTIFS(nNIA,DATOS!$A18206,nCURSO,DATOS!$D18206,nESPEC,DATOS!$E18206,nASIG,DATOS!$I18206,nEVAL,"EX")=0),0))))</f>
      </c>
      <c r="H18206">
        <f>IF(DATOS!$G18206&lt;&gt;"EX",0,--(COUNTIFS(nNIA,DATOS!$A18206,nCURSO,DATOS!$D18206,nESPEC,DATOS!$E18206,nASIG,DATOS!$I18206,nEVAL,"OR")=0))</f>
      </c>
      <c r="I18206">
        <f>IF(DATOS!$I18206="","",IFERROR(VLOOKUP(DATOS!$I18206,CONFIG_ASIGNATURAS!$B$2:$J$91,9,FALSE()),""))</f>
      </c>
    </row>
    <row r="18207">
      <c r="F18207">
        <f>IF(DATOS!$A18207="","",DATOS!$A18207&amp;"|"&amp;DATOS!$D18207&amp;"|"&amp;DATOS!$E18207&amp;"|"&amp;DATOS!$I18207)</f>
      </c>
      <c r="G18207">
        <f>IF(DATOS!$A18207="",0,IF(CONFIG_METADATA!$B$4&lt;&gt;"OR+EX",--(DATOS!$G18207=CONFIG_METADATA!$B$4),IF(DATOS!$G18207="EX",1,IF(DATOS!$G18207="OR",--(COUNTIFS(nNIA,DATOS!$A18207,nCURSO,DATOS!$D18207,nESPEC,DATOS!$E18207,nASIG,DATOS!$I18207,nEVAL,"EX")=0),0))))</f>
      </c>
      <c r="H18207">
        <f>IF(DATOS!$G18207&lt;&gt;"EX",0,--(COUNTIFS(nNIA,DATOS!$A18207,nCURSO,DATOS!$D18207,nESPEC,DATOS!$E18207,nASIG,DATOS!$I18207,nEVAL,"OR")=0))</f>
      </c>
      <c r="I18207">
        <f>IF(DATOS!$I18207="","",IFERROR(VLOOKUP(DATOS!$I18207,CONFIG_ASIGNATURAS!$B$2:$J$91,9,FALSE()),""))</f>
      </c>
    </row>
    <row r="18208">
      <c r="F18208">
        <f>IF(DATOS!$A18208="","",DATOS!$A18208&amp;"|"&amp;DATOS!$D18208&amp;"|"&amp;DATOS!$E18208&amp;"|"&amp;DATOS!$I18208)</f>
      </c>
      <c r="G18208">
        <f>IF(DATOS!$A18208="",0,IF(CONFIG_METADATA!$B$4&lt;&gt;"OR+EX",--(DATOS!$G18208=CONFIG_METADATA!$B$4),IF(DATOS!$G18208="EX",1,IF(DATOS!$G18208="OR",--(COUNTIFS(nNIA,DATOS!$A18208,nCURSO,DATOS!$D18208,nESPEC,DATOS!$E18208,nASIG,DATOS!$I18208,nEVAL,"EX")=0),0))))</f>
      </c>
      <c r="H18208">
        <f>IF(DATOS!$G18208&lt;&gt;"EX",0,--(COUNTIFS(nNIA,DATOS!$A18208,nCURSO,DATOS!$D18208,nESPEC,DATOS!$E18208,nASIG,DATOS!$I18208,nEVAL,"OR")=0))</f>
      </c>
      <c r="I18208">
        <f>IF(DATOS!$I18208="","",IFERROR(VLOOKUP(DATOS!$I18208,CONFIG_ASIGNATURAS!$B$2:$J$91,9,FALSE()),""))</f>
      </c>
    </row>
    <row r="18209">
      <c r="F18209">
        <f>IF(DATOS!$A18209="","",DATOS!$A18209&amp;"|"&amp;DATOS!$D18209&amp;"|"&amp;DATOS!$E18209&amp;"|"&amp;DATOS!$I18209)</f>
      </c>
      <c r="G18209">
        <f>IF(DATOS!$A18209="",0,IF(CONFIG_METADATA!$B$4&lt;&gt;"OR+EX",--(DATOS!$G18209=CONFIG_METADATA!$B$4),IF(DATOS!$G18209="EX",1,IF(DATOS!$G18209="OR",--(COUNTIFS(nNIA,DATOS!$A18209,nCURSO,DATOS!$D18209,nESPEC,DATOS!$E18209,nASIG,DATOS!$I18209,nEVAL,"EX")=0),0))))</f>
      </c>
      <c r="H18209">
        <f>IF(DATOS!$G18209&lt;&gt;"EX",0,--(COUNTIFS(nNIA,DATOS!$A18209,nCURSO,DATOS!$D18209,nESPEC,DATOS!$E18209,nASIG,DATOS!$I18209,nEVAL,"OR")=0))</f>
      </c>
      <c r="I18209">
        <f>IF(DATOS!$I18209="","",IFERROR(VLOOKUP(DATOS!$I18209,CONFIG_ASIGNATURAS!$B$2:$J$91,9,FALSE()),""))</f>
      </c>
    </row>
    <row r="18210">
      <c r="F18210">
        <f>IF(DATOS!$A18210="","",DATOS!$A18210&amp;"|"&amp;DATOS!$D18210&amp;"|"&amp;DATOS!$E18210&amp;"|"&amp;DATOS!$I18210)</f>
      </c>
      <c r="G18210">
        <f>IF(DATOS!$A18210="",0,IF(CONFIG_METADATA!$B$4&lt;&gt;"OR+EX",--(DATOS!$G18210=CONFIG_METADATA!$B$4),IF(DATOS!$G18210="EX",1,IF(DATOS!$G18210="OR",--(COUNTIFS(nNIA,DATOS!$A18210,nCURSO,DATOS!$D18210,nESPEC,DATOS!$E18210,nASIG,DATOS!$I18210,nEVAL,"EX")=0),0))))</f>
      </c>
      <c r="H18210">
        <f>IF(DATOS!$G18210&lt;&gt;"EX",0,--(COUNTIFS(nNIA,DATOS!$A18210,nCURSO,DATOS!$D18210,nESPEC,DATOS!$E18210,nASIG,DATOS!$I18210,nEVAL,"OR")=0))</f>
      </c>
      <c r="I18210">
        <f>IF(DATOS!$I18210="","",IFERROR(VLOOKUP(DATOS!$I18210,CONFIG_ASIGNATURAS!$B$2:$J$91,9,FALSE()),""))</f>
      </c>
    </row>
    <row r="18211">
      <c r="F18211">
        <f>IF(DATOS!$A18211="","",DATOS!$A18211&amp;"|"&amp;DATOS!$D18211&amp;"|"&amp;DATOS!$E18211&amp;"|"&amp;DATOS!$I18211)</f>
      </c>
      <c r="G18211">
        <f>IF(DATOS!$A18211="",0,IF(CONFIG_METADATA!$B$4&lt;&gt;"OR+EX",--(DATOS!$G18211=CONFIG_METADATA!$B$4),IF(DATOS!$G18211="EX",1,IF(DATOS!$G18211="OR",--(COUNTIFS(nNIA,DATOS!$A18211,nCURSO,DATOS!$D18211,nESPEC,DATOS!$E18211,nASIG,DATOS!$I18211,nEVAL,"EX")=0),0))))</f>
      </c>
      <c r="H18211">
        <f>IF(DATOS!$G18211&lt;&gt;"EX",0,--(COUNTIFS(nNIA,DATOS!$A18211,nCURSO,DATOS!$D18211,nESPEC,DATOS!$E18211,nASIG,DATOS!$I18211,nEVAL,"OR")=0))</f>
      </c>
      <c r="I18211">
        <f>IF(DATOS!$I18211="","",IFERROR(VLOOKUP(DATOS!$I18211,CONFIG_ASIGNATURAS!$B$2:$J$91,9,FALSE()),""))</f>
      </c>
    </row>
    <row r="18212">
      <c r="F18212">
        <f>IF(DATOS!$A18212="","",DATOS!$A18212&amp;"|"&amp;DATOS!$D18212&amp;"|"&amp;DATOS!$E18212&amp;"|"&amp;DATOS!$I18212)</f>
      </c>
      <c r="G18212">
        <f>IF(DATOS!$A18212="",0,IF(CONFIG_METADATA!$B$4&lt;&gt;"OR+EX",--(DATOS!$G18212=CONFIG_METADATA!$B$4),IF(DATOS!$G18212="EX",1,IF(DATOS!$G18212="OR",--(COUNTIFS(nNIA,DATOS!$A18212,nCURSO,DATOS!$D18212,nESPEC,DATOS!$E18212,nASIG,DATOS!$I18212,nEVAL,"EX")=0),0))))</f>
      </c>
      <c r="H18212">
        <f>IF(DATOS!$G18212&lt;&gt;"EX",0,--(COUNTIFS(nNIA,DATOS!$A18212,nCURSO,DATOS!$D18212,nESPEC,DATOS!$E18212,nASIG,DATOS!$I18212,nEVAL,"OR")=0))</f>
      </c>
      <c r="I18212">
        <f>IF(DATOS!$I18212="","",IFERROR(VLOOKUP(DATOS!$I18212,CONFIG_ASIGNATURAS!$B$2:$J$91,9,FALSE()),""))</f>
      </c>
    </row>
    <row r="18213">
      <c r="F18213">
        <f>IF(DATOS!$A18213="","",DATOS!$A18213&amp;"|"&amp;DATOS!$D18213&amp;"|"&amp;DATOS!$E18213&amp;"|"&amp;DATOS!$I18213)</f>
      </c>
      <c r="G18213">
        <f>IF(DATOS!$A18213="",0,IF(CONFIG_METADATA!$B$4&lt;&gt;"OR+EX",--(DATOS!$G18213=CONFIG_METADATA!$B$4),IF(DATOS!$G18213="EX",1,IF(DATOS!$G18213="OR",--(COUNTIFS(nNIA,DATOS!$A18213,nCURSO,DATOS!$D18213,nESPEC,DATOS!$E18213,nASIG,DATOS!$I18213,nEVAL,"EX")=0),0))))</f>
      </c>
      <c r="H18213">
        <f>IF(DATOS!$G18213&lt;&gt;"EX",0,--(COUNTIFS(nNIA,DATOS!$A18213,nCURSO,DATOS!$D18213,nESPEC,DATOS!$E18213,nASIG,DATOS!$I18213,nEVAL,"OR")=0))</f>
      </c>
      <c r="I18213">
        <f>IF(DATOS!$I18213="","",IFERROR(VLOOKUP(DATOS!$I18213,CONFIG_ASIGNATURAS!$B$2:$J$91,9,FALSE()),""))</f>
      </c>
    </row>
    <row r="18214">
      <c r="F18214">
        <f>IF(DATOS!$A18214="","",DATOS!$A18214&amp;"|"&amp;DATOS!$D18214&amp;"|"&amp;DATOS!$E18214&amp;"|"&amp;DATOS!$I18214)</f>
      </c>
      <c r="G18214">
        <f>IF(DATOS!$A18214="",0,IF(CONFIG_METADATA!$B$4&lt;&gt;"OR+EX",--(DATOS!$G18214=CONFIG_METADATA!$B$4),IF(DATOS!$G18214="EX",1,IF(DATOS!$G18214="OR",--(COUNTIFS(nNIA,DATOS!$A18214,nCURSO,DATOS!$D18214,nESPEC,DATOS!$E18214,nASIG,DATOS!$I18214,nEVAL,"EX")=0),0))))</f>
      </c>
      <c r="H18214">
        <f>IF(DATOS!$G18214&lt;&gt;"EX",0,--(COUNTIFS(nNIA,DATOS!$A18214,nCURSO,DATOS!$D18214,nESPEC,DATOS!$E18214,nASIG,DATOS!$I18214,nEVAL,"OR")=0))</f>
      </c>
      <c r="I18214">
        <f>IF(DATOS!$I18214="","",IFERROR(VLOOKUP(DATOS!$I18214,CONFIG_ASIGNATURAS!$B$2:$J$91,9,FALSE()),""))</f>
      </c>
    </row>
    <row r="18215">
      <c r="F18215">
        <f>IF(DATOS!$A18215="","",DATOS!$A18215&amp;"|"&amp;DATOS!$D18215&amp;"|"&amp;DATOS!$E18215&amp;"|"&amp;DATOS!$I18215)</f>
      </c>
      <c r="G18215">
        <f>IF(DATOS!$A18215="",0,IF(CONFIG_METADATA!$B$4&lt;&gt;"OR+EX",--(DATOS!$G18215=CONFIG_METADATA!$B$4),IF(DATOS!$G18215="EX",1,IF(DATOS!$G18215="OR",--(COUNTIFS(nNIA,DATOS!$A18215,nCURSO,DATOS!$D18215,nESPEC,DATOS!$E18215,nASIG,DATOS!$I18215,nEVAL,"EX")=0),0))))</f>
      </c>
      <c r="H18215">
        <f>IF(DATOS!$G18215&lt;&gt;"EX",0,--(COUNTIFS(nNIA,DATOS!$A18215,nCURSO,DATOS!$D18215,nESPEC,DATOS!$E18215,nASIG,DATOS!$I18215,nEVAL,"OR")=0))</f>
      </c>
      <c r="I18215">
        <f>IF(DATOS!$I18215="","",IFERROR(VLOOKUP(DATOS!$I18215,CONFIG_ASIGNATURAS!$B$2:$J$91,9,FALSE()),""))</f>
      </c>
    </row>
    <row r="18216">
      <c r="F18216">
        <f>IF(DATOS!$A18216="","",DATOS!$A18216&amp;"|"&amp;DATOS!$D18216&amp;"|"&amp;DATOS!$E18216&amp;"|"&amp;DATOS!$I18216)</f>
      </c>
      <c r="G18216">
        <f>IF(DATOS!$A18216="",0,IF(CONFIG_METADATA!$B$4&lt;&gt;"OR+EX",--(DATOS!$G18216=CONFIG_METADATA!$B$4),IF(DATOS!$G18216="EX",1,IF(DATOS!$G18216="OR",--(COUNTIFS(nNIA,DATOS!$A18216,nCURSO,DATOS!$D18216,nESPEC,DATOS!$E18216,nASIG,DATOS!$I18216,nEVAL,"EX")=0),0))))</f>
      </c>
      <c r="H18216">
        <f>IF(DATOS!$G18216&lt;&gt;"EX",0,--(COUNTIFS(nNIA,DATOS!$A18216,nCURSO,DATOS!$D18216,nESPEC,DATOS!$E18216,nASIG,DATOS!$I18216,nEVAL,"OR")=0))</f>
      </c>
      <c r="I18216">
        <f>IF(DATOS!$I18216="","",IFERROR(VLOOKUP(DATOS!$I18216,CONFIG_ASIGNATURAS!$B$2:$J$91,9,FALSE()),""))</f>
      </c>
    </row>
    <row r="18217">
      <c r="F18217">
        <f>IF(DATOS!$A18217="","",DATOS!$A18217&amp;"|"&amp;DATOS!$D18217&amp;"|"&amp;DATOS!$E18217&amp;"|"&amp;DATOS!$I18217)</f>
      </c>
      <c r="G18217">
        <f>IF(DATOS!$A18217="",0,IF(CONFIG_METADATA!$B$4&lt;&gt;"OR+EX",--(DATOS!$G18217=CONFIG_METADATA!$B$4),IF(DATOS!$G18217="EX",1,IF(DATOS!$G18217="OR",--(COUNTIFS(nNIA,DATOS!$A18217,nCURSO,DATOS!$D18217,nESPEC,DATOS!$E18217,nASIG,DATOS!$I18217,nEVAL,"EX")=0),0))))</f>
      </c>
      <c r="H18217">
        <f>IF(DATOS!$G18217&lt;&gt;"EX",0,--(COUNTIFS(nNIA,DATOS!$A18217,nCURSO,DATOS!$D18217,nESPEC,DATOS!$E18217,nASIG,DATOS!$I18217,nEVAL,"OR")=0))</f>
      </c>
      <c r="I18217">
        <f>IF(DATOS!$I18217="","",IFERROR(VLOOKUP(DATOS!$I18217,CONFIG_ASIGNATURAS!$B$2:$J$91,9,FALSE()),""))</f>
      </c>
    </row>
    <row r="18218">
      <c r="F18218">
        <f>IF(DATOS!$A18218="","",DATOS!$A18218&amp;"|"&amp;DATOS!$D18218&amp;"|"&amp;DATOS!$E18218&amp;"|"&amp;DATOS!$I18218)</f>
      </c>
      <c r="G18218">
        <f>IF(DATOS!$A18218="",0,IF(CONFIG_METADATA!$B$4&lt;&gt;"OR+EX",--(DATOS!$G18218=CONFIG_METADATA!$B$4),IF(DATOS!$G18218="EX",1,IF(DATOS!$G18218="OR",--(COUNTIFS(nNIA,DATOS!$A18218,nCURSO,DATOS!$D18218,nESPEC,DATOS!$E18218,nASIG,DATOS!$I18218,nEVAL,"EX")=0),0))))</f>
      </c>
      <c r="H18218">
        <f>IF(DATOS!$G18218&lt;&gt;"EX",0,--(COUNTIFS(nNIA,DATOS!$A18218,nCURSO,DATOS!$D18218,nESPEC,DATOS!$E18218,nASIG,DATOS!$I18218,nEVAL,"OR")=0))</f>
      </c>
      <c r="I18218">
        <f>IF(DATOS!$I18218="","",IFERROR(VLOOKUP(DATOS!$I18218,CONFIG_ASIGNATURAS!$B$2:$J$91,9,FALSE()),""))</f>
      </c>
    </row>
    <row r="18219">
      <c r="F18219">
        <f>IF(DATOS!$A18219="","",DATOS!$A18219&amp;"|"&amp;DATOS!$D18219&amp;"|"&amp;DATOS!$E18219&amp;"|"&amp;DATOS!$I18219)</f>
      </c>
      <c r="G18219">
        <f>IF(DATOS!$A18219="",0,IF(CONFIG_METADATA!$B$4&lt;&gt;"OR+EX",--(DATOS!$G18219=CONFIG_METADATA!$B$4),IF(DATOS!$G18219="EX",1,IF(DATOS!$G18219="OR",--(COUNTIFS(nNIA,DATOS!$A18219,nCURSO,DATOS!$D18219,nESPEC,DATOS!$E18219,nASIG,DATOS!$I18219,nEVAL,"EX")=0),0))))</f>
      </c>
      <c r="H18219">
        <f>IF(DATOS!$G18219&lt;&gt;"EX",0,--(COUNTIFS(nNIA,DATOS!$A18219,nCURSO,DATOS!$D18219,nESPEC,DATOS!$E18219,nASIG,DATOS!$I18219,nEVAL,"OR")=0))</f>
      </c>
      <c r="I18219">
        <f>IF(DATOS!$I18219="","",IFERROR(VLOOKUP(DATOS!$I18219,CONFIG_ASIGNATURAS!$B$2:$J$91,9,FALSE()),""))</f>
      </c>
    </row>
    <row r="18220">
      <c r="F18220">
        <f>IF(DATOS!$A18220="","",DATOS!$A18220&amp;"|"&amp;DATOS!$D18220&amp;"|"&amp;DATOS!$E18220&amp;"|"&amp;DATOS!$I18220)</f>
      </c>
      <c r="G18220">
        <f>IF(DATOS!$A18220="",0,IF(CONFIG_METADATA!$B$4&lt;&gt;"OR+EX",--(DATOS!$G18220=CONFIG_METADATA!$B$4),IF(DATOS!$G18220="EX",1,IF(DATOS!$G18220="OR",--(COUNTIFS(nNIA,DATOS!$A18220,nCURSO,DATOS!$D18220,nESPEC,DATOS!$E18220,nASIG,DATOS!$I18220,nEVAL,"EX")=0),0))))</f>
      </c>
      <c r="H18220">
        <f>IF(DATOS!$G18220&lt;&gt;"EX",0,--(COUNTIFS(nNIA,DATOS!$A18220,nCURSO,DATOS!$D18220,nESPEC,DATOS!$E18220,nASIG,DATOS!$I18220,nEVAL,"OR")=0))</f>
      </c>
      <c r="I18220">
        <f>IF(DATOS!$I18220="","",IFERROR(VLOOKUP(DATOS!$I18220,CONFIG_ASIGNATURAS!$B$2:$J$91,9,FALSE()),""))</f>
      </c>
    </row>
    <row r="18221">
      <c r="F18221">
        <f>IF(DATOS!$A18221="","",DATOS!$A18221&amp;"|"&amp;DATOS!$D18221&amp;"|"&amp;DATOS!$E18221&amp;"|"&amp;DATOS!$I18221)</f>
      </c>
      <c r="G18221">
        <f>IF(DATOS!$A18221="",0,IF(CONFIG_METADATA!$B$4&lt;&gt;"OR+EX",--(DATOS!$G18221=CONFIG_METADATA!$B$4),IF(DATOS!$G18221="EX",1,IF(DATOS!$G18221="OR",--(COUNTIFS(nNIA,DATOS!$A18221,nCURSO,DATOS!$D18221,nESPEC,DATOS!$E18221,nASIG,DATOS!$I18221,nEVAL,"EX")=0),0))))</f>
      </c>
      <c r="H18221">
        <f>IF(DATOS!$G18221&lt;&gt;"EX",0,--(COUNTIFS(nNIA,DATOS!$A18221,nCURSO,DATOS!$D18221,nESPEC,DATOS!$E18221,nASIG,DATOS!$I18221,nEVAL,"OR")=0))</f>
      </c>
      <c r="I18221">
        <f>IF(DATOS!$I18221="","",IFERROR(VLOOKUP(DATOS!$I18221,CONFIG_ASIGNATURAS!$B$2:$J$91,9,FALSE()),""))</f>
      </c>
    </row>
    <row r="18222">
      <c r="F18222">
        <f>IF(DATOS!$A18222="","",DATOS!$A18222&amp;"|"&amp;DATOS!$D18222&amp;"|"&amp;DATOS!$E18222&amp;"|"&amp;DATOS!$I18222)</f>
      </c>
      <c r="G18222">
        <f>IF(DATOS!$A18222="",0,IF(CONFIG_METADATA!$B$4&lt;&gt;"OR+EX",--(DATOS!$G18222=CONFIG_METADATA!$B$4),IF(DATOS!$G18222="EX",1,IF(DATOS!$G18222="OR",--(COUNTIFS(nNIA,DATOS!$A18222,nCURSO,DATOS!$D18222,nESPEC,DATOS!$E18222,nASIG,DATOS!$I18222,nEVAL,"EX")=0),0))))</f>
      </c>
      <c r="H18222">
        <f>IF(DATOS!$G18222&lt;&gt;"EX",0,--(COUNTIFS(nNIA,DATOS!$A18222,nCURSO,DATOS!$D18222,nESPEC,DATOS!$E18222,nASIG,DATOS!$I18222,nEVAL,"OR")=0))</f>
      </c>
      <c r="I18222">
        <f>IF(DATOS!$I18222="","",IFERROR(VLOOKUP(DATOS!$I18222,CONFIG_ASIGNATURAS!$B$2:$J$91,9,FALSE()),""))</f>
      </c>
    </row>
    <row r="18223">
      <c r="F18223">
        <f>IF(DATOS!$A18223="","",DATOS!$A18223&amp;"|"&amp;DATOS!$D18223&amp;"|"&amp;DATOS!$E18223&amp;"|"&amp;DATOS!$I18223)</f>
      </c>
      <c r="G18223">
        <f>IF(DATOS!$A18223="",0,IF(CONFIG_METADATA!$B$4&lt;&gt;"OR+EX",--(DATOS!$G18223=CONFIG_METADATA!$B$4),IF(DATOS!$G18223="EX",1,IF(DATOS!$G18223="OR",--(COUNTIFS(nNIA,DATOS!$A18223,nCURSO,DATOS!$D18223,nESPEC,DATOS!$E18223,nASIG,DATOS!$I18223,nEVAL,"EX")=0),0))))</f>
      </c>
      <c r="H18223">
        <f>IF(DATOS!$G18223&lt;&gt;"EX",0,--(COUNTIFS(nNIA,DATOS!$A18223,nCURSO,DATOS!$D18223,nESPEC,DATOS!$E18223,nASIG,DATOS!$I18223,nEVAL,"OR")=0))</f>
      </c>
      <c r="I18223">
        <f>IF(DATOS!$I18223="","",IFERROR(VLOOKUP(DATOS!$I18223,CONFIG_ASIGNATURAS!$B$2:$J$91,9,FALSE()),""))</f>
      </c>
    </row>
    <row r="18224">
      <c r="F18224">
        <f>IF(DATOS!$A18224="","",DATOS!$A18224&amp;"|"&amp;DATOS!$D18224&amp;"|"&amp;DATOS!$E18224&amp;"|"&amp;DATOS!$I18224)</f>
      </c>
      <c r="G18224">
        <f>IF(DATOS!$A18224="",0,IF(CONFIG_METADATA!$B$4&lt;&gt;"OR+EX",--(DATOS!$G18224=CONFIG_METADATA!$B$4),IF(DATOS!$G18224="EX",1,IF(DATOS!$G18224="OR",--(COUNTIFS(nNIA,DATOS!$A18224,nCURSO,DATOS!$D18224,nESPEC,DATOS!$E18224,nASIG,DATOS!$I18224,nEVAL,"EX")=0),0))))</f>
      </c>
      <c r="H18224">
        <f>IF(DATOS!$G18224&lt;&gt;"EX",0,--(COUNTIFS(nNIA,DATOS!$A18224,nCURSO,DATOS!$D18224,nESPEC,DATOS!$E18224,nASIG,DATOS!$I18224,nEVAL,"OR")=0))</f>
      </c>
      <c r="I18224">
        <f>IF(DATOS!$I18224="","",IFERROR(VLOOKUP(DATOS!$I18224,CONFIG_ASIGNATURAS!$B$2:$J$91,9,FALSE()),""))</f>
      </c>
    </row>
    <row r="18225">
      <c r="F18225">
        <f>IF(DATOS!$A18225="","",DATOS!$A18225&amp;"|"&amp;DATOS!$D18225&amp;"|"&amp;DATOS!$E18225&amp;"|"&amp;DATOS!$I18225)</f>
      </c>
      <c r="G18225">
        <f>IF(DATOS!$A18225="",0,IF(CONFIG_METADATA!$B$4&lt;&gt;"OR+EX",--(DATOS!$G18225=CONFIG_METADATA!$B$4),IF(DATOS!$G18225="EX",1,IF(DATOS!$G18225="OR",--(COUNTIFS(nNIA,DATOS!$A18225,nCURSO,DATOS!$D18225,nESPEC,DATOS!$E18225,nASIG,DATOS!$I18225,nEVAL,"EX")=0),0))))</f>
      </c>
      <c r="H18225">
        <f>IF(DATOS!$G18225&lt;&gt;"EX",0,--(COUNTIFS(nNIA,DATOS!$A18225,nCURSO,DATOS!$D18225,nESPEC,DATOS!$E18225,nASIG,DATOS!$I18225,nEVAL,"OR")=0))</f>
      </c>
      <c r="I18225">
        <f>IF(DATOS!$I18225="","",IFERROR(VLOOKUP(DATOS!$I18225,CONFIG_ASIGNATURAS!$B$2:$J$91,9,FALSE()),""))</f>
      </c>
    </row>
    <row r="18226">
      <c r="F18226">
        <f>IF(DATOS!$A18226="","",DATOS!$A18226&amp;"|"&amp;DATOS!$D18226&amp;"|"&amp;DATOS!$E18226&amp;"|"&amp;DATOS!$I18226)</f>
      </c>
      <c r="G18226">
        <f>IF(DATOS!$A18226="",0,IF(CONFIG_METADATA!$B$4&lt;&gt;"OR+EX",--(DATOS!$G18226=CONFIG_METADATA!$B$4),IF(DATOS!$G18226="EX",1,IF(DATOS!$G18226="OR",--(COUNTIFS(nNIA,DATOS!$A18226,nCURSO,DATOS!$D18226,nESPEC,DATOS!$E18226,nASIG,DATOS!$I18226,nEVAL,"EX")=0),0))))</f>
      </c>
      <c r="H18226">
        <f>IF(DATOS!$G18226&lt;&gt;"EX",0,--(COUNTIFS(nNIA,DATOS!$A18226,nCURSO,DATOS!$D18226,nESPEC,DATOS!$E18226,nASIG,DATOS!$I18226,nEVAL,"OR")=0))</f>
      </c>
      <c r="I18226">
        <f>IF(DATOS!$I18226="","",IFERROR(VLOOKUP(DATOS!$I18226,CONFIG_ASIGNATURAS!$B$2:$J$91,9,FALSE()),""))</f>
      </c>
    </row>
    <row r="18227">
      <c r="F18227">
        <f>IF(DATOS!$A18227="","",DATOS!$A18227&amp;"|"&amp;DATOS!$D18227&amp;"|"&amp;DATOS!$E18227&amp;"|"&amp;DATOS!$I18227)</f>
      </c>
      <c r="G18227">
        <f>IF(DATOS!$A18227="",0,IF(CONFIG_METADATA!$B$4&lt;&gt;"OR+EX",--(DATOS!$G18227=CONFIG_METADATA!$B$4),IF(DATOS!$G18227="EX",1,IF(DATOS!$G18227="OR",--(COUNTIFS(nNIA,DATOS!$A18227,nCURSO,DATOS!$D18227,nESPEC,DATOS!$E18227,nASIG,DATOS!$I18227,nEVAL,"EX")=0),0))))</f>
      </c>
      <c r="H18227">
        <f>IF(DATOS!$G18227&lt;&gt;"EX",0,--(COUNTIFS(nNIA,DATOS!$A18227,nCURSO,DATOS!$D18227,nESPEC,DATOS!$E18227,nASIG,DATOS!$I18227,nEVAL,"OR")=0))</f>
      </c>
      <c r="I18227">
        <f>IF(DATOS!$I18227="","",IFERROR(VLOOKUP(DATOS!$I18227,CONFIG_ASIGNATURAS!$B$2:$J$91,9,FALSE()),""))</f>
      </c>
    </row>
    <row r="18228">
      <c r="F18228">
        <f>IF(DATOS!$A18228="","",DATOS!$A18228&amp;"|"&amp;DATOS!$D18228&amp;"|"&amp;DATOS!$E18228&amp;"|"&amp;DATOS!$I18228)</f>
      </c>
      <c r="G18228">
        <f>IF(DATOS!$A18228="",0,IF(CONFIG_METADATA!$B$4&lt;&gt;"OR+EX",--(DATOS!$G18228=CONFIG_METADATA!$B$4),IF(DATOS!$G18228="EX",1,IF(DATOS!$G18228="OR",--(COUNTIFS(nNIA,DATOS!$A18228,nCURSO,DATOS!$D18228,nESPEC,DATOS!$E18228,nASIG,DATOS!$I18228,nEVAL,"EX")=0),0))))</f>
      </c>
      <c r="H18228">
        <f>IF(DATOS!$G18228&lt;&gt;"EX",0,--(COUNTIFS(nNIA,DATOS!$A18228,nCURSO,DATOS!$D18228,nESPEC,DATOS!$E18228,nASIG,DATOS!$I18228,nEVAL,"OR")=0))</f>
      </c>
      <c r="I18228">
        <f>IF(DATOS!$I18228="","",IFERROR(VLOOKUP(DATOS!$I18228,CONFIG_ASIGNATURAS!$B$2:$J$91,9,FALSE()),""))</f>
      </c>
    </row>
    <row r="18229">
      <c r="F18229">
        <f>IF(DATOS!$A18229="","",DATOS!$A18229&amp;"|"&amp;DATOS!$D18229&amp;"|"&amp;DATOS!$E18229&amp;"|"&amp;DATOS!$I18229)</f>
      </c>
      <c r="G18229">
        <f>IF(DATOS!$A18229="",0,IF(CONFIG_METADATA!$B$4&lt;&gt;"OR+EX",--(DATOS!$G18229=CONFIG_METADATA!$B$4),IF(DATOS!$G18229="EX",1,IF(DATOS!$G18229="OR",--(COUNTIFS(nNIA,DATOS!$A18229,nCURSO,DATOS!$D18229,nESPEC,DATOS!$E18229,nASIG,DATOS!$I18229,nEVAL,"EX")=0),0))))</f>
      </c>
      <c r="H18229">
        <f>IF(DATOS!$G18229&lt;&gt;"EX",0,--(COUNTIFS(nNIA,DATOS!$A18229,nCURSO,DATOS!$D18229,nESPEC,DATOS!$E18229,nASIG,DATOS!$I18229,nEVAL,"OR")=0))</f>
      </c>
      <c r="I18229">
        <f>IF(DATOS!$I18229="","",IFERROR(VLOOKUP(DATOS!$I18229,CONFIG_ASIGNATURAS!$B$2:$J$91,9,FALSE()),""))</f>
      </c>
    </row>
    <row r="18230">
      <c r="F18230">
        <f>IF(DATOS!$A18230="","",DATOS!$A18230&amp;"|"&amp;DATOS!$D18230&amp;"|"&amp;DATOS!$E18230&amp;"|"&amp;DATOS!$I18230)</f>
      </c>
      <c r="G18230">
        <f>IF(DATOS!$A18230="",0,IF(CONFIG_METADATA!$B$4&lt;&gt;"OR+EX",--(DATOS!$G18230=CONFIG_METADATA!$B$4),IF(DATOS!$G18230="EX",1,IF(DATOS!$G18230="OR",--(COUNTIFS(nNIA,DATOS!$A18230,nCURSO,DATOS!$D18230,nESPEC,DATOS!$E18230,nASIG,DATOS!$I18230,nEVAL,"EX")=0),0))))</f>
      </c>
      <c r="H18230">
        <f>IF(DATOS!$G18230&lt;&gt;"EX",0,--(COUNTIFS(nNIA,DATOS!$A18230,nCURSO,DATOS!$D18230,nESPEC,DATOS!$E18230,nASIG,DATOS!$I18230,nEVAL,"OR")=0))</f>
      </c>
      <c r="I18230">
        <f>IF(DATOS!$I18230="","",IFERROR(VLOOKUP(DATOS!$I18230,CONFIG_ASIGNATURAS!$B$2:$J$91,9,FALSE()),""))</f>
      </c>
    </row>
    <row r="18231">
      <c r="F18231">
        <f>IF(DATOS!$A18231="","",DATOS!$A18231&amp;"|"&amp;DATOS!$D18231&amp;"|"&amp;DATOS!$E18231&amp;"|"&amp;DATOS!$I18231)</f>
      </c>
      <c r="G18231">
        <f>IF(DATOS!$A18231="",0,IF(CONFIG_METADATA!$B$4&lt;&gt;"OR+EX",--(DATOS!$G18231=CONFIG_METADATA!$B$4),IF(DATOS!$G18231="EX",1,IF(DATOS!$G18231="OR",--(COUNTIFS(nNIA,DATOS!$A18231,nCURSO,DATOS!$D18231,nESPEC,DATOS!$E18231,nASIG,DATOS!$I18231,nEVAL,"EX")=0),0))))</f>
      </c>
      <c r="H18231">
        <f>IF(DATOS!$G18231&lt;&gt;"EX",0,--(COUNTIFS(nNIA,DATOS!$A18231,nCURSO,DATOS!$D18231,nESPEC,DATOS!$E18231,nASIG,DATOS!$I18231,nEVAL,"OR")=0))</f>
      </c>
      <c r="I18231">
        <f>IF(DATOS!$I18231="","",IFERROR(VLOOKUP(DATOS!$I18231,CONFIG_ASIGNATURAS!$B$2:$J$91,9,FALSE()),""))</f>
      </c>
    </row>
    <row r="18232">
      <c r="F18232">
        <f>IF(DATOS!$A18232="","",DATOS!$A18232&amp;"|"&amp;DATOS!$D18232&amp;"|"&amp;DATOS!$E18232&amp;"|"&amp;DATOS!$I18232)</f>
      </c>
      <c r="G18232">
        <f>IF(DATOS!$A18232="",0,IF(CONFIG_METADATA!$B$4&lt;&gt;"OR+EX",--(DATOS!$G18232=CONFIG_METADATA!$B$4),IF(DATOS!$G18232="EX",1,IF(DATOS!$G18232="OR",--(COUNTIFS(nNIA,DATOS!$A18232,nCURSO,DATOS!$D18232,nESPEC,DATOS!$E18232,nASIG,DATOS!$I18232,nEVAL,"EX")=0),0))))</f>
      </c>
      <c r="H18232">
        <f>IF(DATOS!$G18232&lt;&gt;"EX",0,--(COUNTIFS(nNIA,DATOS!$A18232,nCURSO,DATOS!$D18232,nESPEC,DATOS!$E18232,nASIG,DATOS!$I18232,nEVAL,"OR")=0))</f>
      </c>
      <c r="I18232">
        <f>IF(DATOS!$I18232="","",IFERROR(VLOOKUP(DATOS!$I18232,CONFIG_ASIGNATURAS!$B$2:$J$91,9,FALSE()),""))</f>
      </c>
    </row>
    <row r="18233">
      <c r="F18233">
        <f>IF(DATOS!$A18233="","",DATOS!$A18233&amp;"|"&amp;DATOS!$D18233&amp;"|"&amp;DATOS!$E18233&amp;"|"&amp;DATOS!$I18233)</f>
      </c>
      <c r="G18233">
        <f>IF(DATOS!$A18233="",0,IF(CONFIG_METADATA!$B$4&lt;&gt;"OR+EX",--(DATOS!$G18233=CONFIG_METADATA!$B$4),IF(DATOS!$G18233="EX",1,IF(DATOS!$G18233="OR",--(COUNTIFS(nNIA,DATOS!$A18233,nCURSO,DATOS!$D18233,nESPEC,DATOS!$E18233,nASIG,DATOS!$I18233,nEVAL,"EX")=0),0))))</f>
      </c>
      <c r="H18233">
        <f>IF(DATOS!$G18233&lt;&gt;"EX",0,--(COUNTIFS(nNIA,DATOS!$A18233,nCURSO,DATOS!$D18233,nESPEC,DATOS!$E18233,nASIG,DATOS!$I18233,nEVAL,"OR")=0))</f>
      </c>
      <c r="I18233">
        <f>IF(DATOS!$I18233="","",IFERROR(VLOOKUP(DATOS!$I18233,CONFIG_ASIGNATURAS!$B$2:$J$91,9,FALSE()),""))</f>
      </c>
    </row>
    <row r="18234">
      <c r="F18234">
        <f>IF(DATOS!$A18234="","",DATOS!$A18234&amp;"|"&amp;DATOS!$D18234&amp;"|"&amp;DATOS!$E18234&amp;"|"&amp;DATOS!$I18234)</f>
      </c>
      <c r="G18234">
        <f>IF(DATOS!$A18234="",0,IF(CONFIG_METADATA!$B$4&lt;&gt;"OR+EX",--(DATOS!$G18234=CONFIG_METADATA!$B$4),IF(DATOS!$G18234="EX",1,IF(DATOS!$G18234="OR",--(COUNTIFS(nNIA,DATOS!$A18234,nCURSO,DATOS!$D18234,nESPEC,DATOS!$E18234,nASIG,DATOS!$I18234,nEVAL,"EX")=0),0))))</f>
      </c>
      <c r="H18234">
        <f>IF(DATOS!$G18234&lt;&gt;"EX",0,--(COUNTIFS(nNIA,DATOS!$A18234,nCURSO,DATOS!$D18234,nESPEC,DATOS!$E18234,nASIG,DATOS!$I18234,nEVAL,"OR")=0))</f>
      </c>
      <c r="I18234">
        <f>IF(DATOS!$I18234="","",IFERROR(VLOOKUP(DATOS!$I18234,CONFIG_ASIGNATURAS!$B$2:$J$91,9,FALSE()),""))</f>
      </c>
    </row>
    <row r="18235">
      <c r="F18235">
        <f>IF(DATOS!$A18235="","",DATOS!$A18235&amp;"|"&amp;DATOS!$D18235&amp;"|"&amp;DATOS!$E18235&amp;"|"&amp;DATOS!$I18235)</f>
      </c>
      <c r="G18235">
        <f>IF(DATOS!$A18235="",0,IF(CONFIG_METADATA!$B$4&lt;&gt;"OR+EX",--(DATOS!$G18235=CONFIG_METADATA!$B$4),IF(DATOS!$G18235="EX",1,IF(DATOS!$G18235="OR",--(COUNTIFS(nNIA,DATOS!$A18235,nCURSO,DATOS!$D18235,nESPEC,DATOS!$E18235,nASIG,DATOS!$I18235,nEVAL,"EX")=0),0))))</f>
      </c>
      <c r="H18235">
        <f>IF(DATOS!$G18235&lt;&gt;"EX",0,--(COUNTIFS(nNIA,DATOS!$A18235,nCURSO,DATOS!$D18235,nESPEC,DATOS!$E18235,nASIG,DATOS!$I18235,nEVAL,"OR")=0))</f>
      </c>
      <c r="I18235">
        <f>IF(DATOS!$I18235="","",IFERROR(VLOOKUP(DATOS!$I18235,CONFIG_ASIGNATURAS!$B$2:$J$91,9,FALSE()),""))</f>
      </c>
    </row>
    <row r="18236">
      <c r="F18236">
        <f>IF(DATOS!$A18236="","",DATOS!$A18236&amp;"|"&amp;DATOS!$D18236&amp;"|"&amp;DATOS!$E18236&amp;"|"&amp;DATOS!$I18236)</f>
      </c>
      <c r="G18236">
        <f>IF(DATOS!$A18236="",0,IF(CONFIG_METADATA!$B$4&lt;&gt;"OR+EX",--(DATOS!$G18236=CONFIG_METADATA!$B$4),IF(DATOS!$G18236="EX",1,IF(DATOS!$G18236="OR",--(COUNTIFS(nNIA,DATOS!$A18236,nCURSO,DATOS!$D18236,nESPEC,DATOS!$E18236,nASIG,DATOS!$I18236,nEVAL,"EX")=0),0))))</f>
      </c>
      <c r="H18236">
        <f>IF(DATOS!$G18236&lt;&gt;"EX",0,--(COUNTIFS(nNIA,DATOS!$A18236,nCURSO,DATOS!$D18236,nESPEC,DATOS!$E18236,nASIG,DATOS!$I18236,nEVAL,"OR")=0))</f>
      </c>
      <c r="I18236">
        <f>IF(DATOS!$I18236="","",IFERROR(VLOOKUP(DATOS!$I18236,CONFIG_ASIGNATURAS!$B$2:$J$91,9,FALSE()),""))</f>
      </c>
    </row>
    <row r="18237">
      <c r="F18237">
        <f>IF(DATOS!$A18237="","",DATOS!$A18237&amp;"|"&amp;DATOS!$D18237&amp;"|"&amp;DATOS!$E18237&amp;"|"&amp;DATOS!$I18237)</f>
      </c>
      <c r="G18237">
        <f>IF(DATOS!$A18237="",0,IF(CONFIG_METADATA!$B$4&lt;&gt;"OR+EX",--(DATOS!$G18237=CONFIG_METADATA!$B$4),IF(DATOS!$G18237="EX",1,IF(DATOS!$G18237="OR",--(COUNTIFS(nNIA,DATOS!$A18237,nCURSO,DATOS!$D18237,nESPEC,DATOS!$E18237,nASIG,DATOS!$I18237,nEVAL,"EX")=0),0))))</f>
      </c>
      <c r="H18237">
        <f>IF(DATOS!$G18237&lt;&gt;"EX",0,--(COUNTIFS(nNIA,DATOS!$A18237,nCURSO,DATOS!$D18237,nESPEC,DATOS!$E18237,nASIG,DATOS!$I18237,nEVAL,"OR")=0))</f>
      </c>
      <c r="I18237">
        <f>IF(DATOS!$I18237="","",IFERROR(VLOOKUP(DATOS!$I18237,CONFIG_ASIGNATURAS!$B$2:$J$91,9,FALSE()),""))</f>
      </c>
    </row>
    <row r="18238">
      <c r="F18238">
        <f>IF(DATOS!$A18238="","",DATOS!$A18238&amp;"|"&amp;DATOS!$D18238&amp;"|"&amp;DATOS!$E18238&amp;"|"&amp;DATOS!$I18238)</f>
      </c>
      <c r="G18238">
        <f>IF(DATOS!$A18238="",0,IF(CONFIG_METADATA!$B$4&lt;&gt;"OR+EX",--(DATOS!$G18238=CONFIG_METADATA!$B$4),IF(DATOS!$G18238="EX",1,IF(DATOS!$G18238="OR",--(COUNTIFS(nNIA,DATOS!$A18238,nCURSO,DATOS!$D18238,nESPEC,DATOS!$E18238,nASIG,DATOS!$I18238,nEVAL,"EX")=0),0))))</f>
      </c>
      <c r="H18238">
        <f>IF(DATOS!$G18238&lt;&gt;"EX",0,--(COUNTIFS(nNIA,DATOS!$A18238,nCURSO,DATOS!$D18238,nESPEC,DATOS!$E18238,nASIG,DATOS!$I18238,nEVAL,"OR")=0))</f>
      </c>
      <c r="I18238">
        <f>IF(DATOS!$I18238="","",IFERROR(VLOOKUP(DATOS!$I18238,CONFIG_ASIGNATURAS!$B$2:$J$91,9,FALSE()),""))</f>
      </c>
    </row>
    <row r="18239">
      <c r="F18239">
        <f>IF(DATOS!$A18239="","",DATOS!$A18239&amp;"|"&amp;DATOS!$D18239&amp;"|"&amp;DATOS!$E18239&amp;"|"&amp;DATOS!$I18239)</f>
      </c>
      <c r="G18239">
        <f>IF(DATOS!$A18239="",0,IF(CONFIG_METADATA!$B$4&lt;&gt;"OR+EX",--(DATOS!$G18239=CONFIG_METADATA!$B$4),IF(DATOS!$G18239="EX",1,IF(DATOS!$G18239="OR",--(COUNTIFS(nNIA,DATOS!$A18239,nCURSO,DATOS!$D18239,nESPEC,DATOS!$E18239,nASIG,DATOS!$I18239,nEVAL,"EX")=0),0))))</f>
      </c>
      <c r="H18239">
        <f>IF(DATOS!$G18239&lt;&gt;"EX",0,--(COUNTIFS(nNIA,DATOS!$A18239,nCURSO,DATOS!$D18239,nESPEC,DATOS!$E18239,nASIG,DATOS!$I18239,nEVAL,"OR")=0))</f>
      </c>
      <c r="I18239">
        <f>IF(DATOS!$I18239="","",IFERROR(VLOOKUP(DATOS!$I18239,CONFIG_ASIGNATURAS!$B$2:$J$91,9,FALSE()),""))</f>
      </c>
    </row>
    <row r="18240">
      <c r="F18240">
        <f>IF(DATOS!$A18240="","",DATOS!$A18240&amp;"|"&amp;DATOS!$D18240&amp;"|"&amp;DATOS!$E18240&amp;"|"&amp;DATOS!$I18240)</f>
      </c>
      <c r="G18240">
        <f>IF(DATOS!$A18240="",0,IF(CONFIG_METADATA!$B$4&lt;&gt;"OR+EX",--(DATOS!$G18240=CONFIG_METADATA!$B$4),IF(DATOS!$G18240="EX",1,IF(DATOS!$G18240="OR",--(COUNTIFS(nNIA,DATOS!$A18240,nCURSO,DATOS!$D18240,nESPEC,DATOS!$E18240,nASIG,DATOS!$I18240,nEVAL,"EX")=0),0))))</f>
      </c>
      <c r="H18240">
        <f>IF(DATOS!$G18240&lt;&gt;"EX",0,--(COUNTIFS(nNIA,DATOS!$A18240,nCURSO,DATOS!$D18240,nESPEC,DATOS!$E18240,nASIG,DATOS!$I18240,nEVAL,"OR")=0))</f>
      </c>
      <c r="I18240">
        <f>IF(DATOS!$I18240="","",IFERROR(VLOOKUP(DATOS!$I18240,CONFIG_ASIGNATURAS!$B$2:$J$91,9,FALSE()),""))</f>
      </c>
    </row>
    <row r="18241">
      <c r="F18241">
        <f>IF(DATOS!$A18241="","",DATOS!$A18241&amp;"|"&amp;DATOS!$D18241&amp;"|"&amp;DATOS!$E18241&amp;"|"&amp;DATOS!$I18241)</f>
      </c>
      <c r="G18241">
        <f>IF(DATOS!$A18241="",0,IF(CONFIG_METADATA!$B$4&lt;&gt;"OR+EX",--(DATOS!$G18241=CONFIG_METADATA!$B$4),IF(DATOS!$G18241="EX",1,IF(DATOS!$G18241="OR",--(COUNTIFS(nNIA,DATOS!$A18241,nCURSO,DATOS!$D18241,nESPEC,DATOS!$E18241,nASIG,DATOS!$I18241,nEVAL,"EX")=0),0))))</f>
      </c>
      <c r="H18241">
        <f>IF(DATOS!$G18241&lt;&gt;"EX",0,--(COUNTIFS(nNIA,DATOS!$A18241,nCURSO,DATOS!$D18241,nESPEC,DATOS!$E18241,nASIG,DATOS!$I18241,nEVAL,"OR")=0))</f>
      </c>
      <c r="I18241">
        <f>IF(DATOS!$I18241="","",IFERROR(VLOOKUP(DATOS!$I18241,CONFIG_ASIGNATURAS!$B$2:$J$91,9,FALSE()),""))</f>
      </c>
    </row>
    <row r="18242">
      <c r="F18242">
        <f>IF(DATOS!$A18242="","",DATOS!$A18242&amp;"|"&amp;DATOS!$D18242&amp;"|"&amp;DATOS!$E18242&amp;"|"&amp;DATOS!$I18242)</f>
      </c>
      <c r="G18242">
        <f>IF(DATOS!$A18242="",0,IF(CONFIG_METADATA!$B$4&lt;&gt;"OR+EX",--(DATOS!$G18242=CONFIG_METADATA!$B$4),IF(DATOS!$G18242="EX",1,IF(DATOS!$G18242="OR",--(COUNTIFS(nNIA,DATOS!$A18242,nCURSO,DATOS!$D18242,nESPEC,DATOS!$E18242,nASIG,DATOS!$I18242,nEVAL,"EX")=0),0))))</f>
      </c>
      <c r="H18242">
        <f>IF(DATOS!$G18242&lt;&gt;"EX",0,--(COUNTIFS(nNIA,DATOS!$A18242,nCURSO,DATOS!$D18242,nESPEC,DATOS!$E18242,nASIG,DATOS!$I18242,nEVAL,"OR")=0))</f>
      </c>
      <c r="I18242">
        <f>IF(DATOS!$I18242="","",IFERROR(VLOOKUP(DATOS!$I18242,CONFIG_ASIGNATURAS!$B$2:$J$91,9,FALSE()),""))</f>
      </c>
    </row>
    <row r="18243">
      <c r="F18243">
        <f>IF(DATOS!$A18243="","",DATOS!$A18243&amp;"|"&amp;DATOS!$D18243&amp;"|"&amp;DATOS!$E18243&amp;"|"&amp;DATOS!$I18243)</f>
      </c>
      <c r="G18243">
        <f>IF(DATOS!$A18243="",0,IF(CONFIG_METADATA!$B$4&lt;&gt;"OR+EX",--(DATOS!$G18243=CONFIG_METADATA!$B$4),IF(DATOS!$G18243="EX",1,IF(DATOS!$G18243="OR",--(COUNTIFS(nNIA,DATOS!$A18243,nCURSO,DATOS!$D18243,nESPEC,DATOS!$E18243,nASIG,DATOS!$I18243,nEVAL,"EX")=0),0))))</f>
      </c>
      <c r="H18243">
        <f>IF(DATOS!$G18243&lt;&gt;"EX",0,--(COUNTIFS(nNIA,DATOS!$A18243,nCURSO,DATOS!$D18243,nESPEC,DATOS!$E18243,nASIG,DATOS!$I18243,nEVAL,"OR")=0))</f>
      </c>
      <c r="I18243">
        <f>IF(DATOS!$I18243="","",IFERROR(VLOOKUP(DATOS!$I18243,CONFIG_ASIGNATURAS!$B$2:$J$91,9,FALSE()),""))</f>
      </c>
    </row>
    <row r="18244">
      <c r="F18244">
        <f>IF(DATOS!$A18244="","",DATOS!$A18244&amp;"|"&amp;DATOS!$D18244&amp;"|"&amp;DATOS!$E18244&amp;"|"&amp;DATOS!$I18244)</f>
      </c>
      <c r="G18244">
        <f>IF(DATOS!$A18244="",0,IF(CONFIG_METADATA!$B$4&lt;&gt;"OR+EX",--(DATOS!$G18244=CONFIG_METADATA!$B$4),IF(DATOS!$G18244="EX",1,IF(DATOS!$G18244="OR",--(COUNTIFS(nNIA,DATOS!$A18244,nCURSO,DATOS!$D18244,nESPEC,DATOS!$E18244,nASIG,DATOS!$I18244,nEVAL,"EX")=0),0))))</f>
      </c>
      <c r="H18244">
        <f>IF(DATOS!$G18244&lt;&gt;"EX",0,--(COUNTIFS(nNIA,DATOS!$A18244,nCURSO,DATOS!$D18244,nESPEC,DATOS!$E18244,nASIG,DATOS!$I18244,nEVAL,"OR")=0))</f>
      </c>
      <c r="I18244">
        <f>IF(DATOS!$I18244="","",IFERROR(VLOOKUP(DATOS!$I18244,CONFIG_ASIGNATURAS!$B$2:$J$91,9,FALSE()),""))</f>
      </c>
    </row>
    <row r="18245">
      <c r="F18245">
        <f>IF(DATOS!$A18245="","",DATOS!$A18245&amp;"|"&amp;DATOS!$D18245&amp;"|"&amp;DATOS!$E18245&amp;"|"&amp;DATOS!$I18245)</f>
      </c>
      <c r="G18245">
        <f>IF(DATOS!$A18245="",0,IF(CONFIG_METADATA!$B$4&lt;&gt;"OR+EX",--(DATOS!$G18245=CONFIG_METADATA!$B$4),IF(DATOS!$G18245="EX",1,IF(DATOS!$G18245="OR",--(COUNTIFS(nNIA,DATOS!$A18245,nCURSO,DATOS!$D18245,nESPEC,DATOS!$E18245,nASIG,DATOS!$I18245,nEVAL,"EX")=0),0))))</f>
      </c>
      <c r="H18245">
        <f>IF(DATOS!$G18245&lt;&gt;"EX",0,--(COUNTIFS(nNIA,DATOS!$A18245,nCURSO,DATOS!$D18245,nESPEC,DATOS!$E18245,nASIG,DATOS!$I18245,nEVAL,"OR")=0))</f>
      </c>
      <c r="I18245">
        <f>IF(DATOS!$I18245="","",IFERROR(VLOOKUP(DATOS!$I18245,CONFIG_ASIGNATURAS!$B$2:$J$91,9,FALSE()),""))</f>
      </c>
    </row>
    <row r="18246">
      <c r="F18246">
        <f>IF(DATOS!$A18246="","",DATOS!$A18246&amp;"|"&amp;DATOS!$D18246&amp;"|"&amp;DATOS!$E18246&amp;"|"&amp;DATOS!$I18246)</f>
      </c>
      <c r="G18246">
        <f>IF(DATOS!$A18246="",0,IF(CONFIG_METADATA!$B$4&lt;&gt;"OR+EX",--(DATOS!$G18246=CONFIG_METADATA!$B$4),IF(DATOS!$G18246="EX",1,IF(DATOS!$G18246="OR",--(COUNTIFS(nNIA,DATOS!$A18246,nCURSO,DATOS!$D18246,nESPEC,DATOS!$E18246,nASIG,DATOS!$I18246,nEVAL,"EX")=0),0))))</f>
      </c>
      <c r="H18246">
        <f>IF(DATOS!$G18246&lt;&gt;"EX",0,--(COUNTIFS(nNIA,DATOS!$A18246,nCURSO,DATOS!$D18246,nESPEC,DATOS!$E18246,nASIG,DATOS!$I18246,nEVAL,"OR")=0))</f>
      </c>
      <c r="I18246">
        <f>IF(DATOS!$I18246="","",IFERROR(VLOOKUP(DATOS!$I18246,CONFIG_ASIGNATURAS!$B$2:$J$91,9,FALSE()),""))</f>
      </c>
    </row>
    <row r="18247">
      <c r="F18247">
        <f>IF(DATOS!$A18247="","",DATOS!$A18247&amp;"|"&amp;DATOS!$D18247&amp;"|"&amp;DATOS!$E18247&amp;"|"&amp;DATOS!$I18247)</f>
      </c>
      <c r="G18247">
        <f>IF(DATOS!$A18247="",0,IF(CONFIG_METADATA!$B$4&lt;&gt;"OR+EX",--(DATOS!$G18247=CONFIG_METADATA!$B$4),IF(DATOS!$G18247="EX",1,IF(DATOS!$G18247="OR",--(COUNTIFS(nNIA,DATOS!$A18247,nCURSO,DATOS!$D18247,nESPEC,DATOS!$E18247,nASIG,DATOS!$I18247,nEVAL,"EX")=0),0))))</f>
      </c>
      <c r="H18247">
        <f>IF(DATOS!$G18247&lt;&gt;"EX",0,--(COUNTIFS(nNIA,DATOS!$A18247,nCURSO,DATOS!$D18247,nESPEC,DATOS!$E18247,nASIG,DATOS!$I18247,nEVAL,"OR")=0))</f>
      </c>
      <c r="I18247">
        <f>IF(DATOS!$I18247="","",IFERROR(VLOOKUP(DATOS!$I18247,CONFIG_ASIGNATURAS!$B$2:$J$91,9,FALSE()),""))</f>
      </c>
    </row>
    <row r="18248">
      <c r="F18248">
        <f>IF(DATOS!$A18248="","",DATOS!$A18248&amp;"|"&amp;DATOS!$D18248&amp;"|"&amp;DATOS!$E18248&amp;"|"&amp;DATOS!$I18248)</f>
      </c>
      <c r="G18248">
        <f>IF(DATOS!$A18248="",0,IF(CONFIG_METADATA!$B$4&lt;&gt;"OR+EX",--(DATOS!$G18248=CONFIG_METADATA!$B$4),IF(DATOS!$G18248="EX",1,IF(DATOS!$G18248="OR",--(COUNTIFS(nNIA,DATOS!$A18248,nCURSO,DATOS!$D18248,nESPEC,DATOS!$E18248,nASIG,DATOS!$I18248,nEVAL,"EX")=0),0))))</f>
      </c>
      <c r="H18248">
        <f>IF(DATOS!$G18248&lt;&gt;"EX",0,--(COUNTIFS(nNIA,DATOS!$A18248,nCURSO,DATOS!$D18248,nESPEC,DATOS!$E18248,nASIG,DATOS!$I18248,nEVAL,"OR")=0))</f>
      </c>
      <c r="I18248">
        <f>IF(DATOS!$I18248="","",IFERROR(VLOOKUP(DATOS!$I18248,CONFIG_ASIGNATURAS!$B$2:$J$91,9,FALSE()),""))</f>
      </c>
    </row>
    <row r="18249">
      <c r="F18249">
        <f>IF(DATOS!$A18249="","",DATOS!$A18249&amp;"|"&amp;DATOS!$D18249&amp;"|"&amp;DATOS!$E18249&amp;"|"&amp;DATOS!$I18249)</f>
      </c>
      <c r="G18249">
        <f>IF(DATOS!$A18249="",0,IF(CONFIG_METADATA!$B$4&lt;&gt;"OR+EX",--(DATOS!$G18249=CONFIG_METADATA!$B$4),IF(DATOS!$G18249="EX",1,IF(DATOS!$G18249="OR",--(COUNTIFS(nNIA,DATOS!$A18249,nCURSO,DATOS!$D18249,nESPEC,DATOS!$E18249,nASIG,DATOS!$I18249,nEVAL,"EX")=0),0))))</f>
      </c>
      <c r="H18249">
        <f>IF(DATOS!$G18249&lt;&gt;"EX",0,--(COUNTIFS(nNIA,DATOS!$A18249,nCURSO,DATOS!$D18249,nESPEC,DATOS!$E18249,nASIG,DATOS!$I18249,nEVAL,"OR")=0))</f>
      </c>
      <c r="I18249">
        <f>IF(DATOS!$I18249="","",IFERROR(VLOOKUP(DATOS!$I18249,CONFIG_ASIGNATURAS!$B$2:$J$91,9,FALSE()),""))</f>
      </c>
    </row>
    <row r="18250">
      <c r="F18250">
        <f>IF(DATOS!$A18250="","",DATOS!$A18250&amp;"|"&amp;DATOS!$D18250&amp;"|"&amp;DATOS!$E18250&amp;"|"&amp;DATOS!$I18250)</f>
      </c>
      <c r="G18250">
        <f>IF(DATOS!$A18250="",0,IF(CONFIG_METADATA!$B$4&lt;&gt;"OR+EX",--(DATOS!$G18250=CONFIG_METADATA!$B$4),IF(DATOS!$G18250="EX",1,IF(DATOS!$G18250="OR",--(COUNTIFS(nNIA,DATOS!$A18250,nCURSO,DATOS!$D18250,nESPEC,DATOS!$E18250,nASIG,DATOS!$I18250,nEVAL,"EX")=0),0))))</f>
      </c>
      <c r="H18250">
        <f>IF(DATOS!$G18250&lt;&gt;"EX",0,--(COUNTIFS(nNIA,DATOS!$A18250,nCURSO,DATOS!$D18250,nESPEC,DATOS!$E18250,nASIG,DATOS!$I18250,nEVAL,"OR")=0))</f>
      </c>
      <c r="I18250">
        <f>IF(DATOS!$I18250="","",IFERROR(VLOOKUP(DATOS!$I18250,CONFIG_ASIGNATURAS!$B$2:$J$91,9,FALSE()),""))</f>
      </c>
    </row>
    <row r="18251">
      <c r="F18251">
        <f>IF(DATOS!$A18251="","",DATOS!$A18251&amp;"|"&amp;DATOS!$D18251&amp;"|"&amp;DATOS!$E18251&amp;"|"&amp;DATOS!$I18251)</f>
      </c>
      <c r="G18251">
        <f>IF(DATOS!$A18251="",0,IF(CONFIG_METADATA!$B$4&lt;&gt;"OR+EX",--(DATOS!$G18251=CONFIG_METADATA!$B$4),IF(DATOS!$G18251="EX",1,IF(DATOS!$G18251="OR",--(COUNTIFS(nNIA,DATOS!$A18251,nCURSO,DATOS!$D18251,nESPEC,DATOS!$E18251,nASIG,DATOS!$I18251,nEVAL,"EX")=0),0))))</f>
      </c>
      <c r="H18251">
        <f>IF(DATOS!$G18251&lt;&gt;"EX",0,--(COUNTIFS(nNIA,DATOS!$A18251,nCURSO,DATOS!$D18251,nESPEC,DATOS!$E18251,nASIG,DATOS!$I18251,nEVAL,"OR")=0))</f>
      </c>
      <c r="I18251">
        <f>IF(DATOS!$I18251="","",IFERROR(VLOOKUP(DATOS!$I18251,CONFIG_ASIGNATURAS!$B$2:$J$91,9,FALSE()),""))</f>
      </c>
    </row>
    <row r="18252">
      <c r="F18252">
        <f>IF(DATOS!$A18252="","",DATOS!$A18252&amp;"|"&amp;DATOS!$D18252&amp;"|"&amp;DATOS!$E18252&amp;"|"&amp;DATOS!$I18252)</f>
      </c>
      <c r="G18252">
        <f>IF(DATOS!$A18252="",0,IF(CONFIG_METADATA!$B$4&lt;&gt;"OR+EX",--(DATOS!$G18252=CONFIG_METADATA!$B$4),IF(DATOS!$G18252="EX",1,IF(DATOS!$G18252="OR",--(COUNTIFS(nNIA,DATOS!$A18252,nCURSO,DATOS!$D18252,nESPEC,DATOS!$E18252,nASIG,DATOS!$I18252,nEVAL,"EX")=0),0))))</f>
      </c>
      <c r="H18252">
        <f>IF(DATOS!$G18252&lt;&gt;"EX",0,--(COUNTIFS(nNIA,DATOS!$A18252,nCURSO,DATOS!$D18252,nESPEC,DATOS!$E18252,nASIG,DATOS!$I18252,nEVAL,"OR")=0))</f>
      </c>
      <c r="I18252">
        <f>IF(DATOS!$I18252="","",IFERROR(VLOOKUP(DATOS!$I18252,CONFIG_ASIGNATURAS!$B$2:$J$91,9,FALSE()),""))</f>
      </c>
    </row>
    <row r="18253">
      <c r="F18253">
        <f>IF(DATOS!$A18253="","",DATOS!$A18253&amp;"|"&amp;DATOS!$D18253&amp;"|"&amp;DATOS!$E18253&amp;"|"&amp;DATOS!$I18253)</f>
      </c>
      <c r="G18253">
        <f>IF(DATOS!$A18253="",0,IF(CONFIG_METADATA!$B$4&lt;&gt;"OR+EX",--(DATOS!$G18253=CONFIG_METADATA!$B$4),IF(DATOS!$G18253="EX",1,IF(DATOS!$G18253="OR",--(COUNTIFS(nNIA,DATOS!$A18253,nCURSO,DATOS!$D18253,nESPEC,DATOS!$E18253,nASIG,DATOS!$I18253,nEVAL,"EX")=0),0))))</f>
      </c>
      <c r="H18253">
        <f>IF(DATOS!$G18253&lt;&gt;"EX",0,--(COUNTIFS(nNIA,DATOS!$A18253,nCURSO,DATOS!$D18253,nESPEC,DATOS!$E18253,nASIG,DATOS!$I18253,nEVAL,"OR")=0))</f>
      </c>
      <c r="I18253">
        <f>IF(DATOS!$I18253="","",IFERROR(VLOOKUP(DATOS!$I18253,CONFIG_ASIGNATURAS!$B$2:$J$91,9,FALSE()),""))</f>
      </c>
    </row>
    <row r="18254">
      <c r="F18254">
        <f>IF(DATOS!$A18254="","",DATOS!$A18254&amp;"|"&amp;DATOS!$D18254&amp;"|"&amp;DATOS!$E18254&amp;"|"&amp;DATOS!$I18254)</f>
      </c>
      <c r="G18254">
        <f>IF(DATOS!$A18254="",0,IF(CONFIG_METADATA!$B$4&lt;&gt;"OR+EX",--(DATOS!$G18254=CONFIG_METADATA!$B$4),IF(DATOS!$G18254="EX",1,IF(DATOS!$G18254="OR",--(COUNTIFS(nNIA,DATOS!$A18254,nCURSO,DATOS!$D18254,nESPEC,DATOS!$E18254,nASIG,DATOS!$I18254,nEVAL,"EX")=0),0))))</f>
      </c>
      <c r="H18254">
        <f>IF(DATOS!$G18254&lt;&gt;"EX",0,--(COUNTIFS(nNIA,DATOS!$A18254,nCURSO,DATOS!$D18254,nESPEC,DATOS!$E18254,nASIG,DATOS!$I18254,nEVAL,"OR")=0))</f>
      </c>
      <c r="I18254">
        <f>IF(DATOS!$I18254="","",IFERROR(VLOOKUP(DATOS!$I18254,CONFIG_ASIGNATURAS!$B$2:$J$91,9,FALSE()),""))</f>
      </c>
    </row>
    <row r="18255">
      <c r="F18255">
        <f>IF(DATOS!$A18255="","",DATOS!$A18255&amp;"|"&amp;DATOS!$D18255&amp;"|"&amp;DATOS!$E18255&amp;"|"&amp;DATOS!$I18255)</f>
      </c>
      <c r="G18255">
        <f>IF(DATOS!$A18255="",0,IF(CONFIG_METADATA!$B$4&lt;&gt;"OR+EX",--(DATOS!$G18255=CONFIG_METADATA!$B$4),IF(DATOS!$G18255="EX",1,IF(DATOS!$G18255="OR",--(COUNTIFS(nNIA,DATOS!$A18255,nCURSO,DATOS!$D18255,nESPEC,DATOS!$E18255,nASIG,DATOS!$I18255,nEVAL,"EX")=0),0))))</f>
      </c>
      <c r="H18255">
        <f>IF(DATOS!$G18255&lt;&gt;"EX",0,--(COUNTIFS(nNIA,DATOS!$A18255,nCURSO,DATOS!$D18255,nESPEC,DATOS!$E18255,nASIG,DATOS!$I18255,nEVAL,"OR")=0))</f>
      </c>
      <c r="I18255">
        <f>IF(DATOS!$I18255="","",IFERROR(VLOOKUP(DATOS!$I18255,CONFIG_ASIGNATURAS!$B$2:$J$91,9,FALSE()),""))</f>
      </c>
    </row>
    <row r="18256">
      <c r="F18256">
        <f>IF(DATOS!$A18256="","",DATOS!$A18256&amp;"|"&amp;DATOS!$D18256&amp;"|"&amp;DATOS!$E18256&amp;"|"&amp;DATOS!$I18256)</f>
      </c>
      <c r="G18256">
        <f>IF(DATOS!$A18256="",0,IF(CONFIG_METADATA!$B$4&lt;&gt;"OR+EX",--(DATOS!$G18256=CONFIG_METADATA!$B$4),IF(DATOS!$G18256="EX",1,IF(DATOS!$G18256="OR",--(COUNTIFS(nNIA,DATOS!$A18256,nCURSO,DATOS!$D18256,nESPEC,DATOS!$E18256,nASIG,DATOS!$I18256,nEVAL,"EX")=0),0))))</f>
      </c>
      <c r="H18256">
        <f>IF(DATOS!$G18256&lt;&gt;"EX",0,--(COUNTIFS(nNIA,DATOS!$A18256,nCURSO,DATOS!$D18256,nESPEC,DATOS!$E18256,nASIG,DATOS!$I18256,nEVAL,"OR")=0))</f>
      </c>
      <c r="I18256">
        <f>IF(DATOS!$I18256="","",IFERROR(VLOOKUP(DATOS!$I18256,CONFIG_ASIGNATURAS!$B$2:$J$91,9,FALSE()),""))</f>
      </c>
    </row>
    <row r="18257">
      <c r="F18257">
        <f>IF(DATOS!$A18257="","",DATOS!$A18257&amp;"|"&amp;DATOS!$D18257&amp;"|"&amp;DATOS!$E18257&amp;"|"&amp;DATOS!$I18257)</f>
      </c>
      <c r="G18257">
        <f>IF(DATOS!$A18257="",0,IF(CONFIG_METADATA!$B$4&lt;&gt;"OR+EX",--(DATOS!$G18257=CONFIG_METADATA!$B$4),IF(DATOS!$G18257="EX",1,IF(DATOS!$G18257="OR",--(COUNTIFS(nNIA,DATOS!$A18257,nCURSO,DATOS!$D18257,nESPEC,DATOS!$E18257,nASIG,DATOS!$I18257,nEVAL,"EX")=0),0))))</f>
      </c>
      <c r="H18257">
        <f>IF(DATOS!$G18257&lt;&gt;"EX",0,--(COUNTIFS(nNIA,DATOS!$A18257,nCURSO,DATOS!$D18257,nESPEC,DATOS!$E18257,nASIG,DATOS!$I18257,nEVAL,"OR")=0))</f>
      </c>
      <c r="I18257">
        <f>IF(DATOS!$I18257="","",IFERROR(VLOOKUP(DATOS!$I18257,CONFIG_ASIGNATURAS!$B$2:$J$91,9,FALSE()),""))</f>
      </c>
    </row>
    <row r="18258">
      <c r="F18258">
        <f>IF(DATOS!$A18258="","",DATOS!$A18258&amp;"|"&amp;DATOS!$D18258&amp;"|"&amp;DATOS!$E18258&amp;"|"&amp;DATOS!$I18258)</f>
      </c>
      <c r="G18258">
        <f>IF(DATOS!$A18258="",0,IF(CONFIG_METADATA!$B$4&lt;&gt;"OR+EX",--(DATOS!$G18258=CONFIG_METADATA!$B$4),IF(DATOS!$G18258="EX",1,IF(DATOS!$G18258="OR",--(COUNTIFS(nNIA,DATOS!$A18258,nCURSO,DATOS!$D18258,nESPEC,DATOS!$E18258,nASIG,DATOS!$I18258,nEVAL,"EX")=0),0))))</f>
      </c>
      <c r="H18258">
        <f>IF(DATOS!$G18258&lt;&gt;"EX",0,--(COUNTIFS(nNIA,DATOS!$A18258,nCURSO,DATOS!$D18258,nESPEC,DATOS!$E18258,nASIG,DATOS!$I18258,nEVAL,"OR")=0))</f>
      </c>
      <c r="I18258">
        <f>IF(DATOS!$I18258="","",IFERROR(VLOOKUP(DATOS!$I18258,CONFIG_ASIGNATURAS!$B$2:$J$91,9,FALSE()),""))</f>
      </c>
    </row>
    <row r="18259">
      <c r="F18259">
        <f>IF(DATOS!$A18259="","",DATOS!$A18259&amp;"|"&amp;DATOS!$D18259&amp;"|"&amp;DATOS!$E18259&amp;"|"&amp;DATOS!$I18259)</f>
      </c>
      <c r="G18259">
        <f>IF(DATOS!$A18259="",0,IF(CONFIG_METADATA!$B$4&lt;&gt;"OR+EX",--(DATOS!$G18259=CONFIG_METADATA!$B$4),IF(DATOS!$G18259="EX",1,IF(DATOS!$G18259="OR",--(COUNTIFS(nNIA,DATOS!$A18259,nCURSO,DATOS!$D18259,nESPEC,DATOS!$E18259,nASIG,DATOS!$I18259,nEVAL,"EX")=0),0))))</f>
      </c>
      <c r="H18259">
        <f>IF(DATOS!$G18259&lt;&gt;"EX",0,--(COUNTIFS(nNIA,DATOS!$A18259,nCURSO,DATOS!$D18259,nESPEC,DATOS!$E18259,nASIG,DATOS!$I18259,nEVAL,"OR")=0))</f>
      </c>
      <c r="I18259">
        <f>IF(DATOS!$I18259="","",IFERROR(VLOOKUP(DATOS!$I18259,CONFIG_ASIGNATURAS!$B$2:$J$91,9,FALSE()),""))</f>
      </c>
    </row>
    <row r="18260">
      <c r="F18260">
        <f>IF(DATOS!$A18260="","",DATOS!$A18260&amp;"|"&amp;DATOS!$D18260&amp;"|"&amp;DATOS!$E18260&amp;"|"&amp;DATOS!$I18260)</f>
      </c>
      <c r="G18260">
        <f>IF(DATOS!$A18260="",0,IF(CONFIG_METADATA!$B$4&lt;&gt;"OR+EX",--(DATOS!$G18260=CONFIG_METADATA!$B$4),IF(DATOS!$G18260="EX",1,IF(DATOS!$G18260="OR",--(COUNTIFS(nNIA,DATOS!$A18260,nCURSO,DATOS!$D18260,nESPEC,DATOS!$E18260,nASIG,DATOS!$I18260,nEVAL,"EX")=0),0))))</f>
      </c>
      <c r="H18260">
        <f>IF(DATOS!$G18260&lt;&gt;"EX",0,--(COUNTIFS(nNIA,DATOS!$A18260,nCURSO,DATOS!$D18260,nESPEC,DATOS!$E18260,nASIG,DATOS!$I18260,nEVAL,"OR")=0))</f>
      </c>
      <c r="I18260">
        <f>IF(DATOS!$I18260="","",IFERROR(VLOOKUP(DATOS!$I18260,CONFIG_ASIGNATURAS!$B$2:$J$91,9,FALSE()),""))</f>
      </c>
    </row>
    <row r="18261">
      <c r="F18261">
        <f>IF(DATOS!$A18261="","",DATOS!$A18261&amp;"|"&amp;DATOS!$D18261&amp;"|"&amp;DATOS!$E18261&amp;"|"&amp;DATOS!$I18261)</f>
      </c>
      <c r="G18261">
        <f>IF(DATOS!$A18261="",0,IF(CONFIG_METADATA!$B$4&lt;&gt;"OR+EX",--(DATOS!$G18261=CONFIG_METADATA!$B$4),IF(DATOS!$G18261="EX",1,IF(DATOS!$G18261="OR",--(COUNTIFS(nNIA,DATOS!$A18261,nCURSO,DATOS!$D18261,nESPEC,DATOS!$E18261,nASIG,DATOS!$I18261,nEVAL,"EX")=0),0))))</f>
      </c>
      <c r="H18261">
        <f>IF(DATOS!$G18261&lt;&gt;"EX",0,--(COUNTIFS(nNIA,DATOS!$A18261,nCURSO,DATOS!$D18261,nESPEC,DATOS!$E18261,nASIG,DATOS!$I18261,nEVAL,"OR")=0))</f>
      </c>
      <c r="I18261">
        <f>IF(DATOS!$I18261="","",IFERROR(VLOOKUP(DATOS!$I18261,CONFIG_ASIGNATURAS!$B$2:$J$91,9,FALSE()),""))</f>
      </c>
    </row>
    <row r="18262">
      <c r="F18262">
        <f>IF(DATOS!$A18262="","",DATOS!$A18262&amp;"|"&amp;DATOS!$D18262&amp;"|"&amp;DATOS!$E18262&amp;"|"&amp;DATOS!$I18262)</f>
      </c>
      <c r="G18262">
        <f>IF(DATOS!$A18262="",0,IF(CONFIG_METADATA!$B$4&lt;&gt;"OR+EX",--(DATOS!$G18262=CONFIG_METADATA!$B$4),IF(DATOS!$G18262="EX",1,IF(DATOS!$G18262="OR",--(COUNTIFS(nNIA,DATOS!$A18262,nCURSO,DATOS!$D18262,nESPEC,DATOS!$E18262,nASIG,DATOS!$I18262,nEVAL,"EX")=0),0))))</f>
      </c>
      <c r="H18262">
        <f>IF(DATOS!$G18262&lt;&gt;"EX",0,--(COUNTIFS(nNIA,DATOS!$A18262,nCURSO,DATOS!$D18262,nESPEC,DATOS!$E18262,nASIG,DATOS!$I18262,nEVAL,"OR")=0))</f>
      </c>
      <c r="I18262">
        <f>IF(DATOS!$I18262="","",IFERROR(VLOOKUP(DATOS!$I18262,CONFIG_ASIGNATURAS!$B$2:$J$91,9,FALSE()),""))</f>
      </c>
    </row>
    <row r="18263">
      <c r="F18263">
        <f>IF(DATOS!$A18263="","",DATOS!$A18263&amp;"|"&amp;DATOS!$D18263&amp;"|"&amp;DATOS!$E18263&amp;"|"&amp;DATOS!$I18263)</f>
      </c>
      <c r="G18263">
        <f>IF(DATOS!$A18263="",0,IF(CONFIG_METADATA!$B$4&lt;&gt;"OR+EX",--(DATOS!$G18263=CONFIG_METADATA!$B$4),IF(DATOS!$G18263="EX",1,IF(DATOS!$G18263="OR",--(COUNTIFS(nNIA,DATOS!$A18263,nCURSO,DATOS!$D18263,nESPEC,DATOS!$E18263,nASIG,DATOS!$I18263,nEVAL,"EX")=0),0))))</f>
      </c>
      <c r="H18263">
        <f>IF(DATOS!$G18263&lt;&gt;"EX",0,--(COUNTIFS(nNIA,DATOS!$A18263,nCURSO,DATOS!$D18263,nESPEC,DATOS!$E18263,nASIG,DATOS!$I18263,nEVAL,"OR")=0))</f>
      </c>
      <c r="I18263">
        <f>IF(DATOS!$I18263="","",IFERROR(VLOOKUP(DATOS!$I18263,CONFIG_ASIGNATURAS!$B$2:$J$91,9,FALSE()),""))</f>
      </c>
    </row>
    <row r="18264">
      <c r="F18264">
        <f>IF(DATOS!$A18264="","",DATOS!$A18264&amp;"|"&amp;DATOS!$D18264&amp;"|"&amp;DATOS!$E18264&amp;"|"&amp;DATOS!$I18264)</f>
      </c>
      <c r="G18264">
        <f>IF(DATOS!$A18264="",0,IF(CONFIG_METADATA!$B$4&lt;&gt;"OR+EX",--(DATOS!$G18264=CONFIG_METADATA!$B$4),IF(DATOS!$G18264="EX",1,IF(DATOS!$G18264="OR",--(COUNTIFS(nNIA,DATOS!$A18264,nCURSO,DATOS!$D18264,nESPEC,DATOS!$E18264,nASIG,DATOS!$I18264,nEVAL,"EX")=0),0))))</f>
      </c>
      <c r="H18264">
        <f>IF(DATOS!$G18264&lt;&gt;"EX",0,--(COUNTIFS(nNIA,DATOS!$A18264,nCURSO,DATOS!$D18264,nESPEC,DATOS!$E18264,nASIG,DATOS!$I18264,nEVAL,"OR")=0))</f>
      </c>
      <c r="I18264">
        <f>IF(DATOS!$I18264="","",IFERROR(VLOOKUP(DATOS!$I18264,CONFIG_ASIGNATURAS!$B$2:$J$91,9,FALSE()),""))</f>
      </c>
    </row>
    <row r="18265">
      <c r="F18265">
        <f>IF(DATOS!$A18265="","",DATOS!$A18265&amp;"|"&amp;DATOS!$D18265&amp;"|"&amp;DATOS!$E18265&amp;"|"&amp;DATOS!$I18265)</f>
      </c>
      <c r="G18265">
        <f>IF(DATOS!$A18265="",0,IF(CONFIG_METADATA!$B$4&lt;&gt;"OR+EX",--(DATOS!$G18265=CONFIG_METADATA!$B$4),IF(DATOS!$G18265="EX",1,IF(DATOS!$G18265="OR",--(COUNTIFS(nNIA,DATOS!$A18265,nCURSO,DATOS!$D18265,nESPEC,DATOS!$E18265,nASIG,DATOS!$I18265,nEVAL,"EX")=0),0))))</f>
      </c>
      <c r="H18265">
        <f>IF(DATOS!$G18265&lt;&gt;"EX",0,--(COUNTIFS(nNIA,DATOS!$A18265,nCURSO,DATOS!$D18265,nESPEC,DATOS!$E18265,nASIG,DATOS!$I18265,nEVAL,"OR")=0))</f>
      </c>
      <c r="I18265">
        <f>IF(DATOS!$I18265="","",IFERROR(VLOOKUP(DATOS!$I18265,CONFIG_ASIGNATURAS!$B$2:$J$91,9,FALSE()),""))</f>
      </c>
    </row>
    <row r="18266">
      <c r="F18266">
        <f>IF(DATOS!$A18266="","",DATOS!$A18266&amp;"|"&amp;DATOS!$D18266&amp;"|"&amp;DATOS!$E18266&amp;"|"&amp;DATOS!$I18266)</f>
      </c>
      <c r="G18266">
        <f>IF(DATOS!$A18266="",0,IF(CONFIG_METADATA!$B$4&lt;&gt;"OR+EX",--(DATOS!$G18266=CONFIG_METADATA!$B$4),IF(DATOS!$G18266="EX",1,IF(DATOS!$G18266="OR",--(COUNTIFS(nNIA,DATOS!$A18266,nCURSO,DATOS!$D18266,nESPEC,DATOS!$E18266,nASIG,DATOS!$I18266,nEVAL,"EX")=0),0))))</f>
      </c>
      <c r="H18266">
        <f>IF(DATOS!$G18266&lt;&gt;"EX",0,--(COUNTIFS(nNIA,DATOS!$A18266,nCURSO,DATOS!$D18266,nESPEC,DATOS!$E18266,nASIG,DATOS!$I18266,nEVAL,"OR")=0))</f>
      </c>
      <c r="I18266">
        <f>IF(DATOS!$I18266="","",IFERROR(VLOOKUP(DATOS!$I18266,CONFIG_ASIGNATURAS!$B$2:$J$91,9,FALSE()),""))</f>
      </c>
    </row>
    <row r="18267">
      <c r="F18267">
        <f>IF(DATOS!$A18267="","",DATOS!$A18267&amp;"|"&amp;DATOS!$D18267&amp;"|"&amp;DATOS!$E18267&amp;"|"&amp;DATOS!$I18267)</f>
      </c>
      <c r="G18267">
        <f>IF(DATOS!$A18267="",0,IF(CONFIG_METADATA!$B$4&lt;&gt;"OR+EX",--(DATOS!$G18267=CONFIG_METADATA!$B$4),IF(DATOS!$G18267="EX",1,IF(DATOS!$G18267="OR",--(COUNTIFS(nNIA,DATOS!$A18267,nCURSO,DATOS!$D18267,nESPEC,DATOS!$E18267,nASIG,DATOS!$I18267,nEVAL,"EX")=0),0))))</f>
      </c>
      <c r="H18267">
        <f>IF(DATOS!$G18267&lt;&gt;"EX",0,--(COUNTIFS(nNIA,DATOS!$A18267,nCURSO,DATOS!$D18267,nESPEC,DATOS!$E18267,nASIG,DATOS!$I18267,nEVAL,"OR")=0))</f>
      </c>
      <c r="I18267">
        <f>IF(DATOS!$I18267="","",IFERROR(VLOOKUP(DATOS!$I18267,CONFIG_ASIGNATURAS!$B$2:$J$91,9,FALSE()),""))</f>
      </c>
    </row>
    <row r="18268">
      <c r="F18268">
        <f>IF(DATOS!$A18268="","",DATOS!$A18268&amp;"|"&amp;DATOS!$D18268&amp;"|"&amp;DATOS!$E18268&amp;"|"&amp;DATOS!$I18268)</f>
      </c>
      <c r="G18268">
        <f>IF(DATOS!$A18268="",0,IF(CONFIG_METADATA!$B$4&lt;&gt;"OR+EX",--(DATOS!$G18268=CONFIG_METADATA!$B$4),IF(DATOS!$G18268="EX",1,IF(DATOS!$G18268="OR",--(COUNTIFS(nNIA,DATOS!$A18268,nCURSO,DATOS!$D18268,nESPEC,DATOS!$E18268,nASIG,DATOS!$I18268,nEVAL,"EX")=0),0))))</f>
      </c>
      <c r="H18268">
        <f>IF(DATOS!$G18268&lt;&gt;"EX",0,--(COUNTIFS(nNIA,DATOS!$A18268,nCURSO,DATOS!$D18268,nESPEC,DATOS!$E18268,nASIG,DATOS!$I18268,nEVAL,"OR")=0))</f>
      </c>
      <c r="I18268">
        <f>IF(DATOS!$I18268="","",IFERROR(VLOOKUP(DATOS!$I18268,CONFIG_ASIGNATURAS!$B$2:$J$91,9,FALSE()),""))</f>
      </c>
    </row>
    <row r="18269">
      <c r="F18269">
        <f>IF(DATOS!$A18269="","",DATOS!$A18269&amp;"|"&amp;DATOS!$D18269&amp;"|"&amp;DATOS!$E18269&amp;"|"&amp;DATOS!$I18269)</f>
      </c>
      <c r="G18269">
        <f>IF(DATOS!$A18269="",0,IF(CONFIG_METADATA!$B$4&lt;&gt;"OR+EX",--(DATOS!$G18269=CONFIG_METADATA!$B$4),IF(DATOS!$G18269="EX",1,IF(DATOS!$G18269="OR",--(COUNTIFS(nNIA,DATOS!$A18269,nCURSO,DATOS!$D18269,nESPEC,DATOS!$E18269,nASIG,DATOS!$I18269,nEVAL,"EX")=0),0))))</f>
      </c>
      <c r="H18269">
        <f>IF(DATOS!$G18269&lt;&gt;"EX",0,--(COUNTIFS(nNIA,DATOS!$A18269,nCURSO,DATOS!$D18269,nESPEC,DATOS!$E18269,nASIG,DATOS!$I18269,nEVAL,"OR")=0))</f>
      </c>
      <c r="I18269">
        <f>IF(DATOS!$I18269="","",IFERROR(VLOOKUP(DATOS!$I18269,CONFIG_ASIGNATURAS!$B$2:$J$91,9,FALSE()),""))</f>
      </c>
    </row>
    <row r="18270">
      <c r="F18270">
        <f>IF(DATOS!$A18270="","",DATOS!$A18270&amp;"|"&amp;DATOS!$D18270&amp;"|"&amp;DATOS!$E18270&amp;"|"&amp;DATOS!$I18270)</f>
      </c>
      <c r="G18270">
        <f>IF(DATOS!$A18270="",0,IF(CONFIG_METADATA!$B$4&lt;&gt;"OR+EX",--(DATOS!$G18270=CONFIG_METADATA!$B$4),IF(DATOS!$G18270="EX",1,IF(DATOS!$G18270="OR",--(COUNTIFS(nNIA,DATOS!$A18270,nCURSO,DATOS!$D18270,nESPEC,DATOS!$E18270,nASIG,DATOS!$I18270,nEVAL,"EX")=0),0))))</f>
      </c>
      <c r="H18270">
        <f>IF(DATOS!$G18270&lt;&gt;"EX",0,--(COUNTIFS(nNIA,DATOS!$A18270,nCURSO,DATOS!$D18270,nESPEC,DATOS!$E18270,nASIG,DATOS!$I18270,nEVAL,"OR")=0))</f>
      </c>
      <c r="I18270">
        <f>IF(DATOS!$I18270="","",IFERROR(VLOOKUP(DATOS!$I18270,CONFIG_ASIGNATURAS!$B$2:$J$91,9,FALSE()),""))</f>
      </c>
    </row>
    <row r="18271">
      <c r="F18271">
        <f>IF(DATOS!$A18271="","",DATOS!$A18271&amp;"|"&amp;DATOS!$D18271&amp;"|"&amp;DATOS!$E18271&amp;"|"&amp;DATOS!$I18271)</f>
      </c>
      <c r="G18271">
        <f>IF(DATOS!$A18271="",0,IF(CONFIG_METADATA!$B$4&lt;&gt;"OR+EX",--(DATOS!$G18271=CONFIG_METADATA!$B$4),IF(DATOS!$G18271="EX",1,IF(DATOS!$G18271="OR",--(COUNTIFS(nNIA,DATOS!$A18271,nCURSO,DATOS!$D18271,nESPEC,DATOS!$E18271,nASIG,DATOS!$I18271,nEVAL,"EX")=0),0))))</f>
      </c>
      <c r="H18271">
        <f>IF(DATOS!$G18271&lt;&gt;"EX",0,--(COUNTIFS(nNIA,DATOS!$A18271,nCURSO,DATOS!$D18271,nESPEC,DATOS!$E18271,nASIG,DATOS!$I18271,nEVAL,"OR")=0))</f>
      </c>
      <c r="I18271">
        <f>IF(DATOS!$I18271="","",IFERROR(VLOOKUP(DATOS!$I18271,CONFIG_ASIGNATURAS!$B$2:$J$91,9,FALSE()),""))</f>
      </c>
    </row>
    <row r="18272">
      <c r="F18272">
        <f>IF(DATOS!$A18272="","",DATOS!$A18272&amp;"|"&amp;DATOS!$D18272&amp;"|"&amp;DATOS!$E18272&amp;"|"&amp;DATOS!$I18272)</f>
      </c>
      <c r="G18272">
        <f>IF(DATOS!$A18272="",0,IF(CONFIG_METADATA!$B$4&lt;&gt;"OR+EX",--(DATOS!$G18272=CONFIG_METADATA!$B$4),IF(DATOS!$G18272="EX",1,IF(DATOS!$G18272="OR",--(COUNTIFS(nNIA,DATOS!$A18272,nCURSO,DATOS!$D18272,nESPEC,DATOS!$E18272,nASIG,DATOS!$I18272,nEVAL,"EX")=0),0))))</f>
      </c>
      <c r="H18272">
        <f>IF(DATOS!$G18272&lt;&gt;"EX",0,--(COUNTIFS(nNIA,DATOS!$A18272,nCURSO,DATOS!$D18272,nESPEC,DATOS!$E18272,nASIG,DATOS!$I18272,nEVAL,"OR")=0))</f>
      </c>
      <c r="I18272">
        <f>IF(DATOS!$I18272="","",IFERROR(VLOOKUP(DATOS!$I18272,CONFIG_ASIGNATURAS!$B$2:$J$91,9,FALSE()),""))</f>
      </c>
    </row>
    <row r="18273">
      <c r="F18273">
        <f>IF(DATOS!$A18273="","",DATOS!$A18273&amp;"|"&amp;DATOS!$D18273&amp;"|"&amp;DATOS!$E18273&amp;"|"&amp;DATOS!$I18273)</f>
      </c>
      <c r="G18273">
        <f>IF(DATOS!$A18273="",0,IF(CONFIG_METADATA!$B$4&lt;&gt;"OR+EX",--(DATOS!$G18273=CONFIG_METADATA!$B$4),IF(DATOS!$G18273="EX",1,IF(DATOS!$G18273="OR",--(COUNTIFS(nNIA,DATOS!$A18273,nCURSO,DATOS!$D18273,nESPEC,DATOS!$E18273,nASIG,DATOS!$I18273,nEVAL,"EX")=0),0))))</f>
      </c>
      <c r="H18273">
        <f>IF(DATOS!$G18273&lt;&gt;"EX",0,--(COUNTIFS(nNIA,DATOS!$A18273,nCURSO,DATOS!$D18273,nESPEC,DATOS!$E18273,nASIG,DATOS!$I18273,nEVAL,"OR")=0))</f>
      </c>
      <c r="I18273">
        <f>IF(DATOS!$I18273="","",IFERROR(VLOOKUP(DATOS!$I18273,CONFIG_ASIGNATURAS!$B$2:$J$91,9,FALSE()),""))</f>
      </c>
    </row>
    <row r="18274">
      <c r="F18274">
        <f>IF(DATOS!$A18274="","",DATOS!$A18274&amp;"|"&amp;DATOS!$D18274&amp;"|"&amp;DATOS!$E18274&amp;"|"&amp;DATOS!$I18274)</f>
      </c>
      <c r="G18274">
        <f>IF(DATOS!$A18274="",0,IF(CONFIG_METADATA!$B$4&lt;&gt;"OR+EX",--(DATOS!$G18274=CONFIG_METADATA!$B$4),IF(DATOS!$G18274="EX",1,IF(DATOS!$G18274="OR",--(COUNTIFS(nNIA,DATOS!$A18274,nCURSO,DATOS!$D18274,nESPEC,DATOS!$E18274,nASIG,DATOS!$I18274,nEVAL,"EX")=0),0))))</f>
      </c>
      <c r="H18274">
        <f>IF(DATOS!$G18274&lt;&gt;"EX",0,--(COUNTIFS(nNIA,DATOS!$A18274,nCURSO,DATOS!$D18274,nESPEC,DATOS!$E18274,nASIG,DATOS!$I18274,nEVAL,"OR")=0))</f>
      </c>
      <c r="I18274">
        <f>IF(DATOS!$I18274="","",IFERROR(VLOOKUP(DATOS!$I18274,CONFIG_ASIGNATURAS!$B$2:$J$91,9,FALSE()),""))</f>
      </c>
    </row>
    <row r="18275">
      <c r="F18275">
        <f>IF(DATOS!$A18275="","",DATOS!$A18275&amp;"|"&amp;DATOS!$D18275&amp;"|"&amp;DATOS!$E18275&amp;"|"&amp;DATOS!$I18275)</f>
      </c>
      <c r="G18275">
        <f>IF(DATOS!$A18275="",0,IF(CONFIG_METADATA!$B$4&lt;&gt;"OR+EX",--(DATOS!$G18275=CONFIG_METADATA!$B$4),IF(DATOS!$G18275="EX",1,IF(DATOS!$G18275="OR",--(COUNTIFS(nNIA,DATOS!$A18275,nCURSO,DATOS!$D18275,nESPEC,DATOS!$E18275,nASIG,DATOS!$I18275,nEVAL,"EX")=0),0))))</f>
      </c>
      <c r="H18275">
        <f>IF(DATOS!$G18275&lt;&gt;"EX",0,--(COUNTIFS(nNIA,DATOS!$A18275,nCURSO,DATOS!$D18275,nESPEC,DATOS!$E18275,nASIG,DATOS!$I18275,nEVAL,"OR")=0))</f>
      </c>
      <c r="I18275">
        <f>IF(DATOS!$I18275="","",IFERROR(VLOOKUP(DATOS!$I18275,CONFIG_ASIGNATURAS!$B$2:$J$91,9,FALSE()),""))</f>
      </c>
    </row>
    <row r="18276">
      <c r="F18276">
        <f>IF(DATOS!$A18276="","",DATOS!$A18276&amp;"|"&amp;DATOS!$D18276&amp;"|"&amp;DATOS!$E18276&amp;"|"&amp;DATOS!$I18276)</f>
      </c>
      <c r="G18276">
        <f>IF(DATOS!$A18276="",0,IF(CONFIG_METADATA!$B$4&lt;&gt;"OR+EX",--(DATOS!$G18276=CONFIG_METADATA!$B$4),IF(DATOS!$G18276="EX",1,IF(DATOS!$G18276="OR",--(COUNTIFS(nNIA,DATOS!$A18276,nCURSO,DATOS!$D18276,nESPEC,DATOS!$E18276,nASIG,DATOS!$I18276,nEVAL,"EX")=0),0))))</f>
      </c>
      <c r="H18276">
        <f>IF(DATOS!$G18276&lt;&gt;"EX",0,--(COUNTIFS(nNIA,DATOS!$A18276,nCURSO,DATOS!$D18276,nESPEC,DATOS!$E18276,nASIG,DATOS!$I18276,nEVAL,"OR")=0))</f>
      </c>
      <c r="I18276">
        <f>IF(DATOS!$I18276="","",IFERROR(VLOOKUP(DATOS!$I18276,CONFIG_ASIGNATURAS!$B$2:$J$91,9,FALSE()),""))</f>
      </c>
    </row>
    <row r="18277">
      <c r="F18277">
        <f>IF(DATOS!$A18277="","",DATOS!$A18277&amp;"|"&amp;DATOS!$D18277&amp;"|"&amp;DATOS!$E18277&amp;"|"&amp;DATOS!$I18277)</f>
      </c>
      <c r="G18277">
        <f>IF(DATOS!$A18277="",0,IF(CONFIG_METADATA!$B$4&lt;&gt;"OR+EX",--(DATOS!$G18277=CONFIG_METADATA!$B$4),IF(DATOS!$G18277="EX",1,IF(DATOS!$G18277="OR",--(COUNTIFS(nNIA,DATOS!$A18277,nCURSO,DATOS!$D18277,nESPEC,DATOS!$E18277,nASIG,DATOS!$I18277,nEVAL,"EX")=0),0))))</f>
      </c>
      <c r="H18277">
        <f>IF(DATOS!$G18277&lt;&gt;"EX",0,--(COUNTIFS(nNIA,DATOS!$A18277,nCURSO,DATOS!$D18277,nESPEC,DATOS!$E18277,nASIG,DATOS!$I18277,nEVAL,"OR")=0))</f>
      </c>
      <c r="I18277">
        <f>IF(DATOS!$I18277="","",IFERROR(VLOOKUP(DATOS!$I18277,CONFIG_ASIGNATURAS!$B$2:$J$91,9,FALSE()),""))</f>
      </c>
    </row>
    <row r="18278">
      <c r="F18278">
        <f>IF(DATOS!$A18278="","",DATOS!$A18278&amp;"|"&amp;DATOS!$D18278&amp;"|"&amp;DATOS!$E18278&amp;"|"&amp;DATOS!$I18278)</f>
      </c>
      <c r="G18278">
        <f>IF(DATOS!$A18278="",0,IF(CONFIG_METADATA!$B$4&lt;&gt;"OR+EX",--(DATOS!$G18278=CONFIG_METADATA!$B$4),IF(DATOS!$G18278="EX",1,IF(DATOS!$G18278="OR",--(COUNTIFS(nNIA,DATOS!$A18278,nCURSO,DATOS!$D18278,nESPEC,DATOS!$E18278,nASIG,DATOS!$I18278,nEVAL,"EX")=0),0))))</f>
      </c>
      <c r="H18278">
        <f>IF(DATOS!$G18278&lt;&gt;"EX",0,--(COUNTIFS(nNIA,DATOS!$A18278,nCURSO,DATOS!$D18278,nESPEC,DATOS!$E18278,nASIG,DATOS!$I18278,nEVAL,"OR")=0))</f>
      </c>
      <c r="I18278">
        <f>IF(DATOS!$I18278="","",IFERROR(VLOOKUP(DATOS!$I18278,CONFIG_ASIGNATURAS!$B$2:$J$91,9,FALSE()),""))</f>
      </c>
    </row>
    <row r="18279">
      <c r="F18279">
        <f>IF(DATOS!$A18279="","",DATOS!$A18279&amp;"|"&amp;DATOS!$D18279&amp;"|"&amp;DATOS!$E18279&amp;"|"&amp;DATOS!$I18279)</f>
      </c>
      <c r="G18279">
        <f>IF(DATOS!$A18279="",0,IF(CONFIG_METADATA!$B$4&lt;&gt;"OR+EX",--(DATOS!$G18279=CONFIG_METADATA!$B$4),IF(DATOS!$G18279="EX",1,IF(DATOS!$G18279="OR",--(COUNTIFS(nNIA,DATOS!$A18279,nCURSO,DATOS!$D18279,nESPEC,DATOS!$E18279,nASIG,DATOS!$I18279,nEVAL,"EX")=0),0))))</f>
      </c>
      <c r="H18279">
        <f>IF(DATOS!$G18279&lt;&gt;"EX",0,--(COUNTIFS(nNIA,DATOS!$A18279,nCURSO,DATOS!$D18279,nESPEC,DATOS!$E18279,nASIG,DATOS!$I18279,nEVAL,"OR")=0))</f>
      </c>
      <c r="I18279">
        <f>IF(DATOS!$I18279="","",IFERROR(VLOOKUP(DATOS!$I18279,CONFIG_ASIGNATURAS!$B$2:$J$91,9,FALSE()),""))</f>
      </c>
    </row>
    <row r="18280">
      <c r="F18280">
        <f>IF(DATOS!$A18280="","",DATOS!$A18280&amp;"|"&amp;DATOS!$D18280&amp;"|"&amp;DATOS!$E18280&amp;"|"&amp;DATOS!$I18280)</f>
      </c>
      <c r="G18280">
        <f>IF(DATOS!$A18280="",0,IF(CONFIG_METADATA!$B$4&lt;&gt;"OR+EX",--(DATOS!$G18280=CONFIG_METADATA!$B$4),IF(DATOS!$G18280="EX",1,IF(DATOS!$G18280="OR",--(COUNTIFS(nNIA,DATOS!$A18280,nCURSO,DATOS!$D18280,nESPEC,DATOS!$E18280,nASIG,DATOS!$I18280,nEVAL,"EX")=0),0))))</f>
      </c>
      <c r="H18280">
        <f>IF(DATOS!$G18280&lt;&gt;"EX",0,--(COUNTIFS(nNIA,DATOS!$A18280,nCURSO,DATOS!$D18280,nESPEC,DATOS!$E18280,nASIG,DATOS!$I18280,nEVAL,"OR")=0))</f>
      </c>
      <c r="I18280">
        <f>IF(DATOS!$I18280="","",IFERROR(VLOOKUP(DATOS!$I18280,CONFIG_ASIGNATURAS!$B$2:$J$91,9,FALSE()),""))</f>
      </c>
    </row>
    <row r="18281">
      <c r="F18281">
        <f>IF(DATOS!$A18281="","",DATOS!$A18281&amp;"|"&amp;DATOS!$D18281&amp;"|"&amp;DATOS!$E18281&amp;"|"&amp;DATOS!$I18281)</f>
      </c>
      <c r="G18281">
        <f>IF(DATOS!$A18281="",0,IF(CONFIG_METADATA!$B$4&lt;&gt;"OR+EX",--(DATOS!$G18281=CONFIG_METADATA!$B$4),IF(DATOS!$G18281="EX",1,IF(DATOS!$G18281="OR",--(COUNTIFS(nNIA,DATOS!$A18281,nCURSO,DATOS!$D18281,nESPEC,DATOS!$E18281,nASIG,DATOS!$I18281,nEVAL,"EX")=0),0))))</f>
      </c>
      <c r="H18281">
        <f>IF(DATOS!$G18281&lt;&gt;"EX",0,--(COUNTIFS(nNIA,DATOS!$A18281,nCURSO,DATOS!$D18281,nESPEC,DATOS!$E18281,nASIG,DATOS!$I18281,nEVAL,"OR")=0))</f>
      </c>
      <c r="I18281">
        <f>IF(DATOS!$I18281="","",IFERROR(VLOOKUP(DATOS!$I18281,CONFIG_ASIGNATURAS!$B$2:$J$91,9,FALSE()),""))</f>
      </c>
    </row>
    <row r="18282">
      <c r="F18282">
        <f>IF(DATOS!$A18282="","",DATOS!$A18282&amp;"|"&amp;DATOS!$D18282&amp;"|"&amp;DATOS!$E18282&amp;"|"&amp;DATOS!$I18282)</f>
      </c>
      <c r="G18282">
        <f>IF(DATOS!$A18282="",0,IF(CONFIG_METADATA!$B$4&lt;&gt;"OR+EX",--(DATOS!$G18282=CONFIG_METADATA!$B$4),IF(DATOS!$G18282="EX",1,IF(DATOS!$G18282="OR",--(COUNTIFS(nNIA,DATOS!$A18282,nCURSO,DATOS!$D18282,nESPEC,DATOS!$E18282,nASIG,DATOS!$I18282,nEVAL,"EX")=0),0))))</f>
      </c>
      <c r="H18282">
        <f>IF(DATOS!$G18282&lt;&gt;"EX",0,--(COUNTIFS(nNIA,DATOS!$A18282,nCURSO,DATOS!$D18282,nESPEC,DATOS!$E18282,nASIG,DATOS!$I18282,nEVAL,"OR")=0))</f>
      </c>
      <c r="I18282">
        <f>IF(DATOS!$I18282="","",IFERROR(VLOOKUP(DATOS!$I18282,CONFIG_ASIGNATURAS!$B$2:$J$91,9,FALSE()),""))</f>
      </c>
    </row>
    <row r="18283">
      <c r="F18283">
        <f>IF(DATOS!$A18283="","",DATOS!$A18283&amp;"|"&amp;DATOS!$D18283&amp;"|"&amp;DATOS!$E18283&amp;"|"&amp;DATOS!$I18283)</f>
      </c>
      <c r="G18283">
        <f>IF(DATOS!$A18283="",0,IF(CONFIG_METADATA!$B$4&lt;&gt;"OR+EX",--(DATOS!$G18283=CONFIG_METADATA!$B$4),IF(DATOS!$G18283="EX",1,IF(DATOS!$G18283="OR",--(COUNTIFS(nNIA,DATOS!$A18283,nCURSO,DATOS!$D18283,nESPEC,DATOS!$E18283,nASIG,DATOS!$I18283,nEVAL,"EX")=0),0))))</f>
      </c>
      <c r="H18283">
        <f>IF(DATOS!$G18283&lt;&gt;"EX",0,--(COUNTIFS(nNIA,DATOS!$A18283,nCURSO,DATOS!$D18283,nESPEC,DATOS!$E18283,nASIG,DATOS!$I18283,nEVAL,"OR")=0))</f>
      </c>
      <c r="I18283">
        <f>IF(DATOS!$I18283="","",IFERROR(VLOOKUP(DATOS!$I18283,CONFIG_ASIGNATURAS!$B$2:$J$91,9,FALSE()),""))</f>
      </c>
    </row>
    <row r="18284">
      <c r="F18284">
        <f>IF(DATOS!$A18284="","",DATOS!$A18284&amp;"|"&amp;DATOS!$D18284&amp;"|"&amp;DATOS!$E18284&amp;"|"&amp;DATOS!$I18284)</f>
      </c>
      <c r="G18284">
        <f>IF(DATOS!$A18284="",0,IF(CONFIG_METADATA!$B$4&lt;&gt;"OR+EX",--(DATOS!$G18284=CONFIG_METADATA!$B$4),IF(DATOS!$G18284="EX",1,IF(DATOS!$G18284="OR",--(COUNTIFS(nNIA,DATOS!$A18284,nCURSO,DATOS!$D18284,nESPEC,DATOS!$E18284,nASIG,DATOS!$I18284,nEVAL,"EX")=0),0))))</f>
      </c>
      <c r="H18284">
        <f>IF(DATOS!$G18284&lt;&gt;"EX",0,--(COUNTIFS(nNIA,DATOS!$A18284,nCURSO,DATOS!$D18284,nESPEC,DATOS!$E18284,nASIG,DATOS!$I18284,nEVAL,"OR")=0))</f>
      </c>
      <c r="I18284">
        <f>IF(DATOS!$I18284="","",IFERROR(VLOOKUP(DATOS!$I18284,CONFIG_ASIGNATURAS!$B$2:$J$91,9,FALSE()),""))</f>
      </c>
    </row>
    <row r="18285">
      <c r="F18285">
        <f>IF(DATOS!$A18285="","",DATOS!$A18285&amp;"|"&amp;DATOS!$D18285&amp;"|"&amp;DATOS!$E18285&amp;"|"&amp;DATOS!$I18285)</f>
      </c>
      <c r="G18285">
        <f>IF(DATOS!$A18285="",0,IF(CONFIG_METADATA!$B$4&lt;&gt;"OR+EX",--(DATOS!$G18285=CONFIG_METADATA!$B$4),IF(DATOS!$G18285="EX",1,IF(DATOS!$G18285="OR",--(COUNTIFS(nNIA,DATOS!$A18285,nCURSO,DATOS!$D18285,nESPEC,DATOS!$E18285,nASIG,DATOS!$I18285,nEVAL,"EX")=0),0))))</f>
      </c>
      <c r="H18285">
        <f>IF(DATOS!$G18285&lt;&gt;"EX",0,--(COUNTIFS(nNIA,DATOS!$A18285,nCURSO,DATOS!$D18285,nESPEC,DATOS!$E18285,nASIG,DATOS!$I18285,nEVAL,"OR")=0))</f>
      </c>
      <c r="I18285">
        <f>IF(DATOS!$I18285="","",IFERROR(VLOOKUP(DATOS!$I18285,CONFIG_ASIGNATURAS!$B$2:$J$91,9,FALSE()),""))</f>
      </c>
    </row>
    <row r="18286">
      <c r="F18286">
        <f>IF(DATOS!$A18286="","",DATOS!$A18286&amp;"|"&amp;DATOS!$D18286&amp;"|"&amp;DATOS!$E18286&amp;"|"&amp;DATOS!$I18286)</f>
      </c>
      <c r="G18286">
        <f>IF(DATOS!$A18286="",0,IF(CONFIG_METADATA!$B$4&lt;&gt;"OR+EX",--(DATOS!$G18286=CONFIG_METADATA!$B$4),IF(DATOS!$G18286="EX",1,IF(DATOS!$G18286="OR",--(COUNTIFS(nNIA,DATOS!$A18286,nCURSO,DATOS!$D18286,nESPEC,DATOS!$E18286,nASIG,DATOS!$I18286,nEVAL,"EX")=0),0))))</f>
      </c>
      <c r="H18286">
        <f>IF(DATOS!$G18286&lt;&gt;"EX",0,--(COUNTIFS(nNIA,DATOS!$A18286,nCURSO,DATOS!$D18286,nESPEC,DATOS!$E18286,nASIG,DATOS!$I18286,nEVAL,"OR")=0))</f>
      </c>
      <c r="I18286">
        <f>IF(DATOS!$I18286="","",IFERROR(VLOOKUP(DATOS!$I18286,CONFIG_ASIGNATURAS!$B$2:$J$91,9,FALSE()),""))</f>
      </c>
    </row>
    <row r="18287">
      <c r="F18287">
        <f>IF(DATOS!$A18287="","",DATOS!$A18287&amp;"|"&amp;DATOS!$D18287&amp;"|"&amp;DATOS!$E18287&amp;"|"&amp;DATOS!$I18287)</f>
      </c>
      <c r="G18287">
        <f>IF(DATOS!$A18287="",0,IF(CONFIG_METADATA!$B$4&lt;&gt;"OR+EX",--(DATOS!$G18287=CONFIG_METADATA!$B$4),IF(DATOS!$G18287="EX",1,IF(DATOS!$G18287="OR",--(COUNTIFS(nNIA,DATOS!$A18287,nCURSO,DATOS!$D18287,nESPEC,DATOS!$E18287,nASIG,DATOS!$I18287,nEVAL,"EX")=0),0))))</f>
      </c>
      <c r="H18287">
        <f>IF(DATOS!$G18287&lt;&gt;"EX",0,--(COUNTIFS(nNIA,DATOS!$A18287,nCURSO,DATOS!$D18287,nESPEC,DATOS!$E18287,nASIG,DATOS!$I18287,nEVAL,"OR")=0))</f>
      </c>
      <c r="I18287">
        <f>IF(DATOS!$I18287="","",IFERROR(VLOOKUP(DATOS!$I18287,CONFIG_ASIGNATURAS!$B$2:$J$91,9,FALSE()),""))</f>
      </c>
    </row>
    <row r="18288">
      <c r="F18288">
        <f>IF(DATOS!$A18288="","",DATOS!$A18288&amp;"|"&amp;DATOS!$D18288&amp;"|"&amp;DATOS!$E18288&amp;"|"&amp;DATOS!$I18288)</f>
      </c>
      <c r="G18288">
        <f>IF(DATOS!$A18288="",0,IF(CONFIG_METADATA!$B$4&lt;&gt;"OR+EX",--(DATOS!$G18288=CONFIG_METADATA!$B$4),IF(DATOS!$G18288="EX",1,IF(DATOS!$G18288="OR",--(COUNTIFS(nNIA,DATOS!$A18288,nCURSO,DATOS!$D18288,nESPEC,DATOS!$E18288,nASIG,DATOS!$I18288,nEVAL,"EX")=0),0))))</f>
      </c>
      <c r="H18288">
        <f>IF(DATOS!$G18288&lt;&gt;"EX",0,--(COUNTIFS(nNIA,DATOS!$A18288,nCURSO,DATOS!$D18288,nESPEC,DATOS!$E18288,nASIG,DATOS!$I18288,nEVAL,"OR")=0))</f>
      </c>
      <c r="I18288">
        <f>IF(DATOS!$I18288="","",IFERROR(VLOOKUP(DATOS!$I18288,CONFIG_ASIGNATURAS!$B$2:$J$91,9,FALSE()),""))</f>
      </c>
    </row>
    <row r="18289">
      <c r="F18289">
        <f>IF(DATOS!$A18289="","",DATOS!$A18289&amp;"|"&amp;DATOS!$D18289&amp;"|"&amp;DATOS!$E18289&amp;"|"&amp;DATOS!$I18289)</f>
      </c>
      <c r="G18289">
        <f>IF(DATOS!$A18289="",0,IF(CONFIG_METADATA!$B$4&lt;&gt;"OR+EX",--(DATOS!$G18289=CONFIG_METADATA!$B$4),IF(DATOS!$G18289="EX",1,IF(DATOS!$G18289="OR",--(COUNTIFS(nNIA,DATOS!$A18289,nCURSO,DATOS!$D18289,nESPEC,DATOS!$E18289,nASIG,DATOS!$I18289,nEVAL,"EX")=0),0))))</f>
      </c>
      <c r="H18289">
        <f>IF(DATOS!$G18289&lt;&gt;"EX",0,--(COUNTIFS(nNIA,DATOS!$A18289,nCURSO,DATOS!$D18289,nESPEC,DATOS!$E18289,nASIG,DATOS!$I18289,nEVAL,"OR")=0))</f>
      </c>
      <c r="I18289">
        <f>IF(DATOS!$I18289="","",IFERROR(VLOOKUP(DATOS!$I18289,CONFIG_ASIGNATURAS!$B$2:$J$91,9,FALSE()),""))</f>
      </c>
    </row>
    <row r="18290">
      <c r="F18290">
        <f>IF(DATOS!$A18290="","",DATOS!$A18290&amp;"|"&amp;DATOS!$D18290&amp;"|"&amp;DATOS!$E18290&amp;"|"&amp;DATOS!$I18290)</f>
      </c>
      <c r="G18290">
        <f>IF(DATOS!$A18290="",0,IF(CONFIG_METADATA!$B$4&lt;&gt;"OR+EX",--(DATOS!$G18290=CONFIG_METADATA!$B$4),IF(DATOS!$G18290="EX",1,IF(DATOS!$G18290="OR",--(COUNTIFS(nNIA,DATOS!$A18290,nCURSO,DATOS!$D18290,nESPEC,DATOS!$E18290,nASIG,DATOS!$I18290,nEVAL,"EX")=0),0))))</f>
      </c>
      <c r="H18290">
        <f>IF(DATOS!$G18290&lt;&gt;"EX",0,--(COUNTIFS(nNIA,DATOS!$A18290,nCURSO,DATOS!$D18290,nESPEC,DATOS!$E18290,nASIG,DATOS!$I18290,nEVAL,"OR")=0))</f>
      </c>
      <c r="I18290">
        <f>IF(DATOS!$I18290="","",IFERROR(VLOOKUP(DATOS!$I18290,CONFIG_ASIGNATURAS!$B$2:$J$91,9,FALSE()),""))</f>
      </c>
    </row>
    <row r="18291">
      <c r="F18291">
        <f>IF(DATOS!$A18291="","",DATOS!$A18291&amp;"|"&amp;DATOS!$D18291&amp;"|"&amp;DATOS!$E18291&amp;"|"&amp;DATOS!$I18291)</f>
      </c>
      <c r="G18291">
        <f>IF(DATOS!$A18291="",0,IF(CONFIG_METADATA!$B$4&lt;&gt;"OR+EX",--(DATOS!$G18291=CONFIG_METADATA!$B$4),IF(DATOS!$G18291="EX",1,IF(DATOS!$G18291="OR",--(COUNTIFS(nNIA,DATOS!$A18291,nCURSO,DATOS!$D18291,nESPEC,DATOS!$E18291,nASIG,DATOS!$I18291,nEVAL,"EX")=0),0))))</f>
      </c>
      <c r="H18291">
        <f>IF(DATOS!$G18291&lt;&gt;"EX",0,--(COUNTIFS(nNIA,DATOS!$A18291,nCURSO,DATOS!$D18291,nESPEC,DATOS!$E18291,nASIG,DATOS!$I18291,nEVAL,"OR")=0))</f>
      </c>
      <c r="I18291">
        <f>IF(DATOS!$I18291="","",IFERROR(VLOOKUP(DATOS!$I18291,CONFIG_ASIGNATURAS!$B$2:$J$91,9,FALSE()),""))</f>
      </c>
    </row>
    <row r="18292">
      <c r="F18292">
        <f>IF(DATOS!$A18292="","",DATOS!$A18292&amp;"|"&amp;DATOS!$D18292&amp;"|"&amp;DATOS!$E18292&amp;"|"&amp;DATOS!$I18292)</f>
      </c>
      <c r="G18292">
        <f>IF(DATOS!$A18292="",0,IF(CONFIG_METADATA!$B$4&lt;&gt;"OR+EX",--(DATOS!$G18292=CONFIG_METADATA!$B$4),IF(DATOS!$G18292="EX",1,IF(DATOS!$G18292="OR",--(COUNTIFS(nNIA,DATOS!$A18292,nCURSO,DATOS!$D18292,nESPEC,DATOS!$E18292,nASIG,DATOS!$I18292,nEVAL,"EX")=0),0))))</f>
      </c>
      <c r="H18292">
        <f>IF(DATOS!$G18292&lt;&gt;"EX",0,--(COUNTIFS(nNIA,DATOS!$A18292,nCURSO,DATOS!$D18292,nESPEC,DATOS!$E18292,nASIG,DATOS!$I18292,nEVAL,"OR")=0))</f>
      </c>
      <c r="I18292">
        <f>IF(DATOS!$I18292="","",IFERROR(VLOOKUP(DATOS!$I18292,CONFIG_ASIGNATURAS!$B$2:$J$91,9,FALSE()),""))</f>
      </c>
    </row>
    <row r="18293">
      <c r="F18293">
        <f>IF(DATOS!$A18293="","",DATOS!$A18293&amp;"|"&amp;DATOS!$D18293&amp;"|"&amp;DATOS!$E18293&amp;"|"&amp;DATOS!$I18293)</f>
      </c>
      <c r="G18293">
        <f>IF(DATOS!$A18293="",0,IF(CONFIG_METADATA!$B$4&lt;&gt;"OR+EX",--(DATOS!$G18293=CONFIG_METADATA!$B$4),IF(DATOS!$G18293="EX",1,IF(DATOS!$G18293="OR",--(COUNTIFS(nNIA,DATOS!$A18293,nCURSO,DATOS!$D18293,nESPEC,DATOS!$E18293,nASIG,DATOS!$I18293,nEVAL,"EX")=0),0))))</f>
      </c>
      <c r="H18293">
        <f>IF(DATOS!$G18293&lt;&gt;"EX",0,--(COUNTIFS(nNIA,DATOS!$A18293,nCURSO,DATOS!$D18293,nESPEC,DATOS!$E18293,nASIG,DATOS!$I18293,nEVAL,"OR")=0))</f>
      </c>
      <c r="I18293">
        <f>IF(DATOS!$I18293="","",IFERROR(VLOOKUP(DATOS!$I18293,CONFIG_ASIGNATURAS!$B$2:$J$91,9,FALSE()),""))</f>
      </c>
    </row>
    <row r="18294">
      <c r="F18294">
        <f>IF(DATOS!$A18294="","",DATOS!$A18294&amp;"|"&amp;DATOS!$D18294&amp;"|"&amp;DATOS!$E18294&amp;"|"&amp;DATOS!$I18294)</f>
      </c>
      <c r="G18294">
        <f>IF(DATOS!$A18294="",0,IF(CONFIG_METADATA!$B$4&lt;&gt;"OR+EX",--(DATOS!$G18294=CONFIG_METADATA!$B$4),IF(DATOS!$G18294="EX",1,IF(DATOS!$G18294="OR",--(COUNTIFS(nNIA,DATOS!$A18294,nCURSO,DATOS!$D18294,nESPEC,DATOS!$E18294,nASIG,DATOS!$I18294,nEVAL,"EX")=0),0))))</f>
      </c>
      <c r="H18294">
        <f>IF(DATOS!$G18294&lt;&gt;"EX",0,--(COUNTIFS(nNIA,DATOS!$A18294,nCURSO,DATOS!$D18294,nESPEC,DATOS!$E18294,nASIG,DATOS!$I18294,nEVAL,"OR")=0))</f>
      </c>
      <c r="I18294">
        <f>IF(DATOS!$I18294="","",IFERROR(VLOOKUP(DATOS!$I18294,CONFIG_ASIGNATURAS!$B$2:$J$91,9,FALSE()),""))</f>
      </c>
    </row>
    <row r="18295">
      <c r="F18295">
        <f>IF(DATOS!$A18295="","",DATOS!$A18295&amp;"|"&amp;DATOS!$D18295&amp;"|"&amp;DATOS!$E18295&amp;"|"&amp;DATOS!$I18295)</f>
      </c>
      <c r="G18295">
        <f>IF(DATOS!$A18295="",0,IF(CONFIG_METADATA!$B$4&lt;&gt;"OR+EX",--(DATOS!$G18295=CONFIG_METADATA!$B$4),IF(DATOS!$G18295="EX",1,IF(DATOS!$G18295="OR",--(COUNTIFS(nNIA,DATOS!$A18295,nCURSO,DATOS!$D18295,nESPEC,DATOS!$E18295,nASIG,DATOS!$I18295,nEVAL,"EX")=0),0))))</f>
      </c>
      <c r="H18295">
        <f>IF(DATOS!$G18295&lt;&gt;"EX",0,--(COUNTIFS(nNIA,DATOS!$A18295,nCURSO,DATOS!$D18295,nESPEC,DATOS!$E18295,nASIG,DATOS!$I18295,nEVAL,"OR")=0))</f>
      </c>
      <c r="I18295">
        <f>IF(DATOS!$I18295="","",IFERROR(VLOOKUP(DATOS!$I18295,CONFIG_ASIGNATURAS!$B$2:$J$91,9,FALSE()),""))</f>
      </c>
    </row>
    <row r="18296">
      <c r="F18296">
        <f>IF(DATOS!$A18296="","",DATOS!$A18296&amp;"|"&amp;DATOS!$D18296&amp;"|"&amp;DATOS!$E18296&amp;"|"&amp;DATOS!$I18296)</f>
      </c>
      <c r="G18296">
        <f>IF(DATOS!$A18296="",0,IF(CONFIG_METADATA!$B$4&lt;&gt;"OR+EX",--(DATOS!$G18296=CONFIG_METADATA!$B$4),IF(DATOS!$G18296="EX",1,IF(DATOS!$G18296="OR",--(COUNTIFS(nNIA,DATOS!$A18296,nCURSO,DATOS!$D18296,nESPEC,DATOS!$E18296,nASIG,DATOS!$I18296,nEVAL,"EX")=0),0))))</f>
      </c>
      <c r="H18296">
        <f>IF(DATOS!$G18296&lt;&gt;"EX",0,--(COUNTIFS(nNIA,DATOS!$A18296,nCURSO,DATOS!$D18296,nESPEC,DATOS!$E18296,nASIG,DATOS!$I18296,nEVAL,"OR")=0))</f>
      </c>
      <c r="I18296">
        <f>IF(DATOS!$I18296="","",IFERROR(VLOOKUP(DATOS!$I18296,CONFIG_ASIGNATURAS!$B$2:$J$91,9,FALSE()),""))</f>
      </c>
    </row>
    <row r="18297">
      <c r="F18297">
        <f>IF(DATOS!$A18297="","",DATOS!$A18297&amp;"|"&amp;DATOS!$D18297&amp;"|"&amp;DATOS!$E18297&amp;"|"&amp;DATOS!$I18297)</f>
      </c>
      <c r="G18297">
        <f>IF(DATOS!$A18297="",0,IF(CONFIG_METADATA!$B$4&lt;&gt;"OR+EX",--(DATOS!$G18297=CONFIG_METADATA!$B$4),IF(DATOS!$G18297="EX",1,IF(DATOS!$G18297="OR",--(COUNTIFS(nNIA,DATOS!$A18297,nCURSO,DATOS!$D18297,nESPEC,DATOS!$E18297,nASIG,DATOS!$I18297,nEVAL,"EX")=0),0))))</f>
      </c>
      <c r="H18297">
        <f>IF(DATOS!$G18297&lt;&gt;"EX",0,--(COUNTIFS(nNIA,DATOS!$A18297,nCURSO,DATOS!$D18297,nESPEC,DATOS!$E18297,nASIG,DATOS!$I18297,nEVAL,"OR")=0))</f>
      </c>
      <c r="I18297">
        <f>IF(DATOS!$I18297="","",IFERROR(VLOOKUP(DATOS!$I18297,CONFIG_ASIGNATURAS!$B$2:$J$91,9,FALSE()),""))</f>
      </c>
    </row>
    <row r="18298">
      <c r="F18298">
        <f>IF(DATOS!$A18298="","",DATOS!$A18298&amp;"|"&amp;DATOS!$D18298&amp;"|"&amp;DATOS!$E18298&amp;"|"&amp;DATOS!$I18298)</f>
      </c>
      <c r="G18298">
        <f>IF(DATOS!$A18298="",0,IF(CONFIG_METADATA!$B$4&lt;&gt;"OR+EX",--(DATOS!$G18298=CONFIG_METADATA!$B$4),IF(DATOS!$G18298="EX",1,IF(DATOS!$G18298="OR",--(COUNTIFS(nNIA,DATOS!$A18298,nCURSO,DATOS!$D18298,nESPEC,DATOS!$E18298,nASIG,DATOS!$I18298,nEVAL,"EX")=0),0))))</f>
      </c>
      <c r="H18298">
        <f>IF(DATOS!$G18298&lt;&gt;"EX",0,--(COUNTIFS(nNIA,DATOS!$A18298,nCURSO,DATOS!$D18298,nESPEC,DATOS!$E18298,nASIG,DATOS!$I18298,nEVAL,"OR")=0))</f>
      </c>
      <c r="I18298">
        <f>IF(DATOS!$I18298="","",IFERROR(VLOOKUP(DATOS!$I18298,CONFIG_ASIGNATURAS!$B$2:$J$91,9,FALSE()),""))</f>
      </c>
    </row>
    <row r="18299">
      <c r="F18299">
        <f>IF(DATOS!$A18299="","",DATOS!$A18299&amp;"|"&amp;DATOS!$D18299&amp;"|"&amp;DATOS!$E18299&amp;"|"&amp;DATOS!$I18299)</f>
      </c>
      <c r="G18299">
        <f>IF(DATOS!$A18299="",0,IF(CONFIG_METADATA!$B$4&lt;&gt;"OR+EX",--(DATOS!$G18299=CONFIG_METADATA!$B$4),IF(DATOS!$G18299="EX",1,IF(DATOS!$G18299="OR",--(COUNTIFS(nNIA,DATOS!$A18299,nCURSO,DATOS!$D18299,nESPEC,DATOS!$E18299,nASIG,DATOS!$I18299,nEVAL,"EX")=0),0))))</f>
      </c>
      <c r="H18299">
        <f>IF(DATOS!$G18299&lt;&gt;"EX",0,--(COUNTIFS(nNIA,DATOS!$A18299,nCURSO,DATOS!$D18299,nESPEC,DATOS!$E18299,nASIG,DATOS!$I18299,nEVAL,"OR")=0))</f>
      </c>
      <c r="I18299">
        <f>IF(DATOS!$I18299="","",IFERROR(VLOOKUP(DATOS!$I18299,CONFIG_ASIGNATURAS!$B$2:$J$91,9,FALSE()),""))</f>
      </c>
    </row>
    <row r="18300">
      <c r="F18300">
        <f>IF(DATOS!$A18300="","",DATOS!$A18300&amp;"|"&amp;DATOS!$D18300&amp;"|"&amp;DATOS!$E18300&amp;"|"&amp;DATOS!$I18300)</f>
      </c>
      <c r="G18300">
        <f>IF(DATOS!$A18300="",0,IF(CONFIG_METADATA!$B$4&lt;&gt;"OR+EX",--(DATOS!$G18300=CONFIG_METADATA!$B$4),IF(DATOS!$G18300="EX",1,IF(DATOS!$G18300="OR",--(COUNTIFS(nNIA,DATOS!$A18300,nCURSO,DATOS!$D18300,nESPEC,DATOS!$E18300,nASIG,DATOS!$I18300,nEVAL,"EX")=0),0))))</f>
      </c>
      <c r="H18300">
        <f>IF(DATOS!$G18300&lt;&gt;"EX",0,--(COUNTIFS(nNIA,DATOS!$A18300,nCURSO,DATOS!$D18300,nESPEC,DATOS!$E18300,nASIG,DATOS!$I18300,nEVAL,"OR")=0))</f>
      </c>
      <c r="I18300">
        <f>IF(DATOS!$I18300="","",IFERROR(VLOOKUP(DATOS!$I18300,CONFIG_ASIGNATURAS!$B$2:$J$91,9,FALSE()),""))</f>
      </c>
    </row>
    <row r="18301">
      <c r="F18301">
        <f>IF(DATOS!$A18301="","",DATOS!$A18301&amp;"|"&amp;DATOS!$D18301&amp;"|"&amp;DATOS!$E18301&amp;"|"&amp;DATOS!$I18301)</f>
      </c>
      <c r="G18301">
        <f>IF(DATOS!$A18301="",0,IF(CONFIG_METADATA!$B$4&lt;&gt;"OR+EX",--(DATOS!$G18301=CONFIG_METADATA!$B$4),IF(DATOS!$G18301="EX",1,IF(DATOS!$G18301="OR",--(COUNTIFS(nNIA,DATOS!$A18301,nCURSO,DATOS!$D18301,nESPEC,DATOS!$E18301,nASIG,DATOS!$I18301,nEVAL,"EX")=0),0))))</f>
      </c>
      <c r="H18301">
        <f>IF(DATOS!$G18301&lt;&gt;"EX",0,--(COUNTIFS(nNIA,DATOS!$A18301,nCURSO,DATOS!$D18301,nESPEC,DATOS!$E18301,nASIG,DATOS!$I18301,nEVAL,"OR")=0))</f>
      </c>
      <c r="I18301">
        <f>IF(DATOS!$I18301="","",IFERROR(VLOOKUP(DATOS!$I18301,CONFIG_ASIGNATURAS!$B$2:$J$91,9,FALSE()),""))</f>
      </c>
    </row>
    <row r="18302">
      <c r="F18302">
        <f>IF(DATOS!$A18302="","",DATOS!$A18302&amp;"|"&amp;DATOS!$D18302&amp;"|"&amp;DATOS!$E18302&amp;"|"&amp;DATOS!$I18302)</f>
      </c>
      <c r="G18302">
        <f>IF(DATOS!$A18302="",0,IF(CONFIG_METADATA!$B$4&lt;&gt;"OR+EX",--(DATOS!$G18302=CONFIG_METADATA!$B$4),IF(DATOS!$G18302="EX",1,IF(DATOS!$G18302="OR",--(COUNTIFS(nNIA,DATOS!$A18302,nCURSO,DATOS!$D18302,nESPEC,DATOS!$E18302,nASIG,DATOS!$I18302,nEVAL,"EX")=0),0))))</f>
      </c>
      <c r="H18302">
        <f>IF(DATOS!$G18302&lt;&gt;"EX",0,--(COUNTIFS(nNIA,DATOS!$A18302,nCURSO,DATOS!$D18302,nESPEC,DATOS!$E18302,nASIG,DATOS!$I18302,nEVAL,"OR")=0))</f>
      </c>
      <c r="I18302">
        <f>IF(DATOS!$I18302="","",IFERROR(VLOOKUP(DATOS!$I18302,CONFIG_ASIGNATURAS!$B$2:$J$91,9,FALSE()),""))</f>
      </c>
    </row>
    <row r="18303">
      <c r="F18303">
        <f>IF(DATOS!$A18303="","",DATOS!$A18303&amp;"|"&amp;DATOS!$D18303&amp;"|"&amp;DATOS!$E18303&amp;"|"&amp;DATOS!$I18303)</f>
      </c>
      <c r="G18303">
        <f>IF(DATOS!$A18303="",0,IF(CONFIG_METADATA!$B$4&lt;&gt;"OR+EX",--(DATOS!$G18303=CONFIG_METADATA!$B$4),IF(DATOS!$G18303="EX",1,IF(DATOS!$G18303="OR",--(COUNTIFS(nNIA,DATOS!$A18303,nCURSO,DATOS!$D18303,nESPEC,DATOS!$E18303,nASIG,DATOS!$I18303,nEVAL,"EX")=0),0))))</f>
      </c>
      <c r="H18303">
        <f>IF(DATOS!$G18303&lt;&gt;"EX",0,--(COUNTIFS(nNIA,DATOS!$A18303,nCURSO,DATOS!$D18303,nESPEC,DATOS!$E18303,nASIG,DATOS!$I18303,nEVAL,"OR")=0))</f>
      </c>
      <c r="I18303">
        <f>IF(DATOS!$I18303="","",IFERROR(VLOOKUP(DATOS!$I18303,CONFIG_ASIGNATURAS!$B$2:$J$91,9,FALSE()),""))</f>
      </c>
    </row>
    <row r="18304">
      <c r="F18304">
        <f>IF(DATOS!$A18304="","",DATOS!$A18304&amp;"|"&amp;DATOS!$D18304&amp;"|"&amp;DATOS!$E18304&amp;"|"&amp;DATOS!$I18304)</f>
      </c>
      <c r="G18304">
        <f>IF(DATOS!$A18304="",0,IF(CONFIG_METADATA!$B$4&lt;&gt;"OR+EX",--(DATOS!$G18304=CONFIG_METADATA!$B$4),IF(DATOS!$G18304="EX",1,IF(DATOS!$G18304="OR",--(COUNTIFS(nNIA,DATOS!$A18304,nCURSO,DATOS!$D18304,nESPEC,DATOS!$E18304,nASIG,DATOS!$I18304,nEVAL,"EX")=0),0))))</f>
      </c>
      <c r="H18304">
        <f>IF(DATOS!$G18304&lt;&gt;"EX",0,--(COUNTIFS(nNIA,DATOS!$A18304,nCURSO,DATOS!$D18304,nESPEC,DATOS!$E18304,nASIG,DATOS!$I18304,nEVAL,"OR")=0))</f>
      </c>
      <c r="I18304">
        <f>IF(DATOS!$I18304="","",IFERROR(VLOOKUP(DATOS!$I18304,CONFIG_ASIGNATURAS!$B$2:$J$91,9,FALSE()),""))</f>
      </c>
    </row>
    <row r="18305">
      <c r="F18305">
        <f>IF(DATOS!$A18305="","",DATOS!$A18305&amp;"|"&amp;DATOS!$D18305&amp;"|"&amp;DATOS!$E18305&amp;"|"&amp;DATOS!$I18305)</f>
      </c>
      <c r="G18305">
        <f>IF(DATOS!$A18305="",0,IF(CONFIG_METADATA!$B$4&lt;&gt;"OR+EX",--(DATOS!$G18305=CONFIG_METADATA!$B$4),IF(DATOS!$G18305="EX",1,IF(DATOS!$G18305="OR",--(COUNTIFS(nNIA,DATOS!$A18305,nCURSO,DATOS!$D18305,nESPEC,DATOS!$E18305,nASIG,DATOS!$I18305,nEVAL,"EX")=0),0))))</f>
      </c>
      <c r="H18305">
        <f>IF(DATOS!$G18305&lt;&gt;"EX",0,--(COUNTIFS(nNIA,DATOS!$A18305,nCURSO,DATOS!$D18305,nESPEC,DATOS!$E18305,nASIG,DATOS!$I18305,nEVAL,"OR")=0))</f>
      </c>
      <c r="I18305">
        <f>IF(DATOS!$I18305="","",IFERROR(VLOOKUP(DATOS!$I18305,CONFIG_ASIGNATURAS!$B$2:$J$91,9,FALSE()),""))</f>
      </c>
    </row>
    <row r="18306">
      <c r="F18306">
        <f>IF(DATOS!$A18306="","",DATOS!$A18306&amp;"|"&amp;DATOS!$D18306&amp;"|"&amp;DATOS!$E18306&amp;"|"&amp;DATOS!$I18306)</f>
      </c>
      <c r="G18306">
        <f>IF(DATOS!$A18306="",0,IF(CONFIG_METADATA!$B$4&lt;&gt;"OR+EX",--(DATOS!$G18306=CONFIG_METADATA!$B$4),IF(DATOS!$G18306="EX",1,IF(DATOS!$G18306="OR",--(COUNTIFS(nNIA,DATOS!$A18306,nCURSO,DATOS!$D18306,nESPEC,DATOS!$E18306,nASIG,DATOS!$I18306,nEVAL,"EX")=0),0))))</f>
      </c>
      <c r="H18306">
        <f>IF(DATOS!$G18306&lt;&gt;"EX",0,--(COUNTIFS(nNIA,DATOS!$A18306,nCURSO,DATOS!$D18306,nESPEC,DATOS!$E18306,nASIG,DATOS!$I18306,nEVAL,"OR")=0))</f>
      </c>
      <c r="I18306">
        <f>IF(DATOS!$I18306="","",IFERROR(VLOOKUP(DATOS!$I18306,CONFIG_ASIGNATURAS!$B$2:$J$91,9,FALSE()),""))</f>
      </c>
    </row>
    <row r="18307">
      <c r="F18307">
        <f>IF(DATOS!$A18307="","",DATOS!$A18307&amp;"|"&amp;DATOS!$D18307&amp;"|"&amp;DATOS!$E18307&amp;"|"&amp;DATOS!$I18307)</f>
      </c>
      <c r="G18307">
        <f>IF(DATOS!$A18307="",0,IF(CONFIG_METADATA!$B$4&lt;&gt;"OR+EX",--(DATOS!$G18307=CONFIG_METADATA!$B$4),IF(DATOS!$G18307="EX",1,IF(DATOS!$G18307="OR",--(COUNTIFS(nNIA,DATOS!$A18307,nCURSO,DATOS!$D18307,nESPEC,DATOS!$E18307,nASIG,DATOS!$I18307,nEVAL,"EX")=0),0))))</f>
      </c>
      <c r="H18307">
        <f>IF(DATOS!$G18307&lt;&gt;"EX",0,--(COUNTIFS(nNIA,DATOS!$A18307,nCURSO,DATOS!$D18307,nESPEC,DATOS!$E18307,nASIG,DATOS!$I18307,nEVAL,"OR")=0))</f>
      </c>
      <c r="I18307">
        <f>IF(DATOS!$I18307="","",IFERROR(VLOOKUP(DATOS!$I18307,CONFIG_ASIGNATURAS!$B$2:$J$91,9,FALSE()),""))</f>
      </c>
    </row>
    <row r="18308">
      <c r="F18308">
        <f>IF(DATOS!$A18308="","",DATOS!$A18308&amp;"|"&amp;DATOS!$D18308&amp;"|"&amp;DATOS!$E18308&amp;"|"&amp;DATOS!$I18308)</f>
      </c>
      <c r="G18308">
        <f>IF(DATOS!$A18308="",0,IF(CONFIG_METADATA!$B$4&lt;&gt;"OR+EX",--(DATOS!$G18308=CONFIG_METADATA!$B$4),IF(DATOS!$G18308="EX",1,IF(DATOS!$G18308="OR",--(COUNTIFS(nNIA,DATOS!$A18308,nCURSO,DATOS!$D18308,nESPEC,DATOS!$E18308,nASIG,DATOS!$I18308,nEVAL,"EX")=0),0))))</f>
      </c>
      <c r="H18308">
        <f>IF(DATOS!$G18308&lt;&gt;"EX",0,--(COUNTIFS(nNIA,DATOS!$A18308,nCURSO,DATOS!$D18308,nESPEC,DATOS!$E18308,nASIG,DATOS!$I18308,nEVAL,"OR")=0))</f>
      </c>
      <c r="I18308">
        <f>IF(DATOS!$I18308="","",IFERROR(VLOOKUP(DATOS!$I18308,CONFIG_ASIGNATURAS!$B$2:$J$91,9,FALSE()),""))</f>
      </c>
    </row>
    <row r="18309">
      <c r="F18309">
        <f>IF(DATOS!$A18309="","",DATOS!$A18309&amp;"|"&amp;DATOS!$D18309&amp;"|"&amp;DATOS!$E18309&amp;"|"&amp;DATOS!$I18309)</f>
      </c>
      <c r="G18309">
        <f>IF(DATOS!$A18309="",0,IF(CONFIG_METADATA!$B$4&lt;&gt;"OR+EX",--(DATOS!$G18309=CONFIG_METADATA!$B$4),IF(DATOS!$G18309="EX",1,IF(DATOS!$G18309="OR",--(COUNTIFS(nNIA,DATOS!$A18309,nCURSO,DATOS!$D18309,nESPEC,DATOS!$E18309,nASIG,DATOS!$I18309,nEVAL,"EX")=0),0))))</f>
      </c>
      <c r="H18309">
        <f>IF(DATOS!$G18309&lt;&gt;"EX",0,--(COUNTIFS(nNIA,DATOS!$A18309,nCURSO,DATOS!$D18309,nESPEC,DATOS!$E18309,nASIG,DATOS!$I18309,nEVAL,"OR")=0))</f>
      </c>
      <c r="I18309">
        <f>IF(DATOS!$I18309="","",IFERROR(VLOOKUP(DATOS!$I18309,CONFIG_ASIGNATURAS!$B$2:$J$91,9,FALSE()),""))</f>
      </c>
    </row>
    <row r="18310">
      <c r="F18310">
        <f>IF(DATOS!$A18310="","",DATOS!$A18310&amp;"|"&amp;DATOS!$D18310&amp;"|"&amp;DATOS!$E18310&amp;"|"&amp;DATOS!$I18310)</f>
      </c>
      <c r="G18310">
        <f>IF(DATOS!$A18310="",0,IF(CONFIG_METADATA!$B$4&lt;&gt;"OR+EX",--(DATOS!$G18310=CONFIG_METADATA!$B$4),IF(DATOS!$G18310="EX",1,IF(DATOS!$G18310="OR",--(COUNTIFS(nNIA,DATOS!$A18310,nCURSO,DATOS!$D18310,nESPEC,DATOS!$E18310,nASIG,DATOS!$I18310,nEVAL,"EX")=0),0))))</f>
      </c>
      <c r="H18310">
        <f>IF(DATOS!$G18310&lt;&gt;"EX",0,--(COUNTIFS(nNIA,DATOS!$A18310,nCURSO,DATOS!$D18310,nESPEC,DATOS!$E18310,nASIG,DATOS!$I18310,nEVAL,"OR")=0))</f>
      </c>
      <c r="I18310">
        <f>IF(DATOS!$I18310="","",IFERROR(VLOOKUP(DATOS!$I18310,CONFIG_ASIGNATURAS!$B$2:$J$91,9,FALSE()),""))</f>
      </c>
    </row>
    <row r="18311">
      <c r="F18311">
        <f>IF(DATOS!$A18311="","",DATOS!$A18311&amp;"|"&amp;DATOS!$D18311&amp;"|"&amp;DATOS!$E18311&amp;"|"&amp;DATOS!$I18311)</f>
      </c>
      <c r="G18311">
        <f>IF(DATOS!$A18311="",0,IF(CONFIG_METADATA!$B$4&lt;&gt;"OR+EX",--(DATOS!$G18311=CONFIG_METADATA!$B$4),IF(DATOS!$G18311="EX",1,IF(DATOS!$G18311="OR",--(COUNTIFS(nNIA,DATOS!$A18311,nCURSO,DATOS!$D18311,nESPEC,DATOS!$E18311,nASIG,DATOS!$I18311,nEVAL,"EX")=0),0))))</f>
      </c>
      <c r="H18311">
        <f>IF(DATOS!$G18311&lt;&gt;"EX",0,--(COUNTIFS(nNIA,DATOS!$A18311,nCURSO,DATOS!$D18311,nESPEC,DATOS!$E18311,nASIG,DATOS!$I18311,nEVAL,"OR")=0))</f>
      </c>
      <c r="I18311">
        <f>IF(DATOS!$I18311="","",IFERROR(VLOOKUP(DATOS!$I18311,CONFIG_ASIGNATURAS!$B$2:$J$91,9,FALSE()),""))</f>
      </c>
    </row>
    <row r="18312">
      <c r="F18312">
        <f>IF(DATOS!$A18312="","",DATOS!$A18312&amp;"|"&amp;DATOS!$D18312&amp;"|"&amp;DATOS!$E18312&amp;"|"&amp;DATOS!$I18312)</f>
      </c>
      <c r="G18312">
        <f>IF(DATOS!$A18312="",0,IF(CONFIG_METADATA!$B$4&lt;&gt;"OR+EX",--(DATOS!$G18312=CONFIG_METADATA!$B$4),IF(DATOS!$G18312="EX",1,IF(DATOS!$G18312="OR",--(COUNTIFS(nNIA,DATOS!$A18312,nCURSO,DATOS!$D18312,nESPEC,DATOS!$E18312,nASIG,DATOS!$I18312,nEVAL,"EX")=0),0))))</f>
      </c>
      <c r="H18312">
        <f>IF(DATOS!$G18312&lt;&gt;"EX",0,--(COUNTIFS(nNIA,DATOS!$A18312,nCURSO,DATOS!$D18312,nESPEC,DATOS!$E18312,nASIG,DATOS!$I18312,nEVAL,"OR")=0))</f>
      </c>
      <c r="I18312">
        <f>IF(DATOS!$I18312="","",IFERROR(VLOOKUP(DATOS!$I18312,CONFIG_ASIGNATURAS!$B$2:$J$91,9,FALSE()),""))</f>
      </c>
    </row>
    <row r="18313">
      <c r="F18313">
        <f>IF(DATOS!$A18313="","",DATOS!$A18313&amp;"|"&amp;DATOS!$D18313&amp;"|"&amp;DATOS!$E18313&amp;"|"&amp;DATOS!$I18313)</f>
      </c>
      <c r="G18313">
        <f>IF(DATOS!$A18313="",0,IF(CONFIG_METADATA!$B$4&lt;&gt;"OR+EX",--(DATOS!$G18313=CONFIG_METADATA!$B$4),IF(DATOS!$G18313="EX",1,IF(DATOS!$G18313="OR",--(COUNTIFS(nNIA,DATOS!$A18313,nCURSO,DATOS!$D18313,nESPEC,DATOS!$E18313,nASIG,DATOS!$I18313,nEVAL,"EX")=0),0))))</f>
      </c>
      <c r="H18313">
        <f>IF(DATOS!$G18313&lt;&gt;"EX",0,--(COUNTIFS(nNIA,DATOS!$A18313,nCURSO,DATOS!$D18313,nESPEC,DATOS!$E18313,nASIG,DATOS!$I18313,nEVAL,"OR")=0))</f>
      </c>
      <c r="I18313">
        <f>IF(DATOS!$I18313="","",IFERROR(VLOOKUP(DATOS!$I18313,CONFIG_ASIGNATURAS!$B$2:$J$91,9,FALSE()),""))</f>
      </c>
    </row>
    <row r="18314">
      <c r="F18314">
        <f>IF(DATOS!$A18314="","",DATOS!$A18314&amp;"|"&amp;DATOS!$D18314&amp;"|"&amp;DATOS!$E18314&amp;"|"&amp;DATOS!$I18314)</f>
      </c>
      <c r="G18314">
        <f>IF(DATOS!$A18314="",0,IF(CONFIG_METADATA!$B$4&lt;&gt;"OR+EX",--(DATOS!$G18314=CONFIG_METADATA!$B$4),IF(DATOS!$G18314="EX",1,IF(DATOS!$G18314="OR",--(COUNTIFS(nNIA,DATOS!$A18314,nCURSO,DATOS!$D18314,nESPEC,DATOS!$E18314,nASIG,DATOS!$I18314,nEVAL,"EX")=0),0))))</f>
      </c>
      <c r="H18314">
        <f>IF(DATOS!$G18314&lt;&gt;"EX",0,--(COUNTIFS(nNIA,DATOS!$A18314,nCURSO,DATOS!$D18314,nESPEC,DATOS!$E18314,nASIG,DATOS!$I18314,nEVAL,"OR")=0))</f>
      </c>
      <c r="I18314">
        <f>IF(DATOS!$I18314="","",IFERROR(VLOOKUP(DATOS!$I18314,CONFIG_ASIGNATURAS!$B$2:$J$91,9,FALSE()),""))</f>
      </c>
    </row>
    <row r="18315">
      <c r="F18315">
        <f>IF(DATOS!$A18315="","",DATOS!$A18315&amp;"|"&amp;DATOS!$D18315&amp;"|"&amp;DATOS!$E18315&amp;"|"&amp;DATOS!$I18315)</f>
      </c>
      <c r="G18315">
        <f>IF(DATOS!$A18315="",0,IF(CONFIG_METADATA!$B$4&lt;&gt;"OR+EX",--(DATOS!$G18315=CONFIG_METADATA!$B$4),IF(DATOS!$G18315="EX",1,IF(DATOS!$G18315="OR",--(COUNTIFS(nNIA,DATOS!$A18315,nCURSO,DATOS!$D18315,nESPEC,DATOS!$E18315,nASIG,DATOS!$I18315,nEVAL,"EX")=0),0))))</f>
      </c>
      <c r="H18315">
        <f>IF(DATOS!$G18315&lt;&gt;"EX",0,--(COUNTIFS(nNIA,DATOS!$A18315,nCURSO,DATOS!$D18315,nESPEC,DATOS!$E18315,nASIG,DATOS!$I18315,nEVAL,"OR")=0))</f>
      </c>
      <c r="I18315">
        <f>IF(DATOS!$I18315="","",IFERROR(VLOOKUP(DATOS!$I18315,CONFIG_ASIGNATURAS!$B$2:$J$91,9,FALSE()),""))</f>
      </c>
    </row>
    <row r="18316">
      <c r="F18316">
        <f>IF(DATOS!$A18316="","",DATOS!$A18316&amp;"|"&amp;DATOS!$D18316&amp;"|"&amp;DATOS!$E18316&amp;"|"&amp;DATOS!$I18316)</f>
      </c>
      <c r="G18316">
        <f>IF(DATOS!$A18316="",0,IF(CONFIG_METADATA!$B$4&lt;&gt;"OR+EX",--(DATOS!$G18316=CONFIG_METADATA!$B$4),IF(DATOS!$G18316="EX",1,IF(DATOS!$G18316="OR",--(COUNTIFS(nNIA,DATOS!$A18316,nCURSO,DATOS!$D18316,nESPEC,DATOS!$E18316,nASIG,DATOS!$I18316,nEVAL,"EX")=0),0))))</f>
      </c>
      <c r="H18316">
        <f>IF(DATOS!$G18316&lt;&gt;"EX",0,--(COUNTIFS(nNIA,DATOS!$A18316,nCURSO,DATOS!$D18316,nESPEC,DATOS!$E18316,nASIG,DATOS!$I18316,nEVAL,"OR")=0))</f>
      </c>
      <c r="I18316">
        <f>IF(DATOS!$I18316="","",IFERROR(VLOOKUP(DATOS!$I18316,CONFIG_ASIGNATURAS!$B$2:$J$91,9,FALSE()),""))</f>
      </c>
    </row>
    <row r="18317">
      <c r="F18317">
        <f>IF(DATOS!$A18317="","",DATOS!$A18317&amp;"|"&amp;DATOS!$D18317&amp;"|"&amp;DATOS!$E18317&amp;"|"&amp;DATOS!$I18317)</f>
      </c>
      <c r="G18317">
        <f>IF(DATOS!$A18317="",0,IF(CONFIG_METADATA!$B$4&lt;&gt;"OR+EX",--(DATOS!$G18317=CONFIG_METADATA!$B$4),IF(DATOS!$G18317="EX",1,IF(DATOS!$G18317="OR",--(COUNTIFS(nNIA,DATOS!$A18317,nCURSO,DATOS!$D18317,nESPEC,DATOS!$E18317,nASIG,DATOS!$I18317,nEVAL,"EX")=0),0))))</f>
      </c>
      <c r="H18317">
        <f>IF(DATOS!$G18317&lt;&gt;"EX",0,--(COUNTIFS(nNIA,DATOS!$A18317,nCURSO,DATOS!$D18317,nESPEC,DATOS!$E18317,nASIG,DATOS!$I18317,nEVAL,"OR")=0))</f>
      </c>
      <c r="I18317">
        <f>IF(DATOS!$I18317="","",IFERROR(VLOOKUP(DATOS!$I18317,CONFIG_ASIGNATURAS!$B$2:$J$91,9,FALSE()),""))</f>
      </c>
    </row>
    <row r="18318">
      <c r="F18318">
        <f>IF(DATOS!$A18318="","",DATOS!$A18318&amp;"|"&amp;DATOS!$D18318&amp;"|"&amp;DATOS!$E18318&amp;"|"&amp;DATOS!$I18318)</f>
      </c>
      <c r="G18318">
        <f>IF(DATOS!$A18318="",0,IF(CONFIG_METADATA!$B$4&lt;&gt;"OR+EX",--(DATOS!$G18318=CONFIG_METADATA!$B$4),IF(DATOS!$G18318="EX",1,IF(DATOS!$G18318="OR",--(COUNTIFS(nNIA,DATOS!$A18318,nCURSO,DATOS!$D18318,nESPEC,DATOS!$E18318,nASIG,DATOS!$I18318,nEVAL,"EX")=0),0))))</f>
      </c>
      <c r="H18318">
        <f>IF(DATOS!$G18318&lt;&gt;"EX",0,--(COUNTIFS(nNIA,DATOS!$A18318,nCURSO,DATOS!$D18318,nESPEC,DATOS!$E18318,nASIG,DATOS!$I18318,nEVAL,"OR")=0))</f>
      </c>
      <c r="I18318">
        <f>IF(DATOS!$I18318="","",IFERROR(VLOOKUP(DATOS!$I18318,CONFIG_ASIGNATURAS!$B$2:$J$91,9,FALSE()),""))</f>
      </c>
    </row>
    <row r="18319">
      <c r="F18319">
        <f>IF(DATOS!$A18319="","",DATOS!$A18319&amp;"|"&amp;DATOS!$D18319&amp;"|"&amp;DATOS!$E18319&amp;"|"&amp;DATOS!$I18319)</f>
      </c>
      <c r="G18319">
        <f>IF(DATOS!$A18319="",0,IF(CONFIG_METADATA!$B$4&lt;&gt;"OR+EX",--(DATOS!$G18319=CONFIG_METADATA!$B$4),IF(DATOS!$G18319="EX",1,IF(DATOS!$G18319="OR",--(COUNTIFS(nNIA,DATOS!$A18319,nCURSO,DATOS!$D18319,nESPEC,DATOS!$E18319,nASIG,DATOS!$I18319,nEVAL,"EX")=0),0))))</f>
      </c>
      <c r="H18319">
        <f>IF(DATOS!$G18319&lt;&gt;"EX",0,--(COUNTIFS(nNIA,DATOS!$A18319,nCURSO,DATOS!$D18319,nESPEC,DATOS!$E18319,nASIG,DATOS!$I18319,nEVAL,"OR")=0))</f>
      </c>
      <c r="I18319">
        <f>IF(DATOS!$I18319="","",IFERROR(VLOOKUP(DATOS!$I18319,CONFIG_ASIGNATURAS!$B$2:$J$91,9,FALSE()),""))</f>
      </c>
    </row>
    <row r="18320">
      <c r="F18320">
        <f>IF(DATOS!$A18320="","",DATOS!$A18320&amp;"|"&amp;DATOS!$D18320&amp;"|"&amp;DATOS!$E18320&amp;"|"&amp;DATOS!$I18320)</f>
      </c>
      <c r="G18320">
        <f>IF(DATOS!$A18320="",0,IF(CONFIG_METADATA!$B$4&lt;&gt;"OR+EX",--(DATOS!$G18320=CONFIG_METADATA!$B$4),IF(DATOS!$G18320="EX",1,IF(DATOS!$G18320="OR",--(COUNTIFS(nNIA,DATOS!$A18320,nCURSO,DATOS!$D18320,nESPEC,DATOS!$E18320,nASIG,DATOS!$I18320,nEVAL,"EX")=0),0))))</f>
      </c>
      <c r="H18320">
        <f>IF(DATOS!$G18320&lt;&gt;"EX",0,--(COUNTIFS(nNIA,DATOS!$A18320,nCURSO,DATOS!$D18320,nESPEC,DATOS!$E18320,nASIG,DATOS!$I18320,nEVAL,"OR")=0))</f>
      </c>
      <c r="I18320">
        <f>IF(DATOS!$I18320="","",IFERROR(VLOOKUP(DATOS!$I18320,CONFIG_ASIGNATURAS!$B$2:$J$91,9,FALSE()),""))</f>
      </c>
    </row>
    <row r="18321">
      <c r="F18321">
        <f>IF(DATOS!$A18321="","",DATOS!$A18321&amp;"|"&amp;DATOS!$D18321&amp;"|"&amp;DATOS!$E18321&amp;"|"&amp;DATOS!$I18321)</f>
      </c>
      <c r="G18321">
        <f>IF(DATOS!$A18321="",0,IF(CONFIG_METADATA!$B$4&lt;&gt;"OR+EX",--(DATOS!$G18321=CONFIG_METADATA!$B$4),IF(DATOS!$G18321="EX",1,IF(DATOS!$G18321="OR",--(COUNTIFS(nNIA,DATOS!$A18321,nCURSO,DATOS!$D18321,nESPEC,DATOS!$E18321,nASIG,DATOS!$I18321,nEVAL,"EX")=0),0))))</f>
      </c>
      <c r="H18321">
        <f>IF(DATOS!$G18321&lt;&gt;"EX",0,--(COUNTIFS(nNIA,DATOS!$A18321,nCURSO,DATOS!$D18321,nESPEC,DATOS!$E18321,nASIG,DATOS!$I18321,nEVAL,"OR")=0))</f>
      </c>
      <c r="I18321">
        <f>IF(DATOS!$I18321="","",IFERROR(VLOOKUP(DATOS!$I18321,CONFIG_ASIGNATURAS!$B$2:$J$91,9,FALSE()),""))</f>
      </c>
    </row>
    <row r="18322">
      <c r="F18322">
        <f>IF(DATOS!$A18322="","",DATOS!$A18322&amp;"|"&amp;DATOS!$D18322&amp;"|"&amp;DATOS!$E18322&amp;"|"&amp;DATOS!$I18322)</f>
      </c>
      <c r="G18322">
        <f>IF(DATOS!$A18322="",0,IF(CONFIG_METADATA!$B$4&lt;&gt;"OR+EX",--(DATOS!$G18322=CONFIG_METADATA!$B$4),IF(DATOS!$G18322="EX",1,IF(DATOS!$G18322="OR",--(COUNTIFS(nNIA,DATOS!$A18322,nCURSO,DATOS!$D18322,nESPEC,DATOS!$E18322,nASIG,DATOS!$I18322,nEVAL,"EX")=0),0))))</f>
      </c>
      <c r="H18322">
        <f>IF(DATOS!$G18322&lt;&gt;"EX",0,--(COUNTIFS(nNIA,DATOS!$A18322,nCURSO,DATOS!$D18322,nESPEC,DATOS!$E18322,nASIG,DATOS!$I18322,nEVAL,"OR")=0))</f>
      </c>
      <c r="I18322">
        <f>IF(DATOS!$I18322="","",IFERROR(VLOOKUP(DATOS!$I18322,CONFIG_ASIGNATURAS!$B$2:$J$91,9,FALSE()),""))</f>
      </c>
    </row>
    <row r="18323">
      <c r="F18323">
        <f>IF(DATOS!$A18323="","",DATOS!$A18323&amp;"|"&amp;DATOS!$D18323&amp;"|"&amp;DATOS!$E18323&amp;"|"&amp;DATOS!$I18323)</f>
      </c>
      <c r="G18323">
        <f>IF(DATOS!$A18323="",0,IF(CONFIG_METADATA!$B$4&lt;&gt;"OR+EX",--(DATOS!$G18323=CONFIG_METADATA!$B$4),IF(DATOS!$G18323="EX",1,IF(DATOS!$G18323="OR",--(COUNTIFS(nNIA,DATOS!$A18323,nCURSO,DATOS!$D18323,nESPEC,DATOS!$E18323,nASIG,DATOS!$I18323,nEVAL,"EX")=0),0))))</f>
      </c>
      <c r="H18323">
        <f>IF(DATOS!$G18323&lt;&gt;"EX",0,--(COUNTIFS(nNIA,DATOS!$A18323,nCURSO,DATOS!$D18323,nESPEC,DATOS!$E18323,nASIG,DATOS!$I18323,nEVAL,"OR")=0))</f>
      </c>
      <c r="I18323">
        <f>IF(DATOS!$I18323="","",IFERROR(VLOOKUP(DATOS!$I18323,CONFIG_ASIGNATURAS!$B$2:$J$91,9,FALSE()),""))</f>
      </c>
    </row>
    <row r="18324">
      <c r="F18324">
        <f>IF(DATOS!$A18324="","",DATOS!$A18324&amp;"|"&amp;DATOS!$D18324&amp;"|"&amp;DATOS!$E18324&amp;"|"&amp;DATOS!$I18324)</f>
      </c>
      <c r="G18324">
        <f>IF(DATOS!$A18324="",0,IF(CONFIG_METADATA!$B$4&lt;&gt;"OR+EX",--(DATOS!$G18324=CONFIG_METADATA!$B$4),IF(DATOS!$G18324="EX",1,IF(DATOS!$G18324="OR",--(COUNTIFS(nNIA,DATOS!$A18324,nCURSO,DATOS!$D18324,nESPEC,DATOS!$E18324,nASIG,DATOS!$I18324,nEVAL,"EX")=0),0))))</f>
      </c>
      <c r="H18324">
        <f>IF(DATOS!$G18324&lt;&gt;"EX",0,--(COUNTIFS(nNIA,DATOS!$A18324,nCURSO,DATOS!$D18324,nESPEC,DATOS!$E18324,nASIG,DATOS!$I18324,nEVAL,"OR")=0))</f>
      </c>
      <c r="I18324">
        <f>IF(DATOS!$I18324="","",IFERROR(VLOOKUP(DATOS!$I18324,CONFIG_ASIGNATURAS!$B$2:$J$91,9,FALSE()),""))</f>
      </c>
    </row>
    <row r="18325">
      <c r="F18325">
        <f>IF(DATOS!$A18325="","",DATOS!$A18325&amp;"|"&amp;DATOS!$D18325&amp;"|"&amp;DATOS!$E18325&amp;"|"&amp;DATOS!$I18325)</f>
      </c>
      <c r="G18325">
        <f>IF(DATOS!$A18325="",0,IF(CONFIG_METADATA!$B$4&lt;&gt;"OR+EX",--(DATOS!$G18325=CONFIG_METADATA!$B$4),IF(DATOS!$G18325="EX",1,IF(DATOS!$G18325="OR",--(COUNTIFS(nNIA,DATOS!$A18325,nCURSO,DATOS!$D18325,nESPEC,DATOS!$E18325,nASIG,DATOS!$I18325,nEVAL,"EX")=0),0))))</f>
      </c>
      <c r="H18325">
        <f>IF(DATOS!$G18325&lt;&gt;"EX",0,--(COUNTIFS(nNIA,DATOS!$A18325,nCURSO,DATOS!$D18325,nESPEC,DATOS!$E18325,nASIG,DATOS!$I18325,nEVAL,"OR")=0))</f>
      </c>
      <c r="I18325">
        <f>IF(DATOS!$I18325="","",IFERROR(VLOOKUP(DATOS!$I18325,CONFIG_ASIGNATURAS!$B$2:$J$91,9,FALSE()),""))</f>
      </c>
    </row>
    <row r="18326">
      <c r="F18326">
        <f>IF(DATOS!$A18326="","",DATOS!$A18326&amp;"|"&amp;DATOS!$D18326&amp;"|"&amp;DATOS!$E18326&amp;"|"&amp;DATOS!$I18326)</f>
      </c>
      <c r="G18326">
        <f>IF(DATOS!$A18326="",0,IF(CONFIG_METADATA!$B$4&lt;&gt;"OR+EX",--(DATOS!$G18326=CONFIG_METADATA!$B$4),IF(DATOS!$G18326="EX",1,IF(DATOS!$G18326="OR",--(COUNTIFS(nNIA,DATOS!$A18326,nCURSO,DATOS!$D18326,nESPEC,DATOS!$E18326,nASIG,DATOS!$I18326,nEVAL,"EX")=0),0))))</f>
      </c>
      <c r="H18326">
        <f>IF(DATOS!$G18326&lt;&gt;"EX",0,--(COUNTIFS(nNIA,DATOS!$A18326,nCURSO,DATOS!$D18326,nESPEC,DATOS!$E18326,nASIG,DATOS!$I18326,nEVAL,"OR")=0))</f>
      </c>
      <c r="I18326">
        <f>IF(DATOS!$I18326="","",IFERROR(VLOOKUP(DATOS!$I18326,CONFIG_ASIGNATURAS!$B$2:$J$91,9,FALSE()),""))</f>
      </c>
    </row>
    <row r="18327">
      <c r="F18327">
        <f>IF(DATOS!$A18327="","",DATOS!$A18327&amp;"|"&amp;DATOS!$D18327&amp;"|"&amp;DATOS!$E18327&amp;"|"&amp;DATOS!$I18327)</f>
      </c>
      <c r="G18327">
        <f>IF(DATOS!$A18327="",0,IF(CONFIG_METADATA!$B$4&lt;&gt;"OR+EX",--(DATOS!$G18327=CONFIG_METADATA!$B$4),IF(DATOS!$G18327="EX",1,IF(DATOS!$G18327="OR",--(COUNTIFS(nNIA,DATOS!$A18327,nCURSO,DATOS!$D18327,nESPEC,DATOS!$E18327,nASIG,DATOS!$I18327,nEVAL,"EX")=0),0))))</f>
      </c>
      <c r="H18327">
        <f>IF(DATOS!$G18327&lt;&gt;"EX",0,--(COUNTIFS(nNIA,DATOS!$A18327,nCURSO,DATOS!$D18327,nESPEC,DATOS!$E18327,nASIG,DATOS!$I18327,nEVAL,"OR")=0))</f>
      </c>
      <c r="I18327">
        <f>IF(DATOS!$I18327="","",IFERROR(VLOOKUP(DATOS!$I18327,CONFIG_ASIGNATURAS!$B$2:$J$91,9,FALSE()),""))</f>
      </c>
    </row>
    <row r="18328">
      <c r="F18328">
        <f>IF(DATOS!$A18328="","",DATOS!$A18328&amp;"|"&amp;DATOS!$D18328&amp;"|"&amp;DATOS!$E18328&amp;"|"&amp;DATOS!$I18328)</f>
      </c>
      <c r="G18328">
        <f>IF(DATOS!$A18328="",0,IF(CONFIG_METADATA!$B$4&lt;&gt;"OR+EX",--(DATOS!$G18328=CONFIG_METADATA!$B$4),IF(DATOS!$G18328="EX",1,IF(DATOS!$G18328="OR",--(COUNTIFS(nNIA,DATOS!$A18328,nCURSO,DATOS!$D18328,nESPEC,DATOS!$E18328,nASIG,DATOS!$I18328,nEVAL,"EX")=0),0))))</f>
      </c>
      <c r="H18328">
        <f>IF(DATOS!$G18328&lt;&gt;"EX",0,--(COUNTIFS(nNIA,DATOS!$A18328,nCURSO,DATOS!$D18328,nESPEC,DATOS!$E18328,nASIG,DATOS!$I18328,nEVAL,"OR")=0))</f>
      </c>
      <c r="I18328">
        <f>IF(DATOS!$I18328="","",IFERROR(VLOOKUP(DATOS!$I18328,CONFIG_ASIGNATURAS!$B$2:$J$91,9,FALSE()),""))</f>
      </c>
    </row>
    <row r="18329">
      <c r="F18329">
        <f>IF(DATOS!$A18329="","",DATOS!$A18329&amp;"|"&amp;DATOS!$D18329&amp;"|"&amp;DATOS!$E18329&amp;"|"&amp;DATOS!$I18329)</f>
      </c>
      <c r="G18329">
        <f>IF(DATOS!$A18329="",0,IF(CONFIG_METADATA!$B$4&lt;&gt;"OR+EX",--(DATOS!$G18329=CONFIG_METADATA!$B$4),IF(DATOS!$G18329="EX",1,IF(DATOS!$G18329="OR",--(COUNTIFS(nNIA,DATOS!$A18329,nCURSO,DATOS!$D18329,nESPEC,DATOS!$E18329,nASIG,DATOS!$I18329,nEVAL,"EX")=0),0))))</f>
      </c>
      <c r="H18329">
        <f>IF(DATOS!$G18329&lt;&gt;"EX",0,--(COUNTIFS(nNIA,DATOS!$A18329,nCURSO,DATOS!$D18329,nESPEC,DATOS!$E18329,nASIG,DATOS!$I18329,nEVAL,"OR")=0))</f>
      </c>
      <c r="I18329">
        <f>IF(DATOS!$I18329="","",IFERROR(VLOOKUP(DATOS!$I18329,CONFIG_ASIGNATURAS!$B$2:$J$91,9,FALSE()),""))</f>
      </c>
    </row>
    <row r="18330">
      <c r="F18330">
        <f>IF(DATOS!$A18330="","",DATOS!$A18330&amp;"|"&amp;DATOS!$D18330&amp;"|"&amp;DATOS!$E18330&amp;"|"&amp;DATOS!$I18330)</f>
      </c>
      <c r="G18330">
        <f>IF(DATOS!$A18330="",0,IF(CONFIG_METADATA!$B$4&lt;&gt;"OR+EX",--(DATOS!$G18330=CONFIG_METADATA!$B$4),IF(DATOS!$G18330="EX",1,IF(DATOS!$G18330="OR",--(COUNTIFS(nNIA,DATOS!$A18330,nCURSO,DATOS!$D18330,nESPEC,DATOS!$E18330,nASIG,DATOS!$I18330,nEVAL,"EX")=0),0))))</f>
      </c>
      <c r="H18330">
        <f>IF(DATOS!$G18330&lt;&gt;"EX",0,--(COUNTIFS(nNIA,DATOS!$A18330,nCURSO,DATOS!$D18330,nESPEC,DATOS!$E18330,nASIG,DATOS!$I18330,nEVAL,"OR")=0))</f>
      </c>
      <c r="I18330">
        <f>IF(DATOS!$I18330="","",IFERROR(VLOOKUP(DATOS!$I18330,CONFIG_ASIGNATURAS!$B$2:$J$91,9,FALSE()),""))</f>
      </c>
    </row>
    <row r="18331">
      <c r="F18331">
        <f>IF(DATOS!$A18331="","",DATOS!$A18331&amp;"|"&amp;DATOS!$D18331&amp;"|"&amp;DATOS!$E18331&amp;"|"&amp;DATOS!$I18331)</f>
      </c>
      <c r="G18331">
        <f>IF(DATOS!$A18331="",0,IF(CONFIG_METADATA!$B$4&lt;&gt;"OR+EX",--(DATOS!$G18331=CONFIG_METADATA!$B$4),IF(DATOS!$G18331="EX",1,IF(DATOS!$G18331="OR",--(COUNTIFS(nNIA,DATOS!$A18331,nCURSO,DATOS!$D18331,nESPEC,DATOS!$E18331,nASIG,DATOS!$I18331,nEVAL,"EX")=0),0))))</f>
      </c>
      <c r="H18331">
        <f>IF(DATOS!$G18331&lt;&gt;"EX",0,--(COUNTIFS(nNIA,DATOS!$A18331,nCURSO,DATOS!$D18331,nESPEC,DATOS!$E18331,nASIG,DATOS!$I18331,nEVAL,"OR")=0))</f>
      </c>
      <c r="I18331">
        <f>IF(DATOS!$I18331="","",IFERROR(VLOOKUP(DATOS!$I18331,CONFIG_ASIGNATURAS!$B$2:$J$91,9,FALSE()),""))</f>
      </c>
    </row>
    <row r="18332">
      <c r="F18332">
        <f>IF(DATOS!$A18332="","",DATOS!$A18332&amp;"|"&amp;DATOS!$D18332&amp;"|"&amp;DATOS!$E18332&amp;"|"&amp;DATOS!$I18332)</f>
      </c>
      <c r="G18332">
        <f>IF(DATOS!$A18332="",0,IF(CONFIG_METADATA!$B$4&lt;&gt;"OR+EX",--(DATOS!$G18332=CONFIG_METADATA!$B$4),IF(DATOS!$G18332="EX",1,IF(DATOS!$G18332="OR",--(COUNTIFS(nNIA,DATOS!$A18332,nCURSO,DATOS!$D18332,nESPEC,DATOS!$E18332,nASIG,DATOS!$I18332,nEVAL,"EX")=0),0))))</f>
      </c>
      <c r="H18332">
        <f>IF(DATOS!$G18332&lt;&gt;"EX",0,--(COUNTIFS(nNIA,DATOS!$A18332,nCURSO,DATOS!$D18332,nESPEC,DATOS!$E18332,nASIG,DATOS!$I18332,nEVAL,"OR")=0))</f>
      </c>
      <c r="I18332">
        <f>IF(DATOS!$I18332="","",IFERROR(VLOOKUP(DATOS!$I18332,CONFIG_ASIGNATURAS!$B$2:$J$91,9,FALSE()),""))</f>
      </c>
    </row>
    <row r="18333">
      <c r="F18333">
        <f>IF(DATOS!$A18333="","",DATOS!$A18333&amp;"|"&amp;DATOS!$D18333&amp;"|"&amp;DATOS!$E18333&amp;"|"&amp;DATOS!$I18333)</f>
      </c>
      <c r="G18333">
        <f>IF(DATOS!$A18333="",0,IF(CONFIG_METADATA!$B$4&lt;&gt;"OR+EX",--(DATOS!$G18333=CONFIG_METADATA!$B$4),IF(DATOS!$G18333="EX",1,IF(DATOS!$G18333="OR",--(COUNTIFS(nNIA,DATOS!$A18333,nCURSO,DATOS!$D18333,nESPEC,DATOS!$E18333,nASIG,DATOS!$I18333,nEVAL,"EX")=0),0))))</f>
      </c>
      <c r="H18333">
        <f>IF(DATOS!$G18333&lt;&gt;"EX",0,--(COUNTIFS(nNIA,DATOS!$A18333,nCURSO,DATOS!$D18333,nESPEC,DATOS!$E18333,nASIG,DATOS!$I18333,nEVAL,"OR")=0))</f>
      </c>
      <c r="I18333">
        <f>IF(DATOS!$I18333="","",IFERROR(VLOOKUP(DATOS!$I18333,CONFIG_ASIGNATURAS!$B$2:$J$91,9,FALSE()),""))</f>
      </c>
    </row>
    <row r="18334">
      <c r="F18334">
        <f>IF(DATOS!$A18334="","",DATOS!$A18334&amp;"|"&amp;DATOS!$D18334&amp;"|"&amp;DATOS!$E18334&amp;"|"&amp;DATOS!$I18334)</f>
      </c>
      <c r="G18334">
        <f>IF(DATOS!$A18334="",0,IF(CONFIG_METADATA!$B$4&lt;&gt;"OR+EX",--(DATOS!$G18334=CONFIG_METADATA!$B$4),IF(DATOS!$G18334="EX",1,IF(DATOS!$G18334="OR",--(COUNTIFS(nNIA,DATOS!$A18334,nCURSO,DATOS!$D18334,nESPEC,DATOS!$E18334,nASIG,DATOS!$I18334,nEVAL,"EX")=0),0))))</f>
      </c>
      <c r="H18334">
        <f>IF(DATOS!$G18334&lt;&gt;"EX",0,--(COUNTIFS(nNIA,DATOS!$A18334,nCURSO,DATOS!$D18334,nESPEC,DATOS!$E18334,nASIG,DATOS!$I18334,nEVAL,"OR")=0))</f>
      </c>
      <c r="I18334">
        <f>IF(DATOS!$I18334="","",IFERROR(VLOOKUP(DATOS!$I18334,CONFIG_ASIGNATURAS!$B$2:$J$91,9,FALSE()),""))</f>
      </c>
    </row>
    <row r="18335">
      <c r="F18335">
        <f>IF(DATOS!$A18335="","",DATOS!$A18335&amp;"|"&amp;DATOS!$D18335&amp;"|"&amp;DATOS!$E18335&amp;"|"&amp;DATOS!$I18335)</f>
      </c>
      <c r="G18335">
        <f>IF(DATOS!$A18335="",0,IF(CONFIG_METADATA!$B$4&lt;&gt;"OR+EX",--(DATOS!$G18335=CONFIG_METADATA!$B$4),IF(DATOS!$G18335="EX",1,IF(DATOS!$G18335="OR",--(COUNTIFS(nNIA,DATOS!$A18335,nCURSO,DATOS!$D18335,nESPEC,DATOS!$E18335,nASIG,DATOS!$I18335,nEVAL,"EX")=0),0))))</f>
      </c>
      <c r="H18335">
        <f>IF(DATOS!$G18335&lt;&gt;"EX",0,--(COUNTIFS(nNIA,DATOS!$A18335,nCURSO,DATOS!$D18335,nESPEC,DATOS!$E18335,nASIG,DATOS!$I18335,nEVAL,"OR")=0))</f>
      </c>
      <c r="I18335">
        <f>IF(DATOS!$I18335="","",IFERROR(VLOOKUP(DATOS!$I18335,CONFIG_ASIGNATURAS!$B$2:$J$91,9,FALSE()),""))</f>
      </c>
    </row>
    <row r="18336">
      <c r="F18336">
        <f>IF(DATOS!$A18336="","",DATOS!$A18336&amp;"|"&amp;DATOS!$D18336&amp;"|"&amp;DATOS!$E18336&amp;"|"&amp;DATOS!$I18336)</f>
      </c>
      <c r="G18336">
        <f>IF(DATOS!$A18336="",0,IF(CONFIG_METADATA!$B$4&lt;&gt;"OR+EX",--(DATOS!$G18336=CONFIG_METADATA!$B$4),IF(DATOS!$G18336="EX",1,IF(DATOS!$G18336="OR",--(COUNTIFS(nNIA,DATOS!$A18336,nCURSO,DATOS!$D18336,nESPEC,DATOS!$E18336,nASIG,DATOS!$I18336,nEVAL,"EX")=0),0))))</f>
      </c>
      <c r="H18336">
        <f>IF(DATOS!$G18336&lt;&gt;"EX",0,--(COUNTIFS(nNIA,DATOS!$A18336,nCURSO,DATOS!$D18336,nESPEC,DATOS!$E18336,nASIG,DATOS!$I18336,nEVAL,"OR")=0))</f>
      </c>
      <c r="I18336">
        <f>IF(DATOS!$I18336="","",IFERROR(VLOOKUP(DATOS!$I18336,CONFIG_ASIGNATURAS!$B$2:$J$91,9,FALSE()),""))</f>
      </c>
    </row>
    <row r="18337">
      <c r="F18337">
        <f>IF(DATOS!$A18337="","",DATOS!$A18337&amp;"|"&amp;DATOS!$D18337&amp;"|"&amp;DATOS!$E18337&amp;"|"&amp;DATOS!$I18337)</f>
      </c>
      <c r="G18337">
        <f>IF(DATOS!$A18337="",0,IF(CONFIG_METADATA!$B$4&lt;&gt;"OR+EX",--(DATOS!$G18337=CONFIG_METADATA!$B$4),IF(DATOS!$G18337="EX",1,IF(DATOS!$G18337="OR",--(COUNTIFS(nNIA,DATOS!$A18337,nCURSO,DATOS!$D18337,nESPEC,DATOS!$E18337,nASIG,DATOS!$I18337,nEVAL,"EX")=0),0))))</f>
      </c>
      <c r="H18337">
        <f>IF(DATOS!$G18337&lt;&gt;"EX",0,--(COUNTIFS(nNIA,DATOS!$A18337,nCURSO,DATOS!$D18337,nESPEC,DATOS!$E18337,nASIG,DATOS!$I18337,nEVAL,"OR")=0))</f>
      </c>
      <c r="I18337">
        <f>IF(DATOS!$I18337="","",IFERROR(VLOOKUP(DATOS!$I18337,CONFIG_ASIGNATURAS!$B$2:$J$91,9,FALSE()),""))</f>
      </c>
    </row>
    <row r="18338">
      <c r="F18338">
        <f>IF(DATOS!$A18338="","",DATOS!$A18338&amp;"|"&amp;DATOS!$D18338&amp;"|"&amp;DATOS!$E18338&amp;"|"&amp;DATOS!$I18338)</f>
      </c>
      <c r="G18338">
        <f>IF(DATOS!$A18338="",0,IF(CONFIG_METADATA!$B$4&lt;&gt;"OR+EX",--(DATOS!$G18338=CONFIG_METADATA!$B$4),IF(DATOS!$G18338="EX",1,IF(DATOS!$G18338="OR",--(COUNTIFS(nNIA,DATOS!$A18338,nCURSO,DATOS!$D18338,nESPEC,DATOS!$E18338,nASIG,DATOS!$I18338,nEVAL,"EX")=0),0))))</f>
      </c>
      <c r="H18338">
        <f>IF(DATOS!$G18338&lt;&gt;"EX",0,--(COUNTIFS(nNIA,DATOS!$A18338,nCURSO,DATOS!$D18338,nESPEC,DATOS!$E18338,nASIG,DATOS!$I18338,nEVAL,"OR")=0))</f>
      </c>
      <c r="I18338">
        <f>IF(DATOS!$I18338="","",IFERROR(VLOOKUP(DATOS!$I18338,CONFIG_ASIGNATURAS!$B$2:$J$91,9,FALSE()),""))</f>
      </c>
    </row>
    <row r="18339">
      <c r="F18339">
        <f>IF(DATOS!$A18339="","",DATOS!$A18339&amp;"|"&amp;DATOS!$D18339&amp;"|"&amp;DATOS!$E18339&amp;"|"&amp;DATOS!$I18339)</f>
      </c>
      <c r="G18339">
        <f>IF(DATOS!$A18339="",0,IF(CONFIG_METADATA!$B$4&lt;&gt;"OR+EX",--(DATOS!$G18339=CONFIG_METADATA!$B$4),IF(DATOS!$G18339="EX",1,IF(DATOS!$G18339="OR",--(COUNTIFS(nNIA,DATOS!$A18339,nCURSO,DATOS!$D18339,nESPEC,DATOS!$E18339,nASIG,DATOS!$I18339,nEVAL,"EX")=0),0))))</f>
      </c>
      <c r="H18339">
        <f>IF(DATOS!$G18339&lt;&gt;"EX",0,--(COUNTIFS(nNIA,DATOS!$A18339,nCURSO,DATOS!$D18339,nESPEC,DATOS!$E18339,nASIG,DATOS!$I18339,nEVAL,"OR")=0))</f>
      </c>
      <c r="I18339">
        <f>IF(DATOS!$I18339="","",IFERROR(VLOOKUP(DATOS!$I18339,CONFIG_ASIGNATURAS!$B$2:$J$91,9,FALSE()),""))</f>
      </c>
    </row>
    <row r="18340">
      <c r="F18340">
        <f>IF(DATOS!$A18340="","",DATOS!$A18340&amp;"|"&amp;DATOS!$D18340&amp;"|"&amp;DATOS!$E18340&amp;"|"&amp;DATOS!$I18340)</f>
      </c>
      <c r="G18340">
        <f>IF(DATOS!$A18340="",0,IF(CONFIG_METADATA!$B$4&lt;&gt;"OR+EX",--(DATOS!$G18340=CONFIG_METADATA!$B$4),IF(DATOS!$G18340="EX",1,IF(DATOS!$G18340="OR",--(COUNTIFS(nNIA,DATOS!$A18340,nCURSO,DATOS!$D18340,nESPEC,DATOS!$E18340,nASIG,DATOS!$I18340,nEVAL,"EX")=0),0))))</f>
      </c>
      <c r="H18340">
        <f>IF(DATOS!$G18340&lt;&gt;"EX",0,--(COUNTIFS(nNIA,DATOS!$A18340,nCURSO,DATOS!$D18340,nESPEC,DATOS!$E18340,nASIG,DATOS!$I18340,nEVAL,"OR")=0))</f>
      </c>
      <c r="I18340">
        <f>IF(DATOS!$I18340="","",IFERROR(VLOOKUP(DATOS!$I18340,CONFIG_ASIGNATURAS!$B$2:$J$91,9,FALSE()),""))</f>
      </c>
    </row>
    <row r="18341">
      <c r="F18341">
        <f>IF(DATOS!$A18341="","",DATOS!$A18341&amp;"|"&amp;DATOS!$D18341&amp;"|"&amp;DATOS!$E18341&amp;"|"&amp;DATOS!$I18341)</f>
      </c>
      <c r="G18341">
        <f>IF(DATOS!$A18341="",0,IF(CONFIG_METADATA!$B$4&lt;&gt;"OR+EX",--(DATOS!$G18341=CONFIG_METADATA!$B$4),IF(DATOS!$G18341="EX",1,IF(DATOS!$G18341="OR",--(COUNTIFS(nNIA,DATOS!$A18341,nCURSO,DATOS!$D18341,nESPEC,DATOS!$E18341,nASIG,DATOS!$I18341,nEVAL,"EX")=0),0))))</f>
      </c>
      <c r="H18341">
        <f>IF(DATOS!$G18341&lt;&gt;"EX",0,--(COUNTIFS(nNIA,DATOS!$A18341,nCURSO,DATOS!$D18341,nESPEC,DATOS!$E18341,nASIG,DATOS!$I18341,nEVAL,"OR")=0))</f>
      </c>
      <c r="I18341">
        <f>IF(DATOS!$I18341="","",IFERROR(VLOOKUP(DATOS!$I18341,CONFIG_ASIGNATURAS!$B$2:$J$91,9,FALSE()),""))</f>
      </c>
    </row>
    <row r="18342">
      <c r="F18342">
        <f>IF(DATOS!$A18342="","",DATOS!$A18342&amp;"|"&amp;DATOS!$D18342&amp;"|"&amp;DATOS!$E18342&amp;"|"&amp;DATOS!$I18342)</f>
      </c>
      <c r="G18342">
        <f>IF(DATOS!$A18342="",0,IF(CONFIG_METADATA!$B$4&lt;&gt;"OR+EX",--(DATOS!$G18342=CONFIG_METADATA!$B$4),IF(DATOS!$G18342="EX",1,IF(DATOS!$G18342="OR",--(COUNTIFS(nNIA,DATOS!$A18342,nCURSO,DATOS!$D18342,nESPEC,DATOS!$E18342,nASIG,DATOS!$I18342,nEVAL,"EX")=0),0))))</f>
      </c>
      <c r="H18342">
        <f>IF(DATOS!$G18342&lt;&gt;"EX",0,--(COUNTIFS(nNIA,DATOS!$A18342,nCURSO,DATOS!$D18342,nESPEC,DATOS!$E18342,nASIG,DATOS!$I18342,nEVAL,"OR")=0))</f>
      </c>
      <c r="I18342">
        <f>IF(DATOS!$I18342="","",IFERROR(VLOOKUP(DATOS!$I18342,CONFIG_ASIGNATURAS!$B$2:$J$91,9,FALSE()),""))</f>
      </c>
    </row>
    <row r="18343">
      <c r="F18343">
        <f>IF(DATOS!$A18343="","",DATOS!$A18343&amp;"|"&amp;DATOS!$D18343&amp;"|"&amp;DATOS!$E18343&amp;"|"&amp;DATOS!$I18343)</f>
      </c>
      <c r="G18343">
        <f>IF(DATOS!$A18343="",0,IF(CONFIG_METADATA!$B$4&lt;&gt;"OR+EX",--(DATOS!$G18343=CONFIG_METADATA!$B$4),IF(DATOS!$G18343="EX",1,IF(DATOS!$G18343="OR",--(COUNTIFS(nNIA,DATOS!$A18343,nCURSO,DATOS!$D18343,nESPEC,DATOS!$E18343,nASIG,DATOS!$I18343,nEVAL,"EX")=0),0))))</f>
      </c>
      <c r="H18343">
        <f>IF(DATOS!$G18343&lt;&gt;"EX",0,--(COUNTIFS(nNIA,DATOS!$A18343,nCURSO,DATOS!$D18343,nESPEC,DATOS!$E18343,nASIG,DATOS!$I18343,nEVAL,"OR")=0))</f>
      </c>
      <c r="I18343">
        <f>IF(DATOS!$I18343="","",IFERROR(VLOOKUP(DATOS!$I18343,CONFIG_ASIGNATURAS!$B$2:$J$91,9,FALSE()),""))</f>
      </c>
    </row>
    <row r="18344">
      <c r="F18344">
        <f>IF(DATOS!$A18344="","",DATOS!$A18344&amp;"|"&amp;DATOS!$D18344&amp;"|"&amp;DATOS!$E18344&amp;"|"&amp;DATOS!$I18344)</f>
      </c>
      <c r="G18344">
        <f>IF(DATOS!$A18344="",0,IF(CONFIG_METADATA!$B$4&lt;&gt;"OR+EX",--(DATOS!$G18344=CONFIG_METADATA!$B$4),IF(DATOS!$G18344="EX",1,IF(DATOS!$G18344="OR",--(COUNTIFS(nNIA,DATOS!$A18344,nCURSO,DATOS!$D18344,nESPEC,DATOS!$E18344,nASIG,DATOS!$I18344,nEVAL,"EX")=0),0))))</f>
      </c>
      <c r="H18344">
        <f>IF(DATOS!$G18344&lt;&gt;"EX",0,--(COUNTIFS(nNIA,DATOS!$A18344,nCURSO,DATOS!$D18344,nESPEC,DATOS!$E18344,nASIG,DATOS!$I18344,nEVAL,"OR")=0))</f>
      </c>
      <c r="I18344">
        <f>IF(DATOS!$I18344="","",IFERROR(VLOOKUP(DATOS!$I18344,CONFIG_ASIGNATURAS!$B$2:$J$91,9,FALSE()),""))</f>
      </c>
    </row>
    <row r="18345">
      <c r="F18345">
        <f>IF(DATOS!$A18345="","",DATOS!$A18345&amp;"|"&amp;DATOS!$D18345&amp;"|"&amp;DATOS!$E18345&amp;"|"&amp;DATOS!$I18345)</f>
      </c>
      <c r="G18345">
        <f>IF(DATOS!$A18345="",0,IF(CONFIG_METADATA!$B$4&lt;&gt;"OR+EX",--(DATOS!$G18345=CONFIG_METADATA!$B$4),IF(DATOS!$G18345="EX",1,IF(DATOS!$G18345="OR",--(COUNTIFS(nNIA,DATOS!$A18345,nCURSO,DATOS!$D18345,nESPEC,DATOS!$E18345,nASIG,DATOS!$I18345,nEVAL,"EX")=0),0))))</f>
      </c>
      <c r="H18345">
        <f>IF(DATOS!$G18345&lt;&gt;"EX",0,--(COUNTIFS(nNIA,DATOS!$A18345,nCURSO,DATOS!$D18345,nESPEC,DATOS!$E18345,nASIG,DATOS!$I18345,nEVAL,"OR")=0))</f>
      </c>
      <c r="I18345">
        <f>IF(DATOS!$I18345="","",IFERROR(VLOOKUP(DATOS!$I18345,CONFIG_ASIGNATURAS!$B$2:$J$91,9,FALSE()),""))</f>
      </c>
    </row>
    <row r="18346">
      <c r="F18346">
        <f>IF(DATOS!$A18346="","",DATOS!$A18346&amp;"|"&amp;DATOS!$D18346&amp;"|"&amp;DATOS!$E18346&amp;"|"&amp;DATOS!$I18346)</f>
      </c>
      <c r="G18346">
        <f>IF(DATOS!$A18346="",0,IF(CONFIG_METADATA!$B$4&lt;&gt;"OR+EX",--(DATOS!$G18346=CONFIG_METADATA!$B$4),IF(DATOS!$G18346="EX",1,IF(DATOS!$G18346="OR",--(COUNTIFS(nNIA,DATOS!$A18346,nCURSO,DATOS!$D18346,nESPEC,DATOS!$E18346,nASIG,DATOS!$I18346,nEVAL,"EX")=0),0))))</f>
      </c>
      <c r="H18346">
        <f>IF(DATOS!$G18346&lt;&gt;"EX",0,--(COUNTIFS(nNIA,DATOS!$A18346,nCURSO,DATOS!$D18346,nESPEC,DATOS!$E18346,nASIG,DATOS!$I18346,nEVAL,"OR")=0))</f>
      </c>
      <c r="I18346">
        <f>IF(DATOS!$I18346="","",IFERROR(VLOOKUP(DATOS!$I18346,CONFIG_ASIGNATURAS!$B$2:$J$91,9,FALSE()),""))</f>
      </c>
    </row>
    <row r="18347">
      <c r="F18347">
        <f>IF(DATOS!$A18347="","",DATOS!$A18347&amp;"|"&amp;DATOS!$D18347&amp;"|"&amp;DATOS!$E18347&amp;"|"&amp;DATOS!$I18347)</f>
      </c>
      <c r="G18347">
        <f>IF(DATOS!$A18347="",0,IF(CONFIG_METADATA!$B$4&lt;&gt;"OR+EX",--(DATOS!$G18347=CONFIG_METADATA!$B$4),IF(DATOS!$G18347="EX",1,IF(DATOS!$G18347="OR",--(COUNTIFS(nNIA,DATOS!$A18347,nCURSO,DATOS!$D18347,nESPEC,DATOS!$E18347,nASIG,DATOS!$I18347,nEVAL,"EX")=0),0))))</f>
      </c>
      <c r="H18347">
        <f>IF(DATOS!$G18347&lt;&gt;"EX",0,--(COUNTIFS(nNIA,DATOS!$A18347,nCURSO,DATOS!$D18347,nESPEC,DATOS!$E18347,nASIG,DATOS!$I18347,nEVAL,"OR")=0))</f>
      </c>
      <c r="I18347">
        <f>IF(DATOS!$I18347="","",IFERROR(VLOOKUP(DATOS!$I18347,CONFIG_ASIGNATURAS!$B$2:$J$91,9,FALSE()),""))</f>
      </c>
    </row>
    <row r="18348">
      <c r="F18348">
        <f>IF(DATOS!$A18348="","",DATOS!$A18348&amp;"|"&amp;DATOS!$D18348&amp;"|"&amp;DATOS!$E18348&amp;"|"&amp;DATOS!$I18348)</f>
      </c>
      <c r="G18348">
        <f>IF(DATOS!$A18348="",0,IF(CONFIG_METADATA!$B$4&lt;&gt;"OR+EX",--(DATOS!$G18348=CONFIG_METADATA!$B$4),IF(DATOS!$G18348="EX",1,IF(DATOS!$G18348="OR",--(COUNTIFS(nNIA,DATOS!$A18348,nCURSO,DATOS!$D18348,nESPEC,DATOS!$E18348,nASIG,DATOS!$I18348,nEVAL,"EX")=0),0))))</f>
      </c>
      <c r="H18348">
        <f>IF(DATOS!$G18348&lt;&gt;"EX",0,--(COUNTIFS(nNIA,DATOS!$A18348,nCURSO,DATOS!$D18348,nESPEC,DATOS!$E18348,nASIG,DATOS!$I18348,nEVAL,"OR")=0))</f>
      </c>
      <c r="I18348">
        <f>IF(DATOS!$I18348="","",IFERROR(VLOOKUP(DATOS!$I18348,CONFIG_ASIGNATURAS!$B$2:$J$91,9,FALSE()),""))</f>
      </c>
    </row>
    <row r="18349">
      <c r="F18349">
        <f>IF(DATOS!$A18349="","",DATOS!$A18349&amp;"|"&amp;DATOS!$D18349&amp;"|"&amp;DATOS!$E18349&amp;"|"&amp;DATOS!$I18349)</f>
      </c>
      <c r="G18349">
        <f>IF(DATOS!$A18349="",0,IF(CONFIG_METADATA!$B$4&lt;&gt;"OR+EX",--(DATOS!$G18349=CONFIG_METADATA!$B$4),IF(DATOS!$G18349="EX",1,IF(DATOS!$G18349="OR",--(COUNTIFS(nNIA,DATOS!$A18349,nCURSO,DATOS!$D18349,nESPEC,DATOS!$E18349,nASIG,DATOS!$I18349,nEVAL,"EX")=0),0))))</f>
      </c>
      <c r="H18349">
        <f>IF(DATOS!$G18349&lt;&gt;"EX",0,--(COUNTIFS(nNIA,DATOS!$A18349,nCURSO,DATOS!$D18349,nESPEC,DATOS!$E18349,nASIG,DATOS!$I18349,nEVAL,"OR")=0))</f>
      </c>
      <c r="I18349">
        <f>IF(DATOS!$I18349="","",IFERROR(VLOOKUP(DATOS!$I18349,CONFIG_ASIGNATURAS!$B$2:$J$91,9,FALSE()),""))</f>
      </c>
    </row>
    <row r="18350">
      <c r="F18350">
        <f>IF(DATOS!$A18350="","",DATOS!$A18350&amp;"|"&amp;DATOS!$D18350&amp;"|"&amp;DATOS!$E18350&amp;"|"&amp;DATOS!$I18350)</f>
      </c>
      <c r="G18350">
        <f>IF(DATOS!$A18350="",0,IF(CONFIG_METADATA!$B$4&lt;&gt;"OR+EX",--(DATOS!$G18350=CONFIG_METADATA!$B$4),IF(DATOS!$G18350="EX",1,IF(DATOS!$G18350="OR",--(COUNTIFS(nNIA,DATOS!$A18350,nCURSO,DATOS!$D18350,nESPEC,DATOS!$E18350,nASIG,DATOS!$I18350,nEVAL,"EX")=0),0))))</f>
      </c>
      <c r="H18350">
        <f>IF(DATOS!$G18350&lt;&gt;"EX",0,--(COUNTIFS(nNIA,DATOS!$A18350,nCURSO,DATOS!$D18350,nESPEC,DATOS!$E18350,nASIG,DATOS!$I18350,nEVAL,"OR")=0))</f>
      </c>
      <c r="I18350">
        <f>IF(DATOS!$I18350="","",IFERROR(VLOOKUP(DATOS!$I18350,CONFIG_ASIGNATURAS!$B$2:$J$91,9,FALSE()),""))</f>
      </c>
    </row>
    <row r="18351">
      <c r="F18351">
        <f>IF(DATOS!$A18351="","",DATOS!$A18351&amp;"|"&amp;DATOS!$D18351&amp;"|"&amp;DATOS!$E18351&amp;"|"&amp;DATOS!$I18351)</f>
      </c>
      <c r="G18351">
        <f>IF(DATOS!$A18351="",0,IF(CONFIG_METADATA!$B$4&lt;&gt;"OR+EX",--(DATOS!$G18351=CONFIG_METADATA!$B$4),IF(DATOS!$G18351="EX",1,IF(DATOS!$G18351="OR",--(COUNTIFS(nNIA,DATOS!$A18351,nCURSO,DATOS!$D18351,nESPEC,DATOS!$E18351,nASIG,DATOS!$I18351,nEVAL,"EX")=0),0))))</f>
      </c>
      <c r="H18351">
        <f>IF(DATOS!$G18351&lt;&gt;"EX",0,--(COUNTIFS(nNIA,DATOS!$A18351,nCURSO,DATOS!$D18351,nESPEC,DATOS!$E18351,nASIG,DATOS!$I18351,nEVAL,"OR")=0))</f>
      </c>
      <c r="I18351">
        <f>IF(DATOS!$I18351="","",IFERROR(VLOOKUP(DATOS!$I18351,CONFIG_ASIGNATURAS!$B$2:$J$91,9,FALSE()),""))</f>
      </c>
    </row>
    <row r="18352">
      <c r="F18352">
        <f>IF(DATOS!$A18352="","",DATOS!$A18352&amp;"|"&amp;DATOS!$D18352&amp;"|"&amp;DATOS!$E18352&amp;"|"&amp;DATOS!$I18352)</f>
      </c>
      <c r="G18352">
        <f>IF(DATOS!$A18352="",0,IF(CONFIG_METADATA!$B$4&lt;&gt;"OR+EX",--(DATOS!$G18352=CONFIG_METADATA!$B$4),IF(DATOS!$G18352="EX",1,IF(DATOS!$G18352="OR",--(COUNTIFS(nNIA,DATOS!$A18352,nCURSO,DATOS!$D18352,nESPEC,DATOS!$E18352,nASIG,DATOS!$I18352,nEVAL,"EX")=0),0))))</f>
      </c>
      <c r="H18352">
        <f>IF(DATOS!$G18352&lt;&gt;"EX",0,--(COUNTIFS(nNIA,DATOS!$A18352,nCURSO,DATOS!$D18352,nESPEC,DATOS!$E18352,nASIG,DATOS!$I18352,nEVAL,"OR")=0))</f>
      </c>
      <c r="I18352">
        <f>IF(DATOS!$I18352="","",IFERROR(VLOOKUP(DATOS!$I18352,CONFIG_ASIGNATURAS!$B$2:$J$91,9,FALSE()),""))</f>
      </c>
    </row>
    <row r="18353">
      <c r="F18353">
        <f>IF(DATOS!$A18353="","",DATOS!$A18353&amp;"|"&amp;DATOS!$D18353&amp;"|"&amp;DATOS!$E18353&amp;"|"&amp;DATOS!$I18353)</f>
      </c>
      <c r="G18353">
        <f>IF(DATOS!$A18353="",0,IF(CONFIG_METADATA!$B$4&lt;&gt;"OR+EX",--(DATOS!$G18353=CONFIG_METADATA!$B$4),IF(DATOS!$G18353="EX",1,IF(DATOS!$G18353="OR",--(COUNTIFS(nNIA,DATOS!$A18353,nCURSO,DATOS!$D18353,nESPEC,DATOS!$E18353,nASIG,DATOS!$I18353,nEVAL,"EX")=0),0))))</f>
      </c>
      <c r="H18353">
        <f>IF(DATOS!$G18353&lt;&gt;"EX",0,--(COUNTIFS(nNIA,DATOS!$A18353,nCURSO,DATOS!$D18353,nESPEC,DATOS!$E18353,nASIG,DATOS!$I18353,nEVAL,"OR")=0))</f>
      </c>
      <c r="I18353">
        <f>IF(DATOS!$I18353="","",IFERROR(VLOOKUP(DATOS!$I18353,CONFIG_ASIGNATURAS!$B$2:$J$91,9,FALSE()),""))</f>
      </c>
    </row>
    <row r="18354">
      <c r="F18354">
        <f>IF(DATOS!$A18354="","",DATOS!$A18354&amp;"|"&amp;DATOS!$D18354&amp;"|"&amp;DATOS!$E18354&amp;"|"&amp;DATOS!$I18354)</f>
      </c>
      <c r="G18354">
        <f>IF(DATOS!$A18354="",0,IF(CONFIG_METADATA!$B$4&lt;&gt;"OR+EX",--(DATOS!$G18354=CONFIG_METADATA!$B$4),IF(DATOS!$G18354="EX",1,IF(DATOS!$G18354="OR",--(COUNTIFS(nNIA,DATOS!$A18354,nCURSO,DATOS!$D18354,nESPEC,DATOS!$E18354,nASIG,DATOS!$I18354,nEVAL,"EX")=0),0))))</f>
      </c>
      <c r="H18354">
        <f>IF(DATOS!$G18354&lt;&gt;"EX",0,--(COUNTIFS(nNIA,DATOS!$A18354,nCURSO,DATOS!$D18354,nESPEC,DATOS!$E18354,nASIG,DATOS!$I18354,nEVAL,"OR")=0))</f>
      </c>
      <c r="I18354">
        <f>IF(DATOS!$I18354="","",IFERROR(VLOOKUP(DATOS!$I18354,CONFIG_ASIGNATURAS!$B$2:$J$91,9,FALSE()),""))</f>
      </c>
    </row>
    <row r="18355">
      <c r="F18355">
        <f>IF(DATOS!$A18355="","",DATOS!$A18355&amp;"|"&amp;DATOS!$D18355&amp;"|"&amp;DATOS!$E18355&amp;"|"&amp;DATOS!$I18355)</f>
      </c>
      <c r="G18355">
        <f>IF(DATOS!$A18355="",0,IF(CONFIG_METADATA!$B$4&lt;&gt;"OR+EX",--(DATOS!$G18355=CONFIG_METADATA!$B$4),IF(DATOS!$G18355="EX",1,IF(DATOS!$G18355="OR",--(COUNTIFS(nNIA,DATOS!$A18355,nCURSO,DATOS!$D18355,nESPEC,DATOS!$E18355,nASIG,DATOS!$I18355,nEVAL,"EX")=0),0))))</f>
      </c>
      <c r="H18355">
        <f>IF(DATOS!$G18355&lt;&gt;"EX",0,--(COUNTIFS(nNIA,DATOS!$A18355,nCURSO,DATOS!$D18355,nESPEC,DATOS!$E18355,nASIG,DATOS!$I18355,nEVAL,"OR")=0))</f>
      </c>
      <c r="I18355">
        <f>IF(DATOS!$I18355="","",IFERROR(VLOOKUP(DATOS!$I18355,CONFIG_ASIGNATURAS!$B$2:$J$91,9,FALSE()),""))</f>
      </c>
    </row>
    <row r="18356">
      <c r="F18356">
        <f>IF(DATOS!$A18356="","",DATOS!$A18356&amp;"|"&amp;DATOS!$D18356&amp;"|"&amp;DATOS!$E18356&amp;"|"&amp;DATOS!$I18356)</f>
      </c>
      <c r="G18356">
        <f>IF(DATOS!$A18356="",0,IF(CONFIG_METADATA!$B$4&lt;&gt;"OR+EX",--(DATOS!$G18356=CONFIG_METADATA!$B$4),IF(DATOS!$G18356="EX",1,IF(DATOS!$G18356="OR",--(COUNTIFS(nNIA,DATOS!$A18356,nCURSO,DATOS!$D18356,nESPEC,DATOS!$E18356,nASIG,DATOS!$I18356,nEVAL,"EX")=0),0))))</f>
      </c>
      <c r="H18356">
        <f>IF(DATOS!$G18356&lt;&gt;"EX",0,--(COUNTIFS(nNIA,DATOS!$A18356,nCURSO,DATOS!$D18356,nESPEC,DATOS!$E18356,nASIG,DATOS!$I18356,nEVAL,"OR")=0))</f>
      </c>
      <c r="I18356">
        <f>IF(DATOS!$I18356="","",IFERROR(VLOOKUP(DATOS!$I18356,CONFIG_ASIGNATURAS!$B$2:$J$91,9,FALSE()),""))</f>
      </c>
    </row>
    <row r="18357">
      <c r="F18357">
        <f>IF(DATOS!$A18357="","",DATOS!$A18357&amp;"|"&amp;DATOS!$D18357&amp;"|"&amp;DATOS!$E18357&amp;"|"&amp;DATOS!$I18357)</f>
      </c>
      <c r="G18357">
        <f>IF(DATOS!$A18357="",0,IF(CONFIG_METADATA!$B$4&lt;&gt;"OR+EX",--(DATOS!$G18357=CONFIG_METADATA!$B$4),IF(DATOS!$G18357="EX",1,IF(DATOS!$G18357="OR",--(COUNTIFS(nNIA,DATOS!$A18357,nCURSO,DATOS!$D18357,nESPEC,DATOS!$E18357,nASIG,DATOS!$I18357,nEVAL,"EX")=0),0))))</f>
      </c>
      <c r="H18357">
        <f>IF(DATOS!$G18357&lt;&gt;"EX",0,--(COUNTIFS(nNIA,DATOS!$A18357,nCURSO,DATOS!$D18357,nESPEC,DATOS!$E18357,nASIG,DATOS!$I18357,nEVAL,"OR")=0))</f>
      </c>
      <c r="I18357">
        <f>IF(DATOS!$I18357="","",IFERROR(VLOOKUP(DATOS!$I18357,CONFIG_ASIGNATURAS!$B$2:$J$91,9,FALSE()),""))</f>
      </c>
    </row>
    <row r="18358">
      <c r="F18358">
        <f>IF(DATOS!$A18358="","",DATOS!$A18358&amp;"|"&amp;DATOS!$D18358&amp;"|"&amp;DATOS!$E18358&amp;"|"&amp;DATOS!$I18358)</f>
      </c>
      <c r="G18358">
        <f>IF(DATOS!$A18358="",0,IF(CONFIG_METADATA!$B$4&lt;&gt;"OR+EX",--(DATOS!$G18358=CONFIG_METADATA!$B$4),IF(DATOS!$G18358="EX",1,IF(DATOS!$G18358="OR",--(COUNTIFS(nNIA,DATOS!$A18358,nCURSO,DATOS!$D18358,nESPEC,DATOS!$E18358,nASIG,DATOS!$I18358,nEVAL,"EX")=0),0))))</f>
      </c>
      <c r="H18358">
        <f>IF(DATOS!$G18358&lt;&gt;"EX",0,--(COUNTIFS(nNIA,DATOS!$A18358,nCURSO,DATOS!$D18358,nESPEC,DATOS!$E18358,nASIG,DATOS!$I18358,nEVAL,"OR")=0))</f>
      </c>
      <c r="I18358">
        <f>IF(DATOS!$I18358="","",IFERROR(VLOOKUP(DATOS!$I18358,CONFIG_ASIGNATURAS!$B$2:$J$91,9,FALSE()),""))</f>
      </c>
    </row>
    <row r="18359">
      <c r="F18359">
        <f>IF(DATOS!$A18359="","",DATOS!$A18359&amp;"|"&amp;DATOS!$D18359&amp;"|"&amp;DATOS!$E18359&amp;"|"&amp;DATOS!$I18359)</f>
      </c>
      <c r="G18359">
        <f>IF(DATOS!$A18359="",0,IF(CONFIG_METADATA!$B$4&lt;&gt;"OR+EX",--(DATOS!$G18359=CONFIG_METADATA!$B$4),IF(DATOS!$G18359="EX",1,IF(DATOS!$G18359="OR",--(COUNTIFS(nNIA,DATOS!$A18359,nCURSO,DATOS!$D18359,nESPEC,DATOS!$E18359,nASIG,DATOS!$I18359,nEVAL,"EX")=0),0))))</f>
      </c>
      <c r="H18359">
        <f>IF(DATOS!$G18359&lt;&gt;"EX",0,--(COUNTIFS(nNIA,DATOS!$A18359,nCURSO,DATOS!$D18359,nESPEC,DATOS!$E18359,nASIG,DATOS!$I18359,nEVAL,"OR")=0))</f>
      </c>
      <c r="I18359">
        <f>IF(DATOS!$I18359="","",IFERROR(VLOOKUP(DATOS!$I18359,CONFIG_ASIGNATURAS!$B$2:$J$91,9,FALSE()),""))</f>
      </c>
    </row>
    <row r="18360">
      <c r="F18360">
        <f>IF(DATOS!$A18360="","",DATOS!$A18360&amp;"|"&amp;DATOS!$D18360&amp;"|"&amp;DATOS!$E18360&amp;"|"&amp;DATOS!$I18360)</f>
      </c>
      <c r="G18360">
        <f>IF(DATOS!$A18360="",0,IF(CONFIG_METADATA!$B$4&lt;&gt;"OR+EX",--(DATOS!$G18360=CONFIG_METADATA!$B$4),IF(DATOS!$G18360="EX",1,IF(DATOS!$G18360="OR",--(COUNTIFS(nNIA,DATOS!$A18360,nCURSO,DATOS!$D18360,nESPEC,DATOS!$E18360,nASIG,DATOS!$I18360,nEVAL,"EX")=0),0))))</f>
      </c>
      <c r="H18360">
        <f>IF(DATOS!$G18360&lt;&gt;"EX",0,--(COUNTIFS(nNIA,DATOS!$A18360,nCURSO,DATOS!$D18360,nESPEC,DATOS!$E18360,nASIG,DATOS!$I18360,nEVAL,"OR")=0))</f>
      </c>
      <c r="I18360">
        <f>IF(DATOS!$I18360="","",IFERROR(VLOOKUP(DATOS!$I18360,CONFIG_ASIGNATURAS!$B$2:$J$91,9,FALSE()),""))</f>
      </c>
    </row>
    <row r="18361">
      <c r="F18361">
        <f>IF(DATOS!$A18361="","",DATOS!$A18361&amp;"|"&amp;DATOS!$D18361&amp;"|"&amp;DATOS!$E18361&amp;"|"&amp;DATOS!$I18361)</f>
      </c>
      <c r="G18361">
        <f>IF(DATOS!$A18361="",0,IF(CONFIG_METADATA!$B$4&lt;&gt;"OR+EX",--(DATOS!$G18361=CONFIG_METADATA!$B$4),IF(DATOS!$G18361="EX",1,IF(DATOS!$G18361="OR",--(COUNTIFS(nNIA,DATOS!$A18361,nCURSO,DATOS!$D18361,nESPEC,DATOS!$E18361,nASIG,DATOS!$I18361,nEVAL,"EX")=0),0))))</f>
      </c>
      <c r="H18361">
        <f>IF(DATOS!$G18361&lt;&gt;"EX",0,--(COUNTIFS(nNIA,DATOS!$A18361,nCURSO,DATOS!$D18361,nESPEC,DATOS!$E18361,nASIG,DATOS!$I18361,nEVAL,"OR")=0))</f>
      </c>
      <c r="I18361">
        <f>IF(DATOS!$I18361="","",IFERROR(VLOOKUP(DATOS!$I18361,CONFIG_ASIGNATURAS!$B$2:$J$91,9,FALSE()),""))</f>
      </c>
    </row>
    <row r="18362">
      <c r="F18362">
        <f>IF(DATOS!$A18362="","",DATOS!$A18362&amp;"|"&amp;DATOS!$D18362&amp;"|"&amp;DATOS!$E18362&amp;"|"&amp;DATOS!$I18362)</f>
      </c>
      <c r="G18362">
        <f>IF(DATOS!$A18362="",0,IF(CONFIG_METADATA!$B$4&lt;&gt;"OR+EX",--(DATOS!$G18362=CONFIG_METADATA!$B$4),IF(DATOS!$G18362="EX",1,IF(DATOS!$G18362="OR",--(COUNTIFS(nNIA,DATOS!$A18362,nCURSO,DATOS!$D18362,nESPEC,DATOS!$E18362,nASIG,DATOS!$I18362,nEVAL,"EX")=0),0))))</f>
      </c>
      <c r="H18362">
        <f>IF(DATOS!$G18362&lt;&gt;"EX",0,--(COUNTIFS(nNIA,DATOS!$A18362,nCURSO,DATOS!$D18362,nESPEC,DATOS!$E18362,nASIG,DATOS!$I18362,nEVAL,"OR")=0))</f>
      </c>
      <c r="I18362">
        <f>IF(DATOS!$I18362="","",IFERROR(VLOOKUP(DATOS!$I18362,CONFIG_ASIGNATURAS!$B$2:$J$91,9,FALSE()),""))</f>
      </c>
    </row>
    <row r="18363">
      <c r="F18363">
        <f>IF(DATOS!$A18363="","",DATOS!$A18363&amp;"|"&amp;DATOS!$D18363&amp;"|"&amp;DATOS!$E18363&amp;"|"&amp;DATOS!$I18363)</f>
      </c>
      <c r="G18363">
        <f>IF(DATOS!$A18363="",0,IF(CONFIG_METADATA!$B$4&lt;&gt;"OR+EX",--(DATOS!$G18363=CONFIG_METADATA!$B$4),IF(DATOS!$G18363="EX",1,IF(DATOS!$G18363="OR",--(COUNTIFS(nNIA,DATOS!$A18363,nCURSO,DATOS!$D18363,nESPEC,DATOS!$E18363,nASIG,DATOS!$I18363,nEVAL,"EX")=0),0))))</f>
      </c>
      <c r="H18363">
        <f>IF(DATOS!$G18363&lt;&gt;"EX",0,--(COUNTIFS(nNIA,DATOS!$A18363,nCURSO,DATOS!$D18363,nESPEC,DATOS!$E18363,nASIG,DATOS!$I18363,nEVAL,"OR")=0))</f>
      </c>
      <c r="I18363">
        <f>IF(DATOS!$I18363="","",IFERROR(VLOOKUP(DATOS!$I18363,CONFIG_ASIGNATURAS!$B$2:$J$91,9,FALSE()),""))</f>
      </c>
    </row>
    <row r="18364">
      <c r="F18364">
        <f>IF(DATOS!$A18364="","",DATOS!$A18364&amp;"|"&amp;DATOS!$D18364&amp;"|"&amp;DATOS!$E18364&amp;"|"&amp;DATOS!$I18364)</f>
      </c>
      <c r="G18364">
        <f>IF(DATOS!$A18364="",0,IF(CONFIG_METADATA!$B$4&lt;&gt;"OR+EX",--(DATOS!$G18364=CONFIG_METADATA!$B$4),IF(DATOS!$G18364="EX",1,IF(DATOS!$G18364="OR",--(COUNTIFS(nNIA,DATOS!$A18364,nCURSO,DATOS!$D18364,nESPEC,DATOS!$E18364,nASIG,DATOS!$I18364,nEVAL,"EX")=0),0))))</f>
      </c>
      <c r="H18364">
        <f>IF(DATOS!$G18364&lt;&gt;"EX",0,--(COUNTIFS(nNIA,DATOS!$A18364,nCURSO,DATOS!$D18364,nESPEC,DATOS!$E18364,nASIG,DATOS!$I18364,nEVAL,"OR")=0))</f>
      </c>
      <c r="I18364">
        <f>IF(DATOS!$I18364="","",IFERROR(VLOOKUP(DATOS!$I18364,CONFIG_ASIGNATURAS!$B$2:$J$91,9,FALSE()),""))</f>
      </c>
    </row>
    <row r="18365">
      <c r="F18365">
        <f>IF(DATOS!$A18365="","",DATOS!$A18365&amp;"|"&amp;DATOS!$D18365&amp;"|"&amp;DATOS!$E18365&amp;"|"&amp;DATOS!$I18365)</f>
      </c>
      <c r="G18365">
        <f>IF(DATOS!$A18365="",0,IF(CONFIG_METADATA!$B$4&lt;&gt;"OR+EX",--(DATOS!$G18365=CONFIG_METADATA!$B$4),IF(DATOS!$G18365="EX",1,IF(DATOS!$G18365="OR",--(COUNTIFS(nNIA,DATOS!$A18365,nCURSO,DATOS!$D18365,nESPEC,DATOS!$E18365,nASIG,DATOS!$I18365,nEVAL,"EX")=0),0))))</f>
      </c>
      <c r="H18365">
        <f>IF(DATOS!$G18365&lt;&gt;"EX",0,--(COUNTIFS(nNIA,DATOS!$A18365,nCURSO,DATOS!$D18365,nESPEC,DATOS!$E18365,nASIG,DATOS!$I18365,nEVAL,"OR")=0))</f>
      </c>
      <c r="I18365">
        <f>IF(DATOS!$I18365="","",IFERROR(VLOOKUP(DATOS!$I18365,CONFIG_ASIGNATURAS!$B$2:$J$91,9,FALSE()),""))</f>
      </c>
    </row>
    <row r="18366">
      <c r="F18366">
        <f>IF(DATOS!$A18366="","",DATOS!$A18366&amp;"|"&amp;DATOS!$D18366&amp;"|"&amp;DATOS!$E18366&amp;"|"&amp;DATOS!$I18366)</f>
      </c>
      <c r="G18366">
        <f>IF(DATOS!$A18366="",0,IF(CONFIG_METADATA!$B$4&lt;&gt;"OR+EX",--(DATOS!$G18366=CONFIG_METADATA!$B$4),IF(DATOS!$G18366="EX",1,IF(DATOS!$G18366="OR",--(COUNTIFS(nNIA,DATOS!$A18366,nCURSO,DATOS!$D18366,nESPEC,DATOS!$E18366,nASIG,DATOS!$I18366,nEVAL,"EX")=0),0))))</f>
      </c>
      <c r="H18366">
        <f>IF(DATOS!$G18366&lt;&gt;"EX",0,--(COUNTIFS(nNIA,DATOS!$A18366,nCURSO,DATOS!$D18366,nESPEC,DATOS!$E18366,nASIG,DATOS!$I18366,nEVAL,"OR")=0))</f>
      </c>
      <c r="I18366">
        <f>IF(DATOS!$I18366="","",IFERROR(VLOOKUP(DATOS!$I18366,CONFIG_ASIGNATURAS!$B$2:$J$91,9,FALSE()),""))</f>
      </c>
    </row>
    <row r="18367">
      <c r="F18367">
        <f>IF(DATOS!$A18367="","",DATOS!$A18367&amp;"|"&amp;DATOS!$D18367&amp;"|"&amp;DATOS!$E18367&amp;"|"&amp;DATOS!$I18367)</f>
      </c>
      <c r="G18367">
        <f>IF(DATOS!$A18367="",0,IF(CONFIG_METADATA!$B$4&lt;&gt;"OR+EX",--(DATOS!$G18367=CONFIG_METADATA!$B$4),IF(DATOS!$G18367="EX",1,IF(DATOS!$G18367="OR",--(COUNTIFS(nNIA,DATOS!$A18367,nCURSO,DATOS!$D18367,nESPEC,DATOS!$E18367,nASIG,DATOS!$I18367,nEVAL,"EX")=0),0))))</f>
      </c>
      <c r="H18367">
        <f>IF(DATOS!$G18367&lt;&gt;"EX",0,--(COUNTIFS(nNIA,DATOS!$A18367,nCURSO,DATOS!$D18367,nESPEC,DATOS!$E18367,nASIG,DATOS!$I18367,nEVAL,"OR")=0))</f>
      </c>
      <c r="I18367">
        <f>IF(DATOS!$I18367="","",IFERROR(VLOOKUP(DATOS!$I18367,CONFIG_ASIGNATURAS!$B$2:$J$91,9,FALSE()),""))</f>
      </c>
    </row>
    <row r="18368">
      <c r="F18368">
        <f>IF(DATOS!$A18368="","",DATOS!$A18368&amp;"|"&amp;DATOS!$D18368&amp;"|"&amp;DATOS!$E18368&amp;"|"&amp;DATOS!$I18368)</f>
      </c>
      <c r="G18368">
        <f>IF(DATOS!$A18368="",0,IF(CONFIG_METADATA!$B$4&lt;&gt;"OR+EX",--(DATOS!$G18368=CONFIG_METADATA!$B$4),IF(DATOS!$G18368="EX",1,IF(DATOS!$G18368="OR",--(COUNTIFS(nNIA,DATOS!$A18368,nCURSO,DATOS!$D18368,nESPEC,DATOS!$E18368,nASIG,DATOS!$I18368,nEVAL,"EX")=0),0))))</f>
      </c>
      <c r="H18368">
        <f>IF(DATOS!$G18368&lt;&gt;"EX",0,--(COUNTIFS(nNIA,DATOS!$A18368,nCURSO,DATOS!$D18368,nESPEC,DATOS!$E18368,nASIG,DATOS!$I18368,nEVAL,"OR")=0))</f>
      </c>
      <c r="I18368">
        <f>IF(DATOS!$I18368="","",IFERROR(VLOOKUP(DATOS!$I18368,CONFIG_ASIGNATURAS!$B$2:$J$91,9,FALSE()),""))</f>
      </c>
    </row>
    <row r="18369">
      <c r="F18369">
        <f>IF(DATOS!$A18369="","",DATOS!$A18369&amp;"|"&amp;DATOS!$D18369&amp;"|"&amp;DATOS!$E18369&amp;"|"&amp;DATOS!$I18369)</f>
      </c>
      <c r="G18369">
        <f>IF(DATOS!$A18369="",0,IF(CONFIG_METADATA!$B$4&lt;&gt;"OR+EX",--(DATOS!$G18369=CONFIG_METADATA!$B$4),IF(DATOS!$G18369="EX",1,IF(DATOS!$G18369="OR",--(COUNTIFS(nNIA,DATOS!$A18369,nCURSO,DATOS!$D18369,nESPEC,DATOS!$E18369,nASIG,DATOS!$I18369,nEVAL,"EX")=0),0))))</f>
      </c>
      <c r="H18369">
        <f>IF(DATOS!$G18369&lt;&gt;"EX",0,--(COUNTIFS(nNIA,DATOS!$A18369,nCURSO,DATOS!$D18369,nESPEC,DATOS!$E18369,nASIG,DATOS!$I18369,nEVAL,"OR")=0))</f>
      </c>
      <c r="I18369">
        <f>IF(DATOS!$I18369="","",IFERROR(VLOOKUP(DATOS!$I18369,CONFIG_ASIGNATURAS!$B$2:$J$91,9,FALSE()),""))</f>
      </c>
    </row>
    <row r="18370">
      <c r="F18370">
        <f>IF(DATOS!$A18370="","",DATOS!$A18370&amp;"|"&amp;DATOS!$D18370&amp;"|"&amp;DATOS!$E18370&amp;"|"&amp;DATOS!$I18370)</f>
      </c>
      <c r="G18370">
        <f>IF(DATOS!$A18370="",0,IF(CONFIG_METADATA!$B$4&lt;&gt;"OR+EX",--(DATOS!$G18370=CONFIG_METADATA!$B$4),IF(DATOS!$G18370="EX",1,IF(DATOS!$G18370="OR",--(COUNTIFS(nNIA,DATOS!$A18370,nCURSO,DATOS!$D18370,nESPEC,DATOS!$E18370,nASIG,DATOS!$I18370,nEVAL,"EX")=0),0))))</f>
      </c>
      <c r="H18370">
        <f>IF(DATOS!$G18370&lt;&gt;"EX",0,--(COUNTIFS(nNIA,DATOS!$A18370,nCURSO,DATOS!$D18370,nESPEC,DATOS!$E18370,nASIG,DATOS!$I18370,nEVAL,"OR")=0))</f>
      </c>
      <c r="I18370">
        <f>IF(DATOS!$I18370="","",IFERROR(VLOOKUP(DATOS!$I18370,CONFIG_ASIGNATURAS!$B$2:$J$91,9,FALSE()),""))</f>
      </c>
    </row>
    <row r="18371">
      <c r="F18371">
        <f>IF(DATOS!$A18371="","",DATOS!$A18371&amp;"|"&amp;DATOS!$D18371&amp;"|"&amp;DATOS!$E18371&amp;"|"&amp;DATOS!$I18371)</f>
      </c>
      <c r="G18371">
        <f>IF(DATOS!$A18371="",0,IF(CONFIG_METADATA!$B$4&lt;&gt;"OR+EX",--(DATOS!$G18371=CONFIG_METADATA!$B$4),IF(DATOS!$G18371="EX",1,IF(DATOS!$G18371="OR",--(COUNTIFS(nNIA,DATOS!$A18371,nCURSO,DATOS!$D18371,nESPEC,DATOS!$E18371,nASIG,DATOS!$I18371,nEVAL,"EX")=0),0))))</f>
      </c>
      <c r="H18371">
        <f>IF(DATOS!$G18371&lt;&gt;"EX",0,--(COUNTIFS(nNIA,DATOS!$A18371,nCURSO,DATOS!$D18371,nESPEC,DATOS!$E18371,nASIG,DATOS!$I18371,nEVAL,"OR")=0))</f>
      </c>
      <c r="I18371">
        <f>IF(DATOS!$I18371="","",IFERROR(VLOOKUP(DATOS!$I18371,CONFIG_ASIGNATURAS!$B$2:$J$91,9,FALSE()),""))</f>
      </c>
    </row>
    <row r="18372">
      <c r="F18372">
        <f>IF(DATOS!$A18372="","",DATOS!$A18372&amp;"|"&amp;DATOS!$D18372&amp;"|"&amp;DATOS!$E18372&amp;"|"&amp;DATOS!$I18372)</f>
      </c>
      <c r="G18372">
        <f>IF(DATOS!$A18372="",0,IF(CONFIG_METADATA!$B$4&lt;&gt;"OR+EX",--(DATOS!$G18372=CONFIG_METADATA!$B$4),IF(DATOS!$G18372="EX",1,IF(DATOS!$G18372="OR",--(COUNTIFS(nNIA,DATOS!$A18372,nCURSO,DATOS!$D18372,nESPEC,DATOS!$E18372,nASIG,DATOS!$I18372,nEVAL,"EX")=0),0))))</f>
      </c>
      <c r="H18372">
        <f>IF(DATOS!$G18372&lt;&gt;"EX",0,--(COUNTIFS(nNIA,DATOS!$A18372,nCURSO,DATOS!$D18372,nESPEC,DATOS!$E18372,nASIG,DATOS!$I18372,nEVAL,"OR")=0))</f>
      </c>
      <c r="I18372">
        <f>IF(DATOS!$I18372="","",IFERROR(VLOOKUP(DATOS!$I18372,CONFIG_ASIGNATURAS!$B$2:$J$91,9,FALSE()),""))</f>
      </c>
    </row>
    <row r="18373">
      <c r="F18373">
        <f>IF(DATOS!$A18373="","",DATOS!$A18373&amp;"|"&amp;DATOS!$D18373&amp;"|"&amp;DATOS!$E18373&amp;"|"&amp;DATOS!$I18373)</f>
      </c>
      <c r="G18373">
        <f>IF(DATOS!$A18373="",0,IF(CONFIG_METADATA!$B$4&lt;&gt;"OR+EX",--(DATOS!$G18373=CONFIG_METADATA!$B$4),IF(DATOS!$G18373="EX",1,IF(DATOS!$G18373="OR",--(COUNTIFS(nNIA,DATOS!$A18373,nCURSO,DATOS!$D18373,nESPEC,DATOS!$E18373,nASIG,DATOS!$I18373,nEVAL,"EX")=0),0))))</f>
      </c>
      <c r="H18373">
        <f>IF(DATOS!$G18373&lt;&gt;"EX",0,--(COUNTIFS(nNIA,DATOS!$A18373,nCURSO,DATOS!$D18373,nESPEC,DATOS!$E18373,nASIG,DATOS!$I18373,nEVAL,"OR")=0))</f>
      </c>
      <c r="I18373">
        <f>IF(DATOS!$I18373="","",IFERROR(VLOOKUP(DATOS!$I18373,CONFIG_ASIGNATURAS!$B$2:$J$91,9,FALSE()),""))</f>
      </c>
    </row>
    <row r="18374">
      <c r="F18374">
        <f>IF(DATOS!$A18374="","",DATOS!$A18374&amp;"|"&amp;DATOS!$D18374&amp;"|"&amp;DATOS!$E18374&amp;"|"&amp;DATOS!$I18374)</f>
      </c>
      <c r="G18374">
        <f>IF(DATOS!$A18374="",0,IF(CONFIG_METADATA!$B$4&lt;&gt;"OR+EX",--(DATOS!$G18374=CONFIG_METADATA!$B$4),IF(DATOS!$G18374="EX",1,IF(DATOS!$G18374="OR",--(COUNTIFS(nNIA,DATOS!$A18374,nCURSO,DATOS!$D18374,nESPEC,DATOS!$E18374,nASIG,DATOS!$I18374,nEVAL,"EX")=0),0))))</f>
      </c>
      <c r="H18374">
        <f>IF(DATOS!$G18374&lt;&gt;"EX",0,--(COUNTIFS(nNIA,DATOS!$A18374,nCURSO,DATOS!$D18374,nESPEC,DATOS!$E18374,nASIG,DATOS!$I18374,nEVAL,"OR")=0))</f>
      </c>
      <c r="I18374">
        <f>IF(DATOS!$I18374="","",IFERROR(VLOOKUP(DATOS!$I18374,CONFIG_ASIGNATURAS!$B$2:$J$91,9,FALSE()),""))</f>
      </c>
    </row>
    <row r="18375">
      <c r="F18375">
        <f>IF(DATOS!$A18375="","",DATOS!$A18375&amp;"|"&amp;DATOS!$D18375&amp;"|"&amp;DATOS!$E18375&amp;"|"&amp;DATOS!$I18375)</f>
      </c>
      <c r="G18375">
        <f>IF(DATOS!$A18375="",0,IF(CONFIG_METADATA!$B$4&lt;&gt;"OR+EX",--(DATOS!$G18375=CONFIG_METADATA!$B$4),IF(DATOS!$G18375="EX",1,IF(DATOS!$G18375="OR",--(COUNTIFS(nNIA,DATOS!$A18375,nCURSO,DATOS!$D18375,nESPEC,DATOS!$E18375,nASIG,DATOS!$I18375,nEVAL,"EX")=0),0))))</f>
      </c>
      <c r="H18375">
        <f>IF(DATOS!$G18375&lt;&gt;"EX",0,--(COUNTIFS(nNIA,DATOS!$A18375,nCURSO,DATOS!$D18375,nESPEC,DATOS!$E18375,nASIG,DATOS!$I18375,nEVAL,"OR")=0))</f>
      </c>
      <c r="I18375">
        <f>IF(DATOS!$I18375="","",IFERROR(VLOOKUP(DATOS!$I18375,CONFIG_ASIGNATURAS!$B$2:$J$91,9,FALSE()),""))</f>
      </c>
    </row>
    <row r="18376">
      <c r="F18376">
        <f>IF(DATOS!$A18376="","",DATOS!$A18376&amp;"|"&amp;DATOS!$D18376&amp;"|"&amp;DATOS!$E18376&amp;"|"&amp;DATOS!$I18376)</f>
      </c>
      <c r="G18376">
        <f>IF(DATOS!$A18376="",0,IF(CONFIG_METADATA!$B$4&lt;&gt;"OR+EX",--(DATOS!$G18376=CONFIG_METADATA!$B$4),IF(DATOS!$G18376="EX",1,IF(DATOS!$G18376="OR",--(COUNTIFS(nNIA,DATOS!$A18376,nCURSO,DATOS!$D18376,nESPEC,DATOS!$E18376,nASIG,DATOS!$I18376,nEVAL,"EX")=0),0))))</f>
      </c>
      <c r="H18376">
        <f>IF(DATOS!$G18376&lt;&gt;"EX",0,--(COUNTIFS(nNIA,DATOS!$A18376,nCURSO,DATOS!$D18376,nESPEC,DATOS!$E18376,nASIG,DATOS!$I18376,nEVAL,"OR")=0))</f>
      </c>
      <c r="I18376">
        <f>IF(DATOS!$I18376="","",IFERROR(VLOOKUP(DATOS!$I18376,CONFIG_ASIGNATURAS!$B$2:$J$91,9,FALSE()),""))</f>
      </c>
    </row>
    <row r="18377">
      <c r="F18377">
        <f>IF(DATOS!$A18377="","",DATOS!$A18377&amp;"|"&amp;DATOS!$D18377&amp;"|"&amp;DATOS!$E18377&amp;"|"&amp;DATOS!$I18377)</f>
      </c>
      <c r="G18377">
        <f>IF(DATOS!$A18377="",0,IF(CONFIG_METADATA!$B$4&lt;&gt;"OR+EX",--(DATOS!$G18377=CONFIG_METADATA!$B$4),IF(DATOS!$G18377="EX",1,IF(DATOS!$G18377="OR",--(COUNTIFS(nNIA,DATOS!$A18377,nCURSO,DATOS!$D18377,nESPEC,DATOS!$E18377,nASIG,DATOS!$I18377,nEVAL,"EX")=0),0))))</f>
      </c>
      <c r="H18377">
        <f>IF(DATOS!$G18377&lt;&gt;"EX",0,--(COUNTIFS(nNIA,DATOS!$A18377,nCURSO,DATOS!$D18377,nESPEC,DATOS!$E18377,nASIG,DATOS!$I18377,nEVAL,"OR")=0))</f>
      </c>
      <c r="I18377">
        <f>IF(DATOS!$I18377="","",IFERROR(VLOOKUP(DATOS!$I18377,CONFIG_ASIGNATURAS!$B$2:$J$91,9,FALSE()),""))</f>
      </c>
    </row>
    <row r="18378">
      <c r="F18378">
        <f>IF(DATOS!$A18378="","",DATOS!$A18378&amp;"|"&amp;DATOS!$D18378&amp;"|"&amp;DATOS!$E18378&amp;"|"&amp;DATOS!$I18378)</f>
      </c>
      <c r="G18378">
        <f>IF(DATOS!$A18378="",0,IF(CONFIG_METADATA!$B$4&lt;&gt;"OR+EX",--(DATOS!$G18378=CONFIG_METADATA!$B$4),IF(DATOS!$G18378="EX",1,IF(DATOS!$G18378="OR",--(COUNTIFS(nNIA,DATOS!$A18378,nCURSO,DATOS!$D18378,nESPEC,DATOS!$E18378,nASIG,DATOS!$I18378,nEVAL,"EX")=0),0))))</f>
      </c>
      <c r="H18378">
        <f>IF(DATOS!$G18378&lt;&gt;"EX",0,--(COUNTIFS(nNIA,DATOS!$A18378,nCURSO,DATOS!$D18378,nESPEC,DATOS!$E18378,nASIG,DATOS!$I18378,nEVAL,"OR")=0))</f>
      </c>
      <c r="I18378">
        <f>IF(DATOS!$I18378="","",IFERROR(VLOOKUP(DATOS!$I18378,CONFIG_ASIGNATURAS!$B$2:$J$91,9,FALSE()),""))</f>
      </c>
    </row>
    <row r="18379">
      <c r="F18379">
        <f>IF(DATOS!$A18379="","",DATOS!$A18379&amp;"|"&amp;DATOS!$D18379&amp;"|"&amp;DATOS!$E18379&amp;"|"&amp;DATOS!$I18379)</f>
      </c>
      <c r="G18379">
        <f>IF(DATOS!$A18379="",0,IF(CONFIG_METADATA!$B$4&lt;&gt;"OR+EX",--(DATOS!$G18379=CONFIG_METADATA!$B$4),IF(DATOS!$G18379="EX",1,IF(DATOS!$G18379="OR",--(COUNTIFS(nNIA,DATOS!$A18379,nCURSO,DATOS!$D18379,nESPEC,DATOS!$E18379,nASIG,DATOS!$I18379,nEVAL,"EX")=0),0))))</f>
      </c>
      <c r="H18379">
        <f>IF(DATOS!$G18379&lt;&gt;"EX",0,--(COUNTIFS(nNIA,DATOS!$A18379,nCURSO,DATOS!$D18379,nESPEC,DATOS!$E18379,nASIG,DATOS!$I18379,nEVAL,"OR")=0))</f>
      </c>
      <c r="I18379">
        <f>IF(DATOS!$I18379="","",IFERROR(VLOOKUP(DATOS!$I18379,CONFIG_ASIGNATURAS!$B$2:$J$91,9,FALSE()),""))</f>
      </c>
    </row>
    <row r="18380">
      <c r="F18380">
        <f>IF(DATOS!$A18380="","",DATOS!$A18380&amp;"|"&amp;DATOS!$D18380&amp;"|"&amp;DATOS!$E18380&amp;"|"&amp;DATOS!$I18380)</f>
      </c>
      <c r="G18380">
        <f>IF(DATOS!$A18380="",0,IF(CONFIG_METADATA!$B$4&lt;&gt;"OR+EX",--(DATOS!$G18380=CONFIG_METADATA!$B$4),IF(DATOS!$G18380="EX",1,IF(DATOS!$G18380="OR",--(COUNTIFS(nNIA,DATOS!$A18380,nCURSO,DATOS!$D18380,nESPEC,DATOS!$E18380,nASIG,DATOS!$I18380,nEVAL,"EX")=0),0))))</f>
      </c>
      <c r="H18380">
        <f>IF(DATOS!$G18380&lt;&gt;"EX",0,--(COUNTIFS(nNIA,DATOS!$A18380,nCURSO,DATOS!$D18380,nESPEC,DATOS!$E18380,nASIG,DATOS!$I18380,nEVAL,"OR")=0))</f>
      </c>
      <c r="I18380">
        <f>IF(DATOS!$I18380="","",IFERROR(VLOOKUP(DATOS!$I18380,CONFIG_ASIGNATURAS!$B$2:$J$91,9,FALSE()),""))</f>
      </c>
    </row>
    <row r="18381">
      <c r="F18381">
        <f>IF(DATOS!$A18381="","",DATOS!$A18381&amp;"|"&amp;DATOS!$D18381&amp;"|"&amp;DATOS!$E18381&amp;"|"&amp;DATOS!$I18381)</f>
      </c>
      <c r="G18381">
        <f>IF(DATOS!$A18381="",0,IF(CONFIG_METADATA!$B$4&lt;&gt;"OR+EX",--(DATOS!$G18381=CONFIG_METADATA!$B$4),IF(DATOS!$G18381="EX",1,IF(DATOS!$G18381="OR",--(COUNTIFS(nNIA,DATOS!$A18381,nCURSO,DATOS!$D18381,nESPEC,DATOS!$E18381,nASIG,DATOS!$I18381,nEVAL,"EX")=0),0))))</f>
      </c>
      <c r="H18381">
        <f>IF(DATOS!$G18381&lt;&gt;"EX",0,--(COUNTIFS(nNIA,DATOS!$A18381,nCURSO,DATOS!$D18381,nESPEC,DATOS!$E18381,nASIG,DATOS!$I18381,nEVAL,"OR")=0))</f>
      </c>
      <c r="I18381">
        <f>IF(DATOS!$I18381="","",IFERROR(VLOOKUP(DATOS!$I18381,CONFIG_ASIGNATURAS!$B$2:$J$91,9,FALSE()),""))</f>
      </c>
    </row>
    <row r="18382">
      <c r="F18382">
        <f>IF(DATOS!$A18382="","",DATOS!$A18382&amp;"|"&amp;DATOS!$D18382&amp;"|"&amp;DATOS!$E18382&amp;"|"&amp;DATOS!$I18382)</f>
      </c>
      <c r="G18382">
        <f>IF(DATOS!$A18382="",0,IF(CONFIG_METADATA!$B$4&lt;&gt;"OR+EX",--(DATOS!$G18382=CONFIG_METADATA!$B$4),IF(DATOS!$G18382="EX",1,IF(DATOS!$G18382="OR",--(COUNTIFS(nNIA,DATOS!$A18382,nCURSO,DATOS!$D18382,nESPEC,DATOS!$E18382,nASIG,DATOS!$I18382,nEVAL,"EX")=0),0))))</f>
      </c>
      <c r="H18382">
        <f>IF(DATOS!$G18382&lt;&gt;"EX",0,--(COUNTIFS(nNIA,DATOS!$A18382,nCURSO,DATOS!$D18382,nESPEC,DATOS!$E18382,nASIG,DATOS!$I18382,nEVAL,"OR")=0))</f>
      </c>
      <c r="I18382">
        <f>IF(DATOS!$I18382="","",IFERROR(VLOOKUP(DATOS!$I18382,CONFIG_ASIGNATURAS!$B$2:$J$91,9,FALSE()),""))</f>
      </c>
    </row>
    <row r="18383">
      <c r="F18383">
        <f>IF(DATOS!$A18383="","",DATOS!$A18383&amp;"|"&amp;DATOS!$D18383&amp;"|"&amp;DATOS!$E18383&amp;"|"&amp;DATOS!$I18383)</f>
      </c>
      <c r="G18383">
        <f>IF(DATOS!$A18383="",0,IF(CONFIG_METADATA!$B$4&lt;&gt;"OR+EX",--(DATOS!$G18383=CONFIG_METADATA!$B$4),IF(DATOS!$G18383="EX",1,IF(DATOS!$G18383="OR",--(COUNTIFS(nNIA,DATOS!$A18383,nCURSO,DATOS!$D18383,nESPEC,DATOS!$E18383,nASIG,DATOS!$I18383,nEVAL,"EX")=0),0))))</f>
      </c>
      <c r="H18383">
        <f>IF(DATOS!$G18383&lt;&gt;"EX",0,--(COUNTIFS(nNIA,DATOS!$A18383,nCURSO,DATOS!$D18383,nESPEC,DATOS!$E18383,nASIG,DATOS!$I18383,nEVAL,"OR")=0))</f>
      </c>
      <c r="I18383">
        <f>IF(DATOS!$I18383="","",IFERROR(VLOOKUP(DATOS!$I18383,CONFIG_ASIGNATURAS!$B$2:$J$91,9,FALSE()),""))</f>
      </c>
    </row>
    <row r="18384">
      <c r="F18384">
        <f>IF(DATOS!$A18384="","",DATOS!$A18384&amp;"|"&amp;DATOS!$D18384&amp;"|"&amp;DATOS!$E18384&amp;"|"&amp;DATOS!$I18384)</f>
      </c>
      <c r="G18384">
        <f>IF(DATOS!$A18384="",0,IF(CONFIG_METADATA!$B$4&lt;&gt;"OR+EX",--(DATOS!$G18384=CONFIG_METADATA!$B$4),IF(DATOS!$G18384="EX",1,IF(DATOS!$G18384="OR",--(COUNTIFS(nNIA,DATOS!$A18384,nCURSO,DATOS!$D18384,nESPEC,DATOS!$E18384,nASIG,DATOS!$I18384,nEVAL,"EX")=0),0))))</f>
      </c>
      <c r="H18384">
        <f>IF(DATOS!$G18384&lt;&gt;"EX",0,--(COUNTIFS(nNIA,DATOS!$A18384,nCURSO,DATOS!$D18384,nESPEC,DATOS!$E18384,nASIG,DATOS!$I18384,nEVAL,"OR")=0))</f>
      </c>
      <c r="I18384">
        <f>IF(DATOS!$I18384="","",IFERROR(VLOOKUP(DATOS!$I18384,CONFIG_ASIGNATURAS!$B$2:$J$91,9,FALSE()),""))</f>
      </c>
    </row>
    <row r="18385">
      <c r="F18385">
        <f>IF(DATOS!$A18385="","",DATOS!$A18385&amp;"|"&amp;DATOS!$D18385&amp;"|"&amp;DATOS!$E18385&amp;"|"&amp;DATOS!$I18385)</f>
      </c>
      <c r="G18385">
        <f>IF(DATOS!$A18385="",0,IF(CONFIG_METADATA!$B$4&lt;&gt;"OR+EX",--(DATOS!$G18385=CONFIG_METADATA!$B$4),IF(DATOS!$G18385="EX",1,IF(DATOS!$G18385="OR",--(COUNTIFS(nNIA,DATOS!$A18385,nCURSO,DATOS!$D18385,nESPEC,DATOS!$E18385,nASIG,DATOS!$I18385,nEVAL,"EX")=0),0))))</f>
      </c>
      <c r="H18385">
        <f>IF(DATOS!$G18385&lt;&gt;"EX",0,--(COUNTIFS(nNIA,DATOS!$A18385,nCURSO,DATOS!$D18385,nESPEC,DATOS!$E18385,nASIG,DATOS!$I18385,nEVAL,"OR")=0))</f>
      </c>
      <c r="I18385">
        <f>IF(DATOS!$I18385="","",IFERROR(VLOOKUP(DATOS!$I18385,CONFIG_ASIGNATURAS!$B$2:$J$91,9,FALSE()),""))</f>
      </c>
    </row>
    <row r="18386">
      <c r="F18386">
        <f>IF(DATOS!$A18386="","",DATOS!$A18386&amp;"|"&amp;DATOS!$D18386&amp;"|"&amp;DATOS!$E18386&amp;"|"&amp;DATOS!$I18386)</f>
      </c>
      <c r="G18386">
        <f>IF(DATOS!$A18386="",0,IF(CONFIG_METADATA!$B$4&lt;&gt;"OR+EX",--(DATOS!$G18386=CONFIG_METADATA!$B$4),IF(DATOS!$G18386="EX",1,IF(DATOS!$G18386="OR",--(COUNTIFS(nNIA,DATOS!$A18386,nCURSO,DATOS!$D18386,nESPEC,DATOS!$E18386,nASIG,DATOS!$I18386,nEVAL,"EX")=0),0))))</f>
      </c>
      <c r="H18386">
        <f>IF(DATOS!$G18386&lt;&gt;"EX",0,--(COUNTIFS(nNIA,DATOS!$A18386,nCURSO,DATOS!$D18386,nESPEC,DATOS!$E18386,nASIG,DATOS!$I18386,nEVAL,"OR")=0))</f>
      </c>
      <c r="I18386">
        <f>IF(DATOS!$I18386="","",IFERROR(VLOOKUP(DATOS!$I18386,CONFIG_ASIGNATURAS!$B$2:$J$91,9,FALSE()),""))</f>
      </c>
    </row>
    <row r="18387">
      <c r="F18387">
        <f>IF(DATOS!$A18387="","",DATOS!$A18387&amp;"|"&amp;DATOS!$D18387&amp;"|"&amp;DATOS!$E18387&amp;"|"&amp;DATOS!$I18387)</f>
      </c>
      <c r="G18387">
        <f>IF(DATOS!$A18387="",0,IF(CONFIG_METADATA!$B$4&lt;&gt;"OR+EX",--(DATOS!$G18387=CONFIG_METADATA!$B$4),IF(DATOS!$G18387="EX",1,IF(DATOS!$G18387="OR",--(COUNTIFS(nNIA,DATOS!$A18387,nCURSO,DATOS!$D18387,nESPEC,DATOS!$E18387,nASIG,DATOS!$I18387,nEVAL,"EX")=0),0))))</f>
      </c>
      <c r="H18387">
        <f>IF(DATOS!$G18387&lt;&gt;"EX",0,--(COUNTIFS(nNIA,DATOS!$A18387,nCURSO,DATOS!$D18387,nESPEC,DATOS!$E18387,nASIG,DATOS!$I18387,nEVAL,"OR")=0))</f>
      </c>
      <c r="I18387">
        <f>IF(DATOS!$I18387="","",IFERROR(VLOOKUP(DATOS!$I18387,CONFIG_ASIGNATURAS!$B$2:$J$91,9,FALSE()),""))</f>
      </c>
    </row>
    <row r="18388">
      <c r="F18388">
        <f>IF(DATOS!$A18388="","",DATOS!$A18388&amp;"|"&amp;DATOS!$D18388&amp;"|"&amp;DATOS!$E18388&amp;"|"&amp;DATOS!$I18388)</f>
      </c>
      <c r="G18388">
        <f>IF(DATOS!$A18388="",0,IF(CONFIG_METADATA!$B$4&lt;&gt;"OR+EX",--(DATOS!$G18388=CONFIG_METADATA!$B$4),IF(DATOS!$G18388="EX",1,IF(DATOS!$G18388="OR",--(COUNTIFS(nNIA,DATOS!$A18388,nCURSO,DATOS!$D18388,nESPEC,DATOS!$E18388,nASIG,DATOS!$I18388,nEVAL,"EX")=0),0))))</f>
      </c>
      <c r="H18388">
        <f>IF(DATOS!$G18388&lt;&gt;"EX",0,--(COUNTIFS(nNIA,DATOS!$A18388,nCURSO,DATOS!$D18388,nESPEC,DATOS!$E18388,nASIG,DATOS!$I18388,nEVAL,"OR")=0))</f>
      </c>
      <c r="I18388">
        <f>IF(DATOS!$I18388="","",IFERROR(VLOOKUP(DATOS!$I18388,CONFIG_ASIGNATURAS!$B$2:$J$91,9,FALSE()),""))</f>
      </c>
    </row>
    <row r="18389">
      <c r="F18389">
        <f>IF(DATOS!$A18389="","",DATOS!$A18389&amp;"|"&amp;DATOS!$D18389&amp;"|"&amp;DATOS!$E18389&amp;"|"&amp;DATOS!$I18389)</f>
      </c>
      <c r="G18389">
        <f>IF(DATOS!$A18389="",0,IF(CONFIG_METADATA!$B$4&lt;&gt;"OR+EX",--(DATOS!$G18389=CONFIG_METADATA!$B$4),IF(DATOS!$G18389="EX",1,IF(DATOS!$G18389="OR",--(COUNTIFS(nNIA,DATOS!$A18389,nCURSO,DATOS!$D18389,nESPEC,DATOS!$E18389,nASIG,DATOS!$I18389,nEVAL,"EX")=0),0))))</f>
      </c>
      <c r="H18389">
        <f>IF(DATOS!$G18389&lt;&gt;"EX",0,--(COUNTIFS(nNIA,DATOS!$A18389,nCURSO,DATOS!$D18389,nESPEC,DATOS!$E18389,nASIG,DATOS!$I18389,nEVAL,"OR")=0))</f>
      </c>
      <c r="I18389">
        <f>IF(DATOS!$I18389="","",IFERROR(VLOOKUP(DATOS!$I18389,CONFIG_ASIGNATURAS!$B$2:$J$91,9,FALSE()),""))</f>
      </c>
    </row>
    <row r="18390">
      <c r="F18390">
        <f>IF(DATOS!$A18390="","",DATOS!$A18390&amp;"|"&amp;DATOS!$D18390&amp;"|"&amp;DATOS!$E18390&amp;"|"&amp;DATOS!$I18390)</f>
      </c>
      <c r="G18390">
        <f>IF(DATOS!$A18390="",0,IF(CONFIG_METADATA!$B$4&lt;&gt;"OR+EX",--(DATOS!$G18390=CONFIG_METADATA!$B$4),IF(DATOS!$G18390="EX",1,IF(DATOS!$G18390="OR",--(COUNTIFS(nNIA,DATOS!$A18390,nCURSO,DATOS!$D18390,nESPEC,DATOS!$E18390,nASIG,DATOS!$I18390,nEVAL,"EX")=0),0))))</f>
      </c>
      <c r="H18390">
        <f>IF(DATOS!$G18390&lt;&gt;"EX",0,--(COUNTIFS(nNIA,DATOS!$A18390,nCURSO,DATOS!$D18390,nESPEC,DATOS!$E18390,nASIG,DATOS!$I18390,nEVAL,"OR")=0))</f>
      </c>
      <c r="I18390">
        <f>IF(DATOS!$I18390="","",IFERROR(VLOOKUP(DATOS!$I18390,CONFIG_ASIGNATURAS!$B$2:$J$91,9,FALSE()),""))</f>
      </c>
    </row>
    <row r="18391">
      <c r="F18391">
        <f>IF(DATOS!$A18391="","",DATOS!$A18391&amp;"|"&amp;DATOS!$D18391&amp;"|"&amp;DATOS!$E18391&amp;"|"&amp;DATOS!$I18391)</f>
      </c>
      <c r="G18391">
        <f>IF(DATOS!$A18391="",0,IF(CONFIG_METADATA!$B$4&lt;&gt;"OR+EX",--(DATOS!$G18391=CONFIG_METADATA!$B$4),IF(DATOS!$G18391="EX",1,IF(DATOS!$G18391="OR",--(COUNTIFS(nNIA,DATOS!$A18391,nCURSO,DATOS!$D18391,nESPEC,DATOS!$E18391,nASIG,DATOS!$I18391,nEVAL,"EX")=0),0))))</f>
      </c>
      <c r="H18391">
        <f>IF(DATOS!$G18391&lt;&gt;"EX",0,--(COUNTIFS(nNIA,DATOS!$A18391,nCURSO,DATOS!$D18391,nESPEC,DATOS!$E18391,nASIG,DATOS!$I18391,nEVAL,"OR")=0))</f>
      </c>
      <c r="I18391">
        <f>IF(DATOS!$I18391="","",IFERROR(VLOOKUP(DATOS!$I18391,CONFIG_ASIGNATURAS!$B$2:$J$91,9,FALSE()),""))</f>
      </c>
    </row>
    <row r="18392">
      <c r="F18392">
        <f>IF(DATOS!$A18392="","",DATOS!$A18392&amp;"|"&amp;DATOS!$D18392&amp;"|"&amp;DATOS!$E18392&amp;"|"&amp;DATOS!$I18392)</f>
      </c>
      <c r="G18392">
        <f>IF(DATOS!$A18392="",0,IF(CONFIG_METADATA!$B$4&lt;&gt;"OR+EX",--(DATOS!$G18392=CONFIG_METADATA!$B$4),IF(DATOS!$G18392="EX",1,IF(DATOS!$G18392="OR",--(COUNTIFS(nNIA,DATOS!$A18392,nCURSO,DATOS!$D18392,nESPEC,DATOS!$E18392,nASIG,DATOS!$I18392,nEVAL,"EX")=0),0))))</f>
      </c>
      <c r="H18392">
        <f>IF(DATOS!$G18392&lt;&gt;"EX",0,--(COUNTIFS(nNIA,DATOS!$A18392,nCURSO,DATOS!$D18392,nESPEC,DATOS!$E18392,nASIG,DATOS!$I18392,nEVAL,"OR")=0))</f>
      </c>
      <c r="I18392">
        <f>IF(DATOS!$I18392="","",IFERROR(VLOOKUP(DATOS!$I18392,CONFIG_ASIGNATURAS!$B$2:$J$91,9,FALSE()),""))</f>
      </c>
    </row>
    <row r="18393">
      <c r="F18393">
        <f>IF(DATOS!$A18393="","",DATOS!$A18393&amp;"|"&amp;DATOS!$D18393&amp;"|"&amp;DATOS!$E18393&amp;"|"&amp;DATOS!$I18393)</f>
      </c>
      <c r="G18393">
        <f>IF(DATOS!$A18393="",0,IF(CONFIG_METADATA!$B$4&lt;&gt;"OR+EX",--(DATOS!$G18393=CONFIG_METADATA!$B$4),IF(DATOS!$G18393="EX",1,IF(DATOS!$G18393="OR",--(COUNTIFS(nNIA,DATOS!$A18393,nCURSO,DATOS!$D18393,nESPEC,DATOS!$E18393,nASIG,DATOS!$I18393,nEVAL,"EX")=0),0))))</f>
      </c>
      <c r="H18393">
        <f>IF(DATOS!$G18393&lt;&gt;"EX",0,--(COUNTIFS(nNIA,DATOS!$A18393,nCURSO,DATOS!$D18393,nESPEC,DATOS!$E18393,nASIG,DATOS!$I18393,nEVAL,"OR")=0))</f>
      </c>
      <c r="I18393">
        <f>IF(DATOS!$I18393="","",IFERROR(VLOOKUP(DATOS!$I18393,CONFIG_ASIGNATURAS!$B$2:$J$91,9,FALSE()),""))</f>
      </c>
    </row>
    <row r="18394">
      <c r="F18394">
        <f>IF(DATOS!$A18394="","",DATOS!$A18394&amp;"|"&amp;DATOS!$D18394&amp;"|"&amp;DATOS!$E18394&amp;"|"&amp;DATOS!$I18394)</f>
      </c>
      <c r="G18394">
        <f>IF(DATOS!$A18394="",0,IF(CONFIG_METADATA!$B$4&lt;&gt;"OR+EX",--(DATOS!$G18394=CONFIG_METADATA!$B$4),IF(DATOS!$G18394="EX",1,IF(DATOS!$G18394="OR",--(COUNTIFS(nNIA,DATOS!$A18394,nCURSO,DATOS!$D18394,nESPEC,DATOS!$E18394,nASIG,DATOS!$I18394,nEVAL,"EX")=0),0))))</f>
      </c>
      <c r="H18394">
        <f>IF(DATOS!$G18394&lt;&gt;"EX",0,--(COUNTIFS(nNIA,DATOS!$A18394,nCURSO,DATOS!$D18394,nESPEC,DATOS!$E18394,nASIG,DATOS!$I18394,nEVAL,"OR")=0))</f>
      </c>
      <c r="I18394">
        <f>IF(DATOS!$I18394="","",IFERROR(VLOOKUP(DATOS!$I18394,CONFIG_ASIGNATURAS!$B$2:$J$91,9,FALSE()),""))</f>
      </c>
    </row>
    <row r="18395">
      <c r="F18395">
        <f>IF(DATOS!$A18395="","",DATOS!$A18395&amp;"|"&amp;DATOS!$D18395&amp;"|"&amp;DATOS!$E18395&amp;"|"&amp;DATOS!$I18395)</f>
      </c>
      <c r="G18395">
        <f>IF(DATOS!$A18395="",0,IF(CONFIG_METADATA!$B$4&lt;&gt;"OR+EX",--(DATOS!$G18395=CONFIG_METADATA!$B$4),IF(DATOS!$G18395="EX",1,IF(DATOS!$G18395="OR",--(COUNTIFS(nNIA,DATOS!$A18395,nCURSO,DATOS!$D18395,nESPEC,DATOS!$E18395,nASIG,DATOS!$I18395,nEVAL,"EX")=0),0))))</f>
      </c>
      <c r="H18395">
        <f>IF(DATOS!$G18395&lt;&gt;"EX",0,--(COUNTIFS(nNIA,DATOS!$A18395,nCURSO,DATOS!$D18395,nESPEC,DATOS!$E18395,nASIG,DATOS!$I18395,nEVAL,"OR")=0))</f>
      </c>
      <c r="I18395">
        <f>IF(DATOS!$I18395="","",IFERROR(VLOOKUP(DATOS!$I18395,CONFIG_ASIGNATURAS!$B$2:$J$91,9,FALSE()),""))</f>
      </c>
    </row>
    <row r="18396">
      <c r="F18396">
        <f>IF(DATOS!$A18396="","",DATOS!$A18396&amp;"|"&amp;DATOS!$D18396&amp;"|"&amp;DATOS!$E18396&amp;"|"&amp;DATOS!$I18396)</f>
      </c>
      <c r="G18396">
        <f>IF(DATOS!$A18396="",0,IF(CONFIG_METADATA!$B$4&lt;&gt;"OR+EX",--(DATOS!$G18396=CONFIG_METADATA!$B$4),IF(DATOS!$G18396="EX",1,IF(DATOS!$G18396="OR",--(COUNTIFS(nNIA,DATOS!$A18396,nCURSO,DATOS!$D18396,nESPEC,DATOS!$E18396,nASIG,DATOS!$I18396,nEVAL,"EX")=0),0))))</f>
      </c>
      <c r="H18396">
        <f>IF(DATOS!$G18396&lt;&gt;"EX",0,--(COUNTIFS(nNIA,DATOS!$A18396,nCURSO,DATOS!$D18396,nESPEC,DATOS!$E18396,nASIG,DATOS!$I18396,nEVAL,"OR")=0))</f>
      </c>
      <c r="I18396">
        <f>IF(DATOS!$I18396="","",IFERROR(VLOOKUP(DATOS!$I18396,CONFIG_ASIGNATURAS!$B$2:$J$91,9,FALSE()),""))</f>
      </c>
    </row>
    <row r="18397">
      <c r="F18397">
        <f>IF(DATOS!$A18397="","",DATOS!$A18397&amp;"|"&amp;DATOS!$D18397&amp;"|"&amp;DATOS!$E18397&amp;"|"&amp;DATOS!$I18397)</f>
      </c>
      <c r="G18397">
        <f>IF(DATOS!$A18397="",0,IF(CONFIG_METADATA!$B$4&lt;&gt;"OR+EX",--(DATOS!$G18397=CONFIG_METADATA!$B$4),IF(DATOS!$G18397="EX",1,IF(DATOS!$G18397="OR",--(COUNTIFS(nNIA,DATOS!$A18397,nCURSO,DATOS!$D18397,nESPEC,DATOS!$E18397,nASIG,DATOS!$I18397,nEVAL,"EX")=0),0))))</f>
      </c>
      <c r="H18397">
        <f>IF(DATOS!$G18397&lt;&gt;"EX",0,--(COUNTIFS(nNIA,DATOS!$A18397,nCURSO,DATOS!$D18397,nESPEC,DATOS!$E18397,nASIG,DATOS!$I18397,nEVAL,"OR")=0))</f>
      </c>
      <c r="I18397">
        <f>IF(DATOS!$I18397="","",IFERROR(VLOOKUP(DATOS!$I18397,CONFIG_ASIGNATURAS!$B$2:$J$91,9,FALSE()),""))</f>
      </c>
    </row>
    <row r="18398">
      <c r="F18398">
        <f>IF(DATOS!$A18398="","",DATOS!$A18398&amp;"|"&amp;DATOS!$D18398&amp;"|"&amp;DATOS!$E18398&amp;"|"&amp;DATOS!$I18398)</f>
      </c>
      <c r="G18398">
        <f>IF(DATOS!$A18398="",0,IF(CONFIG_METADATA!$B$4&lt;&gt;"OR+EX",--(DATOS!$G18398=CONFIG_METADATA!$B$4),IF(DATOS!$G18398="EX",1,IF(DATOS!$G18398="OR",--(COUNTIFS(nNIA,DATOS!$A18398,nCURSO,DATOS!$D18398,nESPEC,DATOS!$E18398,nASIG,DATOS!$I18398,nEVAL,"EX")=0),0))))</f>
      </c>
      <c r="H18398">
        <f>IF(DATOS!$G18398&lt;&gt;"EX",0,--(COUNTIFS(nNIA,DATOS!$A18398,nCURSO,DATOS!$D18398,nESPEC,DATOS!$E18398,nASIG,DATOS!$I18398,nEVAL,"OR")=0))</f>
      </c>
      <c r="I18398">
        <f>IF(DATOS!$I18398="","",IFERROR(VLOOKUP(DATOS!$I18398,CONFIG_ASIGNATURAS!$B$2:$J$91,9,FALSE()),""))</f>
      </c>
    </row>
    <row r="18399">
      <c r="F18399">
        <f>IF(DATOS!$A18399="","",DATOS!$A18399&amp;"|"&amp;DATOS!$D18399&amp;"|"&amp;DATOS!$E18399&amp;"|"&amp;DATOS!$I18399)</f>
      </c>
      <c r="G18399">
        <f>IF(DATOS!$A18399="",0,IF(CONFIG_METADATA!$B$4&lt;&gt;"OR+EX",--(DATOS!$G18399=CONFIG_METADATA!$B$4),IF(DATOS!$G18399="EX",1,IF(DATOS!$G18399="OR",--(COUNTIFS(nNIA,DATOS!$A18399,nCURSO,DATOS!$D18399,nESPEC,DATOS!$E18399,nASIG,DATOS!$I18399,nEVAL,"EX")=0),0))))</f>
      </c>
      <c r="H18399">
        <f>IF(DATOS!$G18399&lt;&gt;"EX",0,--(COUNTIFS(nNIA,DATOS!$A18399,nCURSO,DATOS!$D18399,nESPEC,DATOS!$E18399,nASIG,DATOS!$I18399,nEVAL,"OR")=0))</f>
      </c>
      <c r="I18399">
        <f>IF(DATOS!$I18399="","",IFERROR(VLOOKUP(DATOS!$I18399,CONFIG_ASIGNATURAS!$B$2:$J$91,9,FALSE()),""))</f>
      </c>
    </row>
    <row r="18400">
      <c r="F18400">
        <f>IF(DATOS!$A18400="","",DATOS!$A18400&amp;"|"&amp;DATOS!$D18400&amp;"|"&amp;DATOS!$E18400&amp;"|"&amp;DATOS!$I18400)</f>
      </c>
      <c r="G18400">
        <f>IF(DATOS!$A18400="",0,IF(CONFIG_METADATA!$B$4&lt;&gt;"OR+EX",--(DATOS!$G18400=CONFIG_METADATA!$B$4),IF(DATOS!$G18400="EX",1,IF(DATOS!$G18400="OR",--(COUNTIFS(nNIA,DATOS!$A18400,nCURSO,DATOS!$D18400,nESPEC,DATOS!$E18400,nASIG,DATOS!$I18400,nEVAL,"EX")=0),0))))</f>
      </c>
      <c r="H18400">
        <f>IF(DATOS!$G18400&lt;&gt;"EX",0,--(COUNTIFS(nNIA,DATOS!$A18400,nCURSO,DATOS!$D18400,nESPEC,DATOS!$E18400,nASIG,DATOS!$I18400,nEVAL,"OR")=0))</f>
      </c>
      <c r="I18400">
        <f>IF(DATOS!$I18400="","",IFERROR(VLOOKUP(DATOS!$I18400,CONFIG_ASIGNATURAS!$B$2:$J$91,9,FALSE()),""))</f>
      </c>
    </row>
    <row r="18401">
      <c r="F18401">
        <f>IF(DATOS!$A18401="","",DATOS!$A18401&amp;"|"&amp;DATOS!$D18401&amp;"|"&amp;DATOS!$E18401&amp;"|"&amp;DATOS!$I18401)</f>
      </c>
      <c r="G18401">
        <f>IF(DATOS!$A18401="",0,IF(CONFIG_METADATA!$B$4&lt;&gt;"OR+EX",--(DATOS!$G18401=CONFIG_METADATA!$B$4),IF(DATOS!$G18401="EX",1,IF(DATOS!$G18401="OR",--(COUNTIFS(nNIA,DATOS!$A18401,nCURSO,DATOS!$D18401,nESPEC,DATOS!$E18401,nASIG,DATOS!$I18401,nEVAL,"EX")=0),0))))</f>
      </c>
      <c r="H18401">
        <f>IF(DATOS!$G18401&lt;&gt;"EX",0,--(COUNTIFS(nNIA,DATOS!$A18401,nCURSO,DATOS!$D18401,nESPEC,DATOS!$E18401,nASIG,DATOS!$I18401,nEVAL,"OR")=0))</f>
      </c>
      <c r="I18401">
        <f>IF(DATOS!$I18401="","",IFERROR(VLOOKUP(DATOS!$I18401,CONFIG_ASIGNATURAS!$B$2:$J$91,9,FALSE()),""))</f>
      </c>
    </row>
    <row r="18402">
      <c r="F18402">
        <f>IF(DATOS!$A18402="","",DATOS!$A18402&amp;"|"&amp;DATOS!$D18402&amp;"|"&amp;DATOS!$E18402&amp;"|"&amp;DATOS!$I18402)</f>
      </c>
      <c r="G18402">
        <f>IF(DATOS!$A18402="",0,IF(CONFIG_METADATA!$B$4&lt;&gt;"OR+EX",--(DATOS!$G18402=CONFIG_METADATA!$B$4),IF(DATOS!$G18402="EX",1,IF(DATOS!$G18402="OR",--(COUNTIFS(nNIA,DATOS!$A18402,nCURSO,DATOS!$D18402,nESPEC,DATOS!$E18402,nASIG,DATOS!$I18402,nEVAL,"EX")=0),0))))</f>
      </c>
      <c r="H18402">
        <f>IF(DATOS!$G18402&lt;&gt;"EX",0,--(COUNTIFS(nNIA,DATOS!$A18402,nCURSO,DATOS!$D18402,nESPEC,DATOS!$E18402,nASIG,DATOS!$I18402,nEVAL,"OR")=0))</f>
      </c>
      <c r="I18402">
        <f>IF(DATOS!$I18402="","",IFERROR(VLOOKUP(DATOS!$I18402,CONFIG_ASIGNATURAS!$B$2:$J$91,9,FALSE()),""))</f>
      </c>
    </row>
    <row r="18403">
      <c r="F18403">
        <f>IF(DATOS!$A18403="","",DATOS!$A18403&amp;"|"&amp;DATOS!$D18403&amp;"|"&amp;DATOS!$E18403&amp;"|"&amp;DATOS!$I18403)</f>
      </c>
      <c r="G18403">
        <f>IF(DATOS!$A18403="",0,IF(CONFIG_METADATA!$B$4&lt;&gt;"OR+EX",--(DATOS!$G18403=CONFIG_METADATA!$B$4),IF(DATOS!$G18403="EX",1,IF(DATOS!$G18403="OR",--(COUNTIFS(nNIA,DATOS!$A18403,nCURSO,DATOS!$D18403,nESPEC,DATOS!$E18403,nASIG,DATOS!$I18403,nEVAL,"EX")=0),0))))</f>
      </c>
      <c r="H18403">
        <f>IF(DATOS!$G18403&lt;&gt;"EX",0,--(COUNTIFS(nNIA,DATOS!$A18403,nCURSO,DATOS!$D18403,nESPEC,DATOS!$E18403,nASIG,DATOS!$I18403,nEVAL,"OR")=0))</f>
      </c>
      <c r="I18403">
        <f>IF(DATOS!$I18403="","",IFERROR(VLOOKUP(DATOS!$I18403,CONFIG_ASIGNATURAS!$B$2:$J$91,9,FALSE()),""))</f>
      </c>
    </row>
    <row r="18404">
      <c r="F18404">
        <f>IF(DATOS!$A18404="","",DATOS!$A18404&amp;"|"&amp;DATOS!$D18404&amp;"|"&amp;DATOS!$E18404&amp;"|"&amp;DATOS!$I18404)</f>
      </c>
      <c r="G18404">
        <f>IF(DATOS!$A18404="",0,IF(CONFIG_METADATA!$B$4&lt;&gt;"OR+EX",--(DATOS!$G18404=CONFIG_METADATA!$B$4),IF(DATOS!$G18404="EX",1,IF(DATOS!$G18404="OR",--(COUNTIFS(nNIA,DATOS!$A18404,nCURSO,DATOS!$D18404,nESPEC,DATOS!$E18404,nASIG,DATOS!$I18404,nEVAL,"EX")=0),0))))</f>
      </c>
      <c r="H18404">
        <f>IF(DATOS!$G18404&lt;&gt;"EX",0,--(COUNTIFS(nNIA,DATOS!$A18404,nCURSO,DATOS!$D18404,nESPEC,DATOS!$E18404,nASIG,DATOS!$I18404,nEVAL,"OR")=0))</f>
      </c>
      <c r="I18404">
        <f>IF(DATOS!$I18404="","",IFERROR(VLOOKUP(DATOS!$I18404,CONFIG_ASIGNATURAS!$B$2:$J$91,9,FALSE()),""))</f>
      </c>
    </row>
    <row r="18405">
      <c r="F18405">
        <f>IF(DATOS!$A18405="","",DATOS!$A18405&amp;"|"&amp;DATOS!$D18405&amp;"|"&amp;DATOS!$E18405&amp;"|"&amp;DATOS!$I18405)</f>
      </c>
      <c r="G18405">
        <f>IF(DATOS!$A18405="",0,IF(CONFIG_METADATA!$B$4&lt;&gt;"OR+EX",--(DATOS!$G18405=CONFIG_METADATA!$B$4),IF(DATOS!$G18405="EX",1,IF(DATOS!$G18405="OR",--(COUNTIFS(nNIA,DATOS!$A18405,nCURSO,DATOS!$D18405,nESPEC,DATOS!$E18405,nASIG,DATOS!$I18405,nEVAL,"EX")=0),0))))</f>
      </c>
      <c r="H18405">
        <f>IF(DATOS!$G18405&lt;&gt;"EX",0,--(COUNTIFS(nNIA,DATOS!$A18405,nCURSO,DATOS!$D18405,nESPEC,DATOS!$E18405,nASIG,DATOS!$I18405,nEVAL,"OR")=0))</f>
      </c>
      <c r="I18405">
        <f>IF(DATOS!$I18405="","",IFERROR(VLOOKUP(DATOS!$I18405,CONFIG_ASIGNATURAS!$B$2:$J$91,9,FALSE()),""))</f>
      </c>
    </row>
    <row r="18406">
      <c r="F18406">
        <f>IF(DATOS!$A18406="","",DATOS!$A18406&amp;"|"&amp;DATOS!$D18406&amp;"|"&amp;DATOS!$E18406&amp;"|"&amp;DATOS!$I18406)</f>
      </c>
      <c r="G18406">
        <f>IF(DATOS!$A18406="",0,IF(CONFIG_METADATA!$B$4&lt;&gt;"OR+EX",--(DATOS!$G18406=CONFIG_METADATA!$B$4),IF(DATOS!$G18406="EX",1,IF(DATOS!$G18406="OR",--(COUNTIFS(nNIA,DATOS!$A18406,nCURSO,DATOS!$D18406,nESPEC,DATOS!$E18406,nASIG,DATOS!$I18406,nEVAL,"EX")=0),0))))</f>
      </c>
      <c r="H18406">
        <f>IF(DATOS!$G18406&lt;&gt;"EX",0,--(COUNTIFS(nNIA,DATOS!$A18406,nCURSO,DATOS!$D18406,nESPEC,DATOS!$E18406,nASIG,DATOS!$I18406,nEVAL,"OR")=0))</f>
      </c>
      <c r="I18406">
        <f>IF(DATOS!$I18406="","",IFERROR(VLOOKUP(DATOS!$I18406,CONFIG_ASIGNATURAS!$B$2:$J$91,9,FALSE()),""))</f>
      </c>
    </row>
    <row r="18407">
      <c r="F18407">
        <f>IF(DATOS!$A18407="","",DATOS!$A18407&amp;"|"&amp;DATOS!$D18407&amp;"|"&amp;DATOS!$E18407&amp;"|"&amp;DATOS!$I18407)</f>
      </c>
      <c r="G18407">
        <f>IF(DATOS!$A18407="",0,IF(CONFIG_METADATA!$B$4&lt;&gt;"OR+EX",--(DATOS!$G18407=CONFIG_METADATA!$B$4),IF(DATOS!$G18407="EX",1,IF(DATOS!$G18407="OR",--(COUNTIFS(nNIA,DATOS!$A18407,nCURSO,DATOS!$D18407,nESPEC,DATOS!$E18407,nASIG,DATOS!$I18407,nEVAL,"EX")=0),0))))</f>
      </c>
      <c r="H18407">
        <f>IF(DATOS!$G18407&lt;&gt;"EX",0,--(COUNTIFS(nNIA,DATOS!$A18407,nCURSO,DATOS!$D18407,nESPEC,DATOS!$E18407,nASIG,DATOS!$I18407,nEVAL,"OR")=0))</f>
      </c>
      <c r="I18407">
        <f>IF(DATOS!$I18407="","",IFERROR(VLOOKUP(DATOS!$I18407,CONFIG_ASIGNATURAS!$B$2:$J$91,9,FALSE()),""))</f>
      </c>
    </row>
    <row r="18408">
      <c r="F18408">
        <f>IF(DATOS!$A18408="","",DATOS!$A18408&amp;"|"&amp;DATOS!$D18408&amp;"|"&amp;DATOS!$E18408&amp;"|"&amp;DATOS!$I18408)</f>
      </c>
      <c r="G18408">
        <f>IF(DATOS!$A18408="",0,IF(CONFIG_METADATA!$B$4&lt;&gt;"OR+EX",--(DATOS!$G18408=CONFIG_METADATA!$B$4),IF(DATOS!$G18408="EX",1,IF(DATOS!$G18408="OR",--(COUNTIFS(nNIA,DATOS!$A18408,nCURSO,DATOS!$D18408,nESPEC,DATOS!$E18408,nASIG,DATOS!$I18408,nEVAL,"EX")=0),0))))</f>
      </c>
      <c r="H18408">
        <f>IF(DATOS!$G18408&lt;&gt;"EX",0,--(COUNTIFS(nNIA,DATOS!$A18408,nCURSO,DATOS!$D18408,nESPEC,DATOS!$E18408,nASIG,DATOS!$I18408,nEVAL,"OR")=0))</f>
      </c>
      <c r="I18408">
        <f>IF(DATOS!$I18408="","",IFERROR(VLOOKUP(DATOS!$I18408,CONFIG_ASIGNATURAS!$B$2:$J$91,9,FALSE()),""))</f>
      </c>
    </row>
    <row r="18409">
      <c r="F18409">
        <f>IF(DATOS!$A18409="","",DATOS!$A18409&amp;"|"&amp;DATOS!$D18409&amp;"|"&amp;DATOS!$E18409&amp;"|"&amp;DATOS!$I18409)</f>
      </c>
      <c r="G18409">
        <f>IF(DATOS!$A18409="",0,IF(CONFIG_METADATA!$B$4&lt;&gt;"OR+EX",--(DATOS!$G18409=CONFIG_METADATA!$B$4),IF(DATOS!$G18409="EX",1,IF(DATOS!$G18409="OR",--(COUNTIFS(nNIA,DATOS!$A18409,nCURSO,DATOS!$D18409,nESPEC,DATOS!$E18409,nASIG,DATOS!$I18409,nEVAL,"EX")=0),0))))</f>
      </c>
      <c r="H18409">
        <f>IF(DATOS!$G18409&lt;&gt;"EX",0,--(COUNTIFS(nNIA,DATOS!$A18409,nCURSO,DATOS!$D18409,nESPEC,DATOS!$E18409,nASIG,DATOS!$I18409,nEVAL,"OR")=0))</f>
      </c>
      <c r="I18409">
        <f>IF(DATOS!$I18409="","",IFERROR(VLOOKUP(DATOS!$I18409,CONFIG_ASIGNATURAS!$B$2:$J$91,9,FALSE()),""))</f>
      </c>
    </row>
    <row r="18410">
      <c r="F18410">
        <f>IF(DATOS!$A18410="","",DATOS!$A18410&amp;"|"&amp;DATOS!$D18410&amp;"|"&amp;DATOS!$E18410&amp;"|"&amp;DATOS!$I18410)</f>
      </c>
      <c r="G18410">
        <f>IF(DATOS!$A18410="",0,IF(CONFIG_METADATA!$B$4&lt;&gt;"OR+EX",--(DATOS!$G18410=CONFIG_METADATA!$B$4),IF(DATOS!$G18410="EX",1,IF(DATOS!$G18410="OR",--(COUNTIFS(nNIA,DATOS!$A18410,nCURSO,DATOS!$D18410,nESPEC,DATOS!$E18410,nASIG,DATOS!$I18410,nEVAL,"EX")=0),0))))</f>
      </c>
      <c r="H18410">
        <f>IF(DATOS!$G18410&lt;&gt;"EX",0,--(COUNTIFS(nNIA,DATOS!$A18410,nCURSO,DATOS!$D18410,nESPEC,DATOS!$E18410,nASIG,DATOS!$I18410,nEVAL,"OR")=0))</f>
      </c>
      <c r="I18410">
        <f>IF(DATOS!$I18410="","",IFERROR(VLOOKUP(DATOS!$I18410,CONFIG_ASIGNATURAS!$B$2:$J$91,9,FALSE()),""))</f>
      </c>
    </row>
    <row r="18411">
      <c r="F18411">
        <f>IF(DATOS!$A18411="","",DATOS!$A18411&amp;"|"&amp;DATOS!$D18411&amp;"|"&amp;DATOS!$E18411&amp;"|"&amp;DATOS!$I18411)</f>
      </c>
      <c r="G18411">
        <f>IF(DATOS!$A18411="",0,IF(CONFIG_METADATA!$B$4&lt;&gt;"OR+EX",--(DATOS!$G18411=CONFIG_METADATA!$B$4),IF(DATOS!$G18411="EX",1,IF(DATOS!$G18411="OR",--(COUNTIFS(nNIA,DATOS!$A18411,nCURSO,DATOS!$D18411,nESPEC,DATOS!$E18411,nASIG,DATOS!$I18411,nEVAL,"EX")=0),0))))</f>
      </c>
      <c r="H18411">
        <f>IF(DATOS!$G18411&lt;&gt;"EX",0,--(COUNTIFS(nNIA,DATOS!$A18411,nCURSO,DATOS!$D18411,nESPEC,DATOS!$E18411,nASIG,DATOS!$I18411,nEVAL,"OR")=0))</f>
      </c>
      <c r="I18411">
        <f>IF(DATOS!$I18411="","",IFERROR(VLOOKUP(DATOS!$I18411,CONFIG_ASIGNATURAS!$B$2:$J$91,9,FALSE()),""))</f>
      </c>
    </row>
    <row r="18412">
      <c r="F18412">
        <f>IF(DATOS!$A18412="","",DATOS!$A18412&amp;"|"&amp;DATOS!$D18412&amp;"|"&amp;DATOS!$E18412&amp;"|"&amp;DATOS!$I18412)</f>
      </c>
      <c r="G18412">
        <f>IF(DATOS!$A18412="",0,IF(CONFIG_METADATA!$B$4&lt;&gt;"OR+EX",--(DATOS!$G18412=CONFIG_METADATA!$B$4),IF(DATOS!$G18412="EX",1,IF(DATOS!$G18412="OR",--(COUNTIFS(nNIA,DATOS!$A18412,nCURSO,DATOS!$D18412,nESPEC,DATOS!$E18412,nASIG,DATOS!$I18412,nEVAL,"EX")=0),0))))</f>
      </c>
      <c r="H18412">
        <f>IF(DATOS!$G18412&lt;&gt;"EX",0,--(COUNTIFS(nNIA,DATOS!$A18412,nCURSO,DATOS!$D18412,nESPEC,DATOS!$E18412,nASIG,DATOS!$I18412,nEVAL,"OR")=0))</f>
      </c>
      <c r="I18412">
        <f>IF(DATOS!$I18412="","",IFERROR(VLOOKUP(DATOS!$I18412,CONFIG_ASIGNATURAS!$B$2:$J$91,9,FALSE()),""))</f>
      </c>
    </row>
    <row r="18413">
      <c r="F18413">
        <f>IF(DATOS!$A18413="","",DATOS!$A18413&amp;"|"&amp;DATOS!$D18413&amp;"|"&amp;DATOS!$E18413&amp;"|"&amp;DATOS!$I18413)</f>
      </c>
      <c r="G18413">
        <f>IF(DATOS!$A18413="",0,IF(CONFIG_METADATA!$B$4&lt;&gt;"OR+EX",--(DATOS!$G18413=CONFIG_METADATA!$B$4),IF(DATOS!$G18413="EX",1,IF(DATOS!$G18413="OR",--(COUNTIFS(nNIA,DATOS!$A18413,nCURSO,DATOS!$D18413,nESPEC,DATOS!$E18413,nASIG,DATOS!$I18413,nEVAL,"EX")=0),0))))</f>
      </c>
      <c r="H18413">
        <f>IF(DATOS!$G18413&lt;&gt;"EX",0,--(COUNTIFS(nNIA,DATOS!$A18413,nCURSO,DATOS!$D18413,nESPEC,DATOS!$E18413,nASIG,DATOS!$I18413,nEVAL,"OR")=0))</f>
      </c>
      <c r="I18413">
        <f>IF(DATOS!$I18413="","",IFERROR(VLOOKUP(DATOS!$I18413,CONFIG_ASIGNATURAS!$B$2:$J$91,9,FALSE()),""))</f>
      </c>
    </row>
    <row r="18414">
      <c r="F18414">
        <f>IF(DATOS!$A18414="","",DATOS!$A18414&amp;"|"&amp;DATOS!$D18414&amp;"|"&amp;DATOS!$E18414&amp;"|"&amp;DATOS!$I18414)</f>
      </c>
      <c r="G18414">
        <f>IF(DATOS!$A18414="",0,IF(CONFIG_METADATA!$B$4&lt;&gt;"OR+EX",--(DATOS!$G18414=CONFIG_METADATA!$B$4),IF(DATOS!$G18414="EX",1,IF(DATOS!$G18414="OR",--(COUNTIFS(nNIA,DATOS!$A18414,nCURSO,DATOS!$D18414,nESPEC,DATOS!$E18414,nASIG,DATOS!$I18414,nEVAL,"EX")=0),0))))</f>
      </c>
      <c r="H18414">
        <f>IF(DATOS!$G18414&lt;&gt;"EX",0,--(COUNTIFS(nNIA,DATOS!$A18414,nCURSO,DATOS!$D18414,nESPEC,DATOS!$E18414,nASIG,DATOS!$I18414,nEVAL,"OR")=0))</f>
      </c>
      <c r="I18414">
        <f>IF(DATOS!$I18414="","",IFERROR(VLOOKUP(DATOS!$I18414,CONFIG_ASIGNATURAS!$B$2:$J$91,9,FALSE()),""))</f>
      </c>
    </row>
    <row r="18415">
      <c r="F18415">
        <f>IF(DATOS!$A18415="","",DATOS!$A18415&amp;"|"&amp;DATOS!$D18415&amp;"|"&amp;DATOS!$E18415&amp;"|"&amp;DATOS!$I18415)</f>
      </c>
      <c r="G18415">
        <f>IF(DATOS!$A18415="",0,IF(CONFIG_METADATA!$B$4&lt;&gt;"OR+EX",--(DATOS!$G18415=CONFIG_METADATA!$B$4),IF(DATOS!$G18415="EX",1,IF(DATOS!$G18415="OR",--(COUNTIFS(nNIA,DATOS!$A18415,nCURSO,DATOS!$D18415,nESPEC,DATOS!$E18415,nASIG,DATOS!$I18415,nEVAL,"EX")=0),0))))</f>
      </c>
      <c r="H18415">
        <f>IF(DATOS!$G18415&lt;&gt;"EX",0,--(COUNTIFS(nNIA,DATOS!$A18415,nCURSO,DATOS!$D18415,nESPEC,DATOS!$E18415,nASIG,DATOS!$I18415,nEVAL,"OR")=0))</f>
      </c>
      <c r="I18415">
        <f>IF(DATOS!$I18415="","",IFERROR(VLOOKUP(DATOS!$I18415,CONFIG_ASIGNATURAS!$B$2:$J$91,9,FALSE()),""))</f>
      </c>
    </row>
    <row r="18416">
      <c r="F18416">
        <f>IF(DATOS!$A18416="","",DATOS!$A18416&amp;"|"&amp;DATOS!$D18416&amp;"|"&amp;DATOS!$E18416&amp;"|"&amp;DATOS!$I18416)</f>
      </c>
      <c r="G18416">
        <f>IF(DATOS!$A18416="",0,IF(CONFIG_METADATA!$B$4&lt;&gt;"OR+EX",--(DATOS!$G18416=CONFIG_METADATA!$B$4),IF(DATOS!$G18416="EX",1,IF(DATOS!$G18416="OR",--(COUNTIFS(nNIA,DATOS!$A18416,nCURSO,DATOS!$D18416,nESPEC,DATOS!$E18416,nASIG,DATOS!$I18416,nEVAL,"EX")=0),0))))</f>
      </c>
      <c r="H18416">
        <f>IF(DATOS!$G18416&lt;&gt;"EX",0,--(COUNTIFS(nNIA,DATOS!$A18416,nCURSO,DATOS!$D18416,nESPEC,DATOS!$E18416,nASIG,DATOS!$I18416,nEVAL,"OR")=0))</f>
      </c>
      <c r="I18416">
        <f>IF(DATOS!$I18416="","",IFERROR(VLOOKUP(DATOS!$I18416,CONFIG_ASIGNATURAS!$B$2:$J$91,9,FALSE()),""))</f>
      </c>
    </row>
    <row r="18417">
      <c r="F18417">
        <f>IF(DATOS!$A18417="","",DATOS!$A18417&amp;"|"&amp;DATOS!$D18417&amp;"|"&amp;DATOS!$E18417&amp;"|"&amp;DATOS!$I18417)</f>
      </c>
      <c r="G18417">
        <f>IF(DATOS!$A18417="",0,IF(CONFIG_METADATA!$B$4&lt;&gt;"OR+EX",--(DATOS!$G18417=CONFIG_METADATA!$B$4),IF(DATOS!$G18417="EX",1,IF(DATOS!$G18417="OR",--(COUNTIFS(nNIA,DATOS!$A18417,nCURSO,DATOS!$D18417,nESPEC,DATOS!$E18417,nASIG,DATOS!$I18417,nEVAL,"EX")=0),0))))</f>
      </c>
      <c r="H18417">
        <f>IF(DATOS!$G18417&lt;&gt;"EX",0,--(COUNTIFS(nNIA,DATOS!$A18417,nCURSO,DATOS!$D18417,nESPEC,DATOS!$E18417,nASIG,DATOS!$I18417,nEVAL,"OR")=0))</f>
      </c>
      <c r="I18417">
        <f>IF(DATOS!$I18417="","",IFERROR(VLOOKUP(DATOS!$I18417,CONFIG_ASIGNATURAS!$B$2:$J$91,9,FALSE()),""))</f>
      </c>
    </row>
    <row r="18418">
      <c r="F18418">
        <f>IF(DATOS!$A18418="","",DATOS!$A18418&amp;"|"&amp;DATOS!$D18418&amp;"|"&amp;DATOS!$E18418&amp;"|"&amp;DATOS!$I18418)</f>
      </c>
      <c r="G18418">
        <f>IF(DATOS!$A18418="",0,IF(CONFIG_METADATA!$B$4&lt;&gt;"OR+EX",--(DATOS!$G18418=CONFIG_METADATA!$B$4),IF(DATOS!$G18418="EX",1,IF(DATOS!$G18418="OR",--(COUNTIFS(nNIA,DATOS!$A18418,nCURSO,DATOS!$D18418,nESPEC,DATOS!$E18418,nASIG,DATOS!$I18418,nEVAL,"EX")=0),0))))</f>
      </c>
      <c r="H18418">
        <f>IF(DATOS!$G18418&lt;&gt;"EX",0,--(COUNTIFS(nNIA,DATOS!$A18418,nCURSO,DATOS!$D18418,nESPEC,DATOS!$E18418,nASIG,DATOS!$I18418,nEVAL,"OR")=0))</f>
      </c>
      <c r="I18418">
        <f>IF(DATOS!$I18418="","",IFERROR(VLOOKUP(DATOS!$I18418,CONFIG_ASIGNATURAS!$B$2:$J$91,9,FALSE()),""))</f>
      </c>
    </row>
    <row r="18419">
      <c r="F18419">
        <f>IF(DATOS!$A18419="","",DATOS!$A18419&amp;"|"&amp;DATOS!$D18419&amp;"|"&amp;DATOS!$E18419&amp;"|"&amp;DATOS!$I18419)</f>
      </c>
      <c r="G18419">
        <f>IF(DATOS!$A18419="",0,IF(CONFIG_METADATA!$B$4&lt;&gt;"OR+EX",--(DATOS!$G18419=CONFIG_METADATA!$B$4),IF(DATOS!$G18419="EX",1,IF(DATOS!$G18419="OR",--(COUNTIFS(nNIA,DATOS!$A18419,nCURSO,DATOS!$D18419,nESPEC,DATOS!$E18419,nASIG,DATOS!$I18419,nEVAL,"EX")=0),0))))</f>
      </c>
      <c r="H18419">
        <f>IF(DATOS!$G18419&lt;&gt;"EX",0,--(COUNTIFS(nNIA,DATOS!$A18419,nCURSO,DATOS!$D18419,nESPEC,DATOS!$E18419,nASIG,DATOS!$I18419,nEVAL,"OR")=0))</f>
      </c>
      <c r="I18419">
        <f>IF(DATOS!$I18419="","",IFERROR(VLOOKUP(DATOS!$I18419,CONFIG_ASIGNATURAS!$B$2:$J$91,9,FALSE()),""))</f>
      </c>
    </row>
    <row r="18420">
      <c r="F18420">
        <f>IF(DATOS!$A18420="","",DATOS!$A18420&amp;"|"&amp;DATOS!$D18420&amp;"|"&amp;DATOS!$E18420&amp;"|"&amp;DATOS!$I18420)</f>
      </c>
      <c r="G18420">
        <f>IF(DATOS!$A18420="",0,IF(CONFIG_METADATA!$B$4&lt;&gt;"OR+EX",--(DATOS!$G18420=CONFIG_METADATA!$B$4),IF(DATOS!$G18420="EX",1,IF(DATOS!$G18420="OR",--(COUNTIFS(nNIA,DATOS!$A18420,nCURSO,DATOS!$D18420,nESPEC,DATOS!$E18420,nASIG,DATOS!$I18420,nEVAL,"EX")=0),0))))</f>
      </c>
      <c r="H18420">
        <f>IF(DATOS!$G18420&lt;&gt;"EX",0,--(COUNTIFS(nNIA,DATOS!$A18420,nCURSO,DATOS!$D18420,nESPEC,DATOS!$E18420,nASIG,DATOS!$I18420,nEVAL,"OR")=0))</f>
      </c>
      <c r="I18420">
        <f>IF(DATOS!$I18420="","",IFERROR(VLOOKUP(DATOS!$I18420,CONFIG_ASIGNATURAS!$B$2:$J$91,9,FALSE()),""))</f>
      </c>
    </row>
    <row r="18421">
      <c r="F18421">
        <f>IF(DATOS!$A18421="","",DATOS!$A18421&amp;"|"&amp;DATOS!$D18421&amp;"|"&amp;DATOS!$E18421&amp;"|"&amp;DATOS!$I18421)</f>
      </c>
      <c r="G18421">
        <f>IF(DATOS!$A18421="",0,IF(CONFIG_METADATA!$B$4&lt;&gt;"OR+EX",--(DATOS!$G18421=CONFIG_METADATA!$B$4),IF(DATOS!$G18421="EX",1,IF(DATOS!$G18421="OR",--(COUNTIFS(nNIA,DATOS!$A18421,nCURSO,DATOS!$D18421,nESPEC,DATOS!$E18421,nASIG,DATOS!$I18421,nEVAL,"EX")=0),0))))</f>
      </c>
      <c r="H18421">
        <f>IF(DATOS!$G18421&lt;&gt;"EX",0,--(COUNTIFS(nNIA,DATOS!$A18421,nCURSO,DATOS!$D18421,nESPEC,DATOS!$E18421,nASIG,DATOS!$I18421,nEVAL,"OR")=0))</f>
      </c>
      <c r="I18421">
        <f>IF(DATOS!$I18421="","",IFERROR(VLOOKUP(DATOS!$I18421,CONFIG_ASIGNATURAS!$B$2:$J$91,9,FALSE()),""))</f>
      </c>
    </row>
    <row r="18422">
      <c r="F18422">
        <f>IF(DATOS!$A18422="","",DATOS!$A18422&amp;"|"&amp;DATOS!$D18422&amp;"|"&amp;DATOS!$E18422&amp;"|"&amp;DATOS!$I18422)</f>
      </c>
      <c r="G18422">
        <f>IF(DATOS!$A18422="",0,IF(CONFIG_METADATA!$B$4&lt;&gt;"OR+EX",--(DATOS!$G18422=CONFIG_METADATA!$B$4),IF(DATOS!$G18422="EX",1,IF(DATOS!$G18422="OR",--(COUNTIFS(nNIA,DATOS!$A18422,nCURSO,DATOS!$D18422,nESPEC,DATOS!$E18422,nASIG,DATOS!$I18422,nEVAL,"EX")=0),0))))</f>
      </c>
      <c r="H18422">
        <f>IF(DATOS!$G18422&lt;&gt;"EX",0,--(COUNTIFS(nNIA,DATOS!$A18422,nCURSO,DATOS!$D18422,nESPEC,DATOS!$E18422,nASIG,DATOS!$I18422,nEVAL,"OR")=0))</f>
      </c>
      <c r="I18422">
        <f>IF(DATOS!$I18422="","",IFERROR(VLOOKUP(DATOS!$I18422,CONFIG_ASIGNATURAS!$B$2:$J$91,9,FALSE()),""))</f>
      </c>
    </row>
    <row r="18423">
      <c r="F18423">
        <f>IF(DATOS!$A18423="","",DATOS!$A18423&amp;"|"&amp;DATOS!$D18423&amp;"|"&amp;DATOS!$E18423&amp;"|"&amp;DATOS!$I18423)</f>
      </c>
      <c r="G18423">
        <f>IF(DATOS!$A18423="",0,IF(CONFIG_METADATA!$B$4&lt;&gt;"OR+EX",--(DATOS!$G18423=CONFIG_METADATA!$B$4),IF(DATOS!$G18423="EX",1,IF(DATOS!$G18423="OR",--(COUNTIFS(nNIA,DATOS!$A18423,nCURSO,DATOS!$D18423,nESPEC,DATOS!$E18423,nASIG,DATOS!$I18423,nEVAL,"EX")=0),0))))</f>
      </c>
      <c r="H18423">
        <f>IF(DATOS!$G18423&lt;&gt;"EX",0,--(COUNTIFS(nNIA,DATOS!$A18423,nCURSO,DATOS!$D18423,nESPEC,DATOS!$E18423,nASIG,DATOS!$I18423,nEVAL,"OR")=0))</f>
      </c>
      <c r="I18423">
        <f>IF(DATOS!$I18423="","",IFERROR(VLOOKUP(DATOS!$I18423,CONFIG_ASIGNATURAS!$B$2:$J$91,9,FALSE()),""))</f>
      </c>
    </row>
    <row r="18424">
      <c r="F18424">
        <f>IF(DATOS!$A18424="","",DATOS!$A18424&amp;"|"&amp;DATOS!$D18424&amp;"|"&amp;DATOS!$E18424&amp;"|"&amp;DATOS!$I18424)</f>
      </c>
      <c r="G18424">
        <f>IF(DATOS!$A18424="",0,IF(CONFIG_METADATA!$B$4&lt;&gt;"OR+EX",--(DATOS!$G18424=CONFIG_METADATA!$B$4),IF(DATOS!$G18424="EX",1,IF(DATOS!$G18424="OR",--(COUNTIFS(nNIA,DATOS!$A18424,nCURSO,DATOS!$D18424,nESPEC,DATOS!$E18424,nASIG,DATOS!$I18424,nEVAL,"EX")=0),0))))</f>
      </c>
      <c r="H18424">
        <f>IF(DATOS!$G18424&lt;&gt;"EX",0,--(COUNTIFS(nNIA,DATOS!$A18424,nCURSO,DATOS!$D18424,nESPEC,DATOS!$E18424,nASIG,DATOS!$I18424,nEVAL,"OR")=0))</f>
      </c>
      <c r="I18424">
        <f>IF(DATOS!$I18424="","",IFERROR(VLOOKUP(DATOS!$I18424,CONFIG_ASIGNATURAS!$B$2:$J$91,9,FALSE()),""))</f>
      </c>
    </row>
    <row r="18425">
      <c r="F18425">
        <f>IF(DATOS!$A18425="","",DATOS!$A18425&amp;"|"&amp;DATOS!$D18425&amp;"|"&amp;DATOS!$E18425&amp;"|"&amp;DATOS!$I18425)</f>
      </c>
      <c r="G18425">
        <f>IF(DATOS!$A18425="",0,IF(CONFIG_METADATA!$B$4&lt;&gt;"OR+EX",--(DATOS!$G18425=CONFIG_METADATA!$B$4),IF(DATOS!$G18425="EX",1,IF(DATOS!$G18425="OR",--(COUNTIFS(nNIA,DATOS!$A18425,nCURSO,DATOS!$D18425,nESPEC,DATOS!$E18425,nASIG,DATOS!$I18425,nEVAL,"EX")=0),0))))</f>
      </c>
      <c r="H18425">
        <f>IF(DATOS!$G18425&lt;&gt;"EX",0,--(COUNTIFS(nNIA,DATOS!$A18425,nCURSO,DATOS!$D18425,nESPEC,DATOS!$E18425,nASIG,DATOS!$I18425,nEVAL,"OR")=0))</f>
      </c>
      <c r="I18425">
        <f>IF(DATOS!$I18425="","",IFERROR(VLOOKUP(DATOS!$I18425,CONFIG_ASIGNATURAS!$B$2:$J$91,9,FALSE()),""))</f>
      </c>
    </row>
    <row r="18426">
      <c r="F18426">
        <f>IF(DATOS!$A18426="","",DATOS!$A18426&amp;"|"&amp;DATOS!$D18426&amp;"|"&amp;DATOS!$E18426&amp;"|"&amp;DATOS!$I18426)</f>
      </c>
      <c r="G18426">
        <f>IF(DATOS!$A18426="",0,IF(CONFIG_METADATA!$B$4&lt;&gt;"OR+EX",--(DATOS!$G18426=CONFIG_METADATA!$B$4),IF(DATOS!$G18426="EX",1,IF(DATOS!$G18426="OR",--(COUNTIFS(nNIA,DATOS!$A18426,nCURSO,DATOS!$D18426,nESPEC,DATOS!$E18426,nASIG,DATOS!$I18426,nEVAL,"EX")=0),0))))</f>
      </c>
      <c r="H18426">
        <f>IF(DATOS!$G18426&lt;&gt;"EX",0,--(COUNTIFS(nNIA,DATOS!$A18426,nCURSO,DATOS!$D18426,nESPEC,DATOS!$E18426,nASIG,DATOS!$I18426,nEVAL,"OR")=0))</f>
      </c>
      <c r="I18426">
        <f>IF(DATOS!$I18426="","",IFERROR(VLOOKUP(DATOS!$I18426,CONFIG_ASIGNATURAS!$B$2:$J$91,9,FALSE()),""))</f>
      </c>
    </row>
    <row r="18427">
      <c r="F18427">
        <f>IF(DATOS!$A18427="","",DATOS!$A18427&amp;"|"&amp;DATOS!$D18427&amp;"|"&amp;DATOS!$E18427&amp;"|"&amp;DATOS!$I18427)</f>
      </c>
      <c r="G18427">
        <f>IF(DATOS!$A18427="",0,IF(CONFIG_METADATA!$B$4&lt;&gt;"OR+EX",--(DATOS!$G18427=CONFIG_METADATA!$B$4),IF(DATOS!$G18427="EX",1,IF(DATOS!$G18427="OR",--(COUNTIFS(nNIA,DATOS!$A18427,nCURSO,DATOS!$D18427,nESPEC,DATOS!$E18427,nASIG,DATOS!$I18427,nEVAL,"EX")=0),0))))</f>
      </c>
      <c r="H18427">
        <f>IF(DATOS!$G18427&lt;&gt;"EX",0,--(COUNTIFS(nNIA,DATOS!$A18427,nCURSO,DATOS!$D18427,nESPEC,DATOS!$E18427,nASIG,DATOS!$I18427,nEVAL,"OR")=0))</f>
      </c>
      <c r="I18427">
        <f>IF(DATOS!$I18427="","",IFERROR(VLOOKUP(DATOS!$I18427,CONFIG_ASIGNATURAS!$B$2:$J$91,9,FALSE()),""))</f>
      </c>
    </row>
    <row r="18428">
      <c r="F18428">
        <f>IF(DATOS!$A18428="","",DATOS!$A18428&amp;"|"&amp;DATOS!$D18428&amp;"|"&amp;DATOS!$E18428&amp;"|"&amp;DATOS!$I18428)</f>
      </c>
      <c r="G18428">
        <f>IF(DATOS!$A18428="",0,IF(CONFIG_METADATA!$B$4&lt;&gt;"OR+EX",--(DATOS!$G18428=CONFIG_METADATA!$B$4),IF(DATOS!$G18428="EX",1,IF(DATOS!$G18428="OR",--(COUNTIFS(nNIA,DATOS!$A18428,nCURSO,DATOS!$D18428,nESPEC,DATOS!$E18428,nASIG,DATOS!$I18428,nEVAL,"EX")=0),0))))</f>
      </c>
      <c r="H18428">
        <f>IF(DATOS!$G18428&lt;&gt;"EX",0,--(COUNTIFS(nNIA,DATOS!$A18428,nCURSO,DATOS!$D18428,nESPEC,DATOS!$E18428,nASIG,DATOS!$I18428,nEVAL,"OR")=0))</f>
      </c>
      <c r="I18428">
        <f>IF(DATOS!$I18428="","",IFERROR(VLOOKUP(DATOS!$I18428,CONFIG_ASIGNATURAS!$B$2:$J$91,9,FALSE()),""))</f>
      </c>
    </row>
    <row r="18429">
      <c r="F18429">
        <f>IF(DATOS!$A18429="","",DATOS!$A18429&amp;"|"&amp;DATOS!$D18429&amp;"|"&amp;DATOS!$E18429&amp;"|"&amp;DATOS!$I18429)</f>
      </c>
      <c r="G18429">
        <f>IF(DATOS!$A18429="",0,IF(CONFIG_METADATA!$B$4&lt;&gt;"OR+EX",--(DATOS!$G18429=CONFIG_METADATA!$B$4),IF(DATOS!$G18429="EX",1,IF(DATOS!$G18429="OR",--(COUNTIFS(nNIA,DATOS!$A18429,nCURSO,DATOS!$D18429,nESPEC,DATOS!$E18429,nASIG,DATOS!$I18429,nEVAL,"EX")=0),0))))</f>
      </c>
      <c r="H18429">
        <f>IF(DATOS!$G18429&lt;&gt;"EX",0,--(COUNTIFS(nNIA,DATOS!$A18429,nCURSO,DATOS!$D18429,nESPEC,DATOS!$E18429,nASIG,DATOS!$I18429,nEVAL,"OR")=0))</f>
      </c>
      <c r="I18429">
        <f>IF(DATOS!$I18429="","",IFERROR(VLOOKUP(DATOS!$I18429,CONFIG_ASIGNATURAS!$B$2:$J$91,9,FALSE()),""))</f>
      </c>
    </row>
    <row r="18430">
      <c r="F18430">
        <f>IF(DATOS!$A18430="","",DATOS!$A18430&amp;"|"&amp;DATOS!$D18430&amp;"|"&amp;DATOS!$E18430&amp;"|"&amp;DATOS!$I18430)</f>
      </c>
      <c r="G18430">
        <f>IF(DATOS!$A18430="",0,IF(CONFIG_METADATA!$B$4&lt;&gt;"OR+EX",--(DATOS!$G18430=CONFIG_METADATA!$B$4),IF(DATOS!$G18430="EX",1,IF(DATOS!$G18430="OR",--(COUNTIFS(nNIA,DATOS!$A18430,nCURSO,DATOS!$D18430,nESPEC,DATOS!$E18430,nASIG,DATOS!$I18430,nEVAL,"EX")=0),0))))</f>
      </c>
      <c r="H18430">
        <f>IF(DATOS!$G18430&lt;&gt;"EX",0,--(COUNTIFS(nNIA,DATOS!$A18430,nCURSO,DATOS!$D18430,nESPEC,DATOS!$E18430,nASIG,DATOS!$I18430,nEVAL,"OR")=0))</f>
      </c>
      <c r="I18430">
        <f>IF(DATOS!$I18430="","",IFERROR(VLOOKUP(DATOS!$I18430,CONFIG_ASIGNATURAS!$B$2:$J$91,9,FALSE()),""))</f>
      </c>
    </row>
    <row r="18431">
      <c r="F18431">
        <f>IF(DATOS!$A18431="","",DATOS!$A18431&amp;"|"&amp;DATOS!$D18431&amp;"|"&amp;DATOS!$E18431&amp;"|"&amp;DATOS!$I18431)</f>
      </c>
      <c r="G18431">
        <f>IF(DATOS!$A18431="",0,IF(CONFIG_METADATA!$B$4&lt;&gt;"OR+EX",--(DATOS!$G18431=CONFIG_METADATA!$B$4),IF(DATOS!$G18431="EX",1,IF(DATOS!$G18431="OR",--(COUNTIFS(nNIA,DATOS!$A18431,nCURSO,DATOS!$D18431,nESPEC,DATOS!$E18431,nASIG,DATOS!$I18431,nEVAL,"EX")=0),0))))</f>
      </c>
      <c r="H18431">
        <f>IF(DATOS!$G18431&lt;&gt;"EX",0,--(COUNTIFS(nNIA,DATOS!$A18431,nCURSO,DATOS!$D18431,nESPEC,DATOS!$E18431,nASIG,DATOS!$I18431,nEVAL,"OR")=0))</f>
      </c>
      <c r="I18431">
        <f>IF(DATOS!$I18431="","",IFERROR(VLOOKUP(DATOS!$I18431,CONFIG_ASIGNATURAS!$B$2:$J$91,9,FALSE()),""))</f>
      </c>
    </row>
    <row r="18432">
      <c r="F18432">
        <f>IF(DATOS!$A18432="","",DATOS!$A18432&amp;"|"&amp;DATOS!$D18432&amp;"|"&amp;DATOS!$E18432&amp;"|"&amp;DATOS!$I18432)</f>
      </c>
      <c r="G18432">
        <f>IF(DATOS!$A18432="",0,IF(CONFIG_METADATA!$B$4&lt;&gt;"OR+EX",--(DATOS!$G18432=CONFIG_METADATA!$B$4),IF(DATOS!$G18432="EX",1,IF(DATOS!$G18432="OR",--(COUNTIFS(nNIA,DATOS!$A18432,nCURSO,DATOS!$D18432,nESPEC,DATOS!$E18432,nASIG,DATOS!$I18432,nEVAL,"EX")=0),0))))</f>
      </c>
      <c r="H18432">
        <f>IF(DATOS!$G18432&lt;&gt;"EX",0,--(COUNTIFS(nNIA,DATOS!$A18432,nCURSO,DATOS!$D18432,nESPEC,DATOS!$E18432,nASIG,DATOS!$I18432,nEVAL,"OR")=0))</f>
      </c>
      <c r="I18432">
        <f>IF(DATOS!$I18432="","",IFERROR(VLOOKUP(DATOS!$I18432,CONFIG_ASIGNATURAS!$B$2:$J$91,9,FALSE()),""))</f>
      </c>
    </row>
    <row r="18433">
      <c r="F18433">
        <f>IF(DATOS!$A18433="","",DATOS!$A18433&amp;"|"&amp;DATOS!$D18433&amp;"|"&amp;DATOS!$E18433&amp;"|"&amp;DATOS!$I18433)</f>
      </c>
      <c r="G18433">
        <f>IF(DATOS!$A18433="",0,IF(CONFIG_METADATA!$B$4&lt;&gt;"OR+EX",--(DATOS!$G18433=CONFIG_METADATA!$B$4),IF(DATOS!$G18433="EX",1,IF(DATOS!$G18433="OR",--(COUNTIFS(nNIA,DATOS!$A18433,nCURSO,DATOS!$D18433,nESPEC,DATOS!$E18433,nASIG,DATOS!$I18433,nEVAL,"EX")=0),0))))</f>
      </c>
      <c r="H18433">
        <f>IF(DATOS!$G18433&lt;&gt;"EX",0,--(COUNTIFS(nNIA,DATOS!$A18433,nCURSO,DATOS!$D18433,nESPEC,DATOS!$E18433,nASIG,DATOS!$I18433,nEVAL,"OR")=0))</f>
      </c>
      <c r="I18433">
        <f>IF(DATOS!$I18433="","",IFERROR(VLOOKUP(DATOS!$I18433,CONFIG_ASIGNATURAS!$B$2:$J$91,9,FALSE()),""))</f>
      </c>
    </row>
    <row r="18434">
      <c r="F18434">
        <f>IF(DATOS!$A18434="","",DATOS!$A18434&amp;"|"&amp;DATOS!$D18434&amp;"|"&amp;DATOS!$E18434&amp;"|"&amp;DATOS!$I18434)</f>
      </c>
      <c r="G18434">
        <f>IF(DATOS!$A18434="",0,IF(CONFIG_METADATA!$B$4&lt;&gt;"OR+EX",--(DATOS!$G18434=CONFIG_METADATA!$B$4),IF(DATOS!$G18434="EX",1,IF(DATOS!$G18434="OR",--(COUNTIFS(nNIA,DATOS!$A18434,nCURSO,DATOS!$D18434,nESPEC,DATOS!$E18434,nASIG,DATOS!$I18434,nEVAL,"EX")=0),0))))</f>
      </c>
      <c r="H18434">
        <f>IF(DATOS!$G18434&lt;&gt;"EX",0,--(COUNTIFS(nNIA,DATOS!$A18434,nCURSO,DATOS!$D18434,nESPEC,DATOS!$E18434,nASIG,DATOS!$I18434,nEVAL,"OR")=0))</f>
      </c>
      <c r="I18434">
        <f>IF(DATOS!$I18434="","",IFERROR(VLOOKUP(DATOS!$I18434,CONFIG_ASIGNATURAS!$B$2:$J$91,9,FALSE()),""))</f>
      </c>
    </row>
    <row r="18435">
      <c r="F18435">
        <f>IF(DATOS!$A18435="","",DATOS!$A18435&amp;"|"&amp;DATOS!$D18435&amp;"|"&amp;DATOS!$E18435&amp;"|"&amp;DATOS!$I18435)</f>
      </c>
      <c r="G18435">
        <f>IF(DATOS!$A18435="",0,IF(CONFIG_METADATA!$B$4&lt;&gt;"OR+EX",--(DATOS!$G18435=CONFIG_METADATA!$B$4),IF(DATOS!$G18435="EX",1,IF(DATOS!$G18435="OR",--(COUNTIFS(nNIA,DATOS!$A18435,nCURSO,DATOS!$D18435,nESPEC,DATOS!$E18435,nASIG,DATOS!$I18435,nEVAL,"EX")=0),0))))</f>
      </c>
      <c r="H18435">
        <f>IF(DATOS!$G18435&lt;&gt;"EX",0,--(COUNTIFS(nNIA,DATOS!$A18435,nCURSO,DATOS!$D18435,nESPEC,DATOS!$E18435,nASIG,DATOS!$I18435,nEVAL,"OR")=0))</f>
      </c>
      <c r="I18435">
        <f>IF(DATOS!$I18435="","",IFERROR(VLOOKUP(DATOS!$I18435,CONFIG_ASIGNATURAS!$B$2:$J$91,9,FALSE()),""))</f>
      </c>
    </row>
    <row r="18436">
      <c r="F18436">
        <f>IF(DATOS!$A18436="","",DATOS!$A18436&amp;"|"&amp;DATOS!$D18436&amp;"|"&amp;DATOS!$E18436&amp;"|"&amp;DATOS!$I18436)</f>
      </c>
      <c r="G18436">
        <f>IF(DATOS!$A18436="",0,IF(CONFIG_METADATA!$B$4&lt;&gt;"OR+EX",--(DATOS!$G18436=CONFIG_METADATA!$B$4),IF(DATOS!$G18436="EX",1,IF(DATOS!$G18436="OR",--(COUNTIFS(nNIA,DATOS!$A18436,nCURSO,DATOS!$D18436,nESPEC,DATOS!$E18436,nASIG,DATOS!$I18436,nEVAL,"EX")=0),0))))</f>
      </c>
      <c r="H18436">
        <f>IF(DATOS!$G18436&lt;&gt;"EX",0,--(COUNTIFS(nNIA,DATOS!$A18436,nCURSO,DATOS!$D18436,nESPEC,DATOS!$E18436,nASIG,DATOS!$I18436,nEVAL,"OR")=0))</f>
      </c>
      <c r="I18436">
        <f>IF(DATOS!$I18436="","",IFERROR(VLOOKUP(DATOS!$I18436,CONFIG_ASIGNATURAS!$B$2:$J$91,9,FALSE()),""))</f>
      </c>
    </row>
    <row r="18437">
      <c r="F18437">
        <f>IF(DATOS!$A18437="","",DATOS!$A18437&amp;"|"&amp;DATOS!$D18437&amp;"|"&amp;DATOS!$E18437&amp;"|"&amp;DATOS!$I18437)</f>
      </c>
      <c r="G18437">
        <f>IF(DATOS!$A18437="",0,IF(CONFIG_METADATA!$B$4&lt;&gt;"OR+EX",--(DATOS!$G18437=CONFIG_METADATA!$B$4),IF(DATOS!$G18437="EX",1,IF(DATOS!$G18437="OR",--(COUNTIFS(nNIA,DATOS!$A18437,nCURSO,DATOS!$D18437,nESPEC,DATOS!$E18437,nASIG,DATOS!$I18437,nEVAL,"EX")=0),0))))</f>
      </c>
      <c r="H18437">
        <f>IF(DATOS!$G18437&lt;&gt;"EX",0,--(COUNTIFS(nNIA,DATOS!$A18437,nCURSO,DATOS!$D18437,nESPEC,DATOS!$E18437,nASIG,DATOS!$I18437,nEVAL,"OR")=0))</f>
      </c>
      <c r="I18437">
        <f>IF(DATOS!$I18437="","",IFERROR(VLOOKUP(DATOS!$I18437,CONFIG_ASIGNATURAS!$B$2:$J$91,9,FALSE()),""))</f>
      </c>
    </row>
    <row r="18438">
      <c r="F18438">
        <f>IF(DATOS!$A18438="","",DATOS!$A18438&amp;"|"&amp;DATOS!$D18438&amp;"|"&amp;DATOS!$E18438&amp;"|"&amp;DATOS!$I18438)</f>
      </c>
      <c r="G18438">
        <f>IF(DATOS!$A18438="",0,IF(CONFIG_METADATA!$B$4&lt;&gt;"OR+EX",--(DATOS!$G18438=CONFIG_METADATA!$B$4),IF(DATOS!$G18438="EX",1,IF(DATOS!$G18438="OR",--(COUNTIFS(nNIA,DATOS!$A18438,nCURSO,DATOS!$D18438,nESPEC,DATOS!$E18438,nASIG,DATOS!$I18438,nEVAL,"EX")=0),0))))</f>
      </c>
      <c r="H18438">
        <f>IF(DATOS!$G18438&lt;&gt;"EX",0,--(COUNTIFS(nNIA,DATOS!$A18438,nCURSO,DATOS!$D18438,nESPEC,DATOS!$E18438,nASIG,DATOS!$I18438,nEVAL,"OR")=0))</f>
      </c>
      <c r="I18438">
        <f>IF(DATOS!$I18438="","",IFERROR(VLOOKUP(DATOS!$I18438,CONFIG_ASIGNATURAS!$B$2:$J$91,9,FALSE()),""))</f>
      </c>
    </row>
    <row r="18439">
      <c r="F18439">
        <f>IF(DATOS!$A18439="","",DATOS!$A18439&amp;"|"&amp;DATOS!$D18439&amp;"|"&amp;DATOS!$E18439&amp;"|"&amp;DATOS!$I18439)</f>
      </c>
      <c r="G18439">
        <f>IF(DATOS!$A18439="",0,IF(CONFIG_METADATA!$B$4&lt;&gt;"OR+EX",--(DATOS!$G18439=CONFIG_METADATA!$B$4),IF(DATOS!$G18439="EX",1,IF(DATOS!$G18439="OR",--(COUNTIFS(nNIA,DATOS!$A18439,nCURSO,DATOS!$D18439,nESPEC,DATOS!$E18439,nASIG,DATOS!$I18439,nEVAL,"EX")=0),0))))</f>
      </c>
      <c r="H18439">
        <f>IF(DATOS!$G18439&lt;&gt;"EX",0,--(COUNTIFS(nNIA,DATOS!$A18439,nCURSO,DATOS!$D18439,nESPEC,DATOS!$E18439,nASIG,DATOS!$I18439,nEVAL,"OR")=0))</f>
      </c>
      <c r="I18439">
        <f>IF(DATOS!$I18439="","",IFERROR(VLOOKUP(DATOS!$I18439,CONFIG_ASIGNATURAS!$B$2:$J$91,9,FALSE()),""))</f>
      </c>
    </row>
    <row r="18440">
      <c r="F18440">
        <f>IF(DATOS!$A18440="","",DATOS!$A18440&amp;"|"&amp;DATOS!$D18440&amp;"|"&amp;DATOS!$E18440&amp;"|"&amp;DATOS!$I18440)</f>
      </c>
      <c r="G18440">
        <f>IF(DATOS!$A18440="",0,IF(CONFIG_METADATA!$B$4&lt;&gt;"OR+EX",--(DATOS!$G18440=CONFIG_METADATA!$B$4),IF(DATOS!$G18440="EX",1,IF(DATOS!$G18440="OR",--(COUNTIFS(nNIA,DATOS!$A18440,nCURSO,DATOS!$D18440,nESPEC,DATOS!$E18440,nASIG,DATOS!$I18440,nEVAL,"EX")=0),0))))</f>
      </c>
      <c r="H18440">
        <f>IF(DATOS!$G18440&lt;&gt;"EX",0,--(COUNTIFS(nNIA,DATOS!$A18440,nCURSO,DATOS!$D18440,nESPEC,DATOS!$E18440,nASIG,DATOS!$I18440,nEVAL,"OR")=0))</f>
      </c>
      <c r="I18440">
        <f>IF(DATOS!$I18440="","",IFERROR(VLOOKUP(DATOS!$I18440,CONFIG_ASIGNATURAS!$B$2:$J$91,9,FALSE()),""))</f>
      </c>
    </row>
    <row r="18441">
      <c r="F18441">
        <f>IF(DATOS!$A18441="","",DATOS!$A18441&amp;"|"&amp;DATOS!$D18441&amp;"|"&amp;DATOS!$E18441&amp;"|"&amp;DATOS!$I18441)</f>
      </c>
      <c r="G18441">
        <f>IF(DATOS!$A18441="",0,IF(CONFIG_METADATA!$B$4&lt;&gt;"OR+EX",--(DATOS!$G18441=CONFIG_METADATA!$B$4),IF(DATOS!$G18441="EX",1,IF(DATOS!$G18441="OR",--(COUNTIFS(nNIA,DATOS!$A18441,nCURSO,DATOS!$D18441,nESPEC,DATOS!$E18441,nASIG,DATOS!$I18441,nEVAL,"EX")=0),0))))</f>
      </c>
      <c r="H18441">
        <f>IF(DATOS!$G18441&lt;&gt;"EX",0,--(COUNTIFS(nNIA,DATOS!$A18441,nCURSO,DATOS!$D18441,nESPEC,DATOS!$E18441,nASIG,DATOS!$I18441,nEVAL,"OR")=0))</f>
      </c>
      <c r="I18441">
        <f>IF(DATOS!$I18441="","",IFERROR(VLOOKUP(DATOS!$I18441,CONFIG_ASIGNATURAS!$B$2:$J$91,9,FALSE()),""))</f>
      </c>
    </row>
    <row r="18442">
      <c r="F18442">
        <f>IF(DATOS!$A18442="","",DATOS!$A18442&amp;"|"&amp;DATOS!$D18442&amp;"|"&amp;DATOS!$E18442&amp;"|"&amp;DATOS!$I18442)</f>
      </c>
      <c r="G18442">
        <f>IF(DATOS!$A18442="",0,IF(CONFIG_METADATA!$B$4&lt;&gt;"OR+EX",--(DATOS!$G18442=CONFIG_METADATA!$B$4),IF(DATOS!$G18442="EX",1,IF(DATOS!$G18442="OR",--(COUNTIFS(nNIA,DATOS!$A18442,nCURSO,DATOS!$D18442,nESPEC,DATOS!$E18442,nASIG,DATOS!$I18442,nEVAL,"EX")=0),0))))</f>
      </c>
      <c r="H18442">
        <f>IF(DATOS!$G18442&lt;&gt;"EX",0,--(COUNTIFS(nNIA,DATOS!$A18442,nCURSO,DATOS!$D18442,nESPEC,DATOS!$E18442,nASIG,DATOS!$I18442,nEVAL,"OR")=0))</f>
      </c>
      <c r="I18442">
        <f>IF(DATOS!$I18442="","",IFERROR(VLOOKUP(DATOS!$I18442,CONFIG_ASIGNATURAS!$B$2:$J$91,9,FALSE()),""))</f>
      </c>
    </row>
    <row r="18443">
      <c r="F18443">
        <f>IF(DATOS!$A18443="","",DATOS!$A18443&amp;"|"&amp;DATOS!$D18443&amp;"|"&amp;DATOS!$E18443&amp;"|"&amp;DATOS!$I18443)</f>
      </c>
      <c r="G18443">
        <f>IF(DATOS!$A18443="",0,IF(CONFIG_METADATA!$B$4&lt;&gt;"OR+EX",--(DATOS!$G18443=CONFIG_METADATA!$B$4),IF(DATOS!$G18443="EX",1,IF(DATOS!$G18443="OR",--(COUNTIFS(nNIA,DATOS!$A18443,nCURSO,DATOS!$D18443,nESPEC,DATOS!$E18443,nASIG,DATOS!$I18443,nEVAL,"EX")=0),0))))</f>
      </c>
      <c r="H18443">
        <f>IF(DATOS!$G18443&lt;&gt;"EX",0,--(COUNTIFS(nNIA,DATOS!$A18443,nCURSO,DATOS!$D18443,nESPEC,DATOS!$E18443,nASIG,DATOS!$I18443,nEVAL,"OR")=0))</f>
      </c>
      <c r="I18443">
        <f>IF(DATOS!$I18443="","",IFERROR(VLOOKUP(DATOS!$I18443,CONFIG_ASIGNATURAS!$B$2:$J$91,9,FALSE()),""))</f>
      </c>
    </row>
    <row r="18444">
      <c r="F18444">
        <f>IF(DATOS!$A18444="","",DATOS!$A18444&amp;"|"&amp;DATOS!$D18444&amp;"|"&amp;DATOS!$E18444&amp;"|"&amp;DATOS!$I18444)</f>
      </c>
      <c r="G18444">
        <f>IF(DATOS!$A18444="",0,IF(CONFIG_METADATA!$B$4&lt;&gt;"OR+EX",--(DATOS!$G18444=CONFIG_METADATA!$B$4),IF(DATOS!$G18444="EX",1,IF(DATOS!$G18444="OR",--(COUNTIFS(nNIA,DATOS!$A18444,nCURSO,DATOS!$D18444,nESPEC,DATOS!$E18444,nASIG,DATOS!$I18444,nEVAL,"EX")=0),0))))</f>
      </c>
      <c r="H18444">
        <f>IF(DATOS!$G18444&lt;&gt;"EX",0,--(COUNTIFS(nNIA,DATOS!$A18444,nCURSO,DATOS!$D18444,nESPEC,DATOS!$E18444,nASIG,DATOS!$I18444,nEVAL,"OR")=0))</f>
      </c>
      <c r="I18444">
        <f>IF(DATOS!$I18444="","",IFERROR(VLOOKUP(DATOS!$I18444,CONFIG_ASIGNATURAS!$B$2:$J$91,9,FALSE()),""))</f>
      </c>
    </row>
    <row r="18445">
      <c r="F18445">
        <f>IF(DATOS!$A18445="","",DATOS!$A18445&amp;"|"&amp;DATOS!$D18445&amp;"|"&amp;DATOS!$E18445&amp;"|"&amp;DATOS!$I18445)</f>
      </c>
      <c r="G18445">
        <f>IF(DATOS!$A18445="",0,IF(CONFIG_METADATA!$B$4&lt;&gt;"OR+EX",--(DATOS!$G18445=CONFIG_METADATA!$B$4),IF(DATOS!$G18445="EX",1,IF(DATOS!$G18445="OR",--(COUNTIFS(nNIA,DATOS!$A18445,nCURSO,DATOS!$D18445,nESPEC,DATOS!$E18445,nASIG,DATOS!$I18445,nEVAL,"EX")=0),0))))</f>
      </c>
      <c r="H18445">
        <f>IF(DATOS!$G18445&lt;&gt;"EX",0,--(COUNTIFS(nNIA,DATOS!$A18445,nCURSO,DATOS!$D18445,nESPEC,DATOS!$E18445,nASIG,DATOS!$I18445,nEVAL,"OR")=0))</f>
      </c>
      <c r="I18445">
        <f>IF(DATOS!$I18445="","",IFERROR(VLOOKUP(DATOS!$I18445,CONFIG_ASIGNATURAS!$B$2:$J$91,9,FALSE()),""))</f>
      </c>
    </row>
    <row r="18446">
      <c r="F18446">
        <f>IF(DATOS!$A18446="","",DATOS!$A18446&amp;"|"&amp;DATOS!$D18446&amp;"|"&amp;DATOS!$E18446&amp;"|"&amp;DATOS!$I18446)</f>
      </c>
      <c r="G18446">
        <f>IF(DATOS!$A18446="",0,IF(CONFIG_METADATA!$B$4&lt;&gt;"OR+EX",--(DATOS!$G18446=CONFIG_METADATA!$B$4),IF(DATOS!$G18446="EX",1,IF(DATOS!$G18446="OR",--(COUNTIFS(nNIA,DATOS!$A18446,nCURSO,DATOS!$D18446,nESPEC,DATOS!$E18446,nASIG,DATOS!$I18446,nEVAL,"EX")=0),0))))</f>
      </c>
      <c r="H18446">
        <f>IF(DATOS!$G18446&lt;&gt;"EX",0,--(COUNTIFS(nNIA,DATOS!$A18446,nCURSO,DATOS!$D18446,nESPEC,DATOS!$E18446,nASIG,DATOS!$I18446,nEVAL,"OR")=0))</f>
      </c>
      <c r="I18446">
        <f>IF(DATOS!$I18446="","",IFERROR(VLOOKUP(DATOS!$I18446,CONFIG_ASIGNATURAS!$B$2:$J$91,9,FALSE()),""))</f>
      </c>
    </row>
    <row r="18447">
      <c r="F18447">
        <f>IF(DATOS!$A18447="","",DATOS!$A18447&amp;"|"&amp;DATOS!$D18447&amp;"|"&amp;DATOS!$E18447&amp;"|"&amp;DATOS!$I18447)</f>
      </c>
      <c r="G18447">
        <f>IF(DATOS!$A18447="",0,IF(CONFIG_METADATA!$B$4&lt;&gt;"OR+EX",--(DATOS!$G18447=CONFIG_METADATA!$B$4),IF(DATOS!$G18447="EX",1,IF(DATOS!$G18447="OR",--(COUNTIFS(nNIA,DATOS!$A18447,nCURSO,DATOS!$D18447,nESPEC,DATOS!$E18447,nASIG,DATOS!$I18447,nEVAL,"EX")=0),0))))</f>
      </c>
      <c r="H18447">
        <f>IF(DATOS!$G18447&lt;&gt;"EX",0,--(COUNTIFS(nNIA,DATOS!$A18447,nCURSO,DATOS!$D18447,nESPEC,DATOS!$E18447,nASIG,DATOS!$I18447,nEVAL,"OR")=0))</f>
      </c>
      <c r="I18447">
        <f>IF(DATOS!$I18447="","",IFERROR(VLOOKUP(DATOS!$I18447,CONFIG_ASIGNATURAS!$B$2:$J$91,9,FALSE()),""))</f>
      </c>
    </row>
    <row r="18448">
      <c r="F18448">
        <f>IF(DATOS!$A18448="","",DATOS!$A18448&amp;"|"&amp;DATOS!$D18448&amp;"|"&amp;DATOS!$E18448&amp;"|"&amp;DATOS!$I18448)</f>
      </c>
      <c r="G18448">
        <f>IF(DATOS!$A18448="",0,IF(CONFIG_METADATA!$B$4&lt;&gt;"OR+EX",--(DATOS!$G18448=CONFIG_METADATA!$B$4),IF(DATOS!$G18448="EX",1,IF(DATOS!$G18448="OR",--(COUNTIFS(nNIA,DATOS!$A18448,nCURSO,DATOS!$D18448,nESPEC,DATOS!$E18448,nASIG,DATOS!$I18448,nEVAL,"EX")=0),0))))</f>
      </c>
      <c r="H18448">
        <f>IF(DATOS!$G18448&lt;&gt;"EX",0,--(COUNTIFS(nNIA,DATOS!$A18448,nCURSO,DATOS!$D18448,nESPEC,DATOS!$E18448,nASIG,DATOS!$I18448,nEVAL,"OR")=0))</f>
      </c>
      <c r="I18448">
        <f>IF(DATOS!$I18448="","",IFERROR(VLOOKUP(DATOS!$I18448,CONFIG_ASIGNATURAS!$B$2:$J$91,9,FALSE()),""))</f>
      </c>
    </row>
    <row r="18449">
      <c r="F18449">
        <f>IF(DATOS!$A18449="","",DATOS!$A18449&amp;"|"&amp;DATOS!$D18449&amp;"|"&amp;DATOS!$E18449&amp;"|"&amp;DATOS!$I18449)</f>
      </c>
      <c r="G18449">
        <f>IF(DATOS!$A18449="",0,IF(CONFIG_METADATA!$B$4&lt;&gt;"OR+EX",--(DATOS!$G18449=CONFIG_METADATA!$B$4),IF(DATOS!$G18449="EX",1,IF(DATOS!$G18449="OR",--(COUNTIFS(nNIA,DATOS!$A18449,nCURSO,DATOS!$D18449,nESPEC,DATOS!$E18449,nASIG,DATOS!$I18449,nEVAL,"EX")=0),0))))</f>
      </c>
      <c r="H18449">
        <f>IF(DATOS!$G18449&lt;&gt;"EX",0,--(COUNTIFS(nNIA,DATOS!$A18449,nCURSO,DATOS!$D18449,nESPEC,DATOS!$E18449,nASIG,DATOS!$I18449,nEVAL,"OR")=0))</f>
      </c>
      <c r="I18449">
        <f>IF(DATOS!$I18449="","",IFERROR(VLOOKUP(DATOS!$I18449,CONFIG_ASIGNATURAS!$B$2:$J$91,9,FALSE()),""))</f>
      </c>
    </row>
    <row r="18450">
      <c r="F18450">
        <f>IF(DATOS!$A18450="","",DATOS!$A18450&amp;"|"&amp;DATOS!$D18450&amp;"|"&amp;DATOS!$E18450&amp;"|"&amp;DATOS!$I18450)</f>
      </c>
      <c r="G18450">
        <f>IF(DATOS!$A18450="",0,IF(CONFIG_METADATA!$B$4&lt;&gt;"OR+EX",--(DATOS!$G18450=CONFIG_METADATA!$B$4),IF(DATOS!$G18450="EX",1,IF(DATOS!$G18450="OR",--(COUNTIFS(nNIA,DATOS!$A18450,nCURSO,DATOS!$D18450,nESPEC,DATOS!$E18450,nASIG,DATOS!$I18450,nEVAL,"EX")=0),0))))</f>
      </c>
      <c r="H18450">
        <f>IF(DATOS!$G18450&lt;&gt;"EX",0,--(COUNTIFS(nNIA,DATOS!$A18450,nCURSO,DATOS!$D18450,nESPEC,DATOS!$E18450,nASIG,DATOS!$I18450,nEVAL,"OR")=0))</f>
      </c>
      <c r="I18450">
        <f>IF(DATOS!$I18450="","",IFERROR(VLOOKUP(DATOS!$I18450,CONFIG_ASIGNATURAS!$B$2:$J$91,9,FALSE()),""))</f>
      </c>
    </row>
    <row r="18451">
      <c r="F18451">
        <f>IF(DATOS!$A18451="","",DATOS!$A18451&amp;"|"&amp;DATOS!$D18451&amp;"|"&amp;DATOS!$E18451&amp;"|"&amp;DATOS!$I18451)</f>
      </c>
      <c r="G18451">
        <f>IF(DATOS!$A18451="",0,IF(CONFIG_METADATA!$B$4&lt;&gt;"OR+EX",--(DATOS!$G18451=CONFIG_METADATA!$B$4),IF(DATOS!$G18451="EX",1,IF(DATOS!$G18451="OR",--(COUNTIFS(nNIA,DATOS!$A18451,nCURSO,DATOS!$D18451,nESPEC,DATOS!$E18451,nASIG,DATOS!$I18451,nEVAL,"EX")=0),0))))</f>
      </c>
      <c r="H18451">
        <f>IF(DATOS!$G18451&lt;&gt;"EX",0,--(COUNTIFS(nNIA,DATOS!$A18451,nCURSO,DATOS!$D18451,nESPEC,DATOS!$E18451,nASIG,DATOS!$I18451,nEVAL,"OR")=0))</f>
      </c>
      <c r="I18451">
        <f>IF(DATOS!$I18451="","",IFERROR(VLOOKUP(DATOS!$I18451,CONFIG_ASIGNATURAS!$B$2:$J$91,9,FALSE()),""))</f>
      </c>
    </row>
    <row r="18452">
      <c r="F18452">
        <f>IF(DATOS!$A18452="","",DATOS!$A18452&amp;"|"&amp;DATOS!$D18452&amp;"|"&amp;DATOS!$E18452&amp;"|"&amp;DATOS!$I18452)</f>
      </c>
      <c r="G18452">
        <f>IF(DATOS!$A18452="",0,IF(CONFIG_METADATA!$B$4&lt;&gt;"OR+EX",--(DATOS!$G18452=CONFIG_METADATA!$B$4),IF(DATOS!$G18452="EX",1,IF(DATOS!$G18452="OR",--(COUNTIFS(nNIA,DATOS!$A18452,nCURSO,DATOS!$D18452,nESPEC,DATOS!$E18452,nASIG,DATOS!$I18452,nEVAL,"EX")=0),0))))</f>
      </c>
      <c r="H18452">
        <f>IF(DATOS!$G18452&lt;&gt;"EX",0,--(COUNTIFS(nNIA,DATOS!$A18452,nCURSO,DATOS!$D18452,nESPEC,DATOS!$E18452,nASIG,DATOS!$I18452,nEVAL,"OR")=0))</f>
      </c>
      <c r="I18452">
        <f>IF(DATOS!$I18452="","",IFERROR(VLOOKUP(DATOS!$I18452,CONFIG_ASIGNATURAS!$B$2:$J$91,9,FALSE()),""))</f>
      </c>
    </row>
    <row r="18453">
      <c r="F18453">
        <f>IF(DATOS!$A18453="","",DATOS!$A18453&amp;"|"&amp;DATOS!$D18453&amp;"|"&amp;DATOS!$E18453&amp;"|"&amp;DATOS!$I18453)</f>
      </c>
      <c r="G18453">
        <f>IF(DATOS!$A18453="",0,IF(CONFIG_METADATA!$B$4&lt;&gt;"OR+EX",--(DATOS!$G18453=CONFIG_METADATA!$B$4),IF(DATOS!$G18453="EX",1,IF(DATOS!$G18453="OR",--(COUNTIFS(nNIA,DATOS!$A18453,nCURSO,DATOS!$D18453,nESPEC,DATOS!$E18453,nASIG,DATOS!$I18453,nEVAL,"EX")=0),0))))</f>
      </c>
      <c r="H18453">
        <f>IF(DATOS!$G18453&lt;&gt;"EX",0,--(COUNTIFS(nNIA,DATOS!$A18453,nCURSO,DATOS!$D18453,nESPEC,DATOS!$E18453,nASIG,DATOS!$I18453,nEVAL,"OR")=0))</f>
      </c>
      <c r="I18453">
        <f>IF(DATOS!$I18453="","",IFERROR(VLOOKUP(DATOS!$I18453,CONFIG_ASIGNATURAS!$B$2:$J$91,9,FALSE()),""))</f>
      </c>
    </row>
    <row r="18454">
      <c r="F18454">
        <f>IF(DATOS!$A18454="","",DATOS!$A18454&amp;"|"&amp;DATOS!$D18454&amp;"|"&amp;DATOS!$E18454&amp;"|"&amp;DATOS!$I18454)</f>
      </c>
      <c r="G18454">
        <f>IF(DATOS!$A18454="",0,IF(CONFIG_METADATA!$B$4&lt;&gt;"OR+EX",--(DATOS!$G18454=CONFIG_METADATA!$B$4),IF(DATOS!$G18454="EX",1,IF(DATOS!$G18454="OR",--(COUNTIFS(nNIA,DATOS!$A18454,nCURSO,DATOS!$D18454,nESPEC,DATOS!$E18454,nASIG,DATOS!$I18454,nEVAL,"EX")=0),0))))</f>
      </c>
      <c r="H18454">
        <f>IF(DATOS!$G18454&lt;&gt;"EX",0,--(COUNTIFS(nNIA,DATOS!$A18454,nCURSO,DATOS!$D18454,nESPEC,DATOS!$E18454,nASIG,DATOS!$I18454,nEVAL,"OR")=0))</f>
      </c>
      <c r="I18454">
        <f>IF(DATOS!$I18454="","",IFERROR(VLOOKUP(DATOS!$I18454,CONFIG_ASIGNATURAS!$B$2:$J$91,9,FALSE()),""))</f>
      </c>
    </row>
    <row r="18455">
      <c r="F18455">
        <f>IF(DATOS!$A18455="","",DATOS!$A18455&amp;"|"&amp;DATOS!$D18455&amp;"|"&amp;DATOS!$E18455&amp;"|"&amp;DATOS!$I18455)</f>
      </c>
      <c r="G18455">
        <f>IF(DATOS!$A18455="",0,IF(CONFIG_METADATA!$B$4&lt;&gt;"OR+EX",--(DATOS!$G18455=CONFIG_METADATA!$B$4),IF(DATOS!$G18455="EX",1,IF(DATOS!$G18455="OR",--(COUNTIFS(nNIA,DATOS!$A18455,nCURSO,DATOS!$D18455,nESPEC,DATOS!$E18455,nASIG,DATOS!$I18455,nEVAL,"EX")=0),0))))</f>
      </c>
      <c r="H18455">
        <f>IF(DATOS!$G18455&lt;&gt;"EX",0,--(COUNTIFS(nNIA,DATOS!$A18455,nCURSO,DATOS!$D18455,nESPEC,DATOS!$E18455,nASIG,DATOS!$I18455,nEVAL,"OR")=0))</f>
      </c>
      <c r="I18455">
        <f>IF(DATOS!$I18455="","",IFERROR(VLOOKUP(DATOS!$I18455,CONFIG_ASIGNATURAS!$B$2:$J$91,9,FALSE()),""))</f>
      </c>
    </row>
    <row r="18456">
      <c r="F18456">
        <f>IF(DATOS!$A18456="","",DATOS!$A18456&amp;"|"&amp;DATOS!$D18456&amp;"|"&amp;DATOS!$E18456&amp;"|"&amp;DATOS!$I18456)</f>
      </c>
      <c r="G18456">
        <f>IF(DATOS!$A18456="",0,IF(CONFIG_METADATA!$B$4&lt;&gt;"OR+EX",--(DATOS!$G18456=CONFIG_METADATA!$B$4),IF(DATOS!$G18456="EX",1,IF(DATOS!$G18456="OR",--(COUNTIFS(nNIA,DATOS!$A18456,nCURSO,DATOS!$D18456,nESPEC,DATOS!$E18456,nASIG,DATOS!$I18456,nEVAL,"EX")=0),0))))</f>
      </c>
      <c r="H18456">
        <f>IF(DATOS!$G18456&lt;&gt;"EX",0,--(COUNTIFS(nNIA,DATOS!$A18456,nCURSO,DATOS!$D18456,nESPEC,DATOS!$E18456,nASIG,DATOS!$I18456,nEVAL,"OR")=0))</f>
      </c>
      <c r="I18456">
        <f>IF(DATOS!$I18456="","",IFERROR(VLOOKUP(DATOS!$I18456,CONFIG_ASIGNATURAS!$B$2:$J$91,9,FALSE()),""))</f>
      </c>
    </row>
    <row r="18457">
      <c r="F18457">
        <f>IF(DATOS!$A18457="","",DATOS!$A18457&amp;"|"&amp;DATOS!$D18457&amp;"|"&amp;DATOS!$E18457&amp;"|"&amp;DATOS!$I18457)</f>
      </c>
      <c r="G18457">
        <f>IF(DATOS!$A18457="",0,IF(CONFIG_METADATA!$B$4&lt;&gt;"OR+EX",--(DATOS!$G18457=CONFIG_METADATA!$B$4),IF(DATOS!$G18457="EX",1,IF(DATOS!$G18457="OR",--(COUNTIFS(nNIA,DATOS!$A18457,nCURSO,DATOS!$D18457,nESPEC,DATOS!$E18457,nASIG,DATOS!$I18457,nEVAL,"EX")=0),0))))</f>
      </c>
      <c r="H18457">
        <f>IF(DATOS!$G18457&lt;&gt;"EX",0,--(COUNTIFS(nNIA,DATOS!$A18457,nCURSO,DATOS!$D18457,nESPEC,DATOS!$E18457,nASIG,DATOS!$I18457,nEVAL,"OR")=0))</f>
      </c>
      <c r="I18457">
        <f>IF(DATOS!$I18457="","",IFERROR(VLOOKUP(DATOS!$I18457,CONFIG_ASIGNATURAS!$B$2:$J$91,9,FALSE()),""))</f>
      </c>
    </row>
    <row r="18458">
      <c r="F18458">
        <f>IF(DATOS!$A18458="","",DATOS!$A18458&amp;"|"&amp;DATOS!$D18458&amp;"|"&amp;DATOS!$E18458&amp;"|"&amp;DATOS!$I18458)</f>
      </c>
      <c r="G18458">
        <f>IF(DATOS!$A18458="",0,IF(CONFIG_METADATA!$B$4&lt;&gt;"OR+EX",--(DATOS!$G18458=CONFIG_METADATA!$B$4),IF(DATOS!$G18458="EX",1,IF(DATOS!$G18458="OR",--(COUNTIFS(nNIA,DATOS!$A18458,nCURSO,DATOS!$D18458,nESPEC,DATOS!$E18458,nASIG,DATOS!$I18458,nEVAL,"EX")=0),0))))</f>
      </c>
      <c r="H18458">
        <f>IF(DATOS!$G18458&lt;&gt;"EX",0,--(COUNTIFS(nNIA,DATOS!$A18458,nCURSO,DATOS!$D18458,nESPEC,DATOS!$E18458,nASIG,DATOS!$I18458,nEVAL,"OR")=0))</f>
      </c>
      <c r="I18458">
        <f>IF(DATOS!$I18458="","",IFERROR(VLOOKUP(DATOS!$I18458,CONFIG_ASIGNATURAS!$B$2:$J$91,9,FALSE()),""))</f>
      </c>
    </row>
    <row r="18459">
      <c r="F18459">
        <f>IF(DATOS!$A18459="","",DATOS!$A18459&amp;"|"&amp;DATOS!$D18459&amp;"|"&amp;DATOS!$E18459&amp;"|"&amp;DATOS!$I18459)</f>
      </c>
      <c r="G18459">
        <f>IF(DATOS!$A18459="",0,IF(CONFIG_METADATA!$B$4&lt;&gt;"OR+EX",--(DATOS!$G18459=CONFIG_METADATA!$B$4),IF(DATOS!$G18459="EX",1,IF(DATOS!$G18459="OR",--(COUNTIFS(nNIA,DATOS!$A18459,nCURSO,DATOS!$D18459,nESPEC,DATOS!$E18459,nASIG,DATOS!$I18459,nEVAL,"EX")=0),0))))</f>
      </c>
      <c r="H18459">
        <f>IF(DATOS!$G18459&lt;&gt;"EX",0,--(COUNTIFS(nNIA,DATOS!$A18459,nCURSO,DATOS!$D18459,nESPEC,DATOS!$E18459,nASIG,DATOS!$I18459,nEVAL,"OR")=0))</f>
      </c>
      <c r="I18459">
        <f>IF(DATOS!$I18459="","",IFERROR(VLOOKUP(DATOS!$I18459,CONFIG_ASIGNATURAS!$B$2:$J$91,9,FALSE()),""))</f>
      </c>
    </row>
    <row r="18460">
      <c r="F18460">
        <f>IF(DATOS!$A18460="","",DATOS!$A18460&amp;"|"&amp;DATOS!$D18460&amp;"|"&amp;DATOS!$E18460&amp;"|"&amp;DATOS!$I18460)</f>
      </c>
      <c r="G18460">
        <f>IF(DATOS!$A18460="",0,IF(CONFIG_METADATA!$B$4&lt;&gt;"OR+EX",--(DATOS!$G18460=CONFIG_METADATA!$B$4),IF(DATOS!$G18460="EX",1,IF(DATOS!$G18460="OR",--(COUNTIFS(nNIA,DATOS!$A18460,nCURSO,DATOS!$D18460,nESPEC,DATOS!$E18460,nASIG,DATOS!$I18460,nEVAL,"EX")=0),0))))</f>
      </c>
      <c r="H18460">
        <f>IF(DATOS!$G18460&lt;&gt;"EX",0,--(COUNTIFS(nNIA,DATOS!$A18460,nCURSO,DATOS!$D18460,nESPEC,DATOS!$E18460,nASIG,DATOS!$I18460,nEVAL,"OR")=0))</f>
      </c>
      <c r="I18460">
        <f>IF(DATOS!$I18460="","",IFERROR(VLOOKUP(DATOS!$I18460,CONFIG_ASIGNATURAS!$B$2:$J$91,9,FALSE()),""))</f>
      </c>
    </row>
    <row r="18461">
      <c r="F18461">
        <f>IF(DATOS!$A18461="","",DATOS!$A18461&amp;"|"&amp;DATOS!$D18461&amp;"|"&amp;DATOS!$E18461&amp;"|"&amp;DATOS!$I18461)</f>
      </c>
      <c r="G18461">
        <f>IF(DATOS!$A18461="",0,IF(CONFIG_METADATA!$B$4&lt;&gt;"OR+EX",--(DATOS!$G18461=CONFIG_METADATA!$B$4),IF(DATOS!$G18461="EX",1,IF(DATOS!$G18461="OR",--(COUNTIFS(nNIA,DATOS!$A18461,nCURSO,DATOS!$D18461,nESPEC,DATOS!$E18461,nASIG,DATOS!$I18461,nEVAL,"EX")=0),0))))</f>
      </c>
      <c r="H18461">
        <f>IF(DATOS!$G18461&lt;&gt;"EX",0,--(COUNTIFS(nNIA,DATOS!$A18461,nCURSO,DATOS!$D18461,nESPEC,DATOS!$E18461,nASIG,DATOS!$I18461,nEVAL,"OR")=0))</f>
      </c>
      <c r="I18461">
        <f>IF(DATOS!$I18461="","",IFERROR(VLOOKUP(DATOS!$I18461,CONFIG_ASIGNATURAS!$B$2:$J$91,9,FALSE()),""))</f>
      </c>
    </row>
    <row r="18462">
      <c r="F18462">
        <f>IF(DATOS!$A18462="","",DATOS!$A18462&amp;"|"&amp;DATOS!$D18462&amp;"|"&amp;DATOS!$E18462&amp;"|"&amp;DATOS!$I18462)</f>
      </c>
      <c r="G18462">
        <f>IF(DATOS!$A18462="",0,IF(CONFIG_METADATA!$B$4&lt;&gt;"OR+EX",--(DATOS!$G18462=CONFIG_METADATA!$B$4),IF(DATOS!$G18462="EX",1,IF(DATOS!$G18462="OR",--(COUNTIFS(nNIA,DATOS!$A18462,nCURSO,DATOS!$D18462,nESPEC,DATOS!$E18462,nASIG,DATOS!$I18462,nEVAL,"EX")=0),0))))</f>
      </c>
      <c r="H18462">
        <f>IF(DATOS!$G18462&lt;&gt;"EX",0,--(COUNTIFS(nNIA,DATOS!$A18462,nCURSO,DATOS!$D18462,nESPEC,DATOS!$E18462,nASIG,DATOS!$I18462,nEVAL,"OR")=0))</f>
      </c>
      <c r="I18462">
        <f>IF(DATOS!$I18462="","",IFERROR(VLOOKUP(DATOS!$I18462,CONFIG_ASIGNATURAS!$B$2:$J$91,9,FALSE()),""))</f>
      </c>
    </row>
    <row r="18463">
      <c r="F18463">
        <f>IF(DATOS!$A18463="","",DATOS!$A18463&amp;"|"&amp;DATOS!$D18463&amp;"|"&amp;DATOS!$E18463&amp;"|"&amp;DATOS!$I18463)</f>
      </c>
      <c r="G18463">
        <f>IF(DATOS!$A18463="",0,IF(CONFIG_METADATA!$B$4&lt;&gt;"OR+EX",--(DATOS!$G18463=CONFIG_METADATA!$B$4),IF(DATOS!$G18463="EX",1,IF(DATOS!$G18463="OR",--(COUNTIFS(nNIA,DATOS!$A18463,nCURSO,DATOS!$D18463,nESPEC,DATOS!$E18463,nASIG,DATOS!$I18463,nEVAL,"EX")=0),0))))</f>
      </c>
      <c r="H18463">
        <f>IF(DATOS!$G18463&lt;&gt;"EX",0,--(COUNTIFS(nNIA,DATOS!$A18463,nCURSO,DATOS!$D18463,nESPEC,DATOS!$E18463,nASIG,DATOS!$I18463,nEVAL,"OR")=0))</f>
      </c>
      <c r="I18463">
        <f>IF(DATOS!$I18463="","",IFERROR(VLOOKUP(DATOS!$I18463,CONFIG_ASIGNATURAS!$B$2:$J$91,9,FALSE()),""))</f>
      </c>
    </row>
    <row r="18464">
      <c r="F18464">
        <f>IF(DATOS!$A18464="","",DATOS!$A18464&amp;"|"&amp;DATOS!$D18464&amp;"|"&amp;DATOS!$E18464&amp;"|"&amp;DATOS!$I18464)</f>
      </c>
      <c r="G18464">
        <f>IF(DATOS!$A18464="",0,IF(CONFIG_METADATA!$B$4&lt;&gt;"OR+EX",--(DATOS!$G18464=CONFIG_METADATA!$B$4),IF(DATOS!$G18464="EX",1,IF(DATOS!$G18464="OR",--(COUNTIFS(nNIA,DATOS!$A18464,nCURSO,DATOS!$D18464,nESPEC,DATOS!$E18464,nASIG,DATOS!$I18464,nEVAL,"EX")=0),0))))</f>
      </c>
      <c r="H18464">
        <f>IF(DATOS!$G18464&lt;&gt;"EX",0,--(COUNTIFS(nNIA,DATOS!$A18464,nCURSO,DATOS!$D18464,nESPEC,DATOS!$E18464,nASIG,DATOS!$I18464,nEVAL,"OR")=0))</f>
      </c>
      <c r="I18464">
        <f>IF(DATOS!$I18464="","",IFERROR(VLOOKUP(DATOS!$I18464,CONFIG_ASIGNATURAS!$B$2:$J$91,9,FALSE()),""))</f>
      </c>
    </row>
    <row r="18465">
      <c r="F18465">
        <f>IF(DATOS!$A18465="","",DATOS!$A18465&amp;"|"&amp;DATOS!$D18465&amp;"|"&amp;DATOS!$E18465&amp;"|"&amp;DATOS!$I18465)</f>
      </c>
      <c r="G18465">
        <f>IF(DATOS!$A18465="",0,IF(CONFIG_METADATA!$B$4&lt;&gt;"OR+EX",--(DATOS!$G18465=CONFIG_METADATA!$B$4),IF(DATOS!$G18465="EX",1,IF(DATOS!$G18465="OR",--(COUNTIFS(nNIA,DATOS!$A18465,nCURSO,DATOS!$D18465,nESPEC,DATOS!$E18465,nASIG,DATOS!$I18465,nEVAL,"EX")=0),0))))</f>
      </c>
      <c r="H18465">
        <f>IF(DATOS!$G18465&lt;&gt;"EX",0,--(COUNTIFS(nNIA,DATOS!$A18465,nCURSO,DATOS!$D18465,nESPEC,DATOS!$E18465,nASIG,DATOS!$I18465,nEVAL,"OR")=0))</f>
      </c>
      <c r="I18465">
        <f>IF(DATOS!$I18465="","",IFERROR(VLOOKUP(DATOS!$I18465,CONFIG_ASIGNATURAS!$B$2:$J$91,9,FALSE()),""))</f>
      </c>
    </row>
    <row r="18466">
      <c r="F18466">
        <f>IF(DATOS!$A18466="","",DATOS!$A18466&amp;"|"&amp;DATOS!$D18466&amp;"|"&amp;DATOS!$E18466&amp;"|"&amp;DATOS!$I18466)</f>
      </c>
      <c r="G18466">
        <f>IF(DATOS!$A18466="",0,IF(CONFIG_METADATA!$B$4&lt;&gt;"OR+EX",--(DATOS!$G18466=CONFIG_METADATA!$B$4),IF(DATOS!$G18466="EX",1,IF(DATOS!$G18466="OR",--(COUNTIFS(nNIA,DATOS!$A18466,nCURSO,DATOS!$D18466,nESPEC,DATOS!$E18466,nASIG,DATOS!$I18466,nEVAL,"EX")=0),0))))</f>
      </c>
      <c r="H18466">
        <f>IF(DATOS!$G18466&lt;&gt;"EX",0,--(COUNTIFS(nNIA,DATOS!$A18466,nCURSO,DATOS!$D18466,nESPEC,DATOS!$E18466,nASIG,DATOS!$I18466,nEVAL,"OR")=0))</f>
      </c>
      <c r="I18466">
        <f>IF(DATOS!$I18466="","",IFERROR(VLOOKUP(DATOS!$I18466,CONFIG_ASIGNATURAS!$B$2:$J$91,9,FALSE()),""))</f>
      </c>
    </row>
    <row r="18467">
      <c r="F18467">
        <f>IF(DATOS!$A18467="","",DATOS!$A18467&amp;"|"&amp;DATOS!$D18467&amp;"|"&amp;DATOS!$E18467&amp;"|"&amp;DATOS!$I18467)</f>
      </c>
      <c r="G18467">
        <f>IF(DATOS!$A18467="",0,IF(CONFIG_METADATA!$B$4&lt;&gt;"OR+EX",--(DATOS!$G18467=CONFIG_METADATA!$B$4),IF(DATOS!$G18467="EX",1,IF(DATOS!$G18467="OR",--(COUNTIFS(nNIA,DATOS!$A18467,nCURSO,DATOS!$D18467,nESPEC,DATOS!$E18467,nASIG,DATOS!$I18467,nEVAL,"EX")=0),0))))</f>
      </c>
      <c r="H18467">
        <f>IF(DATOS!$G18467&lt;&gt;"EX",0,--(COUNTIFS(nNIA,DATOS!$A18467,nCURSO,DATOS!$D18467,nESPEC,DATOS!$E18467,nASIG,DATOS!$I18467,nEVAL,"OR")=0))</f>
      </c>
      <c r="I18467">
        <f>IF(DATOS!$I18467="","",IFERROR(VLOOKUP(DATOS!$I18467,CONFIG_ASIGNATURAS!$B$2:$J$91,9,FALSE()),""))</f>
      </c>
    </row>
    <row r="18468">
      <c r="F18468">
        <f>IF(DATOS!$A18468="","",DATOS!$A18468&amp;"|"&amp;DATOS!$D18468&amp;"|"&amp;DATOS!$E18468&amp;"|"&amp;DATOS!$I18468)</f>
      </c>
      <c r="G18468">
        <f>IF(DATOS!$A18468="",0,IF(CONFIG_METADATA!$B$4&lt;&gt;"OR+EX",--(DATOS!$G18468=CONFIG_METADATA!$B$4),IF(DATOS!$G18468="EX",1,IF(DATOS!$G18468="OR",--(COUNTIFS(nNIA,DATOS!$A18468,nCURSO,DATOS!$D18468,nESPEC,DATOS!$E18468,nASIG,DATOS!$I18468,nEVAL,"EX")=0),0))))</f>
      </c>
      <c r="H18468">
        <f>IF(DATOS!$G18468&lt;&gt;"EX",0,--(COUNTIFS(nNIA,DATOS!$A18468,nCURSO,DATOS!$D18468,nESPEC,DATOS!$E18468,nASIG,DATOS!$I18468,nEVAL,"OR")=0))</f>
      </c>
      <c r="I18468">
        <f>IF(DATOS!$I18468="","",IFERROR(VLOOKUP(DATOS!$I18468,CONFIG_ASIGNATURAS!$B$2:$J$91,9,FALSE()),""))</f>
      </c>
    </row>
    <row r="18469">
      <c r="F18469">
        <f>IF(DATOS!$A18469="","",DATOS!$A18469&amp;"|"&amp;DATOS!$D18469&amp;"|"&amp;DATOS!$E18469&amp;"|"&amp;DATOS!$I18469)</f>
      </c>
      <c r="G18469">
        <f>IF(DATOS!$A18469="",0,IF(CONFIG_METADATA!$B$4&lt;&gt;"OR+EX",--(DATOS!$G18469=CONFIG_METADATA!$B$4),IF(DATOS!$G18469="EX",1,IF(DATOS!$G18469="OR",--(COUNTIFS(nNIA,DATOS!$A18469,nCURSO,DATOS!$D18469,nESPEC,DATOS!$E18469,nASIG,DATOS!$I18469,nEVAL,"EX")=0),0))))</f>
      </c>
      <c r="H18469">
        <f>IF(DATOS!$G18469&lt;&gt;"EX",0,--(COUNTIFS(nNIA,DATOS!$A18469,nCURSO,DATOS!$D18469,nESPEC,DATOS!$E18469,nASIG,DATOS!$I18469,nEVAL,"OR")=0))</f>
      </c>
      <c r="I18469">
        <f>IF(DATOS!$I18469="","",IFERROR(VLOOKUP(DATOS!$I18469,CONFIG_ASIGNATURAS!$B$2:$J$91,9,FALSE()),""))</f>
      </c>
    </row>
    <row r="18470">
      <c r="F18470">
        <f>IF(DATOS!$A18470="","",DATOS!$A18470&amp;"|"&amp;DATOS!$D18470&amp;"|"&amp;DATOS!$E18470&amp;"|"&amp;DATOS!$I18470)</f>
      </c>
      <c r="G18470">
        <f>IF(DATOS!$A18470="",0,IF(CONFIG_METADATA!$B$4&lt;&gt;"OR+EX",--(DATOS!$G18470=CONFIG_METADATA!$B$4),IF(DATOS!$G18470="EX",1,IF(DATOS!$G18470="OR",--(COUNTIFS(nNIA,DATOS!$A18470,nCURSO,DATOS!$D18470,nESPEC,DATOS!$E18470,nASIG,DATOS!$I18470,nEVAL,"EX")=0),0))))</f>
      </c>
      <c r="H18470">
        <f>IF(DATOS!$G18470&lt;&gt;"EX",0,--(COUNTIFS(nNIA,DATOS!$A18470,nCURSO,DATOS!$D18470,nESPEC,DATOS!$E18470,nASIG,DATOS!$I18470,nEVAL,"OR")=0))</f>
      </c>
      <c r="I18470">
        <f>IF(DATOS!$I18470="","",IFERROR(VLOOKUP(DATOS!$I18470,CONFIG_ASIGNATURAS!$B$2:$J$91,9,FALSE()),""))</f>
      </c>
    </row>
    <row r="18471">
      <c r="F18471">
        <f>IF(DATOS!$A18471="","",DATOS!$A18471&amp;"|"&amp;DATOS!$D18471&amp;"|"&amp;DATOS!$E18471&amp;"|"&amp;DATOS!$I18471)</f>
      </c>
      <c r="G18471">
        <f>IF(DATOS!$A18471="",0,IF(CONFIG_METADATA!$B$4&lt;&gt;"OR+EX",--(DATOS!$G18471=CONFIG_METADATA!$B$4),IF(DATOS!$G18471="EX",1,IF(DATOS!$G18471="OR",--(COUNTIFS(nNIA,DATOS!$A18471,nCURSO,DATOS!$D18471,nESPEC,DATOS!$E18471,nASIG,DATOS!$I18471,nEVAL,"EX")=0),0))))</f>
      </c>
      <c r="H18471">
        <f>IF(DATOS!$G18471&lt;&gt;"EX",0,--(COUNTIFS(nNIA,DATOS!$A18471,nCURSO,DATOS!$D18471,nESPEC,DATOS!$E18471,nASIG,DATOS!$I18471,nEVAL,"OR")=0))</f>
      </c>
      <c r="I18471">
        <f>IF(DATOS!$I18471="","",IFERROR(VLOOKUP(DATOS!$I18471,CONFIG_ASIGNATURAS!$B$2:$J$91,9,FALSE()),""))</f>
      </c>
    </row>
    <row r="18472">
      <c r="F18472">
        <f>IF(DATOS!$A18472="","",DATOS!$A18472&amp;"|"&amp;DATOS!$D18472&amp;"|"&amp;DATOS!$E18472&amp;"|"&amp;DATOS!$I18472)</f>
      </c>
      <c r="G18472">
        <f>IF(DATOS!$A18472="",0,IF(CONFIG_METADATA!$B$4&lt;&gt;"OR+EX",--(DATOS!$G18472=CONFIG_METADATA!$B$4),IF(DATOS!$G18472="EX",1,IF(DATOS!$G18472="OR",--(COUNTIFS(nNIA,DATOS!$A18472,nCURSO,DATOS!$D18472,nESPEC,DATOS!$E18472,nASIG,DATOS!$I18472,nEVAL,"EX")=0),0))))</f>
      </c>
      <c r="H18472">
        <f>IF(DATOS!$G18472&lt;&gt;"EX",0,--(COUNTIFS(nNIA,DATOS!$A18472,nCURSO,DATOS!$D18472,nESPEC,DATOS!$E18472,nASIG,DATOS!$I18472,nEVAL,"OR")=0))</f>
      </c>
      <c r="I18472">
        <f>IF(DATOS!$I18472="","",IFERROR(VLOOKUP(DATOS!$I18472,CONFIG_ASIGNATURAS!$B$2:$J$91,9,FALSE()),""))</f>
      </c>
    </row>
    <row r="18473">
      <c r="F18473">
        <f>IF(DATOS!$A18473="","",DATOS!$A18473&amp;"|"&amp;DATOS!$D18473&amp;"|"&amp;DATOS!$E18473&amp;"|"&amp;DATOS!$I18473)</f>
      </c>
      <c r="G18473">
        <f>IF(DATOS!$A18473="",0,IF(CONFIG_METADATA!$B$4&lt;&gt;"OR+EX",--(DATOS!$G18473=CONFIG_METADATA!$B$4),IF(DATOS!$G18473="EX",1,IF(DATOS!$G18473="OR",--(COUNTIFS(nNIA,DATOS!$A18473,nCURSO,DATOS!$D18473,nESPEC,DATOS!$E18473,nASIG,DATOS!$I18473,nEVAL,"EX")=0),0))))</f>
      </c>
      <c r="H18473">
        <f>IF(DATOS!$G18473&lt;&gt;"EX",0,--(COUNTIFS(nNIA,DATOS!$A18473,nCURSO,DATOS!$D18473,nESPEC,DATOS!$E18473,nASIG,DATOS!$I18473,nEVAL,"OR")=0))</f>
      </c>
      <c r="I18473">
        <f>IF(DATOS!$I18473="","",IFERROR(VLOOKUP(DATOS!$I18473,CONFIG_ASIGNATURAS!$B$2:$J$91,9,FALSE()),""))</f>
      </c>
    </row>
    <row r="18474">
      <c r="F18474">
        <f>IF(DATOS!$A18474="","",DATOS!$A18474&amp;"|"&amp;DATOS!$D18474&amp;"|"&amp;DATOS!$E18474&amp;"|"&amp;DATOS!$I18474)</f>
      </c>
      <c r="G18474">
        <f>IF(DATOS!$A18474="",0,IF(CONFIG_METADATA!$B$4&lt;&gt;"OR+EX",--(DATOS!$G18474=CONFIG_METADATA!$B$4),IF(DATOS!$G18474="EX",1,IF(DATOS!$G18474="OR",--(COUNTIFS(nNIA,DATOS!$A18474,nCURSO,DATOS!$D18474,nESPEC,DATOS!$E18474,nASIG,DATOS!$I18474,nEVAL,"EX")=0),0))))</f>
      </c>
      <c r="H18474">
        <f>IF(DATOS!$G18474&lt;&gt;"EX",0,--(COUNTIFS(nNIA,DATOS!$A18474,nCURSO,DATOS!$D18474,nESPEC,DATOS!$E18474,nASIG,DATOS!$I18474,nEVAL,"OR")=0))</f>
      </c>
      <c r="I18474">
        <f>IF(DATOS!$I18474="","",IFERROR(VLOOKUP(DATOS!$I18474,CONFIG_ASIGNATURAS!$B$2:$J$91,9,FALSE()),""))</f>
      </c>
    </row>
    <row r="18475">
      <c r="F18475">
        <f>IF(DATOS!$A18475="","",DATOS!$A18475&amp;"|"&amp;DATOS!$D18475&amp;"|"&amp;DATOS!$E18475&amp;"|"&amp;DATOS!$I18475)</f>
      </c>
      <c r="G18475">
        <f>IF(DATOS!$A18475="",0,IF(CONFIG_METADATA!$B$4&lt;&gt;"OR+EX",--(DATOS!$G18475=CONFIG_METADATA!$B$4),IF(DATOS!$G18475="EX",1,IF(DATOS!$G18475="OR",--(COUNTIFS(nNIA,DATOS!$A18475,nCURSO,DATOS!$D18475,nESPEC,DATOS!$E18475,nASIG,DATOS!$I18475,nEVAL,"EX")=0),0))))</f>
      </c>
      <c r="H18475">
        <f>IF(DATOS!$G18475&lt;&gt;"EX",0,--(COUNTIFS(nNIA,DATOS!$A18475,nCURSO,DATOS!$D18475,nESPEC,DATOS!$E18475,nASIG,DATOS!$I18475,nEVAL,"OR")=0))</f>
      </c>
      <c r="I18475">
        <f>IF(DATOS!$I18475="","",IFERROR(VLOOKUP(DATOS!$I18475,CONFIG_ASIGNATURAS!$B$2:$J$91,9,FALSE()),""))</f>
      </c>
    </row>
    <row r="18476">
      <c r="F18476">
        <f>IF(DATOS!$A18476="","",DATOS!$A18476&amp;"|"&amp;DATOS!$D18476&amp;"|"&amp;DATOS!$E18476&amp;"|"&amp;DATOS!$I18476)</f>
      </c>
      <c r="G18476">
        <f>IF(DATOS!$A18476="",0,IF(CONFIG_METADATA!$B$4&lt;&gt;"OR+EX",--(DATOS!$G18476=CONFIG_METADATA!$B$4),IF(DATOS!$G18476="EX",1,IF(DATOS!$G18476="OR",--(COUNTIFS(nNIA,DATOS!$A18476,nCURSO,DATOS!$D18476,nESPEC,DATOS!$E18476,nASIG,DATOS!$I18476,nEVAL,"EX")=0),0))))</f>
      </c>
      <c r="H18476">
        <f>IF(DATOS!$G18476&lt;&gt;"EX",0,--(COUNTIFS(nNIA,DATOS!$A18476,nCURSO,DATOS!$D18476,nESPEC,DATOS!$E18476,nASIG,DATOS!$I18476,nEVAL,"OR")=0))</f>
      </c>
      <c r="I18476">
        <f>IF(DATOS!$I18476="","",IFERROR(VLOOKUP(DATOS!$I18476,CONFIG_ASIGNATURAS!$B$2:$J$91,9,FALSE()),""))</f>
      </c>
    </row>
    <row r="18477">
      <c r="F18477">
        <f>IF(DATOS!$A18477="","",DATOS!$A18477&amp;"|"&amp;DATOS!$D18477&amp;"|"&amp;DATOS!$E18477&amp;"|"&amp;DATOS!$I18477)</f>
      </c>
      <c r="G18477">
        <f>IF(DATOS!$A18477="",0,IF(CONFIG_METADATA!$B$4&lt;&gt;"OR+EX",--(DATOS!$G18477=CONFIG_METADATA!$B$4),IF(DATOS!$G18477="EX",1,IF(DATOS!$G18477="OR",--(COUNTIFS(nNIA,DATOS!$A18477,nCURSO,DATOS!$D18477,nESPEC,DATOS!$E18477,nASIG,DATOS!$I18477,nEVAL,"EX")=0),0))))</f>
      </c>
      <c r="H18477">
        <f>IF(DATOS!$G18477&lt;&gt;"EX",0,--(COUNTIFS(nNIA,DATOS!$A18477,nCURSO,DATOS!$D18477,nESPEC,DATOS!$E18477,nASIG,DATOS!$I18477,nEVAL,"OR")=0))</f>
      </c>
      <c r="I18477">
        <f>IF(DATOS!$I18477="","",IFERROR(VLOOKUP(DATOS!$I18477,CONFIG_ASIGNATURAS!$B$2:$J$91,9,FALSE()),""))</f>
      </c>
    </row>
    <row r="18478">
      <c r="F18478">
        <f>IF(DATOS!$A18478="","",DATOS!$A18478&amp;"|"&amp;DATOS!$D18478&amp;"|"&amp;DATOS!$E18478&amp;"|"&amp;DATOS!$I18478)</f>
      </c>
      <c r="G18478">
        <f>IF(DATOS!$A18478="",0,IF(CONFIG_METADATA!$B$4&lt;&gt;"OR+EX",--(DATOS!$G18478=CONFIG_METADATA!$B$4),IF(DATOS!$G18478="EX",1,IF(DATOS!$G18478="OR",--(COUNTIFS(nNIA,DATOS!$A18478,nCURSO,DATOS!$D18478,nESPEC,DATOS!$E18478,nASIG,DATOS!$I18478,nEVAL,"EX")=0),0))))</f>
      </c>
      <c r="H18478">
        <f>IF(DATOS!$G18478&lt;&gt;"EX",0,--(COUNTIFS(nNIA,DATOS!$A18478,nCURSO,DATOS!$D18478,nESPEC,DATOS!$E18478,nASIG,DATOS!$I18478,nEVAL,"OR")=0))</f>
      </c>
      <c r="I18478">
        <f>IF(DATOS!$I18478="","",IFERROR(VLOOKUP(DATOS!$I18478,CONFIG_ASIGNATURAS!$B$2:$J$91,9,FALSE()),""))</f>
      </c>
    </row>
    <row r="18479">
      <c r="F18479">
        <f>IF(DATOS!$A18479="","",DATOS!$A18479&amp;"|"&amp;DATOS!$D18479&amp;"|"&amp;DATOS!$E18479&amp;"|"&amp;DATOS!$I18479)</f>
      </c>
      <c r="G18479">
        <f>IF(DATOS!$A18479="",0,IF(CONFIG_METADATA!$B$4&lt;&gt;"OR+EX",--(DATOS!$G18479=CONFIG_METADATA!$B$4),IF(DATOS!$G18479="EX",1,IF(DATOS!$G18479="OR",--(COUNTIFS(nNIA,DATOS!$A18479,nCURSO,DATOS!$D18479,nESPEC,DATOS!$E18479,nASIG,DATOS!$I18479,nEVAL,"EX")=0),0))))</f>
      </c>
      <c r="H18479">
        <f>IF(DATOS!$G18479&lt;&gt;"EX",0,--(COUNTIFS(nNIA,DATOS!$A18479,nCURSO,DATOS!$D18479,nESPEC,DATOS!$E18479,nASIG,DATOS!$I18479,nEVAL,"OR")=0))</f>
      </c>
      <c r="I18479">
        <f>IF(DATOS!$I18479="","",IFERROR(VLOOKUP(DATOS!$I18479,CONFIG_ASIGNATURAS!$B$2:$J$91,9,FALSE()),""))</f>
      </c>
    </row>
    <row r="18480">
      <c r="F18480">
        <f>IF(DATOS!$A18480="","",DATOS!$A18480&amp;"|"&amp;DATOS!$D18480&amp;"|"&amp;DATOS!$E18480&amp;"|"&amp;DATOS!$I18480)</f>
      </c>
      <c r="G18480">
        <f>IF(DATOS!$A18480="",0,IF(CONFIG_METADATA!$B$4&lt;&gt;"OR+EX",--(DATOS!$G18480=CONFIG_METADATA!$B$4),IF(DATOS!$G18480="EX",1,IF(DATOS!$G18480="OR",--(COUNTIFS(nNIA,DATOS!$A18480,nCURSO,DATOS!$D18480,nESPEC,DATOS!$E18480,nASIG,DATOS!$I18480,nEVAL,"EX")=0),0))))</f>
      </c>
      <c r="H18480">
        <f>IF(DATOS!$G18480&lt;&gt;"EX",0,--(COUNTIFS(nNIA,DATOS!$A18480,nCURSO,DATOS!$D18480,nESPEC,DATOS!$E18480,nASIG,DATOS!$I18480,nEVAL,"OR")=0))</f>
      </c>
      <c r="I18480">
        <f>IF(DATOS!$I18480="","",IFERROR(VLOOKUP(DATOS!$I18480,CONFIG_ASIGNATURAS!$B$2:$J$91,9,FALSE()),""))</f>
      </c>
    </row>
    <row r="18481">
      <c r="F18481">
        <f>IF(DATOS!$A18481="","",DATOS!$A18481&amp;"|"&amp;DATOS!$D18481&amp;"|"&amp;DATOS!$E18481&amp;"|"&amp;DATOS!$I18481)</f>
      </c>
      <c r="G18481">
        <f>IF(DATOS!$A18481="",0,IF(CONFIG_METADATA!$B$4&lt;&gt;"OR+EX",--(DATOS!$G18481=CONFIG_METADATA!$B$4),IF(DATOS!$G18481="EX",1,IF(DATOS!$G18481="OR",--(COUNTIFS(nNIA,DATOS!$A18481,nCURSO,DATOS!$D18481,nESPEC,DATOS!$E18481,nASIG,DATOS!$I18481,nEVAL,"EX")=0),0))))</f>
      </c>
      <c r="H18481">
        <f>IF(DATOS!$G18481&lt;&gt;"EX",0,--(COUNTIFS(nNIA,DATOS!$A18481,nCURSO,DATOS!$D18481,nESPEC,DATOS!$E18481,nASIG,DATOS!$I18481,nEVAL,"OR")=0))</f>
      </c>
      <c r="I18481">
        <f>IF(DATOS!$I18481="","",IFERROR(VLOOKUP(DATOS!$I18481,CONFIG_ASIGNATURAS!$B$2:$J$91,9,FALSE()),""))</f>
      </c>
    </row>
    <row r="18482">
      <c r="F18482">
        <f>IF(DATOS!$A18482="","",DATOS!$A18482&amp;"|"&amp;DATOS!$D18482&amp;"|"&amp;DATOS!$E18482&amp;"|"&amp;DATOS!$I18482)</f>
      </c>
      <c r="G18482">
        <f>IF(DATOS!$A18482="",0,IF(CONFIG_METADATA!$B$4&lt;&gt;"OR+EX",--(DATOS!$G18482=CONFIG_METADATA!$B$4),IF(DATOS!$G18482="EX",1,IF(DATOS!$G18482="OR",--(COUNTIFS(nNIA,DATOS!$A18482,nCURSO,DATOS!$D18482,nESPEC,DATOS!$E18482,nASIG,DATOS!$I18482,nEVAL,"EX")=0),0))))</f>
      </c>
      <c r="H18482">
        <f>IF(DATOS!$G18482&lt;&gt;"EX",0,--(COUNTIFS(nNIA,DATOS!$A18482,nCURSO,DATOS!$D18482,nESPEC,DATOS!$E18482,nASIG,DATOS!$I18482,nEVAL,"OR")=0))</f>
      </c>
      <c r="I18482">
        <f>IF(DATOS!$I18482="","",IFERROR(VLOOKUP(DATOS!$I18482,CONFIG_ASIGNATURAS!$B$2:$J$91,9,FALSE()),""))</f>
      </c>
    </row>
    <row r="18483">
      <c r="F18483">
        <f>IF(DATOS!$A18483="","",DATOS!$A18483&amp;"|"&amp;DATOS!$D18483&amp;"|"&amp;DATOS!$E18483&amp;"|"&amp;DATOS!$I18483)</f>
      </c>
      <c r="G18483">
        <f>IF(DATOS!$A18483="",0,IF(CONFIG_METADATA!$B$4&lt;&gt;"OR+EX",--(DATOS!$G18483=CONFIG_METADATA!$B$4),IF(DATOS!$G18483="EX",1,IF(DATOS!$G18483="OR",--(COUNTIFS(nNIA,DATOS!$A18483,nCURSO,DATOS!$D18483,nESPEC,DATOS!$E18483,nASIG,DATOS!$I18483,nEVAL,"EX")=0),0))))</f>
      </c>
      <c r="H18483">
        <f>IF(DATOS!$G18483&lt;&gt;"EX",0,--(COUNTIFS(nNIA,DATOS!$A18483,nCURSO,DATOS!$D18483,nESPEC,DATOS!$E18483,nASIG,DATOS!$I18483,nEVAL,"OR")=0))</f>
      </c>
      <c r="I18483">
        <f>IF(DATOS!$I18483="","",IFERROR(VLOOKUP(DATOS!$I18483,CONFIG_ASIGNATURAS!$B$2:$J$91,9,FALSE()),""))</f>
      </c>
    </row>
    <row r="18484">
      <c r="F18484">
        <f>IF(DATOS!$A18484="","",DATOS!$A18484&amp;"|"&amp;DATOS!$D18484&amp;"|"&amp;DATOS!$E18484&amp;"|"&amp;DATOS!$I18484)</f>
      </c>
      <c r="G18484">
        <f>IF(DATOS!$A18484="",0,IF(CONFIG_METADATA!$B$4&lt;&gt;"OR+EX",--(DATOS!$G18484=CONFIG_METADATA!$B$4),IF(DATOS!$G18484="EX",1,IF(DATOS!$G18484="OR",--(COUNTIFS(nNIA,DATOS!$A18484,nCURSO,DATOS!$D18484,nESPEC,DATOS!$E18484,nASIG,DATOS!$I18484,nEVAL,"EX")=0),0))))</f>
      </c>
      <c r="H18484">
        <f>IF(DATOS!$G18484&lt;&gt;"EX",0,--(COUNTIFS(nNIA,DATOS!$A18484,nCURSO,DATOS!$D18484,nESPEC,DATOS!$E18484,nASIG,DATOS!$I18484,nEVAL,"OR")=0))</f>
      </c>
      <c r="I18484">
        <f>IF(DATOS!$I18484="","",IFERROR(VLOOKUP(DATOS!$I18484,CONFIG_ASIGNATURAS!$B$2:$J$91,9,FALSE()),""))</f>
      </c>
    </row>
    <row r="18485">
      <c r="F18485">
        <f>IF(DATOS!$A18485="","",DATOS!$A18485&amp;"|"&amp;DATOS!$D18485&amp;"|"&amp;DATOS!$E18485&amp;"|"&amp;DATOS!$I18485)</f>
      </c>
      <c r="G18485">
        <f>IF(DATOS!$A18485="",0,IF(CONFIG_METADATA!$B$4&lt;&gt;"OR+EX",--(DATOS!$G18485=CONFIG_METADATA!$B$4),IF(DATOS!$G18485="EX",1,IF(DATOS!$G18485="OR",--(COUNTIFS(nNIA,DATOS!$A18485,nCURSO,DATOS!$D18485,nESPEC,DATOS!$E18485,nASIG,DATOS!$I18485,nEVAL,"EX")=0),0))))</f>
      </c>
      <c r="H18485">
        <f>IF(DATOS!$G18485&lt;&gt;"EX",0,--(COUNTIFS(nNIA,DATOS!$A18485,nCURSO,DATOS!$D18485,nESPEC,DATOS!$E18485,nASIG,DATOS!$I18485,nEVAL,"OR")=0))</f>
      </c>
      <c r="I18485">
        <f>IF(DATOS!$I18485="","",IFERROR(VLOOKUP(DATOS!$I18485,CONFIG_ASIGNATURAS!$B$2:$J$91,9,FALSE()),""))</f>
      </c>
    </row>
    <row r="18486">
      <c r="F18486">
        <f>IF(DATOS!$A18486="","",DATOS!$A18486&amp;"|"&amp;DATOS!$D18486&amp;"|"&amp;DATOS!$E18486&amp;"|"&amp;DATOS!$I18486)</f>
      </c>
      <c r="G18486">
        <f>IF(DATOS!$A18486="",0,IF(CONFIG_METADATA!$B$4&lt;&gt;"OR+EX",--(DATOS!$G18486=CONFIG_METADATA!$B$4),IF(DATOS!$G18486="EX",1,IF(DATOS!$G18486="OR",--(COUNTIFS(nNIA,DATOS!$A18486,nCURSO,DATOS!$D18486,nESPEC,DATOS!$E18486,nASIG,DATOS!$I18486,nEVAL,"EX")=0),0))))</f>
      </c>
      <c r="H18486">
        <f>IF(DATOS!$G18486&lt;&gt;"EX",0,--(COUNTIFS(nNIA,DATOS!$A18486,nCURSO,DATOS!$D18486,nESPEC,DATOS!$E18486,nASIG,DATOS!$I18486,nEVAL,"OR")=0))</f>
      </c>
      <c r="I18486">
        <f>IF(DATOS!$I18486="","",IFERROR(VLOOKUP(DATOS!$I18486,CONFIG_ASIGNATURAS!$B$2:$J$91,9,FALSE()),""))</f>
      </c>
    </row>
    <row r="18487">
      <c r="F18487">
        <f>IF(DATOS!$A18487="","",DATOS!$A18487&amp;"|"&amp;DATOS!$D18487&amp;"|"&amp;DATOS!$E18487&amp;"|"&amp;DATOS!$I18487)</f>
      </c>
      <c r="G18487">
        <f>IF(DATOS!$A18487="",0,IF(CONFIG_METADATA!$B$4&lt;&gt;"OR+EX",--(DATOS!$G18487=CONFIG_METADATA!$B$4),IF(DATOS!$G18487="EX",1,IF(DATOS!$G18487="OR",--(COUNTIFS(nNIA,DATOS!$A18487,nCURSO,DATOS!$D18487,nESPEC,DATOS!$E18487,nASIG,DATOS!$I18487,nEVAL,"EX")=0),0))))</f>
      </c>
      <c r="H18487">
        <f>IF(DATOS!$G18487&lt;&gt;"EX",0,--(COUNTIFS(nNIA,DATOS!$A18487,nCURSO,DATOS!$D18487,nESPEC,DATOS!$E18487,nASIG,DATOS!$I18487,nEVAL,"OR")=0))</f>
      </c>
      <c r="I18487">
        <f>IF(DATOS!$I18487="","",IFERROR(VLOOKUP(DATOS!$I18487,CONFIG_ASIGNATURAS!$B$2:$J$91,9,FALSE()),""))</f>
      </c>
    </row>
    <row r="18488">
      <c r="F18488">
        <f>IF(DATOS!$A18488="","",DATOS!$A18488&amp;"|"&amp;DATOS!$D18488&amp;"|"&amp;DATOS!$E18488&amp;"|"&amp;DATOS!$I18488)</f>
      </c>
      <c r="G18488">
        <f>IF(DATOS!$A18488="",0,IF(CONFIG_METADATA!$B$4&lt;&gt;"OR+EX",--(DATOS!$G18488=CONFIG_METADATA!$B$4),IF(DATOS!$G18488="EX",1,IF(DATOS!$G18488="OR",--(COUNTIFS(nNIA,DATOS!$A18488,nCURSO,DATOS!$D18488,nESPEC,DATOS!$E18488,nASIG,DATOS!$I18488,nEVAL,"EX")=0),0))))</f>
      </c>
      <c r="H18488">
        <f>IF(DATOS!$G18488&lt;&gt;"EX",0,--(COUNTIFS(nNIA,DATOS!$A18488,nCURSO,DATOS!$D18488,nESPEC,DATOS!$E18488,nASIG,DATOS!$I18488,nEVAL,"OR")=0))</f>
      </c>
      <c r="I18488">
        <f>IF(DATOS!$I18488="","",IFERROR(VLOOKUP(DATOS!$I18488,CONFIG_ASIGNATURAS!$B$2:$J$91,9,FALSE()),""))</f>
      </c>
    </row>
    <row r="18489">
      <c r="F18489">
        <f>IF(DATOS!$A18489="","",DATOS!$A18489&amp;"|"&amp;DATOS!$D18489&amp;"|"&amp;DATOS!$E18489&amp;"|"&amp;DATOS!$I18489)</f>
      </c>
      <c r="G18489">
        <f>IF(DATOS!$A18489="",0,IF(CONFIG_METADATA!$B$4&lt;&gt;"OR+EX",--(DATOS!$G18489=CONFIG_METADATA!$B$4),IF(DATOS!$G18489="EX",1,IF(DATOS!$G18489="OR",--(COUNTIFS(nNIA,DATOS!$A18489,nCURSO,DATOS!$D18489,nESPEC,DATOS!$E18489,nASIG,DATOS!$I18489,nEVAL,"EX")=0),0))))</f>
      </c>
      <c r="H18489">
        <f>IF(DATOS!$G18489&lt;&gt;"EX",0,--(COUNTIFS(nNIA,DATOS!$A18489,nCURSO,DATOS!$D18489,nESPEC,DATOS!$E18489,nASIG,DATOS!$I18489,nEVAL,"OR")=0))</f>
      </c>
      <c r="I18489">
        <f>IF(DATOS!$I18489="","",IFERROR(VLOOKUP(DATOS!$I18489,CONFIG_ASIGNATURAS!$B$2:$J$91,9,FALSE()),""))</f>
      </c>
    </row>
    <row r="18490">
      <c r="F18490">
        <f>IF(DATOS!$A18490="","",DATOS!$A18490&amp;"|"&amp;DATOS!$D18490&amp;"|"&amp;DATOS!$E18490&amp;"|"&amp;DATOS!$I18490)</f>
      </c>
      <c r="G18490">
        <f>IF(DATOS!$A18490="",0,IF(CONFIG_METADATA!$B$4&lt;&gt;"OR+EX",--(DATOS!$G18490=CONFIG_METADATA!$B$4),IF(DATOS!$G18490="EX",1,IF(DATOS!$G18490="OR",--(COUNTIFS(nNIA,DATOS!$A18490,nCURSO,DATOS!$D18490,nESPEC,DATOS!$E18490,nASIG,DATOS!$I18490,nEVAL,"EX")=0),0))))</f>
      </c>
      <c r="H18490">
        <f>IF(DATOS!$G18490&lt;&gt;"EX",0,--(COUNTIFS(nNIA,DATOS!$A18490,nCURSO,DATOS!$D18490,nESPEC,DATOS!$E18490,nASIG,DATOS!$I18490,nEVAL,"OR")=0))</f>
      </c>
      <c r="I18490">
        <f>IF(DATOS!$I18490="","",IFERROR(VLOOKUP(DATOS!$I18490,CONFIG_ASIGNATURAS!$B$2:$J$91,9,FALSE()),""))</f>
      </c>
    </row>
    <row r="18491">
      <c r="F18491">
        <f>IF(DATOS!$A18491="","",DATOS!$A18491&amp;"|"&amp;DATOS!$D18491&amp;"|"&amp;DATOS!$E18491&amp;"|"&amp;DATOS!$I18491)</f>
      </c>
      <c r="G18491">
        <f>IF(DATOS!$A18491="",0,IF(CONFIG_METADATA!$B$4&lt;&gt;"OR+EX",--(DATOS!$G18491=CONFIG_METADATA!$B$4),IF(DATOS!$G18491="EX",1,IF(DATOS!$G18491="OR",--(COUNTIFS(nNIA,DATOS!$A18491,nCURSO,DATOS!$D18491,nESPEC,DATOS!$E18491,nASIG,DATOS!$I18491,nEVAL,"EX")=0),0))))</f>
      </c>
      <c r="H18491">
        <f>IF(DATOS!$G18491&lt;&gt;"EX",0,--(COUNTIFS(nNIA,DATOS!$A18491,nCURSO,DATOS!$D18491,nESPEC,DATOS!$E18491,nASIG,DATOS!$I18491,nEVAL,"OR")=0))</f>
      </c>
      <c r="I18491">
        <f>IF(DATOS!$I18491="","",IFERROR(VLOOKUP(DATOS!$I18491,CONFIG_ASIGNATURAS!$B$2:$J$91,9,FALSE()),""))</f>
      </c>
    </row>
    <row r="18492">
      <c r="F18492">
        <f>IF(DATOS!$A18492="","",DATOS!$A18492&amp;"|"&amp;DATOS!$D18492&amp;"|"&amp;DATOS!$E18492&amp;"|"&amp;DATOS!$I18492)</f>
      </c>
      <c r="G18492">
        <f>IF(DATOS!$A18492="",0,IF(CONFIG_METADATA!$B$4&lt;&gt;"OR+EX",--(DATOS!$G18492=CONFIG_METADATA!$B$4),IF(DATOS!$G18492="EX",1,IF(DATOS!$G18492="OR",--(COUNTIFS(nNIA,DATOS!$A18492,nCURSO,DATOS!$D18492,nESPEC,DATOS!$E18492,nASIG,DATOS!$I18492,nEVAL,"EX")=0),0))))</f>
      </c>
      <c r="H18492">
        <f>IF(DATOS!$G18492&lt;&gt;"EX",0,--(COUNTIFS(nNIA,DATOS!$A18492,nCURSO,DATOS!$D18492,nESPEC,DATOS!$E18492,nASIG,DATOS!$I18492,nEVAL,"OR")=0))</f>
      </c>
      <c r="I18492">
        <f>IF(DATOS!$I18492="","",IFERROR(VLOOKUP(DATOS!$I18492,CONFIG_ASIGNATURAS!$B$2:$J$91,9,FALSE()),""))</f>
      </c>
    </row>
    <row r="18493">
      <c r="F18493">
        <f>IF(DATOS!$A18493="","",DATOS!$A18493&amp;"|"&amp;DATOS!$D18493&amp;"|"&amp;DATOS!$E18493&amp;"|"&amp;DATOS!$I18493)</f>
      </c>
      <c r="G18493">
        <f>IF(DATOS!$A18493="",0,IF(CONFIG_METADATA!$B$4&lt;&gt;"OR+EX",--(DATOS!$G18493=CONFIG_METADATA!$B$4),IF(DATOS!$G18493="EX",1,IF(DATOS!$G18493="OR",--(COUNTIFS(nNIA,DATOS!$A18493,nCURSO,DATOS!$D18493,nESPEC,DATOS!$E18493,nASIG,DATOS!$I18493,nEVAL,"EX")=0),0))))</f>
      </c>
      <c r="H18493">
        <f>IF(DATOS!$G18493&lt;&gt;"EX",0,--(COUNTIFS(nNIA,DATOS!$A18493,nCURSO,DATOS!$D18493,nESPEC,DATOS!$E18493,nASIG,DATOS!$I18493,nEVAL,"OR")=0))</f>
      </c>
      <c r="I18493">
        <f>IF(DATOS!$I18493="","",IFERROR(VLOOKUP(DATOS!$I18493,CONFIG_ASIGNATURAS!$B$2:$J$91,9,FALSE()),""))</f>
      </c>
    </row>
    <row r="18494">
      <c r="F18494">
        <f>IF(DATOS!$A18494="","",DATOS!$A18494&amp;"|"&amp;DATOS!$D18494&amp;"|"&amp;DATOS!$E18494&amp;"|"&amp;DATOS!$I18494)</f>
      </c>
      <c r="G18494">
        <f>IF(DATOS!$A18494="",0,IF(CONFIG_METADATA!$B$4&lt;&gt;"OR+EX",--(DATOS!$G18494=CONFIG_METADATA!$B$4),IF(DATOS!$G18494="EX",1,IF(DATOS!$G18494="OR",--(COUNTIFS(nNIA,DATOS!$A18494,nCURSO,DATOS!$D18494,nESPEC,DATOS!$E18494,nASIG,DATOS!$I18494,nEVAL,"EX")=0),0))))</f>
      </c>
      <c r="H18494">
        <f>IF(DATOS!$G18494&lt;&gt;"EX",0,--(COUNTIFS(nNIA,DATOS!$A18494,nCURSO,DATOS!$D18494,nESPEC,DATOS!$E18494,nASIG,DATOS!$I18494,nEVAL,"OR")=0))</f>
      </c>
      <c r="I18494">
        <f>IF(DATOS!$I18494="","",IFERROR(VLOOKUP(DATOS!$I18494,CONFIG_ASIGNATURAS!$B$2:$J$91,9,FALSE()),""))</f>
      </c>
    </row>
    <row r="18495">
      <c r="F18495">
        <f>IF(DATOS!$A18495="","",DATOS!$A18495&amp;"|"&amp;DATOS!$D18495&amp;"|"&amp;DATOS!$E18495&amp;"|"&amp;DATOS!$I18495)</f>
      </c>
      <c r="G18495">
        <f>IF(DATOS!$A18495="",0,IF(CONFIG_METADATA!$B$4&lt;&gt;"OR+EX",--(DATOS!$G18495=CONFIG_METADATA!$B$4),IF(DATOS!$G18495="EX",1,IF(DATOS!$G18495="OR",--(COUNTIFS(nNIA,DATOS!$A18495,nCURSO,DATOS!$D18495,nESPEC,DATOS!$E18495,nASIG,DATOS!$I18495,nEVAL,"EX")=0),0))))</f>
      </c>
      <c r="H18495">
        <f>IF(DATOS!$G18495&lt;&gt;"EX",0,--(COUNTIFS(nNIA,DATOS!$A18495,nCURSO,DATOS!$D18495,nESPEC,DATOS!$E18495,nASIG,DATOS!$I18495,nEVAL,"OR")=0))</f>
      </c>
      <c r="I18495">
        <f>IF(DATOS!$I18495="","",IFERROR(VLOOKUP(DATOS!$I18495,CONFIG_ASIGNATURAS!$B$2:$J$91,9,FALSE()),""))</f>
      </c>
    </row>
    <row r="18496">
      <c r="F18496">
        <f>IF(DATOS!$A18496="","",DATOS!$A18496&amp;"|"&amp;DATOS!$D18496&amp;"|"&amp;DATOS!$E18496&amp;"|"&amp;DATOS!$I18496)</f>
      </c>
      <c r="G18496">
        <f>IF(DATOS!$A18496="",0,IF(CONFIG_METADATA!$B$4&lt;&gt;"OR+EX",--(DATOS!$G18496=CONFIG_METADATA!$B$4),IF(DATOS!$G18496="EX",1,IF(DATOS!$G18496="OR",--(COUNTIFS(nNIA,DATOS!$A18496,nCURSO,DATOS!$D18496,nESPEC,DATOS!$E18496,nASIG,DATOS!$I18496,nEVAL,"EX")=0),0))))</f>
      </c>
      <c r="H18496">
        <f>IF(DATOS!$G18496&lt;&gt;"EX",0,--(COUNTIFS(nNIA,DATOS!$A18496,nCURSO,DATOS!$D18496,nESPEC,DATOS!$E18496,nASIG,DATOS!$I18496,nEVAL,"OR")=0))</f>
      </c>
      <c r="I18496">
        <f>IF(DATOS!$I18496="","",IFERROR(VLOOKUP(DATOS!$I18496,CONFIG_ASIGNATURAS!$B$2:$J$91,9,FALSE()),""))</f>
      </c>
    </row>
    <row r="18497">
      <c r="F18497">
        <f>IF(DATOS!$A18497="","",DATOS!$A18497&amp;"|"&amp;DATOS!$D18497&amp;"|"&amp;DATOS!$E18497&amp;"|"&amp;DATOS!$I18497)</f>
      </c>
      <c r="G18497">
        <f>IF(DATOS!$A18497="",0,IF(CONFIG_METADATA!$B$4&lt;&gt;"OR+EX",--(DATOS!$G18497=CONFIG_METADATA!$B$4),IF(DATOS!$G18497="EX",1,IF(DATOS!$G18497="OR",--(COUNTIFS(nNIA,DATOS!$A18497,nCURSO,DATOS!$D18497,nESPEC,DATOS!$E18497,nASIG,DATOS!$I18497,nEVAL,"EX")=0),0))))</f>
      </c>
      <c r="H18497">
        <f>IF(DATOS!$G18497&lt;&gt;"EX",0,--(COUNTIFS(nNIA,DATOS!$A18497,nCURSO,DATOS!$D18497,nESPEC,DATOS!$E18497,nASIG,DATOS!$I18497,nEVAL,"OR")=0))</f>
      </c>
      <c r="I18497">
        <f>IF(DATOS!$I18497="","",IFERROR(VLOOKUP(DATOS!$I18497,CONFIG_ASIGNATURAS!$B$2:$J$91,9,FALSE()),""))</f>
      </c>
    </row>
    <row r="18498">
      <c r="F18498">
        <f>IF(DATOS!$A18498="","",DATOS!$A18498&amp;"|"&amp;DATOS!$D18498&amp;"|"&amp;DATOS!$E18498&amp;"|"&amp;DATOS!$I18498)</f>
      </c>
      <c r="G18498">
        <f>IF(DATOS!$A18498="",0,IF(CONFIG_METADATA!$B$4&lt;&gt;"OR+EX",--(DATOS!$G18498=CONFIG_METADATA!$B$4),IF(DATOS!$G18498="EX",1,IF(DATOS!$G18498="OR",--(COUNTIFS(nNIA,DATOS!$A18498,nCURSO,DATOS!$D18498,nESPEC,DATOS!$E18498,nASIG,DATOS!$I18498,nEVAL,"EX")=0),0))))</f>
      </c>
      <c r="H18498">
        <f>IF(DATOS!$G18498&lt;&gt;"EX",0,--(COUNTIFS(nNIA,DATOS!$A18498,nCURSO,DATOS!$D18498,nESPEC,DATOS!$E18498,nASIG,DATOS!$I18498,nEVAL,"OR")=0))</f>
      </c>
      <c r="I18498">
        <f>IF(DATOS!$I18498="","",IFERROR(VLOOKUP(DATOS!$I18498,CONFIG_ASIGNATURAS!$B$2:$J$91,9,FALSE()),""))</f>
      </c>
    </row>
    <row r="18499">
      <c r="F18499">
        <f>IF(DATOS!$A18499="","",DATOS!$A18499&amp;"|"&amp;DATOS!$D18499&amp;"|"&amp;DATOS!$E18499&amp;"|"&amp;DATOS!$I18499)</f>
      </c>
      <c r="G18499">
        <f>IF(DATOS!$A18499="",0,IF(CONFIG_METADATA!$B$4&lt;&gt;"OR+EX",--(DATOS!$G18499=CONFIG_METADATA!$B$4),IF(DATOS!$G18499="EX",1,IF(DATOS!$G18499="OR",--(COUNTIFS(nNIA,DATOS!$A18499,nCURSO,DATOS!$D18499,nESPEC,DATOS!$E18499,nASIG,DATOS!$I18499,nEVAL,"EX")=0),0))))</f>
      </c>
      <c r="H18499">
        <f>IF(DATOS!$G18499&lt;&gt;"EX",0,--(COUNTIFS(nNIA,DATOS!$A18499,nCURSO,DATOS!$D18499,nESPEC,DATOS!$E18499,nASIG,DATOS!$I18499,nEVAL,"OR")=0))</f>
      </c>
      <c r="I18499">
        <f>IF(DATOS!$I18499="","",IFERROR(VLOOKUP(DATOS!$I18499,CONFIG_ASIGNATURAS!$B$2:$J$91,9,FALSE()),""))</f>
      </c>
    </row>
    <row r="18500">
      <c r="F18500">
        <f>IF(DATOS!$A18500="","",DATOS!$A18500&amp;"|"&amp;DATOS!$D18500&amp;"|"&amp;DATOS!$E18500&amp;"|"&amp;DATOS!$I18500)</f>
      </c>
      <c r="G18500">
        <f>IF(DATOS!$A18500="",0,IF(CONFIG_METADATA!$B$4&lt;&gt;"OR+EX",--(DATOS!$G18500=CONFIG_METADATA!$B$4),IF(DATOS!$G18500="EX",1,IF(DATOS!$G18500="OR",--(COUNTIFS(nNIA,DATOS!$A18500,nCURSO,DATOS!$D18500,nESPEC,DATOS!$E18500,nASIG,DATOS!$I18500,nEVAL,"EX")=0),0))))</f>
      </c>
      <c r="H18500">
        <f>IF(DATOS!$G18500&lt;&gt;"EX",0,--(COUNTIFS(nNIA,DATOS!$A18500,nCURSO,DATOS!$D18500,nESPEC,DATOS!$E18500,nASIG,DATOS!$I18500,nEVAL,"OR")=0))</f>
      </c>
      <c r="I18500">
        <f>IF(DATOS!$I18500="","",IFERROR(VLOOKUP(DATOS!$I18500,CONFIG_ASIGNATURAS!$B$2:$J$91,9,FALSE()),""))</f>
      </c>
    </row>
    <row r="18501">
      <c r="F18501">
        <f>IF(DATOS!$A18501="","",DATOS!$A18501&amp;"|"&amp;DATOS!$D18501&amp;"|"&amp;DATOS!$E18501&amp;"|"&amp;DATOS!$I18501)</f>
      </c>
      <c r="G18501">
        <f>IF(DATOS!$A18501="",0,IF(CONFIG_METADATA!$B$4&lt;&gt;"OR+EX",--(DATOS!$G18501=CONFIG_METADATA!$B$4),IF(DATOS!$G18501="EX",1,IF(DATOS!$G18501="OR",--(COUNTIFS(nNIA,DATOS!$A18501,nCURSO,DATOS!$D18501,nESPEC,DATOS!$E18501,nASIG,DATOS!$I18501,nEVAL,"EX")=0),0))))</f>
      </c>
      <c r="H18501">
        <f>IF(DATOS!$G18501&lt;&gt;"EX",0,--(COUNTIFS(nNIA,DATOS!$A18501,nCURSO,DATOS!$D18501,nESPEC,DATOS!$E18501,nASIG,DATOS!$I18501,nEVAL,"OR")=0))</f>
      </c>
      <c r="I18501">
        <f>IF(DATOS!$I18501="","",IFERROR(VLOOKUP(DATOS!$I18501,CONFIG_ASIGNATURAS!$B$2:$J$91,9,FALSE()),""))</f>
      </c>
    </row>
    <row r="18502">
      <c r="F18502">
        <f>IF(DATOS!$A18502="","",DATOS!$A18502&amp;"|"&amp;DATOS!$D18502&amp;"|"&amp;DATOS!$E18502&amp;"|"&amp;DATOS!$I18502)</f>
      </c>
      <c r="G18502">
        <f>IF(DATOS!$A18502="",0,IF(CONFIG_METADATA!$B$4&lt;&gt;"OR+EX",--(DATOS!$G18502=CONFIG_METADATA!$B$4),IF(DATOS!$G18502="EX",1,IF(DATOS!$G18502="OR",--(COUNTIFS(nNIA,DATOS!$A18502,nCURSO,DATOS!$D18502,nESPEC,DATOS!$E18502,nASIG,DATOS!$I18502,nEVAL,"EX")=0),0))))</f>
      </c>
      <c r="H18502">
        <f>IF(DATOS!$G18502&lt;&gt;"EX",0,--(COUNTIFS(nNIA,DATOS!$A18502,nCURSO,DATOS!$D18502,nESPEC,DATOS!$E18502,nASIG,DATOS!$I18502,nEVAL,"OR")=0))</f>
      </c>
      <c r="I18502">
        <f>IF(DATOS!$I18502="","",IFERROR(VLOOKUP(DATOS!$I18502,CONFIG_ASIGNATURAS!$B$2:$J$91,9,FALSE()),""))</f>
      </c>
    </row>
    <row r="18503">
      <c r="F18503">
        <f>IF(DATOS!$A18503="","",DATOS!$A18503&amp;"|"&amp;DATOS!$D18503&amp;"|"&amp;DATOS!$E18503&amp;"|"&amp;DATOS!$I18503)</f>
      </c>
      <c r="G18503">
        <f>IF(DATOS!$A18503="",0,IF(CONFIG_METADATA!$B$4&lt;&gt;"OR+EX",--(DATOS!$G18503=CONFIG_METADATA!$B$4),IF(DATOS!$G18503="EX",1,IF(DATOS!$G18503="OR",--(COUNTIFS(nNIA,DATOS!$A18503,nCURSO,DATOS!$D18503,nESPEC,DATOS!$E18503,nASIG,DATOS!$I18503,nEVAL,"EX")=0),0))))</f>
      </c>
      <c r="H18503">
        <f>IF(DATOS!$G18503&lt;&gt;"EX",0,--(COUNTIFS(nNIA,DATOS!$A18503,nCURSO,DATOS!$D18503,nESPEC,DATOS!$E18503,nASIG,DATOS!$I18503,nEVAL,"OR")=0))</f>
      </c>
      <c r="I18503">
        <f>IF(DATOS!$I18503="","",IFERROR(VLOOKUP(DATOS!$I18503,CONFIG_ASIGNATURAS!$B$2:$J$91,9,FALSE()),""))</f>
      </c>
    </row>
    <row r="18504">
      <c r="F18504">
        <f>IF(DATOS!$A18504="","",DATOS!$A18504&amp;"|"&amp;DATOS!$D18504&amp;"|"&amp;DATOS!$E18504&amp;"|"&amp;DATOS!$I18504)</f>
      </c>
      <c r="G18504">
        <f>IF(DATOS!$A18504="",0,IF(CONFIG_METADATA!$B$4&lt;&gt;"OR+EX",--(DATOS!$G18504=CONFIG_METADATA!$B$4),IF(DATOS!$G18504="EX",1,IF(DATOS!$G18504="OR",--(COUNTIFS(nNIA,DATOS!$A18504,nCURSO,DATOS!$D18504,nESPEC,DATOS!$E18504,nASIG,DATOS!$I18504,nEVAL,"EX")=0),0))))</f>
      </c>
      <c r="H18504">
        <f>IF(DATOS!$G18504&lt;&gt;"EX",0,--(COUNTIFS(nNIA,DATOS!$A18504,nCURSO,DATOS!$D18504,nESPEC,DATOS!$E18504,nASIG,DATOS!$I18504,nEVAL,"OR")=0))</f>
      </c>
      <c r="I18504">
        <f>IF(DATOS!$I18504="","",IFERROR(VLOOKUP(DATOS!$I18504,CONFIG_ASIGNATURAS!$B$2:$J$91,9,FALSE()),""))</f>
      </c>
    </row>
    <row r="18505">
      <c r="F18505">
        <f>IF(DATOS!$A18505="","",DATOS!$A18505&amp;"|"&amp;DATOS!$D18505&amp;"|"&amp;DATOS!$E18505&amp;"|"&amp;DATOS!$I18505)</f>
      </c>
      <c r="G18505">
        <f>IF(DATOS!$A18505="",0,IF(CONFIG_METADATA!$B$4&lt;&gt;"OR+EX",--(DATOS!$G18505=CONFIG_METADATA!$B$4),IF(DATOS!$G18505="EX",1,IF(DATOS!$G18505="OR",--(COUNTIFS(nNIA,DATOS!$A18505,nCURSO,DATOS!$D18505,nESPEC,DATOS!$E18505,nASIG,DATOS!$I18505,nEVAL,"EX")=0),0))))</f>
      </c>
      <c r="H18505">
        <f>IF(DATOS!$G18505&lt;&gt;"EX",0,--(COUNTIFS(nNIA,DATOS!$A18505,nCURSO,DATOS!$D18505,nESPEC,DATOS!$E18505,nASIG,DATOS!$I18505,nEVAL,"OR")=0))</f>
      </c>
      <c r="I18505">
        <f>IF(DATOS!$I18505="","",IFERROR(VLOOKUP(DATOS!$I18505,CONFIG_ASIGNATURAS!$B$2:$J$91,9,FALSE()),""))</f>
      </c>
    </row>
    <row r="18506">
      <c r="F18506">
        <f>IF(DATOS!$A18506="","",DATOS!$A18506&amp;"|"&amp;DATOS!$D18506&amp;"|"&amp;DATOS!$E18506&amp;"|"&amp;DATOS!$I18506)</f>
      </c>
      <c r="G18506">
        <f>IF(DATOS!$A18506="",0,IF(CONFIG_METADATA!$B$4&lt;&gt;"OR+EX",--(DATOS!$G18506=CONFIG_METADATA!$B$4),IF(DATOS!$G18506="EX",1,IF(DATOS!$G18506="OR",--(COUNTIFS(nNIA,DATOS!$A18506,nCURSO,DATOS!$D18506,nESPEC,DATOS!$E18506,nASIG,DATOS!$I18506,nEVAL,"EX")=0),0))))</f>
      </c>
      <c r="H18506">
        <f>IF(DATOS!$G18506&lt;&gt;"EX",0,--(COUNTIFS(nNIA,DATOS!$A18506,nCURSO,DATOS!$D18506,nESPEC,DATOS!$E18506,nASIG,DATOS!$I18506,nEVAL,"OR")=0))</f>
      </c>
      <c r="I18506">
        <f>IF(DATOS!$I18506="","",IFERROR(VLOOKUP(DATOS!$I18506,CONFIG_ASIGNATURAS!$B$2:$J$91,9,FALSE()),""))</f>
      </c>
    </row>
    <row r="18507">
      <c r="F18507">
        <f>IF(DATOS!$A18507="","",DATOS!$A18507&amp;"|"&amp;DATOS!$D18507&amp;"|"&amp;DATOS!$E18507&amp;"|"&amp;DATOS!$I18507)</f>
      </c>
      <c r="G18507">
        <f>IF(DATOS!$A18507="",0,IF(CONFIG_METADATA!$B$4&lt;&gt;"OR+EX",--(DATOS!$G18507=CONFIG_METADATA!$B$4),IF(DATOS!$G18507="EX",1,IF(DATOS!$G18507="OR",--(COUNTIFS(nNIA,DATOS!$A18507,nCURSO,DATOS!$D18507,nESPEC,DATOS!$E18507,nASIG,DATOS!$I18507,nEVAL,"EX")=0),0))))</f>
      </c>
      <c r="H18507">
        <f>IF(DATOS!$G18507&lt;&gt;"EX",0,--(COUNTIFS(nNIA,DATOS!$A18507,nCURSO,DATOS!$D18507,nESPEC,DATOS!$E18507,nASIG,DATOS!$I18507,nEVAL,"OR")=0))</f>
      </c>
      <c r="I18507">
        <f>IF(DATOS!$I18507="","",IFERROR(VLOOKUP(DATOS!$I18507,CONFIG_ASIGNATURAS!$B$2:$J$91,9,FALSE()),""))</f>
      </c>
    </row>
    <row r="18508">
      <c r="F18508">
        <f>IF(DATOS!$A18508="","",DATOS!$A18508&amp;"|"&amp;DATOS!$D18508&amp;"|"&amp;DATOS!$E18508&amp;"|"&amp;DATOS!$I18508)</f>
      </c>
      <c r="G18508">
        <f>IF(DATOS!$A18508="",0,IF(CONFIG_METADATA!$B$4&lt;&gt;"OR+EX",--(DATOS!$G18508=CONFIG_METADATA!$B$4),IF(DATOS!$G18508="EX",1,IF(DATOS!$G18508="OR",--(COUNTIFS(nNIA,DATOS!$A18508,nCURSO,DATOS!$D18508,nESPEC,DATOS!$E18508,nASIG,DATOS!$I18508,nEVAL,"EX")=0),0))))</f>
      </c>
      <c r="H18508">
        <f>IF(DATOS!$G18508&lt;&gt;"EX",0,--(COUNTIFS(nNIA,DATOS!$A18508,nCURSO,DATOS!$D18508,nESPEC,DATOS!$E18508,nASIG,DATOS!$I18508,nEVAL,"OR")=0))</f>
      </c>
      <c r="I18508">
        <f>IF(DATOS!$I18508="","",IFERROR(VLOOKUP(DATOS!$I18508,CONFIG_ASIGNATURAS!$B$2:$J$91,9,FALSE()),""))</f>
      </c>
    </row>
    <row r="18509">
      <c r="F18509">
        <f>IF(DATOS!$A18509="","",DATOS!$A18509&amp;"|"&amp;DATOS!$D18509&amp;"|"&amp;DATOS!$E18509&amp;"|"&amp;DATOS!$I18509)</f>
      </c>
      <c r="G18509">
        <f>IF(DATOS!$A18509="",0,IF(CONFIG_METADATA!$B$4&lt;&gt;"OR+EX",--(DATOS!$G18509=CONFIG_METADATA!$B$4),IF(DATOS!$G18509="EX",1,IF(DATOS!$G18509="OR",--(COUNTIFS(nNIA,DATOS!$A18509,nCURSO,DATOS!$D18509,nESPEC,DATOS!$E18509,nASIG,DATOS!$I18509,nEVAL,"EX")=0),0))))</f>
      </c>
      <c r="H18509">
        <f>IF(DATOS!$G18509&lt;&gt;"EX",0,--(COUNTIFS(nNIA,DATOS!$A18509,nCURSO,DATOS!$D18509,nESPEC,DATOS!$E18509,nASIG,DATOS!$I18509,nEVAL,"OR")=0))</f>
      </c>
      <c r="I18509">
        <f>IF(DATOS!$I18509="","",IFERROR(VLOOKUP(DATOS!$I18509,CONFIG_ASIGNATURAS!$B$2:$J$91,9,FALSE()),""))</f>
      </c>
    </row>
    <row r="18510">
      <c r="F18510">
        <f>IF(DATOS!$A18510="","",DATOS!$A18510&amp;"|"&amp;DATOS!$D18510&amp;"|"&amp;DATOS!$E18510&amp;"|"&amp;DATOS!$I18510)</f>
      </c>
      <c r="G18510">
        <f>IF(DATOS!$A18510="",0,IF(CONFIG_METADATA!$B$4&lt;&gt;"OR+EX",--(DATOS!$G18510=CONFIG_METADATA!$B$4),IF(DATOS!$G18510="EX",1,IF(DATOS!$G18510="OR",--(COUNTIFS(nNIA,DATOS!$A18510,nCURSO,DATOS!$D18510,nESPEC,DATOS!$E18510,nASIG,DATOS!$I18510,nEVAL,"EX")=0),0))))</f>
      </c>
      <c r="H18510">
        <f>IF(DATOS!$G18510&lt;&gt;"EX",0,--(COUNTIFS(nNIA,DATOS!$A18510,nCURSO,DATOS!$D18510,nESPEC,DATOS!$E18510,nASIG,DATOS!$I18510,nEVAL,"OR")=0))</f>
      </c>
      <c r="I18510">
        <f>IF(DATOS!$I18510="","",IFERROR(VLOOKUP(DATOS!$I18510,CONFIG_ASIGNATURAS!$B$2:$J$91,9,FALSE()),""))</f>
      </c>
    </row>
    <row r="18511">
      <c r="F18511">
        <f>IF(DATOS!$A18511="","",DATOS!$A18511&amp;"|"&amp;DATOS!$D18511&amp;"|"&amp;DATOS!$E18511&amp;"|"&amp;DATOS!$I18511)</f>
      </c>
      <c r="G18511">
        <f>IF(DATOS!$A18511="",0,IF(CONFIG_METADATA!$B$4&lt;&gt;"OR+EX",--(DATOS!$G18511=CONFIG_METADATA!$B$4),IF(DATOS!$G18511="EX",1,IF(DATOS!$G18511="OR",--(COUNTIFS(nNIA,DATOS!$A18511,nCURSO,DATOS!$D18511,nESPEC,DATOS!$E18511,nASIG,DATOS!$I18511,nEVAL,"EX")=0),0))))</f>
      </c>
      <c r="H18511">
        <f>IF(DATOS!$G18511&lt;&gt;"EX",0,--(COUNTIFS(nNIA,DATOS!$A18511,nCURSO,DATOS!$D18511,nESPEC,DATOS!$E18511,nASIG,DATOS!$I18511,nEVAL,"OR")=0))</f>
      </c>
      <c r="I18511">
        <f>IF(DATOS!$I18511="","",IFERROR(VLOOKUP(DATOS!$I18511,CONFIG_ASIGNATURAS!$B$2:$J$91,9,FALSE()),""))</f>
      </c>
    </row>
    <row r="18512">
      <c r="F18512">
        <f>IF(DATOS!$A18512="","",DATOS!$A18512&amp;"|"&amp;DATOS!$D18512&amp;"|"&amp;DATOS!$E18512&amp;"|"&amp;DATOS!$I18512)</f>
      </c>
      <c r="G18512">
        <f>IF(DATOS!$A18512="",0,IF(CONFIG_METADATA!$B$4&lt;&gt;"OR+EX",--(DATOS!$G18512=CONFIG_METADATA!$B$4),IF(DATOS!$G18512="EX",1,IF(DATOS!$G18512="OR",--(COUNTIFS(nNIA,DATOS!$A18512,nCURSO,DATOS!$D18512,nESPEC,DATOS!$E18512,nASIG,DATOS!$I18512,nEVAL,"EX")=0),0))))</f>
      </c>
      <c r="H18512">
        <f>IF(DATOS!$G18512&lt;&gt;"EX",0,--(COUNTIFS(nNIA,DATOS!$A18512,nCURSO,DATOS!$D18512,nESPEC,DATOS!$E18512,nASIG,DATOS!$I18512,nEVAL,"OR")=0))</f>
      </c>
      <c r="I18512">
        <f>IF(DATOS!$I18512="","",IFERROR(VLOOKUP(DATOS!$I18512,CONFIG_ASIGNATURAS!$B$2:$J$91,9,FALSE()),""))</f>
      </c>
    </row>
    <row r="18513">
      <c r="F18513">
        <f>IF(DATOS!$A18513="","",DATOS!$A18513&amp;"|"&amp;DATOS!$D18513&amp;"|"&amp;DATOS!$E18513&amp;"|"&amp;DATOS!$I18513)</f>
      </c>
      <c r="G18513">
        <f>IF(DATOS!$A18513="",0,IF(CONFIG_METADATA!$B$4&lt;&gt;"OR+EX",--(DATOS!$G18513=CONFIG_METADATA!$B$4),IF(DATOS!$G18513="EX",1,IF(DATOS!$G18513="OR",--(COUNTIFS(nNIA,DATOS!$A18513,nCURSO,DATOS!$D18513,nESPEC,DATOS!$E18513,nASIG,DATOS!$I18513,nEVAL,"EX")=0),0))))</f>
      </c>
      <c r="H18513">
        <f>IF(DATOS!$G18513&lt;&gt;"EX",0,--(COUNTIFS(nNIA,DATOS!$A18513,nCURSO,DATOS!$D18513,nESPEC,DATOS!$E18513,nASIG,DATOS!$I18513,nEVAL,"OR")=0))</f>
      </c>
      <c r="I18513">
        <f>IF(DATOS!$I18513="","",IFERROR(VLOOKUP(DATOS!$I18513,CONFIG_ASIGNATURAS!$B$2:$J$91,9,FALSE()),""))</f>
      </c>
    </row>
    <row r="18514">
      <c r="F18514">
        <f>IF(DATOS!$A18514="","",DATOS!$A18514&amp;"|"&amp;DATOS!$D18514&amp;"|"&amp;DATOS!$E18514&amp;"|"&amp;DATOS!$I18514)</f>
      </c>
      <c r="G18514">
        <f>IF(DATOS!$A18514="",0,IF(CONFIG_METADATA!$B$4&lt;&gt;"OR+EX",--(DATOS!$G18514=CONFIG_METADATA!$B$4),IF(DATOS!$G18514="EX",1,IF(DATOS!$G18514="OR",--(COUNTIFS(nNIA,DATOS!$A18514,nCURSO,DATOS!$D18514,nESPEC,DATOS!$E18514,nASIG,DATOS!$I18514,nEVAL,"EX")=0),0))))</f>
      </c>
      <c r="H18514">
        <f>IF(DATOS!$G18514&lt;&gt;"EX",0,--(COUNTIFS(nNIA,DATOS!$A18514,nCURSO,DATOS!$D18514,nESPEC,DATOS!$E18514,nASIG,DATOS!$I18514,nEVAL,"OR")=0))</f>
      </c>
      <c r="I18514">
        <f>IF(DATOS!$I18514="","",IFERROR(VLOOKUP(DATOS!$I18514,CONFIG_ASIGNATURAS!$B$2:$J$91,9,FALSE()),""))</f>
      </c>
    </row>
    <row r="18515">
      <c r="F18515">
        <f>IF(DATOS!$A18515="","",DATOS!$A18515&amp;"|"&amp;DATOS!$D18515&amp;"|"&amp;DATOS!$E18515&amp;"|"&amp;DATOS!$I18515)</f>
      </c>
      <c r="G18515">
        <f>IF(DATOS!$A18515="",0,IF(CONFIG_METADATA!$B$4&lt;&gt;"OR+EX",--(DATOS!$G18515=CONFIG_METADATA!$B$4),IF(DATOS!$G18515="EX",1,IF(DATOS!$G18515="OR",--(COUNTIFS(nNIA,DATOS!$A18515,nCURSO,DATOS!$D18515,nESPEC,DATOS!$E18515,nASIG,DATOS!$I18515,nEVAL,"EX")=0),0))))</f>
      </c>
      <c r="H18515">
        <f>IF(DATOS!$G18515&lt;&gt;"EX",0,--(COUNTIFS(nNIA,DATOS!$A18515,nCURSO,DATOS!$D18515,nESPEC,DATOS!$E18515,nASIG,DATOS!$I18515,nEVAL,"OR")=0))</f>
      </c>
      <c r="I18515">
        <f>IF(DATOS!$I18515="","",IFERROR(VLOOKUP(DATOS!$I18515,CONFIG_ASIGNATURAS!$B$2:$J$91,9,FALSE()),""))</f>
      </c>
    </row>
    <row r="18516">
      <c r="F18516">
        <f>IF(DATOS!$A18516="","",DATOS!$A18516&amp;"|"&amp;DATOS!$D18516&amp;"|"&amp;DATOS!$E18516&amp;"|"&amp;DATOS!$I18516)</f>
      </c>
      <c r="G18516">
        <f>IF(DATOS!$A18516="",0,IF(CONFIG_METADATA!$B$4&lt;&gt;"OR+EX",--(DATOS!$G18516=CONFIG_METADATA!$B$4),IF(DATOS!$G18516="EX",1,IF(DATOS!$G18516="OR",--(COUNTIFS(nNIA,DATOS!$A18516,nCURSO,DATOS!$D18516,nESPEC,DATOS!$E18516,nASIG,DATOS!$I18516,nEVAL,"EX")=0),0))))</f>
      </c>
      <c r="H18516">
        <f>IF(DATOS!$G18516&lt;&gt;"EX",0,--(COUNTIFS(nNIA,DATOS!$A18516,nCURSO,DATOS!$D18516,nESPEC,DATOS!$E18516,nASIG,DATOS!$I18516,nEVAL,"OR")=0))</f>
      </c>
      <c r="I18516">
        <f>IF(DATOS!$I18516="","",IFERROR(VLOOKUP(DATOS!$I18516,CONFIG_ASIGNATURAS!$B$2:$J$91,9,FALSE()),""))</f>
      </c>
    </row>
    <row r="18517">
      <c r="F18517">
        <f>IF(DATOS!$A18517="","",DATOS!$A18517&amp;"|"&amp;DATOS!$D18517&amp;"|"&amp;DATOS!$E18517&amp;"|"&amp;DATOS!$I18517)</f>
      </c>
      <c r="G18517">
        <f>IF(DATOS!$A18517="",0,IF(CONFIG_METADATA!$B$4&lt;&gt;"OR+EX",--(DATOS!$G18517=CONFIG_METADATA!$B$4),IF(DATOS!$G18517="EX",1,IF(DATOS!$G18517="OR",--(COUNTIFS(nNIA,DATOS!$A18517,nCURSO,DATOS!$D18517,nESPEC,DATOS!$E18517,nASIG,DATOS!$I18517,nEVAL,"EX")=0),0))))</f>
      </c>
      <c r="H18517">
        <f>IF(DATOS!$G18517&lt;&gt;"EX",0,--(COUNTIFS(nNIA,DATOS!$A18517,nCURSO,DATOS!$D18517,nESPEC,DATOS!$E18517,nASIG,DATOS!$I18517,nEVAL,"OR")=0))</f>
      </c>
      <c r="I18517">
        <f>IF(DATOS!$I18517="","",IFERROR(VLOOKUP(DATOS!$I18517,CONFIG_ASIGNATURAS!$B$2:$J$91,9,FALSE()),""))</f>
      </c>
    </row>
    <row r="18518">
      <c r="F18518">
        <f>IF(DATOS!$A18518="","",DATOS!$A18518&amp;"|"&amp;DATOS!$D18518&amp;"|"&amp;DATOS!$E18518&amp;"|"&amp;DATOS!$I18518)</f>
      </c>
      <c r="G18518">
        <f>IF(DATOS!$A18518="",0,IF(CONFIG_METADATA!$B$4&lt;&gt;"OR+EX",--(DATOS!$G18518=CONFIG_METADATA!$B$4),IF(DATOS!$G18518="EX",1,IF(DATOS!$G18518="OR",--(COUNTIFS(nNIA,DATOS!$A18518,nCURSO,DATOS!$D18518,nESPEC,DATOS!$E18518,nASIG,DATOS!$I18518,nEVAL,"EX")=0),0))))</f>
      </c>
      <c r="H18518">
        <f>IF(DATOS!$G18518&lt;&gt;"EX",0,--(COUNTIFS(nNIA,DATOS!$A18518,nCURSO,DATOS!$D18518,nESPEC,DATOS!$E18518,nASIG,DATOS!$I18518,nEVAL,"OR")=0))</f>
      </c>
      <c r="I18518">
        <f>IF(DATOS!$I18518="","",IFERROR(VLOOKUP(DATOS!$I18518,CONFIG_ASIGNATURAS!$B$2:$J$91,9,FALSE()),""))</f>
      </c>
    </row>
    <row r="18519">
      <c r="F18519">
        <f>IF(DATOS!$A18519="","",DATOS!$A18519&amp;"|"&amp;DATOS!$D18519&amp;"|"&amp;DATOS!$E18519&amp;"|"&amp;DATOS!$I18519)</f>
      </c>
      <c r="G18519">
        <f>IF(DATOS!$A18519="",0,IF(CONFIG_METADATA!$B$4&lt;&gt;"OR+EX",--(DATOS!$G18519=CONFIG_METADATA!$B$4),IF(DATOS!$G18519="EX",1,IF(DATOS!$G18519="OR",--(COUNTIFS(nNIA,DATOS!$A18519,nCURSO,DATOS!$D18519,nESPEC,DATOS!$E18519,nASIG,DATOS!$I18519,nEVAL,"EX")=0),0))))</f>
      </c>
      <c r="H18519">
        <f>IF(DATOS!$G18519&lt;&gt;"EX",0,--(COUNTIFS(nNIA,DATOS!$A18519,nCURSO,DATOS!$D18519,nESPEC,DATOS!$E18519,nASIG,DATOS!$I18519,nEVAL,"OR")=0))</f>
      </c>
      <c r="I18519">
        <f>IF(DATOS!$I18519="","",IFERROR(VLOOKUP(DATOS!$I18519,CONFIG_ASIGNATURAS!$B$2:$J$91,9,FALSE()),""))</f>
      </c>
    </row>
    <row r="18520">
      <c r="F18520">
        <f>IF(DATOS!$A18520="","",DATOS!$A18520&amp;"|"&amp;DATOS!$D18520&amp;"|"&amp;DATOS!$E18520&amp;"|"&amp;DATOS!$I18520)</f>
      </c>
      <c r="G18520">
        <f>IF(DATOS!$A18520="",0,IF(CONFIG_METADATA!$B$4&lt;&gt;"OR+EX",--(DATOS!$G18520=CONFIG_METADATA!$B$4),IF(DATOS!$G18520="EX",1,IF(DATOS!$G18520="OR",--(COUNTIFS(nNIA,DATOS!$A18520,nCURSO,DATOS!$D18520,nESPEC,DATOS!$E18520,nASIG,DATOS!$I18520,nEVAL,"EX")=0),0))))</f>
      </c>
      <c r="H18520">
        <f>IF(DATOS!$G18520&lt;&gt;"EX",0,--(COUNTIFS(nNIA,DATOS!$A18520,nCURSO,DATOS!$D18520,nESPEC,DATOS!$E18520,nASIG,DATOS!$I18520,nEVAL,"OR")=0))</f>
      </c>
      <c r="I18520">
        <f>IF(DATOS!$I18520="","",IFERROR(VLOOKUP(DATOS!$I18520,CONFIG_ASIGNATURAS!$B$2:$J$91,9,FALSE()),""))</f>
      </c>
    </row>
    <row r="18521">
      <c r="F18521">
        <f>IF(DATOS!$A18521="","",DATOS!$A18521&amp;"|"&amp;DATOS!$D18521&amp;"|"&amp;DATOS!$E18521&amp;"|"&amp;DATOS!$I18521)</f>
      </c>
      <c r="G18521">
        <f>IF(DATOS!$A18521="",0,IF(CONFIG_METADATA!$B$4&lt;&gt;"OR+EX",--(DATOS!$G18521=CONFIG_METADATA!$B$4),IF(DATOS!$G18521="EX",1,IF(DATOS!$G18521="OR",--(COUNTIFS(nNIA,DATOS!$A18521,nCURSO,DATOS!$D18521,nESPEC,DATOS!$E18521,nASIG,DATOS!$I18521,nEVAL,"EX")=0),0))))</f>
      </c>
      <c r="H18521">
        <f>IF(DATOS!$G18521&lt;&gt;"EX",0,--(COUNTIFS(nNIA,DATOS!$A18521,nCURSO,DATOS!$D18521,nESPEC,DATOS!$E18521,nASIG,DATOS!$I18521,nEVAL,"OR")=0))</f>
      </c>
      <c r="I18521">
        <f>IF(DATOS!$I18521="","",IFERROR(VLOOKUP(DATOS!$I18521,CONFIG_ASIGNATURAS!$B$2:$J$91,9,FALSE()),""))</f>
      </c>
    </row>
    <row r="18522">
      <c r="F18522">
        <f>IF(DATOS!$A18522="","",DATOS!$A18522&amp;"|"&amp;DATOS!$D18522&amp;"|"&amp;DATOS!$E18522&amp;"|"&amp;DATOS!$I18522)</f>
      </c>
      <c r="G18522">
        <f>IF(DATOS!$A18522="",0,IF(CONFIG_METADATA!$B$4&lt;&gt;"OR+EX",--(DATOS!$G18522=CONFIG_METADATA!$B$4),IF(DATOS!$G18522="EX",1,IF(DATOS!$G18522="OR",--(COUNTIFS(nNIA,DATOS!$A18522,nCURSO,DATOS!$D18522,nESPEC,DATOS!$E18522,nASIG,DATOS!$I18522,nEVAL,"EX")=0),0))))</f>
      </c>
      <c r="H18522">
        <f>IF(DATOS!$G18522&lt;&gt;"EX",0,--(COUNTIFS(nNIA,DATOS!$A18522,nCURSO,DATOS!$D18522,nESPEC,DATOS!$E18522,nASIG,DATOS!$I18522,nEVAL,"OR")=0))</f>
      </c>
      <c r="I18522">
        <f>IF(DATOS!$I18522="","",IFERROR(VLOOKUP(DATOS!$I18522,CONFIG_ASIGNATURAS!$B$2:$J$91,9,FALSE()),""))</f>
      </c>
    </row>
    <row r="18523">
      <c r="F18523">
        <f>IF(DATOS!$A18523="","",DATOS!$A18523&amp;"|"&amp;DATOS!$D18523&amp;"|"&amp;DATOS!$E18523&amp;"|"&amp;DATOS!$I18523)</f>
      </c>
      <c r="G18523">
        <f>IF(DATOS!$A18523="",0,IF(CONFIG_METADATA!$B$4&lt;&gt;"OR+EX",--(DATOS!$G18523=CONFIG_METADATA!$B$4),IF(DATOS!$G18523="EX",1,IF(DATOS!$G18523="OR",--(COUNTIFS(nNIA,DATOS!$A18523,nCURSO,DATOS!$D18523,nESPEC,DATOS!$E18523,nASIG,DATOS!$I18523,nEVAL,"EX")=0),0))))</f>
      </c>
      <c r="H18523">
        <f>IF(DATOS!$G18523&lt;&gt;"EX",0,--(COUNTIFS(nNIA,DATOS!$A18523,nCURSO,DATOS!$D18523,nESPEC,DATOS!$E18523,nASIG,DATOS!$I18523,nEVAL,"OR")=0))</f>
      </c>
      <c r="I18523">
        <f>IF(DATOS!$I18523="","",IFERROR(VLOOKUP(DATOS!$I18523,CONFIG_ASIGNATURAS!$B$2:$J$91,9,FALSE()),""))</f>
      </c>
    </row>
    <row r="18524">
      <c r="F18524">
        <f>IF(DATOS!$A18524="","",DATOS!$A18524&amp;"|"&amp;DATOS!$D18524&amp;"|"&amp;DATOS!$E18524&amp;"|"&amp;DATOS!$I18524)</f>
      </c>
      <c r="G18524">
        <f>IF(DATOS!$A18524="",0,IF(CONFIG_METADATA!$B$4&lt;&gt;"OR+EX",--(DATOS!$G18524=CONFIG_METADATA!$B$4),IF(DATOS!$G18524="EX",1,IF(DATOS!$G18524="OR",--(COUNTIFS(nNIA,DATOS!$A18524,nCURSO,DATOS!$D18524,nESPEC,DATOS!$E18524,nASIG,DATOS!$I18524,nEVAL,"EX")=0),0))))</f>
      </c>
      <c r="H18524">
        <f>IF(DATOS!$G18524&lt;&gt;"EX",0,--(COUNTIFS(nNIA,DATOS!$A18524,nCURSO,DATOS!$D18524,nESPEC,DATOS!$E18524,nASIG,DATOS!$I18524,nEVAL,"OR")=0))</f>
      </c>
      <c r="I18524">
        <f>IF(DATOS!$I18524="","",IFERROR(VLOOKUP(DATOS!$I18524,CONFIG_ASIGNATURAS!$B$2:$J$91,9,FALSE()),""))</f>
      </c>
    </row>
    <row r="18525">
      <c r="F18525">
        <f>IF(DATOS!$A18525="","",DATOS!$A18525&amp;"|"&amp;DATOS!$D18525&amp;"|"&amp;DATOS!$E18525&amp;"|"&amp;DATOS!$I18525)</f>
      </c>
      <c r="G18525">
        <f>IF(DATOS!$A18525="",0,IF(CONFIG_METADATA!$B$4&lt;&gt;"OR+EX",--(DATOS!$G18525=CONFIG_METADATA!$B$4),IF(DATOS!$G18525="EX",1,IF(DATOS!$G18525="OR",--(COUNTIFS(nNIA,DATOS!$A18525,nCURSO,DATOS!$D18525,nESPEC,DATOS!$E18525,nASIG,DATOS!$I18525,nEVAL,"EX")=0),0))))</f>
      </c>
      <c r="H18525">
        <f>IF(DATOS!$G18525&lt;&gt;"EX",0,--(COUNTIFS(nNIA,DATOS!$A18525,nCURSO,DATOS!$D18525,nESPEC,DATOS!$E18525,nASIG,DATOS!$I18525,nEVAL,"OR")=0))</f>
      </c>
      <c r="I18525">
        <f>IF(DATOS!$I18525="","",IFERROR(VLOOKUP(DATOS!$I18525,CONFIG_ASIGNATURAS!$B$2:$J$91,9,FALSE()),""))</f>
      </c>
    </row>
    <row r="18526">
      <c r="F18526">
        <f>IF(DATOS!$A18526="","",DATOS!$A18526&amp;"|"&amp;DATOS!$D18526&amp;"|"&amp;DATOS!$E18526&amp;"|"&amp;DATOS!$I18526)</f>
      </c>
      <c r="G18526">
        <f>IF(DATOS!$A18526="",0,IF(CONFIG_METADATA!$B$4&lt;&gt;"OR+EX",--(DATOS!$G18526=CONFIG_METADATA!$B$4),IF(DATOS!$G18526="EX",1,IF(DATOS!$G18526="OR",--(COUNTIFS(nNIA,DATOS!$A18526,nCURSO,DATOS!$D18526,nESPEC,DATOS!$E18526,nASIG,DATOS!$I18526,nEVAL,"EX")=0),0))))</f>
      </c>
      <c r="H18526">
        <f>IF(DATOS!$G18526&lt;&gt;"EX",0,--(COUNTIFS(nNIA,DATOS!$A18526,nCURSO,DATOS!$D18526,nESPEC,DATOS!$E18526,nASIG,DATOS!$I18526,nEVAL,"OR")=0))</f>
      </c>
      <c r="I18526">
        <f>IF(DATOS!$I18526="","",IFERROR(VLOOKUP(DATOS!$I18526,CONFIG_ASIGNATURAS!$B$2:$J$91,9,FALSE()),""))</f>
      </c>
    </row>
    <row r="18527">
      <c r="F18527">
        <f>IF(DATOS!$A18527="","",DATOS!$A18527&amp;"|"&amp;DATOS!$D18527&amp;"|"&amp;DATOS!$E18527&amp;"|"&amp;DATOS!$I18527)</f>
      </c>
      <c r="G18527">
        <f>IF(DATOS!$A18527="",0,IF(CONFIG_METADATA!$B$4&lt;&gt;"OR+EX",--(DATOS!$G18527=CONFIG_METADATA!$B$4),IF(DATOS!$G18527="EX",1,IF(DATOS!$G18527="OR",--(COUNTIFS(nNIA,DATOS!$A18527,nCURSO,DATOS!$D18527,nESPEC,DATOS!$E18527,nASIG,DATOS!$I18527,nEVAL,"EX")=0),0))))</f>
      </c>
      <c r="H18527">
        <f>IF(DATOS!$G18527&lt;&gt;"EX",0,--(COUNTIFS(nNIA,DATOS!$A18527,nCURSO,DATOS!$D18527,nESPEC,DATOS!$E18527,nASIG,DATOS!$I18527,nEVAL,"OR")=0))</f>
      </c>
      <c r="I18527">
        <f>IF(DATOS!$I18527="","",IFERROR(VLOOKUP(DATOS!$I18527,CONFIG_ASIGNATURAS!$B$2:$J$91,9,FALSE()),""))</f>
      </c>
    </row>
    <row r="18528">
      <c r="F18528">
        <f>IF(DATOS!$A18528="","",DATOS!$A18528&amp;"|"&amp;DATOS!$D18528&amp;"|"&amp;DATOS!$E18528&amp;"|"&amp;DATOS!$I18528)</f>
      </c>
      <c r="G18528">
        <f>IF(DATOS!$A18528="",0,IF(CONFIG_METADATA!$B$4&lt;&gt;"OR+EX",--(DATOS!$G18528=CONFIG_METADATA!$B$4),IF(DATOS!$G18528="EX",1,IF(DATOS!$G18528="OR",--(COUNTIFS(nNIA,DATOS!$A18528,nCURSO,DATOS!$D18528,nESPEC,DATOS!$E18528,nASIG,DATOS!$I18528,nEVAL,"EX")=0),0))))</f>
      </c>
      <c r="H18528">
        <f>IF(DATOS!$G18528&lt;&gt;"EX",0,--(COUNTIFS(nNIA,DATOS!$A18528,nCURSO,DATOS!$D18528,nESPEC,DATOS!$E18528,nASIG,DATOS!$I18528,nEVAL,"OR")=0))</f>
      </c>
      <c r="I18528">
        <f>IF(DATOS!$I18528="","",IFERROR(VLOOKUP(DATOS!$I18528,CONFIG_ASIGNATURAS!$B$2:$J$91,9,FALSE()),""))</f>
      </c>
    </row>
    <row r="18529">
      <c r="F18529">
        <f>IF(DATOS!$A18529="","",DATOS!$A18529&amp;"|"&amp;DATOS!$D18529&amp;"|"&amp;DATOS!$E18529&amp;"|"&amp;DATOS!$I18529)</f>
      </c>
      <c r="G18529">
        <f>IF(DATOS!$A18529="",0,IF(CONFIG_METADATA!$B$4&lt;&gt;"OR+EX",--(DATOS!$G18529=CONFIG_METADATA!$B$4),IF(DATOS!$G18529="EX",1,IF(DATOS!$G18529="OR",--(COUNTIFS(nNIA,DATOS!$A18529,nCURSO,DATOS!$D18529,nESPEC,DATOS!$E18529,nASIG,DATOS!$I18529,nEVAL,"EX")=0),0))))</f>
      </c>
      <c r="H18529">
        <f>IF(DATOS!$G18529&lt;&gt;"EX",0,--(COUNTIFS(nNIA,DATOS!$A18529,nCURSO,DATOS!$D18529,nESPEC,DATOS!$E18529,nASIG,DATOS!$I18529,nEVAL,"OR")=0))</f>
      </c>
      <c r="I18529">
        <f>IF(DATOS!$I18529="","",IFERROR(VLOOKUP(DATOS!$I18529,CONFIG_ASIGNATURAS!$B$2:$J$91,9,FALSE()),""))</f>
      </c>
    </row>
    <row r="18530">
      <c r="F18530">
        <f>IF(DATOS!$A18530="","",DATOS!$A18530&amp;"|"&amp;DATOS!$D18530&amp;"|"&amp;DATOS!$E18530&amp;"|"&amp;DATOS!$I18530)</f>
      </c>
      <c r="G18530">
        <f>IF(DATOS!$A18530="",0,IF(CONFIG_METADATA!$B$4&lt;&gt;"OR+EX",--(DATOS!$G18530=CONFIG_METADATA!$B$4),IF(DATOS!$G18530="EX",1,IF(DATOS!$G18530="OR",--(COUNTIFS(nNIA,DATOS!$A18530,nCURSO,DATOS!$D18530,nESPEC,DATOS!$E18530,nASIG,DATOS!$I18530,nEVAL,"EX")=0),0))))</f>
      </c>
      <c r="H18530">
        <f>IF(DATOS!$G18530&lt;&gt;"EX",0,--(COUNTIFS(nNIA,DATOS!$A18530,nCURSO,DATOS!$D18530,nESPEC,DATOS!$E18530,nASIG,DATOS!$I18530,nEVAL,"OR")=0))</f>
      </c>
      <c r="I18530">
        <f>IF(DATOS!$I18530="","",IFERROR(VLOOKUP(DATOS!$I18530,CONFIG_ASIGNATURAS!$B$2:$J$91,9,FALSE()),""))</f>
      </c>
    </row>
    <row r="18531">
      <c r="F18531">
        <f>IF(DATOS!$A18531="","",DATOS!$A18531&amp;"|"&amp;DATOS!$D18531&amp;"|"&amp;DATOS!$E18531&amp;"|"&amp;DATOS!$I18531)</f>
      </c>
      <c r="G18531">
        <f>IF(DATOS!$A18531="",0,IF(CONFIG_METADATA!$B$4&lt;&gt;"OR+EX",--(DATOS!$G18531=CONFIG_METADATA!$B$4),IF(DATOS!$G18531="EX",1,IF(DATOS!$G18531="OR",--(COUNTIFS(nNIA,DATOS!$A18531,nCURSO,DATOS!$D18531,nESPEC,DATOS!$E18531,nASIG,DATOS!$I18531,nEVAL,"EX")=0),0))))</f>
      </c>
      <c r="H18531">
        <f>IF(DATOS!$G18531&lt;&gt;"EX",0,--(COUNTIFS(nNIA,DATOS!$A18531,nCURSO,DATOS!$D18531,nESPEC,DATOS!$E18531,nASIG,DATOS!$I18531,nEVAL,"OR")=0))</f>
      </c>
      <c r="I18531">
        <f>IF(DATOS!$I18531="","",IFERROR(VLOOKUP(DATOS!$I18531,CONFIG_ASIGNATURAS!$B$2:$J$91,9,FALSE()),""))</f>
      </c>
    </row>
    <row r="18532">
      <c r="F18532">
        <f>IF(DATOS!$A18532="","",DATOS!$A18532&amp;"|"&amp;DATOS!$D18532&amp;"|"&amp;DATOS!$E18532&amp;"|"&amp;DATOS!$I18532)</f>
      </c>
      <c r="G18532">
        <f>IF(DATOS!$A18532="",0,IF(CONFIG_METADATA!$B$4&lt;&gt;"OR+EX",--(DATOS!$G18532=CONFIG_METADATA!$B$4),IF(DATOS!$G18532="EX",1,IF(DATOS!$G18532="OR",--(COUNTIFS(nNIA,DATOS!$A18532,nCURSO,DATOS!$D18532,nESPEC,DATOS!$E18532,nASIG,DATOS!$I18532,nEVAL,"EX")=0),0))))</f>
      </c>
      <c r="H18532">
        <f>IF(DATOS!$G18532&lt;&gt;"EX",0,--(COUNTIFS(nNIA,DATOS!$A18532,nCURSO,DATOS!$D18532,nESPEC,DATOS!$E18532,nASIG,DATOS!$I18532,nEVAL,"OR")=0))</f>
      </c>
      <c r="I18532">
        <f>IF(DATOS!$I18532="","",IFERROR(VLOOKUP(DATOS!$I18532,CONFIG_ASIGNATURAS!$B$2:$J$91,9,FALSE()),""))</f>
      </c>
    </row>
    <row r="18533">
      <c r="F18533">
        <f>IF(DATOS!$A18533="","",DATOS!$A18533&amp;"|"&amp;DATOS!$D18533&amp;"|"&amp;DATOS!$E18533&amp;"|"&amp;DATOS!$I18533)</f>
      </c>
      <c r="G18533">
        <f>IF(DATOS!$A18533="",0,IF(CONFIG_METADATA!$B$4&lt;&gt;"OR+EX",--(DATOS!$G18533=CONFIG_METADATA!$B$4),IF(DATOS!$G18533="EX",1,IF(DATOS!$G18533="OR",--(COUNTIFS(nNIA,DATOS!$A18533,nCURSO,DATOS!$D18533,nESPEC,DATOS!$E18533,nASIG,DATOS!$I18533,nEVAL,"EX")=0),0))))</f>
      </c>
      <c r="H18533">
        <f>IF(DATOS!$G18533&lt;&gt;"EX",0,--(COUNTIFS(nNIA,DATOS!$A18533,nCURSO,DATOS!$D18533,nESPEC,DATOS!$E18533,nASIG,DATOS!$I18533,nEVAL,"OR")=0))</f>
      </c>
      <c r="I18533">
        <f>IF(DATOS!$I18533="","",IFERROR(VLOOKUP(DATOS!$I18533,CONFIG_ASIGNATURAS!$B$2:$J$91,9,FALSE()),""))</f>
      </c>
    </row>
    <row r="18534">
      <c r="F18534">
        <f>IF(DATOS!$A18534="","",DATOS!$A18534&amp;"|"&amp;DATOS!$D18534&amp;"|"&amp;DATOS!$E18534&amp;"|"&amp;DATOS!$I18534)</f>
      </c>
      <c r="G18534">
        <f>IF(DATOS!$A18534="",0,IF(CONFIG_METADATA!$B$4&lt;&gt;"OR+EX",--(DATOS!$G18534=CONFIG_METADATA!$B$4),IF(DATOS!$G18534="EX",1,IF(DATOS!$G18534="OR",--(COUNTIFS(nNIA,DATOS!$A18534,nCURSO,DATOS!$D18534,nESPEC,DATOS!$E18534,nASIG,DATOS!$I18534,nEVAL,"EX")=0),0))))</f>
      </c>
      <c r="H18534">
        <f>IF(DATOS!$G18534&lt;&gt;"EX",0,--(COUNTIFS(nNIA,DATOS!$A18534,nCURSO,DATOS!$D18534,nESPEC,DATOS!$E18534,nASIG,DATOS!$I18534,nEVAL,"OR")=0))</f>
      </c>
      <c r="I18534">
        <f>IF(DATOS!$I18534="","",IFERROR(VLOOKUP(DATOS!$I18534,CONFIG_ASIGNATURAS!$B$2:$J$91,9,FALSE()),""))</f>
      </c>
    </row>
    <row r="18535">
      <c r="F18535">
        <f>IF(DATOS!$A18535="","",DATOS!$A18535&amp;"|"&amp;DATOS!$D18535&amp;"|"&amp;DATOS!$E18535&amp;"|"&amp;DATOS!$I18535)</f>
      </c>
      <c r="G18535">
        <f>IF(DATOS!$A18535="",0,IF(CONFIG_METADATA!$B$4&lt;&gt;"OR+EX",--(DATOS!$G18535=CONFIG_METADATA!$B$4),IF(DATOS!$G18535="EX",1,IF(DATOS!$G18535="OR",--(COUNTIFS(nNIA,DATOS!$A18535,nCURSO,DATOS!$D18535,nESPEC,DATOS!$E18535,nASIG,DATOS!$I18535,nEVAL,"EX")=0),0))))</f>
      </c>
      <c r="H18535">
        <f>IF(DATOS!$G18535&lt;&gt;"EX",0,--(COUNTIFS(nNIA,DATOS!$A18535,nCURSO,DATOS!$D18535,nESPEC,DATOS!$E18535,nASIG,DATOS!$I18535,nEVAL,"OR")=0))</f>
      </c>
      <c r="I18535">
        <f>IF(DATOS!$I18535="","",IFERROR(VLOOKUP(DATOS!$I18535,CONFIG_ASIGNATURAS!$B$2:$J$91,9,FALSE()),""))</f>
      </c>
    </row>
    <row r="18536">
      <c r="F18536">
        <f>IF(DATOS!$A18536="","",DATOS!$A18536&amp;"|"&amp;DATOS!$D18536&amp;"|"&amp;DATOS!$E18536&amp;"|"&amp;DATOS!$I18536)</f>
      </c>
      <c r="G18536">
        <f>IF(DATOS!$A18536="",0,IF(CONFIG_METADATA!$B$4&lt;&gt;"OR+EX",--(DATOS!$G18536=CONFIG_METADATA!$B$4),IF(DATOS!$G18536="EX",1,IF(DATOS!$G18536="OR",--(COUNTIFS(nNIA,DATOS!$A18536,nCURSO,DATOS!$D18536,nESPEC,DATOS!$E18536,nASIG,DATOS!$I18536,nEVAL,"EX")=0),0))))</f>
      </c>
      <c r="H18536">
        <f>IF(DATOS!$G18536&lt;&gt;"EX",0,--(COUNTIFS(nNIA,DATOS!$A18536,nCURSO,DATOS!$D18536,nESPEC,DATOS!$E18536,nASIG,DATOS!$I18536,nEVAL,"OR")=0))</f>
      </c>
      <c r="I18536">
        <f>IF(DATOS!$I18536="","",IFERROR(VLOOKUP(DATOS!$I18536,CONFIG_ASIGNATURAS!$B$2:$J$91,9,FALSE()),""))</f>
      </c>
    </row>
    <row r="18537">
      <c r="F18537">
        <f>IF(DATOS!$A18537="","",DATOS!$A18537&amp;"|"&amp;DATOS!$D18537&amp;"|"&amp;DATOS!$E18537&amp;"|"&amp;DATOS!$I18537)</f>
      </c>
      <c r="G18537">
        <f>IF(DATOS!$A18537="",0,IF(CONFIG_METADATA!$B$4&lt;&gt;"OR+EX",--(DATOS!$G18537=CONFIG_METADATA!$B$4),IF(DATOS!$G18537="EX",1,IF(DATOS!$G18537="OR",--(COUNTIFS(nNIA,DATOS!$A18537,nCURSO,DATOS!$D18537,nESPEC,DATOS!$E18537,nASIG,DATOS!$I18537,nEVAL,"EX")=0),0))))</f>
      </c>
      <c r="H18537">
        <f>IF(DATOS!$G18537&lt;&gt;"EX",0,--(COUNTIFS(nNIA,DATOS!$A18537,nCURSO,DATOS!$D18537,nESPEC,DATOS!$E18537,nASIG,DATOS!$I18537,nEVAL,"OR")=0))</f>
      </c>
      <c r="I18537">
        <f>IF(DATOS!$I18537="","",IFERROR(VLOOKUP(DATOS!$I18537,CONFIG_ASIGNATURAS!$B$2:$J$91,9,FALSE()),""))</f>
      </c>
    </row>
    <row r="18538">
      <c r="F18538">
        <f>IF(DATOS!$A18538="","",DATOS!$A18538&amp;"|"&amp;DATOS!$D18538&amp;"|"&amp;DATOS!$E18538&amp;"|"&amp;DATOS!$I18538)</f>
      </c>
      <c r="G18538">
        <f>IF(DATOS!$A18538="",0,IF(CONFIG_METADATA!$B$4&lt;&gt;"OR+EX",--(DATOS!$G18538=CONFIG_METADATA!$B$4),IF(DATOS!$G18538="EX",1,IF(DATOS!$G18538="OR",--(COUNTIFS(nNIA,DATOS!$A18538,nCURSO,DATOS!$D18538,nESPEC,DATOS!$E18538,nASIG,DATOS!$I18538,nEVAL,"EX")=0),0))))</f>
      </c>
      <c r="H18538">
        <f>IF(DATOS!$G18538&lt;&gt;"EX",0,--(COUNTIFS(nNIA,DATOS!$A18538,nCURSO,DATOS!$D18538,nESPEC,DATOS!$E18538,nASIG,DATOS!$I18538,nEVAL,"OR")=0))</f>
      </c>
      <c r="I18538">
        <f>IF(DATOS!$I18538="","",IFERROR(VLOOKUP(DATOS!$I18538,CONFIG_ASIGNATURAS!$B$2:$J$91,9,FALSE()),""))</f>
      </c>
    </row>
    <row r="18539">
      <c r="F18539">
        <f>IF(DATOS!$A18539="","",DATOS!$A18539&amp;"|"&amp;DATOS!$D18539&amp;"|"&amp;DATOS!$E18539&amp;"|"&amp;DATOS!$I18539)</f>
      </c>
      <c r="G18539">
        <f>IF(DATOS!$A18539="",0,IF(CONFIG_METADATA!$B$4&lt;&gt;"OR+EX",--(DATOS!$G18539=CONFIG_METADATA!$B$4),IF(DATOS!$G18539="EX",1,IF(DATOS!$G18539="OR",--(COUNTIFS(nNIA,DATOS!$A18539,nCURSO,DATOS!$D18539,nESPEC,DATOS!$E18539,nASIG,DATOS!$I18539,nEVAL,"EX")=0),0))))</f>
      </c>
      <c r="H18539">
        <f>IF(DATOS!$G18539&lt;&gt;"EX",0,--(COUNTIFS(nNIA,DATOS!$A18539,nCURSO,DATOS!$D18539,nESPEC,DATOS!$E18539,nASIG,DATOS!$I18539,nEVAL,"OR")=0))</f>
      </c>
      <c r="I18539">
        <f>IF(DATOS!$I18539="","",IFERROR(VLOOKUP(DATOS!$I18539,CONFIG_ASIGNATURAS!$B$2:$J$91,9,FALSE()),""))</f>
      </c>
    </row>
    <row r="18540">
      <c r="F18540">
        <f>IF(DATOS!$A18540="","",DATOS!$A18540&amp;"|"&amp;DATOS!$D18540&amp;"|"&amp;DATOS!$E18540&amp;"|"&amp;DATOS!$I18540)</f>
      </c>
      <c r="G18540">
        <f>IF(DATOS!$A18540="",0,IF(CONFIG_METADATA!$B$4&lt;&gt;"OR+EX",--(DATOS!$G18540=CONFIG_METADATA!$B$4),IF(DATOS!$G18540="EX",1,IF(DATOS!$G18540="OR",--(COUNTIFS(nNIA,DATOS!$A18540,nCURSO,DATOS!$D18540,nESPEC,DATOS!$E18540,nASIG,DATOS!$I18540,nEVAL,"EX")=0),0))))</f>
      </c>
      <c r="H18540">
        <f>IF(DATOS!$G18540&lt;&gt;"EX",0,--(COUNTIFS(nNIA,DATOS!$A18540,nCURSO,DATOS!$D18540,nESPEC,DATOS!$E18540,nASIG,DATOS!$I18540,nEVAL,"OR")=0))</f>
      </c>
      <c r="I18540">
        <f>IF(DATOS!$I18540="","",IFERROR(VLOOKUP(DATOS!$I18540,CONFIG_ASIGNATURAS!$B$2:$J$91,9,FALSE()),""))</f>
      </c>
    </row>
    <row r="18541">
      <c r="F18541">
        <f>IF(DATOS!$A18541="","",DATOS!$A18541&amp;"|"&amp;DATOS!$D18541&amp;"|"&amp;DATOS!$E18541&amp;"|"&amp;DATOS!$I18541)</f>
      </c>
      <c r="G18541">
        <f>IF(DATOS!$A18541="",0,IF(CONFIG_METADATA!$B$4&lt;&gt;"OR+EX",--(DATOS!$G18541=CONFIG_METADATA!$B$4),IF(DATOS!$G18541="EX",1,IF(DATOS!$G18541="OR",--(COUNTIFS(nNIA,DATOS!$A18541,nCURSO,DATOS!$D18541,nESPEC,DATOS!$E18541,nASIG,DATOS!$I18541,nEVAL,"EX")=0),0))))</f>
      </c>
      <c r="H18541">
        <f>IF(DATOS!$G18541&lt;&gt;"EX",0,--(COUNTIFS(nNIA,DATOS!$A18541,nCURSO,DATOS!$D18541,nESPEC,DATOS!$E18541,nASIG,DATOS!$I18541,nEVAL,"OR")=0))</f>
      </c>
      <c r="I18541">
        <f>IF(DATOS!$I18541="","",IFERROR(VLOOKUP(DATOS!$I18541,CONFIG_ASIGNATURAS!$B$2:$J$91,9,FALSE()),""))</f>
      </c>
    </row>
    <row r="18542">
      <c r="F18542">
        <f>IF(DATOS!$A18542="","",DATOS!$A18542&amp;"|"&amp;DATOS!$D18542&amp;"|"&amp;DATOS!$E18542&amp;"|"&amp;DATOS!$I18542)</f>
      </c>
      <c r="G18542">
        <f>IF(DATOS!$A18542="",0,IF(CONFIG_METADATA!$B$4&lt;&gt;"OR+EX",--(DATOS!$G18542=CONFIG_METADATA!$B$4),IF(DATOS!$G18542="EX",1,IF(DATOS!$G18542="OR",--(COUNTIFS(nNIA,DATOS!$A18542,nCURSO,DATOS!$D18542,nESPEC,DATOS!$E18542,nASIG,DATOS!$I18542,nEVAL,"EX")=0),0))))</f>
      </c>
      <c r="H18542">
        <f>IF(DATOS!$G18542&lt;&gt;"EX",0,--(COUNTIFS(nNIA,DATOS!$A18542,nCURSO,DATOS!$D18542,nESPEC,DATOS!$E18542,nASIG,DATOS!$I18542,nEVAL,"OR")=0))</f>
      </c>
      <c r="I18542">
        <f>IF(DATOS!$I18542="","",IFERROR(VLOOKUP(DATOS!$I18542,CONFIG_ASIGNATURAS!$B$2:$J$91,9,FALSE()),""))</f>
      </c>
    </row>
    <row r="18543">
      <c r="F18543">
        <f>IF(DATOS!$A18543="","",DATOS!$A18543&amp;"|"&amp;DATOS!$D18543&amp;"|"&amp;DATOS!$E18543&amp;"|"&amp;DATOS!$I18543)</f>
      </c>
      <c r="G18543">
        <f>IF(DATOS!$A18543="",0,IF(CONFIG_METADATA!$B$4&lt;&gt;"OR+EX",--(DATOS!$G18543=CONFIG_METADATA!$B$4),IF(DATOS!$G18543="EX",1,IF(DATOS!$G18543="OR",--(COUNTIFS(nNIA,DATOS!$A18543,nCURSO,DATOS!$D18543,nESPEC,DATOS!$E18543,nASIG,DATOS!$I18543,nEVAL,"EX")=0),0))))</f>
      </c>
      <c r="H18543">
        <f>IF(DATOS!$G18543&lt;&gt;"EX",0,--(COUNTIFS(nNIA,DATOS!$A18543,nCURSO,DATOS!$D18543,nESPEC,DATOS!$E18543,nASIG,DATOS!$I18543,nEVAL,"OR")=0))</f>
      </c>
      <c r="I18543">
        <f>IF(DATOS!$I18543="","",IFERROR(VLOOKUP(DATOS!$I18543,CONFIG_ASIGNATURAS!$B$2:$J$91,9,FALSE()),""))</f>
      </c>
    </row>
    <row r="18544">
      <c r="F18544">
        <f>IF(DATOS!$A18544="","",DATOS!$A18544&amp;"|"&amp;DATOS!$D18544&amp;"|"&amp;DATOS!$E18544&amp;"|"&amp;DATOS!$I18544)</f>
      </c>
      <c r="G18544">
        <f>IF(DATOS!$A18544="",0,IF(CONFIG_METADATA!$B$4&lt;&gt;"OR+EX",--(DATOS!$G18544=CONFIG_METADATA!$B$4),IF(DATOS!$G18544="EX",1,IF(DATOS!$G18544="OR",--(COUNTIFS(nNIA,DATOS!$A18544,nCURSO,DATOS!$D18544,nESPEC,DATOS!$E18544,nASIG,DATOS!$I18544,nEVAL,"EX")=0),0))))</f>
      </c>
      <c r="H18544">
        <f>IF(DATOS!$G18544&lt;&gt;"EX",0,--(COUNTIFS(nNIA,DATOS!$A18544,nCURSO,DATOS!$D18544,nESPEC,DATOS!$E18544,nASIG,DATOS!$I18544,nEVAL,"OR")=0))</f>
      </c>
      <c r="I18544">
        <f>IF(DATOS!$I18544="","",IFERROR(VLOOKUP(DATOS!$I18544,CONFIG_ASIGNATURAS!$B$2:$J$91,9,FALSE()),""))</f>
      </c>
    </row>
    <row r="18545">
      <c r="F18545">
        <f>IF(DATOS!$A18545="","",DATOS!$A18545&amp;"|"&amp;DATOS!$D18545&amp;"|"&amp;DATOS!$E18545&amp;"|"&amp;DATOS!$I18545)</f>
      </c>
      <c r="G18545">
        <f>IF(DATOS!$A18545="",0,IF(CONFIG_METADATA!$B$4&lt;&gt;"OR+EX",--(DATOS!$G18545=CONFIG_METADATA!$B$4),IF(DATOS!$G18545="EX",1,IF(DATOS!$G18545="OR",--(COUNTIFS(nNIA,DATOS!$A18545,nCURSO,DATOS!$D18545,nESPEC,DATOS!$E18545,nASIG,DATOS!$I18545,nEVAL,"EX")=0),0))))</f>
      </c>
      <c r="H18545">
        <f>IF(DATOS!$G18545&lt;&gt;"EX",0,--(COUNTIFS(nNIA,DATOS!$A18545,nCURSO,DATOS!$D18545,nESPEC,DATOS!$E18545,nASIG,DATOS!$I18545,nEVAL,"OR")=0))</f>
      </c>
      <c r="I18545">
        <f>IF(DATOS!$I18545="","",IFERROR(VLOOKUP(DATOS!$I18545,CONFIG_ASIGNATURAS!$B$2:$J$91,9,FALSE()),""))</f>
      </c>
    </row>
    <row r="18546">
      <c r="F18546">
        <f>IF(DATOS!$A18546="","",DATOS!$A18546&amp;"|"&amp;DATOS!$D18546&amp;"|"&amp;DATOS!$E18546&amp;"|"&amp;DATOS!$I18546)</f>
      </c>
      <c r="G18546">
        <f>IF(DATOS!$A18546="",0,IF(CONFIG_METADATA!$B$4&lt;&gt;"OR+EX",--(DATOS!$G18546=CONFIG_METADATA!$B$4),IF(DATOS!$G18546="EX",1,IF(DATOS!$G18546="OR",--(COUNTIFS(nNIA,DATOS!$A18546,nCURSO,DATOS!$D18546,nESPEC,DATOS!$E18546,nASIG,DATOS!$I18546,nEVAL,"EX")=0),0))))</f>
      </c>
      <c r="H18546">
        <f>IF(DATOS!$G18546&lt;&gt;"EX",0,--(COUNTIFS(nNIA,DATOS!$A18546,nCURSO,DATOS!$D18546,nESPEC,DATOS!$E18546,nASIG,DATOS!$I18546,nEVAL,"OR")=0))</f>
      </c>
      <c r="I18546">
        <f>IF(DATOS!$I18546="","",IFERROR(VLOOKUP(DATOS!$I18546,CONFIG_ASIGNATURAS!$B$2:$J$91,9,FALSE()),""))</f>
      </c>
    </row>
    <row r="18547">
      <c r="F18547">
        <f>IF(DATOS!$A18547="","",DATOS!$A18547&amp;"|"&amp;DATOS!$D18547&amp;"|"&amp;DATOS!$E18547&amp;"|"&amp;DATOS!$I18547)</f>
      </c>
      <c r="G18547">
        <f>IF(DATOS!$A18547="",0,IF(CONFIG_METADATA!$B$4&lt;&gt;"OR+EX",--(DATOS!$G18547=CONFIG_METADATA!$B$4),IF(DATOS!$G18547="EX",1,IF(DATOS!$G18547="OR",--(COUNTIFS(nNIA,DATOS!$A18547,nCURSO,DATOS!$D18547,nESPEC,DATOS!$E18547,nASIG,DATOS!$I18547,nEVAL,"EX")=0),0))))</f>
      </c>
      <c r="H18547">
        <f>IF(DATOS!$G18547&lt;&gt;"EX",0,--(COUNTIFS(nNIA,DATOS!$A18547,nCURSO,DATOS!$D18547,nESPEC,DATOS!$E18547,nASIG,DATOS!$I18547,nEVAL,"OR")=0))</f>
      </c>
      <c r="I18547">
        <f>IF(DATOS!$I18547="","",IFERROR(VLOOKUP(DATOS!$I18547,CONFIG_ASIGNATURAS!$B$2:$J$91,9,FALSE()),""))</f>
      </c>
    </row>
    <row r="18548">
      <c r="F18548">
        <f>IF(DATOS!$A18548="","",DATOS!$A18548&amp;"|"&amp;DATOS!$D18548&amp;"|"&amp;DATOS!$E18548&amp;"|"&amp;DATOS!$I18548)</f>
      </c>
      <c r="G18548">
        <f>IF(DATOS!$A18548="",0,IF(CONFIG_METADATA!$B$4&lt;&gt;"OR+EX",--(DATOS!$G18548=CONFIG_METADATA!$B$4),IF(DATOS!$G18548="EX",1,IF(DATOS!$G18548="OR",--(COUNTIFS(nNIA,DATOS!$A18548,nCURSO,DATOS!$D18548,nESPEC,DATOS!$E18548,nASIG,DATOS!$I18548,nEVAL,"EX")=0),0))))</f>
      </c>
      <c r="H18548">
        <f>IF(DATOS!$G18548&lt;&gt;"EX",0,--(COUNTIFS(nNIA,DATOS!$A18548,nCURSO,DATOS!$D18548,nESPEC,DATOS!$E18548,nASIG,DATOS!$I18548,nEVAL,"OR")=0))</f>
      </c>
      <c r="I18548">
        <f>IF(DATOS!$I18548="","",IFERROR(VLOOKUP(DATOS!$I18548,CONFIG_ASIGNATURAS!$B$2:$J$91,9,FALSE()),""))</f>
      </c>
    </row>
    <row r="18549">
      <c r="F18549">
        <f>IF(DATOS!$A18549="","",DATOS!$A18549&amp;"|"&amp;DATOS!$D18549&amp;"|"&amp;DATOS!$E18549&amp;"|"&amp;DATOS!$I18549)</f>
      </c>
      <c r="G18549">
        <f>IF(DATOS!$A18549="",0,IF(CONFIG_METADATA!$B$4&lt;&gt;"OR+EX",--(DATOS!$G18549=CONFIG_METADATA!$B$4),IF(DATOS!$G18549="EX",1,IF(DATOS!$G18549="OR",--(COUNTIFS(nNIA,DATOS!$A18549,nCURSO,DATOS!$D18549,nESPEC,DATOS!$E18549,nASIG,DATOS!$I18549,nEVAL,"EX")=0),0))))</f>
      </c>
      <c r="H18549">
        <f>IF(DATOS!$G18549&lt;&gt;"EX",0,--(COUNTIFS(nNIA,DATOS!$A18549,nCURSO,DATOS!$D18549,nESPEC,DATOS!$E18549,nASIG,DATOS!$I18549,nEVAL,"OR")=0))</f>
      </c>
      <c r="I18549">
        <f>IF(DATOS!$I18549="","",IFERROR(VLOOKUP(DATOS!$I18549,CONFIG_ASIGNATURAS!$B$2:$J$91,9,FALSE()),""))</f>
      </c>
    </row>
    <row r="18550">
      <c r="F18550">
        <f>IF(DATOS!$A18550="","",DATOS!$A18550&amp;"|"&amp;DATOS!$D18550&amp;"|"&amp;DATOS!$E18550&amp;"|"&amp;DATOS!$I18550)</f>
      </c>
      <c r="G18550">
        <f>IF(DATOS!$A18550="",0,IF(CONFIG_METADATA!$B$4&lt;&gt;"OR+EX",--(DATOS!$G18550=CONFIG_METADATA!$B$4),IF(DATOS!$G18550="EX",1,IF(DATOS!$G18550="OR",--(COUNTIFS(nNIA,DATOS!$A18550,nCURSO,DATOS!$D18550,nESPEC,DATOS!$E18550,nASIG,DATOS!$I18550,nEVAL,"EX")=0),0))))</f>
      </c>
      <c r="H18550">
        <f>IF(DATOS!$G18550&lt;&gt;"EX",0,--(COUNTIFS(nNIA,DATOS!$A18550,nCURSO,DATOS!$D18550,nESPEC,DATOS!$E18550,nASIG,DATOS!$I18550,nEVAL,"OR")=0))</f>
      </c>
      <c r="I18550">
        <f>IF(DATOS!$I18550="","",IFERROR(VLOOKUP(DATOS!$I18550,CONFIG_ASIGNATURAS!$B$2:$J$91,9,FALSE()),""))</f>
      </c>
    </row>
    <row r="18551">
      <c r="F18551">
        <f>IF(DATOS!$A18551="","",DATOS!$A18551&amp;"|"&amp;DATOS!$D18551&amp;"|"&amp;DATOS!$E18551&amp;"|"&amp;DATOS!$I18551)</f>
      </c>
      <c r="G18551">
        <f>IF(DATOS!$A18551="",0,IF(CONFIG_METADATA!$B$4&lt;&gt;"OR+EX",--(DATOS!$G18551=CONFIG_METADATA!$B$4),IF(DATOS!$G18551="EX",1,IF(DATOS!$G18551="OR",--(COUNTIFS(nNIA,DATOS!$A18551,nCURSO,DATOS!$D18551,nESPEC,DATOS!$E18551,nASIG,DATOS!$I18551,nEVAL,"EX")=0),0))))</f>
      </c>
      <c r="H18551">
        <f>IF(DATOS!$G18551&lt;&gt;"EX",0,--(COUNTIFS(nNIA,DATOS!$A18551,nCURSO,DATOS!$D18551,nESPEC,DATOS!$E18551,nASIG,DATOS!$I18551,nEVAL,"OR")=0))</f>
      </c>
      <c r="I18551">
        <f>IF(DATOS!$I18551="","",IFERROR(VLOOKUP(DATOS!$I18551,CONFIG_ASIGNATURAS!$B$2:$J$91,9,FALSE()),""))</f>
      </c>
    </row>
    <row r="18552">
      <c r="F18552">
        <f>IF(DATOS!$A18552="","",DATOS!$A18552&amp;"|"&amp;DATOS!$D18552&amp;"|"&amp;DATOS!$E18552&amp;"|"&amp;DATOS!$I18552)</f>
      </c>
      <c r="G18552">
        <f>IF(DATOS!$A18552="",0,IF(CONFIG_METADATA!$B$4&lt;&gt;"OR+EX",--(DATOS!$G18552=CONFIG_METADATA!$B$4),IF(DATOS!$G18552="EX",1,IF(DATOS!$G18552="OR",--(COUNTIFS(nNIA,DATOS!$A18552,nCURSO,DATOS!$D18552,nESPEC,DATOS!$E18552,nASIG,DATOS!$I18552,nEVAL,"EX")=0),0))))</f>
      </c>
      <c r="H18552">
        <f>IF(DATOS!$G18552&lt;&gt;"EX",0,--(COUNTIFS(nNIA,DATOS!$A18552,nCURSO,DATOS!$D18552,nESPEC,DATOS!$E18552,nASIG,DATOS!$I18552,nEVAL,"OR")=0))</f>
      </c>
      <c r="I18552">
        <f>IF(DATOS!$I18552="","",IFERROR(VLOOKUP(DATOS!$I18552,CONFIG_ASIGNATURAS!$B$2:$J$91,9,FALSE()),""))</f>
      </c>
    </row>
    <row r="18553">
      <c r="F18553">
        <f>IF(DATOS!$A18553="","",DATOS!$A18553&amp;"|"&amp;DATOS!$D18553&amp;"|"&amp;DATOS!$E18553&amp;"|"&amp;DATOS!$I18553)</f>
      </c>
      <c r="G18553">
        <f>IF(DATOS!$A18553="",0,IF(CONFIG_METADATA!$B$4&lt;&gt;"OR+EX",--(DATOS!$G18553=CONFIG_METADATA!$B$4),IF(DATOS!$G18553="EX",1,IF(DATOS!$G18553="OR",--(COUNTIFS(nNIA,DATOS!$A18553,nCURSO,DATOS!$D18553,nESPEC,DATOS!$E18553,nASIG,DATOS!$I18553,nEVAL,"EX")=0),0))))</f>
      </c>
      <c r="H18553">
        <f>IF(DATOS!$G18553&lt;&gt;"EX",0,--(COUNTIFS(nNIA,DATOS!$A18553,nCURSO,DATOS!$D18553,nESPEC,DATOS!$E18553,nASIG,DATOS!$I18553,nEVAL,"OR")=0))</f>
      </c>
      <c r="I18553">
        <f>IF(DATOS!$I18553="","",IFERROR(VLOOKUP(DATOS!$I18553,CONFIG_ASIGNATURAS!$B$2:$J$91,9,FALSE()),""))</f>
      </c>
    </row>
    <row r="18554">
      <c r="F18554">
        <f>IF(DATOS!$A18554="","",DATOS!$A18554&amp;"|"&amp;DATOS!$D18554&amp;"|"&amp;DATOS!$E18554&amp;"|"&amp;DATOS!$I18554)</f>
      </c>
      <c r="G18554">
        <f>IF(DATOS!$A18554="",0,IF(CONFIG_METADATA!$B$4&lt;&gt;"OR+EX",--(DATOS!$G18554=CONFIG_METADATA!$B$4),IF(DATOS!$G18554="EX",1,IF(DATOS!$G18554="OR",--(COUNTIFS(nNIA,DATOS!$A18554,nCURSO,DATOS!$D18554,nESPEC,DATOS!$E18554,nASIG,DATOS!$I18554,nEVAL,"EX")=0),0))))</f>
      </c>
      <c r="H18554">
        <f>IF(DATOS!$G18554&lt;&gt;"EX",0,--(COUNTIFS(nNIA,DATOS!$A18554,nCURSO,DATOS!$D18554,nESPEC,DATOS!$E18554,nASIG,DATOS!$I18554,nEVAL,"OR")=0))</f>
      </c>
      <c r="I18554">
        <f>IF(DATOS!$I18554="","",IFERROR(VLOOKUP(DATOS!$I18554,CONFIG_ASIGNATURAS!$B$2:$J$91,9,FALSE()),""))</f>
      </c>
    </row>
    <row r="18555">
      <c r="F18555">
        <f>IF(DATOS!$A18555="","",DATOS!$A18555&amp;"|"&amp;DATOS!$D18555&amp;"|"&amp;DATOS!$E18555&amp;"|"&amp;DATOS!$I18555)</f>
      </c>
      <c r="G18555">
        <f>IF(DATOS!$A18555="",0,IF(CONFIG_METADATA!$B$4&lt;&gt;"OR+EX",--(DATOS!$G18555=CONFIG_METADATA!$B$4),IF(DATOS!$G18555="EX",1,IF(DATOS!$G18555="OR",--(COUNTIFS(nNIA,DATOS!$A18555,nCURSO,DATOS!$D18555,nESPEC,DATOS!$E18555,nASIG,DATOS!$I18555,nEVAL,"EX")=0),0))))</f>
      </c>
      <c r="H18555">
        <f>IF(DATOS!$G18555&lt;&gt;"EX",0,--(COUNTIFS(nNIA,DATOS!$A18555,nCURSO,DATOS!$D18555,nESPEC,DATOS!$E18555,nASIG,DATOS!$I18555,nEVAL,"OR")=0))</f>
      </c>
      <c r="I18555">
        <f>IF(DATOS!$I18555="","",IFERROR(VLOOKUP(DATOS!$I18555,CONFIG_ASIGNATURAS!$B$2:$J$91,9,FALSE()),""))</f>
      </c>
    </row>
    <row r="18556">
      <c r="F18556">
        <f>IF(DATOS!$A18556="","",DATOS!$A18556&amp;"|"&amp;DATOS!$D18556&amp;"|"&amp;DATOS!$E18556&amp;"|"&amp;DATOS!$I18556)</f>
      </c>
      <c r="G18556">
        <f>IF(DATOS!$A18556="",0,IF(CONFIG_METADATA!$B$4&lt;&gt;"OR+EX",--(DATOS!$G18556=CONFIG_METADATA!$B$4),IF(DATOS!$G18556="EX",1,IF(DATOS!$G18556="OR",--(COUNTIFS(nNIA,DATOS!$A18556,nCURSO,DATOS!$D18556,nESPEC,DATOS!$E18556,nASIG,DATOS!$I18556,nEVAL,"EX")=0),0))))</f>
      </c>
      <c r="H18556">
        <f>IF(DATOS!$G18556&lt;&gt;"EX",0,--(COUNTIFS(nNIA,DATOS!$A18556,nCURSO,DATOS!$D18556,nESPEC,DATOS!$E18556,nASIG,DATOS!$I18556,nEVAL,"OR")=0))</f>
      </c>
      <c r="I18556">
        <f>IF(DATOS!$I18556="","",IFERROR(VLOOKUP(DATOS!$I18556,CONFIG_ASIGNATURAS!$B$2:$J$91,9,FALSE()),""))</f>
      </c>
    </row>
    <row r="18557">
      <c r="F18557">
        <f>IF(DATOS!$A18557="","",DATOS!$A18557&amp;"|"&amp;DATOS!$D18557&amp;"|"&amp;DATOS!$E18557&amp;"|"&amp;DATOS!$I18557)</f>
      </c>
      <c r="G18557">
        <f>IF(DATOS!$A18557="",0,IF(CONFIG_METADATA!$B$4&lt;&gt;"OR+EX",--(DATOS!$G18557=CONFIG_METADATA!$B$4),IF(DATOS!$G18557="EX",1,IF(DATOS!$G18557="OR",--(COUNTIFS(nNIA,DATOS!$A18557,nCURSO,DATOS!$D18557,nESPEC,DATOS!$E18557,nASIG,DATOS!$I18557,nEVAL,"EX")=0),0))))</f>
      </c>
      <c r="H18557">
        <f>IF(DATOS!$G18557&lt;&gt;"EX",0,--(COUNTIFS(nNIA,DATOS!$A18557,nCURSO,DATOS!$D18557,nESPEC,DATOS!$E18557,nASIG,DATOS!$I18557,nEVAL,"OR")=0))</f>
      </c>
      <c r="I18557">
        <f>IF(DATOS!$I18557="","",IFERROR(VLOOKUP(DATOS!$I18557,CONFIG_ASIGNATURAS!$B$2:$J$91,9,FALSE()),""))</f>
      </c>
    </row>
    <row r="18558">
      <c r="F18558">
        <f>IF(DATOS!$A18558="","",DATOS!$A18558&amp;"|"&amp;DATOS!$D18558&amp;"|"&amp;DATOS!$E18558&amp;"|"&amp;DATOS!$I18558)</f>
      </c>
      <c r="G18558">
        <f>IF(DATOS!$A18558="",0,IF(CONFIG_METADATA!$B$4&lt;&gt;"OR+EX",--(DATOS!$G18558=CONFIG_METADATA!$B$4),IF(DATOS!$G18558="EX",1,IF(DATOS!$G18558="OR",--(COUNTIFS(nNIA,DATOS!$A18558,nCURSO,DATOS!$D18558,nESPEC,DATOS!$E18558,nASIG,DATOS!$I18558,nEVAL,"EX")=0),0))))</f>
      </c>
      <c r="H18558">
        <f>IF(DATOS!$G18558&lt;&gt;"EX",0,--(COUNTIFS(nNIA,DATOS!$A18558,nCURSO,DATOS!$D18558,nESPEC,DATOS!$E18558,nASIG,DATOS!$I18558,nEVAL,"OR")=0))</f>
      </c>
      <c r="I18558">
        <f>IF(DATOS!$I18558="","",IFERROR(VLOOKUP(DATOS!$I18558,CONFIG_ASIGNATURAS!$B$2:$J$91,9,FALSE()),""))</f>
      </c>
    </row>
    <row r="18559">
      <c r="F18559">
        <f>IF(DATOS!$A18559="","",DATOS!$A18559&amp;"|"&amp;DATOS!$D18559&amp;"|"&amp;DATOS!$E18559&amp;"|"&amp;DATOS!$I18559)</f>
      </c>
      <c r="G18559">
        <f>IF(DATOS!$A18559="",0,IF(CONFIG_METADATA!$B$4&lt;&gt;"OR+EX",--(DATOS!$G18559=CONFIG_METADATA!$B$4),IF(DATOS!$G18559="EX",1,IF(DATOS!$G18559="OR",--(COUNTIFS(nNIA,DATOS!$A18559,nCURSO,DATOS!$D18559,nESPEC,DATOS!$E18559,nASIG,DATOS!$I18559,nEVAL,"EX")=0),0))))</f>
      </c>
      <c r="H18559">
        <f>IF(DATOS!$G18559&lt;&gt;"EX",0,--(COUNTIFS(nNIA,DATOS!$A18559,nCURSO,DATOS!$D18559,nESPEC,DATOS!$E18559,nASIG,DATOS!$I18559,nEVAL,"OR")=0))</f>
      </c>
      <c r="I18559">
        <f>IF(DATOS!$I18559="","",IFERROR(VLOOKUP(DATOS!$I18559,CONFIG_ASIGNATURAS!$B$2:$J$91,9,FALSE()),""))</f>
      </c>
    </row>
    <row r="18560">
      <c r="F18560">
        <f>IF(DATOS!$A18560="","",DATOS!$A18560&amp;"|"&amp;DATOS!$D18560&amp;"|"&amp;DATOS!$E18560&amp;"|"&amp;DATOS!$I18560)</f>
      </c>
      <c r="G18560">
        <f>IF(DATOS!$A18560="",0,IF(CONFIG_METADATA!$B$4&lt;&gt;"OR+EX",--(DATOS!$G18560=CONFIG_METADATA!$B$4),IF(DATOS!$G18560="EX",1,IF(DATOS!$G18560="OR",--(COUNTIFS(nNIA,DATOS!$A18560,nCURSO,DATOS!$D18560,nESPEC,DATOS!$E18560,nASIG,DATOS!$I18560,nEVAL,"EX")=0),0))))</f>
      </c>
      <c r="H18560">
        <f>IF(DATOS!$G18560&lt;&gt;"EX",0,--(COUNTIFS(nNIA,DATOS!$A18560,nCURSO,DATOS!$D18560,nESPEC,DATOS!$E18560,nASIG,DATOS!$I18560,nEVAL,"OR")=0))</f>
      </c>
      <c r="I18560">
        <f>IF(DATOS!$I18560="","",IFERROR(VLOOKUP(DATOS!$I18560,CONFIG_ASIGNATURAS!$B$2:$J$91,9,FALSE()),""))</f>
      </c>
    </row>
    <row r="18561">
      <c r="F18561">
        <f>IF(DATOS!$A18561="","",DATOS!$A18561&amp;"|"&amp;DATOS!$D18561&amp;"|"&amp;DATOS!$E18561&amp;"|"&amp;DATOS!$I18561)</f>
      </c>
      <c r="G18561">
        <f>IF(DATOS!$A18561="",0,IF(CONFIG_METADATA!$B$4&lt;&gt;"OR+EX",--(DATOS!$G18561=CONFIG_METADATA!$B$4),IF(DATOS!$G18561="EX",1,IF(DATOS!$G18561="OR",--(COUNTIFS(nNIA,DATOS!$A18561,nCURSO,DATOS!$D18561,nESPEC,DATOS!$E18561,nASIG,DATOS!$I18561,nEVAL,"EX")=0),0))))</f>
      </c>
      <c r="H18561">
        <f>IF(DATOS!$G18561&lt;&gt;"EX",0,--(COUNTIFS(nNIA,DATOS!$A18561,nCURSO,DATOS!$D18561,nESPEC,DATOS!$E18561,nASIG,DATOS!$I18561,nEVAL,"OR")=0))</f>
      </c>
      <c r="I18561">
        <f>IF(DATOS!$I18561="","",IFERROR(VLOOKUP(DATOS!$I18561,CONFIG_ASIGNATURAS!$B$2:$J$91,9,FALSE()),""))</f>
      </c>
    </row>
    <row r="18562">
      <c r="F18562">
        <f>IF(DATOS!$A18562="","",DATOS!$A18562&amp;"|"&amp;DATOS!$D18562&amp;"|"&amp;DATOS!$E18562&amp;"|"&amp;DATOS!$I18562)</f>
      </c>
      <c r="G18562">
        <f>IF(DATOS!$A18562="",0,IF(CONFIG_METADATA!$B$4&lt;&gt;"OR+EX",--(DATOS!$G18562=CONFIG_METADATA!$B$4),IF(DATOS!$G18562="EX",1,IF(DATOS!$G18562="OR",--(COUNTIFS(nNIA,DATOS!$A18562,nCURSO,DATOS!$D18562,nESPEC,DATOS!$E18562,nASIG,DATOS!$I18562,nEVAL,"EX")=0),0))))</f>
      </c>
      <c r="H18562">
        <f>IF(DATOS!$G18562&lt;&gt;"EX",0,--(COUNTIFS(nNIA,DATOS!$A18562,nCURSO,DATOS!$D18562,nESPEC,DATOS!$E18562,nASIG,DATOS!$I18562,nEVAL,"OR")=0))</f>
      </c>
      <c r="I18562">
        <f>IF(DATOS!$I18562="","",IFERROR(VLOOKUP(DATOS!$I18562,CONFIG_ASIGNATURAS!$B$2:$J$91,9,FALSE()),""))</f>
      </c>
    </row>
    <row r="18563">
      <c r="F18563">
        <f>IF(DATOS!$A18563="","",DATOS!$A18563&amp;"|"&amp;DATOS!$D18563&amp;"|"&amp;DATOS!$E18563&amp;"|"&amp;DATOS!$I18563)</f>
      </c>
      <c r="G18563">
        <f>IF(DATOS!$A18563="",0,IF(CONFIG_METADATA!$B$4&lt;&gt;"OR+EX",--(DATOS!$G18563=CONFIG_METADATA!$B$4),IF(DATOS!$G18563="EX",1,IF(DATOS!$G18563="OR",--(COUNTIFS(nNIA,DATOS!$A18563,nCURSO,DATOS!$D18563,nESPEC,DATOS!$E18563,nASIG,DATOS!$I18563,nEVAL,"EX")=0),0))))</f>
      </c>
      <c r="H18563">
        <f>IF(DATOS!$G18563&lt;&gt;"EX",0,--(COUNTIFS(nNIA,DATOS!$A18563,nCURSO,DATOS!$D18563,nESPEC,DATOS!$E18563,nASIG,DATOS!$I18563,nEVAL,"OR")=0))</f>
      </c>
      <c r="I18563">
        <f>IF(DATOS!$I18563="","",IFERROR(VLOOKUP(DATOS!$I18563,CONFIG_ASIGNATURAS!$B$2:$J$91,9,FALSE()),""))</f>
      </c>
    </row>
    <row r="18564">
      <c r="F18564">
        <f>IF(DATOS!$A18564="","",DATOS!$A18564&amp;"|"&amp;DATOS!$D18564&amp;"|"&amp;DATOS!$E18564&amp;"|"&amp;DATOS!$I18564)</f>
      </c>
      <c r="G18564">
        <f>IF(DATOS!$A18564="",0,IF(CONFIG_METADATA!$B$4&lt;&gt;"OR+EX",--(DATOS!$G18564=CONFIG_METADATA!$B$4),IF(DATOS!$G18564="EX",1,IF(DATOS!$G18564="OR",--(COUNTIFS(nNIA,DATOS!$A18564,nCURSO,DATOS!$D18564,nESPEC,DATOS!$E18564,nASIG,DATOS!$I18564,nEVAL,"EX")=0),0))))</f>
      </c>
      <c r="H18564">
        <f>IF(DATOS!$G18564&lt;&gt;"EX",0,--(COUNTIFS(nNIA,DATOS!$A18564,nCURSO,DATOS!$D18564,nESPEC,DATOS!$E18564,nASIG,DATOS!$I18564,nEVAL,"OR")=0))</f>
      </c>
      <c r="I18564">
        <f>IF(DATOS!$I18564="","",IFERROR(VLOOKUP(DATOS!$I18564,CONFIG_ASIGNATURAS!$B$2:$J$91,9,FALSE()),""))</f>
      </c>
    </row>
    <row r="18565">
      <c r="F18565">
        <f>IF(DATOS!$A18565="","",DATOS!$A18565&amp;"|"&amp;DATOS!$D18565&amp;"|"&amp;DATOS!$E18565&amp;"|"&amp;DATOS!$I18565)</f>
      </c>
      <c r="G18565">
        <f>IF(DATOS!$A18565="",0,IF(CONFIG_METADATA!$B$4&lt;&gt;"OR+EX",--(DATOS!$G18565=CONFIG_METADATA!$B$4),IF(DATOS!$G18565="EX",1,IF(DATOS!$G18565="OR",--(COUNTIFS(nNIA,DATOS!$A18565,nCURSO,DATOS!$D18565,nESPEC,DATOS!$E18565,nASIG,DATOS!$I18565,nEVAL,"EX")=0),0))))</f>
      </c>
      <c r="H18565">
        <f>IF(DATOS!$G18565&lt;&gt;"EX",0,--(COUNTIFS(nNIA,DATOS!$A18565,nCURSO,DATOS!$D18565,nESPEC,DATOS!$E18565,nASIG,DATOS!$I18565,nEVAL,"OR")=0))</f>
      </c>
      <c r="I18565">
        <f>IF(DATOS!$I18565="","",IFERROR(VLOOKUP(DATOS!$I18565,CONFIG_ASIGNATURAS!$B$2:$J$91,9,FALSE()),""))</f>
      </c>
    </row>
    <row r="18566">
      <c r="F18566">
        <f>IF(DATOS!$A18566="","",DATOS!$A18566&amp;"|"&amp;DATOS!$D18566&amp;"|"&amp;DATOS!$E18566&amp;"|"&amp;DATOS!$I18566)</f>
      </c>
      <c r="G18566">
        <f>IF(DATOS!$A18566="",0,IF(CONFIG_METADATA!$B$4&lt;&gt;"OR+EX",--(DATOS!$G18566=CONFIG_METADATA!$B$4),IF(DATOS!$G18566="EX",1,IF(DATOS!$G18566="OR",--(COUNTIFS(nNIA,DATOS!$A18566,nCURSO,DATOS!$D18566,nESPEC,DATOS!$E18566,nASIG,DATOS!$I18566,nEVAL,"EX")=0),0))))</f>
      </c>
      <c r="H18566">
        <f>IF(DATOS!$G18566&lt;&gt;"EX",0,--(COUNTIFS(nNIA,DATOS!$A18566,nCURSO,DATOS!$D18566,nESPEC,DATOS!$E18566,nASIG,DATOS!$I18566,nEVAL,"OR")=0))</f>
      </c>
      <c r="I18566">
        <f>IF(DATOS!$I18566="","",IFERROR(VLOOKUP(DATOS!$I18566,CONFIG_ASIGNATURAS!$B$2:$J$91,9,FALSE()),""))</f>
      </c>
    </row>
    <row r="18567">
      <c r="F18567">
        <f>IF(DATOS!$A18567="","",DATOS!$A18567&amp;"|"&amp;DATOS!$D18567&amp;"|"&amp;DATOS!$E18567&amp;"|"&amp;DATOS!$I18567)</f>
      </c>
      <c r="G18567">
        <f>IF(DATOS!$A18567="",0,IF(CONFIG_METADATA!$B$4&lt;&gt;"OR+EX",--(DATOS!$G18567=CONFIG_METADATA!$B$4),IF(DATOS!$G18567="EX",1,IF(DATOS!$G18567="OR",--(COUNTIFS(nNIA,DATOS!$A18567,nCURSO,DATOS!$D18567,nESPEC,DATOS!$E18567,nASIG,DATOS!$I18567,nEVAL,"EX")=0),0))))</f>
      </c>
      <c r="H18567">
        <f>IF(DATOS!$G18567&lt;&gt;"EX",0,--(COUNTIFS(nNIA,DATOS!$A18567,nCURSO,DATOS!$D18567,nESPEC,DATOS!$E18567,nASIG,DATOS!$I18567,nEVAL,"OR")=0))</f>
      </c>
      <c r="I18567">
        <f>IF(DATOS!$I18567="","",IFERROR(VLOOKUP(DATOS!$I18567,CONFIG_ASIGNATURAS!$B$2:$J$91,9,FALSE()),""))</f>
      </c>
    </row>
    <row r="18568">
      <c r="F18568">
        <f>IF(DATOS!$A18568="","",DATOS!$A18568&amp;"|"&amp;DATOS!$D18568&amp;"|"&amp;DATOS!$E18568&amp;"|"&amp;DATOS!$I18568)</f>
      </c>
      <c r="G18568">
        <f>IF(DATOS!$A18568="",0,IF(CONFIG_METADATA!$B$4&lt;&gt;"OR+EX",--(DATOS!$G18568=CONFIG_METADATA!$B$4),IF(DATOS!$G18568="EX",1,IF(DATOS!$G18568="OR",--(COUNTIFS(nNIA,DATOS!$A18568,nCURSO,DATOS!$D18568,nESPEC,DATOS!$E18568,nASIG,DATOS!$I18568,nEVAL,"EX")=0),0))))</f>
      </c>
      <c r="H18568">
        <f>IF(DATOS!$G18568&lt;&gt;"EX",0,--(COUNTIFS(nNIA,DATOS!$A18568,nCURSO,DATOS!$D18568,nESPEC,DATOS!$E18568,nASIG,DATOS!$I18568,nEVAL,"OR")=0))</f>
      </c>
      <c r="I18568">
        <f>IF(DATOS!$I18568="","",IFERROR(VLOOKUP(DATOS!$I18568,CONFIG_ASIGNATURAS!$B$2:$J$91,9,FALSE()),""))</f>
      </c>
    </row>
    <row r="18569">
      <c r="F18569">
        <f>IF(DATOS!$A18569="","",DATOS!$A18569&amp;"|"&amp;DATOS!$D18569&amp;"|"&amp;DATOS!$E18569&amp;"|"&amp;DATOS!$I18569)</f>
      </c>
      <c r="G18569">
        <f>IF(DATOS!$A18569="",0,IF(CONFIG_METADATA!$B$4&lt;&gt;"OR+EX",--(DATOS!$G18569=CONFIG_METADATA!$B$4),IF(DATOS!$G18569="EX",1,IF(DATOS!$G18569="OR",--(COUNTIFS(nNIA,DATOS!$A18569,nCURSO,DATOS!$D18569,nESPEC,DATOS!$E18569,nASIG,DATOS!$I18569,nEVAL,"EX")=0),0))))</f>
      </c>
      <c r="H18569">
        <f>IF(DATOS!$G18569&lt;&gt;"EX",0,--(COUNTIFS(nNIA,DATOS!$A18569,nCURSO,DATOS!$D18569,nESPEC,DATOS!$E18569,nASIG,DATOS!$I18569,nEVAL,"OR")=0))</f>
      </c>
      <c r="I18569">
        <f>IF(DATOS!$I18569="","",IFERROR(VLOOKUP(DATOS!$I18569,CONFIG_ASIGNATURAS!$B$2:$J$91,9,FALSE()),""))</f>
      </c>
    </row>
    <row r="18570">
      <c r="F18570">
        <f>IF(DATOS!$A18570="","",DATOS!$A18570&amp;"|"&amp;DATOS!$D18570&amp;"|"&amp;DATOS!$E18570&amp;"|"&amp;DATOS!$I18570)</f>
      </c>
      <c r="G18570">
        <f>IF(DATOS!$A18570="",0,IF(CONFIG_METADATA!$B$4&lt;&gt;"OR+EX",--(DATOS!$G18570=CONFIG_METADATA!$B$4),IF(DATOS!$G18570="EX",1,IF(DATOS!$G18570="OR",--(COUNTIFS(nNIA,DATOS!$A18570,nCURSO,DATOS!$D18570,nESPEC,DATOS!$E18570,nASIG,DATOS!$I18570,nEVAL,"EX")=0),0))))</f>
      </c>
      <c r="H18570">
        <f>IF(DATOS!$G18570&lt;&gt;"EX",0,--(COUNTIFS(nNIA,DATOS!$A18570,nCURSO,DATOS!$D18570,nESPEC,DATOS!$E18570,nASIG,DATOS!$I18570,nEVAL,"OR")=0))</f>
      </c>
      <c r="I18570">
        <f>IF(DATOS!$I18570="","",IFERROR(VLOOKUP(DATOS!$I18570,CONFIG_ASIGNATURAS!$B$2:$J$91,9,FALSE()),""))</f>
      </c>
    </row>
    <row r="18571">
      <c r="F18571">
        <f>IF(DATOS!$A18571="","",DATOS!$A18571&amp;"|"&amp;DATOS!$D18571&amp;"|"&amp;DATOS!$E18571&amp;"|"&amp;DATOS!$I18571)</f>
      </c>
      <c r="G18571">
        <f>IF(DATOS!$A18571="",0,IF(CONFIG_METADATA!$B$4&lt;&gt;"OR+EX",--(DATOS!$G18571=CONFIG_METADATA!$B$4),IF(DATOS!$G18571="EX",1,IF(DATOS!$G18571="OR",--(COUNTIFS(nNIA,DATOS!$A18571,nCURSO,DATOS!$D18571,nESPEC,DATOS!$E18571,nASIG,DATOS!$I18571,nEVAL,"EX")=0),0))))</f>
      </c>
      <c r="H18571">
        <f>IF(DATOS!$G18571&lt;&gt;"EX",0,--(COUNTIFS(nNIA,DATOS!$A18571,nCURSO,DATOS!$D18571,nESPEC,DATOS!$E18571,nASIG,DATOS!$I18571,nEVAL,"OR")=0))</f>
      </c>
      <c r="I18571">
        <f>IF(DATOS!$I18571="","",IFERROR(VLOOKUP(DATOS!$I18571,CONFIG_ASIGNATURAS!$B$2:$J$91,9,FALSE()),""))</f>
      </c>
    </row>
    <row r="18572">
      <c r="F18572">
        <f>IF(DATOS!$A18572="","",DATOS!$A18572&amp;"|"&amp;DATOS!$D18572&amp;"|"&amp;DATOS!$E18572&amp;"|"&amp;DATOS!$I18572)</f>
      </c>
      <c r="G18572">
        <f>IF(DATOS!$A18572="",0,IF(CONFIG_METADATA!$B$4&lt;&gt;"OR+EX",--(DATOS!$G18572=CONFIG_METADATA!$B$4),IF(DATOS!$G18572="EX",1,IF(DATOS!$G18572="OR",--(COUNTIFS(nNIA,DATOS!$A18572,nCURSO,DATOS!$D18572,nESPEC,DATOS!$E18572,nASIG,DATOS!$I18572,nEVAL,"EX")=0),0))))</f>
      </c>
      <c r="H18572">
        <f>IF(DATOS!$G18572&lt;&gt;"EX",0,--(COUNTIFS(nNIA,DATOS!$A18572,nCURSO,DATOS!$D18572,nESPEC,DATOS!$E18572,nASIG,DATOS!$I18572,nEVAL,"OR")=0))</f>
      </c>
      <c r="I18572">
        <f>IF(DATOS!$I18572="","",IFERROR(VLOOKUP(DATOS!$I18572,CONFIG_ASIGNATURAS!$B$2:$J$91,9,FALSE()),""))</f>
      </c>
    </row>
    <row r="18573">
      <c r="F18573">
        <f>IF(DATOS!$A18573="","",DATOS!$A18573&amp;"|"&amp;DATOS!$D18573&amp;"|"&amp;DATOS!$E18573&amp;"|"&amp;DATOS!$I18573)</f>
      </c>
      <c r="G18573">
        <f>IF(DATOS!$A18573="",0,IF(CONFIG_METADATA!$B$4&lt;&gt;"OR+EX",--(DATOS!$G18573=CONFIG_METADATA!$B$4),IF(DATOS!$G18573="EX",1,IF(DATOS!$G18573="OR",--(COUNTIFS(nNIA,DATOS!$A18573,nCURSO,DATOS!$D18573,nESPEC,DATOS!$E18573,nASIG,DATOS!$I18573,nEVAL,"EX")=0),0))))</f>
      </c>
      <c r="H18573">
        <f>IF(DATOS!$G18573&lt;&gt;"EX",0,--(COUNTIFS(nNIA,DATOS!$A18573,nCURSO,DATOS!$D18573,nESPEC,DATOS!$E18573,nASIG,DATOS!$I18573,nEVAL,"OR")=0))</f>
      </c>
      <c r="I18573">
        <f>IF(DATOS!$I18573="","",IFERROR(VLOOKUP(DATOS!$I18573,CONFIG_ASIGNATURAS!$B$2:$J$91,9,FALSE()),""))</f>
      </c>
    </row>
    <row r="18574">
      <c r="F18574">
        <f>IF(DATOS!$A18574="","",DATOS!$A18574&amp;"|"&amp;DATOS!$D18574&amp;"|"&amp;DATOS!$E18574&amp;"|"&amp;DATOS!$I18574)</f>
      </c>
      <c r="G18574">
        <f>IF(DATOS!$A18574="",0,IF(CONFIG_METADATA!$B$4&lt;&gt;"OR+EX",--(DATOS!$G18574=CONFIG_METADATA!$B$4),IF(DATOS!$G18574="EX",1,IF(DATOS!$G18574="OR",--(COUNTIFS(nNIA,DATOS!$A18574,nCURSO,DATOS!$D18574,nESPEC,DATOS!$E18574,nASIG,DATOS!$I18574,nEVAL,"EX")=0),0))))</f>
      </c>
      <c r="H18574">
        <f>IF(DATOS!$G18574&lt;&gt;"EX",0,--(COUNTIFS(nNIA,DATOS!$A18574,nCURSO,DATOS!$D18574,nESPEC,DATOS!$E18574,nASIG,DATOS!$I18574,nEVAL,"OR")=0))</f>
      </c>
      <c r="I18574">
        <f>IF(DATOS!$I18574="","",IFERROR(VLOOKUP(DATOS!$I18574,CONFIG_ASIGNATURAS!$B$2:$J$91,9,FALSE()),""))</f>
      </c>
    </row>
    <row r="18575">
      <c r="F18575">
        <f>IF(DATOS!$A18575="","",DATOS!$A18575&amp;"|"&amp;DATOS!$D18575&amp;"|"&amp;DATOS!$E18575&amp;"|"&amp;DATOS!$I18575)</f>
      </c>
      <c r="G18575">
        <f>IF(DATOS!$A18575="",0,IF(CONFIG_METADATA!$B$4&lt;&gt;"OR+EX",--(DATOS!$G18575=CONFIG_METADATA!$B$4),IF(DATOS!$G18575="EX",1,IF(DATOS!$G18575="OR",--(COUNTIFS(nNIA,DATOS!$A18575,nCURSO,DATOS!$D18575,nESPEC,DATOS!$E18575,nASIG,DATOS!$I18575,nEVAL,"EX")=0),0))))</f>
      </c>
      <c r="H18575">
        <f>IF(DATOS!$G18575&lt;&gt;"EX",0,--(COUNTIFS(nNIA,DATOS!$A18575,nCURSO,DATOS!$D18575,nESPEC,DATOS!$E18575,nASIG,DATOS!$I18575,nEVAL,"OR")=0))</f>
      </c>
      <c r="I18575">
        <f>IF(DATOS!$I18575="","",IFERROR(VLOOKUP(DATOS!$I18575,CONFIG_ASIGNATURAS!$B$2:$J$91,9,FALSE()),""))</f>
      </c>
    </row>
    <row r="18576">
      <c r="F18576">
        <f>IF(DATOS!$A18576="","",DATOS!$A18576&amp;"|"&amp;DATOS!$D18576&amp;"|"&amp;DATOS!$E18576&amp;"|"&amp;DATOS!$I18576)</f>
      </c>
      <c r="G18576">
        <f>IF(DATOS!$A18576="",0,IF(CONFIG_METADATA!$B$4&lt;&gt;"OR+EX",--(DATOS!$G18576=CONFIG_METADATA!$B$4),IF(DATOS!$G18576="EX",1,IF(DATOS!$G18576="OR",--(COUNTIFS(nNIA,DATOS!$A18576,nCURSO,DATOS!$D18576,nESPEC,DATOS!$E18576,nASIG,DATOS!$I18576,nEVAL,"EX")=0),0))))</f>
      </c>
      <c r="H18576">
        <f>IF(DATOS!$G18576&lt;&gt;"EX",0,--(COUNTIFS(nNIA,DATOS!$A18576,nCURSO,DATOS!$D18576,nESPEC,DATOS!$E18576,nASIG,DATOS!$I18576,nEVAL,"OR")=0))</f>
      </c>
      <c r="I18576">
        <f>IF(DATOS!$I18576="","",IFERROR(VLOOKUP(DATOS!$I18576,CONFIG_ASIGNATURAS!$B$2:$J$91,9,FALSE()),""))</f>
      </c>
    </row>
    <row r="18577">
      <c r="F18577">
        <f>IF(DATOS!$A18577="","",DATOS!$A18577&amp;"|"&amp;DATOS!$D18577&amp;"|"&amp;DATOS!$E18577&amp;"|"&amp;DATOS!$I18577)</f>
      </c>
      <c r="G18577">
        <f>IF(DATOS!$A18577="",0,IF(CONFIG_METADATA!$B$4&lt;&gt;"OR+EX",--(DATOS!$G18577=CONFIG_METADATA!$B$4),IF(DATOS!$G18577="EX",1,IF(DATOS!$G18577="OR",--(COUNTIFS(nNIA,DATOS!$A18577,nCURSO,DATOS!$D18577,nESPEC,DATOS!$E18577,nASIG,DATOS!$I18577,nEVAL,"EX")=0),0))))</f>
      </c>
      <c r="H18577">
        <f>IF(DATOS!$G18577&lt;&gt;"EX",0,--(COUNTIFS(nNIA,DATOS!$A18577,nCURSO,DATOS!$D18577,nESPEC,DATOS!$E18577,nASIG,DATOS!$I18577,nEVAL,"OR")=0))</f>
      </c>
      <c r="I18577">
        <f>IF(DATOS!$I18577="","",IFERROR(VLOOKUP(DATOS!$I18577,CONFIG_ASIGNATURAS!$B$2:$J$91,9,FALSE()),""))</f>
      </c>
    </row>
    <row r="18578">
      <c r="F18578">
        <f>IF(DATOS!$A18578="","",DATOS!$A18578&amp;"|"&amp;DATOS!$D18578&amp;"|"&amp;DATOS!$E18578&amp;"|"&amp;DATOS!$I18578)</f>
      </c>
      <c r="G18578">
        <f>IF(DATOS!$A18578="",0,IF(CONFIG_METADATA!$B$4&lt;&gt;"OR+EX",--(DATOS!$G18578=CONFIG_METADATA!$B$4),IF(DATOS!$G18578="EX",1,IF(DATOS!$G18578="OR",--(COUNTIFS(nNIA,DATOS!$A18578,nCURSO,DATOS!$D18578,nESPEC,DATOS!$E18578,nASIG,DATOS!$I18578,nEVAL,"EX")=0),0))))</f>
      </c>
      <c r="H18578">
        <f>IF(DATOS!$G18578&lt;&gt;"EX",0,--(COUNTIFS(nNIA,DATOS!$A18578,nCURSO,DATOS!$D18578,nESPEC,DATOS!$E18578,nASIG,DATOS!$I18578,nEVAL,"OR")=0))</f>
      </c>
      <c r="I18578">
        <f>IF(DATOS!$I18578="","",IFERROR(VLOOKUP(DATOS!$I18578,CONFIG_ASIGNATURAS!$B$2:$J$91,9,FALSE()),""))</f>
      </c>
    </row>
    <row r="18579">
      <c r="F18579">
        <f>IF(DATOS!$A18579="","",DATOS!$A18579&amp;"|"&amp;DATOS!$D18579&amp;"|"&amp;DATOS!$E18579&amp;"|"&amp;DATOS!$I18579)</f>
      </c>
      <c r="G18579">
        <f>IF(DATOS!$A18579="",0,IF(CONFIG_METADATA!$B$4&lt;&gt;"OR+EX",--(DATOS!$G18579=CONFIG_METADATA!$B$4),IF(DATOS!$G18579="EX",1,IF(DATOS!$G18579="OR",--(COUNTIFS(nNIA,DATOS!$A18579,nCURSO,DATOS!$D18579,nESPEC,DATOS!$E18579,nASIG,DATOS!$I18579,nEVAL,"EX")=0),0))))</f>
      </c>
      <c r="H18579">
        <f>IF(DATOS!$G18579&lt;&gt;"EX",0,--(COUNTIFS(nNIA,DATOS!$A18579,nCURSO,DATOS!$D18579,nESPEC,DATOS!$E18579,nASIG,DATOS!$I18579,nEVAL,"OR")=0))</f>
      </c>
      <c r="I18579">
        <f>IF(DATOS!$I18579="","",IFERROR(VLOOKUP(DATOS!$I18579,CONFIG_ASIGNATURAS!$B$2:$J$91,9,FALSE()),""))</f>
      </c>
    </row>
    <row r="18580">
      <c r="F18580">
        <f>IF(DATOS!$A18580="","",DATOS!$A18580&amp;"|"&amp;DATOS!$D18580&amp;"|"&amp;DATOS!$E18580&amp;"|"&amp;DATOS!$I18580)</f>
      </c>
      <c r="G18580">
        <f>IF(DATOS!$A18580="",0,IF(CONFIG_METADATA!$B$4&lt;&gt;"OR+EX",--(DATOS!$G18580=CONFIG_METADATA!$B$4),IF(DATOS!$G18580="EX",1,IF(DATOS!$G18580="OR",--(COUNTIFS(nNIA,DATOS!$A18580,nCURSO,DATOS!$D18580,nESPEC,DATOS!$E18580,nASIG,DATOS!$I18580,nEVAL,"EX")=0),0))))</f>
      </c>
      <c r="H18580">
        <f>IF(DATOS!$G18580&lt;&gt;"EX",0,--(COUNTIFS(nNIA,DATOS!$A18580,nCURSO,DATOS!$D18580,nESPEC,DATOS!$E18580,nASIG,DATOS!$I18580,nEVAL,"OR")=0))</f>
      </c>
      <c r="I18580">
        <f>IF(DATOS!$I18580="","",IFERROR(VLOOKUP(DATOS!$I18580,CONFIG_ASIGNATURAS!$B$2:$J$91,9,FALSE()),""))</f>
      </c>
    </row>
    <row r="18581">
      <c r="F18581">
        <f>IF(DATOS!$A18581="","",DATOS!$A18581&amp;"|"&amp;DATOS!$D18581&amp;"|"&amp;DATOS!$E18581&amp;"|"&amp;DATOS!$I18581)</f>
      </c>
      <c r="G18581">
        <f>IF(DATOS!$A18581="",0,IF(CONFIG_METADATA!$B$4&lt;&gt;"OR+EX",--(DATOS!$G18581=CONFIG_METADATA!$B$4),IF(DATOS!$G18581="EX",1,IF(DATOS!$G18581="OR",--(COUNTIFS(nNIA,DATOS!$A18581,nCURSO,DATOS!$D18581,nESPEC,DATOS!$E18581,nASIG,DATOS!$I18581,nEVAL,"EX")=0),0))))</f>
      </c>
      <c r="H18581">
        <f>IF(DATOS!$G18581&lt;&gt;"EX",0,--(COUNTIFS(nNIA,DATOS!$A18581,nCURSO,DATOS!$D18581,nESPEC,DATOS!$E18581,nASIG,DATOS!$I18581,nEVAL,"OR")=0))</f>
      </c>
      <c r="I18581">
        <f>IF(DATOS!$I18581="","",IFERROR(VLOOKUP(DATOS!$I18581,CONFIG_ASIGNATURAS!$B$2:$J$91,9,FALSE()),""))</f>
      </c>
    </row>
    <row r="18582">
      <c r="F18582">
        <f>IF(DATOS!$A18582="","",DATOS!$A18582&amp;"|"&amp;DATOS!$D18582&amp;"|"&amp;DATOS!$E18582&amp;"|"&amp;DATOS!$I18582)</f>
      </c>
      <c r="G18582">
        <f>IF(DATOS!$A18582="",0,IF(CONFIG_METADATA!$B$4&lt;&gt;"OR+EX",--(DATOS!$G18582=CONFIG_METADATA!$B$4),IF(DATOS!$G18582="EX",1,IF(DATOS!$G18582="OR",--(COUNTIFS(nNIA,DATOS!$A18582,nCURSO,DATOS!$D18582,nESPEC,DATOS!$E18582,nASIG,DATOS!$I18582,nEVAL,"EX")=0),0))))</f>
      </c>
      <c r="H18582">
        <f>IF(DATOS!$G18582&lt;&gt;"EX",0,--(COUNTIFS(nNIA,DATOS!$A18582,nCURSO,DATOS!$D18582,nESPEC,DATOS!$E18582,nASIG,DATOS!$I18582,nEVAL,"OR")=0))</f>
      </c>
      <c r="I18582">
        <f>IF(DATOS!$I18582="","",IFERROR(VLOOKUP(DATOS!$I18582,CONFIG_ASIGNATURAS!$B$2:$J$91,9,FALSE()),""))</f>
      </c>
    </row>
    <row r="18583">
      <c r="F18583">
        <f>IF(DATOS!$A18583="","",DATOS!$A18583&amp;"|"&amp;DATOS!$D18583&amp;"|"&amp;DATOS!$E18583&amp;"|"&amp;DATOS!$I18583)</f>
      </c>
      <c r="G18583">
        <f>IF(DATOS!$A18583="",0,IF(CONFIG_METADATA!$B$4&lt;&gt;"OR+EX",--(DATOS!$G18583=CONFIG_METADATA!$B$4),IF(DATOS!$G18583="EX",1,IF(DATOS!$G18583="OR",--(COUNTIFS(nNIA,DATOS!$A18583,nCURSO,DATOS!$D18583,nESPEC,DATOS!$E18583,nASIG,DATOS!$I18583,nEVAL,"EX")=0),0))))</f>
      </c>
      <c r="H18583">
        <f>IF(DATOS!$G18583&lt;&gt;"EX",0,--(COUNTIFS(nNIA,DATOS!$A18583,nCURSO,DATOS!$D18583,nESPEC,DATOS!$E18583,nASIG,DATOS!$I18583,nEVAL,"OR")=0))</f>
      </c>
      <c r="I18583">
        <f>IF(DATOS!$I18583="","",IFERROR(VLOOKUP(DATOS!$I18583,CONFIG_ASIGNATURAS!$B$2:$J$91,9,FALSE()),""))</f>
      </c>
    </row>
    <row r="18584">
      <c r="F18584">
        <f>IF(DATOS!$A18584="","",DATOS!$A18584&amp;"|"&amp;DATOS!$D18584&amp;"|"&amp;DATOS!$E18584&amp;"|"&amp;DATOS!$I18584)</f>
      </c>
      <c r="G18584">
        <f>IF(DATOS!$A18584="",0,IF(CONFIG_METADATA!$B$4&lt;&gt;"OR+EX",--(DATOS!$G18584=CONFIG_METADATA!$B$4),IF(DATOS!$G18584="EX",1,IF(DATOS!$G18584="OR",--(COUNTIFS(nNIA,DATOS!$A18584,nCURSO,DATOS!$D18584,nESPEC,DATOS!$E18584,nASIG,DATOS!$I18584,nEVAL,"EX")=0),0))))</f>
      </c>
      <c r="H18584">
        <f>IF(DATOS!$G18584&lt;&gt;"EX",0,--(COUNTIFS(nNIA,DATOS!$A18584,nCURSO,DATOS!$D18584,nESPEC,DATOS!$E18584,nASIG,DATOS!$I18584,nEVAL,"OR")=0))</f>
      </c>
      <c r="I18584">
        <f>IF(DATOS!$I18584="","",IFERROR(VLOOKUP(DATOS!$I18584,CONFIG_ASIGNATURAS!$B$2:$J$91,9,FALSE()),""))</f>
      </c>
    </row>
    <row r="18585">
      <c r="F18585">
        <f>IF(DATOS!$A18585="","",DATOS!$A18585&amp;"|"&amp;DATOS!$D18585&amp;"|"&amp;DATOS!$E18585&amp;"|"&amp;DATOS!$I18585)</f>
      </c>
      <c r="G18585">
        <f>IF(DATOS!$A18585="",0,IF(CONFIG_METADATA!$B$4&lt;&gt;"OR+EX",--(DATOS!$G18585=CONFIG_METADATA!$B$4),IF(DATOS!$G18585="EX",1,IF(DATOS!$G18585="OR",--(COUNTIFS(nNIA,DATOS!$A18585,nCURSO,DATOS!$D18585,nESPEC,DATOS!$E18585,nASIG,DATOS!$I18585,nEVAL,"EX")=0),0))))</f>
      </c>
      <c r="H18585">
        <f>IF(DATOS!$G18585&lt;&gt;"EX",0,--(COUNTIFS(nNIA,DATOS!$A18585,nCURSO,DATOS!$D18585,nESPEC,DATOS!$E18585,nASIG,DATOS!$I18585,nEVAL,"OR")=0))</f>
      </c>
      <c r="I18585">
        <f>IF(DATOS!$I18585="","",IFERROR(VLOOKUP(DATOS!$I18585,CONFIG_ASIGNATURAS!$B$2:$J$91,9,FALSE()),""))</f>
      </c>
    </row>
    <row r="18586">
      <c r="F18586">
        <f>IF(DATOS!$A18586="","",DATOS!$A18586&amp;"|"&amp;DATOS!$D18586&amp;"|"&amp;DATOS!$E18586&amp;"|"&amp;DATOS!$I18586)</f>
      </c>
      <c r="G18586">
        <f>IF(DATOS!$A18586="",0,IF(CONFIG_METADATA!$B$4&lt;&gt;"OR+EX",--(DATOS!$G18586=CONFIG_METADATA!$B$4),IF(DATOS!$G18586="EX",1,IF(DATOS!$G18586="OR",--(COUNTIFS(nNIA,DATOS!$A18586,nCURSO,DATOS!$D18586,nESPEC,DATOS!$E18586,nASIG,DATOS!$I18586,nEVAL,"EX")=0),0))))</f>
      </c>
      <c r="H18586">
        <f>IF(DATOS!$G18586&lt;&gt;"EX",0,--(COUNTIFS(nNIA,DATOS!$A18586,nCURSO,DATOS!$D18586,nESPEC,DATOS!$E18586,nASIG,DATOS!$I18586,nEVAL,"OR")=0))</f>
      </c>
      <c r="I18586">
        <f>IF(DATOS!$I18586="","",IFERROR(VLOOKUP(DATOS!$I18586,CONFIG_ASIGNATURAS!$B$2:$J$91,9,FALSE()),""))</f>
      </c>
    </row>
    <row r="18587">
      <c r="F18587">
        <f>IF(DATOS!$A18587="","",DATOS!$A18587&amp;"|"&amp;DATOS!$D18587&amp;"|"&amp;DATOS!$E18587&amp;"|"&amp;DATOS!$I18587)</f>
      </c>
      <c r="G18587">
        <f>IF(DATOS!$A18587="",0,IF(CONFIG_METADATA!$B$4&lt;&gt;"OR+EX",--(DATOS!$G18587=CONFIG_METADATA!$B$4),IF(DATOS!$G18587="EX",1,IF(DATOS!$G18587="OR",--(COUNTIFS(nNIA,DATOS!$A18587,nCURSO,DATOS!$D18587,nESPEC,DATOS!$E18587,nASIG,DATOS!$I18587,nEVAL,"EX")=0),0))))</f>
      </c>
      <c r="H18587">
        <f>IF(DATOS!$G18587&lt;&gt;"EX",0,--(COUNTIFS(nNIA,DATOS!$A18587,nCURSO,DATOS!$D18587,nESPEC,DATOS!$E18587,nASIG,DATOS!$I18587,nEVAL,"OR")=0))</f>
      </c>
      <c r="I18587">
        <f>IF(DATOS!$I18587="","",IFERROR(VLOOKUP(DATOS!$I18587,CONFIG_ASIGNATURAS!$B$2:$J$91,9,FALSE()),""))</f>
      </c>
    </row>
    <row r="18588">
      <c r="F18588">
        <f>IF(DATOS!$A18588="","",DATOS!$A18588&amp;"|"&amp;DATOS!$D18588&amp;"|"&amp;DATOS!$E18588&amp;"|"&amp;DATOS!$I18588)</f>
      </c>
      <c r="G18588">
        <f>IF(DATOS!$A18588="",0,IF(CONFIG_METADATA!$B$4&lt;&gt;"OR+EX",--(DATOS!$G18588=CONFIG_METADATA!$B$4),IF(DATOS!$G18588="EX",1,IF(DATOS!$G18588="OR",--(COUNTIFS(nNIA,DATOS!$A18588,nCURSO,DATOS!$D18588,nESPEC,DATOS!$E18588,nASIG,DATOS!$I18588,nEVAL,"EX")=0),0))))</f>
      </c>
      <c r="H18588">
        <f>IF(DATOS!$G18588&lt;&gt;"EX",0,--(COUNTIFS(nNIA,DATOS!$A18588,nCURSO,DATOS!$D18588,nESPEC,DATOS!$E18588,nASIG,DATOS!$I18588,nEVAL,"OR")=0))</f>
      </c>
      <c r="I18588">
        <f>IF(DATOS!$I18588="","",IFERROR(VLOOKUP(DATOS!$I18588,CONFIG_ASIGNATURAS!$B$2:$J$91,9,FALSE()),""))</f>
      </c>
    </row>
    <row r="18589">
      <c r="F18589">
        <f>IF(DATOS!$A18589="","",DATOS!$A18589&amp;"|"&amp;DATOS!$D18589&amp;"|"&amp;DATOS!$E18589&amp;"|"&amp;DATOS!$I18589)</f>
      </c>
      <c r="G18589">
        <f>IF(DATOS!$A18589="",0,IF(CONFIG_METADATA!$B$4&lt;&gt;"OR+EX",--(DATOS!$G18589=CONFIG_METADATA!$B$4),IF(DATOS!$G18589="EX",1,IF(DATOS!$G18589="OR",--(COUNTIFS(nNIA,DATOS!$A18589,nCURSO,DATOS!$D18589,nESPEC,DATOS!$E18589,nASIG,DATOS!$I18589,nEVAL,"EX")=0),0))))</f>
      </c>
      <c r="H18589">
        <f>IF(DATOS!$G18589&lt;&gt;"EX",0,--(COUNTIFS(nNIA,DATOS!$A18589,nCURSO,DATOS!$D18589,nESPEC,DATOS!$E18589,nASIG,DATOS!$I18589,nEVAL,"OR")=0))</f>
      </c>
      <c r="I18589">
        <f>IF(DATOS!$I18589="","",IFERROR(VLOOKUP(DATOS!$I18589,CONFIG_ASIGNATURAS!$B$2:$J$91,9,FALSE()),""))</f>
      </c>
    </row>
    <row r="18590">
      <c r="F18590">
        <f>IF(DATOS!$A18590="","",DATOS!$A18590&amp;"|"&amp;DATOS!$D18590&amp;"|"&amp;DATOS!$E18590&amp;"|"&amp;DATOS!$I18590)</f>
      </c>
      <c r="G18590">
        <f>IF(DATOS!$A18590="",0,IF(CONFIG_METADATA!$B$4&lt;&gt;"OR+EX",--(DATOS!$G18590=CONFIG_METADATA!$B$4),IF(DATOS!$G18590="EX",1,IF(DATOS!$G18590="OR",--(COUNTIFS(nNIA,DATOS!$A18590,nCURSO,DATOS!$D18590,nESPEC,DATOS!$E18590,nASIG,DATOS!$I18590,nEVAL,"EX")=0),0))))</f>
      </c>
      <c r="H18590">
        <f>IF(DATOS!$G18590&lt;&gt;"EX",0,--(COUNTIFS(nNIA,DATOS!$A18590,nCURSO,DATOS!$D18590,nESPEC,DATOS!$E18590,nASIG,DATOS!$I18590,nEVAL,"OR")=0))</f>
      </c>
      <c r="I18590">
        <f>IF(DATOS!$I18590="","",IFERROR(VLOOKUP(DATOS!$I18590,CONFIG_ASIGNATURAS!$B$2:$J$91,9,FALSE()),""))</f>
      </c>
    </row>
    <row r="18591">
      <c r="F18591">
        <f>IF(DATOS!$A18591="","",DATOS!$A18591&amp;"|"&amp;DATOS!$D18591&amp;"|"&amp;DATOS!$E18591&amp;"|"&amp;DATOS!$I18591)</f>
      </c>
      <c r="G18591">
        <f>IF(DATOS!$A18591="",0,IF(CONFIG_METADATA!$B$4&lt;&gt;"OR+EX",--(DATOS!$G18591=CONFIG_METADATA!$B$4),IF(DATOS!$G18591="EX",1,IF(DATOS!$G18591="OR",--(COUNTIFS(nNIA,DATOS!$A18591,nCURSO,DATOS!$D18591,nESPEC,DATOS!$E18591,nASIG,DATOS!$I18591,nEVAL,"EX")=0),0))))</f>
      </c>
      <c r="H18591">
        <f>IF(DATOS!$G18591&lt;&gt;"EX",0,--(COUNTIFS(nNIA,DATOS!$A18591,nCURSO,DATOS!$D18591,nESPEC,DATOS!$E18591,nASIG,DATOS!$I18591,nEVAL,"OR")=0))</f>
      </c>
      <c r="I18591">
        <f>IF(DATOS!$I18591="","",IFERROR(VLOOKUP(DATOS!$I18591,CONFIG_ASIGNATURAS!$B$2:$J$91,9,FALSE()),""))</f>
      </c>
    </row>
    <row r="18592">
      <c r="F18592">
        <f>IF(DATOS!$A18592="","",DATOS!$A18592&amp;"|"&amp;DATOS!$D18592&amp;"|"&amp;DATOS!$E18592&amp;"|"&amp;DATOS!$I18592)</f>
      </c>
      <c r="G18592">
        <f>IF(DATOS!$A18592="",0,IF(CONFIG_METADATA!$B$4&lt;&gt;"OR+EX",--(DATOS!$G18592=CONFIG_METADATA!$B$4),IF(DATOS!$G18592="EX",1,IF(DATOS!$G18592="OR",--(COUNTIFS(nNIA,DATOS!$A18592,nCURSO,DATOS!$D18592,nESPEC,DATOS!$E18592,nASIG,DATOS!$I18592,nEVAL,"EX")=0),0))))</f>
      </c>
      <c r="H18592">
        <f>IF(DATOS!$G18592&lt;&gt;"EX",0,--(COUNTIFS(nNIA,DATOS!$A18592,nCURSO,DATOS!$D18592,nESPEC,DATOS!$E18592,nASIG,DATOS!$I18592,nEVAL,"OR")=0))</f>
      </c>
      <c r="I18592">
        <f>IF(DATOS!$I18592="","",IFERROR(VLOOKUP(DATOS!$I18592,CONFIG_ASIGNATURAS!$B$2:$J$91,9,FALSE()),""))</f>
      </c>
    </row>
    <row r="18593">
      <c r="F18593">
        <f>IF(DATOS!$A18593="","",DATOS!$A18593&amp;"|"&amp;DATOS!$D18593&amp;"|"&amp;DATOS!$E18593&amp;"|"&amp;DATOS!$I18593)</f>
      </c>
      <c r="G18593">
        <f>IF(DATOS!$A18593="",0,IF(CONFIG_METADATA!$B$4&lt;&gt;"OR+EX",--(DATOS!$G18593=CONFIG_METADATA!$B$4),IF(DATOS!$G18593="EX",1,IF(DATOS!$G18593="OR",--(COUNTIFS(nNIA,DATOS!$A18593,nCURSO,DATOS!$D18593,nESPEC,DATOS!$E18593,nASIG,DATOS!$I18593,nEVAL,"EX")=0),0))))</f>
      </c>
      <c r="H18593">
        <f>IF(DATOS!$G18593&lt;&gt;"EX",0,--(COUNTIFS(nNIA,DATOS!$A18593,nCURSO,DATOS!$D18593,nESPEC,DATOS!$E18593,nASIG,DATOS!$I18593,nEVAL,"OR")=0))</f>
      </c>
      <c r="I18593">
        <f>IF(DATOS!$I18593="","",IFERROR(VLOOKUP(DATOS!$I18593,CONFIG_ASIGNATURAS!$B$2:$J$91,9,FALSE()),""))</f>
      </c>
    </row>
    <row r="18594">
      <c r="F18594">
        <f>IF(DATOS!$A18594="","",DATOS!$A18594&amp;"|"&amp;DATOS!$D18594&amp;"|"&amp;DATOS!$E18594&amp;"|"&amp;DATOS!$I18594)</f>
      </c>
      <c r="G18594">
        <f>IF(DATOS!$A18594="",0,IF(CONFIG_METADATA!$B$4&lt;&gt;"OR+EX",--(DATOS!$G18594=CONFIG_METADATA!$B$4),IF(DATOS!$G18594="EX",1,IF(DATOS!$G18594="OR",--(COUNTIFS(nNIA,DATOS!$A18594,nCURSO,DATOS!$D18594,nESPEC,DATOS!$E18594,nASIG,DATOS!$I18594,nEVAL,"EX")=0),0))))</f>
      </c>
      <c r="H18594">
        <f>IF(DATOS!$G18594&lt;&gt;"EX",0,--(COUNTIFS(nNIA,DATOS!$A18594,nCURSO,DATOS!$D18594,nESPEC,DATOS!$E18594,nASIG,DATOS!$I18594,nEVAL,"OR")=0))</f>
      </c>
      <c r="I18594">
        <f>IF(DATOS!$I18594="","",IFERROR(VLOOKUP(DATOS!$I18594,CONFIG_ASIGNATURAS!$B$2:$J$91,9,FALSE()),""))</f>
      </c>
    </row>
    <row r="18595">
      <c r="F18595">
        <f>IF(DATOS!$A18595="","",DATOS!$A18595&amp;"|"&amp;DATOS!$D18595&amp;"|"&amp;DATOS!$E18595&amp;"|"&amp;DATOS!$I18595)</f>
      </c>
      <c r="G18595">
        <f>IF(DATOS!$A18595="",0,IF(CONFIG_METADATA!$B$4&lt;&gt;"OR+EX",--(DATOS!$G18595=CONFIG_METADATA!$B$4),IF(DATOS!$G18595="EX",1,IF(DATOS!$G18595="OR",--(COUNTIFS(nNIA,DATOS!$A18595,nCURSO,DATOS!$D18595,nESPEC,DATOS!$E18595,nASIG,DATOS!$I18595,nEVAL,"EX")=0),0))))</f>
      </c>
      <c r="H18595">
        <f>IF(DATOS!$G18595&lt;&gt;"EX",0,--(COUNTIFS(nNIA,DATOS!$A18595,nCURSO,DATOS!$D18595,nESPEC,DATOS!$E18595,nASIG,DATOS!$I18595,nEVAL,"OR")=0))</f>
      </c>
      <c r="I18595">
        <f>IF(DATOS!$I18595="","",IFERROR(VLOOKUP(DATOS!$I18595,CONFIG_ASIGNATURAS!$B$2:$J$91,9,FALSE()),""))</f>
      </c>
    </row>
    <row r="18596">
      <c r="F18596">
        <f>IF(DATOS!$A18596="","",DATOS!$A18596&amp;"|"&amp;DATOS!$D18596&amp;"|"&amp;DATOS!$E18596&amp;"|"&amp;DATOS!$I18596)</f>
      </c>
      <c r="G18596">
        <f>IF(DATOS!$A18596="",0,IF(CONFIG_METADATA!$B$4&lt;&gt;"OR+EX",--(DATOS!$G18596=CONFIG_METADATA!$B$4),IF(DATOS!$G18596="EX",1,IF(DATOS!$G18596="OR",--(COUNTIFS(nNIA,DATOS!$A18596,nCURSO,DATOS!$D18596,nESPEC,DATOS!$E18596,nASIG,DATOS!$I18596,nEVAL,"EX")=0),0))))</f>
      </c>
      <c r="H18596">
        <f>IF(DATOS!$G18596&lt;&gt;"EX",0,--(COUNTIFS(nNIA,DATOS!$A18596,nCURSO,DATOS!$D18596,nESPEC,DATOS!$E18596,nASIG,DATOS!$I18596,nEVAL,"OR")=0))</f>
      </c>
      <c r="I18596">
        <f>IF(DATOS!$I18596="","",IFERROR(VLOOKUP(DATOS!$I18596,CONFIG_ASIGNATURAS!$B$2:$J$91,9,FALSE()),""))</f>
      </c>
    </row>
    <row r="18597">
      <c r="F18597">
        <f>IF(DATOS!$A18597="","",DATOS!$A18597&amp;"|"&amp;DATOS!$D18597&amp;"|"&amp;DATOS!$E18597&amp;"|"&amp;DATOS!$I18597)</f>
      </c>
      <c r="G18597">
        <f>IF(DATOS!$A18597="",0,IF(CONFIG_METADATA!$B$4&lt;&gt;"OR+EX",--(DATOS!$G18597=CONFIG_METADATA!$B$4),IF(DATOS!$G18597="EX",1,IF(DATOS!$G18597="OR",--(COUNTIFS(nNIA,DATOS!$A18597,nCURSO,DATOS!$D18597,nESPEC,DATOS!$E18597,nASIG,DATOS!$I18597,nEVAL,"EX")=0),0))))</f>
      </c>
      <c r="H18597">
        <f>IF(DATOS!$G18597&lt;&gt;"EX",0,--(COUNTIFS(nNIA,DATOS!$A18597,nCURSO,DATOS!$D18597,nESPEC,DATOS!$E18597,nASIG,DATOS!$I18597,nEVAL,"OR")=0))</f>
      </c>
      <c r="I18597">
        <f>IF(DATOS!$I18597="","",IFERROR(VLOOKUP(DATOS!$I18597,CONFIG_ASIGNATURAS!$B$2:$J$91,9,FALSE()),""))</f>
      </c>
    </row>
    <row r="18598">
      <c r="F18598">
        <f>IF(DATOS!$A18598="","",DATOS!$A18598&amp;"|"&amp;DATOS!$D18598&amp;"|"&amp;DATOS!$E18598&amp;"|"&amp;DATOS!$I18598)</f>
      </c>
      <c r="G18598">
        <f>IF(DATOS!$A18598="",0,IF(CONFIG_METADATA!$B$4&lt;&gt;"OR+EX",--(DATOS!$G18598=CONFIG_METADATA!$B$4),IF(DATOS!$G18598="EX",1,IF(DATOS!$G18598="OR",--(COUNTIFS(nNIA,DATOS!$A18598,nCURSO,DATOS!$D18598,nESPEC,DATOS!$E18598,nASIG,DATOS!$I18598,nEVAL,"EX")=0),0))))</f>
      </c>
      <c r="H18598">
        <f>IF(DATOS!$G18598&lt;&gt;"EX",0,--(COUNTIFS(nNIA,DATOS!$A18598,nCURSO,DATOS!$D18598,nESPEC,DATOS!$E18598,nASIG,DATOS!$I18598,nEVAL,"OR")=0))</f>
      </c>
      <c r="I18598">
        <f>IF(DATOS!$I18598="","",IFERROR(VLOOKUP(DATOS!$I18598,CONFIG_ASIGNATURAS!$B$2:$J$91,9,FALSE()),""))</f>
      </c>
    </row>
    <row r="18599">
      <c r="F18599">
        <f>IF(DATOS!$A18599="","",DATOS!$A18599&amp;"|"&amp;DATOS!$D18599&amp;"|"&amp;DATOS!$E18599&amp;"|"&amp;DATOS!$I18599)</f>
      </c>
      <c r="G18599">
        <f>IF(DATOS!$A18599="",0,IF(CONFIG_METADATA!$B$4&lt;&gt;"OR+EX",--(DATOS!$G18599=CONFIG_METADATA!$B$4),IF(DATOS!$G18599="EX",1,IF(DATOS!$G18599="OR",--(COUNTIFS(nNIA,DATOS!$A18599,nCURSO,DATOS!$D18599,nESPEC,DATOS!$E18599,nASIG,DATOS!$I18599,nEVAL,"EX")=0),0))))</f>
      </c>
      <c r="H18599">
        <f>IF(DATOS!$G18599&lt;&gt;"EX",0,--(COUNTIFS(nNIA,DATOS!$A18599,nCURSO,DATOS!$D18599,nESPEC,DATOS!$E18599,nASIG,DATOS!$I18599,nEVAL,"OR")=0))</f>
      </c>
      <c r="I18599">
        <f>IF(DATOS!$I18599="","",IFERROR(VLOOKUP(DATOS!$I18599,CONFIG_ASIGNATURAS!$B$2:$J$91,9,FALSE()),""))</f>
      </c>
    </row>
    <row r="18600">
      <c r="F18600">
        <f>IF(DATOS!$A18600="","",DATOS!$A18600&amp;"|"&amp;DATOS!$D18600&amp;"|"&amp;DATOS!$E18600&amp;"|"&amp;DATOS!$I18600)</f>
      </c>
      <c r="G18600">
        <f>IF(DATOS!$A18600="",0,IF(CONFIG_METADATA!$B$4&lt;&gt;"OR+EX",--(DATOS!$G18600=CONFIG_METADATA!$B$4),IF(DATOS!$G18600="EX",1,IF(DATOS!$G18600="OR",--(COUNTIFS(nNIA,DATOS!$A18600,nCURSO,DATOS!$D18600,nESPEC,DATOS!$E18600,nASIG,DATOS!$I18600,nEVAL,"EX")=0),0))))</f>
      </c>
      <c r="H18600">
        <f>IF(DATOS!$G18600&lt;&gt;"EX",0,--(COUNTIFS(nNIA,DATOS!$A18600,nCURSO,DATOS!$D18600,nESPEC,DATOS!$E18600,nASIG,DATOS!$I18600,nEVAL,"OR")=0))</f>
      </c>
      <c r="I18600">
        <f>IF(DATOS!$I18600="","",IFERROR(VLOOKUP(DATOS!$I18600,CONFIG_ASIGNATURAS!$B$2:$J$91,9,FALSE()),""))</f>
      </c>
    </row>
    <row r="18601">
      <c r="F18601">
        <f>IF(DATOS!$A18601="","",DATOS!$A18601&amp;"|"&amp;DATOS!$D18601&amp;"|"&amp;DATOS!$E18601&amp;"|"&amp;DATOS!$I18601)</f>
      </c>
      <c r="G18601">
        <f>IF(DATOS!$A18601="",0,IF(CONFIG_METADATA!$B$4&lt;&gt;"OR+EX",--(DATOS!$G18601=CONFIG_METADATA!$B$4),IF(DATOS!$G18601="EX",1,IF(DATOS!$G18601="OR",--(COUNTIFS(nNIA,DATOS!$A18601,nCURSO,DATOS!$D18601,nESPEC,DATOS!$E18601,nASIG,DATOS!$I18601,nEVAL,"EX")=0),0))))</f>
      </c>
      <c r="H18601">
        <f>IF(DATOS!$G18601&lt;&gt;"EX",0,--(COUNTIFS(nNIA,DATOS!$A18601,nCURSO,DATOS!$D18601,nESPEC,DATOS!$E18601,nASIG,DATOS!$I18601,nEVAL,"OR")=0))</f>
      </c>
      <c r="I18601">
        <f>IF(DATOS!$I18601="","",IFERROR(VLOOKUP(DATOS!$I18601,CONFIG_ASIGNATURAS!$B$2:$J$91,9,FALSE()),""))</f>
      </c>
    </row>
    <row r="18602">
      <c r="F18602">
        <f>IF(DATOS!$A18602="","",DATOS!$A18602&amp;"|"&amp;DATOS!$D18602&amp;"|"&amp;DATOS!$E18602&amp;"|"&amp;DATOS!$I18602)</f>
      </c>
      <c r="G18602">
        <f>IF(DATOS!$A18602="",0,IF(CONFIG_METADATA!$B$4&lt;&gt;"OR+EX",--(DATOS!$G18602=CONFIG_METADATA!$B$4),IF(DATOS!$G18602="EX",1,IF(DATOS!$G18602="OR",--(COUNTIFS(nNIA,DATOS!$A18602,nCURSO,DATOS!$D18602,nESPEC,DATOS!$E18602,nASIG,DATOS!$I18602,nEVAL,"EX")=0),0))))</f>
      </c>
      <c r="H18602">
        <f>IF(DATOS!$G18602&lt;&gt;"EX",0,--(COUNTIFS(nNIA,DATOS!$A18602,nCURSO,DATOS!$D18602,nESPEC,DATOS!$E18602,nASIG,DATOS!$I18602,nEVAL,"OR")=0))</f>
      </c>
      <c r="I18602">
        <f>IF(DATOS!$I18602="","",IFERROR(VLOOKUP(DATOS!$I18602,CONFIG_ASIGNATURAS!$B$2:$J$91,9,FALSE()),""))</f>
      </c>
    </row>
    <row r="18603">
      <c r="F18603">
        <f>IF(DATOS!$A18603="","",DATOS!$A18603&amp;"|"&amp;DATOS!$D18603&amp;"|"&amp;DATOS!$E18603&amp;"|"&amp;DATOS!$I18603)</f>
      </c>
      <c r="G18603">
        <f>IF(DATOS!$A18603="",0,IF(CONFIG_METADATA!$B$4&lt;&gt;"OR+EX",--(DATOS!$G18603=CONFIG_METADATA!$B$4),IF(DATOS!$G18603="EX",1,IF(DATOS!$G18603="OR",--(COUNTIFS(nNIA,DATOS!$A18603,nCURSO,DATOS!$D18603,nESPEC,DATOS!$E18603,nASIG,DATOS!$I18603,nEVAL,"EX")=0),0))))</f>
      </c>
      <c r="H18603">
        <f>IF(DATOS!$G18603&lt;&gt;"EX",0,--(COUNTIFS(nNIA,DATOS!$A18603,nCURSO,DATOS!$D18603,nESPEC,DATOS!$E18603,nASIG,DATOS!$I18603,nEVAL,"OR")=0))</f>
      </c>
      <c r="I18603">
        <f>IF(DATOS!$I18603="","",IFERROR(VLOOKUP(DATOS!$I18603,CONFIG_ASIGNATURAS!$B$2:$J$91,9,FALSE()),""))</f>
      </c>
    </row>
    <row r="18604">
      <c r="F18604">
        <f>IF(DATOS!$A18604="","",DATOS!$A18604&amp;"|"&amp;DATOS!$D18604&amp;"|"&amp;DATOS!$E18604&amp;"|"&amp;DATOS!$I18604)</f>
      </c>
      <c r="G18604">
        <f>IF(DATOS!$A18604="",0,IF(CONFIG_METADATA!$B$4&lt;&gt;"OR+EX",--(DATOS!$G18604=CONFIG_METADATA!$B$4),IF(DATOS!$G18604="EX",1,IF(DATOS!$G18604="OR",--(COUNTIFS(nNIA,DATOS!$A18604,nCURSO,DATOS!$D18604,nESPEC,DATOS!$E18604,nASIG,DATOS!$I18604,nEVAL,"EX")=0),0))))</f>
      </c>
      <c r="H18604">
        <f>IF(DATOS!$G18604&lt;&gt;"EX",0,--(COUNTIFS(nNIA,DATOS!$A18604,nCURSO,DATOS!$D18604,nESPEC,DATOS!$E18604,nASIG,DATOS!$I18604,nEVAL,"OR")=0))</f>
      </c>
      <c r="I18604">
        <f>IF(DATOS!$I18604="","",IFERROR(VLOOKUP(DATOS!$I18604,CONFIG_ASIGNATURAS!$B$2:$J$91,9,FALSE()),""))</f>
      </c>
    </row>
    <row r="18605">
      <c r="F18605">
        <f>IF(DATOS!$A18605="","",DATOS!$A18605&amp;"|"&amp;DATOS!$D18605&amp;"|"&amp;DATOS!$E18605&amp;"|"&amp;DATOS!$I18605)</f>
      </c>
      <c r="G18605">
        <f>IF(DATOS!$A18605="",0,IF(CONFIG_METADATA!$B$4&lt;&gt;"OR+EX",--(DATOS!$G18605=CONFIG_METADATA!$B$4),IF(DATOS!$G18605="EX",1,IF(DATOS!$G18605="OR",--(COUNTIFS(nNIA,DATOS!$A18605,nCURSO,DATOS!$D18605,nESPEC,DATOS!$E18605,nASIG,DATOS!$I18605,nEVAL,"EX")=0),0))))</f>
      </c>
      <c r="H18605">
        <f>IF(DATOS!$G18605&lt;&gt;"EX",0,--(COUNTIFS(nNIA,DATOS!$A18605,nCURSO,DATOS!$D18605,nESPEC,DATOS!$E18605,nASIG,DATOS!$I18605,nEVAL,"OR")=0))</f>
      </c>
      <c r="I18605">
        <f>IF(DATOS!$I18605="","",IFERROR(VLOOKUP(DATOS!$I18605,CONFIG_ASIGNATURAS!$B$2:$J$91,9,FALSE()),""))</f>
      </c>
    </row>
    <row r="18606">
      <c r="F18606">
        <f>IF(DATOS!$A18606="","",DATOS!$A18606&amp;"|"&amp;DATOS!$D18606&amp;"|"&amp;DATOS!$E18606&amp;"|"&amp;DATOS!$I18606)</f>
      </c>
      <c r="G18606">
        <f>IF(DATOS!$A18606="",0,IF(CONFIG_METADATA!$B$4&lt;&gt;"OR+EX",--(DATOS!$G18606=CONFIG_METADATA!$B$4),IF(DATOS!$G18606="EX",1,IF(DATOS!$G18606="OR",--(COUNTIFS(nNIA,DATOS!$A18606,nCURSO,DATOS!$D18606,nESPEC,DATOS!$E18606,nASIG,DATOS!$I18606,nEVAL,"EX")=0),0))))</f>
      </c>
      <c r="H18606">
        <f>IF(DATOS!$G18606&lt;&gt;"EX",0,--(COUNTIFS(nNIA,DATOS!$A18606,nCURSO,DATOS!$D18606,nESPEC,DATOS!$E18606,nASIG,DATOS!$I18606,nEVAL,"OR")=0))</f>
      </c>
      <c r="I18606">
        <f>IF(DATOS!$I18606="","",IFERROR(VLOOKUP(DATOS!$I18606,CONFIG_ASIGNATURAS!$B$2:$J$91,9,FALSE()),""))</f>
      </c>
    </row>
    <row r="18607">
      <c r="F18607">
        <f>IF(DATOS!$A18607="","",DATOS!$A18607&amp;"|"&amp;DATOS!$D18607&amp;"|"&amp;DATOS!$E18607&amp;"|"&amp;DATOS!$I18607)</f>
      </c>
      <c r="G18607">
        <f>IF(DATOS!$A18607="",0,IF(CONFIG_METADATA!$B$4&lt;&gt;"OR+EX",--(DATOS!$G18607=CONFIG_METADATA!$B$4),IF(DATOS!$G18607="EX",1,IF(DATOS!$G18607="OR",--(COUNTIFS(nNIA,DATOS!$A18607,nCURSO,DATOS!$D18607,nESPEC,DATOS!$E18607,nASIG,DATOS!$I18607,nEVAL,"EX")=0),0))))</f>
      </c>
      <c r="H18607">
        <f>IF(DATOS!$G18607&lt;&gt;"EX",0,--(COUNTIFS(nNIA,DATOS!$A18607,nCURSO,DATOS!$D18607,nESPEC,DATOS!$E18607,nASIG,DATOS!$I18607,nEVAL,"OR")=0))</f>
      </c>
      <c r="I18607">
        <f>IF(DATOS!$I18607="","",IFERROR(VLOOKUP(DATOS!$I18607,CONFIG_ASIGNATURAS!$B$2:$J$91,9,FALSE()),""))</f>
      </c>
    </row>
    <row r="18608">
      <c r="F18608">
        <f>IF(DATOS!$A18608="","",DATOS!$A18608&amp;"|"&amp;DATOS!$D18608&amp;"|"&amp;DATOS!$E18608&amp;"|"&amp;DATOS!$I18608)</f>
      </c>
      <c r="G18608">
        <f>IF(DATOS!$A18608="",0,IF(CONFIG_METADATA!$B$4&lt;&gt;"OR+EX",--(DATOS!$G18608=CONFIG_METADATA!$B$4),IF(DATOS!$G18608="EX",1,IF(DATOS!$G18608="OR",--(COUNTIFS(nNIA,DATOS!$A18608,nCURSO,DATOS!$D18608,nESPEC,DATOS!$E18608,nASIG,DATOS!$I18608,nEVAL,"EX")=0),0))))</f>
      </c>
      <c r="H18608">
        <f>IF(DATOS!$G18608&lt;&gt;"EX",0,--(COUNTIFS(nNIA,DATOS!$A18608,nCURSO,DATOS!$D18608,nESPEC,DATOS!$E18608,nASIG,DATOS!$I18608,nEVAL,"OR")=0))</f>
      </c>
      <c r="I18608">
        <f>IF(DATOS!$I18608="","",IFERROR(VLOOKUP(DATOS!$I18608,CONFIG_ASIGNATURAS!$B$2:$J$91,9,FALSE()),""))</f>
      </c>
    </row>
    <row r="18609">
      <c r="F18609">
        <f>IF(DATOS!$A18609="","",DATOS!$A18609&amp;"|"&amp;DATOS!$D18609&amp;"|"&amp;DATOS!$E18609&amp;"|"&amp;DATOS!$I18609)</f>
      </c>
      <c r="G18609">
        <f>IF(DATOS!$A18609="",0,IF(CONFIG_METADATA!$B$4&lt;&gt;"OR+EX",--(DATOS!$G18609=CONFIG_METADATA!$B$4),IF(DATOS!$G18609="EX",1,IF(DATOS!$G18609="OR",--(COUNTIFS(nNIA,DATOS!$A18609,nCURSO,DATOS!$D18609,nESPEC,DATOS!$E18609,nASIG,DATOS!$I18609,nEVAL,"EX")=0),0))))</f>
      </c>
      <c r="H18609">
        <f>IF(DATOS!$G18609&lt;&gt;"EX",0,--(COUNTIFS(nNIA,DATOS!$A18609,nCURSO,DATOS!$D18609,nESPEC,DATOS!$E18609,nASIG,DATOS!$I18609,nEVAL,"OR")=0))</f>
      </c>
      <c r="I18609">
        <f>IF(DATOS!$I18609="","",IFERROR(VLOOKUP(DATOS!$I18609,CONFIG_ASIGNATURAS!$B$2:$J$91,9,FALSE()),""))</f>
      </c>
    </row>
    <row r="18610">
      <c r="F18610">
        <f>IF(DATOS!$A18610="","",DATOS!$A18610&amp;"|"&amp;DATOS!$D18610&amp;"|"&amp;DATOS!$E18610&amp;"|"&amp;DATOS!$I18610)</f>
      </c>
      <c r="G18610">
        <f>IF(DATOS!$A18610="",0,IF(CONFIG_METADATA!$B$4&lt;&gt;"OR+EX",--(DATOS!$G18610=CONFIG_METADATA!$B$4),IF(DATOS!$G18610="EX",1,IF(DATOS!$G18610="OR",--(COUNTIFS(nNIA,DATOS!$A18610,nCURSO,DATOS!$D18610,nESPEC,DATOS!$E18610,nASIG,DATOS!$I18610,nEVAL,"EX")=0),0))))</f>
      </c>
      <c r="H18610">
        <f>IF(DATOS!$G18610&lt;&gt;"EX",0,--(COUNTIFS(nNIA,DATOS!$A18610,nCURSO,DATOS!$D18610,nESPEC,DATOS!$E18610,nASIG,DATOS!$I18610,nEVAL,"OR")=0))</f>
      </c>
      <c r="I18610">
        <f>IF(DATOS!$I18610="","",IFERROR(VLOOKUP(DATOS!$I18610,CONFIG_ASIGNATURAS!$B$2:$J$91,9,FALSE()),""))</f>
      </c>
    </row>
    <row r="18611">
      <c r="F18611">
        <f>IF(DATOS!$A18611="","",DATOS!$A18611&amp;"|"&amp;DATOS!$D18611&amp;"|"&amp;DATOS!$E18611&amp;"|"&amp;DATOS!$I18611)</f>
      </c>
      <c r="G18611">
        <f>IF(DATOS!$A18611="",0,IF(CONFIG_METADATA!$B$4&lt;&gt;"OR+EX",--(DATOS!$G18611=CONFIG_METADATA!$B$4),IF(DATOS!$G18611="EX",1,IF(DATOS!$G18611="OR",--(COUNTIFS(nNIA,DATOS!$A18611,nCURSO,DATOS!$D18611,nESPEC,DATOS!$E18611,nASIG,DATOS!$I18611,nEVAL,"EX")=0),0))))</f>
      </c>
      <c r="H18611">
        <f>IF(DATOS!$G18611&lt;&gt;"EX",0,--(COUNTIFS(nNIA,DATOS!$A18611,nCURSO,DATOS!$D18611,nESPEC,DATOS!$E18611,nASIG,DATOS!$I18611,nEVAL,"OR")=0))</f>
      </c>
      <c r="I18611">
        <f>IF(DATOS!$I18611="","",IFERROR(VLOOKUP(DATOS!$I18611,CONFIG_ASIGNATURAS!$B$2:$J$91,9,FALSE()),""))</f>
      </c>
    </row>
    <row r="18612">
      <c r="F18612">
        <f>IF(DATOS!$A18612="","",DATOS!$A18612&amp;"|"&amp;DATOS!$D18612&amp;"|"&amp;DATOS!$E18612&amp;"|"&amp;DATOS!$I18612)</f>
      </c>
      <c r="G18612">
        <f>IF(DATOS!$A18612="",0,IF(CONFIG_METADATA!$B$4&lt;&gt;"OR+EX",--(DATOS!$G18612=CONFIG_METADATA!$B$4),IF(DATOS!$G18612="EX",1,IF(DATOS!$G18612="OR",--(COUNTIFS(nNIA,DATOS!$A18612,nCURSO,DATOS!$D18612,nESPEC,DATOS!$E18612,nASIG,DATOS!$I18612,nEVAL,"EX")=0),0))))</f>
      </c>
      <c r="H18612">
        <f>IF(DATOS!$G18612&lt;&gt;"EX",0,--(COUNTIFS(nNIA,DATOS!$A18612,nCURSO,DATOS!$D18612,nESPEC,DATOS!$E18612,nASIG,DATOS!$I18612,nEVAL,"OR")=0))</f>
      </c>
      <c r="I18612">
        <f>IF(DATOS!$I18612="","",IFERROR(VLOOKUP(DATOS!$I18612,CONFIG_ASIGNATURAS!$B$2:$J$91,9,FALSE()),""))</f>
      </c>
    </row>
    <row r="18613">
      <c r="F18613">
        <f>IF(DATOS!$A18613="","",DATOS!$A18613&amp;"|"&amp;DATOS!$D18613&amp;"|"&amp;DATOS!$E18613&amp;"|"&amp;DATOS!$I18613)</f>
      </c>
      <c r="G18613">
        <f>IF(DATOS!$A18613="",0,IF(CONFIG_METADATA!$B$4&lt;&gt;"OR+EX",--(DATOS!$G18613=CONFIG_METADATA!$B$4),IF(DATOS!$G18613="EX",1,IF(DATOS!$G18613="OR",--(COUNTIFS(nNIA,DATOS!$A18613,nCURSO,DATOS!$D18613,nESPEC,DATOS!$E18613,nASIG,DATOS!$I18613,nEVAL,"EX")=0),0))))</f>
      </c>
      <c r="H18613">
        <f>IF(DATOS!$G18613&lt;&gt;"EX",0,--(COUNTIFS(nNIA,DATOS!$A18613,nCURSO,DATOS!$D18613,nESPEC,DATOS!$E18613,nASIG,DATOS!$I18613,nEVAL,"OR")=0))</f>
      </c>
      <c r="I18613">
        <f>IF(DATOS!$I18613="","",IFERROR(VLOOKUP(DATOS!$I18613,CONFIG_ASIGNATURAS!$B$2:$J$91,9,FALSE()),""))</f>
      </c>
    </row>
    <row r="18614">
      <c r="F18614">
        <f>IF(DATOS!$A18614="","",DATOS!$A18614&amp;"|"&amp;DATOS!$D18614&amp;"|"&amp;DATOS!$E18614&amp;"|"&amp;DATOS!$I18614)</f>
      </c>
      <c r="G18614">
        <f>IF(DATOS!$A18614="",0,IF(CONFIG_METADATA!$B$4&lt;&gt;"OR+EX",--(DATOS!$G18614=CONFIG_METADATA!$B$4),IF(DATOS!$G18614="EX",1,IF(DATOS!$G18614="OR",--(COUNTIFS(nNIA,DATOS!$A18614,nCURSO,DATOS!$D18614,nESPEC,DATOS!$E18614,nASIG,DATOS!$I18614,nEVAL,"EX")=0),0))))</f>
      </c>
      <c r="H18614">
        <f>IF(DATOS!$G18614&lt;&gt;"EX",0,--(COUNTIFS(nNIA,DATOS!$A18614,nCURSO,DATOS!$D18614,nESPEC,DATOS!$E18614,nASIG,DATOS!$I18614,nEVAL,"OR")=0))</f>
      </c>
      <c r="I18614">
        <f>IF(DATOS!$I18614="","",IFERROR(VLOOKUP(DATOS!$I18614,CONFIG_ASIGNATURAS!$B$2:$J$91,9,FALSE()),""))</f>
      </c>
    </row>
    <row r="18615">
      <c r="F18615">
        <f>IF(DATOS!$A18615="","",DATOS!$A18615&amp;"|"&amp;DATOS!$D18615&amp;"|"&amp;DATOS!$E18615&amp;"|"&amp;DATOS!$I18615)</f>
      </c>
      <c r="G18615">
        <f>IF(DATOS!$A18615="",0,IF(CONFIG_METADATA!$B$4&lt;&gt;"OR+EX",--(DATOS!$G18615=CONFIG_METADATA!$B$4),IF(DATOS!$G18615="EX",1,IF(DATOS!$G18615="OR",--(COUNTIFS(nNIA,DATOS!$A18615,nCURSO,DATOS!$D18615,nESPEC,DATOS!$E18615,nASIG,DATOS!$I18615,nEVAL,"EX")=0),0))))</f>
      </c>
      <c r="H18615">
        <f>IF(DATOS!$G18615&lt;&gt;"EX",0,--(COUNTIFS(nNIA,DATOS!$A18615,nCURSO,DATOS!$D18615,nESPEC,DATOS!$E18615,nASIG,DATOS!$I18615,nEVAL,"OR")=0))</f>
      </c>
      <c r="I18615">
        <f>IF(DATOS!$I18615="","",IFERROR(VLOOKUP(DATOS!$I18615,CONFIG_ASIGNATURAS!$B$2:$J$91,9,FALSE()),""))</f>
      </c>
    </row>
    <row r="18616">
      <c r="F18616">
        <f>IF(DATOS!$A18616="","",DATOS!$A18616&amp;"|"&amp;DATOS!$D18616&amp;"|"&amp;DATOS!$E18616&amp;"|"&amp;DATOS!$I18616)</f>
      </c>
      <c r="G18616">
        <f>IF(DATOS!$A18616="",0,IF(CONFIG_METADATA!$B$4&lt;&gt;"OR+EX",--(DATOS!$G18616=CONFIG_METADATA!$B$4),IF(DATOS!$G18616="EX",1,IF(DATOS!$G18616="OR",--(COUNTIFS(nNIA,DATOS!$A18616,nCURSO,DATOS!$D18616,nESPEC,DATOS!$E18616,nASIG,DATOS!$I18616,nEVAL,"EX")=0),0))))</f>
      </c>
      <c r="H18616">
        <f>IF(DATOS!$G18616&lt;&gt;"EX",0,--(COUNTIFS(nNIA,DATOS!$A18616,nCURSO,DATOS!$D18616,nESPEC,DATOS!$E18616,nASIG,DATOS!$I18616,nEVAL,"OR")=0))</f>
      </c>
      <c r="I18616">
        <f>IF(DATOS!$I18616="","",IFERROR(VLOOKUP(DATOS!$I18616,CONFIG_ASIGNATURAS!$B$2:$J$91,9,FALSE()),""))</f>
      </c>
    </row>
    <row r="18617">
      <c r="F18617">
        <f>IF(DATOS!$A18617="","",DATOS!$A18617&amp;"|"&amp;DATOS!$D18617&amp;"|"&amp;DATOS!$E18617&amp;"|"&amp;DATOS!$I18617)</f>
      </c>
      <c r="G18617">
        <f>IF(DATOS!$A18617="",0,IF(CONFIG_METADATA!$B$4&lt;&gt;"OR+EX",--(DATOS!$G18617=CONFIG_METADATA!$B$4),IF(DATOS!$G18617="EX",1,IF(DATOS!$G18617="OR",--(COUNTIFS(nNIA,DATOS!$A18617,nCURSO,DATOS!$D18617,nESPEC,DATOS!$E18617,nASIG,DATOS!$I18617,nEVAL,"EX")=0),0))))</f>
      </c>
      <c r="H18617">
        <f>IF(DATOS!$G18617&lt;&gt;"EX",0,--(COUNTIFS(nNIA,DATOS!$A18617,nCURSO,DATOS!$D18617,nESPEC,DATOS!$E18617,nASIG,DATOS!$I18617,nEVAL,"OR")=0))</f>
      </c>
      <c r="I18617">
        <f>IF(DATOS!$I18617="","",IFERROR(VLOOKUP(DATOS!$I18617,CONFIG_ASIGNATURAS!$B$2:$J$91,9,FALSE()),""))</f>
      </c>
    </row>
    <row r="18618">
      <c r="F18618">
        <f>IF(DATOS!$A18618="","",DATOS!$A18618&amp;"|"&amp;DATOS!$D18618&amp;"|"&amp;DATOS!$E18618&amp;"|"&amp;DATOS!$I18618)</f>
      </c>
      <c r="G18618">
        <f>IF(DATOS!$A18618="",0,IF(CONFIG_METADATA!$B$4&lt;&gt;"OR+EX",--(DATOS!$G18618=CONFIG_METADATA!$B$4),IF(DATOS!$G18618="EX",1,IF(DATOS!$G18618="OR",--(COUNTIFS(nNIA,DATOS!$A18618,nCURSO,DATOS!$D18618,nESPEC,DATOS!$E18618,nASIG,DATOS!$I18618,nEVAL,"EX")=0),0))))</f>
      </c>
      <c r="H18618">
        <f>IF(DATOS!$G18618&lt;&gt;"EX",0,--(COUNTIFS(nNIA,DATOS!$A18618,nCURSO,DATOS!$D18618,nESPEC,DATOS!$E18618,nASIG,DATOS!$I18618,nEVAL,"OR")=0))</f>
      </c>
      <c r="I18618">
        <f>IF(DATOS!$I18618="","",IFERROR(VLOOKUP(DATOS!$I18618,CONFIG_ASIGNATURAS!$B$2:$J$91,9,FALSE()),""))</f>
      </c>
    </row>
    <row r="18619">
      <c r="F18619">
        <f>IF(DATOS!$A18619="","",DATOS!$A18619&amp;"|"&amp;DATOS!$D18619&amp;"|"&amp;DATOS!$E18619&amp;"|"&amp;DATOS!$I18619)</f>
      </c>
      <c r="G18619">
        <f>IF(DATOS!$A18619="",0,IF(CONFIG_METADATA!$B$4&lt;&gt;"OR+EX",--(DATOS!$G18619=CONFIG_METADATA!$B$4),IF(DATOS!$G18619="EX",1,IF(DATOS!$G18619="OR",--(COUNTIFS(nNIA,DATOS!$A18619,nCURSO,DATOS!$D18619,nESPEC,DATOS!$E18619,nASIG,DATOS!$I18619,nEVAL,"EX")=0),0))))</f>
      </c>
      <c r="H18619">
        <f>IF(DATOS!$G18619&lt;&gt;"EX",0,--(COUNTIFS(nNIA,DATOS!$A18619,nCURSO,DATOS!$D18619,nESPEC,DATOS!$E18619,nASIG,DATOS!$I18619,nEVAL,"OR")=0))</f>
      </c>
      <c r="I18619">
        <f>IF(DATOS!$I18619="","",IFERROR(VLOOKUP(DATOS!$I18619,CONFIG_ASIGNATURAS!$B$2:$J$91,9,FALSE()),""))</f>
      </c>
    </row>
    <row r="18620">
      <c r="F18620">
        <f>IF(DATOS!$A18620="","",DATOS!$A18620&amp;"|"&amp;DATOS!$D18620&amp;"|"&amp;DATOS!$E18620&amp;"|"&amp;DATOS!$I18620)</f>
      </c>
      <c r="G18620">
        <f>IF(DATOS!$A18620="",0,IF(CONFIG_METADATA!$B$4&lt;&gt;"OR+EX",--(DATOS!$G18620=CONFIG_METADATA!$B$4),IF(DATOS!$G18620="EX",1,IF(DATOS!$G18620="OR",--(COUNTIFS(nNIA,DATOS!$A18620,nCURSO,DATOS!$D18620,nESPEC,DATOS!$E18620,nASIG,DATOS!$I18620,nEVAL,"EX")=0),0))))</f>
      </c>
      <c r="H18620">
        <f>IF(DATOS!$G18620&lt;&gt;"EX",0,--(COUNTIFS(nNIA,DATOS!$A18620,nCURSO,DATOS!$D18620,nESPEC,DATOS!$E18620,nASIG,DATOS!$I18620,nEVAL,"OR")=0))</f>
      </c>
      <c r="I18620">
        <f>IF(DATOS!$I18620="","",IFERROR(VLOOKUP(DATOS!$I18620,CONFIG_ASIGNATURAS!$B$2:$J$91,9,FALSE()),""))</f>
      </c>
    </row>
    <row r="18621">
      <c r="F18621">
        <f>IF(DATOS!$A18621="","",DATOS!$A18621&amp;"|"&amp;DATOS!$D18621&amp;"|"&amp;DATOS!$E18621&amp;"|"&amp;DATOS!$I18621)</f>
      </c>
      <c r="G18621">
        <f>IF(DATOS!$A18621="",0,IF(CONFIG_METADATA!$B$4&lt;&gt;"OR+EX",--(DATOS!$G18621=CONFIG_METADATA!$B$4),IF(DATOS!$G18621="EX",1,IF(DATOS!$G18621="OR",--(COUNTIFS(nNIA,DATOS!$A18621,nCURSO,DATOS!$D18621,nESPEC,DATOS!$E18621,nASIG,DATOS!$I18621,nEVAL,"EX")=0),0))))</f>
      </c>
      <c r="H18621">
        <f>IF(DATOS!$G18621&lt;&gt;"EX",0,--(COUNTIFS(nNIA,DATOS!$A18621,nCURSO,DATOS!$D18621,nESPEC,DATOS!$E18621,nASIG,DATOS!$I18621,nEVAL,"OR")=0))</f>
      </c>
      <c r="I18621">
        <f>IF(DATOS!$I18621="","",IFERROR(VLOOKUP(DATOS!$I18621,CONFIG_ASIGNATURAS!$B$2:$J$91,9,FALSE()),""))</f>
      </c>
    </row>
    <row r="18622">
      <c r="F18622">
        <f>IF(DATOS!$A18622="","",DATOS!$A18622&amp;"|"&amp;DATOS!$D18622&amp;"|"&amp;DATOS!$E18622&amp;"|"&amp;DATOS!$I18622)</f>
      </c>
      <c r="G18622">
        <f>IF(DATOS!$A18622="",0,IF(CONFIG_METADATA!$B$4&lt;&gt;"OR+EX",--(DATOS!$G18622=CONFIG_METADATA!$B$4),IF(DATOS!$G18622="EX",1,IF(DATOS!$G18622="OR",--(COUNTIFS(nNIA,DATOS!$A18622,nCURSO,DATOS!$D18622,nESPEC,DATOS!$E18622,nASIG,DATOS!$I18622,nEVAL,"EX")=0),0))))</f>
      </c>
      <c r="H18622">
        <f>IF(DATOS!$G18622&lt;&gt;"EX",0,--(COUNTIFS(nNIA,DATOS!$A18622,nCURSO,DATOS!$D18622,nESPEC,DATOS!$E18622,nASIG,DATOS!$I18622,nEVAL,"OR")=0))</f>
      </c>
      <c r="I18622">
        <f>IF(DATOS!$I18622="","",IFERROR(VLOOKUP(DATOS!$I18622,CONFIG_ASIGNATURAS!$B$2:$J$91,9,FALSE()),""))</f>
      </c>
    </row>
    <row r="18623">
      <c r="F18623">
        <f>IF(DATOS!$A18623="","",DATOS!$A18623&amp;"|"&amp;DATOS!$D18623&amp;"|"&amp;DATOS!$E18623&amp;"|"&amp;DATOS!$I18623)</f>
      </c>
      <c r="G18623">
        <f>IF(DATOS!$A18623="",0,IF(CONFIG_METADATA!$B$4&lt;&gt;"OR+EX",--(DATOS!$G18623=CONFIG_METADATA!$B$4),IF(DATOS!$G18623="EX",1,IF(DATOS!$G18623="OR",--(COUNTIFS(nNIA,DATOS!$A18623,nCURSO,DATOS!$D18623,nESPEC,DATOS!$E18623,nASIG,DATOS!$I18623,nEVAL,"EX")=0),0))))</f>
      </c>
      <c r="H18623">
        <f>IF(DATOS!$G18623&lt;&gt;"EX",0,--(COUNTIFS(nNIA,DATOS!$A18623,nCURSO,DATOS!$D18623,nESPEC,DATOS!$E18623,nASIG,DATOS!$I18623,nEVAL,"OR")=0))</f>
      </c>
      <c r="I18623">
        <f>IF(DATOS!$I18623="","",IFERROR(VLOOKUP(DATOS!$I18623,CONFIG_ASIGNATURAS!$B$2:$J$91,9,FALSE()),""))</f>
      </c>
    </row>
    <row r="18624">
      <c r="F18624">
        <f>IF(DATOS!$A18624="","",DATOS!$A18624&amp;"|"&amp;DATOS!$D18624&amp;"|"&amp;DATOS!$E18624&amp;"|"&amp;DATOS!$I18624)</f>
      </c>
      <c r="G18624">
        <f>IF(DATOS!$A18624="",0,IF(CONFIG_METADATA!$B$4&lt;&gt;"OR+EX",--(DATOS!$G18624=CONFIG_METADATA!$B$4),IF(DATOS!$G18624="EX",1,IF(DATOS!$G18624="OR",--(COUNTIFS(nNIA,DATOS!$A18624,nCURSO,DATOS!$D18624,nESPEC,DATOS!$E18624,nASIG,DATOS!$I18624,nEVAL,"EX")=0),0))))</f>
      </c>
      <c r="H18624">
        <f>IF(DATOS!$G18624&lt;&gt;"EX",0,--(COUNTIFS(nNIA,DATOS!$A18624,nCURSO,DATOS!$D18624,nESPEC,DATOS!$E18624,nASIG,DATOS!$I18624,nEVAL,"OR")=0))</f>
      </c>
      <c r="I18624">
        <f>IF(DATOS!$I18624="","",IFERROR(VLOOKUP(DATOS!$I18624,CONFIG_ASIGNATURAS!$B$2:$J$91,9,FALSE()),""))</f>
      </c>
    </row>
    <row r="18625">
      <c r="F18625">
        <f>IF(DATOS!$A18625="","",DATOS!$A18625&amp;"|"&amp;DATOS!$D18625&amp;"|"&amp;DATOS!$E18625&amp;"|"&amp;DATOS!$I18625)</f>
      </c>
      <c r="G18625">
        <f>IF(DATOS!$A18625="",0,IF(CONFIG_METADATA!$B$4&lt;&gt;"OR+EX",--(DATOS!$G18625=CONFIG_METADATA!$B$4),IF(DATOS!$G18625="EX",1,IF(DATOS!$G18625="OR",--(COUNTIFS(nNIA,DATOS!$A18625,nCURSO,DATOS!$D18625,nESPEC,DATOS!$E18625,nASIG,DATOS!$I18625,nEVAL,"EX")=0),0))))</f>
      </c>
      <c r="H18625">
        <f>IF(DATOS!$G18625&lt;&gt;"EX",0,--(COUNTIFS(nNIA,DATOS!$A18625,nCURSO,DATOS!$D18625,nESPEC,DATOS!$E18625,nASIG,DATOS!$I18625,nEVAL,"OR")=0))</f>
      </c>
      <c r="I18625">
        <f>IF(DATOS!$I18625="","",IFERROR(VLOOKUP(DATOS!$I18625,CONFIG_ASIGNATURAS!$B$2:$J$91,9,FALSE()),""))</f>
      </c>
    </row>
    <row r="18626">
      <c r="F18626">
        <f>IF(DATOS!$A18626="","",DATOS!$A18626&amp;"|"&amp;DATOS!$D18626&amp;"|"&amp;DATOS!$E18626&amp;"|"&amp;DATOS!$I18626)</f>
      </c>
      <c r="G18626">
        <f>IF(DATOS!$A18626="",0,IF(CONFIG_METADATA!$B$4&lt;&gt;"OR+EX",--(DATOS!$G18626=CONFIG_METADATA!$B$4),IF(DATOS!$G18626="EX",1,IF(DATOS!$G18626="OR",--(COUNTIFS(nNIA,DATOS!$A18626,nCURSO,DATOS!$D18626,nESPEC,DATOS!$E18626,nASIG,DATOS!$I18626,nEVAL,"EX")=0),0))))</f>
      </c>
      <c r="H18626">
        <f>IF(DATOS!$G18626&lt;&gt;"EX",0,--(COUNTIFS(nNIA,DATOS!$A18626,nCURSO,DATOS!$D18626,nESPEC,DATOS!$E18626,nASIG,DATOS!$I18626,nEVAL,"OR")=0))</f>
      </c>
      <c r="I18626">
        <f>IF(DATOS!$I18626="","",IFERROR(VLOOKUP(DATOS!$I18626,CONFIG_ASIGNATURAS!$B$2:$J$91,9,FALSE()),""))</f>
      </c>
    </row>
    <row r="18627">
      <c r="F18627">
        <f>IF(DATOS!$A18627="","",DATOS!$A18627&amp;"|"&amp;DATOS!$D18627&amp;"|"&amp;DATOS!$E18627&amp;"|"&amp;DATOS!$I18627)</f>
      </c>
      <c r="G18627">
        <f>IF(DATOS!$A18627="",0,IF(CONFIG_METADATA!$B$4&lt;&gt;"OR+EX",--(DATOS!$G18627=CONFIG_METADATA!$B$4),IF(DATOS!$G18627="EX",1,IF(DATOS!$G18627="OR",--(COUNTIFS(nNIA,DATOS!$A18627,nCURSO,DATOS!$D18627,nESPEC,DATOS!$E18627,nASIG,DATOS!$I18627,nEVAL,"EX")=0),0))))</f>
      </c>
      <c r="H18627">
        <f>IF(DATOS!$G18627&lt;&gt;"EX",0,--(COUNTIFS(nNIA,DATOS!$A18627,nCURSO,DATOS!$D18627,nESPEC,DATOS!$E18627,nASIG,DATOS!$I18627,nEVAL,"OR")=0))</f>
      </c>
      <c r="I18627">
        <f>IF(DATOS!$I18627="","",IFERROR(VLOOKUP(DATOS!$I18627,CONFIG_ASIGNATURAS!$B$2:$J$91,9,FALSE()),""))</f>
      </c>
    </row>
    <row r="18628">
      <c r="F18628">
        <f>IF(DATOS!$A18628="","",DATOS!$A18628&amp;"|"&amp;DATOS!$D18628&amp;"|"&amp;DATOS!$E18628&amp;"|"&amp;DATOS!$I18628)</f>
      </c>
      <c r="G18628">
        <f>IF(DATOS!$A18628="",0,IF(CONFIG_METADATA!$B$4&lt;&gt;"OR+EX",--(DATOS!$G18628=CONFIG_METADATA!$B$4),IF(DATOS!$G18628="EX",1,IF(DATOS!$G18628="OR",--(COUNTIFS(nNIA,DATOS!$A18628,nCURSO,DATOS!$D18628,nESPEC,DATOS!$E18628,nASIG,DATOS!$I18628,nEVAL,"EX")=0),0))))</f>
      </c>
      <c r="H18628">
        <f>IF(DATOS!$G18628&lt;&gt;"EX",0,--(COUNTIFS(nNIA,DATOS!$A18628,nCURSO,DATOS!$D18628,nESPEC,DATOS!$E18628,nASIG,DATOS!$I18628,nEVAL,"OR")=0))</f>
      </c>
      <c r="I18628">
        <f>IF(DATOS!$I18628="","",IFERROR(VLOOKUP(DATOS!$I18628,CONFIG_ASIGNATURAS!$B$2:$J$91,9,FALSE()),""))</f>
      </c>
    </row>
    <row r="18629">
      <c r="F18629">
        <f>IF(DATOS!$A18629="","",DATOS!$A18629&amp;"|"&amp;DATOS!$D18629&amp;"|"&amp;DATOS!$E18629&amp;"|"&amp;DATOS!$I18629)</f>
      </c>
      <c r="G18629">
        <f>IF(DATOS!$A18629="",0,IF(CONFIG_METADATA!$B$4&lt;&gt;"OR+EX",--(DATOS!$G18629=CONFIG_METADATA!$B$4),IF(DATOS!$G18629="EX",1,IF(DATOS!$G18629="OR",--(COUNTIFS(nNIA,DATOS!$A18629,nCURSO,DATOS!$D18629,nESPEC,DATOS!$E18629,nASIG,DATOS!$I18629,nEVAL,"EX")=0),0))))</f>
      </c>
      <c r="H18629">
        <f>IF(DATOS!$G18629&lt;&gt;"EX",0,--(COUNTIFS(nNIA,DATOS!$A18629,nCURSO,DATOS!$D18629,nESPEC,DATOS!$E18629,nASIG,DATOS!$I18629,nEVAL,"OR")=0))</f>
      </c>
      <c r="I18629">
        <f>IF(DATOS!$I18629="","",IFERROR(VLOOKUP(DATOS!$I18629,CONFIG_ASIGNATURAS!$B$2:$J$91,9,FALSE()),""))</f>
      </c>
    </row>
    <row r="18630">
      <c r="F18630">
        <f>IF(DATOS!$A18630="","",DATOS!$A18630&amp;"|"&amp;DATOS!$D18630&amp;"|"&amp;DATOS!$E18630&amp;"|"&amp;DATOS!$I18630)</f>
      </c>
      <c r="G18630">
        <f>IF(DATOS!$A18630="",0,IF(CONFIG_METADATA!$B$4&lt;&gt;"OR+EX",--(DATOS!$G18630=CONFIG_METADATA!$B$4),IF(DATOS!$G18630="EX",1,IF(DATOS!$G18630="OR",--(COUNTIFS(nNIA,DATOS!$A18630,nCURSO,DATOS!$D18630,nESPEC,DATOS!$E18630,nASIG,DATOS!$I18630,nEVAL,"EX")=0),0))))</f>
      </c>
      <c r="H18630">
        <f>IF(DATOS!$G18630&lt;&gt;"EX",0,--(COUNTIFS(nNIA,DATOS!$A18630,nCURSO,DATOS!$D18630,nESPEC,DATOS!$E18630,nASIG,DATOS!$I18630,nEVAL,"OR")=0))</f>
      </c>
      <c r="I18630">
        <f>IF(DATOS!$I18630="","",IFERROR(VLOOKUP(DATOS!$I18630,CONFIG_ASIGNATURAS!$B$2:$J$91,9,FALSE()),""))</f>
      </c>
    </row>
    <row r="18631">
      <c r="F18631">
        <f>IF(DATOS!$A18631="","",DATOS!$A18631&amp;"|"&amp;DATOS!$D18631&amp;"|"&amp;DATOS!$E18631&amp;"|"&amp;DATOS!$I18631)</f>
      </c>
      <c r="G18631">
        <f>IF(DATOS!$A18631="",0,IF(CONFIG_METADATA!$B$4&lt;&gt;"OR+EX",--(DATOS!$G18631=CONFIG_METADATA!$B$4),IF(DATOS!$G18631="EX",1,IF(DATOS!$G18631="OR",--(COUNTIFS(nNIA,DATOS!$A18631,nCURSO,DATOS!$D18631,nESPEC,DATOS!$E18631,nASIG,DATOS!$I18631,nEVAL,"EX")=0),0))))</f>
      </c>
      <c r="H18631">
        <f>IF(DATOS!$G18631&lt;&gt;"EX",0,--(COUNTIFS(nNIA,DATOS!$A18631,nCURSO,DATOS!$D18631,nESPEC,DATOS!$E18631,nASIG,DATOS!$I18631,nEVAL,"OR")=0))</f>
      </c>
      <c r="I18631">
        <f>IF(DATOS!$I18631="","",IFERROR(VLOOKUP(DATOS!$I18631,CONFIG_ASIGNATURAS!$B$2:$J$91,9,FALSE()),""))</f>
      </c>
    </row>
    <row r="18632">
      <c r="F18632">
        <f>IF(DATOS!$A18632="","",DATOS!$A18632&amp;"|"&amp;DATOS!$D18632&amp;"|"&amp;DATOS!$E18632&amp;"|"&amp;DATOS!$I18632)</f>
      </c>
      <c r="G18632">
        <f>IF(DATOS!$A18632="",0,IF(CONFIG_METADATA!$B$4&lt;&gt;"OR+EX",--(DATOS!$G18632=CONFIG_METADATA!$B$4),IF(DATOS!$G18632="EX",1,IF(DATOS!$G18632="OR",--(COUNTIFS(nNIA,DATOS!$A18632,nCURSO,DATOS!$D18632,nESPEC,DATOS!$E18632,nASIG,DATOS!$I18632,nEVAL,"EX")=0),0))))</f>
      </c>
      <c r="H18632">
        <f>IF(DATOS!$G18632&lt;&gt;"EX",0,--(COUNTIFS(nNIA,DATOS!$A18632,nCURSO,DATOS!$D18632,nESPEC,DATOS!$E18632,nASIG,DATOS!$I18632,nEVAL,"OR")=0))</f>
      </c>
      <c r="I18632">
        <f>IF(DATOS!$I18632="","",IFERROR(VLOOKUP(DATOS!$I18632,CONFIG_ASIGNATURAS!$B$2:$J$91,9,FALSE()),""))</f>
      </c>
    </row>
    <row r="18633">
      <c r="F18633">
        <f>IF(DATOS!$A18633="","",DATOS!$A18633&amp;"|"&amp;DATOS!$D18633&amp;"|"&amp;DATOS!$E18633&amp;"|"&amp;DATOS!$I18633)</f>
      </c>
      <c r="G18633">
        <f>IF(DATOS!$A18633="",0,IF(CONFIG_METADATA!$B$4&lt;&gt;"OR+EX",--(DATOS!$G18633=CONFIG_METADATA!$B$4),IF(DATOS!$G18633="EX",1,IF(DATOS!$G18633="OR",--(COUNTIFS(nNIA,DATOS!$A18633,nCURSO,DATOS!$D18633,nESPEC,DATOS!$E18633,nASIG,DATOS!$I18633,nEVAL,"EX")=0),0))))</f>
      </c>
      <c r="H18633">
        <f>IF(DATOS!$G18633&lt;&gt;"EX",0,--(COUNTIFS(nNIA,DATOS!$A18633,nCURSO,DATOS!$D18633,nESPEC,DATOS!$E18633,nASIG,DATOS!$I18633,nEVAL,"OR")=0))</f>
      </c>
      <c r="I18633">
        <f>IF(DATOS!$I18633="","",IFERROR(VLOOKUP(DATOS!$I18633,CONFIG_ASIGNATURAS!$B$2:$J$91,9,FALSE()),""))</f>
      </c>
    </row>
    <row r="18634">
      <c r="F18634">
        <f>IF(DATOS!$A18634="","",DATOS!$A18634&amp;"|"&amp;DATOS!$D18634&amp;"|"&amp;DATOS!$E18634&amp;"|"&amp;DATOS!$I18634)</f>
      </c>
      <c r="G18634">
        <f>IF(DATOS!$A18634="",0,IF(CONFIG_METADATA!$B$4&lt;&gt;"OR+EX",--(DATOS!$G18634=CONFIG_METADATA!$B$4),IF(DATOS!$G18634="EX",1,IF(DATOS!$G18634="OR",--(COUNTIFS(nNIA,DATOS!$A18634,nCURSO,DATOS!$D18634,nESPEC,DATOS!$E18634,nASIG,DATOS!$I18634,nEVAL,"EX")=0),0))))</f>
      </c>
      <c r="H18634">
        <f>IF(DATOS!$G18634&lt;&gt;"EX",0,--(COUNTIFS(nNIA,DATOS!$A18634,nCURSO,DATOS!$D18634,nESPEC,DATOS!$E18634,nASIG,DATOS!$I18634,nEVAL,"OR")=0))</f>
      </c>
      <c r="I18634">
        <f>IF(DATOS!$I18634="","",IFERROR(VLOOKUP(DATOS!$I18634,CONFIG_ASIGNATURAS!$B$2:$J$91,9,FALSE()),""))</f>
      </c>
    </row>
    <row r="18635">
      <c r="F18635">
        <f>IF(DATOS!$A18635="","",DATOS!$A18635&amp;"|"&amp;DATOS!$D18635&amp;"|"&amp;DATOS!$E18635&amp;"|"&amp;DATOS!$I18635)</f>
      </c>
      <c r="G18635">
        <f>IF(DATOS!$A18635="",0,IF(CONFIG_METADATA!$B$4&lt;&gt;"OR+EX",--(DATOS!$G18635=CONFIG_METADATA!$B$4),IF(DATOS!$G18635="EX",1,IF(DATOS!$G18635="OR",--(COUNTIFS(nNIA,DATOS!$A18635,nCURSO,DATOS!$D18635,nESPEC,DATOS!$E18635,nASIG,DATOS!$I18635,nEVAL,"EX")=0),0))))</f>
      </c>
      <c r="H18635">
        <f>IF(DATOS!$G18635&lt;&gt;"EX",0,--(COUNTIFS(nNIA,DATOS!$A18635,nCURSO,DATOS!$D18635,nESPEC,DATOS!$E18635,nASIG,DATOS!$I18635,nEVAL,"OR")=0))</f>
      </c>
      <c r="I18635">
        <f>IF(DATOS!$I18635="","",IFERROR(VLOOKUP(DATOS!$I18635,CONFIG_ASIGNATURAS!$B$2:$J$91,9,FALSE()),""))</f>
      </c>
    </row>
    <row r="18636">
      <c r="F18636">
        <f>IF(DATOS!$A18636="","",DATOS!$A18636&amp;"|"&amp;DATOS!$D18636&amp;"|"&amp;DATOS!$E18636&amp;"|"&amp;DATOS!$I18636)</f>
      </c>
      <c r="G18636">
        <f>IF(DATOS!$A18636="",0,IF(CONFIG_METADATA!$B$4&lt;&gt;"OR+EX",--(DATOS!$G18636=CONFIG_METADATA!$B$4),IF(DATOS!$G18636="EX",1,IF(DATOS!$G18636="OR",--(COUNTIFS(nNIA,DATOS!$A18636,nCURSO,DATOS!$D18636,nESPEC,DATOS!$E18636,nASIG,DATOS!$I18636,nEVAL,"EX")=0),0))))</f>
      </c>
      <c r="H18636">
        <f>IF(DATOS!$G18636&lt;&gt;"EX",0,--(COUNTIFS(nNIA,DATOS!$A18636,nCURSO,DATOS!$D18636,nESPEC,DATOS!$E18636,nASIG,DATOS!$I18636,nEVAL,"OR")=0))</f>
      </c>
      <c r="I18636">
        <f>IF(DATOS!$I18636="","",IFERROR(VLOOKUP(DATOS!$I18636,CONFIG_ASIGNATURAS!$B$2:$J$91,9,FALSE()),""))</f>
      </c>
    </row>
    <row r="18637">
      <c r="F18637">
        <f>IF(DATOS!$A18637="","",DATOS!$A18637&amp;"|"&amp;DATOS!$D18637&amp;"|"&amp;DATOS!$E18637&amp;"|"&amp;DATOS!$I18637)</f>
      </c>
      <c r="G18637">
        <f>IF(DATOS!$A18637="",0,IF(CONFIG_METADATA!$B$4&lt;&gt;"OR+EX",--(DATOS!$G18637=CONFIG_METADATA!$B$4),IF(DATOS!$G18637="EX",1,IF(DATOS!$G18637="OR",--(COUNTIFS(nNIA,DATOS!$A18637,nCURSO,DATOS!$D18637,nESPEC,DATOS!$E18637,nASIG,DATOS!$I18637,nEVAL,"EX")=0),0))))</f>
      </c>
      <c r="H18637">
        <f>IF(DATOS!$G18637&lt;&gt;"EX",0,--(COUNTIFS(nNIA,DATOS!$A18637,nCURSO,DATOS!$D18637,nESPEC,DATOS!$E18637,nASIG,DATOS!$I18637,nEVAL,"OR")=0))</f>
      </c>
      <c r="I18637">
        <f>IF(DATOS!$I18637="","",IFERROR(VLOOKUP(DATOS!$I18637,CONFIG_ASIGNATURAS!$B$2:$J$91,9,FALSE()),""))</f>
      </c>
    </row>
    <row r="18638">
      <c r="F18638">
        <f>IF(DATOS!$A18638="","",DATOS!$A18638&amp;"|"&amp;DATOS!$D18638&amp;"|"&amp;DATOS!$E18638&amp;"|"&amp;DATOS!$I18638)</f>
      </c>
      <c r="G18638">
        <f>IF(DATOS!$A18638="",0,IF(CONFIG_METADATA!$B$4&lt;&gt;"OR+EX",--(DATOS!$G18638=CONFIG_METADATA!$B$4),IF(DATOS!$G18638="EX",1,IF(DATOS!$G18638="OR",--(COUNTIFS(nNIA,DATOS!$A18638,nCURSO,DATOS!$D18638,nESPEC,DATOS!$E18638,nASIG,DATOS!$I18638,nEVAL,"EX")=0),0))))</f>
      </c>
      <c r="H18638">
        <f>IF(DATOS!$G18638&lt;&gt;"EX",0,--(COUNTIFS(nNIA,DATOS!$A18638,nCURSO,DATOS!$D18638,nESPEC,DATOS!$E18638,nASIG,DATOS!$I18638,nEVAL,"OR")=0))</f>
      </c>
      <c r="I18638">
        <f>IF(DATOS!$I18638="","",IFERROR(VLOOKUP(DATOS!$I18638,CONFIG_ASIGNATURAS!$B$2:$J$91,9,FALSE()),""))</f>
      </c>
    </row>
    <row r="18639">
      <c r="F18639">
        <f>IF(DATOS!$A18639="","",DATOS!$A18639&amp;"|"&amp;DATOS!$D18639&amp;"|"&amp;DATOS!$E18639&amp;"|"&amp;DATOS!$I18639)</f>
      </c>
      <c r="G18639">
        <f>IF(DATOS!$A18639="",0,IF(CONFIG_METADATA!$B$4&lt;&gt;"OR+EX",--(DATOS!$G18639=CONFIG_METADATA!$B$4),IF(DATOS!$G18639="EX",1,IF(DATOS!$G18639="OR",--(COUNTIFS(nNIA,DATOS!$A18639,nCURSO,DATOS!$D18639,nESPEC,DATOS!$E18639,nASIG,DATOS!$I18639,nEVAL,"EX")=0),0))))</f>
      </c>
      <c r="H18639">
        <f>IF(DATOS!$G18639&lt;&gt;"EX",0,--(COUNTIFS(nNIA,DATOS!$A18639,nCURSO,DATOS!$D18639,nESPEC,DATOS!$E18639,nASIG,DATOS!$I18639,nEVAL,"OR")=0))</f>
      </c>
      <c r="I18639">
        <f>IF(DATOS!$I18639="","",IFERROR(VLOOKUP(DATOS!$I18639,CONFIG_ASIGNATURAS!$B$2:$J$91,9,FALSE()),""))</f>
      </c>
    </row>
    <row r="18640">
      <c r="F18640">
        <f>IF(DATOS!$A18640="","",DATOS!$A18640&amp;"|"&amp;DATOS!$D18640&amp;"|"&amp;DATOS!$E18640&amp;"|"&amp;DATOS!$I18640)</f>
      </c>
      <c r="G18640">
        <f>IF(DATOS!$A18640="",0,IF(CONFIG_METADATA!$B$4&lt;&gt;"OR+EX",--(DATOS!$G18640=CONFIG_METADATA!$B$4),IF(DATOS!$G18640="EX",1,IF(DATOS!$G18640="OR",--(COUNTIFS(nNIA,DATOS!$A18640,nCURSO,DATOS!$D18640,nESPEC,DATOS!$E18640,nASIG,DATOS!$I18640,nEVAL,"EX")=0),0))))</f>
      </c>
      <c r="H18640">
        <f>IF(DATOS!$G18640&lt;&gt;"EX",0,--(COUNTIFS(nNIA,DATOS!$A18640,nCURSO,DATOS!$D18640,nESPEC,DATOS!$E18640,nASIG,DATOS!$I18640,nEVAL,"OR")=0))</f>
      </c>
      <c r="I18640">
        <f>IF(DATOS!$I18640="","",IFERROR(VLOOKUP(DATOS!$I18640,CONFIG_ASIGNATURAS!$B$2:$J$91,9,FALSE()),""))</f>
      </c>
    </row>
    <row r="18641">
      <c r="F18641">
        <f>IF(DATOS!$A18641="","",DATOS!$A18641&amp;"|"&amp;DATOS!$D18641&amp;"|"&amp;DATOS!$E18641&amp;"|"&amp;DATOS!$I18641)</f>
      </c>
      <c r="G18641">
        <f>IF(DATOS!$A18641="",0,IF(CONFIG_METADATA!$B$4&lt;&gt;"OR+EX",--(DATOS!$G18641=CONFIG_METADATA!$B$4),IF(DATOS!$G18641="EX",1,IF(DATOS!$G18641="OR",--(COUNTIFS(nNIA,DATOS!$A18641,nCURSO,DATOS!$D18641,nESPEC,DATOS!$E18641,nASIG,DATOS!$I18641,nEVAL,"EX")=0),0))))</f>
      </c>
      <c r="H18641">
        <f>IF(DATOS!$G18641&lt;&gt;"EX",0,--(COUNTIFS(nNIA,DATOS!$A18641,nCURSO,DATOS!$D18641,nESPEC,DATOS!$E18641,nASIG,DATOS!$I18641,nEVAL,"OR")=0))</f>
      </c>
      <c r="I18641">
        <f>IF(DATOS!$I18641="","",IFERROR(VLOOKUP(DATOS!$I18641,CONFIG_ASIGNATURAS!$B$2:$J$91,9,FALSE()),""))</f>
      </c>
    </row>
    <row r="18642">
      <c r="F18642">
        <f>IF(DATOS!$A18642="","",DATOS!$A18642&amp;"|"&amp;DATOS!$D18642&amp;"|"&amp;DATOS!$E18642&amp;"|"&amp;DATOS!$I18642)</f>
      </c>
      <c r="G18642">
        <f>IF(DATOS!$A18642="",0,IF(CONFIG_METADATA!$B$4&lt;&gt;"OR+EX",--(DATOS!$G18642=CONFIG_METADATA!$B$4),IF(DATOS!$G18642="EX",1,IF(DATOS!$G18642="OR",--(COUNTIFS(nNIA,DATOS!$A18642,nCURSO,DATOS!$D18642,nESPEC,DATOS!$E18642,nASIG,DATOS!$I18642,nEVAL,"EX")=0),0))))</f>
      </c>
      <c r="H18642">
        <f>IF(DATOS!$G18642&lt;&gt;"EX",0,--(COUNTIFS(nNIA,DATOS!$A18642,nCURSO,DATOS!$D18642,nESPEC,DATOS!$E18642,nASIG,DATOS!$I18642,nEVAL,"OR")=0))</f>
      </c>
      <c r="I18642">
        <f>IF(DATOS!$I18642="","",IFERROR(VLOOKUP(DATOS!$I18642,CONFIG_ASIGNATURAS!$B$2:$J$91,9,FALSE()),""))</f>
      </c>
    </row>
    <row r="18643">
      <c r="F18643">
        <f>IF(DATOS!$A18643="","",DATOS!$A18643&amp;"|"&amp;DATOS!$D18643&amp;"|"&amp;DATOS!$E18643&amp;"|"&amp;DATOS!$I18643)</f>
      </c>
      <c r="G18643">
        <f>IF(DATOS!$A18643="",0,IF(CONFIG_METADATA!$B$4&lt;&gt;"OR+EX",--(DATOS!$G18643=CONFIG_METADATA!$B$4),IF(DATOS!$G18643="EX",1,IF(DATOS!$G18643="OR",--(COUNTIFS(nNIA,DATOS!$A18643,nCURSO,DATOS!$D18643,nESPEC,DATOS!$E18643,nASIG,DATOS!$I18643,nEVAL,"EX")=0),0))))</f>
      </c>
      <c r="H18643">
        <f>IF(DATOS!$G18643&lt;&gt;"EX",0,--(COUNTIFS(nNIA,DATOS!$A18643,nCURSO,DATOS!$D18643,nESPEC,DATOS!$E18643,nASIG,DATOS!$I18643,nEVAL,"OR")=0))</f>
      </c>
      <c r="I18643">
        <f>IF(DATOS!$I18643="","",IFERROR(VLOOKUP(DATOS!$I18643,CONFIG_ASIGNATURAS!$B$2:$J$91,9,FALSE()),""))</f>
      </c>
    </row>
    <row r="18644">
      <c r="F18644">
        <f>IF(DATOS!$A18644="","",DATOS!$A18644&amp;"|"&amp;DATOS!$D18644&amp;"|"&amp;DATOS!$E18644&amp;"|"&amp;DATOS!$I18644)</f>
      </c>
      <c r="G18644">
        <f>IF(DATOS!$A18644="",0,IF(CONFIG_METADATA!$B$4&lt;&gt;"OR+EX",--(DATOS!$G18644=CONFIG_METADATA!$B$4),IF(DATOS!$G18644="EX",1,IF(DATOS!$G18644="OR",--(COUNTIFS(nNIA,DATOS!$A18644,nCURSO,DATOS!$D18644,nESPEC,DATOS!$E18644,nASIG,DATOS!$I18644,nEVAL,"EX")=0),0))))</f>
      </c>
      <c r="H18644">
        <f>IF(DATOS!$G18644&lt;&gt;"EX",0,--(COUNTIFS(nNIA,DATOS!$A18644,nCURSO,DATOS!$D18644,nESPEC,DATOS!$E18644,nASIG,DATOS!$I18644,nEVAL,"OR")=0))</f>
      </c>
      <c r="I18644">
        <f>IF(DATOS!$I18644="","",IFERROR(VLOOKUP(DATOS!$I18644,CONFIG_ASIGNATURAS!$B$2:$J$91,9,FALSE()),""))</f>
      </c>
    </row>
    <row r="18645">
      <c r="F18645">
        <f>IF(DATOS!$A18645="","",DATOS!$A18645&amp;"|"&amp;DATOS!$D18645&amp;"|"&amp;DATOS!$E18645&amp;"|"&amp;DATOS!$I18645)</f>
      </c>
      <c r="G18645">
        <f>IF(DATOS!$A18645="",0,IF(CONFIG_METADATA!$B$4&lt;&gt;"OR+EX",--(DATOS!$G18645=CONFIG_METADATA!$B$4),IF(DATOS!$G18645="EX",1,IF(DATOS!$G18645="OR",--(COUNTIFS(nNIA,DATOS!$A18645,nCURSO,DATOS!$D18645,nESPEC,DATOS!$E18645,nASIG,DATOS!$I18645,nEVAL,"EX")=0),0))))</f>
      </c>
      <c r="H18645">
        <f>IF(DATOS!$G18645&lt;&gt;"EX",0,--(COUNTIFS(nNIA,DATOS!$A18645,nCURSO,DATOS!$D18645,nESPEC,DATOS!$E18645,nASIG,DATOS!$I18645,nEVAL,"OR")=0))</f>
      </c>
      <c r="I18645">
        <f>IF(DATOS!$I18645="","",IFERROR(VLOOKUP(DATOS!$I18645,CONFIG_ASIGNATURAS!$B$2:$J$91,9,FALSE()),""))</f>
      </c>
    </row>
    <row r="18646">
      <c r="F18646">
        <f>IF(DATOS!$A18646="","",DATOS!$A18646&amp;"|"&amp;DATOS!$D18646&amp;"|"&amp;DATOS!$E18646&amp;"|"&amp;DATOS!$I18646)</f>
      </c>
      <c r="G18646">
        <f>IF(DATOS!$A18646="",0,IF(CONFIG_METADATA!$B$4&lt;&gt;"OR+EX",--(DATOS!$G18646=CONFIG_METADATA!$B$4),IF(DATOS!$G18646="EX",1,IF(DATOS!$G18646="OR",--(COUNTIFS(nNIA,DATOS!$A18646,nCURSO,DATOS!$D18646,nESPEC,DATOS!$E18646,nASIG,DATOS!$I18646,nEVAL,"EX")=0),0))))</f>
      </c>
      <c r="H18646">
        <f>IF(DATOS!$G18646&lt;&gt;"EX",0,--(COUNTIFS(nNIA,DATOS!$A18646,nCURSO,DATOS!$D18646,nESPEC,DATOS!$E18646,nASIG,DATOS!$I18646,nEVAL,"OR")=0))</f>
      </c>
      <c r="I18646">
        <f>IF(DATOS!$I18646="","",IFERROR(VLOOKUP(DATOS!$I18646,CONFIG_ASIGNATURAS!$B$2:$J$91,9,FALSE()),""))</f>
      </c>
    </row>
    <row r="18647">
      <c r="F18647">
        <f>IF(DATOS!$A18647="","",DATOS!$A18647&amp;"|"&amp;DATOS!$D18647&amp;"|"&amp;DATOS!$E18647&amp;"|"&amp;DATOS!$I18647)</f>
      </c>
      <c r="G18647">
        <f>IF(DATOS!$A18647="",0,IF(CONFIG_METADATA!$B$4&lt;&gt;"OR+EX",--(DATOS!$G18647=CONFIG_METADATA!$B$4),IF(DATOS!$G18647="EX",1,IF(DATOS!$G18647="OR",--(COUNTIFS(nNIA,DATOS!$A18647,nCURSO,DATOS!$D18647,nESPEC,DATOS!$E18647,nASIG,DATOS!$I18647,nEVAL,"EX")=0),0))))</f>
      </c>
      <c r="H18647">
        <f>IF(DATOS!$G18647&lt;&gt;"EX",0,--(COUNTIFS(nNIA,DATOS!$A18647,nCURSO,DATOS!$D18647,nESPEC,DATOS!$E18647,nASIG,DATOS!$I18647,nEVAL,"OR")=0))</f>
      </c>
      <c r="I18647">
        <f>IF(DATOS!$I18647="","",IFERROR(VLOOKUP(DATOS!$I18647,CONFIG_ASIGNATURAS!$B$2:$J$91,9,FALSE()),""))</f>
      </c>
    </row>
    <row r="18648">
      <c r="F18648">
        <f>IF(DATOS!$A18648="","",DATOS!$A18648&amp;"|"&amp;DATOS!$D18648&amp;"|"&amp;DATOS!$E18648&amp;"|"&amp;DATOS!$I18648)</f>
      </c>
      <c r="G18648">
        <f>IF(DATOS!$A18648="",0,IF(CONFIG_METADATA!$B$4&lt;&gt;"OR+EX",--(DATOS!$G18648=CONFIG_METADATA!$B$4),IF(DATOS!$G18648="EX",1,IF(DATOS!$G18648="OR",--(COUNTIFS(nNIA,DATOS!$A18648,nCURSO,DATOS!$D18648,nESPEC,DATOS!$E18648,nASIG,DATOS!$I18648,nEVAL,"EX")=0),0))))</f>
      </c>
      <c r="H18648">
        <f>IF(DATOS!$G18648&lt;&gt;"EX",0,--(COUNTIFS(nNIA,DATOS!$A18648,nCURSO,DATOS!$D18648,nESPEC,DATOS!$E18648,nASIG,DATOS!$I18648,nEVAL,"OR")=0))</f>
      </c>
      <c r="I18648">
        <f>IF(DATOS!$I18648="","",IFERROR(VLOOKUP(DATOS!$I18648,CONFIG_ASIGNATURAS!$B$2:$J$91,9,FALSE()),""))</f>
      </c>
    </row>
    <row r="18649">
      <c r="F18649">
        <f>IF(DATOS!$A18649="","",DATOS!$A18649&amp;"|"&amp;DATOS!$D18649&amp;"|"&amp;DATOS!$E18649&amp;"|"&amp;DATOS!$I18649)</f>
      </c>
      <c r="G18649">
        <f>IF(DATOS!$A18649="",0,IF(CONFIG_METADATA!$B$4&lt;&gt;"OR+EX",--(DATOS!$G18649=CONFIG_METADATA!$B$4),IF(DATOS!$G18649="EX",1,IF(DATOS!$G18649="OR",--(COUNTIFS(nNIA,DATOS!$A18649,nCURSO,DATOS!$D18649,nESPEC,DATOS!$E18649,nASIG,DATOS!$I18649,nEVAL,"EX")=0),0))))</f>
      </c>
      <c r="H18649">
        <f>IF(DATOS!$G18649&lt;&gt;"EX",0,--(COUNTIFS(nNIA,DATOS!$A18649,nCURSO,DATOS!$D18649,nESPEC,DATOS!$E18649,nASIG,DATOS!$I18649,nEVAL,"OR")=0))</f>
      </c>
      <c r="I18649">
        <f>IF(DATOS!$I18649="","",IFERROR(VLOOKUP(DATOS!$I18649,CONFIG_ASIGNATURAS!$B$2:$J$91,9,FALSE()),""))</f>
      </c>
    </row>
    <row r="18650">
      <c r="F18650">
        <f>IF(DATOS!$A18650="","",DATOS!$A18650&amp;"|"&amp;DATOS!$D18650&amp;"|"&amp;DATOS!$E18650&amp;"|"&amp;DATOS!$I18650)</f>
      </c>
      <c r="G18650">
        <f>IF(DATOS!$A18650="",0,IF(CONFIG_METADATA!$B$4&lt;&gt;"OR+EX",--(DATOS!$G18650=CONFIG_METADATA!$B$4),IF(DATOS!$G18650="EX",1,IF(DATOS!$G18650="OR",--(COUNTIFS(nNIA,DATOS!$A18650,nCURSO,DATOS!$D18650,nESPEC,DATOS!$E18650,nASIG,DATOS!$I18650,nEVAL,"EX")=0),0))))</f>
      </c>
      <c r="H18650">
        <f>IF(DATOS!$G18650&lt;&gt;"EX",0,--(COUNTIFS(nNIA,DATOS!$A18650,nCURSO,DATOS!$D18650,nESPEC,DATOS!$E18650,nASIG,DATOS!$I18650,nEVAL,"OR")=0))</f>
      </c>
      <c r="I18650">
        <f>IF(DATOS!$I18650="","",IFERROR(VLOOKUP(DATOS!$I18650,CONFIG_ASIGNATURAS!$B$2:$J$91,9,FALSE()),""))</f>
      </c>
    </row>
    <row r="18651">
      <c r="F18651">
        <f>IF(DATOS!$A18651="","",DATOS!$A18651&amp;"|"&amp;DATOS!$D18651&amp;"|"&amp;DATOS!$E18651&amp;"|"&amp;DATOS!$I18651)</f>
      </c>
      <c r="G18651">
        <f>IF(DATOS!$A18651="",0,IF(CONFIG_METADATA!$B$4&lt;&gt;"OR+EX",--(DATOS!$G18651=CONFIG_METADATA!$B$4),IF(DATOS!$G18651="EX",1,IF(DATOS!$G18651="OR",--(COUNTIFS(nNIA,DATOS!$A18651,nCURSO,DATOS!$D18651,nESPEC,DATOS!$E18651,nASIG,DATOS!$I18651,nEVAL,"EX")=0),0))))</f>
      </c>
      <c r="H18651">
        <f>IF(DATOS!$G18651&lt;&gt;"EX",0,--(COUNTIFS(nNIA,DATOS!$A18651,nCURSO,DATOS!$D18651,nESPEC,DATOS!$E18651,nASIG,DATOS!$I18651,nEVAL,"OR")=0))</f>
      </c>
      <c r="I18651">
        <f>IF(DATOS!$I18651="","",IFERROR(VLOOKUP(DATOS!$I18651,CONFIG_ASIGNATURAS!$B$2:$J$91,9,FALSE()),""))</f>
      </c>
    </row>
    <row r="18652">
      <c r="F18652">
        <f>IF(DATOS!$A18652="","",DATOS!$A18652&amp;"|"&amp;DATOS!$D18652&amp;"|"&amp;DATOS!$E18652&amp;"|"&amp;DATOS!$I18652)</f>
      </c>
      <c r="G18652">
        <f>IF(DATOS!$A18652="",0,IF(CONFIG_METADATA!$B$4&lt;&gt;"OR+EX",--(DATOS!$G18652=CONFIG_METADATA!$B$4),IF(DATOS!$G18652="EX",1,IF(DATOS!$G18652="OR",--(COUNTIFS(nNIA,DATOS!$A18652,nCURSO,DATOS!$D18652,nESPEC,DATOS!$E18652,nASIG,DATOS!$I18652,nEVAL,"EX")=0),0))))</f>
      </c>
      <c r="H18652">
        <f>IF(DATOS!$G18652&lt;&gt;"EX",0,--(COUNTIFS(nNIA,DATOS!$A18652,nCURSO,DATOS!$D18652,nESPEC,DATOS!$E18652,nASIG,DATOS!$I18652,nEVAL,"OR")=0))</f>
      </c>
      <c r="I18652">
        <f>IF(DATOS!$I18652="","",IFERROR(VLOOKUP(DATOS!$I18652,CONFIG_ASIGNATURAS!$B$2:$J$91,9,FALSE()),""))</f>
      </c>
    </row>
    <row r="18653">
      <c r="F18653">
        <f>IF(DATOS!$A18653="","",DATOS!$A18653&amp;"|"&amp;DATOS!$D18653&amp;"|"&amp;DATOS!$E18653&amp;"|"&amp;DATOS!$I18653)</f>
      </c>
      <c r="G18653">
        <f>IF(DATOS!$A18653="",0,IF(CONFIG_METADATA!$B$4&lt;&gt;"OR+EX",--(DATOS!$G18653=CONFIG_METADATA!$B$4),IF(DATOS!$G18653="EX",1,IF(DATOS!$G18653="OR",--(COUNTIFS(nNIA,DATOS!$A18653,nCURSO,DATOS!$D18653,nESPEC,DATOS!$E18653,nASIG,DATOS!$I18653,nEVAL,"EX")=0),0))))</f>
      </c>
      <c r="H18653">
        <f>IF(DATOS!$G18653&lt;&gt;"EX",0,--(COUNTIFS(nNIA,DATOS!$A18653,nCURSO,DATOS!$D18653,nESPEC,DATOS!$E18653,nASIG,DATOS!$I18653,nEVAL,"OR")=0))</f>
      </c>
      <c r="I18653">
        <f>IF(DATOS!$I18653="","",IFERROR(VLOOKUP(DATOS!$I18653,CONFIG_ASIGNATURAS!$B$2:$J$91,9,FALSE()),""))</f>
      </c>
    </row>
    <row r="18654">
      <c r="F18654">
        <f>IF(DATOS!$A18654="","",DATOS!$A18654&amp;"|"&amp;DATOS!$D18654&amp;"|"&amp;DATOS!$E18654&amp;"|"&amp;DATOS!$I18654)</f>
      </c>
      <c r="G18654">
        <f>IF(DATOS!$A18654="",0,IF(CONFIG_METADATA!$B$4&lt;&gt;"OR+EX",--(DATOS!$G18654=CONFIG_METADATA!$B$4),IF(DATOS!$G18654="EX",1,IF(DATOS!$G18654="OR",--(COUNTIFS(nNIA,DATOS!$A18654,nCURSO,DATOS!$D18654,nESPEC,DATOS!$E18654,nASIG,DATOS!$I18654,nEVAL,"EX")=0),0))))</f>
      </c>
      <c r="H18654">
        <f>IF(DATOS!$G18654&lt;&gt;"EX",0,--(COUNTIFS(nNIA,DATOS!$A18654,nCURSO,DATOS!$D18654,nESPEC,DATOS!$E18654,nASIG,DATOS!$I18654,nEVAL,"OR")=0))</f>
      </c>
      <c r="I18654">
        <f>IF(DATOS!$I18654="","",IFERROR(VLOOKUP(DATOS!$I18654,CONFIG_ASIGNATURAS!$B$2:$J$91,9,FALSE()),""))</f>
      </c>
    </row>
    <row r="18655">
      <c r="F18655">
        <f>IF(DATOS!$A18655="","",DATOS!$A18655&amp;"|"&amp;DATOS!$D18655&amp;"|"&amp;DATOS!$E18655&amp;"|"&amp;DATOS!$I18655)</f>
      </c>
      <c r="G18655">
        <f>IF(DATOS!$A18655="",0,IF(CONFIG_METADATA!$B$4&lt;&gt;"OR+EX",--(DATOS!$G18655=CONFIG_METADATA!$B$4),IF(DATOS!$G18655="EX",1,IF(DATOS!$G18655="OR",--(COUNTIFS(nNIA,DATOS!$A18655,nCURSO,DATOS!$D18655,nESPEC,DATOS!$E18655,nASIG,DATOS!$I18655,nEVAL,"EX")=0),0))))</f>
      </c>
      <c r="H18655">
        <f>IF(DATOS!$G18655&lt;&gt;"EX",0,--(COUNTIFS(nNIA,DATOS!$A18655,nCURSO,DATOS!$D18655,nESPEC,DATOS!$E18655,nASIG,DATOS!$I18655,nEVAL,"OR")=0))</f>
      </c>
      <c r="I18655">
        <f>IF(DATOS!$I18655="","",IFERROR(VLOOKUP(DATOS!$I18655,CONFIG_ASIGNATURAS!$B$2:$J$91,9,FALSE()),""))</f>
      </c>
    </row>
    <row r="18656">
      <c r="F18656">
        <f>IF(DATOS!$A18656="","",DATOS!$A18656&amp;"|"&amp;DATOS!$D18656&amp;"|"&amp;DATOS!$E18656&amp;"|"&amp;DATOS!$I18656)</f>
      </c>
      <c r="G18656">
        <f>IF(DATOS!$A18656="",0,IF(CONFIG_METADATA!$B$4&lt;&gt;"OR+EX",--(DATOS!$G18656=CONFIG_METADATA!$B$4),IF(DATOS!$G18656="EX",1,IF(DATOS!$G18656="OR",--(COUNTIFS(nNIA,DATOS!$A18656,nCURSO,DATOS!$D18656,nESPEC,DATOS!$E18656,nASIG,DATOS!$I18656,nEVAL,"EX")=0),0))))</f>
      </c>
      <c r="H18656">
        <f>IF(DATOS!$G18656&lt;&gt;"EX",0,--(COUNTIFS(nNIA,DATOS!$A18656,nCURSO,DATOS!$D18656,nESPEC,DATOS!$E18656,nASIG,DATOS!$I18656,nEVAL,"OR")=0))</f>
      </c>
      <c r="I18656">
        <f>IF(DATOS!$I18656="","",IFERROR(VLOOKUP(DATOS!$I18656,CONFIG_ASIGNATURAS!$B$2:$J$91,9,FALSE()),""))</f>
      </c>
    </row>
    <row r="18657">
      <c r="F18657">
        <f>IF(DATOS!$A18657="","",DATOS!$A18657&amp;"|"&amp;DATOS!$D18657&amp;"|"&amp;DATOS!$E18657&amp;"|"&amp;DATOS!$I18657)</f>
      </c>
      <c r="G18657">
        <f>IF(DATOS!$A18657="",0,IF(CONFIG_METADATA!$B$4&lt;&gt;"OR+EX",--(DATOS!$G18657=CONFIG_METADATA!$B$4),IF(DATOS!$G18657="EX",1,IF(DATOS!$G18657="OR",--(COUNTIFS(nNIA,DATOS!$A18657,nCURSO,DATOS!$D18657,nESPEC,DATOS!$E18657,nASIG,DATOS!$I18657,nEVAL,"EX")=0),0))))</f>
      </c>
      <c r="H18657">
        <f>IF(DATOS!$G18657&lt;&gt;"EX",0,--(COUNTIFS(nNIA,DATOS!$A18657,nCURSO,DATOS!$D18657,nESPEC,DATOS!$E18657,nASIG,DATOS!$I18657,nEVAL,"OR")=0))</f>
      </c>
      <c r="I18657">
        <f>IF(DATOS!$I18657="","",IFERROR(VLOOKUP(DATOS!$I18657,CONFIG_ASIGNATURAS!$B$2:$J$91,9,FALSE()),""))</f>
      </c>
    </row>
    <row r="18658">
      <c r="F18658">
        <f>IF(DATOS!$A18658="","",DATOS!$A18658&amp;"|"&amp;DATOS!$D18658&amp;"|"&amp;DATOS!$E18658&amp;"|"&amp;DATOS!$I18658)</f>
      </c>
      <c r="G18658">
        <f>IF(DATOS!$A18658="",0,IF(CONFIG_METADATA!$B$4&lt;&gt;"OR+EX",--(DATOS!$G18658=CONFIG_METADATA!$B$4),IF(DATOS!$G18658="EX",1,IF(DATOS!$G18658="OR",--(COUNTIFS(nNIA,DATOS!$A18658,nCURSO,DATOS!$D18658,nESPEC,DATOS!$E18658,nASIG,DATOS!$I18658,nEVAL,"EX")=0),0))))</f>
      </c>
      <c r="H18658">
        <f>IF(DATOS!$G18658&lt;&gt;"EX",0,--(COUNTIFS(nNIA,DATOS!$A18658,nCURSO,DATOS!$D18658,nESPEC,DATOS!$E18658,nASIG,DATOS!$I18658,nEVAL,"OR")=0))</f>
      </c>
      <c r="I18658">
        <f>IF(DATOS!$I18658="","",IFERROR(VLOOKUP(DATOS!$I18658,CONFIG_ASIGNATURAS!$B$2:$J$91,9,FALSE()),""))</f>
      </c>
    </row>
    <row r="18659">
      <c r="F18659">
        <f>IF(DATOS!$A18659="","",DATOS!$A18659&amp;"|"&amp;DATOS!$D18659&amp;"|"&amp;DATOS!$E18659&amp;"|"&amp;DATOS!$I18659)</f>
      </c>
      <c r="G18659">
        <f>IF(DATOS!$A18659="",0,IF(CONFIG_METADATA!$B$4&lt;&gt;"OR+EX",--(DATOS!$G18659=CONFIG_METADATA!$B$4),IF(DATOS!$G18659="EX",1,IF(DATOS!$G18659="OR",--(COUNTIFS(nNIA,DATOS!$A18659,nCURSO,DATOS!$D18659,nESPEC,DATOS!$E18659,nASIG,DATOS!$I18659,nEVAL,"EX")=0),0))))</f>
      </c>
      <c r="H18659">
        <f>IF(DATOS!$G18659&lt;&gt;"EX",0,--(COUNTIFS(nNIA,DATOS!$A18659,nCURSO,DATOS!$D18659,nESPEC,DATOS!$E18659,nASIG,DATOS!$I18659,nEVAL,"OR")=0))</f>
      </c>
      <c r="I18659">
        <f>IF(DATOS!$I18659="","",IFERROR(VLOOKUP(DATOS!$I18659,CONFIG_ASIGNATURAS!$B$2:$J$91,9,FALSE()),""))</f>
      </c>
    </row>
    <row r="18660">
      <c r="F18660">
        <f>IF(DATOS!$A18660="","",DATOS!$A18660&amp;"|"&amp;DATOS!$D18660&amp;"|"&amp;DATOS!$E18660&amp;"|"&amp;DATOS!$I18660)</f>
      </c>
      <c r="G18660">
        <f>IF(DATOS!$A18660="",0,IF(CONFIG_METADATA!$B$4&lt;&gt;"OR+EX",--(DATOS!$G18660=CONFIG_METADATA!$B$4),IF(DATOS!$G18660="EX",1,IF(DATOS!$G18660="OR",--(COUNTIFS(nNIA,DATOS!$A18660,nCURSO,DATOS!$D18660,nESPEC,DATOS!$E18660,nASIG,DATOS!$I18660,nEVAL,"EX")=0),0))))</f>
      </c>
      <c r="H18660">
        <f>IF(DATOS!$G18660&lt;&gt;"EX",0,--(COUNTIFS(nNIA,DATOS!$A18660,nCURSO,DATOS!$D18660,nESPEC,DATOS!$E18660,nASIG,DATOS!$I18660,nEVAL,"OR")=0))</f>
      </c>
      <c r="I18660">
        <f>IF(DATOS!$I18660="","",IFERROR(VLOOKUP(DATOS!$I18660,CONFIG_ASIGNATURAS!$B$2:$J$91,9,FALSE()),""))</f>
      </c>
    </row>
    <row r="18661">
      <c r="F18661">
        <f>IF(DATOS!$A18661="","",DATOS!$A18661&amp;"|"&amp;DATOS!$D18661&amp;"|"&amp;DATOS!$E18661&amp;"|"&amp;DATOS!$I18661)</f>
      </c>
      <c r="G18661">
        <f>IF(DATOS!$A18661="",0,IF(CONFIG_METADATA!$B$4&lt;&gt;"OR+EX",--(DATOS!$G18661=CONFIG_METADATA!$B$4),IF(DATOS!$G18661="EX",1,IF(DATOS!$G18661="OR",--(COUNTIFS(nNIA,DATOS!$A18661,nCURSO,DATOS!$D18661,nESPEC,DATOS!$E18661,nASIG,DATOS!$I18661,nEVAL,"EX")=0),0))))</f>
      </c>
      <c r="H18661">
        <f>IF(DATOS!$G18661&lt;&gt;"EX",0,--(COUNTIFS(nNIA,DATOS!$A18661,nCURSO,DATOS!$D18661,nESPEC,DATOS!$E18661,nASIG,DATOS!$I18661,nEVAL,"OR")=0))</f>
      </c>
      <c r="I18661">
        <f>IF(DATOS!$I18661="","",IFERROR(VLOOKUP(DATOS!$I18661,CONFIG_ASIGNATURAS!$B$2:$J$91,9,FALSE()),""))</f>
      </c>
    </row>
    <row r="18662">
      <c r="F18662">
        <f>IF(DATOS!$A18662="","",DATOS!$A18662&amp;"|"&amp;DATOS!$D18662&amp;"|"&amp;DATOS!$E18662&amp;"|"&amp;DATOS!$I18662)</f>
      </c>
      <c r="G18662">
        <f>IF(DATOS!$A18662="",0,IF(CONFIG_METADATA!$B$4&lt;&gt;"OR+EX",--(DATOS!$G18662=CONFIG_METADATA!$B$4),IF(DATOS!$G18662="EX",1,IF(DATOS!$G18662="OR",--(COUNTIFS(nNIA,DATOS!$A18662,nCURSO,DATOS!$D18662,nESPEC,DATOS!$E18662,nASIG,DATOS!$I18662,nEVAL,"EX")=0),0))))</f>
      </c>
      <c r="H18662">
        <f>IF(DATOS!$G18662&lt;&gt;"EX",0,--(COUNTIFS(nNIA,DATOS!$A18662,nCURSO,DATOS!$D18662,nESPEC,DATOS!$E18662,nASIG,DATOS!$I18662,nEVAL,"OR")=0))</f>
      </c>
      <c r="I18662">
        <f>IF(DATOS!$I18662="","",IFERROR(VLOOKUP(DATOS!$I18662,CONFIG_ASIGNATURAS!$B$2:$J$91,9,FALSE()),""))</f>
      </c>
    </row>
    <row r="18663">
      <c r="F18663">
        <f>IF(DATOS!$A18663="","",DATOS!$A18663&amp;"|"&amp;DATOS!$D18663&amp;"|"&amp;DATOS!$E18663&amp;"|"&amp;DATOS!$I18663)</f>
      </c>
      <c r="G18663">
        <f>IF(DATOS!$A18663="",0,IF(CONFIG_METADATA!$B$4&lt;&gt;"OR+EX",--(DATOS!$G18663=CONFIG_METADATA!$B$4),IF(DATOS!$G18663="EX",1,IF(DATOS!$G18663="OR",--(COUNTIFS(nNIA,DATOS!$A18663,nCURSO,DATOS!$D18663,nESPEC,DATOS!$E18663,nASIG,DATOS!$I18663,nEVAL,"EX")=0),0))))</f>
      </c>
      <c r="H18663">
        <f>IF(DATOS!$G18663&lt;&gt;"EX",0,--(COUNTIFS(nNIA,DATOS!$A18663,nCURSO,DATOS!$D18663,nESPEC,DATOS!$E18663,nASIG,DATOS!$I18663,nEVAL,"OR")=0))</f>
      </c>
      <c r="I18663">
        <f>IF(DATOS!$I18663="","",IFERROR(VLOOKUP(DATOS!$I18663,CONFIG_ASIGNATURAS!$B$2:$J$91,9,FALSE()),""))</f>
      </c>
    </row>
    <row r="18664">
      <c r="F18664">
        <f>IF(DATOS!$A18664="","",DATOS!$A18664&amp;"|"&amp;DATOS!$D18664&amp;"|"&amp;DATOS!$E18664&amp;"|"&amp;DATOS!$I18664)</f>
      </c>
      <c r="G18664">
        <f>IF(DATOS!$A18664="",0,IF(CONFIG_METADATA!$B$4&lt;&gt;"OR+EX",--(DATOS!$G18664=CONFIG_METADATA!$B$4),IF(DATOS!$G18664="EX",1,IF(DATOS!$G18664="OR",--(COUNTIFS(nNIA,DATOS!$A18664,nCURSO,DATOS!$D18664,nESPEC,DATOS!$E18664,nASIG,DATOS!$I18664,nEVAL,"EX")=0),0))))</f>
      </c>
      <c r="H18664">
        <f>IF(DATOS!$G18664&lt;&gt;"EX",0,--(COUNTIFS(nNIA,DATOS!$A18664,nCURSO,DATOS!$D18664,nESPEC,DATOS!$E18664,nASIG,DATOS!$I18664,nEVAL,"OR")=0))</f>
      </c>
      <c r="I18664">
        <f>IF(DATOS!$I18664="","",IFERROR(VLOOKUP(DATOS!$I18664,CONFIG_ASIGNATURAS!$B$2:$J$91,9,FALSE()),""))</f>
      </c>
    </row>
    <row r="18665">
      <c r="F18665">
        <f>IF(DATOS!$A18665="","",DATOS!$A18665&amp;"|"&amp;DATOS!$D18665&amp;"|"&amp;DATOS!$E18665&amp;"|"&amp;DATOS!$I18665)</f>
      </c>
      <c r="G18665">
        <f>IF(DATOS!$A18665="",0,IF(CONFIG_METADATA!$B$4&lt;&gt;"OR+EX",--(DATOS!$G18665=CONFIG_METADATA!$B$4),IF(DATOS!$G18665="EX",1,IF(DATOS!$G18665="OR",--(COUNTIFS(nNIA,DATOS!$A18665,nCURSO,DATOS!$D18665,nESPEC,DATOS!$E18665,nASIG,DATOS!$I18665,nEVAL,"EX")=0),0))))</f>
      </c>
      <c r="H18665">
        <f>IF(DATOS!$G18665&lt;&gt;"EX",0,--(COUNTIFS(nNIA,DATOS!$A18665,nCURSO,DATOS!$D18665,nESPEC,DATOS!$E18665,nASIG,DATOS!$I18665,nEVAL,"OR")=0))</f>
      </c>
      <c r="I18665">
        <f>IF(DATOS!$I18665="","",IFERROR(VLOOKUP(DATOS!$I18665,CONFIG_ASIGNATURAS!$B$2:$J$91,9,FALSE()),""))</f>
      </c>
    </row>
    <row r="18666">
      <c r="F18666">
        <f>IF(DATOS!$A18666="","",DATOS!$A18666&amp;"|"&amp;DATOS!$D18666&amp;"|"&amp;DATOS!$E18666&amp;"|"&amp;DATOS!$I18666)</f>
      </c>
      <c r="G18666">
        <f>IF(DATOS!$A18666="",0,IF(CONFIG_METADATA!$B$4&lt;&gt;"OR+EX",--(DATOS!$G18666=CONFIG_METADATA!$B$4),IF(DATOS!$G18666="EX",1,IF(DATOS!$G18666="OR",--(COUNTIFS(nNIA,DATOS!$A18666,nCURSO,DATOS!$D18666,nESPEC,DATOS!$E18666,nASIG,DATOS!$I18666,nEVAL,"EX")=0),0))))</f>
      </c>
      <c r="H18666">
        <f>IF(DATOS!$G18666&lt;&gt;"EX",0,--(COUNTIFS(nNIA,DATOS!$A18666,nCURSO,DATOS!$D18666,nESPEC,DATOS!$E18666,nASIG,DATOS!$I18666,nEVAL,"OR")=0))</f>
      </c>
      <c r="I18666">
        <f>IF(DATOS!$I18666="","",IFERROR(VLOOKUP(DATOS!$I18666,CONFIG_ASIGNATURAS!$B$2:$J$91,9,FALSE()),""))</f>
      </c>
    </row>
    <row r="18667">
      <c r="F18667">
        <f>IF(DATOS!$A18667="","",DATOS!$A18667&amp;"|"&amp;DATOS!$D18667&amp;"|"&amp;DATOS!$E18667&amp;"|"&amp;DATOS!$I18667)</f>
      </c>
      <c r="G18667">
        <f>IF(DATOS!$A18667="",0,IF(CONFIG_METADATA!$B$4&lt;&gt;"OR+EX",--(DATOS!$G18667=CONFIG_METADATA!$B$4),IF(DATOS!$G18667="EX",1,IF(DATOS!$G18667="OR",--(COUNTIFS(nNIA,DATOS!$A18667,nCURSO,DATOS!$D18667,nESPEC,DATOS!$E18667,nASIG,DATOS!$I18667,nEVAL,"EX")=0),0))))</f>
      </c>
      <c r="H18667">
        <f>IF(DATOS!$G18667&lt;&gt;"EX",0,--(COUNTIFS(nNIA,DATOS!$A18667,nCURSO,DATOS!$D18667,nESPEC,DATOS!$E18667,nASIG,DATOS!$I18667,nEVAL,"OR")=0))</f>
      </c>
      <c r="I18667">
        <f>IF(DATOS!$I18667="","",IFERROR(VLOOKUP(DATOS!$I18667,CONFIG_ASIGNATURAS!$B$2:$J$91,9,FALSE()),""))</f>
      </c>
    </row>
    <row r="18668">
      <c r="F18668">
        <f>IF(DATOS!$A18668="","",DATOS!$A18668&amp;"|"&amp;DATOS!$D18668&amp;"|"&amp;DATOS!$E18668&amp;"|"&amp;DATOS!$I18668)</f>
      </c>
      <c r="G18668">
        <f>IF(DATOS!$A18668="",0,IF(CONFIG_METADATA!$B$4&lt;&gt;"OR+EX",--(DATOS!$G18668=CONFIG_METADATA!$B$4),IF(DATOS!$G18668="EX",1,IF(DATOS!$G18668="OR",--(COUNTIFS(nNIA,DATOS!$A18668,nCURSO,DATOS!$D18668,nESPEC,DATOS!$E18668,nASIG,DATOS!$I18668,nEVAL,"EX")=0),0))))</f>
      </c>
      <c r="H18668">
        <f>IF(DATOS!$G18668&lt;&gt;"EX",0,--(COUNTIFS(nNIA,DATOS!$A18668,nCURSO,DATOS!$D18668,nESPEC,DATOS!$E18668,nASIG,DATOS!$I18668,nEVAL,"OR")=0))</f>
      </c>
      <c r="I18668">
        <f>IF(DATOS!$I18668="","",IFERROR(VLOOKUP(DATOS!$I18668,CONFIG_ASIGNATURAS!$B$2:$J$91,9,FALSE()),""))</f>
      </c>
    </row>
    <row r="18669">
      <c r="F18669">
        <f>IF(DATOS!$A18669="","",DATOS!$A18669&amp;"|"&amp;DATOS!$D18669&amp;"|"&amp;DATOS!$E18669&amp;"|"&amp;DATOS!$I18669)</f>
      </c>
      <c r="G18669">
        <f>IF(DATOS!$A18669="",0,IF(CONFIG_METADATA!$B$4&lt;&gt;"OR+EX",--(DATOS!$G18669=CONFIG_METADATA!$B$4),IF(DATOS!$G18669="EX",1,IF(DATOS!$G18669="OR",--(COUNTIFS(nNIA,DATOS!$A18669,nCURSO,DATOS!$D18669,nESPEC,DATOS!$E18669,nASIG,DATOS!$I18669,nEVAL,"EX")=0),0))))</f>
      </c>
      <c r="H18669">
        <f>IF(DATOS!$G18669&lt;&gt;"EX",0,--(COUNTIFS(nNIA,DATOS!$A18669,nCURSO,DATOS!$D18669,nESPEC,DATOS!$E18669,nASIG,DATOS!$I18669,nEVAL,"OR")=0))</f>
      </c>
      <c r="I18669">
        <f>IF(DATOS!$I18669="","",IFERROR(VLOOKUP(DATOS!$I18669,CONFIG_ASIGNATURAS!$B$2:$J$91,9,FALSE()),""))</f>
      </c>
    </row>
    <row r="18670">
      <c r="F18670">
        <f>IF(DATOS!$A18670="","",DATOS!$A18670&amp;"|"&amp;DATOS!$D18670&amp;"|"&amp;DATOS!$E18670&amp;"|"&amp;DATOS!$I18670)</f>
      </c>
      <c r="G18670">
        <f>IF(DATOS!$A18670="",0,IF(CONFIG_METADATA!$B$4&lt;&gt;"OR+EX",--(DATOS!$G18670=CONFIG_METADATA!$B$4),IF(DATOS!$G18670="EX",1,IF(DATOS!$G18670="OR",--(COUNTIFS(nNIA,DATOS!$A18670,nCURSO,DATOS!$D18670,nESPEC,DATOS!$E18670,nASIG,DATOS!$I18670,nEVAL,"EX")=0),0))))</f>
      </c>
      <c r="H18670">
        <f>IF(DATOS!$G18670&lt;&gt;"EX",0,--(COUNTIFS(nNIA,DATOS!$A18670,nCURSO,DATOS!$D18670,nESPEC,DATOS!$E18670,nASIG,DATOS!$I18670,nEVAL,"OR")=0))</f>
      </c>
      <c r="I18670">
        <f>IF(DATOS!$I18670="","",IFERROR(VLOOKUP(DATOS!$I18670,CONFIG_ASIGNATURAS!$B$2:$J$91,9,FALSE()),""))</f>
      </c>
    </row>
    <row r="18671">
      <c r="F18671">
        <f>IF(DATOS!$A18671="","",DATOS!$A18671&amp;"|"&amp;DATOS!$D18671&amp;"|"&amp;DATOS!$E18671&amp;"|"&amp;DATOS!$I18671)</f>
      </c>
      <c r="G18671">
        <f>IF(DATOS!$A18671="",0,IF(CONFIG_METADATA!$B$4&lt;&gt;"OR+EX",--(DATOS!$G18671=CONFIG_METADATA!$B$4),IF(DATOS!$G18671="EX",1,IF(DATOS!$G18671="OR",--(COUNTIFS(nNIA,DATOS!$A18671,nCURSO,DATOS!$D18671,nESPEC,DATOS!$E18671,nASIG,DATOS!$I18671,nEVAL,"EX")=0),0))))</f>
      </c>
      <c r="H18671">
        <f>IF(DATOS!$G18671&lt;&gt;"EX",0,--(COUNTIFS(nNIA,DATOS!$A18671,nCURSO,DATOS!$D18671,nESPEC,DATOS!$E18671,nASIG,DATOS!$I18671,nEVAL,"OR")=0))</f>
      </c>
      <c r="I18671">
        <f>IF(DATOS!$I18671="","",IFERROR(VLOOKUP(DATOS!$I18671,CONFIG_ASIGNATURAS!$B$2:$J$91,9,FALSE()),""))</f>
      </c>
    </row>
    <row r="18672">
      <c r="F18672">
        <f>IF(DATOS!$A18672="","",DATOS!$A18672&amp;"|"&amp;DATOS!$D18672&amp;"|"&amp;DATOS!$E18672&amp;"|"&amp;DATOS!$I18672)</f>
      </c>
      <c r="G18672">
        <f>IF(DATOS!$A18672="",0,IF(CONFIG_METADATA!$B$4&lt;&gt;"OR+EX",--(DATOS!$G18672=CONFIG_METADATA!$B$4),IF(DATOS!$G18672="EX",1,IF(DATOS!$G18672="OR",--(COUNTIFS(nNIA,DATOS!$A18672,nCURSO,DATOS!$D18672,nESPEC,DATOS!$E18672,nASIG,DATOS!$I18672,nEVAL,"EX")=0),0))))</f>
      </c>
      <c r="H18672">
        <f>IF(DATOS!$G18672&lt;&gt;"EX",0,--(COUNTIFS(nNIA,DATOS!$A18672,nCURSO,DATOS!$D18672,nESPEC,DATOS!$E18672,nASIG,DATOS!$I18672,nEVAL,"OR")=0))</f>
      </c>
      <c r="I18672">
        <f>IF(DATOS!$I18672="","",IFERROR(VLOOKUP(DATOS!$I18672,CONFIG_ASIGNATURAS!$B$2:$J$91,9,FALSE()),""))</f>
      </c>
    </row>
    <row r="18673">
      <c r="F18673">
        <f>IF(DATOS!$A18673="","",DATOS!$A18673&amp;"|"&amp;DATOS!$D18673&amp;"|"&amp;DATOS!$E18673&amp;"|"&amp;DATOS!$I18673)</f>
      </c>
      <c r="G18673">
        <f>IF(DATOS!$A18673="",0,IF(CONFIG_METADATA!$B$4&lt;&gt;"OR+EX",--(DATOS!$G18673=CONFIG_METADATA!$B$4),IF(DATOS!$G18673="EX",1,IF(DATOS!$G18673="OR",--(COUNTIFS(nNIA,DATOS!$A18673,nCURSO,DATOS!$D18673,nESPEC,DATOS!$E18673,nASIG,DATOS!$I18673,nEVAL,"EX")=0),0))))</f>
      </c>
      <c r="H18673">
        <f>IF(DATOS!$G18673&lt;&gt;"EX",0,--(COUNTIFS(nNIA,DATOS!$A18673,nCURSO,DATOS!$D18673,nESPEC,DATOS!$E18673,nASIG,DATOS!$I18673,nEVAL,"OR")=0))</f>
      </c>
      <c r="I18673">
        <f>IF(DATOS!$I18673="","",IFERROR(VLOOKUP(DATOS!$I18673,CONFIG_ASIGNATURAS!$B$2:$J$91,9,FALSE()),""))</f>
      </c>
    </row>
    <row r="18674">
      <c r="F18674">
        <f>IF(DATOS!$A18674="","",DATOS!$A18674&amp;"|"&amp;DATOS!$D18674&amp;"|"&amp;DATOS!$E18674&amp;"|"&amp;DATOS!$I18674)</f>
      </c>
      <c r="G18674">
        <f>IF(DATOS!$A18674="",0,IF(CONFIG_METADATA!$B$4&lt;&gt;"OR+EX",--(DATOS!$G18674=CONFIG_METADATA!$B$4),IF(DATOS!$G18674="EX",1,IF(DATOS!$G18674="OR",--(COUNTIFS(nNIA,DATOS!$A18674,nCURSO,DATOS!$D18674,nESPEC,DATOS!$E18674,nASIG,DATOS!$I18674,nEVAL,"EX")=0),0))))</f>
      </c>
      <c r="H18674">
        <f>IF(DATOS!$G18674&lt;&gt;"EX",0,--(COUNTIFS(nNIA,DATOS!$A18674,nCURSO,DATOS!$D18674,nESPEC,DATOS!$E18674,nASIG,DATOS!$I18674,nEVAL,"OR")=0))</f>
      </c>
      <c r="I18674">
        <f>IF(DATOS!$I18674="","",IFERROR(VLOOKUP(DATOS!$I18674,CONFIG_ASIGNATURAS!$B$2:$J$91,9,FALSE()),""))</f>
      </c>
    </row>
    <row r="18675">
      <c r="F18675">
        <f>IF(DATOS!$A18675="","",DATOS!$A18675&amp;"|"&amp;DATOS!$D18675&amp;"|"&amp;DATOS!$E18675&amp;"|"&amp;DATOS!$I18675)</f>
      </c>
      <c r="G18675">
        <f>IF(DATOS!$A18675="",0,IF(CONFIG_METADATA!$B$4&lt;&gt;"OR+EX",--(DATOS!$G18675=CONFIG_METADATA!$B$4),IF(DATOS!$G18675="EX",1,IF(DATOS!$G18675="OR",--(COUNTIFS(nNIA,DATOS!$A18675,nCURSO,DATOS!$D18675,nESPEC,DATOS!$E18675,nASIG,DATOS!$I18675,nEVAL,"EX")=0),0))))</f>
      </c>
      <c r="H18675">
        <f>IF(DATOS!$G18675&lt;&gt;"EX",0,--(COUNTIFS(nNIA,DATOS!$A18675,nCURSO,DATOS!$D18675,nESPEC,DATOS!$E18675,nASIG,DATOS!$I18675,nEVAL,"OR")=0))</f>
      </c>
      <c r="I18675">
        <f>IF(DATOS!$I18675="","",IFERROR(VLOOKUP(DATOS!$I18675,CONFIG_ASIGNATURAS!$B$2:$J$91,9,FALSE()),""))</f>
      </c>
    </row>
    <row r="18676">
      <c r="F18676">
        <f>IF(DATOS!$A18676="","",DATOS!$A18676&amp;"|"&amp;DATOS!$D18676&amp;"|"&amp;DATOS!$E18676&amp;"|"&amp;DATOS!$I18676)</f>
      </c>
      <c r="G18676">
        <f>IF(DATOS!$A18676="",0,IF(CONFIG_METADATA!$B$4&lt;&gt;"OR+EX",--(DATOS!$G18676=CONFIG_METADATA!$B$4),IF(DATOS!$G18676="EX",1,IF(DATOS!$G18676="OR",--(COUNTIFS(nNIA,DATOS!$A18676,nCURSO,DATOS!$D18676,nESPEC,DATOS!$E18676,nASIG,DATOS!$I18676,nEVAL,"EX")=0),0))))</f>
      </c>
      <c r="H18676">
        <f>IF(DATOS!$G18676&lt;&gt;"EX",0,--(COUNTIFS(nNIA,DATOS!$A18676,nCURSO,DATOS!$D18676,nESPEC,DATOS!$E18676,nASIG,DATOS!$I18676,nEVAL,"OR")=0))</f>
      </c>
      <c r="I18676">
        <f>IF(DATOS!$I18676="","",IFERROR(VLOOKUP(DATOS!$I18676,CONFIG_ASIGNATURAS!$B$2:$J$91,9,FALSE()),""))</f>
      </c>
    </row>
    <row r="18677">
      <c r="F18677">
        <f>IF(DATOS!$A18677="","",DATOS!$A18677&amp;"|"&amp;DATOS!$D18677&amp;"|"&amp;DATOS!$E18677&amp;"|"&amp;DATOS!$I18677)</f>
      </c>
      <c r="G18677">
        <f>IF(DATOS!$A18677="",0,IF(CONFIG_METADATA!$B$4&lt;&gt;"OR+EX",--(DATOS!$G18677=CONFIG_METADATA!$B$4),IF(DATOS!$G18677="EX",1,IF(DATOS!$G18677="OR",--(COUNTIFS(nNIA,DATOS!$A18677,nCURSO,DATOS!$D18677,nESPEC,DATOS!$E18677,nASIG,DATOS!$I18677,nEVAL,"EX")=0),0))))</f>
      </c>
      <c r="H18677">
        <f>IF(DATOS!$G18677&lt;&gt;"EX",0,--(COUNTIFS(nNIA,DATOS!$A18677,nCURSO,DATOS!$D18677,nESPEC,DATOS!$E18677,nASIG,DATOS!$I18677,nEVAL,"OR")=0))</f>
      </c>
      <c r="I18677">
        <f>IF(DATOS!$I18677="","",IFERROR(VLOOKUP(DATOS!$I18677,CONFIG_ASIGNATURAS!$B$2:$J$91,9,FALSE()),""))</f>
      </c>
    </row>
    <row r="18678">
      <c r="F18678">
        <f>IF(DATOS!$A18678="","",DATOS!$A18678&amp;"|"&amp;DATOS!$D18678&amp;"|"&amp;DATOS!$E18678&amp;"|"&amp;DATOS!$I18678)</f>
      </c>
      <c r="G18678">
        <f>IF(DATOS!$A18678="",0,IF(CONFIG_METADATA!$B$4&lt;&gt;"OR+EX",--(DATOS!$G18678=CONFIG_METADATA!$B$4),IF(DATOS!$G18678="EX",1,IF(DATOS!$G18678="OR",--(COUNTIFS(nNIA,DATOS!$A18678,nCURSO,DATOS!$D18678,nESPEC,DATOS!$E18678,nASIG,DATOS!$I18678,nEVAL,"EX")=0),0))))</f>
      </c>
      <c r="H18678">
        <f>IF(DATOS!$G18678&lt;&gt;"EX",0,--(COUNTIFS(nNIA,DATOS!$A18678,nCURSO,DATOS!$D18678,nESPEC,DATOS!$E18678,nASIG,DATOS!$I18678,nEVAL,"OR")=0))</f>
      </c>
      <c r="I18678">
        <f>IF(DATOS!$I18678="","",IFERROR(VLOOKUP(DATOS!$I18678,CONFIG_ASIGNATURAS!$B$2:$J$91,9,FALSE()),""))</f>
      </c>
    </row>
    <row r="18679">
      <c r="F18679">
        <f>IF(DATOS!$A18679="","",DATOS!$A18679&amp;"|"&amp;DATOS!$D18679&amp;"|"&amp;DATOS!$E18679&amp;"|"&amp;DATOS!$I18679)</f>
      </c>
      <c r="G18679">
        <f>IF(DATOS!$A18679="",0,IF(CONFIG_METADATA!$B$4&lt;&gt;"OR+EX",--(DATOS!$G18679=CONFIG_METADATA!$B$4),IF(DATOS!$G18679="EX",1,IF(DATOS!$G18679="OR",--(COUNTIFS(nNIA,DATOS!$A18679,nCURSO,DATOS!$D18679,nESPEC,DATOS!$E18679,nASIG,DATOS!$I18679,nEVAL,"EX")=0),0))))</f>
      </c>
      <c r="H18679">
        <f>IF(DATOS!$G18679&lt;&gt;"EX",0,--(COUNTIFS(nNIA,DATOS!$A18679,nCURSO,DATOS!$D18679,nESPEC,DATOS!$E18679,nASIG,DATOS!$I18679,nEVAL,"OR")=0))</f>
      </c>
      <c r="I18679">
        <f>IF(DATOS!$I18679="","",IFERROR(VLOOKUP(DATOS!$I18679,CONFIG_ASIGNATURAS!$B$2:$J$91,9,FALSE()),""))</f>
      </c>
    </row>
    <row r="18680">
      <c r="F18680">
        <f>IF(DATOS!$A18680="","",DATOS!$A18680&amp;"|"&amp;DATOS!$D18680&amp;"|"&amp;DATOS!$E18680&amp;"|"&amp;DATOS!$I18680)</f>
      </c>
      <c r="G18680">
        <f>IF(DATOS!$A18680="",0,IF(CONFIG_METADATA!$B$4&lt;&gt;"OR+EX",--(DATOS!$G18680=CONFIG_METADATA!$B$4),IF(DATOS!$G18680="EX",1,IF(DATOS!$G18680="OR",--(COUNTIFS(nNIA,DATOS!$A18680,nCURSO,DATOS!$D18680,nESPEC,DATOS!$E18680,nASIG,DATOS!$I18680,nEVAL,"EX")=0),0))))</f>
      </c>
      <c r="H18680">
        <f>IF(DATOS!$G18680&lt;&gt;"EX",0,--(COUNTIFS(nNIA,DATOS!$A18680,nCURSO,DATOS!$D18680,nESPEC,DATOS!$E18680,nASIG,DATOS!$I18680,nEVAL,"OR")=0))</f>
      </c>
      <c r="I18680">
        <f>IF(DATOS!$I18680="","",IFERROR(VLOOKUP(DATOS!$I18680,CONFIG_ASIGNATURAS!$B$2:$J$91,9,FALSE()),""))</f>
      </c>
    </row>
    <row r="18681">
      <c r="F18681">
        <f>IF(DATOS!$A18681="","",DATOS!$A18681&amp;"|"&amp;DATOS!$D18681&amp;"|"&amp;DATOS!$E18681&amp;"|"&amp;DATOS!$I18681)</f>
      </c>
      <c r="G18681">
        <f>IF(DATOS!$A18681="",0,IF(CONFIG_METADATA!$B$4&lt;&gt;"OR+EX",--(DATOS!$G18681=CONFIG_METADATA!$B$4),IF(DATOS!$G18681="EX",1,IF(DATOS!$G18681="OR",--(COUNTIFS(nNIA,DATOS!$A18681,nCURSO,DATOS!$D18681,nESPEC,DATOS!$E18681,nASIG,DATOS!$I18681,nEVAL,"EX")=0),0))))</f>
      </c>
      <c r="H18681">
        <f>IF(DATOS!$G18681&lt;&gt;"EX",0,--(COUNTIFS(nNIA,DATOS!$A18681,nCURSO,DATOS!$D18681,nESPEC,DATOS!$E18681,nASIG,DATOS!$I18681,nEVAL,"OR")=0))</f>
      </c>
      <c r="I18681">
        <f>IF(DATOS!$I18681="","",IFERROR(VLOOKUP(DATOS!$I18681,CONFIG_ASIGNATURAS!$B$2:$J$91,9,FALSE()),""))</f>
      </c>
    </row>
    <row r="18682">
      <c r="F18682">
        <f>IF(DATOS!$A18682="","",DATOS!$A18682&amp;"|"&amp;DATOS!$D18682&amp;"|"&amp;DATOS!$E18682&amp;"|"&amp;DATOS!$I18682)</f>
      </c>
      <c r="G18682">
        <f>IF(DATOS!$A18682="",0,IF(CONFIG_METADATA!$B$4&lt;&gt;"OR+EX",--(DATOS!$G18682=CONFIG_METADATA!$B$4),IF(DATOS!$G18682="EX",1,IF(DATOS!$G18682="OR",--(COUNTIFS(nNIA,DATOS!$A18682,nCURSO,DATOS!$D18682,nESPEC,DATOS!$E18682,nASIG,DATOS!$I18682,nEVAL,"EX")=0),0))))</f>
      </c>
      <c r="H18682">
        <f>IF(DATOS!$G18682&lt;&gt;"EX",0,--(COUNTIFS(nNIA,DATOS!$A18682,nCURSO,DATOS!$D18682,nESPEC,DATOS!$E18682,nASIG,DATOS!$I18682,nEVAL,"OR")=0))</f>
      </c>
      <c r="I18682">
        <f>IF(DATOS!$I18682="","",IFERROR(VLOOKUP(DATOS!$I18682,CONFIG_ASIGNATURAS!$B$2:$J$91,9,FALSE()),""))</f>
      </c>
    </row>
    <row r="18683">
      <c r="F18683">
        <f>IF(DATOS!$A18683="","",DATOS!$A18683&amp;"|"&amp;DATOS!$D18683&amp;"|"&amp;DATOS!$E18683&amp;"|"&amp;DATOS!$I18683)</f>
      </c>
      <c r="G18683">
        <f>IF(DATOS!$A18683="",0,IF(CONFIG_METADATA!$B$4&lt;&gt;"OR+EX",--(DATOS!$G18683=CONFIG_METADATA!$B$4),IF(DATOS!$G18683="EX",1,IF(DATOS!$G18683="OR",--(COUNTIFS(nNIA,DATOS!$A18683,nCURSO,DATOS!$D18683,nESPEC,DATOS!$E18683,nASIG,DATOS!$I18683,nEVAL,"EX")=0),0))))</f>
      </c>
      <c r="H18683">
        <f>IF(DATOS!$G18683&lt;&gt;"EX",0,--(COUNTIFS(nNIA,DATOS!$A18683,nCURSO,DATOS!$D18683,nESPEC,DATOS!$E18683,nASIG,DATOS!$I18683,nEVAL,"OR")=0))</f>
      </c>
      <c r="I18683">
        <f>IF(DATOS!$I18683="","",IFERROR(VLOOKUP(DATOS!$I18683,CONFIG_ASIGNATURAS!$B$2:$J$91,9,FALSE()),""))</f>
      </c>
    </row>
    <row r="18684">
      <c r="F18684">
        <f>IF(DATOS!$A18684="","",DATOS!$A18684&amp;"|"&amp;DATOS!$D18684&amp;"|"&amp;DATOS!$E18684&amp;"|"&amp;DATOS!$I18684)</f>
      </c>
      <c r="G18684">
        <f>IF(DATOS!$A18684="",0,IF(CONFIG_METADATA!$B$4&lt;&gt;"OR+EX",--(DATOS!$G18684=CONFIG_METADATA!$B$4),IF(DATOS!$G18684="EX",1,IF(DATOS!$G18684="OR",--(COUNTIFS(nNIA,DATOS!$A18684,nCURSO,DATOS!$D18684,nESPEC,DATOS!$E18684,nASIG,DATOS!$I18684,nEVAL,"EX")=0),0))))</f>
      </c>
      <c r="H18684">
        <f>IF(DATOS!$G18684&lt;&gt;"EX",0,--(COUNTIFS(nNIA,DATOS!$A18684,nCURSO,DATOS!$D18684,nESPEC,DATOS!$E18684,nASIG,DATOS!$I18684,nEVAL,"OR")=0))</f>
      </c>
      <c r="I18684">
        <f>IF(DATOS!$I18684="","",IFERROR(VLOOKUP(DATOS!$I18684,CONFIG_ASIGNATURAS!$B$2:$J$91,9,FALSE()),""))</f>
      </c>
    </row>
    <row r="18685">
      <c r="F18685">
        <f>IF(DATOS!$A18685="","",DATOS!$A18685&amp;"|"&amp;DATOS!$D18685&amp;"|"&amp;DATOS!$E18685&amp;"|"&amp;DATOS!$I18685)</f>
      </c>
      <c r="G18685">
        <f>IF(DATOS!$A18685="",0,IF(CONFIG_METADATA!$B$4&lt;&gt;"OR+EX",--(DATOS!$G18685=CONFIG_METADATA!$B$4),IF(DATOS!$G18685="EX",1,IF(DATOS!$G18685="OR",--(COUNTIFS(nNIA,DATOS!$A18685,nCURSO,DATOS!$D18685,nESPEC,DATOS!$E18685,nASIG,DATOS!$I18685,nEVAL,"EX")=0),0))))</f>
      </c>
      <c r="H18685">
        <f>IF(DATOS!$G18685&lt;&gt;"EX",0,--(COUNTIFS(nNIA,DATOS!$A18685,nCURSO,DATOS!$D18685,nESPEC,DATOS!$E18685,nASIG,DATOS!$I18685,nEVAL,"OR")=0))</f>
      </c>
      <c r="I18685">
        <f>IF(DATOS!$I18685="","",IFERROR(VLOOKUP(DATOS!$I18685,CONFIG_ASIGNATURAS!$B$2:$J$91,9,FALSE()),""))</f>
      </c>
    </row>
    <row r="18686">
      <c r="F18686">
        <f>IF(DATOS!$A18686="","",DATOS!$A18686&amp;"|"&amp;DATOS!$D18686&amp;"|"&amp;DATOS!$E18686&amp;"|"&amp;DATOS!$I18686)</f>
      </c>
      <c r="G18686">
        <f>IF(DATOS!$A18686="",0,IF(CONFIG_METADATA!$B$4&lt;&gt;"OR+EX",--(DATOS!$G18686=CONFIG_METADATA!$B$4),IF(DATOS!$G18686="EX",1,IF(DATOS!$G18686="OR",--(COUNTIFS(nNIA,DATOS!$A18686,nCURSO,DATOS!$D18686,nESPEC,DATOS!$E18686,nASIG,DATOS!$I18686,nEVAL,"EX")=0),0))))</f>
      </c>
      <c r="H18686">
        <f>IF(DATOS!$G18686&lt;&gt;"EX",0,--(COUNTIFS(nNIA,DATOS!$A18686,nCURSO,DATOS!$D18686,nESPEC,DATOS!$E18686,nASIG,DATOS!$I18686,nEVAL,"OR")=0))</f>
      </c>
      <c r="I18686">
        <f>IF(DATOS!$I18686="","",IFERROR(VLOOKUP(DATOS!$I18686,CONFIG_ASIGNATURAS!$B$2:$J$91,9,FALSE()),""))</f>
      </c>
    </row>
    <row r="18687">
      <c r="F18687">
        <f>IF(DATOS!$A18687="","",DATOS!$A18687&amp;"|"&amp;DATOS!$D18687&amp;"|"&amp;DATOS!$E18687&amp;"|"&amp;DATOS!$I18687)</f>
      </c>
      <c r="G18687">
        <f>IF(DATOS!$A18687="",0,IF(CONFIG_METADATA!$B$4&lt;&gt;"OR+EX",--(DATOS!$G18687=CONFIG_METADATA!$B$4),IF(DATOS!$G18687="EX",1,IF(DATOS!$G18687="OR",--(COUNTIFS(nNIA,DATOS!$A18687,nCURSO,DATOS!$D18687,nESPEC,DATOS!$E18687,nASIG,DATOS!$I18687,nEVAL,"EX")=0),0))))</f>
      </c>
      <c r="H18687">
        <f>IF(DATOS!$G18687&lt;&gt;"EX",0,--(COUNTIFS(nNIA,DATOS!$A18687,nCURSO,DATOS!$D18687,nESPEC,DATOS!$E18687,nASIG,DATOS!$I18687,nEVAL,"OR")=0))</f>
      </c>
      <c r="I18687">
        <f>IF(DATOS!$I18687="","",IFERROR(VLOOKUP(DATOS!$I18687,CONFIG_ASIGNATURAS!$B$2:$J$91,9,FALSE()),""))</f>
      </c>
    </row>
    <row r="18688">
      <c r="F18688">
        <f>IF(DATOS!$A18688="","",DATOS!$A18688&amp;"|"&amp;DATOS!$D18688&amp;"|"&amp;DATOS!$E18688&amp;"|"&amp;DATOS!$I18688)</f>
      </c>
      <c r="G18688">
        <f>IF(DATOS!$A18688="",0,IF(CONFIG_METADATA!$B$4&lt;&gt;"OR+EX",--(DATOS!$G18688=CONFIG_METADATA!$B$4),IF(DATOS!$G18688="EX",1,IF(DATOS!$G18688="OR",--(COUNTIFS(nNIA,DATOS!$A18688,nCURSO,DATOS!$D18688,nESPEC,DATOS!$E18688,nASIG,DATOS!$I18688,nEVAL,"EX")=0),0))))</f>
      </c>
      <c r="H18688">
        <f>IF(DATOS!$G18688&lt;&gt;"EX",0,--(COUNTIFS(nNIA,DATOS!$A18688,nCURSO,DATOS!$D18688,nESPEC,DATOS!$E18688,nASIG,DATOS!$I18688,nEVAL,"OR")=0))</f>
      </c>
      <c r="I18688">
        <f>IF(DATOS!$I18688="","",IFERROR(VLOOKUP(DATOS!$I18688,CONFIG_ASIGNATURAS!$B$2:$J$91,9,FALSE()),""))</f>
      </c>
    </row>
    <row r="18689">
      <c r="F18689">
        <f>IF(DATOS!$A18689="","",DATOS!$A18689&amp;"|"&amp;DATOS!$D18689&amp;"|"&amp;DATOS!$E18689&amp;"|"&amp;DATOS!$I18689)</f>
      </c>
      <c r="G18689">
        <f>IF(DATOS!$A18689="",0,IF(CONFIG_METADATA!$B$4&lt;&gt;"OR+EX",--(DATOS!$G18689=CONFIG_METADATA!$B$4),IF(DATOS!$G18689="EX",1,IF(DATOS!$G18689="OR",--(COUNTIFS(nNIA,DATOS!$A18689,nCURSO,DATOS!$D18689,nESPEC,DATOS!$E18689,nASIG,DATOS!$I18689,nEVAL,"EX")=0),0))))</f>
      </c>
      <c r="H18689">
        <f>IF(DATOS!$G18689&lt;&gt;"EX",0,--(COUNTIFS(nNIA,DATOS!$A18689,nCURSO,DATOS!$D18689,nESPEC,DATOS!$E18689,nASIG,DATOS!$I18689,nEVAL,"OR")=0))</f>
      </c>
      <c r="I18689">
        <f>IF(DATOS!$I18689="","",IFERROR(VLOOKUP(DATOS!$I18689,CONFIG_ASIGNATURAS!$B$2:$J$91,9,FALSE()),""))</f>
      </c>
    </row>
    <row r="18690">
      <c r="F18690">
        <f>IF(DATOS!$A18690="","",DATOS!$A18690&amp;"|"&amp;DATOS!$D18690&amp;"|"&amp;DATOS!$E18690&amp;"|"&amp;DATOS!$I18690)</f>
      </c>
      <c r="G18690">
        <f>IF(DATOS!$A18690="",0,IF(CONFIG_METADATA!$B$4&lt;&gt;"OR+EX",--(DATOS!$G18690=CONFIG_METADATA!$B$4),IF(DATOS!$G18690="EX",1,IF(DATOS!$G18690="OR",--(COUNTIFS(nNIA,DATOS!$A18690,nCURSO,DATOS!$D18690,nESPEC,DATOS!$E18690,nASIG,DATOS!$I18690,nEVAL,"EX")=0),0))))</f>
      </c>
      <c r="H18690">
        <f>IF(DATOS!$G18690&lt;&gt;"EX",0,--(COUNTIFS(nNIA,DATOS!$A18690,nCURSO,DATOS!$D18690,nESPEC,DATOS!$E18690,nASIG,DATOS!$I18690,nEVAL,"OR")=0))</f>
      </c>
      <c r="I18690">
        <f>IF(DATOS!$I18690="","",IFERROR(VLOOKUP(DATOS!$I18690,CONFIG_ASIGNATURAS!$B$2:$J$91,9,FALSE()),""))</f>
      </c>
    </row>
    <row r="18691">
      <c r="F18691">
        <f>IF(DATOS!$A18691="","",DATOS!$A18691&amp;"|"&amp;DATOS!$D18691&amp;"|"&amp;DATOS!$E18691&amp;"|"&amp;DATOS!$I18691)</f>
      </c>
      <c r="G18691">
        <f>IF(DATOS!$A18691="",0,IF(CONFIG_METADATA!$B$4&lt;&gt;"OR+EX",--(DATOS!$G18691=CONFIG_METADATA!$B$4),IF(DATOS!$G18691="EX",1,IF(DATOS!$G18691="OR",--(COUNTIFS(nNIA,DATOS!$A18691,nCURSO,DATOS!$D18691,nESPEC,DATOS!$E18691,nASIG,DATOS!$I18691,nEVAL,"EX")=0),0))))</f>
      </c>
      <c r="H18691">
        <f>IF(DATOS!$G18691&lt;&gt;"EX",0,--(COUNTIFS(nNIA,DATOS!$A18691,nCURSO,DATOS!$D18691,nESPEC,DATOS!$E18691,nASIG,DATOS!$I18691,nEVAL,"OR")=0))</f>
      </c>
      <c r="I18691">
        <f>IF(DATOS!$I18691="","",IFERROR(VLOOKUP(DATOS!$I18691,CONFIG_ASIGNATURAS!$B$2:$J$91,9,FALSE()),""))</f>
      </c>
    </row>
    <row r="18692">
      <c r="F18692">
        <f>IF(DATOS!$A18692="","",DATOS!$A18692&amp;"|"&amp;DATOS!$D18692&amp;"|"&amp;DATOS!$E18692&amp;"|"&amp;DATOS!$I18692)</f>
      </c>
      <c r="G18692">
        <f>IF(DATOS!$A18692="",0,IF(CONFIG_METADATA!$B$4&lt;&gt;"OR+EX",--(DATOS!$G18692=CONFIG_METADATA!$B$4),IF(DATOS!$G18692="EX",1,IF(DATOS!$G18692="OR",--(COUNTIFS(nNIA,DATOS!$A18692,nCURSO,DATOS!$D18692,nESPEC,DATOS!$E18692,nASIG,DATOS!$I18692,nEVAL,"EX")=0),0))))</f>
      </c>
      <c r="H18692">
        <f>IF(DATOS!$G18692&lt;&gt;"EX",0,--(COUNTIFS(nNIA,DATOS!$A18692,nCURSO,DATOS!$D18692,nESPEC,DATOS!$E18692,nASIG,DATOS!$I18692,nEVAL,"OR")=0))</f>
      </c>
      <c r="I18692">
        <f>IF(DATOS!$I18692="","",IFERROR(VLOOKUP(DATOS!$I18692,CONFIG_ASIGNATURAS!$B$2:$J$91,9,FALSE()),""))</f>
      </c>
    </row>
    <row r="18693">
      <c r="F18693">
        <f>IF(DATOS!$A18693="","",DATOS!$A18693&amp;"|"&amp;DATOS!$D18693&amp;"|"&amp;DATOS!$E18693&amp;"|"&amp;DATOS!$I18693)</f>
      </c>
      <c r="G18693">
        <f>IF(DATOS!$A18693="",0,IF(CONFIG_METADATA!$B$4&lt;&gt;"OR+EX",--(DATOS!$G18693=CONFIG_METADATA!$B$4),IF(DATOS!$G18693="EX",1,IF(DATOS!$G18693="OR",--(COUNTIFS(nNIA,DATOS!$A18693,nCURSO,DATOS!$D18693,nESPEC,DATOS!$E18693,nASIG,DATOS!$I18693,nEVAL,"EX")=0),0))))</f>
      </c>
      <c r="H18693">
        <f>IF(DATOS!$G18693&lt;&gt;"EX",0,--(COUNTIFS(nNIA,DATOS!$A18693,nCURSO,DATOS!$D18693,nESPEC,DATOS!$E18693,nASIG,DATOS!$I18693,nEVAL,"OR")=0))</f>
      </c>
      <c r="I18693">
        <f>IF(DATOS!$I18693="","",IFERROR(VLOOKUP(DATOS!$I18693,CONFIG_ASIGNATURAS!$B$2:$J$91,9,FALSE()),""))</f>
      </c>
    </row>
    <row r="18694">
      <c r="F18694">
        <f>IF(DATOS!$A18694="","",DATOS!$A18694&amp;"|"&amp;DATOS!$D18694&amp;"|"&amp;DATOS!$E18694&amp;"|"&amp;DATOS!$I18694)</f>
      </c>
      <c r="G18694">
        <f>IF(DATOS!$A18694="",0,IF(CONFIG_METADATA!$B$4&lt;&gt;"OR+EX",--(DATOS!$G18694=CONFIG_METADATA!$B$4),IF(DATOS!$G18694="EX",1,IF(DATOS!$G18694="OR",--(COUNTIFS(nNIA,DATOS!$A18694,nCURSO,DATOS!$D18694,nESPEC,DATOS!$E18694,nASIG,DATOS!$I18694,nEVAL,"EX")=0),0))))</f>
      </c>
      <c r="H18694">
        <f>IF(DATOS!$G18694&lt;&gt;"EX",0,--(COUNTIFS(nNIA,DATOS!$A18694,nCURSO,DATOS!$D18694,nESPEC,DATOS!$E18694,nASIG,DATOS!$I18694,nEVAL,"OR")=0))</f>
      </c>
      <c r="I18694">
        <f>IF(DATOS!$I18694="","",IFERROR(VLOOKUP(DATOS!$I18694,CONFIG_ASIGNATURAS!$B$2:$J$91,9,FALSE()),""))</f>
      </c>
    </row>
    <row r="18695">
      <c r="F18695">
        <f>IF(DATOS!$A18695="","",DATOS!$A18695&amp;"|"&amp;DATOS!$D18695&amp;"|"&amp;DATOS!$E18695&amp;"|"&amp;DATOS!$I18695)</f>
      </c>
      <c r="G18695">
        <f>IF(DATOS!$A18695="",0,IF(CONFIG_METADATA!$B$4&lt;&gt;"OR+EX",--(DATOS!$G18695=CONFIG_METADATA!$B$4),IF(DATOS!$G18695="EX",1,IF(DATOS!$G18695="OR",--(COUNTIFS(nNIA,DATOS!$A18695,nCURSO,DATOS!$D18695,nESPEC,DATOS!$E18695,nASIG,DATOS!$I18695,nEVAL,"EX")=0),0))))</f>
      </c>
      <c r="H18695">
        <f>IF(DATOS!$G18695&lt;&gt;"EX",0,--(COUNTIFS(nNIA,DATOS!$A18695,nCURSO,DATOS!$D18695,nESPEC,DATOS!$E18695,nASIG,DATOS!$I18695,nEVAL,"OR")=0))</f>
      </c>
      <c r="I18695">
        <f>IF(DATOS!$I18695="","",IFERROR(VLOOKUP(DATOS!$I18695,CONFIG_ASIGNATURAS!$B$2:$J$91,9,FALSE()),""))</f>
      </c>
    </row>
    <row r="18696">
      <c r="F18696">
        <f>IF(DATOS!$A18696="","",DATOS!$A18696&amp;"|"&amp;DATOS!$D18696&amp;"|"&amp;DATOS!$E18696&amp;"|"&amp;DATOS!$I18696)</f>
      </c>
      <c r="G18696">
        <f>IF(DATOS!$A18696="",0,IF(CONFIG_METADATA!$B$4&lt;&gt;"OR+EX",--(DATOS!$G18696=CONFIG_METADATA!$B$4),IF(DATOS!$G18696="EX",1,IF(DATOS!$G18696="OR",--(COUNTIFS(nNIA,DATOS!$A18696,nCURSO,DATOS!$D18696,nESPEC,DATOS!$E18696,nASIG,DATOS!$I18696,nEVAL,"EX")=0),0))))</f>
      </c>
      <c r="H18696">
        <f>IF(DATOS!$G18696&lt;&gt;"EX",0,--(COUNTIFS(nNIA,DATOS!$A18696,nCURSO,DATOS!$D18696,nESPEC,DATOS!$E18696,nASIG,DATOS!$I18696,nEVAL,"OR")=0))</f>
      </c>
      <c r="I18696">
        <f>IF(DATOS!$I18696="","",IFERROR(VLOOKUP(DATOS!$I18696,CONFIG_ASIGNATURAS!$B$2:$J$91,9,FALSE()),""))</f>
      </c>
    </row>
    <row r="18697">
      <c r="F18697">
        <f>IF(DATOS!$A18697="","",DATOS!$A18697&amp;"|"&amp;DATOS!$D18697&amp;"|"&amp;DATOS!$E18697&amp;"|"&amp;DATOS!$I18697)</f>
      </c>
      <c r="G18697">
        <f>IF(DATOS!$A18697="",0,IF(CONFIG_METADATA!$B$4&lt;&gt;"OR+EX",--(DATOS!$G18697=CONFIG_METADATA!$B$4),IF(DATOS!$G18697="EX",1,IF(DATOS!$G18697="OR",--(COUNTIFS(nNIA,DATOS!$A18697,nCURSO,DATOS!$D18697,nESPEC,DATOS!$E18697,nASIG,DATOS!$I18697,nEVAL,"EX")=0),0))))</f>
      </c>
      <c r="H18697">
        <f>IF(DATOS!$G18697&lt;&gt;"EX",0,--(COUNTIFS(nNIA,DATOS!$A18697,nCURSO,DATOS!$D18697,nESPEC,DATOS!$E18697,nASIG,DATOS!$I18697,nEVAL,"OR")=0))</f>
      </c>
      <c r="I18697">
        <f>IF(DATOS!$I18697="","",IFERROR(VLOOKUP(DATOS!$I18697,CONFIG_ASIGNATURAS!$B$2:$J$91,9,FALSE()),""))</f>
      </c>
    </row>
    <row r="18698">
      <c r="F18698">
        <f>IF(DATOS!$A18698="","",DATOS!$A18698&amp;"|"&amp;DATOS!$D18698&amp;"|"&amp;DATOS!$E18698&amp;"|"&amp;DATOS!$I18698)</f>
      </c>
      <c r="G18698">
        <f>IF(DATOS!$A18698="",0,IF(CONFIG_METADATA!$B$4&lt;&gt;"OR+EX",--(DATOS!$G18698=CONFIG_METADATA!$B$4),IF(DATOS!$G18698="EX",1,IF(DATOS!$G18698="OR",--(COUNTIFS(nNIA,DATOS!$A18698,nCURSO,DATOS!$D18698,nESPEC,DATOS!$E18698,nASIG,DATOS!$I18698,nEVAL,"EX")=0),0))))</f>
      </c>
      <c r="H18698">
        <f>IF(DATOS!$G18698&lt;&gt;"EX",0,--(COUNTIFS(nNIA,DATOS!$A18698,nCURSO,DATOS!$D18698,nESPEC,DATOS!$E18698,nASIG,DATOS!$I18698,nEVAL,"OR")=0))</f>
      </c>
      <c r="I18698">
        <f>IF(DATOS!$I18698="","",IFERROR(VLOOKUP(DATOS!$I18698,CONFIG_ASIGNATURAS!$B$2:$J$91,9,FALSE()),""))</f>
      </c>
    </row>
    <row r="18699">
      <c r="F18699">
        <f>IF(DATOS!$A18699="","",DATOS!$A18699&amp;"|"&amp;DATOS!$D18699&amp;"|"&amp;DATOS!$E18699&amp;"|"&amp;DATOS!$I18699)</f>
      </c>
      <c r="G18699">
        <f>IF(DATOS!$A18699="",0,IF(CONFIG_METADATA!$B$4&lt;&gt;"OR+EX",--(DATOS!$G18699=CONFIG_METADATA!$B$4),IF(DATOS!$G18699="EX",1,IF(DATOS!$G18699="OR",--(COUNTIFS(nNIA,DATOS!$A18699,nCURSO,DATOS!$D18699,nESPEC,DATOS!$E18699,nASIG,DATOS!$I18699,nEVAL,"EX")=0),0))))</f>
      </c>
      <c r="H18699">
        <f>IF(DATOS!$G18699&lt;&gt;"EX",0,--(COUNTIFS(nNIA,DATOS!$A18699,nCURSO,DATOS!$D18699,nESPEC,DATOS!$E18699,nASIG,DATOS!$I18699,nEVAL,"OR")=0))</f>
      </c>
      <c r="I18699">
        <f>IF(DATOS!$I18699="","",IFERROR(VLOOKUP(DATOS!$I18699,CONFIG_ASIGNATURAS!$B$2:$J$91,9,FALSE()),""))</f>
      </c>
    </row>
    <row r="18700">
      <c r="F18700">
        <f>IF(DATOS!$A18700="","",DATOS!$A18700&amp;"|"&amp;DATOS!$D18700&amp;"|"&amp;DATOS!$E18700&amp;"|"&amp;DATOS!$I18700)</f>
      </c>
      <c r="G18700">
        <f>IF(DATOS!$A18700="",0,IF(CONFIG_METADATA!$B$4&lt;&gt;"OR+EX",--(DATOS!$G18700=CONFIG_METADATA!$B$4),IF(DATOS!$G18700="EX",1,IF(DATOS!$G18700="OR",--(COUNTIFS(nNIA,DATOS!$A18700,nCURSO,DATOS!$D18700,nESPEC,DATOS!$E18700,nASIG,DATOS!$I18700,nEVAL,"EX")=0),0))))</f>
      </c>
      <c r="H18700">
        <f>IF(DATOS!$G18700&lt;&gt;"EX",0,--(COUNTIFS(nNIA,DATOS!$A18700,nCURSO,DATOS!$D18700,nESPEC,DATOS!$E18700,nASIG,DATOS!$I18700,nEVAL,"OR")=0))</f>
      </c>
      <c r="I18700">
        <f>IF(DATOS!$I18700="","",IFERROR(VLOOKUP(DATOS!$I18700,CONFIG_ASIGNATURAS!$B$2:$J$91,9,FALSE()),""))</f>
      </c>
    </row>
    <row r="18701">
      <c r="F18701">
        <f>IF(DATOS!$A18701="","",DATOS!$A18701&amp;"|"&amp;DATOS!$D18701&amp;"|"&amp;DATOS!$E18701&amp;"|"&amp;DATOS!$I18701)</f>
      </c>
      <c r="G18701">
        <f>IF(DATOS!$A18701="",0,IF(CONFIG_METADATA!$B$4&lt;&gt;"OR+EX",--(DATOS!$G18701=CONFIG_METADATA!$B$4),IF(DATOS!$G18701="EX",1,IF(DATOS!$G18701="OR",--(COUNTIFS(nNIA,DATOS!$A18701,nCURSO,DATOS!$D18701,nESPEC,DATOS!$E18701,nASIG,DATOS!$I18701,nEVAL,"EX")=0),0))))</f>
      </c>
      <c r="H18701">
        <f>IF(DATOS!$G18701&lt;&gt;"EX",0,--(COUNTIFS(nNIA,DATOS!$A18701,nCURSO,DATOS!$D18701,nESPEC,DATOS!$E18701,nASIG,DATOS!$I18701,nEVAL,"OR")=0))</f>
      </c>
      <c r="I18701">
        <f>IF(DATOS!$I18701="","",IFERROR(VLOOKUP(DATOS!$I18701,CONFIG_ASIGNATURAS!$B$2:$J$91,9,FALSE()),""))</f>
      </c>
    </row>
    <row r="18702">
      <c r="F18702">
        <f>IF(DATOS!$A18702="","",DATOS!$A18702&amp;"|"&amp;DATOS!$D18702&amp;"|"&amp;DATOS!$E18702&amp;"|"&amp;DATOS!$I18702)</f>
      </c>
      <c r="G18702">
        <f>IF(DATOS!$A18702="",0,IF(CONFIG_METADATA!$B$4&lt;&gt;"OR+EX",--(DATOS!$G18702=CONFIG_METADATA!$B$4),IF(DATOS!$G18702="EX",1,IF(DATOS!$G18702="OR",--(COUNTIFS(nNIA,DATOS!$A18702,nCURSO,DATOS!$D18702,nESPEC,DATOS!$E18702,nASIG,DATOS!$I18702,nEVAL,"EX")=0),0))))</f>
      </c>
      <c r="H18702">
        <f>IF(DATOS!$G18702&lt;&gt;"EX",0,--(COUNTIFS(nNIA,DATOS!$A18702,nCURSO,DATOS!$D18702,nESPEC,DATOS!$E18702,nASIG,DATOS!$I18702,nEVAL,"OR")=0))</f>
      </c>
      <c r="I18702">
        <f>IF(DATOS!$I18702="","",IFERROR(VLOOKUP(DATOS!$I18702,CONFIG_ASIGNATURAS!$B$2:$J$91,9,FALSE()),""))</f>
      </c>
    </row>
    <row r="18703">
      <c r="F18703">
        <f>IF(DATOS!$A18703="","",DATOS!$A18703&amp;"|"&amp;DATOS!$D18703&amp;"|"&amp;DATOS!$E18703&amp;"|"&amp;DATOS!$I18703)</f>
      </c>
      <c r="G18703">
        <f>IF(DATOS!$A18703="",0,IF(CONFIG_METADATA!$B$4&lt;&gt;"OR+EX",--(DATOS!$G18703=CONFIG_METADATA!$B$4),IF(DATOS!$G18703="EX",1,IF(DATOS!$G18703="OR",--(COUNTIFS(nNIA,DATOS!$A18703,nCURSO,DATOS!$D18703,nESPEC,DATOS!$E18703,nASIG,DATOS!$I18703,nEVAL,"EX")=0),0))))</f>
      </c>
      <c r="H18703">
        <f>IF(DATOS!$G18703&lt;&gt;"EX",0,--(COUNTIFS(nNIA,DATOS!$A18703,nCURSO,DATOS!$D18703,nESPEC,DATOS!$E18703,nASIG,DATOS!$I18703,nEVAL,"OR")=0))</f>
      </c>
      <c r="I18703">
        <f>IF(DATOS!$I18703="","",IFERROR(VLOOKUP(DATOS!$I18703,CONFIG_ASIGNATURAS!$B$2:$J$91,9,FALSE()),""))</f>
      </c>
    </row>
    <row r="18704">
      <c r="F18704">
        <f>IF(DATOS!$A18704="","",DATOS!$A18704&amp;"|"&amp;DATOS!$D18704&amp;"|"&amp;DATOS!$E18704&amp;"|"&amp;DATOS!$I18704)</f>
      </c>
      <c r="G18704">
        <f>IF(DATOS!$A18704="",0,IF(CONFIG_METADATA!$B$4&lt;&gt;"OR+EX",--(DATOS!$G18704=CONFIG_METADATA!$B$4),IF(DATOS!$G18704="EX",1,IF(DATOS!$G18704="OR",--(COUNTIFS(nNIA,DATOS!$A18704,nCURSO,DATOS!$D18704,nESPEC,DATOS!$E18704,nASIG,DATOS!$I18704,nEVAL,"EX")=0),0))))</f>
      </c>
      <c r="H18704">
        <f>IF(DATOS!$G18704&lt;&gt;"EX",0,--(COUNTIFS(nNIA,DATOS!$A18704,nCURSO,DATOS!$D18704,nESPEC,DATOS!$E18704,nASIG,DATOS!$I18704,nEVAL,"OR")=0))</f>
      </c>
      <c r="I18704">
        <f>IF(DATOS!$I18704="","",IFERROR(VLOOKUP(DATOS!$I18704,CONFIG_ASIGNATURAS!$B$2:$J$91,9,FALSE()),""))</f>
      </c>
    </row>
    <row r="18705">
      <c r="F18705">
        <f>IF(DATOS!$A18705="","",DATOS!$A18705&amp;"|"&amp;DATOS!$D18705&amp;"|"&amp;DATOS!$E18705&amp;"|"&amp;DATOS!$I18705)</f>
      </c>
      <c r="G18705">
        <f>IF(DATOS!$A18705="",0,IF(CONFIG_METADATA!$B$4&lt;&gt;"OR+EX",--(DATOS!$G18705=CONFIG_METADATA!$B$4),IF(DATOS!$G18705="EX",1,IF(DATOS!$G18705="OR",--(COUNTIFS(nNIA,DATOS!$A18705,nCURSO,DATOS!$D18705,nESPEC,DATOS!$E18705,nASIG,DATOS!$I18705,nEVAL,"EX")=0),0))))</f>
      </c>
      <c r="H18705">
        <f>IF(DATOS!$G18705&lt;&gt;"EX",0,--(COUNTIFS(nNIA,DATOS!$A18705,nCURSO,DATOS!$D18705,nESPEC,DATOS!$E18705,nASIG,DATOS!$I18705,nEVAL,"OR")=0))</f>
      </c>
      <c r="I18705">
        <f>IF(DATOS!$I18705="","",IFERROR(VLOOKUP(DATOS!$I18705,CONFIG_ASIGNATURAS!$B$2:$J$91,9,FALSE()),""))</f>
      </c>
    </row>
    <row r="18706">
      <c r="F18706">
        <f>IF(DATOS!$A18706="","",DATOS!$A18706&amp;"|"&amp;DATOS!$D18706&amp;"|"&amp;DATOS!$E18706&amp;"|"&amp;DATOS!$I18706)</f>
      </c>
      <c r="G18706">
        <f>IF(DATOS!$A18706="",0,IF(CONFIG_METADATA!$B$4&lt;&gt;"OR+EX",--(DATOS!$G18706=CONFIG_METADATA!$B$4),IF(DATOS!$G18706="EX",1,IF(DATOS!$G18706="OR",--(COUNTIFS(nNIA,DATOS!$A18706,nCURSO,DATOS!$D18706,nESPEC,DATOS!$E18706,nASIG,DATOS!$I18706,nEVAL,"EX")=0),0))))</f>
      </c>
      <c r="H18706">
        <f>IF(DATOS!$G18706&lt;&gt;"EX",0,--(COUNTIFS(nNIA,DATOS!$A18706,nCURSO,DATOS!$D18706,nESPEC,DATOS!$E18706,nASIG,DATOS!$I18706,nEVAL,"OR")=0))</f>
      </c>
      <c r="I18706">
        <f>IF(DATOS!$I18706="","",IFERROR(VLOOKUP(DATOS!$I18706,CONFIG_ASIGNATURAS!$B$2:$J$91,9,FALSE()),""))</f>
      </c>
    </row>
    <row r="18707">
      <c r="F18707">
        <f>IF(DATOS!$A18707="","",DATOS!$A18707&amp;"|"&amp;DATOS!$D18707&amp;"|"&amp;DATOS!$E18707&amp;"|"&amp;DATOS!$I18707)</f>
      </c>
      <c r="G18707">
        <f>IF(DATOS!$A18707="",0,IF(CONFIG_METADATA!$B$4&lt;&gt;"OR+EX",--(DATOS!$G18707=CONFIG_METADATA!$B$4),IF(DATOS!$G18707="EX",1,IF(DATOS!$G18707="OR",--(COUNTIFS(nNIA,DATOS!$A18707,nCURSO,DATOS!$D18707,nESPEC,DATOS!$E18707,nASIG,DATOS!$I18707,nEVAL,"EX")=0),0))))</f>
      </c>
      <c r="H18707">
        <f>IF(DATOS!$G18707&lt;&gt;"EX",0,--(COUNTIFS(nNIA,DATOS!$A18707,nCURSO,DATOS!$D18707,nESPEC,DATOS!$E18707,nASIG,DATOS!$I18707,nEVAL,"OR")=0))</f>
      </c>
      <c r="I18707">
        <f>IF(DATOS!$I18707="","",IFERROR(VLOOKUP(DATOS!$I18707,CONFIG_ASIGNATURAS!$B$2:$J$91,9,FALSE()),""))</f>
      </c>
    </row>
    <row r="18708">
      <c r="F18708">
        <f>IF(DATOS!$A18708="","",DATOS!$A18708&amp;"|"&amp;DATOS!$D18708&amp;"|"&amp;DATOS!$E18708&amp;"|"&amp;DATOS!$I18708)</f>
      </c>
      <c r="G18708">
        <f>IF(DATOS!$A18708="",0,IF(CONFIG_METADATA!$B$4&lt;&gt;"OR+EX",--(DATOS!$G18708=CONFIG_METADATA!$B$4),IF(DATOS!$G18708="EX",1,IF(DATOS!$G18708="OR",--(COUNTIFS(nNIA,DATOS!$A18708,nCURSO,DATOS!$D18708,nESPEC,DATOS!$E18708,nASIG,DATOS!$I18708,nEVAL,"EX")=0),0))))</f>
      </c>
      <c r="H18708">
        <f>IF(DATOS!$G18708&lt;&gt;"EX",0,--(COUNTIFS(nNIA,DATOS!$A18708,nCURSO,DATOS!$D18708,nESPEC,DATOS!$E18708,nASIG,DATOS!$I18708,nEVAL,"OR")=0))</f>
      </c>
      <c r="I18708">
        <f>IF(DATOS!$I18708="","",IFERROR(VLOOKUP(DATOS!$I18708,CONFIG_ASIGNATURAS!$B$2:$J$91,9,FALSE()),""))</f>
      </c>
    </row>
    <row r="18709">
      <c r="F18709">
        <f>IF(DATOS!$A18709="","",DATOS!$A18709&amp;"|"&amp;DATOS!$D18709&amp;"|"&amp;DATOS!$E18709&amp;"|"&amp;DATOS!$I18709)</f>
      </c>
      <c r="G18709">
        <f>IF(DATOS!$A18709="",0,IF(CONFIG_METADATA!$B$4&lt;&gt;"OR+EX",--(DATOS!$G18709=CONFIG_METADATA!$B$4),IF(DATOS!$G18709="EX",1,IF(DATOS!$G18709="OR",--(COUNTIFS(nNIA,DATOS!$A18709,nCURSO,DATOS!$D18709,nESPEC,DATOS!$E18709,nASIG,DATOS!$I18709,nEVAL,"EX")=0),0))))</f>
      </c>
      <c r="H18709">
        <f>IF(DATOS!$G18709&lt;&gt;"EX",0,--(COUNTIFS(nNIA,DATOS!$A18709,nCURSO,DATOS!$D18709,nESPEC,DATOS!$E18709,nASIG,DATOS!$I18709,nEVAL,"OR")=0))</f>
      </c>
      <c r="I18709">
        <f>IF(DATOS!$I18709="","",IFERROR(VLOOKUP(DATOS!$I18709,CONFIG_ASIGNATURAS!$B$2:$J$91,9,FALSE()),""))</f>
      </c>
    </row>
    <row r="18710">
      <c r="F18710">
        <f>IF(DATOS!$A18710="","",DATOS!$A18710&amp;"|"&amp;DATOS!$D18710&amp;"|"&amp;DATOS!$E18710&amp;"|"&amp;DATOS!$I18710)</f>
      </c>
      <c r="G18710">
        <f>IF(DATOS!$A18710="",0,IF(CONFIG_METADATA!$B$4&lt;&gt;"OR+EX",--(DATOS!$G18710=CONFIG_METADATA!$B$4),IF(DATOS!$G18710="EX",1,IF(DATOS!$G18710="OR",--(COUNTIFS(nNIA,DATOS!$A18710,nCURSO,DATOS!$D18710,nESPEC,DATOS!$E18710,nASIG,DATOS!$I18710,nEVAL,"EX")=0),0))))</f>
      </c>
      <c r="H18710">
        <f>IF(DATOS!$G18710&lt;&gt;"EX",0,--(COUNTIFS(nNIA,DATOS!$A18710,nCURSO,DATOS!$D18710,nESPEC,DATOS!$E18710,nASIG,DATOS!$I18710,nEVAL,"OR")=0))</f>
      </c>
      <c r="I18710">
        <f>IF(DATOS!$I18710="","",IFERROR(VLOOKUP(DATOS!$I18710,CONFIG_ASIGNATURAS!$B$2:$J$91,9,FALSE()),""))</f>
      </c>
    </row>
    <row r="18711">
      <c r="F18711">
        <f>IF(DATOS!$A18711="","",DATOS!$A18711&amp;"|"&amp;DATOS!$D18711&amp;"|"&amp;DATOS!$E18711&amp;"|"&amp;DATOS!$I18711)</f>
      </c>
      <c r="G18711">
        <f>IF(DATOS!$A18711="",0,IF(CONFIG_METADATA!$B$4&lt;&gt;"OR+EX",--(DATOS!$G18711=CONFIG_METADATA!$B$4),IF(DATOS!$G18711="EX",1,IF(DATOS!$G18711="OR",--(COUNTIFS(nNIA,DATOS!$A18711,nCURSO,DATOS!$D18711,nESPEC,DATOS!$E18711,nASIG,DATOS!$I18711,nEVAL,"EX")=0),0))))</f>
      </c>
      <c r="H18711">
        <f>IF(DATOS!$G18711&lt;&gt;"EX",0,--(COUNTIFS(nNIA,DATOS!$A18711,nCURSO,DATOS!$D18711,nESPEC,DATOS!$E18711,nASIG,DATOS!$I18711,nEVAL,"OR")=0))</f>
      </c>
      <c r="I18711">
        <f>IF(DATOS!$I18711="","",IFERROR(VLOOKUP(DATOS!$I18711,CONFIG_ASIGNATURAS!$B$2:$J$91,9,FALSE()),""))</f>
      </c>
    </row>
    <row r="18712">
      <c r="F18712">
        <f>IF(DATOS!$A18712="","",DATOS!$A18712&amp;"|"&amp;DATOS!$D18712&amp;"|"&amp;DATOS!$E18712&amp;"|"&amp;DATOS!$I18712)</f>
      </c>
      <c r="G18712">
        <f>IF(DATOS!$A18712="",0,IF(CONFIG_METADATA!$B$4&lt;&gt;"OR+EX",--(DATOS!$G18712=CONFIG_METADATA!$B$4),IF(DATOS!$G18712="EX",1,IF(DATOS!$G18712="OR",--(COUNTIFS(nNIA,DATOS!$A18712,nCURSO,DATOS!$D18712,nESPEC,DATOS!$E18712,nASIG,DATOS!$I18712,nEVAL,"EX")=0),0))))</f>
      </c>
      <c r="H18712">
        <f>IF(DATOS!$G18712&lt;&gt;"EX",0,--(COUNTIFS(nNIA,DATOS!$A18712,nCURSO,DATOS!$D18712,nESPEC,DATOS!$E18712,nASIG,DATOS!$I18712,nEVAL,"OR")=0))</f>
      </c>
      <c r="I18712">
        <f>IF(DATOS!$I18712="","",IFERROR(VLOOKUP(DATOS!$I18712,CONFIG_ASIGNATURAS!$B$2:$J$91,9,FALSE()),""))</f>
      </c>
    </row>
    <row r="18713">
      <c r="F18713">
        <f>IF(DATOS!$A18713="","",DATOS!$A18713&amp;"|"&amp;DATOS!$D18713&amp;"|"&amp;DATOS!$E18713&amp;"|"&amp;DATOS!$I18713)</f>
      </c>
      <c r="G18713">
        <f>IF(DATOS!$A18713="",0,IF(CONFIG_METADATA!$B$4&lt;&gt;"OR+EX",--(DATOS!$G18713=CONFIG_METADATA!$B$4),IF(DATOS!$G18713="EX",1,IF(DATOS!$G18713="OR",--(COUNTIFS(nNIA,DATOS!$A18713,nCURSO,DATOS!$D18713,nESPEC,DATOS!$E18713,nASIG,DATOS!$I18713,nEVAL,"EX")=0),0))))</f>
      </c>
      <c r="H18713">
        <f>IF(DATOS!$G18713&lt;&gt;"EX",0,--(COUNTIFS(nNIA,DATOS!$A18713,nCURSO,DATOS!$D18713,nESPEC,DATOS!$E18713,nASIG,DATOS!$I18713,nEVAL,"OR")=0))</f>
      </c>
      <c r="I18713">
        <f>IF(DATOS!$I18713="","",IFERROR(VLOOKUP(DATOS!$I18713,CONFIG_ASIGNATURAS!$B$2:$J$91,9,FALSE()),""))</f>
      </c>
    </row>
    <row r="18714">
      <c r="F18714">
        <f>IF(DATOS!$A18714="","",DATOS!$A18714&amp;"|"&amp;DATOS!$D18714&amp;"|"&amp;DATOS!$E18714&amp;"|"&amp;DATOS!$I18714)</f>
      </c>
      <c r="G18714">
        <f>IF(DATOS!$A18714="",0,IF(CONFIG_METADATA!$B$4&lt;&gt;"OR+EX",--(DATOS!$G18714=CONFIG_METADATA!$B$4),IF(DATOS!$G18714="EX",1,IF(DATOS!$G18714="OR",--(COUNTIFS(nNIA,DATOS!$A18714,nCURSO,DATOS!$D18714,nESPEC,DATOS!$E18714,nASIG,DATOS!$I18714,nEVAL,"EX")=0),0))))</f>
      </c>
      <c r="H18714">
        <f>IF(DATOS!$G18714&lt;&gt;"EX",0,--(COUNTIFS(nNIA,DATOS!$A18714,nCURSO,DATOS!$D18714,nESPEC,DATOS!$E18714,nASIG,DATOS!$I18714,nEVAL,"OR")=0))</f>
      </c>
      <c r="I18714">
        <f>IF(DATOS!$I18714="","",IFERROR(VLOOKUP(DATOS!$I18714,CONFIG_ASIGNATURAS!$B$2:$J$91,9,FALSE()),""))</f>
      </c>
    </row>
    <row r="18715">
      <c r="F18715">
        <f>IF(DATOS!$A18715="","",DATOS!$A18715&amp;"|"&amp;DATOS!$D18715&amp;"|"&amp;DATOS!$E18715&amp;"|"&amp;DATOS!$I18715)</f>
      </c>
      <c r="G18715">
        <f>IF(DATOS!$A18715="",0,IF(CONFIG_METADATA!$B$4&lt;&gt;"OR+EX",--(DATOS!$G18715=CONFIG_METADATA!$B$4),IF(DATOS!$G18715="EX",1,IF(DATOS!$G18715="OR",--(COUNTIFS(nNIA,DATOS!$A18715,nCURSO,DATOS!$D18715,nESPEC,DATOS!$E18715,nASIG,DATOS!$I18715,nEVAL,"EX")=0),0))))</f>
      </c>
      <c r="H18715">
        <f>IF(DATOS!$G18715&lt;&gt;"EX",0,--(COUNTIFS(nNIA,DATOS!$A18715,nCURSO,DATOS!$D18715,nESPEC,DATOS!$E18715,nASIG,DATOS!$I18715,nEVAL,"OR")=0))</f>
      </c>
      <c r="I18715">
        <f>IF(DATOS!$I18715="","",IFERROR(VLOOKUP(DATOS!$I18715,CONFIG_ASIGNATURAS!$B$2:$J$91,9,FALSE()),""))</f>
      </c>
    </row>
    <row r="18716">
      <c r="F18716">
        <f>IF(DATOS!$A18716="","",DATOS!$A18716&amp;"|"&amp;DATOS!$D18716&amp;"|"&amp;DATOS!$E18716&amp;"|"&amp;DATOS!$I18716)</f>
      </c>
      <c r="G18716">
        <f>IF(DATOS!$A18716="",0,IF(CONFIG_METADATA!$B$4&lt;&gt;"OR+EX",--(DATOS!$G18716=CONFIG_METADATA!$B$4),IF(DATOS!$G18716="EX",1,IF(DATOS!$G18716="OR",--(COUNTIFS(nNIA,DATOS!$A18716,nCURSO,DATOS!$D18716,nESPEC,DATOS!$E18716,nASIG,DATOS!$I18716,nEVAL,"EX")=0),0))))</f>
      </c>
      <c r="H18716">
        <f>IF(DATOS!$G18716&lt;&gt;"EX",0,--(COUNTIFS(nNIA,DATOS!$A18716,nCURSO,DATOS!$D18716,nESPEC,DATOS!$E18716,nASIG,DATOS!$I18716,nEVAL,"OR")=0))</f>
      </c>
      <c r="I18716">
        <f>IF(DATOS!$I18716="","",IFERROR(VLOOKUP(DATOS!$I18716,CONFIG_ASIGNATURAS!$B$2:$J$91,9,FALSE()),""))</f>
      </c>
    </row>
    <row r="18717">
      <c r="F18717">
        <f>IF(DATOS!$A18717="","",DATOS!$A18717&amp;"|"&amp;DATOS!$D18717&amp;"|"&amp;DATOS!$E18717&amp;"|"&amp;DATOS!$I18717)</f>
      </c>
      <c r="G18717">
        <f>IF(DATOS!$A18717="",0,IF(CONFIG_METADATA!$B$4&lt;&gt;"OR+EX",--(DATOS!$G18717=CONFIG_METADATA!$B$4),IF(DATOS!$G18717="EX",1,IF(DATOS!$G18717="OR",--(COUNTIFS(nNIA,DATOS!$A18717,nCURSO,DATOS!$D18717,nESPEC,DATOS!$E18717,nASIG,DATOS!$I18717,nEVAL,"EX")=0),0))))</f>
      </c>
      <c r="H18717">
        <f>IF(DATOS!$G18717&lt;&gt;"EX",0,--(COUNTIFS(nNIA,DATOS!$A18717,nCURSO,DATOS!$D18717,nESPEC,DATOS!$E18717,nASIG,DATOS!$I18717,nEVAL,"OR")=0))</f>
      </c>
      <c r="I18717">
        <f>IF(DATOS!$I18717="","",IFERROR(VLOOKUP(DATOS!$I18717,CONFIG_ASIGNATURAS!$B$2:$J$91,9,FALSE()),""))</f>
      </c>
    </row>
    <row r="18718">
      <c r="F18718">
        <f>IF(DATOS!$A18718="","",DATOS!$A18718&amp;"|"&amp;DATOS!$D18718&amp;"|"&amp;DATOS!$E18718&amp;"|"&amp;DATOS!$I18718)</f>
      </c>
      <c r="G18718">
        <f>IF(DATOS!$A18718="",0,IF(CONFIG_METADATA!$B$4&lt;&gt;"OR+EX",--(DATOS!$G18718=CONFIG_METADATA!$B$4),IF(DATOS!$G18718="EX",1,IF(DATOS!$G18718="OR",--(COUNTIFS(nNIA,DATOS!$A18718,nCURSO,DATOS!$D18718,nESPEC,DATOS!$E18718,nASIG,DATOS!$I18718,nEVAL,"EX")=0),0))))</f>
      </c>
      <c r="H18718">
        <f>IF(DATOS!$G18718&lt;&gt;"EX",0,--(COUNTIFS(nNIA,DATOS!$A18718,nCURSO,DATOS!$D18718,nESPEC,DATOS!$E18718,nASIG,DATOS!$I18718,nEVAL,"OR")=0))</f>
      </c>
      <c r="I18718">
        <f>IF(DATOS!$I18718="","",IFERROR(VLOOKUP(DATOS!$I18718,CONFIG_ASIGNATURAS!$B$2:$J$91,9,FALSE()),""))</f>
      </c>
    </row>
    <row r="18719">
      <c r="F18719">
        <f>IF(DATOS!$A18719="","",DATOS!$A18719&amp;"|"&amp;DATOS!$D18719&amp;"|"&amp;DATOS!$E18719&amp;"|"&amp;DATOS!$I18719)</f>
      </c>
      <c r="G18719">
        <f>IF(DATOS!$A18719="",0,IF(CONFIG_METADATA!$B$4&lt;&gt;"OR+EX",--(DATOS!$G18719=CONFIG_METADATA!$B$4),IF(DATOS!$G18719="EX",1,IF(DATOS!$G18719="OR",--(COUNTIFS(nNIA,DATOS!$A18719,nCURSO,DATOS!$D18719,nESPEC,DATOS!$E18719,nASIG,DATOS!$I18719,nEVAL,"EX")=0),0))))</f>
      </c>
      <c r="H18719">
        <f>IF(DATOS!$G18719&lt;&gt;"EX",0,--(COUNTIFS(nNIA,DATOS!$A18719,nCURSO,DATOS!$D18719,nESPEC,DATOS!$E18719,nASIG,DATOS!$I18719,nEVAL,"OR")=0))</f>
      </c>
      <c r="I18719">
        <f>IF(DATOS!$I18719="","",IFERROR(VLOOKUP(DATOS!$I18719,CONFIG_ASIGNATURAS!$B$2:$J$91,9,FALSE()),""))</f>
      </c>
    </row>
    <row r="18720">
      <c r="F18720">
        <f>IF(DATOS!$A18720="","",DATOS!$A18720&amp;"|"&amp;DATOS!$D18720&amp;"|"&amp;DATOS!$E18720&amp;"|"&amp;DATOS!$I18720)</f>
      </c>
      <c r="G18720">
        <f>IF(DATOS!$A18720="",0,IF(CONFIG_METADATA!$B$4&lt;&gt;"OR+EX",--(DATOS!$G18720=CONFIG_METADATA!$B$4),IF(DATOS!$G18720="EX",1,IF(DATOS!$G18720="OR",--(COUNTIFS(nNIA,DATOS!$A18720,nCURSO,DATOS!$D18720,nESPEC,DATOS!$E18720,nASIG,DATOS!$I18720,nEVAL,"EX")=0),0))))</f>
      </c>
      <c r="H18720">
        <f>IF(DATOS!$G18720&lt;&gt;"EX",0,--(COUNTIFS(nNIA,DATOS!$A18720,nCURSO,DATOS!$D18720,nESPEC,DATOS!$E18720,nASIG,DATOS!$I18720,nEVAL,"OR")=0))</f>
      </c>
      <c r="I18720">
        <f>IF(DATOS!$I18720="","",IFERROR(VLOOKUP(DATOS!$I18720,CONFIG_ASIGNATURAS!$B$2:$J$91,9,FALSE()),""))</f>
      </c>
    </row>
    <row r="18721">
      <c r="F18721">
        <f>IF(DATOS!$A18721="","",DATOS!$A18721&amp;"|"&amp;DATOS!$D18721&amp;"|"&amp;DATOS!$E18721&amp;"|"&amp;DATOS!$I18721)</f>
      </c>
      <c r="G18721">
        <f>IF(DATOS!$A18721="",0,IF(CONFIG_METADATA!$B$4&lt;&gt;"OR+EX",--(DATOS!$G18721=CONFIG_METADATA!$B$4),IF(DATOS!$G18721="EX",1,IF(DATOS!$G18721="OR",--(COUNTIFS(nNIA,DATOS!$A18721,nCURSO,DATOS!$D18721,nESPEC,DATOS!$E18721,nASIG,DATOS!$I18721,nEVAL,"EX")=0),0))))</f>
      </c>
      <c r="H18721">
        <f>IF(DATOS!$G18721&lt;&gt;"EX",0,--(COUNTIFS(nNIA,DATOS!$A18721,nCURSO,DATOS!$D18721,nESPEC,DATOS!$E18721,nASIG,DATOS!$I18721,nEVAL,"OR")=0))</f>
      </c>
      <c r="I18721">
        <f>IF(DATOS!$I18721="","",IFERROR(VLOOKUP(DATOS!$I18721,CONFIG_ASIGNATURAS!$B$2:$J$91,9,FALSE()),""))</f>
      </c>
    </row>
    <row r="18722">
      <c r="F18722">
        <f>IF(DATOS!$A18722="","",DATOS!$A18722&amp;"|"&amp;DATOS!$D18722&amp;"|"&amp;DATOS!$E18722&amp;"|"&amp;DATOS!$I18722)</f>
      </c>
      <c r="G18722">
        <f>IF(DATOS!$A18722="",0,IF(CONFIG_METADATA!$B$4&lt;&gt;"OR+EX",--(DATOS!$G18722=CONFIG_METADATA!$B$4),IF(DATOS!$G18722="EX",1,IF(DATOS!$G18722="OR",--(COUNTIFS(nNIA,DATOS!$A18722,nCURSO,DATOS!$D18722,nESPEC,DATOS!$E18722,nASIG,DATOS!$I18722,nEVAL,"EX")=0),0))))</f>
      </c>
      <c r="H18722">
        <f>IF(DATOS!$G18722&lt;&gt;"EX",0,--(COUNTIFS(nNIA,DATOS!$A18722,nCURSO,DATOS!$D18722,nESPEC,DATOS!$E18722,nASIG,DATOS!$I18722,nEVAL,"OR")=0))</f>
      </c>
      <c r="I18722">
        <f>IF(DATOS!$I18722="","",IFERROR(VLOOKUP(DATOS!$I18722,CONFIG_ASIGNATURAS!$B$2:$J$91,9,FALSE()),""))</f>
      </c>
    </row>
    <row r="18723">
      <c r="F18723">
        <f>IF(DATOS!$A18723="","",DATOS!$A18723&amp;"|"&amp;DATOS!$D18723&amp;"|"&amp;DATOS!$E18723&amp;"|"&amp;DATOS!$I18723)</f>
      </c>
      <c r="G18723">
        <f>IF(DATOS!$A18723="",0,IF(CONFIG_METADATA!$B$4&lt;&gt;"OR+EX",--(DATOS!$G18723=CONFIG_METADATA!$B$4),IF(DATOS!$G18723="EX",1,IF(DATOS!$G18723="OR",--(COUNTIFS(nNIA,DATOS!$A18723,nCURSO,DATOS!$D18723,nESPEC,DATOS!$E18723,nASIG,DATOS!$I18723,nEVAL,"EX")=0),0))))</f>
      </c>
      <c r="H18723">
        <f>IF(DATOS!$G18723&lt;&gt;"EX",0,--(COUNTIFS(nNIA,DATOS!$A18723,nCURSO,DATOS!$D18723,nESPEC,DATOS!$E18723,nASIG,DATOS!$I18723,nEVAL,"OR")=0))</f>
      </c>
      <c r="I18723">
        <f>IF(DATOS!$I18723="","",IFERROR(VLOOKUP(DATOS!$I18723,CONFIG_ASIGNATURAS!$B$2:$J$91,9,FALSE()),""))</f>
      </c>
    </row>
    <row r="18724">
      <c r="F18724">
        <f>IF(DATOS!$A18724="","",DATOS!$A18724&amp;"|"&amp;DATOS!$D18724&amp;"|"&amp;DATOS!$E18724&amp;"|"&amp;DATOS!$I18724)</f>
      </c>
      <c r="G18724">
        <f>IF(DATOS!$A18724="",0,IF(CONFIG_METADATA!$B$4&lt;&gt;"OR+EX",--(DATOS!$G18724=CONFIG_METADATA!$B$4),IF(DATOS!$G18724="EX",1,IF(DATOS!$G18724="OR",--(COUNTIFS(nNIA,DATOS!$A18724,nCURSO,DATOS!$D18724,nESPEC,DATOS!$E18724,nASIG,DATOS!$I18724,nEVAL,"EX")=0),0))))</f>
      </c>
      <c r="H18724">
        <f>IF(DATOS!$G18724&lt;&gt;"EX",0,--(COUNTIFS(nNIA,DATOS!$A18724,nCURSO,DATOS!$D18724,nESPEC,DATOS!$E18724,nASIG,DATOS!$I18724,nEVAL,"OR")=0))</f>
      </c>
      <c r="I18724">
        <f>IF(DATOS!$I18724="","",IFERROR(VLOOKUP(DATOS!$I18724,CONFIG_ASIGNATURAS!$B$2:$J$91,9,FALSE()),""))</f>
      </c>
    </row>
    <row r="18725">
      <c r="F18725">
        <f>IF(DATOS!$A18725="","",DATOS!$A18725&amp;"|"&amp;DATOS!$D18725&amp;"|"&amp;DATOS!$E18725&amp;"|"&amp;DATOS!$I18725)</f>
      </c>
      <c r="G18725">
        <f>IF(DATOS!$A18725="",0,IF(CONFIG_METADATA!$B$4&lt;&gt;"OR+EX",--(DATOS!$G18725=CONFIG_METADATA!$B$4),IF(DATOS!$G18725="EX",1,IF(DATOS!$G18725="OR",--(COUNTIFS(nNIA,DATOS!$A18725,nCURSO,DATOS!$D18725,nESPEC,DATOS!$E18725,nASIG,DATOS!$I18725,nEVAL,"EX")=0),0))))</f>
      </c>
      <c r="H18725">
        <f>IF(DATOS!$G18725&lt;&gt;"EX",0,--(COUNTIFS(nNIA,DATOS!$A18725,nCURSO,DATOS!$D18725,nESPEC,DATOS!$E18725,nASIG,DATOS!$I18725,nEVAL,"OR")=0))</f>
      </c>
      <c r="I18725">
        <f>IF(DATOS!$I18725="","",IFERROR(VLOOKUP(DATOS!$I18725,CONFIG_ASIGNATURAS!$B$2:$J$91,9,FALSE()),""))</f>
      </c>
    </row>
    <row r="18726">
      <c r="F18726">
        <f>IF(DATOS!$A18726="","",DATOS!$A18726&amp;"|"&amp;DATOS!$D18726&amp;"|"&amp;DATOS!$E18726&amp;"|"&amp;DATOS!$I18726)</f>
      </c>
      <c r="G18726">
        <f>IF(DATOS!$A18726="",0,IF(CONFIG_METADATA!$B$4&lt;&gt;"OR+EX",--(DATOS!$G18726=CONFIG_METADATA!$B$4),IF(DATOS!$G18726="EX",1,IF(DATOS!$G18726="OR",--(COUNTIFS(nNIA,DATOS!$A18726,nCURSO,DATOS!$D18726,nESPEC,DATOS!$E18726,nASIG,DATOS!$I18726,nEVAL,"EX")=0),0))))</f>
      </c>
      <c r="H18726">
        <f>IF(DATOS!$G18726&lt;&gt;"EX",0,--(COUNTIFS(nNIA,DATOS!$A18726,nCURSO,DATOS!$D18726,nESPEC,DATOS!$E18726,nASIG,DATOS!$I18726,nEVAL,"OR")=0))</f>
      </c>
      <c r="I18726">
        <f>IF(DATOS!$I18726="","",IFERROR(VLOOKUP(DATOS!$I18726,CONFIG_ASIGNATURAS!$B$2:$J$91,9,FALSE()),""))</f>
      </c>
    </row>
    <row r="18727">
      <c r="F18727">
        <f>IF(DATOS!$A18727="","",DATOS!$A18727&amp;"|"&amp;DATOS!$D18727&amp;"|"&amp;DATOS!$E18727&amp;"|"&amp;DATOS!$I18727)</f>
      </c>
      <c r="G18727">
        <f>IF(DATOS!$A18727="",0,IF(CONFIG_METADATA!$B$4&lt;&gt;"OR+EX",--(DATOS!$G18727=CONFIG_METADATA!$B$4),IF(DATOS!$G18727="EX",1,IF(DATOS!$G18727="OR",--(COUNTIFS(nNIA,DATOS!$A18727,nCURSO,DATOS!$D18727,nESPEC,DATOS!$E18727,nASIG,DATOS!$I18727,nEVAL,"EX")=0),0))))</f>
      </c>
      <c r="H18727">
        <f>IF(DATOS!$G18727&lt;&gt;"EX",0,--(COUNTIFS(nNIA,DATOS!$A18727,nCURSO,DATOS!$D18727,nESPEC,DATOS!$E18727,nASIG,DATOS!$I18727,nEVAL,"OR")=0))</f>
      </c>
      <c r="I18727">
        <f>IF(DATOS!$I18727="","",IFERROR(VLOOKUP(DATOS!$I18727,CONFIG_ASIGNATURAS!$B$2:$J$91,9,FALSE()),""))</f>
      </c>
    </row>
    <row r="18728">
      <c r="F18728">
        <f>IF(DATOS!$A18728="","",DATOS!$A18728&amp;"|"&amp;DATOS!$D18728&amp;"|"&amp;DATOS!$E18728&amp;"|"&amp;DATOS!$I18728)</f>
      </c>
      <c r="G18728">
        <f>IF(DATOS!$A18728="",0,IF(CONFIG_METADATA!$B$4&lt;&gt;"OR+EX",--(DATOS!$G18728=CONFIG_METADATA!$B$4),IF(DATOS!$G18728="EX",1,IF(DATOS!$G18728="OR",--(COUNTIFS(nNIA,DATOS!$A18728,nCURSO,DATOS!$D18728,nESPEC,DATOS!$E18728,nASIG,DATOS!$I18728,nEVAL,"EX")=0),0))))</f>
      </c>
      <c r="H18728">
        <f>IF(DATOS!$G18728&lt;&gt;"EX",0,--(COUNTIFS(nNIA,DATOS!$A18728,nCURSO,DATOS!$D18728,nESPEC,DATOS!$E18728,nASIG,DATOS!$I18728,nEVAL,"OR")=0))</f>
      </c>
      <c r="I18728">
        <f>IF(DATOS!$I18728="","",IFERROR(VLOOKUP(DATOS!$I18728,CONFIG_ASIGNATURAS!$B$2:$J$91,9,FALSE()),""))</f>
      </c>
    </row>
    <row r="18729">
      <c r="F18729">
        <f>IF(DATOS!$A18729="","",DATOS!$A18729&amp;"|"&amp;DATOS!$D18729&amp;"|"&amp;DATOS!$E18729&amp;"|"&amp;DATOS!$I18729)</f>
      </c>
      <c r="G18729">
        <f>IF(DATOS!$A18729="",0,IF(CONFIG_METADATA!$B$4&lt;&gt;"OR+EX",--(DATOS!$G18729=CONFIG_METADATA!$B$4),IF(DATOS!$G18729="EX",1,IF(DATOS!$G18729="OR",--(COUNTIFS(nNIA,DATOS!$A18729,nCURSO,DATOS!$D18729,nESPEC,DATOS!$E18729,nASIG,DATOS!$I18729,nEVAL,"EX")=0),0))))</f>
      </c>
      <c r="H18729">
        <f>IF(DATOS!$G18729&lt;&gt;"EX",0,--(COUNTIFS(nNIA,DATOS!$A18729,nCURSO,DATOS!$D18729,nESPEC,DATOS!$E18729,nASIG,DATOS!$I18729,nEVAL,"OR")=0))</f>
      </c>
      <c r="I18729">
        <f>IF(DATOS!$I18729="","",IFERROR(VLOOKUP(DATOS!$I18729,CONFIG_ASIGNATURAS!$B$2:$J$91,9,FALSE()),""))</f>
      </c>
    </row>
    <row r="18730">
      <c r="F18730">
        <f>IF(DATOS!$A18730="","",DATOS!$A18730&amp;"|"&amp;DATOS!$D18730&amp;"|"&amp;DATOS!$E18730&amp;"|"&amp;DATOS!$I18730)</f>
      </c>
      <c r="G18730">
        <f>IF(DATOS!$A18730="",0,IF(CONFIG_METADATA!$B$4&lt;&gt;"OR+EX",--(DATOS!$G18730=CONFIG_METADATA!$B$4),IF(DATOS!$G18730="EX",1,IF(DATOS!$G18730="OR",--(COUNTIFS(nNIA,DATOS!$A18730,nCURSO,DATOS!$D18730,nESPEC,DATOS!$E18730,nASIG,DATOS!$I18730,nEVAL,"EX")=0),0))))</f>
      </c>
      <c r="H18730">
        <f>IF(DATOS!$G18730&lt;&gt;"EX",0,--(COUNTIFS(nNIA,DATOS!$A18730,nCURSO,DATOS!$D18730,nESPEC,DATOS!$E18730,nASIG,DATOS!$I18730,nEVAL,"OR")=0))</f>
      </c>
      <c r="I18730">
        <f>IF(DATOS!$I18730="","",IFERROR(VLOOKUP(DATOS!$I18730,CONFIG_ASIGNATURAS!$B$2:$J$91,9,FALSE()),""))</f>
      </c>
    </row>
    <row r="18731">
      <c r="F18731">
        <f>IF(DATOS!$A18731="","",DATOS!$A18731&amp;"|"&amp;DATOS!$D18731&amp;"|"&amp;DATOS!$E18731&amp;"|"&amp;DATOS!$I18731)</f>
      </c>
      <c r="G18731">
        <f>IF(DATOS!$A18731="",0,IF(CONFIG_METADATA!$B$4&lt;&gt;"OR+EX",--(DATOS!$G18731=CONFIG_METADATA!$B$4),IF(DATOS!$G18731="EX",1,IF(DATOS!$G18731="OR",--(COUNTIFS(nNIA,DATOS!$A18731,nCURSO,DATOS!$D18731,nESPEC,DATOS!$E18731,nASIG,DATOS!$I18731,nEVAL,"EX")=0),0))))</f>
      </c>
      <c r="H18731">
        <f>IF(DATOS!$G18731&lt;&gt;"EX",0,--(COUNTIFS(nNIA,DATOS!$A18731,nCURSO,DATOS!$D18731,nESPEC,DATOS!$E18731,nASIG,DATOS!$I18731,nEVAL,"OR")=0))</f>
      </c>
      <c r="I18731">
        <f>IF(DATOS!$I18731="","",IFERROR(VLOOKUP(DATOS!$I18731,CONFIG_ASIGNATURAS!$B$2:$J$91,9,FALSE()),""))</f>
      </c>
    </row>
    <row r="18732">
      <c r="F18732">
        <f>IF(DATOS!$A18732="","",DATOS!$A18732&amp;"|"&amp;DATOS!$D18732&amp;"|"&amp;DATOS!$E18732&amp;"|"&amp;DATOS!$I18732)</f>
      </c>
      <c r="G18732">
        <f>IF(DATOS!$A18732="",0,IF(CONFIG_METADATA!$B$4&lt;&gt;"OR+EX",--(DATOS!$G18732=CONFIG_METADATA!$B$4),IF(DATOS!$G18732="EX",1,IF(DATOS!$G18732="OR",--(COUNTIFS(nNIA,DATOS!$A18732,nCURSO,DATOS!$D18732,nESPEC,DATOS!$E18732,nASIG,DATOS!$I18732,nEVAL,"EX")=0),0))))</f>
      </c>
      <c r="H18732">
        <f>IF(DATOS!$G18732&lt;&gt;"EX",0,--(COUNTIFS(nNIA,DATOS!$A18732,nCURSO,DATOS!$D18732,nESPEC,DATOS!$E18732,nASIG,DATOS!$I18732,nEVAL,"OR")=0))</f>
      </c>
      <c r="I18732">
        <f>IF(DATOS!$I18732="","",IFERROR(VLOOKUP(DATOS!$I18732,CONFIG_ASIGNATURAS!$B$2:$J$91,9,FALSE()),""))</f>
      </c>
    </row>
    <row r="18733">
      <c r="F18733">
        <f>IF(DATOS!$A18733="","",DATOS!$A18733&amp;"|"&amp;DATOS!$D18733&amp;"|"&amp;DATOS!$E18733&amp;"|"&amp;DATOS!$I18733)</f>
      </c>
      <c r="G18733">
        <f>IF(DATOS!$A18733="",0,IF(CONFIG_METADATA!$B$4&lt;&gt;"OR+EX",--(DATOS!$G18733=CONFIG_METADATA!$B$4),IF(DATOS!$G18733="EX",1,IF(DATOS!$G18733="OR",--(COUNTIFS(nNIA,DATOS!$A18733,nCURSO,DATOS!$D18733,nESPEC,DATOS!$E18733,nASIG,DATOS!$I18733,nEVAL,"EX")=0),0))))</f>
      </c>
      <c r="H18733">
        <f>IF(DATOS!$G18733&lt;&gt;"EX",0,--(COUNTIFS(nNIA,DATOS!$A18733,nCURSO,DATOS!$D18733,nESPEC,DATOS!$E18733,nASIG,DATOS!$I18733,nEVAL,"OR")=0))</f>
      </c>
      <c r="I18733">
        <f>IF(DATOS!$I18733="","",IFERROR(VLOOKUP(DATOS!$I18733,CONFIG_ASIGNATURAS!$B$2:$J$91,9,FALSE()),""))</f>
      </c>
    </row>
    <row r="18734">
      <c r="F18734">
        <f>IF(DATOS!$A18734="","",DATOS!$A18734&amp;"|"&amp;DATOS!$D18734&amp;"|"&amp;DATOS!$E18734&amp;"|"&amp;DATOS!$I18734)</f>
      </c>
      <c r="G18734">
        <f>IF(DATOS!$A18734="",0,IF(CONFIG_METADATA!$B$4&lt;&gt;"OR+EX",--(DATOS!$G18734=CONFIG_METADATA!$B$4),IF(DATOS!$G18734="EX",1,IF(DATOS!$G18734="OR",--(COUNTIFS(nNIA,DATOS!$A18734,nCURSO,DATOS!$D18734,nESPEC,DATOS!$E18734,nASIG,DATOS!$I18734,nEVAL,"EX")=0),0))))</f>
      </c>
      <c r="H18734">
        <f>IF(DATOS!$G18734&lt;&gt;"EX",0,--(COUNTIFS(nNIA,DATOS!$A18734,nCURSO,DATOS!$D18734,nESPEC,DATOS!$E18734,nASIG,DATOS!$I18734,nEVAL,"OR")=0))</f>
      </c>
      <c r="I18734">
        <f>IF(DATOS!$I18734="","",IFERROR(VLOOKUP(DATOS!$I18734,CONFIG_ASIGNATURAS!$B$2:$J$91,9,FALSE()),""))</f>
      </c>
    </row>
    <row r="18735">
      <c r="F18735">
        <f>IF(DATOS!$A18735="","",DATOS!$A18735&amp;"|"&amp;DATOS!$D18735&amp;"|"&amp;DATOS!$E18735&amp;"|"&amp;DATOS!$I18735)</f>
      </c>
      <c r="G18735">
        <f>IF(DATOS!$A18735="",0,IF(CONFIG_METADATA!$B$4&lt;&gt;"OR+EX",--(DATOS!$G18735=CONFIG_METADATA!$B$4),IF(DATOS!$G18735="EX",1,IF(DATOS!$G18735="OR",--(COUNTIFS(nNIA,DATOS!$A18735,nCURSO,DATOS!$D18735,nESPEC,DATOS!$E18735,nASIG,DATOS!$I18735,nEVAL,"EX")=0),0))))</f>
      </c>
      <c r="H18735">
        <f>IF(DATOS!$G18735&lt;&gt;"EX",0,--(COUNTIFS(nNIA,DATOS!$A18735,nCURSO,DATOS!$D18735,nESPEC,DATOS!$E18735,nASIG,DATOS!$I18735,nEVAL,"OR")=0))</f>
      </c>
      <c r="I18735">
        <f>IF(DATOS!$I18735="","",IFERROR(VLOOKUP(DATOS!$I18735,CONFIG_ASIGNATURAS!$B$2:$J$91,9,FALSE()),""))</f>
      </c>
    </row>
    <row r="18736">
      <c r="F18736">
        <f>IF(DATOS!$A18736="","",DATOS!$A18736&amp;"|"&amp;DATOS!$D18736&amp;"|"&amp;DATOS!$E18736&amp;"|"&amp;DATOS!$I18736)</f>
      </c>
      <c r="G18736">
        <f>IF(DATOS!$A18736="",0,IF(CONFIG_METADATA!$B$4&lt;&gt;"OR+EX",--(DATOS!$G18736=CONFIG_METADATA!$B$4),IF(DATOS!$G18736="EX",1,IF(DATOS!$G18736="OR",--(COUNTIFS(nNIA,DATOS!$A18736,nCURSO,DATOS!$D18736,nESPEC,DATOS!$E18736,nASIG,DATOS!$I18736,nEVAL,"EX")=0),0))))</f>
      </c>
      <c r="H18736">
        <f>IF(DATOS!$G18736&lt;&gt;"EX",0,--(COUNTIFS(nNIA,DATOS!$A18736,nCURSO,DATOS!$D18736,nESPEC,DATOS!$E18736,nASIG,DATOS!$I18736,nEVAL,"OR")=0))</f>
      </c>
      <c r="I18736">
        <f>IF(DATOS!$I18736="","",IFERROR(VLOOKUP(DATOS!$I18736,CONFIG_ASIGNATURAS!$B$2:$J$91,9,FALSE()),""))</f>
      </c>
    </row>
    <row r="18737">
      <c r="F18737">
        <f>IF(DATOS!$A18737="","",DATOS!$A18737&amp;"|"&amp;DATOS!$D18737&amp;"|"&amp;DATOS!$E18737&amp;"|"&amp;DATOS!$I18737)</f>
      </c>
      <c r="G18737">
        <f>IF(DATOS!$A18737="",0,IF(CONFIG_METADATA!$B$4&lt;&gt;"OR+EX",--(DATOS!$G18737=CONFIG_METADATA!$B$4),IF(DATOS!$G18737="EX",1,IF(DATOS!$G18737="OR",--(COUNTIFS(nNIA,DATOS!$A18737,nCURSO,DATOS!$D18737,nESPEC,DATOS!$E18737,nASIG,DATOS!$I18737,nEVAL,"EX")=0),0))))</f>
      </c>
      <c r="H18737">
        <f>IF(DATOS!$G18737&lt;&gt;"EX",0,--(COUNTIFS(nNIA,DATOS!$A18737,nCURSO,DATOS!$D18737,nESPEC,DATOS!$E18737,nASIG,DATOS!$I18737,nEVAL,"OR")=0))</f>
      </c>
      <c r="I18737">
        <f>IF(DATOS!$I18737="","",IFERROR(VLOOKUP(DATOS!$I18737,CONFIG_ASIGNATURAS!$B$2:$J$91,9,FALSE()),""))</f>
      </c>
    </row>
    <row r="18738">
      <c r="F18738">
        <f>IF(DATOS!$A18738="","",DATOS!$A18738&amp;"|"&amp;DATOS!$D18738&amp;"|"&amp;DATOS!$E18738&amp;"|"&amp;DATOS!$I18738)</f>
      </c>
      <c r="G18738">
        <f>IF(DATOS!$A18738="",0,IF(CONFIG_METADATA!$B$4&lt;&gt;"OR+EX",--(DATOS!$G18738=CONFIG_METADATA!$B$4),IF(DATOS!$G18738="EX",1,IF(DATOS!$G18738="OR",--(COUNTIFS(nNIA,DATOS!$A18738,nCURSO,DATOS!$D18738,nESPEC,DATOS!$E18738,nASIG,DATOS!$I18738,nEVAL,"EX")=0),0))))</f>
      </c>
      <c r="H18738">
        <f>IF(DATOS!$G18738&lt;&gt;"EX",0,--(COUNTIFS(nNIA,DATOS!$A18738,nCURSO,DATOS!$D18738,nESPEC,DATOS!$E18738,nASIG,DATOS!$I18738,nEVAL,"OR")=0))</f>
      </c>
      <c r="I18738">
        <f>IF(DATOS!$I18738="","",IFERROR(VLOOKUP(DATOS!$I18738,CONFIG_ASIGNATURAS!$B$2:$J$91,9,FALSE()),""))</f>
      </c>
    </row>
    <row r="18739">
      <c r="F18739">
        <f>IF(DATOS!$A18739="","",DATOS!$A18739&amp;"|"&amp;DATOS!$D18739&amp;"|"&amp;DATOS!$E18739&amp;"|"&amp;DATOS!$I18739)</f>
      </c>
      <c r="G18739">
        <f>IF(DATOS!$A18739="",0,IF(CONFIG_METADATA!$B$4&lt;&gt;"OR+EX",--(DATOS!$G18739=CONFIG_METADATA!$B$4),IF(DATOS!$G18739="EX",1,IF(DATOS!$G18739="OR",--(COUNTIFS(nNIA,DATOS!$A18739,nCURSO,DATOS!$D18739,nESPEC,DATOS!$E18739,nASIG,DATOS!$I18739,nEVAL,"EX")=0),0))))</f>
      </c>
      <c r="H18739">
        <f>IF(DATOS!$G18739&lt;&gt;"EX",0,--(COUNTIFS(nNIA,DATOS!$A18739,nCURSO,DATOS!$D18739,nESPEC,DATOS!$E18739,nASIG,DATOS!$I18739,nEVAL,"OR")=0))</f>
      </c>
      <c r="I18739">
        <f>IF(DATOS!$I18739="","",IFERROR(VLOOKUP(DATOS!$I18739,CONFIG_ASIGNATURAS!$B$2:$J$91,9,FALSE()),""))</f>
      </c>
    </row>
    <row r="18740">
      <c r="F18740">
        <f>IF(DATOS!$A18740="","",DATOS!$A18740&amp;"|"&amp;DATOS!$D18740&amp;"|"&amp;DATOS!$E18740&amp;"|"&amp;DATOS!$I18740)</f>
      </c>
      <c r="G18740">
        <f>IF(DATOS!$A18740="",0,IF(CONFIG_METADATA!$B$4&lt;&gt;"OR+EX",--(DATOS!$G18740=CONFIG_METADATA!$B$4),IF(DATOS!$G18740="EX",1,IF(DATOS!$G18740="OR",--(COUNTIFS(nNIA,DATOS!$A18740,nCURSO,DATOS!$D18740,nESPEC,DATOS!$E18740,nASIG,DATOS!$I18740,nEVAL,"EX")=0),0))))</f>
      </c>
      <c r="H18740">
        <f>IF(DATOS!$G18740&lt;&gt;"EX",0,--(COUNTIFS(nNIA,DATOS!$A18740,nCURSO,DATOS!$D18740,nESPEC,DATOS!$E18740,nASIG,DATOS!$I18740,nEVAL,"OR")=0))</f>
      </c>
      <c r="I18740">
        <f>IF(DATOS!$I18740="","",IFERROR(VLOOKUP(DATOS!$I18740,CONFIG_ASIGNATURAS!$B$2:$J$91,9,FALSE()),""))</f>
      </c>
    </row>
    <row r="18741">
      <c r="F18741">
        <f>IF(DATOS!$A18741="","",DATOS!$A18741&amp;"|"&amp;DATOS!$D18741&amp;"|"&amp;DATOS!$E18741&amp;"|"&amp;DATOS!$I18741)</f>
      </c>
      <c r="G18741">
        <f>IF(DATOS!$A18741="",0,IF(CONFIG_METADATA!$B$4&lt;&gt;"OR+EX",--(DATOS!$G18741=CONFIG_METADATA!$B$4),IF(DATOS!$G18741="EX",1,IF(DATOS!$G18741="OR",--(COUNTIFS(nNIA,DATOS!$A18741,nCURSO,DATOS!$D18741,nESPEC,DATOS!$E18741,nASIG,DATOS!$I18741,nEVAL,"EX")=0),0))))</f>
      </c>
      <c r="H18741">
        <f>IF(DATOS!$G18741&lt;&gt;"EX",0,--(COUNTIFS(nNIA,DATOS!$A18741,nCURSO,DATOS!$D18741,nESPEC,DATOS!$E18741,nASIG,DATOS!$I18741,nEVAL,"OR")=0))</f>
      </c>
      <c r="I18741">
        <f>IF(DATOS!$I18741="","",IFERROR(VLOOKUP(DATOS!$I18741,CONFIG_ASIGNATURAS!$B$2:$J$91,9,FALSE()),""))</f>
      </c>
    </row>
    <row r="18742">
      <c r="F18742">
        <f>IF(DATOS!$A18742="","",DATOS!$A18742&amp;"|"&amp;DATOS!$D18742&amp;"|"&amp;DATOS!$E18742&amp;"|"&amp;DATOS!$I18742)</f>
      </c>
      <c r="G18742">
        <f>IF(DATOS!$A18742="",0,IF(CONFIG_METADATA!$B$4&lt;&gt;"OR+EX",--(DATOS!$G18742=CONFIG_METADATA!$B$4),IF(DATOS!$G18742="EX",1,IF(DATOS!$G18742="OR",--(COUNTIFS(nNIA,DATOS!$A18742,nCURSO,DATOS!$D18742,nESPEC,DATOS!$E18742,nASIG,DATOS!$I18742,nEVAL,"EX")=0),0))))</f>
      </c>
      <c r="H18742">
        <f>IF(DATOS!$G18742&lt;&gt;"EX",0,--(COUNTIFS(nNIA,DATOS!$A18742,nCURSO,DATOS!$D18742,nESPEC,DATOS!$E18742,nASIG,DATOS!$I18742,nEVAL,"OR")=0))</f>
      </c>
      <c r="I18742">
        <f>IF(DATOS!$I18742="","",IFERROR(VLOOKUP(DATOS!$I18742,CONFIG_ASIGNATURAS!$B$2:$J$91,9,FALSE()),""))</f>
      </c>
    </row>
    <row r="18743">
      <c r="F18743">
        <f>IF(DATOS!$A18743="","",DATOS!$A18743&amp;"|"&amp;DATOS!$D18743&amp;"|"&amp;DATOS!$E18743&amp;"|"&amp;DATOS!$I18743)</f>
      </c>
      <c r="G18743">
        <f>IF(DATOS!$A18743="",0,IF(CONFIG_METADATA!$B$4&lt;&gt;"OR+EX",--(DATOS!$G18743=CONFIG_METADATA!$B$4),IF(DATOS!$G18743="EX",1,IF(DATOS!$G18743="OR",--(COUNTIFS(nNIA,DATOS!$A18743,nCURSO,DATOS!$D18743,nESPEC,DATOS!$E18743,nASIG,DATOS!$I18743,nEVAL,"EX")=0),0))))</f>
      </c>
      <c r="H18743">
        <f>IF(DATOS!$G18743&lt;&gt;"EX",0,--(COUNTIFS(nNIA,DATOS!$A18743,nCURSO,DATOS!$D18743,nESPEC,DATOS!$E18743,nASIG,DATOS!$I18743,nEVAL,"OR")=0))</f>
      </c>
      <c r="I18743">
        <f>IF(DATOS!$I18743="","",IFERROR(VLOOKUP(DATOS!$I18743,CONFIG_ASIGNATURAS!$B$2:$J$91,9,FALSE()),""))</f>
      </c>
    </row>
    <row r="18744">
      <c r="F18744">
        <f>IF(DATOS!$A18744="","",DATOS!$A18744&amp;"|"&amp;DATOS!$D18744&amp;"|"&amp;DATOS!$E18744&amp;"|"&amp;DATOS!$I18744)</f>
      </c>
      <c r="G18744">
        <f>IF(DATOS!$A18744="",0,IF(CONFIG_METADATA!$B$4&lt;&gt;"OR+EX",--(DATOS!$G18744=CONFIG_METADATA!$B$4),IF(DATOS!$G18744="EX",1,IF(DATOS!$G18744="OR",--(COUNTIFS(nNIA,DATOS!$A18744,nCURSO,DATOS!$D18744,nESPEC,DATOS!$E18744,nASIG,DATOS!$I18744,nEVAL,"EX")=0),0))))</f>
      </c>
      <c r="H18744">
        <f>IF(DATOS!$G18744&lt;&gt;"EX",0,--(COUNTIFS(nNIA,DATOS!$A18744,nCURSO,DATOS!$D18744,nESPEC,DATOS!$E18744,nASIG,DATOS!$I18744,nEVAL,"OR")=0))</f>
      </c>
      <c r="I18744">
        <f>IF(DATOS!$I18744="","",IFERROR(VLOOKUP(DATOS!$I18744,CONFIG_ASIGNATURAS!$B$2:$J$91,9,FALSE()),""))</f>
      </c>
    </row>
    <row r="18745">
      <c r="F18745">
        <f>IF(DATOS!$A18745="","",DATOS!$A18745&amp;"|"&amp;DATOS!$D18745&amp;"|"&amp;DATOS!$E18745&amp;"|"&amp;DATOS!$I18745)</f>
      </c>
      <c r="G18745">
        <f>IF(DATOS!$A18745="",0,IF(CONFIG_METADATA!$B$4&lt;&gt;"OR+EX",--(DATOS!$G18745=CONFIG_METADATA!$B$4),IF(DATOS!$G18745="EX",1,IF(DATOS!$G18745="OR",--(COUNTIFS(nNIA,DATOS!$A18745,nCURSO,DATOS!$D18745,nESPEC,DATOS!$E18745,nASIG,DATOS!$I18745,nEVAL,"EX")=0),0))))</f>
      </c>
      <c r="H18745">
        <f>IF(DATOS!$G18745&lt;&gt;"EX",0,--(COUNTIFS(nNIA,DATOS!$A18745,nCURSO,DATOS!$D18745,nESPEC,DATOS!$E18745,nASIG,DATOS!$I18745,nEVAL,"OR")=0))</f>
      </c>
      <c r="I18745">
        <f>IF(DATOS!$I18745="","",IFERROR(VLOOKUP(DATOS!$I18745,CONFIG_ASIGNATURAS!$B$2:$J$91,9,FALSE()),""))</f>
      </c>
    </row>
    <row r="18746">
      <c r="F18746">
        <f>IF(DATOS!$A18746="","",DATOS!$A18746&amp;"|"&amp;DATOS!$D18746&amp;"|"&amp;DATOS!$E18746&amp;"|"&amp;DATOS!$I18746)</f>
      </c>
      <c r="G18746">
        <f>IF(DATOS!$A18746="",0,IF(CONFIG_METADATA!$B$4&lt;&gt;"OR+EX",--(DATOS!$G18746=CONFIG_METADATA!$B$4),IF(DATOS!$G18746="EX",1,IF(DATOS!$G18746="OR",--(COUNTIFS(nNIA,DATOS!$A18746,nCURSO,DATOS!$D18746,nESPEC,DATOS!$E18746,nASIG,DATOS!$I18746,nEVAL,"EX")=0),0))))</f>
      </c>
      <c r="H18746">
        <f>IF(DATOS!$G18746&lt;&gt;"EX",0,--(COUNTIFS(nNIA,DATOS!$A18746,nCURSO,DATOS!$D18746,nESPEC,DATOS!$E18746,nASIG,DATOS!$I18746,nEVAL,"OR")=0))</f>
      </c>
      <c r="I18746">
        <f>IF(DATOS!$I18746="","",IFERROR(VLOOKUP(DATOS!$I18746,CONFIG_ASIGNATURAS!$B$2:$J$91,9,FALSE()),""))</f>
      </c>
    </row>
    <row r="18747">
      <c r="F18747">
        <f>IF(DATOS!$A18747="","",DATOS!$A18747&amp;"|"&amp;DATOS!$D18747&amp;"|"&amp;DATOS!$E18747&amp;"|"&amp;DATOS!$I18747)</f>
      </c>
      <c r="G18747">
        <f>IF(DATOS!$A18747="",0,IF(CONFIG_METADATA!$B$4&lt;&gt;"OR+EX",--(DATOS!$G18747=CONFIG_METADATA!$B$4),IF(DATOS!$G18747="EX",1,IF(DATOS!$G18747="OR",--(COUNTIFS(nNIA,DATOS!$A18747,nCURSO,DATOS!$D18747,nESPEC,DATOS!$E18747,nASIG,DATOS!$I18747,nEVAL,"EX")=0),0))))</f>
      </c>
      <c r="H18747">
        <f>IF(DATOS!$G18747&lt;&gt;"EX",0,--(COUNTIFS(nNIA,DATOS!$A18747,nCURSO,DATOS!$D18747,nESPEC,DATOS!$E18747,nASIG,DATOS!$I18747,nEVAL,"OR")=0))</f>
      </c>
      <c r="I18747">
        <f>IF(DATOS!$I18747="","",IFERROR(VLOOKUP(DATOS!$I18747,CONFIG_ASIGNATURAS!$B$2:$J$91,9,FALSE()),""))</f>
      </c>
    </row>
    <row r="18748">
      <c r="F18748">
        <f>IF(DATOS!$A18748="","",DATOS!$A18748&amp;"|"&amp;DATOS!$D18748&amp;"|"&amp;DATOS!$E18748&amp;"|"&amp;DATOS!$I18748)</f>
      </c>
      <c r="G18748">
        <f>IF(DATOS!$A18748="",0,IF(CONFIG_METADATA!$B$4&lt;&gt;"OR+EX",--(DATOS!$G18748=CONFIG_METADATA!$B$4),IF(DATOS!$G18748="EX",1,IF(DATOS!$G18748="OR",--(COUNTIFS(nNIA,DATOS!$A18748,nCURSO,DATOS!$D18748,nESPEC,DATOS!$E18748,nASIG,DATOS!$I18748,nEVAL,"EX")=0),0))))</f>
      </c>
      <c r="H18748">
        <f>IF(DATOS!$G18748&lt;&gt;"EX",0,--(COUNTIFS(nNIA,DATOS!$A18748,nCURSO,DATOS!$D18748,nESPEC,DATOS!$E18748,nASIG,DATOS!$I18748,nEVAL,"OR")=0))</f>
      </c>
      <c r="I18748">
        <f>IF(DATOS!$I18748="","",IFERROR(VLOOKUP(DATOS!$I18748,CONFIG_ASIGNATURAS!$B$2:$J$91,9,FALSE()),""))</f>
      </c>
    </row>
    <row r="18749">
      <c r="F18749">
        <f>IF(DATOS!$A18749="","",DATOS!$A18749&amp;"|"&amp;DATOS!$D18749&amp;"|"&amp;DATOS!$E18749&amp;"|"&amp;DATOS!$I18749)</f>
      </c>
      <c r="G18749">
        <f>IF(DATOS!$A18749="",0,IF(CONFIG_METADATA!$B$4&lt;&gt;"OR+EX",--(DATOS!$G18749=CONFIG_METADATA!$B$4),IF(DATOS!$G18749="EX",1,IF(DATOS!$G18749="OR",--(COUNTIFS(nNIA,DATOS!$A18749,nCURSO,DATOS!$D18749,nESPEC,DATOS!$E18749,nASIG,DATOS!$I18749,nEVAL,"EX")=0),0))))</f>
      </c>
      <c r="H18749">
        <f>IF(DATOS!$G18749&lt;&gt;"EX",0,--(COUNTIFS(nNIA,DATOS!$A18749,nCURSO,DATOS!$D18749,nESPEC,DATOS!$E18749,nASIG,DATOS!$I18749,nEVAL,"OR")=0))</f>
      </c>
      <c r="I18749">
        <f>IF(DATOS!$I18749="","",IFERROR(VLOOKUP(DATOS!$I18749,CONFIG_ASIGNATURAS!$B$2:$J$91,9,FALSE()),""))</f>
      </c>
    </row>
    <row r="18750">
      <c r="F18750">
        <f>IF(DATOS!$A18750="","",DATOS!$A18750&amp;"|"&amp;DATOS!$D18750&amp;"|"&amp;DATOS!$E18750&amp;"|"&amp;DATOS!$I18750)</f>
      </c>
      <c r="G18750">
        <f>IF(DATOS!$A18750="",0,IF(CONFIG_METADATA!$B$4&lt;&gt;"OR+EX",--(DATOS!$G18750=CONFIG_METADATA!$B$4),IF(DATOS!$G18750="EX",1,IF(DATOS!$G18750="OR",--(COUNTIFS(nNIA,DATOS!$A18750,nCURSO,DATOS!$D18750,nESPEC,DATOS!$E18750,nASIG,DATOS!$I18750,nEVAL,"EX")=0),0))))</f>
      </c>
      <c r="H18750">
        <f>IF(DATOS!$G18750&lt;&gt;"EX",0,--(COUNTIFS(nNIA,DATOS!$A18750,nCURSO,DATOS!$D18750,nESPEC,DATOS!$E18750,nASIG,DATOS!$I18750,nEVAL,"OR")=0))</f>
      </c>
      <c r="I18750">
        <f>IF(DATOS!$I18750="","",IFERROR(VLOOKUP(DATOS!$I18750,CONFIG_ASIGNATURAS!$B$2:$J$91,9,FALSE()),""))</f>
      </c>
    </row>
    <row r="18751">
      <c r="F18751">
        <f>IF(DATOS!$A18751="","",DATOS!$A18751&amp;"|"&amp;DATOS!$D18751&amp;"|"&amp;DATOS!$E18751&amp;"|"&amp;DATOS!$I18751)</f>
      </c>
      <c r="G18751">
        <f>IF(DATOS!$A18751="",0,IF(CONFIG_METADATA!$B$4&lt;&gt;"OR+EX",--(DATOS!$G18751=CONFIG_METADATA!$B$4),IF(DATOS!$G18751="EX",1,IF(DATOS!$G18751="OR",--(COUNTIFS(nNIA,DATOS!$A18751,nCURSO,DATOS!$D18751,nESPEC,DATOS!$E18751,nASIG,DATOS!$I18751,nEVAL,"EX")=0),0))))</f>
      </c>
      <c r="H18751">
        <f>IF(DATOS!$G18751&lt;&gt;"EX",0,--(COUNTIFS(nNIA,DATOS!$A18751,nCURSO,DATOS!$D18751,nESPEC,DATOS!$E18751,nASIG,DATOS!$I18751,nEVAL,"OR")=0))</f>
      </c>
      <c r="I18751">
        <f>IF(DATOS!$I18751="","",IFERROR(VLOOKUP(DATOS!$I18751,CONFIG_ASIGNATURAS!$B$2:$J$91,9,FALSE()),""))</f>
      </c>
    </row>
    <row r="18752">
      <c r="F18752">
        <f>IF(DATOS!$A18752="","",DATOS!$A18752&amp;"|"&amp;DATOS!$D18752&amp;"|"&amp;DATOS!$E18752&amp;"|"&amp;DATOS!$I18752)</f>
      </c>
      <c r="G18752">
        <f>IF(DATOS!$A18752="",0,IF(CONFIG_METADATA!$B$4&lt;&gt;"OR+EX",--(DATOS!$G18752=CONFIG_METADATA!$B$4),IF(DATOS!$G18752="EX",1,IF(DATOS!$G18752="OR",--(COUNTIFS(nNIA,DATOS!$A18752,nCURSO,DATOS!$D18752,nESPEC,DATOS!$E18752,nASIG,DATOS!$I18752,nEVAL,"EX")=0),0))))</f>
      </c>
      <c r="H18752">
        <f>IF(DATOS!$G18752&lt;&gt;"EX",0,--(COUNTIFS(nNIA,DATOS!$A18752,nCURSO,DATOS!$D18752,nESPEC,DATOS!$E18752,nASIG,DATOS!$I18752,nEVAL,"OR")=0))</f>
      </c>
      <c r="I18752">
        <f>IF(DATOS!$I18752="","",IFERROR(VLOOKUP(DATOS!$I18752,CONFIG_ASIGNATURAS!$B$2:$J$91,9,FALSE()),""))</f>
      </c>
    </row>
    <row r="18753">
      <c r="F18753">
        <f>IF(DATOS!$A18753="","",DATOS!$A18753&amp;"|"&amp;DATOS!$D18753&amp;"|"&amp;DATOS!$E18753&amp;"|"&amp;DATOS!$I18753)</f>
      </c>
      <c r="G18753">
        <f>IF(DATOS!$A18753="",0,IF(CONFIG_METADATA!$B$4&lt;&gt;"OR+EX",--(DATOS!$G18753=CONFIG_METADATA!$B$4),IF(DATOS!$G18753="EX",1,IF(DATOS!$G18753="OR",--(COUNTIFS(nNIA,DATOS!$A18753,nCURSO,DATOS!$D18753,nESPEC,DATOS!$E18753,nASIG,DATOS!$I18753,nEVAL,"EX")=0),0))))</f>
      </c>
      <c r="H18753">
        <f>IF(DATOS!$G18753&lt;&gt;"EX",0,--(COUNTIFS(nNIA,DATOS!$A18753,nCURSO,DATOS!$D18753,nESPEC,DATOS!$E18753,nASIG,DATOS!$I18753,nEVAL,"OR")=0))</f>
      </c>
      <c r="I18753">
        <f>IF(DATOS!$I18753="","",IFERROR(VLOOKUP(DATOS!$I18753,CONFIG_ASIGNATURAS!$B$2:$J$91,9,FALSE()),""))</f>
      </c>
    </row>
    <row r="18754">
      <c r="F18754">
        <f>IF(DATOS!$A18754="","",DATOS!$A18754&amp;"|"&amp;DATOS!$D18754&amp;"|"&amp;DATOS!$E18754&amp;"|"&amp;DATOS!$I18754)</f>
      </c>
      <c r="G18754">
        <f>IF(DATOS!$A18754="",0,IF(CONFIG_METADATA!$B$4&lt;&gt;"OR+EX",--(DATOS!$G18754=CONFIG_METADATA!$B$4),IF(DATOS!$G18754="EX",1,IF(DATOS!$G18754="OR",--(COUNTIFS(nNIA,DATOS!$A18754,nCURSO,DATOS!$D18754,nESPEC,DATOS!$E18754,nASIG,DATOS!$I18754,nEVAL,"EX")=0),0))))</f>
      </c>
      <c r="H18754">
        <f>IF(DATOS!$G18754&lt;&gt;"EX",0,--(COUNTIFS(nNIA,DATOS!$A18754,nCURSO,DATOS!$D18754,nESPEC,DATOS!$E18754,nASIG,DATOS!$I18754,nEVAL,"OR")=0))</f>
      </c>
      <c r="I18754">
        <f>IF(DATOS!$I18754="","",IFERROR(VLOOKUP(DATOS!$I18754,CONFIG_ASIGNATURAS!$B$2:$J$91,9,FALSE()),""))</f>
      </c>
    </row>
    <row r="18755">
      <c r="F18755">
        <f>IF(DATOS!$A18755="","",DATOS!$A18755&amp;"|"&amp;DATOS!$D18755&amp;"|"&amp;DATOS!$E18755&amp;"|"&amp;DATOS!$I18755)</f>
      </c>
      <c r="G18755">
        <f>IF(DATOS!$A18755="",0,IF(CONFIG_METADATA!$B$4&lt;&gt;"OR+EX",--(DATOS!$G18755=CONFIG_METADATA!$B$4),IF(DATOS!$G18755="EX",1,IF(DATOS!$G18755="OR",--(COUNTIFS(nNIA,DATOS!$A18755,nCURSO,DATOS!$D18755,nESPEC,DATOS!$E18755,nASIG,DATOS!$I18755,nEVAL,"EX")=0),0))))</f>
      </c>
      <c r="H18755">
        <f>IF(DATOS!$G18755&lt;&gt;"EX",0,--(COUNTIFS(nNIA,DATOS!$A18755,nCURSO,DATOS!$D18755,nESPEC,DATOS!$E18755,nASIG,DATOS!$I18755,nEVAL,"OR")=0))</f>
      </c>
      <c r="I18755">
        <f>IF(DATOS!$I18755="","",IFERROR(VLOOKUP(DATOS!$I18755,CONFIG_ASIGNATURAS!$B$2:$J$91,9,FALSE()),""))</f>
      </c>
    </row>
    <row r="18756">
      <c r="F18756">
        <f>IF(DATOS!$A18756="","",DATOS!$A18756&amp;"|"&amp;DATOS!$D18756&amp;"|"&amp;DATOS!$E18756&amp;"|"&amp;DATOS!$I18756)</f>
      </c>
      <c r="G18756">
        <f>IF(DATOS!$A18756="",0,IF(CONFIG_METADATA!$B$4&lt;&gt;"OR+EX",--(DATOS!$G18756=CONFIG_METADATA!$B$4),IF(DATOS!$G18756="EX",1,IF(DATOS!$G18756="OR",--(COUNTIFS(nNIA,DATOS!$A18756,nCURSO,DATOS!$D18756,nESPEC,DATOS!$E18756,nASIG,DATOS!$I18756,nEVAL,"EX")=0),0))))</f>
      </c>
      <c r="H18756">
        <f>IF(DATOS!$G18756&lt;&gt;"EX",0,--(COUNTIFS(nNIA,DATOS!$A18756,nCURSO,DATOS!$D18756,nESPEC,DATOS!$E18756,nASIG,DATOS!$I18756,nEVAL,"OR")=0))</f>
      </c>
      <c r="I18756">
        <f>IF(DATOS!$I18756="","",IFERROR(VLOOKUP(DATOS!$I18756,CONFIG_ASIGNATURAS!$B$2:$J$91,9,FALSE()),""))</f>
      </c>
    </row>
    <row r="18757">
      <c r="F18757">
        <f>IF(DATOS!$A18757="","",DATOS!$A18757&amp;"|"&amp;DATOS!$D18757&amp;"|"&amp;DATOS!$E18757&amp;"|"&amp;DATOS!$I18757)</f>
      </c>
      <c r="G18757">
        <f>IF(DATOS!$A18757="",0,IF(CONFIG_METADATA!$B$4&lt;&gt;"OR+EX",--(DATOS!$G18757=CONFIG_METADATA!$B$4),IF(DATOS!$G18757="EX",1,IF(DATOS!$G18757="OR",--(COUNTIFS(nNIA,DATOS!$A18757,nCURSO,DATOS!$D18757,nESPEC,DATOS!$E18757,nASIG,DATOS!$I18757,nEVAL,"EX")=0),0))))</f>
      </c>
      <c r="H18757">
        <f>IF(DATOS!$G18757&lt;&gt;"EX",0,--(COUNTIFS(nNIA,DATOS!$A18757,nCURSO,DATOS!$D18757,nESPEC,DATOS!$E18757,nASIG,DATOS!$I18757,nEVAL,"OR")=0))</f>
      </c>
      <c r="I18757">
        <f>IF(DATOS!$I18757="","",IFERROR(VLOOKUP(DATOS!$I18757,CONFIG_ASIGNATURAS!$B$2:$J$91,9,FALSE()),""))</f>
      </c>
    </row>
    <row r="18758">
      <c r="F18758">
        <f>IF(DATOS!$A18758="","",DATOS!$A18758&amp;"|"&amp;DATOS!$D18758&amp;"|"&amp;DATOS!$E18758&amp;"|"&amp;DATOS!$I18758)</f>
      </c>
      <c r="G18758">
        <f>IF(DATOS!$A18758="",0,IF(CONFIG_METADATA!$B$4&lt;&gt;"OR+EX",--(DATOS!$G18758=CONFIG_METADATA!$B$4),IF(DATOS!$G18758="EX",1,IF(DATOS!$G18758="OR",--(COUNTIFS(nNIA,DATOS!$A18758,nCURSO,DATOS!$D18758,nESPEC,DATOS!$E18758,nASIG,DATOS!$I18758,nEVAL,"EX")=0),0))))</f>
      </c>
      <c r="H18758">
        <f>IF(DATOS!$G18758&lt;&gt;"EX",0,--(COUNTIFS(nNIA,DATOS!$A18758,nCURSO,DATOS!$D18758,nESPEC,DATOS!$E18758,nASIG,DATOS!$I18758,nEVAL,"OR")=0))</f>
      </c>
      <c r="I18758">
        <f>IF(DATOS!$I18758="","",IFERROR(VLOOKUP(DATOS!$I18758,CONFIG_ASIGNATURAS!$B$2:$J$91,9,FALSE()),""))</f>
      </c>
    </row>
    <row r="18759">
      <c r="F18759">
        <f>IF(DATOS!$A18759="","",DATOS!$A18759&amp;"|"&amp;DATOS!$D18759&amp;"|"&amp;DATOS!$E18759&amp;"|"&amp;DATOS!$I18759)</f>
      </c>
      <c r="G18759">
        <f>IF(DATOS!$A18759="",0,IF(CONFIG_METADATA!$B$4&lt;&gt;"OR+EX",--(DATOS!$G18759=CONFIG_METADATA!$B$4),IF(DATOS!$G18759="EX",1,IF(DATOS!$G18759="OR",--(COUNTIFS(nNIA,DATOS!$A18759,nCURSO,DATOS!$D18759,nESPEC,DATOS!$E18759,nASIG,DATOS!$I18759,nEVAL,"EX")=0),0))))</f>
      </c>
      <c r="H18759">
        <f>IF(DATOS!$G18759&lt;&gt;"EX",0,--(COUNTIFS(nNIA,DATOS!$A18759,nCURSO,DATOS!$D18759,nESPEC,DATOS!$E18759,nASIG,DATOS!$I18759,nEVAL,"OR")=0))</f>
      </c>
      <c r="I18759">
        <f>IF(DATOS!$I18759="","",IFERROR(VLOOKUP(DATOS!$I18759,CONFIG_ASIGNATURAS!$B$2:$J$91,9,FALSE()),""))</f>
      </c>
    </row>
    <row r="18760">
      <c r="F18760">
        <f>IF(DATOS!$A18760="","",DATOS!$A18760&amp;"|"&amp;DATOS!$D18760&amp;"|"&amp;DATOS!$E18760&amp;"|"&amp;DATOS!$I18760)</f>
      </c>
      <c r="G18760">
        <f>IF(DATOS!$A18760="",0,IF(CONFIG_METADATA!$B$4&lt;&gt;"OR+EX",--(DATOS!$G18760=CONFIG_METADATA!$B$4),IF(DATOS!$G18760="EX",1,IF(DATOS!$G18760="OR",--(COUNTIFS(nNIA,DATOS!$A18760,nCURSO,DATOS!$D18760,nESPEC,DATOS!$E18760,nASIG,DATOS!$I18760,nEVAL,"EX")=0),0))))</f>
      </c>
      <c r="H18760">
        <f>IF(DATOS!$G18760&lt;&gt;"EX",0,--(COUNTIFS(nNIA,DATOS!$A18760,nCURSO,DATOS!$D18760,nESPEC,DATOS!$E18760,nASIG,DATOS!$I18760,nEVAL,"OR")=0))</f>
      </c>
      <c r="I18760">
        <f>IF(DATOS!$I18760="","",IFERROR(VLOOKUP(DATOS!$I18760,CONFIG_ASIGNATURAS!$B$2:$J$91,9,FALSE()),""))</f>
      </c>
    </row>
    <row r="18761">
      <c r="F18761">
        <f>IF(DATOS!$A18761="","",DATOS!$A18761&amp;"|"&amp;DATOS!$D18761&amp;"|"&amp;DATOS!$E18761&amp;"|"&amp;DATOS!$I18761)</f>
      </c>
      <c r="G18761">
        <f>IF(DATOS!$A18761="",0,IF(CONFIG_METADATA!$B$4&lt;&gt;"OR+EX",--(DATOS!$G18761=CONFIG_METADATA!$B$4),IF(DATOS!$G18761="EX",1,IF(DATOS!$G18761="OR",--(COUNTIFS(nNIA,DATOS!$A18761,nCURSO,DATOS!$D18761,nESPEC,DATOS!$E18761,nASIG,DATOS!$I18761,nEVAL,"EX")=0),0))))</f>
      </c>
      <c r="H18761">
        <f>IF(DATOS!$G18761&lt;&gt;"EX",0,--(COUNTIFS(nNIA,DATOS!$A18761,nCURSO,DATOS!$D18761,nESPEC,DATOS!$E18761,nASIG,DATOS!$I18761,nEVAL,"OR")=0))</f>
      </c>
      <c r="I18761">
        <f>IF(DATOS!$I18761="","",IFERROR(VLOOKUP(DATOS!$I18761,CONFIG_ASIGNATURAS!$B$2:$J$91,9,FALSE()),""))</f>
      </c>
    </row>
    <row r="18762">
      <c r="F18762">
        <f>IF(DATOS!$A18762="","",DATOS!$A18762&amp;"|"&amp;DATOS!$D18762&amp;"|"&amp;DATOS!$E18762&amp;"|"&amp;DATOS!$I18762)</f>
      </c>
      <c r="G18762">
        <f>IF(DATOS!$A18762="",0,IF(CONFIG_METADATA!$B$4&lt;&gt;"OR+EX",--(DATOS!$G18762=CONFIG_METADATA!$B$4),IF(DATOS!$G18762="EX",1,IF(DATOS!$G18762="OR",--(COUNTIFS(nNIA,DATOS!$A18762,nCURSO,DATOS!$D18762,nESPEC,DATOS!$E18762,nASIG,DATOS!$I18762,nEVAL,"EX")=0),0))))</f>
      </c>
      <c r="H18762">
        <f>IF(DATOS!$G18762&lt;&gt;"EX",0,--(COUNTIFS(nNIA,DATOS!$A18762,nCURSO,DATOS!$D18762,nESPEC,DATOS!$E18762,nASIG,DATOS!$I18762,nEVAL,"OR")=0))</f>
      </c>
      <c r="I18762">
        <f>IF(DATOS!$I18762="","",IFERROR(VLOOKUP(DATOS!$I18762,CONFIG_ASIGNATURAS!$B$2:$J$91,9,FALSE()),""))</f>
      </c>
    </row>
    <row r="18763">
      <c r="F18763">
        <f>IF(DATOS!$A18763="","",DATOS!$A18763&amp;"|"&amp;DATOS!$D18763&amp;"|"&amp;DATOS!$E18763&amp;"|"&amp;DATOS!$I18763)</f>
      </c>
      <c r="G18763">
        <f>IF(DATOS!$A18763="",0,IF(CONFIG_METADATA!$B$4&lt;&gt;"OR+EX",--(DATOS!$G18763=CONFIG_METADATA!$B$4),IF(DATOS!$G18763="EX",1,IF(DATOS!$G18763="OR",--(COUNTIFS(nNIA,DATOS!$A18763,nCURSO,DATOS!$D18763,nESPEC,DATOS!$E18763,nASIG,DATOS!$I18763,nEVAL,"EX")=0),0))))</f>
      </c>
      <c r="H18763">
        <f>IF(DATOS!$G18763&lt;&gt;"EX",0,--(COUNTIFS(nNIA,DATOS!$A18763,nCURSO,DATOS!$D18763,nESPEC,DATOS!$E18763,nASIG,DATOS!$I18763,nEVAL,"OR")=0))</f>
      </c>
      <c r="I18763">
        <f>IF(DATOS!$I18763="","",IFERROR(VLOOKUP(DATOS!$I18763,CONFIG_ASIGNATURAS!$B$2:$J$91,9,FALSE()),""))</f>
      </c>
    </row>
    <row r="18764">
      <c r="F18764">
        <f>IF(DATOS!$A18764="","",DATOS!$A18764&amp;"|"&amp;DATOS!$D18764&amp;"|"&amp;DATOS!$E18764&amp;"|"&amp;DATOS!$I18764)</f>
      </c>
      <c r="G18764">
        <f>IF(DATOS!$A18764="",0,IF(CONFIG_METADATA!$B$4&lt;&gt;"OR+EX",--(DATOS!$G18764=CONFIG_METADATA!$B$4),IF(DATOS!$G18764="EX",1,IF(DATOS!$G18764="OR",--(COUNTIFS(nNIA,DATOS!$A18764,nCURSO,DATOS!$D18764,nESPEC,DATOS!$E18764,nASIG,DATOS!$I18764,nEVAL,"EX")=0),0))))</f>
      </c>
      <c r="H18764">
        <f>IF(DATOS!$G18764&lt;&gt;"EX",0,--(COUNTIFS(nNIA,DATOS!$A18764,nCURSO,DATOS!$D18764,nESPEC,DATOS!$E18764,nASIG,DATOS!$I18764,nEVAL,"OR")=0))</f>
      </c>
      <c r="I18764">
        <f>IF(DATOS!$I18764="","",IFERROR(VLOOKUP(DATOS!$I18764,CONFIG_ASIGNATURAS!$B$2:$J$91,9,FALSE()),""))</f>
      </c>
    </row>
    <row r="18765">
      <c r="F18765">
        <f>IF(DATOS!$A18765="","",DATOS!$A18765&amp;"|"&amp;DATOS!$D18765&amp;"|"&amp;DATOS!$E18765&amp;"|"&amp;DATOS!$I18765)</f>
      </c>
      <c r="G18765">
        <f>IF(DATOS!$A18765="",0,IF(CONFIG_METADATA!$B$4&lt;&gt;"OR+EX",--(DATOS!$G18765=CONFIG_METADATA!$B$4),IF(DATOS!$G18765="EX",1,IF(DATOS!$G18765="OR",--(COUNTIFS(nNIA,DATOS!$A18765,nCURSO,DATOS!$D18765,nESPEC,DATOS!$E18765,nASIG,DATOS!$I18765,nEVAL,"EX")=0),0))))</f>
      </c>
      <c r="H18765">
        <f>IF(DATOS!$G18765&lt;&gt;"EX",0,--(COUNTIFS(nNIA,DATOS!$A18765,nCURSO,DATOS!$D18765,nESPEC,DATOS!$E18765,nASIG,DATOS!$I18765,nEVAL,"OR")=0))</f>
      </c>
      <c r="I18765">
        <f>IF(DATOS!$I18765="","",IFERROR(VLOOKUP(DATOS!$I18765,CONFIG_ASIGNATURAS!$B$2:$J$91,9,FALSE()),""))</f>
      </c>
    </row>
    <row r="18766">
      <c r="F18766">
        <f>IF(DATOS!$A18766="","",DATOS!$A18766&amp;"|"&amp;DATOS!$D18766&amp;"|"&amp;DATOS!$E18766&amp;"|"&amp;DATOS!$I18766)</f>
      </c>
      <c r="G18766">
        <f>IF(DATOS!$A18766="",0,IF(CONFIG_METADATA!$B$4&lt;&gt;"OR+EX",--(DATOS!$G18766=CONFIG_METADATA!$B$4),IF(DATOS!$G18766="EX",1,IF(DATOS!$G18766="OR",--(COUNTIFS(nNIA,DATOS!$A18766,nCURSO,DATOS!$D18766,nESPEC,DATOS!$E18766,nASIG,DATOS!$I18766,nEVAL,"EX")=0),0))))</f>
      </c>
      <c r="H18766">
        <f>IF(DATOS!$G18766&lt;&gt;"EX",0,--(COUNTIFS(nNIA,DATOS!$A18766,nCURSO,DATOS!$D18766,nESPEC,DATOS!$E18766,nASIG,DATOS!$I18766,nEVAL,"OR")=0))</f>
      </c>
      <c r="I18766">
        <f>IF(DATOS!$I18766="","",IFERROR(VLOOKUP(DATOS!$I18766,CONFIG_ASIGNATURAS!$B$2:$J$91,9,FALSE()),""))</f>
      </c>
    </row>
    <row r="18767">
      <c r="F18767">
        <f>IF(DATOS!$A18767="","",DATOS!$A18767&amp;"|"&amp;DATOS!$D18767&amp;"|"&amp;DATOS!$E18767&amp;"|"&amp;DATOS!$I18767)</f>
      </c>
      <c r="G18767">
        <f>IF(DATOS!$A18767="",0,IF(CONFIG_METADATA!$B$4&lt;&gt;"OR+EX",--(DATOS!$G18767=CONFIG_METADATA!$B$4),IF(DATOS!$G18767="EX",1,IF(DATOS!$G18767="OR",--(COUNTIFS(nNIA,DATOS!$A18767,nCURSO,DATOS!$D18767,nESPEC,DATOS!$E18767,nASIG,DATOS!$I18767,nEVAL,"EX")=0),0))))</f>
      </c>
      <c r="H18767">
        <f>IF(DATOS!$G18767&lt;&gt;"EX",0,--(COUNTIFS(nNIA,DATOS!$A18767,nCURSO,DATOS!$D18767,nESPEC,DATOS!$E18767,nASIG,DATOS!$I18767,nEVAL,"OR")=0))</f>
      </c>
      <c r="I18767">
        <f>IF(DATOS!$I18767="","",IFERROR(VLOOKUP(DATOS!$I18767,CONFIG_ASIGNATURAS!$B$2:$J$91,9,FALSE()),""))</f>
      </c>
    </row>
    <row r="18768">
      <c r="F18768">
        <f>IF(DATOS!$A18768="","",DATOS!$A18768&amp;"|"&amp;DATOS!$D18768&amp;"|"&amp;DATOS!$E18768&amp;"|"&amp;DATOS!$I18768)</f>
      </c>
      <c r="G18768">
        <f>IF(DATOS!$A18768="",0,IF(CONFIG_METADATA!$B$4&lt;&gt;"OR+EX",--(DATOS!$G18768=CONFIG_METADATA!$B$4),IF(DATOS!$G18768="EX",1,IF(DATOS!$G18768="OR",--(COUNTIFS(nNIA,DATOS!$A18768,nCURSO,DATOS!$D18768,nESPEC,DATOS!$E18768,nASIG,DATOS!$I18768,nEVAL,"EX")=0),0))))</f>
      </c>
      <c r="H18768">
        <f>IF(DATOS!$G18768&lt;&gt;"EX",0,--(COUNTIFS(nNIA,DATOS!$A18768,nCURSO,DATOS!$D18768,nESPEC,DATOS!$E18768,nASIG,DATOS!$I18768,nEVAL,"OR")=0))</f>
      </c>
      <c r="I18768">
        <f>IF(DATOS!$I18768="","",IFERROR(VLOOKUP(DATOS!$I18768,CONFIG_ASIGNATURAS!$B$2:$J$91,9,FALSE()),""))</f>
      </c>
    </row>
    <row r="18769">
      <c r="F18769">
        <f>IF(DATOS!$A18769="","",DATOS!$A18769&amp;"|"&amp;DATOS!$D18769&amp;"|"&amp;DATOS!$E18769&amp;"|"&amp;DATOS!$I18769)</f>
      </c>
      <c r="G18769">
        <f>IF(DATOS!$A18769="",0,IF(CONFIG_METADATA!$B$4&lt;&gt;"OR+EX",--(DATOS!$G18769=CONFIG_METADATA!$B$4),IF(DATOS!$G18769="EX",1,IF(DATOS!$G18769="OR",--(COUNTIFS(nNIA,DATOS!$A18769,nCURSO,DATOS!$D18769,nESPEC,DATOS!$E18769,nASIG,DATOS!$I18769,nEVAL,"EX")=0),0))))</f>
      </c>
      <c r="H18769">
        <f>IF(DATOS!$G18769&lt;&gt;"EX",0,--(COUNTIFS(nNIA,DATOS!$A18769,nCURSO,DATOS!$D18769,nESPEC,DATOS!$E18769,nASIG,DATOS!$I18769,nEVAL,"OR")=0))</f>
      </c>
      <c r="I18769">
        <f>IF(DATOS!$I18769="","",IFERROR(VLOOKUP(DATOS!$I18769,CONFIG_ASIGNATURAS!$B$2:$J$91,9,FALSE()),""))</f>
      </c>
    </row>
    <row r="18770">
      <c r="F18770">
        <f>IF(DATOS!$A18770="","",DATOS!$A18770&amp;"|"&amp;DATOS!$D18770&amp;"|"&amp;DATOS!$E18770&amp;"|"&amp;DATOS!$I18770)</f>
      </c>
      <c r="G18770">
        <f>IF(DATOS!$A18770="",0,IF(CONFIG_METADATA!$B$4&lt;&gt;"OR+EX",--(DATOS!$G18770=CONFIG_METADATA!$B$4),IF(DATOS!$G18770="EX",1,IF(DATOS!$G18770="OR",--(COUNTIFS(nNIA,DATOS!$A18770,nCURSO,DATOS!$D18770,nESPEC,DATOS!$E18770,nASIG,DATOS!$I18770,nEVAL,"EX")=0),0))))</f>
      </c>
      <c r="H18770">
        <f>IF(DATOS!$G18770&lt;&gt;"EX",0,--(COUNTIFS(nNIA,DATOS!$A18770,nCURSO,DATOS!$D18770,nESPEC,DATOS!$E18770,nASIG,DATOS!$I18770,nEVAL,"OR")=0))</f>
      </c>
      <c r="I18770">
        <f>IF(DATOS!$I18770="","",IFERROR(VLOOKUP(DATOS!$I18770,CONFIG_ASIGNATURAS!$B$2:$J$91,9,FALSE()),""))</f>
      </c>
    </row>
    <row r="18771">
      <c r="F18771">
        <f>IF(DATOS!$A18771="","",DATOS!$A18771&amp;"|"&amp;DATOS!$D18771&amp;"|"&amp;DATOS!$E18771&amp;"|"&amp;DATOS!$I18771)</f>
      </c>
      <c r="G18771">
        <f>IF(DATOS!$A18771="",0,IF(CONFIG_METADATA!$B$4&lt;&gt;"OR+EX",--(DATOS!$G18771=CONFIG_METADATA!$B$4),IF(DATOS!$G18771="EX",1,IF(DATOS!$G18771="OR",--(COUNTIFS(nNIA,DATOS!$A18771,nCURSO,DATOS!$D18771,nESPEC,DATOS!$E18771,nASIG,DATOS!$I18771,nEVAL,"EX")=0),0))))</f>
      </c>
      <c r="H18771">
        <f>IF(DATOS!$G18771&lt;&gt;"EX",0,--(COUNTIFS(nNIA,DATOS!$A18771,nCURSO,DATOS!$D18771,nESPEC,DATOS!$E18771,nASIG,DATOS!$I18771,nEVAL,"OR")=0))</f>
      </c>
      <c r="I18771">
        <f>IF(DATOS!$I18771="","",IFERROR(VLOOKUP(DATOS!$I18771,CONFIG_ASIGNATURAS!$B$2:$J$91,9,FALSE()),""))</f>
      </c>
    </row>
    <row r="18772">
      <c r="F18772">
        <f>IF(DATOS!$A18772="","",DATOS!$A18772&amp;"|"&amp;DATOS!$D18772&amp;"|"&amp;DATOS!$E18772&amp;"|"&amp;DATOS!$I18772)</f>
      </c>
      <c r="G18772">
        <f>IF(DATOS!$A18772="",0,IF(CONFIG_METADATA!$B$4&lt;&gt;"OR+EX",--(DATOS!$G18772=CONFIG_METADATA!$B$4),IF(DATOS!$G18772="EX",1,IF(DATOS!$G18772="OR",--(COUNTIFS(nNIA,DATOS!$A18772,nCURSO,DATOS!$D18772,nESPEC,DATOS!$E18772,nASIG,DATOS!$I18772,nEVAL,"EX")=0),0))))</f>
      </c>
      <c r="H18772">
        <f>IF(DATOS!$G18772&lt;&gt;"EX",0,--(COUNTIFS(nNIA,DATOS!$A18772,nCURSO,DATOS!$D18772,nESPEC,DATOS!$E18772,nASIG,DATOS!$I18772,nEVAL,"OR")=0))</f>
      </c>
      <c r="I18772">
        <f>IF(DATOS!$I18772="","",IFERROR(VLOOKUP(DATOS!$I18772,CONFIG_ASIGNATURAS!$B$2:$J$91,9,FALSE()),""))</f>
      </c>
    </row>
    <row r="18773">
      <c r="F18773">
        <f>IF(DATOS!$A18773="","",DATOS!$A18773&amp;"|"&amp;DATOS!$D18773&amp;"|"&amp;DATOS!$E18773&amp;"|"&amp;DATOS!$I18773)</f>
      </c>
      <c r="G18773">
        <f>IF(DATOS!$A18773="",0,IF(CONFIG_METADATA!$B$4&lt;&gt;"OR+EX",--(DATOS!$G18773=CONFIG_METADATA!$B$4),IF(DATOS!$G18773="EX",1,IF(DATOS!$G18773="OR",--(COUNTIFS(nNIA,DATOS!$A18773,nCURSO,DATOS!$D18773,nESPEC,DATOS!$E18773,nASIG,DATOS!$I18773,nEVAL,"EX")=0),0))))</f>
      </c>
      <c r="H18773">
        <f>IF(DATOS!$G18773&lt;&gt;"EX",0,--(COUNTIFS(nNIA,DATOS!$A18773,nCURSO,DATOS!$D18773,nESPEC,DATOS!$E18773,nASIG,DATOS!$I18773,nEVAL,"OR")=0))</f>
      </c>
      <c r="I18773">
        <f>IF(DATOS!$I18773="","",IFERROR(VLOOKUP(DATOS!$I18773,CONFIG_ASIGNATURAS!$B$2:$J$91,9,FALSE()),""))</f>
      </c>
    </row>
    <row r="18774">
      <c r="F18774">
        <f>IF(DATOS!$A18774="","",DATOS!$A18774&amp;"|"&amp;DATOS!$D18774&amp;"|"&amp;DATOS!$E18774&amp;"|"&amp;DATOS!$I18774)</f>
      </c>
      <c r="G18774">
        <f>IF(DATOS!$A18774="",0,IF(CONFIG_METADATA!$B$4&lt;&gt;"OR+EX",--(DATOS!$G18774=CONFIG_METADATA!$B$4),IF(DATOS!$G18774="EX",1,IF(DATOS!$G18774="OR",--(COUNTIFS(nNIA,DATOS!$A18774,nCURSO,DATOS!$D18774,nESPEC,DATOS!$E18774,nASIG,DATOS!$I18774,nEVAL,"EX")=0),0))))</f>
      </c>
      <c r="H18774">
        <f>IF(DATOS!$G18774&lt;&gt;"EX",0,--(COUNTIFS(nNIA,DATOS!$A18774,nCURSO,DATOS!$D18774,nESPEC,DATOS!$E18774,nASIG,DATOS!$I18774,nEVAL,"OR")=0))</f>
      </c>
      <c r="I18774">
        <f>IF(DATOS!$I18774="","",IFERROR(VLOOKUP(DATOS!$I18774,CONFIG_ASIGNATURAS!$B$2:$J$91,9,FALSE()),""))</f>
      </c>
    </row>
    <row r="18775">
      <c r="F18775">
        <f>IF(DATOS!$A18775="","",DATOS!$A18775&amp;"|"&amp;DATOS!$D18775&amp;"|"&amp;DATOS!$E18775&amp;"|"&amp;DATOS!$I18775)</f>
      </c>
      <c r="G18775">
        <f>IF(DATOS!$A18775="",0,IF(CONFIG_METADATA!$B$4&lt;&gt;"OR+EX",--(DATOS!$G18775=CONFIG_METADATA!$B$4),IF(DATOS!$G18775="EX",1,IF(DATOS!$G18775="OR",--(COUNTIFS(nNIA,DATOS!$A18775,nCURSO,DATOS!$D18775,nESPEC,DATOS!$E18775,nASIG,DATOS!$I18775,nEVAL,"EX")=0),0))))</f>
      </c>
      <c r="H18775">
        <f>IF(DATOS!$G18775&lt;&gt;"EX",0,--(COUNTIFS(nNIA,DATOS!$A18775,nCURSO,DATOS!$D18775,nESPEC,DATOS!$E18775,nASIG,DATOS!$I18775,nEVAL,"OR")=0))</f>
      </c>
      <c r="I18775">
        <f>IF(DATOS!$I18775="","",IFERROR(VLOOKUP(DATOS!$I18775,CONFIG_ASIGNATURAS!$B$2:$J$91,9,FALSE()),""))</f>
      </c>
    </row>
    <row r="18776">
      <c r="F18776">
        <f>IF(DATOS!$A18776="","",DATOS!$A18776&amp;"|"&amp;DATOS!$D18776&amp;"|"&amp;DATOS!$E18776&amp;"|"&amp;DATOS!$I18776)</f>
      </c>
      <c r="G18776">
        <f>IF(DATOS!$A18776="",0,IF(CONFIG_METADATA!$B$4&lt;&gt;"OR+EX",--(DATOS!$G18776=CONFIG_METADATA!$B$4),IF(DATOS!$G18776="EX",1,IF(DATOS!$G18776="OR",--(COUNTIFS(nNIA,DATOS!$A18776,nCURSO,DATOS!$D18776,nESPEC,DATOS!$E18776,nASIG,DATOS!$I18776,nEVAL,"EX")=0),0))))</f>
      </c>
      <c r="H18776">
        <f>IF(DATOS!$G18776&lt;&gt;"EX",0,--(COUNTIFS(nNIA,DATOS!$A18776,nCURSO,DATOS!$D18776,nESPEC,DATOS!$E18776,nASIG,DATOS!$I18776,nEVAL,"OR")=0))</f>
      </c>
      <c r="I18776">
        <f>IF(DATOS!$I18776="","",IFERROR(VLOOKUP(DATOS!$I18776,CONFIG_ASIGNATURAS!$B$2:$J$91,9,FALSE()),""))</f>
      </c>
    </row>
    <row r="18777">
      <c r="F18777">
        <f>IF(DATOS!$A18777="","",DATOS!$A18777&amp;"|"&amp;DATOS!$D18777&amp;"|"&amp;DATOS!$E18777&amp;"|"&amp;DATOS!$I18777)</f>
      </c>
      <c r="G18777">
        <f>IF(DATOS!$A18777="",0,IF(CONFIG_METADATA!$B$4&lt;&gt;"OR+EX",--(DATOS!$G18777=CONFIG_METADATA!$B$4),IF(DATOS!$G18777="EX",1,IF(DATOS!$G18777="OR",--(COUNTIFS(nNIA,DATOS!$A18777,nCURSO,DATOS!$D18777,nESPEC,DATOS!$E18777,nASIG,DATOS!$I18777,nEVAL,"EX")=0),0))))</f>
      </c>
      <c r="H18777">
        <f>IF(DATOS!$G18777&lt;&gt;"EX",0,--(COUNTIFS(nNIA,DATOS!$A18777,nCURSO,DATOS!$D18777,nESPEC,DATOS!$E18777,nASIG,DATOS!$I18777,nEVAL,"OR")=0))</f>
      </c>
      <c r="I18777">
        <f>IF(DATOS!$I18777="","",IFERROR(VLOOKUP(DATOS!$I18777,CONFIG_ASIGNATURAS!$B$2:$J$91,9,FALSE()),""))</f>
      </c>
    </row>
    <row r="18778">
      <c r="F18778">
        <f>IF(DATOS!$A18778="","",DATOS!$A18778&amp;"|"&amp;DATOS!$D18778&amp;"|"&amp;DATOS!$E18778&amp;"|"&amp;DATOS!$I18778)</f>
      </c>
      <c r="G18778">
        <f>IF(DATOS!$A18778="",0,IF(CONFIG_METADATA!$B$4&lt;&gt;"OR+EX",--(DATOS!$G18778=CONFIG_METADATA!$B$4),IF(DATOS!$G18778="EX",1,IF(DATOS!$G18778="OR",--(COUNTIFS(nNIA,DATOS!$A18778,nCURSO,DATOS!$D18778,nESPEC,DATOS!$E18778,nASIG,DATOS!$I18778,nEVAL,"EX")=0),0))))</f>
      </c>
      <c r="H18778">
        <f>IF(DATOS!$G18778&lt;&gt;"EX",0,--(COUNTIFS(nNIA,DATOS!$A18778,nCURSO,DATOS!$D18778,nESPEC,DATOS!$E18778,nASIG,DATOS!$I18778,nEVAL,"OR")=0))</f>
      </c>
      <c r="I18778">
        <f>IF(DATOS!$I18778="","",IFERROR(VLOOKUP(DATOS!$I18778,CONFIG_ASIGNATURAS!$B$2:$J$91,9,FALSE()),""))</f>
      </c>
    </row>
    <row r="18779">
      <c r="F18779">
        <f>IF(DATOS!$A18779="","",DATOS!$A18779&amp;"|"&amp;DATOS!$D18779&amp;"|"&amp;DATOS!$E18779&amp;"|"&amp;DATOS!$I18779)</f>
      </c>
      <c r="G18779">
        <f>IF(DATOS!$A18779="",0,IF(CONFIG_METADATA!$B$4&lt;&gt;"OR+EX",--(DATOS!$G18779=CONFIG_METADATA!$B$4),IF(DATOS!$G18779="EX",1,IF(DATOS!$G18779="OR",--(COUNTIFS(nNIA,DATOS!$A18779,nCURSO,DATOS!$D18779,nESPEC,DATOS!$E18779,nASIG,DATOS!$I18779,nEVAL,"EX")=0),0))))</f>
      </c>
      <c r="H18779">
        <f>IF(DATOS!$G18779&lt;&gt;"EX",0,--(COUNTIFS(nNIA,DATOS!$A18779,nCURSO,DATOS!$D18779,nESPEC,DATOS!$E18779,nASIG,DATOS!$I18779,nEVAL,"OR")=0))</f>
      </c>
      <c r="I18779">
        <f>IF(DATOS!$I18779="","",IFERROR(VLOOKUP(DATOS!$I18779,CONFIG_ASIGNATURAS!$B$2:$J$91,9,FALSE()),""))</f>
      </c>
    </row>
    <row r="18780">
      <c r="F18780">
        <f>IF(DATOS!$A18780="","",DATOS!$A18780&amp;"|"&amp;DATOS!$D18780&amp;"|"&amp;DATOS!$E18780&amp;"|"&amp;DATOS!$I18780)</f>
      </c>
      <c r="G18780">
        <f>IF(DATOS!$A18780="",0,IF(CONFIG_METADATA!$B$4&lt;&gt;"OR+EX",--(DATOS!$G18780=CONFIG_METADATA!$B$4),IF(DATOS!$G18780="EX",1,IF(DATOS!$G18780="OR",--(COUNTIFS(nNIA,DATOS!$A18780,nCURSO,DATOS!$D18780,nESPEC,DATOS!$E18780,nASIG,DATOS!$I18780,nEVAL,"EX")=0),0))))</f>
      </c>
      <c r="H18780">
        <f>IF(DATOS!$G18780&lt;&gt;"EX",0,--(COUNTIFS(nNIA,DATOS!$A18780,nCURSO,DATOS!$D18780,nESPEC,DATOS!$E18780,nASIG,DATOS!$I18780,nEVAL,"OR")=0))</f>
      </c>
      <c r="I18780">
        <f>IF(DATOS!$I18780="","",IFERROR(VLOOKUP(DATOS!$I18780,CONFIG_ASIGNATURAS!$B$2:$J$91,9,FALSE()),""))</f>
      </c>
    </row>
    <row r="18781">
      <c r="F18781">
        <f>IF(DATOS!$A18781="","",DATOS!$A18781&amp;"|"&amp;DATOS!$D18781&amp;"|"&amp;DATOS!$E18781&amp;"|"&amp;DATOS!$I18781)</f>
      </c>
      <c r="G18781">
        <f>IF(DATOS!$A18781="",0,IF(CONFIG_METADATA!$B$4&lt;&gt;"OR+EX",--(DATOS!$G18781=CONFIG_METADATA!$B$4),IF(DATOS!$G18781="EX",1,IF(DATOS!$G18781="OR",--(COUNTIFS(nNIA,DATOS!$A18781,nCURSO,DATOS!$D18781,nESPEC,DATOS!$E18781,nASIG,DATOS!$I18781,nEVAL,"EX")=0),0))))</f>
      </c>
      <c r="H18781">
        <f>IF(DATOS!$G18781&lt;&gt;"EX",0,--(COUNTIFS(nNIA,DATOS!$A18781,nCURSO,DATOS!$D18781,nESPEC,DATOS!$E18781,nASIG,DATOS!$I18781,nEVAL,"OR")=0))</f>
      </c>
      <c r="I18781">
        <f>IF(DATOS!$I18781="","",IFERROR(VLOOKUP(DATOS!$I18781,CONFIG_ASIGNATURAS!$B$2:$J$91,9,FALSE()),""))</f>
      </c>
    </row>
    <row r="18782">
      <c r="F18782">
        <f>IF(DATOS!$A18782="","",DATOS!$A18782&amp;"|"&amp;DATOS!$D18782&amp;"|"&amp;DATOS!$E18782&amp;"|"&amp;DATOS!$I18782)</f>
      </c>
      <c r="G18782">
        <f>IF(DATOS!$A18782="",0,IF(CONFIG_METADATA!$B$4&lt;&gt;"OR+EX",--(DATOS!$G18782=CONFIG_METADATA!$B$4),IF(DATOS!$G18782="EX",1,IF(DATOS!$G18782="OR",--(COUNTIFS(nNIA,DATOS!$A18782,nCURSO,DATOS!$D18782,nESPEC,DATOS!$E18782,nASIG,DATOS!$I18782,nEVAL,"EX")=0),0))))</f>
      </c>
      <c r="H18782">
        <f>IF(DATOS!$G18782&lt;&gt;"EX",0,--(COUNTIFS(nNIA,DATOS!$A18782,nCURSO,DATOS!$D18782,nESPEC,DATOS!$E18782,nASIG,DATOS!$I18782,nEVAL,"OR")=0))</f>
      </c>
      <c r="I18782">
        <f>IF(DATOS!$I18782="","",IFERROR(VLOOKUP(DATOS!$I18782,CONFIG_ASIGNATURAS!$B$2:$J$91,9,FALSE()),""))</f>
      </c>
    </row>
    <row r="18783">
      <c r="F18783">
        <f>IF(DATOS!$A18783="","",DATOS!$A18783&amp;"|"&amp;DATOS!$D18783&amp;"|"&amp;DATOS!$E18783&amp;"|"&amp;DATOS!$I18783)</f>
      </c>
      <c r="G18783">
        <f>IF(DATOS!$A18783="",0,IF(CONFIG_METADATA!$B$4&lt;&gt;"OR+EX",--(DATOS!$G18783=CONFIG_METADATA!$B$4),IF(DATOS!$G18783="EX",1,IF(DATOS!$G18783="OR",--(COUNTIFS(nNIA,DATOS!$A18783,nCURSO,DATOS!$D18783,nESPEC,DATOS!$E18783,nASIG,DATOS!$I18783,nEVAL,"EX")=0),0))))</f>
      </c>
      <c r="H18783">
        <f>IF(DATOS!$G18783&lt;&gt;"EX",0,--(COUNTIFS(nNIA,DATOS!$A18783,nCURSO,DATOS!$D18783,nESPEC,DATOS!$E18783,nASIG,DATOS!$I18783,nEVAL,"OR")=0))</f>
      </c>
      <c r="I18783">
        <f>IF(DATOS!$I18783="","",IFERROR(VLOOKUP(DATOS!$I18783,CONFIG_ASIGNATURAS!$B$2:$J$91,9,FALSE()),""))</f>
      </c>
    </row>
    <row r="18784">
      <c r="F18784">
        <f>IF(DATOS!$A18784="","",DATOS!$A18784&amp;"|"&amp;DATOS!$D18784&amp;"|"&amp;DATOS!$E18784&amp;"|"&amp;DATOS!$I18784)</f>
      </c>
      <c r="G18784">
        <f>IF(DATOS!$A18784="",0,IF(CONFIG_METADATA!$B$4&lt;&gt;"OR+EX",--(DATOS!$G18784=CONFIG_METADATA!$B$4),IF(DATOS!$G18784="EX",1,IF(DATOS!$G18784="OR",--(COUNTIFS(nNIA,DATOS!$A18784,nCURSO,DATOS!$D18784,nESPEC,DATOS!$E18784,nASIG,DATOS!$I18784,nEVAL,"EX")=0),0))))</f>
      </c>
      <c r="H18784">
        <f>IF(DATOS!$G18784&lt;&gt;"EX",0,--(COUNTIFS(nNIA,DATOS!$A18784,nCURSO,DATOS!$D18784,nESPEC,DATOS!$E18784,nASIG,DATOS!$I18784,nEVAL,"OR")=0))</f>
      </c>
      <c r="I18784">
        <f>IF(DATOS!$I18784="","",IFERROR(VLOOKUP(DATOS!$I18784,CONFIG_ASIGNATURAS!$B$2:$J$91,9,FALSE()),""))</f>
      </c>
    </row>
    <row r="18785">
      <c r="F18785">
        <f>IF(DATOS!$A18785="","",DATOS!$A18785&amp;"|"&amp;DATOS!$D18785&amp;"|"&amp;DATOS!$E18785&amp;"|"&amp;DATOS!$I18785)</f>
      </c>
      <c r="G18785">
        <f>IF(DATOS!$A18785="",0,IF(CONFIG_METADATA!$B$4&lt;&gt;"OR+EX",--(DATOS!$G18785=CONFIG_METADATA!$B$4),IF(DATOS!$G18785="EX",1,IF(DATOS!$G18785="OR",--(COUNTIFS(nNIA,DATOS!$A18785,nCURSO,DATOS!$D18785,nESPEC,DATOS!$E18785,nASIG,DATOS!$I18785,nEVAL,"EX")=0),0))))</f>
      </c>
      <c r="H18785">
        <f>IF(DATOS!$G18785&lt;&gt;"EX",0,--(COUNTIFS(nNIA,DATOS!$A18785,nCURSO,DATOS!$D18785,nESPEC,DATOS!$E18785,nASIG,DATOS!$I18785,nEVAL,"OR")=0))</f>
      </c>
      <c r="I18785">
        <f>IF(DATOS!$I18785="","",IFERROR(VLOOKUP(DATOS!$I18785,CONFIG_ASIGNATURAS!$B$2:$J$91,9,FALSE()),""))</f>
      </c>
    </row>
    <row r="18786">
      <c r="F18786">
        <f>IF(DATOS!$A18786="","",DATOS!$A18786&amp;"|"&amp;DATOS!$D18786&amp;"|"&amp;DATOS!$E18786&amp;"|"&amp;DATOS!$I18786)</f>
      </c>
      <c r="G18786">
        <f>IF(DATOS!$A18786="",0,IF(CONFIG_METADATA!$B$4&lt;&gt;"OR+EX",--(DATOS!$G18786=CONFIG_METADATA!$B$4),IF(DATOS!$G18786="EX",1,IF(DATOS!$G18786="OR",--(COUNTIFS(nNIA,DATOS!$A18786,nCURSO,DATOS!$D18786,nESPEC,DATOS!$E18786,nASIG,DATOS!$I18786,nEVAL,"EX")=0),0))))</f>
      </c>
      <c r="H18786">
        <f>IF(DATOS!$G18786&lt;&gt;"EX",0,--(COUNTIFS(nNIA,DATOS!$A18786,nCURSO,DATOS!$D18786,nESPEC,DATOS!$E18786,nASIG,DATOS!$I18786,nEVAL,"OR")=0))</f>
      </c>
      <c r="I18786">
        <f>IF(DATOS!$I18786="","",IFERROR(VLOOKUP(DATOS!$I18786,CONFIG_ASIGNATURAS!$B$2:$J$91,9,FALSE()),""))</f>
      </c>
    </row>
    <row r="18787">
      <c r="F18787">
        <f>IF(DATOS!$A18787="","",DATOS!$A18787&amp;"|"&amp;DATOS!$D18787&amp;"|"&amp;DATOS!$E18787&amp;"|"&amp;DATOS!$I18787)</f>
      </c>
      <c r="G18787">
        <f>IF(DATOS!$A18787="",0,IF(CONFIG_METADATA!$B$4&lt;&gt;"OR+EX",--(DATOS!$G18787=CONFIG_METADATA!$B$4),IF(DATOS!$G18787="EX",1,IF(DATOS!$G18787="OR",--(COUNTIFS(nNIA,DATOS!$A18787,nCURSO,DATOS!$D18787,nESPEC,DATOS!$E18787,nASIG,DATOS!$I18787,nEVAL,"EX")=0),0))))</f>
      </c>
      <c r="H18787">
        <f>IF(DATOS!$G18787&lt;&gt;"EX",0,--(COUNTIFS(nNIA,DATOS!$A18787,nCURSO,DATOS!$D18787,nESPEC,DATOS!$E18787,nASIG,DATOS!$I18787,nEVAL,"OR")=0))</f>
      </c>
      <c r="I18787">
        <f>IF(DATOS!$I18787="","",IFERROR(VLOOKUP(DATOS!$I18787,CONFIG_ASIGNATURAS!$B$2:$J$91,9,FALSE()),""))</f>
      </c>
    </row>
    <row r="18788">
      <c r="F18788">
        <f>IF(DATOS!$A18788="","",DATOS!$A18788&amp;"|"&amp;DATOS!$D18788&amp;"|"&amp;DATOS!$E18788&amp;"|"&amp;DATOS!$I18788)</f>
      </c>
      <c r="G18788">
        <f>IF(DATOS!$A18788="",0,IF(CONFIG_METADATA!$B$4&lt;&gt;"OR+EX",--(DATOS!$G18788=CONFIG_METADATA!$B$4),IF(DATOS!$G18788="EX",1,IF(DATOS!$G18788="OR",--(COUNTIFS(nNIA,DATOS!$A18788,nCURSO,DATOS!$D18788,nESPEC,DATOS!$E18788,nASIG,DATOS!$I18788,nEVAL,"EX")=0),0))))</f>
      </c>
      <c r="H18788">
        <f>IF(DATOS!$G18788&lt;&gt;"EX",0,--(COUNTIFS(nNIA,DATOS!$A18788,nCURSO,DATOS!$D18788,nESPEC,DATOS!$E18788,nASIG,DATOS!$I18788,nEVAL,"OR")=0))</f>
      </c>
      <c r="I18788">
        <f>IF(DATOS!$I18788="","",IFERROR(VLOOKUP(DATOS!$I18788,CONFIG_ASIGNATURAS!$B$2:$J$91,9,FALSE()),""))</f>
      </c>
    </row>
    <row r="18789">
      <c r="F18789">
        <f>IF(DATOS!$A18789="","",DATOS!$A18789&amp;"|"&amp;DATOS!$D18789&amp;"|"&amp;DATOS!$E18789&amp;"|"&amp;DATOS!$I18789)</f>
      </c>
      <c r="G18789">
        <f>IF(DATOS!$A18789="",0,IF(CONFIG_METADATA!$B$4&lt;&gt;"OR+EX",--(DATOS!$G18789=CONFIG_METADATA!$B$4),IF(DATOS!$G18789="EX",1,IF(DATOS!$G18789="OR",--(COUNTIFS(nNIA,DATOS!$A18789,nCURSO,DATOS!$D18789,nESPEC,DATOS!$E18789,nASIG,DATOS!$I18789,nEVAL,"EX")=0),0))))</f>
      </c>
      <c r="H18789">
        <f>IF(DATOS!$G18789&lt;&gt;"EX",0,--(COUNTIFS(nNIA,DATOS!$A18789,nCURSO,DATOS!$D18789,nESPEC,DATOS!$E18789,nASIG,DATOS!$I18789,nEVAL,"OR")=0))</f>
      </c>
      <c r="I18789">
        <f>IF(DATOS!$I18789="","",IFERROR(VLOOKUP(DATOS!$I18789,CONFIG_ASIGNATURAS!$B$2:$J$91,9,FALSE()),""))</f>
      </c>
    </row>
    <row r="18790">
      <c r="F18790">
        <f>IF(DATOS!$A18790="","",DATOS!$A18790&amp;"|"&amp;DATOS!$D18790&amp;"|"&amp;DATOS!$E18790&amp;"|"&amp;DATOS!$I18790)</f>
      </c>
      <c r="G18790">
        <f>IF(DATOS!$A18790="",0,IF(CONFIG_METADATA!$B$4&lt;&gt;"OR+EX",--(DATOS!$G18790=CONFIG_METADATA!$B$4),IF(DATOS!$G18790="EX",1,IF(DATOS!$G18790="OR",--(COUNTIFS(nNIA,DATOS!$A18790,nCURSO,DATOS!$D18790,nESPEC,DATOS!$E18790,nASIG,DATOS!$I18790,nEVAL,"EX")=0),0))))</f>
      </c>
      <c r="H18790">
        <f>IF(DATOS!$G18790&lt;&gt;"EX",0,--(COUNTIFS(nNIA,DATOS!$A18790,nCURSO,DATOS!$D18790,nESPEC,DATOS!$E18790,nASIG,DATOS!$I18790,nEVAL,"OR")=0))</f>
      </c>
      <c r="I18790">
        <f>IF(DATOS!$I18790="","",IFERROR(VLOOKUP(DATOS!$I18790,CONFIG_ASIGNATURAS!$B$2:$J$91,9,FALSE()),""))</f>
      </c>
    </row>
    <row r="18791">
      <c r="F18791">
        <f>IF(DATOS!$A18791="","",DATOS!$A18791&amp;"|"&amp;DATOS!$D18791&amp;"|"&amp;DATOS!$E18791&amp;"|"&amp;DATOS!$I18791)</f>
      </c>
      <c r="G18791">
        <f>IF(DATOS!$A18791="",0,IF(CONFIG_METADATA!$B$4&lt;&gt;"OR+EX",--(DATOS!$G18791=CONFIG_METADATA!$B$4),IF(DATOS!$G18791="EX",1,IF(DATOS!$G18791="OR",--(COUNTIFS(nNIA,DATOS!$A18791,nCURSO,DATOS!$D18791,nESPEC,DATOS!$E18791,nASIG,DATOS!$I18791,nEVAL,"EX")=0),0))))</f>
      </c>
      <c r="H18791">
        <f>IF(DATOS!$G18791&lt;&gt;"EX",0,--(COUNTIFS(nNIA,DATOS!$A18791,nCURSO,DATOS!$D18791,nESPEC,DATOS!$E18791,nASIG,DATOS!$I18791,nEVAL,"OR")=0))</f>
      </c>
      <c r="I18791">
        <f>IF(DATOS!$I18791="","",IFERROR(VLOOKUP(DATOS!$I18791,CONFIG_ASIGNATURAS!$B$2:$J$91,9,FALSE()),""))</f>
      </c>
    </row>
    <row r="18792">
      <c r="F18792">
        <f>IF(DATOS!$A18792="","",DATOS!$A18792&amp;"|"&amp;DATOS!$D18792&amp;"|"&amp;DATOS!$E18792&amp;"|"&amp;DATOS!$I18792)</f>
      </c>
      <c r="G18792">
        <f>IF(DATOS!$A18792="",0,IF(CONFIG_METADATA!$B$4&lt;&gt;"OR+EX",--(DATOS!$G18792=CONFIG_METADATA!$B$4),IF(DATOS!$G18792="EX",1,IF(DATOS!$G18792="OR",--(COUNTIFS(nNIA,DATOS!$A18792,nCURSO,DATOS!$D18792,nESPEC,DATOS!$E18792,nASIG,DATOS!$I18792,nEVAL,"EX")=0),0))))</f>
      </c>
      <c r="H18792">
        <f>IF(DATOS!$G18792&lt;&gt;"EX",0,--(COUNTIFS(nNIA,DATOS!$A18792,nCURSO,DATOS!$D18792,nESPEC,DATOS!$E18792,nASIG,DATOS!$I18792,nEVAL,"OR")=0))</f>
      </c>
      <c r="I18792">
        <f>IF(DATOS!$I18792="","",IFERROR(VLOOKUP(DATOS!$I18792,CONFIG_ASIGNATURAS!$B$2:$J$91,9,FALSE()),""))</f>
      </c>
    </row>
    <row r="18793">
      <c r="F18793">
        <f>IF(DATOS!$A18793="","",DATOS!$A18793&amp;"|"&amp;DATOS!$D18793&amp;"|"&amp;DATOS!$E18793&amp;"|"&amp;DATOS!$I18793)</f>
      </c>
      <c r="G18793">
        <f>IF(DATOS!$A18793="",0,IF(CONFIG_METADATA!$B$4&lt;&gt;"OR+EX",--(DATOS!$G18793=CONFIG_METADATA!$B$4),IF(DATOS!$G18793="EX",1,IF(DATOS!$G18793="OR",--(COUNTIFS(nNIA,DATOS!$A18793,nCURSO,DATOS!$D18793,nESPEC,DATOS!$E18793,nASIG,DATOS!$I18793,nEVAL,"EX")=0),0))))</f>
      </c>
      <c r="H18793">
        <f>IF(DATOS!$G18793&lt;&gt;"EX",0,--(COUNTIFS(nNIA,DATOS!$A18793,nCURSO,DATOS!$D18793,nESPEC,DATOS!$E18793,nASIG,DATOS!$I18793,nEVAL,"OR")=0))</f>
      </c>
      <c r="I18793">
        <f>IF(DATOS!$I18793="","",IFERROR(VLOOKUP(DATOS!$I18793,CONFIG_ASIGNATURAS!$B$2:$J$91,9,FALSE()),""))</f>
      </c>
    </row>
    <row r="18794">
      <c r="F18794">
        <f>IF(DATOS!$A18794="","",DATOS!$A18794&amp;"|"&amp;DATOS!$D18794&amp;"|"&amp;DATOS!$E18794&amp;"|"&amp;DATOS!$I18794)</f>
      </c>
      <c r="G18794">
        <f>IF(DATOS!$A18794="",0,IF(CONFIG_METADATA!$B$4&lt;&gt;"OR+EX",--(DATOS!$G18794=CONFIG_METADATA!$B$4),IF(DATOS!$G18794="EX",1,IF(DATOS!$G18794="OR",--(COUNTIFS(nNIA,DATOS!$A18794,nCURSO,DATOS!$D18794,nESPEC,DATOS!$E18794,nASIG,DATOS!$I18794,nEVAL,"EX")=0),0))))</f>
      </c>
      <c r="H18794">
        <f>IF(DATOS!$G18794&lt;&gt;"EX",0,--(COUNTIFS(nNIA,DATOS!$A18794,nCURSO,DATOS!$D18794,nESPEC,DATOS!$E18794,nASIG,DATOS!$I18794,nEVAL,"OR")=0))</f>
      </c>
      <c r="I18794">
        <f>IF(DATOS!$I18794="","",IFERROR(VLOOKUP(DATOS!$I18794,CONFIG_ASIGNATURAS!$B$2:$J$91,9,FALSE()),""))</f>
      </c>
    </row>
    <row r="18795">
      <c r="F18795">
        <f>IF(DATOS!$A18795="","",DATOS!$A18795&amp;"|"&amp;DATOS!$D18795&amp;"|"&amp;DATOS!$E18795&amp;"|"&amp;DATOS!$I18795)</f>
      </c>
      <c r="G18795">
        <f>IF(DATOS!$A18795="",0,IF(CONFIG_METADATA!$B$4&lt;&gt;"OR+EX",--(DATOS!$G18795=CONFIG_METADATA!$B$4),IF(DATOS!$G18795="EX",1,IF(DATOS!$G18795="OR",--(COUNTIFS(nNIA,DATOS!$A18795,nCURSO,DATOS!$D18795,nESPEC,DATOS!$E18795,nASIG,DATOS!$I18795,nEVAL,"EX")=0),0))))</f>
      </c>
      <c r="H18795">
        <f>IF(DATOS!$G18795&lt;&gt;"EX",0,--(COUNTIFS(nNIA,DATOS!$A18795,nCURSO,DATOS!$D18795,nESPEC,DATOS!$E18795,nASIG,DATOS!$I18795,nEVAL,"OR")=0))</f>
      </c>
      <c r="I18795">
        <f>IF(DATOS!$I18795="","",IFERROR(VLOOKUP(DATOS!$I18795,CONFIG_ASIGNATURAS!$B$2:$J$91,9,FALSE()),""))</f>
      </c>
    </row>
    <row r="18796">
      <c r="F18796">
        <f>IF(DATOS!$A18796="","",DATOS!$A18796&amp;"|"&amp;DATOS!$D18796&amp;"|"&amp;DATOS!$E18796&amp;"|"&amp;DATOS!$I18796)</f>
      </c>
      <c r="G18796">
        <f>IF(DATOS!$A18796="",0,IF(CONFIG_METADATA!$B$4&lt;&gt;"OR+EX",--(DATOS!$G18796=CONFIG_METADATA!$B$4),IF(DATOS!$G18796="EX",1,IF(DATOS!$G18796="OR",--(COUNTIFS(nNIA,DATOS!$A18796,nCURSO,DATOS!$D18796,nESPEC,DATOS!$E18796,nASIG,DATOS!$I18796,nEVAL,"EX")=0),0))))</f>
      </c>
      <c r="H18796">
        <f>IF(DATOS!$G18796&lt;&gt;"EX",0,--(COUNTIFS(nNIA,DATOS!$A18796,nCURSO,DATOS!$D18796,nESPEC,DATOS!$E18796,nASIG,DATOS!$I18796,nEVAL,"OR")=0))</f>
      </c>
      <c r="I18796">
        <f>IF(DATOS!$I18796="","",IFERROR(VLOOKUP(DATOS!$I18796,CONFIG_ASIGNATURAS!$B$2:$J$91,9,FALSE()),""))</f>
      </c>
    </row>
    <row r="18797">
      <c r="F18797">
        <f>IF(DATOS!$A18797="","",DATOS!$A18797&amp;"|"&amp;DATOS!$D18797&amp;"|"&amp;DATOS!$E18797&amp;"|"&amp;DATOS!$I18797)</f>
      </c>
      <c r="G18797">
        <f>IF(DATOS!$A18797="",0,IF(CONFIG_METADATA!$B$4&lt;&gt;"OR+EX",--(DATOS!$G18797=CONFIG_METADATA!$B$4),IF(DATOS!$G18797="EX",1,IF(DATOS!$G18797="OR",--(COUNTIFS(nNIA,DATOS!$A18797,nCURSO,DATOS!$D18797,nESPEC,DATOS!$E18797,nASIG,DATOS!$I18797,nEVAL,"EX")=0),0))))</f>
      </c>
      <c r="H18797">
        <f>IF(DATOS!$G18797&lt;&gt;"EX",0,--(COUNTIFS(nNIA,DATOS!$A18797,nCURSO,DATOS!$D18797,nESPEC,DATOS!$E18797,nASIG,DATOS!$I18797,nEVAL,"OR")=0))</f>
      </c>
      <c r="I18797">
        <f>IF(DATOS!$I18797="","",IFERROR(VLOOKUP(DATOS!$I18797,CONFIG_ASIGNATURAS!$B$2:$J$91,9,FALSE()),""))</f>
      </c>
    </row>
    <row r="18798">
      <c r="F18798">
        <f>IF(DATOS!$A18798="","",DATOS!$A18798&amp;"|"&amp;DATOS!$D18798&amp;"|"&amp;DATOS!$E18798&amp;"|"&amp;DATOS!$I18798)</f>
      </c>
      <c r="G18798">
        <f>IF(DATOS!$A18798="",0,IF(CONFIG_METADATA!$B$4&lt;&gt;"OR+EX",--(DATOS!$G18798=CONFIG_METADATA!$B$4),IF(DATOS!$G18798="EX",1,IF(DATOS!$G18798="OR",--(COUNTIFS(nNIA,DATOS!$A18798,nCURSO,DATOS!$D18798,nESPEC,DATOS!$E18798,nASIG,DATOS!$I18798,nEVAL,"EX")=0),0))))</f>
      </c>
      <c r="H18798">
        <f>IF(DATOS!$G18798&lt;&gt;"EX",0,--(COUNTIFS(nNIA,DATOS!$A18798,nCURSO,DATOS!$D18798,nESPEC,DATOS!$E18798,nASIG,DATOS!$I18798,nEVAL,"OR")=0))</f>
      </c>
      <c r="I18798">
        <f>IF(DATOS!$I18798="","",IFERROR(VLOOKUP(DATOS!$I18798,CONFIG_ASIGNATURAS!$B$2:$J$91,9,FALSE()),""))</f>
      </c>
    </row>
    <row r="18799">
      <c r="F18799">
        <f>IF(DATOS!$A18799="","",DATOS!$A18799&amp;"|"&amp;DATOS!$D18799&amp;"|"&amp;DATOS!$E18799&amp;"|"&amp;DATOS!$I18799)</f>
      </c>
      <c r="G18799">
        <f>IF(DATOS!$A18799="",0,IF(CONFIG_METADATA!$B$4&lt;&gt;"OR+EX",--(DATOS!$G18799=CONFIG_METADATA!$B$4),IF(DATOS!$G18799="EX",1,IF(DATOS!$G18799="OR",--(COUNTIFS(nNIA,DATOS!$A18799,nCURSO,DATOS!$D18799,nESPEC,DATOS!$E18799,nASIG,DATOS!$I18799,nEVAL,"EX")=0),0))))</f>
      </c>
      <c r="H18799">
        <f>IF(DATOS!$G18799&lt;&gt;"EX",0,--(COUNTIFS(nNIA,DATOS!$A18799,nCURSO,DATOS!$D18799,nESPEC,DATOS!$E18799,nASIG,DATOS!$I18799,nEVAL,"OR")=0))</f>
      </c>
      <c r="I18799">
        <f>IF(DATOS!$I18799="","",IFERROR(VLOOKUP(DATOS!$I18799,CONFIG_ASIGNATURAS!$B$2:$J$91,9,FALSE()),""))</f>
      </c>
    </row>
    <row r="18800">
      <c r="F18800">
        <f>IF(DATOS!$A18800="","",DATOS!$A18800&amp;"|"&amp;DATOS!$D18800&amp;"|"&amp;DATOS!$E18800&amp;"|"&amp;DATOS!$I18800)</f>
      </c>
      <c r="G18800">
        <f>IF(DATOS!$A18800="",0,IF(CONFIG_METADATA!$B$4&lt;&gt;"OR+EX",--(DATOS!$G18800=CONFIG_METADATA!$B$4),IF(DATOS!$G18800="EX",1,IF(DATOS!$G18800="OR",--(COUNTIFS(nNIA,DATOS!$A18800,nCURSO,DATOS!$D18800,nESPEC,DATOS!$E18800,nASIG,DATOS!$I18800,nEVAL,"EX")=0),0))))</f>
      </c>
      <c r="H18800">
        <f>IF(DATOS!$G18800&lt;&gt;"EX",0,--(COUNTIFS(nNIA,DATOS!$A18800,nCURSO,DATOS!$D18800,nESPEC,DATOS!$E18800,nASIG,DATOS!$I18800,nEVAL,"OR")=0))</f>
      </c>
      <c r="I18800">
        <f>IF(DATOS!$I18800="","",IFERROR(VLOOKUP(DATOS!$I18800,CONFIG_ASIGNATURAS!$B$2:$J$91,9,FALSE()),""))</f>
      </c>
    </row>
    <row r="18801">
      <c r="F18801">
        <f>IF(DATOS!$A18801="","",DATOS!$A18801&amp;"|"&amp;DATOS!$D18801&amp;"|"&amp;DATOS!$E18801&amp;"|"&amp;DATOS!$I18801)</f>
      </c>
      <c r="G18801">
        <f>IF(DATOS!$A18801="",0,IF(CONFIG_METADATA!$B$4&lt;&gt;"OR+EX",--(DATOS!$G18801=CONFIG_METADATA!$B$4),IF(DATOS!$G18801="EX",1,IF(DATOS!$G18801="OR",--(COUNTIFS(nNIA,DATOS!$A18801,nCURSO,DATOS!$D18801,nESPEC,DATOS!$E18801,nASIG,DATOS!$I18801,nEVAL,"EX")=0),0))))</f>
      </c>
      <c r="H18801">
        <f>IF(DATOS!$G18801&lt;&gt;"EX",0,--(COUNTIFS(nNIA,DATOS!$A18801,nCURSO,DATOS!$D18801,nESPEC,DATOS!$E18801,nASIG,DATOS!$I18801,nEVAL,"OR")=0))</f>
      </c>
      <c r="I18801">
        <f>IF(DATOS!$I18801="","",IFERROR(VLOOKUP(DATOS!$I18801,CONFIG_ASIGNATURAS!$B$2:$J$91,9,FALSE()),""))</f>
      </c>
    </row>
    <row r="18802">
      <c r="F18802">
        <f>IF(DATOS!$A18802="","",DATOS!$A18802&amp;"|"&amp;DATOS!$D18802&amp;"|"&amp;DATOS!$E18802&amp;"|"&amp;DATOS!$I18802)</f>
      </c>
      <c r="G18802">
        <f>IF(DATOS!$A18802="",0,IF(CONFIG_METADATA!$B$4&lt;&gt;"OR+EX",--(DATOS!$G18802=CONFIG_METADATA!$B$4),IF(DATOS!$G18802="EX",1,IF(DATOS!$G18802="OR",--(COUNTIFS(nNIA,DATOS!$A18802,nCURSO,DATOS!$D18802,nESPEC,DATOS!$E18802,nASIG,DATOS!$I18802,nEVAL,"EX")=0),0))))</f>
      </c>
      <c r="H18802">
        <f>IF(DATOS!$G18802&lt;&gt;"EX",0,--(COUNTIFS(nNIA,DATOS!$A18802,nCURSO,DATOS!$D18802,nESPEC,DATOS!$E18802,nASIG,DATOS!$I18802,nEVAL,"OR")=0))</f>
      </c>
      <c r="I18802">
        <f>IF(DATOS!$I18802="","",IFERROR(VLOOKUP(DATOS!$I18802,CONFIG_ASIGNATURAS!$B$2:$J$91,9,FALSE()),""))</f>
      </c>
    </row>
    <row r="18803">
      <c r="F18803">
        <f>IF(DATOS!$A18803="","",DATOS!$A18803&amp;"|"&amp;DATOS!$D18803&amp;"|"&amp;DATOS!$E18803&amp;"|"&amp;DATOS!$I18803)</f>
      </c>
      <c r="G18803">
        <f>IF(DATOS!$A18803="",0,IF(CONFIG_METADATA!$B$4&lt;&gt;"OR+EX",--(DATOS!$G18803=CONFIG_METADATA!$B$4),IF(DATOS!$G18803="EX",1,IF(DATOS!$G18803="OR",--(COUNTIFS(nNIA,DATOS!$A18803,nCURSO,DATOS!$D18803,nESPEC,DATOS!$E18803,nASIG,DATOS!$I18803,nEVAL,"EX")=0),0))))</f>
      </c>
      <c r="H18803">
        <f>IF(DATOS!$G18803&lt;&gt;"EX",0,--(COUNTIFS(nNIA,DATOS!$A18803,nCURSO,DATOS!$D18803,nESPEC,DATOS!$E18803,nASIG,DATOS!$I18803,nEVAL,"OR")=0))</f>
      </c>
      <c r="I18803">
        <f>IF(DATOS!$I18803="","",IFERROR(VLOOKUP(DATOS!$I18803,CONFIG_ASIGNATURAS!$B$2:$J$91,9,FALSE()),""))</f>
      </c>
    </row>
    <row r="18804">
      <c r="F18804">
        <f>IF(DATOS!$A18804="","",DATOS!$A18804&amp;"|"&amp;DATOS!$D18804&amp;"|"&amp;DATOS!$E18804&amp;"|"&amp;DATOS!$I18804)</f>
      </c>
      <c r="G18804">
        <f>IF(DATOS!$A18804="",0,IF(CONFIG_METADATA!$B$4&lt;&gt;"OR+EX",--(DATOS!$G18804=CONFIG_METADATA!$B$4),IF(DATOS!$G18804="EX",1,IF(DATOS!$G18804="OR",--(COUNTIFS(nNIA,DATOS!$A18804,nCURSO,DATOS!$D18804,nESPEC,DATOS!$E18804,nASIG,DATOS!$I18804,nEVAL,"EX")=0),0))))</f>
      </c>
      <c r="H18804">
        <f>IF(DATOS!$G18804&lt;&gt;"EX",0,--(COUNTIFS(nNIA,DATOS!$A18804,nCURSO,DATOS!$D18804,nESPEC,DATOS!$E18804,nASIG,DATOS!$I18804,nEVAL,"OR")=0))</f>
      </c>
      <c r="I18804">
        <f>IF(DATOS!$I18804="","",IFERROR(VLOOKUP(DATOS!$I18804,CONFIG_ASIGNATURAS!$B$2:$J$91,9,FALSE()),""))</f>
      </c>
    </row>
    <row r="18805">
      <c r="F18805">
        <f>IF(DATOS!$A18805="","",DATOS!$A18805&amp;"|"&amp;DATOS!$D18805&amp;"|"&amp;DATOS!$E18805&amp;"|"&amp;DATOS!$I18805)</f>
      </c>
      <c r="G18805">
        <f>IF(DATOS!$A18805="",0,IF(CONFIG_METADATA!$B$4&lt;&gt;"OR+EX",--(DATOS!$G18805=CONFIG_METADATA!$B$4),IF(DATOS!$G18805="EX",1,IF(DATOS!$G18805="OR",--(COUNTIFS(nNIA,DATOS!$A18805,nCURSO,DATOS!$D18805,nESPEC,DATOS!$E18805,nASIG,DATOS!$I18805,nEVAL,"EX")=0),0))))</f>
      </c>
      <c r="H18805">
        <f>IF(DATOS!$G18805&lt;&gt;"EX",0,--(COUNTIFS(nNIA,DATOS!$A18805,nCURSO,DATOS!$D18805,nESPEC,DATOS!$E18805,nASIG,DATOS!$I18805,nEVAL,"OR")=0))</f>
      </c>
      <c r="I18805">
        <f>IF(DATOS!$I18805="","",IFERROR(VLOOKUP(DATOS!$I18805,CONFIG_ASIGNATURAS!$B$2:$J$91,9,FALSE()),""))</f>
      </c>
    </row>
    <row r="18806">
      <c r="F18806">
        <f>IF(DATOS!$A18806="","",DATOS!$A18806&amp;"|"&amp;DATOS!$D18806&amp;"|"&amp;DATOS!$E18806&amp;"|"&amp;DATOS!$I18806)</f>
      </c>
      <c r="G18806">
        <f>IF(DATOS!$A18806="",0,IF(CONFIG_METADATA!$B$4&lt;&gt;"OR+EX",--(DATOS!$G18806=CONFIG_METADATA!$B$4),IF(DATOS!$G18806="EX",1,IF(DATOS!$G18806="OR",--(COUNTIFS(nNIA,DATOS!$A18806,nCURSO,DATOS!$D18806,nESPEC,DATOS!$E18806,nASIG,DATOS!$I18806,nEVAL,"EX")=0),0))))</f>
      </c>
      <c r="H18806">
        <f>IF(DATOS!$G18806&lt;&gt;"EX",0,--(COUNTIFS(nNIA,DATOS!$A18806,nCURSO,DATOS!$D18806,nESPEC,DATOS!$E18806,nASIG,DATOS!$I18806,nEVAL,"OR")=0))</f>
      </c>
      <c r="I18806">
        <f>IF(DATOS!$I18806="","",IFERROR(VLOOKUP(DATOS!$I18806,CONFIG_ASIGNATURAS!$B$2:$J$91,9,FALSE()),""))</f>
      </c>
    </row>
    <row r="18807">
      <c r="F18807">
        <f>IF(DATOS!$A18807="","",DATOS!$A18807&amp;"|"&amp;DATOS!$D18807&amp;"|"&amp;DATOS!$E18807&amp;"|"&amp;DATOS!$I18807)</f>
      </c>
      <c r="G18807">
        <f>IF(DATOS!$A18807="",0,IF(CONFIG_METADATA!$B$4&lt;&gt;"OR+EX",--(DATOS!$G18807=CONFIG_METADATA!$B$4),IF(DATOS!$G18807="EX",1,IF(DATOS!$G18807="OR",--(COUNTIFS(nNIA,DATOS!$A18807,nCURSO,DATOS!$D18807,nESPEC,DATOS!$E18807,nASIG,DATOS!$I18807,nEVAL,"EX")=0),0))))</f>
      </c>
      <c r="H18807">
        <f>IF(DATOS!$G18807&lt;&gt;"EX",0,--(COUNTIFS(nNIA,DATOS!$A18807,nCURSO,DATOS!$D18807,nESPEC,DATOS!$E18807,nASIG,DATOS!$I18807,nEVAL,"OR")=0))</f>
      </c>
      <c r="I18807">
        <f>IF(DATOS!$I18807="","",IFERROR(VLOOKUP(DATOS!$I18807,CONFIG_ASIGNATURAS!$B$2:$J$91,9,FALSE()),""))</f>
      </c>
    </row>
    <row r="18808">
      <c r="F18808">
        <f>IF(DATOS!$A18808="","",DATOS!$A18808&amp;"|"&amp;DATOS!$D18808&amp;"|"&amp;DATOS!$E18808&amp;"|"&amp;DATOS!$I18808)</f>
      </c>
      <c r="G18808">
        <f>IF(DATOS!$A18808="",0,IF(CONFIG_METADATA!$B$4&lt;&gt;"OR+EX",--(DATOS!$G18808=CONFIG_METADATA!$B$4),IF(DATOS!$G18808="EX",1,IF(DATOS!$G18808="OR",--(COUNTIFS(nNIA,DATOS!$A18808,nCURSO,DATOS!$D18808,nESPEC,DATOS!$E18808,nASIG,DATOS!$I18808,nEVAL,"EX")=0),0))))</f>
      </c>
      <c r="H18808">
        <f>IF(DATOS!$G18808&lt;&gt;"EX",0,--(COUNTIFS(nNIA,DATOS!$A18808,nCURSO,DATOS!$D18808,nESPEC,DATOS!$E18808,nASIG,DATOS!$I18808,nEVAL,"OR")=0))</f>
      </c>
      <c r="I18808">
        <f>IF(DATOS!$I18808="","",IFERROR(VLOOKUP(DATOS!$I18808,CONFIG_ASIGNATURAS!$B$2:$J$91,9,FALSE()),""))</f>
      </c>
    </row>
    <row r="18809">
      <c r="F18809">
        <f>IF(DATOS!$A18809="","",DATOS!$A18809&amp;"|"&amp;DATOS!$D18809&amp;"|"&amp;DATOS!$E18809&amp;"|"&amp;DATOS!$I18809)</f>
      </c>
      <c r="G18809">
        <f>IF(DATOS!$A18809="",0,IF(CONFIG_METADATA!$B$4&lt;&gt;"OR+EX",--(DATOS!$G18809=CONFIG_METADATA!$B$4),IF(DATOS!$G18809="EX",1,IF(DATOS!$G18809="OR",--(COUNTIFS(nNIA,DATOS!$A18809,nCURSO,DATOS!$D18809,nESPEC,DATOS!$E18809,nASIG,DATOS!$I18809,nEVAL,"EX")=0),0))))</f>
      </c>
      <c r="H18809">
        <f>IF(DATOS!$G18809&lt;&gt;"EX",0,--(COUNTIFS(nNIA,DATOS!$A18809,nCURSO,DATOS!$D18809,nESPEC,DATOS!$E18809,nASIG,DATOS!$I18809,nEVAL,"OR")=0))</f>
      </c>
      <c r="I18809">
        <f>IF(DATOS!$I18809="","",IFERROR(VLOOKUP(DATOS!$I18809,CONFIG_ASIGNATURAS!$B$2:$J$91,9,FALSE()),""))</f>
      </c>
    </row>
    <row r="18810">
      <c r="F18810">
        <f>IF(DATOS!$A18810="","",DATOS!$A18810&amp;"|"&amp;DATOS!$D18810&amp;"|"&amp;DATOS!$E18810&amp;"|"&amp;DATOS!$I18810)</f>
      </c>
      <c r="G18810">
        <f>IF(DATOS!$A18810="",0,IF(CONFIG_METADATA!$B$4&lt;&gt;"OR+EX",--(DATOS!$G18810=CONFIG_METADATA!$B$4),IF(DATOS!$G18810="EX",1,IF(DATOS!$G18810="OR",--(COUNTIFS(nNIA,DATOS!$A18810,nCURSO,DATOS!$D18810,nESPEC,DATOS!$E18810,nASIG,DATOS!$I18810,nEVAL,"EX")=0),0))))</f>
      </c>
      <c r="H18810">
        <f>IF(DATOS!$G18810&lt;&gt;"EX",0,--(COUNTIFS(nNIA,DATOS!$A18810,nCURSO,DATOS!$D18810,nESPEC,DATOS!$E18810,nASIG,DATOS!$I18810,nEVAL,"OR")=0))</f>
      </c>
      <c r="I18810">
        <f>IF(DATOS!$I18810="","",IFERROR(VLOOKUP(DATOS!$I18810,CONFIG_ASIGNATURAS!$B$2:$J$91,9,FALSE()),""))</f>
      </c>
    </row>
    <row r="18811">
      <c r="F18811">
        <f>IF(DATOS!$A18811="","",DATOS!$A18811&amp;"|"&amp;DATOS!$D18811&amp;"|"&amp;DATOS!$E18811&amp;"|"&amp;DATOS!$I18811)</f>
      </c>
      <c r="G18811">
        <f>IF(DATOS!$A18811="",0,IF(CONFIG_METADATA!$B$4&lt;&gt;"OR+EX",--(DATOS!$G18811=CONFIG_METADATA!$B$4),IF(DATOS!$G18811="EX",1,IF(DATOS!$G18811="OR",--(COUNTIFS(nNIA,DATOS!$A18811,nCURSO,DATOS!$D18811,nESPEC,DATOS!$E18811,nASIG,DATOS!$I18811,nEVAL,"EX")=0),0))))</f>
      </c>
      <c r="H18811">
        <f>IF(DATOS!$G18811&lt;&gt;"EX",0,--(COUNTIFS(nNIA,DATOS!$A18811,nCURSO,DATOS!$D18811,nESPEC,DATOS!$E18811,nASIG,DATOS!$I18811,nEVAL,"OR")=0))</f>
      </c>
      <c r="I18811">
        <f>IF(DATOS!$I18811="","",IFERROR(VLOOKUP(DATOS!$I18811,CONFIG_ASIGNATURAS!$B$2:$J$91,9,FALSE()),""))</f>
      </c>
    </row>
    <row r="18812">
      <c r="F18812">
        <f>IF(DATOS!$A18812="","",DATOS!$A18812&amp;"|"&amp;DATOS!$D18812&amp;"|"&amp;DATOS!$E18812&amp;"|"&amp;DATOS!$I18812)</f>
      </c>
      <c r="G18812">
        <f>IF(DATOS!$A18812="",0,IF(CONFIG_METADATA!$B$4&lt;&gt;"OR+EX",--(DATOS!$G18812=CONFIG_METADATA!$B$4),IF(DATOS!$G18812="EX",1,IF(DATOS!$G18812="OR",--(COUNTIFS(nNIA,DATOS!$A18812,nCURSO,DATOS!$D18812,nESPEC,DATOS!$E18812,nASIG,DATOS!$I18812,nEVAL,"EX")=0),0))))</f>
      </c>
      <c r="H18812">
        <f>IF(DATOS!$G18812&lt;&gt;"EX",0,--(COUNTIFS(nNIA,DATOS!$A18812,nCURSO,DATOS!$D18812,nESPEC,DATOS!$E18812,nASIG,DATOS!$I18812,nEVAL,"OR")=0))</f>
      </c>
      <c r="I18812">
        <f>IF(DATOS!$I18812="","",IFERROR(VLOOKUP(DATOS!$I18812,CONFIG_ASIGNATURAS!$B$2:$J$91,9,FALSE()),""))</f>
      </c>
    </row>
    <row r="18813">
      <c r="F18813">
        <f>IF(DATOS!$A18813="","",DATOS!$A18813&amp;"|"&amp;DATOS!$D18813&amp;"|"&amp;DATOS!$E18813&amp;"|"&amp;DATOS!$I18813)</f>
      </c>
      <c r="G18813">
        <f>IF(DATOS!$A18813="",0,IF(CONFIG_METADATA!$B$4&lt;&gt;"OR+EX",--(DATOS!$G18813=CONFIG_METADATA!$B$4),IF(DATOS!$G18813="EX",1,IF(DATOS!$G18813="OR",--(COUNTIFS(nNIA,DATOS!$A18813,nCURSO,DATOS!$D18813,nESPEC,DATOS!$E18813,nASIG,DATOS!$I18813,nEVAL,"EX")=0),0))))</f>
      </c>
      <c r="H18813">
        <f>IF(DATOS!$G18813&lt;&gt;"EX",0,--(COUNTIFS(nNIA,DATOS!$A18813,nCURSO,DATOS!$D18813,nESPEC,DATOS!$E18813,nASIG,DATOS!$I18813,nEVAL,"OR")=0))</f>
      </c>
      <c r="I18813">
        <f>IF(DATOS!$I18813="","",IFERROR(VLOOKUP(DATOS!$I18813,CONFIG_ASIGNATURAS!$B$2:$J$91,9,FALSE()),""))</f>
      </c>
    </row>
    <row r="18814">
      <c r="F18814">
        <f>IF(DATOS!$A18814="","",DATOS!$A18814&amp;"|"&amp;DATOS!$D18814&amp;"|"&amp;DATOS!$E18814&amp;"|"&amp;DATOS!$I18814)</f>
      </c>
      <c r="G18814">
        <f>IF(DATOS!$A18814="",0,IF(CONFIG_METADATA!$B$4&lt;&gt;"OR+EX",--(DATOS!$G18814=CONFIG_METADATA!$B$4),IF(DATOS!$G18814="EX",1,IF(DATOS!$G18814="OR",--(COUNTIFS(nNIA,DATOS!$A18814,nCURSO,DATOS!$D18814,nESPEC,DATOS!$E18814,nASIG,DATOS!$I18814,nEVAL,"EX")=0),0))))</f>
      </c>
      <c r="H18814">
        <f>IF(DATOS!$G18814&lt;&gt;"EX",0,--(COUNTIFS(nNIA,DATOS!$A18814,nCURSO,DATOS!$D18814,nESPEC,DATOS!$E18814,nASIG,DATOS!$I18814,nEVAL,"OR")=0))</f>
      </c>
      <c r="I18814">
        <f>IF(DATOS!$I18814="","",IFERROR(VLOOKUP(DATOS!$I18814,CONFIG_ASIGNATURAS!$B$2:$J$91,9,FALSE()),""))</f>
      </c>
    </row>
    <row r="18815">
      <c r="F18815">
        <f>IF(DATOS!$A18815="","",DATOS!$A18815&amp;"|"&amp;DATOS!$D18815&amp;"|"&amp;DATOS!$E18815&amp;"|"&amp;DATOS!$I18815)</f>
      </c>
      <c r="G18815">
        <f>IF(DATOS!$A18815="",0,IF(CONFIG_METADATA!$B$4&lt;&gt;"OR+EX",--(DATOS!$G18815=CONFIG_METADATA!$B$4),IF(DATOS!$G18815="EX",1,IF(DATOS!$G18815="OR",--(COUNTIFS(nNIA,DATOS!$A18815,nCURSO,DATOS!$D18815,nESPEC,DATOS!$E18815,nASIG,DATOS!$I18815,nEVAL,"EX")=0),0))))</f>
      </c>
      <c r="H18815">
        <f>IF(DATOS!$G18815&lt;&gt;"EX",0,--(COUNTIFS(nNIA,DATOS!$A18815,nCURSO,DATOS!$D18815,nESPEC,DATOS!$E18815,nASIG,DATOS!$I18815,nEVAL,"OR")=0))</f>
      </c>
      <c r="I18815">
        <f>IF(DATOS!$I18815="","",IFERROR(VLOOKUP(DATOS!$I18815,CONFIG_ASIGNATURAS!$B$2:$J$91,9,FALSE()),""))</f>
      </c>
    </row>
    <row r="18816">
      <c r="F18816">
        <f>IF(DATOS!$A18816="","",DATOS!$A18816&amp;"|"&amp;DATOS!$D18816&amp;"|"&amp;DATOS!$E18816&amp;"|"&amp;DATOS!$I18816)</f>
      </c>
      <c r="G18816">
        <f>IF(DATOS!$A18816="",0,IF(CONFIG_METADATA!$B$4&lt;&gt;"OR+EX",--(DATOS!$G18816=CONFIG_METADATA!$B$4),IF(DATOS!$G18816="EX",1,IF(DATOS!$G18816="OR",--(COUNTIFS(nNIA,DATOS!$A18816,nCURSO,DATOS!$D18816,nESPEC,DATOS!$E18816,nASIG,DATOS!$I18816,nEVAL,"EX")=0),0))))</f>
      </c>
      <c r="H18816">
        <f>IF(DATOS!$G18816&lt;&gt;"EX",0,--(COUNTIFS(nNIA,DATOS!$A18816,nCURSO,DATOS!$D18816,nESPEC,DATOS!$E18816,nASIG,DATOS!$I18816,nEVAL,"OR")=0))</f>
      </c>
      <c r="I18816">
        <f>IF(DATOS!$I18816="","",IFERROR(VLOOKUP(DATOS!$I18816,CONFIG_ASIGNATURAS!$B$2:$J$91,9,FALSE()),""))</f>
      </c>
    </row>
    <row r="18817">
      <c r="F18817">
        <f>IF(DATOS!$A18817="","",DATOS!$A18817&amp;"|"&amp;DATOS!$D18817&amp;"|"&amp;DATOS!$E18817&amp;"|"&amp;DATOS!$I18817)</f>
      </c>
      <c r="G18817">
        <f>IF(DATOS!$A18817="",0,IF(CONFIG_METADATA!$B$4&lt;&gt;"OR+EX",--(DATOS!$G18817=CONFIG_METADATA!$B$4),IF(DATOS!$G18817="EX",1,IF(DATOS!$G18817="OR",--(COUNTIFS(nNIA,DATOS!$A18817,nCURSO,DATOS!$D18817,nESPEC,DATOS!$E18817,nASIG,DATOS!$I18817,nEVAL,"EX")=0),0))))</f>
      </c>
      <c r="H18817">
        <f>IF(DATOS!$G18817&lt;&gt;"EX",0,--(COUNTIFS(nNIA,DATOS!$A18817,nCURSO,DATOS!$D18817,nESPEC,DATOS!$E18817,nASIG,DATOS!$I18817,nEVAL,"OR")=0))</f>
      </c>
      <c r="I18817">
        <f>IF(DATOS!$I18817="","",IFERROR(VLOOKUP(DATOS!$I18817,CONFIG_ASIGNATURAS!$B$2:$J$91,9,FALSE()),""))</f>
      </c>
    </row>
    <row r="18818">
      <c r="F18818">
        <f>IF(DATOS!$A18818="","",DATOS!$A18818&amp;"|"&amp;DATOS!$D18818&amp;"|"&amp;DATOS!$E18818&amp;"|"&amp;DATOS!$I18818)</f>
      </c>
      <c r="G18818">
        <f>IF(DATOS!$A18818="",0,IF(CONFIG_METADATA!$B$4&lt;&gt;"OR+EX",--(DATOS!$G18818=CONFIG_METADATA!$B$4),IF(DATOS!$G18818="EX",1,IF(DATOS!$G18818="OR",--(COUNTIFS(nNIA,DATOS!$A18818,nCURSO,DATOS!$D18818,nESPEC,DATOS!$E18818,nASIG,DATOS!$I18818,nEVAL,"EX")=0),0))))</f>
      </c>
      <c r="H18818">
        <f>IF(DATOS!$G18818&lt;&gt;"EX",0,--(COUNTIFS(nNIA,DATOS!$A18818,nCURSO,DATOS!$D18818,nESPEC,DATOS!$E18818,nASIG,DATOS!$I18818,nEVAL,"OR")=0))</f>
      </c>
      <c r="I18818">
        <f>IF(DATOS!$I18818="","",IFERROR(VLOOKUP(DATOS!$I18818,CONFIG_ASIGNATURAS!$B$2:$J$91,9,FALSE()),""))</f>
      </c>
    </row>
    <row r="18819">
      <c r="F18819">
        <f>IF(DATOS!$A18819="","",DATOS!$A18819&amp;"|"&amp;DATOS!$D18819&amp;"|"&amp;DATOS!$E18819&amp;"|"&amp;DATOS!$I18819)</f>
      </c>
      <c r="G18819">
        <f>IF(DATOS!$A18819="",0,IF(CONFIG_METADATA!$B$4&lt;&gt;"OR+EX",--(DATOS!$G18819=CONFIG_METADATA!$B$4),IF(DATOS!$G18819="EX",1,IF(DATOS!$G18819="OR",--(COUNTIFS(nNIA,DATOS!$A18819,nCURSO,DATOS!$D18819,nESPEC,DATOS!$E18819,nASIG,DATOS!$I18819,nEVAL,"EX")=0),0))))</f>
      </c>
      <c r="H18819">
        <f>IF(DATOS!$G18819&lt;&gt;"EX",0,--(COUNTIFS(nNIA,DATOS!$A18819,nCURSO,DATOS!$D18819,nESPEC,DATOS!$E18819,nASIG,DATOS!$I18819,nEVAL,"OR")=0))</f>
      </c>
      <c r="I18819">
        <f>IF(DATOS!$I18819="","",IFERROR(VLOOKUP(DATOS!$I18819,CONFIG_ASIGNATURAS!$B$2:$J$91,9,FALSE()),""))</f>
      </c>
    </row>
    <row r="18820">
      <c r="F18820">
        <f>IF(DATOS!$A18820="","",DATOS!$A18820&amp;"|"&amp;DATOS!$D18820&amp;"|"&amp;DATOS!$E18820&amp;"|"&amp;DATOS!$I18820)</f>
      </c>
      <c r="G18820">
        <f>IF(DATOS!$A18820="",0,IF(CONFIG_METADATA!$B$4&lt;&gt;"OR+EX",--(DATOS!$G18820=CONFIG_METADATA!$B$4),IF(DATOS!$G18820="EX",1,IF(DATOS!$G18820="OR",--(COUNTIFS(nNIA,DATOS!$A18820,nCURSO,DATOS!$D18820,nESPEC,DATOS!$E18820,nASIG,DATOS!$I18820,nEVAL,"EX")=0),0))))</f>
      </c>
      <c r="H18820">
        <f>IF(DATOS!$G18820&lt;&gt;"EX",0,--(COUNTIFS(nNIA,DATOS!$A18820,nCURSO,DATOS!$D18820,nESPEC,DATOS!$E18820,nASIG,DATOS!$I18820,nEVAL,"OR")=0))</f>
      </c>
      <c r="I18820">
        <f>IF(DATOS!$I18820="","",IFERROR(VLOOKUP(DATOS!$I18820,CONFIG_ASIGNATURAS!$B$2:$J$91,9,FALSE()),""))</f>
      </c>
    </row>
    <row r="18821">
      <c r="F18821">
        <f>IF(DATOS!$A18821="","",DATOS!$A18821&amp;"|"&amp;DATOS!$D18821&amp;"|"&amp;DATOS!$E18821&amp;"|"&amp;DATOS!$I18821)</f>
      </c>
      <c r="G18821">
        <f>IF(DATOS!$A18821="",0,IF(CONFIG_METADATA!$B$4&lt;&gt;"OR+EX",--(DATOS!$G18821=CONFIG_METADATA!$B$4),IF(DATOS!$G18821="EX",1,IF(DATOS!$G18821="OR",--(COUNTIFS(nNIA,DATOS!$A18821,nCURSO,DATOS!$D18821,nESPEC,DATOS!$E18821,nASIG,DATOS!$I18821,nEVAL,"EX")=0),0))))</f>
      </c>
      <c r="H18821">
        <f>IF(DATOS!$G18821&lt;&gt;"EX",0,--(COUNTIFS(nNIA,DATOS!$A18821,nCURSO,DATOS!$D18821,nESPEC,DATOS!$E18821,nASIG,DATOS!$I18821,nEVAL,"OR")=0))</f>
      </c>
      <c r="I18821">
        <f>IF(DATOS!$I18821="","",IFERROR(VLOOKUP(DATOS!$I18821,CONFIG_ASIGNATURAS!$B$2:$J$91,9,FALSE()),""))</f>
      </c>
    </row>
    <row r="18822">
      <c r="F18822">
        <f>IF(DATOS!$A18822="","",DATOS!$A18822&amp;"|"&amp;DATOS!$D18822&amp;"|"&amp;DATOS!$E18822&amp;"|"&amp;DATOS!$I18822)</f>
      </c>
      <c r="G18822">
        <f>IF(DATOS!$A18822="",0,IF(CONFIG_METADATA!$B$4&lt;&gt;"OR+EX",--(DATOS!$G18822=CONFIG_METADATA!$B$4),IF(DATOS!$G18822="EX",1,IF(DATOS!$G18822="OR",--(COUNTIFS(nNIA,DATOS!$A18822,nCURSO,DATOS!$D18822,nESPEC,DATOS!$E18822,nASIG,DATOS!$I18822,nEVAL,"EX")=0),0))))</f>
      </c>
      <c r="H18822">
        <f>IF(DATOS!$G18822&lt;&gt;"EX",0,--(COUNTIFS(nNIA,DATOS!$A18822,nCURSO,DATOS!$D18822,nESPEC,DATOS!$E18822,nASIG,DATOS!$I18822,nEVAL,"OR")=0))</f>
      </c>
      <c r="I18822">
        <f>IF(DATOS!$I18822="","",IFERROR(VLOOKUP(DATOS!$I18822,CONFIG_ASIGNATURAS!$B$2:$J$91,9,FALSE()),""))</f>
      </c>
    </row>
    <row r="18823">
      <c r="F18823">
        <f>IF(DATOS!$A18823="","",DATOS!$A18823&amp;"|"&amp;DATOS!$D18823&amp;"|"&amp;DATOS!$E18823&amp;"|"&amp;DATOS!$I18823)</f>
      </c>
      <c r="G18823">
        <f>IF(DATOS!$A18823="",0,IF(CONFIG_METADATA!$B$4&lt;&gt;"OR+EX",--(DATOS!$G18823=CONFIG_METADATA!$B$4),IF(DATOS!$G18823="EX",1,IF(DATOS!$G18823="OR",--(COUNTIFS(nNIA,DATOS!$A18823,nCURSO,DATOS!$D18823,nESPEC,DATOS!$E18823,nASIG,DATOS!$I18823,nEVAL,"EX")=0),0))))</f>
      </c>
      <c r="H18823">
        <f>IF(DATOS!$G18823&lt;&gt;"EX",0,--(COUNTIFS(nNIA,DATOS!$A18823,nCURSO,DATOS!$D18823,nESPEC,DATOS!$E18823,nASIG,DATOS!$I18823,nEVAL,"OR")=0))</f>
      </c>
      <c r="I18823">
        <f>IF(DATOS!$I18823="","",IFERROR(VLOOKUP(DATOS!$I18823,CONFIG_ASIGNATURAS!$B$2:$J$91,9,FALSE()),""))</f>
      </c>
    </row>
    <row r="18824">
      <c r="F18824">
        <f>IF(DATOS!$A18824="","",DATOS!$A18824&amp;"|"&amp;DATOS!$D18824&amp;"|"&amp;DATOS!$E18824&amp;"|"&amp;DATOS!$I18824)</f>
      </c>
      <c r="G18824">
        <f>IF(DATOS!$A18824="",0,IF(CONFIG_METADATA!$B$4&lt;&gt;"OR+EX",--(DATOS!$G18824=CONFIG_METADATA!$B$4),IF(DATOS!$G18824="EX",1,IF(DATOS!$G18824="OR",--(COUNTIFS(nNIA,DATOS!$A18824,nCURSO,DATOS!$D18824,nESPEC,DATOS!$E18824,nASIG,DATOS!$I18824,nEVAL,"EX")=0),0))))</f>
      </c>
      <c r="H18824">
        <f>IF(DATOS!$G18824&lt;&gt;"EX",0,--(COUNTIFS(nNIA,DATOS!$A18824,nCURSO,DATOS!$D18824,nESPEC,DATOS!$E18824,nASIG,DATOS!$I18824,nEVAL,"OR")=0))</f>
      </c>
      <c r="I18824">
        <f>IF(DATOS!$I18824="","",IFERROR(VLOOKUP(DATOS!$I18824,CONFIG_ASIGNATURAS!$B$2:$J$91,9,FALSE()),""))</f>
      </c>
    </row>
    <row r="18825">
      <c r="F18825">
        <f>IF(DATOS!$A18825="","",DATOS!$A18825&amp;"|"&amp;DATOS!$D18825&amp;"|"&amp;DATOS!$E18825&amp;"|"&amp;DATOS!$I18825)</f>
      </c>
      <c r="G18825">
        <f>IF(DATOS!$A18825="",0,IF(CONFIG_METADATA!$B$4&lt;&gt;"OR+EX",--(DATOS!$G18825=CONFIG_METADATA!$B$4),IF(DATOS!$G18825="EX",1,IF(DATOS!$G18825="OR",--(COUNTIFS(nNIA,DATOS!$A18825,nCURSO,DATOS!$D18825,nESPEC,DATOS!$E18825,nASIG,DATOS!$I18825,nEVAL,"EX")=0),0))))</f>
      </c>
      <c r="H18825">
        <f>IF(DATOS!$G18825&lt;&gt;"EX",0,--(COUNTIFS(nNIA,DATOS!$A18825,nCURSO,DATOS!$D18825,nESPEC,DATOS!$E18825,nASIG,DATOS!$I18825,nEVAL,"OR")=0))</f>
      </c>
      <c r="I18825">
        <f>IF(DATOS!$I18825="","",IFERROR(VLOOKUP(DATOS!$I18825,CONFIG_ASIGNATURAS!$B$2:$J$91,9,FALSE()),""))</f>
      </c>
    </row>
    <row r="18826">
      <c r="F18826">
        <f>IF(DATOS!$A18826="","",DATOS!$A18826&amp;"|"&amp;DATOS!$D18826&amp;"|"&amp;DATOS!$E18826&amp;"|"&amp;DATOS!$I18826)</f>
      </c>
      <c r="G18826">
        <f>IF(DATOS!$A18826="",0,IF(CONFIG_METADATA!$B$4&lt;&gt;"OR+EX",--(DATOS!$G18826=CONFIG_METADATA!$B$4),IF(DATOS!$G18826="EX",1,IF(DATOS!$G18826="OR",--(COUNTIFS(nNIA,DATOS!$A18826,nCURSO,DATOS!$D18826,nESPEC,DATOS!$E18826,nASIG,DATOS!$I18826,nEVAL,"EX")=0),0))))</f>
      </c>
      <c r="H18826">
        <f>IF(DATOS!$G18826&lt;&gt;"EX",0,--(COUNTIFS(nNIA,DATOS!$A18826,nCURSO,DATOS!$D18826,nESPEC,DATOS!$E18826,nASIG,DATOS!$I18826,nEVAL,"OR")=0))</f>
      </c>
      <c r="I18826">
        <f>IF(DATOS!$I18826="","",IFERROR(VLOOKUP(DATOS!$I18826,CONFIG_ASIGNATURAS!$B$2:$J$91,9,FALSE()),""))</f>
      </c>
    </row>
    <row r="18827">
      <c r="F18827">
        <f>IF(DATOS!$A18827="","",DATOS!$A18827&amp;"|"&amp;DATOS!$D18827&amp;"|"&amp;DATOS!$E18827&amp;"|"&amp;DATOS!$I18827)</f>
      </c>
      <c r="G18827">
        <f>IF(DATOS!$A18827="",0,IF(CONFIG_METADATA!$B$4&lt;&gt;"OR+EX",--(DATOS!$G18827=CONFIG_METADATA!$B$4),IF(DATOS!$G18827="EX",1,IF(DATOS!$G18827="OR",--(COUNTIFS(nNIA,DATOS!$A18827,nCURSO,DATOS!$D18827,nESPEC,DATOS!$E18827,nASIG,DATOS!$I18827,nEVAL,"EX")=0),0))))</f>
      </c>
      <c r="H18827">
        <f>IF(DATOS!$G18827&lt;&gt;"EX",0,--(COUNTIFS(nNIA,DATOS!$A18827,nCURSO,DATOS!$D18827,nESPEC,DATOS!$E18827,nASIG,DATOS!$I18827,nEVAL,"OR")=0))</f>
      </c>
      <c r="I18827">
        <f>IF(DATOS!$I18827="","",IFERROR(VLOOKUP(DATOS!$I18827,CONFIG_ASIGNATURAS!$B$2:$J$91,9,FALSE()),""))</f>
      </c>
    </row>
    <row r="18828">
      <c r="F18828">
        <f>IF(DATOS!$A18828="","",DATOS!$A18828&amp;"|"&amp;DATOS!$D18828&amp;"|"&amp;DATOS!$E18828&amp;"|"&amp;DATOS!$I18828)</f>
      </c>
      <c r="G18828">
        <f>IF(DATOS!$A18828="",0,IF(CONFIG_METADATA!$B$4&lt;&gt;"OR+EX",--(DATOS!$G18828=CONFIG_METADATA!$B$4),IF(DATOS!$G18828="EX",1,IF(DATOS!$G18828="OR",--(COUNTIFS(nNIA,DATOS!$A18828,nCURSO,DATOS!$D18828,nESPEC,DATOS!$E18828,nASIG,DATOS!$I18828,nEVAL,"EX")=0),0))))</f>
      </c>
      <c r="H18828">
        <f>IF(DATOS!$G18828&lt;&gt;"EX",0,--(COUNTIFS(nNIA,DATOS!$A18828,nCURSO,DATOS!$D18828,nESPEC,DATOS!$E18828,nASIG,DATOS!$I18828,nEVAL,"OR")=0))</f>
      </c>
      <c r="I18828">
        <f>IF(DATOS!$I18828="","",IFERROR(VLOOKUP(DATOS!$I18828,CONFIG_ASIGNATURAS!$B$2:$J$91,9,FALSE()),""))</f>
      </c>
    </row>
    <row r="18829">
      <c r="F18829">
        <f>IF(DATOS!$A18829="","",DATOS!$A18829&amp;"|"&amp;DATOS!$D18829&amp;"|"&amp;DATOS!$E18829&amp;"|"&amp;DATOS!$I18829)</f>
      </c>
      <c r="G18829">
        <f>IF(DATOS!$A18829="",0,IF(CONFIG_METADATA!$B$4&lt;&gt;"OR+EX",--(DATOS!$G18829=CONFIG_METADATA!$B$4),IF(DATOS!$G18829="EX",1,IF(DATOS!$G18829="OR",--(COUNTIFS(nNIA,DATOS!$A18829,nCURSO,DATOS!$D18829,nESPEC,DATOS!$E18829,nASIG,DATOS!$I18829,nEVAL,"EX")=0),0))))</f>
      </c>
      <c r="H18829">
        <f>IF(DATOS!$G18829&lt;&gt;"EX",0,--(COUNTIFS(nNIA,DATOS!$A18829,nCURSO,DATOS!$D18829,nESPEC,DATOS!$E18829,nASIG,DATOS!$I18829,nEVAL,"OR")=0))</f>
      </c>
      <c r="I18829">
        <f>IF(DATOS!$I18829="","",IFERROR(VLOOKUP(DATOS!$I18829,CONFIG_ASIGNATURAS!$B$2:$J$91,9,FALSE()),""))</f>
      </c>
    </row>
    <row r="18830">
      <c r="F18830">
        <f>IF(DATOS!$A18830="","",DATOS!$A18830&amp;"|"&amp;DATOS!$D18830&amp;"|"&amp;DATOS!$E18830&amp;"|"&amp;DATOS!$I18830)</f>
      </c>
      <c r="G18830">
        <f>IF(DATOS!$A18830="",0,IF(CONFIG_METADATA!$B$4&lt;&gt;"OR+EX",--(DATOS!$G18830=CONFIG_METADATA!$B$4),IF(DATOS!$G18830="EX",1,IF(DATOS!$G18830="OR",--(COUNTIFS(nNIA,DATOS!$A18830,nCURSO,DATOS!$D18830,nESPEC,DATOS!$E18830,nASIG,DATOS!$I18830,nEVAL,"EX")=0),0))))</f>
      </c>
      <c r="H18830">
        <f>IF(DATOS!$G18830&lt;&gt;"EX",0,--(COUNTIFS(nNIA,DATOS!$A18830,nCURSO,DATOS!$D18830,nESPEC,DATOS!$E18830,nASIG,DATOS!$I18830,nEVAL,"OR")=0))</f>
      </c>
      <c r="I18830">
        <f>IF(DATOS!$I18830="","",IFERROR(VLOOKUP(DATOS!$I18830,CONFIG_ASIGNATURAS!$B$2:$J$91,9,FALSE()),""))</f>
      </c>
    </row>
    <row r="18831">
      <c r="F18831">
        <f>IF(DATOS!$A18831="","",DATOS!$A18831&amp;"|"&amp;DATOS!$D18831&amp;"|"&amp;DATOS!$E18831&amp;"|"&amp;DATOS!$I18831)</f>
      </c>
      <c r="G18831">
        <f>IF(DATOS!$A18831="",0,IF(CONFIG_METADATA!$B$4&lt;&gt;"OR+EX",--(DATOS!$G18831=CONFIG_METADATA!$B$4),IF(DATOS!$G18831="EX",1,IF(DATOS!$G18831="OR",--(COUNTIFS(nNIA,DATOS!$A18831,nCURSO,DATOS!$D18831,nESPEC,DATOS!$E18831,nASIG,DATOS!$I18831,nEVAL,"EX")=0),0))))</f>
      </c>
      <c r="H18831">
        <f>IF(DATOS!$G18831&lt;&gt;"EX",0,--(COUNTIFS(nNIA,DATOS!$A18831,nCURSO,DATOS!$D18831,nESPEC,DATOS!$E18831,nASIG,DATOS!$I18831,nEVAL,"OR")=0))</f>
      </c>
      <c r="I18831">
        <f>IF(DATOS!$I18831="","",IFERROR(VLOOKUP(DATOS!$I18831,CONFIG_ASIGNATURAS!$B$2:$J$91,9,FALSE()),""))</f>
      </c>
    </row>
    <row r="18832">
      <c r="F18832">
        <f>IF(DATOS!$A18832="","",DATOS!$A18832&amp;"|"&amp;DATOS!$D18832&amp;"|"&amp;DATOS!$E18832&amp;"|"&amp;DATOS!$I18832)</f>
      </c>
      <c r="G18832">
        <f>IF(DATOS!$A18832="",0,IF(CONFIG_METADATA!$B$4&lt;&gt;"OR+EX",--(DATOS!$G18832=CONFIG_METADATA!$B$4),IF(DATOS!$G18832="EX",1,IF(DATOS!$G18832="OR",--(COUNTIFS(nNIA,DATOS!$A18832,nCURSO,DATOS!$D18832,nESPEC,DATOS!$E18832,nASIG,DATOS!$I18832,nEVAL,"EX")=0),0))))</f>
      </c>
      <c r="H18832">
        <f>IF(DATOS!$G18832&lt;&gt;"EX",0,--(COUNTIFS(nNIA,DATOS!$A18832,nCURSO,DATOS!$D18832,nESPEC,DATOS!$E18832,nASIG,DATOS!$I18832,nEVAL,"OR")=0))</f>
      </c>
      <c r="I18832">
        <f>IF(DATOS!$I18832="","",IFERROR(VLOOKUP(DATOS!$I18832,CONFIG_ASIGNATURAS!$B$2:$J$91,9,FALSE()),""))</f>
      </c>
    </row>
    <row r="18833">
      <c r="F18833">
        <f>IF(DATOS!$A18833="","",DATOS!$A18833&amp;"|"&amp;DATOS!$D18833&amp;"|"&amp;DATOS!$E18833&amp;"|"&amp;DATOS!$I18833)</f>
      </c>
      <c r="G18833">
        <f>IF(DATOS!$A18833="",0,IF(CONFIG_METADATA!$B$4&lt;&gt;"OR+EX",--(DATOS!$G18833=CONFIG_METADATA!$B$4),IF(DATOS!$G18833="EX",1,IF(DATOS!$G18833="OR",--(COUNTIFS(nNIA,DATOS!$A18833,nCURSO,DATOS!$D18833,nESPEC,DATOS!$E18833,nASIG,DATOS!$I18833,nEVAL,"EX")=0),0))))</f>
      </c>
      <c r="H18833">
        <f>IF(DATOS!$G18833&lt;&gt;"EX",0,--(COUNTIFS(nNIA,DATOS!$A18833,nCURSO,DATOS!$D18833,nESPEC,DATOS!$E18833,nASIG,DATOS!$I18833,nEVAL,"OR")=0))</f>
      </c>
      <c r="I18833">
        <f>IF(DATOS!$I18833="","",IFERROR(VLOOKUP(DATOS!$I18833,CONFIG_ASIGNATURAS!$B$2:$J$91,9,FALSE()),""))</f>
      </c>
    </row>
    <row r="18834">
      <c r="F18834">
        <f>IF(DATOS!$A18834="","",DATOS!$A18834&amp;"|"&amp;DATOS!$D18834&amp;"|"&amp;DATOS!$E18834&amp;"|"&amp;DATOS!$I18834)</f>
      </c>
      <c r="G18834">
        <f>IF(DATOS!$A18834="",0,IF(CONFIG_METADATA!$B$4&lt;&gt;"OR+EX",--(DATOS!$G18834=CONFIG_METADATA!$B$4),IF(DATOS!$G18834="EX",1,IF(DATOS!$G18834="OR",--(COUNTIFS(nNIA,DATOS!$A18834,nCURSO,DATOS!$D18834,nESPEC,DATOS!$E18834,nASIG,DATOS!$I18834,nEVAL,"EX")=0),0))))</f>
      </c>
      <c r="H18834">
        <f>IF(DATOS!$G18834&lt;&gt;"EX",0,--(COUNTIFS(nNIA,DATOS!$A18834,nCURSO,DATOS!$D18834,nESPEC,DATOS!$E18834,nASIG,DATOS!$I18834,nEVAL,"OR")=0))</f>
      </c>
      <c r="I18834">
        <f>IF(DATOS!$I18834="","",IFERROR(VLOOKUP(DATOS!$I18834,CONFIG_ASIGNATURAS!$B$2:$J$91,9,FALSE()),""))</f>
      </c>
    </row>
    <row r="18835">
      <c r="F18835">
        <f>IF(DATOS!$A18835="","",DATOS!$A18835&amp;"|"&amp;DATOS!$D18835&amp;"|"&amp;DATOS!$E18835&amp;"|"&amp;DATOS!$I18835)</f>
      </c>
      <c r="G18835">
        <f>IF(DATOS!$A18835="",0,IF(CONFIG_METADATA!$B$4&lt;&gt;"OR+EX",--(DATOS!$G18835=CONFIG_METADATA!$B$4),IF(DATOS!$G18835="EX",1,IF(DATOS!$G18835="OR",--(COUNTIFS(nNIA,DATOS!$A18835,nCURSO,DATOS!$D18835,nESPEC,DATOS!$E18835,nASIG,DATOS!$I18835,nEVAL,"EX")=0),0))))</f>
      </c>
      <c r="H18835">
        <f>IF(DATOS!$G18835&lt;&gt;"EX",0,--(COUNTIFS(nNIA,DATOS!$A18835,nCURSO,DATOS!$D18835,nESPEC,DATOS!$E18835,nASIG,DATOS!$I18835,nEVAL,"OR")=0))</f>
      </c>
      <c r="I18835">
        <f>IF(DATOS!$I18835="","",IFERROR(VLOOKUP(DATOS!$I18835,CONFIG_ASIGNATURAS!$B$2:$J$91,9,FALSE()),""))</f>
      </c>
    </row>
    <row r="18836">
      <c r="F18836">
        <f>IF(DATOS!$A18836="","",DATOS!$A18836&amp;"|"&amp;DATOS!$D18836&amp;"|"&amp;DATOS!$E18836&amp;"|"&amp;DATOS!$I18836)</f>
      </c>
      <c r="G18836">
        <f>IF(DATOS!$A18836="",0,IF(CONFIG_METADATA!$B$4&lt;&gt;"OR+EX",--(DATOS!$G18836=CONFIG_METADATA!$B$4),IF(DATOS!$G18836="EX",1,IF(DATOS!$G18836="OR",--(COUNTIFS(nNIA,DATOS!$A18836,nCURSO,DATOS!$D18836,nESPEC,DATOS!$E18836,nASIG,DATOS!$I18836,nEVAL,"EX")=0),0))))</f>
      </c>
      <c r="H18836">
        <f>IF(DATOS!$G18836&lt;&gt;"EX",0,--(COUNTIFS(nNIA,DATOS!$A18836,nCURSO,DATOS!$D18836,nESPEC,DATOS!$E18836,nASIG,DATOS!$I18836,nEVAL,"OR")=0))</f>
      </c>
      <c r="I18836">
        <f>IF(DATOS!$I18836="","",IFERROR(VLOOKUP(DATOS!$I18836,CONFIG_ASIGNATURAS!$B$2:$J$91,9,FALSE()),""))</f>
      </c>
    </row>
    <row r="18837">
      <c r="F18837">
        <f>IF(DATOS!$A18837="","",DATOS!$A18837&amp;"|"&amp;DATOS!$D18837&amp;"|"&amp;DATOS!$E18837&amp;"|"&amp;DATOS!$I18837)</f>
      </c>
      <c r="G18837">
        <f>IF(DATOS!$A18837="",0,IF(CONFIG_METADATA!$B$4&lt;&gt;"OR+EX",--(DATOS!$G18837=CONFIG_METADATA!$B$4),IF(DATOS!$G18837="EX",1,IF(DATOS!$G18837="OR",--(COUNTIFS(nNIA,DATOS!$A18837,nCURSO,DATOS!$D18837,nESPEC,DATOS!$E18837,nASIG,DATOS!$I18837,nEVAL,"EX")=0),0))))</f>
      </c>
      <c r="H18837">
        <f>IF(DATOS!$G18837&lt;&gt;"EX",0,--(COUNTIFS(nNIA,DATOS!$A18837,nCURSO,DATOS!$D18837,nESPEC,DATOS!$E18837,nASIG,DATOS!$I18837,nEVAL,"OR")=0))</f>
      </c>
      <c r="I18837">
        <f>IF(DATOS!$I18837="","",IFERROR(VLOOKUP(DATOS!$I18837,CONFIG_ASIGNATURAS!$B$2:$J$91,9,FALSE()),""))</f>
      </c>
    </row>
    <row r="18838">
      <c r="F18838">
        <f>IF(DATOS!$A18838="","",DATOS!$A18838&amp;"|"&amp;DATOS!$D18838&amp;"|"&amp;DATOS!$E18838&amp;"|"&amp;DATOS!$I18838)</f>
      </c>
      <c r="G18838">
        <f>IF(DATOS!$A18838="",0,IF(CONFIG_METADATA!$B$4&lt;&gt;"OR+EX",--(DATOS!$G18838=CONFIG_METADATA!$B$4),IF(DATOS!$G18838="EX",1,IF(DATOS!$G18838="OR",--(COUNTIFS(nNIA,DATOS!$A18838,nCURSO,DATOS!$D18838,nESPEC,DATOS!$E18838,nASIG,DATOS!$I18838,nEVAL,"EX")=0),0))))</f>
      </c>
      <c r="H18838">
        <f>IF(DATOS!$G18838&lt;&gt;"EX",0,--(COUNTIFS(nNIA,DATOS!$A18838,nCURSO,DATOS!$D18838,nESPEC,DATOS!$E18838,nASIG,DATOS!$I18838,nEVAL,"OR")=0))</f>
      </c>
      <c r="I18838">
        <f>IF(DATOS!$I18838="","",IFERROR(VLOOKUP(DATOS!$I18838,CONFIG_ASIGNATURAS!$B$2:$J$91,9,FALSE()),""))</f>
      </c>
    </row>
    <row r="18839">
      <c r="F18839">
        <f>IF(DATOS!$A18839="","",DATOS!$A18839&amp;"|"&amp;DATOS!$D18839&amp;"|"&amp;DATOS!$E18839&amp;"|"&amp;DATOS!$I18839)</f>
      </c>
      <c r="G18839">
        <f>IF(DATOS!$A18839="",0,IF(CONFIG_METADATA!$B$4&lt;&gt;"OR+EX",--(DATOS!$G18839=CONFIG_METADATA!$B$4),IF(DATOS!$G18839="EX",1,IF(DATOS!$G18839="OR",--(COUNTIFS(nNIA,DATOS!$A18839,nCURSO,DATOS!$D18839,nESPEC,DATOS!$E18839,nASIG,DATOS!$I18839,nEVAL,"EX")=0),0))))</f>
      </c>
      <c r="H18839">
        <f>IF(DATOS!$G18839&lt;&gt;"EX",0,--(COUNTIFS(nNIA,DATOS!$A18839,nCURSO,DATOS!$D18839,nESPEC,DATOS!$E18839,nASIG,DATOS!$I18839,nEVAL,"OR")=0))</f>
      </c>
      <c r="I18839">
        <f>IF(DATOS!$I18839="","",IFERROR(VLOOKUP(DATOS!$I18839,CONFIG_ASIGNATURAS!$B$2:$J$91,9,FALSE()),""))</f>
      </c>
    </row>
    <row r="18840">
      <c r="F18840">
        <f>IF(DATOS!$A18840="","",DATOS!$A18840&amp;"|"&amp;DATOS!$D18840&amp;"|"&amp;DATOS!$E18840&amp;"|"&amp;DATOS!$I18840)</f>
      </c>
      <c r="G18840">
        <f>IF(DATOS!$A18840="",0,IF(CONFIG_METADATA!$B$4&lt;&gt;"OR+EX",--(DATOS!$G18840=CONFIG_METADATA!$B$4),IF(DATOS!$G18840="EX",1,IF(DATOS!$G18840="OR",--(COUNTIFS(nNIA,DATOS!$A18840,nCURSO,DATOS!$D18840,nESPEC,DATOS!$E18840,nASIG,DATOS!$I18840,nEVAL,"EX")=0),0))))</f>
      </c>
      <c r="H18840">
        <f>IF(DATOS!$G18840&lt;&gt;"EX",0,--(COUNTIFS(nNIA,DATOS!$A18840,nCURSO,DATOS!$D18840,nESPEC,DATOS!$E18840,nASIG,DATOS!$I18840,nEVAL,"OR")=0))</f>
      </c>
      <c r="I18840">
        <f>IF(DATOS!$I18840="","",IFERROR(VLOOKUP(DATOS!$I18840,CONFIG_ASIGNATURAS!$B$2:$J$91,9,FALSE()),""))</f>
      </c>
    </row>
    <row r="18841">
      <c r="F18841">
        <f>IF(DATOS!$A18841="","",DATOS!$A18841&amp;"|"&amp;DATOS!$D18841&amp;"|"&amp;DATOS!$E18841&amp;"|"&amp;DATOS!$I18841)</f>
      </c>
      <c r="G18841">
        <f>IF(DATOS!$A18841="",0,IF(CONFIG_METADATA!$B$4&lt;&gt;"OR+EX",--(DATOS!$G18841=CONFIG_METADATA!$B$4),IF(DATOS!$G18841="EX",1,IF(DATOS!$G18841="OR",--(COUNTIFS(nNIA,DATOS!$A18841,nCURSO,DATOS!$D18841,nESPEC,DATOS!$E18841,nASIG,DATOS!$I18841,nEVAL,"EX")=0),0))))</f>
      </c>
      <c r="H18841">
        <f>IF(DATOS!$G18841&lt;&gt;"EX",0,--(COUNTIFS(nNIA,DATOS!$A18841,nCURSO,DATOS!$D18841,nESPEC,DATOS!$E18841,nASIG,DATOS!$I18841,nEVAL,"OR")=0))</f>
      </c>
      <c r="I18841">
        <f>IF(DATOS!$I18841="","",IFERROR(VLOOKUP(DATOS!$I18841,CONFIG_ASIGNATURAS!$B$2:$J$91,9,FALSE()),""))</f>
      </c>
    </row>
    <row r="18842">
      <c r="F18842">
        <f>IF(DATOS!$A18842="","",DATOS!$A18842&amp;"|"&amp;DATOS!$D18842&amp;"|"&amp;DATOS!$E18842&amp;"|"&amp;DATOS!$I18842)</f>
      </c>
      <c r="G18842">
        <f>IF(DATOS!$A18842="",0,IF(CONFIG_METADATA!$B$4&lt;&gt;"OR+EX",--(DATOS!$G18842=CONFIG_METADATA!$B$4),IF(DATOS!$G18842="EX",1,IF(DATOS!$G18842="OR",--(COUNTIFS(nNIA,DATOS!$A18842,nCURSO,DATOS!$D18842,nESPEC,DATOS!$E18842,nASIG,DATOS!$I18842,nEVAL,"EX")=0),0))))</f>
      </c>
      <c r="H18842">
        <f>IF(DATOS!$G18842&lt;&gt;"EX",0,--(COUNTIFS(nNIA,DATOS!$A18842,nCURSO,DATOS!$D18842,nESPEC,DATOS!$E18842,nASIG,DATOS!$I18842,nEVAL,"OR")=0))</f>
      </c>
      <c r="I18842">
        <f>IF(DATOS!$I18842="","",IFERROR(VLOOKUP(DATOS!$I18842,CONFIG_ASIGNATURAS!$B$2:$J$91,9,FALSE()),""))</f>
      </c>
    </row>
    <row r="18843">
      <c r="F18843">
        <f>IF(DATOS!$A18843="","",DATOS!$A18843&amp;"|"&amp;DATOS!$D18843&amp;"|"&amp;DATOS!$E18843&amp;"|"&amp;DATOS!$I18843)</f>
      </c>
      <c r="G18843">
        <f>IF(DATOS!$A18843="",0,IF(CONFIG_METADATA!$B$4&lt;&gt;"OR+EX",--(DATOS!$G18843=CONFIG_METADATA!$B$4),IF(DATOS!$G18843="EX",1,IF(DATOS!$G18843="OR",--(COUNTIFS(nNIA,DATOS!$A18843,nCURSO,DATOS!$D18843,nESPEC,DATOS!$E18843,nASIG,DATOS!$I18843,nEVAL,"EX")=0),0))))</f>
      </c>
      <c r="H18843">
        <f>IF(DATOS!$G18843&lt;&gt;"EX",0,--(COUNTIFS(nNIA,DATOS!$A18843,nCURSO,DATOS!$D18843,nESPEC,DATOS!$E18843,nASIG,DATOS!$I18843,nEVAL,"OR")=0))</f>
      </c>
      <c r="I18843">
        <f>IF(DATOS!$I18843="","",IFERROR(VLOOKUP(DATOS!$I18843,CONFIG_ASIGNATURAS!$B$2:$J$91,9,FALSE()),""))</f>
      </c>
    </row>
    <row r="18844">
      <c r="F18844">
        <f>IF(DATOS!$A18844="","",DATOS!$A18844&amp;"|"&amp;DATOS!$D18844&amp;"|"&amp;DATOS!$E18844&amp;"|"&amp;DATOS!$I18844)</f>
      </c>
      <c r="G18844">
        <f>IF(DATOS!$A18844="",0,IF(CONFIG_METADATA!$B$4&lt;&gt;"OR+EX",--(DATOS!$G18844=CONFIG_METADATA!$B$4),IF(DATOS!$G18844="EX",1,IF(DATOS!$G18844="OR",--(COUNTIFS(nNIA,DATOS!$A18844,nCURSO,DATOS!$D18844,nESPEC,DATOS!$E18844,nASIG,DATOS!$I18844,nEVAL,"EX")=0),0))))</f>
      </c>
      <c r="H18844">
        <f>IF(DATOS!$G18844&lt;&gt;"EX",0,--(COUNTIFS(nNIA,DATOS!$A18844,nCURSO,DATOS!$D18844,nESPEC,DATOS!$E18844,nASIG,DATOS!$I18844,nEVAL,"OR")=0))</f>
      </c>
      <c r="I18844">
        <f>IF(DATOS!$I18844="","",IFERROR(VLOOKUP(DATOS!$I18844,CONFIG_ASIGNATURAS!$B$2:$J$91,9,FALSE()),""))</f>
      </c>
    </row>
    <row r="18845">
      <c r="F18845">
        <f>IF(DATOS!$A18845="","",DATOS!$A18845&amp;"|"&amp;DATOS!$D18845&amp;"|"&amp;DATOS!$E18845&amp;"|"&amp;DATOS!$I18845)</f>
      </c>
      <c r="G18845">
        <f>IF(DATOS!$A18845="",0,IF(CONFIG_METADATA!$B$4&lt;&gt;"OR+EX",--(DATOS!$G18845=CONFIG_METADATA!$B$4),IF(DATOS!$G18845="EX",1,IF(DATOS!$G18845="OR",--(COUNTIFS(nNIA,DATOS!$A18845,nCURSO,DATOS!$D18845,nESPEC,DATOS!$E18845,nASIG,DATOS!$I18845,nEVAL,"EX")=0),0))))</f>
      </c>
      <c r="H18845">
        <f>IF(DATOS!$G18845&lt;&gt;"EX",0,--(COUNTIFS(nNIA,DATOS!$A18845,nCURSO,DATOS!$D18845,nESPEC,DATOS!$E18845,nASIG,DATOS!$I18845,nEVAL,"OR")=0))</f>
      </c>
      <c r="I18845">
        <f>IF(DATOS!$I18845="","",IFERROR(VLOOKUP(DATOS!$I18845,CONFIG_ASIGNATURAS!$B$2:$J$91,9,FALSE()),""))</f>
      </c>
    </row>
    <row r="18846">
      <c r="F18846">
        <f>IF(DATOS!$A18846="","",DATOS!$A18846&amp;"|"&amp;DATOS!$D18846&amp;"|"&amp;DATOS!$E18846&amp;"|"&amp;DATOS!$I18846)</f>
      </c>
      <c r="G18846">
        <f>IF(DATOS!$A18846="",0,IF(CONFIG_METADATA!$B$4&lt;&gt;"OR+EX",--(DATOS!$G18846=CONFIG_METADATA!$B$4),IF(DATOS!$G18846="EX",1,IF(DATOS!$G18846="OR",--(COUNTIFS(nNIA,DATOS!$A18846,nCURSO,DATOS!$D18846,nESPEC,DATOS!$E18846,nASIG,DATOS!$I18846,nEVAL,"EX")=0),0))))</f>
      </c>
      <c r="H18846">
        <f>IF(DATOS!$G18846&lt;&gt;"EX",0,--(COUNTIFS(nNIA,DATOS!$A18846,nCURSO,DATOS!$D18846,nESPEC,DATOS!$E18846,nASIG,DATOS!$I18846,nEVAL,"OR")=0))</f>
      </c>
      <c r="I18846">
        <f>IF(DATOS!$I18846="","",IFERROR(VLOOKUP(DATOS!$I18846,CONFIG_ASIGNATURAS!$B$2:$J$91,9,FALSE()),""))</f>
      </c>
    </row>
    <row r="18847">
      <c r="F18847">
        <f>IF(DATOS!$A18847="","",DATOS!$A18847&amp;"|"&amp;DATOS!$D18847&amp;"|"&amp;DATOS!$E18847&amp;"|"&amp;DATOS!$I18847)</f>
      </c>
      <c r="G18847">
        <f>IF(DATOS!$A18847="",0,IF(CONFIG_METADATA!$B$4&lt;&gt;"OR+EX",--(DATOS!$G18847=CONFIG_METADATA!$B$4),IF(DATOS!$G18847="EX",1,IF(DATOS!$G18847="OR",--(COUNTIFS(nNIA,DATOS!$A18847,nCURSO,DATOS!$D18847,nESPEC,DATOS!$E18847,nASIG,DATOS!$I18847,nEVAL,"EX")=0),0))))</f>
      </c>
      <c r="H18847">
        <f>IF(DATOS!$G18847&lt;&gt;"EX",0,--(COUNTIFS(nNIA,DATOS!$A18847,nCURSO,DATOS!$D18847,nESPEC,DATOS!$E18847,nASIG,DATOS!$I18847,nEVAL,"OR")=0))</f>
      </c>
      <c r="I18847">
        <f>IF(DATOS!$I18847="","",IFERROR(VLOOKUP(DATOS!$I18847,CONFIG_ASIGNATURAS!$B$2:$J$91,9,FALSE()),""))</f>
      </c>
    </row>
    <row r="18848">
      <c r="F18848">
        <f>IF(DATOS!$A18848="","",DATOS!$A18848&amp;"|"&amp;DATOS!$D18848&amp;"|"&amp;DATOS!$E18848&amp;"|"&amp;DATOS!$I18848)</f>
      </c>
      <c r="G18848">
        <f>IF(DATOS!$A18848="",0,IF(CONFIG_METADATA!$B$4&lt;&gt;"OR+EX",--(DATOS!$G18848=CONFIG_METADATA!$B$4),IF(DATOS!$G18848="EX",1,IF(DATOS!$G18848="OR",--(COUNTIFS(nNIA,DATOS!$A18848,nCURSO,DATOS!$D18848,nESPEC,DATOS!$E18848,nASIG,DATOS!$I18848,nEVAL,"EX")=0),0))))</f>
      </c>
      <c r="H18848">
        <f>IF(DATOS!$G18848&lt;&gt;"EX",0,--(COUNTIFS(nNIA,DATOS!$A18848,nCURSO,DATOS!$D18848,nESPEC,DATOS!$E18848,nASIG,DATOS!$I18848,nEVAL,"OR")=0))</f>
      </c>
      <c r="I18848">
        <f>IF(DATOS!$I18848="","",IFERROR(VLOOKUP(DATOS!$I18848,CONFIG_ASIGNATURAS!$B$2:$J$91,9,FALSE()),""))</f>
      </c>
    </row>
    <row r="18849">
      <c r="F18849">
        <f>IF(DATOS!$A18849="","",DATOS!$A18849&amp;"|"&amp;DATOS!$D18849&amp;"|"&amp;DATOS!$E18849&amp;"|"&amp;DATOS!$I18849)</f>
      </c>
      <c r="G18849">
        <f>IF(DATOS!$A18849="",0,IF(CONFIG_METADATA!$B$4&lt;&gt;"OR+EX",--(DATOS!$G18849=CONFIG_METADATA!$B$4),IF(DATOS!$G18849="EX",1,IF(DATOS!$G18849="OR",--(COUNTIFS(nNIA,DATOS!$A18849,nCURSO,DATOS!$D18849,nESPEC,DATOS!$E18849,nASIG,DATOS!$I18849,nEVAL,"EX")=0),0))))</f>
      </c>
      <c r="H18849">
        <f>IF(DATOS!$G18849&lt;&gt;"EX",0,--(COUNTIFS(nNIA,DATOS!$A18849,nCURSO,DATOS!$D18849,nESPEC,DATOS!$E18849,nASIG,DATOS!$I18849,nEVAL,"OR")=0))</f>
      </c>
      <c r="I18849">
        <f>IF(DATOS!$I18849="","",IFERROR(VLOOKUP(DATOS!$I18849,CONFIG_ASIGNATURAS!$B$2:$J$91,9,FALSE()),""))</f>
      </c>
    </row>
    <row r="18850">
      <c r="F18850">
        <f>IF(DATOS!$A18850="","",DATOS!$A18850&amp;"|"&amp;DATOS!$D18850&amp;"|"&amp;DATOS!$E18850&amp;"|"&amp;DATOS!$I18850)</f>
      </c>
      <c r="G18850">
        <f>IF(DATOS!$A18850="",0,IF(CONFIG_METADATA!$B$4&lt;&gt;"OR+EX",--(DATOS!$G18850=CONFIG_METADATA!$B$4),IF(DATOS!$G18850="EX",1,IF(DATOS!$G18850="OR",--(COUNTIFS(nNIA,DATOS!$A18850,nCURSO,DATOS!$D18850,nESPEC,DATOS!$E18850,nASIG,DATOS!$I18850,nEVAL,"EX")=0),0))))</f>
      </c>
      <c r="H18850">
        <f>IF(DATOS!$G18850&lt;&gt;"EX",0,--(COUNTIFS(nNIA,DATOS!$A18850,nCURSO,DATOS!$D18850,nESPEC,DATOS!$E18850,nASIG,DATOS!$I18850,nEVAL,"OR")=0))</f>
      </c>
      <c r="I18850">
        <f>IF(DATOS!$I18850="","",IFERROR(VLOOKUP(DATOS!$I18850,CONFIG_ASIGNATURAS!$B$2:$J$91,9,FALSE()),""))</f>
      </c>
    </row>
    <row r="18851">
      <c r="F18851">
        <f>IF(DATOS!$A18851="","",DATOS!$A18851&amp;"|"&amp;DATOS!$D18851&amp;"|"&amp;DATOS!$E18851&amp;"|"&amp;DATOS!$I18851)</f>
      </c>
      <c r="G18851">
        <f>IF(DATOS!$A18851="",0,IF(CONFIG_METADATA!$B$4&lt;&gt;"OR+EX",--(DATOS!$G18851=CONFIG_METADATA!$B$4),IF(DATOS!$G18851="EX",1,IF(DATOS!$G18851="OR",--(COUNTIFS(nNIA,DATOS!$A18851,nCURSO,DATOS!$D18851,nESPEC,DATOS!$E18851,nASIG,DATOS!$I18851,nEVAL,"EX")=0),0))))</f>
      </c>
      <c r="H18851">
        <f>IF(DATOS!$G18851&lt;&gt;"EX",0,--(COUNTIFS(nNIA,DATOS!$A18851,nCURSO,DATOS!$D18851,nESPEC,DATOS!$E18851,nASIG,DATOS!$I18851,nEVAL,"OR")=0))</f>
      </c>
      <c r="I18851">
        <f>IF(DATOS!$I18851="","",IFERROR(VLOOKUP(DATOS!$I18851,CONFIG_ASIGNATURAS!$B$2:$J$91,9,FALSE()),""))</f>
      </c>
    </row>
    <row r="18852">
      <c r="F18852">
        <f>IF(DATOS!$A18852="","",DATOS!$A18852&amp;"|"&amp;DATOS!$D18852&amp;"|"&amp;DATOS!$E18852&amp;"|"&amp;DATOS!$I18852)</f>
      </c>
      <c r="G18852">
        <f>IF(DATOS!$A18852="",0,IF(CONFIG_METADATA!$B$4&lt;&gt;"OR+EX",--(DATOS!$G18852=CONFIG_METADATA!$B$4),IF(DATOS!$G18852="EX",1,IF(DATOS!$G18852="OR",--(COUNTIFS(nNIA,DATOS!$A18852,nCURSO,DATOS!$D18852,nESPEC,DATOS!$E18852,nASIG,DATOS!$I18852,nEVAL,"EX")=0),0))))</f>
      </c>
      <c r="H18852">
        <f>IF(DATOS!$G18852&lt;&gt;"EX",0,--(COUNTIFS(nNIA,DATOS!$A18852,nCURSO,DATOS!$D18852,nESPEC,DATOS!$E18852,nASIG,DATOS!$I18852,nEVAL,"OR")=0))</f>
      </c>
      <c r="I18852">
        <f>IF(DATOS!$I18852="","",IFERROR(VLOOKUP(DATOS!$I18852,CONFIG_ASIGNATURAS!$B$2:$J$91,9,FALSE()),""))</f>
      </c>
    </row>
    <row r="18853">
      <c r="F18853">
        <f>IF(DATOS!$A18853="","",DATOS!$A18853&amp;"|"&amp;DATOS!$D18853&amp;"|"&amp;DATOS!$E18853&amp;"|"&amp;DATOS!$I18853)</f>
      </c>
      <c r="G18853">
        <f>IF(DATOS!$A18853="",0,IF(CONFIG_METADATA!$B$4&lt;&gt;"OR+EX",--(DATOS!$G18853=CONFIG_METADATA!$B$4),IF(DATOS!$G18853="EX",1,IF(DATOS!$G18853="OR",--(COUNTIFS(nNIA,DATOS!$A18853,nCURSO,DATOS!$D18853,nESPEC,DATOS!$E18853,nASIG,DATOS!$I18853,nEVAL,"EX")=0),0))))</f>
      </c>
      <c r="H18853">
        <f>IF(DATOS!$G18853&lt;&gt;"EX",0,--(COUNTIFS(nNIA,DATOS!$A18853,nCURSO,DATOS!$D18853,nESPEC,DATOS!$E18853,nASIG,DATOS!$I18853,nEVAL,"OR")=0))</f>
      </c>
      <c r="I18853">
        <f>IF(DATOS!$I18853="","",IFERROR(VLOOKUP(DATOS!$I18853,CONFIG_ASIGNATURAS!$B$2:$J$91,9,FALSE()),""))</f>
      </c>
    </row>
    <row r="18854">
      <c r="F18854">
        <f>IF(DATOS!$A18854="","",DATOS!$A18854&amp;"|"&amp;DATOS!$D18854&amp;"|"&amp;DATOS!$E18854&amp;"|"&amp;DATOS!$I18854)</f>
      </c>
      <c r="G18854">
        <f>IF(DATOS!$A18854="",0,IF(CONFIG_METADATA!$B$4&lt;&gt;"OR+EX",--(DATOS!$G18854=CONFIG_METADATA!$B$4),IF(DATOS!$G18854="EX",1,IF(DATOS!$G18854="OR",--(COUNTIFS(nNIA,DATOS!$A18854,nCURSO,DATOS!$D18854,nESPEC,DATOS!$E18854,nASIG,DATOS!$I18854,nEVAL,"EX")=0),0))))</f>
      </c>
      <c r="H18854">
        <f>IF(DATOS!$G18854&lt;&gt;"EX",0,--(COUNTIFS(nNIA,DATOS!$A18854,nCURSO,DATOS!$D18854,nESPEC,DATOS!$E18854,nASIG,DATOS!$I18854,nEVAL,"OR")=0))</f>
      </c>
      <c r="I18854">
        <f>IF(DATOS!$I18854="","",IFERROR(VLOOKUP(DATOS!$I18854,CONFIG_ASIGNATURAS!$B$2:$J$91,9,FALSE()),""))</f>
      </c>
    </row>
    <row r="18855">
      <c r="F18855">
        <f>IF(DATOS!$A18855="","",DATOS!$A18855&amp;"|"&amp;DATOS!$D18855&amp;"|"&amp;DATOS!$E18855&amp;"|"&amp;DATOS!$I18855)</f>
      </c>
      <c r="G18855">
        <f>IF(DATOS!$A18855="",0,IF(CONFIG_METADATA!$B$4&lt;&gt;"OR+EX",--(DATOS!$G18855=CONFIG_METADATA!$B$4),IF(DATOS!$G18855="EX",1,IF(DATOS!$G18855="OR",--(COUNTIFS(nNIA,DATOS!$A18855,nCURSO,DATOS!$D18855,nESPEC,DATOS!$E18855,nASIG,DATOS!$I18855,nEVAL,"EX")=0),0))))</f>
      </c>
      <c r="H18855">
        <f>IF(DATOS!$G18855&lt;&gt;"EX",0,--(COUNTIFS(nNIA,DATOS!$A18855,nCURSO,DATOS!$D18855,nESPEC,DATOS!$E18855,nASIG,DATOS!$I18855,nEVAL,"OR")=0))</f>
      </c>
      <c r="I18855">
        <f>IF(DATOS!$I18855="","",IFERROR(VLOOKUP(DATOS!$I18855,CONFIG_ASIGNATURAS!$B$2:$J$91,9,FALSE()),""))</f>
      </c>
    </row>
    <row r="18856">
      <c r="F18856">
        <f>IF(DATOS!$A18856="","",DATOS!$A18856&amp;"|"&amp;DATOS!$D18856&amp;"|"&amp;DATOS!$E18856&amp;"|"&amp;DATOS!$I18856)</f>
      </c>
      <c r="G18856">
        <f>IF(DATOS!$A18856="",0,IF(CONFIG_METADATA!$B$4&lt;&gt;"OR+EX",--(DATOS!$G18856=CONFIG_METADATA!$B$4),IF(DATOS!$G18856="EX",1,IF(DATOS!$G18856="OR",--(COUNTIFS(nNIA,DATOS!$A18856,nCURSO,DATOS!$D18856,nESPEC,DATOS!$E18856,nASIG,DATOS!$I18856,nEVAL,"EX")=0),0))))</f>
      </c>
      <c r="H18856">
        <f>IF(DATOS!$G18856&lt;&gt;"EX",0,--(COUNTIFS(nNIA,DATOS!$A18856,nCURSO,DATOS!$D18856,nESPEC,DATOS!$E18856,nASIG,DATOS!$I18856,nEVAL,"OR")=0))</f>
      </c>
      <c r="I18856">
        <f>IF(DATOS!$I18856="","",IFERROR(VLOOKUP(DATOS!$I18856,CONFIG_ASIGNATURAS!$B$2:$J$91,9,FALSE()),""))</f>
      </c>
    </row>
    <row r="18857">
      <c r="F18857">
        <f>IF(DATOS!$A18857="","",DATOS!$A18857&amp;"|"&amp;DATOS!$D18857&amp;"|"&amp;DATOS!$E18857&amp;"|"&amp;DATOS!$I18857)</f>
      </c>
      <c r="G18857">
        <f>IF(DATOS!$A18857="",0,IF(CONFIG_METADATA!$B$4&lt;&gt;"OR+EX",--(DATOS!$G18857=CONFIG_METADATA!$B$4),IF(DATOS!$G18857="EX",1,IF(DATOS!$G18857="OR",--(COUNTIFS(nNIA,DATOS!$A18857,nCURSO,DATOS!$D18857,nESPEC,DATOS!$E18857,nASIG,DATOS!$I18857,nEVAL,"EX")=0),0))))</f>
      </c>
      <c r="H18857">
        <f>IF(DATOS!$G18857&lt;&gt;"EX",0,--(COUNTIFS(nNIA,DATOS!$A18857,nCURSO,DATOS!$D18857,nESPEC,DATOS!$E18857,nASIG,DATOS!$I18857,nEVAL,"OR")=0))</f>
      </c>
      <c r="I18857">
        <f>IF(DATOS!$I18857="","",IFERROR(VLOOKUP(DATOS!$I18857,CONFIG_ASIGNATURAS!$B$2:$J$91,9,FALSE()),""))</f>
      </c>
    </row>
    <row r="18858">
      <c r="F18858">
        <f>IF(DATOS!$A18858="","",DATOS!$A18858&amp;"|"&amp;DATOS!$D18858&amp;"|"&amp;DATOS!$E18858&amp;"|"&amp;DATOS!$I18858)</f>
      </c>
      <c r="G18858">
        <f>IF(DATOS!$A18858="",0,IF(CONFIG_METADATA!$B$4&lt;&gt;"OR+EX",--(DATOS!$G18858=CONFIG_METADATA!$B$4),IF(DATOS!$G18858="EX",1,IF(DATOS!$G18858="OR",--(COUNTIFS(nNIA,DATOS!$A18858,nCURSO,DATOS!$D18858,nESPEC,DATOS!$E18858,nASIG,DATOS!$I18858,nEVAL,"EX")=0),0))))</f>
      </c>
      <c r="H18858">
        <f>IF(DATOS!$G18858&lt;&gt;"EX",0,--(COUNTIFS(nNIA,DATOS!$A18858,nCURSO,DATOS!$D18858,nESPEC,DATOS!$E18858,nASIG,DATOS!$I18858,nEVAL,"OR")=0))</f>
      </c>
      <c r="I18858">
        <f>IF(DATOS!$I18858="","",IFERROR(VLOOKUP(DATOS!$I18858,CONFIG_ASIGNATURAS!$B$2:$J$91,9,FALSE()),""))</f>
      </c>
    </row>
    <row r="18859">
      <c r="F18859">
        <f>IF(DATOS!$A18859="","",DATOS!$A18859&amp;"|"&amp;DATOS!$D18859&amp;"|"&amp;DATOS!$E18859&amp;"|"&amp;DATOS!$I18859)</f>
      </c>
      <c r="G18859">
        <f>IF(DATOS!$A18859="",0,IF(CONFIG_METADATA!$B$4&lt;&gt;"OR+EX",--(DATOS!$G18859=CONFIG_METADATA!$B$4),IF(DATOS!$G18859="EX",1,IF(DATOS!$G18859="OR",--(COUNTIFS(nNIA,DATOS!$A18859,nCURSO,DATOS!$D18859,nESPEC,DATOS!$E18859,nASIG,DATOS!$I18859,nEVAL,"EX")=0),0))))</f>
      </c>
      <c r="H18859">
        <f>IF(DATOS!$G18859&lt;&gt;"EX",0,--(COUNTIFS(nNIA,DATOS!$A18859,nCURSO,DATOS!$D18859,nESPEC,DATOS!$E18859,nASIG,DATOS!$I18859,nEVAL,"OR")=0))</f>
      </c>
      <c r="I18859">
        <f>IF(DATOS!$I18859="","",IFERROR(VLOOKUP(DATOS!$I18859,CONFIG_ASIGNATURAS!$B$2:$J$91,9,FALSE()),""))</f>
      </c>
    </row>
    <row r="18860">
      <c r="F18860">
        <f>IF(DATOS!$A18860="","",DATOS!$A18860&amp;"|"&amp;DATOS!$D18860&amp;"|"&amp;DATOS!$E18860&amp;"|"&amp;DATOS!$I18860)</f>
      </c>
      <c r="G18860">
        <f>IF(DATOS!$A18860="",0,IF(CONFIG_METADATA!$B$4&lt;&gt;"OR+EX",--(DATOS!$G18860=CONFIG_METADATA!$B$4),IF(DATOS!$G18860="EX",1,IF(DATOS!$G18860="OR",--(COUNTIFS(nNIA,DATOS!$A18860,nCURSO,DATOS!$D18860,nESPEC,DATOS!$E18860,nASIG,DATOS!$I18860,nEVAL,"EX")=0),0))))</f>
      </c>
      <c r="H18860">
        <f>IF(DATOS!$G18860&lt;&gt;"EX",0,--(COUNTIFS(nNIA,DATOS!$A18860,nCURSO,DATOS!$D18860,nESPEC,DATOS!$E18860,nASIG,DATOS!$I18860,nEVAL,"OR")=0))</f>
      </c>
      <c r="I18860">
        <f>IF(DATOS!$I18860="","",IFERROR(VLOOKUP(DATOS!$I18860,CONFIG_ASIGNATURAS!$B$2:$J$91,9,FALSE()),""))</f>
      </c>
    </row>
    <row r="18861">
      <c r="F18861">
        <f>IF(DATOS!$A18861="","",DATOS!$A18861&amp;"|"&amp;DATOS!$D18861&amp;"|"&amp;DATOS!$E18861&amp;"|"&amp;DATOS!$I18861)</f>
      </c>
      <c r="G18861">
        <f>IF(DATOS!$A18861="",0,IF(CONFIG_METADATA!$B$4&lt;&gt;"OR+EX",--(DATOS!$G18861=CONFIG_METADATA!$B$4),IF(DATOS!$G18861="EX",1,IF(DATOS!$G18861="OR",--(COUNTIFS(nNIA,DATOS!$A18861,nCURSO,DATOS!$D18861,nESPEC,DATOS!$E18861,nASIG,DATOS!$I18861,nEVAL,"EX")=0),0))))</f>
      </c>
      <c r="H18861">
        <f>IF(DATOS!$G18861&lt;&gt;"EX",0,--(COUNTIFS(nNIA,DATOS!$A18861,nCURSO,DATOS!$D18861,nESPEC,DATOS!$E18861,nASIG,DATOS!$I18861,nEVAL,"OR")=0))</f>
      </c>
      <c r="I18861">
        <f>IF(DATOS!$I18861="","",IFERROR(VLOOKUP(DATOS!$I18861,CONFIG_ASIGNATURAS!$B$2:$J$91,9,FALSE()),""))</f>
      </c>
    </row>
    <row r="18862">
      <c r="F18862">
        <f>IF(DATOS!$A18862="","",DATOS!$A18862&amp;"|"&amp;DATOS!$D18862&amp;"|"&amp;DATOS!$E18862&amp;"|"&amp;DATOS!$I18862)</f>
      </c>
      <c r="G18862">
        <f>IF(DATOS!$A18862="",0,IF(CONFIG_METADATA!$B$4&lt;&gt;"OR+EX",--(DATOS!$G18862=CONFIG_METADATA!$B$4),IF(DATOS!$G18862="EX",1,IF(DATOS!$G18862="OR",--(COUNTIFS(nNIA,DATOS!$A18862,nCURSO,DATOS!$D18862,nESPEC,DATOS!$E18862,nASIG,DATOS!$I18862,nEVAL,"EX")=0),0))))</f>
      </c>
      <c r="H18862">
        <f>IF(DATOS!$G18862&lt;&gt;"EX",0,--(COUNTIFS(nNIA,DATOS!$A18862,nCURSO,DATOS!$D18862,nESPEC,DATOS!$E18862,nASIG,DATOS!$I18862,nEVAL,"OR")=0))</f>
      </c>
      <c r="I18862">
        <f>IF(DATOS!$I18862="","",IFERROR(VLOOKUP(DATOS!$I18862,CONFIG_ASIGNATURAS!$B$2:$J$91,9,FALSE()),""))</f>
      </c>
    </row>
    <row r="18863">
      <c r="F18863">
        <f>IF(DATOS!$A18863="","",DATOS!$A18863&amp;"|"&amp;DATOS!$D18863&amp;"|"&amp;DATOS!$E18863&amp;"|"&amp;DATOS!$I18863)</f>
      </c>
      <c r="G18863">
        <f>IF(DATOS!$A18863="",0,IF(CONFIG_METADATA!$B$4&lt;&gt;"OR+EX",--(DATOS!$G18863=CONFIG_METADATA!$B$4),IF(DATOS!$G18863="EX",1,IF(DATOS!$G18863="OR",--(COUNTIFS(nNIA,DATOS!$A18863,nCURSO,DATOS!$D18863,nESPEC,DATOS!$E18863,nASIG,DATOS!$I18863,nEVAL,"EX")=0),0))))</f>
      </c>
      <c r="H18863">
        <f>IF(DATOS!$G18863&lt;&gt;"EX",0,--(COUNTIFS(nNIA,DATOS!$A18863,nCURSO,DATOS!$D18863,nESPEC,DATOS!$E18863,nASIG,DATOS!$I18863,nEVAL,"OR")=0))</f>
      </c>
      <c r="I18863">
        <f>IF(DATOS!$I18863="","",IFERROR(VLOOKUP(DATOS!$I18863,CONFIG_ASIGNATURAS!$B$2:$J$91,9,FALSE()),""))</f>
      </c>
    </row>
    <row r="18864">
      <c r="F18864">
        <f>IF(DATOS!$A18864="","",DATOS!$A18864&amp;"|"&amp;DATOS!$D18864&amp;"|"&amp;DATOS!$E18864&amp;"|"&amp;DATOS!$I18864)</f>
      </c>
      <c r="G18864">
        <f>IF(DATOS!$A18864="",0,IF(CONFIG_METADATA!$B$4&lt;&gt;"OR+EX",--(DATOS!$G18864=CONFIG_METADATA!$B$4),IF(DATOS!$G18864="EX",1,IF(DATOS!$G18864="OR",--(COUNTIFS(nNIA,DATOS!$A18864,nCURSO,DATOS!$D18864,nESPEC,DATOS!$E18864,nASIG,DATOS!$I18864,nEVAL,"EX")=0),0))))</f>
      </c>
      <c r="H18864">
        <f>IF(DATOS!$G18864&lt;&gt;"EX",0,--(COUNTIFS(nNIA,DATOS!$A18864,nCURSO,DATOS!$D18864,nESPEC,DATOS!$E18864,nASIG,DATOS!$I18864,nEVAL,"OR")=0))</f>
      </c>
      <c r="I18864">
        <f>IF(DATOS!$I18864="","",IFERROR(VLOOKUP(DATOS!$I18864,CONFIG_ASIGNATURAS!$B$2:$J$91,9,FALSE()),""))</f>
      </c>
    </row>
    <row r="18865">
      <c r="F18865">
        <f>IF(DATOS!$A18865="","",DATOS!$A18865&amp;"|"&amp;DATOS!$D18865&amp;"|"&amp;DATOS!$E18865&amp;"|"&amp;DATOS!$I18865)</f>
      </c>
      <c r="G18865">
        <f>IF(DATOS!$A18865="",0,IF(CONFIG_METADATA!$B$4&lt;&gt;"OR+EX",--(DATOS!$G18865=CONFIG_METADATA!$B$4),IF(DATOS!$G18865="EX",1,IF(DATOS!$G18865="OR",--(COUNTIFS(nNIA,DATOS!$A18865,nCURSO,DATOS!$D18865,nESPEC,DATOS!$E18865,nASIG,DATOS!$I18865,nEVAL,"EX")=0),0))))</f>
      </c>
      <c r="H18865">
        <f>IF(DATOS!$G18865&lt;&gt;"EX",0,--(COUNTIFS(nNIA,DATOS!$A18865,nCURSO,DATOS!$D18865,nESPEC,DATOS!$E18865,nASIG,DATOS!$I18865,nEVAL,"OR")=0))</f>
      </c>
      <c r="I18865">
        <f>IF(DATOS!$I18865="","",IFERROR(VLOOKUP(DATOS!$I18865,CONFIG_ASIGNATURAS!$B$2:$J$91,9,FALSE()),""))</f>
      </c>
    </row>
    <row r="18866">
      <c r="F18866">
        <f>IF(DATOS!$A18866="","",DATOS!$A18866&amp;"|"&amp;DATOS!$D18866&amp;"|"&amp;DATOS!$E18866&amp;"|"&amp;DATOS!$I18866)</f>
      </c>
      <c r="G18866">
        <f>IF(DATOS!$A18866="",0,IF(CONFIG_METADATA!$B$4&lt;&gt;"OR+EX",--(DATOS!$G18866=CONFIG_METADATA!$B$4),IF(DATOS!$G18866="EX",1,IF(DATOS!$G18866="OR",--(COUNTIFS(nNIA,DATOS!$A18866,nCURSO,DATOS!$D18866,nESPEC,DATOS!$E18866,nASIG,DATOS!$I18866,nEVAL,"EX")=0),0))))</f>
      </c>
      <c r="H18866">
        <f>IF(DATOS!$G18866&lt;&gt;"EX",0,--(COUNTIFS(nNIA,DATOS!$A18866,nCURSO,DATOS!$D18866,nESPEC,DATOS!$E18866,nASIG,DATOS!$I18866,nEVAL,"OR")=0))</f>
      </c>
      <c r="I18866">
        <f>IF(DATOS!$I18866="","",IFERROR(VLOOKUP(DATOS!$I18866,CONFIG_ASIGNATURAS!$B$2:$J$91,9,FALSE()),""))</f>
      </c>
    </row>
    <row r="18867">
      <c r="F18867">
        <f>IF(DATOS!$A18867="","",DATOS!$A18867&amp;"|"&amp;DATOS!$D18867&amp;"|"&amp;DATOS!$E18867&amp;"|"&amp;DATOS!$I18867)</f>
      </c>
      <c r="G18867">
        <f>IF(DATOS!$A18867="",0,IF(CONFIG_METADATA!$B$4&lt;&gt;"OR+EX",--(DATOS!$G18867=CONFIG_METADATA!$B$4),IF(DATOS!$G18867="EX",1,IF(DATOS!$G18867="OR",--(COUNTIFS(nNIA,DATOS!$A18867,nCURSO,DATOS!$D18867,nESPEC,DATOS!$E18867,nASIG,DATOS!$I18867,nEVAL,"EX")=0),0))))</f>
      </c>
      <c r="H18867">
        <f>IF(DATOS!$G18867&lt;&gt;"EX",0,--(COUNTIFS(nNIA,DATOS!$A18867,nCURSO,DATOS!$D18867,nESPEC,DATOS!$E18867,nASIG,DATOS!$I18867,nEVAL,"OR")=0))</f>
      </c>
      <c r="I18867">
        <f>IF(DATOS!$I18867="","",IFERROR(VLOOKUP(DATOS!$I18867,CONFIG_ASIGNATURAS!$B$2:$J$91,9,FALSE()),""))</f>
      </c>
    </row>
    <row r="18868">
      <c r="F18868">
        <f>IF(DATOS!$A18868="","",DATOS!$A18868&amp;"|"&amp;DATOS!$D18868&amp;"|"&amp;DATOS!$E18868&amp;"|"&amp;DATOS!$I18868)</f>
      </c>
      <c r="G18868">
        <f>IF(DATOS!$A18868="",0,IF(CONFIG_METADATA!$B$4&lt;&gt;"OR+EX",--(DATOS!$G18868=CONFIG_METADATA!$B$4),IF(DATOS!$G18868="EX",1,IF(DATOS!$G18868="OR",--(COUNTIFS(nNIA,DATOS!$A18868,nCURSO,DATOS!$D18868,nESPEC,DATOS!$E18868,nASIG,DATOS!$I18868,nEVAL,"EX")=0),0))))</f>
      </c>
      <c r="H18868">
        <f>IF(DATOS!$G18868&lt;&gt;"EX",0,--(COUNTIFS(nNIA,DATOS!$A18868,nCURSO,DATOS!$D18868,nESPEC,DATOS!$E18868,nASIG,DATOS!$I18868,nEVAL,"OR")=0))</f>
      </c>
      <c r="I18868">
        <f>IF(DATOS!$I18868="","",IFERROR(VLOOKUP(DATOS!$I18868,CONFIG_ASIGNATURAS!$B$2:$J$91,9,FALSE()),""))</f>
      </c>
    </row>
    <row r="18869">
      <c r="F18869">
        <f>IF(DATOS!$A18869="","",DATOS!$A18869&amp;"|"&amp;DATOS!$D18869&amp;"|"&amp;DATOS!$E18869&amp;"|"&amp;DATOS!$I18869)</f>
      </c>
      <c r="G18869">
        <f>IF(DATOS!$A18869="",0,IF(CONFIG_METADATA!$B$4&lt;&gt;"OR+EX",--(DATOS!$G18869=CONFIG_METADATA!$B$4),IF(DATOS!$G18869="EX",1,IF(DATOS!$G18869="OR",--(COUNTIFS(nNIA,DATOS!$A18869,nCURSO,DATOS!$D18869,nESPEC,DATOS!$E18869,nASIG,DATOS!$I18869,nEVAL,"EX")=0),0))))</f>
      </c>
      <c r="H18869">
        <f>IF(DATOS!$G18869&lt;&gt;"EX",0,--(COUNTIFS(nNIA,DATOS!$A18869,nCURSO,DATOS!$D18869,nESPEC,DATOS!$E18869,nASIG,DATOS!$I18869,nEVAL,"OR")=0))</f>
      </c>
      <c r="I18869">
        <f>IF(DATOS!$I18869="","",IFERROR(VLOOKUP(DATOS!$I18869,CONFIG_ASIGNATURAS!$B$2:$J$91,9,FALSE()),""))</f>
      </c>
    </row>
    <row r="18870">
      <c r="F18870">
        <f>IF(DATOS!$A18870="","",DATOS!$A18870&amp;"|"&amp;DATOS!$D18870&amp;"|"&amp;DATOS!$E18870&amp;"|"&amp;DATOS!$I18870)</f>
      </c>
      <c r="G18870">
        <f>IF(DATOS!$A18870="",0,IF(CONFIG_METADATA!$B$4&lt;&gt;"OR+EX",--(DATOS!$G18870=CONFIG_METADATA!$B$4),IF(DATOS!$G18870="EX",1,IF(DATOS!$G18870="OR",--(COUNTIFS(nNIA,DATOS!$A18870,nCURSO,DATOS!$D18870,nESPEC,DATOS!$E18870,nASIG,DATOS!$I18870,nEVAL,"EX")=0),0))))</f>
      </c>
      <c r="H18870">
        <f>IF(DATOS!$G18870&lt;&gt;"EX",0,--(COUNTIFS(nNIA,DATOS!$A18870,nCURSO,DATOS!$D18870,nESPEC,DATOS!$E18870,nASIG,DATOS!$I18870,nEVAL,"OR")=0))</f>
      </c>
      <c r="I18870">
        <f>IF(DATOS!$I18870="","",IFERROR(VLOOKUP(DATOS!$I18870,CONFIG_ASIGNATURAS!$B$2:$J$91,9,FALSE()),""))</f>
      </c>
    </row>
    <row r="18871">
      <c r="F18871">
        <f>IF(DATOS!$A18871="","",DATOS!$A18871&amp;"|"&amp;DATOS!$D18871&amp;"|"&amp;DATOS!$E18871&amp;"|"&amp;DATOS!$I18871)</f>
      </c>
      <c r="G18871">
        <f>IF(DATOS!$A18871="",0,IF(CONFIG_METADATA!$B$4&lt;&gt;"OR+EX",--(DATOS!$G18871=CONFIG_METADATA!$B$4),IF(DATOS!$G18871="EX",1,IF(DATOS!$G18871="OR",--(COUNTIFS(nNIA,DATOS!$A18871,nCURSO,DATOS!$D18871,nESPEC,DATOS!$E18871,nASIG,DATOS!$I18871,nEVAL,"EX")=0),0))))</f>
      </c>
      <c r="H18871">
        <f>IF(DATOS!$G18871&lt;&gt;"EX",0,--(COUNTIFS(nNIA,DATOS!$A18871,nCURSO,DATOS!$D18871,nESPEC,DATOS!$E18871,nASIG,DATOS!$I18871,nEVAL,"OR")=0))</f>
      </c>
      <c r="I18871">
        <f>IF(DATOS!$I18871="","",IFERROR(VLOOKUP(DATOS!$I18871,CONFIG_ASIGNATURAS!$B$2:$J$91,9,FALSE()),""))</f>
      </c>
    </row>
    <row r="18872">
      <c r="F18872">
        <f>IF(DATOS!$A18872="","",DATOS!$A18872&amp;"|"&amp;DATOS!$D18872&amp;"|"&amp;DATOS!$E18872&amp;"|"&amp;DATOS!$I18872)</f>
      </c>
      <c r="G18872">
        <f>IF(DATOS!$A18872="",0,IF(CONFIG_METADATA!$B$4&lt;&gt;"OR+EX",--(DATOS!$G18872=CONFIG_METADATA!$B$4),IF(DATOS!$G18872="EX",1,IF(DATOS!$G18872="OR",--(COUNTIFS(nNIA,DATOS!$A18872,nCURSO,DATOS!$D18872,nESPEC,DATOS!$E18872,nASIG,DATOS!$I18872,nEVAL,"EX")=0),0))))</f>
      </c>
      <c r="H18872">
        <f>IF(DATOS!$G18872&lt;&gt;"EX",0,--(COUNTIFS(nNIA,DATOS!$A18872,nCURSO,DATOS!$D18872,nESPEC,DATOS!$E18872,nASIG,DATOS!$I18872,nEVAL,"OR")=0))</f>
      </c>
      <c r="I18872">
        <f>IF(DATOS!$I18872="","",IFERROR(VLOOKUP(DATOS!$I18872,CONFIG_ASIGNATURAS!$B$2:$J$91,9,FALSE()),""))</f>
      </c>
    </row>
    <row r="18873">
      <c r="F18873">
        <f>IF(DATOS!$A18873="","",DATOS!$A18873&amp;"|"&amp;DATOS!$D18873&amp;"|"&amp;DATOS!$E18873&amp;"|"&amp;DATOS!$I18873)</f>
      </c>
      <c r="G18873">
        <f>IF(DATOS!$A18873="",0,IF(CONFIG_METADATA!$B$4&lt;&gt;"OR+EX",--(DATOS!$G18873=CONFIG_METADATA!$B$4),IF(DATOS!$G18873="EX",1,IF(DATOS!$G18873="OR",--(COUNTIFS(nNIA,DATOS!$A18873,nCURSO,DATOS!$D18873,nESPEC,DATOS!$E18873,nASIG,DATOS!$I18873,nEVAL,"EX")=0),0))))</f>
      </c>
      <c r="H18873">
        <f>IF(DATOS!$G18873&lt;&gt;"EX",0,--(COUNTIFS(nNIA,DATOS!$A18873,nCURSO,DATOS!$D18873,nESPEC,DATOS!$E18873,nASIG,DATOS!$I18873,nEVAL,"OR")=0))</f>
      </c>
      <c r="I18873">
        <f>IF(DATOS!$I18873="","",IFERROR(VLOOKUP(DATOS!$I18873,CONFIG_ASIGNATURAS!$B$2:$J$91,9,FALSE()),""))</f>
      </c>
    </row>
    <row r="18874">
      <c r="F18874">
        <f>IF(DATOS!$A18874="","",DATOS!$A18874&amp;"|"&amp;DATOS!$D18874&amp;"|"&amp;DATOS!$E18874&amp;"|"&amp;DATOS!$I18874)</f>
      </c>
      <c r="G18874">
        <f>IF(DATOS!$A18874="",0,IF(CONFIG_METADATA!$B$4&lt;&gt;"OR+EX",--(DATOS!$G18874=CONFIG_METADATA!$B$4),IF(DATOS!$G18874="EX",1,IF(DATOS!$G18874="OR",--(COUNTIFS(nNIA,DATOS!$A18874,nCURSO,DATOS!$D18874,nESPEC,DATOS!$E18874,nASIG,DATOS!$I18874,nEVAL,"EX")=0),0))))</f>
      </c>
      <c r="H18874">
        <f>IF(DATOS!$G18874&lt;&gt;"EX",0,--(COUNTIFS(nNIA,DATOS!$A18874,nCURSO,DATOS!$D18874,nESPEC,DATOS!$E18874,nASIG,DATOS!$I18874,nEVAL,"OR")=0))</f>
      </c>
      <c r="I18874">
        <f>IF(DATOS!$I18874="","",IFERROR(VLOOKUP(DATOS!$I18874,CONFIG_ASIGNATURAS!$B$2:$J$91,9,FALSE()),""))</f>
      </c>
    </row>
    <row r="18875">
      <c r="F18875">
        <f>IF(DATOS!$A18875="","",DATOS!$A18875&amp;"|"&amp;DATOS!$D18875&amp;"|"&amp;DATOS!$E18875&amp;"|"&amp;DATOS!$I18875)</f>
      </c>
      <c r="G18875">
        <f>IF(DATOS!$A18875="",0,IF(CONFIG_METADATA!$B$4&lt;&gt;"OR+EX",--(DATOS!$G18875=CONFIG_METADATA!$B$4),IF(DATOS!$G18875="EX",1,IF(DATOS!$G18875="OR",--(COUNTIFS(nNIA,DATOS!$A18875,nCURSO,DATOS!$D18875,nESPEC,DATOS!$E18875,nASIG,DATOS!$I18875,nEVAL,"EX")=0),0))))</f>
      </c>
      <c r="H18875">
        <f>IF(DATOS!$G18875&lt;&gt;"EX",0,--(COUNTIFS(nNIA,DATOS!$A18875,nCURSO,DATOS!$D18875,nESPEC,DATOS!$E18875,nASIG,DATOS!$I18875,nEVAL,"OR")=0))</f>
      </c>
      <c r="I18875">
        <f>IF(DATOS!$I18875="","",IFERROR(VLOOKUP(DATOS!$I18875,CONFIG_ASIGNATURAS!$B$2:$J$91,9,FALSE()),""))</f>
      </c>
    </row>
    <row r="18876">
      <c r="F18876">
        <f>IF(DATOS!$A18876="","",DATOS!$A18876&amp;"|"&amp;DATOS!$D18876&amp;"|"&amp;DATOS!$E18876&amp;"|"&amp;DATOS!$I18876)</f>
      </c>
      <c r="G18876">
        <f>IF(DATOS!$A18876="",0,IF(CONFIG_METADATA!$B$4&lt;&gt;"OR+EX",--(DATOS!$G18876=CONFIG_METADATA!$B$4),IF(DATOS!$G18876="EX",1,IF(DATOS!$G18876="OR",--(COUNTIFS(nNIA,DATOS!$A18876,nCURSO,DATOS!$D18876,nESPEC,DATOS!$E18876,nASIG,DATOS!$I18876,nEVAL,"EX")=0),0))))</f>
      </c>
      <c r="H18876">
        <f>IF(DATOS!$G18876&lt;&gt;"EX",0,--(COUNTIFS(nNIA,DATOS!$A18876,nCURSO,DATOS!$D18876,nESPEC,DATOS!$E18876,nASIG,DATOS!$I18876,nEVAL,"OR")=0))</f>
      </c>
      <c r="I18876">
        <f>IF(DATOS!$I18876="","",IFERROR(VLOOKUP(DATOS!$I18876,CONFIG_ASIGNATURAS!$B$2:$J$91,9,FALSE()),""))</f>
      </c>
    </row>
    <row r="18877">
      <c r="F18877">
        <f>IF(DATOS!$A18877="","",DATOS!$A18877&amp;"|"&amp;DATOS!$D18877&amp;"|"&amp;DATOS!$E18877&amp;"|"&amp;DATOS!$I18877)</f>
      </c>
      <c r="G18877">
        <f>IF(DATOS!$A18877="",0,IF(CONFIG_METADATA!$B$4&lt;&gt;"OR+EX",--(DATOS!$G18877=CONFIG_METADATA!$B$4),IF(DATOS!$G18877="EX",1,IF(DATOS!$G18877="OR",--(COUNTIFS(nNIA,DATOS!$A18877,nCURSO,DATOS!$D18877,nESPEC,DATOS!$E18877,nASIG,DATOS!$I18877,nEVAL,"EX")=0),0))))</f>
      </c>
      <c r="H18877">
        <f>IF(DATOS!$G18877&lt;&gt;"EX",0,--(COUNTIFS(nNIA,DATOS!$A18877,nCURSO,DATOS!$D18877,nESPEC,DATOS!$E18877,nASIG,DATOS!$I18877,nEVAL,"OR")=0))</f>
      </c>
      <c r="I18877">
        <f>IF(DATOS!$I18877="","",IFERROR(VLOOKUP(DATOS!$I18877,CONFIG_ASIGNATURAS!$B$2:$J$91,9,FALSE()),""))</f>
      </c>
    </row>
    <row r="18878">
      <c r="F18878">
        <f>IF(DATOS!$A18878="","",DATOS!$A18878&amp;"|"&amp;DATOS!$D18878&amp;"|"&amp;DATOS!$E18878&amp;"|"&amp;DATOS!$I18878)</f>
      </c>
      <c r="G18878">
        <f>IF(DATOS!$A18878="",0,IF(CONFIG_METADATA!$B$4&lt;&gt;"OR+EX",--(DATOS!$G18878=CONFIG_METADATA!$B$4),IF(DATOS!$G18878="EX",1,IF(DATOS!$G18878="OR",--(COUNTIFS(nNIA,DATOS!$A18878,nCURSO,DATOS!$D18878,nESPEC,DATOS!$E18878,nASIG,DATOS!$I18878,nEVAL,"EX")=0),0))))</f>
      </c>
      <c r="H18878">
        <f>IF(DATOS!$G18878&lt;&gt;"EX",0,--(COUNTIFS(nNIA,DATOS!$A18878,nCURSO,DATOS!$D18878,nESPEC,DATOS!$E18878,nASIG,DATOS!$I18878,nEVAL,"OR")=0))</f>
      </c>
      <c r="I18878">
        <f>IF(DATOS!$I18878="","",IFERROR(VLOOKUP(DATOS!$I18878,CONFIG_ASIGNATURAS!$B$2:$J$91,9,FALSE()),""))</f>
      </c>
    </row>
    <row r="18879">
      <c r="F18879">
        <f>IF(DATOS!$A18879="","",DATOS!$A18879&amp;"|"&amp;DATOS!$D18879&amp;"|"&amp;DATOS!$E18879&amp;"|"&amp;DATOS!$I18879)</f>
      </c>
      <c r="G18879">
        <f>IF(DATOS!$A18879="",0,IF(CONFIG_METADATA!$B$4&lt;&gt;"OR+EX",--(DATOS!$G18879=CONFIG_METADATA!$B$4),IF(DATOS!$G18879="EX",1,IF(DATOS!$G18879="OR",--(COUNTIFS(nNIA,DATOS!$A18879,nCURSO,DATOS!$D18879,nESPEC,DATOS!$E18879,nASIG,DATOS!$I18879,nEVAL,"EX")=0),0))))</f>
      </c>
      <c r="H18879">
        <f>IF(DATOS!$G18879&lt;&gt;"EX",0,--(COUNTIFS(nNIA,DATOS!$A18879,nCURSO,DATOS!$D18879,nESPEC,DATOS!$E18879,nASIG,DATOS!$I18879,nEVAL,"OR")=0))</f>
      </c>
      <c r="I18879">
        <f>IF(DATOS!$I18879="","",IFERROR(VLOOKUP(DATOS!$I18879,CONFIG_ASIGNATURAS!$B$2:$J$91,9,FALSE()),""))</f>
      </c>
    </row>
    <row r="18880">
      <c r="F18880">
        <f>IF(DATOS!$A18880="","",DATOS!$A18880&amp;"|"&amp;DATOS!$D18880&amp;"|"&amp;DATOS!$E18880&amp;"|"&amp;DATOS!$I18880)</f>
      </c>
      <c r="G18880">
        <f>IF(DATOS!$A18880="",0,IF(CONFIG_METADATA!$B$4&lt;&gt;"OR+EX",--(DATOS!$G18880=CONFIG_METADATA!$B$4),IF(DATOS!$G18880="EX",1,IF(DATOS!$G18880="OR",--(COUNTIFS(nNIA,DATOS!$A18880,nCURSO,DATOS!$D18880,nESPEC,DATOS!$E18880,nASIG,DATOS!$I18880,nEVAL,"EX")=0),0))))</f>
      </c>
      <c r="H18880">
        <f>IF(DATOS!$G18880&lt;&gt;"EX",0,--(COUNTIFS(nNIA,DATOS!$A18880,nCURSO,DATOS!$D18880,nESPEC,DATOS!$E18880,nASIG,DATOS!$I18880,nEVAL,"OR")=0))</f>
      </c>
      <c r="I18880">
        <f>IF(DATOS!$I18880="","",IFERROR(VLOOKUP(DATOS!$I18880,CONFIG_ASIGNATURAS!$B$2:$J$91,9,FALSE()),""))</f>
      </c>
    </row>
    <row r="18881">
      <c r="F18881">
        <f>IF(DATOS!$A18881="","",DATOS!$A18881&amp;"|"&amp;DATOS!$D18881&amp;"|"&amp;DATOS!$E18881&amp;"|"&amp;DATOS!$I18881)</f>
      </c>
      <c r="G18881">
        <f>IF(DATOS!$A18881="",0,IF(CONFIG_METADATA!$B$4&lt;&gt;"OR+EX",--(DATOS!$G18881=CONFIG_METADATA!$B$4),IF(DATOS!$G18881="EX",1,IF(DATOS!$G18881="OR",--(COUNTIFS(nNIA,DATOS!$A18881,nCURSO,DATOS!$D18881,nESPEC,DATOS!$E18881,nASIG,DATOS!$I18881,nEVAL,"EX")=0),0))))</f>
      </c>
      <c r="H18881">
        <f>IF(DATOS!$G18881&lt;&gt;"EX",0,--(COUNTIFS(nNIA,DATOS!$A18881,nCURSO,DATOS!$D18881,nESPEC,DATOS!$E18881,nASIG,DATOS!$I18881,nEVAL,"OR")=0))</f>
      </c>
      <c r="I18881">
        <f>IF(DATOS!$I18881="","",IFERROR(VLOOKUP(DATOS!$I18881,CONFIG_ASIGNATURAS!$B$2:$J$91,9,FALSE()),""))</f>
      </c>
    </row>
    <row r="18882">
      <c r="F18882">
        <f>IF(DATOS!$A18882="","",DATOS!$A18882&amp;"|"&amp;DATOS!$D18882&amp;"|"&amp;DATOS!$E18882&amp;"|"&amp;DATOS!$I18882)</f>
      </c>
      <c r="G18882">
        <f>IF(DATOS!$A18882="",0,IF(CONFIG_METADATA!$B$4&lt;&gt;"OR+EX",--(DATOS!$G18882=CONFIG_METADATA!$B$4),IF(DATOS!$G18882="EX",1,IF(DATOS!$G18882="OR",--(COUNTIFS(nNIA,DATOS!$A18882,nCURSO,DATOS!$D18882,nESPEC,DATOS!$E18882,nASIG,DATOS!$I18882,nEVAL,"EX")=0),0))))</f>
      </c>
      <c r="H18882">
        <f>IF(DATOS!$G18882&lt;&gt;"EX",0,--(COUNTIFS(nNIA,DATOS!$A18882,nCURSO,DATOS!$D18882,nESPEC,DATOS!$E18882,nASIG,DATOS!$I18882,nEVAL,"OR")=0))</f>
      </c>
      <c r="I18882">
        <f>IF(DATOS!$I18882="","",IFERROR(VLOOKUP(DATOS!$I18882,CONFIG_ASIGNATURAS!$B$2:$J$91,9,FALSE()),""))</f>
      </c>
    </row>
    <row r="18883">
      <c r="F18883">
        <f>IF(DATOS!$A18883="","",DATOS!$A18883&amp;"|"&amp;DATOS!$D18883&amp;"|"&amp;DATOS!$E18883&amp;"|"&amp;DATOS!$I18883)</f>
      </c>
      <c r="G18883">
        <f>IF(DATOS!$A18883="",0,IF(CONFIG_METADATA!$B$4&lt;&gt;"OR+EX",--(DATOS!$G18883=CONFIG_METADATA!$B$4),IF(DATOS!$G18883="EX",1,IF(DATOS!$G18883="OR",--(COUNTIFS(nNIA,DATOS!$A18883,nCURSO,DATOS!$D18883,nESPEC,DATOS!$E18883,nASIG,DATOS!$I18883,nEVAL,"EX")=0),0))))</f>
      </c>
      <c r="H18883">
        <f>IF(DATOS!$G18883&lt;&gt;"EX",0,--(COUNTIFS(nNIA,DATOS!$A18883,nCURSO,DATOS!$D18883,nESPEC,DATOS!$E18883,nASIG,DATOS!$I18883,nEVAL,"OR")=0))</f>
      </c>
      <c r="I18883">
        <f>IF(DATOS!$I18883="","",IFERROR(VLOOKUP(DATOS!$I18883,CONFIG_ASIGNATURAS!$B$2:$J$91,9,FALSE()),""))</f>
      </c>
    </row>
    <row r="18884">
      <c r="F18884">
        <f>IF(DATOS!$A18884="","",DATOS!$A18884&amp;"|"&amp;DATOS!$D18884&amp;"|"&amp;DATOS!$E18884&amp;"|"&amp;DATOS!$I18884)</f>
      </c>
      <c r="G18884">
        <f>IF(DATOS!$A18884="",0,IF(CONFIG_METADATA!$B$4&lt;&gt;"OR+EX",--(DATOS!$G18884=CONFIG_METADATA!$B$4),IF(DATOS!$G18884="EX",1,IF(DATOS!$G18884="OR",--(COUNTIFS(nNIA,DATOS!$A18884,nCURSO,DATOS!$D18884,nESPEC,DATOS!$E18884,nASIG,DATOS!$I18884,nEVAL,"EX")=0),0))))</f>
      </c>
      <c r="H18884">
        <f>IF(DATOS!$G18884&lt;&gt;"EX",0,--(COUNTIFS(nNIA,DATOS!$A18884,nCURSO,DATOS!$D18884,nESPEC,DATOS!$E18884,nASIG,DATOS!$I18884,nEVAL,"OR")=0))</f>
      </c>
      <c r="I18884">
        <f>IF(DATOS!$I18884="","",IFERROR(VLOOKUP(DATOS!$I18884,CONFIG_ASIGNATURAS!$B$2:$J$91,9,FALSE()),""))</f>
      </c>
    </row>
    <row r="18885">
      <c r="F18885">
        <f>IF(DATOS!$A18885="","",DATOS!$A18885&amp;"|"&amp;DATOS!$D18885&amp;"|"&amp;DATOS!$E18885&amp;"|"&amp;DATOS!$I18885)</f>
      </c>
      <c r="G18885">
        <f>IF(DATOS!$A18885="",0,IF(CONFIG_METADATA!$B$4&lt;&gt;"OR+EX",--(DATOS!$G18885=CONFIG_METADATA!$B$4),IF(DATOS!$G18885="EX",1,IF(DATOS!$G18885="OR",--(COUNTIFS(nNIA,DATOS!$A18885,nCURSO,DATOS!$D18885,nESPEC,DATOS!$E18885,nASIG,DATOS!$I18885,nEVAL,"EX")=0),0))))</f>
      </c>
      <c r="H18885">
        <f>IF(DATOS!$G18885&lt;&gt;"EX",0,--(COUNTIFS(nNIA,DATOS!$A18885,nCURSO,DATOS!$D18885,nESPEC,DATOS!$E18885,nASIG,DATOS!$I18885,nEVAL,"OR")=0))</f>
      </c>
      <c r="I18885">
        <f>IF(DATOS!$I18885="","",IFERROR(VLOOKUP(DATOS!$I18885,CONFIG_ASIGNATURAS!$B$2:$J$91,9,FALSE()),""))</f>
      </c>
    </row>
    <row r="18886">
      <c r="F18886">
        <f>IF(DATOS!$A18886="","",DATOS!$A18886&amp;"|"&amp;DATOS!$D18886&amp;"|"&amp;DATOS!$E18886&amp;"|"&amp;DATOS!$I18886)</f>
      </c>
      <c r="G18886">
        <f>IF(DATOS!$A18886="",0,IF(CONFIG_METADATA!$B$4&lt;&gt;"OR+EX",--(DATOS!$G18886=CONFIG_METADATA!$B$4),IF(DATOS!$G18886="EX",1,IF(DATOS!$G18886="OR",--(COUNTIFS(nNIA,DATOS!$A18886,nCURSO,DATOS!$D18886,nESPEC,DATOS!$E18886,nASIG,DATOS!$I18886,nEVAL,"EX")=0),0))))</f>
      </c>
      <c r="H18886">
        <f>IF(DATOS!$G18886&lt;&gt;"EX",0,--(COUNTIFS(nNIA,DATOS!$A18886,nCURSO,DATOS!$D18886,nESPEC,DATOS!$E18886,nASIG,DATOS!$I18886,nEVAL,"OR")=0))</f>
      </c>
      <c r="I18886">
        <f>IF(DATOS!$I18886="","",IFERROR(VLOOKUP(DATOS!$I18886,CONFIG_ASIGNATURAS!$B$2:$J$91,9,FALSE()),""))</f>
      </c>
    </row>
    <row r="18887">
      <c r="F18887">
        <f>IF(DATOS!$A18887="","",DATOS!$A18887&amp;"|"&amp;DATOS!$D18887&amp;"|"&amp;DATOS!$E18887&amp;"|"&amp;DATOS!$I18887)</f>
      </c>
      <c r="G18887">
        <f>IF(DATOS!$A18887="",0,IF(CONFIG_METADATA!$B$4&lt;&gt;"OR+EX",--(DATOS!$G18887=CONFIG_METADATA!$B$4),IF(DATOS!$G18887="EX",1,IF(DATOS!$G18887="OR",--(COUNTIFS(nNIA,DATOS!$A18887,nCURSO,DATOS!$D18887,nESPEC,DATOS!$E18887,nASIG,DATOS!$I18887,nEVAL,"EX")=0),0))))</f>
      </c>
      <c r="H18887">
        <f>IF(DATOS!$G18887&lt;&gt;"EX",0,--(COUNTIFS(nNIA,DATOS!$A18887,nCURSO,DATOS!$D18887,nESPEC,DATOS!$E18887,nASIG,DATOS!$I18887,nEVAL,"OR")=0))</f>
      </c>
      <c r="I18887">
        <f>IF(DATOS!$I18887="","",IFERROR(VLOOKUP(DATOS!$I18887,CONFIG_ASIGNATURAS!$B$2:$J$91,9,FALSE()),""))</f>
      </c>
    </row>
    <row r="18888">
      <c r="F18888">
        <f>IF(DATOS!$A18888="","",DATOS!$A18888&amp;"|"&amp;DATOS!$D18888&amp;"|"&amp;DATOS!$E18888&amp;"|"&amp;DATOS!$I18888)</f>
      </c>
      <c r="G18888">
        <f>IF(DATOS!$A18888="",0,IF(CONFIG_METADATA!$B$4&lt;&gt;"OR+EX",--(DATOS!$G18888=CONFIG_METADATA!$B$4),IF(DATOS!$G18888="EX",1,IF(DATOS!$G18888="OR",--(COUNTIFS(nNIA,DATOS!$A18888,nCURSO,DATOS!$D18888,nESPEC,DATOS!$E18888,nASIG,DATOS!$I18888,nEVAL,"EX")=0),0))))</f>
      </c>
      <c r="H18888">
        <f>IF(DATOS!$G18888&lt;&gt;"EX",0,--(COUNTIFS(nNIA,DATOS!$A18888,nCURSO,DATOS!$D18888,nESPEC,DATOS!$E18888,nASIG,DATOS!$I18888,nEVAL,"OR")=0))</f>
      </c>
      <c r="I18888">
        <f>IF(DATOS!$I18888="","",IFERROR(VLOOKUP(DATOS!$I18888,CONFIG_ASIGNATURAS!$B$2:$J$91,9,FALSE()),""))</f>
      </c>
    </row>
    <row r="18889">
      <c r="F18889">
        <f>IF(DATOS!$A18889="","",DATOS!$A18889&amp;"|"&amp;DATOS!$D18889&amp;"|"&amp;DATOS!$E18889&amp;"|"&amp;DATOS!$I18889)</f>
      </c>
      <c r="G18889">
        <f>IF(DATOS!$A18889="",0,IF(CONFIG_METADATA!$B$4&lt;&gt;"OR+EX",--(DATOS!$G18889=CONFIG_METADATA!$B$4),IF(DATOS!$G18889="EX",1,IF(DATOS!$G18889="OR",--(COUNTIFS(nNIA,DATOS!$A18889,nCURSO,DATOS!$D18889,nESPEC,DATOS!$E18889,nASIG,DATOS!$I18889,nEVAL,"EX")=0),0))))</f>
      </c>
      <c r="H18889">
        <f>IF(DATOS!$G18889&lt;&gt;"EX",0,--(COUNTIFS(nNIA,DATOS!$A18889,nCURSO,DATOS!$D18889,nESPEC,DATOS!$E18889,nASIG,DATOS!$I18889,nEVAL,"OR")=0))</f>
      </c>
      <c r="I18889">
        <f>IF(DATOS!$I18889="","",IFERROR(VLOOKUP(DATOS!$I18889,CONFIG_ASIGNATURAS!$B$2:$J$91,9,FALSE()),""))</f>
      </c>
    </row>
    <row r="18890">
      <c r="F18890">
        <f>IF(DATOS!$A18890="","",DATOS!$A18890&amp;"|"&amp;DATOS!$D18890&amp;"|"&amp;DATOS!$E18890&amp;"|"&amp;DATOS!$I18890)</f>
      </c>
      <c r="G18890">
        <f>IF(DATOS!$A18890="",0,IF(CONFIG_METADATA!$B$4&lt;&gt;"OR+EX",--(DATOS!$G18890=CONFIG_METADATA!$B$4),IF(DATOS!$G18890="EX",1,IF(DATOS!$G18890="OR",--(COUNTIFS(nNIA,DATOS!$A18890,nCURSO,DATOS!$D18890,nESPEC,DATOS!$E18890,nASIG,DATOS!$I18890,nEVAL,"EX")=0),0))))</f>
      </c>
      <c r="H18890">
        <f>IF(DATOS!$G18890&lt;&gt;"EX",0,--(COUNTIFS(nNIA,DATOS!$A18890,nCURSO,DATOS!$D18890,nESPEC,DATOS!$E18890,nASIG,DATOS!$I18890,nEVAL,"OR")=0))</f>
      </c>
      <c r="I18890">
        <f>IF(DATOS!$I18890="","",IFERROR(VLOOKUP(DATOS!$I18890,CONFIG_ASIGNATURAS!$B$2:$J$91,9,FALSE()),""))</f>
      </c>
    </row>
    <row r="18891">
      <c r="F18891">
        <f>IF(DATOS!$A18891="","",DATOS!$A18891&amp;"|"&amp;DATOS!$D18891&amp;"|"&amp;DATOS!$E18891&amp;"|"&amp;DATOS!$I18891)</f>
      </c>
      <c r="G18891">
        <f>IF(DATOS!$A18891="",0,IF(CONFIG_METADATA!$B$4&lt;&gt;"OR+EX",--(DATOS!$G18891=CONFIG_METADATA!$B$4),IF(DATOS!$G18891="EX",1,IF(DATOS!$G18891="OR",--(COUNTIFS(nNIA,DATOS!$A18891,nCURSO,DATOS!$D18891,nESPEC,DATOS!$E18891,nASIG,DATOS!$I18891,nEVAL,"EX")=0),0))))</f>
      </c>
      <c r="H18891">
        <f>IF(DATOS!$G18891&lt;&gt;"EX",0,--(COUNTIFS(nNIA,DATOS!$A18891,nCURSO,DATOS!$D18891,nESPEC,DATOS!$E18891,nASIG,DATOS!$I18891,nEVAL,"OR")=0))</f>
      </c>
      <c r="I18891">
        <f>IF(DATOS!$I18891="","",IFERROR(VLOOKUP(DATOS!$I18891,CONFIG_ASIGNATURAS!$B$2:$J$91,9,FALSE()),""))</f>
      </c>
    </row>
    <row r="18892">
      <c r="F18892">
        <f>IF(DATOS!$A18892="","",DATOS!$A18892&amp;"|"&amp;DATOS!$D18892&amp;"|"&amp;DATOS!$E18892&amp;"|"&amp;DATOS!$I18892)</f>
      </c>
      <c r="G18892">
        <f>IF(DATOS!$A18892="",0,IF(CONFIG_METADATA!$B$4&lt;&gt;"OR+EX",--(DATOS!$G18892=CONFIG_METADATA!$B$4),IF(DATOS!$G18892="EX",1,IF(DATOS!$G18892="OR",--(COUNTIFS(nNIA,DATOS!$A18892,nCURSO,DATOS!$D18892,nESPEC,DATOS!$E18892,nASIG,DATOS!$I18892,nEVAL,"EX")=0),0))))</f>
      </c>
      <c r="H18892">
        <f>IF(DATOS!$G18892&lt;&gt;"EX",0,--(COUNTIFS(nNIA,DATOS!$A18892,nCURSO,DATOS!$D18892,nESPEC,DATOS!$E18892,nASIG,DATOS!$I18892,nEVAL,"OR")=0))</f>
      </c>
      <c r="I18892">
        <f>IF(DATOS!$I18892="","",IFERROR(VLOOKUP(DATOS!$I18892,CONFIG_ASIGNATURAS!$B$2:$J$91,9,FALSE()),""))</f>
      </c>
    </row>
    <row r="18893">
      <c r="F18893">
        <f>IF(DATOS!$A18893="","",DATOS!$A18893&amp;"|"&amp;DATOS!$D18893&amp;"|"&amp;DATOS!$E18893&amp;"|"&amp;DATOS!$I18893)</f>
      </c>
      <c r="G18893">
        <f>IF(DATOS!$A18893="",0,IF(CONFIG_METADATA!$B$4&lt;&gt;"OR+EX",--(DATOS!$G18893=CONFIG_METADATA!$B$4),IF(DATOS!$G18893="EX",1,IF(DATOS!$G18893="OR",--(COUNTIFS(nNIA,DATOS!$A18893,nCURSO,DATOS!$D18893,nESPEC,DATOS!$E18893,nASIG,DATOS!$I18893,nEVAL,"EX")=0),0))))</f>
      </c>
      <c r="H18893">
        <f>IF(DATOS!$G18893&lt;&gt;"EX",0,--(COUNTIFS(nNIA,DATOS!$A18893,nCURSO,DATOS!$D18893,nESPEC,DATOS!$E18893,nASIG,DATOS!$I18893,nEVAL,"OR")=0))</f>
      </c>
      <c r="I18893">
        <f>IF(DATOS!$I18893="","",IFERROR(VLOOKUP(DATOS!$I18893,CONFIG_ASIGNATURAS!$B$2:$J$91,9,FALSE()),""))</f>
      </c>
    </row>
    <row r="18894">
      <c r="F18894">
        <f>IF(DATOS!$A18894="","",DATOS!$A18894&amp;"|"&amp;DATOS!$D18894&amp;"|"&amp;DATOS!$E18894&amp;"|"&amp;DATOS!$I18894)</f>
      </c>
      <c r="G18894">
        <f>IF(DATOS!$A18894="",0,IF(CONFIG_METADATA!$B$4&lt;&gt;"OR+EX",--(DATOS!$G18894=CONFIG_METADATA!$B$4),IF(DATOS!$G18894="EX",1,IF(DATOS!$G18894="OR",--(COUNTIFS(nNIA,DATOS!$A18894,nCURSO,DATOS!$D18894,nESPEC,DATOS!$E18894,nASIG,DATOS!$I18894,nEVAL,"EX")=0),0))))</f>
      </c>
      <c r="H18894">
        <f>IF(DATOS!$G18894&lt;&gt;"EX",0,--(COUNTIFS(nNIA,DATOS!$A18894,nCURSO,DATOS!$D18894,nESPEC,DATOS!$E18894,nASIG,DATOS!$I18894,nEVAL,"OR")=0))</f>
      </c>
      <c r="I18894">
        <f>IF(DATOS!$I18894="","",IFERROR(VLOOKUP(DATOS!$I18894,CONFIG_ASIGNATURAS!$B$2:$J$91,9,FALSE()),""))</f>
      </c>
    </row>
    <row r="18895">
      <c r="F18895">
        <f>IF(DATOS!$A18895="","",DATOS!$A18895&amp;"|"&amp;DATOS!$D18895&amp;"|"&amp;DATOS!$E18895&amp;"|"&amp;DATOS!$I18895)</f>
      </c>
      <c r="G18895">
        <f>IF(DATOS!$A18895="",0,IF(CONFIG_METADATA!$B$4&lt;&gt;"OR+EX",--(DATOS!$G18895=CONFIG_METADATA!$B$4),IF(DATOS!$G18895="EX",1,IF(DATOS!$G18895="OR",--(COUNTIFS(nNIA,DATOS!$A18895,nCURSO,DATOS!$D18895,nESPEC,DATOS!$E18895,nASIG,DATOS!$I18895,nEVAL,"EX")=0),0))))</f>
      </c>
      <c r="H18895">
        <f>IF(DATOS!$G18895&lt;&gt;"EX",0,--(COUNTIFS(nNIA,DATOS!$A18895,nCURSO,DATOS!$D18895,nESPEC,DATOS!$E18895,nASIG,DATOS!$I18895,nEVAL,"OR")=0))</f>
      </c>
      <c r="I18895">
        <f>IF(DATOS!$I18895="","",IFERROR(VLOOKUP(DATOS!$I18895,CONFIG_ASIGNATURAS!$B$2:$J$91,9,FALSE()),""))</f>
      </c>
    </row>
    <row r="18896">
      <c r="F18896">
        <f>IF(DATOS!$A18896="","",DATOS!$A18896&amp;"|"&amp;DATOS!$D18896&amp;"|"&amp;DATOS!$E18896&amp;"|"&amp;DATOS!$I18896)</f>
      </c>
      <c r="G18896">
        <f>IF(DATOS!$A18896="",0,IF(CONFIG_METADATA!$B$4&lt;&gt;"OR+EX",--(DATOS!$G18896=CONFIG_METADATA!$B$4),IF(DATOS!$G18896="EX",1,IF(DATOS!$G18896="OR",--(COUNTIFS(nNIA,DATOS!$A18896,nCURSO,DATOS!$D18896,nESPEC,DATOS!$E18896,nASIG,DATOS!$I18896,nEVAL,"EX")=0),0))))</f>
      </c>
      <c r="H18896">
        <f>IF(DATOS!$G18896&lt;&gt;"EX",0,--(COUNTIFS(nNIA,DATOS!$A18896,nCURSO,DATOS!$D18896,nESPEC,DATOS!$E18896,nASIG,DATOS!$I18896,nEVAL,"OR")=0))</f>
      </c>
      <c r="I18896">
        <f>IF(DATOS!$I18896="","",IFERROR(VLOOKUP(DATOS!$I18896,CONFIG_ASIGNATURAS!$B$2:$J$91,9,FALSE()),""))</f>
      </c>
    </row>
    <row r="18897">
      <c r="F18897">
        <f>IF(DATOS!$A18897="","",DATOS!$A18897&amp;"|"&amp;DATOS!$D18897&amp;"|"&amp;DATOS!$E18897&amp;"|"&amp;DATOS!$I18897)</f>
      </c>
      <c r="G18897">
        <f>IF(DATOS!$A18897="",0,IF(CONFIG_METADATA!$B$4&lt;&gt;"OR+EX",--(DATOS!$G18897=CONFIG_METADATA!$B$4),IF(DATOS!$G18897="EX",1,IF(DATOS!$G18897="OR",--(COUNTIFS(nNIA,DATOS!$A18897,nCURSO,DATOS!$D18897,nESPEC,DATOS!$E18897,nASIG,DATOS!$I18897,nEVAL,"EX")=0),0))))</f>
      </c>
      <c r="H18897">
        <f>IF(DATOS!$G18897&lt;&gt;"EX",0,--(COUNTIFS(nNIA,DATOS!$A18897,nCURSO,DATOS!$D18897,nESPEC,DATOS!$E18897,nASIG,DATOS!$I18897,nEVAL,"OR")=0))</f>
      </c>
      <c r="I18897">
        <f>IF(DATOS!$I18897="","",IFERROR(VLOOKUP(DATOS!$I18897,CONFIG_ASIGNATURAS!$B$2:$J$91,9,FALSE()),""))</f>
      </c>
    </row>
    <row r="18898">
      <c r="F18898">
        <f>IF(DATOS!$A18898="","",DATOS!$A18898&amp;"|"&amp;DATOS!$D18898&amp;"|"&amp;DATOS!$E18898&amp;"|"&amp;DATOS!$I18898)</f>
      </c>
      <c r="G18898">
        <f>IF(DATOS!$A18898="",0,IF(CONFIG_METADATA!$B$4&lt;&gt;"OR+EX",--(DATOS!$G18898=CONFIG_METADATA!$B$4),IF(DATOS!$G18898="EX",1,IF(DATOS!$G18898="OR",--(COUNTIFS(nNIA,DATOS!$A18898,nCURSO,DATOS!$D18898,nESPEC,DATOS!$E18898,nASIG,DATOS!$I18898,nEVAL,"EX")=0),0))))</f>
      </c>
      <c r="H18898">
        <f>IF(DATOS!$G18898&lt;&gt;"EX",0,--(COUNTIFS(nNIA,DATOS!$A18898,nCURSO,DATOS!$D18898,nESPEC,DATOS!$E18898,nASIG,DATOS!$I18898,nEVAL,"OR")=0))</f>
      </c>
      <c r="I18898">
        <f>IF(DATOS!$I18898="","",IFERROR(VLOOKUP(DATOS!$I18898,CONFIG_ASIGNATURAS!$B$2:$J$91,9,FALSE()),""))</f>
      </c>
    </row>
    <row r="18899">
      <c r="F18899">
        <f>IF(DATOS!$A18899="","",DATOS!$A18899&amp;"|"&amp;DATOS!$D18899&amp;"|"&amp;DATOS!$E18899&amp;"|"&amp;DATOS!$I18899)</f>
      </c>
      <c r="G18899">
        <f>IF(DATOS!$A18899="",0,IF(CONFIG_METADATA!$B$4&lt;&gt;"OR+EX",--(DATOS!$G18899=CONFIG_METADATA!$B$4),IF(DATOS!$G18899="EX",1,IF(DATOS!$G18899="OR",--(COUNTIFS(nNIA,DATOS!$A18899,nCURSO,DATOS!$D18899,nESPEC,DATOS!$E18899,nASIG,DATOS!$I18899,nEVAL,"EX")=0),0))))</f>
      </c>
      <c r="H18899">
        <f>IF(DATOS!$G18899&lt;&gt;"EX",0,--(COUNTIFS(nNIA,DATOS!$A18899,nCURSO,DATOS!$D18899,nESPEC,DATOS!$E18899,nASIG,DATOS!$I18899,nEVAL,"OR")=0))</f>
      </c>
      <c r="I18899">
        <f>IF(DATOS!$I18899="","",IFERROR(VLOOKUP(DATOS!$I18899,CONFIG_ASIGNATURAS!$B$2:$J$91,9,FALSE()),""))</f>
      </c>
    </row>
    <row r="18900">
      <c r="F18900">
        <f>IF(DATOS!$A18900="","",DATOS!$A18900&amp;"|"&amp;DATOS!$D18900&amp;"|"&amp;DATOS!$E18900&amp;"|"&amp;DATOS!$I18900)</f>
      </c>
      <c r="G18900">
        <f>IF(DATOS!$A18900="",0,IF(CONFIG_METADATA!$B$4&lt;&gt;"OR+EX",--(DATOS!$G18900=CONFIG_METADATA!$B$4),IF(DATOS!$G18900="EX",1,IF(DATOS!$G18900="OR",--(COUNTIFS(nNIA,DATOS!$A18900,nCURSO,DATOS!$D18900,nESPEC,DATOS!$E18900,nASIG,DATOS!$I18900,nEVAL,"EX")=0),0))))</f>
      </c>
      <c r="H18900">
        <f>IF(DATOS!$G18900&lt;&gt;"EX",0,--(COUNTIFS(nNIA,DATOS!$A18900,nCURSO,DATOS!$D18900,nESPEC,DATOS!$E18900,nASIG,DATOS!$I18900,nEVAL,"OR")=0))</f>
      </c>
      <c r="I18900">
        <f>IF(DATOS!$I18900="","",IFERROR(VLOOKUP(DATOS!$I18900,CONFIG_ASIGNATURAS!$B$2:$J$91,9,FALSE()),""))</f>
      </c>
    </row>
    <row r="18901">
      <c r="F18901">
        <f>IF(DATOS!$A18901="","",DATOS!$A18901&amp;"|"&amp;DATOS!$D18901&amp;"|"&amp;DATOS!$E18901&amp;"|"&amp;DATOS!$I18901)</f>
      </c>
      <c r="G18901">
        <f>IF(DATOS!$A18901="",0,IF(CONFIG_METADATA!$B$4&lt;&gt;"OR+EX",--(DATOS!$G18901=CONFIG_METADATA!$B$4),IF(DATOS!$G18901="EX",1,IF(DATOS!$G18901="OR",--(COUNTIFS(nNIA,DATOS!$A18901,nCURSO,DATOS!$D18901,nESPEC,DATOS!$E18901,nASIG,DATOS!$I18901,nEVAL,"EX")=0),0))))</f>
      </c>
      <c r="H18901">
        <f>IF(DATOS!$G18901&lt;&gt;"EX",0,--(COUNTIFS(nNIA,DATOS!$A18901,nCURSO,DATOS!$D18901,nESPEC,DATOS!$E18901,nASIG,DATOS!$I18901,nEVAL,"OR")=0))</f>
      </c>
      <c r="I18901">
        <f>IF(DATOS!$I18901="","",IFERROR(VLOOKUP(DATOS!$I18901,CONFIG_ASIGNATURAS!$B$2:$J$91,9,FALSE()),""))</f>
      </c>
    </row>
    <row r="18902">
      <c r="F18902">
        <f>IF(DATOS!$A18902="","",DATOS!$A18902&amp;"|"&amp;DATOS!$D18902&amp;"|"&amp;DATOS!$E18902&amp;"|"&amp;DATOS!$I18902)</f>
      </c>
      <c r="G18902">
        <f>IF(DATOS!$A18902="",0,IF(CONFIG_METADATA!$B$4&lt;&gt;"OR+EX",--(DATOS!$G18902=CONFIG_METADATA!$B$4),IF(DATOS!$G18902="EX",1,IF(DATOS!$G18902="OR",--(COUNTIFS(nNIA,DATOS!$A18902,nCURSO,DATOS!$D18902,nESPEC,DATOS!$E18902,nASIG,DATOS!$I18902,nEVAL,"EX")=0),0))))</f>
      </c>
      <c r="H18902">
        <f>IF(DATOS!$G18902&lt;&gt;"EX",0,--(COUNTIFS(nNIA,DATOS!$A18902,nCURSO,DATOS!$D18902,nESPEC,DATOS!$E18902,nASIG,DATOS!$I18902,nEVAL,"OR")=0))</f>
      </c>
      <c r="I18902">
        <f>IF(DATOS!$I18902="","",IFERROR(VLOOKUP(DATOS!$I18902,CONFIG_ASIGNATURAS!$B$2:$J$91,9,FALSE()),""))</f>
      </c>
    </row>
    <row r="18903">
      <c r="F18903">
        <f>IF(DATOS!$A18903="","",DATOS!$A18903&amp;"|"&amp;DATOS!$D18903&amp;"|"&amp;DATOS!$E18903&amp;"|"&amp;DATOS!$I18903)</f>
      </c>
      <c r="G18903">
        <f>IF(DATOS!$A18903="",0,IF(CONFIG_METADATA!$B$4&lt;&gt;"OR+EX",--(DATOS!$G18903=CONFIG_METADATA!$B$4),IF(DATOS!$G18903="EX",1,IF(DATOS!$G18903="OR",--(COUNTIFS(nNIA,DATOS!$A18903,nCURSO,DATOS!$D18903,nESPEC,DATOS!$E18903,nASIG,DATOS!$I18903,nEVAL,"EX")=0),0))))</f>
      </c>
      <c r="H18903">
        <f>IF(DATOS!$G18903&lt;&gt;"EX",0,--(COUNTIFS(nNIA,DATOS!$A18903,nCURSO,DATOS!$D18903,nESPEC,DATOS!$E18903,nASIG,DATOS!$I18903,nEVAL,"OR")=0))</f>
      </c>
      <c r="I18903">
        <f>IF(DATOS!$I18903="","",IFERROR(VLOOKUP(DATOS!$I18903,CONFIG_ASIGNATURAS!$B$2:$J$91,9,FALSE()),""))</f>
      </c>
    </row>
    <row r="18904">
      <c r="F18904">
        <f>IF(DATOS!$A18904="","",DATOS!$A18904&amp;"|"&amp;DATOS!$D18904&amp;"|"&amp;DATOS!$E18904&amp;"|"&amp;DATOS!$I18904)</f>
      </c>
      <c r="G18904">
        <f>IF(DATOS!$A18904="",0,IF(CONFIG_METADATA!$B$4&lt;&gt;"OR+EX",--(DATOS!$G18904=CONFIG_METADATA!$B$4),IF(DATOS!$G18904="EX",1,IF(DATOS!$G18904="OR",--(COUNTIFS(nNIA,DATOS!$A18904,nCURSO,DATOS!$D18904,nESPEC,DATOS!$E18904,nASIG,DATOS!$I18904,nEVAL,"EX")=0),0))))</f>
      </c>
      <c r="H18904">
        <f>IF(DATOS!$G18904&lt;&gt;"EX",0,--(COUNTIFS(nNIA,DATOS!$A18904,nCURSO,DATOS!$D18904,nESPEC,DATOS!$E18904,nASIG,DATOS!$I18904,nEVAL,"OR")=0))</f>
      </c>
      <c r="I18904">
        <f>IF(DATOS!$I18904="","",IFERROR(VLOOKUP(DATOS!$I18904,CONFIG_ASIGNATURAS!$B$2:$J$91,9,FALSE()),""))</f>
      </c>
    </row>
    <row r="18905">
      <c r="F18905">
        <f>IF(DATOS!$A18905="","",DATOS!$A18905&amp;"|"&amp;DATOS!$D18905&amp;"|"&amp;DATOS!$E18905&amp;"|"&amp;DATOS!$I18905)</f>
      </c>
      <c r="G18905">
        <f>IF(DATOS!$A18905="",0,IF(CONFIG_METADATA!$B$4&lt;&gt;"OR+EX",--(DATOS!$G18905=CONFIG_METADATA!$B$4),IF(DATOS!$G18905="EX",1,IF(DATOS!$G18905="OR",--(COUNTIFS(nNIA,DATOS!$A18905,nCURSO,DATOS!$D18905,nESPEC,DATOS!$E18905,nASIG,DATOS!$I18905,nEVAL,"EX")=0),0))))</f>
      </c>
      <c r="H18905">
        <f>IF(DATOS!$G18905&lt;&gt;"EX",0,--(COUNTIFS(nNIA,DATOS!$A18905,nCURSO,DATOS!$D18905,nESPEC,DATOS!$E18905,nASIG,DATOS!$I18905,nEVAL,"OR")=0))</f>
      </c>
      <c r="I18905">
        <f>IF(DATOS!$I18905="","",IFERROR(VLOOKUP(DATOS!$I18905,CONFIG_ASIGNATURAS!$B$2:$J$91,9,FALSE()),""))</f>
      </c>
    </row>
    <row r="18906">
      <c r="F18906">
        <f>IF(DATOS!$A18906="","",DATOS!$A18906&amp;"|"&amp;DATOS!$D18906&amp;"|"&amp;DATOS!$E18906&amp;"|"&amp;DATOS!$I18906)</f>
      </c>
      <c r="G18906">
        <f>IF(DATOS!$A18906="",0,IF(CONFIG_METADATA!$B$4&lt;&gt;"OR+EX",--(DATOS!$G18906=CONFIG_METADATA!$B$4),IF(DATOS!$G18906="EX",1,IF(DATOS!$G18906="OR",--(COUNTIFS(nNIA,DATOS!$A18906,nCURSO,DATOS!$D18906,nESPEC,DATOS!$E18906,nASIG,DATOS!$I18906,nEVAL,"EX")=0),0))))</f>
      </c>
      <c r="H18906">
        <f>IF(DATOS!$G18906&lt;&gt;"EX",0,--(COUNTIFS(nNIA,DATOS!$A18906,nCURSO,DATOS!$D18906,nESPEC,DATOS!$E18906,nASIG,DATOS!$I18906,nEVAL,"OR")=0))</f>
      </c>
      <c r="I18906">
        <f>IF(DATOS!$I18906="","",IFERROR(VLOOKUP(DATOS!$I18906,CONFIG_ASIGNATURAS!$B$2:$J$91,9,FALSE()),""))</f>
      </c>
    </row>
    <row r="18907">
      <c r="F18907">
        <f>IF(DATOS!$A18907="","",DATOS!$A18907&amp;"|"&amp;DATOS!$D18907&amp;"|"&amp;DATOS!$E18907&amp;"|"&amp;DATOS!$I18907)</f>
      </c>
      <c r="G18907">
        <f>IF(DATOS!$A18907="",0,IF(CONFIG_METADATA!$B$4&lt;&gt;"OR+EX",--(DATOS!$G18907=CONFIG_METADATA!$B$4),IF(DATOS!$G18907="EX",1,IF(DATOS!$G18907="OR",--(COUNTIFS(nNIA,DATOS!$A18907,nCURSO,DATOS!$D18907,nESPEC,DATOS!$E18907,nASIG,DATOS!$I18907,nEVAL,"EX")=0),0))))</f>
      </c>
      <c r="H18907">
        <f>IF(DATOS!$G18907&lt;&gt;"EX",0,--(COUNTIFS(nNIA,DATOS!$A18907,nCURSO,DATOS!$D18907,nESPEC,DATOS!$E18907,nASIG,DATOS!$I18907,nEVAL,"OR")=0))</f>
      </c>
      <c r="I18907">
        <f>IF(DATOS!$I18907="","",IFERROR(VLOOKUP(DATOS!$I18907,CONFIG_ASIGNATURAS!$B$2:$J$91,9,FALSE()),""))</f>
      </c>
    </row>
    <row r="18908">
      <c r="F18908">
        <f>IF(DATOS!$A18908="","",DATOS!$A18908&amp;"|"&amp;DATOS!$D18908&amp;"|"&amp;DATOS!$E18908&amp;"|"&amp;DATOS!$I18908)</f>
      </c>
      <c r="G18908">
        <f>IF(DATOS!$A18908="",0,IF(CONFIG_METADATA!$B$4&lt;&gt;"OR+EX",--(DATOS!$G18908=CONFIG_METADATA!$B$4),IF(DATOS!$G18908="EX",1,IF(DATOS!$G18908="OR",--(COUNTIFS(nNIA,DATOS!$A18908,nCURSO,DATOS!$D18908,nESPEC,DATOS!$E18908,nASIG,DATOS!$I18908,nEVAL,"EX")=0),0))))</f>
      </c>
      <c r="H18908">
        <f>IF(DATOS!$G18908&lt;&gt;"EX",0,--(COUNTIFS(nNIA,DATOS!$A18908,nCURSO,DATOS!$D18908,nESPEC,DATOS!$E18908,nASIG,DATOS!$I18908,nEVAL,"OR")=0))</f>
      </c>
      <c r="I18908">
        <f>IF(DATOS!$I18908="","",IFERROR(VLOOKUP(DATOS!$I18908,CONFIG_ASIGNATURAS!$B$2:$J$91,9,FALSE()),""))</f>
      </c>
    </row>
    <row r="18909">
      <c r="F18909">
        <f>IF(DATOS!$A18909="","",DATOS!$A18909&amp;"|"&amp;DATOS!$D18909&amp;"|"&amp;DATOS!$E18909&amp;"|"&amp;DATOS!$I18909)</f>
      </c>
      <c r="G18909">
        <f>IF(DATOS!$A18909="",0,IF(CONFIG_METADATA!$B$4&lt;&gt;"OR+EX",--(DATOS!$G18909=CONFIG_METADATA!$B$4),IF(DATOS!$G18909="EX",1,IF(DATOS!$G18909="OR",--(COUNTIFS(nNIA,DATOS!$A18909,nCURSO,DATOS!$D18909,nESPEC,DATOS!$E18909,nASIG,DATOS!$I18909,nEVAL,"EX")=0),0))))</f>
      </c>
      <c r="H18909">
        <f>IF(DATOS!$G18909&lt;&gt;"EX",0,--(COUNTIFS(nNIA,DATOS!$A18909,nCURSO,DATOS!$D18909,nESPEC,DATOS!$E18909,nASIG,DATOS!$I18909,nEVAL,"OR")=0))</f>
      </c>
      <c r="I18909">
        <f>IF(DATOS!$I18909="","",IFERROR(VLOOKUP(DATOS!$I18909,CONFIG_ASIGNATURAS!$B$2:$J$91,9,FALSE()),""))</f>
      </c>
    </row>
    <row r="18910">
      <c r="F18910">
        <f>IF(DATOS!$A18910="","",DATOS!$A18910&amp;"|"&amp;DATOS!$D18910&amp;"|"&amp;DATOS!$E18910&amp;"|"&amp;DATOS!$I18910)</f>
      </c>
      <c r="G18910">
        <f>IF(DATOS!$A18910="",0,IF(CONFIG_METADATA!$B$4&lt;&gt;"OR+EX",--(DATOS!$G18910=CONFIG_METADATA!$B$4),IF(DATOS!$G18910="EX",1,IF(DATOS!$G18910="OR",--(COUNTIFS(nNIA,DATOS!$A18910,nCURSO,DATOS!$D18910,nESPEC,DATOS!$E18910,nASIG,DATOS!$I18910,nEVAL,"EX")=0),0))))</f>
      </c>
      <c r="H18910">
        <f>IF(DATOS!$G18910&lt;&gt;"EX",0,--(COUNTIFS(nNIA,DATOS!$A18910,nCURSO,DATOS!$D18910,nESPEC,DATOS!$E18910,nASIG,DATOS!$I18910,nEVAL,"OR")=0))</f>
      </c>
      <c r="I18910">
        <f>IF(DATOS!$I18910="","",IFERROR(VLOOKUP(DATOS!$I18910,CONFIG_ASIGNATURAS!$B$2:$J$91,9,FALSE()),""))</f>
      </c>
    </row>
    <row r="18911">
      <c r="F18911">
        <f>IF(DATOS!$A18911="","",DATOS!$A18911&amp;"|"&amp;DATOS!$D18911&amp;"|"&amp;DATOS!$E18911&amp;"|"&amp;DATOS!$I18911)</f>
      </c>
      <c r="G18911">
        <f>IF(DATOS!$A18911="",0,IF(CONFIG_METADATA!$B$4&lt;&gt;"OR+EX",--(DATOS!$G18911=CONFIG_METADATA!$B$4),IF(DATOS!$G18911="EX",1,IF(DATOS!$G18911="OR",--(COUNTIFS(nNIA,DATOS!$A18911,nCURSO,DATOS!$D18911,nESPEC,DATOS!$E18911,nASIG,DATOS!$I18911,nEVAL,"EX")=0),0))))</f>
      </c>
      <c r="H18911">
        <f>IF(DATOS!$G18911&lt;&gt;"EX",0,--(COUNTIFS(nNIA,DATOS!$A18911,nCURSO,DATOS!$D18911,nESPEC,DATOS!$E18911,nASIG,DATOS!$I18911,nEVAL,"OR")=0))</f>
      </c>
      <c r="I18911">
        <f>IF(DATOS!$I18911="","",IFERROR(VLOOKUP(DATOS!$I18911,CONFIG_ASIGNATURAS!$B$2:$J$91,9,FALSE()),""))</f>
      </c>
    </row>
    <row r="18912">
      <c r="F18912">
        <f>IF(DATOS!$A18912="","",DATOS!$A18912&amp;"|"&amp;DATOS!$D18912&amp;"|"&amp;DATOS!$E18912&amp;"|"&amp;DATOS!$I18912)</f>
      </c>
      <c r="G18912">
        <f>IF(DATOS!$A18912="",0,IF(CONFIG_METADATA!$B$4&lt;&gt;"OR+EX",--(DATOS!$G18912=CONFIG_METADATA!$B$4),IF(DATOS!$G18912="EX",1,IF(DATOS!$G18912="OR",--(COUNTIFS(nNIA,DATOS!$A18912,nCURSO,DATOS!$D18912,nESPEC,DATOS!$E18912,nASIG,DATOS!$I18912,nEVAL,"EX")=0),0))))</f>
      </c>
      <c r="H18912">
        <f>IF(DATOS!$G18912&lt;&gt;"EX",0,--(COUNTIFS(nNIA,DATOS!$A18912,nCURSO,DATOS!$D18912,nESPEC,DATOS!$E18912,nASIG,DATOS!$I18912,nEVAL,"OR")=0))</f>
      </c>
      <c r="I18912">
        <f>IF(DATOS!$I18912="","",IFERROR(VLOOKUP(DATOS!$I18912,CONFIG_ASIGNATURAS!$B$2:$J$91,9,FALSE()),""))</f>
      </c>
    </row>
    <row r="18913">
      <c r="F18913">
        <f>IF(DATOS!$A18913="","",DATOS!$A18913&amp;"|"&amp;DATOS!$D18913&amp;"|"&amp;DATOS!$E18913&amp;"|"&amp;DATOS!$I18913)</f>
      </c>
      <c r="G18913">
        <f>IF(DATOS!$A18913="",0,IF(CONFIG_METADATA!$B$4&lt;&gt;"OR+EX",--(DATOS!$G18913=CONFIG_METADATA!$B$4),IF(DATOS!$G18913="EX",1,IF(DATOS!$G18913="OR",--(COUNTIFS(nNIA,DATOS!$A18913,nCURSO,DATOS!$D18913,nESPEC,DATOS!$E18913,nASIG,DATOS!$I18913,nEVAL,"EX")=0),0))))</f>
      </c>
      <c r="H18913">
        <f>IF(DATOS!$G18913&lt;&gt;"EX",0,--(COUNTIFS(nNIA,DATOS!$A18913,nCURSO,DATOS!$D18913,nESPEC,DATOS!$E18913,nASIG,DATOS!$I18913,nEVAL,"OR")=0))</f>
      </c>
      <c r="I18913">
        <f>IF(DATOS!$I18913="","",IFERROR(VLOOKUP(DATOS!$I18913,CONFIG_ASIGNATURAS!$B$2:$J$91,9,FALSE()),""))</f>
      </c>
    </row>
    <row r="18914">
      <c r="F18914">
        <f>IF(DATOS!$A18914="","",DATOS!$A18914&amp;"|"&amp;DATOS!$D18914&amp;"|"&amp;DATOS!$E18914&amp;"|"&amp;DATOS!$I18914)</f>
      </c>
      <c r="G18914">
        <f>IF(DATOS!$A18914="",0,IF(CONFIG_METADATA!$B$4&lt;&gt;"OR+EX",--(DATOS!$G18914=CONFIG_METADATA!$B$4),IF(DATOS!$G18914="EX",1,IF(DATOS!$G18914="OR",--(COUNTIFS(nNIA,DATOS!$A18914,nCURSO,DATOS!$D18914,nESPEC,DATOS!$E18914,nASIG,DATOS!$I18914,nEVAL,"EX")=0),0))))</f>
      </c>
      <c r="H18914">
        <f>IF(DATOS!$G18914&lt;&gt;"EX",0,--(COUNTIFS(nNIA,DATOS!$A18914,nCURSO,DATOS!$D18914,nESPEC,DATOS!$E18914,nASIG,DATOS!$I18914,nEVAL,"OR")=0))</f>
      </c>
      <c r="I18914">
        <f>IF(DATOS!$I18914="","",IFERROR(VLOOKUP(DATOS!$I18914,CONFIG_ASIGNATURAS!$B$2:$J$91,9,FALSE()),""))</f>
      </c>
    </row>
    <row r="18915">
      <c r="F18915">
        <f>IF(DATOS!$A18915="","",DATOS!$A18915&amp;"|"&amp;DATOS!$D18915&amp;"|"&amp;DATOS!$E18915&amp;"|"&amp;DATOS!$I18915)</f>
      </c>
      <c r="G18915">
        <f>IF(DATOS!$A18915="",0,IF(CONFIG_METADATA!$B$4&lt;&gt;"OR+EX",--(DATOS!$G18915=CONFIG_METADATA!$B$4),IF(DATOS!$G18915="EX",1,IF(DATOS!$G18915="OR",--(COUNTIFS(nNIA,DATOS!$A18915,nCURSO,DATOS!$D18915,nESPEC,DATOS!$E18915,nASIG,DATOS!$I18915,nEVAL,"EX")=0),0))))</f>
      </c>
      <c r="H18915">
        <f>IF(DATOS!$G18915&lt;&gt;"EX",0,--(COUNTIFS(nNIA,DATOS!$A18915,nCURSO,DATOS!$D18915,nESPEC,DATOS!$E18915,nASIG,DATOS!$I18915,nEVAL,"OR")=0))</f>
      </c>
      <c r="I18915">
        <f>IF(DATOS!$I18915="","",IFERROR(VLOOKUP(DATOS!$I18915,CONFIG_ASIGNATURAS!$B$2:$J$91,9,FALSE()),""))</f>
      </c>
    </row>
    <row r="18916">
      <c r="F18916">
        <f>IF(DATOS!$A18916="","",DATOS!$A18916&amp;"|"&amp;DATOS!$D18916&amp;"|"&amp;DATOS!$E18916&amp;"|"&amp;DATOS!$I18916)</f>
      </c>
      <c r="G18916">
        <f>IF(DATOS!$A18916="",0,IF(CONFIG_METADATA!$B$4&lt;&gt;"OR+EX",--(DATOS!$G18916=CONFIG_METADATA!$B$4),IF(DATOS!$G18916="EX",1,IF(DATOS!$G18916="OR",--(COUNTIFS(nNIA,DATOS!$A18916,nCURSO,DATOS!$D18916,nESPEC,DATOS!$E18916,nASIG,DATOS!$I18916,nEVAL,"EX")=0),0))))</f>
      </c>
      <c r="H18916">
        <f>IF(DATOS!$G18916&lt;&gt;"EX",0,--(COUNTIFS(nNIA,DATOS!$A18916,nCURSO,DATOS!$D18916,nESPEC,DATOS!$E18916,nASIG,DATOS!$I18916,nEVAL,"OR")=0))</f>
      </c>
      <c r="I18916">
        <f>IF(DATOS!$I18916="","",IFERROR(VLOOKUP(DATOS!$I18916,CONFIG_ASIGNATURAS!$B$2:$J$91,9,FALSE()),""))</f>
      </c>
    </row>
    <row r="18917">
      <c r="F18917">
        <f>IF(DATOS!$A18917="","",DATOS!$A18917&amp;"|"&amp;DATOS!$D18917&amp;"|"&amp;DATOS!$E18917&amp;"|"&amp;DATOS!$I18917)</f>
      </c>
      <c r="G18917">
        <f>IF(DATOS!$A18917="",0,IF(CONFIG_METADATA!$B$4&lt;&gt;"OR+EX",--(DATOS!$G18917=CONFIG_METADATA!$B$4),IF(DATOS!$G18917="EX",1,IF(DATOS!$G18917="OR",--(COUNTIFS(nNIA,DATOS!$A18917,nCURSO,DATOS!$D18917,nESPEC,DATOS!$E18917,nASIG,DATOS!$I18917,nEVAL,"EX")=0),0))))</f>
      </c>
      <c r="H18917">
        <f>IF(DATOS!$G18917&lt;&gt;"EX",0,--(COUNTIFS(nNIA,DATOS!$A18917,nCURSO,DATOS!$D18917,nESPEC,DATOS!$E18917,nASIG,DATOS!$I18917,nEVAL,"OR")=0))</f>
      </c>
      <c r="I18917">
        <f>IF(DATOS!$I18917="","",IFERROR(VLOOKUP(DATOS!$I18917,CONFIG_ASIGNATURAS!$B$2:$J$91,9,FALSE()),""))</f>
      </c>
    </row>
    <row r="18918">
      <c r="F18918">
        <f>IF(DATOS!$A18918="","",DATOS!$A18918&amp;"|"&amp;DATOS!$D18918&amp;"|"&amp;DATOS!$E18918&amp;"|"&amp;DATOS!$I18918)</f>
      </c>
      <c r="G18918">
        <f>IF(DATOS!$A18918="",0,IF(CONFIG_METADATA!$B$4&lt;&gt;"OR+EX",--(DATOS!$G18918=CONFIG_METADATA!$B$4),IF(DATOS!$G18918="EX",1,IF(DATOS!$G18918="OR",--(COUNTIFS(nNIA,DATOS!$A18918,nCURSO,DATOS!$D18918,nESPEC,DATOS!$E18918,nASIG,DATOS!$I18918,nEVAL,"EX")=0),0))))</f>
      </c>
      <c r="H18918">
        <f>IF(DATOS!$G18918&lt;&gt;"EX",0,--(COUNTIFS(nNIA,DATOS!$A18918,nCURSO,DATOS!$D18918,nESPEC,DATOS!$E18918,nASIG,DATOS!$I18918,nEVAL,"OR")=0))</f>
      </c>
      <c r="I18918">
        <f>IF(DATOS!$I18918="","",IFERROR(VLOOKUP(DATOS!$I18918,CONFIG_ASIGNATURAS!$B$2:$J$91,9,FALSE()),""))</f>
      </c>
    </row>
    <row r="18919">
      <c r="F18919">
        <f>IF(DATOS!$A18919="","",DATOS!$A18919&amp;"|"&amp;DATOS!$D18919&amp;"|"&amp;DATOS!$E18919&amp;"|"&amp;DATOS!$I18919)</f>
      </c>
      <c r="G18919">
        <f>IF(DATOS!$A18919="",0,IF(CONFIG_METADATA!$B$4&lt;&gt;"OR+EX",--(DATOS!$G18919=CONFIG_METADATA!$B$4),IF(DATOS!$G18919="EX",1,IF(DATOS!$G18919="OR",--(COUNTIFS(nNIA,DATOS!$A18919,nCURSO,DATOS!$D18919,nESPEC,DATOS!$E18919,nASIG,DATOS!$I18919,nEVAL,"EX")=0),0))))</f>
      </c>
      <c r="H18919">
        <f>IF(DATOS!$G18919&lt;&gt;"EX",0,--(COUNTIFS(nNIA,DATOS!$A18919,nCURSO,DATOS!$D18919,nESPEC,DATOS!$E18919,nASIG,DATOS!$I18919,nEVAL,"OR")=0))</f>
      </c>
      <c r="I18919">
        <f>IF(DATOS!$I18919="","",IFERROR(VLOOKUP(DATOS!$I18919,CONFIG_ASIGNATURAS!$B$2:$J$91,9,FALSE()),""))</f>
      </c>
    </row>
    <row r="18920">
      <c r="F18920">
        <f>IF(DATOS!$A18920="","",DATOS!$A18920&amp;"|"&amp;DATOS!$D18920&amp;"|"&amp;DATOS!$E18920&amp;"|"&amp;DATOS!$I18920)</f>
      </c>
      <c r="G18920">
        <f>IF(DATOS!$A18920="",0,IF(CONFIG_METADATA!$B$4&lt;&gt;"OR+EX",--(DATOS!$G18920=CONFIG_METADATA!$B$4),IF(DATOS!$G18920="EX",1,IF(DATOS!$G18920="OR",--(COUNTIFS(nNIA,DATOS!$A18920,nCURSO,DATOS!$D18920,nESPEC,DATOS!$E18920,nASIG,DATOS!$I18920,nEVAL,"EX")=0),0))))</f>
      </c>
      <c r="H18920">
        <f>IF(DATOS!$G18920&lt;&gt;"EX",0,--(COUNTIFS(nNIA,DATOS!$A18920,nCURSO,DATOS!$D18920,nESPEC,DATOS!$E18920,nASIG,DATOS!$I18920,nEVAL,"OR")=0))</f>
      </c>
      <c r="I18920">
        <f>IF(DATOS!$I18920="","",IFERROR(VLOOKUP(DATOS!$I18920,CONFIG_ASIGNATURAS!$B$2:$J$91,9,FALSE()),""))</f>
      </c>
    </row>
    <row r="18921">
      <c r="F18921">
        <f>IF(DATOS!$A18921="","",DATOS!$A18921&amp;"|"&amp;DATOS!$D18921&amp;"|"&amp;DATOS!$E18921&amp;"|"&amp;DATOS!$I18921)</f>
      </c>
      <c r="G18921">
        <f>IF(DATOS!$A18921="",0,IF(CONFIG_METADATA!$B$4&lt;&gt;"OR+EX",--(DATOS!$G18921=CONFIG_METADATA!$B$4),IF(DATOS!$G18921="EX",1,IF(DATOS!$G18921="OR",--(COUNTIFS(nNIA,DATOS!$A18921,nCURSO,DATOS!$D18921,nESPEC,DATOS!$E18921,nASIG,DATOS!$I18921,nEVAL,"EX")=0),0))))</f>
      </c>
      <c r="H18921">
        <f>IF(DATOS!$G18921&lt;&gt;"EX",0,--(COUNTIFS(nNIA,DATOS!$A18921,nCURSO,DATOS!$D18921,nESPEC,DATOS!$E18921,nASIG,DATOS!$I18921,nEVAL,"OR")=0))</f>
      </c>
      <c r="I18921">
        <f>IF(DATOS!$I18921="","",IFERROR(VLOOKUP(DATOS!$I18921,CONFIG_ASIGNATURAS!$B$2:$J$91,9,FALSE()),""))</f>
      </c>
    </row>
    <row r="18922">
      <c r="F18922">
        <f>IF(DATOS!$A18922="","",DATOS!$A18922&amp;"|"&amp;DATOS!$D18922&amp;"|"&amp;DATOS!$E18922&amp;"|"&amp;DATOS!$I18922)</f>
      </c>
      <c r="G18922">
        <f>IF(DATOS!$A18922="",0,IF(CONFIG_METADATA!$B$4&lt;&gt;"OR+EX",--(DATOS!$G18922=CONFIG_METADATA!$B$4),IF(DATOS!$G18922="EX",1,IF(DATOS!$G18922="OR",--(COUNTIFS(nNIA,DATOS!$A18922,nCURSO,DATOS!$D18922,nESPEC,DATOS!$E18922,nASIG,DATOS!$I18922,nEVAL,"EX")=0),0))))</f>
      </c>
      <c r="H18922">
        <f>IF(DATOS!$G18922&lt;&gt;"EX",0,--(COUNTIFS(nNIA,DATOS!$A18922,nCURSO,DATOS!$D18922,nESPEC,DATOS!$E18922,nASIG,DATOS!$I18922,nEVAL,"OR")=0))</f>
      </c>
      <c r="I18922">
        <f>IF(DATOS!$I18922="","",IFERROR(VLOOKUP(DATOS!$I18922,CONFIG_ASIGNATURAS!$B$2:$J$91,9,FALSE()),""))</f>
      </c>
    </row>
    <row r="18923">
      <c r="F18923">
        <f>IF(DATOS!$A18923="","",DATOS!$A18923&amp;"|"&amp;DATOS!$D18923&amp;"|"&amp;DATOS!$E18923&amp;"|"&amp;DATOS!$I18923)</f>
      </c>
      <c r="G18923">
        <f>IF(DATOS!$A18923="",0,IF(CONFIG_METADATA!$B$4&lt;&gt;"OR+EX",--(DATOS!$G18923=CONFIG_METADATA!$B$4),IF(DATOS!$G18923="EX",1,IF(DATOS!$G18923="OR",--(COUNTIFS(nNIA,DATOS!$A18923,nCURSO,DATOS!$D18923,nESPEC,DATOS!$E18923,nASIG,DATOS!$I18923,nEVAL,"EX")=0),0))))</f>
      </c>
      <c r="H18923">
        <f>IF(DATOS!$G18923&lt;&gt;"EX",0,--(COUNTIFS(nNIA,DATOS!$A18923,nCURSO,DATOS!$D18923,nESPEC,DATOS!$E18923,nASIG,DATOS!$I18923,nEVAL,"OR")=0))</f>
      </c>
      <c r="I18923">
        <f>IF(DATOS!$I18923="","",IFERROR(VLOOKUP(DATOS!$I18923,CONFIG_ASIGNATURAS!$B$2:$J$91,9,FALSE()),""))</f>
      </c>
    </row>
    <row r="18924">
      <c r="F18924">
        <f>IF(DATOS!$A18924="","",DATOS!$A18924&amp;"|"&amp;DATOS!$D18924&amp;"|"&amp;DATOS!$E18924&amp;"|"&amp;DATOS!$I18924)</f>
      </c>
      <c r="G18924">
        <f>IF(DATOS!$A18924="",0,IF(CONFIG_METADATA!$B$4&lt;&gt;"OR+EX",--(DATOS!$G18924=CONFIG_METADATA!$B$4),IF(DATOS!$G18924="EX",1,IF(DATOS!$G18924="OR",--(COUNTIFS(nNIA,DATOS!$A18924,nCURSO,DATOS!$D18924,nESPEC,DATOS!$E18924,nASIG,DATOS!$I18924,nEVAL,"EX")=0),0))))</f>
      </c>
      <c r="H18924">
        <f>IF(DATOS!$G18924&lt;&gt;"EX",0,--(COUNTIFS(nNIA,DATOS!$A18924,nCURSO,DATOS!$D18924,nESPEC,DATOS!$E18924,nASIG,DATOS!$I18924,nEVAL,"OR")=0))</f>
      </c>
      <c r="I18924">
        <f>IF(DATOS!$I18924="","",IFERROR(VLOOKUP(DATOS!$I18924,CONFIG_ASIGNATURAS!$B$2:$J$91,9,FALSE()),""))</f>
      </c>
    </row>
    <row r="18925">
      <c r="F18925">
        <f>IF(DATOS!$A18925="","",DATOS!$A18925&amp;"|"&amp;DATOS!$D18925&amp;"|"&amp;DATOS!$E18925&amp;"|"&amp;DATOS!$I18925)</f>
      </c>
      <c r="G18925">
        <f>IF(DATOS!$A18925="",0,IF(CONFIG_METADATA!$B$4&lt;&gt;"OR+EX",--(DATOS!$G18925=CONFIG_METADATA!$B$4),IF(DATOS!$G18925="EX",1,IF(DATOS!$G18925="OR",--(COUNTIFS(nNIA,DATOS!$A18925,nCURSO,DATOS!$D18925,nESPEC,DATOS!$E18925,nASIG,DATOS!$I18925,nEVAL,"EX")=0),0))))</f>
      </c>
      <c r="H18925">
        <f>IF(DATOS!$G18925&lt;&gt;"EX",0,--(COUNTIFS(nNIA,DATOS!$A18925,nCURSO,DATOS!$D18925,nESPEC,DATOS!$E18925,nASIG,DATOS!$I18925,nEVAL,"OR")=0))</f>
      </c>
      <c r="I18925">
        <f>IF(DATOS!$I18925="","",IFERROR(VLOOKUP(DATOS!$I18925,CONFIG_ASIGNATURAS!$B$2:$J$91,9,FALSE()),""))</f>
      </c>
    </row>
    <row r="18926">
      <c r="F18926">
        <f>IF(DATOS!$A18926="","",DATOS!$A18926&amp;"|"&amp;DATOS!$D18926&amp;"|"&amp;DATOS!$E18926&amp;"|"&amp;DATOS!$I18926)</f>
      </c>
      <c r="G18926">
        <f>IF(DATOS!$A18926="",0,IF(CONFIG_METADATA!$B$4&lt;&gt;"OR+EX",--(DATOS!$G18926=CONFIG_METADATA!$B$4),IF(DATOS!$G18926="EX",1,IF(DATOS!$G18926="OR",--(COUNTIFS(nNIA,DATOS!$A18926,nCURSO,DATOS!$D18926,nESPEC,DATOS!$E18926,nASIG,DATOS!$I18926,nEVAL,"EX")=0),0))))</f>
      </c>
      <c r="H18926">
        <f>IF(DATOS!$G18926&lt;&gt;"EX",0,--(COUNTIFS(nNIA,DATOS!$A18926,nCURSO,DATOS!$D18926,nESPEC,DATOS!$E18926,nASIG,DATOS!$I18926,nEVAL,"OR")=0))</f>
      </c>
      <c r="I18926">
        <f>IF(DATOS!$I18926="","",IFERROR(VLOOKUP(DATOS!$I18926,CONFIG_ASIGNATURAS!$B$2:$J$91,9,FALSE()),""))</f>
      </c>
    </row>
    <row r="18927">
      <c r="F18927">
        <f>IF(DATOS!$A18927="","",DATOS!$A18927&amp;"|"&amp;DATOS!$D18927&amp;"|"&amp;DATOS!$E18927&amp;"|"&amp;DATOS!$I18927)</f>
      </c>
      <c r="G18927">
        <f>IF(DATOS!$A18927="",0,IF(CONFIG_METADATA!$B$4&lt;&gt;"OR+EX",--(DATOS!$G18927=CONFIG_METADATA!$B$4),IF(DATOS!$G18927="EX",1,IF(DATOS!$G18927="OR",--(COUNTIFS(nNIA,DATOS!$A18927,nCURSO,DATOS!$D18927,nESPEC,DATOS!$E18927,nASIG,DATOS!$I18927,nEVAL,"EX")=0),0))))</f>
      </c>
      <c r="H18927">
        <f>IF(DATOS!$G18927&lt;&gt;"EX",0,--(COUNTIFS(nNIA,DATOS!$A18927,nCURSO,DATOS!$D18927,nESPEC,DATOS!$E18927,nASIG,DATOS!$I18927,nEVAL,"OR")=0))</f>
      </c>
      <c r="I18927">
        <f>IF(DATOS!$I18927="","",IFERROR(VLOOKUP(DATOS!$I18927,CONFIG_ASIGNATURAS!$B$2:$J$91,9,FALSE()),""))</f>
      </c>
    </row>
    <row r="18928">
      <c r="F18928">
        <f>IF(DATOS!$A18928="","",DATOS!$A18928&amp;"|"&amp;DATOS!$D18928&amp;"|"&amp;DATOS!$E18928&amp;"|"&amp;DATOS!$I18928)</f>
      </c>
      <c r="G18928">
        <f>IF(DATOS!$A18928="",0,IF(CONFIG_METADATA!$B$4&lt;&gt;"OR+EX",--(DATOS!$G18928=CONFIG_METADATA!$B$4),IF(DATOS!$G18928="EX",1,IF(DATOS!$G18928="OR",--(COUNTIFS(nNIA,DATOS!$A18928,nCURSO,DATOS!$D18928,nESPEC,DATOS!$E18928,nASIG,DATOS!$I18928,nEVAL,"EX")=0),0))))</f>
      </c>
      <c r="H18928">
        <f>IF(DATOS!$G18928&lt;&gt;"EX",0,--(COUNTIFS(nNIA,DATOS!$A18928,nCURSO,DATOS!$D18928,nESPEC,DATOS!$E18928,nASIG,DATOS!$I18928,nEVAL,"OR")=0))</f>
      </c>
      <c r="I18928">
        <f>IF(DATOS!$I18928="","",IFERROR(VLOOKUP(DATOS!$I18928,CONFIG_ASIGNATURAS!$B$2:$J$91,9,FALSE()),""))</f>
      </c>
    </row>
    <row r="18929">
      <c r="F18929">
        <f>IF(DATOS!$A18929="","",DATOS!$A18929&amp;"|"&amp;DATOS!$D18929&amp;"|"&amp;DATOS!$E18929&amp;"|"&amp;DATOS!$I18929)</f>
      </c>
      <c r="G18929">
        <f>IF(DATOS!$A18929="",0,IF(CONFIG_METADATA!$B$4&lt;&gt;"OR+EX",--(DATOS!$G18929=CONFIG_METADATA!$B$4),IF(DATOS!$G18929="EX",1,IF(DATOS!$G18929="OR",--(COUNTIFS(nNIA,DATOS!$A18929,nCURSO,DATOS!$D18929,nESPEC,DATOS!$E18929,nASIG,DATOS!$I18929,nEVAL,"EX")=0),0))))</f>
      </c>
      <c r="H18929">
        <f>IF(DATOS!$G18929&lt;&gt;"EX",0,--(COUNTIFS(nNIA,DATOS!$A18929,nCURSO,DATOS!$D18929,nESPEC,DATOS!$E18929,nASIG,DATOS!$I18929,nEVAL,"OR")=0))</f>
      </c>
      <c r="I18929">
        <f>IF(DATOS!$I18929="","",IFERROR(VLOOKUP(DATOS!$I18929,CONFIG_ASIGNATURAS!$B$2:$J$91,9,FALSE()),""))</f>
      </c>
    </row>
    <row r="18930">
      <c r="F18930">
        <f>IF(DATOS!$A18930="","",DATOS!$A18930&amp;"|"&amp;DATOS!$D18930&amp;"|"&amp;DATOS!$E18930&amp;"|"&amp;DATOS!$I18930)</f>
      </c>
      <c r="G18930">
        <f>IF(DATOS!$A18930="",0,IF(CONFIG_METADATA!$B$4&lt;&gt;"OR+EX",--(DATOS!$G18930=CONFIG_METADATA!$B$4),IF(DATOS!$G18930="EX",1,IF(DATOS!$G18930="OR",--(COUNTIFS(nNIA,DATOS!$A18930,nCURSO,DATOS!$D18930,nESPEC,DATOS!$E18930,nASIG,DATOS!$I18930,nEVAL,"EX")=0),0))))</f>
      </c>
      <c r="H18930">
        <f>IF(DATOS!$G18930&lt;&gt;"EX",0,--(COUNTIFS(nNIA,DATOS!$A18930,nCURSO,DATOS!$D18930,nESPEC,DATOS!$E18930,nASIG,DATOS!$I18930,nEVAL,"OR")=0))</f>
      </c>
      <c r="I18930">
        <f>IF(DATOS!$I18930="","",IFERROR(VLOOKUP(DATOS!$I18930,CONFIG_ASIGNATURAS!$B$2:$J$91,9,FALSE()),""))</f>
      </c>
    </row>
    <row r="18931">
      <c r="F18931">
        <f>IF(DATOS!$A18931="","",DATOS!$A18931&amp;"|"&amp;DATOS!$D18931&amp;"|"&amp;DATOS!$E18931&amp;"|"&amp;DATOS!$I18931)</f>
      </c>
      <c r="G18931">
        <f>IF(DATOS!$A18931="",0,IF(CONFIG_METADATA!$B$4&lt;&gt;"OR+EX",--(DATOS!$G18931=CONFIG_METADATA!$B$4),IF(DATOS!$G18931="EX",1,IF(DATOS!$G18931="OR",--(COUNTIFS(nNIA,DATOS!$A18931,nCURSO,DATOS!$D18931,nESPEC,DATOS!$E18931,nASIG,DATOS!$I18931,nEVAL,"EX")=0),0))))</f>
      </c>
      <c r="H18931">
        <f>IF(DATOS!$G18931&lt;&gt;"EX",0,--(COUNTIFS(nNIA,DATOS!$A18931,nCURSO,DATOS!$D18931,nESPEC,DATOS!$E18931,nASIG,DATOS!$I18931,nEVAL,"OR")=0))</f>
      </c>
      <c r="I18931">
        <f>IF(DATOS!$I18931="","",IFERROR(VLOOKUP(DATOS!$I18931,CONFIG_ASIGNATURAS!$B$2:$J$91,9,FALSE()),""))</f>
      </c>
    </row>
    <row r="18932">
      <c r="F18932">
        <f>IF(DATOS!$A18932="","",DATOS!$A18932&amp;"|"&amp;DATOS!$D18932&amp;"|"&amp;DATOS!$E18932&amp;"|"&amp;DATOS!$I18932)</f>
      </c>
      <c r="G18932">
        <f>IF(DATOS!$A18932="",0,IF(CONFIG_METADATA!$B$4&lt;&gt;"OR+EX",--(DATOS!$G18932=CONFIG_METADATA!$B$4),IF(DATOS!$G18932="EX",1,IF(DATOS!$G18932="OR",--(COUNTIFS(nNIA,DATOS!$A18932,nCURSO,DATOS!$D18932,nESPEC,DATOS!$E18932,nASIG,DATOS!$I18932,nEVAL,"EX")=0),0))))</f>
      </c>
      <c r="H18932">
        <f>IF(DATOS!$G18932&lt;&gt;"EX",0,--(COUNTIFS(nNIA,DATOS!$A18932,nCURSO,DATOS!$D18932,nESPEC,DATOS!$E18932,nASIG,DATOS!$I18932,nEVAL,"OR")=0))</f>
      </c>
      <c r="I18932">
        <f>IF(DATOS!$I18932="","",IFERROR(VLOOKUP(DATOS!$I18932,CONFIG_ASIGNATURAS!$B$2:$J$91,9,FALSE()),""))</f>
      </c>
    </row>
    <row r="18933">
      <c r="F18933">
        <f>IF(DATOS!$A18933="","",DATOS!$A18933&amp;"|"&amp;DATOS!$D18933&amp;"|"&amp;DATOS!$E18933&amp;"|"&amp;DATOS!$I18933)</f>
      </c>
      <c r="G18933">
        <f>IF(DATOS!$A18933="",0,IF(CONFIG_METADATA!$B$4&lt;&gt;"OR+EX",--(DATOS!$G18933=CONFIG_METADATA!$B$4),IF(DATOS!$G18933="EX",1,IF(DATOS!$G18933="OR",--(COUNTIFS(nNIA,DATOS!$A18933,nCURSO,DATOS!$D18933,nESPEC,DATOS!$E18933,nASIG,DATOS!$I18933,nEVAL,"EX")=0),0))))</f>
      </c>
      <c r="H18933">
        <f>IF(DATOS!$G18933&lt;&gt;"EX",0,--(COUNTIFS(nNIA,DATOS!$A18933,nCURSO,DATOS!$D18933,nESPEC,DATOS!$E18933,nASIG,DATOS!$I18933,nEVAL,"OR")=0))</f>
      </c>
      <c r="I18933">
        <f>IF(DATOS!$I18933="","",IFERROR(VLOOKUP(DATOS!$I18933,CONFIG_ASIGNATURAS!$B$2:$J$91,9,FALSE()),""))</f>
      </c>
    </row>
    <row r="18934">
      <c r="F18934">
        <f>IF(DATOS!$A18934="","",DATOS!$A18934&amp;"|"&amp;DATOS!$D18934&amp;"|"&amp;DATOS!$E18934&amp;"|"&amp;DATOS!$I18934)</f>
      </c>
      <c r="G18934">
        <f>IF(DATOS!$A18934="",0,IF(CONFIG_METADATA!$B$4&lt;&gt;"OR+EX",--(DATOS!$G18934=CONFIG_METADATA!$B$4),IF(DATOS!$G18934="EX",1,IF(DATOS!$G18934="OR",--(COUNTIFS(nNIA,DATOS!$A18934,nCURSO,DATOS!$D18934,nESPEC,DATOS!$E18934,nASIG,DATOS!$I18934,nEVAL,"EX")=0),0))))</f>
      </c>
      <c r="H18934">
        <f>IF(DATOS!$G18934&lt;&gt;"EX",0,--(COUNTIFS(nNIA,DATOS!$A18934,nCURSO,DATOS!$D18934,nESPEC,DATOS!$E18934,nASIG,DATOS!$I18934,nEVAL,"OR")=0))</f>
      </c>
      <c r="I18934">
        <f>IF(DATOS!$I18934="","",IFERROR(VLOOKUP(DATOS!$I18934,CONFIG_ASIGNATURAS!$B$2:$J$91,9,FALSE()),""))</f>
      </c>
    </row>
    <row r="18935">
      <c r="F18935">
        <f>IF(DATOS!$A18935="","",DATOS!$A18935&amp;"|"&amp;DATOS!$D18935&amp;"|"&amp;DATOS!$E18935&amp;"|"&amp;DATOS!$I18935)</f>
      </c>
      <c r="G18935">
        <f>IF(DATOS!$A18935="",0,IF(CONFIG_METADATA!$B$4&lt;&gt;"OR+EX",--(DATOS!$G18935=CONFIG_METADATA!$B$4),IF(DATOS!$G18935="EX",1,IF(DATOS!$G18935="OR",--(COUNTIFS(nNIA,DATOS!$A18935,nCURSO,DATOS!$D18935,nESPEC,DATOS!$E18935,nASIG,DATOS!$I18935,nEVAL,"EX")=0),0))))</f>
      </c>
      <c r="H18935">
        <f>IF(DATOS!$G18935&lt;&gt;"EX",0,--(COUNTIFS(nNIA,DATOS!$A18935,nCURSO,DATOS!$D18935,nESPEC,DATOS!$E18935,nASIG,DATOS!$I18935,nEVAL,"OR")=0))</f>
      </c>
      <c r="I18935">
        <f>IF(DATOS!$I18935="","",IFERROR(VLOOKUP(DATOS!$I18935,CONFIG_ASIGNATURAS!$B$2:$J$91,9,FALSE()),""))</f>
      </c>
    </row>
    <row r="18936">
      <c r="F18936">
        <f>IF(DATOS!$A18936="","",DATOS!$A18936&amp;"|"&amp;DATOS!$D18936&amp;"|"&amp;DATOS!$E18936&amp;"|"&amp;DATOS!$I18936)</f>
      </c>
      <c r="G18936">
        <f>IF(DATOS!$A18936="",0,IF(CONFIG_METADATA!$B$4&lt;&gt;"OR+EX",--(DATOS!$G18936=CONFIG_METADATA!$B$4),IF(DATOS!$G18936="EX",1,IF(DATOS!$G18936="OR",--(COUNTIFS(nNIA,DATOS!$A18936,nCURSO,DATOS!$D18936,nESPEC,DATOS!$E18936,nASIG,DATOS!$I18936,nEVAL,"EX")=0),0))))</f>
      </c>
      <c r="H18936">
        <f>IF(DATOS!$G18936&lt;&gt;"EX",0,--(COUNTIFS(nNIA,DATOS!$A18936,nCURSO,DATOS!$D18936,nESPEC,DATOS!$E18936,nASIG,DATOS!$I18936,nEVAL,"OR")=0))</f>
      </c>
      <c r="I18936">
        <f>IF(DATOS!$I18936="","",IFERROR(VLOOKUP(DATOS!$I18936,CONFIG_ASIGNATURAS!$B$2:$J$91,9,FALSE()),""))</f>
      </c>
    </row>
    <row r="18937">
      <c r="F18937">
        <f>IF(DATOS!$A18937="","",DATOS!$A18937&amp;"|"&amp;DATOS!$D18937&amp;"|"&amp;DATOS!$E18937&amp;"|"&amp;DATOS!$I18937)</f>
      </c>
      <c r="G18937">
        <f>IF(DATOS!$A18937="",0,IF(CONFIG_METADATA!$B$4&lt;&gt;"OR+EX",--(DATOS!$G18937=CONFIG_METADATA!$B$4),IF(DATOS!$G18937="EX",1,IF(DATOS!$G18937="OR",--(COUNTIFS(nNIA,DATOS!$A18937,nCURSO,DATOS!$D18937,nESPEC,DATOS!$E18937,nASIG,DATOS!$I18937,nEVAL,"EX")=0),0))))</f>
      </c>
      <c r="H18937">
        <f>IF(DATOS!$G18937&lt;&gt;"EX",0,--(COUNTIFS(nNIA,DATOS!$A18937,nCURSO,DATOS!$D18937,nESPEC,DATOS!$E18937,nASIG,DATOS!$I18937,nEVAL,"OR")=0))</f>
      </c>
      <c r="I18937">
        <f>IF(DATOS!$I18937="","",IFERROR(VLOOKUP(DATOS!$I18937,CONFIG_ASIGNATURAS!$B$2:$J$91,9,FALSE()),""))</f>
      </c>
    </row>
    <row r="18938">
      <c r="F18938">
        <f>IF(DATOS!$A18938="","",DATOS!$A18938&amp;"|"&amp;DATOS!$D18938&amp;"|"&amp;DATOS!$E18938&amp;"|"&amp;DATOS!$I18938)</f>
      </c>
      <c r="G18938">
        <f>IF(DATOS!$A18938="",0,IF(CONFIG_METADATA!$B$4&lt;&gt;"OR+EX",--(DATOS!$G18938=CONFIG_METADATA!$B$4),IF(DATOS!$G18938="EX",1,IF(DATOS!$G18938="OR",--(COUNTIFS(nNIA,DATOS!$A18938,nCURSO,DATOS!$D18938,nESPEC,DATOS!$E18938,nASIG,DATOS!$I18938,nEVAL,"EX")=0),0))))</f>
      </c>
      <c r="H18938">
        <f>IF(DATOS!$G18938&lt;&gt;"EX",0,--(COUNTIFS(nNIA,DATOS!$A18938,nCURSO,DATOS!$D18938,nESPEC,DATOS!$E18938,nASIG,DATOS!$I18938,nEVAL,"OR")=0))</f>
      </c>
      <c r="I18938">
        <f>IF(DATOS!$I18938="","",IFERROR(VLOOKUP(DATOS!$I18938,CONFIG_ASIGNATURAS!$B$2:$J$91,9,FALSE()),""))</f>
      </c>
    </row>
    <row r="18939">
      <c r="F18939">
        <f>IF(DATOS!$A18939="","",DATOS!$A18939&amp;"|"&amp;DATOS!$D18939&amp;"|"&amp;DATOS!$E18939&amp;"|"&amp;DATOS!$I18939)</f>
      </c>
      <c r="G18939">
        <f>IF(DATOS!$A18939="",0,IF(CONFIG_METADATA!$B$4&lt;&gt;"OR+EX",--(DATOS!$G18939=CONFIG_METADATA!$B$4),IF(DATOS!$G18939="EX",1,IF(DATOS!$G18939="OR",--(COUNTIFS(nNIA,DATOS!$A18939,nCURSO,DATOS!$D18939,nESPEC,DATOS!$E18939,nASIG,DATOS!$I18939,nEVAL,"EX")=0),0))))</f>
      </c>
      <c r="H18939">
        <f>IF(DATOS!$G18939&lt;&gt;"EX",0,--(COUNTIFS(nNIA,DATOS!$A18939,nCURSO,DATOS!$D18939,nESPEC,DATOS!$E18939,nASIG,DATOS!$I18939,nEVAL,"OR")=0))</f>
      </c>
      <c r="I18939">
        <f>IF(DATOS!$I18939="","",IFERROR(VLOOKUP(DATOS!$I18939,CONFIG_ASIGNATURAS!$B$2:$J$91,9,FALSE()),""))</f>
      </c>
    </row>
    <row r="18940">
      <c r="F18940">
        <f>IF(DATOS!$A18940="","",DATOS!$A18940&amp;"|"&amp;DATOS!$D18940&amp;"|"&amp;DATOS!$E18940&amp;"|"&amp;DATOS!$I18940)</f>
      </c>
      <c r="G18940">
        <f>IF(DATOS!$A18940="",0,IF(CONFIG_METADATA!$B$4&lt;&gt;"OR+EX",--(DATOS!$G18940=CONFIG_METADATA!$B$4),IF(DATOS!$G18940="EX",1,IF(DATOS!$G18940="OR",--(COUNTIFS(nNIA,DATOS!$A18940,nCURSO,DATOS!$D18940,nESPEC,DATOS!$E18940,nASIG,DATOS!$I18940,nEVAL,"EX")=0),0))))</f>
      </c>
      <c r="H18940">
        <f>IF(DATOS!$G18940&lt;&gt;"EX",0,--(COUNTIFS(nNIA,DATOS!$A18940,nCURSO,DATOS!$D18940,nESPEC,DATOS!$E18940,nASIG,DATOS!$I18940,nEVAL,"OR")=0))</f>
      </c>
      <c r="I18940">
        <f>IF(DATOS!$I18940="","",IFERROR(VLOOKUP(DATOS!$I18940,CONFIG_ASIGNATURAS!$B$2:$J$91,9,FALSE()),""))</f>
      </c>
    </row>
    <row r="18941">
      <c r="F18941">
        <f>IF(DATOS!$A18941="","",DATOS!$A18941&amp;"|"&amp;DATOS!$D18941&amp;"|"&amp;DATOS!$E18941&amp;"|"&amp;DATOS!$I18941)</f>
      </c>
      <c r="G18941">
        <f>IF(DATOS!$A18941="",0,IF(CONFIG_METADATA!$B$4&lt;&gt;"OR+EX",--(DATOS!$G18941=CONFIG_METADATA!$B$4),IF(DATOS!$G18941="EX",1,IF(DATOS!$G18941="OR",--(COUNTIFS(nNIA,DATOS!$A18941,nCURSO,DATOS!$D18941,nESPEC,DATOS!$E18941,nASIG,DATOS!$I18941,nEVAL,"EX")=0),0))))</f>
      </c>
      <c r="H18941">
        <f>IF(DATOS!$G18941&lt;&gt;"EX",0,--(COUNTIFS(nNIA,DATOS!$A18941,nCURSO,DATOS!$D18941,nESPEC,DATOS!$E18941,nASIG,DATOS!$I18941,nEVAL,"OR")=0))</f>
      </c>
      <c r="I18941">
        <f>IF(DATOS!$I18941="","",IFERROR(VLOOKUP(DATOS!$I18941,CONFIG_ASIGNATURAS!$B$2:$J$91,9,FALSE()),""))</f>
      </c>
    </row>
    <row r="18942">
      <c r="F18942">
        <f>IF(DATOS!$A18942="","",DATOS!$A18942&amp;"|"&amp;DATOS!$D18942&amp;"|"&amp;DATOS!$E18942&amp;"|"&amp;DATOS!$I18942)</f>
      </c>
      <c r="G18942">
        <f>IF(DATOS!$A18942="",0,IF(CONFIG_METADATA!$B$4&lt;&gt;"OR+EX",--(DATOS!$G18942=CONFIG_METADATA!$B$4),IF(DATOS!$G18942="EX",1,IF(DATOS!$G18942="OR",--(COUNTIFS(nNIA,DATOS!$A18942,nCURSO,DATOS!$D18942,nESPEC,DATOS!$E18942,nASIG,DATOS!$I18942,nEVAL,"EX")=0),0))))</f>
      </c>
      <c r="H18942">
        <f>IF(DATOS!$G18942&lt;&gt;"EX",0,--(COUNTIFS(nNIA,DATOS!$A18942,nCURSO,DATOS!$D18942,nESPEC,DATOS!$E18942,nASIG,DATOS!$I18942,nEVAL,"OR")=0))</f>
      </c>
      <c r="I18942">
        <f>IF(DATOS!$I18942="","",IFERROR(VLOOKUP(DATOS!$I18942,CONFIG_ASIGNATURAS!$B$2:$J$91,9,FALSE()),""))</f>
      </c>
    </row>
    <row r="18943">
      <c r="F18943">
        <f>IF(DATOS!$A18943="","",DATOS!$A18943&amp;"|"&amp;DATOS!$D18943&amp;"|"&amp;DATOS!$E18943&amp;"|"&amp;DATOS!$I18943)</f>
      </c>
      <c r="G18943">
        <f>IF(DATOS!$A18943="",0,IF(CONFIG_METADATA!$B$4&lt;&gt;"OR+EX",--(DATOS!$G18943=CONFIG_METADATA!$B$4),IF(DATOS!$G18943="EX",1,IF(DATOS!$G18943="OR",--(COUNTIFS(nNIA,DATOS!$A18943,nCURSO,DATOS!$D18943,nESPEC,DATOS!$E18943,nASIG,DATOS!$I18943,nEVAL,"EX")=0),0))))</f>
      </c>
      <c r="H18943">
        <f>IF(DATOS!$G18943&lt;&gt;"EX",0,--(COUNTIFS(nNIA,DATOS!$A18943,nCURSO,DATOS!$D18943,nESPEC,DATOS!$E18943,nASIG,DATOS!$I18943,nEVAL,"OR")=0))</f>
      </c>
      <c r="I18943">
        <f>IF(DATOS!$I18943="","",IFERROR(VLOOKUP(DATOS!$I18943,CONFIG_ASIGNATURAS!$B$2:$J$91,9,FALSE()),""))</f>
      </c>
    </row>
    <row r="18944">
      <c r="F18944">
        <f>IF(DATOS!$A18944="","",DATOS!$A18944&amp;"|"&amp;DATOS!$D18944&amp;"|"&amp;DATOS!$E18944&amp;"|"&amp;DATOS!$I18944)</f>
      </c>
      <c r="G18944">
        <f>IF(DATOS!$A18944="",0,IF(CONFIG_METADATA!$B$4&lt;&gt;"OR+EX",--(DATOS!$G18944=CONFIG_METADATA!$B$4),IF(DATOS!$G18944="EX",1,IF(DATOS!$G18944="OR",--(COUNTIFS(nNIA,DATOS!$A18944,nCURSO,DATOS!$D18944,nESPEC,DATOS!$E18944,nASIG,DATOS!$I18944,nEVAL,"EX")=0),0))))</f>
      </c>
      <c r="H18944">
        <f>IF(DATOS!$G18944&lt;&gt;"EX",0,--(COUNTIFS(nNIA,DATOS!$A18944,nCURSO,DATOS!$D18944,nESPEC,DATOS!$E18944,nASIG,DATOS!$I18944,nEVAL,"OR")=0))</f>
      </c>
      <c r="I18944">
        <f>IF(DATOS!$I18944="","",IFERROR(VLOOKUP(DATOS!$I18944,CONFIG_ASIGNATURAS!$B$2:$J$91,9,FALSE()),""))</f>
      </c>
    </row>
    <row r="18945">
      <c r="F18945">
        <f>IF(DATOS!$A18945="","",DATOS!$A18945&amp;"|"&amp;DATOS!$D18945&amp;"|"&amp;DATOS!$E18945&amp;"|"&amp;DATOS!$I18945)</f>
      </c>
      <c r="G18945">
        <f>IF(DATOS!$A18945="",0,IF(CONFIG_METADATA!$B$4&lt;&gt;"OR+EX",--(DATOS!$G18945=CONFIG_METADATA!$B$4),IF(DATOS!$G18945="EX",1,IF(DATOS!$G18945="OR",--(COUNTIFS(nNIA,DATOS!$A18945,nCURSO,DATOS!$D18945,nESPEC,DATOS!$E18945,nASIG,DATOS!$I18945,nEVAL,"EX")=0),0))))</f>
      </c>
      <c r="H18945">
        <f>IF(DATOS!$G18945&lt;&gt;"EX",0,--(COUNTIFS(nNIA,DATOS!$A18945,nCURSO,DATOS!$D18945,nESPEC,DATOS!$E18945,nASIG,DATOS!$I18945,nEVAL,"OR")=0))</f>
      </c>
      <c r="I18945">
        <f>IF(DATOS!$I18945="","",IFERROR(VLOOKUP(DATOS!$I18945,CONFIG_ASIGNATURAS!$B$2:$J$91,9,FALSE()),""))</f>
      </c>
    </row>
    <row r="18946">
      <c r="F18946">
        <f>IF(DATOS!$A18946="","",DATOS!$A18946&amp;"|"&amp;DATOS!$D18946&amp;"|"&amp;DATOS!$E18946&amp;"|"&amp;DATOS!$I18946)</f>
      </c>
      <c r="G18946">
        <f>IF(DATOS!$A18946="",0,IF(CONFIG_METADATA!$B$4&lt;&gt;"OR+EX",--(DATOS!$G18946=CONFIG_METADATA!$B$4),IF(DATOS!$G18946="EX",1,IF(DATOS!$G18946="OR",--(COUNTIFS(nNIA,DATOS!$A18946,nCURSO,DATOS!$D18946,nESPEC,DATOS!$E18946,nASIG,DATOS!$I18946,nEVAL,"EX")=0),0))))</f>
      </c>
      <c r="H18946">
        <f>IF(DATOS!$G18946&lt;&gt;"EX",0,--(COUNTIFS(nNIA,DATOS!$A18946,nCURSO,DATOS!$D18946,nESPEC,DATOS!$E18946,nASIG,DATOS!$I18946,nEVAL,"OR")=0))</f>
      </c>
      <c r="I18946">
        <f>IF(DATOS!$I18946="","",IFERROR(VLOOKUP(DATOS!$I18946,CONFIG_ASIGNATURAS!$B$2:$J$91,9,FALSE()),""))</f>
      </c>
    </row>
    <row r="18947">
      <c r="F18947">
        <f>IF(DATOS!$A18947="","",DATOS!$A18947&amp;"|"&amp;DATOS!$D18947&amp;"|"&amp;DATOS!$E18947&amp;"|"&amp;DATOS!$I18947)</f>
      </c>
      <c r="G18947">
        <f>IF(DATOS!$A18947="",0,IF(CONFIG_METADATA!$B$4&lt;&gt;"OR+EX",--(DATOS!$G18947=CONFIG_METADATA!$B$4),IF(DATOS!$G18947="EX",1,IF(DATOS!$G18947="OR",--(COUNTIFS(nNIA,DATOS!$A18947,nCURSO,DATOS!$D18947,nESPEC,DATOS!$E18947,nASIG,DATOS!$I18947,nEVAL,"EX")=0),0))))</f>
      </c>
      <c r="H18947">
        <f>IF(DATOS!$G18947&lt;&gt;"EX",0,--(COUNTIFS(nNIA,DATOS!$A18947,nCURSO,DATOS!$D18947,nESPEC,DATOS!$E18947,nASIG,DATOS!$I18947,nEVAL,"OR")=0))</f>
      </c>
      <c r="I18947">
        <f>IF(DATOS!$I18947="","",IFERROR(VLOOKUP(DATOS!$I18947,CONFIG_ASIGNATURAS!$B$2:$J$91,9,FALSE()),""))</f>
      </c>
    </row>
    <row r="18948">
      <c r="F18948">
        <f>IF(DATOS!$A18948="","",DATOS!$A18948&amp;"|"&amp;DATOS!$D18948&amp;"|"&amp;DATOS!$E18948&amp;"|"&amp;DATOS!$I18948)</f>
      </c>
      <c r="G18948">
        <f>IF(DATOS!$A18948="",0,IF(CONFIG_METADATA!$B$4&lt;&gt;"OR+EX",--(DATOS!$G18948=CONFIG_METADATA!$B$4),IF(DATOS!$G18948="EX",1,IF(DATOS!$G18948="OR",--(COUNTIFS(nNIA,DATOS!$A18948,nCURSO,DATOS!$D18948,nESPEC,DATOS!$E18948,nASIG,DATOS!$I18948,nEVAL,"EX")=0),0))))</f>
      </c>
      <c r="H18948">
        <f>IF(DATOS!$G18948&lt;&gt;"EX",0,--(COUNTIFS(nNIA,DATOS!$A18948,nCURSO,DATOS!$D18948,nESPEC,DATOS!$E18948,nASIG,DATOS!$I18948,nEVAL,"OR")=0))</f>
      </c>
      <c r="I18948">
        <f>IF(DATOS!$I18948="","",IFERROR(VLOOKUP(DATOS!$I18948,CONFIG_ASIGNATURAS!$B$2:$J$91,9,FALSE()),""))</f>
      </c>
    </row>
    <row r="18949">
      <c r="F18949">
        <f>IF(DATOS!$A18949="","",DATOS!$A18949&amp;"|"&amp;DATOS!$D18949&amp;"|"&amp;DATOS!$E18949&amp;"|"&amp;DATOS!$I18949)</f>
      </c>
      <c r="G18949">
        <f>IF(DATOS!$A18949="",0,IF(CONFIG_METADATA!$B$4&lt;&gt;"OR+EX",--(DATOS!$G18949=CONFIG_METADATA!$B$4),IF(DATOS!$G18949="EX",1,IF(DATOS!$G18949="OR",--(COUNTIFS(nNIA,DATOS!$A18949,nCURSO,DATOS!$D18949,nESPEC,DATOS!$E18949,nASIG,DATOS!$I18949,nEVAL,"EX")=0),0))))</f>
      </c>
      <c r="H18949">
        <f>IF(DATOS!$G18949&lt;&gt;"EX",0,--(COUNTIFS(nNIA,DATOS!$A18949,nCURSO,DATOS!$D18949,nESPEC,DATOS!$E18949,nASIG,DATOS!$I18949,nEVAL,"OR")=0))</f>
      </c>
      <c r="I18949">
        <f>IF(DATOS!$I18949="","",IFERROR(VLOOKUP(DATOS!$I18949,CONFIG_ASIGNATURAS!$B$2:$J$91,9,FALSE()),""))</f>
      </c>
    </row>
    <row r="18950">
      <c r="F18950">
        <f>IF(DATOS!$A18950="","",DATOS!$A18950&amp;"|"&amp;DATOS!$D18950&amp;"|"&amp;DATOS!$E18950&amp;"|"&amp;DATOS!$I18950)</f>
      </c>
      <c r="G18950">
        <f>IF(DATOS!$A18950="",0,IF(CONFIG_METADATA!$B$4&lt;&gt;"OR+EX",--(DATOS!$G18950=CONFIG_METADATA!$B$4),IF(DATOS!$G18950="EX",1,IF(DATOS!$G18950="OR",--(COUNTIFS(nNIA,DATOS!$A18950,nCURSO,DATOS!$D18950,nESPEC,DATOS!$E18950,nASIG,DATOS!$I18950,nEVAL,"EX")=0),0))))</f>
      </c>
      <c r="H18950">
        <f>IF(DATOS!$G18950&lt;&gt;"EX",0,--(COUNTIFS(nNIA,DATOS!$A18950,nCURSO,DATOS!$D18950,nESPEC,DATOS!$E18950,nASIG,DATOS!$I18950,nEVAL,"OR")=0))</f>
      </c>
      <c r="I18950">
        <f>IF(DATOS!$I18950="","",IFERROR(VLOOKUP(DATOS!$I18950,CONFIG_ASIGNATURAS!$B$2:$J$91,9,FALSE()),""))</f>
      </c>
    </row>
    <row r="18951">
      <c r="F18951">
        <f>IF(DATOS!$A18951="","",DATOS!$A18951&amp;"|"&amp;DATOS!$D18951&amp;"|"&amp;DATOS!$E18951&amp;"|"&amp;DATOS!$I18951)</f>
      </c>
      <c r="G18951">
        <f>IF(DATOS!$A18951="",0,IF(CONFIG_METADATA!$B$4&lt;&gt;"OR+EX",--(DATOS!$G18951=CONFIG_METADATA!$B$4),IF(DATOS!$G18951="EX",1,IF(DATOS!$G18951="OR",--(COUNTIFS(nNIA,DATOS!$A18951,nCURSO,DATOS!$D18951,nESPEC,DATOS!$E18951,nASIG,DATOS!$I18951,nEVAL,"EX")=0),0))))</f>
      </c>
      <c r="H18951">
        <f>IF(DATOS!$G18951&lt;&gt;"EX",0,--(COUNTIFS(nNIA,DATOS!$A18951,nCURSO,DATOS!$D18951,nESPEC,DATOS!$E18951,nASIG,DATOS!$I18951,nEVAL,"OR")=0))</f>
      </c>
      <c r="I18951">
        <f>IF(DATOS!$I18951="","",IFERROR(VLOOKUP(DATOS!$I18951,CONFIG_ASIGNATURAS!$B$2:$J$91,9,FALSE()),""))</f>
      </c>
    </row>
    <row r="18952">
      <c r="F18952">
        <f>IF(DATOS!$A18952="","",DATOS!$A18952&amp;"|"&amp;DATOS!$D18952&amp;"|"&amp;DATOS!$E18952&amp;"|"&amp;DATOS!$I18952)</f>
      </c>
      <c r="G18952">
        <f>IF(DATOS!$A18952="",0,IF(CONFIG_METADATA!$B$4&lt;&gt;"OR+EX",--(DATOS!$G18952=CONFIG_METADATA!$B$4),IF(DATOS!$G18952="EX",1,IF(DATOS!$G18952="OR",--(COUNTIFS(nNIA,DATOS!$A18952,nCURSO,DATOS!$D18952,nESPEC,DATOS!$E18952,nASIG,DATOS!$I18952,nEVAL,"EX")=0),0))))</f>
      </c>
      <c r="H18952">
        <f>IF(DATOS!$G18952&lt;&gt;"EX",0,--(COUNTIFS(nNIA,DATOS!$A18952,nCURSO,DATOS!$D18952,nESPEC,DATOS!$E18952,nASIG,DATOS!$I18952,nEVAL,"OR")=0))</f>
      </c>
      <c r="I18952">
        <f>IF(DATOS!$I18952="","",IFERROR(VLOOKUP(DATOS!$I18952,CONFIG_ASIGNATURAS!$B$2:$J$91,9,FALSE()),""))</f>
      </c>
    </row>
    <row r="18953">
      <c r="F18953">
        <f>IF(DATOS!$A18953="","",DATOS!$A18953&amp;"|"&amp;DATOS!$D18953&amp;"|"&amp;DATOS!$E18953&amp;"|"&amp;DATOS!$I18953)</f>
      </c>
      <c r="G18953">
        <f>IF(DATOS!$A18953="",0,IF(CONFIG_METADATA!$B$4&lt;&gt;"OR+EX",--(DATOS!$G18953=CONFIG_METADATA!$B$4),IF(DATOS!$G18953="EX",1,IF(DATOS!$G18953="OR",--(COUNTIFS(nNIA,DATOS!$A18953,nCURSO,DATOS!$D18953,nESPEC,DATOS!$E18953,nASIG,DATOS!$I18953,nEVAL,"EX")=0),0))))</f>
      </c>
      <c r="H18953">
        <f>IF(DATOS!$G18953&lt;&gt;"EX",0,--(COUNTIFS(nNIA,DATOS!$A18953,nCURSO,DATOS!$D18953,nESPEC,DATOS!$E18953,nASIG,DATOS!$I18953,nEVAL,"OR")=0))</f>
      </c>
      <c r="I18953">
        <f>IF(DATOS!$I18953="","",IFERROR(VLOOKUP(DATOS!$I18953,CONFIG_ASIGNATURAS!$B$2:$J$91,9,FALSE()),""))</f>
      </c>
    </row>
    <row r="18954">
      <c r="F18954">
        <f>IF(DATOS!$A18954="","",DATOS!$A18954&amp;"|"&amp;DATOS!$D18954&amp;"|"&amp;DATOS!$E18954&amp;"|"&amp;DATOS!$I18954)</f>
      </c>
      <c r="G18954">
        <f>IF(DATOS!$A18954="",0,IF(CONFIG_METADATA!$B$4&lt;&gt;"OR+EX",--(DATOS!$G18954=CONFIG_METADATA!$B$4),IF(DATOS!$G18954="EX",1,IF(DATOS!$G18954="OR",--(COUNTIFS(nNIA,DATOS!$A18954,nCURSO,DATOS!$D18954,nESPEC,DATOS!$E18954,nASIG,DATOS!$I18954,nEVAL,"EX")=0),0))))</f>
      </c>
      <c r="H18954">
        <f>IF(DATOS!$G18954&lt;&gt;"EX",0,--(COUNTIFS(nNIA,DATOS!$A18954,nCURSO,DATOS!$D18954,nESPEC,DATOS!$E18954,nASIG,DATOS!$I18954,nEVAL,"OR")=0))</f>
      </c>
      <c r="I18954">
        <f>IF(DATOS!$I18954="","",IFERROR(VLOOKUP(DATOS!$I18954,CONFIG_ASIGNATURAS!$B$2:$J$91,9,FALSE()),""))</f>
      </c>
    </row>
    <row r="18955">
      <c r="F18955">
        <f>IF(DATOS!$A18955="","",DATOS!$A18955&amp;"|"&amp;DATOS!$D18955&amp;"|"&amp;DATOS!$E18955&amp;"|"&amp;DATOS!$I18955)</f>
      </c>
      <c r="G18955">
        <f>IF(DATOS!$A18955="",0,IF(CONFIG_METADATA!$B$4&lt;&gt;"OR+EX",--(DATOS!$G18955=CONFIG_METADATA!$B$4),IF(DATOS!$G18955="EX",1,IF(DATOS!$G18955="OR",--(COUNTIFS(nNIA,DATOS!$A18955,nCURSO,DATOS!$D18955,nESPEC,DATOS!$E18955,nASIG,DATOS!$I18955,nEVAL,"EX")=0),0))))</f>
      </c>
      <c r="H18955">
        <f>IF(DATOS!$G18955&lt;&gt;"EX",0,--(COUNTIFS(nNIA,DATOS!$A18955,nCURSO,DATOS!$D18955,nESPEC,DATOS!$E18955,nASIG,DATOS!$I18955,nEVAL,"OR")=0))</f>
      </c>
      <c r="I18955">
        <f>IF(DATOS!$I18955="","",IFERROR(VLOOKUP(DATOS!$I18955,CONFIG_ASIGNATURAS!$B$2:$J$91,9,FALSE()),""))</f>
      </c>
    </row>
    <row r="18956">
      <c r="F18956">
        <f>IF(DATOS!$A18956="","",DATOS!$A18956&amp;"|"&amp;DATOS!$D18956&amp;"|"&amp;DATOS!$E18956&amp;"|"&amp;DATOS!$I18956)</f>
      </c>
      <c r="G18956">
        <f>IF(DATOS!$A18956="",0,IF(CONFIG_METADATA!$B$4&lt;&gt;"OR+EX",--(DATOS!$G18956=CONFIG_METADATA!$B$4),IF(DATOS!$G18956="EX",1,IF(DATOS!$G18956="OR",--(COUNTIFS(nNIA,DATOS!$A18956,nCURSO,DATOS!$D18956,nESPEC,DATOS!$E18956,nASIG,DATOS!$I18956,nEVAL,"EX")=0),0))))</f>
      </c>
      <c r="H18956">
        <f>IF(DATOS!$G18956&lt;&gt;"EX",0,--(COUNTIFS(nNIA,DATOS!$A18956,nCURSO,DATOS!$D18956,nESPEC,DATOS!$E18956,nASIG,DATOS!$I18956,nEVAL,"OR")=0))</f>
      </c>
      <c r="I18956">
        <f>IF(DATOS!$I18956="","",IFERROR(VLOOKUP(DATOS!$I18956,CONFIG_ASIGNATURAS!$B$2:$J$91,9,FALSE()),""))</f>
      </c>
    </row>
    <row r="18957">
      <c r="F18957">
        <f>IF(DATOS!$A18957="","",DATOS!$A18957&amp;"|"&amp;DATOS!$D18957&amp;"|"&amp;DATOS!$E18957&amp;"|"&amp;DATOS!$I18957)</f>
      </c>
      <c r="G18957">
        <f>IF(DATOS!$A18957="",0,IF(CONFIG_METADATA!$B$4&lt;&gt;"OR+EX",--(DATOS!$G18957=CONFIG_METADATA!$B$4),IF(DATOS!$G18957="EX",1,IF(DATOS!$G18957="OR",--(COUNTIFS(nNIA,DATOS!$A18957,nCURSO,DATOS!$D18957,nESPEC,DATOS!$E18957,nASIG,DATOS!$I18957,nEVAL,"EX")=0),0))))</f>
      </c>
      <c r="H18957">
        <f>IF(DATOS!$G18957&lt;&gt;"EX",0,--(COUNTIFS(nNIA,DATOS!$A18957,nCURSO,DATOS!$D18957,nESPEC,DATOS!$E18957,nASIG,DATOS!$I18957,nEVAL,"OR")=0))</f>
      </c>
      <c r="I18957">
        <f>IF(DATOS!$I18957="","",IFERROR(VLOOKUP(DATOS!$I18957,CONFIG_ASIGNATURAS!$B$2:$J$91,9,FALSE()),""))</f>
      </c>
    </row>
    <row r="18958">
      <c r="F18958">
        <f>IF(DATOS!$A18958="","",DATOS!$A18958&amp;"|"&amp;DATOS!$D18958&amp;"|"&amp;DATOS!$E18958&amp;"|"&amp;DATOS!$I18958)</f>
      </c>
      <c r="G18958">
        <f>IF(DATOS!$A18958="",0,IF(CONFIG_METADATA!$B$4&lt;&gt;"OR+EX",--(DATOS!$G18958=CONFIG_METADATA!$B$4),IF(DATOS!$G18958="EX",1,IF(DATOS!$G18958="OR",--(COUNTIFS(nNIA,DATOS!$A18958,nCURSO,DATOS!$D18958,nESPEC,DATOS!$E18958,nASIG,DATOS!$I18958,nEVAL,"EX")=0),0))))</f>
      </c>
      <c r="H18958">
        <f>IF(DATOS!$G18958&lt;&gt;"EX",0,--(COUNTIFS(nNIA,DATOS!$A18958,nCURSO,DATOS!$D18958,nESPEC,DATOS!$E18958,nASIG,DATOS!$I18958,nEVAL,"OR")=0))</f>
      </c>
      <c r="I18958">
        <f>IF(DATOS!$I18958="","",IFERROR(VLOOKUP(DATOS!$I18958,CONFIG_ASIGNATURAS!$B$2:$J$91,9,FALSE()),""))</f>
      </c>
    </row>
    <row r="18959">
      <c r="F18959">
        <f>IF(DATOS!$A18959="","",DATOS!$A18959&amp;"|"&amp;DATOS!$D18959&amp;"|"&amp;DATOS!$E18959&amp;"|"&amp;DATOS!$I18959)</f>
      </c>
      <c r="G18959">
        <f>IF(DATOS!$A18959="",0,IF(CONFIG_METADATA!$B$4&lt;&gt;"OR+EX",--(DATOS!$G18959=CONFIG_METADATA!$B$4),IF(DATOS!$G18959="EX",1,IF(DATOS!$G18959="OR",--(COUNTIFS(nNIA,DATOS!$A18959,nCURSO,DATOS!$D18959,nESPEC,DATOS!$E18959,nASIG,DATOS!$I18959,nEVAL,"EX")=0),0))))</f>
      </c>
      <c r="H18959">
        <f>IF(DATOS!$G18959&lt;&gt;"EX",0,--(COUNTIFS(nNIA,DATOS!$A18959,nCURSO,DATOS!$D18959,nESPEC,DATOS!$E18959,nASIG,DATOS!$I18959,nEVAL,"OR")=0))</f>
      </c>
      <c r="I18959">
        <f>IF(DATOS!$I18959="","",IFERROR(VLOOKUP(DATOS!$I18959,CONFIG_ASIGNATURAS!$B$2:$J$91,9,FALSE()),""))</f>
      </c>
    </row>
    <row r="18960">
      <c r="F18960">
        <f>IF(DATOS!$A18960="","",DATOS!$A18960&amp;"|"&amp;DATOS!$D18960&amp;"|"&amp;DATOS!$E18960&amp;"|"&amp;DATOS!$I18960)</f>
      </c>
      <c r="G18960">
        <f>IF(DATOS!$A18960="",0,IF(CONFIG_METADATA!$B$4&lt;&gt;"OR+EX",--(DATOS!$G18960=CONFIG_METADATA!$B$4),IF(DATOS!$G18960="EX",1,IF(DATOS!$G18960="OR",--(COUNTIFS(nNIA,DATOS!$A18960,nCURSO,DATOS!$D18960,nESPEC,DATOS!$E18960,nASIG,DATOS!$I18960,nEVAL,"EX")=0),0))))</f>
      </c>
      <c r="H18960">
        <f>IF(DATOS!$G18960&lt;&gt;"EX",0,--(COUNTIFS(nNIA,DATOS!$A18960,nCURSO,DATOS!$D18960,nESPEC,DATOS!$E18960,nASIG,DATOS!$I18960,nEVAL,"OR")=0))</f>
      </c>
      <c r="I18960">
        <f>IF(DATOS!$I18960="","",IFERROR(VLOOKUP(DATOS!$I18960,CONFIG_ASIGNATURAS!$B$2:$J$91,9,FALSE()),""))</f>
      </c>
    </row>
    <row r="18961">
      <c r="F18961">
        <f>IF(DATOS!$A18961="","",DATOS!$A18961&amp;"|"&amp;DATOS!$D18961&amp;"|"&amp;DATOS!$E18961&amp;"|"&amp;DATOS!$I18961)</f>
      </c>
      <c r="G18961">
        <f>IF(DATOS!$A18961="",0,IF(CONFIG_METADATA!$B$4&lt;&gt;"OR+EX",--(DATOS!$G18961=CONFIG_METADATA!$B$4),IF(DATOS!$G18961="EX",1,IF(DATOS!$G18961="OR",--(COUNTIFS(nNIA,DATOS!$A18961,nCURSO,DATOS!$D18961,nESPEC,DATOS!$E18961,nASIG,DATOS!$I18961,nEVAL,"EX")=0),0))))</f>
      </c>
      <c r="H18961">
        <f>IF(DATOS!$G18961&lt;&gt;"EX",0,--(COUNTIFS(nNIA,DATOS!$A18961,nCURSO,DATOS!$D18961,nESPEC,DATOS!$E18961,nASIG,DATOS!$I18961,nEVAL,"OR")=0))</f>
      </c>
      <c r="I18961">
        <f>IF(DATOS!$I18961="","",IFERROR(VLOOKUP(DATOS!$I18961,CONFIG_ASIGNATURAS!$B$2:$J$91,9,FALSE()),""))</f>
      </c>
    </row>
    <row r="18962">
      <c r="F18962">
        <f>IF(DATOS!$A18962="","",DATOS!$A18962&amp;"|"&amp;DATOS!$D18962&amp;"|"&amp;DATOS!$E18962&amp;"|"&amp;DATOS!$I18962)</f>
      </c>
      <c r="G18962">
        <f>IF(DATOS!$A18962="",0,IF(CONFIG_METADATA!$B$4&lt;&gt;"OR+EX",--(DATOS!$G18962=CONFIG_METADATA!$B$4),IF(DATOS!$G18962="EX",1,IF(DATOS!$G18962="OR",--(COUNTIFS(nNIA,DATOS!$A18962,nCURSO,DATOS!$D18962,nESPEC,DATOS!$E18962,nASIG,DATOS!$I18962,nEVAL,"EX")=0),0))))</f>
      </c>
      <c r="H18962">
        <f>IF(DATOS!$G18962&lt;&gt;"EX",0,--(COUNTIFS(nNIA,DATOS!$A18962,nCURSO,DATOS!$D18962,nESPEC,DATOS!$E18962,nASIG,DATOS!$I18962,nEVAL,"OR")=0))</f>
      </c>
      <c r="I18962">
        <f>IF(DATOS!$I18962="","",IFERROR(VLOOKUP(DATOS!$I18962,CONFIG_ASIGNATURAS!$B$2:$J$91,9,FALSE()),""))</f>
      </c>
    </row>
    <row r="18963">
      <c r="F18963">
        <f>IF(DATOS!$A18963="","",DATOS!$A18963&amp;"|"&amp;DATOS!$D18963&amp;"|"&amp;DATOS!$E18963&amp;"|"&amp;DATOS!$I18963)</f>
      </c>
      <c r="G18963">
        <f>IF(DATOS!$A18963="",0,IF(CONFIG_METADATA!$B$4&lt;&gt;"OR+EX",--(DATOS!$G18963=CONFIG_METADATA!$B$4),IF(DATOS!$G18963="EX",1,IF(DATOS!$G18963="OR",--(COUNTIFS(nNIA,DATOS!$A18963,nCURSO,DATOS!$D18963,nESPEC,DATOS!$E18963,nASIG,DATOS!$I18963,nEVAL,"EX")=0),0))))</f>
      </c>
      <c r="H18963">
        <f>IF(DATOS!$G18963&lt;&gt;"EX",0,--(COUNTIFS(nNIA,DATOS!$A18963,nCURSO,DATOS!$D18963,nESPEC,DATOS!$E18963,nASIG,DATOS!$I18963,nEVAL,"OR")=0))</f>
      </c>
      <c r="I18963">
        <f>IF(DATOS!$I18963="","",IFERROR(VLOOKUP(DATOS!$I18963,CONFIG_ASIGNATURAS!$B$2:$J$91,9,FALSE()),""))</f>
      </c>
    </row>
    <row r="18964">
      <c r="F18964">
        <f>IF(DATOS!$A18964="","",DATOS!$A18964&amp;"|"&amp;DATOS!$D18964&amp;"|"&amp;DATOS!$E18964&amp;"|"&amp;DATOS!$I18964)</f>
      </c>
      <c r="G18964">
        <f>IF(DATOS!$A18964="",0,IF(CONFIG_METADATA!$B$4&lt;&gt;"OR+EX",--(DATOS!$G18964=CONFIG_METADATA!$B$4),IF(DATOS!$G18964="EX",1,IF(DATOS!$G18964="OR",--(COUNTIFS(nNIA,DATOS!$A18964,nCURSO,DATOS!$D18964,nESPEC,DATOS!$E18964,nASIG,DATOS!$I18964,nEVAL,"EX")=0),0))))</f>
      </c>
      <c r="H18964">
        <f>IF(DATOS!$G18964&lt;&gt;"EX",0,--(COUNTIFS(nNIA,DATOS!$A18964,nCURSO,DATOS!$D18964,nESPEC,DATOS!$E18964,nASIG,DATOS!$I18964,nEVAL,"OR")=0))</f>
      </c>
      <c r="I18964">
        <f>IF(DATOS!$I18964="","",IFERROR(VLOOKUP(DATOS!$I18964,CONFIG_ASIGNATURAS!$B$2:$J$91,9,FALSE()),""))</f>
      </c>
    </row>
    <row r="18965">
      <c r="F18965">
        <f>IF(DATOS!$A18965="","",DATOS!$A18965&amp;"|"&amp;DATOS!$D18965&amp;"|"&amp;DATOS!$E18965&amp;"|"&amp;DATOS!$I18965)</f>
      </c>
      <c r="G18965">
        <f>IF(DATOS!$A18965="",0,IF(CONFIG_METADATA!$B$4&lt;&gt;"OR+EX",--(DATOS!$G18965=CONFIG_METADATA!$B$4),IF(DATOS!$G18965="EX",1,IF(DATOS!$G18965="OR",--(COUNTIFS(nNIA,DATOS!$A18965,nCURSO,DATOS!$D18965,nESPEC,DATOS!$E18965,nASIG,DATOS!$I18965,nEVAL,"EX")=0),0))))</f>
      </c>
      <c r="H18965">
        <f>IF(DATOS!$G18965&lt;&gt;"EX",0,--(COUNTIFS(nNIA,DATOS!$A18965,nCURSO,DATOS!$D18965,nESPEC,DATOS!$E18965,nASIG,DATOS!$I18965,nEVAL,"OR")=0))</f>
      </c>
      <c r="I18965">
        <f>IF(DATOS!$I18965="","",IFERROR(VLOOKUP(DATOS!$I18965,CONFIG_ASIGNATURAS!$B$2:$J$91,9,FALSE()),""))</f>
      </c>
    </row>
    <row r="18966">
      <c r="F18966">
        <f>IF(DATOS!$A18966="","",DATOS!$A18966&amp;"|"&amp;DATOS!$D18966&amp;"|"&amp;DATOS!$E18966&amp;"|"&amp;DATOS!$I18966)</f>
      </c>
      <c r="G18966">
        <f>IF(DATOS!$A18966="",0,IF(CONFIG_METADATA!$B$4&lt;&gt;"OR+EX",--(DATOS!$G18966=CONFIG_METADATA!$B$4),IF(DATOS!$G18966="EX",1,IF(DATOS!$G18966="OR",--(COUNTIFS(nNIA,DATOS!$A18966,nCURSO,DATOS!$D18966,nESPEC,DATOS!$E18966,nASIG,DATOS!$I18966,nEVAL,"EX")=0),0))))</f>
      </c>
      <c r="H18966">
        <f>IF(DATOS!$G18966&lt;&gt;"EX",0,--(COUNTIFS(nNIA,DATOS!$A18966,nCURSO,DATOS!$D18966,nESPEC,DATOS!$E18966,nASIG,DATOS!$I18966,nEVAL,"OR")=0))</f>
      </c>
      <c r="I18966">
        <f>IF(DATOS!$I18966="","",IFERROR(VLOOKUP(DATOS!$I18966,CONFIG_ASIGNATURAS!$B$2:$J$91,9,FALSE()),""))</f>
      </c>
    </row>
    <row r="18967">
      <c r="F18967">
        <f>IF(DATOS!$A18967="","",DATOS!$A18967&amp;"|"&amp;DATOS!$D18967&amp;"|"&amp;DATOS!$E18967&amp;"|"&amp;DATOS!$I18967)</f>
      </c>
      <c r="G18967">
        <f>IF(DATOS!$A18967="",0,IF(CONFIG_METADATA!$B$4&lt;&gt;"OR+EX",--(DATOS!$G18967=CONFIG_METADATA!$B$4),IF(DATOS!$G18967="EX",1,IF(DATOS!$G18967="OR",--(COUNTIFS(nNIA,DATOS!$A18967,nCURSO,DATOS!$D18967,nESPEC,DATOS!$E18967,nASIG,DATOS!$I18967,nEVAL,"EX")=0),0))))</f>
      </c>
      <c r="H18967">
        <f>IF(DATOS!$G18967&lt;&gt;"EX",0,--(COUNTIFS(nNIA,DATOS!$A18967,nCURSO,DATOS!$D18967,nESPEC,DATOS!$E18967,nASIG,DATOS!$I18967,nEVAL,"OR")=0))</f>
      </c>
      <c r="I18967">
        <f>IF(DATOS!$I18967="","",IFERROR(VLOOKUP(DATOS!$I18967,CONFIG_ASIGNATURAS!$B$2:$J$91,9,FALSE()),""))</f>
      </c>
    </row>
    <row r="18968">
      <c r="F18968">
        <f>IF(DATOS!$A18968="","",DATOS!$A18968&amp;"|"&amp;DATOS!$D18968&amp;"|"&amp;DATOS!$E18968&amp;"|"&amp;DATOS!$I18968)</f>
      </c>
      <c r="G18968">
        <f>IF(DATOS!$A18968="",0,IF(CONFIG_METADATA!$B$4&lt;&gt;"OR+EX",--(DATOS!$G18968=CONFIG_METADATA!$B$4),IF(DATOS!$G18968="EX",1,IF(DATOS!$G18968="OR",--(COUNTIFS(nNIA,DATOS!$A18968,nCURSO,DATOS!$D18968,nESPEC,DATOS!$E18968,nASIG,DATOS!$I18968,nEVAL,"EX")=0),0))))</f>
      </c>
      <c r="H18968">
        <f>IF(DATOS!$G18968&lt;&gt;"EX",0,--(COUNTIFS(nNIA,DATOS!$A18968,nCURSO,DATOS!$D18968,nESPEC,DATOS!$E18968,nASIG,DATOS!$I18968,nEVAL,"OR")=0))</f>
      </c>
      <c r="I18968">
        <f>IF(DATOS!$I18968="","",IFERROR(VLOOKUP(DATOS!$I18968,CONFIG_ASIGNATURAS!$B$2:$J$91,9,FALSE()),""))</f>
      </c>
    </row>
    <row r="18969">
      <c r="F18969">
        <f>IF(DATOS!$A18969="","",DATOS!$A18969&amp;"|"&amp;DATOS!$D18969&amp;"|"&amp;DATOS!$E18969&amp;"|"&amp;DATOS!$I18969)</f>
      </c>
      <c r="G18969">
        <f>IF(DATOS!$A18969="",0,IF(CONFIG_METADATA!$B$4&lt;&gt;"OR+EX",--(DATOS!$G18969=CONFIG_METADATA!$B$4),IF(DATOS!$G18969="EX",1,IF(DATOS!$G18969="OR",--(COUNTIFS(nNIA,DATOS!$A18969,nCURSO,DATOS!$D18969,nESPEC,DATOS!$E18969,nASIG,DATOS!$I18969,nEVAL,"EX")=0),0))))</f>
      </c>
      <c r="H18969">
        <f>IF(DATOS!$G18969&lt;&gt;"EX",0,--(COUNTIFS(nNIA,DATOS!$A18969,nCURSO,DATOS!$D18969,nESPEC,DATOS!$E18969,nASIG,DATOS!$I18969,nEVAL,"OR")=0))</f>
      </c>
      <c r="I18969">
        <f>IF(DATOS!$I18969="","",IFERROR(VLOOKUP(DATOS!$I18969,CONFIG_ASIGNATURAS!$B$2:$J$91,9,FALSE()),""))</f>
      </c>
    </row>
    <row r="18970">
      <c r="F18970">
        <f>IF(DATOS!$A18970="","",DATOS!$A18970&amp;"|"&amp;DATOS!$D18970&amp;"|"&amp;DATOS!$E18970&amp;"|"&amp;DATOS!$I18970)</f>
      </c>
      <c r="G18970">
        <f>IF(DATOS!$A18970="",0,IF(CONFIG_METADATA!$B$4&lt;&gt;"OR+EX",--(DATOS!$G18970=CONFIG_METADATA!$B$4),IF(DATOS!$G18970="EX",1,IF(DATOS!$G18970="OR",--(COUNTIFS(nNIA,DATOS!$A18970,nCURSO,DATOS!$D18970,nESPEC,DATOS!$E18970,nASIG,DATOS!$I18970,nEVAL,"EX")=0),0))))</f>
      </c>
      <c r="H18970">
        <f>IF(DATOS!$G18970&lt;&gt;"EX",0,--(COUNTIFS(nNIA,DATOS!$A18970,nCURSO,DATOS!$D18970,nESPEC,DATOS!$E18970,nASIG,DATOS!$I18970,nEVAL,"OR")=0))</f>
      </c>
      <c r="I18970">
        <f>IF(DATOS!$I18970="","",IFERROR(VLOOKUP(DATOS!$I18970,CONFIG_ASIGNATURAS!$B$2:$J$91,9,FALSE()),""))</f>
      </c>
    </row>
    <row r="18971">
      <c r="F18971">
        <f>IF(DATOS!$A18971="","",DATOS!$A18971&amp;"|"&amp;DATOS!$D18971&amp;"|"&amp;DATOS!$E18971&amp;"|"&amp;DATOS!$I18971)</f>
      </c>
      <c r="G18971">
        <f>IF(DATOS!$A18971="",0,IF(CONFIG_METADATA!$B$4&lt;&gt;"OR+EX",--(DATOS!$G18971=CONFIG_METADATA!$B$4),IF(DATOS!$G18971="EX",1,IF(DATOS!$G18971="OR",--(COUNTIFS(nNIA,DATOS!$A18971,nCURSO,DATOS!$D18971,nESPEC,DATOS!$E18971,nASIG,DATOS!$I18971,nEVAL,"EX")=0),0))))</f>
      </c>
      <c r="H18971">
        <f>IF(DATOS!$G18971&lt;&gt;"EX",0,--(COUNTIFS(nNIA,DATOS!$A18971,nCURSO,DATOS!$D18971,nESPEC,DATOS!$E18971,nASIG,DATOS!$I18971,nEVAL,"OR")=0))</f>
      </c>
      <c r="I18971">
        <f>IF(DATOS!$I18971="","",IFERROR(VLOOKUP(DATOS!$I18971,CONFIG_ASIGNATURAS!$B$2:$J$91,9,FALSE()),""))</f>
      </c>
    </row>
    <row r="18972">
      <c r="F18972">
        <f>IF(DATOS!$A18972="","",DATOS!$A18972&amp;"|"&amp;DATOS!$D18972&amp;"|"&amp;DATOS!$E18972&amp;"|"&amp;DATOS!$I18972)</f>
      </c>
      <c r="G18972">
        <f>IF(DATOS!$A18972="",0,IF(CONFIG_METADATA!$B$4&lt;&gt;"OR+EX",--(DATOS!$G18972=CONFIG_METADATA!$B$4),IF(DATOS!$G18972="EX",1,IF(DATOS!$G18972="OR",--(COUNTIFS(nNIA,DATOS!$A18972,nCURSO,DATOS!$D18972,nESPEC,DATOS!$E18972,nASIG,DATOS!$I18972,nEVAL,"EX")=0),0))))</f>
      </c>
      <c r="H18972">
        <f>IF(DATOS!$G18972&lt;&gt;"EX",0,--(COUNTIFS(nNIA,DATOS!$A18972,nCURSO,DATOS!$D18972,nESPEC,DATOS!$E18972,nASIG,DATOS!$I18972,nEVAL,"OR")=0))</f>
      </c>
      <c r="I18972">
        <f>IF(DATOS!$I18972="","",IFERROR(VLOOKUP(DATOS!$I18972,CONFIG_ASIGNATURAS!$B$2:$J$91,9,FALSE()),""))</f>
      </c>
    </row>
    <row r="18973">
      <c r="F18973">
        <f>IF(DATOS!$A18973="","",DATOS!$A18973&amp;"|"&amp;DATOS!$D18973&amp;"|"&amp;DATOS!$E18973&amp;"|"&amp;DATOS!$I18973)</f>
      </c>
      <c r="G18973">
        <f>IF(DATOS!$A18973="",0,IF(CONFIG_METADATA!$B$4&lt;&gt;"OR+EX",--(DATOS!$G18973=CONFIG_METADATA!$B$4),IF(DATOS!$G18973="EX",1,IF(DATOS!$G18973="OR",--(COUNTIFS(nNIA,DATOS!$A18973,nCURSO,DATOS!$D18973,nESPEC,DATOS!$E18973,nASIG,DATOS!$I18973,nEVAL,"EX")=0),0))))</f>
      </c>
      <c r="H18973">
        <f>IF(DATOS!$G18973&lt;&gt;"EX",0,--(COUNTIFS(nNIA,DATOS!$A18973,nCURSO,DATOS!$D18973,nESPEC,DATOS!$E18973,nASIG,DATOS!$I18973,nEVAL,"OR")=0))</f>
      </c>
      <c r="I18973">
        <f>IF(DATOS!$I18973="","",IFERROR(VLOOKUP(DATOS!$I18973,CONFIG_ASIGNATURAS!$B$2:$J$91,9,FALSE()),""))</f>
      </c>
    </row>
    <row r="18974">
      <c r="F18974">
        <f>IF(DATOS!$A18974="","",DATOS!$A18974&amp;"|"&amp;DATOS!$D18974&amp;"|"&amp;DATOS!$E18974&amp;"|"&amp;DATOS!$I18974)</f>
      </c>
      <c r="G18974">
        <f>IF(DATOS!$A18974="",0,IF(CONFIG_METADATA!$B$4&lt;&gt;"OR+EX",--(DATOS!$G18974=CONFIG_METADATA!$B$4),IF(DATOS!$G18974="EX",1,IF(DATOS!$G18974="OR",--(COUNTIFS(nNIA,DATOS!$A18974,nCURSO,DATOS!$D18974,nESPEC,DATOS!$E18974,nASIG,DATOS!$I18974,nEVAL,"EX")=0),0))))</f>
      </c>
      <c r="H18974">
        <f>IF(DATOS!$G18974&lt;&gt;"EX",0,--(COUNTIFS(nNIA,DATOS!$A18974,nCURSO,DATOS!$D18974,nESPEC,DATOS!$E18974,nASIG,DATOS!$I18974,nEVAL,"OR")=0))</f>
      </c>
      <c r="I18974">
        <f>IF(DATOS!$I18974="","",IFERROR(VLOOKUP(DATOS!$I18974,CONFIG_ASIGNATURAS!$B$2:$J$91,9,FALSE()),""))</f>
      </c>
    </row>
    <row r="18975">
      <c r="F18975">
        <f>IF(DATOS!$A18975="","",DATOS!$A18975&amp;"|"&amp;DATOS!$D18975&amp;"|"&amp;DATOS!$E18975&amp;"|"&amp;DATOS!$I18975)</f>
      </c>
      <c r="G18975">
        <f>IF(DATOS!$A18975="",0,IF(CONFIG_METADATA!$B$4&lt;&gt;"OR+EX",--(DATOS!$G18975=CONFIG_METADATA!$B$4),IF(DATOS!$G18975="EX",1,IF(DATOS!$G18975="OR",--(COUNTIFS(nNIA,DATOS!$A18975,nCURSO,DATOS!$D18975,nESPEC,DATOS!$E18975,nASIG,DATOS!$I18975,nEVAL,"EX")=0),0))))</f>
      </c>
      <c r="H18975">
        <f>IF(DATOS!$G18975&lt;&gt;"EX",0,--(COUNTIFS(nNIA,DATOS!$A18975,nCURSO,DATOS!$D18975,nESPEC,DATOS!$E18975,nASIG,DATOS!$I18975,nEVAL,"OR")=0))</f>
      </c>
      <c r="I18975">
        <f>IF(DATOS!$I18975="","",IFERROR(VLOOKUP(DATOS!$I18975,CONFIG_ASIGNATURAS!$B$2:$J$91,9,FALSE()),""))</f>
      </c>
    </row>
    <row r="18976">
      <c r="F18976">
        <f>IF(DATOS!$A18976="","",DATOS!$A18976&amp;"|"&amp;DATOS!$D18976&amp;"|"&amp;DATOS!$E18976&amp;"|"&amp;DATOS!$I18976)</f>
      </c>
      <c r="G18976">
        <f>IF(DATOS!$A18976="",0,IF(CONFIG_METADATA!$B$4&lt;&gt;"OR+EX",--(DATOS!$G18976=CONFIG_METADATA!$B$4),IF(DATOS!$G18976="EX",1,IF(DATOS!$G18976="OR",--(COUNTIFS(nNIA,DATOS!$A18976,nCURSO,DATOS!$D18976,nESPEC,DATOS!$E18976,nASIG,DATOS!$I18976,nEVAL,"EX")=0),0))))</f>
      </c>
      <c r="H18976">
        <f>IF(DATOS!$G18976&lt;&gt;"EX",0,--(COUNTIFS(nNIA,DATOS!$A18976,nCURSO,DATOS!$D18976,nESPEC,DATOS!$E18976,nASIG,DATOS!$I18976,nEVAL,"OR")=0))</f>
      </c>
      <c r="I18976">
        <f>IF(DATOS!$I18976="","",IFERROR(VLOOKUP(DATOS!$I18976,CONFIG_ASIGNATURAS!$B$2:$J$91,9,FALSE()),""))</f>
      </c>
    </row>
    <row r="18977">
      <c r="F18977">
        <f>IF(DATOS!$A18977="","",DATOS!$A18977&amp;"|"&amp;DATOS!$D18977&amp;"|"&amp;DATOS!$E18977&amp;"|"&amp;DATOS!$I18977)</f>
      </c>
      <c r="G18977">
        <f>IF(DATOS!$A18977="",0,IF(CONFIG_METADATA!$B$4&lt;&gt;"OR+EX",--(DATOS!$G18977=CONFIG_METADATA!$B$4),IF(DATOS!$G18977="EX",1,IF(DATOS!$G18977="OR",--(COUNTIFS(nNIA,DATOS!$A18977,nCURSO,DATOS!$D18977,nESPEC,DATOS!$E18977,nASIG,DATOS!$I18977,nEVAL,"EX")=0),0))))</f>
      </c>
      <c r="H18977">
        <f>IF(DATOS!$G18977&lt;&gt;"EX",0,--(COUNTIFS(nNIA,DATOS!$A18977,nCURSO,DATOS!$D18977,nESPEC,DATOS!$E18977,nASIG,DATOS!$I18977,nEVAL,"OR")=0))</f>
      </c>
      <c r="I18977">
        <f>IF(DATOS!$I18977="","",IFERROR(VLOOKUP(DATOS!$I18977,CONFIG_ASIGNATURAS!$B$2:$J$91,9,FALSE()),""))</f>
      </c>
    </row>
    <row r="18978">
      <c r="F18978">
        <f>IF(DATOS!$A18978="","",DATOS!$A18978&amp;"|"&amp;DATOS!$D18978&amp;"|"&amp;DATOS!$E18978&amp;"|"&amp;DATOS!$I18978)</f>
      </c>
      <c r="G18978">
        <f>IF(DATOS!$A18978="",0,IF(CONFIG_METADATA!$B$4&lt;&gt;"OR+EX",--(DATOS!$G18978=CONFIG_METADATA!$B$4),IF(DATOS!$G18978="EX",1,IF(DATOS!$G18978="OR",--(COUNTIFS(nNIA,DATOS!$A18978,nCURSO,DATOS!$D18978,nESPEC,DATOS!$E18978,nASIG,DATOS!$I18978,nEVAL,"EX")=0),0))))</f>
      </c>
      <c r="H18978">
        <f>IF(DATOS!$G18978&lt;&gt;"EX",0,--(COUNTIFS(nNIA,DATOS!$A18978,nCURSO,DATOS!$D18978,nESPEC,DATOS!$E18978,nASIG,DATOS!$I18978,nEVAL,"OR")=0))</f>
      </c>
      <c r="I18978">
        <f>IF(DATOS!$I18978="","",IFERROR(VLOOKUP(DATOS!$I18978,CONFIG_ASIGNATURAS!$B$2:$J$91,9,FALSE()),""))</f>
      </c>
    </row>
    <row r="18979">
      <c r="F18979">
        <f>IF(DATOS!$A18979="","",DATOS!$A18979&amp;"|"&amp;DATOS!$D18979&amp;"|"&amp;DATOS!$E18979&amp;"|"&amp;DATOS!$I18979)</f>
      </c>
      <c r="G18979">
        <f>IF(DATOS!$A18979="",0,IF(CONFIG_METADATA!$B$4&lt;&gt;"OR+EX",--(DATOS!$G18979=CONFIG_METADATA!$B$4),IF(DATOS!$G18979="EX",1,IF(DATOS!$G18979="OR",--(COUNTIFS(nNIA,DATOS!$A18979,nCURSO,DATOS!$D18979,nESPEC,DATOS!$E18979,nASIG,DATOS!$I18979,nEVAL,"EX")=0),0))))</f>
      </c>
      <c r="H18979">
        <f>IF(DATOS!$G18979&lt;&gt;"EX",0,--(COUNTIFS(nNIA,DATOS!$A18979,nCURSO,DATOS!$D18979,nESPEC,DATOS!$E18979,nASIG,DATOS!$I18979,nEVAL,"OR")=0))</f>
      </c>
      <c r="I18979">
        <f>IF(DATOS!$I18979="","",IFERROR(VLOOKUP(DATOS!$I18979,CONFIG_ASIGNATURAS!$B$2:$J$91,9,FALSE()),""))</f>
      </c>
    </row>
    <row r="18980">
      <c r="F18980">
        <f>IF(DATOS!$A18980="","",DATOS!$A18980&amp;"|"&amp;DATOS!$D18980&amp;"|"&amp;DATOS!$E18980&amp;"|"&amp;DATOS!$I18980)</f>
      </c>
      <c r="G18980">
        <f>IF(DATOS!$A18980="",0,IF(CONFIG_METADATA!$B$4&lt;&gt;"OR+EX",--(DATOS!$G18980=CONFIG_METADATA!$B$4),IF(DATOS!$G18980="EX",1,IF(DATOS!$G18980="OR",--(COUNTIFS(nNIA,DATOS!$A18980,nCURSO,DATOS!$D18980,nESPEC,DATOS!$E18980,nASIG,DATOS!$I18980,nEVAL,"EX")=0),0))))</f>
      </c>
      <c r="H18980">
        <f>IF(DATOS!$G18980&lt;&gt;"EX",0,--(COUNTIFS(nNIA,DATOS!$A18980,nCURSO,DATOS!$D18980,nESPEC,DATOS!$E18980,nASIG,DATOS!$I18980,nEVAL,"OR")=0))</f>
      </c>
      <c r="I18980">
        <f>IF(DATOS!$I18980="","",IFERROR(VLOOKUP(DATOS!$I18980,CONFIG_ASIGNATURAS!$B$2:$J$91,9,FALSE()),""))</f>
      </c>
    </row>
    <row r="18981">
      <c r="F18981">
        <f>IF(DATOS!$A18981="","",DATOS!$A18981&amp;"|"&amp;DATOS!$D18981&amp;"|"&amp;DATOS!$E18981&amp;"|"&amp;DATOS!$I18981)</f>
      </c>
      <c r="G18981">
        <f>IF(DATOS!$A18981="",0,IF(CONFIG_METADATA!$B$4&lt;&gt;"OR+EX",--(DATOS!$G18981=CONFIG_METADATA!$B$4),IF(DATOS!$G18981="EX",1,IF(DATOS!$G18981="OR",--(COUNTIFS(nNIA,DATOS!$A18981,nCURSO,DATOS!$D18981,nESPEC,DATOS!$E18981,nASIG,DATOS!$I18981,nEVAL,"EX")=0),0))))</f>
      </c>
      <c r="H18981">
        <f>IF(DATOS!$G18981&lt;&gt;"EX",0,--(COUNTIFS(nNIA,DATOS!$A18981,nCURSO,DATOS!$D18981,nESPEC,DATOS!$E18981,nASIG,DATOS!$I18981,nEVAL,"OR")=0))</f>
      </c>
      <c r="I18981">
        <f>IF(DATOS!$I18981="","",IFERROR(VLOOKUP(DATOS!$I18981,CONFIG_ASIGNATURAS!$B$2:$J$91,9,FALSE()),""))</f>
      </c>
    </row>
    <row r="18982">
      <c r="F18982">
        <f>IF(DATOS!$A18982="","",DATOS!$A18982&amp;"|"&amp;DATOS!$D18982&amp;"|"&amp;DATOS!$E18982&amp;"|"&amp;DATOS!$I18982)</f>
      </c>
      <c r="G18982">
        <f>IF(DATOS!$A18982="",0,IF(CONFIG_METADATA!$B$4&lt;&gt;"OR+EX",--(DATOS!$G18982=CONFIG_METADATA!$B$4),IF(DATOS!$G18982="EX",1,IF(DATOS!$G18982="OR",--(COUNTIFS(nNIA,DATOS!$A18982,nCURSO,DATOS!$D18982,nESPEC,DATOS!$E18982,nASIG,DATOS!$I18982,nEVAL,"EX")=0),0))))</f>
      </c>
      <c r="H18982">
        <f>IF(DATOS!$G18982&lt;&gt;"EX",0,--(COUNTIFS(nNIA,DATOS!$A18982,nCURSO,DATOS!$D18982,nESPEC,DATOS!$E18982,nASIG,DATOS!$I18982,nEVAL,"OR")=0))</f>
      </c>
      <c r="I18982">
        <f>IF(DATOS!$I18982="","",IFERROR(VLOOKUP(DATOS!$I18982,CONFIG_ASIGNATURAS!$B$2:$J$91,9,FALSE()),""))</f>
      </c>
    </row>
    <row r="18983">
      <c r="F18983">
        <f>IF(DATOS!$A18983="","",DATOS!$A18983&amp;"|"&amp;DATOS!$D18983&amp;"|"&amp;DATOS!$E18983&amp;"|"&amp;DATOS!$I18983)</f>
      </c>
      <c r="G18983">
        <f>IF(DATOS!$A18983="",0,IF(CONFIG_METADATA!$B$4&lt;&gt;"OR+EX",--(DATOS!$G18983=CONFIG_METADATA!$B$4),IF(DATOS!$G18983="EX",1,IF(DATOS!$G18983="OR",--(COUNTIFS(nNIA,DATOS!$A18983,nCURSO,DATOS!$D18983,nESPEC,DATOS!$E18983,nASIG,DATOS!$I18983,nEVAL,"EX")=0),0))))</f>
      </c>
      <c r="H18983">
        <f>IF(DATOS!$G18983&lt;&gt;"EX",0,--(COUNTIFS(nNIA,DATOS!$A18983,nCURSO,DATOS!$D18983,nESPEC,DATOS!$E18983,nASIG,DATOS!$I18983,nEVAL,"OR")=0))</f>
      </c>
      <c r="I18983">
        <f>IF(DATOS!$I18983="","",IFERROR(VLOOKUP(DATOS!$I18983,CONFIG_ASIGNATURAS!$B$2:$J$91,9,FALSE()),""))</f>
      </c>
    </row>
    <row r="18984">
      <c r="F18984">
        <f>IF(DATOS!$A18984="","",DATOS!$A18984&amp;"|"&amp;DATOS!$D18984&amp;"|"&amp;DATOS!$E18984&amp;"|"&amp;DATOS!$I18984)</f>
      </c>
      <c r="G18984">
        <f>IF(DATOS!$A18984="",0,IF(CONFIG_METADATA!$B$4&lt;&gt;"OR+EX",--(DATOS!$G18984=CONFIG_METADATA!$B$4),IF(DATOS!$G18984="EX",1,IF(DATOS!$G18984="OR",--(COUNTIFS(nNIA,DATOS!$A18984,nCURSO,DATOS!$D18984,nESPEC,DATOS!$E18984,nASIG,DATOS!$I18984,nEVAL,"EX")=0),0))))</f>
      </c>
      <c r="H18984">
        <f>IF(DATOS!$G18984&lt;&gt;"EX",0,--(COUNTIFS(nNIA,DATOS!$A18984,nCURSO,DATOS!$D18984,nESPEC,DATOS!$E18984,nASIG,DATOS!$I18984,nEVAL,"OR")=0))</f>
      </c>
      <c r="I18984">
        <f>IF(DATOS!$I18984="","",IFERROR(VLOOKUP(DATOS!$I18984,CONFIG_ASIGNATURAS!$B$2:$J$91,9,FALSE()),""))</f>
      </c>
    </row>
    <row r="18985">
      <c r="F18985">
        <f>IF(DATOS!$A18985="","",DATOS!$A18985&amp;"|"&amp;DATOS!$D18985&amp;"|"&amp;DATOS!$E18985&amp;"|"&amp;DATOS!$I18985)</f>
      </c>
      <c r="G18985">
        <f>IF(DATOS!$A18985="",0,IF(CONFIG_METADATA!$B$4&lt;&gt;"OR+EX",--(DATOS!$G18985=CONFIG_METADATA!$B$4),IF(DATOS!$G18985="EX",1,IF(DATOS!$G18985="OR",--(COUNTIFS(nNIA,DATOS!$A18985,nCURSO,DATOS!$D18985,nESPEC,DATOS!$E18985,nASIG,DATOS!$I18985,nEVAL,"EX")=0),0))))</f>
      </c>
      <c r="H18985">
        <f>IF(DATOS!$G18985&lt;&gt;"EX",0,--(COUNTIFS(nNIA,DATOS!$A18985,nCURSO,DATOS!$D18985,nESPEC,DATOS!$E18985,nASIG,DATOS!$I18985,nEVAL,"OR")=0))</f>
      </c>
      <c r="I18985">
        <f>IF(DATOS!$I18985="","",IFERROR(VLOOKUP(DATOS!$I18985,CONFIG_ASIGNATURAS!$B$2:$J$91,9,FALSE()),""))</f>
      </c>
    </row>
    <row r="18986">
      <c r="F18986">
        <f>IF(DATOS!$A18986="","",DATOS!$A18986&amp;"|"&amp;DATOS!$D18986&amp;"|"&amp;DATOS!$E18986&amp;"|"&amp;DATOS!$I18986)</f>
      </c>
      <c r="G18986">
        <f>IF(DATOS!$A18986="",0,IF(CONFIG_METADATA!$B$4&lt;&gt;"OR+EX",--(DATOS!$G18986=CONFIG_METADATA!$B$4),IF(DATOS!$G18986="EX",1,IF(DATOS!$G18986="OR",--(COUNTIFS(nNIA,DATOS!$A18986,nCURSO,DATOS!$D18986,nESPEC,DATOS!$E18986,nASIG,DATOS!$I18986,nEVAL,"EX")=0),0))))</f>
      </c>
      <c r="H18986">
        <f>IF(DATOS!$G18986&lt;&gt;"EX",0,--(COUNTIFS(nNIA,DATOS!$A18986,nCURSO,DATOS!$D18986,nESPEC,DATOS!$E18986,nASIG,DATOS!$I18986,nEVAL,"OR")=0))</f>
      </c>
      <c r="I18986">
        <f>IF(DATOS!$I18986="","",IFERROR(VLOOKUP(DATOS!$I18986,CONFIG_ASIGNATURAS!$B$2:$J$91,9,FALSE()),""))</f>
      </c>
    </row>
    <row r="18987">
      <c r="F18987">
        <f>IF(DATOS!$A18987="","",DATOS!$A18987&amp;"|"&amp;DATOS!$D18987&amp;"|"&amp;DATOS!$E18987&amp;"|"&amp;DATOS!$I18987)</f>
      </c>
      <c r="G18987">
        <f>IF(DATOS!$A18987="",0,IF(CONFIG_METADATA!$B$4&lt;&gt;"OR+EX",--(DATOS!$G18987=CONFIG_METADATA!$B$4),IF(DATOS!$G18987="EX",1,IF(DATOS!$G18987="OR",--(COUNTIFS(nNIA,DATOS!$A18987,nCURSO,DATOS!$D18987,nESPEC,DATOS!$E18987,nASIG,DATOS!$I18987,nEVAL,"EX")=0),0))))</f>
      </c>
      <c r="H18987">
        <f>IF(DATOS!$G18987&lt;&gt;"EX",0,--(COUNTIFS(nNIA,DATOS!$A18987,nCURSO,DATOS!$D18987,nESPEC,DATOS!$E18987,nASIG,DATOS!$I18987,nEVAL,"OR")=0))</f>
      </c>
      <c r="I18987">
        <f>IF(DATOS!$I18987="","",IFERROR(VLOOKUP(DATOS!$I18987,CONFIG_ASIGNATURAS!$B$2:$J$91,9,FALSE()),""))</f>
      </c>
    </row>
    <row r="18988">
      <c r="F18988">
        <f>IF(DATOS!$A18988="","",DATOS!$A18988&amp;"|"&amp;DATOS!$D18988&amp;"|"&amp;DATOS!$E18988&amp;"|"&amp;DATOS!$I18988)</f>
      </c>
      <c r="G18988">
        <f>IF(DATOS!$A18988="",0,IF(CONFIG_METADATA!$B$4&lt;&gt;"OR+EX",--(DATOS!$G18988=CONFIG_METADATA!$B$4),IF(DATOS!$G18988="EX",1,IF(DATOS!$G18988="OR",--(COUNTIFS(nNIA,DATOS!$A18988,nCURSO,DATOS!$D18988,nESPEC,DATOS!$E18988,nASIG,DATOS!$I18988,nEVAL,"EX")=0),0))))</f>
      </c>
      <c r="H18988">
        <f>IF(DATOS!$G18988&lt;&gt;"EX",0,--(COUNTIFS(nNIA,DATOS!$A18988,nCURSO,DATOS!$D18988,nESPEC,DATOS!$E18988,nASIG,DATOS!$I18988,nEVAL,"OR")=0))</f>
      </c>
      <c r="I18988">
        <f>IF(DATOS!$I18988="","",IFERROR(VLOOKUP(DATOS!$I18988,CONFIG_ASIGNATURAS!$B$2:$J$91,9,FALSE()),""))</f>
      </c>
    </row>
    <row r="18989">
      <c r="F18989">
        <f>IF(DATOS!$A18989="","",DATOS!$A18989&amp;"|"&amp;DATOS!$D18989&amp;"|"&amp;DATOS!$E18989&amp;"|"&amp;DATOS!$I18989)</f>
      </c>
      <c r="G18989">
        <f>IF(DATOS!$A18989="",0,IF(CONFIG_METADATA!$B$4&lt;&gt;"OR+EX",--(DATOS!$G18989=CONFIG_METADATA!$B$4),IF(DATOS!$G18989="EX",1,IF(DATOS!$G18989="OR",--(COUNTIFS(nNIA,DATOS!$A18989,nCURSO,DATOS!$D18989,nESPEC,DATOS!$E18989,nASIG,DATOS!$I18989,nEVAL,"EX")=0),0))))</f>
      </c>
      <c r="H18989">
        <f>IF(DATOS!$G18989&lt;&gt;"EX",0,--(COUNTIFS(nNIA,DATOS!$A18989,nCURSO,DATOS!$D18989,nESPEC,DATOS!$E18989,nASIG,DATOS!$I18989,nEVAL,"OR")=0))</f>
      </c>
      <c r="I18989">
        <f>IF(DATOS!$I18989="","",IFERROR(VLOOKUP(DATOS!$I18989,CONFIG_ASIGNATURAS!$B$2:$J$91,9,FALSE()),""))</f>
      </c>
    </row>
    <row r="18990">
      <c r="F18990">
        <f>IF(DATOS!$A18990="","",DATOS!$A18990&amp;"|"&amp;DATOS!$D18990&amp;"|"&amp;DATOS!$E18990&amp;"|"&amp;DATOS!$I18990)</f>
      </c>
      <c r="G18990">
        <f>IF(DATOS!$A18990="",0,IF(CONFIG_METADATA!$B$4&lt;&gt;"OR+EX",--(DATOS!$G18990=CONFIG_METADATA!$B$4),IF(DATOS!$G18990="EX",1,IF(DATOS!$G18990="OR",--(COUNTIFS(nNIA,DATOS!$A18990,nCURSO,DATOS!$D18990,nESPEC,DATOS!$E18990,nASIG,DATOS!$I18990,nEVAL,"EX")=0),0))))</f>
      </c>
      <c r="H18990">
        <f>IF(DATOS!$G18990&lt;&gt;"EX",0,--(COUNTIFS(nNIA,DATOS!$A18990,nCURSO,DATOS!$D18990,nESPEC,DATOS!$E18990,nASIG,DATOS!$I18990,nEVAL,"OR")=0))</f>
      </c>
      <c r="I18990">
        <f>IF(DATOS!$I18990="","",IFERROR(VLOOKUP(DATOS!$I18990,CONFIG_ASIGNATURAS!$B$2:$J$91,9,FALSE()),""))</f>
      </c>
    </row>
    <row r="18991">
      <c r="F18991">
        <f>IF(DATOS!$A18991="","",DATOS!$A18991&amp;"|"&amp;DATOS!$D18991&amp;"|"&amp;DATOS!$E18991&amp;"|"&amp;DATOS!$I18991)</f>
      </c>
      <c r="G18991">
        <f>IF(DATOS!$A18991="",0,IF(CONFIG_METADATA!$B$4&lt;&gt;"OR+EX",--(DATOS!$G18991=CONFIG_METADATA!$B$4),IF(DATOS!$G18991="EX",1,IF(DATOS!$G18991="OR",--(COUNTIFS(nNIA,DATOS!$A18991,nCURSO,DATOS!$D18991,nESPEC,DATOS!$E18991,nASIG,DATOS!$I18991,nEVAL,"EX")=0),0))))</f>
      </c>
      <c r="H18991">
        <f>IF(DATOS!$G18991&lt;&gt;"EX",0,--(COUNTIFS(nNIA,DATOS!$A18991,nCURSO,DATOS!$D18991,nESPEC,DATOS!$E18991,nASIG,DATOS!$I18991,nEVAL,"OR")=0))</f>
      </c>
      <c r="I18991">
        <f>IF(DATOS!$I18991="","",IFERROR(VLOOKUP(DATOS!$I18991,CONFIG_ASIGNATURAS!$B$2:$J$91,9,FALSE()),""))</f>
      </c>
    </row>
    <row r="18992">
      <c r="F18992">
        <f>IF(DATOS!$A18992="","",DATOS!$A18992&amp;"|"&amp;DATOS!$D18992&amp;"|"&amp;DATOS!$E18992&amp;"|"&amp;DATOS!$I18992)</f>
      </c>
      <c r="G18992">
        <f>IF(DATOS!$A18992="",0,IF(CONFIG_METADATA!$B$4&lt;&gt;"OR+EX",--(DATOS!$G18992=CONFIG_METADATA!$B$4),IF(DATOS!$G18992="EX",1,IF(DATOS!$G18992="OR",--(COUNTIFS(nNIA,DATOS!$A18992,nCURSO,DATOS!$D18992,nESPEC,DATOS!$E18992,nASIG,DATOS!$I18992,nEVAL,"EX")=0),0))))</f>
      </c>
      <c r="H18992">
        <f>IF(DATOS!$G18992&lt;&gt;"EX",0,--(COUNTIFS(nNIA,DATOS!$A18992,nCURSO,DATOS!$D18992,nESPEC,DATOS!$E18992,nASIG,DATOS!$I18992,nEVAL,"OR")=0))</f>
      </c>
      <c r="I18992">
        <f>IF(DATOS!$I18992="","",IFERROR(VLOOKUP(DATOS!$I18992,CONFIG_ASIGNATURAS!$B$2:$J$91,9,FALSE()),""))</f>
      </c>
    </row>
    <row r="18993">
      <c r="F18993">
        <f>IF(DATOS!$A18993="","",DATOS!$A18993&amp;"|"&amp;DATOS!$D18993&amp;"|"&amp;DATOS!$E18993&amp;"|"&amp;DATOS!$I18993)</f>
      </c>
      <c r="G18993">
        <f>IF(DATOS!$A18993="",0,IF(CONFIG_METADATA!$B$4&lt;&gt;"OR+EX",--(DATOS!$G18993=CONFIG_METADATA!$B$4),IF(DATOS!$G18993="EX",1,IF(DATOS!$G18993="OR",--(COUNTIFS(nNIA,DATOS!$A18993,nCURSO,DATOS!$D18993,nESPEC,DATOS!$E18993,nASIG,DATOS!$I18993,nEVAL,"EX")=0),0))))</f>
      </c>
      <c r="H18993">
        <f>IF(DATOS!$G18993&lt;&gt;"EX",0,--(COUNTIFS(nNIA,DATOS!$A18993,nCURSO,DATOS!$D18993,nESPEC,DATOS!$E18993,nASIG,DATOS!$I18993,nEVAL,"OR")=0))</f>
      </c>
      <c r="I18993">
        <f>IF(DATOS!$I18993="","",IFERROR(VLOOKUP(DATOS!$I18993,CONFIG_ASIGNATURAS!$B$2:$J$91,9,FALSE()),""))</f>
      </c>
    </row>
    <row r="18994">
      <c r="F18994">
        <f>IF(DATOS!$A18994="","",DATOS!$A18994&amp;"|"&amp;DATOS!$D18994&amp;"|"&amp;DATOS!$E18994&amp;"|"&amp;DATOS!$I18994)</f>
      </c>
      <c r="G18994">
        <f>IF(DATOS!$A18994="",0,IF(CONFIG_METADATA!$B$4&lt;&gt;"OR+EX",--(DATOS!$G18994=CONFIG_METADATA!$B$4),IF(DATOS!$G18994="EX",1,IF(DATOS!$G18994="OR",--(COUNTIFS(nNIA,DATOS!$A18994,nCURSO,DATOS!$D18994,nESPEC,DATOS!$E18994,nASIG,DATOS!$I18994,nEVAL,"EX")=0),0))))</f>
      </c>
      <c r="H18994">
        <f>IF(DATOS!$G18994&lt;&gt;"EX",0,--(COUNTIFS(nNIA,DATOS!$A18994,nCURSO,DATOS!$D18994,nESPEC,DATOS!$E18994,nASIG,DATOS!$I18994,nEVAL,"OR")=0))</f>
      </c>
      <c r="I18994">
        <f>IF(DATOS!$I18994="","",IFERROR(VLOOKUP(DATOS!$I18994,CONFIG_ASIGNATURAS!$B$2:$J$91,9,FALSE()),""))</f>
      </c>
    </row>
    <row r="18995">
      <c r="F18995">
        <f>IF(DATOS!$A18995="","",DATOS!$A18995&amp;"|"&amp;DATOS!$D18995&amp;"|"&amp;DATOS!$E18995&amp;"|"&amp;DATOS!$I18995)</f>
      </c>
      <c r="G18995">
        <f>IF(DATOS!$A18995="",0,IF(CONFIG_METADATA!$B$4&lt;&gt;"OR+EX",--(DATOS!$G18995=CONFIG_METADATA!$B$4),IF(DATOS!$G18995="EX",1,IF(DATOS!$G18995="OR",--(COUNTIFS(nNIA,DATOS!$A18995,nCURSO,DATOS!$D18995,nESPEC,DATOS!$E18995,nASIG,DATOS!$I18995,nEVAL,"EX")=0),0))))</f>
      </c>
      <c r="H18995">
        <f>IF(DATOS!$G18995&lt;&gt;"EX",0,--(COUNTIFS(nNIA,DATOS!$A18995,nCURSO,DATOS!$D18995,nESPEC,DATOS!$E18995,nASIG,DATOS!$I18995,nEVAL,"OR")=0))</f>
      </c>
      <c r="I18995">
        <f>IF(DATOS!$I18995="","",IFERROR(VLOOKUP(DATOS!$I18995,CONFIG_ASIGNATURAS!$B$2:$J$91,9,FALSE()),""))</f>
      </c>
    </row>
    <row r="18996">
      <c r="F18996">
        <f>IF(DATOS!$A18996="","",DATOS!$A18996&amp;"|"&amp;DATOS!$D18996&amp;"|"&amp;DATOS!$E18996&amp;"|"&amp;DATOS!$I18996)</f>
      </c>
      <c r="G18996">
        <f>IF(DATOS!$A18996="",0,IF(CONFIG_METADATA!$B$4&lt;&gt;"OR+EX",--(DATOS!$G18996=CONFIG_METADATA!$B$4),IF(DATOS!$G18996="EX",1,IF(DATOS!$G18996="OR",--(COUNTIFS(nNIA,DATOS!$A18996,nCURSO,DATOS!$D18996,nESPEC,DATOS!$E18996,nASIG,DATOS!$I18996,nEVAL,"EX")=0),0))))</f>
      </c>
      <c r="H18996">
        <f>IF(DATOS!$G18996&lt;&gt;"EX",0,--(COUNTIFS(nNIA,DATOS!$A18996,nCURSO,DATOS!$D18996,nESPEC,DATOS!$E18996,nASIG,DATOS!$I18996,nEVAL,"OR")=0))</f>
      </c>
      <c r="I18996">
        <f>IF(DATOS!$I18996="","",IFERROR(VLOOKUP(DATOS!$I18996,CONFIG_ASIGNATURAS!$B$2:$J$91,9,FALSE()),""))</f>
      </c>
    </row>
    <row r="18997">
      <c r="F18997">
        <f>IF(DATOS!$A18997="","",DATOS!$A18997&amp;"|"&amp;DATOS!$D18997&amp;"|"&amp;DATOS!$E18997&amp;"|"&amp;DATOS!$I18997)</f>
      </c>
      <c r="G18997">
        <f>IF(DATOS!$A18997="",0,IF(CONFIG_METADATA!$B$4&lt;&gt;"OR+EX",--(DATOS!$G18997=CONFIG_METADATA!$B$4),IF(DATOS!$G18997="EX",1,IF(DATOS!$G18997="OR",--(COUNTIFS(nNIA,DATOS!$A18997,nCURSO,DATOS!$D18997,nESPEC,DATOS!$E18997,nASIG,DATOS!$I18997,nEVAL,"EX")=0),0))))</f>
      </c>
      <c r="H18997">
        <f>IF(DATOS!$G18997&lt;&gt;"EX",0,--(COUNTIFS(nNIA,DATOS!$A18997,nCURSO,DATOS!$D18997,nESPEC,DATOS!$E18997,nASIG,DATOS!$I18997,nEVAL,"OR")=0))</f>
      </c>
      <c r="I18997">
        <f>IF(DATOS!$I18997="","",IFERROR(VLOOKUP(DATOS!$I18997,CONFIG_ASIGNATURAS!$B$2:$J$91,9,FALSE()),""))</f>
      </c>
    </row>
    <row r="18998">
      <c r="F18998">
        <f>IF(DATOS!$A18998="","",DATOS!$A18998&amp;"|"&amp;DATOS!$D18998&amp;"|"&amp;DATOS!$E18998&amp;"|"&amp;DATOS!$I18998)</f>
      </c>
      <c r="G18998">
        <f>IF(DATOS!$A18998="",0,IF(CONFIG_METADATA!$B$4&lt;&gt;"OR+EX",--(DATOS!$G18998=CONFIG_METADATA!$B$4),IF(DATOS!$G18998="EX",1,IF(DATOS!$G18998="OR",--(COUNTIFS(nNIA,DATOS!$A18998,nCURSO,DATOS!$D18998,nESPEC,DATOS!$E18998,nASIG,DATOS!$I18998,nEVAL,"EX")=0),0))))</f>
      </c>
      <c r="H18998">
        <f>IF(DATOS!$G18998&lt;&gt;"EX",0,--(COUNTIFS(nNIA,DATOS!$A18998,nCURSO,DATOS!$D18998,nESPEC,DATOS!$E18998,nASIG,DATOS!$I18998,nEVAL,"OR")=0))</f>
      </c>
      <c r="I18998">
        <f>IF(DATOS!$I18998="","",IFERROR(VLOOKUP(DATOS!$I18998,CONFIG_ASIGNATURAS!$B$2:$J$91,9,FALSE()),""))</f>
      </c>
    </row>
    <row r="18999">
      <c r="F18999">
        <f>IF(DATOS!$A18999="","",DATOS!$A18999&amp;"|"&amp;DATOS!$D18999&amp;"|"&amp;DATOS!$E18999&amp;"|"&amp;DATOS!$I18999)</f>
      </c>
      <c r="G18999">
        <f>IF(DATOS!$A18999="",0,IF(CONFIG_METADATA!$B$4&lt;&gt;"OR+EX",--(DATOS!$G18999=CONFIG_METADATA!$B$4),IF(DATOS!$G18999="EX",1,IF(DATOS!$G18999="OR",--(COUNTIFS(nNIA,DATOS!$A18999,nCURSO,DATOS!$D18999,nESPEC,DATOS!$E18999,nASIG,DATOS!$I18999,nEVAL,"EX")=0),0))))</f>
      </c>
      <c r="H18999">
        <f>IF(DATOS!$G18999&lt;&gt;"EX",0,--(COUNTIFS(nNIA,DATOS!$A18999,nCURSO,DATOS!$D18999,nESPEC,DATOS!$E18999,nASIG,DATOS!$I18999,nEVAL,"OR")=0))</f>
      </c>
      <c r="I18999">
        <f>IF(DATOS!$I18999="","",IFERROR(VLOOKUP(DATOS!$I18999,CONFIG_ASIGNATURAS!$B$2:$J$91,9,FALSE()),""))</f>
      </c>
    </row>
    <row r="19000">
      <c r="F19000">
        <f>IF(DATOS!$A19000="","",DATOS!$A19000&amp;"|"&amp;DATOS!$D19000&amp;"|"&amp;DATOS!$E19000&amp;"|"&amp;DATOS!$I19000)</f>
      </c>
      <c r="G19000">
        <f>IF(DATOS!$A19000="",0,IF(CONFIG_METADATA!$B$4&lt;&gt;"OR+EX",--(DATOS!$G19000=CONFIG_METADATA!$B$4),IF(DATOS!$G19000="EX",1,IF(DATOS!$G19000="OR",--(COUNTIFS(nNIA,DATOS!$A19000,nCURSO,DATOS!$D19000,nESPEC,DATOS!$E19000,nASIG,DATOS!$I19000,nEVAL,"EX")=0),0))))</f>
      </c>
      <c r="H19000">
        <f>IF(DATOS!$G19000&lt;&gt;"EX",0,--(COUNTIFS(nNIA,DATOS!$A19000,nCURSO,DATOS!$D19000,nESPEC,DATOS!$E19000,nASIG,DATOS!$I19000,nEVAL,"OR")=0))</f>
      </c>
      <c r="I19000">
        <f>IF(DATOS!$I19000="","",IFERROR(VLOOKUP(DATOS!$I19000,CONFIG_ASIGNATURAS!$B$2:$J$91,9,FALSE()),""))</f>
      </c>
    </row>
    <row r="19001">
      <c r="F19001">
        <f>IF(DATOS!$A19001="","",DATOS!$A19001&amp;"|"&amp;DATOS!$D19001&amp;"|"&amp;DATOS!$E19001&amp;"|"&amp;DATOS!$I19001)</f>
      </c>
      <c r="G19001">
        <f>IF(DATOS!$A19001="",0,IF(CONFIG_METADATA!$B$4&lt;&gt;"OR+EX",--(DATOS!$G19001=CONFIG_METADATA!$B$4),IF(DATOS!$G19001="EX",1,IF(DATOS!$G19001="OR",--(COUNTIFS(nNIA,DATOS!$A19001,nCURSO,DATOS!$D19001,nESPEC,DATOS!$E19001,nASIG,DATOS!$I19001,nEVAL,"EX")=0),0))))</f>
      </c>
      <c r="H19001">
        <f>IF(DATOS!$G19001&lt;&gt;"EX",0,--(COUNTIFS(nNIA,DATOS!$A19001,nCURSO,DATOS!$D19001,nESPEC,DATOS!$E19001,nASIG,DATOS!$I19001,nEVAL,"OR")=0))</f>
      </c>
      <c r="I19001">
        <f>IF(DATOS!$I19001="","",IFERROR(VLOOKUP(DATOS!$I19001,CONFIG_ASIGNATURAS!$B$2:$J$91,9,FALSE()),""))</f>
      </c>
    </row>
    <row r="19002">
      <c r="F19002">
        <f>IF(DATOS!$A19002="","",DATOS!$A19002&amp;"|"&amp;DATOS!$D19002&amp;"|"&amp;DATOS!$E19002&amp;"|"&amp;DATOS!$I19002)</f>
      </c>
      <c r="G19002">
        <f>IF(DATOS!$A19002="",0,IF(CONFIG_METADATA!$B$4&lt;&gt;"OR+EX",--(DATOS!$G19002=CONFIG_METADATA!$B$4),IF(DATOS!$G19002="EX",1,IF(DATOS!$G19002="OR",--(COUNTIFS(nNIA,DATOS!$A19002,nCURSO,DATOS!$D19002,nESPEC,DATOS!$E19002,nASIG,DATOS!$I19002,nEVAL,"EX")=0),0))))</f>
      </c>
      <c r="H19002">
        <f>IF(DATOS!$G19002&lt;&gt;"EX",0,--(COUNTIFS(nNIA,DATOS!$A19002,nCURSO,DATOS!$D19002,nESPEC,DATOS!$E19002,nASIG,DATOS!$I19002,nEVAL,"OR")=0))</f>
      </c>
      <c r="I19002">
        <f>IF(DATOS!$I19002="","",IFERROR(VLOOKUP(DATOS!$I19002,CONFIG_ASIGNATURAS!$B$2:$J$91,9,FALSE()),""))</f>
      </c>
    </row>
    <row r="19003">
      <c r="F19003">
        <f>IF(DATOS!$A19003="","",DATOS!$A19003&amp;"|"&amp;DATOS!$D19003&amp;"|"&amp;DATOS!$E19003&amp;"|"&amp;DATOS!$I19003)</f>
      </c>
      <c r="G19003">
        <f>IF(DATOS!$A19003="",0,IF(CONFIG_METADATA!$B$4&lt;&gt;"OR+EX",--(DATOS!$G19003=CONFIG_METADATA!$B$4),IF(DATOS!$G19003="EX",1,IF(DATOS!$G19003="OR",--(COUNTIFS(nNIA,DATOS!$A19003,nCURSO,DATOS!$D19003,nESPEC,DATOS!$E19003,nASIG,DATOS!$I19003,nEVAL,"EX")=0),0))))</f>
      </c>
      <c r="H19003">
        <f>IF(DATOS!$G19003&lt;&gt;"EX",0,--(COUNTIFS(nNIA,DATOS!$A19003,nCURSO,DATOS!$D19003,nESPEC,DATOS!$E19003,nASIG,DATOS!$I19003,nEVAL,"OR")=0))</f>
      </c>
      <c r="I19003">
        <f>IF(DATOS!$I19003="","",IFERROR(VLOOKUP(DATOS!$I19003,CONFIG_ASIGNATURAS!$B$2:$J$91,9,FALSE()),""))</f>
      </c>
    </row>
    <row r="19004">
      <c r="F19004">
        <f>IF(DATOS!$A19004="","",DATOS!$A19004&amp;"|"&amp;DATOS!$D19004&amp;"|"&amp;DATOS!$E19004&amp;"|"&amp;DATOS!$I19004)</f>
      </c>
      <c r="G19004">
        <f>IF(DATOS!$A19004="",0,IF(CONFIG_METADATA!$B$4&lt;&gt;"OR+EX",--(DATOS!$G19004=CONFIG_METADATA!$B$4),IF(DATOS!$G19004="EX",1,IF(DATOS!$G19004="OR",--(COUNTIFS(nNIA,DATOS!$A19004,nCURSO,DATOS!$D19004,nESPEC,DATOS!$E19004,nASIG,DATOS!$I19004,nEVAL,"EX")=0),0))))</f>
      </c>
      <c r="H19004">
        <f>IF(DATOS!$G19004&lt;&gt;"EX",0,--(COUNTIFS(nNIA,DATOS!$A19004,nCURSO,DATOS!$D19004,nESPEC,DATOS!$E19004,nASIG,DATOS!$I19004,nEVAL,"OR")=0))</f>
      </c>
      <c r="I19004">
        <f>IF(DATOS!$I19004="","",IFERROR(VLOOKUP(DATOS!$I19004,CONFIG_ASIGNATURAS!$B$2:$J$91,9,FALSE()),""))</f>
      </c>
    </row>
    <row r="19005">
      <c r="F19005">
        <f>IF(DATOS!$A19005="","",DATOS!$A19005&amp;"|"&amp;DATOS!$D19005&amp;"|"&amp;DATOS!$E19005&amp;"|"&amp;DATOS!$I19005)</f>
      </c>
      <c r="G19005">
        <f>IF(DATOS!$A19005="",0,IF(CONFIG_METADATA!$B$4&lt;&gt;"OR+EX",--(DATOS!$G19005=CONFIG_METADATA!$B$4),IF(DATOS!$G19005="EX",1,IF(DATOS!$G19005="OR",--(COUNTIFS(nNIA,DATOS!$A19005,nCURSO,DATOS!$D19005,nESPEC,DATOS!$E19005,nASIG,DATOS!$I19005,nEVAL,"EX")=0),0))))</f>
      </c>
      <c r="H19005">
        <f>IF(DATOS!$G19005&lt;&gt;"EX",0,--(COUNTIFS(nNIA,DATOS!$A19005,nCURSO,DATOS!$D19005,nESPEC,DATOS!$E19005,nASIG,DATOS!$I19005,nEVAL,"OR")=0))</f>
      </c>
      <c r="I19005">
        <f>IF(DATOS!$I19005="","",IFERROR(VLOOKUP(DATOS!$I19005,CONFIG_ASIGNATURAS!$B$2:$J$91,9,FALSE()),""))</f>
      </c>
    </row>
    <row r="19006">
      <c r="F19006">
        <f>IF(DATOS!$A19006="","",DATOS!$A19006&amp;"|"&amp;DATOS!$D19006&amp;"|"&amp;DATOS!$E19006&amp;"|"&amp;DATOS!$I19006)</f>
      </c>
      <c r="G19006">
        <f>IF(DATOS!$A19006="",0,IF(CONFIG_METADATA!$B$4&lt;&gt;"OR+EX",--(DATOS!$G19006=CONFIG_METADATA!$B$4),IF(DATOS!$G19006="EX",1,IF(DATOS!$G19006="OR",--(COUNTIFS(nNIA,DATOS!$A19006,nCURSO,DATOS!$D19006,nESPEC,DATOS!$E19006,nASIG,DATOS!$I19006,nEVAL,"EX")=0),0))))</f>
      </c>
      <c r="H19006">
        <f>IF(DATOS!$G19006&lt;&gt;"EX",0,--(COUNTIFS(nNIA,DATOS!$A19006,nCURSO,DATOS!$D19006,nESPEC,DATOS!$E19006,nASIG,DATOS!$I19006,nEVAL,"OR")=0))</f>
      </c>
      <c r="I19006">
        <f>IF(DATOS!$I19006="","",IFERROR(VLOOKUP(DATOS!$I19006,CONFIG_ASIGNATURAS!$B$2:$J$91,9,FALSE()),""))</f>
      </c>
    </row>
    <row r="19007">
      <c r="F19007">
        <f>IF(DATOS!$A19007="","",DATOS!$A19007&amp;"|"&amp;DATOS!$D19007&amp;"|"&amp;DATOS!$E19007&amp;"|"&amp;DATOS!$I19007)</f>
      </c>
      <c r="G19007">
        <f>IF(DATOS!$A19007="",0,IF(CONFIG_METADATA!$B$4&lt;&gt;"OR+EX",--(DATOS!$G19007=CONFIG_METADATA!$B$4),IF(DATOS!$G19007="EX",1,IF(DATOS!$G19007="OR",--(COUNTIFS(nNIA,DATOS!$A19007,nCURSO,DATOS!$D19007,nESPEC,DATOS!$E19007,nASIG,DATOS!$I19007,nEVAL,"EX")=0),0))))</f>
      </c>
      <c r="H19007">
        <f>IF(DATOS!$G19007&lt;&gt;"EX",0,--(COUNTIFS(nNIA,DATOS!$A19007,nCURSO,DATOS!$D19007,nESPEC,DATOS!$E19007,nASIG,DATOS!$I19007,nEVAL,"OR")=0))</f>
      </c>
      <c r="I19007">
        <f>IF(DATOS!$I19007="","",IFERROR(VLOOKUP(DATOS!$I19007,CONFIG_ASIGNATURAS!$B$2:$J$91,9,FALSE()),""))</f>
      </c>
    </row>
    <row r="19008">
      <c r="F19008">
        <f>IF(DATOS!$A19008="","",DATOS!$A19008&amp;"|"&amp;DATOS!$D19008&amp;"|"&amp;DATOS!$E19008&amp;"|"&amp;DATOS!$I19008)</f>
      </c>
      <c r="G19008">
        <f>IF(DATOS!$A19008="",0,IF(CONFIG_METADATA!$B$4&lt;&gt;"OR+EX",--(DATOS!$G19008=CONFIG_METADATA!$B$4),IF(DATOS!$G19008="EX",1,IF(DATOS!$G19008="OR",--(COUNTIFS(nNIA,DATOS!$A19008,nCURSO,DATOS!$D19008,nESPEC,DATOS!$E19008,nASIG,DATOS!$I19008,nEVAL,"EX")=0),0))))</f>
      </c>
      <c r="H19008">
        <f>IF(DATOS!$G19008&lt;&gt;"EX",0,--(COUNTIFS(nNIA,DATOS!$A19008,nCURSO,DATOS!$D19008,nESPEC,DATOS!$E19008,nASIG,DATOS!$I19008,nEVAL,"OR")=0))</f>
      </c>
      <c r="I19008">
        <f>IF(DATOS!$I19008="","",IFERROR(VLOOKUP(DATOS!$I19008,CONFIG_ASIGNATURAS!$B$2:$J$91,9,FALSE()),""))</f>
      </c>
    </row>
    <row r="19009">
      <c r="F19009">
        <f>IF(DATOS!$A19009="","",DATOS!$A19009&amp;"|"&amp;DATOS!$D19009&amp;"|"&amp;DATOS!$E19009&amp;"|"&amp;DATOS!$I19009)</f>
      </c>
      <c r="G19009">
        <f>IF(DATOS!$A19009="",0,IF(CONFIG_METADATA!$B$4&lt;&gt;"OR+EX",--(DATOS!$G19009=CONFIG_METADATA!$B$4),IF(DATOS!$G19009="EX",1,IF(DATOS!$G19009="OR",--(COUNTIFS(nNIA,DATOS!$A19009,nCURSO,DATOS!$D19009,nESPEC,DATOS!$E19009,nASIG,DATOS!$I19009,nEVAL,"EX")=0),0))))</f>
      </c>
      <c r="H19009">
        <f>IF(DATOS!$G19009&lt;&gt;"EX",0,--(COUNTIFS(nNIA,DATOS!$A19009,nCURSO,DATOS!$D19009,nESPEC,DATOS!$E19009,nASIG,DATOS!$I19009,nEVAL,"OR")=0))</f>
      </c>
      <c r="I19009">
        <f>IF(DATOS!$I19009="","",IFERROR(VLOOKUP(DATOS!$I19009,CONFIG_ASIGNATURAS!$B$2:$J$91,9,FALSE()),""))</f>
      </c>
    </row>
    <row r="19010">
      <c r="F19010">
        <f>IF(DATOS!$A19010="","",DATOS!$A19010&amp;"|"&amp;DATOS!$D19010&amp;"|"&amp;DATOS!$E19010&amp;"|"&amp;DATOS!$I19010)</f>
      </c>
      <c r="G19010">
        <f>IF(DATOS!$A19010="",0,IF(CONFIG_METADATA!$B$4&lt;&gt;"OR+EX",--(DATOS!$G19010=CONFIG_METADATA!$B$4),IF(DATOS!$G19010="EX",1,IF(DATOS!$G19010="OR",--(COUNTIFS(nNIA,DATOS!$A19010,nCURSO,DATOS!$D19010,nESPEC,DATOS!$E19010,nASIG,DATOS!$I19010,nEVAL,"EX")=0),0))))</f>
      </c>
      <c r="H19010">
        <f>IF(DATOS!$G19010&lt;&gt;"EX",0,--(COUNTIFS(nNIA,DATOS!$A19010,nCURSO,DATOS!$D19010,nESPEC,DATOS!$E19010,nASIG,DATOS!$I19010,nEVAL,"OR")=0))</f>
      </c>
      <c r="I19010">
        <f>IF(DATOS!$I19010="","",IFERROR(VLOOKUP(DATOS!$I19010,CONFIG_ASIGNATURAS!$B$2:$J$91,9,FALSE()),""))</f>
      </c>
    </row>
    <row r="19011">
      <c r="F19011">
        <f>IF(DATOS!$A19011="","",DATOS!$A19011&amp;"|"&amp;DATOS!$D19011&amp;"|"&amp;DATOS!$E19011&amp;"|"&amp;DATOS!$I19011)</f>
      </c>
      <c r="G19011">
        <f>IF(DATOS!$A19011="",0,IF(CONFIG_METADATA!$B$4&lt;&gt;"OR+EX",--(DATOS!$G19011=CONFIG_METADATA!$B$4),IF(DATOS!$G19011="EX",1,IF(DATOS!$G19011="OR",--(COUNTIFS(nNIA,DATOS!$A19011,nCURSO,DATOS!$D19011,nESPEC,DATOS!$E19011,nASIG,DATOS!$I19011,nEVAL,"EX")=0),0))))</f>
      </c>
      <c r="H19011">
        <f>IF(DATOS!$G19011&lt;&gt;"EX",0,--(COUNTIFS(nNIA,DATOS!$A19011,nCURSO,DATOS!$D19011,nESPEC,DATOS!$E19011,nASIG,DATOS!$I19011,nEVAL,"OR")=0))</f>
      </c>
      <c r="I19011">
        <f>IF(DATOS!$I19011="","",IFERROR(VLOOKUP(DATOS!$I19011,CONFIG_ASIGNATURAS!$B$2:$J$91,9,FALSE()),""))</f>
      </c>
    </row>
    <row r="19012">
      <c r="F19012">
        <f>IF(DATOS!$A19012="","",DATOS!$A19012&amp;"|"&amp;DATOS!$D19012&amp;"|"&amp;DATOS!$E19012&amp;"|"&amp;DATOS!$I19012)</f>
      </c>
      <c r="G19012">
        <f>IF(DATOS!$A19012="",0,IF(CONFIG_METADATA!$B$4&lt;&gt;"OR+EX",--(DATOS!$G19012=CONFIG_METADATA!$B$4),IF(DATOS!$G19012="EX",1,IF(DATOS!$G19012="OR",--(COUNTIFS(nNIA,DATOS!$A19012,nCURSO,DATOS!$D19012,nESPEC,DATOS!$E19012,nASIG,DATOS!$I19012,nEVAL,"EX")=0),0))))</f>
      </c>
      <c r="H19012">
        <f>IF(DATOS!$G19012&lt;&gt;"EX",0,--(COUNTIFS(nNIA,DATOS!$A19012,nCURSO,DATOS!$D19012,nESPEC,DATOS!$E19012,nASIG,DATOS!$I19012,nEVAL,"OR")=0))</f>
      </c>
      <c r="I19012">
        <f>IF(DATOS!$I19012="","",IFERROR(VLOOKUP(DATOS!$I19012,CONFIG_ASIGNATURAS!$B$2:$J$91,9,FALSE()),""))</f>
      </c>
    </row>
    <row r="19013">
      <c r="F19013">
        <f>IF(DATOS!$A19013="","",DATOS!$A19013&amp;"|"&amp;DATOS!$D19013&amp;"|"&amp;DATOS!$E19013&amp;"|"&amp;DATOS!$I19013)</f>
      </c>
      <c r="G19013">
        <f>IF(DATOS!$A19013="",0,IF(CONFIG_METADATA!$B$4&lt;&gt;"OR+EX",--(DATOS!$G19013=CONFIG_METADATA!$B$4),IF(DATOS!$G19013="EX",1,IF(DATOS!$G19013="OR",--(COUNTIFS(nNIA,DATOS!$A19013,nCURSO,DATOS!$D19013,nESPEC,DATOS!$E19013,nASIG,DATOS!$I19013,nEVAL,"EX")=0),0))))</f>
      </c>
      <c r="H19013">
        <f>IF(DATOS!$G19013&lt;&gt;"EX",0,--(COUNTIFS(nNIA,DATOS!$A19013,nCURSO,DATOS!$D19013,nESPEC,DATOS!$E19013,nASIG,DATOS!$I19013,nEVAL,"OR")=0))</f>
      </c>
      <c r="I19013">
        <f>IF(DATOS!$I19013="","",IFERROR(VLOOKUP(DATOS!$I19013,CONFIG_ASIGNATURAS!$B$2:$J$91,9,FALSE()),""))</f>
      </c>
    </row>
    <row r="19014">
      <c r="F19014">
        <f>IF(DATOS!$A19014="","",DATOS!$A19014&amp;"|"&amp;DATOS!$D19014&amp;"|"&amp;DATOS!$E19014&amp;"|"&amp;DATOS!$I19014)</f>
      </c>
      <c r="G19014">
        <f>IF(DATOS!$A19014="",0,IF(CONFIG_METADATA!$B$4&lt;&gt;"OR+EX",--(DATOS!$G19014=CONFIG_METADATA!$B$4),IF(DATOS!$G19014="EX",1,IF(DATOS!$G19014="OR",--(COUNTIFS(nNIA,DATOS!$A19014,nCURSO,DATOS!$D19014,nESPEC,DATOS!$E19014,nASIG,DATOS!$I19014,nEVAL,"EX")=0),0))))</f>
      </c>
      <c r="H19014">
        <f>IF(DATOS!$G19014&lt;&gt;"EX",0,--(COUNTIFS(nNIA,DATOS!$A19014,nCURSO,DATOS!$D19014,nESPEC,DATOS!$E19014,nASIG,DATOS!$I19014,nEVAL,"OR")=0))</f>
      </c>
      <c r="I19014">
        <f>IF(DATOS!$I19014="","",IFERROR(VLOOKUP(DATOS!$I19014,CONFIG_ASIGNATURAS!$B$2:$J$91,9,FALSE()),""))</f>
      </c>
    </row>
    <row r="19015">
      <c r="F19015">
        <f>IF(DATOS!$A19015="","",DATOS!$A19015&amp;"|"&amp;DATOS!$D19015&amp;"|"&amp;DATOS!$E19015&amp;"|"&amp;DATOS!$I19015)</f>
      </c>
      <c r="G19015">
        <f>IF(DATOS!$A19015="",0,IF(CONFIG_METADATA!$B$4&lt;&gt;"OR+EX",--(DATOS!$G19015=CONFIG_METADATA!$B$4),IF(DATOS!$G19015="EX",1,IF(DATOS!$G19015="OR",--(COUNTIFS(nNIA,DATOS!$A19015,nCURSO,DATOS!$D19015,nESPEC,DATOS!$E19015,nASIG,DATOS!$I19015,nEVAL,"EX")=0),0))))</f>
      </c>
      <c r="H19015">
        <f>IF(DATOS!$G19015&lt;&gt;"EX",0,--(COUNTIFS(nNIA,DATOS!$A19015,nCURSO,DATOS!$D19015,nESPEC,DATOS!$E19015,nASIG,DATOS!$I19015,nEVAL,"OR")=0))</f>
      </c>
      <c r="I19015">
        <f>IF(DATOS!$I19015="","",IFERROR(VLOOKUP(DATOS!$I19015,CONFIG_ASIGNATURAS!$B$2:$J$91,9,FALSE()),""))</f>
      </c>
    </row>
    <row r="19016">
      <c r="F19016">
        <f>IF(DATOS!$A19016="","",DATOS!$A19016&amp;"|"&amp;DATOS!$D19016&amp;"|"&amp;DATOS!$E19016&amp;"|"&amp;DATOS!$I19016)</f>
      </c>
      <c r="G19016">
        <f>IF(DATOS!$A19016="",0,IF(CONFIG_METADATA!$B$4&lt;&gt;"OR+EX",--(DATOS!$G19016=CONFIG_METADATA!$B$4),IF(DATOS!$G19016="EX",1,IF(DATOS!$G19016="OR",--(COUNTIFS(nNIA,DATOS!$A19016,nCURSO,DATOS!$D19016,nESPEC,DATOS!$E19016,nASIG,DATOS!$I19016,nEVAL,"EX")=0),0))))</f>
      </c>
      <c r="H19016">
        <f>IF(DATOS!$G19016&lt;&gt;"EX",0,--(COUNTIFS(nNIA,DATOS!$A19016,nCURSO,DATOS!$D19016,nESPEC,DATOS!$E19016,nASIG,DATOS!$I19016,nEVAL,"OR")=0))</f>
      </c>
      <c r="I19016">
        <f>IF(DATOS!$I19016="","",IFERROR(VLOOKUP(DATOS!$I19016,CONFIG_ASIGNATURAS!$B$2:$J$91,9,FALSE()),""))</f>
      </c>
    </row>
    <row r="19017">
      <c r="F19017">
        <f>IF(DATOS!$A19017="","",DATOS!$A19017&amp;"|"&amp;DATOS!$D19017&amp;"|"&amp;DATOS!$E19017&amp;"|"&amp;DATOS!$I19017)</f>
      </c>
      <c r="G19017">
        <f>IF(DATOS!$A19017="",0,IF(CONFIG_METADATA!$B$4&lt;&gt;"OR+EX",--(DATOS!$G19017=CONFIG_METADATA!$B$4),IF(DATOS!$G19017="EX",1,IF(DATOS!$G19017="OR",--(COUNTIFS(nNIA,DATOS!$A19017,nCURSO,DATOS!$D19017,nESPEC,DATOS!$E19017,nASIG,DATOS!$I19017,nEVAL,"EX")=0),0))))</f>
      </c>
      <c r="H19017">
        <f>IF(DATOS!$G19017&lt;&gt;"EX",0,--(COUNTIFS(nNIA,DATOS!$A19017,nCURSO,DATOS!$D19017,nESPEC,DATOS!$E19017,nASIG,DATOS!$I19017,nEVAL,"OR")=0))</f>
      </c>
      <c r="I19017">
        <f>IF(DATOS!$I19017="","",IFERROR(VLOOKUP(DATOS!$I19017,CONFIG_ASIGNATURAS!$B$2:$J$91,9,FALSE()),""))</f>
      </c>
    </row>
    <row r="19018">
      <c r="F19018">
        <f>IF(DATOS!$A19018="","",DATOS!$A19018&amp;"|"&amp;DATOS!$D19018&amp;"|"&amp;DATOS!$E19018&amp;"|"&amp;DATOS!$I19018)</f>
      </c>
      <c r="G19018">
        <f>IF(DATOS!$A19018="",0,IF(CONFIG_METADATA!$B$4&lt;&gt;"OR+EX",--(DATOS!$G19018=CONFIG_METADATA!$B$4),IF(DATOS!$G19018="EX",1,IF(DATOS!$G19018="OR",--(COUNTIFS(nNIA,DATOS!$A19018,nCURSO,DATOS!$D19018,nESPEC,DATOS!$E19018,nASIG,DATOS!$I19018,nEVAL,"EX")=0),0))))</f>
      </c>
      <c r="H19018">
        <f>IF(DATOS!$G19018&lt;&gt;"EX",0,--(COUNTIFS(nNIA,DATOS!$A19018,nCURSO,DATOS!$D19018,nESPEC,DATOS!$E19018,nASIG,DATOS!$I19018,nEVAL,"OR")=0))</f>
      </c>
      <c r="I19018">
        <f>IF(DATOS!$I19018="","",IFERROR(VLOOKUP(DATOS!$I19018,CONFIG_ASIGNATURAS!$B$2:$J$91,9,FALSE()),""))</f>
      </c>
    </row>
    <row r="19019">
      <c r="F19019">
        <f>IF(DATOS!$A19019="","",DATOS!$A19019&amp;"|"&amp;DATOS!$D19019&amp;"|"&amp;DATOS!$E19019&amp;"|"&amp;DATOS!$I19019)</f>
      </c>
      <c r="G19019">
        <f>IF(DATOS!$A19019="",0,IF(CONFIG_METADATA!$B$4&lt;&gt;"OR+EX",--(DATOS!$G19019=CONFIG_METADATA!$B$4),IF(DATOS!$G19019="EX",1,IF(DATOS!$G19019="OR",--(COUNTIFS(nNIA,DATOS!$A19019,nCURSO,DATOS!$D19019,nESPEC,DATOS!$E19019,nASIG,DATOS!$I19019,nEVAL,"EX")=0),0))))</f>
      </c>
      <c r="H19019">
        <f>IF(DATOS!$G19019&lt;&gt;"EX",0,--(COUNTIFS(nNIA,DATOS!$A19019,nCURSO,DATOS!$D19019,nESPEC,DATOS!$E19019,nASIG,DATOS!$I19019,nEVAL,"OR")=0))</f>
      </c>
      <c r="I19019">
        <f>IF(DATOS!$I19019="","",IFERROR(VLOOKUP(DATOS!$I19019,CONFIG_ASIGNATURAS!$B$2:$J$91,9,FALSE()),""))</f>
      </c>
    </row>
    <row r="19020">
      <c r="F19020">
        <f>IF(DATOS!$A19020="","",DATOS!$A19020&amp;"|"&amp;DATOS!$D19020&amp;"|"&amp;DATOS!$E19020&amp;"|"&amp;DATOS!$I19020)</f>
      </c>
      <c r="G19020">
        <f>IF(DATOS!$A19020="",0,IF(CONFIG_METADATA!$B$4&lt;&gt;"OR+EX",--(DATOS!$G19020=CONFIG_METADATA!$B$4),IF(DATOS!$G19020="EX",1,IF(DATOS!$G19020="OR",--(COUNTIFS(nNIA,DATOS!$A19020,nCURSO,DATOS!$D19020,nESPEC,DATOS!$E19020,nASIG,DATOS!$I19020,nEVAL,"EX")=0),0))))</f>
      </c>
      <c r="H19020">
        <f>IF(DATOS!$G19020&lt;&gt;"EX",0,--(COUNTIFS(nNIA,DATOS!$A19020,nCURSO,DATOS!$D19020,nESPEC,DATOS!$E19020,nASIG,DATOS!$I19020,nEVAL,"OR")=0))</f>
      </c>
      <c r="I19020">
        <f>IF(DATOS!$I19020="","",IFERROR(VLOOKUP(DATOS!$I19020,CONFIG_ASIGNATURAS!$B$2:$J$91,9,FALSE()),""))</f>
      </c>
    </row>
    <row r="19021">
      <c r="F19021">
        <f>IF(DATOS!$A19021="","",DATOS!$A19021&amp;"|"&amp;DATOS!$D19021&amp;"|"&amp;DATOS!$E19021&amp;"|"&amp;DATOS!$I19021)</f>
      </c>
      <c r="G19021">
        <f>IF(DATOS!$A19021="",0,IF(CONFIG_METADATA!$B$4&lt;&gt;"OR+EX",--(DATOS!$G19021=CONFIG_METADATA!$B$4),IF(DATOS!$G19021="EX",1,IF(DATOS!$G19021="OR",--(COUNTIFS(nNIA,DATOS!$A19021,nCURSO,DATOS!$D19021,nESPEC,DATOS!$E19021,nASIG,DATOS!$I19021,nEVAL,"EX")=0),0))))</f>
      </c>
      <c r="H19021">
        <f>IF(DATOS!$G19021&lt;&gt;"EX",0,--(COUNTIFS(nNIA,DATOS!$A19021,nCURSO,DATOS!$D19021,nESPEC,DATOS!$E19021,nASIG,DATOS!$I19021,nEVAL,"OR")=0))</f>
      </c>
      <c r="I19021">
        <f>IF(DATOS!$I19021="","",IFERROR(VLOOKUP(DATOS!$I19021,CONFIG_ASIGNATURAS!$B$2:$J$91,9,FALSE()),""))</f>
      </c>
    </row>
    <row r="19022">
      <c r="F19022">
        <f>IF(DATOS!$A19022="","",DATOS!$A19022&amp;"|"&amp;DATOS!$D19022&amp;"|"&amp;DATOS!$E19022&amp;"|"&amp;DATOS!$I19022)</f>
      </c>
      <c r="G19022">
        <f>IF(DATOS!$A19022="",0,IF(CONFIG_METADATA!$B$4&lt;&gt;"OR+EX",--(DATOS!$G19022=CONFIG_METADATA!$B$4),IF(DATOS!$G19022="EX",1,IF(DATOS!$G19022="OR",--(COUNTIFS(nNIA,DATOS!$A19022,nCURSO,DATOS!$D19022,nESPEC,DATOS!$E19022,nASIG,DATOS!$I19022,nEVAL,"EX")=0),0))))</f>
      </c>
      <c r="H19022">
        <f>IF(DATOS!$G19022&lt;&gt;"EX",0,--(COUNTIFS(nNIA,DATOS!$A19022,nCURSO,DATOS!$D19022,nESPEC,DATOS!$E19022,nASIG,DATOS!$I19022,nEVAL,"OR")=0))</f>
      </c>
      <c r="I19022">
        <f>IF(DATOS!$I19022="","",IFERROR(VLOOKUP(DATOS!$I19022,CONFIG_ASIGNATURAS!$B$2:$J$91,9,FALSE()),""))</f>
      </c>
    </row>
    <row r="19023">
      <c r="F19023">
        <f>IF(DATOS!$A19023="","",DATOS!$A19023&amp;"|"&amp;DATOS!$D19023&amp;"|"&amp;DATOS!$E19023&amp;"|"&amp;DATOS!$I19023)</f>
      </c>
      <c r="G19023">
        <f>IF(DATOS!$A19023="",0,IF(CONFIG_METADATA!$B$4&lt;&gt;"OR+EX",--(DATOS!$G19023=CONFIG_METADATA!$B$4),IF(DATOS!$G19023="EX",1,IF(DATOS!$G19023="OR",--(COUNTIFS(nNIA,DATOS!$A19023,nCURSO,DATOS!$D19023,nESPEC,DATOS!$E19023,nASIG,DATOS!$I19023,nEVAL,"EX")=0),0))))</f>
      </c>
      <c r="H19023">
        <f>IF(DATOS!$G19023&lt;&gt;"EX",0,--(COUNTIFS(nNIA,DATOS!$A19023,nCURSO,DATOS!$D19023,nESPEC,DATOS!$E19023,nASIG,DATOS!$I19023,nEVAL,"OR")=0))</f>
      </c>
      <c r="I19023">
        <f>IF(DATOS!$I19023="","",IFERROR(VLOOKUP(DATOS!$I19023,CONFIG_ASIGNATURAS!$B$2:$J$91,9,FALSE()),""))</f>
      </c>
    </row>
    <row r="19024">
      <c r="F19024">
        <f>IF(DATOS!$A19024="","",DATOS!$A19024&amp;"|"&amp;DATOS!$D19024&amp;"|"&amp;DATOS!$E19024&amp;"|"&amp;DATOS!$I19024)</f>
      </c>
      <c r="G19024">
        <f>IF(DATOS!$A19024="",0,IF(CONFIG_METADATA!$B$4&lt;&gt;"OR+EX",--(DATOS!$G19024=CONFIG_METADATA!$B$4),IF(DATOS!$G19024="EX",1,IF(DATOS!$G19024="OR",--(COUNTIFS(nNIA,DATOS!$A19024,nCURSO,DATOS!$D19024,nESPEC,DATOS!$E19024,nASIG,DATOS!$I19024,nEVAL,"EX")=0),0))))</f>
      </c>
      <c r="H19024">
        <f>IF(DATOS!$G19024&lt;&gt;"EX",0,--(COUNTIFS(nNIA,DATOS!$A19024,nCURSO,DATOS!$D19024,nESPEC,DATOS!$E19024,nASIG,DATOS!$I19024,nEVAL,"OR")=0))</f>
      </c>
      <c r="I19024">
        <f>IF(DATOS!$I19024="","",IFERROR(VLOOKUP(DATOS!$I19024,CONFIG_ASIGNATURAS!$B$2:$J$91,9,FALSE()),""))</f>
      </c>
    </row>
    <row r="19025">
      <c r="F19025">
        <f>IF(DATOS!$A19025="","",DATOS!$A19025&amp;"|"&amp;DATOS!$D19025&amp;"|"&amp;DATOS!$E19025&amp;"|"&amp;DATOS!$I19025)</f>
      </c>
      <c r="G19025">
        <f>IF(DATOS!$A19025="",0,IF(CONFIG_METADATA!$B$4&lt;&gt;"OR+EX",--(DATOS!$G19025=CONFIG_METADATA!$B$4),IF(DATOS!$G19025="EX",1,IF(DATOS!$G19025="OR",--(COUNTIFS(nNIA,DATOS!$A19025,nCURSO,DATOS!$D19025,nESPEC,DATOS!$E19025,nASIG,DATOS!$I19025,nEVAL,"EX")=0),0))))</f>
      </c>
      <c r="H19025">
        <f>IF(DATOS!$G19025&lt;&gt;"EX",0,--(COUNTIFS(nNIA,DATOS!$A19025,nCURSO,DATOS!$D19025,nESPEC,DATOS!$E19025,nASIG,DATOS!$I19025,nEVAL,"OR")=0))</f>
      </c>
      <c r="I19025">
        <f>IF(DATOS!$I19025="","",IFERROR(VLOOKUP(DATOS!$I19025,CONFIG_ASIGNATURAS!$B$2:$J$91,9,FALSE()),""))</f>
      </c>
    </row>
    <row r="19026">
      <c r="F19026">
        <f>IF(DATOS!$A19026="","",DATOS!$A19026&amp;"|"&amp;DATOS!$D19026&amp;"|"&amp;DATOS!$E19026&amp;"|"&amp;DATOS!$I19026)</f>
      </c>
      <c r="G19026">
        <f>IF(DATOS!$A19026="",0,IF(CONFIG_METADATA!$B$4&lt;&gt;"OR+EX",--(DATOS!$G19026=CONFIG_METADATA!$B$4),IF(DATOS!$G19026="EX",1,IF(DATOS!$G19026="OR",--(COUNTIFS(nNIA,DATOS!$A19026,nCURSO,DATOS!$D19026,nESPEC,DATOS!$E19026,nASIG,DATOS!$I19026,nEVAL,"EX")=0),0))))</f>
      </c>
      <c r="H19026">
        <f>IF(DATOS!$G19026&lt;&gt;"EX",0,--(COUNTIFS(nNIA,DATOS!$A19026,nCURSO,DATOS!$D19026,nESPEC,DATOS!$E19026,nASIG,DATOS!$I19026,nEVAL,"OR")=0))</f>
      </c>
      <c r="I19026">
        <f>IF(DATOS!$I19026="","",IFERROR(VLOOKUP(DATOS!$I19026,CONFIG_ASIGNATURAS!$B$2:$J$91,9,FALSE()),""))</f>
      </c>
    </row>
    <row r="19027">
      <c r="F19027">
        <f>IF(DATOS!$A19027="","",DATOS!$A19027&amp;"|"&amp;DATOS!$D19027&amp;"|"&amp;DATOS!$E19027&amp;"|"&amp;DATOS!$I19027)</f>
      </c>
      <c r="G19027">
        <f>IF(DATOS!$A19027="",0,IF(CONFIG_METADATA!$B$4&lt;&gt;"OR+EX",--(DATOS!$G19027=CONFIG_METADATA!$B$4),IF(DATOS!$G19027="EX",1,IF(DATOS!$G19027="OR",--(COUNTIFS(nNIA,DATOS!$A19027,nCURSO,DATOS!$D19027,nESPEC,DATOS!$E19027,nASIG,DATOS!$I19027,nEVAL,"EX")=0),0))))</f>
      </c>
      <c r="H19027">
        <f>IF(DATOS!$G19027&lt;&gt;"EX",0,--(COUNTIFS(nNIA,DATOS!$A19027,nCURSO,DATOS!$D19027,nESPEC,DATOS!$E19027,nASIG,DATOS!$I19027,nEVAL,"OR")=0))</f>
      </c>
      <c r="I19027">
        <f>IF(DATOS!$I19027="","",IFERROR(VLOOKUP(DATOS!$I19027,CONFIG_ASIGNATURAS!$B$2:$J$91,9,FALSE()),""))</f>
      </c>
    </row>
    <row r="19028">
      <c r="F19028">
        <f>IF(DATOS!$A19028="","",DATOS!$A19028&amp;"|"&amp;DATOS!$D19028&amp;"|"&amp;DATOS!$E19028&amp;"|"&amp;DATOS!$I19028)</f>
      </c>
      <c r="G19028">
        <f>IF(DATOS!$A19028="",0,IF(CONFIG_METADATA!$B$4&lt;&gt;"OR+EX",--(DATOS!$G19028=CONFIG_METADATA!$B$4),IF(DATOS!$G19028="EX",1,IF(DATOS!$G19028="OR",--(COUNTIFS(nNIA,DATOS!$A19028,nCURSO,DATOS!$D19028,nESPEC,DATOS!$E19028,nASIG,DATOS!$I19028,nEVAL,"EX")=0),0))))</f>
      </c>
      <c r="H19028">
        <f>IF(DATOS!$G19028&lt;&gt;"EX",0,--(COUNTIFS(nNIA,DATOS!$A19028,nCURSO,DATOS!$D19028,nESPEC,DATOS!$E19028,nASIG,DATOS!$I19028,nEVAL,"OR")=0))</f>
      </c>
      <c r="I19028">
        <f>IF(DATOS!$I19028="","",IFERROR(VLOOKUP(DATOS!$I19028,CONFIG_ASIGNATURAS!$B$2:$J$91,9,FALSE()),""))</f>
      </c>
    </row>
    <row r="19029">
      <c r="F19029">
        <f>IF(DATOS!$A19029="","",DATOS!$A19029&amp;"|"&amp;DATOS!$D19029&amp;"|"&amp;DATOS!$E19029&amp;"|"&amp;DATOS!$I19029)</f>
      </c>
      <c r="G19029">
        <f>IF(DATOS!$A19029="",0,IF(CONFIG_METADATA!$B$4&lt;&gt;"OR+EX",--(DATOS!$G19029=CONFIG_METADATA!$B$4),IF(DATOS!$G19029="EX",1,IF(DATOS!$G19029="OR",--(COUNTIFS(nNIA,DATOS!$A19029,nCURSO,DATOS!$D19029,nESPEC,DATOS!$E19029,nASIG,DATOS!$I19029,nEVAL,"EX")=0),0))))</f>
      </c>
      <c r="H19029">
        <f>IF(DATOS!$G19029&lt;&gt;"EX",0,--(COUNTIFS(nNIA,DATOS!$A19029,nCURSO,DATOS!$D19029,nESPEC,DATOS!$E19029,nASIG,DATOS!$I19029,nEVAL,"OR")=0))</f>
      </c>
      <c r="I19029">
        <f>IF(DATOS!$I19029="","",IFERROR(VLOOKUP(DATOS!$I19029,CONFIG_ASIGNATURAS!$B$2:$J$91,9,FALSE()),""))</f>
      </c>
    </row>
    <row r="19030">
      <c r="F19030">
        <f>IF(DATOS!$A19030="","",DATOS!$A19030&amp;"|"&amp;DATOS!$D19030&amp;"|"&amp;DATOS!$E19030&amp;"|"&amp;DATOS!$I19030)</f>
      </c>
      <c r="G19030">
        <f>IF(DATOS!$A19030="",0,IF(CONFIG_METADATA!$B$4&lt;&gt;"OR+EX",--(DATOS!$G19030=CONFIG_METADATA!$B$4),IF(DATOS!$G19030="EX",1,IF(DATOS!$G19030="OR",--(COUNTIFS(nNIA,DATOS!$A19030,nCURSO,DATOS!$D19030,nESPEC,DATOS!$E19030,nASIG,DATOS!$I19030,nEVAL,"EX")=0),0))))</f>
      </c>
      <c r="H19030">
        <f>IF(DATOS!$G19030&lt;&gt;"EX",0,--(COUNTIFS(nNIA,DATOS!$A19030,nCURSO,DATOS!$D19030,nESPEC,DATOS!$E19030,nASIG,DATOS!$I19030,nEVAL,"OR")=0))</f>
      </c>
      <c r="I19030">
        <f>IF(DATOS!$I19030="","",IFERROR(VLOOKUP(DATOS!$I19030,CONFIG_ASIGNATURAS!$B$2:$J$91,9,FALSE()),""))</f>
      </c>
    </row>
    <row r="19031">
      <c r="F19031">
        <f>IF(DATOS!$A19031="","",DATOS!$A19031&amp;"|"&amp;DATOS!$D19031&amp;"|"&amp;DATOS!$E19031&amp;"|"&amp;DATOS!$I19031)</f>
      </c>
      <c r="G19031">
        <f>IF(DATOS!$A19031="",0,IF(CONFIG_METADATA!$B$4&lt;&gt;"OR+EX",--(DATOS!$G19031=CONFIG_METADATA!$B$4),IF(DATOS!$G19031="EX",1,IF(DATOS!$G19031="OR",--(COUNTIFS(nNIA,DATOS!$A19031,nCURSO,DATOS!$D19031,nESPEC,DATOS!$E19031,nASIG,DATOS!$I19031,nEVAL,"EX")=0),0))))</f>
      </c>
      <c r="H19031">
        <f>IF(DATOS!$G19031&lt;&gt;"EX",0,--(COUNTIFS(nNIA,DATOS!$A19031,nCURSO,DATOS!$D19031,nESPEC,DATOS!$E19031,nASIG,DATOS!$I19031,nEVAL,"OR")=0))</f>
      </c>
      <c r="I19031">
        <f>IF(DATOS!$I19031="","",IFERROR(VLOOKUP(DATOS!$I19031,CONFIG_ASIGNATURAS!$B$2:$J$91,9,FALSE()),""))</f>
      </c>
    </row>
    <row r="19032">
      <c r="F19032">
        <f>IF(DATOS!$A19032="","",DATOS!$A19032&amp;"|"&amp;DATOS!$D19032&amp;"|"&amp;DATOS!$E19032&amp;"|"&amp;DATOS!$I19032)</f>
      </c>
      <c r="G19032">
        <f>IF(DATOS!$A19032="",0,IF(CONFIG_METADATA!$B$4&lt;&gt;"OR+EX",--(DATOS!$G19032=CONFIG_METADATA!$B$4),IF(DATOS!$G19032="EX",1,IF(DATOS!$G19032="OR",--(COUNTIFS(nNIA,DATOS!$A19032,nCURSO,DATOS!$D19032,nESPEC,DATOS!$E19032,nASIG,DATOS!$I19032,nEVAL,"EX")=0),0))))</f>
      </c>
      <c r="H19032">
        <f>IF(DATOS!$G19032&lt;&gt;"EX",0,--(COUNTIFS(nNIA,DATOS!$A19032,nCURSO,DATOS!$D19032,nESPEC,DATOS!$E19032,nASIG,DATOS!$I19032,nEVAL,"OR")=0))</f>
      </c>
      <c r="I19032">
        <f>IF(DATOS!$I19032="","",IFERROR(VLOOKUP(DATOS!$I19032,CONFIG_ASIGNATURAS!$B$2:$J$91,9,FALSE()),""))</f>
      </c>
    </row>
    <row r="19033">
      <c r="F19033">
        <f>IF(DATOS!$A19033="","",DATOS!$A19033&amp;"|"&amp;DATOS!$D19033&amp;"|"&amp;DATOS!$E19033&amp;"|"&amp;DATOS!$I19033)</f>
      </c>
      <c r="G19033">
        <f>IF(DATOS!$A19033="",0,IF(CONFIG_METADATA!$B$4&lt;&gt;"OR+EX",--(DATOS!$G19033=CONFIG_METADATA!$B$4),IF(DATOS!$G19033="EX",1,IF(DATOS!$G19033="OR",--(COUNTIFS(nNIA,DATOS!$A19033,nCURSO,DATOS!$D19033,nESPEC,DATOS!$E19033,nASIG,DATOS!$I19033,nEVAL,"EX")=0),0))))</f>
      </c>
      <c r="H19033">
        <f>IF(DATOS!$G19033&lt;&gt;"EX",0,--(COUNTIFS(nNIA,DATOS!$A19033,nCURSO,DATOS!$D19033,nESPEC,DATOS!$E19033,nASIG,DATOS!$I19033,nEVAL,"OR")=0))</f>
      </c>
      <c r="I19033">
        <f>IF(DATOS!$I19033="","",IFERROR(VLOOKUP(DATOS!$I19033,CONFIG_ASIGNATURAS!$B$2:$J$91,9,FALSE()),""))</f>
      </c>
    </row>
    <row r="19034">
      <c r="F19034">
        <f>IF(DATOS!$A19034="","",DATOS!$A19034&amp;"|"&amp;DATOS!$D19034&amp;"|"&amp;DATOS!$E19034&amp;"|"&amp;DATOS!$I19034)</f>
      </c>
      <c r="G19034">
        <f>IF(DATOS!$A19034="",0,IF(CONFIG_METADATA!$B$4&lt;&gt;"OR+EX",--(DATOS!$G19034=CONFIG_METADATA!$B$4),IF(DATOS!$G19034="EX",1,IF(DATOS!$G19034="OR",--(COUNTIFS(nNIA,DATOS!$A19034,nCURSO,DATOS!$D19034,nESPEC,DATOS!$E19034,nASIG,DATOS!$I19034,nEVAL,"EX")=0),0))))</f>
      </c>
      <c r="H19034">
        <f>IF(DATOS!$G19034&lt;&gt;"EX",0,--(COUNTIFS(nNIA,DATOS!$A19034,nCURSO,DATOS!$D19034,nESPEC,DATOS!$E19034,nASIG,DATOS!$I19034,nEVAL,"OR")=0))</f>
      </c>
      <c r="I19034">
        <f>IF(DATOS!$I19034="","",IFERROR(VLOOKUP(DATOS!$I19034,CONFIG_ASIGNATURAS!$B$2:$J$91,9,FALSE()),""))</f>
      </c>
    </row>
    <row r="19035">
      <c r="F19035">
        <f>IF(DATOS!$A19035="","",DATOS!$A19035&amp;"|"&amp;DATOS!$D19035&amp;"|"&amp;DATOS!$E19035&amp;"|"&amp;DATOS!$I19035)</f>
      </c>
      <c r="G19035">
        <f>IF(DATOS!$A19035="",0,IF(CONFIG_METADATA!$B$4&lt;&gt;"OR+EX",--(DATOS!$G19035=CONFIG_METADATA!$B$4),IF(DATOS!$G19035="EX",1,IF(DATOS!$G19035="OR",--(COUNTIFS(nNIA,DATOS!$A19035,nCURSO,DATOS!$D19035,nESPEC,DATOS!$E19035,nASIG,DATOS!$I19035,nEVAL,"EX")=0),0))))</f>
      </c>
      <c r="H19035">
        <f>IF(DATOS!$G19035&lt;&gt;"EX",0,--(COUNTIFS(nNIA,DATOS!$A19035,nCURSO,DATOS!$D19035,nESPEC,DATOS!$E19035,nASIG,DATOS!$I19035,nEVAL,"OR")=0))</f>
      </c>
      <c r="I19035">
        <f>IF(DATOS!$I19035="","",IFERROR(VLOOKUP(DATOS!$I19035,CONFIG_ASIGNATURAS!$B$2:$J$91,9,FALSE()),""))</f>
      </c>
    </row>
    <row r="19036">
      <c r="F19036">
        <f>IF(DATOS!$A19036="","",DATOS!$A19036&amp;"|"&amp;DATOS!$D19036&amp;"|"&amp;DATOS!$E19036&amp;"|"&amp;DATOS!$I19036)</f>
      </c>
      <c r="G19036">
        <f>IF(DATOS!$A19036="",0,IF(CONFIG_METADATA!$B$4&lt;&gt;"OR+EX",--(DATOS!$G19036=CONFIG_METADATA!$B$4),IF(DATOS!$G19036="EX",1,IF(DATOS!$G19036="OR",--(COUNTIFS(nNIA,DATOS!$A19036,nCURSO,DATOS!$D19036,nESPEC,DATOS!$E19036,nASIG,DATOS!$I19036,nEVAL,"EX")=0),0))))</f>
      </c>
      <c r="H19036">
        <f>IF(DATOS!$G19036&lt;&gt;"EX",0,--(COUNTIFS(nNIA,DATOS!$A19036,nCURSO,DATOS!$D19036,nESPEC,DATOS!$E19036,nASIG,DATOS!$I19036,nEVAL,"OR")=0))</f>
      </c>
      <c r="I19036">
        <f>IF(DATOS!$I19036="","",IFERROR(VLOOKUP(DATOS!$I19036,CONFIG_ASIGNATURAS!$B$2:$J$91,9,FALSE()),""))</f>
      </c>
    </row>
    <row r="19037">
      <c r="F19037">
        <f>IF(DATOS!$A19037="","",DATOS!$A19037&amp;"|"&amp;DATOS!$D19037&amp;"|"&amp;DATOS!$E19037&amp;"|"&amp;DATOS!$I19037)</f>
      </c>
      <c r="G19037">
        <f>IF(DATOS!$A19037="",0,IF(CONFIG_METADATA!$B$4&lt;&gt;"OR+EX",--(DATOS!$G19037=CONFIG_METADATA!$B$4),IF(DATOS!$G19037="EX",1,IF(DATOS!$G19037="OR",--(COUNTIFS(nNIA,DATOS!$A19037,nCURSO,DATOS!$D19037,nESPEC,DATOS!$E19037,nASIG,DATOS!$I19037,nEVAL,"EX")=0),0))))</f>
      </c>
      <c r="H19037">
        <f>IF(DATOS!$G19037&lt;&gt;"EX",0,--(COUNTIFS(nNIA,DATOS!$A19037,nCURSO,DATOS!$D19037,nESPEC,DATOS!$E19037,nASIG,DATOS!$I19037,nEVAL,"OR")=0))</f>
      </c>
      <c r="I19037">
        <f>IF(DATOS!$I19037="","",IFERROR(VLOOKUP(DATOS!$I19037,CONFIG_ASIGNATURAS!$B$2:$J$91,9,FALSE()),""))</f>
      </c>
    </row>
    <row r="19038">
      <c r="F19038">
        <f>IF(DATOS!$A19038="","",DATOS!$A19038&amp;"|"&amp;DATOS!$D19038&amp;"|"&amp;DATOS!$E19038&amp;"|"&amp;DATOS!$I19038)</f>
      </c>
      <c r="G19038">
        <f>IF(DATOS!$A19038="",0,IF(CONFIG_METADATA!$B$4&lt;&gt;"OR+EX",--(DATOS!$G19038=CONFIG_METADATA!$B$4),IF(DATOS!$G19038="EX",1,IF(DATOS!$G19038="OR",--(COUNTIFS(nNIA,DATOS!$A19038,nCURSO,DATOS!$D19038,nESPEC,DATOS!$E19038,nASIG,DATOS!$I19038,nEVAL,"EX")=0),0))))</f>
      </c>
      <c r="H19038">
        <f>IF(DATOS!$G19038&lt;&gt;"EX",0,--(COUNTIFS(nNIA,DATOS!$A19038,nCURSO,DATOS!$D19038,nESPEC,DATOS!$E19038,nASIG,DATOS!$I19038,nEVAL,"OR")=0))</f>
      </c>
      <c r="I19038">
        <f>IF(DATOS!$I19038="","",IFERROR(VLOOKUP(DATOS!$I19038,CONFIG_ASIGNATURAS!$B$2:$J$91,9,FALSE()),""))</f>
      </c>
    </row>
    <row r="19039">
      <c r="F19039">
        <f>IF(DATOS!$A19039="","",DATOS!$A19039&amp;"|"&amp;DATOS!$D19039&amp;"|"&amp;DATOS!$E19039&amp;"|"&amp;DATOS!$I19039)</f>
      </c>
      <c r="G19039">
        <f>IF(DATOS!$A19039="",0,IF(CONFIG_METADATA!$B$4&lt;&gt;"OR+EX",--(DATOS!$G19039=CONFIG_METADATA!$B$4),IF(DATOS!$G19039="EX",1,IF(DATOS!$G19039="OR",--(COUNTIFS(nNIA,DATOS!$A19039,nCURSO,DATOS!$D19039,nESPEC,DATOS!$E19039,nASIG,DATOS!$I19039,nEVAL,"EX")=0),0))))</f>
      </c>
      <c r="H19039">
        <f>IF(DATOS!$G19039&lt;&gt;"EX",0,--(COUNTIFS(nNIA,DATOS!$A19039,nCURSO,DATOS!$D19039,nESPEC,DATOS!$E19039,nASIG,DATOS!$I19039,nEVAL,"OR")=0))</f>
      </c>
      <c r="I19039">
        <f>IF(DATOS!$I19039="","",IFERROR(VLOOKUP(DATOS!$I19039,CONFIG_ASIGNATURAS!$B$2:$J$91,9,FALSE()),""))</f>
      </c>
    </row>
    <row r="19040">
      <c r="F19040">
        <f>IF(DATOS!$A19040="","",DATOS!$A19040&amp;"|"&amp;DATOS!$D19040&amp;"|"&amp;DATOS!$E19040&amp;"|"&amp;DATOS!$I19040)</f>
      </c>
      <c r="G19040">
        <f>IF(DATOS!$A19040="",0,IF(CONFIG_METADATA!$B$4&lt;&gt;"OR+EX",--(DATOS!$G19040=CONFIG_METADATA!$B$4),IF(DATOS!$G19040="EX",1,IF(DATOS!$G19040="OR",--(COUNTIFS(nNIA,DATOS!$A19040,nCURSO,DATOS!$D19040,nESPEC,DATOS!$E19040,nASIG,DATOS!$I19040,nEVAL,"EX")=0),0))))</f>
      </c>
      <c r="H19040">
        <f>IF(DATOS!$G19040&lt;&gt;"EX",0,--(COUNTIFS(nNIA,DATOS!$A19040,nCURSO,DATOS!$D19040,nESPEC,DATOS!$E19040,nASIG,DATOS!$I19040,nEVAL,"OR")=0))</f>
      </c>
      <c r="I19040">
        <f>IF(DATOS!$I19040="","",IFERROR(VLOOKUP(DATOS!$I19040,CONFIG_ASIGNATURAS!$B$2:$J$91,9,FALSE()),""))</f>
      </c>
    </row>
    <row r="19041">
      <c r="F19041">
        <f>IF(DATOS!$A19041="","",DATOS!$A19041&amp;"|"&amp;DATOS!$D19041&amp;"|"&amp;DATOS!$E19041&amp;"|"&amp;DATOS!$I19041)</f>
      </c>
      <c r="G19041">
        <f>IF(DATOS!$A19041="",0,IF(CONFIG_METADATA!$B$4&lt;&gt;"OR+EX",--(DATOS!$G19041=CONFIG_METADATA!$B$4),IF(DATOS!$G19041="EX",1,IF(DATOS!$G19041="OR",--(COUNTIFS(nNIA,DATOS!$A19041,nCURSO,DATOS!$D19041,nESPEC,DATOS!$E19041,nASIG,DATOS!$I19041,nEVAL,"EX")=0),0))))</f>
      </c>
      <c r="H19041">
        <f>IF(DATOS!$G19041&lt;&gt;"EX",0,--(COUNTIFS(nNIA,DATOS!$A19041,nCURSO,DATOS!$D19041,nESPEC,DATOS!$E19041,nASIG,DATOS!$I19041,nEVAL,"OR")=0))</f>
      </c>
      <c r="I19041">
        <f>IF(DATOS!$I19041="","",IFERROR(VLOOKUP(DATOS!$I19041,CONFIG_ASIGNATURAS!$B$2:$J$91,9,FALSE()),""))</f>
      </c>
    </row>
    <row r="19042">
      <c r="F19042">
        <f>IF(DATOS!$A19042="","",DATOS!$A19042&amp;"|"&amp;DATOS!$D19042&amp;"|"&amp;DATOS!$E19042&amp;"|"&amp;DATOS!$I19042)</f>
      </c>
      <c r="G19042">
        <f>IF(DATOS!$A19042="",0,IF(CONFIG_METADATA!$B$4&lt;&gt;"OR+EX",--(DATOS!$G19042=CONFIG_METADATA!$B$4),IF(DATOS!$G19042="EX",1,IF(DATOS!$G19042="OR",--(COUNTIFS(nNIA,DATOS!$A19042,nCURSO,DATOS!$D19042,nESPEC,DATOS!$E19042,nASIG,DATOS!$I19042,nEVAL,"EX")=0),0))))</f>
      </c>
      <c r="H19042">
        <f>IF(DATOS!$G19042&lt;&gt;"EX",0,--(COUNTIFS(nNIA,DATOS!$A19042,nCURSO,DATOS!$D19042,nESPEC,DATOS!$E19042,nASIG,DATOS!$I19042,nEVAL,"OR")=0))</f>
      </c>
      <c r="I19042">
        <f>IF(DATOS!$I19042="","",IFERROR(VLOOKUP(DATOS!$I19042,CONFIG_ASIGNATURAS!$B$2:$J$91,9,FALSE()),""))</f>
      </c>
    </row>
    <row r="19043">
      <c r="F19043">
        <f>IF(DATOS!$A19043="","",DATOS!$A19043&amp;"|"&amp;DATOS!$D19043&amp;"|"&amp;DATOS!$E19043&amp;"|"&amp;DATOS!$I19043)</f>
      </c>
      <c r="G19043">
        <f>IF(DATOS!$A19043="",0,IF(CONFIG_METADATA!$B$4&lt;&gt;"OR+EX",--(DATOS!$G19043=CONFIG_METADATA!$B$4),IF(DATOS!$G19043="EX",1,IF(DATOS!$G19043="OR",--(COUNTIFS(nNIA,DATOS!$A19043,nCURSO,DATOS!$D19043,nESPEC,DATOS!$E19043,nASIG,DATOS!$I19043,nEVAL,"EX")=0),0))))</f>
      </c>
      <c r="H19043">
        <f>IF(DATOS!$G19043&lt;&gt;"EX",0,--(COUNTIFS(nNIA,DATOS!$A19043,nCURSO,DATOS!$D19043,nESPEC,DATOS!$E19043,nASIG,DATOS!$I19043,nEVAL,"OR")=0))</f>
      </c>
      <c r="I19043">
        <f>IF(DATOS!$I19043="","",IFERROR(VLOOKUP(DATOS!$I19043,CONFIG_ASIGNATURAS!$B$2:$J$91,9,FALSE()),""))</f>
      </c>
    </row>
    <row r="19044">
      <c r="F19044">
        <f>IF(DATOS!$A19044="","",DATOS!$A19044&amp;"|"&amp;DATOS!$D19044&amp;"|"&amp;DATOS!$E19044&amp;"|"&amp;DATOS!$I19044)</f>
      </c>
      <c r="G19044">
        <f>IF(DATOS!$A19044="",0,IF(CONFIG_METADATA!$B$4&lt;&gt;"OR+EX",--(DATOS!$G19044=CONFIG_METADATA!$B$4),IF(DATOS!$G19044="EX",1,IF(DATOS!$G19044="OR",--(COUNTIFS(nNIA,DATOS!$A19044,nCURSO,DATOS!$D19044,nESPEC,DATOS!$E19044,nASIG,DATOS!$I19044,nEVAL,"EX")=0),0))))</f>
      </c>
      <c r="H19044">
        <f>IF(DATOS!$G19044&lt;&gt;"EX",0,--(COUNTIFS(nNIA,DATOS!$A19044,nCURSO,DATOS!$D19044,nESPEC,DATOS!$E19044,nASIG,DATOS!$I19044,nEVAL,"OR")=0))</f>
      </c>
      <c r="I19044">
        <f>IF(DATOS!$I19044="","",IFERROR(VLOOKUP(DATOS!$I19044,CONFIG_ASIGNATURAS!$B$2:$J$91,9,FALSE()),""))</f>
      </c>
    </row>
    <row r="19045">
      <c r="F19045">
        <f>IF(DATOS!$A19045="","",DATOS!$A19045&amp;"|"&amp;DATOS!$D19045&amp;"|"&amp;DATOS!$E19045&amp;"|"&amp;DATOS!$I19045)</f>
      </c>
      <c r="G19045">
        <f>IF(DATOS!$A19045="",0,IF(CONFIG_METADATA!$B$4&lt;&gt;"OR+EX",--(DATOS!$G19045=CONFIG_METADATA!$B$4),IF(DATOS!$G19045="EX",1,IF(DATOS!$G19045="OR",--(COUNTIFS(nNIA,DATOS!$A19045,nCURSO,DATOS!$D19045,nESPEC,DATOS!$E19045,nASIG,DATOS!$I19045,nEVAL,"EX")=0),0))))</f>
      </c>
      <c r="H19045">
        <f>IF(DATOS!$G19045&lt;&gt;"EX",0,--(COUNTIFS(nNIA,DATOS!$A19045,nCURSO,DATOS!$D19045,nESPEC,DATOS!$E19045,nASIG,DATOS!$I19045,nEVAL,"OR")=0))</f>
      </c>
      <c r="I19045">
        <f>IF(DATOS!$I19045="","",IFERROR(VLOOKUP(DATOS!$I19045,CONFIG_ASIGNATURAS!$B$2:$J$91,9,FALSE()),""))</f>
      </c>
    </row>
    <row r="19046">
      <c r="F19046">
        <f>IF(DATOS!$A19046="","",DATOS!$A19046&amp;"|"&amp;DATOS!$D19046&amp;"|"&amp;DATOS!$E19046&amp;"|"&amp;DATOS!$I19046)</f>
      </c>
      <c r="G19046">
        <f>IF(DATOS!$A19046="",0,IF(CONFIG_METADATA!$B$4&lt;&gt;"OR+EX",--(DATOS!$G19046=CONFIG_METADATA!$B$4),IF(DATOS!$G19046="EX",1,IF(DATOS!$G19046="OR",--(COUNTIFS(nNIA,DATOS!$A19046,nCURSO,DATOS!$D19046,nESPEC,DATOS!$E19046,nASIG,DATOS!$I19046,nEVAL,"EX")=0),0))))</f>
      </c>
      <c r="H19046">
        <f>IF(DATOS!$G19046&lt;&gt;"EX",0,--(COUNTIFS(nNIA,DATOS!$A19046,nCURSO,DATOS!$D19046,nESPEC,DATOS!$E19046,nASIG,DATOS!$I19046,nEVAL,"OR")=0))</f>
      </c>
      <c r="I19046">
        <f>IF(DATOS!$I19046="","",IFERROR(VLOOKUP(DATOS!$I19046,CONFIG_ASIGNATURAS!$B$2:$J$91,9,FALSE()),""))</f>
      </c>
    </row>
    <row r="19047">
      <c r="F19047">
        <f>IF(DATOS!$A19047="","",DATOS!$A19047&amp;"|"&amp;DATOS!$D19047&amp;"|"&amp;DATOS!$E19047&amp;"|"&amp;DATOS!$I19047)</f>
      </c>
      <c r="G19047">
        <f>IF(DATOS!$A19047="",0,IF(CONFIG_METADATA!$B$4&lt;&gt;"OR+EX",--(DATOS!$G19047=CONFIG_METADATA!$B$4),IF(DATOS!$G19047="EX",1,IF(DATOS!$G19047="OR",--(COUNTIFS(nNIA,DATOS!$A19047,nCURSO,DATOS!$D19047,nESPEC,DATOS!$E19047,nASIG,DATOS!$I19047,nEVAL,"EX")=0),0))))</f>
      </c>
      <c r="H19047">
        <f>IF(DATOS!$G19047&lt;&gt;"EX",0,--(COUNTIFS(nNIA,DATOS!$A19047,nCURSO,DATOS!$D19047,nESPEC,DATOS!$E19047,nASIG,DATOS!$I19047,nEVAL,"OR")=0))</f>
      </c>
      <c r="I19047">
        <f>IF(DATOS!$I19047="","",IFERROR(VLOOKUP(DATOS!$I19047,CONFIG_ASIGNATURAS!$B$2:$J$91,9,FALSE()),""))</f>
      </c>
    </row>
    <row r="19048">
      <c r="F19048">
        <f>IF(DATOS!$A19048="","",DATOS!$A19048&amp;"|"&amp;DATOS!$D19048&amp;"|"&amp;DATOS!$E19048&amp;"|"&amp;DATOS!$I19048)</f>
      </c>
      <c r="G19048">
        <f>IF(DATOS!$A19048="",0,IF(CONFIG_METADATA!$B$4&lt;&gt;"OR+EX",--(DATOS!$G19048=CONFIG_METADATA!$B$4),IF(DATOS!$G19048="EX",1,IF(DATOS!$G19048="OR",--(COUNTIFS(nNIA,DATOS!$A19048,nCURSO,DATOS!$D19048,nESPEC,DATOS!$E19048,nASIG,DATOS!$I19048,nEVAL,"EX")=0),0))))</f>
      </c>
      <c r="H19048">
        <f>IF(DATOS!$G19048&lt;&gt;"EX",0,--(COUNTIFS(nNIA,DATOS!$A19048,nCURSO,DATOS!$D19048,nESPEC,DATOS!$E19048,nASIG,DATOS!$I19048,nEVAL,"OR")=0))</f>
      </c>
      <c r="I19048">
        <f>IF(DATOS!$I19048="","",IFERROR(VLOOKUP(DATOS!$I19048,CONFIG_ASIGNATURAS!$B$2:$J$91,9,FALSE()),""))</f>
      </c>
    </row>
    <row r="19049">
      <c r="F19049">
        <f>IF(DATOS!$A19049="","",DATOS!$A19049&amp;"|"&amp;DATOS!$D19049&amp;"|"&amp;DATOS!$E19049&amp;"|"&amp;DATOS!$I19049)</f>
      </c>
      <c r="G19049">
        <f>IF(DATOS!$A19049="",0,IF(CONFIG_METADATA!$B$4&lt;&gt;"OR+EX",--(DATOS!$G19049=CONFIG_METADATA!$B$4),IF(DATOS!$G19049="EX",1,IF(DATOS!$G19049="OR",--(COUNTIFS(nNIA,DATOS!$A19049,nCURSO,DATOS!$D19049,nESPEC,DATOS!$E19049,nASIG,DATOS!$I19049,nEVAL,"EX")=0),0))))</f>
      </c>
      <c r="H19049">
        <f>IF(DATOS!$G19049&lt;&gt;"EX",0,--(COUNTIFS(nNIA,DATOS!$A19049,nCURSO,DATOS!$D19049,nESPEC,DATOS!$E19049,nASIG,DATOS!$I19049,nEVAL,"OR")=0))</f>
      </c>
      <c r="I19049">
        <f>IF(DATOS!$I19049="","",IFERROR(VLOOKUP(DATOS!$I19049,CONFIG_ASIGNATURAS!$B$2:$J$91,9,FALSE()),""))</f>
      </c>
    </row>
    <row r="19050">
      <c r="F19050">
        <f>IF(DATOS!$A19050="","",DATOS!$A19050&amp;"|"&amp;DATOS!$D19050&amp;"|"&amp;DATOS!$E19050&amp;"|"&amp;DATOS!$I19050)</f>
      </c>
      <c r="G19050">
        <f>IF(DATOS!$A19050="",0,IF(CONFIG_METADATA!$B$4&lt;&gt;"OR+EX",--(DATOS!$G19050=CONFIG_METADATA!$B$4),IF(DATOS!$G19050="EX",1,IF(DATOS!$G19050="OR",--(COUNTIFS(nNIA,DATOS!$A19050,nCURSO,DATOS!$D19050,nESPEC,DATOS!$E19050,nASIG,DATOS!$I19050,nEVAL,"EX")=0),0))))</f>
      </c>
      <c r="H19050">
        <f>IF(DATOS!$G19050&lt;&gt;"EX",0,--(COUNTIFS(nNIA,DATOS!$A19050,nCURSO,DATOS!$D19050,nESPEC,DATOS!$E19050,nASIG,DATOS!$I19050,nEVAL,"OR")=0))</f>
      </c>
      <c r="I19050">
        <f>IF(DATOS!$I19050="","",IFERROR(VLOOKUP(DATOS!$I19050,CONFIG_ASIGNATURAS!$B$2:$J$91,9,FALSE()),""))</f>
      </c>
    </row>
    <row r="19051">
      <c r="F19051">
        <f>IF(DATOS!$A19051="","",DATOS!$A19051&amp;"|"&amp;DATOS!$D19051&amp;"|"&amp;DATOS!$E19051&amp;"|"&amp;DATOS!$I19051)</f>
      </c>
      <c r="G19051">
        <f>IF(DATOS!$A19051="",0,IF(CONFIG_METADATA!$B$4&lt;&gt;"OR+EX",--(DATOS!$G19051=CONFIG_METADATA!$B$4),IF(DATOS!$G19051="EX",1,IF(DATOS!$G19051="OR",--(COUNTIFS(nNIA,DATOS!$A19051,nCURSO,DATOS!$D19051,nESPEC,DATOS!$E19051,nASIG,DATOS!$I19051,nEVAL,"EX")=0),0))))</f>
      </c>
      <c r="H19051">
        <f>IF(DATOS!$G19051&lt;&gt;"EX",0,--(COUNTIFS(nNIA,DATOS!$A19051,nCURSO,DATOS!$D19051,nESPEC,DATOS!$E19051,nASIG,DATOS!$I19051,nEVAL,"OR")=0))</f>
      </c>
      <c r="I19051">
        <f>IF(DATOS!$I19051="","",IFERROR(VLOOKUP(DATOS!$I19051,CONFIG_ASIGNATURAS!$B$2:$J$91,9,FALSE()),""))</f>
      </c>
    </row>
    <row r="19052">
      <c r="F19052">
        <f>IF(DATOS!$A19052="","",DATOS!$A19052&amp;"|"&amp;DATOS!$D19052&amp;"|"&amp;DATOS!$E19052&amp;"|"&amp;DATOS!$I19052)</f>
      </c>
      <c r="G19052">
        <f>IF(DATOS!$A19052="",0,IF(CONFIG_METADATA!$B$4&lt;&gt;"OR+EX",--(DATOS!$G19052=CONFIG_METADATA!$B$4),IF(DATOS!$G19052="EX",1,IF(DATOS!$G19052="OR",--(COUNTIFS(nNIA,DATOS!$A19052,nCURSO,DATOS!$D19052,nESPEC,DATOS!$E19052,nASIG,DATOS!$I19052,nEVAL,"EX")=0),0))))</f>
      </c>
      <c r="H19052">
        <f>IF(DATOS!$G19052&lt;&gt;"EX",0,--(COUNTIFS(nNIA,DATOS!$A19052,nCURSO,DATOS!$D19052,nESPEC,DATOS!$E19052,nASIG,DATOS!$I19052,nEVAL,"OR")=0))</f>
      </c>
      <c r="I19052">
        <f>IF(DATOS!$I19052="","",IFERROR(VLOOKUP(DATOS!$I19052,CONFIG_ASIGNATURAS!$B$2:$J$91,9,FALSE()),""))</f>
      </c>
    </row>
    <row r="19053">
      <c r="F19053">
        <f>IF(DATOS!$A19053="","",DATOS!$A19053&amp;"|"&amp;DATOS!$D19053&amp;"|"&amp;DATOS!$E19053&amp;"|"&amp;DATOS!$I19053)</f>
      </c>
      <c r="G19053">
        <f>IF(DATOS!$A19053="",0,IF(CONFIG_METADATA!$B$4&lt;&gt;"OR+EX",--(DATOS!$G19053=CONFIG_METADATA!$B$4),IF(DATOS!$G19053="EX",1,IF(DATOS!$G19053="OR",--(COUNTIFS(nNIA,DATOS!$A19053,nCURSO,DATOS!$D19053,nESPEC,DATOS!$E19053,nASIG,DATOS!$I19053,nEVAL,"EX")=0),0))))</f>
      </c>
      <c r="H19053">
        <f>IF(DATOS!$G19053&lt;&gt;"EX",0,--(COUNTIFS(nNIA,DATOS!$A19053,nCURSO,DATOS!$D19053,nESPEC,DATOS!$E19053,nASIG,DATOS!$I19053,nEVAL,"OR")=0))</f>
      </c>
      <c r="I19053">
        <f>IF(DATOS!$I19053="","",IFERROR(VLOOKUP(DATOS!$I19053,CONFIG_ASIGNATURAS!$B$2:$J$91,9,FALSE()),""))</f>
      </c>
    </row>
    <row r="19054">
      <c r="F19054">
        <f>IF(DATOS!$A19054="","",DATOS!$A19054&amp;"|"&amp;DATOS!$D19054&amp;"|"&amp;DATOS!$E19054&amp;"|"&amp;DATOS!$I19054)</f>
      </c>
      <c r="G19054">
        <f>IF(DATOS!$A19054="",0,IF(CONFIG_METADATA!$B$4&lt;&gt;"OR+EX",--(DATOS!$G19054=CONFIG_METADATA!$B$4),IF(DATOS!$G19054="EX",1,IF(DATOS!$G19054="OR",--(COUNTIFS(nNIA,DATOS!$A19054,nCURSO,DATOS!$D19054,nESPEC,DATOS!$E19054,nASIG,DATOS!$I19054,nEVAL,"EX")=0),0))))</f>
      </c>
      <c r="H19054">
        <f>IF(DATOS!$G19054&lt;&gt;"EX",0,--(COUNTIFS(nNIA,DATOS!$A19054,nCURSO,DATOS!$D19054,nESPEC,DATOS!$E19054,nASIG,DATOS!$I19054,nEVAL,"OR")=0))</f>
      </c>
      <c r="I19054">
        <f>IF(DATOS!$I19054="","",IFERROR(VLOOKUP(DATOS!$I19054,CONFIG_ASIGNATURAS!$B$2:$J$91,9,FALSE()),""))</f>
      </c>
    </row>
    <row r="19055">
      <c r="F19055">
        <f>IF(DATOS!$A19055="","",DATOS!$A19055&amp;"|"&amp;DATOS!$D19055&amp;"|"&amp;DATOS!$E19055&amp;"|"&amp;DATOS!$I19055)</f>
      </c>
      <c r="G19055">
        <f>IF(DATOS!$A19055="",0,IF(CONFIG_METADATA!$B$4&lt;&gt;"OR+EX",--(DATOS!$G19055=CONFIG_METADATA!$B$4),IF(DATOS!$G19055="EX",1,IF(DATOS!$G19055="OR",--(COUNTIFS(nNIA,DATOS!$A19055,nCURSO,DATOS!$D19055,nESPEC,DATOS!$E19055,nASIG,DATOS!$I19055,nEVAL,"EX")=0),0))))</f>
      </c>
      <c r="H19055">
        <f>IF(DATOS!$G19055&lt;&gt;"EX",0,--(COUNTIFS(nNIA,DATOS!$A19055,nCURSO,DATOS!$D19055,nESPEC,DATOS!$E19055,nASIG,DATOS!$I19055,nEVAL,"OR")=0))</f>
      </c>
      <c r="I19055">
        <f>IF(DATOS!$I19055="","",IFERROR(VLOOKUP(DATOS!$I19055,CONFIG_ASIGNATURAS!$B$2:$J$91,9,FALSE()),""))</f>
      </c>
    </row>
    <row r="19056">
      <c r="F19056">
        <f>IF(DATOS!$A19056="","",DATOS!$A19056&amp;"|"&amp;DATOS!$D19056&amp;"|"&amp;DATOS!$E19056&amp;"|"&amp;DATOS!$I19056)</f>
      </c>
      <c r="G19056">
        <f>IF(DATOS!$A19056="",0,IF(CONFIG_METADATA!$B$4&lt;&gt;"OR+EX",--(DATOS!$G19056=CONFIG_METADATA!$B$4),IF(DATOS!$G19056="EX",1,IF(DATOS!$G19056="OR",--(COUNTIFS(nNIA,DATOS!$A19056,nCURSO,DATOS!$D19056,nESPEC,DATOS!$E19056,nASIG,DATOS!$I19056,nEVAL,"EX")=0),0))))</f>
      </c>
      <c r="H19056">
        <f>IF(DATOS!$G19056&lt;&gt;"EX",0,--(COUNTIFS(nNIA,DATOS!$A19056,nCURSO,DATOS!$D19056,nESPEC,DATOS!$E19056,nASIG,DATOS!$I19056,nEVAL,"OR")=0))</f>
      </c>
      <c r="I19056">
        <f>IF(DATOS!$I19056="","",IFERROR(VLOOKUP(DATOS!$I19056,CONFIG_ASIGNATURAS!$B$2:$J$91,9,FALSE()),""))</f>
      </c>
    </row>
    <row r="19057">
      <c r="F19057">
        <f>IF(DATOS!$A19057="","",DATOS!$A19057&amp;"|"&amp;DATOS!$D19057&amp;"|"&amp;DATOS!$E19057&amp;"|"&amp;DATOS!$I19057)</f>
      </c>
      <c r="G19057">
        <f>IF(DATOS!$A19057="",0,IF(CONFIG_METADATA!$B$4&lt;&gt;"OR+EX",--(DATOS!$G19057=CONFIG_METADATA!$B$4),IF(DATOS!$G19057="EX",1,IF(DATOS!$G19057="OR",--(COUNTIFS(nNIA,DATOS!$A19057,nCURSO,DATOS!$D19057,nESPEC,DATOS!$E19057,nASIG,DATOS!$I19057,nEVAL,"EX")=0),0))))</f>
      </c>
      <c r="H19057">
        <f>IF(DATOS!$G19057&lt;&gt;"EX",0,--(COUNTIFS(nNIA,DATOS!$A19057,nCURSO,DATOS!$D19057,nESPEC,DATOS!$E19057,nASIG,DATOS!$I19057,nEVAL,"OR")=0))</f>
      </c>
      <c r="I19057">
        <f>IF(DATOS!$I19057="","",IFERROR(VLOOKUP(DATOS!$I19057,CONFIG_ASIGNATURAS!$B$2:$J$91,9,FALSE()),""))</f>
      </c>
    </row>
    <row r="19058">
      <c r="F19058">
        <f>IF(DATOS!$A19058="","",DATOS!$A19058&amp;"|"&amp;DATOS!$D19058&amp;"|"&amp;DATOS!$E19058&amp;"|"&amp;DATOS!$I19058)</f>
      </c>
      <c r="G19058">
        <f>IF(DATOS!$A19058="",0,IF(CONFIG_METADATA!$B$4&lt;&gt;"OR+EX",--(DATOS!$G19058=CONFIG_METADATA!$B$4),IF(DATOS!$G19058="EX",1,IF(DATOS!$G19058="OR",--(COUNTIFS(nNIA,DATOS!$A19058,nCURSO,DATOS!$D19058,nESPEC,DATOS!$E19058,nASIG,DATOS!$I19058,nEVAL,"EX")=0),0))))</f>
      </c>
      <c r="H19058">
        <f>IF(DATOS!$G19058&lt;&gt;"EX",0,--(COUNTIFS(nNIA,DATOS!$A19058,nCURSO,DATOS!$D19058,nESPEC,DATOS!$E19058,nASIG,DATOS!$I19058,nEVAL,"OR")=0))</f>
      </c>
      <c r="I19058">
        <f>IF(DATOS!$I19058="","",IFERROR(VLOOKUP(DATOS!$I19058,CONFIG_ASIGNATURAS!$B$2:$J$91,9,FALSE()),""))</f>
      </c>
    </row>
    <row r="19059">
      <c r="F19059">
        <f>IF(DATOS!$A19059="","",DATOS!$A19059&amp;"|"&amp;DATOS!$D19059&amp;"|"&amp;DATOS!$E19059&amp;"|"&amp;DATOS!$I19059)</f>
      </c>
      <c r="G19059">
        <f>IF(DATOS!$A19059="",0,IF(CONFIG_METADATA!$B$4&lt;&gt;"OR+EX",--(DATOS!$G19059=CONFIG_METADATA!$B$4),IF(DATOS!$G19059="EX",1,IF(DATOS!$G19059="OR",--(COUNTIFS(nNIA,DATOS!$A19059,nCURSO,DATOS!$D19059,nESPEC,DATOS!$E19059,nASIG,DATOS!$I19059,nEVAL,"EX")=0),0))))</f>
      </c>
      <c r="H19059">
        <f>IF(DATOS!$G19059&lt;&gt;"EX",0,--(COUNTIFS(nNIA,DATOS!$A19059,nCURSO,DATOS!$D19059,nESPEC,DATOS!$E19059,nASIG,DATOS!$I19059,nEVAL,"OR")=0))</f>
      </c>
      <c r="I19059">
        <f>IF(DATOS!$I19059="","",IFERROR(VLOOKUP(DATOS!$I19059,CONFIG_ASIGNATURAS!$B$2:$J$91,9,FALSE()),""))</f>
      </c>
    </row>
    <row r="19060">
      <c r="F19060">
        <f>IF(DATOS!$A19060="","",DATOS!$A19060&amp;"|"&amp;DATOS!$D19060&amp;"|"&amp;DATOS!$E19060&amp;"|"&amp;DATOS!$I19060)</f>
      </c>
      <c r="G19060">
        <f>IF(DATOS!$A19060="",0,IF(CONFIG_METADATA!$B$4&lt;&gt;"OR+EX",--(DATOS!$G19060=CONFIG_METADATA!$B$4),IF(DATOS!$G19060="EX",1,IF(DATOS!$G19060="OR",--(COUNTIFS(nNIA,DATOS!$A19060,nCURSO,DATOS!$D19060,nESPEC,DATOS!$E19060,nASIG,DATOS!$I19060,nEVAL,"EX")=0),0))))</f>
      </c>
      <c r="H19060">
        <f>IF(DATOS!$G19060&lt;&gt;"EX",0,--(COUNTIFS(nNIA,DATOS!$A19060,nCURSO,DATOS!$D19060,nESPEC,DATOS!$E19060,nASIG,DATOS!$I19060,nEVAL,"OR")=0))</f>
      </c>
      <c r="I19060">
        <f>IF(DATOS!$I19060="","",IFERROR(VLOOKUP(DATOS!$I19060,CONFIG_ASIGNATURAS!$B$2:$J$91,9,FALSE()),""))</f>
      </c>
    </row>
    <row r="19061">
      <c r="F19061">
        <f>IF(DATOS!$A19061="","",DATOS!$A19061&amp;"|"&amp;DATOS!$D19061&amp;"|"&amp;DATOS!$E19061&amp;"|"&amp;DATOS!$I19061)</f>
      </c>
      <c r="G19061">
        <f>IF(DATOS!$A19061="",0,IF(CONFIG_METADATA!$B$4&lt;&gt;"OR+EX",--(DATOS!$G19061=CONFIG_METADATA!$B$4),IF(DATOS!$G19061="EX",1,IF(DATOS!$G19061="OR",--(COUNTIFS(nNIA,DATOS!$A19061,nCURSO,DATOS!$D19061,nESPEC,DATOS!$E19061,nASIG,DATOS!$I19061,nEVAL,"EX")=0),0))))</f>
      </c>
      <c r="H19061">
        <f>IF(DATOS!$G19061&lt;&gt;"EX",0,--(COUNTIFS(nNIA,DATOS!$A19061,nCURSO,DATOS!$D19061,nESPEC,DATOS!$E19061,nASIG,DATOS!$I19061,nEVAL,"OR")=0))</f>
      </c>
      <c r="I19061">
        <f>IF(DATOS!$I19061="","",IFERROR(VLOOKUP(DATOS!$I19061,CONFIG_ASIGNATURAS!$B$2:$J$91,9,FALSE()),""))</f>
      </c>
    </row>
    <row r="19062">
      <c r="F19062">
        <f>IF(DATOS!$A19062="","",DATOS!$A19062&amp;"|"&amp;DATOS!$D19062&amp;"|"&amp;DATOS!$E19062&amp;"|"&amp;DATOS!$I19062)</f>
      </c>
      <c r="G19062">
        <f>IF(DATOS!$A19062="",0,IF(CONFIG_METADATA!$B$4&lt;&gt;"OR+EX",--(DATOS!$G19062=CONFIG_METADATA!$B$4),IF(DATOS!$G19062="EX",1,IF(DATOS!$G19062="OR",--(COUNTIFS(nNIA,DATOS!$A19062,nCURSO,DATOS!$D19062,nESPEC,DATOS!$E19062,nASIG,DATOS!$I19062,nEVAL,"EX")=0),0))))</f>
      </c>
      <c r="H19062">
        <f>IF(DATOS!$G19062&lt;&gt;"EX",0,--(COUNTIFS(nNIA,DATOS!$A19062,nCURSO,DATOS!$D19062,nESPEC,DATOS!$E19062,nASIG,DATOS!$I19062,nEVAL,"OR")=0))</f>
      </c>
      <c r="I19062">
        <f>IF(DATOS!$I19062="","",IFERROR(VLOOKUP(DATOS!$I19062,CONFIG_ASIGNATURAS!$B$2:$J$91,9,FALSE()),""))</f>
      </c>
    </row>
    <row r="19063">
      <c r="F19063">
        <f>IF(DATOS!$A19063="","",DATOS!$A19063&amp;"|"&amp;DATOS!$D19063&amp;"|"&amp;DATOS!$E19063&amp;"|"&amp;DATOS!$I19063)</f>
      </c>
      <c r="G19063">
        <f>IF(DATOS!$A19063="",0,IF(CONFIG_METADATA!$B$4&lt;&gt;"OR+EX",--(DATOS!$G19063=CONFIG_METADATA!$B$4),IF(DATOS!$G19063="EX",1,IF(DATOS!$G19063="OR",--(COUNTIFS(nNIA,DATOS!$A19063,nCURSO,DATOS!$D19063,nESPEC,DATOS!$E19063,nASIG,DATOS!$I19063,nEVAL,"EX")=0),0))))</f>
      </c>
      <c r="H19063">
        <f>IF(DATOS!$G19063&lt;&gt;"EX",0,--(COUNTIFS(nNIA,DATOS!$A19063,nCURSO,DATOS!$D19063,nESPEC,DATOS!$E19063,nASIG,DATOS!$I19063,nEVAL,"OR")=0))</f>
      </c>
      <c r="I19063">
        <f>IF(DATOS!$I19063="","",IFERROR(VLOOKUP(DATOS!$I19063,CONFIG_ASIGNATURAS!$B$2:$J$91,9,FALSE()),""))</f>
      </c>
    </row>
    <row r="19064">
      <c r="F19064">
        <f>IF(DATOS!$A19064="","",DATOS!$A19064&amp;"|"&amp;DATOS!$D19064&amp;"|"&amp;DATOS!$E19064&amp;"|"&amp;DATOS!$I19064)</f>
      </c>
      <c r="G19064">
        <f>IF(DATOS!$A19064="",0,IF(CONFIG_METADATA!$B$4&lt;&gt;"OR+EX",--(DATOS!$G19064=CONFIG_METADATA!$B$4),IF(DATOS!$G19064="EX",1,IF(DATOS!$G19064="OR",--(COUNTIFS(nNIA,DATOS!$A19064,nCURSO,DATOS!$D19064,nESPEC,DATOS!$E19064,nASIG,DATOS!$I19064,nEVAL,"EX")=0),0))))</f>
      </c>
      <c r="H19064">
        <f>IF(DATOS!$G19064&lt;&gt;"EX",0,--(COUNTIFS(nNIA,DATOS!$A19064,nCURSO,DATOS!$D19064,nESPEC,DATOS!$E19064,nASIG,DATOS!$I19064,nEVAL,"OR")=0))</f>
      </c>
      <c r="I19064">
        <f>IF(DATOS!$I19064="","",IFERROR(VLOOKUP(DATOS!$I19064,CONFIG_ASIGNATURAS!$B$2:$J$91,9,FALSE()),""))</f>
      </c>
    </row>
    <row r="19065">
      <c r="F19065">
        <f>IF(DATOS!$A19065="","",DATOS!$A19065&amp;"|"&amp;DATOS!$D19065&amp;"|"&amp;DATOS!$E19065&amp;"|"&amp;DATOS!$I19065)</f>
      </c>
      <c r="G19065">
        <f>IF(DATOS!$A19065="",0,IF(CONFIG_METADATA!$B$4&lt;&gt;"OR+EX",--(DATOS!$G19065=CONFIG_METADATA!$B$4),IF(DATOS!$G19065="EX",1,IF(DATOS!$G19065="OR",--(COUNTIFS(nNIA,DATOS!$A19065,nCURSO,DATOS!$D19065,nESPEC,DATOS!$E19065,nASIG,DATOS!$I19065,nEVAL,"EX")=0),0))))</f>
      </c>
      <c r="H19065">
        <f>IF(DATOS!$G19065&lt;&gt;"EX",0,--(COUNTIFS(nNIA,DATOS!$A19065,nCURSO,DATOS!$D19065,nESPEC,DATOS!$E19065,nASIG,DATOS!$I19065,nEVAL,"OR")=0))</f>
      </c>
      <c r="I19065">
        <f>IF(DATOS!$I19065="","",IFERROR(VLOOKUP(DATOS!$I19065,CONFIG_ASIGNATURAS!$B$2:$J$91,9,FALSE()),""))</f>
      </c>
    </row>
    <row r="19066">
      <c r="F19066">
        <f>IF(DATOS!$A19066="","",DATOS!$A19066&amp;"|"&amp;DATOS!$D19066&amp;"|"&amp;DATOS!$E19066&amp;"|"&amp;DATOS!$I19066)</f>
      </c>
      <c r="G19066">
        <f>IF(DATOS!$A19066="",0,IF(CONFIG_METADATA!$B$4&lt;&gt;"OR+EX",--(DATOS!$G19066=CONFIG_METADATA!$B$4),IF(DATOS!$G19066="EX",1,IF(DATOS!$G19066="OR",--(COUNTIFS(nNIA,DATOS!$A19066,nCURSO,DATOS!$D19066,nESPEC,DATOS!$E19066,nASIG,DATOS!$I19066,nEVAL,"EX")=0),0))))</f>
      </c>
      <c r="H19066">
        <f>IF(DATOS!$G19066&lt;&gt;"EX",0,--(COUNTIFS(nNIA,DATOS!$A19066,nCURSO,DATOS!$D19066,nESPEC,DATOS!$E19066,nASIG,DATOS!$I19066,nEVAL,"OR")=0))</f>
      </c>
      <c r="I19066">
        <f>IF(DATOS!$I19066="","",IFERROR(VLOOKUP(DATOS!$I19066,CONFIG_ASIGNATURAS!$B$2:$J$91,9,FALSE()),""))</f>
      </c>
    </row>
    <row r="19067">
      <c r="F19067">
        <f>IF(DATOS!$A19067="","",DATOS!$A19067&amp;"|"&amp;DATOS!$D19067&amp;"|"&amp;DATOS!$E19067&amp;"|"&amp;DATOS!$I19067)</f>
      </c>
      <c r="G19067">
        <f>IF(DATOS!$A19067="",0,IF(CONFIG_METADATA!$B$4&lt;&gt;"OR+EX",--(DATOS!$G19067=CONFIG_METADATA!$B$4),IF(DATOS!$G19067="EX",1,IF(DATOS!$G19067="OR",--(COUNTIFS(nNIA,DATOS!$A19067,nCURSO,DATOS!$D19067,nESPEC,DATOS!$E19067,nASIG,DATOS!$I19067,nEVAL,"EX")=0),0))))</f>
      </c>
      <c r="H19067">
        <f>IF(DATOS!$G19067&lt;&gt;"EX",0,--(COUNTIFS(nNIA,DATOS!$A19067,nCURSO,DATOS!$D19067,nESPEC,DATOS!$E19067,nASIG,DATOS!$I19067,nEVAL,"OR")=0))</f>
      </c>
      <c r="I19067">
        <f>IF(DATOS!$I19067="","",IFERROR(VLOOKUP(DATOS!$I19067,CONFIG_ASIGNATURAS!$B$2:$J$91,9,FALSE()),""))</f>
      </c>
    </row>
    <row r="19068">
      <c r="F19068">
        <f>IF(DATOS!$A19068="","",DATOS!$A19068&amp;"|"&amp;DATOS!$D19068&amp;"|"&amp;DATOS!$E19068&amp;"|"&amp;DATOS!$I19068)</f>
      </c>
      <c r="G19068">
        <f>IF(DATOS!$A19068="",0,IF(CONFIG_METADATA!$B$4&lt;&gt;"OR+EX",--(DATOS!$G19068=CONFIG_METADATA!$B$4),IF(DATOS!$G19068="EX",1,IF(DATOS!$G19068="OR",--(COUNTIFS(nNIA,DATOS!$A19068,nCURSO,DATOS!$D19068,nESPEC,DATOS!$E19068,nASIG,DATOS!$I19068,nEVAL,"EX")=0),0))))</f>
      </c>
      <c r="H19068">
        <f>IF(DATOS!$G19068&lt;&gt;"EX",0,--(COUNTIFS(nNIA,DATOS!$A19068,nCURSO,DATOS!$D19068,nESPEC,DATOS!$E19068,nASIG,DATOS!$I19068,nEVAL,"OR")=0))</f>
      </c>
      <c r="I19068">
        <f>IF(DATOS!$I19068="","",IFERROR(VLOOKUP(DATOS!$I19068,CONFIG_ASIGNATURAS!$B$2:$J$91,9,FALSE()),""))</f>
      </c>
    </row>
    <row r="19069">
      <c r="F19069">
        <f>IF(DATOS!$A19069="","",DATOS!$A19069&amp;"|"&amp;DATOS!$D19069&amp;"|"&amp;DATOS!$E19069&amp;"|"&amp;DATOS!$I19069)</f>
      </c>
      <c r="G19069">
        <f>IF(DATOS!$A19069="",0,IF(CONFIG_METADATA!$B$4&lt;&gt;"OR+EX",--(DATOS!$G19069=CONFIG_METADATA!$B$4),IF(DATOS!$G19069="EX",1,IF(DATOS!$G19069="OR",--(COUNTIFS(nNIA,DATOS!$A19069,nCURSO,DATOS!$D19069,nESPEC,DATOS!$E19069,nASIG,DATOS!$I19069,nEVAL,"EX")=0),0))))</f>
      </c>
      <c r="H19069">
        <f>IF(DATOS!$G19069&lt;&gt;"EX",0,--(COUNTIFS(nNIA,DATOS!$A19069,nCURSO,DATOS!$D19069,nESPEC,DATOS!$E19069,nASIG,DATOS!$I19069,nEVAL,"OR")=0))</f>
      </c>
      <c r="I19069">
        <f>IF(DATOS!$I19069="","",IFERROR(VLOOKUP(DATOS!$I19069,CONFIG_ASIGNATURAS!$B$2:$J$91,9,FALSE()),""))</f>
      </c>
    </row>
    <row r="19070">
      <c r="F19070">
        <f>IF(DATOS!$A19070="","",DATOS!$A19070&amp;"|"&amp;DATOS!$D19070&amp;"|"&amp;DATOS!$E19070&amp;"|"&amp;DATOS!$I19070)</f>
      </c>
      <c r="G19070">
        <f>IF(DATOS!$A19070="",0,IF(CONFIG_METADATA!$B$4&lt;&gt;"OR+EX",--(DATOS!$G19070=CONFIG_METADATA!$B$4),IF(DATOS!$G19070="EX",1,IF(DATOS!$G19070="OR",--(COUNTIFS(nNIA,DATOS!$A19070,nCURSO,DATOS!$D19070,nESPEC,DATOS!$E19070,nASIG,DATOS!$I19070,nEVAL,"EX")=0),0))))</f>
      </c>
      <c r="H19070">
        <f>IF(DATOS!$G19070&lt;&gt;"EX",0,--(COUNTIFS(nNIA,DATOS!$A19070,nCURSO,DATOS!$D19070,nESPEC,DATOS!$E19070,nASIG,DATOS!$I19070,nEVAL,"OR")=0))</f>
      </c>
      <c r="I19070">
        <f>IF(DATOS!$I19070="","",IFERROR(VLOOKUP(DATOS!$I19070,CONFIG_ASIGNATURAS!$B$2:$J$91,9,FALSE()),""))</f>
      </c>
    </row>
    <row r="19071">
      <c r="F19071">
        <f>IF(DATOS!$A19071="","",DATOS!$A19071&amp;"|"&amp;DATOS!$D19071&amp;"|"&amp;DATOS!$E19071&amp;"|"&amp;DATOS!$I19071)</f>
      </c>
      <c r="G19071">
        <f>IF(DATOS!$A19071="",0,IF(CONFIG_METADATA!$B$4&lt;&gt;"OR+EX",--(DATOS!$G19071=CONFIG_METADATA!$B$4),IF(DATOS!$G19071="EX",1,IF(DATOS!$G19071="OR",--(COUNTIFS(nNIA,DATOS!$A19071,nCURSO,DATOS!$D19071,nESPEC,DATOS!$E19071,nASIG,DATOS!$I19071,nEVAL,"EX")=0),0))))</f>
      </c>
      <c r="H19071">
        <f>IF(DATOS!$G19071&lt;&gt;"EX",0,--(COUNTIFS(nNIA,DATOS!$A19071,nCURSO,DATOS!$D19071,nESPEC,DATOS!$E19071,nASIG,DATOS!$I19071,nEVAL,"OR")=0))</f>
      </c>
      <c r="I19071">
        <f>IF(DATOS!$I19071="","",IFERROR(VLOOKUP(DATOS!$I19071,CONFIG_ASIGNATURAS!$B$2:$J$91,9,FALSE()),""))</f>
      </c>
    </row>
    <row r="19072">
      <c r="F19072">
        <f>IF(DATOS!$A19072="","",DATOS!$A19072&amp;"|"&amp;DATOS!$D19072&amp;"|"&amp;DATOS!$E19072&amp;"|"&amp;DATOS!$I19072)</f>
      </c>
      <c r="G19072">
        <f>IF(DATOS!$A19072="",0,IF(CONFIG_METADATA!$B$4&lt;&gt;"OR+EX",--(DATOS!$G19072=CONFIG_METADATA!$B$4),IF(DATOS!$G19072="EX",1,IF(DATOS!$G19072="OR",--(COUNTIFS(nNIA,DATOS!$A19072,nCURSO,DATOS!$D19072,nESPEC,DATOS!$E19072,nASIG,DATOS!$I19072,nEVAL,"EX")=0),0))))</f>
      </c>
      <c r="H19072">
        <f>IF(DATOS!$G19072&lt;&gt;"EX",0,--(COUNTIFS(nNIA,DATOS!$A19072,nCURSO,DATOS!$D19072,nESPEC,DATOS!$E19072,nASIG,DATOS!$I19072,nEVAL,"OR")=0))</f>
      </c>
      <c r="I19072">
        <f>IF(DATOS!$I19072="","",IFERROR(VLOOKUP(DATOS!$I19072,CONFIG_ASIGNATURAS!$B$2:$J$91,9,FALSE()),""))</f>
      </c>
    </row>
    <row r="19073">
      <c r="F19073">
        <f>IF(DATOS!$A19073="","",DATOS!$A19073&amp;"|"&amp;DATOS!$D19073&amp;"|"&amp;DATOS!$E19073&amp;"|"&amp;DATOS!$I19073)</f>
      </c>
      <c r="G19073">
        <f>IF(DATOS!$A19073="",0,IF(CONFIG_METADATA!$B$4&lt;&gt;"OR+EX",--(DATOS!$G19073=CONFIG_METADATA!$B$4),IF(DATOS!$G19073="EX",1,IF(DATOS!$G19073="OR",--(COUNTIFS(nNIA,DATOS!$A19073,nCURSO,DATOS!$D19073,nESPEC,DATOS!$E19073,nASIG,DATOS!$I19073,nEVAL,"EX")=0),0))))</f>
      </c>
      <c r="H19073">
        <f>IF(DATOS!$G19073&lt;&gt;"EX",0,--(COUNTIFS(nNIA,DATOS!$A19073,nCURSO,DATOS!$D19073,nESPEC,DATOS!$E19073,nASIG,DATOS!$I19073,nEVAL,"OR")=0))</f>
      </c>
      <c r="I19073">
        <f>IF(DATOS!$I19073="","",IFERROR(VLOOKUP(DATOS!$I19073,CONFIG_ASIGNATURAS!$B$2:$J$91,9,FALSE()),""))</f>
      </c>
    </row>
    <row r="19074">
      <c r="F19074">
        <f>IF(DATOS!$A19074="","",DATOS!$A19074&amp;"|"&amp;DATOS!$D19074&amp;"|"&amp;DATOS!$E19074&amp;"|"&amp;DATOS!$I19074)</f>
      </c>
      <c r="G19074">
        <f>IF(DATOS!$A19074="",0,IF(CONFIG_METADATA!$B$4&lt;&gt;"OR+EX",--(DATOS!$G19074=CONFIG_METADATA!$B$4),IF(DATOS!$G19074="EX",1,IF(DATOS!$G19074="OR",--(COUNTIFS(nNIA,DATOS!$A19074,nCURSO,DATOS!$D19074,nESPEC,DATOS!$E19074,nASIG,DATOS!$I19074,nEVAL,"EX")=0),0))))</f>
      </c>
      <c r="H19074">
        <f>IF(DATOS!$G19074&lt;&gt;"EX",0,--(COUNTIFS(nNIA,DATOS!$A19074,nCURSO,DATOS!$D19074,nESPEC,DATOS!$E19074,nASIG,DATOS!$I19074,nEVAL,"OR")=0))</f>
      </c>
      <c r="I19074">
        <f>IF(DATOS!$I19074="","",IFERROR(VLOOKUP(DATOS!$I19074,CONFIG_ASIGNATURAS!$B$2:$J$91,9,FALSE()),""))</f>
      </c>
    </row>
    <row r="19075">
      <c r="F19075">
        <f>IF(DATOS!$A19075="","",DATOS!$A19075&amp;"|"&amp;DATOS!$D19075&amp;"|"&amp;DATOS!$E19075&amp;"|"&amp;DATOS!$I19075)</f>
      </c>
      <c r="G19075">
        <f>IF(DATOS!$A19075="",0,IF(CONFIG_METADATA!$B$4&lt;&gt;"OR+EX",--(DATOS!$G19075=CONFIG_METADATA!$B$4),IF(DATOS!$G19075="EX",1,IF(DATOS!$G19075="OR",--(COUNTIFS(nNIA,DATOS!$A19075,nCURSO,DATOS!$D19075,nESPEC,DATOS!$E19075,nASIG,DATOS!$I19075,nEVAL,"EX")=0),0))))</f>
      </c>
      <c r="H19075">
        <f>IF(DATOS!$G19075&lt;&gt;"EX",0,--(COUNTIFS(nNIA,DATOS!$A19075,nCURSO,DATOS!$D19075,nESPEC,DATOS!$E19075,nASIG,DATOS!$I19075,nEVAL,"OR")=0))</f>
      </c>
      <c r="I19075">
        <f>IF(DATOS!$I19075="","",IFERROR(VLOOKUP(DATOS!$I19075,CONFIG_ASIGNATURAS!$B$2:$J$91,9,FALSE()),""))</f>
      </c>
    </row>
    <row r="19076">
      <c r="F19076">
        <f>IF(DATOS!$A19076="","",DATOS!$A19076&amp;"|"&amp;DATOS!$D19076&amp;"|"&amp;DATOS!$E19076&amp;"|"&amp;DATOS!$I19076)</f>
      </c>
      <c r="G19076">
        <f>IF(DATOS!$A19076="",0,IF(CONFIG_METADATA!$B$4&lt;&gt;"OR+EX",--(DATOS!$G19076=CONFIG_METADATA!$B$4),IF(DATOS!$G19076="EX",1,IF(DATOS!$G19076="OR",--(COUNTIFS(nNIA,DATOS!$A19076,nCURSO,DATOS!$D19076,nESPEC,DATOS!$E19076,nASIG,DATOS!$I19076,nEVAL,"EX")=0),0))))</f>
      </c>
      <c r="H19076">
        <f>IF(DATOS!$G19076&lt;&gt;"EX",0,--(COUNTIFS(nNIA,DATOS!$A19076,nCURSO,DATOS!$D19076,nESPEC,DATOS!$E19076,nASIG,DATOS!$I19076,nEVAL,"OR")=0))</f>
      </c>
      <c r="I19076">
        <f>IF(DATOS!$I19076="","",IFERROR(VLOOKUP(DATOS!$I19076,CONFIG_ASIGNATURAS!$B$2:$J$91,9,FALSE()),""))</f>
      </c>
    </row>
    <row r="19077">
      <c r="F19077">
        <f>IF(DATOS!$A19077="","",DATOS!$A19077&amp;"|"&amp;DATOS!$D19077&amp;"|"&amp;DATOS!$E19077&amp;"|"&amp;DATOS!$I19077)</f>
      </c>
      <c r="G19077">
        <f>IF(DATOS!$A19077="",0,IF(CONFIG_METADATA!$B$4&lt;&gt;"OR+EX",--(DATOS!$G19077=CONFIG_METADATA!$B$4),IF(DATOS!$G19077="EX",1,IF(DATOS!$G19077="OR",--(COUNTIFS(nNIA,DATOS!$A19077,nCURSO,DATOS!$D19077,nESPEC,DATOS!$E19077,nASIG,DATOS!$I19077,nEVAL,"EX")=0),0))))</f>
      </c>
      <c r="H19077">
        <f>IF(DATOS!$G19077&lt;&gt;"EX",0,--(COUNTIFS(nNIA,DATOS!$A19077,nCURSO,DATOS!$D19077,nESPEC,DATOS!$E19077,nASIG,DATOS!$I19077,nEVAL,"OR")=0))</f>
      </c>
      <c r="I19077">
        <f>IF(DATOS!$I19077="","",IFERROR(VLOOKUP(DATOS!$I19077,CONFIG_ASIGNATURAS!$B$2:$J$91,9,FALSE()),""))</f>
      </c>
    </row>
    <row r="19078">
      <c r="F19078">
        <f>IF(DATOS!$A19078="","",DATOS!$A19078&amp;"|"&amp;DATOS!$D19078&amp;"|"&amp;DATOS!$E19078&amp;"|"&amp;DATOS!$I19078)</f>
      </c>
      <c r="G19078">
        <f>IF(DATOS!$A19078="",0,IF(CONFIG_METADATA!$B$4&lt;&gt;"OR+EX",--(DATOS!$G19078=CONFIG_METADATA!$B$4),IF(DATOS!$G19078="EX",1,IF(DATOS!$G19078="OR",--(COUNTIFS(nNIA,DATOS!$A19078,nCURSO,DATOS!$D19078,nESPEC,DATOS!$E19078,nASIG,DATOS!$I19078,nEVAL,"EX")=0),0))))</f>
      </c>
      <c r="H19078">
        <f>IF(DATOS!$G19078&lt;&gt;"EX",0,--(COUNTIFS(nNIA,DATOS!$A19078,nCURSO,DATOS!$D19078,nESPEC,DATOS!$E19078,nASIG,DATOS!$I19078,nEVAL,"OR")=0))</f>
      </c>
      <c r="I19078">
        <f>IF(DATOS!$I19078="","",IFERROR(VLOOKUP(DATOS!$I19078,CONFIG_ASIGNATURAS!$B$2:$J$91,9,FALSE()),""))</f>
      </c>
    </row>
    <row r="19079">
      <c r="F19079">
        <f>IF(DATOS!$A19079="","",DATOS!$A19079&amp;"|"&amp;DATOS!$D19079&amp;"|"&amp;DATOS!$E19079&amp;"|"&amp;DATOS!$I19079)</f>
      </c>
      <c r="G19079">
        <f>IF(DATOS!$A19079="",0,IF(CONFIG_METADATA!$B$4&lt;&gt;"OR+EX",--(DATOS!$G19079=CONFIG_METADATA!$B$4),IF(DATOS!$G19079="EX",1,IF(DATOS!$G19079="OR",--(COUNTIFS(nNIA,DATOS!$A19079,nCURSO,DATOS!$D19079,nESPEC,DATOS!$E19079,nASIG,DATOS!$I19079,nEVAL,"EX")=0),0))))</f>
      </c>
      <c r="H19079">
        <f>IF(DATOS!$G19079&lt;&gt;"EX",0,--(COUNTIFS(nNIA,DATOS!$A19079,nCURSO,DATOS!$D19079,nESPEC,DATOS!$E19079,nASIG,DATOS!$I19079,nEVAL,"OR")=0))</f>
      </c>
      <c r="I19079">
        <f>IF(DATOS!$I19079="","",IFERROR(VLOOKUP(DATOS!$I19079,CONFIG_ASIGNATURAS!$B$2:$J$91,9,FALSE()),""))</f>
      </c>
    </row>
    <row r="19080">
      <c r="F19080">
        <f>IF(DATOS!$A19080="","",DATOS!$A19080&amp;"|"&amp;DATOS!$D19080&amp;"|"&amp;DATOS!$E19080&amp;"|"&amp;DATOS!$I19080)</f>
      </c>
      <c r="G19080">
        <f>IF(DATOS!$A19080="",0,IF(CONFIG_METADATA!$B$4&lt;&gt;"OR+EX",--(DATOS!$G19080=CONFIG_METADATA!$B$4),IF(DATOS!$G19080="EX",1,IF(DATOS!$G19080="OR",--(COUNTIFS(nNIA,DATOS!$A19080,nCURSO,DATOS!$D19080,nESPEC,DATOS!$E19080,nASIG,DATOS!$I19080,nEVAL,"EX")=0),0))))</f>
      </c>
      <c r="H19080">
        <f>IF(DATOS!$G19080&lt;&gt;"EX",0,--(COUNTIFS(nNIA,DATOS!$A19080,nCURSO,DATOS!$D19080,nESPEC,DATOS!$E19080,nASIG,DATOS!$I19080,nEVAL,"OR")=0))</f>
      </c>
      <c r="I19080">
        <f>IF(DATOS!$I19080="","",IFERROR(VLOOKUP(DATOS!$I19080,CONFIG_ASIGNATURAS!$B$2:$J$91,9,FALSE()),""))</f>
      </c>
    </row>
    <row r="19081">
      <c r="F19081">
        <f>IF(DATOS!$A19081="","",DATOS!$A19081&amp;"|"&amp;DATOS!$D19081&amp;"|"&amp;DATOS!$E19081&amp;"|"&amp;DATOS!$I19081)</f>
      </c>
      <c r="G19081">
        <f>IF(DATOS!$A19081="",0,IF(CONFIG_METADATA!$B$4&lt;&gt;"OR+EX",--(DATOS!$G19081=CONFIG_METADATA!$B$4),IF(DATOS!$G19081="EX",1,IF(DATOS!$G19081="OR",--(COUNTIFS(nNIA,DATOS!$A19081,nCURSO,DATOS!$D19081,nESPEC,DATOS!$E19081,nASIG,DATOS!$I19081,nEVAL,"EX")=0),0))))</f>
      </c>
      <c r="H19081">
        <f>IF(DATOS!$G19081&lt;&gt;"EX",0,--(COUNTIFS(nNIA,DATOS!$A19081,nCURSO,DATOS!$D19081,nESPEC,DATOS!$E19081,nASIG,DATOS!$I19081,nEVAL,"OR")=0))</f>
      </c>
      <c r="I19081">
        <f>IF(DATOS!$I19081="","",IFERROR(VLOOKUP(DATOS!$I19081,CONFIG_ASIGNATURAS!$B$2:$J$91,9,FALSE()),""))</f>
      </c>
    </row>
    <row r="19082">
      <c r="F19082">
        <f>IF(DATOS!$A19082="","",DATOS!$A19082&amp;"|"&amp;DATOS!$D19082&amp;"|"&amp;DATOS!$E19082&amp;"|"&amp;DATOS!$I19082)</f>
      </c>
      <c r="G19082">
        <f>IF(DATOS!$A19082="",0,IF(CONFIG_METADATA!$B$4&lt;&gt;"OR+EX",--(DATOS!$G19082=CONFIG_METADATA!$B$4),IF(DATOS!$G19082="EX",1,IF(DATOS!$G19082="OR",--(COUNTIFS(nNIA,DATOS!$A19082,nCURSO,DATOS!$D19082,nESPEC,DATOS!$E19082,nASIG,DATOS!$I19082,nEVAL,"EX")=0),0))))</f>
      </c>
      <c r="H19082">
        <f>IF(DATOS!$G19082&lt;&gt;"EX",0,--(COUNTIFS(nNIA,DATOS!$A19082,nCURSO,DATOS!$D19082,nESPEC,DATOS!$E19082,nASIG,DATOS!$I19082,nEVAL,"OR")=0))</f>
      </c>
      <c r="I19082">
        <f>IF(DATOS!$I19082="","",IFERROR(VLOOKUP(DATOS!$I19082,CONFIG_ASIGNATURAS!$B$2:$J$91,9,FALSE()),""))</f>
      </c>
    </row>
    <row r="19083">
      <c r="F19083">
        <f>IF(DATOS!$A19083="","",DATOS!$A19083&amp;"|"&amp;DATOS!$D19083&amp;"|"&amp;DATOS!$E19083&amp;"|"&amp;DATOS!$I19083)</f>
      </c>
      <c r="G19083">
        <f>IF(DATOS!$A19083="",0,IF(CONFIG_METADATA!$B$4&lt;&gt;"OR+EX",--(DATOS!$G19083=CONFIG_METADATA!$B$4),IF(DATOS!$G19083="EX",1,IF(DATOS!$G19083="OR",--(COUNTIFS(nNIA,DATOS!$A19083,nCURSO,DATOS!$D19083,nESPEC,DATOS!$E19083,nASIG,DATOS!$I19083,nEVAL,"EX")=0),0))))</f>
      </c>
      <c r="H19083">
        <f>IF(DATOS!$G19083&lt;&gt;"EX",0,--(COUNTIFS(nNIA,DATOS!$A19083,nCURSO,DATOS!$D19083,nESPEC,DATOS!$E19083,nASIG,DATOS!$I19083,nEVAL,"OR")=0))</f>
      </c>
      <c r="I19083">
        <f>IF(DATOS!$I19083="","",IFERROR(VLOOKUP(DATOS!$I19083,CONFIG_ASIGNATURAS!$B$2:$J$91,9,FALSE()),""))</f>
      </c>
    </row>
    <row r="19084">
      <c r="F19084">
        <f>IF(DATOS!$A19084="","",DATOS!$A19084&amp;"|"&amp;DATOS!$D19084&amp;"|"&amp;DATOS!$E19084&amp;"|"&amp;DATOS!$I19084)</f>
      </c>
      <c r="G19084">
        <f>IF(DATOS!$A19084="",0,IF(CONFIG_METADATA!$B$4&lt;&gt;"OR+EX",--(DATOS!$G19084=CONFIG_METADATA!$B$4),IF(DATOS!$G19084="EX",1,IF(DATOS!$G19084="OR",--(COUNTIFS(nNIA,DATOS!$A19084,nCURSO,DATOS!$D19084,nESPEC,DATOS!$E19084,nASIG,DATOS!$I19084,nEVAL,"EX")=0),0))))</f>
      </c>
      <c r="H19084">
        <f>IF(DATOS!$G19084&lt;&gt;"EX",0,--(COUNTIFS(nNIA,DATOS!$A19084,nCURSO,DATOS!$D19084,nESPEC,DATOS!$E19084,nASIG,DATOS!$I19084,nEVAL,"OR")=0))</f>
      </c>
      <c r="I19084">
        <f>IF(DATOS!$I19084="","",IFERROR(VLOOKUP(DATOS!$I19084,CONFIG_ASIGNATURAS!$B$2:$J$91,9,FALSE()),""))</f>
      </c>
    </row>
    <row r="19085">
      <c r="F19085">
        <f>IF(DATOS!$A19085="","",DATOS!$A19085&amp;"|"&amp;DATOS!$D19085&amp;"|"&amp;DATOS!$E19085&amp;"|"&amp;DATOS!$I19085)</f>
      </c>
      <c r="G19085">
        <f>IF(DATOS!$A19085="",0,IF(CONFIG_METADATA!$B$4&lt;&gt;"OR+EX",--(DATOS!$G19085=CONFIG_METADATA!$B$4),IF(DATOS!$G19085="EX",1,IF(DATOS!$G19085="OR",--(COUNTIFS(nNIA,DATOS!$A19085,nCURSO,DATOS!$D19085,nESPEC,DATOS!$E19085,nASIG,DATOS!$I19085,nEVAL,"EX")=0),0))))</f>
      </c>
      <c r="H19085">
        <f>IF(DATOS!$G19085&lt;&gt;"EX",0,--(COUNTIFS(nNIA,DATOS!$A19085,nCURSO,DATOS!$D19085,nESPEC,DATOS!$E19085,nASIG,DATOS!$I19085,nEVAL,"OR")=0))</f>
      </c>
      <c r="I19085">
        <f>IF(DATOS!$I19085="","",IFERROR(VLOOKUP(DATOS!$I19085,CONFIG_ASIGNATURAS!$B$2:$J$91,9,FALSE()),""))</f>
      </c>
    </row>
    <row r="19086">
      <c r="F19086">
        <f>IF(DATOS!$A19086="","",DATOS!$A19086&amp;"|"&amp;DATOS!$D19086&amp;"|"&amp;DATOS!$E19086&amp;"|"&amp;DATOS!$I19086)</f>
      </c>
      <c r="G19086">
        <f>IF(DATOS!$A19086="",0,IF(CONFIG_METADATA!$B$4&lt;&gt;"OR+EX",--(DATOS!$G19086=CONFIG_METADATA!$B$4),IF(DATOS!$G19086="EX",1,IF(DATOS!$G19086="OR",--(COUNTIFS(nNIA,DATOS!$A19086,nCURSO,DATOS!$D19086,nESPEC,DATOS!$E19086,nASIG,DATOS!$I19086,nEVAL,"EX")=0),0))))</f>
      </c>
      <c r="H19086">
        <f>IF(DATOS!$G19086&lt;&gt;"EX",0,--(COUNTIFS(nNIA,DATOS!$A19086,nCURSO,DATOS!$D19086,nESPEC,DATOS!$E19086,nASIG,DATOS!$I19086,nEVAL,"OR")=0))</f>
      </c>
      <c r="I19086">
        <f>IF(DATOS!$I19086="","",IFERROR(VLOOKUP(DATOS!$I19086,CONFIG_ASIGNATURAS!$B$2:$J$91,9,FALSE()),""))</f>
      </c>
    </row>
    <row r="19087">
      <c r="F19087">
        <f>IF(DATOS!$A19087="","",DATOS!$A19087&amp;"|"&amp;DATOS!$D19087&amp;"|"&amp;DATOS!$E19087&amp;"|"&amp;DATOS!$I19087)</f>
      </c>
      <c r="G19087">
        <f>IF(DATOS!$A19087="",0,IF(CONFIG_METADATA!$B$4&lt;&gt;"OR+EX",--(DATOS!$G19087=CONFIG_METADATA!$B$4),IF(DATOS!$G19087="EX",1,IF(DATOS!$G19087="OR",--(COUNTIFS(nNIA,DATOS!$A19087,nCURSO,DATOS!$D19087,nESPEC,DATOS!$E19087,nASIG,DATOS!$I19087,nEVAL,"EX")=0),0))))</f>
      </c>
      <c r="H19087">
        <f>IF(DATOS!$G19087&lt;&gt;"EX",0,--(COUNTIFS(nNIA,DATOS!$A19087,nCURSO,DATOS!$D19087,nESPEC,DATOS!$E19087,nASIG,DATOS!$I19087,nEVAL,"OR")=0))</f>
      </c>
      <c r="I19087">
        <f>IF(DATOS!$I19087="","",IFERROR(VLOOKUP(DATOS!$I19087,CONFIG_ASIGNATURAS!$B$2:$J$91,9,FALSE()),""))</f>
      </c>
    </row>
    <row r="19088">
      <c r="F19088">
        <f>IF(DATOS!$A19088="","",DATOS!$A19088&amp;"|"&amp;DATOS!$D19088&amp;"|"&amp;DATOS!$E19088&amp;"|"&amp;DATOS!$I19088)</f>
      </c>
      <c r="G19088">
        <f>IF(DATOS!$A19088="",0,IF(CONFIG_METADATA!$B$4&lt;&gt;"OR+EX",--(DATOS!$G19088=CONFIG_METADATA!$B$4),IF(DATOS!$G19088="EX",1,IF(DATOS!$G19088="OR",--(COUNTIFS(nNIA,DATOS!$A19088,nCURSO,DATOS!$D19088,nESPEC,DATOS!$E19088,nASIG,DATOS!$I19088,nEVAL,"EX")=0),0))))</f>
      </c>
      <c r="H19088">
        <f>IF(DATOS!$G19088&lt;&gt;"EX",0,--(COUNTIFS(nNIA,DATOS!$A19088,nCURSO,DATOS!$D19088,nESPEC,DATOS!$E19088,nASIG,DATOS!$I19088,nEVAL,"OR")=0))</f>
      </c>
      <c r="I19088">
        <f>IF(DATOS!$I19088="","",IFERROR(VLOOKUP(DATOS!$I19088,CONFIG_ASIGNATURAS!$B$2:$J$91,9,FALSE()),""))</f>
      </c>
    </row>
    <row r="19089">
      <c r="F19089">
        <f>IF(DATOS!$A19089="","",DATOS!$A19089&amp;"|"&amp;DATOS!$D19089&amp;"|"&amp;DATOS!$E19089&amp;"|"&amp;DATOS!$I19089)</f>
      </c>
      <c r="G19089">
        <f>IF(DATOS!$A19089="",0,IF(CONFIG_METADATA!$B$4&lt;&gt;"OR+EX",--(DATOS!$G19089=CONFIG_METADATA!$B$4),IF(DATOS!$G19089="EX",1,IF(DATOS!$G19089="OR",--(COUNTIFS(nNIA,DATOS!$A19089,nCURSO,DATOS!$D19089,nESPEC,DATOS!$E19089,nASIG,DATOS!$I19089,nEVAL,"EX")=0),0))))</f>
      </c>
      <c r="H19089">
        <f>IF(DATOS!$G19089&lt;&gt;"EX",0,--(COUNTIFS(nNIA,DATOS!$A19089,nCURSO,DATOS!$D19089,nESPEC,DATOS!$E19089,nASIG,DATOS!$I19089,nEVAL,"OR")=0))</f>
      </c>
      <c r="I19089">
        <f>IF(DATOS!$I19089="","",IFERROR(VLOOKUP(DATOS!$I19089,CONFIG_ASIGNATURAS!$B$2:$J$91,9,FALSE()),""))</f>
      </c>
    </row>
    <row r="19090">
      <c r="F19090">
        <f>IF(DATOS!$A19090="","",DATOS!$A19090&amp;"|"&amp;DATOS!$D19090&amp;"|"&amp;DATOS!$E19090&amp;"|"&amp;DATOS!$I19090)</f>
      </c>
      <c r="G19090">
        <f>IF(DATOS!$A19090="",0,IF(CONFIG_METADATA!$B$4&lt;&gt;"OR+EX",--(DATOS!$G19090=CONFIG_METADATA!$B$4),IF(DATOS!$G19090="EX",1,IF(DATOS!$G19090="OR",--(COUNTIFS(nNIA,DATOS!$A19090,nCURSO,DATOS!$D19090,nESPEC,DATOS!$E19090,nASIG,DATOS!$I19090,nEVAL,"EX")=0),0))))</f>
      </c>
      <c r="H19090">
        <f>IF(DATOS!$G19090&lt;&gt;"EX",0,--(COUNTIFS(nNIA,DATOS!$A19090,nCURSO,DATOS!$D19090,nESPEC,DATOS!$E19090,nASIG,DATOS!$I19090,nEVAL,"OR")=0))</f>
      </c>
      <c r="I19090">
        <f>IF(DATOS!$I19090="","",IFERROR(VLOOKUP(DATOS!$I19090,CONFIG_ASIGNATURAS!$B$2:$J$91,9,FALSE()),""))</f>
      </c>
    </row>
    <row r="19091">
      <c r="F19091">
        <f>IF(DATOS!$A19091="","",DATOS!$A19091&amp;"|"&amp;DATOS!$D19091&amp;"|"&amp;DATOS!$E19091&amp;"|"&amp;DATOS!$I19091)</f>
      </c>
      <c r="G19091">
        <f>IF(DATOS!$A19091="",0,IF(CONFIG_METADATA!$B$4&lt;&gt;"OR+EX",--(DATOS!$G19091=CONFIG_METADATA!$B$4),IF(DATOS!$G19091="EX",1,IF(DATOS!$G19091="OR",--(COUNTIFS(nNIA,DATOS!$A19091,nCURSO,DATOS!$D19091,nESPEC,DATOS!$E19091,nASIG,DATOS!$I19091,nEVAL,"EX")=0),0))))</f>
      </c>
      <c r="H19091">
        <f>IF(DATOS!$G19091&lt;&gt;"EX",0,--(COUNTIFS(nNIA,DATOS!$A19091,nCURSO,DATOS!$D19091,nESPEC,DATOS!$E19091,nASIG,DATOS!$I19091,nEVAL,"OR")=0))</f>
      </c>
      <c r="I19091">
        <f>IF(DATOS!$I19091="","",IFERROR(VLOOKUP(DATOS!$I19091,CONFIG_ASIGNATURAS!$B$2:$J$91,9,FALSE()),""))</f>
      </c>
    </row>
    <row r="19092">
      <c r="F19092">
        <f>IF(DATOS!$A19092="","",DATOS!$A19092&amp;"|"&amp;DATOS!$D19092&amp;"|"&amp;DATOS!$E19092&amp;"|"&amp;DATOS!$I19092)</f>
      </c>
      <c r="G19092">
        <f>IF(DATOS!$A19092="",0,IF(CONFIG_METADATA!$B$4&lt;&gt;"OR+EX",--(DATOS!$G19092=CONFIG_METADATA!$B$4),IF(DATOS!$G19092="EX",1,IF(DATOS!$G19092="OR",--(COUNTIFS(nNIA,DATOS!$A19092,nCURSO,DATOS!$D19092,nESPEC,DATOS!$E19092,nASIG,DATOS!$I19092,nEVAL,"EX")=0),0))))</f>
      </c>
      <c r="H19092">
        <f>IF(DATOS!$G19092&lt;&gt;"EX",0,--(COUNTIFS(nNIA,DATOS!$A19092,nCURSO,DATOS!$D19092,nESPEC,DATOS!$E19092,nASIG,DATOS!$I19092,nEVAL,"OR")=0))</f>
      </c>
      <c r="I19092">
        <f>IF(DATOS!$I19092="","",IFERROR(VLOOKUP(DATOS!$I19092,CONFIG_ASIGNATURAS!$B$2:$J$91,9,FALSE()),""))</f>
      </c>
    </row>
    <row r="19093">
      <c r="F19093">
        <f>IF(DATOS!$A19093="","",DATOS!$A19093&amp;"|"&amp;DATOS!$D19093&amp;"|"&amp;DATOS!$E19093&amp;"|"&amp;DATOS!$I19093)</f>
      </c>
      <c r="G19093">
        <f>IF(DATOS!$A19093="",0,IF(CONFIG_METADATA!$B$4&lt;&gt;"OR+EX",--(DATOS!$G19093=CONFIG_METADATA!$B$4),IF(DATOS!$G19093="EX",1,IF(DATOS!$G19093="OR",--(COUNTIFS(nNIA,DATOS!$A19093,nCURSO,DATOS!$D19093,nESPEC,DATOS!$E19093,nASIG,DATOS!$I19093,nEVAL,"EX")=0),0))))</f>
      </c>
      <c r="H19093">
        <f>IF(DATOS!$G19093&lt;&gt;"EX",0,--(COUNTIFS(nNIA,DATOS!$A19093,nCURSO,DATOS!$D19093,nESPEC,DATOS!$E19093,nASIG,DATOS!$I19093,nEVAL,"OR")=0))</f>
      </c>
      <c r="I19093">
        <f>IF(DATOS!$I19093="","",IFERROR(VLOOKUP(DATOS!$I19093,CONFIG_ASIGNATURAS!$B$2:$J$91,9,FALSE()),""))</f>
      </c>
    </row>
    <row r="19094">
      <c r="F19094">
        <f>IF(DATOS!$A19094="","",DATOS!$A19094&amp;"|"&amp;DATOS!$D19094&amp;"|"&amp;DATOS!$E19094&amp;"|"&amp;DATOS!$I19094)</f>
      </c>
      <c r="G19094">
        <f>IF(DATOS!$A19094="",0,IF(CONFIG_METADATA!$B$4&lt;&gt;"OR+EX",--(DATOS!$G19094=CONFIG_METADATA!$B$4),IF(DATOS!$G19094="EX",1,IF(DATOS!$G19094="OR",--(COUNTIFS(nNIA,DATOS!$A19094,nCURSO,DATOS!$D19094,nESPEC,DATOS!$E19094,nASIG,DATOS!$I19094,nEVAL,"EX")=0),0))))</f>
      </c>
      <c r="H19094">
        <f>IF(DATOS!$G19094&lt;&gt;"EX",0,--(COUNTIFS(nNIA,DATOS!$A19094,nCURSO,DATOS!$D19094,nESPEC,DATOS!$E19094,nASIG,DATOS!$I19094,nEVAL,"OR")=0))</f>
      </c>
      <c r="I19094">
        <f>IF(DATOS!$I19094="","",IFERROR(VLOOKUP(DATOS!$I19094,CONFIG_ASIGNATURAS!$B$2:$J$91,9,FALSE()),""))</f>
      </c>
    </row>
    <row r="19095">
      <c r="F19095">
        <f>IF(DATOS!$A19095="","",DATOS!$A19095&amp;"|"&amp;DATOS!$D19095&amp;"|"&amp;DATOS!$E19095&amp;"|"&amp;DATOS!$I19095)</f>
      </c>
      <c r="G19095">
        <f>IF(DATOS!$A19095="",0,IF(CONFIG_METADATA!$B$4&lt;&gt;"OR+EX",--(DATOS!$G19095=CONFIG_METADATA!$B$4),IF(DATOS!$G19095="EX",1,IF(DATOS!$G19095="OR",--(COUNTIFS(nNIA,DATOS!$A19095,nCURSO,DATOS!$D19095,nESPEC,DATOS!$E19095,nASIG,DATOS!$I19095,nEVAL,"EX")=0),0))))</f>
      </c>
      <c r="H19095">
        <f>IF(DATOS!$G19095&lt;&gt;"EX",0,--(COUNTIFS(nNIA,DATOS!$A19095,nCURSO,DATOS!$D19095,nESPEC,DATOS!$E19095,nASIG,DATOS!$I19095,nEVAL,"OR")=0))</f>
      </c>
      <c r="I19095">
        <f>IF(DATOS!$I19095="","",IFERROR(VLOOKUP(DATOS!$I19095,CONFIG_ASIGNATURAS!$B$2:$J$91,9,FALSE()),""))</f>
      </c>
    </row>
    <row r="19096">
      <c r="F19096">
        <f>IF(DATOS!$A19096="","",DATOS!$A19096&amp;"|"&amp;DATOS!$D19096&amp;"|"&amp;DATOS!$E19096&amp;"|"&amp;DATOS!$I19096)</f>
      </c>
      <c r="G19096">
        <f>IF(DATOS!$A19096="",0,IF(CONFIG_METADATA!$B$4&lt;&gt;"OR+EX",--(DATOS!$G19096=CONFIG_METADATA!$B$4),IF(DATOS!$G19096="EX",1,IF(DATOS!$G19096="OR",--(COUNTIFS(nNIA,DATOS!$A19096,nCURSO,DATOS!$D19096,nESPEC,DATOS!$E19096,nASIG,DATOS!$I19096,nEVAL,"EX")=0),0))))</f>
      </c>
      <c r="H19096">
        <f>IF(DATOS!$G19096&lt;&gt;"EX",0,--(COUNTIFS(nNIA,DATOS!$A19096,nCURSO,DATOS!$D19096,nESPEC,DATOS!$E19096,nASIG,DATOS!$I19096,nEVAL,"OR")=0))</f>
      </c>
      <c r="I19096">
        <f>IF(DATOS!$I19096="","",IFERROR(VLOOKUP(DATOS!$I19096,CONFIG_ASIGNATURAS!$B$2:$J$91,9,FALSE()),""))</f>
      </c>
    </row>
    <row r="19097">
      <c r="F19097">
        <f>IF(DATOS!$A19097="","",DATOS!$A19097&amp;"|"&amp;DATOS!$D19097&amp;"|"&amp;DATOS!$E19097&amp;"|"&amp;DATOS!$I19097)</f>
      </c>
      <c r="G19097">
        <f>IF(DATOS!$A19097="",0,IF(CONFIG_METADATA!$B$4&lt;&gt;"OR+EX",--(DATOS!$G19097=CONFIG_METADATA!$B$4),IF(DATOS!$G19097="EX",1,IF(DATOS!$G19097="OR",--(COUNTIFS(nNIA,DATOS!$A19097,nCURSO,DATOS!$D19097,nESPEC,DATOS!$E19097,nASIG,DATOS!$I19097,nEVAL,"EX")=0),0))))</f>
      </c>
      <c r="H19097">
        <f>IF(DATOS!$G19097&lt;&gt;"EX",0,--(COUNTIFS(nNIA,DATOS!$A19097,nCURSO,DATOS!$D19097,nESPEC,DATOS!$E19097,nASIG,DATOS!$I19097,nEVAL,"OR")=0))</f>
      </c>
      <c r="I19097">
        <f>IF(DATOS!$I19097="","",IFERROR(VLOOKUP(DATOS!$I19097,CONFIG_ASIGNATURAS!$B$2:$J$91,9,FALSE()),""))</f>
      </c>
    </row>
    <row r="19098">
      <c r="F19098">
        <f>IF(DATOS!$A19098="","",DATOS!$A19098&amp;"|"&amp;DATOS!$D19098&amp;"|"&amp;DATOS!$E19098&amp;"|"&amp;DATOS!$I19098)</f>
      </c>
      <c r="G19098">
        <f>IF(DATOS!$A19098="",0,IF(CONFIG_METADATA!$B$4&lt;&gt;"OR+EX",--(DATOS!$G19098=CONFIG_METADATA!$B$4),IF(DATOS!$G19098="EX",1,IF(DATOS!$G19098="OR",--(COUNTIFS(nNIA,DATOS!$A19098,nCURSO,DATOS!$D19098,nESPEC,DATOS!$E19098,nASIG,DATOS!$I19098,nEVAL,"EX")=0),0))))</f>
      </c>
      <c r="H19098">
        <f>IF(DATOS!$G19098&lt;&gt;"EX",0,--(COUNTIFS(nNIA,DATOS!$A19098,nCURSO,DATOS!$D19098,nESPEC,DATOS!$E19098,nASIG,DATOS!$I19098,nEVAL,"OR")=0))</f>
      </c>
      <c r="I19098">
        <f>IF(DATOS!$I19098="","",IFERROR(VLOOKUP(DATOS!$I19098,CONFIG_ASIGNATURAS!$B$2:$J$91,9,FALSE()),""))</f>
      </c>
    </row>
    <row r="19099">
      <c r="F19099">
        <f>IF(DATOS!$A19099="","",DATOS!$A19099&amp;"|"&amp;DATOS!$D19099&amp;"|"&amp;DATOS!$E19099&amp;"|"&amp;DATOS!$I19099)</f>
      </c>
      <c r="G19099">
        <f>IF(DATOS!$A19099="",0,IF(CONFIG_METADATA!$B$4&lt;&gt;"OR+EX",--(DATOS!$G19099=CONFIG_METADATA!$B$4),IF(DATOS!$G19099="EX",1,IF(DATOS!$G19099="OR",--(COUNTIFS(nNIA,DATOS!$A19099,nCURSO,DATOS!$D19099,nESPEC,DATOS!$E19099,nASIG,DATOS!$I19099,nEVAL,"EX")=0),0))))</f>
      </c>
      <c r="H19099">
        <f>IF(DATOS!$G19099&lt;&gt;"EX",0,--(COUNTIFS(nNIA,DATOS!$A19099,nCURSO,DATOS!$D19099,nESPEC,DATOS!$E19099,nASIG,DATOS!$I19099,nEVAL,"OR")=0))</f>
      </c>
      <c r="I19099">
        <f>IF(DATOS!$I19099="","",IFERROR(VLOOKUP(DATOS!$I19099,CONFIG_ASIGNATURAS!$B$2:$J$91,9,FALSE()),""))</f>
      </c>
    </row>
    <row r="19100">
      <c r="F19100">
        <f>IF(DATOS!$A19100="","",DATOS!$A19100&amp;"|"&amp;DATOS!$D19100&amp;"|"&amp;DATOS!$E19100&amp;"|"&amp;DATOS!$I19100)</f>
      </c>
      <c r="G19100">
        <f>IF(DATOS!$A19100="",0,IF(CONFIG_METADATA!$B$4&lt;&gt;"OR+EX",--(DATOS!$G19100=CONFIG_METADATA!$B$4),IF(DATOS!$G19100="EX",1,IF(DATOS!$G19100="OR",--(COUNTIFS(nNIA,DATOS!$A19100,nCURSO,DATOS!$D19100,nESPEC,DATOS!$E19100,nASIG,DATOS!$I19100,nEVAL,"EX")=0),0))))</f>
      </c>
      <c r="H19100">
        <f>IF(DATOS!$G19100&lt;&gt;"EX",0,--(COUNTIFS(nNIA,DATOS!$A19100,nCURSO,DATOS!$D19100,nESPEC,DATOS!$E19100,nASIG,DATOS!$I19100,nEVAL,"OR")=0))</f>
      </c>
      <c r="I19100">
        <f>IF(DATOS!$I19100="","",IFERROR(VLOOKUP(DATOS!$I19100,CONFIG_ASIGNATURAS!$B$2:$J$91,9,FALSE()),""))</f>
      </c>
    </row>
    <row r="19101">
      <c r="F19101">
        <f>IF(DATOS!$A19101="","",DATOS!$A19101&amp;"|"&amp;DATOS!$D19101&amp;"|"&amp;DATOS!$E19101&amp;"|"&amp;DATOS!$I19101)</f>
      </c>
      <c r="G19101">
        <f>IF(DATOS!$A19101="",0,IF(CONFIG_METADATA!$B$4&lt;&gt;"OR+EX",--(DATOS!$G19101=CONFIG_METADATA!$B$4),IF(DATOS!$G19101="EX",1,IF(DATOS!$G19101="OR",--(COUNTIFS(nNIA,DATOS!$A19101,nCURSO,DATOS!$D19101,nESPEC,DATOS!$E19101,nASIG,DATOS!$I19101,nEVAL,"EX")=0),0))))</f>
      </c>
      <c r="H19101">
        <f>IF(DATOS!$G19101&lt;&gt;"EX",0,--(COUNTIFS(nNIA,DATOS!$A19101,nCURSO,DATOS!$D19101,nESPEC,DATOS!$E19101,nASIG,DATOS!$I19101,nEVAL,"OR")=0))</f>
      </c>
      <c r="I19101">
        <f>IF(DATOS!$I19101="","",IFERROR(VLOOKUP(DATOS!$I19101,CONFIG_ASIGNATURAS!$B$2:$J$91,9,FALSE()),""))</f>
      </c>
    </row>
    <row r="19102">
      <c r="F19102">
        <f>IF(DATOS!$A19102="","",DATOS!$A19102&amp;"|"&amp;DATOS!$D19102&amp;"|"&amp;DATOS!$E19102&amp;"|"&amp;DATOS!$I19102)</f>
      </c>
      <c r="G19102">
        <f>IF(DATOS!$A19102="",0,IF(CONFIG_METADATA!$B$4&lt;&gt;"OR+EX",--(DATOS!$G19102=CONFIG_METADATA!$B$4),IF(DATOS!$G19102="EX",1,IF(DATOS!$G19102="OR",--(COUNTIFS(nNIA,DATOS!$A19102,nCURSO,DATOS!$D19102,nESPEC,DATOS!$E19102,nASIG,DATOS!$I19102,nEVAL,"EX")=0),0))))</f>
      </c>
      <c r="H19102">
        <f>IF(DATOS!$G19102&lt;&gt;"EX",0,--(COUNTIFS(nNIA,DATOS!$A19102,nCURSO,DATOS!$D19102,nESPEC,DATOS!$E19102,nASIG,DATOS!$I19102,nEVAL,"OR")=0))</f>
      </c>
      <c r="I19102">
        <f>IF(DATOS!$I19102="","",IFERROR(VLOOKUP(DATOS!$I19102,CONFIG_ASIGNATURAS!$B$2:$J$91,9,FALSE()),""))</f>
      </c>
    </row>
    <row r="19103">
      <c r="F19103">
        <f>IF(DATOS!$A19103="","",DATOS!$A19103&amp;"|"&amp;DATOS!$D19103&amp;"|"&amp;DATOS!$E19103&amp;"|"&amp;DATOS!$I19103)</f>
      </c>
      <c r="G19103">
        <f>IF(DATOS!$A19103="",0,IF(CONFIG_METADATA!$B$4&lt;&gt;"OR+EX",--(DATOS!$G19103=CONFIG_METADATA!$B$4),IF(DATOS!$G19103="EX",1,IF(DATOS!$G19103="OR",--(COUNTIFS(nNIA,DATOS!$A19103,nCURSO,DATOS!$D19103,nESPEC,DATOS!$E19103,nASIG,DATOS!$I19103,nEVAL,"EX")=0),0))))</f>
      </c>
      <c r="H19103">
        <f>IF(DATOS!$G19103&lt;&gt;"EX",0,--(COUNTIFS(nNIA,DATOS!$A19103,nCURSO,DATOS!$D19103,nESPEC,DATOS!$E19103,nASIG,DATOS!$I19103,nEVAL,"OR")=0))</f>
      </c>
      <c r="I19103">
        <f>IF(DATOS!$I19103="","",IFERROR(VLOOKUP(DATOS!$I19103,CONFIG_ASIGNATURAS!$B$2:$J$91,9,FALSE()),""))</f>
      </c>
    </row>
    <row r="19104">
      <c r="F19104">
        <f>IF(DATOS!$A19104="","",DATOS!$A19104&amp;"|"&amp;DATOS!$D19104&amp;"|"&amp;DATOS!$E19104&amp;"|"&amp;DATOS!$I19104)</f>
      </c>
      <c r="G19104">
        <f>IF(DATOS!$A19104="",0,IF(CONFIG_METADATA!$B$4&lt;&gt;"OR+EX",--(DATOS!$G19104=CONFIG_METADATA!$B$4),IF(DATOS!$G19104="EX",1,IF(DATOS!$G19104="OR",--(COUNTIFS(nNIA,DATOS!$A19104,nCURSO,DATOS!$D19104,nESPEC,DATOS!$E19104,nASIG,DATOS!$I19104,nEVAL,"EX")=0),0))))</f>
      </c>
      <c r="H19104">
        <f>IF(DATOS!$G19104&lt;&gt;"EX",0,--(COUNTIFS(nNIA,DATOS!$A19104,nCURSO,DATOS!$D19104,nESPEC,DATOS!$E19104,nASIG,DATOS!$I19104,nEVAL,"OR")=0))</f>
      </c>
      <c r="I19104">
        <f>IF(DATOS!$I19104="","",IFERROR(VLOOKUP(DATOS!$I19104,CONFIG_ASIGNATURAS!$B$2:$J$91,9,FALSE()),""))</f>
      </c>
    </row>
    <row r="19105">
      <c r="F19105">
        <f>IF(DATOS!$A19105="","",DATOS!$A19105&amp;"|"&amp;DATOS!$D19105&amp;"|"&amp;DATOS!$E19105&amp;"|"&amp;DATOS!$I19105)</f>
      </c>
      <c r="G19105">
        <f>IF(DATOS!$A19105="",0,IF(CONFIG_METADATA!$B$4&lt;&gt;"OR+EX",--(DATOS!$G19105=CONFIG_METADATA!$B$4),IF(DATOS!$G19105="EX",1,IF(DATOS!$G19105="OR",--(COUNTIFS(nNIA,DATOS!$A19105,nCURSO,DATOS!$D19105,nESPEC,DATOS!$E19105,nASIG,DATOS!$I19105,nEVAL,"EX")=0),0))))</f>
      </c>
      <c r="H19105">
        <f>IF(DATOS!$G19105&lt;&gt;"EX",0,--(COUNTIFS(nNIA,DATOS!$A19105,nCURSO,DATOS!$D19105,nESPEC,DATOS!$E19105,nASIG,DATOS!$I19105,nEVAL,"OR")=0))</f>
      </c>
      <c r="I19105">
        <f>IF(DATOS!$I19105="","",IFERROR(VLOOKUP(DATOS!$I19105,CONFIG_ASIGNATURAS!$B$2:$J$91,9,FALSE()),""))</f>
      </c>
    </row>
    <row r="19106">
      <c r="F19106">
        <f>IF(DATOS!$A19106="","",DATOS!$A19106&amp;"|"&amp;DATOS!$D19106&amp;"|"&amp;DATOS!$E19106&amp;"|"&amp;DATOS!$I19106)</f>
      </c>
      <c r="G19106">
        <f>IF(DATOS!$A19106="",0,IF(CONFIG_METADATA!$B$4&lt;&gt;"OR+EX",--(DATOS!$G19106=CONFIG_METADATA!$B$4),IF(DATOS!$G19106="EX",1,IF(DATOS!$G19106="OR",--(COUNTIFS(nNIA,DATOS!$A19106,nCURSO,DATOS!$D19106,nESPEC,DATOS!$E19106,nASIG,DATOS!$I19106,nEVAL,"EX")=0),0))))</f>
      </c>
      <c r="H19106">
        <f>IF(DATOS!$G19106&lt;&gt;"EX",0,--(COUNTIFS(nNIA,DATOS!$A19106,nCURSO,DATOS!$D19106,nESPEC,DATOS!$E19106,nASIG,DATOS!$I19106,nEVAL,"OR")=0))</f>
      </c>
      <c r="I19106">
        <f>IF(DATOS!$I19106="","",IFERROR(VLOOKUP(DATOS!$I19106,CONFIG_ASIGNATURAS!$B$2:$J$91,9,FALSE()),""))</f>
      </c>
    </row>
    <row r="19107">
      <c r="F19107">
        <f>IF(DATOS!$A19107="","",DATOS!$A19107&amp;"|"&amp;DATOS!$D19107&amp;"|"&amp;DATOS!$E19107&amp;"|"&amp;DATOS!$I19107)</f>
      </c>
      <c r="G19107">
        <f>IF(DATOS!$A19107="",0,IF(CONFIG_METADATA!$B$4&lt;&gt;"OR+EX",--(DATOS!$G19107=CONFIG_METADATA!$B$4),IF(DATOS!$G19107="EX",1,IF(DATOS!$G19107="OR",--(COUNTIFS(nNIA,DATOS!$A19107,nCURSO,DATOS!$D19107,nESPEC,DATOS!$E19107,nASIG,DATOS!$I19107,nEVAL,"EX")=0),0))))</f>
      </c>
      <c r="H19107">
        <f>IF(DATOS!$G19107&lt;&gt;"EX",0,--(COUNTIFS(nNIA,DATOS!$A19107,nCURSO,DATOS!$D19107,nESPEC,DATOS!$E19107,nASIG,DATOS!$I19107,nEVAL,"OR")=0))</f>
      </c>
      <c r="I19107">
        <f>IF(DATOS!$I19107="","",IFERROR(VLOOKUP(DATOS!$I19107,CONFIG_ASIGNATURAS!$B$2:$J$91,9,FALSE()),""))</f>
      </c>
    </row>
    <row r="19108">
      <c r="F19108">
        <f>IF(DATOS!$A19108="","",DATOS!$A19108&amp;"|"&amp;DATOS!$D19108&amp;"|"&amp;DATOS!$E19108&amp;"|"&amp;DATOS!$I19108)</f>
      </c>
      <c r="G19108">
        <f>IF(DATOS!$A19108="",0,IF(CONFIG_METADATA!$B$4&lt;&gt;"OR+EX",--(DATOS!$G19108=CONFIG_METADATA!$B$4),IF(DATOS!$G19108="EX",1,IF(DATOS!$G19108="OR",--(COUNTIFS(nNIA,DATOS!$A19108,nCURSO,DATOS!$D19108,nESPEC,DATOS!$E19108,nASIG,DATOS!$I19108,nEVAL,"EX")=0),0))))</f>
      </c>
      <c r="H19108">
        <f>IF(DATOS!$G19108&lt;&gt;"EX",0,--(COUNTIFS(nNIA,DATOS!$A19108,nCURSO,DATOS!$D19108,nESPEC,DATOS!$E19108,nASIG,DATOS!$I19108,nEVAL,"OR")=0))</f>
      </c>
      <c r="I19108">
        <f>IF(DATOS!$I19108="","",IFERROR(VLOOKUP(DATOS!$I19108,CONFIG_ASIGNATURAS!$B$2:$J$91,9,FALSE()),""))</f>
      </c>
    </row>
    <row r="19109">
      <c r="F19109">
        <f>IF(DATOS!$A19109="","",DATOS!$A19109&amp;"|"&amp;DATOS!$D19109&amp;"|"&amp;DATOS!$E19109&amp;"|"&amp;DATOS!$I19109)</f>
      </c>
      <c r="G19109">
        <f>IF(DATOS!$A19109="",0,IF(CONFIG_METADATA!$B$4&lt;&gt;"OR+EX",--(DATOS!$G19109=CONFIG_METADATA!$B$4),IF(DATOS!$G19109="EX",1,IF(DATOS!$G19109="OR",--(COUNTIFS(nNIA,DATOS!$A19109,nCURSO,DATOS!$D19109,nESPEC,DATOS!$E19109,nASIG,DATOS!$I19109,nEVAL,"EX")=0),0))))</f>
      </c>
      <c r="H19109">
        <f>IF(DATOS!$G19109&lt;&gt;"EX",0,--(COUNTIFS(nNIA,DATOS!$A19109,nCURSO,DATOS!$D19109,nESPEC,DATOS!$E19109,nASIG,DATOS!$I19109,nEVAL,"OR")=0))</f>
      </c>
      <c r="I19109">
        <f>IF(DATOS!$I19109="","",IFERROR(VLOOKUP(DATOS!$I19109,CONFIG_ASIGNATURAS!$B$2:$J$91,9,FALSE()),""))</f>
      </c>
    </row>
    <row r="19110">
      <c r="F19110">
        <f>IF(DATOS!$A19110="","",DATOS!$A19110&amp;"|"&amp;DATOS!$D19110&amp;"|"&amp;DATOS!$E19110&amp;"|"&amp;DATOS!$I19110)</f>
      </c>
      <c r="G19110">
        <f>IF(DATOS!$A19110="",0,IF(CONFIG_METADATA!$B$4&lt;&gt;"OR+EX",--(DATOS!$G19110=CONFIG_METADATA!$B$4),IF(DATOS!$G19110="EX",1,IF(DATOS!$G19110="OR",--(COUNTIFS(nNIA,DATOS!$A19110,nCURSO,DATOS!$D19110,nESPEC,DATOS!$E19110,nASIG,DATOS!$I19110,nEVAL,"EX")=0),0))))</f>
      </c>
      <c r="H19110">
        <f>IF(DATOS!$G19110&lt;&gt;"EX",0,--(COUNTIFS(nNIA,DATOS!$A19110,nCURSO,DATOS!$D19110,nESPEC,DATOS!$E19110,nASIG,DATOS!$I19110,nEVAL,"OR")=0))</f>
      </c>
      <c r="I19110">
        <f>IF(DATOS!$I19110="","",IFERROR(VLOOKUP(DATOS!$I19110,CONFIG_ASIGNATURAS!$B$2:$J$91,9,FALSE()),""))</f>
      </c>
    </row>
    <row r="19111">
      <c r="F19111">
        <f>IF(DATOS!$A19111="","",DATOS!$A19111&amp;"|"&amp;DATOS!$D19111&amp;"|"&amp;DATOS!$E19111&amp;"|"&amp;DATOS!$I19111)</f>
      </c>
      <c r="G19111">
        <f>IF(DATOS!$A19111="",0,IF(CONFIG_METADATA!$B$4&lt;&gt;"OR+EX",--(DATOS!$G19111=CONFIG_METADATA!$B$4),IF(DATOS!$G19111="EX",1,IF(DATOS!$G19111="OR",--(COUNTIFS(nNIA,DATOS!$A19111,nCURSO,DATOS!$D19111,nESPEC,DATOS!$E19111,nASIG,DATOS!$I19111,nEVAL,"EX")=0),0))))</f>
      </c>
      <c r="H19111">
        <f>IF(DATOS!$G19111&lt;&gt;"EX",0,--(COUNTIFS(nNIA,DATOS!$A19111,nCURSO,DATOS!$D19111,nESPEC,DATOS!$E19111,nASIG,DATOS!$I19111,nEVAL,"OR")=0))</f>
      </c>
      <c r="I19111">
        <f>IF(DATOS!$I19111="","",IFERROR(VLOOKUP(DATOS!$I19111,CONFIG_ASIGNATURAS!$B$2:$J$91,9,FALSE()),""))</f>
      </c>
    </row>
    <row r="19112">
      <c r="F19112">
        <f>IF(DATOS!$A19112="","",DATOS!$A19112&amp;"|"&amp;DATOS!$D19112&amp;"|"&amp;DATOS!$E19112&amp;"|"&amp;DATOS!$I19112)</f>
      </c>
      <c r="G19112">
        <f>IF(DATOS!$A19112="",0,IF(CONFIG_METADATA!$B$4&lt;&gt;"OR+EX",--(DATOS!$G19112=CONFIG_METADATA!$B$4),IF(DATOS!$G19112="EX",1,IF(DATOS!$G19112="OR",--(COUNTIFS(nNIA,DATOS!$A19112,nCURSO,DATOS!$D19112,nESPEC,DATOS!$E19112,nASIG,DATOS!$I19112,nEVAL,"EX")=0),0))))</f>
      </c>
      <c r="H19112">
        <f>IF(DATOS!$G19112&lt;&gt;"EX",0,--(COUNTIFS(nNIA,DATOS!$A19112,nCURSO,DATOS!$D19112,nESPEC,DATOS!$E19112,nASIG,DATOS!$I19112,nEVAL,"OR")=0))</f>
      </c>
      <c r="I19112">
        <f>IF(DATOS!$I19112="","",IFERROR(VLOOKUP(DATOS!$I19112,CONFIG_ASIGNATURAS!$B$2:$J$91,9,FALSE()),""))</f>
      </c>
    </row>
    <row r="19113">
      <c r="F19113">
        <f>IF(DATOS!$A19113="","",DATOS!$A19113&amp;"|"&amp;DATOS!$D19113&amp;"|"&amp;DATOS!$E19113&amp;"|"&amp;DATOS!$I19113)</f>
      </c>
      <c r="G19113">
        <f>IF(DATOS!$A19113="",0,IF(CONFIG_METADATA!$B$4&lt;&gt;"OR+EX",--(DATOS!$G19113=CONFIG_METADATA!$B$4),IF(DATOS!$G19113="EX",1,IF(DATOS!$G19113="OR",--(COUNTIFS(nNIA,DATOS!$A19113,nCURSO,DATOS!$D19113,nESPEC,DATOS!$E19113,nASIG,DATOS!$I19113,nEVAL,"EX")=0),0))))</f>
      </c>
      <c r="H19113">
        <f>IF(DATOS!$G19113&lt;&gt;"EX",0,--(COUNTIFS(nNIA,DATOS!$A19113,nCURSO,DATOS!$D19113,nESPEC,DATOS!$E19113,nASIG,DATOS!$I19113,nEVAL,"OR")=0))</f>
      </c>
      <c r="I19113">
        <f>IF(DATOS!$I19113="","",IFERROR(VLOOKUP(DATOS!$I19113,CONFIG_ASIGNATURAS!$B$2:$J$91,9,FALSE()),""))</f>
      </c>
    </row>
    <row r="19114">
      <c r="F19114">
        <f>IF(DATOS!$A19114="","",DATOS!$A19114&amp;"|"&amp;DATOS!$D19114&amp;"|"&amp;DATOS!$E19114&amp;"|"&amp;DATOS!$I19114)</f>
      </c>
      <c r="G19114">
        <f>IF(DATOS!$A19114="",0,IF(CONFIG_METADATA!$B$4&lt;&gt;"OR+EX",--(DATOS!$G19114=CONFIG_METADATA!$B$4),IF(DATOS!$G19114="EX",1,IF(DATOS!$G19114="OR",--(COUNTIFS(nNIA,DATOS!$A19114,nCURSO,DATOS!$D19114,nESPEC,DATOS!$E19114,nASIG,DATOS!$I19114,nEVAL,"EX")=0),0))))</f>
      </c>
      <c r="H19114">
        <f>IF(DATOS!$G19114&lt;&gt;"EX",0,--(COUNTIFS(nNIA,DATOS!$A19114,nCURSO,DATOS!$D19114,nESPEC,DATOS!$E19114,nASIG,DATOS!$I19114,nEVAL,"OR")=0))</f>
      </c>
      <c r="I19114">
        <f>IF(DATOS!$I19114="","",IFERROR(VLOOKUP(DATOS!$I19114,CONFIG_ASIGNATURAS!$B$2:$J$91,9,FALSE()),""))</f>
      </c>
    </row>
    <row r="19115">
      <c r="F19115">
        <f>IF(DATOS!$A19115="","",DATOS!$A19115&amp;"|"&amp;DATOS!$D19115&amp;"|"&amp;DATOS!$E19115&amp;"|"&amp;DATOS!$I19115)</f>
      </c>
      <c r="G19115">
        <f>IF(DATOS!$A19115="",0,IF(CONFIG_METADATA!$B$4&lt;&gt;"OR+EX",--(DATOS!$G19115=CONFIG_METADATA!$B$4),IF(DATOS!$G19115="EX",1,IF(DATOS!$G19115="OR",--(COUNTIFS(nNIA,DATOS!$A19115,nCURSO,DATOS!$D19115,nESPEC,DATOS!$E19115,nASIG,DATOS!$I19115,nEVAL,"EX")=0),0))))</f>
      </c>
      <c r="H19115">
        <f>IF(DATOS!$G19115&lt;&gt;"EX",0,--(COUNTIFS(nNIA,DATOS!$A19115,nCURSO,DATOS!$D19115,nESPEC,DATOS!$E19115,nASIG,DATOS!$I19115,nEVAL,"OR")=0))</f>
      </c>
      <c r="I19115">
        <f>IF(DATOS!$I19115="","",IFERROR(VLOOKUP(DATOS!$I19115,CONFIG_ASIGNATURAS!$B$2:$J$91,9,FALSE()),""))</f>
      </c>
    </row>
    <row r="19116">
      <c r="F19116">
        <f>IF(DATOS!$A19116="","",DATOS!$A19116&amp;"|"&amp;DATOS!$D19116&amp;"|"&amp;DATOS!$E19116&amp;"|"&amp;DATOS!$I19116)</f>
      </c>
      <c r="G19116">
        <f>IF(DATOS!$A19116="",0,IF(CONFIG_METADATA!$B$4&lt;&gt;"OR+EX",--(DATOS!$G19116=CONFIG_METADATA!$B$4),IF(DATOS!$G19116="EX",1,IF(DATOS!$G19116="OR",--(COUNTIFS(nNIA,DATOS!$A19116,nCURSO,DATOS!$D19116,nESPEC,DATOS!$E19116,nASIG,DATOS!$I19116,nEVAL,"EX")=0),0))))</f>
      </c>
      <c r="H19116">
        <f>IF(DATOS!$G19116&lt;&gt;"EX",0,--(COUNTIFS(nNIA,DATOS!$A19116,nCURSO,DATOS!$D19116,nESPEC,DATOS!$E19116,nASIG,DATOS!$I19116,nEVAL,"OR")=0))</f>
      </c>
      <c r="I19116">
        <f>IF(DATOS!$I19116="","",IFERROR(VLOOKUP(DATOS!$I19116,CONFIG_ASIGNATURAS!$B$2:$J$91,9,FALSE()),""))</f>
      </c>
    </row>
    <row r="19117">
      <c r="F19117">
        <f>IF(DATOS!$A19117="","",DATOS!$A19117&amp;"|"&amp;DATOS!$D19117&amp;"|"&amp;DATOS!$E19117&amp;"|"&amp;DATOS!$I19117)</f>
      </c>
      <c r="G19117">
        <f>IF(DATOS!$A19117="",0,IF(CONFIG_METADATA!$B$4&lt;&gt;"OR+EX",--(DATOS!$G19117=CONFIG_METADATA!$B$4),IF(DATOS!$G19117="EX",1,IF(DATOS!$G19117="OR",--(COUNTIFS(nNIA,DATOS!$A19117,nCURSO,DATOS!$D19117,nESPEC,DATOS!$E19117,nASIG,DATOS!$I19117,nEVAL,"EX")=0),0))))</f>
      </c>
      <c r="H19117">
        <f>IF(DATOS!$G19117&lt;&gt;"EX",0,--(COUNTIFS(nNIA,DATOS!$A19117,nCURSO,DATOS!$D19117,nESPEC,DATOS!$E19117,nASIG,DATOS!$I19117,nEVAL,"OR")=0))</f>
      </c>
      <c r="I19117">
        <f>IF(DATOS!$I19117="","",IFERROR(VLOOKUP(DATOS!$I19117,CONFIG_ASIGNATURAS!$B$2:$J$91,9,FALSE()),""))</f>
      </c>
    </row>
    <row r="19118">
      <c r="F19118">
        <f>IF(DATOS!$A19118="","",DATOS!$A19118&amp;"|"&amp;DATOS!$D19118&amp;"|"&amp;DATOS!$E19118&amp;"|"&amp;DATOS!$I19118)</f>
      </c>
      <c r="G19118">
        <f>IF(DATOS!$A19118="",0,IF(CONFIG_METADATA!$B$4&lt;&gt;"OR+EX",--(DATOS!$G19118=CONFIG_METADATA!$B$4),IF(DATOS!$G19118="EX",1,IF(DATOS!$G19118="OR",--(COUNTIFS(nNIA,DATOS!$A19118,nCURSO,DATOS!$D19118,nESPEC,DATOS!$E19118,nASIG,DATOS!$I19118,nEVAL,"EX")=0),0))))</f>
      </c>
      <c r="H19118">
        <f>IF(DATOS!$G19118&lt;&gt;"EX",0,--(COUNTIFS(nNIA,DATOS!$A19118,nCURSO,DATOS!$D19118,nESPEC,DATOS!$E19118,nASIG,DATOS!$I19118,nEVAL,"OR")=0))</f>
      </c>
      <c r="I19118">
        <f>IF(DATOS!$I19118="","",IFERROR(VLOOKUP(DATOS!$I19118,CONFIG_ASIGNATURAS!$B$2:$J$91,9,FALSE()),""))</f>
      </c>
    </row>
    <row r="19119">
      <c r="F19119">
        <f>IF(DATOS!$A19119="","",DATOS!$A19119&amp;"|"&amp;DATOS!$D19119&amp;"|"&amp;DATOS!$E19119&amp;"|"&amp;DATOS!$I19119)</f>
      </c>
      <c r="G19119">
        <f>IF(DATOS!$A19119="",0,IF(CONFIG_METADATA!$B$4&lt;&gt;"OR+EX",--(DATOS!$G19119=CONFIG_METADATA!$B$4),IF(DATOS!$G19119="EX",1,IF(DATOS!$G19119="OR",--(COUNTIFS(nNIA,DATOS!$A19119,nCURSO,DATOS!$D19119,nESPEC,DATOS!$E19119,nASIG,DATOS!$I19119,nEVAL,"EX")=0),0))))</f>
      </c>
      <c r="H19119">
        <f>IF(DATOS!$G19119&lt;&gt;"EX",0,--(COUNTIFS(nNIA,DATOS!$A19119,nCURSO,DATOS!$D19119,nESPEC,DATOS!$E19119,nASIG,DATOS!$I19119,nEVAL,"OR")=0))</f>
      </c>
      <c r="I19119">
        <f>IF(DATOS!$I19119="","",IFERROR(VLOOKUP(DATOS!$I19119,CONFIG_ASIGNATURAS!$B$2:$J$91,9,FALSE()),""))</f>
      </c>
    </row>
    <row r="19120">
      <c r="F19120">
        <f>IF(DATOS!$A19120="","",DATOS!$A19120&amp;"|"&amp;DATOS!$D19120&amp;"|"&amp;DATOS!$E19120&amp;"|"&amp;DATOS!$I19120)</f>
      </c>
      <c r="G19120">
        <f>IF(DATOS!$A19120="",0,IF(CONFIG_METADATA!$B$4&lt;&gt;"OR+EX",--(DATOS!$G19120=CONFIG_METADATA!$B$4),IF(DATOS!$G19120="EX",1,IF(DATOS!$G19120="OR",--(COUNTIFS(nNIA,DATOS!$A19120,nCURSO,DATOS!$D19120,nESPEC,DATOS!$E19120,nASIG,DATOS!$I19120,nEVAL,"EX")=0),0))))</f>
      </c>
      <c r="H19120">
        <f>IF(DATOS!$G19120&lt;&gt;"EX",0,--(COUNTIFS(nNIA,DATOS!$A19120,nCURSO,DATOS!$D19120,nESPEC,DATOS!$E19120,nASIG,DATOS!$I19120,nEVAL,"OR")=0))</f>
      </c>
      <c r="I19120">
        <f>IF(DATOS!$I19120="","",IFERROR(VLOOKUP(DATOS!$I19120,CONFIG_ASIGNATURAS!$B$2:$J$91,9,FALSE()),""))</f>
      </c>
    </row>
    <row r="19121">
      <c r="F19121">
        <f>IF(DATOS!$A19121="","",DATOS!$A19121&amp;"|"&amp;DATOS!$D19121&amp;"|"&amp;DATOS!$E19121&amp;"|"&amp;DATOS!$I19121)</f>
      </c>
      <c r="G19121">
        <f>IF(DATOS!$A19121="",0,IF(CONFIG_METADATA!$B$4&lt;&gt;"OR+EX",--(DATOS!$G19121=CONFIG_METADATA!$B$4),IF(DATOS!$G19121="EX",1,IF(DATOS!$G19121="OR",--(COUNTIFS(nNIA,DATOS!$A19121,nCURSO,DATOS!$D19121,nESPEC,DATOS!$E19121,nASIG,DATOS!$I19121,nEVAL,"EX")=0),0))))</f>
      </c>
      <c r="H19121">
        <f>IF(DATOS!$G19121&lt;&gt;"EX",0,--(COUNTIFS(nNIA,DATOS!$A19121,nCURSO,DATOS!$D19121,nESPEC,DATOS!$E19121,nASIG,DATOS!$I19121,nEVAL,"OR")=0))</f>
      </c>
      <c r="I19121">
        <f>IF(DATOS!$I19121="","",IFERROR(VLOOKUP(DATOS!$I19121,CONFIG_ASIGNATURAS!$B$2:$J$91,9,FALSE()),""))</f>
      </c>
    </row>
    <row r="19122">
      <c r="F19122">
        <f>IF(DATOS!$A19122="","",DATOS!$A19122&amp;"|"&amp;DATOS!$D19122&amp;"|"&amp;DATOS!$E19122&amp;"|"&amp;DATOS!$I19122)</f>
      </c>
      <c r="G19122">
        <f>IF(DATOS!$A19122="",0,IF(CONFIG_METADATA!$B$4&lt;&gt;"OR+EX",--(DATOS!$G19122=CONFIG_METADATA!$B$4),IF(DATOS!$G19122="EX",1,IF(DATOS!$G19122="OR",--(COUNTIFS(nNIA,DATOS!$A19122,nCURSO,DATOS!$D19122,nESPEC,DATOS!$E19122,nASIG,DATOS!$I19122,nEVAL,"EX")=0),0))))</f>
      </c>
      <c r="H19122">
        <f>IF(DATOS!$G19122&lt;&gt;"EX",0,--(COUNTIFS(nNIA,DATOS!$A19122,nCURSO,DATOS!$D19122,nESPEC,DATOS!$E19122,nASIG,DATOS!$I19122,nEVAL,"OR")=0))</f>
      </c>
      <c r="I19122">
        <f>IF(DATOS!$I19122="","",IFERROR(VLOOKUP(DATOS!$I19122,CONFIG_ASIGNATURAS!$B$2:$J$91,9,FALSE()),""))</f>
      </c>
    </row>
    <row r="19123">
      <c r="F19123">
        <f>IF(DATOS!$A19123="","",DATOS!$A19123&amp;"|"&amp;DATOS!$D19123&amp;"|"&amp;DATOS!$E19123&amp;"|"&amp;DATOS!$I19123)</f>
      </c>
      <c r="G19123">
        <f>IF(DATOS!$A19123="",0,IF(CONFIG_METADATA!$B$4&lt;&gt;"OR+EX",--(DATOS!$G19123=CONFIG_METADATA!$B$4),IF(DATOS!$G19123="EX",1,IF(DATOS!$G19123="OR",--(COUNTIFS(nNIA,DATOS!$A19123,nCURSO,DATOS!$D19123,nESPEC,DATOS!$E19123,nASIG,DATOS!$I19123,nEVAL,"EX")=0),0))))</f>
      </c>
      <c r="H19123">
        <f>IF(DATOS!$G19123&lt;&gt;"EX",0,--(COUNTIFS(nNIA,DATOS!$A19123,nCURSO,DATOS!$D19123,nESPEC,DATOS!$E19123,nASIG,DATOS!$I19123,nEVAL,"OR")=0))</f>
      </c>
      <c r="I19123">
        <f>IF(DATOS!$I19123="","",IFERROR(VLOOKUP(DATOS!$I19123,CONFIG_ASIGNATURAS!$B$2:$J$91,9,FALSE()),""))</f>
      </c>
    </row>
    <row r="19124">
      <c r="F19124">
        <f>IF(DATOS!$A19124="","",DATOS!$A19124&amp;"|"&amp;DATOS!$D19124&amp;"|"&amp;DATOS!$E19124&amp;"|"&amp;DATOS!$I19124)</f>
      </c>
      <c r="G19124">
        <f>IF(DATOS!$A19124="",0,IF(CONFIG_METADATA!$B$4&lt;&gt;"OR+EX",--(DATOS!$G19124=CONFIG_METADATA!$B$4),IF(DATOS!$G19124="EX",1,IF(DATOS!$G19124="OR",--(COUNTIFS(nNIA,DATOS!$A19124,nCURSO,DATOS!$D19124,nESPEC,DATOS!$E19124,nASIG,DATOS!$I19124,nEVAL,"EX")=0),0))))</f>
      </c>
      <c r="H19124">
        <f>IF(DATOS!$G19124&lt;&gt;"EX",0,--(COUNTIFS(nNIA,DATOS!$A19124,nCURSO,DATOS!$D19124,nESPEC,DATOS!$E19124,nASIG,DATOS!$I19124,nEVAL,"OR")=0))</f>
      </c>
      <c r="I19124">
        <f>IF(DATOS!$I19124="","",IFERROR(VLOOKUP(DATOS!$I19124,CONFIG_ASIGNATURAS!$B$2:$J$91,9,FALSE()),""))</f>
      </c>
    </row>
    <row r="19125">
      <c r="F19125">
        <f>IF(DATOS!$A19125="","",DATOS!$A19125&amp;"|"&amp;DATOS!$D19125&amp;"|"&amp;DATOS!$E19125&amp;"|"&amp;DATOS!$I19125)</f>
      </c>
      <c r="G19125">
        <f>IF(DATOS!$A19125="",0,IF(CONFIG_METADATA!$B$4&lt;&gt;"OR+EX",--(DATOS!$G19125=CONFIG_METADATA!$B$4),IF(DATOS!$G19125="EX",1,IF(DATOS!$G19125="OR",--(COUNTIFS(nNIA,DATOS!$A19125,nCURSO,DATOS!$D19125,nESPEC,DATOS!$E19125,nASIG,DATOS!$I19125,nEVAL,"EX")=0),0))))</f>
      </c>
      <c r="H19125">
        <f>IF(DATOS!$G19125&lt;&gt;"EX",0,--(COUNTIFS(nNIA,DATOS!$A19125,nCURSO,DATOS!$D19125,nESPEC,DATOS!$E19125,nASIG,DATOS!$I19125,nEVAL,"OR")=0))</f>
      </c>
      <c r="I19125">
        <f>IF(DATOS!$I19125="","",IFERROR(VLOOKUP(DATOS!$I19125,CONFIG_ASIGNATURAS!$B$2:$J$91,9,FALSE()),""))</f>
      </c>
    </row>
    <row r="19126">
      <c r="F19126">
        <f>IF(DATOS!$A19126="","",DATOS!$A19126&amp;"|"&amp;DATOS!$D19126&amp;"|"&amp;DATOS!$E19126&amp;"|"&amp;DATOS!$I19126)</f>
      </c>
      <c r="G19126">
        <f>IF(DATOS!$A19126="",0,IF(CONFIG_METADATA!$B$4&lt;&gt;"OR+EX",--(DATOS!$G19126=CONFIG_METADATA!$B$4),IF(DATOS!$G19126="EX",1,IF(DATOS!$G19126="OR",--(COUNTIFS(nNIA,DATOS!$A19126,nCURSO,DATOS!$D19126,nESPEC,DATOS!$E19126,nASIG,DATOS!$I19126,nEVAL,"EX")=0),0))))</f>
      </c>
      <c r="H19126">
        <f>IF(DATOS!$G19126&lt;&gt;"EX",0,--(COUNTIFS(nNIA,DATOS!$A19126,nCURSO,DATOS!$D19126,nESPEC,DATOS!$E19126,nASIG,DATOS!$I19126,nEVAL,"OR")=0))</f>
      </c>
      <c r="I19126">
        <f>IF(DATOS!$I19126="","",IFERROR(VLOOKUP(DATOS!$I19126,CONFIG_ASIGNATURAS!$B$2:$J$91,9,FALSE()),""))</f>
      </c>
    </row>
    <row r="19127">
      <c r="F19127">
        <f>IF(DATOS!$A19127="","",DATOS!$A19127&amp;"|"&amp;DATOS!$D19127&amp;"|"&amp;DATOS!$E19127&amp;"|"&amp;DATOS!$I19127)</f>
      </c>
      <c r="G19127">
        <f>IF(DATOS!$A19127="",0,IF(CONFIG_METADATA!$B$4&lt;&gt;"OR+EX",--(DATOS!$G19127=CONFIG_METADATA!$B$4),IF(DATOS!$G19127="EX",1,IF(DATOS!$G19127="OR",--(COUNTIFS(nNIA,DATOS!$A19127,nCURSO,DATOS!$D19127,nESPEC,DATOS!$E19127,nASIG,DATOS!$I19127,nEVAL,"EX")=0),0))))</f>
      </c>
      <c r="H19127">
        <f>IF(DATOS!$G19127&lt;&gt;"EX",0,--(COUNTIFS(nNIA,DATOS!$A19127,nCURSO,DATOS!$D19127,nESPEC,DATOS!$E19127,nASIG,DATOS!$I19127,nEVAL,"OR")=0))</f>
      </c>
      <c r="I19127">
        <f>IF(DATOS!$I19127="","",IFERROR(VLOOKUP(DATOS!$I19127,CONFIG_ASIGNATURAS!$B$2:$J$91,9,FALSE()),""))</f>
      </c>
    </row>
    <row r="19128">
      <c r="F19128">
        <f>IF(DATOS!$A19128="","",DATOS!$A19128&amp;"|"&amp;DATOS!$D19128&amp;"|"&amp;DATOS!$E19128&amp;"|"&amp;DATOS!$I19128)</f>
      </c>
      <c r="G19128">
        <f>IF(DATOS!$A19128="",0,IF(CONFIG_METADATA!$B$4&lt;&gt;"OR+EX",--(DATOS!$G19128=CONFIG_METADATA!$B$4),IF(DATOS!$G19128="EX",1,IF(DATOS!$G19128="OR",--(COUNTIFS(nNIA,DATOS!$A19128,nCURSO,DATOS!$D19128,nESPEC,DATOS!$E19128,nASIG,DATOS!$I19128,nEVAL,"EX")=0),0))))</f>
      </c>
      <c r="H19128">
        <f>IF(DATOS!$G19128&lt;&gt;"EX",0,--(COUNTIFS(nNIA,DATOS!$A19128,nCURSO,DATOS!$D19128,nESPEC,DATOS!$E19128,nASIG,DATOS!$I19128,nEVAL,"OR")=0))</f>
      </c>
      <c r="I19128">
        <f>IF(DATOS!$I19128="","",IFERROR(VLOOKUP(DATOS!$I19128,CONFIG_ASIGNATURAS!$B$2:$J$91,9,FALSE()),""))</f>
      </c>
    </row>
    <row r="19129">
      <c r="F19129">
        <f>IF(DATOS!$A19129="","",DATOS!$A19129&amp;"|"&amp;DATOS!$D19129&amp;"|"&amp;DATOS!$E19129&amp;"|"&amp;DATOS!$I19129)</f>
      </c>
      <c r="G19129">
        <f>IF(DATOS!$A19129="",0,IF(CONFIG_METADATA!$B$4&lt;&gt;"OR+EX",--(DATOS!$G19129=CONFIG_METADATA!$B$4),IF(DATOS!$G19129="EX",1,IF(DATOS!$G19129="OR",--(COUNTIFS(nNIA,DATOS!$A19129,nCURSO,DATOS!$D19129,nESPEC,DATOS!$E19129,nASIG,DATOS!$I19129,nEVAL,"EX")=0),0))))</f>
      </c>
      <c r="H19129">
        <f>IF(DATOS!$G19129&lt;&gt;"EX",0,--(COUNTIFS(nNIA,DATOS!$A19129,nCURSO,DATOS!$D19129,nESPEC,DATOS!$E19129,nASIG,DATOS!$I19129,nEVAL,"OR")=0))</f>
      </c>
      <c r="I19129">
        <f>IF(DATOS!$I19129="","",IFERROR(VLOOKUP(DATOS!$I19129,CONFIG_ASIGNATURAS!$B$2:$J$91,9,FALSE()),""))</f>
      </c>
    </row>
    <row r="19130">
      <c r="F19130">
        <f>IF(DATOS!$A19130="","",DATOS!$A19130&amp;"|"&amp;DATOS!$D19130&amp;"|"&amp;DATOS!$E19130&amp;"|"&amp;DATOS!$I19130)</f>
      </c>
      <c r="G19130">
        <f>IF(DATOS!$A19130="",0,IF(CONFIG_METADATA!$B$4&lt;&gt;"OR+EX",--(DATOS!$G19130=CONFIG_METADATA!$B$4),IF(DATOS!$G19130="EX",1,IF(DATOS!$G19130="OR",--(COUNTIFS(nNIA,DATOS!$A19130,nCURSO,DATOS!$D19130,nESPEC,DATOS!$E19130,nASIG,DATOS!$I19130,nEVAL,"EX")=0),0))))</f>
      </c>
      <c r="H19130">
        <f>IF(DATOS!$G19130&lt;&gt;"EX",0,--(COUNTIFS(nNIA,DATOS!$A19130,nCURSO,DATOS!$D19130,nESPEC,DATOS!$E19130,nASIG,DATOS!$I19130,nEVAL,"OR")=0))</f>
      </c>
      <c r="I19130">
        <f>IF(DATOS!$I19130="","",IFERROR(VLOOKUP(DATOS!$I19130,CONFIG_ASIGNATURAS!$B$2:$J$91,9,FALSE()),""))</f>
      </c>
    </row>
    <row r="19131">
      <c r="F19131">
        <f>IF(DATOS!$A19131="","",DATOS!$A19131&amp;"|"&amp;DATOS!$D19131&amp;"|"&amp;DATOS!$E19131&amp;"|"&amp;DATOS!$I19131)</f>
      </c>
      <c r="G19131">
        <f>IF(DATOS!$A19131="",0,IF(CONFIG_METADATA!$B$4&lt;&gt;"OR+EX",--(DATOS!$G19131=CONFIG_METADATA!$B$4),IF(DATOS!$G19131="EX",1,IF(DATOS!$G19131="OR",--(COUNTIFS(nNIA,DATOS!$A19131,nCURSO,DATOS!$D19131,nESPEC,DATOS!$E19131,nASIG,DATOS!$I19131,nEVAL,"EX")=0),0))))</f>
      </c>
      <c r="H19131">
        <f>IF(DATOS!$G19131&lt;&gt;"EX",0,--(COUNTIFS(nNIA,DATOS!$A19131,nCURSO,DATOS!$D19131,nESPEC,DATOS!$E19131,nASIG,DATOS!$I19131,nEVAL,"OR")=0))</f>
      </c>
      <c r="I19131">
        <f>IF(DATOS!$I19131="","",IFERROR(VLOOKUP(DATOS!$I19131,CONFIG_ASIGNATURAS!$B$2:$J$91,9,FALSE()),""))</f>
      </c>
    </row>
    <row r="19132">
      <c r="F19132">
        <f>IF(DATOS!$A19132="","",DATOS!$A19132&amp;"|"&amp;DATOS!$D19132&amp;"|"&amp;DATOS!$E19132&amp;"|"&amp;DATOS!$I19132)</f>
      </c>
      <c r="G19132">
        <f>IF(DATOS!$A19132="",0,IF(CONFIG_METADATA!$B$4&lt;&gt;"OR+EX",--(DATOS!$G19132=CONFIG_METADATA!$B$4),IF(DATOS!$G19132="EX",1,IF(DATOS!$G19132="OR",--(COUNTIFS(nNIA,DATOS!$A19132,nCURSO,DATOS!$D19132,nESPEC,DATOS!$E19132,nASIG,DATOS!$I19132,nEVAL,"EX")=0),0))))</f>
      </c>
      <c r="H19132">
        <f>IF(DATOS!$G19132&lt;&gt;"EX",0,--(COUNTIFS(nNIA,DATOS!$A19132,nCURSO,DATOS!$D19132,nESPEC,DATOS!$E19132,nASIG,DATOS!$I19132,nEVAL,"OR")=0))</f>
      </c>
      <c r="I19132">
        <f>IF(DATOS!$I19132="","",IFERROR(VLOOKUP(DATOS!$I19132,CONFIG_ASIGNATURAS!$B$2:$J$91,9,FALSE()),""))</f>
      </c>
    </row>
    <row r="19133">
      <c r="F19133">
        <f>IF(DATOS!$A19133="","",DATOS!$A19133&amp;"|"&amp;DATOS!$D19133&amp;"|"&amp;DATOS!$E19133&amp;"|"&amp;DATOS!$I19133)</f>
      </c>
      <c r="G19133">
        <f>IF(DATOS!$A19133="",0,IF(CONFIG_METADATA!$B$4&lt;&gt;"OR+EX",--(DATOS!$G19133=CONFIG_METADATA!$B$4),IF(DATOS!$G19133="EX",1,IF(DATOS!$G19133="OR",--(COUNTIFS(nNIA,DATOS!$A19133,nCURSO,DATOS!$D19133,nESPEC,DATOS!$E19133,nASIG,DATOS!$I19133,nEVAL,"EX")=0),0))))</f>
      </c>
      <c r="H19133">
        <f>IF(DATOS!$G19133&lt;&gt;"EX",0,--(COUNTIFS(nNIA,DATOS!$A19133,nCURSO,DATOS!$D19133,nESPEC,DATOS!$E19133,nASIG,DATOS!$I19133,nEVAL,"OR")=0))</f>
      </c>
      <c r="I19133">
        <f>IF(DATOS!$I19133="","",IFERROR(VLOOKUP(DATOS!$I19133,CONFIG_ASIGNATURAS!$B$2:$J$91,9,FALSE()),""))</f>
      </c>
    </row>
    <row r="19134">
      <c r="F19134">
        <f>IF(DATOS!$A19134="","",DATOS!$A19134&amp;"|"&amp;DATOS!$D19134&amp;"|"&amp;DATOS!$E19134&amp;"|"&amp;DATOS!$I19134)</f>
      </c>
      <c r="G19134">
        <f>IF(DATOS!$A19134="",0,IF(CONFIG_METADATA!$B$4&lt;&gt;"OR+EX",--(DATOS!$G19134=CONFIG_METADATA!$B$4),IF(DATOS!$G19134="EX",1,IF(DATOS!$G19134="OR",--(COUNTIFS(nNIA,DATOS!$A19134,nCURSO,DATOS!$D19134,nESPEC,DATOS!$E19134,nASIG,DATOS!$I19134,nEVAL,"EX")=0),0))))</f>
      </c>
      <c r="H19134">
        <f>IF(DATOS!$G19134&lt;&gt;"EX",0,--(COUNTIFS(nNIA,DATOS!$A19134,nCURSO,DATOS!$D19134,nESPEC,DATOS!$E19134,nASIG,DATOS!$I19134,nEVAL,"OR")=0))</f>
      </c>
      <c r="I19134">
        <f>IF(DATOS!$I19134="","",IFERROR(VLOOKUP(DATOS!$I19134,CONFIG_ASIGNATURAS!$B$2:$J$91,9,FALSE()),""))</f>
      </c>
    </row>
    <row r="19135">
      <c r="F19135">
        <f>IF(DATOS!$A19135="","",DATOS!$A19135&amp;"|"&amp;DATOS!$D19135&amp;"|"&amp;DATOS!$E19135&amp;"|"&amp;DATOS!$I19135)</f>
      </c>
      <c r="G19135">
        <f>IF(DATOS!$A19135="",0,IF(CONFIG_METADATA!$B$4&lt;&gt;"OR+EX",--(DATOS!$G19135=CONFIG_METADATA!$B$4),IF(DATOS!$G19135="EX",1,IF(DATOS!$G19135="OR",--(COUNTIFS(nNIA,DATOS!$A19135,nCURSO,DATOS!$D19135,nESPEC,DATOS!$E19135,nASIG,DATOS!$I19135,nEVAL,"EX")=0),0))))</f>
      </c>
      <c r="H19135">
        <f>IF(DATOS!$G19135&lt;&gt;"EX",0,--(COUNTIFS(nNIA,DATOS!$A19135,nCURSO,DATOS!$D19135,nESPEC,DATOS!$E19135,nASIG,DATOS!$I19135,nEVAL,"OR")=0))</f>
      </c>
      <c r="I19135">
        <f>IF(DATOS!$I19135="","",IFERROR(VLOOKUP(DATOS!$I19135,CONFIG_ASIGNATURAS!$B$2:$J$91,9,FALSE()),""))</f>
      </c>
    </row>
    <row r="19136">
      <c r="F19136">
        <f>IF(DATOS!$A19136="","",DATOS!$A19136&amp;"|"&amp;DATOS!$D19136&amp;"|"&amp;DATOS!$E19136&amp;"|"&amp;DATOS!$I19136)</f>
      </c>
      <c r="G19136">
        <f>IF(DATOS!$A19136="",0,IF(CONFIG_METADATA!$B$4&lt;&gt;"OR+EX",--(DATOS!$G19136=CONFIG_METADATA!$B$4),IF(DATOS!$G19136="EX",1,IF(DATOS!$G19136="OR",--(COUNTIFS(nNIA,DATOS!$A19136,nCURSO,DATOS!$D19136,nESPEC,DATOS!$E19136,nASIG,DATOS!$I19136,nEVAL,"EX")=0),0))))</f>
      </c>
      <c r="H19136">
        <f>IF(DATOS!$G19136&lt;&gt;"EX",0,--(COUNTIFS(nNIA,DATOS!$A19136,nCURSO,DATOS!$D19136,nESPEC,DATOS!$E19136,nASIG,DATOS!$I19136,nEVAL,"OR")=0))</f>
      </c>
      <c r="I19136">
        <f>IF(DATOS!$I19136="","",IFERROR(VLOOKUP(DATOS!$I19136,CONFIG_ASIGNATURAS!$B$2:$J$91,9,FALSE()),""))</f>
      </c>
    </row>
    <row r="19137">
      <c r="F19137">
        <f>IF(DATOS!$A19137="","",DATOS!$A19137&amp;"|"&amp;DATOS!$D19137&amp;"|"&amp;DATOS!$E19137&amp;"|"&amp;DATOS!$I19137)</f>
      </c>
      <c r="G19137">
        <f>IF(DATOS!$A19137="",0,IF(CONFIG_METADATA!$B$4&lt;&gt;"OR+EX",--(DATOS!$G19137=CONFIG_METADATA!$B$4),IF(DATOS!$G19137="EX",1,IF(DATOS!$G19137="OR",--(COUNTIFS(nNIA,DATOS!$A19137,nCURSO,DATOS!$D19137,nESPEC,DATOS!$E19137,nASIG,DATOS!$I19137,nEVAL,"EX")=0),0))))</f>
      </c>
      <c r="H19137">
        <f>IF(DATOS!$G19137&lt;&gt;"EX",0,--(COUNTIFS(nNIA,DATOS!$A19137,nCURSO,DATOS!$D19137,nESPEC,DATOS!$E19137,nASIG,DATOS!$I19137,nEVAL,"OR")=0))</f>
      </c>
      <c r="I19137">
        <f>IF(DATOS!$I19137="","",IFERROR(VLOOKUP(DATOS!$I19137,CONFIG_ASIGNATURAS!$B$2:$J$91,9,FALSE()),""))</f>
      </c>
    </row>
    <row r="19138">
      <c r="F19138">
        <f>IF(DATOS!$A19138="","",DATOS!$A19138&amp;"|"&amp;DATOS!$D19138&amp;"|"&amp;DATOS!$E19138&amp;"|"&amp;DATOS!$I19138)</f>
      </c>
      <c r="G19138">
        <f>IF(DATOS!$A19138="",0,IF(CONFIG_METADATA!$B$4&lt;&gt;"OR+EX",--(DATOS!$G19138=CONFIG_METADATA!$B$4),IF(DATOS!$G19138="EX",1,IF(DATOS!$G19138="OR",--(COUNTIFS(nNIA,DATOS!$A19138,nCURSO,DATOS!$D19138,nESPEC,DATOS!$E19138,nASIG,DATOS!$I19138,nEVAL,"EX")=0),0))))</f>
      </c>
      <c r="H19138">
        <f>IF(DATOS!$G19138&lt;&gt;"EX",0,--(COUNTIFS(nNIA,DATOS!$A19138,nCURSO,DATOS!$D19138,nESPEC,DATOS!$E19138,nASIG,DATOS!$I19138,nEVAL,"OR")=0))</f>
      </c>
      <c r="I19138">
        <f>IF(DATOS!$I19138="","",IFERROR(VLOOKUP(DATOS!$I19138,CONFIG_ASIGNATURAS!$B$2:$J$91,9,FALSE()),""))</f>
      </c>
    </row>
    <row r="19139">
      <c r="F19139">
        <f>IF(DATOS!$A19139="","",DATOS!$A19139&amp;"|"&amp;DATOS!$D19139&amp;"|"&amp;DATOS!$E19139&amp;"|"&amp;DATOS!$I19139)</f>
      </c>
      <c r="G19139">
        <f>IF(DATOS!$A19139="",0,IF(CONFIG_METADATA!$B$4&lt;&gt;"OR+EX",--(DATOS!$G19139=CONFIG_METADATA!$B$4),IF(DATOS!$G19139="EX",1,IF(DATOS!$G19139="OR",--(COUNTIFS(nNIA,DATOS!$A19139,nCURSO,DATOS!$D19139,nESPEC,DATOS!$E19139,nASIG,DATOS!$I19139,nEVAL,"EX")=0),0))))</f>
      </c>
      <c r="H19139">
        <f>IF(DATOS!$G19139&lt;&gt;"EX",0,--(COUNTIFS(nNIA,DATOS!$A19139,nCURSO,DATOS!$D19139,nESPEC,DATOS!$E19139,nASIG,DATOS!$I19139,nEVAL,"OR")=0))</f>
      </c>
      <c r="I19139">
        <f>IF(DATOS!$I19139="","",IFERROR(VLOOKUP(DATOS!$I19139,CONFIG_ASIGNATURAS!$B$2:$J$91,9,FALSE()),""))</f>
      </c>
    </row>
    <row r="19140">
      <c r="F19140">
        <f>IF(DATOS!$A19140="","",DATOS!$A19140&amp;"|"&amp;DATOS!$D19140&amp;"|"&amp;DATOS!$E19140&amp;"|"&amp;DATOS!$I19140)</f>
      </c>
      <c r="G19140">
        <f>IF(DATOS!$A19140="",0,IF(CONFIG_METADATA!$B$4&lt;&gt;"OR+EX",--(DATOS!$G19140=CONFIG_METADATA!$B$4),IF(DATOS!$G19140="EX",1,IF(DATOS!$G19140="OR",--(COUNTIFS(nNIA,DATOS!$A19140,nCURSO,DATOS!$D19140,nESPEC,DATOS!$E19140,nASIG,DATOS!$I19140,nEVAL,"EX")=0),0))))</f>
      </c>
      <c r="H19140">
        <f>IF(DATOS!$G19140&lt;&gt;"EX",0,--(COUNTIFS(nNIA,DATOS!$A19140,nCURSO,DATOS!$D19140,nESPEC,DATOS!$E19140,nASIG,DATOS!$I19140,nEVAL,"OR")=0))</f>
      </c>
      <c r="I19140">
        <f>IF(DATOS!$I19140="","",IFERROR(VLOOKUP(DATOS!$I19140,CONFIG_ASIGNATURAS!$B$2:$J$91,9,FALSE()),""))</f>
      </c>
    </row>
    <row r="19141">
      <c r="F19141">
        <f>IF(DATOS!$A19141="","",DATOS!$A19141&amp;"|"&amp;DATOS!$D19141&amp;"|"&amp;DATOS!$E19141&amp;"|"&amp;DATOS!$I19141)</f>
      </c>
      <c r="G19141">
        <f>IF(DATOS!$A19141="",0,IF(CONFIG_METADATA!$B$4&lt;&gt;"OR+EX",--(DATOS!$G19141=CONFIG_METADATA!$B$4),IF(DATOS!$G19141="EX",1,IF(DATOS!$G19141="OR",--(COUNTIFS(nNIA,DATOS!$A19141,nCURSO,DATOS!$D19141,nESPEC,DATOS!$E19141,nASIG,DATOS!$I19141,nEVAL,"EX")=0),0))))</f>
      </c>
      <c r="H19141">
        <f>IF(DATOS!$G19141&lt;&gt;"EX",0,--(COUNTIFS(nNIA,DATOS!$A19141,nCURSO,DATOS!$D19141,nESPEC,DATOS!$E19141,nASIG,DATOS!$I19141,nEVAL,"OR")=0))</f>
      </c>
      <c r="I19141">
        <f>IF(DATOS!$I19141="","",IFERROR(VLOOKUP(DATOS!$I19141,CONFIG_ASIGNATURAS!$B$2:$J$91,9,FALSE()),""))</f>
      </c>
    </row>
    <row r="19142">
      <c r="F19142">
        <f>IF(DATOS!$A19142="","",DATOS!$A19142&amp;"|"&amp;DATOS!$D19142&amp;"|"&amp;DATOS!$E19142&amp;"|"&amp;DATOS!$I19142)</f>
      </c>
      <c r="G19142">
        <f>IF(DATOS!$A19142="",0,IF(CONFIG_METADATA!$B$4&lt;&gt;"OR+EX",--(DATOS!$G19142=CONFIG_METADATA!$B$4),IF(DATOS!$G19142="EX",1,IF(DATOS!$G19142="OR",--(COUNTIFS(nNIA,DATOS!$A19142,nCURSO,DATOS!$D19142,nESPEC,DATOS!$E19142,nASIG,DATOS!$I19142,nEVAL,"EX")=0),0))))</f>
      </c>
      <c r="H19142">
        <f>IF(DATOS!$G19142&lt;&gt;"EX",0,--(COUNTIFS(nNIA,DATOS!$A19142,nCURSO,DATOS!$D19142,nESPEC,DATOS!$E19142,nASIG,DATOS!$I19142,nEVAL,"OR")=0))</f>
      </c>
      <c r="I19142">
        <f>IF(DATOS!$I19142="","",IFERROR(VLOOKUP(DATOS!$I19142,CONFIG_ASIGNATURAS!$B$2:$J$91,9,FALSE()),""))</f>
      </c>
    </row>
    <row r="19143">
      <c r="F19143">
        <f>IF(DATOS!$A19143="","",DATOS!$A19143&amp;"|"&amp;DATOS!$D19143&amp;"|"&amp;DATOS!$E19143&amp;"|"&amp;DATOS!$I19143)</f>
      </c>
      <c r="G19143">
        <f>IF(DATOS!$A19143="",0,IF(CONFIG_METADATA!$B$4&lt;&gt;"OR+EX",--(DATOS!$G19143=CONFIG_METADATA!$B$4),IF(DATOS!$G19143="EX",1,IF(DATOS!$G19143="OR",--(COUNTIFS(nNIA,DATOS!$A19143,nCURSO,DATOS!$D19143,nESPEC,DATOS!$E19143,nASIG,DATOS!$I19143,nEVAL,"EX")=0),0))))</f>
      </c>
      <c r="H19143">
        <f>IF(DATOS!$G19143&lt;&gt;"EX",0,--(COUNTIFS(nNIA,DATOS!$A19143,nCURSO,DATOS!$D19143,nESPEC,DATOS!$E19143,nASIG,DATOS!$I19143,nEVAL,"OR")=0))</f>
      </c>
      <c r="I19143">
        <f>IF(DATOS!$I19143="","",IFERROR(VLOOKUP(DATOS!$I19143,CONFIG_ASIGNATURAS!$B$2:$J$91,9,FALSE()),""))</f>
      </c>
    </row>
    <row r="19144">
      <c r="F19144">
        <f>IF(DATOS!$A19144="","",DATOS!$A19144&amp;"|"&amp;DATOS!$D19144&amp;"|"&amp;DATOS!$E19144&amp;"|"&amp;DATOS!$I19144)</f>
      </c>
      <c r="G19144">
        <f>IF(DATOS!$A19144="",0,IF(CONFIG_METADATA!$B$4&lt;&gt;"OR+EX",--(DATOS!$G19144=CONFIG_METADATA!$B$4),IF(DATOS!$G19144="EX",1,IF(DATOS!$G19144="OR",--(COUNTIFS(nNIA,DATOS!$A19144,nCURSO,DATOS!$D19144,nESPEC,DATOS!$E19144,nASIG,DATOS!$I19144,nEVAL,"EX")=0),0))))</f>
      </c>
      <c r="H19144">
        <f>IF(DATOS!$G19144&lt;&gt;"EX",0,--(COUNTIFS(nNIA,DATOS!$A19144,nCURSO,DATOS!$D19144,nESPEC,DATOS!$E19144,nASIG,DATOS!$I19144,nEVAL,"OR")=0))</f>
      </c>
      <c r="I19144">
        <f>IF(DATOS!$I19144="","",IFERROR(VLOOKUP(DATOS!$I19144,CONFIG_ASIGNATURAS!$B$2:$J$91,9,FALSE()),""))</f>
      </c>
    </row>
    <row r="19145">
      <c r="F19145">
        <f>IF(DATOS!$A19145="","",DATOS!$A19145&amp;"|"&amp;DATOS!$D19145&amp;"|"&amp;DATOS!$E19145&amp;"|"&amp;DATOS!$I19145)</f>
      </c>
      <c r="G19145">
        <f>IF(DATOS!$A19145="",0,IF(CONFIG_METADATA!$B$4&lt;&gt;"OR+EX",--(DATOS!$G19145=CONFIG_METADATA!$B$4),IF(DATOS!$G19145="EX",1,IF(DATOS!$G19145="OR",--(COUNTIFS(nNIA,DATOS!$A19145,nCURSO,DATOS!$D19145,nESPEC,DATOS!$E19145,nASIG,DATOS!$I19145,nEVAL,"EX")=0),0))))</f>
      </c>
      <c r="H19145">
        <f>IF(DATOS!$G19145&lt;&gt;"EX",0,--(COUNTIFS(nNIA,DATOS!$A19145,nCURSO,DATOS!$D19145,nESPEC,DATOS!$E19145,nASIG,DATOS!$I19145,nEVAL,"OR")=0))</f>
      </c>
      <c r="I19145">
        <f>IF(DATOS!$I19145="","",IFERROR(VLOOKUP(DATOS!$I19145,CONFIG_ASIGNATURAS!$B$2:$J$91,9,FALSE()),""))</f>
      </c>
    </row>
    <row r="19146">
      <c r="F19146">
        <f>IF(DATOS!$A19146="","",DATOS!$A19146&amp;"|"&amp;DATOS!$D19146&amp;"|"&amp;DATOS!$E19146&amp;"|"&amp;DATOS!$I19146)</f>
      </c>
      <c r="G19146">
        <f>IF(DATOS!$A19146="",0,IF(CONFIG_METADATA!$B$4&lt;&gt;"OR+EX",--(DATOS!$G19146=CONFIG_METADATA!$B$4),IF(DATOS!$G19146="EX",1,IF(DATOS!$G19146="OR",--(COUNTIFS(nNIA,DATOS!$A19146,nCURSO,DATOS!$D19146,nESPEC,DATOS!$E19146,nASIG,DATOS!$I19146,nEVAL,"EX")=0),0))))</f>
      </c>
      <c r="H19146">
        <f>IF(DATOS!$G19146&lt;&gt;"EX",0,--(COUNTIFS(nNIA,DATOS!$A19146,nCURSO,DATOS!$D19146,nESPEC,DATOS!$E19146,nASIG,DATOS!$I19146,nEVAL,"OR")=0))</f>
      </c>
      <c r="I19146">
        <f>IF(DATOS!$I19146="","",IFERROR(VLOOKUP(DATOS!$I19146,CONFIG_ASIGNATURAS!$B$2:$J$91,9,FALSE()),""))</f>
      </c>
    </row>
    <row r="19147">
      <c r="F19147">
        <f>IF(DATOS!$A19147="","",DATOS!$A19147&amp;"|"&amp;DATOS!$D19147&amp;"|"&amp;DATOS!$E19147&amp;"|"&amp;DATOS!$I19147)</f>
      </c>
      <c r="G19147">
        <f>IF(DATOS!$A19147="",0,IF(CONFIG_METADATA!$B$4&lt;&gt;"OR+EX",--(DATOS!$G19147=CONFIG_METADATA!$B$4),IF(DATOS!$G19147="EX",1,IF(DATOS!$G19147="OR",--(COUNTIFS(nNIA,DATOS!$A19147,nCURSO,DATOS!$D19147,nESPEC,DATOS!$E19147,nASIG,DATOS!$I19147,nEVAL,"EX")=0),0))))</f>
      </c>
      <c r="H19147">
        <f>IF(DATOS!$G19147&lt;&gt;"EX",0,--(COUNTIFS(nNIA,DATOS!$A19147,nCURSO,DATOS!$D19147,nESPEC,DATOS!$E19147,nASIG,DATOS!$I19147,nEVAL,"OR")=0))</f>
      </c>
      <c r="I19147">
        <f>IF(DATOS!$I19147="","",IFERROR(VLOOKUP(DATOS!$I19147,CONFIG_ASIGNATURAS!$B$2:$J$91,9,FALSE()),""))</f>
      </c>
    </row>
    <row r="19148">
      <c r="F19148">
        <f>IF(DATOS!$A19148="","",DATOS!$A19148&amp;"|"&amp;DATOS!$D19148&amp;"|"&amp;DATOS!$E19148&amp;"|"&amp;DATOS!$I19148)</f>
      </c>
      <c r="G19148">
        <f>IF(DATOS!$A19148="",0,IF(CONFIG_METADATA!$B$4&lt;&gt;"OR+EX",--(DATOS!$G19148=CONFIG_METADATA!$B$4),IF(DATOS!$G19148="EX",1,IF(DATOS!$G19148="OR",--(COUNTIFS(nNIA,DATOS!$A19148,nCURSO,DATOS!$D19148,nESPEC,DATOS!$E19148,nASIG,DATOS!$I19148,nEVAL,"EX")=0),0))))</f>
      </c>
      <c r="H19148">
        <f>IF(DATOS!$G19148&lt;&gt;"EX",0,--(COUNTIFS(nNIA,DATOS!$A19148,nCURSO,DATOS!$D19148,nESPEC,DATOS!$E19148,nASIG,DATOS!$I19148,nEVAL,"OR")=0))</f>
      </c>
      <c r="I19148">
        <f>IF(DATOS!$I19148="","",IFERROR(VLOOKUP(DATOS!$I19148,CONFIG_ASIGNATURAS!$B$2:$J$91,9,FALSE()),""))</f>
      </c>
    </row>
    <row r="19149">
      <c r="F19149">
        <f>IF(DATOS!$A19149="","",DATOS!$A19149&amp;"|"&amp;DATOS!$D19149&amp;"|"&amp;DATOS!$E19149&amp;"|"&amp;DATOS!$I19149)</f>
      </c>
      <c r="G19149">
        <f>IF(DATOS!$A19149="",0,IF(CONFIG_METADATA!$B$4&lt;&gt;"OR+EX",--(DATOS!$G19149=CONFIG_METADATA!$B$4),IF(DATOS!$G19149="EX",1,IF(DATOS!$G19149="OR",--(COUNTIFS(nNIA,DATOS!$A19149,nCURSO,DATOS!$D19149,nESPEC,DATOS!$E19149,nASIG,DATOS!$I19149,nEVAL,"EX")=0),0))))</f>
      </c>
      <c r="H19149">
        <f>IF(DATOS!$G19149&lt;&gt;"EX",0,--(COUNTIFS(nNIA,DATOS!$A19149,nCURSO,DATOS!$D19149,nESPEC,DATOS!$E19149,nASIG,DATOS!$I19149,nEVAL,"OR")=0))</f>
      </c>
      <c r="I19149">
        <f>IF(DATOS!$I19149="","",IFERROR(VLOOKUP(DATOS!$I19149,CONFIG_ASIGNATURAS!$B$2:$J$91,9,FALSE()),""))</f>
      </c>
    </row>
    <row r="19150">
      <c r="F19150">
        <f>IF(DATOS!$A19150="","",DATOS!$A19150&amp;"|"&amp;DATOS!$D19150&amp;"|"&amp;DATOS!$E19150&amp;"|"&amp;DATOS!$I19150)</f>
      </c>
      <c r="G19150">
        <f>IF(DATOS!$A19150="",0,IF(CONFIG_METADATA!$B$4&lt;&gt;"OR+EX",--(DATOS!$G19150=CONFIG_METADATA!$B$4),IF(DATOS!$G19150="EX",1,IF(DATOS!$G19150="OR",--(COUNTIFS(nNIA,DATOS!$A19150,nCURSO,DATOS!$D19150,nESPEC,DATOS!$E19150,nASIG,DATOS!$I19150,nEVAL,"EX")=0),0))))</f>
      </c>
      <c r="H19150">
        <f>IF(DATOS!$G19150&lt;&gt;"EX",0,--(COUNTIFS(nNIA,DATOS!$A19150,nCURSO,DATOS!$D19150,nESPEC,DATOS!$E19150,nASIG,DATOS!$I19150,nEVAL,"OR")=0))</f>
      </c>
      <c r="I19150">
        <f>IF(DATOS!$I19150="","",IFERROR(VLOOKUP(DATOS!$I19150,CONFIG_ASIGNATURAS!$B$2:$J$91,9,FALSE()),""))</f>
      </c>
    </row>
    <row r="19151">
      <c r="F19151">
        <f>IF(DATOS!$A19151="","",DATOS!$A19151&amp;"|"&amp;DATOS!$D19151&amp;"|"&amp;DATOS!$E19151&amp;"|"&amp;DATOS!$I19151)</f>
      </c>
      <c r="G19151">
        <f>IF(DATOS!$A19151="",0,IF(CONFIG_METADATA!$B$4&lt;&gt;"OR+EX",--(DATOS!$G19151=CONFIG_METADATA!$B$4),IF(DATOS!$G19151="EX",1,IF(DATOS!$G19151="OR",--(COUNTIFS(nNIA,DATOS!$A19151,nCURSO,DATOS!$D19151,nESPEC,DATOS!$E19151,nASIG,DATOS!$I19151,nEVAL,"EX")=0),0))))</f>
      </c>
      <c r="H19151">
        <f>IF(DATOS!$G19151&lt;&gt;"EX",0,--(COUNTIFS(nNIA,DATOS!$A19151,nCURSO,DATOS!$D19151,nESPEC,DATOS!$E19151,nASIG,DATOS!$I19151,nEVAL,"OR")=0))</f>
      </c>
      <c r="I19151">
        <f>IF(DATOS!$I19151="","",IFERROR(VLOOKUP(DATOS!$I19151,CONFIG_ASIGNATURAS!$B$2:$J$91,9,FALSE()),""))</f>
      </c>
    </row>
    <row r="19152">
      <c r="F19152">
        <f>IF(DATOS!$A19152="","",DATOS!$A19152&amp;"|"&amp;DATOS!$D19152&amp;"|"&amp;DATOS!$E19152&amp;"|"&amp;DATOS!$I19152)</f>
      </c>
      <c r="G19152">
        <f>IF(DATOS!$A19152="",0,IF(CONFIG_METADATA!$B$4&lt;&gt;"OR+EX",--(DATOS!$G19152=CONFIG_METADATA!$B$4),IF(DATOS!$G19152="EX",1,IF(DATOS!$G19152="OR",--(COUNTIFS(nNIA,DATOS!$A19152,nCURSO,DATOS!$D19152,nESPEC,DATOS!$E19152,nASIG,DATOS!$I19152,nEVAL,"EX")=0),0))))</f>
      </c>
      <c r="H19152">
        <f>IF(DATOS!$G19152&lt;&gt;"EX",0,--(COUNTIFS(nNIA,DATOS!$A19152,nCURSO,DATOS!$D19152,nESPEC,DATOS!$E19152,nASIG,DATOS!$I19152,nEVAL,"OR")=0))</f>
      </c>
      <c r="I19152">
        <f>IF(DATOS!$I19152="","",IFERROR(VLOOKUP(DATOS!$I19152,CONFIG_ASIGNATURAS!$B$2:$J$91,9,FALSE()),""))</f>
      </c>
    </row>
    <row r="19153">
      <c r="F19153">
        <f>IF(DATOS!$A19153="","",DATOS!$A19153&amp;"|"&amp;DATOS!$D19153&amp;"|"&amp;DATOS!$E19153&amp;"|"&amp;DATOS!$I19153)</f>
      </c>
      <c r="G19153">
        <f>IF(DATOS!$A19153="",0,IF(CONFIG_METADATA!$B$4&lt;&gt;"OR+EX",--(DATOS!$G19153=CONFIG_METADATA!$B$4),IF(DATOS!$G19153="EX",1,IF(DATOS!$G19153="OR",--(COUNTIFS(nNIA,DATOS!$A19153,nCURSO,DATOS!$D19153,nESPEC,DATOS!$E19153,nASIG,DATOS!$I19153,nEVAL,"EX")=0),0))))</f>
      </c>
      <c r="H19153">
        <f>IF(DATOS!$G19153&lt;&gt;"EX",0,--(COUNTIFS(nNIA,DATOS!$A19153,nCURSO,DATOS!$D19153,nESPEC,DATOS!$E19153,nASIG,DATOS!$I19153,nEVAL,"OR")=0))</f>
      </c>
      <c r="I19153">
        <f>IF(DATOS!$I19153="","",IFERROR(VLOOKUP(DATOS!$I19153,CONFIG_ASIGNATURAS!$B$2:$J$91,9,FALSE()),""))</f>
      </c>
    </row>
    <row r="19154">
      <c r="F19154">
        <f>IF(DATOS!$A19154="","",DATOS!$A19154&amp;"|"&amp;DATOS!$D19154&amp;"|"&amp;DATOS!$E19154&amp;"|"&amp;DATOS!$I19154)</f>
      </c>
      <c r="G19154">
        <f>IF(DATOS!$A19154="",0,IF(CONFIG_METADATA!$B$4&lt;&gt;"OR+EX",--(DATOS!$G19154=CONFIG_METADATA!$B$4),IF(DATOS!$G19154="EX",1,IF(DATOS!$G19154="OR",--(COUNTIFS(nNIA,DATOS!$A19154,nCURSO,DATOS!$D19154,nESPEC,DATOS!$E19154,nASIG,DATOS!$I19154,nEVAL,"EX")=0),0))))</f>
      </c>
      <c r="H19154">
        <f>IF(DATOS!$G19154&lt;&gt;"EX",0,--(COUNTIFS(nNIA,DATOS!$A19154,nCURSO,DATOS!$D19154,nESPEC,DATOS!$E19154,nASIG,DATOS!$I19154,nEVAL,"OR")=0))</f>
      </c>
      <c r="I19154">
        <f>IF(DATOS!$I19154="","",IFERROR(VLOOKUP(DATOS!$I19154,CONFIG_ASIGNATURAS!$B$2:$J$91,9,FALSE()),""))</f>
      </c>
    </row>
    <row r="19155">
      <c r="F19155">
        <f>IF(DATOS!$A19155="","",DATOS!$A19155&amp;"|"&amp;DATOS!$D19155&amp;"|"&amp;DATOS!$E19155&amp;"|"&amp;DATOS!$I19155)</f>
      </c>
      <c r="G19155">
        <f>IF(DATOS!$A19155="",0,IF(CONFIG_METADATA!$B$4&lt;&gt;"OR+EX",--(DATOS!$G19155=CONFIG_METADATA!$B$4),IF(DATOS!$G19155="EX",1,IF(DATOS!$G19155="OR",--(COUNTIFS(nNIA,DATOS!$A19155,nCURSO,DATOS!$D19155,nESPEC,DATOS!$E19155,nASIG,DATOS!$I19155,nEVAL,"EX")=0),0))))</f>
      </c>
      <c r="H19155">
        <f>IF(DATOS!$G19155&lt;&gt;"EX",0,--(COUNTIFS(nNIA,DATOS!$A19155,nCURSO,DATOS!$D19155,nESPEC,DATOS!$E19155,nASIG,DATOS!$I19155,nEVAL,"OR")=0))</f>
      </c>
      <c r="I19155">
        <f>IF(DATOS!$I19155="","",IFERROR(VLOOKUP(DATOS!$I19155,CONFIG_ASIGNATURAS!$B$2:$J$91,9,FALSE()),""))</f>
      </c>
    </row>
    <row r="19156">
      <c r="F19156">
        <f>IF(DATOS!$A19156="","",DATOS!$A19156&amp;"|"&amp;DATOS!$D19156&amp;"|"&amp;DATOS!$E19156&amp;"|"&amp;DATOS!$I19156)</f>
      </c>
      <c r="G19156">
        <f>IF(DATOS!$A19156="",0,IF(CONFIG_METADATA!$B$4&lt;&gt;"OR+EX",--(DATOS!$G19156=CONFIG_METADATA!$B$4),IF(DATOS!$G19156="EX",1,IF(DATOS!$G19156="OR",--(COUNTIFS(nNIA,DATOS!$A19156,nCURSO,DATOS!$D19156,nESPEC,DATOS!$E19156,nASIG,DATOS!$I19156,nEVAL,"EX")=0),0))))</f>
      </c>
      <c r="H19156">
        <f>IF(DATOS!$G19156&lt;&gt;"EX",0,--(COUNTIFS(nNIA,DATOS!$A19156,nCURSO,DATOS!$D19156,nESPEC,DATOS!$E19156,nASIG,DATOS!$I19156,nEVAL,"OR")=0))</f>
      </c>
      <c r="I19156">
        <f>IF(DATOS!$I19156="","",IFERROR(VLOOKUP(DATOS!$I19156,CONFIG_ASIGNATURAS!$B$2:$J$91,9,FALSE()),""))</f>
      </c>
    </row>
    <row r="19157">
      <c r="F19157">
        <f>IF(DATOS!$A19157="","",DATOS!$A19157&amp;"|"&amp;DATOS!$D19157&amp;"|"&amp;DATOS!$E19157&amp;"|"&amp;DATOS!$I19157)</f>
      </c>
      <c r="G19157">
        <f>IF(DATOS!$A19157="",0,IF(CONFIG_METADATA!$B$4&lt;&gt;"OR+EX",--(DATOS!$G19157=CONFIG_METADATA!$B$4),IF(DATOS!$G19157="EX",1,IF(DATOS!$G19157="OR",--(COUNTIFS(nNIA,DATOS!$A19157,nCURSO,DATOS!$D19157,nESPEC,DATOS!$E19157,nASIG,DATOS!$I19157,nEVAL,"EX")=0),0))))</f>
      </c>
      <c r="H19157">
        <f>IF(DATOS!$G19157&lt;&gt;"EX",0,--(COUNTIFS(nNIA,DATOS!$A19157,nCURSO,DATOS!$D19157,nESPEC,DATOS!$E19157,nASIG,DATOS!$I19157,nEVAL,"OR")=0))</f>
      </c>
      <c r="I19157">
        <f>IF(DATOS!$I19157="","",IFERROR(VLOOKUP(DATOS!$I19157,CONFIG_ASIGNATURAS!$B$2:$J$91,9,FALSE()),""))</f>
      </c>
    </row>
    <row r="19158">
      <c r="F19158">
        <f>IF(DATOS!$A19158="","",DATOS!$A19158&amp;"|"&amp;DATOS!$D19158&amp;"|"&amp;DATOS!$E19158&amp;"|"&amp;DATOS!$I19158)</f>
      </c>
      <c r="G19158">
        <f>IF(DATOS!$A19158="",0,IF(CONFIG_METADATA!$B$4&lt;&gt;"OR+EX",--(DATOS!$G19158=CONFIG_METADATA!$B$4),IF(DATOS!$G19158="EX",1,IF(DATOS!$G19158="OR",--(COUNTIFS(nNIA,DATOS!$A19158,nCURSO,DATOS!$D19158,nESPEC,DATOS!$E19158,nASIG,DATOS!$I19158,nEVAL,"EX")=0),0))))</f>
      </c>
      <c r="H19158">
        <f>IF(DATOS!$G19158&lt;&gt;"EX",0,--(COUNTIFS(nNIA,DATOS!$A19158,nCURSO,DATOS!$D19158,nESPEC,DATOS!$E19158,nASIG,DATOS!$I19158,nEVAL,"OR")=0))</f>
      </c>
      <c r="I19158">
        <f>IF(DATOS!$I19158="","",IFERROR(VLOOKUP(DATOS!$I19158,CONFIG_ASIGNATURAS!$B$2:$J$91,9,FALSE()),""))</f>
      </c>
    </row>
    <row r="19159">
      <c r="F19159">
        <f>IF(DATOS!$A19159="","",DATOS!$A19159&amp;"|"&amp;DATOS!$D19159&amp;"|"&amp;DATOS!$E19159&amp;"|"&amp;DATOS!$I19159)</f>
      </c>
      <c r="G19159">
        <f>IF(DATOS!$A19159="",0,IF(CONFIG_METADATA!$B$4&lt;&gt;"OR+EX",--(DATOS!$G19159=CONFIG_METADATA!$B$4),IF(DATOS!$G19159="EX",1,IF(DATOS!$G19159="OR",--(COUNTIFS(nNIA,DATOS!$A19159,nCURSO,DATOS!$D19159,nESPEC,DATOS!$E19159,nASIG,DATOS!$I19159,nEVAL,"EX")=0),0))))</f>
      </c>
      <c r="H19159">
        <f>IF(DATOS!$G19159&lt;&gt;"EX",0,--(COUNTIFS(nNIA,DATOS!$A19159,nCURSO,DATOS!$D19159,nESPEC,DATOS!$E19159,nASIG,DATOS!$I19159,nEVAL,"OR")=0))</f>
      </c>
      <c r="I19159">
        <f>IF(DATOS!$I19159="","",IFERROR(VLOOKUP(DATOS!$I19159,CONFIG_ASIGNATURAS!$B$2:$J$91,9,FALSE()),""))</f>
      </c>
    </row>
    <row r="19160">
      <c r="F19160">
        <f>IF(DATOS!$A19160="","",DATOS!$A19160&amp;"|"&amp;DATOS!$D19160&amp;"|"&amp;DATOS!$E19160&amp;"|"&amp;DATOS!$I19160)</f>
      </c>
      <c r="G19160">
        <f>IF(DATOS!$A19160="",0,IF(CONFIG_METADATA!$B$4&lt;&gt;"OR+EX",--(DATOS!$G19160=CONFIG_METADATA!$B$4),IF(DATOS!$G19160="EX",1,IF(DATOS!$G19160="OR",--(COUNTIFS(nNIA,DATOS!$A19160,nCURSO,DATOS!$D19160,nESPEC,DATOS!$E19160,nASIG,DATOS!$I19160,nEVAL,"EX")=0),0))))</f>
      </c>
      <c r="H19160">
        <f>IF(DATOS!$G19160&lt;&gt;"EX",0,--(COUNTIFS(nNIA,DATOS!$A19160,nCURSO,DATOS!$D19160,nESPEC,DATOS!$E19160,nASIG,DATOS!$I19160,nEVAL,"OR")=0))</f>
      </c>
      <c r="I19160">
        <f>IF(DATOS!$I19160="","",IFERROR(VLOOKUP(DATOS!$I19160,CONFIG_ASIGNATURAS!$B$2:$J$91,9,FALSE()),""))</f>
      </c>
    </row>
    <row r="19161">
      <c r="F19161">
        <f>IF(DATOS!$A19161="","",DATOS!$A19161&amp;"|"&amp;DATOS!$D19161&amp;"|"&amp;DATOS!$E19161&amp;"|"&amp;DATOS!$I19161)</f>
      </c>
      <c r="G19161">
        <f>IF(DATOS!$A19161="",0,IF(CONFIG_METADATA!$B$4&lt;&gt;"OR+EX",--(DATOS!$G19161=CONFIG_METADATA!$B$4),IF(DATOS!$G19161="EX",1,IF(DATOS!$G19161="OR",--(COUNTIFS(nNIA,DATOS!$A19161,nCURSO,DATOS!$D19161,nESPEC,DATOS!$E19161,nASIG,DATOS!$I19161,nEVAL,"EX")=0),0))))</f>
      </c>
      <c r="H19161">
        <f>IF(DATOS!$G19161&lt;&gt;"EX",0,--(COUNTIFS(nNIA,DATOS!$A19161,nCURSO,DATOS!$D19161,nESPEC,DATOS!$E19161,nASIG,DATOS!$I19161,nEVAL,"OR")=0))</f>
      </c>
      <c r="I19161">
        <f>IF(DATOS!$I19161="","",IFERROR(VLOOKUP(DATOS!$I19161,CONFIG_ASIGNATURAS!$B$2:$J$91,9,FALSE()),""))</f>
      </c>
    </row>
    <row r="19162">
      <c r="F19162">
        <f>IF(DATOS!$A19162="","",DATOS!$A19162&amp;"|"&amp;DATOS!$D19162&amp;"|"&amp;DATOS!$E19162&amp;"|"&amp;DATOS!$I19162)</f>
      </c>
      <c r="G19162">
        <f>IF(DATOS!$A19162="",0,IF(CONFIG_METADATA!$B$4&lt;&gt;"OR+EX",--(DATOS!$G19162=CONFIG_METADATA!$B$4),IF(DATOS!$G19162="EX",1,IF(DATOS!$G19162="OR",--(COUNTIFS(nNIA,DATOS!$A19162,nCURSO,DATOS!$D19162,nESPEC,DATOS!$E19162,nASIG,DATOS!$I19162,nEVAL,"EX")=0),0))))</f>
      </c>
      <c r="H19162">
        <f>IF(DATOS!$G19162&lt;&gt;"EX",0,--(COUNTIFS(nNIA,DATOS!$A19162,nCURSO,DATOS!$D19162,nESPEC,DATOS!$E19162,nASIG,DATOS!$I19162,nEVAL,"OR")=0))</f>
      </c>
      <c r="I19162">
        <f>IF(DATOS!$I19162="","",IFERROR(VLOOKUP(DATOS!$I19162,CONFIG_ASIGNATURAS!$B$2:$J$91,9,FALSE()),""))</f>
      </c>
    </row>
    <row r="19163">
      <c r="F19163">
        <f>IF(DATOS!$A19163="","",DATOS!$A19163&amp;"|"&amp;DATOS!$D19163&amp;"|"&amp;DATOS!$E19163&amp;"|"&amp;DATOS!$I19163)</f>
      </c>
      <c r="G19163">
        <f>IF(DATOS!$A19163="",0,IF(CONFIG_METADATA!$B$4&lt;&gt;"OR+EX",--(DATOS!$G19163=CONFIG_METADATA!$B$4),IF(DATOS!$G19163="EX",1,IF(DATOS!$G19163="OR",--(COUNTIFS(nNIA,DATOS!$A19163,nCURSO,DATOS!$D19163,nESPEC,DATOS!$E19163,nASIG,DATOS!$I19163,nEVAL,"EX")=0),0))))</f>
      </c>
      <c r="H19163">
        <f>IF(DATOS!$G19163&lt;&gt;"EX",0,--(COUNTIFS(nNIA,DATOS!$A19163,nCURSO,DATOS!$D19163,nESPEC,DATOS!$E19163,nASIG,DATOS!$I19163,nEVAL,"OR")=0))</f>
      </c>
      <c r="I19163">
        <f>IF(DATOS!$I19163="","",IFERROR(VLOOKUP(DATOS!$I19163,CONFIG_ASIGNATURAS!$B$2:$J$91,9,FALSE()),""))</f>
      </c>
    </row>
    <row r="19164">
      <c r="F19164">
        <f>IF(DATOS!$A19164="","",DATOS!$A19164&amp;"|"&amp;DATOS!$D19164&amp;"|"&amp;DATOS!$E19164&amp;"|"&amp;DATOS!$I19164)</f>
      </c>
      <c r="G19164">
        <f>IF(DATOS!$A19164="",0,IF(CONFIG_METADATA!$B$4&lt;&gt;"OR+EX",--(DATOS!$G19164=CONFIG_METADATA!$B$4),IF(DATOS!$G19164="EX",1,IF(DATOS!$G19164="OR",--(COUNTIFS(nNIA,DATOS!$A19164,nCURSO,DATOS!$D19164,nESPEC,DATOS!$E19164,nASIG,DATOS!$I19164,nEVAL,"EX")=0),0))))</f>
      </c>
      <c r="H19164">
        <f>IF(DATOS!$G19164&lt;&gt;"EX",0,--(COUNTIFS(nNIA,DATOS!$A19164,nCURSO,DATOS!$D19164,nESPEC,DATOS!$E19164,nASIG,DATOS!$I19164,nEVAL,"OR")=0))</f>
      </c>
      <c r="I19164">
        <f>IF(DATOS!$I19164="","",IFERROR(VLOOKUP(DATOS!$I19164,CONFIG_ASIGNATURAS!$B$2:$J$91,9,FALSE()),""))</f>
      </c>
    </row>
    <row r="19165">
      <c r="F19165">
        <f>IF(DATOS!$A19165="","",DATOS!$A19165&amp;"|"&amp;DATOS!$D19165&amp;"|"&amp;DATOS!$E19165&amp;"|"&amp;DATOS!$I19165)</f>
      </c>
      <c r="G19165">
        <f>IF(DATOS!$A19165="",0,IF(CONFIG_METADATA!$B$4&lt;&gt;"OR+EX",--(DATOS!$G19165=CONFIG_METADATA!$B$4),IF(DATOS!$G19165="EX",1,IF(DATOS!$G19165="OR",--(COUNTIFS(nNIA,DATOS!$A19165,nCURSO,DATOS!$D19165,nESPEC,DATOS!$E19165,nASIG,DATOS!$I19165,nEVAL,"EX")=0),0))))</f>
      </c>
      <c r="H19165">
        <f>IF(DATOS!$G19165&lt;&gt;"EX",0,--(COUNTIFS(nNIA,DATOS!$A19165,nCURSO,DATOS!$D19165,nESPEC,DATOS!$E19165,nASIG,DATOS!$I19165,nEVAL,"OR")=0))</f>
      </c>
      <c r="I19165">
        <f>IF(DATOS!$I19165="","",IFERROR(VLOOKUP(DATOS!$I19165,CONFIG_ASIGNATURAS!$B$2:$J$91,9,FALSE()),""))</f>
      </c>
    </row>
    <row r="19166">
      <c r="F19166">
        <f>IF(DATOS!$A19166="","",DATOS!$A19166&amp;"|"&amp;DATOS!$D19166&amp;"|"&amp;DATOS!$E19166&amp;"|"&amp;DATOS!$I19166)</f>
      </c>
      <c r="G19166">
        <f>IF(DATOS!$A19166="",0,IF(CONFIG_METADATA!$B$4&lt;&gt;"OR+EX",--(DATOS!$G19166=CONFIG_METADATA!$B$4),IF(DATOS!$G19166="EX",1,IF(DATOS!$G19166="OR",--(COUNTIFS(nNIA,DATOS!$A19166,nCURSO,DATOS!$D19166,nESPEC,DATOS!$E19166,nASIG,DATOS!$I19166,nEVAL,"EX")=0),0))))</f>
      </c>
      <c r="H19166">
        <f>IF(DATOS!$G19166&lt;&gt;"EX",0,--(COUNTIFS(nNIA,DATOS!$A19166,nCURSO,DATOS!$D19166,nESPEC,DATOS!$E19166,nASIG,DATOS!$I19166,nEVAL,"OR")=0))</f>
      </c>
      <c r="I19166">
        <f>IF(DATOS!$I19166="","",IFERROR(VLOOKUP(DATOS!$I19166,CONFIG_ASIGNATURAS!$B$2:$J$91,9,FALSE()),""))</f>
      </c>
    </row>
    <row r="19167">
      <c r="F19167">
        <f>IF(DATOS!$A19167="","",DATOS!$A19167&amp;"|"&amp;DATOS!$D19167&amp;"|"&amp;DATOS!$E19167&amp;"|"&amp;DATOS!$I19167)</f>
      </c>
      <c r="G19167">
        <f>IF(DATOS!$A19167="",0,IF(CONFIG_METADATA!$B$4&lt;&gt;"OR+EX",--(DATOS!$G19167=CONFIG_METADATA!$B$4),IF(DATOS!$G19167="EX",1,IF(DATOS!$G19167="OR",--(COUNTIFS(nNIA,DATOS!$A19167,nCURSO,DATOS!$D19167,nESPEC,DATOS!$E19167,nASIG,DATOS!$I19167,nEVAL,"EX")=0),0))))</f>
      </c>
      <c r="H19167">
        <f>IF(DATOS!$G19167&lt;&gt;"EX",0,--(COUNTIFS(nNIA,DATOS!$A19167,nCURSO,DATOS!$D19167,nESPEC,DATOS!$E19167,nASIG,DATOS!$I19167,nEVAL,"OR")=0))</f>
      </c>
      <c r="I19167">
        <f>IF(DATOS!$I19167="","",IFERROR(VLOOKUP(DATOS!$I19167,CONFIG_ASIGNATURAS!$B$2:$J$91,9,FALSE()),""))</f>
      </c>
    </row>
    <row r="19168">
      <c r="F19168">
        <f>IF(DATOS!$A19168="","",DATOS!$A19168&amp;"|"&amp;DATOS!$D19168&amp;"|"&amp;DATOS!$E19168&amp;"|"&amp;DATOS!$I19168)</f>
      </c>
      <c r="G19168">
        <f>IF(DATOS!$A19168="",0,IF(CONFIG_METADATA!$B$4&lt;&gt;"OR+EX",--(DATOS!$G19168=CONFIG_METADATA!$B$4),IF(DATOS!$G19168="EX",1,IF(DATOS!$G19168="OR",--(COUNTIFS(nNIA,DATOS!$A19168,nCURSO,DATOS!$D19168,nESPEC,DATOS!$E19168,nASIG,DATOS!$I19168,nEVAL,"EX")=0),0))))</f>
      </c>
      <c r="H19168">
        <f>IF(DATOS!$G19168&lt;&gt;"EX",0,--(COUNTIFS(nNIA,DATOS!$A19168,nCURSO,DATOS!$D19168,nESPEC,DATOS!$E19168,nASIG,DATOS!$I19168,nEVAL,"OR")=0))</f>
      </c>
      <c r="I19168">
        <f>IF(DATOS!$I19168="","",IFERROR(VLOOKUP(DATOS!$I19168,CONFIG_ASIGNATURAS!$B$2:$J$91,9,FALSE()),""))</f>
      </c>
    </row>
    <row r="19169">
      <c r="F19169">
        <f>IF(DATOS!$A19169="","",DATOS!$A19169&amp;"|"&amp;DATOS!$D19169&amp;"|"&amp;DATOS!$E19169&amp;"|"&amp;DATOS!$I19169)</f>
      </c>
      <c r="G19169">
        <f>IF(DATOS!$A19169="",0,IF(CONFIG_METADATA!$B$4&lt;&gt;"OR+EX",--(DATOS!$G19169=CONFIG_METADATA!$B$4),IF(DATOS!$G19169="EX",1,IF(DATOS!$G19169="OR",--(COUNTIFS(nNIA,DATOS!$A19169,nCURSO,DATOS!$D19169,nESPEC,DATOS!$E19169,nASIG,DATOS!$I19169,nEVAL,"EX")=0),0))))</f>
      </c>
      <c r="H19169">
        <f>IF(DATOS!$G19169&lt;&gt;"EX",0,--(COUNTIFS(nNIA,DATOS!$A19169,nCURSO,DATOS!$D19169,nESPEC,DATOS!$E19169,nASIG,DATOS!$I19169,nEVAL,"OR")=0))</f>
      </c>
      <c r="I19169">
        <f>IF(DATOS!$I19169="","",IFERROR(VLOOKUP(DATOS!$I19169,CONFIG_ASIGNATURAS!$B$2:$J$91,9,FALSE()),""))</f>
      </c>
    </row>
    <row r="19170">
      <c r="F19170">
        <f>IF(DATOS!$A19170="","",DATOS!$A19170&amp;"|"&amp;DATOS!$D19170&amp;"|"&amp;DATOS!$E19170&amp;"|"&amp;DATOS!$I19170)</f>
      </c>
      <c r="G19170">
        <f>IF(DATOS!$A19170="",0,IF(CONFIG_METADATA!$B$4&lt;&gt;"OR+EX",--(DATOS!$G19170=CONFIG_METADATA!$B$4),IF(DATOS!$G19170="EX",1,IF(DATOS!$G19170="OR",--(COUNTIFS(nNIA,DATOS!$A19170,nCURSO,DATOS!$D19170,nESPEC,DATOS!$E19170,nASIG,DATOS!$I19170,nEVAL,"EX")=0),0))))</f>
      </c>
      <c r="H19170">
        <f>IF(DATOS!$G19170&lt;&gt;"EX",0,--(COUNTIFS(nNIA,DATOS!$A19170,nCURSO,DATOS!$D19170,nESPEC,DATOS!$E19170,nASIG,DATOS!$I19170,nEVAL,"OR")=0))</f>
      </c>
      <c r="I19170">
        <f>IF(DATOS!$I19170="","",IFERROR(VLOOKUP(DATOS!$I19170,CONFIG_ASIGNATURAS!$B$2:$J$91,9,FALSE()),""))</f>
      </c>
    </row>
    <row r="19171">
      <c r="F19171">
        <f>IF(DATOS!$A19171="","",DATOS!$A19171&amp;"|"&amp;DATOS!$D19171&amp;"|"&amp;DATOS!$E19171&amp;"|"&amp;DATOS!$I19171)</f>
      </c>
      <c r="G19171">
        <f>IF(DATOS!$A19171="",0,IF(CONFIG_METADATA!$B$4&lt;&gt;"OR+EX",--(DATOS!$G19171=CONFIG_METADATA!$B$4),IF(DATOS!$G19171="EX",1,IF(DATOS!$G19171="OR",--(COUNTIFS(nNIA,DATOS!$A19171,nCURSO,DATOS!$D19171,nESPEC,DATOS!$E19171,nASIG,DATOS!$I19171,nEVAL,"EX")=0),0))))</f>
      </c>
      <c r="H19171">
        <f>IF(DATOS!$G19171&lt;&gt;"EX",0,--(COUNTIFS(nNIA,DATOS!$A19171,nCURSO,DATOS!$D19171,nESPEC,DATOS!$E19171,nASIG,DATOS!$I19171,nEVAL,"OR")=0))</f>
      </c>
      <c r="I19171">
        <f>IF(DATOS!$I19171="","",IFERROR(VLOOKUP(DATOS!$I19171,CONFIG_ASIGNATURAS!$B$2:$J$91,9,FALSE()),""))</f>
      </c>
    </row>
    <row r="19172">
      <c r="F19172">
        <f>IF(DATOS!$A19172="","",DATOS!$A19172&amp;"|"&amp;DATOS!$D19172&amp;"|"&amp;DATOS!$E19172&amp;"|"&amp;DATOS!$I19172)</f>
      </c>
      <c r="G19172">
        <f>IF(DATOS!$A19172="",0,IF(CONFIG_METADATA!$B$4&lt;&gt;"OR+EX",--(DATOS!$G19172=CONFIG_METADATA!$B$4),IF(DATOS!$G19172="EX",1,IF(DATOS!$G19172="OR",--(COUNTIFS(nNIA,DATOS!$A19172,nCURSO,DATOS!$D19172,nESPEC,DATOS!$E19172,nASIG,DATOS!$I19172,nEVAL,"EX")=0),0))))</f>
      </c>
      <c r="H19172">
        <f>IF(DATOS!$G19172&lt;&gt;"EX",0,--(COUNTIFS(nNIA,DATOS!$A19172,nCURSO,DATOS!$D19172,nESPEC,DATOS!$E19172,nASIG,DATOS!$I19172,nEVAL,"OR")=0))</f>
      </c>
      <c r="I19172">
        <f>IF(DATOS!$I19172="","",IFERROR(VLOOKUP(DATOS!$I19172,CONFIG_ASIGNATURAS!$B$2:$J$91,9,FALSE()),""))</f>
      </c>
    </row>
    <row r="19173">
      <c r="F19173">
        <f>IF(DATOS!$A19173="","",DATOS!$A19173&amp;"|"&amp;DATOS!$D19173&amp;"|"&amp;DATOS!$E19173&amp;"|"&amp;DATOS!$I19173)</f>
      </c>
      <c r="G19173">
        <f>IF(DATOS!$A19173="",0,IF(CONFIG_METADATA!$B$4&lt;&gt;"OR+EX",--(DATOS!$G19173=CONFIG_METADATA!$B$4),IF(DATOS!$G19173="EX",1,IF(DATOS!$G19173="OR",--(COUNTIFS(nNIA,DATOS!$A19173,nCURSO,DATOS!$D19173,nESPEC,DATOS!$E19173,nASIG,DATOS!$I19173,nEVAL,"EX")=0),0))))</f>
      </c>
      <c r="H19173">
        <f>IF(DATOS!$G19173&lt;&gt;"EX",0,--(COUNTIFS(nNIA,DATOS!$A19173,nCURSO,DATOS!$D19173,nESPEC,DATOS!$E19173,nASIG,DATOS!$I19173,nEVAL,"OR")=0))</f>
      </c>
      <c r="I19173">
        <f>IF(DATOS!$I19173="","",IFERROR(VLOOKUP(DATOS!$I19173,CONFIG_ASIGNATURAS!$B$2:$J$91,9,FALSE()),""))</f>
      </c>
    </row>
    <row r="19174">
      <c r="F19174">
        <f>IF(DATOS!$A19174="","",DATOS!$A19174&amp;"|"&amp;DATOS!$D19174&amp;"|"&amp;DATOS!$E19174&amp;"|"&amp;DATOS!$I19174)</f>
      </c>
      <c r="G19174">
        <f>IF(DATOS!$A19174="",0,IF(CONFIG_METADATA!$B$4&lt;&gt;"OR+EX",--(DATOS!$G19174=CONFIG_METADATA!$B$4),IF(DATOS!$G19174="EX",1,IF(DATOS!$G19174="OR",--(COUNTIFS(nNIA,DATOS!$A19174,nCURSO,DATOS!$D19174,nESPEC,DATOS!$E19174,nASIG,DATOS!$I19174,nEVAL,"EX")=0),0))))</f>
      </c>
      <c r="H19174">
        <f>IF(DATOS!$G19174&lt;&gt;"EX",0,--(COUNTIFS(nNIA,DATOS!$A19174,nCURSO,DATOS!$D19174,nESPEC,DATOS!$E19174,nASIG,DATOS!$I19174,nEVAL,"OR")=0))</f>
      </c>
      <c r="I19174">
        <f>IF(DATOS!$I19174="","",IFERROR(VLOOKUP(DATOS!$I19174,CONFIG_ASIGNATURAS!$B$2:$J$91,9,FALSE()),""))</f>
      </c>
    </row>
    <row r="19175">
      <c r="F19175">
        <f>IF(DATOS!$A19175="","",DATOS!$A19175&amp;"|"&amp;DATOS!$D19175&amp;"|"&amp;DATOS!$E19175&amp;"|"&amp;DATOS!$I19175)</f>
      </c>
      <c r="G19175">
        <f>IF(DATOS!$A19175="",0,IF(CONFIG_METADATA!$B$4&lt;&gt;"OR+EX",--(DATOS!$G19175=CONFIG_METADATA!$B$4),IF(DATOS!$G19175="EX",1,IF(DATOS!$G19175="OR",--(COUNTIFS(nNIA,DATOS!$A19175,nCURSO,DATOS!$D19175,nESPEC,DATOS!$E19175,nASIG,DATOS!$I19175,nEVAL,"EX")=0),0))))</f>
      </c>
      <c r="H19175">
        <f>IF(DATOS!$G19175&lt;&gt;"EX",0,--(COUNTIFS(nNIA,DATOS!$A19175,nCURSO,DATOS!$D19175,nESPEC,DATOS!$E19175,nASIG,DATOS!$I19175,nEVAL,"OR")=0))</f>
      </c>
      <c r="I19175">
        <f>IF(DATOS!$I19175="","",IFERROR(VLOOKUP(DATOS!$I19175,CONFIG_ASIGNATURAS!$B$2:$J$91,9,FALSE()),""))</f>
      </c>
    </row>
    <row r="19176">
      <c r="F19176">
        <f>IF(DATOS!$A19176="","",DATOS!$A19176&amp;"|"&amp;DATOS!$D19176&amp;"|"&amp;DATOS!$E19176&amp;"|"&amp;DATOS!$I19176)</f>
      </c>
      <c r="G19176">
        <f>IF(DATOS!$A19176="",0,IF(CONFIG_METADATA!$B$4&lt;&gt;"OR+EX",--(DATOS!$G19176=CONFIG_METADATA!$B$4),IF(DATOS!$G19176="EX",1,IF(DATOS!$G19176="OR",--(COUNTIFS(nNIA,DATOS!$A19176,nCURSO,DATOS!$D19176,nESPEC,DATOS!$E19176,nASIG,DATOS!$I19176,nEVAL,"EX")=0),0))))</f>
      </c>
      <c r="H19176">
        <f>IF(DATOS!$G19176&lt;&gt;"EX",0,--(COUNTIFS(nNIA,DATOS!$A19176,nCURSO,DATOS!$D19176,nESPEC,DATOS!$E19176,nASIG,DATOS!$I19176,nEVAL,"OR")=0))</f>
      </c>
      <c r="I19176">
        <f>IF(DATOS!$I19176="","",IFERROR(VLOOKUP(DATOS!$I19176,CONFIG_ASIGNATURAS!$B$2:$J$91,9,FALSE()),""))</f>
      </c>
    </row>
    <row r="19177">
      <c r="F19177">
        <f>IF(DATOS!$A19177="","",DATOS!$A19177&amp;"|"&amp;DATOS!$D19177&amp;"|"&amp;DATOS!$E19177&amp;"|"&amp;DATOS!$I19177)</f>
      </c>
      <c r="G19177">
        <f>IF(DATOS!$A19177="",0,IF(CONFIG_METADATA!$B$4&lt;&gt;"OR+EX",--(DATOS!$G19177=CONFIG_METADATA!$B$4),IF(DATOS!$G19177="EX",1,IF(DATOS!$G19177="OR",--(COUNTIFS(nNIA,DATOS!$A19177,nCURSO,DATOS!$D19177,nESPEC,DATOS!$E19177,nASIG,DATOS!$I19177,nEVAL,"EX")=0),0))))</f>
      </c>
      <c r="H19177">
        <f>IF(DATOS!$G19177&lt;&gt;"EX",0,--(COUNTIFS(nNIA,DATOS!$A19177,nCURSO,DATOS!$D19177,nESPEC,DATOS!$E19177,nASIG,DATOS!$I19177,nEVAL,"OR")=0))</f>
      </c>
      <c r="I19177">
        <f>IF(DATOS!$I19177="","",IFERROR(VLOOKUP(DATOS!$I19177,CONFIG_ASIGNATURAS!$B$2:$J$91,9,FALSE()),""))</f>
      </c>
    </row>
    <row r="19178">
      <c r="F19178">
        <f>IF(DATOS!$A19178="","",DATOS!$A19178&amp;"|"&amp;DATOS!$D19178&amp;"|"&amp;DATOS!$E19178&amp;"|"&amp;DATOS!$I19178)</f>
      </c>
      <c r="G19178">
        <f>IF(DATOS!$A19178="",0,IF(CONFIG_METADATA!$B$4&lt;&gt;"OR+EX",--(DATOS!$G19178=CONFIG_METADATA!$B$4),IF(DATOS!$G19178="EX",1,IF(DATOS!$G19178="OR",--(COUNTIFS(nNIA,DATOS!$A19178,nCURSO,DATOS!$D19178,nESPEC,DATOS!$E19178,nASIG,DATOS!$I19178,nEVAL,"EX")=0),0))))</f>
      </c>
      <c r="H19178">
        <f>IF(DATOS!$G19178&lt;&gt;"EX",0,--(COUNTIFS(nNIA,DATOS!$A19178,nCURSO,DATOS!$D19178,nESPEC,DATOS!$E19178,nASIG,DATOS!$I19178,nEVAL,"OR")=0))</f>
      </c>
      <c r="I19178">
        <f>IF(DATOS!$I19178="","",IFERROR(VLOOKUP(DATOS!$I19178,CONFIG_ASIGNATURAS!$B$2:$J$91,9,FALSE()),""))</f>
      </c>
    </row>
    <row r="19179">
      <c r="F19179">
        <f>IF(DATOS!$A19179="","",DATOS!$A19179&amp;"|"&amp;DATOS!$D19179&amp;"|"&amp;DATOS!$E19179&amp;"|"&amp;DATOS!$I19179)</f>
      </c>
      <c r="G19179">
        <f>IF(DATOS!$A19179="",0,IF(CONFIG_METADATA!$B$4&lt;&gt;"OR+EX",--(DATOS!$G19179=CONFIG_METADATA!$B$4),IF(DATOS!$G19179="EX",1,IF(DATOS!$G19179="OR",--(COUNTIFS(nNIA,DATOS!$A19179,nCURSO,DATOS!$D19179,nESPEC,DATOS!$E19179,nASIG,DATOS!$I19179,nEVAL,"EX")=0),0))))</f>
      </c>
      <c r="H19179">
        <f>IF(DATOS!$G19179&lt;&gt;"EX",0,--(COUNTIFS(nNIA,DATOS!$A19179,nCURSO,DATOS!$D19179,nESPEC,DATOS!$E19179,nASIG,DATOS!$I19179,nEVAL,"OR")=0))</f>
      </c>
      <c r="I19179">
        <f>IF(DATOS!$I19179="","",IFERROR(VLOOKUP(DATOS!$I19179,CONFIG_ASIGNATURAS!$B$2:$J$91,9,FALSE()),""))</f>
      </c>
    </row>
    <row r="19180">
      <c r="F19180">
        <f>IF(DATOS!$A19180="","",DATOS!$A19180&amp;"|"&amp;DATOS!$D19180&amp;"|"&amp;DATOS!$E19180&amp;"|"&amp;DATOS!$I19180)</f>
      </c>
      <c r="G19180">
        <f>IF(DATOS!$A19180="",0,IF(CONFIG_METADATA!$B$4&lt;&gt;"OR+EX",--(DATOS!$G19180=CONFIG_METADATA!$B$4),IF(DATOS!$G19180="EX",1,IF(DATOS!$G19180="OR",--(COUNTIFS(nNIA,DATOS!$A19180,nCURSO,DATOS!$D19180,nESPEC,DATOS!$E19180,nASIG,DATOS!$I19180,nEVAL,"EX")=0),0))))</f>
      </c>
      <c r="H19180">
        <f>IF(DATOS!$G19180&lt;&gt;"EX",0,--(COUNTIFS(nNIA,DATOS!$A19180,nCURSO,DATOS!$D19180,nESPEC,DATOS!$E19180,nASIG,DATOS!$I19180,nEVAL,"OR")=0))</f>
      </c>
      <c r="I19180">
        <f>IF(DATOS!$I19180="","",IFERROR(VLOOKUP(DATOS!$I19180,CONFIG_ASIGNATURAS!$B$2:$J$91,9,FALSE()),""))</f>
      </c>
    </row>
    <row r="19181">
      <c r="F19181">
        <f>IF(DATOS!$A19181="","",DATOS!$A19181&amp;"|"&amp;DATOS!$D19181&amp;"|"&amp;DATOS!$E19181&amp;"|"&amp;DATOS!$I19181)</f>
      </c>
      <c r="G19181">
        <f>IF(DATOS!$A19181="",0,IF(CONFIG_METADATA!$B$4&lt;&gt;"OR+EX",--(DATOS!$G19181=CONFIG_METADATA!$B$4),IF(DATOS!$G19181="EX",1,IF(DATOS!$G19181="OR",--(COUNTIFS(nNIA,DATOS!$A19181,nCURSO,DATOS!$D19181,nESPEC,DATOS!$E19181,nASIG,DATOS!$I19181,nEVAL,"EX")=0),0))))</f>
      </c>
      <c r="H19181">
        <f>IF(DATOS!$G19181&lt;&gt;"EX",0,--(COUNTIFS(nNIA,DATOS!$A19181,nCURSO,DATOS!$D19181,nESPEC,DATOS!$E19181,nASIG,DATOS!$I19181,nEVAL,"OR")=0))</f>
      </c>
      <c r="I19181">
        <f>IF(DATOS!$I19181="","",IFERROR(VLOOKUP(DATOS!$I19181,CONFIG_ASIGNATURAS!$B$2:$J$91,9,FALSE()),""))</f>
      </c>
    </row>
    <row r="19182">
      <c r="F19182">
        <f>IF(DATOS!$A19182="","",DATOS!$A19182&amp;"|"&amp;DATOS!$D19182&amp;"|"&amp;DATOS!$E19182&amp;"|"&amp;DATOS!$I19182)</f>
      </c>
      <c r="G19182">
        <f>IF(DATOS!$A19182="",0,IF(CONFIG_METADATA!$B$4&lt;&gt;"OR+EX",--(DATOS!$G19182=CONFIG_METADATA!$B$4),IF(DATOS!$G19182="EX",1,IF(DATOS!$G19182="OR",--(COUNTIFS(nNIA,DATOS!$A19182,nCURSO,DATOS!$D19182,nESPEC,DATOS!$E19182,nASIG,DATOS!$I19182,nEVAL,"EX")=0),0))))</f>
      </c>
      <c r="H19182">
        <f>IF(DATOS!$G19182&lt;&gt;"EX",0,--(COUNTIFS(nNIA,DATOS!$A19182,nCURSO,DATOS!$D19182,nESPEC,DATOS!$E19182,nASIG,DATOS!$I19182,nEVAL,"OR")=0))</f>
      </c>
      <c r="I19182">
        <f>IF(DATOS!$I19182="","",IFERROR(VLOOKUP(DATOS!$I19182,CONFIG_ASIGNATURAS!$B$2:$J$91,9,FALSE()),""))</f>
      </c>
    </row>
    <row r="19183">
      <c r="F19183">
        <f>IF(DATOS!$A19183="","",DATOS!$A19183&amp;"|"&amp;DATOS!$D19183&amp;"|"&amp;DATOS!$E19183&amp;"|"&amp;DATOS!$I19183)</f>
      </c>
      <c r="G19183">
        <f>IF(DATOS!$A19183="",0,IF(CONFIG_METADATA!$B$4&lt;&gt;"OR+EX",--(DATOS!$G19183=CONFIG_METADATA!$B$4),IF(DATOS!$G19183="EX",1,IF(DATOS!$G19183="OR",--(COUNTIFS(nNIA,DATOS!$A19183,nCURSO,DATOS!$D19183,nESPEC,DATOS!$E19183,nASIG,DATOS!$I19183,nEVAL,"EX")=0),0))))</f>
      </c>
      <c r="H19183">
        <f>IF(DATOS!$G19183&lt;&gt;"EX",0,--(COUNTIFS(nNIA,DATOS!$A19183,nCURSO,DATOS!$D19183,nESPEC,DATOS!$E19183,nASIG,DATOS!$I19183,nEVAL,"OR")=0))</f>
      </c>
      <c r="I19183">
        <f>IF(DATOS!$I19183="","",IFERROR(VLOOKUP(DATOS!$I19183,CONFIG_ASIGNATURAS!$B$2:$J$91,9,FALSE()),""))</f>
      </c>
    </row>
    <row r="19184">
      <c r="F19184">
        <f>IF(DATOS!$A19184="","",DATOS!$A19184&amp;"|"&amp;DATOS!$D19184&amp;"|"&amp;DATOS!$E19184&amp;"|"&amp;DATOS!$I19184)</f>
      </c>
      <c r="G19184">
        <f>IF(DATOS!$A19184="",0,IF(CONFIG_METADATA!$B$4&lt;&gt;"OR+EX",--(DATOS!$G19184=CONFIG_METADATA!$B$4),IF(DATOS!$G19184="EX",1,IF(DATOS!$G19184="OR",--(COUNTIFS(nNIA,DATOS!$A19184,nCURSO,DATOS!$D19184,nESPEC,DATOS!$E19184,nASIG,DATOS!$I19184,nEVAL,"EX")=0),0))))</f>
      </c>
      <c r="H19184">
        <f>IF(DATOS!$G19184&lt;&gt;"EX",0,--(COUNTIFS(nNIA,DATOS!$A19184,nCURSO,DATOS!$D19184,nESPEC,DATOS!$E19184,nASIG,DATOS!$I19184,nEVAL,"OR")=0))</f>
      </c>
      <c r="I19184">
        <f>IF(DATOS!$I19184="","",IFERROR(VLOOKUP(DATOS!$I19184,CONFIG_ASIGNATURAS!$B$2:$J$91,9,FALSE()),""))</f>
      </c>
    </row>
    <row r="19185">
      <c r="F19185">
        <f>IF(DATOS!$A19185="","",DATOS!$A19185&amp;"|"&amp;DATOS!$D19185&amp;"|"&amp;DATOS!$E19185&amp;"|"&amp;DATOS!$I19185)</f>
      </c>
      <c r="G19185">
        <f>IF(DATOS!$A19185="",0,IF(CONFIG_METADATA!$B$4&lt;&gt;"OR+EX",--(DATOS!$G19185=CONFIG_METADATA!$B$4),IF(DATOS!$G19185="EX",1,IF(DATOS!$G19185="OR",--(COUNTIFS(nNIA,DATOS!$A19185,nCURSO,DATOS!$D19185,nESPEC,DATOS!$E19185,nASIG,DATOS!$I19185,nEVAL,"EX")=0),0))))</f>
      </c>
      <c r="H19185">
        <f>IF(DATOS!$G19185&lt;&gt;"EX",0,--(COUNTIFS(nNIA,DATOS!$A19185,nCURSO,DATOS!$D19185,nESPEC,DATOS!$E19185,nASIG,DATOS!$I19185,nEVAL,"OR")=0))</f>
      </c>
      <c r="I19185">
        <f>IF(DATOS!$I19185="","",IFERROR(VLOOKUP(DATOS!$I19185,CONFIG_ASIGNATURAS!$B$2:$J$91,9,FALSE()),""))</f>
      </c>
    </row>
    <row r="19186">
      <c r="F19186">
        <f>IF(DATOS!$A19186="","",DATOS!$A19186&amp;"|"&amp;DATOS!$D19186&amp;"|"&amp;DATOS!$E19186&amp;"|"&amp;DATOS!$I19186)</f>
      </c>
      <c r="G19186">
        <f>IF(DATOS!$A19186="",0,IF(CONFIG_METADATA!$B$4&lt;&gt;"OR+EX",--(DATOS!$G19186=CONFIG_METADATA!$B$4),IF(DATOS!$G19186="EX",1,IF(DATOS!$G19186="OR",--(COUNTIFS(nNIA,DATOS!$A19186,nCURSO,DATOS!$D19186,nESPEC,DATOS!$E19186,nASIG,DATOS!$I19186,nEVAL,"EX")=0),0))))</f>
      </c>
      <c r="H19186">
        <f>IF(DATOS!$G19186&lt;&gt;"EX",0,--(COUNTIFS(nNIA,DATOS!$A19186,nCURSO,DATOS!$D19186,nESPEC,DATOS!$E19186,nASIG,DATOS!$I19186,nEVAL,"OR")=0))</f>
      </c>
      <c r="I19186">
        <f>IF(DATOS!$I19186="","",IFERROR(VLOOKUP(DATOS!$I19186,CONFIG_ASIGNATURAS!$B$2:$J$91,9,FALSE()),""))</f>
      </c>
    </row>
    <row r="19187">
      <c r="F19187">
        <f>IF(DATOS!$A19187="","",DATOS!$A19187&amp;"|"&amp;DATOS!$D19187&amp;"|"&amp;DATOS!$E19187&amp;"|"&amp;DATOS!$I19187)</f>
      </c>
      <c r="G19187">
        <f>IF(DATOS!$A19187="",0,IF(CONFIG_METADATA!$B$4&lt;&gt;"OR+EX",--(DATOS!$G19187=CONFIG_METADATA!$B$4),IF(DATOS!$G19187="EX",1,IF(DATOS!$G19187="OR",--(COUNTIFS(nNIA,DATOS!$A19187,nCURSO,DATOS!$D19187,nESPEC,DATOS!$E19187,nASIG,DATOS!$I19187,nEVAL,"EX")=0),0))))</f>
      </c>
      <c r="H19187">
        <f>IF(DATOS!$G19187&lt;&gt;"EX",0,--(COUNTIFS(nNIA,DATOS!$A19187,nCURSO,DATOS!$D19187,nESPEC,DATOS!$E19187,nASIG,DATOS!$I19187,nEVAL,"OR")=0))</f>
      </c>
      <c r="I19187">
        <f>IF(DATOS!$I19187="","",IFERROR(VLOOKUP(DATOS!$I19187,CONFIG_ASIGNATURAS!$B$2:$J$91,9,FALSE()),""))</f>
      </c>
    </row>
    <row r="19188">
      <c r="F19188">
        <f>IF(DATOS!$A19188="","",DATOS!$A19188&amp;"|"&amp;DATOS!$D19188&amp;"|"&amp;DATOS!$E19188&amp;"|"&amp;DATOS!$I19188)</f>
      </c>
      <c r="G19188">
        <f>IF(DATOS!$A19188="",0,IF(CONFIG_METADATA!$B$4&lt;&gt;"OR+EX",--(DATOS!$G19188=CONFIG_METADATA!$B$4),IF(DATOS!$G19188="EX",1,IF(DATOS!$G19188="OR",--(COUNTIFS(nNIA,DATOS!$A19188,nCURSO,DATOS!$D19188,nESPEC,DATOS!$E19188,nASIG,DATOS!$I19188,nEVAL,"EX")=0),0))))</f>
      </c>
      <c r="H19188">
        <f>IF(DATOS!$G19188&lt;&gt;"EX",0,--(COUNTIFS(nNIA,DATOS!$A19188,nCURSO,DATOS!$D19188,nESPEC,DATOS!$E19188,nASIG,DATOS!$I19188,nEVAL,"OR")=0))</f>
      </c>
      <c r="I19188">
        <f>IF(DATOS!$I19188="","",IFERROR(VLOOKUP(DATOS!$I19188,CONFIG_ASIGNATURAS!$B$2:$J$91,9,FALSE()),""))</f>
      </c>
    </row>
    <row r="19189">
      <c r="F19189">
        <f>IF(DATOS!$A19189="","",DATOS!$A19189&amp;"|"&amp;DATOS!$D19189&amp;"|"&amp;DATOS!$E19189&amp;"|"&amp;DATOS!$I19189)</f>
      </c>
      <c r="G19189">
        <f>IF(DATOS!$A19189="",0,IF(CONFIG_METADATA!$B$4&lt;&gt;"OR+EX",--(DATOS!$G19189=CONFIG_METADATA!$B$4),IF(DATOS!$G19189="EX",1,IF(DATOS!$G19189="OR",--(COUNTIFS(nNIA,DATOS!$A19189,nCURSO,DATOS!$D19189,nESPEC,DATOS!$E19189,nASIG,DATOS!$I19189,nEVAL,"EX")=0),0))))</f>
      </c>
      <c r="H19189">
        <f>IF(DATOS!$G19189&lt;&gt;"EX",0,--(COUNTIFS(nNIA,DATOS!$A19189,nCURSO,DATOS!$D19189,nESPEC,DATOS!$E19189,nASIG,DATOS!$I19189,nEVAL,"OR")=0))</f>
      </c>
      <c r="I19189">
        <f>IF(DATOS!$I19189="","",IFERROR(VLOOKUP(DATOS!$I19189,CONFIG_ASIGNATURAS!$B$2:$J$91,9,FALSE()),""))</f>
      </c>
    </row>
    <row r="19190">
      <c r="F19190">
        <f>IF(DATOS!$A19190="","",DATOS!$A19190&amp;"|"&amp;DATOS!$D19190&amp;"|"&amp;DATOS!$E19190&amp;"|"&amp;DATOS!$I19190)</f>
      </c>
      <c r="G19190">
        <f>IF(DATOS!$A19190="",0,IF(CONFIG_METADATA!$B$4&lt;&gt;"OR+EX",--(DATOS!$G19190=CONFIG_METADATA!$B$4),IF(DATOS!$G19190="EX",1,IF(DATOS!$G19190="OR",--(COUNTIFS(nNIA,DATOS!$A19190,nCURSO,DATOS!$D19190,nESPEC,DATOS!$E19190,nASIG,DATOS!$I19190,nEVAL,"EX")=0),0))))</f>
      </c>
      <c r="H19190">
        <f>IF(DATOS!$G19190&lt;&gt;"EX",0,--(COUNTIFS(nNIA,DATOS!$A19190,nCURSO,DATOS!$D19190,nESPEC,DATOS!$E19190,nASIG,DATOS!$I19190,nEVAL,"OR")=0))</f>
      </c>
      <c r="I19190">
        <f>IF(DATOS!$I19190="","",IFERROR(VLOOKUP(DATOS!$I19190,CONFIG_ASIGNATURAS!$B$2:$J$91,9,FALSE()),""))</f>
      </c>
    </row>
    <row r="19191">
      <c r="F19191">
        <f>IF(DATOS!$A19191="","",DATOS!$A19191&amp;"|"&amp;DATOS!$D19191&amp;"|"&amp;DATOS!$E19191&amp;"|"&amp;DATOS!$I19191)</f>
      </c>
      <c r="G19191">
        <f>IF(DATOS!$A19191="",0,IF(CONFIG_METADATA!$B$4&lt;&gt;"OR+EX",--(DATOS!$G19191=CONFIG_METADATA!$B$4),IF(DATOS!$G19191="EX",1,IF(DATOS!$G19191="OR",--(COUNTIFS(nNIA,DATOS!$A19191,nCURSO,DATOS!$D19191,nESPEC,DATOS!$E19191,nASIG,DATOS!$I19191,nEVAL,"EX")=0),0))))</f>
      </c>
      <c r="H19191">
        <f>IF(DATOS!$G19191&lt;&gt;"EX",0,--(COUNTIFS(nNIA,DATOS!$A19191,nCURSO,DATOS!$D19191,nESPEC,DATOS!$E19191,nASIG,DATOS!$I19191,nEVAL,"OR")=0))</f>
      </c>
      <c r="I19191">
        <f>IF(DATOS!$I19191="","",IFERROR(VLOOKUP(DATOS!$I19191,CONFIG_ASIGNATURAS!$B$2:$J$91,9,FALSE()),""))</f>
      </c>
    </row>
    <row r="19192">
      <c r="F19192">
        <f>IF(DATOS!$A19192="","",DATOS!$A19192&amp;"|"&amp;DATOS!$D19192&amp;"|"&amp;DATOS!$E19192&amp;"|"&amp;DATOS!$I19192)</f>
      </c>
      <c r="G19192">
        <f>IF(DATOS!$A19192="",0,IF(CONFIG_METADATA!$B$4&lt;&gt;"OR+EX",--(DATOS!$G19192=CONFIG_METADATA!$B$4),IF(DATOS!$G19192="EX",1,IF(DATOS!$G19192="OR",--(COUNTIFS(nNIA,DATOS!$A19192,nCURSO,DATOS!$D19192,nESPEC,DATOS!$E19192,nASIG,DATOS!$I19192,nEVAL,"EX")=0),0))))</f>
      </c>
      <c r="H19192">
        <f>IF(DATOS!$G19192&lt;&gt;"EX",0,--(COUNTIFS(nNIA,DATOS!$A19192,nCURSO,DATOS!$D19192,nESPEC,DATOS!$E19192,nASIG,DATOS!$I19192,nEVAL,"OR")=0))</f>
      </c>
      <c r="I19192">
        <f>IF(DATOS!$I19192="","",IFERROR(VLOOKUP(DATOS!$I19192,CONFIG_ASIGNATURAS!$B$2:$J$91,9,FALSE()),""))</f>
      </c>
    </row>
    <row r="19193">
      <c r="F19193">
        <f>IF(DATOS!$A19193="","",DATOS!$A19193&amp;"|"&amp;DATOS!$D19193&amp;"|"&amp;DATOS!$E19193&amp;"|"&amp;DATOS!$I19193)</f>
      </c>
      <c r="G19193">
        <f>IF(DATOS!$A19193="",0,IF(CONFIG_METADATA!$B$4&lt;&gt;"OR+EX",--(DATOS!$G19193=CONFIG_METADATA!$B$4),IF(DATOS!$G19193="EX",1,IF(DATOS!$G19193="OR",--(COUNTIFS(nNIA,DATOS!$A19193,nCURSO,DATOS!$D19193,nESPEC,DATOS!$E19193,nASIG,DATOS!$I19193,nEVAL,"EX")=0),0))))</f>
      </c>
      <c r="H19193">
        <f>IF(DATOS!$G19193&lt;&gt;"EX",0,--(COUNTIFS(nNIA,DATOS!$A19193,nCURSO,DATOS!$D19193,nESPEC,DATOS!$E19193,nASIG,DATOS!$I19193,nEVAL,"OR")=0))</f>
      </c>
      <c r="I19193">
        <f>IF(DATOS!$I19193="","",IFERROR(VLOOKUP(DATOS!$I19193,CONFIG_ASIGNATURAS!$B$2:$J$91,9,FALSE()),""))</f>
      </c>
    </row>
    <row r="19194">
      <c r="F19194">
        <f>IF(DATOS!$A19194="","",DATOS!$A19194&amp;"|"&amp;DATOS!$D19194&amp;"|"&amp;DATOS!$E19194&amp;"|"&amp;DATOS!$I19194)</f>
      </c>
      <c r="G19194">
        <f>IF(DATOS!$A19194="",0,IF(CONFIG_METADATA!$B$4&lt;&gt;"OR+EX",--(DATOS!$G19194=CONFIG_METADATA!$B$4),IF(DATOS!$G19194="EX",1,IF(DATOS!$G19194="OR",--(COUNTIFS(nNIA,DATOS!$A19194,nCURSO,DATOS!$D19194,nESPEC,DATOS!$E19194,nASIG,DATOS!$I19194,nEVAL,"EX")=0),0))))</f>
      </c>
      <c r="H19194">
        <f>IF(DATOS!$G19194&lt;&gt;"EX",0,--(COUNTIFS(nNIA,DATOS!$A19194,nCURSO,DATOS!$D19194,nESPEC,DATOS!$E19194,nASIG,DATOS!$I19194,nEVAL,"OR")=0))</f>
      </c>
      <c r="I19194">
        <f>IF(DATOS!$I19194="","",IFERROR(VLOOKUP(DATOS!$I19194,CONFIG_ASIGNATURAS!$B$2:$J$91,9,FALSE()),""))</f>
      </c>
    </row>
    <row r="19195">
      <c r="F19195">
        <f>IF(DATOS!$A19195="","",DATOS!$A19195&amp;"|"&amp;DATOS!$D19195&amp;"|"&amp;DATOS!$E19195&amp;"|"&amp;DATOS!$I19195)</f>
      </c>
      <c r="G19195">
        <f>IF(DATOS!$A19195="",0,IF(CONFIG_METADATA!$B$4&lt;&gt;"OR+EX",--(DATOS!$G19195=CONFIG_METADATA!$B$4),IF(DATOS!$G19195="EX",1,IF(DATOS!$G19195="OR",--(COUNTIFS(nNIA,DATOS!$A19195,nCURSO,DATOS!$D19195,nESPEC,DATOS!$E19195,nASIG,DATOS!$I19195,nEVAL,"EX")=0),0))))</f>
      </c>
      <c r="H19195">
        <f>IF(DATOS!$G19195&lt;&gt;"EX",0,--(COUNTIFS(nNIA,DATOS!$A19195,nCURSO,DATOS!$D19195,nESPEC,DATOS!$E19195,nASIG,DATOS!$I19195,nEVAL,"OR")=0))</f>
      </c>
      <c r="I19195">
        <f>IF(DATOS!$I19195="","",IFERROR(VLOOKUP(DATOS!$I19195,CONFIG_ASIGNATURAS!$B$2:$J$91,9,FALSE()),""))</f>
      </c>
    </row>
    <row r="19196">
      <c r="F19196">
        <f>IF(DATOS!$A19196="","",DATOS!$A19196&amp;"|"&amp;DATOS!$D19196&amp;"|"&amp;DATOS!$E19196&amp;"|"&amp;DATOS!$I19196)</f>
      </c>
      <c r="G19196">
        <f>IF(DATOS!$A19196="",0,IF(CONFIG_METADATA!$B$4&lt;&gt;"OR+EX",--(DATOS!$G19196=CONFIG_METADATA!$B$4),IF(DATOS!$G19196="EX",1,IF(DATOS!$G19196="OR",--(COUNTIFS(nNIA,DATOS!$A19196,nCURSO,DATOS!$D19196,nESPEC,DATOS!$E19196,nASIG,DATOS!$I19196,nEVAL,"EX")=0),0))))</f>
      </c>
      <c r="H19196">
        <f>IF(DATOS!$G19196&lt;&gt;"EX",0,--(COUNTIFS(nNIA,DATOS!$A19196,nCURSO,DATOS!$D19196,nESPEC,DATOS!$E19196,nASIG,DATOS!$I19196,nEVAL,"OR")=0))</f>
      </c>
      <c r="I19196">
        <f>IF(DATOS!$I19196="","",IFERROR(VLOOKUP(DATOS!$I19196,CONFIG_ASIGNATURAS!$B$2:$J$91,9,FALSE()),""))</f>
      </c>
    </row>
    <row r="19197">
      <c r="F19197">
        <f>IF(DATOS!$A19197="","",DATOS!$A19197&amp;"|"&amp;DATOS!$D19197&amp;"|"&amp;DATOS!$E19197&amp;"|"&amp;DATOS!$I19197)</f>
      </c>
      <c r="G19197">
        <f>IF(DATOS!$A19197="",0,IF(CONFIG_METADATA!$B$4&lt;&gt;"OR+EX",--(DATOS!$G19197=CONFIG_METADATA!$B$4),IF(DATOS!$G19197="EX",1,IF(DATOS!$G19197="OR",--(COUNTIFS(nNIA,DATOS!$A19197,nCURSO,DATOS!$D19197,nESPEC,DATOS!$E19197,nASIG,DATOS!$I19197,nEVAL,"EX")=0),0))))</f>
      </c>
      <c r="H19197">
        <f>IF(DATOS!$G19197&lt;&gt;"EX",0,--(COUNTIFS(nNIA,DATOS!$A19197,nCURSO,DATOS!$D19197,nESPEC,DATOS!$E19197,nASIG,DATOS!$I19197,nEVAL,"OR")=0))</f>
      </c>
      <c r="I19197">
        <f>IF(DATOS!$I19197="","",IFERROR(VLOOKUP(DATOS!$I19197,CONFIG_ASIGNATURAS!$B$2:$J$91,9,FALSE()),""))</f>
      </c>
    </row>
    <row r="19198">
      <c r="F19198">
        <f>IF(DATOS!$A19198="","",DATOS!$A19198&amp;"|"&amp;DATOS!$D19198&amp;"|"&amp;DATOS!$E19198&amp;"|"&amp;DATOS!$I19198)</f>
      </c>
      <c r="G19198">
        <f>IF(DATOS!$A19198="",0,IF(CONFIG_METADATA!$B$4&lt;&gt;"OR+EX",--(DATOS!$G19198=CONFIG_METADATA!$B$4),IF(DATOS!$G19198="EX",1,IF(DATOS!$G19198="OR",--(COUNTIFS(nNIA,DATOS!$A19198,nCURSO,DATOS!$D19198,nESPEC,DATOS!$E19198,nASIG,DATOS!$I19198,nEVAL,"EX")=0),0))))</f>
      </c>
      <c r="H19198">
        <f>IF(DATOS!$G19198&lt;&gt;"EX",0,--(COUNTIFS(nNIA,DATOS!$A19198,nCURSO,DATOS!$D19198,nESPEC,DATOS!$E19198,nASIG,DATOS!$I19198,nEVAL,"OR")=0))</f>
      </c>
      <c r="I19198">
        <f>IF(DATOS!$I19198="","",IFERROR(VLOOKUP(DATOS!$I19198,CONFIG_ASIGNATURAS!$B$2:$J$91,9,FALSE()),""))</f>
      </c>
    </row>
    <row r="19199">
      <c r="F19199">
        <f>IF(DATOS!$A19199="","",DATOS!$A19199&amp;"|"&amp;DATOS!$D19199&amp;"|"&amp;DATOS!$E19199&amp;"|"&amp;DATOS!$I19199)</f>
      </c>
      <c r="G19199">
        <f>IF(DATOS!$A19199="",0,IF(CONFIG_METADATA!$B$4&lt;&gt;"OR+EX",--(DATOS!$G19199=CONFIG_METADATA!$B$4),IF(DATOS!$G19199="EX",1,IF(DATOS!$G19199="OR",--(COUNTIFS(nNIA,DATOS!$A19199,nCURSO,DATOS!$D19199,nESPEC,DATOS!$E19199,nASIG,DATOS!$I19199,nEVAL,"EX")=0),0))))</f>
      </c>
      <c r="H19199">
        <f>IF(DATOS!$G19199&lt;&gt;"EX",0,--(COUNTIFS(nNIA,DATOS!$A19199,nCURSO,DATOS!$D19199,nESPEC,DATOS!$E19199,nASIG,DATOS!$I19199,nEVAL,"OR")=0))</f>
      </c>
      <c r="I19199">
        <f>IF(DATOS!$I19199="","",IFERROR(VLOOKUP(DATOS!$I19199,CONFIG_ASIGNATURAS!$B$2:$J$91,9,FALSE()),""))</f>
      </c>
    </row>
    <row r="19200">
      <c r="F19200">
        <f>IF(DATOS!$A19200="","",DATOS!$A19200&amp;"|"&amp;DATOS!$D19200&amp;"|"&amp;DATOS!$E19200&amp;"|"&amp;DATOS!$I19200)</f>
      </c>
      <c r="G19200">
        <f>IF(DATOS!$A19200="",0,IF(CONFIG_METADATA!$B$4&lt;&gt;"OR+EX",--(DATOS!$G19200=CONFIG_METADATA!$B$4),IF(DATOS!$G19200="EX",1,IF(DATOS!$G19200="OR",--(COUNTIFS(nNIA,DATOS!$A19200,nCURSO,DATOS!$D19200,nESPEC,DATOS!$E19200,nASIG,DATOS!$I19200,nEVAL,"EX")=0),0))))</f>
      </c>
      <c r="H19200">
        <f>IF(DATOS!$G19200&lt;&gt;"EX",0,--(COUNTIFS(nNIA,DATOS!$A19200,nCURSO,DATOS!$D19200,nESPEC,DATOS!$E19200,nASIG,DATOS!$I19200,nEVAL,"OR")=0))</f>
      </c>
      <c r="I19200">
        <f>IF(DATOS!$I19200="","",IFERROR(VLOOKUP(DATOS!$I19200,CONFIG_ASIGNATURAS!$B$2:$J$91,9,FALSE()),""))</f>
      </c>
    </row>
    <row r="19201">
      <c r="F19201">
        <f>IF(DATOS!$A19201="","",DATOS!$A19201&amp;"|"&amp;DATOS!$D19201&amp;"|"&amp;DATOS!$E19201&amp;"|"&amp;DATOS!$I19201)</f>
      </c>
      <c r="G19201">
        <f>IF(DATOS!$A19201="",0,IF(CONFIG_METADATA!$B$4&lt;&gt;"OR+EX",--(DATOS!$G19201=CONFIG_METADATA!$B$4),IF(DATOS!$G19201="EX",1,IF(DATOS!$G19201="OR",--(COUNTIFS(nNIA,DATOS!$A19201,nCURSO,DATOS!$D19201,nESPEC,DATOS!$E19201,nASIG,DATOS!$I19201,nEVAL,"EX")=0),0))))</f>
      </c>
      <c r="H19201">
        <f>IF(DATOS!$G19201&lt;&gt;"EX",0,--(COUNTIFS(nNIA,DATOS!$A19201,nCURSO,DATOS!$D19201,nESPEC,DATOS!$E19201,nASIG,DATOS!$I19201,nEVAL,"OR")=0))</f>
      </c>
      <c r="I19201">
        <f>IF(DATOS!$I19201="","",IFERROR(VLOOKUP(DATOS!$I19201,CONFIG_ASIGNATURAS!$B$2:$J$91,9,FALSE()),""))</f>
      </c>
    </row>
    <row r="19202">
      <c r="F19202">
        <f>IF(DATOS!$A19202="","",DATOS!$A19202&amp;"|"&amp;DATOS!$D19202&amp;"|"&amp;DATOS!$E19202&amp;"|"&amp;DATOS!$I19202)</f>
      </c>
      <c r="G19202">
        <f>IF(DATOS!$A19202="",0,IF(CONFIG_METADATA!$B$4&lt;&gt;"OR+EX",--(DATOS!$G19202=CONFIG_METADATA!$B$4),IF(DATOS!$G19202="EX",1,IF(DATOS!$G19202="OR",--(COUNTIFS(nNIA,DATOS!$A19202,nCURSO,DATOS!$D19202,nESPEC,DATOS!$E19202,nASIG,DATOS!$I19202,nEVAL,"EX")=0),0))))</f>
      </c>
      <c r="H19202">
        <f>IF(DATOS!$G19202&lt;&gt;"EX",0,--(COUNTIFS(nNIA,DATOS!$A19202,nCURSO,DATOS!$D19202,nESPEC,DATOS!$E19202,nASIG,DATOS!$I19202,nEVAL,"OR")=0))</f>
      </c>
      <c r="I19202">
        <f>IF(DATOS!$I19202="","",IFERROR(VLOOKUP(DATOS!$I19202,CONFIG_ASIGNATURAS!$B$2:$J$91,9,FALSE()),""))</f>
      </c>
    </row>
    <row r="19203">
      <c r="F19203">
        <f>IF(DATOS!$A19203="","",DATOS!$A19203&amp;"|"&amp;DATOS!$D19203&amp;"|"&amp;DATOS!$E19203&amp;"|"&amp;DATOS!$I19203)</f>
      </c>
      <c r="G19203">
        <f>IF(DATOS!$A19203="",0,IF(CONFIG_METADATA!$B$4&lt;&gt;"OR+EX",--(DATOS!$G19203=CONFIG_METADATA!$B$4),IF(DATOS!$G19203="EX",1,IF(DATOS!$G19203="OR",--(COUNTIFS(nNIA,DATOS!$A19203,nCURSO,DATOS!$D19203,nESPEC,DATOS!$E19203,nASIG,DATOS!$I19203,nEVAL,"EX")=0),0))))</f>
      </c>
      <c r="H19203">
        <f>IF(DATOS!$G19203&lt;&gt;"EX",0,--(COUNTIFS(nNIA,DATOS!$A19203,nCURSO,DATOS!$D19203,nESPEC,DATOS!$E19203,nASIG,DATOS!$I19203,nEVAL,"OR")=0))</f>
      </c>
      <c r="I19203">
        <f>IF(DATOS!$I19203="","",IFERROR(VLOOKUP(DATOS!$I19203,CONFIG_ASIGNATURAS!$B$2:$J$91,9,FALSE()),""))</f>
      </c>
    </row>
    <row r="19204">
      <c r="F19204">
        <f>IF(DATOS!$A19204="","",DATOS!$A19204&amp;"|"&amp;DATOS!$D19204&amp;"|"&amp;DATOS!$E19204&amp;"|"&amp;DATOS!$I19204)</f>
      </c>
      <c r="G19204">
        <f>IF(DATOS!$A19204="",0,IF(CONFIG_METADATA!$B$4&lt;&gt;"OR+EX",--(DATOS!$G19204=CONFIG_METADATA!$B$4),IF(DATOS!$G19204="EX",1,IF(DATOS!$G19204="OR",--(COUNTIFS(nNIA,DATOS!$A19204,nCURSO,DATOS!$D19204,nESPEC,DATOS!$E19204,nASIG,DATOS!$I19204,nEVAL,"EX")=0),0))))</f>
      </c>
      <c r="H19204">
        <f>IF(DATOS!$G19204&lt;&gt;"EX",0,--(COUNTIFS(nNIA,DATOS!$A19204,nCURSO,DATOS!$D19204,nESPEC,DATOS!$E19204,nASIG,DATOS!$I19204,nEVAL,"OR")=0))</f>
      </c>
      <c r="I19204">
        <f>IF(DATOS!$I19204="","",IFERROR(VLOOKUP(DATOS!$I19204,CONFIG_ASIGNATURAS!$B$2:$J$91,9,FALSE()),""))</f>
      </c>
    </row>
    <row r="19205">
      <c r="F19205">
        <f>IF(DATOS!$A19205="","",DATOS!$A19205&amp;"|"&amp;DATOS!$D19205&amp;"|"&amp;DATOS!$E19205&amp;"|"&amp;DATOS!$I19205)</f>
      </c>
      <c r="G19205">
        <f>IF(DATOS!$A19205="",0,IF(CONFIG_METADATA!$B$4&lt;&gt;"OR+EX",--(DATOS!$G19205=CONFIG_METADATA!$B$4),IF(DATOS!$G19205="EX",1,IF(DATOS!$G19205="OR",--(COUNTIFS(nNIA,DATOS!$A19205,nCURSO,DATOS!$D19205,nESPEC,DATOS!$E19205,nASIG,DATOS!$I19205,nEVAL,"EX")=0),0))))</f>
      </c>
      <c r="H19205">
        <f>IF(DATOS!$G19205&lt;&gt;"EX",0,--(COUNTIFS(nNIA,DATOS!$A19205,nCURSO,DATOS!$D19205,nESPEC,DATOS!$E19205,nASIG,DATOS!$I19205,nEVAL,"OR")=0))</f>
      </c>
      <c r="I19205">
        <f>IF(DATOS!$I19205="","",IFERROR(VLOOKUP(DATOS!$I19205,CONFIG_ASIGNATURAS!$B$2:$J$91,9,FALSE()),""))</f>
      </c>
    </row>
    <row r="19206">
      <c r="F19206">
        <f>IF(DATOS!$A19206="","",DATOS!$A19206&amp;"|"&amp;DATOS!$D19206&amp;"|"&amp;DATOS!$E19206&amp;"|"&amp;DATOS!$I19206)</f>
      </c>
      <c r="G19206">
        <f>IF(DATOS!$A19206="",0,IF(CONFIG_METADATA!$B$4&lt;&gt;"OR+EX",--(DATOS!$G19206=CONFIG_METADATA!$B$4),IF(DATOS!$G19206="EX",1,IF(DATOS!$G19206="OR",--(COUNTIFS(nNIA,DATOS!$A19206,nCURSO,DATOS!$D19206,nESPEC,DATOS!$E19206,nASIG,DATOS!$I19206,nEVAL,"EX")=0),0))))</f>
      </c>
      <c r="H19206">
        <f>IF(DATOS!$G19206&lt;&gt;"EX",0,--(COUNTIFS(nNIA,DATOS!$A19206,nCURSO,DATOS!$D19206,nESPEC,DATOS!$E19206,nASIG,DATOS!$I19206,nEVAL,"OR")=0))</f>
      </c>
      <c r="I19206">
        <f>IF(DATOS!$I19206="","",IFERROR(VLOOKUP(DATOS!$I19206,CONFIG_ASIGNATURAS!$B$2:$J$91,9,FALSE()),""))</f>
      </c>
    </row>
    <row r="19207">
      <c r="F19207">
        <f>IF(DATOS!$A19207="","",DATOS!$A19207&amp;"|"&amp;DATOS!$D19207&amp;"|"&amp;DATOS!$E19207&amp;"|"&amp;DATOS!$I19207)</f>
      </c>
      <c r="G19207">
        <f>IF(DATOS!$A19207="",0,IF(CONFIG_METADATA!$B$4&lt;&gt;"OR+EX",--(DATOS!$G19207=CONFIG_METADATA!$B$4),IF(DATOS!$G19207="EX",1,IF(DATOS!$G19207="OR",--(COUNTIFS(nNIA,DATOS!$A19207,nCURSO,DATOS!$D19207,nESPEC,DATOS!$E19207,nASIG,DATOS!$I19207,nEVAL,"EX")=0),0))))</f>
      </c>
      <c r="H19207">
        <f>IF(DATOS!$G19207&lt;&gt;"EX",0,--(COUNTIFS(nNIA,DATOS!$A19207,nCURSO,DATOS!$D19207,nESPEC,DATOS!$E19207,nASIG,DATOS!$I19207,nEVAL,"OR")=0))</f>
      </c>
      <c r="I19207">
        <f>IF(DATOS!$I19207="","",IFERROR(VLOOKUP(DATOS!$I19207,CONFIG_ASIGNATURAS!$B$2:$J$91,9,FALSE()),""))</f>
      </c>
    </row>
    <row r="19208">
      <c r="F19208">
        <f>IF(DATOS!$A19208="","",DATOS!$A19208&amp;"|"&amp;DATOS!$D19208&amp;"|"&amp;DATOS!$E19208&amp;"|"&amp;DATOS!$I19208)</f>
      </c>
      <c r="G19208">
        <f>IF(DATOS!$A19208="",0,IF(CONFIG_METADATA!$B$4&lt;&gt;"OR+EX",--(DATOS!$G19208=CONFIG_METADATA!$B$4),IF(DATOS!$G19208="EX",1,IF(DATOS!$G19208="OR",--(COUNTIFS(nNIA,DATOS!$A19208,nCURSO,DATOS!$D19208,nESPEC,DATOS!$E19208,nASIG,DATOS!$I19208,nEVAL,"EX")=0),0))))</f>
      </c>
      <c r="H19208">
        <f>IF(DATOS!$G19208&lt;&gt;"EX",0,--(COUNTIFS(nNIA,DATOS!$A19208,nCURSO,DATOS!$D19208,nESPEC,DATOS!$E19208,nASIG,DATOS!$I19208,nEVAL,"OR")=0))</f>
      </c>
      <c r="I19208">
        <f>IF(DATOS!$I19208="","",IFERROR(VLOOKUP(DATOS!$I19208,CONFIG_ASIGNATURAS!$B$2:$J$91,9,FALSE()),""))</f>
      </c>
    </row>
    <row r="19209">
      <c r="F19209">
        <f>IF(DATOS!$A19209="","",DATOS!$A19209&amp;"|"&amp;DATOS!$D19209&amp;"|"&amp;DATOS!$E19209&amp;"|"&amp;DATOS!$I19209)</f>
      </c>
      <c r="G19209">
        <f>IF(DATOS!$A19209="",0,IF(CONFIG_METADATA!$B$4&lt;&gt;"OR+EX",--(DATOS!$G19209=CONFIG_METADATA!$B$4),IF(DATOS!$G19209="EX",1,IF(DATOS!$G19209="OR",--(COUNTIFS(nNIA,DATOS!$A19209,nCURSO,DATOS!$D19209,nESPEC,DATOS!$E19209,nASIG,DATOS!$I19209,nEVAL,"EX")=0),0))))</f>
      </c>
      <c r="H19209">
        <f>IF(DATOS!$G19209&lt;&gt;"EX",0,--(COUNTIFS(nNIA,DATOS!$A19209,nCURSO,DATOS!$D19209,nESPEC,DATOS!$E19209,nASIG,DATOS!$I19209,nEVAL,"OR")=0))</f>
      </c>
      <c r="I19209">
        <f>IF(DATOS!$I19209="","",IFERROR(VLOOKUP(DATOS!$I19209,CONFIG_ASIGNATURAS!$B$2:$J$91,9,FALSE()),""))</f>
      </c>
    </row>
    <row r="19210">
      <c r="F19210">
        <f>IF(DATOS!$A19210="","",DATOS!$A19210&amp;"|"&amp;DATOS!$D19210&amp;"|"&amp;DATOS!$E19210&amp;"|"&amp;DATOS!$I19210)</f>
      </c>
      <c r="G19210">
        <f>IF(DATOS!$A19210="",0,IF(CONFIG_METADATA!$B$4&lt;&gt;"OR+EX",--(DATOS!$G19210=CONFIG_METADATA!$B$4),IF(DATOS!$G19210="EX",1,IF(DATOS!$G19210="OR",--(COUNTIFS(nNIA,DATOS!$A19210,nCURSO,DATOS!$D19210,nESPEC,DATOS!$E19210,nASIG,DATOS!$I19210,nEVAL,"EX")=0),0))))</f>
      </c>
      <c r="H19210">
        <f>IF(DATOS!$G19210&lt;&gt;"EX",0,--(COUNTIFS(nNIA,DATOS!$A19210,nCURSO,DATOS!$D19210,nESPEC,DATOS!$E19210,nASIG,DATOS!$I19210,nEVAL,"OR")=0))</f>
      </c>
      <c r="I19210">
        <f>IF(DATOS!$I19210="","",IFERROR(VLOOKUP(DATOS!$I19210,CONFIG_ASIGNATURAS!$B$2:$J$91,9,FALSE()),""))</f>
      </c>
    </row>
    <row r="19211">
      <c r="F19211">
        <f>IF(DATOS!$A19211="","",DATOS!$A19211&amp;"|"&amp;DATOS!$D19211&amp;"|"&amp;DATOS!$E19211&amp;"|"&amp;DATOS!$I19211)</f>
      </c>
      <c r="G19211">
        <f>IF(DATOS!$A19211="",0,IF(CONFIG_METADATA!$B$4&lt;&gt;"OR+EX",--(DATOS!$G19211=CONFIG_METADATA!$B$4),IF(DATOS!$G19211="EX",1,IF(DATOS!$G19211="OR",--(COUNTIFS(nNIA,DATOS!$A19211,nCURSO,DATOS!$D19211,nESPEC,DATOS!$E19211,nASIG,DATOS!$I19211,nEVAL,"EX")=0),0))))</f>
      </c>
      <c r="H19211">
        <f>IF(DATOS!$G19211&lt;&gt;"EX",0,--(COUNTIFS(nNIA,DATOS!$A19211,nCURSO,DATOS!$D19211,nESPEC,DATOS!$E19211,nASIG,DATOS!$I19211,nEVAL,"OR")=0))</f>
      </c>
      <c r="I19211">
        <f>IF(DATOS!$I19211="","",IFERROR(VLOOKUP(DATOS!$I19211,CONFIG_ASIGNATURAS!$B$2:$J$91,9,FALSE()),""))</f>
      </c>
    </row>
    <row r="19212">
      <c r="F19212">
        <f>IF(DATOS!$A19212="","",DATOS!$A19212&amp;"|"&amp;DATOS!$D19212&amp;"|"&amp;DATOS!$E19212&amp;"|"&amp;DATOS!$I19212)</f>
      </c>
      <c r="G19212">
        <f>IF(DATOS!$A19212="",0,IF(CONFIG_METADATA!$B$4&lt;&gt;"OR+EX",--(DATOS!$G19212=CONFIG_METADATA!$B$4),IF(DATOS!$G19212="EX",1,IF(DATOS!$G19212="OR",--(COUNTIFS(nNIA,DATOS!$A19212,nCURSO,DATOS!$D19212,nESPEC,DATOS!$E19212,nASIG,DATOS!$I19212,nEVAL,"EX")=0),0))))</f>
      </c>
      <c r="H19212">
        <f>IF(DATOS!$G19212&lt;&gt;"EX",0,--(COUNTIFS(nNIA,DATOS!$A19212,nCURSO,DATOS!$D19212,nESPEC,DATOS!$E19212,nASIG,DATOS!$I19212,nEVAL,"OR")=0))</f>
      </c>
      <c r="I19212">
        <f>IF(DATOS!$I19212="","",IFERROR(VLOOKUP(DATOS!$I19212,CONFIG_ASIGNATURAS!$B$2:$J$91,9,FALSE()),""))</f>
      </c>
    </row>
    <row r="19213">
      <c r="F19213">
        <f>IF(DATOS!$A19213="","",DATOS!$A19213&amp;"|"&amp;DATOS!$D19213&amp;"|"&amp;DATOS!$E19213&amp;"|"&amp;DATOS!$I19213)</f>
      </c>
      <c r="G19213">
        <f>IF(DATOS!$A19213="",0,IF(CONFIG_METADATA!$B$4&lt;&gt;"OR+EX",--(DATOS!$G19213=CONFIG_METADATA!$B$4),IF(DATOS!$G19213="EX",1,IF(DATOS!$G19213="OR",--(COUNTIFS(nNIA,DATOS!$A19213,nCURSO,DATOS!$D19213,nESPEC,DATOS!$E19213,nASIG,DATOS!$I19213,nEVAL,"EX")=0),0))))</f>
      </c>
      <c r="H19213">
        <f>IF(DATOS!$G19213&lt;&gt;"EX",0,--(COUNTIFS(nNIA,DATOS!$A19213,nCURSO,DATOS!$D19213,nESPEC,DATOS!$E19213,nASIG,DATOS!$I19213,nEVAL,"OR")=0))</f>
      </c>
      <c r="I19213">
        <f>IF(DATOS!$I19213="","",IFERROR(VLOOKUP(DATOS!$I19213,CONFIG_ASIGNATURAS!$B$2:$J$91,9,FALSE()),""))</f>
      </c>
    </row>
    <row r="19214">
      <c r="F19214">
        <f>IF(DATOS!$A19214="","",DATOS!$A19214&amp;"|"&amp;DATOS!$D19214&amp;"|"&amp;DATOS!$E19214&amp;"|"&amp;DATOS!$I19214)</f>
      </c>
      <c r="G19214">
        <f>IF(DATOS!$A19214="",0,IF(CONFIG_METADATA!$B$4&lt;&gt;"OR+EX",--(DATOS!$G19214=CONFIG_METADATA!$B$4),IF(DATOS!$G19214="EX",1,IF(DATOS!$G19214="OR",--(COUNTIFS(nNIA,DATOS!$A19214,nCURSO,DATOS!$D19214,nESPEC,DATOS!$E19214,nASIG,DATOS!$I19214,nEVAL,"EX")=0),0))))</f>
      </c>
      <c r="H19214">
        <f>IF(DATOS!$G19214&lt;&gt;"EX",0,--(COUNTIFS(nNIA,DATOS!$A19214,nCURSO,DATOS!$D19214,nESPEC,DATOS!$E19214,nASIG,DATOS!$I19214,nEVAL,"OR")=0))</f>
      </c>
      <c r="I19214">
        <f>IF(DATOS!$I19214="","",IFERROR(VLOOKUP(DATOS!$I19214,CONFIG_ASIGNATURAS!$B$2:$J$91,9,FALSE()),""))</f>
      </c>
    </row>
    <row r="19215">
      <c r="F19215">
        <f>IF(DATOS!$A19215="","",DATOS!$A19215&amp;"|"&amp;DATOS!$D19215&amp;"|"&amp;DATOS!$E19215&amp;"|"&amp;DATOS!$I19215)</f>
      </c>
      <c r="G19215">
        <f>IF(DATOS!$A19215="",0,IF(CONFIG_METADATA!$B$4&lt;&gt;"OR+EX",--(DATOS!$G19215=CONFIG_METADATA!$B$4),IF(DATOS!$G19215="EX",1,IF(DATOS!$G19215="OR",--(COUNTIFS(nNIA,DATOS!$A19215,nCURSO,DATOS!$D19215,nESPEC,DATOS!$E19215,nASIG,DATOS!$I19215,nEVAL,"EX")=0),0))))</f>
      </c>
      <c r="H19215">
        <f>IF(DATOS!$G19215&lt;&gt;"EX",0,--(COUNTIFS(nNIA,DATOS!$A19215,nCURSO,DATOS!$D19215,nESPEC,DATOS!$E19215,nASIG,DATOS!$I19215,nEVAL,"OR")=0))</f>
      </c>
      <c r="I19215">
        <f>IF(DATOS!$I19215="","",IFERROR(VLOOKUP(DATOS!$I19215,CONFIG_ASIGNATURAS!$B$2:$J$91,9,FALSE()),""))</f>
      </c>
    </row>
    <row r="19216">
      <c r="F19216">
        <f>IF(DATOS!$A19216="","",DATOS!$A19216&amp;"|"&amp;DATOS!$D19216&amp;"|"&amp;DATOS!$E19216&amp;"|"&amp;DATOS!$I19216)</f>
      </c>
      <c r="G19216">
        <f>IF(DATOS!$A19216="",0,IF(CONFIG_METADATA!$B$4&lt;&gt;"OR+EX",--(DATOS!$G19216=CONFIG_METADATA!$B$4),IF(DATOS!$G19216="EX",1,IF(DATOS!$G19216="OR",--(COUNTIFS(nNIA,DATOS!$A19216,nCURSO,DATOS!$D19216,nESPEC,DATOS!$E19216,nASIG,DATOS!$I19216,nEVAL,"EX")=0),0))))</f>
      </c>
      <c r="H19216">
        <f>IF(DATOS!$G19216&lt;&gt;"EX",0,--(COUNTIFS(nNIA,DATOS!$A19216,nCURSO,DATOS!$D19216,nESPEC,DATOS!$E19216,nASIG,DATOS!$I19216,nEVAL,"OR")=0))</f>
      </c>
      <c r="I19216">
        <f>IF(DATOS!$I19216="","",IFERROR(VLOOKUP(DATOS!$I19216,CONFIG_ASIGNATURAS!$B$2:$J$91,9,FALSE()),""))</f>
      </c>
    </row>
    <row r="19217">
      <c r="F19217">
        <f>IF(DATOS!$A19217="","",DATOS!$A19217&amp;"|"&amp;DATOS!$D19217&amp;"|"&amp;DATOS!$E19217&amp;"|"&amp;DATOS!$I19217)</f>
      </c>
      <c r="G19217">
        <f>IF(DATOS!$A19217="",0,IF(CONFIG_METADATA!$B$4&lt;&gt;"OR+EX",--(DATOS!$G19217=CONFIG_METADATA!$B$4),IF(DATOS!$G19217="EX",1,IF(DATOS!$G19217="OR",--(COUNTIFS(nNIA,DATOS!$A19217,nCURSO,DATOS!$D19217,nESPEC,DATOS!$E19217,nASIG,DATOS!$I19217,nEVAL,"EX")=0),0))))</f>
      </c>
      <c r="H19217">
        <f>IF(DATOS!$G19217&lt;&gt;"EX",0,--(COUNTIFS(nNIA,DATOS!$A19217,nCURSO,DATOS!$D19217,nESPEC,DATOS!$E19217,nASIG,DATOS!$I19217,nEVAL,"OR")=0))</f>
      </c>
      <c r="I19217">
        <f>IF(DATOS!$I19217="","",IFERROR(VLOOKUP(DATOS!$I19217,CONFIG_ASIGNATURAS!$B$2:$J$91,9,FALSE()),""))</f>
      </c>
    </row>
    <row r="19218">
      <c r="F19218">
        <f>IF(DATOS!$A19218="","",DATOS!$A19218&amp;"|"&amp;DATOS!$D19218&amp;"|"&amp;DATOS!$E19218&amp;"|"&amp;DATOS!$I19218)</f>
      </c>
      <c r="G19218">
        <f>IF(DATOS!$A19218="",0,IF(CONFIG_METADATA!$B$4&lt;&gt;"OR+EX",--(DATOS!$G19218=CONFIG_METADATA!$B$4),IF(DATOS!$G19218="EX",1,IF(DATOS!$G19218="OR",--(COUNTIFS(nNIA,DATOS!$A19218,nCURSO,DATOS!$D19218,nESPEC,DATOS!$E19218,nASIG,DATOS!$I19218,nEVAL,"EX")=0),0))))</f>
      </c>
      <c r="H19218">
        <f>IF(DATOS!$G19218&lt;&gt;"EX",0,--(COUNTIFS(nNIA,DATOS!$A19218,nCURSO,DATOS!$D19218,nESPEC,DATOS!$E19218,nASIG,DATOS!$I19218,nEVAL,"OR")=0))</f>
      </c>
      <c r="I19218">
        <f>IF(DATOS!$I19218="","",IFERROR(VLOOKUP(DATOS!$I19218,CONFIG_ASIGNATURAS!$B$2:$J$91,9,FALSE()),""))</f>
      </c>
    </row>
    <row r="19219">
      <c r="F19219">
        <f>IF(DATOS!$A19219="","",DATOS!$A19219&amp;"|"&amp;DATOS!$D19219&amp;"|"&amp;DATOS!$E19219&amp;"|"&amp;DATOS!$I19219)</f>
      </c>
      <c r="G19219">
        <f>IF(DATOS!$A19219="",0,IF(CONFIG_METADATA!$B$4&lt;&gt;"OR+EX",--(DATOS!$G19219=CONFIG_METADATA!$B$4),IF(DATOS!$G19219="EX",1,IF(DATOS!$G19219="OR",--(COUNTIFS(nNIA,DATOS!$A19219,nCURSO,DATOS!$D19219,nESPEC,DATOS!$E19219,nASIG,DATOS!$I19219,nEVAL,"EX")=0),0))))</f>
      </c>
      <c r="H19219">
        <f>IF(DATOS!$G19219&lt;&gt;"EX",0,--(COUNTIFS(nNIA,DATOS!$A19219,nCURSO,DATOS!$D19219,nESPEC,DATOS!$E19219,nASIG,DATOS!$I19219,nEVAL,"OR")=0))</f>
      </c>
      <c r="I19219">
        <f>IF(DATOS!$I19219="","",IFERROR(VLOOKUP(DATOS!$I19219,CONFIG_ASIGNATURAS!$B$2:$J$91,9,FALSE()),""))</f>
      </c>
    </row>
    <row r="19220">
      <c r="F19220">
        <f>IF(DATOS!$A19220="","",DATOS!$A19220&amp;"|"&amp;DATOS!$D19220&amp;"|"&amp;DATOS!$E19220&amp;"|"&amp;DATOS!$I19220)</f>
      </c>
      <c r="G19220">
        <f>IF(DATOS!$A19220="",0,IF(CONFIG_METADATA!$B$4&lt;&gt;"OR+EX",--(DATOS!$G19220=CONFIG_METADATA!$B$4),IF(DATOS!$G19220="EX",1,IF(DATOS!$G19220="OR",--(COUNTIFS(nNIA,DATOS!$A19220,nCURSO,DATOS!$D19220,nESPEC,DATOS!$E19220,nASIG,DATOS!$I19220,nEVAL,"EX")=0),0))))</f>
      </c>
      <c r="H19220">
        <f>IF(DATOS!$G19220&lt;&gt;"EX",0,--(COUNTIFS(nNIA,DATOS!$A19220,nCURSO,DATOS!$D19220,nESPEC,DATOS!$E19220,nASIG,DATOS!$I19220,nEVAL,"OR")=0))</f>
      </c>
      <c r="I19220">
        <f>IF(DATOS!$I19220="","",IFERROR(VLOOKUP(DATOS!$I19220,CONFIG_ASIGNATURAS!$B$2:$J$91,9,FALSE()),""))</f>
      </c>
    </row>
    <row r="19221">
      <c r="F19221">
        <f>IF(DATOS!$A19221="","",DATOS!$A19221&amp;"|"&amp;DATOS!$D19221&amp;"|"&amp;DATOS!$E19221&amp;"|"&amp;DATOS!$I19221)</f>
      </c>
      <c r="G19221">
        <f>IF(DATOS!$A19221="",0,IF(CONFIG_METADATA!$B$4&lt;&gt;"OR+EX",--(DATOS!$G19221=CONFIG_METADATA!$B$4),IF(DATOS!$G19221="EX",1,IF(DATOS!$G19221="OR",--(COUNTIFS(nNIA,DATOS!$A19221,nCURSO,DATOS!$D19221,nESPEC,DATOS!$E19221,nASIG,DATOS!$I19221,nEVAL,"EX")=0),0))))</f>
      </c>
      <c r="H19221">
        <f>IF(DATOS!$G19221&lt;&gt;"EX",0,--(COUNTIFS(nNIA,DATOS!$A19221,nCURSO,DATOS!$D19221,nESPEC,DATOS!$E19221,nASIG,DATOS!$I19221,nEVAL,"OR")=0))</f>
      </c>
      <c r="I19221">
        <f>IF(DATOS!$I19221="","",IFERROR(VLOOKUP(DATOS!$I19221,CONFIG_ASIGNATURAS!$B$2:$J$91,9,FALSE()),""))</f>
      </c>
    </row>
    <row r="19222">
      <c r="F19222">
        <f>IF(DATOS!$A19222="","",DATOS!$A19222&amp;"|"&amp;DATOS!$D19222&amp;"|"&amp;DATOS!$E19222&amp;"|"&amp;DATOS!$I19222)</f>
      </c>
      <c r="G19222">
        <f>IF(DATOS!$A19222="",0,IF(CONFIG_METADATA!$B$4&lt;&gt;"OR+EX",--(DATOS!$G19222=CONFIG_METADATA!$B$4),IF(DATOS!$G19222="EX",1,IF(DATOS!$G19222="OR",--(COUNTIFS(nNIA,DATOS!$A19222,nCURSO,DATOS!$D19222,nESPEC,DATOS!$E19222,nASIG,DATOS!$I19222,nEVAL,"EX")=0),0))))</f>
      </c>
      <c r="H19222">
        <f>IF(DATOS!$G19222&lt;&gt;"EX",0,--(COUNTIFS(nNIA,DATOS!$A19222,nCURSO,DATOS!$D19222,nESPEC,DATOS!$E19222,nASIG,DATOS!$I19222,nEVAL,"OR")=0))</f>
      </c>
      <c r="I19222">
        <f>IF(DATOS!$I19222="","",IFERROR(VLOOKUP(DATOS!$I19222,CONFIG_ASIGNATURAS!$B$2:$J$91,9,FALSE()),""))</f>
      </c>
    </row>
    <row r="19223">
      <c r="F19223">
        <f>IF(DATOS!$A19223="","",DATOS!$A19223&amp;"|"&amp;DATOS!$D19223&amp;"|"&amp;DATOS!$E19223&amp;"|"&amp;DATOS!$I19223)</f>
      </c>
      <c r="G19223">
        <f>IF(DATOS!$A19223="",0,IF(CONFIG_METADATA!$B$4&lt;&gt;"OR+EX",--(DATOS!$G19223=CONFIG_METADATA!$B$4),IF(DATOS!$G19223="EX",1,IF(DATOS!$G19223="OR",--(COUNTIFS(nNIA,DATOS!$A19223,nCURSO,DATOS!$D19223,nESPEC,DATOS!$E19223,nASIG,DATOS!$I19223,nEVAL,"EX")=0),0))))</f>
      </c>
      <c r="H19223">
        <f>IF(DATOS!$G19223&lt;&gt;"EX",0,--(COUNTIFS(nNIA,DATOS!$A19223,nCURSO,DATOS!$D19223,nESPEC,DATOS!$E19223,nASIG,DATOS!$I19223,nEVAL,"OR")=0))</f>
      </c>
      <c r="I19223">
        <f>IF(DATOS!$I19223="","",IFERROR(VLOOKUP(DATOS!$I19223,CONFIG_ASIGNATURAS!$B$2:$J$91,9,FALSE()),""))</f>
      </c>
    </row>
    <row r="19224">
      <c r="F19224">
        <f>IF(DATOS!$A19224="","",DATOS!$A19224&amp;"|"&amp;DATOS!$D19224&amp;"|"&amp;DATOS!$E19224&amp;"|"&amp;DATOS!$I19224)</f>
      </c>
      <c r="G19224">
        <f>IF(DATOS!$A19224="",0,IF(CONFIG_METADATA!$B$4&lt;&gt;"OR+EX",--(DATOS!$G19224=CONFIG_METADATA!$B$4),IF(DATOS!$G19224="EX",1,IF(DATOS!$G19224="OR",--(COUNTIFS(nNIA,DATOS!$A19224,nCURSO,DATOS!$D19224,nESPEC,DATOS!$E19224,nASIG,DATOS!$I19224,nEVAL,"EX")=0),0))))</f>
      </c>
      <c r="H19224">
        <f>IF(DATOS!$G19224&lt;&gt;"EX",0,--(COUNTIFS(nNIA,DATOS!$A19224,nCURSO,DATOS!$D19224,nESPEC,DATOS!$E19224,nASIG,DATOS!$I19224,nEVAL,"OR")=0))</f>
      </c>
      <c r="I19224">
        <f>IF(DATOS!$I19224="","",IFERROR(VLOOKUP(DATOS!$I19224,CONFIG_ASIGNATURAS!$B$2:$J$91,9,FALSE()),""))</f>
      </c>
    </row>
    <row r="19225">
      <c r="F19225">
        <f>IF(DATOS!$A19225="","",DATOS!$A19225&amp;"|"&amp;DATOS!$D19225&amp;"|"&amp;DATOS!$E19225&amp;"|"&amp;DATOS!$I19225)</f>
      </c>
      <c r="G19225">
        <f>IF(DATOS!$A19225="",0,IF(CONFIG_METADATA!$B$4&lt;&gt;"OR+EX",--(DATOS!$G19225=CONFIG_METADATA!$B$4),IF(DATOS!$G19225="EX",1,IF(DATOS!$G19225="OR",--(COUNTIFS(nNIA,DATOS!$A19225,nCURSO,DATOS!$D19225,nESPEC,DATOS!$E19225,nASIG,DATOS!$I19225,nEVAL,"EX")=0),0))))</f>
      </c>
      <c r="H19225">
        <f>IF(DATOS!$G19225&lt;&gt;"EX",0,--(COUNTIFS(nNIA,DATOS!$A19225,nCURSO,DATOS!$D19225,nESPEC,DATOS!$E19225,nASIG,DATOS!$I19225,nEVAL,"OR")=0))</f>
      </c>
      <c r="I19225">
        <f>IF(DATOS!$I19225="","",IFERROR(VLOOKUP(DATOS!$I19225,CONFIG_ASIGNATURAS!$B$2:$J$91,9,FALSE()),""))</f>
      </c>
    </row>
    <row r="19226">
      <c r="F19226">
        <f>IF(DATOS!$A19226="","",DATOS!$A19226&amp;"|"&amp;DATOS!$D19226&amp;"|"&amp;DATOS!$E19226&amp;"|"&amp;DATOS!$I19226)</f>
      </c>
      <c r="G19226">
        <f>IF(DATOS!$A19226="",0,IF(CONFIG_METADATA!$B$4&lt;&gt;"OR+EX",--(DATOS!$G19226=CONFIG_METADATA!$B$4),IF(DATOS!$G19226="EX",1,IF(DATOS!$G19226="OR",--(COUNTIFS(nNIA,DATOS!$A19226,nCURSO,DATOS!$D19226,nESPEC,DATOS!$E19226,nASIG,DATOS!$I19226,nEVAL,"EX")=0),0))))</f>
      </c>
      <c r="H19226">
        <f>IF(DATOS!$G19226&lt;&gt;"EX",0,--(COUNTIFS(nNIA,DATOS!$A19226,nCURSO,DATOS!$D19226,nESPEC,DATOS!$E19226,nASIG,DATOS!$I19226,nEVAL,"OR")=0))</f>
      </c>
      <c r="I19226">
        <f>IF(DATOS!$I19226="","",IFERROR(VLOOKUP(DATOS!$I19226,CONFIG_ASIGNATURAS!$B$2:$J$91,9,FALSE()),""))</f>
      </c>
    </row>
    <row r="19227">
      <c r="F19227">
        <f>IF(DATOS!$A19227="","",DATOS!$A19227&amp;"|"&amp;DATOS!$D19227&amp;"|"&amp;DATOS!$E19227&amp;"|"&amp;DATOS!$I19227)</f>
      </c>
      <c r="G19227">
        <f>IF(DATOS!$A19227="",0,IF(CONFIG_METADATA!$B$4&lt;&gt;"OR+EX",--(DATOS!$G19227=CONFIG_METADATA!$B$4),IF(DATOS!$G19227="EX",1,IF(DATOS!$G19227="OR",--(COUNTIFS(nNIA,DATOS!$A19227,nCURSO,DATOS!$D19227,nESPEC,DATOS!$E19227,nASIG,DATOS!$I19227,nEVAL,"EX")=0),0))))</f>
      </c>
      <c r="H19227">
        <f>IF(DATOS!$G19227&lt;&gt;"EX",0,--(COUNTIFS(nNIA,DATOS!$A19227,nCURSO,DATOS!$D19227,nESPEC,DATOS!$E19227,nASIG,DATOS!$I19227,nEVAL,"OR")=0))</f>
      </c>
      <c r="I19227">
        <f>IF(DATOS!$I19227="","",IFERROR(VLOOKUP(DATOS!$I19227,CONFIG_ASIGNATURAS!$B$2:$J$91,9,FALSE()),""))</f>
      </c>
    </row>
    <row r="19228">
      <c r="F19228">
        <f>IF(DATOS!$A19228="","",DATOS!$A19228&amp;"|"&amp;DATOS!$D19228&amp;"|"&amp;DATOS!$E19228&amp;"|"&amp;DATOS!$I19228)</f>
      </c>
      <c r="G19228">
        <f>IF(DATOS!$A19228="",0,IF(CONFIG_METADATA!$B$4&lt;&gt;"OR+EX",--(DATOS!$G19228=CONFIG_METADATA!$B$4),IF(DATOS!$G19228="EX",1,IF(DATOS!$G19228="OR",--(COUNTIFS(nNIA,DATOS!$A19228,nCURSO,DATOS!$D19228,nESPEC,DATOS!$E19228,nASIG,DATOS!$I19228,nEVAL,"EX")=0),0))))</f>
      </c>
      <c r="H19228">
        <f>IF(DATOS!$G19228&lt;&gt;"EX",0,--(COUNTIFS(nNIA,DATOS!$A19228,nCURSO,DATOS!$D19228,nESPEC,DATOS!$E19228,nASIG,DATOS!$I19228,nEVAL,"OR")=0))</f>
      </c>
      <c r="I19228">
        <f>IF(DATOS!$I19228="","",IFERROR(VLOOKUP(DATOS!$I19228,CONFIG_ASIGNATURAS!$B$2:$J$91,9,FALSE()),""))</f>
      </c>
    </row>
    <row r="19229">
      <c r="F19229">
        <f>IF(DATOS!$A19229="","",DATOS!$A19229&amp;"|"&amp;DATOS!$D19229&amp;"|"&amp;DATOS!$E19229&amp;"|"&amp;DATOS!$I19229)</f>
      </c>
      <c r="G19229">
        <f>IF(DATOS!$A19229="",0,IF(CONFIG_METADATA!$B$4&lt;&gt;"OR+EX",--(DATOS!$G19229=CONFIG_METADATA!$B$4),IF(DATOS!$G19229="EX",1,IF(DATOS!$G19229="OR",--(COUNTIFS(nNIA,DATOS!$A19229,nCURSO,DATOS!$D19229,nESPEC,DATOS!$E19229,nASIG,DATOS!$I19229,nEVAL,"EX")=0),0))))</f>
      </c>
      <c r="H19229">
        <f>IF(DATOS!$G19229&lt;&gt;"EX",0,--(COUNTIFS(nNIA,DATOS!$A19229,nCURSO,DATOS!$D19229,nESPEC,DATOS!$E19229,nASIG,DATOS!$I19229,nEVAL,"OR")=0))</f>
      </c>
      <c r="I19229">
        <f>IF(DATOS!$I19229="","",IFERROR(VLOOKUP(DATOS!$I19229,CONFIG_ASIGNATURAS!$B$2:$J$91,9,FALSE()),""))</f>
      </c>
    </row>
    <row r="19230">
      <c r="F19230">
        <f>IF(DATOS!$A19230="","",DATOS!$A19230&amp;"|"&amp;DATOS!$D19230&amp;"|"&amp;DATOS!$E19230&amp;"|"&amp;DATOS!$I19230)</f>
      </c>
      <c r="G19230">
        <f>IF(DATOS!$A19230="",0,IF(CONFIG_METADATA!$B$4&lt;&gt;"OR+EX",--(DATOS!$G19230=CONFIG_METADATA!$B$4),IF(DATOS!$G19230="EX",1,IF(DATOS!$G19230="OR",--(COUNTIFS(nNIA,DATOS!$A19230,nCURSO,DATOS!$D19230,nESPEC,DATOS!$E19230,nASIG,DATOS!$I19230,nEVAL,"EX")=0),0))))</f>
      </c>
      <c r="H19230">
        <f>IF(DATOS!$G19230&lt;&gt;"EX",0,--(COUNTIFS(nNIA,DATOS!$A19230,nCURSO,DATOS!$D19230,nESPEC,DATOS!$E19230,nASIG,DATOS!$I19230,nEVAL,"OR")=0))</f>
      </c>
      <c r="I19230">
        <f>IF(DATOS!$I19230="","",IFERROR(VLOOKUP(DATOS!$I19230,CONFIG_ASIGNATURAS!$B$2:$J$91,9,FALSE()),""))</f>
      </c>
    </row>
    <row r="19231">
      <c r="F19231">
        <f>IF(DATOS!$A19231="","",DATOS!$A19231&amp;"|"&amp;DATOS!$D19231&amp;"|"&amp;DATOS!$E19231&amp;"|"&amp;DATOS!$I19231)</f>
      </c>
      <c r="G19231">
        <f>IF(DATOS!$A19231="",0,IF(CONFIG_METADATA!$B$4&lt;&gt;"OR+EX",--(DATOS!$G19231=CONFIG_METADATA!$B$4),IF(DATOS!$G19231="EX",1,IF(DATOS!$G19231="OR",--(COUNTIFS(nNIA,DATOS!$A19231,nCURSO,DATOS!$D19231,nESPEC,DATOS!$E19231,nASIG,DATOS!$I19231,nEVAL,"EX")=0),0))))</f>
      </c>
      <c r="H19231">
        <f>IF(DATOS!$G19231&lt;&gt;"EX",0,--(COUNTIFS(nNIA,DATOS!$A19231,nCURSO,DATOS!$D19231,nESPEC,DATOS!$E19231,nASIG,DATOS!$I19231,nEVAL,"OR")=0))</f>
      </c>
      <c r="I19231">
        <f>IF(DATOS!$I19231="","",IFERROR(VLOOKUP(DATOS!$I19231,CONFIG_ASIGNATURAS!$B$2:$J$91,9,FALSE()),""))</f>
      </c>
    </row>
    <row r="19232">
      <c r="F19232">
        <f>IF(DATOS!$A19232="","",DATOS!$A19232&amp;"|"&amp;DATOS!$D19232&amp;"|"&amp;DATOS!$E19232&amp;"|"&amp;DATOS!$I19232)</f>
      </c>
      <c r="G19232">
        <f>IF(DATOS!$A19232="",0,IF(CONFIG_METADATA!$B$4&lt;&gt;"OR+EX",--(DATOS!$G19232=CONFIG_METADATA!$B$4),IF(DATOS!$G19232="EX",1,IF(DATOS!$G19232="OR",--(COUNTIFS(nNIA,DATOS!$A19232,nCURSO,DATOS!$D19232,nESPEC,DATOS!$E19232,nASIG,DATOS!$I19232,nEVAL,"EX")=0),0))))</f>
      </c>
      <c r="H19232">
        <f>IF(DATOS!$G19232&lt;&gt;"EX",0,--(COUNTIFS(nNIA,DATOS!$A19232,nCURSO,DATOS!$D19232,nESPEC,DATOS!$E19232,nASIG,DATOS!$I19232,nEVAL,"OR")=0))</f>
      </c>
      <c r="I19232">
        <f>IF(DATOS!$I19232="","",IFERROR(VLOOKUP(DATOS!$I19232,CONFIG_ASIGNATURAS!$B$2:$J$91,9,FALSE()),""))</f>
      </c>
    </row>
    <row r="19233">
      <c r="F19233">
        <f>IF(DATOS!$A19233="","",DATOS!$A19233&amp;"|"&amp;DATOS!$D19233&amp;"|"&amp;DATOS!$E19233&amp;"|"&amp;DATOS!$I19233)</f>
      </c>
      <c r="G19233">
        <f>IF(DATOS!$A19233="",0,IF(CONFIG_METADATA!$B$4&lt;&gt;"OR+EX",--(DATOS!$G19233=CONFIG_METADATA!$B$4),IF(DATOS!$G19233="EX",1,IF(DATOS!$G19233="OR",--(COUNTIFS(nNIA,DATOS!$A19233,nCURSO,DATOS!$D19233,nESPEC,DATOS!$E19233,nASIG,DATOS!$I19233,nEVAL,"EX")=0),0))))</f>
      </c>
      <c r="H19233">
        <f>IF(DATOS!$G19233&lt;&gt;"EX",0,--(COUNTIFS(nNIA,DATOS!$A19233,nCURSO,DATOS!$D19233,nESPEC,DATOS!$E19233,nASIG,DATOS!$I19233,nEVAL,"OR")=0))</f>
      </c>
      <c r="I19233">
        <f>IF(DATOS!$I19233="","",IFERROR(VLOOKUP(DATOS!$I19233,CONFIG_ASIGNATURAS!$B$2:$J$91,9,FALSE()),""))</f>
      </c>
    </row>
    <row r="19234">
      <c r="F19234">
        <f>IF(DATOS!$A19234="","",DATOS!$A19234&amp;"|"&amp;DATOS!$D19234&amp;"|"&amp;DATOS!$E19234&amp;"|"&amp;DATOS!$I19234)</f>
      </c>
      <c r="G19234">
        <f>IF(DATOS!$A19234="",0,IF(CONFIG_METADATA!$B$4&lt;&gt;"OR+EX",--(DATOS!$G19234=CONFIG_METADATA!$B$4),IF(DATOS!$G19234="EX",1,IF(DATOS!$G19234="OR",--(COUNTIFS(nNIA,DATOS!$A19234,nCURSO,DATOS!$D19234,nESPEC,DATOS!$E19234,nASIG,DATOS!$I19234,nEVAL,"EX")=0),0))))</f>
      </c>
      <c r="H19234">
        <f>IF(DATOS!$G19234&lt;&gt;"EX",0,--(COUNTIFS(nNIA,DATOS!$A19234,nCURSO,DATOS!$D19234,nESPEC,DATOS!$E19234,nASIG,DATOS!$I19234,nEVAL,"OR")=0))</f>
      </c>
      <c r="I19234">
        <f>IF(DATOS!$I19234="","",IFERROR(VLOOKUP(DATOS!$I19234,CONFIG_ASIGNATURAS!$B$2:$J$91,9,FALSE()),""))</f>
      </c>
    </row>
    <row r="19235">
      <c r="F19235">
        <f>IF(DATOS!$A19235="","",DATOS!$A19235&amp;"|"&amp;DATOS!$D19235&amp;"|"&amp;DATOS!$E19235&amp;"|"&amp;DATOS!$I19235)</f>
      </c>
      <c r="G19235">
        <f>IF(DATOS!$A19235="",0,IF(CONFIG_METADATA!$B$4&lt;&gt;"OR+EX",--(DATOS!$G19235=CONFIG_METADATA!$B$4),IF(DATOS!$G19235="EX",1,IF(DATOS!$G19235="OR",--(COUNTIFS(nNIA,DATOS!$A19235,nCURSO,DATOS!$D19235,nESPEC,DATOS!$E19235,nASIG,DATOS!$I19235,nEVAL,"EX")=0),0))))</f>
      </c>
      <c r="H19235">
        <f>IF(DATOS!$G19235&lt;&gt;"EX",0,--(COUNTIFS(nNIA,DATOS!$A19235,nCURSO,DATOS!$D19235,nESPEC,DATOS!$E19235,nASIG,DATOS!$I19235,nEVAL,"OR")=0))</f>
      </c>
      <c r="I19235">
        <f>IF(DATOS!$I19235="","",IFERROR(VLOOKUP(DATOS!$I19235,CONFIG_ASIGNATURAS!$B$2:$J$91,9,FALSE()),""))</f>
      </c>
    </row>
    <row r="19236">
      <c r="F19236">
        <f>IF(DATOS!$A19236="","",DATOS!$A19236&amp;"|"&amp;DATOS!$D19236&amp;"|"&amp;DATOS!$E19236&amp;"|"&amp;DATOS!$I19236)</f>
      </c>
      <c r="G19236">
        <f>IF(DATOS!$A19236="",0,IF(CONFIG_METADATA!$B$4&lt;&gt;"OR+EX",--(DATOS!$G19236=CONFIG_METADATA!$B$4),IF(DATOS!$G19236="EX",1,IF(DATOS!$G19236="OR",--(COUNTIFS(nNIA,DATOS!$A19236,nCURSO,DATOS!$D19236,nESPEC,DATOS!$E19236,nASIG,DATOS!$I19236,nEVAL,"EX")=0),0))))</f>
      </c>
      <c r="H19236">
        <f>IF(DATOS!$G19236&lt;&gt;"EX",0,--(COUNTIFS(nNIA,DATOS!$A19236,nCURSO,DATOS!$D19236,nESPEC,DATOS!$E19236,nASIG,DATOS!$I19236,nEVAL,"OR")=0))</f>
      </c>
      <c r="I19236">
        <f>IF(DATOS!$I19236="","",IFERROR(VLOOKUP(DATOS!$I19236,CONFIG_ASIGNATURAS!$B$2:$J$91,9,FALSE()),""))</f>
      </c>
    </row>
    <row r="19237">
      <c r="F19237">
        <f>IF(DATOS!$A19237="","",DATOS!$A19237&amp;"|"&amp;DATOS!$D19237&amp;"|"&amp;DATOS!$E19237&amp;"|"&amp;DATOS!$I19237)</f>
      </c>
      <c r="G19237">
        <f>IF(DATOS!$A19237="",0,IF(CONFIG_METADATA!$B$4&lt;&gt;"OR+EX",--(DATOS!$G19237=CONFIG_METADATA!$B$4),IF(DATOS!$G19237="EX",1,IF(DATOS!$G19237="OR",--(COUNTIFS(nNIA,DATOS!$A19237,nCURSO,DATOS!$D19237,nESPEC,DATOS!$E19237,nASIG,DATOS!$I19237,nEVAL,"EX")=0),0))))</f>
      </c>
      <c r="H19237">
        <f>IF(DATOS!$G19237&lt;&gt;"EX",0,--(COUNTIFS(nNIA,DATOS!$A19237,nCURSO,DATOS!$D19237,nESPEC,DATOS!$E19237,nASIG,DATOS!$I19237,nEVAL,"OR")=0))</f>
      </c>
      <c r="I19237">
        <f>IF(DATOS!$I19237="","",IFERROR(VLOOKUP(DATOS!$I19237,CONFIG_ASIGNATURAS!$B$2:$J$91,9,FALSE()),""))</f>
      </c>
    </row>
    <row r="19238">
      <c r="F19238">
        <f>IF(DATOS!$A19238="","",DATOS!$A19238&amp;"|"&amp;DATOS!$D19238&amp;"|"&amp;DATOS!$E19238&amp;"|"&amp;DATOS!$I19238)</f>
      </c>
      <c r="G19238">
        <f>IF(DATOS!$A19238="",0,IF(CONFIG_METADATA!$B$4&lt;&gt;"OR+EX",--(DATOS!$G19238=CONFIG_METADATA!$B$4),IF(DATOS!$G19238="EX",1,IF(DATOS!$G19238="OR",--(COUNTIFS(nNIA,DATOS!$A19238,nCURSO,DATOS!$D19238,nESPEC,DATOS!$E19238,nASIG,DATOS!$I19238,nEVAL,"EX")=0),0))))</f>
      </c>
      <c r="H19238">
        <f>IF(DATOS!$G19238&lt;&gt;"EX",0,--(COUNTIFS(nNIA,DATOS!$A19238,nCURSO,DATOS!$D19238,nESPEC,DATOS!$E19238,nASIG,DATOS!$I19238,nEVAL,"OR")=0))</f>
      </c>
      <c r="I19238">
        <f>IF(DATOS!$I19238="","",IFERROR(VLOOKUP(DATOS!$I19238,CONFIG_ASIGNATURAS!$B$2:$J$91,9,FALSE()),""))</f>
      </c>
    </row>
    <row r="19239">
      <c r="F19239">
        <f>IF(DATOS!$A19239="","",DATOS!$A19239&amp;"|"&amp;DATOS!$D19239&amp;"|"&amp;DATOS!$E19239&amp;"|"&amp;DATOS!$I19239)</f>
      </c>
      <c r="G19239">
        <f>IF(DATOS!$A19239="",0,IF(CONFIG_METADATA!$B$4&lt;&gt;"OR+EX",--(DATOS!$G19239=CONFIG_METADATA!$B$4),IF(DATOS!$G19239="EX",1,IF(DATOS!$G19239="OR",--(COUNTIFS(nNIA,DATOS!$A19239,nCURSO,DATOS!$D19239,nESPEC,DATOS!$E19239,nASIG,DATOS!$I19239,nEVAL,"EX")=0),0))))</f>
      </c>
      <c r="H19239">
        <f>IF(DATOS!$G19239&lt;&gt;"EX",0,--(COUNTIFS(nNIA,DATOS!$A19239,nCURSO,DATOS!$D19239,nESPEC,DATOS!$E19239,nASIG,DATOS!$I19239,nEVAL,"OR")=0))</f>
      </c>
      <c r="I19239">
        <f>IF(DATOS!$I19239="","",IFERROR(VLOOKUP(DATOS!$I19239,CONFIG_ASIGNATURAS!$B$2:$J$91,9,FALSE()),""))</f>
      </c>
    </row>
    <row r="19240">
      <c r="F19240">
        <f>IF(DATOS!$A19240="","",DATOS!$A19240&amp;"|"&amp;DATOS!$D19240&amp;"|"&amp;DATOS!$E19240&amp;"|"&amp;DATOS!$I19240)</f>
      </c>
      <c r="G19240">
        <f>IF(DATOS!$A19240="",0,IF(CONFIG_METADATA!$B$4&lt;&gt;"OR+EX",--(DATOS!$G19240=CONFIG_METADATA!$B$4),IF(DATOS!$G19240="EX",1,IF(DATOS!$G19240="OR",--(COUNTIFS(nNIA,DATOS!$A19240,nCURSO,DATOS!$D19240,nESPEC,DATOS!$E19240,nASIG,DATOS!$I19240,nEVAL,"EX")=0),0))))</f>
      </c>
      <c r="H19240">
        <f>IF(DATOS!$G19240&lt;&gt;"EX",0,--(COUNTIFS(nNIA,DATOS!$A19240,nCURSO,DATOS!$D19240,nESPEC,DATOS!$E19240,nASIG,DATOS!$I19240,nEVAL,"OR")=0))</f>
      </c>
      <c r="I19240">
        <f>IF(DATOS!$I19240="","",IFERROR(VLOOKUP(DATOS!$I19240,CONFIG_ASIGNATURAS!$B$2:$J$91,9,FALSE()),""))</f>
      </c>
    </row>
    <row r="19241">
      <c r="F19241">
        <f>IF(DATOS!$A19241="","",DATOS!$A19241&amp;"|"&amp;DATOS!$D19241&amp;"|"&amp;DATOS!$E19241&amp;"|"&amp;DATOS!$I19241)</f>
      </c>
      <c r="G19241">
        <f>IF(DATOS!$A19241="",0,IF(CONFIG_METADATA!$B$4&lt;&gt;"OR+EX",--(DATOS!$G19241=CONFIG_METADATA!$B$4),IF(DATOS!$G19241="EX",1,IF(DATOS!$G19241="OR",--(COUNTIFS(nNIA,DATOS!$A19241,nCURSO,DATOS!$D19241,nESPEC,DATOS!$E19241,nASIG,DATOS!$I19241,nEVAL,"EX")=0),0))))</f>
      </c>
      <c r="H19241">
        <f>IF(DATOS!$G19241&lt;&gt;"EX",0,--(COUNTIFS(nNIA,DATOS!$A19241,nCURSO,DATOS!$D19241,nESPEC,DATOS!$E19241,nASIG,DATOS!$I19241,nEVAL,"OR")=0))</f>
      </c>
      <c r="I19241">
        <f>IF(DATOS!$I19241="","",IFERROR(VLOOKUP(DATOS!$I19241,CONFIG_ASIGNATURAS!$B$2:$J$91,9,FALSE()),""))</f>
      </c>
    </row>
    <row r="19242">
      <c r="F19242">
        <f>IF(DATOS!$A19242="","",DATOS!$A19242&amp;"|"&amp;DATOS!$D19242&amp;"|"&amp;DATOS!$E19242&amp;"|"&amp;DATOS!$I19242)</f>
      </c>
      <c r="G19242">
        <f>IF(DATOS!$A19242="",0,IF(CONFIG_METADATA!$B$4&lt;&gt;"OR+EX",--(DATOS!$G19242=CONFIG_METADATA!$B$4),IF(DATOS!$G19242="EX",1,IF(DATOS!$G19242="OR",--(COUNTIFS(nNIA,DATOS!$A19242,nCURSO,DATOS!$D19242,nESPEC,DATOS!$E19242,nASIG,DATOS!$I19242,nEVAL,"EX")=0),0))))</f>
      </c>
      <c r="H19242">
        <f>IF(DATOS!$G19242&lt;&gt;"EX",0,--(COUNTIFS(nNIA,DATOS!$A19242,nCURSO,DATOS!$D19242,nESPEC,DATOS!$E19242,nASIG,DATOS!$I19242,nEVAL,"OR")=0))</f>
      </c>
      <c r="I19242">
        <f>IF(DATOS!$I19242="","",IFERROR(VLOOKUP(DATOS!$I19242,CONFIG_ASIGNATURAS!$B$2:$J$91,9,FALSE()),""))</f>
      </c>
    </row>
    <row r="19243">
      <c r="F19243">
        <f>IF(DATOS!$A19243="","",DATOS!$A19243&amp;"|"&amp;DATOS!$D19243&amp;"|"&amp;DATOS!$E19243&amp;"|"&amp;DATOS!$I19243)</f>
      </c>
      <c r="G19243">
        <f>IF(DATOS!$A19243="",0,IF(CONFIG_METADATA!$B$4&lt;&gt;"OR+EX",--(DATOS!$G19243=CONFIG_METADATA!$B$4),IF(DATOS!$G19243="EX",1,IF(DATOS!$G19243="OR",--(COUNTIFS(nNIA,DATOS!$A19243,nCURSO,DATOS!$D19243,nESPEC,DATOS!$E19243,nASIG,DATOS!$I19243,nEVAL,"EX")=0),0))))</f>
      </c>
      <c r="H19243">
        <f>IF(DATOS!$G19243&lt;&gt;"EX",0,--(COUNTIFS(nNIA,DATOS!$A19243,nCURSO,DATOS!$D19243,nESPEC,DATOS!$E19243,nASIG,DATOS!$I19243,nEVAL,"OR")=0))</f>
      </c>
      <c r="I19243">
        <f>IF(DATOS!$I19243="","",IFERROR(VLOOKUP(DATOS!$I19243,CONFIG_ASIGNATURAS!$B$2:$J$91,9,FALSE()),""))</f>
      </c>
    </row>
    <row r="19244">
      <c r="F19244">
        <f>IF(DATOS!$A19244="","",DATOS!$A19244&amp;"|"&amp;DATOS!$D19244&amp;"|"&amp;DATOS!$E19244&amp;"|"&amp;DATOS!$I19244)</f>
      </c>
      <c r="G19244">
        <f>IF(DATOS!$A19244="",0,IF(CONFIG_METADATA!$B$4&lt;&gt;"OR+EX",--(DATOS!$G19244=CONFIG_METADATA!$B$4),IF(DATOS!$G19244="EX",1,IF(DATOS!$G19244="OR",--(COUNTIFS(nNIA,DATOS!$A19244,nCURSO,DATOS!$D19244,nESPEC,DATOS!$E19244,nASIG,DATOS!$I19244,nEVAL,"EX")=0),0))))</f>
      </c>
      <c r="H19244">
        <f>IF(DATOS!$G19244&lt;&gt;"EX",0,--(COUNTIFS(nNIA,DATOS!$A19244,nCURSO,DATOS!$D19244,nESPEC,DATOS!$E19244,nASIG,DATOS!$I19244,nEVAL,"OR")=0))</f>
      </c>
      <c r="I19244">
        <f>IF(DATOS!$I19244="","",IFERROR(VLOOKUP(DATOS!$I19244,CONFIG_ASIGNATURAS!$B$2:$J$91,9,FALSE()),""))</f>
      </c>
    </row>
    <row r="19245">
      <c r="F19245">
        <f>IF(DATOS!$A19245="","",DATOS!$A19245&amp;"|"&amp;DATOS!$D19245&amp;"|"&amp;DATOS!$E19245&amp;"|"&amp;DATOS!$I19245)</f>
      </c>
      <c r="G19245">
        <f>IF(DATOS!$A19245="",0,IF(CONFIG_METADATA!$B$4&lt;&gt;"OR+EX",--(DATOS!$G19245=CONFIG_METADATA!$B$4),IF(DATOS!$G19245="EX",1,IF(DATOS!$G19245="OR",--(COUNTIFS(nNIA,DATOS!$A19245,nCURSO,DATOS!$D19245,nESPEC,DATOS!$E19245,nASIG,DATOS!$I19245,nEVAL,"EX")=0),0))))</f>
      </c>
      <c r="H19245">
        <f>IF(DATOS!$G19245&lt;&gt;"EX",0,--(COUNTIFS(nNIA,DATOS!$A19245,nCURSO,DATOS!$D19245,nESPEC,DATOS!$E19245,nASIG,DATOS!$I19245,nEVAL,"OR")=0))</f>
      </c>
      <c r="I19245">
        <f>IF(DATOS!$I19245="","",IFERROR(VLOOKUP(DATOS!$I19245,CONFIG_ASIGNATURAS!$B$2:$J$91,9,FALSE()),""))</f>
      </c>
    </row>
    <row r="19246">
      <c r="F19246">
        <f>IF(DATOS!$A19246="","",DATOS!$A19246&amp;"|"&amp;DATOS!$D19246&amp;"|"&amp;DATOS!$E19246&amp;"|"&amp;DATOS!$I19246)</f>
      </c>
      <c r="G19246">
        <f>IF(DATOS!$A19246="",0,IF(CONFIG_METADATA!$B$4&lt;&gt;"OR+EX",--(DATOS!$G19246=CONFIG_METADATA!$B$4),IF(DATOS!$G19246="EX",1,IF(DATOS!$G19246="OR",--(COUNTIFS(nNIA,DATOS!$A19246,nCURSO,DATOS!$D19246,nESPEC,DATOS!$E19246,nASIG,DATOS!$I19246,nEVAL,"EX")=0),0))))</f>
      </c>
      <c r="H19246">
        <f>IF(DATOS!$G19246&lt;&gt;"EX",0,--(COUNTIFS(nNIA,DATOS!$A19246,nCURSO,DATOS!$D19246,nESPEC,DATOS!$E19246,nASIG,DATOS!$I19246,nEVAL,"OR")=0))</f>
      </c>
      <c r="I19246">
        <f>IF(DATOS!$I19246="","",IFERROR(VLOOKUP(DATOS!$I19246,CONFIG_ASIGNATURAS!$B$2:$J$91,9,FALSE()),""))</f>
      </c>
    </row>
    <row r="19247">
      <c r="F19247">
        <f>IF(DATOS!$A19247="","",DATOS!$A19247&amp;"|"&amp;DATOS!$D19247&amp;"|"&amp;DATOS!$E19247&amp;"|"&amp;DATOS!$I19247)</f>
      </c>
      <c r="G19247">
        <f>IF(DATOS!$A19247="",0,IF(CONFIG_METADATA!$B$4&lt;&gt;"OR+EX",--(DATOS!$G19247=CONFIG_METADATA!$B$4),IF(DATOS!$G19247="EX",1,IF(DATOS!$G19247="OR",--(COUNTIFS(nNIA,DATOS!$A19247,nCURSO,DATOS!$D19247,nESPEC,DATOS!$E19247,nASIG,DATOS!$I19247,nEVAL,"EX")=0),0))))</f>
      </c>
      <c r="H19247">
        <f>IF(DATOS!$G19247&lt;&gt;"EX",0,--(COUNTIFS(nNIA,DATOS!$A19247,nCURSO,DATOS!$D19247,nESPEC,DATOS!$E19247,nASIG,DATOS!$I19247,nEVAL,"OR")=0))</f>
      </c>
      <c r="I19247">
        <f>IF(DATOS!$I19247="","",IFERROR(VLOOKUP(DATOS!$I19247,CONFIG_ASIGNATURAS!$B$2:$J$91,9,FALSE()),""))</f>
      </c>
    </row>
    <row r="19248">
      <c r="F19248">
        <f>IF(DATOS!$A19248="","",DATOS!$A19248&amp;"|"&amp;DATOS!$D19248&amp;"|"&amp;DATOS!$E19248&amp;"|"&amp;DATOS!$I19248)</f>
      </c>
      <c r="G19248">
        <f>IF(DATOS!$A19248="",0,IF(CONFIG_METADATA!$B$4&lt;&gt;"OR+EX",--(DATOS!$G19248=CONFIG_METADATA!$B$4),IF(DATOS!$G19248="EX",1,IF(DATOS!$G19248="OR",--(COUNTIFS(nNIA,DATOS!$A19248,nCURSO,DATOS!$D19248,nESPEC,DATOS!$E19248,nASIG,DATOS!$I19248,nEVAL,"EX")=0),0))))</f>
      </c>
      <c r="H19248">
        <f>IF(DATOS!$G19248&lt;&gt;"EX",0,--(COUNTIFS(nNIA,DATOS!$A19248,nCURSO,DATOS!$D19248,nESPEC,DATOS!$E19248,nASIG,DATOS!$I19248,nEVAL,"OR")=0))</f>
      </c>
      <c r="I19248">
        <f>IF(DATOS!$I19248="","",IFERROR(VLOOKUP(DATOS!$I19248,CONFIG_ASIGNATURAS!$B$2:$J$91,9,FALSE()),""))</f>
      </c>
    </row>
    <row r="19249">
      <c r="F19249">
        <f>IF(DATOS!$A19249="","",DATOS!$A19249&amp;"|"&amp;DATOS!$D19249&amp;"|"&amp;DATOS!$E19249&amp;"|"&amp;DATOS!$I19249)</f>
      </c>
      <c r="G19249">
        <f>IF(DATOS!$A19249="",0,IF(CONFIG_METADATA!$B$4&lt;&gt;"OR+EX",--(DATOS!$G19249=CONFIG_METADATA!$B$4),IF(DATOS!$G19249="EX",1,IF(DATOS!$G19249="OR",--(COUNTIFS(nNIA,DATOS!$A19249,nCURSO,DATOS!$D19249,nESPEC,DATOS!$E19249,nASIG,DATOS!$I19249,nEVAL,"EX")=0),0))))</f>
      </c>
      <c r="H19249">
        <f>IF(DATOS!$G19249&lt;&gt;"EX",0,--(COUNTIFS(nNIA,DATOS!$A19249,nCURSO,DATOS!$D19249,nESPEC,DATOS!$E19249,nASIG,DATOS!$I19249,nEVAL,"OR")=0))</f>
      </c>
      <c r="I19249">
        <f>IF(DATOS!$I19249="","",IFERROR(VLOOKUP(DATOS!$I19249,CONFIG_ASIGNATURAS!$B$2:$J$91,9,FALSE()),""))</f>
      </c>
    </row>
    <row r="19250">
      <c r="F19250">
        <f>IF(DATOS!$A19250="","",DATOS!$A19250&amp;"|"&amp;DATOS!$D19250&amp;"|"&amp;DATOS!$E19250&amp;"|"&amp;DATOS!$I19250)</f>
      </c>
      <c r="G19250">
        <f>IF(DATOS!$A19250="",0,IF(CONFIG_METADATA!$B$4&lt;&gt;"OR+EX",--(DATOS!$G19250=CONFIG_METADATA!$B$4),IF(DATOS!$G19250="EX",1,IF(DATOS!$G19250="OR",--(COUNTIFS(nNIA,DATOS!$A19250,nCURSO,DATOS!$D19250,nESPEC,DATOS!$E19250,nASIG,DATOS!$I19250,nEVAL,"EX")=0),0))))</f>
      </c>
      <c r="H19250">
        <f>IF(DATOS!$G19250&lt;&gt;"EX",0,--(COUNTIFS(nNIA,DATOS!$A19250,nCURSO,DATOS!$D19250,nESPEC,DATOS!$E19250,nASIG,DATOS!$I19250,nEVAL,"OR")=0))</f>
      </c>
      <c r="I19250">
        <f>IF(DATOS!$I19250="","",IFERROR(VLOOKUP(DATOS!$I19250,CONFIG_ASIGNATURAS!$B$2:$J$91,9,FALSE()),""))</f>
      </c>
    </row>
    <row r="19251">
      <c r="F19251">
        <f>IF(DATOS!$A19251="","",DATOS!$A19251&amp;"|"&amp;DATOS!$D19251&amp;"|"&amp;DATOS!$E19251&amp;"|"&amp;DATOS!$I19251)</f>
      </c>
      <c r="G19251">
        <f>IF(DATOS!$A19251="",0,IF(CONFIG_METADATA!$B$4&lt;&gt;"OR+EX",--(DATOS!$G19251=CONFIG_METADATA!$B$4),IF(DATOS!$G19251="EX",1,IF(DATOS!$G19251="OR",--(COUNTIFS(nNIA,DATOS!$A19251,nCURSO,DATOS!$D19251,nESPEC,DATOS!$E19251,nASIG,DATOS!$I19251,nEVAL,"EX")=0),0))))</f>
      </c>
      <c r="H19251">
        <f>IF(DATOS!$G19251&lt;&gt;"EX",0,--(COUNTIFS(nNIA,DATOS!$A19251,nCURSO,DATOS!$D19251,nESPEC,DATOS!$E19251,nASIG,DATOS!$I19251,nEVAL,"OR")=0))</f>
      </c>
      <c r="I19251">
        <f>IF(DATOS!$I19251="","",IFERROR(VLOOKUP(DATOS!$I19251,CONFIG_ASIGNATURAS!$B$2:$J$91,9,FALSE()),""))</f>
      </c>
    </row>
    <row r="19252">
      <c r="F19252">
        <f>IF(DATOS!$A19252="","",DATOS!$A19252&amp;"|"&amp;DATOS!$D19252&amp;"|"&amp;DATOS!$E19252&amp;"|"&amp;DATOS!$I19252)</f>
      </c>
      <c r="G19252">
        <f>IF(DATOS!$A19252="",0,IF(CONFIG_METADATA!$B$4&lt;&gt;"OR+EX",--(DATOS!$G19252=CONFIG_METADATA!$B$4),IF(DATOS!$G19252="EX",1,IF(DATOS!$G19252="OR",--(COUNTIFS(nNIA,DATOS!$A19252,nCURSO,DATOS!$D19252,nESPEC,DATOS!$E19252,nASIG,DATOS!$I19252,nEVAL,"EX")=0),0))))</f>
      </c>
      <c r="H19252">
        <f>IF(DATOS!$G19252&lt;&gt;"EX",0,--(COUNTIFS(nNIA,DATOS!$A19252,nCURSO,DATOS!$D19252,nESPEC,DATOS!$E19252,nASIG,DATOS!$I19252,nEVAL,"OR")=0))</f>
      </c>
      <c r="I19252">
        <f>IF(DATOS!$I19252="","",IFERROR(VLOOKUP(DATOS!$I19252,CONFIG_ASIGNATURAS!$B$2:$J$91,9,FALSE()),""))</f>
      </c>
    </row>
    <row r="19253">
      <c r="F19253">
        <f>IF(DATOS!$A19253="","",DATOS!$A19253&amp;"|"&amp;DATOS!$D19253&amp;"|"&amp;DATOS!$E19253&amp;"|"&amp;DATOS!$I19253)</f>
      </c>
      <c r="G19253">
        <f>IF(DATOS!$A19253="",0,IF(CONFIG_METADATA!$B$4&lt;&gt;"OR+EX",--(DATOS!$G19253=CONFIG_METADATA!$B$4),IF(DATOS!$G19253="EX",1,IF(DATOS!$G19253="OR",--(COUNTIFS(nNIA,DATOS!$A19253,nCURSO,DATOS!$D19253,nESPEC,DATOS!$E19253,nASIG,DATOS!$I19253,nEVAL,"EX")=0),0))))</f>
      </c>
      <c r="H19253">
        <f>IF(DATOS!$G19253&lt;&gt;"EX",0,--(COUNTIFS(nNIA,DATOS!$A19253,nCURSO,DATOS!$D19253,nESPEC,DATOS!$E19253,nASIG,DATOS!$I19253,nEVAL,"OR")=0))</f>
      </c>
      <c r="I19253">
        <f>IF(DATOS!$I19253="","",IFERROR(VLOOKUP(DATOS!$I19253,CONFIG_ASIGNATURAS!$B$2:$J$91,9,FALSE()),""))</f>
      </c>
    </row>
    <row r="19254">
      <c r="F19254">
        <f>IF(DATOS!$A19254="","",DATOS!$A19254&amp;"|"&amp;DATOS!$D19254&amp;"|"&amp;DATOS!$E19254&amp;"|"&amp;DATOS!$I19254)</f>
      </c>
      <c r="G19254">
        <f>IF(DATOS!$A19254="",0,IF(CONFIG_METADATA!$B$4&lt;&gt;"OR+EX",--(DATOS!$G19254=CONFIG_METADATA!$B$4),IF(DATOS!$G19254="EX",1,IF(DATOS!$G19254="OR",--(COUNTIFS(nNIA,DATOS!$A19254,nCURSO,DATOS!$D19254,nESPEC,DATOS!$E19254,nASIG,DATOS!$I19254,nEVAL,"EX")=0),0))))</f>
      </c>
      <c r="H19254">
        <f>IF(DATOS!$G19254&lt;&gt;"EX",0,--(COUNTIFS(nNIA,DATOS!$A19254,nCURSO,DATOS!$D19254,nESPEC,DATOS!$E19254,nASIG,DATOS!$I19254,nEVAL,"OR")=0))</f>
      </c>
      <c r="I19254">
        <f>IF(DATOS!$I19254="","",IFERROR(VLOOKUP(DATOS!$I19254,CONFIG_ASIGNATURAS!$B$2:$J$91,9,FALSE()),""))</f>
      </c>
    </row>
    <row r="19255">
      <c r="F19255">
        <f>IF(DATOS!$A19255="","",DATOS!$A19255&amp;"|"&amp;DATOS!$D19255&amp;"|"&amp;DATOS!$E19255&amp;"|"&amp;DATOS!$I19255)</f>
      </c>
      <c r="G19255">
        <f>IF(DATOS!$A19255="",0,IF(CONFIG_METADATA!$B$4&lt;&gt;"OR+EX",--(DATOS!$G19255=CONFIG_METADATA!$B$4),IF(DATOS!$G19255="EX",1,IF(DATOS!$G19255="OR",--(COUNTIFS(nNIA,DATOS!$A19255,nCURSO,DATOS!$D19255,nESPEC,DATOS!$E19255,nASIG,DATOS!$I19255,nEVAL,"EX")=0),0))))</f>
      </c>
      <c r="H19255">
        <f>IF(DATOS!$G19255&lt;&gt;"EX",0,--(COUNTIFS(nNIA,DATOS!$A19255,nCURSO,DATOS!$D19255,nESPEC,DATOS!$E19255,nASIG,DATOS!$I19255,nEVAL,"OR")=0))</f>
      </c>
      <c r="I19255">
        <f>IF(DATOS!$I19255="","",IFERROR(VLOOKUP(DATOS!$I19255,CONFIG_ASIGNATURAS!$B$2:$J$91,9,FALSE()),""))</f>
      </c>
    </row>
    <row r="19256">
      <c r="F19256">
        <f>IF(DATOS!$A19256="","",DATOS!$A19256&amp;"|"&amp;DATOS!$D19256&amp;"|"&amp;DATOS!$E19256&amp;"|"&amp;DATOS!$I19256)</f>
      </c>
      <c r="G19256">
        <f>IF(DATOS!$A19256="",0,IF(CONFIG_METADATA!$B$4&lt;&gt;"OR+EX",--(DATOS!$G19256=CONFIG_METADATA!$B$4),IF(DATOS!$G19256="EX",1,IF(DATOS!$G19256="OR",--(COUNTIFS(nNIA,DATOS!$A19256,nCURSO,DATOS!$D19256,nESPEC,DATOS!$E19256,nASIG,DATOS!$I19256,nEVAL,"EX")=0),0))))</f>
      </c>
      <c r="H19256">
        <f>IF(DATOS!$G19256&lt;&gt;"EX",0,--(COUNTIFS(nNIA,DATOS!$A19256,nCURSO,DATOS!$D19256,nESPEC,DATOS!$E19256,nASIG,DATOS!$I19256,nEVAL,"OR")=0))</f>
      </c>
      <c r="I19256">
        <f>IF(DATOS!$I19256="","",IFERROR(VLOOKUP(DATOS!$I19256,CONFIG_ASIGNATURAS!$B$2:$J$91,9,FALSE()),""))</f>
      </c>
    </row>
    <row r="19257">
      <c r="F19257">
        <f>IF(DATOS!$A19257="","",DATOS!$A19257&amp;"|"&amp;DATOS!$D19257&amp;"|"&amp;DATOS!$E19257&amp;"|"&amp;DATOS!$I19257)</f>
      </c>
      <c r="G19257">
        <f>IF(DATOS!$A19257="",0,IF(CONFIG_METADATA!$B$4&lt;&gt;"OR+EX",--(DATOS!$G19257=CONFIG_METADATA!$B$4),IF(DATOS!$G19257="EX",1,IF(DATOS!$G19257="OR",--(COUNTIFS(nNIA,DATOS!$A19257,nCURSO,DATOS!$D19257,nESPEC,DATOS!$E19257,nASIG,DATOS!$I19257,nEVAL,"EX")=0),0))))</f>
      </c>
      <c r="H19257">
        <f>IF(DATOS!$G19257&lt;&gt;"EX",0,--(COUNTIFS(nNIA,DATOS!$A19257,nCURSO,DATOS!$D19257,nESPEC,DATOS!$E19257,nASIG,DATOS!$I19257,nEVAL,"OR")=0))</f>
      </c>
      <c r="I19257">
        <f>IF(DATOS!$I19257="","",IFERROR(VLOOKUP(DATOS!$I19257,CONFIG_ASIGNATURAS!$B$2:$J$91,9,FALSE()),""))</f>
      </c>
    </row>
    <row r="19258">
      <c r="F19258">
        <f>IF(DATOS!$A19258="","",DATOS!$A19258&amp;"|"&amp;DATOS!$D19258&amp;"|"&amp;DATOS!$E19258&amp;"|"&amp;DATOS!$I19258)</f>
      </c>
      <c r="G19258">
        <f>IF(DATOS!$A19258="",0,IF(CONFIG_METADATA!$B$4&lt;&gt;"OR+EX",--(DATOS!$G19258=CONFIG_METADATA!$B$4),IF(DATOS!$G19258="EX",1,IF(DATOS!$G19258="OR",--(COUNTIFS(nNIA,DATOS!$A19258,nCURSO,DATOS!$D19258,nESPEC,DATOS!$E19258,nASIG,DATOS!$I19258,nEVAL,"EX")=0),0))))</f>
      </c>
      <c r="H19258">
        <f>IF(DATOS!$G19258&lt;&gt;"EX",0,--(COUNTIFS(nNIA,DATOS!$A19258,nCURSO,DATOS!$D19258,nESPEC,DATOS!$E19258,nASIG,DATOS!$I19258,nEVAL,"OR")=0))</f>
      </c>
      <c r="I19258">
        <f>IF(DATOS!$I19258="","",IFERROR(VLOOKUP(DATOS!$I19258,CONFIG_ASIGNATURAS!$B$2:$J$91,9,FALSE()),""))</f>
      </c>
    </row>
    <row r="19259">
      <c r="F19259">
        <f>IF(DATOS!$A19259="","",DATOS!$A19259&amp;"|"&amp;DATOS!$D19259&amp;"|"&amp;DATOS!$E19259&amp;"|"&amp;DATOS!$I19259)</f>
      </c>
      <c r="G19259">
        <f>IF(DATOS!$A19259="",0,IF(CONFIG_METADATA!$B$4&lt;&gt;"OR+EX",--(DATOS!$G19259=CONFIG_METADATA!$B$4),IF(DATOS!$G19259="EX",1,IF(DATOS!$G19259="OR",--(COUNTIFS(nNIA,DATOS!$A19259,nCURSO,DATOS!$D19259,nESPEC,DATOS!$E19259,nASIG,DATOS!$I19259,nEVAL,"EX")=0),0))))</f>
      </c>
      <c r="H19259">
        <f>IF(DATOS!$G19259&lt;&gt;"EX",0,--(COUNTIFS(nNIA,DATOS!$A19259,nCURSO,DATOS!$D19259,nESPEC,DATOS!$E19259,nASIG,DATOS!$I19259,nEVAL,"OR")=0))</f>
      </c>
      <c r="I19259">
        <f>IF(DATOS!$I19259="","",IFERROR(VLOOKUP(DATOS!$I19259,CONFIG_ASIGNATURAS!$B$2:$J$91,9,FALSE()),""))</f>
      </c>
    </row>
    <row r="19260">
      <c r="F19260">
        <f>IF(DATOS!$A19260="","",DATOS!$A19260&amp;"|"&amp;DATOS!$D19260&amp;"|"&amp;DATOS!$E19260&amp;"|"&amp;DATOS!$I19260)</f>
      </c>
      <c r="G19260">
        <f>IF(DATOS!$A19260="",0,IF(CONFIG_METADATA!$B$4&lt;&gt;"OR+EX",--(DATOS!$G19260=CONFIG_METADATA!$B$4),IF(DATOS!$G19260="EX",1,IF(DATOS!$G19260="OR",--(COUNTIFS(nNIA,DATOS!$A19260,nCURSO,DATOS!$D19260,nESPEC,DATOS!$E19260,nASIG,DATOS!$I19260,nEVAL,"EX")=0),0))))</f>
      </c>
      <c r="H19260">
        <f>IF(DATOS!$G19260&lt;&gt;"EX",0,--(COUNTIFS(nNIA,DATOS!$A19260,nCURSO,DATOS!$D19260,nESPEC,DATOS!$E19260,nASIG,DATOS!$I19260,nEVAL,"OR")=0))</f>
      </c>
      <c r="I19260">
        <f>IF(DATOS!$I19260="","",IFERROR(VLOOKUP(DATOS!$I19260,CONFIG_ASIGNATURAS!$B$2:$J$91,9,FALSE()),""))</f>
      </c>
    </row>
    <row r="19261">
      <c r="F19261">
        <f>IF(DATOS!$A19261="","",DATOS!$A19261&amp;"|"&amp;DATOS!$D19261&amp;"|"&amp;DATOS!$E19261&amp;"|"&amp;DATOS!$I19261)</f>
      </c>
      <c r="G19261">
        <f>IF(DATOS!$A19261="",0,IF(CONFIG_METADATA!$B$4&lt;&gt;"OR+EX",--(DATOS!$G19261=CONFIG_METADATA!$B$4),IF(DATOS!$G19261="EX",1,IF(DATOS!$G19261="OR",--(COUNTIFS(nNIA,DATOS!$A19261,nCURSO,DATOS!$D19261,nESPEC,DATOS!$E19261,nASIG,DATOS!$I19261,nEVAL,"EX")=0),0))))</f>
      </c>
      <c r="H19261">
        <f>IF(DATOS!$G19261&lt;&gt;"EX",0,--(COUNTIFS(nNIA,DATOS!$A19261,nCURSO,DATOS!$D19261,nESPEC,DATOS!$E19261,nASIG,DATOS!$I19261,nEVAL,"OR")=0))</f>
      </c>
      <c r="I19261">
        <f>IF(DATOS!$I19261="","",IFERROR(VLOOKUP(DATOS!$I19261,CONFIG_ASIGNATURAS!$B$2:$J$91,9,FALSE()),""))</f>
      </c>
    </row>
    <row r="19262">
      <c r="F19262">
        <f>IF(DATOS!$A19262="","",DATOS!$A19262&amp;"|"&amp;DATOS!$D19262&amp;"|"&amp;DATOS!$E19262&amp;"|"&amp;DATOS!$I19262)</f>
      </c>
      <c r="G19262">
        <f>IF(DATOS!$A19262="",0,IF(CONFIG_METADATA!$B$4&lt;&gt;"OR+EX",--(DATOS!$G19262=CONFIG_METADATA!$B$4),IF(DATOS!$G19262="EX",1,IF(DATOS!$G19262="OR",--(COUNTIFS(nNIA,DATOS!$A19262,nCURSO,DATOS!$D19262,nESPEC,DATOS!$E19262,nASIG,DATOS!$I19262,nEVAL,"EX")=0),0))))</f>
      </c>
      <c r="H19262">
        <f>IF(DATOS!$G19262&lt;&gt;"EX",0,--(COUNTIFS(nNIA,DATOS!$A19262,nCURSO,DATOS!$D19262,nESPEC,DATOS!$E19262,nASIG,DATOS!$I19262,nEVAL,"OR")=0))</f>
      </c>
      <c r="I19262">
        <f>IF(DATOS!$I19262="","",IFERROR(VLOOKUP(DATOS!$I19262,CONFIG_ASIGNATURAS!$B$2:$J$91,9,FALSE()),""))</f>
      </c>
    </row>
    <row r="19263">
      <c r="F19263">
        <f>IF(DATOS!$A19263="","",DATOS!$A19263&amp;"|"&amp;DATOS!$D19263&amp;"|"&amp;DATOS!$E19263&amp;"|"&amp;DATOS!$I19263)</f>
      </c>
      <c r="G19263">
        <f>IF(DATOS!$A19263="",0,IF(CONFIG_METADATA!$B$4&lt;&gt;"OR+EX",--(DATOS!$G19263=CONFIG_METADATA!$B$4),IF(DATOS!$G19263="EX",1,IF(DATOS!$G19263="OR",--(COUNTIFS(nNIA,DATOS!$A19263,nCURSO,DATOS!$D19263,nESPEC,DATOS!$E19263,nASIG,DATOS!$I19263,nEVAL,"EX")=0),0))))</f>
      </c>
      <c r="H19263">
        <f>IF(DATOS!$G19263&lt;&gt;"EX",0,--(COUNTIFS(nNIA,DATOS!$A19263,nCURSO,DATOS!$D19263,nESPEC,DATOS!$E19263,nASIG,DATOS!$I19263,nEVAL,"OR")=0))</f>
      </c>
      <c r="I19263">
        <f>IF(DATOS!$I19263="","",IFERROR(VLOOKUP(DATOS!$I19263,CONFIG_ASIGNATURAS!$B$2:$J$91,9,FALSE()),""))</f>
      </c>
    </row>
    <row r="19264">
      <c r="F19264">
        <f>IF(DATOS!$A19264="","",DATOS!$A19264&amp;"|"&amp;DATOS!$D19264&amp;"|"&amp;DATOS!$E19264&amp;"|"&amp;DATOS!$I19264)</f>
      </c>
      <c r="G19264">
        <f>IF(DATOS!$A19264="",0,IF(CONFIG_METADATA!$B$4&lt;&gt;"OR+EX",--(DATOS!$G19264=CONFIG_METADATA!$B$4),IF(DATOS!$G19264="EX",1,IF(DATOS!$G19264="OR",--(COUNTIFS(nNIA,DATOS!$A19264,nCURSO,DATOS!$D19264,nESPEC,DATOS!$E19264,nASIG,DATOS!$I19264,nEVAL,"EX")=0),0))))</f>
      </c>
      <c r="H19264">
        <f>IF(DATOS!$G19264&lt;&gt;"EX",0,--(COUNTIFS(nNIA,DATOS!$A19264,nCURSO,DATOS!$D19264,nESPEC,DATOS!$E19264,nASIG,DATOS!$I19264,nEVAL,"OR")=0))</f>
      </c>
      <c r="I19264">
        <f>IF(DATOS!$I19264="","",IFERROR(VLOOKUP(DATOS!$I19264,CONFIG_ASIGNATURAS!$B$2:$J$91,9,FALSE()),""))</f>
      </c>
    </row>
    <row r="19265">
      <c r="F19265">
        <f>IF(DATOS!$A19265="","",DATOS!$A19265&amp;"|"&amp;DATOS!$D19265&amp;"|"&amp;DATOS!$E19265&amp;"|"&amp;DATOS!$I19265)</f>
      </c>
      <c r="G19265">
        <f>IF(DATOS!$A19265="",0,IF(CONFIG_METADATA!$B$4&lt;&gt;"OR+EX",--(DATOS!$G19265=CONFIG_METADATA!$B$4),IF(DATOS!$G19265="EX",1,IF(DATOS!$G19265="OR",--(COUNTIFS(nNIA,DATOS!$A19265,nCURSO,DATOS!$D19265,nESPEC,DATOS!$E19265,nASIG,DATOS!$I19265,nEVAL,"EX")=0),0))))</f>
      </c>
      <c r="H19265">
        <f>IF(DATOS!$G19265&lt;&gt;"EX",0,--(COUNTIFS(nNIA,DATOS!$A19265,nCURSO,DATOS!$D19265,nESPEC,DATOS!$E19265,nASIG,DATOS!$I19265,nEVAL,"OR")=0))</f>
      </c>
      <c r="I19265">
        <f>IF(DATOS!$I19265="","",IFERROR(VLOOKUP(DATOS!$I19265,CONFIG_ASIGNATURAS!$B$2:$J$91,9,FALSE()),""))</f>
      </c>
    </row>
    <row r="19266">
      <c r="F19266">
        <f>IF(DATOS!$A19266="","",DATOS!$A19266&amp;"|"&amp;DATOS!$D19266&amp;"|"&amp;DATOS!$E19266&amp;"|"&amp;DATOS!$I19266)</f>
      </c>
      <c r="G19266">
        <f>IF(DATOS!$A19266="",0,IF(CONFIG_METADATA!$B$4&lt;&gt;"OR+EX",--(DATOS!$G19266=CONFIG_METADATA!$B$4),IF(DATOS!$G19266="EX",1,IF(DATOS!$G19266="OR",--(COUNTIFS(nNIA,DATOS!$A19266,nCURSO,DATOS!$D19266,nESPEC,DATOS!$E19266,nASIG,DATOS!$I19266,nEVAL,"EX")=0),0))))</f>
      </c>
      <c r="H19266">
        <f>IF(DATOS!$G19266&lt;&gt;"EX",0,--(COUNTIFS(nNIA,DATOS!$A19266,nCURSO,DATOS!$D19266,nESPEC,DATOS!$E19266,nASIG,DATOS!$I19266,nEVAL,"OR")=0))</f>
      </c>
      <c r="I19266">
        <f>IF(DATOS!$I19266="","",IFERROR(VLOOKUP(DATOS!$I19266,CONFIG_ASIGNATURAS!$B$2:$J$91,9,FALSE()),""))</f>
      </c>
    </row>
    <row r="19267">
      <c r="F19267">
        <f>IF(DATOS!$A19267="","",DATOS!$A19267&amp;"|"&amp;DATOS!$D19267&amp;"|"&amp;DATOS!$E19267&amp;"|"&amp;DATOS!$I19267)</f>
      </c>
      <c r="G19267">
        <f>IF(DATOS!$A19267="",0,IF(CONFIG_METADATA!$B$4&lt;&gt;"OR+EX",--(DATOS!$G19267=CONFIG_METADATA!$B$4),IF(DATOS!$G19267="EX",1,IF(DATOS!$G19267="OR",--(COUNTIFS(nNIA,DATOS!$A19267,nCURSO,DATOS!$D19267,nESPEC,DATOS!$E19267,nASIG,DATOS!$I19267,nEVAL,"EX")=0),0))))</f>
      </c>
      <c r="H19267">
        <f>IF(DATOS!$G19267&lt;&gt;"EX",0,--(COUNTIFS(nNIA,DATOS!$A19267,nCURSO,DATOS!$D19267,nESPEC,DATOS!$E19267,nASIG,DATOS!$I19267,nEVAL,"OR")=0))</f>
      </c>
      <c r="I19267">
        <f>IF(DATOS!$I19267="","",IFERROR(VLOOKUP(DATOS!$I19267,CONFIG_ASIGNATURAS!$B$2:$J$91,9,FALSE()),""))</f>
      </c>
    </row>
    <row r="19268">
      <c r="F19268">
        <f>IF(DATOS!$A19268="","",DATOS!$A19268&amp;"|"&amp;DATOS!$D19268&amp;"|"&amp;DATOS!$E19268&amp;"|"&amp;DATOS!$I19268)</f>
      </c>
      <c r="G19268">
        <f>IF(DATOS!$A19268="",0,IF(CONFIG_METADATA!$B$4&lt;&gt;"OR+EX",--(DATOS!$G19268=CONFIG_METADATA!$B$4),IF(DATOS!$G19268="EX",1,IF(DATOS!$G19268="OR",--(COUNTIFS(nNIA,DATOS!$A19268,nCURSO,DATOS!$D19268,nESPEC,DATOS!$E19268,nASIG,DATOS!$I19268,nEVAL,"EX")=0),0))))</f>
      </c>
      <c r="H19268">
        <f>IF(DATOS!$G19268&lt;&gt;"EX",0,--(COUNTIFS(nNIA,DATOS!$A19268,nCURSO,DATOS!$D19268,nESPEC,DATOS!$E19268,nASIG,DATOS!$I19268,nEVAL,"OR")=0))</f>
      </c>
      <c r="I19268">
        <f>IF(DATOS!$I19268="","",IFERROR(VLOOKUP(DATOS!$I19268,CONFIG_ASIGNATURAS!$B$2:$J$91,9,FALSE()),""))</f>
      </c>
    </row>
    <row r="19269">
      <c r="F19269">
        <f>IF(DATOS!$A19269="","",DATOS!$A19269&amp;"|"&amp;DATOS!$D19269&amp;"|"&amp;DATOS!$E19269&amp;"|"&amp;DATOS!$I19269)</f>
      </c>
      <c r="G19269">
        <f>IF(DATOS!$A19269="",0,IF(CONFIG_METADATA!$B$4&lt;&gt;"OR+EX",--(DATOS!$G19269=CONFIG_METADATA!$B$4),IF(DATOS!$G19269="EX",1,IF(DATOS!$G19269="OR",--(COUNTIFS(nNIA,DATOS!$A19269,nCURSO,DATOS!$D19269,nESPEC,DATOS!$E19269,nASIG,DATOS!$I19269,nEVAL,"EX")=0),0))))</f>
      </c>
      <c r="H19269">
        <f>IF(DATOS!$G19269&lt;&gt;"EX",0,--(COUNTIFS(nNIA,DATOS!$A19269,nCURSO,DATOS!$D19269,nESPEC,DATOS!$E19269,nASIG,DATOS!$I19269,nEVAL,"OR")=0))</f>
      </c>
      <c r="I19269">
        <f>IF(DATOS!$I19269="","",IFERROR(VLOOKUP(DATOS!$I19269,CONFIG_ASIGNATURAS!$B$2:$J$91,9,FALSE()),""))</f>
      </c>
    </row>
    <row r="19270">
      <c r="F19270">
        <f>IF(DATOS!$A19270="","",DATOS!$A19270&amp;"|"&amp;DATOS!$D19270&amp;"|"&amp;DATOS!$E19270&amp;"|"&amp;DATOS!$I19270)</f>
      </c>
      <c r="G19270">
        <f>IF(DATOS!$A19270="",0,IF(CONFIG_METADATA!$B$4&lt;&gt;"OR+EX",--(DATOS!$G19270=CONFIG_METADATA!$B$4),IF(DATOS!$G19270="EX",1,IF(DATOS!$G19270="OR",--(COUNTIFS(nNIA,DATOS!$A19270,nCURSO,DATOS!$D19270,nESPEC,DATOS!$E19270,nASIG,DATOS!$I19270,nEVAL,"EX")=0),0))))</f>
      </c>
      <c r="H19270">
        <f>IF(DATOS!$G19270&lt;&gt;"EX",0,--(COUNTIFS(nNIA,DATOS!$A19270,nCURSO,DATOS!$D19270,nESPEC,DATOS!$E19270,nASIG,DATOS!$I19270,nEVAL,"OR")=0))</f>
      </c>
      <c r="I19270">
        <f>IF(DATOS!$I19270="","",IFERROR(VLOOKUP(DATOS!$I19270,CONFIG_ASIGNATURAS!$B$2:$J$91,9,FALSE()),""))</f>
      </c>
    </row>
    <row r="19271">
      <c r="F19271">
        <f>IF(DATOS!$A19271="","",DATOS!$A19271&amp;"|"&amp;DATOS!$D19271&amp;"|"&amp;DATOS!$E19271&amp;"|"&amp;DATOS!$I19271)</f>
      </c>
      <c r="G19271">
        <f>IF(DATOS!$A19271="",0,IF(CONFIG_METADATA!$B$4&lt;&gt;"OR+EX",--(DATOS!$G19271=CONFIG_METADATA!$B$4),IF(DATOS!$G19271="EX",1,IF(DATOS!$G19271="OR",--(COUNTIFS(nNIA,DATOS!$A19271,nCURSO,DATOS!$D19271,nESPEC,DATOS!$E19271,nASIG,DATOS!$I19271,nEVAL,"EX")=0),0))))</f>
      </c>
      <c r="H19271">
        <f>IF(DATOS!$G19271&lt;&gt;"EX",0,--(COUNTIFS(nNIA,DATOS!$A19271,nCURSO,DATOS!$D19271,nESPEC,DATOS!$E19271,nASIG,DATOS!$I19271,nEVAL,"OR")=0))</f>
      </c>
      <c r="I19271">
        <f>IF(DATOS!$I19271="","",IFERROR(VLOOKUP(DATOS!$I19271,CONFIG_ASIGNATURAS!$B$2:$J$91,9,FALSE()),""))</f>
      </c>
    </row>
    <row r="19272">
      <c r="F19272">
        <f>IF(DATOS!$A19272="","",DATOS!$A19272&amp;"|"&amp;DATOS!$D19272&amp;"|"&amp;DATOS!$E19272&amp;"|"&amp;DATOS!$I19272)</f>
      </c>
      <c r="G19272">
        <f>IF(DATOS!$A19272="",0,IF(CONFIG_METADATA!$B$4&lt;&gt;"OR+EX",--(DATOS!$G19272=CONFIG_METADATA!$B$4),IF(DATOS!$G19272="EX",1,IF(DATOS!$G19272="OR",--(COUNTIFS(nNIA,DATOS!$A19272,nCURSO,DATOS!$D19272,nESPEC,DATOS!$E19272,nASIG,DATOS!$I19272,nEVAL,"EX")=0),0))))</f>
      </c>
      <c r="H19272">
        <f>IF(DATOS!$G19272&lt;&gt;"EX",0,--(COUNTIFS(nNIA,DATOS!$A19272,nCURSO,DATOS!$D19272,nESPEC,DATOS!$E19272,nASIG,DATOS!$I19272,nEVAL,"OR")=0))</f>
      </c>
      <c r="I19272">
        <f>IF(DATOS!$I19272="","",IFERROR(VLOOKUP(DATOS!$I19272,CONFIG_ASIGNATURAS!$B$2:$J$91,9,FALSE()),""))</f>
      </c>
    </row>
    <row r="19273">
      <c r="F19273">
        <f>IF(DATOS!$A19273="","",DATOS!$A19273&amp;"|"&amp;DATOS!$D19273&amp;"|"&amp;DATOS!$E19273&amp;"|"&amp;DATOS!$I19273)</f>
      </c>
      <c r="G19273">
        <f>IF(DATOS!$A19273="",0,IF(CONFIG_METADATA!$B$4&lt;&gt;"OR+EX",--(DATOS!$G19273=CONFIG_METADATA!$B$4),IF(DATOS!$G19273="EX",1,IF(DATOS!$G19273="OR",--(COUNTIFS(nNIA,DATOS!$A19273,nCURSO,DATOS!$D19273,nESPEC,DATOS!$E19273,nASIG,DATOS!$I19273,nEVAL,"EX")=0),0))))</f>
      </c>
      <c r="H19273">
        <f>IF(DATOS!$G19273&lt;&gt;"EX",0,--(COUNTIFS(nNIA,DATOS!$A19273,nCURSO,DATOS!$D19273,nESPEC,DATOS!$E19273,nASIG,DATOS!$I19273,nEVAL,"OR")=0))</f>
      </c>
      <c r="I19273">
        <f>IF(DATOS!$I19273="","",IFERROR(VLOOKUP(DATOS!$I19273,CONFIG_ASIGNATURAS!$B$2:$J$91,9,FALSE()),""))</f>
      </c>
    </row>
    <row r="19274">
      <c r="F19274">
        <f>IF(DATOS!$A19274="","",DATOS!$A19274&amp;"|"&amp;DATOS!$D19274&amp;"|"&amp;DATOS!$E19274&amp;"|"&amp;DATOS!$I19274)</f>
      </c>
      <c r="G19274">
        <f>IF(DATOS!$A19274="",0,IF(CONFIG_METADATA!$B$4&lt;&gt;"OR+EX",--(DATOS!$G19274=CONFIG_METADATA!$B$4),IF(DATOS!$G19274="EX",1,IF(DATOS!$G19274="OR",--(COUNTIFS(nNIA,DATOS!$A19274,nCURSO,DATOS!$D19274,nESPEC,DATOS!$E19274,nASIG,DATOS!$I19274,nEVAL,"EX")=0),0))))</f>
      </c>
      <c r="H19274">
        <f>IF(DATOS!$G19274&lt;&gt;"EX",0,--(COUNTIFS(nNIA,DATOS!$A19274,nCURSO,DATOS!$D19274,nESPEC,DATOS!$E19274,nASIG,DATOS!$I19274,nEVAL,"OR")=0))</f>
      </c>
      <c r="I19274">
        <f>IF(DATOS!$I19274="","",IFERROR(VLOOKUP(DATOS!$I19274,CONFIG_ASIGNATURAS!$B$2:$J$91,9,FALSE()),""))</f>
      </c>
    </row>
    <row r="19275">
      <c r="F19275">
        <f>IF(DATOS!$A19275="","",DATOS!$A19275&amp;"|"&amp;DATOS!$D19275&amp;"|"&amp;DATOS!$E19275&amp;"|"&amp;DATOS!$I19275)</f>
      </c>
      <c r="G19275">
        <f>IF(DATOS!$A19275="",0,IF(CONFIG_METADATA!$B$4&lt;&gt;"OR+EX",--(DATOS!$G19275=CONFIG_METADATA!$B$4),IF(DATOS!$G19275="EX",1,IF(DATOS!$G19275="OR",--(COUNTIFS(nNIA,DATOS!$A19275,nCURSO,DATOS!$D19275,nESPEC,DATOS!$E19275,nASIG,DATOS!$I19275,nEVAL,"EX")=0),0))))</f>
      </c>
      <c r="H19275">
        <f>IF(DATOS!$G19275&lt;&gt;"EX",0,--(COUNTIFS(nNIA,DATOS!$A19275,nCURSO,DATOS!$D19275,nESPEC,DATOS!$E19275,nASIG,DATOS!$I19275,nEVAL,"OR")=0))</f>
      </c>
      <c r="I19275">
        <f>IF(DATOS!$I19275="","",IFERROR(VLOOKUP(DATOS!$I19275,CONFIG_ASIGNATURAS!$B$2:$J$91,9,FALSE()),""))</f>
      </c>
    </row>
    <row r="19276">
      <c r="F19276">
        <f>IF(DATOS!$A19276="","",DATOS!$A19276&amp;"|"&amp;DATOS!$D19276&amp;"|"&amp;DATOS!$E19276&amp;"|"&amp;DATOS!$I19276)</f>
      </c>
      <c r="G19276">
        <f>IF(DATOS!$A19276="",0,IF(CONFIG_METADATA!$B$4&lt;&gt;"OR+EX",--(DATOS!$G19276=CONFIG_METADATA!$B$4),IF(DATOS!$G19276="EX",1,IF(DATOS!$G19276="OR",--(COUNTIFS(nNIA,DATOS!$A19276,nCURSO,DATOS!$D19276,nESPEC,DATOS!$E19276,nASIG,DATOS!$I19276,nEVAL,"EX")=0),0))))</f>
      </c>
      <c r="H19276">
        <f>IF(DATOS!$G19276&lt;&gt;"EX",0,--(COUNTIFS(nNIA,DATOS!$A19276,nCURSO,DATOS!$D19276,nESPEC,DATOS!$E19276,nASIG,DATOS!$I19276,nEVAL,"OR")=0))</f>
      </c>
      <c r="I19276">
        <f>IF(DATOS!$I19276="","",IFERROR(VLOOKUP(DATOS!$I19276,CONFIG_ASIGNATURAS!$B$2:$J$91,9,FALSE()),""))</f>
      </c>
    </row>
    <row r="19277">
      <c r="F19277">
        <f>IF(DATOS!$A19277="","",DATOS!$A19277&amp;"|"&amp;DATOS!$D19277&amp;"|"&amp;DATOS!$E19277&amp;"|"&amp;DATOS!$I19277)</f>
      </c>
      <c r="G19277">
        <f>IF(DATOS!$A19277="",0,IF(CONFIG_METADATA!$B$4&lt;&gt;"OR+EX",--(DATOS!$G19277=CONFIG_METADATA!$B$4),IF(DATOS!$G19277="EX",1,IF(DATOS!$G19277="OR",--(COUNTIFS(nNIA,DATOS!$A19277,nCURSO,DATOS!$D19277,nESPEC,DATOS!$E19277,nASIG,DATOS!$I19277,nEVAL,"EX")=0),0))))</f>
      </c>
      <c r="H19277">
        <f>IF(DATOS!$G19277&lt;&gt;"EX",0,--(COUNTIFS(nNIA,DATOS!$A19277,nCURSO,DATOS!$D19277,nESPEC,DATOS!$E19277,nASIG,DATOS!$I19277,nEVAL,"OR")=0))</f>
      </c>
      <c r="I19277">
        <f>IF(DATOS!$I19277="","",IFERROR(VLOOKUP(DATOS!$I19277,CONFIG_ASIGNATURAS!$B$2:$J$91,9,FALSE()),""))</f>
      </c>
    </row>
    <row r="19278">
      <c r="F19278">
        <f>IF(DATOS!$A19278="","",DATOS!$A19278&amp;"|"&amp;DATOS!$D19278&amp;"|"&amp;DATOS!$E19278&amp;"|"&amp;DATOS!$I19278)</f>
      </c>
      <c r="G19278">
        <f>IF(DATOS!$A19278="",0,IF(CONFIG_METADATA!$B$4&lt;&gt;"OR+EX",--(DATOS!$G19278=CONFIG_METADATA!$B$4),IF(DATOS!$G19278="EX",1,IF(DATOS!$G19278="OR",--(COUNTIFS(nNIA,DATOS!$A19278,nCURSO,DATOS!$D19278,nESPEC,DATOS!$E19278,nASIG,DATOS!$I19278,nEVAL,"EX")=0),0))))</f>
      </c>
      <c r="H19278">
        <f>IF(DATOS!$G19278&lt;&gt;"EX",0,--(COUNTIFS(nNIA,DATOS!$A19278,nCURSO,DATOS!$D19278,nESPEC,DATOS!$E19278,nASIG,DATOS!$I19278,nEVAL,"OR")=0))</f>
      </c>
      <c r="I19278">
        <f>IF(DATOS!$I19278="","",IFERROR(VLOOKUP(DATOS!$I19278,CONFIG_ASIGNATURAS!$B$2:$J$91,9,FALSE()),""))</f>
      </c>
    </row>
    <row r="19279">
      <c r="F19279">
        <f>IF(DATOS!$A19279="","",DATOS!$A19279&amp;"|"&amp;DATOS!$D19279&amp;"|"&amp;DATOS!$E19279&amp;"|"&amp;DATOS!$I19279)</f>
      </c>
      <c r="G19279">
        <f>IF(DATOS!$A19279="",0,IF(CONFIG_METADATA!$B$4&lt;&gt;"OR+EX",--(DATOS!$G19279=CONFIG_METADATA!$B$4),IF(DATOS!$G19279="EX",1,IF(DATOS!$G19279="OR",--(COUNTIFS(nNIA,DATOS!$A19279,nCURSO,DATOS!$D19279,nESPEC,DATOS!$E19279,nASIG,DATOS!$I19279,nEVAL,"EX")=0),0))))</f>
      </c>
      <c r="H19279">
        <f>IF(DATOS!$G19279&lt;&gt;"EX",0,--(COUNTIFS(nNIA,DATOS!$A19279,nCURSO,DATOS!$D19279,nESPEC,DATOS!$E19279,nASIG,DATOS!$I19279,nEVAL,"OR")=0))</f>
      </c>
      <c r="I19279">
        <f>IF(DATOS!$I19279="","",IFERROR(VLOOKUP(DATOS!$I19279,CONFIG_ASIGNATURAS!$B$2:$J$91,9,FALSE()),""))</f>
      </c>
    </row>
    <row r="19280">
      <c r="F19280">
        <f>IF(DATOS!$A19280="","",DATOS!$A19280&amp;"|"&amp;DATOS!$D19280&amp;"|"&amp;DATOS!$E19280&amp;"|"&amp;DATOS!$I19280)</f>
      </c>
      <c r="G19280">
        <f>IF(DATOS!$A19280="",0,IF(CONFIG_METADATA!$B$4&lt;&gt;"OR+EX",--(DATOS!$G19280=CONFIG_METADATA!$B$4),IF(DATOS!$G19280="EX",1,IF(DATOS!$G19280="OR",--(COUNTIFS(nNIA,DATOS!$A19280,nCURSO,DATOS!$D19280,nESPEC,DATOS!$E19280,nASIG,DATOS!$I19280,nEVAL,"EX")=0),0))))</f>
      </c>
      <c r="H19280">
        <f>IF(DATOS!$G19280&lt;&gt;"EX",0,--(COUNTIFS(nNIA,DATOS!$A19280,nCURSO,DATOS!$D19280,nESPEC,DATOS!$E19280,nASIG,DATOS!$I19280,nEVAL,"OR")=0))</f>
      </c>
      <c r="I19280">
        <f>IF(DATOS!$I19280="","",IFERROR(VLOOKUP(DATOS!$I19280,CONFIG_ASIGNATURAS!$B$2:$J$91,9,FALSE()),""))</f>
      </c>
    </row>
    <row r="19281">
      <c r="F19281">
        <f>IF(DATOS!$A19281="","",DATOS!$A19281&amp;"|"&amp;DATOS!$D19281&amp;"|"&amp;DATOS!$E19281&amp;"|"&amp;DATOS!$I19281)</f>
      </c>
      <c r="G19281">
        <f>IF(DATOS!$A19281="",0,IF(CONFIG_METADATA!$B$4&lt;&gt;"OR+EX",--(DATOS!$G19281=CONFIG_METADATA!$B$4),IF(DATOS!$G19281="EX",1,IF(DATOS!$G19281="OR",--(COUNTIFS(nNIA,DATOS!$A19281,nCURSO,DATOS!$D19281,nESPEC,DATOS!$E19281,nASIG,DATOS!$I19281,nEVAL,"EX")=0),0))))</f>
      </c>
      <c r="H19281">
        <f>IF(DATOS!$G19281&lt;&gt;"EX",0,--(COUNTIFS(nNIA,DATOS!$A19281,nCURSO,DATOS!$D19281,nESPEC,DATOS!$E19281,nASIG,DATOS!$I19281,nEVAL,"OR")=0))</f>
      </c>
      <c r="I19281">
        <f>IF(DATOS!$I19281="","",IFERROR(VLOOKUP(DATOS!$I19281,CONFIG_ASIGNATURAS!$B$2:$J$91,9,FALSE()),""))</f>
      </c>
    </row>
    <row r="19282">
      <c r="F19282">
        <f>IF(DATOS!$A19282="","",DATOS!$A19282&amp;"|"&amp;DATOS!$D19282&amp;"|"&amp;DATOS!$E19282&amp;"|"&amp;DATOS!$I19282)</f>
      </c>
      <c r="G19282">
        <f>IF(DATOS!$A19282="",0,IF(CONFIG_METADATA!$B$4&lt;&gt;"OR+EX",--(DATOS!$G19282=CONFIG_METADATA!$B$4),IF(DATOS!$G19282="EX",1,IF(DATOS!$G19282="OR",--(COUNTIFS(nNIA,DATOS!$A19282,nCURSO,DATOS!$D19282,nESPEC,DATOS!$E19282,nASIG,DATOS!$I19282,nEVAL,"EX")=0),0))))</f>
      </c>
      <c r="H19282">
        <f>IF(DATOS!$G19282&lt;&gt;"EX",0,--(COUNTIFS(nNIA,DATOS!$A19282,nCURSO,DATOS!$D19282,nESPEC,DATOS!$E19282,nASIG,DATOS!$I19282,nEVAL,"OR")=0))</f>
      </c>
      <c r="I19282">
        <f>IF(DATOS!$I19282="","",IFERROR(VLOOKUP(DATOS!$I19282,CONFIG_ASIGNATURAS!$B$2:$J$91,9,FALSE()),""))</f>
      </c>
    </row>
    <row r="19283">
      <c r="F19283">
        <f>IF(DATOS!$A19283="","",DATOS!$A19283&amp;"|"&amp;DATOS!$D19283&amp;"|"&amp;DATOS!$E19283&amp;"|"&amp;DATOS!$I19283)</f>
      </c>
      <c r="G19283">
        <f>IF(DATOS!$A19283="",0,IF(CONFIG_METADATA!$B$4&lt;&gt;"OR+EX",--(DATOS!$G19283=CONFIG_METADATA!$B$4),IF(DATOS!$G19283="EX",1,IF(DATOS!$G19283="OR",--(COUNTIFS(nNIA,DATOS!$A19283,nCURSO,DATOS!$D19283,nESPEC,DATOS!$E19283,nASIG,DATOS!$I19283,nEVAL,"EX")=0),0))))</f>
      </c>
      <c r="H19283">
        <f>IF(DATOS!$G19283&lt;&gt;"EX",0,--(COUNTIFS(nNIA,DATOS!$A19283,nCURSO,DATOS!$D19283,nESPEC,DATOS!$E19283,nASIG,DATOS!$I19283,nEVAL,"OR")=0))</f>
      </c>
      <c r="I19283">
        <f>IF(DATOS!$I19283="","",IFERROR(VLOOKUP(DATOS!$I19283,CONFIG_ASIGNATURAS!$B$2:$J$91,9,FALSE()),""))</f>
      </c>
    </row>
    <row r="19284">
      <c r="F19284">
        <f>IF(DATOS!$A19284="","",DATOS!$A19284&amp;"|"&amp;DATOS!$D19284&amp;"|"&amp;DATOS!$E19284&amp;"|"&amp;DATOS!$I19284)</f>
      </c>
      <c r="G19284">
        <f>IF(DATOS!$A19284="",0,IF(CONFIG_METADATA!$B$4&lt;&gt;"OR+EX",--(DATOS!$G19284=CONFIG_METADATA!$B$4),IF(DATOS!$G19284="EX",1,IF(DATOS!$G19284="OR",--(COUNTIFS(nNIA,DATOS!$A19284,nCURSO,DATOS!$D19284,nESPEC,DATOS!$E19284,nASIG,DATOS!$I19284,nEVAL,"EX")=0),0))))</f>
      </c>
      <c r="H19284">
        <f>IF(DATOS!$G19284&lt;&gt;"EX",0,--(COUNTIFS(nNIA,DATOS!$A19284,nCURSO,DATOS!$D19284,nESPEC,DATOS!$E19284,nASIG,DATOS!$I19284,nEVAL,"OR")=0))</f>
      </c>
      <c r="I19284">
        <f>IF(DATOS!$I19284="","",IFERROR(VLOOKUP(DATOS!$I19284,CONFIG_ASIGNATURAS!$B$2:$J$91,9,FALSE()),""))</f>
      </c>
    </row>
    <row r="19285">
      <c r="F19285">
        <f>IF(DATOS!$A19285="","",DATOS!$A19285&amp;"|"&amp;DATOS!$D19285&amp;"|"&amp;DATOS!$E19285&amp;"|"&amp;DATOS!$I19285)</f>
      </c>
      <c r="G19285">
        <f>IF(DATOS!$A19285="",0,IF(CONFIG_METADATA!$B$4&lt;&gt;"OR+EX",--(DATOS!$G19285=CONFIG_METADATA!$B$4),IF(DATOS!$G19285="EX",1,IF(DATOS!$G19285="OR",--(COUNTIFS(nNIA,DATOS!$A19285,nCURSO,DATOS!$D19285,nESPEC,DATOS!$E19285,nASIG,DATOS!$I19285,nEVAL,"EX")=0),0))))</f>
      </c>
      <c r="H19285">
        <f>IF(DATOS!$G19285&lt;&gt;"EX",0,--(COUNTIFS(nNIA,DATOS!$A19285,nCURSO,DATOS!$D19285,nESPEC,DATOS!$E19285,nASIG,DATOS!$I19285,nEVAL,"OR")=0))</f>
      </c>
      <c r="I19285">
        <f>IF(DATOS!$I19285="","",IFERROR(VLOOKUP(DATOS!$I19285,CONFIG_ASIGNATURAS!$B$2:$J$91,9,FALSE()),""))</f>
      </c>
    </row>
    <row r="19286">
      <c r="F19286">
        <f>IF(DATOS!$A19286="","",DATOS!$A19286&amp;"|"&amp;DATOS!$D19286&amp;"|"&amp;DATOS!$E19286&amp;"|"&amp;DATOS!$I19286)</f>
      </c>
      <c r="G19286">
        <f>IF(DATOS!$A19286="",0,IF(CONFIG_METADATA!$B$4&lt;&gt;"OR+EX",--(DATOS!$G19286=CONFIG_METADATA!$B$4),IF(DATOS!$G19286="EX",1,IF(DATOS!$G19286="OR",--(COUNTIFS(nNIA,DATOS!$A19286,nCURSO,DATOS!$D19286,nESPEC,DATOS!$E19286,nASIG,DATOS!$I19286,nEVAL,"EX")=0),0))))</f>
      </c>
      <c r="H19286">
        <f>IF(DATOS!$G19286&lt;&gt;"EX",0,--(COUNTIFS(nNIA,DATOS!$A19286,nCURSO,DATOS!$D19286,nESPEC,DATOS!$E19286,nASIG,DATOS!$I19286,nEVAL,"OR")=0))</f>
      </c>
      <c r="I19286">
        <f>IF(DATOS!$I19286="","",IFERROR(VLOOKUP(DATOS!$I19286,CONFIG_ASIGNATURAS!$B$2:$J$91,9,FALSE()),""))</f>
      </c>
    </row>
    <row r="19287">
      <c r="F19287">
        <f>IF(DATOS!$A19287="","",DATOS!$A19287&amp;"|"&amp;DATOS!$D19287&amp;"|"&amp;DATOS!$E19287&amp;"|"&amp;DATOS!$I19287)</f>
      </c>
      <c r="G19287">
        <f>IF(DATOS!$A19287="",0,IF(CONFIG_METADATA!$B$4&lt;&gt;"OR+EX",--(DATOS!$G19287=CONFIG_METADATA!$B$4),IF(DATOS!$G19287="EX",1,IF(DATOS!$G19287="OR",--(COUNTIFS(nNIA,DATOS!$A19287,nCURSO,DATOS!$D19287,nESPEC,DATOS!$E19287,nASIG,DATOS!$I19287,nEVAL,"EX")=0),0))))</f>
      </c>
      <c r="H19287">
        <f>IF(DATOS!$G19287&lt;&gt;"EX",0,--(COUNTIFS(nNIA,DATOS!$A19287,nCURSO,DATOS!$D19287,nESPEC,DATOS!$E19287,nASIG,DATOS!$I19287,nEVAL,"OR")=0))</f>
      </c>
      <c r="I19287">
        <f>IF(DATOS!$I19287="","",IFERROR(VLOOKUP(DATOS!$I19287,CONFIG_ASIGNATURAS!$B$2:$J$91,9,FALSE()),""))</f>
      </c>
    </row>
    <row r="19288">
      <c r="F19288">
        <f>IF(DATOS!$A19288="","",DATOS!$A19288&amp;"|"&amp;DATOS!$D19288&amp;"|"&amp;DATOS!$E19288&amp;"|"&amp;DATOS!$I19288)</f>
      </c>
      <c r="G19288">
        <f>IF(DATOS!$A19288="",0,IF(CONFIG_METADATA!$B$4&lt;&gt;"OR+EX",--(DATOS!$G19288=CONFIG_METADATA!$B$4),IF(DATOS!$G19288="EX",1,IF(DATOS!$G19288="OR",--(COUNTIFS(nNIA,DATOS!$A19288,nCURSO,DATOS!$D19288,nESPEC,DATOS!$E19288,nASIG,DATOS!$I19288,nEVAL,"EX")=0),0))))</f>
      </c>
      <c r="H19288">
        <f>IF(DATOS!$G19288&lt;&gt;"EX",0,--(COUNTIFS(nNIA,DATOS!$A19288,nCURSO,DATOS!$D19288,nESPEC,DATOS!$E19288,nASIG,DATOS!$I19288,nEVAL,"OR")=0))</f>
      </c>
      <c r="I19288">
        <f>IF(DATOS!$I19288="","",IFERROR(VLOOKUP(DATOS!$I19288,CONFIG_ASIGNATURAS!$B$2:$J$91,9,FALSE()),""))</f>
      </c>
    </row>
    <row r="19289">
      <c r="F19289">
        <f>IF(DATOS!$A19289="","",DATOS!$A19289&amp;"|"&amp;DATOS!$D19289&amp;"|"&amp;DATOS!$E19289&amp;"|"&amp;DATOS!$I19289)</f>
      </c>
      <c r="G19289">
        <f>IF(DATOS!$A19289="",0,IF(CONFIG_METADATA!$B$4&lt;&gt;"OR+EX",--(DATOS!$G19289=CONFIG_METADATA!$B$4),IF(DATOS!$G19289="EX",1,IF(DATOS!$G19289="OR",--(COUNTIFS(nNIA,DATOS!$A19289,nCURSO,DATOS!$D19289,nESPEC,DATOS!$E19289,nASIG,DATOS!$I19289,nEVAL,"EX")=0),0))))</f>
      </c>
      <c r="H19289">
        <f>IF(DATOS!$G19289&lt;&gt;"EX",0,--(COUNTIFS(nNIA,DATOS!$A19289,nCURSO,DATOS!$D19289,nESPEC,DATOS!$E19289,nASIG,DATOS!$I19289,nEVAL,"OR")=0))</f>
      </c>
      <c r="I19289">
        <f>IF(DATOS!$I19289="","",IFERROR(VLOOKUP(DATOS!$I19289,CONFIG_ASIGNATURAS!$B$2:$J$91,9,FALSE()),""))</f>
      </c>
    </row>
    <row r="19290">
      <c r="F19290">
        <f>IF(DATOS!$A19290="","",DATOS!$A19290&amp;"|"&amp;DATOS!$D19290&amp;"|"&amp;DATOS!$E19290&amp;"|"&amp;DATOS!$I19290)</f>
      </c>
      <c r="G19290">
        <f>IF(DATOS!$A19290="",0,IF(CONFIG_METADATA!$B$4&lt;&gt;"OR+EX",--(DATOS!$G19290=CONFIG_METADATA!$B$4),IF(DATOS!$G19290="EX",1,IF(DATOS!$G19290="OR",--(COUNTIFS(nNIA,DATOS!$A19290,nCURSO,DATOS!$D19290,nESPEC,DATOS!$E19290,nASIG,DATOS!$I19290,nEVAL,"EX")=0),0))))</f>
      </c>
      <c r="H19290">
        <f>IF(DATOS!$G19290&lt;&gt;"EX",0,--(COUNTIFS(nNIA,DATOS!$A19290,nCURSO,DATOS!$D19290,nESPEC,DATOS!$E19290,nASIG,DATOS!$I19290,nEVAL,"OR")=0))</f>
      </c>
      <c r="I19290">
        <f>IF(DATOS!$I19290="","",IFERROR(VLOOKUP(DATOS!$I19290,CONFIG_ASIGNATURAS!$B$2:$J$91,9,FALSE()),""))</f>
      </c>
    </row>
    <row r="19291">
      <c r="F19291">
        <f>IF(DATOS!$A19291="","",DATOS!$A19291&amp;"|"&amp;DATOS!$D19291&amp;"|"&amp;DATOS!$E19291&amp;"|"&amp;DATOS!$I19291)</f>
      </c>
      <c r="G19291">
        <f>IF(DATOS!$A19291="",0,IF(CONFIG_METADATA!$B$4&lt;&gt;"OR+EX",--(DATOS!$G19291=CONFIG_METADATA!$B$4),IF(DATOS!$G19291="EX",1,IF(DATOS!$G19291="OR",--(COUNTIFS(nNIA,DATOS!$A19291,nCURSO,DATOS!$D19291,nESPEC,DATOS!$E19291,nASIG,DATOS!$I19291,nEVAL,"EX")=0),0))))</f>
      </c>
      <c r="H19291">
        <f>IF(DATOS!$G19291&lt;&gt;"EX",0,--(COUNTIFS(nNIA,DATOS!$A19291,nCURSO,DATOS!$D19291,nESPEC,DATOS!$E19291,nASIG,DATOS!$I19291,nEVAL,"OR")=0))</f>
      </c>
      <c r="I19291">
        <f>IF(DATOS!$I19291="","",IFERROR(VLOOKUP(DATOS!$I19291,CONFIG_ASIGNATURAS!$B$2:$J$91,9,FALSE()),""))</f>
      </c>
    </row>
    <row r="19292">
      <c r="F19292">
        <f>IF(DATOS!$A19292="","",DATOS!$A19292&amp;"|"&amp;DATOS!$D19292&amp;"|"&amp;DATOS!$E19292&amp;"|"&amp;DATOS!$I19292)</f>
      </c>
      <c r="G19292">
        <f>IF(DATOS!$A19292="",0,IF(CONFIG_METADATA!$B$4&lt;&gt;"OR+EX",--(DATOS!$G19292=CONFIG_METADATA!$B$4),IF(DATOS!$G19292="EX",1,IF(DATOS!$G19292="OR",--(COUNTIFS(nNIA,DATOS!$A19292,nCURSO,DATOS!$D19292,nESPEC,DATOS!$E19292,nASIG,DATOS!$I19292,nEVAL,"EX")=0),0))))</f>
      </c>
      <c r="H19292">
        <f>IF(DATOS!$G19292&lt;&gt;"EX",0,--(COUNTIFS(nNIA,DATOS!$A19292,nCURSO,DATOS!$D19292,nESPEC,DATOS!$E19292,nASIG,DATOS!$I19292,nEVAL,"OR")=0))</f>
      </c>
      <c r="I19292">
        <f>IF(DATOS!$I19292="","",IFERROR(VLOOKUP(DATOS!$I19292,CONFIG_ASIGNATURAS!$B$2:$J$91,9,FALSE()),""))</f>
      </c>
    </row>
    <row r="19293">
      <c r="F19293">
        <f>IF(DATOS!$A19293="","",DATOS!$A19293&amp;"|"&amp;DATOS!$D19293&amp;"|"&amp;DATOS!$E19293&amp;"|"&amp;DATOS!$I19293)</f>
      </c>
      <c r="G19293">
        <f>IF(DATOS!$A19293="",0,IF(CONFIG_METADATA!$B$4&lt;&gt;"OR+EX",--(DATOS!$G19293=CONFIG_METADATA!$B$4),IF(DATOS!$G19293="EX",1,IF(DATOS!$G19293="OR",--(COUNTIFS(nNIA,DATOS!$A19293,nCURSO,DATOS!$D19293,nESPEC,DATOS!$E19293,nASIG,DATOS!$I19293,nEVAL,"EX")=0),0))))</f>
      </c>
      <c r="H19293">
        <f>IF(DATOS!$G19293&lt;&gt;"EX",0,--(COUNTIFS(nNIA,DATOS!$A19293,nCURSO,DATOS!$D19293,nESPEC,DATOS!$E19293,nASIG,DATOS!$I19293,nEVAL,"OR")=0))</f>
      </c>
      <c r="I19293">
        <f>IF(DATOS!$I19293="","",IFERROR(VLOOKUP(DATOS!$I19293,CONFIG_ASIGNATURAS!$B$2:$J$91,9,FALSE()),""))</f>
      </c>
    </row>
    <row r="19294">
      <c r="F19294">
        <f>IF(DATOS!$A19294="","",DATOS!$A19294&amp;"|"&amp;DATOS!$D19294&amp;"|"&amp;DATOS!$E19294&amp;"|"&amp;DATOS!$I19294)</f>
      </c>
      <c r="G19294">
        <f>IF(DATOS!$A19294="",0,IF(CONFIG_METADATA!$B$4&lt;&gt;"OR+EX",--(DATOS!$G19294=CONFIG_METADATA!$B$4),IF(DATOS!$G19294="EX",1,IF(DATOS!$G19294="OR",--(COUNTIFS(nNIA,DATOS!$A19294,nCURSO,DATOS!$D19294,nESPEC,DATOS!$E19294,nASIG,DATOS!$I19294,nEVAL,"EX")=0),0))))</f>
      </c>
      <c r="H19294">
        <f>IF(DATOS!$G19294&lt;&gt;"EX",0,--(COUNTIFS(nNIA,DATOS!$A19294,nCURSO,DATOS!$D19294,nESPEC,DATOS!$E19294,nASIG,DATOS!$I19294,nEVAL,"OR")=0))</f>
      </c>
      <c r="I19294">
        <f>IF(DATOS!$I19294="","",IFERROR(VLOOKUP(DATOS!$I19294,CONFIG_ASIGNATURAS!$B$2:$J$91,9,FALSE()),""))</f>
      </c>
    </row>
    <row r="19295">
      <c r="F19295">
        <f>IF(DATOS!$A19295="","",DATOS!$A19295&amp;"|"&amp;DATOS!$D19295&amp;"|"&amp;DATOS!$E19295&amp;"|"&amp;DATOS!$I19295)</f>
      </c>
      <c r="G19295">
        <f>IF(DATOS!$A19295="",0,IF(CONFIG_METADATA!$B$4&lt;&gt;"OR+EX",--(DATOS!$G19295=CONFIG_METADATA!$B$4),IF(DATOS!$G19295="EX",1,IF(DATOS!$G19295="OR",--(COUNTIFS(nNIA,DATOS!$A19295,nCURSO,DATOS!$D19295,nESPEC,DATOS!$E19295,nASIG,DATOS!$I19295,nEVAL,"EX")=0),0))))</f>
      </c>
      <c r="H19295">
        <f>IF(DATOS!$G19295&lt;&gt;"EX",0,--(COUNTIFS(nNIA,DATOS!$A19295,nCURSO,DATOS!$D19295,nESPEC,DATOS!$E19295,nASIG,DATOS!$I19295,nEVAL,"OR")=0))</f>
      </c>
      <c r="I19295">
        <f>IF(DATOS!$I19295="","",IFERROR(VLOOKUP(DATOS!$I19295,CONFIG_ASIGNATURAS!$B$2:$J$91,9,FALSE()),""))</f>
      </c>
    </row>
    <row r="19296">
      <c r="F19296">
        <f>IF(DATOS!$A19296="","",DATOS!$A19296&amp;"|"&amp;DATOS!$D19296&amp;"|"&amp;DATOS!$E19296&amp;"|"&amp;DATOS!$I19296)</f>
      </c>
      <c r="G19296">
        <f>IF(DATOS!$A19296="",0,IF(CONFIG_METADATA!$B$4&lt;&gt;"OR+EX",--(DATOS!$G19296=CONFIG_METADATA!$B$4),IF(DATOS!$G19296="EX",1,IF(DATOS!$G19296="OR",--(COUNTIFS(nNIA,DATOS!$A19296,nCURSO,DATOS!$D19296,nESPEC,DATOS!$E19296,nASIG,DATOS!$I19296,nEVAL,"EX")=0),0))))</f>
      </c>
      <c r="H19296">
        <f>IF(DATOS!$G19296&lt;&gt;"EX",0,--(COUNTIFS(nNIA,DATOS!$A19296,nCURSO,DATOS!$D19296,nESPEC,DATOS!$E19296,nASIG,DATOS!$I19296,nEVAL,"OR")=0))</f>
      </c>
      <c r="I19296">
        <f>IF(DATOS!$I19296="","",IFERROR(VLOOKUP(DATOS!$I19296,CONFIG_ASIGNATURAS!$B$2:$J$91,9,FALSE()),""))</f>
      </c>
    </row>
    <row r="19297">
      <c r="F19297">
        <f>IF(DATOS!$A19297="","",DATOS!$A19297&amp;"|"&amp;DATOS!$D19297&amp;"|"&amp;DATOS!$E19297&amp;"|"&amp;DATOS!$I19297)</f>
      </c>
      <c r="G19297">
        <f>IF(DATOS!$A19297="",0,IF(CONFIG_METADATA!$B$4&lt;&gt;"OR+EX",--(DATOS!$G19297=CONFIG_METADATA!$B$4),IF(DATOS!$G19297="EX",1,IF(DATOS!$G19297="OR",--(COUNTIFS(nNIA,DATOS!$A19297,nCURSO,DATOS!$D19297,nESPEC,DATOS!$E19297,nASIG,DATOS!$I19297,nEVAL,"EX")=0),0))))</f>
      </c>
      <c r="H19297">
        <f>IF(DATOS!$G19297&lt;&gt;"EX",0,--(COUNTIFS(nNIA,DATOS!$A19297,nCURSO,DATOS!$D19297,nESPEC,DATOS!$E19297,nASIG,DATOS!$I19297,nEVAL,"OR")=0))</f>
      </c>
      <c r="I19297">
        <f>IF(DATOS!$I19297="","",IFERROR(VLOOKUP(DATOS!$I19297,CONFIG_ASIGNATURAS!$B$2:$J$91,9,FALSE()),""))</f>
      </c>
    </row>
    <row r="19298">
      <c r="F19298">
        <f>IF(DATOS!$A19298="","",DATOS!$A19298&amp;"|"&amp;DATOS!$D19298&amp;"|"&amp;DATOS!$E19298&amp;"|"&amp;DATOS!$I19298)</f>
      </c>
      <c r="G19298">
        <f>IF(DATOS!$A19298="",0,IF(CONFIG_METADATA!$B$4&lt;&gt;"OR+EX",--(DATOS!$G19298=CONFIG_METADATA!$B$4),IF(DATOS!$G19298="EX",1,IF(DATOS!$G19298="OR",--(COUNTIFS(nNIA,DATOS!$A19298,nCURSO,DATOS!$D19298,nESPEC,DATOS!$E19298,nASIG,DATOS!$I19298,nEVAL,"EX")=0),0))))</f>
      </c>
      <c r="H19298">
        <f>IF(DATOS!$G19298&lt;&gt;"EX",0,--(COUNTIFS(nNIA,DATOS!$A19298,nCURSO,DATOS!$D19298,nESPEC,DATOS!$E19298,nASIG,DATOS!$I19298,nEVAL,"OR")=0))</f>
      </c>
      <c r="I19298">
        <f>IF(DATOS!$I19298="","",IFERROR(VLOOKUP(DATOS!$I19298,CONFIG_ASIGNATURAS!$B$2:$J$91,9,FALSE()),""))</f>
      </c>
    </row>
    <row r="19299">
      <c r="F19299">
        <f>IF(DATOS!$A19299="","",DATOS!$A19299&amp;"|"&amp;DATOS!$D19299&amp;"|"&amp;DATOS!$E19299&amp;"|"&amp;DATOS!$I19299)</f>
      </c>
      <c r="G19299">
        <f>IF(DATOS!$A19299="",0,IF(CONFIG_METADATA!$B$4&lt;&gt;"OR+EX",--(DATOS!$G19299=CONFIG_METADATA!$B$4),IF(DATOS!$G19299="EX",1,IF(DATOS!$G19299="OR",--(COUNTIFS(nNIA,DATOS!$A19299,nCURSO,DATOS!$D19299,nESPEC,DATOS!$E19299,nASIG,DATOS!$I19299,nEVAL,"EX")=0),0))))</f>
      </c>
      <c r="H19299">
        <f>IF(DATOS!$G19299&lt;&gt;"EX",0,--(COUNTIFS(nNIA,DATOS!$A19299,nCURSO,DATOS!$D19299,nESPEC,DATOS!$E19299,nASIG,DATOS!$I19299,nEVAL,"OR")=0))</f>
      </c>
      <c r="I19299">
        <f>IF(DATOS!$I19299="","",IFERROR(VLOOKUP(DATOS!$I19299,CONFIG_ASIGNATURAS!$B$2:$J$91,9,FALSE()),""))</f>
      </c>
    </row>
    <row r="19300">
      <c r="F19300">
        <f>IF(DATOS!$A19300="","",DATOS!$A19300&amp;"|"&amp;DATOS!$D19300&amp;"|"&amp;DATOS!$E19300&amp;"|"&amp;DATOS!$I19300)</f>
      </c>
      <c r="G19300">
        <f>IF(DATOS!$A19300="",0,IF(CONFIG_METADATA!$B$4&lt;&gt;"OR+EX",--(DATOS!$G19300=CONFIG_METADATA!$B$4),IF(DATOS!$G19300="EX",1,IF(DATOS!$G19300="OR",--(COUNTIFS(nNIA,DATOS!$A19300,nCURSO,DATOS!$D19300,nESPEC,DATOS!$E19300,nASIG,DATOS!$I19300,nEVAL,"EX")=0),0))))</f>
      </c>
      <c r="H19300">
        <f>IF(DATOS!$G19300&lt;&gt;"EX",0,--(COUNTIFS(nNIA,DATOS!$A19300,nCURSO,DATOS!$D19300,nESPEC,DATOS!$E19300,nASIG,DATOS!$I19300,nEVAL,"OR")=0))</f>
      </c>
      <c r="I19300">
        <f>IF(DATOS!$I19300="","",IFERROR(VLOOKUP(DATOS!$I19300,CONFIG_ASIGNATURAS!$B$2:$J$91,9,FALSE()),""))</f>
      </c>
    </row>
    <row r="19301">
      <c r="F19301">
        <f>IF(DATOS!$A19301="","",DATOS!$A19301&amp;"|"&amp;DATOS!$D19301&amp;"|"&amp;DATOS!$E19301&amp;"|"&amp;DATOS!$I19301)</f>
      </c>
      <c r="G19301">
        <f>IF(DATOS!$A19301="",0,IF(CONFIG_METADATA!$B$4&lt;&gt;"OR+EX",--(DATOS!$G19301=CONFIG_METADATA!$B$4),IF(DATOS!$G19301="EX",1,IF(DATOS!$G19301="OR",--(COUNTIFS(nNIA,DATOS!$A19301,nCURSO,DATOS!$D19301,nESPEC,DATOS!$E19301,nASIG,DATOS!$I19301,nEVAL,"EX")=0),0))))</f>
      </c>
      <c r="H19301">
        <f>IF(DATOS!$G19301&lt;&gt;"EX",0,--(COUNTIFS(nNIA,DATOS!$A19301,nCURSO,DATOS!$D19301,nESPEC,DATOS!$E19301,nASIG,DATOS!$I19301,nEVAL,"OR")=0))</f>
      </c>
      <c r="I19301">
        <f>IF(DATOS!$I19301="","",IFERROR(VLOOKUP(DATOS!$I19301,CONFIG_ASIGNATURAS!$B$2:$J$91,9,FALSE()),""))</f>
      </c>
    </row>
    <row r="19302">
      <c r="F19302">
        <f>IF(DATOS!$A19302="","",DATOS!$A19302&amp;"|"&amp;DATOS!$D19302&amp;"|"&amp;DATOS!$E19302&amp;"|"&amp;DATOS!$I19302)</f>
      </c>
      <c r="G19302">
        <f>IF(DATOS!$A19302="",0,IF(CONFIG_METADATA!$B$4&lt;&gt;"OR+EX",--(DATOS!$G19302=CONFIG_METADATA!$B$4),IF(DATOS!$G19302="EX",1,IF(DATOS!$G19302="OR",--(COUNTIFS(nNIA,DATOS!$A19302,nCURSO,DATOS!$D19302,nESPEC,DATOS!$E19302,nASIG,DATOS!$I19302,nEVAL,"EX")=0),0))))</f>
      </c>
      <c r="H19302">
        <f>IF(DATOS!$G19302&lt;&gt;"EX",0,--(COUNTIFS(nNIA,DATOS!$A19302,nCURSO,DATOS!$D19302,nESPEC,DATOS!$E19302,nASIG,DATOS!$I19302,nEVAL,"OR")=0))</f>
      </c>
      <c r="I19302">
        <f>IF(DATOS!$I19302="","",IFERROR(VLOOKUP(DATOS!$I19302,CONFIG_ASIGNATURAS!$B$2:$J$91,9,FALSE()),""))</f>
      </c>
    </row>
    <row r="19303">
      <c r="F19303">
        <f>IF(DATOS!$A19303="","",DATOS!$A19303&amp;"|"&amp;DATOS!$D19303&amp;"|"&amp;DATOS!$E19303&amp;"|"&amp;DATOS!$I19303)</f>
      </c>
      <c r="G19303">
        <f>IF(DATOS!$A19303="",0,IF(CONFIG_METADATA!$B$4&lt;&gt;"OR+EX",--(DATOS!$G19303=CONFIG_METADATA!$B$4),IF(DATOS!$G19303="EX",1,IF(DATOS!$G19303="OR",--(COUNTIFS(nNIA,DATOS!$A19303,nCURSO,DATOS!$D19303,nESPEC,DATOS!$E19303,nASIG,DATOS!$I19303,nEVAL,"EX")=0),0))))</f>
      </c>
      <c r="H19303">
        <f>IF(DATOS!$G19303&lt;&gt;"EX",0,--(COUNTIFS(nNIA,DATOS!$A19303,nCURSO,DATOS!$D19303,nESPEC,DATOS!$E19303,nASIG,DATOS!$I19303,nEVAL,"OR")=0))</f>
      </c>
      <c r="I19303">
        <f>IF(DATOS!$I19303="","",IFERROR(VLOOKUP(DATOS!$I19303,CONFIG_ASIGNATURAS!$B$2:$J$91,9,FALSE()),""))</f>
      </c>
    </row>
    <row r="19304">
      <c r="F19304">
        <f>IF(DATOS!$A19304="","",DATOS!$A19304&amp;"|"&amp;DATOS!$D19304&amp;"|"&amp;DATOS!$E19304&amp;"|"&amp;DATOS!$I19304)</f>
      </c>
      <c r="G19304">
        <f>IF(DATOS!$A19304="",0,IF(CONFIG_METADATA!$B$4&lt;&gt;"OR+EX",--(DATOS!$G19304=CONFIG_METADATA!$B$4),IF(DATOS!$G19304="EX",1,IF(DATOS!$G19304="OR",--(COUNTIFS(nNIA,DATOS!$A19304,nCURSO,DATOS!$D19304,nESPEC,DATOS!$E19304,nASIG,DATOS!$I19304,nEVAL,"EX")=0),0))))</f>
      </c>
      <c r="H19304">
        <f>IF(DATOS!$G19304&lt;&gt;"EX",0,--(COUNTIFS(nNIA,DATOS!$A19304,nCURSO,DATOS!$D19304,nESPEC,DATOS!$E19304,nASIG,DATOS!$I19304,nEVAL,"OR")=0))</f>
      </c>
      <c r="I19304">
        <f>IF(DATOS!$I19304="","",IFERROR(VLOOKUP(DATOS!$I19304,CONFIG_ASIGNATURAS!$B$2:$J$91,9,FALSE()),""))</f>
      </c>
    </row>
    <row r="19305">
      <c r="F19305">
        <f>IF(DATOS!$A19305="","",DATOS!$A19305&amp;"|"&amp;DATOS!$D19305&amp;"|"&amp;DATOS!$E19305&amp;"|"&amp;DATOS!$I19305)</f>
      </c>
      <c r="G19305">
        <f>IF(DATOS!$A19305="",0,IF(CONFIG_METADATA!$B$4&lt;&gt;"OR+EX",--(DATOS!$G19305=CONFIG_METADATA!$B$4),IF(DATOS!$G19305="EX",1,IF(DATOS!$G19305="OR",--(COUNTIFS(nNIA,DATOS!$A19305,nCURSO,DATOS!$D19305,nESPEC,DATOS!$E19305,nASIG,DATOS!$I19305,nEVAL,"EX")=0),0))))</f>
      </c>
      <c r="H19305">
        <f>IF(DATOS!$G19305&lt;&gt;"EX",0,--(COUNTIFS(nNIA,DATOS!$A19305,nCURSO,DATOS!$D19305,nESPEC,DATOS!$E19305,nASIG,DATOS!$I19305,nEVAL,"OR")=0))</f>
      </c>
      <c r="I19305">
        <f>IF(DATOS!$I19305="","",IFERROR(VLOOKUP(DATOS!$I19305,CONFIG_ASIGNATURAS!$B$2:$J$91,9,FALSE()),""))</f>
      </c>
    </row>
    <row r="19306">
      <c r="F19306">
        <f>IF(DATOS!$A19306="","",DATOS!$A19306&amp;"|"&amp;DATOS!$D19306&amp;"|"&amp;DATOS!$E19306&amp;"|"&amp;DATOS!$I19306)</f>
      </c>
      <c r="G19306">
        <f>IF(DATOS!$A19306="",0,IF(CONFIG_METADATA!$B$4&lt;&gt;"OR+EX",--(DATOS!$G19306=CONFIG_METADATA!$B$4),IF(DATOS!$G19306="EX",1,IF(DATOS!$G19306="OR",--(COUNTIFS(nNIA,DATOS!$A19306,nCURSO,DATOS!$D19306,nESPEC,DATOS!$E19306,nASIG,DATOS!$I19306,nEVAL,"EX")=0),0))))</f>
      </c>
      <c r="H19306">
        <f>IF(DATOS!$G19306&lt;&gt;"EX",0,--(COUNTIFS(nNIA,DATOS!$A19306,nCURSO,DATOS!$D19306,nESPEC,DATOS!$E19306,nASIG,DATOS!$I19306,nEVAL,"OR")=0))</f>
      </c>
      <c r="I19306">
        <f>IF(DATOS!$I19306="","",IFERROR(VLOOKUP(DATOS!$I19306,CONFIG_ASIGNATURAS!$B$2:$J$91,9,FALSE()),""))</f>
      </c>
    </row>
    <row r="19307">
      <c r="F19307">
        <f>IF(DATOS!$A19307="","",DATOS!$A19307&amp;"|"&amp;DATOS!$D19307&amp;"|"&amp;DATOS!$E19307&amp;"|"&amp;DATOS!$I19307)</f>
      </c>
      <c r="G19307">
        <f>IF(DATOS!$A19307="",0,IF(CONFIG_METADATA!$B$4&lt;&gt;"OR+EX",--(DATOS!$G19307=CONFIG_METADATA!$B$4),IF(DATOS!$G19307="EX",1,IF(DATOS!$G19307="OR",--(COUNTIFS(nNIA,DATOS!$A19307,nCURSO,DATOS!$D19307,nESPEC,DATOS!$E19307,nASIG,DATOS!$I19307,nEVAL,"EX")=0),0))))</f>
      </c>
      <c r="H19307">
        <f>IF(DATOS!$G19307&lt;&gt;"EX",0,--(COUNTIFS(nNIA,DATOS!$A19307,nCURSO,DATOS!$D19307,nESPEC,DATOS!$E19307,nASIG,DATOS!$I19307,nEVAL,"OR")=0))</f>
      </c>
      <c r="I19307">
        <f>IF(DATOS!$I19307="","",IFERROR(VLOOKUP(DATOS!$I19307,CONFIG_ASIGNATURAS!$B$2:$J$91,9,FALSE()),""))</f>
      </c>
    </row>
    <row r="19308">
      <c r="F19308">
        <f>IF(DATOS!$A19308="","",DATOS!$A19308&amp;"|"&amp;DATOS!$D19308&amp;"|"&amp;DATOS!$E19308&amp;"|"&amp;DATOS!$I19308)</f>
      </c>
      <c r="G19308">
        <f>IF(DATOS!$A19308="",0,IF(CONFIG_METADATA!$B$4&lt;&gt;"OR+EX",--(DATOS!$G19308=CONFIG_METADATA!$B$4),IF(DATOS!$G19308="EX",1,IF(DATOS!$G19308="OR",--(COUNTIFS(nNIA,DATOS!$A19308,nCURSO,DATOS!$D19308,nESPEC,DATOS!$E19308,nASIG,DATOS!$I19308,nEVAL,"EX")=0),0))))</f>
      </c>
      <c r="H19308">
        <f>IF(DATOS!$G19308&lt;&gt;"EX",0,--(COUNTIFS(nNIA,DATOS!$A19308,nCURSO,DATOS!$D19308,nESPEC,DATOS!$E19308,nASIG,DATOS!$I19308,nEVAL,"OR")=0))</f>
      </c>
      <c r="I19308">
        <f>IF(DATOS!$I19308="","",IFERROR(VLOOKUP(DATOS!$I19308,CONFIG_ASIGNATURAS!$B$2:$J$91,9,FALSE()),""))</f>
      </c>
    </row>
    <row r="19309">
      <c r="F19309">
        <f>IF(DATOS!$A19309="","",DATOS!$A19309&amp;"|"&amp;DATOS!$D19309&amp;"|"&amp;DATOS!$E19309&amp;"|"&amp;DATOS!$I19309)</f>
      </c>
      <c r="G19309">
        <f>IF(DATOS!$A19309="",0,IF(CONFIG_METADATA!$B$4&lt;&gt;"OR+EX",--(DATOS!$G19309=CONFIG_METADATA!$B$4),IF(DATOS!$G19309="EX",1,IF(DATOS!$G19309="OR",--(COUNTIFS(nNIA,DATOS!$A19309,nCURSO,DATOS!$D19309,nESPEC,DATOS!$E19309,nASIG,DATOS!$I19309,nEVAL,"EX")=0),0))))</f>
      </c>
      <c r="H19309">
        <f>IF(DATOS!$G19309&lt;&gt;"EX",0,--(COUNTIFS(nNIA,DATOS!$A19309,nCURSO,DATOS!$D19309,nESPEC,DATOS!$E19309,nASIG,DATOS!$I19309,nEVAL,"OR")=0))</f>
      </c>
      <c r="I19309">
        <f>IF(DATOS!$I19309="","",IFERROR(VLOOKUP(DATOS!$I19309,CONFIG_ASIGNATURAS!$B$2:$J$91,9,FALSE()),""))</f>
      </c>
    </row>
    <row r="19310">
      <c r="F19310">
        <f>IF(DATOS!$A19310="","",DATOS!$A19310&amp;"|"&amp;DATOS!$D19310&amp;"|"&amp;DATOS!$E19310&amp;"|"&amp;DATOS!$I19310)</f>
      </c>
      <c r="G19310">
        <f>IF(DATOS!$A19310="",0,IF(CONFIG_METADATA!$B$4&lt;&gt;"OR+EX",--(DATOS!$G19310=CONFIG_METADATA!$B$4),IF(DATOS!$G19310="EX",1,IF(DATOS!$G19310="OR",--(COUNTIFS(nNIA,DATOS!$A19310,nCURSO,DATOS!$D19310,nESPEC,DATOS!$E19310,nASIG,DATOS!$I19310,nEVAL,"EX")=0),0))))</f>
      </c>
      <c r="H19310">
        <f>IF(DATOS!$G19310&lt;&gt;"EX",0,--(COUNTIFS(nNIA,DATOS!$A19310,nCURSO,DATOS!$D19310,nESPEC,DATOS!$E19310,nASIG,DATOS!$I19310,nEVAL,"OR")=0))</f>
      </c>
      <c r="I19310">
        <f>IF(DATOS!$I19310="","",IFERROR(VLOOKUP(DATOS!$I19310,CONFIG_ASIGNATURAS!$B$2:$J$91,9,FALSE()),""))</f>
      </c>
    </row>
    <row r="19311">
      <c r="F19311">
        <f>IF(DATOS!$A19311="","",DATOS!$A19311&amp;"|"&amp;DATOS!$D19311&amp;"|"&amp;DATOS!$E19311&amp;"|"&amp;DATOS!$I19311)</f>
      </c>
      <c r="G19311">
        <f>IF(DATOS!$A19311="",0,IF(CONFIG_METADATA!$B$4&lt;&gt;"OR+EX",--(DATOS!$G19311=CONFIG_METADATA!$B$4),IF(DATOS!$G19311="EX",1,IF(DATOS!$G19311="OR",--(COUNTIFS(nNIA,DATOS!$A19311,nCURSO,DATOS!$D19311,nESPEC,DATOS!$E19311,nASIG,DATOS!$I19311,nEVAL,"EX")=0),0))))</f>
      </c>
      <c r="H19311">
        <f>IF(DATOS!$G19311&lt;&gt;"EX",0,--(COUNTIFS(nNIA,DATOS!$A19311,nCURSO,DATOS!$D19311,nESPEC,DATOS!$E19311,nASIG,DATOS!$I19311,nEVAL,"OR")=0))</f>
      </c>
      <c r="I19311">
        <f>IF(DATOS!$I19311="","",IFERROR(VLOOKUP(DATOS!$I19311,CONFIG_ASIGNATURAS!$B$2:$J$91,9,FALSE()),""))</f>
      </c>
    </row>
    <row r="19312">
      <c r="F19312">
        <f>IF(DATOS!$A19312="","",DATOS!$A19312&amp;"|"&amp;DATOS!$D19312&amp;"|"&amp;DATOS!$E19312&amp;"|"&amp;DATOS!$I19312)</f>
      </c>
      <c r="G19312">
        <f>IF(DATOS!$A19312="",0,IF(CONFIG_METADATA!$B$4&lt;&gt;"OR+EX",--(DATOS!$G19312=CONFIG_METADATA!$B$4),IF(DATOS!$G19312="EX",1,IF(DATOS!$G19312="OR",--(COUNTIFS(nNIA,DATOS!$A19312,nCURSO,DATOS!$D19312,nESPEC,DATOS!$E19312,nASIG,DATOS!$I19312,nEVAL,"EX")=0),0))))</f>
      </c>
      <c r="H19312">
        <f>IF(DATOS!$G19312&lt;&gt;"EX",0,--(COUNTIFS(nNIA,DATOS!$A19312,nCURSO,DATOS!$D19312,nESPEC,DATOS!$E19312,nASIG,DATOS!$I19312,nEVAL,"OR")=0))</f>
      </c>
      <c r="I19312">
        <f>IF(DATOS!$I19312="","",IFERROR(VLOOKUP(DATOS!$I19312,CONFIG_ASIGNATURAS!$B$2:$J$91,9,FALSE()),""))</f>
      </c>
    </row>
    <row r="19313">
      <c r="F19313">
        <f>IF(DATOS!$A19313="","",DATOS!$A19313&amp;"|"&amp;DATOS!$D19313&amp;"|"&amp;DATOS!$E19313&amp;"|"&amp;DATOS!$I19313)</f>
      </c>
      <c r="G19313">
        <f>IF(DATOS!$A19313="",0,IF(CONFIG_METADATA!$B$4&lt;&gt;"OR+EX",--(DATOS!$G19313=CONFIG_METADATA!$B$4),IF(DATOS!$G19313="EX",1,IF(DATOS!$G19313="OR",--(COUNTIFS(nNIA,DATOS!$A19313,nCURSO,DATOS!$D19313,nESPEC,DATOS!$E19313,nASIG,DATOS!$I19313,nEVAL,"EX")=0),0))))</f>
      </c>
      <c r="H19313">
        <f>IF(DATOS!$G19313&lt;&gt;"EX",0,--(COUNTIFS(nNIA,DATOS!$A19313,nCURSO,DATOS!$D19313,nESPEC,DATOS!$E19313,nASIG,DATOS!$I19313,nEVAL,"OR")=0))</f>
      </c>
      <c r="I19313">
        <f>IF(DATOS!$I19313="","",IFERROR(VLOOKUP(DATOS!$I19313,CONFIG_ASIGNATURAS!$B$2:$J$91,9,FALSE()),""))</f>
      </c>
    </row>
    <row r="19314">
      <c r="F19314">
        <f>IF(DATOS!$A19314="","",DATOS!$A19314&amp;"|"&amp;DATOS!$D19314&amp;"|"&amp;DATOS!$E19314&amp;"|"&amp;DATOS!$I19314)</f>
      </c>
      <c r="G19314">
        <f>IF(DATOS!$A19314="",0,IF(CONFIG_METADATA!$B$4&lt;&gt;"OR+EX",--(DATOS!$G19314=CONFIG_METADATA!$B$4),IF(DATOS!$G19314="EX",1,IF(DATOS!$G19314="OR",--(COUNTIFS(nNIA,DATOS!$A19314,nCURSO,DATOS!$D19314,nESPEC,DATOS!$E19314,nASIG,DATOS!$I19314,nEVAL,"EX")=0),0))))</f>
      </c>
      <c r="H19314">
        <f>IF(DATOS!$G19314&lt;&gt;"EX",0,--(COUNTIFS(nNIA,DATOS!$A19314,nCURSO,DATOS!$D19314,nESPEC,DATOS!$E19314,nASIG,DATOS!$I19314,nEVAL,"OR")=0))</f>
      </c>
      <c r="I19314">
        <f>IF(DATOS!$I19314="","",IFERROR(VLOOKUP(DATOS!$I19314,CONFIG_ASIGNATURAS!$B$2:$J$91,9,FALSE()),""))</f>
      </c>
    </row>
    <row r="19315">
      <c r="F19315">
        <f>IF(DATOS!$A19315="","",DATOS!$A19315&amp;"|"&amp;DATOS!$D19315&amp;"|"&amp;DATOS!$E19315&amp;"|"&amp;DATOS!$I19315)</f>
      </c>
      <c r="G19315">
        <f>IF(DATOS!$A19315="",0,IF(CONFIG_METADATA!$B$4&lt;&gt;"OR+EX",--(DATOS!$G19315=CONFIG_METADATA!$B$4),IF(DATOS!$G19315="EX",1,IF(DATOS!$G19315="OR",--(COUNTIFS(nNIA,DATOS!$A19315,nCURSO,DATOS!$D19315,nESPEC,DATOS!$E19315,nASIG,DATOS!$I19315,nEVAL,"EX")=0),0))))</f>
      </c>
      <c r="H19315">
        <f>IF(DATOS!$G19315&lt;&gt;"EX",0,--(COUNTIFS(nNIA,DATOS!$A19315,nCURSO,DATOS!$D19315,nESPEC,DATOS!$E19315,nASIG,DATOS!$I19315,nEVAL,"OR")=0))</f>
      </c>
      <c r="I19315">
        <f>IF(DATOS!$I19315="","",IFERROR(VLOOKUP(DATOS!$I19315,CONFIG_ASIGNATURAS!$B$2:$J$91,9,FALSE()),""))</f>
      </c>
    </row>
    <row r="19316">
      <c r="F19316">
        <f>IF(DATOS!$A19316="","",DATOS!$A19316&amp;"|"&amp;DATOS!$D19316&amp;"|"&amp;DATOS!$E19316&amp;"|"&amp;DATOS!$I19316)</f>
      </c>
      <c r="G19316">
        <f>IF(DATOS!$A19316="",0,IF(CONFIG_METADATA!$B$4&lt;&gt;"OR+EX",--(DATOS!$G19316=CONFIG_METADATA!$B$4),IF(DATOS!$G19316="EX",1,IF(DATOS!$G19316="OR",--(COUNTIFS(nNIA,DATOS!$A19316,nCURSO,DATOS!$D19316,nESPEC,DATOS!$E19316,nASIG,DATOS!$I19316,nEVAL,"EX")=0),0))))</f>
      </c>
      <c r="H19316">
        <f>IF(DATOS!$G19316&lt;&gt;"EX",0,--(COUNTIFS(nNIA,DATOS!$A19316,nCURSO,DATOS!$D19316,nESPEC,DATOS!$E19316,nASIG,DATOS!$I19316,nEVAL,"OR")=0))</f>
      </c>
      <c r="I19316">
        <f>IF(DATOS!$I19316="","",IFERROR(VLOOKUP(DATOS!$I19316,CONFIG_ASIGNATURAS!$B$2:$J$91,9,FALSE()),""))</f>
      </c>
    </row>
    <row r="19317">
      <c r="F19317">
        <f>IF(DATOS!$A19317="","",DATOS!$A19317&amp;"|"&amp;DATOS!$D19317&amp;"|"&amp;DATOS!$E19317&amp;"|"&amp;DATOS!$I19317)</f>
      </c>
      <c r="G19317">
        <f>IF(DATOS!$A19317="",0,IF(CONFIG_METADATA!$B$4&lt;&gt;"OR+EX",--(DATOS!$G19317=CONFIG_METADATA!$B$4),IF(DATOS!$G19317="EX",1,IF(DATOS!$G19317="OR",--(COUNTIFS(nNIA,DATOS!$A19317,nCURSO,DATOS!$D19317,nESPEC,DATOS!$E19317,nASIG,DATOS!$I19317,nEVAL,"EX")=0),0))))</f>
      </c>
      <c r="H19317">
        <f>IF(DATOS!$G19317&lt;&gt;"EX",0,--(COUNTIFS(nNIA,DATOS!$A19317,nCURSO,DATOS!$D19317,nESPEC,DATOS!$E19317,nASIG,DATOS!$I19317,nEVAL,"OR")=0))</f>
      </c>
      <c r="I19317">
        <f>IF(DATOS!$I19317="","",IFERROR(VLOOKUP(DATOS!$I19317,CONFIG_ASIGNATURAS!$B$2:$J$91,9,FALSE()),""))</f>
      </c>
    </row>
    <row r="19318">
      <c r="F19318">
        <f>IF(DATOS!$A19318="","",DATOS!$A19318&amp;"|"&amp;DATOS!$D19318&amp;"|"&amp;DATOS!$E19318&amp;"|"&amp;DATOS!$I19318)</f>
      </c>
      <c r="G19318">
        <f>IF(DATOS!$A19318="",0,IF(CONFIG_METADATA!$B$4&lt;&gt;"OR+EX",--(DATOS!$G19318=CONFIG_METADATA!$B$4),IF(DATOS!$G19318="EX",1,IF(DATOS!$G19318="OR",--(COUNTIFS(nNIA,DATOS!$A19318,nCURSO,DATOS!$D19318,nESPEC,DATOS!$E19318,nASIG,DATOS!$I19318,nEVAL,"EX")=0),0))))</f>
      </c>
      <c r="H19318">
        <f>IF(DATOS!$G19318&lt;&gt;"EX",0,--(COUNTIFS(nNIA,DATOS!$A19318,nCURSO,DATOS!$D19318,nESPEC,DATOS!$E19318,nASIG,DATOS!$I19318,nEVAL,"OR")=0))</f>
      </c>
      <c r="I19318">
        <f>IF(DATOS!$I19318="","",IFERROR(VLOOKUP(DATOS!$I19318,CONFIG_ASIGNATURAS!$B$2:$J$91,9,FALSE()),""))</f>
      </c>
    </row>
    <row r="19319">
      <c r="F19319">
        <f>IF(DATOS!$A19319="","",DATOS!$A19319&amp;"|"&amp;DATOS!$D19319&amp;"|"&amp;DATOS!$E19319&amp;"|"&amp;DATOS!$I19319)</f>
      </c>
      <c r="G19319">
        <f>IF(DATOS!$A19319="",0,IF(CONFIG_METADATA!$B$4&lt;&gt;"OR+EX",--(DATOS!$G19319=CONFIG_METADATA!$B$4),IF(DATOS!$G19319="EX",1,IF(DATOS!$G19319="OR",--(COUNTIFS(nNIA,DATOS!$A19319,nCURSO,DATOS!$D19319,nESPEC,DATOS!$E19319,nASIG,DATOS!$I19319,nEVAL,"EX")=0),0))))</f>
      </c>
      <c r="H19319">
        <f>IF(DATOS!$G19319&lt;&gt;"EX",0,--(COUNTIFS(nNIA,DATOS!$A19319,nCURSO,DATOS!$D19319,nESPEC,DATOS!$E19319,nASIG,DATOS!$I19319,nEVAL,"OR")=0))</f>
      </c>
      <c r="I19319">
        <f>IF(DATOS!$I19319="","",IFERROR(VLOOKUP(DATOS!$I19319,CONFIG_ASIGNATURAS!$B$2:$J$91,9,FALSE()),""))</f>
      </c>
    </row>
    <row r="19320">
      <c r="F19320">
        <f>IF(DATOS!$A19320="","",DATOS!$A19320&amp;"|"&amp;DATOS!$D19320&amp;"|"&amp;DATOS!$E19320&amp;"|"&amp;DATOS!$I19320)</f>
      </c>
      <c r="G19320">
        <f>IF(DATOS!$A19320="",0,IF(CONFIG_METADATA!$B$4&lt;&gt;"OR+EX",--(DATOS!$G19320=CONFIG_METADATA!$B$4),IF(DATOS!$G19320="EX",1,IF(DATOS!$G19320="OR",--(COUNTIFS(nNIA,DATOS!$A19320,nCURSO,DATOS!$D19320,nESPEC,DATOS!$E19320,nASIG,DATOS!$I19320,nEVAL,"EX")=0),0))))</f>
      </c>
      <c r="H19320">
        <f>IF(DATOS!$G19320&lt;&gt;"EX",0,--(COUNTIFS(nNIA,DATOS!$A19320,nCURSO,DATOS!$D19320,nESPEC,DATOS!$E19320,nASIG,DATOS!$I19320,nEVAL,"OR")=0))</f>
      </c>
      <c r="I19320">
        <f>IF(DATOS!$I19320="","",IFERROR(VLOOKUP(DATOS!$I19320,CONFIG_ASIGNATURAS!$B$2:$J$91,9,FALSE()),""))</f>
      </c>
    </row>
    <row r="19321">
      <c r="F19321">
        <f>IF(DATOS!$A19321="","",DATOS!$A19321&amp;"|"&amp;DATOS!$D19321&amp;"|"&amp;DATOS!$E19321&amp;"|"&amp;DATOS!$I19321)</f>
      </c>
      <c r="G19321">
        <f>IF(DATOS!$A19321="",0,IF(CONFIG_METADATA!$B$4&lt;&gt;"OR+EX",--(DATOS!$G19321=CONFIG_METADATA!$B$4),IF(DATOS!$G19321="EX",1,IF(DATOS!$G19321="OR",--(COUNTIFS(nNIA,DATOS!$A19321,nCURSO,DATOS!$D19321,nESPEC,DATOS!$E19321,nASIG,DATOS!$I19321,nEVAL,"EX")=0),0))))</f>
      </c>
      <c r="H19321">
        <f>IF(DATOS!$G19321&lt;&gt;"EX",0,--(COUNTIFS(nNIA,DATOS!$A19321,nCURSO,DATOS!$D19321,nESPEC,DATOS!$E19321,nASIG,DATOS!$I19321,nEVAL,"OR")=0))</f>
      </c>
      <c r="I19321">
        <f>IF(DATOS!$I19321="","",IFERROR(VLOOKUP(DATOS!$I19321,CONFIG_ASIGNATURAS!$B$2:$J$91,9,FALSE()),""))</f>
      </c>
    </row>
    <row r="19322">
      <c r="F19322">
        <f>IF(DATOS!$A19322="","",DATOS!$A19322&amp;"|"&amp;DATOS!$D19322&amp;"|"&amp;DATOS!$E19322&amp;"|"&amp;DATOS!$I19322)</f>
      </c>
      <c r="G19322">
        <f>IF(DATOS!$A19322="",0,IF(CONFIG_METADATA!$B$4&lt;&gt;"OR+EX",--(DATOS!$G19322=CONFIG_METADATA!$B$4),IF(DATOS!$G19322="EX",1,IF(DATOS!$G19322="OR",--(COUNTIFS(nNIA,DATOS!$A19322,nCURSO,DATOS!$D19322,nESPEC,DATOS!$E19322,nASIG,DATOS!$I19322,nEVAL,"EX")=0),0))))</f>
      </c>
      <c r="H19322">
        <f>IF(DATOS!$G19322&lt;&gt;"EX",0,--(COUNTIFS(nNIA,DATOS!$A19322,nCURSO,DATOS!$D19322,nESPEC,DATOS!$E19322,nASIG,DATOS!$I19322,nEVAL,"OR")=0))</f>
      </c>
      <c r="I19322">
        <f>IF(DATOS!$I19322="","",IFERROR(VLOOKUP(DATOS!$I19322,CONFIG_ASIGNATURAS!$B$2:$J$91,9,FALSE()),""))</f>
      </c>
    </row>
    <row r="19323">
      <c r="F19323">
        <f>IF(DATOS!$A19323="","",DATOS!$A19323&amp;"|"&amp;DATOS!$D19323&amp;"|"&amp;DATOS!$E19323&amp;"|"&amp;DATOS!$I19323)</f>
      </c>
      <c r="G19323">
        <f>IF(DATOS!$A19323="",0,IF(CONFIG_METADATA!$B$4&lt;&gt;"OR+EX",--(DATOS!$G19323=CONFIG_METADATA!$B$4),IF(DATOS!$G19323="EX",1,IF(DATOS!$G19323="OR",--(COUNTIFS(nNIA,DATOS!$A19323,nCURSO,DATOS!$D19323,nESPEC,DATOS!$E19323,nASIG,DATOS!$I19323,nEVAL,"EX")=0),0))))</f>
      </c>
      <c r="H19323">
        <f>IF(DATOS!$G19323&lt;&gt;"EX",0,--(COUNTIFS(nNIA,DATOS!$A19323,nCURSO,DATOS!$D19323,nESPEC,DATOS!$E19323,nASIG,DATOS!$I19323,nEVAL,"OR")=0))</f>
      </c>
      <c r="I19323">
        <f>IF(DATOS!$I19323="","",IFERROR(VLOOKUP(DATOS!$I19323,CONFIG_ASIGNATURAS!$B$2:$J$91,9,FALSE()),""))</f>
      </c>
    </row>
    <row r="19324">
      <c r="F19324">
        <f>IF(DATOS!$A19324="","",DATOS!$A19324&amp;"|"&amp;DATOS!$D19324&amp;"|"&amp;DATOS!$E19324&amp;"|"&amp;DATOS!$I19324)</f>
      </c>
      <c r="G19324">
        <f>IF(DATOS!$A19324="",0,IF(CONFIG_METADATA!$B$4&lt;&gt;"OR+EX",--(DATOS!$G19324=CONFIG_METADATA!$B$4),IF(DATOS!$G19324="EX",1,IF(DATOS!$G19324="OR",--(COUNTIFS(nNIA,DATOS!$A19324,nCURSO,DATOS!$D19324,nESPEC,DATOS!$E19324,nASIG,DATOS!$I19324,nEVAL,"EX")=0),0))))</f>
      </c>
      <c r="H19324">
        <f>IF(DATOS!$G19324&lt;&gt;"EX",0,--(COUNTIFS(nNIA,DATOS!$A19324,nCURSO,DATOS!$D19324,nESPEC,DATOS!$E19324,nASIG,DATOS!$I19324,nEVAL,"OR")=0))</f>
      </c>
      <c r="I19324">
        <f>IF(DATOS!$I19324="","",IFERROR(VLOOKUP(DATOS!$I19324,CONFIG_ASIGNATURAS!$B$2:$J$91,9,FALSE()),""))</f>
      </c>
    </row>
    <row r="19325">
      <c r="F19325">
        <f>IF(DATOS!$A19325="","",DATOS!$A19325&amp;"|"&amp;DATOS!$D19325&amp;"|"&amp;DATOS!$E19325&amp;"|"&amp;DATOS!$I19325)</f>
      </c>
      <c r="G19325">
        <f>IF(DATOS!$A19325="",0,IF(CONFIG_METADATA!$B$4&lt;&gt;"OR+EX",--(DATOS!$G19325=CONFIG_METADATA!$B$4),IF(DATOS!$G19325="EX",1,IF(DATOS!$G19325="OR",--(COUNTIFS(nNIA,DATOS!$A19325,nCURSO,DATOS!$D19325,nESPEC,DATOS!$E19325,nASIG,DATOS!$I19325,nEVAL,"EX")=0),0))))</f>
      </c>
      <c r="H19325">
        <f>IF(DATOS!$G19325&lt;&gt;"EX",0,--(COUNTIFS(nNIA,DATOS!$A19325,nCURSO,DATOS!$D19325,nESPEC,DATOS!$E19325,nASIG,DATOS!$I19325,nEVAL,"OR")=0))</f>
      </c>
      <c r="I19325">
        <f>IF(DATOS!$I19325="","",IFERROR(VLOOKUP(DATOS!$I19325,CONFIG_ASIGNATURAS!$B$2:$J$91,9,FALSE()),""))</f>
      </c>
    </row>
    <row r="19326">
      <c r="F19326">
        <f>IF(DATOS!$A19326="","",DATOS!$A19326&amp;"|"&amp;DATOS!$D19326&amp;"|"&amp;DATOS!$E19326&amp;"|"&amp;DATOS!$I19326)</f>
      </c>
      <c r="G19326">
        <f>IF(DATOS!$A19326="",0,IF(CONFIG_METADATA!$B$4&lt;&gt;"OR+EX",--(DATOS!$G19326=CONFIG_METADATA!$B$4),IF(DATOS!$G19326="EX",1,IF(DATOS!$G19326="OR",--(COUNTIFS(nNIA,DATOS!$A19326,nCURSO,DATOS!$D19326,nESPEC,DATOS!$E19326,nASIG,DATOS!$I19326,nEVAL,"EX")=0),0))))</f>
      </c>
      <c r="H19326">
        <f>IF(DATOS!$G19326&lt;&gt;"EX",0,--(COUNTIFS(nNIA,DATOS!$A19326,nCURSO,DATOS!$D19326,nESPEC,DATOS!$E19326,nASIG,DATOS!$I19326,nEVAL,"OR")=0))</f>
      </c>
      <c r="I19326">
        <f>IF(DATOS!$I19326="","",IFERROR(VLOOKUP(DATOS!$I19326,CONFIG_ASIGNATURAS!$B$2:$J$91,9,FALSE()),""))</f>
      </c>
    </row>
    <row r="19327">
      <c r="F19327">
        <f>IF(DATOS!$A19327="","",DATOS!$A19327&amp;"|"&amp;DATOS!$D19327&amp;"|"&amp;DATOS!$E19327&amp;"|"&amp;DATOS!$I19327)</f>
      </c>
      <c r="G19327">
        <f>IF(DATOS!$A19327="",0,IF(CONFIG_METADATA!$B$4&lt;&gt;"OR+EX",--(DATOS!$G19327=CONFIG_METADATA!$B$4),IF(DATOS!$G19327="EX",1,IF(DATOS!$G19327="OR",--(COUNTIFS(nNIA,DATOS!$A19327,nCURSO,DATOS!$D19327,nESPEC,DATOS!$E19327,nASIG,DATOS!$I19327,nEVAL,"EX")=0),0))))</f>
      </c>
      <c r="H19327">
        <f>IF(DATOS!$G19327&lt;&gt;"EX",0,--(COUNTIFS(nNIA,DATOS!$A19327,nCURSO,DATOS!$D19327,nESPEC,DATOS!$E19327,nASIG,DATOS!$I19327,nEVAL,"OR")=0))</f>
      </c>
      <c r="I19327">
        <f>IF(DATOS!$I19327="","",IFERROR(VLOOKUP(DATOS!$I19327,CONFIG_ASIGNATURAS!$B$2:$J$91,9,FALSE()),""))</f>
      </c>
    </row>
    <row r="19328">
      <c r="F19328">
        <f>IF(DATOS!$A19328="","",DATOS!$A19328&amp;"|"&amp;DATOS!$D19328&amp;"|"&amp;DATOS!$E19328&amp;"|"&amp;DATOS!$I19328)</f>
      </c>
      <c r="G19328">
        <f>IF(DATOS!$A19328="",0,IF(CONFIG_METADATA!$B$4&lt;&gt;"OR+EX",--(DATOS!$G19328=CONFIG_METADATA!$B$4),IF(DATOS!$G19328="EX",1,IF(DATOS!$G19328="OR",--(COUNTIFS(nNIA,DATOS!$A19328,nCURSO,DATOS!$D19328,nESPEC,DATOS!$E19328,nASIG,DATOS!$I19328,nEVAL,"EX")=0),0))))</f>
      </c>
      <c r="H19328">
        <f>IF(DATOS!$G19328&lt;&gt;"EX",0,--(COUNTIFS(nNIA,DATOS!$A19328,nCURSO,DATOS!$D19328,nESPEC,DATOS!$E19328,nASIG,DATOS!$I19328,nEVAL,"OR")=0))</f>
      </c>
      <c r="I19328">
        <f>IF(DATOS!$I19328="","",IFERROR(VLOOKUP(DATOS!$I19328,CONFIG_ASIGNATURAS!$B$2:$J$91,9,FALSE()),""))</f>
      </c>
    </row>
    <row r="19329">
      <c r="F19329">
        <f>IF(DATOS!$A19329="","",DATOS!$A19329&amp;"|"&amp;DATOS!$D19329&amp;"|"&amp;DATOS!$E19329&amp;"|"&amp;DATOS!$I19329)</f>
      </c>
      <c r="G19329">
        <f>IF(DATOS!$A19329="",0,IF(CONFIG_METADATA!$B$4&lt;&gt;"OR+EX",--(DATOS!$G19329=CONFIG_METADATA!$B$4),IF(DATOS!$G19329="EX",1,IF(DATOS!$G19329="OR",--(COUNTIFS(nNIA,DATOS!$A19329,nCURSO,DATOS!$D19329,nESPEC,DATOS!$E19329,nASIG,DATOS!$I19329,nEVAL,"EX")=0),0))))</f>
      </c>
      <c r="H19329">
        <f>IF(DATOS!$G19329&lt;&gt;"EX",0,--(COUNTIFS(nNIA,DATOS!$A19329,nCURSO,DATOS!$D19329,nESPEC,DATOS!$E19329,nASIG,DATOS!$I19329,nEVAL,"OR")=0))</f>
      </c>
      <c r="I19329">
        <f>IF(DATOS!$I19329="","",IFERROR(VLOOKUP(DATOS!$I19329,CONFIG_ASIGNATURAS!$B$2:$J$91,9,FALSE()),""))</f>
      </c>
    </row>
    <row r="19330">
      <c r="F19330">
        <f>IF(DATOS!$A19330="","",DATOS!$A19330&amp;"|"&amp;DATOS!$D19330&amp;"|"&amp;DATOS!$E19330&amp;"|"&amp;DATOS!$I19330)</f>
      </c>
      <c r="G19330">
        <f>IF(DATOS!$A19330="",0,IF(CONFIG_METADATA!$B$4&lt;&gt;"OR+EX",--(DATOS!$G19330=CONFIG_METADATA!$B$4),IF(DATOS!$G19330="EX",1,IF(DATOS!$G19330="OR",--(COUNTIFS(nNIA,DATOS!$A19330,nCURSO,DATOS!$D19330,nESPEC,DATOS!$E19330,nASIG,DATOS!$I19330,nEVAL,"EX")=0),0))))</f>
      </c>
      <c r="H19330">
        <f>IF(DATOS!$G19330&lt;&gt;"EX",0,--(COUNTIFS(nNIA,DATOS!$A19330,nCURSO,DATOS!$D19330,nESPEC,DATOS!$E19330,nASIG,DATOS!$I19330,nEVAL,"OR")=0))</f>
      </c>
      <c r="I19330">
        <f>IF(DATOS!$I19330="","",IFERROR(VLOOKUP(DATOS!$I19330,CONFIG_ASIGNATURAS!$B$2:$J$91,9,FALSE()),""))</f>
      </c>
    </row>
    <row r="19331">
      <c r="F19331">
        <f>IF(DATOS!$A19331="","",DATOS!$A19331&amp;"|"&amp;DATOS!$D19331&amp;"|"&amp;DATOS!$E19331&amp;"|"&amp;DATOS!$I19331)</f>
      </c>
      <c r="G19331">
        <f>IF(DATOS!$A19331="",0,IF(CONFIG_METADATA!$B$4&lt;&gt;"OR+EX",--(DATOS!$G19331=CONFIG_METADATA!$B$4),IF(DATOS!$G19331="EX",1,IF(DATOS!$G19331="OR",--(COUNTIFS(nNIA,DATOS!$A19331,nCURSO,DATOS!$D19331,nESPEC,DATOS!$E19331,nASIG,DATOS!$I19331,nEVAL,"EX")=0),0))))</f>
      </c>
      <c r="H19331">
        <f>IF(DATOS!$G19331&lt;&gt;"EX",0,--(COUNTIFS(nNIA,DATOS!$A19331,nCURSO,DATOS!$D19331,nESPEC,DATOS!$E19331,nASIG,DATOS!$I19331,nEVAL,"OR")=0))</f>
      </c>
      <c r="I19331">
        <f>IF(DATOS!$I19331="","",IFERROR(VLOOKUP(DATOS!$I19331,CONFIG_ASIGNATURAS!$B$2:$J$91,9,FALSE()),""))</f>
      </c>
    </row>
    <row r="19332">
      <c r="F19332">
        <f>IF(DATOS!$A19332="","",DATOS!$A19332&amp;"|"&amp;DATOS!$D19332&amp;"|"&amp;DATOS!$E19332&amp;"|"&amp;DATOS!$I19332)</f>
      </c>
      <c r="G19332">
        <f>IF(DATOS!$A19332="",0,IF(CONFIG_METADATA!$B$4&lt;&gt;"OR+EX",--(DATOS!$G19332=CONFIG_METADATA!$B$4),IF(DATOS!$G19332="EX",1,IF(DATOS!$G19332="OR",--(COUNTIFS(nNIA,DATOS!$A19332,nCURSO,DATOS!$D19332,nESPEC,DATOS!$E19332,nASIG,DATOS!$I19332,nEVAL,"EX")=0),0))))</f>
      </c>
      <c r="H19332">
        <f>IF(DATOS!$G19332&lt;&gt;"EX",0,--(COUNTIFS(nNIA,DATOS!$A19332,nCURSO,DATOS!$D19332,nESPEC,DATOS!$E19332,nASIG,DATOS!$I19332,nEVAL,"OR")=0))</f>
      </c>
      <c r="I19332">
        <f>IF(DATOS!$I19332="","",IFERROR(VLOOKUP(DATOS!$I19332,CONFIG_ASIGNATURAS!$B$2:$J$91,9,FALSE()),""))</f>
      </c>
    </row>
    <row r="19333">
      <c r="F19333">
        <f>IF(DATOS!$A19333="","",DATOS!$A19333&amp;"|"&amp;DATOS!$D19333&amp;"|"&amp;DATOS!$E19333&amp;"|"&amp;DATOS!$I19333)</f>
      </c>
      <c r="G19333">
        <f>IF(DATOS!$A19333="",0,IF(CONFIG_METADATA!$B$4&lt;&gt;"OR+EX",--(DATOS!$G19333=CONFIG_METADATA!$B$4),IF(DATOS!$G19333="EX",1,IF(DATOS!$G19333="OR",--(COUNTIFS(nNIA,DATOS!$A19333,nCURSO,DATOS!$D19333,nESPEC,DATOS!$E19333,nASIG,DATOS!$I19333,nEVAL,"EX")=0),0))))</f>
      </c>
      <c r="H19333">
        <f>IF(DATOS!$G19333&lt;&gt;"EX",0,--(COUNTIFS(nNIA,DATOS!$A19333,nCURSO,DATOS!$D19333,nESPEC,DATOS!$E19333,nASIG,DATOS!$I19333,nEVAL,"OR")=0))</f>
      </c>
      <c r="I19333">
        <f>IF(DATOS!$I19333="","",IFERROR(VLOOKUP(DATOS!$I19333,CONFIG_ASIGNATURAS!$B$2:$J$91,9,FALSE()),""))</f>
      </c>
    </row>
    <row r="19334">
      <c r="F19334">
        <f>IF(DATOS!$A19334="","",DATOS!$A19334&amp;"|"&amp;DATOS!$D19334&amp;"|"&amp;DATOS!$E19334&amp;"|"&amp;DATOS!$I19334)</f>
      </c>
      <c r="G19334">
        <f>IF(DATOS!$A19334="",0,IF(CONFIG_METADATA!$B$4&lt;&gt;"OR+EX",--(DATOS!$G19334=CONFIG_METADATA!$B$4),IF(DATOS!$G19334="EX",1,IF(DATOS!$G19334="OR",--(COUNTIFS(nNIA,DATOS!$A19334,nCURSO,DATOS!$D19334,nESPEC,DATOS!$E19334,nASIG,DATOS!$I19334,nEVAL,"EX")=0),0))))</f>
      </c>
      <c r="H19334">
        <f>IF(DATOS!$G19334&lt;&gt;"EX",0,--(COUNTIFS(nNIA,DATOS!$A19334,nCURSO,DATOS!$D19334,nESPEC,DATOS!$E19334,nASIG,DATOS!$I19334,nEVAL,"OR")=0))</f>
      </c>
      <c r="I19334">
        <f>IF(DATOS!$I19334="","",IFERROR(VLOOKUP(DATOS!$I19334,CONFIG_ASIGNATURAS!$B$2:$J$91,9,FALSE()),""))</f>
      </c>
    </row>
    <row r="19335">
      <c r="F19335">
        <f>IF(DATOS!$A19335="","",DATOS!$A19335&amp;"|"&amp;DATOS!$D19335&amp;"|"&amp;DATOS!$E19335&amp;"|"&amp;DATOS!$I19335)</f>
      </c>
      <c r="G19335">
        <f>IF(DATOS!$A19335="",0,IF(CONFIG_METADATA!$B$4&lt;&gt;"OR+EX",--(DATOS!$G19335=CONFIG_METADATA!$B$4),IF(DATOS!$G19335="EX",1,IF(DATOS!$G19335="OR",--(COUNTIFS(nNIA,DATOS!$A19335,nCURSO,DATOS!$D19335,nESPEC,DATOS!$E19335,nASIG,DATOS!$I19335,nEVAL,"EX")=0),0))))</f>
      </c>
      <c r="H19335">
        <f>IF(DATOS!$G19335&lt;&gt;"EX",0,--(COUNTIFS(nNIA,DATOS!$A19335,nCURSO,DATOS!$D19335,nESPEC,DATOS!$E19335,nASIG,DATOS!$I19335,nEVAL,"OR")=0))</f>
      </c>
      <c r="I19335">
        <f>IF(DATOS!$I19335="","",IFERROR(VLOOKUP(DATOS!$I19335,CONFIG_ASIGNATURAS!$B$2:$J$91,9,FALSE()),""))</f>
      </c>
    </row>
    <row r="19336">
      <c r="F19336">
        <f>IF(DATOS!$A19336="","",DATOS!$A19336&amp;"|"&amp;DATOS!$D19336&amp;"|"&amp;DATOS!$E19336&amp;"|"&amp;DATOS!$I19336)</f>
      </c>
      <c r="G19336">
        <f>IF(DATOS!$A19336="",0,IF(CONFIG_METADATA!$B$4&lt;&gt;"OR+EX",--(DATOS!$G19336=CONFIG_METADATA!$B$4),IF(DATOS!$G19336="EX",1,IF(DATOS!$G19336="OR",--(COUNTIFS(nNIA,DATOS!$A19336,nCURSO,DATOS!$D19336,nESPEC,DATOS!$E19336,nASIG,DATOS!$I19336,nEVAL,"EX")=0),0))))</f>
      </c>
      <c r="H19336">
        <f>IF(DATOS!$G19336&lt;&gt;"EX",0,--(COUNTIFS(nNIA,DATOS!$A19336,nCURSO,DATOS!$D19336,nESPEC,DATOS!$E19336,nASIG,DATOS!$I19336,nEVAL,"OR")=0))</f>
      </c>
      <c r="I19336">
        <f>IF(DATOS!$I19336="","",IFERROR(VLOOKUP(DATOS!$I19336,CONFIG_ASIGNATURAS!$B$2:$J$91,9,FALSE()),""))</f>
      </c>
    </row>
    <row r="19337">
      <c r="F19337">
        <f>IF(DATOS!$A19337="","",DATOS!$A19337&amp;"|"&amp;DATOS!$D19337&amp;"|"&amp;DATOS!$E19337&amp;"|"&amp;DATOS!$I19337)</f>
      </c>
      <c r="G19337">
        <f>IF(DATOS!$A19337="",0,IF(CONFIG_METADATA!$B$4&lt;&gt;"OR+EX",--(DATOS!$G19337=CONFIG_METADATA!$B$4),IF(DATOS!$G19337="EX",1,IF(DATOS!$G19337="OR",--(COUNTIFS(nNIA,DATOS!$A19337,nCURSO,DATOS!$D19337,nESPEC,DATOS!$E19337,nASIG,DATOS!$I19337,nEVAL,"EX")=0),0))))</f>
      </c>
      <c r="H19337">
        <f>IF(DATOS!$G19337&lt;&gt;"EX",0,--(COUNTIFS(nNIA,DATOS!$A19337,nCURSO,DATOS!$D19337,nESPEC,DATOS!$E19337,nASIG,DATOS!$I19337,nEVAL,"OR")=0))</f>
      </c>
      <c r="I19337">
        <f>IF(DATOS!$I19337="","",IFERROR(VLOOKUP(DATOS!$I19337,CONFIG_ASIGNATURAS!$B$2:$J$91,9,FALSE()),""))</f>
      </c>
    </row>
    <row r="19338">
      <c r="F19338">
        <f>IF(DATOS!$A19338="","",DATOS!$A19338&amp;"|"&amp;DATOS!$D19338&amp;"|"&amp;DATOS!$E19338&amp;"|"&amp;DATOS!$I19338)</f>
      </c>
      <c r="G19338">
        <f>IF(DATOS!$A19338="",0,IF(CONFIG_METADATA!$B$4&lt;&gt;"OR+EX",--(DATOS!$G19338=CONFIG_METADATA!$B$4),IF(DATOS!$G19338="EX",1,IF(DATOS!$G19338="OR",--(COUNTIFS(nNIA,DATOS!$A19338,nCURSO,DATOS!$D19338,nESPEC,DATOS!$E19338,nASIG,DATOS!$I19338,nEVAL,"EX")=0),0))))</f>
      </c>
      <c r="H19338">
        <f>IF(DATOS!$G19338&lt;&gt;"EX",0,--(COUNTIFS(nNIA,DATOS!$A19338,nCURSO,DATOS!$D19338,nESPEC,DATOS!$E19338,nASIG,DATOS!$I19338,nEVAL,"OR")=0))</f>
      </c>
      <c r="I19338">
        <f>IF(DATOS!$I19338="","",IFERROR(VLOOKUP(DATOS!$I19338,CONFIG_ASIGNATURAS!$B$2:$J$91,9,FALSE()),""))</f>
      </c>
    </row>
    <row r="19339">
      <c r="F19339">
        <f>IF(DATOS!$A19339="","",DATOS!$A19339&amp;"|"&amp;DATOS!$D19339&amp;"|"&amp;DATOS!$E19339&amp;"|"&amp;DATOS!$I19339)</f>
      </c>
      <c r="G19339">
        <f>IF(DATOS!$A19339="",0,IF(CONFIG_METADATA!$B$4&lt;&gt;"OR+EX",--(DATOS!$G19339=CONFIG_METADATA!$B$4),IF(DATOS!$G19339="EX",1,IF(DATOS!$G19339="OR",--(COUNTIFS(nNIA,DATOS!$A19339,nCURSO,DATOS!$D19339,nESPEC,DATOS!$E19339,nASIG,DATOS!$I19339,nEVAL,"EX")=0),0))))</f>
      </c>
      <c r="H19339">
        <f>IF(DATOS!$G19339&lt;&gt;"EX",0,--(COUNTIFS(nNIA,DATOS!$A19339,nCURSO,DATOS!$D19339,nESPEC,DATOS!$E19339,nASIG,DATOS!$I19339,nEVAL,"OR")=0))</f>
      </c>
      <c r="I19339">
        <f>IF(DATOS!$I19339="","",IFERROR(VLOOKUP(DATOS!$I19339,CONFIG_ASIGNATURAS!$B$2:$J$91,9,FALSE()),""))</f>
      </c>
    </row>
    <row r="19340">
      <c r="F19340">
        <f>IF(DATOS!$A19340="","",DATOS!$A19340&amp;"|"&amp;DATOS!$D19340&amp;"|"&amp;DATOS!$E19340&amp;"|"&amp;DATOS!$I19340)</f>
      </c>
      <c r="G19340">
        <f>IF(DATOS!$A19340="",0,IF(CONFIG_METADATA!$B$4&lt;&gt;"OR+EX",--(DATOS!$G19340=CONFIG_METADATA!$B$4),IF(DATOS!$G19340="EX",1,IF(DATOS!$G19340="OR",--(COUNTIFS(nNIA,DATOS!$A19340,nCURSO,DATOS!$D19340,nESPEC,DATOS!$E19340,nASIG,DATOS!$I19340,nEVAL,"EX")=0),0))))</f>
      </c>
      <c r="H19340">
        <f>IF(DATOS!$G19340&lt;&gt;"EX",0,--(COUNTIFS(nNIA,DATOS!$A19340,nCURSO,DATOS!$D19340,nESPEC,DATOS!$E19340,nASIG,DATOS!$I19340,nEVAL,"OR")=0))</f>
      </c>
      <c r="I19340">
        <f>IF(DATOS!$I19340="","",IFERROR(VLOOKUP(DATOS!$I19340,CONFIG_ASIGNATURAS!$B$2:$J$91,9,FALSE()),""))</f>
      </c>
    </row>
    <row r="19341">
      <c r="F19341">
        <f>IF(DATOS!$A19341="","",DATOS!$A19341&amp;"|"&amp;DATOS!$D19341&amp;"|"&amp;DATOS!$E19341&amp;"|"&amp;DATOS!$I19341)</f>
      </c>
      <c r="G19341">
        <f>IF(DATOS!$A19341="",0,IF(CONFIG_METADATA!$B$4&lt;&gt;"OR+EX",--(DATOS!$G19341=CONFIG_METADATA!$B$4),IF(DATOS!$G19341="EX",1,IF(DATOS!$G19341="OR",--(COUNTIFS(nNIA,DATOS!$A19341,nCURSO,DATOS!$D19341,nESPEC,DATOS!$E19341,nASIG,DATOS!$I19341,nEVAL,"EX")=0),0))))</f>
      </c>
      <c r="H19341">
        <f>IF(DATOS!$G19341&lt;&gt;"EX",0,--(COUNTIFS(nNIA,DATOS!$A19341,nCURSO,DATOS!$D19341,nESPEC,DATOS!$E19341,nASIG,DATOS!$I19341,nEVAL,"OR")=0))</f>
      </c>
      <c r="I19341">
        <f>IF(DATOS!$I19341="","",IFERROR(VLOOKUP(DATOS!$I19341,CONFIG_ASIGNATURAS!$B$2:$J$91,9,FALSE()),""))</f>
      </c>
    </row>
    <row r="19342">
      <c r="F19342">
        <f>IF(DATOS!$A19342="","",DATOS!$A19342&amp;"|"&amp;DATOS!$D19342&amp;"|"&amp;DATOS!$E19342&amp;"|"&amp;DATOS!$I19342)</f>
      </c>
      <c r="G19342">
        <f>IF(DATOS!$A19342="",0,IF(CONFIG_METADATA!$B$4&lt;&gt;"OR+EX",--(DATOS!$G19342=CONFIG_METADATA!$B$4),IF(DATOS!$G19342="EX",1,IF(DATOS!$G19342="OR",--(COUNTIFS(nNIA,DATOS!$A19342,nCURSO,DATOS!$D19342,nESPEC,DATOS!$E19342,nASIG,DATOS!$I19342,nEVAL,"EX")=0),0))))</f>
      </c>
      <c r="H19342">
        <f>IF(DATOS!$G19342&lt;&gt;"EX",0,--(COUNTIFS(nNIA,DATOS!$A19342,nCURSO,DATOS!$D19342,nESPEC,DATOS!$E19342,nASIG,DATOS!$I19342,nEVAL,"OR")=0))</f>
      </c>
      <c r="I19342">
        <f>IF(DATOS!$I19342="","",IFERROR(VLOOKUP(DATOS!$I19342,CONFIG_ASIGNATURAS!$B$2:$J$91,9,FALSE()),""))</f>
      </c>
    </row>
    <row r="19343">
      <c r="F19343">
        <f>IF(DATOS!$A19343="","",DATOS!$A19343&amp;"|"&amp;DATOS!$D19343&amp;"|"&amp;DATOS!$E19343&amp;"|"&amp;DATOS!$I19343)</f>
      </c>
      <c r="G19343">
        <f>IF(DATOS!$A19343="",0,IF(CONFIG_METADATA!$B$4&lt;&gt;"OR+EX",--(DATOS!$G19343=CONFIG_METADATA!$B$4),IF(DATOS!$G19343="EX",1,IF(DATOS!$G19343="OR",--(COUNTIFS(nNIA,DATOS!$A19343,nCURSO,DATOS!$D19343,nESPEC,DATOS!$E19343,nASIG,DATOS!$I19343,nEVAL,"EX")=0),0))))</f>
      </c>
      <c r="H19343">
        <f>IF(DATOS!$G19343&lt;&gt;"EX",0,--(COUNTIFS(nNIA,DATOS!$A19343,nCURSO,DATOS!$D19343,nESPEC,DATOS!$E19343,nASIG,DATOS!$I19343,nEVAL,"OR")=0))</f>
      </c>
      <c r="I19343">
        <f>IF(DATOS!$I19343="","",IFERROR(VLOOKUP(DATOS!$I19343,CONFIG_ASIGNATURAS!$B$2:$J$91,9,FALSE()),""))</f>
      </c>
    </row>
    <row r="19344">
      <c r="F19344">
        <f>IF(DATOS!$A19344="","",DATOS!$A19344&amp;"|"&amp;DATOS!$D19344&amp;"|"&amp;DATOS!$E19344&amp;"|"&amp;DATOS!$I19344)</f>
      </c>
      <c r="G19344">
        <f>IF(DATOS!$A19344="",0,IF(CONFIG_METADATA!$B$4&lt;&gt;"OR+EX",--(DATOS!$G19344=CONFIG_METADATA!$B$4),IF(DATOS!$G19344="EX",1,IF(DATOS!$G19344="OR",--(COUNTIFS(nNIA,DATOS!$A19344,nCURSO,DATOS!$D19344,nESPEC,DATOS!$E19344,nASIG,DATOS!$I19344,nEVAL,"EX")=0),0))))</f>
      </c>
      <c r="H19344">
        <f>IF(DATOS!$G19344&lt;&gt;"EX",0,--(COUNTIFS(nNIA,DATOS!$A19344,nCURSO,DATOS!$D19344,nESPEC,DATOS!$E19344,nASIG,DATOS!$I19344,nEVAL,"OR")=0))</f>
      </c>
      <c r="I19344">
        <f>IF(DATOS!$I19344="","",IFERROR(VLOOKUP(DATOS!$I19344,CONFIG_ASIGNATURAS!$B$2:$J$91,9,FALSE()),""))</f>
      </c>
    </row>
    <row r="19345">
      <c r="F19345">
        <f>IF(DATOS!$A19345="","",DATOS!$A19345&amp;"|"&amp;DATOS!$D19345&amp;"|"&amp;DATOS!$E19345&amp;"|"&amp;DATOS!$I19345)</f>
      </c>
      <c r="G19345">
        <f>IF(DATOS!$A19345="",0,IF(CONFIG_METADATA!$B$4&lt;&gt;"OR+EX",--(DATOS!$G19345=CONFIG_METADATA!$B$4),IF(DATOS!$G19345="EX",1,IF(DATOS!$G19345="OR",--(COUNTIFS(nNIA,DATOS!$A19345,nCURSO,DATOS!$D19345,nESPEC,DATOS!$E19345,nASIG,DATOS!$I19345,nEVAL,"EX")=0),0))))</f>
      </c>
      <c r="H19345">
        <f>IF(DATOS!$G19345&lt;&gt;"EX",0,--(COUNTIFS(nNIA,DATOS!$A19345,nCURSO,DATOS!$D19345,nESPEC,DATOS!$E19345,nASIG,DATOS!$I19345,nEVAL,"OR")=0))</f>
      </c>
      <c r="I19345">
        <f>IF(DATOS!$I19345="","",IFERROR(VLOOKUP(DATOS!$I19345,CONFIG_ASIGNATURAS!$B$2:$J$91,9,FALSE()),""))</f>
      </c>
    </row>
    <row r="19346">
      <c r="F19346">
        <f>IF(DATOS!$A19346="","",DATOS!$A19346&amp;"|"&amp;DATOS!$D19346&amp;"|"&amp;DATOS!$E19346&amp;"|"&amp;DATOS!$I19346)</f>
      </c>
      <c r="G19346">
        <f>IF(DATOS!$A19346="",0,IF(CONFIG_METADATA!$B$4&lt;&gt;"OR+EX",--(DATOS!$G19346=CONFIG_METADATA!$B$4),IF(DATOS!$G19346="EX",1,IF(DATOS!$G19346="OR",--(COUNTIFS(nNIA,DATOS!$A19346,nCURSO,DATOS!$D19346,nESPEC,DATOS!$E19346,nASIG,DATOS!$I19346,nEVAL,"EX")=0),0))))</f>
      </c>
      <c r="H19346">
        <f>IF(DATOS!$G19346&lt;&gt;"EX",0,--(COUNTIFS(nNIA,DATOS!$A19346,nCURSO,DATOS!$D19346,nESPEC,DATOS!$E19346,nASIG,DATOS!$I19346,nEVAL,"OR")=0))</f>
      </c>
      <c r="I19346">
        <f>IF(DATOS!$I19346="","",IFERROR(VLOOKUP(DATOS!$I19346,CONFIG_ASIGNATURAS!$B$2:$J$91,9,FALSE()),""))</f>
      </c>
    </row>
    <row r="19347">
      <c r="F19347">
        <f>IF(DATOS!$A19347="","",DATOS!$A19347&amp;"|"&amp;DATOS!$D19347&amp;"|"&amp;DATOS!$E19347&amp;"|"&amp;DATOS!$I19347)</f>
      </c>
      <c r="G19347">
        <f>IF(DATOS!$A19347="",0,IF(CONFIG_METADATA!$B$4&lt;&gt;"OR+EX",--(DATOS!$G19347=CONFIG_METADATA!$B$4),IF(DATOS!$G19347="EX",1,IF(DATOS!$G19347="OR",--(COUNTIFS(nNIA,DATOS!$A19347,nCURSO,DATOS!$D19347,nESPEC,DATOS!$E19347,nASIG,DATOS!$I19347,nEVAL,"EX")=0),0))))</f>
      </c>
      <c r="H19347">
        <f>IF(DATOS!$G19347&lt;&gt;"EX",0,--(COUNTIFS(nNIA,DATOS!$A19347,nCURSO,DATOS!$D19347,nESPEC,DATOS!$E19347,nASIG,DATOS!$I19347,nEVAL,"OR")=0))</f>
      </c>
      <c r="I19347">
        <f>IF(DATOS!$I19347="","",IFERROR(VLOOKUP(DATOS!$I19347,CONFIG_ASIGNATURAS!$B$2:$J$91,9,FALSE()),""))</f>
      </c>
    </row>
    <row r="19348">
      <c r="F19348">
        <f>IF(DATOS!$A19348="","",DATOS!$A19348&amp;"|"&amp;DATOS!$D19348&amp;"|"&amp;DATOS!$E19348&amp;"|"&amp;DATOS!$I19348)</f>
      </c>
      <c r="G19348">
        <f>IF(DATOS!$A19348="",0,IF(CONFIG_METADATA!$B$4&lt;&gt;"OR+EX",--(DATOS!$G19348=CONFIG_METADATA!$B$4),IF(DATOS!$G19348="EX",1,IF(DATOS!$G19348="OR",--(COUNTIFS(nNIA,DATOS!$A19348,nCURSO,DATOS!$D19348,nESPEC,DATOS!$E19348,nASIG,DATOS!$I19348,nEVAL,"EX")=0),0))))</f>
      </c>
      <c r="H19348">
        <f>IF(DATOS!$G19348&lt;&gt;"EX",0,--(COUNTIFS(nNIA,DATOS!$A19348,nCURSO,DATOS!$D19348,nESPEC,DATOS!$E19348,nASIG,DATOS!$I19348,nEVAL,"OR")=0))</f>
      </c>
      <c r="I19348">
        <f>IF(DATOS!$I19348="","",IFERROR(VLOOKUP(DATOS!$I19348,CONFIG_ASIGNATURAS!$B$2:$J$91,9,FALSE()),""))</f>
      </c>
    </row>
    <row r="19349">
      <c r="F19349">
        <f>IF(DATOS!$A19349="","",DATOS!$A19349&amp;"|"&amp;DATOS!$D19349&amp;"|"&amp;DATOS!$E19349&amp;"|"&amp;DATOS!$I19349)</f>
      </c>
      <c r="G19349">
        <f>IF(DATOS!$A19349="",0,IF(CONFIG_METADATA!$B$4&lt;&gt;"OR+EX",--(DATOS!$G19349=CONFIG_METADATA!$B$4),IF(DATOS!$G19349="EX",1,IF(DATOS!$G19349="OR",--(COUNTIFS(nNIA,DATOS!$A19349,nCURSO,DATOS!$D19349,nESPEC,DATOS!$E19349,nASIG,DATOS!$I19349,nEVAL,"EX")=0),0))))</f>
      </c>
      <c r="H19349">
        <f>IF(DATOS!$G19349&lt;&gt;"EX",0,--(COUNTIFS(nNIA,DATOS!$A19349,nCURSO,DATOS!$D19349,nESPEC,DATOS!$E19349,nASIG,DATOS!$I19349,nEVAL,"OR")=0))</f>
      </c>
      <c r="I19349">
        <f>IF(DATOS!$I19349="","",IFERROR(VLOOKUP(DATOS!$I19349,CONFIG_ASIGNATURAS!$B$2:$J$91,9,FALSE()),""))</f>
      </c>
    </row>
    <row r="19350">
      <c r="F19350">
        <f>IF(DATOS!$A19350="","",DATOS!$A19350&amp;"|"&amp;DATOS!$D19350&amp;"|"&amp;DATOS!$E19350&amp;"|"&amp;DATOS!$I19350)</f>
      </c>
      <c r="G19350">
        <f>IF(DATOS!$A19350="",0,IF(CONFIG_METADATA!$B$4&lt;&gt;"OR+EX",--(DATOS!$G19350=CONFIG_METADATA!$B$4),IF(DATOS!$G19350="EX",1,IF(DATOS!$G19350="OR",--(COUNTIFS(nNIA,DATOS!$A19350,nCURSO,DATOS!$D19350,nESPEC,DATOS!$E19350,nASIG,DATOS!$I19350,nEVAL,"EX")=0),0))))</f>
      </c>
      <c r="H19350">
        <f>IF(DATOS!$G19350&lt;&gt;"EX",0,--(COUNTIFS(nNIA,DATOS!$A19350,nCURSO,DATOS!$D19350,nESPEC,DATOS!$E19350,nASIG,DATOS!$I19350,nEVAL,"OR")=0))</f>
      </c>
      <c r="I19350">
        <f>IF(DATOS!$I19350="","",IFERROR(VLOOKUP(DATOS!$I19350,CONFIG_ASIGNATURAS!$B$2:$J$91,9,FALSE()),""))</f>
      </c>
    </row>
    <row r="19351">
      <c r="F19351">
        <f>IF(DATOS!$A19351="","",DATOS!$A19351&amp;"|"&amp;DATOS!$D19351&amp;"|"&amp;DATOS!$E19351&amp;"|"&amp;DATOS!$I19351)</f>
      </c>
      <c r="G19351">
        <f>IF(DATOS!$A19351="",0,IF(CONFIG_METADATA!$B$4&lt;&gt;"OR+EX",--(DATOS!$G19351=CONFIG_METADATA!$B$4),IF(DATOS!$G19351="EX",1,IF(DATOS!$G19351="OR",--(COUNTIFS(nNIA,DATOS!$A19351,nCURSO,DATOS!$D19351,nESPEC,DATOS!$E19351,nASIG,DATOS!$I19351,nEVAL,"EX")=0),0))))</f>
      </c>
      <c r="H19351">
        <f>IF(DATOS!$G19351&lt;&gt;"EX",0,--(COUNTIFS(nNIA,DATOS!$A19351,nCURSO,DATOS!$D19351,nESPEC,DATOS!$E19351,nASIG,DATOS!$I19351,nEVAL,"OR")=0))</f>
      </c>
      <c r="I19351">
        <f>IF(DATOS!$I19351="","",IFERROR(VLOOKUP(DATOS!$I19351,CONFIG_ASIGNATURAS!$B$2:$J$91,9,FALSE()),""))</f>
      </c>
    </row>
    <row r="19352">
      <c r="F19352">
        <f>IF(DATOS!$A19352="","",DATOS!$A19352&amp;"|"&amp;DATOS!$D19352&amp;"|"&amp;DATOS!$E19352&amp;"|"&amp;DATOS!$I19352)</f>
      </c>
      <c r="G19352">
        <f>IF(DATOS!$A19352="",0,IF(CONFIG_METADATA!$B$4&lt;&gt;"OR+EX",--(DATOS!$G19352=CONFIG_METADATA!$B$4),IF(DATOS!$G19352="EX",1,IF(DATOS!$G19352="OR",--(COUNTIFS(nNIA,DATOS!$A19352,nCURSO,DATOS!$D19352,nESPEC,DATOS!$E19352,nASIG,DATOS!$I19352,nEVAL,"EX")=0),0))))</f>
      </c>
      <c r="H19352">
        <f>IF(DATOS!$G19352&lt;&gt;"EX",0,--(COUNTIFS(nNIA,DATOS!$A19352,nCURSO,DATOS!$D19352,nESPEC,DATOS!$E19352,nASIG,DATOS!$I19352,nEVAL,"OR")=0))</f>
      </c>
      <c r="I19352">
        <f>IF(DATOS!$I19352="","",IFERROR(VLOOKUP(DATOS!$I19352,CONFIG_ASIGNATURAS!$B$2:$J$91,9,FALSE()),""))</f>
      </c>
    </row>
    <row r="19353">
      <c r="F19353">
        <f>IF(DATOS!$A19353="","",DATOS!$A19353&amp;"|"&amp;DATOS!$D19353&amp;"|"&amp;DATOS!$E19353&amp;"|"&amp;DATOS!$I19353)</f>
      </c>
      <c r="G19353">
        <f>IF(DATOS!$A19353="",0,IF(CONFIG_METADATA!$B$4&lt;&gt;"OR+EX",--(DATOS!$G19353=CONFIG_METADATA!$B$4),IF(DATOS!$G19353="EX",1,IF(DATOS!$G19353="OR",--(COUNTIFS(nNIA,DATOS!$A19353,nCURSO,DATOS!$D19353,nESPEC,DATOS!$E19353,nASIG,DATOS!$I19353,nEVAL,"EX")=0),0))))</f>
      </c>
      <c r="H19353">
        <f>IF(DATOS!$G19353&lt;&gt;"EX",0,--(COUNTIFS(nNIA,DATOS!$A19353,nCURSO,DATOS!$D19353,nESPEC,DATOS!$E19353,nASIG,DATOS!$I19353,nEVAL,"OR")=0))</f>
      </c>
      <c r="I19353">
        <f>IF(DATOS!$I19353="","",IFERROR(VLOOKUP(DATOS!$I19353,CONFIG_ASIGNATURAS!$B$2:$J$91,9,FALSE()),""))</f>
      </c>
    </row>
    <row r="19354">
      <c r="F19354">
        <f>IF(DATOS!$A19354="","",DATOS!$A19354&amp;"|"&amp;DATOS!$D19354&amp;"|"&amp;DATOS!$E19354&amp;"|"&amp;DATOS!$I19354)</f>
      </c>
      <c r="G19354">
        <f>IF(DATOS!$A19354="",0,IF(CONFIG_METADATA!$B$4&lt;&gt;"OR+EX",--(DATOS!$G19354=CONFIG_METADATA!$B$4),IF(DATOS!$G19354="EX",1,IF(DATOS!$G19354="OR",--(COUNTIFS(nNIA,DATOS!$A19354,nCURSO,DATOS!$D19354,nESPEC,DATOS!$E19354,nASIG,DATOS!$I19354,nEVAL,"EX")=0),0))))</f>
      </c>
      <c r="H19354">
        <f>IF(DATOS!$G19354&lt;&gt;"EX",0,--(COUNTIFS(nNIA,DATOS!$A19354,nCURSO,DATOS!$D19354,nESPEC,DATOS!$E19354,nASIG,DATOS!$I19354,nEVAL,"OR")=0))</f>
      </c>
      <c r="I19354">
        <f>IF(DATOS!$I19354="","",IFERROR(VLOOKUP(DATOS!$I19354,CONFIG_ASIGNATURAS!$B$2:$J$91,9,FALSE()),""))</f>
      </c>
    </row>
    <row r="19355">
      <c r="F19355">
        <f>IF(DATOS!$A19355="","",DATOS!$A19355&amp;"|"&amp;DATOS!$D19355&amp;"|"&amp;DATOS!$E19355&amp;"|"&amp;DATOS!$I19355)</f>
      </c>
      <c r="G19355">
        <f>IF(DATOS!$A19355="",0,IF(CONFIG_METADATA!$B$4&lt;&gt;"OR+EX",--(DATOS!$G19355=CONFIG_METADATA!$B$4),IF(DATOS!$G19355="EX",1,IF(DATOS!$G19355="OR",--(COUNTIFS(nNIA,DATOS!$A19355,nCURSO,DATOS!$D19355,nESPEC,DATOS!$E19355,nASIG,DATOS!$I19355,nEVAL,"EX")=0),0))))</f>
      </c>
      <c r="H19355">
        <f>IF(DATOS!$G19355&lt;&gt;"EX",0,--(COUNTIFS(nNIA,DATOS!$A19355,nCURSO,DATOS!$D19355,nESPEC,DATOS!$E19355,nASIG,DATOS!$I19355,nEVAL,"OR")=0))</f>
      </c>
      <c r="I19355">
        <f>IF(DATOS!$I19355="","",IFERROR(VLOOKUP(DATOS!$I19355,CONFIG_ASIGNATURAS!$B$2:$J$91,9,FALSE()),""))</f>
      </c>
    </row>
    <row r="19356">
      <c r="F19356">
        <f>IF(DATOS!$A19356="","",DATOS!$A19356&amp;"|"&amp;DATOS!$D19356&amp;"|"&amp;DATOS!$E19356&amp;"|"&amp;DATOS!$I19356)</f>
      </c>
      <c r="G19356">
        <f>IF(DATOS!$A19356="",0,IF(CONFIG_METADATA!$B$4&lt;&gt;"OR+EX",--(DATOS!$G19356=CONFIG_METADATA!$B$4),IF(DATOS!$G19356="EX",1,IF(DATOS!$G19356="OR",--(COUNTIFS(nNIA,DATOS!$A19356,nCURSO,DATOS!$D19356,nESPEC,DATOS!$E19356,nASIG,DATOS!$I19356,nEVAL,"EX")=0),0))))</f>
      </c>
      <c r="H19356">
        <f>IF(DATOS!$G19356&lt;&gt;"EX",0,--(COUNTIFS(nNIA,DATOS!$A19356,nCURSO,DATOS!$D19356,nESPEC,DATOS!$E19356,nASIG,DATOS!$I19356,nEVAL,"OR")=0))</f>
      </c>
      <c r="I19356">
        <f>IF(DATOS!$I19356="","",IFERROR(VLOOKUP(DATOS!$I19356,CONFIG_ASIGNATURAS!$B$2:$J$91,9,FALSE()),""))</f>
      </c>
    </row>
    <row r="19357">
      <c r="F19357">
        <f>IF(DATOS!$A19357="","",DATOS!$A19357&amp;"|"&amp;DATOS!$D19357&amp;"|"&amp;DATOS!$E19357&amp;"|"&amp;DATOS!$I19357)</f>
      </c>
      <c r="G19357">
        <f>IF(DATOS!$A19357="",0,IF(CONFIG_METADATA!$B$4&lt;&gt;"OR+EX",--(DATOS!$G19357=CONFIG_METADATA!$B$4),IF(DATOS!$G19357="EX",1,IF(DATOS!$G19357="OR",--(COUNTIFS(nNIA,DATOS!$A19357,nCURSO,DATOS!$D19357,nESPEC,DATOS!$E19357,nASIG,DATOS!$I19357,nEVAL,"EX")=0),0))))</f>
      </c>
      <c r="H19357">
        <f>IF(DATOS!$G19357&lt;&gt;"EX",0,--(COUNTIFS(nNIA,DATOS!$A19357,nCURSO,DATOS!$D19357,nESPEC,DATOS!$E19357,nASIG,DATOS!$I19357,nEVAL,"OR")=0))</f>
      </c>
      <c r="I19357">
        <f>IF(DATOS!$I19357="","",IFERROR(VLOOKUP(DATOS!$I19357,CONFIG_ASIGNATURAS!$B$2:$J$91,9,FALSE()),""))</f>
      </c>
    </row>
    <row r="19358">
      <c r="F19358">
        <f>IF(DATOS!$A19358="","",DATOS!$A19358&amp;"|"&amp;DATOS!$D19358&amp;"|"&amp;DATOS!$E19358&amp;"|"&amp;DATOS!$I19358)</f>
      </c>
      <c r="G19358">
        <f>IF(DATOS!$A19358="",0,IF(CONFIG_METADATA!$B$4&lt;&gt;"OR+EX",--(DATOS!$G19358=CONFIG_METADATA!$B$4),IF(DATOS!$G19358="EX",1,IF(DATOS!$G19358="OR",--(COUNTIFS(nNIA,DATOS!$A19358,nCURSO,DATOS!$D19358,nESPEC,DATOS!$E19358,nASIG,DATOS!$I19358,nEVAL,"EX")=0),0))))</f>
      </c>
      <c r="H19358">
        <f>IF(DATOS!$G19358&lt;&gt;"EX",0,--(COUNTIFS(nNIA,DATOS!$A19358,nCURSO,DATOS!$D19358,nESPEC,DATOS!$E19358,nASIG,DATOS!$I19358,nEVAL,"OR")=0))</f>
      </c>
      <c r="I19358">
        <f>IF(DATOS!$I19358="","",IFERROR(VLOOKUP(DATOS!$I19358,CONFIG_ASIGNATURAS!$B$2:$J$91,9,FALSE()),""))</f>
      </c>
    </row>
    <row r="19359">
      <c r="F19359">
        <f>IF(DATOS!$A19359="","",DATOS!$A19359&amp;"|"&amp;DATOS!$D19359&amp;"|"&amp;DATOS!$E19359&amp;"|"&amp;DATOS!$I19359)</f>
      </c>
      <c r="G19359">
        <f>IF(DATOS!$A19359="",0,IF(CONFIG_METADATA!$B$4&lt;&gt;"OR+EX",--(DATOS!$G19359=CONFIG_METADATA!$B$4),IF(DATOS!$G19359="EX",1,IF(DATOS!$G19359="OR",--(COUNTIFS(nNIA,DATOS!$A19359,nCURSO,DATOS!$D19359,nESPEC,DATOS!$E19359,nASIG,DATOS!$I19359,nEVAL,"EX")=0),0))))</f>
      </c>
      <c r="H19359">
        <f>IF(DATOS!$G19359&lt;&gt;"EX",0,--(COUNTIFS(nNIA,DATOS!$A19359,nCURSO,DATOS!$D19359,nESPEC,DATOS!$E19359,nASIG,DATOS!$I19359,nEVAL,"OR")=0))</f>
      </c>
      <c r="I19359">
        <f>IF(DATOS!$I19359="","",IFERROR(VLOOKUP(DATOS!$I19359,CONFIG_ASIGNATURAS!$B$2:$J$91,9,FALSE()),""))</f>
      </c>
    </row>
    <row r="19360">
      <c r="F19360">
        <f>IF(DATOS!$A19360="","",DATOS!$A19360&amp;"|"&amp;DATOS!$D19360&amp;"|"&amp;DATOS!$E19360&amp;"|"&amp;DATOS!$I19360)</f>
      </c>
      <c r="G19360">
        <f>IF(DATOS!$A19360="",0,IF(CONFIG_METADATA!$B$4&lt;&gt;"OR+EX",--(DATOS!$G19360=CONFIG_METADATA!$B$4),IF(DATOS!$G19360="EX",1,IF(DATOS!$G19360="OR",--(COUNTIFS(nNIA,DATOS!$A19360,nCURSO,DATOS!$D19360,nESPEC,DATOS!$E19360,nASIG,DATOS!$I19360,nEVAL,"EX")=0),0))))</f>
      </c>
      <c r="H19360">
        <f>IF(DATOS!$G19360&lt;&gt;"EX",0,--(COUNTIFS(nNIA,DATOS!$A19360,nCURSO,DATOS!$D19360,nESPEC,DATOS!$E19360,nASIG,DATOS!$I19360,nEVAL,"OR")=0))</f>
      </c>
      <c r="I19360">
        <f>IF(DATOS!$I19360="","",IFERROR(VLOOKUP(DATOS!$I19360,CONFIG_ASIGNATURAS!$B$2:$J$91,9,FALSE()),""))</f>
      </c>
    </row>
    <row r="19361">
      <c r="F19361">
        <f>IF(DATOS!$A19361="","",DATOS!$A19361&amp;"|"&amp;DATOS!$D19361&amp;"|"&amp;DATOS!$E19361&amp;"|"&amp;DATOS!$I19361)</f>
      </c>
      <c r="G19361">
        <f>IF(DATOS!$A19361="",0,IF(CONFIG_METADATA!$B$4&lt;&gt;"OR+EX",--(DATOS!$G19361=CONFIG_METADATA!$B$4),IF(DATOS!$G19361="EX",1,IF(DATOS!$G19361="OR",--(COUNTIFS(nNIA,DATOS!$A19361,nCURSO,DATOS!$D19361,nESPEC,DATOS!$E19361,nASIG,DATOS!$I19361,nEVAL,"EX")=0),0))))</f>
      </c>
      <c r="H19361">
        <f>IF(DATOS!$G19361&lt;&gt;"EX",0,--(COUNTIFS(nNIA,DATOS!$A19361,nCURSO,DATOS!$D19361,nESPEC,DATOS!$E19361,nASIG,DATOS!$I19361,nEVAL,"OR")=0))</f>
      </c>
      <c r="I19361">
        <f>IF(DATOS!$I19361="","",IFERROR(VLOOKUP(DATOS!$I19361,CONFIG_ASIGNATURAS!$B$2:$J$91,9,FALSE()),""))</f>
      </c>
    </row>
    <row r="19362">
      <c r="F19362">
        <f>IF(DATOS!$A19362="","",DATOS!$A19362&amp;"|"&amp;DATOS!$D19362&amp;"|"&amp;DATOS!$E19362&amp;"|"&amp;DATOS!$I19362)</f>
      </c>
      <c r="G19362">
        <f>IF(DATOS!$A19362="",0,IF(CONFIG_METADATA!$B$4&lt;&gt;"OR+EX",--(DATOS!$G19362=CONFIG_METADATA!$B$4),IF(DATOS!$G19362="EX",1,IF(DATOS!$G19362="OR",--(COUNTIFS(nNIA,DATOS!$A19362,nCURSO,DATOS!$D19362,nESPEC,DATOS!$E19362,nASIG,DATOS!$I19362,nEVAL,"EX")=0),0))))</f>
      </c>
      <c r="H19362">
        <f>IF(DATOS!$G19362&lt;&gt;"EX",0,--(COUNTIFS(nNIA,DATOS!$A19362,nCURSO,DATOS!$D19362,nESPEC,DATOS!$E19362,nASIG,DATOS!$I19362,nEVAL,"OR")=0))</f>
      </c>
      <c r="I19362">
        <f>IF(DATOS!$I19362="","",IFERROR(VLOOKUP(DATOS!$I19362,CONFIG_ASIGNATURAS!$B$2:$J$91,9,FALSE()),""))</f>
      </c>
    </row>
    <row r="19363">
      <c r="F19363">
        <f>IF(DATOS!$A19363="","",DATOS!$A19363&amp;"|"&amp;DATOS!$D19363&amp;"|"&amp;DATOS!$E19363&amp;"|"&amp;DATOS!$I19363)</f>
      </c>
      <c r="G19363">
        <f>IF(DATOS!$A19363="",0,IF(CONFIG_METADATA!$B$4&lt;&gt;"OR+EX",--(DATOS!$G19363=CONFIG_METADATA!$B$4),IF(DATOS!$G19363="EX",1,IF(DATOS!$G19363="OR",--(COUNTIFS(nNIA,DATOS!$A19363,nCURSO,DATOS!$D19363,nESPEC,DATOS!$E19363,nASIG,DATOS!$I19363,nEVAL,"EX")=0),0))))</f>
      </c>
      <c r="H19363">
        <f>IF(DATOS!$G19363&lt;&gt;"EX",0,--(COUNTIFS(nNIA,DATOS!$A19363,nCURSO,DATOS!$D19363,nESPEC,DATOS!$E19363,nASIG,DATOS!$I19363,nEVAL,"OR")=0))</f>
      </c>
      <c r="I19363">
        <f>IF(DATOS!$I19363="","",IFERROR(VLOOKUP(DATOS!$I19363,CONFIG_ASIGNATURAS!$B$2:$J$91,9,FALSE()),""))</f>
      </c>
    </row>
    <row r="19364">
      <c r="F19364">
        <f>IF(DATOS!$A19364="","",DATOS!$A19364&amp;"|"&amp;DATOS!$D19364&amp;"|"&amp;DATOS!$E19364&amp;"|"&amp;DATOS!$I19364)</f>
      </c>
      <c r="G19364">
        <f>IF(DATOS!$A19364="",0,IF(CONFIG_METADATA!$B$4&lt;&gt;"OR+EX",--(DATOS!$G19364=CONFIG_METADATA!$B$4),IF(DATOS!$G19364="EX",1,IF(DATOS!$G19364="OR",--(COUNTIFS(nNIA,DATOS!$A19364,nCURSO,DATOS!$D19364,nESPEC,DATOS!$E19364,nASIG,DATOS!$I19364,nEVAL,"EX")=0),0))))</f>
      </c>
      <c r="H19364">
        <f>IF(DATOS!$G19364&lt;&gt;"EX",0,--(COUNTIFS(nNIA,DATOS!$A19364,nCURSO,DATOS!$D19364,nESPEC,DATOS!$E19364,nASIG,DATOS!$I19364,nEVAL,"OR")=0))</f>
      </c>
      <c r="I19364">
        <f>IF(DATOS!$I19364="","",IFERROR(VLOOKUP(DATOS!$I19364,CONFIG_ASIGNATURAS!$B$2:$J$91,9,FALSE()),""))</f>
      </c>
    </row>
    <row r="19365">
      <c r="F19365">
        <f>IF(DATOS!$A19365="","",DATOS!$A19365&amp;"|"&amp;DATOS!$D19365&amp;"|"&amp;DATOS!$E19365&amp;"|"&amp;DATOS!$I19365)</f>
      </c>
      <c r="G19365">
        <f>IF(DATOS!$A19365="",0,IF(CONFIG_METADATA!$B$4&lt;&gt;"OR+EX",--(DATOS!$G19365=CONFIG_METADATA!$B$4),IF(DATOS!$G19365="EX",1,IF(DATOS!$G19365="OR",--(COUNTIFS(nNIA,DATOS!$A19365,nCURSO,DATOS!$D19365,nESPEC,DATOS!$E19365,nASIG,DATOS!$I19365,nEVAL,"EX")=0),0))))</f>
      </c>
      <c r="H19365">
        <f>IF(DATOS!$G19365&lt;&gt;"EX",0,--(COUNTIFS(nNIA,DATOS!$A19365,nCURSO,DATOS!$D19365,nESPEC,DATOS!$E19365,nASIG,DATOS!$I19365,nEVAL,"OR")=0))</f>
      </c>
      <c r="I19365">
        <f>IF(DATOS!$I19365="","",IFERROR(VLOOKUP(DATOS!$I19365,CONFIG_ASIGNATURAS!$B$2:$J$91,9,FALSE()),""))</f>
      </c>
    </row>
    <row r="19366">
      <c r="F19366">
        <f>IF(DATOS!$A19366="","",DATOS!$A19366&amp;"|"&amp;DATOS!$D19366&amp;"|"&amp;DATOS!$E19366&amp;"|"&amp;DATOS!$I19366)</f>
      </c>
      <c r="G19366">
        <f>IF(DATOS!$A19366="",0,IF(CONFIG_METADATA!$B$4&lt;&gt;"OR+EX",--(DATOS!$G19366=CONFIG_METADATA!$B$4),IF(DATOS!$G19366="EX",1,IF(DATOS!$G19366="OR",--(COUNTIFS(nNIA,DATOS!$A19366,nCURSO,DATOS!$D19366,nESPEC,DATOS!$E19366,nASIG,DATOS!$I19366,nEVAL,"EX")=0),0))))</f>
      </c>
      <c r="H19366">
        <f>IF(DATOS!$G19366&lt;&gt;"EX",0,--(COUNTIFS(nNIA,DATOS!$A19366,nCURSO,DATOS!$D19366,nESPEC,DATOS!$E19366,nASIG,DATOS!$I19366,nEVAL,"OR")=0))</f>
      </c>
      <c r="I19366">
        <f>IF(DATOS!$I19366="","",IFERROR(VLOOKUP(DATOS!$I19366,CONFIG_ASIGNATURAS!$B$2:$J$91,9,FALSE()),""))</f>
      </c>
    </row>
    <row r="19367">
      <c r="F19367">
        <f>IF(DATOS!$A19367="","",DATOS!$A19367&amp;"|"&amp;DATOS!$D19367&amp;"|"&amp;DATOS!$E19367&amp;"|"&amp;DATOS!$I19367)</f>
      </c>
      <c r="G19367">
        <f>IF(DATOS!$A19367="",0,IF(CONFIG_METADATA!$B$4&lt;&gt;"OR+EX",--(DATOS!$G19367=CONFIG_METADATA!$B$4),IF(DATOS!$G19367="EX",1,IF(DATOS!$G19367="OR",--(COUNTIFS(nNIA,DATOS!$A19367,nCURSO,DATOS!$D19367,nESPEC,DATOS!$E19367,nASIG,DATOS!$I19367,nEVAL,"EX")=0),0))))</f>
      </c>
      <c r="H19367">
        <f>IF(DATOS!$G19367&lt;&gt;"EX",0,--(COUNTIFS(nNIA,DATOS!$A19367,nCURSO,DATOS!$D19367,nESPEC,DATOS!$E19367,nASIG,DATOS!$I19367,nEVAL,"OR")=0))</f>
      </c>
      <c r="I19367">
        <f>IF(DATOS!$I19367="","",IFERROR(VLOOKUP(DATOS!$I19367,CONFIG_ASIGNATURAS!$B$2:$J$91,9,FALSE()),""))</f>
      </c>
    </row>
    <row r="19368">
      <c r="F19368">
        <f>IF(DATOS!$A19368="","",DATOS!$A19368&amp;"|"&amp;DATOS!$D19368&amp;"|"&amp;DATOS!$E19368&amp;"|"&amp;DATOS!$I19368)</f>
      </c>
      <c r="G19368">
        <f>IF(DATOS!$A19368="",0,IF(CONFIG_METADATA!$B$4&lt;&gt;"OR+EX",--(DATOS!$G19368=CONFIG_METADATA!$B$4),IF(DATOS!$G19368="EX",1,IF(DATOS!$G19368="OR",--(COUNTIFS(nNIA,DATOS!$A19368,nCURSO,DATOS!$D19368,nESPEC,DATOS!$E19368,nASIG,DATOS!$I19368,nEVAL,"EX")=0),0))))</f>
      </c>
      <c r="H19368">
        <f>IF(DATOS!$G19368&lt;&gt;"EX",0,--(COUNTIFS(nNIA,DATOS!$A19368,nCURSO,DATOS!$D19368,nESPEC,DATOS!$E19368,nASIG,DATOS!$I19368,nEVAL,"OR")=0))</f>
      </c>
      <c r="I19368">
        <f>IF(DATOS!$I19368="","",IFERROR(VLOOKUP(DATOS!$I19368,CONFIG_ASIGNATURAS!$B$2:$J$91,9,FALSE()),""))</f>
      </c>
    </row>
    <row r="19369">
      <c r="F19369">
        <f>IF(DATOS!$A19369="","",DATOS!$A19369&amp;"|"&amp;DATOS!$D19369&amp;"|"&amp;DATOS!$E19369&amp;"|"&amp;DATOS!$I19369)</f>
      </c>
      <c r="G19369">
        <f>IF(DATOS!$A19369="",0,IF(CONFIG_METADATA!$B$4&lt;&gt;"OR+EX",--(DATOS!$G19369=CONFIG_METADATA!$B$4),IF(DATOS!$G19369="EX",1,IF(DATOS!$G19369="OR",--(COUNTIFS(nNIA,DATOS!$A19369,nCURSO,DATOS!$D19369,nESPEC,DATOS!$E19369,nASIG,DATOS!$I19369,nEVAL,"EX")=0),0))))</f>
      </c>
      <c r="H19369">
        <f>IF(DATOS!$G19369&lt;&gt;"EX",0,--(COUNTIFS(nNIA,DATOS!$A19369,nCURSO,DATOS!$D19369,nESPEC,DATOS!$E19369,nASIG,DATOS!$I19369,nEVAL,"OR")=0))</f>
      </c>
      <c r="I19369">
        <f>IF(DATOS!$I19369="","",IFERROR(VLOOKUP(DATOS!$I19369,CONFIG_ASIGNATURAS!$B$2:$J$91,9,FALSE()),""))</f>
      </c>
    </row>
    <row r="19370">
      <c r="F19370">
        <f>IF(DATOS!$A19370="","",DATOS!$A19370&amp;"|"&amp;DATOS!$D19370&amp;"|"&amp;DATOS!$E19370&amp;"|"&amp;DATOS!$I19370)</f>
      </c>
      <c r="G19370">
        <f>IF(DATOS!$A19370="",0,IF(CONFIG_METADATA!$B$4&lt;&gt;"OR+EX",--(DATOS!$G19370=CONFIG_METADATA!$B$4),IF(DATOS!$G19370="EX",1,IF(DATOS!$G19370="OR",--(COUNTIFS(nNIA,DATOS!$A19370,nCURSO,DATOS!$D19370,nESPEC,DATOS!$E19370,nASIG,DATOS!$I19370,nEVAL,"EX")=0),0))))</f>
      </c>
      <c r="H19370">
        <f>IF(DATOS!$G19370&lt;&gt;"EX",0,--(COUNTIFS(nNIA,DATOS!$A19370,nCURSO,DATOS!$D19370,nESPEC,DATOS!$E19370,nASIG,DATOS!$I19370,nEVAL,"OR")=0))</f>
      </c>
      <c r="I19370">
        <f>IF(DATOS!$I19370="","",IFERROR(VLOOKUP(DATOS!$I19370,CONFIG_ASIGNATURAS!$B$2:$J$91,9,FALSE()),""))</f>
      </c>
    </row>
    <row r="19371">
      <c r="F19371">
        <f>IF(DATOS!$A19371="","",DATOS!$A19371&amp;"|"&amp;DATOS!$D19371&amp;"|"&amp;DATOS!$E19371&amp;"|"&amp;DATOS!$I19371)</f>
      </c>
      <c r="G19371">
        <f>IF(DATOS!$A19371="",0,IF(CONFIG_METADATA!$B$4&lt;&gt;"OR+EX",--(DATOS!$G19371=CONFIG_METADATA!$B$4),IF(DATOS!$G19371="EX",1,IF(DATOS!$G19371="OR",--(COUNTIFS(nNIA,DATOS!$A19371,nCURSO,DATOS!$D19371,nESPEC,DATOS!$E19371,nASIG,DATOS!$I19371,nEVAL,"EX")=0),0))))</f>
      </c>
      <c r="H19371">
        <f>IF(DATOS!$G19371&lt;&gt;"EX",0,--(COUNTIFS(nNIA,DATOS!$A19371,nCURSO,DATOS!$D19371,nESPEC,DATOS!$E19371,nASIG,DATOS!$I19371,nEVAL,"OR")=0))</f>
      </c>
      <c r="I19371">
        <f>IF(DATOS!$I19371="","",IFERROR(VLOOKUP(DATOS!$I19371,CONFIG_ASIGNATURAS!$B$2:$J$91,9,FALSE()),""))</f>
      </c>
    </row>
    <row r="19372">
      <c r="F19372">
        <f>IF(DATOS!$A19372="","",DATOS!$A19372&amp;"|"&amp;DATOS!$D19372&amp;"|"&amp;DATOS!$E19372&amp;"|"&amp;DATOS!$I19372)</f>
      </c>
      <c r="G19372">
        <f>IF(DATOS!$A19372="",0,IF(CONFIG_METADATA!$B$4&lt;&gt;"OR+EX",--(DATOS!$G19372=CONFIG_METADATA!$B$4),IF(DATOS!$G19372="EX",1,IF(DATOS!$G19372="OR",--(COUNTIFS(nNIA,DATOS!$A19372,nCURSO,DATOS!$D19372,nESPEC,DATOS!$E19372,nASIG,DATOS!$I19372,nEVAL,"EX")=0),0))))</f>
      </c>
      <c r="H19372">
        <f>IF(DATOS!$G19372&lt;&gt;"EX",0,--(COUNTIFS(nNIA,DATOS!$A19372,nCURSO,DATOS!$D19372,nESPEC,DATOS!$E19372,nASIG,DATOS!$I19372,nEVAL,"OR")=0))</f>
      </c>
      <c r="I19372">
        <f>IF(DATOS!$I19372="","",IFERROR(VLOOKUP(DATOS!$I19372,CONFIG_ASIGNATURAS!$B$2:$J$91,9,FALSE()),""))</f>
      </c>
    </row>
    <row r="19373">
      <c r="F19373">
        <f>IF(DATOS!$A19373="","",DATOS!$A19373&amp;"|"&amp;DATOS!$D19373&amp;"|"&amp;DATOS!$E19373&amp;"|"&amp;DATOS!$I19373)</f>
      </c>
      <c r="G19373">
        <f>IF(DATOS!$A19373="",0,IF(CONFIG_METADATA!$B$4&lt;&gt;"OR+EX",--(DATOS!$G19373=CONFIG_METADATA!$B$4),IF(DATOS!$G19373="EX",1,IF(DATOS!$G19373="OR",--(COUNTIFS(nNIA,DATOS!$A19373,nCURSO,DATOS!$D19373,nESPEC,DATOS!$E19373,nASIG,DATOS!$I19373,nEVAL,"EX")=0),0))))</f>
      </c>
      <c r="H19373">
        <f>IF(DATOS!$G19373&lt;&gt;"EX",0,--(COUNTIFS(nNIA,DATOS!$A19373,nCURSO,DATOS!$D19373,nESPEC,DATOS!$E19373,nASIG,DATOS!$I19373,nEVAL,"OR")=0))</f>
      </c>
      <c r="I19373">
        <f>IF(DATOS!$I19373="","",IFERROR(VLOOKUP(DATOS!$I19373,CONFIG_ASIGNATURAS!$B$2:$J$91,9,FALSE()),""))</f>
      </c>
    </row>
    <row r="19374">
      <c r="F19374">
        <f>IF(DATOS!$A19374="","",DATOS!$A19374&amp;"|"&amp;DATOS!$D19374&amp;"|"&amp;DATOS!$E19374&amp;"|"&amp;DATOS!$I19374)</f>
      </c>
      <c r="G19374">
        <f>IF(DATOS!$A19374="",0,IF(CONFIG_METADATA!$B$4&lt;&gt;"OR+EX",--(DATOS!$G19374=CONFIG_METADATA!$B$4),IF(DATOS!$G19374="EX",1,IF(DATOS!$G19374="OR",--(COUNTIFS(nNIA,DATOS!$A19374,nCURSO,DATOS!$D19374,nESPEC,DATOS!$E19374,nASIG,DATOS!$I19374,nEVAL,"EX")=0),0))))</f>
      </c>
      <c r="H19374">
        <f>IF(DATOS!$G19374&lt;&gt;"EX",0,--(COUNTIFS(nNIA,DATOS!$A19374,nCURSO,DATOS!$D19374,nESPEC,DATOS!$E19374,nASIG,DATOS!$I19374,nEVAL,"OR")=0))</f>
      </c>
      <c r="I19374">
        <f>IF(DATOS!$I19374="","",IFERROR(VLOOKUP(DATOS!$I19374,CONFIG_ASIGNATURAS!$B$2:$J$91,9,FALSE()),""))</f>
      </c>
    </row>
    <row r="19375">
      <c r="F19375">
        <f>IF(DATOS!$A19375="","",DATOS!$A19375&amp;"|"&amp;DATOS!$D19375&amp;"|"&amp;DATOS!$E19375&amp;"|"&amp;DATOS!$I19375)</f>
      </c>
      <c r="G19375">
        <f>IF(DATOS!$A19375="",0,IF(CONFIG_METADATA!$B$4&lt;&gt;"OR+EX",--(DATOS!$G19375=CONFIG_METADATA!$B$4),IF(DATOS!$G19375="EX",1,IF(DATOS!$G19375="OR",--(COUNTIFS(nNIA,DATOS!$A19375,nCURSO,DATOS!$D19375,nESPEC,DATOS!$E19375,nASIG,DATOS!$I19375,nEVAL,"EX")=0),0))))</f>
      </c>
      <c r="H19375">
        <f>IF(DATOS!$G19375&lt;&gt;"EX",0,--(COUNTIFS(nNIA,DATOS!$A19375,nCURSO,DATOS!$D19375,nESPEC,DATOS!$E19375,nASIG,DATOS!$I19375,nEVAL,"OR")=0))</f>
      </c>
      <c r="I19375">
        <f>IF(DATOS!$I19375="","",IFERROR(VLOOKUP(DATOS!$I19375,CONFIG_ASIGNATURAS!$B$2:$J$91,9,FALSE()),""))</f>
      </c>
    </row>
    <row r="19376">
      <c r="F19376">
        <f>IF(DATOS!$A19376="","",DATOS!$A19376&amp;"|"&amp;DATOS!$D19376&amp;"|"&amp;DATOS!$E19376&amp;"|"&amp;DATOS!$I19376)</f>
      </c>
      <c r="G19376">
        <f>IF(DATOS!$A19376="",0,IF(CONFIG_METADATA!$B$4&lt;&gt;"OR+EX",--(DATOS!$G19376=CONFIG_METADATA!$B$4),IF(DATOS!$G19376="EX",1,IF(DATOS!$G19376="OR",--(COUNTIFS(nNIA,DATOS!$A19376,nCURSO,DATOS!$D19376,nESPEC,DATOS!$E19376,nASIG,DATOS!$I19376,nEVAL,"EX")=0),0))))</f>
      </c>
      <c r="H19376">
        <f>IF(DATOS!$G19376&lt;&gt;"EX",0,--(COUNTIFS(nNIA,DATOS!$A19376,nCURSO,DATOS!$D19376,nESPEC,DATOS!$E19376,nASIG,DATOS!$I19376,nEVAL,"OR")=0))</f>
      </c>
      <c r="I19376">
        <f>IF(DATOS!$I19376="","",IFERROR(VLOOKUP(DATOS!$I19376,CONFIG_ASIGNATURAS!$B$2:$J$91,9,FALSE()),""))</f>
      </c>
    </row>
    <row r="19377">
      <c r="F19377">
        <f>IF(DATOS!$A19377="","",DATOS!$A19377&amp;"|"&amp;DATOS!$D19377&amp;"|"&amp;DATOS!$E19377&amp;"|"&amp;DATOS!$I19377)</f>
      </c>
      <c r="G19377">
        <f>IF(DATOS!$A19377="",0,IF(CONFIG_METADATA!$B$4&lt;&gt;"OR+EX",--(DATOS!$G19377=CONFIG_METADATA!$B$4),IF(DATOS!$G19377="EX",1,IF(DATOS!$G19377="OR",--(COUNTIFS(nNIA,DATOS!$A19377,nCURSO,DATOS!$D19377,nESPEC,DATOS!$E19377,nASIG,DATOS!$I19377,nEVAL,"EX")=0),0))))</f>
      </c>
      <c r="H19377">
        <f>IF(DATOS!$G19377&lt;&gt;"EX",0,--(COUNTIFS(nNIA,DATOS!$A19377,nCURSO,DATOS!$D19377,nESPEC,DATOS!$E19377,nASIG,DATOS!$I19377,nEVAL,"OR")=0))</f>
      </c>
      <c r="I19377">
        <f>IF(DATOS!$I19377="","",IFERROR(VLOOKUP(DATOS!$I19377,CONFIG_ASIGNATURAS!$B$2:$J$91,9,FALSE()),""))</f>
      </c>
    </row>
    <row r="19378">
      <c r="F19378">
        <f>IF(DATOS!$A19378="","",DATOS!$A19378&amp;"|"&amp;DATOS!$D19378&amp;"|"&amp;DATOS!$E19378&amp;"|"&amp;DATOS!$I19378)</f>
      </c>
      <c r="G19378">
        <f>IF(DATOS!$A19378="",0,IF(CONFIG_METADATA!$B$4&lt;&gt;"OR+EX",--(DATOS!$G19378=CONFIG_METADATA!$B$4),IF(DATOS!$G19378="EX",1,IF(DATOS!$G19378="OR",--(COUNTIFS(nNIA,DATOS!$A19378,nCURSO,DATOS!$D19378,nESPEC,DATOS!$E19378,nASIG,DATOS!$I19378,nEVAL,"EX")=0),0))))</f>
      </c>
      <c r="H19378">
        <f>IF(DATOS!$G19378&lt;&gt;"EX",0,--(COUNTIFS(nNIA,DATOS!$A19378,nCURSO,DATOS!$D19378,nESPEC,DATOS!$E19378,nASIG,DATOS!$I19378,nEVAL,"OR")=0))</f>
      </c>
      <c r="I19378">
        <f>IF(DATOS!$I19378="","",IFERROR(VLOOKUP(DATOS!$I19378,CONFIG_ASIGNATURAS!$B$2:$J$91,9,FALSE()),""))</f>
      </c>
    </row>
    <row r="19379">
      <c r="F19379">
        <f>IF(DATOS!$A19379="","",DATOS!$A19379&amp;"|"&amp;DATOS!$D19379&amp;"|"&amp;DATOS!$E19379&amp;"|"&amp;DATOS!$I19379)</f>
      </c>
      <c r="G19379">
        <f>IF(DATOS!$A19379="",0,IF(CONFIG_METADATA!$B$4&lt;&gt;"OR+EX",--(DATOS!$G19379=CONFIG_METADATA!$B$4),IF(DATOS!$G19379="EX",1,IF(DATOS!$G19379="OR",--(COUNTIFS(nNIA,DATOS!$A19379,nCURSO,DATOS!$D19379,nESPEC,DATOS!$E19379,nASIG,DATOS!$I19379,nEVAL,"EX")=0),0))))</f>
      </c>
      <c r="H19379">
        <f>IF(DATOS!$G19379&lt;&gt;"EX",0,--(COUNTIFS(nNIA,DATOS!$A19379,nCURSO,DATOS!$D19379,nESPEC,DATOS!$E19379,nASIG,DATOS!$I19379,nEVAL,"OR")=0))</f>
      </c>
      <c r="I19379">
        <f>IF(DATOS!$I19379="","",IFERROR(VLOOKUP(DATOS!$I19379,CONFIG_ASIGNATURAS!$B$2:$J$91,9,FALSE()),""))</f>
      </c>
    </row>
    <row r="19380">
      <c r="F19380">
        <f>IF(DATOS!$A19380="","",DATOS!$A19380&amp;"|"&amp;DATOS!$D19380&amp;"|"&amp;DATOS!$E19380&amp;"|"&amp;DATOS!$I19380)</f>
      </c>
      <c r="G19380">
        <f>IF(DATOS!$A19380="",0,IF(CONFIG_METADATA!$B$4&lt;&gt;"OR+EX",--(DATOS!$G19380=CONFIG_METADATA!$B$4),IF(DATOS!$G19380="EX",1,IF(DATOS!$G19380="OR",--(COUNTIFS(nNIA,DATOS!$A19380,nCURSO,DATOS!$D19380,nESPEC,DATOS!$E19380,nASIG,DATOS!$I19380,nEVAL,"EX")=0),0))))</f>
      </c>
      <c r="H19380">
        <f>IF(DATOS!$G19380&lt;&gt;"EX",0,--(COUNTIFS(nNIA,DATOS!$A19380,nCURSO,DATOS!$D19380,nESPEC,DATOS!$E19380,nASIG,DATOS!$I19380,nEVAL,"OR")=0))</f>
      </c>
      <c r="I19380">
        <f>IF(DATOS!$I19380="","",IFERROR(VLOOKUP(DATOS!$I19380,CONFIG_ASIGNATURAS!$B$2:$J$91,9,FALSE()),""))</f>
      </c>
    </row>
    <row r="19381">
      <c r="F19381">
        <f>IF(DATOS!$A19381="","",DATOS!$A19381&amp;"|"&amp;DATOS!$D19381&amp;"|"&amp;DATOS!$E19381&amp;"|"&amp;DATOS!$I19381)</f>
      </c>
      <c r="G19381">
        <f>IF(DATOS!$A19381="",0,IF(CONFIG_METADATA!$B$4&lt;&gt;"OR+EX",--(DATOS!$G19381=CONFIG_METADATA!$B$4),IF(DATOS!$G19381="EX",1,IF(DATOS!$G19381="OR",--(COUNTIFS(nNIA,DATOS!$A19381,nCURSO,DATOS!$D19381,nESPEC,DATOS!$E19381,nASIG,DATOS!$I19381,nEVAL,"EX")=0),0))))</f>
      </c>
      <c r="H19381">
        <f>IF(DATOS!$G19381&lt;&gt;"EX",0,--(COUNTIFS(nNIA,DATOS!$A19381,nCURSO,DATOS!$D19381,nESPEC,DATOS!$E19381,nASIG,DATOS!$I19381,nEVAL,"OR")=0))</f>
      </c>
      <c r="I19381">
        <f>IF(DATOS!$I19381="","",IFERROR(VLOOKUP(DATOS!$I19381,CONFIG_ASIGNATURAS!$B$2:$J$91,9,FALSE()),""))</f>
      </c>
    </row>
    <row r="19382">
      <c r="F19382">
        <f>IF(DATOS!$A19382="","",DATOS!$A19382&amp;"|"&amp;DATOS!$D19382&amp;"|"&amp;DATOS!$E19382&amp;"|"&amp;DATOS!$I19382)</f>
      </c>
      <c r="G19382">
        <f>IF(DATOS!$A19382="",0,IF(CONFIG_METADATA!$B$4&lt;&gt;"OR+EX",--(DATOS!$G19382=CONFIG_METADATA!$B$4),IF(DATOS!$G19382="EX",1,IF(DATOS!$G19382="OR",--(COUNTIFS(nNIA,DATOS!$A19382,nCURSO,DATOS!$D19382,nESPEC,DATOS!$E19382,nASIG,DATOS!$I19382,nEVAL,"EX")=0),0))))</f>
      </c>
      <c r="H19382">
        <f>IF(DATOS!$G19382&lt;&gt;"EX",0,--(COUNTIFS(nNIA,DATOS!$A19382,nCURSO,DATOS!$D19382,nESPEC,DATOS!$E19382,nASIG,DATOS!$I19382,nEVAL,"OR")=0))</f>
      </c>
      <c r="I19382">
        <f>IF(DATOS!$I19382="","",IFERROR(VLOOKUP(DATOS!$I19382,CONFIG_ASIGNATURAS!$B$2:$J$91,9,FALSE()),""))</f>
      </c>
    </row>
    <row r="19383">
      <c r="F19383">
        <f>IF(DATOS!$A19383="","",DATOS!$A19383&amp;"|"&amp;DATOS!$D19383&amp;"|"&amp;DATOS!$E19383&amp;"|"&amp;DATOS!$I19383)</f>
      </c>
      <c r="G19383">
        <f>IF(DATOS!$A19383="",0,IF(CONFIG_METADATA!$B$4&lt;&gt;"OR+EX",--(DATOS!$G19383=CONFIG_METADATA!$B$4),IF(DATOS!$G19383="EX",1,IF(DATOS!$G19383="OR",--(COUNTIFS(nNIA,DATOS!$A19383,nCURSO,DATOS!$D19383,nESPEC,DATOS!$E19383,nASIG,DATOS!$I19383,nEVAL,"EX")=0),0))))</f>
      </c>
      <c r="H19383">
        <f>IF(DATOS!$G19383&lt;&gt;"EX",0,--(COUNTIFS(nNIA,DATOS!$A19383,nCURSO,DATOS!$D19383,nESPEC,DATOS!$E19383,nASIG,DATOS!$I19383,nEVAL,"OR")=0))</f>
      </c>
      <c r="I19383">
        <f>IF(DATOS!$I19383="","",IFERROR(VLOOKUP(DATOS!$I19383,CONFIG_ASIGNATURAS!$B$2:$J$91,9,FALSE()),""))</f>
      </c>
    </row>
    <row r="19384">
      <c r="F19384">
        <f>IF(DATOS!$A19384="","",DATOS!$A19384&amp;"|"&amp;DATOS!$D19384&amp;"|"&amp;DATOS!$E19384&amp;"|"&amp;DATOS!$I19384)</f>
      </c>
      <c r="G19384">
        <f>IF(DATOS!$A19384="",0,IF(CONFIG_METADATA!$B$4&lt;&gt;"OR+EX",--(DATOS!$G19384=CONFIG_METADATA!$B$4),IF(DATOS!$G19384="EX",1,IF(DATOS!$G19384="OR",--(COUNTIFS(nNIA,DATOS!$A19384,nCURSO,DATOS!$D19384,nESPEC,DATOS!$E19384,nASIG,DATOS!$I19384,nEVAL,"EX")=0),0))))</f>
      </c>
      <c r="H19384">
        <f>IF(DATOS!$G19384&lt;&gt;"EX",0,--(COUNTIFS(nNIA,DATOS!$A19384,nCURSO,DATOS!$D19384,nESPEC,DATOS!$E19384,nASIG,DATOS!$I19384,nEVAL,"OR")=0))</f>
      </c>
      <c r="I19384">
        <f>IF(DATOS!$I19384="","",IFERROR(VLOOKUP(DATOS!$I19384,CONFIG_ASIGNATURAS!$B$2:$J$91,9,FALSE()),""))</f>
      </c>
    </row>
    <row r="19385">
      <c r="F19385">
        <f>IF(DATOS!$A19385="","",DATOS!$A19385&amp;"|"&amp;DATOS!$D19385&amp;"|"&amp;DATOS!$E19385&amp;"|"&amp;DATOS!$I19385)</f>
      </c>
      <c r="G19385">
        <f>IF(DATOS!$A19385="",0,IF(CONFIG_METADATA!$B$4&lt;&gt;"OR+EX",--(DATOS!$G19385=CONFIG_METADATA!$B$4),IF(DATOS!$G19385="EX",1,IF(DATOS!$G19385="OR",--(COUNTIFS(nNIA,DATOS!$A19385,nCURSO,DATOS!$D19385,nESPEC,DATOS!$E19385,nASIG,DATOS!$I19385,nEVAL,"EX")=0),0))))</f>
      </c>
      <c r="H19385">
        <f>IF(DATOS!$G19385&lt;&gt;"EX",0,--(COUNTIFS(nNIA,DATOS!$A19385,nCURSO,DATOS!$D19385,nESPEC,DATOS!$E19385,nASIG,DATOS!$I19385,nEVAL,"OR")=0))</f>
      </c>
      <c r="I19385">
        <f>IF(DATOS!$I19385="","",IFERROR(VLOOKUP(DATOS!$I19385,CONFIG_ASIGNATURAS!$B$2:$J$91,9,FALSE()),""))</f>
      </c>
    </row>
    <row r="19386">
      <c r="F19386">
        <f>IF(DATOS!$A19386="","",DATOS!$A19386&amp;"|"&amp;DATOS!$D19386&amp;"|"&amp;DATOS!$E19386&amp;"|"&amp;DATOS!$I19386)</f>
      </c>
      <c r="G19386">
        <f>IF(DATOS!$A19386="",0,IF(CONFIG_METADATA!$B$4&lt;&gt;"OR+EX",--(DATOS!$G19386=CONFIG_METADATA!$B$4),IF(DATOS!$G19386="EX",1,IF(DATOS!$G19386="OR",--(COUNTIFS(nNIA,DATOS!$A19386,nCURSO,DATOS!$D19386,nESPEC,DATOS!$E19386,nASIG,DATOS!$I19386,nEVAL,"EX")=0),0))))</f>
      </c>
      <c r="H19386">
        <f>IF(DATOS!$G19386&lt;&gt;"EX",0,--(COUNTIFS(nNIA,DATOS!$A19386,nCURSO,DATOS!$D19386,nESPEC,DATOS!$E19386,nASIG,DATOS!$I19386,nEVAL,"OR")=0))</f>
      </c>
      <c r="I19386">
        <f>IF(DATOS!$I19386="","",IFERROR(VLOOKUP(DATOS!$I19386,CONFIG_ASIGNATURAS!$B$2:$J$91,9,FALSE()),""))</f>
      </c>
    </row>
    <row r="19387">
      <c r="F19387">
        <f>IF(DATOS!$A19387="","",DATOS!$A19387&amp;"|"&amp;DATOS!$D19387&amp;"|"&amp;DATOS!$E19387&amp;"|"&amp;DATOS!$I19387)</f>
      </c>
      <c r="G19387">
        <f>IF(DATOS!$A19387="",0,IF(CONFIG_METADATA!$B$4&lt;&gt;"OR+EX",--(DATOS!$G19387=CONFIG_METADATA!$B$4),IF(DATOS!$G19387="EX",1,IF(DATOS!$G19387="OR",--(COUNTIFS(nNIA,DATOS!$A19387,nCURSO,DATOS!$D19387,nESPEC,DATOS!$E19387,nASIG,DATOS!$I19387,nEVAL,"EX")=0),0))))</f>
      </c>
      <c r="H19387">
        <f>IF(DATOS!$G19387&lt;&gt;"EX",0,--(COUNTIFS(nNIA,DATOS!$A19387,nCURSO,DATOS!$D19387,nESPEC,DATOS!$E19387,nASIG,DATOS!$I19387,nEVAL,"OR")=0))</f>
      </c>
      <c r="I19387">
        <f>IF(DATOS!$I19387="","",IFERROR(VLOOKUP(DATOS!$I19387,CONFIG_ASIGNATURAS!$B$2:$J$91,9,FALSE()),""))</f>
      </c>
    </row>
    <row r="19388">
      <c r="F19388">
        <f>IF(DATOS!$A19388="","",DATOS!$A19388&amp;"|"&amp;DATOS!$D19388&amp;"|"&amp;DATOS!$E19388&amp;"|"&amp;DATOS!$I19388)</f>
      </c>
      <c r="G19388">
        <f>IF(DATOS!$A19388="",0,IF(CONFIG_METADATA!$B$4&lt;&gt;"OR+EX",--(DATOS!$G19388=CONFIG_METADATA!$B$4),IF(DATOS!$G19388="EX",1,IF(DATOS!$G19388="OR",--(COUNTIFS(nNIA,DATOS!$A19388,nCURSO,DATOS!$D19388,nESPEC,DATOS!$E19388,nASIG,DATOS!$I19388,nEVAL,"EX")=0),0))))</f>
      </c>
      <c r="H19388">
        <f>IF(DATOS!$G19388&lt;&gt;"EX",0,--(COUNTIFS(nNIA,DATOS!$A19388,nCURSO,DATOS!$D19388,nESPEC,DATOS!$E19388,nASIG,DATOS!$I19388,nEVAL,"OR")=0))</f>
      </c>
      <c r="I19388">
        <f>IF(DATOS!$I19388="","",IFERROR(VLOOKUP(DATOS!$I19388,CONFIG_ASIGNATURAS!$B$2:$J$91,9,FALSE()),""))</f>
      </c>
    </row>
    <row r="19389">
      <c r="F19389">
        <f>IF(DATOS!$A19389="","",DATOS!$A19389&amp;"|"&amp;DATOS!$D19389&amp;"|"&amp;DATOS!$E19389&amp;"|"&amp;DATOS!$I19389)</f>
      </c>
      <c r="G19389">
        <f>IF(DATOS!$A19389="",0,IF(CONFIG_METADATA!$B$4&lt;&gt;"OR+EX",--(DATOS!$G19389=CONFIG_METADATA!$B$4),IF(DATOS!$G19389="EX",1,IF(DATOS!$G19389="OR",--(COUNTIFS(nNIA,DATOS!$A19389,nCURSO,DATOS!$D19389,nESPEC,DATOS!$E19389,nASIG,DATOS!$I19389,nEVAL,"EX")=0),0))))</f>
      </c>
      <c r="H19389">
        <f>IF(DATOS!$G19389&lt;&gt;"EX",0,--(COUNTIFS(nNIA,DATOS!$A19389,nCURSO,DATOS!$D19389,nESPEC,DATOS!$E19389,nASIG,DATOS!$I19389,nEVAL,"OR")=0))</f>
      </c>
      <c r="I19389">
        <f>IF(DATOS!$I19389="","",IFERROR(VLOOKUP(DATOS!$I19389,CONFIG_ASIGNATURAS!$B$2:$J$91,9,FALSE()),""))</f>
      </c>
    </row>
    <row r="19390">
      <c r="F19390">
        <f>IF(DATOS!$A19390="","",DATOS!$A19390&amp;"|"&amp;DATOS!$D19390&amp;"|"&amp;DATOS!$E19390&amp;"|"&amp;DATOS!$I19390)</f>
      </c>
      <c r="G19390">
        <f>IF(DATOS!$A19390="",0,IF(CONFIG_METADATA!$B$4&lt;&gt;"OR+EX",--(DATOS!$G19390=CONFIG_METADATA!$B$4),IF(DATOS!$G19390="EX",1,IF(DATOS!$G19390="OR",--(COUNTIFS(nNIA,DATOS!$A19390,nCURSO,DATOS!$D19390,nESPEC,DATOS!$E19390,nASIG,DATOS!$I19390,nEVAL,"EX")=0),0))))</f>
      </c>
      <c r="H19390">
        <f>IF(DATOS!$G19390&lt;&gt;"EX",0,--(COUNTIFS(nNIA,DATOS!$A19390,nCURSO,DATOS!$D19390,nESPEC,DATOS!$E19390,nASIG,DATOS!$I19390,nEVAL,"OR")=0))</f>
      </c>
      <c r="I19390">
        <f>IF(DATOS!$I19390="","",IFERROR(VLOOKUP(DATOS!$I19390,CONFIG_ASIGNATURAS!$B$2:$J$91,9,FALSE()),""))</f>
      </c>
    </row>
    <row r="19391">
      <c r="F19391">
        <f>IF(DATOS!$A19391="","",DATOS!$A19391&amp;"|"&amp;DATOS!$D19391&amp;"|"&amp;DATOS!$E19391&amp;"|"&amp;DATOS!$I19391)</f>
      </c>
      <c r="G19391">
        <f>IF(DATOS!$A19391="",0,IF(CONFIG_METADATA!$B$4&lt;&gt;"OR+EX",--(DATOS!$G19391=CONFIG_METADATA!$B$4),IF(DATOS!$G19391="EX",1,IF(DATOS!$G19391="OR",--(COUNTIFS(nNIA,DATOS!$A19391,nCURSO,DATOS!$D19391,nESPEC,DATOS!$E19391,nASIG,DATOS!$I19391,nEVAL,"EX")=0),0))))</f>
      </c>
      <c r="H19391">
        <f>IF(DATOS!$G19391&lt;&gt;"EX",0,--(COUNTIFS(nNIA,DATOS!$A19391,nCURSO,DATOS!$D19391,nESPEC,DATOS!$E19391,nASIG,DATOS!$I19391,nEVAL,"OR")=0))</f>
      </c>
      <c r="I19391">
        <f>IF(DATOS!$I19391="","",IFERROR(VLOOKUP(DATOS!$I19391,CONFIG_ASIGNATURAS!$B$2:$J$91,9,FALSE()),""))</f>
      </c>
    </row>
    <row r="19392">
      <c r="F19392">
        <f>IF(DATOS!$A19392="","",DATOS!$A19392&amp;"|"&amp;DATOS!$D19392&amp;"|"&amp;DATOS!$E19392&amp;"|"&amp;DATOS!$I19392)</f>
      </c>
      <c r="G19392">
        <f>IF(DATOS!$A19392="",0,IF(CONFIG_METADATA!$B$4&lt;&gt;"OR+EX",--(DATOS!$G19392=CONFIG_METADATA!$B$4),IF(DATOS!$G19392="EX",1,IF(DATOS!$G19392="OR",--(COUNTIFS(nNIA,DATOS!$A19392,nCURSO,DATOS!$D19392,nESPEC,DATOS!$E19392,nASIG,DATOS!$I19392,nEVAL,"EX")=0),0))))</f>
      </c>
      <c r="H19392">
        <f>IF(DATOS!$G19392&lt;&gt;"EX",0,--(COUNTIFS(nNIA,DATOS!$A19392,nCURSO,DATOS!$D19392,nESPEC,DATOS!$E19392,nASIG,DATOS!$I19392,nEVAL,"OR")=0))</f>
      </c>
      <c r="I19392">
        <f>IF(DATOS!$I19392="","",IFERROR(VLOOKUP(DATOS!$I19392,CONFIG_ASIGNATURAS!$B$2:$J$91,9,FALSE()),""))</f>
      </c>
    </row>
    <row r="19393">
      <c r="F19393">
        <f>IF(DATOS!$A19393="","",DATOS!$A19393&amp;"|"&amp;DATOS!$D19393&amp;"|"&amp;DATOS!$E19393&amp;"|"&amp;DATOS!$I19393)</f>
      </c>
      <c r="G19393">
        <f>IF(DATOS!$A19393="",0,IF(CONFIG_METADATA!$B$4&lt;&gt;"OR+EX",--(DATOS!$G19393=CONFIG_METADATA!$B$4),IF(DATOS!$G19393="EX",1,IF(DATOS!$G19393="OR",--(COUNTIFS(nNIA,DATOS!$A19393,nCURSO,DATOS!$D19393,nESPEC,DATOS!$E19393,nASIG,DATOS!$I19393,nEVAL,"EX")=0),0))))</f>
      </c>
      <c r="H19393">
        <f>IF(DATOS!$G19393&lt;&gt;"EX",0,--(COUNTIFS(nNIA,DATOS!$A19393,nCURSO,DATOS!$D19393,nESPEC,DATOS!$E19393,nASIG,DATOS!$I19393,nEVAL,"OR")=0))</f>
      </c>
      <c r="I19393">
        <f>IF(DATOS!$I19393="","",IFERROR(VLOOKUP(DATOS!$I19393,CONFIG_ASIGNATURAS!$B$2:$J$91,9,FALSE()),""))</f>
      </c>
    </row>
    <row r="19394">
      <c r="F19394">
        <f>IF(DATOS!$A19394="","",DATOS!$A19394&amp;"|"&amp;DATOS!$D19394&amp;"|"&amp;DATOS!$E19394&amp;"|"&amp;DATOS!$I19394)</f>
      </c>
      <c r="G19394">
        <f>IF(DATOS!$A19394="",0,IF(CONFIG_METADATA!$B$4&lt;&gt;"OR+EX",--(DATOS!$G19394=CONFIG_METADATA!$B$4),IF(DATOS!$G19394="EX",1,IF(DATOS!$G19394="OR",--(COUNTIFS(nNIA,DATOS!$A19394,nCURSO,DATOS!$D19394,nESPEC,DATOS!$E19394,nASIG,DATOS!$I19394,nEVAL,"EX")=0),0))))</f>
      </c>
      <c r="H19394">
        <f>IF(DATOS!$G19394&lt;&gt;"EX",0,--(COUNTIFS(nNIA,DATOS!$A19394,nCURSO,DATOS!$D19394,nESPEC,DATOS!$E19394,nASIG,DATOS!$I19394,nEVAL,"OR")=0))</f>
      </c>
      <c r="I19394">
        <f>IF(DATOS!$I19394="","",IFERROR(VLOOKUP(DATOS!$I19394,CONFIG_ASIGNATURAS!$B$2:$J$91,9,FALSE()),""))</f>
      </c>
    </row>
    <row r="19395">
      <c r="F19395">
        <f>IF(DATOS!$A19395="","",DATOS!$A19395&amp;"|"&amp;DATOS!$D19395&amp;"|"&amp;DATOS!$E19395&amp;"|"&amp;DATOS!$I19395)</f>
      </c>
      <c r="G19395">
        <f>IF(DATOS!$A19395="",0,IF(CONFIG_METADATA!$B$4&lt;&gt;"OR+EX",--(DATOS!$G19395=CONFIG_METADATA!$B$4),IF(DATOS!$G19395="EX",1,IF(DATOS!$G19395="OR",--(COUNTIFS(nNIA,DATOS!$A19395,nCURSO,DATOS!$D19395,nESPEC,DATOS!$E19395,nASIG,DATOS!$I19395,nEVAL,"EX")=0),0))))</f>
      </c>
      <c r="H19395">
        <f>IF(DATOS!$G19395&lt;&gt;"EX",0,--(COUNTIFS(nNIA,DATOS!$A19395,nCURSO,DATOS!$D19395,nESPEC,DATOS!$E19395,nASIG,DATOS!$I19395,nEVAL,"OR")=0))</f>
      </c>
      <c r="I19395">
        <f>IF(DATOS!$I19395="","",IFERROR(VLOOKUP(DATOS!$I19395,CONFIG_ASIGNATURAS!$B$2:$J$91,9,FALSE()),""))</f>
      </c>
    </row>
    <row r="19396">
      <c r="F19396">
        <f>IF(DATOS!$A19396="","",DATOS!$A19396&amp;"|"&amp;DATOS!$D19396&amp;"|"&amp;DATOS!$E19396&amp;"|"&amp;DATOS!$I19396)</f>
      </c>
      <c r="G19396">
        <f>IF(DATOS!$A19396="",0,IF(CONFIG_METADATA!$B$4&lt;&gt;"OR+EX",--(DATOS!$G19396=CONFIG_METADATA!$B$4),IF(DATOS!$G19396="EX",1,IF(DATOS!$G19396="OR",--(COUNTIFS(nNIA,DATOS!$A19396,nCURSO,DATOS!$D19396,nESPEC,DATOS!$E19396,nASIG,DATOS!$I19396,nEVAL,"EX")=0),0))))</f>
      </c>
      <c r="H19396">
        <f>IF(DATOS!$G19396&lt;&gt;"EX",0,--(COUNTIFS(nNIA,DATOS!$A19396,nCURSO,DATOS!$D19396,nESPEC,DATOS!$E19396,nASIG,DATOS!$I19396,nEVAL,"OR")=0))</f>
      </c>
      <c r="I19396">
        <f>IF(DATOS!$I19396="","",IFERROR(VLOOKUP(DATOS!$I19396,CONFIG_ASIGNATURAS!$B$2:$J$91,9,FALSE()),""))</f>
      </c>
    </row>
    <row r="19397">
      <c r="F19397">
        <f>IF(DATOS!$A19397="","",DATOS!$A19397&amp;"|"&amp;DATOS!$D19397&amp;"|"&amp;DATOS!$E19397&amp;"|"&amp;DATOS!$I19397)</f>
      </c>
      <c r="G19397">
        <f>IF(DATOS!$A19397="",0,IF(CONFIG_METADATA!$B$4&lt;&gt;"OR+EX",--(DATOS!$G19397=CONFIG_METADATA!$B$4),IF(DATOS!$G19397="EX",1,IF(DATOS!$G19397="OR",--(COUNTIFS(nNIA,DATOS!$A19397,nCURSO,DATOS!$D19397,nESPEC,DATOS!$E19397,nASIG,DATOS!$I19397,nEVAL,"EX")=0),0))))</f>
      </c>
      <c r="H19397">
        <f>IF(DATOS!$G19397&lt;&gt;"EX",0,--(COUNTIFS(nNIA,DATOS!$A19397,nCURSO,DATOS!$D19397,nESPEC,DATOS!$E19397,nASIG,DATOS!$I19397,nEVAL,"OR")=0))</f>
      </c>
      <c r="I19397">
        <f>IF(DATOS!$I19397="","",IFERROR(VLOOKUP(DATOS!$I19397,CONFIG_ASIGNATURAS!$B$2:$J$91,9,FALSE()),""))</f>
      </c>
    </row>
    <row r="19398">
      <c r="F19398">
        <f>IF(DATOS!$A19398="","",DATOS!$A19398&amp;"|"&amp;DATOS!$D19398&amp;"|"&amp;DATOS!$E19398&amp;"|"&amp;DATOS!$I19398)</f>
      </c>
      <c r="G19398">
        <f>IF(DATOS!$A19398="",0,IF(CONFIG_METADATA!$B$4&lt;&gt;"OR+EX",--(DATOS!$G19398=CONFIG_METADATA!$B$4),IF(DATOS!$G19398="EX",1,IF(DATOS!$G19398="OR",--(COUNTIFS(nNIA,DATOS!$A19398,nCURSO,DATOS!$D19398,nESPEC,DATOS!$E19398,nASIG,DATOS!$I19398,nEVAL,"EX")=0),0))))</f>
      </c>
      <c r="H19398">
        <f>IF(DATOS!$G19398&lt;&gt;"EX",0,--(COUNTIFS(nNIA,DATOS!$A19398,nCURSO,DATOS!$D19398,nESPEC,DATOS!$E19398,nASIG,DATOS!$I19398,nEVAL,"OR")=0))</f>
      </c>
      <c r="I19398">
        <f>IF(DATOS!$I19398="","",IFERROR(VLOOKUP(DATOS!$I19398,CONFIG_ASIGNATURAS!$B$2:$J$91,9,FALSE()),""))</f>
      </c>
    </row>
    <row r="19399">
      <c r="F19399">
        <f>IF(DATOS!$A19399="","",DATOS!$A19399&amp;"|"&amp;DATOS!$D19399&amp;"|"&amp;DATOS!$E19399&amp;"|"&amp;DATOS!$I19399)</f>
      </c>
      <c r="G19399">
        <f>IF(DATOS!$A19399="",0,IF(CONFIG_METADATA!$B$4&lt;&gt;"OR+EX",--(DATOS!$G19399=CONFIG_METADATA!$B$4),IF(DATOS!$G19399="EX",1,IF(DATOS!$G19399="OR",--(COUNTIFS(nNIA,DATOS!$A19399,nCURSO,DATOS!$D19399,nESPEC,DATOS!$E19399,nASIG,DATOS!$I19399,nEVAL,"EX")=0),0))))</f>
      </c>
      <c r="H19399">
        <f>IF(DATOS!$G19399&lt;&gt;"EX",0,--(COUNTIFS(nNIA,DATOS!$A19399,nCURSO,DATOS!$D19399,nESPEC,DATOS!$E19399,nASIG,DATOS!$I19399,nEVAL,"OR")=0))</f>
      </c>
      <c r="I19399">
        <f>IF(DATOS!$I19399="","",IFERROR(VLOOKUP(DATOS!$I19399,CONFIG_ASIGNATURAS!$B$2:$J$91,9,FALSE()),""))</f>
      </c>
    </row>
    <row r="19400">
      <c r="F19400">
        <f>IF(DATOS!$A19400="","",DATOS!$A19400&amp;"|"&amp;DATOS!$D19400&amp;"|"&amp;DATOS!$E19400&amp;"|"&amp;DATOS!$I19400)</f>
      </c>
      <c r="G19400">
        <f>IF(DATOS!$A19400="",0,IF(CONFIG_METADATA!$B$4&lt;&gt;"OR+EX",--(DATOS!$G19400=CONFIG_METADATA!$B$4),IF(DATOS!$G19400="EX",1,IF(DATOS!$G19400="OR",--(COUNTIFS(nNIA,DATOS!$A19400,nCURSO,DATOS!$D19400,nESPEC,DATOS!$E19400,nASIG,DATOS!$I19400,nEVAL,"EX")=0),0))))</f>
      </c>
      <c r="H19400">
        <f>IF(DATOS!$G19400&lt;&gt;"EX",0,--(COUNTIFS(nNIA,DATOS!$A19400,nCURSO,DATOS!$D19400,nESPEC,DATOS!$E19400,nASIG,DATOS!$I19400,nEVAL,"OR")=0))</f>
      </c>
      <c r="I19400">
        <f>IF(DATOS!$I19400="","",IFERROR(VLOOKUP(DATOS!$I19400,CONFIG_ASIGNATURAS!$B$2:$J$91,9,FALSE()),""))</f>
      </c>
    </row>
    <row r="19401">
      <c r="F19401">
        <f>IF(DATOS!$A19401="","",DATOS!$A19401&amp;"|"&amp;DATOS!$D19401&amp;"|"&amp;DATOS!$E19401&amp;"|"&amp;DATOS!$I19401)</f>
      </c>
      <c r="G19401">
        <f>IF(DATOS!$A19401="",0,IF(CONFIG_METADATA!$B$4&lt;&gt;"OR+EX",--(DATOS!$G19401=CONFIG_METADATA!$B$4),IF(DATOS!$G19401="EX",1,IF(DATOS!$G19401="OR",--(COUNTIFS(nNIA,DATOS!$A19401,nCURSO,DATOS!$D19401,nESPEC,DATOS!$E19401,nASIG,DATOS!$I19401,nEVAL,"EX")=0),0))))</f>
      </c>
      <c r="H19401">
        <f>IF(DATOS!$G19401&lt;&gt;"EX",0,--(COUNTIFS(nNIA,DATOS!$A19401,nCURSO,DATOS!$D19401,nESPEC,DATOS!$E19401,nASIG,DATOS!$I19401,nEVAL,"OR")=0))</f>
      </c>
      <c r="I19401">
        <f>IF(DATOS!$I19401="","",IFERROR(VLOOKUP(DATOS!$I19401,CONFIG_ASIGNATURAS!$B$2:$J$91,9,FALSE()),""))</f>
      </c>
    </row>
    <row r="19402">
      <c r="F19402">
        <f>IF(DATOS!$A19402="","",DATOS!$A19402&amp;"|"&amp;DATOS!$D19402&amp;"|"&amp;DATOS!$E19402&amp;"|"&amp;DATOS!$I19402)</f>
      </c>
      <c r="G19402">
        <f>IF(DATOS!$A19402="",0,IF(CONFIG_METADATA!$B$4&lt;&gt;"OR+EX",--(DATOS!$G19402=CONFIG_METADATA!$B$4),IF(DATOS!$G19402="EX",1,IF(DATOS!$G19402="OR",--(COUNTIFS(nNIA,DATOS!$A19402,nCURSO,DATOS!$D19402,nESPEC,DATOS!$E19402,nASIG,DATOS!$I19402,nEVAL,"EX")=0),0))))</f>
      </c>
      <c r="H19402">
        <f>IF(DATOS!$G19402&lt;&gt;"EX",0,--(COUNTIFS(nNIA,DATOS!$A19402,nCURSO,DATOS!$D19402,nESPEC,DATOS!$E19402,nASIG,DATOS!$I19402,nEVAL,"OR")=0))</f>
      </c>
      <c r="I19402">
        <f>IF(DATOS!$I19402="","",IFERROR(VLOOKUP(DATOS!$I19402,CONFIG_ASIGNATURAS!$B$2:$J$91,9,FALSE()),""))</f>
      </c>
    </row>
    <row r="19403">
      <c r="F19403">
        <f>IF(DATOS!$A19403="","",DATOS!$A19403&amp;"|"&amp;DATOS!$D19403&amp;"|"&amp;DATOS!$E19403&amp;"|"&amp;DATOS!$I19403)</f>
      </c>
      <c r="G19403">
        <f>IF(DATOS!$A19403="",0,IF(CONFIG_METADATA!$B$4&lt;&gt;"OR+EX",--(DATOS!$G19403=CONFIG_METADATA!$B$4),IF(DATOS!$G19403="EX",1,IF(DATOS!$G19403="OR",--(COUNTIFS(nNIA,DATOS!$A19403,nCURSO,DATOS!$D19403,nESPEC,DATOS!$E19403,nASIG,DATOS!$I19403,nEVAL,"EX")=0),0))))</f>
      </c>
      <c r="H19403">
        <f>IF(DATOS!$G19403&lt;&gt;"EX",0,--(COUNTIFS(nNIA,DATOS!$A19403,nCURSO,DATOS!$D19403,nESPEC,DATOS!$E19403,nASIG,DATOS!$I19403,nEVAL,"OR")=0))</f>
      </c>
      <c r="I19403">
        <f>IF(DATOS!$I19403="","",IFERROR(VLOOKUP(DATOS!$I19403,CONFIG_ASIGNATURAS!$B$2:$J$91,9,FALSE()),""))</f>
      </c>
    </row>
    <row r="19404">
      <c r="F19404">
        <f>IF(DATOS!$A19404="","",DATOS!$A19404&amp;"|"&amp;DATOS!$D19404&amp;"|"&amp;DATOS!$E19404&amp;"|"&amp;DATOS!$I19404)</f>
      </c>
      <c r="G19404">
        <f>IF(DATOS!$A19404="",0,IF(CONFIG_METADATA!$B$4&lt;&gt;"OR+EX",--(DATOS!$G19404=CONFIG_METADATA!$B$4),IF(DATOS!$G19404="EX",1,IF(DATOS!$G19404="OR",--(COUNTIFS(nNIA,DATOS!$A19404,nCURSO,DATOS!$D19404,nESPEC,DATOS!$E19404,nASIG,DATOS!$I19404,nEVAL,"EX")=0),0))))</f>
      </c>
      <c r="H19404">
        <f>IF(DATOS!$G19404&lt;&gt;"EX",0,--(COUNTIFS(nNIA,DATOS!$A19404,nCURSO,DATOS!$D19404,nESPEC,DATOS!$E19404,nASIG,DATOS!$I19404,nEVAL,"OR")=0))</f>
      </c>
      <c r="I19404">
        <f>IF(DATOS!$I19404="","",IFERROR(VLOOKUP(DATOS!$I19404,CONFIG_ASIGNATURAS!$B$2:$J$91,9,FALSE()),""))</f>
      </c>
    </row>
    <row r="19405">
      <c r="F19405">
        <f>IF(DATOS!$A19405="","",DATOS!$A19405&amp;"|"&amp;DATOS!$D19405&amp;"|"&amp;DATOS!$E19405&amp;"|"&amp;DATOS!$I19405)</f>
      </c>
      <c r="G19405">
        <f>IF(DATOS!$A19405="",0,IF(CONFIG_METADATA!$B$4&lt;&gt;"OR+EX",--(DATOS!$G19405=CONFIG_METADATA!$B$4),IF(DATOS!$G19405="EX",1,IF(DATOS!$G19405="OR",--(COUNTIFS(nNIA,DATOS!$A19405,nCURSO,DATOS!$D19405,nESPEC,DATOS!$E19405,nASIG,DATOS!$I19405,nEVAL,"EX")=0),0))))</f>
      </c>
      <c r="H19405">
        <f>IF(DATOS!$G19405&lt;&gt;"EX",0,--(COUNTIFS(nNIA,DATOS!$A19405,nCURSO,DATOS!$D19405,nESPEC,DATOS!$E19405,nASIG,DATOS!$I19405,nEVAL,"OR")=0))</f>
      </c>
      <c r="I19405">
        <f>IF(DATOS!$I19405="","",IFERROR(VLOOKUP(DATOS!$I19405,CONFIG_ASIGNATURAS!$B$2:$J$91,9,FALSE()),""))</f>
      </c>
    </row>
    <row r="19406">
      <c r="F19406">
        <f>IF(DATOS!$A19406="","",DATOS!$A19406&amp;"|"&amp;DATOS!$D19406&amp;"|"&amp;DATOS!$E19406&amp;"|"&amp;DATOS!$I19406)</f>
      </c>
      <c r="G19406">
        <f>IF(DATOS!$A19406="",0,IF(CONFIG_METADATA!$B$4&lt;&gt;"OR+EX",--(DATOS!$G19406=CONFIG_METADATA!$B$4),IF(DATOS!$G19406="EX",1,IF(DATOS!$G19406="OR",--(COUNTIFS(nNIA,DATOS!$A19406,nCURSO,DATOS!$D19406,nESPEC,DATOS!$E19406,nASIG,DATOS!$I19406,nEVAL,"EX")=0),0))))</f>
      </c>
      <c r="H19406">
        <f>IF(DATOS!$G19406&lt;&gt;"EX",0,--(COUNTIFS(nNIA,DATOS!$A19406,nCURSO,DATOS!$D19406,nESPEC,DATOS!$E19406,nASIG,DATOS!$I19406,nEVAL,"OR")=0))</f>
      </c>
      <c r="I19406">
        <f>IF(DATOS!$I19406="","",IFERROR(VLOOKUP(DATOS!$I19406,CONFIG_ASIGNATURAS!$B$2:$J$91,9,FALSE()),""))</f>
      </c>
    </row>
    <row r="19407">
      <c r="F19407">
        <f>IF(DATOS!$A19407="","",DATOS!$A19407&amp;"|"&amp;DATOS!$D19407&amp;"|"&amp;DATOS!$E19407&amp;"|"&amp;DATOS!$I19407)</f>
      </c>
      <c r="G19407">
        <f>IF(DATOS!$A19407="",0,IF(CONFIG_METADATA!$B$4&lt;&gt;"OR+EX",--(DATOS!$G19407=CONFIG_METADATA!$B$4),IF(DATOS!$G19407="EX",1,IF(DATOS!$G19407="OR",--(COUNTIFS(nNIA,DATOS!$A19407,nCURSO,DATOS!$D19407,nESPEC,DATOS!$E19407,nASIG,DATOS!$I19407,nEVAL,"EX")=0),0))))</f>
      </c>
      <c r="H19407">
        <f>IF(DATOS!$G19407&lt;&gt;"EX",0,--(COUNTIFS(nNIA,DATOS!$A19407,nCURSO,DATOS!$D19407,nESPEC,DATOS!$E19407,nASIG,DATOS!$I19407,nEVAL,"OR")=0))</f>
      </c>
      <c r="I19407">
        <f>IF(DATOS!$I19407="","",IFERROR(VLOOKUP(DATOS!$I19407,CONFIG_ASIGNATURAS!$B$2:$J$91,9,FALSE()),""))</f>
      </c>
    </row>
    <row r="19408">
      <c r="F19408">
        <f>IF(DATOS!$A19408="","",DATOS!$A19408&amp;"|"&amp;DATOS!$D19408&amp;"|"&amp;DATOS!$E19408&amp;"|"&amp;DATOS!$I19408)</f>
      </c>
      <c r="G19408">
        <f>IF(DATOS!$A19408="",0,IF(CONFIG_METADATA!$B$4&lt;&gt;"OR+EX",--(DATOS!$G19408=CONFIG_METADATA!$B$4),IF(DATOS!$G19408="EX",1,IF(DATOS!$G19408="OR",--(COUNTIFS(nNIA,DATOS!$A19408,nCURSO,DATOS!$D19408,nESPEC,DATOS!$E19408,nASIG,DATOS!$I19408,nEVAL,"EX")=0),0))))</f>
      </c>
      <c r="H19408">
        <f>IF(DATOS!$G19408&lt;&gt;"EX",0,--(COUNTIFS(nNIA,DATOS!$A19408,nCURSO,DATOS!$D19408,nESPEC,DATOS!$E19408,nASIG,DATOS!$I19408,nEVAL,"OR")=0))</f>
      </c>
      <c r="I19408">
        <f>IF(DATOS!$I19408="","",IFERROR(VLOOKUP(DATOS!$I19408,CONFIG_ASIGNATURAS!$B$2:$J$91,9,FALSE()),""))</f>
      </c>
    </row>
    <row r="19409">
      <c r="F19409">
        <f>IF(DATOS!$A19409="","",DATOS!$A19409&amp;"|"&amp;DATOS!$D19409&amp;"|"&amp;DATOS!$E19409&amp;"|"&amp;DATOS!$I19409)</f>
      </c>
      <c r="G19409">
        <f>IF(DATOS!$A19409="",0,IF(CONFIG_METADATA!$B$4&lt;&gt;"OR+EX",--(DATOS!$G19409=CONFIG_METADATA!$B$4),IF(DATOS!$G19409="EX",1,IF(DATOS!$G19409="OR",--(COUNTIFS(nNIA,DATOS!$A19409,nCURSO,DATOS!$D19409,nESPEC,DATOS!$E19409,nASIG,DATOS!$I19409,nEVAL,"EX")=0),0))))</f>
      </c>
      <c r="H19409">
        <f>IF(DATOS!$G19409&lt;&gt;"EX",0,--(COUNTIFS(nNIA,DATOS!$A19409,nCURSO,DATOS!$D19409,nESPEC,DATOS!$E19409,nASIG,DATOS!$I19409,nEVAL,"OR")=0))</f>
      </c>
      <c r="I19409">
        <f>IF(DATOS!$I19409="","",IFERROR(VLOOKUP(DATOS!$I19409,CONFIG_ASIGNATURAS!$B$2:$J$91,9,FALSE()),""))</f>
      </c>
    </row>
    <row r="19410">
      <c r="F19410">
        <f>IF(DATOS!$A19410="","",DATOS!$A19410&amp;"|"&amp;DATOS!$D19410&amp;"|"&amp;DATOS!$E19410&amp;"|"&amp;DATOS!$I19410)</f>
      </c>
      <c r="G19410">
        <f>IF(DATOS!$A19410="",0,IF(CONFIG_METADATA!$B$4&lt;&gt;"OR+EX",--(DATOS!$G19410=CONFIG_METADATA!$B$4),IF(DATOS!$G19410="EX",1,IF(DATOS!$G19410="OR",--(COUNTIFS(nNIA,DATOS!$A19410,nCURSO,DATOS!$D19410,nESPEC,DATOS!$E19410,nASIG,DATOS!$I19410,nEVAL,"EX")=0),0))))</f>
      </c>
      <c r="H19410">
        <f>IF(DATOS!$G19410&lt;&gt;"EX",0,--(COUNTIFS(nNIA,DATOS!$A19410,nCURSO,DATOS!$D19410,nESPEC,DATOS!$E19410,nASIG,DATOS!$I19410,nEVAL,"OR")=0))</f>
      </c>
      <c r="I19410">
        <f>IF(DATOS!$I19410="","",IFERROR(VLOOKUP(DATOS!$I19410,CONFIG_ASIGNATURAS!$B$2:$J$91,9,FALSE()),""))</f>
      </c>
    </row>
    <row r="19411">
      <c r="F19411">
        <f>IF(DATOS!$A19411="","",DATOS!$A19411&amp;"|"&amp;DATOS!$D19411&amp;"|"&amp;DATOS!$E19411&amp;"|"&amp;DATOS!$I19411)</f>
      </c>
      <c r="G19411">
        <f>IF(DATOS!$A19411="",0,IF(CONFIG_METADATA!$B$4&lt;&gt;"OR+EX",--(DATOS!$G19411=CONFIG_METADATA!$B$4),IF(DATOS!$G19411="EX",1,IF(DATOS!$G19411="OR",--(COUNTIFS(nNIA,DATOS!$A19411,nCURSO,DATOS!$D19411,nESPEC,DATOS!$E19411,nASIG,DATOS!$I19411,nEVAL,"EX")=0),0))))</f>
      </c>
      <c r="H19411">
        <f>IF(DATOS!$G19411&lt;&gt;"EX",0,--(COUNTIFS(nNIA,DATOS!$A19411,nCURSO,DATOS!$D19411,nESPEC,DATOS!$E19411,nASIG,DATOS!$I19411,nEVAL,"OR")=0))</f>
      </c>
      <c r="I19411">
        <f>IF(DATOS!$I19411="","",IFERROR(VLOOKUP(DATOS!$I19411,CONFIG_ASIGNATURAS!$B$2:$J$91,9,FALSE()),""))</f>
      </c>
    </row>
    <row r="19412">
      <c r="F19412">
        <f>IF(DATOS!$A19412="","",DATOS!$A19412&amp;"|"&amp;DATOS!$D19412&amp;"|"&amp;DATOS!$E19412&amp;"|"&amp;DATOS!$I19412)</f>
      </c>
      <c r="G19412">
        <f>IF(DATOS!$A19412="",0,IF(CONFIG_METADATA!$B$4&lt;&gt;"OR+EX",--(DATOS!$G19412=CONFIG_METADATA!$B$4),IF(DATOS!$G19412="EX",1,IF(DATOS!$G19412="OR",--(COUNTIFS(nNIA,DATOS!$A19412,nCURSO,DATOS!$D19412,nESPEC,DATOS!$E19412,nASIG,DATOS!$I19412,nEVAL,"EX")=0),0))))</f>
      </c>
      <c r="H19412">
        <f>IF(DATOS!$G19412&lt;&gt;"EX",0,--(COUNTIFS(nNIA,DATOS!$A19412,nCURSO,DATOS!$D19412,nESPEC,DATOS!$E19412,nASIG,DATOS!$I19412,nEVAL,"OR")=0))</f>
      </c>
      <c r="I19412">
        <f>IF(DATOS!$I19412="","",IFERROR(VLOOKUP(DATOS!$I19412,CONFIG_ASIGNATURAS!$B$2:$J$91,9,FALSE()),""))</f>
      </c>
    </row>
    <row r="19413">
      <c r="F19413">
        <f>IF(DATOS!$A19413="","",DATOS!$A19413&amp;"|"&amp;DATOS!$D19413&amp;"|"&amp;DATOS!$E19413&amp;"|"&amp;DATOS!$I19413)</f>
      </c>
      <c r="G19413">
        <f>IF(DATOS!$A19413="",0,IF(CONFIG_METADATA!$B$4&lt;&gt;"OR+EX",--(DATOS!$G19413=CONFIG_METADATA!$B$4),IF(DATOS!$G19413="EX",1,IF(DATOS!$G19413="OR",--(COUNTIFS(nNIA,DATOS!$A19413,nCURSO,DATOS!$D19413,nESPEC,DATOS!$E19413,nASIG,DATOS!$I19413,nEVAL,"EX")=0),0))))</f>
      </c>
      <c r="H19413">
        <f>IF(DATOS!$G19413&lt;&gt;"EX",0,--(COUNTIFS(nNIA,DATOS!$A19413,nCURSO,DATOS!$D19413,nESPEC,DATOS!$E19413,nASIG,DATOS!$I19413,nEVAL,"OR")=0))</f>
      </c>
      <c r="I19413">
        <f>IF(DATOS!$I19413="","",IFERROR(VLOOKUP(DATOS!$I19413,CONFIG_ASIGNATURAS!$B$2:$J$91,9,FALSE()),""))</f>
      </c>
    </row>
    <row r="19414">
      <c r="F19414">
        <f>IF(DATOS!$A19414="","",DATOS!$A19414&amp;"|"&amp;DATOS!$D19414&amp;"|"&amp;DATOS!$E19414&amp;"|"&amp;DATOS!$I19414)</f>
      </c>
      <c r="G19414">
        <f>IF(DATOS!$A19414="",0,IF(CONFIG_METADATA!$B$4&lt;&gt;"OR+EX",--(DATOS!$G19414=CONFIG_METADATA!$B$4),IF(DATOS!$G19414="EX",1,IF(DATOS!$G19414="OR",--(COUNTIFS(nNIA,DATOS!$A19414,nCURSO,DATOS!$D19414,nESPEC,DATOS!$E19414,nASIG,DATOS!$I19414,nEVAL,"EX")=0),0))))</f>
      </c>
      <c r="H19414">
        <f>IF(DATOS!$G19414&lt;&gt;"EX",0,--(COUNTIFS(nNIA,DATOS!$A19414,nCURSO,DATOS!$D19414,nESPEC,DATOS!$E19414,nASIG,DATOS!$I19414,nEVAL,"OR")=0))</f>
      </c>
      <c r="I19414">
        <f>IF(DATOS!$I19414="","",IFERROR(VLOOKUP(DATOS!$I19414,CONFIG_ASIGNATURAS!$B$2:$J$91,9,FALSE()),""))</f>
      </c>
    </row>
    <row r="19415">
      <c r="F19415">
        <f>IF(DATOS!$A19415="","",DATOS!$A19415&amp;"|"&amp;DATOS!$D19415&amp;"|"&amp;DATOS!$E19415&amp;"|"&amp;DATOS!$I19415)</f>
      </c>
      <c r="G19415">
        <f>IF(DATOS!$A19415="",0,IF(CONFIG_METADATA!$B$4&lt;&gt;"OR+EX",--(DATOS!$G19415=CONFIG_METADATA!$B$4),IF(DATOS!$G19415="EX",1,IF(DATOS!$G19415="OR",--(COUNTIFS(nNIA,DATOS!$A19415,nCURSO,DATOS!$D19415,nESPEC,DATOS!$E19415,nASIG,DATOS!$I19415,nEVAL,"EX")=0),0))))</f>
      </c>
      <c r="H19415">
        <f>IF(DATOS!$G19415&lt;&gt;"EX",0,--(COUNTIFS(nNIA,DATOS!$A19415,nCURSO,DATOS!$D19415,nESPEC,DATOS!$E19415,nASIG,DATOS!$I19415,nEVAL,"OR")=0))</f>
      </c>
      <c r="I19415">
        <f>IF(DATOS!$I19415="","",IFERROR(VLOOKUP(DATOS!$I19415,CONFIG_ASIGNATURAS!$B$2:$J$91,9,FALSE()),""))</f>
      </c>
    </row>
    <row r="19416">
      <c r="F19416">
        <f>IF(DATOS!$A19416="","",DATOS!$A19416&amp;"|"&amp;DATOS!$D19416&amp;"|"&amp;DATOS!$E19416&amp;"|"&amp;DATOS!$I19416)</f>
      </c>
      <c r="G19416">
        <f>IF(DATOS!$A19416="",0,IF(CONFIG_METADATA!$B$4&lt;&gt;"OR+EX",--(DATOS!$G19416=CONFIG_METADATA!$B$4),IF(DATOS!$G19416="EX",1,IF(DATOS!$G19416="OR",--(COUNTIFS(nNIA,DATOS!$A19416,nCURSO,DATOS!$D19416,nESPEC,DATOS!$E19416,nASIG,DATOS!$I19416,nEVAL,"EX")=0),0))))</f>
      </c>
      <c r="H19416">
        <f>IF(DATOS!$G19416&lt;&gt;"EX",0,--(COUNTIFS(nNIA,DATOS!$A19416,nCURSO,DATOS!$D19416,nESPEC,DATOS!$E19416,nASIG,DATOS!$I19416,nEVAL,"OR")=0))</f>
      </c>
      <c r="I19416">
        <f>IF(DATOS!$I19416="","",IFERROR(VLOOKUP(DATOS!$I19416,CONFIG_ASIGNATURAS!$B$2:$J$91,9,FALSE()),""))</f>
      </c>
    </row>
    <row r="19417">
      <c r="F19417">
        <f>IF(DATOS!$A19417="","",DATOS!$A19417&amp;"|"&amp;DATOS!$D19417&amp;"|"&amp;DATOS!$E19417&amp;"|"&amp;DATOS!$I19417)</f>
      </c>
      <c r="G19417">
        <f>IF(DATOS!$A19417="",0,IF(CONFIG_METADATA!$B$4&lt;&gt;"OR+EX",--(DATOS!$G19417=CONFIG_METADATA!$B$4),IF(DATOS!$G19417="EX",1,IF(DATOS!$G19417="OR",--(COUNTIFS(nNIA,DATOS!$A19417,nCURSO,DATOS!$D19417,nESPEC,DATOS!$E19417,nASIG,DATOS!$I19417,nEVAL,"EX")=0),0))))</f>
      </c>
      <c r="H19417">
        <f>IF(DATOS!$G19417&lt;&gt;"EX",0,--(COUNTIFS(nNIA,DATOS!$A19417,nCURSO,DATOS!$D19417,nESPEC,DATOS!$E19417,nASIG,DATOS!$I19417,nEVAL,"OR")=0))</f>
      </c>
      <c r="I19417">
        <f>IF(DATOS!$I19417="","",IFERROR(VLOOKUP(DATOS!$I19417,CONFIG_ASIGNATURAS!$B$2:$J$91,9,FALSE()),""))</f>
      </c>
    </row>
    <row r="19418">
      <c r="F19418">
        <f>IF(DATOS!$A19418="","",DATOS!$A19418&amp;"|"&amp;DATOS!$D19418&amp;"|"&amp;DATOS!$E19418&amp;"|"&amp;DATOS!$I19418)</f>
      </c>
      <c r="G19418">
        <f>IF(DATOS!$A19418="",0,IF(CONFIG_METADATA!$B$4&lt;&gt;"OR+EX",--(DATOS!$G19418=CONFIG_METADATA!$B$4),IF(DATOS!$G19418="EX",1,IF(DATOS!$G19418="OR",--(COUNTIFS(nNIA,DATOS!$A19418,nCURSO,DATOS!$D19418,nESPEC,DATOS!$E19418,nASIG,DATOS!$I19418,nEVAL,"EX")=0),0))))</f>
      </c>
      <c r="H19418">
        <f>IF(DATOS!$G19418&lt;&gt;"EX",0,--(COUNTIFS(nNIA,DATOS!$A19418,nCURSO,DATOS!$D19418,nESPEC,DATOS!$E19418,nASIG,DATOS!$I19418,nEVAL,"OR")=0))</f>
      </c>
      <c r="I19418">
        <f>IF(DATOS!$I19418="","",IFERROR(VLOOKUP(DATOS!$I19418,CONFIG_ASIGNATURAS!$B$2:$J$91,9,FALSE()),""))</f>
      </c>
    </row>
    <row r="19419">
      <c r="F19419">
        <f>IF(DATOS!$A19419="","",DATOS!$A19419&amp;"|"&amp;DATOS!$D19419&amp;"|"&amp;DATOS!$E19419&amp;"|"&amp;DATOS!$I19419)</f>
      </c>
      <c r="G19419">
        <f>IF(DATOS!$A19419="",0,IF(CONFIG_METADATA!$B$4&lt;&gt;"OR+EX",--(DATOS!$G19419=CONFIG_METADATA!$B$4),IF(DATOS!$G19419="EX",1,IF(DATOS!$G19419="OR",--(COUNTIFS(nNIA,DATOS!$A19419,nCURSO,DATOS!$D19419,nESPEC,DATOS!$E19419,nASIG,DATOS!$I19419,nEVAL,"EX")=0),0))))</f>
      </c>
      <c r="H19419">
        <f>IF(DATOS!$G19419&lt;&gt;"EX",0,--(COUNTIFS(nNIA,DATOS!$A19419,nCURSO,DATOS!$D19419,nESPEC,DATOS!$E19419,nASIG,DATOS!$I19419,nEVAL,"OR")=0))</f>
      </c>
      <c r="I19419">
        <f>IF(DATOS!$I19419="","",IFERROR(VLOOKUP(DATOS!$I19419,CONFIG_ASIGNATURAS!$B$2:$J$91,9,FALSE()),""))</f>
      </c>
    </row>
    <row r="19420">
      <c r="F19420">
        <f>IF(DATOS!$A19420="","",DATOS!$A19420&amp;"|"&amp;DATOS!$D19420&amp;"|"&amp;DATOS!$E19420&amp;"|"&amp;DATOS!$I19420)</f>
      </c>
      <c r="G19420">
        <f>IF(DATOS!$A19420="",0,IF(CONFIG_METADATA!$B$4&lt;&gt;"OR+EX",--(DATOS!$G19420=CONFIG_METADATA!$B$4),IF(DATOS!$G19420="EX",1,IF(DATOS!$G19420="OR",--(COUNTIFS(nNIA,DATOS!$A19420,nCURSO,DATOS!$D19420,nESPEC,DATOS!$E19420,nASIG,DATOS!$I19420,nEVAL,"EX")=0),0))))</f>
      </c>
      <c r="H19420">
        <f>IF(DATOS!$G19420&lt;&gt;"EX",0,--(COUNTIFS(nNIA,DATOS!$A19420,nCURSO,DATOS!$D19420,nESPEC,DATOS!$E19420,nASIG,DATOS!$I19420,nEVAL,"OR")=0))</f>
      </c>
      <c r="I19420">
        <f>IF(DATOS!$I19420="","",IFERROR(VLOOKUP(DATOS!$I19420,CONFIG_ASIGNATURAS!$B$2:$J$91,9,FALSE()),""))</f>
      </c>
    </row>
    <row r="19421">
      <c r="F19421">
        <f>IF(DATOS!$A19421="","",DATOS!$A19421&amp;"|"&amp;DATOS!$D19421&amp;"|"&amp;DATOS!$E19421&amp;"|"&amp;DATOS!$I19421)</f>
      </c>
      <c r="G19421">
        <f>IF(DATOS!$A19421="",0,IF(CONFIG_METADATA!$B$4&lt;&gt;"OR+EX",--(DATOS!$G19421=CONFIG_METADATA!$B$4),IF(DATOS!$G19421="EX",1,IF(DATOS!$G19421="OR",--(COUNTIFS(nNIA,DATOS!$A19421,nCURSO,DATOS!$D19421,nESPEC,DATOS!$E19421,nASIG,DATOS!$I19421,nEVAL,"EX")=0),0))))</f>
      </c>
      <c r="H19421">
        <f>IF(DATOS!$G19421&lt;&gt;"EX",0,--(COUNTIFS(nNIA,DATOS!$A19421,nCURSO,DATOS!$D19421,nESPEC,DATOS!$E19421,nASIG,DATOS!$I19421,nEVAL,"OR")=0))</f>
      </c>
      <c r="I19421">
        <f>IF(DATOS!$I19421="","",IFERROR(VLOOKUP(DATOS!$I19421,CONFIG_ASIGNATURAS!$B$2:$J$91,9,FALSE()),""))</f>
      </c>
    </row>
    <row r="19422">
      <c r="F19422">
        <f>IF(DATOS!$A19422="","",DATOS!$A19422&amp;"|"&amp;DATOS!$D19422&amp;"|"&amp;DATOS!$E19422&amp;"|"&amp;DATOS!$I19422)</f>
      </c>
      <c r="G19422">
        <f>IF(DATOS!$A19422="",0,IF(CONFIG_METADATA!$B$4&lt;&gt;"OR+EX",--(DATOS!$G19422=CONFIG_METADATA!$B$4),IF(DATOS!$G19422="EX",1,IF(DATOS!$G19422="OR",--(COUNTIFS(nNIA,DATOS!$A19422,nCURSO,DATOS!$D19422,nESPEC,DATOS!$E19422,nASIG,DATOS!$I19422,nEVAL,"EX")=0),0))))</f>
      </c>
      <c r="H19422">
        <f>IF(DATOS!$G19422&lt;&gt;"EX",0,--(COUNTIFS(nNIA,DATOS!$A19422,nCURSO,DATOS!$D19422,nESPEC,DATOS!$E19422,nASIG,DATOS!$I19422,nEVAL,"OR")=0))</f>
      </c>
      <c r="I19422">
        <f>IF(DATOS!$I19422="","",IFERROR(VLOOKUP(DATOS!$I19422,CONFIG_ASIGNATURAS!$B$2:$J$91,9,FALSE()),""))</f>
      </c>
    </row>
    <row r="19423">
      <c r="F19423">
        <f>IF(DATOS!$A19423="","",DATOS!$A19423&amp;"|"&amp;DATOS!$D19423&amp;"|"&amp;DATOS!$E19423&amp;"|"&amp;DATOS!$I19423)</f>
      </c>
      <c r="G19423">
        <f>IF(DATOS!$A19423="",0,IF(CONFIG_METADATA!$B$4&lt;&gt;"OR+EX",--(DATOS!$G19423=CONFIG_METADATA!$B$4),IF(DATOS!$G19423="EX",1,IF(DATOS!$G19423="OR",--(COUNTIFS(nNIA,DATOS!$A19423,nCURSO,DATOS!$D19423,nESPEC,DATOS!$E19423,nASIG,DATOS!$I19423,nEVAL,"EX")=0),0))))</f>
      </c>
      <c r="H19423">
        <f>IF(DATOS!$G19423&lt;&gt;"EX",0,--(COUNTIFS(nNIA,DATOS!$A19423,nCURSO,DATOS!$D19423,nESPEC,DATOS!$E19423,nASIG,DATOS!$I19423,nEVAL,"OR")=0))</f>
      </c>
      <c r="I19423">
        <f>IF(DATOS!$I19423="","",IFERROR(VLOOKUP(DATOS!$I19423,CONFIG_ASIGNATURAS!$B$2:$J$91,9,FALSE()),""))</f>
      </c>
    </row>
    <row r="19424">
      <c r="F19424">
        <f>IF(DATOS!$A19424="","",DATOS!$A19424&amp;"|"&amp;DATOS!$D19424&amp;"|"&amp;DATOS!$E19424&amp;"|"&amp;DATOS!$I19424)</f>
      </c>
      <c r="G19424">
        <f>IF(DATOS!$A19424="",0,IF(CONFIG_METADATA!$B$4&lt;&gt;"OR+EX",--(DATOS!$G19424=CONFIG_METADATA!$B$4),IF(DATOS!$G19424="EX",1,IF(DATOS!$G19424="OR",--(COUNTIFS(nNIA,DATOS!$A19424,nCURSO,DATOS!$D19424,nESPEC,DATOS!$E19424,nASIG,DATOS!$I19424,nEVAL,"EX")=0),0))))</f>
      </c>
      <c r="H19424">
        <f>IF(DATOS!$G19424&lt;&gt;"EX",0,--(COUNTIFS(nNIA,DATOS!$A19424,nCURSO,DATOS!$D19424,nESPEC,DATOS!$E19424,nASIG,DATOS!$I19424,nEVAL,"OR")=0))</f>
      </c>
      <c r="I19424">
        <f>IF(DATOS!$I19424="","",IFERROR(VLOOKUP(DATOS!$I19424,CONFIG_ASIGNATURAS!$B$2:$J$91,9,FALSE()),""))</f>
      </c>
    </row>
    <row r="19425">
      <c r="F19425">
        <f>IF(DATOS!$A19425="","",DATOS!$A19425&amp;"|"&amp;DATOS!$D19425&amp;"|"&amp;DATOS!$E19425&amp;"|"&amp;DATOS!$I19425)</f>
      </c>
      <c r="G19425">
        <f>IF(DATOS!$A19425="",0,IF(CONFIG_METADATA!$B$4&lt;&gt;"OR+EX",--(DATOS!$G19425=CONFIG_METADATA!$B$4),IF(DATOS!$G19425="EX",1,IF(DATOS!$G19425="OR",--(COUNTIFS(nNIA,DATOS!$A19425,nCURSO,DATOS!$D19425,nESPEC,DATOS!$E19425,nASIG,DATOS!$I19425,nEVAL,"EX")=0),0))))</f>
      </c>
      <c r="H19425">
        <f>IF(DATOS!$G19425&lt;&gt;"EX",0,--(COUNTIFS(nNIA,DATOS!$A19425,nCURSO,DATOS!$D19425,nESPEC,DATOS!$E19425,nASIG,DATOS!$I19425,nEVAL,"OR")=0))</f>
      </c>
      <c r="I19425">
        <f>IF(DATOS!$I19425="","",IFERROR(VLOOKUP(DATOS!$I19425,CONFIG_ASIGNATURAS!$B$2:$J$91,9,FALSE()),""))</f>
      </c>
    </row>
    <row r="19426">
      <c r="F19426">
        <f>IF(DATOS!$A19426="","",DATOS!$A19426&amp;"|"&amp;DATOS!$D19426&amp;"|"&amp;DATOS!$E19426&amp;"|"&amp;DATOS!$I19426)</f>
      </c>
      <c r="G19426">
        <f>IF(DATOS!$A19426="",0,IF(CONFIG_METADATA!$B$4&lt;&gt;"OR+EX",--(DATOS!$G19426=CONFIG_METADATA!$B$4),IF(DATOS!$G19426="EX",1,IF(DATOS!$G19426="OR",--(COUNTIFS(nNIA,DATOS!$A19426,nCURSO,DATOS!$D19426,nESPEC,DATOS!$E19426,nASIG,DATOS!$I19426,nEVAL,"EX")=0),0))))</f>
      </c>
      <c r="H19426">
        <f>IF(DATOS!$G19426&lt;&gt;"EX",0,--(COUNTIFS(nNIA,DATOS!$A19426,nCURSO,DATOS!$D19426,nESPEC,DATOS!$E19426,nASIG,DATOS!$I19426,nEVAL,"OR")=0))</f>
      </c>
      <c r="I19426">
        <f>IF(DATOS!$I19426="","",IFERROR(VLOOKUP(DATOS!$I19426,CONFIG_ASIGNATURAS!$B$2:$J$91,9,FALSE()),""))</f>
      </c>
    </row>
    <row r="19427">
      <c r="F19427">
        <f>IF(DATOS!$A19427="","",DATOS!$A19427&amp;"|"&amp;DATOS!$D19427&amp;"|"&amp;DATOS!$E19427&amp;"|"&amp;DATOS!$I19427)</f>
      </c>
      <c r="G19427">
        <f>IF(DATOS!$A19427="",0,IF(CONFIG_METADATA!$B$4&lt;&gt;"OR+EX",--(DATOS!$G19427=CONFIG_METADATA!$B$4),IF(DATOS!$G19427="EX",1,IF(DATOS!$G19427="OR",--(COUNTIFS(nNIA,DATOS!$A19427,nCURSO,DATOS!$D19427,nESPEC,DATOS!$E19427,nASIG,DATOS!$I19427,nEVAL,"EX")=0),0))))</f>
      </c>
      <c r="H19427">
        <f>IF(DATOS!$G19427&lt;&gt;"EX",0,--(COUNTIFS(nNIA,DATOS!$A19427,nCURSO,DATOS!$D19427,nESPEC,DATOS!$E19427,nASIG,DATOS!$I19427,nEVAL,"OR")=0))</f>
      </c>
      <c r="I19427">
        <f>IF(DATOS!$I19427="","",IFERROR(VLOOKUP(DATOS!$I19427,CONFIG_ASIGNATURAS!$B$2:$J$91,9,FALSE()),""))</f>
      </c>
    </row>
    <row r="19428">
      <c r="F19428">
        <f>IF(DATOS!$A19428="","",DATOS!$A19428&amp;"|"&amp;DATOS!$D19428&amp;"|"&amp;DATOS!$E19428&amp;"|"&amp;DATOS!$I19428)</f>
      </c>
      <c r="G19428">
        <f>IF(DATOS!$A19428="",0,IF(CONFIG_METADATA!$B$4&lt;&gt;"OR+EX",--(DATOS!$G19428=CONFIG_METADATA!$B$4),IF(DATOS!$G19428="EX",1,IF(DATOS!$G19428="OR",--(COUNTIFS(nNIA,DATOS!$A19428,nCURSO,DATOS!$D19428,nESPEC,DATOS!$E19428,nASIG,DATOS!$I19428,nEVAL,"EX")=0),0))))</f>
      </c>
      <c r="H19428">
        <f>IF(DATOS!$G19428&lt;&gt;"EX",0,--(COUNTIFS(nNIA,DATOS!$A19428,nCURSO,DATOS!$D19428,nESPEC,DATOS!$E19428,nASIG,DATOS!$I19428,nEVAL,"OR")=0))</f>
      </c>
      <c r="I19428">
        <f>IF(DATOS!$I19428="","",IFERROR(VLOOKUP(DATOS!$I19428,CONFIG_ASIGNATURAS!$B$2:$J$91,9,FALSE()),""))</f>
      </c>
    </row>
    <row r="19429">
      <c r="F19429">
        <f>IF(DATOS!$A19429="","",DATOS!$A19429&amp;"|"&amp;DATOS!$D19429&amp;"|"&amp;DATOS!$E19429&amp;"|"&amp;DATOS!$I19429)</f>
      </c>
      <c r="G19429">
        <f>IF(DATOS!$A19429="",0,IF(CONFIG_METADATA!$B$4&lt;&gt;"OR+EX",--(DATOS!$G19429=CONFIG_METADATA!$B$4),IF(DATOS!$G19429="EX",1,IF(DATOS!$G19429="OR",--(COUNTIFS(nNIA,DATOS!$A19429,nCURSO,DATOS!$D19429,nESPEC,DATOS!$E19429,nASIG,DATOS!$I19429,nEVAL,"EX")=0),0))))</f>
      </c>
      <c r="H19429">
        <f>IF(DATOS!$G19429&lt;&gt;"EX",0,--(COUNTIFS(nNIA,DATOS!$A19429,nCURSO,DATOS!$D19429,nESPEC,DATOS!$E19429,nASIG,DATOS!$I19429,nEVAL,"OR")=0))</f>
      </c>
      <c r="I19429">
        <f>IF(DATOS!$I19429="","",IFERROR(VLOOKUP(DATOS!$I19429,CONFIG_ASIGNATURAS!$B$2:$J$91,9,FALSE()),""))</f>
      </c>
    </row>
    <row r="19430">
      <c r="F19430">
        <f>IF(DATOS!$A19430="","",DATOS!$A19430&amp;"|"&amp;DATOS!$D19430&amp;"|"&amp;DATOS!$E19430&amp;"|"&amp;DATOS!$I19430)</f>
      </c>
      <c r="G19430">
        <f>IF(DATOS!$A19430="",0,IF(CONFIG_METADATA!$B$4&lt;&gt;"OR+EX",--(DATOS!$G19430=CONFIG_METADATA!$B$4),IF(DATOS!$G19430="EX",1,IF(DATOS!$G19430="OR",--(COUNTIFS(nNIA,DATOS!$A19430,nCURSO,DATOS!$D19430,nESPEC,DATOS!$E19430,nASIG,DATOS!$I19430,nEVAL,"EX")=0),0))))</f>
      </c>
      <c r="H19430">
        <f>IF(DATOS!$G19430&lt;&gt;"EX",0,--(COUNTIFS(nNIA,DATOS!$A19430,nCURSO,DATOS!$D19430,nESPEC,DATOS!$E19430,nASIG,DATOS!$I19430,nEVAL,"OR")=0))</f>
      </c>
      <c r="I19430">
        <f>IF(DATOS!$I19430="","",IFERROR(VLOOKUP(DATOS!$I19430,CONFIG_ASIGNATURAS!$B$2:$J$91,9,FALSE()),""))</f>
      </c>
    </row>
    <row r="19431">
      <c r="F19431">
        <f>IF(DATOS!$A19431="","",DATOS!$A19431&amp;"|"&amp;DATOS!$D19431&amp;"|"&amp;DATOS!$E19431&amp;"|"&amp;DATOS!$I19431)</f>
      </c>
      <c r="G19431">
        <f>IF(DATOS!$A19431="",0,IF(CONFIG_METADATA!$B$4&lt;&gt;"OR+EX",--(DATOS!$G19431=CONFIG_METADATA!$B$4),IF(DATOS!$G19431="EX",1,IF(DATOS!$G19431="OR",--(COUNTIFS(nNIA,DATOS!$A19431,nCURSO,DATOS!$D19431,nESPEC,DATOS!$E19431,nASIG,DATOS!$I19431,nEVAL,"EX")=0),0))))</f>
      </c>
      <c r="H19431">
        <f>IF(DATOS!$G19431&lt;&gt;"EX",0,--(COUNTIFS(nNIA,DATOS!$A19431,nCURSO,DATOS!$D19431,nESPEC,DATOS!$E19431,nASIG,DATOS!$I19431,nEVAL,"OR")=0))</f>
      </c>
      <c r="I19431">
        <f>IF(DATOS!$I19431="","",IFERROR(VLOOKUP(DATOS!$I19431,CONFIG_ASIGNATURAS!$B$2:$J$91,9,FALSE()),""))</f>
      </c>
    </row>
    <row r="19432">
      <c r="F19432">
        <f>IF(DATOS!$A19432="","",DATOS!$A19432&amp;"|"&amp;DATOS!$D19432&amp;"|"&amp;DATOS!$E19432&amp;"|"&amp;DATOS!$I19432)</f>
      </c>
      <c r="G19432">
        <f>IF(DATOS!$A19432="",0,IF(CONFIG_METADATA!$B$4&lt;&gt;"OR+EX",--(DATOS!$G19432=CONFIG_METADATA!$B$4),IF(DATOS!$G19432="EX",1,IF(DATOS!$G19432="OR",--(COUNTIFS(nNIA,DATOS!$A19432,nCURSO,DATOS!$D19432,nESPEC,DATOS!$E19432,nASIG,DATOS!$I19432,nEVAL,"EX")=0),0))))</f>
      </c>
      <c r="H19432">
        <f>IF(DATOS!$G19432&lt;&gt;"EX",0,--(COUNTIFS(nNIA,DATOS!$A19432,nCURSO,DATOS!$D19432,nESPEC,DATOS!$E19432,nASIG,DATOS!$I19432,nEVAL,"OR")=0))</f>
      </c>
      <c r="I19432">
        <f>IF(DATOS!$I19432="","",IFERROR(VLOOKUP(DATOS!$I19432,CONFIG_ASIGNATURAS!$B$2:$J$91,9,FALSE()),""))</f>
      </c>
    </row>
    <row r="19433">
      <c r="F19433">
        <f>IF(DATOS!$A19433="","",DATOS!$A19433&amp;"|"&amp;DATOS!$D19433&amp;"|"&amp;DATOS!$E19433&amp;"|"&amp;DATOS!$I19433)</f>
      </c>
      <c r="G19433">
        <f>IF(DATOS!$A19433="",0,IF(CONFIG_METADATA!$B$4&lt;&gt;"OR+EX",--(DATOS!$G19433=CONFIG_METADATA!$B$4),IF(DATOS!$G19433="EX",1,IF(DATOS!$G19433="OR",--(COUNTIFS(nNIA,DATOS!$A19433,nCURSO,DATOS!$D19433,nESPEC,DATOS!$E19433,nASIG,DATOS!$I19433,nEVAL,"EX")=0),0))))</f>
      </c>
      <c r="H19433">
        <f>IF(DATOS!$G19433&lt;&gt;"EX",0,--(COUNTIFS(nNIA,DATOS!$A19433,nCURSO,DATOS!$D19433,nESPEC,DATOS!$E19433,nASIG,DATOS!$I19433,nEVAL,"OR")=0))</f>
      </c>
      <c r="I19433">
        <f>IF(DATOS!$I19433="","",IFERROR(VLOOKUP(DATOS!$I19433,CONFIG_ASIGNATURAS!$B$2:$J$91,9,FALSE()),""))</f>
      </c>
    </row>
    <row r="19434">
      <c r="F19434">
        <f>IF(DATOS!$A19434="","",DATOS!$A19434&amp;"|"&amp;DATOS!$D19434&amp;"|"&amp;DATOS!$E19434&amp;"|"&amp;DATOS!$I19434)</f>
      </c>
      <c r="G19434">
        <f>IF(DATOS!$A19434="",0,IF(CONFIG_METADATA!$B$4&lt;&gt;"OR+EX",--(DATOS!$G19434=CONFIG_METADATA!$B$4),IF(DATOS!$G19434="EX",1,IF(DATOS!$G19434="OR",--(COUNTIFS(nNIA,DATOS!$A19434,nCURSO,DATOS!$D19434,nESPEC,DATOS!$E19434,nASIG,DATOS!$I19434,nEVAL,"EX")=0),0))))</f>
      </c>
      <c r="H19434">
        <f>IF(DATOS!$G19434&lt;&gt;"EX",0,--(COUNTIFS(nNIA,DATOS!$A19434,nCURSO,DATOS!$D19434,nESPEC,DATOS!$E19434,nASIG,DATOS!$I19434,nEVAL,"OR")=0))</f>
      </c>
      <c r="I19434">
        <f>IF(DATOS!$I19434="","",IFERROR(VLOOKUP(DATOS!$I19434,CONFIG_ASIGNATURAS!$B$2:$J$91,9,FALSE()),""))</f>
      </c>
    </row>
    <row r="19435">
      <c r="F19435">
        <f>IF(DATOS!$A19435="","",DATOS!$A19435&amp;"|"&amp;DATOS!$D19435&amp;"|"&amp;DATOS!$E19435&amp;"|"&amp;DATOS!$I19435)</f>
      </c>
      <c r="G19435">
        <f>IF(DATOS!$A19435="",0,IF(CONFIG_METADATA!$B$4&lt;&gt;"OR+EX",--(DATOS!$G19435=CONFIG_METADATA!$B$4),IF(DATOS!$G19435="EX",1,IF(DATOS!$G19435="OR",--(COUNTIFS(nNIA,DATOS!$A19435,nCURSO,DATOS!$D19435,nESPEC,DATOS!$E19435,nASIG,DATOS!$I19435,nEVAL,"EX")=0),0))))</f>
      </c>
      <c r="H19435">
        <f>IF(DATOS!$G19435&lt;&gt;"EX",0,--(COUNTIFS(nNIA,DATOS!$A19435,nCURSO,DATOS!$D19435,nESPEC,DATOS!$E19435,nASIG,DATOS!$I19435,nEVAL,"OR")=0))</f>
      </c>
      <c r="I19435">
        <f>IF(DATOS!$I19435="","",IFERROR(VLOOKUP(DATOS!$I19435,CONFIG_ASIGNATURAS!$B$2:$J$91,9,FALSE()),""))</f>
      </c>
    </row>
    <row r="19436">
      <c r="F19436">
        <f>IF(DATOS!$A19436="","",DATOS!$A19436&amp;"|"&amp;DATOS!$D19436&amp;"|"&amp;DATOS!$E19436&amp;"|"&amp;DATOS!$I19436)</f>
      </c>
      <c r="G19436">
        <f>IF(DATOS!$A19436="",0,IF(CONFIG_METADATA!$B$4&lt;&gt;"OR+EX",--(DATOS!$G19436=CONFIG_METADATA!$B$4),IF(DATOS!$G19436="EX",1,IF(DATOS!$G19436="OR",--(COUNTIFS(nNIA,DATOS!$A19436,nCURSO,DATOS!$D19436,nESPEC,DATOS!$E19436,nASIG,DATOS!$I19436,nEVAL,"EX")=0),0))))</f>
      </c>
      <c r="H19436">
        <f>IF(DATOS!$G19436&lt;&gt;"EX",0,--(COUNTIFS(nNIA,DATOS!$A19436,nCURSO,DATOS!$D19436,nESPEC,DATOS!$E19436,nASIG,DATOS!$I19436,nEVAL,"OR")=0))</f>
      </c>
      <c r="I19436">
        <f>IF(DATOS!$I19436="","",IFERROR(VLOOKUP(DATOS!$I19436,CONFIG_ASIGNATURAS!$B$2:$J$91,9,FALSE()),""))</f>
      </c>
    </row>
    <row r="19437">
      <c r="F19437">
        <f>IF(DATOS!$A19437="","",DATOS!$A19437&amp;"|"&amp;DATOS!$D19437&amp;"|"&amp;DATOS!$E19437&amp;"|"&amp;DATOS!$I19437)</f>
      </c>
      <c r="G19437">
        <f>IF(DATOS!$A19437="",0,IF(CONFIG_METADATA!$B$4&lt;&gt;"OR+EX",--(DATOS!$G19437=CONFIG_METADATA!$B$4),IF(DATOS!$G19437="EX",1,IF(DATOS!$G19437="OR",--(COUNTIFS(nNIA,DATOS!$A19437,nCURSO,DATOS!$D19437,nESPEC,DATOS!$E19437,nASIG,DATOS!$I19437,nEVAL,"EX")=0),0))))</f>
      </c>
      <c r="H19437">
        <f>IF(DATOS!$G19437&lt;&gt;"EX",0,--(COUNTIFS(nNIA,DATOS!$A19437,nCURSO,DATOS!$D19437,nESPEC,DATOS!$E19437,nASIG,DATOS!$I19437,nEVAL,"OR")=0))</f>
      </c>
      <c r="I19437">
        <f>IF(DATOS!$I19437="","",IFERROR(VLOOKUP(DATOS!$I19437,CONFIG_ASIGNATURAS!$B$2:$J$91,9,FALSE()),""))</f>
      </c>
    </row>
    <row r="19438">
      <c r="F19438">
        <f>IF(DATOS!$A19438="","",DATOS!$A19438&amp;"|"&amp;DATOS!$D19438&amp;"|"&amp;DATOS!$E19438&amp;"|"&amp;DATOS!$I19438)</f>
      </c>
      <c r="G19438">
        <f>IF(DATOS!$A19438="",0,IF(CONFIG_METADATA!$B$4&lt;&gt;"OR+EX",--(DATOS!$G19438=CONFIG_METADATA!$B$4),IF(DATOS!$G19438="EX",1,IF(DATOS!$G19438="OR",--(COUNTIFS(nNIA,DATOS!$A19438,nCURSO,DATOS!$D19438,nESPEC,DATOS!$E19438,nASIG,DATOS!$I19438,nEVAL,"EX")=0),0))))</f>
      </c>
      <c r="H19438">
        <f>IF(DATOS!$G19438&lt;&gt;"EX",0,--(COUNTIFS(nNIA,DATOS!$A19438,nCURSO,DATOS!$D19438,nESPEC,DATOS!$E19438,nASIG,DATOS!$I19438,nEVAL,"OR")=0))</f>
      </c>
      <c r="I19438">
        <f>IF(DATOS!$I19438="","",IFERROR(VLOOKUP(DATOS!$I19438,CONFIG_ASIGNATURAS!$B$2:$J$91,9,FALSE()),""))</f>
      </c>
    </row>
    <row r="19439">
      <c r="F19439">
        <f>IF(DATOS!$A19439="","",DATOS!$A19439&amp;"|"&amp;DATOS!$D19439&amp;"|"&amp;DATOS!$E19439&amp;"|"&amp;DATOS!$I19439)</f>
      </c>
      <c r="G19439">
        <f>IF(DATOS!$A19439="",0,IF(CONFIG_METADATA!$B$4&lt;&gt;"OR+EX",--(DATOS!$G19439=CONFIG_METADATA!$B$4),IF(DATOS!$G19439="EX",1,IF(DATOS!$G19439="OR",--(COUNTIFS(nNIA,DATOS!$A19439,nCURSO,DATOS!$D19439,nESPEC,DATOS!$E19439,nASIG,DATOS!$I19439,nEVAL,"EX")=0),0))))</f>
      </c>
      <c r="H19439">
        <f>IF(DATOS!$G19439&lt;&gt;"EX",0,--(COUNTIFS(nNIA,DATOS!$A19439,nCURSO,DATOS!$D19439,nESPEC,DATOS!$E19439,nASIG,DATOS!$I19439,nEVAL,"OR")=0))</f>
      </c>
      <c r="I19439">
        <f>IF(DATOS!$I19439="","",IFERROR(VLOOKUP(DATOS!$I19439,CONFIG_ASIGNATURAS!$B$2:$J$91,9,FALSE()),""))</f>
      </c>
    </row>
    <row r="19440">
      <c r="F19440">
        <f>IF(DATOS!$A19440="","",DATOS!$A19440&amp;"|"&amp;DATOS!$D19440&amp;"|"&amp;DATOS!$E19440&amp;"|"&amp;DATOS!$I19440)</f>
      </c>
      <c r="G19440">
        <f>IF(DATOS!$A19440="",0,IF(CONFIG_METADATA!$B$4&lt;&gt;"OR+EX",--(DATOS!$G19440=CONFIG_METADATA!$B$4),IF(DATOS!$G19440="EX",1,IF(DATOS!$G19440="OR",--(COUNTIFS(nNIA,DATOS!$A19440,nCURSO,DATOS!$D19440,nESPEC,DATOS!$E19440,nASIG,DATOS!$I19440,nEVAL,"EX")=0),0))))</f>
      </c>
      <c r="H19440">
        <f>IF(DATOS!$G19440&lt;&gt;"EX",0,--(COUNTIFS(nNIA,DATOS!$A19440,nCURSO,DATOS!$D19440,nESPEC,DATOS!$E19440,nASIG,DATOS!$I19440,nEVAL,"OR")=0))</f>
      </c>
      <c r="I19440">
        <f>IF(DATOS!$I19440="","",IFERROR(VLOOKUP(DATOS!$I19440,CONFIG_ASIGNATURAS!$B$2:$J$91,9,FALSE()),""))</f>
      </c>
    </row>
    <row r="19441">
      <c r="F19441">
        <f>IF(DATOS!$A19441="","",DATOS!$A19441&amp;"|"&amp;DATOS!$D19441&amp;"|"&amp;DATOS!$E19441&amp;"|"&amp;DATOS!$I19441)</f>
      </c>
      <c r="G19441">
        <f>IF(DATOS!$A19441="",0,IF(CONFIG_METADATA!$B$4&lt;&gt;"OR+EX",--(DATOS!$G19441=CONFIG_METADATA!$B$4),IF(DATOS!$G19441="EX",1,IF(DATOS!$G19441="OR",--(COUNTIFS(nNIA,DATOS!$A19441,nCURSO,DATOS!$D19441,nESPEC,DATOS!$E19441,nASIG,DATOS!$I19441,nEVAL,"EX")=0),0))))</f>
      </c>
      <c r="H19441">
        <f>IF(DATOS!$G19441&lt;&gt;"EX",0,--(COUNTIFS(nNIA,DATOS!$A19441,nCURSO,DATOS!$D19441,nESPEC,DATOS!$E19441,nASIG,DATOS!$I19441,nEVAL,"OR")=0))</f>
      </c>
      <c r="I19441">
        <f>IF(DATOS!$I19441="","",IFERROR(VLOOKUP(DATOS!$I19441,CONFIG_ASIGNATURAS!$B$2:$J$91,9,FALSE()),""))</f>
      </c>
    </row>
    <row r="19442">
      <c r="F19442">
        <f>IF(DATOS!$A19442="","",DATOS!$A19442&amp;"|"&amp;DATOS!$D19442&amp;"|"&amp;DATOS!$E19442&amp;"|"&amp;DATOS!$I19442)</f>
      </c>
      <c r="G19442">
        <f>IF(DATOS!$A19442="",0,IF(CONFIG_METADATA!$B$4&lt;&gt;"OR+EX",--(DATOS!$G19442=CONFIG_METADATA!$B$4),IF(DATOS!$G19442="EX",1,IF(DATOS!$G19442="OR",--(COUNTIFS(nNIA,DATOS!$A19442,nCURSO,DATOS!$D19442,nESPEC,DATOS!$E19442,nASIG,DATOS!$I19442,nEVAL,"EX")=0),0))))</f>
      </c>
      <c r="H19442">
        <f>IF(DATOS!$G19442&lt;&gt;"EX",0,--(COUNTIFS(nNIA,DATOS!$A19442,nCURSO,DATOS!$D19442,nESPEC,DATOS!$E19442,nASIG,DATOS!$I19442,nEVAL,"OR")=0))</f>
      </c>
      <c r="I19442">
        <f>IF(DATOS!$I19442="","",IFERROR(VLOOKUP(DATOS!$I19442,CONFIG_ASIGNATURAS!$B$2:$J$91,9,FALSE()),""))</f>
      </c>
    </row>
    <row r="19443">
      <c r="F19443">
        <f>IF(DATOS!$A19443="","",DATOS!$A19443&amp;"|"&amp;DATOS!$D19443&amp;"|"&amp;DATOS!$E19443&amp;"|"&amp;DATOS!$I19443)</f>
      </c>
      <c r="G19443">
        <f>IF(DATOS!$A19443="",0,IF(CONFIG_METADATA!$B$4&lt;&gt;"OR+EX",--(DATOS!$G19443=CONFIG_METADATA!$B$4),IF(DATOS!$G19443="EX",1,IF(DATOS!$G19443="OR",--(COUNTIFS(nNIA,DATOS!$A19443,nCURSO,DATOS!$D19443,nESPEC,DATOS!$E19443,nASIG,DATOS!$I19443,nEVAL,"EX")=0),0))))</f>
      </c>
      <c r="H19443">
        <f>IF(DATOS!$G19443&lt;&gt;"EX",0,--(COUNTIFS(nNIA,DATOS!$A19443,nCURSO,DATOS!$D19443,nESPEC,DATOS!$E19443,nASIG,DATOS!$I19443,nEVAL,"OR")=0))</f>
      </c>
      <c r="I19443">
        <f>IF(DATOS!$I19443="","",IFERROR(VLOOKUP(DATOS!$I19443,CONFIG_ASIGNATURAS!$B$2:$J$91,9,FALSE()),""))</f>
      </c>
    </row>
    <row r="19444">
      <c r="F19444">
        <f>IF(DATOS!$A19444="","",DATOS!$A19444&amp;"|"&amp;DATOS!$D19444&amp;"|"&amp;DATOS!$E19444&amp;"|"&amp;DATOS!$I19444)</f>
      </c>
      <c r="G19444">
        <f>IF(DATOS!$A19444="",0,IF(CONFIG_METADATA!$B$4&lt;&gt;"OR+EX",--(DATOS!$G19444=CONFIG_METADATA!$B$4),IF(DATOS!$G19444="EX",1,IF(DATOS!$G19444="OR",--(COUNTIFS(nNIA,DATOS!$A19444,nCURSO,DATOS!$D19444,nESPEC,DATOS!$E19444,nASIG,DATOS!$I19444,nEVAL,"EX")=0),0))))</f>
      </c>
      <c r="H19444">
        <f>IF(DATOS!$G19444&lt;&gt;"EX",0,--(COUNTIFS(nNIA,DATOS!$A19444,nCURSO,DATOS!$D19444,nESPEC,DATOS!$E19444,nASIG,DATOS!$I19444,nEVAL,"OR")=0))</f>
      </c>
      <c r="I19444">
        <f>IF(DATOS!$I19444="","",IFERROR(VLOOKUP(DATOS!$I19444,CONFIG_ASIGNATURAS!$B$2:$J$91,9,FALSE()),""))</f>
      </c>
    </row>
    <row r="19445">
      <c r="F19445">
        <f>IF(DATOS!$A19445="","",DATOS!$A19445&amp;"|"&amp;DATOS!$D19445&amp;"|"&amp;DATOS!$E19445&amp;"|"&amp;DATOS!$I19445)</f>
      </c>
      <c r="G19445">
        <f>IF(DATOS!$A19445="",0,IF(CONFIG_METADATA!$B$4&lt;&gt;"OR+EX",--(DATOS!$G19445=CONFIG_METADATA!$B$4),IF(DATOS!$G19445="EX",1,IF(DATOS!$G19445="OR",--(COUNTIFS(nNIA,DATOS!$A19445,nCURSO,DATOS!$D19445,nESPEC,DATOS!$E19445,nASIG,DATOS!$I19445,nEVAL,"EX")=0),0))))</f>
      </c>
      <c r="H19445">
        <f>IF(DATOS!$G19445&lt;&gt;"EX",0,--(COUNTIFS(nNIA,DATOS!$A19445,nCURSO,DATOS!$D19445,nESPEC,DATOS!$E19445,nASIG,DATOS!$I19445,nEVAL,"OR")=0))</f>
      </c>
      <c r="I19445">
        <f>IF(DATOS!$I19445="","",IFERROR(VLOOKUP(DATOS!$I19445,CONFIG_ASIGNATURAS!$B$2:$J$91,9,FALSE()),""))</f>
      </c>
    </row>
    <row r="19446">
      <c r="F19446">
        <f>IF(DATOS!$A19446="","",DATOS!$A19446&amp;"|"&amp;DATOS!$D19446&amp;"|"&amp;DATOS!$E19446&amp;"|"&amp;DATOS!$I19446)</f>
      </c>
      <c r="G19446">
        <f>IF(DATOS!$A19446="",0,IF(CONFIG_METADATA!$B$4&lt;&gt;"OR+EX",--(DATOS!$G19446=CONFIG_METADATA!$B$4),IF(DATOS!$G19446="EX",1,IF(DATOS!$G19446="OR",--(COUNTIFS(nNIA,DATOS!$A19446,nCURSO,DATOS!$D19446,nESPEC,DATOS!$E19446,nASIG,DATOS!$I19446,nEVAL,"EX")=0),0))))</f>
      </c>
      <c r="H19446">
        <f>IF(DATOS!$G19446&lt;&gt;"EX",0,--(COUNTIFS(nNIA,DATOS!$A19446,nCURSO,DATOS!$D19446,nESPEC,DATOS!$E19446,nASIG,DATOS!$I19446,nEVAL,"OR")=0))</f>
      </c>
      <c r="I19446">
        <f>IF(DATOS!$I19446="","",IFERROR(VLOOKUP(DATOS!$I19446,CONFIG_ASIGNATURAS!$B$2:$J$91,9,FALSE()),""))</f>
      </c>
    </row>
    <row r="19447">
      <c r="F19447">
        <f>IF(DATOS!$A19447="","",DATOS!$A19447&amp;"|"&amp;DATOS!$D19447&amp;"|"&amp;DATOS!$E19447&amp;"|"&amp;DATOS!$I19447)</f>
      </c>
      <c r="G19447">
        <f>IF(DATOS!$A19447="",0,IF(CONFIG_METADATA!$B$4&lt;&gt;"OR+EX",--(DATOS!$G19447=CONFIG_METADATA!$B$4),IF(DATOS!$G19447="EX",1,IF(DATOS!$G19447="OR",--(COUNTIFS(nNIA,DATOS!$A19447,nCURSO,DATOS!$D19447,nESPEC,DATOS!$E19447,nASIG,DATOS!$I19447,nEVAL,"EX")=0),0))))</f>
      </c>
      <c r="H19447">
        <f>IF(DATOS!$G19447&lt;&gt;"EX",0,--(COUNTIFS(nNIA,DATOS!$A19447,nCURSO,DATOS!$D19447,nESPEC,DATOS!$E19447,nASIG,DATOS!$I19447,nEVAL,"OR")=0))</f>
      </c>
      <c r="I19447">
        <f>IF(DATOS!$I19447="","",IFERROR(VLOOKUP(DATOS!$I19447,CONFIG_ASIGNATURAS!$B$2:$J$91,9,FALSE()),""))</f>
      </c>
    </row>
    <row r="19448">
      <c r="F19448">
        <f>IF(DATOS!$A19448="","",DATOS!$A19448&amp;"|"&amp;DATOS!$D19448&amp;"|"&amp;DATOS!$E19448&amp;"|"&amp;DATOS!$I19448)</f>
      </c>
      <c r="G19448">
        <f>IF(DATOS!$A19448="",0,IF(CONFIG_METADATA!$B$4&lt;&gt;"OR+EX",--(DATOS!$G19448=CONFIG_METADATA!$B$4),IF(DATOS!$G19448="EX",1,IF(DATOS!$G19448="OR",--(COUNTIFS(nNIA,DATOS!$A19448,nCURSO,DATOS!$D19448,nESPEC,DATOS!$E19448,nASIG,DATOS!$I19448,nEVAL,"EX")=0),0))))</f>
      </c>
      <c r="H19448">
        <f>IF(DATOS!$G19448&lt;&gt;"EX",0,--(COUNTIFS(nNIA,DATOS!$A19448,nCURSO,DATOS!$D19448,nESPEC,DATOS!$E19448,nASIG,DATOS!$I19448,nEVAL,"OR")=0))</f>
      </c>
      <c r="I19448">
        <f>IF(DATOS!$I19448="","",IFERROR(VLOOKUP(DATOS!$I19448,CONFIG_ASIGNATURAS!$B$2:$J$91,9,FALSE()),""))</f>
      </c>
    </row>
    <row r="19449">
      <c r="F19449">
        <f>IF(DATOS!$A19449="","",DATOS!$A19449&amp;"|"&amp;DATOS!$D19449&amp;"|"&amp;DATOS!$E19449&amp;"|"&amp;DATOS!$I19449)</f>
      </c>
      <c r="G19449">
        <f>IF(DATOS!$A19449="",0,IF(CONFIG_METADATA!$B$4&lt;&gt;"OR+EX",--(DATOS!$G19449=CONFIG_METADATA!$B$4),IF(DATOS!$G19449="EX",1,IF(DATOS!$G19449="OR",--(COUNTIFS(nNIA,DATOS!$A19449,nCURSO,DATOS!$D19449,nESPEC,DATOS!$E19449,nASIG,DATOS!$I19449,nEVAL,"EX")=0),0))))</f>
      </c>
      <c r="H19449">
        <f>IF(DATOS!$G19449&lt;&gt;"EX",0,--(COUNTIFS(nNIA,DATOS!$A19449,nCURSO,DATOS!$D19449,nESPEC,DATOS!$E19449,nASIG,DATOS!$I19449,nEVAL,"OR")=0))</f>
      </c>
      <c r="I19449">
        <f>IF(DATOS!$I19449="","",IFERROR(VLOOKUP(DATOS!$I19449,CONFIG_ASIGNATURAS!$B$2:$J$91,9,FALSE()),""))</f>
      </c>
    </row>
    <row r="19450">
      <c r="F19450">
        <f>IF(DATOS!$A19450="","",DATOS!$A19450&amp;"|"&amp;DATOS!$D19450&amp;"|"&amp;DATOS!$E19450&amp;"|"&amp;DATOS!$I19450)</f>
      </c>
      <c r="G19450">
        <f>IF(DATOS!$A19450="",0,IF(CONFIG_METADATA!$B$4&lt;&gt;"OR+EX",--(DATOS!$G19450=CONFIG_METADATA!$B$4),IF(DATOS!$G19450="EX",1,IF(DATOS!$G19450="OR",--(COUNTIFS(nNIA,DATOS!$A19450,nCURSO,DATOS!$D19450,nESPEC,DATOS!$E19450,nASIG,DATOS!$I19450,nEVAL,"EX")=0),0))))</f>
      </c>
      <c r="H19450">
        <f>IF(DATOS!$G19450&lt;&gt;"EX",0,--(COUNTIFS(nNIA,DATOS!$A19450,nCURSO,DATOS!$D19450,nESPEC,DATOS!$E19450,nASIG,DATOS!$I19450,nEVAL,"OR")=0))</f>
      </c>
      <c r="I19450">
        <f>IF(DATOS!$I19450="","",IFERROR(VLOOKUP(DATOS!$I19450,CONFIG_ASIGNATURAS!$B$2:$J$91,9,FALSE()),""))</f>
      </c>
    </row>
    <row r="19451">
      <c r="F19451">
        <f>IF(DATOS!$A19451="","",DATOS!$A19451&amp;"|"&amp;DATOS!$D19451&amp;"|"&amp;DATOS!$E19451&amp;"|"&amp;DATOS!$I19451)</f>
      </c>
      <c r="G19451">
        <f>IF(DATOS!$A19451="",0,IF(CONFIG_METADATA!$B$4&lt;&gt;"OR+EX",--(DATOS!$G19451=CONFIG_METADATA!$B$4),IF(DATOS!$G19451="EX",1,IF(DATOS!$G19451="OR",--(COUNTIFS(nNIA,DATOS!$A19451,nCURSO,DATOS!$D19451,nESPEC,DATOS!$E19451,nASIG,DATOS!$I19451,nEVAL,"EX")=0),0))))</f>
      </c>
      <c r="H19451">
        <f>IF(DATOS!$G19451&lt;&gt;"EX",0,--(COUNTIFS(nNIA,DATOS!$A19451,nCURSO,DATOS!$D19451,nESPEC,DATOS!$E19451,nASIG,DATOS!$I19451,nEVAL,"OR")=0))</f>
      </c>
      <c r="I19451">
        <f>IF(DATOS!$I19451="","",IFERROR(VLOOKUP(DATOS!$I19451,CONFIG_ASIGNATURAS!$B$2:$J$91,9,FALSE()),""))</f>
      </c>
    </row>
    <row r="19452">
      <c r="F19452">
        <f>IF(DATOS!$A19452="","",DATOS!$A19452&amp;"|"&amp;DATOS!$D19452&amp;"|"&amp;DATOS!$E19452&amp;"|"&amp;DATOS!$I19452)</f>
      </c>
      <c r="G19452">
        <f>IF(DATOS!$A19452="",0,IF(CONFIG_METADATA!$B$4&lt;&gt;"OR+EX",--(DATOS!$G19452=CONFIG_METADATA!$B$4),IF(DATOS!$G19452="EX",1,IF(DATOS!$G19452="OR",--(COUNTIFS(nNIA,DATOS!$A19452,nCURSO,DATOS!$D19452,nESPEC,DATOS!$E19452,nASIG,DATOS!$I19452,nEVAL,"EX")=0),0))))</f>
      </c>
      <c r="H19452">
        <f>IF(DATOS!$G19452&lt;&gt;"EX",0,--(COUNTIFS(nNIA,DATOS!$A19452,nCURSO,DATOS!$D19452,nESPEC,DATOS!$E19452,nASIG,DATOS!$I19452,nEVAL,"OR")=0))</f>
      </c>
      <c r="I19452">
        <f>IF(DATOS!$I19452="","",IFERROR(VLOOKUP(DATOS!$I19452,CONFIG_ASIGNATURAS!$B$2:$J$91,9,FALSE()),""))</f>
      </c>
    </row>
    <row r="19453">
      <c r="F19453">
        <f>IF(DATOS!$A19453="","",DATOS!$A19453&amp;"|"&amp;DATOS!$D19453&amp;"|"&amp;DATOS!$E19453&amp;"|"&amp;DATOS!$I19453)</f>
      </c>
      <c r="G19453">
        <f>IF(DATOS!$A19453="",0,IF(CONFIG_METADATA!$B$4&lt;&gt;"OR+EX",--(DATOS!$G19453=CONFIG_METADATA!$B$4),IF(DATOS!$G19453="EX",1,IF(DATOS!$G19453="OR",--(COUNTIFS(nNIA,DATOS!$A19453,nCURSO,DATOS!$D19453,nESPEC,DATOS!$E19453,nASIG,DATOS!$I19453,nEVAL,"EX")=0),0))))</f>
      </c>
      <c r="H19453">
        <f>IF(DATOS!$G19453&lt;&gt;"EX",0,--(COUNTIFS(nNIA,DATOS!$A19453,nCURSO,DATOS!$D19453,nESPEC,DATOS!$E19453,nASIG,DATOS!$I19453,nEVAL,"OR")=0))</f>
      </c>
      <c r="I19453">
        <f>IF(DATOS!$I19453="","",IFERROR(VLOOKUP(DATOS!$I19453,CONFIG_ASIGNATURAS!$B$2:$J$91,9,FALSE()),""))</f>
      </c>
    </row>
    <row r="19454">
      <c r="F19454">
        <f>IF(DATOS!$A19454="","",DATOS!$A19454&amp;"|"&amp;DATOS!$D19454&amp;"|"&amp;DATOS!$E19454&amp;"|"&amp;DATOS!$I19454)</f>
      </c>
      <c r="G19454">
        <f>IF(DATOS!$A19454="",0,IF(CONFIG_METADATA!$B$4&lt;&gt;"OR+EX",--(DATOS!$G19454=CONFIG_METADATA!$B$4),IF(DATOS!$G19454="EX",1,IF(DATOS!$G19454="OR",--(COUNTIFS(nNIA,DATOS!$A19454,nCURSO,DATOS!$D19454,nESPEC,DATOS!$E19454,nASIG,DATOS!$I19454,nEVAL,"EX")=0),0))))</f>
      </c>
      <c r="H19454">
        <f>IF(DATOS!$G19454&lt;&gt;"EX",0,--(COUNTIFS(nNIA,DATOS!$A19454,nCURSO,DATOS!$D19454,nESPEC,DATOS!$E19454,nASIG,DATOS!$I19454,nEVAL,"OR")=0))</f>
      </c>
      <c r="I19454">
        <f>IF(DATOS!$I19454="","",IFERROR(VLOOKUP(DATOS!$I19454,CONFIG_ASIGNATURAS!$B$2:$J$91,9,FALSE()),""))</f>
      </c>
    </row>
    <row r="19455">
      <c r="F19455">
        <f>IF(DATOS!$A19455="","",DATOS!$A19455&amp;"|"&amp;DATOS!$D19455&amp;"|"&amp;DATOS!$E19455&amp;"|"&amp;DATOS!$I19455)</f>
      </c>
      <c r="G19455">
        <f>IF(DATOS!$A19455="",0,IF(CONFIG_METADATA!$B$4&lt;&gt;"OR+EX",--(DATOS!$G19455=CONFIG_METADATA!$B$4),IF(DATOS!$G19455="EX",1,IF(DATOS!$G19455="OR",--(COUNTIFS(nNIA,DATOS!$A19455,nCURSO,DATOS!$D19455,nESPEC,DATOS!$E19455,nASIG,DATOS!$I19455,nEVAL,"EX")=0),0))))</f>
      </c>
      <c r="H19455">
        <f>IF(DATOS!$G19455&lt;&gt;"EX",0,--(COUNTIFS(nNIA,DATOS!$A19455,nCURSO,DATOS!$D19455,nESPEC,DATOS!$E19455,nASIG,DATOS!$I19455,nEVAL,"OR")=0))</f>
      </c>
      <c r="I19455">
        <f>IF(DATOS!$I19455="","",IFERROR(VLOOKUP(DATOS!$I19455,CONFIG_ASIGNATURAS!$B$2:$J$91,9,FALSE()),""))</f>
      </c>
    </row>
    <row r="19456">
      <c r="F19456">
        <f>IF(DATOS!$A19456="","",DATOS!$A19456&amp;"|"&amp;DATOS!$D19456&amp;"|"&amp;DATOS!$E19456&amp;"|"&amp;DATOS!$I19456)</f>
      </c>
      <c r="G19456">
        <f>IF(DATOS!$A19456="",0,IF(CONFIG_METADATA!$B$4&lt;&gt;"OR+EX",--(DATOS!$G19456=CONFIG_METADATA!$B$4),IF(DATOS!$G19456="EX",1,IF(DATOS!$G19456="OR",--(COUNTIFS(nNIA,DATOS!$A19456,nCURSO,DATOS!$D19456,nESPEC,DATOS!$E19456,nASIG,DATOS!$I19456,nEVAL,"EX")=0),0))))</f>
      </c>
      <c r="H19456">
        <f>IF(DATOS!$G19456&lt;&gt;"EX",0,--(COUNTIFS(nNIA,DATOS!$A19456,nCURSO,DATOS!$D19456,nESPEC,DATOS!$E19456,nASIG,DATOS!$I19456,nEVAL,"OR")=0))</f>
      </c>
      <c r="I19456">
        <f>IF(DATOS!$I19456="","",IFERROR(VLOOKUP(DATOS!$I19456,CONFIG_ASIGNATURAS!$B$2:$J$91,9,FALSE()),""))</f>
      </c>
    </row>
    <row r="19457">
      <c r="F19457">
        <f>IF(DATOS!$A19457="","",DATOS!$A19457&amp;"|"&amp;DATOS!$D19457&amp;"|"&amp;DATOS!$E19457&amp;"|"&amp;DATOS!$I19457)</f>
      </c>
      <c r="G19457">
        <f>IF(DATOS!$A19457="",0,IF(CONFIG_METADATA!$B$4&lt;&gt;"OR+EX",--(DATOS!$G19457=CONFIG_METADATA!$B$4),IF(DATOS!$G19457="EX",1,IF(DATOS!$G19457="OR",--(COUNTIFS(nNIA,DATOS!$A19457,nCURSO,DATOS!$D19457,nESPEC,DATOS!$E19457,nASIG,DATOS!$I19457,nEVAL,"EX")=0),0))))</f>
      </c>
      <c r="H19457">
        <f>IF(DATOS!$G19457&lt;&gt;"EX",0,--(COUNTIFS(nNIA,DATOS!$A19457,nCURSO,DATOS!$D19457,nESPEC,DATOS!$E19457,nASIG,DATOS!$I19457,nEVAL,"OR")=0))</f>
      </c>
      <c r="I19457">
        <f>IF(DATOS!$I19457="","",IFERROR(VLOOKUP(DATOS!$I19457,CONFIG_ASIGNATURAS!$B$2:$J$91,9,FALSE()),""))</f>
      </c>
    </row>
    <row r="19458">
      <c r="F19458">
        <f>IF(DATOS!$A19458="","",DATOS!$A19458&amp;"|"&amp;DATOS!$D19458&amp;"|"&amp;DATOS!$E19458&amp;"|"&amp;DATOS!$I19458)</f>
      </c>
      <c r="G19458">
        <f>IF(DATOS!$A19458="",0,IF(CONFIG_METADATA!$B$4&lt;&gt;"OR+EX",--(DATOS!$G19458=CONFIG_METADATA!$B$4),IF(DATOS!$G19458="EX",1,IF(DATOS!$G19458="OR",--(COUNTIFS(nNIA,DATOS!$A19458,nCURSO,DATOS!$D19458,nESPEC,DATOS!$E19458,nASIG,DATOS!$I19458,nEVAL,"EX")=0),0))))</f>
      </c>
      <c r="H19458">
        <f>IF(DATOS!$G19458&lt;&gt;"EX",0,--(COUNTIFS(nNIA,DATOS!$A19458,nCURSO,DATOS!$D19458,nESPEC,DATOS!$E19458,nASIG,DATOS!$I19458,nEVAL,"OR")=0))</f>
      </c>
      <c r="I19458">
        <f>IF(DATOS!$I19458="","",IFERROR(VLOOKUP(DATOS!$I19458,CONFIG_ASIGNATURAS!$B$2:$J$91,9,FALSE()),""))</f>
      </c>
    </row>
    <row r="19459">
      <c r="F19459">
        <f>IF(DATOS!$A19459="","",DATOS!$A19459&amp;"|"&amp;DATOS!$D19459&amp;"|"&amp;DATOS!$E19459&amp;"|"&amp;DATOS!$I19459)</f>
      </c>
      <c r="G19459">
        <f>IF(DATOS!$A19459="",0,IF(CONFIG_METADATA!$B$4&lt;&gt;"OR+EX",--(DATOS!$G19459=CONFIG_METADATA!$B$4),IF(DATOS!$G19459="EX",1,IF(DATOS!$G19459="OR",--(COUNTIFS(nNIA,DATOS!$A19459,nCURSO,DATOS!$D19459,nESPEC,DATOS!$E19459,nASIG,DATOS!$I19459,nEVAL,"EX")=0),0))))</f>
      </c>
      <c r="H19459">
        <f>IF(DATOS!$G19459&lt;&gt;"EX",0,--(COUNTIFS(nNIA,DATOS!$A19459,nCURSO,DATOS!$D19459,nESPEC,DATOS!$E19459,nASIG,DATOS!$I19459,nEVAL,"OR")=0))</f>
      </c>
      <c r="I19459">
        <f>IF(DATOS!$I19459="","",IFERROR(VLOOKUP(DATOS!$I19459,CONFIG_ASIGNATURAS!$B$2:$J$91,9,FALSE()),""))</f>
      </c>
    </row>
    <row r="19460">
      <c r="F19460">
        <f>IF(DATOS!$A19460="","",DATOS!$A19460&amp;"|"&amp;DATOS!$D19460&amp;"|"&amp;DATOS!$E19460&amp;"|"&amp;DATOS!$I19460)</f>
      </c>
      <c r="G19460">
        <f>IF(DATOS!$A19460="",0,IF(CONFIG_METADATA!$B$4&lt;&gt;"OR+EX",--(DATOS!$G19460=CONFIG_METADATA!$B$4),IF(DATOS!$G19460="EX",1,IF(DATOS!$G19460="OR",--(COUNTIFS(nNIA,DATOS!$A19460,nCURSO,DATOS!$D19460,nESPEC,DATOS!$E19460,nASIG,DATOS!$I19460,nEVAL,"EX")=0),0))))</f>
      </c>
      <c r="H19460">
        <f>IF(DATOS!$G19460&lt;&gt;"EX",0,--(COUNTIFS(nNIA,DATOS!$A19460,nCURSO,DATOS!$D19460,nESPEC,DATOS!$E19460,nASIG,DATOS!$I19460,nEVAL,"OR")=0))</f>
      </c>
      <c r="I19460">
        <f>IF(DATOS!$I19460="","",IFERROR(VLOOKUP(DATOS!$I19460,CONFIG_ASIGNATURAS!$B$2:$J$91,9,FALSE()),""))</f>
      </c>
    </row>
    <row r="19461">
      <c r="F19461">
        <f>IF(DATOS!$A19461="","",DATOS!$A19461&amp;"|"&amp;DATOS!$D19461&amp;"|"&amp;DATOS!$E19461&amp;"|"&amp;DATOS!$I19461)</f>
      </c>
      <c r="G19461">
        <f>IF(DATOS!$A19461="",0,IF(CONFIG_METADATA!$B$4&lt;&gt;"OR+EX",--(DATOS!$G19461=CONFIG_METADATA!$B$4),IF(DATOS!$G19461="EX",1,IF(DATOS!$G19461="OR",--(COUNTIFS(nNIA,DATOS!$A19461,nCURSO,DATOS!$D19461,nESPEC,DATOS!$E19461,nASIG,DATOS!$I19461,nEVAL,"EX")=0),0))))</f>
      </c>
      <c r="H19461">
        <f>IF(DATOS!$G19461&lt;&gt;"EX",0,--(COUNTIFS(nNIA,DATOS!$A19461,nCURSO,DATOS!$D19461,nESPEC,DATOS!$E19461,nASIG,DATOS!$I19461,nEVAL,"OR")=0))</f>
      </c>
      <c r="I19461">
        <f>IF(DATOS!$I19461="","",IFERROR(VLOOKUP(DATOS!$I19461,CONFIG_ASIGNATURAS!$B$2:$J$91,9,FALSE()),""))</f>
      </c>
    </row>
    <row r="19462">
      <c r="F19462">
        <f>IF(DATOS!$A19462="","",DATOS!$A19462&amp;"|"&amp;DATOS!$D19462&amp;"|"&amp;DATOS!$E19462&amp;"|"&amp;DATOS!$I19462)</f>
      </c>
      <c r="G19462">
        <f>IF(DATOS!$A19462="",0,IF(CONFIG_METADATA!$B$4&lt;&gt;"OR+EX",--(DATOS!$G19462=CONFIG_METADATA!$B$4),IF(DATOS!$G19462="EX",1,IF(DATOS!$G19462="OR",--(COUNTIFS(nNIA,DATOS!$A19462,nCURSO,DATOS!$D19462,nESPEC,DATOS!$E19462,nASIG,DATOS!$I19462,nEVAL,"EX")=0),0))))</f>
      </c>
      <c r="H19462">
        <f>IF(DATOS!$G19462&lt;&gt;"EX",0,--(COUNTIFS(nNIA,DATOS!$A19462,nCURSO,DATOS!$D19462,nESPEC,DATOS!$E19462,nASIG,DATOS!$I19462,nEVAL,"OR")=0))</f>
      </c>
      <c r="I19462">
        <f>IF(DATOS!$I19462="","",IFERROR(VLOOKUP(DATOS!$I19462,CONFIG_ASIGNATURAS!$B$2:$J$91,9,FALSE()),""))</f>
      </c>
    </row>
    <row r="19463">
      <c r="F19463">
        <f>IF(DATOS!$A19463="","",DATOS!$A19463&amp;"|"&amp;DATOS!$D19463&amp;"|"&amp;DATOS!$E19463&amp;"|"&amp;DATOS!$I19463)</f>
      </c>
      <c r="G19463">
        <f>IF(DATOS!$A19463="",0,IF(CONFIG_METADATA!$B$4&lt;&gt;"OR+EX",--(DATOS!$G19463=CONFIG_METADATA!$B$4),IF(DATOS!$G19463="EX",1,IF(DATOS!$G19463="OR",--(COUNTIFS(nNIA,DATOS!$A19463,nCURSO,DATOS!$D19463,nESPEC,DATOS!$E19463,nASIG,DATOS!$I19463,nEVAL,"EX")=0),0))))</f>
      </c>
      <c r="H19463">
        <f>IF(DATOS!$G19463&lt;&gt;"EX",0,--(COUNTIFS(nNIA,DATOS!$A19463,nCURSO,DATOS!$D19463,nESPEC,DATOS!$E19463,nASIG,DATOS!$I19463,nEVAL,"OR")=0))</f>
      </c>
      <c r="I19463">
        <f>IF(DATOS!$I19463="","",IFERROR(VLOOKUP(DATOS!$I19463,CONFIG_ASIGNATURAS!$B$2:$J$91,9,FALSE()),""))</f>
      </c>
    </row>
    <row r="19464">
      <c r="F19464">
        <f>IF(DATOS!$A19464="","",DATOS!$A19464&amp;"|"&amp;DATOS!$D19464&amp;"|"&amp;DATOS!$E19464&amp;"|"&amp;DATOS!$I19464)</f>
      </c>
      <c r="G19464">
        <f>IF(DATOS!$A19464="",0,IF(CONFIG_METADATA!$B$4&lt;&gt;"OR+EX",--(DATOS!$G19464=CONFIG_METADATA!$B$4),IF(DATOS!$G19464="EX",1,IF(DATOS!$G19464="OR",--(COUNTIFS(nNIA,DATOS!$A19464,nCURSO,DATOS!$D19464,nESPEC,DATOS!$E19464,nASIG,DATOS!$I19464,nEVAL,"EX")=0),0))))</f>
      </c>
      <c r="H19464">
        <f>IF(DATOS!$G19464&lt;&gt;"EX",0,--(COUNTIFS(nNIA,DATOS!$A19464,nCURSO,DATOS!$D19464,nESPEC,DATOS!$E19464,nASIG,DATOS!$I19464,nEVAL,"OR")=0))</f>
      </c>
      <c r="I19464">
        <f>IF(DATOS!$I19464="","",IFERROR(VLOOKUP(DATOS!$I19464,CONFIG_ASIGNATURAS!$B$2:$J$91,9,FALSE()),""))</f>
      </c>
    </row>
    <row r="19465">
      <c r="F19465">
        <f>IF(DATOS!$A19465="","",DATOS!$A19465&amp;"|"&amp;DATOS!$D19465&amp;"|"&amp;DATOS!$E19465&amp;"|"&amp;DATOS!$I19465)</f>
      </c>
      <c r="G19465">
        <f>IF(DATOS!$A19465="",0,IF(CONFIG_METADATA!$B$4&lt;&gt;"OR+EX",--(DATOS!$G19465=CONFIG_METADATA!$B$4),IF(DATOS!$G19465="EX",1,IF(DATOS!$G19465="OR",--(COUNTIFS(nNIA,DATOS!$A19465,nCURSO,DATOS!$D19465,nESPEC,DATOS!$E19465,nASIG,DATOS!$I19465,nEVAL,"EX")=0),0))))</f>
      </c>
      <c r="H19465">
        <f>IF(DATOS!$G19465&lt;&gt;"EX",0,--(COUNTIFS(nNIA,DATOS!$A19465,nCURSO,DATOS!$D19465,nESPEC,DATOS!$E19465,nASIG,DATOS!$I19465,nEVAL,"OR")=0))</f>
      </c>
      <c r="I19465">
        <f>IF(DATOS!$I19465="","",IFERROR(VLOOKUP(DATOS!$I19465,CONFIG_ASIGNATURAS!$B$2:$J$91,9,FALSE()),""))</f>
      </c>
    </row>
    <row r="19466">
      <c r="F19466">
        <f>IF(DATOS!$A19466="","",DATOS!$A19466&amp;"|"&amp;DATOS!$D19466&amp;"|"&amp;DATOS!$E19466&amp;"|"&amp;DATOS!$I19466)</f>
      </c>
      <c r="G19466">
        <f>IF(DATOS!$A19466="",0,IF(CONFIG_METADATA!$B$4&lt;&gt;"OR+EX",--(DATOS!$G19466=CONFIG_METADATA!$B$4),IF(DATOS!$G19466="EX",1,IF(DATOS!$G19466="OR",--(COUNTIFS(nNIA,DATOS!$A19466,nCURSO,DATOS!$D19466,nESPEC,DATOS!$E19466,nASIG,DATOS!$I19466,nEVAL,"EX")=0),0))))</f>
      </c>
      <c r="H19466">
        <f>IF(DATOS!$G19466&lt;&gt;"EX",0,--(COUNTIFS(nNIA,DATOS!$A19466,nCURSO,DATOS!$D19466,nESPEC,DATOS!$E19466,nASIG,DATOS!$I19466,nEVAL,"OR")=0))</f>
      </c>
      <c r="I19466">
        <f>IF(DATOS!$I19466="","",IFERROR(VLOOKUP(DATOS!$I19466,CONFIG_ASIGNATURAS!$B$2:$J$91,9,FALSE()),""))</f>
      </c>
    </row>
    <row r="19467">
      <c r="F19467">
        <f>IF(DATOS!$A19467="","",DATOS!$A19467&amp;"|"&amp;DATOS!$D19467&amp;"|"&amp;DATOS!$E19467&amp;"|"&amp;DATOS!$I19467)</f>
      </c>
      <c r="G19467">
        <f>IF(DATOS!$A19467="",0,IF(CONFIG_METADATA!$B$4&lt;&gt;"OR+EX",--(DATOS!$G19467=CONFIG_METADATA!$B$4),IF(DATOS!$G19467="EX",1,IF(DATOS!$G19467="OR",--(COUNTIFS(nNIA,DATOS!$A19467,nCURSO,DATOS!$D19467,nESPEC,DATOS!$E19467,nASIG,DATOS!$I19467,nEVAL,"EX")=0),0))))</f>
      </c>
      <c r="H19467">
        <f>IF(DATOS!$G19467&lt;&gt;"EX",0,--(COUNTIFS(nNIA,DATOS!$A19467,nCURSO,DATOS!$D19467,nESPEC,DATOS!$E19467,nASIG,DATOS!$I19467,nEVAL,"OR")=0))</f>
      </c>
      <c r="I19467">
        <f>IF(DATOS!$I19467="","",IFERROR(VLOOKUP(DATOS!$I19467,CONFIG_ASIGNATURAS!$B$2:$J$91,9,FALSE()),""))</f>
      </c>
    </row>
    <row r="19468">
      <c r="F19468">
        <f>IF(DATOS!$A19468="","",DATOS!$A19468&amp;"|"&amp;DATOS!$D19468&amp;"|"&amp;DATOS!$E19468&amp;"|"&amp;DATOS!$I19468)</f>
      </c>
      <c r="G19468">
        <f>IF(DATOS!$A19468="",0,IF(CONFIG_METADATA!$B$4&lt;&gt;"OR+EX",--(DATOS!$G19468=CONFIG_METADATA!$B$4),IF(DATOS!$G19468="EX",1,IF(DATOS!$G19468="OR",--(COUNTIFS(nNIA,DATOS!$A19468,nCURSO,DATOS!$D19468,nESPEC,DATOS!$E19468,nASIG,DATOS!$I19468,nEVAL,"EX")=0),0))))</f>
      </c>
      <c r="H19468">
        <f>IF(DATOS!$G19468&lt;&gt;"EX",0,--(COUNTIFS(nNIA,DATOS!$A19468,nCURSO,DATOS!$D19468,nESPEC,DATOS!$E19468,nASIG,DATOS!$I19468,nEVAL,"OR")=0))</f>
      </c>
      <c r="I19468">
        <f>IF(DATOS!$I19468="","",IFERROR(VLOOKUP(DATOS!$I19468,CONFIG_ASIGNATURAS!$B$2:$J$91,9,FALSE()),""))</f>
      </c>
    </row>
    <row r="19469">
      <c r="F19469">
        <f>IF(DATOS!$A19469="","",DATOS!$A19469&amp;"|"&amp;DATOS!$D19469&amp;"|"&amp;DATOS!$E19469&amp;"|"&amp;DATOS!$I19469)</f>
      </c>
      <c r="G19469">
        <f>IF(DATOS!$A19469="",0,IF(CONFIG_METADATA!$B$4&lt;&gt;"OR+EX",--(DATOS!$G19469=CONFIG_METADATA!$B$4),IF(DATOS!$G19469="EX",1,IF(DATOS!$G19469="OR",--(COUNTIFS(nNIA,DATOS!$A19469,nCURSO,DATOS!$D19469,nESPEC,DATOS!$E19469,nASIG,DATOS!$I19469,nEVAL,"EX")=0),0))))</f>
      </c>
      <c r="H19469">
        <f>IF(DATOS!$G19469&lt;&gt;"EX",0,--(COUNTIFS(nNIA,DATOS!$A19469,nCURSO,DATOS!$D19469,nESPEC,DATOS!$E19469,nASIG,DATOS!$I19469,nEVAL,"OR")=0))</f>
      </c>
      <c r="I19469">
        <f>IF(DATOS!$I19469="","",IFERROR(VLOOKUP(DATOS!$I19469,CONFIG_ASIGNATURAS!$B$2:$J$91,9,FALSE()),""))</f>
      </c>
    </row>
    <row r="19470">
      <c r="F19470">
        <f>IF(DATOS!$A19470="","",DATOS!$A19470&amp;"|"&amp;DATOS!$D19470&amp;"|"&amp;DATOS!$E19470&amp;"|"&amp;DATOS!$I19470)</f>
      </c>
      <c r="G19470">
        <f>IF(DATOS!$A19470="",0,IF(CONFIG_METADATA!$B$4&lt;&gt;"OR+EX",--(DATOS!$G19470=CONFIG_METADATA!$B$4),IF(DATOS!$G19470="EX",1,IF(DATOS!$G19470="OR",--(COUNTIFS(nNIA,DATOS!$A19470,nCURSO,DATOS!$D19470,nESPEC,DATOS!$E19470,nASIG,DATOS!$I19470,nEVAL,"EX")=0),0))))</f>
      </c>
      <c r="H19470">
        <f>IF(DATOS!$G19470&lt;&gt;"EX",0,--(COUNTIFS(nNIA,DATOS!$A19470,nCURSO,DATOS!$D19470,nESPEC,DATOS!$E19470,nASIG,DATOS!$I19470,nEVAL,"OR")=0))</f>
      </c>
      <c r="I19470">
        <f>IF(DATOS!$I19470="","",IFERROR(VLOOKUP(DATOS!$I19470,CONFIG_ASIGNATURAS!$B$2:$J$91,9,FALSE()),""))</f>
      </c>
    </row>
    <row r="19471">
      <c r="F19471">
        <f>IF(DATOS!$A19471="","",DATOS!$A19471&amp;"|"&amp;DATOS!$D19471&amp;"|"&amp;DATOS!$E19471&amp;"|"&amp;DATOS!$I19471)</f>
      </c>
      <c r="G19471">
        <f>IF(DATOS!$A19471="",0,IF(CONFIG_METADATA!$B$4&lt;&gt;"OR+EX",--(DATOS!$G19471=CONFIG_METADATA!$B$4),IF(DATOS!$G19471="EX",1,IF(DATOS!$G19471="OR",--(COUNTIFS(nNIA,DATOS!$A19471,nCURSO,DATOS!$D19471,nESPEC,DATOS!$E19471,nASIG,DATOS!$I19471,nEVAL,"EX")=0),0))))</f>
      </c>
      <c r="H19471">
        <f>IF(DATOS!$G19471&lt;&gt;"EX",0,--(COUNTIFS(nNIA,DATOS!$A19471,nCURSO,DATOS!$D19471,nESPEC,DATOS!$E19471,nASIG,DATOS!$I19471,nEVAL,"OR")=0))</f>
      </c>
      <c r="I19471">
        <f>IF(DATOS!$I19471="","",IFERROR(VLOOKUP(DATOS!$I19471,CONFIG_ASIGNATURAS!$B$2:$J$91,9,FALSE()),""))</f>
      </c>
    </row>
    <row r="19472">
      <c r="F19472">
        <f>IF(DATOS!$A19472="","",DATOS!$A19472&amp;"|"&amp;DATOS!$D19472&amp;"|"&amp;DATOS!$E19472&amp;"|"&amp;DATOS!$I19472)</f>
      </c>
      <c r="G19472">
        <f>IF(DATOS!$A19472="",0,IF(CONFIG_METADATA!$B$4&lt;&gt;"OR+EX",--(DATOS!$G19472=CONFIG_METADATA!$B$4),IF(DATOS!$G19472="EX",1,IF(DATOS!$G19472="OR",--(COUNTIFS(nNIA,DATOS!$A19472,nCURSO,DATOS!$D19472,nESPEC,DATOS!$E19472,nASIG,DATOS!$I19472,nEVAL,"EX")=0),0))))</f>
      </c>
      <c r="H19472">
        <f>IF(DATOS!$G19472&lt;&gt;"EX",0,--(COUNTIFS(nNIA,DATOS!$A19472,nCURSO,DATOS!$D19472,nESPEC,DATOS!$E19472,nASIG,DATOS!$I19472,nEVAL,"OR")=0))</f>
      </c>
      <c r="I19472">
        <f>IF(DATOS!$I19472="","",IFERROR(VLOOKUP(DATOS!$I19472,CONFIG_ASIGNATURAS!$B$2:$J$91,9,FALSE()),""))</f>
      </c>
    </row>
    <row r="19473">
      <c r="F19473">
        <f>IF(DATOS!$A19473="","",DATOS!$A19473&amp;"|"&amp;DATOS!$D19473&amp;"|"&amp;DATOS!$E19473&amp;"|"&amp;DATOS!$I19473)</f>
      </c>
      <c r="G19473">
        <f>IF(DATOS!$A19473="",0,IF(CONFIG_METADATA!$B$4&lt;&gt;"OR+EX",--(DATOS!$G19473=CONFIG_METADATA!$B$4),IF(DATOS!$G19473="EX",1,IF(DATOS!$G19473="OR",--(COUNTIFS(nNIA,DATOS!$A19473,nCURSO,DATOS!$D19473,nESPEC,DATOS!$E19473,nASIG,DATOS!$I19473,nEVAL,"EX")=0),0))))</f>
      </c>
      <c r="H19473">
        <f>IF(DATOS!$G19473&lt;&gt;"EX",0,--(COUNTIFS(nNIA,DATOS!$A19473,nCURSO,DATOS!$D19473,nESPEC,DATOS!$E19473,nASIG,DATOS!$I19473,nEVAL,"OR")=0))</f>
      </c>
      <c r="I19473">
        <f>IF(DATOS!$I19473="","",IFERROR(VLOOKUP(DATOS!$I19473,CONFIG_ASIGNATURAS!$B$2:$J$91,9,FALSE()),""))</f>
      </c>
    </row>
    <row r="19474">
      <c r="F19474">
        <f>IF(DATOS!$A19474="","",DATOS!$A19474&amp;"|"&amp;DATOS!$D19474&amp;"|"&amp;DATOS!$E19474&amp;"|"&amp;DATOS!$I19474)</f>
      </c>
      <c r="G19474">
        <f>IF(DATOS!$A19474="",0,IF(CONFIG_METADATA!$B$4&lt;&gt;"OR+EX",--(DATOS!$G19474=CONFIG_METADATA!$B$4),IF(DATOS!$G19474="EX",1,IF(DATOS!$G19474="OR",--(COUNTIFS(nNIA,DATOS!$A19474,nCURSO,DATOS!$D19474,nESPEC,DATOS!$E19474,nASIG,DATOS!$I19474,nEVAL,"EX")=0),0))))</f>
      </c>
      <c r="H19474">
        <f>IF(DATOS!$G19474&lt;&gt;"EX",0,--(COUNTIFS(nNIA,DATOS!$A19474,nCURSO,DATOS!$D19474,nESPEC,DATOS!$E19474,nASIG,DATOS!$I19474,nEVAL,"OR")=0))</f>
      </c>
      <c r="I19474">
        <f>IF(DATOS!$I19474="","",IFERROR(VLOOKUP(DATOS!$I19474,CONFIG_ASIGNATURAS!$B$2:$J$91,9,FALSE()),""))</f>
      </c>
    </row>
    <row r="19475">
      <c r="F19475">
        <f>IF(DATOS!$A19475="","",DATOS!$A19475&amp;"|"&amp;DATOS!$D19475&amp;"|"&amp;DATOS!$E19475&amp;"|"&amp;DATOS!$I19475)</f>
      </c>
      <c r="G19475">
        <f>IF(DATOS!$A19475="",0,IF(CONFIG_METADATA!$B$4&lt;&gt;"OR+EX",--(DATOS!$G19475=CONFIG_METADATA!$B$4),IF(DATOS!$G19475="EX",1,IF(DATOS!$G19475="OR",--(COUNTIFS(nNIA,DATOS!$A19475,nCURSO,DATOS!$D19475,nESPEC,DATOS!$E19475,nASIG,DATOS!$I19475,nEVAL,"EX")=0),0))))</f>
      </c>
      <c r="H19475">
        <f>IF(DATOS!$G19475&lt;&gt;"EX",0,--(COUNTIFS(nNIA,DATOS!$A19475,nCURSO,DATOS!$D19475,nESPEC,DATOS!$E19475,nASIG,DATOS!$I19475,nEVAL,"OR")=0))</f>
      </c>
      <c r="I19475">
        <f>IF(DATOS!$I19475="","",IFERROR(VLOOKUP(DATOS!$I19475,CONFIG_ASIGNATURAS!$B$2:$J$91,9,FALSE()),""))</f>
      </c>
    </row>
    <row r="19476">
      <c r="F19476">
        <f>IF(DATOS!$A19476="","",DATOS!$A19476&amp;"|"&amp;DATOS!$D19476&amp;"|"&amp;DATOS!$E19476&amp;"|"&amp;DATOS!$I19476)</f>
      </c>
      <c r="G19476">
        <f>IF(DATOS!$A19476="",0,IF(CONFIG_METADATA!$B$4&lt;&gt;"OR+EX",--(DATOS!$G19476=CONFIG_METADATA!$B$4),IF(DATOS!$G19476="EX",1,IF(DATOS!$G19476="OR",--(COUNTIFS(nNIA,DATOS!$A19476,nCURSO,DATOS!$D19476,nESPEC,DATOS!$E19476,nASIG,DATOS!$I19476,nEVAL,"EX")=0),0))))</f>
      </c>
      <c r="H19476">
        <f>IF(DATOS!$G19476&lt;&gt;"EX",0,--(COUNTIFS(nNIA,DATOS!$A19476,nCURSO,DATOS!$D19476,nESPEC,DATOS!$E19476,nASIG,DATOS!$I19476,nEVAL,"OR")=0))</f>
      </c>
      <c r="I19476">
        <f>IF(DATOS!$I19476="","",IFERROR(VLOOKUP(DATOS!$I19476,CONFIG_ASIGNATURAS!$B$2:$J$91,9,FALSE()),""))</f>
      </c>
    </row>
    <row r="19477">
      <c r="F19477">
        <f>IF(DATOS!$A19477="","",DATOS!$A19477&amp;"|"&amp;DATOS!$D19477&amp;"|"&amp;DATOS!$E19477&amp;"|"&amp;DATOS!$I19477)</f>
      </c>
      <c r="G19477">
        <f>IF(DATOS!$A19477="",0,IF(CONFIG_METADATA!$B$4&lt;&gt;"OR+EX",--(DATOS!$G19477=CONFIG_METADATA!$B$4),IF(DATOS!$G19477="EX",1,IF(DATOS!$G19477="OR",--(COUNTIFS(nNIA,DATOS!$A19477,nCURSO,DATOS!$D19477,nESPEC,DATOS!$E19477,nASIG,DATOS!$I19477,nEVAL,"EX")=0),0))))</f>
      </c>
      <c r="H19477">
        <f>IF(DATOS!$G19477&lt;&gt;"EX",0,--(COUNTIFS(nNIA,DATOS!$A19477,nCURSO,DATOS!$D19477,nESPEC,DATOS!$E19477,nASIG,DATOS!$I19477,nEVAL,"OR")=0))</f>
      </c>
      <c r="I19477">
        <f>IF(DATOS!$I19477="","",IFERROR(VLOOKUP(DATOS!$I19477,CONFIG_ASIGNATURAS!$B$2:$J$91,9,FALSE()),""))</f>
      </c>
    </row>
    <row r="19478">
      <c r="F19478">
        <f>IF(DATOS!$A19478="","",DATOS!$A19478&amp;"|"&amp;DATOS!$D19478&amp;"|"&amp;DATOS!$E19478&amp;"|"&amp;DATOS!$I19478)</f>
      </c>
      <c r="G19478">
        <f>IF(DATOS!$A19478="",0,IF(CONFIG_METADATA!$B$4&lt;&gt;"OR+EX",--(DATOS!$G19478=CONFIG_METADATA!$B$4),IF(DATOS!$G19478="EX",1,IF(DATOS!$G19478="OR",--(COUNTIFS(nNIA,DATOS!$A19478,nCURSO,DATOS!$D19478,nESPEC,DATOS!$E19478,nASIG,DATOS!$I19478,nEVAL,"EX")=0),0))))</f>
      </c>
      <c r="H19478">
        <f>IF(DATOS!$G19478&lt;&gt;"EX",0,--(COUNTIFS(nNIA,DATOS!$A19478,nCURSO,DATOS!$D19478,nESPEC,DATOS!$E19478,nASIG,DATOS!$I19478,nEVAL,"OR")=0))</f>
      </c>
      <c r="I19478">
        <f>IF(DATOS!$I19478="","",IFERROR(VLOOKUP(DATOS!$I19478,CONFIG_ASIGNATURAS!$B$2:$J$91,9,FALSE()),""))</f>
      </c>
    </row>
    <row r="19479">
      <c r="F19479">
        <f>IF(DATOS!$A19479="","",DATOS!$A19479&amp;"|"&amp;DATOS!$D19479&amp;"|"&amp;DATOS!$E19479&amp;"|"&amp;DATOS!$I19479)</f>
      </c>
      <c r="G19479">
        <f>IF(DATOS!$A19479="",0,IF(CONFIG_METADATA!$B$4&lt;&gt;"OR+EX",--(DATOS!$G19479=CONFIG_METADATA!$B$4),IF(DATOS!$G19479="EX",1,IF(DATOS!$G19479="OR",--(COUNTIFS(nNIA,DATOS!$A19479,nCURSO,DATOS!$D19479,nESPEC,DATOS!$E19479,nASIG,DATOS!$I19479,nEVAL,"EX")=0),0))))</f>
      </c>
      <c r="H19479">
        <f>IF(DATOS!$G19479&lt;&gt;"EX",0,--(COUNTIFS(nNIA,DATOS!$A19479,nCURSO,DATOS!$D19479,nESPEC,DATOS!$E19479,nASIG,DATOS!$I19479,nEVAL,"OR")=0))</f>
      </c>
      <c r="I19479">
        <f>IF(DATOS!$I19479="","",IFERROR(VLOOKUP(DATOS!$I19479,CONFIG_ASIGNATURAS!$B$2:$J$91,9,FALSE()),""))</f>
      </c>
    </row>
    <row r="19480">
      <c r="F19480">
        <f>IF(DATOS!$A19480="","",DATOS!$A19480&amp;"|"&amp;DATOS!$D19480&amp;"|"&amp;DATOS!$E19480&amp;"|"&amp;DATOS!$I19480)</f>
      </c>
      <c r="G19480">
        <f>IF(DATOS!$A19480="",0,IF(CONFIG_METADATA!$B$4&lt;&gt;"OR+EX",--(DATOS!$G19480=CONFIG_METADATA!$B$4),IF(DATOS!$G19480="EX",1,IF(DATOS!$G19480="OR",--(COUNTIFS(nNIA,DATOS!$A19480,nCURSO,DATOS!$D19480,nESPEC,DATOS!$E19480,nASIG,DATOS!$I19480,nEVAL,"EX")=0),0))))</f>
      </c>
      <c r="H19480">
        <f>IF(DATOS!$G19480&lt;&gt;"EX",0,--(COUNTIFS(nNIA,DATOS!$A19480,nCURSO,DATOS!$D19480,nESPEC,DATOS!$E19480,nASIG,DATOS!$I19480,nEVAL,"OR")=0))</f>
      </c>
      <c r="I19480">
        <f>IF(DATOS!$I19480="","",IFERROR(VLOOKUP(DATOS!$I19480,CONFIG_ASIGNATURAS!$B$2:$J$91,9,FALSE()),""))</f>
      </c>
    </row>
    <row r="19481">
      <c r="F19481">
        <f>IF(DATOS!$A19481="","",DATOS!$A19481&amp;"|"&amp;DATOS!$D19481&amp;"|"&amp;DATOS!$E19481&amp;"|"&amp;DATOS!$I19481)</f>
      </c>
      <c r="G19481">
        <f>IF(DATOS!$A19481="",0,IF(CONFIG_METADATA!$B$4&lt;&gt;"OR+EX",--(DATOS!$G19481=CONFIG_METADATA!$B$4),IF(DATOS!$G19481="EX",1,IF(DATOS!$G19481="OR",--(COUNTIFS(nNIA,DATOS!$A19481,nCURSO,DATOS!$D19481,nESPEC,DATOS!$E19481,nASIG,DATOS!$I19481,nEVAL,"EX")=0),0))))</f>
      </c>
      <c r="H19481">
        <f>IF(DATOS!$G19481&lt;&gt;"EX",0,--(COUNTIFS(nNIA,DATOS!$A19481,nCURSO,DATOS!$D19481,nESPEC,DATOS!$E19481,nASIG,DATOS!$I19481,nEVAL,"OR")=0))</f>
      </c>
      <c r="I19481">
        <f>IF(DATOS!$I19481="","",IFERROR(VLOOKUP(DATOS!$I19481,CONFIG_ASIGNATURAS!$B$2:$J$91,9,FALSE()),""))</f>
      </c>
    </row>
    <row r="19482">
      <c r="F19482">
        <f>IF(DATOS!$A19482="","",DATOS!$A19482&amp;"|"&amp;DATOS!$D19482&amp;"|"&amp;DATOS!$E19482&amp;"|"&amp;DATOS!$I19482)</f>
      </c>
      <c r="G19482">
        <f>IF(DATOS!$A19482="",0,IF(CONFIG_METADATA!$B$4&lt;&gt;"OR+EX",--(DATOS!$G19482=CONFIG_METADATA!$B$4),IF(DATOS!$G19482="EX",1,IF(DATOS!$G19482="OR",--(COUNTIFS(nNIA,DATOS!$A19482,nCURSO,DATOS!$D19482,nESPEC,DATOS!$E19482,nASIG,DATOS!$I19482,nEVAL,"EX")=0),0))))</f>
      </c>
      <c r="H19482">
        <f>IF(DATOS!$G19482&lt;&gt;"EX",0,--(COUNTIFS(nNIA,DATOS!$A19482,nCURSO,DATOS!$D19482,nESPEC,DATOS!$E19482,nASIG,DATOS!$I19482,nEVAL,"OR")=0))</f>
      </c>
      <c r="I19482">
        <f>IF(DATOS!$I19482="","",IFERROR(VLOOKUP(DATOS!$I19482,CONFIG_ASIGNATURAS!$B$2:$J$91,9,FALSE()),""))</f>
      </c>
    </row>
    <row r="19483">
      <c r="F19483">
        <f>IF(DATOS!$A19483="","",DATOS!$A19483&amp;"|"&amp;DATOS!$D19483&amp;"|"&amp;DATOS!$E19483&amp;"|"&amp;DATOS!$I19483)</f>
      </c>
      <c r="G19483">
        <f>IF(DATOS!$A19483="",0,IF(CONFIG_METADATA!$B$4&lt;&gt;"OR+EX",--(DATOS!$G19483=CONFIG_METADATA!$B$4),IF(DATOS!$G19483="EX",1,IF(DATOS!$G19483="OR",--(COUNTIFS(nNIA,DATOS!$A19483,nCURSO,DATOS!$D19483,nESPEC,DATOS!$E19483,nASIG,DATOS!$I19483,nEVAL,"EX")=0),0))))</f>
      </c>
      <c r="H19483">
        <f>IF(DATOS!$G19483&lt;&gt;"EX",0,--(COUNTIFS(nNIA,DATOS!$A19483,nCURSO,DATOS!$D19483,nESPEC,DATOS!$E19483,nASIG,DATOS!$I19483,nEVAL,"OR")=0))</f>
      </c>
      <c r="I19483">
        <f>IF(DATOS!$I19483="","",IFERROR(VLOOKUP(DATOS!$I19483,CONFIG_ASIGNATURAS!$B$2:$J$91,9,FALSE()),""))</f>
      </c>
    </row>
    <row r="19484">
      <c r="F19484">
        <f>IF(DATOS!$A19484="","",DATOS!$A19484&amp;"|"&amp;DATOS!$D19484&amp;"|"&amp;DATOS!$E19484&amp;"|"&amp;DATOS!$I19484)</f>
      </c>
      <c r="G19484">
        <f>IF(DATOS!$A19484="",0,IF(CONFIG_METADATA!$B$4&lt;&gt;"OR+EX",--(DATOS!$G19484=CONFIG_METADATA!$B$4),IF(DATOS!$G19484="EX",1,IF(DATOS!$G19484="OR",--(COUNTIFS(nNIA,DATOS!$A19484,nCURSO,DATOS!$D19484,nESPEC,DATOS!$E19484,nASIG,DATOS!$I19484,nEVAL,"EX")=0),0))))</f>
      </c>
      <c r="H19484">
        <f>IF(DATOS!$G19484&lt;&gt;"EX",0,--(COUNTIFS(nNIA,DATOS!$A19484,nCURSO,DATOS!$D19484,nESPEC,DATOS!$E19484,nASIG,DATOS!$I19484,nEVAL,"OR")=0))</f>
      </c>
      <c r="I19484">
        <f>IF(DATOS!$I19484="","",IFERROR(VLOOKUP(DATOS!$I19484,CONFIG_ASIGNATURAS!$B$2:$J$91,9,FALSE()),""))</f>
      </c>
    </row>
    <row r="19485">
      <c r="F19485">
        <f>IF(DATOS!$A19485="","",DATOS!$A19485&amp;"|"&amp;DATOS!$D19485&amp;"|"&amp;DATOS!$E19485&amp;"|"&amp;DATOS!$I19485)</f>
      </c>
      <c r="G19485">
        <f>IF(DATOS!$A19485="",0,IF(CONFIG_METADATA!$B$4&lt;&gt;"OR+EX",--(DATOS!$G19485=CONFIG_METADATA!$B$4),IF(DATOS!$G19485="EX",1,IF(DATOS!$G19485="OR",--(COUNTIFS(nNIA,DATOS!$A19485,nCURSO,DATOS!$D19485,nESPEC,DATOS!$E19485,nASIG,DATOS!$I19485,nEVAL,"EX")=0),0))))</f>
      </c>
      <c r="H19485">
        <f>IF(DATOS!$G19485&lt;&gt;"EX",0,--(COUNTIFS(nNIA,DATOS!$A19485,nCURSO,DATOS!$D19485,nESPEC,DATOS!$E19485,nASIG,DATOS!$I19485,nEVAL,"OR")=0))</f>
      </c>
      <c r="I19485">
        <f>IF(DATOS!$I19485="","",IFERROR(VLOOKUP(DATOS!$I19485,CONFIG_ASIGNATURAS!$B$2:$J$91,9,FALSE()),""))</f>
      </c>
    </row>
    <row r="19486">
      <c r="F19486">
        <f>IF(DATOS!$A19486="","",DATOS!$A19486&amp;"|"&amp;DATOS!$D19486&amp;"|"&amp;DATOS!$E19486&amp;"|"&amp;DATOS!$I19486)</f>
      </c>
      <c r="G19486">
        <f>IF(DATOS!$A19486="",0,IF(CONFIG_METADATA!$B$4&lt;&gt;"OR+EX",--(DATOS!$G19486=CONFIG_METADATA!$B$4),IF(DATOS!$G19486="EX",1,IF(DATOS!$G19486="OR",--(COUNTIFS(nNIA,DATOS!$A19486,nCURSO,DATOS!$D19486,nESPEC,DATOS!$E19486,nASIG,DATOS!$I19486,nEVAL,"EX")=0),0))))</f>
      </c>
      <c r="H19486">
        <f>IF(DATOS!$G19486&lt;&gt;"EX",0,--(COUNTIFS(nNIA,DATOS!$A19486,nCURSO,DATOS!$D19486,nESPEC,DATOS!$E19486,nASIG,DATOS!$I19486,nEVAL,"OR")=0))</f>
      </c>
      <c r="I19486">
        <f>IF(DATOS!$I19486="","",IFERROR(VLOOKUP(DATOS!$I19486,CONFIG_ASIGNATURAS!$B$2:$J$91,9,FALSE()),""))</f>
      </c>
    </row>
    <row r="19487">
      <c r="F19487">
        <f>IF(DATOS!$A19487="","",DATOS!$A19487&amp;"|"&amp;DATOS!$D19487&amp;"|"&amp;DATOS!$E19487&amp;"|"&amp;DATOS!$I19487)</f>
      </c>
      <c r="G19487">
        <f>IF(DATOS!$A19487="",0,IF(CONFIG_METADATA!$B$4&lt;&gt;"OR+EX",--(DATOS!$G19487=CONFIG_METADATA!$B$4),IF(DATOS!$G19487="EX",1,IF(DATOS!$G19487="OR",--(COUNTIFS(nNIA,DATOS!$A19487,nCURSO,DATOS!$D19487,nESPEC,DATOS!$E19487,nASIG,DATOS!$I19487,nEVAL,"EX")=0),0))))</f>
      </c>
      <c r="H19487">
        <f>IF(DATOS!$G19487&lt;&gt;"EX",0,--(COUNTIFS(nNIA,DATOS!$A19487,nCURSO,DATOS!$D19487,nESPEC,DATOS!$E19487,nASIG,DATOS!$I19487,nEVAL,"OR")=0))</f>
      </c>
      <c r="I19487">
        <f>IF(DATOS!$I19487="","",IFERROR(VLOOKUP(DATOS!$I19487,CONFIG_ASIGNATURAS!$B$2:$J$91,9,FALSE()),""))</f>
      </c>
    </row>
    <row r="19488">
      <c r="F19488">
        <f>IF(DATOS!$A19488="","",DATOS!$A19488&amp;"|"&amp;DATOS!$D19488&amp;"|"&amp;DATOS!$E19488&amp;"|"&amp;DATOS!$I19488)</f>
      </c>
      <c r="G19488">
        <f>IF(DATOS!$A19488="",0,IF(CONFIG_METADATA!$B$4&lt;&gt;"OR+EX",--(DATOS!$G19488=CONFIG_METADATA!$B$4),IF(DATOS!$G19488="EX",1,IF(DATOS!$G19488="OR",--(COUNTIFS(nNIA,DATOS!$A19488,nCURSO,DATOS!$D19488,nESPEC,DATOS!$E19488,nASIG,DATOS!$I19488,nEVAL,"EX")=0),0))))</f>
      </c>
      <c r="H19488">
        <f>IF(DATOS!$G19488&lt;&gt;"EX",0,--(COUNTIFS(nNIA,DATOS!$A19488,nCURSO,DATOS!$D19488,nESPEC,DATOS!$E19488,nASIG,DATOS!$I19488,nEVAL,"OR")=0))</f>
      </c>
      <c r="I19488">
        <f>IF(DATOS!$I19488="","",IFERROR(VLOOKUP(DATOS!$I19488,CONFIG_ASIGNATURAS!$B$2:$J$91,9,FALSE()),""))</f>
      </c>
    </row>
    <row r="19489">
      <c r="F19489">
        <f>IF(DATOS!$A19489="","",DATOS!$A19489&amp;"|"&amp;DATOS!$D19489&amp;"|"&amp;DATOS!$E19489&amp;"|"&amp;DATOS!$I19489)</f>
      </c>
      <c r="G19489">
        <f>IF(DATOS!$A19489="",0,IF(CONFIG_METADATA!$B$4&lt;&gt;"OR+EX",--(DATOS!$G19489=CONFIG_METADATA!$B$4),IF(DATOS!$G19489="EX",1,IF(DATOS!$G19489="OR",--(COUNTIFS(nNIA,DATOS!$A19489,nCURSO,DATOS!$D19489,nESPEC,DATOS!$E19489,nASIG,DATOS!$I19489,nEVAL,"EX")=0),0))))</f>
      </c>
      <c r="H19489">
        <f>IF(DATOS!$G19489&lt;&gt;"EX",0,--(COUNTIFS(nNIA,DATOS!$A19489,nCURSO,DATOS!$D19489,nESPEC,DATOS!$E19489,nASIG,DATOS!$I19489,nEVAL,"OR")=0))</f>
      </c>
      <c r="I19489">
        <f>IF(DATOS!$I19489="","",IFERROR(VLOOKUP(DATOS!$I19489,CONFIG_ASIGNATURAS!$B$2:$J$91,9,FALSE()),""))</f>
      </c>
    </row>
    <row r="19490">
      <c r="F19490">
        <f>IF(DATOS!$A19490="","",DATOS!$A19490&amp;"|"&amp;DATOS!$D19490&amp;"|"&amp;DATOS!$E19490&amp;"|"&amp;DATOS!$I19490)</f>
      </c>
      <c r="G19490">
        <f>IF(DATOS!$A19490="",0,IF(CONFIG_METADATA!$B$4&lt;&gt;"OR+EX",--(DATOS!$G19490=CONFIG_METADATA!$B$4),IF(DATOS!$G19490="EX",1,IF(DATOS!$G19490="OR",--(COUNTIFS(nNIA,DATOS!$A19490,nCURSO,DATOS!$D19490,nESPEC,DATOS!$E19490,nASIG,DATOS!$I19490,nEVAL,"EX")=0),0))))</f>
      </c>
      <c r="H19490">
        <f>IF(DATOS!$G19490&lt;&gt;"EX",0,--(COUNTIFS(nNIA,DATOS!$A19490,nCURSO,DATOS!$D19490,nESPEC,DATOS!$E19490,nASIG,DATOS!$I19490,nEVAL,"OR")=0))</f>
      </c>
      <c r="I19490">
        <f>IF(DATOS!$I19490="","",IFERROR(VLOOKUP(DATOS!$I19490,CONFIG_ASIGNATURAS!$B$2:$J$91,9,FALSE()),""))</f>
      </c>
    </row>
    <row r="19491">
      <c r="F19491">
        <f>IF(DATOS!$A19491="","",DATOS!$A19491&amp;"|"&amp;DATOS!$D19491&amp;"|"&amp;DATOS!$E19491&amp;"|"&amp;DATOS!$I19491)</f>
      </c>
      <c r="G19491">
        <f>IF(DATOS!$A19491="",0,IF(CONFIG_METADATA!$B$4&lt;&gt;"OR+EX",--(DATOS!$G19491=CONFIG_METADATA!$B$4),IF(DATOS!$G19491="EX",1,IF(DATOS!$G19491="OR",--(COUNTIFS(nNIA,DATOS!$A19491,nCURSO,DATOS!$D19491,nESPEC,DATOS!$E19491,nASIG,DATOS!$I19491,nEVAL,"EX")=0),0))))</f>
      </c>
      <c r="H19491">
        <f>IF(DATOS!$G19491&lt;&gt;"EX",0,--(COUNTIFS(nNIA,DATOS!$A19491,nCURSO,DATOS!$D19491,nESPEC,DATOS!$E19491,nASIG,DATOS!$I19491,nEVAL,"OR")=0))</f>
      </c>
      <c r="I19491">
        <f>IF(DATOS!$I19491="","",IFERROR(VLOOKUP(DATOS!$I19491,CONFIG_ASIGNATURAS!$B$2:$J$91,9,FALSE()),""))</f>
      </c>
    </row>
    <row r="19492">
      <c r="F19492">
        <f>IF(DATOS!$A19492="","",DATOS!$A19492&amp;"|"&amp;DATOS!$D19492&amp;"|"&amp;DATOS!$E19492&amp;"|"&amp;DATOS!$I19492)</f>
      </c>
      <c r="G19492">
        <f>IF(DATOS!$A19492="",0,IF(CONFIG_METADATA!$B$4&lt;&gt;"OR+EX",--(DATOS!$G19492=CONFIG_METADATA!$B$4),IF(DATOS!$G19492="EX",1,IF(DATOS!$G19492="OR",--(COUNTIFS(nNIA,DATOS!$A19492,nCURSO,DATOS!$D19492,nESPEC,DATOS!$E19492,nASIG,DATOS!$I19492,nEVAL,"EX")=0),0))))</f>
      </c>
      <c r="H19492">
        <f>IF(DATOS!$G19492&lt;&gt;"EX",0,--(COUNTIFS(nNIA,DATOS!$A19492,nCURSO,DATOS!$D19492,nESPEC,DATOS!$E19492,nASIG,DATOS!$I19492,nEVAL,"OR")=0))</f>
      </c>
      <c r="I19492">
        <f>IF(DATOS!$I19492="","",IFERROR(VLOOKUP(DATOS!$I19492,CONFIG_ASIGNATURAS!$B$2:$J$91,9,FALSE()),""))</f>
      </c>
    </row>
    <row r="19493">
      <c r="F19493">
        <f>IF(DATOS!$A19493="","",DATOS!$A19493&amp;"|"&amp;DATOS!$D19493&amp;"|"&amp;DATOS!$E19493&amp;"|"&amp;DATOS!$I19493)</f>
      </c>
      <c r="G19493">
        <f>IF(DATOS!$A19493="",0,IF(CONFIG_METADATA!$B$4&lt;&gt;"OR+EX",--(DATOS!$G19493=CONFIG_METADATA!$B$4),IF(DATOS!$G19493="EX",1,IF(DATOS!$G19493="OR",--(COUNTIFS(nNIA,DATOS!$A19493,nCURSO,DATOS!$D19493,nESPEC,DATOS!$E19493,nASIG,DATOS!$I19493,nEVAL,"EX")=0),0))))</f>
      </c>
      <c r="H19493">
        <f>IF(DATOS!$G19493&lt;&gt;"EX",0,--(COUNTIFS(nNIA,DATOS!$A19493,nCURSO,DATOS!$D19493,nESPEC,DATOS!$E19493,nASIG,DATOS!$I19493,nEVAL,"OR")=0))</f>
      </c>
      <c r="I19493">
        <f>IF(DATOS!$I19493="","",IFERROR(VLOOKUP(DATOS!$I19493,CONFIG_ASIGNATURAS!$B$2:$J$91,9,FALSE()),""))</f>
      </c>
    </row>
    <row r="19494">
      <c r="F19494">
        <f>IF(DATOS!$A19494="","",DATOS!$A19494&amp;"|"&amp;DATOS!$D19494&amp;"|"&amp;DATOS!$E19494&amp;"|"&amp;DATOS!$I19494)</f>
      </c>
      <c r="G19494">
        <f>IF(DATOS!$A19494="",0,IF(CONFIG_METADATA!$B$4&lt;&gt;"OR+EX",--(DATOS!$G19494=CONFIG_METADATA!$B$4),IF(DATOS!$G19494="EX",1,IF(DATOS!$G19494="OR",--(COUNTIFS(nNIA,DATOS!$A19494,nCURSO,DATOS!$D19494,nESPEC,DATOS!$E19494,nASIG,DATOS!$I19494,nEVAL,"EX")=0),0))))</f>
      </c>
      <c r="H19494">
        <f>IF(DATOS!$G19494&lt;&gt;"EX",0,--(COUNTIFS(nNIA,DATOS!$A19494,nCURSO,DATOS!$D19494,nESPEC,DATOS!$E19494,nASIG,DATOS!$I19494,nEVAL,"OR")=0))</f>
      </c>
      <c r="I19494">
        <f>IF(DATOS!$I19494="","",IFERROR(VLOOKUP(DATOS!$I19494,CONFIG_ASIGNATURAS!$B$2:$J$91,9,FALSE()),""))</f>
      </c>
    </row>
    <row r="19495">
      <c r="F19495">
        <f>IF(DATOS!$A19495="","",DATOS!$A19495&amp;"|"&amp;DATOS!$D19495&amp;"|"&amp;DATOS!$E19495&amp;"|"&amp;DATOS!$I19495)</f>
      </c>
      <c r="G19495">
        <f>IF(DATOS!$A19495="",0,IF(CONFIG_METADATA!$B$4&lt;&gt;"OR+EX",--(DATOS!$G19495=CONFIG_METADATA!$B$4),IF(DATOS!$G19495="EX",1,IF(DATOS!$G19495="OR",--(COUNTIFS(nNIA,DATOS!$A19495,nCURSO,DATOS!$D19495,nESPEC,DATOS!$E19495,nASIG,DATOS!$I19495,nEVAL,"EX")=0),0))))</f>
      </c>
      <c r="H19495">
        <f>IF(DATOS!$G19495&lt;&gt;"EX",0,--(COUNTIFS(nNIA,DATOS!$A19495,nCURSO,DATOS!$D19495,nESPEC,DATOS!$E19495,nASIG,DATOS!$I19495,nEVAL,"OR")=0))</f>
      </c>
      <c r="I19495">
        <f>IF(DATOS!$I19495="","",IFERROR(VLOOKUP(DATOS!$I19495,CONFIG_ASIGNATURAS!$B$2:$J$91,9,FALSE()),""))</f>
      </c>
    </row>
    <row r="19496">
      <c r="F19496">
        <f>IF(DATOS!$A19496="","",DATOS!$A19496&amp;"|"&amp;DATOS!$D19496&amp;"|"&amp;DATOS!$E19496&amp;"|"&amp;DATOS!$I19496)</f>
      </c>
      <c r="G19496">
        <f>IF(DATOS!$A19496="",0,IF(CONFIG_METADATA!$B$4&lt;&gt;"OR+EX",--(DATOS!$G19496=CONFIG_METADATA!$B$4),IF(DATOS!$G19496="EX",1,IF(DATOS!$G19496="OR",--(COUNTIFS(nNIA,DATOS!$A19496,nCURSO,DATOS!$D19496,nESPEC,DATOS!$E19496,nASIG,DATOS!$I19496,nEVAL,"EX")=0),0))))</f>
      </c>
      <c r="H19496">
        <f>IF(DATOS!$G19496&lt;&gt;"EX",0,--(COUNTIFS(nNIA,DATOS!$A19496,nCURSO,DATOS!$D19496,nESPEC,DATOS!$E19496,nASIG,DATOS!$I19496,nEVAL,"OR")=0))</f>
      </c>
      <c r="I19496">
        <f>IF(DATOS!$I19496="","",IFERROR(VLOOKUP(DATOS!$I19496,CONFIG_ASIGNATURAS!$B$2:$J$91,9,FALSE()),""))</f>
      </c>
    </row>
    <row r="19497">
      <c r="F19497">
        <f>IF(DATOS!$A19497="","",DATOS!$A19497&amp;"|"&amp;DATOS!$D19497&amp;"|"&amp;DATOS!$E19497&amp;"|"&amp;DATOS!$I19497)</f>
      </c>
      <c r="G19497">
        <f>IF(DATOS!$A19497="",0,IF(CONFIG_METADATA!$B$4&lt;&gt;"OR+EX",--(DATOS!$G19497=CONFIG_METADATA!$B$4),IF(DATOS!$G19497="EX",1,IF(DATOS!$G19497="OR",--(COUNTIFS(nNIA,DATOS!$A19497,nCURSO,DATOS!$D19497,nESPEC,DATOS!$E19497,nASIG,DATOS!$I19497,nEVAL,"EX")=0),0))))</f>
      </c>
      <c r="H19497">
        <f>IF(DATOS!$G19497&lt;&gt;"EX",0,--(COUNTIFS(nNIA,DATOS!$A19497,nCURSO,DATOS!$D19497,nESPEC,DATOS!$E19497,nASIG,DATOS!$I19497,nEVAL,"OR")=0))</f>
      </c>
      <c r="I19497">
        <f>IF(DATOS!$I19497="","",IFERROR(VLOOKUP(DATOS!$I19497,CONFIG_ASIGNATURAS!$B$2:$J$91,9,FALSE()),""))</f>
      </c>
    </row>
    <row r="19498">
      <c r="F19498">
        <f>IF(DATOS!$A19498="","",DATOS!$A19498&amp;"|"&amp;DATOS!$D19498&amp;"|"&amp;DATOS!$E19498&amp;"|"&amp;DATOS!$I19498)</f>
      </c>
      <c r="G19498">
        <f>IF(DATOS!$A19498="",0,IF(CONFIG_METADATA!$B$4&lt;&gt;"OR+EX",--(DATOS!$G19498=CONFIG_METADATA!$B$4),IF(DATOS!$G19498="EX",1,IF(DATOS!$G19498="OR",--(COUNTIFS(nNIA,DATOS!$A19498,nCURSO,DATOS!$D19498,nESPEC,DATOS!$E19498,nASIG,DATOS!$I19498,nEVAL,"EX")=0),0))))</f>
      </c>
      <c r="H19498">
        <f>IF(DATOS!$G19498&lt;&gt;"EX",0,--(COUNTIFS(nNIA,DATOS!$A19498,nCURSO,DATOS!$D19498,nESPEC,DATOS!$E19498,nASIG,DATOS!$I19498,nEVAL,"OR")=0))</f>
      </c>
      <c r="I19498">
        <f>IF(DATOS!$I19498="","",IFERROR(VLOOKUP(DATOS!$I19498,CONFIG_ASIGNATURAS!$B$2:$J$91,9,FALSE()),""))</f>
      </c>
    </row>
    <row r="19499">
      <c r="F19499">
        <f>IF(DATOS!$A19499="","",DATOS!$A19499&amp;"|"&amp;DATOS!$D19499&amp;"|"&amp;DATOS!$E19499&amp;"|"&amp;DATOS!$I19499)</f>
      </c>
      <c r="G19499">
        <f>IF(DATOS!$A19499="",0,IF(CONFIG_METADATA!$B$4&lt;&gt;"OR+EX",--(DATOS!$G19499=CONFIG_METADATA!$B$4),IF(DATOS!$G19499="EX",1,IF(DATOS!$G19499="OR",--(COUNTIFS(nNIA,DATOS!$A19499,nCURSO,DATOS!$D19499,nESPEC,DATOS!$E19499,nASIG,DATOS!$I19499,nEVAL,"EX")=0),0))))</f>
      </c>
      <c r="H19499">
        <f>IF(DATOS!$G19499&lt;&gt;"EX",0,--(COUNTIFS(nNIA,DATOS!$A19499,nCURSO,DATOS!$D19499,nESPEC,DATOS!$E19499,nASIG,DATOS!$I19499,nEVAL,"OR")=0))</f>
      </c>
      <c r="I19499">
        <f>IF(DATOS!$I19499="","",IFERROR(VLOOKUP(DATOS!$I19499,CONFIG_ASIGNATURAS!$B$2:$J$91,9,FALSE()),""))</f>
      </c>
    </row>
    <row r="19500">
      <c r="F19500">
        <f>IF(DATOS!$A19500="","",DATOS!$A19500&amp;"|"&amp;DATOS!$D19500&amp;"|"&amp;DATOS!$E19500&amp;"|"&amp;DATOS!$I19500)</f>
      </c>
      <c r="G19500">
        <f>IF(DATOS!$A19500="",0,IF(CONFIG_METADATA!$B$4&lt;&gt;"OR+EX",--(DATOS!$G19500=CONFIG_METADATA!$B$4),IF(DATOS!$G19500="EX",1,IF(DATOS!$G19500="OR",--(COUNTIFS(nNIA,DATOS!$A19500,nCURSO,DATOS!$D19500,nESPEC,DATOS!$E19500,nASIG,DATOS!$I19500,nEVAL,"EX")=0),0))))</f>
      </c>
      <c r="H19500">
        <f>IF(DATOS!$G19500&lt;&gt;"EX",0,--(COUNTIFS(nNIA,DATOS!$A19500,nCURSO,DATOS!$D19500,nESPEC,DATOS!$E19500,nASIG,DATOS!$I19500,nEVAL,"OR")=0))</f>
      </c>
      <c r="I19500">
        <f>IF(DATOS!$I19500="","",IFERROR(VLOOKUP(DATOS!$I19500,CONFIG_ASIGNATURAS!$B$2:$J$91,9,FALSE()),""))</f>
      </c>
    </row>
    <row r="19501">
      <c r="F19501">
        <f>IF(DATOS!$A19501="","",DATOS!$A19501&amp;"|"&amp;DATOS!$D19501&amp;"|"&amp;DATOS!$E19501&amp;"|"&amp;DATOS!$I19501)</f>
      </c>
      <c r="G19501">
        <f>IF(DATOS!$A19501="",0,IF(CONFIG_METADATA!$B$4&lt;&gt;"OR+EX",--(DATOS!$G19501=CONFIG_METADATA!$B$4),IF(DATOS!$G19501="EX",1,IF(DATOS!$G19501="OR",--(COUNTIFS(nNIA,DATOS!$A19501,nCURSO,DATOS!$D19501,nESPEC,DATOS!$E19501,nASIG,DATOS!$I19501,nEVAL,"EX")=0),0))))</f>
      </c>
      <c r="H19501">
        <f>IF(DATOS!$G19501&lt;&gt;"EX",0,--(COUNTIFS(nNIA,DATOS!$A19501,nCURSO,DATOS!$D19501,nESPEC,DATOS!$E19501,nASIG,DATOS!$I19501,nEVAL,"OR")=0))</f>
      </c>
      <c r="I19501">
        <f>IF(DATOS!$I19501="","",IFERROR(VLOOKUP(DATOS!$I19501,CONFIG_ASIGNATURAS!$B$2:$J$91,9,FALSE()),""))</f>
      </c>
    </row>
    <row r="19502">
      <c r="F19502">
        <f>IF(DATOS!$A19502="","",DATOS!$A19502&amp;"|"&amp;DATOS!$D19502&amp;"|"&amp;DATOS!$E19502&amp;"|"&amp;DATOS!$I19502)</f>
      </c>
      <c r="G19502">
        <f>IF(DATOS!$A19502="",0,IF(CONFIG_METADATA!$B$4&lt;&gt;"OR+EX",--(DATOS!$G19502=CONFIG_METADATA!$B$4),IF(DATOS!$G19502="EX",1,IF(DATOS!$G19502="OR",--(COUNTIFS(nNIA,DATOS!$A19502,nCURSO,DATOS!$D19502,nESPEC,DATOS!$E19502,nASIG,DATOS!$I19502,nEVAL,"EX")=0),0))))</f>
      </c>
      <c r="H19502">
        <f>IF(DATOS!$G19502&lt;&gt;"EX",0,--(COUNTIFS(nNIA,DATOS!$A19502,nCURSO,DATOS!$D19502,nESPEC,DATOS!$E19502,nASIG,DATOS!$I19502,nEVAL,"OR")=0))</f>
      </c>
      <c r="I19502">
        <f>IF(DATOS!$I19502="","",IFERROR(VLOOKUP(DATOS!$I19502,CONFIG_ASIGNATURAS!$B$2:$J$91,9,FALSE()),""))</f>
      </c>
    </row>
    <row r="19503">
      <c r="F19503">
        <f>IF(DATOS!$A19503="","",DATOS!$A19503&amp;"|"&amp;DATOS!$D19503&amp;"|"&amp;DATOS!$E19503&amp;"|"&amp;DATOS!$I19503)</f>
      </c>
      <c r="G19503">
        <f>IF(DATOS!$A19503="",0,IF(CONFIG_METADATA!$B$4&lt;&gt;"OR+EX",--(DATOS!$G19503=CONFIG_METADATA!$B$4),IF(DATOS!$G19503="EX",1,IF(DATOS!$G19503="OR",--(COUNTIFS(nNIA,DATOS!$A19503,nCURSO,DATOS!$D19503,nESPEC,DATOS!$E19503,nASIG,DATOS!$I19503,nEVAL,"EX")=0),0))))</f>
      </c>
      <c r="H19503">
        <f>IF(DATOS!$G19503&lt;&gt;"EX",0,--(COUNTIFS(nNIA,DATOS!$A19503,nCURSO,DATOS!$D19503,nESPEC,DATOS!$E19503,nASIG,DATOS!$I19503,nEVAL,"OR")=0))</f>
      </c>
      <c r="I19503">
        <f>IF(DATOS!$I19503="","",IFERROR(VLOOKUP(DATOS!$I19503,CONFIG_ASIGNATURAS!$B$2:$J$91,9,FALSE()),""))</f>
      </c>
    </row>
    <row r="19504">
      <c r="F19504">
        <f>IF(DATOS!$A19504="","",DATOS!$A19504&amp;"|"&amp;DATOS!$D19504&amp;"|"&amp;DATOS!$E19504&amp;"|"&amp;DATOS!$I19504)</f>
      </c>
      <c r="G19504">
        <f>IF(DATOS!$A19504="",0,IF(CONFIG_METADATA!$B$4&lt;&gt;"OR+EX",--(DATOS!$G19504=CONFIG_METADATA!$B$4),IF(DATOS!$G19504="EX",1,IF(DATOS!$G19504="OR",--(COUNTIFS(nNIA,DATOS!$A19504,nCURSO,DATOS!$D19504,nESPEC,DATOS!$E19504,nASIG,DATOS!$I19504,nEVAL,"EX")=0),0))))</f>
      </c>
      <c r="H19504">
        <f>IF(DATOS!$G19504&lt;&gt;"EX",0,--(COUNTIFS(nNIA,DATOS!$A19504,nCURSO,DATOS!$D19504,nESPEC,DATOS!$E19504,nASIG,DATOS!$I19504,nEVAL,"OR")=0))</f>
      </c>
      <c r="I19504">
        <f>IF(DATOS!$I19504="","",IFERROR(VLOOKUP(DATOS!$I19504,CONFIG_ASIGNATURAS!$B$2:$J$91,9,FALSE()),""))</f>
      </c>
    </row>
    <row r="19505">
      <c r="F19505">
        <f>IF(DATOS!$A19505="","",DATOS!$A19505&amp;"|"&amp;DATOS!$D19505&amp;"|"&amp;DATOS!$E19505&amp;"|"&amp;DATOS!$I19505)</f>
      </c>
      <c r="G19505">
        <f>IF(DATOS!$A19505="",0,IF(CONFIG_METADATA!$B$4&lt;&gt;"OR+EX",--(DATOS!$G19505=CONFIG_METADATA!$B$4),IF(DATOS!$G19505="EX",1,IF(DATOS!$G19505="OR",--(COUNTIFS(nNIA,DATOS!$A19505,nCURSO,DATOS!$D19505,nESPEC,DATOS!$E19505,nASIG,DATOS!$I19505,nEVAL,"EX")=0),0))))</f>
      </c>
      <c r="H19505">
        <f>IF(DATOS!$G19505&lt;&gt;"EX",0,--(COUNTIFS(nNIA,DATOS!$A19505,nCURSO,DATOS!$D19505,nESPEC,DATOS!$E19505,nASIG,DATOS!$I19505,nEVAL,"OR")=0))</f>
      </c>
      <c r="I19505">
        <f>IF(DATOS!$I19505="","",IFERROR(VLOOKUP(DATOS!$I19505,CONFIG_ASIGNATURAS!$B$2:$J$91,9,FALSE()),""))</f>
      </c>
    </row>
    <row r="19506">
      <c r="F19506">
        <f>IF(DATOS!$A19506="","",DATOS!$A19506&amp;"|"&amp;DATOS!$D19506&amp;"|"&amp;DATOS!$E19506&amp;"|"&amp;DATOS!$I19506)</f>
      </c>
      <c r="G19506">
        <f>IF(DATOS!$A19506="",0,IF(CONFIG_METADATA!$B$4&lt;&gt;"OR+EX",--(DATOS!$G19506=CONFIG_METADATA!$B$4),IF(DATOS!$G19506="EX",1,IF(DATOS!$G19506="OR",--(COUNTIFS(nNIA,DATOS!$A19506,nCURSO,DATOS!$D19506,nESPEC,DATOS!$E19506,nASIG,DATOS!$I19506,nEVAL,"EX")=0),0))))</f>
      </c>
      <c r="H19506">
        <f>IF(DATOS!$G19506&lt;&gt;"EX",0,--(COUNTIFS(nNIA,DATOS!$A19506,nCURSO,DATOS!$D19506,nESPEC,DATOS!$E19506,nASIG,DATOS!$I19506,nEVAL,"OR")=0))</f>
      </c>
      <c r="I19506">
        <f>IF(DATOS!$I19506="","",IFERROR(VLOOKUP(DATOS!$I19506,CONFIG_ASIGNATURAS!$B$2:$J$91,9,FALSE()),""))</f>
      </c>
    </row>
    <row r="19507">
      <c r="F19507">
        <f>IF(DATOS!$A19507="","",DATOS!$A19507&amp;"|"&amp;DATOS!$D19507&amp;"|"&amp;DATOS!$E19507&amp;"|"&amp;DATOS!$I19507)</f>
      </c>
      <c r="G19507">
        <f>IF(DATOS!$A19507="",0,IF(CONFIG_METADATA!$B$4&lt;&gt;"OR+EX",--(DATOS!$G19507=CONFIG_METADATA!$B$4),IF(DATOS!$G19507="EX",1,IF(DATOS!$G19507="OR",--(COUNTIFS(nNIA,DATOS!$A19507,nCURSO,DATOS!$D19507,nESPEC,DATOS!$E19507,nASIG,DATOS!$I19507,nEVAL,"EX")=0),0))))</f>
      </c>
      <c r="H19507">
        <f>IF(DATOS!$G19507&lt;&gt;"EX",0,--(COUNTIFS(nNIA,DATOS!$A19507,nCURSO,DATOS!$D19507,nESPEC,DATOS!$E19507,nASIG,DATOS!$I19507,nEVAL,"OR")=0))</f>
      </c>
      <c r="I19507">
        <f>IF(DATOS!$I19507="","",IFERROR(VLOOKUP(DATOS!$I19507,CONFIG_ASIGNATURAS!$B$2:$J$91,9,FALSE()),""))</f>
      </c>
    </row>
    <row r="19508">
      <c r="F19508">
        <f>IF(DATOS!$A19508="","",DATOS!$A19508&amp;"|"&amp;DATOS!$D19508&amp;"|"&amp;DATOS!$E19508&amp;"|"&amp;DATOS!$I19508)</f>
      </c>
      <c r="G19508">
        <f>IF(DATOS!$A19508="",0,IF(CONFIG_METADATA!$B$4&lt;&gt;"OR+EX",--(DATOS!$G19508=CONFIG_METADATA!$B$4),IF(DATOS!$G19508="EX",1,IF(DATOS!$G19508="OR",--(COUNTIFS(nNIA,DATOS!$A19508,nCURSO,DATOS!$D19508,nESPEC,DATOS!$E19508,nASIG,DATOS!$I19508,nEVAL,"EX")=0),0))))</f>
      </c>
      <c r="H19508">
        <f>IF(DATOS!$G19508&lt;&gt;"EX",0,--(COUNTIFS(nNIA,DATOS!$A19508,nCURSO,DATOS!$D19508,nESPEC,DATOS!$E19508,nASIG,DATOS!$I19508,nEVAL,"OR")=0))</f>
      </c>
      <c r="I19508">
        <f>IF(DATOS!$I19508="","",IFERROR(VLOOKUP(DATOS!$I19508,CONFIG_ASIGNATURAS!$B$2:$J$91,9,FALSE()),""))</f>
      </c>
    </row>
    <row r="19509">
      <c r="F19509">
        <f>IF(DATOS!$A19509="","",DATOS!$A19509&amp;"|"&amp;DATOS!$D19509&amp;"|"&amp;DATOS!$E19509&amp;"|"&amp;DATOS!$I19509)</f>
      </c>
      <c r="G19509">
        <f>IF(DATOS!$A19509="",0,IF(CONFIG_METADATA!$B$4&lt;&gt;"OR+EX",--(DATOS!$G19509=CONFIG_METADATA!$B$4),IF(DATOS!$G19509="EX",1,IF(DATOS!$G19509="OR",--(COUNTIFS(nNIA,DATOS!$A19509,nCURSO,DATOS!$D19509,nESPEC,DATOS!$E19509,nASIG,DATOS!$I19509,nEVAL,"EX")=0),0))))</f>
      </c>
      <c r="H19509">
        <f>IF(DATOS!$G19509&lt;&gt;"EX",0,--(COUNTIFS(nNIA,DATOS!$A19509,nCURSO,DATOS!$D19509,nESPEC,DATOS!$E19509,nASIG,DATOS!$I19509,nEVAL,"OR")=0))</f>
      </c>
      <c r="I19509">
        <f>IF(DATOS!$I19509="","",IFERROR(VLOOKUP(DATOS!$I19509,CONFIG_ASIGNATURAS!$B$2:$J$91,9,FALSE()),""))</f>
      </c>
    </row>
    <row r="19510">
      <c r="F19510">
        <f>IF(DATOS!$A19510="","",DATOS!$A19510&amp;"|"&amp;DATOS!$D19510&amp;"|"&amp;DATOS!$E19510&amp;"|"&amp;DATOS!$I19510)</f>
      </c>
      <c r="G19510">
        <f>IF(DATOS!$A19510="",0,IF(CONFIG_METADATA!$B$4&lt;&gt;"OR+EX",--(DATOS!$G19510=CONFIG_METADATA!$B$4),IF(DATOS!$G19510="EX",1,IF(DATOS!$G19510="OR",--(COUNTIFS(nNIA,DATOS!$A19510,nCURSO,DATOS!$D19510,nESPEC,DATOS!$E19510,nASIG,DATOS!$I19510,nEVAL,"EX")=0),0))))</f>
      </c>
      <c r="H19510">
        <f>IF(DATOS!$G19510&lt;&gt;"EX",0,--(COUNTIFS(nNIA,DATOS!$A19510,nCURSO,DATOS!$D19510,nESPEC,DATOS!$E19510,nASIG,DATOS!$I19510,nEVAL,"OR")=0))</f>
      </c>
      <c r="I19510">
        <f>IF(DATOS!$I19510="","",IFERROR(VLOOKUP(DATOS!$I19510,CONFIG_ASIGNATURAS!$B$2:$J$91,9,FALSE()),""))</f>
      </c>
    </row>
    <row r="19511">
      <c r="F19511">
        <f>IF(DATOS!$A19511="","",DATOS!$A19511&amp;"|"&amp;DATOS!$D19511&amp;"|"&amp;DATOS!$E19511&amp;"|"&amp;DATOS!$I19511)</f>
      </c>
      <c r="G19511">
        <f>IF(DATOS!$A19511="",0,IF(CONFIG_METADATA!$B$4&lt;&gt;"OR+EX",--(DATOS!$G19511=CONFIG_METADATA!$B$4),IF(DATOS!$G19511="EX",1,IF(DATOS!$G19511="OR",--(COUNTIFS(nNIA,DATOS!$A19511,nCURSO,DATOS!$D19511,nESPEC,DATOS!$E19511,nASIG,DATOS!$I19511,nEVAL,"EX")=0),0))))</f>
      </c>
      <c r="H19511">
        <f>IF(DATOS!$G19511&lt;&gt;"EX",0,--(COUNTIFS(nNIA,DATOS!$A19511,nCURSO,DATOS!$D19511,nESPEC,DATOS!$E19511,nASIG,DATOS!$I19511,nEVAL,"OR")=0))</f>
      </c>
      <c r="I19511">
        <f>IF(DATOS!$I19511="","",IFERROR(VLOOKUP(DATOS!$I19511,CONFIG_ASIGNATURAS!$B$2:$J$91,9,FALSE()),""))</f>
      </c>
    </row>
    <row r="19512">
      <c r="F19512">
        <f>IF(DATOS!$A19512="","",DATOS!$A19512&amp;"|"&amp;DATOS!$D19512&amp;"|"&amp;DATOS!$E19512&amp;"|"&amp;DATOS!$I19512)</f>
      </c>
      <c r="G19512">
        <f>IF(DATOS!$A19512="",0,IF(CONFIG_METADATA!$B$4&lt;&gt;"OR+EX",--(DATOS!$G19512=CONFIG_METADATA!$B$4),IF(DATOS!$G19512="EX",1,IF(DATOS!$G19512="OR",--(COUNTIFS(nNIA,DATOS!$A19512,nCURSO,DATOS!$D19512,nESPEC,DATOS!$E19512,nASIG,DATOS!$I19512,nEVAL,"EX")=0),0))))</f>
      </c>
      <c r="H19512">
        <f>IF(DATOS!$G19512&lt;&gt;"EX",0,--(COUNTIFS(nNIA,DATOS!$A19512,nCURSO,DATOS!$D19512,nESPEC,DATOS!$E19512,nASIG,DATOS!$I19512,nEVAL,"OR")=0))</f>
      </c>
      <c r="I19512">
        <f>IF(DATOS!$I19512="","",IFERROR(VLOOKUP(DATOS!$I19512,CONFIG_ASIGNATURAS!$B$2:$J$91,9,FALSE()),""))</f>
      </c>
    </row>
    <row r="19513">
      <c r="F19513">
        <f>IF(DATOS!$A19513="","",DATOS!$A19513&amp;"|"&amp;DATOS!$D19513&amp;"|"&amp;DATOS!$E19513&amp;"|"&amp;DATOS!$I19513)</f>
      </c>
      <c r="G19513">
        <f>IF(DATOS!$A19513="",0,IF(CONFIG_METADATA!$B$4&lt;&gt;"OR+EX",--(DATOS!$G19513=CONFIG_METADATA!$B$4),IF(DATOS!$G19513="EX",1,IF(DATOS!$G19513="OR",--(COUNTIFS(nNIA,DATOS!$A19513,nCURSO,DATOS!$D19513,nESPEC,DATOS!$E19513,nASIG,DATOS!$I19513,nEVAL,"EX")=0),0))))</f>
      </c>
      <c r="H19513">
        <f>IF(DATOS!$G19513&lt;&gt;"EX",0,--(COUNTIFS(nNIA,DATOS!$A19513,nCURSO,DATOS!$D19513,nESPEC,DATOS!$E19513,nASIG,DATOS!$I19513,nEVAL,"OR")=0))</f>
      </c>
      <c r="I19513">
        <f>IF(DATOS!$I19513="","",IFERROR(VLOOKUP(DATOS!$I19513,CONFIG_ASIGNATURAS!$B$2:$J$91,9,FALSE()),""))</f>
      </c>
    </row>
    <row r="19514">
      <c r="F19514">
        <f>IF(DATOS!$A19514="","",DATOS!$A19514&amp;"|"&amp;DATOS!$D19514&amp;"|"&amp;DATOS!$E19514&amp;"|"&amp;DATOS!$I19514)</f>
      </c>
      <c r="G19514">
        <f>IF(DATOS!$A19514="",0,IF(CONFIG_METADATA!$B$4&lt;&gt;"OR+EX",--(DATOS!$G19514=CONFIG_METADATA!$B$4),IF(DATOS!$G19514="EX",1,IF(DATOS!$G19514="OR",--(COUNTIFS(nNIA,DATOS!$A19514,nCURSO,DATOS!$D19514,nESPEC,DATOS!$E19514,nASIG,DATOS!$I19514,nEVAL,"EX")=0),0))))</f>
      </c>
      <c r="H19514">
        <f>IF(DATOS!$G19514&lt;&gt;"EX",0,--(COUNTIFS(nNIA,DATOS!$A19514,nCURSO,DATOS!$D19514,nESPEC,DATOS!$E19514,nASIG,DATOS!$I19514,nEVAL,"OR")=0))</f>
      </c>
      <c r="I19514">
        <f>IF(DATOS!$I19514="","",IFERROR(VLOOKUP(DATOS!$I19514,CONFIG_ASIGNATURAS!$B$2:$J$91,9,FALSE()),""))</f>
      </c>
    </row>
    <row r="19515">
      <c r="F19515">
        <f>IF(DATOS!$A19515="","",DATOS!$A19515&amp;"|"&amp;DATOS!$D19515&amp;"|"&amp;DATOS!$E19515&amp;"|"&amp;DATOS!$I19515)</f>
      </c>
      <c r="G19515">
        <f>IF(DATOS!$A19515="",0,IF(CONFIG_METADATA!$B$4&lt;&gt;"OR+EX",--(DATOS!$G19515=CONFIG_METADATA!$B$4),IF(DATOS!$G19515="EX",1,IF(DATOS!$G19515="OR",--(COUNTIFS(nNIA,DATOS!$A19515,nCURSO,DATOS!$D19515,nESPEC,DATOS!$E19515,nASIG,DATOS!$I19515,nEVAL,"EX")=0),0))))</f>
      </c>
      <c r="H19515">
        <f>IF(DATOS!$G19515&lt;&gt;"EX",0,--(COUNTIFS(nNIA,DATOS!$A19515,nCURSO,DATOS!$D19515,nESPEC,DATOS!$E19515,nASIG,DATOS!$I19515,nEVAL,"OR")=0))</f>
      </c>
      <c r="I19515">
        <f>IF(DATOS!$I19515="","",IFERROR(VLOOKUP(DATOS!$I19515,CONFIG_ASIGNATURAS!$B$2:$J$91,9,FALSE()),""))</f>
      </c>
    </row>
    <row r="19516">
      <c r="F19516">
        <f>IF(DATOS!$A19516="","",DATOS!$A19516&amp;"|"&amp;DATOS!$D19516&amp;"|"&amp;DATOS!$E19516&amp;"|"&amp;DATOS!$I19516)</f>
      </c>
      <c r="G19516">
        <f>IF(DATOS!$A19516="",0,IF(CONFIG_METADATA!$B$4&lt;&gt;"OR+EX",--(DATOS!$G19516=CONFIG_METADATA!$B$4),IF(DATOS!$G19516="EX",1,IF(DATOS!$G19516="OR",--(COUNTIFS(nNIA,DATOS!$A19516,nCURSO,DATOS!$D19516,nESPEC,DATOS!$E19516,nASIG,DATOS!$I19516,nEVAL,"EX")=0),0))))</f>
      </c>
      <c r="H19516">
        <f>IF(DATOS!$G19516&lt;&gt;"EX",0,--(COUNTIFS(nNIA,DATOS!$A19516,nCURSO,DATOS!$D19516,nESPEC,DATOS!$E19516,nASIG,DATOS!$I19516,nEVAL,"OR")=0))</f>
      </c>
      <c r="I19516">
        <f>IF(DATOS!$I19516="","",IFERROR(VLOOKUP(DATOS!$I19516,CONFIG_ASIGNATURAS!$B$2:$J$91,9,FALSE()),""))</f>
      </c>
    </row>
    <row r="19517">
      <c r="F19517">
        <f>IF(DATOS!$A19517="","",DATOS!$A19517&amp;"|"&amp;DATOS!$D19517&amp;"|"&amp;DATOS!$E19517&amp;"|"&amp;DATOS!$I19517)</f>
      </c>
      <c r="G19517">
        <f>IF(DATOS!$A19517="",0,IF(CONFIG_METADATA!$B$4&lt;&gt;"OR+EX",--(DATOS!$G19517=CONFIG_METADATA!$B$4),IF(DATOS!$G19517="EX",1,IF(DATOS!$G19517="OR",--(COUNTIFS(nNIA,DATOS!$A19517,nCURSO,DATOS!$D19517,nESPEC,DATOS!$E19517,nASIG,DATOS!$I19517,nEVAL,"EX")=0),0))))</f>
      </c>
      <c r="H19517">
        <f>IF(DATOS!$G19517&lt;&gt;"EX",0,--(COUNTIFS(nNIA,DATOS!$A19517,nCURSO,DATOS!$D19517,nESPEC,DATOS!$E19517,nASIG,DATOS!$I19517,nEVAL,"OR")=0))</f>
      </c>
      <c r="I19517">
        <f>IF(DATOS!$I19517="","",IFERROR(VLOOKUP(DATOS!$I19517,CONFIG_ASIGNATURAS!$B$2:$J$91,9,FALSE()),""))</f>
      </c>
    </row>
    <row r="19518">
      <c r="F19518">
        <f>IF(DATOS!$A19518="","",DATOS!$A19518&amp;"|"&amp;DATOS!$D19518&amp;"|"&amp;DATOS!$E19518&amp;"|"&amp;DATOS!$I19518)</f>
      </c>
      <c r="G19518">
        <f>IF(DATOS!$A19518="",0,IF(CONFIG_METADATA!$B$4&lt;&gt;"OR+EX",--(DATOS!$G19518=CONFIG_METADATA!$B$4),IF(DATOS!$G19518="EX",1,IF(DATOS!$G19518="OR",--(COUNTIFS(nNIA,DATOS!$A19518,nCURSO,DATOS!$D19518,nESPEC,DATOS!$E19518,nASIG,DATOS!$I19518,nEVAL,"EX")=0),0))))</f>
      </c>
      <c r="H19518">
        <f>IF(DATOS!$G19518&lt;&gt;"EX",0,--(COUNTIFS(nNIA,DATOS!$A19518,nCURSO,DATOS!$D19518,nESPEC,DATOS!$E19518,nASIG,DATOS!$I19518,nEVAL,"OR")=0))</f>
      </c>
      <c r="I19518">
        <f>IF(DATOS!$I19518="","",IFERROR(VLOOKUP(DATOS!$I19518,CONFIG_ASIGNATURAS!$B$2:$J$91,9,FALSE()),""))</f>
      </c>
    </row>
    <row r="19519">
      <c r="F19519">
        <f>IF(DATOS!$A19519="","",DATOS!$A19519&amp;"|"&amp;DATOS!$D19519&amp;"|"&amp;DATOS!$E19519&amp;"|"&amp;DATOS!$I19519)</f>
      </c>
      <c r="G19519">
        <f>IF(DATOS!$A19519="",0,IF(CONFIG_METADATA!$B$4&lt;&gt;"OR+EX",--(DATOS!$G19519=CONFIG_METADATA!$B$4),IF(DATOS!$G19519="EX",1,IF(DATOS!$G19519="OR",--(COUNTIFS(nNIA,DATOS!$A19519,nCURSO,DATOS!$D19519,nESPEC,DATOS!$E19519,nASIG,DATOS!$I19519,nEVAL,"EX")=0),0))))</f>
      </c>
      <c r="H19519">
        <f>IF(DATOS!$G19519&lt;&gt;"EX",0,--(COUNTIFS(nNIA,DATOS!$A19519,nCURSO,DATOS!$D19519,nESPEC,DATOS!$E19519,nASIG,DATOS!$I19519,nEVAL,"OR")=0))</f>
      </c>
      <c r="I19519">
        <f>IF(DATOS!$I19519="","",IFERROR(VLOOKUP(DATOS!$I19519,CONFIG_ASIGNATURAS!$B$2:$J$91,9,FALSE()),""))</f>
      </c>
    </row>
    <row r="19520">
      <c r="F19520">
        <f>IF(DATOS!$A19520="","",DATOS!$A19520&amp;"|"&amp;DATOS!$D19520&amp;"|"&amp;DATOS!$E19520&amp;"|"&amp;DATOS!$I19520)</f>
      </c>
      <c r="G19520">
        <f>IF(DATOS!$A19520="",0,IF(CONFIG_METADATA!$B$4&lt;&gt;"OR+EX",--(DATOS!$G19520=CONFIG_METADATA!$B$4),IF(DATOS!$G19520="EX",1,IF(DATOS!$G19520="OR",--(COUNTIFS(nNIA,DATOS!$A19520,nCURSO,DATOS!$D19520,nESPEC,DATOS!$E19520,nASIG,DATOS!$I19520,nEVAL,"EX")=0),0))))</f>
      </c>
      <c r="H19520">
        <f>IF(DATOS!$G19520&lt;&gt;"EX",0,--(COUNTIFS(nNIA,DATOS!$A19520,nCURSO,DATOS!$D19520,nESPEC,DATOS!$E19520,nASIG,DATOS!$I19520,nEVAL,"OR")=0))</f>
      </c>
      <c r="I19520">
        <f>IF(DATOS!$I19520="","",IFERROR(VLOOKUP(DATOS!$I19520,CONFIG_ASIGNATURAS!$B$2:$J$91,9,FALSE()),""))</f>
      </c>
    </row>
    <row r="19521">
      <c r="F19521">
        <f>IF(DATOS!$A19521="","",DATOS!$A19521&amp;"|"&amp;DATOS!$D19521&amp;"|"&amp;DATOS!$E19521&amp;"|"&amp;DATOS!$I19521)</f>
      </c>
      <c r="G19521">
        <f>IF(DATOS!$A19521="",0,IF(CONFIG_METADATA!$B$4&lt;&gt;"OR+EX",--(DATOS!$G19521=CONFIG_METADATA!$B$4),IF(DATOS!$G19521="EX",1,IF(DATOS!$G19521="OR",--(COUNTIFS(nNIA,DATOS!$A19521,nCURSO,DATOS!$D19521,nESPEC,DATOS!$E19521,nASIG,DATOS!$I19521,nEVAL,"EX")=0),0))))</f>
      </c>
      <c r="H19521">
        <f>IF(DATOS!$G19521&lt;&gt;"EX",0,--(COUNTIFS(nNIA,DATOS!$A19521,nCURSO,DATOS!$D19521,nESPEC,DATOS!$E19521,nASIG,DATOS!$I19521,nEVAL,"OR")=0))</f>
      </c>
      <c r="I19521">
        <f>IF(DATOS!$I19521="","",IFERROR(VLOOKUP(DATOS!$I19521,CONFIG_ASIGNATURAS!$B$2:$J$91,9,FALSE()),""))</f>
      </c>
    </row>
    <row r="19522">
      <c r="F19522">
        <f>IF(DATOS!$A19522="","",DATOS!$A19522&amp;"|"&amp;DATOS!$D19522&amp;"|"&amp;DATOS!$E19522&amp;"|"&amp;DATOS!$I19522)</f>
      </c>
      <c r="G19522">
        <f>IF(DATOS!$A19522="",0,IF(CONFIG_METADATA!$B$4&lt;&gt;"OR+EX",--(DATOS!$G19522=CONFIG_METADATA!$B$4),IF(DATOS!$G19522="EX",1,IF(DATOS!$G19522="OR",--(COUNTIFS(nNIA,DATOS!$A19522,nCURSO,DATOS!$D19522,nESPEC,DATOS!$E19522,nASIG,DATOS!$I19522,nEVAL,"EX")=0),0))))</f>
      </c>
      <c r="H19522">
        <f>IF(DATOS!$G19522&lt;&gt;"EX",0,--(COUNTIFS(nNIA,DATOS!$A19522,nCURSO,DATOS!$D19522,nESPEC,DATOS!$E19522,nASIG,DATOS!$I19522,nEVAL,"OR")=0))</f>
      </c>
      <c r="I19522">
        <f>IF(DATOS!$I19522="","",IFERROR(VLOOKUP(DATOS!$I19522,CONFIG_ASIGNATURAS!$B$2:$J$91,9,FALSE()),""))</f>
      </c>
    </row>
    <row r="19523">
      <c r="F19523">
        <f>IF(DATOS!$A19523="","",DATOS!$A19523&amp;"|"&amp;DATOS!$D19523&amp;"|"&amp;DATOS!$E19523&amp;"|"&amp;DATOS!$I19523)</f>
      </c>
      <c r="G19523">
        <f>IF(DATOS!$A19523="",0,IF(CONFIG_METADATA!$B$4&lt;&gt;"OR+EX",--(DATOS!$G19523=CONFIG_METADATA!$B$4),IF(DATOS!$G19523="EX",1,IF(DATOS!$G19523="OR",--(COUNTIFS(nNIA,DATOS!$A19523,nCURSO,DATOS!$D19523,nESPEC,DATOS!$E19523,nASIG,DATOS!$I19523,nEVAL,"EX")=0),0))))</f>
      </c>
      <c r="H19523">
        <f>IF(DATOS!$G19523&lt;&gt;"EX",0,--(COUNTIFS(nNIA,DATOS!$A19523,nCURSO,DATOS!$D19523,nESPEC,DATOS!$E19523,nASIG,DATOS!$I19523,nEVAL,"OR")=0))</f>
      </c>
      <c r="I19523">
        <f>IF(DATOS!$I19523="","",IFERROR(VLOOKUP(DATOS!$I19523,CONFIG_ASIGNATURAS!$B$2:$J$91,9,FALSE()),""))</f>
      </c>
    </row>
    <row r="19524">
      <c r="F19524">
        <f>IF(DATOS!$A19524="","",DATOS!$A19524&amp;"|"&amp;DATOS!$D19524&amp;"|"&amp;DATOS!$E19524&amp;"|"&amp;DATOS!$I19524)</f>
      </c>
      <c r="G19524">
        <f>IF(DATOS!$A19524="",0,IF(CONFIG_METADATA!$B$4&lt;&gt;"OR+EX",--(DATOS!$G19524=CONFIG_METADATA!$B$4),IF(DATOS!$G19524="EX",1,IF(DATOS!$G19524="OR",--(COUNTIFS(nNIA,DATOS!$A19524,nCURSO,DATOS!$D19524,nESPEC,DATOS!$E19524,nASIG,DATOS!$I19524,nEVAL,"EX")=0),0))))</f>
      </c>
      <c r="H19524">
        <f>IF(DATOS!$G19524&lt;&gt;"EX",0,--(COUNTIFS(nNIA,DATOS!$A19524,nCURSO,DATOS!$D19524,nESPEC,DATOS!$E19524,nASIG,DATOS!$I19524,nEVAL,"OR")=0))</f>
      </c>
      <c r="I19524">
        <f>IF(DATOS!$I19524="","",IFERROR(VLOOKUP(DATOS!$I19524,CONFIG_ASIGNATURAS!$B$2:$J$91,9,FALSE()),""))</f>
      </c>
    </row>
    <row r="19525">
      <c r="F19525">
        <f>IF(DATOS!$A19525="","",DATOS!$A19525&amp;"|"&amp;DATOS!$D19525&amp;"|"&amp;DATOS!$E19525&amp;"|"&amp;DATOS!$I19525)</f>
      </c>
      <c r="G19525">
        <f>IF(DATOS!$A19525="",0,IF(CONFIG_METADATA!$B$4&lt;&gt;"OR+EX",--(DATOS!$G19525=CONFIG_METADATA!$B$4),IF(DATOS!$G19525="EX",1,IF(DATOS!$G19525="OR",--(COUNTIFS(nNIA,DATOS!$A19525,nCURSO,DATOS!$D19525,nESPEC,DATOS!$E19525,nASIG,DATOS!$I19525,nEVAL,"EX")=0),0))))</f>
      </c>
      <c r="H19525">
        <f>IF(DATOS!$G19525&lt;&gt;"EX",0,--(COUNTIFS(nNIA,DATOS!$A19525,nCURSO,DATOS!$D19525,nESPEC,DATOS!$E19525,nASIG,DATOS!$I19525,nEVAL,"OR")=0))</f>
      </c>
      <c r="I19525">
        <f>IF(DATOS!$I19525="","",IFERROR(VLOOKUP(DATOS!$I19525,CONFIG_ASIGNATURAS!$B$2:$J$91,9,FALSE()),""))</f>
      </c>
    </row>
    <row r="19526">
      <c r="F19526">
        <f>IF(DATOS!$A19526="","",DATOS!$A19526&amp;"|"&amp;DATOS!$D19526&amp;"|"&amp;DATOS!$E19526&amp;"|"&amp;DATOS!$I19526)</f>
      </c>
      <c r="G19526">
        <f>IF(DATOS!$A19526="",0,IF(CONFIG_METADATA!$B$4&lt;&gt;"OR+EX",--(DATOS!$G19526=CONFIG_METADATA!$B$4),IF(DATOS!$G19526="EX",1,IF(DATOS!$G19526="OR",--(COUNTIFS(nNIA,DATOS!$A19526,nCURSO,DATOS!$D19526,nESPEC,DATOS!$E19526,nASIG,DATOS!$I19526,nEVAL,"EX")=0),0))))</f>
      </c>
      <c r="H19526">
        <f>IF(DATOS!$G19526&lt;&gt;"EX",0,--(COUNTIFS(nNIA,DATOS!$A19526,nCURSO,DATOS!$D19526,nESPEC,DATOS!$E19526,nASIG,DATOS!$I19526,nEVAL,"OR")=0))</f>
      </c>
      <c r="I19526">
        <f>IF(DATOS!$I19526="","",IFERROR(VLOOKUP(DATOS!$I19526,CONFIG_ASIGNATURAS!$B$2:$J$91,9,FALSE()),""))</f>
      </c>
    </row>
    <row r="19527">
      <c r="F19527">
        <f>IF(DATOS!$A19527="","",DATOS!$A19527&amp;"|"&amp;DATOS!$D19527&amp;"|"&amp;DATOS!$E19527&amp;"|"&amp;DATOS!$I19527)</f>
      </c>
      <c r="G19527">
        <f>IF(DATOS!$A19527="",0,IF(CONFIG_METADATA!$B$4&lt;&gt;"OR+EX",--(DATOS!$G19527=CONFIG_METADATA!$B$4),IF(DATOS!$G19527="EX",1,IF(DATOS!$G19527="OR",--(COUNTIFS(nNIA,DATOS!$A19527,nCURSO,DATOS!$D19527,nESPEC,DATOS!$E19527,nASIG,DATOS!$I19527,nEVAL,"EX")=0),0))))</f>
      </c>
      <c r="H19527">
        <f>IF(DATOS!$G19527&lt;&gt;"EX",0,--(COUNTIFS(nNIA,DATOS!$A19527,nCURSO,DATOS!$D19527,nESPEC,DATOS!$E19527,nASIG,DATOS!$I19527,nEVAL,"OR")=0))</f>
      </c>
      <c r="I19527">
        <f>IF(DATOS!$I19527="","",IFERROR(VLOOKUP(DATOS!$I19527,CONFIG_ASIGNATURAS!$B$2:$J$91,9,FALSE()),""))</f>
      </c>
    </row>
    <row r="19528">
      <c r="F19528">
        <f>IF(DATOS!$A19528="","",DATOS!$A19528&amp;"|"&amp;DATOS!$D19528&amp;"|"&amp;DATOS!$E19528&amp;"|"&amp;DATOS!$I19528)</f>
      </c>
      <c r="G19528">
        <f>IF(DATOS!$A19528="",0,IF(CONFIG_METADATA!$B$4&lt;&gt;"OR+EX",--(DATOS!$G19528=CONFIG_METADATA!$B$4),IF(DATOS!$G19528="EX",1,IF(DATOS!$G19528="OR",--(COUNTIFS(nNIA,DATOS!$A19528,nCURSO,DATOS!$D19528,nESPEC,DATOS!$E19528,nASIG,DATOS!$I19528,nEVAL,"EX")=0),0))))</f>
      </c>
      <c r="H19528">
        <f>IF(DATOS!$G19528&lt;&gt;"EX",0,--(COUNTIFS(nNIA,DATOS!$A19528,nCURSO,DATOS!$D19528,nESPEC,DATOS!$E19528,nASIG,DATOS!$I19528,nEVAL,"OR")=0))</f>
      </c>
      <c r="I19528">
        <f>IF(DATOS!$I19528="","",IFERROR(VLOOKUP(DATOS!$I19528,CONFIG_ASIGNATURAS!$B$2:$J$91,9,FALSE()),""))</f>
      </c>
    </row>
    <row r="19529">
      <c r="F19529">
        <f>IF(DATOS!$A19529="","",DATOS!$A19529&amp;"|"&amp;DATOS!$D19529&amp;"|"&amp;DATOS!$E19529&amp;"|"&amp;DATOS!$I19529)</f>
      </c>
      <c r="G19529">
        <f>IF(DATOS!$A19529="",0,IF(CONFIG_METADATA!$B$4&lt;&gt;"OR+EX",--(DATOS!$G19529=CONFIG_METADATA!$B$4),IF(DATOS!$G19529="EX",1,IF(DATOS!$G19529="OR",--(COUNTIFS(nNIA,DATOS!$A19529,nCURSO,DATOS!$D19529,nESPEC,DATOS!$E19529,nASIG,DATOS!$I19529,nEVAL,"EX")=0),0))))</f>
      </c>
      <c r="H19529">
        <f>IF(DATOS!$G19529&lt;&gt;"EX",0,--(COUNTIFS(nNIA,DATOS!$A19529,nCURSO,DATOS!$D19529,nESPEC,DATOS!$E19529,nASIG,DATOS!$I19529,nEVAL,"OR")=0))</f>
      </c>
      <c r="I19529">
        <f>IF(DATOS!$I19529="","",IFERROR(VLOOKUP(DATOS!$I19529,CONFIG_ASIGNATURAS!$B$2:$J$91,9,FALSE()),""))</f>
      </c>
    </row>
    <row r="19530">
      <c r="F19530">
        <f>IF(DATOS!$A19530="","",DATOS!$A19530&amp;"|"&amp;DATOS!$D19530&amp;"|"&amp;DATOS!$E19530&amp;"|"&amp;DATOS!$I19530)</f>
      </c>
      <c r="G19530">
        <f>IF(DATOS!$A19530="",0,IF(CONFIG_METADATA!$B$4&lt;&gt;"OR+EX",--(DATOS!$G19530=CONFIG_METADATA!$B$4),IF(DATOS!$G19530="EX",1,IF(DATOS!$G19530="OR",--(COUNTIFS(nNIA,DATOS!$A19530,nCURSO,DATOS!$D19530,nESPEC,DATOS!$E19530,nASIG,DATOS!$I19530,nEVAL,"EX")=0),0))))</f>
      </c>
      <c r="H19530">
        <f>IF(DATOS!$G19530&lt;&gt;"EX",0,--(COUNTIFS(nNIA,DATOS!$A19530,nCURSO,DATOS!$D19530,nESPEC,DATOS!$E19530,nASIG,DATOS!$I19530,nEVAL,"OR")=0))</f>
      </c>
      <c r="I19530">
        <f>IF(DATOS!$I19530="","",IFERROR(VLOOKUP(DATOS!$I19530,CONFIG_ASIGNATURAS!$B$2:$J$91,9,FALSE()),""))</f>
      </c>
    </row>
    <row r="19531">
      <c r="F19531">
        <f>IF(DATOS!$A19531="","",DATOS!$A19531&amp;"|"&amp;DATOS!$D19531&amp;"|"&amp;DATOS!$E19531&amp;"|"&amp;DATOS!$I19531)</f>
      </c>
      <c r="G19531">
        <f>IF(DATOS!$A19531="",0,IF(CONFIG_METADATA!$B$4&lt;&gt;"OR+EX",--(DATOS!$G19531=CONFIG_METADATA!$B$4),IF(DATOS!$G19531="EX",1,IF(DATOS!$G19531="OR",--(COUNTIFS(nNIA,DATOS!$A19531,nCURSO,DATOS!$D19531,nESPEC,DATOS!$E19531,nASIG,DATOS!$I19531,nEVAL,"EX")=0),0))))</f>
      </c>
      <c r="H19531">
        <f>IF(DATOS!$G19531&lt;&gt;"EX",0,--(COUNTIFS(nNIA,DATOS!$A19531,nCURSO,DATOS!$D19531,nESPEC,DATOS!$E19531,nASIG,DATOS!$I19531,nEVAL,"OR")=0))</f>
      </c>
      <c r="I19531">
        <f>IF(DATOS!$I19531="","",IFERROR(VLOOKUP(DATOS!$I19531,CONFIG_ASIGNATURAS!$B$2:$J$91,9,FALSE()),""))</f>
      </c>
    </row>
    <row r="19532">
      <c r="F19532">
        <f>IF(DATOS!$A19532="","",DATOS!$A19532&amp;"|"&amp;DATOS!$D19532&amp;"|"&amp;DATOS!$E19532&amp;"|"&amp;DATOS!$I19532)</f>
      </c>
      <c r="G19532">
        <f>IF(DATOS!$A19532="",0,IF(CONFIG_METADATA!$B$4&lt;&gt;"OR+EX",--(DATOS!$G19532=CONFIG_METADATA!$B$4),IF(DATOS!$G19532="EX",1,IF(DATOS!$G19532="OR",--(COUNTIFS(nNIA,DATOS!$A19532,nCURSO,DATOS!$D19532,nESPEC,DATOS!$E19532,nASIG,DATOS!$I19532,nEVAL,"EX")=0),0))))</f>
      </c>
      <c r="H19532">
        <f>IF(DATOS!$G19532&lt;&gt;"EX",0,--(COUNTIFS(nNIA,DATOS!$A19532,nCURSO,DATOS!$D19532,nESPEC,DATOS!$E19532,nASIG,DATOS!$I19532,nEVAL,"OR")=0))</f>
      </c>
      <c r="I19532">
        <f>IF(DATOS!$I19532="","",IFERROR(VLOOKUP(DATOS!$I19532,CONFIG_ASIGNATURAS!$B$2:$J$91,9,FALSE()),""))</f>
      </c>
    </row>
    <row r="19533">
      <c r="F19533">
        <f>IF(DATOS!$A19533="","",DATOS!$A19533&amp;"|"&amp;DATOS!$D19533&amp;"|"&amp;DATOS!$E19533&amp;"|"&amp;DATOS!$I19533)</f>
      </c>
      <c r="G19533">
        <f>IF(DATOS!$A19533="",0,IF(CONFIG_METADATA!$B$4&lt;&gt;"OR+EX",--(DATOS!$G19533=CONFIG_METADATA!$B$4),IF(DATOS!$G19533="EX",1,IF(DATOS!$G19533="OR",--(COUNTIFS(nNIA,DATOS!$A19533,nCURSO,DATOS!$D19533,nESPEC,DATOS!$E19533,nASIG,DATOS!$I19533,nEVAL,"EX")=0),0))))</f>
      </c>
      <c r="H19533">
        <f>IF(DATOS!$G19533&lt;&gt;"EX",0,--(COUNTIFS(nNIA,DATOS!$A19533,nCURSO,DATOS!$D19533,nESPEC,DATOS!$E19533,nASIG,DATOS!$I19533,nEVAL,"OR")=0))</f>
      </c>
      <c r="I19533">
        <f>IF(DATOS!$I19533="","",IFERROR(VLOOKUP(DATOS!$I19533,CONFIG_ASIGNATURAS!$B$2:$J$91,9,FALSE()),""))</f>
      </c>
    </row>
    <row r="19534">
      <c r="F19534">
        <f>IF(DATOS!$A19534="","",DATOS!$A19534&amp;"|"&amp;DATOS!$D19534&amp;"|"&amp;DATOS!$E19534&amp;"|"&amp;DATOS!$I19534)</f>
      </c>
      <c r="G19534">
        <f>IF(DATOS!$A19534="",0,IF(CONFIG_METADATA!$B$4&lt;&gt;"OR+EX",--(DATOS!$G19534=CONFIG_METADATA!$B$4),IF(DATOS!$G19534="EX",1,IF(DATOS!$G19534="OR",--(COUNTIFS(nNIA,DATOS!$A19534,nCURSO,DATOS!$D19534,nESPEC,DATOS!$E19534,nASIG,DATOS!$I19534,nEVAL,"EX")=0),0))))</f>
      </c>
      <c r="H19534">
        <f>IF(DATOS!$G19534&lt;&gt;"EX",0,--(COUNTIFS(nNIA,DATOS!$A19534,nCURSO,DATOS!$D19534,nESPEC,DATOS!$E19534,nASIG,DATOS!$I19534,nEVAL,"OR")=0))</f>
      </c>
      <c r="I19534">
        <f>IF(DATOS!$I19534="","",IFERROR(VLOOKUP(DATOS!$I19534,CONFIG_ASIGNATURAS!$B$2:$J$91,9,FALSE()),""))</f>
      </c>
    </row>
    <row r="19535">
      <c r="F19535">
        <f>IF(DATOS!$A19535="","",DATOS!$A19535&amp;"|"&amp;DATOS!$D19535&amp;"|"&amp;DATOS!$E19535&amp;"|"&amp;DATOS!$I19535)</f>
      </c>
      <c r="G19535">
        <f>IF(DATOS!$A19535="",0,IF(CONFIG_METADATA!$B$4&lt;&gt;"OR+EX",--(DATOS!$G19535=CONFIG_METADATA!$B$4),IF(DATOS!$G19535="EX",1,IF(DATOS!$G19535="OR",--(COUNTIFS(nNIA,DATOS!$A19535,nCURSO,DATOS!$D19535,nESPEC,DATOS!$E19535,nASIG,DATOS!$I19535,nEVAL,"EX")=0),0))))</f>
      </c>
      <c r="H19535">
        <f>IF(DATOS!$G19535&lt;&gt;"EX",0,--(COUNTIFS(nNIA,DATOS!$A19535,nCURSO,DATOS!$D19535,nESPEC,DATOS!$E19535,nASIG,DATOS!$I19535,nEVAL,"OR")=0))</f>
      </c>
      <c r="I19535">
        <f>IF(DATOS!$I19535="","",IFERROR(VLOOKUP(DATOS!$I19535,CONFIG_ASIGNATURAS!$B$2:$J$91,9,FALSE()),""))</f>
      </c>
    </row>
    <row r="19536">
      <c r="F19536">
        <f>IF(DATOS!$A19536="","",DATOS!$A19536&amp;"|"&amp;DATOS!$D19536&amp;"|"&amp;DATOS!$E19536&amp;"|"&amp;DATOS!$I19536)</f>
      </c>
      <c r="G19536">
        <f>IF(DATOS!$A19536="",0,IF(CONFIG_METADATA!$B$4&lt;&gt;"OR+EX",--(DATOS!$G19536=CONFIG_METADATA!$B$4),IF(DATOS!$G19536="EX",1,IF(DATOS!$G19536="OR",--(COUNTIFS(nNIA,DATOS!$A19536,nCURSO,DATOS!$D19536,nESPEC,DATOS!$E19536,nASIG,DATOS!$I19536,nEVAL,"EX")=0),0))))</f>
      </c>
      <c r="H19536">
        <f>IF(DATOS!$G19536&lt;&gt;"EX",0,--(COUNTIFS(nNIA,DATOS!$A19536,nCURSO,DATOS!$D19536,nESPEC,DATOS!$E19536,nASIG,DATOS!$I19536,nEVAL,"OR")=0))</f>
      </c>
      <c r="I19536">
        <f>IF(DATOS!$I19536="","",IFERROR(VLOOKUP(DATOS!$I19536,CONFIG_ASIGNATURAS!$B$2:$J$91,9,FALSE()),""))</f>
      </c>
    </row>
    <row r="19537">
      <c r="F19537">
        <f>IF(DATOS!$A19537="","",DATOS!$A19537&amp;"|"&amp;DATOS!$D19537&amp;"|"&amp;DATOS!$E19537&amp;"|"&amp;DATOS!$I19537)</f>
      </c>
      <c r="G19537">
        <f>IF(DATOS!$A19537="",0,IF(CONFIG_METADATA!$B$4&lt;&gt;"OR+EX",--(DATOS!$G19537=CONFIG_METADATA!$B$4),IF(DATOS!$G19537="EX",1,IF(DATOS!$G19537="OR",--(COUNTIFS(nNIA,DATOS!$A19537,nCURSO,DATOS!$D19537,nESPEC,DATOS!$E19537,nASIG,DATOS!$I19537,nEVAL,"EX")=0),0))))</f>
      </c>
      <c r="H19537">
        <f>IF(DATOS!$G19537&lt;&gt;"EX",0,--(COUNTIFS(nNIA,DATOS!$A19537,nCURSO,DATOS!$D19537,nESPEC,DATOS!$E19537,nASIG,DATOS!$I19537,nEVAL,"OR")=0))</f>
      </c>
      <c r="I19537">
        <f>IF(DATOS!$I19537="","",IFERROR(VLOOKUP(DATOS!$I19537,CONFIG_ASIGNATURAS!$B$2:$J$91,9,FALSE()),""))</f>
      </c>
    </row>
    <row r="19538">
      <c r="F19538">
        <f>IF(DATOS!$A19538="","",DATOS!$A19538&amp;"|"&amp;DATOS!$D19538&amp;"|"&amp;DATOS!$E19538&amp;"|"&amp;DATOS!$I19538)</f>
      </c>
      <c r="G19538">
        <f>IF(DATOS!$A19538="",0,IF(CONFIG_METADATA!$B$4&lt;&gt;"OR+EX",--(DATOS!$G19538=CONFIG_METADATA!$B$4),IF(DATOS!$G19538="EX",1,IF(DATOS!$G19538="OR",--(COUNTIFS(nNIA,DATOS!$A19538,nCURSO,DATOS!$D19538,nESPEC,DATOS!$E19538,nASIG,DATOS!$I19538,nEVAL,"EX")=0),0))))</f>
      </c>
      <c r="H19538">
        <f>IF(DATOS!$G19538&lt;&gt;"EX",0,--(COUNTIFS(nNIA,DATOS!$A19538,nCURSO,DATOS!$D19538,nESPEC,DATOS!$E19538,nASIG,DATOS!$I19538,nEVAL,"OR")=0))</f>
      </c>
      <c r="I19538">
        <f>IF(DATOS!$I19538="","",IFERROR(VLOOKUP(DATOS!$I19538,CONFIG_ASIGNATURAS!$B$2:$J$91,9,FALSE()),""))</f>
      </c>
    </row>
    <row r="19539">
      <c r="F19539">
        <f>IF(DATOS!$A19539="","",DATOS!$A19539&amp;"|"&amp;DATOS!$D19539&amp;"|"&amp;DATOS!$E19539&amp;"|"&amp;DATOS!$I19539)</f>
      </c>
      <c r="G19539">
        <f>IF(DATOS!$A19539="",0,IF(CONFIG_METADATA!$B$4&lt;&gt;"OR+EX",--(DATOS!$G19539=CONFIG_METADATA!$B$4),IF(DATOS!$G19539="EX",1,IF(DATOS!$G19539="OR",--(COUNTIFS(nNIA,DATOS!$A19539,nCURSO,DATOS!$D19539,nESPEC,DATOS!$E19539,nASIG,DATOS!$I19539,nEVAL,"EX")=0),0))))</f>
      </c>
      <c r="H19539">
        <f>IF(DATOS!$G19539&lt;&gt;"EX",0,--(COUNTIFS(nNIA,DATOS!$A19539,nCURSO,DATOS!$D19539,nESPEC,DATOS!$E19539,nASIG,DATOS!$I19539,nEVAL,"OR")=0))</f>
      </c>
      <c r="I19539">
        <f>IF(DATOS!$I19539="","",IFERROR(VLOOKUP(DATOS!$I19539,CONFIG_ASIGNATURAS!$B$2:$J$91,9,FALSE()),""))</f>
      </c>
    </row>
    <row r="19540">
      <c r="F19540">
        <f>IF(DATOS!$A19540="","",DATOS!$A19540&amp;"|"&amp;DATOS!$D19540&amp;"|"&amp;DATOS!$E19540&amp;"|"&amp;DATOS!$I19540)</f>
      </c>
      <c r="G19540">
        <f>IF(DATOS!$A19540="",0,IF(CONFIG_METADATA!$B$4&lt;&gt;"OR+EX",--(DATOS!$G19540=CONFIG_METADATA!$B$4),IF(DATOS!$G19540="EX",1,IF(DATOS!$G19540="OR",--(COUNTIFS(nNIA,DATOS!$A19540,nCURSO,DATOS!$D19540,nESPEC,DATOS!$E19540,nASIG,DATOS!$I19540,nEVAL,"EX")=0),0))))</f>
      </c>
      <c r="H19540">
        <f>IF(DATOS!$G19540&lt;&gt;"EX",0,--(COUNTIFS(nNIA,DATOS!$A19540,nCURSO,DATOS!$D19540,nESPEC,DATOS!$E19540,nASIG,DATOS!$I19540,nEVAL,"OR")=0))</f>
      </c>
      <c r="I19540">
        <f>IF(DATOS!$I19540="","",IFERROR(VLOOKUP(DATOS!$I19540,CONFIG_ASIGNATURAS!$B$2:$J$91,9,FALSE()),""))</f>
      </c>
    </row>
    <row r="19541">
      <c r="F19541">
        <f>IF(DATOS!$A19541="","",DATOS!$A19541&amp;"|"&amp;DATOS!$D19541&amp;"|"&amp;DATOS!$E19541&amp;"|"&amp;DATOS!$I19541)</f>
      </c>
      <c r="G19541">
        <f>IF(DATOS!$A19541="",0,IF(CONFIG_METADATA!$B$4&lt;&gt;"OR+EX",--(DATOS!$G19541=CONFIG_METADATA!$B$4),IF(DATOS!$G19541="EX",1,IF(DATOS!$G19541="OR",--(COUNTIFS(nNIA,DATOS!$A19541,nCURSO,DATOS!$D19541,nESPEC,DATOS!$E19541,nASIG,DATOS!$I19541,nEVAL,"EX")=0),0))))</f>
      </c>
      <c r="H19541">
        <f>IF(DATOS!$G19541&lt;&gt;"EX",0,--(COUNTIFS(nNIA,DATOS!$A19541,nCURSO,DATOS!$D19541,nESPEC,DATOS!$E19541,nASIG,DATOS!$I19541,nEVAL,"OR")=0))</f>
      </c>
      <c r="I19541">
        <f>IF(DATOS!$I19541="","",IFERROR(VLOOKUP(DATOS!$I19541,CONFIG_ASIGNATURAS!$B$2:$J$91,9,FALSE()),""))</f>
      </c>
    </row>
    <row r="19542">
      <c r="F19542">
        <f>IF(DATOS!$A19542="","",DATOS!$A19542&amp;"|"&amp;DATOS!$D19542&amp;"|"&amp;DATOS!$E19542&amp;"|"&amp;DATOS!$I19542)</f>
      </c>
      <c r="G19542">
        <f>IF(DATOS!$A19542="",0,IF(CONFIG_METADATA!$B$4&lt;&gt;"OR+EX",--(DATOS!$G19542=CONFIG_METADATA!$B$4),IF(DATOS!$G19542="EX",1,IF(DATOS!$G19542="OR",--(COUNTIFS(nNIA,DATOS!$A19542,nCURSO,DATOS!$D19542,nESPEC,DATOS!$E19542,nASIG,DATOS!$I19542,nEVAL,"EX")=0),0))))</f>
      </c>
      <c r="H19542">
        <f>IF(DATOS!$G19542&lt;&gt;"EX",0,--(COUNTIFS(nNIA,DATOS!$A19542,nCURSO,DATOS!$D19542,nESPEC,DATOS!$E19542,nASIG,DATOS!$I19542,nEVAL,"OR")=0))</f>
      </c>
      <c r="I19542">
        <f>IF(DATOS!$I19542="","",IFERROR(VLOOKUP(DATOS!$I19542,CONFIG_ASIGNATURAS!$B$2:$J$91,9,FALSE()),""))</f>
      </c>
    </row>
    <row r="19543">
      <c r="F19543">
        <f>IF(DATOS!$A19543="","",DATOS!$A19543&amp;"|"&amp;DATOS!$D19543&amp;"|"&amp;DATOS!$E19543&amp;"|"&amp;DATOS!$I19543)</f>
      </c>
      <c r="G19543">
        <f>IF(DATOS!$A19543="",0,IF(CONFIG_METADATA!$B$4&lt;&gt;"OR+EX",--(DATOS!$G19543=CONFIG_METADATA!$B$4),IF(DATOS!$G19543="EX",1,IF(DATOS!$G19543="OR",--(COUNTIFS(nNIA,DATOS!$A19543,nCURSO,DATOS!$D19543,nESPEC,DATOS!$E19543,nASIG,DATOS!$I19543,nEVAL,"EX")=0),0))))</f>
      </c>
      <c r="H19543">
        <f>IF(DATOS!$G19543&lt;&gt;"EX",0,--(COUNTIFS(nNIA,DATOS!$A19543,nCURSO,DATOS!$D19543,nESPEC,DATOS!$E19543,nASIG,DATOS!$I19543,nEVAL,"OR")=0))</f>
      </c>
      <c r="I19543">
        <f>IF(DATOS!$I19543="","",IFERROR(VLOOKUP(DATOS!$I19543,CONFIG_ASIGNATURAS!$B$2:$J$91,9,FALSE()),""))</f>
      </c>
    </row>
    <row r="19544">
      <c r="F19544">
        <f>IF(DATOS!$A19544="","",DATOS!$A19544&amp;"|"&amp;DATOS!$D19544&amp;"|"&amp;DATOS!$E19544&amp;"|"&amp;DATOS!$I19544)</f>
      </c>
      <c r="G19544">
        <f>IF(DATOS!$A19544="",0,IF(CONFIG_METADATA!$B$4&lt;&gt;"OR+EX",--(DATOS!$G19544=CONFIG_METADATA!$B$4),IF(DATOS!$G19544="EX",1,IF(DATOS!$G19544="OR",--(COUNTIFS(nNIA,DATOS!$A19544,nCURSO,DATOS!$D19544,nESPEC,DATOS!$E19544,nASIG,DATOS!$I19544,nEVAL,"EX")=0),0))))</f>
      </c>
      <c r="H19544">
        <f>IF(DATOS!$G19544&lt;&gt;"EX",0,--(COUNTIFS(nNIA,DATOS!$A19544,nCURSO,DATOS!$D19544,nESPEC,DATOS!$E19544,nASIG,DATOS!$I19544,nEVAL,"OR")=0))</f>
      </c>
      <c r="I19544">
        <f>IF(DATOS!$I19544="","",IFERROR(VLOOKUP(DATOS!$I19544,CONFIG_ASIGNATURAS!$B$2:$J$91,9,FALSE()),""))</f>
      </c>
    </row>
    <row r="19545">
      <c r="F19545">
        <f>IF(DATOS!$A19545="","",DATOS!$A19545&amp;"|"&amp;DATOS!$D19545&amp;"|"&amp;DATOS!$E19545&amp;"|"&amp;DATOS!$I19545)</f>
      </c>
      <c r="G19545">
        <f>IF(DATOS!$A19545="",0,IF(CONFIG_METADATA!$B$4&lt;&gt;"OR+EX",--(DATOS!$G19545=CONFIG_METADATA!$B$4),IF(DATOS!$G19545="EX",1,IF(DATOS!$G19545="OR",--(COUNTIFS(nNIA,DATOS!$A19545,nCURSO,DATOS!$D19545,nESPEC,DATOS!$E19545,nASIG,DATOS!$I19545,nEVAL,"EX")=0),0))))</f>
      </c>
      <c r="H19545">
        <f>IF(DATOS!$G19545&lt;&gt;"EX",0,--(COUNTIFS(nNIA,DATOS!$A19545,nCURSO,DATOS!$D19545,nESPEC,DATOS!$E19545,nASIG,DATOS!$I19545,nEVAL,"OR")=0))</f>
      </c>
      <c r="I19545">
        <f>IF(DATOS!$I19545="","",IFERROR(VLOOKUP(DATOS!$I19545,CONFIG_ASIGNATURAS!$B$2:$J$91,9,FALSE()),""))</f>
      </c>
    </row>
    <row r="19546">
      <c r="F19546">
        <f>IF(DATOS!$A19546="","",DATOS!$A19546&amp;"|"&amp;DATOS!$D19546&amp;"|"&amp;DATOS!$E19546&amp;"|"&amp;DATOS!$I19546)</f>
      </c>
      <c r="G19546">
        <f>IF(DATOS!$A19546="",0,IF(CONFIG_METADATA!$B$4&lt;&gt;"OR+EX",--(DATOS!$G19546=CONFIG_METADATA!$B$4),IF(DATOS!$G19546="EX",1,IF(DATOS!$G19546="OR",--(COUNTIFS(nNIA,DATOS!$A19546,nCURSO,DATOS!$D19546,nESPEC,DATOS!$E19546,nASIG,DATOS!$I19546,nEVAL,"EX")=0),0))))</f>
      </c>
      <c r="H19546">
        <f>IF(DATOS!$G19546&lt;&gt;"EX",0,--(COUNTIFS(nNIA,DATOS!$A19546,nCURSO,DATOS!$D19546,nESPEC,DATOS!$E19546,nASIG,DATOS!$I19546,nEVAL,"OR")=0))</f>
      </c>
      <c r="I19546">
        <f>IF(DATOS!$I19546="","",IFERROR(VLOOKUP(DATOS!$I19546,CONFIG_ASIGNATURAS!$B$2:$J$91,9,FALSE()),""))</f>
      </c>
    </row>
    <row r="19547">
      <c r="F19547">
        <f>IF(DATOS!$A19547="","",DATOS!$A19547&amp;"|"&amp;DATOS!$D19547&amp;"|"&amp;DATOS!$E19547&amp;"|"&amp;DATOS!$I19547)</f>
      </c>
      <c r="G19547">
        <f>IF(DATOS!$A19547="",0,IF(CONFIG_METADATA!$B$4&lt;&gt;"OR+EX",--(DATOS!$G19547=CONFIG_METADATA!$B$4),IF(DATOS!$G19547="EX",1,IF(DATOS!$G19547="OR",--(COUNTIFS(nNIA,DATOS!$A19547,nCURSO,DATOS!$D19547,nESPEC,DATOS!$E19547,nASIG,DATOS!$I19547,nEVAL,"EX")=0),0))))</f>
      </c>
      <c r="H19547">
        <f>IF(DATOS!$G19547&lt;&gt;"EX",0,--(COUNTIFS(nNIA,DATOS!$A19547,nCURSO,DATOS!$D19547,nESPEC,DATOS!$E19547,nASIG,DATOS!$I19547,nEVAL,"OR")=0))</f>
      </c>
      <c r="I19547">
        <f>IF(DATOS!$I19547="","",IFERROR(VLOOKUP(DATOS!$I19547,CONFIG_ASIGNATURAS!$B$2:$J$91,9,FALSE()),""))</f>
      </c>
    </row>
    <row r="19548">
      <c r="F19548">
        <f>IF(DATOS!$A19548="","",DATOS!$A19548&amp;"|"&amp;DATOS!$D19548&amp;"|"&amp;DATOS!$E19548&amp;"|"&amp;DATOS!$I19548)</f>
      </c>
      <c r="G19548">
        <f>IF(DATOS!$A19548="",0,IF(CONFIG_METADATA!$B$4&lt;&gt;"OR+EX",--(DATOS!$G19548=CONFIG_METADATA!$B$4),IF(DATOS!$G19548="EX",1,IF(DATOS!$G19548="OR",--(COUNTIFS(nNIA,DATOS!$A19548,nCURSO,DATOS!$D19548,nESPEC,DATOS!$E19548,nASIG,DATOS!$I19548,nEVAL,"EX")=0),0))))</f>
      </c>
      <c r="H19548">
        <f>IF(DATOS!$G19548&lt;&gt;"EX",0,--(COUNTIFS(nNIA,DATOS!$A19548,nCURSO,DATOS!$D19548,nESPEC,DATOS!$E19548,nASIG,DATOS!$I19548,nEVAL,"OR")=0))</f>
      </c>
      <c r="I19548">
        <f>IF(DATOS!$I19548="","",IFERROR(VLOOKUP(DATOS!$I19548,CONFIG_ASIGNATURAS!$B$2:$J$91,9,FALSE()),""))</f>
      </c>
    </row>
    <row r="19549">
      <c r="F19549">
        <f>IF(DATOS!$A19549="","",DATOS!$A19549&amp;"|"&amp;DATOS!$D19549&amp;"|"&amp;DATOS!$E19549&amp;"|"&amp;DATOS!$I19549)</f>
      </c>
      <c r="G19549">
        <f>IF(DATOS!$A19549="",0,IF(CONFIG_METADATA!$B$4&lt;&gt;"OR+EX",--(DATOS!$G19549=CONFIG_METADATA!$B$4),IF(DATOS!$G19549="EX",1,IF(DATOS!$G19549="OR",--(COUNTIFS(nNIA,DATOS!$A19549,nCURSO,DATOS!$D19549,nESPEC,DATOS!$E19549,nASIG,DATOS!$I19549,nEVAL,"EX")=0),0))))</f>
      </c>
      <c r="H19549">
        <f>IF(DATOS!$G19549&lt;&gt;"EX",0,--(COUNTIFS(nNIA,DATOS!$A19549,nCURSO,DATOS!$D19549,nESPEC,DATOS!$E19549,nASIG,DATOS!$I19549,nEVAL,"OR")=0))</f>
      </c>
      <c r="I19549">
        <f>IF(DATOS!$I19549="","",IFERROR(VLOOKUP(DATOS!$I19549,CONFIG_ASIGNATURAS!$B$2:$J$91,9,FALSE()),""))</f>
      </c>
    </row>
    <row r="19550">
      <c r="F19550">
        <f>IF(DATOS!$A19550="","",DATOS!$A19550&amp;"|"&amp;DATOS!$D19550&amp;"|"&amp;DATOS!$E19550&amp;"|"&amp;DATOS!$I19550)</f>
      </c>
      <c r="G19550">
        <f>IF(DATOS!$A19550="",0,IF(CONFIG_METADATA!$B$4&lt;&gt;"OR+EX",--(DATOS!$G19550=CONFIG_METADATA!$B$4),IF(DATOS!$G19550="EX",1,IF(DATOS!$G19550="OR",--(COUNTIFS(nNIA,DATOS!$A19550,nCURSO,DATOS!$D19550,nESPEC,DATOS!$E19550,nASIG,DATOS!$I19550,nEVAL,"EX")=0),0))))</f>
      </c>
      <c r="H19550">
        <f>IF(DATOS!$G19550&lt;&gt;"EX",0,--(COUNTIFS(nNIA,DATOS!$A19550,nCURSO,DATOS!$D19550,nESPEC,DATOS!$E19550,nASIG,DATOS!$I19550,nEVAL,"OR")=0))</f>
      </c>
      <c r="I19550">
        <f>IF(DATOS!$I19550="","",IFERROR(VLOOKUP(DATOS!$I19550,CONFIG_ASIGNATURAS!$B$2:$J$91,9,FALSE()),""))</f>
      </c>
    </row>
    <row r="19551">
      <c r="F19551">
        <f>IF(DATOS!$A19551="","",DATOS!$A19551&amp;"|"&amp;DATOS!$D19551&amp;"|"&amp;DATOS!$E19551&amp;"|"&amp;DATOS!$I19551)</f>
      </c>
      <c r="G19551">
        <f>IF(DATOS!$A19551="",0,IF(CONFIG_METADATA!$B$4&lt;&gt;"OR+EX",--(DATOS!$G19551=CONFIG_METADATA!$B$4),IF(DATOS!$G19551="EX",1,IF(DATOS!$G19551="OR",--(COUNTIFS(nNIA,DATOS!$A19551,nCURSO,DATOS!$D19551,nESPEC,DATOS!$E19551,nASIG,DATOS!$I19551,nEVAL,"EX")=0),0))))</f>
      </c>
      <c r="H19551">
        <f>IF(DATOS!$G19551&lt;&gt;"EX",0,--(COUNTIFS(nNIA,DATOS!$A19551,nCURSO,DATOS!$D19551,nESPEC,DATOS!$E19551,nASIG,DATOS!$I19551,nEVAL,"OR")=0))</f>
      </c>
      <c r="I19551">
        <f>IF(DATOS!$I19551="","",IFERROR(VLOOKUP(DATOS!$I19551,CONFIG_ASIGNATURAS!$B$2:$J$91,9,FALSE()),""))</f>
      </c>
    </row>
    <row r="19552">
      <c r="F19552">
        <f>IF(DATOS!$A19552="","",DATOS!$A19552&amp;"|"&amp;DATOS!$D19552&amp;"|"&amp;DATOS!$E19552&amp;"|"&amp;DATOS!$I19552)</f>
      </c>
      <c r="G19552">
        <f>IF(DATOS!$A19552="",0,IF(CONFIG_METADATA!$B$4&lt;&gt;"OR+EX",--(DATOS!$G19552=CONFIG_METADATA!$B$4),IF(DATOS!$G19552="EX",1,IF(DATOS!$G19552="OR",--(COUNTIFS(nNIA,DATOS!$A19552,nCURSO,DATOS!$D19552,nESPEC,DATOS!$E19552,nASIG,DATOS!$I19552,nEVAL,"EX")=0),0))))</f>
      </c>
      <c r="H19552">
        <f>IF(DATOS!$G19552&lt;&gt;"EX",0,--(COUNTIFS(nNIA,DATOS!$A19552,nCURSO,DATOS!$D19552,nESPEC,DATOS!$E19552,nASIG,DATOS!$I19552,nEVAL,"OR")=0))</f>
      </c>
      <c r="I19552">
        <f>IF(DATOS!$I19552="","",IFERROR(VLOOKUP(DATOS!$I19552,CONFIG_ASIGNATURAS!$B$2:$J$91,9,FALSE()),""))</f>
      </c>
    </row>
    <row r="19553">
      <c r="F19553">
        <f>IF(DATOS!$A19553="","",DATOS!$A19553&amp;"|"&amp;DATOS!$D19553&amp;"|"&amp;DATOS!$E19553&amp;"|"&amp;DATOS!$I19553)</f>
      </c>
      <c r="G19553">
        <f>IF(DATOS!$A19553="",0,IF(CONFIG_METADATA!$B$4&lt;&gt;"OR+EX",--(DATOS!$G19553=CONFIG_METADATA!$B$4),IF(DATOS!$G19553="EX",1,IF(DATOS!$G19553="OR",--(COUNTIFS(nNIA,DATOS!$A19553,nCURSO,DATOS!$D19553,nESPEC,DATOS!$E19553,nASIG,DATOS!$I19553,nEVAL,"EX")=0),0))))</f>
      </c>
      <c r="H19553">
        <f>IF(DATOS!$G19553&lt;&gt;"EX",0,--(COUNTIFS(nNIA,DATOS!$A19553,nCURSO,DATOS!$D19553,nESPEC,DATOS!$E19553,nASIG,DATOS!$I19553,nEVAL,"OR")=0))</f>
      </c>
      <c r="I19553">
        <f>IF(DATOS!$I19553="","",IFERROR(VLOOKUP(DATOS!$I19553,CONFIG_ASIGNATURAS!$B$2:$J$91,9,FALSE()),""))</f>
      </c>
    </row>
    <row r="19554">
      <c r="F19554">
        <f>IF(DATOS!$A19554="","",DATOS!$A19554&amp;"|"&amp;DATOS!$D19554&amp;"|"&amp;DATOS!$E19554&amp;"|"&amp;DATOS!$I19554)</f>
      </c>
      <c r="G19554">
        <f>IF(DATOS!$A19554="",0,IF(CONFIG_METADATA!$B$4&lt;&gt;"OR+EX",--(DATOS!$G19554=CONFIG_METADATA!$B$4),IF(DATOS!$G19554="EX",1,IF(DATOS!$G19554="OR",--(COUNTIFS(nNIA,DATOS!$A19554,nCURSO,DATOS!$D19554,nESPEC,DATOS!$E19554,nASIG,DATOS!$I19554,nEVAL,"EX")=0),0))))</f>
      </c>
      <c r="H19554">
        <f>IF(DATOS!$G19554&lt;&gt;"EX",0,--(COUNTIFS(nNIA,DATOS!$A19554,nCURSO,DATOS!$D19554,nESPEC,DATOS!$E19554,nASIG,DATOS!$I19554,nEVAL,"OR")=0))</f>
      </c>
      <c r="I19554">
        <f>IF(DATOS!$I19554="","",IFERROR(VLOOKUP(DATOS!$I19554,CONFIG_ASIGNATURAS!$B$2:$J$91,9,FALSE()),""))</f>
      </c>
    </row>
    <row r="19555">
      <c r="F19555">
        <f>IF(DATOS!$A19555="","",DATOS!$A19555&amp;"|"&amp;DATOS!$D19555&amp;"|"&amp;DATOS!$E19555&amp;"|"&amp;DATOS!$I19555)</f>
      </c>
      <c r="G19555">
        <f>IF(DATOS!$A19555="",0,IF(CONFIG_METADATA!$B$4&lt;&gt;"OR+EX",--(DATOS!$G19555=CONFIG_METADATA!$B$4),IF(DATOS!$G19555="EX",1,IF(DATOS!$G19555="OR",--(COUNTIFS(nNIA,DATOS!$A19555,nCURSO,DATOS!$D19555,nESPEC,DATOS!$E19555,nASIG,DATOS!$I19555,nEVAL,"EX")=0),0))))</f>
      </c>
      <c r="H19555">
        <f>IF(DATOS!$G19555&lt;&gt;"EX",0,--(COUNTIFS(nNIA,DATOS!$A19555,nCURSO,DATOS!$D19555,nESPEC,DATOS!$E19555,nASIG,DATOS!$I19555,nEVAL,"OR")=0))</f>
      </c>
      <c r="I19555">
        <f>IF(DATOS!$I19555="","",IFERROR(VLOOKUP(DATOS!$I19555,CONFIG_ASIGNATURAS!$B$2:$J$91,9,FALSE()),""))</f>
      </c>
    </row>
    <row r="19556">
      <c r="F19556">
        <f>IF(DATOS!$A19556="","",DATOS!$A19556&amp;"|"&amp;DATOS!$D19556&amp;"|"&amp;DATOS!$E19556&amp;"|"&amp;DATOS!$I19556)</f>
      </c>
      <c r="G19556">
        <f>IF(DATOS!$A19556="",0,IF(CONFIG_METADATA!$B$4&lt;&gt;"OR+EX",--(DATOS!$G19556=CONFIG_METADATA!$B$4),IF(DATOS!$G19556="EX",1,IF(DATOS!$G19556="OR",--(COUNTIFS(nNIA,DATOS!$A19556,nCURSO,DATOS!$D19556,nESPEC,DATOS!$E19556,nASIG,DATOS!$I19556,nEVAL,"EX")=0),0))))</f>
      </c>
      <c r="H19556">
        <f>IF(DATOS!$G19556&lt;&gt;"EX",0,--(COUNTIFS(nNIA,DATOS!$A19556,nCURSO,DATOS!$D19556,nESPEC,DATOS!$E19556,nASIG,DATOS!$I19556,nEVAL,"OR")=0))</f>
      </c>
      <c r="I19556">
        <f>IF(DATOS!$I19556="","",IFERROR(VLOOKUP(DATOS!$I19556,CONFIG_ASIGNATURAS!$B$2:$J$91,9,FALSE()),""))</f>
      </c>
    </row>
    <row r="19557">
      <c r="F19557">
        <f>IF(DATOS!$A19557="","",DATOS!$A19557&amp;"|"&amp;DATOS!$D19557&amp;"|"&amp;DATOS!$E19557&amp;"|"&amp;DATOS!$I19557)</f>
      </c>
      <c r="G19557">
        <f>IF(DATOS!$A19557="",0,IF(CONFIG_METADATA!$B$4&lt;&gt;"OR+EX",--(DATOS!$G19557=CONFIG_METADATA!$B$4),IF(DATOS!$G19557="EX",1,IF(DATOS!$G19557="OR",--(COUNTIFS(nNIA,DATOS!$A19557,nCURSO,DATOS!$D19557,nESPEC,DATOS!$E19557,nASIG,DATOS!$I19557,nEVAL,"EX")=0),0))))</f>
      </c>
      <c r="H19557">
        <f>IF(DATOS!$G19557&lt;&gt;"EX",0,--(COUNTIFS(nNIA,DATOS!$A19557,nCURSO,DATOS!$D19557,nESPEC,DATOS!$E19557,nASIG,DATOS!$I19557,nEVAL,"OR")=0))</f>
      </c>
      <c r="I19557">
        <f>IF(DATOS!$I19557="","",IFERROR(VLOOKUP(DATOS!$I19557,CONFIG_ASIGNATURAS!$B$2:$J$91,9,FALSE()),""))</f>
      </c>
    </row>
    <row r="19558">
      <c r="F19558">
        <f>IF(DATOS!$A19558="","",DATOS!$A19558&amp;"|"&amp;DATOS!$D19558&amp;"|"&amp;DATOS!$E19558&amp;"|"&amp;DATOS!$I19558)</f>
      </c>
      <c r="G19558">
        <f>IF(DATOS!$A19558="",0,IF(CONFIG_METADATA!$B$4&lt;&gt;"OR+EX",--(DATOS!$G19558=CONFIG_METADATA!$B$4),IF(DATOS!$G19558="EX",1,IF(DATOS!$G19558="OR",--(COUNTIFS(nNIA,DATOS!$A19558,nCURSO,DATOS!$D19558,nESPEC,DATOS!$E19558,nASIG,DATOS!$I19558,nEVAL,"EX")=0),0))))</f>
      </c>
      <c r="H19558">
        <f>IF(DATOS!$G19558&lt;&gt;"EX",0,--(COUNTIFS(nNIA,DATOS!$A19558,nCURSO,DATOS!$D19558,nESPEC,DATOS!$E19558,nASIG,DATOS!$I19558,nEVAL,"OR")=0))</f>
      </c>
      <c r="I19558">
        <f>IF(DATOS!$I19558="","",IFERROR(VLOOKUP(DATOS!$I19558,CONFIG_ASIGNATURAS!$B$2:$J$91,9,FALSE()),""))</f>
      </c>
    </row>
    <row r="19559">
      <c r="F19559">
        <f>IF(DATOS!$A19559="","",DATOS!$A19559&amp;"|"&amp;DATOS!$D19559&amp;"|"&amp;DATOS!$E19559&amp;"|"&amp;DATOS!$I19559)</f>
      </c>
      <c r="G19559">
        <f>IF(DATOS!$A19559="",0,IF(CONFIG_METADATA!$B$4&lt;&gt;"OR+EX",--(DATOS!$G19559=CONFIG_METADATA!$B$4),IF(DATOS!$G19559="EX",1,IF(DATOS!$G19559="OR",--(COUNTIFS(nNIA,DATOS!$A19559,nCURSO,DATOS!$D19559,nESPEC,DATOS!$E19559,nASIG,DATOS!$I19559,nEVAL,"EX")=0),0))))</f>
      </c>
      <c r="H19559">
        <f>IF(DATOS!$G19559&lt;&gt;"EX",0,--(COUNTIFS(nNIA,DATOS!$A19559,nCURSO,DATOS!$D19559,nESPEC,DATOS!$E19559,nASIG,DATOS!$I19559,nEVAL,"OR")=0))</f>
      </c>
      <c r="I19559">
        <f>IF(DATOS!$I19559="","",IFERROR(VLOOKUP(DATOS!$I19559,CONFIG_ASIGNATURAS!$B$2:$J$91,9,FALSE()),""))</f>
      </c>
    </row>
    <row r="19560">
      <c r="F19560">
        <f>IF(DATOS!$A19560="","",DATOS!$A19560&amp;"|"&amp;DATOS!$D19560&amp;"|"&amp;DATOS!$E19560&amp;"|"&amp;DATOS!$I19560)</f>
      </c>
      <c r="G19560">
        <f>IF(DATOS!$A19560="",0,IF(CONFIG_METADATA!$B$4&lt;&gt;"OR+EX",--(DATOS!$G19560=CONFIG_METADATA!$B$4),IF(DATOS!$G19560="EX",1,IF(DATOS!$G19560="OR",--(COUNTIFS(nNIA,DATOS!$A19560,nCURSO,DATOS!$D19560,nESPEC,DATOS!$E19560,nASIG,DATOS!$I19560,nEVAL,"EX")=0),0))))</f>
      </c>
      <c r="H19560">
        <f>IF(DATOS!$G19560&lt;&gt;"EX",0,--(COUNTIFS(nNIA,DATOS!$A19560,nCURSO,DATOS!$D19560,nESPEC,DATOS!$E19560,nASIG,DATOS!$I19560,nEVAL,"OR")=0))</f>
      </c>
      <c r="I19560">
        <f>IF(DATOS!$I19560="","",IFERROR(VLOOKUP(DATOS!$I19560,CONFIG_ASIGNATURAS!$B$2:$J$91,9,FALSE()),""))</f>
      </c>
    </row>
    <row r="19561">
      <c r="F19561">
        <f>IF(DATOS!$A19561="","",DATOS!$A19561&amp;"|"&amp;DATOS!$D19561&amp;"|"&amp;DATOS!$E19561&amp;"|"&amp;DATOS!$I19561)</f>
      </c>
      <c r="G19561">
        <f>IF(DATOS!$A19561="",0,IF(CONFIG_METADATA!$B$4&lt;&gt;"OR+EX",--(DATOS!$G19561=CONFIG_METADATA!$B$4),IF(DATOS!$G19561="EX",1,IF(DATOS!$G19561="OR",--(COUNTIFS(nNIA,DATOS!$A19561,nCURSO,DATOS!$D19561,nESPEC,DATOS!$E19561,nASIG,DATOS!$I19561,nEVAL,"EX")=0),0))))</f>
      </c>
      <c r="H19561">
        <f>IF(DATOS!$G19561&lt;&gt;"EX",0,--(COUNTIFS(nNIA,DATOS!$A19561,nCURSO,DATOS!$D19561,nESPEC,DATOS!$E19561,nASIG,DATOS!$I19561,nEVAL,"OR")=0))</f>
      </c>
      <c r="I19561">
        <f>IF(DATOS!$I19561="","",IFERROR(VLOOKUP(DATOS!$I19561,CONFIG_ASIGNATURAS!$B$2:$J$91,9,FALSE()),""))</f>
      </c>
    </row>
    <row r="19562">
      <c r="F19562">
        <f>IF(DATOS!$A19562="","",DATOS!$A19562&amp;"|"&amp;DATOS!$D19562&amp;"|"&amp;DATOS!$E19562&amp;"|"&amp;DATOS!$I19562)</f>
      </c>
      <c r="G19562">
        <f>IF(DATOS!$A19562="",0,IF(CONFIG_METADATA!$B$4&lt;&gt;"OR+EX",--(DATOS!$G19562=CONFIG_METADATA!$B$4),IF(DATOS!$G19562="EX",1,IF(DATOS!$G19562="OR",--(COUNTIFS(nNIA,DATOS!$A19562,nCURSO,DATOS!$D19562,nESPEC,DATOS!$E19562,nASIG,DATOS!$I19562,nEVAL,"EX")=0),0))))</f>
      </c>
      <c r="H19562">
        <f>IF(DATOS!$G19562&lt;&gt;"EX",0,--(COUNTIFS(nNIA,DATOS!$A19562,nCURSO,DATOS!$D19562,nESPEC,DATOS!$E19562,nASIG,DATOS!$I19562,nEVAL,"OR")=0))</f>
      </c>
      <c r="I19562">
        <f>IF(DATOS!$I19562="","",IFERROR(VLOOKUP(DATOS!$I19562,CONFIG_ASIGNATURAS!$B$2:$J$91,9,FALSE()),""))</f>
      </c>
    </row>
    <row r="19563">
      <c r="F19563">
        <f>IF(DATOS!$A19563="","",DATOS!$A19563&amp;"|"&amp;DATOS!$D19563&amp;"|"&amp;DATOS!$E19563&amp;"|"&amp;DATOS!$I19563)</f>
      </c>
      <c r="G19563">
        <f>IF(DATOS!$A19563="",0,IF(CONFIG_METADATA!$B$4&lt;&gt;"OR+EX",--(DATOS!$G19563=CONFIG_METADATA!$B$4),IF(DATOS!$G19563="EX",1,IF(DATOS!$G19563="OR",--(COUNTIFS(nNIA,DATOS!$A19563,nCURSO,DATOS!$D19563,nESPEC,DATOS!$E19563,nASIG,DATOS!$I19563,nEVAL,"EX")=0),0))))</f>
      </c>
      <c r="H19563">
        <f>IF(DATOS!$G19563&lt;&gt;"EX",0,--(COUNTIFS(nNIA,DATOS!$A19563,nCURSO,DATOS!$D19563,nESPEC,DATOS!$E19563,nASIG,DATOS!$I19563,nEVAL,"OR")=0))</f>
      </c>
      <c r="I19563">
        <f>IF(DATOS!$I19563="","",IFERROR(VLOOKUP(DATOS!$I19563,CONFIG_ASIGNATURAS!$B$2:$J$91,9,FALSE()),""))</f>
      </c>
    </row>
    <row r="19564">
      <c r="F19564">
        <f>IF(DATOS!$A19564="","",DATOS!$A19564&amp;"|"&amp;DATOS!$D19564&amp;"|"&amp;DATOS!$E19564&amp;"|"&amp;DATOS!$I19564)</f>
      </c>
      <c r="G19564">
        <f>IF(DATOS!$A19564="",0,IF(CONFIG_METADATA!$B$4&lt;&gt;"OR+EX",--(DATOS!$G19564=CONFIG_METADATA!$B$4),IF(DATOS!$G19564="EX",1,IF(DATOS!$G19564="OR",--(COUNTIFS(nNIA,DATOS!$A19564,nCURSO,DATOS!$D19564,nESPEC,DATOS!$E19564,nASIG,DATOS!$I19564,nEVAL,"EX")=0),0))))</f>
      </c>
      <c r="H19564">
        <f>IF(DATOS!$G19564&lt;&gt;"EX",0,--(COUNTIFS(nNIA,DATOS!$A19564,nCURSO,DATOS!$D19564,nESPEC,DATOS!$E19564,nASIG,DATOS!$I19564,nEVAL,"OR")=0))</f>
      </c>
      <c r="I19564">
        <f>IF(DATOS!$I19564="","",IFERROR(VLOOKUP(DATOS!$I19564,CONFIG_ASIGNATURAS!$B$2:$J$91,9,FALSE()),""))</f>
      </c>
    </row>
    <row r="19565">
      <c r="F19565">
        <f>IF(DATOS!$A19565="","",DATOS!$A19565&amp;"|"&amp;DATOS!$D19565&amp;"|"&amp;DATOS!$E19565&amp;"|"&amp;DATOS!$I19565)</f>
      </c>
      <c r="G19565">
        <f>IF(DATOS!$A19565="",0,IF(CONFIG_METADATA!$B$4&lt;&gt;"OR+EX",--(DATOS!$G19565=CONFIG_METADATA!$B$4),IF(DATOS!$G19565="EX",1,IF(DATOS!$G19565="OR",--(COUNTIFS(nNIA,DATOS!$A19565,nCURSO,DATOS!$D19565,nESPEC,DATOS!$E19565,nASIG,DATOS!$I19565,nEVAL,"EX")=0),0))))</f>
      </c>
      <c r="H19565">
        <f>IF(DATOS!$G19565&lt;&gt;"EX",0,--(COUNTIFS(nNIA,DATOS!$A19565,nCURSO,DATOS!$D19565,nESPEC,DATOS!$E19565,nASIG,DATOS!$I19565,nEVAL,"OR")=0))</f>
      </c>
      <c r="I19565">
        <f>IF(DATOS!$I19565="","",IFERROR(VLOOKUP(DATOS!$I19565,CONFIG_ASIGNATURAS!$B$2:$J$91,9,FALSE()),""))</f>
      </c>
    </row>
    <row r="19566">
      <c r="F19566">
        <f>IF(DATOS!$A19566="","",DATOS!$A19566&amp;"|"&amp;DATOS!$D19566&amp;"|"&amp;DATOS!$E19566&amp;"|"&amp;DATOS!$I19566)</f>
      </c>
      <c r="G19566">
        <f>IF(DATOS!$A19566="",0,IF(CONFIG_METADATA!$B$4&lt;&gt;"OR+EX",--(DATOS!$G19566=CONFIG_METADATA!$B$4),IF(DATOS!$G19566="EX",1,IF(DATOS!$G19566="OR",--(COUNTIFS(nNIA,DATOS!$A19566,nCURSO,DATOS!$D19566,nESPEC,DATOS!$E19566,nASIG,DATOS!$I19566,nEVAL,"EX")=0),0))))</f>
      </c>
      <c r="H19566">
        <f>IF(DATOS!$G19566&lt;&gt;"EX",0,--(COUNTIFS(nNIA,DATOS!$A19566,nCURSO,DATOS!$D19566,nESPEC,DATOS!$E19566,nASIG,DATOS!$I19566,nEVAL,"OR")=0))</f>
      </c>
      <c r="I19566">
        <f>IF(DATOS!$I19566="","",IFERROR(VLOOKUP(DATOS!$I19566,CONFIG_ASIGNATURAS!$B$2:$J$91,9,FALSE()),""))</f>
      </c>
    </row>
    <row r="19567">
      <c r="F19567">
        <f>IF(DATOS!$A19567="","",DATOS!$A19567&amp;"|"&amp;DATOS!$D19567&amp;"|"&amp;DATOS!$E19567&amp;"|"&amp;DATOS!$I19567)</f>
      </c>
      <c r="G19567">
        <f>IF(DATOS!$A19567="",0,IF(CONFIG_METADATA!$B$4&lt;&gt;"OR+EX",--(DATOS!$G19567=CONFIG_METADATA!$B$4),IF(DATOS!$G19567="EX",1,IF(DATOS!$G19567="OR",--(COUNTIFS(nNIA,DATOS!$A19567,nCURSO,DATOS!$D19567,nESPEC,DATOS!$E19567,nASIG,DATOS!$I19567,nEVAL,"EX")=0),0))))</f>
      </c>
      <c r="H19567">
        <f>IF(DATOS!$G19567&lt;&gt;"EX",0,--(COUNTIFS(nNIA,DATOS!$A19567,nCURSO,DATOS!$D19567,nESPEC,DATOS!$E19567,nASIG,DATOS!$I19567,nEVAL,"OR")=0))</f>
      </c>
      <c r="I19567">
        <f>IF(DATOS!$I19567="","",IFERROR(VLOOKUP(DATOS!$I19567,CONFIG_ASIGNATURAS!$B$2:$J$91,9,FALSE()),""))</f>
      </c>
    </row>
    <row r="19568">
      <c r="F19568">
        <f>IF(DATOS!$A19568="","",DATOS!$A19568&amp;"|"&amp;DATOS!$D19568&amp;"|"&amp;DATOS!$E19568&amp;"|"&amp;DATOS!$I19568)</f>
      </c>
      <c r="G19568">
        <f>IF(DATOS!$A19568="",0,IF(CONFIG_METADATA!$B$4&lt;&gt;"OR+EX",--(DATOS!$G19568=CONFIG_METADATA!$B$4),IF(DATOS!$G19568="EX",1,IF(DATOS!$G19568="OR",--(COUNTIFS(nNIA,DATOS!$A19568,nCURSO,DATOS!$D19568,nESPEC,DATOS!$E19568,nASIG,DATOS!$I19568,nEVAL,"EX")=0),0))))</f>
      </c>
      <c r="H19568">
        <f>IF(DATOS!$G19568&lt;&gt;"EX",0,--(COUNTIFS(nNIA,DATOS!$A19568,nCURSO,DATOS!$D19568,nESPEC,DATOS!$E19568,nASIG,DATOS!$I19568,nEVAL,"OR")=0))</f>
      </c>
      <c r="I19568">
        <f>IF(DATOS!$I19568="","",IFERROR(VLOOKUP(DATOS!$I19568,CONFIG_ASIGNATURAS!$B$2:$J$91,9,FALSE()),""))</f>
      </c>
    </row>
    <row r="19569">
      <c r="F19569">
        <f>IF(DATOS!$A19569="","",DATOS!$A19569&amp;"|"&amp;DATOS!$D19569&amp;"|"&amp;DATOS!$E19569&amp;"|"&amp;DATOS!$I19569)</f>
      </c>
      <c r="G19569">
        <f>IF(DATOS!$A19569="",0,IF(CONFIG_METADATA!$B$4&lt;&gt;"OR+EX",--(DATOS!$G19569=CONFIG_METADATA!$B$4),IF(DATOS!$G19569="EX",1,IF(DATOS!$G19569="OR",--(COUNTIFS(nNIA,DATOS!$A19569,nCURSO,DATOS!$D19569,nESPEC,DATOS!$E19569,nASIG,DATOS!$I19569,nEVAL,"EX")=0),0))))</f>
      </c>
      <c r="H19569">
        <f>IF(DATOS!$G19569&lt;&gt;"EX",0,--(COUNTIFS(nNIA,DATOS!$A19569,nCURSO,DATOS!$D19569,nESPEC,DATOS!$E19569,nASIG,DATOS!$I19569,nEVAL,"OR")=0))</f>
      </c>
      <c r="I19569">
        <f>IF(DATOS!$I19569="","",IFERROR(VLOOKUP(DATOS!$I19569,CONFIG_ASIGNATURAS!$B$2:$J$91,9,FALSE()),""))</f>
      </c>
    </row>
    <row r="19570">
      <c r="F19570">
        <f>IF(DATOS!$A19570="","",DATOS!$A19570&amp;"|"&amp;DATOS!$D19570&amp;"|"&amp;DATOS!$E19570&amp;"|"&amp;DATOS!$I19570)</f>
      </c>
      <c r="G19570">
        <f>IF(DATOS!$A19570="",0,IF(CONFIG_METADATA!$B$4&lt;&gt;"OR+EX",--(DATOS!$G19570=CONFIG_METADATA!$B$4),IF(DATOS!$G19570="EX",1,IF(DATOS!$G19570="OR",--(COUNTIFS(nNIA,DATOS!$A19570,nCURSO,DATOS!$D19570,nESPEC,DATOS!$E19570,nASIG,DATOS!$I19570,nEVAL,"EX")=0),0))))</f>
      </c>
      <c r="H19570">
        <f>IF(DATOS!$G19570&lt;&gt;"EX",0,--(COUNTIFS(nNIA,DATOS!$A19570,nCURSO,DATOS!$D19570,nESPEC,DATOS!$E19570,nASIG,DATOS!$I19570,nEVAL,"OR")=0))</f>
      </c>
      <c r="I19570">
        <f>IF(DATOS!$I19570="","",IFERROR(VLOOKUP(DATOS!$I19570,CONFIG_ASIGNATURAS!$B$2:$J$91,9,FALSE()),""))</f>
      </c>
    </row>
    <row r="19571">
      <c r="F19571">
        <f>IF(DATOS!$A19571="","",DATOS!$A19571&amp;"|"&amp;DATOS!$D19571&amp;"|"&amp;DATOS!$E19571&amp;"|"&amp;DATOS!$I19571)</f>
      </c>
      <c r="G19571">
        <f>IF(DATOS!$A19571="",0,IF(CONFIG_METADATA!$B$4&lt;&gt;"OR+EX",--(DATOS!$G19571=CONFIG_METADATA!$B$4),IF(DATOS!$G19571="EX",1,IF(DATOS!$G19571="OR",--(COUNTIFS(nNIA,DATOS!$A19571,nCURSO,DATOS!$D19571,nESPEC,DATOS!$E19571,nASIG,DATOS!$I19571,nEVAL,"EX")=0),0))))</f>
      </c>
      <c r="H19571">
        <f>IF(DATOS!$G19571&lt;&gt;"EX",0,--(COUNTIFS(nNIA,DATOS!$A19571,nCURSO,DATOS!$D19571,nESPEC,DATOS!$E19571,nASIG,DATOS!$I19571,nEVAL,"OR")=0))</f>
      </c>
      <c r="I19571">
        <f>IF(DATOS!$I19571="","",IFERROR(VLOOKUP(DATOS!$I19571,CONFIG_ASIGNATURAS!$B$2:$J$91,9,FALSE()),""))</f>
      </c>
    </row>
    <row r="19572">
      <c r="F19572">
        <f>IF(DATOS!$A19572="","",DATOS!$A19572&amp;"|"&amp;DATOS!$D19572&amp;"|"&amp;DATOS!$E19572&amp;"|"&amp;DATOS!$I19572)</f>
      </c>
      <c r="G19572">
        <f>IF(DATOS!$A19572="",0,IF(CONFIG_METADATA!$B$4&lt;&gt;"OR+EX",--(DATOS!$G19572=CONFIG_METADATA!$B$4),IF(DATOS!$G19572="EX",1,IF(DATOS!$G19572="OR",--(COUNTIFS(nNIA,DATOS!$A19572,nCURSO,DATOS!$D19572,nESPEC,DATOS!$E19572,nASIG,DATOS!$I19572,nEVAL,"EX")=0),0))))</f>
      </c>
      <c r="H19572">
        <f>IF(DATOS!$G19572&lt;&gt;"EX",0,--(COUNTIFS(nNIA,DATOS!$A19572,nCURSO,DATOS!$D19572,nESPEC,DATOS!$E19572,nASIG,DATOS!$I19572,nEVAL,"OR")=0))</f>
      </c>
      <c r="I19572">
        <f>IF(DATOS!$I19572="","",IFERROR(VLOOKUP(DATOS!$I19572,CONFIG_ASIGNATURAS!$B$2:$J$91,9,FALSE()),""))</f>
      </c>
    </row>
    <row r="19573">
      <c r="F19573">
        <f>IF(DATOS!$A19573="","",DATOS!$A19573&amp;"|"&amp;DATOS!$D19573&amp;"|"&amp;DATOS!$E19573&amp;"|"&amp;DATOS!$I19573)</f>
      </c>
      <c r="G19573">
        <f>IF(DATOS!$A19573="",0,IF(CONFIG_METADATA!$B$4&lt;&gt;"OR+EX",--(DATOS!$G19573=CONFIG_METADATA!$B$4),IF(DATOS!$G19573="EX",1,IF(DATOS!$G19573="OR",--(COUNTIFS(nNIA,DATOS!$A19573,nCURSO,DATOS!$D19573,nESPEC,DATOS!$E19573,nASIG,DATOS!$I19573,nEVAL,"EX")=0),0))))</f>
      </c>
      <c r="H19573">
        <f>IF(DATOS!$G19573&lt;&gt;"EX",0,--(COUNTIFS(nNIA,DATOS!$A19573,nCURSO,DATOS!$D19573,nESPEC,DATOS!$E19573,nASIG,DATOS!$I19573,nEVAL,"OR")=0))</f>
      </c>
      <c r="I19573">
        <f>IF(DATOS!$I19573="","",IFERROR(VLOOKUP(DATOS!$I19573,CONFIG_ASIGNATURAS!$B$2:$J$91,9,FALSE()),""))</f>
      </c>
    </row>
    <row r="19574">
      <c r="F19574">
        <f>IF(DATOS!$A19574="","",DATOS!$A19574&amp;"|"&amp;DATOS!$D19574&amp;"|"&amp;DATOS!$E19574&amp;"|"&amp;DATOS!$I19574)</f>
      </c>
      <c r="G19574">
        <f>IF(DATOS!$A19574="",0,IF(CONFIG_METADATA!$B$4&lt;&gt;"OR+EX",--(DATOS!$G19574=CONFIG_METADATA!$B$4),IF(DATOS!$G19574="EX",1,IF(DATOS!$G19574="OR",--(COUNTIFS(nNIA,DATOS!$A19574,nCURSO,DATOS!$D19574,nESPEC,DATOS!$E19574,nASIG,DATOS!$I19574,nEVAL,"EX")=0),0))))</f>
      </c>
      <c r="H19574">
        <f>IF(DATOS!$G19574&lt;&gt;"EX",0,--(COUNTIFS(nNIA,DATOS!$A19574,nCURSO,DATOS!$D19574,nESPEC,DATOS!$E19574,nASIG,DATOS!$I19574,nEVAL,"OR")=0))</f>
      </c>
      <c r="I19574">
        <f>IF(DATOS!$I19574="","",IFERROR(VLOOKUP(DATOS!$I19574,CONFIG_ASIGNATURAS!$B$2:$J$91,9,FALSE()),""))</f>
      </c>
    </row>
    <row r="19575">
      <c r="F19575">
        <f>IF(DATOS!$A19575="","",DATOS!$A19575&amp;"|"&amp;DATOS!$D19575&amp;"|"&amp;DATOS!$E19575&amp;"|"&amp;DATOS!$I19575)</f>
      </c>
      <c r="G19575">
        <f>IF(DATOS!$A19575="",0,IF(CONFIG_METADATA!$B$4&lt;&gt;"OR+EX",--(DATOS!$G19575=CONFIG_METADATA!$B$4),IF(DATOS!$G19575="EX",1,IF(DATOS!$G19575="OR",--(COUNTIFS(nNIA,DATOS!$A19575,nCURSO,DATOS!$D19575,nESPEC,DATOS!$E19575,nASIG,DATOS!$I19575,nEVAL,"EX")=0),0))))</f>
      </c>
      <c r="H19575">
        <f>IF(DATOS!$G19575&lt;&gt;"EX",0,--(COUNTIFS(nNIA,DATOS!$A19575,nCURSO,DATOS!$D19575,nESPEC,DATOS!$E19575,nASIG,DATOS!$I19575,nEVAL,"OR")=0))</f>
      </c>
      <c r="I19575">
        <f>IF(DATOS!$I19575="","",IFERROR(VLOOKUP(DATOS!$I19575,CONFIG_ASIGNATURAS!$B$2:$J$91,9,FALSE()),""))</f>
      </c>
    </row>
    <row r="19576">
      <c r="F19576">
        <f>IF(DATOS!$A19576="","",DATOS!$A19576&amp;"|"&amp;DATOS!$D19576&amp;"|"&amp;DATOS!$E19576&amp;"|"&amp;DATOS!$I19576)</f>
      </c>
      <c r="G19576">
        <f>IF(DATOS!$A19576="",0,IF(CONFIG_METADATA!$B$4&lt;&gt;"OR+EX",--(DATOS!$G19576=CONFIG_METADATA!$B$4),IF(DATOS!$G19576="EX",1,IF(DATOS!$G19576="OR",--(COUNTIFS(nNIA,DATOS!$A19576,nCURSO,DATOS!$D19576,nESPEC,DATOS!$E19576,nASIG,DATOS!$I19576,nEVAL,"EX")=0),0))))</f>
      </c>
      <c r="H19576">
        <f>IF(DATOS!$G19576&lt;&gt;"EX",0,--(COUNTIFS(nNIA,DATOS!$A19576,nCURSO,DATOS!$D19576,nESPEC,DATOS!$E19576,nASIG,DATOS!$I19576,nEVAL,"OR")=0))</f>
      </c>
      <c r="I19576">
        <f>IF(DATOS!$I19576="","",IFERROR(VLOOKUP(DATOS!$I19576,CONFIG_ASIGNATURAS!$B$2:$J$91,9,FALSE()),""))</f>
      </c>
    </row>
    <row r="19577">
      <c r="F19577">
        <f>IF(DATOS!$A19577="","",DATOS!$A19577&amp;"|"&amp;DATOS!$D19577&amp;"|"&amp;DATOS!$E19577&amp;"|"&amp;DATOS!$I19577)</f>
      </c>
      <c r="G19577">
        <f>IF(DATOS!$A19577="",0,IF(CONFIG_METADATA!$B$4&lt;&gt;"OR+EX",--(DATOS!$G19577=CONFIG_METADATA!$B$4),IF(DATOS!$G19577="EX",1,IF(DATOS!$G19577="OR",--(COUNTIFS(nNIA,DATOS!$A19577,nCURSO,DATOS!$D19577,nESPEC,DATOS!$E19577,nASIG,DATOS!$I19577,nEVAL,"EX")=0),0))))</f>
      </c>
      <c r="H19577">
        <f>IF(DATOS!$G19577&lt;&gt;"EX",0,--(COUNTIFS(nNIA,DATOS!$A19577,nCURSO,DATOS!$D19577,nESPEC,DATOS!$E19577,nASIG,DATOS!$I19577,nEVAL,"OR")=0))</f>
      </c>
      <c r="I19577">
        <f>IF(DATOS!$I19577="","",IFERROR(VLOOKUP(DATOS!$I19577,CONFIG_ASIGNATURAS!$B$2:$J$91,9,FALSE()),""))</f>
      </c>
    </row>
    <row r="19578">
      <c r="F19578">
        <f>IF(DATOS!$A19578="","",DATOS!$A19578&amp;"|"&amp;DATOS!$D19578&amp;"|"&amp;DATOS!$E19578&amp;"|"&amp;DATOS!$I19578)</f>
      </c>
      <c r="G19578">
        <f>IF(DATOS!$A19578="",0,IF(CONFIG_METADATA!$B$4&lt;&gt;"OR+EX",--(DATOS!$G19578=CONFIG_METADATA!$B$4),IF(DATOS!$G19578="EX",1,IF(DATOS!$G19578="OR",--(COUNTIFS(nNIA,DATOS!$A19578,nCURSO,DATOS!$D19578,nESPEC,DATOS!$E19578,nASIG,DATOS!$I19578,nEVAL,"EX")=0),0))))</f>
      </c>
      <c r="H19578">
        <f>IF(DATOS!$G19578&lt;&gt;"EX",0,--(COUNTIFS(nNIA,DATOS!$A19578,nCURSO,DATOS!$D19578,nESPEC,DATOS!$E19578,nASIG,DATOS!$I19578,nEVAL,"OR")=0))</f>
      </c>
      <c r="I19578">
        <f>IF(DATOS!$I19578="","",IFERROR(VLOOKUP(DATOS!$I19578,CONFIG_ASIGNATURAS!$B$2:$J$91,9,FALSE()),""))</f>
      </c>
    </row>
    <row r="19579">
      <c r="F19579">
        <f>IF(DATOS!$A19579="","",DATOS!$A19579&amp;"|"&amp;DATOS!$D19579&amp;"|"&amp;DATOS!$E19579&amp;"|"&amp;DATOS!$I19579)</f>
      </c>
      <c r="G19579">
        <f>IF(DATOS!$A19579="",0,IF(CONFIG_METADATA!$B$4&lt;&gt;"OR+EX",--(DATOS!$G19579=CONFIG_METADATA!$B$4),IF(DATOS!$G19579="EX",1,IF(DATOS!$G19579="OR",--(COUNTIFS(nNIA,DATOS!$A19579,nCURSO,DATOS!$D19579,nESPEC,DATOS!$E19579,nASIG,DATOS!$I19579,nEVAL,"EX")=0),0))))</f>
      </c>
      <c r="H19579">
        <f>IF(DATOS!$G19579&lt;&gt;"EX",0,--(COUNTIFS(nNIA,DATOS!$A19579,nCURSO,DATOS!$D19579,nESPEC,DATOS!$E19579,nASIG,DATOS!$I19579,nEVAL,"OR")=0))</f>
      </c>
      <c r="I19579">
        <f>IF(DATOS!$I19579="","",IFERROR(VLOOKUP(DATOS!$I19579,CONFIG_ASIGNATURAS!$B$2:$J$91,9,FALSE()),""))</f>
      </c>
    </row>
    <row r="19580">
      <c r="F19580">
        <f>IF(DATOS!$A19580="","",DATOS!$A19580&amp;"|"&amp;DATOS!$D19580&amp;"|"&amp;DATOS!$E19580&amp;"|"&amp;DATOS!$I19580)</f>
      </c>
      <c r="G19580">
        <f>IF(DATOS!$A19580="",0,IF(CONFIG_METADATA!$B$4&lt;&gt;"OR+EX",--(DATOS!$G19580=CONFIG_METADATA!$B$4),IF(DATOS!$G19580="EX",1,IF(DATOS!$G19580="OR",--(COUNTIFS(nNIA,DATOS!$A19580,nCURSO,DATOS!$D19580,nESPEC,DATOS!$E19580,nASIG,DATOS!$I19580,nEVAL,"EX")=0),0))))</f>
      </c>
      <c r="H19580">
        <f>IF(DATOS!$G19580&lt;&gt;"EX",0,--(COUNTIFS(nNIA,DATOS!$A19580,nCURSO,DATOS!$D19580,nESPEC,DATOS!$E19580,nASIG,DATOS!$I19580,nEVAL,"OR")=0))</f>
      </c>
      <c r="I19580">
        <f>IF(DATOS!$I19580="","",IFERROR(VLOOKUP(DATOS!$I19580,CONFIG_ASIGNATURAS!$B$2:$J$91,9,FALSE()),""))</f>
      </c>
    </row>
    <row r="19581">
      <c r="F19581">
        <f>IF(DATOS!$A19581="","",DATOS!$A19581&amp;"|"&amp;DATOS!$D19581&amp;"|"&amp;DATOS!$E19581&amp;"|"&amp;DATOS!$I19581)</f>
      </c>
      <c r="G19581">
        <f>IF(DATOS!$A19581="",0,IF(CONFIG_METADATA!$B$4&lt;&gt;"OR+EX",--(DATOS!$G19581=CONFIG_METADATA!$B$4),IF(DATOS!$G19581="EX",1,IF(DATOS!$G19581="OR",--(COUNTIFS(nNIA,DATOS!$A19581,nCURSO,DATOS!$D19581,nESPEC,DATOS!$E19581,nASIG,DATOS!$I19581,nEVAL,"EX")=0),0))))</f>
      </c>
      <c r="H19581">
        <f>IF(DATOS!$G19581&lt;&gt;"EX",0,--(COUNTIFS(nNIA,DATOS!$A19581,nCURSO,DATOS!$D19581,nESPEC,DATOS!$E19581,nASIG,DATOS!$I19581,nEVAL,"OR")=0))</f>
      </c>
      <c r="I19581">
        <f>IF(DATOS!$I19581="","",IFERROR(VLOOKUP(DATOS!$I19581,CONFIG_ASIGNATURAS!$B$2:$J$91,9,FALSE()),""))</f>
      </c>
    </row>
    <row r="19582">
      <c r="F19582">
        <f>IF(DATOS!$A19582="","",DATOS!$A19582&amp;"|"&amp;DATOS!$D19582&amp;"|"&amp;DATOS!$E19582&amp;"|"&amp;DATOS!$I19582)</f>
      </c>
      <c r="G19582">
        <f>IF(DATOS!$A19582="",0,IF(CONFIG_METADATA!$B$4&lt;&gt;"OR+EX",--(DATOS!$G19582=CONFIG_METADATA!$B$4),IF(DATOS!$G19582="EX",1,IF(DATOS!$G19582="OR",--(COUNTIFS(nNIA,DATOS!$A19582,nCURSO,DATOS!$D19582,nESPEC,DATOS!$E19582,nASIG,DATOS!$I19582,nEVAL,"EX")=0),0))))</f>
      </c>
      <c r="H19582">
        <f>IF(DATOS!$G19582&lt;&gt;"EX",0,--(COUNTIFS(nNIA,DATOS!$A19582,nCURSO,DATOS!$D19582,nESPEC,DATOS!$E19582,nASIG,DATOS!$I19582,nEVAL,"OR")=0))</f>
      </c>
      <c r="I19582">
        <f>IF(DATOS!$I19582="","",IFERROR(VLOOKUP(DATOS!$I19582,CONFIG_ASIGNATURAS!$B$2:$J$91,9,FALSE()),""))</f>
      </c>
    </row>
    <row r="19583">
      <c r="F19583">
        <f>IF(DATOS!$A19583="","",DATOS!$A19583&amp;"|"&amp;DATOS!$D19583&amp;"|"&amp;DATOS!$E19583&amp;"|"&amp;DATOS!$I19583)</f>
      </c>
      <c r="G19583">
        <f>IF(DATOS!$A19583="",0,IF(CONFIG_METADATA!$B$4&lt;&gt;"OR+EX",--(DATOS!$G19583=CONFIG_METADATA!$B$4),IF(DATOS!$G19583="EX",1,IF(DATOS!$G19583="OR",--(COUNTIFS(nNIA,DATOS!$A19583,nCURSO,DATOS!$D19583,nESPEC,DATOS!$E19583,nASIG,DATOS!$I19583,nEVAL,"EX")=0),0))))</f>
      </c>
      <c r="H19583">
        <f>IF(DATOS!$G19583&lt;&gt;"EX",0,--(COUNTIFS(nNIA,DATOS!$A19583,nCURSO,DATOS!$D19583,nESPEC,DATOS!$E19583,nASIG,DATOS!$I19583,nEVAL,"OR")=0))</f>
      </c>
      <c r="I19583">
        <f>IF(DATOS!$I19583="","",IFERROR(VLOOKUP(DATOS!$I19583,CONFIG_ASIGNATURAS!$B$2:$J$91,9,FALSE()),""))</f>
      </c>
    </row>
    <row r="19584">
      <c r="F19584">
        <f>IF(DATOS!$A19584="","",DATOS!$A19584&amp;"|"&amp;DATOS!$D19584&amp;"|"&amp;DATOS!$E19584&amp;"|"&amp;DATOS!$I19584)</f>
      </c>
      <c r="G19584">
        <f>IF(DATOS!$A19584="",0,IF(CONFIG_METADATA!$B$4&lt;&gt;"OR+EX",--(DATOS!$G19584=CONFIG_METADATA!$B$4),IF(DATOS!$G19584="EX",1,IF(DATOS!$G19584="OR",--(COUNTIFS(nNIA,DATOS!$A19584,nCURSO,DATOS!$D19584,nESPEC,DATOS!$E19584,nASIG,DATOS!$I19584,nEVAL,"EX")=0),0))))</f>
      </c>
      <c r="H19584">
        <f>IF(DATOS!$G19584&lt;&gt;"EX",0,--(COUNTIFS(nNIA,DATOS!$A19584,nCURSO,DATOS!$D19584,nESPEC,DATOS!$E19584,nASIG,DATOS!$I19584,nEVAL,"OR")=0))</f>
      </c>
      <c r="I19584">
        <f>IF(DATOS!$I19584="","",IFERROR(VLOOKUP(DATOS!$I19584,CONFIG_ASIGNATURAS!$B$2:$J$91,9,FALSE()),""))</f>
      </c>
    </row>
    <row r="19585">
      <c r="F19585">
        <f>IF(DATOS!$A19585="","",DATOS!$A19585&amp;"|"&amp;DATOS!$D19585&amp;"|"&amp;DATOS!$E19585&amp;"|"&amp;DATOS!$I19585)</f>
      </c>
      <c r="G19585">
        <f>IF(DATOS!$A19585="",0,IF(CONFIG_METADATA!$B$4&lt;&gt;"OR+EX",--(DATOS!$G19585=CONFIG_METADATA!$B$4),IF(DATOS!$G19585="EX",1,IF(DATOS!$G19585="OR",--(COUNTIFS(nNIA,DATOS!$A19585,nCURSO,DATOS!$D19585,nESPEC,DATOS!$E19585,nASIG,DATOS!$I19585,nEVAL,"EX")=0),0))))</f>
      </c>
      <c r="H19585">
        <f>IF(DATOS!$G19585&lt;&gt;"EX",0,--(COUNTIFS(nNIA,DATOS!$A19585,nCURSO,DATOS!$D19585,nESPEC,DATOS!$E19585,nASIG,DATOS!$I19585,nEVAL,"OR")=0))</f>
      </c>
      <c r="I19585">
        <f>IF(DATOS!$I19585="","",IFERROR(VLOOKUP(DATOS!$I19585,CONFIG_ASIGNATURAS!$B$2:$J$91,9,FALSE()),""))</f>
      </c>
    </row>
    <row r="19586">
      <c r="F19586">
        <f>IF(DATOS!$A19586="","",DATOS!$A19586&amp;"|"&amp;DATOS!$D19586&amp;"|"&amp;DATOS!$E19586&amp;"|"&amp;DATOS!$I19586)</f>
      </c>
      <c r="G19586">
        <f>IF(DATOS!$A19586="",0,IF(CONFIG_METADATA!$B$4&lt;&gt;"OR+EX",--(DATOS!$G19586=CONFIG_METADATA!$B$4),IF(DATOS!$G19586="EX",1,IF(DATOS!$G19586="OR",--(COUNTIFS(nNIA,DATOS!$A19586,nCURSO,DATOS!$D19586,nESPEC,DATOS!$E19586,nASIG,DATOS!$I19586,nEVAL,"EX")=0),0))))</f>
      </c>
      <c r="H19586">
        <f>IF(DATOS!$G19586&lt;&gt;"EX",0,--(COUNTIFS(nNIA,DATOS!$A19586,nCURSO,DATOS!$D19586,nESPEC,DATOS!$E19586,nASIG,DATOS!$I19586,nEVAL,"OR")=0))</f>
      </c>
      <c r="I19586">
        <f>IF(DATOS!$I19586="","",IFERROR(VLOOKUP(DATOS!$I19586,CONFIG_ASIGNATURAS!$B$2:$J$91,9,FALSE()),""))</f>
      </c>
    </row>
    <row r="19587">
      <c r="F19587">
        <f>IF(DATOS!$A19587="","",DATOS!$A19587&amp;"|"&amp;DATOS!$D19587&amp;"|"&amp;DATOS!$E19587&amp;"|"&amp;DATOS!$I19587)</f>
      </c>
      <c r="G19587">
        <f>IF(DATOS!$A19587="",0,IF(CONFIG_METADATA!$B$4&lt;&gt;"OR+EX",--(DATOS!$G19587=CONFIG_METADATA!$B$4),IF(DATOS!$G19587="EX",1,IF(DATOS!$G19587="OR",--(COUNTIFS(nNIA,DATOS!$A19587,nCURSO,DATOS!$D19587,nESPEC,DATOS!$E19587,nASIG,DATOS!$I19587,nEVAL,"EX")=0),0))))</f>
      </c>
      <c r="H19587">
        <f>IF(DATOS!$G19587&lt;&gt;"EX",0,--(COUNTIFS(nNIA,DATOS!$A19587,nCURSO,DATOS!$D19587,nESPEC,DATOS!$E19587,nASIG,DATOS!$I19587,nEVAL,"OR")=0))</f>
      </c>
      <c r="I19587">
        <f>IF(DATOS!$I19587="","",IFERROR(VLOOKUP(DATOS!$I19587,CONFIG_ASIGNATURAS!$B$2:$J$91,9,FALSE()),""))</f>
      </c>
    </row>
    <row r="19588">
      <c r="F19588">
        <f>IF(DATOS!$A19588="","",DATOS!$A19588&amp;"|"&amp;DATOS!$D19588&amp;"|"&amp;DATOS!$E19588&amp;"|"&amp;DATOS!$I19588)</f>
      </c>
      <c r="G19588">
        <f>IF(DATOS!$A19588="",0,IF(CONFIG_METADATA!$B$4&lt;&gt;"OR+EX",--(DATOS!$G19588=CONFIG_METADATA!$B$4),IF(DATOS!$G19588="EX",1,IF(DATOS!$G19588="OR",--(COUNTIFS(nNIA,DATOS!$A19588,nCURSO,DATOS!$D19588,nESPEC,DATOS!$E19588,nASIG,DATOS!$I19588,nEVAL,"EX")=0),0))))</f>
      </c>
      <c r="H19588">
        <f>IF(DATOS!$G19588&lt;&gt;"EX",0,--(COUNTIFS(nNIA,DATOS!$A19588,nCURSO,DATOS!$D19588,nESPEC,DATOS!$E19588,nASIG,DATOS!$I19588,nEVAL,"OR")=0))</f>
      </c>
      <c r="I19588">
        <f>IF(DATOS!$I19588="","",IFERROR(VLOOKUP(DATOS!$I19588,CONFIG_ASIGNATURAS!$B$2:$J$91,9,FALSE()),""))</f>
      </c>
    </row>
    <row r="19589">
      <c r="F19589">
        <f>IF(DATOS!$A19589="","",DATOS!$A19589&amp;"|"&amp;DATOS!$D19589&amp;"|"&amp;DATOS!$E19589&amp;"|"&amp;DATOS!$I19589)</f>
      </c>
      <c r="G19589">
        <f>IF(DATOS!$A19589="",0,IF(CONFIG_METADATA!$B$4&lt;&gt;"OR+EX",--(DATOS!$G19589=CONFIG_METADATA!$B$4),IF(DATOS!$G19589="EX",1,IF(DATOS!$G19589="OR",--(COUNTIFS(nNIA,DATOS!$A19589,nCURSO,DATOS!$D19589,nESPEC,DATOS!$E19589,nASIG,DATOS!$I19589,nEVAL,"EX")=0),0))))</f>
      </c>
      <c r="H19589">
        <f>IF(DATOS!$G19589&lt;&gt;"EX",0,--(COUNTIFS(nNIA,DATOS!$A19589,nCURSO,DATOS!$D19589,nESPEC,DATOS!$E19589,nASIG,DATOS!$I19589,nEVAL,"OR")=0))</f>
      </c>
      <c r="I19589">
        <f>IF(DATOS!$I19589="","",IFERROR(VLOOKUP(DATOS!$I19589,CONFIG_ASIGNATURAS!$B$2:$J$91,9,FALSE()),""))</f>
      </c>
    </row>
    <row r="19590">
      <c r="F19590">
        <f>IF(DATOS!$A19590="","",DATOS!$A19590&amp;"|"&amp;DATOS!$D19590&amp;"|"&amp;DATOS!$E19590&amp;"|"&amp;DATOS!$I19590)</f>
      </c>
      <c r="G19590">
        <f>IF(DATOS!$A19590="",0,IF(CONFIG_METADATA!$B$4&lt;&gt;"OR+EX",--(DATOS!$G19590=CONFIG_METADATA!$B$4),IF(DATOS!$G19590="EX",1,IF(DATOS!$G19590="OR",--(COUNTIFS(nNIA,DATOS!$A19590,nCURSO,DATOS!$D19590,nESPEC,DATOS!$E19590,nASIG,DATOS!$I19590,nEVAL,"EX")=0),0))))</f>
      </c>
      <c r="H19590">
        <f>IF(DATOS!$G19590&lt;&gt;"EX",0,--(COUNTIFS(nNIA,DATOS!$A19590,nCURSO,DATOS!$D19590,nESPEC,DATOS!$E19590,nASIG,DATOS!$I19590,nEVAL,"OR")=0))</f>
      </c>
      <c r="I19590">
        <f>IF(DATOS!$I19590="","",IFERROR(VLOOKUP(DATOS!$I19590,CONFIG_ASIGNATURAS!$B$2:$J$91,9,FALSE()),""))</f>
      </c>
    </row>
    <row r="19591">
      <c r="F19591">
        <f>IF(DATOS!$A19591="","",DATOS!$A19591&amp;"|"&amp;DATOS!$D19591&amp;"|"&amp;DATOS!$E19591&amp;"|"&amp;DATOS!$I19591)</f>
      </c>
      <c r="G19591">
        <f>IF(DATOS!$A19591="",0,IF(CONFIG_METADATA!$B$4&lt;&gt;"OR+EX",--(DATOS!$G19591=CONFIG_METADATA!$B$4),IF(DATOS!$G19591="EX",1,IF(DATOS!$G19591="OR",--(COUNTIFS(nNIA,DATOS!$A19591,nCURSO,DATOS!$D19591,nESPEC,DATOS!$E19591,nASIG,DATOS!$I19591,nEVAL,"EX")=0),0))))</f>
      </c>
      <c r="H19591">
        <f>IF(DATOS!$G19591&lt;&gt;"EX",0,--(COUNTIFS(nNIA,DATOS!$A19591,nCURSO,DATOS!$D19591,nESPEC,DATOS!$E19591,nASIG,DATOS!$I19591,nEVAL,"OR")=0))</f>
      </c>
      <c r="I19591">
        <f>IF(DATOS!$I19591="","",IFERROR(VLOOKUP(DATOS!$I19591,CONFIG_ASIGNATURAS!$B$2:$J$91,9,FALSE()),""))</f>
      </c>
    </row>
    <row r="19592">
      <c r="F19592">
        <f>IF(DATOS!$A19592="","",DATOS!$A19592&amp;"|"&amp;DATOS!$D19592&amp;"|"&amp;DATOS!$E19592&amp;"|"&amp;DATOS!$I19592)</f>
      </c>
      <c r="G19592">
        <f>IF(DATOS!$A19592="",0,IF(CONFIG_METADATA!$B$4&lt;&gt;"OR+EX",--(DATOS!$G19592=CONFIG_METADATA!$B$4),IF(DATOS!$G19592="EX",1,IF(DATOS!$G19592="OR",--(COUNTIFS(nNIA,DATOS!$A19592,nCURSO,DATOS!$D19592,nESPEC,DATOS!$E19592,nASIG,DATOS!$I19592,nEVAL,"EX")=0),0))))</f>
      </c>
      <c r="H19592">
        <f>IF(DATOS!$G19592&lt;&gt;"EX",0,--(COUNTIFS(nNIA,DATOS!$A19592,nCURSO,DATOS!$D19592,nESPEC,DATOS!$E19592,nASIG,DATOS!$I19592,nEVAL,"OR")=0))</f>
      </c>
      <c r="I19592">
        <f>IF(DATOS!$I19592="","",IFERROR(VLOOKUP(DATOS!$I19592,CONFIG_ASIGNATURAS!$B$2:$J$91,9,FALSE()),""))</f>
      </c>
    </row>
    <row r="19593">
      <c r="F19593">
        <f>IF(DATOS!$A19593="","",DATOS!$A19593&amp;"|"&amp;DATOS!$D19593&amp;"|"&amp;DATOS!$E19593&amp;"|"&amp;DATOS!$I19593)</f>
      </c>
      <c r="G19593">
        <f>IF(DATOS!$A19593="",0,IF(CONFIG_METADATA!$B$4&lt;&gt;"OR+EX",--(DATOS!$G19593=CONFIG_METADATA!$B$4),IF(DATOS!$G19593="EX",1,IF(DATOS!$G19593="OR",--(COUNTIFS(nNIA,DATOS!$A19593,nCURSO,DATOS!$D19593,nESPEC,DATOS!$E19593,nASIG,DATOS!$I19593,nEVAL,"EX")=0),0))))</f>
      </c>
      <c r="H19593">
        <f>IF(DATOS!$G19593&lt;&gt;"EX",0,--(COUNTIFS(nNIA,DATOS!$A19593,nCURSO,DATOS!$D19593,nESPEC,DATOS!$E19593,nASIG,DATOS!$I19593,nEVAL,"OR")=0))</f>
      </c>
      <c r="I19593">
        <f>IF(DATOS!$I19593="","",IFERROR(VLOOKUP(DATOS!$I19593,CONFIG_ASIGNATURAS!$B$2:$J$91,9,FALSE()),""))</f>
      </c>
    </row>
    <row r="19594">
      <c r="F19594">
        <f>IF(DATOS!$A19594="","",DATOS!$A19594&amp;"|"&amp;DATOS!$D19594&amp;"|"&amp;DATOS!$E19594&amp;"|"&amp;DATOS!$I19594)</f>
      </c>
      <c r="G19594">
        <f>IF(DATOS!$A19594="",0,IF(CONFIG_METADATA!$B$4&lt;&gt;"OR+EX",--(DATOS!$G19594=CONFIG_METADATA!$B$4),IF(DATOS!$G19594="EX",1,IF(DATOS!$G19594="OR",--(COUNTIFS(nNIA,DATOS!$A19594,nCURSO,DATOS!$D19594,nESPEC,DATOS!$E19594,nASIG,DATOS!$I19594,nEVAL,"EX")=0),0))))</f>
      </c>
      <c r="H19594">
        <f>IF(DATOS!$G19594&lt;&gt;"EX",0,--(COUNTIFS(nNIA,DATOS!$A19594,nCURSO,DATOS!$D19594,nESPEC,DATOS!$E19594,nASIG,DATOS!$I19594,nEVAL,"OR")=0))</f>
      </c>
      <c r="I19594">
        <f>IF(DATOS!$I19594="","",IFERROR(VLOOKUP(DATOS!$I19594,CONFIG_ASIGNATURAS!$B$2:$J$91,9,FALSE()),""))</f>
      </c>
    </row>
    <row r="19595">
      <c r="F19595">
        <f>IF(DATOS!$A19595="","",DATOS!$A19595&amp;"|"&amp;DATOS!$D19595&amp;"|"&amp;DATOS!$E19595&amp;"|"&amp;DATOS!$I19595)</f>
      </c>
      <c r="G19595">
        <f>IF(DATOS!$A19595="",0,IF(CONFIG_METADATA!$B$4&lt;&gt;"OR+EX",--(DATOS!$G19595=CONFIG_METADATA!$B$4),IF(DATOS!$G19595="EX",1,IF(DATOS!$G19595="OR",--(COUNTIFS(nNIA,DATOS!$A19595,nCURSO,DATOS!$D19595,nESPEC,DATOS!$E19595,nASIG,DATOS!$I19595,nEVAL,"EX")=0),0))))</f>
      </c>
      <c r="H19595">
        <f>IF(DATOS!$G19595&lt;&gt;"EX",0,--(COUNTIFS(nNIA,DATOS!$A19595,nCURSO,DATOS!$D19595,nESPEC,DATOS!$E19595,nASIG,DATOS!$I19595,nEVAL,"OR")=0))</f>
      </c>
      <c r="I19595">
        <f>IF(DATOS!$I19595="","",IFERROR(VLOOKUP(DATOS!$I19595,CONFIG_ASIGNATURAS!$B$2:$J$91,9,FALSE()),""))</f>
      </c>
    </row>
    <row r="19596">
      <c r="F19596">
        <f>IF(DATOS!$A19596="","",DATOS!$A19596&amp;"|"&amp;DATOS!$D19596&amp;"|"&amp;DATOS!$E19596&amp;"|"&amp;DATOS!$I19596)</f>
      </c>
      <c r="G19596">
        <f>IF(DATOS!$A19596="",0,IF(CONFIG_METADATA!$B$4&lt;&gt;"OR+EX",--(DATOS!$G19596=CONFIG_METADATA!$B$4),IF(DATOS!$G19596="EX",1,IF(DATOS!$G19596="OR",--(COUNTIFS(nNIA,DATOS!$A19596,nCURSO,DATOS!$D19596,nESPEC,DATOS!$E19596,nASIG,DATOS!$I19596,nEVAL,"EX")=0),0))))</f>
      </c>
      <c r="H19596">
        <f>IF(DATOS!$G19596&lt;&gt;"EX",0,--(COUNTIFS(nNIA,DATOS!$A19596,nCURSO,DATOS!$D19596,nESPEC,DATOS!$E19596,nASIG,DATOS!$I19596,nEVAL,"OR")=0))</f>
      </c>
      <c r="I19596">
        <f>IF(DATOS!$I19596="","",IFERROR(VLOOKUP(DATOS!$I19596,CONFIG_ASIGNATURAS!$B$2:$J$91,9,FALSE()),""))</f>
      </c>
    </row>
    <row r="19597">
      <c r="F19597">
        <f>IF(DATOS!$A19597="","",DATOS!$A19597&amp;"|"&amp;DATOS!$D19597&amp;"|"&amp;DATOS!$E19597&amp;"|"&amp;DATOS!$I19597)</f>
      </c>
      <c r="G19597">
        <f>IF(DATOS!$A19597="",0,IF(CONFIG_METADATA!$B$4&lt;&gt;"OR+EX",--(DATOS!$G19597=CONFIG_METADATA!$B$4),IF(DATOS!$G19597="EX",1,IF(DATOS!$G19597="OR",--(COUNTIFS(nNIA,DATOS!$A19597,nCURSO,DATOS!$D19597,nESPEC,DATOS!$E19597,nASIG,DATOS!$I19597,nEVAL,"EX")=0),0))))</f>
      </c>
      <c r="H19597">
        <f>IF(DATOS!$G19597&lt;&gt;"EX",0,--(COUNTIFS(nNIA,DATOS!$A19597,nCURSO,DATOS!$D19597,nESPEC,DATOS!$E19597,nASIG,DATOS!$I19597,nEVAL,"OR")=0))</f>
      </c>
      <c r="I19597">
        <f>IF(DATOS!$I19597="","",IFERROR(VLOOKUP(DATOS!$I19597,CONFIG_ASIGNATURAS!$B$2:$J$91,9,FALSE()),""))</f>
      </c>
    </row>
    <row r="19598">
      <c r="F19598">
        <f>IF(DATOS!$A19598="","",DATOS!$A19598&amp;"|"&amp;DATOS!$D19598&amp;"|"&amp;DATOS!$E19598&amp;"|"&amp;DATOS!$I19598)</f>
      </c>
      <c r="G19598">
        <f>IF(DATOS!$A19598="",0,IF(CONFIG_METADATA!$B$4&lt;&gt;"OR+EX",--(DATOS!$G19598=CONFIG_METADATA!$B$4),IF(DATOS!$G19598="EX",1,IF(DATOS!$G19598="OR",--(COUNTIFS(nNIA,DATOS!$A19598,nCURSO,DATOS!$D19598,nESPEC,DATOS!$E19598,nASIG,DATOS!$I19598,nEVAL,"EX")=0),0))))</f>
      </c>
      <c r="H19598">
        <f>IF(DATOS!$G19598&lt;&gt;"EX",0,--(COUNTIFS(nNIA,DATOS!$A19598,nCURSO,DATOS!$D19598,nESPEC,DATOS!$E19598,nASIG,DATOS!$I19598,nEVAL,"OR")=0))</f>
      </c>
      <c r="I19598">
        <f>IF(DATOS!$I19598="","",IFERROR(VLOOKUP(DATOS!$I19598,CONFIG_ASIGNATURAS!$B$2:$J$91,9,FALSE()),""))</f>
      </c>
    </row>
    <row r="19599">
      <c r="F19599">
        <f>IF(DATOS!$A19599="","",DATOS!$A19599&amp;"|"&amp;DATOS!$D19599&amp;"|"&amp;DATOS!$E19599&amp;"|"&amp;DATOS!$I19599)</f>
      </c>
      <c r="G19599">
        <f>IF(DATOS!$A19599="",0,IF(CONFIG_METADATA!$B$4&lt;&gt;"OR+EX",--(DATOS!$G19599=CONFIG_METADATA!$B$4),IF(DATOS!$G19599="EX",1,IF(DATOS!$G19599="OR",--(COUNTIFS(nNIA,DATOS!$A19599,nCURSO,DATOS!$D19599,nESPEC,DATOS!$E19599,nASIG,DATOS!$I19599,nEVAL,"EX")=0),0))))</f>
      </c>
      <c r="H19599">
        <f>IF(DATOS!$G19599&lt;&gt;"EX",0,--(COUNTIFS(nNIA,DATOS!$A19599,nCURSO,DATOS!$D19599,nESPEC,DATOS!$E19599,nASIG,DATOS!$I19599,nEVAL,"OR")=0))</f>
      </c>
      <c r="I19599">
        <f>IF(DATOS!$I19599="","",IFERROR(VLOOKUP(DATOS!$I19599,CONFIG_ASIGNATURAS!$B$2:$J$91,9,FALSE()),""))</f>
      </c>
    </row>
    <row r="19600">
      <c r="F19600">
        <f>IF(DATOS!$A19600="","",DATOS!$A19600&amp;"|"&amp;DATOS!$D19600&amp;"|"&amp;DATOS!$E19600&amp;"|"&amp;DATOS!$I19600)</f>
      </c>
      <c r="G19600">
        <f>IF(DATOS!$A19600="",0,IF(CONFIG_METADATA!$B$4&lt;&gt;"OR+EX",--(DATOS!$G19600=CONFIG_METADATA!$B$4),IF(DATOS!$G19600="EX",1,IF(DATOS!$G19600="OR",--(COUNTIFS(nNIA,DATOS!$A19600,nCURSO,DATOS!$D19600,nESPEC,DATOS!$E19600,nASIG,DATOS!$I19600,nEVAL,"EX")=0),0))))</f>
      </c>
      <c r="H19600">
        <f>IF(DATOS!$G19600&lt;&gt;"EX",0,--(COUNTIFS(nNIA,DATOS!$A19600,nCURSO,DATOS!$D19600,nESPEC,DATOS!$E19600,nASIG,DATOS!$I19600,nEVAL,"OR")=0))</f>
      </c>
      <c r="I19600">
        <f>IF(DATOS!$I19600="","",IFERROR(VLOOKUP(DATOS!$I19600,CONFIG_ASIGNATURAS!$B$2:$J$91,9,FALSE()),""))</f>
      </c>
    </row>
    <row r="19601">
      <c r="F19601">
        <f>IF(DATOS!$A19601="","",DATOS!$A19601&amp;"|"&amp;DATOS!$D19601&amp;"|"&amp;DATOS!$E19601&amp;"|"&amp;DATOS!$I19601)</f>
      </c>
      <c r="G19601">
        <f>IF(DATOS!$A19601="",0,IF(CONFIG_METADATA!$B$4&lt;&gt;"OR+EX",--(DATOS!$G19601=CONFIG_METADATA!$B$4),IF(DATOS!$G19601="EX",1,IF(DATOS!$G19601="OR",--(COUNTIFS(nNIA,DATOS!$A19601,nCURSO,DATOS!$D19601,nESPEC,DATOS!$E19601,nASIG,DATOS!$I19601,nEVAL,"EX")=0),0))))</f>
      </c>
      <c r="H19601">
        <f>IF(DATOS!$G19601&lt;&gt;"EX",0,--(COUNTIFS(nNIA,DATOS!$A19601,nCURSO,DATOS!$D19601,nESPEC,DATOS!$E19601,nASIG,DATOS!$I19601,nEVAL,"OR")=0))</f>
      </c>
      <c r="I19601">
        <f>IF(DATOS!$I19601="","",IFERROR(VLOOKUP(DATOS!$I19601,CONFIG_ASIGNATURAS!$B$2:$J$91,9,FALSE()),""))</f>
      </c>
    </row>
    <row r="19602">
      <c r="F19602">
        <f>IF(DATOS!$A19602="","",DATOS!$A19602&amp;"|"&amp;DATOS!$D19602&amp;"|"&amp;DATOS!$E19602&amp;"|"&amp;DATOS!$I19602)</f>
      </c>
      <c r="G19602">
        <f>IF(DATOS!$A19602="",0,IF(CONFIG_METADATA!$B$4&lt;&gt;"OR+EX",--(DATOS!$G19602=CONFIG_METADATA!$B$4),IF(DATOS!$G19602="EX",1,IF(DATOS!$G19602="OR",--(COUNTIFS(nNIA,DATOS!$A19602,nCURSO,DATOS!$D19602,nESPEC,DATOS!$E19602,nASIG,DATOS!$I19602,nEVAL,"EX")=0),0))))</f>
      </c>
      <c r="H19602">
        <f>IF(DATOS!$G19602&lt;&gt;"EX",0,--(COUNTIFS(nNIA,DATOS!$A19602,nCURSO,DATOS!$D19602,nESPEC,DATOS!$E19602,nASIG,DATOS!$I19602,nEVAL,"OR")=0))</f>
      </c>
      <c r="I19602">
        <f>IF(DATOS!$I19602="","",IFERROR(VLOOKUP(DATOS!$I19602,CONFIG_ASIGNATURAS!$B$2:$J$91,9,FALSE()),""))</f>
      </c>
    </row>
    <row r="19603">
      <c r="F19603">
        <f>IF(DATOS!$A19603="","",DATOS!$A19603&amp;"|"&amp;DATOS!$D19603&amp;"|"&amp;DATOS!$E19603&amp;"|"&amp;DATOS!$I19603)</f>
      </c>
      <c r="G19603">
        <f>IF(DATOS!$A19603="",0,IF(CONFIG_METADATA!$B$4&lt;&gt;"OR+EX",--(DATOS!$G19603=CONFIG_METADATA!$B$4),IF(DATOS!$G19603="EX",1,IF(DATOS!$G19603="OR",--(COUNTIFS(nNIA,DATOS!$A19603,nCURSO,DATOS!$D19603,nESPEC,DATOS!$E19603,nASIG,DATOS!$I19603,nEVAL,"EX")=0),0))))</f>
      </c>
      <c r="H19603">
        <f>IF(DATOS!$G19603&lt;&gt;"EX",0,--(COUNTIFS(nNIA,DATOS!$A19603,nCURSO,DATOS!$D19603,nESPEC,DATOS!$E19603,nASIG,DATOS!$I19603,nEVAL,"OR")=0))</f>
      </c>
      <c r="I19603">
        <f>IF(DATOS!$I19603="","",IFERROR(VLOOKUP(DATOS!$I19603,CONFIG_ASIGNATURAS!$B$2:$J$91,9,FALSE()),""))</f>
      </c>
    </row>
    <row r="19604">
      <c r="F19604">
        <f>IF(DATOS!$A19604="","",DATOS!$A19604&amp;"|"&amp;DATOS!$D19604&amp;"|"&amp;DATOS!$E19604&amp;"|"&amp;DATOS!$I19604)</f>
      </c>
      <c r="G19604">
        <f>IF(DATOS!$A19604="",0,IF(CONFIG_METADATA!$B$4&lt;&gt;"OR+EX",--(DATOS!$G19604=CONFIG_METADATA!$B$4),IF(DATOS!$G19604="EX",1,IF(DATOS!$G19604="OR",--(COUNTIFS(nNIA,DATOS!$A19604,nCURSO,DATOS!$D19604,nESPEC,DATOS!$E19604,nASIG,DATOS!$I19604,nEVAL,"EX")=0),0))))</f>
      </c>
      <c r="H19604">
        <f>IF(DATOS!$G19604&lt;&gt;"EX",0,--(COUNTIFS(nNIA,DATOS!$A19604,nCURSO,DATOS!$D19604,nESPEC,DATOS!$E19604,nASIG,DATOS!$I19604,nEVAL,"OR")=0))</f>
      </c>
      <c r="I19604">
        <f>IF(DATOS!$I19604="","",IFERROR(VLOOKUP(DATOS!$I19604,CONFIG_ASIGNATURAS!$B$2:$J$91,9,FALSE()),""))</f>
      </c>
    </row>
    <row r="19605">
      <c r="F19605">
        <f>IF(DATOS!$A19605="","",DATOS!$A19605&amp;"|"&amp;DATOS!$D19605&amp;"|"&amp;DATOS!$E19605&amp;"|"&amp;DATOS!$I19605)</f>
      </c>
      <c r="G19605">
        <f>IF(DATOS!$A19605="",0,IF(CONFIG_METADATA!$B$4&lt;&gt;"OR+EX",--(DATOS!$G19605=CONFIG_METADATA!$B$4),IF(DATOS!$G19605="EX",1,IF(DATOS!$G19605="OR",--(COUNTIFS(nNIA,DATOS!$A19605,nCURSO,DATOS!$D19605,nESPEC,DATOS!$E19605,nASIG,DATOS!$I19605,nEVAL,"EX")=0),0))))</f>
      </c>
      <c r="H19605">
        <f>IF(DATOS!$G19605&lt;&gt;"EX",0,--(COUNTIFS(nNIA,DATOS!$A19605,nCURSO,DATOS!$D19605,nESPEC,DATOS!$E19605,nASIG,DATOS!$I19605,nEVAL,"OR")=0))</f>
      </c>
      <c r="I19605">
        <f>IF(DATOS!$I19605="","",IFERROR(VLOOKUP(DATOS!$I19605,CONFIG_ASIGNATURAS!$B$2:$J$91,9,FALSE()),""))</f>
      </c>
    </row>
    <row r="19606">
      <c r="F19606">
        <f>IF(DATOS!$A19606="","",DATOS!$A19606&amp;"|"&amp;DATOS!$D19606&amp;"|"&amp;DATOS!$E19606&amp;"|"&amp;DATOS!$I19606)</f>
      </c>
      <c r="G19606">
        <f>IF(DATOS!$A19606="",0,IF(CONFIG_METADATA!$B$4&lt;&gt;"OR+EX",--(DATOS!$G19606=CONFIG_METADATA!$B$4),IF(DATOS!$G19606="EX",1,IF(DATOS!$G19606="OR",--(COUNTIFS(nNIA,DATOS!$A19606,nCURSO,DATOS!$D19606,nESPEC,DATOS!$E19606,nASIG,DATOS!$I19606,nEVAL,"EX")=0),0))))</f>
      </c>
      <c r="H19606">
        <f>IF(DATOS!$G19606&lt;&gt;"EX",0,--(COUNTIFS(nNIA,DATOS!$A19606,nCURSO,DATOS!$D19606,nESPEC,DATOS!$E19606,nASIG,DATOS!$I19606,nEVAL,"OR")=0))</f>
      </c>
      <c r="I19606">
        <f>IF(DATOS!$I19606="","",IFERROR(VLOOKUP(DATOS!$I19606,CONFIG_ASIGNATURAS!$B$2:$J$91,9,FALSE()),""))</f>
      </c>
    </row>
    <row r="19607">
      <c r="F19607">
        <f>IF(DATOS!$A19607="","",DATOS!$A19607&amp;"|"&amp;DATOS!$D19607&amp;"|"&amp;DATOS!$E19607&amp;"|"&amp;DATOS!$I19607)</f>
      </c>
      <c r="G19607">
        <f>IF(DATOS!$A19607="",0,IF(CONFIG_METADATA!$B$4&lt;&gt;"OR+EX",--(DATOS!$G19607=CONFIG_METADATA!$B$4),IF(DATOS!$G19607="EX",1,IF(DATOS!$G19607="OR",--(COUNTIFS(nNIA,DATOS!$A19607,nCURSO,DATOS!$D19607,nESPEC,DATOS!$E19607,nASIG,DATOS!$I19607,nEVAL,"EX")=0),0))))</f>
      </c>
      <c r="H19607">
        <f>IF(DATOS!$G19607&lt;&gt;"EX",0,--(COUNTIFS(nNIA,DATOS!$A19607,nCURSO,DATOS!$D19607,nESPEC,DATOS!$E19607,nASIG,DATOS!$I19607,nEVAL,"OR")=0))</f>
      </c>
      <c r="I19607">
        <f>IF(DATOS!$I19607="","",IFERROR(VLOOKUP(DATOS!$I19607,CONFIG_ASIGNATURAS!$B$2:$J$91,9,FALSE()),""))</f>
      </c>
    </row>
    <row r="19608">
      <c r="F19608">
        <f>IF(DATOS!$A19608="","",DATOS!$A19608&amp;"|"&amp;DATOS!$D19608&amp;"|"&amp;DATOS!$E19608&amp;"|"&amp;DATOS!$I19608)</f>
      </c>
      <c r="G19608">
        <f>IF(DATOS!$A19608="",0,IF(CONFIG_METADATA!$B$4&lt;&gt;"OR+EX",--(DATOS!$G19608=CONFIG_METADATA!$B$4),IF(DATOS!$G19608="EX",1,IF(DATOS!$G19608="OR",--(COUNTIFS(nNIA,DATOS!$A19608,nCURSO,DATOS!$D19608,nESPEC,DATOS!$E19608,nASIG,DATOS!$I19608,nEVAL,"EX")=0),0))))</f>
      </c>
      <c r="H19608">
        <f>IF(DATOS!$G19608&lt;&gt;"EX",0,--(COUNTIFS(nNIA,DATOS!$A19608,nCURSO,DATOS!$D19608,nESPEC,DATOS!$E19608,nASIG,DATOS!$I19608,nEVAL,"OR")=0))</f>
      </c>
      <c r="I19608">
        <f>IF(DATOS!$I19608="","",IFERROR(VLOOKUP(DATOS!$I19608,CONFIG_ASIGNATURAS!$B$2:$J$91,9,FALSE()),""))</f>
      </c>
    </row>
    <row r="19609">
      <c r="F19609">
        <f>IF(DATOS!$A19609="","",DATOS!$A19609&amp;"|"&amp;DATOS!$D19609&amp;"|"&amp;DATOS!$E19609&amp;"|"&amp;DATOS!$I19609)</f>
      </c>
      <c r="G19609">
        <f>IF(DATOS!$A19609="",0,IF(CONFIG_METADATA!$B$4&lt;&gt;"OR+EX",--(DATOS!$G19609=CONFIG_METADATA!$B$4),IF(DATOS!$G19609="EX",1,IF(DATOS!$G19609="OR",--(COUNTIFS(nNIA,DATOS!$A19609,nCURSO,DATOS!$D19609,nESPEC,DATOS!$E19609,nASIG,DATOS!$I19609,nEVAL,"EX")=0),0))))</f>
      </c>
      <c r="H19609">
        <f>IF(DATOS!$G19609&lt;&gt;"EX",0,--(COUNTIFS(nNIA,DATOS!$A19609,nCURSO,DATOS!$D19609,nESPEC,DATOS!$E19609,nASIG,DATOS!$I19609,nEVAL,"OR")=0))</f>
      </c>
      <c r="I19609">
        <f>IF(DATOS!$I19609="","",IFERROR(VLOOKUP(DATOS!$I19609,CONFIG_ASIGNATURAS!$B$2:$J$91,9,FALSE()),""))</f>
      </c>
    </row>
    <row r="19610">
      <c r="F19610">
        <f>IF(DATOS!$A19610="","",DATOS!$A19610&amp;"|"&amp;DATOS!$D19610&amp;"|"&amp;DATOS!$E19610&amp;"|"&amp;DATOS!$I19610)</f>
      </c>
      <c r="G19610">
        <f>IF(DATOS!$A19610="",0,IF(CONFIG_METADATA!$B$4&lt;&gt;"OR+EX",--(DATOS!$G19610=CONFIG_METADATA!$B$4),IF(DATOS!$G19610="EX",1,IF(DATOS!$G19610="OR",--(COUNTIFS(nNIA,DATOS!$A19610,nCURSO,DATOS!$D19610,nESPEC,DATOS!$E19610,nASIG,DATOS!$I19610,nEVAL,"EX")=0),0))))</f>
      </c>
      <c r="H19610">
        <f>IF(DATOS!$G19610&lt;&gt;"EX",0,--(COUNTIFS(nNIA,DATOS!$A19610,nCURSO,DATOS!$D19610,nESPEC,DATOS!$E19610,nASIG,DATOS!$I19610,nEVAL,"OR")=0))</f>
      </c>
      <c r="I19610">
        <f>IF(DATOS!$I19610="","",IFERROR(VLOOKUP(DATOS!$I19610,CONFIG_ASIGNATURAS!$B$2:$J$91,9,FALSE()),""))</f>
      </c>
    </row>
    <row r="19611">
      <c r="F19611">
        <f>IF(DATOS!$A19611="","",DATOS!$A19611&amp;"|"&amp;DATOS!$D19611&amp;"|"&amp;DATOS!$E19611&amp;"|"&amp;DATOS!$I19611)</f>
      </c>
      <c r="G19611">
        <f>IF(DATOS!$A19611="",0,IF(CONFIG_METADATA!$B$4&lt;&gt;"OR+EX",--(DATOS!$G19611=CONFIG_METADATA!$B$4),IF(DATOS!$G19611="EX",1,IF(DATOS!$G19611="OR",--(COUNTIFS(nNIA,DATOS!$A19611,nCURSO,DATOS!$D19611,nESPEC,DATOS!$E19611,nASIG,DATOS!$I19611,nEVAL,"EX")=0),0))))</f>
      </c>
      <c r="H19611">
        <f>IF(DATOS!$G19611&lt;&gt;"EX",0,--(COUNTIFS(nNIA,DATOS!$A19611,nCURSO,DATOS!$D19611,nESPEC,DATOS!$E19611,nASIG,DATOS!$I19611,nEVAL,"OR")=0))</f>
      </c>
      <c r="I19611">
        <f>IF(DATOS!$I19611="","",IFERROR(VLOOKUP(DATOS!$I19611,CONFIG_ASIGNATURAS!$B$2:$J$91,9,FALSE()),""))</f>
      </c>
    </row>
    <row r="19612">
      <c r="F19612">
        <f>IF(DATOS!$A19612="","",DATOS!$A19612&amp;"|"&amp;DATOS!$D19612&amp;"|"&amp;DATOS!$E19612&amp;"|"&amp;DATOS!$I19612)</f>
      </c>
      <c r="G19612">
        <f>IF(DATOS!$A19612="",0,IF(CONFIG_METADATA!$B$4&lt;&gt;"OR+EX",--(DATOS!$G19612=CONFIG_METADATA!$B$4),IF(DATOS!$G19612="EX",1,IF(DATOS!$G19612="OR",--(COUNTIFS(nNIA,DATOS!$A19612,nCURSO,DATOS!$D19612,nESPEC,DATOS!$E19612,nASIG,DATOS!$I19612,nEVAL,"EX")=0),0))))</f>
      </c>
      <c r="H19612">
        <f>IF(DATOS!$G19612&lt;&gt;"EX",0,--(COUNTIFS(nNIA,DATOS!$A19612,nCURSO,DATOS!$D19612,nESPEC,DATOS!$E19612,nASIG,DATOS!$I19612,nEVAL,"OR")=0))</f>
      </c>
      <c r="I19612">
        <f>IF(DATOS!$I19612="","",IFERROR(VLOOKUP(DATOS!$I19612,CONFIG_ASIGNATURAS!$B$2:$J$91,9,FALSE()),""))</f>
      </c>
    </row>
    <row r="19613">
      <c r="F19613">
        <f>IF(DATOS!$A19613="","",DATOS!$A19613&amp;"|"&amp;DATOS!$D19613&amp;"|"&amp;DATOS!$E19613&amp;"|"&amp;DATOS!$I19613)</f>
      </c>
      <c r="G19613">
        <f>IF(DATOS!$A19613="",0,IF(CONFIG_METADATA!$B$4&lt;&gt;"OR+EX",--(DATOS!$G19613=CONFIG_METADATA!$B$4),IF(DATOS!$G19613="EX",1,IF(DATOS!$G19613="OR",--(COUNTIFS(nNIA,DATOS!$A19613,nCURSO,DATOS!$D19613,nESPEC,DATOS!$E19613,nASIG,DATOS!$I19613,nEVAL,"EX")=0),0))))</f>
      </c>
      <c r="H19613">
        <f>IF(DATOS!$G19613&lt;&gt;"EX",0,--(COUNTIFS(nNIA,DATOS!$A19613,nCURSO,DATOS!$D19613,nESPEC,DATOS!$E19613,nASIG,DATOS!$I19613,nEVAL,"OR")=0))</f>
      </c>
      <c r="I19613">
        <f>IF(DATOS!$I19613="","",IFERROR(VLOOKUP(DATOS!$I19613,CONFIG_ASIGNATURAS!$B$2:$J$91,9,FALSE()),""))</f>
      </c>
    </row>
    <row r="19614">
      <c r="F19614">
        <f>IF(DATOS!$A19614="","",DATOS!$A19614&amp;"|"&amp;DATOS!$D19614&amp;"|"&amp;DATOS!$E19614&amp;"|"&amp;DATOS!$I19614)</f>
      </c>
      <c r="G19614">
        <f>IF(DATOS!$A19614="",0,IF(CONFIG_METADATA!$B$4&lt;&gt;"OR+EX",--(DATOS!$G19614=CONFIG_METADATA!$B$4),IF(DATOS!$G19614="EX",1,IF(DATOS!$G19614="OR",--(COUNTIFS(nNIA,DATOS!$A19614,nCURSO,DATOS!$D19614,nESPEC,DATOS!$E19614,nASIG,DATOS!$I19614,nEVAL,"EX")=0),0))))</f>
      </c>
      <c r="H19614">
        <f>IF(DATOS!$G19614&lt;&gt;"EX",0,--(COUNTIFS(nNIA,DATOS!$A19614,nCURSO,DATOS!$D19614,nESPEC,DATOS!$E19614,nASIG,DATOS!$I19614,nEVAL,"OR")=0))</f>
      </c>
      <c r="I19614">
        <f>IF(DATOS!$I19614="","",IFERROR(VLOOKUP(DATOS!$I19614,CONFIG_ASIGNATURAS!$B$2:$J$91,9,FALSE()),""))</f>
      </c>
    </row>
    <row r="19615">
      <c r="F19615">
        <f>IF(DATOS!$A19615="","",DATOS!$A19615&amp;"|"&amp;DATOS!$D19615&amp;"|"&amp;DATOS!$E19615&amp;"|"&amp;DATOS!$I19615)</f>
      </c>
      <c r="G19615">
        <f>IF(DATOS!$A19615="",0,IF(CONFIG_METADATA!$B$4&lt;&gt;"OR+EX",--(DATOS!$G19615=CONFIG_METADATA!$B$4),IF(DATOS!$G19615="EX",1,IF(DATOS!$G19615="OR",--(COUNTIFS(nNIA,DATOS!$A19615,nCURSO,DATOS!$D19615,nESPEC,DATOS!$E19615,nASIG,DATOS!$I19615,nEVAL,"EX")=0),0))))</f>
      </c>
      <c r="H19615">
        <f>IF(DATOS!$G19615&lt;&gt;"EX",0,--(COUNTIFS(nNIA,DATOS!$A19615,nCURSO,DATOS!$D19615,nESPEC,DATOS!$E19615,nASIG,DATOS!$I19615,nEVAL,"OR")=0))</f>
      </c>
      <c r="I19615">
        <f>IF(DATOS!$I19615="","",IFERROR(VLOOKUP(DATOS!$I19615,CONFIG_ASIGNATURAS!$B$2:$J$91,9,FALSE()),""))</f>
      </c>
    </row>
    <row r="19616">
      <c r="F19616">
        <f>IF(DATOS!$A19616="","",DATOS!$A19616&amp;"|"&amp;DATOS!$D19616&amp;"|"&amp;DATOS!$E19616&amp;"|"&amp;DATOS!$I19616)</f>
      </c>
      <c r="G19616">
        <f>IF(DATOS!$A19616="",0,IF(CONFIG_METADATA!$B$4&lt;&gt;"OR+EX",--(DATOS!$G19616=CONFIG_METADATA!$B$4),IF(DATOS!$G19616="EX",1,IF(DATOS!$G19616="OR",--(COUNTIFS(nNIA,DATOS!$A19616,nCURSO,DATOS!$D19616,nESPEC,DATOS!$E19616,nASIG,DATOS!$I19616,nEVAL,"EX")=0),0))))</f>
      </c>
      <c r="H19616">
        <f>IF(DATOS!$G19616&lt;&gt;"EX",0,--(COUNTIFS(nNIA,DATOS!$A19616,nCURSO,DATOS!$D19616,nESPEC,DATOS!$E19616,nASIG,DATOS!$I19616,nEVAL,"OR")=0))</f>
      </c>
      <c r="I19616">
        <f>IF(DATOS!$I19616="","",IFERROR(VLOOKUP(DATOS!$I19616,CONFIG_ASIGNATURAS!$B$2:$J$91,9,FALSE()),""))</f>
      </c>
    </row>
    <row r="19617">
      <c r="F19617">
        <f>IF(DATOS!$A19617="","",DATOS!$A19617&amp;"|"&amp;DATOS!$D19617&amp;"|"&amp;DATOS!$E19617&amp;"|"&amp;DATOS!$I19617)</f>
      </c>
      <c r="G19617">
        <f>IF(DATOS!$A19617="",0,IF(CONFIG_METADATA!$B$4&lt;&gt;"OR+EX",--(DATOS!$G19617=CONFIG_METADATA!$B$4),IF(DATOS!$G19617="EX",1,IF(DATOS!$G19617="OR",--(COUNTIFS(nNIA,DATOS!$A19617,nCURSO,DATOS!$D19617,nESPEC,DATOS!$E19617,nASIG,DATOS!$I19617,nEVAL,"EX")=0),0))))</f>
      </c>
      <c r="H19617">
        <f>IF(DATOS!$G19617&lt;&gt;"EX",0,--(COUNTIFS(nNIA,DATOS!$A19617,nCURSO,DATOS!$D19617,nESPEC,DATOS!$E19617,nASIG,DATOS!$I19617,nEVAL,"OR")=0))</f>
      </c>
      <c r="I19617">
        <f>IF(DATOS!$I19617="","",IFERROR(VLOOKUP(DATOS!$I19617,CONFIG_ASIGNATURAS!$B$2:$J$91,9,FALSE()),""))</f>
      </c>
    </row>
    <row r="19618">
      <c r="F19618">
        <f>IF(DATOS!$A19618="","",DATOS!$A19618&amp;"|"&amp;DATOS!$D19618&amp;"|"&amp;DATOS!$E19618&amp;"|"&amp;DATOS!$I19618)</f>
      </c>
      <c r="G19618">
        <f>IF(DATOS!$A19618="",0,IF(CONFIG_METADATA!$B$4&lt;&gt;"OR+EX",--(DATOS!$G19618=CONFIG_METADATA!$B$4),IF(DATOS!$G19618="EX",1,IF(DATOS!$G19618="OR",--(COUNTIFS(nNIA,DATOS!$A19618,nCURSO,DATOS!$D19618,nESPEC,DATOS!$E19618,nASIG,DATOS!$I19618,nEVAL,"EX")=0),0))))</f>
      </c>
      <c r="H19618">
        <f>IF(DATOS!$G19618&lt;&gt;"EX",0,--(COUNTIFS(nNIA,DATOS!$A19618,nCURSO,DATOS!$D19618,nESPEC,DATOS!$E19618,nASIG,DATOS!$I19618,nEVAL,"OR")=0))</f>
      </c>
      <c r="I19618">
        <f>IF(DATOS!$I19618="","",IFERROR(VLOOKUP(DATOS!$I19618,CONFIG_ASIGNATURAS!$B$2:$J$91,9,FALSE()),""))</f>
      </c>
    </row>
    <row r="19619">
      <c r="F19619">
        <f>IF(DATOS!$A19619="","",DATOS!$A19619&amp;"|"&amp;DATOS!$D19619&amp;"|"&amp;DATOS!$E19619&amp;"|"&amp;DATOS!$I19619)</f>
      </c>
      <c r="G19619">
        <f>IF(DATOS!$A19619="",0,IF(CONFIG_METADATA!$B$4&lt;&gt;"OR+EX",--(DATOS!$G19619=CONFIG_METADATA!$B$4),IF(DATOS!$G19619="EX",1,IF(DATOS!$G19619="OR",--(COUNTIFS(nNIA,DATOS!$A19619,nCURSO,DATOS!$D19619,nESPEC,DATOS!$E19619,nASIG,DATOS!$I19619,nEVAL,"EX")=0),0))))</f>
      </c>
      <c r="H19619">
        <f>IF(DATOS!$G19619&lt;&gt;"EX",0,--(COUNTIFS(nNIA,DATOS!$A19619,nCURSO,DATOS!$D19619,nESPEC,DATOS!$E19619,nASIG,DATOS!$I19619,nEVAL,"OR")=0))</f>
      </c>
      <c r="I19619">
        <f>IF(DATOS!$I19619="","",IFERROR(VLOOKUP(DATOS!$I19619,CONFIG_ASIGNATURAS!$B$2:$J$91,9,FALSE()),""))</f>
      </c>
    </row>
    <row r="19620">
      <c r="F19620">
        <f>IF(DATOS!$A19620="","",DATOS!$A19620&amp;"|"&amp;DATOS!$D19620&amp;"|"&amp;DATOS!$E19620&amp;"|"&amp;DATOS!$I19620)</f>
      </c>
      <c r="G19620">
        <f>IF(DATOS!$A19620="",0,IF(CONFIG_METADATA!$B$4&lt;&gt;"OR+EX",--(DATOS!$G19620=CONFIG_METADATA!$B$4),IF(DATOS!$G19620="EX",1,IF(DATOS!$G19620="OR",--(COUNTIFS(nNIA,DATOS!$A19620,nCURSO,DATOS!$D19620,nESPEC,DATOS!$E19620,nASIG,DATOS!$I19620,nEVAL,"EX")=0),0))))</f>
      </c>
      <c r="H19620">
        <f>IF(DATOS!$G19620&lt;&gt;"EX",0,--(COUNTIFS(nNIA,DATOS!$A19620,nCURSO,DATOS!$D19620,nESPEC,DATOS!$E19620,nASIG,DATOS!$I19620,nEVAL,"OR")=0))</f>
      </c>
      <c r="I19620">
        <f>IF(DATOS!$I19620="","",IFERROR(VLOOKUP(DATOS!$I19620,CONFIG_ASIGNATURAS!$B$2:$J$91,9,FALSE()),""))</f>
      </c>
    </row>
    <row r="19621">
      <c r="F19621">
        <f>IF(DATOS!$A19621="","",DATOS!$A19621&amp;"|"&amp;DATOS!$D19621&amp;"|"&amp;DATOS!$E19621&amp;"|"&amp;DATOS!$I19621)</f>
      </c>
      <c r="G19621">
        <f>IF(DATOS!$A19621="",0,IF(CONFIG_METADATA!$B$4&lt;&gt;"OR+EX",--(DATOS!$G19621=CONFIG_METADATA!$B$4),IF(DATOS!$G19621="EX",1,IF(DATOS!$G19621="OR",--(COUNTIFS(nNIA,DATOS!$A19621,nCURSO,DATOS!$D19621,nESPEC,DATOS!$E19621,nASIG,DATOS!$I19621,nEVAL,"EX")=0),0))))</f>
      </c>
      <c r="H19621">
        <f>IF(DATOS!$G19621&lt;&gt;"EX",0,--(COUNTIFS(nNIA,DATOS!$A19621,nCURSO,DATOS!$D19621,nESPEC,DATOS!$E19621,nASIG,DATOS!$I19621,nEVAL,"OR")=0))</f>
      </c>
      <c r="I19621">
        <f>IF(DATOS!$I19621="","",IFERROR(VLOOKUP(DATOS!$I19621,CONFIG_ASIGNATURAS!$B$2:$J$91,9,FALSE()),""))</f>
      </c>
    </row>
    <row r="19622">
      <c r="F19622">
        <f>IF(DATOS!$A19622="","",DATOS!$A19622&amp;"|"&amp;DATOS!$D19622&amp;"|"&amp;DATOS!$E19622&amp;"|"&amp;DATOS!$I19622)</f>
      </c>
      <c r="G19622">
        <f>IF(DATOS!$A19622="",0,IF(CONFIG_METADATA!$B$4&lt;&gt;"OR+EX",--(DATOS!$G19622=CONFIG_METADATA!$B$4),IF(DATOS!$G19622="EX",1,IF(DATOS!$G19622="OR",--(COUNTIFS(nNIA,DATOS!$A19622,nCURSO,DATOS!$D19622,nESPEC,DATOS!$E19622,nASIG,DATOS!$I19622,nEVAL,"EX")=0),0))))</f>
      </c>
      <c r="H19622">
        <f>IF(DATOS!$G19622&lt;&gt;"EX",0,--(COUNTIFS(nNIA,DATOS!$A19622,nCURSO,DATOS!$D19622,nESPEC,DATOS!$E19622,nASIG,DATOS!$I19622,nEVAL,"OR")=0))</f>
      </c>
      <c r="I19622">
        <f>IF(DATOS!$I19622="","",IFERROR(VLOOKUP(DATOS!$I19622,CONFIG_ASIGNATURAS!$B$2:$J$91,9,FALSE()),""))</f>
      </c>
    </row>
    <row r="19623">
      <c r="F19623">
        <f>IF(DATOS!$A19623="","",DATOS!$A19623&amp;"|"&amp;DATOS!$D19623&amp;"|"&amp;DATOS!$E19623&amp;"|"&amp;DATOS!$I19623)</f>
      </c>
      <c r="G19623">
        <f>IF(DATOS!$A19623="",0,IF(CONFIG_METADATA!$B$4&lt;&gt;"OR+EX",--(DATOS!$G19623=CONFIG_METADATA!$B$4),IF(DATOS!$G19623="EX",1,IF(DATOS!$G19623="OR",--(COUNTIFS(nNIA,DATOS!$A19623,nCURSO,DATOS!$D19623,nESPEC,DATOS!$E19623,nASIG,DATOS!$I19623,nEVAL,"EX")=0),0))))</f>
      </c>
      <c r="H19623">
        <f>IF(DATOS!$G19623&lt;&gt;"EX",0,--(COUNTIFS(nNIA,DATOS!$A19623,nCURSO,DATOS!$D19623,nESPEC,DATOS!$E19623,nASIG,DATOS!$I19623,nEVAL,"OR")=0))</f>
      </c>
      <c r="I19623">
        <f>IF(DATOS!$I19623="","",IFERROR(VLOOKUP(DATOS!$I19623,CONFIG_ASIGNATURAS!$B$2:$J$91,9,FALSE()),""))</f>
      </c>
    </row>
    <row r="19624">
      <c r="F19624">
        <f>IF(DATOS!$A19624="","",DATOS!$A19624&amp;"|"&amp;DATOS!$D19624&amp;"|"&amp;DATOS!$E19624&amp;"|"&amp;DATOS!$I19624)</f>
      </c>
      <c r="G19624">
        <f>IF(DATOS!$A19624="",0,IF(CONFIG_METADATA!$B$4&lt;&gt;"OR+EX",--(DATOS!$G19624=CONFIG_METADATA!$B$4),IF(DATOS!$G19624="EX",1,IF(DATOS!$G19624="OR",--(COUNTIFS(nNIA,DATOS!$A19624,nCURSO,DATOS!$D19624,nESPEC,DATOS!$E19624,nASIG,DATOS!$I19624,nEVAL,"EX")=0),0))))</f>
      </c>
      <c r="H19624">
        <f>IF(DATOS!$G19624&lt;&gt;"EX",0,--(COUNTIFS(nNIA,DATOS!$A19624,nCURSO,DATOS!$D19624,nESPEC,DATOS!$E19624,nASIG,DATOS!$I19624,nEVAL,"OR")=0))</f>
      </c>
      <c r="I19624">
        <f>IF(DATOS!$I19624="","",IFERROR(VLOOKUP(DATOS!$I19624,CONFIG_ASIGNATURAS!$B$2:$J$91,9,FALSE()),""))</f>
      </c>
    </row>
    <row r="19625">
      <c r="F19625">
        <f>IF(DATOS!$A19625="","",DATOS!$A19625&amp;"|"&amp;DATOS!$D19625&amp;"|"&amp;DATOS!$E19625&amp;"|"&amp;DATOS!$I19625)</f>
      </c>
      <c r="G19625">
        <f>IF(DATOS!$A19625="",0,IF(CONFIG_METADATA!$B$4&lt;&gt;"OR+EX",--(DATOS!$G19625=CONFIG_METADATA!$B$4),IF(DATOS!$G19625="EX",1,IF(DATOS!$G19625="OR",--(COUNTIFS(nNIA,DATOS!$A19625,nCURSO,DATOS!$D19625,nESPEC,DATOS!$E19625,nASIG,DATOS!$I19625,nEVAL,"EX")=0),0))))</f>
      </c>
      <c r="H19625">
        <f>IF(DATOS!$G19625&lt;&gt;"EX",0,--(COUNTIFS(nNIA,DATOS!$A19625,nCURSO,DATOS!$D19625,nESPEC,DATOS!$E19625,nASIG,DATOS!$I19625,nEVAL,"OR")=0))</f>
      </c>
      <c r="I19625">
        <f>IF(DATOS!$I19625="","",IFERROR(VLOOKUP(DATOS!$I19625,CONFIG_ASIGNATURAS!$B$2:$J$91,9,FALSE()),""))</f>
      </c>
    </row>
    <row r="19626">
      <c r="F19626">
        <f>IF(DATOS!$A19626="","",DATOS!$A19626&amp;"|"&amp;DATOS!$D19626&amp;"|"&amp;DATOS!$E19626&amp;"|"&amp;DATOS!$I19626)</f>
      </c>
      <c r="G19626">
        <f>IF(DATOS!$A19626="",0,IF(CONFIG_METADATA!$B$4&lt;&gt;"OR+EX",--(DATOS!$G19626=CONFIG_METADATA!$B$4),IF(DATOS!$G19626="EX",1,IF(DATOS!$G19626="OR",--(COUNTIFS(nNIA,DATOS!$A19626,nCURSO,DATOS!$D19626,nESPEC,DATOS!$E19626,nASIG,DATOS!$I19626,nEVAL,"EX")=0),0))))</f>
      </c>
      <c r="H19626">
        <f>IF(DATOS!$G19626&lt;&gt;"EX",0,--(COUNTIFS(nNIA,DATOS!$A19626,nCURSO,DATOS!$D19626,nESPEC,DATOS!$E19626,nASIG,DATOS!$I19626,nEVAL,"OR")=0))</f>
      </c>
      <c r="I19626">
        <f>IF(DATOS!$I19626="","",IFERROR(VLOOKUP(DATOS!$I19626,CONFIG_ASIGNATURAS!$B$2:$J$91,9,FALSE()),""))</f>
      </c>
    </row>
    <row r="19627">
      <c r="F19627">
        <f>IF(DATOS!$A19627="","",DATOS!$A19627&amp;"|"&amp;DATOS!$D19627&amp;"|"&amp;DATOS!$E19627&amp;"|"&amp;DATOS!$I19627)</f>
      </c>
      <c r="G19627">
        <f>IF(DATOS!$A19627="",0,IF(CONFIG_METADATA!$B$4&lt;&gt;"OR+EX",--(DATOS!$G19627=CONFIG_METADATA!$B$4),IF(DATOS!$G19627="EX",1,IF(DATOS!$G19627="OR",--(COUNTIFS(nNIA,DATOS!$A19627,nCURSO,DATOS!$D19627,nESPEC,DATOS!$E19627,nASIG,DATOS!$I19627,nEVAL,"EX")=0),0))))</f>
      </c>
      <c r="H19627">
        <f>IF(DATOS!$G19627&lt;&gt;"EX",0,--(COUNTIFS(nNIA,DATOS!$A19627,nCURSO,DATOS!$D19627,nESPEC,DATOS!$E19627,nASIG,DATOS!$I19627,nEVAL,"OR")=0))</f>
      </c>
      <c r="I19627">
        <f>IF(DATOS!$I19627="","",IFERROR(VLOOKUP(DATOS!$I19627,CONFIG_ASIGNATURAS!$B$2:$J$91,9,FALSE()),""))</f>
      </c>
    </row>
    <row r="19628">
      <c r="F19628">
        <f>IF(DATOS!$A19628="","",DATOS!$A19628&amp;"|"&amp;DATOS!$D19628&amp;"|"&amp;DATOS!$E19628&amp;"|"&amp;DATOS!$I19628)</f>
      </c>
      <c r="G19628">
        <f>IF(DATOS!$A19628="",0,IF(CONFIG_METADATA!$B$4&lt;&gt;"OR+EX",--(DATOS!$G19628=CONFIG_METADATA!$B$4),IF(DATOS!$G19628="EX",1,IF(DATOS!$G19628="OR",--(COUNTIFS(nNIA,DATOS!$A19628,nCURSO,DATOS!$D19628,nESPEC,DATOS!$E19628,nASIG,DATOS!$I19628,nEVAL,"EX")=0),0))))</f>
      </c>
      <c r="H19628">
        <f>IF(DATOS!$G19628&lt;&gt;"EX",0,--(COUNTIFS(nNIA,DATOS!$A19628,nCURSO,DATOS!$D19628,nESPEC,DATOS!$E19628,nASIG,DATOS!$I19628,nEVAL,"OR")=0))</f>
      </c>
      <c r="I19628">
        <f>IF(DATOS!$I19628="","",IFERROR(VLOOKUP(DATOS!$I19628,CONFIG_ASIGNATURAS!$B$2:$J$91,9,FALSE()),""))</f>
      </c>
    </row>
    <row r="19629">
      <c r="F19629">
        <f>IF(DATOS!$A19629="","",DATOS!$A19629&amp;"|"&amp;DATOS!$D19629&amp;"|"&amp;DATOS!$E19629&amp;"|"&amp;DATOS!$I19629)</f>
      </c>
      <c r="G19629">
        <f>IF(DATOS!$A19629="",0,IF(CONFIG_METADATA!$B$4&lt;&gt;"OR+EX",--(DATOS!$G19629=CONFIG_METADATA!$B$4),IF(DATOS!$G19629="EX",1,IF(DATOS!$G19629="OR",--(COUNTIFS(nNIA,DATOS!$A19629,nCURSO,DATOS!$D19629,nESPEC,DATOS!$E19629,nASIG,DATOS!$I19629,nEVAL,"EX")=0),0))))</f>
      </c>
      <c r="H19629">
        <f>IF(DATOS!$G19629&lt;&gt;"EX",0,--(COUNTIFS(nNIA,DATOS!$A19629,nCURSO,DATOS!$D19629,nESPEC,DATOS!$E19629,nASIG,DATOS!$I19629,nEVAL,"OR")=0))</f>
      </c>
      <c r="I19629">
        <f>IF(DATOS!$I19629="","",IFERROR(VLOOKUP(DATOS!$I19629,CONFIG_ASIGNATURAS!$B$2:$J$91,9,FALSE()),""))</f>
      </c>
    </row>
    <row r="19630">
      <c r="F19630">
        <f>IF(DATOS!$A19630="","",DATOS!$A19630&amp;"|"&amp;DATOS!$D19630&amp;"|"&amp;DATOS!$E19630&amp;"|"&amp;DATOS!$I19630)</f>
      </c>
      <c r="G19630">
        <f>IF(DATOS!$A19630="",0,IF(CONFIG_METADATA!$B$4&lt;&gt;"OR+EX",--(DATOS!$G19630=CONFIG_METADATA!$B$4),IF(DATOS!$G19630="EX",1,IF(DATOS!$G19630="OR",--(COUNTIFS(nNIA,DATOS!$A19630,nCURSO,DATOS!$D19630,nESPEC,DATOS!$E19630,nASIG,DATOS!$I19630,nEVAL,"EX")=0),0))))</f>
      </c>
      <c r="H19630">
        <f>IF(DATOS!$G19630&lt;&gt;"EX",0,--(COUNTIFS(nNIA,DATOS!$A19630,nCURSO,DATOS!$D19630,nESPEC,DATOS!$E19630,nASIG,DATOS!$I19630,nEVAL,"OR")=0))</f>
      </c>
      <c r="I19630">
        <f>IF(DATOS!$I19630="","",IFERROR(VLOOKUP(DATOS!$I19630,CONFIG_ASIGNATURAS!$B$2:$J$91,9,FALSE()),""))</f>
      </c>
    </row>
    <row r="19631">
      <c r="F19631">
        <f>IF(DATOS!$A19631="","",DATOS!$A19631&amp;"|"&amp;DATOS!$D19631&amp;"|"&amp;DATOS!$E19631&amp;"|"&amp;DATOS!$I19631)</f>
      </c>
      <c r="G19631">
        <f>IF(DATOS!$A19631="",0,IF(CONFIG_METADATA!$B$4&lt;&gt;"OR+EX",--(DATOS!$G19631=CONFIG_METADATA!$B$4),IF(DATOS!$G19631="EX",1,IF(DATOS!$G19631="OR",--(COUNTIFS(nNIA,DATOS!$A19631,nCURSO,DATOS!$D19631,nESPEC,DATOS!$E19631,nASIG,DATOS!$I19631,nEVAL,"EX")=0),0))))</f>
      </c>
      <c r="H19631">
        <f>IF(DATOS!$G19631&lt;&gt;"EX",0,--(COUNTIFS(nNIA,DATOS!$A19631,nCURSO,DATOS!$D19631,nESPEC,DATOS!$E19631,nASIG,DATOS!$I19631,nEVAL,"OR")=0))</f>
      </c>
      <c r="I19631">
        <f>IF(DATOS!$I19631="","",IFERROR(VLOOKUP(DATOS!$I19631,CONFIG_ASIGNATURAS!$B$2:$J$91,9,FALSE()),""))</f>
      </c>
    </row>
    <row r="19632">
      <c r="F19632">
        <f>IF(DATOS!$A19632="","",DATOS!$A19632&amp;"|"&amp;DATOS!$D19632&amp;"|"&amp;DATOS!$E19632&amp;"|"&amp;DATOS!$I19632)</f>
      </c>
      <c r="G19632">
        <f>IF(DATOS!$A19632="",0,IF(CONFIG_METADATA!$B$4&lt;&gt;"OR+EX",--(DATOS!$G19632=CONFIG_METADATA!$B$4),IF(DATOS!$G19632="EX",1,IF(DATOS!$G19632="OR",--(COUNTIFS(nNIA,DATOS!$A19632,nCURSO,DATOS!$D19632,nESPEC,DATOS!$E19632,nASIG,DATOS!$I19632,nEVAL,"EX")=0),0))))</f>
      </c>
      <c r="H19632">
        <f>IF(DATOS!$G19632&lt;&gt;"EX",0,--(COUNTIFS(nNIA,DATOS!$A19632,nCURSO,DATOS!$D19632,nESPEC,DATOS!$E19632,nASIG,DATOS!$I19632,nEVAL,"OR")=0))</f>
      </c>
      <c r="I19632">
        <f>IF(DATOS!$I19632="","",IFERROR(VLOOKUP(DATOS!$I19632,CONFIG_ASIGNATURAS!$B$2:$J$91,9,FALSE()),""))</f>
      </c>
    </row>
    <row r="19633">
      <c r="F19633">
        <f>IF(DATOS!$A19633="","",DATOS!$A19633&amp;"|"&amp;DATOS!$D19633&amp;"|"&amp;DATOS!$E19633&amp;"|"&amp;DATOS!$I19633)</f>
      </c>
      <c r="G19633">
        <f>IF(DATOS!$A19633="",0,IF(CONFIG_METADATA!$B$4&lt;&gt;"OR+EX",--(DATOS!$G19633=CONFIG_METADATA!$B$4),IF(DATOS!$G19633="EX",1,IF(DATOS!$G19633="OR",--(COUNTIFS(nNIA,DATOS!$A19633,nCURSO,DATOS!$D19633,nESPEC,DATOS!$E19633,nASIG,DATOS!$I19633,nEVAL,"EX")=0),0))))</f>
      </c>
      <c r="H19633">
        <f>IF(DATOS!$G19633&lt;&gt;"EX",0,--(COUNTIFS(nNIA,DATOS!$A19633,nCURSO,DATOS!$D19633,nESPEC,DATOS!$E19633,nASIG,DATOS!$I19633,nEVAL,"OR")=0))</f>
      </c>
      <c r="I19633">
        <f>IF(DATOS!$I19633="","",IFERROR(VLOOKUP(DATOS!$I19633,CONFIG_ASIGNATURAS!$B$2:$J$91,9,FALSE()),""))</f>
      </c>
    </row>
    <row r="19634">
      <c r="F19634">
        <f>IF(DATOS!$A19634="","",DATOS!$A19634&amp;"|"&amp;DATOS!$D19634&amp;"|"&amp;DATOS!$E19634&amp;"|"&amp;DATOS!$I19634)</f>
      </c>
      <c r="G19634">
        <f>IF(DATOS!$A19634="",0,IF(CONFIG_METADATA!$B$4&lt;&gt;"OR+EX",--(DATOS!$G19634=CONFIG_METADATA!$B$4),IF(DATOS!$G19634="EX",1,IF(DATOS!$G19634="OR",--(COUNTIFS(nNIA,DATOS!$A19634,nCURSO,DATOS!$D19634,nESPEC,DATOS!$E19634,nASIG,DATOS!$I19634,nEVAL,"EX")=0),0))))</f>
      </c>
      <c r="H19634">
        <f>IF(DATOS!$G19634&lt;&gt;"EX",0,--(COUNTIFS(nNIA,DATOS!$A19634,nCURSO,DATOS!$D19634,nESPEC,DATOS!$E19634,nASIG,DATOS!$I19634,nEVAL,"OR")=0))</f>
      </c>
      <c r="I19634">
        <f>IF(DATOS!$I19634="","",IFERROR(VLOOKUP(DATOS!$I19634,CONFIG_ASIGNATURAS!$B$2:$J$91,9,FALSE()),""))</f>
      </c>
    </row>
    <row r="19635">
      <c r="F19635">
        <f>IF(DATOS!$A19635="","",DATOS!$A19635&amp;"|"&amp;DATOS!$D19635&amp;"|"&amp;DATOS!$E19635&amp;"|"&amp;DATOS!$I19635)</f>
      </c>
      <c r="G19635">
        <f>IF(DATOS!$A19635="",0,IF(CONFIG_METADATA!$B$4&lt;&gt;"OR+EX",--(DATOS!$G19635=CONFIG_METADATA!$B$4),IF(DATOS!$G19635="EX",1,IF(DATOS!$G19635="OR",--(COUNTIFS(nNIA,DATOS!$A19635,nCURSO,DATOS!$D19635,nESPEC,DATOS!$E19635,nASIG,DATOS!$I19635,nEVAL,"EX")=0),0))))</f>
      </c>
      <c r="H19635">
        <f>IF(DATOS!$G19635&lt;&gt;"EX",0,--(COUNTIFS(nNIA,DATOS!$A19635,nCURSO,DATOS!$D19635,nESPEC,DATOS!$E19635,nASIG,DATOS!$I19635,nEVAL,"OR")=0))</f>
      </c>
      <c r="I19635">
        <f>IF(DATOS!$I19635="","",IFERROR(VLOOKUP(DATOS!$I19635,CONFIG_ASIGNATURAS!$B$2:$J$91,9,FALSE()),""))</f>
      </c>
    </row>
    <row r="19636">
      <c r="F19636">
        <f>IF(DATOS!$A19636="","",DATOS!$A19636&amp;"|"&amp;DATOS!$D19636&amp;"|"&amp;DATOS!$E19636&amp;"|"&amp;DATOS!$I19636)</f>
      </c>
      <c r="G19636">
        <f>IF(DATOS!$A19636="",0,IF(CONFIG_METADATA!$B$4&lt;&gt;"OR+EX",--(DATOS!$G19636=CONFIG_METADATA!$B$4),IF(DATOS!$G19636="EX",1,IF(DATOS!$G19636="OR",--(COUNTIFS(nNIA,DATOS!$A19636,nCURSO,DATOS!$D19636,nESPEC,DATOS!$E19636,nASIG,DATOS!$I19636,nEVAL,"EX")=0),0))))</f>
      </c>
      <c r="H19636">
        <f>IF(DATOS!$G19636&lt;&gt;"EX",0,--(COUNTIFS(nNIA,DATOS!$A19636,nCURSO,DATOS!$D19636,nESPEC,DATOS!$E19636,nASIG,DATOS!$I19636,nEVAL,"OR")=0))</f>
      </c>
      <c r="I19636">
        <f>IF(DATOS!$I19636="","",IFERROR(VLOOKUP(DATOS!$I19636,CONFIG_ASIGNATURAS!$B$2:$J$91,9,FALSE()),""))</f>
      </c>
    </row>
    <row r="19637">
      <c r="F19637">
        <f>IF(DATOS!$A19637="","",DATOS!$A19637&amp;"|"&amp;DATOS!$D19637&amp;"|"&amp;DATOS!$E19637&amp;"|"&amp;DATOS!$I19637)</f>
      </c>
      <c r="G19637">
        <f>IF(DATOS!$A19637="",0,IF(CONFIG_METADATA!$B$4&lt;&gt;"OR+EX",--(DATOS!$G19637=CONFIG_METADATA!$B$4),IF(DATOS!$G19637="EX",1,IF(DATOS!$G19637="OR",--(COUNTIFS(nNIA,DATOS!$A19637,nCURSO,DATOS!$D19637,nESPEC,DATOS!$E19637,nASIG,DATOS!$I19637,nEVAL,"EX")=0),0))))</f>
      </c>
      <c r="H19637">
        <f>IF(DATOS!$G19637&lt;&gt;"EX",0,--(COUNTIFS(nNIA,DATOS!$A19637,nCURSO,DATOS!$D19637,nESPEC,DATOS!$E19637,nASIG,DATOS!$I19637,nEVAL,"OR")=0))</f>
      </c>
      <c r="I19637">
        <f>IF(DATOS!$I19637="","",IFERROR(VLOOKUP(DATOS!$I19637,CONFIG_ASIGNATURAS!$B$2:$J$91,9,FALSE()),""))</f>
      </c>
    </row>
    <row r="19638">
      <c r="F19638">
        <f>IF(DATOS!$A19638="","",DATOS!$A19638&amp;"|"&amp;DATOS!$D19638&amp;"|"&amp;DATOS!$E19638&amp;"|"&amp;DATOS!$I19638)</f>
      </c>
      <c r="G19638">
        <f>IF(DATOS!$A19638="",0,IF(CONFIG_METADATA!$B$4&lt;&gt;"OR+EX",--(DATOS!$G19638=CONFIG_METADATA!$B$4),IF(DATOS!$G19638="EX",1,IF(DATOS!$G19638="OR",--(COUNTIFS(nNIA,DATOS!$A19638,nCURSO,DATOS!$D19638,nESPEC,DATOS!$E19638,nASIG,DATOS!$I19638,nEVAL,"EX")=0),0))))</f>
      </c>
      <c r="H19638">
        <f>IF(DATOS!$G19638&lt;&gt;"EX",0,--(COUNTIFS(nNIA,DATOS!$A19638,nCURSO,DATOS!$D19638,nESPEC,DATOS!$E19638,nASIG,DATOS!$I19638,nEVAL,"OR")=0))</f>
      </c>
      <c r="I19638">
        <f>IF(DATOS!$I19638="","",IFERROR(VLOOKUP(DATOS!$I19638,CONFIG_ASIGNATURAS!$B$2:$J$91,9,FALSE()),""))</f>
      </c>
    </row>
    <row r="19639">
      <c r="F19639">
        <f>IF(DATOS!$A19639="","",DATOS!$A19639&amp;"|"&amp;DATOS!$D19639&amp;"|"&amp;DATOS!$E19639&amp;"|"&amp;DATOS!$I19639)</f>
      </c>
      <c r="G19639">
        <f>IF(DATOS!$A19639="",0,IF(CONFIG_METADATA!$B$4&lt;&gt;"OR+EX",--(DATOS!$G19639=CONFIG_METADATA!$B$4),IF(DATOS!$G19639="EX",1,IF(DATOS!$G19639="OR",--(COUNTIFS(nNIA,DATOS!$A19639,nCURSO,DATOS!$D19639,nESPEC,DATOS!$E19639,nASIG,DATOS!$I19639,nEVAL,"EX")=0),0))))</f>
      </c>
      <c r="H19639">
        <f>IF(DATOS!$G19639&lt;&gt;"EX",0,--(COUNTIFS(nNIA,DATOS!$A19639,nCURSO,DATOS!$D19639,nESPEC,DATOS!$E19639,nASIG,DATOS!$I19639,nEVAL,"OR")=0))</f>
      </c>
      <c r="I19639">
        <f>IF(DATOS!$I19639="","",IFERROR(VLOOKUP(DATOS!$I19639,CONFIG_ASIGNATURAS!$B$2:$J$91,9,FALSE()),""))</f>
      </c>
    </row>
    <row r="19640">
      <c r="F19640">
        <f>IF(DATOS!$A19640="","",DATOS!$A19640&amp;"|"&amp;DATOS!$D19640&amp;"|"&amp;DATOS!$E19640&amp;"|"&amp;DATOS!$I19640)</f>
      </c>
      <c r="G19640">
        <f>IF(DATOS!$A19640="",0,IF(CONFIG_METADATA!$B$4&lt;&gt;"OR+EX",--(DATOS!$G19640=CONFIG_METADATA!$B$4),IF(DATOS!$G19640="EX",1,IF(DATOS!$G19640="OR",--(COUNTIFS(nNIA,DATOS!$A19640,nCURSO,DATOS!$D19640,nESPEC,DATOS!$E19640,nASIG,DATOS!$I19640,nEVAL,"EX")=0),0))))</f>
      </c>
      <c r="H19640">
        <f>IF(DATOS!$G19640&lt;&gt;"EX",0,--(COUNTIFS(nNIA,DATOS!$A19640,nCURSO,DATOS!$D19640,nESPEC,DATOS!$E19640,nASIG,DATOS!$I19640,nEVAL,"OR")=0))</f>
      </c>
      <c r="I19640">
        <f>IF(DATOS!$I19640="","",IFERROR(VLOOKUP(DATOS!$I19640,CONFIG_ASIGNATURAS!$B$2:$J$91,9,FALSE()),""))</f>
      </c>
    </row>
    <row r="19641">
      <c r="F19641">
        <f>IF(DATOS!$A19641="","",DATOS!$A19641&amp;"|"&amp;DATOS!$D19641&amp;"|"&amp;DATOS!$E19641&amp;"|"&amp;DATOS!$I19641)</f>
      </c>
      <c r="G19641">
        <f>IF(DATOS!$A19641="",0,IF(CONFIG_METADATA!$B$4&lt;&gt;"OR+EX",--(DATOS!$G19641=CONFIG_METADATA!$B$4),IF(DATOS!$G19641="EX",1,IF(DATOS!$G19641="OR",--(COUNTIFS(nNIA,DATOS!$A19641,nCURSO,DATOS!$D19641,nESPEC,DATOS!$E19641,nASIG,DATOS!$I19641,nEVAL,"EX")=0),0))))</f>
      </c>
      <c r="H19641">
        <f>IF(DATOS!$G19641&lt;&gt;"EX",0,--(COUNTIFS(nNIA,DATOS!$A19641,nCURSO,DATOS!$D19641,nESPEC,DATOS!$E19641,nASIG,DATOS!$I19641,nEVAL,"OR")=0))</f>
      </c>
      <c r="I19641">
        <f>IF(DATOS!$I19641="","",IFERROR(VLOOKUP(DATOS!$I19641,CONFIG_ASIGNATURAS!$B$2:$J$91,9,FALSE()),""))</f>
      </c>
    </row>
    <row r="19642">
      <c r="F19642">
        <f>IF(DATOS!$A19642="","",DATOS!$A19642&amp;"|"&amp;DATOS!$D19642&amp;"|"&amp;DATOS!$E19642&amp;"|"&amp;DATOS!$I19642)</f>
      </c>
      <c r="G19642">
        <f>IF(DATOS!$A19642="",0,IF(CONFIG_METADATA!$B$4&lt;&gt;"OR+EX",--(DATOS!$G19642=CONFIG_METADATA!$B$4),IF(DATOS!$G19642="EX",1,IF(DATOS!$G19642="OR",--(COUNTIFS(nNIA,DATOS!$A19642,nCURSO,DATOS!$D19642,nESPEC,DATOS!$E19642,nASIG,DATOS!$I19642,nEVAL,"EX")=0),0))))</f>
      </c>
      <c r="H19642">
        <f>IF(DATOS!$G19642&lt;&gt;"EX",0,--(COUNTIFS(nNIA,DATOS!$A19642,nCURSO,DATOS!$D19642,nESPEC,DATOS!$E19642,nASIG,DATOS!$I19642,nEVAL,"OR")=0))</f>
      </c>
      <c r="I19642">
        <f>IF(DATOS!$I19642="","",IFERROR(VLOOKUP(DATOS!$I19642,CONFIG_ASIGNATURAS!$B$2:$J$91,9,FALSE()),""))</f>
      </c>
    </row>
    <row r="19643">
      <c r="F19643">
        <f>IF(DATOS!$A19643="","",DATOS!$A19643&amp;"|"&amp;DATOS!$D19643&amp;"|"&amp;DATOS!$E19643&amp;"|"&amp;DATOS!$I19643)</f>
      </c>
      <c r="G19643">
        <f>IF(DATOS!$A19643="",0,IF(CONFIG_METADATA!$B$4&lt;&gt;"OR+EX",--(DATOS!$G19643=CONFIG_METADATA!$B$4),IF(DATOS!$G19643="EX",1,IF(DATOS!$G19643="OR",--(COUNTIFS(nNIA,DATOS!$A19643,nCURSO,DATOS!$D19643,nESPEC,DATOS!$E19643,nASIG,DATOS!$I19643,nEVAL,"EX")=0),0))))</f>
      </c>
      <c r="H19643">
        <f>IF(DATOS!$G19643&lt;&gt;"EX",0,--(COUNTIFS(nNIA,DATOS!$A19643,nCURSO,DATOS!$D19643,nESPEC,DATOS!$E19643,nASIG,DATOS!$I19643,nEVAL,"OR")=0))</f>
      </c>
      <c r="I19643">
        <f>IF(DATOS!$I19643="","",IFERROR(VLOOKUP(DATOS!$I19643,CONFIG_ASIGNATURAS!$B$2:$J$91,9,FALSE()),""))</f>
      </c>
    </row>
    <row r="19644">
      <c r="F19644">
        <f>IF(DATOS!$A19644="","",DATOS!$A19644&amp;"|"&amp;DATOS!$D19644&amp;"|"&amp;DATOS!$E19644&amp;"|"&amp;DATOS!$I19644)</f>
      </c>
      <c r="G19644">
        <f>IF(DATOS!$A19644="",0,IF(CONFIG_METADATA!$B$4&lt;&gt;"OR+EX",--(DATOS!$G19644=CONFIG_METADATA!$B$4),IF(DATOS!$G19644="EX",1,IF(DATOS!$G19644="OR",--(COUNTIFS(nNIA,DATOS!$A19644,nCURSO,DATOS!$D19644,nESPEC,DATOS!$E19644,nASIG,DATOS!$I19644,nEVAL,"EX")=0),0))))</f>
      </c>
      <c r="H19644">
        <f>IF(DATOS!$G19644&lt;&gt;"EX",0,--(COUNTIFS(nNIA,DATOS!$A19644,nCURSO,DATOS!$D19644,nESPEC,DATOS!$E19644,nASIG,DATOS!$I19644,nEVAL,"OR")=0))</f>
      </c>
      <c r="I19644">
        <f>IF(DATOS!$I19644="","",IFERROR(VLOOKUP(DATOS!$I19644,CONFIG_ASIGNATURAS!$B$2:$J$91,9,FALSE()),""))</f>
      </c>
    </row>
    <row r="19645">
      <c r="F19645">
        <f>IF(DATOS!$A19645="","",DATOS!$A19645&amp;"|"&amp;DATOS!$D19645&amp;"|"&amp;DATOS!$E19645&amp;"|"&amp;DATOS!$I19645)</f>
      </c>
      <c r="G19645">
        <f>IF(DATOS!$A19645="",0,IF(CONFIG_METADATA!$B$4&lt;&gt;"OR+EX",--(DATOS!$G19645=CONFIG_METADATA!$B$4),IF(DATOS!$G19645="EX",1,IF(DATOS!$G19645="OR",--(COUNTIFS(nNIA,DATOS!$A19645,nCURSO,DATOS!$D19645,nESPEC,DATOS!$E19645,nASIG,DATOS!$I19645,nEVAL,"EX")=0),0))))</f>
      </c>
      <c r="H19645">
        <f>IF(DATOS!$G19645&lt;&gt;"EX",0,--(COUNTIFS(nNIA,DATOS!$A19645,nCURSO,DATOS!$D19645,nESPEC,DATOS!$E19645,nASIG,DATOS!$I19645,nEVAL,"OR")=0))</f>
      </c>
      <c r="I19645">
        <f>IF(DATOS!$I19645="","",IFERROR(VLOOKUP(DATOS!$I19645,CONFIG_ASIGNATURAS!$B$2:$J$91,9,FALSE()),""))</f>
      </c>
    </row>
    <row r="19646">
      <c r="F19646">
        <f>IF(DATOS!$A19646="","",DATOS!$A19646&amp;"|"&amp;DATOS!$D19646&amp;"|"&amp;DATOS!$E19646&amp;"|"&amp;DATOS!$I19646)</f>
      </c>
      <c r="G19646">
        <f>IF(DATOS!$A19646="",0,IF(CONFIG_METADATA!$B$4&lt;&gt;"OR+EX",--(DATOS!$G19646=CONFIG_METADATA!$B$4),IF(DATOS!$G19646="EX",1,IF(DATOS!$G19646="OR",--(COUNTIFS(nNIA,DATOS!$A19646,nCURSO,DATOS!$D19646,nESPEC,DATOS!$E19646,nASIG,DATOS!$I19646,nEVAL,"EX")=0),0))))</f>
      </c>
      <c r="H19646">
        <f>IF(DATOS!$G19646&lt;&gt;"EX",0,--(COUNTIFS(nNIA,DATOS!$A19646,nCURSO,DATOS!$D19646,nESPEC,DATOS!$E19646,nASIG,DATOS!$I19646,nEVAL,"OR")=0))</f>
      </c>
      <c r="I19646">
        <f>IF(DATOS!$I19646="","",IFERROR(VLOOKUP(DATOS!$I19646,CONFIG_ASIGNATURAS!$B$2:$J$91,9,FALSE()),""))</f>
      </c>
    </row>
    <row r="19647">
      <c r="F19647">
        <f>IF(DATOS!$A19647="","",DATOS!$A19647&amp;"|"&amp;DATOS!$D19647&amp;"|"&amp;DATOS!$E19647&amp;"|"&amp;DATOS!$I19647)</f>
      </c>
      <c r="G19647">
        <f>IF(DATOS!$A19647="",0,IF(CONFIG_METADATA!$B$4&lt;&gt;"OR+EX",--(DATOS!$G19647=CONFIG_METADATA!$B$4),IF(DATOS!$G19647="EX",1,IF(DATOS!$G19647="OR",--(COUNTIFS(nNIA,DATOS!$A19647,nCURSO,DATOS!$D19647,nESPEC,DATOS!$E19647,nASIG,DATOS!$I19647,nEVAL,"EX")=0),0))))</f>
      </c>
      <c r="H19647">
        <f>IF(DATOS!$G19647&lt;&gt;"EX",0,--(COUNTIFS(nNIA,DATOS!$A19647,nCURSO,DATOS!$D19647,nESPEC,DATOS!$E19647,nASIG,DATOS!$I19647,nEVAL,"OR")=0))</f>
      </c>
      <c r="I19647">
        <f>IF(DATOS!$I19647="","",IFERROR(VLOOKUP(DATOS!$I19647,CONFIG_ASIGNATURAS!$B$2:$J$91,9,FALSE()),""))</f>
      </c>
    </row>
    <row r="19648">
      <c r="F19648">
        <f>IF(DATOS!$A19648="","",DATOS!$A19648&amp;"|"&amp;DATOS!$D19648&amp;"|"&amp;DATOS!$E19648&amp;"|"&amp;DATOS!$I19648)</f>
      </c>
      <c r="G19648">
        <f>IF(DATOS!$A19648="",0,IF(CONFIG_METADATA!$B$4&lt;&gt;"OR+EX",--(DATOS!$G19648=CONFIG_METADATA!$B$4),IF(DATOS!$G19648="EX",1,IF(DATOS!$G19648="OR",--(COUNTIFS(nNIA,DATOS!$A19648,nCURSO,DATOS!$D19648,nESPEC,DATOS!$E19648,nASIG,DATOS!$I19648,nEVAL,"EX")=0),0))))</f>
      </c>
      <c r="H19648">
        <f>IF(DATOS!$G19648&lt;&gt;"EX",0,--(COUNTIFS(nNIA,DATOS!$A19648,nCURSO,DATOS!$D19648,nESPEC,DATOS!$E19648,nASIG,DATOS!$I19648,nEVAL,"OR")=0))</f>
      </c>
      <c r="I19648">
        <f>IF(DATOS!$I19648="","",IFERROR(VLOOKUP(DATOS!$I19648,CONFIG_ASIGNATURAS!$B$2:$J$91,9,FALSE()),""))</f>
      </c>
    </row>
    <row r="19649">
      <c r="F19649">
        <f>IF(DATOS!$A19649="","",DATOS!$A19649&amp;"|"&amp;DATOS!$D19649&amp;"|"&amp;DATOS!$E19649&amp;"|"&amp;DATOS!$I19649)</f>
      </c>
      <c r="G19649">
        <f>IF(DATOS!$A19649="",0,IF(CONFIG_METADATA!$B$4&lt;&gt;"OR+EX",--(DATOS!$G19649=CONFIG_METADATA!$B$4),IF(DATOS!$G19649="EX",1,IF(DATOS!$G19649="OR",--(COUNTIFS(nNIA,DATOS!$A19649,nCURSO,DATOS!$D19649,nESPEC,DATOS!$E19649,nASIG,DATOS!$I19649,nEVAL,"EX")=0),0))))</f>
      </c>
      <c r="H19649">
        <f>IF(DATOS!$G19649&lt;&gt;"EX",0,--(COUNTIFS(nNIA,DATOS!$A19649,nCURSO,DATOS!$D19649,nESPEC,DATOS!$E19649,nASIG,DATOS!$I19649,nEVAL,"OR")=0))</f>
      </c>
      <c r="I19649">
        <f>IF(DATOS!$I19649="","",IFERROR(VLOOKUP(DATOS!$I19649,CONFIG_ASIGNATURAS!$B$2:$J$91,9,FALSE()),""))</f>
      </c>
    </row>
    <row r="19650">
      <c r="F19650">
        <f>IF(DATOS!$A19650="","",DATOS!$A19650&amp;"|"&amp;DATOS!$D19650&amp;"|"&amp;DATOS!$E19650&amp;"|"&amp;DATOS!$I19650)</f>
      </c>
      <c r="G19650">
        <f>IF(DATOS!$A19650="",0,IF(CONFIG_METADATA!$B$4&lt;&gt;"OR+EX",--(DATOS!$G19650=CONFIG_METADATA!$B$4),IF(DATOS!$G19650="EX",1,IF(DATOS!$G19650="OR",--(COUNTIFS(nNIA,DATOS!$A19650,nCURSO,DATOS!$D19650,nESPEC,DATOS!$E19650,nASIG,DATOS!$I19650,nEVAL,"EX")=0),0))))</f>
      </c>
      <c r="H19650">
        <f>IF(DATOS!$G19650&lt;&gt;"EX",0,--(COUNTIFS(nNIA,DATOS!$A19650,nCURSO,DATOS!$D19650,nESPEC,DATOS!$E19650,nASIG,DATOS!$I19650,nEVAL,"OR")=0))</f>
      </c>
      <c r="I19650">
        <f>IF(DATOS!$I19650="","",IFERROR(VLOOKUP(DATOS!$I19650,CONFIG_ASIGNATURAS!$B$2:$J$91,9,FALSE()),""))</f>
      </c>
    </row>
    <row r="19651">
      <c r="F19651">
        <f>IF(DATOS!$A19651="","",DATOS!$A19651&amp;"|"&amp;DATOS!$D19651&amp;"|"&amp;DATOS!$E19651&amp;"|"&amp;DATOS!$I19651)</f>
      </c>
      <c r="G19651">
        <f>IF(DATOS!$A19651="",0,IF(CONFIG_METADATA!$B$4&lt;&gt;"OR+EX",--(DATOS!$G19651=CONFIG_METADATA!$B$4),IF(DATOS!$G19651="EX",1,IF(DATOS!$G19651="OR",--(COUNTIFS(nNIA,DATOS!$A19651,nCURSO,DATOS!$D19651,nESPEC,DATOS!$E19651,nASIG,DATOS!$I19651,nEVAL,"EX")=0),0))))</f>
      </c>
      <c r="H19651">
        <f>IF(DATOS!$G19651&lt;&gt;"EX",0,--(COUNTIFS(nNIA,DATOS!$A19651,nCURSO,DATOS!$D19651,nESPEC,DATOS!$E19651,nASIG,DATOS!$I19651,nEVAL,"OR")=0))</f>
      </c>
      <c r="I19651">
        <f>IF(DATOS!$I19651="","",IFERROR(VLOOKUP(DATOS!$I19651,CONFIG_ASIGNATURAS!$B$2:$J$91,9,FALSE()),""))</f>
      </c>
    </row>
    <row r="19652">
      <c r="F19652">
        <f>IF(DATOS!$A19652="","",DATOS!$A19652&amp;"|"&amp;DATOS!$D19652&amp;"|"&amp;DATOS!$E19652&amp;"|"&amp;DATOS!$I19652)</f>
      </c>
      <c r="G19652">
        <f>IF(DATOS!$A19652="",0,IF(CONFIG_METADATA!$B$4&lt;&gt;"OR+EX",--(DATOS!$G19652=CONFIG_METADATA!$B$4),IF(DATOS!$G19652="EX",1,IF(DATOS!$G19652="OR",--(COUNTIFS(nNIA,DATOS!$A19652,nCURSO,DATOS!$D19652,nESPEC,DATOS!$E19652,nASIG,DATOS!$I19652,nEVAL,"EX")=0),0))))</f>
      </c>
      <c r="H19652">
        <f>IF(DATOS!$G19652&lt;&gt;"EX",0,--(COUNTIFS(nNIA,DATOS!$A19652,nCURSO,DATOS!$D19652,nESPEC,DATOS!$E19652,nASIG,DATOS!$I19652,nEVAL,"OR")=0))</f>
      </c>
      <c r="I19652">
        <f>IF(DATOS!$I19652="","",IFERROR(VLOOKUP(DATOS!$I19652,CONFIG_ASIGNATURAS!$B$2:$J$91,9,FALSE()),""))</f>
      </c>
    </row>
    <row r="19653">
      <c r="F19653">
        <f>IF(DATOS!$A19653="","",DATOS!$A19653&amp;"|"&amp;DATOS!$D19653&amp;"|"&amp;DATOS!$E19653&amp;"|"&amp;DATOS!$I19653)</f>
      </c>
      <c r="G19653">
        <f>IF(DATOS!$A19653="",0,IF(CONFIG_METADATA!$B$4&lt;&gt;"OR+EX",--(DATOS!$G19653=CONFIG_METADATA!$B$4),IF(DATOS!$G19653="EX",1,IF(DATOS!$G19653="OR",--(COUNTIFS(nNIA,DATOS!$A19653,nCURSO,DATOS!$D19653,nESPEC,DATOS!$E19653,nASIG,DATOS!$I19653,nEVAL,"EX")=0),0))))</f>
      </c>
      <c r="H19653">
        <f>IF(DATOS!$G19653&lt;&gt;"EX",0,--(COUNTIFS(nNIA,DATOS!$A19653,nCURSO,DATOS!$D19653,nESPEC,DATOS!$E19653,nASIG,DATOS!$I19653,nEVAL,"OR")=0))</f>
      </c>
      <c r="I19653">
        <f>IF(DATOS!$I19653="","",IFERROR(VLOOKUP(DATOS!$I19653,CONFIG_ASIGNATURAS!$B$2:$J$91,9,FALSE()),""))</f>
      </c>
    </row>
    <row r="19654">
      <c r="F19654">
        <f>IF(DATOS!$A19654="","",DATOS!$A19654&amp;"|"&amp;DATOS!$D19654&amp;"|"&amp;DATOS!$E19654&amp;"|"&amp;DATOS!$I19654)</f>
      </c>
      <c r="G19654">
        <f>IF(DATOS!$A19654="",0,IF(CONFIG_METADATA!$B$4&lt;&gt;"OR+EX",--(DATOS!$G19654=CONFIG_METADATA!$B$4),IF(DATOS!$G19654="EX",1,IF(DATOS!$G19654="OR",--(COUNTIFS(nNIA,DATOS!$A19654,nCURSO,DATOS!$D19654,nESPEC,DATOS!$E19654,nASIG,DATOS!$I19654,nEVAL,"EX")=0),0))))</f>
      </c>
      <c r="H19654">
        <f>IF(DATOS!$G19654&lt;&gt;"EX",0,--(COUNTIFS(nNIA,DATOS!$A19654,nCURSO,DATOS!$D19654,nESPEC,DATOS!$E19654,nASIG,DATOS!$I19654,nEVAL,"OR")=0))</f>
      </c>
      <c r="I19654">
        <f>IF(DATOS!$I19654="","",IFERROR(VLOOKUP(DATOS!$I19654,CONFIG_ASIGNATURAS!$B$2:$J$91,9,FALSE()),""))</f>
      </c>
    </row>
    <row r="19655">
      <c r="F19655">
        <f>IF(DATOS!$A19655="","",DATOS!$A19655&amp;"|"&amp;DATOS!$D19655&amp;"|"&amp;DATOS!$E19655&amp;"|"&amp;DATOS!$I19655)</f>
      </c>
      <c r="G19655">
        <f>IF(DATOS!$A19655="",0,IF(CONFIG_METADATA!$B$4&lt;&gt;"OR+EX",--(DATOS!$G19655=CONFIG_METADATA!$B$4),IF(DATOS!$G19655="EX",1,IF(DATOS!$G19655="OR",--(COUNTIFS(nNIA,DATOS!$A19655,nCURSO,DATOS!$D19655,nESPEC,DATOS!$E19655,nASIG,DATOS!$I19655,nEVAL,"EX")=0),0))))</f>
      </c>
      <c r="H19655">
        <f>IF(DATOS!$G19655&lt;&gt;"EX",0,--(COUNTIFS(nNIA,DATOS!$A19655,nCURSO,DATOS!$D19655,nESPEC,DATOS!$E19655,nASIG,DATOS!$I19655,nEVAL,"OR")=0))</f>
      </c>
      <c r="I19655">
        <f>IF(DATOS!$I19655="","",IFERROR(VLOOKUP(DATOS!$I19655,CONFIG_ASIGNATURAS!$B$2:$J$91,9,FALSE()),""))</f>
      </c>
    </row>
    <row r="19656">
      <c r="F19656">
        <f>IF(DATOS!$A19656="","",DATOS!$A19656&amp;"|"&amp;DATOS!$D19656&amp;"|"&amp;DATOS!$E19656&amp;"|"&amp;DATOS!$I19656)</f>
      </c>
      <c r="G19656">
        <f>IF(DATOS!$A19656="",0,IF(CONFIG_METADATA!$B$4&lt;&gt;"OR+EX",--(DATOS!$G19656=CONFIG_METADATA!$B$4),IF(DATOS!$G19656="EX",1,IF(DATOS!$G19656="OR",--(COUNTIFS(nNIA,DATOS!$A19656,nCURSO,DATOS!$D19656,nESPEC,DATOS!$E19656,nASIG,DATOS!$I19656,nEVAL,"EX")=0),0))))</f>
      </c>
      <c r="H19656">
        <f>IF(DATOS!$G19656&lt;&gt;"EX",0,--(COUNTIFS(nNIA,DATOS!$A19656,nCURSO,DATOS!$D19656,nESPEC,DATOS!$E19656,nASIG,DATOS!$I19656,nEVAL,"OR")=0))</f>
      </c>
      <c r="I19656">
        <f>IF(DATOS!$I19656="","",IFERROR(VLOOKUP(DATOS!$I19656,CONFIG_ASIGNATURAS!$B$2:$J$91,9,FALSE()),""))</f>
      </c>
    </row>
    <row r="19657">
      <c r="F19657">
        <f>IF(DATOS!$A19657="","",DATOS!$A19657&amp;"|"&amp;DATOS!$D19657&amp;"|"&amp;DATOS!$E19657&amp;"|"&amp;DATOS!$I19657)</f>
      </c>
      <c r="G19657">
        <f>IF(DATOS!$A19657="",0,IF(CONFIG_METADATA!$B$4&lt;&gt;"OR+EX",--(DATOS!$G19657=CONFIG_METADATA!$B$4),IF(DATOS!$G19657="EX",1,IF(DATOS!$G19657="OR",--(COUNTIFS(nNIA,DATOS!$A19657,nCURSO,DATOS!$D19657,nESPEC,DATOS!$E19657,nASIG,DATOS!$I19657,nEVAL,"EX")=0),0))))</f>
      </c>
      <c r="H19657">
        <f>IF(DATOS!$G19657&lt;&gt;"EX",0,--(COUNTIFS(nNIA,DATOS!$A19657,nCURSO,DATOS!$D19657,nESPEC,DATOS!$E19657,nASIG,DATOS!$I19657,nEVAL,"OR")=0))</f>
      </c>
      <c r="I19657">
        <f>IF(DATOS!$I19657="","",IFERROR(VLOOKUP(DATOS!$I19657,CONFIG_ASIGNATURAS!$B$2:$J$91,9,FALSE()),""))</f>
      </c>
    </row>
    <row r="19658">
      <c r="F19658">
        <f>IF(DATOS!$A19658="","",DATOS!$A19658&amp;"|"&amp;DATOS!$D19658&amp;"|"&amp;DATOS!$E19658&amp;"|"&amp;DATOS!$I19658)</f>
      </c>
      <c r="G19658">
        <f>IF(DATOS!$A19658="",0,IF(CONFIG_METADATA!$B$4&lt;&gt;"OR+EX",--(DATOS!$G19658=CONFIG_METADATA!$B$4),IF(DATOS!$G19658="EX",1,IF(DATOS!$G19658="OR",--(COUNTIFS(nNIA,DATOS!$A19658,nCURSO,DATOS!$D19658,nESPEC,DATOS!$E19658,nASIG,DATOS!$I19658,nEVAL,"EX")=0),0))))</f>
      </c>
      <c r="H19658">
        <f>IF(DATOS!$G19658&lt;&gt;"EX",0,--(COUNTIFS(nNIA,DATOS!$A19658,nCURSO,DATOS!$D19658,nESPEC,DATOS!$E19658,nASIG,DATOS!$I19658,nEVAL,"OR")=0))</f>
      </c>
      <c r="I19658">
        <f>IF(DATOS!$I19658="","",IFERROR(VLOOKUP(DATOS!$I19658,CONFIG_ASIGNATURAS!$B$2:$J$91,9,FALSE()),""))</f>
      </c>
    </row>
    <row r="19659">
      <c r="F19659">
        <f>IF(DATOS!$A19659="","",DATOS!$A19659&amp;"|"&amp;DATOS!$D19659&amp;"|"&amp;DATOS!$E19659&amp;"|"&amp;DATOS!$I19659)</f>
      </c>
      <c r="G19659">
        <f>IF(DATOS!$A19659="",0,IF(CONFIG_METADATA!$B$4&lt;&gt;"OR+EX",--(DATOS!$G19659=CONFIG_METADATA!$B$4),IF(DATOS!$G19659="EX",1,IF(DATOS!$G19659="OR",--(COUNTIFS(nNIA,DATOS!$A19659,nCURSO,DATOS!$D19659,nESPEC,DATOS!$E19659,nASIG,DATOS!$I19659,nEVAL,"EX")=0),0))))</f>
      </c>
      <c r="H19659">
        <f>IF(DATOS!$G19659&lt;&gt;"EX",0,--(COUNTIFS(nNIA,DATOS!$A19659,nCURSO,DATOS!$D19659,nESPEC,DATOS!$E19659,nASIG,DATOS!$I19659,nEVAL,"OR")=0))</f>
      </c>
      <c r="I19659">
        <f>IF(DATOS!$I19659="","",IFERROR(VLOOKUP(DATOS!$I19659,CONFIG_ASIGNATURAS!$B$2:$J$91,9,FALSE()),""))</f>
      </c>
    </row>
    <row r="19660">
      <c r="F19660">
        <f>IF(DATOS!$A19660="","",DATOS!$A19660&amp;"|"&amp;DATOS!$D19660&amp;"|"&amp;DATOS!$E19660&amp;"|"&amp;DATOS!$I19660)</f>
      </c>
      <c r="G19660">
        <f>IF(DATOS!$A19660="",0,IF(CONFIG_METADATA!$B$4&lt;&gt;"OR+EX",--(DATOS!$G19660=CONFIG_METADATA!$B$4),IF(DATOS!$G19660="EX",1,IF(DATOS!$G19660="OR",--(COUNTIFS(nNIA,DATOS!$A19660,nCURSO,DATOS!$D19660,nESPEC,DATOS!$E19660,nASIG,DATOS!$I19660,nEVAL,"EX")=0),0))))</f>
      </c>
      <c r="H19660">
        <f>IF(DATOS!$G19660&lt;&gt;"EX",0,--(COUNTIFS(nNIA,DATOS!$A19660,nCURSO,DATOS!$D19660,nESPEC,DATOS!$E19660,nASIG,DATOS!$I19660,nEVAL,"OR")=0))</f>
      </c>
      <c r="I19660">
        <f>IF(DATOS!$I19660="","",IFERROR(VLOOKUP(DATOS!$I19660,CONFIG_ASIGNATURAS!$B$2:$J$91,9,FALSE()),""))</f>
      </c>
    </row>
    <row r="19661">
      <c r="F19661">
        <f>IF(DATOS!$A19661="","",DATOS!$A19661&amp;"|"&amp;DATOS!$D19661&amp;"|"&amp;DATOS!$E19661&amp;"|"&amp;DATOS!$I19661)</f>
      </c>
      <c r="G19661">
        <f>IF(DATOS!$A19661="",0,IF(CONFIG_METADATA!$B$4&lt;&gt;"OR+EX",--(DATOS!$G19661=CONFIG_METADATA!$B$4),IF(DATOS!$G19661="EX",1,IF(DATOS!$G19661="OR",--(COUNTIFS(nNIA,DATOS!$A19661,nCURSO,DATOS!$D19661,nESPEC,DATOS!$E19661,nASIG,DATOS!$I19661,nEVAL,"EX")=0),0))))</f>
      </c>
      <c r="H19661">
        <f>IF(DATOS!$G19661&lt;&gt;"EX",0,--(COUNTIFS(nNIA,DATOS!$A19661,nCURSO,DATOS!$D19661,nESPEC,DATOS!$E19661,nASIG,DATOS!$I19661,nEVAL,"OR")=0))</f>
      </c>
      <c r="I19661">
        <f>IF(DATOS!$I19661="","",IFERROR(VLOOKUP(DATOS!$I19661,CONFIG_ASIGNATURAS!$B$2:$J$91,9,FALSE()),""))</f>
      </c>
    </row>
    <row r="19662">
      <c r="F19662">
        <f>IF(DATOS!$A19662="","",DATOS!$A19662&amp;"|"&amp;DATOS!$D19662&amp;"|"&amp;DATOS!$E19662&amp;"|"&amp;DATOS!$I19662)</f>
      </c>
      <c r="G19662">
        <f>IF(DATOS!$A19662="",0,IF(CONFIG_METADATA!$B$4&lt;&gt;"OR+EX",--(DATOS!$G19662=CONFIG_METADATA!$B$4),IF(DATOS!$G19662="EX",1,IF(DATOS!$G19662="OR",--(COUNTIFS(nNIA,DATOS!$A19662,nCURSO,DATOS!$D19662,nESPEC,DATOS!$E19662,nASIG,DATOS!$I19662,nEVAL,"EX")=0),0))))</f>
      </c>
      <c r="H19662">
        <f>IF(DATOS!$G19662&lt;&gt;"EX",0,--(COUNTIFS(nNIA,DATOS!$A19662,nCURSO,DATOS!$D19662,nESPEC,DATOS!$E19662,nASIG,DATOS!$I19662,nEVAL,"OR")=0))</f>
      </c>
      <c r="I19662">
        <f>IF(DATOS!$I19662="","",IFERROR(VLOOKUP(DATOS!$I19662,CONFIG_ASIGNATURAS!$B$2:$J$91,9,FALSE()),""))</f>
      </c>
    </row>
    <row r="19663">
      <c r="F19663">
        <f>IF(DATOS!$A19663="","",DATOS!$A19663&amp;"|"&amp;DATOS!$D19663&amp;"|"&amp;DATOS!$E19663&amp;"|"&amp;DATOS!$I19663)</f>
      </c>
      <c r="G19663">
        <f>IF(DATOS!$A19663="",0,IF(CONFIG_METADATA!$B$4&lt;&gt;"OR+EX",--(DATOS!$G19663=CONFIG_METADATA!$B$4),IF(DATOS!$G19663="EX",1,IF(DATOS!$G19663="OR",--(COUNTIFS(nNIA,DATOS!$A19663,nCURSO,DATOS!$D19663,nESPEC,DATOS!$E19663,nASIG,DATOS!$I19663,nEVAL,"EX")=0),0))))</f>
      </c>
      <c r="H19663">
        <f>IF(DATOS!$G19663&lt;&gt;"EX",0,--(COUNTIFS(nNIA,DATOS!$A19663,nCURSO,DATOS!$D19663,nESPEC,DATOS!$E19663,nASIG,DATOS!$I19663,nEVAL,"OR")=0))</f>
      </c>
      <c r="I19663">
        <f>IF(DATOS!$I19663="","",IFERROR(VLOOKUP(DATOS!$I19663,CONFIG_ASIGNATURAS!$B$2:$J$91,9,FALSE()),""))</f>
      </c>
    </row>
    <row r="19664">
      <c r="F19664">
        <f>IF(DATOS!$A19664="","",DATOS!$A19664&amp;"|"&amp;DATOS!$D19664&amp;"|"&amp;DATOS!$E19664&amp;"|"&amp;DATOS!$I19664)</f>
      </c>
      <c r="G19664">
        <f>IF(DATOS!$A19664="",0,IF(CONFIG_METADATA!$B$4&lt;&gt;"OR+EX",--(DATOS!$G19664=CONFIG_METADATA!$B$4),IF(DATOS!$G19664="EX",1,IF(DATOS!$G19664="OR",--(COUNTIFS(nNIA,DATOS!$A19664,nCURSO,DATOS!$D19664,nESPEC,DATOS!$E19664,nASIG,DATOS!$I19664,nEVAL,"EX")=0),0))))</f>
      </c>
      <c r="H19664">
        <f>IF(DATOS!$G19664&lt;&gt;"EX",0,--(COUNTIFS(nNIA,DATOS!$A19664,nCURSO,DATOS!$D19664,nESPEC,DATOS!$E19664,nASIG,DATOS!$I19664,nEVAL,"OR")=0))</f>
      </c>
      <c r="I19664">
        <f>IF(DATOS!$I19664="","",IFERROR(VLOOKUP(DATOS!$I19664,CONFIG_ASIGNATURAS!$B$2:$J$91,9,FALSE()),""))</f>
      </c>
    </row>
    <row r="19665">
      <c r="F19665">
        <f>IF(DATOS!$A19665="","",DATOS!$A19665&amp;"|"&amp;DATOS!$D19665&amp;"|"&amp;DATOS!$E19665&amp;"|"&amp;DATOS!$I19665)</f>
      </c>
      <c r="G19665">
        <f>IF(DATOS!$A19665="",0,IF(CONFIG_METADATA!$B$4&lt;&gt;"OR+EX",--(DATOS!$G19665=CONFIG_METADATA!$B$4),IF(DATOS!$G19665="EX",1,IF(DATOS!$G19665="OR",--(COUNTIFS(nNIA,DATOS!$A19665,nCURSO,DATOS!$D19665,nESPEC,DATOS!$E19665,nASIG,DATOS!$I19665,nEVAL,"EX")=0),0))))</f>
      </c>
      <c r="H19665">
        <f>IF(DATOS!$G19665&lt;&gt;"EX",0,--(COUNTIFS(nNIA,DATOS!$A19665,nCURSO,DATOS!$D19665,nESPEC,DATOS!$E19665,nASIG,DATOS!$I19665,nEVAL,"OR")=0))</f>
      </c>
      <c r="I19665">
        <f>IF(DATOS!$I19665="","",IFERROR(VLOOKUP(DATOS!$I19665,CONFIG_ASIGNATURAS!$B$2:$J$91,9,FALSE()),""))</f>
      </c>
    </row>
    <row r="19666">
      <c r="F19666">
        <f>IF(DATOS!$A19666="","",DATOS!$A19666&amp;"|"&amp;DATOS!$D19666&amp;"|"&amp;DATOS!$E19666&amp;"|"&amp;DATOS!$I19666)</f>
      </c>
      <c r="G19666">
        <f>IF(DATOS!$A19666="",0,IF(CONFIG_METADATA!$B$4&lt;&gt;"OR+EX",--(DATOS!$G19666=CONFIG_METADATA!$B$4),IF(DATOS!$G19666="EX",1,IF(DATOS!$G19666="OR",--(COUNTIFS(nNIA,DATOS!$A19666,nCURSO,DATOS!$D19666,nESPEC,DATOS!$E19666,nASIG,DATOS!$I19666,nEVAL,"EX")=0),0))))</f>
      </c>
      <c r="H19666">
        <f>IF(DATOS!$G19666&lt;&gt;"EX",0,--(COUNTIFS(nNIA,DATOS!$A19666,nCURSO,DATOS!$D19666,nESPEC,DATOS!$E19666,nASIG,DATOS!$I19666,nEVAL,"OR")=0))</f>
      </c>
      <c r="I19666">
        <f>IF(DATOS!$I19666="","",IFERROR(VLOOKUP(DATOS!$I19666,CONFIG_ASIGNATURAS!$B$2:$J$91,9,FALSE()),""))</f>
      </c>
    </row>
    <row r="19667">
      <c r="F19667">
        <f>IF(DATOS!$A19667="","",DATOS!$A19667&amp;"|"&amp;DATOS!$D19667&amp;"|"&amp;DATOS!$E19667&amp;"|"&amp;DATOS!$I19667)</f>
      </c>
      <c r="G19667">
        <f>IF(DATOS!$A19667="",0,IF(CONFIG_METADATA!$B$4&lt;&gt;"OR+EX",--(DATOS!$G19667=CONFIG_METADATA!$B$4),IF(DATOS!$G19667="EX",1,IF(DATOS!$G19667="OR",--(COUNTIFS(nNIA,DATOS!$A19667,nCURSO,DATOS!$D19667,nESPEC,DATOS!$E19667,nASIG,DATOS!$I19667,nEVAL,"EX")=0),0))))</f>
      </c>
      <c r="H19667">
        <f>IF(DATOS!$G19667&lt;&gt;"EX",0,--(COUNTIFS(nNIA,DATOS!$A19667,nCURSO,DATOS!$D19667,nESPEC,DATOS!$E19667,nASIG,DATOS!$I19667,nEVAL,"OR")=0))</f>
      </c>
      <c r="I19667">
        <f>IF(DATOS!$I19667="","",IFERROR(VLOOKUP(DATOS!$I19667,CONFIG_ASIGNATURAS!$B$2:$J$91,9,FALSE()),""))</f>
      </c>
    </row>
    <row r="19668">
      <c r="F19668">
        <f>IF(DATOS!$A19668="","",DATOS!$A19668&amp;"|"&amp;DATOS!$D19668&amp;"|"&amp;DATOS!$E19668&amp;"|"&amp;DATOS!$I19668)</f>
      </c>
      <c r="G19668">
        <f>IF(DATOS!$A19668="",0,IF(CONFIG_METADATA!$B$4&lt;&gt;"OR+EX",--(DATOS!$G19668=CONFIG_METADATA!$B$4),IF(DATOS!$G19668="EX",1,IF(DATOS!$G19668="OR",--(COUNTIFS(nNIA,DATOS!$A19668,nCURSO,DATOS!$D19668,nESPEC,DATOS!$E19668,nASIG,DATOS!$I19668,nEVAL,"EX")=0),0))))</f>
      </c>
      <c r="H19668">
        <f>IF(DATOS!$G19668&lt;&gt;"EX",0,--(COUNTIFS(nNIA,DATOS!$A19668,nCURSO,DATOS!$D19668,nESPEC,DATOS!$E19668,nASIG,DATOS!$I19668,nEVAL,"OR")=0))</f>
      </c>
      <c r="I19668">
        <f>IF(DATOS!$I19668="","",IFERROR(VLOOKUP(DATOS!$I19668,CONFIG_ASIGNATURAS!$B$2:$J$91,9,FALSE()),""))</f>
      </c>
    </row>
    <row r="19669">
      <c r="F19669">
        <f>IF(DATOS!$A19669="","",DATOS!$A19669&amp;"|"&amp;DATOS!$D19669&amp;"|"&amp;DATOS!$E19669&amp;"|"&amp;DATOS!$I19669)</f>
      </c>
      <c r="G19669">
        <f>IF(DATOS!$A19669="",0,IF(CONFIG_METADATA!$B$4&lt;&gt;"OR+EX",--(DATOS!$G19669=CONFIG_METADATA!$B$4),IF(DATOS!$G19669="EX",1,IF(DATOS!$G19669="OR",--(COUNTIFS(nNIA,DATOS!$A19669,nCURSO,DATOS!$D19669,nESPEC,DATOS!$E19669,nASIG,DATOS!$I19669,nEVAL,"EX")=0),0))))</f>
      </c>
      <c r="H19669">
        <f>IF(DATOS!$G19669&lt;&gt;"EX",0,--(COUNTIFS(nNIA,DATOS!$A19669,nCURSO,DATOS!$D19669,nESPEC,DATOS!$E19669,nASIG,DATOS!$I19669,nEVAL,"OR")=0))</f>
      </c>
      <c r="I19669">
        <f>IF(DATOS!$I19669="","",IFERROR(VLOOKUP(DATOS!$I19669,CONFIG_ASIGNATURAS!$B$2:$J$91,9,FALSE()),""))</f>
      </c>
    </row>
    <row r="19670">
      <c r="F19670">
        <f>IF(DATOS!$A19670="","",DATOS!$A19670&amp;"|"&amp;DATOS!$D19670&amp;"|"&amp;DATOS!$E19670&amp;"|"&amp;DATOS!$I19670)</f>
      </c>
      <c r="G19670">
        <f>IF(DATOS!$A19670="",0,IF(CONFIG_METADATA!$B$4&lt;&gt;"OR+EX",--(DATOS!$G19670=CONFIG_METADATA!$B$4),IF(DATOS!$G19670="EX",1,IF(DATOS!$G19670="OR",--(COUNTIFS(nNIA,DATOS!$A19670,nCURSO,DATOS!$D19670,nESPEC,DATOS!$E19670,nASIG,DATOS!$I19670,nEVAL,"EX")=0),0))))</f>
      </c>
      <c r="H19670">
        <f>IF(DATOS!$G19670&lt;&gt;"EX",0,--(COUNTIFS(nNIA,DATOS!$A19670,nCURSO,DATOS!$D19670,nESPEC,DATOS!$E19670,nASIG,DATOS!$I19670,nEVAL,"OR")=0))</f>
      </c>
      <c r="I19670">
        <f>IF(DATOS!$I19670="","",IFERROR(VLOOKUP(DATOS!$I19670,CONFIG_ASIGNATURAS!$B$2:$J$91,9,FALSE()),""))</f>
      </c>
    </row>
    <row r="19671">
      <c r="F19671">
        <f>IF(DATOS!$A19671="","",DATOS!$A19671&amp;"|"&amp;DATOS!$D19671&amp;"|"&amp;DATOS!$E19671&amp;"|"&amp;DATOS!$I19671)</f>
      </c>
      <c r="G19671">
        <f>IF(DATOS!$A19671="",0,IF(CONFIG_METADATA!$B$4&lt;&gt;"OR+EX",--(DATOS!$G19671=CONFIG_METADATA!$B$4),IF(DATOS!$G19671="EX",1,IF(DATOS!$G19671="OR",--(COUNTIFS(nNIA,DATOS!$A19671,nCURSO,DATOS!$D19671,nESPEC,DATOS!$E19671,nASIG,DATOS!$I19671,nEVAL,"EX")=0),0))))</f>
      </c>
      <c r="H19671">
        <f>IF(DATOS!$G19671&lt;&gt;"EX",0,--(COUNTIFS(nNIA,DATOS!$A19671,nCURSO,DATOS!$D19671,nESPEC,DATOS!$E19671,nASIG,DATOS!$I19671,nEVAL,"OR")=0))</f>
      </c>
      <c r="I19671">
        <f>IF(DATOS!$I19671="","",IFERROR(VLOOKUP(DATOS!$I19671,CONFIG_ASIGNATURAS!$B$2:$J$91,9,FALSE()),""))</f>
      </c>
    </row>
    <row r="19672">
      <c r="F19672">
        <f>IF(DATOS!$A19672="","",DATOS!$A19672&amp;"|"&amp;DATOS!$D19672&amp;"|"&amp;DATOS!$E19672&amp;"|"&amp;DATOS!$I19672)</f>
      </c>
      <c r="G19672">
        <f>IF(DATOS!$A19672="",0,IF(CONFIG_METADATA!$B$4&lt;&gt;"OR+EX",--(DATOS!$G19672=CONFIG_METADATA!$B$4),IF(DATOS!$G19672="EX",1,IF(DATOS!$G19672="OR",--(COUNTIFS(nNIA,DATOS!$A19672,nCURSO,DATOS!$D19672,nESPEC,DATOS!$E19672,nASIG,DATOS!$I19672,nEVAL,"EX")=0),0))))</f>
      </c>
      <c r="H19672">
        <f>IF(DATOS!$G19672&lt;&gt;"EX",0,--(COUNTIFS(nNIA,DATOS!$A19672,nCURSO,DATOS!$D19672,nESPEC,DATOS!$E19672,nASIG,DATOS!$I19672,nEVAL,"OR")=0))</f>
      </c>
      <c r="I19672">
        <f>IF(DATOS!$I19672="","",IFERROR(VLOOKUP(DATOS!$I19672,CONFIG_ASIGNATURAS!$B$2:$J$91,9,FALSE()),""))</f>
      </c>
    </row>
    <row r="19673">
      <c r="F19673">
        <f>IF(DATOS!$A19673="","",DATOS!$A19673&amp;"|"&amp;DATOS!$D19673&amp;"|"&amp;DATOS!$E19673&amp;"|"&amp;DATOS!$I19673)</f>
      </c>
      <c r="G19673">
        <f>IF(DATOS!$A19673="",0,IF(CONFIG_METADATA!$B$4&lt;&gt;"OR+EX",--(DATOS!$G19673=CONFIG_METADATA!$B$4),IF(DATOS!$G19673="EX",1,IF(DATOS!$G19673="OR",--(COUNTIFS(nNIA,DATOS!$A19673,nCURSO,DATOS!$D19673,nESPEC,DATOS!$E19673,nASIG,DATOS!$I19673,nEVAL,"EX")=0),0))))</f>
      </c>
      <c r="H19673">
        <f>IF(DATOS!$G19673&lt;&gt;"EX",0,--(COUNTIFS(nNIA,DATOS!$A19673,nCURSO,DATOS!$D19673,nESPEC,DATOS!$E19673,nASIG,DATOS!$I19673,nEVAL,"OR")=0))</f>
      </c>
      <c r="I19673">
        <f>IF(DATOS!$I19673="","",IFERROR(VLOOKUP(DATOS!$I19673,CONFIG_ASIGNATURAS!$B$2:$J$91,9,FALSE()),""))</f>
      </c>
    </row>
    <row r="19674">
      <c r="F19674">
        <f>IF(DATOS!$A19674="","",DATOS!$A19674&amp;"|"&amp;DATOS!$D19674&amp;"|"&amp;DATOS!$E19674&amp;"|"&amp;DATOS!$I19674)</f>
      </c>
      <c r="G19674">
        <f>IF(DATOS!$A19674="",0,IF(CONFIG_METADATA!$B$4&lt;&gt;"OR+EX",--(DATOS!$G19674=CONFIG_METADATA!$B$4),IF(DATOS!$G19674="EX",1,IF(DATOS!$G19674="OR",--(COUNTIFS(nNIA,DATOS!$A19674,nCURSO,DATOS!$D19674,nESPEC,DATOS!$E19674,nASIG,DATOS!$I19674,nEVAL,"EX")=0),0))))</f>
      </c>
      <c r="H19674">
        <f>IF(DATOS!$G19674&lt;&gt;"EX",0,--(COUNTIFS(nNIA,DATOS!$A19674,nCURSO,DATOS!$D19674,nESPEC,DATOS!$E19674,nASIG,DATOS!$I19674,nEVAL,"OR")=0))</f>
      </c>
      <c r="I19674">
        <f>IF(DATOS!$I19674="","",IFERROR(VLOOKUP(DATOS!$I19674,CONFIG_ASIGNATURAS!$B$2:$J$91,9,FALSE()),""))</f>
      </c>
    </row>
    <row r="19675">
      <c r="F19675">
        <f>IF(DATOS!$A19675="","",DATOS!$A19675&amp;"|"&amp;DATOS!$D19675&amp;"|"&amp;DATOS!$E19675&amp;"|"&amp;DATOS!$I19675)</f>
      </c>
      <c r="G19675">
        <f>IF(DATOS!$A19675="",0,IF(CONFIG_METADATA!$B$4&lt;&gt;"OR+EX",--(DATOS!$G19675=CONFIG_METADATA!$B$4),IF(DATOS!$G19675="EX",1,IF(DATOS!$G19675="OR",--(COUNTIFS(nNIA,DATOS!$A19675,nCURSO,DATOS!$D19675,nESPEC,DATOS!$E19675,nASIG,DATOS!$I19675,nEVAL,"EX")=0),0))))</f>
      </c>
      <c r="H19675">
        <f>IF(DATOS!$G19675&lt;&gt;"EX",0,--(COUNTIFS(nNIA,DATOS!$A19675,nCURSO,DATOS!$D19675,nESPEC,DATOS!$E19675,nASIG,DATOS!$I19675,nEVAL,"OR")=0))</f>
      </c>
      <c r="I19675">
        <f>IF(DATOS!$I19675="","",IFERROR(VLOOKUP(DATOS!$I19675,CONFIG_ASIGNATURAS!$B$2:$J$91,9,FALSE()),""))</f>
      </c>
    </row>
    <row r="19676">
      <c r="F19676">
        <f>IF(DATOS!$A19676="","",DATOS!$A19676&amp;"|"&amp;DATOS!$D19676&amp;"|"&amp;DATOS!$E19676&amp;"|"&amp;DATOS!$I19676)</f>
      </c>
      <c r="G19676">
        <f>IF(DATOS!$A19676="",0,IF(CONFIG_METADATA!$B$4&lt;&gt;"OR+EX",--(DATOS!$G19676=CONFIG_METADATA!$B$4),IF(DATOS!$G19676="EX",1,IF(DATOS!$G19676="OR",--(COUNTIFS(nNIA,DATOS!$A19676,nCURSO,DATOS!$D19676,nESPEC,DATOS!$E19676,nASIG,DATOS!$I19676,nEVAL,"EX")=0),0))))</f>
      </c>
      <c r="H19676">
        <f>IF(DATOS!$G19676&lt;&gt;"EX",0,--(COUNTIFS(nNIA,DATOS!$A19676,nCURSO,DATOS!$D19676,nESPEC,DATOS!$E19676,nASIG,DATOS!$I19676,nEVAL,"OR")=0))</f>
      </c>
      <c r="I19676">
        <f>IF(DATOS!$I19676="","",IFERROR(VLOOKUP(DATOS!$I19676,CONFIG_ASIGNATURAS!$B$2:$J$91,9,FALSE()),""))</f>
      </c>
    </row>
    <row r="19677">
      <c r="F19677">
        <f>IF(DATOS!$A19677="","",DATOS!$A19677&amp;"|"&amp;DATOS!$D19677&amp;"|"&amp;DATOS!$E19677&amp;"|"&amp;DATOS!$I19677)</f>
      </c>
      <c r="G19677">
        <f>IF(DATOS!$A19677="",0,IF(CONFIG_METADATA!$B$4&lt;&gt;"OR+EX",--(DATOS!$G19677=CONFIG_METADATA!$B$4),IF(DATOS!$G19677="EX",1,IF(DATOS!$G19677="OR",--(COUNTIFS(nNIA,DATOS!$A19677,nCURSO,DATOS!$D19677,nESPEC,DATOS!$E19677,nASIG,DATOS!$I19677,nEVAL,"EX")=0),0))))</f>
      </c>
      <c r="H19677">
        <f>IF(DATOS!$G19677&lt;&gt;"EX",0,--(COUNTIFS(nNIA,DATOS!$A19677,nCURSO,DATOS!$D19677,nESPEC,DATOS!$E19677,nASIG,DATOS!$I19677,nEVAL,"OR")=0))</f>
      </c>
      <c r="I19677">
        <f>IF(DATOS!$I19677="","",IFERROR(VLOOKUP(DATOS!$I19677,CONFIG_ASIGNATURAS!$B$2:$J$91,9,FALSE()),""))</f>
      </c>
    </row>
    <row r="19678">
      <c r="F19678">
        <f>IF(DATOS!$A19678="","",DATOS!$A19678&amp;"|"&amp;DATOS!$D19678&amp;"|"&amp;DATOS!$E19678&amp;"|"&amp;DATOS!$I19678)</f>
      </c>
      <c r="G19678">
        <f>IF(DATOS!$A19678="",0,IF(CONFIG_METADATA!$B$4&lt;&gt;"OR+EX",--(DATOS!$G19678=CONFIG_METADATA!$B$4),IF(DATOS!$G19678="EX",1,IF(DATOS!$G19678="OR",--(COUNTIFS(nNIA,DATOS!$A19678,nCURSO,DATOS!$D19678,nESPEC,DATOS!$E19678,nASIG,DATOS!$I19678,nEVAL,"EX")=0),0))))</f>
      </c>
      <c r="H19678">
        <f>IF(DATOS!$G19678&lt;&gt;"EX",0,--(COUNTIFS(nNIA,DATOS!$A19678,nCURSO,DATOS!$D19678,nESPEC,DATOS!$E19678,nASIG,DATOS!$I19678,nEVAL,"OR")=0))</f>
      </c>
      <c r="I19678">
        <f>IF(DATOS!$I19678="","",IFERROR(VLOOKUP(DATOS!$I19678,CONFIG_ASIGNATURAS!$B$2:$J$91,9,FALSE()),""))</f>
      </c>
    </row>
    <row r="19679">
      <c r="F19679">
        <f>IF(DATOS!$A19679="","",DATOS!$A19679&amp;"|"&amp;DATOS!$D19679&amp;"|"&amp;DATOS!$E19679&amp;"|"&amp;DATOS!$I19679)</f>
      </c>
      <c r="G19679">
        <f>IF(DATOS!$A19679="",0,IF(CONFIG_METADATA!$B$4&lt;&gt;"OR+EX",--(DATOS!$G19679=CONFIG_METADATA!$B$4),IF(DATOS!$G19679="EX",1,IF(DATOS!$G19679="OR",--(COUNTIFS(nNIA,DATOS!$A19679,nCURSO,DATOS!$D19679,nESPEC,DATOS!$E19679,nASIG,DATOS!$I19679,nEVAL,"EX")=0),0))))</f>
      </c>
      <c r="H19679">
        <f>IF(DATOS!$G19679&lt;&gt;"EX",0,--(COUNTIFS(nNIA,DATOS!$A19679,nCURSO,DATOS!$D19679,nESPEC,DATOS!$E19679,nASIG,DATOS!$I19679,nEVAL,"OR")=0))</f>
      </c>
      <c r="I19679">
        <f>IF(DATOS!$I19679="","",IFERROR(VLOOKUP(DATOS!$I19679,CONFIG_ASIGNATURAS!$B$2:$J$91,9,FALSE()),""))</f>
      </c>
    </row>
    <row r="19680">
      <c r="F19680">
        <f>IF(DATOS!$A19680="","",DATOS!$A19680&amp;"|"&amp;DATOS!$D19680&amp;"|"&amp;DATOS!$E19680&amp;"|"&amp;DATOS!$I19680)</f>
      </c>
      <c r="G19680">
        <f>IF(DATOS!$A19680="",0,IF(CONFIG_METADATA!$B$4&lt;&gt;"OR+EX",--(DATOS!$G19680=CONFIG_METADATA!$B$4),IF(DATOS!$G19680="EX",1,IF(DATOS!$G19680="OR",--(COUNTIFS(nNIA,DATOS!$A19680,nCURSO,DATOS!$D19680,nESPEC,DATOS!$E19680,nASIG,DATOS!$I19680,nEVAL,"EX")=0),0))))</f>
      </c>
      <c r="H19680">
        <f>IF(DATOS!$G19680&lt;&gt;"EX",0,--(COUNTIFS(nNIA,DATOS!$A19680,nCURSO,DATOS!$D19680,nESPEC,DATOS!$E19680,nASIG,DATOS!$I19680,nEVAL,"OR")=0))</f>
      </c>
      <c r="I19680">
        <f>IF(DATOS!$I19680="","",IFERROR(VLOOKUP(DATOS!$I19680,CONFIG_ASIGNATURAS!$B$2:$J$91,9,FALSE()),""))</f>
      </c>
    </row>
    <row r="19681">
      <c r="F19681">
        <f>IF(DATOS!$A19681="","",DATOS!$A19681&amp;"|"&amp;DATOS!$D19681&amp;"|"&amp;DATOS!$E19681&amp;"|"&amp;DATOS!$I19681)</f>
      </c>
      <c r="G19681">
        <f>IF(DATOS!$A19681="",0,IF(CONFIG_METADATA!$B$4&lt;&gt;"OR+EX",--(DATOS!$G19681=CONFIG_METADATA!$B$4),IF(DATOS!$G19681="EX",1,IF(DATOS!$G19681="OR",--(COUNTIFS(nNIA,DATOS!$A19681,nCURSO,DATOS!$D19681,nESPEC,DATOS!$E19681,nASIG,DATOS!$I19681,nEVAL,"EX")=0),0))))</f>
      </c>
      <c r="H19681">
        <f>IF(DATOS!$G19681&lt;&gt;"EX",0,--(COUNTIFS(nNIA,DATOS!$A19681,nCURSO,DATOS!$D19681,nESPEC,DATOS!$E19681,nASIG,DATOS!$I19681,nEVAL,"OR")=0))</f>
      </c>
      <c r="I19681">
        <f>IF(DATOS!$I19681="","",IFERROR(VLOOKUP(DATOS!$I19681,CONFIG_ASIGNATURAS!$B$2:$J$91,9,FALSE()),""))</f>
      </c>
    </row>
    <row r="19682">
      <c r="F19682">
        <f>IF(DATOS!$A19682="","",DATOS!$A19682&amp;"|"&amp;DATOS!$D19682&amp;"|"&amp;DATOS!$E19682&amp;"|"&amp;DATOS!$I19682)</f>
      </c>
      <c r="G19682">
        <f>IF(DATOS!$A19682="",0,IF(CONFIG_METADATA!$B$4&lt;&gt;"OR+EX",--(DATOS!$G19682=CONFIG_METADATA!$B$4),IF(DATOS!$G19682="EX",1,IF(DATOS!$G19682="OR",--(COUNTIFS(nNIA,DATOS!$A19682,nCURSO,DATOS!$D19682,nESPEC,DATOS!$E19682,nASIG,DATOS!$I19682,nEVAL,"EX")=0),0))))</f>
      </c>
      <c r="H19682">
        <f>IF(DATOS!$G19682&lt;&gt;"EX",0,--(COUNTIFS(nNIA,DATOS!$A19682,nCURSO,DATOS!$D19682,nESPEC,DATOS!$E19682,nASIG,DATOS!$I19682,nEVAL,"OR")=0))</f>
      </c>
      <c r="I19682">
        <f>IF(DATOS!$I19682="","",IFERROR(VLOOKUP(DATOS!$I19682,CONFIG_ASIGNATURAS!$B$2:$J$91,9,FALSE()),""))</f>
      </c>
    </row>
    <row r="19683">
      <c r="F19683">
        <f>IF(DATOS!$A19683="","",DATOS!$A19683&amp;"|"&amp;DATOS!$D19683&amp;"|"&amp;DATOS!$E19683&amp;"|"&amp;DATOS!$I19683)</f>
      </c>
      <c r="G19683">
        <f>IF(DATOS!$A19683="",0,IF(CONFIG_METADATA!$B$4&lt;&gt;"OR+EX",--(DATOS!$G19683=CONFIG_METADATA!$B$4),IF(DATOS!$G19683="EX",1,IF(DATOS!$G19683="OR",--(COUNTIFS(nNIA,DATOS!$A19683,nCURSO,DATOS!$D19683,nESPEC,DATOS!$E19683,nASIG,DATOS!$I19683,nEVAL,"EX")=0),0))))</f>
      </c>
      <c r="H19683">
        <f>IF(DATOS!$G19683&lt;&gt;"EX",0,--(COUNTIFS(nNIA,DATOS!$A19683,nCURSO,DATOS!$D19683,nESPEC,DATOS!$E19683,nASIG,DATOS!$I19683,nEVAL,"OR")=0))</f>
      </c>
      <c r="I19683">
        <f>IF(DATOS!$I19683="","",IFERROR(VLOOKUP(DATOS!$I19683,CONFIG_ASIGNATURAS!$B$2:$J$91,9,FALSE()),""))</f>
      </c>
    </row>
    <row r="19684">
      <c r="F19684">
        <f>IF(DATOS!$A19684="","",DATOS!$A19684&amp;"|"&amp;DATOS!$D19684&amp;"|"&amp;DATOS!$E19684&amp;"|"&amp;DATOS!$I19684)</f>
      </c>
      <c r="G19684">
        <f>IF(DATOS!$A19684="",0,IF(CONFIG_METADATA!$B$4&lt;&gt;"OR+EX",--(DATOS!$G19684=CONFIG_METADATA!$B$4),IF(DATOS!$G19684="EX",1,IF(DATOS!$G19684="OR",--(COUNTIFS(nNIA,DATOS!$A19684,nCURSO,DATOS!$D19684,nESPEC,DATOS!$E19684,nASIG,DATOS!$I19684,nEVAL,"EX")=0),0))))</f>
      </c>
      <c r="H19684">
        <f>IF(DATOS!$G19684&lt;&gt;"EX",0,--(COUNTIFS(nNIA,DATOS!$A19684,nCURSO,DATOS!$D19684,nESPEC,DATOS!$E19684,nASIG,DATOS!$I19684,nEVAL,"OR")=0))</f>
      </c>
      <c r="I19684">
        <f>IF(DATOS!$I19684="","",IFERROR(VLOOKUP(DATOS!$I19684,CONFIG_ASIGNATURAS!$B$2:$J$91,9,FALSE()),""))</f>
      </c>
    </row>
    <row r="19685">
      <c r="F19685">
        <f>IF(DATOS!$A19685="","",DATOS!$A19685&amp;"|"&amp;DATOS!$D19685&amp;"|"&amp;DATOS!$E19685&amp;"|"&amp;DATOS!$I19685)</f>
      </c>
      <c r="G19685">
        <f>IF(DATOS!$A19685="",0,IF(CONFIG_METADATA!$B$4&lt;&gt;"OR+EX",--(DATOS!$G19685=CONFIG_METADATA!$B$4),IF(DATOS!$G19685="EX",1,IF(DATOS!$G19685="OR",--(COUNTIFS(nNIA,DATOS!$A19685,nCURSO,DATOS!$D19685,nESPEC,DATOS!$E19685,nASIG,DATOS!$I19685,nEVAL,"EX")=0),0))))</f>
      </c>
      <c r="H19685">
        <f>IF(DATOS!$G19685&lt;&gt;"EX",0,--(COUNTIFS(nNIA,DATOS!$A19685,nCURSO,DATOS!$D19685,nESPEC,DATOS!$E19685,nASIG,DATOS!$I19685,nEVAL,"OR")=0))</f>
      </c>
      <c r="I19685">
        <f>IF(DATOS!$I19685="","",IFERROR(VLOOKUP(DATOS!$I19685,CONFIG_ASIGNATURAS!$B$2:$J$91,9,FALSE()),""))</f>
      </c>
    </row>
    <row r="19686">
      <c r="F19686">
        <f>IF(DATOS!$A19686="","",DATOS!$A19686&amp;"|"&amp;DATOS!$D19686&amp;"|"&amp;DATOS!$E19686&amp;"|"&amp;DATOS!$I19686)</f>
      </c>
      <c r="G19686">
        <f>IF(DATOS!$A19686="",0,IF(CONFIG_METADATA!$B$4&lt;&gt;"OR+EX",--(DATOS!$G19686=CONFIG_METADATA!$B$4),IF(DATOS!$G19686="EX",1,IF(DATOS!$G19686="OR",--(COUNTIFS(nNIA,DATOS!$A19686,nCURSO,DATOS!$D19686,nESPEC,DATOS!$E19686,nASIG,DATOS!$I19686,nEVAL,"EX")=0),0))))</f>
      </c>
      <c r="H19686">
        <f>IF(DATOS!$G19686&lt;&gt;"EX",0,--(COUNTIFS(nNIA,DATOS!$A19686,nCURSO,DATOS!$D19686,nESPEC,DATOS!$E19686,nASIG,DATOS!$I19686,nEVAL,"OR")=0))</f>
      </c>
      <c r="I19686">
        <f>IF(DATOS!$I19686="","",IFERROR(VLOOKUP(DATOS!$I19686,CONFIG_ASIGNATURAS!$B$2:$J$91,9,FALSE()),""))</f>
      </c>
    </row>
    <row r="19687">
      <c r="F19687">
        <f>IF(DATOS!$A19687="","",DATOS!$A19687&amp;"|"&amp;DATOS!$D19687&amp;"|"&amp;DATOS!$E19687&amp;"|"&amp;DATOS!$I19687)</f>
      </c>
      <c r="G19687">
        <f>IF(DATOS!$A19687="",0,IF(CONFIG_METADATA!$B$4&lt;&gt;"OR+EX",--(DATOS!$G19687=CONFIG_METADATA!$B$4),IF(DATOS!$G19687="EX",1,IF(DATOS!$G19687="OR",--(COUNTIFS(nNIA,DATOS!$A19687,nCURSO,DATOS!$D19687,nESPEC,DATOS!$E19687,nASIG,DATOS!$I19687,nEVAL,"EX")=0),0))))</f>
      </c>
      <c r="H19687">
        <f>IF(DATOS!$G19687&lt;&gt;"EX",0,--(COUNTIFS(nNIA,DATOS!$A19687,nCURSO,DATOS!$D19687,nESPEC,DATOS!$E19687,nASIG,DATOS!$I19687,nEVAL,"OR")=0))</f>
      </c>
      <c r="I19687">
        <f>IF(DATOS!$I19687="","",IFERROR(VLOOKUP(DATOS!$I19687,CONFIG_ASIGNATURAS!$B$2:$J$91,9,FALSE()),""))</f>
      </c>
    </row>
    <row r="19688">
      <c r="F19688">
        <f>IF(DATOS!$A19688="","",DATOS!$A19688&amp;"|"&amp;DATOS!$D19688&amp;"|"&amp;DATOS!$E19688&amp;"|"&amp;DATOS!$I19688)</f>
      </c>
      <c r="G19688">
        <f>IF(DATOS!$A19688="",0,IF(CONFIG_METADATA!$B$4&lt;&gt;"OR+EX",--(DATOS!$G19688=CONFIG_METADATA!$B$4),IF(DATOS!$G19688="EX",1,IF(DATOS!$G19688="OR",--(COUNTIFS(nNIA,DATOS!$A19688,nCURSO,DATOS!$D19688,nESPEC,DATOS!$E19688,nASIG,DATOS!$I19688,nEVAL,"EX")=0),0))))</f>
      </c>
      <c r="H19688">
        <f>IF(DATOS!$G19688&lt;&gt;"EX",0,--(COUNTIFS(nNIA,DATOS!$A19688,nCURSO,DATOS!$D19688,nESPEC,DATOS!$E19688,nASIG,DATOS!$I19688,nEVAL,"OR")=0))</f>
      </c>
      <c r="I19688">
        <f>IF(DATOS!$I19688="","",IFERROR(VLOOKUP(DATOS!$I19688,CONFIG_ASIGNATURAS!$B$2:$J$91,9,FALSE()),""))</f>
      </c>
    </row>
    <row r="19689">
      <c r="F19689">
        <f>IF(DATOS!$A19689="","",DATOS!$A19689&amp;"|"&amp;DATOS!$D19689&amp;"|"&amp;DATOS!$E19689&amp;"|"&amp;DATOS!$I19689)</f>
      </c>
      <c r="G19689">
        <f>IF(DATOS!$A19689="",0,IF(CONFIG_METADATA!$B$4&lt;&gt;"OR+EX",--(DATOS!$G19689=CONFIG_METADATA!$B$4),IF(DATOS!$G19689="EX",1,IF(DATOS!$G19689="OR",--(COUNTIFS(nNIA,DATOS!$A19689,nCURSO,DATOS!$D19689,nESPEC,DATOS!$E19689,nASIG,DATOS!$I19689,nEVAL,"EX")=0),0))))</f>
      </c>
      <c r="H19689">
        <f>IF(DATOS!$G19689&lt;&gt;"EX",0,--(COUNTIFS(nNIA,DATOS!$A19689,nCURSO,DATOS!$D19689,nESPEC,DATOS!$E19689,nASIG,DATOS!$I19689,nEVAL,"OR")=0))</f>
      </c>
      <c r="I19689">
        <f>IF(DATOS!$I19689="","",IFERROR(VLOOKUP(DATOS!$I19689,CONFIG_ASIGNATURAS!$B$2:$J$91,9,FALSE()),""))</f>
      </c>
    </row>
    <row r="19690">
      <c r="F19690">
        <f>IF(DATOS!$A19690="","",DATOS!$A19690&amp;"|"&amp;DATOS!$D19690&amp;"|"&amp;DATOS!$E19690&amp;"|"&amp;DATOS!$I19690)</f>
      </c>
      <c r="G19690">
        <f>IF(DATOS!$A19690="",0,IF(CONFIG_METADATA!$B$4&lt;&gt;"OR+EX",--(DATOS!$G19690=CONFIG_METADATA!$B$4),IF(DATOS!$G19690="EX",1,IF(DATOS!$G19690="OR",--(COUNTIFS(nNIA,DATOS!$A19690,nCURSO,DATOS!$D19690,nESPEC,DATOS!$E19690,nASIG,DATOS!$I19690,nEVAL,"EX")=0),0))))</f>
      </c>
      <c r="H19690">
        <f>IF(DATOS!$G19690&lt;&gt;"EX",0,--(COUNTIFS(nNIA,DATOS!$A19690,nCURSO,DATOS!$D19690,nESPEC,DATOS!$E19690,nASIG,DATOS!$I19690,nEVAL,"OR")=0))</f>
      </c>
      <c r="I19690">
        <f>IF(DATOS!$I19690="","",IFERROR(VLOOKUP(DATOS!$I19690,CONFIG_ASIGNATURAS!$B$2:$J$91,9,FALSE()),""))</f>
      </c>
    </row>
    <row r="19691">
      <c r="F19691">
        <f>IF(DATOS!$A19691="","",DATOS!$A19691&amp;"|"&amp;DATOS!$D19691&amp;"|"&amp;DATOS!$E19691&amp;"|"&amp;DATOS!$I19691)</f>
      </c>
      <c r="G19691">
        <f>IF(DATOS!$A19691="",0,IF(CONFIG_METADATA!$B$4&lt;&gt;"OR+EX",--(DATOS!$G19691=CONFIG_METADATA!$B$4),IF(DATOS!$G19691="EX",1,IF(DATOS!$G19691="OR",--(COUNTIFS(nNIA,DATOS!$A19691,nCURSO,DATOS!$D19691,nESPEC,DATOS!$E19691,nASIG,DATOS!$I19691,nEVAL,"EX")=0),0))))</f>
      </c>
      <c r="H19691">
        <f>IF(DATOS!$G19691&lt;&gt;"EX",0,--(COUNTIFS(nNIA,DATOS!$A19691,nCURSO,DATOS!$D19691,nESPEC,DATOS!$E19691,nASIG,DATOS!$I19691,nEVAL,"OR")=0))</f>
      </c>
      <c r="I19691">
        <f>IF(DATOS!$I19691="","",IFERROR(VLOOKUP(DATOS!$I19691,CONFIG_ASIGNATURAS!$B$2:$J$91,9,FALSE()),""))</f>
      </c>
    </row>
    <row r="19692">
      <c r="F19692">
        <f>IF(DATOS!$A19692="","",DATOS!$A19692&amp;"|"&amp;DATOS!$D19692&amp;"|"&amp;DATOS!$E19692&amp;"|"&amp;DATOS!$I19692)</f>
      </c>
      <c r="G19692">
        <f>IF(DATOS!$A19692="",0,IF(CONFIG_METADATA!$B$4&lt;&gt;"OR+EX",--(DATOS!$G19692=CONFIG_METADATA!$B$4),IF(DATOS!$G19692="EX",1,IF(DATOS!$G19692="OR",--(COUNTIFS(nNIA,DATOS!$A19692,nCURSO,DATOS!$D19692,nESPEC,DATOS!$E19692,nASIG,DATOS!$I19692,nEVAL,"EX")=0),0))))</f>
      </c>
      <c r="H19692">
        <f>IF(DATOS!$G19692&lt;&gt;"EX",0,--(COUNTIFS(nNIA,DATOS!$A19692,nCURSO,DATOS!$D19692,nESPEC,DATOS!$E19692,nASIG,DATOS!$I19692,nEVAL,"OR")=0))</f>
      </c>
      <c r="I19692">
        <f>IF(DATOS!$I19692="","",IFERROR(VLOOKUP(DATOS!$I19692,CONFIG_ASIGNATURAS!$B$2:$J$91,9,FALSE()),""))</f>
      </c>
    </row>
    <row r="19693">
      <c r="F19693">
        <f>IF(DATOS!$A19693="","",DATOS!$A19693&amp;"|"&amp;DATOS!$D19693&amp;"|"&amp;DATOS!$E19693&amp;"|"&amp;DATOS!$I19693)</f>
      </c>
      <c r="G19693">
        <f>IF(DATOS!$A19693="",0,IF(CONFIG_METADATA!$B$4&lt;&gt;"OR+EX",--(DATOS!$G19693=CONFIG_METADATA!$B$4),IF(DATOS!$G19693="EX",1,IF(DATOS!$G19693="OR",--(COUNTIFS(nNIA,DATOS!$A19693,nCURSO,DATOS!$D19693,nESPEC,DATOS!$E19693,nASIG,DATOS!$I19693,nEVAL,"EX")=0),0))))</f>
      </c>
      <c r="H19693">
        <f>IF(DATOS!$G19693&lt;&gt;"EX",0,--(COUNTIFS(nNIA,DATOS!$A19693,nCURSO,DATOS!$D19693,nESPEC,DATOS!$E19693,nASIG,DATOS!$I19693,nEVAL,"OR")=0))</f>
      </c>
      <c r="I19693">
        <f>IF(DATOS!$I19693="","",IFERROR(VLOOKUP(DATOS!$I19693,CONFIG_ASIGNATURAS!$B$2:$J$91,9,FALSE()),""))</f>
      </c>
    </row>
    <row r="19694">
      <c r="F19694">
        <f>IF(DATOS!$A19694="","",DATOS!$A19694&amp;"|"&amp;DATOS!$D19694&amp;"|"&amp;DATOS!$E19694&amp;"|"&amp;DATOS!$I19694)</f>
      </c>
      <c r="G19694">
        <f>IF(DATOS!$A19694="",0,IF(CONFIG_METADATA!$B$4&lt;&gt;"OR+EX",--(DATOS!$G19694=CONFIG_METADATA!$B$4),IF(DATOS!$G19694="EX",1,IF(DATOS!$G19694="OR",--(COUNTIFS(nNIA,DATOS!$A19694,nCURSO,DATOS!$D19694,nESPEC,DATOS!$E19694,nASIG,DATOS!$I19694,nEVAL,"EX")=0),0))))</f>
      </c>
      <c r="H19694">
        <f>IF(DATOS!$G19694&lt;&gt;"EX",0,--(COUNTIFS(nNIA,DATOS!$A19694,nCURSO,DATOS!$D19694,nESPEC,DATOS!$E19694,nASIG,DATOS!$I19694,nEVAL,"OR")=0))</f>
      </c>
      <c r="I19694">
        <f>IF(DATOS!$I19694="","",IFERROR(VLOOKUP(DATOS!$I19694,CONFIG_ASIGNATURAS!$B$2:$J$91,9,FALSE()),""))</f>
      </c>
    </row>
    <row r="19695">
      <c r="F19695">
        <f>IF(DATOS!$A19695="","",DATOS!$A19695&amp;"|"&amp;DATOS!$D19695&amp;"|"&amp;DATOS!$E19695&amp;"|"&amp;DATOS!$I19695)</f>
      </c>
      <c r="G19695">
        <f>IF(DATOS!$A19695="",0,IF(CONFIG_METADATA!$B$4&lt;&gt;"OR+EX",--(DATOS!$G19695=CONFIG_METADATA!$B$4),IF(DATOS!$G19695="EX",1,IF(DATOS!$G19695="OR",--(COUNTIFS(nNIA,DATOS!$A19695,nCURSO,DATOS!$D19695,nESPEC,DATOS!$E19695,nASIG,DATOS!$I19695,nEVAL,"EX")=0),0))))</f>
      </c>
      <c r="H19695">
        <f>IF(DATOS!$G19695&lt;&gt;"EX",0,--(COUNTIFS(nNIA,DATOS!$A19695,nCURSO,DATOS!$D19695,nESPEC,DATOS!$E19695,nASIG,DATOS!$I19695,nEVAL,"OR")=0))</f>
      </c>
      <c r="I19695">
        <f>IF(DATOS!$I19695="","",IFERROR(VLOOKUP(DATOS!$I19695,CONFIG_ASIGNATURAS!$B$2:$J$91,9,FALSE()),""))</f>
      </c>
    </row>
    <row r="19696">
      <c r="F19696">
        <f>IF(DATOS!$A19696="","",DATOS!$A19696&amp;"|"&amp;DATOS!$D19696&amp;"|"&amp;DATOS!$E19696&amp;"|"&amp;DATOS!$I19696)</f>
      </c>
      <c r="G19696">
        <f>IF(DATOS!$A19696="",0,IF(CONFIG_METADATA!$B$4&lt;&gt;"OR+EX",--(DATOS!$G19696=CONFIG_METADATA!$B$4),IF(DATOS!$G19696="EX",1,IF(DATOS!$G19696="OR",--(COUNTIFS(nNIA,DATOS!$A19696,nCURSO,DATOS!$D19696,nESPEC,DATOS!$E19696,nASIG,DATOS!$I19696,nEVAL,"EX")=0),0))))</f>
      </c>
      <c r="H19696">
        <f>IF(DATOS!$G19696&lt;&gt;"EX",0,--(COUNTIFS(nNIA,DATOS!$A19696,nCURSO,DATOS!$D19696,nESPEC,DATOS!$E19696,nASIG,DATOS!$I19696,nEVAL,"OR")=0))</f>
      </c>
      <c r="I19696">
        <f>IF(DATOS!$I19696="","",IFERROR(VLOOKUP(DATOS!$I19696,CONFIG_ASIGNATURAS!$B$2:$J$91,9,FALSE()),""))</f>
      </c>
    </row>
    <row r="19697">
      <c r="F19697">
        <f>IF(DATOS!$A19697="","",DATOS!$A19697&amp;"|"&amp;DATOS!$D19697&amp;"|"&amp;DATOS!$E19697&amp;"|"&amp;DATOS!$I19697)</f>
      </c>
      <c r="G19697">
        <f>IF(DATOS!$A19697="",0,IF(CONFIG_METADATA!$B$4&lt;&gt;"OR+EX",--(DATOS!$G19697=CONFIG_METADATA!$B$4),IF(DATOS!$G19697="EX",1,IF(DATOS!$G19697="OR",--(COUNTIFS(nNIA,DATOS!$A19697,nCURSO,DATOS!$D19697,nESPEC,DATOS!$E19697,nASIG,DATOS!$I19697,nEVAL,"EX")=0),0))))</f>
      </c>
      <c r="H19697">
        <f>IF(DATOS!$G19697&lt;&gt;"EX",0,--(COUNTIFS(nNIA,DATOS!$A19697,nCURSO,DATOS!$D19697,nESPEC,DATOS!$E19697,nASIG,DATOS!$I19697,nEVAL,"OR")=0))</f>
      </c>
      <c r="I19697">
        <f>IF(DATOS!$I19697="","",IFERROR(VLOOKUP(DATOS!$I19697,CONFIG_ASIGNATURAS!$B$2:$J$91,9,FALSE()),""))</f>
      </c>
    </row>
    <row r="19698">
      <c r="F19698">
        <f>IF(DATOS!$A19698="","",DATOS!$A19698&amp;"|"&amp;DATOS!$D19698&amp;"|"&amp;DATOS!$E19698&amp;"|"&amp;DATOS!$I19698)</f>
      </c>
      <c r="G19698">
        <f>IF(DATOS!$A19698="",0,IF(CONFIG_METADATA!$B$4&lt;&gt;"OR+EX",--(DATOS!$G19698=CONFIG_METADATA!$B$4),IF(DATOS!$G19698="EX",1,IF(DATOS!$G19698="OR",--(COUNTIFS(nNIA,DATOS!$A19698,nCURSO,DATOS!$D19698,nESPEC,DATOS!$E19698,nASIG,DATOS!$I19698,nEVAL,"EX")=0),0))))</f>
      </c>
      <c r="H19698">
        <f>IF(DATOS!$G19698&lt;&gt;"EX",0,--(COUNTIFS(nNIA,DATOS!$A19698,nCURSO,DATOS!$D19698,nESPEC,DATOS!$E19698,nASIG,DATOS!$I19698,nEVAL,"OR")=0))</f>
      </c>
      <c r="I19698">
        <f>IF(DATOS!$I19698="","",IFERROR(VLOOKUP(DATOS!$I19698,CONFIG_ASIGNATURAS!$B$2:$J$91,9,FALSE()),""))</f>
      </c>
    </row>
    <row r="19699">
      <c r="F19699">
        <f>IF(DATOS!$A19699="","",DATOS!$A19699&amp;"|"&amp;DATOS!$D19699&amp;"|"&amp;DATOS!$E19699&amp;"|"&amp;DATOS!$I19699)</f>
      </c>
      <c r="G19699">
        <f>IF(DATOS!$A19699="",0,IF(CONFIG_METADATA!$B$4&lt;&gt;"OR+EX",--(DATOS!$G19699=CONFIG_METADATA!$B$4),IF(DATOS!$G19699="EX",1,IF(DATOS!$G19699="OR",--(COUNTIFS(nNIA,DATOS!$A19699,nCURSO,DATOS!$D19699,nESPEC,DATOS!$E19699,nASIG,DATOS!$I19699,nEVAL,"EX")=0),0))))</f>
      </c>
      <c r="H19699">
        <f>IF(DATOS!$G19699&lt;&gt;"EX",0,--(COUNTIFS(nNIA,DATOS!$A19699,nCURSO,DATOS!$D19699,nESPEC,DATOS!$E19699,nASIG,DATOS!$I19699,nEVAL,"OR")=0))</f>
      </c>
      <c r="I19699">
        <f>IF(DATOS!$I19699="","",IFERROR(VLOOKUP(DATOS!$I19699,CONFIG_ASIGNATURAS!$B$2:$J$91,9,FALSE()),""))</f>
      </c>
    </row>
    <row r="19700">
      <c r="F19700">
        <f>IF(DATOS!$A19700="","",DATOS!$A19700&amp;"|"&amp;DATOS!$D19700&amp;"|"&amp;DATOS!$E19700&amp;"|"&amp;DATOS!$I19700)</f>
      </c>
      <c r="G19700">
        <f>IF(DATOS!$A19700="",0,IF(CONFIG_METADATA!$B$4&lt;&gt;"OR+EX",--(DATOS!$G19700=CONFIG_METADATA!$B$4),IF(DATOS!$G19700="EX",1,IF(DATOS!$G19700="OR",--(COUNTIFS(nNIA,DATOS!$A19700,nCURSO,DATOS!$D19700,nESPEC,DATOS!$E19700,nASIG,DATOS!$I19700,nEVAL,"EX")=0),0))))</f>
      </c>
      <c r="H19700">
        <f>IF(DATOS!$G19700&lt;&gt;"EX",0,--(COUNTIFS(nNIA,DATOS!$A19700,nCURSO,DATOS!$D19700,nESPEC,DATOS!$E19700,nASIG,DATOS!$I19700,nEVAL,"OR")=0))</f>
      </c>
      <c r="I19700">
        <f>IF(DATOS!$I19700="","",IFERROR(VLOOKUP(DATOS!$I19700,CONFIG_ASIGNATURAS!$B$2:$J$91,9,FALSE()),""))</f>
      </c>
    </row>
    <row r="19701">
      <c r="F19701">
        <f>IF(DATOS!$A19701="","",DATOS!$A19701&amp;"|"&amp;DATOS!$D19701&amp;"|"&amp;DATOS!$E19701&amp;"|"&amp;DATOS!$I19701)</f>
      </c>
      <c r="G19701">
        <f>IF(DATOS!$A19701="",0,IF(CONFIG_METADATA!$B$4&lt;&gt;"OR+EX",--(DATOS!$G19701=CONFIG_METADATA!$B$4),IF(DATOS!$G19701="EX",1,IF(DATOS!$G19701="OR",--(COUNTIFS(nNIA,DATOS!$A19701,nCURSO,DATOS!$D19701,nESPEC,DATOS!$E19701,nASIG,DATOS!$I19701,nEVAL,"EX")=0),0))))</f>
      </c>
      <c r="H19701">
        <f>IF(DATOS!$G19701&lt;&gt;"EX",0,--(COUNTIFS(nNIA,DATOS!$A19701,nCURSO,DATOS!$D19701,nESPEC,DATOS!$E19701,nASIG,DATOS!$I19701,nEVAL,"OR")=0))</f>
      </c>
      <c r="I19701">
        <f>IF(DATOS!$I19701="","",IFERROR(VLOOKUP(DATOS!$I19701,CONFIG_ASIGNATURAS!$B$2:$J$91,9,FALSE()),""))</f>
      </c>
    </row>
    <row r="19702">
      <c r="F19702">
        <f>IF(DATOS!$A19702="","",DATOS!$A19702&amp;"|"&amp;DATOS!$D19702&amp;"|"&amp;DATOS!$E19702&amp;"|"&amp;DATOS!$I19702)</f>
      </c>
      <c r="G19702">
        <f>IF(DATOS!$A19702="",0,IF(CONFIG_METADATA!$B$4&lt;&gt;"OR+EX",--(DATOS!$G19702=CONFIG_METADATA!$B$4),IF(DATOS!$G19702="EX",1,IF(DATOS!$G19702="OR",--(COUNTIFS(nNIA,DATOS!$A19702,nCURSO,DATOS!$D19702,nESPEC,DATOS!$E19702,nASIG,DATOS!$I19702,nEVAL,"EX")=0),0))))</f>
      </c>
      <c r="H19702">
        <f>IF(DATOS!$G19702&lt;&gt;"EX",0,--(COUNTIFS(nNIA,DATOS!$A19702,nCURSO,DATOS!$D19702,nESPEC,DATOS!$E19702,nASIG,DATOS!$I19702,nEVAL,"OR")=0))</f>
      </c>
      <c r="I19702">
        <f>IF(DATOS!$I19702="","",IFERROR(VLOOKUP(DATOS!$I19702,CONFIG_ASIGNATURAS!$B$2:$J$91,9,FALSE()),""))</f>
      </c>
    </row>
    <row r="19703">
      <c r="F19703">
        <f>IF(DATOS!$A19703="","",DATOS!$A19703&amp;"|"&amp;DATOS!$D19703&amp;"|"&amp;DATOS!$E19703&amp;"|"&amp;DATOS!$I19703)</f>
      </c>
      <c r="G19703">
        <f>IF(DATOS!$A19703="",0,IF(CONFIG_METADATA!$B$4&lt;&gt;"OR+EX",--(DATOS!$G19703=CONFIG_METADATA!$B$4),IF(DATOS!$G19703="EX",1,IF(DATOS!$G19703="OR",--(COUNTIFS(nNIA,DATOS!$A19703,nCURSO,DATOS!$D19703,nESPEC,DATOS!$E19703,nASIG,DATOS!$I19703,nEVAL,"EX")=0),0))))</f>
      </c>
      <c r="H19703">
        <f>IF(DATOS!$G19703&lt;&gt;"EX",0,--(COUNTIFS(nNIA,DATOS!$A19703,nCURSO,DATOS!$D19703,nESPEC,DATOS!$E19703,nASIG,DATOS!$I19703,nEVAL,"OR")=0))</f>
      </c>
      <c r="I19703">
        <f>IF(DATOS!$I19703="","",IFERROR(VLOOKUP(DATOS!$I19703,CONFIG_ASIGNATURAS!$B$2:$J$91,9,FALSE()),""))</f>
      </c>
    </row>
    <row r="19704">
      <c r="F19704">
        <f>IF(DATOS!$A19704="","",DATOS!$A19704&amp;"|"&amp;DATOS!$D19704&amp;"|"&amp;DATOS!$E19704&amp;"|"&amp;DATOS!$I19704)</f>
      </c>
      <c r="G19704">
        <f>IF(DATOS!$A19704="",0,IF(CONFIG_METADATA!$B$4&lt;&gt;"OR+EX",--(DATOS!$G19704=CONFIG_METADATA!$B$4),IF(DATOS!$G19704="EX",1,IF(DATOS!$G19704="OR",--(COUNTIFS(nNIA,DATOS!$A19704,nCURSO,DATOS!$D19704,nESPEC,DATOS!$E19704,nASIG,DATOS!$I19704,nEVAL,"EX")=0),0))))</f>
      </c>
      <c r="H19704">
        <f>IF(DATOS!$G19704&lt;&gt;"EX",0,--(COUNTIFS(nNIA,DATOS!$A19704,nCURSO,DATOS!$D19704,nESPEC,DATOS!$E19704,nASIG,DATOS!$I19704,nEVAL,"OR")=0))</f>
      </c>
      <c r="I19704">
        <f>IF(DATOS!$I19704="","",IFERROR(VLOOKUP(DATOS!$I19704,CONFIG_ASIGNATURAS!$B$2:$J$91,9,FALSE()),""))</f>
      </c>
    </row>
    <row r="19705">
      <c r="F19705">
        <f>IF(DATOS!$A19705="","",DATOS!$A19705&amp;"|"&amp;DATOS!$D19705&amp;"|"&amp;DATOS!$E19705&amp;"|"&amp;DATOS!$I19705)</f>
      </c>
      <c r="G19705">
        <f>IF(DATOS!$A19705="",0,IF(CONFIG_METADATA!$B$4&lt;&gt;"OR+EX",--(DATOS!$G19705=CONFIG_METADATA!$B$4),IF(DATOS!$G19705="EX",1,IF(DATOS!$G19705="OR",--(COUNTIFS(nNIA,DATOS!$A19705,nCURSO,DATOS!$D19705,nESPEC,DATOS!$E19705,nASIG,DATOS!$I19705,nEVAL,"EX")=0),0))))</f>
      </c>
      <c r="H19705">
        <f>IF(DATOS!$G19705&lt;&gt;"EX",0,--(COUNTIFS(nNIA,DATOS!$A19705,nCURSO,DATOS!$D19705,nESPEC,DATOS!$E19705,nASIG,DATOS!$I19705,nEVAL,"OR")=0))</f>
      </c>
      <c r="I19705">
        <f>IF(DATOS!$I19705="","",IFERROR(VLOOKUP(DATOS!$I19705,CONFIG_ASIGNATURAS!$B$2:$J$91,9,FALSE()),""))</f>
      </c>
    </row>
    <row r="19706">
      <c r="F19706">
        <f>IF(DATOS!$A19706="","",DATOS!$A19706&amp;"|"&amp;DATOS!$D19706&amp;"|"&amp;DATOS!$E19706&amp;"|"&amp;DATOS!$I19706)</f>
      </c>
      <c r="G19706">
        <f>IF(DATOS!$A19706="",0,IF(CONFIG_METADATA!$B$4&lt;&gt;"OR+EX",--(DATOS!$G19706=CONFIG_METADATA!$B$4),IF(DATOS!$G19706="EX",1,IF(DATOS!$G19706="OR",--(COUNTIFS(nNIA,DATOS!$A19706,nCURSO,DATOS!$D19706,nESPEC,DATOS!$E19706,nASIG,DATOS!$I19706,nEVAL,"EX")=0),0))))</f>
      </c>
      <c r="H19706">
        <f>IF(DATOS!$G19706&lt;&gt;"EX",0,--(COUNTIFS(nNIA,DATOS!$A19706,nCURSO,DATOS!$D19706,nESPEC,DATOS!$E19706,nASIG,DATOS!$I19706,nEVAL,"OR")=0))</f>
      </c>
      <c r="I19706">
        <f>IF(DATOS!$I19706="","",IFERROR(VLOOKUP(DATOS!$I19706,CONFIG_ASIGNATURAS!$B$2:$J$91,9,FALSE()),""))</f>
      </c>
    </row>
    <row r="19707">
      <c r="F19707">
        <f>IF(DATOS!$A19707="","",DATOS!$A19707&amp;"|"&amp;DATOS!$D19707&amp;"|"&amp;DATOS!$E19707&amp;"|"&amp;DATOS!$I19707)</f>
      </c>
      <c r="G19707">
        <f>IF(DATOS!$A19707="",0,IF(CONFIG_METADATA!$B$4&lt;&gt;"OR+EX",--(DATOS!$G19707=CONFIG_METADATA!$B$4),IF(DATOS!$G19707="EX",1,IF(DATOS!$G19707="OR",--(COUNTIFS(nNIA,DATOS!$A19707,nCURSO,DATOS!$D19707,nESPEC,DATOS!$E19707,nASIG,DATOS!$I19707,nEVAL,"EX")=0),0))))</f>
      </c>
      <c r="H19707">
        <f>IF(DATOS!$G19707&lt;&gt;"EX",0,--(COUNTIFS(nNIA,DATOS!$A19707,nCURSO,DATOS!$D19707,nESPEC,DATOS!$E19707,nASIG,DATOS!$I19707,nEVAL,"OR")=0))</f>
      </c>
      <c r="I19707">
        <f>IF(DATOS!$I19707="","",IFERROR(VLOOKUP(DATOS!$I19707,CONFIG_ASIGNATURAS!$B$2:$J$91,9,FALSE()),""))</f>
      </c>
    </row>
    <row r="19708">
      <c r="F19708">
        <f>IF(DATOS!$A19708="","",DATOS!$A19708&amp;"|"&amp;DATOS!$D19708&amp;"|"&amp;DATOS!$E19708&amp;"|"&amp;DATOS!$I19708)</f>
      </c>
      <c r="G19708">
        <f>IF(DATOS!$A19708="",0,IF(CONFIG_METADATA!$B$4&lt;&gt;"OR+EX",--(DATOS!$G19708=CONFIG_METADATA!$B$4),IF(DATOS!$G19708="EX",1,IF(DATOS!$G19708="OR",--(COUNTIFS(nNIA,DATOS!$A19708,nCURSO,DATOS!$D19708,nESPEC,DATOS!$E19708,nASIG,DATOS!$I19708,nEVAL,"EX")=0),0))))</f>
      </c>
      <c r="H19708">
        <f>IF(DATOS!$G19708&lt;&gt;"EX",0,--(COUNTIFS(nNIA,DATOS!$A19708,nCURSO,DATOS!$D19708,nESPEC,DATOS!$E19708,nASIG,DATOS!$I19708,nEVAL,"OR")=0))</f>
      </c>
      <c r="I19708">
        <f>IF(DATOS!$I19708="","",IFERROR(VLOOKUP(DATOS!$I19708,CONFIG_ASIGNATURAS!$B$2:$J$91,9,FALSE()),""))</f>
      </c>
    </row>
    <row r="19709">
      <c r="F19709">
        <f>IF(DATOS!$A19709="","",DATOS!$A19709&amp;"|"&amp;DATOS!$D19709&amp;"|"&amp;DATOS!$E19709&amp;"|"&amp;DATOS!$I19709)</f>
      </c>
      <c r="G19709">
        <f>IF(DATOS!$A19709="",0,IF(CONFIG_METADATA!$B$4&lt;&gt;"OR+EX",--(DATOS!$G19709=CONFIG_METADATA!$B$4),IF(DATOS!$G19709="EX",1,IF(DATOS!$G19709="OR",--(COUNTIFS(nNIA,DATOS!$A19709,nCURSO,DATOS!$D19709,nESPEC,DATOS!$E19709,nASIG,DATOS!$I19709,nEVAL,"EX")=0),0))))</f>
      </c>
      <c r="H19709">
        <f>IF(DATOS!$G19709&lt;&gt;"EX",0,--(COUNTIFS(nNIA,DATOS!$A19709,nCURSO,DATOS!$D19709,nESPEC,DATOS!$E19709,nASIG,DATOS!$I19709,nEVAL,"OR")=0))</f>
      </c>
      <c r="I19709">
        <f>IF(DATOS!$I19709="","",IFERROR(VLOOKUP(DATOS!$I19709,CONFIG_ASIGNATURAS!$B$2:$J$91,9,FALSE()),""))</f>
      </c>
    </row>
    <row r="19710">
      <c r="F19710">
        <f>IF(DATOS!$A19710="","",DATOS!$A19710&amp;"|"&amp;DATOS!$D19710&amp;"|"&amp;DATOS!$E19710&amp;"|"&amp;DATOS!$I19710)</f>
      </c>
      <c r="G19710">
        <f>IF(DATOS!$A19710="",0,IF(CONFIG_METADATA!$B$4&lt;&gt;"OR+EX",--(DATOS!$G19710=CONFIG_METADATA!$B$4),IF(DATOS!$G19710="EX",1,IF(DATOS!$G19710="OR",--(COUNTIFS(nNIA,DATOS!$A19710,nCURSO,DATOS!$D19710,nESPEC,DATOS!$E19710,nASIG,DATOS!$I19710,nEVAL,"EX")=0),0))))</f>
      </c>
      <c r="H19710">
        <f>IF(DATOS!$G19710&lt;&gt;"EX",0,--(COUNTIFS(nNIA,DATOS!$A19710,nCURSO,DATOS!$D19710,nESPEC,DATOS!$E19710,nASIG,DATOS!$I19710,nEVAL,"OR")=0))</f>
      </c>
      <c r="I19710">
        <f>IF(DATOS!$I19710="","",IFERROR(VLOOKUP(DATOS!$I19710,CONFIG_ASIGNATURAS!$B$2:$J$91,9,FALSE()),""))</f>
      </c>
    </row>
    <row r="19711">
      <c r="F19711">
        <f>IF(DATOS!$A19711="","",DATOS!$A19711&amp;"|"&amp;DATOS!$D19711&amp;"|"&amp;DATOS!$E19711&amp;"|"&amp;DATOS!$I19711)</f>
      </c>
      <c r="G19711">
        <f>IF(DATOS!$A19711="",0,IF(CONFIG_METADATA!$B$4&lt;&gt;"OR+EX",--(DATOS!$G19711=CONFIG_METADATA!$B$4),IF(DATOS!$G19711="EX",1,IF(DATOS!$G19711="OR",--(COUNTIFS(nNIA,DATOS!$A19711,nCURSO,DATOS!$D19711,nESPEC,DATOS!$E19711,nASIG,DATOS!$I19711,nEVAL,"EX")=0),0))))</f>
      </c>
      <c r="H19711">
        <f>IF(DATOS!$G19711&lt;&gt;"EX",0,--(COUNTIFS(nNIA,DATOS!$A19711,nCURSO,DATOS!$D19711,nESPEC,DATOS!$E19711,nASIG,DATOS!$I19711,nEVAL,"OR")=0))</f>
      </c>
      <c r="I19711">
        <f>IF(DATOS!$I19711="","",IFERROR(VLOOKUP(DATOS!$I19711,CONFIG_ASIGNATURAS!$B$2:$J$91,9,FALSE()),""))</f>
      </c>
    </row>
    <row r="19712">
      <c r="F19712">
        <f>IF(DATOS!$A19712="","",DATOS!$A19712&amp;"|"&amp;DATOS!$D19712&amp;"|"&amp;DATOS!$E19712&amp;"|"&amp;DATOS!$I19712)</f>
      </c>
      <c r="G19712">
        <f>IF(DATOS!$A19712="",0,IF(CONFIG_METADATA!$B$4&lt;&gt;"OR+EX",--(DATOS!$G19712=CONFIG_METADATA!$B$4),IF(DATOS!$G19712="EX",1,IF(DATOS!$G19712="OR",--(COUNTIFS(nNIA,DATOS!$A19712,nCURSO,DATOS!$D19712,nESPEC,DATOS!$E19712,nASIG,DATOS!$I19712,nEVAL,"EX")=0),0))))</f>
      </c>
      <c r="H19712">
        <f>IF(DATOS!$G19712&lt;&gt;"EX",0,--(COUNTIFS(nNIA,DATOS!$A19712,nCURSO,DATOS!$D19712,nESPEC,DATOS!$E19712,nASIG,DATOS!$I19712,nEVAL,"OR")=0))</f>
      </c>
      <c r="I19712">
        <f>IF(DATOS!$I19712="","",IFERROR(VLOOKUP(DATOS!$I19712,CONFIG_ASIGNATURAS!$B$2:$J$91,9,FALSE()),""))</f>
      </c>
    </row>
    <row r="19713">
      <c r="F19713">
        <f>IF(DATOS!$A19713="","",DATOS!$A19713&amp;"|"&amp;DATOS!$D19713&amp;"|"&amp;DATOS!$E19713&amp;"|"&amp;DATOS!$I19713)</f>
      </c>
      <c r="G19713">
        <f>IF(DATOS!$A19713="",0,IF(CONFIG_METADATA!$B$4&lt;&gt;"OR+EX",--(DATOS!$G19713=CONFIG_METADATA!$B$4),IF(DATOS!$G19713="EX",1,IF(DATOS!$G19713="OR",--(COUNTIFS(nNIA,DATOS!$A19713,nCURSO,DATOS!$D19713,nESPEC,DATOS!$E19713,nASIG,DATOS!$I19713,nEVAL,"EX")=0),0))))</f>
      </c>
      <c r="H19713">
        <f>IF(DATOS!$G19713&lt;&gt;"EX",0,--(COUNTIFS(nNIA,DATOS!$A19713,nCURSO,DATOS!$D19713,nESPEC,DATOS!$E19713,nASIG,DATOS!$I19713,nEVAL,"OR")=0))</f>
      </c>
      <c r="I19713">
        <f>IF(DATOS!$I19713="","",IFERROR(VLOOKUP(DATOS!$I19713,CONFIG_ASIGNATURAS!$B$2:$J$91,9,FALSE()),""))</f>
      </c>
    </row>
    <row r="19714">
      <c r="F19714">
        <f>IF(DATOS!$A19714="","",DATOS!$A19714&amp;"|"&amp;DATOS!$D19714&amp;"|"&amp;DATOS!$E19714&amp;"|"&amp;DATOS!$I19714)</f>
      </c>
      <c r="G19714">
        <f>IF(DATOS!$A19714="",0,IF(CONFIG_METADATA!$B$4&lt;&gt;"OR+EX",--(DATOS!$G19714=CONFIG_METADATA!$B$4),IF(DATOS!$G19714="EX",1,IF(DATOS!$G19714="OR",--(COUNTIFS(nNIA,DATOS!$A19714,nCURSO,DATOS!$D19714,nESPEC,DATOS!$E19714,nASIG,DATOS!$I19714,nEVAL,"EX")=0),0))))</f>
      </c>
      <c r="H19714">
        <f>IF(DATOS!$G19714&lt;&gt;"EX",0,--(COUNTIFS(nNIA,DATOS!$A19714,nCURSO,DATOS!$D19714,nESPEC,DATOS!$E19714,nASIG,DATOS!$I19714,nEVAL,"OR")=0))</f>
      </c>
      <c r="I19714">
        <f>IF(DATOS!$I19714="","",IFERROR(VLOOKUP(DATOS!$I19714,CONFIG_ASIGNATURAS!$B$2:$J$91,9,FALSE()),""))</f>
      </c>
    </row>
    <row r="19715">
      <c r="F19715">
        <f>IF(DATOS!$A19715="","",DATOS!$A19715&amp;"|"&amp;DATOS!$D19715&amp;"|"&amp;DATOS!$E19715&amp;"|"&amp;DATOS!$I19715)</f>
      </c>
      <c r="G19715">
        <f>IF(DATOS!$A19715="",0,IF(CONFIG_METADATA!$B$4&lt;&gt;"OR+EX",--(DATOS!$G19715=CONFIG_METADATA!$B$4),IF(DATOS!$G19715="EX",1,IF(DATOS!$G19715="OR",--(COUNTIFS(nNIA,DATOS!$A19715,nCURSO,DATOS!$D19715,nESPEC,DATOS!$E19715,nASIG,DATOS!$I19715,nEVAL,"EX")=0),0))))</f>
      </c>
      <c r="H19715">
        <f>IF(DATOS!$G19715&lt;&gt;"EX",0,--(COUNTIFS(nNIA,DATOS!$A19715,nCURSO,DATOS!$D19715,nESPEC,DATOS!$E19715,nASIG,DATOS!$I19715,nEVAL,"OR")=0))</f>
      </c>
      <c r="I19715">
        <f>IF(DATOS!$I19715="","",IFERROR(VLOOKUP(DATOS!$I19715,CONFIG_ASIGNATURAS!$B$2:$J$91,9,FALSE()),""))</f>
      </c>
    </row>
    <row r="19716">
      <c r="F19716">
        <f>IF(DATOS!$A19716="","",DATOS!$A19716&amp;"|"&amp;DATOS!$D19716&amp;"|"&amp;DATOS!$E19716&amp;"|"&amp;DATOS!$I19716)</f>
      </c>
      <c r="G19716">
        <f>IF(DATOS!$A19716="",0,IF(CONFIG_METADATA!$B$4&lt;&gt;"OR+EX",--(DATOS!$G19716=CONFIG_METADATA!$B$4),IF(DATOS!$G19716="EX",1,IF(DATOS!$G19716="OR",--(COUNTIFS(nNIA,DATOS!$A19716,nCURSO,DATOS!$D19716,nESPEC,DATOS!$E19716,nASIG,DATOS!$I19716,nEVAL,"EX")=0),0))))</f>
      </c>
      <c r="H19716">
        <f>IF(DATOS!$G19716&lt;&gt;"EX",0,--(COUNTIFS(nNIA,DATOS!$A19716,nCURSO,DATOS!$D19716,nESPEC,DATOS!$E19716,nASIG,DATOS!$I19716,nEVAL,"OR")=0))</f>
      </c>
      <c r="I19716">
        <f>IF(DATOS!$I19716="","",IFERROR(VLOOKUP(DATOS!$I19716,CONFIG_ASIGNATURAS!$B$2:$J$91,9,FALSE()),""))</f>
      </c>
    </row>
    <row r="19717">
      <c r="F19717">
        <f>IF(DATOS!$A19717="","",DATOS!$A19717&amp;"|"&amp;DATOS!$D19717&amp;"|"&amp;DATOS!$E19717&amp;"|"&amp;DATOS!$I19717)</f>
      </c>
      <c r="G19717">
        <f>IF(DATOS!$A19717="",0,IF(CONFIG_METADATA!$B$4&lt;&gt;"OR+EX",--(DATOS!$G19717=CONFIG_METADATA!$B$4),IF(DATOS!$G19717="EX",1,IF(DATOS!$G19717="OR",--(COUNTIFS(nNIA,DATOS!$A19717,nCURSO,DATOS!$D19717,nESPEC,DATOS!$E19717,nASIG,DATOS!$I19717,nEVAL,"EX")=0),0))))</f>
      </c>
      <c r="H19717">
        <f>IF(DATOS!$G19717&lt;&gt;"EX",0,--(COUNTIFS(nNIA,DATOS!$A19717,nCURSO,DATOS!$D19717,nESPEC,DATOS!$E19717,nASIG,DATOS!$I19717,nEVAL,"OR")=0))</f>
      </c>
      <c r="I19717">
        <f>IF(DATOS!$I19717="","",IFERROR(VLOOKUP(DATOS!$I19717,CONFIG_ASIGNATURAS!$B$2:$J$91,9,FALSE()),""))</f>
      </c>
    </row>
    <row r="19718">
      <c r="F19718">
        <f>IF(DATOS!$A19718="","",DATOS!$A19718&amp;"|"&amp;DATOS!$D19718&amp;"|"&amp;DATOS!$E19718&amp;"|"&amp;DATOS!$I19718)</f>
      </c>
      <c r="G19718">
        <f>IF(DATOS!$A19718="",0,IF(CONFIG_METADATA!$B$4&lt;&gt;"OR+EX",--(DATOS!$G19718=CONFIG_METADATA!$B$4),IF(DATOS!$G19718="EX",1,IF(DATOS!$G19718="OR",--(COUNTIFS(nNIA,DATOS!$A19718,nCURSO,DATOS!$D19718,nESPEC,DATOS!$E19718,nASIG,DATOS!$I19718,nEVAL,"EX")=0),0))))</f>
      </c>
      <c r="H19718">
        <f>IF(DATOS!$G19718&lt;&gt;"EX",0,--(COUNTIFS(nNIA,DATOS!$A19718,nCURSO,DATOS!$D19718,nESPEC,DATOS!$E19718,nASIG,DATOS!$I19718,nEVAL,"OR")=0))</f>
      </c>
      <c r="I19718">
        <f>IF(DATOS!$I19718="","",IFERROR(VLOOKUP(DATOS!$I19718,CONFIG_ASIGNATURAS!$B$2:$J$91,9,FALSE()),""))</f>
      </c>
    </row>
    <row r="19719">
      <c r="F19719">
        <f>IF(DATOS!$A19719="","",DATOS!$A19719&amp;"|"&amp;DATOS!$D19719&amp;"|"&amp;DATOS!$E19719&amp;"|"&amp;DATOS!$I19719)</f>
      </c>
      <c r="G19719">
        <f>IF(DATOS!$A19719="",0,IF(CONFIG_METADATA!$B$4&lt;&gt;"OR+EX",--(DATOS!$G19719=CONFIG_METADATA!$B$4),IF(DATOS!$G19719="EX",1,IF(DATOS!$G19719="OR",--(COUNTIFS(nNIA,DATOS!$A19719,nCURSO,DATOS!$D19719,nESPEC,DATOS!$E19719,nASIG,DATOS!$I19719,nEVAL,"EX")=0),0))))</f>
      </c>
      <c r="H19719">
        <f>IF(DATOS!$G19719&lt;&gt;"EX",0,--(COUNTIFS(nNIA,DATOS!$A19719,nCURSO,DATOS!$D19719,nESPEC,DATOS!$E19719,nASIG,DATOS!$I19719,nEVAL,"OR")=0))</f>
      </c>
      <c r="I19719">
        <f>IF(DATOS!$I19719="","",IFERROR(VLOOKUP(DATOS!$I19719,CONFIG_ASIGNATURAS!$B$2:$J$91,9,FALSE()),""))</f>
      </c>
    </row>
    <row r="19720">
      <c r="F19720">
        <f>IF(DATOS!$A19720="","",DATOS!$A19720&amp;"|"&amp;DATOS!$D19720&amp;"|"&amp;DATOS!$E19720&amp;"|"&amp;DATOS!$I19720)</f>
      </c>
      <c r="G19720">
        <f>IF(DATOS!$A19720="",0,IF(CONFIG_METADATA!$B$4&lt;&gt;"OR+EX",--(DATOS!$G19720=CONFIG_METADATA!$B$4),IF(DATOS!$G19720="EX",1,IF(DATOS!$G19720="OR",--(COUNTIFS(nNIA,DATOS!$A19720,nCURSO,DATOS!$D19720,nESPEC,DATOS!$E19720,nASIG,DATOS!$I19720,nEVAL,"EX")=0),0))))</f>
      </c>
      <c r="H19720">
        <f>IF(DATOS!$G19720&lt;&gt;"EX",0,--(COUNTIFS(nNIA,DATOS!$A19720,nCURSO,DATOS!$D19720,nESPEC,DATOS!$E19720,nASIG,DATOS!$I19720,nEVAL,"OR")=0))</f>
      </c>
      <c r="I19720">
        <f>IF(DATOS!$I19720="","",IFERROR(VLOOKUP(DATOS!$I19720,CONFIG_ASIGNATURAS!$B$2:$J$91,9,FALSE()),""))</f>
      </c>
    </row>
    <row r="19721">
      <c r="F19721">
        <f>IF(DATOS!$A19721="","",DATOS!$A19721&amp;"|"&amp;DATOS!$D19721&amp;"|"&amp;DATOS!$E19721&amp;"|"&amp;DATOS!$I19721)</f>
      </c>
      <c r="G19721">
        <f>IF(DATOS!$A19721="",0,IF(CONFIG_METADATA!$B$4&lt;&gt;"OR+EX",--(DATOS!$G19721=CONFIG_METADATA!$B$4),IF(DATOS!$G19721="EX",1,IF(DATOS!$G19721="OR",--(COUNTIFS(nNIA,DATOS!$A19721,nCURSO,DATOS!$D19721,nESPEC,DATOS!$E19721,nASIG,DATOS!$I19721,nEVAL,"EX")=0),0))))</f>
      </c>
      <c r="H19721">
        <f>IF(DATOS!$G19721&lt;&gt;"EX",0,--(COUNTIFS(nNIA,DATOS!$A19721,nCURSO,DATOS!$D19721,nESPEC,DATOS!$E19721,nASIG,DATOS!$I19721,nEVAL,"OR")=0))</f>
      </c>
      <c r="I19721">
        <f>IF(DATOS!$I19721="","",IFERROR(VLOOKUP(DATOS!$I19721,CONFIG_ASIGNATURAS!$B$2:$J$91,9,FALSE()),""))</f>
      </c>
    </row>
    <row r="19722">
      <c r="F19722">
        <f>IF(DATOS!$A19722="","",DATOS!$A19722&amp;"|"&amp;DATOS!$D19722&amp;"|"&amp;DATOS!$E19722&amp;"|"&amp;DATOS!$I19722)</f>
      </c>
      <c r="G19722">
        <f>IF(DATOS!$A19722="",0,IF(CONFIG_METADATA!$B$4&lt;&gt;"OR+EX",--(DATOS!$G19722=CONFIG_METADATA!$B$4),IF(DATOS!$G19722="EX",1,IF(DATOS!$G19722="OR",--(COUNTIFS(nNIA,DATOS!$A19722,nCURSO,DATOS!$D19722,nESPEC,DATOS!$E19722,nASIG,DATOS!$I19722,nEVAL,"EX")=0),0))))</f>
      </c>
      <c r="H19722">
        <f>IF(DATOS!$G19722&lt;&gt;"EX",0,--(COUNTIFS(nNIA,DATOS!$A19722,nCURSO,DATOS!$D19722,nESPEC,DATOS!$E19722,nASIG,DATOS!$I19722,nEVAL,"OR")=0))</f>
      </c>
      <c r="I19722">
        <f>IF(DATOS!$I19722="","",IFERROR(VLOOKUP(DATOS!$I19722,CONFIG_ASIGNATURAS!$B$2:$J$91,9,FALSE()),""))</f>
      </c>
    </row>
    <row r="19723">
      <c r="F19723">
        <f>IF(DATOS!$A19723="","",DATOS!$A19723&amp;"|"&amp;DATOS!$D19723&amp;"|"&amp;DATOS!$E19723&amp;"|"&amp;DATOS!$I19723)</f>
      </c>
      <c r="G19723">
        <f>IF(DATOS!$A19723="",0,IF(CONFIG_METADATA!$B$4&lt;&gt;"OR+EX",--(DATOS!$G19723=CONFIG_METADATA!$B$4),IF(DATOS!$G19723="EX",1,IF(DATOS!$G19723="OR",--(COUNTIFS(nNIA,DATOS!$A19723,nCURSO,DATOS!$D19723,nESPEC,DATOS!$E19723,nASIG,DATOS!$I19723,nEVAL,"EX")=0),0))))</f>
      </c>
      <c r="H19723">
        <f>IF(DATOS!$G19723&lt;&gt;"EX",0,--(COUNTIFS(nNIA,DATOS!$A19723,nCURSO,DATOS!$D19723,nESPEC,DATOS!$E19723,nASIG,DATOS!$I19723,nEVAL,"OR")=0))</f>
      </c>
      <c r="I19723">
        <f>IF(DATOS!$I19723="","",IFERROR(VLOOKUP(DATOS!$I19723,CONFIG_ASIGNATURAS!$B$2:$J$91,9,FALSE()),""))</f>
      </c>
    </row>
    <row r="19724">
      <c r="F19724">
        <f>IF(DATOS!$A19724="","",DATOS!$A19724&amp;"|"&amp;DATOS!$D19724&amp;"|"&amp;DATOS!$E19724&amp;"|"&amp;DATOS!$I19724)</f>
      </c>
      <c r="G19724">
        <f>IF(DATOS!$A19724="",0,IF(CONFIG_METADATA!$B$4&lt;&gt;"OR+EX",--(DATOS!$G19724=CONFIG_METADATA!$B$4),IF(DATOS!$G19724="EX",1,IF(DATOS!$G19724="OR",--(COUNTIFS(nNIA,DATOS!$A19724,nCURSO,DATOS!$D19724,nESPEC,DATOS!$E19724,nASIG,DATOS!$I19724,nEVAL,"EX")=0),0))))</f>
      </c>
      <c r="H19724">
        <f>IF(DATOS!$G19724&lt;&gt;"EX",0,--(COUNTIFS(nNIA,DATOS!$A19724,nCURSO,DATOS!$D19724,nESPEC,DATOS!$E19724,nASIG,DATOS!$I19724,nEVAL,"OR")=0))</f>
      </c>
      <c r="I19724">
        <f>IF(DATOS!$I19724="","",IFERROR(VLOOKUP(DATOS!$I19724,CONFIG_ASIGNATURAS!$B$2:$J$91,9,FALSE()),""))</f>
      </c>
    </row>
    <row r="19725">
      <c r="F19725">
        <f>IF(DATOS!$A19725="","",DATOS!$A19725&amp;"|"&amp;DATOS!$D19725&amp;"|"&amp;DATOS!$E19725&amp;"|"&amp;DATOS!$I19725)</f>
      </c>
      <c r="G19725">
        <f>IF(DATOS!$A19725="",0,IF(CONFIG_METADATA!$B$4&lt;&gt;"OR+EX",--(DATOS!$G19725=CONFIG_METADATA!$B$4),IF(DATOS!$G19725="EX",1,IF(DATOS!$G19725="OR",--(COUNTIFS(nNIA,DATOS!$A19725,nCURSO,DATOS!$D19725,nESPEC,DATOS!$E19725,nASIG,DATOS!$I19725,nEVAL,"EX")=0),0))))</f>
      </c>
      <c r="H19725">
        <f>IF(DATOS!$G19725&lt;&gt;"EX",0,--(COUNTIFS(nNIA,DATOS!$A19725,nCURSO,DATOS!$D19725,nESPEC,DATOS!$E19725,nASIG,DATOS!$I19725,nEVAL,"OR")=0))</f>
      </c>
      <c r="I19725">
        <f>IF(DATOS!$I19725="","",IFERROR(VLOOKUP(DATOS!$I19725,CONFIG_ASIGNATURAS!$B$2:$J$91,9,FALSE()),""))</f>
      </c>
    </row>
    <row r="19726">
      <c r="F19726">
        <f>IF(DATOS!$A19726="","",DATOS!$A19726&amp;"|"&amp;DATOS!$D19726&amp;"|"&amp;DATOS!$E19726&amp;"|"&amp;DATOS!$I19726)</f>
      </c>
      <c r="G19726">
        <f>IF(DATOS!$A19726="",0,IF(CONFIG_METADATA!$B$4&lt;&gt;"OR+EX",--(DATOS!$G19726=CONFIG_METADATA!$B$4),IF(DATOS!$G19726="EX",1,IF(DATOS!$G19726="OR",--(COUNTIFS(nNIA,DATOS!$A19726,nCURSO,DATOS!$D19726,nESPEC,DATOS!$E19726,nASIG,DATOS!$I19726,nEVAL,"EX")=0),0))))</f>
      </c>
      <c r="H19726">
        <f>IF(DATOS!$G19726&lt;&gt;"EX",0,--(COUNTIFS(nNIA,DATOS!$A19726,nCURSO,DATOS!$D19726,nESPEC,DATOS!$E19726,nASIG,DATOS!$I19726,nEVAL,"OR")=0))</f>
      </c>
      <c r="I19726">
        <f>IF(DATOS!$I19726="","",IFERROR(VLOOKUP(DATOS!$I19726,CONFIG_ASIGNATURAS!$B$2:$J$91,9,FALSE()),""))</f>
      </c>
    </row>
    <row r="19727">
      <c r="F19727">
        <f>IF(DATOS!$A19727="","",DATOS!$A19727&amp;"|"&amp;DATOS!$D19727&amp;"|"&amp;DATOS!$E19727&amp;"|"&amp;DATOS!$I19727)</f>
      </c>
      <c r="G19727">
        <f>IF(DATOS!$A19727="",0,IF(CONFIG_METADATA!$B$4&lt;&gt;"OR+EX",--(DATOS!$G19727=CONFIG_METADATA!$B$4),IF(DATOS!$G19727="EX",1,IF(DATOS!$G19727="OR",--(COUNTIFS(nNIA,DATOS!$A19727,nCURSO,DATOS!$D19727,nESPEC,DATOS!$E19727,nASIG,DATOS!$I19727,nEVAL,"EX")=0),0))))</f>
      </c>
      <c r="H19727">
        <f>IF(DATOS!$G19727&lt;&gt;"EX",0,--(COUNTIFS(nNIA,DATOS!$A19727,nCURSO,DATOS!$D19727,nESPEC,DATOS!$E19727,nASIG,DATOS!$I19727,nEVAL,"OR")=0))</f>
      </c>
      <c r="I19727">
        <f>IF(DATOS!$I19727="","",IFERROR(VLOOKUP(DATOS!$I19727,CONFIG_ASIGNATURAS!$B$2:$J$91,9,FALSE()),""))</f>
      </c>
    </row>
    <row r="19728">
      <c r="F19728">
        <f>IF(DATOS!$A19728="","",DATOS!$A19728&amp;"|"&amp;DATOS!$D19728&amp;"|"&amp;DATOS!$E19728&amp;"|"&amp;DATOS!$I19728)</f>
      </c>
      <c r="G19728">
        <f>IF(DATOS!$A19728="",0,IF(CONFIG_METADATA!$B$4&lt;&gt;"OR+EX",--(DATOS!$G19728=CONFIG_METADATA!$B$4),IF(DATOS!$G19728="EX",1,IF(DATOS!$G19728="OR",--(COUNTIFS(nNIA,DATOS!$A19728,nCURSO,DATOS!$D19728,nESPEC,DATOS!$E19728,nASIG,DATOS!$I19728,nEVAL,"EX")=0),0))))</f>
      </c>
      <c r="H19728">
        <f>IF(DATOS!$G19728&lt;&gt;"EX",0,--(COUNTIFS(nNIA,DATOS!$A19728,nCURSO,DATOS!$D19728,nESPEC,DATOS!$E19728,nASIG,DATOS!$I19728,nEVAL,"OR")=0))</f>
      </c>
      <c r="I19728">
        <f>IF(DATOS!$I19728="","",IFERROR(VLOOKUP(DATOS!$I19728,CONFIG_ASIGNATURAS!$B$2:$J$91,9,FALSE()),""))</f>
      </c>
    </row>
    <row r="19729">
      <c r="F19729">
        <f>IF(DATOS!$A19729="","",DATOS!$A19729&amp;"|"&amp;DATOS!$D19729&amp;"|"&amp;DATOS!$E19729&amp;"|"&amp;DATOS!$I19729)</f>
      </c>
      <c r="G19729">
        <f>IF(DATOS!$A19729="",0,IF(CONFIG_METADATA!$B$4&lt;&gt;"OR+EX",--(DATOS!$G19729=CONFIG_METADATA!$B$4),IF(DATOS!$G19729="EX",1,IF(DATOS!$G19729="OR",--(COUNTIFS(nNIA,DATOS!$A19729,nCURSO,DATOS!$D19729,nESPEC,DATOS!$E19729,nASIG,DATOS!$I19729,nEVAL,"EX")=0),0))))</f>
      </c>
      <c r="H19729">
        <f>IF(DATOS!$G19729&lt;&gt;"EX",0,--(COUNTIFS(nNIA,DATOS!$A19729,nCURSO,DATOS!$D19729,nESPEC,DATOS!$E19729,nASIG,DATOS!$I19729,nEVAL,"OR")=0))</f>
      </c>
      <c r="I19729">
        <f>IF(DATOS!$I19729="","",IFERROR(VLOOKUP(DATOS!$I19729,CONFIG_ASIGNATURAS!$B$2:$J$91,9,FALSE()),""))</f>
      </c>
    </row>
    <row r="19730">
      <c r="F19730">
        <f>IF(DATOS!$A19730="","",DATOS!$A19730&amp;"|"&amp;DATOS!$D19730&amp;"|"&amp;DATOS!$E19730&amp;"|"&amp;DATOS!$I19730)</f>
      </c>
      <c r="G19730">
        <f>IF(DATOS!$A19730="",0,IF(CONFIG_METADATA!$B$4&lt;&gt;"OR+EX",--(DATOS!$G19730=CONFIG_METADATA!$B$4),IF(DATOS!$G19730="EX",1,IF(DATOS!$G19730="OR",--(COUNTIFS(nNIA,DATOS!$A19730,nCURSO,DATOS!$D19730,nESPEC,DATOS!$E19730,nASIG,DATOS!$I19730,nEVAL,"EX")=0),0))))</f>
      </c>
      <c r="H19730">
        <f>IF(DATOS!$G19730&lt;&gt;"EX",0,--(COUNTIFS(nNIA,DATOS!$A19730,nCURSO,DATOS!$D19730,nESPEC,DATOS!$E19730,nASIG,DATOS!$I19730,nEVAL,"OR")=0))</f>
      </c>
      <c r="I19730">
        <f>IF(DATOS!$I19730="","",IFERROR(VLOOKUP(DATOS!$I19730,CONFIG_ASIGNATURAS!$B$2:$J$91,9,FALSE()),""))</f>
      </c>
    </row>
    <row r="19731">
      <c r="F19731">
        <f>IF(DATOS!$A19731="","",DATOS!$A19731&amp;"|"&amp;DATOS!$D19731&amp;"|"&amp;DATOS!$E19731&amp;"|"&amp;DATOS!$I19731)</f>
      </c>
      <c r="G19731">
        <f>IF(DATOS!$A19731="",0,IF(CONFIG_METADATA!$B$4&lt;&gt;"OR+EX",--(DATOS!$G19731=CONFIG_METADATA!$B$4),IF(DATOS!$G19731="EX",1,IF(DATOS!$G19731="OR",--(COUNTIFS(nNIA,DATOS!$A19731,nCURSO,DATOS!$D19731,nESPEC,DATOS!$E19731,nASIG,DATOS!$I19731,nEVAL,"EX")=0),0))))</f>
      </c>
      <c r="H19731">
        <f>IF(DATOS!$G19731&lt;&gt;"EX",0,--(COUNTIFS(nNIA,DATOS!$A19731,nCURSO,DATOS!$D19731,nESPEC,DATOS!$E19731,nASIG,DATOS!$I19731,nEVAL,"OR")=0))</f>
      </c>
      <c r="I19731">
        <f>IF(DATOS!$I19731="","",IFERROR(VLOOKUP(DATOS!$I19731,CONFIG_ASIGNATURAS!$B$2:$J$91,9,FALSE()),""))</f>
      </c>
    </row>
    <row r="19732">
      <c r="F19732">
        <f>IF(DATOS!$A19732="","",DATOS!$A19732&amp;"|"&amp;DATOS!$D19732&amp;"|"&amp;DATOS!$E19732&amp;"|"&amp;DATOS!$I19732)</f>
      </c>
      <c r="G19732">
        <f>IF(DATOS!$A19732="",0,IF(CONFIG_METADATA!$B$4&lt;&gt;"OR+EX",--(DATOS!$G19732=CONFIG_METADATA!$B$4),IF(DATOS!$G19732="EX",1,IF(DATOS!$G19732="OR",--(COUNTIFS(nNIA,DATOS!$A19732,nCURSO,DATOS!$D19732,nESPEC,DATOS!$E19732,nASIG,DATOS!$I19732,nEVAL,"EX")=0),0))))</f>
      </c>
      <c r="H19732">
        <f>IF(DATOS!$G19732&lt;&gt;"EX",0,--(COUNTIFS(nNIA,DATOS!$A19732,nCURSO,DATOS!$D19732,nESPEC,DATOS!$E19732,nASIG,DATOS!$I19732,nEVAL,"OR")=0))</f>
      </c>
      <c r="I19732">
        <f>IF(DATOS!$I19732="","",IFERROR(VLOOKUP(DATOS!$I19732,CONFIG_ASIGNATURAS!$B$2:$J$91,9,FALSE()),""))</f>
      </c>
    </row>
    <row r="19733">
      <c r="F19733">
        <f>IF(DATOS!$A19733="","",DATOS!$A19733&amp;"|"&amp;DATOS!$D19733&amp;"|"&amp;DATOS!$E19733&amp;"|"&amp;DATOS!$I19733)</f>
      </c>
      <c r="G19733">
        <f>IF(DATOS!$A19733="",0,IF(CONFIG_METADATA!$B$4&lt;&gt;"OR+EX",--(DATOS!$G19733=CONFIG_METADATA!$B$4),IF(DATOS!$G19733="EX",1,IF(DATOS!$G19733="OR",--(COUNTIFS(nNIA,DATOS!$A19733,nCURSO,DATOS!$D19733,nESPEC,DATOS!$E19733,nASIG,DATOS!$I19733,nEVAL,"EX")=0),0))))</f>
      </c>
      <c r="H19733">
        <f>IF(DATOS!$G19733&lt;&gt;"EX",0,--(COUNTIFS(nNIA,DATOS!$A19733,nCURSO,DATOS!$D19733,nESPEC,DATOS!$E19733,nASIG,DATOS!$I19733,nEVAL,"OR")=0))</f>
      </c>
      <c r="I19733">
        <f>IF(DATOS!$I19733="","",IFERROR(VLOOKUP(DATOS!$I19733,CONFIG_ASIGNATURAS!$B$2:$J$91,9,FALSE()),""))</f>
      </c>
    </row>
    <row r="19734">
      <c r="F19734">
        <f>IF(DATOS!$A19734="","",DATOS!$A19734&amp;"|"&amp;DATOS!$D19734&amp;"|"&amp;DATOS!$E19734&amp;"|"&amp;DATOS!$I19734)</f>
      </c>
      <c r="G19734">
        <f>IF(DATOS!$A19734="",0,IF(CONFIG_METADATA!$B$4&lt;&gt;"OR+EX",--(DATOS!$G19734=CONFIG_METADATA!$B$4),IF(DATOS!$G19734="EX",1,IF(DATOS!$G19734="OR",--(COUNTIFS(nNIA,DATOS!$A19734,nCURSO,DATOS!$D19734,nESPEC,DATOS!$E19734,nASIG,DATOS!$I19734,nEVAL,"EX")=0),0))))</f>
      </c>
      <c r="H19734">
        <f>IF(DATOS!$G19734&lt;&gt;"EX",0,--(COUNTIFS(nNIA,DATOS!$A19734,nCURSO,DATOS!$D19734,nESPEC,DATOS!$E19734,nASIG,DATOS!$I19734,nEVAL,"OR")=0))</f>
      </c>
      <c r="I19734">
        <f>IF(DATOS!$I19734="","",IFERROR(VLOOKUP(DATOS!$I19734,CONFIG_ASIGNATURAS!$B$2:$J$91,9,FALSE()),""))</f>
      </c>
    </row>
    <row r="19735">
      <c r="F19735">
        <f>IF(DATOS!$A19735="","",DATOS!$A19735&amp;"|"&amp;DATOS!$D19735&amp;"|"&amp;DATOS!$E19735&amp;"|"&amp;DATOS!$I19735)</f>
      </c>
      <c r="G19735">
        <f>IF(DATOS!$A19735="",0,IF(CONFIG_METADATA!$B$4&lt;&gt;"OR+EX",--(DATOS!$G19735=CONFIG_METADATA!$B$4),IF(DATOS!$G19735="EX",1,IF(DATOS!$G19735="OR",--(COUNTIFS(nNIA,DATOS!$A19735,nCURSO,DATOS!$D19735,nESPEC,DATOS!$E19735,nASIG,DATOS!$I19735,nEVAL,"EX")=0),0))))</f>
      </c>
      <c r="H19735">
        <f>IF(DATOS!$G19735&lt;&gt;"EX",0,--(COUNTIFS(nNIA,DATOS!$A19735,nCURSO,DATOS!$D19735,nESPEC,DATOS!$E19735,nASIG,DATOS!$I19735,nEVAL,"OR")=0))</f>
      </c>
      <c r="I19735">
        <f>IF(DATOS!$I19735="","",IFERROR(VLOOKUP(DATOS!$I19735,CONFIG_ASIGNATURAS!$B$2:$J$91,9,FALSE()),""))</f>
      </c>
    </row>
    <row r="19736">
      <c r="F19736">
        <f>IF(DATOS!$A19736="","",DATOS!$A19736&amp;"|"&amp;DATOS!$D19736&amp;"|"&amp;DATOS!$E19736&amp;"|"&amp;DATOS!$I19736)</f>
      </c>
      <c r="G19736">
        <f>IF(DATOS!$A19736="",0,IF(CONFIG_METADATA!$B$4&lt;&gt;"OR+EX",--(DATOS!$G19736=CONFIG_METADATA!$B$4),IF(DATOS!$G19736="EX",1,IF(DATOS!$G19736="OR",--(COUNTIFS(nNIA,DATOS!$A19736,nCURSO,DATOS!$D19736,nESPEC,DATOS!$E19736,nASIG,DATOS!$I19736,nEVAL,"EX")=0),0))))</f>
      </c>
      <c r="H19736">
        <f>IF(DATOS!$G19736&lt;&gt;"EX",0,--(COUNTIFS(nNIA,DATOS!$A19736,nCURSO,DATOS!$D19736,nESPEC,DATOS!$E19736,nASIG,DATOS!$I19736,nEVAL,"OR")=0))</f>
      </c>
      <c r="I19736">
        <f>IF(DATOS!$I19736="","",IFERROR(VLOOKUP(DATOS!$I19736,CONFIG_ASIGNATURAS!$B$2:$J$91,9,FALSE()),""))</f>
      </c>
    </row>
    <row r="19737">
      <c r="F19737">
        <f>IF(DATOS!$A19737="","",DATOS!$A19737&amp;"|"&amp;DATOS!$D19737&amp;"|"&amp;DATOS!$E19737&amp;"|"&amp;DATOS!$I19737)</f>
      </c>
      <c r="G19737">
        <f>IF(DATOS!$A19737="",0,IF(CONFIG_METADATA!$B$4&lt;&gt;"OR+EX",--(DATOS!$G19737=CONFIG_METADATA!$B$4),IF(DATOS!$G19737="EX",1,IF(DATOS!$G19737="OR",--(COUNTIFS(nNIA,DATOS!$A19737,nCURSO,DATOS!$D19737,nESPEC,DATOS!$E19737,nASIG,DATOS!$I19737,nEVAL,"EX")=0),0))))</f>
      </c>
      <c r="H19737">
        <f>IF(DATOS!$G19737&lt;&gt;"EX",0,--(COUNTIFS(nNIA,DATOS!$A19737,nCURSO,DATOS!$D19737,nESPEC,DATOS!$E19737,nASIG,DATOS!$I19737,nEVAL,"OR")=0))</f>
      </c>
      <c r="I19737">
        <f>IF(DATOS!$I19737="","",IFERROR(VLOOKUP(DATOS!$I19737,CONFIG_ASIGNATURAS!$B$2:$J$91,9,FALSE()),""))</f>
      </c>
    </row>
    <row r="19738">
      <c r="F19738">
        <f>IF(DATOS!$A19738="","",DATOS!$A19738&amp;"|"&amp;DATOS!$D19738&amp;"|"&amp;DATOS!$E19738&amp;"|"&amp;DATOS!$I19738)</f>
      </c>
      <c r="G19738">
        <f>IF(DATOS!$A19738="",0,IF(CONFIG_METADATA!$B$4&lt;&gt;"OR+EX",--(DATOS!$G19738=CONFIG_METADATA!$B$4),IF(DATOS!$G19738="EX",1,IF(DATOS!$G19738="OR",--(COUNTIFS(nNIA,DATOS!$A19738,nCURSO,DATOS!$D19738,nESPEC,DATOS!$E19738,nASIG,DATOS!$I19738,nEVAL,"EX")=0),0))))</f>
      </c>
      <c r="H19738">
        <f>IF(DATOS!$G19738&lt;&gt;"EX",0,--(COUNTIFS(nNIA,DATOS!$A19738,nCURSO,DATOS!$D19738,nESPEC,DATOS!$E19738,nASIG,DATOS!$I19738,nEVAL,"OR")=0))</f>
      </c>
      <c r="I19738">
        <f>IF(DATOS!$I19738="","",IFERROR(VLOOKUP(DATOS!$I19738,CONFIG_ASIGNATURAS!$B$2:$J$91,9,FALSE()),""))</f>
      </c>
    </row>
    <row r="19739">
      <c r="F19739">
        <f>IF(DATOS!$A19739="","",DATOS!$A19739&amp;"|"&amp;DATOS!$D19739&amp;"|"&amp;DATOS!$E19739&amp;"|"&amp;DATOS!$I19739)</f>
      </c>
      <c r="G19739">
        <f>IF(DATOS!$A19739="",0,IF(CONFIG_METADATA!$B$4&lt;&gt;"OR+EX",--(DATOS!$G19739=CONFIG_METADATA!$B$4),IF(DATOS!$G19739="EX",1,IF(DATOS!$G19739="OR",--(COUNTIFS(nNIA,DATOS!$A19739,nCURSO,DATOS!$D19739,nESPEC,DATOS!$E19739,nASIG,DATOS!$I19739,nEVAL,"EX")=0),0))))</f>
      </c>
      <c r="H19739">
        <f>IF(DATOS!$G19739&lt;&gt;"EX",0,--(COUNTIFS(nNIA,DATOS!$A19739,nCURSO,DATOS!$D19739,nESPEC,DATOS!$E19739,nASIG,DATOS!$I19739,nEVAL,"OR")=0))</f>
      </c>
      <c r="I19739">
        <f>IF(DATOS!$I19739="","",IFERROR(VLOOKUP(DATOS!$I19739,CONFIG_ASIGNATURAS!$B$2:$J$91,9,FALSE()),""))</f>
      </c>
    </row>
    <row r="19740">
      <c r="F19740">
        <f>IF(DATOS!$A19740="","",DATOS!$A19740&amp;"|"&amp;DATOS!$D19740&amp;"|"&amp;DATOS!$E19740&amp;"|"&amp;DATOS!$I19740)</f>
      </c>
      <c r="G19740">
        <f>IF(DATOS!$A19740="",0,IF(CONFIG_METADATA!$B$4&lt;&gt;"OR+EX",--(DATOS!$G19740=CONFIG_METADATA!$B$4),IF(DATOS!$G19740="EX",1,IF(DATOS!$G19740="OR",--(COUNTIFS(nNIA,DATOS!$A19740,nCURSO,DATOS!$D19740,nESPEC,DATOS!$E19740,nASIG,DATOS!$I19740,nEVAL,"EX")=0),0))))</f>
      </c>
      <c r="H19740">
        <f>IF(DATOS!$G19740&lt;&gt;"EX",0,--(COUNTIFS(nNIA,DATOS!$A19740,nCURSO,DATOS!$D19740,nESPEC,DATOS!$E19740,nASIG,DATOS!$I19740,nEVAL,"OR")=0))</f>
      </c>
      <c r="I19740">
        <f>IF(DATOS!$I19740="","",IFERROR(VLOOKUP(DATOS!$I19740,CONFIG_ASIGNATURAS!$B$2:$J$91,9,FALSE()),""))</f>
      </c>
    </row>
    <row r="19741">
      <c r="F19741">
        <f>IF(DATOS!$A19741="","",DATOS!$A19741&amp;"|"&amp;DATOS!$D19741&amp;"|"&amp;DATOS!$E19741&amp;"|"&amp;DATOS!$I19741)</f>
      </c>
      <c r="G19741">
        <f>IF(DATOS!$A19741="",0,IF(CONFIG_METADATA!$B$4&lt;&gt;"OR+EX",--(DATOS!$G19741=CONFIG_METADATA!$B$4),IF(DATOS!$G19741="EX",1,IF(DATOS!$G19741="OR",--(COUNTIFS(nNIA,DATOS!$A19741,nCURSO,DATOS!$D19741,nESPEC,DATOS!$E19741,nASIG,DATOS!$I19741,nEVAL,"EX")=0),0))))</f>
      </c>
      <c r="H19741">
        <f>IF(DATOS!$G19741&lt;&gt;"EX",0,--(COUNTIFS(nNIA,DATOS!$A19741,nCURSO,DATOS!$D19741,nESPEC,DATOS!$E19741,nASIG,DATOS!$I19741,nEVAL,"OR")=0))</f>
      </c>
      <c r="I19741">
        <f>IF(DATOS!$I19741="","",IFERROR(VLOOKUP(DATOS!$I19741,CONFIG_ASIGNATURAS!$B$2:$J$91,9,FALSE()),""))</f>
      </c>
    </row>
    <row r="19742">
      <c r="F19742">
        <f>IF(DATOS!$A19742="","",DATOS!$A19742&amp;"|"&amp;DATOS!$D19742&amp;"|"&amp;DATOS!$E19742&amp;"|"&amp;DATOS!$I19742)</f>
      </c>
      <c r="G19742">
        <f>IF(DATOS!$A19742="",0,IF(CONFIG_METADATA!$B$4&lt;&gt;"OR+EX",--(DATOS!$G19742=CONFIG_METADATA!$B$4),IF(DATOS!$G19742="EX",1,IF(DATOS!$G19742="OR",--(COUNTIFS(nNIA,DATOS!$A19742,nCURSO,DATOS!$D19742,nESPEC,DATOS!$E19742,nASIG,DATOS!$I19742,nEVAL,"EX")=0),0))))</f>
      </c>
      <c r="H19742">
        <f>IF(DATOS!$G19742&lt;&gt;"EX",0,--(COUNTIFS(nNIA,DATOS!$A19742,nCURSO,DATOS!$D19742,nESPEC,DATOS!$E19742,nASIG,DATOS!$I19742,nEVAL,"OR")=0))</f>
      </c>
      <c r="I19742">
        <f>IF(DATOS!$I19742="","",IFERROR(VLOOKUP(DATOS!$I19742,CONFIG_ASIGNATURAS!$B$2:$J$91,9,FALSE()),""))</f>
      </c>
    </row>
    <row r="19743">
      <c r="F19743">
        <f>IF(DATOS!$A19743="","",DATOS!$A19743&amp;"|"&amp;DATOS!$D19743&amp;"|"&amp;DATOS!$E19743&amp;"|"&amp;DATOS!$I19743)</f>
      </c>
      <c r="G19743">
        <f>IF(DATOS!$A19743="",0,IF(CONFIG_METADATA!$B$4&lt;&gt;"OR+EX",--(DATOS!$G19743=CONFIG_METADATA!$B$4),IF(DATOS!$G19743="EX",1,IF(DATOS!$G19743="OR",--(COUNTIFS(nNIA,DATOS!$A19743,nCURSO,DATOS!$D19743,nESPEC,DATOS!$E19743,nASIG,DATOS!$I19743,nEVAL,"EX")=0),0))))</f>
      </c>
      <c r="H19743">
        <f>IF(DATOS!$G19743&lt;&gt;"EX",0,--(COUNTIFS(nNIA,DATOS!$A19743,nCURSO,DATOS!$D19743,nESPEC,DATOS!$E19743,nASIG,DATOS!$I19743,nEVAL,"OR")=0))</f>
      </c>
      <c r="I19743">
        <f>IF(DATOS!$I19743="","",IFERROR(VLOOKUP(DATOS!$I19743,CONFIG_ASIGNATURAS!$B$2:$J$91,9,FALSE()),""))</f>
      </c>
    </row>
    <row r="19744">
      <c r="F19744">
        <f>IF(DATOS!$A19744="","",DATOS!$A19744&amp;"|"&amp;DATOS!$D19744&amp;"|"&amp;DATOS!$E19744&amp;"|"&amp;DATOS!$I19744)</f>
      </c>
      <c r="G19744">
        <f>IF(DATOS!$A19744="",0,IF(CONFIG_METADATA!$B$4&lt;&gt;"OR+EX",--(DATOS!$G19744=CONFIG_METADATA!$B$4),IF(DATOS!$G19744="EX",1,IF(DATOS!$G19744="OR",--(COUNTIFS(nNIA,DATOS!$A19744,nCURSO,DATOS!$D19744,nESPEC,DATOS!$E19744,nASIG,DATOS!$I19744,nEVAL,"EX")=0),0))))</f>
      </c>
      <c r="H19744">
        <f>IF(DATOS!$G19744&lt;&gt;"EX",0,--(COUNTIFS(nNIA,DATOS!$A19744,nCURSO,DATOS!$D19744,nESPEC,DATOS!$E19744,nASIG,DATOS!$I19744,nEVAL,"OR")=0))</f>
      </c>
      <c r="I19744">
        <f>IF(DATOS!$I19744="","",IFERROR(VLOOKUP(DATOS!$I19744,CONFIG_ASIGNATURAS!$B$2:$J$91,9,FALSE()),""))</f>
      </c>
    </row>
    <row r="19745">
      <c r="F19745">
        <f>IF(DATOS!$A19745="","",DATOS!$A19745&amp;"|"&amp;DATOS!$D19745&amp;"|"&amp;DATOS!$E19745&amp;"|"&amp;DATOS!$I19745)</f>
      </c>
      <c r="G19745">
        <f>IF(DATOS!$A19745="",0,IF(CONFIG_METADATA!$B$4&lt;&gt;"OR+EX",--(DATOS!$G19745=CONFIG_METADATA!$B$4),IF(DATOS!$G19745="EX",1,IF(DATOS!$G19745="OR",--(COUNTIFS(nNIA,DATOS!$A19745,nCURSO,DATOS!$D19745,nESPEC,DATOS!$E19745,nASIG,DATOS!$I19745,nEVAL,"EX")=0),0))))</f>
      </c>
      <c r="H19745">
        <f>IF(DATOS!$G19745&lt;&gt;"EX",0,--(COUNTIFS(nNIA,DATOS!$A19745,nCURSO,DATOS!$D19745,nESPEC,DATOS!$E19745,nASIG,DATOS!$I19745,nEVAL,"OR")=0))</f>
      </c>
      <c r="I19745">
        <f>IF(DATOS!$I19745="","",IFERROR(VLOOKUP(DATOS!$I19745,CONFIG_ASIGNATURAS!$B$2:$J$91,9,FALSE()),""))</f>
      </c>
    </row>
    <row r="19746">
      <c r="F19746">
        <f>IF(DATOS!$A19746="","",DATOS!$A19746&amp;"|"&amp;DATOS!$D19746&amp;"|"&amp;DATOS!$E19746&amp;"|"&amp;DATOS!$I19746)</f>
      </c>
      <c r="G19746">
        <f>IF(DATOS!$A19746="",0,IF(CONFIG_METADATA!$B$4&lt;&gt;"OR+EX",--(DATOS!$G19746=CONFIG_METADATA!$B$4),IF(DATOS!$G19746="EX",1,IF(DATOS!$G19746="OR",--(COUNTIFS(nNIA,DATOS!$A19746,nCURSO,DATOS!$D19746,nESPEC,DATOS!$E19746,nASIG,DATOS!$I19746,nEVAL,"EX")=0),0))))</f>
      </c>
      <c r="H19746">
        <f>IF(DATOS!$G19746&lt;&gt;"EX",0,--(COUNTIFS(nNIA,DATOS!$A19746,nCURSO,DATOS!$D19746,nESPEC,DATOS!$E19746,nASIG,DATOS!$I19746,nEVAL,"OR")=0))</f>
      </c>
      <c r="I19746">
        <f>IF(DATOS!$I19746="","",IFERROR(VLOOKUP(DATOS!$I19746,CONFIG_ASIGNATURAS!$B$2:$J$91,9,FALSE()),""))</f>
      </c>
    </row>
    <row r="19747">
      <c r="F19747">
        <f>IF(DATOS!$A19747="","",DATOS!$A19747&amp;"|"&amp;DATOS!$D19747&amp;"|"&amp;DATOS!$E19747&amp;"|"&amp;DATOS!$I19747)</f>
      </c>
      <c r="G19747">
        <f>IF(DATOS!$A19747="",0,IF(CONFIG_METADATA!$B$4&lt;&gt;"OR+EX",--(DATOS!$G19747=CONFIG_METADATA!$B$4),IF(DATOS!$G19747="EX",1,IF(DATOS!$G19747="OR",--(COUNTIFS(nNIA,DATOS!$A19747,nCURSO,DATOS!$D19747,nESPEC,DATOS!$E19747,nASIG,DATOS!$I19747,nEVAL,"EX")=0),0))))</f>
      </c>
      <c r="H19747">
        <f>IF(DATOS!$G19747&lt;&gt;"EX",0,--(COUNTIFS(nNIA,DATOS!$A19747,nCURSO,DATOS!$D19747,nESPEC,DATOS!$E19747,nASIG,DATOS!$I19747,nEVAL,"OR")=0))</f>
      </c>
      <c r="I19747">
        <f>IF(DATOS!$I19747="","",IFERROR(VLOOKUP(DATOS!$I19747,CONFIG_ASIGNATURAS!$B$2:$J$91,9,FALSE()),""))</f>
      </c>
    </row>
    <row r="19748">
      <c r="F19748">
        <f>IF(DATOS!$A19748="","",DATOS!$A19748&amp;"|"&amp;DATOS!$D19748&amp;"|"&amp;DATOS!$E19748&amp;"|"&amp;DATOS!$I19748)</f>
      </c>
      <c r="G19748">
        <f>IF(DATOS!$A19748="",0,IF(CONFIG_METADATA!$B$4&lt;&gt;"OR+EX",--(DATOS!$G19748=CONFIG_METADATA!$B$4),IF(DATOS!$G19748="EX",1,IF(DATOS!$G19748="OR",--(COUNTIFS(nNIA,DATOS!$A19748,nCURSO,DATOS!$D19748,nESPEC,DATOS!$E19748,nASIG,DATOS!$I19748,nEVAL,"EX")=0),0))))</f>
      </c>
      <c r="H19748">
        <f>IF(DATOS!$G19748&lt;&gt;"EX",0,--(COUNTIFS(nNIA,DATOS!$A19748,nCURSO,DATOS!$D19748,nESPEC,DATOS!$E19748,nASIG,DATOS!$I19748,nEVAL,"OR")=0))</f>
      </c>
      <c r="I19748">
        <f>IF(DATOS!$I19748="","",IFERROR(VLOOKUP(DATOS!$I19748,CONFIG_ASIGNATURAS!$B$2:$J$91,9,FALSE()),""))</f>
      </c>
    </row>
    <row r="19749">
      <c r="F19749">
        <f>IF(DATOS!$A19749="","",DATOS!$A19749&amp;"|"&amp;DATOS!$D19749&amp;"|"&amp;DATOS!$E19749&amp;"|"&amp;DATOS!$I19749)</f>
      </c>
      <c r="G19749">
        <f>IF(DATOS!$A19749="",0,IF(CONFIG_METADATA!$B$4&lt;&gt;"OR+EX",--(DATOS!$G19749=CONFIG_METADATA!$B$4),IF(DATOS!$G19749="EX",1,IF(DATOS!$G19749="OR",--(COUNTIFS(nNIA,DATOS!$A19749,nCURSO,DATOS!$D19749,nESPEC,DATOS!$E19749,nASIG,DATOS!$I19749,nEVAL,"EX")=0),0))))</f>
      </c>
      <c r="H19749">
        <f>IF(DATOS!$G19749&lt;&gt;"EX",0,--(COUNTIFS(nNIA,DATOS!$A19749,nCURSO,DATOS!$D19749,nESPEC,DATOS!$E19749,nASIG,DATOS!$I19749,nEVAL,"OR")=0))</f>
      </c>
      <c r="I19749">
        <f>IF(DATOS!$I19749="","",IFERROR(VLOOKUP(DATOS!$I19749,CONFIG_ASIGNATURAS!$B$2:$J$91,9,FALSE()),""))</f>
      </c>
    </row>
    <row r="19750">
      <c r="F19750">
        <f>IF(DATOS!$A19750="","",DATOS!$A19750&amp;"|"&amp;DATOS!$D19750&amp;"|"&amp;DATOS!$E19750&amp;"|"&amp;DATOS!$I19750)</f>
      </c>
      <c r="G19750">
        <f>IF(DATOS!$A19750="",0,IF(CONFIG_METADATA!$B$4&lt;&gt;"OR+EX",--(DATOS!$G19750=CONFIG_METADATA!$B$4),IF(DATOS!$G19750="EX",1,IF(DATOS!$G19750="OR",--(COUNTIFS(nNIA,DATOS!$A19750,nCURSO,DATOS!$D19750,nESPEC,DATOS!$E19750,nASIG,DATOS!$I19750,nEVAL,"EX")=0),0))))</f>
      </c>
      <c r="H19750">
        <f>IF(DATOS!$G19750&lt;&gt;"EX",0,--(COUNTIFS(nNIA,DATOS!$A19750,nCURSO,DATOS!$D19750,nESPEC,DATOS!$E19750,nASIG,DATOS!$I19750,nEVAL,"OR")=0))</f>
      </c>
      <c r="I19750">
        <f>IF(DATOS!$I19750="","",IFERROR(VLOOKUP(DATOS!$I19750,CONFIG_ASIGNATURAS!$B$2:$J$91,9,FALSE()),""))</f>
      </c>
    </row>
    <row r="19751">
      <c r="F19751">
        <f>IF(DATOS!$A19751="","",DATOS!$A19751&amp;"|"&amp;DATOS!$D19751&amp;"|"&amp;DATOS!$E19751&amp;"|"&amp;DATOS!$I19751)</f>
      </c>
      <c r="G19751">
        <f>IF(DATOS!$A19751="",0,IF(CONFIG_METADATA!$B$4&lt;&gt;"OR+EX",--(DATOS!$G19751=CONFIG_METADATA!$B$4),IF(DATOS!$G19751="EX",1,IF(DATOS!$G19751="OR",--(COUNTIFS(nNIA,DATOS!$A19751,nCURSO,DATOS!$D19751,nESPEC,DATOS!$E19751,nASIG,DATOS!$I19751,nEVAL,"EX")=0),0))))</f>
      </c>
      <c r="H19751">
        <f>IF(DATOS!$G19751&lt;&gt;"EX",0,--(COUNTIFS(nNIA,DATOS!$A19751,nCURSO,DATOS!$D19751,nESPEC,DATOS!$E19751,nASIG,DATOS!$I19751,nEVAL,"OR")=0))</f>
      </c>
      <c r="I19751">
        <f>IF(DATOS!$I19751="","",IFERROR(VLOOKUP(DATOS!$I19751,CONFIG_ASIGNATURAS!$B$2:$J$91,9,FALSE()),""))</f>
      </c>
    </row>
    <row r="19752">
      <c r="F19752">
        <f>IF(DATOS!$A19752="","",DATOS!$A19752&amp;"|"&amp;DATOS!$D19752&amp;"|"&amp;DATOS!$E19752&amp;"|"&amp;DATOS!$I19752)</f>
      </c>
      <c r="G19752">
        <f>IF(DATOS!$A19752="",0,IF(CONFIG_METADATA!$B$4&lt;&gt;"OR+EX",--(DATOS!$G19752=CONFIG_METADATA!$B$4),IF(DATOS!$G19752="EX",1,IF(DATOS!$G19752="OR",--(COUNTIFS(nNIA,DATOS!$A19752,nCURSO,DATOS!$D19752,nESPEC,DATOS!$E19752,nASIG,DATOS!$I19752,nEVAL,"EX")=0),0))))</f>
      </c>
      <c r="H19752">
        <f>IF(DATOS!$G19752&lt;&gt;"EX",0,--(COUNTIFS(nNIA,DATOS!$A19752,nCURSO,DATOS!$D19752,nESPEC,DATOS!$E19752,nASIG,DATOS!$I19752,nEVAL,"OR")=0))</f>
      </c>
      <c r="I19752">
        <f>IF(DATOS!$I19752="","",IFERROR(VLOOKUP(DATOS!$I19752,CONFIG_ASIGNATURAS!$B$2:$J$91,9,FALSE()),""))</f>
      </c>
    </row>
    <row r="19753">
      <c r="F19753">
        <f>IF(DATOS!$A19753="","",DATOS!$A19753&amp;"|"&amp;DATOS!$D19753&amp;"|"&amp;DATOS!$E19753&amp;"|"&amp;DATOS!$I19753)</f>
      </c>
      <c r="G19753">
        <f>IF(DATOS!$A19753="",0,IF(CONFIG_METADATA!$B$4&lt;&gt;"OR+EX",--(DATOS!$G19753=CONFIG_METADATA!$B$4),IF(DATOS!$G19753="EX",1,IF(DATOS!$G19753="OR",--(COUNTIFS(nNIA,DATOS!$A19753,nCURSO,DATOS!$D19753,nESPEC,DATOS!$E19753,nASIG,DATOS!$I19753,nEVAL,"EX")=0),0))))</f>
      </c>
      <c r="H19753">
        <f>IF(DATOS!$G19753&lt;&gt;"EX",0,--(COUNTIFS(nNIA,DATOS!$A19753,nCURSO,DATOS!$D19753,nESPEC,DATOS!$E19753,nASIG,DATOS!$I19753,nEVAL,"OR")=0))</f>
      </c>
      <c r="I19753">
        <f>IF(DATOS!$I19753="","",IFERROR(VLOOKUP(DATOS!$I19753,CONFIG_ASIGNATURAS!$B$2:$J$91,9,FALSE()),""))</f>
      </c>
    </row>
    <row r="19754">
      <c r="F19754">
        <f>IF(DATOS!$A19754="","",DATOS!$A19754&amp;"|"&amp;DATOS!$D19754&amp;"|"&amp;DATOS!$E19754&amp;"|"&amp;DATOS!$I19754)</f>
      </c>
      <c r="G19754">
        <f>IF(DATOS!$A19754="",0,IF(CONFIG_METADATA!$B$4&lt;&gt;"OR+EX",--(DATOS!$G19754=CONFIG_METADATA!$B$4),IF(DATOS!$G19754="EX",1,IF(DATOS!$G19754="OR",--(COUNTIFS(nNIA,DATOS!$A19754,nCURSO,DATOS!$D19754,nESPEC,DATOS!$E19754,nASIG,DATOS!$I19754,nEVAL,"EX")=0),0))))</f>
      </c>
      <c r="H19754">
        <f>IF(DATOS!$G19754&lt;&gt;"EX",0,--(COUNTIFS(nNIA,DATOS!$A19754,nCURSO,DATOS!$D19754,nESPEC,DATOS!$E19754,nASIG,DATOS!$I19754,nEVAL,"OR")=0))</f>
      </c>
      <c r="I19754">
        <f>IF(DATOS!$I19754="","",IFERROR(VLOOKUP(DATOS!$I19754,CONFIG_ASIGNATURAS!$B$2:$J$91,9,FALSE()),""))</f>
      </c>
    </row>
    <row r="19755">
      <c r="F19755">
        <f>IF(DATOS!$A19755="","",DATOS!$A19755&amp;"|"&amp;DATOS!$D19755&amp;"|"&amp;DATOS!$E19755&amp;"|"&amp;DATOS!$I19755)</f>
      </c>
      <c r="G19755">
        <f>IF(DATOS!$A19755="",0,IF(CONFIG_METADATA!$B$4&lt;&gt;"OR+EX",--(DATOS!$G19755=CONFIG_METADATA!$B$4),IF(DATOS!$G19755="EX",1,IF(DATOS!$G19755="OR",--(COUNTIFS(nNIA,DATOS!$A19755,nCURSO,DATOS!$D19755,nESPEC,DATOS!$E19755,nASIG,DATOS!$I19755,nEVAL,"EX")=0),0))))</f>
      </c>
      <c r="H19755">
        <f>IF(DATOS!$G19755&lt;&gt;"EX",0,--(COUNTIFS(nNIA,DATOS!$A19755,nCURSO,DATOS!$D19755,nESPEC,DATOS!$E19755,nASIG,DATOS!$I19755,nEVAL,"OR")=0))</f>
      </c>
      <c r="I19755">
        <f>IF(DATOS!$I19755="","",IFERROR(VLOOKUP(DATOS!$I19755,CONFIG_ASIGNATURAS!$B$2:$J$91,9,FALSE()),""))</f>
      </c>
    </row>
    <row r="19756">
      <c r="F19756">
        <f>IF(DATOS!$A19756="","",DATOS!$A19756&amp;"|"&amp;DATOS!$D19756&amp;"|"&amp;DATOS!$E19756&amp;"|"&amp;DATOS!$I19756)</f>
      </c>
      <c r="G19756">
        <f>IF(DATOS!$A19756="",0,IF(CONFIG_METADATA!$B$4&lt;&gt;"OR+EX",--(DATOS!$G19756=CONFIG_METADATA!$B$4),IF(DATOS!$G19756="EX",1,IF(DATOS!$G19756="OR",--(COUNTIFS(nNIA,DATOS!$A19756,nCURSO,DATOS!$D19756,nESPEC,DATOS!$E19756,nASIG,DATOS!$I19756,nEVAL,"EX")=0),0))))</f>
      </c>
      <c r="H19756">
        <f>IF(DATOS!$G19756&lt;&gt;"EX",0,--(COUNTIFS(nNIA,DATOS!$A19756,nCURSO,DATOS!$D19756,nESPEC,DATOS!$E19756,nASIG,DATOS!$I19756,nEVAL,"OR")=0))</f>
      </c>
      <c r="I19756">
        <f>IF(DATOS!$I19756="","",IFERROR(VLOOKUP(DATOS!$I19756,CONFIG_ASIGNATURAS!$B$2:$J$91,9,FALSE()),""))</f>
      </c>
    </row>
    <row r="19757">
      <c r="F19757">
        <f>IF(DATOS!$A19757="","",DATOS!$A19757&amp;"|"&amp;DATOS!$D19757&amp;"|"&amp;DATOS!$E19757&amp;"|"&amp;DATOS!$I19757)</f>
      </c>
      <c r="G19757">
        <f>IF(DATOS!$A19757="",0,IF(CONFIG_METADATA!$B$4&lt;&gt;"OR+EX",--(DATOS!$G19757=CONFIG_METADATA!$B$4),IF(DATOS!$G19757="EX",1,IF(DATOS!$G19757="OR",--(COUNTIFS(nNIA,DATOS!$A19757,nCURSO,DATOS!$D19757,nESPEC,DATOS!$E19757,nASIG,DATOS!$I19757,nEVAL,"EX")=0),0))))</f>
      </c>
      <c r="H19757">
        <f>IF(DATOS!$G19757&lt;&gt;"EX",0,--(COUNTIFS(nNIA,DATOS!$A19757,nCURSO,DATOS!$D19757,nESPEC,DATOS!$E19757,nASIG,DATOS!$I19757,nEVAL,"OR")=0))</f>
      </c>
      <c r="I19757">
        <f>IF(DATOS!$I19757="","",IFERROR(VLOOKUP(DATOS!$I19757,CONFIG_ASIGNATURAS!$B$2:$J$91,9,FALSE()),""))</f>
      </c>
    </row>
    <row r="19758">
      <c r="F19758">
        <f>IF(DATOS!$A19758="","",DATOS!$A19758&amp;"|"&amp;DATOS!$D19758&amp;"|"&amp;DATOS!$E19758&amp;"|"&amp;DATOS!$I19758)</f>
      </c>
      <c r="G19758">
        <f>IF(DATOS!$A19758="",0,IF(CONFIG_METADATA!$B$4&lt;&gt;"OR+EX",--(DATOS!$G19758=CONFIG_METADATA!$B$4),IF(DATOS!$G19758="EX",1,IF(DATOS!$G19758="OR",--(COUNTIFS(nNIA,DATOS!$A19758,nCURSO,DATOS!$D19758,nESPEC,DATOS!$E19758,nASIG,DATOS!$I19758,nEVAL,"EX")=0),0))))</f>
      </c>
      <c r="H19758">
        <f>IF(DATOS!$G19758&lt;&gt;"EX",0,--(COUNTIFS(nNIA,DATOS!$A19758,nCURSO,DATOS!$D19758,nESPEC,DATOS!$E19758,nASIG,DATOS!$I19758,nEVAL,"OR")=0))</f>
      </c>
      <c r="I19758">
        <f>IF(DATOS!$I19758="","",IFERROR(VLOOKUP(DATOS!$I19758,CONFIG_ASIGNATURAS!$B$2:$J$91,9,FALSE()),""))</f>
      </c>
    </row>
    <row r="19759">
      <c r="F19759">
        <f>IF(DATOS!$A19759="","",DATOS!$A19759&amp;"|"&amp;DATOS!$D19759&amp;"|"&amp;DATOS!$E19759&amp;"|"&amp;DATOS!$I19759)</f>
      </c>
      <c r="G19759">
        <f>IF(DATOS!$A19759="",0,IF(CONFIG_METADATA!$B$4&lt;&gt;"OR+EX",--(DATOS!$G19759=CONFIG_METADATA!$B$4),IF(DATOS!$G19759="EX",1,IF(DATOS!$G19759="OR",--(COUNTIFS(nNIA,DATOS!$A19759,nCURSO,DATOS!$D19759,nESPEC,DATOS!$E19759,nASIG,DATOS!$I19759,nEVAL,"EX")=0),0))))</f>
      </c>
      <c r="H19759">
        <f>IF(DATOS!$G19759&lt;&gt;"EX",0,--(COUNTIFS(nNIA,DATOS!$A19759,nCURSO,DATOS!$D19759,nESPEC,DATOS!$E19759,nASIG,DATOS!$I19759,nEVAL,"OR")=0))</f>
      </c>
      <c r="I19759">
        <f>IF(DATOS!$I19759="","",IFERROR(VLOOKUP(DATOS!$I19759,CONFIG_ASIGNATURAS!$B$2:$J$91,9,FALSE()),""))</f>
      </c>
    </row>
    <row r="19760">
      <c r="F19760">
        <f>IF(DATOS!$A19760="","",DATOS!$A19760&amp;"|"&amp;DATOS!$D19760&amp;"|"&amp;DATOS!$E19760&amp;"|"&amp;DATOS!$I19760)</f>
      </c>
      <c r="G19760">
        <f>IF(DATOS!$A19760="",0,IF(CONFIG_METADATA!$B$4&lt;&gt;"OR+EX",--(DATOS!$G19760=CONFIG_METADATA!$B$4),IF(DATOS!$G19760="EX",1,IF(DATOS!$G19760="OR",--(COUNTIFS(nNIA,DATOS!$A19760,nCURSO,DATOS!$D19760,nESPEC,DATOS!$E19760,nASIG,DATOS!$I19760,nEVAL,"EX")=0),0))))</f>
      </c>
      <c r="H19760">
        <f>IF(DATOS!$G19760&lt;&gt;"EX",0,--(COUNTIFS(nNIA,DATOS!$A19760,nCURSO,DATOS!$D19760,nESPEC,DATOS!$E19760,nASIG,DATOS!$I19760,nEVAL,"OR")=0))</f>
      </c>
      <c r="I19760">
        <f>IF(DATOS!$I19760="","",IFERROR(VLOOKUP(DATOS!$I19760,CONFIG_ASIGNATURAS!$B$2:$J$91,9,FALSE()),""))</f>
      </c>
    </row>
    <row r="19761">
      <c r="F19761">
        <f>IF(DATOS!$A19761="","",DATOS!$A19761&amp;"|"&amp;DATOS!$D19761&amp;"|"&amp;DATOS!$E19761&amp;"|"&amp;DATOS!$I19761)</f>
      </c>
      <c r="G19761">
        <f>IF(DATOS!$A19761="",0,IF(CONFIG_METADATA!$B$4&lt;&gt;"OR+EX",--(DATOS!$G19761=CONFIG_METADATA!$B$4),IF(DATOS!$G19761="EX",1,IF(DATOS!$G19761="OR",--(COUNTIFS(nNIA,DATOS!$A19761,nCURSO,DATOS!$D19761,nESPEC,DATOS!$E19761,nASIG,DATOS!$I19761,nEVAL,"EX")=0),0))))</f>
      </c>
      <c r="H19761">
        <f>IF(DATOS!$G19761&lt;&gt;"EX",0,--(COUNTIFS(nNIA,DATOS!$A19761,nCURSO,DATOS!$D19761,nESPEC,DATOS!$E19761,nASIG,DATOS!$I19761,nEVAL,"OR")=0))</f>
      </c>
      <c r="I19761">
        <f>IF(DATOS!$I19761="","",IFERROR(VLOOKUP(DATOS!$I19761,CONFIG_ASIGNATURAS!$B$2:$J$91,9,FALSE()),""))</f>
      </c>
    </row>
    <row r="19762">
      <c r="F19762">
        <f>IF(DATOS!$A19762="","",DATOS!$A19762&amp;"|"&amp;DATOS!$D19762&amp;"|"&amp;DATOS!$E19762&amp;"|"&amp;DATOS!$I19762)</f>
      </c>
      <c r="G19762">
        <f>IF(DATOS!$A19762="",0,IF(CONFIG_METADATA!$B$4&lt;&gt;"OR+EX",--(DATOS!$G19762=CONFIG_METADATA!$B$4),IF(DATOS!$G19762="EX",1,IF(DATOS!$G19762="OR",--(COUNTIFS(nNIA,DATOS!$A19762,nCURSO,DATOS!$D19762,nESPEC,DATOS!$E19762,nASIG,DATOS!$I19762,nEVAL,"EX")=0),0))))</f>
      </c>
      <c r="H19762">
        <f>IF(DATOS!$G19762&lt;&gt;"EX",0,--(COUNTIFS(nNIA,DATOS!$A19762,nCURSO,DATOS!$D19762,nESPEC,DATOS!$E19762,nASIG,DATOS!$I19762,nEVAL,"OR")=0))</f>
      </c>
      <c r="I19762">
        <f>IF(DATOS!$I19762="","",IFERROR(VLOOKUP(DATOS!$I19762,CONFIG_ASIGNATURAS!$B$2:$J$91,9,FALSE()),""))</f>
      </c>
    </row>
    <row r="19763">
      <c r="F19763">
        <f>IF(DATOS!$A19763="","",DATOS!$A19763&amp;"|"&amp;DATOS!$D19763&amp;"|"&amp;DATOS!$E19763&amp;"|"&amp;DATOS!$I19763)</f>
      </c>
      <c r="G19763">
        <f>IF(DATOS!$A19763="",0,IF(CONFIG_METADATA!$B$4&lt;&gt;"OR+EX",--(DATOS!$G19763=CONFIG_METADATA!$B$4),IF(DATOS!$G19763="EX",1,IF(DATOS!$G19763="OR",--(COUNTIFS(nNIA,DATOS!$A19763,nCURSO,DATOS!$D19763,nESPEC,DATOS!$E19763,nASIG,DATOS!$I19763,nEVAL,"EX")=0),0))))</f>
      </c>
      <c r="H19763">
        <f>IF(DATOS!$G19763&lt;&gt;"EX",0,--(COUNTIFS(nNIA,DATOS!$A19763,nCURSO,DATOS!$D19763,nESPEC,DATOS!$E19763,nASIG,DATOS!$I19763,nEVAL,"OR")=0))</f>
      </c>
      <c r="I19763">
        <f>IF(DATOS!$I19763="","",IFERROR(VLOOKUP(DATOS!$I19763,CONFIG_ASIGNATURAS!$B$2:$J$91,9,FALSE()),""))</f>
      </c>
    </row>
    <row r="19764">
      <c r="F19764">
        <f>IF(DATOS!$A19764="","",DATOS!$A19764&amp;"|"&amp;DATOS!$D19764&amp;"|"&amp;DATOS!$E19764&amp;"|"&amp;DATOS!$I19764)</f>
      </c>
      <c r="G19764">
        <f>IF(DATOS!$A19764="",0,IF(CONFIG_METADATA!$B$4&lt;&gt;"OR+EX",--(DATOS!$G19764=CONFIG_METADATA!$B$4),IF(DATOS!$G19764="EX",1,IF(DATOS!$G19764="OR",--(COUNTIFS(nNIA,DATOS!$A19764,nCURSO,DATOS!$D19764,nESPEC,DATOS!$E19764,nASIG,DATOS!$I19764,nEVAL,"EX")=0),0))))</f>
      </c>
      <c r="H19764">
        <f>IF(DATOS!$G19764&lt;&gt;"EX",0,--(COUNTIFS(nNIA,DATOS!$A19764,nCURSO,DATOS!$D19764,nESPEC,DATOS!$E19764,nASIG,DATOS!$I19764,nEVAL,"OR")=0))</f>
      </c>
      <c r="I19764">
        <f>IF(DATOS!$I19764="","",IFERROR(VLOOKUP(DATOS!$I19764,CONFIG_ASIGNATURAS!$B$2:$J$91,9,FALSE()),""))</f>
      </c>
    </row>
    <row r="19765">
      <c r="F19765">
        <f>IF(DATOS!$A19765="","",DATOS!$A19765&amp;"|"&amp;DATOS!$D19765&amp;"|"&amp;DATOS!$E19765&amp;"|"&amp;DATOS!$I19765)</f>
      </c>
      <c r="G19765">
        <f>IF(DATOS!$A19765="",0,IF(CONFIG_METADATA!$B$4&lt;&gt;"OR+EX",--(DATOS!$G19765=CONFIG_METADATA!$B$4),IF(DATOS!$G19765="EX",1,IF(DATOS!$G19765="OR",--(COUNTIFS(nNIA,DATOS!$A19765,nCURSO,DATOS!$D19765,nESPEC,DATOS!$E19765,nASIG,DATOS!$I19765,nEVAL,"EX")=0),0))))</f>
      </c>
      <c r="H19765">
        <f>IF(DATOS!$G19765&lt;&gt;"EX",0,--(COUNTIFS(nNIA,DATOS!$A19765,nCURSO,DATOS!$D19765,nESPEC,DATOS!$E19765,nASIG,DATOS!$I19765,nEVAL,"OR")=0))</f>
      </c>
      <c r="I19765">
        <f>IF(DATOS!$I19765="","",IFERROR(VLOOKUP(DATOS!$I19765,CONFIG_ASIGNATURAS!$B$2:$J$91,9,FALSE()),""))</f>
      </c>
    </row>
    <row r="19766">
      <c r="F19766">
        <f>IF(DATOS!$A19766="","",DATOS!$A19766&amp;"|"&amp;DATOS!$D19766&amp;"|"&amp;DATOS!$E19766&amp;"|"&amp;DATOS!$I19766)</f>
      </c>
      <c r="G19766">
        <f>IF(DATOS!$A19766="",0,IF(CONFIG_METADATA!$B$4&lt;&gt;"OR+EX",--(DATOS!$G19766=CONFIG_METADATA!$B$4),IF(DATOS!$G19766="EX",1,IF(DATOS!$G19766="OR",--(COUNTIFS(nNIA,DATOS!$A19766,nCURSO,DATOS!$D19766,nESPEC,DATOS!$E19766,nASIG,DATOS!$I19766,nEVAL,"EX")=0),0))))</f>
      </c>
      <c r="H19766">
        <f>IF(DATOS!$G19766&lt;&gt;"EX",0,--(COUNTIFS(nNIA,DATOS!$A19766,nCURSO,DATOS!$D19766,nESPEC,DATOS!$E19766,nASIG,DATOS!$I19766,nEVAL,"OR")=0))</f>
      </c>
      <c r="I19766">
        <f>IF(DATOS!$I19766="","",IFERROR(VLOOKUP(DATOS!$I19766,CONFIG_ASIGNATURAS!$B$2:$J$91,9,FALSE()),""))</f>
      </c>
    </row>
    <row r="19767">
      <c r="F19767">
        <f>IF(DATOS!$A19767="","",DATOS!$A19767&amp;"|"&amp;DATOS!$D19767&amp;"|"&amp;DATOS!$E19767&amp;"|"&amp;DATOS!$I19767)</f>
      </c>
      <c r="G19767">
        <f>IF(DATOS!$A19767="",0,IF(CONFIG_METADATA!$B$4&lt;&gt;"OR+EX",--(DATOS!$G19767=CONFIG_METADATA!$B$4),IF(DATOS!$G19767="EX",1,IF(DATOS!$G19767="OR",--(COUNTIFS(nNIA,DATOS!$A19767,nCURSO,DATOS!$D19767,nESPEC,DATOS!$E19767,nASIG,DATOS!$I19767,nEVAL,"EX")=0),0))))</f>
      </c>
      <c r="H19767">
        <f>IF(DATOS!$G19767&lt;&gt;"EX",0,--(COUNTIFS(nNIA,DATOS!$A19767,nCURSO,DATOS!$D19767,nESPEC,DATOS!$E19767,nASIG,DATOS!$I19767,nEVAL,"OR")=0))</f>
      </c>
      <c r="I19767">
        <f>IF(DATOS!$I19767="","",IFERROR(VLOOKUP(DATOS!$I19767,CONFIG_ASIGNATURAS!$B$2:$J$91,9,FALSE()),""))</f>
      </c>
    </row>
    <row r="19768">
      <c r="F19768">
        <f>IF(DATOS!$A19768="","",DATOS!$A19768&amp;"|"&amp;DATOS!$D19768&amp;"|"&amp;DATOS!$E19768&amp;"|"&amp;DATOS!$I19768)</f>
      </c>
      <c r="G19768">
        <f>IF(DATOS!$A19768="",0,IF(CONFIG_METADATA!$B$4&lt;&gt;"OR+EX",--(DATOS!$G19768=CONFIG_METADATA!$B$4),IF(DATOS!$G19768="EX",1,IF(DATOS!$G19768="OR",--(COUNTIFS(nNIA,DATOS!$A19768,nCURSO,DATOS!$D19768,nESPEC,DATOS!$E19768,nASIG,DATOS!$I19768,nEVAL,"EX")=0),0))))</f>
      </c>
      <c r="H19768">
        <f>IF(DATOS!$G19768&lt;&gt;"EX",0,--(COUNTIFS(nNIA,DATOS!$A19768,nCURSO,DATOS!$D19768,nESPEC,DATOS!$E19768,nASIG,DATOS!$I19768,nEVAL,"OR")=0))</f>
      </c>
      <c r="I19768">
        <f>IF(DATOS!$I19768="","",IFERROR(VLOOKUP(DATOS!$I19768,CONFIG_ASIGNATURAS!$B$2:$J$91,9,FALSE()),""))</f>
      </c>
    </row>
    <row r="19769">
      <c r="F19769">
        <f>IF(DATOS!$A19769="","",DATOS!$A19769&amp;"|"&amp;DATOS!$D19769&amp;"|"&amp;DATOS!$E19769&amp;"|"&amp;DATOS!$I19769)</f>
      </c>
      <c r="G19769">
        <f>IF(DATOS!$A19769="",0,IF(CONFIG_METADATA!$B$4&lt;&gt;"OR+EX",--(DATOS!$G19769=CONFIG_METADATA!$B$4),IF(DATOS!$G19769="EX",1,IF(DATOS!$G19769="OR",--(COUNTIFS(nNIA,DATOS!$A19769,nCURSO,DATOS!$D19769,nESPEC,DATOS!$E19769,nASIG,DATOS!$I19769,nEVAL,"EX")=0),0))))</f>
      </c>
      <c r="H19769">
        <f>IF(DATOS!$G19769&lt;&gt;"EX",0,--(COUNTIFS(nNIA,DATOS!$A19769,nCURSO,DATOS!$D19769,nESPEC,DATOS!$E19769,nASIG,DATOS!$I19769,nEVAL,"OR")=0))</f>
      </c>
      <c r="I19769">
        <f>IF(DATOS!$I19769="","",IFERROR(VLOOKUP(DATOS!$I19769,CONFIG_ASIGNATURAS!$B$2:$J$91,9,FALSE()),""))</f>
      </c>
    </row>
    <row r="19770">
      <c r="F19770">
        <f>IF(DATOS!$A19770="","",DATOS!$A19770&amp;"|"&amp;DATOS!$D19770&amp;"|"&amp;DATOS!$E19770&amp;"|"&amp;DATOS!$I19770)</f>
      </c>
      <c r="G19770">
        <f>IF(DATOS!$A19770="",0,IF(CONFIG_METADATA!$B$4&lt;&gt;"OR+EX",--(DATOS!$G19770=CONFIG_METADATA!$B$4),IF(DATOS!$G19770="EX",1,IF(DATOS!$G19770="OR",--(COUNTIFS(nNIA,DATOS!$A19770,nCURSO,DATOS!$D19770,nESPEC,DATOS!$E19770,nASIG,DATOS!$I19770,nEVAL,"EX")=0),0))))</f>
      </c>
      <c r="H19770">
        <f>IF(DATOS!$G19770&lt;&gt;"EX",0,--(COUNTIFS(nNIA,DATOS!$A19770,nCURSO,DATOS!$D19770,nESPEC,DATOS!$E19770,nASIG,DATOS!$I19770,nEVAL,"OR")=0))</f>
      </c>
      <c r="I19770">
        <f>IF(DATOS!$I19770="","",IFERROR(VLOOKUP(DATOS!$I19770,CONFIG_ASIGNATURAS!$B$2:$J$91,9,FALSE()),""))</f>
      </c>
    </row>
    <row r="19771">
      <c r="F19771">
        <f>IF(DATOS!$A19771="","",DATOS!$A19771&amp;"|"&amp;DATOS!$D19771&amp;"|"&amp;DATOS!$E19771&amp;"|"&amp;DATOS!$I19771)</f>
      </c>
      <c r="G19771">
        <f>IF(DATOS!$A19771="",0,IF(CONFIG_METADATA!$B$4&lt;&gt;"OR+EX",--(DATOS!$G19771=CONFIG_METADATA!$B$4),IF(DATOS!$G19771="EX",1,IF(DATOS!$G19771="OR",--(COUNTIFS(nNIA,DATOS!$A19771,nCURSO,DATOS!$D19771,nESPEC,DATOS!$E19771,nASIG,DATOS!$I19771,nEVAL,"EX")=0),0))))</f>
      </c>
      <c r="H19771">
        <f>IF(DATOS!$G19771&lt;&gt;"EX",0,--(COUNTIFS(nNIA,DATOS!$A19771,nCURSO,DATOS!$D19771,nESPEC,DATOS!$E19771,nASIG,DATOS!$I19771,nEVAL,"OR")=0))</f>
      </c>
      <c r="I19771">
        <f>IF(DATOS!$I19771="","",IFERROR(VLOOKUP(DATOS!$I19771,CONFIG_ASIGNATURAS!$B$2:$J$91,9,FALSE()),""))</f>
      </c>
    </row>
    <row r="19772">
      <c r="F19772">
        <f>IF(DATOS!$A19772="","",DATOS!$A19772&amp;"|"&amp;DATOS!$D19772&amp;"|"&amp;DATOS!$E19772&amp;"|"&amp;DATOS!$I19772)</f>
      </c>
      <c r="G19772">
        <f>IF(DATOS!$A19772="",0,IF(CONFIG_METADATA!$B$4&lt;&gt;"OR+EX",--(DATOS!$G19772=CONFIG_METADATA!$B$4),IF(DATOS!$G19772="EX",1,IF(DATOS!$G19772="OR",--(COUNTIFS(nNIA,DATOS!$A19772,nCURSO,DATOS!$D19772,nESPEC,DATOS!$E19772,nASIG,DATOS!$I19772,nEVAL,"EX")=0),0))))</f>
      </c>
      <c r="H19772">
        <f>IF(DATOS!$G19772&lt;&gt;"EX",0,--(COUNTIFS(nNIA,DATOS!$A19772,nCURSO,DATOS!$D19772,nESPEC,DATOS!$E19772,nASIG,DATOS!$I19772,nEVAL,"OR")=0))</f>
      </c>
      <c r="I19772">
        <f>IF(DATOS!$I19772="","",IFERROR(VLOOKUP(DATOS!$I19772,CONFIG_ASIGNATURAS!$B$2:$J$91,9,FALSE()),""))</f>
      </c>
    </row>
    <row r="19773">
      <c r="F19773">
        <f>IF(DATOS!$A19773="","",DATOS!$A19773&amp;"|"&amp;DATOS!$D19773&amp;"|"&amp;DATOS!$E19773&amp;"|"&amp;DATOS!$I19773)</f>
      </c>
      <c r="G19773">
        <f>IF(DATOS!$A19773="",0,IF(CONFIG_METADATA!$B$4&lt;&gt;"OR+EX",--(DATOS!$G19773=CONFIG_METADATA!$B$4),IF(DATOS!$G19773="EX",1,IF(DATOS!$G19773="OR",--(COUNTIFS(nNIA,DATOS!$A19773,nCURSO,DATOS!$D19773,nESPEC,DATOS!$E19773,nASIG,DATOS!$I19773,nEVAL,"EX")=0),0))))</f>
      </c>
      <c r="H19773">
        <f>IF(DATOS!$G19773&lt;&gt;"EX",0,--(COUNTIFS(nNIA,DATOS!$A19773,nCURSO,DATOS!$D19773,nESPEC,DATOS!$E19773,nASIG,DATOS!$I19773,nEVAL,"OR")=0))</f>
      </c>
      <c r="I19773">
        <f>IF(DATOS!$I19773="","",IFERROR(VLOOKUP(DATOS!$I19773,CONFIG_ASIGNATURAS!$B$2:$J$91,9,FALSE()),""))</f>
      </c>
    </row>
    <row r="19774">
      <c r="F19774">
        <f>IF(DATOS!$A19774="","",DATOS!$A19774&amp;"|"&amp;DATOS!$D19774&amp;"|"&amp;DATOS!$E19774&amp;"|"&amp;DATOS!$I19774)</f>
      </c>
      <c r="G19774">
        <f>IF(DATOS!$A19774="",0,IF(CONFIG_METADATA!$B$4&lt;&gt;"OR+EX",--(DATOS!$G19774=CONFIG_METADATA!$B$4),IF(DATOS!$G19774="EX",1,IF(DATOS!$G19774="OR",--(COUNTIFS(nNIA,DATOS!$A19774,nCURSO,DATOS!$D19774,nESPEC,DATOS!$E19774,nASIG,DATOS!$I19774,nEVAL,"EX")=0),0))))</f>
      </c>
      <c r="H19774">
        <f>IF(DATOS!$G19774&lt;&gt;"EX",0,--(COUNTIFS(nNIA,DATOS!$A19774,nCURSO,DATOS!$D19774,nESPEC,DATOS!$E19774,nASIG,DATOS!$I19774,nEVAL,"OR")=0))</f>
      </c>
      <c r="I19774">
        <f>IF(DATOS!$I19774="","",IFERROR(VLOOKUP(DATOS!$I19774,CONFIG_ASIGNATURAS!$B$2:$J$91,9,FALSE()),""))</f>
      </c>
    </row>
    <row r="19775">
      <c r="F19775">
        <f>IF(DATOS!$A19775="","",DATOS!$A19775&amp;"|"&amp;DATOS!$D19775&amp;"|"&amp;DATOS!$E19775&amp;"|"&amp;DATOS!$I19775)</f>
      </c>
      <c r="G19775">
        <f>IF(DATOS!$A19775="",0,IF(CONFIG_METADATA!$B$4&lt;&gt;"OR+EX",--(DATOS!$G19775=CONFIG_METADATA!$B$4),IF(DATOS!$G19775="EX",1,IF(DATOS!$G19775="OR",--(COUNTIFS(nNIA,DATOS!$A19775,nCURSO,DATOS!$D19775,nESPEC,DATOS!$E19775,nASIG,DATOS!$I19775,nEVAL,"EX")=0),0))))</f>
      </c>
      <c r="H19775">
        <f>IF(DATOS!$G19775&lt;&gt;"EX",0,--(COUNTIFS(nNIA,DATOS!$A19775,nCURSO,DATOS!$D19775,nESPEC,DATOS!$E19775,nASIG,DATOS!$I19775,nEVAL,"OR")=0))</f>
      </c>
      <c r="I19775">
        <f>IF(DATOS!$I19775="","",IFERROR(VLOOKUP(DATOS!$I19775,CONFIG_ASIGNATURAS!$B$2:$J$91,9,FALSE()),""))</f>
      </c>
    </row>
    <row r="19776">
      <c r="F19776">
        <f>IF(DATOS!$A19776="","",DATOS!$A19776&amp;"|"&amp;DATOS!$D19776&amp;"|"&amp;DATOS!$E19776&amp;"|"&amp;DATOS!$I19776)</f>
      </c>
      <c r="G19776">
        <f>IF(DATOS!$A19776="",0,IF(CONFIG_METADATA!$B$4&lt;&gt;"OR+EX",--(DATOS!$G19776=CONFIG_METADATA!$B$4),IF(DATOS!$G19776="EX",1,IF(DATOS!$G19776="OR",--(COUNTIFS(nNIA,DATOS!$A19776,nCURSO,DATOS!$D19776,nESPEC,DATOS!$E19776,nASIG,DATOS!$I19776,nEVAL,"EX")=0),0))))</f>
      </c>
      <c r="H19776">
        <f>IF(DATOS!$G19776&lt;&gt;"EX",0,--(COUNTIFS(nNIA,DATOS!$A19776,nCURSO,DATOS!$D19776,nESPEC,DATOS!$E19776,nASIG,DATOS!$I19776,nEVAL,"OR")=0))</f>
      </c>
      <c r="I19776">
        <f>IF(DATOS!$I19776="","",IFERROR(VLOOKUP(DATOS!$I19776,CONFIG_ASIGNATURAS!$B$2:$J$91,9,FALSE()),""))</f>
      </c>
    </row>
    <row r="19777">
      <c r="F19777">
        <f>IF(DATOS!$A19777="","",DATOS!$A19777&amp;"|"&amp;DATOS!$D19777&amp;"|"&amp;DATOS!$E19777&amp;"|"&amp;DATOS!$I19777)</f>
      </c>
      <c r="G19777">
        <f>IF(DATOS!$A19777="",0,IF(CONFIG_METADATA!$B$4&lt;&gt;"OR+EX",--(DATOS!$G19777=CONFIG_METADATA!$B$4),IF(DATOS!$G19777="EX",1,IF(DATOS!$G19777="OR",--(COUNTIFS(nNIA,DATOS!$A19777,nCURSO,DATOS!$D19777,nESPEC,DATOS!$E19777,nASIG,DATOS!$I19777,nEVAL,"EX")=0),0))))</f>
      </c>
      <c r="H19777">
        <f>IF(DATOS!$G19777&lt;&gt;"EX",0,--(COUNTIFS(nNIA,DATOS!$A19777,nCURSO,DATOS!$D19777,nESPEC,DATOS!$E19777,nASIG,DATOS!$I19777,nEVAL,"OR")=0))</f>
      </c>
      <c r="I19777">
        <f>IF(DATOS!$I19777="","",IFERROR(VLOOKUP(DATOS!$I19777,CONFIG_ASIGNATURAS!$B$2:$J$91,9,FALSE()),""))</f>
      </c>
    </row>
    <row r="19778">
      <c r="F19778">
        <f>IF(DATOS!$A19778="","",DATOS!$A19778&amp;"|"&amp;DATOS!$D19778&amp;"|"&amp;DATOS!$E19778&amp;"|"&amp;DATOS!$I19778)</f>
      </c>
      <c r="G19778">
        <f>IF(DATOS!$A19778="",0,IF(CONFIG_METADATA!$B$4&lt;&gt;"OR+EX",--(DATOS!$G19778=CONFIG_METADATA!$B$4),IF(DATOS!$G19778="EX",1,IF(DATOS!$G19778="OR",--(COUNTIFS(nNIA,DATOS!$A19778,nCURSO,DATOS!$D19778,nESPEC,DATOS!$E19778,nASIG,DATOS!$I19778,nEVAL,"EX")=0),0))))</f>
      </c>
      <c r="H19778">
        <f>IF(DATOS!$G19778&lt;&gt;"EX",0,--(COUNTIFS(nNIA,DATOS!$A19778,nCURSO,DATOS!$D19778,nESPEC,DATOS!$E19778,nASIG,DATOS!$I19778,nEVAL,"OR")=0))</f>
      </c>
      <c r="I19778">
        <f>IF(DATOS!$I19778="","",IFERROR(VLOOKUP(DATOS!$I19778,CONFIG_ASIGNATURAS!$B$2:$J$91,9,FALSE()),""))</f>
      </c>
    </row>
    <row r="19779">
      <c r="F19779">
        <f>IF(DATOS!$A19779="","",DATOS!$A19779&amp;"|"&amp;DATOS!$D19779&amp;"|"&amp;DATOS!$E19779&amp;"|"&amp;DATOS!$I19779)</f>
      </c>
      <c r="G19779">
        <f>IF(DATOS!$A19779="",0,IF(CONFIG_METADATA!$B$4&lt;&gt;"OR+EX",--(DATOS!$G19779=CONFIG_METADATA!$B$4),IF(DATOS!$G19779="EX",1,IF(DATOS!$G19779="OR",--(COUNTIFS(nNIA,DATOS!$A19779,nCURSO,DATOS!$D19779,nESPEC,DATOS!$E19779,nASIG,DATOS!$I19779,nEVAL,"EX")=0),0))))</f>
      </c>
      <c r="H19779">
        <f>IF(DATOS!$G19779&lt;&gt;"EX",0,--(COUNTIFS(nNIA,DATOS!$A19779,nCURSO,DATOS!$D19779,nESPEC,DATOS!$E19779,nASIG,DATOS!$I19779,nEVAL,"OR")=0))</f>
      </c>
      <c r="I19779">
        <f>IF(DATOS!$I19779="","",IFERROR(VLOOKUP(DATOS!$I19779,CONFIG_ASIGNATURAS!$B$2:$J$91,9,FALSE()),""))</f>
      </c>
    </row>
    <row r="19780">
      <c r="F19780">
        <f>IF(DATOS!$A19780="","",DATOS!$A19780&amp;"|"&amp;DATOS!$D19780&amp;"|"&amp;DATOS!$E19780&amp;"|"&amp;DATOS!$I19780)</f>
      </c>
      <c r="G19780">
        <f>IF(DATOS!$A19780="",0,IF(CONFIG_METADATA!$B$4&lt;&gt;"OR+EX",--(DATOS!$G19780=CONFIG_METADATA!$B$4),IF(DATOS!$G19780="EX",1,IF(DATOS!$G19780="OR",--(COUNTIFS(nNIA,DATOS!$A19780,nCURSO,DATOS!$D19780,nESPEC,DATOS!$E19780,nASIG,DATOS!$I19780,nEVAL,"EX")=0),0))))</f>
      </c>
      <c r="H19780">
        <f>IF(DATOS!$G19780&lt;&gt;"EX",0,--(COUNTIFS(nNIA,DATOS!$A19780,nCURSO,DATOS!$D19780,nESPEC,DATOS!$E19780,nASIG,DATOS!$I19780,nEVAL,"OR")=0))</f>
      </c>
      <c r="I19780">
        <f>IF(DATOS!$I19780="","",IFERROR(VLOOKUP(DATOS!$I19780,CONFIG_ASIGNATURAS!$B$2:$J$91,9,FALSE()),""))</f>
      </c>
    </row>
    <row r="19781">
      <c r="F19781">
        <f>IF(DATOS!$A19781="","",DATOS!$A19781&amp;"|"&amp;DATOS!$D19781&amp;"|"&amp;DATOS!$E19781&amp;"|"&amp;DATOS!$I19781)</f>
      </c>
      <c r="G19781">
        <f>IF(DATOS!$A19781="",0,IF(CONFIG_METADATA!$B$4&lt;&gt;"OR+EX",--(DATOS!$G19781=CONFIG_METADATA!$B$4),IF(DATOS!$G19781="EX",1,IF(DATOS!$G19781="OR",--(COUNTIFS(nNIA,DATOS!$A19781,nCURSO,DATOS!$D19781,nESPEC,DATOS!$E19781,nASIG,DATOS!$I19781,nEVAL,"EX")=0),0))))</f>
      </c>
      <c r="H19781">
        <f>IF(DATOS!$G19781&lt;&gt;"EX",0,--(COUNTIFS(nNIA,DATOS!$A19781,nCURSO,DATOS!$D19781,nESPEC,DATOS!$E19781,nASIG,DATOS!$I19781,nEVAL,"OR")=0))</f>
      </c>
      <c r="I19781">
        <f>IF(DATOS!$I19781="","",IFERROR(VLOOKUP(DATOS!$I19781,CONFIG_ASIGNATURAS!$B$2:$J$91,9,FALSE()),""))</f>
      </c>
    </row>
    <row r="19782">
      <c r="F19782">
        <f>IF(DATOS!$A19782="","",DATOS!$A19782&amp;"|"&amp;DATOS!$D19782&amp;"|"&amp;DATOS!$E19782&amp;"|"&amp;DATOS!$I19782)</f>
      </c>
      <c r="G19782">
        <f>IF(DATOS!$A19782="",0,IF(CONFIG_METADATA!$B$4&lt;&gt;"OR+EX",--(DATOS!$G19782=CONFIG_METADATA!$B$4),IF(DATOS!$G19782="EX",1,IF(DATOS!$G19782="OR",--(COUNTIFS(nNIA,DATOS!$A19782,nCURSO,DATOS!$D19782,nESPEC,DATOS!$E19782,nASIG,DATOS!$I19782,nEVAL,"EX")=0),0))))</f>
      </c>
      <c r="H19782">
        <f>IF(DATOS!$G19782&lt;&gt;"EX",0,--(COUNTIFS(nNIA,DATOS!$A19782,nCURSO,DATOS!$D19782,nESPEC,DATOS!$E19782,nASIG,DATOS!$I19782,nEVAL,"OR")=0))</f>
      </c>
      <c r="I19782">
        <f>IF(DATOS!$I19782="","",IFERROR(VLOOKUP(DATOS!$I19782,CONFIG_ASIGNATURAS!$B$2:$J$91,9,FALSE()),""))</f>
      </c>
    </row>
    <row r="19783">
      <c r="F19783">
        <f>IF(DATOS!$A19783="","",DATOS!$A19783&amp;"|"&amp;DATOS!$D19783&amp;"|"&amp;DATOS!$E19783&amp;"|"&amp;DATOS!$I19783)</f>
      </c>
      <c r="G19783">
        <f>IF(DATOS!$A19783="",0,IF(CONFIG_METADATA!$B$4&lt;&gt;"OR+EX",--(DATOS!$G19783=CONFIG_METADATA!$B$4),IF(DATOS!$G19783="EX",1,IF(DATOS!$G19783="OR",--(COUNTIFS(nNIA,DATOS!$A19783,nCURSO,DATOS!$D19783,nESPEC,DATOS!$E19783,nASIG,DATOS!$I19783,nEVAL,"EX")=0),0))))</f>
      </c>
      <c r="H19783">
        <f>IF(DATOS!$G19783&lt;&gt;"EX",0,--(COUNTIFS(nNIA,DATOS!$A19783,nCURSO,DATOS!$D19783,nESPEC,DATOS!$E19783,nASIG,DATOS!$I19783,nEVAL,"OR")=0))</f>
      </c>
      <c r="I19783">
        <f>IF(DATOS!$I19783="","",IFERROR(VLOOKUP(DATOS!$I19783,CONFIG_ASIGNATURAS!$B$2:$J$91,9,FALSE()),""))</f>
      </c>
    </row>
    <row r="19784">
      <c r="F19784">
        <f>IF(DATOS!$A19784="","",DATOS!$A19784&amp;"|"&amp;DATOS!$D19784&amp;"|"&amp;DATOS!$E19784&amp;"|"&amp;DATOS!$I19784)</f>
      </c>
      <c r="G19784">
        <f>IF(DATOS!$A19784="",0,IF(CONFIG_METADATA!$B$4&lt;&gt;"OR+EX",--(DATOS!$G19784=CONFIG_METADATA!$B$4),IF(DATOS!$G19784="EX",1,IF(DATOS!$G19784="OR",--(COUNTIFS(nNIA,DATOS!$A19784,nCURSO,DATOS!$D19784,nESPEC,DATOS!$E19784,nASIG,DATOS!$I19784,nEVAL,"EX")=0),0))))</f>
      </c>
      <c r="H19784">
        <f>IF(DATOS!$G19784&lt;&gt;"EX",0,--(COUNTIFS(nNIA,DATOS!$A19784,nCURSO,DATOS!$D19784,nESPEC,DATOS!$E19784,nASIG,DATOS!$I19784,nEVAL,"OR")=0))</f>
      </c>
      <c r="I19784">
        <f>IF(DATOS!$I19784="","",IFERROR(VLOOKUP(DATOS!$I19784,CONFIG_ASIGNATURAS!$B$2:$J$91,9,FALSE()),""))</f>
      </c>
    </row>
    <row r="19785">
      <c r="F19785">
        <f>IF(DATOS!$A19785="","",DATOS!$A19785&amp;"|"&amp;DATOS!$D19785&amp;"|"&amp;DATOS!$E19785&amp;"|"&amp;DATOS!$I19785)</f>
      </c>
      <c r="G19785">
        <f>IF(DATOS!$A19785="",0,IF(CONFIG_METADATA!$B$4&lt;&gt;"OR+EX",--(DATOS!$G19785=CONFIG_METADATA!$B$4),IF(DATOS!$G19785="EX",1,IF(DATOS!$G19785="OR",--(COUNTIFS(nNIA,DATOS!$A19785,nCURSO,DATOS!$D19785,nESPEC,DATOS!$E19785,nASIG,DATOS!$I19785,nEVAL,"EX")=0),0))))</f>
      </c>
      <c r="H19785">
        <f>IF(DATOS!$G19785&lt;&gt;"EX",0,--(COUNTIFS(nNIA,DATOS!$A19785,nCURSO,DATOS!$D19785,nESPEC,DATOS!$E19785,nASIG,DATOS!$I19785,nEVAL,"OR")=0))</f>
      </c>
      <c r="I19785">
        <f>IF(DATOS!$I19785="","",IFERROR(VLOOKUP(DATOS!$I19785,CONFIG_ASIGNATURAS!$B$2:$J$91,9,FALSE()),""))</f>
      </c>
    </row>
    <row r="19786">
      <c r="F19786">
        <f>IF(DATOS!$A19786="","",DATOS!$A19786&amp;"|"&amp;DATOS!$D19786&amp;"|"&amp;DATOS!$E19786&amp;"|"&amp;DATOS!$I19786)</f>
      </c>
      <c r="G19786">
        <f>IF(DATOS!$A19786="",0,IF(CONFIG_METADATA!$B$4&lt;&gt;"OR+EX",--(DATOS!$G19786=CONFIG_METADATA!$B$4),IF(DATOS!$G19786="EX",1,IF(DATOS!$G19786="OR",--(COUNTIFS(nNIA,DATOS!$A19786,nCURSO,DATOS!$D19786,nESPEC,DATOS!$E19786,nASIG,DATOS!$I19786,nEVAL,"EX")=0),0))))</f>
      </c>
      <c r="H19786">
        <f>IF(DATOS!$G19786&lt;&gt;"EX",0,--(COUNTIFS(nNIA,DATOS!$A19786,nCURSO,DATOS!$D19786,nESPEC,DATOS!$E19786,nASIG,DATOS!$I19786,nEVAL,"OR")=0))</f>
      </c>
      <c r="I19786">
        <f>IF(DATOS!$I19786="","",IFERROR(VLOOKUP(DATOS!$I19786,CONFIG_ASIGNATURAS!$B$2:$J$91,9,FALSE()),""))</f>
      </c>
    </row>
    <row r="19787">
      <c r="F19787">
        <f>IF(DATOS!$A19787="","",DATOS!$A19787&amp;"|"&amp;DATOS!$D19787&amp;"|"&amp;DATOS!$E19787&amp;"|"&amp;DATOS!$I19787)</f>
      </c>
      <c r="G19787">
        <f>IF(DATOS!$A19787="",0,IF(CONFIG_METADATA!$B$4&lt;&gt;"OR+EX",--(DATOS!$G19787=CONFIG_METADATA!$B$4),IF(DATOS!$G19787="EX",1,IF(DATOS!$G19787="OR",--(COUNTIFS(nNIA,DATOS!$A19787,nCURSO,DATOS!$D19787,nESPEC,DATOS!$E19787,nASIG,DATOS!$I19787,nEVAL,"EX")=0),0))))</f>
      </c>
      <c r="H19787">
        <f>IF(DATOS!$G19787&lt;&gt;"EX",0,--(COUNTIFS(nNIA,DATOS!$A19787,nCURSO,DATOS!$D19787,nESPEC,DATOS!$E19787,nASIG,DATOS!$I19787,nEVAL,"OR")=0))</f>
      </c>
      <c r="I19787">
        <f>IF(DATOS!$I19787="","",IFERROR(VLOOKUP(DATOS!$I19787,CONFIG_ASIGNATURAS!$B$2:$J$91,9,FALSE()),""))</f>
      </c>
    </row>
    <row r="19788">
      <c r="F19788">
        <f>IF(DATOS!$A19788="","",DATOS!$A19788&amp;"|"&amp;DATOS!$D19788&amp;"|"&amp;DATOS!$E19788&amp;"|"&amp;DATOS!$I19788)</f>
      </c>
      <c r="G19788">
        <f>IF(DATOS!$A19788="",0,IF(CONFIG_METADATA!$B$4&lt;&gt;"OR+EX",--(DATOS!$G19788=CONFIG_METADATA!$B$4),IF(DATOS!$G19788="EX",1,IF(DATOS!$G19788="OR",--(COUNTIFS(nNIA,DATOS!$A19788,nCURSO,DATOS!$D19788,nESPEC,DATOS!$E19788,nASIG,DATOS!$I19788,nEVAL,"EX")=0),0))))</f>
      </c>
      <c r="H19788">
        <f>IF(DATOS!$G19788&lt;&gt;"EX",0,--(COUNTIFS(nNIA,DATOS!$A19788,nCURSO,DATOS!$D19788,nESPEC,DATOS!$E19788,nASIG,DATOS!$I19788,nEVAL,"OR")=0))</f>
      </c>
      <c r="I19788">
        <f>IF(DATOS!$I19788="","",IFERROR(VLOOKUP(DATOS!$I19788,CONFIG_ASIGNATURAS!$B$2:$J$91,9,FALSE()),""))</f>
      </c>
    </row>
    <row r="19789">
      <c r="F19789">
        <f>IF(DATOS!$A19789="","",DATOS!$A19789&amp;"|"&amp;DATOS!$D19789&amp;"|"&amp;DATOS!$E19789&amp;"|"&amp;DATOS!$I19789)</f>
      </c>
      <c r="G19789">
        <f>IF(DATOS!$A19789="",0,IF(CONFIG_METADATA!$B$4&lt;&gt;"OR+EX",--(DATOS!$G19789=CONFIG_METADATA!$B$4),IF(DATOS!$G19789="EX",1,IF(DATOS!$G19789="OR",--(COUNTIFS(nNIA,DATOS!$A19789,nCURSO,DATOS!$D19789,nESPEC,DATOS!$E19789,nASIG,DATOS!$I19789,nEVAL,"EX")=0),0))))</f>
      </c>
      <c r="H19789">
        <f>IF(DATOS!$G19789&lt;&gt;"EX",0,--(COUNTIFS(nNIA,DATOS!$A19789,nCURSO,DATOS!$D19789,nESPEC,DATOS!$E19789,nASIG,DATOS!$I19789,nEVAL,"OR")=0))</f>
      </c>
      <c r="I19789">
        <f>IF(DATOS!$I19789="","",IFERROR(VLOOKUP(DATOS!$I19789,CONFIG_ASIGNATURAS!$B$2:$J$91,9,FALSE()),""))</f>
      </c>
    </row>
    <row r="19790">
      <c r="F19790">
        <f>IF(DATOS!$A19790="","",DATOS!$A19790&amp;"|"&amp;DATOS!$D19790&amp;"|"&amp;DATOS!$E19790&amp;"|"&amp;DATOS!$I19790)</f>
      </c>
      <c r="G19790">
        <f>IF(DATOS!$A19790="",0,IF(CONFIG_METADATA!$B$4&lt;&gt;"OR+EX",--(DATOS!$G19790=CONFIG_METADATA!$B$4),IF(DATOS!$G19790="EX",1,IF(DATOS!$G19790="OR",--(COUNTIFS(nNIA,DATOS!$A19790,nCURSO,DATOS!$D19790,nESPEC,DATOS!$E19790,nASIG,DATOS!$I19790,nEVAL,"EX")=0),0))))</f>
      </c>
      <c r="H19790">
        <f>IF(DATOS!$G19790&lt;&gt;"EX",0,--(COUNTIFS(nNIA,DATOS!$A19790,nCURSO,DATOS!$D19790,nESPEC,DATOS!$E19790,nASIG,DATOS!$I19790,nEVAL,"OR")=0))</f>
      </c>
      <c r="I19790">
        <f>IF(DATOS!$I19790="","",IFERROR(VLOOKUP(DATOS!$I19790,CONFIG_ASIGNATURAS!$B$2:$J$91,9,FALSE()),""))</f>
      </c>
    </row>
    <row r="19791">
      <c r="F19791">
        <f>IF(DATOS!$A19791="","",DATOS!$A19791&amp;"|"&amp;DATOS!$D19791&amp;"|"&amp;DATOS!$E19791&amp;"|"&amp;DATOS!$I19791)</f>
      </c>
      <c r="G19791">
        <f>IF(DATOS!$A19791="",0,IF(CONFIG_METADATA!$B$4&lt;&gt;"OR+EX",--(DATOS!$G19791=CONFIG_METADATA!$B$4),IF(DATOS!$G19791="EX",1,IF(DATOS!$G19791="OR",--(COUNTIFS(nNIA,DATOS!$A19791,nCURSO,DATOS!$D19791,nESPEC,DATOS!$E19791,nASIG,DATOS!$I19791,nEVAL,"EX")=0),0))))</f>
      </c>
      <c r="H19791">
        <f>IF(DATOS!$G19791&lt;&gt;"EX",0,--(COUNTIFS(nNIA,DATOS!$A19791,nCURSO,DATOS!$D19791,nESPEC,DATOS!$E19791,nASIG,DATOS!$I19791,nEVAL,"OR")=0))</f>
      </c>
      <c r="I19791">
        <f>IF(DATOS!$I19791="","",IFERROR(VLOOKUP(DATOS!$I19791,CONFIG_ASIGNATURAS!$B$2:$J$91,9,FALSE()),""))</f>
      </c>
    </row>
    <row r="19792">
      <c r="F19792">
        <f>IF(DATOS!$A19792="","",DATOS!$A19792&amp;"|"&amp;DATOS!$D19792&amp;"|"&amp;DATOS!$E19792&amp;"|"&amp;DATOS!$I19792)</f>
      </c>
      <c r="G19792">
        <f>IF(DATOS!$A19792="",0,IF(CONFIG_METADATA!$B$4&lt;&gt;"OR+EX",--(DATOS!$G19792=CONFIG_METADATA!$B$4),IF(DATOS!$G19792="EX",1,IF(DATOS!$G19792="OR",--(COUNTIFS(nNIA,DATOS!$A19792,nCURSO,DATOS!$D19792,nESPEC,DATOS!$E19792,nASIG,DATOS!$I19792,nEVAL,"EX")=0),0))))</f>
      </c>
      <c r="H19792">
        <f>IF(DATOS!$G19792&lt;&gt;"EX",0,--(COUNTIFS(nNIA,DATOS!$A19792,nCURSO,DATOS!$D19792,nESPEC,DATOS!$E19792,nASIG,DATOS!$I19792,nEVAL,"OR")=0))</f>
      </c>
      <c r="I19792">
        <f>IF(DATOS!$I19792="","",IFERROR(VLOOKUP(DATOS!$I19792,CONFIG_ASIGNATURAS!$B$2:$J$91,9,FALSE()),""))</f>
      </c>
    </row>
    <row r="19793">
      <c r="F19793">
        <f>IF(DATOS!$A19793="","",DATOS!$A19793&amp;"|"&amp;DATOS!$D19793&amp;"|"&amp;DATOS!$E19793&amp;"|"&amp;DATOS!$I19793)</f>
      </c>
      <c r="G19793">
        <f>IF(DATOS!$A19793="",0,IF(CONFIG_METADATA!$B$4&lt;&gt;"OR+EX",--(DATOS!$G19793=CONFIG_METADATA!$B$4),IF(DATOS!$G19793="EX",1,IF(DATOS!$G19793="OR",--(COUNTIFS(nNIA,DATOS!$A19793,nCURSO,DATOS!$D19793,nESPEC,DATOS!$E19793,nASIG,DATOS!$I19793,nEVAL,"EX")=0),0))))</f>
      </c>
      <c r="H19793">
        <f>IF(DATOS!$G19793&lt;&gt;"EX",0,--(COUNTIFS(nNIA,DATOS!$A19793,nCURSO,DATOS!$D19793,nESPEC,DATOS!$E19793,nASIG,DATOS!$I19793,nEVAL,"OR")=0))</f>
      </c>
      <c r="I19793">
        <f>IF(DATOS!$I19793="","",IFERROR(VLOOKUP(DATOS!$I19793,CONFIG_ASIGNATURAS!$B$2:$J$91,9,FALSE()),""))</f>
      </c>
    </row>
    <row r="19794">
      <c r="F19794">
        <f>IF(DATOS!$A19794="","",DATOS!$A19794&amp;"|"&amp;DATOS!$D19794&amp;"|"&amp;DATOS!$E19794&amp;"|"&amp;DATOS!$I19794)</f>
      </c>
      <c r="G19794">
        <f>IF(DATOS!$A19794="",0,IF(CONFIG_METADATA!$B$4&lt;&gt;"OR+EX",--(DATOS!$G19794=CONFIG_METADATA!$B$4),IF(DATOS!$G19794="EX",1,IF(DATOS!$G19794="OR",--(COUNTIFS(nNIA,DATOS!$A19794,nCURSO,DATOS!$D19794,nESPEC,DATOS!$E19794,nASIG,DATOS!$I19794,nEVAL,"EX")=0),0))))</f>
      </c>
      <c r="H19794">
        <f>IF(DATOS!$G19794&lt;&gt;"EX",0,--(COUNTIFS(nNIA,DATOS!$A19794,nCURSO,DATOS!$D19794,nESPEC,DATOS!$E19794,nASIG,DATOS!$I19794,nEVAL,"OR")=0))</f>
      </c>
      <c r="I19794">
        <f>IF(DATOS!$I19794="","",IFERROR(VLOOKUP(DATOS!$I19794,CONFIG_ASIGNATURAS!$B$2:$J$91,9,FALSE()),""))</f>
      </c>
    </row>
    <row r="19795">
      <c r="F19795">
        <f>IF(DATOS!$A19795="","",DATOS!$A19795&amp;"|"&amp;DATOS!$D19795&amp;"|"&amp;DATOS!$E19795&amp;"|"&amp;DATOS!$I19795)</f>
      </c>
      <c r="G19795">
        <f>IF(DATOS!$A19795="",0,IF(CONFIG_METADATA!$B$4&lt;&gt;"OR+EX",--(DATOS!$G19795=CONFIG_METADATA!$B$4),IF(DATOS!$G19795="EX",1,IF(DATOS!$G19795="OR",--(COUNTIFS(nNIA,DATOS!$A19795,nCURSO,DATOS!$D19795,nESPEC,DATOS!$E19795,nASIG,DATOS!$I19795,nEVAL,"EX")=0),0))))</f>
      </c>
      <c r="H19795">
        <f>IF(DATOS!$G19795&lt;&gt;"EX",0,--(COUNTIFS(nNIA,DATOS!$A19795,nCURSO,DATOS!$D19795,nESPEC,DATOS!$E19795,nASIG,DATOS!$I19795,nEVAL,"OR")=0))</f>
      </c>
      <c r="I19795">
        <f>IF(DATOS!$I19795="","",IFERROR(VLOOKUP(DATOS!$I19795,CONFIG_ASIGNATURAS!$B$2:$J$91,9,FALSE()),""))</f>
      </c>
    </row>
    <row r="19796">
      <c r="F19796">
        <f>IF(DATOS!$A19796="","",DATOS!$A19796&amp;"|"&amp;DATOS!$D19796&amp;"|"&amp;DATOS!$E19796&amp;"|"&amp;DATOS!$I19796)</f>
      </c>
      <c r="G19796">
        <f>IF(DATOS!$A19796="",0,IF(CONFIG_METADATA!$B$4&lt;&gt;"OR+EX",--(DATOS!$G19796=CONFIG_METADATA!$B$4),IF(DATOS!$G19796="EX",1,IF(DATOS!$G19796="OR",--(COUNTIFS(nNIA,DATOS!$A19796,nCURSO,DATOS!$D19796,nESPEC,DATOS!$E19796,nASIG,DATOS!$I19796,nEVAL,"EX")=0),0))))</f>
      </c>
      <c r="H19796">
        <f>IF(DATOS!$G19796&lt;&gt;"EX",0,--(COUNTIFS(nNIA,DATOS!$A19796,nCURSO,DATOS!$D19796,nESPEC,DATOS!$E19796,nASIG,DATOS!$I19796,nEVAL,"OR")=0))</f>
      </c>
      <c r="I19796">
        <f>IF(DATOS!$I19796="","",IFERROR(VLOOKUP(DATOS!$I19796,CONFIG_ASIGNATURAS!$B$2:$J$91,9,FALSE()),""))</f>
      </c>
    </row>
    <row r="19797">
      <c r="F19797">
        <f>IF(DATOS!$A19797="","",DATOS!$A19797&amp;"|"&amp;DATOS!$D19797&amp;"|"&amp;DATOS!$E19797&amp;"|"&amp;DATOS!$I19797)</f>
      </c>
      <c r="G19797">
        <f>IF(DATOS!$A19797="",0,IF(CONFIG_METADATA!$B$4&lt;&gt;"OR+EX",--(DATOS!$G19797=CONFIG_METADATA!$B$4),IF(DATOS!$G19797="EX",1,IF(DATOS!$G19797="OR",--(COUNTIFS(nNIA,DATOS!$A19797,nCURSO,DATOS!$D19797,nESPEC,DATOS!$E19797,nASIG,DATOS!$I19797,nEVAL,"EX")=0),0))))</f>
      </c>
      <c r="H19797">
        <f>IF(DATOS!$G19797&lt;&gt;"EX",0,--(COUNTIFS(nNIA,DATOS!$A19797,nCURSO,DATOS!$D19797,nESPEC,DATOS!$E19797,nASIG,DATOS!$I19797,nEVAL,"OR")=0))</f>
      </c>
      <c r="I19797">
        <f>IF(DATOS!$I19797="","",IFERROR(VLOOKUP(DATOS!$I19797,CONFIG_ASIGNATURAS!$B$2:$J$91,9,FALSE()),""))</f>
      </c>
    </row>
    <row r="19798">
      <c r="F19798">
        <f>IF(DATOS!$A19798="","",DATOS!$A19798&amp;"|"&amp;DATOS!$D19798&amp;"|"&amp;DATOS!$E19798&amp;"|"&amp;DATOS!$I19798)</f>
      </c>
      <c r="G19798">
        <f>IF(DATOS!$A19798="",0,IF(CONFIG_METADATA!$B$4&lt;&gt;"OR+EX",--(DATOS!$G19798=CONFIG_METADATA!$B$4),IF(DATOS!$G19798="EX",1,IF(DATOS!$G19798="OR",--(COUNTIFS(nNIA,DATOS!$A19798,nCURSO,DATOS!$D19798,nESPEC,DATOS!$E19798,nASIG,DATOS!$I19798,nEVAL,"EX")=0),0))))</f>
      </c>
      <c r="H19798">
        <f>IF(DATOS!$G19798&lt;&gt;"EX",0,--(COUNTIFS(nNIA,DATOS!$A19798,nCURSO,DATOS!$D19798,nESPEC,DATOS!$E19798,nASIG,DATOS!$I19798,nEVAL,"OR")=0))</f>
      </c>
      <c r="I19798">
        <f>IF(DATOS!$I19798="","",IFERROR(VLOOKUP(DATOS!$I19798,CONFIG_ASIGNATURAS!$B$2:$J$91,9,FALSE()),""))</f>
      </c>
    </row>
    <row r="19799">
      <c r="F19799">
        <f>IF(DATOS!$A19799="","",DATOS!$A19799&amp;"|"&amp;DATOS!$D19799&amp;"|"&amp;DATOS!$E19799&amp;"|"&amp;DATOS!$I19799)</f>
      </c>
      <c r="G19799">
        <f>IF(DATOS!$A19799="",0,IF(CONFIG_METADATA!$B$4&lt;&gt;"OR+EX",--(DATOS!$G19799=CONFIG_METADATA!$B$4),IF(DATOS!$G19799="EX",1,IF(DATOS!$G19799="OR",--(COUNTIFS(nNIA,DATOS!$A19799,nCURSO,DATOS!$D19799,nESPEC,DATOS!$E19799,nASIG,DATOS!$I19799,nEVAL,"EX")=0),0))))</f>
      </c>
      <c r="H19799">
        <f>IF(DATOS!$G19799&lt;&gt;"EX",0,--(COUNTIFS(nNIA,DATOS!$A19799,nCURSO,DATOS!$D19799,nESPEC,DATOS!$E19799,nASIG,DATOS!$I19799,nEVAL,"OR")=0))</f>
      </c>
      <c r="I19799">
        <f>IF(DATOS!$I19799="","",IFERROR(VLOOKUP(DATOS!$I19799,CONFIG_ASIGNATURAS!$B$2:$J$91,9,FALSE()),""))</f>
      </c>
    </row>
    <row r="19800">
      <c r="F19800">
        <f>IF(DATOS!$A19800="","",DATOS!$A19800&amp;"|"&amp;DATOS!$D19800&amp;"|"&amp;DATOS!$E19800&amp;"|"&amp;DATOS!$I19800)</f>
      </c>
      <c r="G19800">
        <f>IF(DATOS!$A19800="",0,IF(CONFIG_METADATA!$B$4&lt;&gt;"OR+EX",--(DATOS!$G19800=CONFIG_METADATA!$B$4),IF(DATOS!$G19800="EX",1,IF(DATOS!$G19800="OR",--(COUNTIFS(nNIA,DATOS!$A19800,nCURSO,DATOS!$D19800,nESPEC,DATOS!$E19800,nASIG,DATOS!$I19800,nEVAL,"EX")=0),0))))</f>
      </c>
      <c r="H19800">
        <f>IF(DATOS!$G19800&lt;&gt;"EX",0,--(COUNTIFS(nNIA,DATOS!$A19800,nCURSO,DATOS!$D19800,nESPEC,DATOS!$E19800,nASIG,DATOS!$I19800,nEVAL,"OR")=0))</f>
      </c>
      <c r="I19800">
        <f>IF(DATOS!$I19800="","",IFERROR(VLOOKUP(DATOS!$I19800,CONFIG_ASIGNATURAS!$B$2:$J$91,9,FALSE()),""))</f>
      </c>
    </row>
    <row r="19801">
      <c r="F19801">
        <f>IF(DATOS!$A19801="","",DATOS!$A19801&amp;"|"&amp;DATOS!$D19801&amp;"|"&amp;DATOS!$E19801&amp;"|"&amp;DATOS!$I19801)</f>
      </c>
      <c r="G19801">
        <f>IF(DATOS!$A19801="",0,IF(CONFIG_METADATA!$B$4&lt;&gt;"OR+EX",--(DATOS!$G19801=CONFIG_METADATA!$B$4),IF(DATOS!$G19801="EX",1,IF(DATOS!$G19801="OR",--(COUNTIFS(nNIA,DATOS!$A19801,nCURSO,DATOS!$D19801,nESPEC,DATOS!$E19801,nASIG,DATOS!$I19801,nEVAL,"EX")=0),0))))</f>
      </c>
      <c r="H19801">
        <f>IF(DATOS!$G19801&lt;&gt;"EX",0,--(COUNTIFS(nNIA,DATOS!$A19801,nCURSO,DATOS!$D19801,nESPEC,DATOS!$E19801,nASIG,DATOS!$I19801,nEVAL,"OR")=0))</f>
      </c>
      <c r="I19801">
        <f>IF(DATOS!$I19801="","",IFERROR(VLOOKUP(DATOS!$I19801,CONFIG_ASIGNATURAS!$B$2:$J$91,9,FALSE()),""))</f>
      </c>
    </row>
    <row r="19802">
      <c r="F19802">
        <f>IF(DATOS!$A19802="","",DATOS!$A19802&amp;"|"&amp;DATOS!$D19802&amp;"|"&amp;DATOS!$E19802&amp;"|"&amp;DATOS!$I19802)</f>
      </c>
      <c r="G19802">
        <f>IF(DATOS!$A19802="",0,IF(CONFIG_METADATA!$B$4&lt;&gt;"OR+EX",--(DATOS!$G19802=CONFIG_METADATA!$B$4),IF(DATOS!$G19802="EX",1,IF(DATOS!$G19802="OR",--(COUNTIFS(nNIA,DATOS!$A19802,nCURSO,DATOS!$D19802,nESPEC,DATOS!$E19802,nASIG,DATOS!$I19802,nEVAL,"EX")=0),0))))</f>
      </c>
      <c r="H19802">
        <f>IF(DATOS!$G19802&lt;&gt;"EX",0,--(COUNTIFS(nNIA,DATOS!$A19802,nCURSO,DATOS!$D19802,nESPEC,DATOS!$E19802,nASIG,DATOS!$I19802,nEVAL,"OR")=0))</f>
      </c>
      <c r="I19802">
        <f>IF(DATOS!$I19802="","",IFERROR(VLOOKUP(DATOS!$I19802,CONFIG_ASIGNATURAS!$B$2:$J$91,9,FALSE()),""))</f>
      </c>
    </row>
    <row r="19803">
      <c r="F19803">
        <f>IF(DATOS!$A19803="","",DATOS!$A19803&amp;"|"&amp;DATOS!$D19803&amp;"|"&amp;DATOS!$E19803&amp;"|"&amp;DATOS!$I19803)</f>
      </c>
      <c r="G19803">
        <f>IF(DATOS!$A19803="",0,IF(CONFIG_METADATA!$B$4&lt;&gt;"OR+EX",--(DATOS!$G19803=CONFIG_METADATA!$B$4),IF(DATOS!$G19803="EX",1,IF(DATOS!$G19803="OR",--(COUNTIFS(nNIA,DATOS!$A19803,nCURSO,DATOS!$D19803,nESPEC,DATOS!$E19803,nASIG,DATOS!$I19803,nEVAL,"EX")=0),0))))</f>
      </c>
      <c r="H19803">
        <f>IF(DATOS!$G19803&lt;&gt;"EX",0,--(COUNTIFS(nNIA,DATOS!$A19803,nCURSO,DATOS!$D19803,nESPEC,DATOS!$E19803,nASIG,DATOS!$I19803,nEVAL,"OR")=0))</f>
      </c>
      <c r="I19803">
        <f>IF(DATOS!$I19803="","",IFERROR(VLOOKUP(DATOS!$I19803,CONFIG_ASIGNATURAS!$B$2:$J$91,9,FALSE()),""))</f>
      </c>
    </row>
    <row r="19804">
      <c r="F19804">
        <f>IF(DATOS!$A19804="","",DATOS!$A19804&amp;"|"&amp;DATOS!$D19804&amp;"|"&amp;DATOS!$E19804&amp;"|"&amp;DATOS!$I19804)</f>
      </c>
      <c r="G19804">
        <f>IF(DATOS!$A19804="",0,IF(CONFIG_METADATA!$B$4&lt;&gt;"OR+EX",--(DATOS!$G19804=CONFIG_METADATA!$B$4),IF(DATOS!$G19804="EX",1,IF(DATOS!$G19804="OR",--(COUNTIFS(nNIA,DATOS!$A19804,nCURSO,DATOS!$D19804,nESPEC,DATOS!$E19804,nASIG,DATOS!$I19804,nEVAL,"EX")=0),0))))</f>
      </c>
      <c r="H19804">
        <f>IF(DATOS!$G19804&lt;&gt;"EX",0,--(COUNTIFS(nNIA,DATOS!$A19804,nCURSO,DATOS!$D19804,nESPEC,DATOS!$E19804,nASIG,DATOS!$I19804,nEVAL,"OR")=0))</f>
      </c>
      <c r="I19804">
        <f>IF(DATOS!$I19804="","",IFERROR(VLOOKUP(DATOS!$I19804,CONFIG_ASIGNATURAS!$B$2:$J$91,9,FALSE()),""))</f>
      </c>
    </row>
    <row r="19805">
      <c r="F19805">
        <f>IF(DATOS!$A19805="","",DATOS!$A19805&amp;"|"&amp;DATOS!$D19805&amp;"|"&amp;DATOS!$E19805&amp;"|"&amp;DATOS!$I19805)</f>
      </c>
      <c r="G19805">
        <f>IF(DATOS!$A19805="",0,IF(CONFIG_METADATA!$B$4&lt;&gt;"OR+EX",--(DATOS!$G19805=CONFIG_METADATA!$B$4),IF(DATOS!$G19805="EX",1,IF(DATOS!$G19805="OR",--(COUNTIFS(nNIA,DATOS!$A19805,nCURSO,DATOS!$D19805,nESPEC,DATOS!$E19805,nASIG,DATOS!$I19805,nEVAL,"EX")=0),0))))</f>
      </c>
      <c r="H19805">
        <f>IF(DATOS!$G19805&lt;&gt;"EX",0,--(COUNTIFS(nNIA,DATOS!$A19805,nCURSO,DATOS!$D19805,nESPEC,DATOS!$E19805,nASIG,DATOS!$I19805,nEVAL,"OR")=0))</f>
      </c>
      <c r="I19805">
        <f>IF(DATOS!$I19805="","",IFERROR(VLOOKUP(DATOS!$I19805,CONFIG_ASIGNATURAS!$B$2:$J$91,9,FALSE()),""))</f>
      </c>
    </row>
    <row r="19806">
      <c r="F19806">
        <f>IF(DATOS!$A19806="","",DATOS!$A19806&amp;"|"&amp;DATOS!$D19806&amp;"|"&amp;DATOS!$E19806&amp;"|"&amp;DATOS!$I19806)</f>
      </c>
      <c r="G19806">
        <f>IF(DATOS!$A19806="",0,IF(CONFIG_METADATA!$B$4&lt;&gt;"OR+EX",--(DATOS!$G19806=CONFIG_METADATA!$B$4),IF(DATOS!$G19806="EX",1,IF(DATOS!$G19806="OR",--(COUNTIFS(nNIA,DATOS!$A19806,nCURSO,DATOS!$D19806,nESPEC,DATOS!$E19806,nASIG,DATOS!$I19806,nEVAL,"EX")=0),0))))</f>
      </c>
      <c r="H19806">
        <f>IF(DATOS!$G19806&lt;&gt;"EX",0,--(COUNTIFS(nNIA,DATOS!$A19806,nCURSO,DATOS!$D19806,nESPEC,DATOS!$E19806,nASIG,DATOS!$I19806,nEVAL,"OR")=0))</f>
      </c>
      <c r="I19806">
        <f>IF(DATOS!$I19806="","",IFERROR(VLOOKUP(DATOS!$I19806,CONFIG_ASIGNATURAS!$B$2:$J$91,9,FALSE()),""))</f>
      </c>
    </row>
    <row r="19807">
      <c r="F19807">
        <f>IF(DATOS!$A19807="","",DATOS!$A19807&amp;"|"&amp;DATOS!$D19807&amp;"|"&amp;DATOS!$E19807&amp;"|"&amp;DATOS!$I19807)</f>
      </c>
      <c r="G19807">
        <f>IF(DATOS!$A19807="",0,IF(CONFIG_METADATA!$B$4&lt;&gt;"OR+EX",--(DATOS!$G19807=CONFIG_METADATA!$B$4),IF(DATOS!$G19807="EX",1,IF(DATOS!$G19807="OR",--(COUNTIFS(nNIA,DATOS!$A19807,nCURSO,DATOS!$D19807,nESPEC,DATOS!$E19807,nASIG,DATOS!$I19807,nEVAL,"EX")=0),0))))</f>
      </c>
      <c r="H19807">
        <f>IF(DATOS!$G19807&lt;&gt;"EX",0,--(COUNTIFS(nNIA,DATOS!$A19807,nCURSO,DATOS!$D19807,nESPEC,DATOS!$E19807,nASIG,DATOS!$I19807,nEVAL,"OR")=0))</f>
      </c>
      <c r="I19807">
        <f>IF(DATOS!$I19807="","",IFERROR(VLOOKUP(DATOS!$I19807,CONFIG_ASIGNATURAS!$B$2:$J$91,9,FALSE()),""))</f>
      </c>
    </row>
    <row r="19808">
      <c r="F19808">
        <f>IF(DATOS!$A19808="","",DATOS!$A19808&amp;"|"&amp;DATOS!$D19808&amp;"|"&amp;DATOS!$E19808&amp;"|"&amp;DATOS!$I19808)</f>
      </c>
      <c r="G19808">
        <f>IF(DATOS!$A19808="",0,IF(CONFIG_METADATA!$B$4&lt;&gt;"OR+EX",--(DATOS!$G19808=CONFIG_METADATA!$B$4),IF(DATOS!$G19808="EX",1,IF(DATOS!$G19808="OR",--(COUNTIFS(nNIA,DATOS!$A19808,nCURSO,DATOS!$D19808,nESPEC,DATOS!$E19808,nASIG,DATOS!$I19808,nEVAL,"EX")=0),0))))</f>
      </c>
      <c r="H19808">
        <f>IF(DATOS!$G19808&lt;&gt;"EX",0,--(COUNTIFS(nNIA,DATOS!$A19808,nCURSO,DATOS!$D19808,nESPEC,DATOS!$E19808,nASIG,DATOS!$I19808,nEVAL,"OR")=0))</f>
      </c>
      <c r="I19808">
        <f>IF(DATOS!$I19808="","",IFERROR(VLOOKUP(DATOS!$I19808,CONFIG_ASIGNATURAS!$B$2:$J$91,9,FALSE()),""))</f>
      </c>
    </row>
    <row r="19809">
      <c r="F19809">
        <f>IF(DATOS!$A19809="","",DATOS!$A19809&amp;"|"&amp;DATOS!$D19809&amp;"|"&amp;DATOS!$E19809&amp;"|"&amp;DATOS!$I19809)</f>
      </c>
      <c r="G19809">
        <f>IF(DATOS!$A19809="",0,IF(CONFIG_METADATA!$B$4&lt;&gt;"OR+EX",--(DATOS!$G19809=CONFIG_METADATA!$B$4),IF(DATOS!$G19809="EX",1,IF(DATOS!$G19809="OR",--(COUNTIFS(nNIA,DATOS!$A19809,nCURSO,DATOS!$D19809,nESPEC,DATOS!$E19809,nASIG,DATOS!$I19809,nEVAL,"EX")=0),0))))</f>
      </c>
      <c r="H19809">
        <f>IF(DATOS!$G19809&lt;&gt;"EX",0,--(COUNTIFS(nNIA,DATOS!$A19809,nCURSO,DATOS!$D19809,nESPEC,DATOS!$E19809,nASIG,DATOS!$I19809,nEVAL,"OR")=0))</f>
      </c>
      <c r="I19809">
        <f>IF(DATOS!$I19809="","",IFERROR(VLOOKUP(DATOS!$I19809,CONFIG_ASIGNATURAS!$B$2:$J$91,9,FALSE()),""))</f>
      </c>
    </row>
    <row r="19810">
      <c r="F19810">
        <f>IF(DATOS!$A19810="","",DATOS!$A19810&amp;"|"&amp;DATOS!$D19810&amp;"|"&amp;DATOS!$E19810&amp;"|"&amp;DATOS!$I19810)</f>
      </c>
      <c r="G19810">
        <f>IF(DATOS!$A19810="",0,IF(CONFIG_METADATA!$B$4&lt;&gt;"OR+EX",--(DATOS!$G19810=CONFIG_METADATA!$B$4),IF(DATOS!$G19810="EX",1,IF(DATOS!$G19810="OR",--(COUNTIFS(nNIA,DATOS!$A19810,nCURSO,DATOS!$D19810,nESPEC,DATOS!$E19810,nASIG,DATOS!$I19810,nEVAL,"EX")=0),0))))</f>
      </c>
      <c r="H19810">
        <f>IF(DATOS!$G19810&lt;&gt;"EX",0,--(COUNTIFS(nNIA,DATOS!$A19810,nCURSO,DATOS!$D19810,nESPEC,DATOS!$E19810,nASIG,DATOS!$I19810,nEVAL,"OR")=0))</f>
      </c>
      <c r="I19810">
        <f>IF(DATOS!$I19810="","",IFERROR(VLOOKUP(DATOS!$I19810,CONFIG_ASIGNATURAS!$B$2:$J$91,9,FALSE()),""))</f>
      </c>
    </row>
    <row r="19811">
      <c r="F19811">
        <f>IF(DATOS!$A19811="","",DATOS!$A19811&amp;"|"&amp;DATOS!$D19811&amp;"|"&amp;DATOS!$E19811&amp;"|"&amp;DATOS!$I19811)</f>
      </c>
      <c r="G19811">
        <f>IF(DATOS!$A19811="",0,IF(CONFIG_METADATA!$B$4&lt;&gt;"OR+EX",--(DATOS!$G19811=CONFIG_METADATA!$B$4),IF(DATOS!$G19811="EX",1,IF(DATOS!$G19811="OR",--(COUNTIFS(nNIA,DATOS!$A19811,nCURSO,DATOS!$D19811,nESPEC,DATOS!$E19811,nASIG,DATOS!$I19811,nEVAL,"EX")=0),0))))</f>
      </c>
      <c r="H19811">
        <f>IF(DATOS!$G19811&lt;&gt;"EX",0,--(COUNTIFS(nNIA,DATOS!$A19811,nCURSO,DATOS!$D19811,nESPEC,DATOS!$E19811,nASIG,DATOS!$I19811,nEVAL,"OR")=0))</f>
      </c>
      <c r="I19811">
        <f>IF(DATOS!$I19811="","",IFERROR(VLOOKUP(DATOS!$I19811,CONFIG_ASIGNATURAS!$B$2:$J$91,9,FALSE()),""))</f>
      </c>
    </row>
    <row r="19812">
      <c r="F19812">
        <f>IF(DATOS!$A19812="","",DATOS!$A19812&amp;"|"&amp;DATOS!$D19812&amp;"|"&amp;DATOS!$E19812&amp;"|"&amp;DATOS!$I19812)</f>
      </c>
      <c r="G19812">
        <f>IF(DATOS!$A19812="",0,IF(CONFIG_METADATA!$B$4&lt;&gt;"OR+EX",--(DATOS!$G19812=CONFIG_METADATA!$B$4),IF(DATOS!$G19812="EX",1,IF(DATOS!$G19812="OR",--(COUNTIFS(nNIA,DATOS!$A19812,nCURSO,DATOS!$D19812,nESPEC,DATOS!$E19812,nASIG,DATOS!$I19812,nEVAL,"EX")=0),0))))</f>
      </c>
      <c r="H19812">
        <f>IF(DATOS!$G19812&lt;&gt;"EX",0,--(COUNTIFS(nNIA,DATOS!$A19812,nCURSO,DATOS!$D19812,nESPEC,DATOS!$E19812,nASIG,DATOS!$I19812,nEVAL,"OR")=0))</f>
      </c>
      <c r="I19812">
        <f>IF(DATOS!$I19812="","",IFERROR(VLOOKUP(DATOS!$I19812,CONFIG_ASIGNATURAS!$B$2:$J$91,9,FALSE()),""))</f>
      </c>
    </row>
    <row r="19813">
      <c r="F19813">
        <f>IF(DATOS!$A19813="","",DATOS!$A19813&amp;"|"&amp;DATOS!$D19813&amp;"|"&amp;DATOS!$E19813&amp;"|"&amp;DATOS!$I19813)</f>
      </c>
      <c r="G19813">
        <f>IF(DATOS!$A19813="",0,IF(CONFIG_METADATA!$B$4&lt;&gt;"OR+EX",--(DATOS!$G19813=CONFIG_METADATA!$B$4),IF(DATOS!$G19813="EX",1,IF(DATOS!$G19813="OR",--(COUNTIFS(nNIA,DATOS!$A19813,nCURSO,DATOS!$D19813,nESPEC,DATOS!$E19813,nASIG,DATOS!$I19813,nEVAL,"EX")=0),0))))</f>
      </c>
      <c r="H19813">
        <f>IF(DATOS!$G19813&lt;&gt;"EX",0,--(COUNTIFS(nNIA,DATOS!$A19813,nCURSO,DATOS!$D19813,nESPEC,DATOS!$E19813,nASIG,DATOS!$I19813,nEVAL,"OR")=0))</f>
      </c>
      <c r="I19813">
        <f>IF(DATOS!$I19813="","",IFERROR(VLOOKUP(DATOS!$I19813,CONFIG_ASIGNATURAS!$B$2:$J$91,9,FALSE()),""))</f>
      </c>
    </row>
    <row r="19814">
      <c r="F19814">
        <f>IF(DATOS!$A19814="","",DATOS!$A19814&amp;"|"&amp;DATOS!$D19814&amp;"|"&amp;DATOS!$E19814&amp;"|"&amp;DATOS!$I19814)</f>
      </c>
      <c r="G19814">
        <f>IF(DATOS!$A19814="",0,IF(CONFIG_METADATA!$B$4&lt;&gt;"OR+EX",--(DATOS!$G19814=CONFIG_METADATA!$B$4),IF(DATOS!$G19814="EX",1,IF(DATOS!$G19814="OR",--(COUNTIFS(nNIA,DATOS!$A19814,nCURSO,DATOS!$D19814,nESPEC,DATOS!$E19814,nASIG,DATOS!$I19814,nEVAL,"EX")=0),0))))</f>
      </c>
      <c r="H19814">
        <f>IF(DATOS!$G19814&lt;&gt;"EX",0,--(COUNTIFS(nNIA,DATOS!$A19814,nCURSO,DATOS!$D19814,nESPEC,DATOS!$E19814,nASIG,DATOS!$I19814,nEVAL,"OR")=0))</f>
      </c>
      <c r="I19814">
        <f>IF(DATOS!$I19814="","",IFERROR(VLOOKUP(DATOS!$I19814,CONFIG_ASIGNATURAS!$B$2:$J$91,9,FALSE()),""))</f>
      </c>
    </row>
    <row r="19815">
      <c r="F19815">
        <f>IF(DATOS!$A19815="","",DATOS!$A19815&amp;"|"&amp;DATOS!$D19815&amp;"|"&amp;DATOS!$E19815&amp;"|"&amp;DATOS!$I19815)</f>
      </c>
      <c r="G19815">
        <f>IF(DATOS!$A19815="",0,IF(CONFIG_METADATA!$B$4&lt;&gt;"OR+EX",--(DATOS!$G19815=CONFIG_METADATA!$B$4),IF(DATOS!$G19815="EX",1,IF(DATOS!$G19815="OR",--(COUNTIFS(nNIA,DATOS!$A19815,nCURSO,DATOS!$D19815,nESPEC,DATOS!$E19815,nASIG,DATOS!$I19815,nEVAL,"EX")=0),0))))</f>
      </c>
      <c r="H19815">
        <f>IF(DATOS!$G19815&lt;&gt;"EX",0,--(COUNTIFS(nNIA,DATOS!$A19815,nCURSO,DATOS!$D19815,nESPEC,DATOS!$E19815,nASIG,DATOS!$I19815,nEVAL,"OR")=0))</f>
      </c>
      <c r="I19815">
        <f>IF(DATOS!$I19815="","",IFERROR(VLOOKUP(DATOS!$I19815,CONFIG_ASIGNATURAS!$B$2:$J$91,9,FALSE()),""))</f>
      </c>
    </row>
    <row r="19816">
      <c r="F19816">
        <f>IF(DATOS!$A19816="","",DATOS!$A19816&amp;"|"&amp;DATOS!$D19816&amp;"|"&amp;DATOS!$E19816&amp;"|"&amp;DATOS!$I19816)</f>
      </c>
      <c r="G19816">
        <f>IF(DATOS!$A19816="",0,IF(CONFIG_METADATA!$B$4&lt;&gt;"OR+EX",--(DATOS!$G19816=CONFIG_METADATA!$B$4),IF(DATOS!$G19816="EX",1,IF(DATOS!$G19816="OR",--(COUNTIFS(nNIA,DATOS!$A19816,nCURSO,DATOS!$D19816,nESPEC,DATOS!$E19816,nASIG,DATOS!$I19816,nEVAL,"EX")=0),0))))</f>
      </c>
      <c r="H19816">
        <f>IF(DATOS!$G19816&lt;&gt;"EX",0,--(COUNTIFS(nNIA,DATOS!$A19816,nCURSO,DATOS!$D19816,nESPEC,DATOS!$E19816,nASIG,DATOS!$I19816,nEVAL,"OR")=0))</f>
      </c>
      <c r="I19816">
        <f>IF(DATOS!$I19816="","",IFERROR(VLOOKUP(DATOS!$I19816,CONFIG_ASIGNATURAS!$B$2:$J$91,9,FALSE()),""))</f>
      </c>
    </row>
    <row r="19817">
      <c r="F19817">
        <f>IF(DATOS!$A19817="","",DATOS!$A19817&amp;"|"&amp;DATOS!$D19817&amp;"|"&amp;DATOS!$E19817&amp;"|"&amp;DATOS!$I19817)</f>
      </c>
      <c r="G19817">
        <f>IF(DATOS!$A19817="",0,IF(CONFIG_METADATA!$B$4&lt;&gt;"OR+EX",--(DATOS!$G19817=CONFIG_METADATA!$B$4),IF(DATOS!$G19817="EX",1,IF(DATOS!$G19817="OR",--(COUNTIFS(nNIA,DATOS!$A19817,nCURSO,DATOS!$D19817,nESPEC,DATOS!$E19817,nASIG,DATOS!$I19817,nEVAL,"EX")=0),0))))</f>
      </c>
      <c r="H19817">
        <f>IF(DATOS!$G19817&lt;&gt;"EX",0,--(COUNTIFS(nNIA,DATOS!$A19817,nCURSO,DATOS!$D19817,nESPEC,DATOS!$E19817,nASIG,DATOS!$I19817,nEVAL,"OR")=0))</f>
      </c>
      <c r="I19817">
        <f>IF(DATOS!$I19817="","",IFERROR(VLOOKUP(DATOS!$I19817,CONFIG_ASIGNATURAS!$B$2:$J$91,9,FALSE()),""))</f>
      </c>
    </row>
    <row r="19818">
      <c r="F19818">
        <f>IF(DATOS!$A19818="","",DATOS!$A19818&amp;"|"&amp;DATOS!$D19818&amp;"|"&amp;DATOS!$E19818&amp;"|"&amp;DATOS!$I19818)</f>
      </c>
      <c r="G19818">
        <f>IF(DATOS!$A19818="",0,IF(CONFIG_METADATA!$B$4&lt;&gt;"OR+EX",--(DATOS!$G19818=CONFIG_METADATA!$B$4),IF(DATOS!$G19818="EX",1,IF(DATOS!$G19818="OR",--(COUNTIFS(nNIA,DATOS!$A19818,nCURSO,DATOS!$D19818,nESPEC,DATOS!$E19818,nASIG,DATOS!$I19818,nEVAL,"EX")=0),0))))</f>
      </c>
      <c r="H19818">
        <f>IF(DATOS!$G19818&lt;&gt;"EX",0,--(COUNTIFS(nNIA,DATOS!$A19818,nCURSO,DATOS!$D19818,nESPEC,DATOS!$E19818,nASIG,DATOS!$I19818,nEVAL,"OR")=0))</f>
      </c>
      <c r="I19818">
        <f>IF(DATOS!$I19818="","",IFERROR(VLOOKUP(DATOS!$I19818,CONFIG_ASIGNATURAS!$B$2:$J$91,9,FALSE()),""))</f>
      </c>
    </row>
    <row r="19819">
      <c r="F19819">
        <f>IF(DATOS!$A19819="","",DATOS!$A19819&amp;"|"&amp;DATOS!$D19819&amp;"|"&amp;DATOS!$E19819&amp;"|"&amp;DATOS!$I19819)</f>
      </c>
      <c r="G19819">
        <f>IF(DATOS!$A19819="",0,IF(CONFIG_METADATA!$B$4&lt;&gt;"OR+EX",--(DATOS!$G19819=CONFIG_METADATA!$B$4),IF(DATOS!$G19819="EX",1,IF(DATOS!$G19819="OR",--(COUNTIFS(nNIA,DATOS!$A19819,nCURSO,DATOS!$D19819,nESPEC,DATOS!$E19819,nASIG,DATOS!$I19819,nEVAL,"EX")=0),0))))</f>
      </c>
      <c r="H19819">
        <f>IF(DATOS!$G19819&lt;&gt;"EX",0,--(COUNTIFS(nNIA,DATOS!$A19819,nCURSO,DATOS!$D19819,nESPEC,DATOS!$E19819,nASIG,DATOS!$I19819,nEVAL,"OR")=0))</f>
      </c>
      <c r="I19819">
        <f>IF(DATOS!$I19819="","",IFERROR(VLOOKUP(DATOS!$I19819,CONFIG_ASIGNATURAS!$B$2:$J$91,9,FALSE()),""))</f>
      </c>
    </row>
    <row r="19820">
      <c r="F19820">
        <f>IF(DATOS!$A19820="","",DATOS!$A19820&amp;"|"&amp;DATOS!$D19820&amp;"|"&amp;DATOS!$E19820&amp;"|"&amp;DATOS!$I19820)</f>
      </c>
      <c r="G19820">
        <f>IF(DATOS!$A19820="",0,IF(CONFIG_METADATA!$B$4&lt;&gt;"OR+EX",--(DATOS!$G19820=CONFIG_METADATA!$B$4),IF(DATOS!$G19820="EX",1,IF(DATOS!$G19820="OR",--(COUNTIFS(nNIA,DATOS!$A19820,nCURSO,DATOS!$D19820,nESPEC,DATOS!$E19820,nASIG,DATOS!$I19820,nEVAL,"EX")=0),0))))</f>
      </c>
      <c r="H19820">
        <f>IF(DATOS!$G19820&lt;&gt;"EX",0,--(COUNTIFS(nNIA,DATOS!$A19820,nCURSO,DATOS!$D19820,nESPEC,DATOS!$E19820,nASIG,DATOS!$I19820,nEVAL,"OR")=0))</f>
      </c>
      <c r="I19820">
        <f>IF(DATOS!$I19820="","",IFERROR(VLOOKUP(DATOS!$I19820,CONFIG_ASIGNATURAS!$B$2:$J$91,9,FALSE()),""))</f>
      </c>
    </row>
    <row r="19821">
      <c r="F19821">
        <f>IF(DATOS!$A19821="","",DATOS!$A19821&amp;"|"&amp;DATOS!$D19821&amp;"|"&amp;DATOS!$E19821&amp;"|"&amp;DATOS!$I19821)</f>
      </c>
      <c r="G19821">
        <f>IF(DATOS!$A19821="",0,IF(CONFIG_METADATA!$B$4&lt;&gt;"OR+EX",--(DATOS!$G19821=CONFIG_METADATA!$B$4),IF(DATOS!$G19821="EX",1,IF(DATOS!$G19821="OR",--(COUNTIFS(nNIA,DATOS!$A19821,nCURSO,DATOS!$D19821,nESPEC,DATOS!$E19821,nASIG,DATOS!$I19821,nEVAL,"EX")=0),0))))</f>
      </c>
      <c r="H19821">
        <f>IF(DATOS!$G19821&lt;&gt;"EX",0,--(COUNTIFS(nNIA,DATOS!$A19821,nCURSO,DATOS!$D19821,nESPEC,DATOS!$E19821,nASIG,DATOS!$I19821,nEVAL,"OR")=0))</f>
      </c>
      <c r="I19821">
        <f>IF(DATOS!$I19821="","",IFERROR(VLOOKUP(DATOS!$I19821,CONFIG_ASIGNATURAS!$B$2:$J$91,9,FALSE()),""))</f>
      </c>
    </row>
    <row r="19822">
      <c r="F19822">
        <f>IF(DATOS!$A19822="","",DATOS!$A19822&amp;"|"&amp;DATOS!$D19822&amp;"|"&amp;DATOS!$E19822&amp;"|"&amp;DATOS!$I19822)</f>
      </c>
      <c r="G19822">
        <f>IF(DATOS!$A19822="",0,IF(CONFIG_METADATA!$B$4&lt;&gt;"OR+EX",--(DATOS!$G19822=CONFIG_METADATA!$B$4),IF(DATOS!$G19822="EX",1,IF(DATOS!$G19822="OR",--(COUNTIFS(nNIA,DATOS!$A19822,nCURSO,DATOS!$D19822,nESPEC,DATOS!$E19822,nASIG,DATOS!$I19822,nEVAL,"EX")=0),0))))</f>
      </c>
      <c r="H19822">
        <f>IF(DATOS!$G19822&lt;&gt;"EX",0,--(COUNTIFS(nNIA,DATOS!$A19822,nCURSO,DATOS!$D19822,nESPEC,DATOS!$E19822,nASIG,DATOS!$I19822,nEVAL,"OR")=0))</f>
      </c>
      <c r="I19822">
        <f>IF(DATOS!$I19822="","",IFERROR(VLOOKUP(DATOS!$I19822,CONFIG_ASIGNATURAS!$B$2:$J$91,9,FALSE()),""))</f>
      </c>
    </row>
    <row r="19823">
      <c r="F19823">
        <f>IF(DATOS!$A19823="","",DATOS!$A19823&amp;"|"&amp;DATOS!$D19823&amp;"|"&amp;DATOS!$E19823&amp;"|"&amp;DATOS!$I19823)</f>
      </c>
      <c r="G19823">
        <f>IF(DATOS!$A19823="",0,IF(CONFIG_METADATA!$B$4&lt;&gt;"OR+EX",--(DATOS!$G19823=CONFIG_METADATA!$B$4),IF(DATOS!$G19823="EX",1,IF(DATOS!$G19823="OR",--(COUNTIFS(nNIA,DATOS!$A19823,nCURSO,DATOS!$D19823,nESPEC,DATOS!$E19823,nASIG,DATOS!$I19823,nEVAL,"EX")=0),0))))</f>
      </c>
      <c r="H19823">
        <f>IF(DATOS!$G19823&lt;&gt;"EX",0,--(COUNTIFS(nNIA,DATOS!$A19823,nCURSO,DATOS!$D19823,nESPEC,DATOS!$E19823,nASIG,DATOS!$I19823,nEVAL,"OR")=0))</f>
      </c>
      <c r="I19823">
        <f>IF(DATOS!$I19823="","",IFERROR(VLOOKUP(DATOS!$I19823,CONFIG_ASIGNATURAS!$B$2:$J$91,9,FALSE()),""))</f>
      </c>
    </row>
    <row r="19824">
      <c r="F19824">
        <f>IF(DATOS!$A19824="","",DATOS!$A19824&amp;"|"&amp;DATOS!$D19824&amp;"|"&amp;DATOS!$E19824&amp;"|"&amp;DATOS!$I19824)</f>
      </c>
      <c r="G19824">
        <f>IF(DATOS!$A19824="",0,IF(CONFIG_METADATA!$B$4&lt;&gt;"OR+EX",--(DATOS!$G19824=CONFIG_METADATA!$B$4),IF(DATOS!$G19824="EX",1,IF(DATOS!$G19824="OR",--(COUNTIFS(nNIA,DATOS!$A19824,nCURSO,DATOS!$D19824,nESPEC,DATOS!$E19824,nASIG,DATOS!$I19824,nEVAL,"EX")=0),0))))</f>
      </c>
      <c r="H19824">
        <f>IF(DATOS!$G19824&lt;&gt;"EX",0,--(COUNTIFS(nNIA,DATOS!$A19824,nCURSO,DATOS!$D19824,nESPEC,DATOS!$E19824,nASIG,DATOS!$I19824,nEVAL,"OR")=0))</f>
      </c>
      <c r="I19824">
        <f>IF(DATOS!$I19824="","",IFERROR(VLOOKUP(DATOS!$I19824,CONFIG_ASIGNATURAS!$B$2:$J$91,9,FALSE()),""))</f>
      </c>
    </row>
    <row r="19825">
      <c r="F19825">
        <f>IF(DATOS!$A19825="","",DATOS!$A19825&amp;"|"&amp;DATOS!$D19825&amp;"|"&amp;DATOS!$E19825&amp;"|"&amp;DATOS!$I19825)</f>
      </c>
      <c r="G19825">
        <f>IF(DATOS!$A19825="",0,IF(CONFIG_METADATA!$B$4&lt;&gt;"OR+EX",--(DATOS!$G19825=CONFIG_METADATA!$B$4),IF(DATOS!$G19825="EX",1,IF(DATOS!$G19825="OR",--(COUNTIFS(nNIA,DATOS!$A19825,nCURSO,DATOS!$D19825,nESPEC,DATOS!$E19825,nASIG,DATOS!$I19825,nEVAL,"EX")=0),0))))</f>
      </c>
      <c r="H19825">
        <f>IF(DATOS!$G19825&lt;&gt;"EX",0,--(COUNTIFS(nNIA,DATOS!$A19825,nCURSO,DATOS!$D19825,nESPEC,DATOS!$E19825,nASIG,DATOS!$I19825,nEVAL,"OR")=0))</f>
      </c>
      <c r="I19825">
        <f>IF(DATOS!$I19825="","",IFERROR(VLOOKUP(DATOS!$I19825,CONFIG_ASIGNATURAS!$B$2:$J$91,9,FALSE()),""))</f>
      </c>
    </row>
    <row r="19826">
      <c r="F19826">
        <f>IF(DATOS!$A19826="","",DATOS!$A19826&amp;"|"&amp;DATOS!$D19826&amp;"|"&amp;DATOS!$E19826&amp;"|"&amp;DATOS!$I19826)</f>
      </c>
      <c r="G19826">
        <f>IF(DATOS!$A19826="",0,IF(CONFIG_METADATA!$B$4&lt;&gt;"OR+EX",--(DATOS!$G19826=CONFIG_METADATA!$B$4),IF(DATOS!$G19826="EX",1,IF(DATOS!$G19826="OR",--(COUNTIFS(nNIA,DATOS!$A19826,nCURSO,DATOS!$D19826,nESPEC,DATOS!$E19826,nASIG,DATOS!$I19826,nEVAL,"EX")=0),0))))</f>
      </c>
      <c r="H19826">
        <f>IF(DATOS!$G19826&lt;&gt;"EX",0,--(COUNTIFS(nNIA,DATOS!$A19826,nCURSO,DATOS!$D19826,nESPEC,DATOS!$E19826,nASIG,DATOS!$I19826,nEVAL,"OR")=0))</f>
      </c>
      <c r="I19826">
        <f>IF(DATOS!$I19826="","",IFERROR(VLOOKUP(DATOS!$I19826,CONFIG_ASIGNATURAS!$B$2:$J$91,9,FALSE()),""))</f>
      </c>
    </row>
    <row r="19827">
      <c r="F19827">
        <f>IF(DATOS!$A19827="","",DATOS!$A19827&amp;"|"&amp;DATOS!$D19827&amp;"|"&amp;DATOS!$E19827&amp;"|"&amp;DATOS!$I19827)</f>
      </c>
      <c r="G19827">
        <f>IF(DATOS!$A19827="",0,IF(CONFIG_METADATA!$B$4&lt;&gt;"OR+EX",--(DATOS!$G19827=CONFIG_METADATA!$B$4),IF(DATOS!$G19827="EX",1,IF(DATOS!$G19827="OR",--(COUNTIFS(nNIA,DATOS!$A19827,nCURSO,DATOS!$D19827,nESPEC,DATOS!$E19827,nASIG,DATOS!$I19827,nEVAL,"EX")=0),0))))</f>
      </c>
      <c r="H19827">
        <f>IF(DATOS!$G19827&lt;&gt;"EX",0,--(COUNTIFS(nNIA,DATOS!$A19827,nCURSO,DATOS!$D19827,nESPEC,DATOS!$E19827,nASIG,DATOS!$I19827,nEVAL,"OR")=0))</f>
      </c>
      <c r="I19827">
        <f>IF(DATOS!$I19827="","",IFERROR(VLOOKUP(DATOS!$I19827,CONFIG_ASIGNATURAS!$B$2:$J$91,9,FALSE()),""))</f>
      </c>
    </row>
    <row r="19828">
      <c r="F19828">
        <f>IF(DATOS!$A19828="","",DATOS!$A19828&amp;"|"&amp;DATOS!$D19828&amp;"|"&amp;DATOS!$E19828&amp;"|"&amp;DATOS!$I19828)</f>
      </c>
      <c r="G19828">
        <f>IF(DATOS!$A19828="",0,IF(CONFIG_METADATA!$B$4&lt;&gt;"OR+EX",--(DATOS!$G19828=CONFIG_METADATA!$B$4),IF(DATOS!$G19828="EX",1,IF(DATOS!$G19828="OR",--(COUNTIFS(nNIA,DATOS!$A19828,nCURSO,DATOS!$D19828,nESPEC,DATOS!$E19828,nASIG,DATOS!$I19828,nEVAL,"EX")=0),0))))</f>
      </c>
      <c r="H19828">
        <f>IF(DATOS!$G19828&lt;&gt;"EX",0,--(COUNTIFS(nNIA,DATOS!$A19828,nCURSO,DATOS!$D19828,nESPEC,DATOS!$E19828,nASIG,DATOS!$I19828,nEVAL,"OR")=0))</f>
      </c>
      <c r="I19828">
        <f>IF(DATOS!$I19828="","",IFERROR(VLOOKUP(DATOS!$I19828,CONFIG_ASIGNATURAS!$B$2:$J$91,9,FALSE()),""))</f>
      </c>
    </row>
    <row r="19829">
      <c r="F19829">
        <f>IF(DATOS!$A19829="","",DATOS!$A19829&amp;"|"&amp;DATOS!$D19829&amp;"|"&amp;DATOS!$E19829&amp;"|"&amp;DATOS!$I19829)</f>
      </c>
      <c r="G19829">
        <f>IF(DATOS!$A19829="",0,IF(CONFIG_METADATA!$B$4&lt;&gt;"OR+EX",--(DATOS!$G19829=CONFIG_METADATA!$B$4),IF(DATOS!$G19829="EX",1,IF(DATOS!$G19829="OR",--(COUNTIFS(nNIA,DATOS!$A19829,nCURSO,DATOS!$D19829,nESPEC,DATOS!$E19829,nASIG,DATOS!$I19829,nEVAL,"EX")=0),0))))</f>
      </c>
      <c r="H19829">
        <f>IF(DATOS!$G19829&lt;&gt;"EX",0,--(COUNTIFS(nNIA,DATOS!$A19829,nCURSO,DATOS!$D19829,nESPEC,DATOS!$E19829,nASIG,DATOS!$I19829,nEVAL,"OR")=0))</f>
      </c>
      <c r="I19829">
        <f>IF(DATOS!$I19829="","",IFERROR(VLOOKUP(DATOS!$I19829,CONFIG_ASIGNATURAS!$B$2:$J$91,9,FALSE()),""))</f>
      </c>
    </row>
    <row r="19830">
      <c r="F19830">
        <f>IF(DATOS!$A19830="","",DATOS!$A19830&amp;"|"&amp;DATOS!$D19830&amp;"|"&amp;DATOS!$E19830&amp;"|"&amp;DATOS!$I19830)</f>
      </c>
      <c r="G19830">
        <f>IF(DATOS!$A19830="",0,IF(CONFIG_METADATA!$B$4&lt;&gt;"OR+EX",--(DATOS!$G19830=CONFIG_METADATA!$B$4),IF(DATOS!$G19830="EX",1,IF(DATOS!$G19830="OR",--(COUNTIFS(nNIA,DATOS!$A19830,nCURSO,DATOS!$D19830,nESPEC,DATOS!$E19830,nASIG,DATOS!$I19830,nEVAL,"EX")=0),0))))</f>
      </c>
      <c r="H19830">
        <f>IF(DATOS!$G19830&lt;&gt;"EX",0,--(COUNTIFS(nNIA,DATOS!$A19830,nCURSO,DATOS!$D19830,nESPEC,DATOS!$E19830,nASIG,DATOS!$I19830,nEVAL,"OR")=0))</f>
      </c>
      <c r="I19830">
        <f>IF(DATOS!$I19830="","",IFERROR(VLOOKUP(DATOS!$I19830,CONFIG_ASIGNATURAS!$B$2:$J$91,9,FALSE()),""))</f>
      </c>
    </row>
    <row r="19831">
      <c r="F19831">
        <f>IF(DATOS!$A19831="","",DATOS!$A19831&amp;"|"&amp;DATOS!$D19831&amp;"|"&amp;DATOS!$E19831&amp;"|"&amp;DATOS!$I19831)</f>
      </c>
      <c r="G19831">
        <f>IF(DATOS!$A19831="",0,IF(CONFIG_METADATA!$B$4&lt;&gt;"OR+EX",--(DATOS!$G19831=CONFIG_METADATA!$B$4),IF(DATOS!$G19831="EX",1,IF(DATOS!$G19831="OR",--(COUNTIFS(nNIA,DATOS!$A19831,nCURSO,DATOS!$D19831,nESPEC,DATOS!$E19831,nASIG,DATOS!$I19831,nEVAL,"EX")=0),0))))</f>
      </c>
      <c r="H19831">
        <f>IF(DATOS!$G19831&lt;&gt;"EX",0,--(COUNTIFS(nNIA,DATOS!$A19831,nCURSO,DATOS!$D19831,nESPEC,DATOS!$E19831,nASIG,DATOS!$I19831,nEVAL,"OR")=0))</f>
      </c>
      <c r="I19831">
        <f>IF(DATOS!$I19831="","",IFERROR(VLOOKUP(DATOS!$I19831,CONFIG_ASIGNATURAS!$B$2:$J$91,9,FALSE()),""))</f>
      </c>
    </row>
    <row r="19832">
      <c r="F19832">
        <f>IF(DATOS!$A19832="","",DATOS!$A19832&amp;"|"&amp;DATOS!$D19832&amp;"|"&amp;DATOS!$E19832&amp;"|"&amp;DATOS!$I19832)</f>
      </c>
      <c r="G19832">
        <f>IF(DATOS!$A19832="",0,IF(CONFIG_METADATA!$B$4&lt;&gt;"OR+EX",--(DATOS!$G19832=CONFIG_METADATA!$B$4),IF(DATOS!$G19832="EX",1,IF(DATOS!$G19832="OR",--(COUNTIFS(nNIA,DATOS!$A19832,nCURSO,DATOS!$D19832,nESPEC,DATOS!$E19832,nASIG,DATOS!$I19832,nEVAL,"EX")=0),0))))</f>
      </c>
      <c r="H19832">
        <f>IF(DATOS!$G19832&lt;&gt;"EX",0,--(COUNTIFS(nNIA,DATOS!$A19832,nCURSO,DATOS!$D19832,nESPEC,DATOS!$E19832,nASIG,DATOS!$I19832,nEVAL,"OR")=0))</f>
      </c>
      <c r="I19832">
        <f>IF(DATOS!$I19832="","",IFERROR(VLOOKUP(DATOS!$I19832,CONFIG_ASIGNATURAS!$B$2:$J$91,9,FALSE()),""))</f>
      </c>
    </row>
    <row r="19833">
      <c r="F19833">
        <f>IF(DATOS!$A19833="","",DATOS!$A19833&amp;"|"&amp;DATOS!$D19833&amp;"|"&amp;DATOS!$E19833&amp;"|"&amp;DATOS!$I19833)</f>
      </c>
      <c r="G19833">
        <f>IF(DATOS!$A19833="",0,IF(CONFIG_METADATA!$B$4&lt;&gt;"OR+EX",--(DATOS!$G19833=CONFIG_METADATA!$B$4),IF(DATOS!$G19833="EX",1,IF(DATOS!$G19833="OR",--(COUNTIFS(nNIA,DATOS!$A19833,nCURSO,DATOS!$D19833,nESPEC,DATOS!$E19833,nASIG,DATOS!$I19833,nEVAL,"EX")=0),0))))</f>
      </c>
      <c r="H19833">
        <f>IF(DATOS!$G19833&lt;&gt;"EX",0,--(COUNTIFS(nNIA,DATOS!$A19833,nCURSO,DATOS!$D19833,nESPEC,DATOS!$E19833,nASIG,DATOS!$I19833,nEVAL,"OR")=0))</f>
      </c>
      <c r="I19833">
        <f>IF(DATOS!$I19833="","",IFERROR(VLOOKUP(DATOS!$I19833,CONFIG_ASIGNATURAS!$B$2:$J$91,9,FALSE()),""))</f>
      </c>
    </row>
    <row r="19834">
      <c r="F19834">
        <f>IF(DATOS!$A19834="","",DATOS!$A19834&amp;"|"&amp;DATOS!$D19834&amp;"|"&amp;DATOS!$E19834&amp;"|"&amp;DATOS!$I19834)</f>
      </c>
      <c r="G19834">
        <f>IF(DATOS!$A19834="",0,IF(CONFIG_METADATA!$B$4&lt;&gt;"OR+EX",--(DATOS!$G19834=CONFIG_METADATA!$B$4),IF(DATOS!$G19834="EX",1,IF(DATOS!$G19834="OR",--(COUNTIFS(nNIA,DATOS!$A19834,nCURSO,DATOS!$D19834,nESPEC,DATOS!$E19834,nASIG,DATOS!$I19834,nEVAL,"EX")=0),0))))</f>
      </c>
      <c r="H19834">
        <f>IF(DATOS!$G19834&lt;&gt;"EX",0,--(COUNTIFS(nNIA,DATOS!$A19834,nCURSO,DATOS!$D19834,nESPEC,DATOS!$E19834,nASIG,DATOS!$I19834,nEVAL,"OR")=0))</f>
      </c>
      <c r="I19834">
        <f>IF(DATOS!$I19834="","",IFERROR(VLOOKUP(DATOS!$I19834,CONFIG_ASIGNATURAS!$B$2:$J$91,9,FALSE()),""))</f>
      </c>
    </row>
    <row r="19835">
      <c r="F19835">
        <f>IF(DATOS!$A19835="","",DATOS!$A19835&amp;"|"&amp;DATOS!$D19835&amp;"|"&amp;DATOS!$E19835&amp;"|"&amp;DATOS!$I19835)</f>
      </c>
      <c r="G19835">
        <f>IF(DATOS!$A19835="",0,IF(CONFIG_METADATA!$B$4&lt;&gt;"OR+EX",--(DATOS!$G19835=CONFIG_METADATA!$B$4),IF(DATOS!$G19835="EX",1,IF(DATOS!$G19835="OR",--(COUNTIFS(nNIA,DATOS!$A19835,nCURSO,DATOS!$D19835,nESPEC,DATOS!$E19835,nASIG,DATOS!$I19835,nEVAL,"EX")=0),0))))</f>
      </c>
      <c r="H19835">
        <f>IF(DATOS!$G19835&lt;&gt;"EX",0,--(COUNTIFS(nNIA,DATOS!$A19835,nCURSO,DATOS!$D19835,nESPEC,DATOS!$E19835,nASIG,DATOS!$I19835,nEVAL,"OR")=0))</f>
      </c>
      <c r="I19835">
        <f>IF(DATOS!$I19835="","",IFERROR(VLOOKUP(DATOS!$I19835,CONFIG_ASIGNATURAS!$B$2:$J$91,9,FALSE()),""))</f>
      </c>
    </row>
    <row r="19836">
      <c r="F19836">
        <f>IF(DATOS!$A19836="","",DATOS!$A19836&amp;"|"&amp;DATOS!$D19836&amp;"|"&amp;DATOS!$E19836&amp;"|"&amp;DATOS!$I19836)</f>
      </c>
      <c r="G19836">
        <f>IF(DATOS!$A19836="",0,IF(CONFIG_METADATA!$B$4&lt;&gt;"OR+EX",--(DATOS!$G19836=CONFIG_METADATA!$B$4),IF(DATOS!$G19836="EX",1,IF(DATOS!$G19836="OR",--(COUNTIFS(nNIA,DATOS!$A19836,nCURSO,DATOS!$D19836,nESPEC,DATOS!$E19836,nASIG,DATOS!$I19836,nEVAL,"EX")=0),0))))</f>
      </c>
      <c r="H19836">
        <f>IF(DATOS!$G19836&lt;&gt;"EX",0,--(COUNTIFS(nNIA,DATOS!$A19836,nCURSO,DATOS!$D19836,nESPEC,DATOS!$E19836,nASIG,DATOS!$I19836,nEVAL,"OR")=0))</f>
      </c>
      <c r="I19836">
        <f>IF(DATOS!$I19836="","",IFERROR(VLOOKUP(DATOS!$I19836,CONFIG_ASIGNATURAS!$B$2:$J$91,9,FALSE()),""))</f>
      </c>
    </row>
    <row r="19837">
      <c r="F19837">
        <f>IF(DATOS!$A19837="","",DATOS!$A19837&amp;"|"&amp;DATOS!$D19837&amp;"|"&amp;DATOS!$E19837&amp;"|"&amp;DATOS!$I19837)</f>
      </c>
      <c r="G19837">
        <f>IF(DATOS!$A19837="",0,IF(CONFIG_METADATA!$B$4&lt;&gt;"OR+EX",--(DATOS!$G19837=CONFIG_METADATA!$B$4),IF(DATOS!$G19837="EX",1,IF(DATOS!$G19837="OR",--(COUNTIFS(nNIA,DATOS!$A19837,nCURSO,DATOS!$D19837,nESPEC,DATOS!$E19837,nASIG,DATOS!$I19837,nEVAL,"EX")=0),0))))</f>
      </c>
      <c r="H19837">
        <f>IF(DATOS!$G19837&lt;&gt;"EX",0,--(COUNTIFS(nNIA,DATOS!$A19837,nCURSO,DATOS!$D19837,nESPEC,DATOS!$E19837,nASIG,DATOS!$I19837,nEVAL,"OR")=0))</f>
      </c>
      <c r="I19837">
        <f>IF(DATOS!$I19837="","",IFERROR(VLOOKUP(DATOS!$I19837,CONFIG_ASIGNATURAS!$B$2:$J$91,9,FALSE()),""))</f>
      </c>
    </row>
    <row r="19838">
      <c r="F19838">
        <f>IF(DATOS!$A19838="","",DATOS!$A19838&amp;"|"&amp;DATOS!$D19838&amp;"|"&amp;DATOS!$E19838&amp;"|"&amp;DATOS!$I19838)</f>
      </c>
      <c r="G19838">
        <f>IF(DATOS!$A19838="",0,IF(CONFIG_METADATA!$B$4&lt;&gt;"OR+EX",--(DATOS!$G19838=CONFIG_METADATA!$B$4),IF(DATOS!$G19838="EX",1,IF(DATOS!$G19838="OR",--(COUNTIFS(nNIA,DATOS!$A19838,nCURSO,DATOS!$D19838,nESPEC,DATOS!$E19838,nASIG,DATOS!$I19838,nEVAL,"EX")=0),0))))</f>
      </c>
      <c r="H19838">
        <f>IF(DATOS!$G19838&lt;&gt;"EX",0,--(COUNTIFS(nNIA,DATOS!$A19838,nCURSO,DATOS!$D19838,nESPEC,DATOS!$E19838,nASIG,DATOS!$I19838,nEVAL,"OR")=0))</f>
      </c>
      <c r="I19838">
        <f>IF(DATOS!$I19838="","",IFERROR(VLOOKUP(DATOS!$I19838,CONFIG_ASIGNATURAS!$B$2:$J$91,9,FALSE()),""))</f>
      </c>
    </row>
    <row r="19839">
      <c r="F19839">
        <f>IF(DATOS!$A19839="","",DATOS!$A19839&amp;"|"&amp;DATOS!$D19839&amp;"|"&amp;DATOS!$E19839&amp;"|"&amp;DATOS!$I19839)</f>
      </c>
      <c r="G19839">
        <f>IF(DATOS!$A19839="",0,IF(CONFIG_METADATA!$B$4&lt;&gt;"OR+EX",--(DATOS!$G19839=CONFIG_METADATA!$B$4),IF(DATOS!$G19839="EX",1,IF(DATOS!$G19839="OR",--(COUNTIFS(nNIA,DATOS!$A19839,nCURSO,DATOS!$D19839,nESPEC,DATOS!$E19839,nASIG,DATOS!$I19839,nEVAL,"EX")=0),0))))</f>
      </c>
      <c r="H19839">
        <f>IF(DATOS!$G19839&lt;&gt;"EX",0,--(COUNTIFS(nNIA,DATOS!$A19839,nCURSO,DATOS!$D19839,nESPEC,DATOS!$E19839,nASIG,DATOS!$I19839,nEVAL,"OR")=0))</f>
      </c>
      <c r="I19839">
        <f>IF(DATOS!$I19839="","",IFERROR(VLOOKUP(DATOS!$I19839,CONFIG_ASIGNATURAS!$B$2:$J$91,9,FALSE()),""))</f>
      </c>
    </row>
    <row r="19840">
      <c r="F19840">
        <f>IF(DATOS!$A19840="","",DATOS!$A19840&amp;"|"&amp;DATOS!$D19840&amp;"|"&amp;DATOS!$E19840&amp;"|"&amp;DATOS!$I19840)</f>
      </c>
      <c r="G19840">
        <f>IF(DATOS!$A19840="",0,IF(CONFIG_METADATA!$B$4&lt;&gt;"OR+EX",--(DATOS!$G19840=CONFIG_METADATA!$B$4),IF(DATOS!$G19840="EX",1,IF(DATOS!$G19840="OR",--(COUNTIFS(nNIA,DATOS!$A19840,nCURSO,DATOS!$D19840,nESPEC,DATOS!$E19840,nASIG,DATOS!$I19840,nEVAL,"EX")=0),0))))</f>
      </c>
      <c r="H19840">
        <f>IF(DATOS!$G19840&lt;&gt;"EX",0,--(COUNTIFS(nNIA,DATOS!$A19840,nCURSO,DATOS!$D19840,nESPEC,DATOS!$E19840,nASIG,DATOS!$I19840,nEVAL,"OR")=0))</f>
      </c>
      <c r="I19840">
        <f>IF(DATOS!$I19840="","",IFERROR(VLOOKUP(DATOS!$I19840,CONFIG_ASIGNATURAS!$B$2:$J$91,9,FALSE()),""))</f>
      </c>
    </row>
    <row r="19841">
      <c r="F19841">
        <f>IF(DATOS!$A19841="","",DATOS!$A19841&amp;"|"&amp;DATOS!$D19841&amp;"|"&amp;DATOS!$E19841&amp;"|"&amp;DATOS!$I19841)</f>
      </c>
      <c r="G19841">
        <f>IF(DATOS!$A19841="",0,IF(CONFIG_METADATA!$B$4&lt;&gt;"OR+EX",--(DATOS!$G19841=CONFIG_METADATA!$B$4),IF(DATOS!$G19841="EX",1,IF(DATOS!$G19841="OR",--(COUNTIFS(nNIA,DATOS!$A19841,nCURSO,DATOS!$D19841,nESPEC,DATOS!$E19841,nASIG,DATOS!$I19841,nEVAL,"EX")=0),0))))</f>
      </c>
      <c r="H19841">
        <f>IF(DATOS!$G19841&lt;&gt;"EX",0,--(COUNTIFS(nNIA,DATOS!$A19841,nCURSO,DATOS!$D19841,nESPEC,DATOS!$E19841,nASIG,DATOS!$I19841,nEVAL,"OR")=0))</f>
      </c>
      <c r="I19841">
        <f>IF(DATOS!$I19841="","",IFERROR(VLOOKUP(DATOS!$I19841,CONFIG_ASIGNATURAS!$B$2:$J$91,9,FALSE()),""))</f>
      </c>
    </row>
    <row r="19842">
      <c r="F19842">
        <f>IF(DATOS!$A19842="","",DATOS!$A19842&amp;"|"&amp;DATOS!$D19842&amp;"|"&amp;DATOS!$E19842&amp;"|"&amp;DATOS!$I19842)</f>
      </c>
      <c r="G19842">
        <f>IF(DATOS!$A19842="",0,IF(CONFIG_METADATA!$B$4&lt;&gt;"OR+EX",--(DATOS!$G19842=CONFIG_METADATA!$B$4),IF(DATOS!$G19842="EX",1,IF(DATOS!$G19842="OR",--(COUNTIFS(nNIA,DATOS!$A19842,nCURSO,DATOS!$D19842,nESPEC,DATOS!$E19842,nASIG,DATOS!$I19842,nEVAL,"EX")=0),0))))</f>
      </c>
      <c r="H19842">
        <f>IF(DATOS!$G19842&lt;&gt;"EX",0,--(COUNTIFS(nNIA,DATOS!$A19842,nCURSO,DATOS!$D19842,nESPEC,DATOS!$E19842,nASIG,DATOS!$I19842,nEVAL,"OR")=0))</f>
      </c>
      <c r="I19842">
        <f>IF(DATOS!$I19842="","",IFERROR(VLOOKUP(DATOS!$I19842,CONFIG_ASIGNATURAS!$B$2:$J$91,9,FALSE()),""))</f>
      </c>
    </row>
    <row r="19843">
      <c r="F19843">
        <f>IF(DATOS!$A19843="","",DATOS!$A19843&amp;"|"&amp;DATOS!$D19843&amp;"|"&amp;DATOS!$E19843&amp;"|"&amp;DATOS!$I19843)</f>
      </c>
      <c r="G19843">
        <f>IF(DATOS!$A19843="",0,IF(CONFIG_METADATA!$B$4&lt;&gt;"OR+EX",--(DATOS!$G19843=CONFIG_METADATA!$B$4),IF(DATOS!$G19843="EX",1,IF(DATOS!$G19843="OR",--(COUNTIFS(nNIA,DATOS!$A19843,nCURSO,DATOS!$D19843,nESPEC,DATOS!$E19843,nASIG,DATOS!$I19843,nEVAL,"EX")=0),0))))</f>
      </c>
      <c r="H19843">
        <f>IF(DATOS!$G19843&lt;&gt;"EX",0,--(COUNTIFS(nNIA,DATOS!$A19843,nCURSO,DATOS!$D19843,nESPEC,DATOS!$E19843,nASIG,DATOS!$I19843,nEVAL,"OR")=0))</f>
      </c>
      <c r="I19843">
        <f>IF(DATOS!$I19843="","",IFERROR(VLOOKUP(DATOS!$I19843,CONFIG_ASIGNATURAS!$B$2:$J$91,9,FALSE()),""))</f>
      </c>
    </row>
    <row r="19844">
      <c r="F19844">
        <f>IF(DATOS!$A19844="","",DATOS!$A19844&amp;"|"&amp;DATOS!$D19844&amp;"|"&amp;DATOS!$E19844&amp;"|"&amp;DATOS!$I19844)</f>
      </c>
      <c r="G19844">
        <f>IF(DATOS!$A19844="",0,IF(CONFIG_METADATA!$B$4&lt;&gt;"OR+EX",--(DATOS!$G19844=CONFIG_METADATA!$B$4),IF(DATOS!$G19844="EX",1,IF(DATOS!$G19844="OR",--(COUNTIFS(nNIA,DATOS!$A19844,nCURSO,DATOS!$D19844,nESPEC,DATOS!$E19844,nASIG,DATOS!$I19844,nEVAL,"EX")=0),0))))</f>
      </c>
      <c r="H19844">
        <f>IF(DATOS!$G19844&lt;&gt;"EX",0,--(COUNTIFS(nNIA,DATOS!$A19844,nCURSO,DATOS!$D19844,nESPEC,DATOS!$E19844,nASIG,DATOS!$I19844,nEVAL,"OR")=0))</f>
      </c>
      <c r="I19844">
        <f>IF(DATOS!$I19844="","",IFERROR(VLOOKUP(DATOS!$I19844,CONFIG_ASIGNATURAS!$B$2:$J$91,9,FALSE()),""))</f>
      </c>
    </row>
    <row r="19845">
      <c r="F19845">
        <f>IF(DATOS!$A19845="","",DATOS!$A19845&amp;"|"&amp;DATOS!$D19845&amp;"|"&amp;DATOS!$E19845&amp;"|"&amp;DATOS!$I19845)</f>
      </c>
      <c r="G19845">
        <f>IF(DATOS!$A19845="",0,IF(CONFIG_METADATA!$B$4&lt;&gt;"OR+EX",--(DATOS!$G19845=CONFIG_METADATA!$B$4),IF(DATOS!$G19845="EX",1,IF(DATOS!$G19845="OR",--(COUNTIFS(nNIA,DATOS!$A19845,nCURSO,DATOS!$D19845,nESPEC,DATOS!$E19845,nASIG,DATOS!$I19845,nEVAL,"EX")=0),0))))</f>
      </c>
      <c r="H19845">
        <f>IF(DATOS!$G19845&lt;&gt;"EX",0,--(COUNTIFS(nNIA,DATOS!$A19845,nCURSO,DATOS!$D19845,nESPEC,DATOS!$E19845,nASIG,DATOS!$I19845,nEVAL,"OR")=0))</f>
      </c>
      <c r="I19845">
        <f>IF(DATOS!$I19845="","",IFERROR(VLOOKUP(DATOS!$I19845,CONFIG_ASIGNATURAS!$B$2:$J$91,9,FALSE()),""))</f>
      </c>
    </row>
    <row r="19846">
      <c r="F19846">
        <f>IF(DATOS!$A19846="","",DATOS!$A19846&amp;"|"&amp;DATOS!$D19846&amp;"|"&amp;DATOS!$E19846&amp;"|"&amp;DATOS!$I19846)</f>
      </c>
      <c r="G19846">
        <f>IF(DATOS!$A19846="",0,IF(CONFIG_METADATA!$B$4&lt;&gt;"OR+EX",--(DATOS!$G19846=CONFIG_METADATA!$B$4),IF(DATOS!$G19846="EX",1,IF(DATOS!$G19846="OR",--(COUNTIFS(nNIA,DATOS!$A19846,nCURSO,DATOS!$D19846,nESPEC,DATOS!$E19846,nASIG,DATOS!$I19846,nEVAL,"EX")=0),0))))</f>
      </c>
      <c r="H19846">
        <f>IF(DATOS!$G19846&lt;&gt;"EX",0,--(COUNTIFS(nNIA,DATOS!$A19846,nCURSO,DATOS!$D19846,nESPEC,DATOS!$E19846,nASIG,DATOS!$I19846,nEVAL,"OR")=0))</f>
      </c>
      <c r="I19846">
        <f>IF(DATOS!$I19846="","",IFERROR(VLOOKUP(DATOS!$I19846,CONFIG_ASIGNATURAS!$B$2:$J$91,9,FALSE()),""))</f>
      </c>
    </row>
    <row r="19847">
      <c r="F19847">
        <f>IF(DATOS!$A19847="","",DATOS!$A19847&amp;"|"&amp;DATOS!$D19847&amp;"|"&amp;DATOS!$E19847&amp;"|"&amp;DATOS!$I19847)</f>
      </c>
      <c r="G19847">
        <f>IF(DATOS!$A19847="",0,IF(CONFIG_METADATA!$B$4&lt;&gt;"OR+EX",--(DATOS!$G19847=CONFIG_METADATA!$B$4),IF(DATOS!$G19847="EX",1,IF(DATOS!$G19847="OR",--(COUNTIFS(nNIA,DATOS!$A19847,nCURSO,DATOS!$D19847,nESPEC,DATOS!$E19847,nASIG,DATOS!$I19847,nEVAL,"EX")=0),0))))</f>
      </c>
      <c r="H19847">
        <f>IF(DATOS!$G19847&lt;&gt;"EX",0,--(COUNTIFS(nNIA,DATOS!$A19847,nCURSO,DATOS!$D19847,nESPEC,DATOS!$E19847,nASIG,DATOS!$I19847,nEVAL,"OR")=0))</f>
      </c>
      <c r="I19847">
        <f>IF(DATOS!$I19847="","",IFERROR(VLOOKUP(DATOS!$I19847,CONFIG_ASIGNATURAS!$B$2:$J$91,9,FALSE()),""))</f>
      </c>
    </row>
    <row r="19848">
      <c r="F19848">
        <f>IF(DATOS!$A19848="","",DATOS!$A19848&amp;"|"&amp;DATOS!$D19848&amp;"|"&amp;DATOS!$E19848&amp;"|"&amp;DATOS!$I19848)</f>
      </c>
      <c r="G19848">
        <f>IF(DATOS!$A19848="",0,IF(CONFIG_METADATA!$B$4&lt;&gt;"OR+EX",--(DATOS!$G19848=CONFIG_METADATA!$B$4),IF(DATOS!$G19848="EX",1,IF(DATOS!$G19848="OR",--(COUNTIFS(nNIA,DATOS!$A19848,nCURSO,DATOS!$D19848,nESPEC,DATOS!$E19848,nASIG,DATOS!$I19848,nEVAL,"EX")=0),0))))</f>
      </c>
      <c r="H19848">
        <f>IF(DATOS!$G19848&lt;&gt;"EX",0,--(COUNTIFS(nNIA,DATOS!$A19848,nCURSO,DATOS!$D19848,nESPEC,DATOS!$E19848,nASIG,DATOS!$I19848,nEVAL,"OR")=0))</f>
      </c>
      <c r="I19848">
        <f>IF(DATOS!$I19848="","",IFERROR(VLOOKUP(DATOS!$I19848,CONFIG_ASIGNATURAS!$B$2:$J$91,9,FALSE()),""))</f>
      </c>
    </row>
    <row r="19849">
      <c r="F19849">
        <f>IF(DATOS!$A19849="","",DATOS!$A19849&amp;"|"&amp;DATOS!$D19849&amp;"|"&amp;DATOS!$E19849&amp;"|"&amp;DATOS!$I19849)</f>
      </c>
      <c r="G19849">
        <f>IF(DATOS!$A19849="",0,IF(CONFIG_METADATA!$B$4&lt;&gt;"OR+EX",--(DATOS!$G19849=CONFIG_METADATA!$B$4),IF(DATOS!$G19849="EX",1,IF(DATOS!$G19849="OR",--(COUNTIFS(nNIA,DATOS!$A19849,nCURSO,DATOS!$D19849,nESPEC,DATOS!$E19849,nASIG,DATOS!$I19849,nEVAL,"EX")=0),0))))</f>
      </c>
      <c r="H19849">
        <f>IF(DATOS!$G19849&lt;&gt;"EX",0,--(COUNTIFS(nNIA,DATOS!$A19849,nCURSO,DATOS!$D19849,nESPEC,DATOS!$E19849,nASIG,DATOS!$I19849,nEVAL,"OR")=0))</f>
      </c>
      <c r="I19849">
        <f>IF(DATOS!$I19849="","",IFERROR(VLOOKUP(DATOS!$I19849,CONFIG_ASIGNATURAS!$B$2:$J$91,9,FALSE()),""))</f>
      </c>
    </row>
    <row r="19850">
      <c r="F19850">
        <f>IF(DATOS!$A19850="","",DATOS!$A19850&amp;"|"&amp;DATOS!$D19850&amp;"|"&amp;DATOS!$E19850&amp;"|"&amp;DATOS!$I19850)</f>
      </c>
      <c r="G19850">
        <f>IF(DATOS!$A19850="",0,IF(CONFIG_METADATA!$B$4&lt;&gt;"OR+EX",--(DATOS!$G19850=CONFIG_METADATA!$B$4),IF(DATOS!$G19850="EX",1,IF(DATOS!$G19850="OR",--(COUNTIFS(nNIA,DATOS!$A19850,nCURSO,DATOS!$D19850,nESPEC,DATOS!$E19850,nASIG,DATOS!$I19850,nEVAL,"EX")=0),0))))</f>
      </c>
      <c r="H19850">
        <f>IF(DATOS!$G19850&lt;&gt;"EX",0,--(COUNTIFS(nNIA,DATOS!$A19850,nCURSO,DATOS!$D19850,nESPEC,DATOS!$E19850,nASIG,DATOS!$I19850,nEVAL,"OR")=0))</f>
      </c>
      <c r="I19850">
        <f>IF(DATOS!$I19850="","",IFERROR(VLOOKUP(DATOS!$I19850,CONFIG_ASIGNATURAS!$B$2:$J$91,9,FALSE()),""))</f>
      </c>
    </row>
    <row r="19851">
      <c r="F19851">
        <f>IF(DATOS!$A19851="","",DATOS!$A19851&amp;"|"&amp;DATOS!$D19851&amp;"|"&amp;DATOS!$E19851&amp;"|"&amp;DATOS!$I19851)</f>
      </c>
      <c r="G19851">
        <f>IF(DATOS!$A19851="",0,IF(CONFIG_METADATA!$B$4&lt;&gt;"OR+EX",--(DATOS!$G19851=CONFIG_METADATA!$B$4),IF(DATOS!$G19851="EX",1,IF(DATOS!$G19851="OR",--(COUNTIFS(nNIA,DATOS!$A19851,nCURSO,DATOS!$D19851,nESPEC,DATOS!$E19851,nASIG,DATOS!$I19851,nEVAL,"EX")=0),0))))</f>
      </c>
      <c r="H19851">
        <f>IF(DATOS!$G19851&lt;&gt;"EX",0,--(COUNTIFS(nNIA,DATOS!$A19851,nCURSO,DATOS!$D19851,nESPEC,DATOS!$E19851,nASIG,DATOS!$I19851,nEVAL,"OR")=0))</f>
      </c>
      <c r="I19851">
        <f>IF(DATOS!$I19851="","",IFERROR(VLOOKUP(DATOS!$I19851,CONFIG_ASIGNATURAS!$B$2:$J$91,9,FALSE()),""))</f>
      </c>
    </row>
    <row r="19852">
      <c r="F19852">
        <f>IF(DATOS!$A19852="","",DATOS!$A19852&amp;"|"&amp;DATOS!$D19852&amp;"|"&amp;DATOS!$E19852&amp;"|"&amp;DATOS!$I19852)</f>
      </c>
      <c r="G19852">
        <f>IF(DATOS!$A19852="",0,IF(CONFIG_METADATA!$B$4&lt;&gt;"OR+EX",--(DATOS!$G19852=CONFIG_METADATA!$B$4),IF(DATOS!$G19852="EX",1,IF(DATOS!$G19852="OR",--(COUNTIFS(nNIA,DATOS!$A19852,nCURSO,DATOS!$D19852,nESPEC,DATOS!$E19852,nASIG,DATOS!$I19852,nEVAL,"EX")=0),0))))</f>
      </c>
      <c r="H19852">
        <f>IF(DATOS!$G19852&lt;&gt;"EX",0,--(COUNTIFS(nNIA,DATOS!$A19852,nCURSO,DATOS!$D19852,nESPEC,DATOS!$E19852,nASIG,DATOS!$I19852,nEVAL,"OR")=0))</f>
      </c>
      <c r="I19852">
        <f>IF(DATOS!$I19852="","",IFERROR(VLOOKUP(DATOS!$I19852,CONFIG_ASIGNATURAS!$B$2:$J$91,9,FALSE()),""))</f>
      </c>
    </row>
    <row r="19853">
      <c r="F19853">
        <f>IF(DATOS!$A19853="","",DATOS!$A19853&amp;"|"&amp;DATOS!$D19853&amp;"|"&amp;DATOS!$E19853&amp;"|"&amp;DATOS!$I19853)</f>
      </c>
      <c r="G19853">
        <f>IF(DATOS!$A19853="",0,IF(CONFIG_METADATA!$B$4&lt;&gt;"OR+EX",--(DATOS!$G19853=CONFIG_METADATA!$B$4),IF(DATOS!$G19853="EX",1,IF(DATOS!$G19853="OR",--(COUNTIFS(nNIA,DATOS!$A19853,nCURSO,DATOS!$D19853,nESPEC,DATOS!$E19853,nASIG,DATOS!$I19853,nEVAL,"EX")=0),0))))</f>
      </c>
      <c r="H19853">
        <f>IF(DATOS!$G19853&lt;&gt;"EX",0,--(COUNTIFS(nNIA,DATOS!$A19853,nCURSO,DATOS!$D19853,nESPEC,DATOS!$E19853,nASIG,DATOS!$I19853,nEVAL,"OR")=0))</f>
      </c>
      <c r="I19853">
        <f>IF(DATOS!$I19853="","",IFERROR(VLOOKUP(DATOS!$I19853,CONFIG_ASIGNATURAS!$B$2:$J$91,9,FALSE()),""))</f>
      </c>
    </row>
    <row r="19854">
      <c r="F19854">
        <f>IF(DATOS!$A19854="","",DATOS!$A19854&amp;"|"&amp;DATOS!$D19854&amp;"|"&amp;DATOS!$E19854&amp;"|"&amp;DATOS!$I19854)</f>
      </c>
      <c r="G19854">
        <f>IF(DATOS!$A19854="",0,IF(CONFIG_METADATA!$B$4&lt;&gt;"OR+EX",--(DATOS!$G19854=CONFIG_METADATA!$B$4),IF(DATOS!$G19854="EX",1,IF(DATOS!$G19854="OR",--(COUNTIFS(nNIA,DATOS!$A19854,nCURSO,DATOS!$D19854,nESPEC,DATOS!$E19854,nASIG,DATOS!$I19854,nEVAL,"EX")=0),0))))</f>
      </c>
      <c r="H19854">
        <f>IF(DATOS!$G19854&lt;&gt;"EX",0,--(COUNTIFS(nNIA,DATOS!$A19854,nCURSO,DATOS!$D19854,nESPEC,DATOS!$E19854,nASIG,DATOS!$I19854,nEVAL,"OR")=0))</f>
      </c>
      <c r="I19854">
        <f>IF(DATOS!$I19854="","",IFERROR(VLOOKUP(DATOS!$I19854,CONFIG_ASIGNATURAS!$B$2:$J$91,9,FALSE()),""))</f>
      </c>
    </row>
    <row r="19855">
      <c r="F19855">
        <f>IF(DATOS!$A19855="","",DATOS!$A19855&amp;"|"&amp;DATOS!$D19855&amp;"|"&amp;DATOS!$E19855&amp;"|"&amp;DATOS!$I19855)</f>
      </c>
      <c r="G19855">
        <f>IF(DATOS!$A19855="",0,IF(CONFIG_METADATA!$B$4&lt;&gt;"OR+EX",--(DATOS!$G19855=CONFIG_METADATA!$B$4),IF(DATOS!$G19855="EX",1,IF(DATOS!$G19855="OR",--(COUNTIFS(nNIA,DATOS!$A19855,nCURSO,DATOS!$D19855,nESPEC,DATOS!$E19855,nASIG,DATOS!$I19855,nEVAL,"EX")=0),0))))</f>
      </c>
      <c r="H19855">
        <f>IF(DATOS!$G19855&lt;&gt;"EX",0,--(COUNTIFS(nNIA,DATOS!$A19855,nCURSO,DATOS!$D19855,nESPEC,DATOS!$E19855,nASIG,DATOS!$I19855,nEVAL,"OR")=0))</f>
      </c>
      <c r="I19855">
        <f>IF(DATOS!$I19855="","",IFERROR(VLOOKUP(DATOS!$I19855,CONFIG_ASIGNATURAS!$B$2:$J$91,9,FALSE()),""))</f>
      </c>
    </row>
    <row r="19856">
      <c r="F19856">
        <f>IF(DATOS!$A19856="","",DATOS!$A19856&amp;"|"&amp;DATOS!$D19856&amp;"|"&amp;DATOS!$E19856&amp;"|"&amp;DATOS!$I19856)</f>
      </c>
      <c r="G19856">
        <f>IF(DATOS!$A19856="",0,IF(CONFIG_METADATA!$B$4&lt;&gt;"OR+EX",--(DATOS!$G19856=CONFIG_METADATA!$B$4),IF(DATOS!$G19856="EX",1,IF(DATOS!$G19856="OR",--(COUNTIFS(nNIA,DATOS!$A19856,nCURSO,DATOS!$D19856,nESPEC,DATOS!$E19856,nASIG,DATOS!$I19856,nEVAL,"EX")=0),0))))</f>
      </c>
      <c r="H19856">
        <f>IF(DATOS!$G19856&lt;&gt;"EX",0,--(COUNTIFS(nNIA,DATOS!$A19856,nCURSO,DATOS!$D19856,nESPEC,DATOS!$E19856,nASIG,DATOS!$I19856,nEVAL,"OR")=0))</f>
      </c>
      <c r="I19856">
        <f>IF(DATOS!$I19856="","",IFERROR(VLOOKUP(DATOS!$I19856,CONFIG_ASIGNATURAS!$B$2:$J$91,9,FALSE()),""))</f>
      </c>
    </row>
    <row r="19857">
      <c r="F19857">
        <f>IF(DATOS!$A19857="","",DATOS!$A19857&amp;"|"&amp;DATOS!$D19857&amp;"|"&amp;DATOS!$E19857&amp;"|"&amp;DATOS!$I19857)</f>
      </c>
      <c r="G19857">
        <f>IF(DATOS!$A19857="",0,IF(CONFIG_METADATA!$B$4&lt;&gt;"OR+EX",--(DATOS!$G19857=CONFIG_METADATA!$B$4),IF(DATOS!$G19857="EX",1,IF(DATOS!$G19857="OR",--(COUNTIFS(nNIA,DATOS!$A19857,nCURSO,DATOS!$D19857,nESPEC,DATOS!$E19857,nASIG,DATOS!$I19857,nEVAL,"EX")=0),0))))</f>
      </c>
      <c r="H19857">
        <f>IF(DATOS!$G19857&lt;&gt;"EX",0,--(COUNTIFS(nNIA,DATOS!$A19857,nCURSO,DATOS!$D19857,nESPEC,DATOS!$E19857,nASIG,DATOS!$I19857,nEVAL,"OR")=0))</f>
      </c>
      <c r="I19857">
        <f>IF(DATOS!$I19857="","",IFERROR(VLOOKUP(DATOS!$I19857,CONFIG_ASIGNATURAS!$B$2:$J$91,9,FALSE()),""))</f>
      </c>
    </row>
    <row r="19858">
      <c r="F19858">
        <f>IF(DATOS!$A19858="","",DATOS!$A19858&amp;"|"&amp;DATOS!$D19858&amp;"|"&amp;DATOS!$E19858&amp;"|"&amp;DATOS!$I19858)</f>
      </c>
      <c r="G19858">
        <f>IF(DATOS!$A19858="",0,IF(CONFIG_METADATA!$B$4&lt;&gt;"OR+EX",--(DATOS!$G19858=CONFIG_METADATA!$B$4),IF(DATOS!$G19858="EX",1,IF(DATOS!$G19858="OR",--(COUNTIFS(nNIA,DATOS!$A19858,nCURSO,DATOS!$D19858,nESPEC,DATOS!$E19858,nASIG,DATOS!$I19858,nEVAL,"EX")=0),0))))</f>
      </c>
      <c r="H19858">
        <f>IF(DATOS!$G19858&lt;&gt;"EX",0,--(COUNTIFS(nNIA,DATOS!$A19858,nCURSO,DATOS!$D19858,nESPEC,DATOS!$E19858,nASIG,DATOS!$I19858,nEVAL,"OR")=0))</f>
      </c>
      <c r="I19858">
        <f>IF(DATOS!$I19858="","",IFERROR(VLOOKUP(DATOS!$I19858,CONFIG_ASIGNATURAS!$B$2:$J$91,9,FALSE()),""))</f>
      </c>
    </row>
    <row r="19859">
      <c r="F19859">
        <f>IF(DATOS!$A19859="","",DATOS!$A19859&amp;"|"&amp;DATOS!$D19859&amp;"|"&amp;DATOS!$E19859&amp;"|"&amp;DATOS!$I19859)</f>
      </c>
      <c r="G19859">
        <f>IF(DATOS!$A19859="",0,IF(CONFIG_METADATA!$B$4&lt;&gt;"OR+EX",--(DATOS!$G19859=CONFIG_METADATA!$B$4),IF(DATOS!$G19859="EX",1,IF(DATOS!$G19859="OR",--(COUNTIFS(nNIA,DATOS!$A19859,nCURSO,DATOS!$D19859,nESPEC,DATOS!$E19859,nASIG,DATOS!$I19859,nEVAL,"EX")=0),0))))</f>
      </c>
      <c r="H19859">
        <f>IF(DATOS!$G19859&lt;&gt;"EX",0,--(COUNTIFS(nNIA,DATOS!$A19859,nCURSO,DATOS!$D19859,nESPEC,DATOS!$E19859,nASIG,DATOS!$I19859,nEVAL,"OR")=0))</f>
      </c>
      <c r="I19859">
        <f>IF(DATOS!$I19859="","",IFERROR(VLOOKUP(DATOS!$I19859,CONFIG_ASIGNATURAS!$B$2:$J$91,9,FALSE()),""))</f>
      </c>
    </row>
    <row r="19860">
      <c r="F19860">
        <f>IF(DATOS!$A19860="","",DATOS!$A19860&amp;"|"&amp;DATOS!$D19860&amp;"|"&amp;DATOS!$E19860&amp;"|"&amp;DATOS!$I19860)</f>
      </c>
      <c r="G19860">
        <f>IF(DATOS!$A19860="",0,IF(CONFIG_METADATA!$B$4&lt;&gt;"OR+EX",--(DATOS!$G19860=CONFIG_METADATA!$B$4),IF(DATOS!$G19860="EX",1,IF(DATOS!$G19860="OR",--(COUNTIFS(nNIA,DATOS!$A19860,nCURSO,DATOS!$D19860,nESPEC,DATOS!$E19860,nASIG,DATOS!$I19860,nEVAL,"EX")=0),0))))</f>
      </c>
      <c r="H19860">
        <f>IF(DATOS!$G19860&lt;&gt;"EX",0,--(COUNTIFS(nNIA,DATOS!$A19860,nCURSO,DATOS!$D19860,nESPEC,DATOS!$E19860,nASIG,DATOS!$I19860,nEVAL,"OR")=0))</f>
      </c>
      <c r="I19860">
        <f>IF(DATOS!$I19860="","",IFERROR(VLOOKUP(DATOS!$I19860,CONFIG_ASIGNATURAS!$B$2:$J$91,9,FALSE()),""))</f>
      </c>
    </row>
    <row r="19861">
      <c r="F19861">
        <f>IF(DATOS!$A19861="","",DATOS!$A19861&amp;"|"&amp;DATOS!$D19861&amp;"|"&amp;DATOS!$E19861&amp;"|"&amp;DATOS!$I19861)</f>
      </c>
      <c r="G19861">
        <f>IF(DATOS!$A19861="",0,IF(CONFIG_METADATA!$B$4&lt;&gt;"OR+EX",--(DATOS!$G19861=CONFIG_METADATA!$B$4),IF(DATOS!$G19861="EX",1,IF(DATOS!$G19861="OR",--(COUNTIFS(nNIA,DATOS!$A19861,nCURSO,DATOS!$D19861,nESPEC,DATOS!$E19861,nASIG,DATOS!$I19861,nEVAL,"EX")=0),0))))</f>
      </c>
      <c r="H19861">
        <f>IF(DATOS!$G19861&lt;&gt;"EX",0,--(COUNTIFS(nNIA,DATOS!$A19861,nCURSO,DATOS!$D19861,nESPEC,DATOS!$E19861,nASIG,DATOS!$I19861,nEVAL,"OR")=0))</f>
      </c>
      <c r="I19861">
        <f>IF(DATOS!$I19861="","",IFERROR(VLOOKUP(DATOS!$I19861,CONFIG_ASIGNATURAS!$B$2:$J$91,9,FALSE()),""))</f>
      </c>
    </row>
    <row r="19862">
      <c r="F19862">
        <f>IF(DATOS!$A19862="","",DATOS!$A19862&amp;"|"&amp;DATOS!$D19862&amp;"|"&amp;DATOS!$E19862&amp;"|"&amp;DATOS!$I19862)</f>
      </c>
      <c r="G19862">
        <f>IF(DATOS!$A19862="",0,IF(CONFIG_METADATA!$B$4&lt;&gt;"OR+EX",--(DATOS!$G19862=CONFIG_METADATA!$B$4),IF(DATOS!$G19862="EX",1,IF(DATOS!$G19862="OR",--(COUNTIFS(nNIA,DATOS!$A19862,nCURSO,DATOS!$D19862,nESPEC,DATOS!$E19862,nASIG,DATOS!$I19862,nEVAL,"EX")=0),0))))</f>
      </c>
      <c r="H19862">
        <f>IF(DATOS!$G19862&lt;&gt;"EX",0,--(COUNTIFS(nNIA,DATOS!$A19862,nCURSO,DATOS!$D19862,nESPEC,DATOS!$E19862,nASIG,DATOS!$I19862,nEVAL,"OR")=0))</f>
      </c>
      <c r="I19862">
        <f>IF(DATOS!$I19862="","",IFERROR(VLOOKUP(DATOS!$I19862,CONFIG_ASIGNATURAS!$B$2:$J$91,9,FALSE()),""))</f>
      </c>
    </row>
    <row r="19863">
      <c r="F19863">
        <f>IF(DATOS!$A19863="","",DATOS!$A19863&amp;"|"&amp;DATOS!$D19863&amp;"|"&amp;DATOS!$E19863&amp;"|"&amp;DATOS!$I19863)</f>
      </c>
      <c r="G19863">
        <f>IF(DATOS!$A19863="",0,IF(CONFIG_METADATA!$B$4&lt;&gt;"OR+EX",--(DATOS!$G19863=CONFIG_METADATA!$B$4),IF(DATOS!$G19863="EX",1,IF(DATOS!$G19863="OR",--(COUNTIFS(nNIA,DATOS!$A19863,nCURSO,DATOS!$D19863,nESPEC,DATOS!$E19863,nASIG,DATOS!$I19863,nEVAL,"EX")=0),0))))</f>
      </c>
      <c r="H19863">
        <f>IF(DATOS!$G19863&lt;&gt;"EX",0,--(COUNTIFS(nNIA,DATOS!$A19863,nCURSO,DATOS!$D19863,nESPEC,DATOS!$E19863,nASIG,DATOS!$I19863,nEVAL,"OR")=0))</f>
      </c>
      <c r="I19863">
        <f>IF(DATOS!$I19863="","",IFERROR(VLOOKUP(DATOS!$I19863,CONFIG_ASIGNATURAS!$B$2:$J$91,9,FALSE()),""))</f>
      </c>
    </row>
    <row r="19864">
      <c r="F19864">
        <f>IF(DATOS!$A19864="","",DATOS!$A19864&amp;"|"&amp;DATOS!$D19864&amp;"|"&amp;DATOS!$E19864&amp;"|"&amp;DATOS!$I19864)</f>
      </c>
      <c r="G19864">
        <f>IF(DATOS!$A19864="",0,IF(CONFIG_METADATA!$B$4&lt;&gt;"OR+EX",--(DATOS!$G19864=CONFIG_METADATA!$B$4),IF(DATOS!$G19864="EX",1,IF(DATOS!$G19864="OR",--(COUNTIFS(nNIA,DATOS!$A19864,nCURSO,DATOS!$D19864,nESPEC,DATOS!$E19864,nASIG,DATOS!$I19864,nEVAL,"EX")=0),0))))</f>
      </c>
      <c r="H19864">
        <f>IF(DATOS!$G19864&lt;&gt;"EX",0,--(COUNTIFS(nNIA,DATOS!$A19864,nCURSO,DATOS!$D19864,nESPEC,DATOS!$E19864,nASIG,DATOS!$I19864,nEVAL,"OR")=0))</f>
      </c>
      <c r="I19864">
        <f>IF(DATOS!$I19864="","",IFERROR(VLOOKUP(DATOS!$I19864,CONFIG_ASIGNATURAS!$B$2:$J$91,9,FALSE()),""))</f>
      </c>
    </row>
    <row r="19865">
      <c r="F19865">
        <f>IF(DATOS!$A19865="","",DATOS!$A19865&amp;"|"&amp;DATOS!$D19865&amp;"|"&amp;DATOS!$E19865&amp;"|"&amp;DATOS!$I19865)</f>
      </c>
      <c r="G19865">
        <f>IF(DATOS!$A19865="",0,IF(CONFIG_METADATA!$B$4&lt;&gt;"OR+EX",--(DATOS!$G19865=CONFIG_METADATA!$B$4),IF(DATOS!$G19865="EX",1,IF(DATOS!$G19865="OR",--(COUNTIFS(nNIA,DATOS!$A19865,nCURSO,DATOS!$D19865,nESPEC,DATOS!$E19865,nASIG,DATOS!$I19865,nEVAL,"EX")=0),0))))</f>
      </c>
      <c r="H19865">
        <f>IF(DATOS!$G19865&lt;&gt;"EX",0,--(COUNTIFS(nNIA,DATOS!$A19865,nCURSO,DATOS!$D19865,nESPEC,DATOS!$E19865,nASIG,DATOS!$I19865,nEVAL,"OR")=0))</f>
      </c>
      <c r="I19865">
        <f>IF(DATOS!$I19865="","",IFERROR(VLOOKUP(DATOS!$I19865,CONFIG_ASIGNATURAS!$B$2:$J$91,9,FALSE()),""))</f>
      </c>
    </row>
    <row r="19866">
      <c r="F19866">
        <f>IF(DATOS!$A19866="","",DATOS!$A19866&amp;"|"&amp;DATOS!$D19866&amp;"|"&amp;DATOS!$E19866&amp;"|"&amp;DATOS!$I19866)</f>
      </c>
      <c r="G19866">
        <f>IF(DATOS!$A19866="",0,IF(CONFIG_METADATA!$B$4&lt;&gt;"OR+EX",--(DATOS!$G19866=CONFIG_METADATA!$B$4),IF(DATOS!$G19866="EX",1,IF(DATOS!$G19866="OR",--(COUNTIFS(nNIA,DATOS!$A19866,nCURSO,DATOS!$D19866,nESPEC,DATOS!$E19866,nASIG,DATOS!$I19866,nEVAL,"EX")=0),0))))</f>
      </c>
      <c r="H19866">
        <f>IF(DATOS!$G19866&lt;&gt;"EX",0,--(COUNTIFS(nNIA,DATOS!$A19866,nCURSO,DATOS!$D19866,nESPEC,DATOS!$E19866,nASIG,DATOS!$I19866,nEVAL,"OR")=0))</f>
      </c>
      <c r="I19866">
        <f>IF(DATOS!$I19866="","",IFERROR(VLOOKUP(DATOS!$I19866,CONFIG_ASIGNATURAS!$B$2:$J$91,9,FALSE()),""))</f>
      </c>
    </row>
    <row r="19867">
      <c r="F19867">
        <f>IF(DATOS!$A19867="","",DATOS!$A19867&amp;"|"&amp;DATOS!$D19867&amp;"|"&amp;DATOS!$E19867&amp;"|"&amp;DATOS!$I19867)</f>
      </c>
      <c r="G19867">
        <f>IF(DATOS!$A19867="",0,IF(CONFIG_METADATA!$B$4&lt;&gt;"OR+EX",--(DATOS!$G19867=CONFIG_METADATA!$B$4),IF(DATOS!$G19867="EX",1,IF(DATOS!$G19867="OR",--(COUNTIFS(nNIA,DATOS!$A19867,nCURSO,DATOS!$D19867,nESPEC,DATOS!$E19867,nASIG,DATOS!$I19867,nEVAL,"EX")=0),0))))</f>
      </c>
      <c r="H19867">
        <f>IF(DATOS!$G19867&lt;&gt;"EX",0,--(COUNTIFS(nNIA,DATOS!$A19867,nCURSO,DATOS!$D19867,nESPEC,DATOS!$E19867,nASIG,DATOS!$I19867,nEVAL,"OR")=0))</f>
      </c>
      <c r="I19867">
        <f>IF(DATOS!$I19867="","",IFERROR(VLOOKUP(DATOS!$I19867,CONFIG_ASIGNATURAS!$B$2:$J$91,9,FALSE()),""))</f>
      </c>
    </row>
    <row r="19868">
      <c r="F19868">
        <f>IF(DATOS!$A19868="","",DATOS!$A19868&amp;"|"&amp;DATOS!$D19868&amp;"|"&amp;DATOS!$E19868&amp;"|"&amp;DATOS!$I19868)</f>
      </c>
      <c r="G19868">
        <f>IF(DATOS!$A19868="",0,IF(CONFIG_METADATA!$B$4&lt;&gt;"OR+EX",--(DATOS!$G19868=CONFIG_METADATA!$B$4),IF(DATOS!$G19868="EX",1,IF(DATOS!$G19868="OR",--(COUNTIFS(nNIA,DATOS!$A19868,nCURSO,DATOS!$D19868,nESPEC,DATOS!$E19868,nASIG,DATOS!$I19868,nEVAL,"EX")=0),0))))</f>
      </c>
      <c r="H19868">
        <f>IF(DATOS!$G19868&lt;&gt;"EX",0,--(COUNTIFS(nNIA,DATOS!$A19868,nCURSO,DATOS!$D19868,nESPEC,DATOS!$E19868,nASIG,DATOS!$I19868,nEVAL,"OR")=0))</f>
      </c>
      <c r="I19868">
        <f>IF(DATOS!$I19868="","",IFERROR(VLOOKUP(DATOS!$I19868,CONFIG_ASIGNATURAS!$B$2:$J$91,9,FALSE()),""))</f>
      </c>
    </row>
    <row r="19869">
      <c r="F19869">
        <f>IF(DATOS!$A19869="","",DATOS!$A19869&amp;"|"&amp;DATOS!$D19869&amp;"|"&amp;DATOS!$E19869&amp;"|"&amp;DATOS!$I19869)</f>
      </c>
      <c r="G19869">
        <f>IF(DATOS!$A19869="",0,IF(CONFIG_METADATA!$B$4&lt;&gt;"OR+EX",--(DATOS!$G19869=CONFIG_METADATA!$B$4),IF(DATOS!$G19869="EX",1,IF(DATOS!$G19869="OR",--(COUNTIFS(nNIA,DATOS!$A19869,nCURSO,DATOS!$D19869,nESPEC,DATOS!$E19869,nASIG,DATOS!$I19869,nEVAL,"EX")=0),0))))</f>
      </c>
      <c r="H19869">
        <f>IF(DATOS!$G19869&lt;&gt;"EX",0,--(COUNTIFS(nNIA,DATOS!$A19869,nCURSO,DATOS!$D19869,nESPEC,DATOS!$E19869,nASIG,DATOS!$I19869,nEVAL,"OR")=0))</f>
      </c>
      <c r="I19869">
        <f>IF(DATOS!$I19869="","",IFERROR(VLOOKUP(DATOS!$I19869,CONFIG_ASIGNATURAS!$B$2:$J$91,9,FALSE()),""))</f>
      </c>
    </row>
    <row r="19870">
      <c r="F19870">
        <f>IF(DATOS!$A19870="","",DATOS!$A19870&amp;"|"&amp;DATOS!$D19870&amp;"|"&amp;DATOS!$E19870&amp;"|"&amp;DATOS!$I19870)</f>
      </c>
      <c r="G19870">
        <f>IF(DATOS!$A19870="",0,IF(CONFIG_METADATA!$B$4&lt;&gt;"OR+EX",--(DATOS!$G19870=CONFIG_METADATA!$B$4),IF(DATOS!$G19870="EX",1,IF(DATOS!$G19870="OR",--(COUNTIFS(nNIA,DATOS!$A19870,nCURSO,DATOS!$D19870,nESPEC,DATOS!$E19870,nASIG,DATOS!$I19870,nEVAL,"EX")=0),0))))</f>
      </c>
      <c r="H19870">
        <f>IF(DATOS!$G19870&lt;&gt;"EX",0,--(COUNTIFS(nNIA,DATOS!$A19870,nCURSO,DATOS!$D19870,nESPEC,DATOS!$E19870,nASIG,DATOS!$I19870,nEVAL,"OR")=0))</f>
      </c>
      <c r="I19870">
        <f>IF(DATOS!$I19870="","",IFERROR(VLOOKUP(DATOS!$I19870,CONFIG_ASIGNATURAS!$B$2:$J$91,9,FALSE()),""))</f>
      </c>
    </row>
    <row r="19871">
      <c r="F19871">
        <f>IF(DATOS!$A19871="","",DATOS!$A19871&amp;"|"&amp;DATOS!$D19871&amp;"|"&amp;DATOS!$E19871&amp;"|"&amp;DATOS!$I19871)</f>
      </c>
      <c r="G19871">
        <f>IF(DATOS!$A19871="",0,IF(CONFIG_METADATA!$B$4&lt;&gt;"OR+EX",--(DATOS!$G19871=CONFIG_METADATA!$B$4),IF(DATOS!$G19871="EX",1,IF(DATOS!$G19871="OR",--(COUNTIFS(nNIA,DATOS!$A19871,nCURSO,DATOS!$D19871,nESPEC,DATOS!$E19871,nASIG,DATOS!$I19871,nEVAL,"EX")=0),0))))</f>
      </c>
      <c r="H19871">
        <f>IF(DATOS!$G19871&lt;&gt;"EX",0,--(COUNTIFS(nNIA,DATOS!$A19871,nCURSO,DATOS!$D19871,nESPEC,DATOS!$E19871,nASIG,DATOS!$I19871,nEVAL,"OR")=0))</f>
      </c>
      <c r="I19871">
        <f>IF(DATOS!$I19871="","",IFERROR(VLOOKUP(DATOS!$I19871,CONFIG_ASIGNATURAS!$B$2:$J$91,9,FALSE()),""))</f>
      </c>
    </row>
    <row r="19872">
      <c r="F19872">
        <f>IF(DATOS!$A19872="","",DATOS!$A19872&amp;"|"&amp;DATOS!$D19872&amp;"|"&amp;DATOS!$E19872&amp;"|"&amp;DATOS!$I19872)</f>
      </c>
      <c r="G19872">
        <f>IF(DATOS!$A19872="",0,IF(CONFIG_METADATA!$B$4&lt;&gt;"OR+EX",--(DATOS!$G19872=CONFIG_METADATA!$B$4),IF(DATOS!$G19872="EX",1,IF(DATOS!$G19872="OR",--(COUNTIFS(nNIA,DATOS!$A19872,nCURSO,DATOS!$D19872,nESPEC,DATOS!$E19872,nASIG,DATOS!$I19872,nEVAL,"EX")=0),0))))</f>
      </c>
      <c r="H19872">
        <f>IF(DATOS!$G19872&lt;&gt;"EX",0,--(COUNTIFS(nNIA,DATOS!$A19872,nCURSO,DATOS!$D19872,nESPEC,DATOS!$E19872,nASIG,DATOS!$I19872,nEVAL,"OR")=0))</f>
      </c>
      <c r="I19872">
        <f>IF(DATOS!$I19872="","",IFERROR(VLOOKUP(DATOS!$I19872,CONFIG_ASIGNATURAS!$B$2:$J$91,9,FALSE()),""))</f>
      </c>
    </row>
    <row r="19873">
      <c r="F19873">
        <f>IF(DATOS!$A19873="","",DATOS!$A19873&amp;"|"&amp;DATOS!$D19873&amp;"|"&amp;DATOS!$E19873&amp;"|"&amp;DATOS!$I19873)</f>
      </c>
      <c r="G19873">
        <f>IF(DATOS!$A19873="",0,IF(CONFIG_METADATA!$B$4&lt;&gt;"OR+EX",--(DATOS!$G19873=CONFIG_METADATA!$B$4),IF(DATOS!$G19873="EX",1,IF(DATOS!$G19873="OR",--(COUNTIFS(nNIA,DATOS!$A19873,nCURSO,DATOS!$D19873,nESPEC,DATOS!$E19873,nASIG,DATOS!$I19873,nEVAL,"EX")=0),0))))</f>
      </c>
      <c r="H19873">
        <f>IF(DATOS!$G19873&lt;&gt;"EX",0,--(COUNTIFS(nNIA,DATOS!$A19873,nCURSO,DATOS!$D19873,nESPEC,DATOS!$E19873,nASIG,DATOS!$I19873,nEVAL,"OR")=0))</f>
      </c>
      <c r="I19873">
        <f>IF(DATOS!$I19873="","",IFERROR(VLOOKUP(DATOS!$I19873,CONFIG_ASIGNATURAS!$B$2:$J$91,9,FALSE()),""))</f>
      </c>
    </row>
    <row r="19874">
      <c r="F19874">
        <f>IF(DATOS!$A19874="","",DATOS!$A19874&amp;"|"&amp;DATOS!$D19874&amp;"|"&amp;DATOS!$E19874&amp;"|"&amp;DATOS!$I19874)</f>
      </c>
      <c r="G19874">
        <f>IF(DATOS!$A19874="",0,IF(CONFIG_METADATA!$B$4&lt;&gt;"OR+EX",--(DATOS!$G19874=CONFIG_METADATA!$B$4),IF(DATOS!$G19874="EX",1,IF(DATOS!$G19874="OR",--(COUNTIFS(nNIA,DATOS!$A19874,nCURSO,DATOS!$D19874,nESPEC,DATOS!$E19874,nASIG,DATOS!$I19874,nEVAL,"EX")=0),0))))</f>
      </c>
      <c r="H19874">
        <f>IF(DATOS!$G19874&lt;&gt;"EX",0,--(COUNTIFS(nNIA,DATOS!$A19874,nCURSO,DATOS!$D19874,nESPEC,DATOS!$E19874,nASIG,DATOS!$I19874,nEVAL,"OR")=0))</f>
      </c>
      <c r="I19874">
        <f>IF(DATOS!$I19874="","",IFERROR(VLOOKUP(DATOS!$I19874,CONFIG_ASIGNATURAS!$B$2:$J$91,9,FALSE()),""))</f>
      </c>
    </row>
    <row r="19875">
      <c r="F19875">
        <f>IF(DATOS!$A19875="","",DATOS!$A19875&amp;"|"&amp;DATOS!$D19875&amp;"|"&amp;DATOS!$E19875&amp;"|"&amp;DATOS!$I19875)</f>
      </c>
      <c r="G19875">
        <f>IF(DATOS!$A19875="",0,IF(CONFIG_METADATA!$B$4&lt;&gt;"OR+EX",--(DATOS!$G19875=CONFIG_METADATA!$B$4),IF(DATOS!$G19875="EX",1,IF(DATOS!$G19875="OR",--(COUNTIFS(nNIA,DATOS!$A19875,nCURSO,DATOS!$D19875,nESPEC,DATOS!$E19875,nASIG,DATOS!$I19875,nEVAL,"EX")=0),0))))</f>
      </c>
      <c r="H19875">
        <f>IF(DATOS!$G19875&lt;&gt;"EX",0,--(COUNTIFS(nNIA,DATOS!$A19875,nCURSO,DATOS!$D19875,nESPEC,DATOS!$E19875,nASIG,DATOS!$I19875,nEVAL,"OR")=0))</f>
      </c>
      <c r="I19875">
        <f>IF(DATOS!$I19875="","",IFERROR(VLOOKUP(DATOS!$I19875,CONFIG_ASIGNATURAS!$B$2:$J$91,9,FALSE()),""))</f>
      </c>
    </row>
    <row r="19876">
      <c r="F19876">
        <f>IF(DATOS!$A19876="","",DATOS!$A19876&amp;"|"&amp;DATOS!$D19876&amp;"|"&amp;DATOS!$E19876&amp;"|"&amp;DATOS!$I19876)</f>
      </c>
      <c r="G19876">
        <f>IF(DATOS!$A19876="",0,IF(CONFIG_METADATA!$B$4&lt;&gt;"OR+EX",--(DATOS!$G19876=CONFIG_METADATA!$B$4),IF(DATOS!$G19876="EX",1,IF(DATOS!$G19876="OR",--(COUNTIFS(nNIA,DATOS!$A19876,nCURSO,DATOS!$D19876,nESPEC,DATOS!$E19876,nASIG,DATOS!$I19876,nEVAL,"EX")=0),0))))</f>
      </c>
      <c r="H19876">
        <f>IF(DATOS!$G19876&lt;&gt;"EX",0,--(COUNTIFS(nNIA,DATOS!$A19876,nCURSO,DATOS!$D19876,nESPEC,DATOS!$E19876,nASIG,DATOS!$I19876,nEVAL,"OR")=0))</f>
      </c>
      <c r="I19876">
        <f>IF(DATOS!$I19876="","",IFERROR(VLOOKUP(DATOS!$I19876,CONFIG_ASIGNATURAS!$B$2:$J$91,9,FALSE()),""))</f>
      </c>
    </row>
    <row r="19877">
      <c r="F19877">
        <f>IF(DATOS!$A19877="","",DATOS!$A19877&amp;"|"&amp;DATOS!$D19877&amp;"|"&amp;DATOS!$E19877&amp;"|"&amp;DATOS!$I19877)</f>
      </c>
      <c r="G19877">
        <f>IF(DATOS!$A19877="",0,IF(CONFIG_METADATA!$B$4&lt;&gt;"OR+EX",--(DATOS!$G19877=CONFIG_METADATA!$B$4),IF(DATOS!$G19877="EX",1,IF(DATOS!$G19877="OR",--(COUNTIFS(nNIA,DATOS!$A19877,nCURSO,DATOS!$D19877,nESPEC,DATOS!$E19877,nASIG,DATOS!$I19877,nEVAL,"EX")=0),0))))</f>
      </c>
      <c r="H19877">
        <f>IF(DATOS!$G19877&lt;&gt;"EX",0,--(COUNTIFS(nNIA,DATOS!$A19877,nCURSO,DATOS!$D19877,nESPEC,DATOS!$E19877,nASIG,DATOS!$I19877,nEVAL,"OR")=0))</f>
      </c>
      <c r="I19877">
        <f>IF(DATOS!$I19877="","",IFERROR(VLOOKUP(DATOS!$I19877,CONFIG_ASIGNATURAS!$B$2:$J$91,9,FALSE()),""))</f>
      </c>
    </row>
    <row r="19878">
      <c r="F19878">
        <f>IF(DATOS!$A19878="","",DATOS!$A19878&amp;"|"&amp;DATOS!$D19878&amp;"|"&amp;DATOS!$E19878&amp;"|"&amp;DATOS!$I19878)</f>
      </c>
      <c r="G19878">
        <f>IF(DATOS!$A19878="",0,IF(CONFIG_METADATA!$B$4&lt;&gt;"OR+EX",--(DATOS!$G19878=CONFIG_METADATA!$B$4),IF(DATOS!$G19878="EX",1,IF(DATOS!$G19878="OR",--(COUNTIFS(nNIA,DATOS!$A19878,nCURSO,DATOS!$D19878,nESPEC,DATOS!$E19878,nASIG,DATOS!$I19878,nEVAL,"EX")=0),0))))</f>
      </c>
      <c r="H19878">
        <f>IF(DATOS!$G19878&lt;&gt;"EX",0,--(COUNTIFS(nNIA,DATOS!$A19878,nCURSO,DATOS!$D19878,nESPEC,DATOS!$E19878,nASIG,DATOS!$I19878,nEVAL,"OR")=0))</f>
      </c>
      <c r="I19878">
        <f>IF(DATOS!$I19878="","",IFERROR(VLOOKUP(DATOS!$I19878,CONFIG_ASIGNATURAS!$B$2:$J$91,9,FALSE()),""))</f>
      </c>
    </row>
    <row r="19879">
      <c r="F19879">
        <f>IF(DATOS!$A19879="","",DATOS!$A19879&amp;"|"&amp;DATOS!$D19879&amp;"|"&amp;DATOS!$E19879&amp;"|"&amp;DATOS!$I19879)</f>
      </c>
      <c r="G19879">
        <f>IF(DATOS!$A19879="",0,IF(CONFIG_METADATA!$B$4&lt;&gt;"OR+EX",--(DATOS!$G19879=CONFIG_METADATA!$B$4),IF(DATOS!$G19879="EX",1,IF(DATOS!$G19879="OR",--(COUNTIFS(nNIA,DATOS!$A19879,nCURSO,DATOS!$D19879,nESPEC,DATOS!$E19879,nASIG,DATOS!$I19879,nEVAL,"EX")=0),0))))</f>
      </c>
      <c r="H19879">
        <f>IF(DATOS!$G19879&lt;&gt;"EX",0,--(COUNTIFS(nNIA,DATOS!$A19879,nCURSO,DATOS!$D19879,nESPEC,DATOS!$E19879,nASIG,DATOS!$I19879,nEVAL,"OR")=0))</f>
      </c>
      <c r="I19879">
        <f>IF(DATOS!$I19879="","",IFERROR(VLOOKUP(DATOS!$I19879,CONFIG_ASIGNATURAS!$B$2:$J$91,9,FALSE()),""))</f>
      </c>
    </row>
    <row r="19880">
      <c r="F19880">
        <f>IF(DATOS!$A19880="","",DATOS!$A19880&amp;"|"&amp;DATOS!$D19880&amp;"|"&amp;DATOS!$E19880&amp;"|"&amp;DATOS!$I19880)</f>
      </c>
      <c r="G19880">
        <f>IF(DATOS!$A19880="",0,IF(CONFIG_METADATA!$B$4&lt;&gt;"OR+EX",--(DATOS!$G19880=CONFIG_METADATA!$B$4),IF(DATOS!$G19880="EX",1,IF(DATOS!$G19880="OR",--(COUNTIFS(nNIA,DATOS!$A19880,nCURSO,DATOS!$D19880,nESPEC,DATOS!$E19880,nASIG,DATOS!$I19880,nEVAL,"EX")=0),0))))</f>
      </c>
      <c r="H19880">
        <f>IF(DATOS!$G19880&lt;&gt;"EX",0,--(COUNTIFS(nNIA,DATOS!$A19880,nCURSO,DATOS!$D19880,nESPEC,DATOS!$E19880,nASIG,DATOS!$I19880,nEVAL,"OR")=0))</f>
      </c>
      <c r="I19880">
        <f>IF(DATOS!$I19880="","",IFERROR(VLOOKUP(DATOS!$I19880,CONFIG_ASIGNATURAS!$B$2:$J$91,9,FALSE()),""))</f>
      </c>
    </row>
    <row r="19881">
      <c r="F19881">
        <f>IF(DATOS!$A19881="","",DATOS!$A19881&amp;"|"&amp;DATOS!$D19881&amp;"|"&amp;DATOS!$E19881&amp;"|"&amp;DATOS!$I19881)</f>
      </c>
      <c r="G19881">
        <f>IF(DATOS!$A19881="",0,IF(CONFIG_METADATA!$B$4&lt;&gt;"OR+EX",--(DATOS!$G19881=CONFIG_METADATA!$B$4),IF(DATOS!$G19881="EX",1,IF(DATOS!$G19881="OR",--(COUNTIFS(nNIA,DATOS!$A19881,nCURSO,DATOS!$D19881,nESPEC,DATOS!$E19881,nASIG,DATOS!$I19881,nEVAL,"EX")=0),0))))</f>
      </c>
      <c r="H19881">
        <f>IF(DATOS!$G19881&lt;&gt;"EX",0,--(COUNTIFS(nNIA,DATOS!$A19881,nCURSO,DATOS!$D19881,nESPEC,DATOS!$E19881,nASIG,DATOS!$I19881,nEVAL,"OR")=0))</f>
      </c>
      <c r="I19881">
        <f>IF(DATOS!$I19881="","",IFERROR(VLOOKUP(DATOS!$I19881,CONFIG_ASIGNATURAS!$B$2:$J$91,9,FALSE()),""))</f>
      </c>
    </row>
    <row r="19882">
      <c r="F19882">
        <f>IF(DATOS!$A19882="","",DATOS!$A19882&amp;"|"&amp;DATOS!$D19882&amp;"|"&amp;DATOS!$E19882&amp;"|"&amp;DATOS!$I19882)</f>
      </c>
      <c r="G19882">
        <f>IF(DATOS!$A19882="",0,IF(CONFIG_METADATA!$B$4&lt;&gt;"OR+EX",--(DATOS!$G19882=CONFIG_METADATA!$B$4),IF(DATOS!$G19882="EX",1,IF(DATOS!$G19882="OR",--(COUNTIFS(nNIA,DATOS!$A19882,nCURSO,DATOS!$D19882,nESPEC,DATOS!$E19882,nASIG,DATOS!$I19882,nEVAL,"EX")=0),0))))</f>
      </c>
      <c r="H19882">
        <f>IF(DATOS!$G19882&lt;&gt;"EX",0,--(COUNTIFS(nNIA,DATOS!$A19882,nCURSO,DATOS!$D19882,nESPEC,DATOS!$E19882,nASIG,DATOS!$I19882,nEVAL,"OR")=0))</f>
      </c>
      <c r="I19882">
        <f>IF(DATOS!$I19882="","",IFERROR(VLOOKUP(DATOS!$I19882,CONFIG_ASIGNATURAS!$B$2:$J$91,9,FALSE()),""))</f>
      </c>
    </row>
    <row r="19883">
      <c r="F19883">
        <f>IF(DATOS!$A19883="","",DATOS!$A19883&amp;"|"&amp;DATOS!$D19883&amp;"|"&amp;DATOS!$E19883&amp;"|"&amp;DATOS!$I19883)</f>
      </c>
      <c r="G19883">
        <f>IF(DATOS!$A19883="",0,IF(CONFIG_METADATA!$B$4&lt;&gt;"OR+EX",--(DATOS!$G19883=CONFIG_METADATA!$B$4),IF(DATOS!$G19883="EX",1,IF(DATOS!$G19883="OR",--(COUNTIFS(nNIA,DATOS!$A19883,nCURSO,DATOS!$D19883,nESPEC,DATOS!$E19883,nASIG,DATOS!$I19883,nEVAL,"EX")=0),0))))</f>
      </c>
      <c r="H19883">
        <f>IF(DATOS!$G19883&lt;&gt;"EX",0,--(COUNTIFS(nNIA,DATOS!$A19883,nCURSO,DATOS!$D19883,nESPEC,DATOS!$E19883,nASIG,DATOS!$I19883,nEVAL,"OR")=0))</f>
      </c>
      <c r="I19883">
        <f>IF(DATOS!$I19883="","",IFERROR(VLOOKUP(DATOS!$I19883,CONFIG_ASIGNATURAS!$B$2:$J$91,9,FALSE()),""))</f>
      </c>
    </row>
    <row r="19884">
      <c r="F19884">
        <f>IF(DATOS!$A19884="","",DATOS!$A19884&amp;"|"&amp;DATOS!$D19884&amp;"|"&amp;DATOS!$E19884&amp;"|"&amp;DATOS!$I19884)</f>
      </c>
      <c r="G19884">
        <f>IF(DATOS!$A19884="",0,IF(CONFIG_METADATA!$B$4&lt;&gt;"OR+EX",--(DATOS!$G19884=CONFIG_METADATA!$B$4),IF(DATOS!$G19884="EX",1,IF(DATOS!$G19884="OR",--(COUNTIFS(nNIA,DATOS!$A19884,nCURSO,DATOS!$D19884,nESPEC,DATOS!$E19884,nASIG,DATOS!$I19884,nEVAL,"EX")=0),0))))</f>
      </c>
      <c r="H19884">
        <f>IF(DATOS!$G19884&lt;&gt;"EX",0,--(COUNTIFS(nNIA,DATOS!$A19884,nCURSO,DATOS!$D19884,nESPEC,DATOS!$E19884,nASIG,DATOS!$I19884,nEVAL,"OR")=0))</f>
      </c>
      <c r="I19884">
        <f>IF(DATOS!$I19884="","",IFERROR(VLOOKUP(DATOS!$I19884,CONFIG_ASIGNATURAS!$B$2:$J$91,9,FALSE()),""))</f>
      </c>
    </row>
    <row r="19885">
      <c r="F19885">
        <f>IF(DATOS!$A19885="","",DATOS!$A19885&amp;"|"&amp;DATOS!$D19885&amp;"|"&amp;DATOS!$E19885&amp;"|"&amp;DATOS!$I19885)</f>
      </c>
      <c r="G19885">
        <f>IF(DATOS!$A19885="",0,IF(CONFIG_METADATA!$B$4&lt;&gt;"OR+EX",--(DATOS!$G19885=CONFIG_METADATA!$B$4),IF(DATOS!$G19885="EX",1,IF(DATOS!$G19885="OR",--(COUNTIFS(nNIA,DATOS!$A19885,nCURSO,DATOS!$D19885,nESPEC,DATOS!$E19885,nASIG,DATOS!$I19885,nEVAL,"EX")=0),0))))</f>
      </c>
      <c r="H19885">
        <f>IF(DATOS!$G19885&lt;&gt;"EX",0,--(COUNTIFS(nNIA,DATOS!$A19885,nCURSO,DATOS!$D19885,nESPEC,DATOS!$E19885,nASIG,DATOS!$I19885,nEVAL,"OR")=0))</f>
      </c>
      <c r="I19885">
        <f>IF(DATOS!$I19885="","",IFERROR(VLOOKUP(DATOS!$I19885,CONFIG_ASIGNATURAS!$B$2:$J$91,9,FALSE()),""))</f>
      </c>
    </row>
    <row r="19886">
      <c r="F19886">
        <f>IF(DATOS!$A19886="","",DATOS!$A19886&amp;"|"&amp;DATOS!$D19886&amp;"|"&amp;DATOS!$E19886&amp;"|"&amp;DATOS!$I19886)</f>
      </c>
      <c r="G19886">
        <f>IF(DATOS!$A19886="",0,IF(CONFIG_METADATA!$B$4&lt;&gt;"OR+EX",--(DATOS!$G19886=CONFIG_METADATA!$B$4),IF(DATOS!$G19886="EX",1,IF(DATOS!$G19886="OR",--(COUNTIFS(nNIA,DATOS!$A19886,nCURSO,DATOS!$D19886,nESPEC,DATOS!$E19886,nASIG,DATOS!$I19886,nEVAL,"EX")=0),0))))</f>
      </c>
      <c r="H19886">
        <f>IF(DATOS!$G19886&lt;&gt;"EX",0,--(COUNTIFS(nNIA,DATOS!$A19886,nCURSO,DATOS!$D19886,nESPEC,DATOS!$E19886,nASIG,DATOS!$I19886,nEVAL,"OR")=0))</f>
      </c>
      <c r="I19886">
        <f>IF(DATOS!$I19886="","",IFERROR(VLOOKUP(DATOS!$I19886,CONFIG_ASIGNATURAS!$B$2:$J$91,9,FALSE()),""))</f>
      </c>
    </row>
    <row r="19887">
      <c r="F19887">
        <f>IF(DATOS!$A19887="","",DATOS!$A19887&amp;"|"&amp;DATOS!$D19887&amp;"|"&amp;DATOS!$E19887&amp;"|"&amp;DATOS!$I19887)</f>
      </c>
      <c r="G19887">
        <f>IF(DATOS!$A19887="",0,IF(CONFIG_METADATA!$B$4&lt;&gt;"OR+EX",--(DATOS!$G19887=CONFIG_METADATA!$B$4),IF(DATOS!$G19887="EX",1,IF(DATOS!$G19887="OR",--(COUNTIFS(nNIA,DATOS!$A19887,nCURSO,DATOS!$D19887,nESPEC,DATOS!$E19887,nASIG,DATOS!$I19887,nEVAL,"EX")=0),0))))</f>
      </c>
      <c r="H19887">
        <f>IF(DATOS!$G19887&lt;&gt;"EX",0,--(COUNTIFS(nNIA,DATOS!$A19887,nCURSO,DATOS!$D19887,nESPEC,DATOS!$E19887,nASIG,DATOS!$I19887,nEVAL,"OR")=0))</f>
      </c>
      <c r="I19887">
        <f>IF(DATOS!$I19887="","",IFERROR(VLOOKUP(DATOS!$I19887,CONFIG_ASIGNATURAS!$B$2:$J$91,9,FALSE()),""))</f>
      </c>
    </row>
    <row r="19888">
      <c r="F19888">
        <f>IF(DATOS!$A19888="","",DATOS!$A19888&amp;"|"&amp;DATOS!$D19888&amp;"|"&amp;DATOS!$E19888&amp;"|"&amp;DATOS!$I19888)</f>
      </c>
      <c r="G19888">
        <f>IF(DATOS!$A19888="",0,IF(CONFIG_METADATA!$B$4&lt;&gt;"OR+EX",--(DATOS!$G19888=CONFIG_METADATA!$B$4),IF(DATOS!$G19888="EX",1,IF(DATOS!$G19888="OR",--(COUNTIFS(nNIA,DATOS!$A19888,nCURSO,DATOS!$D19888,nESPEC,DATOS!$E19888,nASIG,DATOS!$I19888,nEVAL,"EX")=0),0))))</f>
      </c>
      <c r="H19888">
        <f>IF(DATOS!$G19888&lt;&gt;"EX",0,--(COUNTIFS(nNIA,DATOS!$A19888,nCURSO,DATOS!$D19888,nESPEC,DATOS!$E19888,nASIG,DATOS!$I19888,nEVAL,"OR")=0))</f>
      </c>
      <c r="I19888">
        <f>IF(DATOS!$I19888="","",IFERROR(VLOOKUP(DATOS!$I19888,CONFIG_ASIGNATURAS!$B$2:$J$91,9,FALSE()),""))</f>
      </c>
    </row>
    <row r="19889">
      <c r="F19889">
        <f>IF(DATOS!$A19889="","",DATOS!$A19889&amp;"|"&amp;DATOS!$D19889&amp;"|"&amp;DATOS!$E19889&amp;"|"&amp;DATOS!$I19889)</f>
      </c>
      <c r="G19889">
        <f>IF(DATOS!$A19889="",0,IF(CONFIG_METADATA!$B$4&lt;&gt;"OR+EX",--(DATOS!$G19889=CONFIG_METADATA!$B$4),IF(DATOS!$G19889="EX",1,IF(DATOS!$G19889="OR",--(COUNTIFS(nNIA,DATOS!$A19889,nCURSO,DATOS!$D19889,nESPEC,DATOS!$E19889,nASIG,DATOS!$I19889,nEVAL,"EX")=0),0))))</f>
      </c>
      <c r="H19889">
        <f>IF(DATOS!$G19889&lt;&gt;"EX",0,--(COUNTIFS(nNIA,DATOS!$A19889,nCURSO,DATOS!$D19889,nESPEC,DATOS!$E19889,nASIG,DATOS!$I19889,nEVAL,"OR")=0))</f>
      </c>
      <c r="I19889">
        <f>IF(DATOS!$I19889="","",IFERROR(VLOOKUP(DATOS!$I19889,CONFIG_ASIGNATURAS!$B$2:$J$91,9,FALSE()),""))</f>
      </c>
    </row>
    <row r="19890">
      <c r="F19890">
        <f>IF(DATOS!$A19890="","",DATOS!$A19890&amp;"|"&amp;DATOS!$D19890&amp;"|"&amp;DATOS!$E19890&amp;"|"&amp;DATOS!$I19890)</f>
      </c>
      <c r="G19890">
        <f>IF(DATOS!$A19890="",0,IF(CONFIG_METADATA!$B$4&lt;&gt;"OR+EX",--(DATOS!$G19890=CONFIG_METADATA!$B$4),IF(DATOS!$G19890="EX",1,IF(DATOS!$G19890="OR",--(COUNTIFS(nNIA,DATOS!$A19890,nCURSO,DATOS!$D19890,nESPEC,DATOS!$E19890,nASIG,DATOS!$I19890,nEVAL,"EX")=0),0))))</f>
      </c>
      <c r="H19890">
        <f>IF(DATOS!$G19890&lt;&gt;"EX",0,--(COUNTIFS(nNIA,DATOS!$A19890,nCURSO,DATOS!$D19890,nESPEC,DATOS!$E19890,nASIG,DATOS!$I19890,nEVAL,"OR")=0))</f>
      </c>
      <c r="I19890">
        <f>IF(DATOS!$I19890="","",IFERROR(VLOOKUP(DATOS!$I19890,CONFIG_ASIGNATURAS!$B$2:$J$91,9,FALSE()),""))</f>
      </c>
    </row>
    <row r="19891">
      <c r="F19891">
        <f>IF(DATOS!$A19891="","",DATOS!$A19891&amp;"|"&amp;DATOS!$D19891&amp;"|"&amp;DATOS!$E19891&amp;"|"&amp;DATOS!$I19891)</f>
      </c>
      <c r="G19891">
        <f>IF(DATOS!$A19891="",0,IF(CONFIG_METADATA!$B$4&lt;&gt;"OR+EX",--(DATOS!$G19891=CONFIG_METADATA!$B$4),IF(DATOS!$G19891="EX",1,IF(DATOS!$G19891="OR",--(COUNTIFS(nNIA,DATOS!$A19891,nCURSO,DATOS!$D19891,nESPEC,DATOS!$E19891,nASIG,DATOS!$I19891,nEVAL,"EX")=0),0))))</f>
      </c>
      <c r="H19891">
        <f>IF(DATOS!$G19891&lt;&gt;"EX",0,--(COUNTIFS(nNIA,DATOS!$A19891,nCURSO,DATOS!$D19891,nESPEC,DATOS!$E19891,nASIG,DATOS!$I19891,nEVAL,"OR")=0))</f>
      </c>
      <c r="I19891">
        <f>IF(DATOS!$I19891="","",IFERROR(VLOOKUP(DATOS!$I19891,CONFIG_ASIGNATURAS!$B$2:$J$91,9,FALSE()),""))</f>
      </c>
    </row>
    <row r="19892">
      <c r="F19892">
        <f>IF(DATOS!$A19892="","",DATOS!$A19892&amp;"|"&amp;DATOS!$D19892&amp;"|"&amp;DATOS!$E19892&amp;"|"&amp;DATOS!$I19892)</f>
      </c>
      <c r="G19892">
        <f>IF(DATOS!$A19892="",0,IF(CONFIG_METADATA!$B$4&lt;&gt;"OR+EX",--(DATOS!$G19892=CONFIG_METADATA!$B$4),IF(DATOS!$G19892="EX",1,IF(DATOS!$G19892="OR",--(COUNTIFS(nNIA,DATOS!$A19892,nCURSO,DATOS!$D19892,nESPEC,DATOS!$E19892,nASIG,DATOS!$I19892,nEVAL,"EX")=0),0))))</f>
      </c>
      <c r="H19892">
        <f>IF(DATOS!$G19892&lt;&gt;"EX",0,--(COUNTIFS(nNIA,DATOS!$A19892,nCURSO,DATOS!$D19892,nESPEC,DATOS!$E19892,nASIG,DATOS!$I19892,nEVAL,"OR")=0))</f>
      </c>
      <c r="I19892">
        <f>IF(DATOS!$I19892="","",IFERROR(VLOOKUP(DATOS!$I19892,CONFIG_ASIGNATURAS!$B$2:$J$91,9,FALSE()),""))</f>
      </c>
    </row>
    <row r="19893">
      <c r="F19893">
        <f>IF(DATOS!$A19893="","",DATOS!$A19893&amp;"|"&amp;DATOS!$D19893&amp;"|"&amp;DATOS!$E19893&amp;"|"&amp;DATOS!$I19893)</f>
      </c>
      <c r="G19893">
        <f>IF(DATOS!$A19893="",0,IF(CONFIG_METADATA!$B$4&lt;&gt;"OR+EX",--(DATOS!$G19893=CONFIG_METADATA!$B$4),IF(DATOS!$G19893="EX",1,IF(DATOS!$G19893="OR",--(COUNTIFS(nNIA,DATOS!$A19893,nCURSO,DATOS!$D19893,nESPEC,DATOS!$E19893,nASIG,DATOS!$I19893,nEVAL,"EX")=0),0))))</f>
      </c>
      <c r="H19893">
        <f>IF(DATOS!$G19893&lt;&gt;"EX",0,--(COUNTIFS(nNIA,DATOS!$A19893,nCURSO,DATOS!$D19893,nESPEC,DATOS!$E19893,nASIG,DATOS!$I19893,nEVAL,"OR")=0))</f>
      </c>
      <c r="I19893">
        <f>IF(DATOS!$I19893="","",IFERROR(VLOOKUP(DATOS!$I19893,CONFIG_ASIGNATURAS!$B$2:$J$91,9,FALSE()),""))</f>
      </c>
    </row>
    <row r="19894">
      <c r="F19894">
        <f>IF(DATOS!$A19894="","",DATOS!$A19894&amp;"|"&amp;DATOS!$D19894&amp;"|"&amp;DATOS!$E19894&amp;"|"&amp;DATOS!$I19894)</f>
      </c>
      <c r="G19894">
        <f>IF(DATOS!$A19894="",0,IF(CONFIG_METADATA!$B$4&lt;&gt;"OR+EX",--(DATOS!$G19894=CONFIG_METADATA!$B$4),IF(DATOS!$G19894="EX",1,IF(DATOS!$G19894="OR",--(COUNTIFS(nNIA,DATOS!$A19894,nCURSO,DATOS!$D19894,nESPEC,DATOS!$E19894,nASIG,DATOS!$I19894,nEVAL,"EX")=0),0))))</f>
      </c>
      <c r="H19894">
        <f>IF(DATOS!$G19894&lt;&gt;"EX",0,--(COUNTIFS(nNIA,DATOS!$A19894,nCURSO,DATOS!$D19894,nESPEC,DATOS!$E19894,nASIG,DATOS!$I19894,nEVAL,"OR")=0))</f>
      </c>
      <c r="I19894">
        <f>IF(DATOS!$I19894="","",IFERROR(VLOOKUP(DATOS!$I19894,CONFIG_ASIGNATURAS!$B$2:$J$91,9,FALSE()),""))</f>
      </c>
    </row>
    <row r="19895">
      <c r="F19895">
        <f>IF(DATOS!$A19895="","",DATOS!$A19895&amp;"|"&amp;DATOS!$D19895&amp;"|"&amp;DATOS!$E19895&amp;"|"&amp;DATOS!$I19895)</f>
      </c>
      <c r="G19895">
        <f>IF(DATOS!$A19895="",0,IF(CONFIG_METADATA!$B$4&lt;&gt;"OR+EX",--(DATOS!$G19895=CONFIG_METADATA!$B$4),IF(DATOS!$G19895="EX",1,IF(DATOS!$G19895="OR",--(COUNTIFS(nNIA,DATOS!$A19895,nCURSO,DATOS!$D19895,nESPEC,DATOS!$E19895,nASIG,DATOS!$I19895,nEVAL,"EX")=0),0))))</f>
      </c>
      <c r="H19895">
        <f>IF(DATOS!$G19895&lt;&gt;"EX",0,--(COUNTIFS(nNIA,DATOS!$A19895,nCURSO,DATOS!$D19895,nESPEC,DATOS!$E19895,nASIG,DATOS!$I19895,nEVAL,"OR")=0))</f>
      </c>
      <c r="I19895">
        <f>IF(DATOS!$I19895="","",IFERROR(VLOOKUP(DATOS!$I19895,CONFIG_ASIGNATURAS!$B$2:$J$91,9,FALSE()),""))</f>
      </c>
    </row>
    <row r="19896">
      <c r="F19896">
        <f>IF(DATOS!$A19896="","",DATOS!$A19896&amp;"|"&amp;DATOS!$D19896&amp;"|"&amp;DATOS!$E19896&amp;"|"&amp;DATOS!$I19896)</f>
      </c>
      <c r="G19896">
        <f>IF(DATOS!$A19896="",0,IF(CONFIG_METADATA!$B$4&lt;&gt;"OR+EX",--(DATOS!$G19896=CONFIG_METADATA!$B$4),IF(DATOS!$G19896="EX",1,IF(DATOS!$G19896="OR",--(COUNTIFS(nNIA,DATOS!$A19896,nCURSO,DATOS!$D19896,nESPEC,DATOS!$E19896,nASIG,DATOS!$I19896,nEVAL,"EX")=0),0))))</f>
      </c>
      <c r="H19896">
        <f>IF(DATOS!$G19896&lt;&gt;"EX",0,--(COUNTIFS(nNIA,DATOS!$A19896,nCURSO,DATOS!$D19896,nESPEC,DATOS!$E19896,nASIG,DATOS!$I19896,nEVAL,"OR")=0))</f>
      </c>
      <c r="I19896">
        <f>IF(DATOS!$I19896="","",IFERROR(VLOOKUP(DATOS!$I19896,CONFIG_ASIGNATURAS!$B$2:$J$91,9,FALSE()),""))</f>
      </c>
    </row>
    <row r="19897">
      <c r="F19897">
        <f>IF(DATOS!$A19897="","",DATOS!$A19897&amp;"|"&amp;DATOS!$D19897&amp;"|"&amp;DATOS!$E19897&amp;"|"&amp;DATOS!$I19897)</f>
      </c>
      <c r="G19897">
        <f>IF(DATOS!$A19897="",0,IF(CONFIG_METADATA!$B$4&lt;&gt;"OR+EX",--(DATOS!$G19897=CONFIG_METADATA!$B$4),IF(DATOS!$G19897="EX",1,IF(DATOS!$G19897="OR",--(COUNTIFS(nNIA,DATOS!$A19897,nCURSO,DATOS!$D19897,nESPEC,DATOS!$E19897,nASIG,DATOS!$I19897,nEVAL,"EX")=0),0))))</f>
      </c>
      <c r="H19897">
        <f>IF(DATOS!$G19897&lt;&gt;"EX",0,--(COUNTIFS(nNIA,DATOS!$A19897,nCURSO,DATOS!$D19897,nESPEC,DATOS!$E19897,nASIG,DATOS!$I19897,nEVAL,"OR")=0))</f>
      </c>
      <c r="I19897">
        <f>IF(DATOS!$I19897="","",IFERROR(VLOOKUP(DATOS!$I19897,CONFIG_ASIGNATURAS!$B$2:$J$91,9,FALSE()),""))</f>
      </c>
    </row>
    <row r="19898">
      <c r="F19898">
        <f>IF(DATOS!$A19898="","",DATOS!$A19898&amp;"|"&amp;DATOS!$D19898&amp;"|"&amp;DATOS!$E19898&amp;"|"&amp;DATOS!$I19898)</f>
      </c>
      <c r="G19898">
        <f>IF(DATOS!$A19898="",0,IF(CONFIG_METADATA!$B$4&lt;&gt;"OR+EX",--(DATOS!$G19898=CONFIG_METADATA!$B$4),IF(DATOS!$G19898="EX",1,IF(DATOS!$G19898="OR",--(COUNTIFS(nNIA,DATOS!$A19898,nCURSO,DATOS!$D19898,nESPEC,DATOS!$E19898,nASIG,DATOS!$I19898,nEVAL,"EX")=0),0))))</f>
      </c>
      <c r="H19898">
        <f>IF(DATOS!$G19898&lt;&gt;"EX",0,--(COUNTIFS(nNIA,DATOS!$A19898,nCURSO,DATOS!$D19898,nESPEC,DATOS!$E19898,nASIG,DATOS!$I19898,nEVAL,"OR")=0))</f>
      </c>
      <c r="I19898">
        <f>IF(DATOS!$I19898="","",IFERROR(VLOOKUP(DATOS!$I19898,CONFIG_ASIGNATURAS!$B$2:$J$91,9,FALSE()),""))</f>
      </c>
    </row>
    <row r="19899">
      <c r="F19899">
        <f>IF(DATOS!$A19899="","",DATOS!$A19899&amp;"|"&amp;DATOS!$D19899&amp;"|"&amp;DATOS!$E19899&amp;"|"&amp;DATOS!$I19899)</f>
      </c>
      <c r="G19899">
        <f>IF(DATOS!$A19899="",0,IF(CONFIG_METADATA!$B$4&lt;&gt;"OR+EX",--(DATOS!$G19899=CONFIG_METADATA!$B$4),IF(DATOS!$G19899="EX",1,IF(DATOS!$G19899="OR",--(COUNTIFS(nNIA,DATOS!$A19899,nCURSO,DATOS!$D19899,nESPEC,DATOS!$E19899,nASIG,DATOS!$I19899,nEVAL,"EX")=0),0))))</f>
      </c>
      <c r="H19899">
        <f>IF(DATOS!$G19899&lt;&gt;"EX",0,--(COUNTIFS(nNIA,DATOS!$A19899,nCURSO,DATOS!$D19899,nESPEC,DATOS!$E19899,nASIG,DATOS!$I19899,nEVAL,"OR")=0))</f>
      </c>
      <c r="I19899">
        <f>IF(DATOS!$I19899="","",IFERROR(VLOOKUP(DATOS!$I19899,CONFIG_ASIGNATURAS!$B$2:$J$91,9,FALSE()),""))</f>
      </c>
    </row>
    <row r="19900">
      <c r="F19900">
        <f>IF(DATOS!$A19900="","",DATOS!$A19900&amp;"|"&amp;DATOS!$D19900&amp;"|"&amp;DATOS!$E19900&amp;"|"&amp;DATOS!$I19900)</f>
      </c>
      <c r="G19900">
        <f>IF(DATOS!$A19900="",0,IF(CONFIG_METADATA!$B$4&lt;&gt;"OR+EX",--(DATOS!$G19900=CONFIG_METADATA!$B$4),IF(DATOS!$G19900="EX",1,IF(DATOS!$G19900="OR",--(COUNTIFS(nNIA,DATOS!$A19900,nCURSO,DATOS!$D19900,nESPEC,DATOS!$E19900,nASIG,DATOS!$I19900,nEVAL,"EX")=0),0))))</f>
      </c>
      <c r="H19900">
        <f>IF(DATOS!$G19900&lt;&gt;"EX",0,--(COUNTIFS(nNIA,DATOS!$A19900,nCURSO,DATOS!$D19900,nESPEC,DATOS!$E19900,nASIG,DATOS!$I19900,nEVAL,"OR")=0))</f>
      </c>
      <c r="I19900">
        <f>IF(DATOS!$I19900="","",IFERROR(VLOOKUP(DATOS!$I19900,CONFIG_ASIGNATURAS!$B$2:$J$91,9,FALSE()),""))</f>
      </c>
    </row>
    <row r="19901">
      <c r="F19901">
        <f>IF(DATOS!$A19901="","",DATOS!$A19901&amp;"|"&amp;DATOS!$D19901&amp;"|"&amp;DATOS!$E19901&amp;"|"&amp;DATOS!$I19901)</f>
      </c>
      <c r="G19901">
        <f>IF(DATOS!$A19901="",0,IF(CONFIG_METADATA!$B$4&lt;&gt;"OR+EX",--(DATOS!$G19901=CONFIG_METADATA!$B$4),IF(DATOS!$G19901="EX",1,IF(DATOS!$G19901="OR",--(COUNTIFS(nNIA,DATOS!$A19901,nCURSO,DATOS!$D19901,nESPEC,DATOS!$E19901,nASIG,DATOS!$I19901,nEVAL,"EX")=0),0))))</f>
      </c>
      <c r="H19901">
        <f>IF(DATOS!$G19901&lt;&gt;"EX",0,--(COUNTIFS(nNIA,DATOS!$A19901,nCURSO,DATOS!$D19901,nESPEC,DATOS!$E19901,nASIG,DATOS!$I19901,nEVAL,"OR")=0))</f>
      </c>
      <c r="I19901">
        <f>IF(DATOS!$I19901="","",IFERROR(VLOOKUP(DATOS!$I19901,CONFIG_ASIGNATURAS!$B$2:$J$91,9,FALSE()),""))</f>
      </c>
    </row>
    <row r="19902">
      <c r="F19902">
        <f>IF(DATOS!$A19902="","",DATOS!$A19902&amp;"|"&amp;DATOS!$D19902&amp;"|"&amp;DATOS!$E19902&amp;"|"&amp;DATOS!$I19902)</f>
      </c>
      <c r="G19902">
        <f>IF(DATOS!$A19902="",0,IF(CONFIG_METADATA!$B$4&lt;&gt;"OR+EX",--(DATOS!$G19902=CONFIG_METADATA!$B$4),IF(DATOS!$G19902="EX",1,IF(DATOS!$G19902="OR",--(COUNTIFS(nNIA,DATOS!$A19902,nCURSO,DATOS!$D19902,nESPEC,DATOS!$E19902,nASIG,DATOS!$I19902,nEVAL,"EX")=0),0))))</f>
      </c>
      <c r="H19902">
        <f>IF(DATOS!$G19902&lt;&gt;"EX",0,--(COUNTIFS(nNIA,DATOS!$A19902,nCURSO,DATOS!$D19902,nESPEC,DATOS!$E19902,nASIG,DATOS!$I19902,nEVAL,"OR")=0))</f>
      </c>
      <c r="I19902">
        <f>IF(DATOS!$I19902="","",IFERROR(VLOOKUP(DATOS!$I19902,CONFIG_ASIGNATURAS!$B$2:$J$91,9,FALSE()),""))</f>
      </c>
    </row>
    <row r="19903">
      <c r="F19903">
        <f>IF(DATOS!$A19903="","",DATOS!$A19903&amp;"|"&amp;DATOS!$D19903&amp;"|"&amp;DATOS!$E19903&amp;"|"&amp;DATOS!$I19903)</f>
      </c>
      <c r="G19903">
        <f>IF(DATOS!$A19903="",0,IF(CONFIG_METADATA!$B$4&lt;&gt;"OR+EX",--(DATOS!$G19903=CONFIG_METADATA!$B$4),IF(DATOS!$G19903="EX",1,IF(DATOS!$G19903="OR",--(COUNTIFS(nNIA,DATOS!$A19903,nCURSO,DATOS!$D19903,nESPEC,DATOS!$E19903,nASIG,DATOS!$I19903,nEVAL,"EX")=0),0))))</f>
      </c>
      <c r="H19903">
        <f>IF(DATOS!$G19903&lt;&gt;"EX",0,--(COUNTIFS(nNIA,DATOS!$A19903,nCURSO,DATOS!$D19903,nESPEC,DATOS!$E19903,nASIG,DATOS!$I19903,nEVAL,"OR")=0))</f>
      </c>
      <c r="I19903">
        <f>IF(DATOS!$I19903="","",IFERROR(VLOOKUP(DATOS!$I19903,CONFIG_ASIGNATURAS!$B$2:$J$91,9,FALSE()),""))</f>
      </c>
    </row>
    <row r="19904">
      <c r="F19904">
        <f>IF(DATOS!$A19904="","",DATOS!$A19904&amp;"|"&amp;DATOS!$D19904&amp;"|"&amp;DATOS!$E19904&amp;"|"&amp;DATOS!$I19904)</f>
      </c>
      <c r="G19904">
        <f>IF(DATOS!$A19904="",0,IF(CONFIG_METADATA!$B$4&lt;&gt;"OR+EX",--(DATOS!$G19904=CONFIG_METADATA!$B$4),IF(DATOS!$G19904="EX",1,IF(DATOS!$G19904="OR",--(COUNTIFS(nNIA,DATOS!$A19904,nCURSO,DATOS!$D19904,nESPEC,DATOS!$E19904,nASIG,DATOS!$I19904,nEVAL,"EX")=0),0))))</f>
      </c>
      <c r="H19904">
        <f>IF(DATOS!$G19904&lt;&gt;"EX",0,--(COUNTIFS(nNIA,DATOS!$A19904,nCURSO,DATOS!$D19904,nESPEC,DATOS!$E19904,nASIG,DATOS!$I19904,nEVAL,"OR")=0))</f>
      </c>
      <c r="I19904">
        <f>IF(DATOS!$I19904="","",IFERROR(VLOOKUP(DATOS!$I19904,CONFIG_ASIGNATURAS!$B$2:$J$91,9,FALSE()),""))</f>
      </c>
    </row>
    <row r="19905">
      <c r="F19905">
        <f>IF(DATOS!$A19905="","",DATOS!$A19905&amp;"|"&amp;DATOS!$D19905&amp;"|"&amp;DATOS!$E19905&amp;"|"&amp;DATOS!$I19905)</f>
      </c>
      <c r="G19905">
        <f>IF(DATOS!$A19905="",0,IF(CONFIG_METADATA!$B$4&lt;&gt;"OR+EX",--(DATOS!$G19905=CONFIG_METADATA!$B$4),IF(DATOS!$G19905="EX",1,IF(DATOS!$G19905="OR",--(COUNTIFS(nNIA,DATOS!$A19905,nCURSO,DATOS!$D19905,nESPEC,DATOS!$E19905,nASIG,DATOS!$I19905,nEVAL,"EX")=0),0))))</f>
      </c>
      <c r="H19905">
        <f>IF(DATOS!$G19905&lt;&gt;"EX",0,--(COUNTIFS(nNIA,DATOS!$A19905,nCURSO,DATOS!$D19905,nESPEC,DATOS!$E19905,nASIG,DATOS!$I19905,nEVAL,"OR")=0))</f>
      </c>
      <c r="I19905">
        <f>IF(DATOS!$I19905="","",IFERROR(VLOOKUP(DATOS!$I19905,CONFIG_ASIGNATURAS!$B$2:$J$91,9,FALSE()),""))</f>
      </c>
    </row>
    <row r="19906">
      <c r="F19906">
        <f>IF(DATOS!$A19906="","",DATOS!$A19906&amp;"|"&amp;DATOS!$D19906&amp;"|"&amp;DATOS!$E19906&amp;"|"&amp;DATOS!$I19906)</f>
      </c>
      <c r="G19906">
        <f>IF(DATOS!$A19906="",0,IF(CONFIG_METADATA!$B$4&lt;&gt;"OR+EX",--(DATOS!$G19906=CONFIG_METADATA!$B$4),IF(DATOS!$G19906="EX",1,IF(DATOS!$G19906="OR",--(COUNTIFS(nNIA,DATOS!$A19906,nCURSO,DATOS!$D19906,nESPEC,DATOS!$E19906,nASIG,DATOS!$I19906,nEVAL,"EX")=0),0))))</f>
      </c>
      <c r="H19906">
        <f>IF(DATOS!$G19906&lt;&gt;"EX",0,--(COUNTIFS(nNIA,DATOS!$A19906,nCURSO,DATOS!$D19906,nESPEC,DATOS!$E19906,nASIG,DATOS!$I19906,nEVAL,"OR")=0))</f>
      </c>
      <c r="I19906">
        <f>IF(DATOS!$I19906="","",IFERROR(VLOOKUP(DATOS!$I19906,CONFIG_ASIGNATURAS!$B$2:$J$91,9,FALSE()),""))</f>
      </c>
    </row>
    <row r="19907">
      <c r="F19907">
        <f>IF(DATOS!$A19907="","",DATOS!$A19907&amp;"|"&amp;DATOS!$D19907&amp;"|"&amp;DATOS!$E19907&amp;"|"&amp;DATOS!$I19907)</f>
      </c>
      <c r="G19907">
        <f>IF(DATOS!$A19907="",0,IF(CONFIG_METADATA!$B$4&lt;&gt;"OR+EX",--(DATOS!$G19907=CONFIG_METADATA!$B$4),IF(DATOS!$G19907="EX",1,IF(DATOS!$G19907="OR",--(COUNTIFS(nNIA,DATOS!$A19907,nCURSO,DATOS!$D19907,nESPEC,DATOS!$E19907,nASIG,DATOS!$I19907,nEVAL,"EX")=0),0))))</f>
      </c>
      <c r="H19907">
        <f>IF(DATOS!$G19907&lt;&gt;"EX",0,--(COUNTIFS(nNIA,DATOS!$A19907,nCURSO,DATOS!$D19907,nESPEC,DATOS!$E19907,nASIG,DATOS!$I19907,nEVAL,"OR")=0))</f>
      </c>
      <c r="I19907">
        <f>IF(DATOS!$I19907="","",IFERROR(VLOOKUP(DATOS!$I19907,CONFIG_ASIGNATURAS!$B$2:$J$91,9,FALSE()),""))</f>
      </c>
    </row>
    <row r="19908">
      <c r="F19908">
        <f>IF(DATOS!$A19908="","",DATOS!$A19908&amp;"|"&amp;DATOS!$D19908&amp;"|"&amp;DATOS!$E19908&amp;"|"&amp;DATOS!$I19908)</f>
      </c>
      <c r="G19908">
        <f>IF(DATOS!$A19908="",0,IF(CONFIG_METADATA!$B$4&lt;&gt;"OR+EX",--(DATOS!$G19908=CONFIG_METADATA!$B$4),IF(DATOS!$G19908="EX",1,IF(DATOS!$G19908="OR",--(COUNTIFS(nNIA,DATOS!$A19908,nCURSO,DATOS!$D19908,nESPEC,DATOS!$E19908,nASIG,DATOS!$I19908,nEVAL,"EX")=0),0))))</f>
      </c>
      <c r="H19908">
        <f>IF(DATOS!$G19908&lt;&gt;"EX",0,--(COUNTIFS(nNIA,DATOS!$A19908,nCURSO,DATOS!$D19908,nESPEC,DATOS!$E19908,nASIG,DATOS!$I19908,nEVAL,"OR")=0))</f>
      </c>
      <c r="I19908">
        <f>IF(DATOS!$I19908="","",IFERROR(VLOOKUP(DATOS!$I19908,CONFIG_ASIGNATURAS!$B$2:$J$91,9,FALSE()),""))</f>
      </c>
    </row>
    <row r="19909">
      <c r="F19909">
        <f>IF(DATOS!$A19909="","",DATOS!$A19909&amp;"|"&amp;DATOS!$D19909&amp;"|"&amp;DATOS!$E19909&amp;"|"&amp;DATOS!$I19909)</f>
      </c>
      <c r="G19909">
        <f>IF(DATOS!$A19909="",0,IF(CONFIG_METADATA!$B$4&lt;&gt;"OR+EX",--(DATOS!$G19909=CONFIG_METADATA!$B$4),IF(DATOS!$G19909="EX",1,IF(DATOS!$G19909="OR",--(COUNTIFS(nNIA,DATOS!$A19909,nCURSO,DATOS!$D19909,nESPEC,DATOS!$E19909,nASIG,DATOS!$I19909,nEVAL,"EX")=0),0))))</f>
      </c>
      <c r="H19909">
        <f>IF(DATOS!$G19909&lt;&gt;"EX",0,--(COUNTIFS(nNIA,DATOS!$A19909,nCURSO,DATOS!$D19909,nESPEC,DATOS!$E19909,nASIG,DATOS!$I19909,nEVAL,"OR")=0))</f>
      </c>
      <c r="I19909">
        <f>IF(DATOS!$I19909="","",IFERROR(VLOOKUP(DATOS!$I19909,CONFIG_ASIGNATURAS!$B$2:$J$91,9,FALSE()),""))</f>
      </c>
    </row>
    <row r="19910">
      <c r="F19910">
        <f>IF(DATOS!$A19910="","",DATOS!$A19910&amp;"|"&amp;DATOS!$D19910&amp;"|"&amp;DATOS!$E19910&amp;"|"&amp;DATOS!$I19910)</f>
      </c>
      <c r="G19910">
        <f>IF(DATOS!$A19910="",0,IF(CONFIG_METADATA!$B$4&lt;&gt;"OR+EX",--(DATOS!$G19910=CONFIG_METADATA!$B$4),IF(DATOS!$G19910="EX",1,IF(DATOS!$G19910="OR",--(COUNTIFS(nNIA,DATOS!$A19910,nCURSO,DATOS!$D19910,nESPEC,DATOS!$E19910,nASIG,DATOS!$I19910,nEVAL,"EX")=0),0))))</f>
      </c>
      <c r="H19910">
        <f>IF(DATOS!$G19910&lt;&gt;"EX",0,--(COUNTIFS(nNIA,DATOS!$A19910,nCURSO,DATOS!$D19910,nESPEC,DATOS!$E19910,nASIG,DATOS!$I19910,nEVAL,"OR")=0))</f>
      </c>
      <c r="I19910">
        <f>IF(DATOS!$I19910="","",IFERROR(VLOOKUP(DATOS!$I19910,CONFIG_ASIGNATURAS!$B$2:$J$91,9,FALSE()),""))</f>
      </c>
    </row>
    <row r="19911">
      <c r="F19911">
        <f>IF(DATOS!$A19911="","",DATOS!$A19911&amp;"|"&amp;DATOS!$D19911&amp;"|"&amp;DATOS!$E19911&amp;"|"&amp;DATOS!$I19911)</f>
      </c>
      <c r="G19911">
        <f>IF(DATOS!$A19911="",0,IF(CONFIG_METADATA!$B$4&lt;&gt;"OR+EX",--(DATOS!$G19911=CONFIG_METADATA!$B$4),IF(DATOS!$G19911="EX",1,IF(DATOS!$G19911="OR",--(COUNTIFS(nNIA,DATOS!$A19911,nCURSO,DATOS!$D19911,nESPEC,DATOS!$E19911,nASIG,DATOS!$I19911,nEVAL,"EX")=0),0))))</f>
      </c>
      <c r="H19911">
        <f>IF(DATOS!$G19911&lt;&gt;"EX",0,--(COUNTIFS(nNIA,DATOS!$A19911,nCURSO,DATOS!$D19911,nESPEC,DATOS!$E19911,nASIG,DATOS!$I19911,nEVAL,"OR")=0))</f>
      </c>
      <c r="I19911">
        <f>IF(DATOS!$I19911="","",IFERROR(VLOOKUP(DATOS!$I19911,CONFIG_ASIGNATURAS!$B$2:$J$91,9,FALSE()),""))</f>
      </c>
    </row>
    <row r="19912">
      <c r="F19912">
        <f>IF(DATOS!$A19912="","",DATOS!$A19912&amp;"|"&amp;DATOS!$D19912&amp;"|"&amp;DATOS!$E19912&amp;"|"&amp;DATOS!$I19912)</f>
      </c>
      <c r="G19912">
        <f>IF(DATOS!$A19912="",0,IF(CONFIG_METADATA!$B$4&lt;&gt;"OR+EX",--(DATOS!$G19912=CONFIG_METADATA!$B$4),IF(DATOS!$G19912="EX",1,IF(DATOS!$G19912="OR",--(COUNTIFS(nNIA,DATOS!$A19912,nCURSO,DATOS!$D19912,nESPEC,DATOS!$E19912,nASIG,DATOS!$I19912,nEVAL,"EX")=0),0))))</f>
      </c>
      <c r="H19912">
        <f>IF(DATOS!$G19912&lt;&gt;"EX",0,--(COUNTIFS(nNIA,DATOS!$A19912,nCURSO,DATOS!$D19912,nESPEC,DATOS!$E19912,nASIG,DATOS!$I19912,nEVAL,"OR")=0))</f>
      </c>
      <c r="I19912">
        <f>IF(DATOS!$I19912="","",IFERROR(VLOOKUP(DATOS!$I19912,CONFIG_ASIGNATURAS!$B$2:$J$91,9,FALSE()),""))</f>
      </c>
    </row>
    <row r="19913">
      <c r="F19913">
        <f>IF(DATOS!$A19913="","",DATOS!$A19913&amp;"|"&amp;DATOS!$D19913&amp;"|"&amp;DATOS!$E19913&amp;"|"&amp;DATOS!$I19913)</f>
      </c>
      <c r="G19913">
        <f>IF(DATOS!$A19913="",0,IF(CONFIG_METADATA!$B$4&lt;&gt;"OR+EX",--(DATOS!$G19913=CONFIG_METADATA!$B$4),IF(DATOS!$G19913="EX",1,IF(DATOS!$G19913="OR",--(COUNTIFS(nNIA,DATOS!$A19913,nCURSO,DATOS!$D19913,nESPEC,DATOS!$E19913,nASIG,DATOS!$I19913,nEVAL,"EX")=0),0))))</f>
      </c>
      <c r="H19913">
        <f>IF(DATOS!$G19913&lt;&gt;"EX",0,--(COUNTIFS(nNIA,DATOS!$A19913,nCURSO,DATOS!$D19913,nESPEC,DATOS!$E19913,nASIG,DATOS!$I19913,nEVAL,"OR")=0))</f>
      </c>
      <c r="I19913">
        <f>IF(DATOS!$I19913="","",IFERROR(VLOOKUP(DATOS!$I19913,CONFIG_ASIGNATURAS!$B$2:$J$91,9,FALSE()),""))</f>
      </c>
    </row>
    <row r="19914">
      <c r="F19914">
        <f>IF(DATOS!$A19914="","",DATOS!$A19914&amp;"|"&amp;DATOS!$D19914&amp;"|"&amp;DATOS!$E19914&amp;"|"&amp;DATOS!$I19914)</f>
      </c>
      <c r="G19914">
        <f>IF(DATOS!$A19914="",0,IF(CONFIG_METADATA!$B$4&lt;&gt;"OR+EX",--(DATOS!$G19914=CONFIG_METADATA!$B$4),IF(DATOS!$G19914="EX",1,IF(DATOS!$G19914="OR",--(COUNTIFS(nNIA,DATOS!$A19914,nCURSO,DATOS!$D19914,nESPEC,DATOS!$E19914,nASIG,DATOS!$I19914,nEVAL,"EX")=0),0))))</f>
      </c>
      <c r="H19914">
        <f>IF(DATOS!$G19914&lt;&gt;"EX",0,--(COUNTIFS(nNIA,DATOS!$A19914,nCURSO,DATOS!$D19914,nESPEC,DATOS!$E19914,nASIG,DATOS!$I19914,nEVAL,"OR")=0))</f>
      </c>
      <c r="I19914">
        <f>IF(DATOS!$I19914="","",IFERROR(VLOOKUP(DATOS!$I19914,CONFIG_ASIGNATURAS!$B$2:$J$91,9,FALSE()),""))</f>
      </c>
    </row>
    <row r="19915">
      <c r="F19915">
        <f>IF(DATOS!$A19915="","",DATOS!$A19915&amp;"|"&amp;DATOS!$D19915&amp;"|"&amp;DATOS!$E19915&amp;"|"&amp;DATOS!$I19915)</f>
      </c>
      <c r="G19915">
        <f>IF(DATOS!$A19915="",0,IF(CONFIG_METADATA!$B$4&lt;&gt;"OR+EX",--(DATOS!$G19915=CONFIG_METADATA!$B$4),IF(DATOS!$G19915="EX",1,IF(DATOS!$G19915="OR",--(COUNTIFS(nNIA,DATOS!$A19915,nCURSO,DATOS!$D19915,nESPEC,DATOS!$E19915,nASIG,DATOS!$I19915,nEVAL,"EX")=0),0))))</f>
      </c>
      <c r="H19915">
        <f>IF(DATOS!$G19915&lt;&gt;"EX",0,--(COUNTIFS(nNIA,DATOS!$A19915,nCURSO,DATOS!$D19915,nESPEC,DATOS!$E19915,nASIG,DATOS!$I19915,nEVAL,"OR")=0))</f>
      </c>
      <c r="I19915">
        <f>IF(DATOS!$I19915="","",IFERROR(VLOOKUP(DATOS!$I19915,CONFIG_ASIGNATURAS!$B$2:$J$91,9,FALSE()),""))</f>
      </c>
    </row>
    <row r="19916">
      <c r="F19916">
        <f>IF(DATOS!$A19916="","",DATOS!$A19916&amp;"|"&amp;DATOS!$D19916&amp;"|"&amp;DATOS!$E19916&amp;"|"&amp;DATOS!$I19916)</f>
      </c>
      <c r="G19916">
        <f>IF(DATOS!$A19916="",0,IF(CONFIG_METADATA!$B$4&lt;&gt;"OR+EX",--(DATOS!$G19916=CONFIG_METADATA!$B$4),IF(DATOS!$G19916="EX",1,IF(DATOS!$G19916="OR",--(COUNTIFS(nNIA,DATOS!$A19916,nCURSO,DATOS!$D19916,nESPEC,DATOS!$E19916,nASIG,DATOS!$I19916,nEVAL,"EX")=0),0))))</f>
      </c>
      <c r="H19916">
        <f>IF(DATOS!$G19916&lt;&gt;"EX",0,--(COUNTIFS(nNIA,DATOS!$A19916,nCURSO,DATOS!$D19916,nESPEC,DATOS!$E19916,nASIG,DATOS!$I19916,nEVAL,"OR")=0))</f>
      </c>
      <c r="I19916">
        <f>IF(DATOS!$I19916="","",IFERROR(VLOOKUP(DATOS!$I19916,CONFIG_ASIGNATURAS!$B$2:$J$91,9,FALSE()),""))</f>
      </c>
    </row>
    <row r="19917">
      <c r="F19917">
        <f>IF(DATOS!$A19917="","",DATOS!$A19917&amp;"|"&amp;DATOS!$D19917&amp;"|"&amp;DATOS!$E19917&amp;"|"&amp;DATOS!$I19917)</f>
      </c>
      <c r="G19917">
        <f>IF(DATOS!$A19917="",0,IF(CONFIG_METADATA!$B$4&lt;&gt;"OR+EX",--(DATOS!$G19917=CONFIG_METADATA!$B$4),IF(DATOS!$G19917="EX",1,IF(DATOS!$G19917="OR",--(COUNTIFS(nNIA,DATOS!$A19917,nCURSO,DATOS!$D19917,nESPEC,DATOS!$E19917,nASIG,DATOS!$I19917,nEVAL,"EX")=0),0))))</f>
      </c>
      <c r="H19917">
        <f>IF(DATOS!$G19917&lt;&gt;"EX",0,--(COUNTIFS(nNIA,DATOS!$A19917,nCURSO,DATOS!$D19917,nESPEC,DATOS!$E19917,nASIG,DATOS!$I19917,nEVAL,"OR")=0))</f>
      </c>
      <c r="I19917">
        <f>IF(DATOS!$I19917="","",IFERROR(VLOOKUP(DATOS!$I19917,CONFIG_ASIGNATURAS!$B$2:$J$91,9,FALSE()),""))</f>
      </c>
    </row>
    <row r="19918">
      <c r="F19918">
        <f>IF(DATOS!$A19918="","",DATOS!$A19918&amp;"|"&amp;DATOS!$D19918&amp;"|"&amp;DATOS!$E19918&amp;"|"&amp;DATOS!$I19918)</f>
      </c>
      <c r="G19918">
        <f>IF(DATOS!$A19918="",0,IF(CONFIG_METADATA!$B$4&lt;&gt;"OR+EX",--(DATOS!$G19918=CONFIG_METADATA!$B$4),IF(DATOS!$G19918="EX",1,IF(DATOS!$G19918="OR",--(COUNTIFS(nNIA,DATOS!$A19918,nCURSO,DATOS!$D19918,nESPEC,DATOS!$E19918,nASIG,DATOS!$I19918,nEVAL,"EX")=0),0))))</f>
      </c>
      <c r="H19918">
        <f>IF(DATOS!$G19918&lt;&gt;"EX",0,--(COUNTIFS(nNIA,DATOS!$A19918,nCURSO,DATOS!$D19918,nESPEC,DATOS!$E19918,nASIG,DATOS!$I19918,nEVAL,"OR")=0))</f>
      </c>
      <c r="I19918">
        <f>IF(DATOS!$I19918="","",IFERROR(VLOOKUP(DATOS!$I19918,CONFIG_ASIGNATURAS!$B$2:$J$91,9,FALSE()),""))</f>
      </c>
    </row>
    <row r="19919">
      <c r="F19919">
        <f>IF(DATOS!$A19919="","",DATOS!$A19919&amp;"|"&amp;DATOS!$D19919&amp;"|"&amp;DATOS!$E19919&amp;"|"&amp;DATOS!$I19919)</f>
      </c>
      <c r="G19919">
        <f>IF(DATOS!$A19919="",0,IF(CONFIG_METADATA!$B$4&lt;&gt;"OR+EX",--(DATOS!$G19919=CONFIG_METADATA!$B$4),IF(DATOS!$G19919="EX",1,IF(DATOS!$G19919="OR",--(COUNTIFS(nNIA,DATOS!$A19919,nCURSO,DATOS!$D19919,nESPEC,DATOS!$E19919,nASIG,DATOS!$I19919,nEVAL,"EX")=0),0))))</f>
      </c>
      <c r="H19919">
        <f>IF(DATOS!$G19919&lt;&gt;"EX",0,--(COUNTIFS(nNIA,DATOS!$A19919,nCURSO,DATOS!$D19919,nESPEC,DATOS!$E19919,nASIG,DATOS!$I19919,nEVAL,"OR")=0))</f>
      </c>
      <c r="I19919">
        <f>IF(DATOS!$I19919="","",IFERROR(VLOOKUP(DATOS!$I19919,CONFIG_ASIGNATURAS!$B$2:$J$91,9,FALSE()),""))</f>
      </c>
    </row>
    <row r="19920">
      <c r="F19920">
        <f>IF(DATOS!$A19920="","",DATOS!$A19920&amp;"|"&amp;DATOS!$D19920&amp;"|"&amp;DATOS!$E19920&amp;"|"&amp;DATOS!$I19920)</f>
      </c>
      <c r="G19920">
        <f>IF(DATOS!$A19920="",0,IF(CONFIG_METADATA!$B$4&lt;&gt;"OR+EX",--(DATOS!$G19920=CONFIG_METADATA!$B$4),IF(DATOS!$G19920="EX",1,IF(DATOS!$G19920="OR",--(COUNTIFS(nNIA,DATOS!$A19920,nCURSO,DATOS!$D19920,nESPEC,DATOS!$E19920,nASIG,DATOS!$I19920,nEVAL,"EX")=0),0))))</f>
      </c>
      <c r="H19920">
        <f>IF(DATOS!$G19920&lt;&gt;"EX",0,--(COUNTIFS(nNIA,DATOS!$A19920,nCURSO,DATOS!$D19920,nESPEC,DATOS!$E19920,nASIG,DATOS!$I19920,nEVAL,"OR")=0))</f>
      </c>
      <c r="I19920">
        <f>IF(DATOS!$I19920="","",IFERROR(VLOOKUP(DATOS!$I19920,CONFIG_ASIGNATURAS!$B$2:$J$91,9,FALSE()),""))</f>
      </c>
    </row>
    <row r="19921">
      <c r="F19921">
        <f>IF(DATOS!$A19921="","",DATOS!$A19921&amp;"|"&amp;DATOS!$D19921&amp;"|"&amp;DATOS!$E19921&amp;"|"&amp;DATOS!$I19921)</f>
      </c>
      <c r="G19921">
        <f>IF(DATOS!$A19921="",0,IF(CONFIG_METADATA!$B$4&lt;&gt;"OR+EX",--(DATOS!$G19921=CONFIG_METADATA!$B$4),IF(DATOS!$G19921="EX",1,IF(DATOS!$G19921="OR",--(COUNTIFS(nNIA,DATOS!$A19921,nCURSO,DATOS!$D19921,nESPEC,DATOS!$E19921,nASIG,DATOS!$I19921,nEVAL,"EX")=0),0))))</f>
      </c>
      <c r="H19921">
        <f>IF(DATOS!$G19921&lt;&gt;"EX",0,--(COUNTIFS(nNIA,DATOS!$A19921,nCURSO,DATOS!$D19921,nESPEC,DATOS!$E19921,nASIG,DATOS!$I19921,nEVAL,"OR")=0))</f>
      </c>
      <c r="I19921">
        <f>IF(DATOS!$I19921="","",IFERROR(VLOOKUP(DATOS!$I19921,CONFIG_ASIGNATURAS!$B$2:$J$91,9,FALSE()),""))</f>
      </c>
    </row>
    <row r="19922">
      <c r="F19922">
        <f>IF(DATOS!$A19922="","",DATOS!$A19922&amp;"|"&amp;DATOS!$D19922&amp;"|"&amp;DATOS!$E19922&amp;"|"&amp;DATOS!$I19922)</f>
      </c>
      <c r="G19922">
        <f>IF(DATOS!$A19922="",0,IF(CONFIG_METADATA!$B$4&lt;&gt;"OR+EX",--(DATOS!$G19922=CONFIG_METADATA!$B$4),IF(DATOS!$G19922="EX",1,IF(DATOS!$G19922="OR",--(COUNTIFS(nNIA,DATOS!$A19922,nCURSO,DATOS!$D19922,nESPEC,DATOS!$E19922,nASIG,DATOS!$I19922,nEVAL,"EX")=0),0))))</f>
      </c>
      <c r="H19922">
        <f>IF(DATOS!$G19922&lt;&gt;"EX",0,--(COUNTIFS(nNIA,DATOS!$A19922,nCURSO,DATOS!$D19922,nESPEC,DATOS!$E19922,nASIG,DATOS!$I19922,nEVAL,"OR")=0))</f>
      </c>
      <c r="I19922">
        <f>IF(DATOS!$I19922="","",IFERROR(VLOOKUP(DATOS!$I19922,CONFIG_ASIGNATURAS!$B$2:$J$91,9,FALSE()),""))</f>
      </c>
    </row>
    <row r="19923">
      <c r="F19923">
        <f>IF(DATOS!$A19923="","",DATOS!$A19923&amp;"|"&amp;DATOS!$D19923&amp;"|"&amp;DATOS!$E19923&amp;"|"&amp;DATOS!$I19923)</f>
      </c>
      <c r="G19923">
        <f>IF(DATOS!$A19923="",0,IF(CONFIG_METADATA!$B$4&lt;&gt;"OR+EX",--(DATOS!$G19923=CONFIG_METADATA!$B$4),IF(DATOS!$G19923="EX",1,IF(DATOS!$G19923="OR",--(COUNTIFS(nNIA,DATOS!$A19923,nCURSO,DATOS!$D19923,nESPEC,DATOS!$E19923,nASIG,DATOS!$I19923,nEVAL,"EX")=0),0))))</f>
      </c>
      <c r="H19923">
        <f>IF(DATOS!$G19923&lt;&gt;"EX",0,--(COUNTIFS(nNIA,DATOS!$A19923,nCURSO,DATOS!$D19923,nESPEC,DATOS!$E19923,nASIG,DATOS!$I19923,nEVAL,"OR")=0))</f>
      </c>
      <c r="I19923">
        <f>IF(DATOS!$I19923="","",IFERROR(VLOOKUP(DATOS!$I19923,CONFIG_ASIGNATURAS!$B$2:$J$91,9,FALSE()),""))</f>
      </c>
    </row>
    <row r="19924">
      <c r="F19924">
        <f>IF(DATOS!$A19924="","",DATOS!$A19924&amp;"|"&amp;DATOS!$D19924&amp;"|"&amp;DATOS!$E19924&amp;"|"&amp;DATOS!$I19924)</f>
      </c>
      <c r="G19924">
        <f>IF(DATOS!$A19924="",0,IF(CONFIG_METADATA!$B$4&lt;&gt;"OR+EX",--(DATOS!$G19924=CONFIG_METADATA!$B$4),IF(DATOS!$G19924="EX",1,IF(DATOS!$G19924="OR",--(COUNTIFS(nNIA,DATOS!$A19924,nCURSO,DATOS!$D19924,nESPEC,DATOS!$E19924,nASIG,DATOS!$I19924,nEVAL,"EX")=0),0))))</f>
      </c>
      <c r="H19924">
        <f>IF(DATOS!$G19924&lt;&gt;"EX",0,--(COUNTIFS(nNIA,DATOS!$A19924,nCURSO,DATOS!$D19924,nESPEC,DATOS!$E19924,nASIG,DATOS!$I19924,nEVAL,"OR")=0))</f>
      </c>
      <c r="I19924">
        <f>IF(DATOS!$I19924="","",IFERROR(VLOOKUP(DATOS!$I19924,CONFIG_ASIGNATURAS!$B$2:$J$91,9,FALSE()),""))</f>
      </c>
    </row>
    <row r="19925">
      <c r="F19925">
        <f>IF(DATOS!$A19925="","",DATOS!$A19925&amp;"|"&amp;DATOS!$D19925&amp;"|"&amp;DATOS!$E19925&amp;"|"&amp;DATOS!$I19925)</f>
      </c>
      <c r="G19925">
        <f>IF(DATOS!$A19925="",0,IF(CONFIG_METADATA!$B$4&lt;&gt;"OR+EX",--(DATOS!$G19925=CONFIG_METADATA!$B$4),IF(DATOS!$G19925="EX",1,IF(DATOS!$G19925="OR",--(COUNTIFS(nNIA,DATOS!$A19925,nCURSO,DATOS!$D19925,nESPEC,DATOS!$E19925,nASIG,DATOS!$I19925,nEVAL,"EX")=0),0))))</f>
      </c>
      <c r="H19925">
        <f>IF(DATOS!$G19925&lt;&gt;"EX",0,--(COUNTIFS(nNIA,DATOS!$A19925,nCURSO,DATOS!$D19925,nESPEC,DATOS!$E19925,nASIG,DATOS!$I19925,nEVAL,"OR")=0))</f>
      </c>
      <c r="I19925">
        <f>IF(DATOS!$I19925="","",IFERROR(VLOOKUP(DATOS!$I19925,CONFIG_ASIGNATURAS!$B$2:$J$91,9,FALSE()),""))</f>
      </c>
    </row>
    <row r="19926">
      <c r="F19926">
        <f>IF(DATOS!$A19926="","",DATOS!$A19926&amp;"|"&amp;DATOS!$D19926&amp;"|"&amp;DATOS!$E19926&amp;"|"&amp;DATOS!$I19926)</f>
      </c>
      <c r="G19926">
        <f>IF(DATOS!$A19926="",0,IF(CONFIG_METADATA!$B$4&lt;&gt;"OR+EX",--(DATOS!$G19926=CONFIG_METADATA!$B$4),IF(DATOS!$G19926="EX",1,IF(DATOS!$G19926="OR",--(COUNTIFS(nNIA,DATOS!$A19926,nCURSO,DATOS!$D19926,nESPEC,DATOS!$E19926,nASIG,DATOS!$I19926,nEVAL,"EX")=0),0))))</f>
      </c>
      <c r="H19926">
        <f>IF(DATOS!$G19926&lt;&gt;"EX",0,--(COUNTIFS(nNIA,DATOS!$A19926,nCURSO,DATOS!$D19926,nESPEC,DATOS!$E19926,nASIG,DATOS!$I19926,nEVAL,"OR")=0))</f>
      </c>
      <c r="I19926">
        <f>IF(DATOS!$I19926="","",IFERROR(VLOOKUP(DATOS!$I19926,CONFIG_ASIGNATURAS!$B$2:$J$91,9,FALSE()),""))</f>
      </c>
    </row>
    <row r="19927">
      <c r="F19927">
        <f>IF(DATOS!$A19927="","",DATOS!$A19927&amp;"|"&amp;DATOS!$D19927&amp;"|"&amp;DATOS!$E19927&amp;"|"&amp;DATOS!$I19927)</f>
      </c>
      <c r="G19927">
        <f>IF(DATOS!$A19927="",0,IF(CONFIG_METADATA!$B$4&lt;&gt;"OR+EX",--(DATOS!$G19927=CONFIG_METADATA!$B$4),IF(DATOS!$G19927="EX",1,IF(DATOS!$G19927="OR",--(COUNTIFS(nNIA,DATOS!$A19927,nCURSO,DATOS!$D19927,nESPEC,DATOS!$E19927,nASIG,DATOS!$I19927,nEVAL,"EX")=0),0))))</f>
      </c>
      <c r="H19927">
        <f>IF(DATOS!$G19927&lt;&gt;"EX",0,--(COUNTIFS(nNIA,DATOS!$A19927,nCURSO,DATOS!$D19927,nESPEC,DATOS!$E19927,nASIG,DATOS!$I19927,nEVAL,"OR")=0))</f>
      </c>
      <c r="I19927">
        <f>IF(DATOS!$I19927="","",IFERROR(VLOOKUP(DATOS!$I19927,CONFIG_ASIGNATURAS!$B$2:$J$91,9,FALSE()),""))</f>
      </c>
    </row>
    <row r="19928">
      <c r="F19928">
        <f>IF(DATOS!$A19928="","",DATOS!$A19928&amp;"|"&amp;DATOS!$D19928&amp;"|"&amp;DATOS!$E19928&amp;"|"&amp;DATOS!$I19928)</f>
      </c>
      <c r="G19928">
        <f>IF(DATOS!$A19928="",0,IF(CONFIG_METADATA!$B$4&lt;&gt;"OR+EX",--(DATOS!$G19928=CONFIG_METADATA!$B$4),IF(DATOS!$G19928="EX",1,IF(DATOS!$G19928="OR",--(COUNTIFS(nNIA,DATOS!$A19928,nCURSO,DATOS!$D19928,nESPEC,DATOS!$E19928,nASIG,DATOS!$I19928,nEVAL,"EX")=0),0))))</f>
      </c>
      <c r="H19928">
        <f>IF(DATOS!$G19928&lt;&gt;"EX",0,--(COUNTIFS(nNIA,DATOS!$A19928,nCURSO,DATOS!$D19928,nESPEC,DATOS!$E19928,nASIG,DATOS!$I19928,nEVAL,"OR")=0))</f>
      </c>
      <c r="I19928">
        <f>IF(DATOS!$I19928="","",IFERROR(VLOOKUP(DATOS!$I19928,CONFIG_ASIGNATURAS!$B$2:$J$91,9,FALSE()),""))</f>
      </c>
    </row>
    <row r="19929">
      <c r="F19929">
        <f>IF(DATOS!$A19929="","",DATOS!$A19929&amp;"|"&amp;DATOS!$D19929&amp;"|"&amp;DATOS!$E19929&amp;"|"&amp;DATOS!$I19929)</f>
      </c>
      <c r="G19929">
        <f>IF(DATOS!$A19929="",0,IF(CONFIG_METADATA!$B$4&lt;&gt;"OR+EX",--(DATOS!$G19929=CONFIG_METADATA!$B$4),IF(DATOS!$G19929="EX",1,IF(DATOS!$G19929="OR",--(COUNTIFS(nNIA,DATOS!$A19929,nCURSO,DATOS!$D19929,nESPEC,DATOS!$E19929,nASIG,DATOS!$I19929,nEVAL,"EX")=0),0))))</f>
      </c>
      <c r="H19929">
        <f>IF(DATOS!$G19929&lt;&gt;"EX",0,--(COUNTIFS(nNIA,DATOS!$A19929,nCURSO,DATOS!$D19929,nESPEC,DATOS!$E19929,nASIG,DATOS!$I19929,nEVAL,"OR")=0))</f>
      </c>
      <c r="I19929">
        <f>IF(DATOS!$I19929="","",IFERROR(VLOOKUP(DATOS!$I19929,CONFIG_ASIGNATURAS!$B$2:$J$91,9,FALSE()),""))</f>
      </c>
    </row>
    <row r="19930">
      <c r="F19930">
        <f>IF(DATOS!$A19930="","",DATOS!$A19930&amp;"|"&amp;DATOS!$D19930&amp;"|"&amp;DATOS!$E19930&amp;"|"&amp;DATOS!$I19930)</f>
      </c>
      <c r="G19930">
        <f>IF(DATOS!$A19930="",0,IF(CONFIG_METADATA!$B$4&lt;&gt;"OR+EX",--(DATOS!$G19930=CONFIG_METADATA!$B$4),IF(DATOS!$G19930="EX",1,IF(DATOS!$G19930="OR",--(COUNTIFS(nNIA,DATOS!$A19930,nCURSO,DATOS!$D19930,nESPEC,DATOS!$E19930,nASIG,DATOS!$I19930,nEVAL,"EX")=0),0))))</f>
      </c>
      <c r="H19930">
        <f>IF(DATOS!$G19930&lt;&gt;"EX",0,--(COUNTIFS(nNIA,DATOS!$A19930,nCURSO,DATOS!$D19930,nESPEC,DATOS!$E19930,nASIG,DATOS!$I19930,nEVAL,"OR")=0))</f>
      </c>
      <c r="I19930">
        <f>IF(DATOS!$I19930="","",IFERROR(VLOOKUP(DATOS!$I19930,CONFIG_ASIGNATURAS!$B$2:$J$91,9,FALSE()),""))</f>
      </c>
    </row>
    <row r="19931">
      <c r="F19931">
        <f>IF(DATOS!$A19931="","",DATOS!$A19931&amp;"|"&amp;DATOS!$D19931&amp;"|"&amp;DATOS!$E19931&amp;"|"&amp;DATOS!$I19931)</f>
      </c>
      <c r="G19931">
        <f>IF(DATOS!$A19931="",0,IF(CONFIG_METADATA!$B$4&lt;&gt;"OR+EX",--(DATOS!$G19931=CONFIG_METADATA!$B$4),IF(DATOS!$G19931="EX",1,IF(DATOS!$G19931="OR",--(COUNTIFS(nNIA,DATOS!$A19931,nCURSO,DATOS!$D19931,nESPEC,DATOS!$E19931,nASIG,DATOS!$I19931,nEVAL,"EX")=0),0))))</f>
      </c>
      <c r="H19931">
        <f>IF(DATOS!$G19931&lt;&gt;"EX",0,--(COUNTIFS(nNIA,DATOS!$A19931,nCURSO,DATOS!$D19931,nESPEC,DATOS!$E19931,nASIG,DATOS!$I19931,nEVAL,"OR")=0))</f>
      </c>
      <c r="I19931">
        <f>IF(DATOS!$I19931="","",IFERROR(VLOOKUP(DATOS!$I19931,CONFIG_ASIGNATURAS!$B$2:$J$91,9,FALSE()),""))</f>
      </c>
    </row>
    <row r="19932">
      <c r="F19932">
        <f>IF(DATOS!$A19932="","",DATOS!$A19932&amp;"|"&amp;DATOS!$D19932&amp;"|"&amp;DATOS!$E19932&amp;"|"&amp;DATOS!$I19932)</f>
      </c>
      <c r="G19932">
        <f>IF(DATOS!$A19932="",0,IF(CONFIG_METADATA!$B$4&lt;&gt;"OR+EX",--(DATOS!$G19932=CONFIG_METADATA!$B$4),IF(DATOS!$G19932="EX",1,IF(DATOS!$G19932="OR",--(COUNTIFS(nNIA,DATOS!$A19932,nCURSO,DATOS!$D19932,nESPEC,DATOS!$E19932,nASIG,DATOS!$I19932,nEVAL,"EX")=0),0))))</f>
      </c>
      <c r="H19932">
        <f>IF(DATOS!$G19932&lt;&gt;"EX",0,--(COUNTIFS(nNIA,DATOS!$A19932,nCURSO,DATOS!$D19932,nESPEC,DATOS!$E19932,nASIG,DATOS!$I19932,nEVAL,"OR")=0))</f>
      </c>
      <c r="I19932">
        <f>IF(DATOS!$I19932="","",IFERROR(VLOOKUP(DATOS!$I19932,CONFIG_ASIGNATURAS!$B$2:$J$91,9,FALSE()),""))</f>
      </c>
    </row>
    <row r="19933">
      <c r="F19933">
        <f>IF(DATOS!$A19933="","",DATOS!$A19933&amp;"|"&amp;DATOS!$D19933&amp;"|"&amp;DATOS!$E19933&amp;"|"&amp;DATOS!$I19933)</f>
      </c>
      <c r="G19933">
        <f>IF(DATOS!$A19933="",0,IF(CONFIG_METADATA!$B$4&lt;&gt;"OR+EX",--(DATOS!$G19933=CONFIG_METADATA!$B$4),IF(DATOS!$G19933="EX",1,IF(DATOS!$G19933="OR",--(COUNTIFS(nNIA,DATOS!$A19933,nCURSO,DATOS!$D19933,nESPEC,DATOS!$E19933,nASIG,DATOS!$I19933,nEVAL,"EX")=0),0))))</f>
      </c>
      <c r="H19933">
        <f>IF(DATOS!$G19933&lt;&gt;"EX",0,--(COUNTIFS(nNIA,DATOS!$A19933,nCURSO,DATOS!$D19933,nESPEC,DATOS!$E19933,nASIG,DATOS!$I19933,nEVAL,"OR")=0))</f>
      </c>
      <c r="I19933">
        <f>IF(DATOS!$I19933="","",IFERROR(VLOOKUP(DATOS!$I19933,CONFIG_ASIGNATURAS!$B$2:$J$91,9,FALSE()),""))</f>
      </c>
    </row>
    <row r="19934">
      <c r="F19934">
        <f>IF(DATOS!$A19934="","",DATOS!$A19934&amp;"|"&amp;DATOS!$D19934&amp;"|"&amp;DATOS!$E19934&amp;"|"&amp;DATOS!$I19934)</f>
      </c>
      <c r="G19934">
        <f>IF(DATOS!$A19934="",0,IF(CONFIG_METADATA!$B$4&lt;&gt;"OR+EX",--(DATOS!$G19934=CONFIG_METADATA!$B$4),IF(DATOS!$G19934="EX",1,IF(DATOS!$G19934="OR",--(COUNTIFS(nNIA,DATOS!$A19934,nCURSO,DATOS!$D19934,nESPEC,DATOS!$E19934,nASIG,DATOS!$I19934,nEVAL,"EX")=0),0))))</f>
      </c>
      <c r="H19934">
        <f>IF(DATOS!$G19934&lt;&gt;"EX",0,--(COUNTIFS(nNIA,DATOS!$A19934,nCURSO,DATOS!$D19934,nESPEC,DATOS!$E19934,nASIG,DATOS!$I19934,nEVAL,"OR")=0))</f>
      </c>
      <c r="I19934">
        <f>IF(DATOS!$I19934="","",IFERROR(VLOOKUP(DATOS!$I19934,CONFIG_ASIGNATURAS!$B$2:$J$91,9,FALSE()),""))</f>
      </c>
    </row>
    <row r="19935">
      <c r="F19935">
        <f>IF(DATOS!$A19935="","",DATOS!$A19935&amp;"|"&amp;DATOS!$D19935&amp;"|"&amp;DATOS!$E19935&amp;"|"&amp;DATOS!$I19935)</f>
      </c>
      <c r="G19935">
        <f>IF(DATOS!$A19935="",0,IF(CONFIG_METADATA!$B$4&lt;&gt;"OR+EX",--(DATOS!$G19935=CONFIG_METADATA!$B$4),IF(DATOS!$G19935="EX",1,IF(DATOS!$G19935="OR",--(COUNTIFS(nNIA,DATOS!$A19935,nCURSO,DATOS!$D19935,nESPEC,DATOS!$E19935,nASIG,DATOS!$I19935,nEVAL,"EX")=0),0))))</f>
      </c>
      <c r="H19935">
        <f>IF(DATOS!$G19935&lt;&gt;"EX",0,--(COUNTIFS(nNIA,DATOS!$A19935,nCURSO,DATOS!$D19935,nESPEC,DATOS!$E19935,nASIG,DATOS!$I19935,nEVAL,"OR")=0))</f>
      </c>
      <c r="I19935">
        <f>IF(DATOS!$I19935="","",IFERROR(VLOOKUP(DATOS!$I19935,CONFIG_ASIGNATURAS!$B$2:$J$91,9,FALSE()),""))</f>
      </c>
    </row>
    <row r="19936">
      <c r="F19936">
        <f>IF(DATOS!$A19936="","",DATOS!$A19936&amp;"|"&amp;DATOS!$D19936&amp;"|"&amp;DATOS!$E19936&amp;"|"&amp;DATOS!$I19936)</f>
      </c>
      <c r="G19936">
        <f>IF(DATOS!$A19936="",0,IF(CONFIG_METADATA!$B$4&lt;&gt;"OR+EX",--(DATOS!$G19936=CONFIG_METADATA!$B$4),IF(DATOS!$G19936="EX",1,IF(DATOS!$G19936="OR",--(COUNTIFS(nNIA,DATOS!$A19936,nCURSO,DATOS!$D19936,nESPEC,DATOS!$E19936,nASIG,DATOS!$I19936,nEVAL,"EX")=0),0))))</f>
      </c>
      <c r="H19936">
        <f>IF(DATOS!$G19936&lt;&gt;"EX",0,--(COUNTIFS(nNIA,DATOS!$A19936,nCURSO,DATOS!$D19936,nESPEC,DATOS!$E19936,nASIG,DATOS!$I19936,nEVAL,"OR")=0))</f>
      </c>
      <c r="I19936">
        <f>IF(DATOS!$I19936="","",IFERROR(VLOOKUP(DATOS!$I19936,CONFIG_ASIGNATURAS!$B$2:$J$91,9,FALSE()),""))</f>
      </c>
    </row>
    <row r="19937">
      <c r="F19937">
        <f>IF(DATOS!$A19937="","",DATOS!$A19937&amp;"|"&amp;DATOS!$D19937&amp;"|"&amp;DATOS!$E19937&amp;"|"&amp;DATOS!$I19937)</f>
      </c>
      <c r="G19937">
        <f>IF(DATOS!$A19937="",0,IF(CONFIG_METADATA!$B$4&lt;&gt;"OR+EX",--(DATOS!$G19937=CONFIG_METADATA!$B$4),IF(DATOS!$G19937="EX",1,IF(DATOS!$G19937="OR",--(COUNTIFS(nNIA,DATOS!$A19937,nCURSO,DATOS!$D19937,nESPEC,DATOS!$E19937,nASIG,DATOS!$I19937,nEVAL,"EX")=0),0))))</f>
      </c>
      <c r="H19937">
        <f>IF(DATOS!$G19937&lt;&gt;"EX",0,--(COUNTIFS(nNIA,DATOS!$A19937,nCURSO,DATOS!$D19937,nESPEC,DATOS!$E19937,nASIG,DATOS!$I19937,nEVAL,"OR")=0))</f>
      </c>
      <c r="I19937">
        <f>IF(DATOS!$I19937="","",IFERROR(VLOOKUP(DATOS!$I19937,CONFIG_ASIGNATURAS!$B$2:$J$91,9,FALSE()),""))</f>
      </c>
    </row>
    <row r="19938">
      <c r="F19938">
        <f>IF(DATOS!$A19938="","",DATOS!$A19938&amp;"|"&amp;DATOS!$D19938&amp;"|"&amp;DATOS!$E19938&amp;"|"&amp;DATOS!$I19938)</f>
      </c>
      <c r="G19938">
        <f>IF(DATOS!$A19938="",0,IF(CONFIG_METADATA!$B$4&lt;&gt;"OR+EX",--(DATOS!$G19938=CONFIG_METADATA!$B$4),IF(DATOS!$G19938="EX",1,IF(DATOS!$G19938="OR",--(COUNTIFS(nNIA,DATOS!$A19938,nCURSO,DATOS!$D19938,nESPEC,DATOS!$E19938,nASIG,DATOS!$I19938,nEVAL,"EX")=0),0))))</f>
      </c>
      <c r="H19938">
        <f>IF(DATOS!$G19938&lt;&gt;"EX",0,--(COUNTIFS(nNIA,DATOS!$A19938,nCURSO,DATOS!$D19938,nESPEC,DATOS!$E19938,nASIG,DATOS!$I19938,nEVAL,"OR")=0))</f>
      </c>
      <c r="I19938">
        <f>IF(DATOS!$I19938="","",IFERROR(VLOOKUP(DATOS!$I19938,CONFIG_ASIGNATURAS!$B$2:$J$91,9,FALSE()),""))</f>
      </c>
    </row>
    <row r="19939">
      <c r="F19939">
        <f>IF(DATOS!$A19939="","",DATOS!$A19939&amp;"|"&amp;DATOS!$D19939&amp;"|"&amp;DATOS!$E19939&amp;"|"&amp;DATOS!$I19939)</f>
      </c>
      <c r="G19939">
        <f>IF(DATOS!$A19939="",0,IF(CONFIG_METADATA!$B$4&lt;&gt;"OR+EX",--(DATOS!$G19939=CONFIG_METADATA!$B$4),IF(DATOS!$G19939="EX",1,IF(DATOS!$G19939="OR",--(COUNTIFS(nNIA,DATOS!$A19939,nCURSO,DATOS!$D19939,nESPEC,DATOS!$E19939,nASIG,DATOS!$I19939,nEVAL,"EX")=0),0))))</f>
      </c>
      <c r="H19939">
        <f>IF(DATOS!$G19939&lt;&gt;"EX",0,--(COUNTIFS(nNIA,DATOS!$A19939,nCURSO,DATOS!$D19939,nESPEC,DATOS!$E19939,nASIG,DATOS!$I19939,nEVAL,"OR")=0))</f>
      </c>
      <c r="I19939">
        <f>IF(DATOS!$I19939="","",IFERROR(VLOOKUP(DATOS!$I19939,CONFIG_ASIGNATURAS!$B$2:$J$91,9,FALSE()),""))</f>
      </c>
    </row>
    <row r="19940">
      <c r="F19940">
        <f>IF(DATOS!$A19940="","",DATOS!$A19940&amp;"|"&amp;DATOS!$D19940&amp;"|"&amp;DATOS!$E19940&amp;"|"&amp;DATOS!$I19940)</f>
      </c>
      <c r="G19940">
        <f>IF(DATOS!$A19940="",0,IF(CONFIG_METADATA!$B$4&lt;&gt;"OR+EX",--(DATOS!$G19940=CONFIG_METADATA!$B$4),IF(DATOS!$G19940="EX",1,IF(DATOS!$G19940="OR",--(COUNTIFS(nNIA,DATOS!$A19940,nCURSO,DATOS!$D19940,nESPEC,DATOS!$E19940,nASIG,DATOS!$I19940,nEVAL,"EX")=0),0))))</f>
      </c>
      <c r="H19940">
        <f>IF(DATOS!$G19940&lt;&gt;"EX",0,--(COUNTIFS(nNIA,DATOS!$A19940,nCURSO,DATOS!$D19940,nESPEC,DATOS!$E19940,nASIG,DATOS!$I19940,nEVAL,"OR")=0))</f>
      </c>
      <c r="I19940">
        <f>IF(DATOS!$I19940="","",IFERROR(VLOOKUP(DATOS!$I19940,CONFIG_ASIGNATURAS!$B$2:$J$91,9,FALSE()),""))</f>
      </c>
    </row>
    <row r="19941">
      <c r="F19941">
        <f>IF(DATOS!$A19941="","",DATOS!$A19941&amp;"|"&amp;DATOS!$D19941&amp;"|"&amp;DATOS!$E19941&amp;"|"&amp;DATOS!$I19941)</f>
      </c>
      <c r="G19941">
        <f>IF(DATOS!$A19941="",0,IF(CONFIG_METADATA!$B$4&lt;&gt;"OR+EX",--(DATOS!$G19941=CONFIG_METADATA!$B$4),IF(DATOS!$G19941="EX",1,IF(DATOS!$G19941="OR",--(COUNTIFS(nNIA,DATOS!$A19941,nCURSO,DATOS!$D19941,nESPEC,DATOS!$E19941,nASIG,DATOS!$I19941,nEVAL,"EX")=0),0))))</f>
      </c>
      <c r="H19941">
        <f>IF(DATOS!$G19941&lt;&gt;"EX",0,--(COUNTIFS(nNIA,DATOS!$A19941,nCURSO,DATOS!$D19941,nESPEC,DATOS!$E19941,nASIG,DATOS!$I19941,nEVAL,"OR")=0))</f>
      </c>
      <c r="I19941">
        <f>IF(DATOS!$I19941="","",IFERROR(VLOOKUP(DATOS!$I19941,CONFIG_ASIGNATURAS!$B$2:$J$91,9,FALSE()),""))</f>
      </c>
    </row>
    <row r="19942">
      <c r="F19942">
        <f>IF(DATOS!$A19942="","",DATOS!$A19942&amp;"|"&amp;DATOS!$D19942&amp;"|"&amp;DATOS!$E19942&amp;"|"&amp;DATOS!$I19942)</f>
      </c>
      <c r="G19942">
        <f>IF(DATOS!$A19942="",0,IF(CONFIG_METADATA!$B$4&lt;&gt;"OR+EX",--(DATOS!$G19942=CONFIG_METADATA!$B$4),IF(DATOS!$G19942="EX",1,IF(DATOS!$G19942="OR",--(COUNTIFS(nNIA,DATOS!$A19942,nCURSO,DATOS!$D19942,nESPEC,DATOS!$E19942,nASIG,DATOS!$I19942,nEVAL,"EX")=0),0))))</f>
      </c>
      <c r="H19942">
        <f>IF(DATOS!$G19942&lt;&gt;"EX",0,--(COUNTIFS(nNIA,DATOS!$A19942,nCURSO,DATOS!$D19942,nESPEC,DATOS!$E19942,nASIG,DATOS!$I19942,nEVAL,"OR")=0))</f>
      </c>
      <c r="I19942">
        <f>IF(DATOS!$I19942="","",IFERROR(VLOOKUP(DATOS!$I19942,CONFIG_ASIGNATURAS!$B$2:$J$91,9,FALSE()),""))</f>
      </c>
    </row>
    <row r="19943">
      <c r="F19943">
        <f>IF(DATOS!$A19943="","",DATOS!$A19943&amp;"|"&amp;DATOS!$D19943&amp;"|"&amp;DATOS!$E19943&amp;"|"&amp;DATOS!$I19943)</f>
      </c>
      <c r="G19943">
        <f>IF(DATOS!$A19943="",0,IF(CONFIG_METADATA!$B$4&lt;&gt;"OR+EX",--(DATOS!$G19943=CONFIG_METADATA!$B$4),IF(DATOS!$G19943="EX",1,IF(DATOS!$G19943="OR",--(COUNTIFS(nNIA,DATOS!$A19943,nCURSO,DATOS!$D19943,nESPEC,DATOS!$E19943,nASIG,DATOS!$I19943,nEVAL,"EX")=0),0))))</f>
      </c>
      <c r="H19943">
        <f>IF(DATOS!$G19943&lt;&gt;"EX",0,--(COUNTIFS(nNIA,DATOS!$A19943,nCURSO,DATOS!$D19943,nESPEC,DATOS!$E19943,nASIG,DATOS!$I19943,nEVAL,"OR")=0))</f>
      </c>
      <c r="I19943">
        <f>IF(DATOS!$I19943="","",IFERROR(VLOOKUP(DATOS!$I19943,CONFIG_ASIGNATURAS!$B$2:$J$91,9,FALSE()),""))</f>
      </c>
    </row>
    <row r="19944">
      <c r="F19944">
        <f>IF(DATOS!$A19944="","",DATOS!$A19944&amp;"|"&amp;DATOS!$D19944&amp;"|"&amp;DATOS!$E19944&amp;"|"&amp;DATOS!$I19944)</f>
      </c>
      <c r="G19944">
        <f>IF(DATOS!$A19944="",0,IF(CONFIG_METADATA!$B$4&lt;&gt;"OR+EX",--(DATOS!$G19944=CONFIG_METADATA!$B$4),IF(DATOS!$G19944="EX",1,IF(DATOS!$G19944="OR",--(COUNTIFS(nNIA,DATOS!$A19944,nCURSO,DATOS!$D19944,nESPEC,DATOS!$E19944,nASIG,DATOS!$I19944,nEVAL,"EX")=0),0))))</f>
      </c>
      <c r="H19944">
        <f>IF(DATOS!$G19944&lt;&gt;"EX",0,--(COUNTIFS(nNIA,DATOS!$A19944,nCURSO,DATOS!$D19944,nESPEC,DATOS!$E19944,nASIG,DATOS!$I19944,nEVAL,"OR")=0))</f>
      </c>
      <c r="I19944">
        <f>IF(DATOS!$I19944="","",IFERROR(VLOOKUP(DATOS!$I19944,CONFIG_ASIGNATURAS!$B$2:$J$91,9,FALSE()),""))</f>
      </c>
    </row>
    <row r="19945">
      <c r="F19945">
        <f>IF(DATOS!$A19945="","",DATOS!$A19945&amp;"|"&amp;DATOS!$D19945&amp;"|"&amp;DATOS!$E19945&amp;"|"&amp;DATOS!$I19945)</f>
      </c>
      <c r="G19945">
        <f>IF(DATOS!$A19945="",0,IF(CONFIG_METADATA!$B$4&lt;&gt;"OR+EX",--(DATOS!$G19945=CONFIG_METADATA!$B$4),IF(DATOS!$G19945="EX",1,IF(DATOS!$G19945="OR",--(COUNTIFS(nNIA,DATOS!$A19945,nCURSO,DATOS!$D19945,nESPEC,DATOS!$E19945,nASIG,DATOS!$I19945,nEVAL,"EX")=0),0))))</f>
      </c>
      <c r="H19945">
        <f>IF(DATOS!$G19945&lt;&gt;"EX",0,--(COUNTIFS(nNIA,DATOS!$A19945,nCURSO,DATOS!$D19945,nESPEC,DATOS!$E19945,nASIG,DATOS!$I19945,nEVAL,"OR")=0))</f>
      </c>
      <c r="I19945">
        <f>IF(DATOS!$I19945="","",IFERROR(VLOOKUP(DATOS!$I19945,CONFIG_ASIGNATURAS!$B$2:$J$91,9,FALSE()),""))</f>
      </c>
    </row>
    <row r="19946">
      <c r="F19946">
        <f>IF(DATOS!$A19946="","",DATOS!$A19946&amp;"|"&amp;DATOS!$D19946&amp;"|"&amp;DATOS!$E19946&amp;"|"&amp;DATOS!$I19946)</f>
      </c>
      <c r="G19946">
        <f>IF(DATOS!$A19946="",0,IF(CONFIG_METADATA!$B$4&lt;&gt;"OR+EX",--(DATOS!$G19946=CONFIG_METADATA!$B$4),IF(DATOS!$G19946="EX",1,IF(DATOS!$G19946="OR",--(COUNTIFS(nNIA,DATOS!$A19946,nCURSO,DATOS!$D19946,nESPEC,DATOS!$E19946,nASIG,DATOS!$I19946,nEVAL,"EX")=0),0))))</f>
      </c>
      <c r="H19946">
        <f>IF(DATOS!$G19946&lt;&gt;"EX",0,--(COUNTIFS(nNIA,DATOS!$A19946,nCURSO,DATOS!$D19946,nESPEC,DATOS!$E19946,nASIG,DATOS!$I19946,nEVAL,"OR")=0))</f>
      </c>
      <c r="I19946">
        <f>IF(DATOS!$I19946="","",IFERROR(VLOOKUP(DATOS!$I19946,CONFIG_ASIGNATURAS!$B$2:$J$91,9,FALSE()),""))</f>
      </c>
    </row>
    <row r="19947">
      <c r="F19947">
        <f>IF(DATOS!$A19947="","",DATOS!$A19947&amp;"|"&amp;DATOS!$D19947&amp;"|"&amp;DATOS!$E19947&amp;"|"&amp;DATOS!$I19947)</f>
      </c>
      <c r="G19947">
        <f>IF(DATOS!$A19947="",0,IF(CONFIG_METADATA!$B$4&lt;&gt;"OR+EX",--(DATOS!$G19947=CONFIG_METADATA!$B$4),IF(DATOS!$G19947="EX",1,IF(DATOS!$G19947="OR",--(COUNTIFS(nNIA,DATOS!$A19947,nCURSO,DATOS!$D19947,nESPEC,DATOS!$E19947,nASIG,DATOS!$I19947,nEVAL,"EX")=0),0))))</f>
      </c>
      <c r="H19947">
        <f>IF(DATOS!$G19947&lt;&gt;"EX",0,--(COUNTIFS(nNIA,DATOS!$A19947,nCURSO,DATOS!$D19947,nESPEC,DATOS!$E19947,nASIG,DATOS!$I19947,nEVAL,"OR")=0))</f>
      </c>
      <c r="I19947">
        <f>IF(DATOS!$I19947="","",IFERROR(VLOOKUP(DATOS!$I19947,CONFIG_ASIGNATURAS!$B$2:$J$91,9,FALSE()),""))</f>
      </c>
    </row>
    <row r="19948">
      <c r="F19948">
        <f>IF(DATOS!$A19948="","",DATOS!$A19948&amp;"|"&amp;DATOS!$D19948&amp;"|"&amp;DATOS!$E19948&amp;"|"&amp;DATOS!$I19948)</f>
      </c>
      <c r="G19948">
        <f>IF(DATOS!$A19948="",0,IF(CONFIG_METADATA!$B$4&lt;&gt;"OR+EX",--(DATOS!$G19948=CONFIG_METADATA!$B$4),IF(DATOS!$G19948="EX",1,IF(DATOS!$G19948="OR",--(COUNTIFS(nNIA,DATOS!$A19948,nCURSO,DATOS!$D19948,nESPEC,DATOS!$E19948,nASIG,DATOS!$I19948,nEVAL,"EX")=0),0))))</f>
      </c>
      <c r="H19948">
        <f>IF(DATOS!$G19948&lt;&gt;"EX",0,--(COUNTIFS(nNIA,DATOS!$A19948,nCURSO,DATOS!$D19948,nESPEC,DATOS!$E19948,nASIG,DATOS!$I19948,nEVAL,"OR")=0))</f>
      </c>
      <c r="I19948">
        <f>IF(DATOS!$I19948="","",IFERROR(VLOOKUP(DATOS!$I19948,CONFIG_ASIGNATURAS!$B$2:$J$91,9,FALSE()),""))</f>
      </c>
    </row>
    <row r="19949">
      <c r="F19949">
        <f>IF(DATOS!$A19949="","",DATOS!$A19949&amp;"|"&amp;DATOS!$D19949&amp;"|"&amp;DATOS!$E19949&amp;"|"&amp;DATOS!$I19949)</f>
      </c>
      <c r="G19949">
        <f>IF(DATOS!$A19949="",0,IF(CONFIG_METADATA!$B$4&lt;&gt;"OR+EX",--(DATOS!$G19949=CONFIG_METADATA!$B$4),IF(DATOS!$G19949="EX",1,IF(DATOS!$G19949="OR",--(COUNTIFS(nNIA,DATOS!$A19949,nCURSO,DATOS!$D19949,nESPEC,DATOS!$E19949,nASIG,DATOS!$I19949,nEVAL,"EX")=0),0))))</f>
      </c>
      <c r="H19949">
        <f>IF(DATOS!$G19949&lt;&gt;"EX",0,--(COUNTIFS(nNIA,DATOS!$A19949,nCURSO,DATOS!$D19949,nESPEC,DATOS!$E19949,nASIG,DATOS!$I19949,nEVAL,"OR")=0))</f>
      </c>
      <c r="I19949">
        <f>IF(DATOS!$I19949="","",IFERROR(VLOOKUP(DATOS!$I19949,CONFIG_ASIGNATURAS!$B$2:$J$91,9,FALSE()),""))</f>
      </c>
    </row>
    <row r="19950">
      <c r="F19950">
        <f>IF(DATOS!$A19950="","",DATOS!$A19950&amp;"|"&amp;DATOS!$D19950&amp;"|"&amp;DATOS!$E19950&amp;"|"&amp;DATOS!$I19950)</f>
      </c>
      <c r="G19950">
        <f>IF(DATOS!$A19950="",0,IF(CONFIG_METADATA!$B$4&lt;&gt;"OR+EX",--(DATOS!$G19950=CONFIG_METADATA!$B$4),IF(DATOS!$G19950="EX",1,IF(DATOS!$G19950="OR",--(COUNTIFS(nNIA,DATOS!$A19950,nCURSO,DATOS!$D19950,nESPEC,DATOS!$E19950,nASIG,DATOS!$I19950,nEVAL,"EX")=0),0))))</f>
      </c>
      <c r="H19950">
        <f>IF(DATOS!$G19950&lt;&gt;"EX",0,--(COUNTIFS(nNIA,DATOS!$A19950,nCURSO,DATOS!$D19950,nESPEC,DATOS!$E19950,nASIG,DATOS!$I19950,nEVAL,"OR")=0))</f>
      </c>
      <c r="I19950">
        <f>IF(DATOS!$I19950="","",IFERROR(VLOOKUP(DATOS!$I19950,CONFIG_ASIGNATURAS!$B$2:$J$91,9,FALSE()),""))</f>
      </c>
    </row>
    <row r="19951">
      <c r="F19951">
        <f>IF(DATOS!$A19951="","",DATOS!$A19951&amp;"|"&amp;DATOS!$D19951&amp;"|"&amp;DATOS!$E19951&amp;"|"&amp;DATOS!$I19951)</f>
      </c>
      <c r="G19951">
        <f>IF(DATOS!$A19951="",0,IF(CONFIG_METADATA!$B$4&lt;&gt;"OR+EX",--(DATOS!$G19951=CONFIG_METADATA!$B$4),IF(DATOS!$G19951="EX",1,IF(DATOS!$G19951="OR",--(COUNTIFS(nNIA,DATOS!$A19951,nCURSO,DATOS!$D19951,nESPEC,DATOS!$E19951,nASIG,DATOS!$I19951,nEVAL,"EX")=0),0))))</f>
      </c>
      <c r="H19951">
        <f>IF(DATOS!$G19951&lt;&gt;"EX",0,--(COUNTIFS(nNIA,DATOS!$A19951,nCURSO,DATOS!$D19951,nESPEC,DATOS!$E19951,nASIG,DATOS!$I19951,nEVAL,"OR")=0))</f>
      </c>
      <c r="I19951">
        <f>IF(DATOS!$I19951="","",IFERROR(VLOOKUP(DATOS!$I19951,CONFIG_ASIGNATURAS!$B$2:$J$91,9,FALSE()),""))</f>
      </c>
    </row>
    <row r="19952">
      <c r="F19952">
        <f>IF(DATOS!$A19952="","",DATOS!$A19952&amp;"|"&amp;DATOS!$D19952&amp;"|"&amp;DATOS!$E19952&amp;"|"&amp;DATOS!$I19952)</f>
      </c>
      <c r="G19952">
        <f>IF(DATOS!$A19952="",0,IF(CONFIG_METADATA!$B$4&lt;&gt;"OR+EX",--(DATOS!$G19952=CONFIG_METADATA!$B$4),IF(DATOS!$G19952="EX",1,IF(DATOS!$G19952="OR",--(COUNTIFS(nNIA,DATOS!$A19952,nCURSO,DATOS!$D19952,nESPEC,DATOS!$E19952,nASIG,DATOS!$I19952,nEVAL,"EX")=0),0))))</f>
      </c>
      <c r="H19952">
        <f>IF(DATOS!$G19952&lt;&gt;"EX",0,--(COUNTIFS(nNIA,DATOS!$A19952,nCURSO,DATOS!$D19952,nESPEC,DATOS!$E19952,nASIG,DATOS!$I19952,nEVAL,"OR")=0))</f>
      </c>
      <c r="I19952">
        <f>IF(DATOS!$I19952="","",IFERROR(VLOOKUP(DATOS!$I19952,CONFIG_ASIGNATURAS!$B$2:$J$91,9,FALSE()),""))</f>
      </c>
    </row>
    <row r="19953">
      <c r="F19953">
        <f>IF(DATOS!$A19953="","",DATOS!$A19953&amp;"|"&amp;DATOS!$D19953&amp;"|"&amp;DATOS!$E19953&amp;"|"&amp;DATOS!$I19953)</f>
      </c>
      <c r="G19953">
        <f>IF(DATOS!$A19953="",0,IF(CONFIG_METADATA!$B$4&lt;&gt;"OR+EX",--(DATOS!$G19953=CONFIG_METADATA!$B$4),IF(DATOS!$G19953="EX",1,IF(DATOS!$G19953="OR",--(COUNTIFS(nNIA,DATOS!$A19953,nCURSO,DATOS!$D19953,nESPEC,DATOS!$E19953,nASIG,DATOS!$I19953,nEVAL,"EX")=0),0))))</f>
      </c>
      <c r="H19953">
        <f>IF(DATOS!$G19953&lt;&gt;"EX",0,--(COUNTIFS(nNIA,DATOS!$A19953,nCURSO,DATOS!$D19953,nESPEC,DATOS!$E19953,nASIG,DATOS!$I19953,nEVAL,"OR")=0))</f>
      </c>
      <c r="I19953">
        <f>IF(DATOS!$I19953="","",IFERROR(VLOOKUP(DATOS!$I19953,CONFIG_ASIGNATURAS!$B$2:$J$91,9,FALSE()),""))</f>
      </c>
    </row>
    <row r="19954">
      <c r="F19954">
        <f>IF(DATOS!$A19954="","",DATOS!$A19954&amp;"|"&amp;DATOS!$D19954&amp;"|"&amp;DATOS!$E19954&amp;"|"&amp;DATOS!$I19954)</f>
      </c>
      <c r="G19954">
        <f>IF(DATOS!$A19954="",0,IF(CONFIG_METADATA!$B$4&lt;&gt;"OR+EX",--(DATOS!$G19954=CONFIG_METADATA!$B$4),IF(DATOS!$G19954="EX",1,IF(DATOS!$G19954="OR",--(COUNTIFS(nNIA,DATOS!$A19954,nCURSO,DATOS!$D19954,nESPEC,DATOS!$E19954,nASIG,DATOS!$I19954,nEVAL,"EX")=0),0))))</f>
      </c>
      <c r="H19954">
        <f>IF(DATOS!$G19954&lt;&gt;"EX",0,--(COUNTIFS(nNIA,DATOS!$A19954,nCURSO,DATOS!$D19954,nESPEC,DATOS!$E19954,nASIG,DATOS!$I19954,nEVAL,"OR")=0))</f>
      </c>
      <c r="I19954">
        <f>IF(DATOS!$I19954="","",IFERROR(VLOOKUP(DATOS!$I19954,CONFIG_ASIGNATURAS!$B$2:$J$91,9,FALSE()),""))</f>
      </c>
    </row>
    <row r="19955">
      <c r="F19955">
        <f>IF(DATOS!$A19955="","",DATOS!$A19955&amp;"|"&amp;DATOS!$D19955&amp;"|"&amp;DATOS!$E19955&amp;"|"&amp;DATOS!$I19955)</f>
      </c>
      <c r="G19955">
        <f>IF(DATOS!$A19955="",0,IF(CONFIG_METADATA!$B$4&lt;&gt;"OR+EX",--(DATOS!$G19955=CONFIG_METADATA!$B$4),IF(DATOS!$G19955="EX",1,IF(DATOS!$G19955="OR",--(COUNTIFS(nNIA,DATOS!$A19955,nCURSO,DATOS!$D19955,nESPEC,DATOS!$E19955,nASIG,DATOS!$I19955,nEVAL,"EX")=0),0))))</f>
      </c>
      <c r="H19955">
        <f>IF(DATOS!$G19955&lt;&gt;"EX",0,--(COUNTIFS(nNIA,DATOS!$A19955,nCURSO,DATOS!$D19955,nESPEC,DATOS!$E19955,nASIG,DATOS!$I19955,nEVAL,"OR")=0))</f>
      </c>
      <c r="I19955">
        <f>IF(DATOS!$I19955="","",IFERROR(VLOOKUP(DATOS!$I19955,CONFIG_ASIGNATURAS!$B$2:$J$91,9,FALSE()),""))</f>
      </c>
    </row>
    <row r="19956">
      <c r="F19956">
        <f>IF(DATOS!$A19956="","",DATOS!$A19956&amp;"|"&amp;DATOS!$D19956&amp;"|"&amp;DATOS!$E19956&amp;"|"&amp;DATOS!$I19956)</f>
      </c>
      <c r="G19956">
        <f>IF(DATOS!$A19956="",0,IF(CONFIG_METADATA!$B$4&lt;&gt;"OR+EX",--(DATOS!$G19956=CONFIG_METADATA!$B$4),IF(DATOS!$G19956="EX",1,IF(DATOS!$G19956="OR",--(COUNTIFS(nNIA,DATOS!$A19956,nCURSO,DATOS!$D19956,nESPEC,DATOS!$E19956,nASIG,DATOS!$I19956,nEVAL,"EX")=0),0))))</f>
      </c>
      <c r="H19956">
        <f>IF(DATOS!$G19956&lt;&gt;"EX",0,--(COUNTIFS(nNIA,DATOS!$A19956,nCURSO,DATOS!$D19956,nESPEC,DATOS!$E19956,nASIG,DATOS!$I19956,nEVAL,"OR")=0))</f>
      </c>
      <c r="I19956">
        <f>IF(DATOS!$I19956="","",IFERROR(VLOOKUP(DATOS!$I19956,CONFIG_ASIGNATURAS!$B$2:$J$91,9,FALSE()),""))</f>
      </c>
    </row>
    <row r="19957">
      <c r="F19957">
        <f>IF(DATOS!$A19957="","",DATOS!$A19957&amp;"|"&amp;DATOS!$D19957&amp;"|"&amp;DATOS!$E19957&amp;"|"&amp;DATOS!$I19957)</f>
      </c>
      <c r="G19957">
        <f>IF(DATOS!$A19957="",0,IF(CONFIG_METADATA!$B$4&lt;&gt;"OR+EX",--(DATOS!$G19957=CONFIG_METADATA!$B$4),IF(DATOS!$G19957="EX",1,IF(DATOS!$G19957="OR",--(COUNTIFS(nNIA,DATOS!$A19957,nCURSO,DATOS!$D19957,nESPEC,DATOS!$E19957,nASIG,DATOS!$I19957,nEVAL,"EX")=0),0))))</f>
      </c>
      <c r="H19957">
        <f>IF(DATOS!$G19957&lt;&gt;"EX",0,--(COUNTIFS(nNIA,DATOS!$A19957,nCURSO,DATOS!$D19957,nESPEC,DATOS!$E19957,nASIG,DATOS!$I19957,nEVAL,"OR")=0))</f>
      </c>
      <c r="I19957">
        <f>IF(DATOS!$I19957="","",IFERROR(VLOOKUP(DATOS!$I19957,CONFIG_ASIGNATURAS!$B$2:$J$91,9,FALSE()),""))</f>
      </c>
    </row>
    <row r="19958">
      <c r="F19958">
        <f>IF(DATOS!$A19958="","",DATOS!$A19958&amp;"|"&amp;DATOS!$D19958&amp;"|"&amp;DATOS!$E19958&amp;"|"&amp;DATOS!$I19958)</f>
      </c>
      <c r="G19958">
        <f>IF(DATOS!$A19958="",0,IF(CONFIG_METADATA!$B$4&lt;&gt;"OR+EX",--(DATOS!$G19958=CONFIG_METADATA!$B$4),IF(DATOS!$G19958="EX",1,IF(DATOS!$G19958="OR",--(COUNTIFS(nNIA,DATOS!$A19958,nCURSO,DATOS!$D19958,nESPEC,DATOS!$E19958,nASIG,DATOS!$I19958,nEVAL,"EX")=0),0))))</f>
      </c>
      <c r="H19958">
        <f>IF(DATOS!$G19958&lt;&gt;"EX",0,--(COUNTIFS(nNIA,DATOS!$A19958,nCURSO,DATOS!$D19958,nESPEC,DATOS!$E19958,nASIG,DATOS!$I19958,nEVAL,"OR")=0))</f>
      </c>
      <c r="I19958">
        <f>IF(DATOS!$I19958="","",IFERROR(VLOOKUP(DATOS!$I19958,CONFIG_ASIGNATURAS!$B$2:$J$91,9,FALSE()),""))</f>
      </c>
    </row>
    <row r="19959">
      <c r="F19959">
        <f>IF(DATOS!$A19959="","",DATOS!$A19959&amp;"|"&amp;DATOS!$D19959&amp;"|"&amp;DATOS!$E19959&amp;"|"&amp;DATOS!$I19959)</f>
      </c>
      <c r="G19959">
        <f>IF(DATOS!$A19959="",0,IF(CONFIG_METADATA!$B$4&lt;&gt;"OR+EX",--(DATOS!$G19959=CONFIG_METADATA!$B$4),IF(DATOS!$G19959="EX",1,IF(DATOS!$G19959="OR",--(COUNTIFS(nNIA,DATOS!$A19959,nCURSO,DATOS!$D19959,nESPEC,DATOS!$E19959,nASIG,DATOS!$I19959,nEVAL,"EX")=0),0))))</f>
      </c>
      <c r="H19959">
        <f>IF(DATOS!$G19959&lt;&gt;"EX",0,--(COUNTIFS(nNIA,DATOS!$A19959,nCURSO,DATOS!$D19959,nESPEC,DATOS!$E19959,nASIG,DATOS!$I19959,nEVAL,"OR")=0))</f>
      </c>
      <c r="I19959">
        <f>IF(DATOS!$I19959="","",IFERROR(VLOOKUP(DATOS!$I19959,CONFIG_ASIGNATURAS!$B$2:$J$91,9,FALSE()),""))</f>
      </c>
    </row>
    <row r="19960">
      <c r="F19960">
        <f>IF(DATOS!$A19960="","",DATOS!$A19960&amp;"|"&amp;DATOS!$D19960&amp;"|"&amp;DATOS!$E19960&amp;"|"&amp;DATOS!$I19960)</f>
      </c>
      <c r="G19960">
        <f>IF(DATOS!$A19960="",0,IF(CONFIG_METADATA!$B$4&lt;&gt;"OR+EX",--(DATOS!$G19960=CONFIG_METADATA!$B$4),IF(DATOS!$G19960="EX",1,IF(DATOS!$G19960="OR",--(COUNTIFS(nNIA,DATOS!$A19960,nCURSO,DATOS!$D19960,nESPEC,DATOS!$E19960,nASIG,DATOS!$I19960,nEVAL,"EX")=0),0))))</f>
      </c>
      <c r="H19960">
        <f>IF(DATOS!$G19960&lt;&gt;"EX",0,--(COUNTIFS(nNIA,DATOS!$A19960,nCURSO,DATOS!$D19960,nESPEC,DATOS!$E19960,nASIG,DATOS!$I19960,nEVAL,"OR")=0))</f>
      </c>
      <c r="I19960">
        <f>IF(DATOS!$I19960="","",IFERROR(VLOOKUP(DATOS!$I19960,CONFIG_ASIGNATURAS!$B$2:$J$91,9,FALSE()),""))</f>
      </c>
    </row>
    <row r="19961">
      <c r="F19961">
        <f>IF(DATOS!$A19961="","",DATOS!$A19961&amp;"|"&amp;DATOS!$D19961&amp;"|"&amp;DATOS!$E19961&amp;"|"&amp;DATOS!$I19961)</f>
      </c>
      <c r="G19961">
        <f>IF(DATOS!$A19961="",0,IF(CONFIG_METADATA!$B$4&lt;&gt;"OR+EX",--(DATOS!$G19961=CONFIG_METADATA!$B$4),IF(DATOS!$G19961="EX",1,IF(DATOS!$G19961="OR",--(COUNTIFS(nNIA,DATOS!$A19961,nCURSO,DATOS!$D19961,nESPEC,DATOS!$E19961,nASIG,DATOS!$I19961,nEVAL,"EX")=0),0))))</f>
      </c>
      <c r="H19961">
        <f>IF(DATOS!$G19961&lt;&gt;"EX",0,--(COUNTIFS(nNIA,DATOS!$A19961,nCURSO,DATOS!$D19961,nESPEC,DATOS!$E19961,nASIG,DATOS!$I19961,nEVAL,"OR")=0))</f>
      </c>
      <c r="I19961">
        <f>IF(DATOS!$I19961="","",IFERROR(VLOOKUP(DATOS!$I19961,CONFIG_ASIGNATURAS!$B$2:$J$91,9,FALSE()),""))</f>
      </c>
    </row>
    <row r="19962">
      <c r="F19962">
        <f>IF(DATOS!$A19962="","",DATOS!$A19962&amp;"|"&amp;DATOS!$D19962&amp;"|"&amp;DATOS!$E19962&amp;"|"&amp;DATOS!$I19962)</f>
      </c>
      <c r="G19962">
        <f>IF(DATOS!$A19962="",0,IF(CONFIG_METADATA!$B$4&lt;&gt;"OR+EX",--(DATOS!$G19962=CONFIG_METADATA!$B$4),IF(DATOS!$G19962="EX",1,IF(DATOS!$G19962="OR",--(COUNTIFS(nNIA,DATOS!$A19962,nCURSO,DATOS!$D19962,nESPEC,DATOS!$E19962,nASIG,DATOS!$I19962,nEVAL,"EX")=0),0))))</f>
      </c>
      <c r="H19962">
        <f>IF(DATOS!$G19962&lt;&gt;"EX",0,--(COUNTIFS(nNIA,DATOS!$A19962,nCURSO,DATOS!$D19962,nESPEC,DATOS!$E19962,nASIG,DATOS!$I19962,nEVAL,"OR")=0))</f>
      </c>
      <c r="I19962">
        <f>IF(DATOS!$I19962="","",IFERROR(VLOOKUP(DATOS!$I19962,CONFIG_ASIGNATURAS!$B$2:$J$91,9,FALSE()),""))</f>
      </c>
    </row>
    <row r="19963">
      <c r="F19963">
        <f>IF(DATOS!$A19963="","",DATOS!$A19963&amp;"|"&amp;DATOS!$D19963&amp;"|"&amp;DATOS!$E19963&amp;"|"&amp;DATOS!$I19963)</f>
      </c>
      <c r="G19963">
        <f>IF(DATOS!$A19963="",0,IF(CONFIG_METADATA!$B$4&lt;&gt;"OR+EX",--(DATOS!$G19963=CONFIG_METADATA!$B$4),IF(DATOS!$G19963="EX",1,IF(DATOS!$G19963="OR",--(COUNTIFS(nNIA,DATOS!$A19963,nCURSO,DATOS!$D19963,nESPEC,DATOS!$E19963,nASIG,DATOS!$I19963,nEVAL,"EX")=0),0))))</f>
      </c>
      <c r="H19963">
        <f>IF(DATOS!$G19963&lt;&gt;"EX",0,--(COUNTIFS(nNIA,DATOS!$A19963,nCURSO,DATOS!$D19963,nESPEC,DATOS!$E19963,nASIG,DATOS!$I19963,nEVAL,"OR")=0))</f>
      </c>
      <c r="I19963">
        <f>IF(DATOS!$I19963="","",IFERROR(VLOOKUP(DATOS!$I19963,CONFIG_ASIGNATURAS!$B$2:$J$91,9,FALSE()),""))</f>
      </c>
    </row>
    <row r="19964">
      <c r="F19964">
        <f>IF(DATOS!$A19964="","",DATOS!$A19964&amp;"|"&amp;DATOS!$D19964&amp;"|"&amp;DATOS!$E19964&amp;"|"&amp;DATOS!$I19964)</f>
      </c>
      <c r="G19964">
        <f>IF(DATOS!$A19964="",0,IF(CONFIG_METADATA!$B$4&lt;&gt;"OR+EX",--(DATOS!$G19964=CONFIG_METADATA!$B$4),IF(DATOS!$G19964="EX",1,IF(DATOS!$G19964="OR",--(COUNTIFS(nNIA,DATOS!$A19964,nCURSO,DATOS!$D19964,nESPEC,DATOS!$E19964,nASIG,DATOS!$I19964,nEVAL,"EX")=0),0))))</f>
      </c>
      <c r="H19964">
        <f>IF(DATOS!$G19964&lt;&gt;"EX",0,--(COUNTIFS(nNIA,DATOS!$A19964,nCURSO,DATOS!$D19964,nESPEC,DATOS!$E19964,nASIG,DATOS!$I19964,nEVAL,"OR")=0))</f>
      </c>
      <c r="I19964">
        <f>IF(DATOS!$I19964="","",IFERROR(VLOOKUP(DATOS!$I19964,CONFIG_ASIGNATURAS!$B$2:$J$91,9,FALSE()),""))</f>
      </c>
    </row>
    <row r="19965">
      <c r="F19965">
        <f>IF(DATOS!$A19965="","",DATOS!$A19965&amp;"|"&amp;DATOS!$D19965&amp;"|"&amp;DATOS!$E19965&amp;"|"&amp;DATOS!$I19965)</f>
      </c>
      <c r="G19965">
        <f>IF(DATOS!$A19965="",0,IF(CONFIG_METADATA!$B$4&lt;&gt;"OR+EX",--(DATOS!$G19965=CONFIG_METADATA!$B$4),IF(DATOS!$G19965="EX",1,IF(DATOS!$G19965="OR",--(COUNTIFS(nNIA,DATOS!$A19965,nCURSO,DATOS!$D19965,nESPEC,DATOS!$E19965,nASIG,DATOS!$I19965,nEVAL,"EX")=0),0))))</f>
      </c>
      <c r="H19965">
        <f>IF(DATOS!$G19965&lt;&gt;"EX",0,--(COUNTIFS(nNIA,DATOS!$A19965,nCURSO,DATOS!$D19965,nESPEC,DATOS!$E19965,nASIG,DATOS!$I19965,nEVAL,"OR")=0))</f>
      </c>
      <c r="I19965">
        <f>IF(DATOS!$I19965="","",IFERROR(VLOOKUP(DATOS!$I19965,CONFIG_ASIGNATURAS!$B$2:$J$91,9,FALSE()),""))</f>
      </c>
    </row>
    <row r="19966">
      <c r="F19966">
        <f>IF(DATOS!$A19966="","",DATOS!$A19966&amp;"|"&amp;DATOS!$D19966&amp;"|"&amp;DATOS!$E19966&amp;"|"&amp;DATOS!$I19966)</f>
      </c>
      <c r="G19966">
        <f>IF(DATOS!$A19966="",0,IF(CONFIG_METADATA!$B$4&lt;&gt;"OR+EX",--(DATOS!$G19966=CONFIG_METADATA!$B$4),IF(DATOS!$G19966="EX",1,IF(DATOS!$G19966="OR",--(COUNTIFS(nNIA,DATOS!$A19966,nCURSO,DATOS!$D19966,nESPEC,DATOS!$E19966,nASIG,DATOS!$I19966,nEVAL,"EX")=0),0))))</f>
      </c>
      <c r="H19966">
        <f>IF(DATOS!$G19966&lt;&gt;"EX",0,--(COUNTIFS(nNIA,DATOS!$A19966,nCURSO,DATOS!$D19966,nESPEC,DATOS!$E19966,nASIG,DATOS!$I19966,nEVAL,"OR")=0))</f>
      </c>
      <c r="I19966">
        <f>IF(DATOS!$I19966="","",IFERROR(VLOOKUP(DATOS!$I19966,CONFIG_ASIGNATURAS!$B$2:$J$91,9,FALSE()),""))</f>
      </c>
    </row>
    <row r="19967">
      <c r="F19967">
        <f>IF(DATOS!$A19967="","",DATOS!$A19967&amp;"|"&amp;DATOS!$D19967&amp;"|"&amp;DATOS!$E19967&amp;"|"&amp;DATOS!$I19967)</f>
      </c>
      <c r="G19967">
        <f>IF(DATOS!$A19967="",0,IF(CONFIG_METADATA!$B$4&lt;&gt;"OR+EX",--(DATOS!$G19967=CONFIG_METADATA!$B$4),IF(DATOS!$G19967="EX",1,IF(DATOS!$G19967="OR",--(COUNTIFS(nNIA,DATOS!$A19967,nCURSO,DATOS!$D19967,nESPEC,DATOS!$E19967,nASIG,DATOS!$I19967,nEVAL,"EX")=0),0))))</f>
      </c>
      <c r="H19967">
        <f>IF(DATOS!$G19967&lt;&gt;"EX",0,--(COUNTIFS(nNIA,DATOS!$A19967,nCURSO,DATOS!$D19967,nESPEC,DATOS!$E19967,nASIG,DATOS!$I19967,nEVAL,"OR")=0))</f>
      </c>
      <c r="I19967">
        <f>IF(DATOS!$I19967="","",IFERROR(VLOOKUP(DATOS!$I19967,CONFIG_ASIGNATURAS!$B$2:$J$91,9,FALSE()),""))</f>
      </c>
    </row>
    <row r="19968">
      <c r="F19968">
        <f>IF(DATOS!$A19968="","",DATOS!$A19968&amp;"|"&amp;DATOS!$D19968&amp;"|"&amp;DATOS!$E19968&amp;"|"&amp;DATOS!$I19968)</f>
      </c>
      <c r="G19968">
        <f>IF(DATOS!$A19968="",0,IF(CONFIG_METADATA!$B$4&lt;&gt;"OR+EX",--(DATOS!$G19968=CONFIG_METADATA!$B$4),IF(DATOS!$G19968="EX",1,IF(DATOS!$G19968="OR",--(COUNTIFS(nNIA,DATOS!$A19968,nCURSO,DATOS!$D19968,nESPEC,DATOS!$E19968,nASIG,DATOS!$I19968,nEVAL,"EX")=0),0))))</f>
      </c>
      <c r="H19968">
        <f>IF(DATOS!$G19968&lt;&gt;"EX",0,--(COUNTIFS(nNIA,DATOS!$A19968,nCURSO,DATOS!$D19968,nESPEC,DATOS!$E19968,nASIG,DATOS!$I19968,nEVAL,"OR")=0))</f>
      </c>
      <c r="I19968">
        <f>IF(DATOS!$I19968="","",IFERROR(VLOOKUP(DATOS!$I19968,CONFIG_ASIGNATURAS!$B$2:$J$91,9,FALSE()),""))</f>
      </c>
    </row>
    <row r="19969">
      <c r="F19969">
        <f>IF(DATOS!$A19969="","",DATOS!$A19969&amp;"|"&amp;DATOS!$D19969&amp;"|"&amp;DATOS!$E19969&amp;"|"&amp;DATOS!$I19969)</f>
      </c>
      <c r="G19969">
        <f>IF(DATOS!$A19969="",0,IF(CONFIG_METADATA!$B$4&lt;&gt;"OR+EX",--(DATOS!$G19969=CONFIG_METADATA!$B$4),IF(DATOS!$G19969="EX",1,IF(DATOS!$G19969="OR",--(COUNTIFS(nNIA,DATOS!$A19969,nCURSO,DATOS!$D19969,nESPEC,DATOS!$E19969,nASIG,DATOS!$I19969,nEVAL,"EX")=0),0))))</f>
      </c>
      <c r="H19969">
        <f>IF(DATOS!$G19969&lt;&gt;"EX",0,--(COUNTIFS(nNIA,DATOS!$A19969,nCURSO,DATOS!$D19969,nESPEC,DATOS!$E19969,nASIG,DATOS!$I19969,nEVAL,"OR")=0))</f>
      </c>
      <c r="I19969">
        <f>IF(DATOS!$I19969="","",IFERROR(VLOOKUP(DATOS!$I19969,CONFIG_ASIGNATURAS!$B$2:$J$91,9,FALSE()),""))</f>
      </c>
    </row>
    <row r="19970">
      <c r="F19970">
        <f>IF(DATOS!$A19970="","",DATOS!$A19970&amp;"|"&amp;DATOS!$D19970&amp;"|"&amp;DATOS!$E19970&amp;"|"&amp;DATOS!$I19970)</f>
      </c>
      <c r="G19970">
        <f>IF(DATOS!$A19970="",0,IF(CONFIG_METADATA!$B$4&lt;&gt;"OR+EX",--(DATOS!$G19970=CONFIG_METADATA!$B$4),IF(DATOS!$G19970="EX",1,IF(DATOS!$G19970="OR",--(COUNTIFS(nNIA,DATOS!$A19970,nCURSO,DATOS!$D19970,nESPEC,DATOS!$E19970,nASIG,DATOS!$I19970,nEVAL,"EX")=0),0))))</f>
      </c>
      <c r="H19970">
        <f>IF(DATOS!$G19970&lt;&gt;"EX",0,--(COUNTIFS(nNIA,DATOS!$A19970,nCURSO,DATOS!$D19970,nESPEC,DATOS!$E19970,nASIG,DATOS!$I19970,nEVAL,"OR")=0))</f>
      </c>
      <c r="I19970">
        <f>IF(DATOS!$I19970="","",IFERROR(VLOOKUP(DATOS!$I19970,CONFIG_ASIGNATURAS!$B$2:$J$91,9,FALSE()),""))</f>
      </c>
    </row>
    <row r="19971">
      <c r="F19971">
        <f>IF(DATOS!$A19971="","",DATOS!$A19971&amp;"|"&amp;DATOS!$D19971&amp;"|"&amp;DATOS!$E19971&amp;"|"&amp;DATOS!$I19971)</f>
      </c>
      <c r="G19971">
        <f>IF(DATOS!$A19971="",0,IF(CONFIG_METADATA!$B$4&lt;&gt;"OR+EX",--(DATOS!$G19971=CONFIG_METADATA!$B$4),IF(DATOS!$G19971="EX",1,IF(DATOS!$G19971="OR",--(COUNTIFS(nNIA,DATOS!$A19971,nCURSO,DATOS!$D19971,nESPEC,DATOS!$E19971,nASIG,DATOS!$I19971,nEVAL,"EX")=0),0))))</f>
      </c>
      <c r="H19971">
        <f>IF(DATOS!$G19971&lt;&gt;"EX",0,--(COUNTIFS(nNIA,DATOS!$A19971,nCURSO,DATOS!$D19971,nESPEC,DATOS!$E19971,nASIG,DATOS!$I19971,nEVAL,"OR")=0))</f>
      </c>
      <c r="I19971">
        <f>IF(DATOS!$I19971="","",IFERROR(VLOOKUP(DATOS!$I19971,CONFIG_ASIGNATURAS!$B$2:$J$91,9,FALSE()),""))</f>
      </c>
    </row>
    <row r="19972">
      <c r="F19972">
        <f>IF(DATOS!$A19972="","",DATOS!$A19972&amp;"|"&amp;DATOS!$D19972&amp;"|"&amp;DATOS!$E19972&amp;"|"&amp;DATOS!$I19972)</f>
      </c>
      <c r="G19972">
        <f>IF(DATOS!$A19972="",0,IF(CONFIG_METADATA!$B$4&lt;&gt;"OR+EX",--(DATOS!$G19972=CONFIG_METADATA!$B$4),IF(DATOS!$G19972="EX",1,IF(DATOS!$G19972="OR",--(COUNTIFS(nNIA,DATOS!$A19972,nCURSO,DATOS!$D19972,nESPEC,DATOS!$E19972,nASIG,DATOS!$I19972,nEVAL,"EX")=0),0))))</f>
      </c>
      <c r="H19972">
        <f>IF(DATOS!$G19972&lt;&gt;"EX",0,--(COUNTIFS(nNIA,DATOS!$A19972,nCURSO,DATOS!$D19972,nESPEC,DATOS!$E19972,nASIG,DATOS!$I19972,nEVAL,"OR")=0))</f>
      </c>
      <c r="I19972">
        <f>IF(DATOS!$I19972="","",IFERROR(VLOOKUP(DATOS!$I19972,CONFIG_ASIGNATURAS!$B$2:$J$91,9,FALSE()),""))</f>
      </c>
    </row>
    <row r="19973">
      <c r="F19973">
        <f>IF(DATOS!$A19973="","",DATOS!$A19973&amp;"|"&amp;DATOS!$D19973&amp;"|"&amp;DATOS!$E19973&amp;"|"&amp;DATOS!$I19973)</f>
      </c>
      <c r="G19973">
        <f>IF(DATOS!$A19973="",0,IF(CONFIG_METADATA!$B$4&lt;&gt;"OR+EX",--(DATOS!$G19973=CONFIG_METADATA!$B$4),IF(DATOS!$G19973="EX",1,IF(DATOS!$G19973="OR",--(COUNTIFS(nNIA,DATOS!$A19973,nCURSO,DATOS!$D19973,nESPEC,DATOS!$E19973,nASIG,DATOS!$I19973,nEVAL,"EX")=0),0))))</f>
      </c>
      <c r="H19973">
        <f>IF(DATOS!$G19973&lt;&gt;"EX",0,--(COUNTIFS(nNIA,DATOS!$A19973,nCURSO,DATOS!$D19973,nESPEC,DATOS!$E19973,nASIG,DATOS!$I19973,nEVAL,"OR")=0))</f>
      </c>
      <c r="I19973">
        <f>IF(DATOS!$I19973="","",IFERROR(VLOOKUP(DATOS!$I19973,CONFIG_ASIGNATURAS!$B$2:$J$91,9,FALSE()),""))</f>
      </c>
    </row>
    <row r="19974">
      <c r="F19974">
        <f>IF(DATOS!$A19974="","",DATOS!$A19974&amp;"|"&amp;DATOS!$D19974&amp;"|"&amp;DATOS!$E19974&amp;"|"&amp;DATOS!$I19974)</f>
      </c>
      <c r="G19974">
        <f>IF(DATOS!$A19974="",0,IF(CONFIG_METADATA!$B$4&lt;&gt;"OR+EX",--(DATOS!$G19974=CONFIG_METADATA!$B$4),IF(DATOS!$G19974="EX",1,IF(DATOS!$G19974="OR",--(COUNTIFS(nNIA,DATOS!$A19974,nCURSO,DATOS!$D19974,nESPEC,DATOS!$E19974,nASIG,DATOS!$I19974,nEVAL,"EX")=0),0))))</f>
      </c>
      <c r="H19974">
        <f>IF(DATOS!$G19974&lt;&gt;"EX",0,--(COUNTIFS(nNIA,DATOS!$A19974,nCURSO,DATOS!$D19974,nESPEC,DATOS!$E19974,nASIG,DATOS!$I19974,nEVAL,"OR")=0))</f>
      </c>
      <c r="I19974">
        <f>IF(DATOS!$I19974="","",IFERROR(VLOOKUP(DATOS!$I19974,CONFIG_ASIGNATURAS!$B$2:$J$91,9,FALSE()),""))</f>
      </c>
    </row>
    <row r="19975">
      <c r="F19975">
        <f>IF(DATOS!$A19975="","",DATOS!$A19975&amp;"|"&amp;DATOS!$D19975&amp;"|"&amp;DATOS!$E19975&amp;"|"&amp;DATOS!$I19975)</f>
      </c>
      <c r="G19975">
        <f>IF(DATOS!$A19975="",0,IF(CONFIG_METADATA!$B$4&lt;&gt;"OR+EX",--(DATOS!$G19975=CONFIG_METADATA!$B$4),IF(DATOS!$G19975="EX",1,IF(DATOS!$G19975="OR",--(COUNTIFS(nNIA,DATOS!$A19975,nCURSO,DATOS!$D19975,nESPEC,DATOS!$E19975,nASIG,DATOS!$I19975,nEVAL,"EX")=0),0))))</f>
      </c>
      <c r="H19975">
        <f>IF(DATOS!$G19975&lt;&gt;"EX",0,--(COUNTIFS(nNIA,DATOS!$A19975,nCURSO,DATOS!$D19975,nESPEC,DATOS!$E19975,nASIG,DATOS!$I19975,nEVAL,"OR")=0))</f>
      </c>
      <c r="I19975">
        <f>IF(DATOS!$I19975="","",IFERROR(VLOOKUP(DATOS!$I19975,CONFIG_ASIGNATURAS!$B$2:$J$91,9,FALSE()),""))</f>
      </c>
    </row>
    <row r="19976">
      <c r="F19976">
        <f>IF(DATOS!$A19976="","",DATOS!$A19976&amp;"|"&amp;DATOS!$D19976&amp;"|"&amp;DATOS!$E19976&amp;"|"&amp;DATOS!$I19976)</f>
      </c>
      <c r="G19976">
        <f>IF(DATOS!$A19976="",0,IF(CONFIG_METADATA!$B$4&lt;&gt;"OR+EX",--(DATOS!$G19976=CONFIG_METADATA!$B$4),IF(DATOS!$G19976="EX",1,IF(DATOS!$G19976="OR",--(COUNTIFS(nNIA,DATOS!$A19976,nCURSO,DATOS!$D19976,nESPEC,DATOS!$E19976,nASIG,DATOS!$I19976,nEVAL,"EX")=0),0))))</f>
      </c>
      <c r="H19976">
        <f>IF(DATOS!$G19976&lt;&gt;"EX",0,--(COUNTIFS(nNIA,DATOS!$A19976,nCURSO,DATOS!$D19976,nESPEC,DATOS!$E19976,nASIG,DATOS!$I19976,nEVAL,"OR")=0))</f>
      </c>
      <c r="I19976">
        <f>IF(DATOS!$I19976="","",IFERROR(VLOOKUP(DATOS!$I19976,CONFIG_ASIGNATURAS!$B$2:$J$91,9,FALSE()),""))</f>
      </c>
    </row>
    <row r="19977">
      <c r="F19977">
        <f>IF(DATOS!$A19977="","",DATOS!$A19977&amp;"|"&amp;DATOS!$D19977&amp;"|"&amp;DATOS!$E19977&amp;"|"&amp;DATOS!$I19977)</f>
      </c>
      <c r="G19977">
        <f>IF(DATOS!$A19977="",0,IF(CONFIG_METADATA!$B$4&lt;&gt;"OR+EX",--(DATOS!$G19977=CONFIG_METADATA!$B$4),IF(DATOS!$G19977="EX",1,IF(DATOS!$G19977="OR",--(COUNTIFS(nNIA,DATOS!$A19977,nCURSO,DATOS!$D19977,nESPEC,DATOS!$E19977,nASIG,DATOS!$I19977,nEVAL,"EX")=0),0))))</f>
      </c>
      <c r="H19977">
        <f>IF(DATOS!$G19977&lt;&gt;"EX",0,--(COUNTIFS(nNIA,DATOS!$A19977,nCURSO,DATOS!$D19977,nESPEC,DATOS!$E19977,nASIG,DATOS!$I19977,nEVAL,"OR")=0))</f>
      </c>
      <c r="I19977">
        <f>IF(DATOS!$I19977="","",IFERROR(VLOOKUP(DATOS!$I19977,CONFIG_ASIGNATURAS!$B$2:$J$91,9,FALSE()),""))</f>
      </c>
    </row>
    <row r="19978">
      <c r="F19978">
        <f>IF(DATOS!$A19978="","",DATOS!$A19978&amp;"|"&amp;DATOS!$D19978&amp;"|"&amp;DATOS!$E19978&amp;"|"&amp;DATOS!$I19978)</f>
      </c>
      <c r="G19978">
        <f>IF(DATOS!$A19978="",0,IF(CONFIG_METADATA!$B$4&lt;&gt;"OR+EX",--(DATOS!$G19978=CONFIG_METADATA!$B$4),IF(DATOS!$G19978="EX",1,IF(DATOS!$G19978="OR",--(COUNTIFS(nNIA,DATOS!$A19978,nCURSO,DATOS!$D19978,nESPEC,DATOS!$E19978,nASIG,DATOS!$I19978,nEVAL,"EX")=0),0))))</f>
      </c>
      <c r="H19978">
        <f>IF(DATOS!$G19978&lt;&gt;"EX",0,--(COUNTIFS(nNIA,DATOS!$A19978,nCURSO,DATOS!$D19978,nESPEC,DATOS!$E19978,nASIG,DATOS!$I19978,nEVAL,"OR")=0))</f>
      </c>
      <c r="I19978">
        <f>IF(DATOS!$I19978="","",IFERROR(VLOOKUP(DATOS!$I19978,CONFIG_ASIGNATURAS!$B$2:$J$91,9,FALSE()),""))</f>
      </c>
    </row>
    <row r="19979">
      <c r="F19979">
        <f>IF(DATOS!$A19979="","",DATOS!$A19979&amp;"|"&amp;DATOS!$D19979&amp;"|"&amp;DATOS!$E19979&amp;"|"&amp;DATOS!$I19979)</f>
      </c>
      <c r="G19979">
        <f>IF(DATOS!$A19979="",0,IF(CONFIG_METADATA!$B$4&lt;&gt;"OR+EX",--(DATOS!$G19979=CONFIG_METADATA!$B$4),IF(DATOS!$G19979="EX",1,IF(DATOS!$G19979="OR",--(COUNTIFS(nNIA,DATOS!$A19979,nCURSO,DATOS!$D19979,nESPEC,DATOS!$E19979,nASIG,DATOS!$I19979,nEVAL,"EX")=0),0))))</f>
      </c>
      <c r="H19979">
        <f>IF(DATOS!$G19979&lt;&gt;"EX",0,--(COUNTIFS(nNIA,DATOS!$A19979,nCURSO,DATOS!$D19979,nESPEC,DATOS!$E19979,nASIG,DATOS!$I19979,nEVAL,"OR")=0))</f>
      </c>
      <c r="I19979">
        <f>IF(DATOS!$I19979="","",IFERROR(VLOOKUP(DATOS!$I19979,CONFIG_ASIGNATURAS!$B$2:$J$91,9,FALSE()),""))</f>
      </c>
    </row>
    <row r="19980">
      <c r="F19980">
        <f>IF(DATOS!$A19980="","",DATOS!$A19980&amp;"|"&amp;DATOS!$D19980&amp;"|"&amp;DATOS!$E19980&amp;"|"&amp;DATOS!$I19980)</f>
      </c>
      <c r="G19980">
        <f>IF(DATOS!$A19980="",0,IF(CONFIG_METADATA!$B$4&lt;&gt;"OR+EX",--(DATOS!$G19980=CONFIG_METADATA!$B$4),IF(DATOS!$G19980="EX",1,IF(DATOS!$G19980="OR",--(COUNTIFS(nNIA,DATOS!$A19980,nCURSO,DATOS!$D19980,nESPEC,DATOS!$E19980,nASIG,DATOS!$I19980,nEVAL,"EX")=0),0))))</f>
      </c>
      <c r="H19980">
        <f>IF(DATOS!$G19980&lt;&gt;"EX",0,--(COUNTIFS(nNIA,DATOS!$A19980,nCURSO,DATOS!$D19980,nESPEC,DATOS!$E19980,nASIG,DATOS!$I19980,nEVAL,"OR")=0))</f>
      </c>
      <c r="I19980">
        <f>IF(DATOS!$I19980="","",IFERROR(VLOOKUP(DATOS!$I19980,CONFIG_ASIGNATURAS!$B$2:$J$91,9,FALSE()),""))</f>
      </c>
    </row>
    <row r="19981">
      <c r="F19981">
        <f>IF(DATOS!$A19981="","",DATOS!$A19981&amp;"|"&amp;DATOS!$D19981&amp;"|"&amp;DATOS!$E19981&amp;"|"&amp;DATOS!$I19981)</f>
      </c>
      <c r="G19981">
        <f>IF(DATOS!$A19981="",0,IF(CONFIG_METADATA!$B$4&lt;&gt;"OR+EX",--(DATOS!$G19981=CONFIG_METADATA!$B$4),IF(DATOS!$G19981="EX",1,IF(DATOS!$G19981="OR",--(COUNTIFS(nNIA,DATOS!$A19981,nCURSO,DATOS!$D19981,nESPEC,DATOS!$E19981,nASIG,DATOS!$I19981,nEVAL,"EX")=0),0))))</f>
      </c>
      <c r="H19981">
        <f>IF(DATOS!$G19981&lt;&gt;"EX",0,--(COUNTIFS(nNIA,DATOS!$A19981,nCURSO,DATOS!$D19981,nESPEC,DATOS!$E19981,nASIG,DATOS!$I19981,nEVAL,"OR")=0))</f>
      </c>
      <c r="I19981">
        <f>IF(DATOS!$I19981="","",IFERROR(VLOOKUP(DATOS!$I19981,CONFIG_ASIGNATURAS!$B$2:$J$91,9,FALSE()),""))</f>
      </c>
    </row>
    <row r="19982">
      <c r="F19982">
        <f>IF(DATOS!$A19982="","",DATOS!$A19982&amp;"|"&amp;DATOS!$D19982&amp;"|"&amp;DATOS!$E19982&amp;"|"&amp;DATOS!$I19982)</f>
      </c>
      <c r="G19982">
        <f>IF(DATOS!$A19982="",0,IF(CONFIG_METADATA!$B$4&lt;&gt;"OR+EX",--(DATOS!$G19982=CONFIG_METADATA!$B$4),IF(DATOS!$G19982="EX",1,IF(DATOS!$G19982="OR",--(COUNTIFS(nNIA,DATOS!$A19982,nCURSO,DATOS!$D19982,nESPEC,DATOS!$E19982,nASIG,DATOS!$I19982,nEVAL,"EX")=0),0))))</f>
      </c>
      <c r="H19982">
        <f>IF(DATOS!$G19982&lt;&gt;"EX",0,--(COUNTIFS(nNIA,DATOS!$A19982,nCURSO,DATOS!$D19982,nESPEC,DATOS!$E19982,nASIG,DATOS!$I19982,nEVAL,"OR")=0))</f>
      </c>
      <c r="I19982">
        <f>IF(DATOS!$I19982="","",IFERROR(VLOOKUP(DATOS!$I19982,CONFIG_ASIGNATURAS!$B$2:$J$91,9,FALSE()),""))</f>
      </c>
    </row>
    <row r="19983">
      <c r="F19983">
        <f>IF(DATOS!$A19983="","",DATOS!$A19983&amp;"|"&amp;DATOS!$D19983&amp;"|"&amp;DATOS!$E19983&amp;"|"&amp;DATOS!$I19983)</f>
      </c>
      <c r="G19983">
        <f>IF(DATOS!$A19983="",0,IF(CONFIG_METADATA!$B$4&lt;&gt;"OR+EX",--(DATOS!$G19983=CONFIG_METADATA!$B$4),IF(DATOS!$G19983="EX",1,IF(DATOS!$G19983="OR",--(COUNTIFS(nNIA,DATOS!$A19983,nCURSO,DATOS!$D19983,nESPEC,DATOS!$E19983,nASIG,DATOS!$I19983,nEVAL,"EX")=0),0))))</f>
      </c>
      <c r="H19983">
        <f>IF(DATOS!$G19983&lt;&gt;"EX",0,--(COUNTIFS(nNIA,DATOS!$A19983,nCURSO,DATOS!$D19983,nESPEC,DATOS!$E19983,nASIG,DATOS!$I19983,nEVAL,"OR")=0))</f>
      </c>
      <c r="I19983">
        <f>IF(DATOS!$I19983="","",IFERROR(VLOOKUP(DATOS!$I19983,CONFIG_ASIGNATURAS!$B$2:$J$91,9,FALSE()),""))</f>
      </c>
    </row>
    <row r="19984">
      <c r="F19984">
        <f>IF(DATOS!$A19984="","",DATOS!$A19984&amp;"|"&amp;DATOS!$D19984&amp;"|"&amp;DATOS!$E19984&amp;"|"&amp;DATOS!$I19984)</f>
      </c>
      <c r="G19984">
        <f>IF(DATOS!$A19984="",0,IF(CONFIG_METADATA!$B$4&lt;&gt;"OR+EX",--(DATOS!$G19984=CONFIG_METADATA!$B$4),IF(DATOS!$G19984="EX",1,IF(DATOS!$G19984="OR",--(COUNTIFS(nNIA,DATOS!$A19984,nCURSO,DATOS!$D19984,nESPEC,DATOS!$E19984,nASIG,DATOS!$I19984,nEVAL,"EX")=0),0))))</f>
      </c>
      <c r="H19984">
        <f>IF(DATOS!$G19984&lt;&gt;"EX",0,--(COUNTIFS(nNIA,DATOS!$A19984,nCURSO,DATOS!$D19984,nESPEC,DATOS!$E19984,nASIG,DATOS!$I19984,nEVAL,"OR")=0))</f>
      </c>
      <c r="I19984">
        <f>IF(DATOS!$I19984="","",IFERROR(VLOOKUP(DATOS!$I19984,CONFIG_ASIGNATURAS!$B$2:$J$91,9,FALSE()),""))</f>
      </c>
    </row>
    <row r="19985">
      <c r="F19985">
        <f>IF(DATOS!$A19985="","",DATOS!$A19985&amp;"|"&amp;DATOS!$D19985&amp;"|"&amp;DATOS!$E19985&amp;"|"&amp;DATOS!$I19985)</f>
      </c>
      <c r="G19985">
        <f>IF(DATOS!$A19985="",0,IF(CONFIG_METADATA!$B$4&lt;&gt;"OR+EX",--(DATOS!$G19985=CONFIG_METADATA!$B$4),IF(DATOS!$G19985="EX",1,IF(DATOS!$G19985="OR",--(COUNTIFS(nNIA,DATOS!$A19985,nCURSO,DATOS!$D19985,nESPEC,DATOS!$E19985,nASIG,DATOS!$I19985,nEVAL,"EX")=0),0))))</f>
      </c>
      <c r="H19985">
        <f>IF(DATOS!$G19985&lt;&gt;"EX",0,--(COUNTIFS(nNIA,DATOS!$A19985,nCURSO,DATOS!$D19985,nESPEC,DATOS!$E19985,nASIG,DATOS!$I19985,nEVAL,"OR")=0))</f>
      </c>
      <c r="I19985">
        <f>IF(DATOS!$I19985="","",IFERROR(VLOOKUP(DATOS!$I19985,CONFIG_ASIGNATURAS!$B$2:$J$91,9,FALSE()),""))</f>
      </c>
    </row>
    <row r="19986">
      <c r="F19986">
        <f>IF(DATOS!$A19986="","",DATOS!$A19986&amp;"|"&amp;DATOS!$D19986&amp;"|"&amp;DATOS!$E19986&amp;"|"&amp;DATOS!$I19986)</f>
      </c>
      <c r="G19986">
        <f>IF(DATOS!$A19986="",0,IF(CONFIG_METADATA!$B$4&lt;&gt;"OR+EX",--(DATOS!$G19986=CONFIG_METADATA!$B$4),IF(DATOS!$G19986="EX",1,IF(DATOS!$G19986="OR",--(COUNTIFS(nNIA,DATOS!$A19986,nCURSO,DATOS!$D19986,nESPEC,DATOS!$E19986,nASIG,DATOS!$I19986,nEVAL,"EX")=0),0))))</f>
      </c>
      <c r="H19986">
        <f>IF(DATOS!$G19986&lt;&gt;"EX",0,--(COUNTIFS(nNIA,DATOS!$A19986,nCURSO,DATOS!$D19986,nESPEC,DATOS!$E19986,nASIG,DATOS!$I19986,nEVAL,"OR")=0))</f>
      </c>
      <c r="I19986">
        <f>IF(DATOS!$I19986="","",IFERROR(VLOOKUP(DATOS!$I19986,CONFIG_ASIGNATURAS!$B$2:$J$91,9,FALSE()),""))</f>
      </c>
    </row>
    <row r="19987">
      <c r="F19987">
        <f>IF(DATOS!$A19987="","",DATOS!$A19987&amp;"|"&amp;DATOS!$D19987&amp;"|"&amp;DATOS!$E19987&amp;"|"&amp;DATOS!$I19987)</f>
      </c>
      <c r="G19987">
        <f>IF(DATOS!$A19987="",0,IF(CONFIG_METADATA!$B$4&lt;&gt;"OR+EX",--(DATOS!$G19987=CONFIG_METADATA!$B$4),IF(DATOS!$G19987="EX",1,IF(DATOS!$G19987="OR",--(COUNTIFS(nNIA,DATOS!$A19987,nCURSO,DATOS!$D19987,nESPEC,DATOS!$E19987,nASIG,DATOS!$I19987,nEVAL,"EX")=0),0))))</f>
      </c>
      <c r="H19987">
        <f>IF(DATOS!$G19987&lt;&gt;"EX",0,--(COUNTIFS(nNIA,DATOS!$A19987,nCURSO,DATOS!$D19987,nESPEC,DATOS!$E19987,nASIG,DATOS!$I19987,nEVAL,"OR")=0))</f>
      </c>
      <c r="I19987">
        <f>IF(DATOS!$I19987="","",IFERROR(VLOOKUP(DATOS!$I19987,CONFIG_ASIGNATURAS!$B$2:$J$91,9,FALSE()),""))</f>
      </c>
    </row>
    <row r="19988">
      <c r="F19988">
        <f>IF(DATOS!$A19988="","",DATOS!$A19988&amp;"|"&amp;DATOS!$D19988&amp;"|"&amp;DATOS!$E19988&amp;"|"&amp;DATOS!$I19988)</f>
      </c>
      <c r="G19988">
        <f>IF(DATOS!$A19988="",0,IF(CONFIG_METADATA!$B$4&lt;&gt;"OR+EX",--(DATOS!$G19988=CONFIG_METADATA!$B$4),IF(DATOS!$G19988="EX",1,IF(DATOS!$G19988="OR",--(COUNTIFS(nNIA,DATOS!$A19988,nCURSO,DATOS!$D19988,nESPEC,DATOS!$E19988,nASIG,DATOS!$I19988,nEVAL,"EX")=0),0))))</f>
      </c>
      <c r="H19988">
        <f>IF(DATOS!$G19988&lt;&gt;"EX",0,--(COUNTIFS(nNIA,DATOS!$A19988,nCURSO,DATOS!$D19988,nESPEC,DATOS!$E19988,nASIG,DATOS!$I19988,nEVAL,"OR")=0))</f>
      </c>
      <c r="I19988">
        <f>IF(DATOS!$I19988="","",IFERROR(VLOOKUP(DATOS!$I19988,CONFIG_ASIGNATURAS!$B$2:$J$91,9,FALSE()),""))</f>
      </c>
    </row>
    <row r="19989">
      <c r="F19989">
        <f>IF(DATOS!$A19989="","",DATOS!$A19989&amp;"|"&amp;DATOS!$D19989&amp;"|"&amp;DATOS!$E19989&amp;"|"&amp;DATOS!$I19989)</f>
      </c>
      <c r="G19989">
        <f>IF(DATOS!$A19989="",0,IF(CONFIG_METADATA!$B$4&lt;&gt;"OR+EX",--(DATOS!$G19989=CONFIG_METADATA!$B$4),IF(DATOS!$G19989="EX",1,IF(DATOS!$G19989="OR",--(COUNTIFS(nNIA,DATOS!$A19989,nCURSO,DATOS!$D19989,nESPEC,DATOS!$E19989,nASIG,DATOS!$I19989,nEVAL,"EX")=0),0))))</f>
      </c>
      <c r="H19989">
        <f>IF(DATOS!$G19989&lt;&gt;"EX",0,--(COUNTIFS(nNIA,DATOS!$A19989,nCURSO,DATOS!$D19989,nESPEC,DATOS!$E19989,nASIG,DATOS!$I19989,nEVAL,"OR")=0))</f>
      </c>
      <c r="I19989">
        <f>IF(DATOS!$I19989="","",IFERROR(VLOOKUP(DATOS!$I19989,CONFIG_ASIGNATURAS!$B$2:$J$91,9,FALSE()),""))</f>
      </c>
    </row>
    <row r="19990">
      <c r="F19990">
        <f>IF(DATOS!$A19990="","",DATOS!$A19990&amp;"|"&amp;DATOS!$D19990&amp;"|"&amp;DATOS!$E19990&amp;"|"&amp;DATOS!$I19990)</f>
      </c>
      <c r="G19990">
        <f>IF(DATOS!$A19990="",0,IF(CONFIG_METADATA!$B$4&lt;&gt;"OR+EX",--(DATOS!$G19990=CONFIG_METADATA!$B$4),IF(DATOS!$G19990="EX",1,IF(DATOS!$G19990="OR",--(COUNTIFS(nNIA,DATOS!$A19990,nCURSO,DATOS!$D19990,nESPEC,DATOS!$E19990,nASIG,DATOS!$I19990,nEVAL,"EX")=0),0))))</f>
      </c>
      <c r="H19990">
        <f>IF(DATOS!$G19990&lt;&gt;"EX",0,--(COUNTIFS(nNIA,DATOS!$A19990,nCURSO,DATOS!$D19990,nESPEC,DATOS!$E19990,nASIG,DATOS!$I19990,nEVAL,"OR")=0))</f>
      </c>
      <c r="I19990">
        <f>IF(DATOS!$I19990="","",IFERROR(VLOOKUP(DATOS!$I19990,CONFIG_ASIGNATURAS!$B$2:$J$91,9,FALSE()),""))</f>
      </c>
    </row>
    <row r="19991">
      <c r="F19991">
        <f>IF(DATOS!$A19991="","",DATOS!$A19991&amp;"|"&amp;DATOS!$D19991&amp;"|"&amp;DATOS!$E19991&amp;"|"&amp;DATOS!$I19991)</f>
      </c>
      <c r="G19991">
        <f>IF(DATOS!$A19991="",0,IF(CONFIG_METADATA!$B$4&lt;&gt;"OR+EX",--(DATOS!$G19991=CONFIG_METADATA!$B$4),IF(DATOS!$G19991="EX",1,IF(DATOS!$G19991="OR",--(COUNTIFS(nNIA,DATOS!$A19991,nCURSO,DATOS!$D19991,nESPEC,DATOS!$E19991,nASIG,DATOS!$I19991,nEVAL,"EX")=0),0))))</f>
      </c>
      <c r="H19991">
        <f>IF(DATOS!$G19991&lt;&gt;"EX",0,--(COUNTIFS(nNIA,DATOS!$A19991,nCURSO,DATOS!$D19991,nESPEC,DATOS!$E19991,nASIG,DATOS!$I19991,nEVAL,"OR")=0))</f>
      </c>
      <c r="I19991">
        <f>IF(DATOS!$I19991="","",IFERROR(VLOOKUP(DATOS!$I19991,CONFIG_ASIGNATURAS!$B$2:$J$91,9,FALSE()),""))</f>
      </c>
    </row>
    <row r="19992">
      <c r="F19992">
        <f>IF(DATOS!$A19992="","",DATOS!$A19992&amp;"|"&amp;DATOS!$D19992&amp;"|"&amp;DATOS!$E19992&amp;"|"&amp;DATOS!$I19992)</f>
      </c>
      <c r="G19992">
        <f>IF(DATOS!$A19992="",0,IF(CONFIG_METADATA!$B$4&lt;&gt;"OR+EX",--(DATOS!$G19992=CONFIG_METADATA!$B$4),IF(DATOS!$G19992="EX",1,IF(DATOS!$G19992="OR",--(COUNTIFS(nNIA,DATOS!$A19992,nCURSO,DATOS!$D19992,nESPEC,DATOS!$E19992,nASIG,DATOS!$I19992,nEVAL,"EX")=0),0))))</f>
      </c>
      <c r="H19992">
        <f>IF(DATOS!$G19992&lt;&gt;"EX",0,--(COUNTIFS(nNIA,DATOS!$A19992,nCURSO,DATOS!$D19992,nESPEC,DATOS!$E19992,nASIG,DATOS!$I19992,nEVAL,"OR")=0))</f>
      </c>
      <c r="I19992">
        <f>IF(DATOS!$I19992="","",IFERROR(VLOOKUP(DATOS!$I19992,CONFIG_ASIGNATURAS!$B$2:$J$91,9,FALSE()),""))</f>
      </c>
    </row>
    <row r="19993">
      <c r="F19993">
        <f>IF(DATOS!$A19993="","",DATOS!$A19993&amp;"|"&amp;DATOS!$D19993&amp;"|"&amp;DATOS!$E19993&amp;"|"&amp;DATOS!$I19993)</f>
      </c>
      <c r="G19993">
        <f>IF(DATOS!$A19993="",0,IF(CONFIG_METADATA!$B$4&lt;&gt;"OR+EX",--(DATOS!$G19993=CONFIG_METADATA!$B$4),IF(DATOS!$G19993="EX",1,IF(DATOS!$G19993="OR",--(COUNTIFS(nNIA,DATOS!$A19993,nCURSO,DATOS!$D19993,nESPEC,DATOS!$E19993,nASIG,DATOS!$I19993,nEVAL,"EX")=0),0))))</f>
      </c>
      <c r="H19993">
        <f>IF(DATOS!$G19993&lt;&gt;"EX",0,--(COUNTIFS(nNIA,DATOS!$A19993,nCURSO,DATOS!$D19993,nESPEC,DATOS!$E19993,nASIG,DATOS!$I19993,nEVAL,"OR")=0))</f>
      </c>
      <c r="I19993">
        <f>IF(DATOS!$I19993="","",IFERROR(VLOOKUP(DATOS!$I19993,CONFIG_ASIGNATURAS!$B$2:$J$91,9,FALSE()),""))</f>
      </c>
    </row>
    <row r="19994">
      <c r="F19994">
        <f>IF(DATOS!$A19994="","",DATOS!$A19994&amp;"|"&amp;DATOS!$D19994&amp;"|"&amp;DATOS!$E19994&amp;"|"&amp;DATOS!$I19994)</f>
      </c>
      <c r="G19994">
        <f>IF(DATOS!$A19994="",0,IF(CONFIG_METADATA!$B$4&lt;&gt;"OR+EX",--(DATOS!$G19994=CONFIG_METADATA!$B$4),IF(DATOS!$G19994="EX",1,IF(DATOS!$G19994="OR",--(COUNTIFS(nNIA,DATOS!$A19994,nCURSO,DATOS!$D19994,nESPEC,DATOS!$E19994,nASIG,DATOS!$I19994,nEVAL,"EX")=0),0))))</f>
      </c>
      <c r="H19994">
        <f>IF(DATOS!$G19994&lt;&gt;"EX",0,--(COUNTIFS(nNIA,DATOS!$A19994,nCURSO,DATOS!$D19994,nESPEC,DATOS!$E19994,nASIG,DATOS!$I19994,nEVAL,"OR")=0))</f>
      </c>
      <c r="I19994">
        <f>IF(DATOS!$I19994="","",IFERROR(VLOOKUP(DATOS!$I19994,CONFIG_ASIGNATURAS!$B$2:$J$91,9,FALSE()),""))</f>
      </c>
    </row>
    <row r="19995">
      <c r="F19995">
        <f>IF(DATOS!$A19995="","",DATOS!$A19995&amp;"|"&amp;DATOS!$D19995&amp;"|"&amp;DATOS!$E19995&amp;"|"&amp;DATOS!$I19995)</f>
      </c>
      <c r="G19995">
        <f>IF(DATOS!$A19995="",0,IF(CONFIG_METADATA!$B$4&lt;&gt;"OR+EX",--(DATOS!$G19995=CONFIG_METADATA!$B$4),IF(DATOS!$G19995="EX",1,IF(DATOS!$G19995="OR",--(COUNTIFS(nNIA,DATOS!$A19995,nCURSO,DATOS!$D19995,nESPEC,DATOS!$E19995,nASIG,DATOS!$I19995,nEVAL,"EX")=0),0))))</f>
      </c>
      <c r="H19995">
        <f>IF(DATOS!$G19995&lt;&gt;"EX",0,--(COUNTIFS(nNIA,DATOS!$A19995,nCURSO,DATOS!$D19995,nESPEC,DATOS!$E19995,nASIG,DATOS!$I19995,nEVAL,"OR")=0))</f>
      </c>
      <c r="I19995">
        <f>IF(DATOS!$I19995="","",IFERROR(VLOOKUP(DATOS!$I19995,CONFIG_ASIGNATURAS!$B$2:$J$91,9,FALSE()),""))</f>
      </c>
    </row>
    <row r="19996">
      <c r="F19996">
        <f>IF(DATOS!$A19996="","",DATOS!$A19996&amp;"|"&amp;DATOS!$D19996&amp;"|"&amp;DATOS!$E19996&amp;"|"&amp;DATOS!$I19996)</f>
      </c>
      <c r="G19996">
        <f>IF(DATOS!$A19996="",0,IF(CONFIG_METADATA!$B$4&lt;&gt;"OR+EX",--(DATOS!$G19996=CONFIG_METADATA!$B$4),IF(DATOS!$G19996="EX",1,IF(DATOS!$G19996="OR",--(COUNTIFS(nNIA,DATOS!$A19996,nCURSO,DATOS!$D19996,nESPEC,DATOS!$E19996,nASIG,DATOS!$I19996,nEVAL,"EX")=0),0))))</f>
      </c>
      <c r="H19996">
        <f>IF(DATOS!$G19996&lt;&gt;"EX",0,--(COUNTIFS(nNIA,DATOS!$A19996,nCURSO,DATOS!$D19996,nESPEC,DATOS!$E19996,nASIG,DATOS!$I19996,nEVAL,"OR")=0))</f>
      </c>
      <c r="I19996">
        <f>IF(DATOS!$I19996="","",IFERROR(VLOOKUP(DATOS!$I19996,CONFIG_ASIGNATURAS!$B$2:$J$91,9,FALSE()),""))</f>
      </c>
    </row>
    <row r="19997">
      <c r="F19997">
        <f>IF(DATOS!$A19997="","",DATOS!$A19997&amp;"|"&amp;DATOS!$D19997&amp;"|"&amp;DATOS!$E19997&amp;"|"&amp;DATOS!$I19997)</f>
      </c>
      <c r="G19997">
        <f>IF(DATOS!$A19997="",0,IF(CONFIG_METADATA!$B$4&lt;&gt;"OR+EX",--(DATOS!$G19997=CONFIG_METADATA!$B$4),IF(DATOS!$G19997="EX",1,IF(DATOS!$G19997="OR",--(COUNTIFS(nNIA,DATOS!$A19997,nCURSO,DATOS!$D19997,nESPEC,DATOS!$E19997,nASIG,DATOS!$I19997,nEVAL,"EX")=0),0))))</f>
      </c>
      <c r="H19997">
        <f>IF(DATOS!$G19997&lt;&gt;"EX",0,--(COUNTIFS(nNIA,DATOS!$A19997,nCURSO,DATOS!$D19997,nESPEC,DATOS!$E19997,nASIG,DATOS!$I19997,nEVAL,"OR")=0))</f>
      </c>
      <c r="I19997">
        <f>IF(DATOS!$I19997="","",IFERROR(VLOOKUP(DATOS!$I19997,CONFIG_ASIGNATURAS!$B$2:$J$91,9,FALSE()),""))</f>
      </c>
    </row>
    <row r="19998">
      <c r="F19998">
        <f>IF(DATOS!$A19998="","",DATOS!$A19998&amp;"|"&amp;DATOS!$D19998&amp;"|"&amp;DATOS!$E19998&amp;"|"&amp;DATOS!$I19998)</f>
      </c>
      <c r="G19998">
        <f>IF(DATOS!$A19998="",0,IF(CONFIG_METADATA!$B$4&lt;&gt;"OR+EX",--(DATOS!$G19998=CONFIG_METADATA!$B$4),IF(DATOS!$G19998="EX",1,IF(DATOS!$G19998="OR",--(COUNTIFS(nNIA,DATOS!$A19998,nCURSO,DATOS!$D19998,nESPEC,DATOS!$E19998,nASIG,DATOS!$I19998,nEVAL,"EX")=0),0))))</f>
      </c>
      <c r="H19998">
        <f>IF(DATOS!$G19998&lt;&gt;"EX",0,--(COUNTIFS(nNIA,DATOS!$A19998,nCURSO,DATOS!$D19998,nESPEC,DATOS!$E19998,nASIG,DATOS!$I19998,nEVAL,"OR")=0))</f>
      </c>
      <c r="I19998">
        <f>IF(DATOS!$I19998="","",IFERROR(VLOOKUP(DATOS!$I19998,CONFIG_ASIGNATURAS!$B$2:$J$91,9,FALSE()),""))</f>
      </c>
    </row>
    <row r="19999">
      <c r="F19999">
        <f>IF(DATOS!$A19999="","",DATOS!$A19999&amp;"|"&amp;DATOS!$D19999&amp;"|"&amp;DATOS!$E19999&amp;"|"&amp;DATOS!$I19999)</f>
      </c>
      <c r="G19999">
        <f>IF(DATOS!$A19999="",0,IF(CONFIG_METADATA!$B$4&lt;&gt;"OR+EX",--(DATOS!$G19999=CONFIG_METADATA!$B$4),IF(DATOS!$G19999="EX",1,IF(DATOS!$G19999="OR",--(COUNTIFS(nNIA,DATOS!$A19999,nCURSO,DATOS!$D19999,nESPEC,DATOS!$E19999,nASIG,DATOS!$I19999,nEVAL,"EX")=0),0))))</f>
      </c>
      <c r="H19999">
        <f>IF(DATOS!$G19999&lt;&gt;"EX",0,--(COUNTIFS(nNIA,DATOS!$A19999,nCURSO,DATOS!$D19999,nESPEC,DATOS!$E19999,nASIG,DATOS!$I19999,nEVAL,"OR")=0))</f>
      </c>
      <c r="I19999">
        <f>IF(DATOS!$I19999="","",IFERROR(VLOOKUP(DATOS!$I19999,CONFIG_ASIGNATURAS!$B$2:$J$91,9,FALSE()),""))</f>
      </c>
    </row>
    <row r="20000">
      <c r="F20000">
        <f>IF(DATOS!$A20000="","",DATOS!$A20000&amp;"|"&amp;DATOS!$D20000&amp;"|"&amp;DATOS!$E20000&amp;"|"&amp;DATOS!$I20000)</f>
      </c>
      <c r="G20000">
        <f>IF(DATOS!$A20000="",0,IF(CONFIG_METADATA!$B$4&lt;&gt;"OR+EX",--(DATOS!$G20000=CONFIG_METADATA!$B$4),IF(DATOS!$G20000="EX",1,IF(DATOS!$G20000="OR",--(COUNTIFS(nNIA,DATOS!$A20000,nCURSO,DATOS!$D20000,nESPEC,DATOS!$E20000,nASIG,DATOS!$I20000,nEVAL,"EX")=0),0))))</f>
      </c>
      <c r="H20000">
        <f>IF(DATOS!$G20000&lt;&gt;"EX",0,--(COUNTIFS(nNIA,DATOS!$A20000,nCURSO,DATOS!$D20000,nESPEC,DATOS!$E20000,nASIG,DATOS!$I20000,nEVAL,"OR")=0))</f>
      </c>
      <c r="I20000">
        <f>IF(DATOS!$I20000="","",IFERROR(VLOOKUP(DATOS!$I20000,CONFIG_ASIGNATURAS!$B$2:$J$91,9,FALSE()),""))</f>
      </c>
    </row>
  </sheetData>
  <dataValidations count="2">
    <dataValidation type="custom" allowBlank="0" showInputMessage="1" showErrorMessage="1" errorTitle="CursoNoValido" error="Escríbelo como 25/26: dos cifras, barra, dos cifras." promptTitle="Curso académico" prompt="Formato 25/26." sqref="B3">
      <formula1>AND(LEN(B3)=5,MID(B3,3,1)="/",ISNUMBER(VALUE(LEFT(B3,2))),ISNUMBER(VALUE(RIGHT(B3,2))))</formula1>
    </dataValidation>
    <dataValidation type="list" allowBlank="0" showInputMessage="1" showErrorMessage="1" errorTitle="Evaluación no válida" error="Usa uno de estos códigos, tal como vienen en la columna Evaluación de DATOS: 1EV,2EV,3EV,OR,EX,OR+EX." promptTitle="Evaluación" prompt="El código tiene que coincidir EXACTAMENTE con lo que pone la columna Evaluación de la hoja DATOS." sqref="B4">
      <formula1>"1EV,2EV,3EV,OR,EX,OR+EX"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7"/>
  <sheetViews>
    <sheetView workbookViewId="0"/>
  </sheetViews>
  <sheetFormatPr baseColWidth="10" defaultColWidth="8.83203125" defaultRowHeight="15" x14ac:dyDescent="0.2"/>
  <cols>
    <col min="1" max="1" width="5" customWidth="1"/>
    <col min="2" max="2" width="8" customWidth="1"/>
    <col min="3" max="4" width="25" customWidth="1"/>
    <col min="5" max="5" width="8" customWidth="1"/>
  </cols>
  <sheetData>
    <row r="1" spans="1:5" x14ac:dyDescent="0.2">
      <c r="A1" s="2" t="s">
        <v>1</v>
      </c>
      <c r="B1" s="2" t="s">
        <v>75</v>
      </c>
      <c r="C1" s="2" t="s">
        <v>76</v>
      </c>
      <c r="D1" s="2" t="s">
        <v>77</v>
      </c>
      <c r="E1" s="2" t="s">
        <v>7</v>
      </c>
    </row>
    <row r="2" spans="1:5" x14ac:dyDescent="0.2">
      <c r="A2">
        <v>1</v>
      </c>
      <c r="B2" t="s">
        <v>78</v>
      </c>
      <c r="C2" t="s">
        <v>9</v>
      </c>
      <c r="D2" t="s">
        <v>22</v>
      </c>
      <c r="E2" t="s">
        <v>14</v>
      </c>
    </row>
    <row r="3" spans="1:5" x14ac:dyDescent="0.2">
      <c r="A3">
        <v>2</v>
      </c>
      <c r="B3" t="s">
        <v>78</v>
      </c>
      <c r="C3" t="s">
        <v>9</v>
      </c>
      <c r="D3" t="s">
        <v>53</v>
      </c>
      <c r="E3" t="s">
        <v>14</v>
      </c>
    </row>
    <row r="4" spans="1:5" x14ac:dyDescent="0.2">
      <c r="A4">
        <v>3</v>
      </c>
      <c r="B4" t="s">
        <v>78</v>
      </c>
      <c r="C4" t="s">
        <v>9</v>
      </c>
      <c r="D4" t="s">
        <v>25</v>
      </c>
      <c r="E4" t="s">
        <v>14</v>
      </c>
    </row>
    <row r="5" spans="1:5" x14ac:dyDescent="0.2">
      <c r="A5">
        <v>4</v>
      </c>
      <c r="B5" t="s">
        <v>78</v>
      </c>
      <c r="C5" t="s">
        <v>22</v>
      </c>
      <c r="D5" t="s">
        <v>53</v>
      </c>
      <c r="E5" t="s">
        <v>14</v>
      </c>
    </row>
    <row r="6" spans="1:5" x14ac:dyDescent="0.2">
      <c r="A6">
        <v>5</v>
      </c>
      <c r="B6" t="s">
        <v>78</v>
      </c>
      <c r="C6" t="s">
        <v>22</v>
      </c>
      <c r="D6" t="s">
        <v>25</v>
      </c>
      <c r="E6" t="s">
        <v>14</v>
      </c>
    </row>
    <row r="7" spans="1:5" x14ac:dyDescent="0.2">
      <c r="A7">
        <v>6</v>
      </c>
      <c r="B7" t="s">
        <v>78</v>
      </c>
      <c r="C7" t="s">
        <v>53</v>
      </c>
      <c r="D7" t="s">
        <v>25</v>
      </c>
      <c r="E7" t="s">
        <v>14</v>
      </c>
    </row>
    <row r="8" spans="1:5" x14ac:dyDescent="0.2">
      <c r="A8">
        <v>7</v>
      </c>
      <c r="B8" t="s">
        <v>79</v>
      </c>
      <c r="C8" t="s">
        <v>9</v>
      </c>
      <c r="D8" t="s">
        <v>22</v>
      </c>
      <c r="E8" t="s">
        <v>14</v>
      </c>
    </row>
    <row r="9" spans="1:5" x14ac:dyDescent="0.2">
      <c r="A9">
        <v>8</v>
      </c>
      <c r="B9" t="s">
        <v>79</v>
      </c>
      <c r="C9" t="s">
        <v>9</v>
      </c>
      <c r="D9" t="s">
        <v>53</v>
      </c>
      <c r="E9" t="s">
        <v>14</v>
      </c>
    </row>
    <row r="10" spans="1:5" x14ac:dyDescent="0.2">
      <c r="A10">
        <v>9</v>
      </c>
      <c r="B10" t="s">
        <v>79</v>
      </c>
      <c r="C10" t="s">
        <v>9</v>
      </c>
      <c r="D10" t="s">
        <v>25</v>
      </c>
      <c r="E10" t="s">
        <v>14</v>
      </c>
    </row>
    <row r="11" spans="1:5" x14ac:dyDescent="0.2">
      <c r="A11">
        <v>10</v>
      </c>
      <c r="B11" t="s">
        <v>79</v>
      </c>
      <c r="C11" t="s">
        <v>22</v>
      </c>
      <c r="D11" t="s">
        <v>53</v>
      </c>
      <c r="E11" t="s">
        <v>14</v>
      </c>
    </row>
    <row r="12" spans="1:5" x14ac:dyDescent="0.2">
      <c r="A12">
        <v>11</v>
      </c>
      <c r="B12" t="s">
        <v>79</v>
      </c>
      <c r="C12" t="s">
        <v>22</v>
      </c>
      <c r="D12" t="s">
        <v>25</v>
      </c>
      <c r="E12" t="s">
        <v>14</v>
      </c>
    </row>
    <row r="13" spans="1:5" x14ac:dyDescent="0.2">
      <c r="A13">
        <v>12</v>
      </c>
      <c r="B13" t="s">
        <v>79</v>
      </c>
      <c r="C13" t="s">
        <v>53</v>
      </c>
      <c r="D13" t="s">
        <v>25</v>
      </c>
      <c r="E13" t="s">
        <v>14</v>
      </c>
    </row>
    <row r="14" spans="1:5" x14ac:dyDescent="0.2">
      <c r="A14">
        <v>13</v>
      </c>
      <c r="B14" t="s">
        <v>80</v>
      </c>
      <c r="C14" t="s">
        <v>15</v>
      </c>
      <c r="D14" t="s">
        <v>22</v>
      </c>
      <c r="E14" t="s">
        <v>14</v>
      </c>
    </row>
    <row r="15" spans="1:5" x14ac:dyDescent="0.2">
      <c r="A15">
        <v>14</v>
      </c>
      <c r="B15" t="s">
        <v>80</v>
      </c>
      <c r="C15" t="s">
        <v>15</v>
      </c>
      <c r="D15" t="s">
        <v>19</v>
      </c>
      <c r="E15" t="s">
        <v>14</v>
      </c>
    </row>
    <row r="16" spans="1:5" x14ac:dyDescent="0.2">
      <c r="A16">
        <v>15</v>
      </c>
      <c r="B16" t="s">
        <v>80</v>
      </c>
      <c r="C16" t="s">
        <v>15</v>
      </c>
      <c r="D16" t="s">
        <v>25</v>
      </c>
      <c r="E16" t="s">
        <v>14</v>
      </c>
    </row>
    <row r="17" spans="1:5" x14ac:dyDescent="0.2">
      <c r="A17">
        <v>16</v>
      </c>
      <c r="B17" t="s">
        <v>80</v>
      </c>
      <c r="C17" t="s">
        <v>22</v>
      </c>
      <c r="D17" t="s">
        <v>19</v>
      </c>
      <c r="E17" t="s">
        <v>14</v>
      </c>
    </row>
    <row r="18" spans="1:5" x14ac:dyDescent="0.2">
      <c r="A18">
        <v>17</v>
      </c>
      <c r="B18" t="s">
        <v>80</v>
      </c>
      <c r="C18" t="s">
        <v>22</v>
      </c>
      <c r="D18" t="s">
        <v>25</v>
      </c>
      <c r="E18" t="s">
        <v>14</v>
      </c>
    </row>
    <row r="19" spans="1:5" x14ac:dyDescent="0.2">
      <c r="A19">
        <v>18</v>
      </c>
      <c r="B19" t="s">
        <v>80</v>
      </c>
      <c r="C19" t="s">
        <v>19</v>
      </c>
      <c r="D19" t="s">
        <v>25</v>
      </c>
      <c r="E19" t="s">
        <v>14</v>
      </c>
    </row>
    <row r="20" spans="1:5" x14ac:dyDescent="0.2">
      <c r="A20">
        <v>19</v>
      </c>
      <c r="B20" t="s">
        <v>81</v>
      </c>
      <c r="C20" t="s">
        <v>15</v>
      </c>
      <c r="D20" t="s">
        <v>22</v>
      </c>
      <c r="E20" t="s">
        <v>14</v>
      </c>
    </row>
    <row r="21" spans="1:5" x14ac:dyDescent="0.2">
      <c r="A21">
        <v>20</v>
      </c>
      <c r="B21" t="s">
        <v>81</v>
      </c>
      <c r="C21" t="s">
        <v>15</v>
      </c>
      <c r="D21" t="s">
        <v>19</v>
      </c>
      <c r="E21" t="s">
        <v>14</v>
      </c>
    </row>
    <row r="22" spans="1:5" x14ac:dyDescent="0.2">
      <c r="A22">
        <v>21</v>
      </c>
      <c r="B22" t="s">
        <v>81</v>
      </c>
      <c r="C22" t="s">
        <v>15</v>
      </c>
      <c r="D22" t="s">
        <v>25</v>
      </c>
      <c r="E22" t="s">
        <v>14</v>
      </c>
    </row>
    <row r="23" spans="1:5" x14ac:dyDescent="0.2">
      <c r="A23">
        <v>22</v>
      </c>
      <c r="B23" t="s">
        <v>81</v>
      </c>
      <c r="C23" t="s">
        <v>22</v>
      </c>
      <c r="D23" t="s">
        <v>19</v>
      </c>
      <c r="E23" t="s">
        <v>14</v>
      </c>
    </row>
    <row r="24" spans="1:5" x14ac:dyDescent="0.2">
      <c r="A24">
        <v>23</v>
      </c>
      <c r="B24" t="s">
        <v>81</v>
      </c>
      <c r="C24" t="s">
        <v>22</v>
      </c>
      <c r="D24" t="s">
        <v>25</v>
      </c>
      <c r="E24" t="s">
        <v>14</v>
      </c>
    </row>
    <row r="25" spans="1:5" x14ac:dyDescent="0.2">
      <c r="A25">
        <v>24</v>
      </c>
      <c r="B25" t="s">
        <v>81</v>
      </c>
      <c r="C25" t="s">
        <v>19</v>
      </c>
      <c r="D25" t="s">
        <v>25</v>
      </c>
      <c r="E25" t="s">
        <v>14</v>
      </c>
    </row>
    <row r="26" spans="1:5" x14ac:dyDescent="0.2">
      <c r="A26">
        <v>25</v>
      </c>
      <c r="B26" t="s">
        <v>82</v>
      </c>
      <c r="C26" t="s">
        <v>17</v>
      </c>
      <c r="D26" t="s">
        <v>22</v>
      </c>
      <c r="E26" t="s">
        <v>14</v>
      </c>
    </row>
    <row r="27" spans="1:5" x14ac:dyDescent="0.2">
      <c r="A27">
        <v>26</v>
      </c>
      <c r="B27" t="s">
        <v>82</v>
      </c>
      <c r="C27" t="s">
        <v>17</v>
      </c>
      <c r="D27" t="s">
        <v>19</v>
      </c>
      <c r="E27" t="s">
        <v>14</v>
      </c>
    </row>
    <row r="28" spans="1:5" x14ac:dyDescent="0.2">
      <c r="A28">
        <v>27</v>
      </c>
      <c r="B28" t="s">
        <v>82</v>
      </c>
      <c r="C28" t="s">
        <v>17</v>
      </c>
      <c r="D28" t="s">
        <v>25</v>
      </c>
      <c r="E28" t="s">
        <v>14</v>
      </c>
    </row>
    <row r="29" spans="1:5" x14ac:dyDescent="0.2">
      <c r="A29">
        <v>28</v>
      </c>
      <c r="B29" t="s">
        <v>82</v>
      </c>
      <c r="C29" t="s">
        <v>22</v>
      </c>
      <c r="D29" t="s">
        <v>19</v>
      </c>
      <c r="E29" t="s">
        <v>14</v>
      </c>
    </row>
    <row r="30" spans="1:5" x14ac:dyDescent="0.2">
      <c r="A30">
        <v>29</v>
      </c>
      <c r="B30" t="s">
        <v>82</v>
      </c>
      <c r="C30" t="s">
        <v>22</v>
      </c>
      <c r="D30" t="s">
        <v>25</v>
      </c>
      <c r="E30" t="s">
        <v>14</v>
      </c>
    </row>
    <row r="31" spans="1:5" x14ac:dyDescent="0.2">
      <c r="A31">
        <v>30</v>
      </c>
      <c r="B31" t="s">
        <v>82</v>
      </c>
      <c r="C31" t="s">
        <v>19</v>
      </c>
      <c r="D31" t="s">
        <v>25</v>
      </c>
      <c r="E31" t="s">
        <v>14</v>
      </c>
    </row>
    <row r="32" spans="1:5" x14ac:dyDescent="0.2">
      <c r="A32">
        <v>31</v>
      </c>
      <c r="B32" t="s">
        <v>83</v>
      </c>
      <c r="C32" t="s">
        <v>17</v>
      </c>
      <c r="D32" t="s">
        <v>22</v>
      </c>
      <c r="E32" t="s">
        <v>14</v>
      </c>
    </row>
    <row r="33" spans="1:5" x14ac:dyDescent="0.2">
      <c r="A33">
        <v>32</v>
      </c>
      <c r="B33" t="s">
        <v>83</v>
      </c>
      <c r="C33" t="s">
        <v>17</v>
      </c>
      <c r="D33" t="s">
        <v>19</v>
      </c>
      <c r="E33" t="s">
        <v>14</v>
      </c>
    </row>
    <row r="34" spans="1:5" x14ac:dyDescent="0.2">
      <c r="A34">
        <v>33</v>
      </c>
      <c r="B34" t="s">
        <v>83</v>
      </c>
      <c r="C34" t="s">
        <v>17</v>
      </c>
      <c r="D34" t="s">
        <v>25</v>
      </c>
      <c r="E34" t="s">
        <v>14</v>
      </c>
    </row>
    <row r="35" spans="1:5" x14ac:dyDescent="0.2">
      <c r="A35">
        <v>34</v>
      </c>
      <c r="B35" t="s">
        <v>83</v>
      </c>
      <c r="C35" t="s">
        <v>22</v>
      </c>
      <c r="D35" t="s">
        <v>19</v>
      </c>
      <c r="E35" t="s">
        <v>14</v>
      </c>
    </row>
    <row r="36" spans="1:5" x14ac:dyDescent="0.2">
      <c r="A36">
        <v>35</v>
      </c>
      <c r="B36" t="s">
        <v>83</v>
      </c>
      <c r="C36" t="s">
        <v>22</v>
      </c>
      <c r="D36" t="s">
        <v>25</v>
      </c>
      <c r="E36" t="s">
        <v>14</v>
      </c>
    </row>
    <row r="37" spans="1:5" x14ac:dyDescent="0.2">
      <c r="A37">
        <v>36</v>
      </c>
      <c r="B37" t="s">
        <v>83</v>
      </c>
      <c r="C37" t="s">
        <v>19</v>
      </c>
      <c r="D37" t="s">
        <v>25</v>
      </c>
      <c r="E37" t="s">
        <v>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"/>
  <sheetViews>
    <sheetView workbookViewId="0">
      <selection activeCell="O17" sqref="O17"/>
    </sheetView>
  </sheetViews>
  <sheetFormatPr baseColWidth="10" defaultColWidth="8.83203125" defaultRowHeight="15" x14ac:dyDescent="0.2"/>
  <cols>
    <col min="1" max="1" width="8" customWidth="1"/>
    <col min="2" max="2" width="15" customWidth="1"/>
    <col min="3" max="3" width="12" customWidth="1"/>
    <col min="4" max="4" width="8" customWidth="1"/>
    <col min="5" max="5" width="18" customWidth="1"/>
    <col min="6" max="6" width="8" customWidth="1"/>
    <col min="7" max="8" width="10" customWidth="1"/>
    <col min="9" max="9" width="25" customWidth="1"/>
    <col min="10" max="10" width="6" customWidth="1"/>
    <col min="11" max="11" width="12" customWidth="1"/>
    <col min="12" max="12" width="6" customWidth="1"/>
    <col min="13" max="13" width="12" customWidth="1"/>
    <col min="14" max="14" width="15" customWidth="1"/>
  </cols>
  <sheetData>
    <row r="1" spans="1:14" x14ac:dyDescent="0.2">
      <c r="A1" s="2" t="s">
        <v>84</v>
      </c>
      <c r="B1" s="2" t="s">
        <v>85</v>
      </c>
      <c r="C1" s="2" t="s">
        <v>86</v>
      </c>
      <c r="D1" s="2" t="s">
        <v>75</v>
      </c>
      <c r="E1" s="2" t="s">
        <v>25</v>
      </c>
      <c r="F1" s="2" t="s">
        <v>87</v>
      </c>
      <c r="G1" s="2" t="s">
        <v>88</v>
      </c>
      <c r="H1" s="2" t="s">
        <v>89</v>
      </c>
      <c r="I1" s="2" t="s">
        <v>90</v>
      </c>
      <c r="J1" s="2" t="s">
        <v>91</v>
      </c>
      <c r="K1" s="2" t="s">
        <v>92</v>
      </c>
      <c r="L1" s="2" t="s">
        <v>93</v>
      </c>
      <c r="M1" s="2" t="s">
        <v>94</v>
      </c>
      <c r="N1" s="2" t="s">
        <v>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443"/>
  <sheetViews>
    <sheetView topLeftCell="A17" workbookViewId="0">
      <selection activeCell="B42" sqref="B42"/>
    </sheetView>
  </sheetViews>
  <sheetFormatPr baseColWidth="10" defaultColWidth="8.83203125" defaultRowHeight="15" x14ac:dyDescent="0.2"/>
  <cols>
    <col min="1" max="1" width="8" customWidth="1"/>
    <col min="2" max="2" width="25" customWidth="1"/>
    <col min="3" max="3" width="12" customWidth="1"/>
    <col min="4" max="6" width="10" customWidth="1"/>
    <col min="7" max="7" width="8" customWidth="1"/>
    <col min="8" max="11" width="12" customWidth="1"/>
    <col min="12" max="21" width="6" customWidth="1"/>
  </cols>
  <sheetData>
    <row r="1" spans="1:21" x14ac:dyDescent="0.2">
      <c r="A1" s="2" t="s">
        <v>96</v>
      </c>
      <c r="B1" s="2" t="s">
        <v>2</v>
      </c>
      <c r="C1" s="2" t="s">
        <v>97</v>
      </c>
      <c r="D1" s="2" t="s">
        <v>98</v>
      </c>
      <c r="E1" s="2" t="s">
        <v>99</v>
      </c>
      <c r="F1" s="2" t="s">
        <v>100</v>
      </c>
      <c r="G1" s="2" t="s">
        <v>101</v>
      </c>
      <c r="H1" s="2" t="s">
        <v>102</v>
      </c>
      <c r="I1" s="2" t="s">
        <v>103</v>
      </c>
      <c r="J1" s="2" t="s">
        <v>104</v>
      </c>
      <c r="K1" s="2" t="s">
        <v>105</v>
      </c>
      <c r="L1" s="2" t="s">
        <v>106</v>
      </c>
      <c r="M1" s="2" t="s">
        <v>107</v>
      </c>
      <c r="N1" s="2" t="s">
        <v>108</v>
      </c>
      <c r="O1" s="2" t="s">
        <v>109</v>
      </c>
      <c r="P1" s="2" t="s">
        <v>110</v>
      </c>
      <c r="Q1" s="2" t="s">
        <v>111</v>
      </c>
      <c r="R1" s="2" t="s">
        <v>112</v>
      </c>
      <c r="S1" s="2" t="s">
        <v>113</v>
      </c>
      <c r="T1" s="2" t="s">
        <v>114</v>
      </c>
      <c r="U1" s="2" t="s">
        <v>115</v>
      </c>
    </row>
    <row r="2">
      <c r="A2" t="inlineStr">
        <is>
          <t xml:space="preserve">GLOBAL</t>
        </is>
      </c>
      <c r="B2" t="inlineStr">
        <is>
          <t xml:space="preserve">Total</t>
        </is>
      </c>
      <c r="C2" t="inlineStr">
        <is>
          <t xml:space="preserve">Total</t>
        </is>
      </c>
      <c r="D2">
        <f>SUMPRODUCT((nCUENTA=1)*1)</f>
        <v>0</v>
      </c>
      <c r="E2" s="10" t="str">
        <f>IFERROR(SUMPRODUCT((nCUENTA=1)*(nNOTA))/D2,"—")</f>
        <v>—</v>
      </c>
      <c r="F2" s="10" t="str" cm="1">
        <f t="array" ref="F2">IFERROR(_xlfn.STDEV.P(_xlfn._xlws.FILTER(nNOTA,nCUENTA=1)),"—")</f>
        <v>—</v>
      </c>
      <c r="G2" t="str" cm="1">
        <f t="array" ref="G2">IFERROR(_xlfn.MODE.SNGL(_xlfn._xlws.FILTER(nNOTA,nCUENTA=1)),"—")</f>
        <v>—</v>
      </c>
      <c r="H2" s="11" t="str">
        <f>IFERROR(SUMPRODUCT((nCUENTA=1)*(nAPTO="S"))/D2,"—")</f>
        <v>—</v>
      </c>
      <c r="I2" s="11" t="str">
        <f>IFERROR(SUMPRODUCT((nCUENTA=1)*(nAPTO="N"))/D2,"—")</f>
        <v>—</v>
      </c>
      <c r="J2" t="str" cm="1">
        <f t="array" ref="J2">IFERROR(_xlfn.MODE.SNGL(_xlfn._xlws.FILTER(nNOTA,(nCUENTA=1)*(nAPTO="S"))),"—")</f>
        <v>—</v>
      </c>
      <c r="K2" t="str" cm="1">
        <f t="array" ref="K2">IFERROR(_xlfn.MODE.SNGL(_xlfn._xlws.FILTER(nNOTA,(nCUENTA=1)*(nAPTO="N"))),"—")</f>
        <v>—</v>
      </c>
      <c r="L2">
        <f>SUMPRODUCT((nCUENTA=1)*(nNOTA=1))</f>
        <v>0</v>
      </c>
      <c r="M2">
        <f>SUMPRODUCT((nCUENTA=1)*(nNOTA=2))</f>
        <v>0</v>
      </c>
      <c r="N2">
        <f>SUMPRODUCT((nCUENTA=1)*(nNOTA=3))</f>
        <v>0</v>
      </c>
      <c r="O2">
        <f>SUMPRODUCT((nCUENTA=1)*(nNOTA=4))</f>
        <v>0</v>
      </c>
      <c r="P2">
        <f>SUMPRODUCT((nCUENTA=1)*(nNOTA=5))</f>
        <v>0</v>
      </c>
      <c r="Q2">
        <f>SUMPRODUCT((nCUENTA=1)*(nNOTA=6))</f>
        <v>0</v>
      </c>
      <c r="R2">
        <f>SUMPRODUCT((nCUENTA=1)*(nNOTA=7))</f>
        <v>0</v>
      </c>
      <c r="S2">
        <f>SUMPRODUCT((nCUENTA=1)*(nNOTA=8))</f>
        <v>0</v>
      </c>
      <c r="T2">
        <f>SUMPRODUCT((nCUENTA=1)*(nNOTA=9))</f>
        <v>0</v>
      </c>
      <c r="U2">
        <f>SUMPRODUCT((nCUENTA=1)*(nNOTA=10))</f>
        <v>0</v>
      </c>
    </row>
    <row r="3">
      <c r="A3" t="inlineStr">
        <is>
          <t xml:space="preserve">GLOBAL</t>
        </is>
      </c>
      <c r="B3" t="inlineStr">
        <is>
          <t xml:space="preserve">Total Especialidad</t>
        </is>
      </c>
      <c r="C3" t="inlineStr">
        <is>
          <t xml:space="preserve">TotalEsp</t>
        </is>
      </c>
      <c r="D3">
        <f>SUMPRODUCT((nCUENTA=1)*(nCLASE_I="E")*1)</f>
      </c>
      <c r="E3" s="10" cm="1">
        <f t="array" ref="E3">IFERROR(AVERAGE(IF((nCUENTA=1)*(nCLASE_I="E"),nNOTA)),"—")</f>
      </c>
      <c r="F3" s="10" cm="1">
        <f t="array" ref="F3">IFERROR(_xlfn.STDEV.P(IF((nCUENTA=1)*(nCLASE_I="E"),nNOTA)),"—")</f>
      </c>
      <c r="G3" cm="1">
        <f t="array" ref="G3">IFERROR(_xlfn.MODE.SNGL(IF((nCUENTA=1)*(nCLASE_I="E"),nNOTA)),"—")</f>
      </c>
      <c r="H3" s="11">
        <f>IFERROR(SUMPRODUCT((nCUENTA=1)*(nCLASE_I="E")*(nAPTO="S"))/SUMPRODUCT((nCUENTA=1)*(nCLASE_I="E")*1),"—")</f>
      </c>
      <c r="I3" s="11">
        <f>IFERROR(SUMPRODUCT((nCUENTA=1)*(nCLASE_I="E")*(nAPTO="N"))/SUMPRODUCT((nCUENTA=1)*(nCLASE_I="E")*1),"—")</f>
      </c>
      <c r="J3" cm="1">
        <f t="array" ref="J3">IFERROR(_xlfn.MODE.SNGL(IF((nCUENTA=1)*(nCLASE_I="E")*(nAPTO="S"),nNOTA)),"—")</f>
      </c>
      <c r="K3" cm="1">
        <f t="array" ref="K3">IFERROR(_xlfn.MODE.SNGL(IF((nCUENTA=1)*(nCLASE_I="E")*(nAPTO="N"),nNOTA)),"—")</f>
      </c>
      <c r="L3">
        <f>SUMPRODUCT((nCUENTA=1)*(nCLASE_I="E")*(nNOTA=1))</f>
      </c>
      <c r="M3">
        <f>SUMPRODUCT((nCUENTA=1)*(nCLASE_I="E")*(nNOTA=2))</f>
      </c>
      <c r="N3">
        <f>SUMPRODUCT((nCUENTA=1)*(nCLASE_I="E")*(nNOTA=3))</f>
      </c>
      <c r="O3">
        <f>SUMPRODUCT((nCUENTA=1)*(nCLASE_I="E")*(nNOTA=4))</f>
      </c>
      <c r="P3">
        <f>SUMPRODUCT((nCUENTA=1)*(nCLASE_I="E")*(nNOTA=5))</f>
      </c>
      <c r="Q3">
        <f>SUMPRODUCT((nCUENTA=1)*(nCLASE_I="E")*(nNOTA=6))</f>
      </c>
      <c r="R3">
        <f>SUMPRODUCT((nCUENTA=1)*(nCLASE_I="E")*(nNOTA=7))</f>
      </c>
      <c r="S3">
        <f>SUMPRODUCT((nCUENTA=1)*(nCLASE_I="E")*(nNOTA=8))</f>
      </c>
      <c r="T3">
        <f>SUMPRODUCT((nCUENTA=1)*(nCLASE_I="E")*(nNOTA=9))</f>
      </c>
      <c r="U3">
        <f>SUMPRODUCT((nCUENTA=1)*(nCLASE_I="E")*(nNOTA=10))</f>
      </c>
    </row>
    <row r="4">
      <c r="A4" t="inlineStr">
        <is>
          <t xml:space="preserve">GLOBAL</t>
        </is>
      </c>
      <c r="B4" t="inlineStr">
        <is>
          <t xml:space="preserve">Total No Especialidad</t>
        </is>
      </c>
      <c r="C4" t="inlineStr">
        <is>
          <t xml:space="preserve">TotalNoEsp</t>
        </is>
      </c>
      <c r="D4">
        <f>SUMPRODUCT((nCUENTA=1)*((nCLASE_I&lt;&gt;"")*(nCLASE_I&lt;&gt;"E"))*1)</f>
      </c>
      <c r="E4" s="10" cm="1">
        <f t="array" ref="E4">IFERROR(AVERAGE(IF((nCUENTA=1)*((nCLASE_I&lt;&gt;"")*(nCLASE_I&lt;&gt;"E")),nNOTA)),"—")</f>
      </c>
      <c r="F4" s="10" cm="1">
        <f t="array" ref="F4">IFERROR(_xlfn.STDEV.P(IF((nCUENTA=1)*((nCLASE_I&lt;&gt;"")*(nCLASE_I&lt;&gt;"E")),nNOTA)),"—")</f>
      </c>
      <c r="G4" cm="1">
        <f t="array" ref="G4">IFERROR(_xlfn.MODE.SNGL(IF((nCUENTA=1)*((nCLASE_I&lt;&gt;"")*(nCLASE_I&lt;&gt;"E")),nNOTA)),"—")</f>
      </c>
      <c r="H4" s="11">
        <f>IFERROR(SUMPRODUCT((nCUENTA=1)*((nCLASE_I&lt;&gt;"")*(nCLASE_I&lt;&gt;"E"))*(nAPTO="S"))/SUMPRODUCT((nCUENTA=1)*((nCLASE_I&lt;&gt;"")*(nCLASE_I&lt;&gt;"E"))*1),"—")</f>
      </c>
      <c r="I4" s="11">
        <f>IFERROR(SUMPRODUCT((nCUENTA=1)*((nCLASE_I&lt;&gt;"")*(nCLASE_I&lt;&gt;"E"))*(nAPTO="N"))/SUMPRODUCT((nCUENTA=1)*((nCLASE_I&lt;&gt;"")*(nCLASE_I&lt;&gt;"E"))*1),"—")</f>
      </c>
      <c r="J4" cm="1">
        <f t="array" ref="J4">IFERROR(_xlfn.MODE.SNGL(IF((nCUENTA=1)*((nCLASE_I&lt;&gt;"")*(nCLASE_I&lt;&gt;"E"))*(nAPTO="S"),nNOTA)),"—")</f>
      </c>
      <c r="K4" cm="1">
        <f t="array" ref="K4">IFERROR(_xlfn.MODE.SNGL(IF((nCUENTA=1)*((nCLASE_I&lt;&gt;"")*(nCLASE_I&lt;&gt;"E"))*(nAPTO="N"),nNOTA)),"—")</f>
      </c>
      <c r="L4">
        <f>SUMPRODUCT((nCUENTA=1)*((nCLASE_I&lt;&gt;"")*(nCLASE_I&lt;&gt;"E"))*(nNOTA=1))</f>
      </c>
      <c r="M4">
        <f>SUMPRODUCT((nCUENTA=1)*((nCLASE_I&lt;&gt;"")*(nCLASE_I&lt;&gt;"E"))*(nNOTA=2))</f>
      </c>
      <c r="N4">
        <f>SUMPRODUCT((nCUENTA=1)*((nCLASE_I&lt;&gt;"")*(nCLASE_I&lt;&gt;"E"))*(nNOTA=3))</f>
      </c>
      <c r="O4">
        <f>SUMPRODUCT((nCUENTA=1)*((nCLASE_I&lt;&gt;"")*(nCLASE_I&lt;&gt;"E"))*(nNOTA=4))</f>
      </c>
      <c r="P4">
        <f>SUMPRODUCT((nCUENTA=1)*((nCLASE_I&lt;&gt;"")*(nCLASE_I&lt;&gt;"E"))*(nNOTA=5))</f>
      </c>
      <c r="Q4">
        <f>SUMPRODUCT((nCUENTA=1)*((nCLASE_I&lt;&gt;"")*(nCLASE_I&lt;&gt;"E"))*(nNOTA=6))</f>
      </c>
      <c r="R4">
        <f>SUMPRODUCT((nCUENTA=1)*((nCLASE_I&lt;&gt;"")*(nCLASE_I&lt;&gt;"E"))*(nNOTA=7))</f>
      </c>
      <c r="S4">
        <f>SUMPRODUCT((nCUENTA=1)*((nCLASE_I&lt;&gt;"")*(nCLASE_I&lt;&gt;"E"))*(nNOTA=8))</f>
      </c>
      <c r="T4">
        <f>SUMPRODUCT((nCUENTA=1)*((nCLASE_I&lt;&gt;"")*(nCLASE_I&lt;&gt;"E"))*(nNOTA=9))</f>
      </c>
      <c r="U4">
        <f>SUMPRODUCT((nCUENTA=1)*((nCLASE_I&lt;&gt;"")*(nCLASE_I&lt;&gt;"E"))*(nNOTA=10))</f>
      </c>
    </row>
    <row r="5">
      <c r="A5" t="inlineStr">
        <is>
          <t xml:space="preserve">GLOBAL</t>
        </is>
      </c>
      <c r="B5" t="inlineStr">
        <is>
          <t xml:space="preserve">Teórica Troncal</t>
        </is>
      </c>
      <c r="C5" t="inlineStr">
        <is>
          <t xml:space="preserve">TeoricaTroncal</t>
        </is>
      </c>
      <c r="D5">
        <f>SUMPRODUCT((nCUENTA=1)*(nCLASE_I="NT")*1)</f>
      </c>
      <c r="E5" s="10" cm="1">
        <f t="array" ref="E5">IFERROR(AVERAGE(IF((nCUENTA=1)*(nCLASE_I="NT"),nNOTA)),"—")</f>
      </c>
      <c r="F5" s="10" cm="1">
        <f t="array" ref="F5">IFERROR(_xlfn.STDEV.P(IF((nCUENTA=1)*(nCLASE_I="NT"),nNOTA)),"—")</f>
      </c>
      <c r="G5" cm="1">
        <f t="array" ref="G5">IFERROR(_xlfn.MODE.SNGL(IF((nCUENTA=1)*(nCLASE_I="NT"),nNOTA)),"—")</f>
      </c>
      <c r="H5" s="11">
        <f>IFERROR(SUMPRODUCT((nCUENTA=1)*(nCLASE_I="NT")*(nAPTO="S"))/SUMPRODUCT((nCUENTA=1)*(nCLASE_I="NT")*1),"—")</f>
      </c>
      <c r="I5" s="11">
        <f>IFERROR(SUMPRODUCT((nCUENTA=1)*(nCLASE_I="NT")*(nAPTO="N"))/SUMPRODUCT((nCUENTA=1)*(nCLASE_I="NT")*1),"—")</f>
      </c>
      <c r="J5" cm="1">
        <f t="array" ref="J5">IFERROR(_xlfn.MODE.SNGL(IF((nCUENTA=1)*(nCLASE_I="NT")*(nAPTO="S"),nNOTA)),"—")</f>
      </c>
      <c r="K5" cm="1">
        <f t="array" ref="K5">IFERROR(_xlfn.MODE.SNGL(IF((nCUENTA=1)*(nCLASE_I="NT")*(nAPTO="N"),nNOTA)),"—")</f>
      </c>
      <c r="L5">
        <f>SUMPRODUCT((nCUENTA=1)*(nCLASE_I="NT")*(nNOTA=1))</f>
      </c>
      <c r="M5">
        <f>SUMPRODUCT((nCUENTA=1)*(nCLASE_I="NT")*(nNOTA=2))</f>
      </c>
      <c r="N5">
        <f>SUMPRODUCT((nCUENTA=1)*(nCLASE_I="NT")*(nNOTA=3))</f>
      </c>
      <c r="O5">
        <f>SUMPRODUCT((nCUENTA=1)*(nCLASE_I="NT")*(nNOTA=4))</f>
      </c>
      <c r="P5">
        <f>SUMPRODUCT((nCUENTA=1)*(nCLASE_I="NT")*(nNOTA=5))</f>
      </c>
      <c r="Q5">
        <f>SUMPRODUCT((nCUENTA=1)*(nCLASE_I="NT")*(nNOTA=6))</f>
      </c>
      <c r="R5">
        <f>SUMPRODUCT((nCUENTA=1)*(nCLASE_I="NT")*(nNOTA=7))</f>
      </c>
      <c r="S5">
        <f>SUMPRODUCT((nCUENTA=1)*(nCLASE_I="NT")*(nNOTA=8))</f>
      </c>
      <c r="T5">
        <f>SUMPRODUCT((nCUENTA=1)*(nCLASE_I="NT")*(nNOTA=9))</f>
      </c>
      <c r="U5">
        <f>SUMPRODUCT((nCUENTA=1)*(nCLASE_I="NT")*(nNOTA=10))</f>
      </c>
    </row>
    <row r="6">
      <c r="A6" t="inlineStr">
        <is>
          <t xml:space="preserve">GLOBAL</t>
        </is>
      </c>
      <c r="B6" cm="1">
        <f t="array" ref="B6">IFERROR(INDEX(_xlfn._xlws.FILTER(CONFIG_ASIGNATURAS!$B$2:$B$91,CONFIG_ASIGNATURAS!$G$2:$G$91="Sí"),1),"")</f>
      </c>
      <c r="C6">
        <f>IF(B6="","",IFERROR(VLOOKUP(B6,CONFIG_ASIGNATURAS!$B$2:$D$91,3,FALSE()),"Asignatura"))</f>
      </c>
      <c r="D6">
        <f>SUMPRODUCT((nCUENTA=1)*(nASIG=B6))</f>
        <v>0</v>
      </c>
      <c r="E6" s="10" t="str">
        <f>IFERROR(SUMPRODUCT((nCUENTA=1)*(nASIG=B6)*(nNOTA))/D6,"—")</f>
        <v>—</v>
      </c>
      <c r="F6" s="10" t="str" cm="1">
        <f t="array" ref="F6">IFERROR(_xlfn.STDEV.P(_xlfn._xlws.FILTER(nNOTA,(nCUENTA=1)*(nASIG=B6))),"—")</f>
        <v>—</v>
      </c>
      <c r="G6" t="str" cm="1">
        <f t="array" ref="G6">IFERROR(_xlfn.MODE.SNGL(_xlfn._xlws.FILTER(nNOTA,(nCUENTA=1)*(nASIG=B6))),"—")</f>
        <v>—</v>
      </c>
      <c r="H6" s="11" t="str">
        <f>IFERROR(SUMPRODUCT((nCUENTA=1)*(nASIG=B6)*(nAPTO="S"))/D6,"—")</f>
        <v>—</v>
      </c>
      <c r="I6" s="11" t="str">
        <f>IFERROR(SUMPRODUCT((nCUENTA=1)*(nASIG=B6)*(nAPTO="N"))/D6,"—")</f>
        <v>—</v>
      </c>
      <c r="J6" t="str" cm="1">
        <f t="array" ref="J6">IFERROR(_xlfn.MODE.SNGL(_xlfn._xlws.FILTER(nNOTA,(nCUENTA=1)*(nASIG=B6)*(nAPTO="S"))),"—")</f>
        <v>—</v>
      </c>
      <c r="K6" t="str" cm="1">
        <f t="array" ref="K6">IFERROR(_xlfn.MODE.SNGL(_xlfn._xlws.FILTER(nNOTA,(nCUENTA=1)*(nASIG=B6)*(nAPTO="N"))),"—")</f>
        <v>—</v>
      </c>
      <c r="L6">
        <f>SUMPRODUCT((nCUENTA=1)*(nASIG=B6)*(nNOTA=1))</f>
        <v>0</v>
      </c>
      <c r="M6">
        <f>SUMPRODUCT((nCUENTA=1)*(nASIG=B6)*(nNOTA=2))</f>
        <v>0</v>
      </c>
      <c r="N6">
        <f>SUMPRODUCT((nCUENTA=1)*(nASIG=B6)*(nNOTA=3))</f>
        <v>0</v>
      </c>
      <c r="O6">
        <f>SUMPRODUCT((nCUENTA=1)*(nASIG=B6)*(nNOTA=4))</f>
        <v>0</v>
      </c>
      <c r="P6">
        <f>SUMPRODUCT((nCUENTA=1)*(nASIG=B6)*(nNOTA=5))</f>
        <v>0</v>
      </c>
      <c r="Q6">
        <f>SUMPRODUCT((nCUENTA=1)*(nASIG=B6)*(nNOTA=6))</f>
        <v>0</v>
      </c>
      <c r="R6">
        <f>SUMPRODUCT((nCUENTA=1)*(nASIG=B6)*(nNOTA=7))</f>
        <v>0</v>
      </c>
      <c r="S6">
        <f>SUMPRODUCT((nCUENTA=1)*(nASIG=B6)*(nNOTA=8))</f>
        <v>0</v>
      </c>
      <c r="T6">
        <f>SUMPRODUCT((nCUENTA=1)*(nASIG=B6)*(nNOTA=9))</f>
        <v>0</v>
      </c>
      <c r="U6">
        <f>SUMPRODUCT((nCUENTA=1)*(nASIG=B6)*(nNOTA=10))</f>
        <v>0</v>
      </c>
    </row>
    <row r="7">
      <c r="A7" t="inlineStr">
        <is>
          <t xml:space="preserve">GLOBAL</t>
        </is>
      </c>
      <c r="B7" cm="1">
        <f t="array" ref="B7">IFERROR(INDEX(_xlfn._xlws.FILTER(CONFIG_ASIGNATURAS!$B$2:$B$91,CONFIG_ASIGNATURAS!$G$2:$G$91="Sí"),2),"")</f>
      </c>
      <c r="C7">
        <f>IF(B7="","",IFERROR(VLOOKUP(B7,CONFIG_ASIGNATURAS!$B$2:$D$91,3,FALSE()),"Asignatura"))</f>
      </c>
      <c r="D7">
        <f>SUMPRODUCT((nCUENTA=1)*(nASIG=B7))</f>
        <v>0</v>
      </c>
      <c r="E7" s="10" t="str">
        <f>IFERROR(SUMPRODUCT((nCUENTA=1)*(nASIG=B7)*(nNOTA))/D7,"—")</f>
        <v>—</v>
      </c>
      <c r="F7" s="10" t="str" cm="1">
        <f t="array" ref="F7">IFERROR(_xlfn.STDEV.P(_xlfn._xlws.FILTER(nNOTA,(nCUENTA=1)*(nASIG=B7))),"—")</f>
        <v>—</v>
      </c>
      <c r="G7" t="str" cm="1">
        <f t="array" ref="G7">IFERROR(_xlfn.MODE.SNGL(_xlfn._xlws.FILTER(nNOTA,(nCUENTA=1)*(nASIG=B7))),"—")</f>
        <v>—</v>
      </c>
      <c r="H7" s="11" t="str">
        <f>IFERROR(SUMPRODUCT((nCUENTA=1)*(nASIG=B7)*(nAPTO="S"))/D7,"—")</f>
        <v>—</v>
      </c>
      <c r="I7" s="11" t="str">
        <f>IFERROR(SUMPRODUCT((nCUENTA=1)*(nASIG=B7)*(nAPTO="N"))/D7,"—")</f>
        <v>—</v>
      </c>
      <c r="J7" t="str" cm="1">
        <f t="array" ref="J7">IFERROR(_xlfn.MODE.SNGL(_xlfn._xlws.FILTER(nNOTA,(nCUENTA=1)*(nASIG=B7)*(nAPTO="S"))),"—")</f>
        <v>—</v>
      </c>
      <c r="K7" t="str" cm="1">
        <f t="array" ref="K7">IFERROR(_xlfn.MODE.SNGL(_xlfn._xlws.FILTER(nNOTA,(nCUENTA=1)*(nASIG=B7)*(nAPTO="N"))),"—")</f>
        <v>—</v>
      </c>
      <c r="L7">
        <f>SUMPRODUCT((nCUENTA=1)*(nASIG=B7)*(nNOTA=1))</f>
        <v>0</v>
      </c>
      <c r="M7">
        <f>SUMPRODUCT((nCUENTA=1)*(nASIG=B7)*(nNOTA=2))</f>
        <v>0</v>
      </c>
      <c r="N7">
        <f>SUMPRODUCT((nCUENTA=1)*(nASIG=B7)*(nNOTA=3))</f>
        <v>0</v>
      </c>
      <c r="O7">
        <f>SUMPRODUCT((nCUENTA=1)*(nASIG=B7)*(nNOTA=4))</f>
        <v>0</v>
      </c>
      <c r="P7">
        <f>SUMPRODUCT((nCUENTA=1)*(nASIG=B7)*(nNOTA=5))</f>
        <v>0</v>
      </c>
      <c r="Q7">
        <f>SUMPRODUCT((nCUENTA=1)*(nASIG=B7)*(nNOTA=6))</f>
        <v>0</v>
      </c>
      <c r="R7">
        <f>SUMPRODUCT((nCUENTA=1)*(nASIG=B7)*(nNOTA=7))</f>
        <v>0</v>
      </c>
      <c r="S7">
        <f>SUMPRODUCT((nCUENTA=1)*(nASIG=B7)*(nNOTA=8))</f>
        <v>0</v>
      </c>
      <c r="T7">
        <f>SUMPRODUCT((nCUENTA=1)*(nASIG=B7)*(nNOTA=9))</f>
        <v>0</v>
      </c>
      <c r="U7">
        <f>SUMPRODUCT((nCUENTA=1)*(nASIG=B7)*(nNOTA=10))</f>
        <v>0</v>
      </c>
    </row>
    <row r="8">
      <c r="A8" t="inlineStr">
        <is>
          <t xml:space="preserve">GLOBAL</t>
        </is>
      </c>
      <c r="B8" cm="1">
        <f t="array" ref="B8">IFERROR(INDEX(_xlfn._xlws.FILTER(CONFIG_ASIGNATURAS!$B$2:$B$91,CONFIG_ASIGNATURAS!$G$2:$G$91="Sí"),3),"")</f>
      </c>
      <c r="C8">
        <f>IF(B8="","",IFERROR(VLOOKUP(B8,CONFIG_ASIGNATURAS!$B$2:$D$91,3,FALSE()),"Asignatura"))</f>
      </c>
      <c r="D8">
        <f>SUMPRODUCT((nCUENTA=1)*(nASIG=B8))</f>
        <v>0</v>
      </c>
      <c r="E8" s="10" t="str">
        <f>IFERROR(SUMPRODUCT((nCUENTA=1)*(nASIG=B8)*(nNOTA))/D8,"—")</f>
        <v>—</v>
      </c>
      <c r="F8" s="10" t="str" cm="1">
        <f t="array" ref="F8">IFERROR(_xlfn.STDEV.P(_xlfn._xlws.FILTER(nNOTA,(nCUENTA=1)*(nASIG=B8))),"—")</f>
        <v>—</v>
      </c>
      <c r="G8" t="str" cm="1">
        <f t="array" ref="G8">IFERROR(_xlfn.MODE.SNGL(_xlfn._xlws.FILTER(nNOTA,(nCUENTA=1)*(nASIG=B8))),"—")</f>
        <v>—</v>
      </c>
      <c r="H8" s="11" t="str">
        <f>IFERROR(SUMPRODUCT((nCUENTA=1)*(nASIG=B8)*(nAPTO="S"))/D8,"—")</f>
        <v>—</v>
      </c>
      <c r="I8" s="11" t="str">
        <f>IFERROR(SUMPRODUCT((nCUENTA=1)*(nASIG=B8)*(nAPTO="N"))/D8,"—")</f>
        <v>—</v>
      </c>
      <c r="J8" t="str" cm="1">
        <f t="array" ref="J8">IFERROR(_xlfn.MODE.SNGL(_xlfn._xlws.FILTER(nNOTA,(nCUENTA=1)*(nASIG=B8)*(nAPTO="S"))),"—")</f>
        <v>—</v>
      </c>
      <c r="K8" t="str" cm="1">
        <f t="array" ref="K8">IFERROR(_xlfn.MODE.SNGL(_xlfn._xlws.FILTER(nNOTA,(nCUENTA=1)*(nASIG=B8)*(nAPTO="N"))),"—")</f>
        <v>—</v>
      </c>
      <c r="L8">
        <f>SUMPRODUCT((nCUENTA=1)*(nASIG=B8)*(nNOTA=1))</f>
        <v>0</v>
      </c>
      <c r="M8">
        <f>SUMPRODUCT((nCUENTA=1)*(nASIG=B8)*(nNOTA=2))</f>
        <v>0</v>
      </c>
      <c r="N8">
        <f>SUMPRODUCT((nCUENTA=1)*(nASIG=B8)*(nNOTA=3))</f>
        <v>0</v>
      </c>
      <c r="O8">
        <f>SUMPRODUCT((nCUENTA=1)*(nASIG=B8)*(nNOTA=4))</f>
        <v>0</v>
      </c>
      <c r="P8">
        <f>SUMPRODUCT((nCUENTA=1)*(nASIG=B8)*(nNOTA=5))</f>
        <v>0</v>
      </c>
      <c r="Q8">
        <f>SUMPRODUCT((nCUENTA=1)*(nASIG=B8)*(nNOTA=6))</f>
        <v>0</v>
      </c>
      <c r="R8">
        <f>SUMPRODUCT((nCUENTA=1)*(nASIG=B8)*(nNOTA=7))</f>
        <v>0</v>
      </c>
      <c r="S8">
        <f>SUMPRODUCT((nCUENTA=1)*(nASIG=B8)*(nNOTA=8))</f>
        <v>0</v>
      </c>
      <c r="T8">
        <f>SUMPRODUCT((nCUENTA=1)*(nASIG=B8)*(nNOTA=9))</f>
        <v>0</v>
      </c>
      <c r="U8">
        <f>SUMPRODUCT((nCUENTA=1)*(nASIG=B8)*(nNOTA=10))</f>
        <v>0</v>
      </c>
    </row>
    <row r="9">
      <c r="A9" t="inlineStr">
        <is>
          <t xml:space="preserve">GLOBAL</t>
        </is>
      </c>
      <c r="B9" cm="1">
        <f t="array" ref="B9">IFERROR(INDEX(_xlfn._xlws.FILTER(CONFIG_ASIGNATURAS!$B$2:$B$91,CONFIG_ASIGNATURAS!$G$2:$G$91="Sí"),4),"")</f>
      </c>
      <c r="C9">
        <f>IF(B9="","",IFERROR(VLOOKUP(B9,CONFIG_ASIGNATURAS!$B$2:$D$91,3,FALSE()),"Asignatura"))</f>
      </c>
      <c r="D9">
        <f>SUMPRODUCT((nCUENTA=1)*(nASIG=B9))</f>
        <v>0</v>
      </c>
      <c r="E9" s="10" t="str">
        <f>IFERROR(SUMPRODUCT((nCUENTA=1)*(nASIG=B9)*(nNOTA))/D9,"—")</f>
        <v>—</v>
      </c>
      <c r="F9" s="10" t="str" cm="1">
        <f t="array" ref="F9">IFERROR(_xlfn.STDEV.P(_xlfn._xlws.FILTER(nNOTA,(nCUENTA=1)*(nASIG=B9))),"—")</f>
        <v>—</v>
      </c>
      <c r="G9" t="str" cm="1">
        <f t="array" ref="G9">IFERROR(_xlfn.MODE.SNGL(_xlfn._xlws.FILTER(nNOTA,(nCUENTA=1)*(nASIG=B9))),"—")</f>
        <v>—</v>
      </c>
      <c r="H9" s="11" t="str">
        <f>IFERROR(SUMPRODUCT((nCUENTA=1)*(nASIG=B9)*(nAPTO="S"))/D9,"—")</f>
        <v>—</v>
      </c>
      <c r="I9" s="11" t="str">
        <f>IFERROR(SUMPRODUCT((nCUENTA=1)*(nASIG=B9)*(nAPTO="N"))/D9,"—")</f>
        <v>—</v>
      </c>
      <c r="J9" t="str" cm="1">
        <f t="array" ref="J9">IFERROR(_xlfn.MODE.SNGL(_xlfn._xlws.FILTER(nNOTA,(nCUENTA=1)*(nASIG=B9)*(nAPTO="S"))),"—")</f>
        <v>—</v>
      </c>
      <c r="K9" t="str" cm="1">
        <f t="array" ref="K9">IFERROR(_xlfn.MODE.SNGL(_xlfn._xlws.FILTER(nNOTA,(nCUENTA=1)*(nASIG=B9)*(nAPTO="N"))),"—")</f>
        <v>—</v>
      </c>
      <c r="L9">
        <f>SUMPRODUCT((nCUENTA=1)*(nASIG=B9)*(nNOTA=1))</f>
        <v>0</v>
      </c>
      <c r="M9">
        <f>SUMPRODUCT((nCUENTA=1)*(nASIG=B9)*(nNOTA=2))</f>
        <v>0</v>
      </c>
      <c r="N9">
        <f>SUMPRODUCT((nCUENTA=1)*(nASIG=B9)*(nNOTA=3))</f>
        <v>0</v>
      </c>
      <c r="O9">
        <f>SUMPRODUCT((nCUENTA=1)*(nASIG=B9)*(nNOTA=4))</f>
        <v>0</v>
      </c>
      <c r="P9">
        <f>SUMPRODUCT((nCUENTA=1)*(nASIG=B9)*(nNOTA=5))</f>
        <v>0</v>
      </c>
      <c r="Q9">
        <f>SUMPRODUCT((nCUENTA=1)*(nASIG=B9)*(nNOTA=6))</f>
        <v>0</v>
      </c>
      <c r="R9">
        <f>SUMPRODUCT((nCUENTA=1)*(nASIG=B9)*(nNOTA=7))</f>
        <v>0</v>
      </c>
      <c r="S9">
        <f>SUMPRODUCT((nCUENTA=1)*(nASIG=B9)*(nNOTA=8))</f>
        <v>0</v>
      </c>
      <c r="T9">
        <f>SUMPRODUCT((nCUENTA=1)*(nASIG=B9)*(nNOTA=9))</f>
        <v>0</v>
      </c>
      <c r="U9">
        <f>SUMPRODUCT((nCUENTA=1)*(nASIG=B9)*(nNOTA=10))</f>
        <v>0</v>
      </c>
    </row>
    <row r="10">
      <c r="A10" t="inlineStr">
        <is>
          <t xml:space="preserve">GLOBAL</t>
        </is>
      </c>
      <c r="B10" cm="1">
        <f t="array" ref="B10">IFERROR(INDEX(_xlfn._xlws.FILTER(CONFIG_ASIGNATURAS!$B$2:$B$91,CONFIG_ASIGNATURAS!$G$2:$G$91="Sí"),5),"")</f>
      </c>
      <c r="C10">
        <f>IF(B10="","",IFERROR(VLOOKUP(B10,CONFIG_ASIGNATURAS!$B$2:$D$91,3,FALSE()),"Asignatura"))</f>
      </c>
      <c r="D10">
        <f>SUMPRODUCT((nCUENTA=1)*(nASIG=B10))</f>
        <v>0</v>
      </c>
      <c r="E10" s="10" t="str">
        <f>IFERROR(SUMPRODUCT((nCUENTA=1)*(nASIG=B10)*(nNOTA))/D10,"—")</f>
        <v>—</v>
      </c>
      <c r="F10" s="10" t="str" cm="1">
        <f t="array" ref="F10">IFERROR(_xlfn.STDEV.P(_xlfn._xlws.FILTER(nNOTA,(nCUENTA=1)*(nASIG=B10))),"—")</f>
        <v>—</v>
      </c>
      <c r="G10" t="str" cm="1">
        <f t="array" ref="G10">IFERROR(_xlfn.MODE.SNGL(_xlfn._xlws.FILTER(nNOTA,(nCUENTA=1)*(nASIG=B10))),"—")</f>
        <v>—</v>
      </c>
      <c r="H10" s="11" t="str">
        <f>IFERROR(SUMPRODUCT((nCUENTA=1)*(nASIG=B10)*(nAPTO="S"))/D10,"—")</f>
        <v>—</v>
      </c>
      <c r="I10" s="11" t="str">
        <f>IFERROR(SUMPRODUCT((nCUENTA=1)*(nASIG=B10)*(nAPTO="N"))/D10,"—")</f>
        <v>—</v>
      </c>
      <c r="J10" t="str" cm="1">
        <f t="array" ref="J10">IFERROR(_xlfn.MODE.SNGL(_xlfn._xlws.FILTER(nNOTA,(nCUENTA=1)*(nASIG=B10)*(nAPTO="S"))),"—")</f>
        <v>—</v>
      </c>
      <c r="K10" t="str" cm="1">
        <f t="array" ref="K10">IFERROR(_xlfn.MODE.SNGL(_xlfn._xlws.FILTER(nNOTA,(nCUENTA=1)*(nASIG=B10)*(nAPTO="N"))),"—")</f>
        <v>—</v>
      </c>
      <c r="L10">
        <f>SUMPRODUCT((nCUENTA=1)*(nASIG=B10)*(nNOTA=1))</f>
        <v>0</v>
      </c>
      <c r="M10">
        <f>SUMPRODUCT((nCUENTA=1)*(nASIG=B10)*(nNOTA=2))</f>
        <v>0</v>
      </c>
      <c r="N10">
        <f>SUMPRODUCT((nCUENTA=1)*(nASIG=B10)*(nNOTA=3))</f>
        <v>0</v>
      </c>
      <c r="O10">
        <f>SUMPRODUCT((nCUENTA=1)*(nASIG=B10)*(nNOTA=4))</f>
        <v>0</v>
      </c>
      <c r="P10">
        <f>SUMPRODUCT((nCUENTA=1)*(nASIG=B10)*(nNOTA=5))</f>
        <v>0</v>
      </c>
      <c r="Q10">
        <f>SUMPRODUCT((nCUENTA=1)*(nASIG=B10)*(nNOTA=6))</f>
        <v>0</v>
      </c>
      <c r="R10">
        <f>SUMPRODUCT((nCUENTA=1)*(nASIG=B10)*(nNOTA=7))</f>
        <v>0</v>
      </c>
      <c r="S10">
        <f>SUMPRODUCT((nCUENTA=1)*(nASIG=B10)*(nNOTA=8))</f>
        <v>0</v>
      </c>
      <c r="T10">
        <f>SUMPRODUCT((nCUENTA=1)*(nASIG=B10)*(nNOTA=9))</f>
        <v>0</v>
      </c>
      <c r="U10">
        <f>SUMPRODUCT((nCUENTA=1)*(nASIG=B10)*(nNOTA=10))</f>
        <v>0</v>
      </c>
    </row>
    <row r="11">
      <c r="A11" t="inlineStr">
        <is>
          <t xml:space="preserve">GLOBAL</t>
        </is>
      </c>
      <c r="B11" cm="1">
        <f t="array" ref="B11">IFERROR(INDEX(_xlfn._xlws.FILTER(CONFIG_ASIGNATURAS!$B$2:$B$91,CONFIG_ASIGNATURAS!$G$2:$G$91="Sí"),6),"")</f>
      </c>
      <c r="C11">
        <f>IF(B11="","",IFERROR(VLOOKUP(B11,CONFIG_ASIGNATURAS!$B$2:$D$91,3,FALSE()),"Asignatura"))</f>
      </c>
      <c r="D11">
        <f>SUMPRODUCT((nCUENTA=1)*(nASIG=B11))</f>
        <v>0</v>
      </c>
      <c r="E11" s="10" t="str">
        <f>IFERROR(SUMPRODUCT((nCUENTA=1)*(nASIG=B11)*(nNOTA))/D11,"—")</f>
        <v>—</v>
      </c>
      <c r="F11" s="10" t="str" cm="1">
        <f t="array" ref="F11">IFERROR(_xlfn.STDEV.P(_xlfn._xlws.FILTER(nNOTA,(nCUENTA=1)*(nASIG=B11))),"—")</f>
        <v>—</v>
      </c>
      <c r="G11" t="str" cm="1">
        <f t="array" ref="G11">IFERROR(_xlfn.MODE.SNGL(_xlfn._xlws.FILTER(nNOTA,(nCUENTA=1)*(nASIG=B11))),"—")</f>
        <v>—</v>
      </c>
      <c r="H11" s="11" t="str">
        <f>IFERROR(SUMPRODUCT((nCUENTA=1)*(nASIG=B11)*(nAPTO="S"))/D11,"—")</f>
        <v>—</v>
      </c>
      <c r="I11" s="11" t="str">
        <f>IFERROR(SUMPRODUCT((nCUENTA=1)*(nASIG=B11)*(nAPTO="N"))/D11,"—")</f>
        <v>—</v>
      </c>
      <c r="J11" t="str" cm="1">
        <f t="array" ref="J11">IFERROR(_xlfn.MODE.SNGL(_xlfn._xlws.FILTER(nNOTA,(nCUENTA=1)*(nASIG=B11)*(nAPTO="S"))),"—")</f>
        <v>—</v>
      </c>
      <c r="K11" t="str" cm="1">
        <f t="array" ref="K11">IFERROR(_xlfn.MODE.SNGL(_xlfn._xlws.FILTER(nNOTA,(nCUENTA=1)*(nASIG=B11)*(nAPTO="N"))),"—")</f>
        <v>—</v>
      </c>
      <c r="L11">
        <f>SUMPRODUCT((nCUENTA=1)*(nASIG=B11)*(nNOTA=1))</f>
        <v>0</v>
      </c>
      <c r="M11">
        <f>SUMPRODUCT((nCUENTA=1)*(nASIG=B11)*(nNOTA=2))</f>
        <v>0</v>
      </c>
      <c r="N11">
        <f>SUMPRODUCT((nCUENTA=1)*(nASIG=B11)*(nNOTA=3))</f>
        <v>0</v>
      </c>
      <c r="O11">
        <f>SUMPRODUCT((nCUENTA=1)*(nASIG=B11)*(nNOTA=4))</f>
        <v>0</v>
      </c>
      <c r="P11">
        <f>SUMPRODUCT((nCUENTA=1)*(nASIG=B11)*(nNOTA=5))</f>
        <v>0</v>
      </c>
      <c r="Q11">
        <f>SUMPRODUCT((nCUENTA=1)*(nASIG=B11)*(nNOTA=6))</f>
        <v>0</v>
      </c>
      <c r="R11">
        <f>SUMPRODUCT((nCUENTA=1)*(nASIG=B11)*(nNOTA=7))</f>
        <v>0</v>
      </c>
      <c r="S11">
        <f>SUMPRODUCT((nCUENTA=1)*(nASIG=B11)*(nNOTA=8))</f>
        <v>0</v>
      </c>
      <c r="T11">
        <f>SUMPRODUCT((nCUENTA=1)*(nASIG=B11)*(nNOTA=9))</f>
        <v>0</v>
      </c>
      <c r="U11">
        <f>SUMPRODUCT((nCUENTA=1)*(nASIG=B11)*(nNOTA=10))</f>
        <v>0</v>
      </c>
    </row>
    <row r="12">
      <c r="A12" t="inlineStr">
        <is>
          <t xml:space="preserve">GLOBAL</t>
        </is>
      </c>
      <c r="B12" cm="1">
        <f t="array" ref="B12">IFERROR(INDEX(_xlfn._xlws.FILTER(CONFIG_ASIGNATURAS!$B$2:$B$91,CONFIG_ASIGNATURAS!$G$2:$G$91="Sí"),7),"")</f>
      </c>
      <c r="C12">
        <f>IF(B12="","",IFERROR(VLOOKUP(B12,CONFIG_ASIGNATURAS!$B$2:$D$91,3,FALSE()),"Asignatura"))</f>
      </c>
      <c r="D12">
        <f>SUMPRODUCT((nCUENTA=1)*(nASIG=B12))</f>
        <v>0</v>
      </c>
      <c r="E12" s="10" t="str">
        <f>IFERROR(SUMPRODUCT((nCUENTA=1)*(nASIG=B12)*(nNOTA))/D12,"—")</f>
        <v>—</v>
      </c>
      <c r="F12" s="10" t="str" cm="1">
        <f t="array" ref="F12">IFERROR(_xlfn.STDEV.P(_xlfn._xlws.FILTER(nNOTA,(nCUENTA=1)*(nASIG=B12))),"—")</f>
        <v>—</v>
      </c>
      <c r="G12" t="str" cm="1">
        <f t="array" ref="G12">IFERROR(_xlfn.MODE.SNGL(_xlfn._xlws.FILTER(nNOTA,(nCUENTA=1)*(nASIG=B12))),"—")</f>
        <v>—</v>
      </c>
      <c r="H12" s="11" t="str">
        <f>IFERROR(SUMPRODUCT((nCUENTA=1)*(nASIG=B12)*(nAPTO="S"))/D12,"—")</f>
        <v>—</v>
      </c>
      <c r="I12" s="11" t="str">
        <f>IFERROR(SUMPRODUCT((nCUENTA=1)*(nASIG=B12)*(nAPTO="N"))/D12,"—")</f>
        <v>—</v>
      </c>
      <c r="J12" t="str" cm="1">
        <f t="array" ref="J12">IFERROR(_xlfn.MODE.SNGL(_xlfn._xlws.FILTER(nNOTA,(nCUENTA=1)*(nASIG=B12)*(nAPTO="S"))),"—")</f>
        <v>—</v>
      </c>
      <c r="K12" t="str" cm="1">
        <f t="array" ref="K12">IFERROR(_xlfn.MODE.SNGL(_xlfn._xlws.FILTER(nNOTA,(nCUENTA=1)*(nASIG=B12)*(nAPTO="N"))),"—")</f>
        <v>—</v>
      </c>
      <c r="L12">
        <f>SUMPRODUCT((nCUENTA=1)*(nASIG=B12)*(nNOTA=1))</f>
        <v>0</v>
      </c>
      <c r="M12">
        <f>SUMPRODUCT((nCUENTA=1)*(nASIG=B12)*(nNOTA=2))</f>
        <v>0</v>
      </c>
      <c r="N12">
        <f>SUMPRODUCT((nCUENTA=1)*(nASIG=B12)*(nNOTA=3))</f>
        <v>0</v>
      </c>
      <c r="O12">
        <f>SUMPRODUCT((nCUENTA=1)*(nASIG=B12)*(nNOTA=4))</f>
        <v>0</v>
      </c>
      <c r="P12">
        <f>SUMPRODUCT((nCUENTA=1)*(nASIG=B12)*(nNOTA=5))</f>
        <v>0</v>
      </c>
      <c r="Q12">
        <f>SUMPRODUCT((nCUENTA=1)*(nASIG=B12)*(nNOTA=6))</f>
        <v>0</v>
      </c>
      <c r="R12">
        <f>SUMPRODUCT((nCUENTA=1)*(nASIG=B12)*(nNOTA=7))</f>
        <v>0</v>
      </c>
      <c r="S12">
        <f>SUMPRODUCT((nCUENTA=1)*(nASIG=B12)*(nNOTA=8))</f>
        <v>0</v>
      </c>
      <c r="T12">
        <f>SUMPRODUCT((nCUENTA=1)*(nASIG=B12)*(nNOTA=9))</f>
        <v>0</v>
      </c>
      <c r="U12">
        <f>SUMPRODUCT((nCUENTA=1)*(nASIG=B12)*(nNOTA=10))</f>
        <v>0</v>
      </c>
    </row>
    <row r="13">
      <c r="A13" t="inlineStr">
        <is>
          <t xml:space="preserve">GLOBAL</t>
        </is>
      </c>
      <c r="B13" cm="1">
        <f t="array" ref="B13">IFERROR(INDEX(_xlfn._xlws.FILTER(CONFIG_ASIGNATURAS!$B$2:$B$91,CONFIG_ASIGNATURAS!$G$2:$G$91="Sí"),8),"")</f>
      </c>
      <c r="C13">
        <f>IF(B13="","",IFERROR(VLOOKUP(B13,CONFIG_ASIGNATURAS!$B$2:$D$91,3,FALSE()),"Asignatura"))</f>
      </c>
      <c r="D13">
        <f>SUMPRODUCT((nCUENTA=1)*(nASIG=B13))</f>
        <v>0</v>
      </c>
      <c r="E13" s="10" t="str">
        <f>IFERROR(SUMPRODUCT((nCUENTA=1)*(nASIG=B13)*(nNOTA))/D13,"—")</f>
        <v>—</v>
      </c>
      <c r="F13" s="10" t="str" cm="1">
        <f t="array" ref="F13">IFERROR(_xlfn.STDEV.P(_xlfn._xlws.FILTER(nNOTA,(nCUENTA=1)*(nASIG=B13))),"—")</f>
        <v>—</v>
      </c>
      <c r="G13" t="str" cm="1">
        <f t="array" ref="G13">IFERROR(_xlfn.MODE.SNGL(_xlfn._xlws.FILTER(nNOTA,(nCUENTA=1)*(nASIG=B13))),"—")</f>
        <v>—</v>
      </c>
      <c r="H13" s="11" t="str">
        <f>IFERROR(SUMPRODUCT((nCUENTA=1)*(nASIG=B13)*(nAPTO="S"))/D13,"—")</f>
        <v>—</v>
      </c>
      <c r="I13" s="11" t="str">
        <f>IFERROR(SUMPRODUCT((nCUENTA=1)*(nASIG=B13)*(nAPTO="N"))/D13,"—")</f>
        <v>—</v>
      </c>
      <c r="J13" t="str" cm="1">
        <f t="array" ref="J13">IFERROR(_xlfn.MODE.SNGL(_xlfn._xlws.FILTER(nNOTA,(nCUENTA=1)*(nASIG=B13)*(nAPTO="S"))),"—")</f>
        <v>—</v>
      </c>
      <c r="K13" t="str" cm="1">
        <f t="array" ref="K13">IFERROR(_xlfn.MODE.SNGL(_xlfn._xlws.FILTER(nNOTA,(nCUENTA=1)*(nASIG=B13)*(nAPTO="N"))),"—")</f>
        <v>—</v>
      </c>
      <c r="L13">
        <f>SUMPRODUCT((nCUENTA=1)*(nASIG=B13)*(nNOTA=1))</f>
        <v>0</v>
      </c>
      <c r="M13">
        <f>SUMPRODUCT((nCUENTA=1)*(nASIG=B13)*(nNOTA=2))</f>
        <v>0</v>
      </c>
      <c r="N13">
        <f>SUMPRODUCT((nCUENTA=1)*(nASIG=B13)*(nNOTA=3))</f>
        <v>0</v>
      </c>
      <c r="O13">
        <f>SUMPRODUCT((nCUENTA=1)*(nASIG=B13)*(nNOTA=4))</f>
        <v>0</v>
      </c>
      <c r="P13">
        <f>SUMPRODUCT((nCUENTA=1)*(nASIG=B13)*(nNOTA=5))</f>
        <v>0</v>
      </c>
      <c r="Q13">
        <f>SUMPRODUCT((nCUENTA=1)*(nASIG=B13)*(nNOTA=6))</f>
        <v>0</v>
      </c>
      <c r="R13">
        <f>SUMPRODUCT((nCUENTA=1)*(nASIG=B13)*(nNOTA=7))</f>
        <v>0</v>
      </c>
      <c r="S13">
        <f>SUMPRODUCT((nCUENTA=1)*(nASIG=B13)*(nNOTA=8))</f>
        <v>0</v>
      </c>
      <c r="T13">
        <f>SUMPRODUCT((nCUENTA=1)*(nASIG=B13)*(nNOTA=9))</f>
        <v>0</v>
      </c>
      <c r="U13">
        <f>SUMPRODUCT((nCUENTA=1)*(nASIG=B13)*(nNOTA=10))</f>
        <v>0</v>
      </c>
    </row>
    <row r="14">
      <c r="A14" t="inlineStr">
        <is>
          <t xml:space="preserve">GLOBAL</t>
        </is>
      </c>
      <c r="B14" cm="1">
        <f t="array" ref="B14">IFERROR(INDEX(_xlfn._xlws.FILTER(CONFIG_ASIGNATURAS!$B$2:$B$91,CONFIG_ASIGNATURAS!$G$2:$G$91="Sí"),9),"")</f>
      </c>
      <c r="C14">
        <f>IF(B14="","",IFERROR(VLOOKUP(B14,CONFIG_ASIGNATURAS!$B$2:$D$91,3,FALSE()),"Asignatura"))</f>
      </c>
      <c r="D14">
        <f>SUMPRODUCT((nCUENTA=1)*(nASIG=B14))</f>
        <v>0</v>
      </c>
      <c r="E14" s="10" t="str">
        <f>IFERROR(SUMPRODUCT((nCUENTA=1)*(nASIG=B14)*(nNOTA))/D14,"—")</f>
        <v>—</v>
      </c>
      <c r="F14" s="10" t="str" cm="1">
        <f t="array" ref="F14">IFERROR(_xlfn.STDEV.P(_xlfn._xlws.FILTER(nNOTA,(nCUENTA=1)*(nASIG=B14))),"—")</f>
        <v>—</v>
      </c>
      <c r="G14" t="str" cm="1">
        <f t="array" ref="G14">IFERROR(_xlfn.MODE.SNGL(_xlfn._xlws.FILTER(nNOTA,(nCUENTA=1)*(nASIG=B14))),"—")</f>
        <v>—</v>
      </c>
      <c r="H14" s="11" t="str">
        <f>IFERROR(SUMPRODUCT((nCUENTA=1)*(nASIG=B14)*(nAPTO="S"))/D14,"—")</f>
        <v>—</v>
      </c>
      <c r="I14" s="11" t="str">
        <f>IFERROR(SUMPRODUCT((nCUENTA=1)*(nASIG=B14)*(nAPTO="N"))/D14,"—")</f>
        <v>—</v>
      </c>
      <c r="J14" t="str" cm="1">
        <f t="array" ref="J14">IFERROR(_xlfn.MODE.SNGL(_xlfn._xlws.FILTER(nNOTA,(nCUENTA=1)*(nASIG=B14)*(nAPTO="S"))),"—")</f>
        <v>—</v>
      </c>
      <c r="K14" t="str" cm="1">
        <f t="array" ref="K14">IFERROR(_xlfn.MODE.SNGL(_xlfn._xlws.FILTER(nNOTA,(nCUENTA=1)*(nASIG=B14)*(nAPTO="N"))),"—")</f>
        <v>—</v>
      </c>
      <c r="L14">
        <f>SUMPRODUCT((nCUENTA=1)*(nASIG=B14)*(nNOTA=1))</f>
        <v>0</v>
      </c>
      <c r="M14">
        <f>SUMPRODUCT((nCUENTA=1)*(nASIG=B14)*(nNOTA=2))</f>
        <v>0</v>
      </c>
      <c r="N14">
        <f>SUMPRODUCT((nCUENTA=1)*(nASIG=B14)*(nNOTA=3))</f>
        <v>0</v>
      </c>
      <c r="O14">
        <f>SUMPRODUCT((nCUENTA=1)*(nASIG=B14)*(nNOTA=4))</f>
        <v>0</v>
      </c>
      <c r="P14">
        <f>SUMPRODUCT((nCUENTA=1)*(nASIG=B14)*(nNOTA=5))</f>
        <v>0</v>
      </c>
      <c r="Q14">
        <f>SUMPRODUCT((nCUENTA=1)*(nASIG=B14)*(nNOTA=6))</f>
        <v>0</v>
      </c>
      <c r="R14">
        <f>SUMPRODUCT((nCUENTA=1)*(nASIG=B14)*(nNOTA=7))</f>
        <v>0</v>
      </c>
      <c r="S14">
        <f>SUMPRODUCT((nCUENTA=1)*(nASIG=B14)*(nNOTA=8))</f>
        <v>0</v>
      </c>
      <c r="T14">
        <f>SUMPRODUCT((nCUENTA=1)*(nASIG=B14)*(nNOTA=9))</f>
        <v>0</v>
      </c>
      <c r="U14">
        <f>SUMPRODUCT((nCUENTA=1)*(nASIG=B14)*(nNOTA=10))</f>
        <v>0</v>
      </c>
    </row>
    <row r="15">
      <c r="A15" t="inlineStr">
        <is>
          <t xml:space="preserve">GLOBAL</t>
        </is>
      </c>
      <c r="B15" cm="1">
        <f t="array" ref="B15">IFERROR(INDEX(_xlfn._xlws.FILTER(CONFIG_ASIGNATURAS!$B$2:$B$91,CONFIG_ASIGNATURAS!$G$2:$G$91="Sí"),10),"")</f>
      </c>
      <c r="C15">
        <f>IF(B15="","",IFERROR(VLOOKUP(B15,CONFIG_ASIGNATURAS!$B$2:$D$91,3,FALSE()),"Asignatura"))</f>
      </c>
      <c r="D15">
        <f>SUMPRODUCT((nCUENTA=1)*(nASIG=B15))</f>
        <v>0</v>
      </c>
      <c r="E15" s="10" t="str">
        <f>IFERROR(SUMPRODUCT((nCUENTA=1)*(nASIG=B15)*(nNOTA))/D15,"—")</f>
        <v>—</v>
      </c>
      <c r="F15" s="10" t="str" cm="1">
        <f t="array" ref="F15">IFERROR(_xlfn.STDEV.P(_xlfn._xlws.FILTER(nNOTA,(nCUENTA=1)*(nASIG=B15))),"—")</f>
        <v>—</v>
      </c>
      <c r="G15" t="str" cm="1">
        <f t="array" ref="G15">IFERROR(_xlfn.MODE.SNGL(_xlfn._xlws.FILTER(nNOTA,(nCUENTA=1)*(nASIG=B15))),"—")</f>
        <v>—</v>
      </c>
      <c r="H15" s="11" t="str">
        <f>IFERROR(SUMPRODUCT((nCUENTA=1)*(nASIG=B15)*(nAPTO="S"))/D15,"—")</f>
        <v>—</v>
      </c>
      <c r="I15" s="11" t="str">
        <f>IFERROR(SUMPRODUCT((nCUENTA=1)*(nASIG=B15)*(nAPTO="N"))/D15,"—")</f>
        <v>—</v>
      </c>
      <c r="J15" t="str" cm="1">
        <f t="array" ref="J15">IFERROR(_xlfn.MODE.SNGL(_xlfn._xlws.FILTER(nNOTA,(nCUENTA=1)*(nASIG=B15)*(nAPTO="S"))),"—")</f>
        <v>—</v>
      </c>
      <c r="K15" t="str" cm="1">
        <f t="array" ref="K15">IFERROR(_xlfn.MODE.SNGL(_xlfn._xlws.FILTER(nNOTA,(nCUENTA=1)*(nASIG=B15)*(nAPTO="N"))),"—")</f>
        <v>—</v>
      </c>
      <c r="L15">
        <f>SUMPRODUCT((nCUENTA=1)*(nASIG=B15)*(nNOTA=1))</f>
        <v>0</v>
      </c>
      <c r="M15">
        <f>SUMPRODUCT((nCUENTA=1)*(nASIG=B15)*(nNOTA=2))</f>
        <v>0</v>
      </c>
      <c r="N15">
        <f>SUMPRODUCT((nCUENTA=1)*(nASIG=B15)*(nNOTA=3))</f>
        <v>0</v>
      </c>
      <c r="O15">
        <f>SUMPRODUCT((nCUENTA=1)*(nASIG=B15)*(nNOTA=4))</f>
        <v>0</v>
      </c>
      <c r="P15">
        <f>SUMPRODUCT((nCUENTA=1)*(nASIG=B15)*(nNOTA=5))</f>
        <v>0</v>
      </c>
      <c r="Q15">
        <f>SUMPRODUCT((nCUENTA=1)*(nASIG=B15)*(nNOTA=6))</f>
        <v>0</v>
      </c>
      <c r="R15">
        <f>SUMPRODUCT((nCUENTA=1)*(nASIG=B15)*(nNOTA=7))</f>
        <v>0</v>
      </c>
      <c r="S15">
        <f>SUMPRODUCT((nCUENTA=1)*(nASIG=B15)*(nNOTA=8))</f>
        <v>0</v>
      </c>
      <c r="T15">
        <f>SUMPRODUCT((nCUENTA=1)*(nASIG=B15)*(nNOTA=9))</f>
        <v>0</v>
      </c>
      <c r="U15">
        <f>SUMPRODUCT((nCUENTA=1)*(nASIG=B15)*(nNOTA=10))</f>
        <v>0</v>
      </c>
    </row>
    <row r="16">
      <c r="A16" t="inlineStr">
        <is>
          <t xml:space="preserve">GLOBAL</t>
        </is>
      </c>
      <c r="B16" cm="1">
        <f t="array" ref="B16">IFERROR(INDEX(_xlfn._xlws.FILTER(CONFIG_ASIGNATURAS!$B$2:$B$91,CONFIG_ASIGNATURAS!$G$2:$G$91="Sí"),11),"")</f>
      </c>
      <c r="C16">
        <f>IF(B16="","",IFERROR(VLOOKUP(B16,CONFIG_ASIGNATURAS!$B$2:$D$91,3,FALSE()),"Asignatura"))</f>
      </c>
      <c r="D16">
        <f>SUMPRODUCT((nCUENTA=1)*(nASIG=B16))</f>
        <v>0</v>
      </c>
      <c r="E16" s="10" t="str">
        <f>IFERROR(SUMPRODUCT((nCUENTA=1)*(nASIG=B16)*(nNOTA))/D16,"—")</f>
        <v>—</v>
      </c>
      <c r="F16" s="10" t="str" cm="1">
        <f t="array" ref="F16">IFERROR(_xlfn.STDEV.P(_xlfn._xlws.FILTER(nNOTA,(nCUENTA=1)*(nASIG=B16))),"—")</f>
        <v>—</v>
      </c>
      <c r="G16" t="str" cm="1">
        <f t="array" ref="G16">IFERROR(_xlfn.MODE.SNGL(_xlfn._xlws.FILTER(nNOTA,(nCUENTA=1)*(nASIG=B16))),"—")</f>
        <v>—</v>
      </c>
      <c r="H16" s="11" t="str">
        <f>IFERROR(SUMPRODUCT((nCUENTA=1)*(nASIG=B16)*(nAPTO="S"))/D16,"—")</f>
        <v>—</v>
      </c>
      <c r="I16" s="11" t="str">
        <f>IFERROR(SUMPRODUCT((nCUENTA=1)*(nASIG=B16)*(nAPTO="N"))/D16,"—")</f>
        <v>—</v>
      </c>
      <c r="J16" t="str" cm="1">
        <f t="array" ref="J16">IFERROR(_xlfn.MODE.SNGL(_xlfn._xlws.FILTER(nNOTA,(nCUENTA=1)*(nASIG=B16)*(nAPTO="S"))),"—")</f>
        <v>—</v>
      </c>
      <c r="K16" t="str" cm="1">
        <f t="array" ref="K16">IFERROR(_xlfn.MODE.SNGL(_xlfn._xlws.FILTER(nNOTA,(nCUENTA=1)*(nASIG=B16)*(nAPTO="N"))),"—")</f>
        <v>—</v>
      </c>
      <c r="L16">
        <f>SUMPRODUCT((nCUENTA=1)*(nASIG=B16)*(nNOTA=1))</f>
        <v>0</v>
      </c>
      <c r="M16">
        <f>SUMPRODUCT((nCUENTA=1)*(nASIG=B16)*(nNOTA=2))</f>
        <v>0</v>
      </c>
      <c r="N16">
        <f>SUMPRODUCT((nCUENTA=1)*(nASIG=B16)*(nNOTA=3))</f>
        <v>0</v>
      </c>
      <c r="O16">
        <f>SUMPRODUCT((nCUENTA=1)*(nASIG=B16)*(nNOTA=4))</f>
        <v>0</v>
      </c>
      <c r="P16">
        <f>SUMPRODUCT((nCUENTA=1)*(nASIG=B16)*(nNOTA=5))</f>
        <v>0</v>
      </c>
      <c r="Q16">
        <f>SUMPRODUCT((nCUENTA=1)*(nASIG=B16)*(nNOTA=6))</f>
        <v>0</v>
      </c>
      <c r="R16">
        <f>SUMPRODUCT((nCUENTA=1)*(nASIG=B16)*(nNOTA=7))</f>
        <v>0</v>
      </c>
      <c r="S16">
        <f>SUMPRODUCT((nCUENTA=1)*(nASIG=B16)*(nNOTA=8))</f>
        <v>0</v>
      </c>
      <c r="T16">
        <f>SUMPRODUCT((nCUENTA=1)*(nASIG=B16)*(nNOTA=9))</f>
        <v>0</v>
      </c>
      <c r="U16">
        <f>SUMPRODUCT((nCUENTA=1)*(nASIG=B16)*(nNOTA=10))</f>
        <v>0</v>
      </c>
    </row>
    <row r="17">
      <c r="A17" t="inlineStr">
        <is>
          <t xml:space="preserve">GLOBAL</t>
        </is>
      </c>
      <c r="B17" cm="1">
        <f t="array" ref="B17">IFERROR(INDEX(_xlfn._xlws.FILTER(CONFIG_ASIGNATURAS!$B$2:$B$91,CONFIG_ASIGNATURAS!$G$2:$G$91="Sí"),12),"")</f>
      </c>
      <c r="C17">
        <f>IF(B17="","",IFERROR(VLOOKUP(B17,CONFIG_ASIGNATURAS!$B$2:$D$91,3,FALSE()),"Asignatura"))</f>
      </c>
      <c r="D17">
        <f>SUMPRODUCT((nCUENTA=1)*(nASIG=B17))</f>
        <v>0</v>
      </c>
      <c r="E17" s="10" t="str">
        <f>IFERROR(SUMPRODUCT((nCUENTA=1)*(nASIG=B17)*(nNOTA))/D17,"—")</f>
        <v>—</v>
      </c>
      <c r="F17" s="10" t="str" cm="1">
        <f t="array" ref="F17">IFERROR(_xlfn.STDEV.P(_xlfn._xlws.FILTER(nNOTA,(nCUENTA=1)*(nASIG=B17))),"—")</f>
        <v>—</v>
      </c>
      <c r="G17" t="str" cm="1">
        <f t="array" ref="G17">IFERROR(_xlfn.MODE.SNGL(_xlfn._xlws.FILTER(nNOTA,(nCUENTA=1)*(nASIG=B17))),"—")</f>
        <v>—</v>
      </c>
      <c r="H17" s="11" t="str">
        <f>IFERROR(SUMPRODUCT((nCUENTA=1)*(nASIG=B17)*(nAPTO="S"))/D17,"—")</f>
        <v>—</v>
      </c>
      <c r="I17" s="11" t="str">
        <f>IFERROR(SUMPRODUCT((nCUENTA=1)*(nASIG=B17)*(nAPTO="N"))/D17,"—")</f>
        <v>—</v>
      </c>
      <c r="J17" t="str" cm="1">
        <f t="array" ref="J17">IFERROR(_xlfn.MODE.SNGL(_xlfn._xlws.FILTER(nNOTA,(nCUENTA=1)*(nASIG=B17)*(nAPTO="S"))),"—")</f>
        <v>—</v>
      </c>
      <c r="K17" t="str" cm="1">
        <f t="array" ref="K17">IFERROR(_xlfn.MODE.SNGL(_xlfn._xlws.FILTER(nNOTA,(nCUENTA=1)*(nASIG=B17)*(nAPTO="N"))),"—")</f>
        <v>—</v>
      </c>
      <c r="L17">
        <f>SUMPRODUCT((nCUENTA=1)*(nASIG=B17)*(nNOTA=1))</f>
        <v>0</v>
      </c>
      <c r="M17">
        <f>SUMPRODUCT((nCUENTA=1)*(nASIG=B17)*(nNOTA=2))</f>
        <v>0</v>
      </c>
      <c r="N17">
        <f>SUMPRODUCT((nCUENTA=1)*(nASIG=B17)*(nNOTA=3))</f>
        <v>0</v>
      </c>
      <c r="O17">
        <f>SUMPRODUCT((nCUENTA=1)*(nASIG=B17)*(nNOTA=4))</f>
        <v>0</v>
      </c>
      <c r="P17">
        <f>SUMPRODUCT((nCUENTA=1)*(nASIG=B17)*(nNOTA=5))</f>
        <v>0</v>
      </c>
      <c r="Q17">
        <f>SUMPRODUCT((nCUENTA=1)*(nASIG=B17)*(nNOTA=6))</f>
        <v>0</v>
      </c>
      <c r="R17">
        <f>SUMPRODUCT((nCUENTA=1)*(nASIG=B17)*(nNOTA=7))</f>
        <v>0</v>
      </c>
      <c r="S17">
        <f>SUMPRODUCT((nCUENTA=1)*(nASIG=B17)*(nNOTA=8))</f>
        <v>0</v>
      </c>
      <c r="T17">
        <f>SUMPRODUCT((nCUENTA=1)*(nASIG=B17)*(nNOTA=9))</f>
        <v>0</v>
      </c>
      <c r="U17">
        <f>SUMPRODUCT((nCUENTA=1)*(nASIG=B17)*(nNOTA=10))</f>
        <v>0</v>
      </c>
    </row>
    <row r="18">
      <c r="A18" t="inlineStr">
        <is>
          <t xml:space="preserve">GLOBAL</t>
        </is>
      </c>
      <c r="B18" cm="1">
        <f t="array" ref="B18">IFERROR(INDEX(_xlfn._xlws.FILTER(CONFIG_ASIGNATURAS!$B$2:$B$91,CONFIG_ASIGNATURAS!$G$2:$G$91="Sí"),13),"")</f>
      </c>
      <c r="C18">
        <f>IF(B18="","",IFERROR(VLOOKUP(B18,CONFIG_ASIGNATURAS!$B$2:$D$91,3,FALSE()),"Asignatura"))</f>
      </c>
      <c r="D18">
        <f>SUMPRODUCT((nCUENTA=1)*(nASIG=B18))</f>
        <v>0</v>
      </c>
      <c r="E18" s="10" t="str">
        <f>IFERROR(SUMPRODUCT((nCUENTA=1)*(nASIG=B18)*(nNOTA))/D18,"—")</f>
        <v>—</v>
      </c>
      <c r="F18" s="10" t="str" cm="1">
        <f t="array" ref="F18">IFERROR(_xlfn.STDEV.P(_xlfn._xlws.FILTER(nNOTA,(nCUENTA=1)*(nASIG=B18))),"—")</f>
        <v>—</v>
      </c>
      <c r="G18" t="str" cm="1">
        <f t="array" ref="G18">IFERROR(_xlfn.MODE.SNGL(_xlfn._xlws.FILTER(nNOTA,(nCUENTA=1)*(nASIG=B18))),"—")</f>
        <v>—</v>
      </c>
      <c r="H18" s="11" t="str">
        <f>IFERROR(SUMPRODUCT((nCUENTA=1)*(nASIG=B18)*(nAPTO="S"))/D18,"—")</f>
        <v>—</v>
      </c>
      <c r="I18" s="11" t="str">
        <f>IFERROR(SUMPRODUCT((nCUENTA=1)*(nASIG=B18)*(nAPTO="N"))/D18,"—")</f>
        <v>—</v>
      </c>
      <c r="J18" t="str" cm="1">
        <f t="array" ref="J18">IFERROR(_xlfn.MODE.SNGL(_xlfn._xlws.FILTER(nNOTA,(nCUENTA=1)*(nASIG=B18)*(nAPTO="S"))),"—")</f>
        <v>—</v>
      </c>
      <c r="K18" t="str" cm="1">
        <f t="array" ref="K18">IFERROR(_xlfn.MODE.SNGL(_xlfn._xlws.FILTER(nNOTA,(nCUENTA=1)*(nASIG=B18)*(nAPTO="N"))),"—")</f>
        <v>—</v>
      </c>
      <c r="L18">
        <f>SUMPRODUCT((nCUENTA=1)*(nASIG=B18)*(nNOTA=1))</f>
        <v>0</v>
      </c>
      <c r="M18">
        <f>SUMPRODUCT((nCUENTA=1)*(nASIG=B18)*(nNOTA=2))</f>
        <v>0</v>
      </c>
      <c r="N18">
        <f>SUMPRODUCT((nCUENTA=1)*(nASIG=B18)*(nNOTA=3))</f>
        <v>0</v>
      </c>
      <c r="O18">
        <f>SUMPRODUCT((nCUENTA=1)*(nASIG=B18)*(nNOTA=4))</f>
        <v>0</v>
      </c>
      <c r="P18">
        <f>SUMPRODUCT((nCUENTA=1)*(nASIG=B18)*(nNOTA=5))</f>
        <v>0</v>
      </c>
      <c r="Q18">
        <f>SUMPRODUCT((nCUENTA=1)*(nASIG=B18)*(nNOTA=6))</f>
        <v>0</v>
      </c>
      <c r="R18">
        <f>SUMPRODUCT((nCUENTA=1)*(nASIG=B18)*(nNOTA=7))</f>
        <v>0</v>
      </c>
      <c r="S18">
        <f>SUMPRODUCT((nCUENTA=1)*(nASIG=B18)*(nNOTA=8))</f>
        <v>0</v>
      </c>
      <c r="T18">
        <f>SUMPRODUCT((nCUENTA=1)*(nASIG=B18)*(nNOTA=9))</f>
        <v>0</v>
      </c>
      <c r="U18">
        <f>SUMPRODUCT((nCUENTA=1)*(nASIG=B18)*(nNOTA=10))</f>
        <v>0</v>
      </c>
    </row>
    <row r="19">
      <c r="A19" t="inlineStr">
        <is>
          <t xml:space="preserve">GLOBAL</t>
        </is>
      </c>
      <c r="B19" cm="1">
        <f t="array" ref="B19">IFERROR(INDEX(_xlfn._xlws.FILTER(CONFIG_ASIGNATURAS!$B$2:$B$91,CONFIG_ASIGNATURAS!$G$2:$G$91="Sí"),14),"")</f>
      </c>
      <c r="C19">
        <f>IF(B19="","",IFERROR(VLOOKUP(B19,CONFIG_ASIGNATURAS!$B$2:$D$91,3,FALSE()),"Asignatura"))</f>
      </c>
      <c r="D19">
        <f>SUMPRODUCT((nCUENTA=1)*(nASIG=B19))</f>
        <v>0</v>
      </c>
      <c r="E19" s="10" t="str">
        <f>IFERROR(SUMPRODUCT((nCUENTA=1)*(nASIG=B19)*(nNOTA))/D19,"—")</f>
        <v>—</v>
      </c>
      <c r="F19" s="10" t="str" cm="1">
        <f t="array" ref="F19">IFERROR(_xlfn.STDEV.P(_xlfn._xlws.FILTER(nNOTA,(nCUENTA=1)*(nASIG=B19))),"—")</f>
        <v>—</v>
      </c>
      <c r="G19" t="str" cm="1">
        <f t="array" ref="G19">IFERROR(_xlfn.MODE.SNGL(_xlfn._xlws.FILTER(nNOTA,(nCUENTA=1)*(nASIG=B19))),"—")</f>
        <v>—</v>
      </c>
      <c r="H19" s="11" t="str">
        <f>IFERROR(SUMPRODUCT((nCUENTA=1)*(nASIG=B19)*(nAPTO="S"))/D19,"—")</f>
        <v>—</v>
      </c>
      <c r="I19" s="11" t="str">
        <f>IFERROR(SUMPRODUCT((nCUENTA=1)*(nASIG=B19)*(nAPTO="N"))/D19,"—")</f>
        <v>—</v>
      </c>
      <c r="J19" t="str" cm="1">
        <f t="array" ref="J19">IFERROR(_xlfn.MODE.SNGL(_xlfn._xlws.FILTER(nNOTA,(nCUENTA=1)*(nASIG=B19)*(nAPTO="S"))),"—")</f>
        <v>—</v>
      </c>
      <c r="K19" t="str" cm="1">
        <f t="array" ref="K19">IFERROR(_xlfn.MODE.SNGL(_xlfn._xlws.FILTER(nNOTA,(nCUENTA=1)*(nASIG=B19)*(nAPTO="N"))),"—")</f>
        <v>—</v>
      </c>
      <c r="L19">
        <f>SUMPRODUCT((nCUENTA=1)*(nASIG=B19)*(nNOTA=1))</f>
        <v>0</v>
      </c>
      <c r="M19">
        <f>SUMPRODUCT((nCUENTA=1)*(nASIG=B19)*(nNOTA=2))</f>
        <v>0</v>
      </c>
      <c r="N19">
        <f>SUMPRODUCT((nCUENTA=1)*(nASIG=B19)*(nNOTA=3))</f>
        <v>0</v>
      </c>
      <c r="O19">
        <f>SUMPRODUCT((nCUENTA=1)*(nASIG=B19)*(nNOTA=4))</f>
        <v>0</v>
      </c>
      <c r="P19">
        <f>SUMPRODUCT((nCUENTA=1)*(nASIG=B19)*(nNOTA=5))</f>
        <v>0</v>
      </c>
      <c r="Q19">
        <f>SUMPRODUCT((nCUENTA=1)*(nASIG=B19)*(nNOTA=6))</f>
        <v>0</v>
      </c>
      <c r="R19">
        <f>SUMPRODUCT((nCUENTA=1)*(nASIG=B19)*(nNOTA=7))</f>
        <v>0</v>
      </c>
      <c r="S19">
        <f>SUMPRODUCT((nCUENTA=1)*(nASIG=B19)*(nNOTA=8))</f>
        <v>0</v>
      </c>
      <c r="T19">
        <f>SUMPRODUCT((nCUENTA=1)*(nASIG=B19)*(nNOTA=9))</f>
        <v>0</v>
      </c>
      <c r="U19">
        <f>SUMPRODUCT((nCUENTA=1)*(nASIG=B19)*(nNOTA=10))</f>
        <v>0</v>
      </c>
    </row>
    <row r="20">
      <c r="A20" t="inlineStr">
        <is>
          <t xml:space="preserve">GLOBAL</t>
        </is>
      </c>
      <c r="B20" cm="1">
        <f t="array" ref="B20">IFERROR(INDEX(_xlfn._xlws.FILTER(CONFIG_ASIGNATURAS!$B$2:$B$91,CONFIG_ASIGNATURAS!$G$2:$G$91="Sí"),15),"")</f>
      </c>
      <c r="C20">
        <f>IF(B20="","",IFERROR(VLOOKUP(B20,CONFIG_ASIGNATURAS!$B$2:$D$91,3,FALSE()),"Asignatura"))</f>
      </c>
      <c r="D20">
        <f>SUMPRODUCT((nCUENTA=1)*(nASIG=B20))</f>
        <v>0</v>
      </c>
      <c r="E20" s="10" t="str">
        <f>IFERROR(SUMPRODUCT((nCUENTA=1)*(nASIG=B20)*(nNOTA))/D20,"—")</f>
        <v>—</v>
      </c>
      <c r="F20" s="10" t="str" cm="1">
        <f t="array" ref="F20">IFERROR(_xlfn.STDEV.P(_xlfn._xlws.FILTER(nNOTA,(nCUENTA=1)*(nASIG=B20))),"—")</f>
        <v>—</v>
      </c>
      <c r="G20" t="str" cm="1">
        <f t="array" ref="G20">IFERROR(_xlfn.MODE.SNGL(_xlfn._xlws.FILTER(nNOTA,(nCUENTA=1)*(nASIG=B20))),"—")</f>
        <v>—</v>
      </c>
      <c r="H20" s="11" t="str">
        <f>IFERROR(SUMPRODUCT((nCUENTA=1)*(nASIG=B20)*(nAPTO="S"))/D20,"—")</f>
        <v>—</v>
      </c>
      <c r="I20" s="11" t="str">
        <f>IFERROR(SUMPRODUCT((nCUENTA=1)*(nASIG=B20)*(nAPTO="N"))/D20,"—")</f>
        <v>—</v>
      </c>
      <c r="J20" t="str" cm="1">
        <f t="array" ref="J20">IFERROR(_xlfn.MODE.SNGL(_xlfn._xlws.FILTER(nNOTA,(nCUENTA=1)*(nASIG=B20)*(nAPTO="S"))),"—")</f>
        <v>—</v>
      </c>
      <c r="K20" t="str" cm="1">
        <f t="array" ref="K20">IFERROR(_xlfn.MODE.SNGL(_xlfn._xlws.FILTER(nNOTA,(nCUENTA=1)*(nASIG=B20)*(nAPTO="N"))),"—")</f>
        <v>—</v>
      </c>
      <c r="L20">
        <f>SUMPRODUCT((nCUENTA=1)*(nASIG=B20)*(nNOTA=1))</f>
        <v>0</v>
      </c>
      <c r="M20">
        <f>SUMPRODUCT((nCUENTA=1)*(nASIG=B20)*(nNOTA=2))</f>
        <v>0</v>
      </c>
      <c r="N20">
        <f>SUMPRODUCT((nCUENTA=1)*(nASIG=B20)*(nNOTA=3))</f>
        <v>0</v>
      </c>
      <c r="O20">
        <f>SUMPRODUCT((nCUENTA=1)*(nASIG=B20)*(nNOTA=4))</f>
        <v>0</v>
      </c>
      <c r="P20">
        <f>SUMPRODUCT((nCUENTA=1)*(nASIG=B20)*(nNOTA=5))</f>
        <v>0</v>
      </c>
      <c r="Q20">
        <f>SUMPRODUCT((nCUENTA=1)*(nASIG=B20)*(nNOTA=6))</f>
        <v>0</v>
      </c>
      <c r="R20">
        <f>SUMPRODUCT((nCUENTA=1)*(nASIG=B20)*(nNOTA=7))</f>
        <v>0</v>
      </c>
      <c r="S20">
        <f>SUMPRODUCT((nCUENTA=1)*(nASIG=B20)*(nNOTA=8))</f>
        <v>0</v>
      </c>
      <c r="T20">
        <f>SUMPRODUCT((nCUENTA=1)*(nASIG=B20)*(nNOTA=9))</f>
        <v>0</v>
      </c>
      <c r="U20">
        <f>SUMPRODUCT((nCUENTA=1)*(nASIG=B20)*(nNOTA=10))</f>
        <v>0</v>
      </c>
    </row>
    <row r="21">
      <c r="A21" t="inlineStr">
        <is>
          <t xml:space="preserve">GLOBAL</t>
        </is>
      </c>
      <c r="B21" cm="1">
        <f t="array" ref="B21">IFERROR(INDEX(_xlfn._xlws.FILTER(CONFIG_ASIGNATURAS!$B$2:$B$91,CONFIG_ASIGNATURAS!$G$2:$G$91="Sí"),16),"")</f>
      </c>
      <c r="C21">
        <f>IF(B21="","",IFERROR(VLOOKUP(B21,CONFIG_ASIGNATURAS!$B$2:$D$91,3,FALSE()),"Asignatura"))</f>
      </c>
      <c r="D21">
        <f>SUMPRODUCT((nCUENTA=1)*(nASIG=B21))</f>
        <v>0</v>
      </c>
      <c r="E21" s="10" t="str">
        <f>IFERROR(SUMPRODUCT((nCUENTA=1)*(nASIG=B21)*(nNOTA))/D21,"—")</f>
        <v>—</v>
      </c>
      <c r="F21" s="10" t="str" cm="1">
        <f t="array" ref="F21">IFERROR(_xlfn.STDEV.P(_xlfn._xlws.FILTER(nNOTA,(nCUENTA=1)*(nASIG=B21))),"—")</f>
        <v>—</v>
      </c>
      <c r="G21" t="str" cm="1">
        <f t="array" ref="G21">IFERROR(_xlfn.MODE.SNGL(_xlfn._xlws.FILTER(nNOTA,(nCUENTA=1)*(nASIG=B21))),"—")</f>
        <v>—</v>
      </c>
      <c r="H21" s="11" t="str">
        <f>IFERROR(SUMPRODUCT((nCUENTA=1)*(nASIG=B21)*(nAPTO="S"))/D21,"—")</f>
        <v>—</v>
      </c>
      <c r="I21" s="11" t="str">
        <f>IFERROR(SUMPRODUCT((nCUENTA=1)*(nASIG=B21)*(nAPTO="N"))/D21,"—")</f>
        <v>—</v>
      </c>
      <c r="J21" t="str" cm="1">
        <f t="array" ref="J21">IFERROR(_xlfn.MODE.SNGL(_xlfn._xlws.FILTER(nNOTA,(nCUENTA=1)*(nASIG=B21)*(nAPTO="S"))),"—")</f>
        <v>—</v>
      </c>
      <c r="K21" t="str" cm="1">
        <f t="array" ref="K21">IFERROR(_xlfn.MODE.SNGL(_xlfn._xlws.FILTER(nNOTA,(nCUENTA=1)*(nASIG=B21)*(nAPTO="N"))),"—")</f>
        <v>—</v>
      </c>
      <c r="L21">
        <f>SUMPRODUCT((nCUENTA=1)*(nASIG=B21)*(nNOTA=1))</f>
        <v>0</v>
      </c>
      <c r="M21">
        <f>SUMPRODUCT((nCUENTA=1)*(nASIG=B21)*(nNOTA=2))</f>
        <v>0</v>
      </c>
      <c r="N21">
        <f>SUMPRODUCT((nCUENTA=1)*(nASIG=B21)*(nNOTA=3))</f>
        <v>0</v>
      </c>
      <c r="O21">
        <f>SUMPRODUCT((nCUENTA=1)*(nASIG=B21)*(nNOTA=4))</f>
        <v>0</v>
      </c>
      <c r="P21">
        <f>SUMPRODUCT((nCUENTA=1)*(nASIG=B21)*(nNOTA=5))</f>
        <v>0</v>
      </c>
      <c r="Q21">
        <f>SUMPRODUCT((nCUENTA=1)*(nASIG=B21)*(nNOTA=6))</f>
        <v>0</v>
      </c>
      <c r="R21">
        <f>SUMPRODUCT((nCUENTA=1)*(nASIG=B21)*(nNOTA=7))</f>
        <v>0</v>
      </c>
      <c r="S21">
        <f>SUMPRODUCT((nCUENTA=1)*(nASIG=B21)*(nNOTA=8))</f>
        <v>0</v>
      </c>
      <c r="T21">
        <f>SUMPRODUCT((nCUENTA=1)*(nASIG=B21)*(nNOTA=9))</f>
        <v>0</v>
      </c>
      <c r="U21">
        <f>SUMPRODUCT((nCUENTA=1)*(nASIG=B21)*(nNOTA=10))</f>
        <v>0</v>
      </c>
    </row>
    <row r="22">
      <c r="A22" t="inlineStr">
        <is>
          <t xml:space="preserve">GLOBAL</t>
        </is>
      </c>
      <c r="B22" cm="1">
        <f t="array" ref="B22">IFERROR(INDEX(_xlfn._xlws.FILTER(CONFIG_ASIGNATURAS!$B$2:$B$91,CONFIG_ASIGNATURAS!$G$2:$G$91="Sí"),17),"")</f>
      </c>
      <c r="C22">
        <f>IF(B22="","",IFERROR(VLOOKUP(B22,CONFIG_ASIGNATURAS!$B$2:$D$91,3,FALSE()),"Asignatura"))</f>
      </c>
      <c r="D22">
        <f>SUMPRODUCT((nCUENTA=1)*(nASIG=B22))</f>
        <v>0</v>
      </c>
      <c r="E22" s="10" t="str">
        <f>IFERROR(SUMPRODUCT((nCUENTA=1)*(nASIG=B22)*(nNOTA))/D22,"—")</f>
        <v>—</v>
      </c>
      <c r="F22" s="10" t="str" cm="1">
        <f t="array" ref="F22">IFERROR(_xlfn.STDEV.P(_xlfn._xlws.FILTER(nNOTA,(nCUENTA=1)*(nASIG=B22))),"—")</f>
        <v>—</v>
      </c>
      <c r="G22" t="str" cm="1">
        <f t="array" ref="G22">IFERROR(_xlfn.MODE.SNGL(_xlfn._xlws.FILTER(nNOTA,(nCUENTA=1)*(nASIG=B22))),"—")</f>
        <v>—</v>
      </c>
      <c r="H22" s="11" t="str">
        <f>IFERROR(SUMPRODUCT((nCUENTA=1)*(nASIG=B22)*(nAPTO="S"))/D22,"—")</f>
        <v>—</v>
      </c>
      <c r="I22" s="11" t="str">
        <f>IFERROR(SUMPRODUCT((nCUENTA=1)*(nASIG=B22)*(nAPTO="N"))/D22,"—")</f>
        <v>—</v>
      </c>
      <c r="J22" t="str" cm="1">
        <f t="array" ref="J22">IFERROR(_xlfn.MODE.SNGL(_xlfn._xlws.FILTER(nNOTA,(nCUENTA=1)*(nASIG=B22)*(nAPTO="S"))),"—")</f>
        <v>—</v>
      </c>
      <c r="K22" t="str" cm="1">
        <f t="array" ref="K22">IFERROR(_xlfn.MODE.SNGL(_xlfn._xlws.FILTER(nNOTA,(nCUENTA=1)*(nASIG=B22)*(nAPTO="N"))),"—")</f>
        <v>—</v>
      </c>
      <c r="L22">
        <f>SUMPRODUCT((nCUENTA=1)*(nASIG=B22)*(nNOTA=1))</f>
        <v>0</v>
      </c>
      <c r="M22">
        <f>SUMPRODUCT((nCUENTA=1)*(nASIG=B22)*(nNOTA=2))</f>
        <v>0</v>
      </c>
      <c r="N22">
        <f>SUMPRODUCT((nCUENTA=1)*(nASIG=B22)*(nNOTA=3))</f>
        <v>0</v>
      </c>
      <c r="O22">
        <f>SUMPRODUCT((nCUENTA=1)*(nASIG=B22)*(nNOTA=4))</f>
        <v>0</v>
      </c>
      <c r="P22">
        <f>SUMPRODUCT((nCUENTA=1)*(nASIG=B22)*(nNOTA=5))</f>
        <v>0</v>
      </c>
      <c r="Q22">
        <f>SUMPRODUCT((nCUENTA=1)*(nASIG=B22)*(nNOTA=6))</f>
        <v>0</v>
      </c>
      <c r="R22">
        <f>SUMPRODUCT((nCUENTA=1)*(nASIG=B22)*(nNOTA=7))</f>
        <v>0</v>
      </c>
      <c r="S22">
        <f>SUMPRODUCT((nCUENTA=1)*(nASIG=B22)*(nNOTA=8))</f>
        <v>0</v>
      </c>
      <c r="T22">
        <f>SUMPRODUCT((nCUENTA=1)*(nASIG=B22)*(nNOTA=9))</f>
        <v>0</v>
      </c>
      <c r="U22">
        <f>SUMPRODUCT((nCUENTA=1)*(nASIG=B22)*(nNOTA=10))</f>
        <v>0</v>
      </c>
    </row>
    <row r="23">
      <c r="A23" t="inlineStr">
        <is>
          <t xml:space="preserve">GLOBAL</t>
        </is>
      </c>
      <c r="B23" cm="1">
        <f t="array" ref="B23">IFERROR(INDEX(_xlfn._xlws.FILTER(CONFIG_ASIGNATURAS!$B$2:$B$91,CONFIG_ASIGNATURAS!$G$2:$G$91="Sí"),18),"")</f>
      </c>
      <c r="C23">
        <f>IF(B23="","",IFERROR(VLOOKUP(B23,CONFIG_ASIGNATURAS!$B$2:$D$91,3,FALSE()),"Asignatura"))</f>
      </c>
      <c r="D23">
        <f>SUMPRODUCT((nCUENTA=1)*(nASIG=B23))</f>
        <v>0</v>
      </c>
      <c r="E23" s="10" t="str">
        <f>IFERROR(SUMPRODUCT((nCUENTA=1)*(nASIG=B23)*(nNOTA))/D23,"—")</f>
        <v>—</v>
      </c>
      <c r="F23" s="10" t="str" cm="1">
        <f t="array" ref="F23">IFERROR(_xlfn.STDEV.P(_xlfn._xlws.FILTER(nNOTA,(nCUENTA=1)*(nASIG=B23))),"—")</f>
        <v>—</v>
      </c>
      <c r="G23" t="str" cm="1">
        <f t="array" ref="G23">IFERROR(_xlfn.MODE.SNGL(_xlfn._xlws.FILTER(nNOTA,(nCUENTA=1)*(nASIG=B23))),"—")</f>
        <v>—</v>
      </c>
      <c r="H23" s="11" t="str">
        <f>IFERROR(SUMPRODUCT((nCUENTA=1)*(nASIG=B23)*(nAPTO="S"))/D23,"—")</f>
        <v>—</v>
      </c>
      <c r="I23" s="11" t="str">
        <f>IFERROR(SUMPRODUCT((nCUENTA=1)*(nASIG=B23)*(nAPTO="N"))/D23,"—")</f>
        <v>—</v>
      </c>
      <c r="J23" t="str" cm="1">
        <f t="array" ref="J23">IFERROR(_xlfn.MODE.SNGL(_xlfn._xlws.FILTER(nNOTA,(nCUENTA=1)*(nASIG=B23)*(nAPTO="S"))),"—")</f>
        <v>—</v>
      </c>
      <c r="K23" t="str" cm="1">
        <f t="array" ref="K23">IFERROR(_xlfn.MODE.SNGL(_xlfn._xlws.FILTER(nNOTA,(nCUENTA=1)*(nASIG=B23)*(nAPTO="N"))),"—")</f>
        <v>—</v>
      </c>
      <c r="L23">
        <f>SUMPRODUCT((nCUENTA=1)*(nASIG=B23)*(nNOTA=1))</f>
        <v>0</v>
      </c>
      <c r="M23">
        <f>SUMPRODUCT((nCUENTA=1)*(nASIG=B23)*(nNOTA=2))</f>
        <v>0</v>
      </c>
      <c r="N23">
        <f>SUMPRODUCT((nCUENTA=1)*(nASIG=B23)*(nNOTA=3))</f>
        <v>0</v>
      </c>
      <c r="O23">
        <f>SUMPRODUCT((nCUENTA=1)*(nASIG=B23)*(nNOTA=4))</f>
        <v>0</v>
      </c>
      <c r="P23">
        <f>SUMPRODUCT((nCUENTA=1)*(nASIG=B23)*(nNOTA=5))</f>
        <v>0</v>
      </c>
      <c r="Q23">
        <f>SUMPRODUCT((nCUENTA=1)*(nASIG=B23)*(nNOTA=6))</f>
        <v>0</v>
      </c>
      <c r="R23">
        <f>SUMPRODUCT((nCUENTA=1)*(nASIG=B23)*(nNOTA=7))</f>
        <v>0</v>
      </c>
      <c r="S23">
        <f>SUMPRODUCT((nCUENTA=1)*(nASIG=B23)*(nNOTA=8))</f>
        <v>0</v>
      </c>
      <c r="T23">
        <f>SUMPRODUCT((nCUENTA=1)*(nASIG=B23)*(nNOTA=9))</f>
        <v>0</v>
      </c>
      <c r="U23">
        <f>SUMPRODUCT((nCUENTA=1)*(nASIG=B23)*(nNOTA=10))</f>
        <v>0</v>
      </c>
    </row>
    <row r="24">
      <c r="A24" t="inlineStr">
        <is>
          <t xml:space="preserve">GLOBAL</t>
        </is>
      </c>
      <c r="B24" cm="1">
        <f t="array" ref="B24">IFERROR(INDEX(_xlfn._xlws.FILTER(CONFIG_ASIGNATURAS!$B$2:$B$91,CONFIG_ASIGNATURAS!$G$2:$G$91="Sí"),19),"")</f>
      </c>
      <c r="C24">
        <f>IF(B24="","",IFERROR(VLOOKUP(B24,CONFIG_ASIGNATURAS!$B$2:$D$91,3,FALSE()),"Asignatura"))</f>
      </c>
      <c r="D24">
        <f>SUMPRODUCT((nCUENTA=1)*(nASIG=B24))</f>
        <v>0</v>
      </c>
      <c r="E24" s="10" t="str">
        <f>IFERROR(SUMPRODUCT((nCUENTA=1)*(nASIG=B24)*(nNOTA))/D24,"—")</f>
        <v>—</v>
      </c>
      <c r="F24" s="10" t="str" cm="1">
        <f t="array" ref="F24">IFERROR(_xlfn.STDEV.P(_xlfn._xlws.FILTER(nNOTA,(nCUENTA=1)*(nASIG=B24))),"—")</f>
        <v>—</v>
      </c>
      <c r="G24" t="str" cm="1">
        <f t="array" ref="G24">IFERROR(_xlfn.MODE.SNGL(_xlfn._xlws.FILTER(nNOTA,(nCUENTA=1)*(nASIG=B24))),"—")</f>
        <v>—</v>
      </c>
      <c r="H24" s="11" t="str">
        <f>IFERROR(SUMPRODUCT((nCUENTA=1)*(nASIG=B24)*(nAPTO="S"))/D24,"—")</f>
        <v>—</v>
      </c>
      <c r="I24" s="11" t="str">
        <f>IFERROR(SUMPRODUCT((nCUENTA=1)*(nASIG=B24)*(nAPTO="N"))/D24,"—")</f>
        <v>—</v>
      </c>
      <c r="J24" t="str" cm="1">
        <f t="array" ref="J24">IFERROR(_xlfn.MODE.SNGL(_xlfn._xlws.FILTER(nNOTA,(nCUENTA=1)*(nASIG=B24)*(nAPTO="S"))),"—")</f>
        <v>—</v>
      </c>
      <c r="K24" t="str" cm="1">
        <f t="array" ref="K24">IFERROR(_xlfn.MODE.SNGL(_xlfn._xlws.FILTER(nNOTA,(nCUENTA=1)*(nASIG=B24)*(nAPTO="N"))),"—")</f>
        <v>—</v>
      </c>
      <c r="L24">
        <f>SUMPRODUCT((nCUENTA=1)*(nASIG=B24)*(nNOTA=1))</f>
        <v>0</v>
      </c>
      <c r="M24">
        <f>SUMPRODUCT((nCUENTA=1)*(nASIG=B24)*(nNOTA=2))</f>
        <v>0</v>
      </c>
      <c r="N24">
        <f>SUMPRODUCT((nCUENTA=1)*(nASIG=B24)*(nNOTA=3))</f>
        <v>0</v>
      </c>
      <c r="O24">
        <f>SUMPRODUCT((nCUENTA=1)*(nASIG=B24)*(nNOTA=4))</f>
        <v>0</v>
      </c>
      <c r="P24">
        <f>SUMPRODUCT((nCUENTA=1)*(nASIG=B24)*(nNOTA=5))</f>
        <v>0</v>
      </c>
      <c r="Q24">
        <f>SUMPRODUCT((nCUENTA=1)*(nASIG=B24)*(nNOTA=6))</f>
        <v>0</v>
      </c>
      <c r="R24">
        <f>SUMPRODUCT((nCUENTA=1)*(nASIG=B24)*(nNOTA=7))</f>
        <v>0</v>
      </c>
      <c r="S24">
        <f>SUMPRODUCT((nCUENTA=1)*(nASIG=B24)*(nNOTA=8))</f>
        <v>0</v>
      </c>
      <c r="T24">
        <f>SUMPRODUCT((nCUENTA=1)*(nASIG=B24)*(nNOTA=9))</f>
        <v>0</v>
      </c>
      <c r="U24">
        <f>SUMPRODUCT((nCUENTA=1)*(nASIG=B24)*(nNOTA=10))</f>
        <v>0</v>
      </c>
    </row>
    <row r="25">
      <c r="A25" t="inlineStr">
        <is>
          <t xml:space="preserve">GLOBAL</t>
        </is>
      </c>
      <c r="B25" cm="1">
        <f t="array" ref="B25">IFERROR(INDEX(_xlfn._xlws.FILTER(CONFIG_ASIGNATURAS!$B$2:$B$91,CONFIG_ASIGNATURAS!$G$2:$G$91="Sí"),20),"")</f>
      </c>
      <c r="C25">
        <f>IF(B25="","",IFERROR(VLOOKUP(B25,CONFIG_ASIGNATURAS!$B$2:$D$91,3,FALSE()),"Asignatura"))</f>
      </c>
      <c r="D25">
        <f>SUMPRODUCT((nCUENTA=1)*(nASIG=B25))</f>
        <v>0</v>
      </c>
      <c r="E25" s="10" t="str">
        <f>IFERROR(SUMPRODUCT((nCUENTA=1)*(nASIG=B25)*(nNOTA))/D25,"—")</f>
        <v>—</v>
      </c>
      <c r="F25" s="10" t="str" cm="1">
        <f t="array" ref="F25">IFERROR(_xlfn.STDEV.P(_xlfn._xlws.FILTER(nNOTA,(nCUENTA=1)*(nASIG=B25))),"—")</f>
        <v>—</v>
      </c>
      <c r="G25" t="str" cm="1">
        <f t="array" ref="G25">IFERROR(_xlfn.MODE.SNGL(_xlfn._xlws.FILTER(nNOTA,(nCUENTA=1)*(nASIG=B25))),"—")</f>
        <v>—</v>
      </c>
      <c r="H25" s="11" t="str">
        <f>IFERROR(SUMPRODUCT((nCUENTA=1)*(nASIG=B25)*(nAPTO="S"))/D25,"—")</f>
        <v>—</v>
      </c>
      <c r="I25" s="11" t="str">
        <f>IFERROR(SUMPRODUCT((nCUENTA=1)*(nASIG=B25)*(nAPTO="N"))/D25,"—")</f>
        <v>—</v>
      </c>
      <c r="J25" t="str" cm="1">
        <f t="array" ref="J25">IFERROR(_xlfn.MODE.SNGL(_xlfn._xlws.FILTER(nNOTA,(nCUENTA=1)*(nASIG=B25)*(nAPTO="S"))),"—")</f>
        <v>—</v>
      </c>
      <c r="K25" t="str" cm="1">
        <f t="array" ref="K25">IFERROR(_xlfn.MODE.SNGL(_xlfn._xlws.FILTER(nNOTA,(nCUENTA=1)*(nASIG=B25)*(nAPTO="N"))),"—")</f>
        <v>—</v>
      </c>
      <c r="L25">
        <f>SUMPRODUCT((nCUENTA=1)*(nASIG=B25)*(nNOTA=1))</f>
        <v>0</v>
      </c>
      <c r="M25">
        <f>SUMPRODUCT((nCUENTA=1)*(nASIG=B25)*(nNOTA=2))</f>
        <v>0</v>
      </c>
      <c r="N25">
        <f>SUMPRODUCT((nCUENTA=1)*(nASIG=B25)*(nNOTA=3))</f>
        <v>0</v>
      </c>
      <c r="O25">
        <f>SUMPRODUCT((nCUENTA=1)*(nASIG=B25)*(nNOTA=4))</f>
        <v>0</v>
      </c>
      <c r="P25">
        <f>SUMPRODUCT((nCUENTA=1)*(nASIG=B25)*(nNOTA=5))</f>
        <v>0</v>
      </c>
      <c r="Q25">
        <f>SUMPRODUCT((nCUENTA=1)*(nASIG=B25)*(nNOTA=6))</f>
        <v>0</v>
      </c>
      <c r="R25">
        <f>SUMPRODUCT((nCUENTA=1)*(nASIG=B25)*(nNOTA=7))</f>
        <v>0</v>
      </c>
      <c r="S25">
        <f>SUMPRODUCT((nCUENTA=1)*(nASIG=B25)*(nNOTA=8))</f>
        <v>0</v>
      </c>
      <c r="T25">
        <f>SUMPRODUCT((nCUENTA=1)*(nASIG=B25)*(nNOTA=9))</f>
        <v>0</v>
      </c>
      <c r="U25">
        <f>SUMPRODUCT((nCUENTA=1)*(nASIG=B25)*(nNOTA=10))</f>
        <v>0</v>
      </c>
    </row>
    <row r="26">
      <c r="A26" t="inlineStr">
        <is>
          <t xml:space="preserve">GLOBAL</t>
        </is>
      </c>
      <c r="B26" cm="1">
        <f t="array" ref="B26">IFERROR(INDEX(_xlfn._xlws.FILTER(CONFIG_ASIGNATURAS!$B$2:$B$91,CONFIG_ASIGNATURAS!$G$2:$G$91="Sí"),21),"")</f>
      </c>
      <c r="C26">
        <f>IF(B26="","",IFERROR(VLOOKUP(B26,CONFIG_ASIGNATURAS!$B$2:$D$91,3,FALSE()),"Asignatura"))</f>
      </c>
      <c r="D26">
        <f>SUMPRODUCT((nCUENTA=1)*(nASIG=B26))</f>
        <v>0</v>
      </c>
      <c r="E26" s="10" t="str">
        <f>IFERROR(SUMPRODUCT((nCUENTA=1)*(nASIG=B26)*(nNOTA))/D26,"—")</f>
        <v>—</v>
      </c>
      <c r="F26" s="10" t="str" cm="1">
        <f t="array" ref="F26">IFERROR(_xlfn.STDEV.P(_xlfn._xlws.FILTER(nNOTA,(nCUENTA=1)*(nASIG=B26))),"—")</f>
        <v>—</v>
      </c>
      <c r="G26" t="str" cm="1">
        <f t="array" ref="G26">IFERROR(_xlfn.MODE.SNGL(_xlfn._xlws.FILTER(nNOTA,(nCUENTA=1)*(nASIG=B26))),"—")</f>
        <v>—</v>
      </c>
      <c r="H26" s="11" t="str">
        <f>IFERROR(SUMPRODUCT((nCUENTA=1)*(nASIG=B26)*(nAPTO="S"))/D26,"—")</f>
        <v>—</v>
      </c>
      <c r="I26" s="11" t="str">
        <f>IFERROR(SUMPRODUCT((nCUENTA=1)*(nASIG=B26)*(nAPTO="N"))/D26,"—")</f>
        <v>—</v>
      </c>
      <c r="J26" t="str" cm="1">
        <f t="array" ref="J26">IFERROR(_xlfn.MODE.SNGL(_xlfn._xlws.FILTER(nNOTA,(nCUENTA=1)*(nASIG=B26)*(nAPTO="S"))),"—")</f>
        <v>—</v>
      </c>
      <c r="K26" t="str" cm="1">
        <f t="array" ref="K26">IFERROR(_xlfn.MODE.SNGL(_xlfn._xlws.FILTER(nNOTA,(nCUENTA=1)*(nASIG=B26)*(nAPTO="N"))),"—")</f>
        <v>—</v>
      </c>
      <c r="L26">
        <f>SUMPRODUCT((nCUENTA=1)*(nASIG=B26)*(nNOTA=1))</f>
        <v>0</v>
      </c>
      <c r="M26">
        <f>SUMPRODUCT((nCUENTA=1)*(nASIG=B26)*(nNOTA=2))</f>
        <v>0</v>
      </c>
      <c r="N26">
        <f>SUMPRODUCT((nCUENTA=1)*(nASIG=B26)*(nNOTA=3))</f>
        <v>0</v>
      </c>
      <c r="O26">
        <f>SUMPRODUCT((nCUENTA=1)*(nASIG=B26)*(nNOTA=4))</f>
        <v>0</v>
      </c>
      <c r="P26">
        <f>SUMPRODUCT((nCUENTA=1)*(nASIG=B26)*(nNOTA=5))</f>
        <v>0</v>
      </c>
      <c r="Q26">
        <f>SUMPRODUCT((nCUENTA=1)*(nASIG=B26)*(nNOTA=6))</f>
        <v>0</v>
      </c>
      <c r="R26">
        <f>SUMPRODUCT((nCUENTA=1)*(nASIG=B26)*(nNOTA=7))</f>
        <v>0</v>
      </c>
      <c r="S26">
        <f>SUMPRODUCT((nCUENTA=1)*(nASIG=B26)*(nNOTA=8))</f>
        <v>0</v>
      </c>
      <c r="T26">
        <f>SUMPRODUCT((nCUENTA=1)*(nASIG=B26)*(nNOTA=9))</f>
        <v>0</v>
      </c>
      <c r="U26">
        <f>SUMPRODUCT((nCUENTA=1)*(nASIG=B26)*(nNOTA=10))</f>
        <v>0</v>
      </c>
    </row>
    <row r="27">
      <c r="A27" t="inlineStr">
        <is>
          <t xml:space="preserve">GLOBAL</t>
        </is>
      </c>
      <c r="B27" cm="1">
        <f t="array" ref="B27">IFERROR(INDEX(_xlfn._xlws.FILTER(CONFIG_ASIGNATURAS!$B$2:$B$91,CONFIG_ASIGNATURAS!$G$2:$G$91="Sí"),22),"")</f>
      </c>
      <c r="C27">
        <f>IF(B27="","",IFERROR(VLOOKUP(B27,CONFIG_ASIGNATURAS!$B$2:$D$91,3,FALSE()),"Asignatura"))</f>
      </c>
      <c r="D27">
        <f>SUMPRODUCT((nCUENTA=1)*(nASIG=B27))</f>
        <v>0</v>
      </c>
      <c r="E27" s="10" t="str">
        <f>IFERROR(SUMPRODUCT((nCUENTA=1)*(nASIG=B27)*(nNOTA))/D27,"—")</f>
        <v>—</v>
      </c>
      <c r="F27" s="10" t="str" cm="1">
        <f t="array" ref="F27">IFERROR(_xlfn.STDEV.P(_xlfn._xlws.FILTER(nNOTA,(nCUENTA=1)*(nASIG=B27))),"—")</f>
        <v>—</v>
      </c>
      <c r="G27" t="str" cm="1">
        <f t="array" ref="G27">IFERROR(_xlfn.MODE.SNGL(_xlfn._xlws.FILTER(nNOTA,(nCUENTA=1)*(nASIG=B27))),"—")</f>
        <v>—</v>
      </c>
      <c r="H27" s="11" t="str">
        <f>IFERROR(SUMPRODUCT((nCUENTA=1)*(nASIG=B27)*(nAPTO="S"))/D27,"—")</f>
        <v>—</v>
      </c>
      <c r="I27" s="11" t="str">
        <f>IFERROR(SUMPRODUCT((nCUENTA=1)*(nASIG=B27)*(nAPTO="N"))/D27,"—")</f>
        <v>—</v>
      </c>
      <c r="J27" t="str" cm="1">
        <f t="array" ref="J27">IFERROR(_xlfn.MODE.SNGL(_xlfn._xlws.FILTER(nNOTA,(nCUENTA=1)*(nASIG=B27)*(nAPTO="S"))),"—")</f>
        <v>—</v>
      </c>
      <c r="K27" t="str" cm="1">
        <f t="array" ref="K27">IFERROR(_xlfn.MODE.SNGL(_xlfn._xlws.FILTER(nNOTA,(nCUENTA=1)*(nASIG=B27)*(nAPTO="N"))),"—")</f>
        <v>—</v>
      </c>
      <c r="L27">
        <f>SUMPRODUCT((nCUENTA=1)*(nASIG=B27)*(nNOTA=1))</f>
        <v>0</v>
      </c>
      <c r="M27">
        <f>SUMPRODUCT((nCUENTA=1)*(nASIG=B27)*(nNOTA=2))</f>
        <v>0</v>
      </c>
      <c r="N27">
        <f>SUMPRODUCT((nCUENTA=1)*(nASIG=B27)*(nNOTA=3))</f>
        <v>0</v>
      </c>
      <c r="O27">
        <f>SUMPRODUCT((nCUENTA=1)*(nASIG=B27)*(nNOTA=4))</f>
        <v>0</v>
      </c>
      <c r="P27">
        <f>SUMPRODUCT((nCUENTA=1)*(nASIG=B27)*(nNOTA=5))</f>
        <v>0</v>
      </c>
      <c r="Q27">
        <f>SUMPRODUCT((nCUENTA=1)*(nASIG=B27)*(nNOTA=6))</f>
        <v>0</v>
      </c>
      <c r="R27">
        <f>SUMPRODUCT((nCUENTA=1)*(nASIG=B27)*(nNOTA=7))</f>
        <v>0</v>
      </c>
      <c r="S27">
        <f>SUMPRODUCT((nCUENTA=1)*(nASIG=B27)*(nNOTA=8))</f>
        <v>0</v>
      </c>
      <c r="T27">
        <f>SUMPRODUCT((nCUENTA=1)*(nASIG=B27)*(nNOTA=9))</f>
        <v>0</v>
      </c>
      <c r="U27">
        <f>SUMPRODUCT((nCUENTA=1)*(nASIG=B27)*(nNOTA=10))</f>
        <v>0</v>
      </c>
    </row>
    <row r="28">
      <c r="A28" t="inlineStr">
        <is>
          <t xml:space="preserve">GLOBAL</t>
        </is>
      </c>
      <c r="B28" cm="1">
        <f t="array" ref="B28">IFERROR(INDEX(_xlfn._xlws.FILTER(CONFIG_ASIGNATURAS!$B$2:$B$91,CONFIG_ASIGNATURAS!$G$2:$G$91="Sí"),23),"")</f>
      </c>
      <c r="C28">
        <f>IF(B28="","",IFERROR(VLOOKUP(B28,CONFIG_ASIGNATURAS!$B$2:$D$91,3,FALSE()),"Asignatura"))</f>
      </c>
      <c r="D28">
        <f>SUMPRODUCT((nCUENTA=1)*(nASIG=B28))</f>
        <v>0</v>
      </c>
      <c r="E28" s="10" t="str">
        <f>IFERROR(SUMPRODUCT((nCUENTA=1)*(nASIG=B28)*(nNOTA))/D28,"—")</f>
        <v>—</v>
      </c>
      <c r="F28" s="10" t="str" cm="1">
        <f t="array" ref="F28">IFERROR(_xlfn.STDEV.P(_xlfn._xlws.FILTER(nNOTA,(nCUENTA=1)*(nASIG=B28))),"—")</f>
        <v>—</v>
      </c>
      <c r="G28" t="str" cm="1">
        <f t="array" ref="G28">IFERROR(_xlfn.MODE.SNGL(_xlfn._xlws.FILTER(nNOTA,(nCUENTA=1)*(nASIG=B28))),"—")</f>
        <v>—</v>
      </c>
      <c r="H28" s="11" t="str">
        <f>IFERROR(SUMPRODUCT((nCUENTA=1)*(nASIG=B28)*(nAPTO="S"))/D28,"—")</f>
        <v>—</v>
      </c>
      <c r="I28" s="11" t="str">
        <f>IFERROR(SUMPRODUCT((nCUENTA=1)*(nASIG=B28)*(nAPTO="N"))/D28,"—")</f>
        <v>—</v>
      </c>
      <c r="J28" t="str" cm="1">
        <f t="array" ref="J28">IFERROR(_xlfn.MODE.SNGL(_xlfn._xlws.FILTER(nNOTA,(nCUENTA=1)*(nASIG=B28)*(nAPTO="S"))),"—")</f>
        <v>—</v>
      </c>
      <c r="K28" t="str" cm="1">
        <f t="array" ref="K28">IFERROR(_xlfn.MODE.SNGL(_xlfn._xlws.FILTER(nNOTA,(nCUENTA=1)*(nASIG=B28)*(nAPTO="N"))),"—")</f>
        <v>—</v>
      </c>
      <c r="L28">
        <f>SUMPRODUCT((nCUENTA=1)*(nASIG=B28)*(nNOTA=1))</f>
        <v>0</v>
      </c>
      <c r="M28">
        <f>SUMPRODUCT((nCUENTA=1)*(nASIG=B28)*(nNOTA=2))</f>
        <v>0</v>
      </c>
      <c r="N28">
        <f>SUMPRODUCT((nCUENTA=1)*(nASIG=B28)*(nNOTA=3))</f>
        <v>0</v>
      </c>
      <c r="O28">
        <f>SUMPRODUCT((nCUENTA=1)*(nASIG=B28)*(nNOTA=4))</f>
        <v>0</v>
      </c>
      <c r="P28">
        <f>SUMPRODUCT((nCUENTA=1)*(nASIG=B28)*(nNOTA=5))</f>
        <v>0</v>
      </c>
      <c r="Q28">
        <f>SUMPRODUCT((nCUENTA=1)*(nASIG=B28)*(nNOTA=6))</f>
        <v>0</v>
      </c>
      <c r="R28">
        <f>SUMPRODUCT((nCUENTA=1)*(nASIG=B28)*(nNOTA=7))</f>
        <v>0</v>
      </c>
      <c r="S28">
        <f>SUMPRODUCT((nCUENTA=1)*(nASIG=B28)*(nNOTA=8))</f>
        <v>0</v>
      </c>
      <c r="T28">
        <f>SUMPRODUCT((nCUENTA=1)*(nASIG=B28)*(nNOTA=9))</f>
        <v>0</v>
      </c>
      <c r="U28">
        <f>SUMPRODUCT((nCUENTA=1)*(nASIG=B28)*(nNOTA=10))</f>
        <v>0</v>
      </c>
    </row>
    <row r="29">
      <c r="A29" t="inlineStr">
        <is>
          <t xml:space="preserve">GLOBAL</t>
        </is>
      </c>
      <c r="B29" cm="1">
        <f t="array" ref="B29">IFERROR(INDEX(_xlfn._xlws.FILTER(CONFIG_ASIGNATURAS!$B$2:$B$91,CONFIG_ASIGNATURAS!$G$2:$G$91="Sí"),24),"")</f>
      </c>
      <c r="C29">
        <f>IF(B29="","",IFERROR(VLOOKUP(B29,CONFIG_ASIGNATURAS!$B$2:$D$91,3,FALSE()),"Asignatura"))</f>
      </c>
      <c r="D29">
        <f>SUMPRODUCT((nCUENTA=1)*(nASIG=B29))</f>
        <v>0</v>
      </c>
      <c r="E29" s="10" t="str">
        <f>IFERROR(SUMPRODUCT((nCUENTA=1)*(nASIG=B29)*(nNOTA))/D29,"—")</f>
        <v>—</v>
      </c>
      <c r="F29" s="10" t="str" cm="1">
        <f t="array" ref="F29">IFERROR(_xlfn.STDEV.P(_xlfn._xlws.FILTER(nNOTA,(nCUENTA=1)*(nASIG=B29))),"—")</f>
        <v>—</v>
      </c>
      <c r="G29" t="str" cm="1">
        <f t="array" ref="G29">IFERROR(_xlfn.MODE.SNGL(_xlfn._xlws.FILTER(nNOTA,(nCUENTA=1)*(nASIG=B29))),"—")</f>
        <v>—</v>
      </c>
      <c r="H29" s="11" t="str">
        <f>IFERROR(SUMPRODUCT((nCUENTA=1)*(nASIG=B29)*(nAPTO="S"))/D29,"—")</f>
        <v>—</v>
      </c>
      <c r="I29" s="11" t="str">
        <f>IFERROR(SUMPRODUCT((nCUENTA=1)*(nASIG=B29)*(nAPTO="N"))/D29,"—")</f>
        <v>—</v>
      </c>
      <c r="J29" t="str" cm="1">
        <f t="array" ref="J29">IFERROR(_xlfn.MODE.SNGL(_xlfn._xlws.FILTER(nNOTA,(nCUENTA=1)*(nASIG=B29)*(nAPTO="S"))),"—")</f>
        <v>—</v>
      </c>
      <c r="K29" t="str" cm="1">
        <f t="array" ref="K29">IFERROR(_xlfn.MODE.SNGL(_xlfn._xlws.FILTER(nNOTA,(nCUENTA=1)*(nASIG=B29)*(nAPTO="N"))),"—")</f>
        <v>—</v>
      </c>
      <c r="L29">
        <f>SUMPRODUCT((nCUENTA=1)*(nASIG=B29)*(nNOTA=1))</f>
        <v>0</v>
      </c>
      <c r="M29">
        <f>SUMPRODUCT((nCUENTA=1)*(nASIG=B29)*(nNOTA=2))</f>
        <v>0</v>
      </c>
      <c r="N29">
        <f>SUMPRODUCT((nCUENTA=1)*(nASIG=B29)*(nNOTA=3))</f>
        <v>0</v>
      </c>
      <c r="O29">
        <f>SUMPRODUCT((nCUENTA=1)*(nASIG=B29)*(nNOTA=4))</f>
        <v>0</v>
      </c>
      <c r="P29">
        <f>SUMPRODUCT((nCUENTA=1)*(nASIG=B29)*(nNOTA=5))</f>
        <v>0</v>
      </c>
      <c r="Q29">
        <f>SUMPRODUCT((nCUENTA=1)*(nASIG=B29)*(nNOTA=6))</f>
        <v>0</v>
      </c>
      <c r="R29">
        <f>SUMPRODUCT((nCUENTA=1)*(nASIG=B29)*(nNOTA=7))</f>
        <v>0</v>
      </c>
      <c r="S29">
        <f>SUMPRODUCT((nCUENTA=1)*(nASIG=B29)*(nNOTA=8))</f>
        <v>0</v>
      </c>
      <c r="T29">
        <f>SUMPRODUCT((nCUENTA=1)*(nASIG=B29)*(nNOTA=9))</f>
        <v>0</v>
      </c>
      <c r="U29">
        <f>SUMPRODUCT((nCUENTA=1)*(nASIG=B29)*(nNOTA=10))</f>
        <v>0</v>
      </c>
    </row>
    <row r="30">
      <c r="A30" t="inlineStr">
        <is>
          <t xml:space="preserve">GLOBAL</t>
        </is>
      </c>
      <c r="B30" cm="1">
        <f t="array" ref="B30">IFERROR(INDEX(_xlfn._xlws.FILTER(CONFIG_ASIGNATURAS!$B$2:$B$91,CONFIG_ASIGNATURAS!$G$2:$G$91="Sí"),25),"")</f>
      </c>
      <c r="C30">
        <f>IF(B30="","",IFERROR(VLOOKUP(B30,CONFIG_ASIGNATURAS!$B$2:$D$91,3,FALSE()),"Asignatura"))</f>
      </c>
      <c r="D30">
        <f>SUMPRODUCT((nCUENTA=1)*(nASIG=B30))</f>
        <v>0</v>
      </c>
      <c r="E30" s="10" t="str">
        <f>IFERROR(SUMPRODUCT((nCUENTA=1)*(nASIG=B30)*(nNOTA))/D30,"—")</f>
        <v>—</v>
      </c>
      <c r="F30" s="10" t="str" cm="1">
        <f t="array" ref="F30">IFERROR(_xlfn.STDEV.P(_xlfn._xlws.FILTER(nNOTA,(nCUENTA=1)*(nASIG=B30))),"—")</f>
        <v>—</v>
      </c>
      <c r="G30" t="str" cm="1">
        <f t="array" ref="G30">IFERROR(_xlfn.MODE.SNGL(_xlfn._xlws.FILTER(nNOTA,(nCUENTA=1)*(nASIG=B30))),"—")</f>
        <v>—</v>
      </c>
      <c r="H30" s="11" t="str">
        <f>IFERROR(SUMPRODUCT((nCUENTA=1)*(nASIG=B30)*(nAPTO="S"))/D30,"—")</f>
        <v>—</v>
      </c>
      <c r="I30" s="11" t="str">
        <f>IFERROR(SUMPRODUCT((nCUENTA=1)*(nASIG=B30)*(nAPTO="N"))/D30,"—")</f>
        <v>—</v>
      </c>
      <c r="J30" t="str" cm="1">
        <f t="array" ref="J30">IFERROR(_xlfn.MODE.SNGL(_xlfn._xlws.FILTER(nNOTA,(nCUENTA=1)*(nASIG=B30)*(nAPTO="S"))),"—")</f>
        <v>—</v>
      </c>
      <c r="K30" t="str" cm="1">
        <f t="array" ref="K30">IFERROR(_xlfn.MODE.SNGL(_xlfn._xlws.FILTER(nNOTA,(nCUENTA=1)*(nASIG=B30)*(nAPTO="N"))),"—")</f>
        <v>—</v>
      </c>
      <c r="L30">
        <f>SUMPRODUCT((nCUENTA=1)*(nASIG=B30)*(nNOTA=1))</f>
        <v>0</v>
      </c>
      <c r="M30">
        <f>SUMPRODUCT((nCUENTA=1)*(nASIG=B30)*(nNOTA=2))</f>
        <v>0</v>
      </c>
      <c r="N30">
        <f>SUMPRODUCT((nCUENTA=1)*(nASIG=B30)*(nNOTA=3))</f>
        <v>0</v>
      </c>
      <c r="O30">
        <f>SUMPRODUCT((nCUENTA=1)*(nASIG=B30)*(nNOTA=4))</f>
        <v>0</v>
      </c>
      <c r="P30">
        <f>SUMPRODUCT((nCUENTA=1)*(nASIG=B30)*(nNOTA=5))</f>
        <v>0</v>
      </c>
      <c r="Q30">
        <f>SUMPRODUCT((nCUENTA=1)*(nASIG=B30)*(nNOTA=6))</f>
        <v>0</v>
      </c>
      <c r="R30">
        <f>SUMPRODUCT((nCUENTA=1)*(nASIG=B30)*(nNOTA=7))</f>
        <v>0</v>
      </c>
      <c r="S30">
        <f>SUMPRODUCT((nCUENTA=1)*(nASIG=B30)*(nNOTA=8))</f>
        <v>0</v>
      </c>
      <c r="T30">
        <f>SUMPRODUCT((nCUENTA=1)*(nASIG=B30)*(nNOTA=9))</f>
        <v>0</v>
      </c>
      <c r="U30">
        <f>SUMPRODUCT((nCUENTA=1)*(nASIG=B30)*(nNOTA=10))</f>
        <v>0</v>
      </c>
    </row>
    <row r="31">
      <c r="A31" t="inlineStr">
        <is>
          <t xml:space="preserve">GLOBAL</t>
        </is>
      </c>
      <c r="B31" cm="1">
        <f t="array" ref="B31">IFERROR(INDEX(_xlfn._xlws.FILTER(CONFIG_ASIGNATURAS!$B$2:$B$91,CONFIG_ASIGNATURAS!$G$2:$G$91="Sí"),26),"")</f>
      </c>
      <c r="C31">
        <f>IF(B31="","",IFERROR(VLOOKUP(B31,CONFIG_ASIGNATURAS!$B$2:$D$91,3,FALSE()),"Asignatura"))</f>
      </c>
      <c r="D31">
        <f>SUMPRODUCT((nCUENTA=1)*(nASIG=B31))</f>
        <v>0</v>
      </c>
      <c r="E31" s="10" t="str">
        <f>IFERROR(SUMPRODUCT((nCUENTA=1)*(nASIG=B31)*(nNOTA))/D31,"—")</f>
        <v>—</v>
      </c>
      <c r="F31" s="10" t="str" cm="1">
        <f t="array" ref="F31">IFERROR(_xlfn.STDEV.P(_xlfn._xlws.FILTER(nNOTA,(nCUENTA=1)*(nASIG=B31))),"—")</f>
        <v>—</v>
      </c>
      <c r="G31" t="str" cm="1">
        <f t="array" ref="G31">IFERROR(_xlfn.MODE.SNGL(_xlfn._xlws.FILTER(nNOTA,(nCUENTA=1)*(nASIG=B31))),"—")</f>
        <v>—</v>
      </c>
      <c r="H31" s="11" t="str">
        <f>IFERROR(SUMPRODUCT((nCUENTA=1)*(nASIG=B31)*(nAPTO="S"))/D31,"—")</f>
        <v>—</v>
      </c>
      <c r="I31" s="11" t="str">
        <f>IFERROR(SUMPRODUCT((nCUENTA=1)*(nASIG=B31)*(nAPTO="N"))/D31,"—")</f>
        <v>—</v>
      </c>
      <c r="J31" t="str" cm="1">
        <f t="array" ref="J31">IFERROR(_xlfn.MODE.SNGL(_xlfn._xlws.FILTER(nNOTA,(nCUENTA=1)*(nASIG=B31)*(nAPTO="S"))),"—")</f>
        <v>—</v>
      </c>
      <c r="K31" t="str" cm="1">
        <f t="array" ref="K31">IFERROR(_xlfn.MODE.SNGL(_xlfn._xlws.FILTER(nNOTA,(nCUENTA=1)*(nASIG=B31)*(nAPTO="N"))),"—")</f>
        <v>—</v>
      </c>
      <c r="L31">
        <f>SUMPRODUCT((nCUENTA=1)*(nASIG=B31)*(nNOTA=1))</f>
        <v>0</v>
      </c>
      <c r="M31">
        <f>SUMPRODUCT((nCUENTA=1)*(nASIG=B31)*(nNOTA=2))</f>
        <v>0</v>
      </c>
      <c r="N31">
        <f>SUMPRODUCT((nCUENTA=1)*(nASIG=B31)*(nNOTA=3))</f>
        <v>0</v>
      </c>
      <c r="O31">
        <f>SUMPRODUCT((nCUENTA=1)*(nASIG=B31)*(nNOTA=4))</f>
        <v>0</v>
      </c>
      <c r="P31">
        <f>SUMPRODUCT((nCUENTA=1)*(nASIG=B31)*(nNOTA=5))</f>
        <v>0</v>
      </c>
      <c r="Q31">
        <f>SUMPRODUCT((nCUENTA=1)*(nASIG=B31)*(nNOTA=6))</f>
        <v>0</v>
      </c>
      <c r="R31">
        <f>SUMPRODUCT((nCUENTA=1)*(nASIG=B31)*(nNOTA=7))</f>
        <v>0</v>
      </c>
      <c r="S31">
        <f>SUMPRODUCT((nCUENTA=1)*(nASIG=B31)*(nNOTA=8))</f>
        <v>0</v>
      </c>
      <c r="T31">
        <f>SUMPRODUCT((nCUENTA=1)*(nASIG=B31)*(nNOTA=9))</f>
        <v>0</v>
      </c>
      <c r="U31">
        <f>SUMPRODUCT((nCUENTA=1)*(nASIG=B31)*(nNOTA=10))</f>
        <v>0</v>
      </c>
    </row>
    <row r="32">
      <c r="A32" t="inlineStr">
        <is>
          <t xml:space="preserve">GLOBAL</t>
        </is>
      </c>
      <c r="B32" cm="1">
        <f t="array" ref="B32">IFERROR(INDEX(_xlfn._xlws.FILTER(CONFIG_ASIGNATURAS!$B$2:$B$91,CONFIG_ASIGNATURAS!$G$2:$G$91="Sí"),27),"")</f>
      </c>
      <c r="C32">
        <f>IF(B32="","",IFERROR(VLOOKUP(B32,CONFIG_ASIGNATURAS!$B$2:$D$91,3,FALSE()),"Asignatura"))</f>
      </c>
      <c r="D32">
        <f>SUMPRODUCT((nCUENTA=1)*(nASIG=B32))</f>
        <v>0</v>
      </c>
      <c r="E32" s="10" t="str">
        <f>IFERROR(SUMPRODUCT((nCUENTA=1)*(nASIG=B32)*(nNOTA))/D32,"—")</f>
        <v>—</v>
      </c>
      <c r="F32" s="10" t="str" cm="1">
        <f t="array" ref="F32">IFERROR(_xlfn.STDEV.P(_xlfn._xlws.FILTER(nNOTA,(nCUENTA=1)*(nASIG=B32))),"—")</f>
        <v>—</v>
      </c>
      <c r="G32" t="str" cm="1">
        <f t="array" ref="G32">IFERROR(_xlfn.MODE.SNGL(_xlfn._xlws.FILTER(nNOTA,(nCUENTA=1)*(nASIG=B32))),"—")</f>
        <v>—</v>
      </c>
      <c r="H32" s="11" t="str">
        <f>IFERROR(SUMPRODUCT((nCUENTA=1)*(nASIG=B32)*(nAPTO="S"))/D32,"—")</f>
        <v>—</v>
      </c>
      <c r="I32" s="11" t="str">
        <f>IFERROR(SUMPRODUCT((nCUENTA=1)*(nASIG=B32)*(nAPTO="N"))/D32,"—")</f>
        <v>—</v>
      </c>
      <c r="J32" t="str" cm="1">
        <f t="array" ref="J32">IFERROR(_xlfn.MODE.SNGL(_xlfn._xlws.FILTER(nNOTA,(nCUENTA=1)*(nASIG=B32)*(nAPTO="S"))),"—")</f>
        <v>—</v>
      </c>
      <c r="K32" t="str" cm="1">
        <f t="array" ref="K32">IFERROR(_xlfn.MODE.SNGL(_xlfn._xlws.FILTER(nNOTA,(nCUENTA=1)*(nASIG=B32)*(nAPTO="N"))),"—")</f>
        <v>—</v>
      </c>
      <c r="L32">
        <f>SUMPRODUCT((nCUENTA=1)*(nASIG=B32)*(nNOTA=1))</f>
        <v>0</v>
      </c>
      <c r="M32">
        <f>SUMPRODUCT((nCUENTA=1)*(nASIG=B32)*(nNOTA=2))</f>
        <v>0</v>
      </c>
      <c r="N32">
        <f>SUMPRODUCT((nCUENTA=1)*(nASIG=B32)*(nNOTA=3))</f>
        <v>0</v>
      </c>
      <c r="O32">
        <f>SUMPRODUCT((nCUENTA=1)*(nASIG=B32)*(nNOTA=4))</f>
        <v>0</v>
      </c>
      <c r="P32">
        <f>SUMPRODUCT((nCUENTA=1)*(nASIG=B32)*(nNOTA=5))</f>
        <v>0</v>
      </c>
      <c r="Q32">
        <f>SUMPRODUCT((nCUENTA=1)*(nASIG=B32)*(nNOTA=6))</f>
        <v>0</v>
      </c>
      <c r="R32">
        <f>SUMPRODUCT((nCUENTA=1)*(nASIG=B32)*(nNOTA=7))</f>
        <v>0</v>
      </c>
      <c r="S32">
        <f>SUMPRODUCT((nCUENTA=1)*(nASIG=B32)*(nNOTA=8))</f>
        <v>0</v>
      </c>
      <c r="T32">
        <f>SUMPRODUCT((nCUENTA=1)*(nASIG=B32)*(nNOTA=9))</f>
        <v>0</v>
      </c>
      <c r="U32">
        <f>SUMPRODUCT((nCUENTA=1)*(nASIG=B32)*(nNOTA=10))</f>
        <v>0</v>
      </c>
    </row>
    <row r="33">
      <c r="A33" t="inlineStr">
        <is>
          <t xml:space="preserve">GLOBAL</t>
        </is>
      </c>
      <c r="B33" cm="1">
        <f t="array" ref="B33">IFERROR(INDEX(_xlfn._xlws.FILTER(CONFIG_ASIGNATURAS!$B$2:$B$91,CONFIG_ASIGNATURAS!$G$2:$G$91="Sí"),28),"")</f>
      </c>
      <c r="C33">
        <f>IF(B33="","",IFERROR(VLOOKUP(B33,CONFIG_ASIGNATURAS!$B$2:$D$91,3,FALSE()),"Asignatura"))</f>
      </c>
      <c r="D33">
        <f>SUMPRODUCT((nCUENTA=1)*(nASIG=B33))</f>
        <v>0</v>
      </c>
      <c r="E33" s="10" t="str">
        <f>IFERROR(SUMPRODUCT((nCUENTA=1)*(nASIG=B33)*(nNOTA))/D33,"—")</f>
        <v>—</v>
      </c>
      <c r="F33" s="10" t="str" cm="1">
        <f t="array" ref="F33">IFERROR(_xlfn.STDEV.P(_xlfn._xlws.FILTER(nNOTA,(nCUENTA=1)*(nASIG=B33))),"—")</f>
        <v>—</v>
      </c>
      <c r="G33" t="str" cm="1">
        <f t="array" ref="G33">IFERROR(_xlfn.MODE.SNGL(_xlfn._xlws.FILTER(nNOTA,(nCUENTA=1)*(nASIG=B33))),"—")</f>
        <v>—</v>
      </c>
      <c r="H33" s="11" t="str">
        <f>IFERROR(SUMPRODUCT((nCUENTA=1)*(nASIG=B33)*(nAPTO="S"))/D33,"—")</f>
        <v>—</v>
      </c>
      <c r="I33" s="11" t="str">
        <f>IFERROR(SUMPRODUCT((nCUENTA=1)*(nASIG=B33)*(nAPTO="N"))/D33,"—")</f>
        <v>—</v>
      </c>
      <c r="J33" t="str" cm="1">
        <f t="array" ref="J33">IFERROR(_xlfn.MODE.SNGL(_xlfn._xlws.FILTER(nNOTA,(nCUENTA=1)*(nASIG=B33)*(nAPTO="S"))),"—")</f>
        <v>—</v>
      </c>
      <c r="K33" t="str" cm="1">
        <f t="array" ref="K33">IFERROR(_xlfn.MODE.SNGL(_xlfn._xlws.FILTER(nNOTA,(nCUENTA=1)*(nASIG=B33)*(nAPTO="N"))),"—")</f>
        <v>—</v>
      </c>
      <c r="L33">
        <f>SUMPRODUCT((nCUENTA=1)*(nASIG=B33)*(nNOTA=1))</f>
        <v>0</v>
      </c>
      <c r="M33">
        <f>SUMPRODUCT((nCUENTA=1)*(nASIG=B33)*(nNOTA=2))</f>
        <v>0</v>
      </c>
      <c r="N33">
        <f>SUMPRODUCT((nCUENTA=1)*(nASIG=B33)*(nNOTA=3))</f>
        <v>0</v>
      </c>
      <c r="O33">
        <f>SUMPRODUCT((nCUENTA=1)*(nASIG=B33)*(nNOTA=4))</f>
        <v>0</v>
      </c>
      <c r="P33">
        <f>SUMPRODUCT((nCUENTA=1)*(nASIG=B33)*(nNOTA=5))</f>
        <v>0</v>
      </c>
      <c r="Q33">
        <f>SUMPRODUCT((nCUENTA=1)*(nASIG=B33)*(nNOTA=6))</f>
        <v>0</v>
      </c>
      <c r="R33">
        <f>SUMPRODUCT((nCUENTA=1)*(nASIG=B33)*(nNOTA=7))</f>
        <v>0</v>
      </c>
      <c r="S33">
        <f>SUMPRODUCT((nCUENTA=1)*(nASIG=B33)*(nNOTA=8))</f>
        <v>0</v>
      </c>
      <c r="T33">
        <f>SUMPRODUCT((nCUENTA=1)*(nASIG=B33)*(nNOTA=9))</f>
        <v>0</v>
      </c>
      <c r="U33">
        <f>SUMPRODUCT((nCUENTA=1)*(nASIG=B33)*(nNOTA=10))</f>
        <v>0</v>
      </c>
    </row>
    <row r="34">
      <c r="A34" t="inlineStr">
        <is>
          <t xml:space="preserve">GLOBAL</t>
        </is>
      </c>
      <c r="B34" cm="1">
        <f t="array" ref="B34">IFERROR(INDEX(_xlfn._xlws.FILTER(CONFIG_ASIGNATURAS!$B$2:$B$91,CONFIG_ASIGNATURAS!$G$2:$G$91="Sí"),29),"")</f>
      </c>
      <c r="C34">
        <f>IF(B34="","",IFERROR(VLOOKUP(B34,CONFIG_ASIGNATURAS!$B$2:$D$91,3,FALSE()),"Asignatura"))</f>
      </c>
      <c r="D34">
        <f>SUMPRODUCT((nCUENTA=1)*(nASIG=B34))</f>
        <v>0</v>
      </c>
      <c r="E34" s="10" t="str">
        <f>IFERROR(SUMPRODUCT((nCUENTA=1)*(nASIG=B34)*(nNOTA))/D34,"—")</f>
        <v>—</v>
      </c>
      <c r="F34" s="10" t="str" cm="1">
        <f t="array" ref="F34">IFERROR(_xlfn.STDEV.P(_xlfn._xlws.FILTER(nNOTA,(nCUENTA=1)*(nASIG=B34))),"—")</f>
        <v>—</v>
      </c>
      <c r="G34" t="str" cm="1">
        <f t="array" ref="G34">IFERROR(_xlfn.MODE.SNGL(_xlfn._xlws.FILTER(nNOTA,(nCUENTA=1)*(nASIG=B34))),"—")</f>
        <v>—</v>
      </c>
      <c r="H34" s="11" t="str">
        <f>IFERROR(SUMPRODUCT((nCUENTA=1)*(nASIG=B34)*(nAPTO="S"))/D34,"—")</f>
        <v>—</v>
      </c>
      <c r="I34" s="11" t="str">
        <f>IFERROR(SUMPRODUCT((nCUENTA=1)*(nASIG=B34)*(nAPTO="N"))/D34,"—")</f>
        <v>—</v>
      </c>
      <c r="J34" t="str" cm="1">
        <f t="array" ref="J34">IFERROR(_xlfn.MODE.SNGL(_xlfn._xlws.FILTER(nNOTA,(nCUENTA=1)*(nASIG=B34)*(nAPTO="S"))),"—")</f>
        <v>—</v>
      </c>
      <c r="K34" t="str" cm="1">
        <f t="array" ref="K34">IFERROR(_xlfn.MODE.SNGL(_xlfn._xlws.FILTER(nNOTA,(nCUENTA=1)*(nASIG=B34)*(nAPTO="N"))),"—")</f>
        <v>—</v>
      </c>
      <c r="L34">
        <f>SUMPRODUCT((nCUENTA=1)*(nASIG=B34)*(nNOTA=1))</f>
        <v>0</v>
      </c>
      <c r="M34">
        <f>SUMPRODUCT((nCUENTA=1)*(nASIG=B34)*(nNOTA=2))</f>
        <v>0</v>
      </c>
      <c r="N34">
        <f>SUMPRODUCT((nCUENTA=1)*(nASIG=B34)*(nNOTA=3))</f>
        <v>0</v>
      </c>
      <c r="O34">
        <f>SUMPRODUCT((nCUENTA=1)*(nASIG=B34)*(nNOTA=4))</f>
        <v>0</v>
      </c>
      <c r="P34">
        <f>SUMPRODUCT((nCUENTA=1)*(nASIG=B34)*(nNOTA=5))</f>
        <v>0</v>
      </c>
      <c r="Q34">
        <f>SUMPRODUCT((nCUENTA=1)*(nASIG=B34)*(nNOTA=6))</f>
        <v>0</v>
      </c>
      <c r="R34">
        <f>SUMPRODUCT((nCUENTA=1)*(nASIG=B34)*(nNOTA=7))</f>
        <v>0</v>
      </c>
      <c r="S34">
        <f>SUMPRODUCT((nCUENTA=1)*(nASIG=B34)*(nNOTA=8))</f>
        <v>0</v>
      </c>
      <c r="T34">
        <f>SUMPRODUCT((nCUENTA=1)*(nASIG=B34)*(nNOTA=9))</f>
        <v>0</v>
      </c>
      <c r="U34">
        <f>SUMPRODUCT((nCUENTA=1)*(nASIG=B34)*(nNOTA=10))</f>
        <v>0</v>
      </c>
    </row>
    <row r="35">
      <c r="A35" t="inlineStr">
        <is>
          <t xml:space="preserve">GLOBAL</t>
        </is>
      </c>
      <c r="B35" cm="1">
        <f t="array" ref="B35">IFERROR(INDEX(_xlfn._xlws.FILTER(CONFIG_ASIGNATURAS!$B$2:$B$91,CONFIG_ASIGNATURAS!$G$2:$G$91="Sí"),30),"")</f>
      </c>
      <c r="C35">
        <f>IF(B35="","",IFERROR(VLOOKUP(B35,CONFIG_ASIGNATURAS!$B$2:$D$91,3,FALSE()),"Asignatura"))</f>
      </c>
      <c r="D35">
        <f>SUMPRODUCT((nCUENTA=1)*(nASIG=B35))</f>
        <v>0</v>
      </c>
      <c r="E35" s="10" t="str">
        <f>IFERROR(SUMPRODUCT((nCUENTA=1)*(nASIG=B35)*(nNOTA))/D35,"—")</f>
        <v>—</v>
      </c>
      <c r="F35" s="10" t="str" cm="1">
        <f t="array" ref="F35">IFERROR(_xlfn.STDEV.P(_xlfn._xlws.FILTER(nNOTA,(nCUENTA=1)*(nASIG=B35))),"—")</f>
        <v>—</v>
      </c>
      <c r="G35" t="str" cm="1">
        <f t="array" ref="G35">IFERROR(_xlfn.MODE.SNGL(_xlfn._xlws.FILTER(nNOTA,(nCUENTA=1)*(nASIG=B35))),"—")</f>
        <v>—</v>
      </c>
      <c r="H35" s="11" t="str">
        <f>IFERROR(SUMPRODUCT((nCUENTA=1)*(nASIG=B35)*(nAPTO="S"))/D35,"—")</f>
        <v>—</v>
      </c>
      <c r="I35" s="11" t="str">
        <f>IFERROR(SUMPRODUCT((nCUENTA=1)*(nASIG=B35)*(nAPTO="N"))/D35,"—")</f>
        <v>—</v>
      </c>
      <c r="J35" t="str" cm="1">
        <f t="array" ref="J35">IFERROR(_xlfn.MODE.SNGL(_xlfn._xlws.FILTER(nNOTA,(nCUENTA=1)*(nASIG=B35)*(nAPTO="S"))),"—")</f>
        <v>—</v>
      </c>
      <c r="K35" t="str" cm="1">
        <f t="array" ref="K35">IFERROR(_xlfn.MODE.SNGL(_xlfn._xlws.FILTER(nNOTA,(nCUENTA=1)*(nASIG=B35)*(nAPTO="N"))),"—")</f>
        <v>—</v>
      </c>
      <c r="L35">
        <f>SUMPRODUCT((nCUENTA=1)*(nASIG=B35)*(nNOTA=1))</f>
        <v>0</v>
      </c>
      <c r="M35">
        <f>SUMPRODUCT((nCUENTA=1)*(nASIG=B35)*(nNOTA=2))</f>
        <v>0</v>
      </c>
      <c r="N35">
        <f>SUMPRODUCT((nCUENTA=1)*(nASIG=B35)*(nNOTA=3))</f>
        <v>0</v>
      </c>
      <c r="O35">
        <f>SUMPRODUCT((nCUENTA=1)*(nASIG=B35)*(nNOTA=4))</f>
        <v>0</v>
      </c>
      <c r="P35">
        <f>SUMPRODUCT((nCUENTA=1)*(nASIG=B35)*(nNOTA=5))</f>
        <v>0</v>
      </c>
      <c r="Q35">
        <f>SUMPRODUCT((nCUENTA=1)*(nASIG=B35)*(nNOTA=6))</f>
        <v>0</v>
      </c>
      <c r="R35">
        <f>SUMPRODUCT((nCUENTA=1)*(nASIG=B35)*(nNOTA=7))</f>
        <v>0</v>
      </c>
      <c r="S35">
        <f>SUMPRODUCT((nCUENTA=1)*(nASIG=B35)*(nNOTA=8))</f>
        <v>0</v>
      </c>
      <c r="T35">
        <f>SUMPRODUCT((nCUENTA=1)*(nASIG=B35)*(nNOTA=9))</f>
        <v>0</v>
      </c>
      <c r="U35">
        <f>SUMPRODUCT((nCUENTA=1)*(nASIG=B35)*(nNOTA=10))</f>
        <v>0</v>
      </c>
    </row>
    <row r="36">
      <c r="A36" t="inlineStr">
        <is>
          <t xml:space="preserve">GLOBAL</t>
        </is>
      </c>
      <c r="B36" cm="1">
        <f t="array" ref="B36">IFERROR(INDEX(_xlfn._xlws.FILTER(CONFIG_ASIGNATURAS!$B$2:$B$91,CONFIG_ASIGNATURAS!$G$2:$G$91="Sí"),31),"")</f>
      </c>
      <c r="C36">
        <f>IF(B36="","",IFERROR(VLOOKUP(B36,CONFIG_ASIGNATURAS!$B$2:$D$91,3,FALSE()),"Asignatura"))</f>
      </c>
      <c r="D36">
        <f>SUMPRODUCT((nCUENTA=1)*(nASIG=B36))</f>
        <v>0</v>
      </c>
      <c r="E36" s="10" t="str">
        <f>IFERROR(SUMPRODUCT((nCUENTA=1)*(nASIG=B36)*(nNOTA))/D36,"—")</f>
        <v>—</v>
      </c>
      <c r="F36" s="10" t="str" cm="1">
        <f t="array" ref="F36">IFERROR(_xlfn.STDEV.P(_xlfn._xlws.FILTER(nNOTA,(nCUENTA=1)*(nASIG=B36))),"—")</f>
        <v>—</v>
      </c>
      <c r="G36" t="str" cm="1">
        <f t="array" ref="G36">IFERROR(_xlfn.MODE.SNGL(_xlfn._xlws.FILTER(nNOTA,(nCUENTA=1)*(nASIG=B36))),"—")</f>
        <v>—</v>
      </c>
      <c r="H36" s="11" t="str">
        <f>IFERROR(SUMPRODUCT((nCUENTA=1)*(nASIG=B36)*(nAPTO="S"))/D36,"—")</f>
        <v>—</v>
      </c>
      <c r="I36" s="11" t="str">
        <f>IFERROR(SUMPRODUCT((nCUENTA=1)*(nASIG=B36)*(nAPTO="N"))/D36,"—")</f>
        <v>—</v>
      </c>
      <c r="J36" t="str" cm="1">
        <f t="array" ref="J36">IFERROR(_xlfn.MODE.SNGL(_xlfn._xlws.FILTER(nNOTA,(nCUENTA=1)*(nASIG=B36)*(nAPTO="S"))),"—")</f>
        <v>—</v>
      </c>
      <c r="K36" t="str" cm="1">
        <f t="array" ref="K36">IFERROR(_xlfn.MODE.SNGL(_xlfn._xlws.FILTER(nNOTA,(nCUENTA=1)*(nASIG=B36)*(nAPTO="N"))),"—")</f>
        <v>—</v>
      </c>
      <c r="L36">
        <f>SUMPRODUCT((nCUENTA=1)*(nASIG=B36)*(nNOTA=1))</f>
        <v>0</v>
      </c>
      <c r="M36">
        <f>SUMPRODUCT((nCUENTA=1)*(nASIG=B36)*(nNOTA=2))</f>
        <v>0</v>
      </c>
      <c r="N36">
        <f>SUMPRODUCT((nCUENTA=1)*(nASIG=B36)*(nNOTA=3))</f>
        <v>0</v>
      </c>
      <c r="O36">
        <f>SUMPRODUCT((nCUENTA=1)*(nASIG=B36)*(nNOTA=4))</f>
        <v>0</v>
      </c>
      <c r="P36">
        <f>SUMPRODUCT((nCUENTA=1)*(nASIG=B36)*(nNOTA=5))</f>
        <v>0</v>
      </c>
      <c r="Q36">
        <f>SUMPRODUCT((nCUENTA=1)*(nASIG=B36)*(nNOTA=6))</f>
        <v>0</v>
      </c>
      <c r="R36">
        <f>SUMPRODUCT((nCUENTA=1)*(nASIG=B36)*(nNOTA=7))</f>
        <v>0</v>
      </c>
      <c r="S36">
        <f>SUMPRODUCT((nCUENTA=1)*(nASIG=B36)*(nNOTA=8))</f>
        <v>0</v>
      </c>
      <c r="T36">
        <f>SUMPRODUCT((nCUENTA=1)*(nASIG=B36)*(nNOTA=9))</f>
        <v>0</v>
      </c>
      <c r="U36">
        <f>SUMPRODUCT((nCUENTA=1)*(nASIG=B36)*(nNOTA=10))</f>
        <v>0</v>
      </c>
    </row>
    <row r="37">
      <c r="A37" t="inlineStr">
        <is>
          <t xml:space="preserve">GLOBAL</t>
        </is>
      </c>
      <c r="B37" cm="1">
        <f t="array" ref="B37">IFERROR(INDEX(_xlfn._xlws.FILTER(CONFIG_ASIGNATURAS!$B$2:$B$91,CONFIG_ASIGNATURAS!$G$2:$G$91="Sí"),32),"")</f>
      </c>
      <c r="C37">
        <f>IF(B37="","",IFERROR(VLOOKUP(B37,CONFIG_ASIGNATURAS!$B$2:$D$91,3,FALSE()),"Asignatura"))</f>
      </c>
      <c r="D37">
        <f>SUMPRODUCT((nCUENTA=1)*(nASIG=B37))</f>
        <v>0</v>
      </c>
      <c r="E37" s="10" t="str">
        <f>IFERROR(SUMPRODUCT((nCUENTA=1)*(nASIG=B37)*(nNOTA))/D37,"—")</f>
        <v>—</v>
      </c>
      <c r="F37" s="10" t="str" cm="1">
        <f t="array" ref="F37">IFERROR(_xlfn.STDEV.P(_xlfn._xlws.FILTER(nNOTA,(nCUENTA=1)*(nASIG=B37))),"—")</f>
        <v>—</v>
      </c>
      <c r="G37" t="str" cm="1">
        <f t="array" ref="G37">IFERROR(_xlfn.MODE.SNGL(_xlfn._xlws.FILTER(nNOTA,(nCUENTA=1)*(nASIG=B37))),"—")</f>
        <v>—</v>
      </c>
      <c r="H37" s="11" t="str">
        <f>IFERROR(SUMPRODUCT((nCUENTA=1)*(nASIG=B37)*(nAPTO="S"))/D37,"—")</f>
        <v>—</v>
      </c>
      <c r="I37" s="11" t="str">
        <f>IFERROR(SUMPRODUCT((nCUENTA=1)*(nASIG=B37)*(nAPTO="N"))/D37,"—")</f>
        <v>—</v>
      </c>
      <c r="J37" t="str" cm="1">
        <f t="array" ref="J37">IFERROR(_xlfn.MODE.SNGL(_xlfn._xlws.FILTER(nNOTA,(nCUENTA=1)*(nASIG=B37)*(nAPTO="S"))),"—")</f>
        <v>—</v>
      </c>
      <c r="K37" t="str" cm="1">
        <f t="array" ref="K37">IFERROR(_xlfn.MODE.SNGL(_xlfn._xlws.FILTER(nNOTA,(nCUENTA=1)*(nASIG=B37)*(nAPTO="N"))),"—")</f>
        <v>—</v>
      </c>
      <c r="L37">
        <f>SUMPRODUCT((nCUENTA=1)*(nASIG=B37)*(nNOTA=1))</f>
        <v>0</v>
      </c>
      <c r="M37">
        <f>SUMPRODUCT((nCUENTA=1)*(nASIG=B37)*(nNOTA=2))</f>
        <v>0</v>
      </c>
      <c r="N37">
        <f>SUMPRODUCT((nCUENTA=1)*(nASIG=B37)*(nNOTA=3))</f>
        <v>0</v>
      </c>
      <c r="O37">
        <f>SUMPRODUCT((nCUENTA=1)*(nASIG=B37)*(nNOTA=4))</f>
        <v>0</v>
      </c>
      <c r="P37">
        <f>SUMPRODUCT((nCUENTA=1)*(nASIG=B37)*(nNOTA=5))</f>
        <v>0</v>
      </c>
      <c r="Q37">
        <f>SUMPRODUCT((nCUENTA=1)*(nASIG=B37)*(nNOTA=6))</f>
        <v>0</v>
      </c>
      <c r="R37">
        <f>SUMPRODUCT((nCUENTA=1)*(nASIG=B37)*(nNOTA=7))</f>
        <v>0</v>
      </c>
      <c r="S37">
        <f>SUMPRODUCT((nCUENTA=1)*(nASIG=B37)*(nNOTA=8))</f>
        <v>0</v>
      </c>
      <c r="T37">
        <f>SUMPRODUCT((nCUENTA=1)*(nASIG=B37)*(nNOTA=9))</f>
        <v>0</v>
      </c>
      <c r="U37">
        <f>SUMPRODUCT((nCUENTA=1)*(nASIG=B37)*(nNOTA=10))</f>
        <v>0</v>
      </c>
    </row>
    <row r="38">
      <c r="A38" t="inlineStr">
        <is>
          <t xml:space="preserve">GLOBAL</t>
        </is>
      </c>
      <c r="B38" cm="1">
        <f t="array" ref="B38">IFERROR(INDEX(_xlfn._xlws.FILTER(CONFIG_ASIGNATURAS!$B$2:$B$91,CONFIG_ASIGNATURAS!$G$2:$G$91="Sí"),33),"")</f>
      </c>
      <c r="C38">
        <f>IF(B38="","",IFERROR(VLOOKUP(B38,CONFIG_ASIGNATURAS!$B$2:$D$91,3,FALSE()),"Asignatura"))</f>
      </c>
      <c r="D38">
        <f>SUMPRODUCT((nCUENTA=1)*(nASIG=B38))</f>
        <v>0</v>
      </c>
      <c r="E38" s="10" t="str">
        <f>IFERROR(SUMPRODUCT((nCUENTA=1)*(nASIG=B38)*(nNOTA))/D38,"—")</f>
        <v>—</v>
      </c>
      <c r="F38" s="10" t="str" cm="1">
        <f t="array" ref="F38">IFERROR(_xlfn.STDEV.P(_xlfn._xlws.FILTER(nNOTA,(nCUENTA=1)*(nASIG=B38))),"—")</f>
        <v>—</v>
      </c>
      <c r="G38" t="str" cm="1">
        <f t="array" ref="G38">IFERROR(_xlfn.MODE.SNGL(_xlfn._xlws.FILTER(nNOTA,(nCUENTA=1)*(nASIG=B38))),"—")</f>
        <v>—</v>
      </c>
      <c r="H38" s="11" t="str">
        <f>IFERROR(SUMPRODUCT((nCUENTA=1)*(nASIG=B38)*(nAPTO="S"))/D38,"—")</f>
        <v>—</v>
      </c>
      <c r="I38" s="11" t="str">
        <f>IFERROR(SUMPRODUCT((nCUENTA=1)*(nASIG=B38)*(nAPTO="N"))/D38,"—")</f>
        <v>—</v>
      </c>
      <c r="J38" t="str" cm="1">
        <f t="array" ref="J38">IFERROR(_xlfn.MODE.SNGL(_xlfn._xlws.FILTER(nNOTA,(nCUENTA=1)*(nASIG=B38)*(nAPTO="S"))),"—")</f>
        <v>—</v>
      </c>
      <c r="K38" t="str" cm="1">
        <f t="array" ref="K38">IFERROR(_xlfn.MODE.SNGL(_xlfn._xlws.FILTER(nNOTA,(nCUENTA=1)*(nASIG=B38)*(nAPTO="N"))),"—")</f>
        <v>—</v>
      </c>
      <c r="L38">
        <f>SUMPRODUCT((nCUENTA=1)*(nASIG=B38)*(nNOTA=1))</f>
        <v>0</v>
      </c>
      <c r="M38">
        <f>SUMPRODUCT((nCUENTA=1)*(nASIG=B38)*(nNOTA=2))</f>
        <v>0</v>
      </c>
      <c r="N38">
        <f>SUMPRODUCT((nCUENTA=1)*(nASIG=B38)*(nNOTA=3))</f>
        <v>0</v>
      </c>
      <c r="O38">
        <f>SUMPRODUCT((nCUENTA=1)*(nASIG=B38)*(nNOTA=4))</f>
        <v>0</v>
      </c>
      <c r="P38">
        <f>SUMPRODUCT((nCUENTA=1)*(nASIG=B38)*(nNOTA=5))</f>
        <v>0</v>
      </c>
      <c r="Q38">
        <f>SUMPRODUCT((nCUENTA=1)*(nASIG=B38)*(nNOTA=6))</f>
        <v>0</v>
      </c>
      <c r="R38">
        <f>SUMPRODUCT((nCUENTA=1)*(nASIG=B38)*(nNOTA=7))</f>
        <v>0</v>
      </c>
      <c r="S38">
        <f>SUMPRODUCT((nCUENTA=1)*(nASIG=B38)*(nNOTA=8))</f>
        <v>0</v>
      </c>
      <c r="T38">
        <f>SUMPRODUCT((nCUENTA=1)*(nASIG=B38)*(nNOTA=9))</f>
        <v>0</v>
      </c>
      <c r="U38">
        <f>SUMPRODUCT((nCUENTA=1)*(nASIG=B38)*(nNOTA=10))</f>
        <v>0</v>
      </c>
    </row>
    <row r="39">
      <c r="A39" t="inlineStr">
        <is>
          <t xml:space="preserve">GLOBAL</t>
        </is>
      </c>
      <c r="B39" cm="1">
        <f t="array" ref="B39">IFERROR(INDEX(_xlfn._xlws.FILTER(CONFIG_ASIGNATURAS!$B$2:$B$91,CONFIG_ASIGNATURAS!$G$2:$G$91="Sí"),34),"")</f>
      </c>
      <c r="C39">
        <f>IF(B39="","",IFERROR(VLOOKUP(B39,CONFIG_ASIGNATURAS!$B$2:$D$91,3,FALSE()),"Asignatura"))</f>
      </c>
      <c r="D39">
        <f>SUMPRODUCT((nCUENTA=1)*(nASIG=B39))</f>
        <v>0</v>
      </c>
      <c r="E39" s="10" t="str">
        <f>IFERROR(SUMPRODUCT((nCUENTA=1)*(nASIG=B39)*(nNOTA))/D39,"—")</f>
        <v>—</v>
      </c>
      <c r="F39" s="10" t="str" cm="1">
        <f t="array" ref="F39">IFERROR(_xlfn.STDEV.P(_xlfn._xlws.FILTER(nNOTA,(nCUENTA=1)*(nASIG=B39))),"—")</f>
        <v>—</v>
      </c>
      <c r="G39" t="str" cm="1">
        <f t="array" ref="G39">IFERROR(_xlfn.MODE.SNGL(_xlfn._xlws.FILTER(nNOTA,(nCUENTA=1)*(nASIG=B39))),"—")</f>
        <v>—</v>
      </c>
      <c r="H39" s="11" t="str">
        <f>IFERROR(SUMPRODUCT((nCUENTA=1)*(nASIG=B39)*(nAPTO="S"))/D39,"—")</f>
        <v>—</v>
      </c>
      <c r="I39" s="11" t="str">
        <f>IFERROR(SUMPRODUCT((nCUENTA=1)*(nASIG=B39)*(nAPTO="N"))/D39,"—")</f>
        <v>—</v>
      </c>
      <c r="J39" t="str" cm="1">
        <f t="array" ref="J39">IFERROR(_xlfn.MODE.SNGL(_xlfn._xlws.FILTER(nNOTA,(nCUENTA=1)*(nASIG=B39)*(nAPTO="S"))),"—")</f>
        <v>—</v>
      </c>
      <c r="K39" t="str" cm="1">
        <f t="array" ref="K39">IFERROR(_xlfn.MODE.SNGL(_xlfn._xlws.FILTER(nNOTA,(nCUENTA=1)*(nASIG=B39)*(nAPTO="N"))),"—")</f>
        <v>—</v>
      </c>
      <c r="L39">
        <f>SUMPRODUCT((nCUENTA=1)*(nASIG=B39)*(nNOTA=1))</f>
        <v>0</v>
      </c>
      <c r="M39">
        <f>SUMPRODUCT((nCUENTA=1)*(nASIG=B39)*(nNOTA=2))</f>
        <v>0</v>
      </c>
      <c r="N39">
        <f>SUMPRODUCT((nCUENTA=1)*(nASIG=B39)*(nNOTA=3))</f>
        <v>0</v>
      </c>
      <c r="O39">
        <f>SUMPRODUCT((nCUENTA=1)*(nASIG=B39)*(nNOTA=4))</f>
        <v>0</v>
      </c>
      <c r="P39">
        <f>SUMPRODUCT((nCUENTA=1)*(nASIG=B39)*(nNOTA=5))</f>
        <v>0</v>
      </c>
      <c r="Q39">
        <f>SUMPRODUCT((nCUENTA=1)*(nASIG=B39)*(nNOTA=6))</f>
        <v>0</v>
      </c>
      <c r="R39">
        <f>SUMPRODUCT((nCUENTA=1)*(nASIG=B39)*(nNOTA=7))</f>
        <v>0</v>
      </c>
      <c r="S39">
        <f>SUMPRODUCT((nCUENTA=1)*(nASIG=B39)*(nNOTA=8))</f>
        <v>0</v>
      </c>
      <c r="T39">
        <f>SUMPRODUCT((nCUENTA=1)*(nASIG=B39)*(nNOTA=9))</f>
        <v>0</v>
      </c>
      <c r="U39">
        <f>SUMPRODUCT((nCUENTA=1)*(nASIG=B39)*(nNOTA=10))</f>
        <v>0</v>
      </c>
    </row>
    <row r="40">
      <c r="A40" t="inlineStr">
        <is>
          <t xml:space="preserve">GLOBAL</t>
        </is>
      </c>
      <c r="B40" cm="1">
        <f t="array" ref="B40">IFERROR(INDEX(_xlfn._xlws.FILTER(CONFIG_ASIGNATURAS!$B$2:$B$91,CONFIG_ASIGNATURAS!$G$2:$G$91="Sí"),35),"")</f>
      </c>
      <c r="C40">
        <f>IF(B40="","",IFERROR(VLOOKUP(B40,CONFIG_ASIGNATURAS!$B$2:$D$91,3,FALSE()),"Asignatura"))</f>
      </c>
      <c r="D40">
        <f>SUMPRODUCT((nCUENTA=1)*(nASIG=B40))</f>
        <v>0</v>
      </c>
      <c r="E40" s="10" t="str">
        <f>IFERROR(SUMPRODUCT((nCUENTA=1)*(nASIG=B40)*(nNOTA))/D40,"—")</f>
        <v>—</v>
      </c>
      <c r="F40" s="10" t="str" cm="1">
        <f t="array" ref="F40">IFERROR(_xlfn.STDEV.P(_xlfn._xlws.FILTER(nNOTA,(nCUENTA=1)*(nASIG=B40))),"—")</f>
        <v>—</v>
      </c>
      <c r="G40" t="str" cm="1">
        <f t="array" ref="G40">IFERROR(_xlfn.MODE.SNGL(_xlfn._xlws.FILTER(nNOTA,(nCUENTA=1)*(nASIG=B40))),"—")</f>
        <v>—</v>
      </c>
      <c r="H40" s="11" t="str">
        <f>IFERROR(SUMPRODUCT((nCUENTA=1)*(nASIG=B40)*(nAPTO="S"))/D40,"—")</f>
        <v>—</v>
      </c>
      <c r="I40" s="11" t="str">
        <f>IFERROR(SUMPRODUCT((nCUENTA=1)*(nASIG=B40)*(nAPTO="N"))/D40,"—")</f>
        <v>—</v>
      </c>
      <c r="J40" t="str" cm="1">
        <f t="array" ref="J40">IFERROR(_xlfn.MODE.SNGL(_xlfn._xlws.FILTER(nNOTA,(nCUENTA=1)*(nASIG=B40)*(nAPTO="S"))),"—")</f>
        <v>—</v>
      </c>
      <c r="K40" t="str" cm="1">
        <f t="array" ref="K40">IFERROR(_xlfn.MODE.SNGL(_xlfn._xlws.FILTER(nNOTA,(nCUENTA=1)*(nASIG=B40)*(nAPTO="N"))),"—")</f>
        <v>—</v>
      </c>
      <c r="L40">
        <f>SUMPRODUCT((nCUENTA=1)*(nASIG=B40)*(nNOTA=1))</f>
        <v>0</v>
      </c>
      <c r="M40">
        <f>SUMPRODUCT((nCUENTA=1)*(nASIG=B40)*(nNOTA=2))</f>
        <v>0</v>
      </c>
      <c r="N40">
        <f>SUMPRODUCT((nCUENTA=1)*(nASIG=B40)*(nNOTA=3))</f>
        <v>0</v>
      </c>
      <c r="O40">
        <f>SUMPRODUCT((nCUENTA=1)*(nASIG=B40)*(nNOTA=4))</f>
        <v>0</v>
      </c>
      <c r="P40">
        <f>SUMPRODUCT((nCUENTA=1)*(nASIG=B40)*(nNOTA=5))</f>
        <v>0</v>
      </c>
      <c r="Q40">
        <f>SUMPRODUCT((nCUENTA=1)*(nASIG=B40)*(nNOTA=6))</f>
        <v>0</v>
      </c>
      <c r="R40">
        <f>SUMPRODUCT((nCUENTA=1)*(nASIG=B40)*(nNOTA=7))</f>
        <v>0</v>
      </c>
      <c r="S40">
        <f>SUMPRODUCT((nCUENTA=1)*(nASIG=B40)*(nNOTA=8))</f>
        <v>0</v>
      </c>
      <c r="T40">
        <f>SUMPRODUCT((nCUENTA=1)*(nASIG=B40)*(nNOTA=9))</f>
        <v>0</v>
      </c>
      <c r="U40">
        <f>SUMPRODUCT((nCUENTA=1)*(nASIG=B40)*(nNOTA=10))</f>
        <v>0</v>
      </c>
    </row>
    <row r="41">
      <c r="A41" t="inlineStr">
        <is>
          <t xml:space="preserve">GLOBAL</t>
        </is>
      </c>
      <c r="B41" cm="1">
        <f t="array" ref="B41">IFERROR(INDEX(_xlfn._xlws.FILTER(CONFIG_ASIGNATURAS!$B$2:$B$91,CONFIG_ASIGNATURAS!$G$2:$G$91="Sí"),36),"")</f>
      </c>
      <c r="C41">
        <f>IF(B41="","",IFERROR(VLOOKUP(B41,CONFIG_ASIGNATURAS!$B$2:$D$91,3,FALSE()),"Asignatura"))</f>
      </c>
      <c r="D41">
        <f>SUMPRODUCT((nCUENTA=1)*(nASIG=B41))</f>
        <v>0</v>
      </c>
      <c r="E41" s="10" t="str">
        <f>IFERROR(SUMPRODUCT((nCUENTA=1)*(nASIG=B41)*(nNOTA))/D41,"—")</f>
        <v>—</v>
      </c>
      <c r="F41" s="10" t="str" cm="1">
        <f t="array" ref="F41">IFERROR(_xlfn.STDEV.P(_xlfn._xlws.FILTER(nNOTA,(nCUENTA=1)*(nASIG=B41))),"—")</f>
        <v>—</v>
      </c>
      <c r="G41" t="str" cm="1">
        <f t="array" ref="G41">IFERROR(_xlfn.MODE.SNGL(_xlfn._xlws.FILTER(nNOTA,(nCUENTA=1)*(nASIG=B41))),"—")</f>
        <v>—</v>
      </c>
      <c r="H41" s="11" t="str">
        <f>IFERROR(SUMPRODUCT((nCUENTA=1)*(nASIG=B41)*(nAPTO="S"))/D41,"—")</f>
        <v>—</v>
      </c>
      <c r="I41" s="11" t="str">
        <f>IFERROR(SUMPRODUCT((nCUENTA=1)*(nASIG=B41)*(nAPTO="N"))/D41,"—")</f>
        <v>—</v>
      </c>
      <c r="J41" t="str" cm="1">
        <f t="array" ref="J41">IFERROR(_xlfn.MODE.SNGL(_xlfn._xlws.FILTER(nNOTA,(nCUENTA=1)*(nASIG=B41)*(nAPTO="S"))),"—")</f>
        <v>—</v>
      </c>
      <c r="K41" t="str" cm="1">
        <f t="array" ref="K41">IFERROR(_xlfn.MODE.SNGL(_xlfn._xlws.FILTER(nNOTA,(nCUENTA=1)*(nASIG=B41)*(nAPTO="N"))),"—")</f>
        <v>—</v>
      </c>
      <c r="L41">
        <f>SUMPRODUCT((nCUENTA=1)*(nASIG=B41)*(nNOTA=1))</f>
        <v>0</v>
      </c>
      <c r="M41">
        <f>SUMPRODUCT((nCUENTA=1)*(nASIG=B41)*(nNOTA=2))</f>
        <v>0</v>
      </c>
      <c r="N41">
        <f>SUMPRODUCT((nCUENTA=1)*(nASIG=B41)*(nNOTA=3))</f>
        <v>0</v>
      </c>
      <c r="O41">
        <f>SUMPRODUCT((nCUENTA=1)*(nASIG=B41)*(nNOTA=4))</f>
        <v>0</v>
      </c>
      <c r="P41">
        <f>SUMPRODUCT((nCUENTA=1)*(nASIG=B41)*(nNOTA=5))</f>
        <v>0</v>
      </c>
      <c r="Q41">
        <f>SUMPRODUCT((nCUENTA=1)*(nASIG=B41)*(nNOTA=6))</f>
        <v>0</v>
      </c>
      <c r="R41">
        <f>SUMPRODUCT((nCUENTA=1)*(nASIG=B41)*(nNOTA=7))</f>
        <v>0</v>
      </c>
      <c r="S41">
        <f>SUMPRODUCT((nCUENTA=1)*(nASIG=B41)*(nNOTA=8))</f>
        <v>0</v>
      </c>
      <c r="T41">
        <f>SUMPRODUCT((nCUENTA=1)*(nASIG=B41)*(nNOTA=9))</f>
        <v>0</v>
      </c>
      <c r="U41">
        <f>SUMPRODUCT((nCUENTA=1)*(nASIG=B41)*(nNOTA=10))</f>
        <v>0</v>
      </c>
    </row>
    <row r="42">
      <c r="A42" t="inlineStr">
        <is>
          <t xml:space="preserve">GLOBAL</t>
        </is>
      </c>
      <c r="B42" cm="1">
        <f t="array" ref="B42">IFERROR(INDEX(_xlfn._xlws.FILTER(CONFIG_ASIGNATURAS!$B$2:$B$91,CONFIG_ASIGNATURAS!$G$2:$G$91="Sí"),37),"")</f>
      </c>
      <c r="C42">
        <f>IF(B42="","",IFERROR(VLOOKUP(B42,CONFIG_ASIGNATURAS!$B$2:$D$91,3,FALSE()),"Asignatura"))</f>
      </c>
      <c r="D42">
        <f>SUMPRODUCT((nCUENTA=1)*(nASIG=B42))</f>
        <v>0</v>
      </c>
      <c r="E42" s="10" t="str">
        <f>IFERROR(SUMPRODUCT((nCUENTA=1)*(nASIG=B42)*(nNOTA))/D42,"—")</f>
        <v>—</v>
      </c>
      <c r="F42" s="10" t="str" cm="1">
        <f t="array" ref="F42">IFERROR(_xlfn.STDEV.P(_xlfn._xlws.FILTER(nNOTA,(nCUENTA=1)*(nASIG=B42))),"—")</f>
        <v>—</v>
      </c>
      <c r="G42" t="str" cm="1">
        <f t="array" ref="G42">IFERROR(_xlfn.MODE.SNGL(_xlfn._xlws.FILTER(nNOTA,(nCUENTA=1)*(nASIG=B42))),"—")</f>
        <v>—</v>
      </c>
      <c r="H42" s="11" t="str">
        <f>IFERROR(SUMPRODUCT((nCUENTA=1)*(nASIG=B42)*(nAPTO="S"))/D42,"—")</f>
        <v>—</v>
      </c>
      <c r="I42" s="11" t="str">
        <f>IFERROR(SUMPRODUCT((nCUENTA=1)*(nASIG=B42)*(nAPTO="N"))/D42,"—")</f>
        <v>—</v>
      </c>
      <c r="J42" t="str" cm="1">
        <f t="array" ref="J42">IFERROR(_xlfn.MODE.SNGL(_xlfn._xlws.FILTER(nNOTA,(nCUENTA=1)*(nASIG=B42)*(nAPTO="S"))),"—")</f>
        <v>—</v>
      </c>
      <c r="K42" t="str" cm="1">
        <f t="array" ref="K42">IFERROR(_xlfn.MODE.SNGL(_xlfn._xlws.FILTER(nNOTA,(nCUENTA=1)*(nASIG=B42)*(nAPTO="N"))),"—")</f>
        <v>—</v>
      </c>
      <c r="L42">
        <f>SUMPRODUCT((nCUENTA=1)*(nASIG=B42)*(nNOTA=1))</f>
        <v>0</v>
      </c>
      <c r="M42">
        <f>SUMPRODUCT((nCUENTA=1)*(nASIG=B42)*(nNOTA=2))</f>
        <v>0</v>
      </c>
      <c r="N42">
        <f>SUMPRODUCT((nCUENTA=1)*(nASIG=B42)*(nNOTA=3))</f>
        <v>0</v>
      </c>
      <c r="O42">
        <f>SUMPRODUCT((nCUENTA=1)*(nASIG=B42)*(nNOTA=4))</f>
        <v>0</v>
      </c>
      <c r="P42">
        <f>SUMPRODUCT((nCUENTA=1)*(nASIG=B42)*(nNOTA=5))</f>
        <v>0</v>
      </c>
      <c r="Q42">
        <f>SUMPRODUCT((nCUENTA=1)*(nASIG=B42)*(nNOTA=6))</f>
        <v>0</v>
      </c>
      <c r="R42">
        <f>SUMPRODUCT((nCUENTA=1)*(nASIG=B42)*(nNOTA=7))</f>
        <v>0</v>
      </c>
      <c r="S42">
        <f>SUMPRODUCT((nCUENTA=1)*(nASIG=B42)*(nNOTA=8))</f>
        <v>0</v>
      </c>
      <c r="T42">
        <f>SUMPRODUCT((nCUENTA=1)*(nASIG=B42)*(nNOTA=9))</f>
        <v>0</v>
      </c>
      <c r="U42">
        <f>SUMPRODUCT((nCUENTA=1)*(nASIG=B42)*(nNOTA=10))</f>
        <v>0</v>
      </c>
    </row>
    <row r="43">
      <c r="A43" t="inlineStr">
        <is>
          <t xml:space="preserve">GLOBAL</t>
        </is>
      </c>
      <c r="B43" cm="1">
        <f t="array" ref="B43">IFERROR(INDEX(_xlfn._xlws.FILTER(CONFIG_ASIGNATURAS!$B$2:$B$91,CONFIG_ASIGNATURAS!$G$2:$G$91="Sí"),38),"")</f>
      </c>
      <c r="C43">
        <f>IF(B43="","",IFERROR(VLOOKUP(B43,CONFIG_ASIGNATURAS!$B$2:$D$91,3,FALSE()),"Asignatura"))</f>
      </c>
      <c r="D43">
        <f>SUMPRODUCT((nCUENTA=1)*(nASIG=B43))</f>
        <v>0</v>
      </c>
      <c r="E43" s="10" t="str">
        <f>IFERROR(SUMPRODUCT((nCUENTA=1)*(nASIG=B43)*(nNOTA))/D43,"—")</f>
        <v>—</v>
      </c>
      <c r="F43" s="10" t="str" cm="1">
        <f t="array" ref="F43">IFERROR(_xlfn.STDEV.P(_xlfn._xlws.FILTER(nNOTA,(nCUENTA=1)*(nASIG=B43))),"—")</f>
        <v>—</v>
      </c>
      <c r="G43" t="str" cm="1">
        <f t="array" ref="G43">IFERROR(_xlfn.MODE.SNGL(_xlfn._xlws.FILTER(nNOTA,(nCUENTA=1)*(nASIG=B43))),"—")</f>
        <v>—</v>
      </c>
      <c r="H43" s="11" t="str">
        <f>IFERROR(SUMPRODUCT((nCUENTA=1)*(nASIG=B43)*(nAPTO="S"))/D43,"—")</f>
        <v>—</v>
      </c>
      <c r="I43" s="11" t="str">
        <f>IFERROR(SUMPRODUCT((nCUENTA=1)*(nASIG=B43)*(nAPTO="N"))/D43,"—")</f>
        <v>—</v>
      </c>
      <c r="J43" t="str" cm="1">
        <f t="array" ref="J43">IFERROR(_xlfn.MODE.SNGL(_xlfn._xlws.FILTER(nNOTA,(nCUENTA=1)*(nASIG=B43)*(nAPTO="S"))),"—")</f>
        <v>—</v>
      </c>
      <c r="K43" t="str" cm="1">
        <f t="array" ref="K43">IFERROR(_xlfn.MODE.SNGL(_xlfn._xlws.FILTER(nNOTA,(nCUENTA=1)*(nASIG=B43)*(nAPTO="N"))),"—")</f>
        <v>—</v>
      </c>
      <c r="L43">
        <f>SUMPRODUCT((nCUENTA=1)*(nASIG=B43)*(nNOTA=1))</f>
        <v>0</v>
      </c>
      <c r="M43">
        <f>SUMPRODUCT((nCUENTA=1)*(nASIG=B43)*(nNOTA=2))</f>
        <v>0</v>
      </c>
      <c r="N43">
        <f>SUMPRODUCT((nCUENTA=1)*(nASIG=B43)*(nNOTA=3))</f>
        <v>0</v>
      </c>
      <c r="O43">
        <f>SUMPRODUCT((nCUENTA=1)*(nASIG=B43)*(nNOTA=4))</f>
        <v>0</v>
      </c>
      <c r="P43">
        <f>SUMPRODUCT((nCUENTA=1)*(nASIG=B43)*(nNOTA=5))</f>
        <v>0</v>
      </c>
      <c r="Q43">
        <f>SUMPRODUCT((nCUENTA=1)*(nASIG=B43)*(nNOTA=6))</f>
        <v>0</v>
      </c>
      <c r="R43">
        <f>SUMPRODUCT((nCUENTA=1)*(nASIG=B43)*(nNOTA=7))</f>
        <v>0</v>
      </c>
      <c r="S43">
        <f>SUMPRODUCT((nCUENTA=1)*(nASIG=B43)*(nNOTA=8))</f>
        <v>0</v>
      </c>
      <c r="T43">
        <f>SUMPRODUCT((nCUENTA=1)*(nASIG=B43)*(nNOTA=9))</f>
        <v>0</v>
      </c>
      <c r="U43">
        <f>SUMPRODUCT((nCUENTA=1)*(nASIG=B43)*(nNOTA=10))</f>
        <v>0</v>
      </c>
    </row>
    <row r="44">
      <c r="A44" t="inlineStr">
        <is>
          <t xml:space="preserve">GLOBAL</t>
        </is>
      </c>
      <c r="B44" cm="1">
        <f t="array" ref="B44">IFERROR(INDEX(_xlfn._xlws.FILTER(CONFIG_ASIGNATURAS!$B$2:$B$91,CONFIG_ASIGNATURAS!$G$2:$G$91="Sí"),39),"")</f>
      </c>
      <c r="C44">
        <f>IF(B44="","",IFERROR(VLOOKUP(B44,CONFIG_ASIGNATURAS!$B$2:$D$91,3,FALSE()),"Asignatura"))</f>
      </c>
      <c r="D44">
        <f>SUMPRODUCT((nCUENTA=1)*(nASIG=B44))</f>
        <v>0</v>
      </c>
      <c r="E44" s="10" t="str">
        <f>IFERROR(SUMPRODUCT((nCUENTA=1)*(nASIG=B44)*(nNOTA))/D44,"—")</f>
        <v>—</v>
      </c>
      <c r="F44" s="10" t="str" cm="1">
        <f t="array" ref="F44">IFERROR(_xlfn.STDEV.P(_xlfn._xlws.FILTER(nNOTA,(nCUENTA=1)*(nASIG=B44))),"—")</f>
        <v>—</v>
      </c>
      <c r="G44" t="str" cm="1">
        <f t="array" ref="G44">IFERROR(_xlfn.MODE.SNGL(_xlfn._xlws.FILTER(nNOTA,(nCUENTA=1)*(nASIG=B44))),"—")</f>
        <v>—</v>
      </c>
      <c r="H44" s="11" t="str">
        <f>IFERROR(SUMPRODUCT((nCUENTA=1)*(nASIG=B44)*(nAPTO="S"))/D44,"—")</f>
        <v>—</v>
      </c>
      <c r="I44" s="11" t="str">
        <f>IFERROR(SUMPRODUCT((nCUENTA=1)*(nASIG=B44)*(nAPTO="N"))/D44,"—")</f>
        <v>—</v>
      </c>
      <c r="J44" t="str" cm="1">
        <f t="array" ref="J44">IFERROR(_xlfn.MODE.SNGL(_xlfn._xlws.FILTER(nNOTA,(nCUENTA=1)*(nASIG=B44)*(nAPTO="S"))),"—")</f>
        <v>—</v>
      </c>
      <c r="K44" t="str" cm="1">
        <f t="array" ref="K44">IFERROR(_xlfn.MODE.SNGL(_xlfn._xlws.FILTER(nNOTA,(nCUENTA=1)*(nASIG=B44)*(nAPTO="N"))),"—")</f>
        <v>—</v>
      </c>
      <c r="L44">
        <f>SUMPRODUCT((nCUENTA=1)*(nASIG=B44)*(nNOTA=1))</f>
        <v>0</v>
      </c>
      <c r="M44">
        <f>SUMPRODUCT((nCUENTA=1)*(nASIG=B44)*(nNOTA=2))</f>
        <v>0</v>
      </c>
      <c r="N44">
        <f>SUMPRODUCT((nCUENTA=1)*(nASIG=B44)*(nNOTA=3))</f>
        <v>0</v>
      </c>
      <c r="O44">
        <f>SUMPRODUCT((nCUENTA=1)*(nASIG=B44)*(nNOTA=4))</f>
        <v>0</v>
      </c>
      <c r="P44">
        <f>SUMPRODUCT((nCUENTA=1)*(nASIG=B44)*(nNOTA=5))</f>
        <v>0</v>
      </c>
      <c r="Q44">
        <f>SUMPRODUCT((nCUENTA=1)*(nASIG=B44)*(nNOTA=6))</f>
        <v>0</v>
      </c>
      <c r="R44">
        <f>SUMPRODUCT((nCUENTA=1)*(nASIG=B44)*(nNOTA=7))</f>
        <v>0</v>
      </c>
      <c r="S44">
        <f>SUMPRODUCT((nCUENTA=1)*(nASIG=B44)*(nNOTA=8))</f>
        <v>0</v>
      </c>
      <c r="T44">
        <f>SUMPRODUCT((nCUENTA=1)*(nASIG=B44)*(nNOTA=9))</f>
        <v>0</v>
      </c>
      <c r="U44">
        <f>SUMPRODUCT((nCUENTA=1)*(nASIG=B44)*(nNOTA=10))</f>
        <v>0</v>
      </c>
    </row>
    <row r="45">
      <c r="A45" t="inlineStr">
        <is>
          <t xml:space="preserve">GLOBAL</t>
        </is>
      </c>
      <c r="B45" cm="1">
        <f t="array" ref="B45">IFERROR(INDEX(_xlfn._xlws.FILTER(CONFIG_ASIGNATURAS!$B$2:$B$91,CONFIG_ASIGNATURAS!$G$2:$G$91="Sí"),40),"")</f>
      </c>
      <c r="C45">
        <f>IF(B45="","",IFERROR(VLOOKUP(B45,CONFIG_ASIGNATURAS!$B$2:$D$91,3,FALSE()),"Asignatura"))</f>
      </c>
      <c r="D45">
        <f>SUMPRODUCT((nCUENTA=1)*(nASIG=B45))</f>
        <v>0</v>
      </c>
      <c r="E45" s="10" t="str">
        <f>IFERROR(SUMPRODUCT((nCUENTA=1)*(nASIG=B45)*(nNOTA))/D45,"—")</f>
        <v>—</v>
      </c>
      <c r="F45" s="10" t="str" cm="1">
        <f t="array" ref="F45">IFERROR(_xlfn.STDEV.P(_xlfn._xlws.FILTER(nNOTA,(nCUENTA=1)*(nASIG=B45))),"—")</f>
        <v>—</v>
      </c>
      <c r="G45" t="str" cm="1">
        <f t="array" ref="G45">IFERROR(_xlfn.MODE.SNGL(_xlfn._xlws.FILTER(nNOTA,(nCUENTA=1)*(nASIG=B45))),"—")</f>
        <v>—</v>
      </c>
      <c r="H45" s="11" t="str">
        <f>IFERROR(SUMPRODUCT((nCUENTA=1)*(nASIG=B45)*(nAPTO="S"))/D45,"—")</f>
        <v>—</v>
      </c>
      <c r="I45" s="11" t="str">
        <f>IFERROR(SUMPRODUCT((nCUENTA=1)*(nASIG=B45)*(nAPTO="N"))/D45,"—")</f>
        <v>—</v>
      </c>
      <c r="J45" t="str" cm="1">
        <f t="array" ref="J45">IFERROR(_xlfn.MODE.SNGL(_xlfn._xlws.FILTER(nNOTA,(nCUENTA=1)*(nASIG=B45)*(nAPTO="S"))),"—")</f>
        <v>—</v>
      </c>
      <c r="K45" t="str" cm="1">
        <f t="array" ref="K45">IFERROR(_xlfn.MODE.SNGL(_xlfn._xlws.FILTER(nNOTA,(nCUENTA=1)*(nASIG=B45)*(nAPTO="N"))),"—")</f>
        <v>—</v>
      </c>
      <c r="L45">
        <f>SUMPRODUCT((nCUENTA=1)*(nASIG=B45)*(nNOTA=1))</f>
        <v>0</v>
      </c>
      <c r="M45">
        <f>SUMPRODUCT((nCUENTA=1)*(nASIG=B45)*(nNOTA=2))</f>
        <v>0</v>
      </c>
      <c r="N45">
        <f>SUMPRODUCT((nCUENTA=1)*(nASIG=B45)*(nNOTA=3))</f>
        <v>0</v>
      </c>
      <c r="O45">
        <f>SUMPRODUCT((nCUENTA=1)*(nASIG=B45)*(nNOTA=4))</f>
        <v>0</v>
      </c>
      <c r="P45">
        <f>SUMPRODUCT((nCUENTA=1)*(nASIG=B45)*(nNOTA=5))</f>
        <v>0</v>
      </c>
      <c r="Q45">
        <f>SUMPRODUCT((nCUENTA=1)*(nASIG=B45)*(nNOTA=6))</f>
        <v>0</v>
      </c>
      <c r="R45">
        <f>SUMPRODUCT((nCUENTA=1)*(nASIG=B45)*(nNOTA=7))</f>
        <v>0</v>
      </c>
      <c r="S45">
        <f>SUMPRODUCT((nCUENTA=1)*(nASIG=B45)*(nNOTA=8))</f>
        <v>0</v>
      </c>
      <c r="T45">
        <f>SUMPRODUCT((nCUENTA=1)*(nASIG=B45)*(nNOTA=9))</f>
        <v>0</v>
      </c>
      <c r="U45">
        <f>SUMPRODUCT((nCUENTA=1)*(nASIG=B45)*(nNOTA=10))</f>
        <v>0</v>
      </c>
    </row>
    <row r="46">
      <c r="A46" t="inlineStr">
        <is>
          <t xml:space="preserve">GLOBAL</t>
        </is>
      </c>
      <c r="B46" cm="1">
        <f t="array" ref="B46">IFERROR(INDEX(_xlfn._xlws.FILTER(CONFIG_ASIGNATURAS!$B$2:$B$91,CONFIG_ASIGNATURAS!$G$2:$G$91="Sí"),41),"")</f>
      </c>
      <c r="C46">
        <f>IF(B46="","",IFERROR(VLOOKUP(B46,CONFIG_ASIGNATURAS!$B$2:$D$91,3,FALSE()),"Asignatura"))</f>
      </c>
      <c r="D46">
        <f>SUMPRODUCT((nCUENTA=1)*(nASIG=B46))</f>
        <v>0</v>
      </c>
      <c r="E46" s="10" t="str">
        <f>IFERROR(SUMPRODUCT((nCUENTA=1)*(nASIG=B46)*(nNOTA))/D46,"—")</f>
        <v>—</v>
      </c>
      <c r="F46" s="10" t="str" cm="1">
        <f t="array" ref="F46">IFERROR(_xlfn.STDEV.P(_xlfn._xlws.FILTER(nNOTA,(nCUENTA=1)*(nASIG=B46))),"—")</f>
        <v>—</v>
      </c>
      <c r="G46" t="str" cm="1">
        <f t="array" ref="G46">IFERROR(_xlfn.MODE.SNGL(_xlfn._xlws.FILTER(nNOTA,(nCUENTA=1)*(nASIG=B46))),"—")</f>
        <v>—</v>
      </c>
      <c r="H46" s="11" t="str">
        <f>IFERROR(SUMPRODUCT((nCUENTA=1)*(nASIG=B46)*(nAPTO="S"))/D46,"—")</f>
        <v>—</v>
      </c>
      <c r="I46" s="11" t="str">
        <f>IFERROR(SUMPRODUCT((nCUENTA=1)*(nASIG=B46)*(nAPTO="N"))/D46,"—")</f>
        <v>—</v>
      </c>
      <c r="J46" t="str" cm="1">
        <f t="array" ref="J46">IFERROR(_xlfn.MODE.SNGL(_xlfn._xlws.FILTER(nNOTA,(nCUENTA=1)*(nASIG=B46)*(nAPTO="S"))),"—")</f>
        <v>—</v>
      </c>
      <c r="K46" t="str" cm="1">
        <f t="array" ref="K46">IFERROR(_xlfn.MODE.SNGL(_xlfn._xlws.FILTER(nNOTA,(nCUENTA=1)*(nASIG=B46)*(nAPTO="N"))),"—")</f>
        <v>—</v>
      </c>
      <c r="L46">
        <f>SUMPRODUCT((nCUENTA=1)*(nASIG=B46)*(nNOTA=1))</f>
        <v>0</v>
      </c>
      <c r="M46">
        <f>SUMPRODUCT((nCUENTA=1)*(nASIG=B46)*(nNOTA=2))</f>
        <v>0</v>
      </c>
      <c r="N46">
        <f>SUMPRODUCT((nCUENTA=1)*(nASIG=B46)*(nNOTA=3))</f>
        <v>0</v>
      </c>
      <c r="O46">
        <f>SUMPRODUCT((nCUENTA=1)*(nASIG=B46)*(nNOTA=4))</f>
        <v>0</v>
      </c>
      <c r="P46">
        <f>SUMPRODUCT((nCUENTA=1)*(nASIG=B46)*(nNOTA=5))</f>
        <v>0</v>
      </c>
      <c r="Q46">
        <f>SUMPRODUCT((nCUENTA=1)*(nASIG=B46)*(nNOTA=6))</f>
        <v>0</v>
      </c>
      <c r="R46">
        <f>SUMPRODUCT((nCUENTA=1)*(nASIG=B46)*(nNOTA=7))</f>
        <v>0</v>
      </c>
      <c r="S46">
        <f>SUMPRODUCT((nCUENTA=1)*(nASIG=B46)*(nNOTA=8))</f>
        <v>0</v>
      </c>
      <c r="T46">
        <f>SUMPRODUCT((nCUENTA=1)*(nASIG=B46)*(nNOTA=9))</f>
        <v>0</v>
      </c>
      <c r="U46">
        <f>SUMPRODUCT((nCUENTA=1)*(nASIG=B46)*(nNOTA=10))</f>
        <v>0</v>
      </c>
    </row>
    <row r="47">
      <c r="A47" t="inlineStr">
        <is>
          <t xml:space="preserve">GLOBAL</t>
        </is>
      </c>
      <c r="B47" cm="1">
        <f t="array" ref="B47">IFERROR(INDEX(_xlfn._xlws.FILTER(CONFIG_ASIGNATURAS!$B$2:$B$91,CONFIG_ASIGNATURAS!$G$2:$G$91="Sí"),42),"")</f>
      </c>
      <c r="C47">
        <f>IF(B47="","",IFERROR(VLOOKUP(B47,CONFIG_ASIGNATURAS!$B$2:$D$91,3,FALSE()),"Asignatura"))</f>
      </c>
      <c r="D47">
        <f>SUMPRODUCT((nCUENTA=1)*(nASIG=B47))</f>
        <v>0</v>
      </c>
      <c r="E47" s="10" t="str">
        <f>IFERROR(SUMPRODUCT((nCUENTA=1)*(nASIG=B47)*(nNOTA))/D47,"—")</f>
        <v>—</v>
      </c>
      <c r="F47" s="10" t="str" cm="1">
        <f t="array" ref="F47">IFERROR(_xlfn.STDEV.P(_xlfn._xlws.FILTER(nNOTA,(nCUENTA=1)*(nASIG=B47))),"—")</f>
        <v>—</v>
      </c>
      <c r="G47" t="str" cm="1">
        <f t="array" ref="G47">IFERROR(_xlfn.MODE.SNGL(_xlfn._xlws.FILTER(nNOTA,(nCUENTA=1)*(nASIG=B47))),"—")</f>
        <v>—</v>
      </c>
      <c r="H47" s="11" t="str">
        <f>IFERROR(SUMPRODUCT((nCUENTA=1)*(nASIG=B47)*(nAPTO="S"))/D47,"—")</f>
        <v>—</v>
      </c>
      <c r="I47" s="11" t="str">
        <f>IFERROR(SUMPRODUCT((nCUENTA=1)*(nASIG=B47)*(nAPTO="N"))/D47,"—")</f>
        <v>—</v>
      </c>
      <c r="J47" t="str" cm="1">
        <f t="array" ref="J47">IFERROR(_xlfn.MODE.SNGL(_xlfn._xlws.FILTER(nNOTA,(nCUENTA=1)*(nASIG=B47)*(nAPTO="S"))),"—")</f>
        <v>—</v>
      </c>
      <c r="K47" t="str" cm="1">
        <f t="array" ref="K47">IFERROR(_xlfn.MODE.SNGL(_xlfn._xlws.FILTER(nNOTA,(nCUENTA=1)*(nASIG=B47)*(nAPTO="N"))),"—")</f>
        <v>—</v>
      </c>
      <c r="L47">
        <f>SUMPRODUCT((nCUENTA=1)*(nASIG=B47)*(nNOTA=1))</f>
        <v>0</v>
      </c>
      <c r="M47">
        <f>SUMPRODUCT((nCUENTA=1)*(nASIG=B47)*(nNOTA=2))</f>
        <v>0</v>
      </c>
      <c r="N47">
        <f>SUMPRODUCT((nCUENTA=1)*(nASIG=B47)*(nNOTA=3))</f>
        <v>0</v>
      </c>
      <c r="O47">
        <f>SUMPRODUCT((nCUENTA=1)*(nASIG=B47)*(nNOTA=4))</f>
        <v>0</v>
      </c>
      <c r="P47">
        <f>SUMPRODUCT((nCUENTA=1)*(nASIG=B47)*(nNOTA=5))</f>
        <v>0</v>
      </c>
      <c r="Q47">
        <f>SUMPRODUCT((nCUENTA=1)*(nASIG=B47)*(nNOTA=6))</f>
        <v>0</v>
      </c>
      <c r="R47">
        <f>SUMPRODUCT((nCUENTA=1)*(nASIG=B47)*(nNOTA=7))</f>
        <v>0</v>
      </c>
      <c r="S47">
        <f>SUMPRODUCT((nCUENTA=1)*(nASIG=B47)*(nNOTA=8))</f>
        <v>0</v>
      </c>
      <c r="T47">
        <f>SUMPRODUCT((nCUENTA=1)*(nASIG=B47)*(nNOTA=9))</f>
        <v>0</v>
      </c>
      <c r="U47">
        <f>SUMPRODUCT((nCUENTA=1)*(nASIG=B47)*(nNOTA=10))</f>
        <v>0</v>
      </c>
    </row>
    <row r="48">
      <c r="A48" t="inlineStr">
        <is>
          <t xml:space="preserve">GLOBAL</t>
        </is>
      </c>
      <c r="B48" cm="1">
        <f t="array" ref="B48">IFERROR(INDEX(_xlfn._xlws.FILTER(CONFIG_ASIGNATURAS!$B$2:$B$91,CONFIG_ASIGNATURAS!$G$2:$G$91="Sí"),43),"")</f>
      </c>
      <c r="C48">
        <f>IF(B48="","",IFERROR(VLOOKUP(B48,CONFIG_ASIGNATURAS!$B$2:$D$91,3,FALSE()),"Asignatura"))</f>
      </c>
      <c r="D48">
        <f>SUMPRODUCT((nCUENTA=1)*(nASIG=B48))</f>
        <v>0</v>
      </c>
      <c r="E48" s="10" t="str">
        <f>IFERROR(SUMPRODUCT((nCUENTA=1)*(nASIG=B48)*(nNOTA))/D48,"—")</f>
        <v>—</v>
      </c>
      <c r="F48" s="10" t="str" cm="1">
        <f t="array" ref="F48">IFERROR(_xlfn.STDEV.P(_xlfn._xlws.FILTER(nNOTA,(nCUENTA=1)*(nASIG=B48))),"—")</f>
        <v>—</v>
      </c>
      <c r="G48" t="str" cm="1">
        <f t="array" ref="G48">IFERROR(_xlfn.MODE.SNGL(_xlfn._xlws.FILTER(nNOTA,(nCUENTA=1)*(nASIG=B48))),"—")</f>
        <v>—</v>
      </c>
      <c r="H48" s="11" t="str">
        <f>IFERROR(SUMPRODUCT((nCUENTA=1)*(nASIG=B48)*(nAPTO="S"))/D48,"—")</f>
        <v>—</v>
      </c>
      <c r="I48" s="11" t="str">
        <f>IFERROR(SUMPRODUCT((nCUENTA=1)*(nASIG=B48)*(nAPTO="N"))/D48,"—")</f>
        <v>—</v>
      </c>
      <c r="J48" t="str" cm="1">
        <f t="array" ref="J48">IFERROR(_xlfn.MODE.SNGL(_xlfn._xlws.FILTER(nNOTA,(nCUENTA=1)*(nASIG=B48)*(nAPTO="S"))),"—")</f>
        <v>—</v>
      </c>
      <c r="K48" t="str" cm="1">
        <f t="array" ref="K48">IFERROR(_xlfn.MODE.SNGL(_xlfn._xlws.FILTER(nNOTA,(nCUENTA=1)*(nASIG=B48)*(nAPTO="N"))),"—")</f>
        <v>—</v>
      </c>
      <c r="L48">
        <f>SUMPRODUCT((nCUENTA=1)*(nASIG=B48)*(nNOTA=1))</f>
        <v>0</v>
      </c>
      <c r="M48">
        <f>SUMPRODUCT((nCUENTA=1)*(nASIG=B48)*(nNOTA=2))</f>
        <v>0</v>
      </c>
      <c r="N48">
        <f>SUMPRODUCT((nCUENTA=1)*(nASIG=B48)*(nNOTA=3))</f>
        <v>0</v>
      </c>
      <c r="O48">
        <f>SUMPRODUCT((nCUENTA=1)*(nASIG=B48)*(nNOTA=4))</f>
        <v>0</v>
      </c>
      <c r="P48">
        <f>SUMPRODUCT((nCUENTA=1)*(nASIG=B48)*(nNOTA=5))</f>
        <v>0</v>
      </c>
      <c r="Q48">
        <f>SUMPRODUCT((nCUENTA=1)*(nASIG=B48)*(nNOTA=6))</f>
        <v>0</v>
      </c>
      <c r="R48">
        <f>SUMPRODUCT((nCUENTA=1)*(nASIG=B48)*(nNOTA=7))</f>
        <v>0</v>
      </c>
      <c r="S48">
        <f>SUMPRODUCT((nCUENTA=1)*(nASIG=B48)*(nNOTA=8))</f>
        <v>0</v>
      </c>
      <c r="T48">
        <f>SUMPRODUCT((nCUENTA=1)*(nASIG=B48)*(nNOTA=9))</f>
        <v>0</v>
      </c>
      <c r="U48">
        <f>SUMPRODUCT((nCUENTA=1)*(nASIG=B48)*(nNOTA=10))</f>
        <v>0</v>
      </c>
    </row>
    <row r="49">
      <c r="A49" t="inlineStr">
        <is>
          <t xml:space="preserve">GLOBAL</t>
        </is>
      </c>
      <c r="B49" cm="1">
        <f t="array" ref="B49">IFERROR(INDEX(_xlfn._xlws.FILTER(CONFIG_ASIGNATURAS!$B$2:$B$91,CONFIG_ASIGNATURAS!$G$2:$G$91="Sí"),44),"")</f>
      </c>
      <c r="C49">
        <f>IF(B49="","",IFERROR(VLOOKUP(B49,CONFIG_ASIGNATURAS!$B$2:$D$91,3,FALSE()),"Asignatura"))</f>
      </c>
      <c r="D49">
        <f>SUMPRODUCT((nCUENTA=1)*(nASIG=B49))</f>
        <v>0</v>
      </c>
      <c r="E49" s="10" t="str">
        <f>IFERROR(SUMPRODUCT((nCUENTA=1)*(nASIG=B49)*(nNOTA))/D49,"—")</f>
        <v>—</v>
      </c>
      <c r="F49" s="10" t="str" cm="1">
        <f t="array" ref="F49">IFERROR(_xlfn.STDEV.P(_xlfn._xlws.FILTER(nNOTA,(nCUENTA=1)*(nASIG=B49))),"—")</f>
        <v>—</v>
      </c>
      <c r="G49" t="str" cm="1">
        <f t="array" ref="G49">IFERROR(_xlfn.MODE.SNGL(_xlfn._xlws.FILTER(nNOTA,(nCUENTA=1)*(nASIG=B49))),"—")</f>
        <v>—</v>
      </c>
      <c r="H49" s="11" t="str">
        <f>IFERROR(SUMPRODUCT((nCUENTA=1)*(nASIG=B49)*(nAPTO="S"))/D49,"—")</f>
        <v>—</v>
      </c>
      <c r="I49" s="11" t="str">
        <f>IFERROR(SUMPRODUCT((nCUENTA=1)*(nASIG=B49)*(nAPTO="N"))/D49,"—")</f>
        <v>—</v>
      </c>
      <c r="J49" t="str" cm="1">
        <f t="array" ref="J49">IFERROR(_xlfn.MODE.SNGL(_xlfn._xlws.FILTER(nNOTA,(nCUENTA=1)*(nASIG=B49)*(nAPTO="S"))),"—")</f>
        <v>—</v>
      </c>
      <c r="K49" t="str" cm="1">
        <f t="array" ref="K49">IFERROR(_xlfn.MODE.SNGL(_xlfn._xlws.FILTER(nNOTA,(nCUENTA=1)*(nASIG=B49)*(nAPTO="N"))),"—")</f>
        <v>—</v>
      </c>
      <c r="L49">
        <f>SUMPRODUCT((nCUENTA=1)*(nASIG=B49)*(nNOTA=1))</f>
        <v>0</v>
      </c>
      <c r="M49">
        <f>SUMPRODUCT((nCUENTA=1)*(nASIG=B49)*(nNOTA=2))</f>
        <v>0</v>
      </c>
      <c r="N49">
        <f>SUMPRODUCT((nCUENTA=1)*(nASIG=B49)*(nNOTA=3))</f>
        <v>0</v>
      </c>
      <c r="O49">
        <f>SUMPRODUCT((nCUENTA=1)*(nASIG=B49)*(nNOTA=4))</f>
        <v>0</v>
      </c>
      <c r="P49">
        <f>SUMPRODUCT((nCUENTA=1)*(nASIG=B49)*(nNOTA=5))</f>
        <v>0</v>
      </c>
      <c r="Q49">
        <f>SUMPRODUCT((nCUENTA=1)*(nASIG=B49)*(nNOTA=6))</f>
        <v>0</v>
      </c>
      <c r="R49">
        <f>SUMPRODUCT((nCUENTA=1)*(nASIG=B49)*(nNOTA=7))</f>
        <v>0</v>
      </c>
      <c r="S49">
        <f>SUMPRODUCT((nCUENTA=1)*(nASIG=B49)*(nNOTA=8))</f>
        <v>0</v>
      </c>
      <c r="T49">
        <f>SUMPRODUCT((nCUENTA=1)*(nASIG=B49)*(nNOTA=9))</f>
        <v>0</v>
      </c>
      <c r="U49">
        <f>SUMPRODUCT((nCUENTA=1)*(nASIG=B49)*(nNOTA=10))</f>
        <v>0</v>
      </c>
    </row>
    <row r="50">
      <c r="A50" t="inlineStr">
        <is>
          <t xml:space="preserve">GLOBAL</t>
        </is>
      </c>
      <c r="B50" cm="1">
        <f t="array" ref="B50">IFERROR(INDEX(_xlfn._xlws.FILTER(CONFIG_ASIGNATURAS!$B$2:$B$91,CONFIG_ASIGNATURAS!$G$2:$G$91="Sí"),45),"")</f>
      </c>
      <c r="C50">
        <f>IF(B50="","",IFERROR(VLOOKUP(B50,CONFIG_ASIGNATURAS!$B$2:$D$91,3,FALSE()),"Asignatura"))</f>
      </c>
      <c r="D50">
        <f>SUMPRODUCT((nCUENTA=1)*(nASIG=B50))</f>
        <v>0</v>
      </c>
      <c r="E50" s="10" t="str">
        <f>IFERROR(SUMPRODUCT((nCUENTA=1)*(nASIG=B50)*(nNOTA))/D50,"—")</f>
        <v>—</v>
      </c>
      <c r="F50" s="10" t="str" cm="1">
        <f t="array" ref="F50">IFERROR(_xlfn.STDEV.P(_xlfn._xlws.FILTER(nNOTA,(nCUENTA=1)*(nASIG=B50))),"—")</f>
        <v>—</v>
      </c>
      <c r="G50" t="str" cm="1">
        <f t="array" ref="G50">IFERROR(_xlfn.MODE.SNGL(_xlfn._xlws.FILTER(nNOTA,(nCUENTA=1)*(nASIG=B50))),"—")</f>
        <v>—</v>
      </c>
      <c r="H50" s="11" t="str">
        <f>IFERROR(SUMPRODUCT((nCUENTA=1)*(nASIG=B50)*(nAPTO="S"))/D50,"—")</f>
        <v>—</v>
      </c>
      <c r="I50" s="11" t="str">
        <f>IFERROR(SUMPRODUCT((nCUENTA=1)*(nASIG=B50)*(nAPTO="N"))/D50,"—")</f>
        <v>—</v>
      </c>
      <c r="J50" t="str" cm="1">
        <f t="array" ref="J50">IFERROR(_xlfn.MODE.SNGL(_xlfn._xlws.FILTER(nNOTA,(nCUENTA=1)*(nASIG=B50)*(nAPTO="S"))),"—")</f>
        <v>—</v>
      </c>
      <c r="K50" t="str" cm="1">
        <f t="array" ref="K50">IFERROR(_xlfn.MODE.SNGL(_xlfn._xlws.FILTER(nNOTA,(nCUENTA=1)*(nASIG=B50)*(nAPTO="N"))),"—")</f>
        <v>—</v>
      </c>
      <c r="L50">
        <f>SUMPRODUCT((nCUENTA=1)*(nASIG=B50)*(nNOTA=1))</f>
        <v>0</v>
      </c>
      <c r="M50">
        <f>SUMPRODUCT((nCUENTA=1)*(nASIG=B50)*(nNOTA=2))</f>
        <v>0</v>
      </c>
      <c r="N50">
        <f>SUMPRODUCT((nCUENTA=1)*(nASIG=B50)*(nNOTA=3))</f>
        <v>0</v>
      </c>
      <c r="O50">
        <f>SUMPRODUCT((nCUENTA=1)*(nASIG=B50)*(nNOTA=4))</f>
        <v>0</v>
      </c>
      <c r="P50">
        <f>SUMPRODUCT((nCUENTA=1)*(nASIG=B50)*(nNOTA=5))</f>
        <v>0</v>
      </c>
      <c r="Q50">
        <f>SUMPRODUCT((nCUENTA=1)*(nASIG=B50)*(nNOTA=6))</f>
        <v>0</v>
      </c>
      <c r="R50">
        <f>SUMPRODUCT((nCUENTA=1)*(nASIG=B50)*(nNOTA=7))</f>
        <v>0</v>
      </c>
      <c r="S50">
        <f>SUMPRODUCT((nCUENTA=1)*(nASIG=B50)*(nNOTA=8))</f>
        <v>0</v>
      </c>
      <c r="T50">
        <f>SUMPRODUCT((nCUENTA=1)*(nASIG=B50)*(nNOTA=9))</f>
        <v>0</v>
      </c>
      <c r="U50">
        <f>SUMPRODUCT((nCUENTA=1)*(nASIG=B50)*(nNOTA=10))</f>
        <v>0</v>
      </c>
    </row>
    <row r="51">
      <c r="A51" t="inlineStr">
        <is>
          <t xml:space="preserve">GLOBAL</t>
        </is>
      </c>
      <c r="B51" cm="1">
        <f t="array" ref="B51">IFERROR(INDEX(_xlfn._xlws.FILTER(CONFIG_ASIGNATURAS!$B$2:$B$91,CONFIG_ASIGNATURAS!$G$2:$G$91="Sí"),46),"")</f>
      </c>
      <c r="C51">
        <f>IF(B51="","",IFERROR(VLOOKUP(B51,CONFIG_ASIGNATURAS!$B$2:$D$91,3,FALSE()),"Asignatura"))</f>
      </c>
      <c r="D51">
        <f>SUMPRODUCT((nCUENTA=1)*(nASIG=B51))</f>
        <v>0</v>
      </c>
      <c r="E51" s="10" t="str">
        <f>IFERROR(SUMPRODUCT((nCUENTA=1)*(nASIG=B51)*(nNOTA))/D51,"—")</f>
        <v>—</v>
      </c>
      <c r="F51" s="10" t="str" cm="1">
        <f t="array" ref="F51">IFERROR(_xlfn.STDEV.P(_xlfn._xlws.FILTER(nNOTA,(nCUENTA=1)*(nASIG=B51))),"—")</f>
        <v>—</v>
      </c>
      <c r="G51" t="str" cm="1">
        <f t="array" ref="G51">IFERROR(_xlfn.MODE.SNGL(_xlfn._xlws.FILTER(nNOTA,(nCUENTA=1)*(nASIG=B51))),"—")</f>
        <v>—</v>
      </c>
      <c r="H51" s="11" t="str">
        <f>IFERROR(SUMPRODUCT((nCUENTA=1)*(nASIG=B51)*(nAPTO="S"))/D51,"—")</f>
        <v>—</v>
      </c>
      <c r="I51" s="11" t="str">
        <f>IFERROR(SUMPRODUCT((nCUENTA=1)*(nASIG=B51)*(nAPTO="N"))/D51,"—")</f>
        <v>—</v>
      </c>
      <c r="J51" t="str" cm="1">
        <f t="array" ref="J51">IFERROR(_xlfn.MODE.SNGL(_xlfn._xlws.FILTER(nNOTA,(nCUENTA=1)*(nASIG=B51)*(nAPTO="S"))),"—")</f>
        <v>—</v>
      </c>
      <c r="K51" t="str" cm="1">
        <f t="array" ref="K51">IFERROR(_xlfn.MODE.SNGL(_xlfn._xlws.FILTER(nNOTA,(nCUENTA=1)*(nASIG=B51)*(nAPTO="N"))),"—")</f>
        <v>—</v>
      </c>
      <c r="L51">
        <f>SUMPRODUCT((nCUENTA=1)*(nASIG=B51)*(nNOTA=1))</f>
        <v>0</v>
      </c>
      <c r="M51">
        <f>SUMPRODUCT((nCUENTA=1)*(nASIG=B51)*(nNOTA=2))</f>
        <v>0</v>
      </c>
      <c r="N51">
        <f>SUMPRODUCT((nCUENTA=1)*(nASIG=B51)*(nNOTA=3))</f>
        <v>0</v>
      </c>
      <c r="O51">
        <f>SUMPRODUCT((nCUENTA=1)*(nASIG=B51)*(nNOTA=4))</f>
        <v>0</v>
      </c>
      <c r="P51">
        <f>SUMPRODUCT((nCUENTA=1)*(nASIG=B51)*(nNOTA=5))</f>
        <v>0</v>
      </c>
      <c r="Q51">
        <f>SUMPRODUCT((nCUENTA=1)*(nASIG=B51)*(nNOTA=6))</f>
        <v>0</v>
      </c>
      <c r="R51">
        <f>SUMPRODUCT((nCUENTA=1)*(nASIG=B51)*(nNOTA=7))</f>
        <v>0</v>
      </c>
      <c r="S51">
        <f>SUMPRODUCT((nCUENTA=1)*(nASIG=B51)*(nNOTA=8))</f>
        <v>0</v>
      </c>
      <c r="T51">
        <f>SUMPRODUCT((nCUENTA=1)*(nASIG=B51)*(nNOTA=9))</f>
        <v>0</v>
      </c>
      <c r="U51">
        <f>SUMPRODUCT((nCUENTA=1)*(nASIG=B51)*(nNOTA=10))</f>
        <v>0</v>
      </c>
    </row>
    <row r="52">
      <c r="A52" t="inlineStr">
        <is>
          <t xml:space="preserve">GLOBAL</t>
        </is>
      </c>
      <c r="B52" cm="1">
        <f t="array" ref="B52">IFERROR(INDEX(_xlfn._xlws.FILTER(CONFIG_ASIGNATURAS!$B$2:$B$91,CONFIG_ASIGNATURAS!$G$2:$G$91="Sí"),47),"")</f>
      </c>
      <c r="C52">
        <f>IF(B52="","",IFERROR(VLOOKUP(B52,CONFIG_ASIGNATURAS!$B$2:$D$91,3,FALSE()),"Asignatura"))</f>
      </c>
      <c r="D52">
        <f>SUMPRODUCT((nCUENTA=1)*(nASIG=B52))</f>
        <v>0</v>
      </c>
      <c r="E52" s="10" t="str">
        <f>IFERROR(SUMPRODUCT((nCUENTA=1)*(nASIG=B52)*(nNOTA))/D52,"—")</f>
        <v>—</v>
      </c>
      <c r="F52" s="10" t="str" cm="1">
        <f t="array" ref="F52">IFERROR(_xlfn.STDEV.P(_xlfn._xlws.FILTER(nNOTA,(nCUENTA=1)*(nASIG=B52))),"—")</f>
        <v>—</v>
      </c>
      <c r="G52" t="str" cm="1">
        <f t="array" ref="G52">IFERROR(_xlfn.MODE.SNGL(_xlfn._xlws.FILTER(nNOTA,(nCUENTA=1)*(nASIG=B52))),"—")</f>
        <v>—</v>
      </c>
      <c r="H52" s="11" t="str">
        <f>IFERROR(SUMPRODUCT((nCUENTA=1)*(nASIG=B52)*(nAPTO="S"))/D52,"—")</f>
        <v>—</v>
      </c>
      <c r="I52" s="11" t="str">
        <f>IFERROR(SUMPRODUCT((nCUENTA=1)*(nASIG=B52)*(nAPTO="N"))/D52,"—")</f>
        <v>—</v>
      </c>
      <c r="J52" t="str" cm="1">
        <f t="array" ref="J52">IFERROR(_xlfn.MODE.SNGL(_xlfn._xlws.FILTER(nNOTA,(nCUENTA=1)*(nASIG=B52)*(nAPTO="S"))),"—")</f>
        <v>—</v>
      </c>
      <c r="K52" t="str" cm="1">
        <f t="array" ref="K52">IFERROR(_xlfn.MODE.SNGL(_xlfn._xlws.FILTER(nNOTA,(nCUENTA=1)*(nASIG=B52)*(nAPTO="N"))),"—")</f>
        <v>—</v>
      </c>
      <c r="L52">
        <f>SUMPRODUCT((nCUENTA=1)*(nASIG=B52)*(nNOTA=1))</f>
        <v>0</v>
      </c>
      <c r="M52">
        <f>SUMPRODUCT((nCUENTA=1)*(nASIG=B52)*(nNOTA=2))</f>
        <v>0</v>
      </c>
      <c r="N52">
        <f>SUMPRODUCT((nCUENTA=1)*(nASIG=B52)*(nNOTA=3))</f>
        <v>0</v>
      </c>
      <c r="O52">
        <f>SUMPRODUCT((nCUENTA=1)*(nASIG=B52)*(nNOTA=4))</f>
        <v>0</v>
      </c>
      <c r="P52">
        <f>SUMPRODUCT((nCUENTA=1)*(nASIG=B52)*(nNOTA=5))</f>
        <v>0</v>
      </c>
      <c r="Q52">
        <f>SUMPRODUCT((nCUENTA=1)*(nASIG=B52)*(nNOTA=6))</f>
        <v>0</v>
      </c>
      <c r="R52">
        <f>SUMPRODUCT((nCUENTA=1)*(nASIG=B52)*(nNOTA=7))</f>
        <v>0</v>
      </c>
      <c r="S52">
        <f>SUMPRODUCT((nCUENTA=1)*(nASIG=B52)*(nNOTA=8))</f>
        <v>0</v>
      </c>
      <c r="T52">
        <f>SUMPRODUCT((nCUENTA=1)*(nASIG=B52)*(nNOTA=9))</f>
        <v>0</v>
      </c>
      <c r="U52">
        <f>SUMPRODUCT((nCUENTA=1)*(nASIG=B52)*(nNOTA=10))</f>
        <v>0</v>
      </c>
    </row>
    <row r="53">
      <c r="A53" t="inlineStr">
        <is>
          <t xml:space="preserve">GLOBAL</t>
        </is>
      </c>
      <c r="B53" cm="1">
        <f t="array" ref="B53">IFERROR(INDEX(_xlfn._xlws.FILTER(CONFIG_ASIGNATURAS!$B$2:$B$91,CONFIG_ASIGNATURAS!$G$2:$G$91="Sí"),48),"")</f>
      </c>
      <c r="C53">
        <f>IF(B53="","",IFERROR(VLOOKUP(B53,CONFIG_ASIGNATURAS!$B$2:$D$91,3,FALSE()),"Asignatura"))</f>
      </c>
      <c r="D53">
        <f>SUMPRODUCT((nCUENTA=1)*(nASIG=B53))</f>
        <v>0</v>
      </c>
      <c r="E53" s="10" t="str">
        <f>IFERROR(SUMPRODUCT((nCUENTA=1)*(nASIG=B53)*(nNOTA))/D53,"—")</f>
        <v>—</v>
      </c>
      <c r="F53" s="10" t="str" cm="1">
        <f t="array" ref="F53">IFERROR(_xlfn.STDEV.P(_xlfn._xlws.FILTER(nNOTA,(nCUENTA=1)*(nASIG=B53))),"—")</f>
        <v>—</v>
      </c>
      <c r="G53" t="str" cm="1">
        <f t="array" ref="G53">IFERROR(_xlfn.MODE.SNGL(_xlfn._xlws.FILTER(nNOTA,(nCUENTA=1)*(nASIG=B53))),"—")</f>
        <v>—</v>
      </c>
      <c r="H53" s="11" t="str">
        <f>IFERROR(SUMPRODUCT((nCUENTA=1)*(nASIG=B53)*(nAPTO="S"))/D53,"—")</f>
        <v>—</v>
      </c>
      <c r="I53" s="11" t="str">
        <f>IFERROR(SUMPRODUCT((nCUENTA=1)*(nASIG=B53)*(nAPTO="N"))/D53,"—")</f>
        <v>—</v>
      </c>
      <c r="J53" t="str" cm="1">
        <f t="array" ref="J53">IFERROR(_xlfn.MODE.SNGL(_xlfn._xlws.FILTER(nNOTA,(nCUENTA=1)*(nASIG=B53)*(nAPTO="S"))),"—")</f>
        <v>—</v>
      </c>
      <c r="K53" t="str" cm="1">
        <f t="array" ref="K53">IFERROR(_xlfn.MODE.SNGL(_xlfn._xlws.FILTER(nNOTA,(nCUENTA=1)*(nASIG=B53)*(nAPTO="N"))),"—")</f>
        <v>—</v>
      </c>
      <c r="L53">
        <f>SUMPRODUCT((nCUENTA=1)*(nASIG=B53)*(nNOTA=1))</f>
        <v>0</v>
      </c>
      <c r="M53">
        <f>SUMPRODUCT((nCUENTA=1)*(nASIG=B53)*(nNOTA=2))</f>
        <v>0</v>
      </c>
      <c r="N53">
        <f>SUMPRODUCT((nCUENTA=1)*(nASIG=B53)*(nNOTA=3))</f>
        <v>0</v>
      </c>
      <c r="O53">
        <f>SUMPRODUCT((nCUENTA=1)*(nASIG=B53)*(nNOTA=4))</f>
        <v>0</v>
      </c>
      <c r="P53">
        <f>SUMPRODUCT((nCUENTA=1)*(nASIG=B53)*(nNOTA=5))</f>
        <v>0</v>
      </c>
      <c r="Q53">
        <f>SUMPRODUCT((nCUENTA=1)*(nASIG=B53)*(nNOTA=6))</f>
        <v>0</v>
      </c>
      <c r="R53">
        <f>SUMPRODUCT((nCUENTA=1)*(nASIG=B53)*(nNOTA=7))</f>
        <v>0</v>
      </c>
      <c r="S53">
        <f>SUMPRODUCT((nCUENTA=1)*(nASIG=B53)*(nNOTA=8))</f>
        <v>0</v>
      </c>
      <c r="T53">
        <f>SUMPRODUCT((nCUENTA=1)*(nASIG=B53)*(nNOTA=9))</f>
        <v>0</v>
      </c>
      <c r="U53">
        <f>SUMPRODUCT((nCUENTA=1)*(nASIG=B53)*(nNOTA=10))</f>
        <v>0</v>
      </c>
    </row>
    <row r="54">
      <c r="A54" t="inlineStr">
        <is>
          <t xml:space="preserve">GLOBAL</t>
        </is>
      </c>
      <c r="B54" cm="1">
        <f t="array" ref="B54">IFERROR(INDEX(_xlfn._xlws.FILTER(CONFIG_ASIGNATURAS!$B$2:$B$91,CONFIG_ASIGNATURAS!$G$2:$G$91="Sí"),49),"")</f>
      </c>
      <c r="C54">
        <f>IF(B54="","",IFERROR(VLOOKUP(B54,CONFIG_ASIGNATURAS!$B$2:$D$91,3,FALSE()),"Asignatura"))</f>
      </c>
      <c r="D54">
        <f>SUMPRODUCT((nCUENTA=1)*(nASIG=B54))</f>
        <v>0</v>
      </c>
      <c r="E54" s="10" t="str">
        <f>IFERROR(SUMPRODUCT((nCUENTA=1)*(nASIG=B54)*(nNOTA))/D54,"—")</f>
        <v>—</v>
      </c>
      <c r="F54" s="10" t="str" cm="1">
        <f t="array" ref="F54">IFERROR(_xlfn.STDEV.P(_xlfn._xlws.FILTER(nNOTA,(nCUENTA=1)*(nASIG=B54))),"—")</f>
        <v>—</v>
      </c>
      <c r="G54" t="str" cm="1">
        <f t="array" ref="G54">IFERROR(_xlfn.MODE.SNGL(_xlfn._xlws.FILTER(nNOTA,(nCUENTA=1)*(nASIG=B54))),"—")</f>
        <v>—</v>
      </c>
      <c r="H54" s="11" t="str">
        <f>IFERROR(SUMPRODUCT((nCUENTA=1)*(nASIG=B54)*(nAPTO="S"))/D54,"—")</f>
        <v>—</v>
      </c>
      <c r="I54" s="11" t="str">
        <f>IFERROR(SUMPRODUCT((nCUENTA=1)*(nASIG=B54)*(nAPTO="N"))/D54,"—")</f>
        <v>—</v>
      </c>
      <c r="J54" t="str" cm="1">
        <f t="array" ref="J54">IFERROR(_xlfn.MODE.SNGL(_xlfn._xlws.FILTER(nNOTA,(nCUENTA=1)*(nASIG=B54)*(nAPTO="S"))),"—")</f>
        <v>—</v>
      </c>
      <c r="K54" t="str" cm="1">
        <f t="array" ref="K54">IFERROR(_xlfn.MODE.SNGL(_xlfn._xlws.FILTER(nNOTA,(nCUENTA=1)*(nASIG=B54)*(nAPTO="N"))),"—")</f>
        <v>—</v>
      </c>
      <c r="L54">
        <f>SUMPRODUCT((nCUENTA=1)*(nASIG=B54)*(nNOTA=1))</f>
        <v>0</v>
      </c>
      <c r="M54">
        <f>SUMPRODUCT((nCUENTA=1)*(nASIG=B54)*(nNOTA=2))</f>
        <v>0</v>
      </c>
      <c r="N54">
        <f>SUMPRODUCT((nCUENTA=1)*(nASIG=B54)*(nNOTA=3))</f>
        <v>0</v>
      </c>
      <c r="O54">
        <f>SUMPRODUCT((nCUENTA=1)*(nASIG=B54)*(nNOTA=4))</f>
        <v>0</v>
      </c>
      <c r="P54">
        <f>SUMPRODUCT((nCUENTA=1)*(nASIG=B54)*(nNOTA=5))</f>
        <v>0</v>
      </c>
      <c r="Q54">
        <f>SUMPRODUCT((nCUENTA=1)*(nASIG=B54)*(nNOTA=6))</f>
        <v>0</v>
      </c>
      <c r="R54">
        <f>SUMPRODUCT((nCUENTA=1)*(nASIG=B54)*(nNOTA=7))</f>
        <v>0</v>
      </c>
      <c r="S54">
        <f>SUMPRODUCT((nCUENTA=1)*(nASIG=B54)*(nNOTA=8))</f>
        <v>0</v>
      </c>
      <c r="T54">
        <f>SUMPRODUCT((nCUENTA=1)*(nASIG=B54)*(nNOTA=9))</f>
        <v>0</v>
      </c>
      <c r="U54">
        <f>SUMPRODUCT((nCUENTA=1)*(nASIG=B54)*(nNOTA=10))</f>
        <v>0</v>
      </c>
    </row>
    <row r="55">
      <c r="A55" t="inlineStr">
        <is>
          <t xml:space="preserve">GLOBAL</t>
        </is>
      </c>
      <c r="B55" cm="1">
        <f t="array" ref="B55">IFERROR(INDEX(_xlfn._xlws.FILTER(CONFIG_ASIGNATURAS!$B$2:$B$91,CONFIG_ASIGNATURAS!$G$2:$G$91="Sí"),50),"")</f>
      </c>
      <c r="C55">
        <f>IF(B55="","",IFERROR(VLOOKUP(B55,CONFIG_ASIGNATURAS!$B$2:$D$91,3,FALSE()),"Asignatura"))</f>
      </c>
      <c r="D55">
        <f>SUMPRODUCT((nCUENTA=1)*(nASIG=B55))</f>
        <v>0</v>
      </c>
      <c r="E55" s="10" t="str">
        <f>IFERROR(SUMPRODUCT((nCUENTA=1)*(nASIG=B55)*(nNOTA))/D55,"—")</f>
        <v>—</v>
      </c>
      <c r="F55" s="10" t="str" cm="1">
        <f t="array" ref="F55">IFERROR(_xlfn.STDEV.P(_xlfn._xlws.FILTER(nNOTA,(nCUENTA=1)*(nASIG=B55))),"—")</f>
        <v>—</v>
      </c>
      <c r="G55" t="str" cm="1">
        <f t="array" ref="G55">IFERROR(_xlfn.MODE.SNGL(_xlfn._xlws.FILTER(nNOTA,(nCUENTA=1)*(nASIG=B55))),"—")</f>
        <v>—</v>
      </c>
      <c r="H55" s="11" t="str">
        <f>IFERROR(SUMPRODUCT((nCUENTA=1)*(nASIG=B55)*(nAPTO="S"))/D55,"—")</f>
        <v>—</v>
      </c>
      <c r="I55" s="11" t="str">
        <f>IFERROR(SUMPRODUCT((nCUENTA=1)*(nASIG=B55)*(nAPTO="N"))/D55,"—")</f>
        <v>—</v>
      </c>
      <c r="J55" t="str" cm="1">
        <f t="array" ref="J55">IFERROR(_xlfn.MODE.SNGL(_xlfn._xlws.FILTER(nNOTA,(nCUENTA=1)*(nASIG=B55)*(nAPTO="S"))),"—")</f>
        <v>—</v>
      </c>
      <c r="K55" t="str" cm="1">
        <f t="array" ref="K55">IFERROR(_xlfn.MODE.SNGL(_xlfn._xlws.FILTER(nNOTA,(nCUENTA=1)*(nASIG=B55)*(nAPTO="N"))),"—")</f>
        <v>—</v>
      </c>
      <c r="L55">
        <f>SUMPRODUCT((nCUENTA=1)*(nASIG=B55)*(nNOTA=1))</f>
        <v>0</v>
      </c>
      <c r="M55">
        <f>SUMPRODUCT((nCUENTA=1)*(nASIG=B55)*(nNOTA=2))</f>
        <v>0</v>
      </c>
      <c r="N55">
        <f>SUMPRODUCT((nCUENTA=1)*(nASIG=B55)*(nNOTA=3))</f>
        <v>0</v>
      </c>
      <c r="O55">
        <f>SUMPRODUCT((nCUENTA=1)*(nASIG=B55)*(nNOTA=4))</f>
        <v>0</v>
      </c>
      <c r="P55">
        <f>SUMPRODUCT((nCUENTA=1)*(nASIG=B55)*(nNOTA=5))</f>
        <v>0</v>
      </c>
      <c r="Q55">
        <f>SUMPRODUCT((nCUENTA=1)*(nASIG=B55)*(nNOTA=6))</f>
        <v>0</v>
      </c>
      <c r="R55">
        <f>SUMPRODUCT((nCUENTA=1)*(nASIG=B55)*(nNOTA=7))</f>
        <v>0</v>
      </c>
      <c r="S55">
        <f>SUMPRODUCT((nCUENTA=1)*(nASIG=B55)*(nNOTA=8))</f>
        <v>0</v>
      </c>
      <c r="T55">
        <f>SUMPRODUCT((nCUENTA=1)*(nASIG=B55)*(nNOTA=9))</f>
        <v>0</v>
      </c>
      <c r="U55">
        <f>SUMPRODUCT((nCUENTA=1)*(nASIG=B55)*(nNOTA=10))</f>
        <v>0</v>
      </c>
    </row>
    <row r="56">
      <c r="A56" t="inlineStr">
        <is>
          <t xml:space="preserve">GLOBAL</t>
        </is>
      </c>
      <c r="B56" cm="1">
        <f t="array" ref="B56">IFERROR(INDEX(_xlfn._xlws.FILTER(CONFIG_ASIGNATURAS!$B$2:$B$91,CONFIG_ASIGNATURAS!$G$2:$G$91="Sí"),51),"")</f>
      </c>
      <c r="C56">
        <f>IF(B56="","",IFERROR(VLOOKUP(B56,CONFIG_ASIGNATURAS!$B$2:$D$91,3,FALSE()),"Asignatura"))</f>
      </c>
      <c r="D56">
        <f>SUMPRODUCT((nCUENTA=1)*(nASIG=B56))</f>
        <v>0</v>
      </c>
      <c r="E56" s="10" t="str">
        <f>IFERROR(SUMPRODUCT((nCUENTA=1)*(nASIG=B56)*(nNOTA))/D56,"—")</f>
        <v>—</v>
      </c>
      <c r="F56" s="10" t="str" cm="1">
        <f t="array" ref="F56">IFERROR(_xlfn.STDEV.P(_xlfn._xlws.FILTER(nNOTA,(nCUENTA=1)*(nASIG=B56))),"—")</f>
        <v>—</v>
      </c>
      <c r="G56" t="str" cm="1">
        <f t="array" ref="G56">IFERROR(_xlfn.MODE.SNGL(_xlfn._xlws.FILTER(nNOTA,(nCUENTA=1)*(nASIG=B56))),"—")</f>
        <v>—</v>
      </c>
      <c r="H56" s="11" t="str">
        <f>IFERROR(SUMPRODUCT((nCUENTA=1)*(nASIG=B56)*(nAPTO="S"))/D56,"—")</f>
        <v>—</v>
      </c>
      <c r="I56" s="11" t="str">
        <f>IFERROR(SUMPRODUCT((nCUENTA=1)*(nASIG=B56)*(nAPTO="N"))/D56,"—")</f>
        <v>—</v>
      </c>
      <c r="J56" t="str" cm="1">
        <f t="array" ref="J56">IFERROR(_xlfn.MODE.SNGL(_xlfn._xlws.FILTER(nNOTA,(nCUENTA=1)*(nASIG=B56)*(nAPTO="S"))),"—")</f>
        <v>—</v>
      </c>
      <c r="K56" t="str" cm="1">
        <f t="array" ref="K56">IFERROR(_xlfn.MODE.SNGL(_xlfn._xlws.FILTER(nNOTA,(nCUENTA=1)*(nASIG=B56)*(nAPTO="N"))),"—")</f>
        <v>—</v>
      </c>
      <c r="L56">
        <f>SUMPRODUCT((nCUENTA=1)*(nASIG=B56)*(nNOTA=1))</f>
        <v>0</v>
      </c>
      <c r="M56">
        <f>SUMPRODUCT((nCUENTA=1)*(nASIG=B56)*(nNOTA=2))</f>
        <v>0</v>
      </c>
      <c r="N56">
        <f>SUMPRODUCT((nCUENTA=1)*(nASIG=B56)*(nNOTA=3))</f>
        <v>0</v>
      </c>
      <c r="O56">
        <f>SUMPRODUCT((nCUENTA=1)*(nASIG=B56)*(nNOTA=4))</f>
        <v>0</v>
      </c>
      <c r="P56">
        <f>SUMPRODUCT((nCUENTA=1)*(nASIG=B56)*(nNOTA=5))</f>
        <v>0</v>
      </c>
      <c r="Q56">
        <f>SUMPRODUCT((nCUENTA=1)*(nASIG=B56)*(nNOTA=6))</f>
        <v>0</v>
      </c>
      <c r="R56">
        <f>SUMPRODUCT((nCUENTA=1)*(nASIG=B56)*(nNOTA=7))</f>
        <v>0</v>
      </c>
      <c r="S56">
        <f>SUMPRODUCT((nCUENTA=1)*(nASIG=B56)*(nNOTA=8))</f>
        <v>0</v>
      </c>
      <c r="T56">
        <f>SUMPRODUCT((nCUENTA=1)*(nASIG=B56)*(nNOTA=9))</f>
        <v>0</v>
      </c>
      <c r="U56">
        <f>SUMPRODUCT((nCUENTA=1)*(nASIG=B56)*(nNOTA=10))</f>
        <v>0</v>
      </c>
    </row>
    <row r="57">
      <c r="A57" t="inlineStr">
        <is>
          <t xml:space="preserve">GLOBAL</t>
        </is>
      </c>
      <c r="B57" cm="1">
        <f t="array" ref="B57">IFERROR(INDEX(_xlfn._xlws.FILTER(CONFIG_ASIGNATURAS!$B$2:$B$91,CONFIG_ASIGNATURAS!$G$2:$G$91="Sí"),52),"")</f>
      </c>
      <c r="C57">
        <f>IF(B57="","",IFERROR(VLOOKUP(B57,CONFIG_ASIGNATURAS!$B$2:$D$91,3,FALSE()),"Asignatura"))</f>
      </c>
      <c r="D57">
        <f>SUMPRODUCT((nCUENTA=1)*(nASIG=B57))</f>
        <v>0</v>
      </c>
      <c r="E57" s="10" t="str">
        <f>IFERROR(SUMPRODUCT((nCUENTA=1)*(nASIG=B57)*(nNOTA))/D57,"—")</f>
        <v>—</v>
      </c>
      <c r="F57" s="10" t="str" cm="1">
        <f t="array" ref="F57">IFERROR(_xlfn.STDEV.P(_xlfn._xlws.FILTER(nNOTA,(nCUENTA=1)*(nASIG=B57))),"—")</f>
        <v>—</v>
      </c>
      <c r="G57" t="str" cm="1">
        <f t="array" ref="G57">IFERROR(_xlfn.MODE.SNGL(_xlfn._xlws.FILTER(nNOTA,(nCUENTA=1)*(nASIG=B57))),"—")</f>
        <v>—</v>
      </c>
      <c r="H57" s="11" t="str">
        <f>IFERROR(SUMPRODUCT((nCUENTA=1)*(nASIG=B57)*(nAPTO="S"))/D57,"—")</f>
        <v>—</v>
      </c>
      <c r="I57" s="11" t="str">
        <f>IFERROR(SUMPRODUCT((nCUENTA=1)*(nASIG=B57)*(nAPTO="N"))/D57,"—")</f>
        <v>—</v>
      </c>
      <c r="J57" t="str" cm="1">
        <f t="array" ref="J57">IFERROR(_xlfn.MODE.SNGL(_xlfn._xlws.FILTER(nNOTA,(nCUENTA=1)*(nASIG=B57)*(nAPTO="S"))),"—")</f>
        <v>—</v>
      </c>
      <c r="K57" t="str" cm="1">
        <f t="array" ref="K57">IFERROR(_xlfn.MODE.SNGL(_xlfn._xlws.FILTER(nNOTA,(nCUENTA=1)*(nASIG=B57)*(nAPTO="N"))),"—")</f>
        <v>—</v>
      </c>
      <c r="L57">
        <f>SUMPRODUCT((nCUENTA=1)*(nASIG=B57)*(nNOTA=1))</f>
        <v>0</v>
      </c>
      <c r="M57">
        <f>SUMPRODUCT((nCUENTA=1)*(nASIG=B57)*(nNOTA=2))</f>
        <v>0</v>
      </c>
      <c r="N57">
        <f>SUMPRODUCT((nCUENTA=1)*(nASIG=B57)*(nNOTA=3))</f>
        <v>0</v>
      </c>
      <c r="O57">
        <f>SUMPRODUCT((nCUENTA=1)*(nASIG=B57)*(nNOTA=4))</f>
        <v>0</v>
      </c>
      <c r="P57">
        <f>SUMPRODUCT((nCUENTA=1)*(nASIG=B57)*(nNOTA=5))</f>
        <v>0</v>
      </c>
      <c r="Q57">
        <f>SUMPRODUCT((nCUENTA=1)*(nASIG=B57)*(nNOTA=6))</f>
        <v>0</v>
      </c>
      <c r="R57">
        <f>SUMPRODUCT((nCUENTA=1)*(nASIG=B57)*(nNOTA=7))</f>
        <v>0</v>
      </c>
      <c r="S57">
        <f>SUMPRODUCT((nCUENTA=1)*(nASIG=B57)*(nNOTA=8))</f>
        <v>0</v>
      </c>
      <c r="T57">
        <f>SUMPRODUCT((nCUENTA=1)*(nASIG=B57)*(nNOTA=9))</f>
        <v>0</v>
      </c>
      <c r="U57">
        <f>SUMPRODUCT((nCUENTA=1)*(nASIG=B57)*(nNOTA=10))</f>
        <v>0</v>
      </c>
    </row>
    <row r="58">
      <c r="A58" t="inlineStr">
        <is>
          <t xml:space="preserve">GLOBAL</t>
        </is>
      </c>
      <c r="B58" cm="1">
        <f t="array" ref="B58">IFERROR(INDEX(_xlfn._xlws.FILTER(CONFIG_ASIGNATURAS!$B$2:$B$91,CONFIG_ASIGNATURAS!$G$2:$G$91="Sí"),53),"")</f>
      </c>
      <c r="C58">
        <f>IF(B58="","",IFERROR(VLOOKUP(B58,CONFIG_ASIGNATURAS!$B$2:$D$91,3,FALSE()),"Asignatura"))</f>
      </c>
      <c r="D58">
        <f>SUMPRODUCT((nCUENTA=1)*(nASIG=B58))</f>
        <v>0</v>
      </c>
      <c r="E58" s="10" t="str">
        <f>IFERROR(SUMPRODUCT((nCUENTA=1)*(nASIG=B58)*(nNOTA))/D58,"—")</f>
        <v>—</v>
      </c>
      <c r="F58" s="10" t="str" cm="1">
        <f t="array" ref="F58">IFERROR(_xlfn.STDEV.P(_xlfn._xlws.FILTER(nNOTA,(nCUENTA=1)*(nASIG=B58))),"—")</f>
        <v>—</v>
      </c>
      <c r="G58" t="str" cm="1">
        <f t="array" ref="G58">IFERROR(_xlfn.MODE.SNGL(_xlfn._xlws.FILTER(nNOTA,(nCUENTA=1)*(nASIG=B58))),"—")</f>
        <v>—</v>
      </c>
      <c r="H58" s="11" t="str">
        <f>IFERROR(SUMPRODUCT((nCUENTA=1)*(nASIG=B58)*(nAPTO="S"))/D58,"—")</f>
        <v>—</v>
      </c>
      <c r="I58" s="11" t="str">
        <f>IFERROR(SUMPRODUCT((nCUENTA=1)*(nASIG=B58)*(nAPTO="N"))/D58,"—")</f>
        <v>—</v>
      </c>
      <c r="J58" t="str" cm="1">
        <f t="array" ref="J58">IFERROR(_xlfn.MODE.SNGL(_xlfn._xlws.FILTER(nNOTA,(nCUENTA=1)*(nASIG=B58)*(nAPTO="S"))),"—")</f>
        <v>—</v>
      </c>
      <c r="K58" t="str" cm="1">
        <f t="array" ref="K58">IFERROR(_xlfn.MODE.SNGL(_xlfn._xlws.FILTER(nNOTA,(nCUENTA=1)*(nASIG=B58)*(nAPTO="N"))),"—")</f>
        <v>—</v>
      </c>
      <c r="L58">
        <f>SUMPRODUCT((nCUENTA=1)*(nASIG=B58)*(nNOTA=1))</f>
        <v>0</v>
      </c>
      <c r="M58">
        <f>SUMPRODUCT((nCUENTA=1)*(nASIG=B58)*(nNOTA=2))</f>
        <v>0</v>
      </c>
      <c r="N58">
        <f>SUMPRODUCT((nCUENTA=1)*(nASIG=B58)*(nNOTA=3))</f>
        <v>0</v>
      </c>
      <c r="O58">
        <f>SUMPRODUCT((nCUENTA=1)*(nASIG=B58)*(nNOTA=4))</f>
        <v>0</v>
      </c>
      <c r="P58">
        <f>SUMPRODUCT((nCUENTA=1)*(nASIG=B58)*(nNOTA=5))</f>
        <v>0</v>
      </c>
      <c r="Q58">
        <f>SUMPRODUCT((nCUENTA=1)*(nASIG=B58)*(nNOTA=6))</f>
        <v>0</v>
      </c>
      <c r="R58">
        <f>SUMPRODUCT((nCUENTA=1)*(nASIG=B58)*(nNOTA=7))</f>
        <v>0</v>
      </c>
      <c r="S58">
        <f>SUMPRODUCT((nCUENTA=1)*(nASIG=B58)*(nNOTA=8))</f>
        <v>0</v>
      </c>
      <c r="T58">
        <f>SUMPRODUCT((nCUENTA=1)*(nASIG=B58)*(nNOTA=9))</f>
        <v>0</v>
      </c>
      <c r="U58">
        <f>SUMPRODUCT((nCUENTA=1)*(nASIG=B58)*(nNOTA=10))</f>
        <v>0</v>
      </c>
    </row>
    <row r="59">
      <c r="A59" t="inlineStr">
        <is>
          <t xml:space="preserve">GLOBAL</t>
        </is>
      </c>
      <c r="B59" cm="1">
        <f t="array" ref="B59">IFERROR(INDEX(_xlfn._xlws.FILTER(CONFIG_ASIGNATURAS!$B$2:$B$91,CONFIG_ASIGNATURAS!$G$2:$G$91="Sí"),54),"")</f>
      </c>
      <c r="C59">
        <f>IF(B59="","",IFERROR(VLOOKUP(B59,CONFIG_ASIGNATURAS!$B$2:$D$91,3,FALSE()),"Asignatura"))</f>
      </c>
      <c r="D59">
        <f>SUMPRODUCT((nCUENTA=1)*(nASIG=B59))</f>
        <v>0</v>
      </c>
      <c r="E59" s="10" t="str">
        <f>IFERROR(SUMPRODUCT((nCUENTA=1)*(nASIG=B59)*(nNOTA))/D59,"—")</f>
        <v>—</v>
      </c>
      <c r="F59" s="10" t="str" cm="1">
        <f t="array" ref="F59">IFERROR(_xlfn.STDEV.P(_xlfn._xlws.FILTER(nNOTA,(nCUENTA=1)*(nASIG=B59))),"—")</f>
        <v>—</v>
      </c>
      <c r="G59" t="str" cm="1">
        <f t="array" ref="G59">IFERROR(_xlfn.MODE.SNGL(_xlfn._xlws.FILTER(nNOTA,(nCUENTA=1)*(nASIG=B59))),"—")</f>
        <v>—</v>
      </c>
      <c r="H59" s="11" t="str">
        <f>IFERROR(SUMPRODUCT((nCUENTA=1)*(nASIG=B59)*(nAPTO="S"))/D59,"—")</f>
        <v>—</v>
      </c>
      <c r="I59" s="11" t="str">
        <f>IFERROR(SUMPRODUCT((nCUENTA=1)*(nASIG=B59)*(nAPTO="N"))/D59,"—")</f>
        <v>—</v>
      </c>
      <c r="J59" t="str" cm="1">
        <f t="array" ref="J59">IFERROR(_xlfn.MODE.SNGL(_xlfn._xlws.FILTER(nNOTA,(nCUENTA=1)*(nASIG=B59)*(nAPTO="S"))),"—")</f>
        <v>—</v>
      </c>
      <c r="K59" t="str" cm="1">
        <f t="array" ref="K59">IFERROR(_xlfn.MODE.SNGL(_xlfn._xlws.FILTER(nNOTA,(nCUENTA=1)*(nASIG=B59)*(nAPTO="N"))),"—")</f>
        <v>—</v>
      </c>
      <c r="L59">
        <f>SUMPRODUCT((nCUENTA=1)*(nASIG=B59)*(nNOTA=1))</f>
        <v>0</v>
      </c>
      <c r="M59">
        <f>SUMPRODUCT((nCUENTA=1)*(nASIG=B59)*(nNOTA=2))</f>
        <v>0</v>
      </c>
      <c r="N59">
        <f>SUMPRODUCT((nCUENTA=1)*(nASIG=B59)*(nNOTA=3))</f>
        <v>0</v>
      </c>
      <c r="O59">
        <f>SUMPRODUCT((nCUENTA=1)*(nASIG=B59)*(nNOTA=4))</f>
        <v>0</v>
      </c>
      <c r="P59">
        <f>SUMPRODUCT((nCUENTA=1)*(nASIG=B59)*(nNOTA=5))</f>
        <v>0</v>
      </c>
      <c r="Q59">
        <f>SUMPRODUCT((nCUENTA=1)*(nASIG=B59)*(nNOTA=6))</f>
        <v>0</v>
      </c>
      <c r="R59">
        <f>SUMPRODUCT((nCUENTA=1)*(nASIG=B59)*(nNOTA=7))</f>
        <v>0</v>
      </c>
      <c r="S59">
        <f>SUMPRODUCT((nCUENTA=1)*(nASIG=B59)*(nNOTA=8))</f>
        <v>0</v>
      </c>
      <c r="T59">
        <f>SUMPRODUCT((nCUENTA=1)*(nASIG=B59)*(nNOTA=9))</f>
        <v>0</v>
      </c>
      <c r="U59">
        <f>SUMPRODUCT((nCUENTA=1)*(nASIG=B59)*(nNOTA=10))</f>
        <v>0</v>
      </c>
    </row>
    <row r="60">
      <c r="A60" t="inlineStr">
        <is>
          <t xml:space="preserve">GLOBAL</t>
        </is>
      </c>
      <c r="B60" cm="1">
        <f t="array" ref="B60">IFERROR(INDEX(_xlfn._xlws.FILTER(CONFIG_ASIGNATURAS!$B$2:$B$91,CONFIG_ASIGNATURAS!$G$2:$G$91="Sí"),55),"")</f>
      </c>
      <c r="C60">
        <f>IF(B60="","",IFERROR(VLOOKUP(B60,CONFIG_ASIGNATURAS!$B$2:$D$91,3,FALSE()),"Asignatura"))</f>
      </c>
      <c r="D60">
        <f>SUMPRODUCT((nCUENTA=1)*(nASIG=B60))</f>
        <v>0</v>
      </c>
      <c r="E60" s="10" t="str">
        <f>IFERROR(SUMPRODUCT((nCUENTA=1)*(nASIG=B60)*(nNOTA))/D60,"—")</f>
        <v>—</v>
      </c>
      <c r="F60" s="10" t="str" cm="1">
        <f t="array" ref="F60">IFERROR(_xlfn.STDEV.P(_xlfn._xlws.FILTER(nNOTA,(nCUENTA=1)*(nASIG=B60))),"—")</f>
        <v>—</v>
      </c>
      <c r="G60" t="str" cm="1">
        <f t="array" ref="G60">IFERROR(_xlfn.MODE.SNGL(_xlfn._xlws.FILTER(nNOTA,(nCUENTA=1)*(nASIG=B60))),"—")</f>
        <v>—</v>
      </c>
      <c r="H60" s="11" t="str">
        <f>IFERROR(SUMPRODUCT((nCUENTA=1)*(nASIG=B60)*(nAPTO="S"))/D60,"—")</f>
        <v>—</v>
      </c>
      <c r="I60" s="11" t="str">
        <f>IFERROR(SUMPRODUCT((nCUENTA=1)*(nASIG=B60)*(nAPTO="N"))/D60,"—")</f>
        <v>—</v>
      </c>
      <c r="J60" t="str" cm="1">
        <f t="array" ref="J60">IFERROR(_xlfn.MODE.SNGL(_xlfn._xlws.FILTER(nNOTA,(nCUENTA=1)*(nASIG=B60)*(nAPTO="S"))),"—")</f>
        <v>—</v>
      </c>
      <c r="K60" t="str" cm="1">
        <f t="array" ref="K60">IFERROR(_xlfn.MODE.SNGL(_xlfn._xlws.FILTER(nNOTA,(nCUENTA=1)*(nASIG=B60)*(nAPTO="N"))),"—")</f>
        <v>—</v>
      </c>
      <c r="L60">
        <f>SUMPRODUCT((nCUENTA=1)*(nASIG=B60)*(nNOTA=1))</f>
        <v>0</v>
      </c>
      <c r="M60">
        <f>SUMPRODUCT((nCUENTA=1)*(nASIG=B60)*(nNOTA=2))</f>
        <v>0</v>
      </c>
      <c r="N60">
        <f>SUMPRODUCT((nCUENTA=1)*(nASIG=B60)*(nNOTA=3))</f>
        <v>0</v>
      </c>
      <c r="O60">
        <f>SUMPRODUCT((nCUENTA=1)*(nASIG=B60)*(nNOTA=4))</f>
        <v>0</v>
      </c>
      <c r="P60">
        <f>SUMPRODUCT((nCUENTA=1)*(nASIG=B60)*(nNOTA=5))</f>
        <v>0</v>
      </c>
      <c r="Q60">
        <f>SUMPRODUCT((nCUENTA=1)*(nASIG=B60)*(nNOTA=6))</f>
        <v>0</v>
      </c>
      <c r="R60">
        <f>SUMPRODUCT((nCUENTA=1)*(nASIG=B60)*(nNOTA=7))</f>
        <v>0</v>
      </c>
      <c r="S60">
        <f>SUMPRODUCT((nCUENTA=1)*(nASIG=B60)*(nNOTA=8))</f>
        <v>0</v>
      </c>
      <c r="T60">
        <f>SUMPRODUCT((nCUENTA=1)*(nASIG=B60)*(nNOTA=9))</f>
        <v>0</v>
      </c>
      <c r="U60">
        <f>SUMPRODUCT((nCUENTA=1)*(nASIG=B60)*(nNOTA=10))</f>
        <v>0</v>
      </c>
    </row>
    <row r="61">
      <c r="A61" t="inlineStr">
        <is>
          <t xml:space="preserve">GLOBAL</t>
        </is>
      </c>
      <c r="B61" cm="1">
        <f t="array" ref="B61">IFERROR(INDEX(_xlfn._xlws.FILTER(CONFIG_ASIGNATURAS!$B$2:$B$91,CONFIG_ASIGNATURAS!$G$2:$G$91="Sí"),56),"")</f>
      </c>
      <c r="C61">
        <f>IF(B61="","",IFERROR(VLOOKUP(B61,CONFIG_ASIGNATURAS!$B$2:$D$91,3,FALSE()),"Asignatura"))</f>
      </c>
      <c r="D61">
        <f>SUMPRODUCT((nCUENTA=1)*(nASIG=B61))</f>
        <v>0</v>
      </c>
      <c r="E61" s="10" t="str">
        <f>IFERROR(SUMPRODUCT((nCUENTA=1)*(nASIG=B61)*(nNOTA))/D61,"—")</f>
        <v>—</v>
      </c>
      <c r="F61" s="10" t="str" cm="1">
        <f t="array" ref="F61">IFERROR(_xlfn.STDEV.P(_xlfn._xlws.FILTER(nNOTA,(nCUENTA=1)*(nASIG=B61))),"—")</f>
        <v>—</v>
      </c>
      <c r="G61" t="str" cm="1">
        <f t="array" ref="G61">IFERROR(_xlfn.MODE.SNGL(_xlfn._xlws.FILTER(nNOTA,(nCUENTA=1)*(nASIG=B61))),"—")</f>
        <v>—</v>
      </c>
      <c r="H61" s="11" t="str">
        <f>IFERROR(SUMPRODUCT((nCUENTA=1)*(nASIG=B61)*(nAPTO="S"))/D61,"—")</f>
        <v>—</v>
      </c>
      <c r="I61" s="11" t="str">
        <f>IFERROR(SUMPRODUCT((nCUENTA=1)*(nASIG=B61)*(nAPTO="N"))/D61,"—")</f>
        <v>—</v>
      </c>
      <c r="J61" t="str" cm="1">
        <f t="array" ref="J61">IFERROR(_xlfn.MODE.SNGL(_xlfn._xlws.FILTER(nNOTA,(nCUENTA=1)*(nASIG=B61)*(nAPTO="S"))),"—")</f>
        <v>—</v>
      </c>
      <c r="K61" t="str" cm="1">
        <f t="array" ref="K61">IFERROR(_xlfn.MODE.SNGL(_xlfn._xlws.FILTER(nNOTA,(nCUENTA=1)*(nASIG=B61)*(nAPTO="N"))),"—")</f>
        <v>—</v>
      </c>
      <c r="L61">
        <f>SUMPRODUCT((nCUENTA=1)*(nASIG=B61)*(nNOTA=1))</f>
        <v>0</v>
      </c>
      <c r="M61">
        <f>SUMPRODUCT((nCUENTA=1)*(nASIG=B61)*(nNOTA=2))</f>
        <v>0</v>
      </c>
      <c r="N61">
        <f>SUMPRODUCT((nCUENTA=1)*(nASIG=B61)*(nNOTA=3))</f>
        <v>0</v>
      </c>
      <c r="O61">
        <f>SUMPRODUCT((nCUENTA=1)*(nASIG=B61)*(nNOTA=4))</f>
        <v>0</v>
      </c>
      <c r="P61">
        <f>SUMPRODUCT((nCUENTA=1)*(nASIG=B61)*(nNOTA=5))</f>
        <v>0</v>
      </c>
      <c r="Q61">
        <f>SUMPRODUCT((nCUENTA=1)*(nASIG=B61)*(nNOTA=6))</f>
        <v>0</v>
      </c>
      <c r="R61">
        <f>SUMPRODUCT((nCUENTA=1)*(nASIG=B61)*(nNOTA=7))</f>
        <v>0</v>
      </c>
      <c r="S61">
        <f>SUMPRODUCT((nCUENTA=1)*(nASIG=B61)*(nNOTA=8))</f>
        <v>0</v>
      </c>
      <c r="T61">
        <f>SUMPRODUCT((nCUENTA=1)*(nASIG=B61)*(nNOTA=9))</f>
        <v>0</v>
      </c>
      <c r="U61">
        <f>SUMPRODUCT((nCUENTA=1)*(nASIG=B61)*(nNOTA=10))</f>
        <v>0</v>
      </c>
    </row>
    <row r="62">
      <c r="A62" t="inlineStr">
        <is>
          <t xml:space="preserve">GLOBAL</t>
        </is>
      </c>
      <c r="B62" cm="1">
        <f t="array" ref="B62">IFERROR(INDEX(_xlfn._xlws.FILTER(CONFIG_ASIGNATURAS!$B$2:$B$91,CONFIG_ASIGNATURAS!$G$2:$G$91="Sí"),57),"")</f>
      </c>
      <c r="C62">
        <f>IF(B62="","",IFERROR(VLOOKUP(B62,CONFIG_ASIGNATURAS!$B$2:$D$91,3,FALSE()),"Asignatura"))</f>
      </c>
      <c r="D62">
        <f>SUMPRODUCT((nCUENTA=1)*(nASIG=B62))</f>
        <v>0</v>
      </c>
      <c r="E62" s="10" t="str">
        <f>IFERROR(SUMPRODUCT((nCUENTA=1)*(nASIG=B62)*(nNOTA))/D62,"—")</f>
        <v>—</v>
      </c>
      <c r="F62" s="10" t="str" cm="1">
        <f t="array" ref="F62">IFERROR(_xlfn.STDEV.P(_xlfn._xlws.FILTER(nNOTA,(nCUENTA=1)*(nASIG=B62))),"—")</f>
        <v>—</v>
      </c>
      <c r="G62" t="str" cm="1">
        <f t="array" ref="G62">IFERROR(_xlfn.MODE.SNGL(_xlfn._xlws.FILTER(nNOTA,(nCUENTA=1)*(nASIG=B62))),"—")</f>
        <v>—</v>
      </c>
      <c r="H62" s="11" t="str">
        <f>IFERROR(SUMPRODUCT((nCUENTA=1)*(nASIG=B62)*(nAPTO="S"))/D62,"—")</f>
        <v>—</v>
      </c>
      <c r="I62" s="11" t="str">
        <f>IFERROR(SUMPRODUCT((nCUENTA=1)*(nASIG=B62)*(nAPTO="N"))/D62,"—")</f>
        <v>—</v>
      </c>
      <c r="J62" t="str" cm="1">
        <f t="array" ref="J62">IFERROR(_xlfn.MODE.SNGL(_xlfn._xlws.FILTER(nNOTA,(nCUENTA=1)*(nASIG=B62)*(nAPTO="S"))),"—")</f>
        <v>—</v>
      </c>
      <c r="K62" t="str" cm="1">
        <f t="array" ref="K62">IFERROR(_xlfn.MODE.SNGL(_xlfn._xlws.FILTER(nNOTA,(nCUENTA=1)*(nASIG=B62)*(nAPTO="N"))),"—")</f>
        <v>—</v>
      </c>
      <c r="L62">
        <f>SUMPRODUCT((nCUENTA=1)*(nASIG=B62)*(nNOTA=1))</f>
        <v>0</v>
      </c>
      <c r="M62">
        <f>SUMPRODUCT((nCUENTA=1)*(nASIG=B62)*(nNOTA=2))</f>
        <v>0</v>
      </c>
      <c r="N62">
        <f>SUMPRODUCT((nCUENTA=1)*(nASIG=B62)*(nNOTA=3))</f>
        <v>0</v>
      </c>
      <c r="O62">
        <f>SUMPRODUCT((nCUENTA=1)*(nASIG=B62)*(nNOTA=4))</f>
        <v>0</v>
      </c>
      <c r="P62">
        <f>SUMPRODUCT((nCUENTA=1)*(nASIG=B62)*(nNOTA=5))</f>
        <v>0</v>
      </c>
      <c r="Q62">
        <f>SUMPRODUCT((nCUENTA=1)*(nASIG=B62)*(nNOTA=6))</f>
        <v>0</v>
      </c>
      <c r="R62">
        <f>SUMPRODUCT((nCUENTA=1)*(nASIG=B62)*(nNOTA=7))</f>
        <v>0</v>
      </c>
      <c r="S62">
        <f>SUMPRODUCT((nCUENTA=1)*(nASIG=B62)*(nNOTA=8))</f>
        <v>0</v>
      </c>
      <c r="T62">
        <f>SUMPRODUCT((nCUENTA=1)*(nASIG=B62)*(nNOTA=9))</f>
        <v>0</v>
      </c>
      <c r="U62">
        <f>SUMPRODUCT((nCUENTA=1)*(nASIG=B62)*(nNOTA=10))</f>
        <v>0</v>
      </c>
    </row>
    <row r="63">
      <c r="A63" t="inlineStr">
        <is>
          <t xml:space="preserve">GLOBAL</t>
        </is>
      </c>
      <c r="B63" cm="1">
        <f t="array" ref="B63">IFERROR(INDEX(_xlfn._xlws.FILTER(CONFIG_ASIGNATURAS!$B$2:$B$91,CONFIG_ASIGNATURAS!$G$2:$G$91="Sí"),58),"")</f>
      </c>
      <c r="C63">
        <f>IF(B63="","",IFERROR(VLOOKUP(B63,CONFIG_ASIGNATURAS!$B$2:$D$91,3,FALSE()),"Asignatura"))</f>
      </c>
      <c r="D63">
        <f>SUMPRODUCT((nCUENTA=1)*(nASIG=B63))</f>
        <v>0</v>
      </c>
      <c r="E63" s="10" t="str">
        <f>IFERROR(SUMPRODUCT((nCUENTA=1)*(nASIG=B63)*(nNOTA))/D63,"—")</f>
        <v>—</v>
      </c>
      <c r="F63" s="10" t="str" cm="1">
        <f t="array" ref="F63">IFERROR(_xlfn.STDEV.P(_xlfn._xlws.FILTER(nNOTA,(nCUENTA=1)*(nASIG=B63))),"—")</f>
        <v>—</v>
      </c>
      <c r="G63" t="str" cm="1">
        <f t="array" ref="G63">IFERROR(_xlfn.MODE.SNGL(_xlfn._xlws.FILTER(nNOTA,(nCUENTA=1)*(nASIG=B63))),"—")</f>
        <v>—</v>
      </c>
      <c r="H63" s="11" t="str">
        <f>IFERROR(SUMPRODUCT((nCUENTA=1)*(nASIG=B63)*(nAPTO="S"))/D63,"—")</f>
        <v>—</v>
      </c>
      <c r="I63" s="11" t="str">
        <f>IFERROR(SUMPRODUCT((nCUENTA=1)*(nASIG=B63)*(nAPTO="N"))/D63,"—")</f>
        <v>—</v>
      </c>
      <c r="J63" t="str" cm="1">
        <f t="array" ref="J63">IFERROR(_xlfn.MODE.SNGL(_xlfn._xlws.FILTER(nNOTA,(nCUENTA=1)*(nASIG=B63)*(nAPTO="S"))),"—")</f>
        <v>—</v>
      </c>
      <c r="K63" t="str" cm="1">
        <f t="array" ref="K63">IFERROR(_xlfn.MODE.SNGL(_xlfn._xlws.FILTER(nNOTA,(nCUENTA=1)*(nASIG=B63)*(nAPTO="N"))),"—")</f>
        <v>—</v>
      </c>
      <c r="L63">
        <f>SUMPRODUCT((nCUENTA=1)*(nASIG=B63)*(nNOTA=1))</f>
        <v>0</v>
      </c>
      <c r="M63">
        <f>SUMPRODUCT((nCUENTA=1)*(nASIG=B63)*(nNOTA=2))</f>
        <v>0</v>
      </c>
      <c r="N63">
        <f>SUMPRODUCT((nCUENTA=1)*(nASIG=B63)*(nNOTA=3))</f>
        <v>0</v>
      </c>
      <c r="O63">
        <f>SUMPRODUCT((nCUENTA=1)*(nASIG=B63)*(nNOTA=4))</f>
        <v>0</v>
      </c>
      <c r="P63">
        <f>SUMPRODUCT((nCUENTA=1)*(nASIG=B63)*(nNOTA=5))</f>
        <v>0</v>
      </c>
      <c r="Q63">
        <f>SUMPRODUCT((nCUENTA=1)*(nASIG=B63)*(nNOTA=6))</f>
        <v>0</v>
      </c>
      <c r="R63">
        <f>SUMPRODUCT((nCUENTA=1)*(nASIG=B63)*(nNOTA=7))</f>
        <v>0</v>
      </c>
      <c r="S63">
        <f>SUMPRODUCT((nCUENTA=1)*(nASIG=B63)*(nNOTA=8))</f>
        <v>0</v>
      </c>
      <c r="T63">
        <f>SUMPRODUCT((nCUENTA=1)*(nASIG=B63)*(nNOTA=9))</f>
        <v>0</v>
      </c>
      <c r="U63">
        <f>SUMPRODUCT((nCUENTA=1)*(nASIG=B63)*(nNOTA=10))</f>
        <v>0</v>
      </c>
    </row>
    <row r="64">
      <c r="A64" t="inlineStr">
        <is>
          <t xml:space="preserve">GLOBAL</t>
        </is>
      </c>
      <c r="B64" cm="1">
        <f t="array" ref="B64">IFERROR(INDEX(_xlfn._xlws.FILTER(CONFIG_ASIGNATURAS!$B$2:$B$91,CONFIG_ASIGNATURAS!$G$2:$G$91="Sí"),59),"")</f>
      </c>
      <c r="C64">
        <f>IF(B64="","",IFERROR(VLOOKUP(B64,CONFIG_ASIGNATURAS!$B$2:$D$91,3,FALSE()),"Asignatura"))</f>
      </c>
      <c r="D64">
        <f>SUMPRODUCT((nCUENTA=1)*(nASIG=B64))</f>
        <v>0</v>
      </c>
      <c r="E64" s="10" t="str">
        <f>IFERROR(SUMPRODUCT((nCUENTA=1)*(nASIG=B64)*(nNOTA))/D64,"—")</f>
        <v>—</v>
      </c>
      <c r="F64" s="10" t="str" cm="1">
        <f t="array" ref="F64">IFERROR(_xlfn.STDEV.P(_xlfn._xlws.FILTER(nNOTA,(nCUENTA=1)*(nASIG=B64))),"—")</f>
        <v>—</v>
      </c>
      <c r="G64" t="str" cm="1">
        <f t="array" ref="G64">IFERROR(_xlfn.MODE.SNGL(_xlfn._xlws.FILTER(nNOTA,(nCUENTA=1)*(nASIG=B64))),"—")</f>
        <v>—</v>
      </c>
      <c r="H64" s="11" t="str">
        <f>IFERROR(SUMPRODUCT((nCUENTA=1)*(nASIG=B64)*(nAPTO="S"))/D64,"—")</f>
        <v>—</v>
      </c>
      <c r="I64" s="11" t="str">
        <f>IFERROR(SUMPRODUCT((nCUENTA=1)*(nASIG=B64)*(nAPTO="N"))/D64,"—")</f>
        <v>—</v>
      </c>
      <c r="J64" t="str" cm="1">
        <f t="array" ref="J64">IFERROR(_xlfn.MODE.SNGL(_xlfn._xlws.FILTER(nNOTA,(nCUENTA=1)*(nASIG=B64)*(nAPTO="S"))),"—")</f>
        <v>—</v>
      </c>
      <c r="K64" t="str" cm="1">
        <f t="array" ref="K64">IFERROR(_xlfn.MODE.SNGL(_xlfn._xlws.FILTER(nNOTA,(nCUENTA=1)*(nASIG=B64)*(nAPTO="N"))),"—")</f>
        <v>—</v>
      </c>
      <c r="L64">
        <f>SUMPRODUCT((nCUENTA=1)*(nASIG=B64)*(nNOTA=1))</f>
        <v>0</v>
      </c>
      <c r="M64">
        <f>SUMPRODUCT((nCUENTA=1)*(nASIG=B64)*(nNOTA=2))</f>
        <v>0</v>
      </c>
      <c r="N64">
        <f>SUMPRODUCT((nCUENTA=1)*(nASIG=B64)*(nNOTA=3))</f>
        <v>0</v>
      </c>
      <c r="O64">
        <f>SUMPRODUCT((nCUENTA=1)*(nASIG=B64)*(nNOTA=4))</f>
        <v>0</v>
      </c>
      <c r="P64">
        <f>SUMPRODUCT((nCUENTA=1)*(nASIG=B64)*(nNOTA=5))</f>
        <v>0</v>
      </c>
      <c r="Q64">
        <f>SUMPRODUCT((nCUENTA=1)*(nASIG=B64)*(nNOTA=6))</f>
        <v>0</v>
      </c>
      <c r="R64">
        <f>SUMPRODUCT((nCUENTA=1)*(nASIG=B64)*(nNOTA=7))</f>
        <v>0</v>
      </c>
      <c r="S64">
        <f>SUMPRODUCT((nCUENTA=1)*(nASIG=B64)*(nNOTA=8))</f>
        <v>0</v>
      </c>
      <c r="T64">
        <f>SUMPRODUCT((nCUENTA=1)*(nASIG=B64)*(nNOTA=9))</f>
        <v>0</v>
      </c>
      <c r="U64">
        <f>SUMPRODUCT((nCUENTA=1)*(nASIG=B64)*(nNOTA=10))</f>
        <v>0</v>
      </c>
    </row>
    <row r="65">
      <c r="A65" t="inlineStr">
        <is>
          <t xml:space="preserve">GLOBAL</t>
        </is>
      </c>
      <c r="B65" cm="1">
        <f t="array" ref="B65">IFERROR(INDEX(_xlfn._xlws.FILTER(CONFIG_ASIGNATURAS!$B$2:$B$91,CONFIG_ASIGNATURAS!$G$2:$G$91="Sí"),60),"")</f>
      </c>
      <c r="C65">
        <f>IF(B65="","",IFERROR(VLOOKUP(B65,CONFIG_ASIGNATURAS!$B$2:$D$91,3,FALSE()),"Asignatura"))</f>
      </c>
      <c r="D65">
        <f>SUMPRODUCT((nCUENTA=1)*(nASIG=B65))</f>
        <v>0</v>
      </c>
      <c r="E65" s="10" t="str">
        <f>IFERROR(SUMPRODUCT((nCUENTA=1)*(nASIG=B65)*(nNOTA))/D65,"—")</f>
        <v>—</v>
      </c>
      <c r="F65" s="10" t="str" cm="1">
        <f t="array" ref="F65">IFERROR(_xlfn.STDEV.P(_xlfn._xlws.FILTER(nNOTA,(nCUENTA=1)*(nASIG=B65))),"—")</f>
        <v>—</v>
      </c>
      <c r="G65" t="str" cm="1">
        <f t="array" ref="G65">IFERROR(_xlfn.MODE.SNGL(_xlfn._xlws.FILTER(nNOTA,(nCUENTA=1)*(nASIG=B65))),"—")</f>
        <v>—</v>
      </c>
      <c r="H65" s="11" t="str">
        <f>IFERROR(SUMPRODUCT((nCUENTA=1)*(nASIG=B65)*(nAPTO="S"))/D65,"—")</f>
        <v>—</v>
      </c>
      <c r="I65" s="11" t="str">
        <f>IFERROR(SUMPRODUCT((nCUENTA=1)*(nASIG=B65)*(nAPTO="N"))/D65,"—")</f>
        <v>—</v>
      </c>
      <c r="J65" t="str" cm="1">
        <f t="array" ref="J65">IFERROR(_xlfn.MODE.SNGL(_xlfn._xlws.FILTER(nNOTA,(nCUENTA=1)*(nASIG=B65)*(nAPTO="S"))),"—")</f>
        <v>—</v>
      </c>
      <c r="K65" t="str" cm="1">
        <f t="array" ref="K65">IFERROR(_xlfn.MODE.SNGL(_xlfn._xlws.FILTER(nNOTA,(nCUENTA=1)*(nASIG=B65)*(nAPTO="N"))),"—")</f>
        <v>—</v>
      </c>
      <c r="L65">
        <f>SUMPRODUCT((nCUENTA=1)*(nASIG=B65)*(nNOTA=1))</f>
        <v>0</v>
      </c>
      <c r="M65">
        <f>SUMPRODUCT((nCUENTA=1)*(nASIG=B65)*(nNOTA=2))</f>
        <v>0</v>
      </c>
      <c r="N65">
        <f>SUMPRODUCT((nCUENTA=1)*(nASIG=B65)*(nNOTA=3))</f>
        <v>0</v>
      </c>
      <c r="O65">
        <f>SUMPRODUCT((nCUENTA=1)*(nASIG=B65)*(nNOTA=4))</f>
        <v>0</v>
      </c>
      <c r="P65">
        <f>SUMPRODUCT((nCUENTA=1)*(nASIG=B65)*(nNOTA=5))</f>
        <v>0</v>
      </c>
      <c r="Q65">
        <f>SUMPRODUCT((nCUENTA=1)*(nASIG=B65)*(nNOTA=6))</f>
        <v>0</v>
      </c>
      <c r="R65">
        <f>SUMPRODUCT((nCUENTA=1)*(nASIG=B65)*(nNOTA=7))</f>
        <v>0</v>
      </c>
      <c r="S65">
        <f>SUMPRODUCT((nCUENTA=1)*(nASIG=B65)*(nNOTA=8))</f>
        <v>0</v>
      </c>
      <c r="T65">
        <f>SUMPRODUCT((nCUENTA=1)*(nASIG=B65)*(nNOTA=9))</f>
        <v>0</v>
      </c>
      <c r="U65">
        <f>SUMPRODUCT((nCUENTA=1)*(nASIG=B65)*(nNOTA=10))</f>
        <v>0</v>
      </c>
    </row>
    <row r="66">
      <c r="A66" t="inlineStr">
        <is>
          <t xml:space="preserve">1EPM</t>
        </is>
      </c>
      <c r="B66" t="inlineStr">
        <is>
          <t xml:space="preserve">Total</t>
        </is>
      </c>
      <c r="C66" t="inlineStr">
        <is>
          <t xml:space="preserve">Total</t>
        </is>
      </c>
      <c r="D66">
        <f>SUMPRODUCT((nCUENTA=1)*(nCURSO=A66))</f>
        <v>0</v>
      </c>
      <c r="E66" s="10" t="str">
        <f>IFERROR(SUMPRODUCT((nCUENTA=1)*(nCURSO=A66)*(nNOTA))/D66,"—")</f>
        <v>—</v>
      </c>
      <c r="F66" s="10" t="str" cm="1">
        <f t="array" ref="F66">IFERROR(_xlfn.STDEV.P(_xlfn._xlws.FILTER(nNOTA,(nCUENTA=1)*(nCURSO=A66))),"—")</f>
        <v>—</v>
      </c>
      <c r="G66" t="str" cm="1">
        <f t="array" ref="G66">IFERROR(_xlfn.MODE.SNGL(_xlfn._xlws.FILTER(nNOTA,(nCUENTA=1)*(nCURSO=A66))),"—")</f>
        <v>—</v>
      </c>
      <c r="H66" s="11" t="str">
        <f>IFERROR(SUMPRODUCT((nCUENTA=1)*(nCURSO=A66)*(nAPTO="S"))/D66,"—")</f>
        <v>—</v>
      </c>
      <c r="I66" s="11" t="str">
        <f>IFERROR(SUMPRODUCT((nCUENTA=1)*(nCURSO=A66)*(nAPTO="N"))/D66,"—")</f>
        <v>—</v>
      </c>
      <c r="J66" t="str" cm="1">
        <f t="array" ref="J66">IFERROR(_xlfn.MODE.SNGL(_xlfn._xlws.FILTER(nNOTA,(nCUENTA=1)*(nCURSO=A66)*(nAPTO="S"))),"—")</f>
        <v>—</v>
      </c>
      <c r="K66" t="str" cm="1">
        <f t="array" ref="K66">IFERROR(_xlfn.MODE.SNGL(_xlfn._xlws.FILTER(nNOTA,(nCUENTA=1)*(nCURSO=A66)*(nAPTO="N"))),"—")</f>
        <v>—</v>
      </c>
      <c r="L66">
        <f>SUMPRODUCT((nCUENTA=1)*(nCURSO=A66)*(nNOTA=1))</f>
        <v>0</v>
      </c>
      <c r="M66">
        <f>SUMPRODUCT((nCUENTA=1)*(nCURSO=A66)*(nNOTA=2))</f>
        <v>0</v>
      </c>
      <c r="N66">
        <f>SUMPRODUCT((nCUENTA=1)*(nCURSO=A66)*(nNOTA=3))</f>
        <v>0</v>
      </c>
      <c r="O66">
        <f>SUMPRODUCT((nCUENTA=1)*(nCURSO=A66)*(nNOTA=4))</f>
        <v>0</v>
      </c>
      <c r="P66">
        <f>SUMPRODUCT((nCUENTA=1)*(nCURSO=A66)*(nNOTA=5))</f>
        <v>0</v>
      </c>
      <c r="Q66">
        <f>SUMPRODUCT((nCUENTA=1)*(nCURSO=A66)*(nNOTA=6))</f>
        <v>0</v>
      </c>
      <c r="R66">
        <f>SUMPRODUCT((nCUENTA=1)*(nCURSO=A66)*(nNOTA=7))</f>
        <v>0</v>
      </c>
      <c r="S66">
        <f>SUMPRODUCT((nCUENTA=1)*(nCURSO=A66)*(nNOTA=8))</f>
        <v>0</v>
      </c>
      <c r="T66">
        <f>SUMPRODUCT((nCUENTA=1)*(nCURSO=A66)*(nNOTA=9))</f>
        <v>0</v>
      </c>
      <c r="U66">
        <f>SUMPRODUCT((nCUENTA=1)*(nCURSO=A66)*(nNOTA=10))</f>
        <v>0</v>
      </c>
    </row>
    <row r="67">
      <c r="A67" t="inlineStr">
        <is>
          <t xml:space="preserve">1EPM</t>
        </is>
      </c>
      <c r="B67" t="inlineStr">
        <is>
          <t xml:space="preserve">Total Especialidad</t>
        </is>
      </c>
      <c r="C67" t="inlineStr">
        <is>
          <t xml:space="preserve">TotalEsp</t>
        </is>
      </c>
      <c r="D67">
        <f>SUMPRODUCT((nCUENTA=1)*(nCURSO=A67)*(nCLASE_I="E")*1)</f>
      </c>
      <c r="E67" s="10" cm="1">
        <f t="array" ref="E67">IFERROR(AVERAGE(IF((nCUENTA=1)*(nCURSO=A67)*(nCLASE_I="E"),nNOTA)),"—")</f>
      </c>
      <c r="F67" s="10" cm="1">
        <f t="array" ref="F67">IFERROR(_xlfn.STDEV.P(IF((nCUENTA=1)*(nCURSO=A67)*(nCLASE_I="E"),nNOTA)),"—")</f>
      </c>
      <c r="G67" cm="1">
        <f t="array" ref="G67">IFERROR(_xlfn.MODE.SNGL(IF((nCUENTA=1)*(nCURSO=A67)*(nCLASE_I="E"),nNOTA)),"—")</f>
      </c>
      <c r="H67" s="11">
        <f>IFERROR(SUMPRODUCT((nCUENTA=1)*(nCURSO=A67)*(nCLASE_I="E")*(nAPTO="S"))/SUMPRODUCT((nCUENTA=1)*(nCURSO=A67)*(nCLASE_I="E")*1),"—")</f>
      </c>
      <c r="I67" s="11">
        <f>IFERROR(SUMPRODUCT((nCUENTA=1)*(nCURSO=A67)*(nCLASE_I="E")*(nAPTO="N"))/SUMPRODUCT((nCUENTA=1)*(nCURSO=A67)*(nCLASE_I="E")*1),"—")</f>
      </c>
      <c r="J67" cm="1">
        <f t="array" ref="J67">IFERROR(_xlfn.MODE.SNGL(IF((nCUENTA=1)*(nCURSO=A67)*(nCLASE_I="E")*(nAPTO="S"),nNOTA)),"—")</f>
      </c>
      <c r="K67" cm="1">
        <f t="array" ref="K67">IFERROR(_xlfn.MODE.SNGL(IF((nCUENTA=1)*(nCURSO=A67)*(nCLASE_I="E")*(nAPTO="N"),nNOTA)),"—")</f>
      </c>
      <c r="L67">
        <f>SUMPRODUCT((nCUENTA=1)*(nCURSO=A67)*(nCLASE_I="E")*(nNOTA=1))</f>
      </c>
      <c r="M67">
        <f>SUMPRODUCT((nCUENTA=1)*(nCURSO=A67)*(nCLASE_I="E")*(nNOTA=2))</f>
      </c>
      <c r="N67">
        <f>SUMPRODUCT((nCUENTA=1)*(nCURSO=A67)*(nCLASE_I="E")*(nNOTA=3))</f>
      </c>
      <c r="O67">
        <f>SUMPRODUCT((nCUENTA=1)*(nCURSO=A67)*(nCLASE_I="E")*(nNOTA=4))</f>
      </c>
      <c r="P67">
        <f>SUMPRODUCT((nCUENTA=1)*(nCURSO=A67)*(nCLASE_I="E")*(nNOTA=5))</f>
      </c>
      <c r="Q67">
        <f>SUMPRODUCT((nCUENTA=1)*(nCURSO=A67)*(nCLASE_I="E")*(nNOTA=6))</f>
      </c>
      <c r="R67">
        <f>SUMPRODUCT((nCUENTA=1)*(nCURSO=A67)*(nCLASE_I="E")*(nNOTA=7))</f>
      </c>
      <c r="S67">
        <f>SUMPRODUCT((nCUENTA=1)*(nCURSO=A67)*(nCLASE_I="E")*(nNOTA=8))</f>
      </c>
      <c r="T67">
        <f>SUMPRODUCT((nCUENTA=1)*(nCURSO=A67)*(nCLASE_I="E")*(nNOTA=9))</f>
      </c>
      <c r="U67">
        <f>SUMPRODUCT((nCUENTA=1)*(nCURSO=A67)*(nCLASE_I="E")*(nNOTA=10))</f>
      </c>
    </row>
    <row r="68">
      <c r="A68" t="inlineStr">
        <is>
          <t xml:space="preserve">1EPM</t>
        </is>
      </c>
      <c r="B68" t="inlineStr">
        <is>
          <t xml:space="preserve">Total No Especialidad</t>
        </is>
      </c>
      <c r="C68" t="inlineStr">
        <is>
          <t xml:space="preserve">TotalNoEsp</t>
        </is>
      </c>
      <c r="D68">
        <f>SUMPRODUCT((nCUENTA=1)*(nCURSO=A68)*((nCLASE_I&lt;&gt;"")*(nCLASE_I&lt;&gt;"E"))*1)</f>
      </c>
      <c r="E68" s="10" cm="1">
        <f t="array" ref="E68">IFERROR(AVERAGE(IF((nCUENTA=1)*(nCURSO=A68)*((nCLASE_I&lt;&gt;"")*(nCLASE_I&lt;&gt;"E")),nNOTA)),"—")</f>
      </c>
      <c r="F68" s="10" cm="1">
        <f t="array" ref="F68">IFERROR(_xlfn.STDEV.P(IF((nCUENTA=1)*(nCURSO=A68)*((nCLASE_I&lt;&gt;"")*(nCLASE_I&lt;&gt;"E")),nNOTA)),"—")</f>
      </c>
      <c r="G68" cm="1">
        <f t="array" ref="G68">IFERROR(_xlfn.MODE.SNGL(IF((nCUENTA=1)*(nCURSO=A68)*((nCLASE_I&lt;&gt;"")*(nCLASE_I&lt;&gt;"E")),nNOTA)),"—")</f>
      </c>
      <c r="H68" s="11">
        <f>IFERROR(SUMPRODUCT((nCUENTA=1)*(nCURSO=A68)*((nCLASE_I&lt;&gt;"")*(nCLASE_I&lt;&gt;"E"))*(nAPTO="S"))/SUMPRODUCT((nCUENTA=1)*(nCURSO=A68)*((nCLASE_I&lt;&gt;"")*(nCLASE_I&lt;&gt;"E"))*1),"—")</f>
      </c>
      <c r="I68" s="11">
        <f>IFERROR(SUMPRODUCT((nCUENTA=1)*(nCURSO=A68)*((nCLASE_I&lt;&gt;"")*(nCLASE_I&lt;&gt;"E"))*(nAPTO="N"))/SUMPRODUCT((nCUENTA=1)*(nCURSO=A68)*((nCLASE_I&lt;&gt;"")*(nCLASE_I&lt;&gt;"E"))*1),"—")</f>
      </c>
      <c r="J68" cm="1">
        <f t="array" ref="J68">IFERROR(_xlfn.MODE.SNGL(IF((nCUENTA=1)*(nCURSO=A68)*((nCLASE_I&lt;&gt;"")*(nCLASE_I&lt;&gt;"E"))*(nAPTO="S"),nNOTA)),"—")</f>
      </c>
      <c r="K68" cm="1">
        <f t="array" ref="K68">IFERROR(_xlfn.MODE.SNGL(IF((nCUENTA=1)*(nCURSO=A68)*((nCLASE_I&lt;&gt;"")*(nCLASE_I&lt;&gt;"E"))*(nAPTO="N"),nNOTA)),"—")</f>
      </c>
      <c r="L68">
        <f>SUMPRODUCT((nCUENTA=1)*(nCURSO=A68)*((nCLASE_I&lt;&gt;"")*(nCLASE_I&lt;&gt;"E"))*(nNOTA=1))</f>
      </c>
      <c r="M68">
        <f>SUMPRODUCT((nCUENTA=1)*(nCURSO=A68)*((nCLASE_I&lt;&gt;"")*(nCLASE_I&lt;&gt;"E"))*(nNOTA=2))</f>
      </c>
      <c r="N68">
        <f>SUMPRODUCT((nCUENTA=1)*(nCURSO=A68)*((nCLASE_I&lt;&gt;"")*(nCLASE_I&lt;&gt;"E"))*(nNOTA=3))</f>
      </c>
      <c r="O68">
        <f>SUMPRODUCT((nCUENTA=1)*(nCURSO=A68)*((nCLASE_I&lt;&gt;"")*(nCLASE_I&lt;&gt;"E"))*(nNOTA=4))</f>
      </c>
      <c r="P68">
        <f>SUMPRODUCT((nCUENTA=1)*(nCURSO=A68)*((nCLASE_I&lt;&gt;"")*(nCLASE_I&lt;&gt;"E"))*(nNOTA=5))</f>
      </c>
      <c r="Q68">
        <f>SUMPRODUCT((nCUENTA=1)*(nCURSO=A68)*((nCLASE_I&lt;&gt;"")*(nCLASE_I&lt;&gt;"E"))*(nNOTA=6))</f>
      </c>
      <c r="R68">
        <f>SUMPRODUCT((nCUENTA=1)*(nCURSO=A68)*((nCLASE_I&lt;&gt;"")*(nCLASE_I&lt;&gt;"E"))*(nNOTA=7))</f>
      </c>
      <c r="S68">
        <f>SUMPRODUCT((nCUENTA=1)*(nCURSO=A68)*((nCLASE_I&lt;&gt;"")*(nCLASE_I&lt;&gt;"E"))*(nNOTA=8))</f>
      </c>
      <c r="T68">
        <f>SUMPRODUCT((nCUENTA=1)*(nCURSO=A68)*((nCLASE_I&lt;&gt;"")*(nCLASE_I&lt;&gt;"E"))*(nNOTA=9))</f>
      </c>
      <c r="U68">
        <f>SUMPRODUCT((nCUENTA=1)*(nCURSO=A68)*((nCLASE_I&lt;&gt;"")*(nCLASE_I&lt;&gt;"E"))*(nNOTA=10))</f>
      </c>
    </row>
    <row r="69">
      <c r="A69" t="inlineStr">
        <is>
          <t xml:space="preserve">2EPM</t>
        </is>
      </c>
      <c r="B69" t="inlineStr">
        <is>
          <t xml:space="preserve">Total</t>
        </is>
      </c>
      <c r="C69" t="inlineStr">
        <is>
          <t xml:space="preserve">Total</t>
        </is>
      </c>
      <c r="D69">
        <f>SUMPRODUCT((nCUENTA=1)*(nCURSO=A69))</f>
        <v>0</v>
      </c>
      <c r="E69" s="10" t="str">
        <f>IFERROR(SUMPRODUCT((nCUENTA=1)*(nCURSO=A69)*(nNOTA))/D69,"—")</f>
        <v>—</v>
      </c>
      <c r="F69" s="10" t="str" cm="1">
        <f t="array" ref="F69">IFERROR(_xlfn.STDEV.P(_xlfn._xlws.FILTER(nNOTA,(nCUENTA=1)*(nCURSO=A69))),"—")</f>
        <v>—</v>
      </c>
      <c r="G69" t="str" cm="1">
        <f t="array" ref="G69">IFERROR(_xlfn.MODE.SNGL(_xlfn._xlws.FILTER(nNOTA,(nCUENTA=1)*(nCURSO=A69))),"—")</f>
        <v>—</v>
      </c>
      <c r="H69" s="11" t="str">
        <f>IFERROR(SUMPRODUCT((nCUENTA=1)*(nCURSO=A69)*(nAPTO="S"))/D69,"—")</f>
        <v>—</v>
      </c>
      <c r="I69" s="11" t="str">
        <f>IFERROR(SUMPRODUCT((nCUENTA=1)*(nCURSO=A69)*(nAPTO="N"))/D69,"—")</f>
        <v>—</v>
      </c>
      <c r="J69" t="str" cm="1">
        <f t="array" ref="J69">IFERROR(_xlfn.MODE.SNGL(_xlfn._xlws.FILTER(nNOTA,(nCUENTA=1)*(nCURSO=A69)*(nAPTO="S"))),"—")</f>
        <v>—</v>
      </c>
      <c r="K69" t="str" cm="1">
        <f t="array" ref="K69">IFERROR(_xlfn.MODE.SNGL(_xlfn._xlws.FILTER(nNOTA,(nCUENTA=1)*(nCURSO=A69)*(nAPTO="N"))),"—")</f>
        <v>—</v>
      </c>
      <c r="L69">
        <f>SUMPRODUCT((nCUENTA=1)*(nCURSO=A69)*(nNOTA=1))</f>
        <v>0</v>
      </c>
      <c r="M69">
        <f>SUMPRODUCT((nCUENTA=1)*(nCURSO=A69)*(nNOTA=2))</f>
        <v>0</v>
      </c>
      <c r="N69">
        <f>SUMPRODUCT((nCUENTA=1)*(nCURSO=A69)*(nNOTA=3))</f>
        <v>0</v>
      </c>
      <c r="O69">
        <f>SUMPRODUCT((nCUENTA=1)*(nCURSO=A69)*(nNOTA=4))</f>
        <v>0</v>
      </c>
      <c r="P69">
        <f>SUMPRODUCT((nCUENTA=1)*(nCURSO=A69)*(nNOTA=5))</f>
        <v>0</v>
      </c>
      <c r="Q69">
        <f>SUMPRODUCT((nCUENTA=1)*(nCURSO=A69)*(nNOTA=6))</f>
        <v>0</v>
      </c>
      <c r="R69">
        <f>SUMPRODUCT((nCUENTA=1)*(nCURSO=A69)*(nNOTA=7))</f>
        <v>0</v>
      </c>
      <c r="S69">
        <f>SUMPRODUCT((nCUENTA=1)*(nCURSO=A69)*(nNOTA=8))</f>
        <v>0</v>
      </c>
      <c r="T69">
        <f>SUMPRODUCT((nCUENTA=1)*(nCURSO=A69)*(nNOTA=9))</f>
        <v>0</v>
      </c>
      <c r="U69">
        <f>SUMPRODUCT((nCUENTA=1)*(nCURSO=A69)*(nNOTA=10))</f>
        <v>0</v>
      </c>
    </row>
    <row r="70">
      <c r="A70" t="inlineStr">
        <is>
          <t xml:space="preserve">2EPM</t>
        </is>
      </c>
      <c r="B70" t="inlineStr">
        <is>
          <t xml:space="preserve">Total Especialidad</t>
        </is>
      </c>
      <c r="C70" t="inlineStr">
        <is>
          <t xml:space="preserve">TotalEsp</t>
        </is>
      </c>
      <c r="D70">
        <f>SUMPRODUCT((nCUENTA=1)*(nCURSO=A70)*(nCLASE_I="E")*1)</f>
      </c>
      <c r="E70" s="10" cm="1">
        <f t="array" ref="E70">IFERROR(AVERAGE(IF((nCUENTA=1)*(nCURSO=A70)*(nCLASE_I="E"),nNOTA)),"—")</f>
      </c>
      <c r="F70" s="10" cm="1">
        <f t="array" ref="F70">IFERROR(_xlfn.STDEV.P(IF((nCUENTA=1)*(nCURSO=A70)*(nCLASE_I="E"),nNOTA)),"—")</f>
      </c>
      <c r="G70" cm="1">
        <f t="array" ref="G70">IFERROR(_xlfn.MODE.SNGL(IF((nCUENTA=1)*(nCURSO=A70)*(nCLASE_I="E"),nNOTA)),"—")</f>
      </c>
      <c r="H70" s="11">
        <f>IFERROR(SUMPRODUCT((nCUENTA=1)*(nCURSO=A70)*(nCLASE_I="E")*(nAPTO="S"))/SUMPRODUCT((nCUENTA=1)*(nCURSO=A70)*(nCLASE_I="E")*1),"—")</f>
      </c>
      <c r="I70" s="11">
        <f>IFERROR(SUMPRODUCT((nCUENTA=1)*(nCURSO=A70)*(nCLASE_I="E")*(nAPTO="N"))/SUMPRODUCT((nCUENTA=1)*(nCURSO=A70)*(nCLASE_I="E")*1),"—")</f>
      </c>
      <c r="J70" cm="1">
        <f t="array" ref="J70">IFERROR(_xlfn.MODE.SNGL(IF((nCUENTA=1)*(nCURSO=A70)*(nCLASE_I="E")*(nAPTO="S"),nNOTA)),"—")</f>
      </c>
      <c r="K70" cm="1">
        <f t="array" ref="K70">IFERROR(_xlfn.MODE.SNGL(IF((nCUENTA=1)*(nCURSO=A70)*(nCLASE_I="E")*(nAPTO="N"),nNOTA)),"—")</f>
      </c>
      <c r="L70">
        <f>SUMPRODUCT((nCUENTA=1)*(nCURSO=A70)*(nCLASE_I="E")*(nNOTA=1))</f>
      </c>
      <c r="M70">
        <f>SUMPRODUCT((nCUENTA=1)*(nCURSO=A70)*(nCLASE_I="E")*(nNOTA=2))</f>
      </c>
      <c r="N70">
        <f>SUMPRODUCT((nCUENTA=1)*(nCURSO=A70)*(nCLASE_I="E")*(nNOTA=3))</f>
      </c>
      <c r="O70">
        <f>SUMPRODUCT((nCUENTA=1)*(nCURSO=A70)*(nCLASE_I="E")*(nNOTA=4))</f>
      </c>
      <c r="P70">
        <f>SUMPRODUCT((nCUENTA=1)*(nCURSO=A70)*(nCLASE_I="E")*(nNOTA=5))</f>
      </c>
      <c r="Q70">
        <f>SUMPRODUCT((nCUENTA=1)*(nCURSO=A70)*(nCLASE_I="E")*(nNOTA=6))</f>
      </c>
      <c r="R70">
        <f>SUMPRODUCT((nCUENTA=1)*(nCURSO=A70)*(nCLASE_I="E")*(nNOTA=7))</f>
      </c>
      <c r="S70">
        <f>SUMPRODUCT((nCUENTA=1)*(nCURSO=A70)*(nCLASE_I="E")*(nNOTA=8))</f>
      </c>
      <c r="T70">
        <f>SUMPRODUCT((nCUENTA=1)*(nCURSO=A70)*(nCLASE_I="E")*(nNOTA=9))</f>
      </c>
      <c r="U70">
        <f>SUMPRODUCT((nCUENTA=1)*(nCURSO=A70)*(nCLASE_I="E")*(nNOTA=10))</f>
      </c>
    </row>
    <row r="71">
      <c r="A71" t="inlineStr">
        <is>
          <t xml:space="preserve">2EPM</t>
        </is>
      </c>
      <c r="B71" t="inlineStr">
        <is>
          <t xml:space="preserve">Total No Especialidad</t>
        </is>
      </c>
      <c r="C71" t="inlineStr">
        <is>
          <t xml:space="preserve">TotalNoEsp</t>
        </is>
      </c>
      <c r="D71">
        <f>SUMPRODUCT((nCUENTA=1)*(nCURSO=A71)*((nCLASE_I&lt;&gt;"")*(nCLASE_I&lt;&gt;"E"))*1)</f>
      </c>
      <c r="E71" s="10" cm="1">
        <f t="array" ref="E71">IFERROR(AVERAGE(IF((nCUENTA=1)*(nCURSO=A71)*((nCLASE_I&lt;&gt;"")*(nCLASE_I&lt;&gt;"E")),nNOTA)),"—")</f>
      </c>
      <c r="F71" s="10" cm="1">
        <f t="array" ref="F71">IFERROR(_xlfn.STDEV.P(IF((nCUENTA=1)*(nCURSO=A71)*((nCLASE_I&lt;&gt;"")*(nCLASE_I&lt;&gt;"E")),nNOTA)),"—")</f>
      </c>
      <c r="G71" cm="1">
        <f t="array" ref="G71">IFERROR(_xlfn.MODE.SNGL(IF((nCUENTA=1)*(nCURSO=A71)*((nCLASE_I&lt;&gt;"")*(nCLASE_I&lt;&gt;"E")),nNOTA)),"—")</f>
      </c>
      <c r="H71" s="11">
        <f>IFERROR(SUMPRODUCT((nCUENTA=1)*(nCURSO=A71)*((nCLASE_I&lt;&gt;"")*(nCLASE_I&lt;&gt;"E"))*(nAPTO="S"))/SUMPRODUCT((nCUENTA=1)*(nCURSO=A71)*((nCLASE_I&lt;&gt;"")*(nCLASE_I&lt;&gt;"E"))*1),"—")</f>
      </c>
      <c r="I71" s="11">
        <f>IFERROR(SUMPRODUCT((nCUENTA=1)*(nCURSO=A71)*((nCLASE_I&lt;&gt;"")*(nCLASE_I&lt;&gt;"E"))*(nAPTO="N"))/SUMPRODUCT((nCUENTA=1)*(nCURSO=A71)*((nCLASE_I&lt;&gt;"")*(nCLASE_I&lt;&gt;"E"))*1),"—")</f>
      </c>
      <c r="J71" cm="1">
        <f t="array" ref="J71">IFERROR(_xlfn.MODE.SNGL(IF((nCUENTA=1)*(nCURSO=A71)*((nCLASE_I&lt;&gt;"")*(nCLASE_I&lt;&gt;"E"))*(nAPTO="S"),nNOTA)),"—")</f>
      </c>
      <c r="K71" cm="1">
        <f t="array" ref="K71">IFERROR(_xlfn.MODE.SNGL(IF((nCUENTA=1)*(nCURSO=A71)*((nCLASE_I&lt;&gt;"")*(nCLASE_I&lt;&gt;"E"))*(nAPTO="N"),nNOTA)),"—")</f>
      </c>
      <c r="L71">
        <f>SUMPRODUCT((nCUENTA=1)*(nCURSO=A71)*((nCLASE_I&lt;&gt;"")*(nCLASE_I&lt;&gt;"E"))*(nNOTA=1))</f>
      </c>
      <c r="M71">
        <f>SUMPRODUCT((nCUENTA=1)*(nCURSO=A71)*((nCLASE_I&lt;&gt;"")*(nCLASE_I&lt;&gt;"E"))*(nNOTA=2))</f>
      </c>
      <c r="N71">
        <f>SUMPRODUCT((nCUENTA=1)*(nCURSO=A71)*((nCLASE_I&lt;&gt;"")*(nCLASE_I&lt;&gt;"E"))*(nNOTA=3))</f>
      </c>
      <c r="O71">
        <f>SUMPRODUCT((nCUENTA=1)*(nCURSO=A71)*((nCLASE_I&lt;&gt;"")*(nCLASE_I&lt;&gt;"E"))*(nNOTA=4))</f>
      </c>
      <c r="P71">
        <f>SUMPRODUCT((nCUENTA=1)*(nCURSO=A71)*((nCLASE_I&lt;&gt;"")*(nCLASE_I&lt;&gt;"E"))*(nNOTA=5))</f>
      </c>
      <c r="Q71">
        <f>SUMPRODUCT((nCUENTA=1)*(nCURSO=A71)*((nCLASE_I&lt;&gt;"")*(nCLASE_I&lt;&gt;"E"))*(nNOTA=6))</f>
      </c>
      <c r="R71">
        <f>SUMPRODUCT((nCUENTA=1)*(nCURSO=A71)*((nCLASE_I&lt;&gt;"")*(nCLASE_I&lt;&gt;"E"))*(nNOTA=7))</f>
      </c>
      <c r="S71">
        <f>SUMPRODUCT((nCUENTA=1)*(nCURSO=A71)*((nCLASE_I&lt;&gt;"")*(nCLASE_I&lt;&gt;"E"))*(nNOTA=8))</f>
      </c>
      <c r="T71">
        <f>SUMPRODUCT((nCUENTA=1)*(nCURSO=A71)*((nCLASE_I&lt;&gt;"")*(nCLASE_I&lt;&gt;"E"))*(nNOTA=9))</f>
      </c>
      <c r="U71">
        <f>SUMPRODUCT((nCUENTA=1)*(nCURSO=A71)*((nCLASE_I&lt;&gt;"")*(nCLASE_I&lt;&gt;"E"))*(nNOTA=10))</f>
      </c>
    </row>
    <row r="72">
      <c r="A72" t="inlineStr">
        <is>
          <t xml:space="preserve">3EPM</t>
        </is>
      </c>
      <c r="B72" t="inlineStr">
        <is>
          <t xml:space="preserve">Total</t>
        </is>
      </c>
      <c r="C72" t="inlineStr">
        <is>
          <t xml:space="preserve">Total</t>
        </is>
      </c>
      <c r="D72">
        <f>SUMPRODUCT((nCUENTA=1)*(nCURSO=A72))</f>
        <v>0</v>
      </c>
      <c r="E72" s="10" t="str">
        <f>IFERROR(SUMPRODUCT((nCUENTA=1)*(nCURSO=A72)*(nNOTA))/D72,"—")</f>
        <v>—</v>
      </c>
      <c r="F72" s="10" t="str" cm="1">
        <f t="array" ref="F72">IFERROR(_xlfn.STDEV.P(_xlfn._xlws.FILTER(nNOTA,(nCUENTA=1)*(nCURSO=A72))),"—")</f>
        <v>—</v>
      </c>
      <c r="G72" t="str" cm="1">
        <f t="array" ref="G72">IFERROR(_xlfn.MODE.SNGL(_xlfn._xlws.FILTER(nNOTA,(nCUENTA=1)*(nCURSO=A72))),"—")</f>
        <v>—</v>
      </c>
      <c r="H72" s="11" t="str">
        <f>IFERROR(SUMPRODUCT((nCUENTA=1)*(nCURSO=A72)*(nAPTO="S"))/D72,"—")</f>
        <v>—</v>
      </c>
      <c r="I72" s="11" t="str">
        <f>IFERROR(SUMPRODUCT((nCUENTA=1)*(nCURSO=A72)*(nAPTO="N"))/D72,"—")</f>
        <v>—</v>
      </c>
      <c r="J72" t="str" cm="1">
        <f t="array" ref="J72">IFERROR(_xlfn.MODE.SNGL(_xlfn._xlws.FILTER(nNOTA,(nCUENTA=1)*(nCURSO=A72)*(nAPTO="S"))),"—")</f>
        <v>—</v>
      </c>
      <c r="K72" t="str" cm="1">
        <f t="array" ref="K72">IFERROR(_xlfn.MODE.SNGL(_xlfn._xlws.FILTER(nNOTA,(nCUENTA=1)*(nCURSO=A72)*(nAPTO="N"))),"—")</f>
        <v>—</v>
      </c>
      <c r="L72">
        <f>SUMPRODUCT((nCUENTA=1)*(nCURSO=A72)*(nNOTA=1))</f>
        <v>0</v>
      </c>
      <c r="M72">
        <f>SUMPRODUCT((nCUENTA=1)*(nCURSO=A72)*(nNOTA=2))</f>
        <v>0</v>
      </c>
      <c r="N72">
        <f>SUMPRODUCT((nCUENTA=1)*(nCURSO=A72)*(nNOTA=3))</f>
        <v>0</v>
      </c>
      <c r="O72">
        <f>SUMPRODUCT((nCUENTA=1)*(nCURSO=A72)*(nNOTA=4))</f>
        <v>0</v>
      </c>
      <c r="P72">
        <f>SUMPRODUCT((nCUENTA=1)*(nCURSO=A72)*(nNOTA=5))</f>
        <v>0</v>
      </c>
      <c r="Q72">
        <f>SUMPRODUCT((nCUENTA=1)*(nCURSO=A72)*(nNOTA=6))</f>
        <v>0</v>
      </c>
      <c r="R72">
        <f>SUMPRODUCT((nCUENTA=1)*(nCURSO=A72)*(nNOTA=7))</f>
        <v>0</v>
      </c>
      <c r="S72">
        <f>SUMPRODUCT((nCUENTA=1)*(nCURSO=A72)*(nNOTA=8))</f>
        <v>0</v>
      </c>
      <c r="T72">
        <f>SUMPRODUCT((nCUENTA=1)*(nCURSO=A72)*(nNOTA=9))</f>
        <v>0</v>
      </c>
      <c r="U72">
        <f>SUMPRODUCT((nCUENTA=1)*(nCURSO=A72)*(nNOTA=10))</f>
        <v>0</v>
      </c>
    </row>
    <row r="73">
      <c r="A73" t="inlineStr">
        <is>
          <t xml:space="preserve">3EPM</t>
        </is>
      </c>
      <c r="B73" t="inlineStr">
        <is>
          <t xml:space="preserve">Total Especialidad</t>
        </is>
      </c>
      <c r="C73" t="inlineStr">
        <is>
          <t xml:space="preserve">TotalEsp</t>
        </is>
      </c>
      <c r="D73">
        <f>SUMPRODUCT((nCUENTA=1)*(nCURSO=A73)*(nCLASE_I="E")*1)</f>
      </c>
      <c r="E73" s="10" cm="1">
        <f t="array" ref="E73">IFERROR(AVERAGE(IF((nCUENTA=1)*(nCURSO=A73)*(nCLASE_I="E"),nNOTA)),"—")</f>
      </c>
      <c r="F73" s="10" cm="1">
        <f t="array" ref="F73">IFERROR(_xlfn.STDEV.P(IF((nCUENTA=1)*(nCURSO=A73)*(nCLASE_I="E"),nNOTA)),"—")</f>
      </c>
      <c r="G73" cm="1">
        <f t="array" ref="G73">IFERROR(_xlfn.MODE.SNGL(IF((nCUENTA=1)*(nCURSO=A73)*(nCLASE_I="E"),nNOTA)),"—")</f>
      </c>
      <c r="H73" s="11">
        <f>IFERROR(SUMPRODUCT((nCUENTA=1)*(nCURSO=A73)*(nCLASE_I="E")*(nAPTO="S"))/SUMPRODUCT((nCUENTA=1)*(nCURSO=A73)*(nCLASE_I="E")*1),"—")</f>
      </c>
      <c r="I73" s="11">
        <f>IFERROR(SUMPRODUCT((nCUENTA=1)*(nCURSO=A73)*(nCLASE_I="E")*(nAPTO="N"))/SUMPRODUCT((nCUENTA=1)*(nCURSO=A73)*(nCLASE_I="E")*1),"—")</f>
      </c>
      <c r="J73" cm="1">
        <f t="array" ref="J73">IFERROR(_xlfn.MODE.SNGL(IF((nCUENTA=1)*(nCURSO=A73)*(nCLASE_I="E")*(nAPTO="S"),nNOTA)),"—")</f>
      </c>
      <c r="K73" cm="1">
        <f t="array" ref="K73">IFERROR(_xlfn.MODE.SNGL(IF((nCUENTA=1)*(nCURSO=A73)*(nCLASE_I="E")*(nAPTO="N"),nNOTA)),"—")</f>
      </c>
      <c r="L73">
        <f>SUMPRODUCT((nCUENTA=1)*(nCURSO=A73)*(nCLASE_I="E")*(nNOTA=1))</f>
      </c>
      <c r="M73">
        <f>SUMPRODUCT((nCUENTA=1)*(nCURSO=A73)*(nCLASE_I="E")*(nNOTA=2))</f>
      </c>
      <c r="N73">
        <f>SUMPRODUCT((nCUENTA=1)*(nCURSO=A73)*(nCLASE_I="E")*(nNOTA=3))</f>
      </c>
      <c r="O73">
        <f>SUMPRODUCT((nCUENTA=1)*(nCURSO=A73)*(nCLASE_I="E")*(nNOTA=4))</f>
      </c>
      <c r="P73">
        <f>SUMPRODUCT((nCUENTA=1)*(nCURSO=A73)*(nCLASE_I="E")*(nNOTA=5))</f>
      </c>
      <c r="Q73">
        <f>SUMPRODUCT((nCUENTA=1)*(nCURSO=A73)*(nCLASE_I="E")*(nNOTA=6))</f>
      </c>
      <c r="R73">
        <f>SUMPRODUCT((nCUENTA=1)*(nCURSO=A73)*(nCLASE_I="E")*(nNOTA=7))</f>
      </c>
      <c r="S73">
        <f>SUMPRODUCT((nCUENTA=1)*(nCURSO=A73)*(nCLASE_I="E")*(nNOTA=8))</f>
      </c>
      <c r="T73">
        <f>SUMPRODUCT((nCUENTA=1)*(nCURSO=A73)*(nCLASE_I="E")*(nNOTA=9))</f>
      </c>
      <c r="U73">
        <f>SUMPRODUCT((nCUENTA=1)*(nCURSO=A73)*(nCLASE_I="E")*(nNOTA=10))</f>
      </c>
    </row>
    <row r="74">
      <c r="A74" t="inlineStr">
        <is>
          <t xml:space="preserve">3EPM</t>
        </is>
      </c>
      <c r="B74" t="inlineStr">
        <is>
          <t xml:space="preserve">Total No Especialidad</t>
        </is>
      </c>
      <c r="C74" t="inlineStr">
        <is>
          <t xml:space="preserve">TotalNoEsp</t>
        </is>
      </c>
      <c r="D74">
        <f>SUMPRODUCT((nCUENTA=1)*(nCURSO=A74)*((nCLASE_I&lt;&gt;"")*(nCLASE_I&lt;&gt;"E"))*1)</f>
      </c>
      <c r="E74" s="10" cm="1">
        <f t="array" ref="E74">IFERROR(AVERAGE(IF((nCUENTA=1)*(nCURSO=A74)*((nCLASE_I&lt;&gt;"")*(nCLASE_I&lt;&gt;"E")),nNOTA)),"—")</f>
      </c>
      <c r="F74" s="10" cm="1">
        <f t="array" ref="F74">IFERROR(_xlfn.STDEV.P(IF((nCUENTA=1)*(nCURSO=A74)*((nCLASE_I&lt;&gt;"")*(nCLASE_I&lt;&gt;"E")),nNOTA)),"—")</f>
      </c>
      <c r="G74" cm="1">
        <f t="array" ref="G74">IFERROR(_xlfn.MODE.SNGL(IF((nCUENTA=1)*(nCURSO=A74)*((nCLASE_I&lt;&gt;"")*(nCLASE_I&lt;&gt;"E")),nNOTA)),"—")</f>
      </c>
      <c r="H74" s="11">
        <f>IFERROR(SUMPRODUCT((nCUENTA=1)*(nCURSO=A74)*((nCLASE_I&lt;&gt;"")*(nCLASE_I&lt;&gt;"E"))*(nAPTO="S"))/SUMPRODUCT((nCUENTA=1)*(nCURSO=A74)*((nCLASE_I&lt;&gt;"")*(nCLASE_I&lt;&gt;"E"))*1),"—")</f>
      </c>
      <c r="I74" s="11">
        <f>IFERROR(SUMPRODUCT((nCUENTA=1)*(nCURSO=A74)*((nCLASE_I&lt;&gt;"")*(nCLASE_I&lt;&gt;"E"))*(nAPTO="N"))/SUMPRODUCT((nCUENTA=1)*(nCURSO=A74)*((nCLASE_I&lt;&gt;"")*(nCLASE_I&lt;&gt;"E"))*1),"—")</f>
      </c>
      <c r="J74" cm="1">
        <f t="array" ref="J74">IFERROR(_xlfn.MODE.SNGL(IF((nCUENTA=1)*(nCURSO=A74)*((nCLASE_I&lt;&gt;"")*(nCLASE_I&lt;&gt;"E"))*(nAPTO="S"),nNOTA)),"—")</f>
      </c>
      <c r="K74" cm="1">
        <f t="array" ref="K74">IFERROR(_xlfn.MODE.SNGL(IF((nCUENTA=1)*(nCURSO=A74)*((nCLASE_I&lt;&gt;"")*(nCLASE_I&lt;&gt;"E"))*(nAPTO="N"),nNOTA)),"—")</f>
      </c>
      <c r="L74">
        <f>SUMPRODUCT((nCUENTA=1)*(nCURSO=A74)*((nCLASE_I&lt;&gt;"")*(nCLASE_I&lt;&gt;"E"))*(nNOTA=1))</f>
      </c>
      <c r="M74">
        <f>SUMPRODUCT((nCUENTA=1)*(nCURSO=A74)*((nCLASE_I&lt;&gt;"")*(nCLASE_I&lt;&gt;"E"))*(nNOTA=2))</f>
      </c>
      <c r="N74">
        <f>SUMPRODUCT((nCUENTA=1)*(nCURSO=A74)*((nCLASE_I&lt;&gt;"")*(nCLASE_I&lt;&gt;"E"))*(nNOTA=3))</f>
      </c>
      <c r="O74">
        <f>SUMPRODUCT((nCUENTA=1)*(nCURSO=A74)*((nCLASE_I&lt;&gt;"")*(nCLASE_I&lt;&gt;"E"))*(nNOTA=4))</f>
      </c>
      <c r="P74">
        <f>SUMPRODUCT((nCUENTA=1)*(nCURSO=A74)*((nCLASE_I&lt;&gt;"")*(nCLASE_I&lt;&gt;"E"))*(nNOTA=5))</f>
      </c>
      <c r="Q74">
        <f>SUMPRODUCT((nCUENTA=1)*(nCURSO=A74)*((nCLASE_I&lt;&gt;"")*(nCLASE_I&lt;&gt;"E"))*(nNOTA=6))</f>
      </c>
      <c r="R74">
        <f>SUMPRODUCT((nCUENTA=1)*(nCURSO=A74)*((nCLASE_I&lt;&gt;"")*(nCLASE_I&lt;&gt;"E"))*(nNOTA=7))</f>
      </c>
      <c r="S74">
        <f>SUMPRODUCT((nCUENTA=1)*(nCURSO=A74)*((nCLASE_I&lt;&gt;"")*(nCLASE_I&lt;&gt;"E"))*(nNOTA=8))</f>
      </c>
      <c r="T74">
        <f>SUMPRODUCT((nCUENTA=1)*(nCURSO=A74)*((nCLASE_I&lt;&gt;"")*(nCLASE_I&lt;&gt;"E"))*(nNOTA=9))</f>
      </c>
      <c r="U74">
        <f>SUMPRODUCT((nCUENTA=1)*(nCURSO=A74)*((nCLASE_I&lt;&gt;"")*(nCLASE_I&lt;&gt;"E"))*(nNOTA=10))</f>
      </c>
    </row>
    <row r="75">
      <c r="A75" t="inlineStr">
        <is>
          <t xml:space="preserve">4EPM</t>
        </is>
      </c>
      <c r="B75" t="inlineStr">
        <is>
          <t xml:space="preserve">Total</t>
        </is>
      </c>
      <c r="C75" t="inlineStr">
        <is>
          <t xml:space="preserve">Total</t>
        </is>
      </c>
      <c r="D75">
        <f>SUMPRODUCT((nCUENTA=1)*(nCURSO=A75))</f>
        <v>0</v>
      </c>
      <c r="E75" s="10" t="str">
        <f>IFERROR(SUMPRODUCT((nCUENTA=1)*(nCURSO=A75)*(nNOTA))/D75,"—")</f>
        <v>—</v>
      </c>
      <c r="F75" s="10" t="str" cm="1">
        <f t="array" ref="F75">IFERROR(_xlfn.STDEV.P(_xlfn._xlws.FILTER(nNOTA,(nCUENTA=1)*(nCURSO=A75))),"—")</f>
        <v>—</v>
      </c>
      <c r="G75" t="str" cm="1">
        <f t="array" ref="G75">IFERROR(_xlfn.MODE.SNGL(_xlfn._xlws.FILTER(nNOTA,(nCUENTA=1)*(nCURSO=A75))),"—")</f>
        <v>—</v>
      </c>
      <c r="H75" s="11" t="str">
        <f>IFERROR(SUMPRODUCT((nCUENTA=1)*(nCURSO=A75)*(nAPTO="S"))/D75,"—")</f>
        <v>—</v>
      </c>
      <c r="I75" s="11" t="str">
        <f>IFERROR(SUMPRODUCT((nCUENTA=1)*(nCURSO=A75)*(nAPTO="N"))/D75,"—")</f>
        <v>—</v>
      </c>
      <c r="J75" t="str" cm="1">
        <f t="array" ref="J75">IFERROR(_xlfn.MODE.SNGL(_xlfn._xlws.FILTER(nNOTA,(nCUENTA=1)*(nCURSO=A75)*(nAPTO="S"))),"—")</f>
        <v>—</v>
      </c>
      <c r="K75" t="str" cm="1">
        <f t="array" ref="K75">IFERROR(_xlfn.MODE.SNGL(_xlfn._xlws.FILTER(nNOTA,(nCUENTA=1)*(nCURSO=A75)*(nAPTO="N"))),"—")</f>
        <v>—</v>
      </c>
      <c r="L75">
        <f>SUMPRODUCT((nCUENTA=1)*(nCURSO=A75)*(nNOTA=1))</f>
        <v>0</v>
      </c>
      <c r="M75">
        <f>SUMPRODUCT((nCUENTA=1)*(nCURSO=A75)*(nNOTA=2))</f>
        <v>0</v>
      </c>
      <c r="N75">
        <f>SUMPRODUCT((nCUENTA=1)*(nCURSO=A75)*(nNOTA=3))</f>
        <v>0</v>
      </c>
      <c r="O75">
        <f>SUMPRODUCT((nCUENTA=1)*(nCURSO=A75)*(nNOTA=4))</f>
        <v>0</v>
      </c>
      <c r="P75">
        <f>SUMPRODUCT((nCUENTA=1)*(nCURSO=A75)*(nNOTA=5))</f>
        <v>0</v>
      </c>
      <c r="Q75">
        <f>SUMPRODUCT((nCUENTA=1)*(nCURSO=A75)*(nNOTA=6))</f>
        <v>0</v>
      </c>
      <c r="R75">
        <f>SUMPRODUCT((nCUENTA=1)*(nCURSO=A75)*(nNOTA=7))</f>
        <v>0</v>
      </c>
      <c r="S75">
        <f>SUMPRODUCT((nCUENTA=1)*(nCURSO=A75)*(nNOTA=8))</f>
        <v>0</v>
      </c>
      <c r="T75">
        <f>SUMPRODUCT((nCUENTA=1)*(nCURSO=A75)*(nNOTA=9))</f>
        <v>0</v>
      </c>
      <c r="U75">
        <f>SUMPRODUCT((nCUENTA=1)*(nCURSO=A75)*(nNOTA=10))</f>
        <v>0</v>
      </c>
    </row>
    <row r="76">
      <c r="A76" t="inlineStr">
        <is>
          <t xml:space="preserve">4EPM</t>
        </is>
      </c>
      <c r="B76" t="inlineStr">
        <is>
          <t xml:space="preserve">Total Especialidad</t>
        </is>
      </c>
      <c r="C76" t="inlineStr">
        <is>
          <t xml:space="preserve">TotalEsp</t>
        </is>
      </c>
      <c r="D76">
        <f>SUMPRODUCT((nCUENTA=1)*(nCURSO=A76)*(nCLASE_I="E")*1)</f>
      </c>
      <c r="E76" s="10" cm="1">
        <f t="array" ref="E76">IFERROR(AVERAGE(IF((nCUENTA=1)*(nCURSO=A76)*(nCLASE_I="E"),nNOTA)),"—")</f>
      </c>
      <c r="F76" s="10" cm="1">
        <f t="array" ref="F76">IFERROR(_xlfn.STDEV.P(IF((nCUENTA=1)*(nCURSO=A76)*(nCLASE_I="E"),nNOTA)),"—")</f>
      </c>
      <c r="G76" cm="1">
        <f t="array" ref="G76">IFERROR(_xlfn.MODE.SNGL(IF((nCUENTA=1)*(nCURSO=A76)*(nCLASE_I="E"),nNOTA)),"—")</f>
      </c>
      <c r="H76" s="11">
        <f>IFERROR(SUMPRODUCT((nCUENTA=1)*(nCURSO=A76)*(nCLASE_I="E")*(nAPTO="S"))/SUMPRODUCT((nCUENTA=1)*(nCURSO=A76)*(nCLASE_I="E")*1),"—")</f>
      </c>
      <c r="I76" s="11">
        <f>IFERROR(SUMPRODUCT((nCUENTA=1)*(nCURSO=A76)*(nCLASE_I="E")*(nAPTO="N"))/SUMPRODUCT((nCUENTA=1)*(nCURSO=A76)*(nCLASE_I="E")*1),"—")</f>
      </c>
      <c r="J76" cm="1">
        <f t="array" ref="J76">IFERROR(_xlfn.MODE.SNGL(IF((nCUENTA=1)*(nCURSO=A76)*(nCLASE_I="E")*(nAPTO="S"),nNOTA)),"—")</f>
      </c>
      <c r="K76" cm="1">
        <f t="array" ref="K76">IFERROR(_xlfn.MODE.SNGL(IF((nCUENTA=1)*(nCURSO=A76)*(nCLASE_I="E")*(nAPTO="N"),nNOTA)),"—")</f>
      </c>
      <c r="L76">
        <f>SUMPRODUCT((nCUENTA=1)*(nCURSO=A76)*(nCLASE_I="E")*(nNOTA=1))</f>
      </c>
      <c r="M76">
        <f>SUMPRODUCT((nCUENTA=1)*(nCURSO=A76)*(nCLASE_I="E")*(nNOTA=2))</f>
      </c>
      <c r="N76">
        <f>SUMPRODUCT((nCUENTA=1)*(nCURSO=A76)*(nCLASE_I="E")*(nNOTA=3))</f>
      </c>
      <c r="O76">
        <f>SUMPRODUCT((nCUENTA=1)*(nCURSO=A76)*(nCLASE_I="E")*(nNOTA=4))</f>
      </c>
      <c r="P76">
        <f>SUMPRODUCT((nCUENTA=1)*(nCURSO=A76)*(nCLASE_I="E")*(nNOTA=5))</f>
      </c>
      <c r="Q76">
        <f>SUMPRODUCT((nCUENTA=1)*(nCURSO=A76)*(nCLASE_I="E")*(nNOTA=6))</f>
      </c>
      <c r="R76">
        <f>SUMPRODUCT((nCUENTA=1)*(nCURSO=A76)*(nCLASE_I="E")*(nNOTA=7))</f>
      </c>
      <c r="S76">
        <f>SUMPRODUCT((nCUENTA=1)*(nCURSO=A76)*(nCLASE_I="E")*(nNOTA=8))</f>
      </c>
      <c r="T76">
        <f>SUMPRODUCT((nCUENTA=1)*(nCURSO=A76)*(nCLASE_I="E")*(nNOTA=9))</f>
      </c>
      <c r="U76">
        <f>SUMPRODUCT((nCUENTA=1)*(nCURSO=A76)*(nCLASE_I="E")*(nNOTA=10))</f>
      </c>
    </row>
    <row r="77">
      <c r="A77" t="inlineStr">
        <is>
          <t xml:space="preserve">4EPM</t>
        </is>
      </c>
      <c r="B77" t="inlineStr">
        <is>
          <t xml:space="preserve">Total No Especialidad</t>
        </is>
      </c>
      <c r="C77" t="inlineStr">
        <is>
          <t xml:space="preserve">TotalNoEsp</t>
        </is>
      </c>
      <c r="D77">
        <f>SUMPRODUCT((nCUENTA=1)*(nCURSO=A77)*((nCLASE_I&lt;&gt;"")*(nCLASE_I&lt;&gt;"E"))*1)</f>
      </c>
      <c r="E77" s="10" cm="1">
        <f t="array" ref="E77">IFERROR(AVERAGE(IF((nCUENTA=1)*(nCURSO=A77)*((nCLASE_I&lt;&gt;"")*(nCLASE_I&lt;&gt;"E")),nNOTA)),"—")</f>
      </c>
      <c r="F77" s="10" cm="1">
        <f t="array" ref="F77">IFERROR(_xlfn.STDEV.P(IF((nCUENTA=1)*(nCURSO=A77)*((nCLASE_I&lt;&gt;"")*(nCLASE_I&lt;&gt;"E")),nNOTA)),"—")</f>
      </c>
      <c r="G77" cm="1">
        <f t="array" ref="G77">IFERROR(_xlfn.MODE.SNGL(IF((nCUENTA=1)*(nCURSO=A77)*((nCLASE_I&lt;&gt;"")*(nCLASE_I&lt;&gt;"E")),nNOTA)),"—")</f>
      </c>
      <c r="H77" s="11">
        <f>IFERROR(SUMPRODUCT((nCUENTA=1)*(nCURSO=A77)*((nCLASE_I&lt;&gt;"")*(nCLASE_I&lt;&gt;"E"))*(nAPTO="S"))/SUMPRODUCT((nCUENTA=1)*(nCURSO=A77)*((nCLASE_I&lt;&gt;"")*(nCLASE_I&lt;&gt;"E"))*1),"—")</f>
      </c>
      <c r="I77" s="11">
        <f>IFERROR(SUMPRODUCT((nCUENTA=1)*(nCURSO=A77)*((nCLASE_I&lt;&gt;"")*(nCLASE_I&lt;&gt;"E"))*(nAPTO="N"))/SUMPRODUCT((nCUENTA=1)*(nCURSO=A77)*((nCLASE_I&lt;&gt;"")*(nCLASE_I&lt;&gt;"E"))*1),"—")</f>
      </c>
      <c r="J77" cm="1">
        <f t="array" ref="J77">IFERROR(_xlfn.MODE.SNGL(IF((nCUENTA=1)*(nCURSO=A77)*((nCLASE_I&lt;&gt;"")*(nCLASE_I&lt;&gt;"E"))*(nAPTO="S"),nNOTA)),"—")</f>
      </c>
      <c r="K77" cm="1">
        <f t="array" ref="K77">IFERROR(_xlfn.MODE.SNGL(IF((nCUENTA=1)*(nCURSO=A77)*((nCLASE_I&lt;&gt;"")*(nCLASE_I&lt;&gt;"E"))*(nAPTO="N"),nNOTA)),"—")</f>
      </c>
      <c r="L77">
        <f>SUMPRODUCT((nCUENTA=1)*(nCURSO=A77)*((nCLASE_I&lt;&gt;"")*(nCLASE_I&lt;&gt;"E"))*(nNOTA=1))</f>
      </c>
      <c r="M77">
        <f>SUMPRODUCT((nCUENTA=1)*(nCURSO=A77)*((nCLASE_I&lt;&gt;"")*(nCLASE_I&lt;&gt;"E"))*(nNOTA=2))</f>
      </c>
      <c r="N77">
        <f>SUMPRODUCT((nCUENTA=1)*(nCURSO=A77)*((nCLASE_I&lt;&gt;"")*(nCLASE_I&lt;&gt;"E"))*(nNOTA=3))</f>
      </c>
      <c r="O77">
        <f>SUMPRODUCT((nCUENTA=1)*(nCURSO=A77)*((nCLASE_I&lt;&gt;"")*(nCLASE_I&lt;&gt;"E"))*(nNOTA=4))</f>
      </c>
      <c r="P77">
        <f>SUMPRODUCT((nCUENTA=1)*(nCURSO=A77)*((nCLASE_I&lt;&gt;"")*(nCLASE_I&lt;&gt;"E"))*(nNOTA=5))</f>
      </c>
      <c r="Q77">
        <f>SUMPRODUCT((nCUENTA=1)*(nCURSO=A77)*((nCLASE_I&lt;&gt;"")*(nCLASE_I&lt;&gt;"E"))*(nNOTA=6))</f>
      </c>
      <c r="R77">
        <f>SUMPRODUCT((nCUENTA=1)*(nCURSO=A77)*((nCLASE_I&lt;&gt;"")*(nCLASE_I&lt;&gt;"E"))*(nNOTA=7))</f>
      </c>
      <c r="S77">
        <f>SUMPRODUCT((nCUENTA=1)*(nCURSO=A77)*((nCLASE_I&lt;&gt;"")*(nCLASE_I&lt;&gt;"E"))*(nNOTA=8))</f>
      </c>
      <c r="T77">
        <f>SUMPRODUCT((nCUENTA=1)*(nCURSO=A77)*((nCLASE_I&lt;&gt;"")*(nCLASE_I&lt;&gt;"E"))*(nNOTA=9))</f>
      </c>
      <c r="U77">
        <f>SUMPRODUCT((nCUENTA=1)*(nCURSO=A77)*((nCLASE_I&lt;&gt;"")*(nCLASE_I&lt;&gt;"E"))*(nNOTA=10))</f>
      </c>
    </row>
    <row r="78">
      <c r="A78" t="inlineStr">
        <is>
          <t xml:space="preserve">5EPM</t>
        </is>
      </c>
      <c r="B78" t="inlineStr">
        <is>
          <t xml:space="preserve">Total</t>
        </is>
      </c>
      <c r="C78" t="inlineStr">
        <is>
          <t xml:space="preserve">Total</t>
        </is>
      </c>
      <c r="D78">
        <f>SUMPRODUCT((nCUENTA=1)*(nCURSO=A78))</f>
        <v>0</v>
      </c>
      <c r="E78" s="10" t="str">
        <f>IFERROR(SUMPRODUCT((nCUENTA=1)*(nCURSO=A78)*(nNOTA))/D78,"—")</f>
        <v>—</v>
      </c>
      <c r="F78" s="10" t="str" cm="1">
        <f t="array" ref="F78">IFERROR(_xlfn.STDEV.P(_xlfn._xlws.FILTER(nNOTA,(nCUENTA=1)*(nCURSO=A78))),"—")</f>
        <v>—</v>
      </c>
      <c r="G78" t="str" cm="1">
        <f t="array" ref="G78">IFERROR(_xlfn.MODE.SNGL(_xlfn._xlws.FILTER(nNOTA,(nCUENTA=1)*(nCURSO=A78))),"—")</f>
        <v>—</v>
      </c>
      <c r="H78" s="11" t="str">
        <f>IFERROR(SUMPRODUCT((nCUENTA=1)*(nCURSO=A78)*(nAPTO="S"))/D78,"—")</f>
        <v>—</v>
      </c>
      <c r="I78" s="11" t="str">
        <f>IFERROR(SUMPRODUCT((nCUENTA=1)*(nCURSO=A78)*(nAPTO="N"))/D78,"—")</f>
        <v>—</v>
      </c>
      <c r="J78" t="str" cm="1">
        <f t="array" ref="J78">IFERROR(_xlfn.MODE.SNGL(_xlfn._xlws.FILTER(nNOTA,(nCUENTA=1)*(nCURSO=A78)*(nAPTO="S"))),"—")</f>
        <v>—</v>
      </c>
      <c r="K78" t="str" cm="1">
        <f t="array" ref="K78">IFERROR(_xlfn.MODE.SNGL(_xlfn._xlws.FILTER(nNOTA,(nCUENTA=1)*(nCURSO=A78)*(nAPTO="N"))),"—")</f>
        <v>—</v>
      </c>
      <c r="L78">
        <f>SUMPRODUCT((nCUENTA=1)*(nCURSO=A78)*(nNOTA=1))</f>
        <v>0</v>
      </c>
      <c r="M78">
        <f>SUMPRODUCT((nCUENTA=1)*(nCURSO=A78)*(nNOTA=2))</f>
        <v>0</v>
      </c>
      <c r="N78">
        <f>SUMPRODUCT((nCUENTA=1)*(nCURSO=A78)*(nNOTA=3))</f>
        <v>0</v>
      </c>
      <c r="O78">
        <f>SUMPRODUCT((nCUENTA=1)*(nCURSO=A78)*(nNOTA=4))</f>
        <v>0</v>
      </c>
      <c r="P78">
        <f>SUMPRODUCT((nCUENTA=1)*(nCURSO=A78)*(nNOTA=5))</f>
        <v>0</v>
      </c>
      <c r="Q78">
        <f>SUMPRODUCT((nCUENTA=1)*(nCURSO=A78)*(nNOTA=6))</f>
        <v>0</v>
      </c>
      <c r="R78">
        <f>SUMPRODUCT((nCUENTA=1)*(nCURSO=A78)*(nNOTA=7))</f>
        <v>0</v>
      </c>
      <c r="S78">
        <f>SUMPRODUCT((nCUENTA=1)*(nCURSO=A78)*(nNOTA=8))</f>
        <v>0</v>
      </c>
      <c r="T78">
        <f>SUMPRODUCT((nCUENTA=1)*(nCURSO=A78)*(nNOTA=9))</f>
        <v>0</v>
      </c>
      <c r="U78">
        <f>SUMPRODUCT((nCUENTA=1)*(nCURSO=A78)*(nNOTA=10))</f>
        <v>0</v>
      </c>
    </row>
    <row r="79">
      <c r="A79" t="inlineStr">
        <is>
          <t xml:space="preserve">5EPM</t>
        </is>
      </c>
      <c r="B79" t="inlineStr">
        <is>
          <t xml:space="preserve">Total Especialidad</t>
        </is>
      </c>
      <c r="C79" t="inlineStr">
        <is>
          <t xml:space="preserve">TotalEsp</t>
        </is>
      </c>
      <c r="D79">
        <f>SUMPRODUCT((nCUENTA=1)*(nCURSO=A79)*(nCLASE_I="E")*1)</f>
      </c>
      <c r="E79" s="10" cm="1">
        <f t="array" ref="E79">IFERROR(AVERAGE(IF((nCUENTA=1)*(nCURSO=A79)*(nCLASE_I="E"),nNOTA)),"—")</f>
      </c>
      <c r="F79" s="10" cm="1">
        <f t="array" ref="F79">IFERROR(_xlfn.STDEV.P(IF((nCUENTA=1)*(nCURSO=A79)*(nCLASE_I="E"),nNOTA)),"—")</f>
      </c>
      <c r="G79" cm="1">
        <f t="array" ref="G79">IFERROR(_xlfn.MODE.SNGL(IF((nCUENTA=1)*(nCURSO=A79)*(nCLASE_I="E"),nNOTA)),"—")</f>
      </c>
      <c r="H79" s="11">
        <f>IFERROR(SUMPRODUCT((nCUENTA=1)*(nCURSO=A79)*(nCLASE_I="E")*(nAPTO="S"))/SUMPRODUCT((nCUENTA=1)*(nCURSO=A79)*(nCLASE_I="E")*1),"—")</f>
      </c>
      <c r="I79" s="11">
        <f>IFERROR(SUMPRODUCT((nCUENTA=1)*(nCURSO=A79)*(nCLASE_I="E")*(nAPTO="N"))/SUMPRODUCT((nCUENTA=1)*(nCURSO=A79)*(nCLASE_I="E")*1),"—")</f>
      </c>
      <c r="J79" cm="1">
        <f t="array" ref="J79">IFERROR(_xlfn.MODE.SNGL(IF((nCUENTA=1)*(nCURSO=A79)*(nCLASE_I="E")*(nAPTO="S"),nNOTA)),"—")</f>
      </c>
      <c r="K79" cm="1">
        <f t="array" ref="K79">IFERROR(_xlfn.MODE.SNGL(IF((nCUENTA=1)*(nCURSO=A79)*(nCLASE_I="E")*(nAPTO="N"),nNOTA)),"—")</f>
      </c>
      <c r="L79">
        <f>SUMPRODUCT((nCUENTA=1)*(nCURSO=A79)*(nCLASE_I="E")*(nNOTA=1))</f>
      </c>
      <c r="M79">
        <f>SUMPRODUCT((nCUENTA=1)*(nCURSO=A79)*(nCLASE_I="E")*(nNOTA=2))</f>
      </c>
      <c r="N79">
        <f>SUMPRODUCT((nCUENTA=1)*(nCURSO=A79)*(nCLASE_I="E")*(nNOTA=3))</f>
      </c>
      <c r="O79">
        <f>SUMPRODUCT((nCUENTA=1)*(nCURSO=A79)*(nCLASE_I="E")*(nNOTA=4))</f>
      </c>
      <c r="P79">
        <f>SUMPRODUCT((nCUENTA=1)*(nCURSO=A79)*(nCLASE_I="E")*(nNOTA=5))</f>
      </c>
      <c r="Q79">
        <f>SUMPRODUCT((nCUENTA=1)*(nCURSO=A79)*(nCLASE_I="E")*(nNOTA=6))</f>
      </c>
      <c r="R79">
        <f>SUMPRODUCT((nCUENTA=1)*(nCURSO=A79)*(nCLASE_I="E")*(nNOTA=7))</f>
      </c>
      <c r="S79">
        <f>SUMPRODUCT((nCUENTA=1)*(nCURSO=A79)*(nCLASE_I="E")*(nNOTA=8))</f>
      </c>
      <c r="T79">
        <f>SUMPRODUCT((nCUENTA=1)*(nCURSO=A79)*(nCLASE_I="E")*(nNOTA=9))</f>
      </c>
      <c r="U79">
        <f>SUMPRODUCT((nCUENTA=1)*(nCURSO=A79)*(nCLASE_I="E")*(nNOTA=10))</f>
      </c>
    </row>
    <row r="80">
      <c r="A80" t="inlineStr">
        <is>
          <t xml:space="preserve">5EPM</t>
        </is>
      </c>
      <c r="B80" t="inlineStr">
        <is>
          <t xml:space="preserve">Total No Especialidad</t>
        </is>
      </c>
      <c r="C80" t="inlineStr">
        <is>
          <t xml:space="preserve">TotalNoEsp</t>
        </is>
      </c>
      <c r="D80">
        <f>SUMPRODUCT((nCUENTA=1)*(nCURSO=A80)*((nCLASE_I&lt;&gt;"")*(nCLASE_I&lt;&gt;"E"))*1)</f>
      </c>
      <c r="E80" s="10" cm="1">
        <f t="array" ref="E80">IFERROR(AVERAGE(IF((nCUENTA=1)*(nCURSO=A80)*((nCLASE_I&lt;&gt;"")*(nCLASE_I&lt;&gt;"E")),nNOTA)),"—")</f>
      </c>
      <c r="F80" s="10" cm="1">
        <f t="array" ref="F80">IFERROR(_xlfn.STDEV.P(IF((nCUENTA=1)*(nCURSO=A80)*((nCLASE_I&lt;&gt;"")*(nCLASE_I&lt;&gt;"E")),nNOTA)),"—")</f>
      </c>
      <c r="G80" cm="1">
        <f t="array" ref="G80">IFERROR(_xlfn.MODE.SNGL(IF((nCUENTA=1)*(nCURSO=A80)*((nCLASE_I&lt;&gt;"")*(nCLASE_I&lt;&gt;"E")),nNOTA)),"—")</f>
      </c>
      <c r="H80" s="11">
        <f>IFERROR(SUMPRODUCT((nCUENTA=1)*(nCURSO=A80)*((nCLASE_I&lt;&gt;"")*(nCLASE_I&lt;&gt;"E"))*(nAPTO="S"))/SUMPRODUCT((nCUENTA=1)*(nCURSO=A80)*((nCLASE_I&lt;&gt;"")*(nCLASE_I&lt;&gt;"E"))*1),"—")</f>
      </c>
      <c r="I80" s="11">
        <f>IFERROR(SUMPRODUCT((nCUENTA=1)*(nCURSO=A80)*((nCLASE_I&lt;&gt;"")*(nCLASE_I&lt;&gt;"E"))*(nAPTO="N"))/SUMPRODUCT((nCUENTA=1)*(nCURSO=A80)*((nCLASE_I&lt;&gt;"")*(nCLASE_I&lt;&gt;"E"))*1),"—")</f>
      </c>
      <c r="J80" cm="1">
        <f t="array" ref="J80">IFERROR(_xlfn.MODE.SNGL(IF((nCUENTA=1)*(nCURSO=A80)*((nCLASE_I&lt;&gt;"")*(nCLASE_I&lt;&gt;"E"))*(nAPTO="S"),nNOTA)),"—")</f>
      </c>
      <c r="K80" cm="1">
        <f t="array" ref="K80">IFERROR(_xlfn.MODE.SNGL(IF((nCUENTA=1)*(nCURSO=A80)*((nCLASE_I&lt;&gt;"")*(nCLASE_I&lt;&gt;"E"))*(nAPTO="N"),nNOTA)),"—")</f>
      </c>
      <c r="L80">
        <f>SUMPRODUCT((nCUENTA=1)*(nCURSO=A80)*((nCLASE_I&lt;&gt;"")*(nCLASE_I&lt;&gt;"E"))*(nNOTA=1))</f>
      </c>
      <c r="M80">
        <f>SUMPRODUCT((nCUENTA=1)*(nCURSO=A80)*((nCLASE_I&lt;&gt;"")*(nCLASE_I&lt;&gt;"E"))*(nNOTA=2))</f>
      </c>
      <c r="N80">
        <f>SUMPRODUCT((nCUENTA=1)*(nCURSO=A80)*((nCLASE_I&lt;&gt;"")*(nCLASE_I&lt;&gt;"E"))*(nNOTA=3))</f>
      </c>
      <c r="O80">
        <f>SUMPRODUCT((nCUENTA=1)*(nCURSO=A80)*((nCLASE_I&lt;&gt;"")*(nCLASE_I&lt;&gt;"E"))*(nNOTA=4))</f>
      </c>
      <c r="P80">
        <f>SUMPRODUCT((nCUENTA=1)*(nCURSO=A80)*((nCLASE_I&lt;&gt;"")*(nCLASE_I&lt;&gt;"E"))*(nNOTA=5))</f>
      </c>
      <c r="Q80">
        <f>SUMPRODUCT((nCUENTA=1)*(nCURSO=A80)*((nCLASE_I&lt;&gt;"")*(nCLASE_I&lt;&gt;"E"))*(nNOTA=6))</f>
      </c>
      <c r="R80">
        <f>SUMPRODUCT((nCUENTA=1)*(nCURSO=A80)*((nCLASE_I&lt;&gt;"")*(nCLASE_I&lt;&gt;"E"))*(nNOTA=7))</f>
      </c>
      <c r="S80">
        <f>SUMPRODUCT((nCUENTA=1)*(nCURSO=A80)*((nCLASE_I&lt;&gt;"")*(nCLASE_I&lt;&gt;"E"))*(nNOTA=8))</f>
      </c>
      <c r="T80">
        <f>SUMPRODUCT((nCUENTA=1)*(nCURSO=A80)*((nCLASE_I&lt;&gt;"")*(nCLASE_I&lt;&gt;"E"))*(nNOTA=9))</f>
      </c>
      <c r="U80">
        <f>SUMPRODUCT((nCUENTA=1)*(nCURSO=A80)*((nCLASE_I&lt;&gt;"")*(nCLASE_I&lt;&gt;"E"))*(nNOTA=10))</f>
      </c>
    </row>
    <row r="81">
      <c r="A81" t="inlineStr">
        <is>
          <t xml:space="preserve">6EPM</t>
        </is>
      </c>
      <c r="B81" t="inlineStr">
        <is>
          <t xml:space="preserve">Total</t>
        </is>
      </c>
      <c r="C81" t="inlineStr">
        <is>
          <t xml:space="preserve">Total</t>
        </is>
      </c>
      <c r="D81">
        <f>SUMPRODUCT((nCUENTA=1)*(nCURSO=A81))</f>
        <v>0</v>
      </c>
      <c r="E81" s="10" t="str">
        <f>IFERROR(SUMPRODUCT((nCUENTA=1)*(nCURSO=A81)*(nNOTA))/D81,"—")</f>
        <v>—</v>
      </c>
      <c r="F81" s="10" t="str" cm="1">
        <f t="array" ref="F81">IFERROR(_xlfn.STDEV.P(_xlfn._xlws.FILTER(nNOTA,(nCUENTA=1)*(nCURSO=A81))),"—")</f>
        <v>—</v>
      </c>
      <c r="G81" t="str" cm="1">
        <f t="array" ref="G81">IFERROR(_xlfn.MODE.SNGL(_xlfn._xlws.FILTER(nNOTA,(nCUENTA=1)*(nCURSO=A81))),"—")</f>
        <v>—</v>
      </c>
      <c r="H81" s="11" t="str">
        <f>IFERROR(SUMPRODUCT((nCUENTA=1)*(nCURSO=A81)*(nAPTO="S"))/D81,"—")</f>
        <v>—</v>
      </c>
      <c r="I81" s="11" t="str">
        <f>IFERROR(SUMPRODUCT((nCUENTA=1)*(nCURSO=A81)*(nAPTO="N"))/D81,"—")</f>
        <v>—</v>
      </c>
      <c r="J81" t="str" cm="1">
        <f t="array" ref="J81">IFERROR(_xlfn.MODE.SNGL(_xlfn._xlws.FILTER(nNOTA,(nCUENTA=1)*(nCURSO=A81)*(nAPTO="S"))),"—")</f>
        <v>—</v>
      </c>
      <c r="K81" t="str" cm="1">
        <f t="array" ref="K81">IFERROR(_xlfn.MODE.SNGL(_xlfn._xlws.FILTER(nNOTA,(nCUENTA=1)*(nCURSO=A81)*(nAPTO="N"))),"—")</f>
        <v>—</v>
      </c>
      <c r="L81">
        <f>SUMPRODUCT((nCUENTA=1)*(nCURSO=A81)*(nNOTA=1))</f>
        <v>0</v>
      </c>
      <c r="M81">
        <f>SUMPRODUCT((nCUENTA=1)*(nCURSO=A81)*(nNOTA=2))</f>
        <v>0</v>
      </c>
      <c r="N81">
        <f>SUMPRODUCT((nCUENTA=1)*(nCURSO=A81)*(nNOTA=3))</f>
        <v>0</v>
      </c>
      <c r="O81">
        <f>SUMPRODUCT((nCUENTA=1)*(nCURSO=A81)*(nNOTA=4))</f>
        <v>0</v>
      </c>
      <c r="P81">
        <f>SUMPRODUCT((nCUENTA=1)*(nCURSO=A81)*(nNOTA=5))</f>
        <v>0</v>
      </c>
      <c r="Q81">
        <f>SUMPRODUCT((nCUENTA=1)*(nCURSO=A81)*(nNOTA=6))</f>
        <v>0</v>
      </c>
      <c r="R81">
        <f>SUMPRODUCT((nCUENTA=1)*(nCURSO=A81)*(nNOTA=7))</f>
        <v>0</v>
      </c>
      <c r="S81">
        <f>SUMPRODUCT((nCUENTA=1)*(nCURSO=A81)*(nNOTA=8))</f>
        <v>0</v>
      </c>
      <c r="T81">
        <f>SUMPRODUCT((nCUENTA=1)*(nCURSO=A81)*(nNOTA=9))</f>
        <v>0</v>
      </c>
      <c r="U81">
        <f>SUMPRODUCT((nCUENTA=1)*(nCURSO=A81)*(nNOTA=10))</f>
        <v>0</v>
      </c>
    </row>
    <row r="82">
      <c r="A82" t="inlineStr">
        <is>
          <t xml:space="preserve">6EPM</t>
        </is>
      </c>
      <c r="B82" t="inlineStr">
        <is>
          <t xml:space="preserve">Total Especialidad</t>
        </is>
      </c>
      <c r="C82" t="inlineStr">
        <is>
          <t xml:space="preserve">TotalEsp</t>
        </is>
      </c>
      <c r="D82">
        <f>SUMPRODUCT((nCUENTA=1)*(nCURSO=A82)*(nCLASE_I="E")*1)</f>
      </c>
      <c r="E82" s="10" cm="1">
        <f t="array" ref="E82">IFERROR(AVERAGE(IF((nCUENTA=1)*(nCURSO=A82)*(nCLASE_I="E"),nNOTA)),"—")</f>
      </c>
      <c r="F82" s="10" cm="1">
        <f t="array" ref="F82">IFERROR(_xlfn.STDEV.P(IF((nCUENTA=1)*(nCURSO=A82)*(nCLASE_I="E"),nNOTA)),"—")</f>
      </c>
      <c r="G82" cm="1">
        <f t="array" ref="G82">IFERROR(_xlfn.MODE.SNGL(IF((nCUENTA=1)*(nCURSO=A82)*(nCLASE_I="E"),nNOTA)),"—")</f>
      </c>
      <c r="H82" s="11">
        <f>IFERROR(SUMPRODUCT((nCUENTA=1)*(nCURSO=A82)*(nCLASE_I="E")*(nAPTO="S"))/SUMPRODUCT((nCUENTA=1)*(nCURSO=A82)*(nCLASE_I="E")*1),"—")</f>
      </c>
      <c r="I82" s="11">
        <f>IFERROR(SUMPRODUCT((nCUENTA=1)*(nCURSO=A82)*(nCLASE_I="E")*(nAPTO="N"))/SUMPRODUCT((nCUENTA=1)*(nCURSO=A82)*(nCLASE_I="E")*1),"—")</f>
      </c>
      <c r="J82" cm="1">
        <f t="array" ref="J82">IFERROR(_xlfn.MODE.SNGL(IF((nCUENTA=1)*(nCURSO=A82)*(nCLASE_I="E")*(nAPTO="S"),nNOTA)),"—")</f>
      </c>
      <c r="K82" cm="1">
        <f t="array" ref="K82">IFERROR(_xlfn.MODE.SNGL(IF((nCUENTA=1)*(nCURSO=A82)*(nCLASE_I="E")*(nAPTO="N"),nNOTA)),"—")</f>
      </c>
      <c r="L82">
        <f>SUMPRODUCT((nCUENTA=1)*(nCURSO=A82)*(nCLASE_I="E")*(nNOTA=1))</f>
      </c>
      <c r="M82">
        <f>SUMPRODUCT((nCUENTA=1)*(nCURSO=A82)*(nCLASE_I="E")*(nNOTA=2))</f>
      </c>
      <c r="N82">
        <f>SUMPRODUCT((nCUENTA=1)*(nCURSO=A82)*(nCLASE_I="E")*(nNOTA=3))</f>
      </c>
      <c r="O82">
        <f>SUMPRODUCT((nCUENTA=1)*(nCURSO=A82)*(nCLASE_I="E")*(nNOTA=4))</f>
      </c>
      <c r="P82">
        <f>SUMPRODUCT((nCUENTA=1)*(nCURSO=A82)*(nCLASE_I="E")*(nNOTA=5))</f>
      </c>
      <c r="Q82">
        <f>SUMPRODUCT((nCUENTA=1)*(nCURSO=A82)*(nCLASE_I="E")*(nNOTA=6))</f>
      </c>
      <c r="R82">
        <f>SUMPRODUCT((nCUENTA=1)*(nCURSO=A82)*(nCLASE_I="E")*(nNOTA=7))</f>
      </c>
      <c r="S82">
        <f>SUMPRODUCT((nCUENTA=1)*(nCURSO=A82)*(nCLASE_I="E")*(nNOTA=8))</f>
      </c>
      <c r="T82">
        <f>SUMPRODUCT((nCUENTA=1)*(nCURSO=A82)*(nCLASE_I="E")*(nNOTA=9))</f>
      </c>
      <c r="U82">
        <f>SUMPRODUCT((nCUENTA=1)*(nCURSO=A82)*(nCLASE_I="E")*(nNOTA=10))</f>
      </c>
    </row>
    <row r="83">
      <c r="A83" t="inlineStr">
        <is>
          <t xml:space="preserve">6EPM</t>
        </is>
      </c>
      <c r="B83" t="inlineStr">
        <is>
          <t xml:space="preserve">Total No Especialidad</t>
        </is>
      </c>
      <c r="C83" t="inlineStr">
        <is>
          <t xml:space="preserve">TotalNoEsp</t>
        </is>
      </c>
      <c r="D83">
        <f>SUMPRODUCT((nCUENTA=1)*(nCURSO=A83)*((nCLASE_I&lt;&gt;"")*(nCLASE_I&lt;&gt;"E"))*1)</f>
      </c>
      <c r="E83" s="10" cm="1">
        <f t="array" ref="E83">IFERROR(AVERAGE(IF((nCUENTA=1)*(nCURSO=A83)*((nCLASE_I&lt;&gt;"")*(nCLASE_I&lt;&gt;"E")),nNOTA)),"—")</f>
      </c>
      <c r="F83" s="10" cm="1">
        <f t="array" ref="F83">IFERROR(_xlfn.STDEV.P(IF((nCUENTA=1)*(nCURSO=A83)*((nCLASE_I&lt;&gt;"")*(nCLASE_I&lt;&gt;"E")),nNOTA)),"—")</f>
      </c>
      <c r="G83" cm="1">
        <f t="array" ref="G83">IFERROR(_xlfn.MODE.SNGL(IF((nCUENTA=1)*(nCURSO=A83)*((nCLASE_I&lt;&gt;"")*(nCLASE_I&lt;&gt;"E")),nNOTA)),"—")</f>
      </c>
      <c r="H83" s="11">
        <f>IFERROR(SUMPRODUCT((nCUENTA=1)*(nCURSO=A83)*((nCLASE_I&lt;&gt;"")*(nCLASE_I&lt;&gt;"E"))*(nAPTO="S"))/SUMPRODUCT((nCUENTA=1)*(nCURSO=A83)*((nCLASE_I&lt;&gt;"")*(nCLASE_I&lt;&gt;"E"))*1),"—")</f>
      </c>
      <c r="I83" s="11">
        <f>IFERROR(SUMPRODUCT((nCUENTA=1)*(nCURSO=A83)*((nCLASE_I&lt;&gt;"")*(nCLASE_I&lt;&gt;"E"))*(nAPTO="N"))/SUMPRODUCT((nCUENTA=1)*(nCURSO=A83)*((nCLASE_I&lt;&gt;"")*(nCLASE_I&lt;&gt;"E"))*1),"—")</f>
      </c>
      <c r="J83" cm="1">
        <f t="array" ref="J83">IFERROR(_xlfn.MODE.SNGL(IF((nCUENTA=1)*(nCURSO=A83)*((nCLASE_I&lt;&gt;"")*(nCLASE_I&lt;&gt;"E"))*(nAPTO="S"),nNOTA)),"—")</f>
      </c>
      <c r="K83" cm="1">
        <f t="array" ref="K83">IFERROR(_xlfn.MODE.SNGL(IF((nCUENTA=1)*(nCURSO=A83)*((nCLASE_I&lt;&gt;"")*(nCLASE_I&lt;&gt;"E"))*(nAPTO="N"),nNOTA)),"—")</f>
      </c>
      <c r="L83">
        <f>SUMPRODUCT((nCUENTA=1)*(nCURSO=A83)*((nCLASE_I&lt;&gt;"")*(nCLASE_I&lt;&gt;"E"))*(nNOTA=1))</f>
      </c>
      <c r="M83">
        <f>SUMPRODUCT((nCUENTA=1)*(nCURSO=A83)*((nCLASE_I&lt;&gt;"")*(nCLASE_I&lt;&gt;"E"))*(nNOTA=2))</f>
      </c>
      <c r="N83">
        <f>SUMPRODUCT((nCUENTA=1)*(nCURSO=A83)*((nCLASE_I&lt;&gt;"")*(nCLASE_I&lt;&gt;"E"))*(nNOTA=3))</f>
      </c>
      <c r="O83">
        <f>SUMPRODUCT((nCUENTA=1)*(nCURSO=A83)*((nCLASE_I&lt;&gt;"")*(nCLASE_I&lt;&gt;"E"))*(nNOTA=4))</f>
      </c>
      <c r="P83">
        <f>SUMPRODUCT((nCUENTA=1)*(nCURSO=A83)*((nCLASE_I&lt;&gt;"")*(nCLASE_I&lt;&gt;"E"))*(nNOTA=5))</f>
      </c>
      <c r="Q83">
        <f>SUMPRODUCT((nCUENTA=1)*(nCURSO=A83)*((nCLASE_I&lt;&gt;"")*(nCLASE_I&lt;&gt;"E"))*(nNOTA=6))</f>
      </c>
      <c r="R83">
        <f>SUMPRODUCT((nCUENTA=1)*(nCURSO=A83)*((nCLASE_I&lt;&gt;"")*(nCLASE_I&lt;&gt;"E"))*(nNOTA=7))</f>
      </c>
      <c r="S83">
        <f>SUMPRODUCT((nCUENTA=1)*(nCURSO=A83)*((nCLASE_I&lt;&gt;"")*(nCLASE_I&lt;&gt;"E"))*(nNOTA=8))</f>
      </c>
      <c r="T83">
        <f>SUMPRODUCT((nCUENTA=1)*(nCURSO=A83)*((nCLASE_I&lt;&gt;"")*(nCLASE_I&lt;&gt;"E"))*(nNOTA=9))</f>
      </c>
      <c r="U83">
        <f>SUMPRODUCT((nCUENTA=1)*(nCURSO=A83)*((nCLASE_I&lt;&gt;"")*(nCLASE_I&lt;&gt;"E"))*(nNOTA=10))</f>
      </c>
    </row>
    <row r="84">
      <c r="A84" t="inlineStr">
        <is>
          <t xml:space="preserve">1EPM</t>
        </is>
      </c>
      <c r="B84" cm="1">
        <f t="array" ref="B84">IFERROR(INDEX(_xlfn._xlws.FILTER(CONFIG_ASIGNATURAS!$B$2:$B$91,(CONFIG_ASIGNATURAS!$G$2:$G$91="Sí")*ISNUMBER(SEARCH("1EPM",CONFIG_ASIGNATURAS!$C$2:$C$91))),1),"")</f>
      </c>
      <c r="C84">
        <f>IF(B84="","",IFERROR(VLOOKUP(B84,CONFIG_ASIGNATURAS!$B$2:$D$91,3,FALSE()),"Asignatura"))</f>
      </c>
      <c r="D84">
        <f>SUMPRODUCT((nCUENTA=1)*(nCURSO=A84)*(nASIG=B84))</f>
        <v>0</v>
      </c>
      <c r="E84" s="10" t="str">
        <f>IFERROR(SUMPRODUCT((nCUENTA=1)*(nCURSO=A84)*(nASIG=B84)*(nNOTA))/D84,"—")</f>
        <v>—</v>
      </c>
      <c r="F84" s="10" t="str" cm="1">
        <f t="array" ref="F84">IFERROR(_xlfn.STDEV.P(_xlfn._xlws.FILTER(nNOTA,(nCUENTA=1)*(nCURSO=A84)*(nASIG=B84))),"—")</f>
        <v>—</v>
      </c>
      <c r="G84" t="str" cm="1">
        <f t="array" ref="G84">IFERROR(_xlfn.MODE.SNGL(_xlfn._xlws.FILTER(nNOTA,(nCUENTA=1)*(nCURSO=A84)*(nASIG=B84))),"—")</f>
        <v>—</v>
      </c>
      <c r="H84" s="11" t="str">
        <f>IFERROR(SUMPRODUCT((nCUENTA=1)*(nCURSO=A84)*(nASIG=B84)*(nAPTO="S"))/D84,"—")</f>
        <v>—</v>
      </c>
      <c r="I84" s="11" t="str">
        <f>IFERROR(SUMPRODUCT((nCUENTA=1)*(nCURSO=A84)*(nASIG=B84)*(nAPTO="N"))/D84,"—")</f>
        <v>—</v>
      </c>
      <c r="J84" t="str" cm="1">
        <f t="array" ref="J84">IFERROR(_xlfn.MODE.SNGL(_xlfn._xlws.FILTER(nNOTA,(nCUENTA=1)*(nCURSO=A84)*(nASIG=B84)*(nAPTO="S"))),"—")</f>
        <v>—</v>
      </c>
      <c r="K84" t="str" cm="1">
        <f t="array" ref="K84">IFERROR(_xlfn.MODE.SNGL(_xlfn._xlws.FILTER(nNOTA,(nCUENTA=1)*(nCURSO=A84)*(nASIG=B84)*(nAPTO="N"))),"—")</f>
        <v>—</v>
      </c>
      <c r="L84">
        <f>SUMPRODUCT((nCUENTA=1)*(nCURSO=A84)*(nASIG=B84)*(nNOTA=1))</f>
        <v>0</v>
      </c>
      <c r="M84">
        <f>SUMPRODUCT((nCUENTA=1)*(nCURSO=A84)*(nASIG=B84)*(nNOTA=2))</f>
        <v>0</v>
      </c>
      <c r="N84">
        <f>SUMPRODUCT((nCUENTA=1)*(nCURSO=A84)*(nASIG=B84)*(nNOTA=3))</f>
        <v>0</v>
      </c>
      <c r="O84">
        <f>SUMPRODUCT((nCUENTA=1)*(nCURSO=A84)*(nASIG=B84)*(nNOTA=4))</f>
        <v>0</v>
      </c>
      <c r="P84">
        <f>SUMPRODUCT((nCUENTA=1)*(nCURSO=A84)*(nASIG=B84)*(nNOTA=5))</f>
        <v>0</v>
      </c>
      <c r="Q84">
        <f>SUMPRODUCT((nCUENTA=1)*(nCURSO=A84)*(nASIG=B84)*(nNOTA=6))</f>
        <v>0</v>
      </c>
      <c r="R84">
        <f>SUMPRODUCT((nCUENTA=1)*(nCURSO=A84)*(nASIG=B84)*(nNOTA=7))</f>
        <v>0</v>
      </c>
      <c r="S84">
        <f>SUMPRODUCT((nCUENTA=1)*(nCURSO=A84)*(nASIG=B84)*(nNOTA=8))</f>
        <v>0</v>
      </c>
      <c r="T84">
        <f>SUMPRODUCT((nCUENTA=1)*(nCURSO=A84)*(nASIG=B84)*(nNOTA=9))</f>
        <v>0</v>
      </c>
      <c r="U84">
        <f>SUMPRODUCT((nCUENTA=1)*(nCURSO=A84)*(nASIG=B84)*(nNOTA=10))</f>
        <v>0</v>
      </c>
    </row>
    <row r="85">
      <c r="A85" t="inlineStr">
        <is>
          <t xml:space="preserve">1EPM</t>
        </is>
      </c>
      <c r="B85" cm="1">
        <f t="array" ref="B85">IFERROR(INDEX(_xlfn._xlws.FILTER(CONFIG_ASIGNATURAS!$B$2:$B$91,(CONFIG_ASIGNATURAS!$G$2:$G$91="Sí")*ISNUMBER(SEARCH("1EPM",CONFIG_ASIGNATURAS!$C$2:$C$91))),2),"")</f>
      </c>
      <c r="C85">
        <f>IF(B85="","",IFERROR(VLOOKUP(B85,CONFIG_ASIGNATURAS!$B$2:$D$91,3,FALSE()),"Asignatura"))</f>
      </c>
      <c r="D85">
        <f>SUMPRODUCT((nCUENTA=1)*(nCURSO=A85)*(nASIG=B85))</f>
        <v>0</v>
      </c>
      <c r="E85" s="10" t="str">
        <f>IFERROR(SUMPRODUCT((nCUENTA=1)*(nCURSO=A85)*(nASIG=B85)*(nNOTA))/D85,"—")</f>
        <v>—</v>
      </c>
      <c r="F85" s="10" t="str" cm="1">
        <f t="array" ref="F85">IFERROR(_xlfn.STDEV.P(_xlfn._xlws.FILTER(nNOTA,(nCUENTA=1)*(nCURSO=A85)*(nASIG=B85))),"—")</f>
        <v>—</v>
      </c>
      <c r="G85" t="str" cm="1">
        <f t="array" ref="G85">IFERROR(_xlfn.MODE.SNGL(_xlfn._xlws.FILTER(nNOTA,(nCUENTA=1)*(nCURSO=A85)*(nASIG=B85))),"—")</f>
        <v>—</v>
      </c>
      <c r="H85" s="11" t="str">
        <f>IFERROR(SUMPRODUCT((nCUENTA=1)*(nCURSO=A85)*(nASIG=B85)*(nAPTO="S"))/D85,"—")</f>
        <v>—</v>
      </c>
      <c r="I85" s="11" t="str">
        <f>IFERROR(SUMPRODUCT((nCUENTA=1)*(nCURSO=A85)*(nASIG=B85)*(nAPTO="N"))/D85,"—")</f>
        <v>—</v>
      </c>
      <c r="J85" t="str" cm="1">
        <f t="array" ref="J85">IFERROR(_xlfn.MODE.SNGL(_xlfn._xlws.FILTER(nNOTA,(nCUENTA=1)*(nCURSO=A85)*(nASIG=B85)*(nAPTO="S"))),"—")</f>
        <v>—</v>
      </c>
      <c r="K85" t="str" cm="1">
        <f t="array" ref="K85">IFERROR(_xlfn.MODE.SNGL(_xlfn._xlws.FILTER(nNOTA,(nCUENTA=1)*(nCURSO=A85)*(nASIG=B85)*(nAPTO="N"))),"—")</f>
        <v>—</v>
      </c>
      <c r="L85">
        <f>SUMPRODUCT((nCUENTA=1)*(nCURSO=A85)*(nASIG=B85)*(nNOTA=1))</f>
        <v>0</v>
      </c>
      <c r="M85">
        <f>SUMPRODUCT((nCUENTA=1)*(nCURSO=A85)*(nASIG=B85)*(nNOTA=2))</f>
        <v>0</v>
      </c>
      <c r="N85">
        <f>SUMPRODUCT((nCUENTA=1)*(nCURSO=A85)*(nASIG=B85)*(nNOTA=3))</f>
        <v>0</v>
      </c>
      <c r="O85">
        <f>SUMPRODUCT((nCUENTA=1)*(nCURSO=A85)*(nASIG=B85)*(nNOTA=4))</f>
        <v>0</v>
      </c>
      <c r="P85">
        <f>SUMPRODUCT((nCUENTA=1)*(nCURSO=A85)*(nASIG=B85)*(nNOTA=5))</f>
        <v>0</v>
      </c>
      <c r="Q85">
        <f>SUMPRODUCT((nCUENTA=1)*(nCURSO=A85)*(nASIG=B85)*(nNOTA=6))</f>
        <v>0</v>
      </c>
      <c r="R85">
        <f>SUMPRODUCT((nCUENTA=1)*(nCURSO=A85)*(nASIG=B85)*(nNOTA=7))</f>
        <v>0</v>
      </c>
      <c r="S85">
        <f>SUMPRODUCT((nCUENTA=1)*(nCURSO=A85)*(nASIG=B85)*(nNOTA=8))</f>
        <v>0</v>
      </c>
      <c r="T85">
        <f>SUMPRODUCT((nCUENTA=1)*(nCURSO=A85)*(nASIG=B85)*(nNOTA=9))</f>
        <v>0</v>
      </c>
      <c r="U85">
        <f>SUMPRODUCT((nCUENTA=1)*(nCURSO=A85)*(nASIG=B85)*(nNOTA=10))</f>
        <v>0</v>
      </c>
    </row>
    <row r="86">
      <c r="A86" t="inlineStr">
        <is>
          <t xml:space="preserve">1EPM</t>
        </is>
      </c>
      <c r="B86" cm="1">
        <f t="array" ref="B86">IFERROR(INDEX(_xlfn._xlws.FILTER(CONFIG_ASIGNATURAS!$B$2:$B$91,(CONFIG_ASIGNATURAS!$G$2:$G$91="Sí")*ISNUMBER(SEARCH("1EPM",CONFIG_ASIGNATURAS!$C$2:$C$91))),3),"")</f>
      </c>
      <c r="C86">
        <f>IF(B86="","",IFERROR(VLOOKUP(B86,CONFIG_ASIGNATURAS!$B$2:$D$91,3,FALSE()),"Asignatura"))</f>
      </c>
      <c r="D86">
        <f>SUMPRODUCT((nCUENTA=1)*(nCURSO=A86)*(nASIG=B86))</f>
        <v>0</v>
      </c>
      <c r="E86" s="10" t="str">
        <f>IFERROR(SUMPRODUCT((nCUENTA=1)*(nCURSO=A86)*(nASIG=B86)*(nNOTA))/D86,"—")</f>
        <v>—</v>
      </c>
      <c r="F86" s="10" t="str" cm="1">
        <f t="array" ref="F86">IFERROR(_xlfn.STDEV.P(_xlfn._xlws.FILTER(nNOTA,(nCUENTA=1)*(nCURSO=A86)*(nASIG=B86))),"—")</f>
        <v>—</v>
      </c>
      <c r="G86" t="str" cm="1">
        <f t="array" ref="G86">IFERROR(_xlfn.MODE.SNGL(_xlfn._xlws.FILTER(nNOTA,(nCUENTA=1)*(nCURSO=A86)*(nASIG=B86))),"—")</f>
        <v>—</v>
      </c>
      <c r="H86" s="11" t="str">
        <f>IFERROR(SUMPRODUCT((nCUENTA=1)*(nCURSO=A86)*(nASIG=B86)*(nAPTO="S"))/D86,"—")</f>
        <v>—</v>
      </c>
      <c r="I86" s="11" t="str">
        <f>IFERROR(SUMPRODUCT((nCUENTA=1)*(nCURSO=A86)*(nASIG=B86)*(nAPTO="N"))/D86,"—")</f>
        <v>—</v>
      </c>
      <c r="J86" t="str" cm="1">
        <f t="array" ref="J86">IFERROR(_xlfn.MODE.SNGL(_xlfn._xlws.FILTER(nNOTA,(nCUENTA=1)*(nCURSO=A86)*(nASIG=B86)*(nAPTO="S"))),"—")</f>
        <v>—</v>
      </c>
      <c r="K86" t="str" cm="1">
        <f t="array" ref="K86">IFERROR(_xlfn.MODE.SNGL(_xlfn._xlws.FILTER(nNOTA,(nCUENTA=1)*(nCURSO=A86)*(nASIG=B86)*(nAPTO="N"))),"—")</f>
        <v>—</v>
      </c>
      <c r="L86">
        <f>SUMPRODUCT((nCUENTA=1)*(nCURSO=A86)*(nASIG=B86)*(nNOTA=1))</f>
        <v>0</v>
      </c>
      <c r="M86">
        <f>SUMPRODUCT((nCUENTA=1)*(nCURSO=A86)*(nASIG=B86)*(nNOTA=2))</f>
        <v>0</v>
      </c>
      <c r="N86">
        <f>SUMPRODUCT((nCUENTA=1)*(nCURSO=A86)*(nASIG=B86)*(nNOTA=3))</f>
        <v>0</v>
      </c>
      <c r="O86">
        <f>SUMPRODUCT((nCUENTA=1)*(nCURSO=A86)*(nASIG=B86)*(nNOTA=4))</f>
        <v>0</v>
      </c>
      <c r="P86">
        <f>SUMPRODUCT((nCUENTA=1)*(nCURSO=A86)*(nASIG=B86)*(nNOTA=5))</f>
        <v>0</v>
      </c>
      <c r="Q86">
        <f>SUMPRODUCT((nCUENTA=1)*(nCURSO=A86)*(nASIG=B86)*(nNOTA=6))</f>
        <v>0</v>
      </c>
      <c r="R86">
        <f>SUMPRODUCT((nCUENTA=1)*(nCURSO=A86)*(nASIG=B86)*(nNOTA=7))</f>
        <v>0</v>
      </c>
      <c r="S86">
        <f>SUMPRODUCT((nCUENTA=1)*(nCURSO=A86)*(nASIG=B86)*(nNOTA=8))</f>
        <v>0</v>
      </c>
      <c r="T86">
        <f>SUMPRODUCT((nCUENTA=1)*(nCURSO=A86)*(nASIG=B86)*(nNOTA=9))</f>
        <v>0</v>
      </c>
      <c r="U86">
        <f>SUMPRODUCT((nCUENTA=1)*(nCURSO=A86)*(nASIG=B86)*(nNOTA=10))</f>
        <v>0</v>
      </c>
    </row>
    <row r="87">
      <c r="A87" t="inlineStr">
        <is>
          <t xml:space="preserve">1EPM</t>
        </is>
      </c>
      <c r="B87" cm="1">
        <f t="array" ref="B87">IFERROR(INDEX(_xlfn._xlws.FILTER(CONFIG_ASIGNATURAS!$B$2:$B$91,(CONFIG_ASIGNATURAS!$G$2:$G$91="Sí")*ISNUMBER(SEARCH("1EPM",CONFIG_ASIGNATURAS!$C$2:$C$91))),4),"")</f>
      </c>
      <c r="C87">
        <f>IF(B87="","",IFERROR(VLOOKUP(B87,CONFIG_ASIGNATURAS!$B$2:$D$91,3,FALSE()),"Asignatura"))</f>
      </c>
      <c r="D87">
        <f>SUMPRODUCT((nCUENTA=1)*(nCURSO=A87)*(nASIG=B87))</f>
        <v>0</v>
      </c>
      <c r="E87" s="10" t="str">
        <f>IFERROR(SUMPRODUCT((nCUENTA=1)*(nCURSO=A87)*(nASIG=B87)*(nNOTA))/D87,"—")</f>
        <v>—</v>
      </c>
      <c r="F87" s="10" t="str" cm="1">
        <f t="array" ref="F87">IFERROR(_xlfn.STDEV.P(_xlfn._xlws.FILTER(nNOTA,(nCUENTA=1)*(nCURSO=A87)*(nASIG=B87))),"—")</f>
        <v>—</v>
      </c>
      <c r="G87" t="str" cm="1">
        <f t="array" ref="G87">IFERROR(_xlfn.MODE.SNGL(_xlfn._xlws.FILTER(nNOTA,(nCUENTA=1)*(nCURSO=A87)*(nASIG=B87))),"—")</f>
        <v>—</v>
      </c>
      <c r="H87" s="11" t="str">
        <f>IFERROR(SUMPRODUCT((nCUENTA=1)*(nCURSO=A87)*(nASIG=B87)*(nAPTO="S"))/D87,"—")</f>
        <v>—</v>
      </c>
      <c r="I87" s="11" t="str">
        <f>IFERROR(SUMPRODUCT((nCUENTA=1)*(nCURSO=A87)*(nASIG=B87)*(nAPTO="N"))/D87,"—")</f>
        <v>—</v>
      </c>
      <c r="J87" t="str" cm="1">
        <f t="array" ref="J87">IFERROR(_xlfn.MODE.SNGL(_xlfn._xlws.FILTER(nNOTA,(nCUENTA=1)*(nCURSO=A87)*(nASIG=B87)*(nAPTO="S"))),"—")</f>
        <v>—</v>
      </c>
      <c r="K87" t="str" cm="1">
        <f t="array" ref="K87">IFERROR(_xlfn.MODE.SNGL(_xlfn._xlws.FILTER(nNOTA,(nCUENTA=1)*(nCURSO=A87)*(nASIG=B87)*(nAPTO="N"))),"—")</f>
        <v>—</v>
      </c>
      <c r="L87">
        <f>SUMPRODUCT((nCUENTA=1)*(nCURSO=A87)*(nASIG=B87)*(nNOTA=1))</f>
        <v>0</v>
      </c>
      <c r="M87">
        <f>SUMPRODUCT((nCUENTA=1)*(nCURSO=A87)*(nASIG=B87)*(nNOTA=2))</f>
        <v>0</v>
      </c>
      <c r="N87">
        <f>SUMPRODUCT((nCUENTA=1)*(nCURSO=A87)*(nASIG=B87)*(nNOTA=3))</f>
        <v>0</v>
      </c>
      <c r="O87">
        <f>SUMPRODUCT((nCUENTA=1)*(nCURSO=A87)*(nASIG=B87)*(nNOTA=4))</f>
        <v>0</v>
      </c>
      <c r="P87">
        <f>SUMPRODUCT((nCUENTA=1)*(nCURSO=A87)*(nASIG=B87)*(nNOTA=5))</f>
        <v>0</v>
      </c>
      <c r="Q87">
        <f>SUMPRODUCT((nCUENTA=1)*(nCURSO=A87)*(nASIG=B87)*(nNOTA=6))</f>
        <v>0</v>
      </c>
      <c r="R87">
        <f>SUMPRODUCT((nCUENTA=1)*(nCURSO=A87)*(nASIG=B87)*(nNOTA=7))</f>
        <v>0</v>
      </c>
      <c r="S87">
        <f>SUMPRODUCT((nCUENTA=1)*(nCURSO=A87)*(nASIG=B87)*(nNOTA=8))</f>
        <v>0</v>
      </c>
      <c r="T87">
        <f>SUMPRODUCT((nCUENTA=1)*(nCURSO=A87)*(nASIG=B87)*(nNOTA=9))</f>
        <v>0</v>
      </c>
      <c r="U87">
        <f>SUMPRODUCT((nCUENTA=1)*(nCURSO=A87)*(nASIG=B87)*(nNOTA=10))</f>
        <v>0</v>
      </c>
    </row>
    <row r="88">
      <c r="A88" t="inlineStr">
        <is>
          <t xml:space="preserve">1EPM</t>
        </is>
      </c>
      <c r="B88" cm="1">
        <f t="array" ref="B88">IFERROR(INDEX(_xlfn._xlws.FILTER(CONFIG_ASIGNATURAS!$B$2:$B$91,(CONFIG_ASIGNATURAS!$G$2:$G$91="Sí")*ISNUMBER(SEARCH("1EPM",CONFIG_ASIGNATURAS!$C$2:$C$91))),5),"")</f>
      </c>
      <c r="C88">
        <f>IF(B88="","",IFERROR(VLOOKUP(B88,CONFIG_ASIGNATURAS!$B$2:$D$91,3,FALSE()),"Asignatura"))</f>
      </c>
      <c r="D88">
        <f>SUMPRODUCT((nCUENTA=1)*(nCURSO=A88)*(nASIG=B88))</f>
        <v>0</v>
      </c>
      <c r="E88" s="10" t="str">
        <f>IFERROR(SUMPRODUCT((nCUENTA=1)*(nCURSO=A88)*(nASIG=B88)*(nNOTA))/D88,"—")</f>
        <v>—</v>
      </c>
      <c r="F88" s="10" t="str" cm="1">
        <f t="array" ref="F88">IFERROR(_xlfn.STDEV.P(_xlfn._xlws.FILTER(nNOTA,(nCUENTA=1)*(nCURSO=A88)*(nASIG=B88))),"—")</f>
        <v>—</v>
      </c>
      <c r="G88" t="str" cm="1">
        <f t="array" ref="G88">IFERROR(_xlfn.MODE.SNGL(_xlfn._xlws.FILTER(nNOTA,(nCUENTA=1)*(nCURSO=A88)*(nASIG=B88))),"—")</f>
        <v>—</v>
      </c>
      <c r="H88" s="11" t="str">
        <f>IFERROR(SUMPRODUCT((nCUENTA=1)*(nCURSO=A88)*(nASIG=B88)*(nAPTO="S"))/D88,"—")</f>
        <v>—</v>
      </c>
      <c r="I88" s="11" t="str">
        <f>IFERROR(SUMPRODUCT((nCUENTA=1)*(nCURSO=A88)*(nASIG=B88)*(nAPTO="N"))/D88,"—")</f>
        <v>—</v>
      </c>
      <c r="J88" t="str" cm="1">
        <f t="array" ref="J88">IFERROR(_xlfn.MODE.SNGL(_xlfn._xlws.FILTER(nNOTA,(nCUENTA=1)*(nCURSO=A88)*(nASIG=B88)*(nAPTO="S"))),"—")</f>
        <v>—</v>
      </c>
      <c r="K88" t="str" cm="1">
        <f t="array" ref="K88">IFERROR(_xlfn.MODE.SNGL(_xlfn._xlws.FILTER(nNOTA,(nCUENTA=1)*(nCURSO=A88)*(nASIG=B88)*(nAPTO="N"))),"—")</f>
        <v>—</v>
      </c>
      <c r="L88">
        <f>SUMPRODUCT((nCUENTA=1)*(nCURSO=A88)*(nASIG=B88)*(nNOTA=1))</f>
        <v>0</v>
      </c>
      <c r="M88">
        <f>SUMPRODUCT((nCUENTA=1)*(nCURSO=A88)*(nASIG=B88)*(nNOTA=2))</f>
        <v>0</v>
      </c>
      <c r="N88">
        <f>SUMPRODUCT((nCUENTA=1)*(nCURSO=A88)*(nASIG=B88)*(nNOTA=3))</f>
        <v>0</v>
      </c>
      <c r="O88">
        <f>SUMPRODUCT((nCUENTA=1)*(nCURSO=A88)*(nASIG=B88)*(nNOTA=4))</f>
        <v>0</v>
      </c>
      <c r="P88">
        <f>SUMPRODUCT((nCUENTA=1)*(nCURSO=A88)*(nASIG=B88)*(nNOTA=5))</f>
        <v>0</v>
      </c>
      <c r="Q88">
        <f>SUMPRODUCT((nCUENTA=1)*(nCURSO=A88)*(nASIG=B88)*(nNOTA=6))</f>
        <v>0</v>
      </c>
      <c r="R88">
        <f>SUMPRODUCT((nCUENTA=1)*(nCURSO=A88)*(nASIG=B88)*(nNOTA=7))</f>
        <v>0</v>
      </c>
      <c r="S88">
        <f>SUMPRODUCT((nCUENTA=1)*(nCURSO=A88)*(nASIG=B88)*(nNOTA=8))</f>
        <v>0</v>
      </c>
      <c r="T88">
        <f>SUMPRODUCT((nCUENTA=1)*(nCURSO=A88)*(nASIG=B88)*(nNOTA=9))</f>
        <v>0</v>
      </c>
      <c r="U88">
        <f>SUMPRODUCT((nCUENTA=1)*(nCURSO=A88)*(nASIG=B88)*(nNOTA=10))</f>
        <v>0</v>
      </c>
    </row>
    <row r="89">
      <c r="A89" t="inlineStr">
        <is>
          <t xml:space="preserve">1EPM</t>
        </is>
      </c>
      <c r="B89" cm="1">
        <f t="array" ref="B89">IFERROR(INDEX(_xlfn._xlws.FILTER(CONFIG_ASIGNATURAS!$B$2:$B$91,(CONFIG_ASIGNATURAS!$G$2:$G$91="Sí")*ISNUMBER(SEARCH("1EPM",CONFIG_ASIGNATURAS!$C$2:$C$91))),6),"")</f>
      </c>
      <c r="C89">
        <f>IF(B89="","",IFERROR(VLOOKUP(B89,CONFIG_ASIGNATURAS!$B$2:$D$91,3,FALSE()),"Asignatura"))</f>
      </c>
      <c r="D89">
        <f>SUMPRODUCT((nCUENTA=1)*(nCURSO=A89)*(nASIG=B89))</f>
        <v>0</v>
      </c>
      <c r="E89" s="10" t="str">
        <f>IFERROR(SUMPRODUCT((nCUENTA=1)*(nCURSO=A89)*(nASIG=B89)*(nNOTA))/D89,"—")</f>
        <v>—</v>
      </c>
      <c r="F89" s="10" t="str" cm="1">
        <f t="array" ref="F89">IFERROR(_xlfn.STDEV.P(_xlfn._xlws.FILTER(nNOTA,(nCUENTA=1)*(nCURSO=A89)*(nASIG=B89))),"—")</f>
        <v>—</v>
      </c>
      <c r="G89" t="str" cm="1">
        <f t="array" ref="G89">IFERROR(_xlfn.MODE.SNGL(_xlfn._xlws.FILTER(nNOTA,(nCUENTA=1)*(nCURSO=A89)*(nASIG=B89))),"—")</f>
        <v>—</v>
      </c>
      <c r="H89" s="11" t="str">
        <f>IFERROR(SUMPRODUCT((nCUENTA=1)*(nCURSO=A89)*(nASIG=B89)*(nAPTO="S"))/D89,"—")</f>
        <v>—</v>
      </c>
      <c r="I89" s="11" t="str">
        <f>IFERROR(SUMPRODUCT((nCUENTA=1)*(nCURSO=A89)*(nASIG=B89)*(nAPTO="N"))/D89,"—")</f>
        <v>—</v>
      </c>
      <c r="J89" t="str" cm="1">
        <f t="array" ref="J89">IFERROR(_xlfn.MODE.SNGL(_xlfn._xlws.FILTER(nNOTA,(nCUENTA=1)*(nCURSO=A89)*(nASIG=B89)*(nAPTO="S"))),"—")</f>
        <v>—</v>
      </c>
      <c r="K89" t="str" cm="1">
        <f t="array" ref="K89">IFERROR(_xlfn.MODE.SNGL(_xlfn._xlws.FILTER(nNOTA,(nCUENTA=1)*(nCURSO=A89)*(nASIG=B89)*(nAPTO="N"))),"—")</f>
        <v>—</v>
      </c>
      <c r="L89">
        <f>SUMPRODUCT((nCUENTA=1)*(nCURSO=A89)*(nASIG=B89)*(nNOTA=1))</f>
        <v>0</v>
      </c>
      <c r="M89">
        <f>SUMPRODUCT((nCUENTA=1)*(nCURSO=A89)*(nASIG=B89)*(nNOTA=2))</f>
        <v>0</v>
      </c>
      <c r="N89">
        <f>SUMPRODUCT((nCUENTA=1)*(nCURSO=A89)*(nASIG=B89)*(nNOTA=3))</f>
        <v>0</v>
      </c>
      <c r="O89">
        <f>SUMPRODUCT((nCUENTA=1)*(nCURSO=A89)*(nASIG=B89)*(nNOTA=4))</f>
        <v>0</v>
      </c>
      <c r="P89">
        <f>SUMPRODUCT((nCUENTA=1)*(nCURSO=A89)*(nASIG=B89)*(nNOTA=5))</f>
        <v>0</v>
      </c>
      <c r="Q89">
        <f>SUMPRODUCT((nCUENTA=1)*(nCURSO=A89)*(nASIG=B89)*(nNOTA=6))</f>
        <v>0</v>
      </c>
      <c r="R89">
        <f>SUMPRODUCT((nCUENTA=1)*(nCURSO=A89)*(nASIG=B89)*(nNOTA=7))</f>
        <v>0</v>
      </c>
      <c r="S89">
        <f>SUMPRODUCT((nCUENTA=1)*(nCURSO=A89)*(nASIG=B89)*(nNOTA=8))</f>
        <v>0</v>
      </c>
      <c r="T89">
        <f>SUMPRODUCT((nCUENTA=1)*(nCURSO=A89)*(nASIG=B89)*(nNOTA=9))</f>
        <v>0</v>
      </c>
      <c r="U89">
        <f>SUMPRODUCT((nCUENTA=1)*(nCURSO=A89)*(nASIG=B89)*(nNOTA=10))</f>
        <v>0</v>
      </c>
    </row>
    <row r="90">
      <c r="A90" t="inlineStr">
        <is>
          <t xml:space="preserve">1EPM</t>
        </is>
      </c>
      <c r="B90" cm="1">
        <f t="array" ref="B90">IFERROR(INDEX(_xlfn._xlws.FILTER(CONFIG_ASIGNATURAS!$B$2:$B$91,(CONFIG_ASIGNATURAS!$G$2:$G$91="Sí")*ISNUMBER(SEARCH("1EPM",CONFIG_ASIGNATURAS!$C$2:$C$91))),7),"")</f>
      </c>
      <c r="C90">
        <f>IF(B90="","",IFERROR(VLOOKUP(B90,CONFIG_ASIGNATURAS!$B$2:$D$91,3,FALSE()),"Asignatura"))</f>
      </c>
      <c r="D90">
        <f>SUMPRODUCT((nCUENTA=1)*(nCURSO=A90)*(nASIG=B90))</f>
        <v>0</v>
      </c>
      <c r="E90" s="10" t="str">
        <f>IFERROR(SUMPRODUCT((nCUENTA=1)*(nCURSO=A90)*(nASIG=B90)*(nNOTA))/D90,"—")</f>
        <v>—</v>
      </c>
      <c r="F90" s="10" t="str" cm="1">
        <f t="array" ref="F90">IFERROR(_xlfn.STDEV.P(_xlfn._xlws.FILTER(nNOTA,(nCUENTA=1)*(nCURSO=A90)*(nASIG=B90))),"—")</f>
        <v>—</v>
      </c>
      <c r="G90" t="str" cm="1">
        <f t="array" ref="G90">IFERROR(_xlfn.MODE.SNGL(_xlfn._xlws.FILTER(nNOTA,(nCUENTA=1)*(nCURSO=A90)*(nASIG=B90))),"—")</f>
        <v>—</v>
      </c>
      <c r="H90" s="11" t="str">
        <f>IFERROR(SUMPRODUCT((nCUENTA=1)*(nCURSO=A90)*(nASIG=B90)*(nAPTO="S"))/D90,"—")</f>
        <v>—</v>
      </c>
      <c r="I90" s="11" t="str">
        <f>IFERROR(SUMPRODUCT((nCUENTA=1)*(nCURSO=A90)*(nASIG=B90)*(nAPTO="N"))/D90,"—")</f>
        <v>—</v>
      </c>
      <c r="J90" t="str" cm="1">
        <f t="array" ref="J90">IFERROR(_xlfn.MODE.SNGL(_xlfn._xlws.FILTER(nNOTA,(nCUENTA=1)*(nCURSO=A90)*(nASIG=B90)*(nAPTO="S"))),"—")</f>
        <v>—</v>
      </c>
      <c r="K90" t="str" cm="1">
        <f t="array" ref="K90">IFERROR(_xlfn.MODE.SNGL(_xlfn._xlws.FILTER(nNOTA,(nCUENTA=1)*(nCURSO=A90)*(nASIG=B90)*(nAPTO="N"))),"—")</f>
        <v>—</v>
      </c>
      <c r="L90">
        <f>SUMPRODUCT((nCUENTA=1)*(nCURSO=A90)*(nASIG=B90)*(nNOTA=1))</f>
        <v>0</v>
      </c>
      <c r="M90">
        <f>SUMPRODUCT((nCUENTA=1)*(nCURSO=A90)*(nASIG=B90)*(nNOTA=2))</f>
        <v>0</v>
      </c>
      <c r="N90">
        <f>SUMPRODUCT((nCUENTA=1)*(nCURSO=A90)*(nASIG=B90)*(nNOTA=3))</f>
        <v>0</v>
      </c>
      <c r="O90">
        <f>SUMPRODUCT((nCUENTA=1)*(nCURSO=A90)*(nASIG=B90)*(nNOTA=4))</f>
        <v>0</v>
      </c>
      <c r="P90">
        <f>SUMPRODUCT((nCUENTA=1)*(nCURSO=A90)*(nASIG=B90)*(nNOTA=5))</f>
        <v>0</v>
      </c>
      <c r="Q90">
        <f>SUMPRODUCT((nCUENTA=1)*(nCURSO=A90)*(nASIG=B90)*(nNOTA=6))</f>
        <v>0</v>
      </c>
      <c r="R90">
        <f>SUMPRODUCT((nCUENTA=1)*(nCURSO=A90)*(nASIG=B90)*(nNOTA=7))</f>
        <v>0</v>
      </c>
      <c r="S90">
        <f>SUMPRODUCT((nCUENTA=1)*(nCURSO=A90)*(nASIG=B90)*(nNOTA=8))</f>
        <v>0</v>
      </c>
      <c r="T90">
        <f>SUMPRODUCT((nCUENTA=1)*(nCURSO=A90)*(nASIG=B90)*(nNOTA=9))</f>
        <v>0</v>
      </c>
      <c r="U90">
        <f>SUMPRODUCT((nCUENTA=1)*(nCURSO=A90)*(nASIG=B90)*(nNOTA=10))</f>
        <v>0</v>
      </c>
    </row>
    <row r="91">
      <c r="A91" t="inlineStr">
        <is>
          <t xml:space="preserve">1EPM</t>
        </is>
      </c>
      <c r="B91" cm="1">
        <f t="array" ref="B91">IFERROR(INDEX(_xlfn._xlws.FILTER(CONFIG_ASIGNATURAS!$B$2:$B$91,(CONFIG_ASIGNATURAS!$G$2:$G$91="Sí")*ISNUMBER(SEARCH("1EPM",CONFIG_ASIGNATURAS!$C$2:$C$91))),8),"")</f>
      </c>
      <c r="C91">
        <f>IF(B91="","",IFERROR(VLOOKUP(B91,CONFIG_ASIGNATURAS!$B$2:$D$91,3,FALSE()),"Asignatura"))</f>
      </c>
      <c r="D91">
        <f>SUMPRODUCT((nCUENTA=1)*(nCURSO=A91)*(nASIG=B91))</f>
        <v>0</v>
      </c>
      <c r="E91" s="10" t="str">
        <f>IFERROR(SUMPRODUCT((nCUENTA=1)*(nCURSO=A91)*(nASIG=B91)*(nNOTA))/D91,"—")</f>
        <v>—</v>
      </c>
      <c r="F91" s="10" t="str" cm="1">
        <f t="array" ref="F91">IFERROR(_xlfn.STDEV.P(_xlfn._xlws.FILTER(nNOTA,(nCUENTA=1)*(nCURSO=A91)*(nASIG=B91))),"—")</f>
        <v>—</v>
      </c>
      <c r="G91" t="str" cm="1">
        <f t="array" ref="G91">IFERROR(_xlfn.MODE.SNGL(_xlfn._xlws.FILTER(nNOTA,(nCUENTA=1)*(nCURSO=A91)*(nASIG=B91))),"—")</f>
        <v>—</v>
      </c>
      <c r="H91" s="11" t="str">
        <f>IFERROR(SUMPRODUCT((nCUENTA=1)*(nCURSO=A91)*(nASIG=B91)*(nAPTO="S"))/D91,"—")</f>
        <v>—</v>
      </c>
      <c r="I91" s="11" t="str">
        <f>IFERROR(SUMPRODUCT((nCUENTA=1)*(nCURSO=A91)*(nASIG=B91)*(nAPTO="N"))/D91,"—")</f>
        <v>—</v>
      </c>
      <c r="J91" t="str" cm="1">
        <f t="array" ref="J91">IFERROR(_xlfn.MODE.SNGL(_xlfn._xlws.FILTER(nNOTA,(nCUENTA=1)*(nCURSO=A91)*(nASIG=B91)*(nAPTO="S"))),"—")</f>
        <v>—</v>
      </c>
      <c r="K91" t="str" cm="1">
        <f t="array" ref="K91">IFERROR(_xlfn.MODE.SNGL(_xlfn._xlws.FILTER(nNOTA,(nCUENTA=1)*(nCURSO=A91)*(nASIG=B91)*(nAPTO="N"))),"—")</f>
        <v>—</v>
      </c>
      <c r="L91">
        <f>SUMPRODUCT((nCUENTA=1)*(nCURSO=A91)*(nASIG=B91)*(nNOTA=1))</f>
        <v>0</v>
      </c>
      <c r="M91">
        <f>SUMPRODUCT((nCUENTA=1)*(nCURSO=A91)*(nASIG=B91)*(nNOTA=2))</f>
        <v>0</v>
      </c>
      <c r="N91">
        <f>SUMPRODUCT((nCUENTA=1)*(nCURSO=A91)*(nASIG=B91)*(nNOTA=3))</f>
        <v>0</v>
      </c>
      <c r="O91">
        <f>SUMPRODUCT((nCUENTA=1)*(nCURSO=A91)*(nASIG=B91)*(nNOTA=4))</f>
        <v>0</v>
      </c>
      <c r="P91">
        <f>SUMPRODUCT((nCUENTA=1)*(nCURSO=A91)*(nASIG=B91)*(nNOTA=5))</f>
        <v>0</v>
      </c>
      <c r="Q91">
        <f>SUMPRODUCT((nCUENTA=1)*(nCURSO=A91)*(nASIG=B91)*(nNOTA=6))</f>
        <v>0</v>
      </c>
      <c r="R91">
        <f>SUMPRODUCT((nCUENTA=1)*(nCURSO=A91)*(nASIG=B91)*(nNOTA=7))</f>
        <v>0</v>
      </c>
      <c r="S91">
        <f>SUMPRODUCT((nCUENTA=1)*(nCURSO=A91)*(nASIG=B91)*(nNOTA=8))</f>
        <v>0</v>
      </c>
      <c r="T91">
        <f>SUMPRODUCT((nCUENTA=1)*(nCURSO=A91)*(nASIG=B91)*(nNOTA=9))</f>
        <v>0</v>
      </c>
      <c r="U91">
        <f>SUMPRODUCT((nCUENTA=1)*(nCURSO=A91)*(nASIG=B91)*(nNOTA=10))</f>
        <v>0</v>
      </c>
    </row>
    <row r="92">
      <c r="A92" t="inlineStr">
        <is>
          <t xml:space="preserve">1EPM</t>
        </is>
      </c>
      <c r="B92" cm="1">
        <f t="array" ref="B92">IFERROR(INDEX(_xlfn._xlws.FILTER(CONFIG_ASIGNATURAS!$B$2:$B$91,(CONFIG_ASIGNATURAS!$G$2:$G$91="Sí")*ISNUMBER(SEARCH("1EPM",CONFIG_ASIGNATURAS!$C$2:$C$91))),9),"")</f>
      </c>
      <c r="C92">
        <f>IF(B92="","",IFERROR(VLOOKUP(B92,CONFIG_ASIGNATURAS!$B$2:$D$91,3,FALSE()),"Asignatura"))</f>
      </c>
      <c r="D92">
        <f>SUMPRODUCT((nCUENTA=1)*(nCURSO=A92)*(nASIG=B92))</f>
        <v>0</v>
      </c>
      <c r="E92" s="10" t="str">
        <f>IFERROR(SUMPRODUCT((nCUENTA=1)*(nCURSO=A92)*(nASIG=B92)*(nNOTA))/D92,"—")</f>
        <v>—</v>
      </c>
      <c r="F92" s="10" t="str" cm="1">
        <f t="array" ref="F92">IFERROR(_xlfn.STDEV.P(_xlfn._xlws.FILTER(nNOTA,(nCUENTA=1)*(nCURSO=A92)*(nASIG=B92))),"—")</f>
        <v>—</v>
      </c>
      <c r="G92" t="str" cm="1">
        <f t="array" ref="G92">IFERROR(_xlfn.MODE.SNGL(_xlfn._xlws.FILTER(nNOTA,(nCUENTA=1)*(nCURSO=A92)*(nASIG=B92))),"—")</f>
        <v>—</v>
      </c>
      <c r="H92" s="11" t="str">
        <f>IFERROR(SUMPRODUCT((nCUENTA=1)*(nCURSO=A92)*(nASIG=B92)*(nAPTO="S"))/D92,"—")</f>
        <v>—</v>
      </c>
      <c r="I92" s="11" t="str">
        <f>IFERROR(SUMPRODUCT((nCUENTA=1)*(nCURSO=A92)*(nASIG=B92)*(nAPTO="N"))/D92,"—")</f>
        <v>—</v>
      </c>
      <c r="J92" t="str" cm="1">
        <f t="array" ref="J92">IFERROR(_xlfn.MODE.SNGL(_xlfn._xlws.FILTER(nNOTA,(nCUENTA=1)*(nCURSO=A92)*(nASIG=B92)*(nAPTO="S"))),"—")</f>
        <v>—</v>
      </c>
      <c r="K92" t="str" cm="1">
        <f t="array" ref="K92">IFERROR(_xlfn.MODE.SNGL(_xlfn._xlws.FILTER(nNOTA,(nCUENTA=1)*(nCURSO=A92)*(nASIG=B92)*(nAPTO="N"))),"—")</f>
        <v>—</v>
      </c>
      <c r="L92">
        <f>SUMPRODUCT((nCUENTA=1)*(nCURSO=A92)*(nASIG=B92)*(nNOTA=1))</f>
        <v>0</v>
      </c>
      <c r="M92">
        <f>SUMPRODUCT((nCUENTA=1)*(nCURSO=A92)*(nASIG=B92)*(nNOTA=2))</f>
        <v>0</v>
      </c>
      <c r="N92">
        <f>SUMPRODUCT((nCUENTA=1)*(nCURSO=A92)*(nASIG=B92)*(nNOTA=3))</f>
        <v>0</v>
      </c>
      <c r="O92">
        <f>SUMPRODUCT((nCUENTA=1)*(nCURSO=A92)*(nASIG=B92)*(nNOTA=4))</f>
        <v>0</v>
      </c>
      <c r="P92">
        <f>SUMPRODUCT((nCUENTA=1)*(nCURSO=A92)*(nASIG=B92)*(nNOTA=5))</f>
        <v>0</v>
      </c>
      <c r="Q92">
        <f>SUMPRODUCT((nCUENTA=1)*(nCURSO=A92)*(nASIG=B92)*(nNOTA=6))</f>
        <v>0</v>
      </c>
      <c r="R92">
        <f>SUMPRODUCT((nCUENTA=1)*(nCURSO=A92)*(nASIG=B92)*(nNOTA=7))</f>
        <v>0</v>
      </c>
      <c r="S92">
        <f>SUMPRODUCT((nCUENTA=1)*(nCURSO=A92)*(nASIG=B92)*(nNOTA=8))</f>
        <v>0</v>
      </c>
      <c r="T92">
        <f>SUMPRODUCT((nCUENTA=1)*(nCURSO=A92)*(nASIG=B92)*(nNOTA=9))</f>
        <v>0</v>
      </c>
      <c r="U92">
        <f>SUMPRODUCT((nCUENTA=1)*(nCURSO=A92)*(nASIG=B92)*(nNOTA=10))</f>
        <v>0</v>
      </c>
    </row>
    <row r="93">
      <c r="A93" t="inlineStr">
        <is>
          <t xml:space="preserve">1EPM</t>
        </is>
      </c>
      <c r="B93" cm="1">
        <f t="array" ref="B93">IFERROR(INDEX(_xlfn._xlws.FILTER(CONFIG_ASIGNATURAS!$B$2:$B$91,(CONFIG_ASIGNATURAS!$G$2:$G$91="Sí")*ISNUMBER(SEARCH("1EPM",CONFIG_ASIGNATURAS!$C$2:$C$91))),10),"")</f>
      </c>
      <c r="C93">
        <f>IF(B93="","",IFERROR(VLOOKUP(B93,CONFIG_ASIGNATURAS!$B$2:$D$91,3,FALSE()),"Asignatura"))</f>
      </c>
      <c r="D93">
        <f>SUMPRODUCT((nCUENTA=1)*(nCURSO=A93)*(nASIG=B93))</f>
        <v>0</v>
      </c>
      <c r="E93" s="10" t="str">
        <f>IFERROR(SUMPRODUCT((nCUENTA=1)*(nCURSO=A93)*(nASIG=B93)*(nNOTA))/D93,"—")</f>
        <v>—</v>
      </c>
      <c r="F93" s="10" t="str" cm="1">
        <f t="array" ref="F93">IFERROR(_xlfn.STDEV.P(_xlfn._xlws.FILTER(nNOTA,(nCUENTA=1)*(nCURSO=A93)*(nASIG=B93))),"—")</f>
        <v>—</v>
      </c>
      <c r="G93" t="str" cm="1">
        <f t="array" ref="G93">IFERROR(_xlfn.MODE.SNGL(_xlfn._xlws.FILTER(nNOTA,(nCUENTA=1)*(nCURSO=A93)*(nASIG=B93))),"—")</f>
        <v>—</v>
      </c>
      <c r="H93" s="11" t="str">
        <f>IFERROR(SUMPRODUCT((nCUENTA=1)*(nCURSO=A93)*(nASIG=B93)*(nAPTO="S"))/D93,"—")</f>
        <v>—</v>
      </c>
      <c r="I93" s="11" t="str">
        <f>IFERROR(SUMPRODUCT((nCUENTA=1)*(nCURSO=A93)*(nASIG=B93)*(nAPTO="N"))/D93,"—")</f>
        <v>—</v>
      </c>
      <c r="J93" t="str" cm="1">
        <f t="array" ref="J93">IFERROR(_xlfn.MODE.SNGL(_xlfn._xlws.FILTER(nNOTA,(nCUENTA=1)*(nCURSO=A93)*(nASIG=B93)*(nAPTO="S"))),"—")</f>
        <v>—</v>
      </c>
      <c r="K93" t="str" cm="1">
        <f t="array" ref="K93">IFERROR(_xlfn.MODE.SNGL(_xlfn._xlws.FILTER(nNOTA,(nCUENTA=1)*(nCURSO=A93)*(nASIG=B93)*(nAPTO="N"))),"—")</f>
        <v>—</v>
      </c>
      <c r="L93">
        <f>SUMPRODUCT((nCUENTA=1)*(nCURSO=A93)*(nASIG=B93)*(nNOTA=1))</f>
        <v>0</v>
      </c>
      <c r="M93">
        <f>SUMPRODUCT((nCUENTA=1)*(nCURSO=A93)*(nASIG=B93)*(nNOTA=2))</f>
        <v>0</v>
      </c>
      <c r="N93">
        <f>SUMPRODUCT((nCUENTA=1)*(nCURSO=A93)*(nASIG=B93)*(nNOTA=3))</f>
        <v>0</v>
      </c>
      <c r="O93">
        <f>SUMPRODUCT((nCUENTA=1)*(nCURSO=A93)*(nASIG=B93)*(nNOTA=4))</f>
        <v>0</v>
      </c>
      <c r="P93">
        <f>SUMPRODUCT((nCUENTA=1)*(nCURSO=A93)*(nASIG=B93)*(nNOTA=5))</f>
        <v>0</v>
      </c>
      <c r="Q93">
        <f>SUMPRODUCT((nCUENTA=1)*(nCURSO=A93)*(nASIG=B93)*(nNOTA=6))</f>
        <v>0</v>
      </c>
      <c r="R93">
        <f>SUMPRODUCT((nCUENTA=1)*(nCURSO=A93)*(nASIG=B93)*(nNOTA=7))</f>
        <v>0</v>
      </c>
      <c r="S93">
        <f>SUMPRODUCT((nCUENTA=1)*(nCURSO=A93)*(nASIG=B93)*(nNOTA=8))</f>
        <v>0</v>
      </c>
      <c r="T93">
        <f>SUMPRODUCT((nCUENTA=1)*(nCURSO=A93)*(nASIG=B93)*(nNOTA=9))</f>
        <v>0</v>
      </c>
      <c r="U93">
        <f>SUMPRODUCT((nCUENTA=1)*(nCURSO=A93)*(nASIG=B93)*(nNOTA=10))</f>
        <v>0</v>
      </c>
    </row>
    <row r="94">
      <c r="A94" t="inlineStr">
        <is>
          <t xml:space="preserve">1EPM</t>
        </is>
      </c>
      <c r="B94" cm="1">
        <f t="array" ref="B94">IFERROR(INDEX(_xlfn._xlws.FILTER(CONFIG_ASIGNATURAS!$B$2:$B$91,(CONFIG_ASIGNATURAS!$G$2:$G$91="Sí")*ISNUMBER(SEARCH("1EPM",CONFIG_ASIGNATURAS!$C$2:$C$91))),11),"")</f>
      </c>
      <c r="C94">
        <f>IF(B94="","",IFERROR(VLOOKUP(B94,CONFIG_ASIGNATURAS!$B$2:$D$91,3,FALSE()),"Asignatura"))</f>
      </c>
      <c r="D94">
        <f>SUMPRODUCT((nCUENTA=1)*(nCURSO=A94)*(nASIG=B94))</f>
        <v>0</v>
      </c>
      <c r="E94" s="10" t="str">
        <f>IFERROR(SUMPRODUCT((nCUENTA=1)*(nCURSO=A94)*(nASIG=B94)*(nNOTA))/D94,"—")</f>
        <v>—</v>
      </c>
      <c r="F94" s="10" t="str" cm="1">
        <f t="array" ref="F94">IFERROR(_xlfn.STDEV.P(_xlfn._xlws.FILTER(nNOTA,(nCUENTA=1)*(nCURSO=A94)*(nASIG=B94))),"—")</f>
        <v>—</v>
      </c>
      <c r="G94" t="str" cm="1">
        <f t="array" ref="G94">IFERROR(_xlfn.MODE.SNGL(_xlfn._xlws.FILTER(nNOTA,(nCUENTA=1)*(nCURSO=A94)*(nASIG=B94))),"—")</f>
        <v>—</v>
      </c>
      <c r="H94" s="11" t="str">
        <f>IFERROR(SUMPRODUCT((nCUENTA=1)*(nCURSO=A94)*(nASIG=B94)*(nAPTO="S"))/D94,"—")</f>
        <v>—</v>
      </c>
      <c r="I94" s="11" t="str">
        <f>IFERROR(SUMPRODUCT((nCUENTA=1)*(nCURSO=A94)*(nASIG=B94)*(nAPTO="N"))/D94,"—")</f>
        <v>—</v>
      </c>
      <c r="J94" t="str" cm="1">
        <f t="array" ref="J94">IFERROR(_xlfn.MODE.SNGL(_xlfn._xlws.FILTER(nNOTA,(nCUENTA=1)*(nCURSO=A94)*(nASIG=B94)*(nAPTO="S"))),"—")</f>
        <v>—</v>
      </c>
      <c r="K94" t="str" cm="1">
        <f t="array" ref="K94">IFERROR(_xlfn.MODE.SNGL(_xlfn._xlws.FILTER(nNOTA,(nCUENTA=1)*(nCURSO=A94)*(nASIG=B94)*(nAPTO="N"))),"—")</f>
        <v>—</v>
      </c>
      <c r="L94">
        <f>SUMPRODUCT((nCUENTA=1)*(nCURSO=A94)*(nASIG=B94)*(nNOTA=1))</f>
        <v>0</v>
      </c>
      <c r="M94">
        <f>SUMPRODUCT((nCUENTA=1)*(nCURSO=A94)*(nASIG=B94)*(nNOTA=2))</f>
        <v>0</v>
      </c>
      <c r="N94">
        <f>SUMPRODUCT((nCUENTA=1)*(nCURSO=A94)*(nASIG=B94)*(nNOTA=3))</f>
        <v>0</v>
      </c>
      <c r="O94">
        <f>SUMPRODUCT((nCUENTA=1)*(nCURSO=A94)*(nASIG=B94)*(nNOTA=4))</f>
        <v>0</v>
      </c>
      <c r="P94">
        <f>SUMPRODUCT((nCUENTA=1)*(nCURSO=A94)*(nASIG=B94)*(nNOTA=5))</f>
        <v>0</v>
      </c>
      <c r="Q94">
        <f>SUMPRODUCT((nCUENTA=1)*(nCURSO=A94)*(nASIG=B94)*(nNOTA=6))</f>
        <v>0</v>
      </c>
      <c r="R94">
        <f>SUMPRODUCT((nCUENTA=1)*(nCURSO=A94)*(nASIG=B94)*(nNOTA=7))</f>
        <v>0</v>
      </c>
      <c r="S94">
        <f>SUMPRODUCT((nCUENTA=1)*(nCURSO=A94)*(nASIG=B94)*(nNOTA=8))</f>
        <v>0</v>
      </c>
      <c r="T94">
        <f>SUMPRODUCT((nCUENTA=1)*(nCURSO=A94)*(nASIG=B94)*(nNOTA=9))</f>
        <v>0</v>
      </c>
      <c r="U94">
        <f>SUMPRODUCT((nCUENTA=1)*(nCURSO=A94)*(nASIG=B94)*(nNOTA=10))</f>
        <v>0</v>
      </c>
    </row>
    <row r="95">
      <c r="A95" t="inlineStr">
        <is>
          <t xml:space="preserve">1EPM</t>
        </is>
      </c>
      <c r="B95" cm="1">
        <f t="array" ref="B95">IFERROR(INDEX(_xlfn._xlws.FILTER(CONFIG_ASIGNATURAS!$B$2:$B$91,(CONFIG_ASIGNATURAS!$G$2:$G$91="Sí")*ISNUMBER(SEARCH("1EPM",CONFIG_ASIGNATURAS!$C$2:$C$91))),12),"")</f>
      </c>
      <c r="C95">
        <f>IF(B95="","",IFERROR(VLOOKUP(B95,CONFIG_ASIGNATURAS!$B$2:$D$91,3,FALSE()),"Asignatura"))</f>
      </c>
      <c r="D95">
        <f>SUMPRODUCT((nCUENTA=1)*(nCURSO=A95)*(nASIG=B95))</f>
        <v>0</v>
      </c>
      <c r="E95" s="10" t="str">
        <f>IFERROR(SUMPRODUCT((nCUENTA=1)*(nCURSO=A95)*(nASIG=B95)*(nNOTA))/D95,"—")</f>
        <v>—</v>
      </c>
      <c r="F95" s="10" t="str" cm="1">
        <f t="array" ref="F95">IFERROR(_xlfn.STDEV.P(_xlfn._xlws.FILTER(nNOTA,(nCUENTA=1)*(nCURSO=A95)*(nASIG=B95))),"—")</f>
        <v>—</v>
      </c>
      <c r="G95" t="str" cm="1">
        <f t="array" ref="G95">IFERROR(_xlfn.MODE.SNGL(_xlfn._xlws.FILTER(nNOTA,(nCUENTA=1)*(nCURSO=A95)*(nASIG=B95))),"—")</f>
        <v>—</v>
      </c>
      <c r="H95" s="11" t="str">
        <f>IFERROR(SUMPRODUCT((nCUENTA=1)*(nCURSO=A95)*(nASIG=B95)*(nAPTO="S"))/D95,"—")</f>
        <v>—</v>
      </c>
      <c r="I95" s="11" t="str">
        <f>IFERROR(SUMPRODUCT((nCUENTA=1)*(nCURSO=A95)*(nASIG=B95)*(nAPTO="N"))/D95,"—")</f>
        <v>—</v>
      </c>
      <c r="J95" t="str" cm="1">
        <f t="array" ref="J95">IFERROR(_xlfn.MODE.SNGL(_xlfn._xlws.FILTER(nNOTA,(nCUENTA=1)*(nCURSO=A95)*(nASIG=B95)*(nAPTO="S"))),"—")</f>
        <v>—</v>
      </c>
      <c r="K95" t="str" cm="1">
        <f t="array" ref="K95">IFERROR(_xlfn.MODE.SNGL(_xlfn._xlws.FILTER(nNOTA,(nCUENTA=1)*(nCURSO=A95)*(nASIG=B95)*(nAPTO="N"))),"—")</f>
        <v>—</v>
      </c>
      <c r="L95">
        <f>SUMPRODUCT((nCUENTA=1)*(nCURSO=A95)*(nASIG=B95)*(nNOTA=1))</f>
        <v>0</v>
      </c>
      <c r="M95">
        <f>SUMPRODUCT((nCUENTA=1)*(nCURSO=A95)*(nASIG=B95)*(nNOTA=2))</f>
        <v>0</v>
      </c>
      <c r="N95">
        <f>SUMPRODUCT((nCUENTA=1)*(nCURSO=A95)*(nASIG=B95)*(nNOTA=3))</f>
        <v>0</v>
      </c>
      <c r="O95">
        <f>SUMPRODUCT((nCUENTA=1)*(nCURSO=A95)*(nASIG=B95)*(nNOTA=4))</f>
        <v>0</v>
      </c>
      <c r="P95">
        <f>SUMPRODUCT((nCUENTA=1)*(nCURSO=A95)*(nASIG=B95)*(nNOTA=5))</f>
        <v>0</v>
      </c>
      <c r="Q95">
        <f>SUMPRODUCT((nCUENTA=1)*(nCURSO=A95)*(nASIG=B95)*(nNOTA=6))</f>
        <v>0</v>
      </c>
      <c r="R95">
        <f>SUMPRODUCT((nCUENTA=1)*(nCURSO=A95)*(nASIG=B95)*(nNOTA=7))</f>
        <v>0</v>
      </c>
      <c r="S95">
        <f>SUMPRODUCT((nCUENTA=1)*(nCURSO=A95)*(nASIG=B95)*(nNOTA=8))</f>
        <v>0</v>
      </c>
      <c r="T95">
        <f>SUMPRODUCT((nCUENTA=1)*(nCURSO=A95)*(nASIG=B95)*(nNOTA=9))</f>
        <v>0</v>
      </c>
      <c r="U95">
        <f>SUMPRODUCT((nCUENTA=1)*(nCURSO=A95)*(nASIG=B95)*(nNOTA=10))</f>
        <v>0</v>
      </c>
    </row>
    <row r="96">
      <c r="A96" t="inlineStr">
        <is>
          <t xml:space="preserve">1EPM</t>
        </is>
      </c>
      <c r="B96" cm="1">
        <f t="array" ref="B96">IFERROR(INDEX(_xlfn._xlws.FILTER(CONFIG_ASIGNATURAS!$B$2:$B$91,(CONFIG_ASIGNATURAS!$G$2:$G$91="Sí")*ISNUMBER(SEARCH("1EPM",CONFIG_ASIGNATURAS!$C$2:$C$91))),13),"")</f>
      </c>
      <c r="C96">
        <f>IF(B96="","",IFERROR(VLOOKUP(B96,CONFIG_ASIGNATURAS!$B$2:$D$91,3,FALSE()),"Asignatura"))</f>
      </c>
      <c r="D96">
        <f>SUMPRODUCT((nCUENTA=1)*(nCURSO=A96)*(nASIG=B96))</f>
        <v>0</v>
      </c>
      <c r="E96" s="10" t="str">
        <f>IFERROR(SUMPRODUCT((nCUENTA=1)*(nCURSO=A96)*(nASIG=B96)*(nNOTA))/D96,"—")</f>
        <v>—</v>
      </c>
      <c r="F96" s="10" t="str" cm="1">
        <f t="array" ref="F96">IFERROR(_xlfn.STDEV.P(_xlfn._xlws.FILTER(nNOTA,(nCUENTA=1)*(nCURSO=A96)*(nASIG=B96))),"—")</f>
        <v>—</v>
      </c>
      <c r="G96" t="str" cm="1">
        <f t="array" ref="G96">IFERROR(_xlfn.MODE.SNGL(_xlfn._xlws.FILTER(nNOTA,(nCUENTA=1)*(nCURSO=A96)*(nASIG=B96))),"—")</f>
        <v>—</v>
      </c>
      <c r="H96" s="11" t="str">
        <f>IFERROR(SUMPRODUCT((nCUENTA=1)*(nCURSO=A96)*(nASIG=B96)*(nAPTO="S"))/D96,"—")</f>
        <v>—</v>
      </c>
      <c r="I96" s="11" t="str">
        <f>IFERROR(SUMPRODUCT((nCUENTA=1)*(nCURSO=A96)*(nASIG=B96)*(nAPTO="N"))/D96,"—")</f>
        <v>—</v>
      </c>
      <c r="J96" t="str" cm="1">
        <f t="array" ref="J96">IFERROR(_xlfn.MODE.SNGL(_xlfn._xlws.FILTER(nNOTA,(nCUENTA=1)*(nCURSO=A96)*(nASIG=B96)*(nAPTO="S"))),"—")</f>
        <v>—</v>
      </c>
      <c r="K96" t="str" cm="1">
        <f t="array" ref="K96">IFERROR(_xlfn.MODE.SNGL(_xlfn._xlws.FILTER(nNOTA,(nCUENTA=1)*(nCURSO=A96)*(nASIG=B96)*(nAPTO="N"))),"—")</f>
        <v>—</v>
      </c>
      <c r="L96">
        <f>SUMPRODUCT((nCUENTA=1)*(nCURSO=A96)*(nASIG=B96)*(nNOTA=1))</f>
        <v>0</v>
      </c>
      <c r="M96">
        <f>SUMPRODUCT((nCUENTA=1)*(nCURSO=A96)*(nASIG=B96)*(nNOTA=2))</f>
        <v>0</v>
      </c>
      <c r="N96">
        <f>SUMPRODUCT((nCUENTA=1)*(nCURSO=A96)*(nASIG=B96)*(nNOTA=3))</f>
        <v>0</v>
      </c>
      <c r="O96">
        <f>SUMPRODUCT((nCUENTA=1)*(nCURSO=A96)*(nASIG=B96)*(nNOTA=4))</f>
        <v>0</v>
      </c>
      <c r="P96">
        <f>SUMPRODUCT((nCUENTA=1)*(nCURSO=A96)*(nASIG=B96)*(nNOTA=5))</f>
        <v>0</v>
      </c>
      <c r="Q96">
        <f>SUMPRODUCT((nCUENTA=1)*(nCURSO=A96)*(nASIG=B96)*(nNOTA=6))</f>
        <v>0</v>
      </c>
      <c r="R96">
        <f>SUMPRODUCT((nCUENTA=1)*(nCURSO=A96)*(nASIG=B96)*(nNOTA=7))</f>
        <v>0</v>
      </c>
      <c r="S96">
        <f>SUMPRODUCT((nCUENTA=1)*(nCURSO=A96)*(nASIG=B96)*(nNOTA=8))</f>
        <v>0</v>
      </c>
      <c r="T96">
        <f>SUMPRODUCT((nCUENTA=1)*(nCURSO=A96)*(nASIG=B96)*(nNOTA=9))</f>
        <v>0</v>
      </c>
      <c r="U96">
        <f>SUMPRODUCT((nCUENTA=1)*(nCURSO=A96)*(nASIG=B96)*(nNOTA=10))</f>
        <v>0</v>
      </c>
    </row>
    <row r="97">
      <c r="A97" t="inlineStr">
        <is>
          <t xml:space="preserve">1EPM</t>
        </is>
      </c>
      <c r="B97" cm="1">
        <f t="array" ref="B97">IFERROR(INDEX(_xlfn._xlws.FILTER(CONFIG_ASIGNATURAS!$B$2:$B$91,(CONFIG_ASIGNATURAS!$G$2:$G$91="Sí")*ISNUMBER(SEARCH("1EPM",CONFIG_ASIGNATURAS!$C$2:$C$91))),14),"")</f>
      </c>
      <c r="C97">
        <f>IF(B97="","",IFERROR(VLOOKUP(B97,CONFIG_ASIGNATURAS!$B$2:$D$91,3,FALSE()),"Asignatura"))</f>
      </c>
      <c r="D97">
        <f>SUMPRODUCT((nCUENTA=1)*(nCURSO=A97)*(nASIG=B97))</f>
        <v>0</v>
      </c>
      <c r="E97" s="10" t="str">
        <f>IFERROR(SUMPRODUCT((nCUENTA=1)*(nCURSO=A97)*(nASIG=B97)*(nNOTA))/D97,"—")</f>
        <v>—</v>
      </c>
      <c r="F97" s="10" t="str" cm="1">
        <f t="array" ref="F97">IFERROR(_xlfn.STDEV.P(_xlfn._xlws.FILTER(nNOTA,(nCUENTA=1)*(nCURSO=A97)*(nASIG=B97))),"—")</f>
        <v>—</v>
      </c>
      <c r="G97" t="str" cm="1">
        <f t="array" ref="G97">IFERROR(_xlfn.MODE.SNGL(_xlfn._xlws.FILTER(nNOTA,(nCUENTA=1)*(nCURSO=A97)*(nASIG=B97))),"—")</f>
        <v>—</v>
      </c>
      <c r="H97" s="11" t="str">
        <f>IFERROR(SUMPRODUCT((nCUENTA=1)*(nCURSO=A97)*(nASIG=B97)*(nAPTO="S"))/D97,"—")</f>
        <v>—</v>
      </c>
      <c r="I97" s="11" t="str">
        <f>IFERROR(SUMPRODUCT((nCUENTA=1)*(nCURSO=A97)*(nASIG=B97)*(nAPTO="N"))/D97,"—")</f>
        <v>—</v>
      </c>
      <c r="J97" t="str" cm="1">
        <f t="array" ref="J97">IFERROR(_xlfn.MODE.SNGL(_xlfn._xlws.FILTER(nNOTA,(nCUENTA=1)*(nCURSO=A97)*(nASIG=B97)*(nAPTO="S"))),"—")</f>
        <v>—</v>
      </c>
      <c r="K97" t="str" cm="1">
        <f t="array" ref="K97">IFERROR(_xlfn.MODE.SNGL(_xlfn._xlws.FILTER(nNOTA,(nCUENTA=1)*(nCURSO=A97)*(nASIG=B97)*(nAPTO="N"))),"—")</f>
        <v>—</v>
      </c>
      <c r="L97">
        <f>SUMPRODUCT((nCUENTA=1)*(nCURSO=A97)*(nASIG=B97)*(nNOTA=1))</f>
        <v>0</v>
      </c>
      <c r="M97">
        <f>SUMPRODUCT((nCUENTA=1)*(nCURSO=A97)*(nASIG=B97)*(nNOTA=2))</f>
        <v>0</v>
      </c>
      <c r="N97">
        <f>SUMPRODUCT((nCUENTA=1)*(nCURSO=A97)*(nASIG=B97)*(nNOTA=3))</f>
        <v>0</v>
      </c>
      <c r="O97">
        <f>SUMPRODUCT((nCUENTA=1)*(nCURSO=A97)*(nASIG=B97)*(nNOTA=4))</f>
        <v>0</v>
      </c>
      <c r="P97">
        <f>SUMPRODUCT((nCUENTA=1)*(nCURSO=A97)*(nASIG=B97)*(nNOTA=5))</f>
        <v>0</v>
      </c>
      <c r="Q97">
        <f>SUMPRODUCT((nCUENTA=1)*(nCURSO=A97)*(nASIG=B97)*(nNOTA=6))</f>
        <v>0</v>
      </c>
      <c r="R97">
        <f>SUMPRODUCT((nCUENTA=1)*(nCURSO=A97)*(nASIG=B97)*(nNOTA=7))</f>
        <v>0</v>
      </c>
      <c r="S97">
        <f>SUMPRODUCT((nCUENTA=1)*(nCURSO=A97)*(nASIG=B97)*(nNOTA=8))</f>
        <v>0</v>
      </c>
      <c r="T97">
        <f>SUMPRODUCT((nCUENTA=1)*(nCURSO=A97)*(nASIG=B97)*(nNOTA=9))</f>
        <v>0</v>
      </c>
      <c r="U97">
        <f>SUMPRODUCT((nCUENTA=1)*(nCURSO=A97)*(nASIG=B97)*(nNOTA=10))</f>
        <v>0</v>
      </c>
    </row>
    <row r="98">
      <c r="A98" t="inlineStr">
        <is>
          <t xml:space="preserve">1EPM</t>
        </is>
      </c>
      <c r="B98" cm="1">
        <f t="array" ref="B98">IFERROR(INDEX(_xlfn._xlws.FILTER(CONFIG_ASIGNATURAS!$B$2:$B$91,(CONFIG_ASIGNATURAS!$G$2:$G$91="Sí")*ISNUMBER(SEARCH("1EPM",CONFIG_ASIGNATURAS!$C$2:$C$91))),15),"")</f>
      </c>
      <c r="C98">
        <f>IF(B98="","",IFERROR(VLOOKUP(B98,CONFIG_ASIGNATURAS!$B$2:$D$91,3,FALSE()),"Asignatura"))</f>
      </c>
      <c r="D98">
        <f>SUMPRODUCT((nCUENTA=1)*(nCURSO=A98)*(nASIG=B98))</f>
        <v>0</v>
      </c>
      <c r="E98" s="10" t="str">
        <f>IFERROR(SUMPRODUCT((nCUENTA=1)*(nCURSO=A98)*(nASIG=B98)*(nNOTA))/D98,"—")</f>
        <v>—</v>
      </c>
      <c r="F98" s="10" t="str" cm="1">
        <f t="array" ref="F98">IFERROR(_xlfn.STDEV.P(_xlfn._xlws.FILTER(nNOTA,(nCUENTA=1)*(nCURSO=A98)*(nASIG=B98))),"—")</f>
        <v>—</v>
      </c>
      <c r="G98" t="str" cm="1">
        <f t="array" ref="G98">IFERROR(_xlfn.MODE.SNGL(_xlfn._xlws.FILTER(nNOTA,(nCUENTA=1)*(nCURSO=A98)*(nASIG=B98))),"—")</f>
        <v>—</v>
      </c>
      <c r="H98" s="11" t="str">
        <f>IFERROR(SUMPRODUCT((nCUENTA=1)*(nCURSO=A98)*(nASIG=B98)*(nAPTO="S"))/D98,"—")</f>
        <v>—</v>
      </c>
      <c r="I98" s="11" t="str">
        <f>IFERROR(SUMPRODUCT((nCUENTA=1)*(nCURSO=A98)*(nASIG=B98)*(nAPTO="N"))/D98,"—")</f>
        <v>—</v>
      </c>
      <c r="J98" t="str" cm="1">
        <f t="array" ref="J98">IFERROR(_xlfn.MODE.SNGL(_xlfn._xlws.FILTER(nNOTA,(nCUENTA=1)*(nCURSO=A98)*(nASIG=B98)*(nAPTO="S"))),"—")</f>
        <v>—</v>
      </c>
      <c r="K98" t="str" cm="1">
        <f t="array" ref="K98">IFERROR(_xlfn.MODE.SNGL(_xlfn._xlws.FILTER(nNOTA,(nCUENTA=1)*(nCURSO=A98)*(nASIG=B98)*(nAPTO="N"))),"—")</f>
        <v>—</v>
      </c>
      <c r="L98">
        <f>SUMPRODUCT((nCUENTA=1)*(nCURSO=A98)*(nASIG=B98)*(nNOTA=1))</f>
        <v>0</v>
      </c>
      <c r="M98">
        <f>SUMPRODUCT((nCUENTA=1)*(nCURSO=A98)*(nASIG=B98)*(nNOTA=2))</f>
        <v>0</v>
      </c>
      <c r="N98">
        <f>SUMPRODUCT((nCUENTA=1)*(nCURSO=A98)*(nASIG=B98)*(nNOTA=3))</f>
        <v>0</v>
      </c>
      <c r="O98">
        <f>SUMPRODUCT((nCUENTA=1)*(nCURSO=A98)*(nASIG=B98)*(nNOTA=4))</f>
        <v>0</v>
      </c>
      <c r="P98">
        <f>SUMPRODUCT((nCUENTA=1)*(nCURSO=A98)*(nASIG=B98)*(nNOTA=5))</f>
        <v>0</v>
      </c>
      <c r="Q98">
        <f>SUMPRODUCT((nCUENTA=1)*(nCURSO=A98)*(nASIG=B98)*(nNOTA=6))</f>
        <v>0</v>
      </c>
      <c r="R98">
        <f>SUMPRODUCT((nCUENTA=1)*(nCURSO=A98)*(nASIG=B98)*(nNOTA=7))</f>
        <v>0</v>
      </c>
      <c r="S98">
        <f>SUMPRODUCT((nCUENTA=1)*(nCURSO=A98)*(nASIG=B98)*(nNOTA=8))</f>
        <v>0</v>
      </c>
      <c r="T98">
        <f>SUMPRODUCT((nCUENTA=1)*(nCURSO=A98)*(nASIG=B98)*(nNOTA=9))</f>
        <v>0</v>
      </c>
      <c r="U98">
        <f>SUMPRODUCT((nCUENTA=1)*(nCURSO=A98)*(nASIG=B98)*(nNOTA=10))</f>
        <v>0</v>
      </c>
    </row>
    <row r="99">
      <c r="A99" t="inlineStr">
        <is>
          <t xml:space="preserve">1EPM</t>
        </is>
      </c>
      <c r="B99" cm="1">
        <f t="array" ref="B99">IFERROR(INDEX(_xlfn._xlws.FILTER(CONFIG_ASIGNATURAS!$B$2:$B$91,(CONFIG_ASIGNATURAS!$G$2:$G$91="Sí")*ISNUMBER(SEARCH("1EPM",CONFIG_ASIGNATURAS!$C$2:$C$91))),16),"")</f>
      </c>
      <c r="C99">
        <f>IF(B99="","",IFERROR(VLOOKUP(B99,CONFIG_ASIGNATURAS!$B$2:$D$91,3,FALSE()),"Asignatura"))</f>
      </c>
      <c r="D99">
        <f>SUMPRODUCT((nCUENTA=1)*(nCURSO=A99)*(nASIG=B99))</f>
        <v>0</v>
      </c>
      <c r="E99" s="10" t="str">
        <f>IFERROR(SUMPRODUCT((nCUENTA=1)*(nCURSO=A99)*(nASIG=B99)*(nNOTA))/D99,"—")</f>
        <v>—</v>
      </c>
      <c r="F99" s="10" t="str" cm="1">
        <f t="array" ref="F99">IFERROR(_xlfn.STDEV.P(_xlfn._xlws.FILTER(nNOTA,(nCUENTA=1)*(nCURSO=A99)*(nASIG=B99))),"—")</f>
        <v>—</v>
      </c>
      <c r="G99" t="str" cm="1">
        <f t="array" ref="G99">IFERROR(_xlfn.MODE.SNGL(_xlfn._xlws.FILTER(nNOTA,(nCUENTA=1)*(nCURSO=A99)*(nASIG=B99))),"—")</f>
        <v>—</v>
      </c>
      <c r="H99" s="11" t="str">
        <f>IFERROR(SUMPRODUCT((nCUENTA=1)*(nCURSO=A99)*(nASIG=B99)*(nAPTO="S"))/D99,"—")</f>
        <v>—</v>
      </c>
      <c r="I99" s="11" t="str">
        <f>IFERROR(SUMPRODUCT((nCUENTA=1)*(nCURSO=A99)*(nASIG=B99)*(nAPTO="N"))/D99,"—")</f>
        <v>—</v>
      </c>
      <c r="J99" t="str" cm="1">
        <f t="array" ref="J99">IFERROR(_xlfn.MODE.SNGL(_xlfn._xlws.FILTER(nNOTA,(nCUENTA=1)*(nCURSO=A99)*(nASIG=B99)*(nAPTO="S"))),"—")</f>
        <v>—</v>
      </c>
      <c r="K99" t="str" cm="1">
        <f t="array" ref="K99">IFERROR(_xlfn.MODE.SNGL(_xlfn._xlws.FILTER(nNOTA,(nCUENTA=1)*(nCURSO=A99)*(nASIG=B99)*(nAPTO="N"))),"—")</f>
        <v>—</v>
      </c>
      <c r="L99">
        <f>SUMPRODUCT((nCUENTA=1)*(nCURSO=A99)*(nASIG=B99)*(nNOTA=1))</f>
        <v>0</v>
      </c>
      <c r="M99">
        <f>SUMPRODUCT((nCUENTA=1)*(nCURSO=A99)*(nASIG=B99)*(nNOTA=2))</f>
        <v>0</v>
      </c>
      <c r="N99">
        <f>SUMPRODUCT((nCUENTA=1)*(nCURSO=A99)*(nASIG=B99)*(nNOTA=3))</f>
        <v>0</v>
      </c>
      <c r="O99">
        <f>SUMPRODUCT((nCUENTA=1)*(nCURSO=A99)*(nASIG=B99)*(nNOTA=4))</f>
        <v>0</v>
      </c>
      <c r="P99">
        <f>SUMPRODUCT((nCUENTA=1)*(nCURSO=A99)*(nASIG=B99)*(nNOTA=5))</f>
        <v>0</v>
      </c>
      <c r="Q99">
        <f>SUMPRODUCT((nCUENTA=1)*(nCURSO=A99)*(nASIG=B99)*(nNOTA=6))</f>
        <v>0</v>
      </c>
      <c r="R99">
        <f>SUMPRODUCT((nCUENTA=1)*(nCURSO=A99)*(nASIG=B99)*(nNOTA=7))</f>
        <v>0</v>
      </c>
      <c r="S99">
        <f>SUMPRODUCT((nCUENTA=1)*(nCURSO=A99)*(nASIG=B99)*(nNOTA=8))</f>
        <v>0</v>
      </c>
      <c r="T99">
        <f>SUMPRODUCT((nCUENTA=1)*(nCURSO=A99)*(nASIG=B99)*(nNOTA=9))</f>
        <v>0</v>
      </c>
      <c r="U99">
        <f>SUMPRODUCT((nCUENTA=1)*(nCURSO=A99)*(nASIG=B99)*(nNOTA=10))</f>
        <v>0</v>
      </c>
    </row>
    <row r="100">
      <c r="A100" t="inlineStr">
        <is>
          <t xml:space="preserve">1EPM</t>
        </is>
      </c>
      <c r="B100" cm="1">
        <f t="array" ref="B100">IFERROR(INDEX(_xlfn._xlws.FILTER(CONFIG_ASIGNATURAS!$B$2:$B$91,(CONFIG_ASIGNATURAS!$G$2:$G$91="Sí")*ISNUMBER(SEARCH("1EPM",CONFIG_ASIGNATURAS!$C$2:$C$91))),17),"")</f>
      </c>
      <c r="C100">
        <f>IF(B100="","",IFERROR(VLOOKUP(B100,CONFIG_ASIGNATURAS!$B$2:$D$91,3,FALSE()),"Asignatura"))</f>
      </c>
      <c r="D100">
        <f>SUMPRODUCT((nCUENTA=1)*(nCURSO=A100)*(nASIG=B100))</f>
        <v>0</v>
      </c>
      <c r="E100" s="10" t="str">
        <f>IFERROR(SUMPRODUCT((nCUENTA=1)*(nCURSO=A100)*(nASIG=B100)*(nNOTA))/D100,"—")</f>
        <v>—</v>
      </c>
      <c r="F100" s="10" t="str" cm="1">
        <f t="array" ref="F100">IFERROR(_xlfn.STDEV.P(_xlfn._xlws.FILTER(nNOTA,(nCUENTA=1)*(nCURSO=A100)*(nASIG=B100))),"—")</f>
        <v>—</v>
      </c>
      <c r="G100" t="str" cm="1">
        <f t="array" ref="G100">IFERROR(_xlfn.MODE.SNGL(_xlfn._xlws.FILTER(nNOTA,(nCUENTA=1)*(nCURSO=A100)*(nASIG=B100))),"—")</f>
        <v>—</v>
      </c>
      <c r="H100" s="11" t="str">
        <f>IFERROR(SUMPRODUCT((nCUENTA=1)*(nCURSO=A100)*(nASIG=B100)*(nAPTO="S"))/D100,"—")</f>
        <v>—</v>
      </c>
      <c r="I100" s="11" t="str">
        <f>IFERROR(SUMPRODUCT((nCUENTA=1)*(nCURSO=A100)*(nASIG=B100)*(nAPTO="N"))/D100,"—")</f>
        <v>—</v>
      </c>
      <c r="J100" t="str" cm="1">
        <f t="array" ref="J100">IFERROR(_xlfn.MODE.SNGL(_xlfn._xlws.FILTER(nNOTA,(nCUENTA=1)*(nCURSO=A100)*(nASIG=B100)*(nAPTO="S"))),"—")</f>
        <v>—</v>
      </c>
      <c r="K100" t="str" cm="1">
        <f t="array" ref="K100">IFERROR(_xlfn.MODE.SNGL(_xlfn._xlws.FILTER(nNOTA,(nCUENTA=1)*(nCURSO=A100)*(nASIG=B100)*(nAPTO="N"))),"—")</f>
        <v>—</v>
      </c>
      <c r="L100">
        <f>SUMPRODUCT((nCUENTA=1)*(nCURSO=A100)*(nASIG=B100)*(nNOTA=1))</f>
        <v>0</v>
      </c>
      <c r="M100">
        <f>SUMPRODUCT((nCUENTA=1)*(nCURSO=A100)*(nASIG=B100)*(nNOTA=2))</f>
        <v>0</v>
      </c>
      <c r="N100">
        <f>SUMPRODUCT((nCUENTA=1)*(nCURSO=A100)*(nASIG=B100)*(nNOTA=3))</f>
        <v>0</v>
      </c>
      <c r="O100">
        <f>SUMPRODUCT((nCUENTA=1)*(nCURSO=A100)*(nASIG=B100)*(nNOTA=4))</f>
        <v>0</v>
      </c>
      <c r="P100">
        <f>SUMPRODUCT((nCUENTA=1)*(nCURSO=A100)*(nASIG=B100)*(nNOTA=5))</f>
        <v>0</v>
      </c>
      <c r="Q100">
        <f>SUMPRODUCT((nCUENTA=1)*(nCURSO=A100)*(nASIG=B100)*(nNOTA=6))</f>
        <v>0</v>
      </c>
      <c r="R100">
        <f>SUMPRODUCT((nCUENTA=1)*(nCURSO=A100)*(nASIG=B100)*(nNOTA=7))</f>
        <v>0</v>
      </c>
      <c r="S100">
        <f>SUMPRODUCT((nCUENTA=1)*(nCURSO=A100)*(nASIG=B100)*(nNOTA=8))</f>
        <v>0</v>
      </c>
      <c r="T100">
        <f>SUMPRODUCT((nCUENTA=1)*(nCURSO=A100)*(nASIG=B100)*(nNOTA=9))</f>
        <v>0</v>
      </c>
      <c r="U100">
        <f>SUMPRODUCT((nCUENTA=1)*(nCURSO=A100)*(nASIG=B100)*(nNOTA=10))</f>
        <v>0</v>
      </c>
    </row>
    <row r="101">
      <c r="A101" t="inlineStr">
        <is>
          <t xml:space="preserve">1EPM</t>
        </is>
      </c>
      <c r="B101" cm="1">
        <f t="array" ref="B101">IFERROR(INDEX(_xlfn._xlws.FILTER(CONFIG_ASIGNATURAS!$B$2:$B$91,(CONFIG_ASIGNATURAS!$G$2:$G$91="Sí")*ISNUMBER(SEARCH("1EPM",CONFIG_ASIGNATURAS!$C$2:$C$91))),18),"")</f>
      </c>
      <c r="C101">
        <f>IF(B101="","",IFERROR(VLOOKUP(B101,CONFIG_ASIGNATURAS!$B$2:$D$91,3,FALSE()),"Asignatura"))</f>
      </c>
      <c r="D101">
        <f>SUMPRODUCT((nCUENTA=1)*(nCURSO=A101)*(nASIG=B101))</f>
        <v>0</v>
      </c>
      <c r="E101" s="10" t="str">
        <f>IFERROR(SUMPRODUCT((nCUENTA=1)*(nCURSO=A101)*(nASIG=B101)*(nNOTA))/D101,"—")</f>
        <v>—</v>
      </c>
      <c r="F101" s="10" t="str" cm="1">
        <f t="array" ref="F101">IFERROR(_xlfn.STDEV.P(_xlfn._xlws.FILTER(nNOTA,(nCUENTA=1)*(nCURSO=A101)*(nASIG=B101))),"—")</f>
        <v>—</v>
      </c>
      <c r="G101" t="str" cm="1">
        <f t="array" ref="G101">IFERROR(_xlfn.MODE.SNGL(_xlfn._xlws.FILTER(nNOTA,(nCUENTA=1)*(nCURSO=A101)*(nASIG=B101))),"—")</f>
        <v>—</v>
      </c>
      <c r="H101" s="11" t="str">
        <f>IFERROR(SUMPRODUCT((nCUENTA=1)*(nCURSO=A101)*(nASIG=B101)*(nAPTO="S"))/D101,"—")</f>
        <v>—</v>
      </c>
      <c r="I101" s="11" t="str">
        <f>IFERROR(SUMPRODUCT((nCUENTA=1)*(nCURSO=A101)*(nASIG=B101)*(nAPTO="N"))/D101,"—")</f>
        <v>—</v>
      </c>
      <c r="J101" t="str" cm="1">
        <f t="array" ref="J101">IFERROR(_xlfn.MODE.SNGL(_xlfn._xlws.FILTER(nNOTA,(nCUENTA=1)*(nCURSO=A101)*(nASIG=B101)*(nAPTO="S"))),"—")</f>
        <v>—</v>
      </c>
      <c r="K101" t="str" cm="1">
        <f t="array" ref="K101">IFERROR(_xlfn.MODE.SNGL(_xlfn._xlws.FILTER(nNOTA,(nCUENTA=1)*(nCURSO=A101)*(nASIG=B101)*(nAPTO="N"))),"—")</f>
        <v>—</v>
      </c>
      <c r="L101">
        <f>SUMPRODUCT((nCUENTA=1)*(nCURSO=A101)*(nASIG=B101)*(nNOTA=1))</f>
        <v>0</v>
      </c>
      <c r="M101">
        <f>SUMPRODUCT((nCUENTA=1)*(nCURSO=A101)*(nASIG=B101)*(nNOTA=2))</f>
        <v>0</v>
      </c>
      <c r="N101">
        <f>SUMPRODUCT((nCUENTA=1)*(nCURSO=A101)*(nASIG=B101)*(nNOTA=3))</f>
        <v>0</v>
      </c>
      <c r="O101">
        <f>SUMPRODUCT((nCUENTA=1)*(nCURSO=A101)*(nASIG=B101)*(nNOTA=4))</f>
        <v>0</v>
      </c>
      <c r="P101">
        <f>SUMPRODUCT((nCUENTA=1)*(nCURSO=A101)*(nASIG=B101)*(nNOTA=5))</f>
        <v>0</v>
      </c>
      <c r="Q101">
        <f>SUMPRODUCT((nCUENTA=1)*(nCURSO=A101)*(nASIG=B101)*(nNOTA=6))</f>
        <v>0</v>
      </c>
      <c r="R101">
        <f>SUMPRODUCT((nCUENTA=1)*(nCURSO=A101)*(nASIG=B101)*(nNOTA=7))</f>
        <v>0</v>
      </c>
      <c r="S101">
        <f>SUMPRODUCT((nCUENTA=1)*(nCURSO=A101)*(nASIG=B101)*(nNOTA=8))</f>
        <v>0</v>
      </c>
      <c r="T101">
        <f>SUMPRODUCT((nCUENTA=1)*(nCURSO=A101)*(nASIG=B101)*(nNOTA=9))</f>
        <v>0</v>
      </c>
      <c r="U101">
        <f>SUMPRODUCT((nCUENTA=1)*(nCURSO=A101)*(nASIG=B101)*(nNOTA=10))</f>
        <v>0</v>
      </c>
    </row>
    <row r="102">
      <c r="A102" t="inlineStr">
        <is>
          <t xml:space="preserve">1EPM</t>
        </is>
      </c>
      <c r="B102" cm="1">
        <f t="array" ref="B102">IFERROR(INDEX(_xlfn._xlws.FILTER(CONFIG_ASIGNATURAS!$B$2:$B$91,(CONFIG_ASIGNATURAS!$G$2:$G$91="Sí")*ISNUMBER(SEARCH("1EPM",CONFIG_ASIGNATURAS!$C$2:$C$91))),19),"")</f>
      </c>
      <c r="C102">
        <f>IF(B102="","",IFERROR(VLOOKUP(B102,CONFIG_ASIGNATURAS!$B$2:$D$91,3,FALSE()),"Asignatura"))</f>
      </c>
      <c r="D102">
        <f>SUMPRODUCT((nCUENTA=1)*(nCURSO=A102)*(nASIG=B102))</f>
        <v>0</v>
      </c>
      <c r="E102" s="10" t="str">
        <f>IFERROR(SUMPRODUCT((nCUENTA=1)*(nCURSO=A102)*(nASIG=B102)*(nNOTA))/D102,"—")</f>
        <v>—</v>
      </c>
      <c r="F102" s="10" t="str" cm="1">
        <f t="array" ref="F102">IFERROR(_xlfn.STDEV.P(_xlfn._xlws.FILTER(nNOTA,(nCUENTA=1)*(nCURSO=A102)*(nASIG=B102))),"—")</f>
        <v>—</v>
      </c>
      <c r="G102" t="str" cm="1">
        <f t="array" ref="G102">IFERROR(_xlfn.MODE.SNGL(_xlfn._xlws.FILTER(nNOTA,(nCUENTA=1)*(nCURSO=A102)*(nASIG=B102))),"—")</f>
        <v>—</v>
      </c>
      <c r="H102" s="11" t="str">
        <f>IFERROR(SUMPRODUCT((nCUENTA=1)*(nCURSO=A102)*(nASIG=B102)*(nAPTO="S"))/D102,"—")</f>
        <v>—</v>
      </c>
      <c r="I102" s="11" t="str">
        <f>IFERROR(SUMPRODUCT((nCUENTA=1)*(nCURSO=A102)*(nASIG=B102)*(nAPTO="N"))/D102,"—")</f>
        <v>—</v>
      </c>
      <c r="J102" t="str" cm="1">
        <f t="array" ref="J102">IFERROR(_xlfn.MODE.SNGL(_xlfn._xlws.FILTER(nNOTA,(nCUENTA=1)*(nCURSO=A102)*(nASIG=B102)*(nAPTO="S"))),"—")</f>
        <v>—</v>
      </c>
      <c r="K102" t="str" cm="1">
        <f t="array" ref="K102">IFERROR(_xlfn.MODE.SNGL(_xlfn._xlws.FILTER(nNOTA,(nCUENTA=1)*(nCURSO=A102)*(nASIG=B102)*(nAPTO="N"))),"—")</f>
        <v>—</v>
      </c>
      <c r="L102">
        <f>SUMPRODUCT((nCUENTA=1)*(nCURSO=A102)*(nASIG=B102)*(nNOTA=1))</f>
        <v>0</v>
      </c>
      <c r="M102">
        <f>SUMPRODUCT((nCUENTA=1)*(nCURSO=A102)*(nASIG=B102)*(nNOTA=2))</f>
        <v>0</v>
      </c>
      <c r="N102">
        <f>SUMPRODUCT((nCUENTA=1)*(nCURSO=A102)*(nASIG=B102)*(nNOTA=3))</f>
        <v>0</v>
      </c>
      <c r="O102">
        <f>SUMPRODUCT((nCUENTA=1)*(nCURSO=A102)*(nASIG=B102)*(nNOTA=4))</f>
        <v>0</v>
      </c>
      <c r="P102">
        <f>SUMPRODUCT((nCUENTA=1)*(nCURSO=A102)*(nASIG=B102)*(nNOTA=5))</f>
        <v>0</v>
      </c>
      <c r="Q102">
        <f>SUMPRODUCT((nCUENTA=1)*(nCURSO=A102)*(nASIG=B102)*(nNOTA=6))</f>
        <v>0</v>
      </c>
      <c r="R102">
        <f>SUMPRODUCT((nCUENTA=1)*(nCURSO=A102)*(nASIG=B102)*(nNOTA=7))</f>
        <v>0</v>
      </c>
      <c r="S102">
        <f>SUMPRODUCT((nCUENTA=1)*(nCURSO=A102)*(nASIG=B102)*(nNOTA=8))</f>
        <v>0</v>
      </c>
      <c r="T102">
        <f>SUMPRODUCT((nCUENTA=1)*(nCURSO=A102)*(nASIG=B102)*(nNOTA=9))</f>
        <v>0</v>
      </c>
      <c r="U102">
        <f>SUMPRODUCT((nCUENTA=1)*(nCURSO=A102)*(nASIG=B102)*(nNOTA=10))</f>
        <v>0</v>
      </c>
    </row>
    <row r="103">
      <c r="A103" t="inlineStr">
        <is>
          <t xml:space="preserve">1EPM</t>
        </is>
      </c>
      <c r="B103" cm="1">
        <f t="array" ref="B103">IFERROR(INDEX(_xlfn._xlws.FILTER(CONFIG_ASIGNATURAS!$B$2:$B$91,(CONFIG_ASIGNATURAS!$G$2:$G$91="Sí")*ISNUMBER(SEARCH("1EPM",CONFIG_ASIGNATURAS!$C$2:$C$91))),20),"")</f>
      </c>
      <c r="C103">
        <f>IF(B103="","",IFERROR(VLOOKUP(B103,CONFIG_ASIGNATURAS!$B$2:$D$91,3,FALSE()),"Asignatura"))</f>
      </c>
      <c r="D103">
        <f>SUMPRODUCT((nCUENTA=1)*(nCURSO=A103)*(nASIG=B103))</f>
        <v>0</v>
      </c>
      <c r="E103" s="10" t="str">
        <f>IFERROR(SUMPRODUCT((nCUENTA=1)*(nCURSO=A103)*(nASIG=B103)*(nNOTA))/D103,"—")</f>
        <v>—</v>
      </c>
      <c r="F103" s="10" t="str" cm="1">
        <f t="array" ref="F103">IFERROR(_xlfn.STDEV.P(_xlfn._xlws.FILTER(nNOTA,(nCUENTA=1)*(nCURSO=A103)*(nASIG=B103))),"—")</f>
        <v>—</v>
      </c>
      <c r="G103" t="str" cm="1">
        <f t="array" ref="G103">IFERROR(_xlfn.MODE.SNGL(_xlfn._xlws.FILTER(nNOTA,(nCUENTA=1)*(nCURSO=A103)*(nASIG=B103))),"—")</f>
        <v>—</v>
      </c>
      <c r="H103" s="11" t="str">
        <f>IFERROR(SUMPRODUCT((nCUENTA=1)*(nCURSO=A103)*(nASIG=B103)*(nAPTO="S"))/D103,"—")</f>
        <v>—</v>
      </c>
      <c r="I103" s="11" t="str">
        <f>IFERROR(SUMPRODUCT((nCUENTA=1)*(nCURSO=A103)*(nASIG=B103)*(nAPTO="N"))/D103,"—")</f>
        <v>—</v>
      </c>
      <c r="J103" t="str" cm="1">
        <f t="array" ref="J103">IFERROR(_xlfn.MODE.SNGL(_xlfn._xlws.FILTER(nNOTA,(nCUENTA=1)*(nCURSO=A103)*(nASIG=B103)*(nAPTO="S"))),"—")</f>
        <v>—</v>
      </c>
      <c r="K103" t="str" cm="1">
        <f t="array" ref="K103">IFERROR(_xlfn.MODE.SNGL(_xlfn._xlws.FILTER(nNOTA,(nCUENTA=1)*(nCURSO=A103)*(nASIG=B103)*(nAPTO="N"))),"—")</f>
        <v>—</v>
      </c>
      <c r="L103">
        <f>SUMPRODUCT((nCUENTA=1)*(nCURSO=A103)*(nASIG=B103)*(nNOTA=1))</f>
        <v>0</v>
      </c>
      <c r="M103">
        <f>SUMPRODUCT((nCUENTA=1)*(nCURSO=A103)*(nASIG=B103)*(nNOTA=2))</f>
        <v>0</v>
      </c>
      <c r="N103">
        <f>SUMPRODUCT((nCUENTA=1)*(nCURSO=A103)*(nASIG=B103)*(nNOTA=3))</f>
        <v>0</v>
      </c>
      <c r="O103">
        <f>SUMPRODUCT((nCUENTA=1)*(nCURSO=A103)*(nASIG=B103)*(nNOTA=4))</f>
        <v>0</v>
      </c>
      <c r="P103">
        <f>SUMPRODUCT((nCUENTA=1)*(nCURSO=A103)*(nASIG=B103)*(nNOTA=5))</f>
        <v>0</v>
      </c>
      <c r="Q103">
        <f>SUMPRODUCT((nCUENTA=1)*(nCURSO=A103)*(nASIG=B103)*(nNOTA=6))</f>
        <v>0</v>
      </c>
      <c r="R103">
        <f>SUMPRODUCT((nCUENTA=1)*(nCURSO=A103)*(nASIG=B103)*(nNOTA=7))</f>
        <v>0</v>
      </c>
      <c r="S103">
        <f>SUMPRODUCT((nCUENTA=1)*(nCURSO=A103)*(nASIG=B103)*(nNOTA=8))</f>
        <v>0</v>
      </c>
      <c r="T103">
        <f>SUMPRODUCT((nCUENTA=1)*(nCURSO=A103)*(nASIG=B103)*(nNOTA=9))</f>
        <v>0</v>
      </c>
      <c r="U103">
        <f>SUMPRODUCT((nCUENTA=1)*(nCURSO=A103)*(nASIG=B103)*(nNOTA=10))</f>
        <v>0</v>
      </c>
    </row>
    <row r="104">
      <c r="A104" t="inlineStr">
        <is>
          <t xml:space="preserve">1EPM</t>
        </is>
      </c>
      <c r="B104" cm="1">
        <f t="array" ref="B104">IFERROR(INDEX(_xlfn._xlws.FILTER(CONFIG_ASIGNATURAS!$B$2:$B$91,(CONFIG_ASIGNATURAS!$G$2:$G$91="Sí")*ISNUMBER(SEARCH("1EPM",CONFIG_ASIGNATURAS!$C$2:$C$91))),21),"")</f>
      </c>
      <c r="C104">
        <f>IF(B104="","",IFERROR(VLOOKUP(B104,CONFIG_ASIGNATURAS!$B$2:$D$91,3,FALSE()),"Asignatura"))</f>
      </c>
      <c r="D104">
        <f>SUMPRODUCT((nCUENTA=1)*(nCURSO=A104)*(nASIG=B104))</f>
        <v>0</v>
      </c>
      <c r="E104" s="10" t="str">
        <f>IFERROR(SUMPRODUCT((nCUENTA=1)*(nCURSO=A104)*(nASIG=B104)*(nNOTA))/D104,"—")</f>
        <v>—</v>
      </c>
      <c r="F104" s="10" t="str" cm="1">
        <f t="array" ref="F104">IFERROR(_xlfn.STDEV.P(_xlfn._xlws.FILTER(nNOTA,(nCUENTA=1)*(nCURSO=A104)*(nASIG=B104))),"—")</f>
        <v>—</v>
      </c>
      <c r="G104" t="str" cm="1">
        <f t="array" ref="G104">IFERROR(_xlfn.MODE.SNGL(_xlfn._xlws.FILTER(nNOTA,(nCUENTA=1)*(nCURSO=A104)*(nASIG=B104))),"—")</f>
        <v>—</v>
      </c>
      <c r="H104" s="11" t="str">
        <f>IFERROR(SUMPRODUCT((nCUENTA=1)*(nCURSO=A104)*(nASIG=B104)*(nAPTO="S"))/D104,"—")</f>
        <v>—</v>
      </c>
      <c r="I104" s="11" t="str">
        <f>IFERROR(SUMPRODUCT((nCUENTA=1)*(nCURSO=A104)*(nASIG=B104)*(nAPTO="N"))/D104,"—")</f>
        <v>—</v>
      </c>
      <c r="J104" t="str" cm="1">
        <f t="array" ref="J104">IFERROR(_xlfn.MODE.SNGL(_xlfn._xlws.FILTER(nNOTA,(nCUENTA=1)*(nCURSO=A104)*(nASIG=B104)*(nAPTO="S"))),"—")</f>
        <v>—</v>
      </c>
      <c r="K104" t="str" cm="1">
        <f t="array" ref="K104">IFERROR(_xlfn.MODE.SNGL(_xlfn._xlws.FILTER(nNOTA,(nCUENTA=1)*(nCURSO=A104)*(nASIG=B104)*(nAPTO="N"))),"—")</f>
        <v>—</v>
      </c>
      <c r="L104">
        <f>SUMPRODUCT((nCUENTA=1)*(nCURSO=A104)*(nASIG=B104)*(nNOTA=1))</f>
        <v>0</v>
      </c>
      <c r="M104">
        <f>SUMPRODUCT((nCUENTA=1)*(nCURSO=A104)*(nASIG=B104)*(nNOTA=2))</f>
        <v>0</v>
      </c>
      <c r="N104">
        <f>SUMPRODUCT((nCUENTA=1)*(nCURSO=A104)*(nASIG=B104)*(nNOTA=3))</f>
        <v>0</v>
      </c>
      <c r="O104">
        <f>SUMPRODUCT((nCUENTA=1)*(nCURSO=A104)*(nASIG=B104)*(nNOTA=4))</f>
        <v>0</v>
      </c>
      <c r="P104">
        <f>SUMPRODUCT((nCUENTA=1)*(nCURSO=A104)*(nASIG=B104)*(nNOTA=5))</f>
        <v>0</v>
      </c>
      <c r="Q104">
        <f>SUMPRODUCT((nCUENTA=1)*(nCURSO=A104)*(nASIG=B104)*(nNOTA=6))</f>
        <v>0</v>
      </c>
      <c r="R104">
        <f>SUMPRODUCT((nCUENTA=1)*(nCURSO=A104)*(nASIG=B104)*(nNOTA=7))</f>
        <v>0</v>
      </c>
      <c r="S104">
        <f>SUMPRODUCT((nCUENTA=1)*(nCURSO=A104)*(nASIG=B104)*(nNOTA=8))</f>
        <v>0</v>
      </c>
      <c r="T104">
        <f>SUMPRODUCT((nCUENTA=1)*(nCURSO=A104)*(nASIG=B104)*(nNOTA=9))</f>
        <v>0</v>
      </c>
      <c r="U104">
        <f>SUMPRODUCT((nCUENTA=1)*(nCURSO=A104)*(nASIG=B104)*(nNOTA=10))</f>
        <v>0</v>
      </c>
    </row>
    <row r="105">
      <c r="A105" t="inlineStr">
        <is>
          <t xml:space="preserve">1EPM</t>
        </is>
      </c>
      <c r="B105" cm="1">
        <f t="array" ref="B105">IFERROR(INDEX(_xlfn._xlws.FILTER(CONFIG_ASIGNATURAS!$B$2:$B$91,(CONFIG_ASIGNATURAS!$G$2:$G$91="Sí")*ISNUMBER(SEARCH("1EPM",CONFIG_ASIGNATURAS!$C$2:$C$91))),22),"")</f>
      </c>
      <c r="C105">
        <f>IF(B105="","",IFERROR(VLOOKUP(B105,CONFIG_ASIGNATURAS!$B$2:$D$91,3,FALSE()),"Asignatura"))</f>
      </c>
      <c r="D105">
        <f>SUMPRODUCT((nCUENTA=1)*(nCURSO=A105)*(nASIG=B105))</f>
        <v>0</v>
      </c>
      <c r="E105" s="10" t="str">
        <f>IFERROR(SUMPRODUCT((nCUENTA=1)*(nCURSO=A105)*(nASIG=B105)*(nNOTA))/D105,"—")</f>
        <v>—</v>
      </c>
      <c r="F105" s="10" t="str" cm="1">
        <f t="array" ref="F105">IFERROR(_xlfn.STDEV.P(_xlfn._xlws.FILTER(nNOTA,(nCUENTA=1)*(nCURSO=A105)*(nASIG=B105))),"—")</f>
        <v>—</v>
      </c>
      <c r="G105" t="str" cm="1">
        <f t="array" ref="G105">IFERROR(_xlfn.MODE.SNGL(_xlfn._xlws.FILTER(nNOTA,(nCUENTA=1)*(nCURSO=A105)*(nASIG=B105))),"—")</f>
        <v>—</v>
      </c>
      <c r="H105" s="11" t="str">
        <f>IFERROR(SUMPRODUCT((nCUENTA=1)*(nCURSO=A105)*(nASIG=B105)*(nAPTO="S"))/D105,"—")</f>
        <v>—</v>
      </c>
      <c r="I105" s="11" t="str">
        <f>IFERROR(SUMPRODUCT((nCUENTA=1)*(nCURSO=A105)*(nASIG=B105)*(nAPTO="N"))/D105,"—")</f>
        <v>—</v>
      </c>
      <c r="J105" t="str" cm="1">
        <f t="array" ref="J105">IFERROR(_xlfn.MODE.SNGL(_xlfn._xlws.FILTER(nNOTA,(nCUENTA=1)*(nCURSO=A105)*(nASIG=B105)*(nAPTO="S"))),"—")</f>
        <v>—</v>
      </c>
      <c r="K105" t="str" cm="1">
        <f t="array" ref="K105">IFERROR(_xlfn.MODE.SNGL(_xlfn._xlws.FILTER(nNOTA,(nCUENTA=1)*(nCURSO=A105)*(nASIG=B105)*(nAPTO="N"))),"—")</f>
        <v>—</v>
      </c>
      <c r="L105">
        <f>SUMPRODUCT((nCUENTA=1)*(nCURSO=A105)*(nASIG=B105)*(nNOTA=1))</f>
        <v>0</v>
      </c>
      <c r="M105">
        <f>SUMPRODUCT((nCUENTA=1)*(nCURSO=A105)*(nASIG=B105)*(nNOTA=2))</f>
        <v>0</v>
      </c>
      <c r="N105">
        <f>SUMPRODUCT((nCUENTA=1)*(nCURSO=A105)*(nASIG=B105)*(nNOTA=3))</f>
        <v>0</v>
      </c>
      <c r="O105">
        <f>SUMPRODUCT((nCUENTA=1)*(nCURSO=A105)*(nASIG=B105)*(nNOTA=4))</f>
        <v>0</v>
      </c>
      <c r="P105">
        <f>SUMPRODUCT((nCUENTA=1)*(nCURSO=A105)*(nASIG=B105)*(nNOTA=5))</f>
        <v>0</v>
      </c>
      <c r="Q105">
        <f>SUMPRODUCT((nCUENTA=1)*(nCURSO=A105)*(nASIG=B105)*(nNOTA=6))</f>
        <v>0</v>
      </c>
      <c r="R105">
        <f>SUMPRODUCT((nCUENTA=1)*(nCURSO=A105)*(nASIG=B105)*(nNOTA=7))</f>
        <v>0</v>
      </c>
      <c r="S105">
        <f>SUMPRODUCT((nCUENTA=1)*(nCURSO=A105)*(nASIG=B105)*(nNOTA=8))</f>
        <v>0</v>
      </c>
      <c r="T105">
        <f>SUMPRODUCT((nCUENTA=1)*(nCURSO=A105)*(nASIG=B105)*(nNOTA=9))</f>
        <v>0</v>
      </c>
      <c r="U105">
        <f>SUMPRODUCT((nCUENTA=1)*(nCURSO=A105)*(nASIG=B105)*(nNOTA=10))</f>
        <v>0</v>
      </c>
    </row>
    <row r="106">
      <c r="A106" t="inlineStr">
        <is>
          <t xml:space="preserve">1EPM</t>
        </is>
      </c>
      <c r="B106" cm="1">
        <f t="array" ref="B106">IFERROR(INDEX(_xlfn._xlws.FILTER(CONFIG_ASIGNATURAS!$B$2:$B$91,(CONFIG_ASIGNATURAS!$G$2:$G$91="Sí")*ISNUMBER(SEARCH("1EPM",CONFIG_ASIGNATURAS!$C$2:$C$91))),23),"")</f>
      </c>
      <c r="C106">
        <f>IF(B106="","",IFERROR(VLOOKUP(B106,CONFIG_ASIGNATURAS!$B$2:$D$91,3,FALSE()),"Asignatura"))</f>
      </c>
      <c r="D106">
        <f>SUMPRODUCT((nCUENTA=1)*(nCURSO=A106)*(nASIG=B106))</f>
        <v>0</v>
      </c>
      <c r="E106" s="10" t="str">
        <f>IFERROR(SUMPRODUCT((nCUENTA=1)*(nCURSO=A106)*(nASIG=B106)*(nNOTA))/D106,"—")</f>
        <v>—</v>
      </c>
      <c r="F106" s="10" t="str" cm="1">
        <f t="array" ref="F106">IFERROR(_xlfn.STDEV.P(_xlfn._xlws.FILTER(nNOTA,(nCUENTA=1)*(nCURSO=A106)*(nASIG=B106))),"—")</f>
        <v>—</v>
      </c>
      <c r="G106" t="str" cm="1">
        <f t="array" ref="G106">IFERROR(_xlfn.MODE.SNGL(_xlfn._xlws.FILTER(nNOTA,(nCUENTA=1)*(nCURSO=A106)*(nASIG=B106))),"—")</f>
        <v>—</v>
      </c>
      <c r="H106" s="11" t="str">
        <f>IFERROR(SUMPRODUCT((nCUENTA=1)*(nCURSO=A106)*(nASIG=B106)*(nAPTO="S"))/D106,"—")</f>
        <v>—</v>
      </c>
      <c r="I106" s="11" t="str">
        <f>IFERROR(SUMPRODUCT((nCUENTA=1)*(nCURSO=A106)*(nASIG=B106)*(nAPTO="N"))/D106,"—")</f>
        <v>—</v>
      </c>
      <c r="J106" t="str" cm="1">
        <f t="array" ref="J106">IFERROR(_xlfn.MODE.SNGL(_xlfn._xlws.FILTER(nNOTA,(nCUENTA=1)*(nCURSO=A106)*(nASIG=B106)*(nAPTO="S"))),"—")</f>
        <v>—</v>
      </c>
      <c r="K106" t="str" cm="1">
        <f t="array" ref="K106">IFERROR(_xlfn.MODE.SNGL(_xlfn._xlws.FILTER(nNOTA,(nCUENTA=1)*(nCURSO=A106)*(nASIG=B106)*(nAPTO="N"))),"—")</f>
        <v>—</v>
      </c>
      <c r="L106">
        <f>SUMPRODUCT((nCUENTA=1)*(nCURSO=A106)*(nASIG=B106)*(nNOTA=1))</f>
        <v>0</v>
      </c>
      <c r="M106">
        <f>SUMPRODUCT((nCUENTA=1)*(nCURSO=A106)*(nASIG=B106)*(nNOTA=2))</f>
        <v>0</v>
      </c>
      <c r="N106">
        <f>SUMPRODUCT((nCUENTA=1)*(nCURSO=A106)*(nASIG=B106)*(nNOTA=3))</f>
        <v>0</v>
      </c>
      <c r="O106">
        <f>SUMPRODUCT((nCUENTA=1)*(nCURSO=A106)*(nASIG=B106)*(nNOTA=4))</f>
        <v>0</v>
      </c>
      <c r="P106">
        <f>SUMPRODUCT((nCUENTA=1)*(nCURSO=A106)*(nASIG=B106)*(nNOTA=5))</f>
        <v>0</v>
      </c>
      <c r="Q106">
        <f>SUMPRODUCT((nCUENTA=1)*(nCURSO=A106)*(nASIG=B106)*(nNOTA=6))</f>
        <v>0</v>
      </c>
      <c r="R106">
        <f>SUMPRODUCT((nCUENTA=1)*(nCURSO=A106)*(nASIG=B106)*(nNOTA=7))</f>
        <v>0</v>
      </c>
      <c r="S106">
        <f>SUMPRODUCT((nCUENTA=1)*(nCURSO=A106)*(nASIG=B106)*(nNOTA=8))</f>
        <v>0</v>
      </c>
      <c r="T106">
        <f>SUMPRODUCT((nCUENTA=1)*(nCURSO=A106)*(nASIG=B106)*(nNOTA=9))</f>
        <v>0</v>
      </c>
      <c r="U106">
        <f>SUMPRODUCT((nCUENTA=1)*(nCURSO=A106)*(nASIG=B106)*(nNOTA=10))</f>
        <v>0</v>
      </c>
    </row>
    <row r="107">
      <c r="A107" t="inlineStr">
        <is>
          <t xml:space="preserve">1EPM</t>
        </is>
      </c>
      <c r="B107" cm="1">
        <f t="array" ref="B107">IFERROR(INDEX(_xlfn._xlws.FILTER(CONFIG_ASIGNATURAS!$B$2:$B$91,(CONFIG_ASIGNATURAS!$G$2:$G$91="Sí")*ISNUMBER(SEARCH("1EPM",CONFIG_ASIGNATURAS!$C$2:$C$91))),24),"")</f>
      </c>
      <c r="C107">
        <f>IF(B107="","",IFERROR(VLOOKUP(B107,CONFIG_ASIGNATURAS!$B$2:$D$91,3,FALSE()),"Asignatura"))</f>
      </c>
      <c r="D107">
        <f>SUMPRODUCT((nCUENTA=1)*(nCURSO=A107)*(nASIG=B107))</f>
        <v>0</v>
      </c>
      <c r="E107" s="10" t="str">
        <f>IFERROR(SUMPRODUCT((nCUENTA=1)*(nCURSO=A107)*(nASIG=B107)*(nNOTA))/D107,"—")</f>
        <v>—</v>
      </c>
      <c r="F107" s="10" t="str" cm="1">
        <f t="array" ref="F107">IFERROR(_xlfn.STDEV.P(_xlfn._xlws.FILTER(nNOTA,(nCUENTA=1)*(nCURSO=A107)*(nASIG=B107))),"—")</f>
        <v>—</v>
      </c>
      <c r="G107" t="str" cm="1">
        <f t="array" ref="G107">IFERROR(_xlfn.MODE.SNGL(_xlfn._xlws.FILTER(nNOTA,(nCUENTA=1)*(nCURSO=A107)*(nASIG=B107))),"—")</f>
        <v>—</v>
      </c>
      <c r="H107" s="11" t="str">
        <f>IFERROR(SUMPRODUCT((nCUENTA=1)*(nCURSO=A107)*(nASIG=B107)*(nAPTO="S"))/D107,"—")</f>
        <v>—</v>
      </c>
      <c r="I107" s="11" t="str">
        <f>IFERROR(SUMPRODUCT((nCUENTA=1)*(nCURSO=A107)*(nASIG=B107)*(nAPTO="N"))/D107,"—")</f>
        <v>—</v>
      </c>
      <c r="J107" t="str" cm="1">
        <f t="array" ref="J107">IFERROR(_xlfn.MODE.SNGL(_xlfn._xlws.FILTER(nNOTA,(nCUENTA=1)*(nCURSO=A107)*(nASIG=B107)*(nAPTO="S"))),"—")</f>
        <v>—</v>
      </c>
      <c r="K107" t="str" cm="1">
        <f t="array" ref="K107">IFERROR(_xlfn.MODE.SNGL(_xlfn._xlws.FILTER(nNOTA,(nCUENTA=1)*(nCURSO=A107)*(nASIG=B107)*(nAPTO="N"))),"—")</f>
        <v>—</v>
      </c>
      <c r="L107">
        <f>SUMPRODUCT((nCUENTA=1)*(nCURSO=A107)*(nASIG=B107)*(nNOTA=1))</f>
        <v>0</v>
      </c>
      <c r="M107">
        <f>SUMPRODUCT((nCUENTA=1)*(nCURSO=A107)*(nASIG=B107)*(nNOTA=2))</f>
        <v>0</v>
      </c>
      <c r="N107">
        <f>SUMPRODUCT((nCUENTA=1)*(nCURSO=A107)*(nASIG=B107)*(nNOTA=3))</f>
        <v>0</v>
      </c>
      <c r="O107">
        <f>SUMPRODUCT((nCUENTA=1)*(nCURSO=A107)*(nASIG=B107)*(nNOTA=4))</f>
        <v>0</v>
      </c>
      <c r="P107">
        <f>SUMPRODUCT((nCUENTA=1)*(nCURSO=A107)*(nASIG=B107)*(nNOTA=5))</f>
        <v>0</v>
      </c>
      <c r="Q107">
        <f>SUMPRODUCT((nCUENTA=1)*(nCURSO=A107)*(nASIG=B107)*(nNOTA=6))</f>
        <v>0</v>
      </c>
      <c r="R107">
        <f>SUMPRODUCT((nCUENTA=1)*(nCURSO=A107)*(nASIG=B107)*(nNOTA=7))</f>
        <v>0</v>
      </c>
      <c r="S107">
        <f>SUMPRODUCT((nCUENTA=1)*(nCURSO=A107)*(nASIG=B107)*(nNOTA=8))</f>
        <v>0</v>
      </c>
      <c r="T107">
        <f>SUMPRODUCT((nCUENTA=1)*(nCURSO=A107)*(nASIG=B107)*(nNOTA=9))</f>
        <v>0</v>
      </c>
      <c r="U107">
        <f>SUMPRODUCT((nCUENTA=1)*(nCURSO=A107)*(nASIG=B107)*(nNOTA=10))</f>
        <v>0</v>
      </c>
    </row>
    <row r="108">
      <c r="A108" t="inlineStr">
        <is>
          <t xml:space="preserve">1EPM</t>
        </is>
      </c>
      <c r="B108" cm="1">
        <f t="array" ref="B108">IFERROR(INDEX(_xlfn._xlws.FILTER(CONFIG_ASIGNATURAS!$B$2:$B$91,(CONFIG_ASIGNATURAS!$G$2:$G$91="Sí")*ISNUMBER(SEARCH("1EPM",CONFIG_ASIGNATURAS!$C$2:$C$91))),25),"")</f>
      </c>
      <c r="C108">
        <f>IF(B108="","",IFERROR(VLOOKUP(B108,CONFIG_ASIGNATURAS!$B$2:$D$91,3,FALSE()),"Asignatura"))</f>
      </c>
      <c r="D108">
        <f>SUMPRODUCT((nCUENTA=1)*(nCURSO=A108)*(nASIG=B108))</f>
        <v>0</v>
      </c>
      <c r="E108" s="10" t="str">
        <f>IFERROR(SUMPRODUCT((nCUENTA=1)*(nCURSO=A108)*(nASIG=B108)*(nNOTA))/D108,"—")</f>
        <v>—</v>
      </c>
      <c r="F108" s="10" t="str" cm="1">
        <f t="array" ref="F108">IFERROR(_xlfn.STDEV.P(_xlfn._xlws.FILTER(nNOTA,(nCUENTA=1)*(nCURSO=A108)*(nASIG=B108))),"—")</f>
        <v>—</v>
      </c>
      <c r="G108" t="str" cm="1">
        <f t="array" ref="G108">IFERROR(_xlfn.MODE.SNGL(_xlfn._xlws.FILTER(nNOTA,(nCUENTA=1)*(nCURSO=A108)*(nASIG=B108))),"—")</f>
        <v>—</v>
      </c>
      <c r="H108" s="11" t="str">
        <f>IFERROR(SUMPRODUCT((nCUENTA=1)*(nCURSO=A108)*(nASIG=B108)*(nAPTO="S"))/D108,"—")</f>
        <v>—</v>
      </c>
      <c r="I108" s="11" t="str">
        <f>IFERROR(SUMPRODUCT((nCUENTA=1)*(nCURSO=A108)*(nASIG=B108)*(nAPTO="N"))/D108,"—")</f>
        <v>—</v>
      </c>
      <c r="J108" t="str" cm="1">
        <f t="array" ref="J108">IFERROR(_xlfn.MODE.SNGL(_xlfn._xlws.FILTER(nNOTA,(nCUENTA=1)*(nCURSO=A108)*(nASIG=B108)*(nAPTO="S"))),"—")</f>
        <v>—</v>
      </c>
      <c r="K108" t="str" cm="1">
        <f t="array" ref="K108">IFERROR(_xlfn.MODE.SNGL(_xlfn._xlws.FILTER(nNOTA,(nCUENTA=1)*(nCURSO=A108)*(nASIG=B108)*(nAPTO="N"))),"—")</f>
        <v>—</v>
      </c>
      <c r="L108">
        <f>SUMPRODUCT((nCUENTA=1)*(nCURSO=A108)*(nASIG=B108)*(nNOTA=1))</f>
        <v>0</v>
      </c>
      <c r="M108">
        <f>SUMPRODUCT((nCUENTA=1)*(nCURSO=A108)*(nASIG=B108)*(nNOTA=2))</f>
        <v>0</v>
      </c>
      <c r="N108">
        <f>SUMPRODUCT((nCUENTA=1)*(nCURSO=A108)*(nASIG=B108)*(nNOTA=3))</f>
        <v>0</v>
      </c>
      <c r="O108">
        <f>SUMPRODUCT((nCUENTA=1)*(nCURSO=A108)*(nASIG=B108)*(nNOTA=4))</f>
        <v>0</v>
      </c>
      <c r="P108">
        <f>SUMPRODUCT((nCUENTA=1)*(nCURSO=A108)*(nASIG=B108)*(nNOTA=5))</f>
        <v>0</v>
      </c>
      <c r="Q108">
        <f>SUMPRODUCT((nCUENTA=1)*(nCURSO=A108)*(nASIG=B108)*(nNOTA=6))</f>
        <v>0</v>
      </c>
      <c r="R108">
        <f>SUMPRODUCT((nCUENTA=1)*(nCURSO=A108)*(nASIG=B108)*(nNOTA=7))</f>
        <v>0</v>
      </c>
      <c r="S108">
        <f>SUMPRODUCT((nCUENTA=1)*(nCURSO=A108)*(nASIG=B108)*(nNOTA=8))</f>
        <v>0</v>
      </c>
      <c r="T108">
        <f>SUMPRODUCT((nCUENTA=1)*(nCURSO=A108)*(nASIG=B108)*(nNOTA=9))</f>
        <v>0</v>
      </c>
      <c r="U108">
        <f>SUMPRODUCT((nCUENTA=1)*(nCURSO=A108)*(nASIG=B108)*(nNOTA=10))</f>
        <v>0</v>
      </c>
    </row>
    <row r="109">
      <c r="A109" t="inlineStr">
        <is>
          <t xml:space="preserve">1EPM</t>
        </is>
      </c>
      <c r="B109" cm="1">
        <f t="array" ref="B109">IFERROR(INDEX(_xlfn._xlws.FILTER(CONFIG_ASIGNATURAS!$B$2:$B$91,(CONFIG_ASIGNATURAS!$G$2:$G$91="Sí")*ISNUMBER(SEARCH("1EPM",CONFIG_ASIGNATURAS!$C$2:$C$91))),26),"")</f>
      </c>
      <c r="C109">
        <f>IF(B109="","",IFERROR(VLOOKUP(B109,CONFIG_ASIGNATURAS!$B$2:$D$91,3,FALSE()),"Asignatura"))</f>
      </c>
      <c r="D109">
        <f>SUMPRODUCT((nCUENTA=1)*(nCURSO=A109)*(nASIG=B109))</f>
        <v>0</v>
      </c>
      <c r="E109" s="10" t="str">
        <f>IFERROR(SUMPRODUCT((nCUENTA=1)*(nCURSO=A109)*(nASIG=B109)*(nNOTA))/D109,"—")</f>
        <v>—</v>
      </c>
      <c r="F109" s="10" t="str" cm="1">
        <f t="array" ref="F109">IFERROR(_xlfn.STDEV.P(_xlfn._xlws.FILTER(nNOTA,(nCUENTA=1)*(nCURSO=A109)*(nASIG=B109))),"—")</f>
        <v>—</v>
      </c>
      <c r="G109" t="str" cm="1">
        <f t="array" ref="G109">IFERROR(_xlfn.MODE.SNGL(_xlfn._xlws.FILTER(nNOTA,(nCUENTA=1)*(nCURSO=A109)*(nASIG=B109))),"—")</f>
        <v>—</v>
      </c>
      <c r="H109" s="11" t="str">
        <f>IFERROR(SUMPRODUCT((nCUENTA=1)*(nCURSO=A109)*(nASIG=B109)*(nAPTO="S"))/D109,"—")</f>
        <v>—</v>
      </c>
      <c r="I109" s="11" t="str">
        <f>IFERROR(SUMPRODUCT((nCUENTA=1)*(nCURSO=A109)*(nASIG=B109)*(nAPTO="N"))/D109,"—")</f>
        <v>—</v>
      </c>
      <c r="J109" t="str" cm="1">
        <f t="array" ref="J109">IFERROR(_xlfn.MODE.SNGL(_xlfn._xlws.FILTER(nNOTA,(nCUENTA=1)*(nCURSO=A109)*(nASIG=B109)*(nAPTO="S"))),"—")</f>
        <v>—</v>
      </c>
      <c r="K109" t="str" cm="1">
        <f t="array" ref="K109">IFERROR(_xlfn.MODE.SNGL(_xlfn._xlws.FILTER(nNOTA,(nCUENTA=1)*(nCURSO=A109)*(nASIG=B109)*(nAPTO="N"))),"—")</f>
        <v>—</v>
      </c>
      <c r="L109">
        <f>SUMPRODUCT((nCUENTA=1)*(nCURSO=A109)*(nASIG=B109)*(nNOTA=1))</f>
        <v>0</v>
      </c>
      <c r="M109">
        <f>SUMPRODUCT((nCUENTA=1)*(nCURSO=A109)*(nASIG=B109)*(nNOTA=2))</f>
        <v>0</v>
      </c>
      <c r="N109">
        <f>SUMPRODUCT((nCUENTA=1)*(nCURSO=A109)*(nASIG=B109)*(nNOTA=3))</f>
        <v>0</v>
      </c>
      <c r="O109">
        <f>SUMPRODUCT((nCUENTA=1)*(nCURSO=A109)*(nASIG=B109)*(nNOTA=4))</f>
        <v>0</v>
      </c>
      <c r="P109">
        <f>SUMPRODUCT((nCUENTA=1)*(nCURSO=A109)*(nASIG=B109)*(nNOTA=5))</f>
        <v>0</v>
      </c>
      <c r="Q109">
        <f>SUMPRODUCT((nCUENTA=1)*(nCURSO=A109)*(nASIG=B109)*(nNOTA=6))</f>
        <v>0</v>
      </c>
      <c r="R109">
        <f>SUMPRODUCT((nCUENTA=1)*(nCURSO=A109)*(nASIG=B109)*(nNOTA=7))</f>
        <v>0</v>
      </c>
      <c r="S109">
        <f>SUMPRODUCT((nCUENTA=1)*(nCURSO=A109)*(nASIG=B109)*(nNOTA=8))</f>
        <v>0</v>
      </c>
      <c r="T109">
        <f>SUMPRODUCT((nCUENTA=1)*(nCURSO=A109)*(nASIG=B109)*(nNOTA=9))</f>
        <v>0</v>
      </c>
      <c r="U109">
        <f>SUMPRODUCT((nCUENTA=1)*(nCURSO=A109)*(nASIG=B109)*(nNOTA=10))</f>
        <v>0</v>
      </c>
    </row>
    <row r="110">
      <c r="A110" t="inlineStr">
        <is>
          <t xml:space="preserve">1EPM</t>
        </is>
      </c>
      <c r="B110" cm="1">
        <f t="array" ref="B110">IFERROR(INDEX(_xlfn._xlws.FILTER(CONFIG_ASIGNATURAS!$B$2:$B$91,(CONFIG_ASIGNATURAS!$G$2:$G$91="Sí")*ISNUMBER(SEARCH("1EPM",CONFIG_ASIGNATURAS!$C$2:$C$91))),27),"")</f>
      </c>
      <c r="C110">
        <f>IF(B110="","",IFERROR(VLOOKUP(B110,CONFIG_ASIGNATURAS!$B$2:$D$91,3,FALSE()),"Asignatura"))</f>
      </c>
      <c r="D110">
        <f>SUMPRODUCT((nCUENTA=1)*(nCURSO=A110)*(nASIG=B110))</f>
        <v>0</v>
      </c>
      <c r="E110" s="10" t="str">
        <f>IFERROR(SUMPRODUCT((nCUENTA=1)*(nCURSO=A110)*(nASIG=B110)*(nNOTA))/D110,"—")</f>
        <v>—</v>
      </c>
      <c r="F110" s="10" t="str" cm="1">
        <f t="array" ref="F110">IFERROR(_xlfn.STDEV.P(_xlfn._xlws.FILTER(nNOTA,(nCUENTA=1)*(nCURSO=A110)*(nASIG=B110))),"—")</f>
        <v>—</v>
      </c>
      <c r="G110" t="str" cm="1">
        <f t="array" ref="G110">IFERROR(_xlfn.MODE.SNGL(_xlfn._xlws.FILTER(nNOTA,(nCUENTA=1)*(nCURSO=A110)*(nASIG=B110))),"—")</f>
        <v>—</v>
      </c>
      <c r="H110" s="11" t="str">
        <f>IFERROR(SUMPRODUCT((nCUENTA=1)*(nCURSO=A110)*(nASIG=B110)*(nAPTO="S"))/D110,"—")</f>
        <v>—</v>
      </c>
      <c r="I110" s="11" t="str">
        <f>IFERROR(SUMPRODUCT((nCUENTA=1)*(nCURSO=A110)*(nASIG=B110)*(nAPTO="N"))/D110,"—")</f>
        <v>—</v>
      </c>
      <c r="J110" t="str" cm="1">
        <f t="array" ref="J110">IFERROR(_xlfn.MODE.SNGL(_xlfn._xlws.FILTER(nNOTA,(nCUENTA=1)*(nCURSO=A110)*(nASIG=B110)*(nAPTO="S"))),"—")</f>
        <v>—</v>
      </c>
      <c r="K110" t="str" cm="1">
        <f t="array" ref="K110">IFERROR(_xlfn.MODE.SNGL(_xlfn._xlws.FILTER(nNOTA,(nCUENTA=1)*(nCURSO=A110)*(nASIG=B110)*(nAPTO="N"))),"—")</f>
        <v>—</v>
      </c>
      <c r="L110">
        <f>SUMPRODUCT((nCUENTA=1)*(nCURSO=A110)*(nASIG=B110)*(nNOTA=1))</f>
        <v>0</v>
      </c>
      <c r="M110">
        <f>SUMPRODUCT((nCUENTA=1)*(nCURSO=A110)*(nASIG=B110)*(nNOTA=2))</f>
        <v>0</v>
      </c>
      <c r="N110">
        <f>SUMPRODUCT((nCUENTA=1)*(nCURSO=A110)*(nASIG=B110)*(nNOTA=3))</f>
        <v>0</v>
      </c>
      <c r="O110">
        <f>SUMPRODUCT((nCUENTA=1)*(nCURSO=A110)*(nASIG=B110)*(nNOTA=4))</f>
        <v>0</v>
      </c>
      <c r="P110">
        <f>SUMPRODUCT((nCUENTA=1)*(nCURSO=A110)*(nASIG=B110)*(nNOTA=5))</f>
        <v>0</v>
      </c>
      <c r="Q110">
        <f>SUMPRODUCT((nCUENTA=1)*(nCURSO=A110)*(nASIG=B110)*(nNOTA=6))</f>
        <v>0</v>
      </c>
      <c r="R110">
        <f>SUMPRODUCT((nCUENTA=1)*(nCURSO=A110)*(nASIG=B110)*(nNOTA=7))</f>
        <v>0</v>
      </c>
      <c r="S110">
        <f>SUMPRODUCT((nCUENTA=1)*(nCURSO=A110)*(nASIG=B110)*(nNOTA=8))</f>
        <v>0</v>
      </c>
      <c r="T110">
        <f>SUMPRODUCT((nCUENTA=1)*(nCURSO=A110)*(nASIG=B110)*(nNOTA=9))</f>
        <v>0</v>
      </c>
      <c r="U110">
        <f>SUMPRODUCT((nCUENTA=1)*(nCURSO=A110)*(nASIG=B110)*(nNOTA=10))</f>
        <v>0</v>
      </c>
    </row>
    <row r="111">
      <c r="A111" t="inlineStr">
        <is>
          <t xml:space="preserve">1EPM</t>
        </is>
      </c>
      <c r="B111" cm="1">
        <f t="array" ref="B111">IFERROR(INDEX(_xlfn._xlws.FILTER(CONFIG_ASIGNATURAS!$B$2:$B$91,(CONFIG_ASIGNATURAS!$G$2:$G$91="Sí")*ISNUMBER(SEARCH("1EPM",CONFIG_ASIGNATURAS!$C$2:$C$91))),28),"")</f>
      </c>
      <c r="C111">
        <f>IF(B111="","",IFERROR(VLOOKUP(B111,CONFIG_ASIGNATURAS!$B$2:$D$91,3,FALSE()),"Asignatura"))</f>
      </c>
      <c r="D111">
        <f>SUMPRODUCT((nCUENTA=1)*(nCURSO=A111)*(nASIG=B111))</f>
        <v>0</v>
      </c>
      <c r="E111" s="10" t="str">
        <f>IFERROR(SUMPRODUCT((nCUENTA=1)*(nCURSO=A111)*(nASIG=B111)*(nNOTA))/D111,"—")</f>
        <v>—</v>
      </c>
      <c r="F111" s="10" t="str" cm="1">
        <f t="array" ref="F111">IFERROR(_xlfn.STDEV.P(_xlfn._xlws.FILTER(nNOTA,(nCUENTA=1)*(nCURSO=A111)*(nASIG=B111))),"—")</f>
        <v>—</v>
      </c>
      <c r="G111" t="str" cm="1">
        <f t="array" ref="G111">IFERROR(_xlfn.MODE.SNGL(_xlfn._xlws.FILTER(nNOTA,(nCUENTA=1)*(nCURSO=A111)*(nASIG=B111))),"—")</f>
        <v>—</v>
      </c>
      <c r="H111" s="11" t="str">
        <f>IFERROR(SUMPRODUCT((nCUENTA=1)*(nCURSO=A111)*(nASIG=B111)*(nAPTO="S"))/D111,"—")</f>
        <v>—</v>
      </c>
      <c r="I111" s="11" t="str">
        <f>IFERROR(SUMPRODUCT((nCUENTA=1)*(nCURSO=A111)*(nASIG=B111)*(nAPTO="N"))/D111,"—")</f>
        <v>—</v>
      </c>
      <c r="J111" t="str" cm="1">
        <f t="array" ref="J111">IFERROR(_xlfn.MODE.SNGL(_xlfn._xlws.FILTER(nNOTA,(nCUENTA=1)*(nCURSO=A111)*(nASIG=B111)*(nAPTO="S"))),"—")</f>
        <v>—</v>
      </c>
      <c r="K111" t="str" cm="1">
        <f t="array" ref="K111">IFERROR(_xlfn.MODE.SNGL(_xlfn._xlws.FILTER(nNOTA,(nCUENTA=1)*(nCURSO=A111)*(nASIG=B111)*(nAPTO="N"))),"—")</f>
        <v>—</v>
      </c>
      <c r="L111">
        <f>SUMPRODUCT((nCUENTA=1)*(nCURSO=A111)*(nASIG=B111)*(nNOTA=1))</f>
        <v>0</v>
      </c>
      <c r="M111">
        <f>SUMPRODUCT((nCUENTA=1)*(nCURSO=A111)*(nASIG=B111)*(nNOTA=2))</f>
        <v>0</v>
      </c>
      <c r="N111">
        <f>SUMPRODUCT((nCUENTA=1)*(nCURSO=A111)*(nASIG=B111)*(nNOTA=3))</f>
        <v>0</v>
      </c>
      <c r="O111">
        <f>SUMPRODUCT((nCUENTA=1)*(nCURSO=A111)*(nASIG=B111)*(nNOTA=4))</f>
        <v>0</v>
      </c>
      <c r="P111">
        <f>SUMPRODUCT((nCUENTA=1)*(nCURSO=A111)*(nASIG=B111)*(nNOTA=5))</f>
        <v>0</v>
      </c>
      <c r="Q111">
        <f>SUMPRODUCT((nCUENTA=1)*(nCURSO=A111)*(nASIG=B111)*(nNOTA=6))</f>
        <v>0</v>
      </c>
      <c r="R111">
        <f>SUMPRODUCT((nCUENTA=1)*(nCURSO=A111)*(nASIG=B111)*(nNOTA=7))</f>
        <v>0</v>
      </c>
      <c r="S111">
        <f>SUMPRODUCT((nCUENTA=1)*(nCURSO=A111)*(nASIG=B111)*(nNOTA=8))</f>
        <v>0</v>
      </c>
      <c r="T111">
        <f>SUMPRODUCT((nCUENTA=1)*(nCURSO=A111)*(nASIG=B111)*(nNOTA=9))</f>
        <v>0</v>
      </c>
      <c r="U111">
        <f>SUMPRODUCT((nCUENTA=1)*(nCURSO=A111)*(nASIG=B111)*(nNOTA=10))</f>
        <v>0</v>
      </c>
    </row>
    <row r="112">
      <c r="A112" t="inlineStr">
        <is>
          <t xml:space="preserve">1EPM</t>
        </is>
      </c>
      <c r="B112" cm="1">
        <f t="array" ref="B112">IFERROR(INDEX(_xlfn._xlws.FILTER(CONFIG_ASIGNATURAS!$B$2:$B$91,(CONFIG_ASIGNATURAS!$G$2:$G$91="Sí")*ISNUMBER(SEARCH("1EPM",CONFIG_ASIGNATURAS!$C$2:$C$91))),29),"")</f>
      </c>
      <c r="C112">
        <f>IF(B112="","",IFERROR(VLOOKUP(B112,CONFIG_ASIGNATURAS!$B$2:$D$91,3,FALSE()),"Asignatura"))</f>
      </c>
      <c r="D112">
        <f>SUMPRODUCT((nCUENTA=1)*(nCURSO=A112)*(nASIG=B112))</f>
        <v>0</v>
      </c>
      <c r="E112" s="10" t="str">
        <f>IFERROR(SUMPRODUCT((nCUENTA=1)*(nCURSO=A112)*(nASIG=B112)*(nNOTA))/D112,"—")</f>
        <v>—</v>
      </c>
      <c r="F112" s="10" t="str" cm="1">
        <f t="array" ref="F112">IFERROR(_xlfn.STDEV.P(_xlfn._xlws.FILTER(nNOTA,(nCUENTA=1)*(nCURSO=A112)*(nASIG=B112))),"—")</f>
        <v>—</v>
      </c>
      <c r="G112" t="str" cm="1">
        <f t="array" ref="G112">IFERROR(_xlfn.MODE.SNGL(_xlfn._xlws.FILTER(nNOTA,(nCUENTA=1)*(nCURSO=A112)*(nASIG=B112))),"—")</f>
        <v>—</v>
      </c>
      <c r="H112" s="11" t="str">
        <f>IFERROR(SUMPRODUCT((nCUENTA=1)*(nCURSO=A112)*(nASIG=B112)*(nAPTO="S"))/D112,"—")</f>
        <v>—</v>
      </c>
      <c r="I112" s="11" t="str">
        <f>IFERROR(SUMPRODUCT((nCUENTA=1)*(nCURSO=A112)*(nASIG=B112)*(nAPTO="N"))/D112,"—")</f>
        <v>—</v>
      </c>
      <c r="J112" t="str" cm="1">
        <f t="array" ref="J112">IFERROR(_xlfn.MODE.SNGL(_xlfn._xlws.FILTER(nNOTA,(nCUENTA=1)*(nCURSO=A112)*(nASIG=B112)*(nAPTO="S"))),"—")</f>
        <v>—</v>
      </c>
      <c r="K112" t="str" cm="1">
        <f t="array" ref="K112">IFERROR(_xlfn.MODE.SNGL(_xlfn._xlws.FILTER(nNOTA,(nCUENTA=1)*(nCURSO=A112)*(nASIG=B112)*(nAPTO="N"))),"—")</f>
        <v>—</v>
      </c>
      <c r="L112">
        <f>SUMPRODUCT((nCUENTA=1)*(nCURSO=A112)*(nASIG=B112)*(nNOTA=1))</f>
        <v>0</v>
      </c>
      <c r="M112">
        <f>SUMPRODUCT((nCUENTA=1)*(nCURSO=A112)*(nASIG=B112)*(nNOTA=2))</f>
        <v>0</v>
      </c>
      <c r="N112">
        <f>SUMPRODUCT((nCUENTA=1)*(nCURSO=A112)*(nASIG=B112)*(nNOTA=3))</f>
        <v>0</v>
      </c>
      <c r="O112">
        <f>SUMPRODUCT((nCUENTA=1)*(nCURSO=A112)*(nASIG=B112)*(nNOTA=4))</f>
        <v>0</v>
      </c>
      <c r="P112">
        <f>SUMPRODUCT((nCUENTA=1)*(nCURSO=A112)*(nASIG=B112)*(nNOTA=5))</f>
        <v>0</v>
      </c>
      <c r="Q112">
        <f>SUMPRODUCT((nCUENTA=1)*(nCURSO=A112)*(nASIG=B112)*(nNOTA=6))</f>
        <v>0</v>
      </c>
      <c r="R112">
        <f>SUMPRODUCT((nCUENTA=1)*(nCURSO=A112)*(nASIG=B112)*(nNOTA=7))</f>
        <v>0</v>
      </c>
      <c r="S112">
        <f>SUMPRODUCT((nCUENTA=1)*(nCURSO=A112)*(nASIG=B112)*(nNOTA=8))</f>
        <v>0</v>
      </c>
      <c r="T112">
        <f>SUMPRODUCT((nCUENTA=1)*(nCURSO=A112)*(nASIG=B112)*(nNOTA=9))</f>
        <v>0</v>
      </c>
      <c r="U112">
        <f>SUMPRODUCT((nCUENTA=1)*(nCURSO=A112)*(nASIG=B112)*(nNOTA=10))</f>
        <v>0</v>
      </c>
    </row>
    <row r="113">
      <c r="A113" t="inlineStr">
        <is>
          <t xml:space="preserve">1EPM</t>
        </is>
      </c>
      <c r="B113" cm="1">
        <f t="array" ref="B113">IFERROR(INDEX(_xlfn._xlws.FILTER(CONFIG_ASIGNATURAS!$B$2:$B$91,(CONFIG_ASIGNATURAS!$G$2:$G$91="Sí")*ISNUMBER(SEARCH("1EPM",CONFIG_ASIGNATURAS!$C$2:$C$91))),30),"")</f>
      </c>
      <c r="C113">
        <f>IF(B113="","",IFERROR(VLOOKUP(B113,CONFIG_ASIGNATURAS!$B$2:$D$91,3,FALSE()),"Asignatura"))</f>
      </c>
      <c r="D113">
        <f>SUMPRODUCT((nCUENTA=1)*(nCURSO=A113)*(nASIG=B113))</f>
        <v>0</v>
      </c>
      <c r="E113" s="10" t="str">
        <f>IFERROR(SUMPRODUCT((nCUENTA=1)*(nCURSO=A113)*(nASIG=B113)*(nNOTA))/D113,"—")</f>
        <v>—</v>
      </c>
      <c r="F113" s="10" t="str" cm="1">
        <f t="array" ref="F113">IFERROR(_xlfn.STDEV.P(_xlfn._xlws.FILTER(nNOTA,(nCUENTA=1)*(nCURSO=A113)*(nASIG=B113))),"—")</f>
        <v>—</v>
      </c>
      <c r="G113" t="str" cm="1">
        <f t="array" ref="G113">IFERROR(_xlfn.MODE.SNGL(_xlfn._xlws.FILTER(nNOTA,(nCUENTA=1)*(nCURSO=A113)*(nASIG=B113))),"—")</f>
        <v>—</v>
      </c>
      <c r="H113" s="11" t="str">
        <f>IFERROR(SUMPRODUCT((nCUENTA=1)*(nCURSO=A113)*(nASIG=B113)*(nAPTO="S"))/D113,"—")</f>
        <v>—</v>
      </c>
      <c r="I113" s="11" t="str">
        <f>IFERROR(SUMPRODUCT((nCUENTA=1)*(nCURSO=A113)*(nASIG=B113)*(nAPTO="N"))/D113,"—")</f>
        <v>—</v>
      </c>
      <c r="J113" t="str" cm="1">
        <f t="array" ref="J113">IFERROR(_xlfn.MODE.SNGL(_xlfn._xlws.FILTER(nNOTA,(nCUENTA=1)*(nCURSO=A113)*(nASIG=B113)*(nAPTO="S"))),"—")</f>
        <v>—</v>
      </c>
      <c r="K113" t="str" cm="1">
        <f t="array" ref="K113">IFERROR(_xlfn.MODE.SNGL(_xlfn._xlws.FILTER(nNOTA,(nCUENTA=1)*(nCURSO=A113)*(nASIG=B113)*(nAPTO="N"))),"—")</f>
        <v>—</v>
      </c>
      <c r="L113">
        <f>SUMPRODUCT((nCUENTA=1)*(nCURSO=A113)*(nASIG=B113)*(nNOTA=1))</f>
        <v>0</v>
      </c>
      <c r="M113">
        <f>SUMPRODUCT((nCUENTA=1)*(nCURSO=A113)*(nASIG=B113)*(nNOTA=2))</f>
        <v>0</v>
      </c>
      <c r="N113">
        <f>SUMPRODUCT((nCUENTA=1)*(nCURSO=A113)*(nASIG=B113)*(nNOTA=3))</f>
        <v>0</v>
      </c>
      <c r="O113">
        <f>SUMPRODUCT((nCUENTA=1)*(nCURSO=A113)*(nASIG=B113)*(nNOTA=4))</f>
        <v>0</v>
      </c>
      <c r="P113">
        <f>SUMPRODUCT((nCUENTA=1)*(nCURSO=A113)*(nASIG=B113)*(nNOTA=5))</f>
        <v>0</v>
      </c>
      <c r="Q113">
        <f>SUMPRODUCT((nCUENTA=1)*(nCURSO=A113)*(nASIG=B113)*(nNOTA=6))</f>
        <v>0</v>
      </c>
      <c r="R113">
        <f>SUMPRODUCT((nCUENTA=1)*(nCURSO=A113)*(nASIG=B113)*(nNOTA=7))</f>
        <v>0</v>
      </c>
      <c r="S113">
        <f>SUMPRODUCT((nCUENTA=1)*(nCURSO=A113)*(nASIG=B113)*(nNOTA=8))</f>
        <v>0</v>
      </c>
      <c r="T113">
        <f>SUMPRODUCT((nCUENTA=1)*(nCURSO=A113)*(nASIG=B113)*(nNOTA=9))</f>
        <v>0</v>
      </c>
      <c r="U113">
        <f>SUMPRODUCT((nCUENTA=1)*(nCURSO=A113)*(nASIG=B113)*(nNOTA=10))</f>
        <v>0</v>
      </c>
    </row>
    <row r="114">
      <c r="A114" t="inlineStr">
        <is>
          <t xml:space="preserve">1EPM</t>
        </is>
      </c>
      <c r="B114" cm="1">
        <f t="array" ref="B114">IFERROR(INDEX(_xlfn._xlws.FILTER(CONFIG_ASIGNATURAS!$B$2:$B$91,(CONFIG_ASIGNATURAS!$G$2:$G$91="Sí")*ISNUMBER(SEARCH("1EPM",CONFIG_ASIGNATURAS!$C$2:$C$91))),31),"")</f>
      </c>
      <c r="C114">
        <f>IF(B114="","",IFERROR(VLOOKUP(B114,CONFIG_ASIGNATURAS!$B$2:$D$91,3,FALSE()),"Asignatura"))</f>
      </c>
      <c r="D114">
        <f>SUMPRODUCT((nCUENTA=1)*(nCURSO=A114)*(nASIG=B114))</f>
        <v>0</v>
      </c>
      <c r="E114" s="10" t="str">
        <f>IFERROR(SUMPRODUCT((nCUENTA=1)*(nCURSO=A114)*(nASIG=B114)*(nNOTA))/D114,"—")</f>
        <v>—</v>
      </c>
      <c r="F114" s="10" t="str" cm="1">
        <f t="array" ref="F114">IFERROR(_xlfn.STDEV.P(_xlfn._xlws.FILTER(nNOTA,(nCUENTA=1)*(nCURSO=A114)*(nASIG=B114))),"—")</f>
        <v>—</v>
      </c>
      <c r="G114" t="str" cm="1">
        <f t="array" ref="G114">IFERROR(_xlfn.MODE.SNGL(_xlfn._xlws.FILTER(nNOTA,(nCUENTA=1)*(nCURSO=A114)*(nASIG=B114))),"—")</f>
        <v>—</v>
      </c>
      <c r="H114" s="11" t="str">
        <f>IFERROR(SUMPRODUCT((nCUENTA=1)*(nCURSO=A114)*(nASIG=B114)*(nAPTO="S"))/D114,"—")</f>
        <v>—</v>
      </c>
      <c r="I114" s="11" t="str">
        <f>IFERROR(SUMPRODUCT((nCUENTA=1)*(nCURSO=A114)*(nASIG=B114)*(nAPTO="N"))/D114,"—")</f>
        <v>—</v>
      </c>
      <c r="J114" t="str" cm="1">
        <f t="array" ref="J114">IFERROR(_xlfn.MODE.SNGL(_xlfn._xlws.FILTER(nNOTA,(nCUENTA=1)*(nCURSO=A114)*(nASIG=B114)*(nAPTO="S"))),"—")</f>
        <v>—</v>
      </c>
      <c r="K114" t="str" cm="1">
        <f t="array" ref="K114">IFERROR(_xlfn.MODE.SNGL(_xlfn._xlws.FILTER(nNOTA,(nCUENTA=1)*(nCURSO=A114)*(nASIG=B114)*(nAPTO="N"))),"—")</f>
        <v>—</v>
      </c>
      <c r="L114">
        <f>SUMPRODUCT((nCUENTA=1)*(nCURSO=A114)*(nASIG=B114)*(nNOTA=1))</f>
        <v>0</v>
      </c>
      <c r="M114">
        <f>SUMPRODUCT((nCUENTA=1)*(nCURSO=A114)*(nASIG=B114)*(nNOTA=2))</f>
        <v>0</v>
      </c>
      <c r="N114">
        <f>SUMPRODUCT((nCUENTA=1)*(nCURSO=A114)*(nASIG=B114)*(nNOTA=3))</f>
        <v>0</v>
      </c>
      <c r="O114">
        <f>SUMPRODUCT((nCUENTA=1)*(nCURSO=A114)*(nASIG=B114)*(nNOTA=4))</f>
        <v>0</v>
      </c>
      <c r="P114">
        <f>SUMPRODUCT((nCUENTA=1)*(nCURSO=A114)*(nASIG=B114)*(nNOTA=5))</f>
        <v>0</v>
      </c>
      <c r="Q114">
        <f>SUMPRODUCT((nCUENTA=1)*(nCURSO=A114)*(nASIG=B114)*(nNOTA=6))</f>
        <v>0</v>
      </c>
      <c r="R114">
        <f>SUMPRODUCT((nCUENTA=1)*(nCURSO=A114)*(nASIG=B114)*(nNOTA=7))</f>
        <v>0</v>
      </c>
      <c r="S114">
        <f>SUMPRODUCT((nCUENTA=1)*(nCURSO=A114)*(nASIG=B114)*(nNOTA=8))</f>
        <v>0</v>
      </c>
      <c r="T114">
        <f>SUMPRODUCT((nCUENTA=1)*(nCURSO=A114)*(nASIG=B114)*(nNOTA=9))</f>
        <v>0</v>
      </c>
      <c r="U114">
        <f>SUMPRODUCT((nCUENTA=1)*(nCURSO=A114)*(nASIG=B114)*(nNOTA=10))</f>
        <v>0</v>
      </c>
    </row>
    <row r="115">
      <c r="A115" t="inlineStr">
        <is>
          <t xml:space="preserve">1EPM</t>
        </is>
      </c>
      <c r="B115" cm="1">
        <f t="array" ref="B115">IFERROR(INDEX(_xlfn._xlws.FILTER(CONFIG_ASIGNATURAS!$B$2:$B$91,(CONFIG_ASIGNATURAS!$G$2:$G$91="Sí")*ISNUMBER(SEARCH("1EPM",CONFIG_ASIGNATURAS!$C$2:$C$91))),32),"")</f>
      </c>
      <c r="C115">
        <f>IF(B115="","",IFERROR(VLOOKUP(B115,CONFIG_ASIGNATURAS!$B$2:$D$91,3,FALSE()),"Asignatura"))</f>
      </c>
      <c r="D115">
        <f>SUMPRODUCT((nCUENTA=1)*(nCURSO=A115)*(nASIG=B115))</f>
        <v>0</v>
      </c>
      <c r="E115" s="10" t="str">
        <f>IFERROR(SUMPRODUCT((nCUENTA=1)*(nCURSO=A115)*(nASIG=B115)*(nNOTA))/D115,"—")</f>
        <v>—</v>
      </c>
      <c r="F115" s="10" t="str" cm="1">
        <f t="array" ref="F115">IFERROR(_xlfn.STDEV.P(_xlfn._xlws.FILTER(nNOTA,(nCUENTA=1)*(nCURSO=A115)*(nASIG=B115))),"—")</f>
        <v>—</v>
      </c>
      <c r="G115" t="str" cm="1">
        <f t="array" ref="G115">IFERROR(_xlfn.MODE.SNGL(_xlfn._xlws.FILTER(nNOTA,(nCUENTA=1)*(nCURSO=A115)*(nASIG=B115))),"—")</f>
        <v>—</v>
      </c>
      <c r="H115" s="11" t="str">
        <f>IFERROR(SUMPRODUCT((nCUENTA=1)*(nCURSO=A115)*(nASIG=B115)*(nAPTO="S"))/D115,"—")</f>
        <v>—</v>
      </c>
      <c r="I115" s="11" t="str">
        <f>IFERROR(SUMPRODUCT((nCUENTA=1)*(nCURSO=A115)*(nASIG=B115)*(nAPTO="N"))/D115,"—")</f>
        <v>—</v>
      </c>
      <c r="J115" t="str" cm="1">
        <f t="array" ref="J115">IFERROR(_xlfn.MODE.SNGL(_xlfn._xlws.FILTER(nNOTA,(nCUENTA=1)*(nCURSO=A115)*(nASIG=B115)*(nAPTO="S"))),"—")</f>
        <v>—</v>
      </c>
      <c r="K115" t="str" cm="1">
        <f t="array" ref="K115">IFERROR(_xlfn.MODE.SNGL(_xlfn._xlws.FILTER(nNOTA,(nCUENTA=1)*(nCURSO=A115)*(nASIG=B115)*(nAPTO="N"))),"—")</f>
        <v>—</v>
      </c>
      <c r="L115">
        <f>SUMPRODUCT((nCUENTA=1)*(nCURSO=A115)*(nASIG=B115)*(nNOTA=1))</f>
        <v>0</v>
      </c>
      <c r="M115">
        <f>SUMPRODUCT((nCUENTA=1)*(nCURSO=A115)*(nASIG=B115)*(nNOTA=2))</f>
        <v>0</v>
      </c>
      <c r="N115">
        <f>SUMPRODUCT((nCUENTA=1)*(nCURSO=A115)*(nASIG=B115)*(nNOTA=3))</f>
        <v>0</v>
      </c>
      <c r="O115">
        <f>SUMPRODUCT((nCUENTA=1)*(nCURSO=A115)*(nASIG=B115)*(nNOTA=4))</f>
        <v>0</v>
      </c>
      <c r="P115">
        <f>SUMPRODUCT((nCUENTA=1)*(nCURSO=A115)*(nASIG=B115)*(nNOTA=5))</f>
        <v>0</v>
      </c>
      <c r="Q115">
        <f>SUMPRODUCT((nCUENTA=1)*(nCURSO=A115)*(nASIG=B115)*(nNOTA=6))</f>
        <v>0</v>
      </c>
      <c r="R115">
        <f>SUMPRODUCT((nCUENTA=1)*(nCURSO=A115)*(nASIG=B115)*(nNOTA=7))</f>
        <v>0</v>
      </c>
      <c r="S115">
        <f>SUMPRODUCT((nCUENTA=1)*(nCURSO=A115)*(nASIG=B115)*(nNOTA=8))</f>
        <v>0</v>
      </c>
      <c r="T115">
        <f>SUMPRODUCT((nCUENTA=1)*(nCURSO=A115)*(nASIG=B115)*(nNOTA=9))</f>
        <v>0</v>
      </c>
      <c r="U115">
        <f>SUMPRODUCT((nCUENTA=1)*(nCURSO=A115)*(nASIG=B115)*(nNOTA=10))</f>
        <v>0</v>
      </c>
    </row>
    <row r="116">
      <c r="A116" t="inlineStr">
        <is>
          <t xml:space="preserve">1EPM</t>
        </is>
      </c>
      <c r="B116" cm="1">
        <f t="array" ref="B116">IFERROR(INDEX(_xlfn._xlws.FILTER(CONFIG_ASIGNATURAS!$B$2:$B$91,(CONFIG_ASIGNATURAS!$G$2:$G$91="Sí")*ISNUMBER(SEARCH("1EPM",CONFIG_ASIGNATURAS!$C$2:$C$91))),33),"")</f>
      </c>
      <c r="C116">
        <f>IF(B116="","",IFERROR(VLOOKUP(B116,CONFIG_ASIGNATURAS!$B$2:$D$91,3,FALSE()),"Asignatura"))</f>
      </c>
      <c r="D116">
        <f>SUMPRODUCT((nCUENTA=1)*(nCURSO=A116)*(nASIG=B116))</f>
        <v>0</v>
      </c>
      <c r="E116" s="10" t="str">
        <f>IFERROR(SUMPRODUCT((nCUENTA=1)*(nCURSO=A116)*(nASIG=B116)*(nNOTA))/D116,"—")</f>
        <v>—</v>
      </c>
      <c r="F116" s="10" t="str" cm="1">
        <f t="array" ref="F116">IFERROR(_xlfn.STDEV.P(_xlfn._xlws.FILTER(nNOTA,(nCUENTA=1)*(nCURSO=A116)*(nASIG=B116))),"—")</f>
        <v>—</v>
      </c>
      <c r="G116" t="str" cm="1">
        <f t="array" ref="G116">IFERROR(_xlfn.MODE.SNGL(_xlfn._xlws.FILTER(nNOTA,(nCUENTA=1)*(nCURSO=A116)*(nASIG=B116))),"—")</f>
        <v>—</v>
      </c>
      <c r="H116" s="11" t="str">
        <f>IFERROR(SUMPRODUCT((nCUENTA=1)*(nCURSO=A116)*(nASIG=B116)*(nAPTO="S"))/D116,"—")</f>
        <v>—</v>
      </c>
      <c r="I116" s="11" t="str">
        <f>IFERROR(SUMPRODUCT((nCUENTA=1)*(nCURSO=A116)*(nASIG=B116)*(nAPTO="N"))/D116,"—")</f>
        <v>—</v>
      </c>
      <c r="J116" t="str" cm="1">
        <f t="array" ref="J116">IFERROR(_xlfn.MODE.SNGL(_xlfn._xlws.FILTER(nNOTA,(nCUENTA=1)*(nCURSO=A116)*(nASIG=B116)*(nAPTO="S"))),"—")</f>
        <v>—</v>
      </c>
      <c r="K116" t="str" cm="1">
        <f t="array" ref="K116">IFERROR(_xlfn.MODE.SNGL(_xlfn._xlws.FILTER(nNOTA,(nCUENTA=1)*(nCURSO=A116)*(nASIG=B116)*(nAPTO="N"))),"—")</f>
        <v>—</v>
      </c>
      <c r="L116">
        <f>SUMPRODUCT((nCUENTA=1)*(nCURSO=A116)*(nASIG=B116)*(nNOTA=1))</f>
        <v>0</v>
      </c>
      <c r="M116">
        <f>SUMPRODUCT((nCUENTA=1)*(nCURSO=A116)*(nASIG=B116)*(nNOTA=2))</f>
        <v>0</v>
      </c>
      <c r="N116">
        <f>SUMPRODUCT((nCUENTA=1)*(nCURSO=A116)*(nASIG=B116)*(nNOTA=3))</f>
        <v>0</v>
      </c>
      <c r="O116">
        <f>SUMPRODUCT((nCUENTA=1)*(nCURSO=A116)*(nASIG=B116)*(nNOTA=4))</f>
        <v>0</v>
      </c>
      <c r="P116">
        <f>SUMPRODUCT((nCUENTA=1)*(nCURSO=A116)*(nASIG=B116)*(nNOTA=5))</f>
        <v>0</v>
      </c>
      <c r="Q116">
        <f>SUMPRODUCT((nCUENTA=1)*(nCURSO=A116)*(nASIG=B116)*(nNOTA=6))</f>
        <v>0</v>
      </c>
      <c r="R116">
        <f>SUMPRODUCT((nCUENTA=1)*(nCURSO=A116)*(nASIG=B116)*(nNOTA=7))</f>
        <v>0</v>
      </c>
      <c r="S116">
        <f>SUMPRODUCT((nCUENTA=1)*(nCURSO=A116)*(nASIG=B116)*(nNOTA=8))</f>
        <v>0</v>
      </c>
      <c r="T116">
        <f>SUMPRODUCT((nCUENTA=1)*(nCURSO=A116)*(nASIG=B116)*(nNOTA=9))</f>
        <v>0</v>
      </c>
      <c r="U116">
        <f>SUMPRODUCT((nCUENTA=1)*(nCURSO=A116)*(nASIG=B116)*(nNOTA=10))</f>
        <v>0</v>
      </c>
    </row>
    <row r="117">
      <c r="A117" t="inlineStr">
        <is>
          <t xml:space="preserve">1EPM</t>
        </is>
      </c>
      <c r="B117" cm="1">
        <f t="array" ref="B117">IFERROR(INDEX(_xlfn._xlws.FILTER(CONFIG_ASIGNATURAS!$B$2:$B$91,(CONFIG_ASIGNATURAS!$G$2:$G$91="Sí")*ISNUMBER(SEARCH("1EPM",CONFIG_ASIGNATURAS!$C$2:$C$91))),34),"")</f>
      </c>
      <c r="C117">
        <f>IF(B117="","",IFERROR(VLOOKUP(B117,CONFIG_ASIGNATURAS!$B$2:$D$91,3,FALSE()),"Asignatura"))</f>
      </c>
      <c r="D117">
        <f>SUMPRODUCT((nCUENTA=1)*(nCURSO=A117)*(nASIG=B117))</f>
        <v>0</v>
      </c>
      <c r="E117" s="10" t="str">
        <f>IFERROR(SUMPRODUCT((nCUENTA=1)*(nCURSO=A117)*(nASIG=B117)*(nNOTA))/D117,"—")</f>
        <v>—</v>
      </c>
      <c r="F117" s="10" t="str" cm="1">
        <f t="array" ref="F117">IFERROR(_xlfn.STDEV.P(_xlfn._xlws.FILTER(nNOTA,(nCUENTA=1)*(nCURSO=A117)*(nASIG=B117))),"—")</f>
        <v>—</v>
      </c>
      <c r="G117" t="str" cm="1">
        <f t="array" ref="G117">IFERROR(_xlfn.MODE.SNGL(_xlfn._xlws.FILTER(nNOTA,(nCUENTA=1)*(nCURSO=A117)*(nASIG=B117))),"—")</f>
        <v>—</v>
      </c>
      <c r="H117" s="11" t="str">
        <f>IFERROR(SUMPRODUCT((nCUENTA=1)*(nCURSO=A117)*(nASIG=B117)*(nAPTO="S"))/D117,"—")</f>
        <v>—</v>
      </c>
      <c r="I117" s="11" t="str">
        <f>IFERROR(SUMPRODUCT((nCUENTA=1)*(nCURSO=A117)*(nASIG=B117)*(nAPTO="N"))/D117,"—")</f>
        <v>—</v>
      </c>
      <c r="J117" t="str" cm="1">
        <f t="array" ref="J117">IFERROR(_xlfn.MODE.SNGL(_xlfn._xlws.FILTER(nNOTA,(nCUENTA=1)*(nCURSO=A117)*(nASIG=B117)*(nAPTO="S"))),"—")</f>
        <v>—</v>
      </c>
      <c r="K117" t="str" cm="1">
        <f t="array" ref="K117">IFERROR(_xlfn.MODE.SNGL(_xlfn._xlws.FILTER(nNOTA,(nCUENTA=1)*(nCURSO=A117)*(nASIG=B117)*(nAPTO="N"))),"—")</f>
        <v>—</v>
      </c>
      <c r="L117">
        <f>SUMPRODUCT((nCUENTA=1)*(nCURSO=A117)*(nASIG=B117)*(nNOTA=1))</f>
        <v>0</v>
      </c>
      <c r="M117">
        <f>SUMPRODUCT((nCUENTA=1)*(nCURSO=A117)*(nASIG=B117)*(nNOTA=2))</f>
        <v>0</v>
      </c>
      <c r="N117">
        <f>SUMPRODUCT((nCUENTA=1)*(nCURSO=A117)*(nASIG=B117)*(nNOTA=3))</f>
        <v>0</v>
      </c>
      <c r="O117">
        <f>SUMPRODUCT((nCUENTA=1)*(nCURSO=A117)*(nASIG=B117)*(nNOTA=4))</f>
        <v>0</v>
      </c>
      <c r="P117">
        <f>SUMPRODUCT((nCUENTA=1)*(nCURSO=A117)*(nASIG=B117)*(nNOTA=5))</f>
        <v>0</v>
      </c>
      <c r="Q117">
        <f>SUMPRODUCT((nCUENTA=1)*(nCURSO=A117)*(nASIG=B117)*(nNOTA=6))</f>
        <v>0</v>
      </c>
      <c r="R117">
        <f>SUMPRODUCT((nCUENTA=1)*(nCURSO=A117)*(nASIG=B117)*(nNOTA=7))</f>
        <v>0</v>
      </c>
      <c r="S117">
        <f>SUMPRODUCT((nCUENTA=1)*(nCURSO=A117)*(nASIG=B117)*(nNOTA=8))</f>
        <v>0</v>
      </c>
      <c r="T117">
        <f>SUMPRODUCT((nCUENTA=1)*(nCURSO=A117)*(nASIG=B117)*(nNOTA=9))</f>
        <v>0</v>
      </c>
      <c r="U117">
        <f>SUMPRODUCT((nCUENTA=1)*(nCURSO=A117)*(nASIG=B117)*(nNOTA=10))</f>
        <v>0</v>
      </c>
    </row>
    <row r="118">
      <c r="A118" t="inlineStr">
        <is>
          <t xml:space="preserve">1EPM</t>
        </is>
      </c>
      <c r="B118" cm="1">
        <f t="array" ref="B118">IFERROR(INDEX(_xlfn._xlws.FILTER(CONFIG_ASIGNATURAS!$B$2:$B$91,(CONFIG_ASIGNATURAS!$G$2:$G$91="Sí")*ISNUMBER(SEARCH("1EPM",CONFIG_ASIGNATURAS!$C$2:$C$91))),35),"")</f>
      </c>
      <c r="C118">
        <f>IF(B118="","",IFERROR(VLOOKUP(B118,CONFIG_ASIGNATURAS!$B$2:$D$91,3,FALSE()),"Asignatura"))</f>
      </c>
      <c r="D118">
        <f>SUMPRODUCT((nCUENTA=1)*(nCURSO=A118)*(nASIG=B118))</f>
        <v>0</v>
      </c>
      <c r="E118" s="10" t="str">
        <f>IFERROR(SUMPRODUCT((nCUENTA=1)*(nCURSO=A118)*(nASIG=B118)*(nNOTA))/D118,"—")</f>
        <v>—</v>
      </c>
      <c r="F118" s="10" t="str" cm="1">
        <f t="array" ref="F118">IFERROR(_xlfn.STDEV.P(_xlfn._xlws.FILTER(nNOTA,(nCUENTA=1)*(nCURSO=A118)*(nASIG=B118))),"—")</f>
        <v>—</v>
      </c>
      <c r="G118" t="str" cm="1">
        <f t="array" ref="G118">IFERROR(_xlfn.MODE.SNGL(_xlfn._xlws.FILTER(nNOTA,(nCUENTA=1)*(nCURSO=A118)*(nASIG=B118))),"—")</f>
        <v>—</v>
      </c>
      <c r="H118" s="11" t="str">
        <f>IFERROR(SUMPRODUCT((nCUENTA=1)*(nCURSO=A118)*(nASIG=B118)*(nAPTO="S"))/D118,"—")</f>
        <v>—</v>
      </c>
      <c r="I118" s="11" t="str">
        <f>IFERROR(SUMPRODUCT((nCUENTA=1)*(nCURSO=A118)*(nASIG=B118)*(nAPTO="N"))/D118,"—")</f>
        <v>—</v>
      </c>
      <c r="J118" t="str" cm="1">
        <f t="array" ref="J118">IFERROR(_xlfn.MODE.SNGL(_xlfn._xlws.FILTER(nNOTA,(nCUENTA=1)*(nCURSO=A118)*(nASIG=B118)*(nAPTO="S"))),"—")</f>
        <v>—</v>
      </c>
      <c r="K118" t="str" cm="1">
        <f t="array" ref="K118">IFERROR(_xlfn.MODE.SNGL(_xlfn._xlws.FILTER(nNOTA,(nCUENTA=1)*(nCURSO=A118)*(nASIG=B118)*(nAPTO="N"))),"—")</f>
        <v>—</v>
      </c>
      <c r="L118">
        <f>SUMPRODUCT((nCUENTA=1)*(nCURSO=A118)*(nASIG=B118)*(nNOTA=1))</f>
        <v>0</v>
      </c>
      <c r="M118">
        <f>SUMPRODUCT((nCUENTA=1)*(nCURSO=A118)*(nASIG=B118)*(nNOTA=2))</f>
        <v>0</v>
      </c>
      <c r="N118">
        <f>SUMPRODUCT((nCUENTA=1)*(nCURSO=A118)*(nASIG=B118)*(nNOTA=3))</f>
        <v>0</v>
      </c>
      <c r="O118">
        <f>SUMPRODUCT((nCUENTA=1)*(nCURSO=A118)*(nASIG=B118)*(nNOTA=4))</f>
        <v>0</v>
      </c>
      <c r="P118">
        <f>SUMPRODUCT((nCUENTA=1)*(nCURSO=A118)*(nASIG=B118)*(nNOTA=5))</f>
        <v>0</v>
      </c>
      <c r="Q118">
        <f>SUMPRODUCT((nCUENTA=1)*(nCURSO=A118)*(nASIG=B118)*(nNOTA=6))</f>
        <v>0</v>
      </c>
      <c r="R118">
        <f>SUMPRODUCT((nCUENTA=1)*(nCURSO=A118)*(nASIG=B118)*(nNOTA=7))</f>
        <v>0</v>
      </c>
      <c r="S118">
        <f>SUMPRODUCT((nCUENTA=1)*(nCURSO=A118)*(nASIG=B118)*(nNOTA=8))</f>
        <v>0</v>
      </c>
      <c r="T118">
        <f>SUMPRODUCT((nCUENTA=1)*(nCURSO=A118)*(nASIG=B118)*(nNOTA=9))</f>
        <v>0</v>
      </c>
      <c r="U118">
        <f>SUMPRODUCT((nCUENTA=1)*(nCURSO=A118)*(nASIG=B118)*(nNOTA=10))</f>
        <v>0</v>
      </c>
    </row>
    <row r="119">
      <c r="A119" t="inlineStr">
        <is>
          <t xml:space="preserve">1EPM</t>
        </is>
      </c>
      <c r="B119" cm="1">
        <f t="array" ref="B119">IFERROR(INDEX(_xlfn._xlws.FILTER(CONFIG_ASIGNATURAS!$B$2:$B$91,(CONFIG_ASIGNATURAS!$G$2:$G$91="Sí")*ISNUMBER(SEARCH("1EPM",CONFIG_ASIGNATURAS!$C$2:$C$91))),36),"")</f>
      </c>
      <c r="C119">
        <f>IF(B119="","",IFERROR(VLOOKUP(B119,CONFIG_ASIGNATURAS!$B$2:$D$91,3,FALSE()),"Asignatura"))</f>
      </c>
      <c r="D119">
        <f>SUMPRODUCT((nCUENTA=1)*(nCURSO=A119)*(nASIG=B119))</f>
        <v>0</v>
      </c>
      <c r="E119" s="10" t="str">
        <f>IFERROR(SUMPRODUCT((nCUENTA=1)*(nCURSO=A119)*(nASIG=B119)*(nNOTA))/D119,"—")</f>
        <v>—</v>
      </c>
      <c r="F119" s="10" t="str" cm="1">
        <f t="array" ref="F119">IFERROR(_xlfn.STDEV.P(_xlfn._xlws.FILTER(nNOTA,(nCUENTA=1)*(nCURSO=A119)*(nASIG=B119))),"—")</f>
        <v>—</v>
      </c>
      <c r="G119" t="str" cm="1">
        <f t="array" ref="G119">IFERROR(_xlfn.MODE.SNGL(_xlfn._xlws.FILTER(nNOTA,(nCUENTA=1)*(nCURSO=A119)*(nASIG=B119))),"—")</f>
        <v>—</v>
      </c>
      <c r="H119" s="11" t="str">
        <f>IFERROR(SUMPRODUCT((nCUENTA=1)*(nCURSO=A119)*(nASIG=B119)*(nAPTO="S"))/D119,"—")</f>
        <v>—</v>
      </c>
      <c r="I119" s="11" t="str">
        <f>IFERROR(SUMPRODUCT((nCUENTA=1)*(nCURSO=A119)*(nASIG=B119)*(nAPTO="N"))/D119,"—")</f>
        <v>—</v>
      </c>
      <c r="J119" t="str" cm="1">
        <f t="array" ref="J119">IFERROR(_xlfn.MODE.SNGL(_xlfn._xlws.FILTER(nNOTA,(nCUENTA=1)*(nCURSO=A119)*(nASIG=B119)*(nAPTO="S"))),"—")</f>
        <v>—</v>
      </c>
      <c r="K119" t="str" cm="1">
        <f t="array" ref="K119">IFERROR(_xlfn.MODE.SNGL(_xlfn._xlws.FILTER(nNOTA,(nCUENTA=1)*(nCURSO=A119)*(nASIG=B119)*(nAPTO="N"))),"—")</f>
        <v>—</v>
      </c>
      <c r="L119">
        <f>SUMPRODUCT((nCUENTA=1)*(nCURSO=A119)*(nASIG=B119)*(nNOTA=1))</f>
        <v>0</v>
      </c>
      <c r="M119">
        <f>SUMPRODUCT((nCUENTA=1)*(nCURSO=A119)*(nASIG=B119)*(nNOTA=2))</f>
        <v>0</v>
      </c>
      <c r="N119">
        <f>SUMPRODUCT((nCUENTA=1)*(nCURSO=A119)*(nASIG=B119)*(nNOTA=3))</f>
        <v>0</v>
      </c>
      <c r="O119">
        <f>SUMPRODUCT((nCUENTA=1)*(nCURSO=A119)*(nASIG=B119)*(nNOTA=4))</f>
        <v>0</v>
      </c>
      <c r="P119">
        <f>SUMPRODUCT((nCUENTA=1)*(nCURSO=A119)*(nASIG=B119)*(nNOTA=5))</f>
        <v>0</v>
      </c>
      <c r="Q119">
        <f>SUMPRODUCT((nCUENTA=1)*(nCURSO=A119)*(nASIG=B119)*(nNOTA=6))</f>
        <v>0</v>
      </c>
      <c r="R119">
        <f>SUMPRODUCT((nCUENTA=1)*(nCURSO=A119)*(nASIG=B119)*(nNOTA=7))</f>
        <v>0</v>
      </c>
      <c r="S119">
        <f>SUMPRODUCT((nCUENTA=1)*(nCURSO=A119)*(nASIG=B119)*(nNOTA=8))</f>
        <v>0</v>
      </c>
      <c r="T119">
        <f>SUMPRODUCT((nCUENTA=1)*(nCURSO=A119)*(nASIG=B119)*(nNOTA=9))</f>
        <v>0</v>
      </c>
      <c r="U119">
        <f>SUMPRODUCT((nCUENTA=1)*(nCURSO=A119)*(nASIG=B119)*(nNOTA=10))</f>
        <v>0</v>
      </c>
    </row>
    <row r="120">
      <c r="A120" t="inlineStr">
        <is>
          <t xml:space="preserve">1EPM</t>
        </is>
      </c>
      <c r="B120" cm="1">
        <f t="array" ref="B120">IFERROR(INDEX(_xlfn._xlws.FILTER(CONFIG_ASIGNATURAS!$B$2:$B$91,(CONFIG_ASIGNATURAS!$G$2:$G$91="Sí")*ISNUMBER(SEARCH("1EPM",CONFIG_ASIGNATURAS!$C$2:$C$91))),37),"")</f>
      </c>
      <c r="C120">
        <f>IF(B120="","",IFERROR(VLOOKUP(B120,CONFIG_ASIGNATURAS!$B$2:$D$91,3,FALSE()),"Asignatura"))</f>
      </c>
      <c r="D120">
        <f>SUMPRODUCT((nCUENTA=1)*(nCURSO=A120)*(nASIG=B120))</f>
        <v>0</v>
      </c>
      <c r="E120" s="10" t="str">
        <f>IFERROR(SUMPRODUCT((nCUENTA=1)*(nCURSO=A120)*(nASIG=B120)*(nNOTA))/D120,"—")</f>
        <v>—</v>
      </c>
      <c r="F120" s="10" t="str" cm="1">
        <f t="array" ref="F120">IFERROR(_xlfn.STDEV.P(_xlfn._xlws.FILTER(nNOTA,(nCUENTA=1)*(nCURSO=A120)*(nASIG=B120))),"—")</f>
        <v>—</v>
      </c>
      <c r="G120" t="str" cm="1">
        <f t="array" ref="G120">IFERROR(_xlfn.MODE.SNGL(_xlfn._xlws.FILTER(nNOTA,(nCUENTA=1)*(nCURSO=A120)*(nASIG=B120))),"—")</f>
        <v>—</v>
      </c>
      <c r="H120" s="11" t="str">
        <f>IFERROR(SUMPRODUCT((nCUENTA=1)*(nCURSO=A120)*(nASIG=B120)*(nAPTO="S"))/D120,"—")</f>
        <v>—</v>
      </c>
      <c r="I120" s="11" t="str">
        <f>IFERROR(SUMPRODUCT((nCUENTA=1)*(nCURSO=A120)*(nASIG=B120)*(nAPTO="N"))/D120,"—")</f>
        <v>—</v>
      </c>
      <c r="J120" t="str" cm="1">
        <f t="array" ref="J120">IFERROR(_xlfn.MODE.SNGL(_xlfn._xlws.FILTER(nNOTA,(nCUENTA=1)*(nCURSO=A120)*(nASIG=B120)*(nAPTO="S"))),"—")</f>
        <v>—</v>
      </c>
      <c r="K120" t="str" cm="1">
        <f t="array" ref="K120">IFERROR(_xlfn.MODE.SNGL(_xlfn._xlws.FILTER(nNOTA,(nCUENTA=1)*(nCURSO=A120)*(nASIG=B120)*(nAPTO="N"))),"—")</f>
        <v>—</v>
      </c>
      <c r="L120">
        <f>SUMPRODUCT((nCUENTA=1)*(nCURSO=A120)*(nASIG=B120)*(nNOTA=1))</f>
        <v>0</v>
      </c>
      <c r="M120">
        <f>SUMPRODUCT((nCUENTA=1)*(nCURSO=A120)*(nASIG=B120)*(nNOTA=2))</f>
        <v>0</v>
      </c>
      <c r="N120">
        <f>SUMPRODUCT((nCUENTA=1)*(nCURSO=A120)*(nASIG=B120)*(nNOTA=3))</f>
        <v>0</v>
      </c>
      <c r="O120">
        <f>SUMPRODUCT((nCUENTA=1)*(nCURSO=A120)*(nASIG=B120)*(nNOTA=4))</f>
        <v>0</v>
      </c>
      <c r="P120">
        <f>SUMPRODUCT((nCUENTA=1)*(nCURSO=A120)*(nASIG=B120)*(nNOTA=5))</f>
        <v>0</v>
      </c>
      <c r="Q120">
        <f>SUMPRODUCT((nCUENTA=1)*(nCURSO=A120)*(nASIG=B120)*(nNOTA=6))</f>
        <v>0</v>
      </c>
      <c r="R120">
        <f>SUMPRODUCT((nCUENTA=1)*(nCURSO=A120)*(nASIG=B120)*(nNOTA=7))</f>
        <v>0</v>
      </c>
      <c r="S120">
        <f>SUMPRODUCT((nCUENTA=1)*(nCURSO=A120)*(nASIG=B120)*(nNOTA=8))</f>
        <v>0</v>
      </c>
      <c r="T120">
        <f>SUMPRODUCT((nCUENTA=1)*(nCURSO=A120)*(nASIG=B120)*(nNOTA=9))</f>
        <v>0</v>
      </c>
      <c r="U120">
        <f>SUMPRODUCT((nCUENTA=1)*(nCURSO=A120)*(nASIG=B120)*(nNOTA=10))</f>
        <v>0</v>
      </c>
    </row>
    <row r="121">
      <c r="A121" t="inlineStr">
        <is>
          <t xml:space="preserve">1EPM</t>
        </is>
      </c>
      <c r="B121" cm="1">
        <f t="array" ref="B121">IFERROR(INDEX(_xlfn._xlws.FILTER(CONFIG_ASIGNATURAS!$B$2:$B$91,(CONFIG_ASIGNATURAS!$G$2:$G$91="Sí")*ISNUMBER(SEARCH("1EPM",CONFIG_ASIGNATURAS!$C$2:$C$91))),38),"")</f>
      </c>
      <c r="C121">
        <f>IF(B121="","",IFERROR(VLOOKUP(B121,CONFIG_ASIGNATURAS!$B$2:$D$91,3,FALSE()),"Asignatura"))</f>
      </c>
      <c r="D121">
        <f>SUMPRODUCT((nCUENTA=1)*(nCURSO=A121)*(nASIG=B121))</f>
        <v>0</v>
      </c>
      <c r="E121" s="10" t="str">
        <f>IFERROR(SUMPRODUCT((nCUENTA=1)*(nCURSO=A121)*(nASIG=B121)*(nNOTA))/D121,"—")</f>
        <v>—</v>
      </c>
      <c r="F121" s="10" t="str" cm="1">
        <f t="array" ref="F121">IFERROR(_xlfn.STDEV.P(_xlfn._xlws.FILTER(nNOTA,(nCUENTA=1)*(nCURSO=A121)*(nASIG=B121))),"—")</f>
        <v>—</v>
      </c>
      <c r="G121" t="str" cm="1">
        <f t="array" ref="G121">IFERROR(_xlfn.MODE.SNGL(_xlfn._xlws.FILTER(nNOTA,(nCUENTA=1)*(nCURSO=A121)*(nASIG=B121))),"—")</f>
        <v>—</v>
      </c>
      <c r="H121" s="11" t="str">
        <f>IFERROR(SUMPRODUCT((nCUENTA=1)*(nCURSO=A121)*(nASIG=B121)*(nAPTO="S"))/D121,"—")</f>
        <v>—</v>
      </c>
      <c r="I121" s="11" t="str">
        <f>IFERROR(SUMPRODUCT((nCUENTA=1)*(nCURSO=A121)*(nASIG=B121)*(nAPTO="N"))/D121,"—")</f>
        <v>—</v>
      </c>
      <c r="J121" t="str" cm="1">
        <f t="array" ref="J121">IFERROR(_xlfn.MODE.SNGL(_xlfn._xlws.FILTER(nNOTA,(nCUENTA=1)*(nCURSO=A121)*(nASIG=B121)*(nAPTO="S"))),"—")</f>
        <v>—</v>
      </c>
      <c r="K121" t="str" cm="1">
        <f t="array" ref="K121">IFERROR(_xlfn.MODE.SNGL(_xlfn._xlws.FILTER(nNOTA,(nCUENTA=1)*(nCURSO=A121)*(nASIG=B121)*(nAPTO="N"))),"—")</f>
        <v>—</v>
      </c>
      <c r="L121">
        <f>SUMPRODUCT((nCUENTA=1)*(nCURSO=A121)*(nASIG=B121)*(nNOTA=1))</f>
        <v>0</v>
      </c>
      <c r="M121">
        <f>SUMPRODUCT((nCUENTA=1)*(nCURSO=A121)*(nASIG=B121)*(nNOTA=2))</f>
        <v>0</v>
      </c>
      <c r="N121">
        <f>SUMPRODUCT((nCUENTA=1)*(nCURSO=A121)*(nASIG=B121)*(nNOTA=3))</f>
        <v>0</v>
      </c>
      <c r="O121">
        <f>SUMPRODUCT((nCUENTA=1)*(nCURSO=A121)*(nASIG=B121)*(nNOTA=4))</f>
        <v>0</v>
      </c>
      <c r="P121">
        <f>SUMPRODUCT((nCUENTA=1)*(nCURSO=A121)*(nASIG=B121)*(nNOTA=5))</f>
        <v>0</v>
      </c>
      <c r="Q121">
        <f>SUMPRODUCT((nCUENTA=1)*(nCURSO=A121)*(nASIG=B121)*(nNOTA=6))</f>
        <v>0</v>
      </c>
      <c r="R121">
        <f>SUMPRODUCT((nCUENTA=1)*(nCURSO=A121)*(nASIG=B121)*(nNOTA=7))</f>
        <v>0</v>
      </c>
      <c r="S121">
        <f>SUMPRODUCT((nCUENTA=1)*(nCURSO=A121)*(nASIG=B121)*(nNOTA=8))</f>
        <v>0</v>
      </c>
      <c r="T121">
        <f>SUMPRODUCT((nCUENTA=1)*(nCURSO=A121)*(nASIG=B121)*(nNOTA=9))</f>
        <v>0</v>
      </c>
      <c r="U121">
        <f>SUMPRODUCT((nCUENTA=1)*(nCURSO=A121)*(nASIG=B121)*(nNOTA=10))</f>
        <v>0</v>
      </c>
    </row>
    <row r="122">
      <c r="A122" t="inlineStr">
        <is>
          <t xml:space="preserve">1EPM</t>
        </is>
      </c>
      <c r="B122" cm="1">
        <f t="array" ref="B122">IFERROR(INDEX(_xlfn._xlws.FILTER(CONFIG_ASIGNATURAS!$B$2:$B$91,(CONFIG_ASIGNATURAS!$G$2:$G$91="Sí")*ISNUMBER(SEARCH("1EPM",CONFIG_ASIGNATURAS!$C$2:$C$91))),39),"")</f>
      </c>
      <c r="C122">
        <f>IF(B122="","",IFERROR(VLOOKUP(B122,CONFIG_ASIGNATURAS!$B$2:$D$91,3,FALSE()),"Asignatura"))</f>
      </c>
      <c r="D122">
        <f>SUMPRODUCT((nCUENTA=1)*(nCURSO=A122)*(nASIG=B122))</f>
        <v>0</v>
      </c>
      <c r="E122" s="10" t="str">
        <f>IFERROR(SUMPRODUCT((nCUENTA=1)*(nCURSO=A122)*(nASIG=B122)*(nNOTA))/D122,"—")</f>
        <v>—</v>
      </c>
      <c r="F122" s="10" t="str" cm="1">
        <f t="array" ref="F122">IFERROR(_xlfn.STDEV.P(_xlfn._xlws.FILTER(nNOTA,(nCUENTA=1)*(nCURSO=A122)*(nASIG=B122))),"—")</f>
        <v>—</v>
      </c>
      <c r="G122" t="str" cm="1">
        <f t="array" ref="G122">IFERROR(_xlfn.MODE.SNGL(_xlfn._xlws.FILTER(nNOTA,(nCUENTA=1)*(nCURSO=A122)*(nASIG=B122))),"—")</f>
        <v>—</v>
      </c>
      <c r="H122" s="11" t="str">
        <f>IFERROR(SUMPRODUCT((nCUENTA=1)*(nCURSO=A122)*(nASIG=B122)*(nAPTO="S"))/D122,"—")</f>
        <v>—</v>
      </c>
      <c r="I122" s="11" t="str">
        <f>IFERROR(SUMPRODUCT((nCUENTA=1)*(nCURSO=A122)*(nASIG=B122)*(nAPTO="N"))/D122,"—")</f>
        <v>—</v>
      </c>
      <c r="J122" t="str" cm="1">
        <f t="array" ref="J122">IFERROR(_xlfn.MODE.SNGL(_xlfn._xlws.FILTER(nNOTA,(nCUENTA=1)*(nCURSO=A122)*(nASIG=B122)*(nAPTO="S"))),"—")</f>
        <v>—</v>
      </c>
      <c r="K122" t="str" cm="1">
        <f t="array" ref="K122">IFERROR(_xlfn.MODE.SNGL(_xlfn._xlws.FILTER(nNOTA,(nCUENTA=1)*(nCURSO=A122)*(nASIG=B122)*(nAPTO="N"))),"—")</f>
        <v>—</v>
      </c>
      <c r="L122">
        <f>SUMPRODUCT((nCUENTA=1)*(nCURSO=A122)*(nASIG=B122)*(nNOTA=1))</f>
        <v>0</v>
      </c>
      <c r="M122">
        <f>SUMPRODUCT((nCUENTA=1)*(nCURSO=A122)*(nASIG=B122)*(nNOTA=2))</f>
        <v>0</v>
      </c>
      <c r="N122">
        <f>SUMPRODUCT((nCUENTA=1)*(nCURSO=A122)*(nASIG=B122)*(nNOTA=3))</f>
        <v>0</v>
      </c>
      <c r="O122">
        <f>SUMPRODUCT((nCUENTA=1)*(nCURSO=A122)*(nASIG=B122)*(nNOTA=4))</f>
        <v>0</v>
      </c>
      <c r="P122">
        <f>SUMPRODUCT((nCUENTA=1)*(nCURSO=A122)*(nASIG=B122)*(nNOTA=5))</f>
        <v>0</v>
      </c>
      <c r="Q122">
        <f>SUMPRODUCT((nCUENTA=1)*(nCURSO=A122)*(nASIG=B122)*(nNOTA=6))</f>
        <v>0</v>
      </c>
      <c r="R122">
        <f>SUMPRODUCT((nCUENTA=1)*(nCURSO=A122)*(nASIG=B122)*(nNOTA=7))</f>
        <v>0</v>
      </c>
      <c r="S122">
        <f>SUMPRODUCT((nCUENTA=1)*(nCURSO=A122)*(nASIG=B122)*(nNOTA=8))</f>
        <v>0</v>
      </c>
      <c r="T122">
        <f>SUMPRODUCT((nCUENTA=1)*(nCURSO=A122)*(nASIG=B122)*(nNOTA=9))</f>
        <v>0</v>
      </c>
      <c r="U122">
        <f>SUMPRODUCT((nCUENTA=1)*(nCURSO=A122)*(nASIG=B122)*(nNOTA=10))</f>
        <v>0</v>
      </c>
    </row>
    <row r="123">
      <c r="A123" t="inlineStr">
        <is>
          <t xml:space="preserve">1EPM</t>
        </is>
      </c>
      <c r="B123" cm="1">
        <f t="array" ref="B123">IFERROR(INDEX(_xlfn._xlws.FILTER(CONFIG_ASIGNATURAS!$B$2:$B$91,(CONFIG_ASIGNATURAS!$G$2:$G$91="Sí")*ISNUMBER(SEARCH("1EPM",CONFIG_ASIGNATURAS!$C$2:$C$91))),40),"")</f>
      </c>
      <c r="C123">
        <f>IF(B123="","",IFERROR(VLOOKUP(B123,CONFIG_ASIGNATURAS!$B$2:$D$91,3,FALSE()),"Asignatura"))</f>
      </c>
      <c r="D123">
        <f>SUMPRODUCT((nCUENTA=1)*(nCURSO=A123)*(nASIG=B123))</f>
        <v>0</v>
      </c>
      <c r="E123" s="10" t="str">
        <f>IFERROR(SUMPRODUCT((nCUENTA=1)*(nCURSO=A123)*(nASIG=B123)*(nNOTA))/D123,"—")</f>
        <v>—</v>
      </c>
      <c r="F123" s="10" t="str" cm="1">
        <f t="array" ref="F123">IFERROR(_xlfn.STDEV.P(_xlfn._xlws.FILTER(nNOTA,(nCUENTA=1)*(nCURSO=A123)*(nASIG=B123))),"—")</f>
        <v>—</v>
      </c>
      <c r="G123" t="str" cm="1">
        <f t="array" ref="G123">IFERROR(_xlfn.MODE.SNGL(_xlfn._xlws.FILTER(nNOTA,(nCUENTA=1)*(nCURSO=A123)*(nASIG=B123))),"—")</f>
        <v>—</v>
      </c>
      <c r="H123" s="11" t="str">
        <f>IFERROR(SUMPRODUCT((nCUENTA=1)*(nCURSO=A123)*(nASIG=B123)*(nAPTO="S"))/D123,"—")</f>
        <v>—</v>
      </c>
      <c r="I123" s="11" t="str">
        <f>IFERROR(SUMPRODUCT((nCUENTA=1)*(nCURSO=A123)*(nASIG=B123)*(nAPTO="N"))/D123,"—")</f>
        <v>—</v>
      </c>
      <c r="J123" t="str" cm="1">
        <f t="array" ref="J123">IFERROR(_xlfn.MODE.SNGL(_xlfn._xlws.FILTER(nNOTA,(nCUENTA=1)*(nCURSO=A123)*(nASIG=B123)*(nAPTO="S"))),"—")</f>
        <v>—</v>
      </c>
      <c r="K123" t="str" cm="1">
        <f t="array" ref="K123">IFERROR(_xlfn.MODE.SNGL(_xlfn._xlws.FILTER(nNOTA,(nCUENTA=1)*(nCURSO=A123)*(nASIG=B123)*(nAPTO="N"))),"—")</f>
        <v>—</v>
      </c>
      <c r="L123">
        <f>SUMPRODUCT((nCUENTA=1)*(nCURSO=A123)*(nASIG=B123)*(nNOTA=1))</f>
        <v>0</v>
      </c>
      <c r="M123">
        <f>SUMPRODUCT((nCUENTA=1)*(nCURSO=A123)*(nASIG=B123)*(nNOTA=2))</f>
        <v>0</v>
      </c>
      <c r="N123">
        <f>SUMPRODUCT((nCUENTA=1)*(nCURSO=A123)*(nASIG=B123)*(nNOTA=3))</f>
        <v>0</v>
      </c>
      <c r="O123">
        <f>SUMPRODUCT((nCUENTA=1)*(nCURSO=A123)*(nASIG=B123)*(nNOTA=4))</f>
        <v>0</v>
      </c>
      <c r="P123">
        <f>SUMPRODUCT((nCUENTA=1)*(nCURSO=A123)*(nASIG=B123)*(nNOTA=5))</f>
        <v>0</v>
      </c>
      <c r="Q123">
        <f>SUMPRODUCT((nCUENTA=1)*(nCURSO=A123)*(nASIG=B123)*(nNOTA=6))</f>
        <v>0</v>
      </c>
      <c r="R123">
        <f>SUMPRODUCT((nCUENTA=1)*(nCURSO=A123)*(nASIG=B123)*(nNOTA=7))</f>
        <v>0</v>
      </c>
      <c r="S123">
        <f>SUMPRODUCT((nCUENTA=1)*(nCURSO=A123)*(nASIG=B123)*(nNOTA=8))</f>
        <v>0</v>
      </c>
      <c r="T123">
        <f>SUMPRODUCT((nCUENTA=1)*(nCURSO=A123)*(nASIG=B123)*(nNOTA=9))</f>
        <v>0</v>
      </c>
      <c r="U123">
        <f>SUMPRODUCT((nCUENTA=1)*(nCURSO=A123)*(nASIG=B123)*(nNOTA=10))</f>
        <v>0</v>
      </c>
    </row>
    <row r="124">
      <c r="A124" t="inlineStr">
        <is>
          <t xml:space="preserve">1EPM</t>
        </is>
      </c>
      <c r="B124" cm="1">
        <f t="array" ref="B124">IFERROR(INDEX(_xlfn._xlws.FILTER(CONFIG_ASIGNATURAS!$B$2:$B$91,(CONFIG_ASIGNATURAS!$G$2:$G$91="Sí")*ISNUMBER(SEARCH("1EPM",CONFIG_ASIGNATURAS!$C$2:$C$91))),41),"")</f>
      </c>
      <c r="C124">
        <f>IF(B124="","",IFERROR(VLOOKUP(B124,CONFIG_ASIGNATURAS!$B$2:$D$91,3,FALSE()),"Asignatura"))</f>
      </c>
      <c r="D124">
        <f>SUMPRODUCT((nCUENTA=1)*(nCURSO=A124)*(nASIG=B124))</f>
        <v>0</v>
      </c>
      <c r="E124" s="10" t="str">
        <f>IFERROR(SUMPRODUCT((nCUENTA=1)*(nCURSO=A124)*(nASIG=B124)*(nNOTA))/D124,"—")</f>
        <v>—</v>
      </c>
      <c r="F124" s="10" t="str" cm="1">
        <f t="array" ref="F124">IFERROR(_xlfn.STDEV.P(_xlfn._xlws.FILTER(nNOTA,(nCUENTA=1)*(nCURSO=A124)*(nASIG=B124))),"—")</f>
        <v>—</v>
      </c>
      <c r="G124" t="str" cm="1">
        <f t="array" ref="G124">IFERROR(_xlfn.MODE.SNGL(_xlfn._xlws.FILTER(nNOTA,(nCUENTA=1)*(nCURSO=A124)*(nASIG=B124))),"—")</f>
        <v>—</v>
      </c>
      <c r="H124" s="11" t="str">
        <f>IFERROR(SUMPRODUCT((nCUENTA=1)*(nCURSO=A124)*(nASIG=B124)*(nAPTO="S"))/D124,"—")</f>
        <v>—</v>
      </c>
      <c r="I124" s="11" t="str">
        <f>IFERROR(SUMPRODUCT((nCUENTA=1)*(nCURSO=A124)*(nASIG=B124)*(nAPTO="N"))/D124,"—")</f>
        <v>—</v>
      </c>
      <c r="J124" t="str" cm="1">
        <f t="array" ref="J124">IFERROR(_xlfn.MODE.SNGL(_xlfn._xlws.FILTER(nNOTA,(nCUENTA=1)*(nCURSO=A124)*(nASIG=B124)*(nAPTO="S"))),"—")</f>
        <v>—</v>
      </c>
      <c r="K124" t="str" cm="1">
        <f t="array" ref="K124">IFERROR(_xlfn.MODE.SNGL(_xlfn._xlws.FILTER(nNOTA,(nCUENTA=1)*(nCURSO=A124)*(nASIG=B124)*(nAPTO="N"))),"—")</f>
        <v>—</v>
      </c>
      <c r="L124">
        <f>SUMPRODUCT((nCUENTA=1)*(nCURSO=A124)*(nASIG=B124)*(nNOTA=1))</f>
        <v>0</v>
      </c>
      <c r="M124">
        <f>SUMPRODUCT((nCUENTA=1)*(nCURSO=A124)*(nASIG=B124)*(nNOTA=2))</f>
        <v>0</v>
      </c>
      <c r="N124">
        <f>SUMPRODUCT((nCUENTA=1)*(nCURSO=A124)*(nASIG=B124)*(nNOTA=3))</f>
        <v>0</v>
      </c>
      <c r="O124">
        <f>SUMPRODUCT((nCUENTA=1)*(nCURSO=A124)*(nASIG=B124)*(nNOTA=4))</f>
        <v>0</v>
      </c>
      <c r="P124">
        <f>SUMPRODUCT((nCUENTA=1)*(nCURSO=A124)*(nASIG=B124)*(nNOTA=5))</f>
        <v>0</v>
      </c>
      <c r="Q124">
        <f>SUMPRODUCT((nCUENTA=1)*(nCURSO=A124)*(nASIG=B124)*(nNOTA=6))</f>
        <v>0</v>
      </c>
      <c r="R124">
        <f>SUMPRODUCT((nCUENTA=1)*(nCURSO=A124)*(nASIG=B124)*(nNOTA=7))</f>
        <v>0</v>
      </c>
      <c r="S124">
        <f>SUMPRODUCT((nCUENTA=1)*(nCURSO=A124)*(nASIG=B124)*(nNOTA=8))</f>
        <v>0</v>
      </c>
      <c r="T124">
        <f>SUMPRODUCT((nCUENTA=1)*(nCURSO=A124)*(nASIG=B124)*(nNOTA=9))</f>
        <v>0</v>
      </c>
      <c r="U124">
        <f>SUMPRODUCT((nCUENTA=1)*(nCURSO=A124)*(nASIG=B124)*(nNOTA=10))</f>
        <v>0</v>
      </c>
    </row>
    <row r="125">
      <c r="A125" t="inlineStr">
        <is>
          <t xml:space="preserve">1EPM</t>
        </is>
      </c>
      <c r="B125" cm="1">
        <f t="array" ref="B125">IFERROR(INDEX(_xlfn._xlws.FILTER(CONFIG_ASIGNATURAS!$B$2:$B$91,(CONFIG_ASIGNATURAS!$G$2:$G$91="Sí")*ISNUMBER(SEARCH("1EPM",CONFIG_ASIGNATURAS!$C$2:$C$91))),42),"")</f>
      </c>
      <c r="C125">
        <f>IF(B125="","",IFERROR(VLOOKUP(B125,CONFIG_ASIGNATURAS!$B$2:$D$91,3,FALSE()),"Asignatura"))</f>
      </c>
      <c r="D125">
        <f>SUMPRODUCT((nCUENTA=1)*(nCURSO=A125)*(nASIG=B125))</f>
        <v>0</v>
      </c>
      <c r="E125" s="10" t="str">
        <f>IFERROR(SUMPRODUCT((nCUENTA=1)*(nCURSO=A125)*(nASIG=B125)*(nNOTA))/D125,"—")</f>
        <v>—</v>
      </c>
      <c r="F125" s="10" t="str" cm="1">
        <f t="array" ref="F125">IFERROR(_xlfn.STDEV.P(_xlfn._xlws.FILTER(nNOTA,(nCUENTA=1)*(nCURSO=A125)*(nASIG=B125))),"—")</f>
        <v>—</v>
      </c>
      <c r="G125" t="str" cm="1">
        <f t="array" ref="G125">IFERROR(_xlfn.MODE.SNGL(_xlfn._xlws.FILTER(nNOTA,(nCUENTA=1)*(nCURSO=A125)*(nASIG=B125))),"—")</f>
        <v>—</v>
      </c>
      <c r="H125" s="11" t="str">
        <f>IFERROR(SUMPRODUCT((nCUENTA=1)*(nCURSO=A125)*(nASIG=B125)*(nAPTO="S"))/D125,"—")</f>
        <v>—</v>
      </c>
      <c r="I125" s="11" t="str">
        <f>IFERROR(SUMPRODUCT((nCUENTA=1)*(nCURSO=A125)*(nASIG=B125)*(nAPTO="N"))/D125,"—")</f>
        <v>—</v>
      </c>
      <c r="J125" t="str" cm="1">
        <f t="array" ref="J125">IFERROR(_xlfn.MODE.SNGL(_xlfn._xlws.FILTER(nNOTA,(nCUENTA=1)*(nCURSO=A125)*(nASIG=B125)*(nAPTO="S"))),"—")</f>
        <v>—</v>
      </c>
      <c r="K125" t="str" cm="1">
        <f t="array" ref="K125">IFERROR(_xlfn.MODE.SNGL(_xlfn._xlws.FILTER(nNOTA,(nCUENTA=1)*(nCURSO=A125)*(nASIG=B125)*(nAPTO="N"))),"—")</f>
        <v>—</v>
      </c>
      <c r="L125">
        <f>SUMPRODUCT((nCUENTA=1)*(nCURSO=A125)*(nASIG=B125)*(nNOTA=1))</f>
        <v>0</v>
      </c>
      <c r="M125">
        <f>SUMPRODUCT((nCUENTA=1)*(nCURSO=A125)*(nASIG=B125)*(nNOTA=2))</f>
        <v>0</v>
      </c>
      <c r="N125">
        <f>SUMPRODUCT((nCUENTA=1)*(nCURSO=A125)*(nASIG=B125)*(nNOTA=3))</f>
        <v>0</v>
      </c>
      <c r="O125">
        <f>SUMPRODUCT((nCUENTA=1)*(nCURSO=A125)*(nASIG=B125)*(nNOTA=4))</f>
        <v>0</v>
      </c>
      <c r="P125">
        <f>SUMPRODUCT((nCUENTA=1)*(nCURSO=A125)*(nASIG=B125)*(nNOTA=5))</f>
        <v>0</v>
      </c>
      <c r="Q125">
        <f>SUMPRODUCT((nCUENTA=1)*(nCURSO=A125)*(nASIG=B125)*(nNOTA=6))</f>
        <v>0</v>
      </c>
      <c r="R125">
        <f>SUMPRODUCT((nCUENTA=1)*(nCURSO=A125)*(nASIG=B125)*(nNOTA=7))</f>
        <v>0</v>
      </c>
      <c r="S125">
        <f>SUMPRODUCT((nCUENTA=1)*(nCURSO=A125)*(nASIG=B125)*(nNOTA=8))</f>
        <v>0</v>
      </c>
      <c r="T125">
        <f>SUMPRODUCT((nCUENTA=1)*(nCURSO=A125)*(nASIG=B125)*(nNOTA=9))</f>
        <v>0</v>
      </c>
      <c r="U125">
        <f>SUMPRODUCT((nCUENTA=1)*(nCURSO=A125)*(nASIG=B125)*(nNOTA=10))</f>
        <v>0</v>
      </c>
    </row>
    <row r="126">
      <c r="A126" t="inlineStr">
        <is>
          <t xml:space="preserve">1EPM</t>
        </is>
      </c>
      <c r="B126" cm="1">
        <f t="array" ref="B126">IFERROR(INDEX(_xlfn._xlws.FILTER(CONFIG_ASIGNATURAS!$B$2:$B$91,(CONFIG_ASIGNATURAS!$G$2:$G$91="Sí")*ISNUMBER(SEARCH("1EPM",CONFIG_ASIGNATURAS!$C$2:$C$91))),43),"")</f>
      </c>
      <c r="C126">
        <f>IF(B126="","",IFERROR(VLOOKUP(B126,CONFIG_ASIGNATURAS!$B$2:$D$91,3,FALSE()),"Asignatura"))</f>
      </c>
      <c r="D126">
        <f>SUMPRODUCT((nCUENTA=1)*(nCURSO=A126)*(nASIG=B126))</f>
        <v>0</v>
      </c>
      <c r="E126" s="10" t="str">
        <f>IFERROR(SUMPRODUCT((nCUENTA=1)*(nCURSO=A126)*(nASIG=B126)*(nNOTA))/D126,"—")</f>
        <v>—</v>
      </c>
      <c r="F126" s="10" t="str" cm="1">
        <f t="array" ref="F126">IFERROR(_xlfn.STDEV.P(_xlfn._xlws.FILTER(nNOTA,(nCUENTA=1)*(nCURSO=A126)*(nASIG=B126))),"—")</f>
        <v>—</v>
      </c>
      <c r="G126" t="str" cm="1">
        <f t="array" ref="G126">IFERROR(_xlfn.MODE.SNGL(_xlfn._xlws.FILTER(nNOTA,(nCUENTA=1)*(nCURSO=A126)*(nASIG=B126))),"—")</f>
        <v>—</v>
      </c>
      <c r="H126" s="11" t="str">
        <f>IFERROR(SUMPRODUCT((nCUENTA=1)*(nCURSO=A126)*(nASIG=B126)*(nAPTO="S"))/D126,"—")</f>
        <v>—</v>
      </c>
      <c r="I126" s="11" t="str">
        <f>IFERROR(SUMPRODUCT((nCUENTA=1)*(nCURSO=A126)*(nASIG=B126)*(nAPTO="N"))/D126,"—")</f>
        <v>—</v>
      </c>
      <c r="J126" t="str" cm="1">
        <f t="array" ref="J126">IFERROR(_xlfn.MODE.SNGL(_xlfn._xlws.FILTER(nNOTA,(nCUENTA=1)*(nCURSO=A126)*(nASIG=B126)*(nAPTO="S"))),"—")</f>
        <v>—</v>
      </c>
      <c r="K126" t="str" cm="1">
        <f t="array" ref="K126">IFERROR(_xlfn.MODE.SNGL(_xlfn._xlws.FILTER(nNOTA,(nCUENTA=1)*(nCURSO=A126)*(nASIG=B126)*(nAPTO="N"))),"—")</f>
        <v>—</v>
      </c>
      <c r="L126">
        <f>SUMPRODUCT((nCUENTA=1)*(nCURSO=A126)*(nASIG=B126)*(nNOTA=1))</f>
        <v>0</v>
      </c>
      <c r="M126">
        <f>SUMPRODUCT((nCUENTA=1)*(nCURSO=A126)*(nASIG=B126)*(nNOTA=2))</f>
        <v>0</v>
      </c>
      <c r="N126">
        <f>SUMPRODUCT((nCUENTA=1)*(nCURSO=A126)*(nASIG=B126)*(nNOTA=3))</f>
        <v>0</v>
      </c>
      <c r="O126">
        <f>SUMPRODUCT((nCUENTA=1)*(nCURSO=A126)*(nASIG=B126)*(nNOTA=4))</f>
        <v>0</v>
      </c>
      <c r="P126">
        <f>SUMPRODUCT((nCUENTA=1)*(nCURSO=A126)*(nASIG=B126)*(nNOTA=5))</f>
        <v>0</v>
      </c>
      <c r="Q126">
        <f>SUMPRODUCT((nCUENTA=1)*(nCURSO=A126)*(nASIG=B126)*(nNOTA=6))</f>
        <v>0</v>
      </c>
      <c r="R126">
        <f>SUMPRODUCT((nCUENTA=1)*(nCURSO=A126)*(nASIG=B126)*(nNOTA=7))</f>
        <v>0</v>
      </c>
      <c r="S126">
        <f>SUMPRODUCT((nCUENTA=1)*(nCURSO=A126)*(nASIG=B126)*(nNOTA=8))</f>
        <v>0</v>
      </c>
      <c r="T126">
        <f>SUMPRODUCT((nCUENTA=1)*(nCURSO=A126)*(nASIG=B126)*(nNOTA=9))</f>
        <v>0</v>
      </c>
      <c r="U126">
        <f>SUMPRODUCT((nCUENTA=1)*(nCURSO=A126)*(nASIG=B126)*(nNOTA=10))</f>
        <v>0</v>
      </c>
    </row>
    <row r="127">
      <c r="A127" t="inlineStr">
        <is>
          <t xml:space="preserve">1EPM</t>
        </is>
      </c>
      <c r="B127" cm="1">
        <f t="array" ref="B127">IFERROR(INDEX(_xlfn._xlws.FILTER(CONFIG_ASIGNATURAS!$B$2:$B$91,(CONFIG_ASIGNATURAS!$G$2:$G$91="Sí")*ISNUMBER(SEARCH("1EPM",CONFIG_ASIGNATURAS!$C$2:$C$91))),44),"")</f>
      </c>
      <c r="C127">
        <f>IF(B127="","",IFERROR(VLOOKUP(B127,CONFIG_ASIGNATURAS!$B$2:$D$91,3,FALSE()),"Asignatura"))</f>
      </c>
      <c r="D127">
        <f>SUMPRODUCT((nCUENTA=1)*(nCURSO=A127)*(nASIG=B127))</f>
        <v>0</v>
      </c>
      <c r="E127" s="10" t="str">
        <f>IFERROR(SUMPRODUCT((nCUENTA=1)*(nCURSO=A127)*(nASIG=B127)*(nNOTA))/D127,"—")</f>
        <v>—</v>
      </c>
      <c r="F127" s="10" t="str" cm="1">
        <f t="array" ref="F127">IFERROR(_xlfn.STDEV.P(_xlfn._xlws.FILTER(nNOTA,(nCUENTA=1)*(nCURSO=A127)*(nASIG=B127))),"—")</f>
        <v>—</v>
      </c>
      <c r="G127" t="str" cm="1">
        <f t="array" ref="G127">IFERROR(_xlfn.MODE.SNGL(_xlfn._xlws.FILTER(nNOTA,(nCUENTA=1)*(nCURSO=A127)*(nASIG=B127))),"—")</f>
        <v>—</v>
      </c>
      <c r="H127" s="11" t="str">
        <f>IFERROR(SUMPRODUCT((nCUENTA=1)*(nCURSO=A127)*(nASIG=B127)*(nAPTO="S"))/D127,"—")</f>
        <v>—</v>
      </c>
      <c r="I127" s="11" t="str">
        <f>IFERROR(SUMPRODUCT((nCUENTA=1)*(nCURSO=A127)*(nASIG=B127)*(nAPTO="N"))/D127,"—")</f>
        <v>—</v>
      </c>
      <c r="J127" t="str" cm="1">
        <f t="array" ref="J127">IFERROR(_xlfn.MODE.SNGL(_xlfn._xlws.FILTER(nNOTA,(nCUENTA=1)*(nCURSO=A127)*(nASIG=B127)*(nAPTO="S"))),"—")</f>
        <v>—</v>
      </c>
      <c r="K127" t="str" cm="1">
        <f t="array" ref="K127">IFERROR(_xlfn.MODE.SNGL(_xlfn._xlws.FILTER(nNOTA,(nCUENTA=1)*(nCURSO=A127)*(nASIG=B127)*(nAPTO="N"))),"—")</f>
        <v>—</v>
      </c>
      <c r="L127">
        <f>SUMPRODUCT((nCUENTA=1)*(nCURSO=A127)*(nASIG=B127)*(nNOTA=1))</f>
        <v>0</v>
      </c>
      <c r="M127">
        <f>SUMPRODUCT((nCUENTA=1)*(nCURSO=A127)*(nASIG=B127)*(nNOTA=2))</f>
        <v>0</v>
      </c>
      <c r="N127">
        <f>SUMPRODUCT((nCUENTA=1)*(nCURSO=A127)*(nASIG=B127)*(nNOTA=3))</f>
        <v>0</v>
      </c>
      <c r="O127">
        <f>SUMPRODUCT((nCUENTA=1)*(nCURSO=A127)*(nASIG=B127)*(nNOTA=4))</f>
        <v>0</v>
      </c>
      <c r="P127">
        <f>SUMPRODUCT((nCUENTA=1)*(nCURSO=A127)*(nASIG=B127)*(nNOTA=5))</f>
        <v>0</v>
      </c>
      <c r="Q127">
        <f>SUMPRODUCT((nCUENTA=1)*(nCURSO=A127)*(nASIG=B127)*(nNOTA=6))</f>
        <v>0</v>
      </c>
      <c r="R127">
        <f>SUMPRODUCT((nCUENTA=1)*(nCURSO=A127)*(nASIG=B127)*(nNOTA=7))</f>
        <v>0</v>
      </c>
      <c r="S127">
        <f>SUMPRODUCT((nCUENTA=1)*(nCURSO=A127)*(nASIG=B127)*(nNOTA=8))</f>
        <v>0</v>
      </c>
      <c r="T127">
        <f>SUMPRODUCT((nCUENTA=1)*(nCURSO=A127)*(nASIG=B127)*(nNOTA=9))</f>
        <v>0</v>
      </c>
      <c r="U127">
        <f>SUMPRODUCT((nCUENTA=1)*(nCURSO=A127)*(nASIG=B127)*(nNOTA=10))</f>
        <v>0</v>
      </c>
    </row>
    <row r="128">
      <c r="A128" t="inlineStr">
        <is>
          <t xml:space="preserve">1EPM</t>
        </is>
      </c>
      <c r="B128" cm="1">
        <f t="array" ref="B128">IFERROR(INDEX(_xlfn._xlws.FILTER(CONFIG_ASIGNATURAS!$B$2:$B$91,(CONFIG_ASIGNATURAS!$G$2:$G$91="Sí")*ISNUMBER(SEARCH("1EPM",CONFIG_ASIGNATURAS!$C$2:$C$91))),45),"")</f>
      </c>
      <c r="C128">
        <f>IF(B128="","",IFERROR(VLOOKUP(B128,CONFIG_ASIGNATURAS!$B$2:$D$91,3,FALSE()),"Asignatura"))</f>
      </c>
      <c r="D128">
        <f>SUMPRODUCT((nCUENTA=1)*(nCURSO=A128)*(nASIG=B128))</f>
        <v>0</v>
      </c>
      <c r="E128" s="10" t="str">
        <f>IFERROR(SUMPRODUCT((nCUENTA=1)*(nCURSO=A128)*(nASIG=B128)*(nNOTA))/D128,"—")</f>
        <v>—</v>
      </c>
      <c r="F128" s="10" t="str" cm="1">
        <f t="array" ref="F128">IFERROR(_xlfn.STDEV.P(_xlfn._xlws.FILTER(nNOTA,(nCUENTA=1)*(nCURSO=A128)*(nASIG=B128))),"—")</f>
        <v>—</v>
      </c>
      <c r="G128" t="str" cm="1">
        <f t="array" ref="G128">IFERROR(_xlfn.MODE.SNGL(_xlfn._xlws.FILTER(nNOTA,(nCUENTA=1)*(nCURSO=A128)*(nASIG=B128))),"—")</f>
        <v>—</v>
      </c>
      <c r="H128" s="11" t="str">
        <f>IFERROR(SUMPRODUCT((nCUENTA=1)*(nCURSO=A128)*(nASIG=B128)*(nAPTO="S"))/D128,"—")</f>
        <v>—</v>
      </c>
      <c r="I128" s="11" t="str">
        <f>IFERROR(SUMPRODUCT((nCUENTA=1)*(nCURSO=A128)*(nASIG=B128)*(nAPTO="N"))/D128,"—")</f>
        <v>—</v>
      </c>
      <c r="J128" t="str" cm="1">
        <f t="array" ref="J128">IFERROR(_xlfn.MODE.SNGL(_xlfn._xlws.FILTER(nNOTA,(nCUENTA=1)*(nCURSO=A128)*(nASIG=B128)*(nAPTO="S"))),"—")</f>
        <v>—</v>
      </c>
      <c r="K128" t="str" cm="1">
        <f t="array" ref="K128">IFERROR(_xlfn.MODE.SNGL(_xlfn._xlws.FILTER(nNOTA,(nCUENTA=1)*(nCURSO=A128)*(nASIG=B128)*(nAPTO="N"))),"—")</f>
        <v>—</v>
      </c>
      <c r="L128">
        <f>SUMPRODUCT((nCUENTA=1)*(nCURSO=A128)*(nASIG=B128)*(nNOTA=1))</f>
        <v>0</v>
      </c>
      <c r="M128">
        <f>SUMPRODUCT((nCUENTA=1)*(nCURSO=A128)*(nASIG=B128)*(nNOTA=2))</f>
        <v>0</v>
      </c>
      <c r="N128">
        <f>SUMPRODUCT((nCUENTA=1)*(nCURSO=A128)*(nASIG=B128)*(nNOTA=3))</f>
        <v>0</v>
      </c>
      <c r="O128">
        <f>SUMPRODUCT((nCUENTA=1)*(nCURSO=A128)*(nASIG=B128)*(nNOTA=4))</f>
        <v>0</v>
      </c>
      <c r="P128">
        <f>SUMPRODUCT((nCUENTA=1)*(nCURSO=A128)*(nASIG=B128)*(nNOTA=5))</f>
        <v>0</v>
      </c>
      <c r="Q128">
        <f>SUMPRODUCT((nCUENTA=1)*(nCURSO=A128)*(nASIG=B128)*(nNOTA=6))</f>
        <v>0</v>
      </c>
      <c r="R128">
        <f>SUMPRODUCT((nCUENTA=1)*(nCURSO=A128)*(nASIG=B128)*(nNOTA=7))</f>
        <v>0</v>
      </c>
      <c r="S128">
        <f>SUMPRODUCT((nCUENTA=1)*(nCURSO=A128)*(nASIG=B128)*(nNOTA=8))</f>
        <v>0</v>
      </c>
      <c r="T128">
        <f>SUMPRODUCT((nCUENTA=1)*(nCURSO=A128)*(nASIG=B128)*(nNOTA=9))</f>
        <v>0</v>
      </c>
      <c r="U128">
        <f>SUMPRODUCT((nCUENTA=1)*(nCURSO=A128)*(nASIG=B128)*(nNOTA=10))</f>
        <v>0</v>
      </c>
    </row>
    <row r="129">
      <c r="A129" t="inlineStr">
        <is>
          <t xml:space="preserve">1EPM</t>
        </is>
      </c>
      <c r="B129" cm="1">
        <f t="array" ref="B129">IFERROR(INDEX(_xlfn._xlws.FILTER(CONFIG_ASIGNATURAS!$B$2:$B$91,(CONFIG_ASIGNATURAS!$G$2:$G$91="Sí")*ISNUMBER(SEARCH("1EPM",CONFIG_ASIGNATURAS!$C$2:$C$91))),46),"")</f>
      </c>
      <c r="C129">
        <f>IF(B129="","",IFERROR(VLOOKUP(B129,CONFIG_ASIGNATURAS!$B$2:$D$91,3,FALSE()),"Asignatura"))</f>
      </c>
      <c r="D129">
        <f>SUMPRODUCT((nCUENTA=1)*(nCURSO=A129)*(nASIG=B129))</f>
        <v>0</v>
      </c>
      <c r="E129" s="10" t="str">
        <f>IFERROR(SUMPRODUCT((nCUENTA=1)*(nCURSO=A129)*(nASIG=B129)*(nNOTA))/D129,"—")</f>
        <v>—</v>
      </c>
      <c r="F129" s="10" t="str" cm="1">
        <f t="array" ref="F129">IFERROR(_xlfn.STDEV.P(_xlfn._xlws.FILTER(nNOTA,(nCUENTA=1)*(nCURSO=A129)*(nASIG=B129))),"—")</f>
        <v>—</v>
      </c>
      <c r="G129" t="str" cm="1">
        <f t="array" ref="G129">IFERROR(_xlfn.MODE.SNGL(_xlfn._xlws.FILTER(nNOTA,(nCUENTA=1)*(nCURSO=A129)*(nASIG=B129))),"—")</f>
        <v>—</v>
      </c>
      <c r="H129" s="11" t="str">
        <f>IFERROR(SUMPRODUCT((nCUENTA=1)*(nCURSO=A129)*(nASIG=B129)*(nAPTO="S"))/D129,"—")</f>
        <v>—</v>
      </c>
      <c r="I129" s="11" t="str">
        <f>IFERROR(SUMPRODUCT((nCUENTA=1)*(nCURSO=A129)*(nASIG=B129)*(nAPTO="N"))/D129,"—")</f>
        <v>—</v>
      </c>
      <c r="J129" t="str" cm="1">
        <f t="array" ref="J129">IFERROR(_xlfn.MODE.SNGL(_xlfn._xlws.FILTER(nNOTA,(nCUENTA=1)*(nCURSO=A129)*(nASIG=B129)*(nAPTO="S"))),"—")</f>
        <v>—</v>
      </c>
      <c r="K129" t="str" cm="1">
        <f t="array" ref="K129">IFERROR(_xlfn.MODE.SNGL(_xlfn._xlws.FILTER(nNOTA,(nCUENTA=1)*(nCURSO=A129)*(nASIG=B129)*(nAPTO="N"))),"—")</f>
        <v>—</v>
      </c>
      <c r="L129">
        <f>SUMPRODUCT((nCUENTA=1)*(nCURSO=A129)*(nASIG=B129)*(nNOTA=1))</f>
        <v>0</v>
      </c>
      <c r="M129">
        <f>SUMPRODUCT((nCUENTA=1)*(nCURSO=A129)*(nASIG=B129)*(nNOTA=2))</f>
        <v>0</v>
      </c>
      <c r="N129">
        <f>SUMPRODUCT((nCUENTA=1)*(nCURSO=A129)*(nASIG=B129)*(nNOTA=3))</f>
        <v>0</v>
      </c>
      <c r="O129">
        <f>SUMPRODUCT((nCUENTA=1)*(nCURSO=A129)*(nASIG=B129)*(nNOTA=4))</f>
        <v>0</v>
      </c>
      <c r="P129">
        <f>SUMPRODUCT((nCUENTA=1)*(nCURSO=A129)*(nASIG=B129)*(nNOTA=5))</f>
        <v>0</v>
      </c>
      <c r="Q129">
        <f>SUMPRODUCT((nCUENTA=1)*(nCURSO=A129)*(nASIG=B129)*(nNOTA=6))</f>
        <v>0</v>
      </c>
      <c r="R129">
        <f>SUMPRODUCT((nCUENTA=1)*(nCURSO=A129)*(nASIG=B129)*(nNOTA=7))</f>
        <v>0</v>
      </c>
      <c r="S129">
        <f>SUMPRODUCT((nCUENTA=1)*(nCURSO=A129)*(nASIG=B129)*(nNOTA=8))</f>
        <v>0</v>
      </c>
      <c r="T129">
        <f>SUMPRODUCT((nCUENTA=1)*(nCURSO=A129)*(nASIG=B129)*(nNOTA=9))</f>
        <v>0</v>
      </c>
      <c r="U129">
        <f>SUMPRODUCT((nCUENTA=1)*(nCURSO=A129)*(nASIG=B129)*(nNOTA=10))</f>
        <v>0</v>
      </c>
    </row>
    <row r="130">
      <c r="A130" t="inlineStr">
        <is>
          <t xml:space="preserve">1EPM</t>
        </is>
      </c>
      <c r="B130" cm="1">
        <f t="array" ref="B130">IFERROR(INDEX(_xlfn._xlws.FILTER(CONFIG_ASIGNATURAS!$B$2:$B$91,(CONFIG_ASIGNATURAS!$G$2:$G$91="Sí")*ISNUMBER(SEARCH("1EPM",CONFIG_ASIGNATURAS!$C$2:$C$91))),47),"")</f>
      </c>
      <c r="C130">
        <f>IF(B130="","",IFERROR(VLOOKUP(B130,CONFIG_ASIGNATURAS!$B$2:$D$91,3,FALSE()),"Asignatura"))</f>
      </c>
      <c r="D130">
        <f>SUMPRODUCT((nCUENTA=1)*(nCURSO=A130)*(nASIG=B130))</f>
        <v>0</v>
      </c>
      <c r="E130" s="10" t="str">
        <f>IFERROR(SUMPRODUCT((nCUENTA=1)*(nCURSO=A130)*(nASIG=B130)*(nNOTA))/D130,"—")</f>
        <v>—</v>
      </c>
      <c r="F130" s="10" t="str" cm="1">
        <f t="array" ref="F130">IFERROR(_xlfn.STDEV.P(_xlfn._xlws.FILTER(nNOTA,(nCUENTA=1)*(nCURSO=A130)*(nASIG=B130))),"—")</f>
        <v>—</v>
      </c>
      <c r="G130" t="str" cm="1">
        <f t="array" ref="G130">IFERROR(_xlfn.MODE.SNGL(_xlfn._xlws.FILTER(nNOTA,(nCUENTA=1)*(nCURSO=A130)*(nASIG=B130))),"—")</f>
        <v>—</v>
      </c>
      <c r="H130" s="11" t="str">
        <f>IFERROR(SUMPRODUCT((nCUENTA=1)*(nCURSO=A130)*(nASIG=B130)*(nAPTO="S"))/D130,"—")</f>
        <v>—</v>
      </c>
      <c r="I130" s="11" t="str">
        <f>IFERROR(SUMPRODUCT((nCUENTA=1)*(nCURSO=A130)*(nASIG=B130)*(nAPTO="N"))/D130,"—")</f>
        <v>—</v>
      </c>
      <c r="J130" t="str" cm="1">
        <f t="array" ref="J130">IFERROR(_xlfn.MODE.SNGL(_xlfn._xlws.FILTER(nNOTA,(nCUENTA=1)*(nCURSO=A130)*(nASIG=B130)*(nAPTO="S"))),"—")</f>
        <v>—</v>
      </c>
      <c r="K130" t="str" cm="1">
        <f t="array" ref="K130">IFERROR(_xlfn.MODE.SNGL(_xlfn._xlws.FILTER(nNOTA,(nCUENTA=1)*(nCURSO=A130)*(nASIG=B130)*(nAPTO="N"))),"—")</f>
        <v>—</v>
      </c>
      <c r="L130">
        <f>SUMPRODUCT((nCUENTA=1)*(nCURSO=A130)*(nASIG=B130)*(nNOTA=1))</f>
        <v>0</v>
      </c>
      <c r="M130">
        <f>SUMPRODUCT((nCUENTA=1)*(nCURSO=A130)*(nASIG=B130)*(nNOTA=2))</f>
        <v>0</v>
      </c>
      <c r="N130">
        <f>SUMPRODUCT((nCUENTA=1)*(nCURSO=A130)*(nASIG=B130)*(nNOTA=3))</f>
        <v>0</v>
      </c>
      <c r="O130">
        <f>SUMPRODUCT((nCUENTA=1)*(nCURSO=A130)*(nASIG=B130)*(nNOTA=4))</f>
        <v>0</v>
      </c>
      <c r="P130">
        <f>SUMPRODUCT((nCUENTA=1)*(nCURSO=A130)*(nASIG=B130)*(nNOTA=5))</f>
        <v>0</v>
      </c>
      <c r="Q130">
        <f>SUMPRODUCT((nCUENTA=1)*(nCURSO=A130)*(nASIG=B130)*(nNOTA=6))</f>
        <v>0</v>
      </c>
      <c r="R130">
        <f>SUMPRODUCT((nCUENTA=1)*(nCURSO=A130)*(nASIG=B130)*(nNOTA=7))</f>
        <v>0</v>
      </c>
      <c r="S130">
        <f>SUMPRODUCT((nCUENTA=1)*(nCURSO=A130)*(nASIG=B130)*(nNOTA=8))</f>
        <v>0</v>
      </c>
      <c r="T130">
        <f>SUMPRODUCT((nCUENTA=1)*(nCURSO=A130)*(nASIG=B130)*(nNOTA=9))</f>
        <v>0</v>
      </c>
      <c r="U130">
        <f>SUMPRODUCT((nCUENTA=1)*(nCURSO=A130)*(nASIG=B130)*(nNOTA=10))</f>
        <v>0</v>
      </c>
    </row>
    <row r="131">
      <c r="A131" t="inlineStr">
        <is>
          <t xml:space="preserve">1EPM</t>
        </is>
      </c>
      <c r="B131" cm="1">
        <f t="array" ref="B131">IFERROR(INDEX(_xlfn._xlws.FILTER(CONFIG_ASIGNATURAS!$B$2:$B$91,(CONFIG_ASIGNATURAS!$G$2:$G$91="Sí")*ISNUMBER(SEARCH("1EPM",CONFIG_ASIGNATURAS!$C$2:$C$91))),48),"")</f>
      </c>
      <c r="C131">
        <f>IF(B131="","",IFERROR(VLOOKUP(B131,CONFIG_ASIGNATURAS!$B$2:$D$91,3,FALSE()),"Asignatura"))</f>
      </c>
      <c r="D131">
        <f>SUMPRODUCT((nCUENTA=1)*(nCURSO=A131)*(nASIG=B131))</f>
        <v>0</v>
      </c>
      <c r="E131" s="10" t="str">
        <f>IFERROR(SUMPRODUCT((nCUENTA=1)*(nCURSO=A131)*(nASIG=B131)*(nNOTA))/D131,"—")</f>
        <v>—</v>
      </c>
      <c r="F131" s="10" t="str" cm="1">
        <f t="array" ref="F131">IFERROR(_xlfn.STDEV.P(_xlfn._xlws.FILTER(nNOTA,(nCUENTA=1)*(nCURSO=A131)*(nASIG=B131))),"—")</f>
        <v>—</v>
      </c>
      <c r="G131" t="str" cm="1">
        <f t="array" ref="G131">IFERROR(_xlfn.MODE.SNGL(_xlfn._xlws.FILTER(nNOTA,(nCUENTA=1)*(nCURSO=A131)*(nASIG=B131))),"—")</f>
        <v>—</v>
      </c>
      <c r="H131" s="11" t="str">
        <f>IFERROR(SUMPRODUCT((nCUENTA=1)*(nCURSO=A131)*(nASIG=B131)*(nAPTO="S"))/D131,"—")</f>
        <v>—</v>
      </c>
      <c r="I131" s="11" t="str">
        <f>IFERROR(SUMPRODUCT((nCUENTA=1)*(nCURSO=A131)*(nASIG=B131)*(nAPTO="N"))/D131,"—")</f>
        <v>—</v>
      </c>
      <c r="J131" t="str" cm="1">
        <f t="array" ref="J131">IFERROR(_xlfn.MODE.SNGL(_xlfn._xlws.FILTER(nNOTA,(nCUENTA=1)*(nCURSO=A131)*(nASIG=B131)*(nAPTO="S"))),"—")</f>
        <v>—</v>
      </c>
      <c r="K131" t="str" cm="1">
        <f t="array" ref="K131">IFERROR(_xlfn.MODE.SNGL(_xlfn._xlws.FILTER(nNOTA,(nCUENTA=1)*(nCURSO=A131)*(nASIG=B131)*(nAPTO="N"))),"—")</f>
        <v>—</v>
      </c>
      <c r="L131">
        <f>SUMPRODUCT((nCUENTA=1)*(nCURSO=A131)*(nASIG=B131)*(nNOTA=1))</f>
        <v>0</v>
      </c>
      <c r="M131">
        <f>SUMPRODUCT((nCUENTA=1)*(nCURSO=A131)*(nASIG=B131)*(nNOTA=2))</f>
        <v>0</v>
      </c>
      <c r="N131">
        <f>SUMPRODUCT((nCUENTA=1)*(nCURSO=A131)*(nASIG=B131)*(nNOTA=3))</f>
        <v>0</v>
      </c>
      <c r="O131">
        <f>SUMPRODUCT((nCUENTA=1)*(nCURSO=A131)*(nASIG=B131)*(nNOTA=4))</f>
        <v>0</v>
      </c>
      <c r="P131">
        <f>SUMPRODUCT((nCUENTA=1)*(nCURSO=A131)*(nASIG=B131)*(nNOTA=5))</f>
        <v>0</v>
      </c>
      <c r="Q131">
        <f>SUMPRODUCT((nCUENTA=1)*(nCURSO=A131)*(nASIG=B131)*(nNOTA=6))</f>
        <v>0</v>
      </c>
      <c r="R131">
        <f>SUMPRODUCT((nCUENTA=1)*(nCURSO=A131)*(nASIG=B131)*(nNOTA=7))</f>
        <v>0</v>
      </c>
      <c r="S131">
        <f>SUMPRODUCT((nCUENTA=1)*(nCURSO=A131)*(nASIG=B131)*(nNOTA=8))</f>
        <v>0</v>
      </c>
      <c r="T131">
        <f>SUMPRODUCT((nCUENTA=1)*(nCURSO=A131)*(nASIG=B131)*(nNOTA=9))</f>
        <v>0</v>
      </c>
      <c r="U131">
        <f>SUMPRODUCT((nCUENTA=1)*(nCURSO=A131)*(nASIG=B131)*(nNOTA=10))</f>
        <v>0</v>
      </c>
    </row>
    <row r="132">
      <c r="A132" t="inlineStr">
        <is>
          <t xml:space="preserve">1EPM</t>
        </is>
      </c>
      <c r="B132" cm="1">
        <f t="array" ref="B132">IFERROR(INDEX(_xlfn._xlws.FILTER(CONFIG_ASIGNATURAS!$B$2:$B$91,(CONFIG_ASIGNATURAS!$G$2:$G$91="Sí")*ISNUMBER(SEARCH("1EPM",CONFIG_ASIGNATURAS!$C$2:$C$91))),49),"")</f>
      </c>
      <c r="C132">
        <f>IF(B132="","",IFERROR(VLOOKUP(B132,CONFIG_ASIGNATURAS!$B$2:$D$91,3,FALSE()),"Asignatura"))</f>
      </c>
      <c r="D132">
        <f>SUMPRODUCT((nCUENTA=1)*(nCURSO=A132)*(nASIG=B132))</f>
        <v>0</v>
      </c>
      <c r="E132" s="10" t="str">
        <f>IFERROR(SUMPRODUCT((nCUENTA=1)*(nCURSO=A132)*(nASIG=B132)*(nNOTA))/D132,"—")</f>
        <v>—</v>
      </c>
      <c r="F132" s="10" t="str" cm="1">
        <f t="array" ref="F132">IFERROR(_xlfn.STDEV.P(_xlfn._xlws.FILTER(nNOTA,(nCUENTA=1)*(nCURSO=A132)*(nASIG=B132))),"—")</f>
        <v>—</v>
      </c>
      <c r="G132" t="str" cm="1">
        <f t="array" ref="G132">IFERROR(_xlfn.MODE.SNGL(_xlfn._xlws.FILTER(nNOTA,(nCUENTA=1)*(nCURSO=A132)*(nASIG=B132))),"—")</f>
        <v>—</v>
      </c>
      <c r="H132" s="11" t="str">
        <f>IFERROR(SUMPRODUCT((nCUENTA=1)*(nCURSO=A132)*(nASIG=B132)*(nAPTO="S"))/D132,"—")</f>
        <v>—</v>
      </c>
      <c r="I132" s="11" t="str">
        <f>IFERROR(SUMPRODUCT((nCUENTA=1)*(nCURSO=A132)*(nASIG=B132)*(nAPTO="N"))/D132,"—")</f>
        <v>—</v>
      </c>
      <c r="J132" t="str" cm="1">
        <f t="array" ref="J132">IFERROR(_xlfn.MODE.SNGL(_xlfn._xlws.FILTER(nNOTA,(nCUENTA=1)*(nCURSO=A132)*(nASIG=B132)*(nAPTO="S"))),"—")</f>
        <v>—</v>
      </c>
      <c r="K132" t="str" cm="1">
        <f t="array" ref="K132">IFERROR(_xlfn.MODE.SNGL(_xlfn._xlws.FILTER(nNOTA,(nCUENTA=1)*(nCURSO=A132)*(nASIG=B132)*(nAPTO="N"))),"—")</f>
        <v>—</v>
      </c>
      <c r="L132">
        <f>SUMPRODUCT((nCUENTA=1)*(nCURSO=A132)*(nASIG=B132)*(nNOTA=1))</f>
        <v>0</v>
      </c>
      <c r="M132">
        <f>SUMPRODUCT((nCUENTA=1)*(nCURSO=A132)*(nASIG=B132)*(nNOTA=2))</f>
        <v>0</v>
      </c>
      <c r="N132">
        <f>SUMPRODUCT((nCUENTA=1)*(nCURSO=A132)*(nASIG=B132)*(nNOTA=3))</f>
        <v>0</v>
      </c>
      <c r="O132">
        <f>SUMPRODUCT((nCUENTA=1)*(nCURSO=A132)*(nASIG=B132)*(nNOTA=4))</f>
        <v>0</v>
      </c>
      <c r="P132">
        <f>SUMPRODUCT((nCUENTA=1)*(nCURSO=A132)*(nASIG=B132)*(nNOTA=5))</f>
        <v>0</v>
      </c>
      <c r="Q132">
        <f>SUMPRODUCT((nCUENTA=1)*(nCURSO=A132)*(nASIG=B132)*(nNOTA=6))</f>
        <v>0</v>
      </c>
      <c r="R132">
        <f>SUMPRODUCT((nCUENTA=1)*(nCURSO=A132)*(nASIG=B132)*(nNOTA=7))</f>
        <v>0</v>
      </c>
      <c r="S132">
        <f>SUMPRODUCT((nCUENTA=1)*(nCURSO=A132)*(nASIG=B132)*(nNOTA=8))</f>
        <v>0</v>
      </c>
      <c r="T132">
        <f>SUMPRODUCT((nCUENTA=1)*(nCURSO=A132)*(nASIG=B132)*(nNOTA=9))</f>
        <v>0</v>
      </c>
      <c r="U132">
        <f>SUMPRODUCT((nCUENTA=1)*(nCURSO=A132)*(nASIG=B132)*(nNOTA=10))</f>
        <v>0</v>
      </c>
    </row>
    <row r="133">
      <c r="A133" t="inlineStr">
        <is>
          <t xml:space="preserve">1EPM</t>
        </is>
      </c>
      <c r="B133" cm="1">
        <f t="array" ref="B133">IFERROR(INDEX(_xlfn._xlws.FILTER(CONFIG_ASIGNATURAS!$B$2:$B$91,(CONFIG_ASIGNATURAS!$G$2:$G$91="Sí")*ISNUMBER(SEARCH("1EPM",CONFIG_ASIGNATURAS!$C$2:$C$91))),50),"")</f>
      </c>
      <c r="C133">
        <f>IF(B133="","",IFERROR(VLOOKUP(B133,CONFIG_ASIGNATURAS!$B$2:$D$91,3,FALSE()),"Asignatura"))</f>
      </c>
      <c r="D133">
        <f>SUMPRODUCT((nCUENTA=1)*(nCURSO=A133)*(nASIG=B133))</f>
        <v>0</v>
      </c>
      <c r="E133" s="10" t="str">
        <f>IFERROR(SUMPRODUCT((nCUENTA=1)*(nCURSO=A133)*(nASIG=B133)*(nNOTA))/D133,"—")</f>
        <v>—</v>
      </c>
      <c r="F133" s="10" t="str" cm="1">
        <f t="array" ref="F133">IFERROR(_xlfn.STDEV.P(_xlfn._xlws.FILTER(nNOTA,(nCUENTA=1)*(nCURSO=A133)*(nASIG=B133))),"—")</f>
        <v>—</v>
      </c>
      <c r="G133" t="str" cm="1">
        <f t="array" ref="G133">IFERROR(_xlfn.MODE.SNGL(_xlfn._xlws.FILTER(nNOTA,(nCUENTA=1)*(nCURSO=A133)*(nASIG=B133))),"—")</f>
        <v>—</v>
      </c>
      <c r="H133" s="11" t="str">
        <f>IFERROR(SUMPRODUCT((nCUENTA=1)*(nCURSO=A133)*(nASIG=B133)*(nAPTO="S"))/D133,"—")</f>
        <v>—</v>
      </c>
      <c r="I133" s="11" t="str">
        <f>IFERROR(SUMPRODUCT((nCUENTA=1)*(nCURSO=A133)*(nASIG=B133)*(nAPTO="N"))/D133,"—")</f>
        <v>—</v>
      </c>
      <c r="J133" t="str" cm="1">
        <f t="array" ref="J133">IFERROR(_xlfn.MODE.SNGL(_xlfn._xlws.FILTER(nNOTA,(nCUENTA=1)*(nCURSO=A133)*(nASIG=B133)*(nAPTO="S"))),"—")</f>
        <v>—</v>
      </c>
      <c r="K133" t="str" cm="1">
        <f t="array" ref="K133">IFERROR(_xlfn.MODE.SNGL(_xlfn._xlws.FILTER(nNOTA,(nCUENTA=1)*(nCURSO=A133)*(nASIG=B133)*(nAPTO="N"))),"—")</f>
        <v>—</v>
      </c>
      <c r="L133">
        <f>SUMPRODUCT((nCUENTA=1)*(nCURSO=A133)*(nASIG=B133)*(nNOTA=1))</f>
        <v>0</v>
      </c>
      <c r="M133">
        <f>SUMPRODUCT((nCUENTA=1)*(nCURSO=A133)*(nASIG=B133)*(nNOTA=2))</f>
        <v>0</v>
      </c>
      <c r="N133">
        <f>SUMPRODUCT((nCUENTA=1)*(nCURSO=A133)*(nASIG=B133)*(nNOTA=3))</f>
        <v>0</v>
      </c>
      <c r="O133">
        <f>SUMPRODUCT((nCUENTA=1)*(nCURSO=A133)*(nASIG=B133)*(nNOTA=4))</f>
        <v>0</v>
      </c>
      <c r="P133">
        <f>SUMPRODUCT((nCUENTA=1)*(nCURSO=A133)*(nASIG=B133)*(nNOTA=5))</f>
        <v>0</v>
      </c>
      <c r="Q133">
        <f>SUMPRODUCT((nCUENTA=1)*(nCURSO=A133)*(nASIG=B133)*(nNOTA=6))</f>
        <v>0</v>
      </c>
      <c r="R133">
        <f>SUMPRODUCT((nCUENTA=1)*(nCURSO=A133)*(nASIG=B133)*(nNOTA=7))</f>
        <v>0</v>
      </c>
      <c r="S133">
        <f>SUMPRODUCT((nCUENTA=1)*(nCURSO=A133)*(nASIG=B133)*(nNOTA=8))</f>
        <v>0</v>
      </c>
      <c r="T133">
        <f>SUMPRODUCT((nCUENTA=1)*(nCURSO=A133)*(nASIG=B133)*(nNOTA=9))</f>
        <v>0</v>
      </c>
      <c r="U133">
        <f>SUMPRODUCT((nCUENTA=1)*(nCURSO=A133)*(nASIG=B133)*(nNOTA=10))</f>
        <v>0</v>
      </c>
    </row>
    <row r="134">
      <c r="A134" t="inlineStr">
        <is>
          <t xml:space="preserve">1EPM</t>
        </is>
      </c>
      <c r="B134" cm="1">
        <f t="array" ref="B134">IFERROR(INDEX(_xlfn._xlws.FILTER(CONFIG_ASIGNATURAS!$B$2:$B$91,(CONFIG_ASIGNATURAS!$G$2:$G$91="Sí")*ISNUMBER(SEARCH("1EPM",CONFIG_ASIGNATURAS!$C$2:$C$91))),51),"")</f>
      </c>
      <c r="C134">
        <f>IF(B134="","",IFERROR(VLOOKUP(B134,CONFIG_ASIGNATURAS!$B$2:$D$91,3,FALSE()),"Asignatura"))</f>
      </c>
      <c r="D134">
        <f>SUMPRODUCT((nCUENTA=1)*(nCURSO=A134)*(nASIG=B134))</f>
        <v>0</v>
      </c>
      <c r="E134" s="10" t="str">
        <f>IFERROR(SUMPRODUCT((nCUENTA=1)*(nCURSO=A134)*(nASIG=B134)*(nNOTA))/D134,"—")</f>
        <v>—</v>
      </c>
      <c r="F134" s="10" t="str" cm="1">
        <f t="array" ref="F134">IFERROR(_xlfn.STDEV.P(_xlfn._xlws.FILTER(nNOTA,(nCUENTA=1)*(nCURSO=A134)*(nASIG=B134))),"—")</f>
        <v>—</v>
      </c>
      <c r="G134" t="str" cm="1">
        <f t="array" ref="G134">IFERROR(_xlfn.MODE.SNGL(_xlfn._xlws.FILTER(nNOTA,(nCUENTA=1)*(nCURSO=A134)*(nASIG=B134))),"—")</f>
        <v>—</v>
      </c>
      <c r="H134" s="11" t="str">
        <f>IFERROR(SUMPRODUCT((nCUENTA=1)*(nCURSO=A134)*(nASIG=B134)*(nAPTO="S"))/D134,"—")</f>
        <v>—</v>
      </c>
      <c r="I134" s="11" t="str">
        <f>IFERROR(SUMPRODUCT((nCUENTA=1)*(nCURSO=A134)*(nASIG=B134)*(nAPTO="N"))/D134,"—")</f>
        <v>—</v>
      </c>
      <c r="J134" t="str" cm="1">
        <f t="array" ref="J134">IFERROR(_xlfn.MODE.SNGL(_xlfn._xlws.FILTER(nNOTA,(nCUENTA=1)*(nCURSO=A134)*(nASIG=B134)*(nAPTO="S"))),"—")</f>
        <v>—</v>
      </c>
      <c r="K134" t="str" cm="1">
        <f t="array" ref="K134">IFERROR(_xlfn.MODE.SNGL(_xlfn._xlws.FILTER(nNOTA,(nCUENTA=1)*(nCURSO=A134)*(nASIG=B134)*(nAPTO="N"))),"—")</f>
        <v>—</v>
      </c>
      <c r="L134">
        <f>SUMPRODUCT((nCUENTA=1)*(nCURSO=A134)*(nASIG=B134)*(nNOTA=1))</f>
        <v>0</v>
      </c>
      <c r="M134">
        <f>SUMPRODUCT((nCUENTA=1)*(nCURSO=A134)*(nASIG=B134)*(nNOTA=2))</f>
        <v>0</v>
      </c>
      <c r="N134">
        <f>SUMPRODUCT((nCUENTA=1)*(nCURSO=A134)*(nASIG=B134)*(nNOTA=3))</f>
        <v>0</v>
      </c>
      <c r="O134">
        <f>SUMPRODUCT((nCUENTA=1)*(nCURSO=A134)*(nASIG=B134)*(nNOTA=4))</f>
        <v>0</v>
      </c>
      <c r="P134">
        <f>SUMPRODUCT((nCUENTA=1)*(nCURSO=A134)*(nASIG=B134)*(nNOTA=5))</f>
        <v>0</v>
      </c>
      <c r="Q134">
        <f>SUMPRODUCT((nCUENTA=1)*(nCURSO=A134)*(nASIG=B134)*(nNOTA=6))</f>
        <v>0</v>
      </c>
      <c r="R134">
        <f>SUMPRODUCT((nCUENTA=1)*(nCURSO=A134)*(nASIG=B134)*(nNOTA=7))</f>
        <v>0</v>
      </c>
      <c r="S134">
        <f>SUMPRODUCT((nCUENTA=1)*(nCURSO=A134)*(nASIG=B134)*(nNOTA=8))</f>
        <v>0</v>
      </c>
      <c r="T134">
        <f>SUMPRODUCT((nCUENTA=1)*(nCURSO=A134)*(nASIG=B134)*(nNOTA=9))</f>
        <v>0</v>
      </c>
      <c r="U134">
        <f>SUMPRODUCT((nCUENTA=1)*(nCURSO=A134)*(nASIG=B134)*(nNOTA=10))</f>
        <v>0</v>
      </c>
    </row>
    <row r="135">
      <c r="A135" t="inlineStr">
        <is>
          <t xml:space="preserve">1EPM</t>
        </is>
      </c>
      <c r="B135" cm="1">
        <f t="array" ref="B135">IFERROR(INDEX(_xlfn._xlws.FILTER(CONFIG_ASIGNATURAS!$B$2:$B$91,(CONFIG_ASIGNATURAS!$G$2:$G$91="Sí")*ISNUMBER(SEARCH("1EPM",CONFIG_ASIGNATURAS!$C$2:$C$91))),52),"")</f>
      </c>
      <c r="C135">
        <f>IF(B135="","",IFERROR(VLOOKUP(B135,CONFIG_ASIGNATURAS!$B$2:$D$91,3,FALSE()),"Asignatura"))</f>
      </c>
      <c r="D135">
        <f>SUMPRODUCT((nCUENTA=1)*(nCURSO=A135)*(nASIG=B135))</f>
        <v>0</v>
      </c>
      <c r="E135" s="10" t="str">
        <f>IFERROR(SUMPRODUCT((nCUENTA=1)*(nCURSO=A135)*(nASIG=B135)*(nNOTA))/D135,"—")</f>
        <v>—</v>
      </c>
      <c r="F135" s="10" t="str" cm="1">
        <f t="array" ref="F135">IFERROR(_xlfn.STDEV.P(_xlfn._xlws.FILTER(nNOTA,(nCUENTA=1)*(nCURSO=A135)*(nASIG=B135))),"—")</f>
        <v>—</v>
      </c>
      <c r="G135" t="str" cm="1">
        <f t="array" ref="G135">IFERROR(_xlfn.MODE.SNGL(_xlfn._xlws.FILTER(nNOTA,(nCUENTA=1)*(nCURSO=A135)*(nASIG=B135))),"—")</f>
        <v>—</v>
      </c>
      <c r="H135" s="11" t="str">
        <f>IFERROR(SUMPRODUCT((nCUENTA=1)*(nCURSO=A135)*(nASIG=B135)*(nAPTO="S"))/D135,"—")</f>
        <v>—</v>
      </c>
      <c r="I135" s="11" t="str">
        <f>IFERROR(SUMPRODUCT((nCUENTA=1)*(nCURSO=A135)*(nASIG=B135)*(nAPTO="N"))/D135,"—")</f>
        <v>—</v>
      </c>
      <c r="J135" t="str" cm="1">
        <f t="array" ref="J135">IFERROR(_xlfn.MODE.SNGL(_xlfn._xlws.FILTER(nNOTA,(nCUENTA=1)*(nCURSO=A135)*(nASIG=B135)*(nAPTO="S"))),"—")</f>
        <v>—</v>
      </c>
      <c r="K135" t="str" cm="1">
        <f t="array" ref="K135">IFERROR(_xlfn.MODE.SNGL(_xlfn._xlws.FILTER(nNOTA,(nCUENTA=1)*(nCURSO=A135)*(nASIG=B135)*(nAPTO="N"))),"—")</f>
        <v>—</v>
      </c>
      <c r="L135">
        <f>SUMPRODUCT((nCUENTA=1)*(nCURSO=A135)*(nASIG=B135)*(nNOTA=1))</f>
        <v>0</v>
      </c>
      <c r="M135">
        <f>SUMPRODUCT((nCUENTA=1)*(nCURSO=A135)*(nASIG=B135)*(nNOTA=2))</f>
        <v>0</v>
      </c>
      <c r="N135">
        <f>SUMPRODUCT((nCUENTA=1)*(nCURSO=A135)*(nASIG=B135)*(nNOTA=3))</f>
        <v>0</v>
      </c>
      <c r="O135">
        <f>SUMPRODUCT((nCUENTA=1)*(nCURSO=A135)*(nASIG=B135)*(nNOTA=4))</f>
        <v>0</v>
      </c>
      <c r="P135">
        <f>SUMPRODUCT((nCUENTA=1)*(nCURSO=A135)*(nASIG=B135)*(nNOTA=5))</f>
        <v>0</v>
      </c>
      <c r="Q135">
        <f>SUMPRODUCT((nCUENTA=1)*(nCURSO=A135)*(nASIG=B135)*(nNOTA=6))</f>
        <v>0</v>
      </c>
      <c r="R135">
        <f>SUMPRODUCT((nCUENTA=1)*(nCURSO=A135)*(nASIG=B135)*(nNOTA=7))</f>
        <v>0</v>
      </c>
      <c r="S135">
        <f>SUMPRODUCT((nCUENTA=1)*(nCURSO=A135)*(nASIG=B135)*(nNOTA=8))</f>
        <v>0</v>
      </c>
      <c r="T135">
        <f>SUMPRODUCT((nCUENTA=1)*(nCURSO=A135)*(nASIG=B135)*(nNOTA=9))</f>
        <v>0</v>
      </c>
      <c r="U135">
        <f>SUMPRODUCT((nCUENTA=1)*(nCURSO=A135)*(nASIG=B135)*(nNOTA=10))</f>
        <v>0</v>
      </c>
    </row>
    <row r="136">
      <c r="A136" t="inlineStr">
        <is>
          <t xml:space="preserve">1EPM</t>
        </is>
      </c>
      <c r="B136" cm="1">
        <f t="array" ref="B136">IFERROR(INDEX(_xlfn._xlws.FILTER(CONFIG_ASIGNATURAS!$B$2:$B$91,(CONFIG_ASIGNATURAS!$G$2:$G$91="Sí")*ISNUMBER(SEARCH("1EPM",CONFIG_ASIGNATURAS!$C$2:$C$91))),53),"")</f>
      </c>
      <c r="C136">
        <f>IF(B136="","",IFERROR(VLOOKUP(B136,CONFIG_ASIGNATURAS!$B$2:$D$91,3,FALSE()),"Asignatura"))</f>
      </c>
      <c r="D136">
        <f>SUMPRODUCT((nCUENTA=1)*(nCURSO=A136)*(nASIG=B136))</f>
        <v>0</v>
      </c>
      <c r="E136" s="10" t="str">
        <f>IFERROR(SUMPRODUCT((nCUENTA=1)*(nCURSO=A136)*(nASIG=B136)*(nNOTA))/D136,"—")</f>
        <v>—</v>
      </c>
      <c r="F136" s="10" t="str" cm="1">
        <f t="array" ref="F136">IFERROR(_xlfn.STDEV.P(_xlfn._xlws.FILTER(nNOTA,(nCUENTA=1)*(nCURSO=A136)*(nASIG=B136))),"—")</f>
        <v>—</v>
      </c>
      <c r="G136" t="str" cm="1">
        <f t="array" ref="G136">IFERROR(_xlfn.MODE.SNGL(_xlfn._xlws.FILTER(nNOTA,(nCUENTA=1)*(nCURSO=A136)*(nASIG=B136))),"—")</f>
        <v>—</v>
      </c>
      <c r="H136" s="11" t="str">
        <f>IFERROR(SUMPRODUCT((nCUENTA=1)*(nCURSO=A136)*(nASIG=B136)*(nAPTO="S"))/D136,"—")</f>
        <v>—</v>
      </c>
      <c r="I136" s="11" t="str">
        <f>IFERROR(SUMPRODUCT((nCUENTA=1)*(nCURSO=A136)*(nASIG=B136)*(nAPTO="N"))/D136,"—")</f>
        <v>—</v>
      </c>
      <c r="J136" t="str" cm="1">
        <f t="array" ref="J136">IFERROR(_xlfn.MODE.SNGL(_xlfn._xlws.FILTER(nNOTA,(nCUENTA=1)*(nCURSO=A136)*(nASIG=B136)*(nAPTO="S"))),"—")</f>
        <v>—</v>
      </c>
      <c r="K136" t="str" cm="1">
        <f t="array" ref="K136">IFERROR(_xlfn.MODE.SNGL(_xlfn._xlws.FILTER(nNOTA,(nCUENTA=1)*(nCURSO=A136)*(nASIG=B136)*(nAPTO="N"))),"—")</f>
        <v>—</v>
      </c>
      <c r="L136">
        <f>SUMPRODUCT((nCUENTA=1)*(nCURSO=A136)*(nASIG=B136)*(nNOTA=1))</f>
        <v>0</v>
      </c>
      <c r="M136">
        <f>SUMPRODUCT((nCUENTA=1)*(nCURSO=A136)*(nASIG=B136)*(nNOTA=2))</f>
        <v>0</v>
      </c>
      <c r="N136">
        <f>SUMPRODUCT((nCUENTA=1)*(nCURSO=A136)*(nASIG=B136)*(nNOTA=3))</f>
        <v>0</v>
      </c>
      <c r="O136">
        <f>SUMPRODUCT((nCUENTA=1)*(nCURSO=A136)*(nASIG=B136)*(nNOTA=4))</f>
        <v>0</v>
      </c>
      <c r="P136">
        <f>SUMPRODUCT((nCUENTA=1)*(nCURSO=A136)*(nASIG=B136)*(nNOTA=5))</f>
        <v>0</v>
      </c>
      <c r="Q136">
        <f>SUMPRODUCT((nCUENTA=1)*(nCURSO=A136)*(nASIG=B136)*(nNOTA=6))</f>
        <v>0</v>
      </c>
      <c r="R136">
        <f>SUMPRODUCT((nCUENTA=1)*(nCURSO=A136)*(nASIG=B136)*(nNOTA=7))</f>
        <v>0</v>
      </c>
      <c r="S136">
        <f>SUMPRODUCT((nCUENTA=1)*(nCURSO=A136)*(nASIG=B136)*(nNOTA=8))</f>
        <v>0</v>
      </c>
      <c r="T136">
        <f>SUMPRODUCT((nCUENTA=1)*(nCURSO=A136)*(nASIG=B136)*(nNOTA=9))</f>
        <v>0</v>
      </c>
      <c r="U136">
        <f>SUMPRODUCT((nCUENTA=1)*(nCURSO=A136)*(nASIG=B136)*(nNOTA=10))</f>
        <v>0</v>
      </c>
    </row>
    <row r="137">
      <c r="A137" t="inlineStr">
        <is>
          <t xml:space="preserve">1EPM</t>
        </is>
      </c>
      <c r="B137" cm="1">
        <f t="array" ref="B137">IFERROR(INDEX(_xlfn._xlws.FILTER(CONFIG_ASIGNATURAS!$B$2:$B$91,(CONFIG_ASIGNATURAS!$G$2:$G$91="Sí")*ISNUMBER(SEARCH("1EPM",CONFIG_ASIGNATURAS!$C$2:$C$91))),54),"")</f>
      </c>
      <c r="C137">
        <f>IF(B137="","",IFERROR(VLOOKUP(B137,CONFIG_ASIGNATURAS!$B$2:$D$91,3,FALSE()),"Asignatura"))</f>
      </c>
      <c r="D137">
        <f>SUMPRODUCT((nCUENTA=1)*(nCURSO=A137)*(nASIG=B137))</f>
        <v>0</v>
      </c>
      <c r="E137" s="10" t="str">
        <f>IFERROR(SUMPRODUCT((nCUENTA=1)*(nCURSO=A137)*(nASIG=B137)*(nNOTA))/D137,"—")</f>
        <v>—</v>
      </c>
      <c r="F137" s="10" t="str" cm="1">
        <f t="array" ref="F137">IFERROR(_xlfn.STDEV.P(_xlfn._xlws.FILTER(nNOTA,(nCUENTA=1)*(nCURSO=A137)*(nASIG=B137))),"—")</f>
        <v>—</v>
      </c>
      <c r="G137" t="str" cm="1">
        <f t="array" ref="G137">IFERROR(_xlfn.MODE.SNGL(_xlfn._xlws.FILTER(nNOTA,(nCUENTA=1)*(nCURSO=A137)*(nASIG=B137))),"—")</f>
        <v>—</v>
      </c>
      <c r="H137" s="11" t="str">
        <f>IFERROR(SUMPRODUCT((nCUENTA=1)*(nCURSO=A137)*(nASIG=B137)*(nAPTO="S"))/D137,"—")</f>
        <v>—</v>
      </c>
      <c r="I137" s="11" t="str">
        <f>IFERROR(SUMPRODUCT((nCUENTA=1)*(nCURSO=A137)*(nASIG=B137)*(nAPTO="N"))/D137,"—")</f>
        <v>—</v>
      </c>
      <c r="J137" t="str" cm="1">
        <f t="array" ref="J137">IFERROR(_xlfn.MODE.SNGL(_xlfn._xlws.FILTER(nNOTA,(nCUENTA=1)*(nCURSO=A137)*(nASIG=B137)*(nAPTO="S"))),"—")</f>
        <v>—</v>
      </c>
      <c r="K137" t="str" cm="1">
        <f t="array" ref="K137">IFERROR(_xlfn.MODE.SNGL(_xlfn._xlws.FILTER(nNOTA,(nCUENTA=1)*(nCURSO=A137)*(nASIG=B137)*(nAPTO="N"))),"—")</f>
        <v>—</v>
      </c>
      <c r="L137">
        <f>SUMPRODUCT((nCUENTA=1)*(nCURSO=A137)*(nASIG=B137)*(nNOTA=1))</f>
        <v>0</v>
      </c>
      <c r="M137">
        <f>SUMPRODUCT((nCUENTA=1)*(nCURSO=A137)*(nASIG=B137)*(nNOTA=2))</f>
        <v>0</v>
      </c>
      <c r="N137">
        <f>SUMPRODUCT((nCUENTA=1)*(nCURSO=A137)*(nASIG=B137)*(nNOTA=3))</f>
        <v>0</v>
      </c>
      <c r="O137">
        <f>SUMPRODUCT((nCUENTA=1)*(nCURSO=A137)*(nASIG=B137)*(nNOTA=4))</f>
        <v>0</v>
      </c>
      <c r="P137">
        <f>SUMPRODUCT((nCUENTA=1)*(nCURSO=A137)*(nASIG=B137)*(nNOTA=5))</f>
        <v>0</v>
      </c>
      <c r="Q137">
        <f>SUMPRODUCT((nCUENTA=1)*(nCURSO=A137)*(nASIG=B137)*(nNOTA=6))</f>
        <v>0</v>
      </c>
      <c r="R137">
        <f>SUMPRODUCT((nCUENTA=1)*(nCURSO=A137)*(nASIG=B137)*(nNOTA=7))</f>
        <v>0</v>
      </c>
      <c r="S137">
        <f>SUMPRODUCT((nCUENTA=1)*(nCURSO=A137)*(nASIG=B137)*(nNOTA=8))</f>
        <v>0</v>
      </c>
      <c r="T137">
        <f>SUMPRODUCT((nCUENTA=1)*(nCURSO=A137)*(nASIG=B137)*(nNOTA=9))</f>
        <v>0</v>
      </c>
      <c r="U137">
        <f>SUMPRODUCT((nCUENTA=1)*(nCURSO=A137)*(nASIG=B137)*(nNOTA=10))</f>
        <v>0</v>
      </c>
    </row>
    <row r="138">
      <c r="A138" t="inlineStr">
        <is>
          <t xml:space="preserve">1EPM</t>
        </is>
      </c>
      <c r="B138" cm="1">
        <f t="array" ref="B138">IFERROR(INDEX(_xlfn._xlws.FILTER(CONFIG_ASIGNATURAS!$B$2:$B$91,(CONFIG_ASIGNATURAS!$G$2:$G$91="Sí")*ISNUMBER(SEARCH("1EPM",CONFIG_ASIGNATURAS!$C$2:$C$91))),55),"")</f>
      </c>
      <c r="C138">
        <f>IF(B138="","",IFERROR(VLOOKUP(B138,CONFIG_ASIGNATURAS!$B$2:$D$91,3,FALSE()),"Asignatura"))</f>
      </c>
      <c r="D138">
        <f>SUMPRODUCT((nCUENTA=1)*(nCURSO=A138)*(nASIG=B138))</f>
        <v>0</v>
      </c>
      <c r="E138" s="10" t="str">
        <f>IFERROR(SUMPRODUCT((nCUENTA=1)*(nCURSO=A138)*(nASIG=B138)*(nNOTA))/D138,"—")</f>
        <v>—</v>
      </c>
      <c r="F138" s="10" t="str" cm="1">
        <f t="array" ref="F138">IFERROR(_xlfn.STDEV.P(_xlfn._xlws.FILTER(nNOTA,(nCUENTA=1)*(nCURSO=A138)*(nASIG=B138))),"—")</f>
        <v>—</v>
      </c>
      <c r="G138" t="str" cm="1">
        <f t="array" ref="G138">IFERROR(_xlfn.MODE.SNGL(_xlfn._xlws.FILTER(nNOTA,(nCUENTA=1)*(nCURSO=A138)*(nASIG=B138))),"—")</f>
        <v>—</v>
      </c>
      <c r="H138" s="11" t="str">
        <f>IFERROR(SUMPRODUCT((nCUENTA=1)*(nCURSO=A138)*(nASIG=B138)*(nAPTO="S"))/D138,"—")</f>
        <v>—</v>
      </c>
      <c r="I138" s="11" t="str">
        <f>IFERROR(SUMPRODUCT((nCUENTA=1)*(nCURSO=A138)*(nASIG=B138)*(nAPTO="N"))/D138,"—")</f>
        <v>—</v>
      </c>
      <c r="J138" t="str" cm="1">
        <f t="array" ref="J138">IFERROR(_xlfn.MODE.SNGL(_xlfn._xlws.FILTER(nNOTA,(nCUENTA=1)*(nCURSO=A138)*(nASIG=B138)*(nAPTO="S"))),"—")</f>
        <v>—</v>
      </c>
      <c r="K138" t="str" cm="1">
        <f t="array" ref="K138">IFERROR(_xlfn.MODE.SNGL(_xlfn._xlws.FILTER(nNOTA,(nCUENTA=1)*(nCURSO=A138)*(nASIG=B138)*(nAPTO="N"))),"—")</f>
        <v>—</v>
      </c>
      <c r="L138">
        <f>SUMPRODUCT((nCUENTA=1)*(nCURSO=A138)*(nASIG=B138)*(nNOTA=1))</f>
        <v>0</v>
      </c>
      <c r="M138">
        <f>SUMPRODUCT((nCUENTA=1)*(nCURSO=A138)*(nASIG=B138)*(nNOTA=2))</f>
        <v>0</v>
      </c>
      <c r="N138">
        <f>SUMPRODUCT((nCUENTA=1)*(nCURSO=A138)*(nASIG=B138)*(nNOTA=3))</f>
        <v>0</v>
      </c>
      <c r="O138">
        <f>SUMPRODUCT((nCUENTA=1)*(nCURSO=A138)*(nASIG=B138)*(nNOTA=4))</f>
        <v>0</v>
      </c>
      <c r="P138">
        <f>SUMPRODUCT((nCUENTA=1)*(nCURSO=A138)*(nASIG=B138)*(nNOTA=5))</f>
        <v>0</v>
      </c>
      <c r="Q138">
        <f>SUMPRODUCT((nCUENTA=1)*(nCURSO=A138)*(nASIG=B138)*(nNOTA=6))</f>
        <v>0</v>
      </c>
      <c r="R138">
        <f>SUMPRODUCT((nCUENTA=1)*(nCURSO=A138)*(nASIG=B138)*(nNOTA=7))</f>
        <v>0</v>
      </c>
      <c r="S138">
        <f>SUMPRODUCT((nCUENTA=1)*(nCURSO=A138)*(nASIG=B138)*(nNOTA=8))</f>
        <v>0</v>
      </c>
      <c r="T138">
        <f>SUMPRODUCT((nCUENTA=1)*(nCURSO=A138)*(nASIG=B138)*(nNOTA=9))</f>
        <v>0</v>
      </c>
      <c r="U138">
        <f>SUMPRODUCT((nCUENTA=1)*(nCURSO=A138)*(nASIG=B138)*(nNOTA=10))</f>
        <v>0</v>
      </c>
    </row>
    <row r="139">
      <c r="A139" t="inlineStr">
        <is>
          <t xml:space="preserve">1EPM</t>
        </is>
      </c>
      <c r="B139" cm="1">
        <f t="array" ref="B139">IFERROR(INDEX(_xlfn._xlws.FILTER(CONFIG_ASIGNATURAS!$B$2:$B$91,(CONFIG_ASIGNATURAS!$G$2:$G$91="Sí")*ISNUMBER(SEARCH("1EPM",CONFIG_ASIGNATURAS!$C$2:$C$91))),56),"")</f>
      </c>
      <c r="C139">
        <f>IF(B139="","",IFERROR(VLOOKUP(B139,CONFIG_ASIGNATURAS!$B$2:$D$91,3,FALSE()),"Asignatura"))</f>
      </c>
      <c r="D139">
        <f>SUMPRODUCT((nCUENTA=1)*(nCURSO=A139)*(nASIG=B139))</f>
        <v>0</v>
      </c>
      <c r="E139" s="10" t="str">
        <f>IFERROR(SUMPRODUCT((nCUENTA=1)*(nCURSO=A139)*(nASIG=B139)*(nNOTA))/D139,"—")</f>
        <v>—</v>
      </c>
      <c r="F139" s="10" t="str" cm="1">
        <f t="array" ref="F139">IFERROR(_xlfn.STDEV.P(_xlfn._xlws.FILTER(nNOTA,(nCUENTA=1)*(nCURSO=A139)*(nASIG=B139))),"—")</f>
        <v>—</v>
      </c>
      <c r="G139" t="str" cm="1">
        <f t="array" ref="G139">IFERROR(_xlfn.MODE.SNGL(_xlfn._xlws.FILTER(nNOTA,(nCUENTA=1)*(nCURSO=A139)*(nASIG=B139))),"—")</f>
        <v>—</v>
      </c>
      <c r="H139" s="11" t="str">
        <f>IFERROR(SUMPRODUCT((nCUENTA=1)*(nCURSO=A139)*(nASIG=B139)*(nAPTO="S"))/D139,"—")</f>
        <v>—</v>
      </c>
      <c r="I139" s="11" t="str">
        <f>IFERROR(SUMPRODUCT((nCUENTA=1)*(nCURSO=A139)*(nASIG=B139)*(nAPTO="N"))/D139,"—")</f>
        <v>—</v>
      </c>
      <c r="J139" t="str" cm="1">
        <f t="array" ref="J139">IFERROR(_xlfn.MODE.SNGL(_xlfn._xlws.FILTER(nNOTA,(nCUENTA=1)*(nCURSO=A139)*(nASIG=B139)*(nAPTO="S"))),"—")</f>
        <v>—</v>
      </c>
      <c r="K139" t="str" cm="1">
        <f t="array" ref="K139">IFERROR(_xlfn.MODE.SNGL(_xlfn._xlws.FILTER(nNOTA,(nCUENTA=1)*(nCURSO=A139)*(nASIG=B139)*(nAPTO="N"))),"—")</f>
        <v>—</v>
      </c>
      <c r="L139">
        <f>SUMPRODUCT((nCUENTA=1)*(nCURSO=A139)*(nASIG=B139)*(nNOTA=1))</f>
        <v>0</v>
      </c>
      <c r="M139">
        <f>SUMPRODUCT((nCUENTA=1)*(nCURSO=A139)*(nASIG=B139)*(nNOTA=2))</f>
        <v>0</v>
      </c>
      <c r="N139">
        <f>SUMPRODUCT((nCUENTA=1)*(nCURSO=A139)*(nASIG=B139)*(nNOTA=3))</f>
        <v>0</v>
      </c>
      <c r="O139">
        <f>SUMPRODUCT((nCUENTA=1)*(nCURSO=A139)*(nASIG=B139)*(nNOTA=4))</f>
        <v>0</v>
      </c>
      <c r="P139">
        <f>SUMPRODUCT((nCUENTA=1)*(nCURSO=A139)*(nASIG=B139)*(nNOTA=5))</f>
        <v>0</v>
      </c>
      <c r="Q139">
        <f>SUMPRODUCT((nCUENTA=1)*(nCURSO=A139)*(nASIG=B139)*(nNOTA=6))</f>
        <v>0</v>
      </c>
      <c r="R139">
        <f>SUMPRODUCT((nCUENTA=1)*(nCURSO=A139)*(nASIG=B139)*(nNOTA=7))</f>
        <v>0</v>
      </c>
      <c r="S139">
        <f>SUMPRODUCT((nCUENTA=1)*(nCURSO=A139)*(nASIG=B139)*(nNOTA=8))</f>
        <v>0</v>
      </c>
      <c r="T139">
        <f>SUMPRODUCT((nCUENTA=1)*(nCURSO=A139)*(nASIG=B139)*(nNOTA=9))</f>
        <v>0</v>
      </c>
      <c r="U139">
        <f>SUMPRODUCT((nCUENTA=1)*(nCURSO=A139)*(nASIG=B139)*(nNOTA=10))</f>
        <v>0</v>
      </c>
    </row>
    <row r="140">
      <c r="A140" t="inlineStr">
        <is>
          <t xml:space="preserve">1EPM</t>
        </is>
      </c>
      <c r="B140" cm="1">
        <f t="array" ref="B140">IFERROR(INDEX(_xlfn._xlws.FILTER(CONFIG_ASIGNATURAS!$B$2:$B$91,(CONFIG_ASIGNATURAS!$G$2:$G$91="Sí")*ISNUMBER(SEARCH("1EPM",CONFIG_ASIGNATURAS!$C$2:$C$91))),57),"")</f>
      </c>
      <c r="C140">
        <f>IF(B140="","",IFERROR(VLOOKUP(B140,CONFIG_ASIGNATURAS!$B$2:$D$91,3,FALSE()),"Asignatura"))</f>
      </c>
      <c r="D140">
        <f>SUMPRODUCT((nCUENTA=1)*(nCURSO=A140)*(nASIG=B140))</f>
        <v>0</v>
      </c>
      <c r="E140" s="10" t="str">
        <f>IFERROR(SUMPRODUCT((nCUENTA=1)*(nCURSO=A140)*(nASIG=B140)*(nNOTA))/D140,"—")</f>
        <v>—</v>
      </c>
      <c r="F140" s="10" t="str" cm="1">
        <f t="array" ref="F140">IFERROR(_xlfn.STDEV.P(_xlfn._xlws.FILTER(nNOTA,(nCUENTA=1)*(nCURSO=A140)*(nASIG=B140))),"—")</f>
        <v>—</v>
      </c>
      <c r="G140" t="str" cm="1">
        <f t="array" ref="G140">IFERROR(_xlfn.MODE.SNGL(_xlfn._xlws.FILTER(nNOTA,(nCUENTA=1)*(nCURSO=A140)*(nASIG=B140))),"—")</f>
        <v>—</v>
      </c>
      <c r="H140" s="11" t="str">
        <f>IFERROR(SUMPRODUCT((nCUENTA=1)*(nCURSO=A140)*(nASIG=B140)*(nAPTO="S"))/D140,"—")</f>
        <v>—</v>
      </c>
      <c r="I140" s="11" t="str">
        <f>IFERROR(SUMPRODUCT((nCUENTA=1)*(nCURSO=A140)*(nASIG=B140)*(nAPTO="N"))/D140,"—")</f>
        <v>—</v>
      </c>
      <c r="J140" t="str" cm="1">
        <f t="array" ref="J140">IFERROR(_xlfn.MODE.SNGL(_xlfn._xlws.FILTER(nNOTA,(nCUENTA=1)*(nCURSO=A140)*(nASIG=B140)*(nAPTO="S"))),"—")</f>
        <v>—</v>
      </c>
      <c r="K140" t="str" cm="1">
        <f t="array" ref="K140">IFERROR(_xlfn.MODE.SNGL(_xlfn._xlws.FILTER(nNOTA,(nCUENTA=1)*(nCURSO=A140)*(nASIG=B140)*(nAPTO="N"))),"—")</f>
        <v>—</v>
      </c>
      <c r="L140">
        <f>SUMPRODUCT((nCUENTA=1)*(nCURSO=A140)*(nASIG=B140)*(nNOTA=1))</f>
        <v>0</v>
      </c>
      <c r="M140">
        <f>SUMPRODUCT((nCUENTA=1)*(nCURSO=A140)*(nASIG=B140)*(nNOTA=2))</f>
        <v>0</v>
      </c>
      <c r="N140">
        <f>SUMPRODUCT((nCUENTA=1)*(nCURSO=A140)*(nASIG=B140)*(nNOTA=3))</f>
        <v>0</v>
      </c>
      <c r="O140">
        <f>SUMPRODUCT((nCUENTA=1)*(nCURSO=A140)*(nASIG=B140)*(nNOTA=4))</f>
        <v>0</v>
      </c>
      <c r="P140">
        <f>SUMPRODUCT((nCUENTA=1)*(nCURSO=A140)*(nASIG=B140)*(nNOTA=5))</f>
        <v>0</v>
      </c>
      <c r="Q140">
        <f>SUMPRODUCT((nCUENTA=1)*(nCURSO=A140)*(nASIG=B140)*(nNOTA=6))</f>
        <v>0</v>
      </c>
      <c r="R140">
        <f>SUMPRODUCT((nCUENTA=1)*(nCURSO=A140)*(nASIG=B140)*(nNOTA=7))</f>
        <v>0</v>
      </c>
      <c r="S140">
        <f>SUMPRODUCT((nCUENTA=1)*(nCURSO=A140)*(nASIG=B140)*(nNOTA=8))</f>
        <v>0</v>
      </c>
      <c r="T140">
        <f>SUMPRODUCT((nCUENTA=1)*(nCURSO=A140)*(nASIG=B140)*(nNOTA=9))</f>
        <v>0</v>
      </c>
      <c r="U140">
        <f>SUMPRODUCT((nCUENTA=1)*(nCURSO=A140)*(nASIG=B140)*(nNOTA=10))</f>
        <v>0</v>
      </c>
    </row>
    <row r="141">
      <c r="A141" t="inlineStr">
        <is>
          <t xml:space="preserve">1EPM</t>
        </is>
      </c>
      <c r="B141" cm="1">
        <f t="array" ref="B141">IFERROR(INDEX(_xlfn._xlws.FILTER(CONFIG_ASIGNATURAS!$B$2:$B$91,(CONFIG_ASIGNATURAS!$G$2:$G$91="Sí")*ISNUMBER(SEARCH("1EPM",CONFIG_ASIGNATURAS!$C$2:$C$91))),58),"")</f>
      </c>
      <c r="C141">
        <f>IF(B141="","",IFERROR(VLOOKUP(B141,CONFIG_ASIGNATURAS!$B$2:$D$91,3,FALSE()),"Asignatura"))</f>
      </c>
      <c r="D141">
        <f>SUMPRODUCT((nCUENTA=1)*(nCURSO=A141)*(nASIG=B141))</f>
        <v>0</v>
      </c>
      <c r="E141" s="10" t="str">
        <f>IFERROR(SUMPRODUCT((nCUENTA=1)*(nCURSO=A141)*(nASIG=B141)*(nNOTA))/D141,"—")</f>
        <v>—</v>
      </c>
      <c r="F141" s="10" t="str" cm="1">
        <f t="array" ref="F141">IFERROR(_xlfn.STDEV.P(_xlfn._xlws.FILTER(nNOTA,(nCUENTA=1)*(nCURSO=A141)*(nASIG=B141))),"—")</f>
        <v>—</v>
      </c>
      <c r="G141" t="str" cm="1">
        <f t="array" ref="G141">IFERROR(_xlfn.MODE.SNGL(_xlfn._xlws.FILTER(nNOTA,(nCUENTA=1)*(nCURSO=A141)*(nASIG=B141))),"—")</f>
        <v>—</v>
      </c>
      <c r="H141" s="11" t="str">
        <f>IFERROR(SUMPRODUCT((nCUENTA=1)*(nCURSO=A141)*(nASIG=B141)*(nAPTO="S"))/D141,"—")</f>
        <v>—</v>
      </c>
      <c r="I141" s="11" t="str">
        <f>IFERROR(SUMPRODUCT((nCUENTA=1)*(nCURSO=A141)*(nASIG=B141)*(nAPTO="N"))/D141,"—")</f>
        <v>—</v>
      </c>
      <c r="J141" t="str" cm="1">
        <f t="array" ref="J141">IFERROR(_xlfn.MODE.SNGL(_xlfn._xlws.FILTER(nNOTA,(nCUENTA=1)*(nCURSO=A141)*(nASIG=B141)*(nAPTO="S"))),"—")</f>
        <v>—</v>
      </c>
      <c r="K141" t="str" cm="1">
        <f t="array" ref="K141">IFERROR(_xlfn.MODE.SNGL(_xlfn._xlws.FILTER(nNOTA,(nCUENTA=1)*(nCURSO=A141)*(nASIG=B141)*(nAPTO="N"))),"—")</f>
        <v>—</v>
      </c>
      <c r="L141">
        <f>SUMPRODUCT((nCUENTA=1)*(nCURSO=A141)*(nASIG=B141)*(nNOTA=1))</f>
        <v>0</v>
      </c>
      <c r="M141">
        <f>SUMPRODUCT((nCUENTA=1)*(nCURSO=A141)*(nASIG=B141)*(nNOTA=2))</f>
        <v>0</v>
      </c>
      <c r="N141">
        <f>SUMPRODUCT((nCUENTA=1)*(nCURSO=A141)*(nASIG=B141)*(nNOTA=3))</f>
        <v>0</v>
      </c>
      <c r="O141">
        <f>SUMPRODUCT((nCUENTA=1)*(nCURSO=A141)*(nASIG=B141)*(nNOTA=4))</f>
        <v>0</v>
      </c>
      <c r="P141">
        <f>SUMPRODUCT((nCUENTA=1)*(nCURSO=A141)*(nASIG=B141)*(nNOTA=5))</f>
        <v>0</v>
      </c>
      <c r="Q141">
        <f>SUMPRODUCT((nCUENTA=1)*(nCURSO=A141)*(nASIG=B141)*(nNOTA=6))</f>
        <v>0</v>
      </c>
      <c r="R141">
        <f>SUMPRODUCT((nCUENTA=1)*(nCURSO=A141)*(nASIG=B141)*(nNOTA=7))</f>
        <v>0</v>
      </c>
      <c r="S141">
        <f>SUMPRODUCT((nCUENTA=1)*(nCURSO=A141)*(nASIG=B141)*(nNOTA=8))</f>
        <v>0</v>
      </c>
      <c r="T141">
        <f>SUMPRODUCT((nCUENTA=1)*(nCURSO=A141)*(nASIG=B141)*(nNOTA=9))</f>
        <v>0</v>
      </c>
      <c r="U141">
        <f>SUMPRODUCT((nCUENTA=1)*(nCURSO=A141)*(nASIG=B141)*(nNOTA=10))</f>
        <v>0</v>
      </c>
    </row>
    <row r="142">
      <c r="A142" t="inlineStr">
        <is>
          <t xml:space="preserve">1EPM</t>
        </is>
      </c>
      <c r="B142" cm="1">
        <f t="array" ref="B142">IFERROR(INDEX(_xlfn._xlws.FILTER(CONFIG_ASIGNATURAS!$B$2:$B$91,(CONFIG_ASIGNATURAS!$G$2:$G$91="Sí")*ISNUMBER(SEARCH("1EPM",CONFIG_ASIGNATURAS!$C$2:$C$91))),59),"")</f>
      </c>
      <c r="C142">
        <f>IF(B142="","",IFERROR(VLOOKUP(B142,CONFIG_ASIGNATURAS!$B$2:$D$91,3,FALSE()),"Asignatura"))</f>
      </c>
      <c r="D142">
        <f>SUMPRODUCT((nCUENTA=1)*(nCURSO=A142)*(nASIG=B142))</f>
        <v>0</v>
      </c>
      <c r="E142" s="10" t="str">
        <f>IFERROR(SUMPRODUCT((nCUENTA=1)*(nCURSO=A142)*(nASIG=B142)*(nNOTA))/D142,"—")</f>
        <v>—</v>
      </c>
      <c r="F142" s="10" t="str" cm="1">
        <f t="array" ref="F142">IFERROR(_xlfn.STDEV.P(_xlfn._xlws.FILTER(nNOTA,(nCUENTA=1)*(nCURSO=A142)*(nASIG=B142))),"—")</f>
        <v>—</v>
      </c>
      <c r="G142" t="str" cm="1">
        <f t="array" ref="G142">IFERROR(_xlfn.MODE.SNGL(_xlfn._xlws.FILTER(nNOTA,(nCUENTA=1)*(nCURSO=A142)*(nASIG=B142))),"—")</f>
        <v>—</v>
      </c>
      <c r="H142" s="11" t="str">
        <f>IFERROR(SUMPRODUCT((nCUENTA=1)*(nCURSO=A142)*(nASIG=B142)*(nAPTO="S"))/D142,"—")</f>
        <v>—</v>
      </c>
      <c r="I142" s="11" t="str">
        <f>IFERROR(SUMPRODUCT((nCUENTA=1)*(nCURSO=A142)*(nASIG=B142)*(nAPTO="N"))/D142,"—")</f>
        <v>—</v>
      </c>
      <c r="J142" t="str" cm="1">
        <f t="array" ref="J142">IFERROR(_xlfn.MODE.SNGL(_xlfn._xlws.FILTER(nNOTA,(nCUENTA=1)*(nCURSO=A142)*(nASIG=B142)*(nAPTO="S"))),"—")</f>
        <v>—</v>
      </c>
      <c r="K142" t="str" cm="1">
        <f t="array" ref="K142">IFERROR(_xlfn.MODE.SNGL(_xlfn._xlws.FILTER(nNOTA,(nCUENTA=1)*(nCURSO=A142)*(nASIG=B142)*(nAPTO="N"))),"—")</f>
        <v>—</v>
      </c>
      <c r="L142">
        <f>SUMPRODUCT((nCUENTA=1)*(nCURSO=A142)*(nASIG=B142)*(nNOTA=1))</f>
        <v>0</v>
      </c>
      <c r="M142">
        <f>SUMPRODUCT((nCUENTA=1)*(nCURSO=A142)*(nASIG=B142)*(nNOTA=2))</f>
        <v>0</v>
      </c>
      <c r="N142">
        <f>SUMPRODUCT((nCUENTA=1)*(nCURSO=A142)*(nASIG=B142)*(nNOTA=3))</f>
        <v>0</v>
      </c>
      <c r="O142">
        <f>SUMPRODUCT((nCUENTA=1)*(nCURSO=A142)*(nASIG=B142)*(nNOTA=4))</f>
        <v>0</v>
      </c>
      <c r="P142">
        <f>SUMPRODUCT((nCUENTA=1)*(nCURSO=A142)*(nASIG=B142)*(nNOTA=5))</f>
        <v>0</v>
      </c>
      <c r="Q142">
        <f>SUMPRODUCT((nCUENTA=1)*(nCURSO=A142)*(nASIG=B142)*(nNOTA=6))</f>
        <v>0</v>
      </c>
      <c r="R142">
        <f>SUMPRODUCT((nCUENTA=1)*(nCURSO=A142)*(nASIG=B142)*(nNOTA=7))</f>
        <v>0</v>
      </c>
      <c r="S142">
        <f>SUMPRODUCT((nCUENTA=1)*(nCURSO=A142)*(nASIG=B142)*(nNOTA=8))</f>
        <v>0</v>
      </c>
      <c r="T142">
        <f>SUMPRODUCT((nCUENTA=1)*(nCURSO=A142)*(nASIG=B142)*(nNOTA=9))</f>
        <v>0</v>
      </c>
      <c r="U142">
        <f>SUMPRODUCT((nCUENTA=1)*(nCURSO=A142)*(nASIG=B142)*(nNOTA=10))</f>
        <v>0</v>
      </c>
    </row>
    <row r="143">
      <c r="A143" t="inlineStr">
        <is>
          <t xml:space="preserve">1EPM</t>
        </is>
      </c>
      <c r="B143" cm="1">
        <f t="array" ref="B143">IFERROR(INDEX(_xlfn._xlws.FILTER(CONFIG_ASIGNATURAS!$B$2:$B$91,(CONFIG_ASIGNATURAS!$G$2:$G$91="Sí")*ISNUMBER(SEARCH("1EPM",CONFIG_ASIGNATURAS!$C$2:$C$91))),60),"")</f>
      </c>
      <c r="C143">
        <f>IF(B143="","",IFERROR(VLOOKUP(B143,CONFIG_ASIGNATURAS!$B$2:$D$91,3,FALSE()),"Asignatura"))</f>
      </c>
      <c r="D143">
        <f>SUMPRODUCT((nCUENTA=1)*(nCURSO=A143)*(nASIG=B143))</f>
        <v>0</v>
      </c>
      <c r="E143" s="10" t="str">
        <f>IFERROR(SUMPRODUCT((nCUENTA=1)*(nCURSO=A143)*(nASIG=B143)*(nNOTA))/D143,"—")</f>
        <v>—</v>
      </c>
      <c r="F143" s="10" t="str" cm="1">
        <f t="array" ref="F143">IFERROR(_xlfn.STDEV.P(_xlfn._xlws.FILTER(nNOTA,(nCUENTA=1)*(nCURSO=A143)*(nASIG=B143))),"—")</f>
        <v>—</v>
      </c>
      <c r="G143" t="str" cm="1">
        <f t="array" ref="G143">IFERROR(_xlfn.MODE.SNGL(_xlfn._xlws.FILTER(nNOTA,(nCUENTA=1)*(nCURSO=A143)*(nASIG=B143))),"—")</f>
        <v>—</v>
      </c>
      <c r="H143" s="11" t="str">
        <f>IFERROR(SUMPRODUCT((nCUENTA=1)*(nCURSO=A143)*(nASIG=B143)*(nAPTO="S"))/D143,"—")</f>
        <v>—</v>
      </c>
      <c r="I143" s="11" t="str">
        <f>IFERROR(SUMPRODUCT((nCUENTA=1)*(nCURSO=A143)*(nASIG=B143)*(nAPTO="N"))/D143,"—")</f>
        <v>—</v>
      </c>
      <c r="J143" t="str" cm="1">
        <f t="array" ref="J143">IFERROR(_xlfn.MODE.SNGL(_xlfn._xlws.FILTER(nNOTA,(nCUENTA=1)*(nCURSO=A143)*(nASIG=B143)*(nAPTO="S"))),"—")</f>
        <v>—</v>
      </c>
      <c r="K143" t="str" cm="1">
        <f t="array" ref="K143">IFERROR(_xlfn.MODE.SNGL(_xlfn._xlws.FILTER(nNOTA,(nCUENTA=1)*(nCURSO=A143)*(nASIG=B143)*(nAPTO="N"))),"—")</f>
        <v>—</v>
      </c>
      <c r="L143">
        <f>SUMPRODUCT((nCUENTA=1)*(nCURSO=A143)*(nASIG=B143)*(nNOTA=1))</f>
        <v>0</v>
      </c>
      <c r="M143">
        <f>SUMPRODUCT((nCUENTA=1)*(nCURSO=A143)*(nASIG=B143)*(nNOTA=2))</f>
        <v>0</v>
      </c>
      <c r="N143">
        <f>SUMPRODUCT((nCUENTA=1)*(nCURSO=A143)*(nASIG=B143)*(nNOTA=3))</f>
        <v>0</v>
      </c>
      <c r="O143">
        <f>SUMPRODUCT((nCUENTA=1)*(nCURSO=A143)*(nASIG=B143)*(nNOTA=4))</f>
        <v>0</v>
      </c>
      <c r="P143">
        <f>SUMPRODUCT((nCUENTA=1)*(nCURSO=A143)*(nASIG=B143)*(nNOTA=5))</f>
        <v>0</v>
      </c>
      <c r="Q143">
        <f>SUMPRODUCT((nCUENTA=1)*(nCURSO=A143)*(nASIG=B143)*(nNOTA=6))</f>
        <v>0</v>
      </c>
      <c r="R143">
        <f>SUMPRODUCT((nCUENTA=1)*(nCURSO=A143)*(nASIG=B143)*(nNOTA=7))</f>
        <v>0</v>
      </c>
      <c r="S143">
        <f>SUMPRODUCT((nCUENTA=1)*(nCURSO=A143)*(nASIG=B143)*(nNOTA=8))</f>
        <v>0</v>
      </c>
      <c r="T143">
        <f>SUMPRODUCT((nCUENTA=1)*(nCURSO=A143)*(nASIG=B143)*(nNOTA=9))</f>
        <v>0</v>
      </c>
      <c r="U143">
        <f>SUMPRODUCT((nCUENTA=1)*(nCURSO=A143)*(nASIG=B143)*(nNOTA=10))</f>
        <v>0</v>
      </c>
    </row>
    <row r="144">
      <c r="A144" t="inlineStr">
        <is>
          <t xml:space="preserve">2EPM</t>
        </is>
      </c>
      <c r="B144" cm="1">
        <f t="array" ref="B144">IFERROR(INDEX(_xlfn._xlws.FILTER(CONFIG_ASIGNATURAS!$B$2:$B$91,(CONFIG_ASIGNATURAS!$G$2:$G$91="Sí")*ISNUMBER(SEARCH("2EPM",CONFIG_ASIGNATURAS!$C$2:$C$91))),1),"")</f>
      </c>
      <c r="C144">
        <f>IF(B144="","",IFERROR(VLOOKUP(B144,CONFIG_ASIGNATURAS!$B$2:$D$91,3,FALSE()),"Asignatura"))</f>
      </c>
      <c r="D144">
        <f>SUMPRODUCT((nCUENTA=1)*(nCURSO=A144)*(nASIG=B144))</f>
        <v>0</v>
      </c>
      <c r="E144" s="10" t="str">
        <f>IFERROR(SUMPRODUCT((nCUENTA=1)*(nCURSO=A144)*(nASIG=B144)*(nNOTA))/D144,"—")</f>
        <v>—</v>
      </c>
      <c r="F144" s="10" t="str" cm="1">
        <f t="array" ref="F144">IFERROR(_xlfn.STDEV.P(_xlfn._xlws.FILTER(nNOTA,(nCUENTA=1)*(nCURSO=A144)*(nASIG=B144))),"—")</f>
        <v>—</v>
      </c>
      <c r="G144" t="str" cm="1">
        <f t="array" ref="G144">IFERROR(_xlfn.MODE.SNGL(_xlfn._xlws.FILTER(nNOTA,(nCUENTA=1)*(nCURSO=A144)*(nASIG=B144))),"—")</f>
        <v>—</v>
      </c>
      <c r="H144" s="11" t="str">
        <f>IFERROR(SUMPRODUCT((nCUENTA=1)*(nCURSO=A144)*(nASIG=B144)*(nAPTO="S"))/D144,"—")</f>
        <v>—</v>
      </c>
      <c r="I144" s="11" t="str">
        <f>IFERROR(SUMPRODUCT((nCUENTA=1)*(nCURSO=A144)*(nASIG=B144)*(nAPTO="N"))/D144,"—")</f>
        <v>—</v>
      </c>
      <c r="J144" t="str" cm="1">
        <f t="array" ref="J144">IFERROR(_xlfn.MODE.SNGL(_xlfn._xlws.FILTER(nNOTA,(nCUENTA=1)*(nCURSO=A144)*(nASIG=B144)*(nAPTO="S"))),"—")</f>
        <v>—</v>
      </c>
      <c r="K144" t="str" cm="1">
        <f t="array" ref="K144">IFERROR(_xlfn.MODE.SNGL(_xlfn._xlws.FILTER(nNOTA,(nCUENTA=1)*(nCURSO=A144)*(nASIG=B144)*(nAPTO="N"))),"—")</f>
        <v>—</v>
      </c>
      <c r="L144">
        <f>SUMPRODUCT((nCUENTA=1)*(nCURSO=A144)*(nASIG=B144)*(nNOTA=1))</f>
        <v>0</v>
      </c>
      <c r="M144">
        <f>SUMPRODUCT((nCUENTA=1)*(nCURSO=A144)*(nASIG=B144)*(nNOTA=2))</f>
        <v>0</v>
      </c>
      <c r="N144">
        <f>SUMPRODUCT((nCUENTA=1)*(nCURSO=A144)*(nASIG=B144)*(nNOTA=3))</f>
        <v>0</v>
      </c>
      <c r="O144">
        <f>SUMPRODUCT((nCUENTA=1)*(nCURSO=A144)*(nASIG=B144)*(nNOTA=4))</f>
        <v>0</v>
      </c>
      <c r="P144">
        <f>SUMPRODUCT((nCUENTA=1)*(nCURSO=A144)*(nASIG=B144)*(nNOTA=5))</f>
        <v>0</v>
      </c>
      <c r="Q144">
        <f>SUMPRODUCT((nCUENTA=1)*(nCURSO=A144)*(nASIG=B144)*(nNOTA=6))</f>
        <v>0</v>
      </c>
      <c r="R144">
        <f>SUMPRODUCT((nCUENTA=1)*(nCURSO=A144)*(nASIG=B144)*(nNOTA=7))</f>
        <v>0</v>
      </c>
      <c r="S144">
        <f>SUMPRODUCT((nCUENTA=1)*(nCURSO=A144)*(nASIG=B144)*(nNOTA=8))</f>
        <v>0</v>
      </c>
      <c r="T144">
        <f>SUMPRODUCT((nCUENTA=1)*(nCURSO=A144)*(nASIG=B144)*(nNOTA=9))</f>
        <v>0</v>
      </c>
      <c r="U144">
        <f>SUMPRODUCT((nCUENTA=1)*(nCURSO=A144)*(nASIG=B144)*(nNOTA=10))</f>
        <v>0</v>
      </c>
    </row>
    <row r="145">
      <c r="A145" t="inlineStr">
        <is>
          <t xml:space="preserve">2EPM</t>
        </is>
      </c>
      <c r="B145" cm="1">
        <f t="array" ref="B145">IFERROR(INDEX(_xlfn._xlws.FILTER(CONFIG_ASIGNATURAS!$B$2:$B$91,(CONFIG_ASIGNATURAS!$G$2:$G$91="Sí")*ISNUMBER(SEARCH("2EPM",CONFIG_ASIGNATURAS!$C$2:$C$91))),2),"")</f>
      </c>
      <c r="C145">
        <f>IF(B145="","",IFERROR(VLOOKUP(B145,CONFIG_ASIGNATURAS!$B$2:$D$91,3,FALSE()),"Asignatura"))</f>
      </c>
      <c r="D145">
        <f>SUMPRODUCT((nCUENTA=1)*(nCURSO=A145)*(nASIG=B145))</f>
        <v>0</v>
      </c>
      <c r="E145" s="10" t="str">
        <f>IFERROR(SUMPRODUCT((nCUENTA=1)*(nCURSO=A145)*(nASIG=B145)*(nNOTA))/D145,"—")</f>
        <v>—</v>
      </c>
      <c r="F145" s="10" t="str" cm="1">
        <f t="array" ref="F145">IFERROR(_xlfn.STDEV.P(_xlfn._xlws.FILTER(nNOTA,(nCUENTA=1)*(nCURSO=A145)*(nASIG=B145))),"—")</f>
        <v>—</v>
      </c>
      <c r="G145" t="str" cm="1">
        <f t="array" ref="G145">IFERROR(_xlfn.MODE.SNGL(_xlfn._xlws.FILTER(nNOTA,(nCUENTA=1)*(nCURSO=A145)*(nASIG=B145))),"—")</f>
        <v>—</v>
      </c>
      <c r="H145" s="11" t="str">
        <f>IFERROR(SUMPRODUCT((nCUENTA=1)*(nCURSO=A145)*(nASIG=B145)*(nAPTO="S"))/D145,"—")</f>
        <v>—</v>
      </c>
      <c r="I145" s="11" t="str">
        <f>IFERROR(SUMPRODUCT((nCUENTA=1)*(nCURSO=A145)*(nASIG=B145)*(nAPTO="N"))/D145,"—")</f>
        <v>—</v>
      </c>
      <c r="J145" t="str" cm="1">
        <f t="array" ref="J145">IFERROR(_xlfn.MODE.SNGL(_xlfn._xlws.FILTER(nNOTA,(nCUENTA=1)*(nCURSO=A145)*(nASIG=B145)*(nAPTO="S"))),"—")</f>
        <v>—</v>
      </c>
      <c r="K145" t="str" cm="1">
        <f t="array" ref="K145">IFERROR(_xlfn.MODE.SNGL(_xlfn._xlws.FILTER(nNOTA,(nCUENTA=1)*(nCURSO=A145)*(nASIG=B145)*(nAPTO="N"))),"—")</f>
        <v>—</v>
      </c>
      <c r="L145">
        <f>SUMPRODUCT((nCUENTA=1)*(nCURSO=A145)*(nASIG=B145)*(nNOTA=1))</f>
        <v>0</v>
      </c>
      <c r="M145">
        <f>SUMPRODUCT((nCUENTA=1)*(nCURSO=A145)*(nASIG=B145)*(nNOTA=2))</f>
        <v>0</v>
      </c>
      <c r="N145">
        <f>SUMPRODUCT((nCUENTA=1)*(nCURSO=A145)*(nASIG=B145)*(nNOTA=3))</f>
        <v>0</v>
      </c>
      <c r="O145">
        <f>SUMPRODUCT((nCUENTA=1)*(nCURSO=A145)*(nASIG=B145)*(nNOTA=4))</f>
        <v>0</v>
      </c>
      <c r="P145">
        <f>SUMPRODUCT((nCUENTA=1)*(nCURSO=A145)*(nASIG=B145)*(nNOTA=5))</f>
        <v>0</v>
      </c>
      <c r="Q145">
        <f>SUMPRODUCT((nCUENTA=1)*(nCURSO=A145)*(nASIG=B145)*(nNOTA=6))</f>
        <v>0</v>
      </c>
      <c r="R145">
        <f>SUMPRODUCT((nCUENTA=1)*(nCURSO=A145)*(nASIG=B145)*(nNOTA=7))</f>
        <v>0</v>
      </c>
      <c r="S145">
        <f>SUMPRODUCT((nCUENTA=1)*(nCURSO=A145)*(nASIG=B145)*(nNOTA=8))</f>
        <v>0</v>
      </c>
      <c r="T145">
        <f>SUMPRODUCT((nCUENTA=1)*(nCURSO=A145)*(nASIG=B145)*(nNOTA=9))</f>
        <v>0</v>
      </c>
      <c r="U145">
        <f>SUMPRODUCT((nCUENTA=1)*(nCURSO=A145)*(nASIG=B145)*(nNOTA=10))</f>
        <v>0</v>
      </c>
    </row>
    <row r="146">
      <c r="A146" t="inlineStr">
        <is>
          <t xml:space="preserve">2EPM</t>
        </is>
      </c>
      <c r="B146" cm="1">
        <f t="array" ref="B146">IFERROR(INDEX(_xlfn._xlws.FILTER(CONFIG_ASIGNATURAS!$B$2:$B$91,(CONFIG_ASIGNATURAS!$G$2:$G$91="Sí")*ISNUMBER(SEARCH("2EPM",CONFIG_ASIGNATURAS!$C$2:$C$91))),3),"")</f>
      </c>
      <c r="C146">
        <f>IF(B146="","",IFERROR(VLOOKUP(B146,CONFIG_ASIGNATURAS!$B$2:$D$91,3,FALSE()),"Asignatura"))</f>
      </c>
      <c r="D146">
        <f>SUMPRODUCT((nCUENTA=1)*(nCURSO=A146)*(nASIG=B146))</f>
        <v>0</v>
      </c>
      <c r="E146" s="10" t="str">
        <f>IFERROR(SUMPRODUCT((nCUENTA=1)*(nCURSO=A146)*(nASIG=B146)*(nNOTA))/D146,"—")</f>
        <v>—</v>
      </c>
      <c r="F146" s="10" t="str" cm="1">
        <f t="array" ref="F146">IFERROR(_xlfn.STDEV.P(_xlfn._xlws.FILTER(nNOTA,(nCUENTA=1)*(nCURSO=A146)*(nASIG=B146))),"—")</f>
        <v>—</v>
      </c>
      <c r="G146" t="str" cm="1">
        <f t="array" ref="G146">IFERROR(_xlfn.MODE.SNGL(_xlfn._xlws.FILTER(nNOTA,(nCUENTA=1)*(nCURSO=A146)*(nASIG=B146))),"—")</f>
        <v>—</v>
      </c>
      <c r="H146" s="11" t="str">
        <f>IFERROR(SUMPRODUCT((nCUENTA=1)*(nCURSO=A146)*(nASIG=B146)*(nAPTO="S"))/D146,"—")</f>
        <v>—</v>
      </c>
      <c r="I146" s="11" t="str">
        <f>IFERROR(SUMPRODUCT((nCUENTA=1)*(nCURSO=A146)*(nASIG=B146)*(nAPTO="N"))/D146,"—")</f>
        <v>—</v>
      </c>
      <c r="J146" t="str" cm="1">
        <f t="array" ref="J146">IFERROR(_xlfn.MODE.SNGL(_xlfn._xlws.FILTER(nNOTA,(nCUENTA=1)*(nCURSO=A146)*(nASIG=B146)*(nAPTO="S"))),"—")</f>
        <v>—</v>
      </c>
      <c r="K146" t="str" cm="1">
        <f t="array" ref="K146">IFERROR(_xlfn.MODE.SNGL(_xlfn._xlws.FILTER(nNOTA,(nCUENTA=1)*(nCURSO=A146)*(nASIG=B146)*(nAPTO="N"))),"—")</f>
        <v>—</v>
      </c>
      <c r="L146">
        <f>SUMPRODUCT((nCUENTA=1)*(nCURSO=A146)*(nASIG=B146)*(nNOTA=1))</f>
        <v>0</v>
      </c>
      <c r="M146">
        <f>SUMPRODUCT((nCUENTA=1)*(nCURSO=A146)*(nASIG=B146)*(nNOTA=2))</f>
        <v>0</v>
      </c>
      <c r="N146">
        <f>SUMPRODUCT((nCUENTA=1)*(nCURSO=A146)*(nASIG=B146)*(nNOTA=3))</f>
        <v>0</v>
      </c>
      <c r="O146">
        <f>SUMPRODUCT((nCUENTA=1)*(nCURSO=A146)*(nASIG=B146)*(nNOTA=4))</f>
        <v>0</v>
      </c>
      <c r="P146">
        <f>SUMPRODUCT((nCUENTA=1)*(nCURSO=A146)*(nASIG=B146)*(nNOTA=5))</f>
        <v>0</v>
      </c>
      <c r="Q146">
        <f>SUMPRODUCT((nCUENTA=1)*(nCURSO=A146)*(nASIG=B146)*(nNOTA=6))</f>
        <v>0</v>
      </c>
      <c r="R146">
        <f>SUMPRODUCT((nCUENTA=1)*(nCURSO=A146)*(nASIG=B146)*(nNOTA=7))</f>
        <v>0</v>
      </c>
      <c r="S146">
        <f>SUMPRODUCT((nCUENTA=1)*(nCURSO=A146)*(nASIG=B146)*(nNOTA=8))</f>
        <v>0</v>
      </c>
      <c r="T146">
        <f>SUMPRODUCT((nCUENTA=1)*(nCURSO=A146)*(nASIG=B146)*(nNOTA=9))</f>
        <v>0</v>
      </c>
      <c r="U146">
        <f>SUMPRODUCT((nCUENTA=1)*(nCURSO=A146)*(nASIG=B146)*(nNOTA=10))</f>
        <v>0</v>
      </c>
    </row>
    <row r="147">
      <c r="A147" t="inlineStr">
        <is>
          <t xml:space="preserve">2EPM</t>
        </is>
      </c>
      <c r="B147" cm="1">
        <f t="array" ref="B147">IFERROR(INDEX(_xlfn._xlws.FILTER(CONFIG_ASIGNATURAS!$B$2:$B$91,(CONFIG_ASIGNATURAS!$G$2:$G$91="Sí")*ISNUMBER(SEARCH("2EPM",CONFIG_ASIGNATURAS!$C$2:$C$91))),4),"")</f>
      </c>
      <c r="C147">
        <f>IF(B147="","",IFERROR(VLOOKUP(B147,CONFIG_ASIGNATURAS!$B$2:$D$91,3,FALSE()),"Asignatura"))</f>
      </c>
      <c r="D147">
        <f>SUMPRODUCT((nCUENTA=1)*(nCURSO=A147)*(nASIG=B147))</f>
        <v>0</v>
      </c>
      <c r="E147" s="10" t="str">
        <f>IFERROR(SUMPRODUCT((nCUENTA=1)*(nCURSO=A147)*(nASIG=B147)*(nNOTA))/D147,"—")</f>
        <v>—</v>
      </c>
      <c r="F147" s="10" t="str" cm="1">
        <f t="array" ref="F147">IFERROR(_xlfn.STDEV.P(_xlfn._xlws.FILTER(nNOTA,(nCUENTA=1)*(nCURSO=A147)*(nASIG=B147))),"—")</f>
        <v>—</v>
      </c>
      <c r="G147" t="str" cm="1">
        <f t="array" ref="G147">IFERROR(_xlfn.MODE.SNGL(_xlfn._xlws.FILTER(nNOTA,(nCUENTA=1)*(nCURSO=A147)*(nASIG=B147))),"—")</f>
        <v>—</v>
      </c>
      <c r="H147" s="11" t="str">
        <f>IFERROR(SUMPRODUCT((nCUENTA=1)*(nCURSO=A147)*(nASIG=B147)*(nAPTO="S"))/D147,"—")</f>
        <v>—</v>
      </c>
      <c r="I147" s="11" t="str">
        <f>IFERROR(SUMPRODUCT((nCUENTA=1)*(nCURSO=A147)*(nASIG=B147)*(nAPTO="N"))/D147,"—")</f>
        <v>—</v>
      </c>
      <c r="J147" t="str" cm="1">
        <f t="array" ref="J147">IFERROR(_xlfn.MODE.SNGL(_xlfn._xlws.FILTER(nNOTA,(nCUENTA=1)*(nCURSO=A147)*(nASIG=B147)*(nAPTO="S"))),"—")</f>
        <v>—</v>
      </c>
      <c r="K147" t="str" cm="1">
        <f t="array" ref="K147">IFERROR(_xlfn.MODE.SNGL(_xlfn._xlws.FILTER(nNOTA,(nCUENTA=1)*(nCURSO=A147)*(nASIG=B147)*(nAPTO="N"))),"—")</f>
        <v>—</v>
      </c>
      <c r="L147">
        <f>SUMPRODUCT((nCUENTA=1)*(nCURSO=A147)*(nASIG=B147)*(nNOTA=1))</f>
        <v>0</v>
      </c>
      <c r="M147">
        <f>SUMPRODUCT((nCUENTA=1)*(nCURSO=A147)*(nASIG=B147)*(nNOTA=2))</f>
        <v>0</v>
      </c>
      <c r="N147">
        <f>SUMPRODUCT((nCUENTA=1)*(nCURSO=A147)*(nASIG=B147)*(nNOTA=3))</f>
        <v>0</v>
      </c>
      <c r="O147">
        <f>SUMPRODUCT((nCUENTA=1)*(nCURSO=A147)*(nASIG=B147)*(nNOTA=4))</f>
        <v>0</v>
      </c>
      <c r="P147">
        <f>SUMPRODUCT((nCUENTA=1)*(nCURSO=A147)*(nASIG=B147)*(nNOTA=5))</f>
        <v>0</v>
      </c>
      <c r="Q147">
        <f>SUMPRODUCT((nCUENTA=1)*(nCURSO=A147)*(nASIG=B147)*(nNOTA=6))</f>
        <v>0</v>
      </c>
      <c r="R147">
        <f>SUMPRODUCT((nCUENTA=1)*(nCURSO=A147)*(nASIG=B147)*(nNOTA=7))</f>
        <v>0</v>
      </c>
      <c r="S147">
        <f>SUMPRODUCT((nCUENTA=1)*(nCURSO=A147)*(nASIG=B147)*(nNOTA=8))</f>
        <v>0</v>
      </c>
      <c r="T147">
        <f>SUMPRODUCT((nCUENTA=1)*(nCURSO=A147)*(nASIG=B147)*(nNOTA=9))</f>
        <v>0</v>
      </c>
      <c r="U147">
        <f>SUMPRODUCT((nCUENTA=1)*(nCURSO=A147)*(nASIG=B147)*(nNOTA=10))</f>
        <v>0</v>
      </c>
    </row>
    <row r="148">
      <c r="A148" t="inlineStr">
        <is>
          <t xml:space="preserve">2EPM</t>
        </is>
      </c>
      <c r="B148" cm="1">
        <f t="array" ref="B148">IFERROR(INDEX(_xlfn._xlws.FILTER(CONFIG_ASIGNATURAS!$B$2:$B$91,(CONFIG_ASIGNATURAS!$G$2:$G$91="Sí")*ISNUMBER(SEARCH("2EPM",CONFIG_ASIGNATURAS!$C$2:$C$91))),5),"")</f>
      </c>
      <c r="C148">
        <f>IF(B148="","",IFERROR(VLOOKUP(B148,CONFIG_ASIGNATURAS!$B$2:$D$91,3,FALSE()),"Asignatura"))</f>
      </c>
      <c r="D148">
        <f>SUMPRODUCT((nCUENTA=1)*(nCURSO=A148)*(nASIG=B148))</f>
        <v>0</v>
      </c>
      <c r="E148" s="10" t="str">
        <f>IFERROR(SUMPRODUCT((nCUENTA=1)*(nCURSO=A148)*(nASIG=B148)*(nNOTA))/D148,"—")</f>
        <v>—</v>
      </c>
      <c r="F148" s="10" t="str" cm="1">
        <f t="array" ref="F148">IFERROR(_xlfn.STDEV.P(_xlfn._xlws.FILTER(nNOTA,(nCUENTA=1)*(nCURSO=A148)*(nASIG=B148))),"—")</f>
        <v>—</v>
      </c>
      <c r="G148" t="str" cm="1">
        <f t="array" ref="G148">IFERROR(_xlfn.MODE.SNGL(_xlfn._xlws.FILTER(nNOTA,(nCUENTA=1)*(nCURSO=A148)*(nASIG=B148))),"—")</f>
        <v>—</v>
      </c>
      <c r="H148" s="11" t="str">
        <f>IFERROR(SUMPRODUCT((nCUENTA=1)*(nCURSO=A148)*(nASIG=B148)*(nAPTO="S"))/D148,"—")</f>
        <v>—</v>
      </c>
      <c r="I148" s="11" t="str">
        <f>IFERROR(SUMPRODUCT((nCUENTA=1)*(nCURSO=A148)*(nASIG=B148)*(nAPTO="N"))/D148,"—")</f>
        <v>—</v>
      </c>
      <c r="J148" t="str" cm="1">
        <f t="array" ref="J148">IFERROR(_xlfn.MODE.SNGL(_xlfn._xlws.FILTER(nNOTA,(nCUENTA=1)*(nCURSO=A148)*(nASIG=B148)*(nAPTO="S"))),"—")</f>
        <v>—</v>
      </c>
      <c r="K148" t="str" cm="1">
        <f t="array" ref="K148">IFERROR(_xlfn.MODE.SNGL(_xlfn._xlws.FILTER(nNOTA,(nCUENTA=1)*(nCURSO=A148)*(nASIG=B148)*(nAPTO="N"))),"—")</f>
        <v>—</v>
      </c>
      <c r="L148">
        <f>SUMPRODUCT((nCUENTA=1)*(nCURSO=A148)*(nASIG=B148)*(nNOTA=1))</f>
        <v>0</v>
      </c>
      <c r="M148">
        <f>SUMPRODUCT((nCUENTA=1)*(nCURSO=A148)*(nASIG=B148)*(nNOTA=2))</f>
        <v>0</v>
      </c>
      <c r="N148">
        <f>SUMPRODUCT((nCUENTA=1)*(nCURSO=A148)*(nASIG=B148)*(nNOTA=3))</f>
        <v>0</v>
      </c>
      <c r="O148">
        <f>SUMPRODUCT((nCUENTA=1)*(nCURSO=A148)*(nASIG=B148)*(nNOTA=4))</f>
        <v>0</v>
      </c>
      <c r="P148">
        <f>SUMPRODUCT((nCUENTA=1)*(nCURSO=A148)*(nASIG=B148)*(nNOTA=5))</f>
        <v>0</v>
      </c>
      <c r="Q148">
        <f>SUMPRODUCT((nCUENTA=1)*(nCURSO=A148)*(nASIG=B148)*(nNOTA=6))</f>
        <v>0</v>
      </c>
      <c r="R148">
        <f>SUMPRODUCT((nCUENTA=1)*(nCURSO=A148)*(nASIG=B148)*(nNOTA=7))</f>
        <v>0</v>
      </c>
      <c r="S148">
        <f>SUMPRODUCT((nCUENTA=1)*(nCURSO=A148)*(nASIG=B148)*(nNOTA=8))</f>
        <v>0</v>
      </c>
      <c r="T148">
        <f>SUMPRODUCT((nCUENTA=1)*(nCURSO=A148)*(nASIG=B148)*(nNOTA=9))</f>
        <v>0</v>
      </c>
      <c r="U148">
        <f>SUMPRODUCT((nCUENTA=1)*(nCURSO=A148)*(nASIG=B148)*(nNOTA=10))</f>
        <v>0</v>
      </c>
    </row>
    <row r="149">
      <c r="A149" t="inlineStr">
        <is>
          <t xml:space="preserve">2EPM</t>
        </is>
      </c>
      <c r="B149" cm="1">
        <f t="array" ref="B149">IFERROR(INDEX(_xlfn._xlws.FILTER(CONFIG_ASIGNATURAS!$B$2:$B$91,(CONFIG_ASIGNATURAS!$G$2:$G$91="Sí")*ISNUMBER(SEARCH("2EPM",CONFIG_ASIGNATURAS!$C$2:$C$91))),6),"")</f>
      </c>
      <c r="C149">
        <f>IF(B149="","",IFERROR(VLOOKUP(B149,CONFIG_ASIGNATURAS!$B$2:$D$91,3,FALSE()),"Asignatura"))</f>
      </c>
      <c r="D149">
        <f>SUMPRODUCT((nCUENTA=1)*(nCURSO=A149)*(nASIG=B149))</f>
        <v>0</v>
      </c>
      <c r="E149" s="10" t="str">
        <f>IFERROR(SUMPRODUCT((nCUENTA=1)*(nCURSO=A149)*(nASIG=B149)*(nNOTA))/D149,"—")</f>
        <v>—</v>
      </c>
      <c r="F149" s="10" t="str" cm="1">
        <f t="array" ref="F149">IFERROR(_xlfn.STDEV.P(_xlfn._xlws.FILTER(nNOTA,(nCUENTA=1)*(nCURSO=A149)*(nASIG=B149))),"—")</f>
        <v>—</v>
      </c>
      <c r="G149" t="str" cm="1">
        <f t="array" ref="G149">IFERROR(_xlfn.MODE.SNGL(_xlfn._xlws.FILTER(nNOTA,(nCUENTA=1)*(nCURSO=A149)*(nASIG=B149))),"—")</f>
        <v>—</v>
      </c>
      <c r="H149" s="11" t="str">
        <f>IFERROR(SUMPRODUCT((nCUENTA=1)*(nCURSO=A149)*(nASIG=B149)*(nAPTO="S"))/D149,"—")</f>
        <v>—</v>
      </c>
      <c r="I149" s="11" t="str">
        <f>IFERROR(SUMPRODUCT((nCUENTA=1)*(nCURSO=A149)*(nASIG=B149)*(nAPTO="N"))/D149,"—")</f>
        <v>—</v>
      </c>
      <c r="J149" t="str" cm="1">
        <f t="array" ref="J149">IFERROR(_xlfn.MODE.SNGL(_xlfn._xlws.FILTER(nNOTA,(nCUENTA=1)*(nCURSO=A149)*(nASIG=B149)*(nAPTO="S"))),"—")</f>
        <v>—</v>
      </c>
      <c r="K149" t="str" cm="1">
        <f t="array" ref="K149">IFERROR(_xlfn.MODE.SNGL(_xlfn._xlws.FILTER(nNOTA,(nCUENTA=1)*(nCURSO=A149)*(nASIG=B149)*(nAPTO="N"))),"—")</f>
        <v>—</v>
      </c>
      <c r="L149">
        <f>SUMPRODUCT((nCUENTA=1)*(nCURSO=A149)*(nASIG=B149)*(nNOTA=1))</f>
        <v>0</v>
      </c>
      <c r="M149">
        <f>SUMPRODUCT((nCUENTA=1)*(nCURSO=A149)*(nASIG=B149)*(nNOTA=2))</f>
        <v>0</v>
      </c>
      <c r="N149">
        <f>SUMPRODUCT((nCUENTA=1)*(nCURSO=A149)*(nASIG=B149)*(nNOTA=3))</f>
        <v>0</v>
      </c>
      <c r="O149">
        <f>SUMPRODUCT((nCUENTA=1)*(nCURSO=A149)*(nASIG=B149)*(nNOTA=4))</f>
        <v>0</v>
      </c>
      <c r="P149">
        <f>SUMPRODUCT((nCUENTA=1)*(nCURSO=A149)*(nASIG=B149)*(nNOTA=5))</f>
        <v>0</v>
      </c>
      <c r="Q149">
        <f>SUMPRODUCT((nCUENTA=1)*(nCURSO=A149)*(nASIG=B149)*(nNOTA=6))</f>
        <v>0</v>
      </c>
      <c r="R149">
        <f>SUMPRODUCT((nCUENTA=1)*(nCURSO=A149)*(nASIG=B149)*(nNOTA=7))</f>
        <v>0</v>
      </c>
      <c r="S149">
        <f>SUMPRODUCT((nCUENTA=1)*(nCURSO=A149)*(nASIG=B149)*(nNOTA=8))</f>
        <v>0</v>
      </c>
      <c r="T149">
        <f>SUMPRODUCT((nCUENTA=1)*(nCURSO=A149)*(nASIG=B149)*(nNOTA=9))</f>
        <v>0</v>
      </c>
      <c r="U149">
        <f>SUMPRODUCT((nCUENTA=1)*(nCURSO=A149)*(nASIG=B149)*(nNOTA=10))</f>
        <v>0</v>
      </c>
    </row>
    <row r="150">
      <c r="A150" t="inlineStr">
        <is>
          <t xml:space="preserve">2EPM</t>
        </is>
      </c>
      <c r="B150" cm="1">
        <f t="array" ref="B150">IFERROR(INDEX(_xlfn._xlws.FILTER(CONFIG_ASIGNATURAS!$B$2:$B$91,(CONFIG_ASIGNATURAS!$G$2:$G$91="Sí")*ISNUMBER(SEARCH("2EPM",CONFIG_ASIGNATURAS!$C$2:$C$91))),7),"")</f>
      </c>
      <c r="C150">
        <f>IF(B150="","",IFERROR(VLOOKUP(B150,CONFIG_ASIGNATURAS!$B$2:$D$91,3,FALSE()),"Asignatura"))</f>
      </c>
      <c r="D150">
        <f>SUMPRODUCT((nCUENTA=1)*(nCURSO=A150)*(nASIG=B150))</f>
        <v>0</v>
      </c>
      <c r="E150" s="10" t="str">
        <f>IFERROR(SUMPRODUCT((nCUENTA=1)*(nCURSO=A150)*(nASIG=B150)*(nNOTA))/D150,"—")</f>
        <v>—</v>
      </c>
      <c r="F150" s="10" t="str" cm="1">
        <f t="array" ref="F150">IFERROR(_xlfn.STDEV.P(_xlfn._xlws.FILTER(nNOTA,(nCUENTA=1)*(nCURSO=A150)*(nASIG=B150))),"—")</f>
        <v>—</v>
      </c>
      <c r="G150" t="str" cm="1">
        <f t="array" ref="G150">IFERROR(_xlfn.MODE.SNGL(_xlfn._xlws.FILTER(nNOTA,(nCUENTA=1)*(nCURSO=A150)*(nASIG=B150))),"—")</f>
        <v>—</v>
      </c>
      <c r="H150" s="11" t="str">
        <f>IFERROR(SUMPRODUCT((nCUENTA=1)*(nCURSO=A150)*(nASIG=B150)*(nAPTO="S"))/D150,"—")</f>
        <v>—</v>
      </c>
      <c r="I150" s="11" t="str">
        <f>IFERROR(SUMPRODUCT((nCUENTA=1)*(nCURSO=A150)*(nASIG=B150)*(nAPTO="N"))/D150,"—")</f>
        <v>—</v>
      </c>
      <c r="J150" t="str" cm="1">
        <f t="array" ref="J150">IFERROR(_xlfn.MODE.SNGL(_xlfn._xlws.FILTER(nNOTA,(nCUENTA=1)*(nCURSO=A150)*(nASIG=B150)*(nAPTO="S"))),"—")</f>
        <v>—</v>
      </c>
      <c r="K150" t="str" cm="1">
        <f t="array" ref="K150">IFERROR(_xlfn.MODE.SNGL(_xlfn._xlws.FILTER(nNOTA,(nCUENTA=1)*(nCURSO=A150)*(nASIG=B150)*(nAPTO="N"))),"—")</f>
        <v>—</v>
      </c>
      <c r="L150">
        <f>SUMPRODUCT((nCUENTA=1)*(nCURSO=A150)*(nASIG=B150)*(nNOTA=1))</f>
        <v>0</v>
      </c>
      <c r="M150">
        <f>SUMPRODUCT((nCUENTA=1)*(nCURSO=A150)*(nASIG=B150)*(nNOTA=2))</f>
        <v>0</v>
      </c>
      <c r="N150">
        <f>SUMPRODUCT((nCUENTA=1)*(nCURSO=A150)*(nASIG=B150)*(nNOTA=3))</f>
        <v>0</v>
      </c>
      <c r="O150">
        <f>SUMPRODUCT((nCUENTA=1)*(nCURSO=A150)*(nASIG=B150)*(nNOTA=4))</f>
        <v>0</v>
      </c>
      <c r="P150">
        <f>SUMPRODUCT((nCUENTA=1)*(nCURSO=A150)*(nASIG=B150)*(nNOTA=5))</f>
        <v>0</v>
      </c>
      <c r="Q150">
        <f>SUMPRODUCT((nCUENTA=1)*(nCURSO=A150)*(nASIG=B150)*(nNOTA=6))</f>
        <v>0</v>
      </c>
      <c r="R150">
        <f>SUMPRODUCT((nCUENTA=1)*(nCURSO=A150)*(nASIG=B150)*(nNOTA=7))</f>
        <v>0</v>
      </c>
      <c r="S150">
        <f>SUMPRODUCT((nCUENTA=1)*(nCURSO=A150)*(nASIG=B150)*(nNOTA=8))</f>
        <v>0</v>
      </c>
      <c r="T150">
        <f>SUMPRODUCT((nCUENTA=1)*(nCURSO=A150)*(nASIG=B150)*(nNOTA=9))</f>
        <v>0</v>
      </c>
      <c r="U150">
        <f>SUMPRODUCT((nCUENTA=1)*(nCURSO=A150)*(nASIG=B150)*(nNOTA=10))</f>
        <v>0</v>
      </c>
    </row>
    <row r="151">
      <c r="A151" t="inlineStr">
        <is>
          <t xml:space="preserve">2EPM</t>
        </is>
      </c>
      <c r="B151" cm="1">
        <f t="array" ref="B151">IFERROR(INDEX(_xlfn._xlws.FILTER(CONFIG_ASIGNATURAS!$B$2:$B$91,(CONFIG_ASIGNATURAS!$G$2:$G$91="Sí")*ISNUMBER(SEARCH("2EPM",CONFIG_ASIGNATURAS!$C$2:$C$91))),8),"")</f>
      </c>
      <c r="C151">
        <f>IF(B151="","",IFERROR(VLOOKUP(B151,CONFIG_ASIGNATURAS!$B$2:$D$91,3,FALSE()),"Asignatura"))</f>
      </c>
      <c r="D151">
        <f>SUMPRODUCT((nCUENTA=1)*(nCURSO=A151)*(nASIG=B151))</f>
        <v>0</v>
      </c>
      <c r="E151" s="10" t="str">
        <f>IFERROR(SUMPRODUCT((nCUENTA=1)*(nCURSO=A151)*(nASIG=B151)*(nNOTA))/D151,"—")</f>
        <v>—</v>
      </c>
      <c r="F151" s="10" t="str" cm="1">
        <f t="array" ref="F151">IFERROR(_xlfn.STDEV.P(_xlfn._xlws.FILTER(nNOTA,(nCUENTA=1)*(nCURSO=A151)*(nASIG=B151))),"—")</f>
        <v>—</v>
      </c>
      <c r="G151" t="str" cm="1">
        <f t="array" ref="G151">IFERROR(_xlfn.MODE.SNGL(_xlfn._xlws.FILTER(nNOTA,(nCUENTA=1)*(nCURSO=A151)*(nASIG=B151))),"—")</f>
        <v>—</v>
      </c>
      <c r="H151" s="11" t="str">
        <f>IFERROR(SUMPRODUCT((nCUENTA=1)*(nCURSO=A151)*(nASIG=B151)*(nAPTO="S"))/D151,"—")</f>
        <v>—</v>
      </c>
      <c r="I151" s="11" t="str">
        <f>IFERROR(SUMPRODUCT((nCUENTA=1)*(nCURSO=A151)*(nASIG=B151)*(nAPTO="N"))/D151,"—")</f>
        <v>—</v>
      </c>
      <c r="J151" t="str" cm="1">
        <f t="array" ref="J151">IFERROR(_xlfn.MODE.SNGL(_xlfn._xlws.FILTER(nNOTA,(nCUENTA=1)*(nCURSO=A151)*(nASIG=B151)*(nAPTO="S"))),"—")</f>
        <v>—</v>
      </c>
      <c r="K151" t="str" cm="1">
        <f t="array" ref="K151">IFERROR(_xlfn.MODE.SNGL(_xlfn._xlws.FILTER(nNOTA,(nCUENTA=1)*(nCURSO=A151)*(nASIG=B151)*(nAPTO="N"))),"—")</f>
        <v>—</v>
      </c>
      <c r="L151">
        <f>SUMPRODUCT((nCUENTA=1)*(nCURSO=A151)*(nASIG=B151)*(nNOTA=1))</f>
        <v>0</v>
      </c>
      <c r="M151">
        <f>SUMPRODUCT((nCUENTA=1)*(nCURSO=A151)*(nASIG=B151)*(nNOTA=2))</f>
        <v>0</v>
      </c>
      <c r="N151">
        <f>SUMPRODUCT((nCUENTA=1)*(nCURSO=A151)*(nASIG=B151)*(nNOTA=3))</f>
        <v>0</v>
      </c>
      <c r="O151">
        <f>SUMPRODUCT((nCUENTA=1)*(nCURSO=A151)*(nASIG=B151)*(nNOTA=4))</f>
        <v>0</v>
      </c>
      <c r="P151">
        <f>SUMPRODUCT((nCUENTA=1)*(nCURSO=A151)*(nASIG=B151)*(nNOTA=5))</f>
        <v>0</v>
      </c>
      <c r="Q151">
        <f>SUMPRODUCT((nCUENTA=1)*(nCURSO=A151)*(nASIG=B151)*(nNOTA=6))</f>
        <v>0</v>
      </c>
      <c r="R151">
        <f>SUMPRODUCT((nCUENTA=1)*(nCURSO=A151)*(nASIG=B151)*(nNOTA=7))</f>
        <v>0</v>
      </c>
      <c r="S151">
        <f>SUMPRODUCT((nCUENTA=1)*(nCURSO=A151)*(nASIG=B151)*(nNOTA=8))</f>
        <v>0</v>
      </c>
      <c r="T151">
        <f>SUMPRODUCT((nCUENTA=1)*(nCURSO=A151)*(nASIG=B151)*(nNOTA=9))</f>
        <v>0</v>
      </c>
      <c r="U151">
        <f>SUMPRODUCT((nCUENTA=1)*(nCURSO=A151)*(nASIG=B151)*(nNOTA=10))</f>
        <v>0</v>
      </c>
    </row>
    <row r="152">
      <c r="A152" t="inlineStr">
        <is>
          <t xml:space="preserve">2EPM</t>
        </is>
      </c>
      <c r="B152" cm="1">
        <f t="array" ref="B152">IFERROR(INDEX(_xlfn._xlws.FILTER(CONFIG_ASIGNATURAS!$B$2:$B$91,(CONFIG_ASIGNATURAS!$G$2:$G$91="Sí")*ISNUMBER(SEARCH("2EPM",CONFIG_ASIGNATURAS!$C$2:$C$91))),9),"")</f>
      </c>
      <c r="C152">
        <f>IF(B152="","",IFERROR(VLOOKUP(B152,CONFIG_ASIGNATURAS!$B$2:$D$91,3,FALSE()),"Asignatura"))</f>
      </c>
      <c r="D152">
        <f>SUMPRODUCT((nCUENTA=1)*(nCURSO=A152)*(nASIG=B152))</f>
        <v>0</v>
      </c>
      <c r="E152" s="10" t="str">
        <f>IFERROR(SUMPRODUCT((nCUENTA=1)*(nCURSO=A152)*(nASIG=B152)*(nNOTA))/D152,"—")</f>
        <v>—</v>
      </c>
      <c r="F152" s="10" t="str" cm="1">
        <f t="array" ref="F152">IFERROR(_xlfn.STDEV.P(_xlfn._xlws.FILTER(nNOTA,(nCUENTA=1)*(nCURSO=A152)*(nASIG=B152))),"—")</f>
        <v>—</v>
      </c>
      <c r="G152" t="str" cm="1">
        <f t="array" ref="G152">IFERROR(_xlfn.MODE.SNGL(_xlfn._xlws.FILTER(nNOTA,(nCUENTA=1)*(nCURSO=A152)*(nASIG=B152))),"—")</f>
        <v>—</v>
      </c>
      <c r="H152" s="11" t="str">
        <f>IFERROR(SUMPRODUCT((nCUENTA=1)*(nCURSO=A152)*(nASIG=B152)*(nAPTO="S"))/D152,"—")</f>
        <v>—</v>
      </c>
      <c r="I152" s="11" t="str">
        <f>IFERROR(SUMPRODUCT((nCUENTA=1)*(nCURSO=A152)*(nASIG=B152)*(nAPTO="N"))/D152,"—")</f>
        <v>—</v>
      </c>
      <c r="J152" t="str" cm="1">
        <f t="array" ref="J152">IFERROR(_xlfn.MODE.SNGL(_xlfn._xlws.FILTER(nNOTA,(nCUENTA=1)*(nCURSO=A152)*(nASIG=B152)*(nAPTO="S"))),"—")</f>
        <v>—</v>
      </c>
      <c r="K152" t="str" cm="1">
        <f t="array" ref="K152">IFERROR(_xlfn.MODE.SNGL(_xlfn._xlws.FILTER(nNOTA,(nCUENTA=1)*(nCURSO=A152)*(nASIG=B152)*(nAPTO="N"))),"—")</f>
        <v>—</v>
      </c>
      <c r="L152">
        <f>SUMPRODUCT((nCUENTA=1)*(nCURSO=A152)*(nASIG=B152)*(nNOTA=1))</f>
        <v>0</v>
      </c>
      <c r="M152">
        <f>SUMPRODUCT((nCUENTA=1)*(nCURSO=A152)*(nASIG=B152)*(nNOTA=2))</f>
        <v>0</v>
      </c>
      <c r="N152">
        <f>SUMPRODUCT((nCUENTA=1)*(nCURSO=A152)*(nASIG=B152)*(nNOTA=3))</f>
        <v>0</v>
      </c>
      <c r="O152">
        <f>SUMPRODUCT((nCUENTA=1)*(nCURSO=A152)*(nASIG=B152)*(nNOTA=4))</f>
        <v>0</v>
      </c>
      <c r="P152">
        <f>SUMPRODUCT((nCUENTA=1)*(nCURSO=A152)*(nASIG=B152)*(nNOTA=5))</f>
        <v>0</v>
      </c>
      <c r="Q152">
        <f>SUMPRODUCT((nCUENTA=1)*(nCURSO=A152)*(nASIG=B152)*(nNOTA=6))</f>
        <v>0</v>
      </c>
      <c r="R152">
        <f>SUMPRODUCT((nCUENTA=1)*(nCURSO=A152)*(nASIG=B152)*(nNOTA=7))</f>
        <v>0</v>
      </c>
      <c r="S152">
        <f>SUMPRODUCT((nCUENTA=1)*(nCURSO=A152)*(nASIG=B152)*(nNOTA=8))</f>
        <v>0</v>
      </c>
      <c r="T152">
        <f>SUMPRODUCT((nCUENTA=1)*(nCURSO=A152)*(nASIG=B152)*(nNOTA=9))</f>
        <v>0</v>
      </c>
      <c r="U152">
        <f>SUMPRODUCT((nCUENTA=1)*(nCURSO=A152)*(nASIG=B152)*(nNOTA=10))</f>
        <v>0</v>
      </c>
    </row>
    <row r="153">
      <c r="A153" t="inlineStr">
        <is>
          <t xml:space="preserve">2EPM</t>
        </is>
      </c>
      <c r="B153" cm="1">
        <f t="array" ref="B153">IFERROR(INDEX(_xlfn._xlws.FILTER(CONFIG_ASIGNATURAS!$B$2:$B$91,(CONFIG_ASIGNATURAS!$G$2:$G$91="Sí")*ISNUMBER(SEARCH("2EPM",CONFIG_ASIGNATURAS!$C$2:$C$91))),10),"")</f>
      </c>
      <c r="C153">
        <f>IF(B153="","",IFERROR(VLOOKUP(B153,CONFIG_ASIGNATURAS!$B$2:$D$91,3,FALSE()),"Asignatura"))</f>
      </c>
      <c r="D153">
        <f>SUMPRODUCT((nCUENTA=1)*(nCURSO=A153)*(nASIG=B153))</f>
        <v>0</v>
      </c>
      <c r="E153" s="10" t="str">
        <f>IFERROR(SUMPRODUCT((nCUENTA=1)*(nCURSO=A153)*(nASIG=B153)*(nNOTA))/D153,"—")</f>
        <v>—</v>
      </c>
      <c r="F153" s="10" t="str" cm="1">
        <f t="array" ref="F153">IFERROR(_xlfn.STDEV.P(_xlfn._xlws.FILTER(nNOTA,(nCUENTA=1)*(nCURSO=A153)*(nASIG=B153))),"—")</f>
        <v>—</v>
      </c>
      <c r="G153" t="str" cm="1">
        <f t="array" ref="G153">IFERROR(_xlfn.MODE.SNGL(_xlfn._xlws.FILTER(nNOTA,(nCUENTA=1)*(nCURSO=A153)*(nASIG=B153))),"—")</f>
        <v>—</v>
      </c>
      <c r="H153" s="11" t="str">
        <f>IFERROR(SUMPRODUCT((nCUENTA=1)*(nCURSO=A153)*(nASIG=B153)*(nAPTO="S"))/D153,"—")</f>
        <v>—</v>
      </c>
      <c r="I153" s="11" t="str">
        <f>IFERROR(SUMPRODUCT((nCUENTA=1)*(nCURSO=A153)*(nASIG=B153)*(nAPTO="N"))/D153,"—")</f>
        <v>—</v>
      </c>
      <c r="J153" t="str" cm="1">
        <f t="array" ref="J153">IFERROR(_xlfn.MODE.SNGL(_xlfn._xlws.FILTER(nNOTA,(nCUENTA=1)*(nCURSO=A153)*(nASIG=B153)*(nAPTO="S"))),"—")</f>
        <v>—</v>
      </c>
      <c r="K153" t="str" cm="1">
        <f t="array" ref="K153">IFERROR(_xlfn.MODE.SNGL(_xlfn._xlws.FILTER(nNOTA,(nCUENTA=1)*(nCURSO=A153)*(nASIG=B153)*(nAPTO="N"))),"—")</f>
        <v>—</v>
      </c>
      <c r="L153">
        <f>SUMPRODUCT((nCUENTA=1)*(nCURSO=A153)*(nASIG=B153)*(nNOTA=1))</f>
        <v>0</v>
      </c>
      <c r="M153">
        <f>SUMPRODUCT((nCUENTA=1)*(nCURSO=A153)*(nASIG=B153)*(nNOTA=2))</f>
        <v>0</v>
      </c>
      <c r="N153">
        <f>SUMPRODUCT((nCUENTA=1)*(nCURSO=A153)*(nASIG=B153)*(nNOTA=3))</f>
        <v>0</v>
      </c>
      <c r="O153">
        <f>SUMPRODUCT((nCUENTA=1)*(nCURSO=A153)*(nASIG=B153)*(nNOTA=4))</f>
        <v>0</v>
      </c>
      <c r="P153">
        <f>SUMPRODUCT((nCUENTA=1)*(nCURSO=A153)*(nASIG=B153)*(nNOTA=5))</f>
        <v>0</v>
      </c>
      <c r="Q153">
        <f>SUMPRODUCT((nCUENTA=1)*(nCURSO=A153)*(nASIG=B153)*(nNOTA=6))</f>
        <v>0</v>
      </c>
      <c r="R153">
        <f>SUMPRODUCT((nCUENTA=1)*(nCURSO=A153)*(nASIG=B153)*(nNOTA=7))</f>
        <v>0</v>
      </c>
      <c r="S153">
        <f>SUMPRODUCT((nCUENTA=1)*(nCURSO=A153)*(nASIG=B153)*(nNOTA=8))</f>
        <v>0</v>
      </c>
      <c r="T153">
        <f>SUMPRODUCT((nCUENTA=1)*(nCURSO=A153)*(nASIG=B153)*(nNOTA=9))</f>
        <v>0</v>
      </c>
      <c r="U153">
        <f>SUMPRODUCT((nCUENTA=1)*(nCURSO=A153)*(nASIG=B153)*(nNOTA=10))</f>
        <v>0</v>
      </c>
    </row>
    <row r="154">
      <c r="A154" t="inlineStr">
        <is>
          <t xml:space="preserve">2EPM</t>
        </is>
      </c>
      <c r="B154" cm="1">
        <f t="array" ref="B154">IFERROR(INDEX(_xlfn._xlws.FILTER(CONFIG_ASIGNATURAS!$B$2:$B$91,(CONFIG_ASIGNATURAS!$G$2:$G$91="Sí")*ISNUMBER(SEARCH("2EPM",CONFIG_ASIGNATURAS!$C$2:$C$91))),11),"")</f>
      </c>
      <c r="C154">
        <f>IF(B154="","",IFERROR(VLOOKUP(B154,CONFIG_ASIGNATURAS!$B$2:$D$91,3,FALSE()),"Asignatura"))</f>
      </c>
      <c r="D154">
        <f>SUMPRODUCT((nCUENTA=1)*(nCURSO=A154)*(nASIG=B154))</f>
        <v>0</v>
      </c>
      <c r="E154" s="10" t="str">
        <f>IFERROR(SUMPRODUCT((nCUENTA=1)*(nCURSO=A154)*(nASIG=B154)*(nNOTA))/D154,"—")</f>
        <v>—</v>
      </c>
      <c r="F154" s="10" t="str" cm="1">
        <f t="array" ref="F154">IFERROR(_xlfn.STDEV.P(_xlfn._xlws.FILTER(nNOTA,(nCUENTA=1)*(nCURSO=A154)*(nASIG=B154))),"—")</f>
        <v>—</v>
      </c>
      <c r="G154" t="str" cm="1">
        <f t="array" ref="G154">IFERROR(_xlfn.MODE.SNGL(_xlfn._xlws.FILTER(nNOTA,(nCUENTA=1)*(nCURSO=A154)*(nASIG=B154))),"—")</f>
        <v>—</v>
      </c>
      <c r="H154" s="11" t="str">
        <f>IFERROR(SUMPRODUCT((nCUENTA=1)*(nCURSO=A154)*(nASIG=B154)*(nAPTO="S"))/D154,"—")</f>
        <v>—</v>
      </c>
      <c r="I154" s="11" t="str">
        <f>IFERROR(SUMPRODUCT((nCUENTA=1)*(nCURSO=A154)*(nASIG=B154)*(nAPTO="N"))/D154,"—")</f>
        <v>—</v>
      </c>
      <c r="J154" t="str" cm="1">
        <f t="array" ref="J154">IFERROR(_xlfn.MODE.SNGL(_xlfn._xlws.FILTER(nNOTA,(nCUENTA=1)*(nCURSO=A154)*(nASIG=B154)*(nAPTO="S"))),"—")</f>
        <v>—</v>
      </c>
      <c r="K154" t="str" cm="1">
        <f t="array" ref="K154">IFERROR(_xlfn.MODE.SNGL(_xlfn._xlws.FILTER(nNOTA,(nCUENTA=1)*(nCURSO=A154)*(nASIG=B154)*(nAPTO="N"))),"—")</f>
        <v>—</v>
      </c>
      <c r="L154">
        <f>SUMPRODUCT((nCUENTA=1)*(nCURSO=A154)*(nASIG=B154)*(nNOTA=1))</f>
        <v>0</v>
      </c>
      <c r="M154">
        <f>SUMPRODUCT((nCUENTA=1)*(nCURSO=A154)*(nASIG=B154)*(nNOTA=2))</f>
        <v>0</v>
      </c>
      <c r="N154">
        <f>SUMPRODUCT((nCUENTA=1)*(nCURSO=A154)*(nASIG=B154)*(nNOTA=3))</f>
        <v>0</v>
      </c>
      <c r="O154">
        <f>SUMPRODUCT((nCUENTA=1)*(nCURSO=A154)*(nASIG=B154)*(nNOTA=4))</f>
        <v>0</v>
      </c>
      <c r="P154">
        <f>SUMPRODUCT((nCUENTA=1)*(nCURSO=A154)*(nASIG=B154)*(nNOTA=5))</f>
        <v>0</v>
      </c>
      <c r="Q154">
        <f>SUMPRODUCT((nCUENTA=1)*(nCURSO=A154)*(nASIG=B154)*(nNOTA=6))</f>
        <v>0</v>
      </c>
      <c r="R154">
        <f>SUMPRODUCT((nCUENTA=1)*(nCURSO=A154)*(nASIG=B154)*(nNOTA=7))</f>
        <v>0</v>
      </c>
      <c r="S154">
        <f>SUMPRODUCT((nCUENTA=1)*(nCURSO=A154)*(nASIG=B154)*(nNOTA=8))</f>
        <v>0</v>
      </c>
      <c r="T154">
        <f>SUMPRODUCT((nCUENTA=1)*(nCURSO=A154)*(nASIG=B154)*(nNOTA=9))</f>
        <v>0</v>
      </c>
      <c r="U154">
        <f>SUMPRODUCT((nCUENTA=1)*(nCURSO=A154)*(nASIG=B154)*(nNOTA=10))</f>
        <v>0</v>
      </c>
    </row>
    <row r="155">
      <c r="A155" t="inlineStr">
        <is>
          <t xml:space="preserve">2EPM</t>
        </is>
      </c>
      <c r="B155" cm="1">
        <f t="array" ref="B155">IFERROR(INDEX(_xlfn._xlws.FILTER(CONFIG_ASIGNATURAS!$B$2:$B$91,(CONFIG_ASIGNATURAS!$G$2:$G$91="Sí")*ISNUMBER(SEARCH("2EPM",CONFIG_ASIGNATURAS!$C$2:$C$91))),12),"")</f>
      </c>
      <c r="C155">
        <f>IF(B155="","",IFERROR(VLOOKUP(B155,CONFIG_ASIGNATURAS!$B$2:$D$91,3,FALSE()),"Asignatura"))</f>
      </c>
      <c r="D155">
        <f>SUMPRODUCT((nCUENTA=1)*(nCURSO=A155)*(nASIG=B155))</f>
        <v>0</v>
      </c>
      <c r="E155" s="10" t="str">
        <f>IFERROR(SUMPRODUCT((nCUENTA=1)*(nCURSO=A155)*(nASIG=B155)*(nNOTA))/D155,"—")</f>
        <v>—</v>
      </c>
      <c r="F155" s="10" t="str" cm="1">
        <f t="array" ref="F155">IFERROR(_xlfn.STDEV.P(_xlfn._xlws.FILTER(nNOTA,(nCUENTA=1)*(nCURSO=A155)*(nASIG=B155))),"—")</f>
        <v>—</v>
      </c>
      <c r="G155" t="str" cm="1">
        <f t="array" ref="G155">IFERROR(_xlfn.MODE.SNGL(_xlfn._xlws.FILTER(nNOTA,(nCUENTA=1)*(nCURSO=A155)*(nASIG=B155))),"—")</f>
        <v>—</v>
      </c>
      <c r="H155" s="11" t="str">
        <f>IFERROR(SUMPRODUCT((nCUENTA=1)*(nCURSO=A155)*(nASIG=B155)*(nAPTO="S"))/D155,"—")</f>
        <v>—</v>
      </c>
      <c r="I155" s="11" t="str">
        <f>IFERROR(SUMPRODUCT((nCUENTA=1)*(nCURSO=A155)*(nASIG=B155)*(nAPTO="N"))/D155,"—")</f>
        <v>—</v>
      </c>
      <c r="J155" t="str" cm="1">
        <f t="array" ref="J155">IFERROR(_xlfn.MODE.SNGL(_xlfn._xlws.FILTER(nNOTA,(nCUENTA=1)*(nCURSO=A155)*(nASIG=B155)*(nAPTO="S"))),"—")</f>
        <v>—</v>
      </c>
      <c r="K155" t="str" cm="1">
        <f t="array" ref="K155">IFERROR(_xlfn.MODE.SNGL(_xlfn._xlws.FILTER(nNOTA,(nCUENTA=1)*(nCURSO=A155)*(nASIG=B155)*(nAPTO="N"))),"—")</f>
        <v>—</v>
      </c>
      <c r="L155">
        <f>SUMPRODUCT((nCUENTA=1)*(nCURSO=A155)*(nASIG=B155)*(nNOTA=1))</f>
        <v>0</v>
      </c>
      <c r="M155">
        <f>SUMPRODUCT((nCUENTA=1)*(nCURSO=A155)*(nASIG=B155)*(nNOTA=2))</f>
        <v>0</v>
      </c>
      <c r="N155">
        <f>SUMPRODUCT((nCUENTA=1)*(nCURSO=A155)*(nASIG=B155)*(nNOTA=3))</f>
        <v>0</v>
      </c>
      <c r="O155">
        <f>SUMPRODUCT((nCUENTA=1)*(nCURSO=A155)*(nASIG=B155)*(nNOTA=4))</f>
        <v>0</v>
      </c>
      <c r="P155">
        <f>SUMPRODUCT((nCUENTA=1)*(nCURSO=A155)*(nASIG=B155)*(nNOTA=5))</f>
        <v>0</v>
      </c>
      <c r="Q155">
        <f>SUMPRODUCT((nCUENTA=1)*(nCURSO=A155)*(nASIG=B155)*(nNOTA=6))</f>
        <v>0</v>
      </c>
      <c r="R155">
        <f>SUMPRODUCT((nCUENTA=1)*(nCURSO=A155)*(nASIG=B155)*(nNOTA=7))</f>
        <v>0</v>
      </c>
      <c r="S155">
        <f>SUMPRODUCT((nCUENTA=1)*(nCURSO=A155)*(nASIG=B155)*(nNOTA=8))</f>
        <v>0</v>
      </c>
      <c r="T155">
        <f>SUMPRODUCT((nCUENTA=1)*(nCURSO=A155)*(nASIG=B155)*(nNOTA=9))</f>
        <v>0</v>
      </c>
      <c r="U155">
        <f>SUMPRODUCT((nCUENTA=1)*(nCURSO=A155)*(nASIG=B155)*(nNOTA=10))</f>
        <v>0</v>
      </c>
    </row>
    <row r="156">
      <c r="A156" t="inlineStr">
        <is>
          <t xml:space="preserve">2EPM</t>
        </is>
      </c>
      <c r="B156" cm="1">
        <f t="array" ref="B156">IFERROR(INDEX(_xlfn._xlws.FILTER(CONFIG_ASIGNATURAS!$B$2:$B$91,(CONFIG_ASIGNATURAS!$G$2:$G$91="Sí")*ISNUMBER(SEARCH("2EPM",CONFIG_ASIGNATURAS!$C$2:$C$91))),13),"")</f>
      </c>
      <c r="C156">
        <f>IF(B156="","",IFERROR(VLOOKUP(B156,CONFIG_ASIGNATURAS!$B$2:$D$91,3,FALSE()),"Asignatura"))</f>
      </c>
      <c r="D156">
        <f>SUMPRODUCT((nCUENTA=1)*(nCURSO=A156)*(nASIG=B156))</f>
        <v>0</v>
      </c>
      <c r="E156" s="10" t="str">
        <f>IFERROR(SUMPRODUCT((nCUENTA=1)*(nCURSO=A156)*(nASIG=B156)*(nNOTA))/D156,"—")</f>
        <v>—</v>
      </c>
      <c r="F156" s="10" t="str" cm="1">
        <f t="array" ref="F156">IFERROR(_xlfn.STDEV.P(_xlfn._xlws.FILTER(nNOTA,(nCUENTA=1)*(nCURSO=A156)*(nASIG=B156))),"—")</f>
        <v>—</v>
      </c>
      <c r="G156" t="str" cm="1">
        <f t="array" ref="G156">IFERROR(_xlfn.MODE.SNGL(_xlfn._xlws.FILTER(nNOTA,(nCUENTA=1)*(nCURSO=A156)*(nASIG=B156))),"—")</f>
        <v>—</v>
      </c>
      <c r="H156" s="11" t="str">
        <f>IFERROR(SUMPRODUCT((nCUENTA=1)*(nCURSO=A156)*(nASIG=B156)*(nAPTO="S"))/D156,"—")</f>
        <v>—</v>
      </c>
      <c r="I156" s="11" t="str">
        <f>IFERROR(SUMPRODUCT((nCUENTA=1)*(nCURSO=A156)*(nASIG=B156)*(nAPTO="N"))/D156,"—")</f>
        <v>—</v>
      </c>
      <c r="J156" t="str" cm="1">
        <f t="array" ref="J156">IFERROR(_xlfn.MODE.SNGL(_xlfn._xlws.FILTER(nNOTA,(nCUENTA=1)*(nCURSO=A156)*(nASIG=B156)*(nAPTO="S"))),"—")</f>
        <v>—</v>
      </c>
      <c r="K156" t="str" cm="1">
        <f t="array" ref="K156">IFERROR(_xlfn.MODE.SNGL(_xlfn._xlws.FILTER(nNOTA,(nCUENTA=1)*(nCURSO=A156)*(nASIG=B156)*(nAPTO="N"))),"—")</f>
        <v>—</v>
      </c>
      <c r="L156">
        <f>SUMPRODUCT((nCUENTA=1)*(nCURSO=A156)*(nASIG=B156)*(nNOTA=1))</f>
        <v>0</v>
      </c>
      <c r="M156">
        <f>SUMPRODUCT((nCUENTA=1)*(nCURSO=A156)*(nASIG=B156)*(nNOTA=2))</f>
        <v>0</v>
      </c>
      <c r="N156">
        <f>SUMPRODUCT((nCUENTA=1)*(nCURSO=A156)*(nASIG=B156)*(nNOTA=3))</f>
        <v>0</v>
      </c>
      <c r="O156">
        <f>SUMPRODUCT((nCUENTA=1)*(nCURSO=A156)*(nASIG=B156)*(nNOTA=4))</f>
        <v>0</v>
      </c>
      <c r="P156">
        <f>SUMPRODUCT((nCUENTA=1)*(nCURSO=A156)*(nASIG=B156)*(nNOTA=5))</f>
        <v>0</v>
      </c>
      <c r="Q156">
        <f>SUMPRODUCT((nCUENTA=1)*(nCURSO=A156)*(nASIG=B156)*(nNOTA=6))</f>
        <v>0</v>
      </c>
      <c r="R156">
        <f>SUMPRODUCT((nCUENTA=1)*(nCURSO=A156)*(nASIG=B156)*(nNOTA=7))</f>
        <v>0</v>
      </c>
      <c r="S156">
        <f>SUMPRODUCT((nCUENTA=1)*(nCURSO=A156)*(nASIG=B156)*(nNOTA=8))</f>
        <v>0</v>
      </c>
      <c r="T156">
        <f>SUMPRODUCT((nCUENTA=1)*(nCURSO=A156)*(nASIG=B156)*(nNOTA=9))</f>
        <v>0</v>
      </c>
      <c r="U156">
        <f>SUMPRODUCT((nCUENTA=1)*(nCURSO=A156)*(nASIG=B156)*(nNOTA=10))</f>
        <v>0</v>
      </c>
    </row>
    <row r="157">
      <c r="A157" t="inlineStr">
        <is>
          <t xml:space="preserve">2EPM</t>
        </is>
      </c>
      <c r="B157" cm="1">
        <f t="array" ref="B157">IFERROR(INDEX(_xlfn._xlws.FILTER(CONFIG_ASIGNATURAS!$B$2:$B$91,(CONFIG_ASIGNATURAS!$G$2:$G$91="Sí")*ISNUMBER(SEARCH("2EPM",CONFIG_ASIGNATURAS!$C$2:$C$91))),14),"")</f>
      </c>
      <c r="C157">
        <f>IF(B157="","",IFERROR(VLOOKUP(B157,CONFIG_ASIGNATURAS!$B$2:$D$91,3,FALSE()),"Asignatura"))</f>
      </c>
      <c r="D157">
        <f>SUMPRODUCT((nCUENTA=1)*(nCURSO=A157)*(nASIG=B157))</f>
        <v>0</v>
      </c>
      <c r="E157" s="10" t="str">
        <f>IFERROR(SUMPRODUCT((nCUENTA=1)*(nCURSO=A157)*(nASIG=B157)*(nNOTA))/D157,"—")</f>
        <v>—</v>
      </c>
      <c r="F157" s="10" t="str" cm="1">
        <f t="array" ref="F157">IFERROR(_xlfn.STDEV.P(_xlfn._xlws.FILTER(nNOTA,(nCUENTA=1)*(nCURSO=A157)*(nASIG=B157))),"—")</f>
        <v>—</v>
      </c>
      <c r="G157" t="str" cm="1">
        <f t="array" ref="G157">IFERROR(_xlfn.MODE.SNGL(_xlfn._xlws.FILTER(nNOTA,(nCUENTA=1)*(nCURSO=A157)*(nASIG=B157))),"—")</f>
        <v>—</v>
      </c>
      <c r="H157" s="11" t="str">
        <f>IFERROR(SUMPRODUCT((nCUENTA=1)*(nCURSO=A157)*(nASIG=B157)*(nAPTO="S"))/D157,"—")</f>
        <v>—</v>
      </c>
      <c r="I157" s="11" t="str">
        <f>IFERROR(SUMPRODUCT((nCUENTA=1)*(nCURSO=A157)*(nASIG=B157)*(nAPTO="N"))/D157,"—")</f>
        <v>—</v>
      </c>
      <c r="J157" t="str" cm="1">
        <f t="array" ref="J157">IFERROR(_xlfn.MODE.SNGL(_xlfn._xlws.FILTER(nNOTA,(nCUENTA=1)*(nCURSO=A157)*(nASIG=B157)*(nAPTO="S"))),"—")</f>
        <v>—</v>
      </c>
      <c r="K157" t="str" cm="1">
        <f t="array" ref="K157">IFERROR(_xlfn.MODE.SNGL(_xlfn._xlws.FILTER(nNOTA,(nCUENTA=1)*(nCURSO=A157)*(nASIG=B157)*(nAPTO="N"))),"—")</f>
        <v>—</v>
      </c>
      <c r="L157">
        <f>SUMPRODUCT((nCUENTA=1)*(nCURSO=A157)*(nASIG=B157)*(nNOTA=1))</f>
        <v>0</v>
      </c>
      <c r="M157">
        <f>SUMPRODUCT((nCUENTA=1)*(nCURSO=A157)*(nASIG=B157)*(nNOTA=2))</f>
        <v>0</v>
      </c>
      <c r="N157">
        <f>SUMPRODUCT((nCUENTA=1)*(nCURSO=A157)*(nASIG=B157)*(nNOTA=3))</f>
        <v>0</v>
      </c>
      <c r="O157">
        <f>SUMPRODUCT((nCUENTA=1)*(nCURSO=A157)*(nASIG=B157)*(nNOTA=4))</f>
        <v>0</v>
      </c>
      <c r="P157">
        <f>SUMPRODUCT((nCUENTA=1)*(nCURSO=A157)*(nASIG=B157)*(nNOTA=5))</f>
        <v>0</v>
      </c>
      <c r="Q157">
        <f>SUMPRODUCT((nCUENTA=1)*(nCURSO=A157)*(nASIG=B157)*(nNOTA=6))</f>
        <v>0</v>
      </c>
      <c r="R157">
        <f>SUMPRODUCT((nCUENTA=1)*(nCURSO=A157)*(nASIG=B157)*(nNOTA=7))</f>
        <v>0</v>
      </c>
      <c r="S157">
        <f>SUMPRODUCT((nCUENTA=1)*(nCURSO=A157)*(nASIG=B157)*(nNOTA=8))</f>
        <v>0</v>
      </c>
      <c r="T157">
        <f>SUMPRODUCT((nCUENTA=1)*(nCURSO=A157)*(nASIG=B157)*(nNOTA=9))</f>
        <v>0</v>
      </c>
      <c r="U157">
        <f>SUMPRODUCT((nCUENTA=1)*(nCURSO=A157)*(nASIG=B157)*(nNOTA=10))</f>
        <v>0</v>
      </c>
    </row>
    <row r="158">
      <c r="A158" t="inlineStr">
        <is>
          <t xml:space="preserve">2EPM</t>
        </is>
      </c>
      <c r="B158" cm="1">
        <f t="array" ref="B158">IFERROR(INDEX(_xlfn._xlws.FILTER(CONFIG_ASIGNATURAS!$B$2:$B$91,(CONFIG_ASIGNATURAS!$G$2:$G$91="Sí")*ISNUMBER(SEARCH("2EPM",CONFIG_ASIGNATURAS!$C$2:$C$91))),15),"")</f>
      </c>
      <c r="C158">
        <f>IF(B158="","",IFERROR(VLOOKUP(B158,CONFIG_ASIGNATURAS!$B$2:$D$91,3,FALSE()),"Asignatura"))</f>
      </c>
      <c r="D158">
        <f>SUMPRODUCT((nCUENTA=1)*(nCURSO=A158)*(nASIG=B158))</f>
        <v>0</v>
      </c>
      <c r="E158" s="10" t="str">
        <f>IFERROR(SUMPRODUCT((nCUENTA=1)*(nCURSO=A158)*(nASIG=B158)*(nNOTA))/D158,"—")</f>
        <v>—</v>
      </c>
      <c r="F158" s="10" t="str" cm="1">
        <f t="array" ref="F158">IFERROR(_xlfn.STDEV.P(_xlfn._xlws.FILTER(nNOTA,(nCUENTA=1)*(nCURSO=A158)*(nASIG=B158))),"—")</f>
        <v>—</v>
      </c>
      <c r="G158" t="str" cm="1">
        <f t="array" ref="G158">IFERROR(_xlfn.MODE.SNGL(_xlfn._xlws.FILTER(nNOTA,(nCUENTA=1)*(nCURSO=A158)*(nASIG=B158))),"—")</f>
        <v>—</v>
      </c>
      <c r="H158" s="11" t="str">
        <f>IFERROR(SUMPRODUCT((nCUENTA=1)*(nCURSO=A158)*(nASIG=B158)*(nAPTO="S"))/D158,"—")</f>
        <v>—</v>
      </c>
      <c r="I158" s="11" t="str">
        <f>IFERROR(SUMPRODUCT((nCUENTA=1)*(nCURSO=A158)*(nASIG=B158)*(nAPTO="N"))/D158,"—")</f>
        <v>—</v>
      </c>
      <c r="J158" t="str" cm="1">
        <f t="array" ref="J158">IFERROR(_xlfn.MODE.SNGL(_xlfn._xlws.FILTER(nNOTA,(nCUENTA=1)*(nCURSO=A158)*(nASIG=B158)*(nAPTO="S"))),"—")</f>
        <v>—</v>
      </c>
      <c r="K158" t="str" cm="1">
        <f t="array" ref="K158">IFERROR(_xlfn.MODE.SNGL(_xlfn._xlws.FILTER(nNOTA,(nCUENTA=1)*(nCURSO=A158)*(nASIG=B158)*(nAPTO="N"))),"—")</f>
        <v>—</v>
      </c>
      <c r="L158">
        <f>SUMPRODUCT((nCUENTA=1)*(nCURSO=A158)*(nASIG=B158)*(nNOTA=1))</f>
        <v>0</v>
      </c>
      <c r="M158">
        <f>SUMPRODUCT((nCUENTA=1)*(nCURSO=A158)*(nASIG=B158)*(nNOTA=2))</f>
        <v>0</v>
      </c>
      <c r="N158">
        <f>SUMPRODUCT((nCUENTA=1)*(nCURSO=A158)*(nASIG=B158)*(nNOTA=3))</f>
        <v>0</v>
      </c>
      <c r="O158">
        <f>SUMPRODUCT((nCUENTA=1)*(nCURSO=A158)*(nASIG=B158)*(nNOTA=4))</f>
        <v>0</v>
      </c>
      <c r="P158">
        <f>SUMPRODUCT((nCUENTA=1)*(nCURSO=A158)*(nASIG=B158)*(nNOTA=5))</f>
        <v>0</v>
      </c>
      <c r="Q158">
        <f>SUMPRODUCT((nCUENTA=1)*(nCURSO=A158)*(nASIG=B158)*(nNOTA=6))</f>
        <v>0</v>
      </c>
      <c r="R158">
        <f>SUMPRODUCT((nCUENTA=1)*(nCURSO=A158)*(nASIG=B158)*(nNOTA=7))</f>
        <v>0</v>
      </c>
      <c r="S158">
        <f>SUMPRODUCT((nCUENTA=1)*(nCURSO=A158)*(nASIG=B158)*(nNOTA=8))</f>
        <v>0</v>
      </c>
      <c r="T158">
        <f>SUMPRODUCT((nCUENTA=1)*(nCURSO=A158)*(nASIG=B158)*(nNOTA=9))</f>
        <v>0</v>
      </c>
      <c r="U158">
        <f>SUMPRODUCT((nCUENTA=1)*(nCURSO=A158)*(nASIG=B158)*(nNOTA=10))</f>
        <v>0</v>
      </c>
    </row>
    <row r="159">
      <c r="A159" t="inlineStr">
        <is>
          <t xml:space="preserve">2EPM</t>
        </is>
      </c>
      <c r="B159" cm="1">
        <f t="array" ref="B159">IFERROR(INDEX(_xlfn._xlws.FILTER(CONFIG_ASIGNATURAS!$B$2:$B$91,(CONFIG_ASIGNATURAS!$G$2:$G$91="Sí")*ISNUMBER(SEARCH("2EPM",CONFIG_ASIGNATURAS!$C$2:$C$91))),16),"")</f>
      </c>
      <c r="C159">
        <f>IF(B159="","",IFERROR(VLOOKUP(B159,CONFIG_ASIGNATURAS!$B$2:$D$91,3,FALSE()),"Asignatura"))</f>
      </c>
      <c r="D159">
        <f>SUMPRODUCT((nCUENTA=1)*(nCURSO=A159)*(nASIG=B159))</f>
        <v>0</v>
      </c>
      <c r="E159" s="10" t="str">
        <f>IFERROR(SUMPRODUCT((nCUENTA=1)*(nCURSO=A159)*(nASIG=B159)*(nNOTA))/D159,"—")</f>
        <v>—</v>
      </c>
      <c r="F159" s="10" t="str" cm="1">
        <f t="array" ref="F159">IFERROR(_xlfn.STDEV.P(_xlfn._xlws.FILTER(nNOTA,(nCUENTA=1)*(nCURSO=A159)*(nASIG=B159))),"—")</f>
        <v>—</v>
      </c>
      <c r="G159" t="str" cm="1">
        <f t="array" ref="G159">IFERROR(_xlfn.MODE.SNGL(_xlfn._xlws.FILTER(nNOTA,(nCUENTA=1)*(nCURSO=A159)*(nASIG=B159))),"—")</f>
        <v>—</v>
      </c>
      <c r="H159" s="11" t="str">
        <f>IFERROR(SUMPRODUCT((nCUENTA=1)*(nCURSO=A159)*(nASIG=B159)*(nAPTO="S"))/D159,"—")</f>
        <v>—</v>
      </c>
      <c r="I159" s="11" t="str">
        <f>IFERROR(SUMPRODUCT((nCUENTA=1)*(nCURSO=A159)*(nASIG=B159)*(nAPTO="N"))/D159,"—")</f>
        <v>—</v>
      </c>
      <c r="J159" t="str" cm="1">
        <f t="array" ref="J159">IFERROR(_xlfn.MODE.SNGL(_xlfn._xlws.FILTER(nNOTA,(nCUENTA=1)*(nCURSO=A159)*(nASIG=B159)*(nAPTO="S"))),"—")</f>
        <v>—</v>
      </c>
      <c r="K159" t="str" cm="1">
        <f t="array" ref="K159">IFERROR(_xlfn.MODE.SNGL(_xlfn._xlws.FILTER(nNOTA,(nCUENTA=1)*(nCURSO=A159)*(nASIG=B159)*(nAPTO="N"))),"—")</f>
        <v>—</v>
      </c>
      <c r="L159">
        <f>SUMPRODUCT((nCUENTA=1)*(nCURSO=A159)*(nASIG=B159)*(nNOTA=1))</f>
        <v>0</v>
      </c>
      <c r="M159">
        <f>SUMPRODUCT((nCUENTA=1)*(nCURSO=A159)*(nASIG=B159)*(nNOTA=2))</f>
        <v>0</v>
      </c>
      <c r="N159">
        <f>SUMPRODUCT((nCUENTA=1)*(nCURSO=A159)*(nASIG=B159)*(nNOTA=3))</f>
        <v>0</v>
      </c>
      <c r="O159">
        <f>SUMPRODUCT((nCUENTA=1)*(nCURSO=A159)*(nASIG=B159)*(nNOTA=4))</f>
        <v>0</v>
      </c>
      <c r="P159">
        <f>SUMPRODUCT((nCUENTA=1)*(nCURSO=A159)*(nASIG=B159)*(nNOTA=5))</f>
        <v>0</v>
      </c>
      <c r="Q159">
        <f>SUMPRODUCT((nCUENTA=1)*(nCURSO=A159)*(nASIG=B159)*(nNOTA=6))</f>
        <v>0</v>
      </c>
      <c r="R159">
        <f>SUMPRODUCT((nCUENTA=1)*(nCURSO=A159)*(nASIG=B159)*(nNOTA=7))</f>
        <v>0</v>
      </c>
      <c r="S159">
        <f>SUMPRODUCT((nCUENTA=1)*(nCURSO=A159)*(nASIG=B159)*(nNOTA=8))</f>
        <v>0</v>
      </c>
      <c r="T159">
        <f>SUMPRODUCT((nCUENTA=1)*(nCURSO=A159)*(nASIG=B159)*(nNOTA=9))</f>
        <v>0</v>
      </c>
      <c r="U159">
        <f>SUMPRODUCT((nCUENTA=1)*(nCURSO=A159)*(nASIG=B159)*(nNOTA=10))</f>
        <v>0</v>
      </c>
    </row>
    <row r="160">
      <c r="A160" t="inlineStr">
        <is>
          <t xml:space="preserve">2EPM</t>
        </is>
      </c>
      <c r="B160" cm="1">
        <f t="array" ref="B160">IFERROR(INDEX(_xlfn._xlws.FILTER(CONFIG_ASIGNATURAS!$B$2:$B$91,(CONFIG_ASIGNATURAS!$G$2:$G$91="Sí")*ISNUMBER(SEARCH("2EPM",CONFIG_ASIGNATURAS!$C$2:$C$91))),17),"")</f>
      </c>
      <c r="C160">
        <f>IF(B160="","",IFERROR(VLOOKUP(B160,CONFIG_ASIGNATURAS!$B$2:$D$91,3,FALSE()),"Asignatura"))</f>
      </c>
      <c r="D160">
        <f>SUMPRODUCT((nCUENTA=1)*(nCURSO=A160)*(nASIG=B160))</f>
        <v>0</v>
      </c>
      <c r="E160" s="10" t="str">
        <f>IFERROR(SUMPRODUCT((nCUENTA=1)*(nCURSO=A160)*(nASIG=B160)*(nNOTA))/D160,"—")</f>
        <v>—</v>
      </c>
      <c r="F160" s="10" t="str" cm="1">
        <f t="array" ref="F160">IFERROR(_xlfn.STDEV.P(_xlfn._xlws.FILTER(nNOTA,(nCUENTA=1)*(nCURSO=A160)*(nASIG=B160))),"—")</f>
        <v>—</v>
      </c>
      <c r="G160" t="str" cm="1">
        <f t="array" ref="G160">IFERROR(_xlfn.MODE.SNGL(_xlfn._xlws.FILTER(nNOTA,(nCUENTA=1)*(nCURSO=A160)*(nASIG=B160))),"—")</f>
        <v>—</v>
      </c>
      <c r="H160" s="11" t="str">
        <f>IFERROR(SUMPRODUCT((nCUENTA=1)*(nCURSO=A160)*(nASIG=B160)*(nAPTO="S"))/D160,"—")</f>
        <v>—</v>
      </c>
      <c r="I160" s="11" t="str">
        <f>IFERROR(SUMPRODUCT((nCUENTA=1)*(nCURSO=A160)*(nASIG=B160)*(nAPTO="N"))/D160,"—")</f>
        <v>—</v>
      </c>
      <c r="J160" t="str" cm="1">
        <f t="array" ref="J160">IFERROR(_xlfn.MODE.SNGL(_xlfn._xlws.FILTER(nNOTA,(nCUENTA=1)*(nCURSO=A160)*(nASIG=B160)*(nAPTO="S"))),"—")</f>
        <v>—</v>
      </c>
      <c r="K160" t="str" cm="1">
        <f t="array" ref="K160">IFERROR(_xlfn.MODE.SNGL(_xlfn._xlws.FILTER(nNOTA,(nCUENTA=1)*(nCURSO=A160)*(nASIG=B160)*(nAPTO="N"))),"—")</f>
        <v>—</v>
      </c>
      <c r="L160">
        <f>SUMPRODUCT((nCUENTA=1)*(nCURSO=A160)*(nASIG=B160)*(nNOTA=1))</f>
        <v>0</v>
      </c>
      <c r="M160">
        <f>SUMPRODUCT((nCUENTA=1)*(nCURSO=A160)*(nASIG=B160)*(nNOTA=2))</f>
        <v>0</v>
      </c>
      <c r="N160">
        <f>SUMPRODUCT((nCUENTA=1)*(nCURSO=A160)*(nASIG=B160)*(nNOTA=3))</f>
        <v>0</v>
      </c>
      <c r="O160">
        <f>SUMPRODUCT((nCUENTA=1)*(nCURSO=A160)*(nASIG=B160)*(nNOTA=4))</f>
        <v>0</v>
      </c>
      <c r="P160">
        <f>SUMPRODUCT((nCUENTA=1)*(nCURSO=A160)*(nASIG=B160)*(nNOTA=5))</f>
        <v>0</v>
      </c>
      <c r="Q160">
        <f>SUMPRODUCT((nCUENTA=1)*(nCURSO=A160)*(nASIG=B160)*(nNOTA=6))</f>
        <v>0</v>
      </c>
      <c r="R160">
        <f>SUMPRODUCT((nCUENTA=1)*(nCURSO=A160)*(nASIG=B160)*(nNOTA=7))</f>
        <v>0</v>
      </c>
      <c r="S160">
        <f>SUMPRODUCT((nCUENTA=1)*(nCURSO=A160)*(nASIG=B160)*(nNOTA=8))</f>
        <v>0</v>
      </c>
      <c r="T160">
        <f>SUMPRODUCT((nCUENTA=1)*(nCURSO=A160)*(nASIG=B160)*(nNOTA=9))</f>
        <v>0</v>
      </c>
      <c r="U160">
        <f>SUMPRODUCT((nCUENTA=1)*(nCURSO=A160)*(nASIG=B160)*(nNOTA=10))</f>
        <v>0</v>
      </c>
    </row>
    <row r="161">
      <c r="A161" t="inlineStr">
        <is>
          <t xml:space="preserve">2EPM</t>
        </is>
      </c>
      <c r="B161" cm="1">
        <f t="array" ref="B161">IFERROR(INDEX(_xlfn._xlws.FILTER(CONFIG_ASIGNATURAS!$B$2:$B$91,(CONFIG_ASIGNATURAS!$G$2:$G$91="Sí")*ISNUMBER(SEARCH("2EPM",CONFIG_ASIGNATURAS!$C$2:$C$91))),18),"")</f>
      </c>
      <c r="C161">
        <f>IF(B161="","",IFERROR(VLOOKUP(B161,CONFIG_ASIGNATURAS!$B$2:$D$91,3,FALSE()),"Asignatura"))</f>
      </c>
      <c r="D161">
        <f>SUMPRODUCT((nCUENTA=1)*(nCURSO=A161)*(nASIG=B161))</f>
        <v>0</v>
      </c>
      <c r="E161" s="10" t="str">
        <f>IFERROR(SUMPRODUCT((nCUENTA=1)*(nCURSO=A161)*(nASIG=B161)*(nNOTA))/D161,"—")</f>
        <v>—</v>
      </c>
      <c r="F161" s="10" t="str" cm="1">
        <f t="array" ref="F161">IFERROR(_xlfn.STDEV.P(_xlfn._xlws.FILTER(nNOTA,(nCUENTA=1)*(nCURSO=A161)*(nASIG=B161))),"—")</f>
        <v>—</v>
      </c>
      <c r="G161" t="str" cm="1">
        <f t="array" ref="G161">IFERROR(_xlfn.MODE.SNGL(_xlfn._xlws.FILTER(nNOTA,(nCUENTA=1)*(nCURSO=A161)*(nASIG=B161))),"—")</f>
        <v>—</v>
      </c>
      <c r="H161" s="11" t="str">
        <f>IFERROR(SUMPRODUCT((nCUENTA=1)*(nCURSO=A161)*(nASIG=B161)*(nAPTO="S"))/D161,"—")</f>
        <v>—</v>
      </c>
      <c r="I161" s="11" t="str">
        <f>IFERROR(SUMPRODUCT((nCUENTA=1)*(nCURSO=A161)*(nASIG=B161)*(nAPTO="N"))/D161,"—")</f>
        <v>—</v>
      </c>
      <c r="J161" t="str" cm="1">
        <f t="array" ref="J161">IFERROR(_xlfn.MODE.SNGL(_xlfn._xlws.FILTER(nNOTA,(nCUENTA=1)*(nCURSO=A161)*(nASIG=B161)*(nAPTO="S"))),"—")</f>
        <v>—</v>
      </c>
      <c r="K161" t="str" cm="1">
        <f t="array" ref="K161">IFERROR(_xlfn.MODE.SNGL(_xlfn._xlws.FILTER(nNOTA,(nCUENTA=1)*(nCURSO=A161)*(nASIG=B161)*(nAPTO="N"))),"—")</f>
        <v>—</v>
      </c>
      <c r="L161">
        <f>SUMPRODUCT((nCUENTA=1)*(nCURSO=A161)*(nASIG=B161)*(nNOTA=1))</f>
        <v>0</v>
      </c>
      <c r="M161">
        <f>SUMPRODUCT((nCUENTA=1)*(nCURSO=A161)*(nASIG=B161)*(nNOTA=2))</f>
        <v>0</v>
      </c>
      <c r="N161">
        <f>SUMPRODUCT((nCUENTA=1)*(nCURSO=A161)*(nASIG=B161)*(nNOTA=3))</f>
        <v>0</v>
      </c>
      <c r="O161">
        <f>SUMPRODUCT((nCUENTA=1)*(nCURSO=A161)*(nASIG=B161)*(nNOTA=4))</f>
        <v>0</v>
      </c>
      <c r="P161">
        <f>SUMPRODUCT((nCUENTA=1)*(nCURSO=A161)*(nASIG=B161)*(nNOTA=5))</f>
        <v>0</v>
      </c>
      <c r="Q161">
        <f>SUMPRODUCT((nCUENTA=1)*(nCURSO=A161)*(nASIG=B161)*(nNOTA=6))</f>
        <v>0</v>
      </c>
      <c r="R161">
        <f>SUMPRODUCT((nCUENTA=1)*(nCURSO=A161)*(nASIG=B161)*(nNOTA=7))</f>
        <v>0</v>
      </c>
      <c r="S161">
        <f>SUMPRODUCT((nCUENTA=1)*(nCURSO=A161)*(nASIG=B161)*(nNOTA=8))</f>
        <v>0</v>
      </c>
      <c r="T161">
        <f>SUMPRODUCT((nCUENTA=1)*(nCURSO=A161)*(nASIG=B161)*(nNOTA=9))</f>
        <v>0</v>
      </c>
      <c r="U161">
        <f>SUMPRODUCT((nCUENTA=1)*(nCURSO=A161)*(nASIG=B161)*(nNOTA=10))</f>
        <v>0</v>
      </c>
    </row>
    <row r="162">
      <c r="A162" t="inlineStr">
        <is>
          <t xml:space="preserve">2EPM</t>
        </is>
      </c>
      <c r="B162" cm="1">
        <f t="array" ref="B162">IFERROR(INDEX(_xlfn._xlws.FILTER(CONFIG_ASIGNATURAS!$B$2:$B$91,(CONFIG_ASIGNATURAS!$G$2:$G$91="Sí")*ISNUMBER(SEARCH("2EPM",CONFIG_ASIGNATURAS!$C$2:$C$91))),19),"")</f>
      </c>
      <c r="C162">
        <f>IF(B162="","",IFERROR(VLOOKUP(B162,CONFIG_ASIGNATURAS!$B$2:$D$91,3,FALSE()),"Asignatura"))</f>
      </c>
      <c r="D162">
        <f>SUMPRODUCT((nCUENTA=1)*(nCURSO=A162)*(nASIG=B162))</f>
        <v>0</v>
      </c>
      <c r="E162" s="10" t="str">
        <f>IFERROR(SUMPRODUCT((nCUENTA=1)*(nCURSO=A162)*(nASIG=B162)*(nNOTA))/D162,"—")</f>
        <v>—</v>
      </c>
      <c r="F162" s="10" t="str" cm="1">
        <f t="array" ref="F162">IFERROR(_xlfn.STDEV.P(_xlfn._xlws.FILTER(nNOTA,(nCUENTA=1)*(nCURSO=A162)*(nASIG=B162))),"—")</f>
        <v>—</v>
      </c>
      <c r="G162" t="str" cm="1">
        <f t="array" ref="G162">IFERROR(_xlfn.MODE.SNGL(_xlfn._xlws.FILTER(nNOTA,(nCUENTA=1)*(nCURSO=A162)*(nASIG=B162))),"—")</f>
        <v>—</v>
      </c>
      <c r="H162" s="11" t="str">
        <f>IFERROR(SUMPRODUCT((nCUENTA=1)*(nCURSO=A162)*(nASIG=B162)*(nAPTO="S"))/D162,"—")</f>
        <v>—</v>
      </c>
      <c r="I162" s="11" t="str">
        <f>IFERROR(SUMPRODUCT((nCUENTA=1)*(nCURSO=A162)*(nASIG=B162)*(nAPTO="N"))/D162,"—")</f>
        <v>—</v>
      </c>
      <c r="J162" t="str" cm="1">
        <f t="array" ref="J162">IFERROR(_xlfn.MODE.SNGL(_xlfn._xlws.FILTER(nNOTA,(nCUENTA=1)*(nCURSO=A162)*(nASIG=B162)*(nAPTO="S"))),"—")</f>
        <v>—</v>
      </c>
      <c r="K162" t="str" cm="1">
        <f t="array" ref="K162">IFERROR(_xlfn.MODE.SNGL(_xlfn._xlws.FILTER(nNOTA,(nCUENTA=1)*(nCURSO=A162)*(nASIG=B162)*(nAPTO="N"))),"—")</f>
        <v>—</v>
      </c>
      <c r="L162">
        <f>SUMPRODUCT((nCUENTA=1)*(nCURSO=A162)*(nASIG=B162)*(nNOTA=1))</f>
        <v>0</v>
      </c>
      <c r="M162">
        <f>SUMPRODUCT((nCUENTA=1)*(nCURSO=A162)*(nASIG=B162)*(nNOTA=2))</f>
        <v>0</v>
      </c>
      <c r="N162">
        <f>SUMPRODUCT((nCUENTA=1)*(nCURSO=A162)*(nASIG=B162)*(nNOTA=3))</f>
        <v>0</v>
      </c>
      <c r="O162">
        <f>SUMPRODUCT((nCUENTA=1)*(nCURSO=A162)*(nASIG=B162)*(nNOTA=4))</f>
        <v>0</v>
      </c>
      <c r="P162">
        <f>SUMPRODUCT((nCUENTA=1)*(nCURSO=A162)*(nASIG=B162)*(nNOTA=5))</f>
        <v>0</v>
      </c>
      <c r="Q162">
        <f>SUMPRODUCT((nCUENTA=1)*(nCURSO=A162)*(nASIG=B162)*(nNOTA=6))</f>
        <v>0</v>
      </c>
      <c r="R162">
        <f>SUMPRODUCT((nCUENTA=1)*(nCURSO=A162)*(nASIG=B162)*(nNOTA=7))</f>
        <v>0</v>
      </c>
      <c r="S162">
        <f>SUMPRODUCT((nCUENTA=1)*(nCURSO=A162)*(nASIG=B162)*(nNOTA=8))</f>
        <v>0</v>
      </c>
      <c r="T162">
        <f>SUMPRODUCT((nCUENTA=1)*(nCURSO=A162)*(nASIG=B162)*(nNOTA=9))</f>
        <v>0</v>
      </c>
      <c r="U162">
        <f>SUMPRODUCT((nCUENTA=1)*(nCURSO=A162)*(nASIG=B162)*(nNOTA=10))</f>
        <v>0</v>
      </c>
    </row>
    <row r="163">
      <c r="A163" t="inlineStr">
        <is>
          <t xml:space="preserve">2EPM</t>
        </is>
      </c>
      <c r="B163" cm="1">
        <f t="array" ref="B163">IFERROR(INDEX(_xlfn._xlws.FILTER(CONFIG_ASIGNATURAS!$B$2:$B$91,(CONFIG_ASIGNATURAS!$G$2:$G$91="Sí")*ISNUMBER(SEARCH("2EPM",CONFIG_ASIGNATURAS!$C$2:$C$91))),20),"")</f>
      </c>
      <c r="C163">
        <f>IF(B163="","",IFERROR(VLOOKUP(B163,CONFIG_ASIGNATURAS!$B$2:$D$91,3,FALSE()),"Asignatura"))</f>
      </c>
      <c r="D163">
        <f>SUMPRODUCT((nCUENTA=1)*(nCURSO=A163)*(nASIG=B163))</f>
        <v>0</v>
      </c>
      <c r="E163" s="10" t="str">
        <f>IFERROR(SUMPRODUCT((nCUENTA=1)*(nCURSO=A163)*(nASIG=B163)*(nNOTA))/D163,"—")</f>
        <v>—</v>
      </c>
      <c r="F163" s="10" t="str" cm="1">
        <f t="array" ref="F163">IFERROR(_xlfn.STDEV.P(_xlfn._xlws.FILTER(nNOTA,(nCUENTA=1)*(nCURSO=A163)*(nASIG=B163))),"—")</f>
        <v>—</v>
      </c>
      <c r="G163" t="str" cm="1">
        <f t="array" ref="G163">IFERROR(_xlfn.MODE.SNGL(_xlfn._xlws.FILTER(nNOTA,(nCUENTA=1)*(nCURSO=A163)*(nASIG=B163))),"—")</f>
        <v>—</v>
      </c>
      <c r="H163" s="11" t="str">
        <f>IFERROR(SUMPRODUCT((nCUENTA=1)*(nCURSO=A163)*(nASIG=B163)*(nAPTO="S"))/D163,"—")</f>
        <v>—</v>
      </c>
      <c r="I163" s="11" t="str">
        <f>IFERROR(SUMPRODUCT((nCUENTA=1)*(nCURSO=A163)*(nASIG=B163)*(nAPTO="N"))/D163,"—")</f>
        <v>—</v>
      </c>
      <c r="J163" t="str" cm="1">
        <f t="array" ref="J163">IFERROR(_xlfn.MODE.SNGL(_xlfn._xlws.FILTER(nNOTA,(nCUENTA=1)*(nCURSO=A163)*(nASIG=B163)*(nAPTO="S"))),"—")</f>
        <v>—</v>
      </c>
      <c r="K163" t="str" cm="1">
        <f t="array" ref="K163">IFERROR(_xlfn.MODE.SNGL(_xlfn._xlws.FILTER(nNOTA,(nCUENTA=1)*(nCURSO=A163)*(nASIG=B163)*(nAPTO="N"))),"—")</f>
        <v>—</v>
      </c>
      <c r="L163">
        <f>SUMPRODUCT((nCUENTA=1)*(nCURSO=A163)*(nASIG=B163)*(nNOTA=1))</f>
        <v>0</v>
      </c>
      <c r="M163">
        <f>SUMPRODUCT((nCUENTA=1)*(nCURSO=A163)*(nASIG=B163)*(nNOTA=2))</f>
        <v>0</v>
      </c>
      <c r="N163">
        <f>SUMPRODUCT((nCUENTA=1)*(nCURSO=A163)*(nASIG=B163)*(nNOTA=3))</f>
        <v>0</v>
      </c>
      <c r="O163">
        <f>SUMPRODUCT((nCUENTA=1)*(nCURSO=A163)*(nASIG=B163)*(nNOTA=4))</f>
        <v>0</v>
      </c>
      <c r="P163">
        <f>SUMPRODUCT((nCUENTA=1)*(nCURSO=A163)*(nASIG=B163)*(nNOTA=5))</f>
        <v>0</v>
      </c>
      <c r="Q163">
        <f>SUMPRODUCT((nCUENTA=1)*(nCURSO=A163)*(nASIG=B163)*(nNOTA=6))</f>
        <v>0</v>
      </c>
      <c r="R163">
        <f>SUMPRODUCT((nCUENTA=1)*(nCURSO=A163)*(nASIG=B163)*(nNOTA=7))</f>
        <v>0</v>
      </c>
      <c r="S163">
        <f>SUMPRODUCT((nCUENTA=1)*(nCURSO=A163)*(nASIG=B163)*(nNOTA=8))</f>
        <v>0</v>
      </c>
      <c r="T163">
        <f>SUMPRODUCT((nCUENTA=1)*(nCURSO=A163)*(nASIG=B163)*(nNOTA=9))</f>
        <v>0</v>
      </c>
      <c r="U163">
        <f>SUMPRODUCT((nCUENTA=1)*(nCURSO=A163)*(nASIG=B163)*(nNOTA=10))</f>
        <v>0</v>
      </c>
    </row>
    <row r="164">
      <c r="A164" t="inlineStr">
        <is>
          <t xml:space="preserve">2EPM</t>
        </is>
      </c>
      <c r="B164" cm="1">
        <f t="array" ref="B164">IFERROR(INDEX(_xlfn._xlws.FILTER(CONFIG_ASIGNATURAS!$B$2:$B$91,(CONFIG_ASIGNATURAS!$G$2:$G$91="Sí")*ISNUMBER(SEARCH("2EPM",CONFIG_ASIGNATURAS!$C$2:$C$91))),21),"")</f>
      </c>
      <c r="C164">
        <f>IF(B164="","",IFERROR(VLOOKUP(B164,CONFIG_ASIGNATURAS!$B$2:$D$91,3,FALSE()),"Asignatura"))</f>
      </c>
      <c r="D164">
        <f>SUMPRODUCT((nCUENTA=1)*(nCURSO=A164)*(nASIG=B164))</f>
        <v>0</v>
      </c>
      <c r="E164" s="10" t="str">
        <f>IFERROR(SUMPRODUCT((nCUENTA=1)*(nCURSO=A164)*(nASIG=B164)*(nNOTA))/D164,"—")</f>
        <v>—</v>
      </c>
      <c r="F164" s="10" t="str" cm="1">
        <f t="array" ref="F164">IFERROR(_xlfn.STDEV.P(_xlfn._xlws.FILTER(nNOTA,(nCUENTA=1)*(nCURSO=A164)*(nASIG=B164))),"—")</f>
        <v>—</v>
      </c>
      <c r="G164" t="str" cm="1">
        <f t="array" ref="G164">IFERROR(_xlfn.MODE.SNGL(_xlfn._xlws.FILTER(nNOTA,(nCUENTA=1)*(nCURSO=A164)*(nASIG=B164))),"—")</f>
        <v>—</v>
      </c>
      <c r="H164" s="11" t="str">
        <f>IFERROR(SUMPRODUCT((nCUENTA=1)*(nCURSO=A164)*(nASIG=B164)*(nAPTO="S"))/D164,"—")</f>
        <v>—</v>
      </c>
      <c r="I164" s="11" t="str">
        <f>IFERROR(SUMPRODUCT((nCUENTA=1)*(nCURSO=A164)*(nASIG=B164)*(nAPTO="N"))/D164,"—")</f>
        <v>—</v>
      </c>
      <c r="J164" t="str" cm="1">
        <f t="array" ref="J164">IFERROR(_xlfn.MODE.SNGL(_xlfn._xlws.FILTER(nNOTA,(nCUENTA=1)*(nCURSO=A164)*(nASIG=B164)*(nAPTO="S"))),"—")</f>
        <v>—</v>
      </c>
      <c r="K164" t="str" cm="1">
        <f t="array" ref="K164">IFERROR(_xlfn.MODE.SNGL(_xlfn._xlws.FILTER(nNOTA,(nCUENTA=1)*(nCURSO=A164)*(nASIG=B164)*(nAPTO="N"))),"—")</f>
        <v>—</v>
      </c>
      <c r="L164">
        <f>SUMPRODUCT((nCUENTA=1)*(nCURSO=A164)*(nASIG=B164)*(nNOTA=1))</f>
        <v>0</v>
      </c>
      <c r="M164">
        <f>SUMPRODUCT((nCUENTA=1)*(nCURSO=A164)*(nASIG=B164)*(nNOTA=2))</f>
        <v>0</v>
      </c>
      <c r="N164">
        <f>SUMPRODUCT((nCUENTA=1)*(nCURSO=A164)*(nASIG=B164)*(nNOTA=3))</f>
        <v>0</v>
      </c>
      <c r="O164">
        <f>SUMPRODUCT((nCUENTA=1)*(nCURSO=A164)*(nASIG=B164)*(nNOTA=4))</f>
        <v>0</v>
      </c>
      <c r="P164">
        <f>SUMPRODUCT((nCUENTA=1)*(nCURSO=A164)*(nASIG=B164)*(nNOTA=5))</f>
        <v>0</v>
      </c>
      <c r="Q164">
        <f>SUMPRODUCT((nCUENTA=1)*(nCURSO=A164)*(nASIG=B164)*(nNOTA=6))</f>
        <v>0</v>
      </c>
      <c r="R164">
        <f>SUMPRODUCT((nCUENTA=1)*(nCURSO=A164)*(nASIG=B164)*(nNOTA=7))</f>
        <v>0</v>
      </c>
      <c r="S164">
        <f>SUMPRODUCT((nCUENTA=1)*(nCURSO=A164)*(nASIG=B164)*(nNOTA=8))</f>
        <v>0</v>
      </c>
      <c r="T164">
        <f>SUMPRODUCT((nCUENTA=1)*(nCURSO=A164)*(nASIG=B164)*(nNOTA=9))</f>
        <v>0</v>
      </c>
      <c r="U164">
        <f>SUMPRODUCT((nCUENTA=1)*(nCURSO=A164)*(nASIG=B164)*(nNOTA=10))</f>
        <v>0</v>
      </c>
    </row>
    <row r="165">
      <c r="A165" t="inlineStr">
        <is>
          <t xml:space="preserve">2EPM</t>
        </is>
      </c>
      <c r="B165" cm="1">
        <f t="array" ref="B165">IFERROR(INDEX(_xlfn._xlws.FILTER(CONFIG_ASIGNATURAS!$B$2:$B$91,(CONFIG_ASIGNATURAS!$G$2:$G$91="Sí")*ISNUMBER(SEARCH("2EPM",CONFIG_ASIGNATURAS!$C$2:$C$91))),22),"")</f>
      </c>
      <c r="C165">
        <f>IF(B165="","",IFERROR(VLOOKUP(B165,CONFIG_ASIGNATURAS!$B$2:$D$91,3,FALSE()),"Asignatura"))</f>
      </c>
      <c r="D165">
        <f>SUMPRODUCT((nCUENTA=1)*(nCURSO=A165)*(nASIG=B165))</f>
        <v>0</v>
      </c>
      <c r="E165" s="10" t="str">
        <f>IFERROR(SUMPRODUCT((nCUENTA=1)*(nCURSO=A165)*(nASIG=B165)*(nNOTA))/D165,"—")</f>
        <v>—</v>
      </c>
      <c r="F165" s="10" t="str" cm="1">
        <f t="array" ref="F165">IFERROR(_xlfn.STDEV.P(_xlfn._xlws.FILTER(nNOTA,(nCUENTA=1)*(nCURSO=A165)*(nASIG=B165))),"—")</f>
        <v>—</v>
      </c>
      <c r="G165" t="str" cm="1">
        <f t="array" ref="G165">IFERROR(_xlfn.MODE.SNGL(_xlfn._xlws.FILTER(nNOTA,(nCUENTA=1)*(nCURSO=A165)*(nASIG=B165))),"—")</f>
        <v>—</v>
      </c>
      <c r="H165" s="11" t="str">
        <f>IFERROR(SUMPRODUCT((nCUENTA=1)*(nCURSO=A165)*(nASIG=B165)*(nAPTO="S"))/D165,"—")</f>
        <v>—</v>
      </c>
      <c r="I165" s="11" t="str">
        <f>IFERROR(SUMPRODUCT((nCUENTA=1)*(nCURSO=A165)*(nASIG=B165)*(nAPTO="N"))/D165,"—")</f>
        <v>—</v>
      </c>
      <c r="J165" t="str" cm="1">
        <f t="array" ref="J165">IFERROR(_xlfn.MODE.SNGL(_xlfn._xlws.FILTER(nNOTA,(nCUENTA=1)*(nCURSO=A165)*(nASIG=B165)*(nAPTO="S"))),"—")</f>
        <v>—</v>
      </c>
      <c r="K165" t="str" cm="1">
        <f t="array" ref="K165">IFERROR(_xlfn.MODE.SNGL(_xlfn._xlws.FILTER(nNOTA,(nCUENTA=1)*(nCURSO=A165)*(nASIG=B165)*(nAPTO="N"))),"—")</f>
        <v>—</v>
      </c>
      <c r="L165">
        <f>SUMPRODUCT((nCUENTA=1)*(nCURSO=A165)*(nASIG=B165)*(nNOTA=1))</f>
        <v>0</v>
      </c>
      <c r="M165">
        <f>SUMPRODUCT((nCUENTA=1)*(nCURSO=A165)*(nASIG=B165)*(nNOTA=2))</f>
        <v>0</v>
      </c>
      <c r="N165">
        <f>SUMPRODUCT((nCUENTA=1)*(nCURSO=A165)*(nASIG=B165)*(nNOTA=3))</f>
        <v>0</v>
      </c>
      <c r="O165">
        <f>SUMPRODUCT((nCUENTA=1)*(nCURSO=A165)*(nASIG=B165)*(nNOTA=4))</f>
        <v>0</v>
      </c>
      <c r="P165">
        <f>SUMPRODUCT((nCUENTA=1)*(nCURSO=A165)*(nASIG=B165)*(nNOTA=5))</f>
        <v>0</v>
      </c>
      <c r="Q165">
        <f>SUMPRODUCT((nCUENTA=1)*(nCURSO=A165)*(nASIG=B165)*(nNOTA=6))</f>
        <v>0</v>
      </c>
      <c r="R165">
        <f>SUMPRODUCT((nCUENTA=1)*(nCURSO=A165)*(nASIG=B165)*(nNOTA=7))</f>
        <v>0</v>
      </c>
      <c r="S165">
        <f>SUMPRODUCT((nCUENTA=1)*(nCURSO=A165)*(nASIG=B165)*(nNOTA=8))</f>
        <v>0</v>
      </c>
      <c r="T165">
        <f>SUMPRODUCT((nCUENTA=1)*(nCURSO=A165)*(nASIG=B165)*(nNOTA=9))</f>
        <v>0</v>
      </c>
      <c r="U165">
        <f>SUMPRODUCT((nCUENTA=1)*(nCURSO=A165)*(nASIG=B165)*(nNOTA=10))</f>
        <v>0</v>
      </c>
    </row>
    <row r="166">
      <c r="A166" t="inlineStr">
        <is>
          <t xml:space="preserve">2EPM</t>
        </is>
      </c>
      <c r="B166" cm="1">
        <f t="array" ref="B166">IFERROR(INDEX(_xlfn._xlws.FILTER(CONFIG_ASIGNATURAS!$B$2:$B$91,(CONFIG_ASIGNATURAS!$G$2:$G$91="Sí")*ISNUMBER(SEARCH("2EPM",CONFIG_ASIGNATURAS!$C$2:$C$91))),23),"")</f>
      </c>
      <c r="C166">
        <f>IF(B166="","",IFERROR(VLOOKUP(B166,CONFIG_ASIGNATURAS!$B$2:$D$91,3,FALSE()),"Asignatura"))</f>
      </c>
      <c r="D166">
        <f>SUMPRODUCT((nCUENTA=1)*(nCURSO=A166)*(nASIG=B166))</f>
        <v>0</v>
      </c>
      <c r="E166" s="10" t="str">
        <f>IFERROR(SUMPRODUCT((nCUENTA=1)*(nCURSO=A166)*(nASIG=B166)*(nNOTA))/D166,"—")</f>
        <v>—</v>
      </c>
      <c r="F166" s="10" t="str" cm="1">
        <f t="array" ref="F166">IFERROR(_xlfn.STDEV.P(_xlfn._xlws.FILTER(nNOTA,(nCUENTA=1)*(nCURSO=A166)*(nASIG=B166))),"—")</f>
        <v>—</v>
      </c>
      <c r="G166" t="str" cm="1">
        <f t="array" ref="G166">IFERROR(_xlfn.MODE.SNGL(_xlfn._xlws.FILTER(nNOTA,(nCUENTA=1)*(nCURSO=A166)*(nASIG=B166))),"—")</f>
        <v>—</v>
      </c>
      <c r="H166" s="11" t="str">
        <f>IFERROR(SUMPRODUCT((nCUENTA=1)*(nCURSO=A166)*(nASIG=B166)*(nAPTO="S"))/D166,"—")</f>
        <v>—</v>
      </c>
      <c r="I166" s="11" t="str">
        <f>IFERROR(SUMPRODUCT((nCUENTA=1)*(nCURSO=A166)*(nASIG=B166)*(nAPTO="N"))/D166,"—")</f>
        <v>—</v>
      </c>
      <c r="J166" t="str" cm="1">
        <f t="array" ref="J166">IFERROR(_xlfn.MODE.SNGL(_xlfn._xlws.FILTER(nNOTA,(nCUENTA=1)*(nCURSO=A166)*(nASIG=B166)*(nAPTO="S"))),"—")</f>
        <v>—</v>
      </c>
      <c r="K166" t="str" cm="1">
        <f t="array" ref="K166">IFERROR(_xlfn.MODE.SNGL(_xlfn._xlws.FILTER(nNOTA,(nCUENTA=1)*(nCURSO=A166)*(nASIG=B166)*(nAPTO="N"))),"—")</f>
        <v>—</v>
      </c>
      <c r="L166">
        <f>SUMPRODUCT((nCUENTA=1)*(nCURSO=A166)*(nASIG=B166)*(nNOTA=1))</f>
        <v>0</v>
      </c>
      <c r="M166">
        <f>SUMPRODUCT((nCUENTA=1)*(nCURSO=A166)*(nASIG=B166)*(nNOTA=2))</f>
        <v>0</v>
      </c>
      <c r="N166">
        <f>SUMPRODUCT((nCUENTA=1)*(nCURSO=A166)*(nASIG=B166)*(nNOTA=3))</f>
        <v>0</v>
      </c>
      <c r="O166">
        <f>SUMPRODUCT((nCUENTA=1)*(nCURSO=A166)*(nASIG=B166)*(nNOTA=4))</f>
        <v>0</v>
      </c>
      <c r="P166">
        <f>SUMPRODUCT((nCUENTA=1)*(nCURSO=A166)*(nASIG=B166)*(nNOTA=5))</f>
        <v>0</v>
      </c>
      <c r="Q166">
        <f>SUMPRODUCT((nCUENTA=1)*(nCURSO=A166)*(nASIG=B166)*(nNOTA=6))</f>
        <v>0</v>
      </c>
      <c r="R166">
        <f>SUMPRODUCT((nCUENTA=1)*(nCURSO=A166)*(nASIG=B166)*(nNOTA=7))</f>
        <v>0</v>
      </c>
      <c r="S166">
        <f>SUMPRODUCT((nCUENTA=1)*(nCURSO=A166)*(nASIG=B166)*(nNOTA=8))</f>
        <v>0</v>
      </c>
      <c r="T166">
        <f>SUMPRODUCT((nCUENTA=1)*(nCURSO=A166)*(nASIG=B166)*(nNOTA=9))</f>
        <v>0</v>
      </c>
      <c r="U166">
        <f>SUMPRODUCT((nCUENTA=1)*(nCURSO=A166)*(nASIG=B166)*(nNOTA=10))</f>
        <v>0</v>
      </c>
    </row>
    <row r="167">
      <c r="A167" t="inlineStr">
        <is>
          <t xml:space="preserve">2EPM</t>
        </is>
      </c>
      <c r="B167" cm="1">
        <f t="array" ref="B167">IFERROR(INDEX(_xlfn._xlws.FILTER(CONFIG_ASIGNATURAS!$B$2:$B$91,(CONFIG_ASIGNATURAS!$G$2:$G$91="Sí")*ISNUMBER(SEARCH("2EPM",CONFIG_ASIGNATURAS!$C$2:$C$91))),24),"")</f>
      </c>
      <c r="C167">
        <f>IF(B167="","",IFERROR(VLOOKUP(B167,CONFIG_ASIGNATURAS!$B$2:$D$91,3,FALSE()),"Asignatura"))</f>
      </c>
      <c r="D167">
        <f>SUMPRODUCT((nCUENTA=1)*(nCURSO=A167)*(nASIG=B167))</f>
        <v>0</v>
      </c>
      <c r="E167" s="10" t="str">
        <f>IFERROR(SUMPRODUCT((nCUENTA=1)*(nCURSO=A167)*(nASIG=B167)*(nNOTA))/D167,"—")</f>
        <v>—</v>
      </c>
      <c r="F167" s="10" t="str" cm="1">
        <f t="array" ref="F167">IFERROR(_xlfn.STDEV.P(_xlfn._xlws.FILTER(nNOTA,(nCUENTA=1)*(nCURSO=A167)*(nASIG=B167))),"—")</f>
        <v>—</v>
      </c>
      <c r="G167" t="str" cm="1">
        <f t="array" ref="G167">IFERROR(_xlfn.MODE.SNGL(_xlfn._xlws.FILTER(nNOTA,(nCUENTA=1)*(nCURSO=A167)*(nASIG=B167))),"—")</f>
        <v>—</v>
      </c>
      <c r="H167" s="11" t="str">
        <f>IFERROR(SUMPRODUCT((nCUENTA=1)*(nCURSO=A167)*(nASIG=B167)*(nAPTO="S"))/D167,"—")</f>
        <v>—</v>
      </c>
      <c r="I167" s="11" t="str">
        <f>IFERROR(SUMPRODUCT((nCUENTA=1)*(nCURSO=A167)*(nASIG=B167)*(nAPTO="N"))/D167,"—")</f>
        <v>—</v>
      </c>
      <c r="J167" t="str" cm="1">
        <f t="array" ref="J167">IFERROR(_xlfn.MODE.SNGL(_xlfn._xlws.FILTER(nNOTA,(nCUENTA=1)*(nCURSO=A167)*(nASIG=B167)*(nAPTO="S"))),"—")</f>
        <v>—</v>
      </c>
      <c r="K167" t="str" cm="1">
        <f t="array" ref="K167">IFERROR(_xlfn.MODE.SNGL(_xlfn._xlws.FILTER(nNOTA,(nCUENTA=1)*(nCURSO=A167)*(nASIG=B167)*(nAPTO="N"))),"—")</f>
        <v>—</v>
      </c>
      <c r="L167">
        <f>SUMPRODUCT((nCUENTA=1)*(nCURSO=A167)*(nASIG=B167)*(nNOTA=1))</f>
        <v>0</v>
      </c>
      <c r="M167">
        <f>SUMPRODUCT((nCUENTA=1)*(nCURSO=A167)*(nASIG=B167)*(nNOTA=2))</f>
        <v>0</v>
      </c>
      <c r="N167">
        <f>SUMPRODUCT((nCUENTA=1)*(nCURSO=A167)*(nASIG=B167)*(nNOTA=3))</f>
        <v>0</v>
      </c>
      <c r="O167">
        <f>SUMPRODUCT((nCUENTA=1)*(nCURSO=A167)*(nASIG=B167)*(nNOTA=4))</f>
        <v>0</v>
      </c>
      <c r="P167">
        <f>SUMPRODUCT((nCUENTA=1)*(nCURSO=A167)*(nASIG=B167)*(nNOTA=5))</f>
        <v>0</v>
      </c>
      <c r="Q167">
        <f>SUMPRODUCT((nCUENTA=1)*(nCURSO=A167)*(nASIG=B167)*(nNOTA=6))</f>
        <v>0</v>
      </c>
      <c r="R167">
        <f>SUMPRODUCT((nCUENTA=1)*(nCURSO=A167)*(nASIG=B167)*(nNOTA=7))</f>
        <v>0</v>
      </c>
      <c r="S167">
        <f>SUMPRODUCT((nCUENTA=1)*(nCURSO=A167)*(nASIG=B167)*(nNOTA=8))</f>
        <v>0</v>
      </c>
      <c r="T167">
        <f>SUMPRODUCT((nCUENTA=1)*(nCURSO=A167)*(nASIG=B167)*(nNOTA=9))</f>
        <v>0</v>
      </c>
      <c r="U167">
        <f>SUMPRODUCT((nCUENTA=1)*(nCURSO=A167)*(nASIG=B167)*(nNOTA=10))</f>
        <v>0</v>
      </c>
    </row>
    <row r="168">
      <c r="A168" t="inlineStr">
        <is>
          <t xml:space="preserve">2EPM</t>
        </is>
      </c>
      <c r="B168" cm="1">
        <f t="array" ref="B168">IFERROR(INDEX(_xlfn._xlws.FILTER(CONFIG_ASIGNATURAS!$B$2:$B$91,(CONFIG_ASIGNATURAS!$G$2:$G$91="Sí")*ISNUMBER(SEARCH("2EPM",CONFIG_ASIGNATURAS!$C$2:$C$91))),25),"")</f>
      </c>
      <c r="C168">
        <f>IF(B168="","",IFERROR(VLOOKUP(B168,CONFIG_ASIGNATURAS!$B$2:$D$91,3,FALSE()),"Asignatura"))</f>
      </c>
      <c r="D168">
        <f>SUMPRODUCT((nCUENTA=1)*(nCURSO=A168)*(nASIG=B168))</f>
        <v>0</v>
      </c>
      <c r="E168" s="10" t="str">
        <f>IFERROR(SUMPRODUCT((nCUENTA=1)*(nCURSO=A168)*(nASIG=B168)*(nNOTA))/D168,"—")</f>
        <v>—</v>
      </c>
      <c r="F168" s="10" t="str" cm="1">
        <f t="array" ref="F168">IFERROR(_xlfn.STDEV.P(_xlfn._xlws.FILTER(nNOTA,(nCUENTA=1)*(nCURSO=A168)*(nASIG=B168))),"—")</f>
        <v>—</v>
      </c>
      <c r="G168" t="str" cm="1">
        <f t="array" ref="G168">IFERROR(_xlfn.MODE.SNGL(_xlfn._xlws.FILTER(nNOTA,(nCUENTA=1)*(nCURSO=A168)*(nASIG=B168))),"—")</f>
        <v>—</v>
      </c>
      <c r="H168" s="11" t="str">
        <f>IFERROR(SUMPRODUCT((nCUENTA=1)*(nCURSO=A168)*(nASIG=B168)*(nAPTO="S"))/D168,"—")</f>
        <v>—</v>
      </c>
      <c r="I168" s="11" t="str">
        <f>IFERROR(SUMPRODUCT((nCUENTA=1)*(nCURSO=A168)*(nASIG=B168)*(nAPTO="N"))/D168,"—")</f>
        <v>—</v>
      </c>
      <c r="J168" t="str" cm="1">
        <f t="array" ref="J168">IFERROR(_xlfn.MODE.SNGL(_xlfn._xlws.FILTER(nNOTA,(nCUENTA=1)*(nCURSO=A168)*(nASIG=B168)*(nAPTO="S"))),"—")</f>
        <v>—</v>
      </c>
      <c r="K168" t="str" cm="1">
        <f t="array" ref="K168">IFERROR(_xlfn.MODE.SNGL(_xlfn._xlws.FILTER(nNOTA,(nCUENTA=1)*(nCURSO=A168)*(nASIG=B168)*(nAPTO="N"))),"—")</f>
        <v>—</v>
      </c>
      <c r="L168">
        <f>SUMPRODUCT((nCUENTA=1)*(nCURSO=A168)*(nASIG=B168)*(nNOTA=1))</f>
        <v>0</v>
      </c>
      <c r="M168">
        <f>SUMPRODUCT((nCUENTA=1)*(nCURSO=A168)*(nASIG=B168)*(nNOTA=2))</f>
        <v>0</v>
      </c>
      <c r="N168">
        <f>SUMPRODUCT((nCUENTA=1)*(nCURSO=A168)*(nASIG=B168)*(nNOTA=3))</f>
        <v>0</v>
      </c>
      <c r="O168">
        <f>SUMPRODUCT((nCUENTA=1)*(nCURSO=A168)*(nASIG=B168)*(nNOTA=4))</f>
        <v>0</v>
      </c>
      <c r="P168">
        <f>SUMPRODUCT((nCUENTA=1)*(nCURSO=A168)*(nASIG=B168)*(nNOTA=5))</f>
        <v>0</v>
      </c>
      <c r="Q168">
        <f>SUMPRODUCT((nCUENTA=1)*(nCURSO=A168)*(nASIG=B168)*(nNOTA=6))</f>
        <v>0</v>
      </c>
      <c r="R168">
        <f>SUMPRODUCT((nCUENTA=1)*(nCURSO=A168)*(nASIG=B168)*(nNOTA=7))</f>
        <v>0</v>
      </c>
      <c r="S168">
        <f>SUMPRODUCT((nCUENTA=1)*(nCURSO=A168)*(nASIG=B168)*(nNOTA=8))</f>
        <v>0</v>
      </c>
      <c r="T168">
        <f>SUMPRODUCT((nCUENTA=1)*(nCURSO=A168)*(nASIG=B168)*(nNOTA=9))</f>
        <v>0</v>
      </c>
      <c r="U168">
        <f>SUMPRODUCT((nCUENTA=1)*(nCURSO=A168)*(nASIG=B168)*(nNOTA=10))</f>
        <v>0</v>
      </c>
    </row>
    <row r="169">
      <c r="A169" t="inlineStr">
        <is>
          <t xml:space="preserve">2EPM</t>
        </is>
      </c>
      <c r="B169" cm="1">
        <f t="array" ref="B169">IFERROR(INDEX(_xlfn._xlws.FILTER(CONFIG_ASIGNATURAS!$B$2:$B$91,(CONFIG_ASIGNATURAS!$G$2:$G$91="Sí")*ISNUMBER(SEARCH("2EPM",CONFIG_ASIGNATURAS!$C$2:$C$91))),26),"")</f>
      </c>
      <c r="C169">
        <f>IF(B169="","",IFERROR(VLOOKUP(B169,CONFIG_ASIGNATURAS!$B$2:$D$91,3,FALSE()),"Asignatura"))</f>
      </c>
      <c r="D169">
        <f>SUMPRODUCT((nCUENTA=1)*(nCURSO=A169)*(nASIG=B169))</f>
        <v>0</v>
      </c>
      <c r="E169" s="10" t="str">
        <f>IFERROR(SUMPRODUCT((nCUENTA=1)*(nCURSO=A169)*(nASIG=B169)*(nNOTA))/D169,"—")</f>
        <v>—</v>
      </c>
      <c r="F169" s="10" t="str" cm="1">
        <f t="array" ref="F169">IFERROR(_xlfn.STDEV.P(_xlfn._xlws.FILTER(nNOTA,(nCUENTA=1)*(nCURSO=A169)*(nASIG=B169))),"—")</f>
        <v>—</v>
      </c>
      <c r="G169" t="str" cm="1">
        <f t="array" ref="G169">IFERROR(_xlfn.MODE.SNGL(_xlfn._xlws.FILTER(nNOTA,(nCUENTA=1)*(nCURSO=A169)*(nASIG=B169))),"—")</f>
        <v>—</v>
      </c>
      <c r="H169" s="11" t="str">
        <f>IFERROR(SUMPRODUCT((nCUENTA=1)*(nCURSO=A169)*(nASIG=B169)*(nAPTO="S"))/D169,"—")</f>
        <v>—</v>
      </c>
      <c r="I169" s="11" t="str">
        <f>IFERROR(SUMPRODUCT((nCUENTA=1)*(nCURSO=A169)*(nASIG=B169)*(nAPTO="N"))/D169,"—")</f>
        <v>—</v>
      </c>
      <c r="J169" t="str" cm="1">
        <f t="array" ref="J169">IFERROR(_xlfn.MODE.SNGL(_xlfn._xlws.FILTER(nNOTA,(nCUENTA=1)*(nCURSO=A169)*(nASIG=B169)*(nAPTO="S"))),"—")</f>
        <v>—</v>
      </c>
      <c r="K169" t="str" cm="1">
        <f t="array" ref="K169">IFERROR(_xlfn.MODE.SNGL(_xlfn._xlws.FILTER(nNOTA,(nCUENTA=1)*(nCURSO=A169)*(nASIG=B169)*(nAPTO="N"))),"—")</f>
        <v>—</v>
      </c>
      <c r="L169">
        <f>SUMPRODUCT((nCUENTA=1)*(nCURSO=A169)*(nASIG=B169)*(nNOTA=1))</f>
        <v>0</v>
      </c>
      <c r="M169">
        <f>SUMPRODUCT((nCUENTA=1)*(nCURSO=A169)*(nASIG=B169)*(nNOTA=2))</f>
        <v>0</v>
      </c>
      <c r="N169">
        <f>SUMPRODUCT((nCUENTA=1)*(nCURSO=A169)*(nASIG=B169)*(nNOTA=3))</f>
        <v>0</v>
      </c>
      <c r="O169">
        <f>SUMPRODUCT((nCUENTA=1)*(nCURSO=A169)*(nASIG=B169)*(nNOTA=4))</f>
        <v>0</v>
      </c>
      <c r="P169">
        <f>SUMPRODUCT((nCUENTA=1)*(nCURSO=A169)*(nASIG=B169)*(nNOTA=5))</f>
        <v>0</v>
      </c>
      <c r="Q169">
        <f>SUMPRODUCT((nCUENTA=1)*(nCURSO=A169)*(nASIG=B169)*(nNOTA=6))</f>
        <v>0</v>
      </c>
      <c r="R169">
        <f>SUMPRODUCT((nCUENTA=1)*(nCURSO=A169)*(nASIG=B169)*(nNOTA=7))</f>
        <v>0</v>
      </c>
      <c r="S169">
        <f>SUMPRODUCT((nCUENTA=1)*(nCURSO=A169)*(nASIG=B169)*(nNOTA=8))</f>
        <v>0</v>
      </c>
      <c r="T169">
        <f>SUMPRODUCT((nCUENTA=1)*(nCURSO=A169)*(nASIG=B169)*(nNOTA=9))</f>
        <v>0</v>
      </c>
      <c r="U169">
        <f>SUMPRODUCT((nCUENTA=1)*(nCURSO=A169)*(nASIG=B169)*(nNOTA=10))</f>
        <v>0</v>
      </c>
    </row>
    <row r="170">
      <c r="A170" t="inlineStr">
        <is>
          <t xml:space="preserve">2EPM</t>
        </is>
      </c>
      <c r="B170" cm="1">
        <f t="array" ref="B170">IFERROR(INDEX(_xlfn._xlws.FILTER(CONFIG_ASIGNATURAS!$B$2:$B$91,(CONFIG_ASIGNATURAS!$G$2:$G$91="Sí")*ISNUMBER(SEARCH("2EPM",CONFIG_ASIGNATURAS!$C$2:$C$91))),27),"")</f>
      </c>
      <c r="C170">
        <f>IF(B170="","",IFERROR(VLOOKUP(B170,CONFIG_ASIGNATURAS!$B$2:$D$91,3,FALSE()),"Asignatura"))</f>
      </c>
      <c r="D170">
        <f>SUMPRODUCT((nCUENTA=1)*(nCURSO=A170)*(nASIG=B170))</f>
        <v>0</v>
      </c>
      <c r="E170" s="10" t="str">
        <f>IFERROR(SUMPRODUCT((nCUENTA=1)*(nCURSO=A170)*(nASIG=B170)*(nNOTA))/D170,"—")</f>
        <v>—</v>
      </c>
      <c r="F170" s="10" t="str" cm="1">
        <f t="array" ref="F170">IFERROR(_xlfn.STDEV.P(_xlfn._xlws.FILTER(nNOTA,(nCUENTA=1)*(nCURSO=A170)*(nASIG=B170))),"—")</f>
        <v>—</v>
      </c>
      <c r="G170" t="str" cm="1">
        <f t="array" ref="G170">IFERROR(_xlfn.MODE.SNGL(_xlfn._xlws.FILTER(nNOTA,(nCUENTA=1)*(nCURSO=A170)*(nASIG=B170))),"—")</f>
        <v>—</v>
      </c>
      <c r="H170" s="11" t="str">
        <f>IFERROR(SUMPRODUCT((nCUENTA=1)*(nCURSO=A170)*(nASIG=B170)*(nAPTO="S"))/D170,"—")</f>
        <v>—</v>
      </c>
      <c r="I170" s="11" t="str">
        <f>IFERROR(SUMPRODUCT((nCUENTA=1)*(nCURSO=A170)*(nASIG=B170)*(nAPTO="N"))/D170,"—")</f>
        <v>—</v>
      </c>
      <c r="J170" t="str" cm="1">
        <f t="array" ref="J170">IFERROR(_xlfn.MODE.SNGL(_xlfn._xlws.FILTER(nNOTA,(nCUENTA=1)*(nCURSO=A170)*(nASIG=B170)*(nAPTO="S"))),"—")</f>
        <v>—</v>
      </c>
      <c r="K170" t="str" cm="1">
        <f t="array" ref="K170">IFERROR(_xlfn.MODE.SNGL(_xlfn._xlws.FILTER(nNOTA,(nCUENTA=1)*(nCURSO=A170)*(nASIG=B170)*(nAPTO="N"))),"—")</f>
        <v>—</v>
      </c>
      <c r="L170">
        <f>SUMPRODUCT((nCUENTA=1)*(nCURSO=A170)*(nASIG=B170)*(nNOTA=1))</f>
        <v>0</v>
      </c>
      <c r="M170">
        <f>SUMPRODUCT((nCUENTA=1)*(nCURSO=A170)*(nASIG=B170)*(nNOTA=2))</f>
        <v>0</v>
      </c>
      <c r="N170">
        <f>SUMPRODUCT((nCUENTA=1)*(nCURSO=A170)*(nASIG=B170)*(nNOTA=3))</f>
        <v>0</v>
      </c>
      <c r="O170">
        <f>SUMPRODUCT((nCUENTA=1)*(nCURSO=A170)*(nASIG=B170)*(nNOTA=4))</f>
        <v>0</v>
      </c>
      <c r="P170">
        <f>SUMPRODUCT((nCUENTA=1)*(nCURSO=A170)*(nASIG=B170)*(nNOTA=5))</f>
        <v>0</v>
      </c>
      <c r="Q170">
        <f>SUMPRODUCT((nCUENTA=1)*(nCURSO=A170)*(nASIG=B170)*(nNOTA=6))</f>
        <v>0</v>
      </c>
      <c r="R170">
        <f>SUMPRODUCT((nCUENTA=1)*(nCURSO=A170)*(nASIG=B170)*(nNOTA=7))</f>
        <v>0</v>
      </c>
      <c r="S170">
        <f>SUMPRODUCT((nCUENTA=1)*(nCURSO=A170)*(nASIG=B170)*(nNOTA=8))</f>
        <v>0</v>
      </c>
      <c r="T170">
        <f>SUMPRODUCT((nCUENTA=1)*(nCURSO=A170)*(nASIG=B170)*(nNOTA=9))</f>
        <v>0</v>
      </c>
      <c r="U170">
        <f>SUMPRODUCT((nCUENTA=1)*(nCURSO=A170)*(nASIG=B170)*(nNOTA=10))</f>
        <v>0</v>
      </c>
    </row>
    <row r="171">
      <c r="A171" t="inlineStr">
        <is>
          <t xml:space="preserve">2EPM</t>
        </is>
      </c>
      <c r="B171" cm="1">
        <f t="array" ref="B171">IFERROR(INDEX(_xlfn._xlws.FILTER(CONFIG_ASIGNATURAS!$B$2:$B$91,(CONFIG_ASIGNATURAS!$G$2:$G$91="Sí")*ISNUMBER(SEARCH("2EPM",CONFIG_ASIGNATURAS!$C$2:$C$91))),28),"")</f>
      </c>
      <c r="C171">
        <f>IF(B171="","",IFERROR(VLOOKUP(B171,CONFIG_ASIGNATURAS!$B$2:$D$91,3,FALSE()),"Asignatura"))</f>
      </c>
      <c r="D171">
        <f>SUMPRODUCT((nCUENTA=1)*(nCURSO=A171)*(nASIG=B171))</f>
        <v>0</v>
      </c>
      <c r="E171" s="10" t="str">
        <f>IFERROR(SUMPRODUCT((nCUENTA=1)*(nCURSO=A171)*(nASIG=B171)*(nNOTA))/D171,"—")</f>
        <v>—</v>
      </c>
      <c r="F171" s="10" t="str" cm="1">
        <f t="array" ref="F171">IFERROR(_xlfn.STDEV.P(_xlfn._xlws.FILTER(nNOTA,(nCUENTA=1)*(nCURSO=A171)*(nASIG=B171))),"—")</f>
        <v>—</v>
      </c>
      <c r="G171" t="str" cm="1">
        <f t="array" ref="G171">IFERROR(_xlfn.MODE.SNGL(_xlfn._xlws.FILTER(nNOTA,(nCUENTA=1)*(nCURSO=A171)*(nASIG=B171))),"—")</f>
        <v>—</v>
      </c>
      <c r="H171" s="11" t="str">
        <f>IFERROR(SUMPRODUCT((nCUENTA=1)*(nCURSO=A171)*(nASIG=B171)*(nAPTO="S"))/D171,"—")</f>
        <v>—</v>
      </c>
      <c r="I171" s="11" t="str">
        <f>IFERROR(SUMPRODUCT((nCUENTA=1)*(nCURSO=A171)*(nASIG=B171)*(nAPTO="N"))/D171,"—")</f>
        <v>—</v>
      </c>
      <c r="J171" t="str" cm="1">
        <f t="array" ref="J171">IFERROR(_xlfn.MODE.SNGL(_xlfn._xlws.FILTER(nNOTA,(nCUENTA=1)*(nCURSO=A171)*(nASIG=B171)*(nAPTO="S"))),"—")</f>
        <v>—</v>
      </c>
      <c r="K171" t="str" cm="1">
        <f t="array" ref="K171">IFERROR(_xlfn.MODE.SNGL(_xlfn._xlws.FILTER(nNOTA,(nCUENTA=1)*(nCURSO=A171)*(nASIG=B171)*(nAPTO="N"))),"—")</f>
        <v>—</v>
      </c>
      <c r="L171">
        <f>SUMPRODUCT((nCUENTA=1)*(nCURSO=A171)*(nASIG=B171)*(nNOTA=1))</f>
        <v>0</v>
      </c>
      <c r="M171">
        <f>SUMPRODUCT((nCUENTA=1)*(nCURSO=A171)*(nASIG=B171)*(nNOTA=2))</f>
        <v>0</v>
      </c>
      <c r="N171">
        <f>SUMPRODUCT((nCUENTA=1)*(nCURSO=A171)*(nASIG=B171)*(nNOTA=3))</f>
        <v>0</v>
      </c>
      <c r="O171">
        <f>SUMPRODUCT((nCUENTA=1)*(nCURSO=A171)*(nASIG=B171)*(nNOTA=4))</f>
        <v>0</v>
      </c>
      <c r="P171">
        <f>SUMPRODUCT((nCUENTA=1)*(nCURSO=A171)*(nASIG=B171)*(nNOTA=5))</f>
        <v>0</v>
      </c>
      <c r="Q171">
        <f>SUMPRODUCT((nCUENTA=1)*(nCURSO=A171)*(nASIG=B171)*(nNOTA=6))</f>
        <v>0</v>
      </c>
      <c r="R171">
        <f>SUMPRODUCT((nCUENTA=1)*(nCURSO=A171)*(nASIG=B171)*(nNOTA=7))</f>
        <v>0</v>
      </c>
      <c r="S171">
        <f>SUMPRODUCT((nCUENTA=1)*(nCURSO=A171)*(nASIG=B171)*(nNOTA=8))</f>
        <v>0</v>
      </c>
      <c r="T171">
        <f>SUMPRODUCT((nCUENTA=1)*(nCURSO=A171)*(nASIG=B171)*(nNOTA=9))</f>
        <v>0</v>
      </c>
      <c r="U171">
        <f>SUMPRODUCT((nCUENTA=1)*(nCURSO=A171)*(nASIG=B171)*(nNOTA=10))</f>
        <v>0</v>
      </c>
    </row>
    <row r="172">
      <c r="A172" t="inlineStr">
        <is>
          <t xml:space="preserve">2EPM</t>
        </is>
      </c>
      <c r="B172" cm="1">
        <f t="array" ref="B172">IFERROR(INDEX(_xlfn._xlws.FILTER(CONFIG_ASIGNATURAS!$B$2:$B$91,(CONFIG_ASIGNATURAS!$G$2:$G$91="Sí")*ISNUMBER(SEARCH("2EPM",CONFIG_ASIGNATURAS!$C$2:$C$91))),29),"")</f>
      </c>
      <c r="C172">
        <f>IF(B172="","",IFERROR(VLOOKUP(B172,CONFIG_ASIGNATURAS!$B$2:$D$91,3,FALSE()),"Asignatura"))</f>
      </c>
      <c r="D172">
        <f>SUMPRODUCT((nCUENTA=1)*(nCURSO=A172)*(nASIG=B172))</f>
        <v>0</v>
      </c>
      <c r="E172" s="10" t="str">
        <f>IFERROR(SUMPRODUCT((nCUENTA=1)*(nCURSO=A172)*(nASIG=B172)*(nNOTA))/D172,"—")</f>
        <v>—</v>
      </c>
      <c r="F172" s="10" t="str" cm="1">
        <f t="array" ref="F172">IFERROR(_xlfn.STDEV.P(_xlfn._xlws.FILTER(nNOTA,(nCUENTA=1)*(nCURSO=A172)*(nASIG=B172))),"—")</f>
        <v>—</v>
      </c>
      <c r="G172" t="str" cm="1">
        <f t="array" ref="G172">IFERROR(_xlfn.MODE.SNGL(_xlfn._xlws.FILTER(nNOTA,(nCUENTA=1)*(nCURSO=A172)*(nASIG=B172))),"—")</f>
        <v>—</v>
      </c>
      <c r="H172" s="11" t="str">
        <f>IFERROR(SUMPRODUCT((nCUENTA=1)*(nCURSO=A172)*(nASIG=B172)*(nAPTO="S"))/D172,"—")</f>
        <v>—</v>
      </c>
      <c r="I172" s="11" t="str">
        <f>IFERROR(SUMPRODUCT((nCUENTA=1)*(nCURSO=A172)*(nASIG=B172)*(nAPTO="N"))/D172,"—")</f>
        <v>—</v>
      </c>
      <c r="J172" t="str" cm="1">
        <f t="array" ref="J172">IFERROR(_xlfn.MODE.SNGL(_xlfn._xlws.FILTER(nNOTA,(nCUENTA=1)*(nCURSO=A172)*(nASIG=B172)*(nAPTO="S"))),"—")</f>
        <v>—</v>
      </c>
      <c r="K172" t="str" cm="1">
        <f t="array" ref="K172">IFERROR(_xlfn.MODE.SNGL(_xlfn._xlws.FILTER(nNOTA,(nCUENTA=1)*(nCURSO=A172)*(nASIG=B172)*(nAPTO="N"))),"—")</f>
        <v>—</v>
      </c>
      <c r="L172">
        <f>SUMPRODUCT((nCUENTA=1)*(nCURSO=A172)*(nASIG=B172)*(nNOTA=1))</f>
        <v>0</v>
      </c>
      <c r="M172">
        <f>SUMPRODUCT((nCUENTA=1)*(nCURSO=A172)*(nASIG=B172)*(nNOTA=2))</f>
        <v>0</v>
      </c>
      <c r="N172">
        <f>SUMPRODUCT((nCUENTA=1)*(nCURSO=A172)*(nASIG=B172)*(nNOTA=3))</f>
        <v>0</v>
      </c>
      <c r="O172">
        <f>SUMPRODUCT((nCUENTA=1)*(nCURSO=A172)*(nASIG=B172)*(nNOTA=4))</f>
        <v>0</v>
      </c>
      <c r="P172">
        <f>SUMPRODUCT((nCUENTA=1)*(nCURSO=A172)*(nASIG=B172)*(nNOTA=5))</f>
        <v>0</v>
      </c>
      <c r="Q172">
        <f>SUMPRODUCT((nCUENTA=1)*(nCURSO=A172)*(nASIG=B172)*(nNOTA=6))</f>
        <v>0</v>
      </c>
      <c r="R172">
        <f>SUMPRODUCT((nCUENTA=1)*(nCURSO=A172)*(nASIG=B172)*(nNOTA=7))</f>
        <v>0</v>
      </c>
      <c r="S172">
        <f>SUMPRODUCT((nCUENTA=1)*(nCURSO=A172)*(nASIG=B172)*(nNOTA=8))</f>
        <v>0</v>
      </c>
      <c r="T172">
        <f>SUMPRODUCT((nCUENTA=1)*(nCURSO=A172)*(nASIG=B172)*(nNOTA=9))</f>
        <v>0</v>
      </c>
      <c r="U172">
        <f>SUMPRODUCT((nCUENTA=1)*(nCURSO=A172)*(nASIG=B172)*(nNOTA=10))</f>
        <v>0</v>
      </c>
    </row>
    <row r="173">
      <c r="A173" t="inlineStr">
        <is>
          <t xml:space="preserve">2EPM</t>
        </is>
      </c>
      <c r="B173" cm="1">
        <f t="array" ref="B173">IFERROR(INDEX(_xlfn._xlws.FILTER(CONFIG_ASIGNATURAS!$B$2:$B$91,(CONFIG_ASIGNATURAS!$G$2:$G$91="Sí")*ISNUMBER(SEARCH("2EPM",CONFIG_ASIGNATURAS!$C$2:$C$91))),30),"")</f>
      </c>
      <c r="C173">
        <f>IF(B173="","",IFERROR(VLOOKUP(B173,CONFIG_ASIGNATURAS!$B$2:$D$91,3,FALSE()),"Asignatura"))</f>
      </c>
      <c r="D173">
        <f>SUMPRODUCT((nCUENTA=1)*(nCURSO=A173)*(nASIG=B173))</f>
        <v>0</v>
      </c>
      <c r="E173" s="10" t="str">
        <f>IFERROR(SUMPRODUCT((nCUENTA=1)*(nCURSO=A173)*(nASIG=B173)*(nNOTA))/D173,"—")</f>
        <v>—</v>
      </c>
      <c r="F173" s="10" t="str" cm="1">
        <f t="array" ref="F173">IFERROR(_xlfn.STDEV.P(_xlfn._xlws.FILTER(nNOTA,(nCUENTA=1)*(nCURSO=A173)*(nASIG=B173))),"—")</f>
        <v>—</v>
      </c>
      <c r="G173" t="str" cm="1">
        <f t="array" ref="G173">IFERROR(_xlfn.MODE.SNGL(_xlfn._xlws.FILTER(nNOTA,(nCUENTA=1)*(nCURSO=A173)*(nASIG=B173))),"—")</f>
        <v>—</v>
      </c>
      <c r="H173" s="11" t="str">
        <f>IFERROR(SUMPRODUCT((nCUENTA=1)*(nCURSO=A173)*(nASIG=B173)*(nAPTO="S"))/D173,"—")</f>
        <v>—</v>
      </c>
      <c r="I173" s="11" t="str">
        <f>IFERROR(SUMPRODUCT((nCUENTA=1)*(nCURSO=A173)*(nASIG=B173)*(nAPTO="N"))/D173,"—")</f>
        <v>—</v>
      </c>
      <c r="J173" t="str" cm="1">
        <f t="array" ref="J173">IFERROR(_xlfn.MODE.SNGL(_xlfn._xlws.FILTER(nNOTA,(nCUENTA=1)*(nCURSO=A173)*(nASIG=B173)*(nAPTO="S"))),"—")</f>
        <v>—</v>
      </c>
      <c r="K173" t="str" cm="1">
        <f t="array" ref="K173">IFERROR(_xlfn.MODE.SNGL(_xlfn._xlws.FILTER(nNOTA,(nCUENTA=1)*(nCURSO=A173)*(nASIG=B173)*(nAPTO="N"))),"—")</f>
        <v>—</v>
      </c>
      <c r="L173">
        <f>SUMPRODUCT((nCUENTA=1)*(nCURSO=A173)*(nASIG=B173)*(nNOTA=1))</f>
        <v>0</v>
      </c>
      <c r="M173">
        <f>SUMPRODUCT((nCUENTA=1)*(nCURSO=A173)*(nASIG=B173)*(nNOTA=2))</f>
        <v>0</v>
      </c>
      <c r="N173">
        <f>SUMPRODUCT((nCUENTA=1)*(nCURSO=A173)*(nASIG=B173)*(nNOTA=3))</f>
        <v>0</v>
      </c>
      <c r="O173">
        <f>SUMPRODUCT((nCUENTA=1)*(nCURSO=A173)*(nASIG=B173)*(nNOTA=4))</f>
        <v>0</v>
      </c>
      <c r="P173">
        <f>SUMPRODUCT((nCUENTA=1)*(nCURSO=A173)*(nASIG=B173)*(nNOTA=5))</f>
        <v>0</v>
      </c>
      <c r="Q173">
        <f>SUMPRODUCT((nCUENTA=1)*(nCURSO=A173)*(nASIG=B173)*(nNOTA=6))</f>
        <v>0</v>
      </c>
      <c r="R173">
        <f>SUMPRODUCT((nCUENTA=1)*(nCURSO=A173)*(nASIG=B173)*(nNOTA=7))</f>
        <v>0</v>
      </c>
      <c r="S173">
        <f>SUMPRODUCT((nCUENTA=1)*(nCURSO=A173)*(nASIG=B173)*(nNOTA=8))</f>
        <v>0</v>
      </c>
      <c r="T173">
        <f>SUMPRODUCT((nCUENTA=1)*(nCURSO=A173)*(nASIG=B173)*(nNOTA=9))</f>
        <v>0</v>
      </c>
      <c r="U173">
        <f>SUMPRODUCT((nCUENTA=1)*(nCURSO=A173)*(nASIG=B173)*(nNOTA=10))</f>
        <v>0</v>
      </c>
    </row>
    <row r="174">
      <c r="A174" t="inlineStr">
        <is>
          <t xml:space="preserve">2EPM</t>
        </is>
      </c>
      <c r="B174" cm="1">
        <f t="array" ref="B174">IFERROR(INDEX(_xlfn._xlws.FILTER(CONFIG_ASIGNATURAS!$B$2:$B$91,(CONFIG_ASIGNATURAS!$G$2:$G$91="Sí")*ISNUMBER(SEARCH("2EPM",CONFIG_ASIGNATURAS!$C$2:$C$91))),31),"")</f>
      </c>
      <c r="C174">
        <f>IF(B174="","",IFERROR(VLOOKUP(B174,CONFIG_ASIGNATURAS!$B$2:$D$91,3,FALSE()),"Asignatura"))</f>
      </c>
      <c r="D174">
        <f>SUMPRODUCT((nCUENTA=1)*(nCURSO=A174)*(nASIG=B174))</f>
        <v>0</v>
      </c>
      <c r="E174" s="10" t="str">
        <f>IFERROR(SUMPRODUCT((nCUENTA=1)*(nCURSO=A174)*(nASIG=B174)*(nNOTA))/D174,"—")</f>
        <v>—</v>
      </c>
      <c r="F174" s="10" t="str" cm="1">
        <f t="array" ref="F174">IFERROR(_xlfn.STDEV.P(_xlfn._xlws.FILTER(nNOTA,(nCUENTA=1)*(nCURSO=A174)*(nASIG=B174))),"—")</f>
        <v>—</v>
      </c>
      <c r="G174" t="str" cm="1">
        <f t="array" ref="G174">IFERROR(_xlfn.MODE.SNGL(_xlfn._xlws.FILTER(nNOTA,(nCUENTA=1)*(nCURSO=A174)*(nASIG=B174))),"—")</f>
        <v>—</v>
      </c>
      <c r="H174" s="11" t="str">
        <f>IFERROR(SUMPRODUCT((nCUENTA=1)*(nCURSO=A174)*(nASIG=B174)*(nAPTO="S"))/D174,"—")</f>
        <v>—</v>
      </c>
      <c r="I174" s="11" t="str">
        <f>IFERROR(SUMPRODUCT((nCUENTA=1)*(nCURSO=A174)*(nASIG=B174)*(nAPTO="N"))/D174,"—")</f>
        <v>—</v>
      </c>
      <c r="J174" t="str" cm="1">
        <f t="array" ref="J174">IFERROR(_xlfn.MODE.SNGL(_xlfn._xlws.FILTER(nNOTA,(nCUENTA=1)*(nCURSO=A174)*(nASIG=B174)*(nAPTO="S"))),"—")</f>
        <v>—</v>
      </c>
      <c r="K174" t="str" cm="1">
        <f t="array" ref="K174">IFERROR(_xlfn.MODE.SNGL(_xlfn._xlws.FILTER(nNOTA,(nCUENTA=1)*(nCURSO=A174)*(nASIG=B174)*(nAPTO="N"))),"—")</f>
        <v>—</v>
      </c>
      <c r="L174">
        <f>SUMPRODUCT((nCUENTA=1)*(nCURSO=A174)*(nASIG=B174)*(nNOTA=1))</f>
        <v>0</v>
      </c>
      <c r="M174">
        <f>SUMPRODUCT((nCUENTA=1)*(nCURSO=A174)*(nASIG=B174)*(nNOTA=2))</f>
        <v>0</v>
      </c>
      <c r="N174">
        <f>SUMPRODUCT((nCUENTA=1)*(nCURSO=A174)*(nASIG=B174)*(nNOTA=3))</f>
        <v>0</v>
      </c>
      <c r="O174">
        <f>SUMPRODUCT((nCUENTA=1)*(nCURSO=A174)*(nASIG=B174)*(nNOTA=4))</f>
        <v>0</v>
      </c>
      <c r="P174">
        <f>SUMPRODUCT((nCUENTA=1)*(nCURSO=A174)*(nASIG=B174)*(nNOTA=5))</f>
        <v>0</v>
      </c>
      <c r="Q174">
        <f>SUMPRODUCT((nCUENTA=1)*(nCURSO=A174)*(nASIG=B174)*(nNOTA=6))</f>
        <v>0</v>
      </c>
      <c r="R174">
        <f>SUMPRODUCT((nCUENTA=1)*(nCURSO=A174)*(nASIG=B174)*(nNOTA=7))</f>
        <v>0</v>
      </c>
      <c r="S174">
        <f>SUMPRODUCT((nCUENTA=1)*(nCURSO=A174)*(nASIG=B174)*(nNOTA=8))</f>
        <v>0</v>
      </c>
      <c r="T174">
        <f>SUMPRODUCT((nCUENTA=1)*(nCURSO=A174)*(nASIG=B174)*(nNOTA=9))</f>
        <v>0</v>
      </c>
      <c r="U174">
        <f>SUMPRODUCT((nCUENTA=1)*(nCURSO=A174)*(nASIG=B174)*(nNOTA=10))</f>
        <v>0</v>
      </c>
    </row>
    <row r="175">
      <c r="A175" t="inlineStr">
        <is>
          <t xml:space="preserve">2EPM</t>
        </is>
      </c>
      <c r="B175" cm="1">
        <f t="array" ref="B175">IFERROR(INDEX(_xlfn._xlws.FILTER(CONFIG_ASIGNATURAS!$B$2:$B$91,(CONFIG_ASIGNATURAS!$G$2:$G$91="Sí")*ISNUMBER(SEARCH("2EPM",CONFIG_ASIGNATURAS!$C$2:$C$91))),32),"")</f>
      </c>
      <c r="C175">
        <f>IF(B175="","",IFERROR(VLOOKUP(B175,CONFIG_ASIGNATURAS!$B$2:$D$91,3,FALSE()),"Asignatura"))</f>
      </c>
      <c r="D175">
        <f>SUMPRODUCT((nCUENTA=1)*(nCURSO=A175)*(nASIG=B175))</f>
        <v>0</v>
      </c>
      <c r="E175" s="10" t="str">
        <f>IFERROR(SUMPRODUCT((nCUENTA=1)*(nCURSO=A175)*(nASIG=B175)*(nNOTA))/D175,"—")</f>
        <v>—</v>
      </c>
      <c r="F175" s="10" t="str" cm="1">
        <f t="array" ref="F175">IFERROR(_xlfn.STDEV.P(_xlfn._xlws.FILTER(nNOTA,(nCUENTA=1)*(nCURSO=A175)*(nASIG=B175))),"—")</f>
        <v>—</v>
      </c>
      <c r="G175" t="str" cm="1">
        <f t="array" ref="G175">IFERROR(_xlfn.MODE.SNGL(_xlfn._xlws.FILTER(nNOTA,(nCUENTA=1)*(nCURSO=A175)*(nASIG=B175))),"—")</f>
        <v>—</v>
      </c>
      <c r="H175" s="11" t="str">
        <f>IFERROR(SUMPRODUCT((nCUENTA=1)*(nCURSO=A175)*(nASIG=B175)*(nAPTO="S"))/D175,"—")</f>
        <v>—</v>
      </c>
      <c r="I175" s="11" t="str">
        <f>IFERROR(SUMPRODUCT((nCUENTA=1)*(nCURSO=A175)*(nASIG=B175)*(nAPTO="N"))/D175,"—")</f>
        <v>—</v>
      </c>
      <c r="J175" t="str" cm="1">
        <f t="array" ref="J175">IFERROR(_xlfn.MODE.SNGL(_xlfn._xlws.FILTER(nNOTA,(nCUENTA=1)*(nCURSO=A175)*(nASIG=B175)*(nAPTO="S"))),"—")</f>
        <v>—</v>
      </c>
      <c r="K175" t="str" cm="1">
        <f t="array" ref="K175">IFERROR(_xlfn.MODE.SNGL(_xlfn._xlws.FILTER(nNOTA,(nCUENTA=1)*(nCURSO=A175)*(nASIG=B175)*(nAPTO="N"))),"—")</f>
        <v>—</v>
      </c>
      <c r="L175">
        <f>SUMPRODUCT((nCUENTA=1)*(nCURSO=A175)*(nASIG=B175)*(nNOTA=1))</f>
        <v>0</v>
      </c>
      <c r="M175">
        <f>SUMPRODUCT((nCUENTA=1)*(nCURSO=A175)*(nASIG=B175)*(nNOTA=2))</f>
        <v>0</v>
      </c>
      <c r="N175">
        <f>SUMPRODUCT((nCUENTA=1)*(nCURSO=A175)*(nASIG=B175)*(nNOTA=3))</f>
        <v>0</v>
      </c>
      <c r="O175">
        <f>SUMPRODUCT((nCUENTA=1)*(nCURSO=A175)*(nASIG=B175)*(nNOTA=4))</f>
        <v>0</v>
      </c>
      <c r="P175">
        <f>SUMPRODUCT((nCUENTA=1)*(nCURSO=A175)*(nASIG=B175)*(nNOTA=5))</f>
        <v>0</v>
      </c>
      <c r="Q175">
        <f>SUMPRODUCT((nCUENTA=1)*(nCURSO=A175)*(nASIG=B175)*(nNOTA=6))</f>
        <v>0</v>
      </c>
      <c r="R175">
        <f>SUMPRODUCT((nCUENTA=1)*(nCURSO=A175)*(nASIG=B175)*(nNOTA=7))</f>
        <v>0</v>
      </c>
      <c r="S175">
        <f>SUMPRODUCT((nCUENTA=1)*(nCURSO=A175)*(nASIG=B175)*(nNOTA=8))</f>
        <v>0</v>
      </c>
      <c r="T175">
        <f>SUMPRODUCT((nCUENTA=1)*(nCURSO=A175)*(nASIG=B175)*(nNOTA=9))</f>
        <v>0</v>
      </c>
      <c r="U175">
        <f>SUMPRODUCT((nCUENTA=1)*(nCURSO=A175)*(nASIG=B175)*(nNOTA=10))</f>
        <v>0</v>
      </c>
    </row>
    <row r="176">
      <c r="A176" t="inlineStr">
        <is>
          <t xml:space="preserve">2EPM</t>
        </is>
      </c>
      <c r="B176" cm="1">
        <f t="array" ref="B176">IFERROR(INDEX(_xlfn._xlws.FILTER(CONFIG_ASIGNATURAS!$B$2:$B$91,(CONFIG_ASIGNATURAS!$G$2:$G$91="Sí")*ISNUMBER(SEARCH("2EPM",CONFIG_ASIGNATURAS!$C$2:$C$91))),33),"")</f>
      </c>
      <c r="C176">
        <f>IF(B176="","",IFERROR(VLOOKUP(B176,CONFIG_ASIGNATURAS!$B$2:$D$91,3,FALSE()),"Asignatura"))</f>
      </c>
      <c r="D176">
        <f>SUMPRODUCT((nCUENTA=1)*(nCURSO=A176)*(nASIG=B176))</f>
        <v>0</v>
      </c>
      <c r="E176" s="10" t="str">
        <f>IFERROR(SUMPRODUCT((nCUENTA=1)*(nCURSO=A176)*(nASIG=B176)*(nNOTA))/D176,"—")</f>
        <v>—</v>
      </c>
      <c r="F176" s="10" t="str" cm="1">
        <f t="array" ref="F176">IFERROR(_xlfn.STDEV.P(_xlfn._xlws.FILTER(nNOTA,(nCUENTA=1)*(nCURSO=A176)*(nASIG=B176))),"—")</f>
        <v>—</v>
      </c>
      <c r="G176" t="str" cm="1">
        <f t="array" ref="G176">IFERROR(_xlfn.MODE.SNGL(_xlfn._xlws.FILTER(nNOTA,(nCUENTA=1)*(nCURSO=A176)*(nASIG=B176))),"—")</f>
        <v>—</v>
      </c>
      <c r="H176" s="11" t="str">
        <f>IFERROR(SUMPRODUCT((nCUENTA=1)*(nCURSO=A176)*(nASIG=B176)*(nAPTO="S"))/D176,"—")</f>
        <v>—</v>
      </c>
      <c r="I176" s="11" t="str">
        <f>IFERROR(SUMPRODUCT((nCUENTA=1)*(nCURSO=A176)*(nASIG=B176)*(nAPTO="N"))/D176,"—")</f>
        <v>—</v>
      </c>
      <c r="J176" t="str" cm="1">
        <f t="array" ref="J176">IFERROR(_xlfn.MODE.SNGL(_xlfn._xlws.FILTER(nNOTA,(nCUENTA=1)*(nCURSO=A176)*(nASIG=B176)*(nAPTO="S"))),"—")</f>
        <v>—</v>
      </c>
      <c r="K176" t="str" cm="1">
        <f t="array" ref="K176">IFERROR(_xlfn.MODE.SNGL(_xlfn._xlws.FILTER(nNOTA,(nCUENTA=1)*(nCURSO=A176)*(nASIG=B176)*(nAPTO="N"))),"—")</f>
        <v>—</v>
      </c>
      <c r="L176">
        <f>SUMPRODUCT((nCUENTA=1)*(nCURSO=A176)*(nASIG=B176)*(nNOTA=1))</f>
        <v>0</v>
      </c>
      <c r="M176">
        <f>SUMPRODUCT((nCUENTA=1)*(nCURSO=A176)*(nASIG=B176)*(nNOTA=2))</f>
        <v>0</v>
      </c>
      <c r="N176">
        <f>SUMPRODUCT((nCUENTA=1)*(nCURSO=A176)*(nASIG=B176)*(nNOTA=3))</f>
        <v>0</v>
      </c>
      <c r="O176">
        <f>SUMPRODUCT((nCUENTA=1)*(nCURSO=A176)*(nASIG=B176)*(nNOTA=4))</f>
        <v>0</v>
      </c>
      <c r="P176">
        <f>SUMPRODUCT((nCUENTA=1)*(nCURSO=A176)*(nASIG=B176)*(nNOTA=5))</f>
        <v>0</v>
      </c>
      <c r="Q176">
        <f>SUMPRODUCT((nCUENTA=1)*(nCURSO=A176)*(nASIG=B176)*(nNOTA=6))</f>
        <v>0</v>
      </c>
      <c r="R176">
        <f>SUMPRODUCT((nCUENTA=1)*(nCURSO=A176)*(nASIG=B176)*(nNOTA=7))</f>
        <v>0</v>
      </c>
      <c r="S176">
        <f>SUMPRODUCT((nCUENTA=1)*(nCURSO=A176)*(nASIG=B176)*(nNOTA=8))</f>
        <v>0</v>
      </c>
      <c r="T176">
        <f>SUMPRODUCT((nCUENTA=1)*(nCURSO=A176)*(nASIG=B176)*(nNOTA=9))</f>
        <v>0</v>
      </c>
      <c r="U176">
        <f>SUMPRODUCT((nCUENTA=1)*(nCURSO=A176)*(nASIG=B176)*(nNOTA=10))</f>
        <v>0</v>
      </c>
    </row>
    <row r="177">
      <c r="A177" t="inlineStr">
        <is>
          <t xml:space="preserve">2EPM</t>
        </is>
      </c>
      <c r="B177" cm="1">
        <f t="array" ref="B177">IFERROR(INDEX(_xlfn._xlws.FILTER(CONFIG_ASIGNATURAS!$B$2:$B$91,(CONFIG_ASIGNATURAS!$G$2:$G$91="Sí")*ISNUMBER(SEARCH("2EPM",CONFIG_ASIGNATURAS!$C$2:$C$91))),34),"")</f>
      </c>
      <c r="C177">
        <f>IF(B177="","",IFERROR(VLOOKUP(B177,CONFIG_ASIGNATURAS!$B$2:$D$91,3,FALSE()),"Asignatura"))</f>
      </c>
      <c r="D177">
        <f>SUMPRODUCT((nCUENTA=1)*(nCURSO=A177)*(nASIG=B177))</f>
        <v>0</v>
      </c>
      <c r="E177" s="10" t="str">
        <f>IFERROR(SUMPRODUCT((nCUENTA=1)*(nCURSO=A177)*(nASIG=B177)*(nNOTA))/D177,"—")</f>
        <v>—</v>
      </c>
      <c r="F177" s="10" t="str" cm="1">
        <f t="array" ref="F177">IFERROR(_xlfn.STDEV.P(_xlfn._xlws.FILTER(nNOTA,(nCUENTA=1)*(nCURSO=A177)*(nASIG=B177))),"—")</f>
        <v>—</v>
      </c>
      <c r="G177" t="str" cm="1">
        <f t="array" ref="G177">IFERROR(_xlfn.MODE.SNGL(_xlfn._xlws.FILTER(nNOTA,(nCUENTA=1)*(nCURSO=A177)*(nASIG=B177))),"—")</f>
        <v>—</v>
      </c>
      <c r="H177" s="11" t="str">
        <f>IFERROR(SUMPRODUCT((nCUENTA=1)*(nCURSO=A177)*(nASIG=B177)*(nAPTO="S"))/D177,"—")</f>
        <v>—</v>
      </c>
      <c r="I177" s="11" t="str">
        <f>IFERROR(SUMPRODUCT((nCUENTA=1)*(nCURSO=A177)*(nASIG=B177)*(nAPTO="N"))/D177,"—")</f>
        <v>—</v>
      </c>
      <c r="J177" t="str" cm="1">
        <f t="array" ref="J177">IFERROR(_xlfn.MODE.SNGL(_xlfn._xlws.FILTER(nNOTA,(nCUENTA=1)*(nCURSO=A177)*(nASIG=B177)*(nAPTO="S"))),"—")</f>
        <v>—</v>
      </c>
      <c r="K177" t="str" cm="1">
        <f t="array" ref="K177">IFERROR(_xlfn.MODE.SNGL(_xlfn._xlws.FILTER(nNOTA,(nCUENTA=1)*(nCURSO=A177)*(nASIG=B177)*(nAPTO="N"))),"—")</f>
        <v>—</v>
      </c>
      <c r="L177">
        <f>SUMPRODUCT((nCUENTA=1)*(nCURSO=A177)*(nASIG=B177)*(nNOTA=1))</f>
        <v>0</v>
      </c>
      <c r="M177">
        <f>SUMPRODUCT((nCUENTA=1)*(nCURSO=A177)*(nASIG=B177)*(nNOTA=2))</f>
        <v>0</v>
      </c>
      <c r="N177">
        <f>SUMPRODUCT((nCUENTA=1)*(nCURSO=A177)*(nASIG=B177)*(nNOTA=3))</f>
        <v>0</v>
      </c>
      <c r="O177">
        <f>SUMPRODUCT((nCUENTA=1)*(nCURSO=A177)*(nASIG=B177)*(nNOTA=4))</f>
        <v>0</v>
      </c>
      <c r="P177">
        <f>SUMPRODUCT((nCUENTA=1)*(nCURSO=A177)*(nASIG=B177)*(nNOTA=5))</f>
        <v>0</v>
      </c>
      <c r="Q177">
        <f>SUMPRODUCT((nCUENTA=1)*(nCURSO=A177)*(nASIG=B177)*(nNOTA=6))</f>
        <v>0</v>
      </c>
      <c r="R177">
        <f>SUMPRODUCT((nCUENTA=1)*(nCURSO=A177)*(nASIG=B177)*(nNOTA=7))</f>
        <v>0</v>
      </c>
      <c r="S177">
        <f>SUMPRODUCT((nCUENTA=1)*(nCURSO=A177)*(nASIG=B177)*(nNOTA=8))</f>
        <v>0</v>
      </c>
      <c r="T177">
        <f>SUMPRODUCT((nCUENTA=1)*(nCURSO=A177)*(nASIG=B177)*(nNOTA=9))</f>
        <v>0</v>
      </c>
      <c r="U177">
        <f>SUMPRODUCT((nCUENTA=1)*(nCURSO=A177)*(nASIG=B177)*(nNOTA=10))</f>
        <v>0</v>
      </c>
    </row>
    <row r="178">
      <c r="A178" t="inlineStr">
        <is>
          <t xml:space="preserve">2EPM</t>
        </is>
      </c>
      <c r="B178" cm="1">
        <f t="array" ref="B178">IFERROR(INDEX(_xlfn._xlws.FILTER(CONFIG_ASIGNATURAS!$B$2:$B$91,(CONFIG_ASIGNATURAS!$G$2:$G$91="Sí")*ISNUMBER(SEARCH("2EPM",CONFIG_ASIGNATURAS!$C$2:$C$91))),35),"")</f>
      </c>
      <c r="C178">
        <f>IF(B178="","",IFERROR(VLOOKUP(B178,CONFIG_ASIGNATURAS!$B$2:$D$91,3,FALSE()),"Asignatura"))</f>
      </c>
      <c r="D178">
        <f>SUMPRODUCT((nCUENTA=1)*(nCURSO=A178)*(nASIG=B178))</f>
        <v>0</v>
      </c>
      <c r="E178" s="10" t="str">
        <f>IFERROR(SUMPRODUCT((nCUENTA=1)*(nCURSO=A178)*(nASIG=B178)*(nNOTA))/D178,"—")</f>
        <v>—</v>
      </c>
      <c r="F178" s="10" t="str" cm="1">
        <f t="array" ref="F178">IFERROR(_xlfn.STDEV.P(_xlfn._xlws.FILTER(nNOTA,(nCUENTA=1)*(nCURSO=A178)*(nASIG=B178))),"—")</f>
        <v>—</v>
      </c>
      <c r="G178" t="str" cm="1">
        <f t="array" ref="G178">IFERROR(_xlfn.MODE.SNGL(_xlfn._xlws.FILTER(nNOTA,(nCUENTA=1)*(nCURSO=A178)*(nASIG=B178))),"—")</f>
        <v>—</v>
      </c>
      <c r="H178" s="11" t="str">
        <f>IFERROR(SUMPRODUCT((nCUENTA=1)*(nCURSO=A178)*(nASIG=B178)*(nAPTO="S"))/D178,"—")</f>
        <v>—</v>
      </c>
      <c r="I178" s="11" t="str">
        <f>IFERROR(SUMPRODUCT((nCUENTA=1)*(nCURSO=A178)*(nASIG=B178)*(nAPTO="N"))/D178,"—")</f>
        <v>—</v>
      </c>
      <c r="J178" t="str" cm="1">
        <f t="array" ref="J178">IFERROR(_xlfn.MODE.SNGL(_xlfn._xlws.FILTER(nNOTA,(nCUENTA=1)*(nCURSO=A178)*(nASIG=B178)*(nAPTO="S"))),"—")</f>
        <v>—</v>
      </c>
      <c r="K178" t="str" cm="1">
        <f t="array" ref="K178">IFERROR(_xlfn.MODE.SNGL(_xlfn._xlws.FILTER(nNOTA,(nCUENTA=1)*(nCURSO=A178)*(nASIG=B178)*(nAPTO="N"))),"—")</f>
        <v>—</v>
      </c>
      <c r="L178">
        <f>SUMPRODUCT((nCUENTA=1)*(nCURSO=A178)*(nASIG=B178)*(nNOTA=1))</f>
        <v>0</v>
      </c>
      <c r="M178">
        <f>SUMPRODUCT((nCUENTA=1)*(nCURSO=A178)*(nASIG=B178)*(nNOTA=2))</f>
        <v>0</v>
      </c>
      <c r="N178">
        <f>SUMPRODUCT((nCUENTA=1)*(nCURSO=A178)*(nASIG=B178)*(nNOTA=3))</f>
        <v>0</v>
      </c>
      <c r="O178">
        <f>SUMPRODUCT((nCUENTA=1)*(nCURSO=A178)*(nASIG=B178)*(nNOTA=4))</f>
        <v>0</v>
      </c>
      <c r="P178">
        <f>SUMPRODUCT((nCUENTA=1)*(nCURSO=A178)*(nASIG=B178)*(nNOTA=5))</f>
        <v>0</v>
      </c>
      <c r="Q178">
        <f>SUMPRODUCT((nCUENTA=1)*(nCURSO=A178)*(nASIG=B178)*(nNOTA=6))</f>
        <v>0</v>
      </c>
      <c r="R178">
        <f>SUMPRODUCT((nCUENTA=1)*(nCURSO=A178)*(nASIG=B178)*(nNOTA=7))</f>
        <v>0</v>
      </c>
      <c r="S178">
        <f>SUMPRODUCT((nCUENTA=1)*(nCURSO=A178)*(nASIG=B178)*(nNOTA=8))</f>
        <v>0</v>
      </c>
      <c r="T178">
        <f>SUMPRODUCT((nCUENTA=1)*(nCURSO=A178)*(nASIG=B178)*(nNOTA=9))</f>
        <v>0</v>
      </c>
      <c r="U178">
        <f>SUMPRODUCT((nCUENTA=1)*(nCURSO=A178)*(nASIG=B178)*(nNOTA=10))</f>
        <v>0</v>
      </c>
    </row>
    <row r="179">
      <c r="A179" t="inlineStr">
        <is>
          <t xml:space="preserve">2EPM</t>
        </is>
      </c>
      <c r="B179" cm="1">
        <f t="array" ref="B179">IFERROR(INDEX(_xlfn._xlws.FILTER(CONFIG_ASIGNATURAS!$B$2:$B$91,(CONFIG_ASIGNATURAS!$G$2:$G$91="Sí")*ISNUMBER(SEARCH("2EPM",CONFIG_ASIGNATURAS!$C$2:$C$91))),36),"")</f>
      </c>
      <c r="C179">
        <f>IF(B179="","",IFERROR(VLOOKUP(B179,CONFIG_ASIGNATURAS!$B$2:$D$91,3,FALSE()),"Asignatura"))</f>
      </c>
      <c r="D179">
        <f>SUMPRODUCT((nCUENTA=1)*(nCURSO=A179)*(nASIG=B179))</f>
        <v>0</v>
      </c>
      <c r="E179" s="10" t="str">
        <f>IFERROR(SUMPRODUCT((nCUENTA=1)*(nCURSO=A179)*(nASIG=B179)*(nNOTA))/D179,"—")</f>
        <v>—</v>
      </c>
      <c r="F179" s="10" t="str" cm="1">
        <f t="array" ref="F179">IFERROR(_xlfn.STDEV.P(_xlfn._xlws.FILTER(nNOTA,(nCUENTA=1)*(nCURSO=A179)*(nASIG=B179))),"—")</f>
        <v>—</v>
      </c>
      <c r="G179" t="str" cm="1">
        <f t="array" ref="G179">IFERROR(_xlfn.MODE.SNGL(_xlfn._xlws.FILTER(nNOTA,(nCUENTA=1)*(nCURSO=A179)*(nASIG=B179))),"—")</f>
        <v>—</v>
      </c>
      <c r="H179" s="11" t="str">
        <f>IFERROR(SUMPRODUCT((nCUENTA=1)*(nCURSO=A179)*(nASIG=B179)*(nAPTO="S"))/D179,"—")</f>
        <v>—</v>
      </c>
      <c r="I179" s="11" t="str">
        <f>IFERROR(SUMPRODUCT((nCUENTA=1)*(nCURSO=A179)*(nASIG=B179)*(nAPTO="N"))/D179,"—")</f>
        <v>—</v>
      </c>
      <c r="J179" t="str" cm="1">
        <f t="array" ref="J179">IFERROR(_xlfn.MODE.SNGL(_xlfn._xlws.FILTER(nNOTA,(nCUENTA=1)*(nCURSO=A179)*(nASIG=B179)*(nAPTO="S"))),"—")</f>
        <v>—</v>
      </c>
      <c r="K179" t="str" cm="1">
        <f t="array" ref="K179">IFERROR(_xlfn.MODE.SNGL(_xlfn._xlws.FILTER(nNOTA,(nCUENTA=1)*(nCURSO=A179)*(nASIG=B179)*(nAPTO="N"))),"—")</f>
        <v>—</v>
      </c>
      <c r="L179">
        <f>SUMPRODUCT((nCUENTA=1)*(nCURSO=A179)*(nASIG=B179)*(nNOTA=1))</f>
        <v>0</v>
      </c>
      <c r="M179">
        <f>SUMPRODUCT((nCUENTA=1)*(nCURSO=A179)*(nASIG=B179)*(nNOTA=2))</f>
        <v>0</v>
      </c>
      <c r="N179">
        <f>SUMPRODUCT((nCUENTA=1)*(nCURSO=A179)*(nASIG=B179)*(nNOTA=3))</f>
        <v>0</v>
      </c>
      <c r="O179">
        <f>SUMPRODUCT((nCUENTA=1)*(nCURSO=A179)*(nASIG=B179)*(nNOTA=4))</f>
        <v>0</v>
      </c>
      <c r="P179">
        <f>SUMPRODUCT((nCUENTA=1)*(nCURSO=A179)*(nASIG=B179)*(nNOTA=5))</f>
        <v>0</v>
      </c>
      <c r="Q179">
        <f>SUMPRODUCT((nCUENTA=1)*(nCURSO=A179)*(nASIG=B179)*(nNOTA=6))</f>
        <v>0</v>
      </c>
      <c r="R179">
        <f>SUMPRODUCT((nCUENTA=1)*(nCURSO=A179)*(nASIG=B179)*(nNOTA=7))</f>
        <v>0</v>
      </c>
      <c r="S179">
        <f>SUMPRODUCT((nCUENTA=1)*(nCURSO=A179)*(nASIG=B179)*(nNOTA=8))</f>
        <v>0</v>
      </c>
      <c r="T179">
        <f>SUMPRODUCT((nCUENTA=1)*(nCURSO=A179)*(nASIG=B179)*(nNOTA=9))</f>
        <v>0</v>
      </c>
      <c r="U179">
        <f>SUMPRODUCT((nCUENTA=1)*(nCURSO=A179)*(nASIG=B179)*(nNOTA=10))</f>
        <v>0</v>
      </c>
    </row>
    <row r="180">
      <c r="A180" t="inlineStr">
        <is>
          <t xml:space="preserve">2EPM</t>
        </is>
      </c>
      <c r="B180" cm="1">
        <f t="array" ref="B180">IFERROR(INDEX(_xlfn._xlws.FILTER(CONFIG_ASIGNATURAS!$B$2:$B$91,(CONFIG_ASIGNATURAS!$G$2:$G$91="Sí")*ISNUMBER(SEARCH("2EPM",CONFIG_ASIGNATURAS!$C$2:$C$91))),37),"")</f>
      </c>
      <c r="C180">
        <f>IF(B180="","",IFERROR(VLOOKUP(B180,CONFIG_ASIGNATURAS!$B$2:$D$91,3,FALSE()),"Asignatura"))</f>
      </c>
      <c r="D180">
        <f>SUMPRODUCT((nCUENTA=1)*(nCURSO=A180)*(nASIG=B180))</f>
        <v>0</v>
      </c>
      <c r="E180" s="10" t="str">
        <f>IFERROR(SUMPRODUCT((nCUENTA=1)*(nCURSO=A180)*(nASIG=B180)*(nNOTA))/D180,"—")</f>
        <v>—</v>
      </c>
      <c r="F180" s="10" t="str" cm="1">
        <f t="array" ref="F180">IFERROR(_xlfn.STDEV.P(_xlfn._xlws.FILTER(nNOTA,(nCUENTA=1)*(nCURSO=A180)*(nASIG=B180))),"—")</f>
        <v>—</v>
      </c>
      <c r="G180" t="str" cm="1">
        <f t="array" ref="G180">IFERROR(_xlfn.MODE.SNGL(_xlfn._xlws.FILTER(nNOTA,(nCUENTA=1)*(nCURSO=A180)*(nASIG=B180))),"—")</f>
        <v>—</v>
      </c>
      <c r="H180" s="11" t="str">
        <f>IFERROR(SUMPRODUCT((nCUENTA=1)*(nCURSO=A180)*(nASIG=B180)*(nAPTO="S"))/D180,"—")</f>
        <v>—</v>
      </c>
      <c r="I180" s="11" t="str">
        <f>IFERROR(SUMPRODUCT((nCUENTA=1)*(nCURSO=A180)*(nASIG=B180)*(nAPTO="N"))/D180,"—")</f>
        <v>—</v>
      </c>
      <c r="J180" t="str" cm="1">
        <f t="array" ref="J180">IFERROR(_xlfn.MODE.SNGL(_xlfn._xlws.FILTER(nNOTA,(nCUENTA=1)*(nCURSO=A180)*(nASIG=B180)*(nAPTO="S"))),"—")</f>
        <v>—</v>
      </c>
      <c r="K180" t="str" cm="1">
        <f t="array" ref="K180">IFERROR(_xlfn.MODE.SNGL(_xlfn._xlws.FILTER(nNOTA,(nCUENTA=1)*(nCURSO=A180)*(nASIG=B180)*(nAPTO="N"))),"—")</f>
        <v>—</v>
      </c>
      <c r="L180">
        <f>SUMPRODUCT((nCUENTA=1)*(nCURSO=A180)*(nASIG=B180)*(nNOTA=1))</f>
        <v>0</v>
      </c>
      <c r="M180">
        <f>SUMPRODUCT((nCUENTA=1)*(nCURSO=A180)*(nASIG=B180)*(nNOTA=2))</f>
        <v>0</v>
      </c>
      <c r="N180">
        <f>SUMPRODUCT((nCUENTA=1)*(nCURSO=A180)*(nASIG=B180)*(nNOTA=3))</f>
        <v>0</v>
      </c>
      <c r="O180">
        <f>SUMPRODUCT((nCUENTA=1)*(nCURSO=A180)*(nASIG=B180)*(nNOTA=4))</f>
        <v>0</v>
      </c>
      <c r="P180">
        <f>SUMPRODUCT((nCUENTA=1)*(nCURSO=A180)*(nASIG=B180)*(nNOTA=5))</f>
        <v>0</v>
      </c>
      <c r="Q180">
        <f>SUMPRODUCT((nCUENTA=1)*(nCURSO=A180)*(nASIG=B180)*(nNOTA=6))</f>
        <v>0</v>
      </c>
      <c r="R180">
        <f>SUMPRODUCT((nCUENTA=1)*(nCURSO=A180)*(nASIG=B180)*(nNOTA=7))</f>
        <v>0</v>
      </c>
      <c r="S180">
        <f>SUMPRODUCT((nCUENTA=1)*(nCURSO=A180)*(nASIG=B180)*(nNOTA=8))</f>
        <v>0</v>
      </c>
      <c r="T180">
        <f>SUMPRODUCT((nCUENTA=1)*(nCURSO=A180)*(nASIG=B180)*(nNOTA=9))</f>
        <v>0</v>
      </c>
      <c r="U180">
        <f>SUMPRODUCT((nCUENTA=1)*(nCURSO=A180)*(nASIG=B180)*(nNOTA=10))</f>
        <v>0</v>
      </c>
    </row>
    <row r="181">
      <c r="A181" t="inlineStr">
        <is>
          <t xml:space="preserve">2EPM</t>
        </is>
      </c>
      <c r="B181" cm="1">
        <f t="array" ref="B181">IFERROR(INDEX(_xlfn._xlws.FILTER(CONFIG_ASIGNATURAS!$B$2:$B$91,(CONFIG_ASIGNATURAS!$G$2:$G$91="Sí")*ISNUMBER(SEARCH("2EPM",CONFIG_ASIGNATURAS!$C$2:$C$91))),38),"")</f>
      </c>
      <c r="C181">
        <f>IF(B181="","",IFERROR(VLOOKUP(B181,CONFIG_ASIGNATURAS!$B$2:$D$91,3,FALSE()),"Asignatura"))</f>
      </c>
      <c r="D181">
        <f>SUMPRODUCT((nCUENTA=1)*(nCURSO=A181)*(nASIG=B181))</f>
        <v>0</v>
      </c>
      <c r="E181" s="10" t="str">
        <f>IFERROR(SUMPRODUCT((nCUENTA=1)*(nCURSO=A181)*(nASIG=B181)*(nNOTA))/D181,"—")</f>
        <v>—</v>
      </c>
      <c r="F181" s="10" t="str" cm="1">
        <f t="array" ref="F181">IFERROR(_xlfn.STDEV.P(_xlfn._xlws.FILTER(nNOTA,(nCUENTA=1)*(nCURSO=A181)*(nASIG=B181))),"—")</f>
        <v>—</v>
      </c>
      <c r="G181" t="str" cm="1">
        <f t="array" ref="G181">IFERROR(_xlfn.MODE.SNGL(_xlfn._xlws.FILTER(nNOTA,(nCUENTA=1)*(nCURSO=A181)*(nASIG=B181))),"—")</f>
        <v>—</v>
      </c>
      <c r="H181" s="11" t="str">
        <f>IFERROR(SUMPRODUCT((nCUENTA=1)*(nCURSO=A181)*(nASIG=B181)*(nAPTO="S"))/D181,"—")</f>
        <v>—</v>
      </c>
      <c r="I181" s="11" t="str">
        <f>IFERROR(SUMPRODUCT((nCUENTA=1)*(nCURSO=A181)*(nASIG=B181)*(nAPTO="N"))/D181,"—")</f>
        <v>—</v>
      </c>
      <c r="J181" t="str" cm="1">
        <f t="array" ref="J181">IFERROR(_xlfn.MODE.SNGL(_xlfn._xlws.FILTER(nNOTA,(nCUENTA=1)*(nCURSO=A181)*(nASIG=B181)*(nAPTO="S"))),"—")</f>
        <v>—</v>
      </c>
      <c r="K181" t="str" cm="1">
        <f t="array" ref="K181">IFERROR(_xlfn.MODE.SNGL(_xlfn._xlws.FILTER(nNOTA,(nCUENTA=1)*(nCURSO=A181)*(nASIG=B181)*(nAPTO="N"))),"—")</f>
        <v>—</v>
      </c>
      <c r="L181">
        <f>SUMPRODUCT((nCUENTA=1)*(nCURSO=A181)*(nASIG=B181)*(nNOTA=1))</f>
        <v>0</v>
      </c>
      <c r="M181">
        <f>SUMPRODUCT((nCUENTA=1)*(nCURSO=A181)*(nASIG=B181)*(nNOTA=2))</f>
        <v>0</v>
      </c>
      <c r="N181">
        <f>SUMPRODUCT((nCUENTA=1)*(nCURSO=A181)*(nASIG=B181)*(nNOTA=3))</f>
        <v>0</v>
      </c>
      <c r="O181">
        <f>SUMPRODUCT((nCUENTA=1)*(nCURSO=A181)*(nASIG=B181)*(nNOTA=4))</f>
        <v>0</v>
      </c>
      <c r="P181">
        <f>SUMPRODUCT((nCUENTA=1)*(nCURSO=A181)*(nASIG=B181)*(nNOTA=5))</f>
        <v>0</v>
      </c>
      <c r="Q181">
        <f>SUMPRODUCT((nCUENTA=1)*(nCURSO=A181)*(nASIG=B181)*(nNOTA=6))</f>
        <v>0</v>
      </c>
      <c r="R181">
        <f>SUMPRODUCT((nCUENTA=1)*(nCURSO=A181)*(nASIG=B181)*(nNOTA=7))</f>
        <v>0</v>
      </c>
      <c r="S181">
        <f>SUMPRODUCT((nCUENTA=1)*(nCURSO=A181)*(nASIG=B181)*(nNOTA=8))</f>
        <v>0</v>
      </c>
      <c r="T181">
        <f>SUMPRODUCT((nCUENTA=1)*(nCURSO=A181)*(nASIG=B181)*(nNOTA=9))</f>
        <v>0</v>
      </c>
      <c r="U181">
        <f>SUMPRODUCT((nCUENTA=1)*(nCURSO=A181)*(nASIG=B181)*(nNOTA=10))</f>
        <v>0</v>
      </c>
    </row>
    <row r="182">
      <c r="A182" t="inlineStr">
        <is>
          <t xml:space="preserve">2EPM</t>
        </is>
      </c>
      <c r="B182" cm="1">
        <f t="array" ref="B182">IFERROR(INDEX(_xlfn._xlws.FILTER(CONFIG_ASIGNATURAS!$B$2:$B$91,(CONFIG_ASIGNATURAS!$G$2:$G$91="Sí")*ISNUMBER(SEARCH("2EPM",CONFIG_ASIGNATURAS!$C$2:$C$91))),39),"")</f>
      </c>
      <c r="C182">
        <f>IF(B182="","",IFERROR(VLOOKUP(B182,CONFIG_ASIGNATURAS!$B$2:$D$91,3,FALSE()),"Asignatura"))</f>
      </c>
      <c r="D182">
        <f>SUMPRODUCT((nCUENTA=1)*(nCURSO=A182)*(nASIG=B182))</f>
        <v>0</v>
      </c>
      <c r="E182" s="10" t="str">
        <f>IFERROR(SUMPRODUCT((nCUENTA=1)*(nCURSO=A182)*(nASIG=B182)*(nNOTA))/D182,"—")</f>
        <v>—</v>
      </c>
      <c r="F182" s="10" t="str" cm="1">
        <f t="array" ref="F182">IFERROR(_xlfn.STDEV.P(_xlfn._xlws.FILTER(nNOTA,(nCUENTA=1)*(nCURSO=A182)*(nASIG=B182))),"—")</f>
        <v>—</v>
      </c>
      <c r="G182" t="str" cm="1">
        <f t="array" ref="G182">IFERROR(_xlfn.MODE.SNGL(_xlfn._xlws.FILTER(nNOTA,(nCUENTA=1)*(nCURSO=A182)*(nASIG=B182))),"—")</f>
        <v>—</v>
      </c>
      <c r="H182" s="11" t="str">
        <f>IFERROR(SUMPRODUCT((nCUENTA=1)*(nCURSO=A182)*(nASIG=B182)*(nAPTO="S"))/D182,"—")</f>
        <v>—</v>
      </c>
      <c r="I182" s="11" t="str">
        <f>IFERROR(SUMPRODUCT((nCUENTA=1)*(nCURSO=A182)*(nASIG=B182)*(nAPTO="N"))/D182,"—")</f>
        <v>—</v>
      </c>
      <c r="J182" t="str" cm="1">
        <f t="array" ref="J182">IFERROR(_xlfn.MODE.SNGL(_xlfn._xlws.FILTER(nNOTA,(nCUENTA=1)*(nCURSO=A182)*(nASIG=B182)*(nAPTO="S"))),"—")</f>
        <v>—</v>
      </c>
      <c r="K182" t="str" cm="1">
        <f t="array" ref="K182">IFERROR(_xlfn.MODE.SNGL(_xlfn._xlws.FILTER(nNOTA,(nCUENTA=1)*(nCURSO=A182)*(nASIG=B182)*(nAPTO="N"))),"—")</f>
        <v>—</v>
      </c>
      <c r="L182">
        <f>SUMPRODUCT((nCUENTA=1)*(nCURSO=A182)*(nASIG=B182)*(nNOTA=1))</f>
        <v>0</v>
      </c>
      <c r="M182">
        <f>SUMPRODUCT((nCUENTA=1)*(nCURSO=A182)*(nASIG=B182)*(nNOTA=2))</f>
        <v>0</v>
      </c>
      <c r="N182">
        <f>SUMPRODUCT((nCUENTA=1)*(nCURSO=A182)*(nASIG=B182)*(nNOTA=3))</f>
        <v>0</v>
      </c>
      <c r="O182">
        <f>SUMPRODUCT((nCUENTA=1)*(nCURSO=A182)*(nASIG=B182)*(nNOTA=4))</f>
        <v>0</v>
      </c>
      <c r="P182">
        <f>SUMPRODUCT((nCUENTA=1)*(nCURSO=A182)*(nASIG=B182)*(nNOTA=5))</f>
        <v>0</v>
      </c>
      <c r="Q182">
        <f>SUMPRODUCT((nCUENTA=1)*(nCURSO=A182)*(nASIG=B182)*(nNOTA=6))</f>
        <v>0</v>
      </c>
      <c r="R182">
        <f>SUMPRODUCT((nCUENTA=1)*(nCURSO=A182)*(nASIG=B182)*(nNOTA=7))</f>
        <v>0</v>
      </c>
      <c r="S182">
        <f>SUMPRODUCT((nCUENTA=1)*(nCURSO=A182)*(nASIG=B182)*(nNOTA=8))</f>
        <v>0</v>
      </c>
      <c r="T182">
        <f>SUMPRODUCT((nCUENTA=1)*(nCURSO=A182)*(nASIG=B182)*(nNOTA=9))</f>
        <v>0</v>
      </c>
      <c r="U182">
        <f>SUMPRODUCT((nCUENTA=1)*(nCURSO=A182)*(nASIG=B182)*(nNOTA=10))</f>
        <v>0</v>
      </c>
    </row>
    <row r="183">
      <c r="A183" t="inlineStr">
        <is>
          <t xml:space="preserve">2EPM</t>
        </is>
      </c>
      <c r="B183" cm="1">
        <f t="array" ref="B183">IFERROR(INDEX(_xlfn._xlws.FILTER(CONFIG_ASIGNATURAS!$B$2:$B$91,(CONFIG_ASIGNATURAS!$G$2:$G$91="Sí")*ISNUMBER(SEARCH("2EPM",CONFIG_ASIGNATURAS!$C$2:$C$91))),40),"")</f>
      </c>
      <c r="C183">
        <f>IF(B183="","",IFERROR(VLOOKUP(B183,CONFIG_ASIGNATURAS!$B$2:$D$91,3,FALSE()),"Asignatura"))</f>
      </c>
      <c r="D183">
        <f>SUMPRODUCT((nCUENTA=1)*(nCURSO=A183)*(nASIG=B183))</f>
        <v>0</v>
      </c>
      <c r="E183" s="10" t="str">
        <f>IFERROR(SUMPRODUCT((nCUENTA=1)*(nCURSO=A183)*(nASIG=B183)*(nNOTA))/D183,"—")</f>
        <v>—</v>
      </c>
      <c r="F183" s="10" t="str" cm="1">
        <f t="array" ref="F183">IFERROR(_xlfn.STDEV.P(_xlfn._xlws.FILTER(nNOTA,(nCUENTA=1)*(nCURSO=A183)*(nASIG=B183))),"—")</f>
        <v>—</v>
      </c>
      <c r="G183" t="str" cm="1">
        <f t="array" ref="G183">IFERROR(_xlfn.MODE.SNGL(_xlfn._xlws.FILTER(nNOTA,(nCUENTA=1)*(nCURSO=A183)*(nASIG=B183))),"—")</f>
        <v>—</v>
      </c>
      <c r="H183" s="11" t="str">
        <f>IFERROR(SUMPRODUCT((nCUENTA=1)*(nCURSO=A183)*(nASIG=B183)*(nAPTO="S"))/D183,"—")</f>
        <v>—</v>
      </c>
      <c r="I183" s="11" t="str">
        <f>IFERROR(SUMPRODUCT((nCUENTA=1)*(nCURSO=A183)*(nASIG=B183)*(nAPTO="N"))/D183,"—")</f>
        <v>—</v>
      </c>
      <c r="J183" t="str" cm="1">
        <f t="array" ref="J183">IFERROR(_xlfn.MODE.SNGL(_xlfn._xlws.FILTER(nNOTA,(nCUENTA=1)*(nCURSO=A183)*(nASIG=B183)*(nAPTO="S"))),"—")</f>
        <v>—</v>
      </c>
      <c r="K183" t="str" cm="1">
        <f t="array" ref="K183">IFERROR(_xlfn.MODE.SNGL(_xlfn._xlws.FILTER(nNOTA,(nCUENTA=1)*(nCURSO=A183)*(nASIG=B183)*(nAPTO="N"))),"—")</f>
        <v>—</v>
      </c>
      <c r="L183">
        <f>SUMPRODUCT((nCUENTA=1)*(nCURSO=A183)*(nASIG=B183)*(nNOTA=1))</f>
        <v>0</v>
      </c>
      <c r="M183">
        <f>SUMPRODUCT((nCUENTA=1)*(nCURSO=A183)*(nASIG=B183)*(nNOTA=2))</f>
        <v>0</v>
      </c>
      <c r="N183">
        <f>SUMPRODUCT((nCUENTA=1)*(nCURSO=A183)*(nASIG=B183)*(nNOTA=3))</f>
        <v>0</v>
      </c>
      <c r="O183">
        <f>SUMPRODUCT((nCUENTA=1)*(nCURSO=A183)*(nASIG=B183)*(nNOTA=4))</f>
        <v>0</v>
      </c>
      <c r="P183">
        <f>SUMPRODUCT((nCUENTA=1)*(nCURSO=A183)*(nASIG=B183)*(nNOTA=5))</f>
        <v>0</v>
      </c>
      <c r="Q183">
        <f>SUMPRODUCT((nCUENTA=1)*(nCURSO=A183)*(nASIG=B183)*(nNOTA=6))</f>
        <v>0</v>
      </c>
      <c r="R183">
        <f>SUMPRODUCT((nCUENTA=1)*(nCURSO=A183)*(nASIG=B183)*(nNOTA=7))</f>
        <v>0</v>
      </c>
      <c r="S183">
        <f>SUMPRODUCT((nCUENTA=1)*(nCURSO=A183)*(nASIG=B183)*(nNOTA=8))</f>
        <v>0</v>
      </c>
      <c r="T183">
        <f>SUMPRODUCT((nCUENTA=1)*(nCURSO=A183)*(nASIG=B183)*(nNOTA=9))</f>
        <v>0</v>
      </c>
      <c r="U183">
        <f>SUMPRODUCT((nCUENTA=1)*(nCURSO=A183)*(nASIG=B183)*(nNOTA=10))</f>
        <v>0</v>
      </c>
    </row>
    <row r="184">
      <c r="A184" t="inlineStr">
        <is>
          <t xml:space="preserve">2EPM</t>
        </is>
      </c>
      <c r="B184" cm="1">
        <f t="array" ref="B184">IFERROR(INDEX(_xlfn._xlws.FILTER(CONFIG_ASIGNATURAS!$B$2:$B$91,(CONFIG_ASIGNATURAS!$G$2:$G$91="Sí")*ISNUMBER(SEARCH("2EPM",CONFIG_ASIGNATURAS!$C$2:$C$91))),41),"")</f>
      </c>
      <c r="C184">
        <f>IF(B184="","",IFERROR(VLOOKUP(B184,CONFIG_ASIGNATURAS!$B$2:$D$91,3,FALSE()),"Asignatura"))</f>
      </c>
      <c r="D184">
        <f>SUMPRODUCT((nCUENTA=1)*(nCURSO=A184)*(nASIG=B184))</f>
        <v>0</v>
      </c>
      <c r="E184" s="10" t="str">
        <f>IFERROR(SUMPRODUCT((nCUENTA=1)*(nCURSO=A184)*(nASIG=B184)*(nNOTA))/D184,"—")</f>
        <v>—</v>
      </c>
      <c r="F184" s="10" t="str" cm="1">
        <f t="array" ref="F184">IFERROR(_xlfn.STDEV.P(_xlfn._xlws.FILTER(nNOTA,(nCUENTA=1)*(nCURSO=A184)*(nASIG=B184))),"—")</f>
        <v>—</v>
      </c>
      <c r="G184" t="str" cm="1">
        <f t="array" ref="G184">IFERROR(_xlfn.MODE.SNGL(_xlfn._xlws.FILTER(nNOTA,(nCUENTA=1)*(nCURSO=A184)*(nASIG=B184))),"—")</f>
        <v>—</v>
      </c>
      <c r="H184" s="11" t="str">
        <f>IFERROR(SUMPRODUCT((nCUENTA=1)*(nCURSO=A184)*(nASIG=B184)*(nAPTO="S"))/D184,"—")</f>
        <v>—</v>
      </c>
      <c r="I184" s="11" t="str">
        <f>IFERROR(SUMPRODUCT((nCUENTA=1)*(nCURSO=A184)*(nASIG=B184)*(nAPTO="N"))/D184,"—")</f>
        <v>—</v>
      </c>
      <c r="J184" t="str" cm="1">
        <f t="array" ref="J184">IFERROR(_xlfn.MODE.SNGL(_xlfn._xlws.FILTER(nNOTA,(nCUENTA=1)*(nCURSO=A184)*(nASIG=B184)*(nAPTO="S"))),"—")</f>
        <v>—</v>
      </c>
      <c r="K184" t="str" cm="1">
        <f t="array" ref="K184">IFERROR(_xlfn.MODE.SNGL(_xlfn._xlws.FILTER(nNOTA,(nCUENTA=1)*(nCURSO=A184)*(nASIG=B184)*(nAPTO="N"))),"—")</f>
        <v>—</v>
      </c>
      <c r="L184">
        <f>SUMPRODUCT((nCUENTA=1)*(nCURSO=A184)*(nASIG=B184)*(nNOTA=1))</f>
        <v>0</v>
      </c>
      <c r="M184">
        <f>SUMPRODUCT((nCUENTA=1)*(nCURSO=A184)*(nASIG=B184)*(nNOTA=2))</f>
        <v>0</v>
      </c>
      <c r="N184">
        <f>SUMPRODUCT((nCUENTA=1)*(nCURSO=A184)*(nASIG=B184)*(nNOTA=3))</f>
        <v>0</v>
      </c>
      <c r="O184">
        <f>SUMPRODUCT((nCUENTA=1)*(nCURSO=A184)*(nASIG=B184)*(nNOTA=4))</f>
        <v>0</v>
      </c>
      <c r="P184">
        <f>SUMPRODUCT((nCUENTA=1)*(nCURSO=A184)*(nASIG=B184)*(nNOTA=5))</f>
        <v>0</v>
      </c>
      <c r="Q184">
        <f>SUMPRODUCT((nCUENTA=1)*(nCURSO=A184)*(nASIG=B184)*(nNOTA=6))</f>
        <v>0</v>
      </c>
      <c r="R184">
        <f>SUMPRODUCT((nCUENTA=1)*(nCURSO=A184)*(nASIG=B184)*(nNOTA=7))</f>
        <v>0</v>
      </c>
      <c r="S184">
        <f>SUMPRODUCT((nCUENTA=1)*(nCURSO=A184)*(nASIG=B184)*(nNOTA=8))</f>
        <v>0</v>
      </c>
      <c r="T184">
        <f>SUMPRODUCT((nCUENTA=1)*(nCURSO=A184)*(nASIG=B184)*(nNOTA=9))</f>
        <v>0</v>
      </c>
      <c r="U184">
        <f>SUMPRODUCT((nCUENTA=1)*(nCURSO=A184)*(nASIG=B184)*(nNOTA=10))</f>
        <v>0</v>
      </c>
    </row>
    <row r="185">
      <c r="A185" t="inlineStr">
        <is>
          <t xml:space="preserve">2EPM</t>
        </is>
      </c>
      <c r="B185" cm="1">
        <f t="array" ref="B185">IFERROR(INDEX(_xlfn._xlws.FILTER(CONFIG_ASIGNATURAS!$B$2:$B$91,(CONFIG_ASIGNATURAS!$G$2:$G$91="Sí")*ISNUMBER(SEARCH("2EPM",CONFIG_ASIGNATURAS!$C$2:$C$91))),42),"")</f>
      </c>
      <c r="C185">
        <f>IF(B185="","",IFERROR(VLOOKUP(B185,CONFIG_ASIGNATURAS!$B$2:$D$91,3,FALSE()),"Asignatura"))</f>
      </c>
      <c r="D185">
        <f>SUMPRODUCT((nCUENTA=1)*(nCURSO=A185)*(nASIG=B185))</f>
        <v>0</v>
      </c>
      <c r="E185" s="10" t="str">
        <f>IFERROR(SUMPRODUCT((nCUENTA=1)*(nCURSO=A185)*(nASIG=B185)*(nNOTA))/D185,"—")</f>
        <v>—</v>
      </c>
      <c r="F185" s="10" t="str" cm="1">
        <f t="array" ref="F185">IFERROR(_xlfn.STDEV.P(_xlfn._xlws.FILTER(nNOTA,(nCUENTA=1)*(nCURSO=A185)*(nASIG=B185))),"—")</f>
        <v>—</v>
      </c>
      <c r="G185" t="str" cm="1">
        <f t="array" ref="G185">IFERROR(_xlfn.MODE.SNGL(_xlfn._xlws.FILTER(nNOTA,(nCUENTA=1)*(nCURSO=A185)*(nASIG=B185))),"—")</f>
        <v>—</v>
      </c>
      <c r="H185" s="11" t="str">
        <f>IFERROR(SUMPRODUCT((nCUENTA=1)*(nCURSO=A185)*(nASIG=B185)*(nAPTO="S"))/D185,"—")</f>
        <v>—</v>
      </c>
      <c r="I185" s="11" t="str">
        <f>IFERROR(SUMPRODUCT((nCUENTA=1)*(nCURSO=A185)*(nASIG=B185)*(nAPTO="N"))/D185,"—")</f>
        <v>—</v>
      </c>
      <c r="J185" t="str" cm="1">
        <f t="array" ref="J185">IFERROR(_xlfn.MODE.SNGL(_xlfn._xlws.FILTER(nNOTA,(nCUENTA=1)*(nCURSO=A185)*(nASIG=B185)*(nAPTO="S"))),"—")</f>
        <v>—</v>
      </c>
      <c r="K185" t="str" cm="1">
        <f t="array" ref="K185">IFERROR(_xlfn.MODE.SNGL(_xlfn._xlws.FILTER(nNOTA,(nCUENTA=1)*(nCURSO=A185)*(nASIG=B185)*(nAPTO="N"))),"—")</f>
        <v>—</v>
      </c>
      <c r="L185">
        <f>SUMPRODUCT((nCUENTA=1)*(nCURSO=A185)*(nASIG=B185)*(nNOTA=1))</f>
        <v>0</v>
      </c>
      <c r="M185">
        <f>SUMPRODUCT((nCUENTA=1)*(nCURSO=A185)*(nASIG=B185)*(nNOTA=2))</f>
        <v>0</v>
      </c>
      <c r="N185">
        <f>SUMPRODUCT((nCUENTA=1)*(nCURSO=A185)*(nASIG=B185)*(nNOTA=3))</f>
        <v>0</v>
      </c>
      <c r="O185">
        <f>SUMPRODUCT((nCUENTA=1)*(nCURSO=A185)*(nASIG=B185)*(nNOTA=4))</f>
        <v>0</v>
      </c>
      <c r="P185">
        <f>SUMPRODUCT((nCUENTA=1)*(nCURSO=A185)*(nASIG=B185)*(nNOTA=5))</f>
        <v>0</v>
      </c>
      <c r="Q185">
        <f>SUMPRODUCT((nCUENTA=1)*(nCURSO=A185)*(nASIG=B185)*(nNOTA=6))</f>
        <v>0</v>
      </c>
      <c r="R185">
        <f>SUMPRODUCT((nCUENTA=1)*(nCURSO=A185)*(nASIG=B185)*(nNOTA=7))</f>
        <v>0</v>
      </c>
      <c r="S185">
        <f>SUMPRODUCT((nCUENTA=1)*(nCURSO=A185)*(nASIG=B185)*(nNOTA=8))</f>
        <v>0</v>
      </c>
      <c r="T185">
        <f>SUMPRODUCT((nCUENTA=1)*(nCURSO=A185)*(nASIG=B185)*(nNOTA=9))</f>
        <v>0</v>
      </c>
      <c r="U185">
        <f>SUMPRODUCT((nCUENTA=1)*(nCURSO=A185)*(nASIG=B185)*(nNOTA=10))</f>
        <v>0</v>
      </c>
    </row>
    <row r="186">
      <c r="A186" t="inlineStr">
        <is>
          <t xml:space="preserve">2EPM</t>
        </is>
      </c>
      <c r="B186" cm="1">
        <f t="array" ref="B186">IFERROR(INDEX(_xlfn._xlws.FILTER(CONFIG_ASIGNATURAS!$B$2:$B$91,(CONFIG_ASIGNATURAS!$G$2:$G$91="Sí")*ISNUMBER(SEARCH("2EPM",CONFIG_ASIGNATURAS!$C$2:$C$91))),43),"")</f>
      </c>
      <c r="C186">
        <f>IF(B186="","",IFERROR(VLOOKUP(B186,CONFIG_ASIGNATURAS!$B$2:$D$91,3,FALSE()),"Asignatura"))</f>
      </c>
      <c r="D186">
        <f>SUMPRODUCT((nCUENTA=1)*(nCURSO=A186)*(nASIG=B186))</f>
        <v>0</v>
      </c>
      <c r="E186" s="10" t="str">
        <f>IFERROR(SUMPRODUCT((nCUENTA=1)*(nCURSO=A186)*(nASIG=B186)*(nNOTA))/D186,"—")</f>
        <v>—</v>
      </c>
      <c r="F186" s="10" t="str" cm="1">
        <f t="array" ref="F186">IFERROR(_xlfn.STDEV.P(_xlfn._xlws.FILTER(nNOTA,(nCUENTA=1)*(nCURSO=A186)*(nASIG=B186))),"—")</f>
        <v>—</v>
      </c>
      <c r="G186" t="str" cm="1">
        <f t="array" ref="G186">IFERROR(_xlfn.MODE.SNGL(_xlfn._xlws.FILTER(nNOTA,(nCUENTA=1)*(nCURSO=A186)*(nASIG=B186))),"—")</f>
        <v>—</v>
      </c>
      <c r="H186" s="11" t="str">
        <f>IFERROR(SUMPRODUCT((nCUENTA=1)*(nCURSO=A186)*(nASIG=B186)*(nAPTO="S"))/D186,"—")</f>
        <v>—</v>
      </c>
      <c r="I186" s="11" t="str">
        <f>IFERROR(SUMPRODUCT((nCUENTA=1)*(nCURSO=A186)*(nASIG=B186)*(nAPTO="N"))/D186,"—")</f>
        <v>—</v>
      </c>
      <c r="J186" t="str" cm="1">
        <f t="array" ref="J186">IFERROR(_xlfn.MODE.SNGL(_xlfn._xlws.FILTER(nNOTA,(nCUENTA=1)*(nCURSO=A186)*(nASIG=B186)*(nAPTO="S"))),"—")</f>
        <v>—</v>
      </c>
      <c r="K186" t="str" cm="1">
        <f t="array" ref="K186">IFERROR(_xlfn.MODE.SNGL(_xlfn._xlws.FILTER(nNOTA,(nCUENTA=1)*(nCURSO=A186)*(nASIG=B186)*(nAPTO="N"))),"—")</f>
        <v>—</v>
      </c>
      <c r="L186">
        <f>SUMPRODUCT((nCUENTA=1)*(nCURSO=A186)*(nASIG=B186)*(nNOTA=1))</f>
        <v>0</v>
      </c>
      <c r="M186">
        <f>SUMPRODUCT((nCUENTA=1)*(nCURSO=A186)*(nASIG=B186)*(nNOTA=2))</f>
        <v>0</v>
      </c>
      <c r="N186">
        <f>SUMPRODUCT((nCUENTA=1)*(nCURSO=A186)*(nASIG=B186)*(nNOTA=3))</f>
        <v>0</v>
      </c>
      <c r="O186">
        <f>SUMPRODUCT((nCUENTA=1)*(nCURSO=A186)*(nASIG=B186)*(nNOTA=4))</f>
        <v>0</v>
      </c>
      <c r="P186">
        <f>SUMPRODUCT((nCUENTA=1)*(nCURSO=A186)*(nASIG=B186)*(nNOTA=5))</f>
        <v>0</v>
      </c>
      <c r="Q186">
        <f>SUMPRODUCT((nCUENTA=1)*(nCURSO=A186)*(nASIG=B186)*(nNOTA=6))</f>
        <v>0</v>
      </c>
      <c r="R186">
        <f>SUMPRODUCT((nCUENTA=1)*(nCURSO=A186)*(nASIG=B186)*(nNOTA=7))</f>
        <v>0</v>
      </c>
      <c r="S186">
        <f>SUMPRODUCT((nCUENTA=1)*(nCURSO=A186)*(nASIG=B186)*(nNOTA=8))</f>
        <v>0</v>
      </c>
      <c r="T186">
        <f>SUMPRODUCT((nCUENTA=1)*(nCURSO=A186)*(nASIG=B186)*(nNOTA=9))</f>
        <v>0</v>
      </c>
      <c r="U186">
        <f>SUMPRODUCT((nCUENTA=1)*(nCURSO=A186)*(nASIG=B186)*(nNOTA=10))</f>
        <v>0</v>
      </c>
    </row>
    <row r="187">
      <c r="A187" t="inlineStr">
        <is>
          <t xml:space="preserve">2EPM</t>
        </is>
      </c>
      <c r="B187" cm="1">
        <f t="array" ref="B187">IFERROR(INDEX(_xlfn._xlws.FILTER(CONFIG_ASIGNATURAS!$B$2:$B$91,(CONFIG_ASIGNATURAS!$G$2:$G$91="Sí")*ISNUMBER(SEARCH("2EPM",CONFIG_ASIGNATURAS!$C$2:$C$91))),44),"")</f>
      </c>
      <c r="C187">
        <f>IF(B187="","",IFERROR(VLOOKUP(B187,CONFIG_ASIGNATURAS!$B$2:$D$91,3,FALSE()),"Asignatura"))</f>
      </c>
      <c r="D187">
        <f>SUMPRODUCT((nCUENTA=1)*(nCURSO=A187)*(nASIG=B187))</f>
        <v>0</v>
      </c>
      <c r="E187" s="10" t="str">
        <f>IFERROR(SUMPRODUCT((nCUENTA=1)*(nCURSO=A187)*(nASIG=B187)*(nNOTA))/D187,"—")</f>
        <v>—</v>
      </c>
      <c r="F187" s="10" t="str" cm="1">
        <f t="array" ref="F187">IFERROR(_xlfn.STDEV.P(_xlfn._xlws.FILTER(nNOTA,(nCUENTA=1)*(nCURSO=A187)*(nASIG=B187))),"—")</f>
        <v>—</v>
      </c>
      <c r="G187" t="str" cm="1">
        <f t="array" ref="G187">IFERROR(_xlfn.MODE.SNGL(_xlfn._xlws.FILTER(nNOTA,(nCUENTA=1)*(nCURSO=A187)*(nASIG=B187))),"—")</f>
        <v>—</v>
      </c>
      <c r="H187" s="11" t="str">
        <f>IFERROR(SUMPRODUCT((nCUENTA=1)*(nCURSO=A187)*(nASIG=B187)*(nAPTO="S"))/D187,"—")</f>
        <v>—</v>
      </c>
      <c r="I187" s="11" t="str">
        <f>IFERROR(SUMPRODUCT((nCUENTA=1)*(nCURSO=A187)*(nASIG=B187)*(nAPTO="N"))/D187,"—")</f>
        <v>—</v>
      </c>
      <c r="J187" t="str" cm="1">
        <f t="array" ref="J187">IFERROR(_xlfn.MODE.SNGL(_xlfn._xlws.FILTER(nNOTA,(nCUENTA=1)*(nCURSO=A187)*(nASIG=B187)*(nAPTO="S"))),"—")</f>
        <v>—</v>
      </c>
      <c r="K187" t="str" cm="1">
        <f t="array" ref="K187">IFERROR(_xlfn.MODE.SNGL(_xlfn._xlws.FILTER(nNOTA,(nCUENTA=1)*(nCURSO=A187)*(nASIG=B187)*(nAPTO="N"))),"—")</f>
        <v>—</v>
      </c>
      <c r="L187">
        <f>SUMPRODUCT((nCUENTA=1)*(nCURSO=A187)*(nASIG=B187)*(nNOTA=1))</f>
        <v>0</v>
      </c>
      <c r="M187">
        <f>SUMPRODUCT((nCUENTA=1)*(nCURSO=A187)*(nASIG=B187)*(nNOTA=2))</f>
        <v>0</v>
      </c>
      <c r="N187">
        <f>SUMPRODUCT((nCUENTA=1)*(nCURSO=A187)*(nASIG=B187)*(nNOTA=3))</f>
        <v>0</v>
      </c>
      <c r="O187">
        <f>SUMPRODUCT((nCUENTA=1)*(nCURSO=A187)*(nASIG=B187)*(nNOTA=4))</f>
        <v>0</v>
      </c>
      <c r="P187">
        <f>SUMPRODUCT((nCUENTA=1)*(nCURSO=A187)*(nASIG=B187)*(nNOTA=5))</f>
        <v>0</v>
      </c>
      <c r="Q187">
        <f>SUMPRODUCT((nCUENTA=1)*(nCURSO=A187)*(nASIG=B187)*(nNOTA=6))</f>
        <v>0</v>
      </c>
      <c r="R187">
        <f>SUMPRODUCT((nCUENTA=1)*(nCURSO=A187)*(nASIG=B187)*(nNOTA=7))</f>
        <v>0</v>
      </c>
      <c r="S187">
        <f>SUMPRODUCT((nCUENTA=1)*(nCURSO=A187)*(nASIG=B187)*(nNOTA=8))</f>
        <v>0</v>
      </c>
      <c r="T187">
        <f>SUMPRODUCT((nCUENTA=1)*(nCURSO=A187)*(nASIG=B187)*(nNOTA=9))</f>
        <v>0</v>
      </c>
      <c r="U187">
        <f>SUMPRODUCT((nCUENTA=1)*(nCURSO=A187)*(nASIG=B187)*(nNOTA=10))</f>
        <v>0</v>
      </c>
    </row>
    <row r="188">
      <c r="A188" t="inlineStr">
        <is>
          <t xml:space="preserve">2EPM</t>
        </is>
      </c>
      <c r="B188" cm="1">
        <f t="array" ref="B188">IFERROR(INDEX(_xlfn._xlws.FILTER(CONFIG_ASIGNATURAS!$B$2:$B$91,(CONFIG_ASIGNATURAS!$G$2:$G$91="Sí")*ISNUMBER(SEARCH("2EPM",CONFIG_ASIGNATURAS!$C$2:$C$91))),45),"")</f>
      </c>
      <c r="C188">
        <f>IF(B188="","",IFERROR(VLOOKUP(B188,CONFIG_ASIGNATURAS!$B$2:$D$91,3,FALSE()),"Asignatura"))</f>
      </c>
      <c r="D188">
        <f>SUMPRODUCT((nCUENTA=1)*(nCURSO=A188)*(nASIG=B188))</f>
        <v>0</v>
      </c>
      <c r="E188" s="10" t="str">
        <f>IFERROR(SUMPRODUCT((nCUENTA=1)*(nCURSO=A188)*(nASIG=B188)*(nNOTA))/D188,"—")</f>
        <v>—</v>
      </c>
      <c r="F188" s="10" t="str" cm="1">
        <f t="array" ref="F188">IFERROR(_xlfn.STDEV.P(_xlfn._xlws.FILTER(nNOTA,(nCUENTA=1)*(nCURSO=A188)*(nASIG=B188))),"—")</f>
        <v>—</v>
      </c>
      <c r="G188" t="str" cm="1">
        <f t="array" ref="G188">IFERROR(_xlfn.MODE.SNGL(_xlfn._xlws.FILTER(nNOTA,(nCUENTA=1)*(nCURSO=A188)*(nASIG=B188))),"—")</f>
        <v>—</v>
      </c>
      <c r="H188" s="11" t="str">
        <f>IFERROR(SUMPRODUCT((nCUENTA=1)*(nCURSO=A188)*(nASIG=B188)*(nAPTO="S"))/D188,"—")</f>
        <v>—</v>
      </c>
      <c r="I188" s="11" t="str">
        <f>IFERROR(SUMPRODUCT((nCUENTA=1)*(nCURSO=A188)*(nASIG=B188)*(nAPTO="N"))/D188,"—")</f>
        <v>—</v>
      </c>
      <c r="J188" t="str" cm="1">
        <f t="array" ref="J188">IFERROR(_xlfn.MODE.SNGL(_xlfn._xlws.FILTER(nNOTA,(nCUENTA=1)*(nCURSO=A188)*(nASIG=B188)*(nAPTO="S"))),"—")</f>
        <v>—</v>
      </c>
      <c r="K188" t="str" cm="1">
        <f t="array" ref="K188">IFERROR(_xlfn.MODE.SNGL(_xlfn._xlws.FILTER(nNOTA,(nCUENTA=1)*(nCURSO=A188)*(nASIG=B188)*(nAPTO="N"))),"—")</f>
        <v>—</v>
      </c>
      <c r="L188">
        <f>SUMPRODUCT((nCUENTA=1)*(nCURSO=A188)*(nASIG=B188)*(nNOTA=1))</f>
        <v>0</v>
      </c>
      <c r="M188">
        <f>SUMPRODUCT((nCUENTA=1)*(nCURSO=A188)*(nASIG=B188)*(nNOTA=2))</f>
        <v>0</v>
      </c>
      <c r="N188">
        <f>SUMPRODUCT((nCUENTA=1)*(nCURSO=A188)*(nASIG=B188)*(nNOTA=3))</f>
        <v>0</v>
      </c>
      <c r="O188">
        <f>SUMPRODUCT((nCUENTA=1)*(nCURSO=A188)*(nASIG=B188)*(nNOTA=4))</f>
        <v>0</v>
      </c>
      <c r="P188">
        <f>SUMPRODUCT((nCUENTA=1)*(nCURSO=A188)*(nASIG=B188)*(nNOTA=5))</f>
        <v>0</v>
      </c>
      <c r="Q188">
        <f>SUMPRODUCT((nCUENTA=1)*(nCURSO=A188)*(nASIG=B188)*(nNOTA=6))</f>
        <v>0</v>
      </c>
      <c r="R188">
        <f>SUMPRODUCT((nCUENTA=1)*(nCURSO=A188)*(nASIG=B188)*(nNOTA=7))</f>
        <v>0</v>
      </c>
      <c r="S188">
        <f>SUMPRODUCT((nCUENTA=1)*(nCURSO=A188)*(nASIG=B188)*(nNOTA=8))</f>
        <v>0</v>
      </c>
      <c r="T188">
        <f>SUMPRODUCT((nCUENTA=1)*(nCURSO=A188)*(nASIG=B188)*(nNOTA=9))</f>
        <v>0</v>
      </c>
      <c r="U188">
        <f>SUMPRODUCT((nCUENTA=1)*(nCURSO=A188)*(nASIG=B188)*(nNOTA=10))</f>
        <v>0</v>
      </c>
    </row>
    <row r="189">
      <c r="A189" t="inlineStr">
        <is>
          <t xml:space="preserve">2EPM</t>
        </is>
      </c>
      <c r="B189" cm="1">
        <f t="array" ref="B189">IFERROR(INDEX(_xlfn._xlws.FILTER(CONFIG_ASIGNATURAS!$B$2:$B$91,(CONFIG_ASIGNATURAS!$G$2:$G$91="Sí")*ISNUMBER(SEARCH("2EPM",CONFIG_ASIGNATURAS!$C$2:$C$91))),46),"")</f>
      </c>
      <c r="C189">
        <f>IF(B189="","",IFERROR(VLOOKUP(B189,CONFIG_ASIGNATURAS!$B$2:$D$91,3,FALSE()),"Asignatura"))</f>
      </c>
      <c r="D189">
        <f>SUMPRODUCT((nCUENTA=1)*(nCURSO=A189)*(nASIG=B189))</f>
        <v>0</v>
      </c>
      <c r="E189" s="10" t="str">
        <f>IFERROR(SUMPRODUCT((nCUENTA=1)*(nCURSO=A189)*(nASIG=B189)*(nNOTA))/D189,"—")</f>
        <v>—</v>
      </c>
      <c r="F189" s="10" t="str" cm="1">
        <f t="array" ref="F189">IFERROR(_xlfn.STDEV.P(_xlfn._xlws.FILTER(nNOTA,(nCUENTA=1)*(nCURSO=A189)*(nASIG=B189))),"—")</f>
        <v>—</v>
      </c>
      <c r="G189" t="str" cm="1">
        <f t="array" ref="G189">IFERROR(_xlfn.MODE.SNGL(_xlfn._xlws.FILTER(nNOTA,(nCUENTA=1)*(nCURSO=A189)*(nASIG=B189))),"—")</f>
        <v>—</v>
      </c>
      <c r="H189" s="11" t="str">
        <f>IFERROR(SUMPRODUCT((nCUENTA=1)*(nCURSO=A189)*(nASIG=B189)*(nAPTO="S"))/D189,"—")</f>
        <v>—</v>
      </c>
      <c r="I189" s="11" t="str">
        <f>IFERROR(SUMPRODUCT((nCUENTA=1)*(nCURSO=A189)*(nASIG=B189)*(nAPTO="N"))/D189,"—")</f>
        <v>—</v>
      </c>
      <c r="J189" t="str" cm="1">
        <f t="array" ref="J189">IFERROR(_xlfn.MODE.SNGL(_xlfn._xlws.FILTER(nNOTA,(nCUENTA=1)*(nCURSO=A189)*(nASIG=B189)*(nAPTO="S"))),"—")</f>
        <v>—</v>
      </c>
      <c r="K189" t="str" cm="1">
        <f t="array" ref="K189">IFERROR(_xlfn.MODE.SNGL(_xlfn._xlws.FILTER(nNOTA,(nCUENTA=1)*(nCURSO=A189)*(nASIG=B189)*(nAPTO="N"))),"—")</f>
        <v>—</v>
      </c>
      <c r="L189">
        <f>SUMPRODUCT((nCUENTA=1)*(nCURSO=A189)*(nASIG=B189)*(nNOTA=1))</f>
        <v>0</v>
      </c>
      <c r="M189">
        <f>SUMPRODUCT((nCUENTA=1)*(nCURSO=A189)*(nASIG=B189)*(nNOTA=2))</f>
        <v>0</v>
      </c>
      <c r="N189">
        <f>SUMPRODUCT((nCUENTA=1)*(nCURSO=A189)*(nASIG=B189)*(nNOTA=3))</f>
        <v>0</v>
      </c>
      <c r="O189">
        <f>SUMPRODUCT((nCUENTA=1)*(nCURSO=A189)*(nASIG=B189)*(nNOTA=4))</f>
        <v>0</v>
      </c>
      <c r="P189">
        <f>SUMPRODUCT((nCUENTA=1)*(nCURSO=A189)*(nASIG=B189)*(nNOTA=5))</f>
        <v>0</v>
      </c>
      <c r="Q189">
        <f>SUMPRODUCT((nCUENTA=1)*(nCURSO=A189)*(nASIG=B189)*(nNOTA=6))</f>
        <v>0</v>
      </c>
      <c r="R189">
        <f>SUMPRODUCT((nCUENTA=1)*(nCURSO=A189)*(nASIG=B189)*(nNOTA=7))</f>
        <v>0</v>
      </c>
      <c r="S189">
        <f>SUMPRODUCT((nCUENTA=1)*(nCURSO=A189)*(nASIG=B189)*(nNOTA=8))</f>
        <v>0</v>
      </c>
      <c r="T189">
        <f>SUMPRODUCT((nCUENTA=1)*(nCURSO=A189)*(nASIG=B189)*(nNOTA=9))</f>
        <v>0</v>
      </c>
      <c r="U189">
        <f>SUMPRODUCT((nCUENTA=1)*(nCURSO=A189)*(nASIG=B189)*(nNOTA=10))</f>
        <v>0</v>
      </c>
    </row>
    <row r="190">
      <c r="A190" t="inlineStr">
        <is>
          <t xml:space="preserve">2EPM</t>
        </is>
      </c>
      <c r="B190" cm="1">
        <f t="array" ref="B190">IFERROR(INDEX(_xlfn._xlws.FILTER(CONFIG_ASIGNATURAS!$B$2:$B$91,(CONFIG_ASIGNATURAS!$G$2:$G$91="Sí")*ISNUMBER(SEARCH("2EPM",CONFIG_ASIGNATURAS!$C$2:$C$91))),47),"")</f>
      </c>
      <c r="C190">
        <f>IF(B190="","",IFERROR(VLOOKUP(B190,CONFIG_ASIGNATURAS!$B$2:$D$91,3,FALSE()),"Asignatura"))</f>
      </c>
      <c r="D190">
        <f>SUMPRODUCT((nCUENTA=1)*(nCURSO=A190)*(nASIG=B190))</f>
        <v>0</v>
      </c>
      <c r="E190" s="10" t="str">
        <f>IFERROR(SUMPRODUCT((nCUENTA=1)*(nCURSO=A190)*(nASIG=B190)*(nNOTA))/D190,"—")</f>
        <v>—</v>
      </c>
      <c r="F190" s="10" t="str" cm="1">
        <f t="array" ref="F190">IFERROR(_xlfn.STDEV.P(_xlfn._xlws.FILTER(nNOTA,(nCUENTA=1)*(nCURSO=A190)*(nASIG=B190))),"—")</f>
        <v>—</v>
      </c>
      <c r="G190" t="str" cm="1">
        <f t="array" ref="G190">IFERROR(_xlfn.MODE.SNGL(_xlfn._xlws.FILTER(nNOTA,(nCUENTA=1)*(nCURSO=A190)*(nASIG=B190))),"—")</f>
        <v>—</v>
      </c>
      <c r="H190" s="11" t="str">
        <f>IFERROR(SUMPRODUCT((nCUENTA=1)*(nCURSO=A190)*(nASIG=B190)*(nAPTO="S"))/D190,"—")</f>
        <v>—</v>
      </c>
      <c r="I190" s="11" t="str">
        <f>IFERROR(SUMPRODUCT((nCUENTA=1)*(nCURSO=A190)*(nASIG=B190)*(nAPTO="N"))/D190,"—")</f>
        <v>—</v>
      </c>
      <c r="J190" t="str" cm="1">
        <f t="array" ref="J190">IFERROR(_xlfn.MODE.SNGL(_xlfn._xlws.FILTER(nNOTA,(nCUENTA=1)*(nCURSO=A190)*(nASIG=B190)*(nAPTO="S"))),"—")</f>
        <v>—</v>
      </c>
      <c r="K190" t="str" cm="1">
        <f t="array" ref="K190">IFERROR(_xlfn.MODE.SNGL(_xlfn._xlws.FILTER(nNOTA,(nCUENTA=1)*(nCURSO=A190)*(nASIG=B190)*(nAPTO="N"))),"—")</f>
        <v>—</v>
      </c>
      <c r="L190">
        <f>SUMPRODUCT((nCUENTA=1)*(nCURSO=A190)*(nASIG=B190)*(nNOTA=1))</f>
        <v>0</v>
      </c>
      <c r="M190">
        <f>SUMPRODUCT((nCUENTA=1)*(nCURSO=A190)*(nASIG=B190)*(nNOTA=2))</f>
        <v>0</v>
      </c>
      <c r="N190">
        <f>SUMPRODUCT((nCUENTA=1)*(nCURSO=A190)*(nASIG=B190)*(nNOTA=3))</f>
        <v>0</v>
      </c>
      <c r="O190">
        <f>SUMPRODUCT((nCUENTA=1)*(nCURSO=A190)*(nASIG=B190)*(nNOTA=4))</f>
        <v>0</v>
      </c>
      <c r="P190">
        <f>SUMPRODUCT((nCUENTA=1)*(nCURSO=A190)*(nASIG=B190)*(nNOTA=5))</f>
        <v>0</v>
      </c>
      <c r="Q190">
        <f>SUMPRODUCT((nCUENTA=1)*(nCURSO=A190)*(nASIG=B190)*(nNOTA=6))</f>
        <v>0</v>
      </c>
      <c r="R190">
        <f>SUMPRODUCT((nCUENTA=1)*(nCURSO=A190)*(nASIG=B190)*(nNOTA=7))</f>
        <v>0</v>
      </c>
      <c r="S190">
        <f>SUMPRODUCT((nCUENTA=1)*(nCURSO=A190)*(nASIG=B190)*(nNOTA=8))</f>
        <v>0</v>
      </c>
      <c r="T190">
        <f>SUMPRODUCT((nCUENTA=1)*(nCURSO=A190)*(nASIG=B190)*(nNOTA=9))</f>
        <v>0</v>
      </c>
      <c r="U190">
        <f>SUMPRODUCT((nCUENTA=1)*(nCURSO=A190)*(nASIG=B190)*(nNOTA=10))</f>
        <v>0</v>
      </c>
    </row>
    <row r="191">
      <c r="A191" t="inlineStr">
        <is>
          <t xml:space="preserve">2EPM</t>
        </is>
      </c>
      <c r="B191" cm="1">
        <f t="array" ref="B191">IFERROR(INDEX(_xlfn._xlws.FILTER(CONFIG_ASIGNATURAS!$B$2:$B$91,(CONFIG_ASIGNATURAS!$G$2:$G$91="Sí")*ISNUMBER(SEARCH("2EPM",CONFIG_ASIGNATURAS!$C$2:$C$91))),48),"")</f>
      </c>
      <c r="C191">
        <f>IF(B191="","",IFERROR(VLOOKUP(B191,CONFIG_ASIGNATURAS!$B$2:$D$91,3,FALSE()),"Asignatura"))</f>
      </c>
      <c r="D191">
        <f>SUMPRODUCT((nCUENTA=1)*(nCURSO=A191)*(nASIG=B191))</f>
        <v>0</v>
      </c>
      <c r="E191" s="10" t="str">
        <f>IFERROR(SUMPRODUCT((nCUENTA=1)*(nCURSO=A191)*(nASIG=B191)*(nNOTA))/D191,"—")</f>
        <v>—</v>
      </c>
      <c r="F191" s="10" t="str" cm="1">
        <f t="array" ref="F191">IFERROR(_xlfn.STDEV.P(_xlfn._xlws.FILTER(nNOTA,(nCUENTA=1)*(nCURSO=A191)*(nASIG=B191))),"—")</f>
        <v>—</v>
      </c>
      <c r="G191" t="str" cm="1">
        <f t="array" ref="G191">IFERROR(_xlfn.MODE.SNGL(_xlfn._xlws.FILTER(nNOTA,(nCUENTA=1)*(nCURSO=A191)*(nASIG=B191))),"—")</f>
        <v>—</v>
      </c>
      <c r="H191" s="11" t="str">
        <f>IFERROR(SUMPRODUCT((nCUENTA=1)*(nCURSO=A191)*(nASIG=B191)*(nAPTO="S"))/D191,"—")</f>
        <v>—</v>
      </c>
      <c r="I191" s="11" t="str">
        <f>IFERROR(SUMPRODUCT((nCUENTA=1)*(nCURSO=A191)*(nASIG=B191)*(nAPTO="N"))/D191,"—")</f>
        <v>—</v>
      </c>
      <c r="J191" t="str" cm="1">
        <f t="array" ref="J191">IFERROR(_xlfn.MODE.SNGL(_xlfn._xlws.FILTER(nNOTA,(nCUENTA=1)*(nCURSO=A191)*(nASIG=B191)*(nAPTO="S"))),"—")</f>
        <v>—</v>
      </c>
      <c r="K191" t="str" cm="1">
        <f t="array" ref="K191">IFERROR(_xlfn.MODE.SNGL(_xlfn._xlws.FILTER(nNOTA,(nCUENTA=1)*(nCURSO=A191)*(nASIG=B191)*(nAPTO="N"))),"—")</f>
        <v>—</v>
      </c>
      <c r="L191">
        <f>SUMPRODUCT((nCUENTA=1)*(nCURSO=A191)*(nASIG=B191)*(nNOTA=1))</f>
        <v>0</v>
      </c>
      <c r="M191">
        <f>SUMPRODUCT((nCUENTA=1)*(nCURSO=A191)*(nASIG=B191)*(nNOTA=2))</f>
        <v>0</v>
      </c>
      <c r="N191">
        <f>SUMPRODUCT((nCUENTA=1)*(nCURSO=A191)*(nASIG=B191)*(nNOTA=3))</f>
        <v>0</v>
      </c>
      <c r="O191">
        <f>SUMPRODUCT((nCUENTA=1)*(nCURSO=A191)*(nASIG=B191)*(nNOTA=4))</f>
        <v>0</v>
      </c>
      <c r="P191">
        <f>SUMPRODUCT((nCUENTA=1)*(nCURSO=A191)*(nASIG=B191)*(nNOTA=5))</f>
        <v>0</v>
      </c>
      <c r="Q191">
        <f>SUMPRODUCT((nCUENTA=1)*(nCURSO=A191)*(nASIG=B191)*(nNOTA=6))</f>
        <v>0</v>
      </c>
      <c r="R191">
        <f>SUMPRODUCT((nCUENTA=1)*(nCURSO=A191)*(nASIG=B191)*(nNOTA=7))</f>
        <v>0</v>
      </c>
      <c r="S191">
        <f>SUMPRODUCT((nCUENTA=1)*(nCURSO=A191)*(nASIG=B191)*(nNOTA=8))</f>
        <v>0</v>
      </c>
      <c r="T191">
        <f>SUMPRODUCT((nCUENTA=1)*(nCURSO=A191)*(nASIG=B191)*(nNOTA=9))</f>
        <v>0</v>
      </c>
      <c r="U191">
        <f>SUMPRODUCT((nCUENTA=1)*(nCURSO=A191)*(nASIG=B191)*(nNOTA=10))</f>
        <v>0</v>
      </c>
    </row>
    <row r="192">
      <c r="A192" t="inlineStr">
        <is>
          <t xml:space="preserve">2EPM</t>
        </is>
      </c>
      <c r="B192" cm="1">
        <f t="array" ref="B192">IFERROR(INDEX(_xlfn._xlws.FILTER(CONFIG_ASIGNATURAS!$B$2:$B$91,(CONFIG_ASIGNATURAS!$G$2:$G$91="Sí")*ISNUMBER(SEARCH("2EPM",CONFIG_ASIGNATURAS!$C$2:$C$91))),49),"")</f>
      </c>
      <c r="C192">
        <f>IF(B192="","",IFERROR(VLOOKUP(B192,CONFIG_ASIGNATURAS!$B$2:$D$91,3,FALSE()),"Asignatura"))</f>
      </c>
      <c r="D192">
        <f>SUMPRODUCT((nCUENTA=1)*(nCURSO=A192)*(nASIG=B192))</f>
        <v>0</v>
      </c>
      <c r="E192" s="10" t="str">
        <f>IFERROR(SUMPRODUCT((nCUENTA=1)*(nCURSO=A192)*(nASIG=B192)*(nNOTA))/D192,"—")</f>
        <v>—</v>
      </c>
      <c r="F192" s="10" t="str" cm="1">
        <f t="array" ref="F192">IFERROR(_xlfn.STDEV.P(_xlfn._xlws.FILTER(nNOTA,(nCUENTA=1)*(nCURSO=A192)*(nASIG=B192))),"—")</f>
        <v>—</v>
      </c>
      <c r="G192" t="str" cm="1">
        <f t="array" ref="G192">IFERROR(_xlfn.MODE.SNGL(_xlfn._xlws.FILTER(nNOTA,(nCUENTA=1)*(nCURSO=A192)*(nASIG=B192))),"—")</f>
        <v>—</v>
      </c>
      <c r="H192" s="11" t="str">
        <f>IFERROR(SUMPRODUCT((nCUENTA=1)*(nCURSO=A192)*(nASIG=B192)*(nAPTO="S"))/D192,"—")</f>
        <v>—</v>
      </c>
      <c r="I192" s="11" t="str">
        <f>IFERROR(SUMPRODUCT((nCUENTA=1)*(nCURSO=A192)*(nASIG=B192)*(nAPTO="N"))/D192,"—")</f>
        <v>—</v>
      </c>
      <c r="J192" t="str" cm="1">
        <f t="array" ref="J192">IFERROR(_xlfn.MODE.SNGL(_xlfn._xlws.FILTER(nNOTA,(nCUENTA=1)*(nCURSO=A192)*(nASIG=B192)*(nAPTO="S"))),"—")</f>
        <v>—</v>
      </c>
      <c r="K192" t="str" cm="1">
        <f t="array" ref="K192">IFERROR(_xlfn.MODE.SNGL(_xlfn._xlws.FILTER(nNOTA,(nCUENTA=1)*(nCURSO=A192)*(nASIG=B192)*(nAPTO="N"))),"—")</f>
        <v>—</v>
      </c>
      <c r="L192">
        <f>SUMPRODUCT((nCUENTA=1)*(nCURSO=A192)*(nASIG=B192)*(nNOTA=1))</f>
        <v>0</v>
      </c>
      <c r="M192">
        <f>SUMPRODUCT((nCUENTA=1)*(nCURSO=A192)*(nASIG=B192)*(nNOTA=2))</f>
        <v>0</v>
      </c>
      <c r="N192">
        <f>SUMPRODUCT((nCUENTA=1)*(nCURSO=A192)*(nASIG=B192)*(nNOTA=3))</f>
        <v>0</v>
      </c>
      <c r="O192">
        <f>SUMPRODUCT((nCUENTA=1)*(nCURSO=A192)*(nASIG=B192)*(nNOTA=4))</f>
        <v>0</v>
      </c>
      <c r="P192">
        <f>SUMPRODUCT((nCUENTA=1)*(nCURSO=A192)*(nASIG=B192)*(nNOTA=5))</f>
        <v>0</v>
      </c>
      <c r="Q192">
        <f>SUMPRODUCT((nCUENTA=1)*(nCURSO=A192)*(nASIG=B192)*(nNOTA=6))</f>
        <v>0</v>
      </c>
      <c r="R192">
        <f>SUMPRODUCT((nCUENTA=1)*(nCURSO=A192)*(nASIG=B192)*(nNOTA=7))</f>
        <v>0</v>
      </c>
      <c r="S192">
        <f>SUMPRODUCT((nCUENTA=1)*(nCURSO=A192)*(nASIG=B192)*(nNOTA=8))</f>
        <v>0</v>
      </c>
      <c r="T192">
        <f>SUMPRODUCT((nCUENTA=1)*(nCURSO=A192)*(nASIG=B192)*(nNOTA=9))</f>
        <v>0</v>
      </c>
      <c r="U192">
        <f>SUMPRODUCT((nCUENTA=1)*(nCURSO=A192)*(nASIG=B192)*(nNOTA=10))</f>
        <v>0</v>
      </c>
    </row>
    <row r="193">
      <c r="A193" t="inlineStr">
        <is>
          <t xml:space="preserve">2EPM</t>
        </is>
      </c>
      <c r="B193" cm="1">
        <f t="array" ref="B193">IFERROR(INDEX(_xlfn._xlws.FILTER(CONFIG_ASIGNATURAS!$B$2:$B$91,(CONFIG_ASIGNATURAS!$G$2:$G$91="Sí")*ISNUMBER(SEARCH("2EPM",CONFIG_ASIGNATURAS!$C$2:$C$91))),50),"")</f>
      </c>
      <c r="C193">
        <f>IF(B193="","",IFERROR(VLOOKUP(B193,CONFIG_ASIGNATURAS!$B$2:$D$91,3,FALSE()),"Asignatura"))</f>
      </c>
      <c r="D193">
        <f>SUMPRODUCT((nCUENTA=1)*(nCURSO=A193)*(nASIG=B193))</f>
        <v>0</v>
      </c>
      <c r="E193" s="10" t="str">
        <f>IFERROR(SUMPRODUCT((nCUENTA=1)*(nCURSO=A193)*(nASIG=B193)*(nNOTA))/D193,"—")</f>
        <v>—</v>
      </c>
      <c r="F193" s="10" t="str" cm="1">
        <f t="array" ref="F193">IFERROR(_xlfn.STDEV.P(_xlfn._xlws.FILTER(nNOTA,(nCUENTA=1)*(nCURSO=A193)*(nASIG=B193))),"—")</f>
        <v>—</v>
      </c>
      <c r="G193" t="str" cm="1">
        <f t="array" ref="G193">IFERROR(_xlfn.MODE.SNGL(_xlfn._xlws.FILTER(nNOTA,(nCUENTA=1)*(nCURSO=A193)*(nASIG=B193))),"—")</f>
        <v>—</v>
      </c>
      <c r="H193" s="11" t="str">
        <f>IFERROR(SUMPRODUCT((nCUENTA=1)*(nCURSO=A193)*(nASIG=B193)*(nAPTO="S"))/D193,"—")</f>
        <v>—</v>
      </c>
      <c r="I193" s="11" t="str">
        <f>IFERROR(SUMPRODUCT((nCUENTA=1)*(nCURSO=A193)*(nASIG=B193)*(nAPTO="N"))/D193,"—")</f>
        <v>—</v>
      </c>
      <c r="J193" t="str" cm="1">
        <f t="array" ref="J193">IFERROR(_xlfn.MODE.SNGL(_xlfn._xlws.FILTER(nNOTA,(nCUENTA=1)*(nCURSO=A193)*(nASIG=B193)*(nAPTO="S"))),"—")</f>
        <v>—</v>
      </c>
      <c r="K193" t="str" cm="1">
        <f t="array" ref="K193">IFERROR(_xlfn.MODE.SNGL(_xlfn._xlws.FILTER(nNOTA,(nCUENTA=1)*(nCURSO=A193)*(nASIG=B193)*(nAPTO="N"))),"—")</f>
        <v>—</v>
      </c>
      <c r="L193">
        <f>SUMPRODUCT((nCUENTA=1)*(nCURSO=A193)*(nASIG=B193)*(nNOTA=1))</f>
        <v>0</v>
      </c>
      <c r="M193">
        <f>SUMPRODUCT((nCUENTA=1)*(nCURSO=A193)*(nASIG=B193)*(nNOTA=2))</f>
        <v>0</v>
      </c>
      <c r="N193">
        <f>SUMPRODUCT((nCUENTA=1)*(nCURSO=A193)*(nASIG=B193)*(nNOTA=3))</f>
        <v>0</v>
      </c>
      <c r="O193">
        <f>SUMPRODUCT((nCUENTA=1)*(nCURSO=A193)*(nASIG=B193)*(nNOTA=4))</f>
        <v>0</v>
      </c>
      <c r="P193">
        <f>SUMPRODUCT((nCUENTA=1)*(nCURSO=A193)*(nASIG=B193)*(nNOTA=5))</f>
        <v>0</v>
      </c>
      <c r="Q193">
        <f>SUMPRODUCT((nCUENTA=1)*(nCURSO=A193)*(nASIG=B193)*(nNOTA=6))</f>
        <v>0</v>
      </c>
      <c r="R193">
        <f>SUMPRODUCT((nCUENTA=1)*(nCURSO=A193)*(nASIG=B193)*(nNOTA=7))</f>
        <v>0</v>
      </c>
      <c r="S193">
        <f>SUMPRODUCT((nCUENTA=1)*(nCURSO=A193)*(nASIG=B193)*(nNOTA=8))</f>
        <v>0</v>
      </c>
      <c r="T193">
        <f>SUMPRODUCT((nCUENTA=1)*(nCURSO=A193)*(nASIG=B193)*(nNOTA=9))</f>
        <v>0</v>
      </c>
      <c r="U193">
        <f>SUMPRODUCT((nCUENTA=1)*(nCURSO=A193)*(nASIG=B193)*(nNOTA=10))</f>
        <v>0</v>
      </c>
    </row>
    <row r="194">
      <c r="A194" t="inlineStr">
        <is>
          <t xml:space="preserve">2EPM</t>
        </is>
      </c>
      <c r="B194" cm="1">
        <f t="array" ref="B194">IFERROR(INDEX(_xlfn._xlws.FILTER(CONFIG_ASIGNATURAS!$B$2:$B$91,(CONFIG_ASIGNATURAS!$G$2:$G$91="Sí")*ISNUMBER(SEARCH("2EPM",CONFIG_ASIGNATURAS!$C$2:$C$91))),51),"")</f>
      </c>
      <c r="C194">
        <f>IF(B194="","",IFERROR(VLOOKUP(B194,CONFIG_ASIGNATURAS!$B$2:$D$91,3,FALSE()),"Asignatura"))</f>
      </c>
      <c r="D194">
        <f>SUMPRODUCT((nCUENTA=1)*(nCURSO=A194)*(nASIG=B194))</f>
        <v>0</v>
      </c>
      <c r="E194" s="10" t="str">
        <f>IFERROR(SUMPRODUCT((nCUENTA=1)*(nCURSO=A194)*(nASIG=B194)*(nNOTA))/D194,"—")</f>
        <v>—</v>
      </c>
      <c r="F194" s="10" t="str" cm="1">
        <f t="array" ref="F194">IFERROR(_xlfn.STDEV.P(_xlfn._xlws.FILTER(nNOTA,(nCUENTA=1)*(nCURSO=A194)*(nASIG=B194))),"—")</f>
        <v>—</v>
      </c>
      <c r="G194" t="str" cm="1">
        <f t="array" ref="G194">IFERROR(_xlfn.MODE.SNGL(_xlfn._xlws.FILTER(nNOTA,(nCUENTA=1)*(nCURSO=A194)*(nASIG=B194))),"—")</f>
        <v>—</v>
      </c>
      <c r="H194" s="11" t="str">
        <f>IFERROR(SUMPRODUCT((nCUENTA=1)*(nCURSO=A194)*(nASIG=B194)*(nAPTO="S"))/D194,"—")</f>
        <v>—</v>
      </c>
      <c r="I194" s="11" t="str">
        <f>IFERROR(SUMPRODUCT((nCUENTA=1)*(nCURSO=A194)*(nASIG=B194)*(nAPTO="N"))/D194,"—")</f>
        <v>—</v>
      </c>
      <c r="J194" t="str" cm="1">
        <f t="array" ref="J194">IFERROR(_xlfn.MODE.SNGL(_xlfn._xlws.FILTER(nNOTA,(nCUENTA=1)*(nCURSO=A194)*(nASIG=B194)*(nAPTO="S"))),"—")</f>
        <v>—</v>
      </c>
      <c r="K194" t="str" cm="1">
        <f t="array" ref="K194">IFERROR(_xlfn.MODE.SNGL(_xlfn._xlws.FILTER(nNOTA,(nCUENTA=1)*(nCURSO=A194)*(nASIG=B194)*(nAPTO="N"))),"—")</f>
        <v>—</v>
      </c>
      <c r="L194">
        <f>SUMPRODUCT((nCUENTA=1)*(nCURSO=A194)*(nASIG=B194)*(nNOTA=1))</f>
        <v>0</v>
      </c>
      <c r="M194">
        <f>SUMPRODUCT((nCUENTA=1)*(nCURSO=A194)*(nASIG=B194)*(nNOTA=2))</f>
        <v>0</v>
      </c>
      <c r="N194">
        <f>SUMPRODUCT((nCUENTA=1)*(nCURSO=A194)*(nASIG=B194)*(nNOTA=3))</f>
        <v>0</v>
      </c>
      <c r="O194">
        <f>SUMPRODUCT((nCUENTA=1)*(nCURSO=A194)*(nASIG=B194)*(nNOTA=4))</f>
        <v>0</v>
      </c>
      <c r="P194">
        <f>SUMPRODUCT((nCUENTA=1)*(nCURSO=A194)*(nASIG=B194)*(nNOTA=5))</f>
        <v>0</v>
      </c>
      <c r="Q194">
        <f>SUMPRODUCT((nCUENTA=1)*(nCURSO=A194)*(nASIG=B194)*(nNOTA=6))</f>
        <v>0</v>
      </c>
      <c r="R194">
        <f>SUMPRODUCT((nCUENTA=1)*(nCURSO=A194)*(nASIG=B194)*(nNOTA=7))</f>
        <v>0</v>
      </c>
      <c r="S194">
        <f>SUMPRODUCT((nCUENTA=1)*(nCURSO=A194)*(nASIG=B194)*(nNOTA=8))</f>
        <v>0</v>
      </c>
      <c r="T194">
        <f>SUMPRODUCT((nCUENTA=1)*(nCURSO=A194)*(nASIG=B194)*(nNOTA=9))</f>
        <v>0</v>
      </c>
      <c r="U194">
        <f>SUMPRODUCT((nCUENTA=1)*(nCURSO=A194)*(nASIG=B194)*(nNOTA=10))</f>
        <v>0</v>
      </c>
    </row>
    <row r="195">
      <c r="A195" t="inlineStr">
        <is>
          <t xml:space="preserve">2EPM</t>
        </is>
      </c>
      <c r="B195" cm="1">
        <f t="array" ref="B195">IFERROR(INDEX(_xlfn._xlws.FILTER(CONFIG_ASIGNATURAS!$B$2:$B$91,(CONFIG_ASIGNATURAS!$G$2:$G$91="Sí")*ISNUMBER(SEARCH("2EPM",CONFIG_ASIGNATURAS!$C$2:$C$91))),52),"")</f>
      </c>
      <c r="C195">
        <f>IF(B195="","",IFERROR(VLOOKUP(B195,CONFIG_ASIGNATURAS!$B$2:$D$91,3,FALSE()),"Asignatura"))</f>
      </c>
      <c r="D195">
        <f>SUMPRODUCT((nCUENTA=1)*(nCURSO=A195)*(nASIG=B195))</f>
        <v>0</v>
      </c>
      <c r="E195" s="10" t="str">
        <f>IFERROR(SUMPRODUCT((nCUENTA=1)*(nCURSO=A195)*(nASIG=B195)*(nNOTA))/D195,"—")</f>
        <v>—</v>
      </c>
      <c r="F195" s="10" t="str" cm="1">
        <f t="array" ref="F195">IFERROR(_xlfn.STDEV.P(_xlfn._xlws.FILTER(nNOTA,(nCUENTA=1)*(nCURSO=A195)*(nASIG=B195))),"—")</f>
        <v>—</v>
      </c>
      <c r="G195" t="str" cm="1">
        <f t="array" ref="G195">IFERROR(_xlfn.MODE.SNGL(_xlfn._xlws.FILTER(nNOTA,(nCUENTA=1)*(nCURSO=A195)*(nASIG=B195))),"—")</f>
        <v>—</v>
      </c>
      <c r="H195" s="11" t="str">
        <f>IFERROR(SUMPRODUCT((nCUENTA=1)*(nCURSO=A195)*(nASIG=B195)*(nAPTO="S"))/D195,"—")</f>
        <v>—</v>
      </c>
      <c r="I195" s="11" t="str">
        <f>IFERROR(SUMPRODUCT((nCUENTA=1)*(nCURSO=A195)*(nASIG=B195)*(nAPTO="N"))/D195,"—")</f>
        <v>—</v>
      </c>
      <c r="J195" t="str" cm="1">
        <f t="array" ref="J195">IFERROR(_xlfn.MODE.SNGL(_xlfn._xlws.FILTER(nNOTA,(nCUENTA=1)*(nCURSO=A195)*(nASIG=B195)*(nAPTO="S"))),"—")</f>
        <v>—</v>
      </c>
      <c r="K195" t="str" cm="1">
        <f t="array" ref="K195">IFERROR(_xlfn.MODE.SNGL(_xlfn._xlws.FILTER(nNOTA,(nCUENTA=1)*(nCURSO=A195)*(nASIG=B195)*(nAPTO="N"))),"—")</f>
        <v>—</v>
      </c>
      <c r="L195">
        <f>SUMPRODUCT((nCUENTA=1)*(nCURSO=A195)*(nASIG=B195)*(nNOTA=1))</f>
        <v>0</v>
      </c>
      <c r="M195">
        <f>SUMPRODUCT((nCUENTA=1)*(nCURSO=A195)*(nASIG=B195)*(nNOTA=2))</f>
        <v>0</v>
      </c>
      <c r="N195">
        <f>SUMPRODUCT((nCUENTA=1)*(nCURSO=A195)*(nASIG=B195)*(nNOTA=3))</f>
        <v>0</v>
      </c>
      <c r="O195">
        <f>SUMPRODUCT((nCUENTA=1)*(nCURSO=A195)*(nASIG=B195)*(nNOTA=4))</f>
        <v>0</v>
      </c>
      <c r="P195">
        <f>SUMPRODUCT((nCUENTA=1)*(nCURSO=A195)*(nASIG=B195)*(nNOTA=5))</f>
        <v>0</v>
      </c>
      <c r="Q195">
        <f>SUMPRODUCT((nCUENTA=1)*(nCURSO=A195)*(nASIG=B195)*(nNOTA=6))</f>
        <v>0</v>
      </c>
      <c r="R195">
        <f>SUMPRODUCT((nCUENTA=1)*(nCURSO=A195)*(nASIG=B195)*(nNOTA=7))</f>
        <v>0</v>
      </c>
      <c r="S195">
        <f>SUMPRODUCT((nCUENTA=1)*(nCURSO=A195)*(nASIG=B195)*(nNOTA=8))</f>
        <v>0</v>
      </c>
      <c r="T195">
        <f>SUMPRODUCT((nCUENTA=1)*(nCURSO=A195)*(nASIG=B195)*(nNOTA=9))</f>
        <v>0</v>
      </c>
      <c r="U195">
        <f>SUMPRODUCT((nCUENTA=1)*(nCURSO=A195)*(nASIG=B195)*(nNOTA=10))</f>
        <v>0</v>
      </c>
    </row>
    <row r="196">
      <c r="A196" t="inlineStr">
        <is>
          <t xml:space="preserve">2EPM</t>
        </is>
      </c>
      <c r="B196" cm="1">
        <f t="array" ref="B196">IFERROR(INDEX(_xlfn._xlws.FILTER(CONFIG_ASIGNATURAS!$B$2:$B$91,(CONFIG_ASIGNATURAS!$G$2:$G$91="Sí")*ISNUMBER(SEARCH("2EPM",CONFIG_ASIGNATURAS!$C$2:$C$91))),53),"")</f>
      </c>
      <c r="C196">
        <f>IF(B196="","",IFERROR(VLOOKUP(B196,CONFIG_ASIGNATURAS!$B$2:$D$91,3,FALSE()),"Asignatura"))</f>
      </c>
      <c r="D196">
        <f>SUMPRODUCT((nCUENTA=1)*(nCURSO=A196)*(nASIG=B196))</f>
        <v>0</v>
      </c>
      <c r="E196" s="10" t="str">
        <f>IFERROR(SUMPRODUCT((nCUENTA=1)*(nCURSO=A196)*(nASIG=B196)*(nNOTA))/D196,"—")</f>
        <v>—</v>
      </c>
      <c r="F196" s="10" t="str" cm="1">
        <f t="array" ref="F196">IFERROR(_xlfn.STDEV.P(_xlfn._xlws.FILTER(nNOTA,(nCUENTA=1)*(nCURSO=A196)*(nASIG=B196))),"—")</f>
        <v>—</v>
      </c>
      <c r="G196" t="str" cm="1">
        <f t="array" ref="G196">IFERROR(_xlfn.MODE.SNGL(_xlfn._xlws.FILTER(nNOTA,(nCUENTA=1)*(nCURSO=A196)*(nASIG=B196))),"—")</f>
        <v>—</v>
      </c>
      <c r="H196" s="11" t="str">
        <f>IFERROR(SUMPRODUCT((nCUENTA=1)*(nCURSO=A196)*(nASIG=B196)*(nAPTO="S"))/D196,"—")</f>
        <v>—</v>
      </c>
      <c r="I196" s="11" t="str">
        <f>IFERROR(SUMPRODUCT((nCUENTA=1)*(nCURSO=A196)*(nASIG=B196)*(nAPTO="N"))/D196,"—")</f>
        <v>—</v>
      </c>
      <c r="J196" t="str" cm="1">
        <f t="array" ref="J196">IFERROR(_xlfn.MODE.SNGL(_xlfn._xlws.FILTER(nNOTA,(nCUENTA=1)*(nCURSO=A196)*(nASIG=B196)*(nAPTO="S"))),"—")</f>
        <v>—</v>
      </c>
      <c r="K196" t="str" cm="1">
        <f t="array" ref="K196">IFERROR(_xlfn.MODE.SNGL(_xlfn._xlws.FILTER(nNOTA,(nCUENTA=1)*(nCURSO=A196)*(nASIG=B196)*(nAPTO="N"))),"—")</f>
        <v>—</v>
      </c>
      <c r="L196">
        <f>SUMPRODUCT((nCUENTA=1)*(nCURSO=A196)*(nASIG=B196)*(nNOTA=1))</f>
        <v>0</v>
      </c>
      <c r="M196">
        <f>SUMPRODUCT((nCUENTA=1)*(nCURSO=A196)*(nASIG=B196)*(nNOTA=2))</f>
        <v>0</v>
      </c>
      <c r="N196">
        <f>SUMPRODUCT((nCUENTA=1)*(nCURSO=A196)*(nASIG=B196)*(nNOTA=3))</f>
        <v>0</v>
      </c>
      <c r="O196">
        <f>SUMPRODUCT((nCUENTA=1)*(nCURSO=A196)*(nASIG=B196)*(nNOTA=4))</f>
        <v>0</v>
      </c>
      <c r="P196">
        <f>SUMPRODUCT((nCUENTA=1)*(nCURSO=A196)*(nASIG=B196)*(nNOTA=5))</f>
        <v>0</v>
      </c>
      <c r="Q196">
        <f>SUMPRODUCT((nCUENTA=1)*(nCURSO=A196)*(nASIG=B196)*(nNOTA=6))</f>
        <v>0</v>
      </c>
      <c r="R196">
        <f>SUMPRODUCT((nCUENTA=1)*(nCURSO=A196)*(nASIG=B196)*(nNOTA=7))</f>
        <v>0</v>
      </c>
      <c r="S196">
        <f>SUMPRODUCT((nCUENTA=1)*(nCURSO=A196)*(nASIG=B196)*(nNOTA=8))</f>
        <v>0</v>
      </c>
      <c r="T196">
        <f>SUMPRODUCT((nCUENTA=1)*(nCURSO=A196)*(nASIG=B196)*(nNOTA=9))</f>
        <v>0</v>
      </c>
      <c r="U196">
        <f>SUMPRODUCT((nCUENTA=1)*(nCURSO=A196)*(nASIG=B196)*(nNOTA=10))</f>
        <v>0</v>
      </c>
    </row>
    <row r="197">
      <c r="A197" t="inlineStr">
        <is>
          <t xml:space="preserve">2EPM</t>
        </is>
      </c>
      <c r="B197" cm="1">
        <f t="array" ref="B197">IFERROR(INDEX(_xlfn._xlws.FILTER(CONFIG_ASIGNATURAS!$B$2:$B$91,(CONFIG_ASIGNATURAS!$G$2:$G$91="Sí")*ISNUMBER(SEARCH("2EPM",CONFIG_ASIGNATURAS!$C$2:$C$91))),54),"")</f>
      </c>
      <c r="C197">
        <f>IF(B197="","",IFERROR(VLOOKUP(B197,CONFIG_ASIGNATURAS!$B$2:$D$91,3,FALSE()),"Asignatura"))</f>
      </c>
      <c r="D197">
        <f>SUMPRODUCT((nCUENTA=1)*(nCURSO=A197)*(nASIG=B197))</f>
        <v>0</v>
      </c>
      <c r="E197" s="10" t="str">
        <f>IFERROR(SUMPRODUCT((nCUENTA=1)*(nCURSO=A197)*(nASIG=B197)*(nNOTA))/D197,"—")</f>
        <v>—</v>
      </c>
      <c r="F197" s="10" t="str" cm="1">
        <f t="array" ref="F197">IFERROR(_xlfn.STDEV.P(_xlfn._xlws.FILTER(nNOTA,(nCUENTA=1)*(nCURSO=A197)*(nASIG=B197))),"—")</f>
        <v>—</v>
      </c>
      <c r="G197" t="str" cm="1">
        <f t="array" ref="G197">IFERROR(_xlfn.MODE.SNGL(_xlfn._xlws.FILTER(nNOTA,(nCUENTA=1)*(nCURSO=A197)*(nASIG=B197))),"—")</f>
        <v>—</v>
      </c>
      <c r="H197" s="11" t="str">
        <f>IFERROR(SUMPRODUCT((nCUENTA=1)*(nCURSO=A197)*(nASIG=B197)*(nAPTO="S"))/D197,"—")</f>
        <v>—</v>
      </c>
      <c r="I197" s="11" t="str">
        <f>IFERROR(SUMPRODUCT((nCUENTA=1)*(nCURSO=A197)*(nASIG=B197)*(nAPTO="N"))/D197,"—")</f>
        <v>—</v>
      </c>
      <c r="J197" t="str" cm="1">
        <f t="array" ref="J197">IFERROR(_xlfn.MODE.SNGL(_xlfn._xlws.FILTER(nNOTA,(nCUENTA=1)*(nCURSO=A197)*(nASIG=B197)*(nAPTO="S"))),"—")</f>
        <v>—</v>
      </c>
      <c r="K197" t="str" cm="1">
        <f t="array" ref="K197">IFERROR(_xlfn.MODE.SNGL(_xlfn._xlws.FILTER(nNOTA,(nCUENTA=1)*(nCURSO=A197)*(nASIG=B197)*(nAPTO="N"))),"—")</f>
        <v>—</v>
      </c>
      <c r="L197">
        <f>SUMPRODUCT((nCUENTA=1)*(nCURSO=A197)*(nASIG=B197)*(nNOTA=1))</f>
        <v>0</v>
      </c>
      <c r="M197">
        <f>SUMPRODUCT((nCUENTA=1)*(nCURSO=A197)*(nASIG=B197)*(nNOTA=2))</f>
        <v>0</v>
      </c>
      <c r="N197">
        <f>SUMPRODUCT((nCUENTA=1)*(nCURSO=A197)*(nASIG=B197)*(nNOTA=3))</f>
        <v>0</v>
      </c>
      <c r="O197">
        <f>SUMPRODUCT((nCUENTA=1)*(nCURSO=A197)*(nASIG=B197)*(nNOTA=4))</f>
        <v>0</v>
      </c>
      <c r="P197">
        <f>SUMPRODUCT((nCUENTA=1)*(nCURSO=A197)*(nASIG=B197)*(nNOTA=5))</f>
        <v>0</v>
      </c>
      <c r="Q197">
        <f>SUMPRODUCT((nCUENTA=1)*(nCURSO=A197)*(nASIG=B197)*(nNOTA=6))</f>
        <v>0</v>
      </c>
      <c r="R197">
        <f>SUMPRODUCT((nCUENTA=1)*(nCURSO=A197)*(nASIG=B197)*(nNOTA=7))</f>
        <v>0</v>
      </c>
      <c r="S197">
        <f>SUMPRODUCT((nCUENTA=1)*(nCURSO=A197)*(nASIG=B197)*(nNOTA=8))</f>
        <v>0</v>
      </c>
      <c r="T197">
        <f>SUMPRODUCT((nCUENTA=1)*(nCURSO=A197)*(nASIG=B197)*(nNOTA=9))</f>
        <v>0</v>
      </c>
      <c r="U197">
        <f>SUMPRODUCT((nCUENTA=1)*(nCURSO=A197)*(nASIG=B197)*(nNOTA=10))</f>
        <v>0</v>
      </c>
    </row>
    <row r="198">
      <c r="A198" t="inlineStr">
        <is>
          <t xml:space="preserve">2EPM</t>
        </is>
      </c>
      <c r="B198" cm="1">
        <f t="array" ref="B198">IFERROR(INDEX(_xlfn._xlws.FILTER(CONFIG_ASIGNATURAS!$B$2:$B$91,(CONFIG_ASIGNATURAS!$G$2:$G$91="Sí")*ISNUMBER(SEARCH("2EPM",CONFIG_ASIGNATURAS!$C$2:$C$91))),55),"")</f>
      </c>
      <c r="C198">
        <f>IF(B198="","",IFERROR(VLOOKUP(B198,CONFIG_ASIGNATURAS!$B$2:$D$91,3,FALSE()),"Asignatura"))</f>
      </c>
      <c r="D198">
        <f>SUMPRODUCT((nCUENTA=1)*(nCURSO=A198)*(nASIG=B198))</f>
        <v>0</v>
      </c>
      <c r="E198" s="10" t="str">
        <f>IFERROR(SUMPRODUCT((nCUENTA=1)*(nCURSO=A198)*(nASIG=B198)*(nNOTA))/D198,"—")</f>
        <v>—</v>
      </c>
      <c r="F198" s="10" t="str" cm="1">
        <f t="array" ref="F198">IFERROR(_xlfn.STDEV.P(_xlfn._xlws.FILTER(nNOTA,(nCUENTA=1)*(nCURSO=A198)*(nASIG=B198))),"—")</f>
        <v>—</v>
      </c>
      <c r="G198" t="str" cm="1">
        <f t="array" ref="G198">IFERROR(_xlfn.MODE.SNGL(_xlfn._xlws.FILTER(nNOTA,(nCUENTA=1)*(nCURSO=A198)*(nASIG=B198))),"—")</f>
        <v>—</v>
      </c>
      <c r="H198" s="11" t="str">
        <f>IFERROR(SUMPRODUCT((nCUENTA=1)*(nCURSO=A198)*(nASIG=B198)*(nAPTO="S"))/D198,"—")</f>
        <v>—</v>
      </c>
      <c r="I198" s="11" t="str">
        <f>IFERROR(SUMPRODUCT((nCUENTA=1)*(nCURSO=A198)*(nASIG=B198)*(nAPTO="N"))/D198,"—")</f>
        <v>—</v>
      </c>
      <c r="J198" t="str" cm="1">
        <f t="array" ref="J198">IFERROR(_xlfn.MODE.SNGL(_xlfn._xlws.FILTER(nNOTA,(nCUENTA=1)*(nCURSO=A198)*(nASIG=B198)*(nAPTO="S"))),"—")</f>
        <v>—</v>
      </c>
      <c r="K198" t="str" cm="1">
        <f t="array" ref="K198">IFERROR(_xlfn.MODE.SNGL(_xlfn._xlws.FILTER(nNOTA,(nCUENTA=1)*(nCURSO=A198)*(nASIG=B198)*(nAPTO="N"))),"—")</f>
        <v>—</v>
      </c>
      <c r="L198">
        <f>SUMPRODUCT((nCUENTA=1)*(nCURSO=A198)*(nASIG=B198)*(nNOTA=1))</f>
        <v>0</v>
      </c>
      <c r="M198">
        <f>SUMPRODUCT((nCUENTA=1)*(nCURSO=A198)*(nASIG=B198)*(nNOTA=2))</f>
        <v>0</v>
      </c>
      <c r="N198">
        <f>SUMPRODUCT((nCUENTA=1)*(nCURSO=A198)*(nASIG=B198)*(nNOTA=3))</f>
        <v>0</v>
      </c>
      <c r="O198">
        <f>SUMPRODUCT((nCUENTA=1)*(nCURSO=A198)*(nASIG=B198)*(nNOTA=4))</f>
        <v>0</v>
      </c>
      <c r="P198">
        <f>SUMPRODUCT((nCUENTA=1)*(nCURSO=A198)*(nASIG=B198)*(nNOTA=5))</f>
        <v>0</v>
      </c>
      <c r="Q198">
        <f>SUMPRODUCT((nCUENTA=1)*(nCURSO=A198)*(nASIG=B198)*(nNOTA=6))</f>
        <v>0</v>
      </c>
      <c r="R198">
        <f>SUMPRODUCT((nCUENTA=1)*(nCURSO=A198)*(nASIG=B198)*(nNOTA=7))</f>
        <v>0</v>
      </c>
      <c r="S198">
        <f>SUMPRODUCT((nCUENTA=1)*(nCURSO=A198)*(nASIG=B198)*(nNOTA=8))</f>
        <v>0</v>
      </c>
      <c r="T198">
        <f>SUMPRODUCT((nCUENTA=1)*(nCURSO=A198)*(nASIG=B198)*(nNOTA=9))</f>
        <v>0</v>
      </c>
      <c r="U198">
        <f>SUMPRODUCT((nCUENTA=1)*(nCURSO=A198)*(nASIG=B198)*(nNOTA=10))</f>
        <v>0</v>
      </c>
    </row>
    <row r="199">
      <c r="A199" t="inlineStr">
        <is>
          <t xml:space="preserve">2EPM</t>
        </is>
      </c>
      <c r="B199" cm="1">
        <f t="array" ref="B199">IFERROR(INDEX(_xlfn._xlws.FILTER(CONFIG_ASIGNATURAS!$B$2:$B$91,(CONFIG_ASIGNATURAS!$G$2:$G$91="Sí")*ISNUMBER(SEARCH("2EPM",CONFIG_ASIGNATURAS!$C$2:$C$91))),56),"")</f>
      </c>
      <c r="C199">
        <f>IF(B199="","",IFERROR(VLOOKUP(B199,CONFIG_ASIGNATURAS!$B$2:$D$91,3,FALSE()),"Asignatura"))</f>
      </c>
      <c r="D199">
        <f>SUMPRODUCT((nCUENTA=1)*(nCURSO=A199)*(nASIG=B199))</f>
        <v>0</v>
      </c>
      <c r="E199" s="10" t="str">
        <f>IFERROR(SUMPRODUCT((nCUENTA=1)*(nCURSO=A199)*(nASIG=B199)*(nNOTA))/D199,"—")</f>
        <v>—</v>
      </c>
      <c r="F199" s="10" t="str" cm="1">
        <f t="array" ref="F199">IFERROR(_xlfn.STDEV.P(_xlfn._xlws.FILTER(nNOTA,(nCUENTA=1)*(nCURSO=A199)*(nASIG=B199))),"—")</f>
        <v>—</v>
      </c>
      <c r="G199" t="str" cm="1">
        <f t="array" ref="G199">IFERROR(_xlfn.MODE.SNGL(_xlfn._xlws.FILTER(nNOTA,(nCUENTA=1)*(nCURSO=A199)*(nASIG=B199))),"—")</f>
        <v>—</v>
      </c>
      <c r="H199" s="11" t="str">
        <f>IFERROR(SUMPRODUCT((nCUENTA=1)*(nCURSO=A199)*(nASIG=B199)*(nAPTO="S"))/D199,"—")</f>
        <v>—</v>
      </c>
      <c r="I199" s="11" t="str">
        <f>IFERROR(SUMPRODUCT((nCUENTA=1)*(nCURSO=A199)*(nASIG=B199)*(nAPTO="N"))/D199,"—")</f>
        <v>—</v>
      </c>
      <c r="J199" t="str" cm="1">
        <f t="array" ref="J199">IFERROR(_xlfn.MODE.SNGL(_xlfn._xlws.FILTER(nNOTA,(nCUENTA=1)*(nCURSO=A199)*(nASIG=B199)*(nAPTO="S"))),"—")</f>
        <v>—</v>
      </c>
      <c r="K199" t="str" cm="1">
        <f t="array" ref="K199">IFERROR(_xlfn.MODE.SNGL(_xlfn._xlws.FILTER(nNOTA,(nCUENTA=1)*(nCURSO=A199)*(nASIG=B199)*(nAPTO="N"))),"—")</f>
        <v>—</v>
      </c>
      <c r="L199">
        <f>SUMPRODUCT((nCUENTA=1)*(nCURSO=A199)*(nASIG=B199)*(nNOTA=1))</f>
        <v>0</v>
      </c>
      <c r="M199">
        <f>SUMPRODUCT((nCUENTA=1)*(nCURSO=A199)*(nASIG=B199)*(nNOTA=2))</f>
        <v>0</v>
      </c>
      <c r="N199">
        <f>SUMPRODUCT((nCUENTA=1)*(nCURSO=A199)*(nASIG=B199)*(nNOTA=3))</f>
        <v>0</v>
      </c>
      <c r="O199">
        <f>SUMPRODUCT((nCUENTA=1)*(nCURSO=A199)*(nASIG=B199)*(nNOTA=4))</f>
        <v>0</v>
      </c>
      <c r="P199">
        <f>SUMPRODUCT((nCUENTA=1)*(nCURSO=A199)*(nASIG=B199)*(nNOTA=5))</f>
        <v>0</v>
      </c>
      <c r="Q199">
        <f>SUMPRODUCT((nCUENTA=1)*(nCURSO=A199)*(nASIG=B199)*(nNOTA=6))</f>
        <v>0</v>
      </c>
      <c r="R199">
        <f>SUMPRODUCT((nCUENTA=1)*(nCURSO=A199)*(nASIG=B199)*(nNOTA=7))</f>
        <v>0</v>
      </c>
      <c r="S199">
        <f>SUMPRODUCT((nCUENTA=1)*(nCURSO=A199)*(nASIG=B199)*(nNOTA=8))</f>
        <v>0</v>
      </c>
      <c r="T199">
        <f>SUMPRODUCT((nCUENTA=1)*(nCURSO=A199)*(nASIG=B199)*(nNOTA=9))</f>
        <v>0</v>
      </c>
      <c r="U199">
        <f>SUMPRODUCT((nCUENTA=1)*(nCURSO=A199)*(nASIG=B199)*(nNOTA=10))</f>
        <v>0</v>
      </c>
    </row>
    <row r="200">
      <c r="A200" t="inlineStr">
        <is>
          <t xml:space="preserve">2EPM</t>
        </is>
      </c>
      <c r="B200" cm="1">
        <f t="array" ref="B200">IFERROR(INDEX(_xlfn._xlws.FILTER(CONFIG_ASIGNATURAS!$B$2:$B$91,(CONFIG_ASIGNATURAS!$G$2:$G$91="Sí")*ISNUMBER(SEARCH("2EPM",CONFIG_ASIGNATURAS!$C$2:$C$91))),57),"")</f>
      </c>
      <c r="C200">
        <f>IF(B200="","",IFERROR(VLOOKUP(B200,CONFIG_ASIGNATURAS!$B$2:$D$91,3,FALSE()),"Asignatura"))</f>
      </c>
      <c r="D200">
        <f>SUMPRODUCT((nCUENTA=1)*(nCURSO=A200)*(nASIG=B200))</f>
        <v>0</v>
      </c>
      <c r="E200" s="10" t="str">
        <f>IFERROR(SUMPRODUCT((nCUENTA=1)*(nCURSO=A200)*(nASIG=B200)*(nNOTA))/D200,"—")</f>
        <v>—</v>
      </c>
      <c r="F200" s="10" t="str" cm="1">
        <f t="array" ref="F200">IFERROR(_xlfn.STDEV.P(_xlfn._xlws.FILTER(nNOTA,(nCUENTA=1)*(nCURSO=A200)*(nASIG=B200))),"—")</f>
        <v>—</v>
      </c>
      <c r="G200" t="str" cm="1">
        <f t="array" ref="G200">IFERROR(_xlfn.MODE.SNGL(_xlfn._xlws.FILTER(nNOTA,(nCUENTA=1)*(nCURSO=A200)*(nASIG=B200))),"—")</f>
        <v>—</v>
      </c>
      <c r="H200" s="11" t="str">
        <f>IFERROR(SUMPRODUCT((nCUENTA=1)*(nCURSO=A200)*(nASIG=B200)*(nAPTO="S"))/D200,"—")</f>
        <v>—</v>
      </c>
      <c r="I200" s="11" t="str">
        <f>IFERROR(SUMPRODUCT((nCUENTA=1)*(nCURSO=A200)*(nASIG=B200)*(nAPTO="N"))/D200,"—")</f>
        <v>—</v>
      </c>
      <c r="J200" t="str" cm="1">
        <f t="array" ref="J200">IFERROR(_xlfn.MODE.SNGL(_xlfn._xlws.FILTER(nNOTA,(nCUENTA=1)*(nCURSO=A200)*(nASIG=B200)*(nAPTO="S"))),"—")</f>
        <v>—</v>
      </c>
      <c r="K200" t="str" cm="1">
        <f t="array" ref="K200">IFERROR(_xlfn.MODE.SNGL(_xlfn._xlws.FILTER(nNOTA,(nCUENTA=1)*(nCURSO=A200)*(nASIG=B200)*(nAPTO="N"))),"—")</f>
        <v>—</v>
      </c>
      <c r="L200">
        <f>SUMPRODUCT((nCUENTA=1)*(nCURSO=A200)*(nASIG=B200)*(nNOTA=1))</f>
        <v>0</v>
      </c>
      <c r="M200">
        <f>SUMPRODUCT((nCUENTA=1)*(nCURSO=A200)*(nASIG=B200)*(nNOTA=2))</f>
        <v>0</v>
      </c>
      <c r="N200">
        <f>SUMPRODUCT((nCUENTA=1)*(nCURSO=A200)*(nASIG=B200)*(nNOTA=3))</f>
        <v>0</v>
      </c>
      <c r="O200">
        <f>SUMPRODUCT((nCUENTA=1)*(nCURSO=A200)*(nASIG=B200)*(nNOTA=4))</f>
        <v>0</v>
      </c>
      <c r="P200">
        <f>SUMPRODUCT((nCUENTA=1)*(nCURSO=A200)*(nASIG=B200)*(nNOTA=5))</f>
        <v>0</v>
      </c>
      <c r="Q200">
        <f>SUMPRODUCT((nCUENTA=1)*(nCURSO=A200)*(nASIG=B200)*(nNOTA=6))</f>
        <v>0</v>
      </c>
      <c r="R200">
        <f>SUMPRODUCT((nCUENTA=1)*(nCURSO=A200)*(nASIG=B200)*(nNOTA=7))</f>
        <v>0</v>
      </c>
      <c r="S200">
        <f>SUMPRODUCT((nCUENTA=1)*(nCURSO=A200)*(nASIG=B200)*(nNOTA=8))</f>
        <v>0</v>
      </c>
      <c r="T200">
        <f>SUMPRODUCT((nCUENTA=1)*(nCURSO=A200)*(nASIG=B200)*(nNOTA=9))</f>
        <v>0</v>
      </c>
      <c r="U200">
        <f>SUMPRODUCT((nCUENTA=1)*(nCURSO=A200)*(nASIG=B200)*(nNOTA=10))</f>
        <v>0</v>
      </c>
    </row>
    <row r="201">
      <c r="A201" t="inlineStr">
        <is>
          <t xml:space="preserve">2EPM</t>
        </is>
      </c>
      <c r="B201" cm="1">
        <f t="array" ref="B201">IFERROR(INDEX(_xlfn._xlws.FILTER(CONFIG_ASIGNATURAS!$B$2:$B$91,(CONFIG_ASIGNATURAS!$G$2:$G$91="Sí")*ISNUMBER(SEARCH("2EPM",CONFIG_ASIGNATURAS!$C$2:$C$91))),58),"")</f>
      </c>
      <c r="C201">
        <f>IF(B201="","",IFERROR(VLOOKUP(B201,CONFIG_ASIGNATURAS!$B$2:$D$91,3,FALSE()),"Asignatura"))</f>
      </c>
      <c r="D201">
        <f>SUMPRODUCT((nCUENTA=1)*(nCURSO=A201)*(nASIG=B201))</f>
        <v>0</v>
      </c>
      <c r="E201" s="10" t="str">
        <f>IFERROR(SUMPRODUCT((nCUENTA=1)*(nCURSO=A201)*(nASIG=B201)*(nNOTA))/D201,"—")</f>
        <v>—</v>
      </c>
      <c r="F201" s="10" t="str" cm="1">
        <f t="array" ref="F201">IFERROR(_xlfn.STDEV.P(_xlfn._xlws.FILTER(nNOTA,(nCUENTA=1)*(nCURSO=A201)*(nASIG=B201))),"—")</f>
        <v>—</v>
      </c>
      <c r="G201" t="str" cm="1">
        <f t="array" ref="G201">IFERROR(_xlfn.MODE.SNGL(_xlfn._xlws.FILTER(nNOTA,(nCUENTA=1)*(nCURSO=A201)*(nASIG=B201))),"—")</f>
        <v>—</v>
      </c>
      <c r="H201" s="11" t="str">
        <f>IFERROR(SUMPRODUCT((nCUENTA=1)*(nCURSO=A201)*(nASIG=B201)*(nAPTO="S"))/D201,"—")</f>
        <v>—</v>
      </c>
      <c r="I201" s="11" t="str">
        <f>IFERROR(SUMPRODUCT((nCUENTA=1)*(nCURSO=A201)*(nASIG=B201)*(nAPTO="N"))/D201,"—")</f>
        <v>—</v>
      </c>
      <c r="J201" t="str" cm="1">
        <f t="array" ref="J201">IFERROR(_xlfn.MODE.SNGL(_xlfn._xlws.FILTER(nNOTA,(nCUENTA=1)*(nCURSO=A201)*(nASIG=B201)*(nAPTO="S"))),"—")</f>
        <v>—</v>
      </c>
      <c r="K201" t="str" cm="1">
        <f t="array" ref="K201">IFERROR(_xlfn.MODE.SNGL(_xlfn._xlws.FILTER(nNOTA,(nCUENTA=1)*(nCURSO=A201)*(nASIG=B201)*(nAPTO="N"))),"—")</f>
        <v>—</v>
      </c>
      <c r="L201">
        <f>SUMPRODUCT((nCUENTA=1)*(nCURSO=A201)*(nASIG=B201)*(nNOTA=1))</f>
        <v>0</v>
      </c>
      <c r="M201">
        <f>SUMPRODUCT((nCUENTA=1)*(nCURSO=A201)*(nASIG=B201)*(nNOTA=2))</f>
        <v>0</v>
      </c>
      <c r="N201">
        <f>SUMPRODUCT((nCUENTA=1)*(nCURSO=A201)*(nASIG=B201)*(nNOTA=3))</f>
        <v>0</v>
      </c>
      <c r="O201">
        <f>SUMPRODUCT((nCUENTA=1)*(nCURSO=A201)*(nASIG=B201)*(nNOTA=4))</f>
        <v>0</v>
      </c>
      <c r="P201">
        <f>SUMPRODUCT((nCUENTA=1)*(nCURSO=A201)*(nASIG=B201)*(nNOTA=5))</f>
        <v>0</v>
      </c>
      <c r="Q201">
        <f>SUMPRODUCT((nCUENTA=1)*(nCURSO=A201)*(nASIG=B201)*(nNOTA=6))</f>
        <v>0</v>
      </c>
      <c r="R201">
        <f>SUMPRODUCT((nCUENTA=1)*(nCURSO=A201)*(nASIG=B201)*(nNOTA=7))</f>
        <v>0</v>
      </c>
      <c r="S201">
        <f>SUMPRODUCT((nCUENTA=1)*(nCURSO=A201)*(nASIG=B201)*(nNOTA=8))</f>
        <v>0</v>
      </c>
      <c r="T201">
        <f>SUMPRODUCT((nCUENTA=1)*(nCURSO=A201)*(nASIG=B201)*(nNOTA=9))</f>
        <v>0</v>
      </c>
      <c r="U201">
        <f>SUMPRODUCT((nCUENTA=1)*(nCURSO=A201)*(nASIG=B201)*(nNOTA=10))</f>
        <v>0</v>
      </c>
    </row>
    <row r="202">
      <c r="A202" t="inlineStr">
        <is>
          <t xml:space="preserve">2EPM</t>
        </is>
      </c>
      <c r="B202" cm="1">
        <f t="array" ref="B202">IFERROR(INDEX(_xlfn._xlws.FILTER(CONFIG_ASIGNATURAS!$B$2:$B$91,(CONFIG_ASIGNATURAS!$G$2:$G$91="Sí")*ISNUMBER(SEARCH("2EPM",CONFIG_ASIGNATURAS!$C$2:$C$91))),59),"")</f>
      </c>
      <c r="C202">
        <f>IF(B202="","",IFERROR(VLOOKUP(B202,CONFIG_ASIGNATURAS!$B$2:$D$91,3,FALSE()),"Asignatura"))</f>
      </c>
      <c r="D202">
        <f>SUMPRODUCT((nCUENTA=1)*(nCURSO=A202)*(nASIG=B202))</f>
        <v>0</v>
      </c>
      <c r="E202" s="10" t="str">
        <f>IFERROR(SUMPRODUCT((nCUENTA=1)*(nCURSO=A202)*(nASIG=B202)*(nNOTA))/D202,"—")</f>
        <v>—</v>
      </c>
      <c r="F202" s="10" t="str" cm="1">
        <f t="array" ref="F202">IFERROR(_xlfn.STDEV.P(_xlfn._xlws.FILTER(nNOTA,(nCUENTA=1)*(nCURSO=A202)*(nASIG=B202))),"—")</f>
        <v>—</v>
      </c>
      <c r="G202" t="str" cm="1">
        <f t="array" ref="G202">IFERROR(_xlfn.MODE.SNGL(_xlfn._xlws.FILTER(nNOTA,(nCUENTA=1)*(nCURSO=A202)*(nASIG=B202))),"—")</f>
        <v>—</v>
      </c>
      <c r="H202" s="11" t="str">
        <f>IFERROR(SUMPRODUCT((nCUENTA=1)*(nCURSO=A202)*(nASIG=B202)*(nAPTO="S"))/D202,"—")</f>
        <v>—</v>
      </c>
      <c r="I202" s="11" t="str">
        <f>IFERROR(SUMPRODUCT((nCUENTA=1)*(nCURSO=A202)*(nASIG=B202)*(nAPTO="N"))/D202,"—")</f>
        <v>—</v>
      </c>
      <c r="J202" t="str" cm="1">
        <f t="array" ref="J202">IFERROR(_xlfn.MODE.SNGL(_xlfn._xlws.FILTER(nNOTA,(nCUENTA=1)*(nCURSO=A202)*(nASIG=B202)*(nAPTO="S"))),"—")</f>
        <v>—</v>
      </c>
      <c r="K202" t="str" cm="1">
        <f t="array" ref="K202">IFERROR(_xlfn.MODE.SNGL(_xlfn._xlws.FILTER(nNOTA,(nCUENTA=1)*(nCURSO=A202)*(nASIG=B202)*(nAPTO="N"))),"—")</f>
        <v>—</v>
      </c>
      <c r="L202">
        <f>SUMPRODUCT((nCUENTA=1)*(nCURSO=A202)*(nASIG=B202)*(nNOTA=1))</f>
        <v>0</v>
      </c>
      <c r="M202">
        <f>SUMPRODUCT((nCUENTA=1)*(nCURSO=A202)*(nASIG=B202)*(nNOTA=2))</f>
        <v>0</v>
      </c>
      <c r="N202">
        <f>SUMPRODUCT((nCUENTA=1)*(nCURSO=A202)*(nASIG=B202)*(nNOTA=3))</f>
        <v>0</v>
      </c>
      <c r="O202">
        <f>SUMPRODUCT((nCUENTA=1)*(nCURSO=A202)*(nASIG=B202)*(nNOTA=4))</f>
        <v>0</v>
      </c>
      <c r="P202">
        <f>SUMPRODUCT((nCUENTA=1)*(nCURSO=A202)*(nASIG=B202)*(nNOTA=5))</f>
        <v>0</v>
      </c>
      <c r="Q202">
        <f>SUMPRODUCT((nCUENTA=1)*(nCURSO=A202)*(nASIG=B202)*(nNOTA=6))</f>
        <v>0</v>
      </c>
      <c r="R202">
        <f>SUMPRODUCT((nCUENTA=1)*(nCURSO=A202)*(nASIG=B202)*(nNOTA=7))</f>
        <v>0</v>
      </c>
      <c r="S202">
        <f>SUMPRODUCT((nCUENTA=1)*(nCURSO=A202)*(nASIG=B202)*(nNOTA=8))</f>
        <v>0</v>
      </c>
      <c r="T202">
        <f>SUMPRODUCT((nCUENTA=1)*(nCURSO=A202)*(nASIG=B202)*(nNOTA=9))</f>
        <v>0</v>
      </c>
      <c r="U202">
        <f>SUMPRODUCT((nCUENTA=1)*(nCURSO=A202)*(nASIG=B202)*(nNOTA=10))</f>
        <v>0</v>
      </c>
    </row>
    <row r="203">
      <c r="A203" t="inlineStr">
        <is>
          <t xml:space="preserve">2EPM</t>
        </is>
      </c>
      <c r="B203" cm="1">
        <f t="array" ref="B203">IFERROR(INDEX(_xlfn._xlws.FILTER(CONFIG_ASIGNATURAS!$B$2:$B$91,(CONFIG_ASIGNATURAS!$G$2:$G$91="Sí")*ISNUMBER(SEARCH("2EPM",CONFIG_ASIGNATURAS!$C$2:$C$91))),60),"")</f>
      </c>
      <c r="C203">
        <f>IF(B203="","",IFERROR(VLOOKUP(B203,CONFIG_ASIGNATURAS!$B$2:$D$91,3,FALSE()),"Asignatura"))</f>
      </c>
      <c r="D203">
        <f>SUMPRODUCT((nCUENTA=1)*(nCURSO=A203)*(nASIG=B203))</f>
        <v>0</v>
      </c>
      <c r="E203" s="10" t="str">
        <f>IFERROR(SUMPRODUCT((nCUENTA=1)*(nCURSO=A203)*(nASIG=B203)*(nNOTA))/D203,"—")</f>
        <v>—</v>
      </c>
      <c r="F203" s="10" t="str" cm="1">
        <f t="array" ref="F203">IFERROR(_xlfn.STDEV.P(_xlfn._xlws.FILTER(nNOTA,(nCUENTA=1)*(nCURSO=A203)*(nASIG=B203))),"—")</f>
        <v>—</v>
      </c>
      <c r="G203" t="str" cm="1">
        <f t="array" ref="G203">IFERROR(_xlfn.MODE.SNGL(_xlfn._xlws.FILTER(nNOTA,(nCUENTA=1)*(nCURSO=A203)*(nASIG=B203))),"—")</f>
        <v>—</v>
      </c>
      <c r="H203" s="11" t="str">
        <f>IFERROR(SUMPRODUCT((nCUENTA=1)*(nCURSO=A203)*(nASIG=B203)*(nAPTO="S"))/D203,"—")</f>
        <v>—</v>
      </c>
      <c r="I203" s="11" t="str">
        <f>IFERROR(SUMPRODUCT((nCUENTA=1)*(nCURSO=A203)*(nASIG=B203)*(nAPTO="N"))/D203,"—")</f>
        <v>—</v>
      </c>
      <c r="J203" t="str" cm="1">
        <f t="array" ref="J203">IFERROR(_xlfn.MODE.SNGL(_xlfn._xlws.FILTER(nNOTA,(nCUENTA=1)*(nCURSO=A203)*(nASIG=B203)*(nAPTO="S"))),"—")</f>
        <v>—</v>
      </c>
      <c r="K203" t="str" cm="1">
        <f t="array" ref="K203">IFERROR(_xlfn.MODE.SNGL(_xlfn._xlws.FILTER(nNOTA,(nCUENTA=1)*(nCURSO=A203)*(nASIG=B203)*(nAPTO="N"))),"—")</f>
        <v>—</v>
      </c>
      <c r="L203">
        <f>SUMPRODUCT((nCUENTA=1)*(nCURSO=A203)*(nASIG=B203)*(nNOTA=1))</f>
        <v>0</v>
      </c>
      <c r="M203">
        <f>SUMPRODUCT((nCUENTA=1)*(nCURSO=A203)*(nASIG=B203)*(nNOTA=2))</f>
        <v>0</v>
      </c>
      <c r="N203">
        <f>SUMPRODUCT((nCUENTA=1)*(nCURSO=A203)*(nASIG=B203)*(nNOTA=3))</f>
        <v>0</v>
      </c>
      <c r="O203">
        <f>SUMPRODUCT((nCUENTA=1)*(nCURSO=A203)*(nASIG=B203)*(nNOTA=4))</f>
        <v>0</v>
      </c>
      <c r="P203">
        <f>SUMPRODUCT((nCUENTA=1)*(nCURSO=A203)*(nASIG=B203)*(nNOTA=5))</f>
        <v>0</v>
      </c>
      <c r="Q203">
        <f>SUMPRODUCT((nCUENTA=1)*(nCURSO=A203)*(nASIG=B203)*(nNOTA=6))</f>
        <v>0</v>
      </c>
      <c r="R203">
        <f>SUMPRODUCT((nCUENTA=1)*(nCURSO=A203)*(nASIG=B203)*(nNOTA=7))</f>
        <v>0</v>
      </c>
      <c r="S203">
        <f>SUMPRODUCT((nCUENTA=1)*(nCURSO=A203)*(nASIG=B203)*(nNOTA=8))</f>
        <v>0</v>
      </c>
      <c r="T203">
        <f>SUMPRODUCT((nCUENTA=1)*(nCURSO=A203)*(nASIG=B203)*(nNOTA=9))</f>
        <v>0</v>
      </c>
      <c r="U203">
        <f>SUMPRODUCT((nCUENTA=1)*(nCURSO=A203)*(nASIG=B203)*(nNOTA=10))</f>
        <v>0</v>
      </c>
    </row>
    <row r="204">
      <c r="A204" t="inlineStr">
        <is>
          <t xml:space="preserve">3EPM</t>
        </is>
      </c>
      <c r="B204" cm="1">
        <f t="array" ref="B204">IFERROR(INDEX(_xlfn._xlws.FILTER(CONFIG_ASIGNATURAS!$B$2:$B$91,(CONFIG_ASIGNATURAS!$G$2:$G$91="Sí")*ISNUMBER(SEARCH("3EPM",CONFIG_ASIGNATURAS!$C$2:$C$91))),1),"")</f>
      </c>
      <c r="C204">
        <f>IF(B204="","",IFERROR(VLOOKUP(B204,CONFIG_ASIGNATURAS!$B$2:$D$91,3,FALSE()),"Asignatura"))</f>
      </c>
      <c r="D204">
        <f>SUMPRODUCT((nCUENTA=1)*(nCURSO=A204)*(nASIG=B204))</f>
        <v>0</v>
      </c>
      <c r="E204" s="10" t="str">
        <f>IFERROR(SUMPRODUCT((nCUENTA=1)*(nCURSO=A204)*(nASIG=B204)*(nNOTA))/D204,"—")</f>
        <v>—</v>
      </c>
      <c r="F204" s="10" t="str" cm="1">
        <f t="array" ref="F204">IFERROR(_xlfn.STDEV.P(_xlfn._xlws.FILTER(nNOTA,(nCUENTA=1)*(nCURSO=A204)*(nASIG=B204))),"—")</f>
        <v>—</v>
      </c>
      <c r="G204" t="str" cm="1">
        <f t="array" ref="G204">IFERROR(_xlfn.MODE.SNGL(_xlfn._xlws.FILTER(nNOTA,(nCUENTA=1)*(nCURSO=A204)*(nASIG=B204))),"—")</f>
        <v>—</v>
      </c>
      <c r="H204" s="11" t="str">
        <f>IFERROR(SUMPRODUCT((nCUENTA=1)*(nCURSO=A204)*(nASIG=B204)*(nAPTO="S"))/D204,"—")</f>
        <v>—</v>
      </c>
      <c r="I204" s="11" t="str">
        <f>IFERROR(SUMPRODUCT((nCUENTA=1)*(nCURSO=A204)*(nASIG=B204)*(nAPTO="N"))/D204,"—")</f>
        <v>—</v>
      </c>
      <c r="J204" t="str" cm="1">
        <f t="array" ref="J204">IFERROR(_xlfn.MODE.SNGL(_xlfn._xlws.FILTER(nNOTA,(nCUENTA=1)*(nCURSO=A204)*(nASIG=B204)*(nAPTO="S"))),"—")</f>
        <v>—</v>
      </c>
      <c r="K204" t="str" cm="1">
        <f t="array" ref="K204">IFERROR(_xlfn.MODE.SNGL(_xlfn._xlws.FILTER(nNOTA,(nCUENTA=1)*(nCURSO=A204)*(nASIG=B204)*(nAPTO="N"))),"—")</f>
        <v>—</v>
      </c>
      <c r="L204">
        <f>SUMPRODUCT((nCUENTA=1)*(nCURSO=A204)*(nASIG=B204)*(nNOTA=1))</f>
        <v>0</v>
      </c>
      <c r="M204">
        <f>SUMPRODUCT((nCUENTA=1)*(nCURSO=A204)*(nASIG=B204)*(nNOTA=2))</f>
        <v>0</v>
      </c>
      <c r="N204">
        <f>SUMPRODUCT((nCUENTA=1)*(nCURSO=A204)*(nASIG=B204)*(nNOTA=3))</f>
        <v>0</v>
      </c>
      <c r="O204">
        <f>SUMPRODUCT((nCUENTA=1)*(nCURSO=A204)*(nASIG=B204)*(nNOTA=4))</f>
        <v>0</v>
      </c>
      <c r="P204">
        <f>SUMPRODUCT((nCUENTA=1)*(nCURSO=A204)*(nASIG=B204)*(nNOTA=5))</f>
        <v>0</v>
      </c>
      <c r="Q204">
        <f>SUMPRODUCT((nCUENTA=1)*(nCURSO=A204)*(nASIG=B204)*(nNOTA=6))</f>
        <v>0</v>
      </c>
      <c r="R204">
        <f>SUMPRODUCT((nCUENTA=1)*(nCURSO=A204)*(nASIG=B204)*(nNOTA=7))</f>
        <v>0</v>
      </c>
      <c r="S204">
        <f>SUMPRODUCT((nCUENTA=1)*(nCURSO=A204)*(nASIG=B204)*(nNOTA=8))</f>
        <v>0</v>
      </c>
      <c r="T204">
        <f>SUMPRODUCT((nCUENTA=1)*(nCURSO=A204)*(nASIG=B204)*(nNOTA=9))</f>
        <v>0</v>
      </c>
      <c r="U204">
        <f>SUMPRODUCT((nCUENTA=1)*(nCURSO=A204)*(nASIG=B204)*(nNOTA=10))</f>
        <v>0</v>
      </c>
    </row>
    <row r="205">
      <c r="A205" t="inlineStr">
        <is>
          <t xml:space="preserve">3EPM</t>
        </is>
      </c>
      <c r="B205" cm="1">
        <f t="array" ref="B205">IFERROR(INDEX(_xlfn._xlws.FILTER(CONFIG_ASIGNATURAS!$B$2:$B$91,(CONFIG_ASIGNATURAS!$G$2:$G$91="Sí")*ISNUMBER(SEARCH("3EPM",CONFIG_ASIGNATURAS!$C$2:$C$91))),2),"")</f>
      </c>
      <c r="C205">
        <f>IF(B205="","",IFERROR(VLOOKUP(B205,CONFIG_ASIGNATURAS!$B$2:$D$91,3,FALSE()),"Asignatura"))</f>
      </c>
      <c r="D205">
        <f>SUMPRODUCT((nCUENTA=1)*(nCURSO=A205)*(nASIG=B205))</f>
        <v>0</v>
      </c>
      <c r="E205" s="10" t="str">
        <f>IFERROR(SUMPRODUCT((nCUENTA=1)*(nCURSO=A205)*(nASIG=B205)*(nNOTA))/D205,"—")</f>
        <v>—</v>
      </c>
      <c r="F205" s="10" t="str" cm="1">
        <f t="array" ref="F205">IFERROR(_xlfn.STDEV.P(_xlfn._xlws.FILTER(nNOTA,(nCUENTA=1)*(nCURSO=A205)*(nASIG=B205))),"—")</f>
        <v>—</v>
      </c>
      <c r="G205" t="str" cm="1">
        <f t="array" ref="G205">IFERROR(_xlfn.MODE.SNGL(_xlfn._xlws.FILTER(nNOTA,(nCUENTA=1)*(nCURSO=A205)*(nASIG=B205))),"—")</f>
        <v>—</v>
      </c>
      <c r="H205" s="11" t="str">
        <f>IFERROR(SUMPRODUCT((nCUENTA=1)*(nCURSO=A205)*(nASIG=B205)*(nAPTO="S"))/D205,"—")</f>
        <v>—</v>
      </c>
      <c r="I205" s="11" t="str">
        <f>IFERROR(SUMPRODUCT((nCUENTA=1)*(nCURSO=A205)*(nASIG=B205)*(nAPTO="N"))/D205,"—")</f>
        <v>—</v>
      </c>
      <c r="J205" t="str" cm="1">
        <f t="array" ref="J205">IFERROR(_xlfn.MODE.SNGL(_xlfn._xlws.FILTER(nNOTA,(nCUENTA=1)*(nCURSO=A205)*(nASIG=B205)*(nAPTO="S"))),"—")</f>
        <v>—</v>
      </c>
      <c r="K205" t="str" cm="1">
        <f t="array" ref="K205">IFERROR(_xlfn.MODE.SNGL(_xlfn._xlws.FILTER(nNOTA,(nCUENTA=1)*(nCURSO=A205)*(nASIG=B205)*(nAPTO="N"))),"—")</f>
        <v>—</v>
      </c>
      <c r="L205">
        <f>SUMPRODUCT((nCUENTA=1)*(nCURSO=A205)*(nASIG=B205)*(nNOTA=1))</f>
        <v>0</v>
      </c>
      <c r="M205">
        <f>SUMPRODUCT((nCUENTA=1)*(nCURSO=A205)*(nASIG=B205)*(nNOTA=2))</f>
        <v>0</v>
      </c>
      <c r="N205">
        <f>SUMPRODUCT((nCUENTA=1)*(nCURSO=A205)*(nASIG=B205)*(nNOTA=3))</f>
        <v>0</v>
      </c>
      <c r="O205">
        <f>SUMPRODUCT((nCUENTA=1)*(nCURSO=A205)*(nASIG=B205)*(nNOTA=4))</f>
        <v>0</v>
      </c>
      <c r="P205">
        <f>SUMPRODUCT((nCUENTA=1)*(nCURSO=A205)*(nASIG=B205)*(nNOTA=5))</f>
        <v>0</v>
      </c>
      <c r="Q205">
        <f>SUMPRODUCT((nCUENTA=1)*(nCURSO=A205)*(nASIG=B205)*(nNOTA=6))</f>
        <v>0</v>
      </c>
      <c r="R205">
        <f>SUMPRODUCT((nCUENTA=1)*(nCURSO=A205)*(nASIG=B205)*(nNOTA=7))</f>
        <v>0</v>
      </c>
      <c r="S205">
        <f>SUMPRODUCT((nCUENTA=1)*(nCURSO=A205)*(nASIG=B205)*(nNOTA=8))</f>
        <v>0</v>
      </c>
      <c r="T205">
        <f>SUMPRODUCT((nCUENTA=1)*(nCURSO=A205)*(nASIG=B205)*(nNOTA=9))</f>
        <v>0</v>
      </c>
      <c r="U205">
        <f>SUMPRODUCT((nCUENTA=1)*(nCURSO=A205)*(nASIG=B205)*(nNOTA=10))</f>
        <v>0</v>
      </c>
    </row>
    <row r="206">
      <c r="A206" t="inlineStr">
        <is>
          <t xml:space="preserve">3EPM</t>
        </is>
      </c>
      <c r="B206" cm="1">
        <f t="array" ref="B206">IFERROR(INDEX(_xlfn._xlws.FILTER(CONFIG_ASIGNATURAS!$B$2:$B$91,(CONFIG_ASIGNATURAS!$G$2:$G$91="Sí")*ISNUMBER(SEARCH("3EPM",CONFIG_ASIGNATURAS!$C$2:$C$91))),3),"")</f>
      </c>
      <c r="C206">
        <f>IF(B206="","",IFERROR(VLOOKUP(B206,CONFIG_ASIGNATURAS!$B$2:$D$91,3,FALSE()),"Asignatura"))</f>
      </c>
      <c r="D206">
        <f>SUMPRODUCT((nCUENTA=1)*(nCURSO=A206)*(nASIG=B206))</f>
        <v>0</v>
      </c>
      <c r="E206" s="10" t="str">
        <f>IFERROR(SUMPRODUCT((nCUENTA=1)*(nCURSO=A206)*(nASIG=B206)*(nNOTA))/D206,"—")</f>
        <v>—</v>
      </c>
      <c r="F206" s="10" t="str" cm="1">
        <f t="array" ref="F206">IFERROR(_xlfn.STDEV.P(_xlfn._xlws.FILTER(nNOTA,(nCUENTA=1)*(nCURSO=A206)*(nASIG=B206))),"—")</f>
        <v>—</v>
      </c>
      <c r="G206" t="str" cm="1">
        <f t="array" ref="G206">IFERROR(_xlfn.MODE.SNGL(_xlfn._xlws.FILTER(nNOTA,(nCUENTA=1)*(nCURSO=A206)*(nASIG=B206))),"—")</f>
        <v>—</v>
      </c>
      <c r="H206" s="11" t="str">
        <f>IFERROR(SUMPRODUCT((nCUENTA=1)*(nCURSO=A206)*(nASIG=B206)*(nAPTO="S"))/D206,"—")</f>
        <v>—</v>
      </c>
      <c r="I206" s="11" t="str">
        <f>IFERROR(SUMPRODUCT((nCUENTA=1)*(nCURSO=A206)*(nASIG=B206)*(nAPTO="N"))/D206,"—")</f>
        <v>—</v>
      </c>
      <c r="J206" t="str" cm="1">
        <f t="array" ref="J206">IFERROR(_xlfn.MODE.SNGL(_xlfn._xlws.FILTER(nNOTA,(nCUENTA=1)*(nCURSO=A206)*(nASIG=B206)*(nAPTO="S"))),"—")</f>
        <v>—</v>
      </c>
      <c r="K206" t="str" cm="1">
        <f t="array" ref="K206">IFERROR(_xlfn.MODE.SNGL(_xlfn._xlws.FILTER(nNOTA,(nCUENTA=1)*(nCURSO=A206)*(nASIG=B206)*(nAPTO="N"))),"—")</f>
        <v>—</v>
      </c>
      <c r="L206">
        <f>SUMPRODUCT((nCUENTA=1)*(nCURSO=A206)*(nASIG=B206)*(nNOTA=1))</f>
        <v>0</v>
      </c>
      <c r="M206">
        <f>SUMPRODUCT((nCUENTA=1)*(nCURSO=A206)*(nASIG=B206)*(nNOTA=2))</f>
        <v>0</v>
      </c>
      <c r="N206">
        <f>SUMPRODUCT((nCUENTA=1)*(nCURSO=A206)*(nASIG=B206)*(nNOTA=3))</f>
        <v>0</v>
      </c>
      <c r="O206">
        <f>SUMPRODUCT((nCUENTA=1)*(nCURSO=A206)*(nASIG=B206)*(nNOTA=4))</f>
        <v>0</v>
      </c>
      <c r="P206">
        <f>SUMPRODUCT((nCUENTA=1)*(nCURSO=A206)*(nASIG=B206)*(nNOTA=5))</f>
        <v>0</v>
      </c>
      <c r="Q206">
        <f>SUMPRODUCT((nCUENTA=1)*(nCURSO=A206)*(nASIG=B206)*(nNOTA=6))</f>
        <v>0</v>
      </c>
      <c r="R206">
        <f>SUMPRODUCT((nCUENTA=1)*(nCURSO=A206)*(nASIG=B206)*(nNOTA=7))</f>
        <v>0</v>
      </c>
      <c r="S206">
        <f>SUMPRODUCT((nCUENTA=1)*(nCURSO=A206)*(nASIG=B206)*(nNOTA=8))</f>
        <v>0</v>
      </c>
      <c r="T206">
        <f>SUMPRODUCT((nCUENTA=1)*(nCURSO=A206)*(nASIG=B206)*(nNOTA=9))</f>
        <v>0</v>
      </c>
      <c r="U206">
        <f>SUMPRODUCT((nCUENTA=1)*(nCURSO=A206)*(nASIG=B206)*(nNOTA=10))</f>
        <v>0</v>
      </c>
    </row>
    <row r="207">
      <c r="A207" t="inlineStr">
        <is>
          <t xml:space="preserve">3EPM</t>
        </is>
      </c>
      <c r="B207" cm="1">
        <f t="array" ref="B207">IFERROR(INDEX(_xlfn._xlws.FILTER(CONFIG_ASIGNATURAS!$B$2:$B$91,(CONFIG_ASIGNATURAS!$G$2:$G$91="Sí")*ISNUMBER(SEARCH("3EPM",CONFIG_ASIGNATURAS!$C$2:$C$91))),4),"")</f>
      </c>
      <c r="C207">
        <f>IF(B207="","",IFERROR(VLOOKUP(B207,CONFIG_ASIGNATURAS!$B$2:$D$91,3,FALSE()),"Asignatura"))</f>
      </c>
      <c r="D207">
        <f>SUMPRODUCT((nCUENTA=1)*(nCURSO=A207)*(nASIG=B207))</f>
        <v>0</v>
      </c>
      <c r="E207" s="10" t="str">
        <f>IFERROR(SUMPRODUCT((nCUENTA=1)*(nCURSO=A207)*(nASIG=B207)*(nNOTA))/D207,"—")</f>
        <v>—</v>
      </c>
      <c r="F207" s="10" t="str" cm="1">
        <f t="array" ref="F207">IFERROR(_xlfn.STDEV.P(_xlfn._xlws.FILTER(nNOTA,(nCUENTA=1)*(nCURSO=A207)*(nASIG=B207))),"—")</f>
        <v>—</v>
      </c>
      <c r="G207" t="str" cm="1">
        <f t="array" ref="G207">IFERROR(_xlfn.MODE.SNGL(_xlfn._xlws.FILTER(nNOTA,(nCUENTA=1)*(nCURSO=A207)*(nASIG=B207))),"—")</f>
        <v>—</v>
      </c>
      <c r="H207" s="11" t="str">
        <f>IFERROR(SUMPRODUCT((nCUENTA=1)*(nCURSO=A207)*(nASIG=B207)*(nAPTO="S"))/D207,"—")</f>
        <v>—</v>
      </c>
      <c r="I207" s="11" t="str">
        <f>IFERROR(SUMPRODUCT((nCUENTA=1)*(nCURSO=A207)*(nASIG=B207)*(nAPTO="N"))/D207,"—")</f>
        <v>—</v>
      </c>
      <c r="J207" t="str" cm="1">
        <f t="array" ref="J207">IFERROR(_xlfn.MODE.SNGL(_xlfn._xlws.FILTER(nNOTA,(nCUENTA=1)*(nCURSO=A207)*(nASIG=B207)*(nAPTO="S"))),"—")</f>
        <v>—</v>
      </c>
      <c r="K207" t="str" cm="1">
        <f t="array" ref="K207">IFERROR(_xlfn.MODE.SNGL(_xlfn._xlws.FILTER(nNOTA,(nCUENTA=1)*(nCURSO=A207)*(nASIG=B207)*(nAPTO="N"))),"—")</f>
        <v>—</v>
      </c>
      <c r="L207">
        <f>SUMPRODUCT((nCUENTA=1)*(nCURSO=A207)*(nASIG=B207)*(nNOTA=1))</f>
        <v>0</v>
      </c>
      <c r="M207">
        <f>SUMPRODUCT((nCUENTA=1)*(nCURSO=A207)*(nASIG=B207)*(nNOTA=2))</f>
        <v>0</v>
      </c>
      <c r="N207">
        <f>SUMPRODUCT((nCUENTA=1)*(nCURSO=A207)*(nASIG=B207)*(nNOTA=3))</f>
        <v>0</v>
      </c>
      <c r="O207">
        <f>SUMPRODUCT((nCUENTA=1)*(nCURSO=A207)*(nASIG=B207)*(nNOTA=4))</f>
        <v>0</v>
      </c>
      <c r="P207">
        <f>SUMPRODUCT((nCUENTA=1)*(nCURSO=A207)*(nASIG=B207)*(nNOTA=5))</f>
        <v>0</v>
      </c>
      <c r="Q207">
        <f>SUMPRODUCT((nCUENTA=1)*(nCURSO=A207)*(nASIG=B207)*(nNOTA=6))</f>
        <v>0</v>
      </c>
      <c r="R207">
        <f>SUMPRODUCT((nCUENTA=1)*(nCURSO=A207)*(nASIG=B207)*(nNOTA=7))</f>
        <v>0</v>
      </c>
      <c r="S207">
        <f>SUMPRODUCT((nCUENTA=1)*(nCURSO=A207)*(nASIG=B207)*(nNOTA=8))</f>
        <v>0</v>
      </c>
      <c r="T207">
        <f>SUMPRODUCT((nCUENTA=1)*(nCURSO=A207)*(nASIG=B207)*(nNOTA=9))</f>
        <v>0</v>
      </c>
      <c r="U207">
        <f>SUMPRODUCT((nCUENTA=1)*(nCURSO=A207)*(nASIG=B207)*(nNOTA=10))</f>
        <v>0</v>
      </c>
    </row>
    <row r="208">
      <c r="A208" t="inlineStr">
        <is>
          <t xml:space="preserve">3EPM</t>
        </is>
      </c>
      <c r="B208" cm="1">
        <f t="array" ref="B208">IFERROR(INDEX(_xlfn._xlws.FILTER(CONFIG_ASIGNATURAS!$B$2:$B$91,(CONFIG_ASIGNATURAS!$G$2:$G$91="Sí")*ISNUMBER(SEARCH("3EPM",CONFIG_ASIGNATURAS!$C$2:$C$91))),5),"")</f>
      </c>
      <c r="C208">
        <f>IF(B208="","",IFERROR(VLOOKUP(B208,CONFIG_ASIGNATURAS!$B$2:$D$91,3,FALSE()),"Asignatura"))</f>
      </c>
      <c r="D208">
        <f>SUMPRODUCT((nCUENTA=1)*(nCURSO=A208)*(nASIG=B208))</f>
        <v>0</v>
      </c>
      <c r="E208" s="10" t="str">
        <f>IFERROR(SUMPRODUCT((nCUENTA=1)*(nCURSO=A208)*(nASIG=B208)*(nNOTA))/D208,"—")</f>
        <v>—</v>
      </c>
      <c r="F208" s="10" t="str" cm="1">
        <f t="array" ref="F208">IFERROR(_xlfn.STDEV.P(_xlfn._xlws.FILTER(nNOTA,(nCUENTA=1)*(nCURSO=A208)*(nASIG=B208))),"—")</f>
        <v>—</v>
      </c>
      <c r="G208" t="str" cm="1">
        <f t="array" ref="G208">IFERROR(_xlfn.MODE.SNGL(_xlfn._xlws.FILTER(nNOTA,(nCUENTA=1)*(nCURSO=A208)*(nASIG=B208))),"—")</f>
        <v>—</v>
      </c>
      <c r="H208" s="11" t="str">
        <f>IFERROR(SUMPRODUCT((nCUENTA=1)*(nCURSO=A208)*(nASIG=B208)*(nAPTO="S"))/D208,"—")</f>
        <v>—</v>
      </c>
      <c r="I208" s="11" t="str">
        <f>IFERROR(SUMPRODUCT((nCUENTA=1)*(nCURSO=A208)*(nASIG=B208)*(nAPTO="N"))/D208,"—")</f>
        <v>—</v>
      </c>
      <c r="J208" t="str" cm="1">
        <f t="array" ref="J208">IFERROR(_xlfn.MODE.SNGL(_xlfn._xlws.FILTER(nNOTA,(nCUENTA=1)*(nCURSO=A208)*(nASIG=B208)*(nAPTO="S"))),"—")</f>
        <v>—</v>
      </c>
      <c r="K208" t="str" cm="1">
        <f t="array" ref="K208">IFERROR(_xlfn.MODE.SNGL(_xlfn._xlws.FILTER(nNOTA,(nCUENTA=1)*(nCURSO=A208)*(nASIG=B208)*(nAPTO="N"))),"—")</f>
        <v>—</v>
      </c>
      <c r="L208">
        <f>SUMPRODUCT((nCUENTA=1)*(nCURSO=A208)*(nASIG=B208)*(nNOTA=1))</f>
        <v>0</v>
      </c>
      <c r="M208">
        <f>SUMPRODUCT((nCUENTA=1)*(nCURSO=A208)*(nASIG=B208)*(nNOTA=2))</f>
        <v>0</v>
      </c>
      <c r="N208">
        <f>SUMPRODUCT((nCUENTA=1)*(nCURSO=A208)*(nASIG=B208)*(nNOTA=3))</f>
        <v>0</v>
      </c>
      <c r="O208">
        <f>SUMPRODUCT((nCUENTA=1)*(nCURSO=A208)*(nASIG=B208)*(nNOTA=4))</f>
        <v>0</v>
      </c>
      <c r="P208">
        <f>SUMPRODUCT((nCUENTA=1)*(nCURSO=A208)*(nASIG=B208)*(nNOTA=5))</f>
        <v>0</v>
      </c>
      <c r="Q208">
        <f>SUMPRODUCT((nCUENTA=1)*(nCURSO=A208)*(nASIG=B208)*(nNOTA=6))</f>
        <v>0</v>
      </c>
      <c r="R208">
        <f>SUMPRODUCT((nCUENTA=1)*(nCURSO=A208)*(nASIG=B208)*(nNOTA=7))</f>
        <v>0</v>
      </c>
      <c r="S208">
        <f>SUMPRODUCT((nCUENTA=1)*(nCURSO=A208)*(nASIG=B208)*(nNOTA=8))</f>
        <v>0</v>
      </c>
      <c r="T208">
        <f>SUMPRODUCT((nCUENTA=1)*(nCURSO=A208)*(nASIG=B208)*(nNOTA=9))</f>
        <v>0</v>
      </c>
      <c r="U208">
        <f>SUMPRODUCT((nCUENTA=1)*(nCURSO=A208)*(nASIG=B208)*(nNOTA=10))</f>
        <v>0</v>
      </c>
    </row>
    <row r="209">
      <c r="A209" t="inlineStr">
        <is>
          <t xml:space="preserve">3EPM</t>
        </is>
      </c>
      <c r="B209" cm="1">
        <f t="array" ref="B209">IFERROR(INDEX(_xlfn._xlws.FILTER(CONFIG_ASIGNATURAS!$B$2:$B$91,(CONFIG_ASIGNATURAS!$G$2:$G$91="Sí")*ISNUMBER(SEARCH("3EPM",CONFIG_ASIGNATURAS!$C$2:$C$91))),6),"")</f>
      </c>
      <c r="C209">
        <f>IF(B209="","",IFERROR(VLOOKUP(B209,CONFIG_ASIGNATURAS!$B$2:$D$91,3,FALSE()),"Asignatura"))</f>
      </c>
      <c r="D209">
        <f>SUMPRODUCT((nCUENTA=1)*(nCURSO=A209)*(nASIG=B209))</f>
        <v>0</v>
      </c>
      <c r="E209" s="10" t="str">
        <f>IFERROR(SUMPRODUCT((nCUENTA=1)*(nCURSO=A209)*(nASIG=B209)*(nNOTA))/D209,"—")</f>
        <v>—</v>
      </c>
      <c r="F209" s="10" t="str" cm="1">
        <f t="array" ref="F209">IFERROR(_xlfn.STDEV.P(_xlfn._xlws.FILTER(nNOTA,(nCUENTA=1)*(nCURSO=A209)*(nASIG=B209))),"—")</f>
        <v>—</v>
      </c>
      <c r="G209" t="str" cm="1">
        <f t="array" ref="G209">IFERROR(_xlfn.MODE.SNGL(_xlfn._xlws.FILTER(nNOTA,(nCUENTA=1)*(nCURSO=A209)*(nASIG=B209))),"—")</f>
        <v>—</v>
      </c>
      <c r="H209" s="11" t="str">
        <f>IFERROR(SUMPRODUCT((nCUENTA=1)*(nCURSO=A209)*(nASIG=B209)*(nAPTO="S"))/D209,"—")</f>
        <v>—</v>
      </c>
      <c r="I209" s="11" t="str">
        <f>IFERROR(SUMPRODUCT((nCUENTA=1)*(nCURSO=A209)*(nASIG=B209)*(nAPTO="N"))/D209,"—")</f>
        <v>—</v>
      </c>
      <c r="J209" t="str" cm="1">
        <f t="array" ref="J209">IFERROR(_xlfn.MODE.SNGL(_xlfn._xlws.FILTER(nNOTA,(nCUENTA=1)*(nCURSO=A209)*(nASIG=B209)*(nAPTO="S"))),"—")</f>
        <v>—</v>
      </c>
      <c r="K209" t="str" cm="1">
        <f t="array" ref="K209">IFERROR(_xlfn.MODE.SNGL(_xlfn._xlws.FILTER(nNOTA,(nCUENTA=1)*(nCURSO=A209)*(nASIG=B209)*(nAPTO="N"))),"—")</f>
        <v>—</v>
      </c>
      <c r="L209">
        <f>SUMPRODUCT((nCUENTA=1)*(nCURSO=A209)*(nASIG=B209)*(nNOTA=1))</f>
        <v>0</v>
      </c>
      <c r="M209">
        <f>SUMPRODUCT((nCUENTA=1)*(nCURSO=A209)*(nASIG=B209)*(nNOTA=2))</f>
        <v>0</v>
      </c>
      <c r="N209">
        <f>SUMPRODUCT((nCUENTA=1)*(nCURSO=A209)*(nASIG=B209)*(nNOTA=3))</f>
        <v>0</v>
      </c>
      <c r="O209">
        <f>SUMPRODUCT((nCUENTA=1)*(nCURSO=A209)*(nASIG=B209)*(nNOTA=4))</f>
        <v>0</v>
      </c>
      <c r="P209">
        <f>SUMPRODUCT((nCUENTA=1)*(nCURSO=A209)*(nASIG=B209)*(nNOTA=5))</f>
        <v>0</v>
      </c>
      <c r="Q209">
        <f>SUMPRODUCT((nCUENTA=1)*(nCURSO=A209)*(nASIG=B209)*(nNOTA=6))</f>
        <v>0</v>
      </c>
      <c r="R209">
        <f>SUMPRODUCT((nCUENTA=1)*(nCURSO=A209)*(nASIG=B209)*(nNOTA=7))</f>
        <v>0</v>
      </c>
      <c r="S209">
        <f>SUMPRODUCT((nCUENTA=1)*(nCURSO=A209)*(nASIG=B209)*(nNOTA=8))</f>
        <v>0</v>
      </c>
      <c r="T209">
        <f>SUMPRODUCT((nCUENTA=1)*(nCURSO=A209)*(nASIG=B209)*(nNOTA=9))</f>
        <v>0</v>
      </c>
      <c r="U209">
        <f>SUMPRODUCT((nCUENTA=1)*(nCURSO=A209)*(nASIG=B209)*(nNOTA=10))</f>
        <v>0</v>
      </c>
    </row>
    <row r="210">
      <c r="A210" t="inlineStr">
        <is>
          <t xml:space="preserve">3EPM</t>
        </is>
      </c>
      <c r="B210" cm="1">
        <f t="array" ref="B210">IFERROR(INDEX(_xlfn._xlws.FILTER(CONFIG_ASIGNATURAS!$B$2:$B$91,(CONFIG_ASIGNATURAS!$G$2:$G$91="Sí")*ISNUMBER(SEARCH("3EPM",CONFIG_ASIGNATURAS!$C$2:$C$91))),7),"")</f>
      </c>
      <c r="C210">
        <f>IF(B210="","",IFERROR(VLOOKUP(B210,CONFIG_ASIGNATURAS!$B$2:$D$91,3,FALSE()),"Asignatura"))</f>
      </c>
      <c r="D210">
        <f>SUMPRODUCT((nCUENTA=1)*(nCURSO=A210)*(nASIG=B210))</f>
        <v>0</v>
      </c>
      <c r="E210" s="10" t="str">
        <f>IFERROR(SUMPRODUCT((nCUENTA=1)*(nCURSO=A210)*(nASIG=B210)*(nNOTA))/D210,"—")</f>
        <v>—</v>
      </c>
      <c r="F210" s="10" t="str" cm="1">
        <f t="array" ref="F210">IFERROR(_xlfn.STDEV.P(_xlfn._xlws.FILTER(nNOTA,(nCUENTA=1)*(nCURSO=A210)*(nASIG=B210))),"—")</f>
        <v>—</v>
      </c>
      <c r="G210" t="str" cm="1">
        <f t="array" ref="G210">IFERROR(_xlfn.MODE.SNGL(_xlfn._xlws.FILTER(nNOTA,(nCUENTA=1)*(nCURSO=A210)*(nASIG=B210))),"—")</f>
        <v>—</v>
      </c>
      <c r="H210" s="11" t="str">
        <f>IFERROR(SUMPRODUCT((nCUENTA=1)*(nCURSO=A210)*(nASIG=B210)*(nAPTO="S"))/D210,"—")</f>
        <v>—</v>
      </c>
      <c r="I210" s="11" t="str">
        <f>IFERROR(SUMPRODUCT((nCUENTA=1)*(nCURSO=A210)*(nASIG=B210)*(nAPTO="N"))/D210,"—")</f>
        <v>—</v>
      </c>
      <c r="J210" t="str" cm="1">
        <f t="array" ref="J210">IFERROR(_xlfn.MODE.SNGL(_xlfn._xlws.FILTER(nNOTA,(nCUENTA=1)*(nCURSO=A210)*(nASIG=B210)*(nAPTO="S"))),"—")</f>
        <v>—</v>
      </c>
      <c r="K210" t="str" cm="1">
        <f t="array" ref="K210">IFERROR(_xlfn.MODE.SNGL(_xlfn._xlws.FILTER(nNOTA,(nCUENTA=1)*(nCURSO=A210)*(nASIG=B210)*(nAPTO="N"))),"—")</f>
        <v>—</v>
      </c>
      <c r="L210">
        <f>SUMPRODUCT((nCUENTA=1)*(nCURSO=A210)*(nASIG=B210)*(nNOTA=1))</f>
        <v>0</v>
      </c>
      <c r="M210">
        <f>SUMPRODUCT((nCUENTA=1)*(nCURSO=A210)*(nASIG=B210)*(nNOTA=2))</f>
        <v>0</v>
      </c>
      <c r="N210">
        <f>SUMPRODUCT((nCUENTA=1)*(nCURSO=A210)*(nASIG=B210)*(nNOTA=3))</f>
        <v>0</v>
      </c>
      <c r="O210">
        <f>SUMPRODUCT((nCUENTA=1)*(nCURSO=A210)*(nASIG=B210)*(nNOTA=4))</f>
        <v>0</v>
      </c>
      <c r="P210">
        <f>SUMPRODUCT((nCUENTA=1)*(nCURSO=A210)*(nASIG=B210)*(nNOTA=5))</f>
        <v>0</v>
      </c>
      <c r="Q210">
        <f>SUMPRODUCT((nCUENTA=1)*(nCURSO=A210)*(nASIG=B210)*(nNOTA=6))</f>
        <v>0</v>
      </c>
      <c r="R210">
        <f>SUMPRODUCT((nCUENTA=1)*(nCURSO=A210)*(nASIG=B210)*(nNOTA=7))</f>
        <v>0</v>
      </c>
      <c r="S210">
        <f>SUMPRODUCT((nCUENTA=1)*(nCURSO=A210)*(nASIG=B210)*(nNOTA=8))</f>
        <v>0</v>
      </c>
      <c r="T210">
        <f>SUMPRODUCT((nCUENTA=1)*(nCURSO=A210)*(nASIG=B210)*(nNOTA=9))</f>
        <v>0</v>
      </c>
      <c r="U210">
        <f>SUMPRODUCT((nCUENTA=1)*(nCURSO=A210)*(nASIG=B210)*(nNOTA=10))</f>
        <v>0</v>
      </c>
    </row>
    <row r="211">
      <c r="A211" t="inlineStr">
        <is>
          <t xml:space="preserve">3EPM</t>
        </is>
      </c>
      <c r="B211" cm="1">
        <f t="array" ref="B211">IFERROR(INDEX(_xlfn._xlws.FILTER(CONFIG_ASIGNATURAS!$B$2:$B$91,(CONFIG_ASIGNATURAS!$G$2:$G$91="Sí")*ISNUMBER(SEARCH("3EPM",CONFIG_ASIGNATURAS!$C$2:$C$91))),8),"")</f>
      </c>
      <c r="C211">
        <f>IF(B211="","",IFERROR(VLOOKUP(B211,CONFIG_ASIGNATURAS!$B$2:$D$91,3,FALSE()),"Asignatura"))</f>
      </c>
      <c r="D211">
        <f>SUMPRODUCT((nCUENTA=1)*(nCURSO=A211)*(nASIG=B211))</f>
        <v>0</v>
      </c>
      <c r="E211" s="10" t="str">
        <f>IFERROR(SUMPRODUCT((nCUENTA=1)*(nCURSO=A211)*(nASIG=B211)*(nNOTA))/D211,"—")</f>
        <v>—</v>
      </c>
      <c r="F211" s="10" t="str" cm="1">
        <f t="array" ref="F211">IFERROR(_xlfn.STDEV.P(_xlfn._xlws.FILTER(nNOTA,(nCUENTA=1)*(nCURSO=A211)*(nASIG=B211))),"—")</f>
        <v>—</v>
      </c>
      <c r="G211" t="str" cm="1">
        <f t="array" ref="G211">IFERROR(_xlfn.MODE.SNGL(_xlfn._xlws.FILTER(nNOTA,(nCUENTA=1)*(nCURSO=A211)*(nASIG=B211))),"—")</f>
        <v>—</v>
      </c>
      <c r="H211" s="11" t="str">
        <f>IFERROR(SUMPRODUCT((nCUENTA=1)*(nCURSO=A211)*(nASIG=B211)*(nAPTO="S"))/D211,"—")</f>
        <v>—</v>
      </c>
      <c r="I211" s="11" t="str">
        <f>IFERROR(SUMPRODUCT((nCUENTA=1)*(nCURSO=A211)*(nASIG=B211)*(nAPTO="N"))/D211,"—")</f>
        <v>—</v>
      </c>
      <c r="J211" t="str" cm="1">
        <f t="array" ref="J211">IFERROR(_xlfn.MODE.SNGL(_xlfn._xlws.FILTER(nNOTA,(nCUENTA=1)*(nCURSO=A211)*(nASIG=B211)*(nAPTO="S"))),"—")</f>
        <v>—</v>
      </c>
      <c r="K211" t="str" cm="1">
        <f t="array" ref="K211">IFERROR(_xlfn.MODE.SNGL(_xlfn._xlws.FILTER(nNOTA,(nCUENTA=1)*(nCURSO=A211)*(nASIG=B211)*(nAPTO="N"))),"—")</f>
        <v>—</v>
      </c>
      <c r="L211">
        <f>SUMPRODUCT((nCUENTA=1)*(nCURSO=A211)*(nASIG=B211)*(nNOTA=1))</f>
        <v>0</v>
      </c>
      <c r="M211">
        <f>SUMPRODUCT((nCUENTA=1)*(nCURSO=A211)*(nASIG=B211)*(nNOTA=2))</f>
        <v>0</v>
      </c>
      <c r="N211">
        <f>SUMPRODUCT((nCUENTA=1)*(nCURSO=A211)*(nASIG=B211)*(nNOTA=3))</f>
        <v>0</v>
      </c>
      <c r="O211">
        <f>SUMPRODUCT((nCUENTA=1)*(nCURSO=A211)*(nASIG=B211)*(nNOTA=4))</f>
        <v>0</v>
      </c>
      <c r="P211">
        <f>SUMPRODUCT((nCUENTA=1)*(nCURSO=A211)*(nASIG=B211)*(nNOTA=5))</f>
        <v>0</v>
      </c>
      <c r="Q211">
        <f>SUMPRODUCT((nCUENTA=1)*(nCURSO=A211)*(nASIG=B211)*(nNOTA=6))</f>
        <v>0</v>
      </c>
      <c r="R211">
        <f>SUMPRODUCT((nCUENTA=1)*(nCURSO=A211)*(nASIG=B211)*(nNOTA=7))</f>
        <v>0</v>
      </c>
      <c r="S211">
        <f>SUMPRODUCT((nCUENTA=1)*(nCURSO=A211)*(nASIG=B211)*(nNOTA=8))</f>
        <v>0</v>
      </c>
      <c r="T211">
        <f>SUMPRODUCT((nCUENTA=1)*(nCURSO=A211)*(nASIG=B211)*(nNOTA=9))</f>
        <v>0</v>
      </c>
      <c r="U211">
        <f>SUMPRODUCT((nCUENTA=1)*(nCURSO=A211)*(nASIG=B211)*(nNOTA=10))</f>
        <v>0</v>
      </c>
    </row>
    <row r="212">
      <c r="A212" t="inlineStr">
        <is>
          <t xml:space="preserve">3EPM</t>
        </is>
      </c>
      <c r="B212" cm="1">
        <f t="array" ref="B212">IFERROR(INDEX(_xlfn._xlws.FILTER(CONFIG_ASIGNATURAS!$B$2:$B$91,(CONFIG_ASIGNATURAS!$G$2:$G$91="Sí")*ISNUMBER(SEARCH("3EPM",CONFIG_ASIGNATURAS!$C$2:$C$91))),9),"")</f>
      </c>
      <c r="C212">
        <f>IF(B212="","",IFERROR(VLOOKUP(B212,CONFIG_ASIGNATURAS!$B$2:$D$91,3,FALSE()),"Asignatura"))</f>
      </c>
      <c r="D212">
        <f>SUMPRODUCT((nCUENTA=1)*(nCURSO=A212)*(nASIG=B212))</f>
        <v>0</v>
      </c>
      <c r="E212" s="10" t="str">
        <f>IFERROR(SUMPRODUCT((nCUENTA=1)*(nCURSO=A212)*(nASIG=B212)*(nNOTA))/D212,"—")</f>
        <v>—</v>
      </c>
      <c r="F212" s="10" t="str" cm="1">
        <f t="array" ref="F212">IFERROR(_xlfn.STDEV.P(_xlfn._xlws.FILTER(nNOTA,(nCUENTA=1)*(nCURSO=A212)*(nASIG=B212))),"—")</f>
        <v>—</v>
      </c>
      <c r="G212" t="str" cm="1">
        <f t="array" ref="G212">IFERROR(_xlfn.MODE.SNGL(_xlfn._xlws.FILTER(nNOTA,(nCUENTA=1)*(nCURSO=A212)*(nASIG=B212))),"—")</f>
        <v>—</v>
      </c>
      <c r="H212" s="11" t="str">
        <f>IFERROR(SUMPRODUCT((nCUENTA=1)*(nCURSO=A212)*(nASIG=B212)*(nAPTO="S"))/D212,"—")</f>
        <v>—</v>
      </c>
      <c r="I212" s="11" t="str">
        <f>IFERROR(SUMPRODUCT((nCUENTA=1)*(nCURSO=A212)*(nASIG=B212)*(nAPTO="N"))/D212,"—")</f>
        <v>—</v>
      </c>
      <c r="J212" t="str" cm="1">
        <f t="array" ref="J212">IFERROR(_xlfn.MODE.SNGL(_xlfn._xlws.FILTER(nNOTA,(nCUENTA=1)*(nCURSO=A212)*(nASIG=B212)*(nAPTO="S"))),"—")</f>
        <v>—</v>
      </c>
      <c r="K212" t="str" cm="1">
        <f t="array" ref="K212">IFERROR(_xlfn.MODE.SNGL(_xlfn._xlws.FILTER(nNOTA,(nCUENTA=1)*(nCURSO=A212)*(nASIG=B212)*(nAPTO="N"))),"—")</f>
        <v>—</v>
      </c>
      <c r="L212">
        <f>SUMPRODUCT((nCUENTA=1)*(nCURSO=A212)*(nASIG=B212)*(nNOTA=1))</f>
        <v>0</v>
      </c>
      <c r="M212">
        <f>SUMPRODUCT((nCUENTA=1)*(nCURSO=A212)*(nASIG=B212)*(nNOTA=2))</f>
        <v>0</v>
      </c>
      <c r="N212">
        <f>SUMPRODUCT((nCUENTA=1)*(nCURSO=A212)*(nASIG=B212)*(nNOTA=3))</f>
        <v>0</v>
      </c>
      <c r="O212">
        <f>SUMPRODUCT((nCUENTA=1)*(nCURSO=A212)*(nASIG=B212)*(nNOTA=4))</f>
        <v>0</v>
      </c>
      <c r="P212">
        <f>SUMPRODUCT((nCUENTA=1)*(nCURSO=A212)*(nASIG=B212)*(nNOTA=5))</f>
        <v>0</v>
      </c>
      <c r="Q212">
        <f>SUMPRODUCT((nCUENTA=1)*(nCURSO=A212)*(nASIG=B212)*(nNOTA=6))</f>
        <v>0</v>
      </c>
      <c r="R212">
        <f>SUMPRODUCT((nCUENTA=1)*(nCURSO=A212)*(nASIG=B212)*(nNOTA=7))</f>
        <v>0</v>
      </c>
      <c r="S212">
        <f>SUMPRODUCT((nCUENTA=1)*(nCURSO=A212)*(nASIG=B212)*(nNOTA=8))</f>
        <v>0</v>
      </c>
      <c r="T212">
        <f>SUMPRODUCT((nCUENTA=1)*(nCURSO=A212)*(nASIG=B212)*(nNOTA=9))</f>
        <v>0</v>
      </c>
      <c r="U212">
        <f>SUMPRODUCT((nCUENTA=1)*(nCURSO=A212)*(nASIG=B212)*(nNOTA=10))</f>
        <v>0</v>
      </c>
    </row>
    <row r="213">
      <c r="A213" t="inlineStr">
        <is>
          <t xml:space="preserve">3EPM</t>
        </is>
      </c>
      <c r="B213" cm="1">
        <f t="array" ref="B213">IFERROR(INDEX(_xlfn._xlws.FILTER(CONFIG_ASIGNATURAS!$B$2:$B$91,(CONFIG_ASIGNATURAS!$G$2:$G$91="Sí")*ISNUMBER(SEARCH("3EPM",CONFIG_ASIGNATURAS!$C$2:$C$91))),10),"")</f>
      </c>
      <c r="C213">
        <f>IF(B213="","",IFERROR(VLOOKUP(B213,CONFIG_ASIGNATURAS!$B$2:$D$91,3,FALSE()),"Asignatura"))</f>
      </c>
      <c r="D213">
        <f>SUMPRODUCT((nCUENTA=1)*(nCURSO=A213)*(nASIG=B213))</f>
        <v>0</v>
      </c>
      <c r="E213" s="10" t="str">
        <f>IFERROR(SUMPRODUCT((nCUENTA=1)*(nCURSO=A213)*(nASIG=B213)*(nNOTA))/D213,"—")</f>
        <v>—</v>
      </c>
      <c r="F213" s="10" t="str" cm="1">
        <f t="array" ref="F213">IFERROR(_xlfn.STDEV.P(_xlfn._xlws.FILTER(nNOTA,(nCUENTA=1)*(nCURSO=A213)*(nASIG=B213))),"—")</f>
        <v>—</v>
      </c>
      <c r="G213" t="str" cm="1">
        <f t="array" ref="G213">IFERROR(_xlfn.MODE.SNGL(_xlfn._xlws.FILTER(nNOTA,(nCUENTA=1)*(nCURSO=A213)*(nASIG=B213))),"—")</f>
        <v>—</v>
      </c>
      <c r="H213" s="11" t="str">
        <f>IFERROR(SUMPRODUCT((nCUENTA=1)*(nCURSO=A213)*(nASIG=B213)*(nAPTO="S"))/D213,"—")</f>
        <v>—</v>
      </c>
      <c r="I213" s="11" t="str">
        <f>IFERROR(SUMPRODUCT((nCUENTA=1)*(nCURSO=A213)*(nASIG=B213)*(nAPTO="N"))/D213,"—")</f>
        <v>—</v>
      </c>
      <c r="J213" t="str" cm="1">
        <f t="array" ref="J213">IFERROR(_xlfn.MODE.SNGL(_xlfn._xlws.FILTER(nNOTA,(nCUENTA=1)*(nCURSO=A213)*(nASIG=B213)*(nAPTO="S"))),"—")</f>
        <v>—</v>
      </c>
      <c r="K213" t="str" cm="1">
        <f t="array" ref="K213">IFERROR(_xlfn.MODE.SNGL(_xlfn._xlws.FILTER(nNOTA,(nCUENTA=1)*(nCURSO=A213)*(nASIG=B213)*(nAPTO="N"))),"—")</f>
        <v>—</v>
      </c>
      <c r="L213">
        <f>SUMPRODUCT((nCUENTA=1)*(nCURSO=A213)*(nASIG=B213)*(nNOTA=1))</f>
        <v>0</v>
      </c>
      <c r="M213">
        <f>SUMPRODUCT((nCUENTA=1)*(nCURSO=A213)*(nASIG=B213)*(nNOTA=2))</f>
        <v>0</v>
      </c>
      <c r="N213">
        <f>SUMPRODUCT((nCUENTA=1)*(nCURSO=A213)*(nASIG=B213)*(nNOTA=3))</f>
        <v>0</v>
      </c>
      <c r="O213">
        <f>SUMPRODUCT((nCUENTA=1)*(nCURSO=A213)*(nASIG=B213)*(nNOTA=4))</f>
        <v>0</v>
      </c>
      <c r="P213">
        <f>SUMPRODUCT((nCUENTA=1)*(nCURSO=A213)*(nASIG=B213)*(nNOTA=5))</f>
        <v>0</v>
      </c>
      <c r="Q213">
        <f>SUMPRODUCT((nCUENTA=1)*(nCURSO=A213)*(nASIG=B213)*(nNOTA=6))</f>
        <v>0</v>
      </c>
      <c r="R213">
        <f>SUMPRODUCT((nCUENTA=1)*(nCURSO=A213)*(nASIG=B213)*(nNOTA=7))</f>
        <v>0</v>
      </c>
      <c r="S213">
        <f>SUMPRODUCT((nCUENTA=1)*(nCURSO=A213)*(nASIG=B213)*(nNOTA=8))</f>
        <v>0</v>
      </c>
      <c r="T213">
        <f>SUMPRODUCT((nCUENTA=1)*(nCURSO=A213)*(nASIG=B213)*(nNOTA=9))</f>
        <v>0</v>
      </c>
      <c r="U213">
        <f>SUMPRODUCT((nCUENTA=1)*(nCURSO=A213)*(nASIG=B213)*(nNOTA=10))</f>
        <v>0</v>
      </c>
    </row>
    <row r="214">
      <c r="A214" t="inlineStr">
        <is>
          <t xml:space="preserve">3EPM</t>
        </is>
      </c>
      <c r="B214" cm="1">
        <f t="array" ref="B214">IFERROR(INDEX(_xlfn._xlws.FILTER(CONFIG_ASIGNATURAS!$B$2:$B$91,(CONFIG_ASIGNATURAS!$G$2:$G$91="Sí")*ISNUMBER(SEARCH("3EPM",CONFIG_ASIGNATURAS!$C$2:$C$91))),11),"")</f>
      </c>
      <c r="C214">
        <f>IF(B214="","",IFERROR(VLOOKUP(B214,CONFIG_ASIGNATURAS!$B$2:$D$91,3,FALSE()),"Asignatura"))</f>
      </c>
      <c r="D214">
        <f>SUMPRODUCT((nCUENTA=1)*(nCURSO=A214)*(nASIG=B214))</f>
        <v>0</v>
      </c>
      <c r="E214" s="10" t="str">
        <f>IFERROR(SUMPRODUCT((nCUENTA=1)*(nCURSO=A214)*(nASIG=B214)*(nNOTA))/D214,"—")</f>
        <v>—</v>
      </c>
      <c r="F214" s="10" t="str" cm="1">
        <f t="array" ref="F214">IFERROR(_xlfn.STDEV.P(_xlfn._xlws.FILTER(nNOTA,(nCUENTA=1)*(nCURSO=A214)*(nASIG=B214))),"—")</f>
        <v>—</v>
      </c>
      <c r="G214" t="str" cm="1">
        <f t="array" ref="G214">IFERROR(_xlfn.MODE.SNGL(_xlfn._xlws.FILTER(nNOTA,(nCUENTA=1)*(nCURSO=A214)*(nASIG=B214))),"—")</f>
        <v>—</v>
      </c>
      <c r="H214" s="11" t="str">
        <f>IFERROR(SUMPRODUCT((nCUENTA=1)*(nCURSO=A214)*(nASIG=B214)*(nAPTO="S"))/D214,"—")</f>
        <v>—</v>
      </c>
      <c r="I214" s="11" t="str">
        <f>IFERROR(SUMPRODUCT((nCUENTA=1)*(nCURSO=A214)*(nASIG=B214)*(nAPTO="N"))/D214,"—")</f>
        <v>—</v>
      </c>
      <c r="J214" t="str" cm="1">
        <f t="array" ref="J214">IFERROR(_xlfn.MODE.SNGL(_xlfn._xlws.FILTER(nNOTA,(nCUENTA=1)*(nCURSO=A214)*(nASIG=B214)*(nAPTO="S"))),"—")</f>
        <v>—</v>
      </c>
      <c r="K214" t="str" cm="1">
        <f t="array" ref="K214">IFERROR(_xlfn.MODE.SNGL(_xlfn._xlws.FILTER(nNOTA,(nCUENTA=1)*(nCURSO=A214)*(nASIG=B214)*(nAPTO="N"))),"—")</f>
        <v>—</v>
      </c>
      <c r="L214">
        <f>SUMPRODUCT((nCUENTA=1)*(nCURSO=A214)*(nASIG=B214)*(nNOTA=1))</f>
        <v>0</v>
      </c>
      <c r="M214">
        <f>SUMPRODUCT((nCUENTA=1)*(nCURSO=A214)*(nASIG=B214)*(nNOTA=2))</f>
        <v>0</v>
      </c>
      <c r="N214">
        <f>SUMPRODUCT((nCUENTA=1)*(nCURSO=A214)*(nASIG=B214)*(nNOTA=3))</f>
        <v>0</v>
      </c>
      <c r="O214">
        <f>SUMPRODUCT((nCUENTA=1)*(nCURSO=A214)*(nASIG=B214)*(nNOTA=4))</f>
        <v>0</v>
      </c>
      <c r="P214">
        <f>SUMPRODUCT((nCUENTA=1)*(nCURSO=A214)*(nASIG=B214)*(nNOTA=5))</f>
        <v>0</v>
      </c>
      <c r="Q214">
        <f>SUMPRODUCT((nCUENTA=1)*(nCURSO=A214)*(nASIG=B214)*(nNOTA=6))</f>
        <v>0</v>
      </c>
      <c r="R214">
        <f>SUMPRODUCT((nCUENTA=1)*(nCURSO=A214)*(nASIG=B214)*(nNOTA=7))</f>
        <v>0</v>
      </c>
      <c r="S214">
        <f>SUMPRODUCT((nCUENTA=1)*(nCURSO=A214)*(nASIG=B214)*(nNOTA=8))</f>
        <v>0</v>
      </c>
      <c r="T214">
        <f>SUMPRODUCT((nCUENTA=1)*(nCURSO=A214)*(nASIG=B214)*(nNOTA=9))</f>
        <v>0</v>
      </c>
      <c r="U214">
        <f>SUMPRODUCT((nCUENTA=1)*(nCURSO=A214)*(nASIG=B214)*(nNOTA=10))</f>
        <v>0</v>
      </c>
    </row>
    <row r="215">
      <c r="A215" t="inlineStr">
        <is>
          <t xml:space="preserve">3EPM</t>
        </is>
      </c>
      <c r="B215" cm="1">
        <f t="array" ref="B215">IFERROR(INDEX(_xlfn._xlws.FILTER(CONFIG_ASIGNATURAS!$B$2:$B$91,(CONFIG_ASIGNATURAS!$G$2:$G$91="Sí")*ISNUMBER(SEARCH("3EPM",CONFIG_ASIGNATURAS!$C$2:$C$91))),12),"")</f>
      </c>
      <c r="C215">
        <f>IF(B215="","",IFERROR(VLOOKUP(B215,CONFIG_ASIGNATURAS!$B$2:$D$91,3,FALSE()),"Asignatura"))</f>
      </c>
      <c r="D215">
        <f>SUMPRODUCT((nCUENTA=1)*(nCURSO=A215)*(nASIG=B215))</f>
        <v>0</v>
      </c>
      <c r="E215" s="10" t="str">
        <f>IFERROR(SUMPRODUCT((nCUENTA=1)*(nCURSO=A215)*(nASIG=B215)*(nNOTA))/D215,"—")</f>
        <v>—</v>
      </c>
      <c r="F215" s="10" t="str" cm="1">
        <f t="array" ref="F215">IFERROR(_xlfn.STDEV.P(_xlfn._xlws.FILTER(nNOTA,(nCUENTA=1)*(nCURSO=A215)*(nASIG=B215))),"—")</f>
        <v>—</v>
      </c>
      <c r="G215" t="str" cm="1">
        <f t="array" ref="G215">IFERROR(_xlfn.MODE.SNGL(_xlfn._xlws.FILTER(nNOTA,(nCUENTA=1)*(nCURSO=A215)*(nASIG=B215))),"—")</f>
        <v>—</v>
      </c>
      <c r="H215" s="11" t="str">
        <f>IFERROR(SUMPRODUCT((nCUENTA=1)*(nCURSO=A215)*(nASIG=B215)*(nAPTO="S"))/D215,"—")</f>
        <v>—</v>
      </c>
      <c r="I215" s="11" t="str">
        <f>IFERROR(SUMPRODUCT((nCUENTA=1)*(nCURSO=A215)*(nASIG=B215)*(nAPTO="N"))/D215,"—")</f>
        <v>—</v>
      </c>
      <c r="J215" t="str" cm="1">
        <f t="array" ref="J215">IFERROR(_xlfn.MODE.SNGL(_xlfn._xlws.FILTER(nNOTA,(nCUENTA=1)*(nCURSO=A215)*(nASIG=B215)*(nAPTO="S"))),"—")</f>
        <v>—</v>
      </c>
      <c r="K215" t="str" cm="1">
        <f t="array" ref="K215">IFERROR(_xlfn.MODE.SNGL(_xlfn._xlws.FILTER(nNOTA,(nCUENTA=1)*(nCURSO=A215)*(nASIG=B215)*(nAPTO="N"))),"—")</f>
        <v>—</v>
      </c>
      <c r="L215">
        <f>SUMPRODUCT((nCUENTA=1)*(nCURSO=A215)*(nASIG=B215)*(nNOTA=1))</f>
        <v>0</v>
      </c>
      <c r="M215">
        <f>SUMPRODUCT((nCUENTA=1)*(nCURSO=A215)*(nASIG=B215)*(nNOTA=2))</f>
        <v>0</v>
      </c>
      <c r="N215">
        <f>SUMPRODUCT((nCUENTA=1)*(nCURSO=A215)*(nASIG=B215)*(nNOTA=3))</f>
        <v>0</v>
      </c>
      <c r="O215">
        <f>SUMPRODUCT((nCUENTA=1)*(nCURSO=A215)*(nASIG=B215)*(nNOTA=4))</f>
        <v>0</v>
      </c>
      <c r="P215">
        <f>SUMPRODUCT((nCUENTA=1)*(nCURSO=A215)*(nASIG=B215)*(nNOTA=5))</f>
        <v>0</v>
      </c>
      <c r="Q215">
        <f>SUMPRODUCT((nCUENTA=1)*(nCURSO=A215)*(nASIG=B215)*(nNOTA=6))</f>
        <v>0</v>
      </c>
      <c r="R215">
        <f>SUMPRODUCT((nCUENTA=1)*(nCURSO=A215)*(nASIG=B215)*(nNOTA=7))</f>
        <v>0</v>
      </c>
      <c r="S215">
        <f>SUMPRODUCT((nCUENTA=1)*(nCURSO=A215)*(nASIG=B215)*(nNOTA=8))</f>
        <v>0</v>
      </c>
      <c r="T215">
        <f>SUMPRODUCT((nCUENTA=1)*(nCURSO=A215)*(nASIG=B215)*(nNOTA=9))</f>
        <v>0</v>
      </c>
      <c r="U215">
        <f>SUMPRODUCT((nCUENTA=1)*(nCURSO=A215)*(nASIG=B215)*(nNOTA=10))</f>
        <v>0</v>
      </c>
    </row>
    <row r="216">
      <c r="A216" t="inlineStr">
        <is>
          <t xml:space="preserve">3EPM</t>
        </is>
      </c>
      <c r="B216" cm="1">
        <f t="array" ref="B216">IFERROR(INDEX(_xlfn._xlws.FILTER(CONFIG_ASIGNATURAS!$B$2:$B$91,(CONFIG_ASIGNATURAS!$G$2:$G$91="Sí")*ISNUMBER(SEARCH("3EPM",CONFIG_ASIGNATURAS!$C$2:$C$91))),13),"")</f>
      </c>
      <c r="C216">
        <f>IF(B216="","",IFERROR(VLOOKUP(B216,CONFIG_ASIGNATURAS!$B$2:$D$91,3,FALSE()),"Asignatura"))</f>
      </c>
      <c r="D216">
        <f>SUMPRODUCT((nCUENTA=1)*(nCURSO=A216)*(nASIG=B216))</f>
        <v>0</v>
      </c>
      <c r="E216" s="10" t="str">
        <f>IFERROR(SUMPRODUCT((nCUENTA=1)*(nCURSO=A216)*(nASIG=B216)*(nNOTA))/D216,"—")</f>
        <v>—</v>
      </c>
      <c r="F216" s="10" t="str" cm="1">
        <f t="array" ref="F216">IFERROR(_xlfn.STDEV.P(_xlfn._xlws.FILTER(nNOTA,(nCUENTA=1)*(nCURSO=A216)*(nASIG=B216))),"—")</f>
        <v>—</v>
      </c>
      <c r="G216" t="str" cm="1">
        <f t="array" ref="G216">IFERROR(_xlfn.MODE.SNGL(_xlfn._xlws.FILTER(nNOTA,(nCUENTA=1)*(nCURSO=A216)*(nASIG=B216))),"—")</f>
        <v>—</v>
      </c>
      <c r="H216" s="11" t="str">
        <f>IFERROR(SUMPRODUCT((nCUENTA=1)*(nCURSO=A216)*(nASIG=B216)*(nAPTO="S"))/D216,"—")</f>
        <v>—</v>
      </c>
      <c r="I216" s="11" t="str">
        <f>IFERROR(SUMPRODUCT((nCUENTA=1)*(nCURSO=A216)*(nASIG=B216)*(nAPTO="N"))/D216,"—")</f>
        <v>—</v>
      </c>
      <c r="J216" t="str" cm="1">
        <f t="array" ref="J216">IFERROR(_xlfn.MODE.SNGL(_xlfn._xlws.FILTER(nNOTA,(nCUENTA=1)*(nCURSO=A216)*(nASIG=B216)*(nAPTO="S"))),"—")</f>
        <v>—</v>
      </c>
      <c r="K216" t="str" cm="1">
        <f t="array" ref="K216">IFERROR(_xlfn.MODE.SNGL(_xlfn._xlws.FILTER(nNOTA,(nCUENTA=1)*(nCURSO=A216)*(nASIG=B216)*(nAPTO="N"))),"—")</f>
        <v>—</v>
      </c>
      <c r="L216">
        <f>SUMPRODUCT((nCUENTA=1)*(nCURSO=A216)*(nASIG=B216)*(nNOTA=1))</f>
        <v>0</v>
      </c>
      <c r="M216">
        <f>SUMPRODUCT((nCUENTA=1)*(nCURSO=A216)*(nASIG=B216)*(nNOTA=2))</f>
        <v>0</v>
      </c>
      <c r="N216">
        <f>SUMPRODUCT((nCUENTA=1)*(nCURSO=A216)*(nASIG=B216)*(nNOTA=3))</f>
        <v>0</v>
      </c>
      <c r="O216">
        <f>SUMPRODUCT((nCUENTA=1)*(nCURSO=A216)*(nASIG=B216)*(nNOTA=4))</f>
        <v>0</v>
      </c>
      <c r="P216">
        <f>SUMPRODUCT((nCUENTA=1)*(nCURSO=A216)*(nASIG=B216)*(nNOTA=5))</f>
        <v>0</v>
      </c>
      <c r="Q216">
        <f>SUMPRODUCT((nCUENTA=1)*(nCURSO=A216)*(nASIG=B216)*(nNOTA=6))</f>
        <v>0</v>
      </c>
      <c r="R216">
        <f>SUMPRODUCT((nCUENTA=1)*(nCURSO=A216)*(nASIG=B216)*(nNOTA=7))</f>
        <v>0</v>
      </c>
      <c r="S216">
        <f>SUMPRODUCT((nCUENTA=1)*(nCURSO=A216)*(nASIG=B216)*(nNOTA=8))</f>
        <v>0</v>
      </c>
      <c r="T216">
        <f>SUMPRODUCT((nCUENTA=1)*(nCURSO=A216)*(nASIG=B216)*(nNOTA=9))</f>
        <v>0</v>
      </c>
      <c r="U216">
        <f>SUMPRODUCT((nCUENTA=1)*(nCURSO=A216)*(nASIG=B216)*(nNOTA=10))</f>
        <v>0</v>
      </c>
    </row>
    <row r="217">
      <c r="A217" t="inlineStr">
        <is>
          <t xml:space="preserve">3EPM</t>
        </is>
      </c>
      <c r="B217" cm="1">
        <f t="array" ref="B217">IFERROR(INDEX(_xlfn._xlws.FILTER(CONFIG_ASIGNATURAS!$B$2:$B$91,(CONFIG_ASIGNATURAS!$G$2:$G$91="Sí")*ISNUMBER(SEARCH("3EPM",CONFIG_ASIGNATURAS!$C$2:$C$91))),14),"")</f>
      </c>
      <c r="C217">
        <f>IF(B217="","",IFERROR(VLOOKUP(B217,CONFIG_ASIGNATURAS!$B$2:$D$91,3,FALSE()),"Asignatura"))</f>
      </c>
      <c r="D217">
        <f>SUMPRODUCT((nCUENTA=1)*(nCURSO=A217)*(nASIG=B217))</f>
        <v>0</v>
      </c>
      <c r="E217" s="10" t="str">
        <f>IFERROR(SUMPRODUCT((nCUENTA=1)*(nCURSO=A217)*(nASIG=B217)*(nNOTA))/D217,"—")</f>
        <v>—</v>
      </c>
      <c r="F217" s="10" t="str" cm="1">
        <f t="array" ref="F217">IFERROR(_xlfn.STDEV.P(_xlfn._xlws.FILTER(nNOTA,(nCUENTA=1)*(nCURSO=A217)*(nASIG=B217))),"—")</f>
        <v>—</v>
      </c>
      <c r="G217" t="str" cm="1">
        <f t="array" ref="G217">IFERROR(_xlfn.MODE.SNGL(_xlfn._xlws.FILTER(nNOTA,(nCUENTA=1)*(nCURSO=A217)*(nASIG=B217))),"—")</f>
        <v>—</v>
      </c>
      <c r="H217" s="11" t="str">
        <f>IFERROR(SUMPRODUCT((nCUENTA=1)*(nCURSO=A217)*(nASIG=B217)*(nAPTO="S"))/D217,"—")</f>
        <v>—</v>
      </c>
      <c r="I217" s="11" t="str">
        <f>IFERROR(SUMPRODUCT((nCUENTA=1)*(nCURSO=A217)*(nASIG=B217)*(nAPTO="N"))/D217,"—")</f>
        <v>—</v>
      </c>
      <c r="J217" t="str" cm="1">
        <f t="array" ref="J217">IFERROR(_xlfn.MODE.SNGL(_xlfn._xlws.FILTER(nNOTA,(nCUENTA=1)*(nCURSO=A217)*(nASIG=B217)*(nAPTO="S"))),"—")</f>
        <v>—</v>
      </c>
      <c r="K217" t="str" cm="1">
        <f t="array" ref="K217">IFERROR(_xlfn.MODE.SNGL(_xlfn._xlws.FILTER(nNOTA,(nCUENTA=1)*(nCURSO=A217)*(nASIG=B217)*(nAPTO="N"))),"—")</f>
        <v>—</v>
      </c>
      <c r="L217">
        <f>SUMPRODUCT((nCUENTA=1)*(nCURSO=A217)*(nASIG=B217)*(nNOTA=1))</f>
        <v>0</v>
      </c>
      <c r="M217">
        <f>SUMPRODUCT((nCUENTA=1)*(nCURSO=A217)*(nASIG=B217)*(nNOTA=2))</f>
        <v>0</v>
      </c>
      <c r="N217">
        <f>SUMPRODUCT((nCUENTA=1)*(nCURSO=A217)*(nASIG=B217)*(nNOTA=3))</f>
        <v>0</v>
      </c>
      <c r="O217">
        <f>SUMPRODUCT((nCUENTA=1)*(nCURSO=A217)*(nASIG=B217)*(nNOTA=4))</f>
        <v>0</v>
      </c>
      <c r="P217">
        <f>SUMPRODUCT((nCUENTA=1)*(nCURSO=A217)*(nASIG=B217)*(nNOTA=5))</f>
        <v>0</v>
      </c>
      <c r="Q217">
        <f>SUMPRODUCT((nCUENTA=1)*(nCURSO=A217)*(nASIG=B217)*(nNOTA=6))</f>
        <v>0</v>
      </c>
      <c r="R217">
        <f>SUMPRODUCT((nCUENTA=1)*(nCURSO=A217)*(nASIG=B217)*(nNOTA=7))</f>
        <v>0</v>
      </c>
      <c r="S217">
        <f>SUMPRODUCT((nCUENTA=1)*(nCURSO=A217)*(nASIG=B217)*(nNOTA=8))</f>
        <v>0</v>
      </c>
      <c r="T217">
        <f>SUMPRODUCT((nCUENTA=1)*(nCURSO=A217)*(nASIG=B217)*(nNOTA=9))</f>
        <v>0</v>
      </c>
      <c r="U217">
        <f>SUMPRODUCT((nCUENTA=1)*(nCURSO=A217)*(nASIG=B217)*(nNOTA=10))</f>
        <v>0</v>
      </c>
    </row>
    <row r="218">
      <c r="A218" t="inlineStr">
        <is>
          <t xml:space="preserve">3EPM</t>
        </is>
      </c>
      <c r="B218" cm="1">
        <f t="array" ref="B218">IFERROR(INDEX(_xlfn._xlws.FILTER(CONFIG_ASIGNATURAS!$B$2:$B$91,(CONFIG_ASIGNATURAS!$G$2:$G$91="Sí")*ISNUMBER(SEARCH("3EPM",CONFIG_ASIGNATURAS!$C$2:$C$91))),15),"")</f>
      </c>
      <c r="C218">
        <f>IF(B218="","",IFERROR(VLOOKUP(B218,CONFIG_ASIGNATURAS!$B$2:$D$91,3,FALSE()),"Asignatura"))</f>
      </c>
      <c r="D218">
        <f>SUMPRODUCT((nCUENTA=1)*(nCURSO=A218)*(nASIG=B218))</f>
        <v>0</v>
      </c>
      <c r="E218" s="10" t="str">
        <f>IFERROR(SUMPRODUCT((nCUENTA=1)*(nCURSO=A218)*(nASIG=B218)*(nNOTA))/D218,"—")</f>
        <v>—</v>
      </c>
      <c r="F218" s="10" t="str" cm="1">
        <f t="array" ref="F218">IFERROR(_xlfn.STDEV.P(_xlfn._xlws.FILTER(nNOTA,(nCUENTA=1)*(nCURSO=A218)*(nASIG=B218))),"—")</f>
        <v>—</v>
      </c>
      <c r="G218" t="str" cm="1">
        <f t="array" ref="G218">IFERROR(_xlfn.MODE.SNGL(_xlfn._xlws.FILTER(nNOTA,(nCUENTA=1)*(nCURSO=A218)*(nASIG=B218))),"—")</f>
        <v>—</v>
      </c>
      <c r="H218" s="11" t="str">
        <f>IFERROR(SUMPRODUCT((nCUENTA=1)*(nCURSO=A218)*(nASIG=B218)*(nAPTO="S"))/D218,"—")</f>
        <v>—</v>
      </c>
      <c r="I218" s="11" t="str">
        <f>IFERROR(SUMPRODUCT((nCUENTA=1)*(nCURSO=A218)*(nASIG=B218)*(nAPTO="N"))/D218,"—")</f>
        <v>—</v>
      </c>
      <c r="J218" t="str" cm="1">
        <f t="array" ref="J218">IFERROR(_xlfn.MODE.SNGL(_xlfn._xlws.FILTER(nNOTA,(nCUENTA=1)*(nCURSO=A218)*(nASIG=B218)*(nAPTO="S"))),"—")</f>
        <v>—</v>
      </c>
      <c r="K218" t="str" cm="1">
        <f t="array" ref="K218">IFERROR(_xlfn.MODE.SNGL(_xlfn._xlws.FILTER(nNOTA,(nCUENTA=1)*(nCURSO=A218)*(nASIG=B218)*(nAPTO="N"))),"—")</f>
        <v>—</v>
      </c>
      <c r="L218">
        <f>SUMPRODUCT((nCUENTA=1)*(nCURSO=A218)*(nASIG=B218)*(nNOTA=1))</f>
        <v>0</v>
      </c>
      <c r="M218">
        <f>SUMPRODUCT((nCUENTA=1)*(nCURSO=A218)*(nASIG=B218)*(nNOTA=2))</f>
        <v>0</v>
      </c>
      <c r="N218">
        <f>SUMPRODUCT((nCUENTA=1)*(nCURSO=A218)*(nASIG=B218)*(nNOTA=3))</f>
        <v>0</v>
      </c>
      <c r="O218">
        <f>SUMPRODUCT((nCUENTA=1)*(nCURSO=A218)*(nASIG=B218)*(nNOTA=4))</f>
        <v>0</v>
      </c>
      <c r="P218">
        <f>SUMPRODUCT((nCUENTA=1)*(nCURSO=A218)*(nASIG=B218)*(nNOTA=5))</f>
        <v>0</v>
      </c>
      <c r="Q218">
        <f>SUMPRODUCT((nCUENTA=1)*(nCURSO=A218)*(nASIG=B218)*(nNOTA=6))</f>
        <v>0</v>
      </c>
      <c r="R218">
        <f>SUMPRODUCT((nCUENTA=1)*(nCURSO=A218)*(nASIG=B218)*(nNOTA=7))</f>
        <v>0</v>
      </c>
      <c r="S218">
        <f>SUMPRODUCT((nCUENTA=1)*(nCURSO=A218)*(nASIG=B218)*(nNOTA=8))</f>
        <v>0</v>
      </c>
      <c r="T218">
        <f>SUMPRODUCT((nCUENTA=1)*(nCURSO=A218)*(nASIG=B218)*(nNOTA=9))</f>
        <v>0</v>
      </c>
      <c r="U218">
        <f>SUMPRODUCT((nCUENTA=1)*(nCURSO=A218)*(nASIG=B218)*(nNOTA=10))</f>
        <v>0</v>
      </c>
    </row>
    <row r="219">
      <c r="A219" t="inlineStr">
        <is>
          <t xml:space="preserve">3EPM</t>
        </is>
      </c>
      <c r="B219" cm="1">
        <f t="array" ref="B219">IFERROR(INDEX(_xlfn._xlws.FILTER(CONFIG_ASIGNATURAS!$B$2:$B$91,(CONFIG_ASIGNATURAS!$G$2:$G$91="Sí")*ISNUMBER(SEARCH("3EPM",CONFIG_ASIGNATURAS!$C$2:$C$91))),16),"")</f>
      </c>
      <c r="C219">
        <f>IF(B219="","",IFERROR(VLOOKUP(B219,CONFIG_ASIGNATURAS!$B$2:$D$91,3,FALSE()),"Asignatura"))</f>
      </c>
      <c r="D219">
        <f>SUMPRODUCT((nCUENTA=1)*(nCURSO=A219)*(nASIG=B219))</f>
        <v>0</v>
      </c>
      <c r="E219" s="10" t="str">
        <f>IFERROR(SUMPRODUCT((nCUENTA=1)*(nCURSO=A219)*(nASIG=B219)*(nNOTA))/D219,"—")</f>
        <v>—</v>
      </c>
      <c r="F219" s="10" t="str" cm="1">
        <f t="array" ref="F219">IFERROR(_xlfn.STDEV.P(_xlfn._xlws.FILTER(nNOTA,(nCUENTA=1)*(nCURSO=A219)*(nASIG=B219))),"—")</f>
        <v>—</v>
      </c>
      <c r="G219" t="str" cm="1">
        <f t="array" ref="G219">IFERROR(_xlfn.MODE.SNGL(_xlfn._xlws.FILTER(nNOTA,(nCUENTA=1)*(nCURSO=A219)*(nASIG=B219))),"—")</f>
        <v>—</v>
      </c>
      <c r="H219" s="11" t="str">
        <f>IFERROR(SUMPRODUCT((nCUENTA=1)*(nCURSO=A219)*(nASIG=B219)*(nAPTO="S"))/D219,"—")</f>
        <v>—</v>
      </c>
      <c r="I219" s="11" t="str">
        <f>IFERROR(SUMPRODUCT((nCUENTA=1)*(nCURSO=A219)*(nASIG=B219)*(nAPTO="N"))/D219,"—")</f>
        <v>—</v>
      </c>
      <c r="J219" t="str" cm="1">
        <f t="array" ref="J219">IFERROR(_xlfn.MODE.SNGL(_xlfn._xlws.FILTER(nNOTA,(nCUENTA=1)*(nCURSO=A219)*(nASIG=B219)*(nAPTO="S"))),"—")</f>
        <v>—</v>
      </c>
      <c r="K219" t="str" cm="1">
        <f t="array" ref="K219">IFERROR(_xlfn.MODE.SNGL(_xlfn._xlws.FILTER(nNOTA,(nCUENTA=1)*(nCURSO=A219)*(nASIG=B219)*(nAPTO="N"))),"—")</f>
        <v>—</v>
      </c>
      <c r="L219">
        <f>SUMPRODUCT((nCUENTA=1)*(nCURSO=A219)*(nASIG=B219)*(nNOTA=1))</f>
        <v>0</v>
      </c>
      <c r="M219">
        <f>SUMPRODUCT((nCUENTA=1)*(nCURSO=A219)*(nASIG=B219)*(nNOTA=2))</f>
        <v>0</v>
      </c>
      <c r="N219">
        <f>SUMPRODUCT((nCUENTA=1)*(nCURSO=A219)*(nASIG=B219)*(nNOTA=3))</f>
        <v>0</v>
      </c>
      <c r="O219">
        <f>SUMPRODUCT((nCUENTA=1)*(nCURSO=A219)*(nASIG=B219)*(nNOTA=4))</f>
        <v>0</v>
      </c>
      <c r="P219">
        <f>SUMPRODUCT((nCUENTA=1)*(nCURSO=A219)*(nASIG=B219)*(nNOTA=5))</f>
        <v>0</v>
      </c>
      <c r="Q219">
        <f>SUMPRODUCT((nCUENTA=1)*(nCURSO=A219)*(nASIG=B219)*(nNOTA=6))</f>
        <v>0</v>
      </c>
      <c r="R219">
        <f>SUMPRODUCT((nCUENTA=1)*(nCURSO=A219)*(nASIG=B219)*(nNOTA=7))</f>
        <v>0</v>
      </c>
      <c r="S219">
        <f>SUMPRODUCT((nCUENTA=1)*(nCURSO=A219)*(nASIG=B219)*(nNOTA=8))</f>
        <v>0</v>
      </c>
      <c r="T219">
        <f>SUMPRODUCT((nCUENTA=1)*(nCURSO=A219)*(nASIG=B219)*(nNOTA=9))</f>
        <v>0</v>
      </c>
      <c r="U219">
        <f>SUMPRODUCT((nCUENTA=1)*(nCURSO=A219)*(nASIG=B219)*(nNOTA=10))</f>
        <v>0</v>
      </c>
    </row>
    <row r="220">
      <c r="A220" t="inlineStr">
        <is>
          <t xml:space="preserve">3EPM</t>
        </is>
      </c>
      <c r="B220" cm="1">
        <f t="array" ref="B220">IFERROR(INDEX(_xlfn._xlws.FILTER(CONFIG_ASIGNATURAS!$B$2:$B$91,(CONFIG_ASIGNATURAS!$G$2:$G$91="Sí")*ISNUMBER(SEARCH("3EPM",CONFIG_ASIGNATURAS!$C$2:$C$91))),17),"")</f>
      </c>
      <c r="C220">
        <f>IF(B220="","",IFERROR(VLOOKUP(B220,CONFIG_ASIGNATURAS!$B$2:$D$91,3,FALSE()),"Asignatura"))</f>
      </c>
      <c r="D220">
        <f>SUMPRODUCT((nCUENTA=1)*(nCURSO=A220)*(nASIG=B220))</f>
        <v>0</v>
      </c>
      <c r="E220" s="10" t="str">
        <f>IFERROR(SUMPRODUCT((nCUENTA=1)*(nCURSO=A220)*(nASIG=B220)*(nNOTA))/D220,"—")</f>
        <v>—</v>
      </c>
      <c r="F220" s="10" t="str" cm="1">
        <f t="array" ref="F220">IFERROR(_xlfn.STDEV.P(_xlfn._xlws.FILTER(nNOTA,(nCUENTA=1)*(nCURSO=A220)*(nASIG=B220))),"—")</f>
        <v>—</v>
      </c>
      <c r="G220" t="str" cm="1">
        <f t="array" ref="G220">IFERROR(_xlfn.MODE.SNGL(_xlfn._xlws.FILTER(nNOTA,(nCUENTA=1)*(nCURSO=A220)*(nASIG=B220))),"—")</f>
        <v>—</v>
      </c>
      <c r="H220" s="11" t="str">
        <f>IFERROR(SUMPRODUCT((nCUENTA=1)*(nCURSO=A220)*(nASIG=B220)*(nAPTO="S"))/D220,"—")</f>
        <v>—</v>
      </c>
      <c r="I220" s="11" t="str">
        <f>IFERROR(SUMPRODUCT((nCUENTA=1)*(nCURSO=A220)*(nASIG=B220)*(nAPTO="N"))/D220,"—")</f>
        <v>—</v>
      </c>
      <c r="J220" t="str" cm="1">
        <f t="array" ref="J220">IFERROR(_xlfn.MODE.SNGL(_xlfn._xlws.FILTER(nNOTA,(nCUENTA=1)*(nCURSO=A220)*(nASIG=B220)*(nAPTO="S"))),"—")</f>
        <v>—</v>
      </c>
      <c r="K220" t="str" cm="1">
        <f t="array" ref="K220">IFERROR(_xlfn.MODE.SNGL(_xlfn._xlws.FILTER(nNOTA,(nCUENTA=1)*(nCURSO=A220)*(nASIG=B220)*(nAPTO="N"))),"—")</f>
        <v>—</v>
      </c>
      <c r="L220">
        <f>SUMPRODUCT((nCUENTA=1)*(nCURSO=A220)*(nASIG=B220)*(nNOTA=1))</f>
        <v>0</v>
      </c>
      <c r="M220">
        <f>SUMPRODUCT((nCUENTA=1)*(nCURSO=A220)*(nASIG=B220)*(nNOTA=2))</f>
        <v>0</v>
      </c>
      <c r="N220">
        <f>SUMPRODUCT((nCUENTA=1)*(nCURSO=A220)*(nASIG=B220)*(nNOTA=3))</f>
        <v>0</v>
      </c>
      <c r="O220">
        <f>SUMPRODUCT((nCUENTA=1)*(nCURSO=A220)*(nASIG=B220)*(nNOTA=4))</f>
        <v>0</v>
      </c>
      <c r="P220">
        <f>SUMPRODUCT((nCUENTA=1)*(nCURSO=A220)*(nASIG=B220)*(nNOTA=5))</f>
        <v>0</v>
      </c>
      <c r="Q220">
        <f>SUMPRODUCT((nCUENTA=1)*(nCURSO=A220)*(nASIG=B220)*(nNOTA=6))</f>
        <v>0</v>
      </c>
      <c r="R220">
        <f>SUMPRODUCT((nCUENTA=1)*(nCURSO=A220)*(nASIG=B220)*(nNOTA=7))</f>
        <v>0</v>
      </c>
      <c r="S220">
        <f>SUMPRODUCT((nCUENTA=1)*(nCURSO=A220)*(nASIG=B220)*(nNOTA=8))</f>
        <v>0</v>
      </c>
      <c r="T220">
        <f>SUMPRODUCT((nCUENTA=1)*(nCURSO=A220)*(nASIG=B220)*(nNOTA=9))</f>
        <v>0</v>
      </c>
      <c r="U220">
        <f>SUMPRODUCT((nCUENTA=1)*(nCURSO=A220)*(nASIG=B220)*(nNOTA=10))</f>
        <v>0</v>
      </c>
    </row>
    <row r="221">
      <c r="A221" t="inlineStr">
        <is>
          <t xml:space="preserve">3EPM</t>
        </is>
      </c>
      <c r="B221" cm="1">
        <f t="array" ref="B221">IFERROR(INDEX(_xlfn._xlws.FILTER(CONFIG_ASIGNATURAS!$B$2:$B$91,(CONFIG_ASIGNATURAS!$G$2:$G$91="Sí")*ISNUMBER(SEARCH("3EPM",CONFIG_ASIGNATURAS!$C$2:$C$91))),18),"")</f>
      </c>
      <c r="C221">
        <f>IF(B221="","",IFERROR(VLOOKUP(B221,CONFIG_ASIGNATURAS!$B$2:$D$91,3,FALSE()),"Asignatura"))</f>
      </c>
      <c r="D221">
        <f>SUMPRODUCT((nCUENTA=1)*(nCURSO=A221)*(nASIG=B221))</f>
        <v>0</v>
      </c>
      <c r="E221" s="10" t="str">
        <f>IFERROR(SUMPRODUCT((nCUENTA=1)*(nCURSO=A221)*(nASIG=B221)*(nNOTA))/D221,"—")</f>
        <v>—</v>
      </c>
      <c r="F221" s="10" t="str" cm="1">
        <f t="array" ref="F221">IFERROR(_xlfn.STDEV.P(_xlfn._xlws.FILTER(nNOTA,(nCUENTA=1)*(nCURSO=A221)*(nASIG=B221))),"—")</f>
        <v>—</v>
      </c>
      <c r="G221" t="str" cm="1">
        <f t="array" ref="G221">IFERROR(_xlfn.MODE.SNGL(_xlfn._xlws.FILTER(nNOTA,(nCUENTA=1)*(nCURSO=A221)*(nASIG=B221))),"—")</f>
        <v>—</v>
      </c>
      <c r="H221" s="11" t="str">
        <f>IFERROR(SUMPRODUCT((nCUENTA=1)*(nCURSO=A221)*(nASIG=B221)*(nAPTO="S"))/D221,"—")</f>
        <v>—</v>
      </c>
      <c r="I221" s="11" t="str">
        <f>IFERROR(SUMPRODUCT((nCUENTA=1)*(nCURSO=A221)*(nASIG=B221)*(nAPTO="N"))/D221,"—")</f>
        <v>—</v>
      </c>
      <c r="J221" t="str" cm="1">
        <f t="array" ref="J221">IFERROR(_xlfn.MODE.SNGL(_xlfn._xlws.FILTER(nNOTA,(nCUENTA=1)*(nCURSO=A221)*(nASIG=B221)*(nAPTO="S"))),"—")</f>
        <v>—</v>
      </c>
      <c r="K221" t="str" cm="1">
        <f t="array" ref="K221">IFERROR(_xlfn.MODE.SNGL(_xlfn._xlws.FILTER(nNOTA,(nCUENTA=1)*(nCURSO=A221)*(nASIG=B221)*(nAPTO="N"))),"—")</f>
        <v>—</v>
      </c>
      <c r="L221">
        <f>SUMPRODUCT((nCUENTA=1)*(nCURSO=A221)*(nASIG=B221)*(nNOTA=1))</f>
        <v>0</v>
      </c>
      <c r="M221">
        <f>SUMPRODUCT((nCUENTA=1)*(nCURSO=A221)*(nASIG=B221)*(nNOTA=2))</f>
        <v>0</v>
      </c>
      <c r="N221">
        <f>SUMPRODUCT((nCUENTA=1)*(nCURSO=A221)*(nASIG=B221)*(nNOTA=3))</f>
        <v>0</v>
      </c>
      <c r="O221">
        <f>SUMPRODUCT((nCUENTA=1)*(nCURSO=A221)*(nASIG=B221)*(nNOTA=4))</f>
        <v>0</v>
      </c>
      <c r="P221">
        <f>SUMPRODUCT((nCUENTA=1)*(nCURSO=A221)*(nASIG=B221)*(nNOTA=5))</f>
        <v>0</v>
      </c>
      <c r="Q221">
        <f>SUMPRODUCT((nCUENTA=1)*(nCURSO=A221)*(nASIG=B221)*(nNOTA=6))</f>
        <v>0</v>
      </c>
      <c r="R221">
        <f>SUMPRODUCT((nCUENTA=1)*(nCURSO=A221)*(nASIG=B221)*(nNOTA=7))</f>
        <v>0</v>
      </c>
      <c r="S221">
        <f>SUMPRODUCT((nCUENTA=1)*(nCURSO=A221)*(nASIG=B221)*(nNOTA=8))</f>
        <v>0</v>
      </c>
      <c r="T221">
        <f>SUMPRODUCT((nCUENTA=1)*(nCURSO=A221)*(nASIG=B221)*(nNOTA=9))</f>
        <v>0</v>
      </c>
      <c r="U221">
        <f>SUMPRODUCT((nCUENTA=1)*(nCURSO=A221)*(nASIG=B221)*(nNOTA=10))</f>
        <v>0</v>
      </c>
    </row>
    <row r="222">
      <c r="A222" t="inlineStr">
        <is>
          <t xml:space="preserve">3EPM</t>
        </is>
      </c>
      <c r="B222" cm="1">
        <f t="array" ref="B222">IFERROR(INDEX(_xlfn._xlws.FILTER(CONFIG_ASIGNATURAS!$B$2:$B$91,(CONFIG_ASIGNATURAS!$G$2:$G$91="Sí")*ISNUMBER(SEARCH("3EPM",CONFIG_ASIGNATURAS!$C$2:$C$91))),19),"")</f>
      </c>
      <c r="C222">
        <f>IF(B222="","",IFERROR(VLOOKUP(B222,CONFIG_ASIGNATURAS!$B$2:$D$91,3,FALSE()),"Asignatura"))</f>
      </c>
      <c r="D222">
        <f>SUMPRODUCT((nCUENTA=1)*(nCURSO=A222)*(nASIG=B222))</f>
        <v>0</v>
      </c>
      <c r="E222" s="10" t="str">
        <f>IFERROR(SUMPRODUCT((nCUENTA=1)*(nCURSO=A222)*(nASIG=B222)*(nNOTA))/D222,"—")</f>
        <v>—</v>
      </c>
      <c r="F222" s="10" t="str" cm="1">
        <f t="array" ref="F222">IFERROR(_xlfn.STDEV.P(_xlfn._xlws.FILTER(nNOTA,(nCUENTA=1)*(nCURSO=A222)*(nASIG=B222))),"—")</f>
        <v>—</v>
      </c>
      <c r="G222" t="str" cm="1">
        <f t="array" ref="G222">IFERROR(_xlfn.MODE.SNGL(_xlfn._xlws.FILTER(nNOTA,(nCUENTA=1)*(nCURSO=A222)*(nASIG=B222))),"—")</f>
        <v>—</v>
      </c>
      <c r="H222" s="11" t="str">
        <f>IFERROR(SUMPRODUCT((nCUENTA=1)*(nCURSO=A222)*(nASIG=B222)*(nAPTO="S"))/D222,"—")</f>
        <v>—</v>
      </c>
      <c r="I222" s="11" t="str">
        <f>IFERROR(SUMPRODUCT((nCUENTA=1)*(nCURSO=A222)*(nASIG=B222)*(nAPTO="N"))/D222,"—")</f>
        <v>—</v>
      </c>
      <c r="J222" t="str" cm="1">
        <f t="array" ref="J222">IFERROR(_xlfn.MODE.SNGL(_xlfn._xlws.FILTER(nNOTA,(nCUENTA=1)*(nCURSO=A222)*(nASIG=B222)*(nAPTO="S"))),"—")</f>
        <v>—</v>
      </c>
      <c r="K222" t="str" cm="1">
        <f t="array" ref="K222">IFERROR(_xlfn.MODE.SNGL(_xlfn._xlws.FILTER(nNOTA,(nCUENTA=1)*(nCURSO=A222)*(nASIG=B222)*(nAPTO="N"))),"—")</f>
        <v>—</v>
      </c>
      <c r="L222">
        <f>SUMPRODUCT((nCUENTA=1)*(nCURSO=A222)*(nASIG=B222)*(nNOTA=1))</f>
        <v>0</v>
      </c>
      <c r="M222">
        <f>SUMPRODUCT((nCUENTA=1)*(nCURSO=A222)*(nASIG=B222)*(nNOTA=2))</f>
        <v>0</v>
      </c>
      <c r="N222">
        <f>SUMPRODUCT((nCUENTA=1)*(nCURSO=A222)*(nASIG=B222)*(nNOTA=3))</f>
        <v>0</v>
      </c>
      <c r="O222">
        <f>SUMPRODUCT((nCUENTA=1)*(nCURSO=A222)*(nASIG=B222)*(nNOTA=4))</f>
        <v>0</v>
      </c>
      <c r="P222">
        <f>SUMPRODUCT((nCUENTA=1)*(nCURSO=A222)*(nASIG=B222)*(nNOTA=5))</f>
        <v>0</v>
      </c>
      <c r="Q222">
        <f>SUMPRODUCT((nCUENTA=1)*(nCURSO=A222)*(nASIG=B222)*(nNOTA=6))</f>
        <v>0</v>
      </c>
      <c r="R222">
        <f>SUMPRODUCT((nCUENTA=1)*(nCURSO=A222)*(nASIG=B222)*(nNOTA=7))</f>
        <v>0</v>
      </c>
      <c r="S222">
        <f>SUMPRODUCT((nCUENTA=1)*(nCURSO=A222)*(nASIG=B222)*(nNOTA=8))</f>
        <v>0</v>
      </c>
      <c r="T222">
        <f>SUMPRODUCT((nCUENTA=1)*(nCURSO=A222)*(nASIG=B222)*(nNOTA=9))</f>
        <v>0</v>
      </c>
      <c r="U222">
        <f>SUMPRODUCT((nCUENTA=1)*(nCURSO=A222)*(nASIG=B222)*(nNOTA=10))</f>
        <v>0</v>
      </c>
    </row>
    <row r="223">
      <c r="A223" t="inlineStr">
        <is>
          <t xml:space="preserve">3EPM</t>
        </is>
      </c>
      <c r="B223" cm="1">
        <f t="array" ref="B223">IFERROR(INDEX(_xlfn._xlws.FILTER(CONFIG_ASIGNATURAS!$B$2:$B$91,(CONFIG_ASIGNATURAS!$G$2:$G$91="Sí")*ISNUMBER(SEARCH("3EPM",CONFIG_ASIGNATURAS!$C$2:$C$91))),20),"")</f>
      </c>
      <c r="C223">
        <f>IF(B223="","",IFERROR(VLOOKUP(B223,CONFIG_ASIGNATURAS!$B$2:$D$91,3,FALSE()),"Asignatura"))</f>
      </c>
      <c r="D223">
        <f>SUMPRODUCT((nCUENTA=1)*(nCURSO=A223)*(nASIG=B223))</f>
        <v>0</v>
      </c>
      <c r="E223" s="10" t="str">
        <f>IFERROR(SUMPRODUCT((nCUENTA=1)*(nCURSO=A223)*(nASIG=B223)*(nNOTA))/D223,"—")</f>
        <v>—</v>
      </c>
      <c r="F223" s="10" t="str" cm="1">
        <f t="array" ref="F223">IFERROR(_xlfn.STDEV.P(_xlfn._xlws.FILTER(nNOTA,(nCUENTA=1)*(nCURSO=A223)*(nASIG=B223))),"—")</f>
        <v>—</v>
      </c>
      <c r="G223" t="str" cm="1">
        <f t="array" ref="G223">IFERROR(_xlfn.MODE.SNGL(_xlfn._xlws.FILTER(nNOTA,(nCUENTA=1)*(nCURSO=A223)*(nASIG=B223))),"—")</f>
        <v>—</v>
      </c>
      <c r="H223" s="11" t="str">
        <f>IFERROR(SUMPRODUCT((nCUENTA=1)*(nCURSO=A223)*(nASIG=B223)*(nAPTO="S"))/D223,"—")</f>
        <v>—</v>
      </c>
      <c r="I223" s="11" t="str">
        <f>IFERROR(SUMPRODUCT((nCUENTA=1)*(nCURSO=A223)*(nASIG=B223)*(nAPTO="N"))/D223,"—")</f>
        <v>—</v>
      </c>
      <c r="J223" t="str" cm="1">
        <f t="array" ref="J223">IFERROR(_xlfn.MODE.SNGL(_xlfn._xlws.FILTER(nNOTA,(nCUENTA=1)*(nCURSO=A223)*(nASIG=B223)*(nAPTO="S"))),"—")</f>
        <v>—</v>
      </c>
      <c r="K223" t="str" cm="1">
        <f t="array" ref="K223">IFERROR(_xlfn.MODE.SNGL(_xlfn._xlws.FILTER(nNOTA,(nCUENTA=1)*(nCURSO=A223)*(nASIG=B223)*(nAPTO="N"))),"—")</f>
        <v>—</v>
      </c>
      <c r="L223">
        <f>SUMPRODUCT((nCUENTA=1)*(nCURSO=A223)*(nASIG=B223)*(nNOTA=1))</f>
        <v>0</v>
      </c>
      <c r="M223">
        <f>SUMPRODUCT((nCUENTA=1)*(nCURSO=A223)*(nASIG=B223)*(nNOTA=2))</f>
        <v>0</v>
      </c>
      <c r="N223">
        <f>SUMPRODUCT((nCUENTA=1)*(nCURSO=A223)*(nASIG=B223)*(nNOTA=3))</f>
        <v>0</v>
      </c>
      <c r="O223">
        <f>SUMPRODUCT((nCUENTA=1)*(nCURSO=A223)*(nASIG=B223)*(nNOTA=4))</f>
        <v>0</v>
      </c>
      <c r="P223">
        <f>SUMPRODUCT((nCUENTA=1)*(nCURSO=A223)*(nASIG=B223)*(nNOTA=5))</f>
        <v>0</v>
      </c>
      <c r="Q223">
        <f>SUMPRODUCT((nCUENTA=1)*(nCURSO=A223)*(nASIG=B223)*(nNOTA=6))</f>
        <v>0</v>
      </c>
      <c r="R223">
        <f>SUMPRODUCT((nCUENTA=1)*(nCURSO=A223)*(nASIG=B223)*(nNOTA=7))</f>
        <v>0</v>
      </c>
      <c r="S223">
        <f>SUMPRODUCT((nCUENTA=1)*(nCURSO=A223)*(nASIG=B223)*(nNOTA=8))</f>
        <v>0</v>
      </c>
      <c r="T223">
        <f>SUMPRODUCT((nCUENTA=1)*(nCURSO=A223)*(nASIG=B223)*(nNOTA=9))</f>
        <v>0</v>
      </c>
      <c r="U223">
        <f>SUMPRODUCT((nCUENTA=1)*(nCURSO=A223)*(nASIG=B223)*(nNOTA=10))</f>
        <v>0</v>
      </c>
    </row>
    <row r="224">
      <c r="A224" t="inlineStr">
        <is>
          <t xml:space="preserve">3EPM</t>
        </is>
      </c>
      <c r="B224" cm="1">
        <f t="array" ref="B224">IFERROR(INDEX(_xlfn._xlws.FILTER(CONFIG_ASIGNATURAS!$B$2:$B$91,(CONFIG_ASIGNATURAS!$G$2:$G$91="Sí")*ISNUMBER(SEARCH("3EPM",CONFIG_ASIGNATURAS!$C$2:$C$91))),21),"")</f>
      </c>
      <c r="C224">
        <f>IF(B224="","",IFERROR(VLOOKUP(B224,CONFIG_ASIGNATURAS!$B$2:$D$91,3,FALSE()),"Asignatura"))</f>
      </c>
      <c r="D224">
        <f>SUMPRODUCT((nCUENTA=1)*(nCURSO=A224)*(nASIG=B224))</f>
        <v>0</v>
      </c>
      <c r="E224" s="10" t="str">
        <f>IFERROR(SUMPRODUCT((nCUENTA=1)*(nCURSO=A224)*(nASIG=B224)*(nNOTA))/D224,"—")</f>
        <v>—</v>
      </c>
      <c r="F224" s="10" t="str" cm="1">
        <f t="array" ref="F224">IFERROR(_xlfn.STDEV.P(_xlfn._xlws.FILTER(nNOTA,(nCUENTA=1)*(nCURSO=A224)*(nASIG=B224))),"—")</f>
        <v>—</v>
      </c>
      <c r="G224" t="str" cm="1">
        <f t="array" ref="G224">IFERROR(_xlfn.MODE.SNGL(_xlfn._xlws.FILTER(nNOTA,(nCUENTA=1)*(nCURSO=A224)*(nASIG=B224))),"—")</f>
        <v>—</v>
      </c>
      <c r="H224" s="11" t="str">
        <f>IFERROR(SUMPRODUCT((nCUENTA=1)*(nCURSO=A224)*(nASIG=B224)*(nAPTO="S"))/D224,"—")</f>
        <v>—</v>
      </c>
      <c r="I224" s="11" t="str">
        <f>IFERROR(SUMPRODUCT((nCUENTA=1)*(nCURSO=A224)*(nASIG=B224)*(nAPTO="N"))/D224,"—")</f>
        <v>—</v>
      </c>
      <c r="J224" t="str" cm="1">
        <f t="array" ref="J224">IFERROR(_xlfn.MODE.SNGL(_xlfn._xlws.FILTER(nNOTA,(nCUENTA=1)*(nCURSO=A224)*(nASIG=B224)*(nAPTO="S"))),"—")</f>
        <v>—</v>
      </c>
      <c r="K224" t="str" cm="1">
        <f t="array" ref="K224">IFERROR(_xlfn.MODE.SNGL(_xlfn._xlws.FILTER(nNOTA,(nCUENTA=1)*(nCURSO=A224)*(nASIG=B224)*(nAPTO="N"))),"—")</f>
        <v>—</v>
      </c>
      <c r="L224">
        <f>SUMPRODUCT((nCUENTA=1)*(nCURSO=A224)*(nASIG=B224)*(nNOTA=1))</f>
        <v>0</v>
      </c>
      <c r="M224">
        <f>SUMPRODUCT((nCUENTA=1)*(nCURSO=A224)*(nASIG=B224)*(nNOTA=2))</f>
        <v>0</v>
      </c>
      <c r="N224">
        <f>SUMPRODUCT((nCUENTA=1)*(nCURSO=A224)*(nASIG=B224)*(nNOTA=3))</f>
        <v>0</v>
      </c>
      <c r="O224">
        <f>SUMPRODUCT((nCUENTA=1)*(nCURSO=A224)*(nASIG=B224)*(nNOTA=4))</f>
        <v>0</v>
      </c>
      <c r="P224">
        <f>SUMPRODUCT((nCUENTA=1)*(nCURSO=A224)*(nASIG=B224)*(nNOTA=5))</f>
        <v>0</v>
      </c>
      <c r="Q224">
        <f>SUMPRODUCT((nCUENTA=1)*(nCURSO=A224)*(nASIG=B224)*(nNOTA=6))</f>
        <v>0</v>
      </c>
      <c r="R224">
        <f>SUMPRODUCT((nCUENTA=1)*(nCURSO=A224)*(nASIG=B224)*(nNOTA=7))</f>
        <v>0</v>
      </c>
      <c r="S224">
        <f>SUMPRODUCT((nCUENTA=1)*(nCURSO=A224)*(nASIG=B224)*(nNOTA=8))</f>
        <v>0</v>
      </c>
      <c r="T224">
        <f>SUMPRODUCT((nCUENTA=1)*(nCURSO=A224)*(nASIG=B224)*(nNOTA=9))</f>
        <v>0</v>
      </c>
      <c r="U224">
        <f>SUMPRODUCT((nCUENTA=1)*(nCURSO=A224)*(nASIG=B224)*(nNOTA=10))</f>
        <v>0</v>
      </c>
    </row>
    <row r="225">
      <c r="A225" t="inlineStr">
        <is>
          <t xml:space="preserve">3EPM</t>
        </is>
      </c>
      <c r="B225" cm="1">
        <f t="array" ref="B225">IFERROR(INDEX(_xlfn._xlws.FILTER(CONFIG_ASIGNATURAS!$B$2:$B$91,(CONFIG_ASIGNATURAS!$G$2:$G$91="Sí")*ISNUMBER(SEARCH("3EPM",CONFIG_ASIGNATURAS!$C$2:$C$91))),22),"")</f>
      </c>
      <c r="C225">
        <f>IF(B225="","",IFERROR(VLOOKUP(B225,CONFIG_ASIGNATURAS!$B$2:$D$91,3,FALSE()),"Asignatura"))</f>
      </c>
      <c r="D225">
        <f>SUMPRODUCT((nCUENTA=1)*(nCURSO=A225)*(nASIG=B225))</f>
        <v>0</v>
      </c>
      <c r="E225" s="10" t="str">
        <f>IFERROR(SUMPRODUCT((nCUENTA=1)*(nCURSO=A225)*(nASIG=B225)*(nNOTA))/D225,"—")</f>
        <v>—</v>
      </c>
      <c r="F225" s="10" t="str" cm="1">
        <f t="array" ref="F225">IFERROR(_xlfn.STDEV.P(_xlfn._xlws.FILTER(nNOTA,(nCUENTA=1)*(nCURSO=A225)*(nASIG=B225))),"—")</f>
        <v>—</v>
      </c>
      <c r="G225" t="str" cm="1">
        <f t="array" ref="G225">IFERROR(_xlfn.MODE.SNGL(_xlfn._xlws.FILTER(nNOTA,(nCUENTA=1)*(nCURSO=A225)*(nASIG=B225))),"—")</f>
        <v>—</v>
      </c>
      <c r="H225" s="11" t="str">
        <f>IFERROR(SUMPRODUCT((nCUENTA=1)*(nCURSO=A225)*(nASIG=B225)*(nAPTO="S"))/D225,"—")</f>
        <v>—</v>
      </c>
      <c r="I225" s="11" t="str">
        <f>IFERROR(SUMPRODUCT((nCUENTA=1)*(nCURSO=A225)*(nASIG=B225)*(nAPTO="N"))/D225,"—")</f>
        <v>—</v>
      </c>
      <c r="J225" t="str" cm="1">
        <f t="array" ref="J225">IFERROR(_xlfn.MODE.SNGL(_xlfn._xlws.FILTER(nNOTA,(nCUENTA=1)*(nCURSO=A225)*(nASIG=B225)*(nAPTO="S"))),"—")</f>
        <v>—</v>
      </c>
      <c r="K225" t="str" cm="1">
        <f t="array" ref="K225">IFERROR(_xlfn.MODE.SNGL(_xlfn._xlws.FILTER(nNOTA,(nCUENTA=1)*(nCURSO=A225)*(nASIG=B225)*(nAPTO="N"))),"—")</f>
        <v>—</v>
      </c>
      <c r="L225">
        <f>SUMPRODUCT((nCUENTA=1)*(nCURSO=A225)*(nASIG=B225)*(nNOTA=1))</f>
        <v>0</v>
      </c>
      <c r="M225">
        <f>SUMPRODUCT((nCUENTA=1)*(nCURSO=A225)*(nASIG=B225)*(nNOTA=2))</f>
        <v>0</v>
      </c>
      <c r="N225">
        <f>SUMPRODUCT((nCUENTA=1)*(nCURSO=A225)*(nASIG=B225)*(nNOTA=3))</f>
        <v>0</v>
      </c>
      <c r="O225">
        <f>SUMPRODUCT((nCUENTA=1)*(nCURSO=A225)*(nASIG=B225)*(nNOTA=4))</f>
        <v>0</v>
      </c>
      <c r="P225">
        <f>SUMPRODUCT((nCUENTA=1)*(nCURSO=A225)*(nASIG=B225)*(nNOTA=5))</f>
        <v>0</v>
      </c>
      <c r="Q225">
        <f>SUMPRODUCT((nCUENTA=1)*(nCURSO=A225)*(nASIG=B225)*(nNOTA=6))</f>
        <v>0</v>
      </c>
      <c r="R225">
        <f>SUMPRODUCT((nCUENTA=1)*(nCURSO=A225)*(nASIG=B225)*(nNOTA=7))</f>
        <v>0</v>
      </c>
      <c r="S225">
        <f>SUMPRODUCT((nCUENTA=1)*(nCURSO=A225)*(nASIG=B225)*(nNOTA=8))</f>
        <v>0</v>
      </c>
      <c r="T225">
        <f>SUMPRODUCT((nCUENTA=1)*(nCURSO=A225)*(nASIG=B225)*(nNOTA=9))</f>
        <v>0</v>
      </c>
      <c r="U225">
        <f>SUMPRODUCT((nCUENTA=1)*(nCURSO=A225)*(nASIG=B225)*(nNOTA=10))</f>
        <v>0</v>
      </c>
    </row>
    <row r="226">
      <c r="A226" t="inlineStr">
        <is>
          <t xml:space="preserve">3EPM</t>
        </is>
      </c>
      <c r="B226" cm="1">
        <f t="array" ref="B226">IFERROR(INDEX(_xlfn._xlws.FILTER(CONFIG_ASIGNATURAS!$B$2:$B$91,(CONFIG_ASIGNATURAS!$G$2:$G$91="Sí")*ISNUMBER(SEARCH("3EPM",CONFIG_ASIGNATURAS!$C$2:$C$91))),23),"")</f>
      </c>
      <c r="C226">
        <f>IF(B226="","",IFERROR(VLOOKUP(B226,CONFIG_ASIGNATURAS!$B$2:$D$91,3,FALSE()),"Asignatura"))</f>
      </c>
      <c r="D226">
        <f>SUMPRODUCT((nCUENTA=1)*(nCURSO=A226)*(nASIG=B226))</f>
        <v>0</v>
      </c>
      <c r="E226" s="10" t="str">
        <f>IFERROR(SUMPRODUCT((nCUENTA=1)*(nCURSO=A226)*(nASIG=B226)*(nNOTA))/D226,"—")</f>
        <v>—</v>
      </c>
      <c r="F226" s="10" t="str" cm="1">
        <f t="array" ref="F226">IFERROR(_xlfn.STDEV.P(_xlfn._xlws.FILTER(nNOTA,(nCUENTA=1)*(nCURSO=A226)*(nASIG=B226))),"—")</f>
        <v>—</v>
      </c>
      <c r="G226" t="str" cm="1">
        <f t="array" ref="G226">IFERROR(_xlfn.MODE.SNGL(_xlfn._xlws.FILTER(nNOTA,(nCUENTA=1)*(nCURSO=A226)*(nASIG=B226))),"—")</f>
        <v>—</v>
      </c>
      <c r="H226" s="11" t="str">
        <f>IFERROR(SUMPRODUCT((nCUENTA=1)*(nCURSO=A226)*(nASIG=B226)*(nAPTO="S"))/D226,"—")</f>
        <v>—</v>
      </c>
      <c r="I226" s="11" t="str">
        <f>IFERROR(SUMPRODUCT((nCUENTA=1)*(nCURSO=A226)*(nASIG=B226)*(nAPTO="N"))/D226,"—")</f>
        <v>—</v>
      </c>
      <c r="J226" t="str" cm="1">
        <f t="array" ref="J226">IFERROR(_xlfn.MODE.SNGL(_xlfn._xlws.FILTER(nNOTA,(nCUENTA=1)*(nCURSO=A226)*(nASIG=B226)*(nAPTO="S"))),"—")</f>
        <v>—</v>
      </c>
      <c r="K226" t="str" cm="1">
        <f t="array" ref="K226">IFERROR(_xlfn.MODE.SNGL(_xlfn._xlws.FILTER(nNOTA,(nCUENTA=1)*(nCURSO=A226)*(nASIG=B226)*(nAPTO="N"))),"—")</f>
        <v>—</v>
      </c>
      <c r="L226">
        <f>SUMPRODUCT((nCUENTA=1)*(nCURSO=A226)*(nASIG=B226)*(nNOTA=1))</f>
        <v>0</v>
      </c>
      <c r="M226">
        <f>SUMPRODUCT((nCUENTA=1)*(nCURSO=A226)*(nASIG=B226)*(nNOTA=2))</f>
        <v>0</v>
      </c>
      <c r="N226">
        <f>SUMPRODUCT((nCUENTA=1)*(nCURSO=A226)*(nASIG=B226)*(nNOTA=3))</f>
        <v>0</v>
      </c>
      <c r="O226">
        <f>SUMPRODUCT((nCUENTA=1)*(nCURSO=A226)*(nASIG=B226)*(nNOTA=4))</f>
        <v>0</v>
      </c>
      <c r="P226">
        <f>SUMPRODUCT((nCUENTA=1)*(nCURSO=A226)*(nASIG=B226)*(nNOTA=5))</f>
        <v>0</v>
      </c>
      <c r="Q226">
        <f>SUMPRODUCT((nCUENTA=1)*(nCURSO=A226)*(nASIG=B226)*(nNOTA=6))</f>
        <v>0</v>
      </c>
      <c r="R226">
        <f>SUMPRODUCT((nCUENTA=1)*(nCURSO=A226)*(nASIG=B226)*(nNOTA=7))</f>
        <v>0</v>
      </c>
      <c r="S226">
        <f>SUMPRODUCT((nCUENTA=1)*(nCURSO=A226)*(nASIG=B226)*(nNOTA=8))</f>
        <v>0</v>
      </c>
      <c r="T226">
        <f>SUMPRODUCT((nCUENTA=1)*(nCURSO=A226)*(nASIG=B226)*(nNOTA=9))</f>
        <v>0</v>
      </c>
      <c r="U226">
        <f>SUMPRODUCT((nCUENTA=1)*(nCURSO=A226)*(nASIG=B226)*(nNOTA=10))</f>
        <v>0</v>
      </c>
    </row>
    <row r="227">
      <c r="A227" t="inlineStr">
        <is>
          <t xml:space="preserve">3EPM</t>
        </is>
      </c>
      <c r="B227" cm="1">
        <f t="array" ref="B227">IFERROR(INDEX(_xlfn._xlws.FILTER(CONFIG_ASIGNATURAS!$B$2:$B$91,(CONFIG_ASIGNATURAS!$G$2:$G$91="Sí")*ISNUMBER(SEARCH("3EPM",CONFIG_ASIGNATURAS!$C$2:$C$91))),24),"")</f>
      </c>
      <c r="C227">
        <f>IF(B227="","",IFERROR(VLOOKUP(B227,CONFIG_ASIGNATURAS!$B$2:$D$91,3,FALSE()),"Asignatura"))</f>
      </c>
      <c r="D227">
        <f>SUMPRODUCT((nCUENTA=1)*(nCURSO=A227)*(nASIG=B227))</f>
        <v>0</v>
      </c>
      <c r="E227" s="10" t="str">
        <f>IFERROR(SUMPRODUCT((nCUENTA=1)*(nCURSO=A227)*(nASIG=B227)*(nNOTA))/D227,"—")</f>
        <v>—</v>
      </c>
      <c r="F227" s="10" t="str" cm="1">
        <f t="array" ref="F227">IFERROR(_xlfn.STDEV.P(_xlfn._xlws.FILTER(nNOTA,(nCUENTA=1)*(nCURSO=A227)*(nASIG=B227))),"—")</f>
        <v>—</v>
      </c>
      <c r="G227" t="str" cm="1">
        <f t="array" ref="G227">IFERROR(_xlfn.MODE.SNGL(_xlfn._xlws.FILTER(nNOTA,(nCUENTA=1)*(nCURSO=A227)*(nASIG=B227))),"—")</f>
        <v>—</v>
      </c>
      <c r="H227" s="11" t="str">
        <f>IFERROR(SUMPRODUCT((nCUENTA=1)*(nCURSO=A227)*(nASIG=B227)*(nAPTO="S"))/D227,"—")</f>
        <v>—</v>
      </c>
      <c r="I227" s="11" t="str">
        <f>IFERROR(SUMPRODUCT((nCUENTA=1)*(nCURSO=A227)*(nASIG=B227)*(nAPTO="N"))/D227,"—")</f>
        <v>—</v>
      </c>
      <c r="J227" t="str" cm="1">
        <f t="array" ref="J227">IFERROR(_xlfn.MODE.SNGL(_xlfn._xlws.FILTER(nNOTA,(nCUENTA=1)*(nCURSO=A227)*(nASIG=B227)*(nAPTO="S"))),"—")</f>
        <v>—</v>
      </c>
      <c r="K227" t="str" cm="1">
        <f t="array" ref="K227">IFERROR(_xlfn.MODE.SNGL(_xlfn._xlws.FILTER(nNOTA,(nCUENTA=1)*(nCURSO=A227)*(nASIG=B227)*(nAPTO="N"))),"—")</f>
        <v>—</v>
      </c>
      <c r="L227">
        <f>SUMPRODUCT((nCUENTA=1)*(nCURSO=A227)*(nASIG=B227)*(nNOTA=1))</f>
        <v>0</v>
      </c>
      <c r="M227">
        <f>SUMPRODUCT((nCUENTA=1)*(nCURSO=A227)*(nASIG=B227)*(nNOTA=2))</f>
        <v>0</v>
      </c>
      <c r="N227">
        <f>SUMPRODUCT((nCUENTA=1)*(nCURSO=A227)*(nASIG=B227)*(nNOTA=3))</f>
        <v>0</v>
      </c>
      <c r="O227">
        <f>SUMPRODUCT((nCUENTA=1)*(nCURSO=A227)*(nASIG=B227)*(nNOTA=4))</f>
        <v>0</v>
      </c>
      <c r="P227">
        <f>SUMPRODUCT((nCUENTA=1)*(nCURSO=A227)*(nASIG=B227)*(nNOTA=5))</f>
        <v>0</v>
      </c>
      <c r="Q227">
        <f>SUMPRODUCT((nCUENTA=1)*(nCURSO=A227)*(nASIG=B227)*(nNOTA=6))</f>
        <v>0</v>
      </c>
      <c r="R227">
        <f>SUMPRODUCT((nCUENTA=1)*(nCURSO=A227)*(nASIG=B227)*(nNOTA=7))</f>
        <v>0</v>
      </c>
      <c r="S227">
        <f>SUMPRODUCT((nCUENTA=1)*(nCURSO=A227)*(nASIG=B227)*(nNOTA=8))</f>
        <v>0</v>
      </c>
      <c r="T227">
        <f>SUMPRODUCT((nCUENTA=1)*(nCURSO=A227)*(nASIG=B227)*(nNOTA=9))</f>
        <v>0</v>
      </c>
      <c r="U227">
        <f>SUMPRODUCT((nCUENTA=1)*(nCURSO=A227)*(nASIG=B227)*(nNOTA=10))</f>
        <v>0</v>
      </c>
    </row>
    <row r="228">
      <c r="A228" t="inlineStr">
        <is>
          <t xml:space="preserve">3EPM</t>
        </is>
      </c>
      <c r="B228" cm="1">
        <f t="array" ref="B228">IFERROR(INDEX(_xlfn._xlws.FILTER(CONFIG_ASIGNATURAS!$B$2:$B$91,(CONFIG_ASIGNATURAS!$G$2:$G$91="Sí")*ISNUMBER(SEARCH("3EPM",CONFIG_ASIGNATURAS!$C$2:$C$91))),25),"")</f>
      </c>
      <c r="C228">
        <f>IF(B228="","",IFERROR(VLOOKUP(B228,CONFIG_ASIGNATURAS!$B$2:$D$91,3,FALSE()),"Asignatura"))</f>
      </c>
      <c r="D228">
        <f>SUMPRODUCT((nCUENTA=1)*(nCURSO=A228)*(nASIG=B228))</f>
        <v>0</v>
      </c>
      <c r="E228" s="10" t="str">
        <f>IFERROR(SUMPRODUCT((nCUENTA=1)*(nCURSO=A228)*(nASIG=B228)*(nNOTA))/D228,"—")</f>
        <v>—</v>
      </c>
      <c r="F228" s="10" t="str" cm="1">
        <f t="array" ref="F228">IFERROR(_xlfn.STDEV.P(_xlfn._xlws.FILTER(nNOTA,(nCUENTA=1)*(nCURSO=A228)*(nASIG=B228))),"—")</f>
        <v>—</v>
      </c>
      <c r="G228" t="str" cm="1">
        <f t="array" ref="G228">IFERROR(_xlfn.MODE.SNGL(_xlfn._xlws.FILTER(nNOTA,(nCUENTA=1)*(nCURSO=A228)*(nASIG=B228))),"—")</f>
        <v>—</v>
      </c>
      <c r="H228" s="11" t="str">
        <f>IFERROR(SUMPRODUCT((nCUENTA=1)*(nCURSO=A228)*(nASIG=B228)*(nAPTO="S"))/D228,"—")</f>
        <v>—</v>
      </c>
      <c r="I228" s="11" t="str">
        <f>IFERROR(SUMPRODUCT((nCUENTA=1)*(nCURSO=A228)*(nASIG=B228)*(nAPTO="N"))/D228,"—")</f>
        <v>—</v>
      </c>
      <c r="J228" t="str" cm="1">
        <f t="array" ref="J228">IFERROR(_xlfn.MODE.SNGL(_xlfn._xlws.FILTER(nNOTA,(nCUENTA=1)*(nCURSO=A228)*(nASIG=B228)*(nAPTO="S"))),"—")</f>
        <v>—</v>
      </c>
      <c r="K228" t="str" cm="1">
        <f t="array" ref="K228">IFERROR(_xlfn.MODE.SNGL(_xlfn._xlws.FILTER(nNOTA,(nCUENTA=1)*(nCURSO=A228)*(nASIG=B228)*(nAPTO="N"))),"—")</f>
        <v>—</v>
      </c>
      <c r="L228">
        <f>SUMPRODUCT((nCUENTA=1)*(nCURSO=A228)*(nASIG=B228)*(nNOTA=1))</f>
        <v>0</v>
      </c>
      <c r="M228">
        <f>SUMPRODUCT((nCUENTA=1)*(nCURSO=A228)*(nASIG=B228)*(nNOTA=2))</f>
        <v>0</v>
      </c>
      <c r="N228">
        <f>SUMPRODUCT((nCUENTA=1)*(nCURSO=A228)*(nASIG=B228)*(nNOTA=3))</f>
        <v>0</v>
      </c>
      <c r="O228">
        <f>SUMPRODUCT((nCUENTA=1)*(nCURSO=A228)*(nASIG=B228)*(nNOTA=4))</f>
        <v>0</v>
      </c>
      <c r="P228">
        <f>SUMPRODUCT((nCUENTA=1)*(nCURSO=A228)*(nASIG=B228)*(nNOTA=5))</f>
        <v>0</v>
      </c>
      <c r="Q228">
        <f>SUMPRODUCT((nCUENTA=1)*(nCURSO=A228)*(nASIG=B228)*(nNOTA=6))</f>
        <v>0</v>
      </c>
      <c r="R228">
        <f>SUMPRODUCT((nCUENTA=1)*(nCURSO=A228)*(nASIG=B228)*(nNOTA=7))</f>
        <v>0</v>
      </c>
      <c r="S228">
        <f>SUMPRODUCT((nCUENTA=1)*(nCURSO=A228)*(nASIG=B228)*(nNOTA=8))</f>
        <v>0</v>
      </c>
      <c r="T228">
        <f>SUMPRODUCT((nCUENTA=1)*(nCURSO=A228)*(nASIG=B228)*(nNOTA=9))</f>
        <v>0</v>
      </c>
      <c r="U228">
        <f>SUMPRODUCT((nCUENTA=1)*(nCURSO=A228)*(nASIG=B228)*(nNOTA=10))</f>
        <v>0</v>
      </c>
    </row>
    <row r="229">
      <c r="A229" t="inlineStr">
        <is>
          <t xml:space="preserve">3EPM</t>
        </is>
      </c>
      <c r="B229" cm="1">
        <f t="array" ref="B229">IFERROR(INDEX(_xlfn._xlws.FILTER(CONFIG_ASIGNATURAS!$B$2:$B$91,(CONFIG_ASIGNATURAS!$G$2:$G$91="Sí")*ISNUMBER(SEARCH("3EPM",CONFIG_ASIGNATURAS!$C$2:$C$91))),26),"")</f>
      </c>
      <c r="C229">
        <f>IF(B229="","",IFERROR(VLOOKUP(B229,CONFIG_ASIGNATURAS!$B$2:$D$91,3,FALSE()),"Asignatura"))</f>
      </c>
      <c r="D229">
        <f>SUMPRODUCT((nCUENTA=1)*(nCURSO=A229)*(nASIG=B229))</f>
        <v>0</v>
      </c>
      <c r="E229" s="10" t="str">
        <f>IFERROR(SUMPRODUCT((nCUENTA=1)*(nCURSO=A229)*(nASIG=B229)*(nNOTA))/D229,"—")</f>
        <v>—</v>
      </c>
      <c r="F229" s="10" t="str" cm="1">
        <f t="array" ref="F229">IFERROR(_xlfn.STDEV.P(_xlfn._xlws.FILTER(nNOTA,(nCUENTA=1)*(nCURSO=A229)*(nASIG=B229))),"—")</f>
        <v>—</v>
      </c>
      <c r="G229" t="str" cm="1">
        <f t="array" ref="G229">IFERROR(_xlfn.MODE.SNGL(_xlfn._xlws.FILTER(nNOTA,(nCUENTA=1)*(nCURSO=A229)*(nASIG=B229))),"—")</f>
        <v>—</v>
      </c>
      <c r="H229" s="11" t="str">
        <f>IFERROR(SUMPRODUCT((nCUENTA=1)*(nCURSO=A229)*(nASIG=B229)*(nAPTO="S"))/D229,"—")</f>
        <v>—</v>
      </c>
      <c r="I229" s="11" t="str">
        <f>IFERROR(SUMPRODUCT((nCUENTA=1)*(nCURSO=A229)*(nASIG=B229)*(nAPTO="N"))/D229,"—")</f>
        <v>—</v>
      </c>
      <c r="J229" t="str" cm="1">
        <f t="array" ref="J229">IFERROR(_xlfn.MODE.SNGL(_xlfn._xlws.FILTER(nNOTA,(nCUENTA=1)*(nCURSO=A229)*(nASIG=B229)*(nAPTO="S"))),"—")</f>
        <v>—</v>
      </c>
      <c r="K229" t="str" cm="1">
        <f t="array" ref="K229">IFERROR(_xlfn.MODE.SNGL(_xlfn._xlws.FILTER(nNOTA,(nCUENTA=1)*(nCURSO=A229)*(nASIG=B229)*(nAPTO="N"))),"—")</f>
        <v>—</v>
      </c>
      <c r="L229">
        <f>SUMPRODUCT((nCUENTA=1)*(nCURSO=A229)*(nASIG=B229)*(nNOTA=1))</f>
        <v>0</v>
      </c>
      <c r="M229">
        <f>SUMPRODUCT((nCUENTA=1)*(nCURSO=A229)*(nASIG=B229)*(nNOTA=2))</f>
        <v>0</v>
      </c>
      <c r="N229">
        <f>SUMPRODUCT((nCUENTA=1)*(nCURSO=A229)*(nASIG=B229)*(nNOTA=3))</f>
        <v>0</v>
      </c>
      <c r="O229">
        <f>SUMPRODUCT((nCUENTA=1)*(nCURSO=A229)*(nASIG=B229)*(nNOTA=4))</f>
        <v>0</v>
      </c>
      <c r="P229">
        <f>SUMPRODUCT((nCUENTA=1)*(nCURSO=A229)*(nASIG=B229)*(nNOTA=5))</f>
        <v>0</v>
      </c>
      <c r="Q229">
        <f>SUMPRODUCT((nCUENTA=1)*(nCURSO=A229)*(nASIG=B229)*(nNOTA=6))</f>
        <v>0</v>
      </c>
      <c r="R229">
        <f>SUMPRODUCT((nCUENTA=1)*(nCURSO=A229)*(nASIG=B229)*(nNOTA=7))</f>
        <v>0</v>
      </c>
      <c r="S229">
        <f>SUMPRODUCT((nCUENTA=1)*(nCURSO=A229)*(nASIG=B229)*(nNOTA=8))</f>
        <v>0</v>
      </c>
      <c r="T229">
        <f>SUMPRODUCT((nCUENTA=1)*(nCURSO=A229)*(nASIG=B229)*(nNOTA=9))</f>
        <v>0</v>
      </c>
      <c r="U229">
        <f>SUMPRODUCT((nCUENTA=1)*(nCURSO=A229)*(nASIG=B229)*(nNOTA=10))</f>
        <v>0</v>
      </c>
    </row>
    <row r="230">
      <c r="A230" t="inlineStr">
        <is>
          <t xml:space="preserve">3EPM</t>
        </is>
      </c>
      <c r="B230" cm="1">
        <f t="array" ref="B230">IFERROR(INDEX(_xlfn._xlws.FILTER(CONFIG_ASIGNATURAS!$B$2:$B$91,(CONFIG_ASIGNATURAS!$G$2:$G$91="Sí")*ISNUMBER(SEARCH("3EPM",CONFIG_ASIGNATURAS!$C$2:$C$91))),27),"")</f>
      </c>
      <c r="C230">
        <f>IF(B230="","",IFERROR(VLOOKUP(B230,CONFIG_ASIGNATURAS!$B$2:$D$91,3,FALSE()),"Asignatura"))</f>
      </c>
      <c r="D230">
        <f>SUMPRODUCT((nCUENTA=1)*(nCURSO=A230)*(nASIG=B230))</f>
        <v>0</v>
      </c>
      <c r="E230" s="10" t="str">
        <f>IFERROR(SUMPRODUCT((nCUENTA=1)*(nCURSO=A230)*(nASIG=B230)*(nNOTA))/D230,"—")</f>
        <v>—</v>
      </c>
      <c r="F230" s="10" t="str" cm="1">
        <f t="array" ref="F230">IFERROR(_xlfn.STDEV.P(_xlfn._xlws.FILTER(nNOTA,(nCUENTA=1)*(nCURSO=A230)*(nASIG=B230))),"—")</f>
        <v>—</v>
      </c>
      <c r="G230" t="str" cm="1">
        <f t="array" ref="G230">IFERROR(_xlfn.MODE.SNGL(_xlfn._xlws.FILTER(nNOTA,(nCUENTA=1)*(nCURSO=A230)*(nASIG=B230))),"—")</f>
        <v>—</v>
      </c>
      <c r="H230" s="11" t="str">
        <f>IFERROR(SUMPRODUCT((nCUENTA=1)*(nCURSO=A230)*(nASIG=B230)*(nAPTO="S"))/D230,"—")</f>
        <v>—</v>
      </c>
      <c r="I230" s="11" t="str">
        <f>IFERROR(SUMPRODUCT((nCUENTA=1)*(nCURSO=A230)*(nASIG=B230)*(nAPTO="N"))/D230,"—")</f>
        <v>—</v>
      </c>
      <c r="J230" t="str" cm="1">
        <f t="array" ref="J230">IFERROR(_xlfn.MODE.SNGL(_xlfn._xlws.FILTER(nNOTA,(nCUENTA=1)*(nCURSO=A230)*(nASIG=B230)*(nAPTO="S"))),"—")</f>
        <v>—</v>
      </c>
      <c r="K230" t="str" cm="1">
        <f t="array" ref="K230">IFERROR(_xlfn.MODE.SNGL(_xlfn._xlws.FILTER(nNOTA,(nCUENTA=1)*(nCURSO=A230)*(nASIG=B230)*(nAPTO="N"))),"—")</f>
        <v>—</v>
      </c>
      <c r="L230">
        <f>SUMPRODUCT((nCUENTA=1)*(nCURSO=A230)*(nASIG=B230)*(nNOTA=1))</f>
        <v>0</v>
      </c>
      <c r="M230">
        <f>SUMPRODUCT((nCUENTA=1)*(nCURSO=A230)*(nASIG=B230)*(nNOTA=2))</f>
        <v>0</v>
      </c>
      <c r="N230">
        <f>SUMPRODUCT((nCUENTA=1)*(nCURSO=A230)*(nASIG=B230)*(nNOTA=3))</f>
        <v>0</v>
      </c>
      <c r="O230">
        <f>SUMPRODUCT((nCUENTA=1)*(nCURSO=A230)*(nASIG=B230)*(nNOTA=4))</f>
        <v>0</v>
      </c>
      <c r="P230">
        <f>SUMPRODUCT((nCUENTA=1)*(nCURSO=A230)*(nASIG=B230)*(nNOTA=5))</f>
        <v>0</v>
      </c>
      <c r="Q230">
        <f>SUMPRODUCT((nCUENTA=1)*(nCURSO=A230)*(nASIG=B230)*(nNOTA=6))</f>
        <v>0</v>
      </c>
      <c r="R230">
        <f>SUMPRODUCT((nCUENTA=1)*(nCURSO=A230)*(nASIG=B230)*(nNOTA=7))</f>
        <v>0</v>
      </c>
      <c r="S230">
        <f>SUMPRODUCT((nCUENTA=1)*(nCURSO=A230)*(nASIG=B230)*(nNOTA=8))</f>
        <v>0</v>
      </c>
      <c r="T230">
        <f>SUMPRODUCT((nCUENTA=1)*(nCURSO=A230)*(nASIG=B230)*(nNOTA=9))</f>
        <v>0</v>
      </c>
      <c r="U230">
        <f>SUMPRODUCT((nCUENTA=1)*(nCURSO=A230)*(nASIG=B230)*(nNOTA=10))</f>
        <v>0</v>
      </c>
    </row>
    <row r="231">
      <c r="A231" t="inlineStr">
        <is>
          <t xml:space="preserve">3EPM</t>
        </is>
      </c>
      <c r="B231" cm="1">
        <f t="array" ref="B231">IFERROR(INDEX(_xlfn._xlws.FILTER(CONFIG_ASIGNATURAS!$B$2:$B$91,(CONFIG_ASIGNATURAS!$G$2:$G$91="Sí")*ISNUMBER(SEARCH("3EPM",CONFIG_ASIGNATURAS!$C$2:$C$91))),28),"")</f>
      </c>
      <c r="C231">
        <f>IF(B231="","",IFERROR(VLOOKUP(B231,CONFIG_ASIGNATURAS!$B$2:$D$91,3,FALSE()),"Asignatura"))</f>
      </c>
      <c r="D231">
        <f>SUMPRODUCT((nCUENTA=1)*(nCURSO=A231)*(nASIG=B231))</f>
        <v>0</v>
      </c>
      <c r="E231" s="10" t="str">
        <f>IFERROR(SUMPRODUCT((nCUENTA=1)*(nCURSO=A231)*(nASIG=B231)*(nNOTA))/D231,"—")</f>
        <v>—</v>
      </c>
      <c r="F231" s="10" t="str" cm="1">
        <f t="array" ref="F231">IFERROR(_xlfn.STDEV.P(_xlfn._xlws.FILTER(nNOTA,(nCUENTA=1)*(nCURSO=A231)*(nASIG=B231))),"—")</f>
        <v>—</v>
      </c>
      <c r="G231" t="str" cm="1">
        <f t="array" ref="G231">IFERROR(_xlfn.MODE.SNGL(_xlfn._xlws.FILTER(nNOTA,(nCUENTA=1)*(nCURSO=A231)*(nASIG=B231))),"—")</f>
        <v>—</v>
      </c>
      <c r="H231" s="11" t="str">
        <f>IFERROR(SUMPRODUCT((nCUENTA=1)*(nCURSO=A231)*(nASIG=B231)*(nAPTO="S"))/D231,"—")</f>
        <v>—</v>
      </c>
      <c r="I231" s="11" t="str">
        <f>IFERROR(SUMPRODUCT((nCUENTA=1)*(nCURSO=A231)*(nASIG=B231)*(nAPTO="N"))/D231,"—")</f>
        <v>—</v>
      </c>
      <c r="J231" t="str" cm="1">
        <f t="array" ref="J231">IFERROR(_xlfn.MODE.SNGL(_xlfn._xlws.FILTER(nNOTA,(nCUENTA=1)*(nCURSO=A231)*(nASIG=B231)*(nAPTO="S"))),"—")</f>
        <v>—</v>
      </c>
      <c r="K231" t="str" cm="1">
        <f t="array" ref="K231">IFERROR(_xlfn.MODE.SNGL(_xlfn._xlws.FILTER(nNOTA,(nCUENTA=1)*(nCURSO=A231)*(nASIG=B231)*(nAPTO="N"))),"—")</f>
        <v>—</v>
      </c>
      <c r="L231">
        <f>SUMPRODUCT((nCUENTA=1)*(nCURSO=A231)*(nASIG=B231)*(nNOTA=1))</f>
        <v>0</v>
      </c>
      <c r="M231">
        <f>SUMPRODUCT((nCUENTA=1)*(nCURSO=A231)*(nASIG=B231)*(nNOTA=2))</f>
        <v>0</v>
      </c>
      <c r="N231">
        <f>SUMPRODUCT((nCUENTA=1)*(nCURSO=A231)*(nASIG=B231)*(nNOTA=3))</f>
        <v>0</v>
      </c>
      <c r="O231">
        <f>SUMPRODUCT((nCUENTA=1)*(nCURSO=A231)*(nASIG=B231)*(nNOTA=4))</f>
        <v>0</v>
      </c>
      <c r="P231">
        <f>SUMPRODUCT((nCUENTA=1)*(nCURSO=A231)*(nASIG=B231)*(nNOTA=5))</f>
        <v>0</v>
      </c>
      <c r="Q231">
        <f>SUMPRODUCT((nCUENTA=1)*(nCURSO=A231)*(nASIG=B231)*(nNOTA=6))</f>
        <v>0</v>
      </c>
      <c r="R231">
        <f>SUMPRODUCT((nCUENTA=1)*(nCURSO=A231)*(nASIG=B231)*(nNOTA=7))</f>
        <v>0</v>
      </c>
      <c r="S231">
        <f>SUMPRODUCT((nCUENTA=1)*(nCURSO=A231)*(nASIG=B231)*(nNOTA=8))</f>
        <v>0</v>
      </c>
      <c r="T231">
        <f>SUMPRODUCT((nCUENTA=1)*(nCURSO=A231)*(nASIG=B231)*(nNOTA=9))</f>
        <v>0</v>
      </c>
      <c r="U231">
        <f>SUMPRODUCT((nCUENTA=1)*(nCURSO=A231)*(nASIG=B231)*(nNOTA=10))</f>
        <v>0</v>
      </c>
    </row>
    <row r="232">
      <c r="A232" t="inlineStr">
        <is>
          <t xml:space="preserve">3EPM</t>
        </is>
      </c>
      <c r="B232" cm="1">
        <f t="array" ref="B232">IFERROR(INDEX(_xlfn._xlws.FILTER(CONFIG_ASIGNATURAS!$B$2:$B$91,(CONFIG_ASIGNATURAS!$G$2:$G$91="Sí")*ISNUMBER(SEARCH("3EPM",CONFIG_ASIGNATURAS!$C$2:$C$91))),29),"")</f>
      </c>
      <c r="C232">
        <f>IF(B232="","",IFERROR(VLOOKUP(B232,CONFIG_ASIGNATURAS!$B$2:$D$91,3,FALSE()),"Asignatura"))</f>
      </c>
      <c r="D232">
        <f>SUMPRODUCT((nCUENTA=1)*(nCURSO=A232)*(nASIG=B232))</f>
        <v>0</v>
      </c>
      <c r="E232" s="10" t="str">
        <f>IFERROR(SUMPRODUCT((nCUENTA=1)*(nCURSO=A232)*(nASIG=B232)*(nNOTA))/D232,"—")</f>
        <v>—</v>
      </c>
      <c r="F232" s="10" t="str" cm="1">
        <f t="array" ref="F232">IFERROR(_xlfn.STDEV.P(_xlfn._xlws.FILTER(nNOTA,(nCUENTA=1)*(nCURSO=A232)*(nASIG=B232))),"—")</f>
        <v>—</v>
      </c>
      <c r="G232" t="str" cm="1">
        <f t="array" ref="G232">IFERROR(_xlfn.MODE.SNGL(_xlfn._xlws.FILTER(nNOTA,(nCUENTA=1)*(nCURSO=A232)*(nASIG=B232))),"—")</f>
        <v>—</v>
      </c>
      <c r="H232" s="11" t="str">
        <f>IFERROR(SUMPRODUCT((nCUENTA=1)*(nCURSO=A232)*(nASIG=B232)*(nAPTO="S"))/D232,"—")</f>
        <v>—</v>
      </c>
      <c r="I232" s="11" t="str">
        <f>IFERROR(SUMPRODUCT((nCUENTA=1)*(nCURSO=A232)*(nASIG=B232)*(nAPTO="N"))/D232,"—")</f>
        <v>—</v>
      </c>
      <c r="J232" t="str" cm="1">
        <f t="array" ref="J232">IFERROR(_xlfn.MODE.SNGL(_xlfn._xlws.FILTER(nNOTA,(nCUENTA=1)*(nCURSO=A232)*(nASIG=B232)*(nAPTO="S"))),"—")</f>
        <v>—</v>
      </c>
      <c r="K232" t="str" cm="1">
        <f t="array" ref="K232">IFERROR(_xlfn.MODE.SNGL(_xlfn._xlws.FILTER(nNOTA,(nCUENTA=1)*(nCURSO=A232)*(nASIG=B232)*(nAPTO="N"))),"—")</f>
        <v>—</v>
      </c>
      <c r="L232">
        <f>SUMPRODUCT((nCUENTA=1)*(nCURSO=A232)*(nASIG=B232)*(nNOTA=1))</f>
        <v>0</v>
      </c>
      <c r="M232">
        <f>SUMPRODUCT((nCUENTA=1)*(nCURSO=A232)*(nASIG=B232)*(nNOTA=2))</f>
        <v>0</v>
      </c>
      <c r="N232">
        <f>SUMPRODUCT((nCUENTA=1)*(nCURSO=A232)*(nASIG=B232)*(nNOTA=3))</f>
        <v>0</v>
      </c>
      <c r="O232">
        <f>SUMPRODUCT((nCUENTA=1)*(nCURSO=A232)*(nASIG=B232)*(nNOTA=4))</f>
        <v>0</v>
      </c>
      <c r="P232">
        <f>SUMPRODUCT((nCUENTA=1)*(nCURSO=A232)*(nASIG=B232)*(nNOTA=5))</f>
        <v>0</v>
      </c>
      <c r="Q232">
        <f>SUMPRODUCT((nCUENTA=1)*(nCURSO=A232)*(nASIG=B232)*(nNOTA=6))</f>
        <v>0</v>
      </c>
      <c r="R232">
        <f>SUMPRODUCT((nCUENTA=1)*(nCURSO=A232)*(nASIG=B232)*(nNOTA=7))</f>
        <v>0</v>
      </c>
      <c r="S232">
        <f>SUMPRODUCT((nCUENTA=1)*(nCURSO=A232)*(nASIG=B232)*(nNOTA=8))</f>
        <v>0</v>
      </c>
      <c r="T232">
        <f>SUMPRODUCT((nCUENTA=1)*(nCURSO=A232)*(nASIG=B232)*(nNOTA=9))</f>
        <v>0</v>
      </c>
      <c r="U232">
        <f>SUMPRODUCT((nCUENTA=1)*(nCURSO=A232)*(nASIG=B232)*(nNOTA=10))</f>
        <v>0</v>
      </c>
    </row>
    <row r="233">
      <c r="A233" t="inlineStr">
        <is>
          <t xml:space="preserve">3EPM</t>
        </is>
      </c>
      <c r="B233" cm="1">
        <f t="array" ref="B233">IFERROR(INDEX(_xlfn._xlws.FILTER(CONFIG_ASIGNATURAS!$B$2:$B$91,(CONFIG_ASIGNATURAS!$G$2:$G$91="Sí")*ISNUMBER(SEARCH("3EPM",CONFIG_ASIGNATURAS!$C$2:$C$91))),30),"")</f>
      </c>
      <c r="C233">
        <f>IF(B233="","",IFERROR(VLOOKUP(B233,CONFIG_ASIGNATURAS!$B$2:$D$91,3,FALSE()),"Asignatura"))</f>
      </c>
      <c r="D233">
        <f>SUMPRODUCT((nCUENTA=1)*(nCURSO=A233)*(nASIG=B233))</f>
        <v>0</v>
      </c>
      <c r="E233" s="10" t="str">
        <f>IFERROR(SUMPRODUCT((nCUENTA=1)*(nCURSO=A233)*(nASIG=B233)*(nNOTA))/D233,"—")</f>
        <v>—</v>
      </c>
      <c r="F233" s="10" t="str" cm="1">
        <f t="array" ref="F233">IFERROR(_xlfn.STDEV.P(_xlfn._xlws.FILTER(nNOTA,(nCUENTA=1)*(nCURSO=A233)*(nASIG=B233))),"—")</f>
        <v>—</v>
      </c>
      <c r="G233" t="str" cm="1">
        <f t="array" ref="G233">IFERROR(_xlfn.MODE.SNGL(_xlfn._xlws.FILTER(nNOTA,(nCUENTA=1)*(nCURSO=A233)*(nASIG=B233))),"—")</f>
        <v>—</v>
      </c>
      <c r="H233" s="11" t="str">
        <f>IFERROR(SUMPRODUCT((nCUENTA=1)*(nCURSO=A233)*(nASIG=B233)*(nAPTO="S"))/D233,"—")</f>
        <v>—</v>
      </c>
      <c r="I233" s="11" t="str">
        <f>IFERROR(SUMPRODUCT((nCUENTA=1)*(nCURSO=A233)*(nASIG=B233)*(nAPTO="N"))/D233,"—")</f>
        <v>—</v>
      </c>
      <c r="J233" t="str" cm="1">
        <f t="array" ref="J233">IFERROR(_xlfn.MODE.SNGL(_xlfn._xlws.FILTER(nNOTA,(nCUENTA=1)*(nCURSO=A233)*(nASIG=B233)*(nAPTO="S"))),"—")</f>
        <v>—</v>
      </c>
      <c r="K233" t="str" cm="1">
        <f t="array" ref="K233">IFERROR(_xlfn.MODE.SNGL(_xlfn._xlws.FILTER(nNOTA,(nCUENTA=1)*(nCURSO=A233)*(nASIG=B233)*(nAPTO="N"))),"—")</f>
        <v>—</v>
      </c>
      <c r="L233">
        <f>SUMPRODUCT((nCUENTA=1)*(nCURSO=A233)*(nASIG=B233)*(nNOTA=1))</f>
        <v>0</v>
      </c>
      <c r="M233">
        <f>SUMPRODUCT((nCUENTA=1)*(nCURSO=A233)*(nASIG=B233)*(nNOTA=2))</f>
        <v>0</v>
      </c>
      <c r="N233">
        <f>SUMPRODUCT((nCUENTA=1)*(nCURSO=A233)*(nASIG=B233)*(nNOTA=3))</f>
        <v>0</v>
      </c>
      <c r="O233">
        <f>SUMPRODUCT((nCUENTA=1)*(nCURSO=A233)*(nASIG=B233)*(nNOTA=4))</f>
        <v>0</v>
      </c>
      <c r="P233">
        <f>SUMPRODUCT((nCUENTA=1)*(nCURSO=A233)*(nASIG=B233)*(nNOTA=5))</f>
        <v>0</v>
      </c>
      <c r="Q233">
        <f>SUMPRODUCT((nCUENTA=1)*(nCURSO=A233)*(nASIG=B233)*(nNOTA=6))</f>
        <v>0</v>
      </c>
      <c r="R233">
        <f>SUMPRODUCT((nCUENTA=1)*(nCURSO=A233)*(nASIG=B233)*(nNOTA=7))</f>
        <v>0</v>
      </c>
      <c r="S233">
        <f>SUMPRODUCT((nCUENTA=1)*(nCURSO=A233)*(nASIG=B233)*(nNOTA=8))</f>
        <v>0</v>
      </c>
      <c r="T233">
        <f>SUMPRODUCT((nCUENTA=1)*(nCURSO=A233)*(nASIG=B233)*(nNOTA=9))</f>
        <v>0</v>
      </c>
      <c r="U233">
        <f>SUMPRODUCT((nCUENTA=1)*(nCURSO=A233)*(nASIG=B233)*(nNOTA=10))</f>
        <v>0</v>
      </c>
    </row>
    <row r="234">
      <c r="A234" t="inlineStr">
        <is>
          <t xml:space="preserve">3EPM</t>
        </is>
      </c>
      <c r="B234" cm="1">
        <f t="array" ref="B234">IFERROR(INDEX(_xlfn._xlws.FILTER(CONFIG_ASIGNATURAS!$B$2:$B$91,(CONFIG_ASIGNATURAS!$G$2:$G$91="Sí")*ISNUMBER(SEARCH("3EPM",CONFIG_ASIGNATURAS!$C$2:$C$91))),31),"")</f>
      </c>
      <c r="C234">
        <f>IF(B234="","",IFERROR(VLOOKUP(B234,CONFIG_ASIGNATURAS!$B$2:$D$91,3,FALSE()),"Asignatura"))</f>
      </c>
      <c r="D234">
        <f>SUMPRODUCT((nCUENTA=1)*(nCURSO=A234)*(nASIG=B234))</f>
        <v>0</v>
      </c>
      <c r="E234" s="10" t="str">
        <f>IFERROR(SUMPRODUCT((nCUENTA=1)*(nCURSO=A234)*(nASIG=B234)*(nNOTA))/D234,"—")</f>
        <v>—</v>
      </c>
      <c r="F234" s="10" t="str" cm="1">
        <f t="array" ref="F234">IFERROR(_xlfn.STDEV.P(_xlfn._xlws.FILTER(nNOTA,(nCUENTA=1)*(nCURSO=A234)*(nASIG=B234))),"—")</f>
        <v>—</v>
      </c>
      <c r="G234" t="str" cm="1">
        <f t="array" ref="G234">IFERROR(_xlfn.MODE.SNGL(_xlfn._xlws.FILTER(nNOTA,(nCUENTA=1)*(nCURSO=A234)*(nASIG=B234))),"—")</f>
        <v>—</v>
      </c>
      <c r="H234" s="11" t="str">
        <f>IFERROR(SUMPRODUCT((nCUENTA=1)*(nCURSO=A234)*(nASIG=B234)*(nAPTO="S"))/D234,"—")</f>
        <v>—</v>
      </c>
      <c r="I234" s="11" t="str">
        <f>IFERROR(SUMPRODUCT((nCUENTA=1)*(nCURSO=A234)*(nASIG=B234)*(nAPTO="N"))/D234,"—")</f>
        <v>—</v>
      </c>
      <c r="J234" t="str" cm="1">
        <f t="array" ref="J234">IFERROR(_xlfn.MODE.SNGL(_xlfn._xlws.FILTER(nNOTA,(nCUENTA=1)*(nCURSO=A234)*(nASIG=B234)*(nAPTO="S"))),"—")</f>
        <v>—</v>
      </c>
      <c r="K234" t="str" cm="1">
        <f t="array" ref="K234">IFERROR(_xlfn.MODE.SNGL(_xlfn._xlws.FILTER(nNOTA,(nCUENTA=1)*(nCURSO=A234)*(nASIG=B234)*(nAPTO="N"))),"—")</f>
        <v>—</v>
      </c>
      <c r="L234">
        <f>SUMPRODUCT((nCUENTA=1)*(nCURSO=A234)*(nASIG=B234)*(nNOTA=1))</f>
        <v>0</v>
      </c>
      <c r="M234">
        <f>SUMPRODUCT((nCUENTA=1)*(nCURSO=A234)*(nASIG=B234)*(nNOTA=2))</f>
        <v>0</v>
      </c>
      <c r="N234">
        <f>SUMPRODUCT((nCUENTA=1)*(nCURSO=A234)*(nASIG=B234)*(nNOTA=3))</f>
        <v>0</v>
      </c>
      <c r="O234">
        <f>SUMPRODUCT((nCUENTA=1)*(nCURSO=A234)*(nASIG=B234)*(nNOTA=4))</f>
        <v>0</v>
      </c>
      <c r="P234">
        <f>SUMPRODUCT((nCUENTA=1)*(nCURSO=A234)*(nASIG=B234)*(nNOTA=5))</f>
        <v>0</v>
      </c>
      <c r="Q234">
        <f>SUMPRODUCT((nCUENTA=1)*(nCURSO=A234)*(nASIG=B234)*(nNOTA=6))</f>
        <v>0</v>
      </c>
      <c r="R234">
        <f>SUMPRODUCT((nCUENTA=1)*(nCURSO=A234)*(nASIG=B234)*(nNOTA=7))</f>
        <v>0</v>
      </c>
      <c r="S234">
        <f>SUMPRODUCT((nCUENTA=1)*(nCURSO=A234)*(nASIG=B234)*(nNOTA=8))</f>
        <v>0</v>
      </c>
      <c r="T234">
        <f>SUMPRODUCT((nCUENTA=1)*(nCURSO=A234)*(nASIG=B234)*(nNOTA=9))</f>
        <v>0</v>
      </c>
      <c r="U234">
        <f>SUMPRODUCT((nCUENTA=1)*(nCURSO=A234)*(nASIG=B234)*(nNOTA=10))</f>
        <v>0</v>
      </c>
    </row>
    <row r="235">
      <c r="A235" t="inlineStr">
        <is>
          <t xml:space="preserve">3EPM</t>
        </is>
      </c>
      <c r="B235" cm="1">
        <f t="array" ref="B235">IFERROR(INDEX(_xlfn._xlws.FILTER(CONFIG_ASIGNATURAS!$B$2:$B$91,(CONFIG_ASIGNATURAS!$G$2:$G$91="Sí")*ISNUMBER(SEARCH("3EPM",CONFIG_ASIGNATURAS!$C$2:$C$91))),32),"")</f>
      </c>
      <c r="C235">
        <f>IF(B235="","",IFERROR(VLOOKUP(B235,CONFIG_ASIGNATURAS!$B$2:$D$91,3,FALSE()),"Asignatura"))</f>
      </c>
      <c r="D235">
        <f>SUMPRODUCT((nCUENTA=1)*(nCURSO=A235)*(nASIG=B235))</f>
        <v>0</v>
      </c>
      <c r="E235" s="10" t="str">
        <f>IFERROR(SUMPRODUCT((nCUENTA=1)*(nCURSO=A235)*(nASIG=B235)*(nNOTA))/D235,"—")</f>
        <v>—</v>
      </c>
      <c r="F235" s="10" t="str" cm="1">
        <f t="array" ref="F235">IFERROR(_xlfn.STDEV.P(_xlfn._xlws.FILTER(nNOTA,(nCUENTA=1)*(nCURSO=A235)*(nASIG=B235))),"—")</f>
        <v>—</v>
      </c>
      <c r="G235" t="str" cm="1">
        <f t="array" ref="G235">IFERROR(_xlfn.MODE.SNGL(_xlfn._xlws.FILTER(nNOTA,(nCUENTA=1)*(nCURSO=A235)*(nASIG=B235))),"—")</f>
        <v>—</v>
      </c>
      <c r="H235" s="11" t="str">
        <f>IFERROR(SUMPRODUCT((nCUENTA=1)*(nCURSO=A235)*(nASIG=B235)*(nAPTO="S"))/D235,"—")</f>
        <v>—</v>
      </c>
      <c r="I235" s="11" t="str">
        <f>IFERROR(SUMPRODUCT((nCUENTA=1)*(nCURSO=A235)*(nASIG=B235)*(nAPTO="N"))/D235,"—")</f>
        <v>—</v>
      </c>
      <c r="J235" t="str" cm="1">
        <f t="array" ref="J235">IFERROR(_xlfn.MODE.SNGL(_xlfn._xlws.FILTER(nNOTA,(nCUENTA=1)*(nCURSO=A235)*(nASIG=B235)*(nAPTO="S"))),"—")</f>
        <v>—</v>
      </c>
      <c r="K235" t="str" cm="1">
        <f t="array" ref="K235">IFERROR(_xlfn.MODE.SNGL(_xlfn._xlws.FILTER(nNOTA,(nCUENTA=1)*(nCURSO=A235)*(nASIG=B235)*(nAPTO="N"))),"—")</f>
        <v>—</v>
      </c>
      <c r="L235">
        <f>SUMPRODUCT((nCUENTA=1)*(nCURSO=A235)*(nASIG=B235)*(nNOTA=1))</f>
        <v>0</v>
      </c>
      <c r="M235">
        <f>SUMPRODUCT((nCUENTA=1)*(nCURSO=A235)*(nASIG=B235)*(nNOTA=2))</f>
        <v>0</v>
      </c>
      <c r="N235">
        <f>SUMPRODUCT((nCUENTA=1)*(nCURSO=A235)*(nASIG=B235)*(nNOTA=3))</f>
        <v>0</v>
      </c>
      <c r="O235">
        <f>SUMPRODUCT((nCUENTA=1)*(nCURSO=A235)*(nASIG=B235)*(nNOTA=4))</f>
        <v>0</v>
      </c>
      <c r="P235">
        <f>SUMPRODUCT((nCUENTA=1)*(nCURSO=A235)*(nASIG=B235)*(nNOTA=5))</f>
        <v>0</v>
      </c>
      <c r="Q235">
        <f>SUMPRODUCT((nCUENTA=1)*(nCURSO=A235)*(nASIG=B235)*(nNOTA=6))</f>
        <v>0</v>
      </c>
      <c r="R235">
        <f>SUMPRODUCT((nCUENTA=1)*(nCURSO=A235)*(nASIG=B235)*(nNOTA=7))</f>
        <v>0</v>
      </c>
      <c r="S235">
        <f>SUMPRODUCT((nCUENTA=1)*(nCURSO=A235)*(nASIG=B235)*(nNOTA=8))</f>
        <v>0</v>
      </c>
      <c r="T235">
        <f>SUMPRODUCT((nCUENTA=1)*(nCURSO=A235)*(nASIG=B235)*(nNOTA=9))</f>
        <v>0</v>
      </c>
      <c r="U235">
        <f>SUMPRODUCT((nCUENTA=1)*(nCURSO=A235)*(nASIG=B235)*(nNOTA=10))</f>
        <v>0</v>
      </c>
    </row>
    <row r="236">
      <c r="A236" t="inlineStr">
        <is>
          <t xml:space="preserve">3EPM</t>
        </is>
      </c>
      <c r="B236" cm="1">
        <f t="array" ref="B236">IFERROR(INDEX(_xlfn._xlws.FILTER(CONFIG_ASIGNATURAS!$B$2:$B$91,(CONFIG_ASIGNATURAS!$G$2:$G$91="Sí")*ISNUMBER(SEARCH("3EPM",CONFIG_ASIGNATURAS!$C$2:$C$91))),33),"")</f>
      </c>
      <c r="C236">
        <f>IF(B236="","",IFERROR(VLOOKUP(B236,CONFIG_ASIGNATURAS!$B$2:$D$91,3,FALSE()),"Asignatura"))</f>
      </c>
      <c r="D236">
        <f>SUMPRODUCT((nCUENTA=1)*(nCURSO=A236)*(nASIG=B236))</f>
        <v>0</v>
      </c>
      <c r="E236" s="10" t="str">
        <f>IFERROR(SUMPRODUCT((nCUENTA=1)*(nCURSO=A236)*(nASIG=B236)*(nNOTA))/D236,"—")</f>
        <v>—</v>
      </c>
      <c r="F236" s="10" t="str" cm="1">
        <f t="array" ref="F236">IFERROR(_xlfn.STDEV.P(_xlfn._xlws.FILTER(nNOTA,(nCUENTA=1)*(nCURSO=A236)*(nASIG=B236))),"—")</f>
        <v>—</v>
      </c>
      <c r="G236" t="str" cm="1">
        <f t="array" ref="G236">IFERROR(_xlfn.MODE.SNGL(_xlfn._xlws.FILTER(nNOTA,(nCUENTA=1)*(nCURSO=A236)*(nASIG=B236))),"—")</f>
        <v>—</v>
      </c>
      <c r="H236" s="11" t="str">
        <f>IFERROR(SUMPRODUCT((nCUENTA=1)*(nCURSO=A236)*(nASIG=B236)*(nAPTO="S"))/D236,"—")</f>
        <v>—</v>
      </c>
      <c r="I236" s="11" t="str">
        <f>IFERROR(SUMPRODUCT((nCUENTA=1)*(nCURSO=A236)*(nASIG=B236)*(nAPTO="N"))/D236,"—")</f>
        <v>—</v>
      </c>
      <c r="J236" t="str" cm="1">
        <f t="array" ref="J236">IFERROR(_xlfn.MODE.SNGL(_xlfn._xlws.FILTER(nNOTA,(nCUENTA=1)*(nCURSO=A236)*(nASIG=B236)*(nAPTO="S"))),"—")</f>
        <v>—</v>
      </c>
      <c r="K236" t="str" cm="1">
        <f t="array" ref="K236">IFERROR(_xlfn.MODE.SNGL(_xlfn._xlws.FILTER(nNOTA,(nCUENTA=1)*(nCURSO=A236)*(nASIG=B236)*(nAPTO="N"))),"—")</f>
        <v>—</v>
      </c>
      <c r="L236">
        <f>SUMPRODUCT((nCUENTA=1)*(nCURSO=A236)*(nASIG=B236)*(nNOTA=1))</f>
        <v>0</v>
      </c>
      <c r="M236">
        <f>SUMPRODUCT((nCUENTA=1)*(nCURSO=A236)*(nASIG=B236)*(nNOTA=2))</f>
        <v>0</v>
      </c>
      <c r="N236">
        <f>SUMPRODUCT((nCUENTA=1)*(nCURSO=A236)*(nASIG=B236)*(nNOTA=3))</f>
        <v>0</v>
      </c>
      <c r="O236">
        <f>SUMPRODUCT((nCUENTA=1)*(nCURSO=A236)*(nASIG=B236)*(nNOTA=4))</f>
        <v>0</v>
      </c>
      <c r="P236">
        <f>SUMPRODUCT((nCUENTA=1)*(nCURSO=A236)*(nASIG=B236)*(nNOTA=5))</f>
        <v>0</v>
      </c>
      <c r="Q236">
        <f>SUMPRODUCT((nCUENTA=1)*(nCURSO=A236)*(nASIG=B236)*(nNOTA=6))</f>
        <v>0</v>
      </c>
      <c r="R236">
        <f>SUMPRODUCT((nCUENTA=1)*(nCURSO=A236)*(nASIG=B236)*(nNOTA=7))</f>
        <v>0</v>
      </c>
      <c r="S236">
        <f>SUMPRODUCT((nCUENTA=1)*(nCURSO=A236)*(nASIG=B236)*(nNOTA=8))</f>
        <v>0</v>
      </c>
      <c r="T236">
        <f>SUMPRODUCT((nCUENTA=1)*(nCURSO=A236)*(nASIG=B236)*(nNOTA=9))</f>
        <v>0</v>
      </c>
      <c r="U236">
        <f>SUMPRODUCT((nCUENTA=1)*(nCURSO=A236)*(nASIG=B236)*(nNOTA=10))</f>
        <v>0</v>
      </c>
    </row>
    <row r="237">
      <c r="A237" t="inlineStr">
        <is>
          <t xml:space="preserve">3EPM</t>
        </is>
      </c>
      <c r="B237" cm="1">
        <f t="array" ref="B237">IFERROR(INDEX(_xlfn._xlws.FILTER(CONFIG_ASIGNATURAS!$B$2:$B$91,(CONFIG_ASIGNATURAS!$G$2:$G$91="Sí")*ISNUMBER(SEARCH("3EPM",CONFIG_ASIGNATURAS!$C$2:$C$91))),34),"")</f>
      </c>
      <c r="C237">
        <f>IF(B237="","",IFERROR(VLOOKUP(B237,CONFIG_ASIGNATURAS!$B$2:$D$91,3,FALSE()),"Asignatura"))</f>
      </c>
      <c r="D237">
        <f>SUMPRODUCT((nCUENTA=1)*(nCURSO=A237)*(nASIG=B237))</f>
        <v>0</v>
      </c>
      <c r="E237" s="10" t="str">
        <f>IFERROR(SUMPRODUCT((nCUENTA=1)*(nCURSO=A237)*(nASIG=B237)*(nNOTA))/D237,"—")</f>
        <v>—</v>
      </c>
      <c r="F237" s="10" t="str" cm="1">
        <f t="array" ref="F237">IFERROR(_xlfn.STDEV.P(_xlfn._xlws.FILTER(nNOTA,(nCUENTA=1)*(nCURSO=A237)*(nASIG=B237))),"—")</f>
        <v>—</v>
      </c>
      <c r="G237" t="str" cm="1">
        <f t="array" ref="G237">IFERROR(_xlfn.MODE.SNGL(_xlfn._xlws.FILTER(nNOTA,(nCUENTA=1)*(nCURSO=A237)*(nASIG=B237))),"—")</f>
        <v>—</v>
      </c>
      <c r="H237" s="11" t="str">
        <f>IFERROR(SUMPRODUCT((nCUENTA=1)*(nCURSO=A237)*(nASIG=B237)*(nAPTO="S"))/D237,"—")</f>
        <v>—</v>
      </c>
      <c r="I237" s="11" t="str">
        <f>IFERROR(SUMPRODUCT((nCUENTA=1)*(nCURSO=A237)*(nASIG=B237)*(nAPTO="N"))/D237,"—")</f>
        <v>—</v>
      </c>
      <c r="J237" t="str" cm="1">
        <f t="array" ref="J237">IFERROR(_xlfn.MODE.SNGL(_xlfn._xlws.FILTER(nNOTA,(nCUENTA=1)*(nCURSO=A237)*(nASIG=B237)*(nAPTO="S"))),"—")</f>
        <v>—</v>
      </c>
      <c r="K237" t="str" cm="1">
        <f t="array" ref="K237">IFERROR(_xlfn.MODE.SNGL(_xlfn._xlws.FILTER(nNOTA,(nCUENTA=1)*(nCURSO=A237)*(nASIG=B237)*(nAPTO="N"))),"—")</f>
        <v>—</v>
      </c>
      <c r="L237">
        <f>SUMPRODUCT((nCUENTA=1)*(nCURSO=A237)*(nASIG=B237)*(nNOTA=1))</f>
        <v>0</v>
      </c>
      <c r="M237">
        <f>SUMPRODUCT((nCUENTA=1)*(nCURSO=A237)*(nASIG=B237)*(nNOTA=2))</f>
        <v>0</v>
      </c>
      <c r="N237">
        <f>SUMPRODUCT((nCUENTA=1)*(nCURSO=A237)*(nASIG=B237)*(nNOTA=3))</f>
        <v>0</v>
      </c>
      <c r="O237">
        <f>SUMPRODUCT((nCUENTA=1)*(nCURSO=A237)*(nASIG=B237)*(nNOTA=4))</f>
        <v>0</v>
      </c>
      <c r="P237">
        <f>SUMPRODUCT((nCUENTA=1)*(nCURSO=A237)*(nASIG=B237)*(nNOTA=5))</f>
        <v>0</v>
      </c>
      <c r="Q237">
        <f>SUMPRODUCT((nCUENTA=1)*(nCURSO=A237)*(nASIG=B237)*(nNOTA=6))</f>
        <v>0</v>
      </c>
      <c r="R237">
        <f>SUMPRODUCT((nCUENTA=1)*(nCURSO=A237)*(nASIG=B237)*(nNOTA=7))</f>
        <v>0</v>
      </c>
      <c r="S237">
        <f>SUMPRODUCT((nCUENTA=1)*(nCURSO=A237)*(nASIG=B237)*(nNOTA=8))</f>
        <v>0</v>
      </c>
      <c r="T237">
        <f>SUMPRODUCT((nCUENTA=1)*(nCURSO=A237)*(nASIG=B237)*(nNOTA=9))</f>
        <v>0</v>
      </c>
      <c r="U237">
        <f>SUMPRODUCT((nCUENTA=1)*(nCURSO=A237)*(nASIG=B237)*(nNOTA=10))</f>
        <v>0</v>
      </c>
    </row>
    <row r="238">
      <c r="A238" t="inlineStr">
        <is>
          <t xml:space="preserve">3EPM</t>
        </is>
      </c>
      <c r="B238" cm="1">
        <f t="array" ref="B238">IFERROR(INDEX(_xlfn._xlws.FILTER(CONFIG_ASIGNATURAS!$B$2:$B$91,(CONFIG_ASIGNATURAS!$G$2:$G$91="Sí")*ISNUMBER(SEARCH("3EPM",CONFIG_ASIGNATURAS!$C$2:$C$91))),35),"")</f>
      </c>
      <c r="C238">
        <f>IF(B238="","",IFERROR(VLOOKUP(B238,CONFIG_ASIGNATURAS!$B$2:$D$91,3,FALSE()),"Asignatura"))</f>
      </c>
      <c r="D238">
        <f>SUMPRODUCT((nCUENTA=1)*(nCURSO=A238)*(nASIG=B238))</f>
        <v>0</v>
      </c>
      <c r="E238" s="10" t="str">
        <f>IFERROR(SUMPRODUCT((nCUENTA=1)*(nCURSO=A238)*(nASIG=B238)*(nNOTA))/D238,"—")</f>
        <v>—</v>
      </c>
      <c r="F238" s="10" t="str" cm="1">
        <f t="array" ref="F238">IFERROR(_xlfn.STDEV.P(_xlfn._xlws.FILTER(nNOTA,(nCUENTA=1)*(nCURSO=A238)*(nASIG=B238))),"—")</f>
        <v>—</v>
      </c>
      <c r="G238" t="str" cm="1">
        <f t="array" ref="G238">IFERROR(_xlfn.MODE.SNGL(_xlfn._xlws.FILTER(nNOTA,(nCUENTA=1)*(nCURSO=A238)*(nASIG=B238))),"—")</f>
        <v>—</v>
      </c>
      <c r="H238" s="11" t="str">
        <f>IFERROR(SUMPRODUCT((nCUENTA=1)*(nCURSO=A238)*(nASIG=B238)*(nAPTO="S"))/D238,"—")</f>
        <v>—</v>
      </c>
      <c r="I238" s="11" t="str">
        <f>IFERROR(SUMPRODUCT((nCUENTA=1)*(nCURSO=A238)*(nASIG=B238)*(nAPTO="N"))/D238,"—")</f>
        <v>—</v>
      </c>
      <c r="J238" t="str" cm="1">
        <f t="array" ref="J238">IFERROR(_xlfn.MODE.SNGL(_xlfn._xlws.FILTER(nNOTA,(nCUENTA=1)*(nCURSO=A238)*(nASIG=B238)*(nAPTO="S"))),"—")</f>
        <v>—</v>
      </c>
      <c r="K238" t="str" cm="1">
        <f t="array" ref="K238">IFERROR(_xlfn.MODE.SNGL(_xlfn._xlws.FILTER(nNOTA,(nCUENTA=1)*(nCURSO=A238)*(nASIG=B238)*(nAPTO="N"))),"—")</f>
        <v>—</v>
      </c>
      <c r="L238">
        <f>SUMPRODUCT((nCUENTA=1)*(nCURSO=A238)*(nASIG=B238)*(nNOTA=1))</f>
        <v>0</v>
      </c>
      <c r="M238">
        <f>SUMPRODUCT((nCUENTA=1)*(nCURSO=A238)*(nASIG=B238)*(nNOTA=2))</f>
        <v>0</v>
      </c>
      <c r="N238">
        <f>SUMPRODUCT((nCUENTA=1)*(nCURSO=A238)*(nASIG=B238)*(nNOTA=3))</f>
        <v>0</v>
      </c>
      <c r="O238">
        <f>SUMPRODUCT((nCUENTA=1)*(nCURSO=A238)*(nASIG=B238)*(nNOTA=4))</f>
        <v>0</v>
      </c>
      <c r="P238">
        <f>SUMPRODUCT((nCUENTA=1)*(nCURSO=A238)*(nASIG=B238)*(nNOTA=5))</f>
        <v>0</v>
      </c>
      <c r="Q238">
        <f>SUMPRODUCT((nCUENTA=1)*(nCURSO=A238)*(nASIG=B238)*(nNOTA=6))</f>
        <v>0</v>
      </c>
      <c r="R238">
        <f>SUMPRODUCT((nCUENTA=1)*(nCURSO=A238)*(nASIG=B238)*(nNOTA=7))</f>
        <v>0</v>
      </c>
      <c r="S238">
        <f>SUMPRODUCT((nCUENTA=1)*(nCURSO=A238)*(nASIG=B238)*(nNOTA=8))</f>
        <v>0</v>
      </c>
      <c r="T238">
        <f>SUMPRODUCT((nCUENTA=1)*(nCURSO=A238)*(nASIG=B238)*(nNOTA=9))</f>
        <v>0</v>
      </c>
      <c r="U238">
        <f>SUMPRODUCT((nCUENTA=1)*(nCURSO=A238)*(nASIG=B238)*(nNOTA=10))</f>
        <v>0</v>
      </c>
    </row>
    <row r="239">
      <c r="A239" t="inlineStr">
        <is>
          <t xml:space="preserve">3EPM</t>
        </is>
      </c>
      <c r="B239" cm="1">
        <f t="array" ref="B239">IFERROR(INDEX(_xlfn._xlws.FILTER(CONFIG_ASIGNATURAS!$B$2:$B$91,(CONFIG_ASIGNATURAS!$G$2:$G$91="Sí")*ISNUMBER(SEARCH("3EPM",CONFIG_ASIGNATURAS!$C$2:$C$91))),36),"")</f>
      </c>
      <c r="C239">
        <f>IF(B239="","",IFERROR(VLOOKUP(B239,CONFIG_ASIGNATURAS!$B$2:$D$91,3,FALSE()),"Asignatura"))</f>
      </c>
      <c r="D239">
        <f>SUMPRODUCT((nCUENTA=1)*(nCURSO=A239)*(nASIG=B239))</f>
        <v>0</v>
      </c>
      <c r="E239" s="10" t="str">
        <f>IFERROR(SUMPRODUCT((nCUENTA=1)*(nCURSO=A239)*(nASIG=B239)*(nNOTA))/D239,"—")</f>
        <v>—</v>
      </c>
      <c r="F239" s="10" t="str" cm="1">
        <f t="array" ref="F239">IFERROR(_xlfn.STDEV.P(_xlfn._xlws.FILTER(nNOTA,(nCUENTA=1)*(nCURSO=A239)*(nASIG=B239))),"—")</f>
        <v>—</v>
      </c>
      <c r="G239" t="str" cm="1">
        <f t="array" ref="G239">IFERROR(_xlfn.MODE.SNGL(_xlfn._xlws.FILTER(nNOTA,(nCUENTA=1)*(nCURSO=A239)*(nASIG=B239))),"—")</f>
        <v>—</v>
      </c>
      <c r="H239" s="11" t="str">
        <f>IFERROR(SUMPRODUCT((nCUENTA=1)*(nCURSO=A239)*(nASIG=B239)*(nAPTO="S"))/D239,"—")</f>
        <v>—</v>
      </c>
      <c r="I239" s="11" t="str">
        <f>IFERROR(SUMPRODUCT((nCUENTA=1)*(nCURSO=A239)*(nASIG=B239)*(nAPTO="N"))/D239,"—")</f>
        <v>—</v>
      </c>
      <c r="J239" t="str" cm="1">
        <f t="array" ref="J239">IFERROR(_xlfn.MODE.SNGL(_xlfn._xlws.FILTER(nNOTA,(nCUENTA=1)*(nCURSO=A239)*(nASIG=B239)*(nAPTO="S"))),"—")</f>
        <v>—</v>
      </c>
      <c r="K239" t="str" cm="1">
        <f t="array" ref="K239">IFERROR(_xlfn.MODE.SNGL(_xlfn._xlws.FILTER(nNOTA,(nCUENTA=1)*(nCURSO=A239)*(nASIG=B239)*(nAPTO="N"))),"—")</f>
        <v>—</v>
      </c>
      <c r="L239">
        <f>SUMPRODUCT((nCUENTA=1)*(nCURSO=A239)*(nASIG=B239)*(nNOTA=1))</f>
        <v>0</v>
      </c>
      <c r="M239">
        <f>SUMPRODUCT((nCUENTA=1)*(nCURSO=A239)*(nASIG=B239)*(nNOTA=2))</f>
        <v>0</v>
      </c>
      <c r="N239">
        <f>SUMPRODUCT((nCUENTA=1)*(nCURSO=A239)*(nASIG=B239)*(nNOTA=3))</f>
        <v>0</v>
      </c>
      <c r="O239">
        <f>SUMPRODUCT((nCUENTA=1)*(nCURSO=A239)*(nASIG=B239)*(nNOTA=4))</f>
        <v>0</v>
      </c>
      <c r="P239">
        <f>SUMPRODUCT((nCUENTA=1)*(nCURSO=A239)*(nASIG=B239)*(nNOTA=5))</f>
        <v>0</v>
      </c>
      <c r="Q239">
        <f>SUMPRODUCT((nCUENTA=1)*(nCURSO=A239)*(nASIG=B239)*(nNOTA=6))</f>
        <v>0</v>
      </c>
      <c r="R239">
        <f>SUMPRODUCT((nCUENTA=1)*(nCURSO=A239)*(nASIG=B239)*(nNOTA=7))</f>
        <v>0</v>
      </c>
      <c r="S239">
        <f>SUMPRODUCT((nCUENTA=1)*(nCURSO=A239)*(nASIG=B239)*(nNOTA=8))</f>
        <v>0</v>
      </c>
      <c r="T239">
        <f>SUMPRODUCT((nCUENTA=1)*(nCURSO=A239)*(nASIG=B239)*(nNOTA=9))</f>
        <v>0</v>
      </c>
      <c r="U239">
        <f>SUMPRODUCT((nCUENTA=1)*(nCURSO=A239)*(nASIG=B239)*(nNOTA=10))</f>
        <v>0</v>
      </c>
    </row>
    <row r="240">
      <c r="A240" t="inlineStr">
        <is>
          <t xml:space="preserve">3EPM</t>
        </is>
      </c>
      <c r="B240" cm="1">
        <f t="array" ref="B240">IFERROR(INDEX(_xlfn._xlws.FILTER(CONFIG_ASIGNATURAS!$B$2:$B$91,(CONFIG_ASIGNATURAS!$G$2:$G$91="Sí")*ISNUMBER(SEARCH("3EPM",CONFIG_ASIGNATURAS!$C$2:$C$91))),37),"")</f>
      </c>
      <c r="C240">
        <f>IF(B240="","",IFERROR(VLOOKUP(B240,CONFIG_ASIGNATURAS!$B$2:$D$91,3,FALSE()),"Asignatura"))</f>
      </c>
      <c r="D240">
        <f>SUMPRODUCT((nCUENTA=1)*(nCURSO=A240)*(nASIG=B240))</f>
        <v>0</v>
      </c>
      <c r="E240" s="10" t="str">
        <f>IFERROR(SUMPRODUCT((nCUENTA=1)*(nCURSO=A240)*(nASIG=B240)*(nNOTA))/D240,"—")</f>
        <v>—</v>
      </c>
      <c r="F240" s="10" t="str" cm="1">
        <f t="array" ref="F240">IFERROR(_xlfn.STDEV.P(_xlfn._xlws.FILTER(nNOTA,(nCUENTA=1)*(nCURSO=A240)*(nASIG=B240))),"—")</f>
        <v>—</v>
      </c>
      <c r="G240" t="str" cm="1">
        <f t="array" ref="G240">IFERROR(_xlfn.MODE.SNGL(_xlfn._xlws.FILTER(nNOTA,(nCUENTA=1)*(nCURSO=A240)*(nASIG=B240))),"—")</f>
        <v>—</v>
      </c>
      <c r="H240" s="11" t="str">
        <f>IFERROR(SUMPRODUCT((nCUENTA=1)*(nCURSO=A240)*(nASIG=B240)*(nAPTO="S"))/D240,"—")</f>
        <v>—</v>
      </c>
      <c r="I240" s="11" t="str">
        <f>IFERROR(SUMPRODUCT((nCUENTA=1)*(nCURSO=A240)*(nASIG=B240)*(nAPTO="N"))/D240,"—")</f>
        <v>—</v>
      </c>
      <c r="J240" t="str" cm="1">
        <f t="array" ref="J240">IFERROR(_xlfn.MODE.SNGL(_xlfn._xlws.FILTER(nNOTA,(nCUENTA=1)*(nCURSO=A240)*(nASIG=B240)*(nAPTO="S"))),"—")</f>
        <v>—</v>
      </c>
      <c r="K240" t="str" cm="1">
        <f t="array" ref="K240">IFERROR(_xlfn.MODE.SNGL(_xlfn._xlws.FILTER(nNOTA,(nCUENTA=1)*(nCURSO=A240)*(nASIG=B240)*(nAPTO="N"))),"—")</f>
        <v>—</v>
      </c>
      <c r="L240">
        <f>SUMPRODUCT((nCUENTA=1)*(nCURSO=A240)*(nASIG=B240)*(nNOTA=1))</f>
        <v>0</v>
      </c>
      <c r="M240">
        <f>SUMPRODUCT((nCUENTA=1)*(nCURSO=A240)*(nASIG=B240)*(nNOTA=2))</f>
        <v>0</v>
      </c>
      <c r="N240">
        <f>SUMPRODUCT((nCUENTA=1)*(nCURSO=A240)*(nASIG=B240)*(nNOTA=3))</f>
        <v>0</v>
      </c>
      <c r="O240">
        <f>SUMPRODUCT((nCUENTA=1)*(nCURSO=A240)*(nASIG=B240)*(nNOTA=4))</f>
        <v>0</v>
      </c>
      <c r="P240">
        <f>SUMPRODUCT((nCUENTA=1)*(nCURSO=A240)*(nASIG=B240)*(nNOTA=5))</f>
        <v>0</v>
      </c>
      <c r="Q240">
        <f>SUMPRODUCT((nCUENTA=1)*(nCURSO=A240)*(nASIG=B240)*(nNOTA=6))</f>
        <v>0</v>
      </c>
      <c r="R240">
        <f>SUMPRODUCT((nCUENTA=1)*(nCURSO=A240)*(nASIG=B240)*(nNOTA=7))</f>
        <v>0</v>
      </c>
      <c r="S240">
        <f>SUMPRODUCT((nCUENTA=1)*(nCURSO=A240)*(nASIG=B240)*(nNOTA=8))</f>
        <v>0</v>
      </c>
      <c r="T240">
        <f>SUMPRODUCT((nCUENTA=1)*(nCURSO=A240)*(nASIG=B240)*(nNOTA=9))</f>
        <v>0</v>
      </c>
      <c r="U240">
        <f>SUMPRODUCT((nCUENTA=1)*(nCURSO=A240)*(nASIG=B240)*(nNOTA=10))</f>
        <v>0</v>
      </c>
    </row>
    <row r="241">
      <c r="A241" t="inlineStr">
        <is>
          <t xml:space="preserve">3EPM</t>
        </is>
      </c>
      <c r="B241" cm="1">
        <f t="array" ref="B241">IFERROR(INDEX(_xlfn._xlws.FILTER(CONFIG_ASIGNATURAS!$B$2:$B$91,(CONFIG_ASIGNATURAS!$G$2:$G$91="Sí")*ISNUMBER(SEARCH("3EPM",CONFIG_ASIGNATURAS!$C$2:$C$91))),38),"")</f>
      </c>
      <c r="C241">
        <f>IF(B241="","",IFERROR(VLOOKUP(B241,CONFIG_ASIGNATURAS!$B$2:$D$91,3,FALSE()),"Asignatura"))</f>
      </c>
      <c r="D241">
        <f>SUMPRODUCT((nCUENTA=1)*(nCURSO=A241)*(nASIG=B241))</f>
        <v>0</v>
      </c>
      <c r="E241" s="10" t="str">
        <f>IFERROR(SUMPRODUCT((nCUENTA=1)*(nCURSO=A241)*(nASIG=B241)*(nNOTA))/D241,"—")</f>
        <v>—</v>
      </c>
      <c r="F241" s="10" t="str" cm="1">
        <f t="array" ref="F241">IFERROR(_xlfn.STDEV.P(_xlfn._xlws.FILTER(nNOTA,(nCUENTA=1)*(nCURSO=A241)*(nASIG=B241))),"—")</f>
        <v>—</v>
      </c>
      <c r="G241" t="str" cm="1">
        <f t="array" ref="G241">IFERROR(_xlfn.MODE.SNGL(_xlfn._xlws.FILTER(nNOTA,(nCUENTA=1)*(nCURSO=A241)*(nASIG=B241))),"—")</f>
        <v>—</v>
      </c>
      <c r="H241" s="11" t="str">
        <f>IFERROR(SUMPRODUCT((nCUENTA=1)*(nCURSO=A241)*(nASIG=B241)*(nAPTO="S"))/D241,"—")</f>
        <v>—</v>
      </c>
      <c r="I241" s="11" t="str">
        <f>IFERROR(SUMPRODUCT((nCUENTA=1)*(nCURSO=A241)*(nASIG=B241)*(nAPTO="N"))/D241,"—")</f>
        <v>—</v>
      </c>
      <c r="J241" t="str" cm="1">
        <f t="array" ref="J241">IFERROR(_xlfn.MODE.SNGL(_xlfn._xlws.FILTER(nNOTA,(nCUENTA=1)*(nCURSO=A241)*(nASIG=B241)*(nAPTO="S"))),"—")</f>
        <v>—</v>
      </c>
      <c r="K241" t="str" cm="1">
        <f t="array" ref="K241">IFERROR(_xlfn.MODE.SNGL(_xlfn._xlws.FILTER(nNOTA,(nCUENTA=1)*(nCURSO=A241)*(nASIG=B241)*(nAPTO="N"))),"—")</f>
        <v>—</v>
      </c>
      <c r="L241">
        <f>SUMPRODUCT((nCUENTA=1)*(nCURSO=A241)*(nASIG=B241)*(nNOTA=1))</f>
        <v>0</v>
      </c>
      <c r="M241">
        <f>SUMPRODUCT((nCUENTA=1)*(nCURSO=A241)*(nASIG=B241)*(nNOTA=2))</f>
        <v>0</v>
      </c>
      <c r="N241">
        <f>SUMPRODUCT((nCUENTA=1)*(nCURSO=A241)*(nASIG=B241)*(nNOTA=3))</f>
        <v>0</v>
      </c>
      <c r="O241">
        <f>SUMPRODUCT((nCUENTA=1)*(nCURSO=A241)*(nASIG=B241)*(nNOTA=4))</f>
        <v>0</v>
      </c>
      <c r="P241">
        <f>SUMPRODUCT((nCUENTA=1)*(nCURSO=A241)*(nASIG=B241)*(nNOTA=5))</f>
        <v>0</v>
      </c>
      <c r="Q241">
        <f>SUMPRODUCT((nCUENTA=1)*(nCURSO=A241)*(nASIG=B241)*(nNOTA=6))</f>
        <v>0</v>
      </c>
      <c r="R241">
        <f>SUMPRODUCT((nCUENTA=1)*(nCURSO=A241)*(nASIG=B241)*(nNOTA=7))</f>
        <v>0</v>
      </c>
      <c r="S241">
        <f>SUMPRODUCT((nCUENTA=1)*(nCURSO=A241)*(nASIG=B241)*(nNOTA=8))</f>
        <v>0</v>
      </c>
      <c r="T241">
        <f>SUMPRODUCT((nCUENTA=1)*(nCURSO=A241)*(nASIG=B241)*(nNOTA=9))</f>
        <v>0</v>
      </c>
      <c r="U241">
        <f>SUMPRODUCT((nCUENTA=1)*(nCURSO=A241)*(nASIG=B241)*(nNOTA=10))</f>
        <v>0</v>
      </c>
    </row>
    <row r="242">
      <c r="A242" t="inlineStr">
        <is>
          <t xml:space="preserve">3EPM</t>
        </is>
      </c>
      <c r="B242" cm="1">
        <f t="array" ref="B242">IFERROR(INDEX(_xlfn._xlws.FILTER(CONFIG_ASIGNATURAS!$B$2:$B$91,(CONFIG_ASIGNATURAS!$G$2:$G$91="Sí")*ISNUMBER(SEARCH("3EPM",CONFIG_ASIGNATURAS!$C$2:$C$91))),39),"")</f>
      </c>
      <c r="C242">
        <f>IF(B242="","",IFERROR(VLOOKUP(B242,CONFIG_ASIGNATURAS!$B$2:$D$91,3,FALSE()),"Asignatura"))</f>
      </c>
      <c r="D242">
        <f>SUMPRODUCT((nCUENTA=1)*(nCURSO=A242)*(nASIG=B242))</f>
        <v>0</v>
      </c>
      <c r="E242" s="10" t="str">
        <f>IFERROR(SUMPRODUCT((nCUENTA=1)*(nCURSO=A242)*(nASIG=B242)*(nNOTA))/D242,"—")</f>
        <v>—</v>
      </c>
      <c r="F242" s="10" t="str" cm="1">
        <f t="array" ref="F242">IFERROR(_xlfn.STDEV.P(_xlfn._xlws.FILTER(nNOTA,(nCUENTA=1)*(nCURSO=A242)*(nASIG=B242))),"—")</f>
        <v>—</v>
      </c>
      <c r="G242" t="str" cm="1">
        <f t="array" ref="G242">IFERROR(_xlfn.MODE.SNGL(_xlfn._xlws.FILTER(nNOTA,(nCUENTA=1)*(nCURSO=A242)*(nASIG=B242))),"—")</f>
        <v>—</v>
      </c>
      <c r="H242" s="11" t="str">
        <f>IFERROR(SUMPRODUCT((nCUENTA=1)*(nCURSO=A242)*(nASIG=B242)*(nAPTO="S"))/D242,"—")</f>
        <v>—</v>
      </c>
      <c r="I242" s="11" t="str">
        <f>IFERROR(SUMPRODUCT((nCUENTA=1)*(nCURSO=A242)*(nASIG=B242)*(nAPTO="N"))/D242,"—")</f>
        <v>—</v>
      </c>
      <c r="J242" t="str" cm="1">
        <f t="array" ref="J242">IFERROR(_xlfn.MODE.SNGL(_xlfn._xlws.FILTER(nNOTA,(nCUENTA=1)*(nCURSO=A242)*(nASIG=B242)*(nAPTO="S"))),"—")</f>
        <v>—</v>
      </c>
      <c r="K242" t="str" cm="1">
        <f t="array" ref="K242">IFERROR(_xlfn.MODE.SNGL(_xlfn._xlws.FILTER(nNOTA,(nCUENTA=1)*(nCURSO=A242)*(nASIG=B242)*(nAPTO="N"))),"—")</f>
        <v>—</v>
      </c>
      <c r="L242">
        <f>SUMPRODUCT((nCUENTA=1)*(nCURSO=A242)*(nASIG=B242)*(nNOTA=1))</f>
        <v>0</v>
      </c>
      <c r="M242">
        <f>SUMPRODUCT((nCUENTA=1)*(nCURSO=A242)*(nASIG=B242)*(nNOTA=2))</f>
        <v>0</v>
      </c>
      <c r="N242">
        <f>SUMPRODUCT((nCUENTA=1)*(nCURSO=A242)*(nASIG=B242)*(nNOTA=3))</f>
        <v>0</v>
      </c>
      <c r="O242">
        <f>SUMPRODUCT((nCUENTA=1)*(nCURSO=A242)*(nASIG=B242)*(nNOTA=4))</f>
        <v>0</v>
      </c>
      <c r="P242">
        <f>SUMPRODUCT((nCUENTA=1)*(nCURSO=A242)*(nASIG=B242)*(nNOTA=5))</f>
        <v>0</v>
      </c>
      <c r="Q242">
        <f>SUMPRODUCT((nCUENTA=1)*(nCURSO=A242)*(nASIG=B242)*(nNOTA=6))</f>
        <v>0</v>
      </c>
      <c r="R242">
        <f>SUMPRODUCT((nCUENTA=1)*(nCURSO=A242)*(nASIG=B242)*(nNOTA=7))</f>
        <v>0</v>
      </c>
      <c r="S242">
        <f>SUMPRODUCT((nCUENTA=1)*(nCURSO=A242)*(nASIG=B242)*(nNOTA=8))</f>
        <v>0</v>
      </c>
      <c r="T242">
        <f>SUMPRODUCT((nCUENTA=1)*(nCURSO=A242)*(nASIG=B242)*(nNOTA=9))</f>
        <v>0</v>
      </c>
      <c r="U242">
        <f>SUMPRODUCT((nCUENTA=1)*(nCURSO=A242)*(nASIG=B242)*(nNOTA=10))</f>
        <v>0</v>
      </c>
    </row>
    <row r="243">
      <c r="A243" t="inlineStr">
        <is>
          <t xml:space="preserve">3EPM</t>
        </is>
      </c>
      <c r="B243" cm="1">
        <f t="array" ref="B243">IFERROR(INDEX(_xlfn._xlws.FILTER(CONFIG_ASIGNATURAS!$B$2:$B$91,(CONFIG_ASIGNATURAS!$G$2:$G$91="Sí")*ISNUMBER(SEARCH("3EPM",CONFIG_ASIGNATURAS!$C$2:$C$91))),40),"")</f>
      </c>
      <c r="C243">
        <f>IF(B243="","",IFERROR(VLOOKUP(B243,CONFIG_ASIGNATURAS!$B$2:$D$91,3,FALSE()),"Asignatura"))</f>
      </c>
      <c r="D243">
        <f>SUMPRODUCT((nCUENTA=1)*(nCURSO=A243)*(nASIG=B243))</f>
        <v>0</v>
      </c>
      <c r="E243" s="10" t="str">
        <f>IFERROR(SUMPRODUCT((nCUENTA=1)*(nCURSO=A243)*(nASIG=B243)*(nNOTA))/D243,"—")</f>
        <v>—</v>
      </c>
      <c r="F243" s="10" t="str" cm="1">
        <f t="array" ref="F243">IFERROR(_xlfn.STDEV.P(_xlfn._xlws.FILTER(nNOTA,(nCUENTA=1)*(nCURSO=A243)*(nASIG=B243))),"—")</f>
        <v>—</v>
      </c>
      <c r="G243" t="str" cm="1">
        <f t="array" ref="G243">IFERROR(_xlfn.MODE.SNGL(_xlfn._xlws.FILTER(nNOTA,(nCUENTA=1)*(nCURSO=A243)*(nASIG=B243))),"—")</f>
        <v>—</v>
      </c>
      <c r="H243" s="11" t="str">
        <f>IFERROR(SUMPRODUCT((nCUENTA=1)*(nCURSO=A243)*(nASIG=B243)*(nAPTO="S"))/D243,"—")</f>
        <v>—</v>
      </c>
      <c r="I243" s="11" t="str">
        <f>IFERROR(SUMPRODUCT((nCUENTA=1)*(nCURSO=A243)*(nASIG=B243)*(nAPTO="N"))/D243,"—")</f>
        <v>—</v>
      </c>
      <c r="J243" t="str" cm="1">
        <f t="array" ref="J243">IFERROR(_xlfn.MODE.SNGL(_xlfn._xlws.FILTER(nNOTA,(nCUENTA=1)*(nCURSO=A243)*(nASIG=B243)*(nAPTO="S"))),"—")</f>
        <v>—</v>
      </c>
      <c r="K243" t="str" cm="1">
        <f t="array" ref="K243">IFERROR(_xlfn.MODE.SNGL(_xlfn._xlws.FILTER(nNOTA,(nCUENTA=1)*(nCURSO=A243)*(nASIG=B243)*(nAPTO="N"))),"—")</f>
        <v>—</v>
      </c>
      <c r="L243">
        <f>SUMPRODUCT((nCUENTA=1)*(nCURSO=A243)*(nASIG=B243)*(nNOTA=1))</f>
        <v>0</v>
      </c>
      <c r="M243">
        <f>SUMPRODUCT((nCUENTA=1)*(nCURSO=A243)*(nASIG=B243)*(nNOTA=2))</f>
        <v>0</v>
      </c>
      <c r="N243">
        <f>SUMPRODUCT((nCUENTA=1)*(nCURSO=A243)*(nASIG=B243)*(nNOTA=3))</f>
        <v>0</v>
      </c>
      <c r="O243">
        <f>SUMPRODUCT((nCUENTA=1)*(nCURSO=A243)*(nASIG=B243)*(nNOTA=4))</f>
        <v>0</v>
      </c>
      <c r="P243">
        <f>SUMPRODUCT((nCUENTA=1)*(nCURSO=A243)*(nASIG=B243)*(nNOTA=5))</f>
        <v>0</v>
      </c>
      <c r="Q243">
        <f>SUMPRODUCT((nCUENTA=1)*(nCURSO=A243)*(nASIG=B243)*(nNOTA=6))</f>
        <v>0</v>
      </c>
      <c r="R243">
        <f>SUMPRODUCT((nCUENTA=1)*(nCURSO=A243)*(nASIG=B243)*(nNOTA=7))</f>
        <v>0</v>
      </c>
      <c r="S243">
        <f>SUMPRODUCT((nCUENTA=1)*(nCURSO=A243)*(nASIG=B243)*(nNOTA=8))</f>
        <v>0</v>
      </c>
      <c r="T243">
        <f>SUMPRODUCT((nCUENTA=1)*(nCURSO=A243)*(nASIG=B243)*(nNOTA=9))</f>
        <v>0</v>
      </c>
      <c r="U243">
        <f>SUMPRODUCT((nCUENTA=1)*(nCURSO=A243)*(nASIG=B243)*(nNOTA=10))</f>
        <v>0</v>
      </c>
    </row>
    <row r="244">
      <c r="A244" t="inlineStr">
        <is>
          <t xml:space="preserve">3EPM</t>
        </is>
      </c>
      <c r="B244" cm="1">
        <f t="array" ref="B244">IFERROR(INDEX(_xlfn._xlws.FILTER(CONFIG_ASIGNATURAS!$B$2:$B$91,(CONFIG_ASIGNATURAS!$G$2:$G$91="Sí")*ISNUMBER(SEARCH("3EPM",CONFIG_ASIGNATURAS!$C$2:$C$91))),41),"")</f>
      </c>
      <c r="C244">
        <f>IF(B244="","",IFERROR(VLOOKUP(B244,CONFIG_ASIGNATURAS!$B$2:$D$91,3,FALSE()),"Asignatura"))</f>
      </c>
      <c r="D244">
        <f>SUMPRODUCT((nCUENTA=1)*(nCURSO=A244)*(nASIG=B244))</f>
        <v>0</v>
      </c>
      <c r="E244" s="10" t="str">
        <f>IFERROR(SUMPRODUCT((nCUENTA=1)*(nCURSO=A244)*(nASIG=B244)*(nNOTA))/D244,"—")</f>
        <v>—</v>
      </c>
      <c r="F244" s="10" t="str" cm="1">
        <f t="array" ref="F244">IFERROR(_xlfn.STDEV.P(_xlfn._xlws.FILTER(nNOTA,(nCUENTA=1)*(nCURSO=A244)*(nASIG=B244))),"—")</f>
        <v>—</v>
      </c>
      <c r="G244" t="str" cm="1">
        <f t="array" ref="G244">IFERROR(_xlfn.MODE.SNGL(_xlfn._xlws.FILTER(nNOTA,(nCUENTA=1)*(nCURSO=A244)*(nASIG=B244))),"—")</f>
        <v>—</v>
      </c>
      <c r="H244" s="11" t="str">
        <f>IFERROR(SUMPRODUCT((nCUENTA=1)*(nCURSO=A244)*(nASIG=B244)*(nAPTO="S"))/D244,"—")</f>
        <v>—</v>
      </c>
      <c r="I244" s="11" t="str">
        <f>IFERROR(SUMPRODUCT((nCUENTA=1)*(nCURSO=A244)*(nASIG=B244)*(nAPTO="N"))/D244,"—")</f>
        <v>—</v>
      </c>
      <c r="J244" t="str" cm="1">
        <f t="array" ref="J244">IFERROR(_xlfn.MODE.SNGL(_xlfn._xlws.FILTER(nNOTA,(nCUENTA=1)*(nCURSO=A244)*(nASIG=B244)*(nAPTO="S"))),"—")</f>
        <v>—</v>
      </c>
      <c r="K244" t="str" cm="1">
        <f t="array" ref="K244">IFERROR(_xlfn.MODE.SNGL(_xlfn._xlws.FILTER(nNOTA,(nCUENTA=1)*(nCURSO=A244)*(nASIG=B244)*(nAPTO="N"))),"—")</f>
        <v>—</v>
      </c>
      <c r="L244">
        <f>SUMPRODUCT((nCUENTA=1)*(nCURSO=A244)*(nASIG=B244)*(nNOTA=1))</f>
        <v>0</v>
      </c>
      <c r="M244">
        <f>SUMPRODUCT((nCUENTA=1)*(nCURSO=A244)*(nASIG=B244)*(nNOTA=2))</f>
        <v>0</v>
      </c>
      <c r="N244">
        <f>SUMPRODUCT((nCUENTA=1)*(nCURSO=A244)*(nASIG=B244)*(nNOTA=3))</f>
        <v>0</v>
      </c>
      <c r="O244">
        <f>SUMPRODUCT((nCUENTA=1)*(nCURSO=A244)*(nASIG=B244)*(nNOTA=4))</f>
        <v>0</v>
      </c>
      <c r="P244">
        <f>SUMPRODUCT((nCUENTA=1)*(nCURSO=A244)*(nASIG=B244)*(nNOTA=5))</f>
        <v>0</v>
      </c>
      <c r="Q244">
        <f>SUMPRODUCT((nCUENTA=1)*(nCURSO=A244)*(nASIG=B244)*(nNOTA=6))</f>
        <v>0</v>
      </c>
      <c r="R244">
        <f>SUMPRODUCT((nCUENTA=1)*(nCURSO=A244)*(nASIG=B244)*(nNOTA=7))</f>
        <v>0</v>
      </c>
      <c r="S244">
        <f>SUMPRODUCT((nCUENTA=1)*(nCURSO=A244)*(nASIG=B244)*(nNOTA=8))</f>
        <v>0</v>
      </c>
      <c r="T244">
        <f>SUMPRODUCT((nCUENTA=1)*(nCURSO=A244)*(nASIG=B244)*(nNOTA=9))</f>
        <v>0</v>
      </c>
      <c r="U244">
        <f>SUMPRODUCT((nCUENTA=1)*(nCURSO=A244)*(nASIG=B244)*(nNOTA=10))</f>
        <v>0</v>
      </c>
    </row>
    <row r="245">
      <c r="A245" t="inlineStr">
        <is>
          <t xml:space="preserve">3EPM</t>
        </is>
      </c>
      <c r="B245" cm="1">
        <f t="array" ref="B245">IFERROR(INDEX(_xlfn._xlws.FILTER(CONFIG_ASIGNATURAS!$B$2:$B$91,(CONFIG_ASIGNATURAS!$G$2:$G$91="Sí")*ISNUMBER(SEARCH("3EPM",CONFIG_ASIGNATURAS!$C$2:$C$91))),42),"")</f>
      </c>
      <c r="C245">
        <f>IF(B245="","",IFERROR(VLOOKUP(B245,CONFIG_ASIGNATURAS!$B$2:$D$91,3,FALSE()),"Asignatura"))</f>
      </c>
      <c r="D245">
        <f>SUMPRODUCT((nCUENTA=1)*(nCURSO=A245)*(nASIG=B245))</f>
        <v>0</v>
      </c>
      <c r="E245" s="10" t="str">
        <f>IFERROR(SUMPRODUCT((nCUENTA=1)*(nCURSO=A245)*(nASIG=B245)*(nNOTA))/D245,"—")</f>
        <v>—</v>
      </c>
      <c r="F245" s="10" t="str" cm="1">
        <f t="array" ref="F245">IFERROR(_xlfn.STDEV.P(_xlfn._xlws.FILTER(nNOTA,(nCUENTA=1)*(nCURSO=A245)*(nASIG=B245))),"—")</f>
        <v>—</v>
      </c>
      <c r="G245" t="str" cm="1">
        <f t="array" ref="G245">IFERROR(_xlfn.MODE.SNGL(_xlfn._xlws.FILTER(nNOTA,(nCUENTA=1)*(nCURSO=A245)*(nASIG=B245))),"—")</f>
        <v>—</v>
      </c>
      <c r="H245" s="11" t="str">
        <f>IFERROR(SUMPRODUCT((nCUENTA=1)*(nCURSO=A245)*(nASIG=B245)*(nAPTO="S"))/D245,"—")</f>
        <v>—</v>
      </c>
      <c r="I245" s="11" t="str">
        <f>IFERROR(SUMPRODUCT((nCUENTA=1)*(nCURSO=A245)*(nASIG=B245)*(nAPTO="N"))/D245,"—")</f>
        <v>—</v>
      </c>
      <c r="J245" t="str" cm="1">
        <f t="array" ref="J245">IFERROR(_xlfn.MODE.SNGL(_xlfn._xlws.FILTER(nNOTA,(nCUENTA=1)*(nCURSO=A245)*(nASIG=B245)*(nAPTO="S"))),"—")</f>
        <v>—</v>
      </c>
      <c r="K245" t="str" cm="1">
        <f t="array" ref="K245">IFERROR(_xlfn.MODE.SNGL(_xlfn._xlws.FILTER(nNOTA,(nCUENTA=1)*(nCURSO=A245)*(nASIG=B245)*(nAPTO="N"))),"—")</f>
        <v>—</v>
      </c>
      <c r="L245">
        <f>SUMPRODUCT((nCUENTA=1)*(nCURSO=A245)*(nASIG=B245)*(nNOTA=1))</f>
        <v>0</v>
      </c>
      <c r="M245">
        <f>SUMPRODUCT((nCUENTA=1)*(nCURSO=A245)*(nASIG=B245)*(nNOTA=2))</f>
        <v>0</v>
      </c>
      <c r="N245">
        <f>SUMPRODUCT((nCUENTA=1)*(nCURSO=A245)*(nASIG=B245)*(nNOTA=3))</f>
        <v>0</v>
      </c>
      <c r="O245">
        <f>SUMPRODUCT((nCUENTA=1)*(nCURSO=A245)*(nASIG=B245)*(nNOTA=4))</f>
        <v>0</v>
      </c>
      <c r="P245">
        <f>SUMPRODUCT((nCUENTA=1)*(nCURSO=A245)*(nASIG=B245)*(nNOTA=5))</f>
        <v>0</v>
      </c>
      <c r="Q245">
        <f>SUMPRODUCT((nCUENTA=1)*(nCURSO=A245)*(nASIG=B245)*(nNOTA=6))</f>
        <v>0</v>
      </c>
      <c r="R245">
        <f>SUMPRODUCT((nCUENTA=1)*(nCURSO=A245)*(nASIG=B245)*(nNOTA=7))</f>
        <v>0</v>
      </c>
      <c r="S245">
        <f>SUMPRODUCT((nCUENTA=1)*(nCURSO=A245)*(nASIG=B245)*(nNOTA=8))</f>
        <v>0</v>
      </c>
      <c r="T245">
        <f>SUMPRODUCT((nCUENTA=1)*(nCURSO=A245)*(nASIG=B245)*(nNOTA=9))</f>
        <v>0</v>
      </c>
      <c r="U245">
        <f>SUMPRODUCT((nCUENTA=1)*(nCURSO=A245)*(nASIG=B245)*(nNOTA=10))</f>
        <v>0</v>
      </c>
    </row>
    <row r="246">
      <c r="A246" t="inlineStr">
        <is>
          <t xml:space="preserve">3EPM</t>
        </is>
      </c>
      <c r="B246" cm="1">
        <f t="array" ref="B246">IFERROR(INDEX(_xlfn._xlws.FILTER(CONFIG_ASIGNATURAS!$B$2:$B$91,(CONFIG_ASIGNATURAS!$G$2:$G$91="Sí")*ISNUMBER(SEARCH("3EPM",CONFIG_ASIGNATURAS!$C$2:$C$91))),43),"")</f>
      </c>
      <c r="C246">
        <f>IF(B246="","",IFERROR(VLOOKUP(B246,CONFIG_ASIGNATURAS!$B$2:$D$91,3,FALSE()),"Asignatura"))</f>
      </c>
      <c r="D246">
        <f>SUMPRODUCT((nCUENTA=1)*(nCURSO=A246)*(nASIG=B246))</f>
        <v>0</v>
      </c>
      <c r="E246" s="10" t="str">
        <f>IFERROR(SUMPRODUCT((nCUENTA=1)*(nCURSO=A246)*(nASIG=B246)*(nNOTA))/D246,"—")</f>
        <v>—</v>
      </c>
      <c r="F246" s="10" t="str" cm="1">
        <f t="array" ref="F246">IFERROR(_xlfn.STDEV.P(_xlfn._xlws.FILTER(nNOTA,(nCUENTA=1)*(nCURSO=A246)*(nASIG=B246))),"—")</f>
        <v>—</v>
      </c>
      <c r="G246" t="str" cm="1">
        <f t="array" ref="G246">IFERROR(_xlfn.MODE.SNGL(_xlfn._xlws.FILTER(nNOTA,(nCUENTA=1)*(nCURSO=A246)*(nASIG=B246))),"—")</f>
        <v>—</v>
      </c>
      <c r="H246" s="11" t="str">
        <f>IFERROR(SUMPRODUCT((nCUENTA=1)*(nCURSO=A246)*(nASIG=B246)*(nAPTO="S"))/D246,"—")</f>
        <v>—</v>
      </c>
      <c r="I246" s="11" t="str">
        <f>IFERROR(SUMPRODUCT((nCUENTA=1)*(nCURSO=A246)*(nASIG=B246)*(nAPTO="N"))/D246,"—")</f>
        <v>—</v>
      </c>
      <c r="J246" t="str" cm="1">
        <f t="array" ref="J246">IFERROR(_xlfn.MODE.SNGL(_xlfn._xlws.FILTER(nNOTA,(nCUENTA=1)*(nCURSO=A246)*(nASIG=B246)*(nAPTO="S"))),"—")</f>
        <v>—</v>
      </c>
      <c r="K246" t="str" cm="1">
        <f t="array" ref="K246">IFERROR(_xlfn.MODE.SNGL(_xlfn._xlws.FILTER(nNOTA,(nCUENTA=1)*(nCURSO=A246)*(nASIG=B246)*(nAPTO="N"))),"—")</f>
        <v>—</v>
      </c>
      <c r="L246">
        <f>SUMPRODUCT((nCUENTA=1)*(nCURSO=A246)*(nASIG=B246)*(nNOTA=1))</f>
        <v>0</v>
      </c>
      <c r="M246">
        <f>SUMPRODUCT((nCUENTA=1)*(nCURSO=A246)*(nASIG=B246)*(nNOTA=2))</f>
        <v>0</v>
      </c>
      <c r="N246">
        <f>SUMPRODUCT((nCUENTA=1)*(nCURSO=A246)*(nASIG=B246)*(nNOTA=3))</f>
        <v>0</v>
      </c>
      <c r="O246">
        <f>SUMPRODUCT((nCUENTA=1)*(nCURSO=A246)*(nASIG=B246)*(nNOTA=4))</f>
        <v>0</v>
      </c>
      <c r="P246">
        <f>SUMPRODUCT((nCUENTA=1)*(nCURSO=A246)*(nASIG=B246)*(nNOTA=5))</f>
        <v>0</v>
      </c>
      <c r="Q246">
        <f>SUMPRODUCT((nCUENTA=1)*(nCURSO=A246)*(nASIG=B246)*(nNOTA=6))</f>
        <v>0</v>
      </c>
      <c r="R246">
        <f>SUMPRODUCT((nCUENTA=1)*(nCURSO=A246)*(nASIG=B246)*(nNOTA=7))</f>
        <v>0</v>
      </c>
      <c r="S246">
        <f>SUMPRODUCT((nCUENTA=1)*(nCURSO=A246)*(nASIG=B246)*(nNOTA=8))</f>
        <v>0</v>
      </c>
      <c r="T246">
        <f>SUMPRODUCT((nCUENTA=1)*(nCURSO=A246)*(nASIG=B246)*(nNOTA=9))</f>
        <v>0</v>
      </c>
      <c r="U246">
        <f>SUMPRODUCT((nCUENTA=1)*(nCURSO=A246)*(nASIG=B246)*(nNOTA=10))</f>
        <v>0</v>
      </c>
    </row>
    <row r="247">
      <c r="A247" t="inlineStr">
        <is>
          <t xml:space="preserve">3EPM</t>
        </is>
      </c>
      <c r="B247" cm="1">
        <f t="array" ref="B247">IFERROR(INDEX(_xlfn._xlws.FILTER(CONFIG_ASIGNATURAS!$B$2:$B$91,(CONFIG_ASIGNATURAS!$G$2:$G$91="Sí")*ISNUMBER(SEARCH("3EPM",CONFIG_ASIGNATURAS!$C$2:$C$91))),44),"")</f>
      </c>
      <c r="C247">
        <f>IF(B247="","",IFERROR(VLOOKUP(B247,CONFIG_ASIGNATURAS!$B$2:$D$91,3,FALSE()),"Asignatura"))</f>
      </c>
      <c r="D247">
        <f>SUMPRODUCT((nCUENTA=1)*(nCURSO=A247)*(nASIG=B247))</f>
        <v>0</v>
      </c>
      <c r="E247" s="10" t="str">
        <f>IFERROR(SUMPRODUCT((nCUENTA=1)*(nCURSO=A247)*(nASIG=B247)*(nNOTA))/D247,"—")</f>
        <v>—</v>
      </c>
      <c r="F247" s="10" t="str" cm="1">
        <f t="array" ref="F247">IFERROR(_xlfn.STDEV.P(_xlfn._xlws.FILTER(nNOTA,(nCUENTA=1)*(nCURSO=A247)*(nASIG=B247))),"—")</f>
        <v>—</v>
      </c>
      <c r="G247" t="str" cm="1">
        <f t="array" ref="G247">IFERROR(_xlfn.MODE.SNGL(_xlfn._xlws.FILTER(nNOTA,(nCUENTA=1)*(nCURSO=A247)*(nASIG=B247))),"—")</f>
        <v>—</v>
      </c>
      <c r="H247" s="11" t="str">
        <f>IFERROR(SUMPRODUCT((nCUENTA=1)*(nCURSO=A247)*(nASIG=B247)*(nAPTO="S"))/D247,"—")</f>
        <v>—</v>
      </c>
      <c r="I247" s="11" t="str">
        <f>IFERROR(SUMPRODUCT((nCUENTA=1)*(nCURSO=A247)*(nASIG=B247)*(nAPTO="N"))/D247,"—")</f>
        <v>—</v>
      </c>
      <c r="J247" t="str" cm="1">
        <f t="array" ref="J247">IFERROR(_xlfn.MODE.SNGL(_xlfn._xlws.FILTER(nNOTA,(nCUENTA=1)*(nCURSO=A247)*(nASIG=B247)*(nAPTO="S"))),"—")</f>
        <v>—</v>
      </c>
      <c r="K247" t="str" cm="1">
        <f t="array" ref="K247">IFERROR(_xlfn.MODE.SNGL(_xlfn._xlws.FILTER(nNOTA,(nCUENTA=1)*(nCURSO=A247)*(nASIG=B247)*(nAPTO="N"))),"—")</f>
        <v>—</v>
      </c>
      <c r="L247">
        <f>SUMPRODUCT((nCUENTA=1)*(nCURSO=A247)*(nASIG=B247)*(nNOTA=1))</f>
        <v>0</v>
      </c>
      <c r="M247">
        <f>SUMPRODUCT((nCUENTA=1)*(nCURSO=A247)*(nASIG=B247)*(nNOTA=2))</f>
        <v>0</v>
      </c>
      <c r="N247">
        <f>SUMPRODUCT((nCUENTA=1)*(nCURSO=A247)*(nASIG=B247)*(nNOTA=3))</f>
        <v>0</v>
      </c>
      <c r="O247">
        <f>SUMPRODUCT((nCUENTA=1)*(nCURSO=A247)*(nASIG=B247)*(nNOTA=4))</f>
        <v>0</v>
      </c>
      <c r="P247">
        <f>SUMPRODUCT((nCUENTA=1)*(nCURSO=A247)*(nASIG=B247)*(nNOTA=5))</f>
        <v>0</v>
      </c>
      <c r="Q247">
        <f>SUMPRODUCT((nCUENTA=1)*(nCURSO=A247)*(nASIG=B247)*(nNOTA=6))</f>
        <v>0</v>
      </c>
      <c r="R247">
        <f>SUMPRODUCT((nCUENTA=1)*(nCURSO=A247)*(nASIG=B247)*(nNOTA=7))</f>
        <v>0</v>
      </c>
      <c r="S247">
        <f>SUMPRODUCT((nCUENTA=1)*(nCURSO=A247)*(nASIG=B247)*(nNOTA=8))</f>
        <v>0</v>
      </c>
      <c r="T247">
        <f>SUMPRODUCT((nCUENTA=1)*(nCURSO=A247)*(nASIG=B247)*(nNOTA=9))</f>
        <v>0</v>
      </c>
      <c r="U247">
        <f>SUMPRODUCT((nCUENTA=1)*(nCURSO=A247)*(nASIG=B247)*(nNOTA=10))</f>
        <v>0</v>
      </c>
    </row>
    <row r="248">
      <c r="A248" t="inlineStr">
        <is>
          <t xml:space="preserve">3EPM</t>
        </is>
      </c>
      <c r="B248" cm="1">
        <f t="array" ref="B248">IFERROR(INDEX(_xlfn._xlws.FILTER(CONFIG_ASIGNATURAS!$B$2:$B$91,(CONFIG_ASIGNATURAS!$G$2:$G$91="Sí")*ISNUMBER(SEARCH("3EPM",CONFIG_ASIGNATURAS!$C$2:$C$91))),45),"")</f>
      </c>
      <c r="C248">
        <f>IF(B248="","",IFERROR(VLOOKUP(B248,CONFIG_ASIGNATURAS!$B$2:$D$91,3,FALSE()),"Asignatura"))</f>
      </c>
      <c r="D248">
        <f>SUMPRODUCT((nCUENTA=1)*(nCURSO=A248)*(nASIG=B248))</f>
        <v>0</v>
      </c>
      <c r="E248" s="10" t="str">
        <f>IFERROR(SUMPRODUCT((nCUENTA=1)*(nCURSO=A248)*(nASIG=B248)*(nNOTA))/D248,"—")</f>
        <v>—</v>
      </c>
      <c r="F248" s="10" t="str" cm="1">
        <f t="array" ref="F248">IFERROR(_xlfn.STDEV.P(_xlfn._xlws.FILTER(nNOTA,(nCUENTA=1)*(nCURSO=A248)*(nASIG=B248))),"—")</f>
        <v>—</v>
      </c>
      <c r="G248" t="str" cm="1">
        <f t="array" ref="G248">IFERROR(_xlfn.MODE.SNGL(_xlfn._xlws.FILTER(nNOTA,(nCUENTA=1)*(nCURSO=A248)*(nASIG=B248))),"—")</f>
        <v>—</v>
      </c>
      <c r="H248" s="11" t="str">
        <f>IFERROR(SUMPRODUCT((nCUENTA=1)*(nCURSO=A248)*(nASIG=B248)*(nAPTO="S"))/D248,"—")</f>
        <v>—</v>
      </c>
      <c r="I248" s="11" t="str">
        <f>IFERROR(SUMPRODUCT((nCUENTA=1)*(nCURSO=A248)*(nASIG=B248)*(nAPTO="N"))/D248,"—")</f>
        <v>—</v>
      </c>
      <c r="J248" t="str" cm="1">
        <f t="array" ref="J248">IFERROR(_xlfn.MODE.SNGL(_xlfn._xlws.FILTER(nNOTA,(nCUENTA=1)*(nCURSO=A248)*(nASIG=B248)*(nAPTO="S"))),"—")</f>
        <v>—</v>
      </c>
      <c r="K248" t="str" cm="1">
        <f t="array" ref="K248">IFERROR(_xlfn.MODE.SNGL(_xlfn._xlws.FILTER(nNOTA,(nCUENTA=1)*(nCURSO=A248)*(nASIG=B248)*(nAPTO="N"))),"—")</f>
        <v>—</v>
      </c>
      <c r="L248">
        <f>SUMPRODUCT((nCUENTA=1)*(nCURSO=A248)*(nASIG=B248)*(nNOTA=1))</f>
        <v>0</v>
      </c>
      <c r="M248">
        <f>SUMPRODUCT((nCUENTA=1)*(nCURSO=A248)*(nASIG=B248)*(nNOTA=2))</f>
        <v>0</v>
      </c>
      <c r="N248">
        <f>SUMPRODUCT((nCUENTA=1)*(nCURSO=A248)*(nASIG=B248)*(nNOTA=3))</f>
        <v>0</v>
      </c>
      <c r="O248">
        <f>SUMPRODUCT((nCUENTA=1)*(nCURSO=A248)*(nASIG=B248)*(nNOTA=4))</f>
        <v>0</v>
      </c>
      <c r="P248">
        <f>SUMPRODUCT((nCUENTA=1)*(nCURSO=A248)*(nASIG=B248)*(nNOTA=5))</f>
        <v>0</v>
      </c>
      <c r="Q248">
        <f>SUMPRODUCT((nCUENTA=1)*(nCURSO=A248)*(nASIG=B248)*(nNOTA=6))</f>
        <v>0</v>
      </c>
      <c r="R248">
        <f>SUMPRODUCT((nCUENTA=1)*(nCURSO=A248)*(nASIG=B248)*(nNOTA=7))</f>
        <v>0</v>
      </c>
      <c r="S248">
        <f>SUMPRODUCT((nCUENTA=1)*(nCURSO=A248)*(nASIG=B248)*(nNOTA=8))</f>
        <v>0</v>
      </c>
      <c r="T248">
        <f>SUMPRODUCT((nCUENTA=1)*(nCURSO=A248)*(nASIG=B248)*(nNOTA=9))</f>
        <v>0</v>
      </c>
      <c r="U248">
        <f>SUMPRODUCT((nCUENTA=1)*(nCURSO=A248)*(nASIG=B248)*(nNOTA=10))</f>
        <v>0</v>
      </c>
    </row>
    <row r="249">
      <c r="A249" t="inlineStr">
        <is>
          <t xml:space="preserve">3EPM</t>
        </is>
      </c>
      <c r="B249" cm="1">
        <f t="array" ref="B249">IFERROR(INDEX(_xlfn._xlws.FILTER(CONFIG_ASIGNATURAS!$B$2:$B$91,(CONFIG_ASIGNATURAS!$G$2:$G$91="Sí")*ISNUMBER(SEARCH("3EPM",CONFIG_ASIGNATURAS!$C$2:$C$91))),46),"")</f>
      </c>
      <c r="C249">
        <f>IF(B249="","",IFERROR(VLOOKUP(B249,CONFIG_ASIGNATURAS!$B$2:$D$91,3,FALSE()),"Asignatura"))</f>
      </c>
      <c r="D249">
        <f>SUMPRODUCT((nCUENTA=1)*(nCURSO=A249)*(nASIG=B249))</f>
        <v>0</v>
      </c>
      <c r="E249" s="10" t="str">
        <f>IFERROR(SUMPRODUCT((nCUENTA=1)*(nCURSO=A249)*(nASIG=B249)*(nNOTA))/D249,"—")</f>
        <v>—</v>
      </c>
      <c r="F249" s="10" t="str" cm="1">
        <f t="array" ref="F249">IFERROR(_xlfn.STDEV.P(_xlfn._xlws.FILTER(nNOTA,(nCUENTA=1)*(nCURSO=A249)*(nASIG=B249))),"—")</f>
        <v>—</v>
      </c>
      <c r="G249" t="str" cm="1">
        <f t="array" ref="G249">IFERROR(_xlfn.MODE.SNGL(_xlfn._xlws.FILTER(nNOTA,(nCUENTA=1)*(nCURSO=A249)*(nASIG=B249))),"—")</f>
        <v>—</v>
      </c>
      <c r="H249" s="11" t="str">
        <f>IFERROR(SUMPRODUCT((nCUENTA=1)*(nCURSO=A249)*(nASIG=B249)*(nAPTO="S"))/D249,"—")</f>
        <v>—</v>
      </c>
      <c r="I249" s="11" t="str">
        <f>IFERROR(SUMPRODUCT((nCUENTA=1)*(nCURSO=A249)*(nASIG=B249)*(nAPTO="N"))/D249,"—")</f>
        <v>—</v>
      </c>
      <c r="J249" t="str" cm="1">
        <f t="array" ref="J249">IFERROR(_xlfn.MODE.SNGL(_xlfn._xlws.FILTER(nNOTA,(nCUENTA=1)*(nCURSO=A249)*(nASIG=B249)*(nAPTO="S"))),"—")</f>
        <v>—</v>
      </c>
      <c r="K249" t="str" cm="1">
        <f t="array" ref="K249">IFERROR(_xlfn.MODE.SNGL(_xlfn._xlws.FILTER(nNOTA,(nCUENTA=1)*(nCURSO=A249)*(nASIG=B249)*(nAPTO="N"))),"—")</f>
        <v>—</v>
      </c>
      <c r="L249">
        <f>SUMPRODUCT((nCUENTA=1)*(nCURSO=A249)*(nASIG=B249)*(nNOTA=1))</f>
        <v>0</v>
      </c>
      <c r="M249">
        <f>SUMPRODUCT((nCUENTA=1)*(nCURSO=A249)*(nASIG=B249)*(nNOTA=2))</f>
        <v>0</v>
      </c>
      <c r="N249">
        <f>SUMPRODUCT((nCUENTA=1)*(nCURSO=A249)*(nASIG=B249)*(nNOTA=3))</f>
        <v>0</v>
      </c>
      <c r="O249">
        <f>SUMPRODUCT((nCUENTA=1)*(nCURSO=A249)*(nASIG=B249)*(nNOTA=4))</f>
        <v>0</v>
      </c>
      <c r="P249">
        <f>SUMPRODUCT((nCUENTA=1)*(nCURSO=A249)*(nASIG=B249)*(nNOTA=5))</f>
        <v>0</v>
      </c>
      <c r="Q249">
        <f>SUMPRODUCT((nCUENTA=1)*(nCURSO=A249)*(nASIG=B249)*(nNOTA=6))</f>
        <v>0</v>
      </c>
      <c r="R249">
        <f>SUMPRODUCT((nCUENTA=1)*(nCURSO=A249)*(nASIG=B249)*(nNOTA=7))</f>
        <v>0</v>
      </c>
      <c r="S249">
        <f>SUMPRODUCT((nCUENTA=1)*(nCURSO=A249)*(nASIG=B249)*(nNOTA=8))</f>
        <v>0</v>
      </c>
      <c r="T249">
        <f>SUMPRODUCT((nCUENTA=1)*(nCURSO=A249)*(nASIG=B249)*(nNOTA=9))</f>
        <v>0</v>
      </c>
      <c r="U249">
        <f>SUMPRODUCT((nCUENTA=1)*(nCURSO=A249)*(nASIG=B249)*(nNOTA=10))</f>
        <v>0</v>
      </c>
    </row>
    <row r="250">
      <c r="A250" t="inlineStr">
        <is>
          <t xml:space="preserve">3EPM</t>
        </is>
      </c>
      <c r="B250" cm="1">
        <f t="array" ref="B250">IFERROR(INDEX(_xlfn._xlws.FILTER(CONFIG_ASIGNATURAS!$B$2:$B$91,(CONFIG_ASIGNATURAS!$G$2:$G$91="Sí")*ISNUMBER(SEARCH("3EPM",CONFIG_ASIGNATURAS!$C$2:$C$91))),47),"")</f>
      </c>
      <c r="C250">
        <f>IF(B250="","",IFERROR(VLOOKUP(B250,CONFIG_ASIGNATURAS!$B$2:$D$91,3,FALSE()),"Asignatura"))</f>
      </c>
      <c r="D250">
        <f>SUMPRODUCT((nCUENTA=1)*(nCURSO=A250)*(nASIG=B250))</f>
        <v>0</v>
      </c>
      <c r="E250" s="10" t="str">
        <f>IFERROR(SUMPRODUCT((nCUENTA=1)*(nCURSO=A250)*(nASIG=B250)*(nNOTA))/D250,"—")</f>
        <v>—</v>
      </c>
      <c r="F250" s="10" t="str" cm="1">
        <f t="array" ref="F250">IFERROR(_xlfn.STDEV.P(_xlfn._xlws.FILTER(nNOTA,(nCUENTA=1)*(nCURSO=A250)*(nASIG=B250))),"—")</f>
        <v>—</v>
      </c>
      <c r="G250" t="str" cm="1">
        <f t="array" ref="G250">IFERROR(_xlfn.MODE.SNGL(_xlfn._xlws.FILTER(nNOTA,(nCUENTA=1)*(nCURSO=A250)*(nASIG=B250))),"—")</f>
        <v>—</v>
      </c>
      <c r="H250" s="11" t="str">
        <f>IFERROR(SUMPRODUCT((nCUENTA=1)*(nCURSO=A250)*(nASIG=B250)*(nAPTO="S"))/D250,"—")</f>
        <v>—</v>
      </c>
      <c r="I250" s="11" t="str">
        <f>IFERROR(SUMPRODUCT((nCUENTA=1)*(nCURSO=A250)*(nASIG=B250)*(nAPTO="N"))/D250,"—")</f>
        <v>—</v>
      </c>
      <c r="J250" t="str" cm="1">
        <f t="array" ref="J250">IFERROR(_xlfn.MODE.SNGL(_xlfn._xlws.FILTER(nNOTA,(nCUENTA=1)*(nCURSO=A250)*(nASIG=B250)*(nAPTO="S"))),"—")</f>
        <v>—</v>
      </c>
      <c r="K250" t="str" cm="1">
        <f t="array" ref="K250">IFERROR(_xlfn.MODE.SNGL(_xlfn._xlws.FILTER(nNOTA,(nCUENTA=1)*(nCURSO=A250)*(nASIG=B250)*(nAPTO="N"))),"—")</f>
        <v>—</v>
      </c>
      <c r="L250">
        <f>SUMPRODUCT((nCUENTA=1)*(nCURSO=A250)*(nASIG=B250)*(nNOTA=1))</f>
        <v>0</v>
      </c>
      <c r="M250">
        <f>SUMPRODUCT((nCUENTA=1)*(nCURSO=A250)*(nASIG=B250)*(nNOTA=2))</f>
        <v>0</v>
      </c>
      <c r="N250">
        <f>SUMPRODUCT((nCUENTA=1)*(nCURSO=A250)*(nASIG=B250)*(nNOTA=3))</f>
        <v>0</v>
      </c>
      <c r="O250">
        <f>SUMPRODUCT((nCUENTA=1)*(nCURSO=A250)*(nASIG=B250)*(nNOTA=4))</f>
        <v>0</v>
      </c>
      <c r="P250">
        <f>SUMPRODUCT((nCUENTA=1)*(nCURSO=A250)*(nASIG=B250)*(nNOTA=5))</f>
        <v>0</v>
      </c>
      <c r="Q250">
        <f>SUMPRODUCT((nCUENTA=1)*(nCURSO=A250)*(nASIG=B250)*(nNOTA=6))</f>
        <v>0</v>
      </c>
      <c r="R250">
        <f>SUMPRODUCT((nCUENTA=1)*(nCURSO=A250)*(nASIG=B250)*(nNOTA=7))</f>
        <v>0</v>
      </c>
      <c r="S250">
        <f>SUMPRODUCT((nCUENTA=1)*(nCURSO=A250)*(nASIG=B250)*(nNOTA=8))</f>
        <v>0</v>
      </c>
      <c r="T250">
        <f>SUMPRODUCT((nCUENTA=1)*(nCURSO=A250)*(nASIG=B250)*(nNOTA=9))</f>
        <v>0</v>
      </c>
      <c r="U250">
        <f>SUMPRODUCT((nCUENTA=1)*(nCURSO=A250)*(nASIG=B250)*(nNOTA=10))</f>
        <v>0</v>
      </c>
    </row>
    <row r="251">
      <c r="A251" t="inlineStr">
        <is>
          <t xml:space="preserve">3EPM</t>
        </is>
      </c>
      <c r="B251" cm="1">
        <f t="array" ref="B251">IFERROR(INDEX(_xlfn._xlws.FILTER(CONFIG_ASIGNATURAS!$B$2:$B$91,(CONFIG_ASIGNATURAS!$G$2:$G$91="Sí")*ISNUMBER(SEARCH("3EPM",CONFIG_ASIGNATURAS!$C$2:$C$91))),48),"")</f>
      </c>
      <c r="C251">
        <f>IF(B251="","",IFERROR(VLOOKUP(B251,CONFIG_ASIGNATURAS!$B$2:$D$91,3,FALSE()),"Asignatura"))</f>
      </c>
      <c r="D251">
        <f>SUMPRODUCT((nCUENTA=1)*(nCURSO=A251)*(nASIG=B251))</f>
        <v>0</v>
      </c>
      <c r="E251" s="10" t="str">
        <f>IFERROR(SUMPRODUCT((nCUENTA=1)*(nCURSO=A251)*(nASIG=B251)*(nNOTA))/D251,"—")</f>
        <v>—</v>
      </c>
      <c r="F251" s="10" t="str" cm="1">
        <f t="array" ref="F251">IFERROR(_xlfn.STDEV.P(_xlfn._xlws.FILTER(nNOTA,(nCUENTA=1)*(nCURSO=A251)*(nASIG=B251))),"—")</f>
        <v>—</v>
      </c>
      <c r="G251" t="str" cm="1">
        <f t="array" ref="G251">IFERROR(_xlfn.MODE.SNGL(_xlfn._xlws.FILTER(nNOTA,(nCUENTA=1)*(nCURSO=A251)*(nASIG=B251))),"—")</f>
        <v>—</v>
      </c>
      <c r="H251" s="11" t="str">
        <f>IFERROR(SUMPRODUCT((nCUENTA=1)*(nCURSO=A251)*(nASIG=B251)*(nAPTO="S"))/D251,"—")</f>
        <v>—</v>
      </c>
      <c r="I251" s="11" t="str">
        <f>IFERROR(SUMPRODUCT((nCUENTA=1)*(nCURSO=A251)*(nASIG=B251)*(nAPTO="N"))/D251,"—")</f>
        <v>—</v>
      </c>
      <c r="J251" t="str" cm="1">
        <f t="array" ref="J251">IFERROR(_xlfn.MODE.SNGL(_xlfn._xlws.FILTER(nNOTA,(nCUENTA=1)*(nCURSO=A251)*(nASIG=B251)*(nAPTO="S"))),"—")</f>
        <v>—</v>
      </c>
      <c r="K251" t="str" cm="1">
        <f t="array" ref="K251">IFERROR(_xlfn.MODE.SNGL(_xlfn._xlws.FILTER(nNOTA,(nCUENTA=1)*(nCURSO=A251)*(nASIG=B251)*(nAPTO="N"))),"—")</f>
        <v>—</v>
      </c>
      <c r="L251">
        <f>SUMPRODUCT((nCUENTA=1)*(nCURSO=A251)*(nASIG=B251)*(nNOTA=1))</f>
        <v>0</v>
      </c>
      <c r="M251">
        <f>SUMPRODUCT((nCUENTA=1)*(nCURSO=A251)*(nASIG=B251)*(nNOTA=2))</f>
        <v>0</v>
      </c>
      <c r="N251">
        <f>SUMPRODUCT((nCUENTA=1)*(nCURSO=A251)*(nASIG=B251)*(nNOTA=3))</f>
        <v>0</v>
      </c>
      <c r="O251">
        <f>SUMPRODUCT((nCUENTA=1)*(nCURSO=A251)*(nASIG=B251)*(nNOTA=4))</f>
        <v>0</v>
      </c>
      <c r="P251">
        <f>SUMPRODUCT((nCUENTA=1)*(nCURSO=A251)*(nASIG=B251)*(nNOTA=5))</f>
        <v>0</v>
      </c>
      <c r="Q251">
        <f>SUMPRODUCT((nCUENTA=1)*(nCURSO=A251)*(nASIG=B251)*(nNOTA=6))</f>
        <v>0</v>
      </c>
      <c r="R251">
        <f>SUMPRODUCT((nCUENTA=1)*(nCURSO=A251)*(nASIG=B251)*(nNOTA=7))</f>
        <v>0</v>
      </c>
      <c r="S251">
        <f>SUMPRODUCT((nCUENTA=1)*(nCURSO=A251)*(nASIG=B251)*(nNOTA=8))</f>
        <v>0</v>
      </c>
      <c r="T251">
        <f>SUMPRODUCT((nCUENTA=1)*(nCURSO=A251)*(nASIG=B251)*(nNOTA=9))</f>
        <v>0</v>
      </c>
      <c r="U251">
        <f>SUMPRODUCT((nCUENTA=1)*(nCURSO=A251)*(nASIG=B251)*(nNOTA=10))</f>
        <v>0</v>
      </c>
    </row>
    <row r="252">
      <c r="A252" t="inlineStr">
        <is>
          <t xml:space="preserve">3EPM</t>
        </is>
      </c>
      <c r="B252" cm="1">
        <f t="array" ref="B252">IFERROR(INDEX(_xlfn._xlws.FILTER(CONFIG_ASIGNATURAS!$B$2:$B$91,(CONFIG_ASIGNATURAS!$G$2:$G$91="Sí")*ISNUMBER(SEARCH("3EPM",CONFIG_ASIGNATURAS!$C$2:$C$91))),49),"")</f>
      </c>
      <c r="C252">
        <f>IF(B252="","",IFERROR(VLOOKUP(B252,CONFIG_ASIGNATURAS!$B$2:$D$91,3,FALSE()),"Asignatura"))</f>
      </c>
      <c r="D252">
        <f>SUMPRODUCT((nCUENTA=1)*(nCURSO=A252)*(nASIG=B252))</f>
        <v>0</v>
      </c>
      <c r="E252" s="10" t="str">
        <f>IFERROR(SUMPRODUCT((nCUENTA=1)*(nCURSO=A252)*(nASIG=B252)*(nNOTA))/D252,"—")</f>
        <v>—</v>
      </c>
      <c r="F252" s="10" t="str" cm="1">
        <f t="array" ref="F252">IFERROR(_xlfn.STDEV.P(_xlfn._xlws.FILTER(nNOTA,(nCUENTA=1)*(nCURSO=A252)*(nASIG=B252))),"—")</f>
        <v>—</v>
      </c>
      <c r="G252" t="str" cm="1">
        <f t="array" ref="G252">IFERROR(_xlfn.MODE.SNGL(_xlfn._xlws.FILTER(nNOTA,(nCUENTA=1)*(nCURSO=A252)*(nASIG=B252))),"—")</f>
        <v>—</v>
      </c>
      <c r="H252" s="11" t="str">
        <f>IFERROR(SUMPRODUCT((nCUENTA=1)*(nCURSO=A252)*(nASIG=B252)*(nAPTO="S"))/D252,"—")</f>
        <v>—</v>
      </c>
      <c r="I252" s="11" t="str">
        <f>IFERROR(SUMPRODUCT((nCUENTA=1)*(nCURSO=A252)*(nASIG=B252)*(nAPTO="N"))/D252,"—")</f>
        <v>—</v>
      </c>
      <c r="J252" t="str" cm="1">
        <f t="array" ref="J252">IFERROR(_xlfn.MODE.SNGL(_xlfn._xlws.FILTER(nNOTA,(nCUENTA=1)*(nCURSO=A252)*(nASIG=B252)*(nAPTO="S"))),"—")</f>
        <v>—</v>
      </c>
      <c r="K252" t="str" cm="1">
        <f t="array" ref="K252">IFERROR(_xlfn.MODE.SNGL(_xlfn._xlws.FILTER(nNOTA,(nCUENTA=1)*(nCURSO=A252)*(nASIG=B252)*(nAPTO="N"))),"—")</f>
        <v>—</v>
      </c>
      <c r="L252">
        <f>SUMPRODUCT((nCUENTA=1)*(nCURSO=A252)*(nASIG=B252)*(nNOTA=1))</f>
        <v>0</v>
      </c>
      <c r="M252">
        <f>SUMPRODUCT((nCUENTA=1)*(nCURSO=A252)*(nASIG=B252)*(nNOTA=2))</f>
        <v>0</v>
      </c>
      <c r="N252">
        <f>SUMPRODUCT((nCUENTA=1)*(nCURSO=A252)*(nASIG=B252)*(nNOTA=3))</f>
        <v>0</v>
      </c>
      <c r="O252">
        <f>SUMPRODUCT((nCUENTA=1)*(nCURSO=A252)*(nASIG=B252)*(nNOTA=4))</f>
        <v>0</v>
      </c>
      <c r="P252">
        <f>SUMPRODUCT((nCUENTA=1)*(nCURSO=A252)*(nASIG=B252)*(nNOTA=5))</f>
        <v>0</v>
      </c>
      <c r="Q252">
        <f>SUMPRODUCT((nCUENTA=1)*(nCURSO=A252)*(nASIG=B252)*(nNOTA=6))</f>
        <v>0</v>
      </c>
      <c r="R252">
        <f>SUMPRODUCT((nCUENTA=1)*(nCURSO=A252)*(nASIG=B252)*(nNOTA=7))</f>
        <v>0</v>
      </c>
      <c r="S252">
        <f>SUMPRODUCT((nCUENTA=1)*(nCURSO=A252)*(nASIG=B252)*(nNOTA=8))</f>
        <v>0</v>
      </c>
      <c r="T252">
        <f>SUMPRODUCT((nCUENTA=1)*(nCURSO=A252)*(nASIG=B252)*(nNOTA=9))</f>
        <v>0</v>
      </c>
      <c r="U252">
        <f>SUMPRODUCT((nCUENTA=1)*(nCURSO=A252)*(nASIG=B252)*(nNOTA=10))</f>
        <v>0</v>
      </c>
    </row>
    <row r="253">
      <c r="A253" t="inlineStr">
        <is>
          <t xml:space="preserve">3EPM</t>
        </is>
      </c>
      <c r="B253" cm="1">
        <f t="array" ref="B253">IFERROR(INDEX(_xlfn._xlws.FILTER(CONFIG_ASIGNATURAS!$B$2:$B$91,(CONFIG_ASIGNATURAS!$G$2:$G$91="Sí")*ISNUMBER(SEARCH("3EPM",CONFIG_ASIGNATURAS!$C$2:$C$91))),50),"")</f>
      </c>
      <c r="C253">
        <f>IF(B253="","",IFERROR(VLOOKUP(B253,CONFIG_ASIGNATURAS!$B$2:$D$91,3,FALSE()),"Asignatura"))</f>
      </c>
      <c r="D253">
        <f>SUMPRODUCT((nCUENTA=1)*(nCURSO=A253)*(nASIG=B253))</f>
        <v>0</v>
      </c>
      <c r="E253" s="10" t="str">
        <f>IFERROR(SUMPRODUCT((nCUENTA=1)*(nCURSO=A253)*(nASIG=B253)*(nNOTA))/D253,"—")</f>
        <v>—</v>
      </c>
      <c r="F253" s="10" t="str" cm="1">
        <f t="array" ref="F253">IFERROR(_xlfn.STDEV.P(_xlfn._xlws.FILTER(nNOTA,(nCUENTA=1)*(nCURSO=A253)*(nASIG=B253))),"—")</f>
        <v>—</v>
      </c>
      <c r="G253" t="str" cm="1">
        <f t="array" ref="G253">IFERROR(_xlfn.MODE.SNGL(_xlfn._xlws.FILTER(nNOTA,(nCUENTA=1)*(nCURSO=A253)*(nASIG=B253))),"—")</f>
        <v>—</v>
      </c>
      <c r="H253" s="11" t="str">
        <f>IFERROR(SUMPRODUCT((nCUENTA=1)*(nCURSO=A253)*(nASIG=B253)*(nAPTO="S"))/D253,"—")</f>
        <v>—</v>
      </c>
      <c r="I253" s="11" t="str">
        <f>IFERROR(SUMPRODUCT((nCUENTA=1)*(nCURSO=A253)*(nASIG=B253)*(nAPTO="N"))/D253,"—")</f>
        <v>—</v>
      </c>
      <c r="J253" t="str" cm="1">
        <f t="array" ref="J253">IFERROR(_xlfn.MODE.SNGL(_xlfn._xlws.FILTER(nNOTA,(nCUENTA=1)*(nCURSO=A253)*(nASIG=B253)*(nAPTO="S"))),"—")</f>
        <v>—</v>
      </c>
      <c r="K253" t="str" cm="1">
        <f t="array" ref="K253">IFERROR(_xlfn.MODE.SNGL(_xlfn._xlws.FILTER(nNOTA,(nCUENTA=1)*(nCURSO=A253)*(nASIG=B253)*(nAPTO="N"))),"—")</f>
        <v>—</v>
      </c>
      <c r="L253">
        <f>SUMPRODUCT((nCUENTA=1)*(nCURSO=A253)*(nASIG=B253)*(nNOTA=1))</f>
        <v>0</v>
      </c>
      <c r="M253">
        <f>SUMPRODUCT((nCUENTA=1)*(nCURSO=A253)*(nASIG=B253)*(nNOTA=2))</f>
        <v>0</v>
      </c>
      <c r="N253">
        <f>SUMPRODUCT((nCUENTA=1)*(nCURSO=A253)*(nASIG=B253)*(nNOTA=3))</f>
        <v>0</v>
      </c>
      <c r="O253">
        <f>SUMPRODUCT((nCUENTA=1)*(nCURSO=A253)*(nASIG=B253)*(nNOTA=4))</f>
        <v>0</v>
      </c>
      <c r="P253">
        <f>SUMPRODUCT((nCUENTA=1)*(nCURSO=A253)*(nASIG=B253)*(nNOTA=5))</f>
        <v>0</v>
      </c>
      <c r="Q253">
        <f>SUMPRODUCT((nCUENTA=1)*(nCURSO=A253)*(nASIG=B253)*(nNOTA=6))</f>
        <v>0</v>
      </c>
      <c r="R253">
        <f>SUMPRODUCT((nCUENTA=1)*(nCURSO=A253)*(nASIG=B253)*(nNOTA=7))</f>
        <v>0</v>
      </c>
      <c r="S253">
        <f>SUMPRODUCT((nCUENTA=1)*(nCURSO=A253)*(nASIG=B253)*(nNOTA=8))</f>
        <v>0</v>
      </c>
      <c r="T253">
        <f>SUMPRODUCT((nCUENTA=1)*(nCURSO=A253)*(nASIG=B253)*(nNOTA=9))</f>
        <v>0</v>
      </c>
      <c r="U253">
        <f>SUMPRODUCT((nCUENTA=1)*(nCURSO=A253)*(nASIG=B253)*(nNOTA=10))</f>
        <v>0</v>
      </c>
    </row>
    <row r="254">
      <c r="A254" t="inlineStr">
        <is>
          <t xml:space="preserve">3EPM</t>
        </is>
      </c>
      <c r="B254" cm="1">
        <f t="array" ref="B254">IFERROR(INDEX(_xlfn._xlws.FILTER(CONFIG_ASIGNATURAS!$B$2:$B$91,(CONFIG_ASIGNATURAS!$G$2:$G$91="Sí")*ISNUMBER(SEARCH("3EPM",CONFIG_ASIGNATURAS!$C$2:$C$91))),51),"")</f>
      </c>
      <c r="C254">
        <f>IF(B254="","",IFERROR(VLOOKUP(B254,CONFIG_ASIGNATURAS!$B$2:$D$91,3,FALSE()),"Asignatura"))</f>
      </c>
      <c r="D254">
        <f>SUMPRODUCT((nCUENTA=1)*(nCURSO=A254)*(nASIG=B254))</f>
        <v>0</v>
      </c>
      <c r="E254" s="10" t="str">
        <f>IFERROR(SUMPRODUCT((nCUENTA=1)*(nCURSO=A254)*(nASIG=B254)*(nNOTA))/D254,"—")</f>
        <v>—</v>
      </c>
      <c r="F254" s="10" t="str" cm="1">
        <f t="array" ref="F254">IFERROR(_xlfn.STDEV.P(_xlfn._xlws.FILTER(nNOTA,(nCUENTA=1)*(nCURSO=A254)*(nASIG=B254))),"—")</f>
        <v>—</v>
      </c>
      <c r="G254" t="str" cm="1">
        <f t="array" ref="G254">IFERROR(_xlfn.MODE.SNGL(_xlfn._xlws.FILTER(nNOTA,(nCUENTA=1)*(nCURSO=A254)*(nASIG=B254))),"—")</f>
        <v>—</v>
      </c>
      <c r="H254" s="11" t="str">
        <f>IFERROR(SUMPRODUCT((nCUENTA=1)*(nCURSO=A254)*(nASIG=B254)*(nAPTO="S"))/D254,"—")</f>
        <v>—</v>
      </c>
      <c r="I254" s="11" t="str">
        <f>IFERROR(SUMPRODUCT((nCUENTA=1)*(nCURSO=A254)*(nASIG=B254)*(nAPTO="N"))/D254,"—")</f>
        <v>—</v>
      </c>
      <c r="J254" t="str" cm="1">
        <f t="array" ref="J254">IFERROR(_xlfn.MODE.SNGL(_xlfn._xlws.FILTER(nNOTA,(nCUENTA=1)*(nCURSO=A254)*(nASIG=B254)*(nAPTO="S"))),"—")</f>
        <v>—</v>
      </c>
      <c r="K254" t="str" cm="1">
        <f t="array" ref="K254">IFERROR(_xlfn.MODE.SNGL(_xlfn._xlws.FILTER(nNOTA,(nCUENTA=1)*(nCURSO=A254)*(nASIG=B254)*(nAPTO="N"))),"—")</f>
        <v>—</v>
      </c>
      <c r="L254">
        <f>SUMPRODUCT((nCUENTA=1)*(nCURSO=A254)*(nASIG=B254)*(nNOTA=1))</f>
        <v>0</v>
      </c>
      <c r="M254">
        <f>SUMPRODUCT((nCUENTA=1)*(nCURSO=A254)*(nASIG=B254)*(nNOTA=2))</f>
        <v>0</v>
      </c>
      <c r="N254">
        <f>SUMPRODUCT((nCUENTA=1)*(nCURSO=A254)*(nASIG=B254)*(nNOTA=3))</f>
        <v>0</v>
      </c>
      <c r="O254">
        <f>SUMPRODUCT((nCUENTA=1)*(nCURSO=A254)*(nASIG=B254)*(nNOTA=4))</f>
        <v>0</v>
      </c>
      <c r="P254">
        <f>SUMPRODUCT((nCUENTA=1)*(nCURSO=A254)*(nASIG=B254)*(nNOTA=5))</f>
        <v>0</v>
      </c>
      <c r="Q254">
        <f>SUMPRODUCT((nCUENTA=1)*(nCURSO=A254)*(nASIG=B254)*(nNOTA=6))</f>
        <v>0</v>
      </c>
      <c r="R254">
        <f>SUMPRODUCT((nCUENTA=1)*(nCURSO=A254)*(nASIG=B254)*(nNOTA=7))</f>
        <v>0</v>
      </c>
      <c r="S254">
        <f>SUMPRODUCT((nCUENTA=1)*(nCURSO=A254)*(nASIG=B254)*(nNOTA=8))</f>
        <v>0</v>
      </c>
      <c r="T254">
        <f>SUMPRODUCT((nCUENTA=1)*(nCURSO=A254)*(nASIG=B254)*(nNOTA=9))</f>
        <v>0</v>
      </c>
      <c r="U254">
        <f>SUMPRODUCT((nCUENTA=1)*(nCURSO=A254)*(nASIG=B254)*(nNOTA=10))</f>
        <v>0</v>
      </c>
    </row>
    <row r="255">
      <c r="A255" t="inlineStr">
        <is>
          <t xml:space="preserve">3EPM</t>
        </is>
      </c>
      <c r="B255" cm="1">
        <f t="array" ref="B255">IFERROR(INDEX(_xlfn._xlws.FILTER(CONFIG_ASIGNATURAS!$B$2:$B$91,(CONFIG_ASIGNATURAS!$G$2:$G$91="Sí")*ISNUMBER(SEARCH("3EPM",CONFIG_ASIGNATURAS!$C$2:$C$91))),52),"")</f>
      </c>
      <c r="C255">
        <f>IF(B255="","",IFERROR(VLOOKUP(B255,CONFIG_ASIGNATURAS!$B$2:$D$91,3,FALSE()),"Asignatura"))</f>
      </c>
      <c r="D255">
        <f>SUMPRODUCT((nCUENTA=1)*(nCURSO=A255)*(nASIG=B255))</f>
        <v>0</v>
      </c>
      <c r="E255" s="10" t="str">
        <f>IFERROR(SUMPRODUCT((nCUENTA=1)*(nCURSO=A255)*(nASIG=B255)*(nNOTA))/D255,"—")</f>
        <v>—</v>
      </c>
      <c r="F255" s="10" t="str" cm="1">
        <f t="array" ref="F255">IFERROR(_xlfn.STDEV.P(_xlfn._xlws.FILTER(nNOTA,(nCUENTA=1)*(nCURSO=A255)*(nASIG=B255))),"—")</f>
        <v>—</v>
      </c>
      <c r="G255" t="str" cm="1">
        <f t="array" ref="G255">IFERROR(_xlfn.MODE.SNGL(_xlfn._xlws.FILTER(nNOTA,(nCUENTA=1)*(nCURSO=A255)*(nASIG=B255))),"—")</f>
        <v>—</v>
      </c>
      <c r="H255" s="11" t="str">
        <f>IFERROR(SUMPRODUCT((nCUENTA=1)*(nCURSO=A255)*(nASIG=B255)*(nAPTO="S"))/D255,"—")</f>
        <v>—</v>
      </c>
      <c r="I255" s="11" t="str">
        <f>IFERROR(SUMPRODUCT((nCUENTA=1)*(nCURSO=A255)*(nASIG=B255)*(nAPTO="N"))/D255,"—")</f>
        <v>—</v>
      </c>
      <c r="J255" t="str" cm="1">
        <f t="array" ref="J255">IFERROR(_xlfn.MODE.SNGL(_xlfn._xlws.FILTER(nNOTA,(nCUENTA=1)*(nCURSO=A255)*(nASIG=B255)*(nAPTO="S"))),"—")</f>
        <v>—</v>
      </c>
      <c r="K255" t="str" cm="1">
        <f t="array" ref="K255">IFERROR(_xlfn.MODE.SNGL(_xlfn._xlws.FILTER(nNOTA,(nCUENTA=1)*(nCURSO=A255)*(nASIG=B255)*(nAPTO="N"))),"—")</f>
        <v>—</v>
      </c>
      <c r="L255">
        <f>SUMPRODUCT((nCUENTA=1)*(nCURSO=A255)*(nASIG=B255)*(nNOTA=1))</f>
        <v>0</v>
      </c>
      <c r="M255">
        <f>SUMPRODUCT((nCUENTA=1)*(nCURSO=A255)*(nASIG=B255)*(nNOTA=2))</f>
        <v>0</v>
      </c>
      <c r="N255">
        <f>SUMPRODUCT((nCUENTA=1)*(nCURSO=A255)*(nASIG=B255)*(nNOTA=3))</f>
        <v>0</v>
      </c>
      <c r="O255">
        <f>SUMPRODUCT((nCUENTA=1)*(nCURSO=A255)*(nASIG=B255)*(nNOTA=4))</f>
        <v>0</v>
      </c>
      <c r="P255">
        <f>SUMPRODUCT((nCUENTA=1)*(nCURSO=A255)*(nASIG=B255)*(nNOTA=5))</f>
        <v>0</v>
      </c>
      <c r="Q255">
        <f>SUMPRODUCT((nCUENTA=1)*(nCURSO=A255)*(nASIG=B255)*(nNOTA=6))</f>
        <v>0</v>
      </c>
      <c r="R255">
        <f>SUMPRODUCT((nCUENTA=1)*(nCURSO=A255)*(nASIG=B255)*(nNOTA=7))</f>
        <v>0</v>
      </c>
      <c r="S255">
        <f>SUMPRODUCT((nCUENTA=1)*(nCURSO=A255)*(nASIG=B255)*(nNOTA=8))</f>
        <v>0</v>
      </c>
      <c r="T255">
        <f>SUMPRODUCT((nCUENTA=1)*(nCURSO=A255)*(nASIG=B255)*(nNOTA=9))</f>
        <v>0</v>
      </c>
      <c r="U255">
        <f>SUMPRODUCT((nCUENTA=1)*(nCURSO=A255)*(nASIG=B255)*(nNOTA=10))</f>
        <v>0</v>
      </c>
    </row>
    <row r="256">
      <c r="A256" t="inlineStr">
        <is>
          <t xml:space="preserve">3EPM</t>
        </is>
      </c>
      <c r="B256" cm="1">
        <f t="array" ref="B256">IFERROR(INDEX(_xlfn._xlws.FILTER(CONFIG_ASIGNATURAS!$B$2:$B$91,(CONFIG_ASIGNATURAS!$G$2:$G$91="Sí")*ISNUMBER(SEARCH("3EPM",CONFIG_ASIGNATURAS!$C$2:$C$91))),53),"")</f>
      </c>
      <c r="C256">
        <f>IF(B256="","",IFERROR(VLOOKUP(B256,CONFIG_ASIGNATURAS!$B$2:$D$91,3,FALSE()),"Asignatura"))</f>
      </c>
      <c r="D256">
        <f>SUMPRODUCT((nCUENTA=1)*(nCURSO=A256)*(nASIG=B256))</f>
        <v>0</v>
      </c>
      <c r="E256" s="10" t="str">
        <f>IFERROR(SUMPRODUCT((nCUENTA=1)*(nCURSO=A256)*(nASIG=B256)*(nNOTA))/D256,"—")</f>
        <v>—</v>
      </c>
      <c r="F256" s="10" t="str" cm="1">
        <f t="array" ref="F256">IFERROR(_xlfn.STDEV.P(_xlfn._xlws.FILTER(nNOTA,(nCUENTA=1)*(nCURSO=A256)*(nASIG=B256))),"—")</f>
        <v>—</v>
      </c>
      <c r="G256" t="str" cm="1">
        <f t="array" ref="G256">IFERROR(_xlfn.MODE.SNGL(_xlfn._xlws.FILTER(nNOTA,(nCUENTA=1)*(nCURSO=A256)*(nASIG=B256))),"—")</f>
        <v>—</v>
      </c>
      <c r="H256" s="11" t="str">
        <f>IFERROR(SUMPRODUCT((nCUENTA=1)*(nCURSO=A256)*(nASIG=B256)*(nAPTO="S"))/D256,"—")</f>
        <v>—</v>
      </c>
      <c r="I256" s="11" t="str">
        <f>IFERROR(SUMPRODUCT((nCUENTA=1)*(nCURSO=A256)*(nASIG=B256)*(nAPTO="N"))/D256,"—")</f>
        <v>—</v>
      </c>
      <c r="J256" t="str" cm="1">
        <f t="array" ref="J256">IFERROR(_xlfn.MODE.SNGL(_xlfn._xlws.FILTER(nNOTA,(nCUENTA=1)*(nCURSO=A256)*(nASIG=B256)*(nAPTO="S"))),"—")</f>
        <v>—</v>
      </c>
      <c r="K256" t="str" cm="1">
        <f t="array" ref="K256">IFERROR(_xlfn.MODE.SNGL(_xlfn._xlws.FILTER(nNOTA,(nCUENTA=1)*(nCURSO=A256)*(nASIG=B256)*(nAPTO="N"))),"—")</f>
        <v>—</v>
      </c>
      <c r="L256">
        <f>SUMPRODUCT((nCUENTA=1)*(nCURSO=A256)*(nASIG=B256)*(nNOTA=1))</f>
        <v>0</v>
      </c>
      <c r="M256">
        <f>SUMPRODUCT((nCUENTA=1)*(nCURSO=A256)*(nASIG=B256)*(nNOTA=2))</f>
        <v>0</v>
      </c>
      <c r="N256">
        <f>SUMPRODUCT((nCUENTA=1)*(nCURSO=A256)*(nASIG=B256)*(nNOTA=3))</f>
        <v>0</v>
      </c>
      <c r="O256">
        <f>SUMPRODUCT((nCUENTA=1)*(nCURSO=A256)*(nASIG=B256)*(nNOTA=4))</f>
        <v>0</v>
      </c>
      <c r="P256">
        <f>SUMPRODUCT((nCUENTA=1)*(nCURSO=A256)*(nASIG=B256)*(nNOTA=5))</f>
        <v>0</v>
      </c>
      <c r="Q256">
        <f>SUMPRODUCT((nCUENTA=1)*(nCURSO=A256)*(nASIG=B256)*(nNOTA=6))</f>
        <v>0</v>
      </c>
      <c r="R256">
        <f>SUMPRODUCT((nCUENTA=1)*(nCURSO=A256)*(nASIG=B256)*(nNOTA=7))</f>
        <v>0</v>
      </c>
      <c r="S256">
        <f>SUMPRODUCT((nCUENTA=1)*(nCURSO=A256)*(nASIG=B256)*(nNOTA=8))</f>
        <v>0</v>
      </c>
      <c r="T256">
        <f>SUMPRODUCT((nCUENTA=1)*(nCURSO=A256)*(nASIG=B256)*(nNOTA=9))</f>
        <v>0</v>
      </c>
      <c r="U256">
        <f>SUMPRODUCT((nCUENTA=1)*(nCURSO=A256)*(nASIG=B256)*(nNOTA=10))</f>
        <v>0</v>
      </c>
    </row>
    <row r="257">
      <c r="A257" t="inlineStr">
        <is>
          <t xml:space="preserve">3EPM</t>
        </is>
      </c>
      <c r="B257" cm="1">
        <f t="array" ref="B257">IFERROR(INDEX(_xlfn._xlws.FILTER(CONFIG_ASIGNATURAS!$B$2:$B$91,(CONFIG_ASIGNATURAS!$G$2:$G$91="Sí")*ISNUMBER(SEARCH("3EPM",CONFIG_ASIGNATURAS!$C$2:$C$91))),54),"")</f>
      </c>
      <c r="C257">
        <f>IF(B257="","",IFERROR(VLOOKUP(B257,CONFIG_ASIGNATURAS!$B$2:$D$91,3,FALSE()),"Asignatura"))</f>
      </c>
      <c r="D257">
        <f>SUMPRODUCT((nCUENTA=1)*(nCURSO=A257)*(nASIG=B257))</f>
        <v>0</v>
      </c>
      <c r="E257" s="10" t="str">
        <f>IFERROR(SUMPRODUCT((nCUENTA=1)*(nCURSO=A257)*(nASIG=B257)*(nNOTA))/D257,"—")</f>
        <v>—</v>
      </c>
      <c r="F257" s="10" t="str" cm="1">
        <f t="array" ref="F257">IFERROR(_xlfn.STDEV.P(_xlfn._xlws.FILTER(nNOTA,(nCUENTA=1)*(nCURSO=A257)*(nASIG=B257))),"—")</f>
        <v>—</v>
      </c>
      <c r="G257" t="str" cm="1">
        <f t="array" ref="G257">IFERROR(_xlfn.MODE.SNGL(_xlfn._xlws.FILTER(nNOTA,(nCUENTA=1)*(nCURSO=A257)*(nASIG=B257))),"—")</f>
        <v>—</v>
      </c>
      <c r="H257" s="11" t="str">
        <f>IFERROR(SUMPRODUCT((nCUENTA=1)*(nCURSO=A257)*(nASIG=B257)*(nAPTO="S"))/D257,"—")</f>
        <v>—</v>
      </c>
      <c r="I257" s="11" t="str">
        <f>IFERROR(SUMPRODUCT((nCUENTA=1)*(nCURSO=A257)*(nASIG=B257)*(nAPTO="N"))/D257,"—")</f>
        <v>—</v>
      </c>
      <c r="J257" t="str" cm="1">
        <f t="array" ref="J257">IFERROR(_xlfn.MODE.SNGL(_xlfn._xlws.FILTER(nNOTA,(nCUENTA=1)*(nCURSO=A257)*(nASIG=B257)*(nAPTO="S"))),"—")</f>
        <v>—</v>
      </c>
      <c r="K257" t="str" cm="1">
        <f t="array" ref="K257">IFERROR(_xlfn.MODE.SNGL(_xlfn._xlws.FILTER(nNOTA,(nCUENTA=1)*(nCURSO=A257)*(nASIG=B257)*(nAPTO="N"))),"—")</f>
        <v>—</v>
      </c>
      <c r="L257">
        <f>SUMPRODUCT((nCUENTA=1)*(nCURSO=A257)*(nASIG=B257)*(nNOTA=1))</f>
        <v>0</v>
      </c>
      <c r="M257">
        <f>SUMPRODUCT((nCUENTA=1)*(nCURSO=A257)*(nASIG=B257)*(nNOTA=2))</f>
        <v>0</v>
      </c>
      <c r="N257">
        <f>SUMPRODUCT((nCUENTA=1)*(nCURSO=A257)*(nASIG=B257)*(nNOTA=3))</f>
        <v>0</v>
      </c>
      <c r="O257">
        <f>SUMPRODUCT((nCUENTA=1)*(nCURSO=A257)*(nASIG=B257)*(nNOTA=4))</f>
        <v>0</v>
      </c>
      <c r="P257">
        <f>SUMPRODUCT((nCUENTA=1)*(nCURSO=A257)*(nASIG=B257)*(nNOTA=5))</f>
        <v>0</v>
      </c>
      <c r="Q257">
        <f>SUMPRODUCT((nCUENTA=1)*(nCURSO=A257)*(nASIG=B257)*(nNOTA=6))</f>
        <v>0</v>
      </c>
      <c r="R257">
        <f>SUMPRODUCT((nCUENTA=1)*(nCURSO=A257)*(nASIG=B257)*(nNOTA=7))</f>
        <v>0</v>
      </c>
      <c r="S257">
        <f>SUMPRODUCT((nCUENTA=1)*(nCURSO=A257)*(nASIG=B257)*(nNOTA=8))</f>
        <v>0</v>
      </c>
      <c r="T257">
        <f>SUMPRODUCT((nCUENTA=1)*(nCURSO=A257)*(nASIG=B257)*(nNOTA=9))</f>
        <v>0</v>
      </c>
      <c r="U257">
        <f>SUMPRODUCT((nCUENTA=1)*(nCURSO=A257)*(nASIG=B257)*(nNOTA=10))</f>
        <v>0</v>
      </c>
    </row>
    <row r="258">
      <c r="A258" t="inlineStr">
        <is>
          <t xml:space="preserve">3EPM</t>
        </is>
      </c>
      <c r="B258" cm="1">
        <f t="array" ref="B258">IFERROR(INDEX(_xlfn._xlws.FILTER(CONFIG_ASIGNATURAS!$B$2:$B$91,(CONFIG_ASIGNATURAS!$G$2:$G$91="Sí")*ISNUMBER(SEARCH("3EPM",CONFIG_ASIGNATURAS!$C$2:$C$91))),55),"")</f>
      </c>
      <c r="C258">
        <f>IF(B258="","",IFERROR(VLOOKUP(B258,CONFIG_ASIGNATURAS!$B$2:$D$91,3,FALSE()),"Asignatura"))</f>
      </c>
      <c r="D258">
        <f>SUMPRODUCT((nCUENTA=1)*(nCURSO=A258)*(nASIG=B258))</f>
        <v>0</v>
      </c>
      <c r="E258" s="10" t="str">
        <f>IFERROR(SUMPRODUCT((nCUENTA=1)*(nCURSO=A258)*(nASIG=B258)*(nNOTA))/D258,"—")</f>
        <v>—</v>
      </c>
      <c r="F258" s="10" t="str" cm="1">
        <f t="array" ref="F258">IFERROR(_xlfn.STDEV.P(_xlfn._xlws.FILTER(nNOTA,(nCUENTA=1)*(nCURSO=A258)*(nASIG=B258))),"—")</f>
        <v>—</v>
      </c>
      <c r="G258" t="str" cm="1">
        <f t="array" ref="G258">IFERROR(_xlfn.MODE.SNGL(_xlfn._xlws.FILTER(nNOTA,(nCUENTA=1)*(nCURSO=A258)*(nASIG=B258))),"—")</f>
        <v>—</v>
      </c>
      <c r="H258" s="11" t="str">
        <f>IFERROR(SUMPRODUCT((nCUENTA=1)*(nCURSO=A258)*(nASIG=B258)*(nAPTO="S"))/D258,"—")</f>
        <v>—</v>
      </c>
      <c r="I258" s="11" t="str">
        <f>IFERROR(SUMPRODUCT((nCUENTA=1)*(nCURSO=A258)*(nASIG=B258)*(nAPTO="N"))/D258,"—")</f>
        <v>—</v>
      </c>
      <c r="J258" t="str" cm="1">
        <f t="array" ref="J258">IFERROR(_xlfn.MODE.SNGL(_xlfn._xlws.FILTER(nNOTA,(nCUENTA=1)*(nCURSO=A258)*(nASIG=B258)*(nAPTO="S"))),"—")</f>
        <v>—</v>
      </c>
      <c r="K258" t="str" cm="1">
        <f t="array" ref="K258">IFERROR(_xlfn.MODE.SNGL(_xlfn._xlws.FILTER(nNOTA,(nCUENTA=1)*(nCURSO=A258)*(nASIG=B258)*(nAPTO="N"))),"—")</f>
        <v>—</v>
      </c>
      <c r="L258">
        <f>SUMPRODUCT((nCUENTA=1)*(nCURSO=A258)*(nASIG=B258)*(nNOTA=1))</f>
        <v>0</v>
      </c>
      <c r="M258">
        <f>SUMPRODUCT((nCUENTA=1)*(nCURSO=A258)*(nASIG=B258)*(nNOTA=2))</f>
        <v>0</v>
      </c>
      <c r="N258">
        <f>SUMPRODUCT((nCUENTA=1)*(nCURSO=A258)*(nASIG=B258)*(nNOTA=3))</f>
        <v>0</v>
      </c>
      <c r="O258">
        <f>SUMPRODUCT((nCUENTA=1)*(nCURSO=A258)*(nASIG=B258)*(nNOTA=4))</f>
        <v>0</v>
      </c>
      <c r="P258">
        <f>SUMPRODUCT((nCUENTA=1)*(nCURSO=A258)*(nASIG=B258)*(nNOTA=5))</f>
        <v>0</v>
      </c>
      <c r="Q258">
        <f>SUMPRODUCT((nCUENTA=1)*(nCURSO=A258)*(nASIG=B258)*(nNOTA=6))</f>
        <v>0</v>
      </c>
      <c r="R258">
        <f>SUMPRODUCT((nCUENTA=1)*(nCURSO=A258)*(nASIG=B258)*(nNOTA=7))</f>
        <v>0</v>
      </c>
      <c r="S258">
        <f>SUMPRODUCT((nCUENTA=1)*(nCURSO=A258)*(nASIG=B258)*(nNOTA=8))</f>
        <v>0</v>
      </c>
      <c r="T258">
        <f>SUMPRODUCT((nCUENTA=1)*(nCURSO=A258)*(nASIG=B258)*(nNOTA=9))</f>
        <v>0</v>
      </c>
      <c r="U258">
        <f>SUMPRODUCT((nCUENTA=1)*(nCURSO=A258)*(nASIG=B258)*(nNOTA=10))</f>
        <v>0</v>
      </c>
    </row>
    <row r="259">
      <c r="A259" t="inlineStr">
        <is>
          <t xml:space="preserve">3EPM</t>
        </is>
      </c>
      <c r="B259" cm="1">
        <f t="array" ref="B259">IFERROR(INDEX(_xlfn._xlws.FILTER(CONFIG_ASIGNATURAS!$B$2:$B$91,(CONFIG_ASIGNATURAS!$G$2:$G$91="Sí")*ISNUMBER(SEARCH("3EPM",CONFIG_ASIGNATURAS!$C$2:$C$91))),56),"")</f>
      </c>
      <c r="C259">
        <f>IF(B259="","",IFERROR(VLOOKUP(B259,CONFIG_ASIGNATURAS!$B$2:$D$91,3,FALSE()),"Asignatura"))</f>
      </c>
      <c r="D259">
        <f>SUMPRODUCT((nCUENTA=1)*(nCURSO=A259)*(nASIG=B259))</f>
        <v>0</v>
      </c>
      <c r="E259" s="10" t="str">
        <f>IFERROR(SUMPRODUCT((nCUENTA=1)*(nCURSO=A259)*(nASIG=B259)*(nNOTA))/D259,"—")</f>
        <v>—</v>
      </c>
      <c r="F259" s="10" t="str" cm="1">
        <f t="array" ref="F259">IFERROR(_xlfn.STDEV.P(_xlfn._xlws.FILTER(nNOTA,(nCUENTA=1)*(nCURSO=A259)*(nASIG=B259))),"—")</f>
        <v>—</v>
      </c>
      <c r="G259" t="str" cm="1">
        <f t="array" ref="G259">IFERROR(_xlfn.MODE.SNGL(_xlfn._xlws.FILTER(nNOTA,(nCUENTA=1)*(nCURSO=A259)*(nASIG=B259))),"—")</f>
        <v>—</v>
      </c>
      <c r="H259" s="11" t="str">
        <f>IFERROR(SUMPRODUCT((nCUENTA=1)*(nCURSO=A259)*(nASIG=B259)*(nAPTO="S"))/D259,"—")</f>
        <v>—</v>
      </c>
      <c r="I259" s="11" t="str">
        <f>IFERROR(SUMPRODUCT((nCUENTA=1)*(nCURSO=A259)*(nASIG=B259)*(nAPTO="N"))/D259,"—")</f>
        <v>—</v>
      </c>
      <c r="J259" t="str" cm="1">
        <f t="array" ref="J259">IFERROR(_xlfn.MODE.SNGL(_xlfn._xlws.FILTER(nNOTA,(nCUENTA=1)*(nCURSO=A259)*(nASIG=B259)*(nAPTO="S"))),"—")</f>
        <v>—</v>
      </c>
      <c r="K259" t="str" cm="1">
        <f t="array" ref="K259">IFERROR(_xlfn.MODE.SNGL(_xlfn._xlws.FILTER(nNOTA,(nCUENTA=1)*(nCURSO=A259)*(nASIG=B259)*(nAPTO="N"))),"—")</f>
        <v>—</v>
      </c>
      <c r="L259">
        <f>SUMPRODUCT((nCUENTA=1)*(nCURSO=A259)*(nASIG=B259)*(nNOTA=1))</f>
        <v>0</v>
      </c>
      <c r="M259">
        <f>SUMPRODUCT((nCUENTA=1)*(nCURSO=A259)*(nASIG=B259)*(nNOTA=2))</f>
        <v>0</v>
      </c>
      <c r="N259">
        <f>SUMPRODUCT((nCUENTA=1)*(nCURSO=A259)*(nASIG=B259)*(nNOTA=3))</f>
        <v>0</v>
      </c>
      <c r="O259">
        <f>SUMPRODUCT((nCUENTA=1)*(nCURSO=A259)*(nASIG=B259)*(nNOTA=4))</f>
        <v>0</v>
      </c>
      <c r="P259">
        <f>SUMPRODUCT((nCUENTA=1)*(nCURSO=A259)*(nASIG=B259)*(nNOTA=5))</f>
        <v>0</v>
      </c>
      <c r="Q259">
        <f>SUMPRODUCT((nCUENTA=1)*(nCURSO=A259)*(nASIG=B259)*(nNOTA=6))</f>
        <v>0</v>
      </c>
      <c r="R259">
        <f>SUMPRODUCT((nCUENTA=1)*(nCURSO=A259)*(nASIG=B259)*(nNOTA=7))</f>
        <v>0</v>
      </c>
      <c r="S259">
        <f>SUMPRODUCT((nCUENTA=1)*(nCURSO=A259)*(nASIG=B259)*(nNOTA=8))</f>
        <v>0</v>
      </c>
      <c r="T259">
        <f>SUMPRODUCT((nCUENTA=1)*(nCURSO=A259)*(nASIG=B259)*(nNOTA=9))</f>
        <v>0</v>
      </c>
      <c r="U259">
        <f>SUMPRODUCT((nCUENTA=1)*(nCURSO=A259)*(nASIG=B259)*(nNOTA=10))</f>
        <v>0</v>
      </c>
    </row>
    <row r="260">
      <c r="A260" t="inlineStr">
        <is>
          <t xml:space="preserve">3EPM</t>
        </is>
      </c>
      <c r="B260" cm="1">
        <f t="array" ref="B260">IFERROR(INDEX(_xlfn._xlws.FILTER(CONFIG_ASIGNATURAS!$B$2:$B$91,(CONFIG_ASIGNATURAS!$G$2:$G$91="Sí")*ISNUMBER(SEARCH("3EPM",CONFIG_ASIGNATURAS!$C$2:$C$91))),57),"")</f>
      </c>
      <c r="C260">
        <f>IF(B260="","",IFERROR(VLOOKUP(B260,CONFIG_ASIGNATURAS!$B$2:$D$91,3,FALSE()),"Asignatura"))</f>
      </c>
      <c r="D260">
        <f>SUMPRODUCT((nCUENTA=1)*(nCURSO=A260)*(nASIG=B260))</f>
        <v>0</v>
      </c>
      <c r="E260" s="10" t="str">
        <f>IFERROR(SUMPRODUCT((nCUENTA=1)*(nCURSO=A260)*(nASIG=B260)*(nNOTA))/D260,"—")</f>
        <v>—</v>
      </c>
      <c r="F260" s="10" t="str" cm="1">
        <f t="array" ref="F260">IFERROR(_xlfn.STDEV.P(_xlfn._xlws.FILTER(nNOTA,(nCUENTA=1)*(nCURSO=A260)*(nASIG=B260))),"—")</f>
        <v>—</v>
      </c>
      <c r="G260" t="str" cm="1">
        <f t="array" ref="G260">IFERROR(_xlfn.MODE.SNGL(_xlfn._xlws.FILTER(nNOTA,(nCUENTA=1)*(nCURSO=A260)*(nASIG=B260))),"—")</f>
        <v>—</v>
      </c>
      <c r="H260" s="11" t="str">
        <f>IFERROR(SUMPRODUCT((nCUENTA=1)*(nCURSO=A260)*(nASIG=B260)*(nAPTO="S"))/D260,"—")</f>
        <v>—</v>
      </c>
      <c r="I260" s="11" t="str">
        <f>IFERROR(SUMPRODUCT((nCUENTA=1)*(nCURSO=A260)*(nASIG=B260)*(nAPTO="N"))/D260,"—")</f>
        <v>—</v>
      </c>
      <c r="J260" t="str" cm="1">
        <f t="array" ref="J260">IFERROR(_xlfn.MODE.SNGL(_xlfn._xlws.FILTER(nNOTA,(nCUENTA=1)*(nCURSO=A260)*(nASIG=B260)*(nAPTO="S"))),"—")</f>
        <v>—</v>
      </c>
      <c r="K260" t="str" cm="1">
        <f t="array" ref="K260">IFERROR(_xlfn.MODE.SNGL(_xlfn._xlws.FILTER(nNOTA,(nCUENTA=1)*(nCURSO=A260)*(nASIG=B260)*(nAPTO="N"))),"—")</f>
        <v>—</v>
      </c>
      <c r="L260">
        <f>SUMPRODUCT((nCUENTA=1)*(nCURSO=A260)*(nASIG=B260)*(nNOTA=1))</f>
        <v>0</v>
      </c>
      <c r="M260">
        <f>SUMPRODUCT((nCUENTA=1)*(nCURSO=A260)*(nASIG=B260)*(nNOTA=2))</f>
        <v>0</v>
      </c>
      <c r="N260">
        <f>SUMPRODUCT((nCUENTA=1)*(nCURSO=A260)*(nASIG=B260)*(nNOTA=3))</f>
        <v>0</v>
      </c>
      <c r="O260">
        <f>SUMPRODUCT((nCUENTA=1)*(nCURSO=A260)*(nASIG=B260)*(nNOTA=4))</f>
        <v>0</v>
      </c>
      <c r="P260">
        <f>SUMPRODUCT((nCUENTA=1)*(nCURSO=A260)*(nASIG=B260)*(nNOTA=5))</f>
        <v>0</v>
      </c>
      <c r="Q260">
        <f>SUMPRODUCT((nCUENTA=1)*(nCURSO=A260)*(nASIG=B260)*(nNOTA=6))</f>
        <v>0</v>
      </c>
      <c r="R260">
        <f>SUMPRODUCT((nCUENTA=1)*(nCURSO=A260)*(nASIG=B260)*(nNOTA=7))</f>
        <v>0</v>
      </c>
      <c r="S260">
        <f>SUMPRODUCT((nCUENTA=1)*(nCURSO=A260)*(nASIG=B260)*(nNOTA=8))</f>
        <v>0</v>
      </c>
      <c r="T260">
        <f>SUMPRODUCT((nCUENTA=1)*(nCURSO=A260)*(nASIG=B260)*(nNOTA=9))</f>
        <v>0</v>
      </c>
      <c r="U260">
        <f>SUMPRODUCT((nCUENTA=1)*(nCURSO=A260)*(nASIG=B260)*(nNOTA=10))</f>
        <v>0</v>
      </c>
    </row>
    <row r="261">
      <c r="A261" t="inlineStr">
        <is>
          <t xml:space="preserve">3EPM</t>
        </is>
      </c>
      <c r="B261" cm="1">
        <f t="array" ref="B261">IFERROR(INDEX(_xlfn._xlws.FILTER(CONFIG_ASIGNATURAS!$B$2:$B$91,(CONFIG_ASIGNATURAS!$G$2:$G$91="Sí")*ISNUMBER(SEARCH("3EPM",CONFIG_ASIGNATURAS!$C$2:$C$91))),58),"")</f>
      </c>
      <c r="C261">
        <f>IF(B261="","",IFERROR(VLOOKUP(B261,CONFIG_ASIGNATURAS!$B$2:$D$91,3,FALSE()),"Asignatura"))</f>
      </c>
      <c r="D261">
        <f>SUMPRODUCT((nCUENTA=1)*(nCURSO=A261)*(nASIG=B261))</f>
        <v>0</v>
      </c>
      <c r="E261" s="10" t="str">
        <f>IFERROR(SUMPRODUCT((nCUENTA=1)*(nCURSO=A261)*(nASIG=B261)*(nNOTA))/D261,"—")</f>
        <v>—</v>
      </c>
      <c r="F261" s="10" t="str" cm="1">
        <f t="array" ref="F261">IFERROR(_xlfn.STDEV.P(_xlfn._xlws.FILTER(nNOTA,(nCUENTA=1)*(nCURSO=A261)*(nASIG=B261))),"—")</f>
        <v>—</v>
      </c>
      <c r="G261" t="str" cm="1">
        <f t="array" ref="G261">IFERROR(_xlfn.MODE.SNGL(_xlfn._xlws.FILTER(nNOTA,(nCUENTA=1)*(nCURSO=A261)*(nASIG=B261))),"—")</f>
        <v>—</v>
      </c>
      <c r="H261" s="11" t="str">
        <f>IFERROR(SUMPRODUCT((nCUENTA=1)*(nCURSO=A261)*(nASIG=B261)*(nAPTO="S"))/D261,"—")</f>
        <v>—</v>
      </c>
      <c r="I261" s="11" t="str">
        <f>IFERROR(SUMPRODUCT((nCUENTA=1)*(nCURSO=A261)*(nASIG=B261)*(nAPTO="N"))/D261,"—")</f>
        <v>—</v>
      </c>
      <c r="J261" t="str" cm="1">
        <f t="array" ref="J261">IFERROR(_xlfn.MODE.SNGL(_xlfn._xlws.FILTER(nNOTA,(nCUENTA=1)*(nCURSO=A261)*(nASIG=B261)*(nAPTO="S"))),"—")</f>
        <v>—</v>
      </c>
      <c r="K261" t="str" cm="1">
        <f t="array" ref="K261">IFERROR(_xlfn.MODE.SNGL(_xlfn._xlws.FILTER(nNOTA,(nCUENTA=1)*(nCURSO=A261)*(nASIG=B261)*(nAPTO="N"))),"—")</f>
        <v>—</v>
      </c>
      <c r="L261">
        <f>SUMPRODUCT((nCUENTA=1)*(nCURSO=A261)*(nASIG=B261)*(nNOTA=1))</f>
        <v>0</v>
      </c>
      <c r="M261">
        <f>SUMPRODUCT((nCUENTA=1)*(nCURSO=A261)*(nASIG=B261)*(nNOTA=2))</f>
        <v>0</v>
      </c>
      <c r="N261">
        <f>SUMPRODUCT((nCUENTA=1)*(nCURSO=A261)*(nASIG=B261)*(nNOTA=3))</f>
        <v>0</v>
      </c>
      <c r="O261">
        <f>SUMPRODUCT((nCUENTA=1)*(nCURSO=A261)*(nASIG=B261)*(nNOTA=4))</f>
        <v>0</v>
      </c>
      <c r="P261">
        <f>SUMPRODUCT((nCUENTA=1)*(nCURSO=A261)*(nASIG=B261)*(nNOTA=5))</f>
        <v>0</v>
      </c>
      <c r="Q261">
        <f>SUMPRODUCT((nCUENTA=1)*(nCURSO=A261)*(nASIG=B261)*(nNOTA=6))</f>
        <v>0</v>
      </c>
      <c r="R261">
        <f>SUMPRODUCT((nCUENTA=1)*(nCURSO=A261)*(nASIG=B261)*(nNOTA=7))</f>
        <v>0</v>
      </c>
      <c r="S261">
        <f>SUMPRODUCT((nCUENTA=1)*(nCURSO=A261)*(nASIG=B261)*(nNOTA=8))</f>
        <v>0</v>
      </c>
      <c r="T261">
        <f>SUMPRODUCT((nCUENTA=1)*(nCURSO=A261)*(nASIG=B261)*(nNOTA=9))</f>
        <v>0</v>
      </c>
      <c r="U261">
        <f>SUMPRODUCT((nCUENTA=1)*(nCURSO=A261)*(nASIG=B261)*(nNOTA=10))</f>
        <v>0</v>
      </c>
    </row>
    <row r="262">
      <c r="A262" t="inlineStr">
        <is>
          <t xml:space="preserve">3EPM</t>
        </is>
      </c>
      <c r="B262" cm="1">
        <f t="array" ref="B262">IFERROR(INDEX(_xlfn._xlws.FILTER(CONFIG_ASIGNATURAS!$B$2:$B$91,(CONFIG_ASIGNATURAS!$G$2:$G$91="Sí")*ISNUMBER(SEARCH("3EPM",CONFIG_ASIGNATURAS!$C$2:$C$91))),59),"")</f>
      </c>
      <c r="C262">
        <f>IF(B262="","",IFERROR(VLOOKUP(B262,CONFIG_ASIGNATURAS!$B$2:$D$91,3,FALSE()),"Asignatura"))</f>
      </c>
      <c r="D262">
        <f>SUMPRODUCT((nCUENTA=1)*(nCURSO=A262)*(nASIG=B262))</f>
        <v>0</v>
      </c>
      <c r="E262" s="10" t="str">
        <f>IFERROR(SUMPRODUCT((nCUENTA=1)*(nCURSO=A262)*(nASIG=B262)*(nNOTA))/D262,"—")</f>
        <v>—</v>
      </c>
      <c r="F262" s="10" t="str" cm="1">
        <f t="array" ref="F262">IFERROR(_xlfn.STDEV.P(_xlfn._xlws.FILTER(nNOTA,(nCUENTA=1)*(nCURSO=A262)*(nASIG=B262))),"—")</f>
        <v>—</v>
      </c>
      <c r="G262" t="str" cm="1">
        <f t="array" ref="G262">IFERROR(_xlfn.MODE.SNGL(_xlfn._xlws.FILTER(nNOTA,(nCUENTA=1)*(nCURSO=A262)*(nASIG=B262))),"—")</f>
        <v>—</v>
      </c>
      <c r="H262" s="11" t="str">
        <f>IFERROR(SUMPRODUCT((nCUENTA=1)*(nCURSO=A262)*(nASIG=B262)*(nAPTO="S"))/D262,"—")</f>
        <v>—</v>
      </c>
      <c r="I262" s="11" t="str">
        <f>IFERROR(SUMPRODUCT((nCUENTA=1)*(nCURSO=A262)*(nASIG=B262)*(nAPTO="N"))/D262,"—")</f>
        <v>—</v>
      </c>
      <c r="J262" t="str" cm="1">
        <f t="array" ref="J262">IFERROR(_xlfn.MODE.SNGL(_xlfn._xlws.FILTER(nNOTA,(nCUENTA=1)*(nCURSO=A262)*(nASIG=B262)*(nAPTO="S"))),"—")</f>
        <v>—</v>
      </c>
      <c r="K262" t="str" cm="1">
        <f t="array" ref="K262">IFERROR(_xlfn.MODE.SNGL(_xlfn._xlws.FILTER(nNOTA,(nCUENTA=1)*(nCURSO=A262)*(nASIG=B262)*(nAPTO="N"))),"—")</f>
        <v>—</v>
      </c>
      <c r="L262">
        <f>SUMPRODUCT((nCUENTA=1)*(nCURSO=A262)*(nASIG=B262)*(nNOTA=1))</f>
        <v>0</v>
      </c>
      <c r="M262">
        <f>SUMPRODUCT((nCUENTA=1)*(nCURSO=A262)*(nASIG=B262)*(nNOTA=2))</f>
        <v>0</v>
      </c>
      <c r="N262">
        <f>SUMPRODUCT((nCUENTA=1)*(nCURSO=A262)*(nASIG=B262)*(nNOTA=3))</f>
        <v>0</v>
      </c>
      <c r="O262">
        <f>SUMPRODUCT((nCUENTA=1)*(nCURSO=A262)*(nASIG=B262)*(nNOTA=4))</f>
        <v>0</v>
      </c>
      <c r="P262">
        <f>SUMPRODUCT((nCUENTA=1)*(nCURSO=A262)*(nASIG=B262)*(nNOTA=5))</f>
        <v>0</v>
      </c>
      <c r="Q262">
        <f>SUMPRODUCT((nCUENTA=1)*(nCURSO=A262)*(nASIG=B262)*(nNOTA=6))</f>
        <v>0</v>
      </c>
      <c r="R262">
        <f>SUMPRODUCT((nCUENTA=1)*(nCURSO=A262)*(nASIG=B262)*(nNOTA=7))</f>
        <v>0</v>
      </c>
      <c r="S262">
        <f>SUMPRODUCT((nCUENTA=1)*(nCURSO=A262)*(nASIG=B262)*(nNOTA=8))</f>
        <v>0</v>
      </c>
      <c r="T262">
        <f>SUMPRODUCT((nCUENTA=1)*(nCURSO=A262)*(nASIG=B262)*(nNOTA=9))</f>
        <v>0</v>
      </c>
      <c r="U262">
        <f>SUMPRODUCT((nCUENTA=1)*(nCURSO=A262)*(nASIG=B262)*(nNOTA=10))</f>
        <v>0</v>
      </c>
    </row>
    <row r="263">
      <c r="A263" t="inlineStr">
        <is>
          <t xml:space="preserve">3EPM</t>
        </is>
      </c>
      <c r="B263" cm="1">
        <f t="array" ref="B263">IFERROR(INDEX(_xlfn._xlws.FILTER(CONFIG_ASIGNATURAS!$B$2:$B$91,(CONFIG_ASIGNATURAS!$G$2:$G$91="Sí")*ISNUMBER(SEARCH("3EPM",CONFIG_ASIGNATURAS!$C$2:$C$91))),60),"")</f>
      </c>
      <c r="C263">
        <f>IF(B263="","",IFERROR(VLOOKUP(B263,CONFIG_ASIGNATURAS!$B$2:$D$91,3,FALSE()),"Asignatura"))</f>
      </c>
      <c r="D263">
        <f>SUMPRODUCT((nCUENTA=1)*(nCURSO=A263)*(nASIG=B263))</f>
        <v>0</v>
      </c>
      <c r="E263" s="10" t="str">
        <f>IFERROR(SUMPRODUCT((nCUENTA=1)*(nCURSO=A263)*(nASIG=B263)*(nNOTA))/D263,"—")</f>
        <v>—</v>
      </c>
      <c r="F263" s="10" t="str" cm="1">
        <f t="array" ref="F263">IFERROR(_xlfn.STDEV.P(_xlfn._xlws.FILTER(nNOTA,(nCUENTA=1)*(nCURSO=A263)*(nASIG=B263))),"—")</f>
        <v>—</v>
      </c>
      <c r="G263" t="str" cm="1">
        <f t="array" ref="G263">IFERROR(_xlfn.MODE.SNGL(_xlfn._xlws.FILTER(nNOTA,(nCUENTA=1)*(nCURSO=A263)*(nASIG=B263))),"—")</f>
        <v>—</v>
      </c>
      <c r="H263" s="11" t="str">
        <f>IFERROR(SUMPRODUCT((nCUENTA=1)*(nCURSO=A263)*(nASIG=B263)*(nAPTO="S"))/D263,"—")</f>
        <v>—</v>
      </c>
      <c r="I263" s="11" t="str">
        <f>IFERROR(SUMPRODUCT((nCUENTA=1)*(nCURSO=A263)*(nASIG=B263)*(nAPTO="N"))/D263,"—")</f>
        <v>—</v>
      </c>
      <c r="J263" t="str" cm="1">
        <f t="array" ref="J263">IFERROR(_xlfn.MODE.SNGL(_xlfn._xlws.FILTER(nNOTA,(nCUENTA=1)*(nCURSO=A263)*(nASIG=B263)*(nAPTO="S"))),"—")</f>
        <v>—</v>
      </c>
      <c r="K263" t="str" cm="1">
        <f t="array" ref="K263">IFERROR(_xlfn.MODE.SNGL(_xlfn._xlws.FILTER(nNOTA,(nCUENTA=1)*(nCURSO=A263)*(nASIG=B263)*(nAPTO="N"))),"—")</f>
        <v>—</v>
      </c>
      <c r="L263">
        <f>SUMPRODUCT((nCUENTA=1)*(nCURSO=A263)*(nASIG=B263)*(nNOTA=1))</f>
        <v>0</v>
      </c>
      <c r="M263">
        <f>SUMPRODUCT((nCUENTA=1)*(nCURSO=A263)*(nASIG=B263)*(nNOTA=2))</f>
        <v>0</v>
      </c>
      <c r="N263">
        <f>SUMPRODUCT((nCUENTA=1)*(nCURSO=A263)*(nASIG=B263)*(nNOTA=3))</f>
        <v>0</v>
      </c>
      <c r="O263">
        <f>SUMPRODUCT((nCUENTA=1)*(nCURSO=A263)*(nASIG=B263)*(nNOTA=4))</f>
        <v>0</v>
      </c>
      <c r="P263">
        <f>SUMPRODUCT((nCUENTA=1)*(nCURSO=A263)*(nASIG=B263)*(nNOTA=5))</f>
        <v>0</v>
      </c>
      <c r="Q263">
        <f>SUMPRODUCT((nCUENTA=1)*(nCURSO=A263)*(nASIG=B263)*(nNOTA=6))</f>
        <v>0</v>
      </c>
      <c r="R263">
        <f>SUMPRODUCT((nCUENTA=1)*(nCURSO=A263)*(nASIG=B263)*(nNOTA=7))</f>
        <v>0</v>
      </c>
      <c r="S263">
        <f>SUMPRODUCT((nCUENTA=1)*(nCURSO=A263)*(nASIG=B263)*(nNOTA=8))</f>
        <v>0</v>
      </c>
      <c r="T263">
        <f>SUMPRODUCT((nCUENTA=1)*(nCURSO=A263)*(nASIG=B263)*(nNOTA=9))</f>
        <v>0</v>
      </c>
      <c r="U263">
        <f>SUMPRODUCT((nCUENTA=1)*(nCURSO=A263)*(nASIG=B263)*(nNOTA=10))</f>
        <v>0</v>
      </c>
    </row>
    <row r="264">
      <c r="A264" t="inlineStr">
        <is>
          <t xml:space="preserve">4EPM</t>
        </is>
      </c>
      <c r="B264" cm="1">
        <f t="array" ref="B264">IFERROR(INDEX(_xlfn._xlws.FILTER(CONFIG_ASIGNATURAS!$B$2:$B$91,(CONFIG_ASIGNATURAS!$G$2:$G$91="Sí")*ISNUMBER(SEARCH("4EPM",CONFIG_ASIGNATURAS!$C$2:$C$91))),1),"")</f>
      </c>
      <c r="C264">
        <f>IF(B264="","",IFERROR(VLOOKUP(B264,CONFIG_ASIGNATURAS!$B$2:$D$91,3,FALSE()),"Asignatura"))</f>
      </c>
      <c r="D264">
        <f>SUMPRODUCT((nCUENTA=1)*(nCURSO=A264)*(nASIG=B264))</f>
        <v>0</v>
      </c>
      <c r="E264" s="10" t="str">
        <f>IFERROR(SUMPRODUCT((nCUENTA=1)*(nCURSO=A264)*(nASIG=B264)*(nNOTA))/D264,"—")</f>
        <v>—</v>
      </c>
      <c r="F264" s="10" t="str" cm="1">
        <f t="array" ref="F264">IFERROR(_xlfn.STDEV.P(_xlfn._xlws.FILTER(nNOTA,(nCUENTA=1)*(nCURSO=A264)*(nASIG=B264))),"—")</f>
        <v>—</v>
      </c>
      <c r="G264" t="str" cm="1">
        <f t="array" ref="G264">IFERROR(_xlfn.MODE.SNGL(_xlfn._xlws.FILTER(nNOTA,(nCUENTA=1)*(nCURSO=A264)*(nASIG=B264))),"—")</f>
        <v>—</v>
      </c>
      <c r="H264" s="11" t="str">
        <f>IFERROR(SUMPRODUCT((nCUENTA=1)*(nCURSO=A264)*(nASIG=B264)*(nAPTO="S"))/D264,"—")</f>
        <v>—</v>
      </c>
      <c r="I264" s="11" t="str">
        <f>IFERROR(SUMPRODUCT((nCUENTA=1)*(nCURSO=A264)*(nASIG=B264)*(nAPTO="N"))/D264,"—")</f>
        <v>—</v>
      </c>
      <c r="J264" t="str" cm="1">
        <f t="array" ref="J264">IFERROR(_xlfn.MODE.SNGL(_xlfn._xlws.FILTER(nNOTA,(nCUENTA=1)*(nCURSO=A264)*(nASIG=B264)*(nAPTO="S"))),"—")</f>
        <v>—</v>
      </c>
      <c r="K264" t="str" cm="1">
        <f t="array" ref="K264">IFERROR(_xlfn.MODE.SNGL(_xlfn._xlws.FILTER(nNOTA,(nCUENTA=1)*(nCURSO=A264)*(nASIG=B264)*(nAPTO="N"))),"—")</f>
        <v>—</v>
      </c>
      <c r="L264">
        <f>SUMPRODUCT((nCUENTA=1)*(nCURSO=A264)*(nASIG=B264)*(nNOTA=1))</f>
        <v>0</v>
      </c>
      <c r="M264">
        <f>SUMPRODUCT((nCUENTA=1)*(nCURSO=A264)*(nASIG=B264)*(nNOTA=2))</f>
        <v>0</v>
      </c>
      <c r="N264">
        <f>SUMPRODUCT((nCUENTA=1)*(nCURSO=A264)*(nASIG=B264)*(nNOTA=3))</f>
        <v>0</v>
      </c>
      <c r="O264">
        <f>SUMPRODUCT((nCUENTA=1)*(nCURSO=A264)*(nASIG=B264)*(nNOTA=4))</f>
        <v>0</v>
      </c>
      <c r="P264">
        <f>SUMPRODUCT((nCUENTA=1)*(nCURSO=A264)*(nASIG=B264)*(nNOTA=5))</f>
        <v>0</v>
      </c>
      <c r="Q264">
        <f>SUMPRODUCT((nCUENTA=1)*(nCURSO=A264)*(nASIG=B264)*(nNOTA=6))</f>
        <v>0</v>
      </c>
      <c r="R264">
        <f>SUMPRODUCT((nCUENTA=1)*(nCURSO=A264)*(nASIG=B264)*(nNOTA=7))</f>
        <v>0</v>
      </c>
      <c r="S264">
        <f>SUMPRODUCT((nCUENTA=1)*(nCURSO=A264)*(nASIG=B264)*(nNOTA=8))</f>
        <v>0</v>
      </c>
      <c r="T264">
        <f>SUMPRODUCT((nCUENTA=1)*(nCURSO=A264)*(nASIG=B264)*(nNOTA=9))</f>
        <v>0</v>
      </c>
      <c r="U264">
        <f>SUMPRODUCT((nCUENTA=1)*(nCURSO=A264)*(nASIG=B264)*(nNOTA=10))</f>
        <v>0</v>
      </c>
    </row>
    <row r="265">
      <c r="A265" t="inlineStr">
        <is>
          <t xml:space="preserve">4EPM</t>
        </is>
      </c>
      <c r="B265" cm="1">
        <f t="array" ref="B265">IFERROR(INDEX(_xlfn._xlws.FILTER(CONFIG_ASIGNATURAS!$B$2:$B$91,(CONFIG_ASIGNATURAS!$G$2:$G$91="Sí")*ISNUMBER(SEARCH("4EPM",CONFIG_ASIGNATURAS!$C$2:$C$91))),2),"")</f>
      </c>
      <c r="C265">
        <f>IF(B265="","",IFERROR(VLOOKUP(B265,CONFIG_ASIGNATURAS!$B$2:$D$91,3,FALSE()),"Asignatura"))</f>
      </c>
      <c r="D265">
        <f>SUMPRODUCT((nCUENTA=1)*(nCURSO=A265)*(nASIG=B265))</f>
        <v>0</v>
      </c>
      <c r="E265" s="10" t="str">
        <f>IFERROR(SUMPRODUCT((nCUENTA=1)*(nCURSO=A265)*(nASIG=B265)*(nNOTA))/D265,"—")</f>
        <v>—</v>
      </c>
      <c r="F265" s="10" t="str" cm="1">
        <f t="array" ref="F265">IFERROR(_xlfn.STDEV.P(_xlfn._xlws.FILTER(nNOTA,(nCUENTA=1)*(nCURSO=A265)*(nASIG=B265))),"—")</f>
        <v>—</v>
      </c>
      <c r="G265" t="str" cm="1">
        <f t="array" ref="G265">IFERROR(_xlfn.MODE.SNGL(_xlfn._xlws.FILTER(nNOTA,(nCUENTA=1)*(nCURSO=A265)*(nASIG=B265))),"—")</f>
        <v>—</v>
      </c>
      <c r="H265" s="11" t="str">
        <f>IFERROR(SUMPRODUCT((nCUENTA=1)*(nCURSO=A265)*(nASIG=B265)*(nAPTO="S"))/D265,"—")</f>
        <v>—</v>
      </c>
      <c r="I265" s="11" t="str">
        <f>IFERROR(SUMPRODUCT((nCUENTA=1)*(nCURSO=A265)*(nASIG=B265)*(nAPTO="N"))/D265,"—")</f>
        <v>—</v>
      </c>
      <c r="J265" t="str" cm="1">
        <f t="array" ref="J265">IFERROR(_xlfn.MODE.SNGL(_xlfn._xlws.FILTER(nNOTA,(nCUENTA=1)*(nCURSO=A265)*(nASIG=B265)*(nAPTO="S"))),"—")</f>
        <v>—</v>
      </c>
      <c r="K265" t="str" cm="1">
        <f t="array" ref="K265">IFERROR(_xlfn.MODE.SNGL(_xlfn._xlws.FILTER(nNOTA,(nCUENTA=1)*(nCURSO=A265)*(nASIG=B265)*(nAPTO="N"))),"—")</f>
        <v>—</v>
      </c>
      <c r="L265">
        <f>SUMPRODUCT((nCUENTA=1)*(nCURSO=A265)*(nASIG=B265)*(nNOTA=1))</f>
        <v>0</v>
      </c>
      <c r="M265">
        <f>SUMPRODUCT((nCUENTA=1)*(nCURSO=A265)*(nASIG=B265)*(nNOTA=2))</f>
        <v>0</v>
      </c>
      <c r="N265">
        <f>SUMPRODUCT((nCUENTA=1)*(nCURSO=A265)*(nASIG=B265)*(nNOTA=3))</f>
        <v>0</v>
      </c>
      <c r="O265">
        <f>SUMPRODUCT((nCUENTA=1)*(nCURSO=A265)*(nASIG=B265)*(nNOTA=4))</f>
        <v>0</v>
      </c>
      <c r="P265">
        <f>SUMPRODUCT((nCUENTA=1)*(nCURSO=A265)*(nASIG=B265)*(nNOTA=5))</f>
        <v>0</v>
      </c>
      <c r="Q265">
        <f>SUMPRODUCT((nCUENTA=1)*(nCURSO=A265)*(nASIG=B265)*(nNOTA=6))</f>
        <v>0</v>
      </c>
      <c r="R265">
        <f>SUMPRODUCT((nCUENTA=1)*(nCURSO=A265)*(nASIG=B265)*(nNOTA=7))</f>
        <v>0</v>
      </c>
      <c r="S265">
        <f>SUMPRODUCT((nCUENTA=1)*(nCURSO=A265)*(nASIG=B265)*(nNOTA=8))</f>
        <v>0</v>
      </c>
      <c r="T265">
        <f>SUMPRODUCT((nCUENTA=1)*(nCURSO=A265)*(nASIG=B265)*(nNOTA=9))</f>
        <v>0</v>
      </c>
      <c r="U265">
        <f>SUMPRODUCT((nCUENTA=1)*(nCURSO=A265)*(nASIG=B265)*(nNOTA=10))</f>
        <v>0</v>
      </c>
    </row>
    <row r="266">
      <c r="A266" t="inlineStr">
        <is>
          <t xml:space="preserve">4EPM</t>
        </is>
      </c>
      <c r="B266" cm="1">
        <f t="array" ref="B266">IFERROR(INDEX(_xlfn._xlws.FILTER(CONFIG_ASIGNATURAS!$B$2:$B$91,(CONFIG_ASIGNATURAS!$G$2:$G$91="Sí")*ISNUMBER(SEARCH("4EPM",CONFIG_ASIGNATURAS!$C$2:$C$91))),3),"")</f>
      </c>
      <c r="C266">
        <f>IF(B266="","",IFERROR(VLOOKUP(B266,CONFIG_ASIGNATURAS!$B$2:$D$91,3,FALSE()),"Asignatura"))</f>
      </c>
      <c r="D266">
        <f>SUMPRODUCT((nCUENTA=1)*(nCURSO=A266)*(nASIG=B266))</f>
        <v>0</v>
      </c>
      <c r="E266" s="10" t="str">
        <f>IFERROR(SUMPRODUCT((nCUENTA=1)*(nCURSO=A266)*(nASIG=B266)*(nNOTA))/D266,"—")</f>
        <v>—</v>
      </c>
      <c r="F266" s="10" t="str" cm="1">
        <f t="array" ref="F266">IFERROR(_xlfn.STDEV.P(_xlfn._xlws.FILTER(nNOTA,(nCUENTA=1)*(nCURSO=A266)*(nASIG=B266))),"—")</f>
        <v>—</v>
      </c>
      <c r="G266" t="str" cm="1">
        <f t="array" ref="G266">IFERROR(_xlfn.MODE.SNGL(_xlfn._xlws.FILTER(nNOTA,(nCUENTA=1)*(nCURSO=A266)*(nASIG=B266))),"—")</f>
        <v>—</v>
      </c>
      <c r="H266" s="11" t="str">
        <f>IFERROR(SUMPRODUCT((nCUENTA=1)*(nCURSO=A266)*(nASIG=B266)*(nAPTO="S"))/D266,"—")</f>
        <v>—</v>
      </c>
      <c r="I266" s="11" t="str">
        <f>IFERROR(SUMPRODUCT((nCUENTA=1)*(nCURSO=A266)*(nASIG=B266)*(nAPTO="N"))/D266,"—")</f>
        <v>—</v>
      </c>
      <c r="J266" t="str" cm="1">
        <f t="array" ref="J266">IFERROR(_xlfn.MODE.SNGL(_xlfn._xlws.FILTER(nNOTA,(nCUENTA=1)*(nCURSO=A266)*(nASIG=B266)*(nAPTO="S"))),"—")</f>
        <v>—</v>
      </c>
      <c r="K266" t="str" cm="1">
        <f t="array" ref="K266">IFERROR(_xlfn.MODE.SNGL(_xlfn._xlws.FILTER(nNOTA,(nCUENTA=1)*(nCURSO=A266)*(nASIG=B266)*(nAPTO="N"))),"—")</f>
        <v>—</v>
      </c>
      <c r="L266">
        <f>SUMPRODUCT((nCUENTA=1)*(nCURSO=A266)*(nASIG=B266)*(nNOTA=1))</f>
        <v>0</v>
      </c>
      <c r="M266">
        <f>SUMPRODUCT((nCUENTA=1)*(nCURSO=A266)*(nASIG=B266)*(nNOTA=2))</f>
        <v>0</v>
      </c>
      <c r="N266">
        <f>SUMPRODUCT((nCUENTA=1)*(nCURSO=A266)*(nASIG=B266)*(nNOTA=3))</f>
        <v>0</v>
      </c>
      <c r="O266">
        <f>SUMPRODUCT((nCUENTA=1)*(nCURSO=A266)*(nASIG=B266)*(nNOTA=4))</f>
        <v>0</v>
      </c>
      <c r="P266">
        <f>SUMPRODUCT((nCUENTA=1)*(nCURSO=A266)*(nASIG=B266)*(nNOTA=5))</f>
        <v>0</v>
      </c>
      <c r="Q266">
        <f>SUMPRODUCT((nCUENTA=1)*(nCURSO=A266)*(nASIG=B266)*(nNOTA=6))</f>
        <v>0</v>
      </c>
      <c r="R266">
        <f>SUMPRODUCT((nCUENTA=1)*(nCURSO=A266)*(nASIG=B266)*(nNOTA=7))</f>
        <v>0</v>
      </c>
      <c r="S266">
        <f>SUMPRODUCT((nCUENTA=1)*(nCURSO=A266)*(nASIG=B266)*(nNOTA=8))</f>
        <v>0</v>
      </c>
      <c r="T266">
        <f>SUMPRODUCT((nCUENTA=1)*(nCURSO=A266)*(nASIG=B266)*(nNOTA=9))</f>
        <v>0</v>
      </c>
      <c r="U266">
        <f>SUMPRODUCT((nCUENTA=1)*(nCURSO=A266)*(nASIG=B266)*(nNOTA=10))</f>
        <v>0</v>
      </c>
    </row>
    <row r="267">
      <c r="A267" t="inlineStr">
        <is>
          <t xml:space="preserve">4EPM</t>
        </is>
      </c>
      <c r="B267" cm="1">
        <f t="array" ref="B267">IFERROR(INDEX(_xlfn._xlws.FILTER(CONFIG_ASIGNATURAS!$B$2:$B$91,(CONFIG_ASIGNATURAS!$G$2:$G$91="Sí")*ISNUMBER(SEARCH("4EPM",CONFIG_ASIGNATURAS!$C$2:$C$91))),4),"")</f>
      </c>
      <c r="C267">
        <f>IF(B267="","",IFERROR(VLOOKUP(B267,CONFIG_ASIGNATURAS!$B$2:$D$91,3,FALSE()),"Asignatura"))</f>
      </c>
      <c r="D267">
        <f>SUMPRODUCT((nCUENTA=1)*(nCURSO=A267)*(nASIG=B267))</f>
        <v>0</v>
      </c>
      <c r="E267" s="10" t="str">
        <f>IFERROR(SUMPRODUCT((nCUENTA=1)*(nCURSO=A267)*(nASIG=B267)*(nNOTA))/D267,"—")</f>
        <v>—</v>
      </c>
      <c r="F267" s="10" t="str" cm="1">
        <f t="array" ref="F267">IFERROR(_xlfn.STDEV.P(_xlfn._xlws.FILTER(nNOTA,(nCUENTA=1)*(nCURSO=A267)*(nASIG=B267))),"—")</f>
        <v>—</v>
      </c>
      <c r="G267" t="str" cm="1">
        <f t="array" ref="G267">IFERROR(_xlfn.MODE.SNGL(_xlfn._xlws.FILTER(nNOTA,(nCUENTA=1)*(nCURSO=A267)*(nASIG=B267))),"—")</f>
        <v>—</v>
      </c>
      <c r="H267" s="11" t="str">
        <f>IFERROR(SUMPRODUCT((nCUENTA=1)*(nCURSO=A267)*(nASIG=B267)*(nAPTO="S"))/D267,"—")</f>
        <v>—</v>
      </c>
      <c r="I267" s="11" t="str">
        <f>IFERROR(SUMPRODUCT((nCUENTA=1)*(nCURSO=A267)*(nASIG=B267)*(nAPTO="N"))/D267,"—")</f>
        <v>—</v>
      </c>
      <c r="J267" t="str" cm="1">
        <f t="array" ref="J267">IFERROR(_xlfn.MODE.SNGL(_xlfn._xlws.FILTER(nNOTA,(nCUENTA=1)*(nCURSO=A267)*(nASIG=B267)*(nAPTO="S"))),"—")</f>
        <v>—</v>
      </c>
      <c r="K267" t="str" cm="1">
        <f t="array" ref="K267">IFERROR(_xlfn.MODE.SNGL(_xlfn._xlws.FILTER(nNOTA,(nCUENTA=1)*(nCURSO=A267)*(nASIG=B267)*(nAPTO="N"))),"—")</f>
        <v>—</v>
      </c>
      <c r="L267">
        <f>SUMPRODUCT((nCUENTA=1)*(nCURSO=A267)*(nASIG=B267)*(nNOTA=1))</f>
        <v>0</v>
      </c>
      <c r="M267">
        <f>SUMPRODUCT((nCUENTA=1)*(nCURSO=A267)*(nASIG=B267)*(nNOTA=2))</f>
        <v>0</v>
      </c>
      <c r="N267">
        <f>SUMPRODUCT((nCUENTA=1)*(nCURSO=A267)*(nASIG=B267)*(nNOTA=3))</f>
        <v>0</v>
      </c>
      <c r="O267">
        <f>SUMPRODUCT((nCUENTA=1)*(nCURSO=A267)*(nASIG=B267)*(nNOTA=4))</f>
        <v>0</v>
      </c>
      <c r="P267">
        <f>SUMPRODUCT((nCUENTA=1)*(nCURSO=A267)*(nASIG=B267)*(nNOTA=5))</f>
        <v>0</v>
      </c>
      <c r="Q267">
        <f>SUMPRODUCT((nCUENTA=1)*(nCURSO=A267)*(nASIG=B267)*(nNOTA=6))</f>
        <v>0</v>
      </c>
      <c r="R267">
        <f>SUMPRODUCT((nCUENTA=1)*(nCURSO=A267)*(nASIG=B267)*(nNOTA=7))</f>
        <v>0</v>
      </c>
      <c r="S267">
        <f>SUMPRODUCT((nCUENTA=1)*(nCURSO=A267)*(nASIG=B267)*(nNOTA=8))</f>
        <v>0</v>
      </c>
      <c r="T267">
        <f>SUMPRODUCT((nCUENTA=1)*(nCURSO=A267)*(nASIG=B267)*(nNOTA=9))</f>
        <v>0</v>
      </c>
      <c r="U267">
        <f>SUMPRODUCT((nCUENTA=1)*(nCURSO=A267)*(nASIG=B267)*(nNOTA=10))</f>
        <v>0</v>
      </c>
    </row>
    <row r="268">
      <c r="A268" t="inlineStr">
        <is>
          <t xml:space="preserve">4EPM</t>
        </is>
      </c>
      <c r="B268" cm="1">
        <f t="array" ref="B268">IFERROR(INDEX(_xlfn._xlws.FILTER(CONFIG_ASIGNATURAS!$B$2:$B$91,(CONFIG_ASIGNATURAS!$G$2:$G$91="Sí")*ISNUMBER(SEARCH("4EPM",CONFIG_ASIGNATURAS!$C$2:$C$91))),5),"")</f>
      </c>
      <c r="C268">
        <f>IF(B268="","",IFERROR(VLOOKUP(B268,CONFIG_ASIGNATURAS!$B$2:$D$91,3,FALSE()),"Asignatura"))</f>
      </c>
      <c r="D268">
        <f>SUMPRODUCT((nCUENTA=1)*(nCURSO=A268)*(nASIG=B268))</f>
        <v>0</v>
      </c>
      <c r="E268" s="10" t="str">
        <f>IFERROR(SUMPRODUCT((nCUENTA=1)*(nCURSO=A268)*(nASIG=B268)*(nNOTA))/D268,"—")</f>
        <v>—</v>
      </c>
      <c r="F268" s="10" t="str" cm="1">
        <f t="array" ref="F268">IFERROR(_xlfn.STDEV.P(_xlfn._xlws.FILTER(nNOTA,(nCUENTA=1)*(nCURSO=A268)*(nASIG=B268))),"—")</f>
        <v>—</v>
      </c>
      <c r="G268" t="str" cm="1">
        <f t="array" ref="G268">IFERROR(_xlfn.MODE.SNGL(_xlfn._xlws.FILTER(nNOTA,(nCUENTA=1)*(nCURSO=A268)*(nASIG=B268))),"—")</f>
        <v>—</v>
      </c>
      <c r="H268" s="11" t="str">
        <f>IFERROR(SUMPRODUCT((nCUENTA=1)*(nCURSO=A268)*(nASIG=B268)*(nAPTO="S"))/D268,"—")</f>
        <v>—</v>
      </c>
      <c r="I268" s="11" t="str">
        <f>IFERROR(SUMPRODUCT((nCUENTA=1)*(nCURSO=A268)*(nASIG=B268)*(nAPTO="N"))/D268,"—")</f>
        <v>—</v>
      </c>
      <c r="J268" t="str" cm="1">
        <f t="array" ref="J268">IFERROR(_xlfn.MODE.SNGL(_xlfn._xlws.FILTER(nNOTA,(nCUENTA=1)*(nCURSO=A268)*(nASIG=B268)*(nAPTO="S"))),"—")</f>
        <v>—</v>
      </c>
      <c r="K268" t="str" cm="1">
        <f t="array" ref="K268">IFERROR(_xlfn.MODE.SNGL(_xlfn._xlws.FILTER(nNOTA,(nCUENTA=1)*(nCURSO=A268)*(nASIG=B268)*(nAPTO="N"))),"—")</f>
        <v>—</v>
      </c>
      <c r="L268">
        <f>SUMPRODUCT((nCUENTA=1)*(nCURSO=A268)*(nASIG=B268)*(nNOTA=1))</f>
        <v>0</v>
      </c>
      <c r="M268">
        <f>SUMPRODUCT((nCUENTA=1)*(nCURSO=A268)*(nASIG=B268)*(nNOTA=2))</f>
        <v>0</v>
      </c>
      <c r="N268">
        <f>SUMPRODUCT((nCUENTA=1)*(nCURSO=A268)*(nASIG=B268)*(nNOTA=3))</f>
        <v>0</v>
      </c>
      <c r="O268">
        <f>SUMPRODUCT((nCUENTA=1)*(nCURSO=A268)*(nASIG=B268)*(nNOTA=4))</f>
        <v>0</v>
      </c>
      <c r="P268">
        <f>SUMPRODUCT((nCUENTA=1)*(nCURSO=A268)*(nASIG=B268)*(nNOTA=5))</f>
        <v>0</v>
      </c>
      <c r="Q268">
        <f>SUMPRODUCT((nCUENTA=1)*(nCURSO=A268)*(nASIG=B268)*(nNOTA=6))</f>
        <v>0</v>
      </c>
      <c r="R268">
        <f>SUMPRODUCT((nCUENTA=1)*(nCURSO=A268)*(nASIG=B268)*(nNOTA=7))</f>
        <v>0</v>
      </c>
      <c r="S268">
        <f>SUMPRODUCT((nCUENTA=1)*(nCURSO=A268)*(nASIG=B268)*(nNOTA=8))</f>
        <v>0</v>
      </c>
      <c r="T268">
        <f>SUMPRODUCT((nCUENTA=1)*(nCURSO=A268)*(nASIG=B268)*(nNOTA=9))</f>
        <v>0</v>
      </c>
      <c r="U268">
        <f>SUMPRODUCT((nCUENTA=1)*(nCURSO=A268)*(nASIG=B268)*(nNOTA=10))</f>
        <v>0</v>
      </c>
    </row>
    <row r="269">
      <c r="A269" t="inlineStr">
        <is>
          <t xml:space="preserve">4EPM</t>
        </is>
      </c>
      <c r="B269" cm="1">
        <f t="array" ref="B269">IFERROR(INDEX(_xlfn._xlws.FILTER(CONFIG_ASIGNATURAS!$B$2:$B$91,(CONFIG_ASIGNATURAS!$G$2:$G$91="Sí")*ISNUMBER(SEARCH("4EPM",CONFIG_ASIGNATURAS!$C$2:$C$91))),6),"")</f>
      </c>
      <c r="C269">
        <f>IF(B269="","",IFERROR(VLOOKUP(B269,CONFIG_ASIGNATURAS!$B$2:$D$91,3,FALSE()),"Asignatura"))</f>
      </c>
      <c r="D269">
        <f>SUMPRODUCT((nCUENTA=1)*(nCURSO=A269)*(nASIG=B269))</f>
        <v>0</v>
      </c>
      <c r="E269" s="10" t="str">
        <f>IFERROR(SUMPRODUCT((nCUENTA=1)*(nCURSO=A269)*(nASIG=B269)*(nNOTA))/D269,"—")</f>
        <v>—</v>
      </c>
      <c r="F269" s="10" t="str" cm="1">
        <f t="array" ref="F269">IFERROR(_xlfn.STDEV.P(_xlfn._xlws.FILTER(nNOTA,(nCUENTA=1)*(nCURSO=A269)*(nASIG=B269))),"—")</f>
        <v>—</v>
      </c>
      <c r="G269" t="str" cm="1">
        <f t="array" ref="G269">IFERROR(_xlfn.MODE.SNGL(_xlfn._xlws.FILTER(nNOTA,(nCUENTA=1)*(nCURSO=A269)*(nASIG=B269))),"—")</f>
        <v>—</v>
      </c>
      <c r="H269" s="11" t="str">
        <f>IFERROR(SUMPRODUCT((nCUENTA=1)*(nCURSO=A269)*(nASIG=B269)*(nAPTO="S"))/D269,"—")</f>
        <v>—</v>
      </c>
      <c r="I269" s="11" t="str">
        <f>IFERROR(SUMPRODUCT((nCUENTA=1)*(nCURSO=A269)*(nASIG=B269)*(nAPTO="N"))/D269,"—")</f>
        <v>—</v>
      </c>
      <c r="J269" t="str" cm="1">
        <f t="array" ref="J269">IFERROR(_xlfn.MODE.SNGL(_xlfn._xlws.FILTER(nNOTA,(nCUENTA=1)*(nCURSO=A269)*(nASIG=B269)*(nAPTO="S"))),"—")</f>
        <v>—</v>
      </c>
      <c r="K269" t="str" cm="1">
        <f t="array" ref="K269">IFERROR(_xlfn.MODE.SNGL(_xlfn._xlws.FILTER(nNOTA,(nCUENTA=1)*(nCURSO=A269)*(nASIG=B269)*(nAPTO="N"))),"—")</f>
        <v>—</v>
      </c>
      <c r="L269">
        <f>SUMPRODUCT((nCUENTA=1)*(nCURSO=A269)*(nASIG=B269)*(nNOTA=1))</f>
        <v>0</v>
      </c>
      <c r="M269">
        <f>SUMPRODUCT((nCUENTA=1)*(nCURSO=A269)*(nASIG=B269)*(nNOTA=2))</f>
        <v>0</v>
      </c>
      <c r="N269">
        <f>SUMPRODUCT((nCUENTA=1)*(nCURSO=A269)*(nASIG=B269)*(nNOTA=3))</f>
        <v>0</v>
      </c>
      <c r="O269">
        <f>SUMPRODUCT((nCUENTA=1)*(nCURSO=A269)*(nASIG=B269)*(nNOTA=4))</f>
        <v>0</v>
      </c>
      <c r="P269">
        <f>SUMPRODUCT((nCUENTA=1)*(nCURSO=A269)*(nASIG=B269)*(nNOTA=5))</f>
        <v>0</v>
      </c>
      <c r="Q269">
        <f>SUMPRODUCT((nCUENTA=1)*(nCURSO=A269)*(nASIG=B269)*(nNOTA=6))</f>
        <v>0</v>
      </c>
      <c r="R269">
        <f>SUMPRODUCT((nCUENTA=1)*(nCURSO=A269)*(nASIG=B269)*(nNOTA=7))</f>
        <v>0</v>
      </c>
      <c r="S269">
        <f>SUMPRODUCT((nCUENTA=1)*(nCURSO=A269)*(nASIG=B269)*(nNOTA=8))</f>
        <v>0</v>
      </c>
      <c r="T269">
        <f>SUMPRODUCT((nCUENTA=1)*(nCURSO=A269)*(nASIG=B269)*(nNOTA=9))</f>
        <v>0</v>
      </c>
      <c r="U269">
        <f>SUMPRODUCT((nCUENTA=1)*(nCURSO=A269)*(nASIG=B269)*(nNOTA=10))</f>
        <v>0</v>
      </c>
    </row>
    <row r="270">
      <c r="A270" t="inlineStr">
        <is>
          <t xml:space="preserve">4EPM</t>
        </is>
      </c>
      <c r="B270" cm="1">
        <f t="array" ref="B270">IFERROR(INDEX(_xlfn._xlws.FILTER(CONFIG_ASIGNATURAS!$B$2:$B$91,(CONFIG_ASIGNATURAS!$G$2:$G$91="Sí")*ISNUMBER(SEARCH("4EPM",CONFIG_ASIGNATURAS!$C$2:$C$91))),7),"")</f>
      </c>
      <c r="C270">
        <f>IF(B270="","",IFERROR(VLOOKUP(B270,CONFIG_ASIGNATURAS!$B$2:$D$91,3,FALSE()),"Asignatura"))</f>
      </c>
      <c r="D270">
        <f>SUMPRODUCT((nCUENTA=1)*(nCURSO=A270)*(nASIG=B270))</f>
        <v>0</v>
      </c>
      <c r="E270" s="10" t="str">
        <f>IFERROR(SUMPRODUCT((nCUENTA=1)*(nCURSO=A270)*(nASIG=B270)*(nNOTA))/D270,"—")</f>
        <v>—</v>
      </c>
      <c r="F270" s="10" t="str" cm="1">
        <f t="array" ref="F270">IFERROR(_xlfn.STDEV.P(_xlfn._xlws.FILTER(nNOTA,(nCUENTA=1)*(nCURSO=A270)*(nASIG=B270))),"—")</f>
        <v>—</v>
      </c>
      <c r="G270" t="str" cm="1">
        <f t="array" ref="G270">IFERROR(_xlfn.MODE.SNGL(_xlfn._xlws.FILTER(nNOTA,(nCUENTA=1)*(nCURSO=A270)*(nASIG=B270))),"—")</f>
        <v>—</v>
      </c>
      <c r="H270" s="11" t="str">
        <f>IFERROR(SUMPRODUCT((nCUENTA=1)*(nCURSO=A270)*(nASIG=B270)*(nAPTO="S"))/D270,"—")</f>
        <v>—</v>
      </c>
      <c r="I270" s="11" t="str">
        <f>IFERROR(SUMPRODUCT((nCUENTA=1)*(nCURSO=A270)*(nASIG=B270)*(nAPTO="N"))/D270,"—")</f>
        <v>—</v>
      </c>
      <c r="J270" t="str" cm="1">
        <f t="array" ref="J270">IFERROR(_xlfn.MODE.SNGL(_xlfn._xlws.FILTER(nNOTA,(nCUENTA=1)*(nCURSO=A270)*(nASIG=B270)*(nAPTO="S"))),"—")</f>
        <v>—</v>
      </c>
      <c r="K270" t="str" cm="1">
        <f t="array" ref="K270">IFERROR(_xlfn.MODE.SNGL(_xlfn._xlws.FILTER(nNOTA,(nCUENTA=1)*(nCURSO=A270)*(nASIG=B270)*(nAPTO="N"))),"—")</f>
        <v>—</v>
      </c>
      <c r="L270">
        <f>SUMPRODUCT((nCUENTA=1)*(nCURSO=A270)*(nASIG=B270)*(nNOTA=1))</f>
        <v>0</v>
      </c>
      <c r="M270">
        <f>SUMPRODUCT((nCUENTA=1)*(nCURSO=A270)*(nASIG=B270)*(nNOTA=2))</f>
        <v>0</v>
      </c>
      <c r="N270">
        <f>SUMPRODUCT((nCUENTA=1)*(nCURSO=A270)*(nASIG=B270)*(nNOTA=3))</f>
        <v>0</v>
      </c>
      <c r="O270">
        <f>SUMPRODUCT((nCUENTA=1)*(nCURSO=A270)*(nASIG=B270)*(nNOTA=4))</f>
        <v>0</v>
      </c>
      <c r="P270">
        <f>SUMPRODUCT((nCUENTA=1)*(nCURSO=A270)*(nASIG=B270)*(nNOTA=5))</f>
        <v>0</v>
      </c>
      <c r="Q270">
        <f>SUMPRODUCT((nCUENTA=1)*(nCURSO=A270)*(nASIG=B270)*(nNOTA=6))</f>
        <v>0</v>
      </c>
      <c r="R270">
        <f>SUMPRODUCT((nCUENTA=1)*(nCURSO=A270)*(nASIG=B270)*(nNOTA=7))</f>
        <v>0</v>
      </c>
      <c r="S270">
        <f>SUMPRODUCT((nCUENTA=1)*(nCURSO=A270)*(nASIG=B270)*(nNOTA=8))</f>
        <v>0</v>
      </c>
      <c r="T270">
        <f>SUMPRODUCT((nCUENTA=1)*(nCURSO=A270)*(nASIG=B270)*(nNOTA=9))</f>
        <v>0</v>
      </c>
      <c r="U270">
        <f>SUMPRODUCT((nCUENTA=1)*(nCURSO=A270)*(nASIG=B270)*(nNOTA=10))</f>
        <v>0</v>
      </c>
    </row>
    <row r="271">
      <c r="A271" t="inlineStr">
        <is>
          <t xml:space="preserve">4EPM</t>
        </is>
      </c>
      <c r="B271" cm="1">
        <f t="array" ref="B271">IFERROR(INDEX(_xlfn._xlws.FILTER(CONFIG_ASIGNATURAS!$B$2:$B$91,(CONFIG_ASIGNATURAS!$G$2:$G$91="Sí")*ISNUMBER(SEARCH("4EPM",CONFIG_ASIGNATURAS!$C$2:$C$91))),8),"")</f>
      </c>
      <c r="C271">
        <f>IF(B271="","",IFERROR(VLOOKUP(B271,CONFIG_ASIGNATURAS!$B$2:$D$91,3,FALSE()),"Asignatura"))</f>
      </c>
      <c r="D271">
        <f>SUMPRODUCT((nCUENTA=1)*(nCURSO=A271)*(nASIG=B271))</f>
        <v>0</v>
      </c>
      <c r="E271" s="10" t="str">
        <f>IFERROR(SUMPRODUCT((nCUENTA=1)*(nCURSO=A271)*(nASIG=B271)*(nNOTA))/D271,"—")</f>
        <v>—</v>
      </c>
      <c r="F271" s="10" t="str" cm="1">
        <f t="array" ref="F271">IFERROR(_xlfn.STDEV.P(_xlfn._xlws.FILTER(nNOTA,(nCUENTA=1)*(nCURSO=A271)*(nASIG=B271))),"—")</f>
        <v>—</v>
      </c>
      <c r="G271" t="str" cm="1">
        <f t="array" ref="G271">IFERROR(_xlfn.MODE.SNGL(_xlfn._xlws.FILTER(nNOTA,(nCUENTA=1)*(nCURSO=A271)*(nASIG=B271))),"—")</f>
        <v>—</v>
      </c>
      <c r="H271" s="11" t="str">
        <f>IFERROR(SUMPRODUCT((nCUENTA=1)*(nCURSO=A271)*(nASIG=B271)*(nAPTO="S"))/D271,"—")</f>
        <v>—</v>
      </c>
      <c r="I271" s="11" t="str">
        <f>IFERROR(SUMPRODUCT((nCUENTA=1)*(nCURSO=A271)*(nASIG=B271)*(nAPTO="N"))/D271,"—")</f>
        <v>—</v>
      </c>
      <c r="J271" t="str" cm="1">
        <f t="array" ref="J271">IFERROR(_xlfn.MODE.SNGL(_xlfn._xlws.FILTER(nNOTA,(nCUENTA=1)*(nCURSO=A271)*(nASIG=B271)*(nAPTO="S"))),"—")</f>
        <v>—</v>
      </c>
      <c r="K271" t="str" cm="1">
        <f t="array" ref="K271">IFERROR(_xlfn.MODE.SNGL(_xlfn._xlws.FILTER(nNOTA,(nCUENTA=1)*(nCURSO=A271)*(nASIG=B271)*(nAPTO="N"))),"—")</f>
        <v>—</v>
      </c>
      <c r="L271">
        <f>SUMPRODUCT((nCUENTA=1)*(nCURSO=A271)*(nASIG=B271)*(nNOTA=1))</f>
        <v>0</v>
      </c>
      <c r="M271">
        <f>SUMPRODUCT((nCUENTA=1)*(nCURSO=A271)*(nASIG=B271)*(nNOTA=2))</f>
        <v>0</v>
      </c>
      <c r="N271">
        <f>SUMPRODUCT((nCUENTA=1)*(nCURSO=A271)*(nASIG=B271)*(nNOTA=3))</f>
        <v>0</v>
      </c>
      <c r="O271">
        <f>SUMPRODUCT((nCUENTA=1)*(nCURSO=A271)*(nASIG=B271)*(nNOTA=4))</f>
        <v>0</v>
      </c>
      <c r="P271">
        <f>SUMPRODUCT((nCUENTA=1)*(nCURSO=A271)*(nASIG=B271)*(nNOTA=5))</f>
        <v>0</v>
      </c>
      <c r="Q271">
        <f>SUMPRODUCT((nCUENTA=1)*(nCURSO=A271)*(nASIG=B271)*(nNOTA=6))</f>
        <v>0</v>
      </c>
      <c r="R271">
        <f>SUMPRODUCT((nCUENTA=1)*(nCURSO=A271)*(nASIG=B271)*(nNOTA=7))</f>
        <v>0</v>
      </c>
      <c r="S271">
        <f>SUMPRODUCT((nCUENTA=1)*(nCURSO=A271)*(nASIG=B271)*(nNOTA=8))</f>
        <v>0</v>
      </c>
      <c r="T271">
        <f>SUMPRODUCT((nCUENTA=1)*(nCURSO=A271)*(nASIG=B271)*(nNOTA=9))</f>
        <v>0</v>
      </c>
      <c r="U271">
        <f>SUMPRODUCT((nCUENTA=1)*(nCURSO=A271)*(nASIG=B271)*(nNOTA=10))</f>
        <v>0</v>
      </c>
    </row>
    <row r="272">
      <c r="A272" t="inlineStr">
        <is>
          <t xml:space="preserve">4EPM</t>
        </is>
      </c>
      <c r="B272" cm="1">
        <f t="array" ref="B272">IFERROR(INDEX(_xlfn._xlws.FILTER(CONFIG_ASIGNATURAS!$B$2:$B$91,(CONFIG_ASIGNATURAS!$G$2:$G$91="Sí")*ISNUMBER(SEARCH("4EPM",CONFIG_ASIGNATURAS!$C$2:$C$91))),9),"")</f>
      </c>
      <c r="C272">
        <f>IF(B272="","",IFERROR(VLOOKUP(B272,CONFIG_ASIGNATURAS!$B$2:$D$91,3,FALSE()),"Asignatura"))</f>
      </c>
      <c r="D272">
        <f>SUMPRODUCT((nCUENTA=1)*(nCURSO=A272)*(nASIG=B272))</f>
        <v>0</v>
      </c>
      <c r="E272" s="10" t="str">
        <f>IFERROR(SUMPRODUCT((nCUENTA=1)*(nCURSO=A272)*(nASIG=B272)*(nNOTA))/D272,"—")</f>
        <v>—</v>
      </c>
      <c r="F272" s="10" t="str" cm="1">
        <f t="array" ref="F272">IFERROR(_xlfn.STDEV.P(_xlfn._xlws.FILTER(nNOTA,(nCUENTA=1)*(nCURSO=A272)*(nASIG=B272))),"—")</f>
        <v>—</v>
      </c>
      <c r="G272" t="str" cm="1">
        <f t="array" ref="G272">IFERROR(_xlfn.MODE.SNGL(_xlfn._xlws.FILTER(nNOTA,(nCUENTA=1)*(nCURSO=A272)*(nASIG=B272))),"—")</f>
        <v>—</v>
      </c>
      <c r="H272" s="11" t="str">
        <f>IFERROR(SUMPRODUCT((nCUENTA=1)*(nCURSO=A272)*(nASIG=B272)*(nAPTO="S"))/D272,"—")</f>
        <v>—</v>
      </c>
      <c r="I272" s="11" t="str">
        <f>IFERROR(SUMPRODUCT((nCUENTA=1)*(nCURSO=A272)*(nASIG=B272)*(nAPTO="N"))/D272,"—")</f>
        <v>—</v>
      </c>
      <c r="J272" t="str" cm="1">
        <f t="array" ref="J272">IFERROR(_xlfn.MODE.SNGL(_xlfn._xlws.FILTER(nNOTA,(nCUENTA=1)*(nCURSO=A272)*(nASIG=B272)*(nAPTO="S"))),"—")</f>
        <v>—</v>
      </c>
      <c r="K272" t="str" cm="1">
        <f t="array" ref="K272">IFERROR(_xlfn.MODE.SNGL(_xlfn._xlws.FILTER(nNOTA,(nCUENTA=1)*(nCURSO=A272)*(nASIG=B272)*(nAPTO="N"))),"—")</f>
        <v>—</v>
      </c>
      <c r="L272">
        <f>SUMPRODUCT((nCUENTA=1)*(nCURSO=A272)*(nASIG=B272)*(nNOTA=1))</f>
        <v>0</v>
      </c>
      <c r="M272">
        <f>SUMPRODUCT((nCUENTA=1)*(nCURSO=A272)*(nASIG=B272)*(nNOTA=2))</f>
        <v>0</v>
      </c>
      <c r="N272">
        <f>SUMPRODUCT((nCUENTA=1)*(nCURSO=A272)*(nASIG=B272)*(nNOTA=3))</f>
        <v>0</v>
      </c>
      <c r="O272">
        <f>SUMPRODUCT((nCUENTA=1)*(nCURSO=A272)*(nASIG=B272)*(nNOTA=4))</f>
        <v>0</v>
      </c>
      <c r="P272">
        <f>SUMPRODUCT((nCUENTA=1)*(nCURSO=A272)*(nASIG=B272)*(nNOTA=5))</f>
        <v>0</v>
      </c>
      <c r="Q272">
        <f>SUMPRODUCT((nCUENTA=1)*(nCURSO=A272)*(nASIG=B272)*(nNOTA=6))</f>
        <v>0</v>
      </c>
      <c r="R272">
        <f>SUMPRODUCT((nCUENTA=1)*(nCURSO=A272)*(nASIG=B272)*(nNOTA=7))</f>
        <v>0</v>
      </c>
      <c r="S272">
        <f>SUMPRODUCT((nCUENTA=1)*(nCURSO=A272)*(nASIG=B272)*(nNOTA=8))</f>
        <v>0</v>
      </c>
      <c r="T272">
        <f>SUMPRODUCT((nCUENTA=1)*(nCURSO=A272)*(nASIG=B272)*(nNOTA=9))</f>
        <v>0</v>
      </c>
      <c r="U272">
        <f>SUMPRODUCT((nCUENTA=1)*(nCURSO=A272)*(nASIG=B272)*(nNOTA=10))</f>
        <v>0</v>
      </c>
    </row>
    <row r="273">
      <c r="A273" t="inlineStr">
        <is>
          <t xml:space="preserve">4EPM</t>
        </is>
      </c>
      <c r="B273" cm="1">
        <f t="array" ref="B273">IFERROR(INDEX(_xlfn._xlws.FILTER(CONFIG_ASIGNATURAS!$B$2:$B$91,(CONFIG_ASIGNATURAS!$G$2:$G$91="Sí")*ISNUMBER(SEARCH("4EPM",CONFIG_ASIGNATURAS!$C$2:$C$91))),10),"")</f>
      </c>
      <c r="C273">
        <f>IF(B273="","",IFERROR(VLOOKUP(B273,CONFIG_ASIGNATURAS!$B$2:$D$91,3,FALSE()),"Asignatura"))</f>
      </c>
      <c r="D273">
        <f>SUMPRODUCT((nCUENTA=1)*(nCURSO=A273)*(nASIG=B273))</f>
        <v>0</v>
      </c>
      <c r="E273" s="10" t="str">
        <f>IFERROR(SUMPRODUCT((nCUENTA=1)*(nCURSO=A273)*(nASIG=B273)*(nNOTA))/D273,"—")</f>
        <v>—</v>
      </c>
      <c r="F273" s="10" t="str" cm="1">
        <f t="array" ref="F273">IFERROR(_xlfn.STDEV.P(_xlfn._xlws.FILTER(nNOTA,(nCUENTA=1)*(nCURSO=A273)*(nASIG=B273))),"—")</f>
        <v>—</v>
      </c>
      <c r="G273" t="str" cm="1">
        <f t="array" ref="G273">IFERROR(_xlfn.MODE.SNGL(_xlfn._xlws.FILTER(nNOTA,(nCUENTA=1)*(nCURSO=A273)*(nASIG=B273))),"—")</f>
        <v>—</v>
      </c>
      <c r="H273" s="11" t="str">
        <f>IFERROR(SUMPRODUCT((nCUENTA=1)*(nCURSO=A273)*(nASIG=B273)*(nAPTO="S"))/D273,"—")</f>
        <v>—</v>
      </c>
      <c r="I273" s="11" t="str">
        <f>IFERROR(SUMPRODUCT((nCUENTA=1)*(nCURSO=A273)*(nASIG=B273)*(nAPTO="N"))/D273,"—")</f>
        <v>—</v>
      </c>
      <c r="J273" t="str" cm="1">
        <f t="array" ref="J273">IFERROR(_xlfn.MODE.SNGL(_xlfn._xlws.FILTER(nNOTA,(nCUENTA=1)*(nCURSO=A273)*(nASIG=B273)*(nAPTO="S"))),"—")</f>
        <v>—</v>
      </c>
      <c r="K273" t="str" cm="1">
        <f t="array" ref="K273">IFERROR(_xlfn.MODE.SNGL(_xlfn._xlws.FILTER(nNOTA,(nCUENTA=1)*(nCURSO=A273)*(nASIG=B273)*(nAPTO="N"))),"—")</f>
        <v>—</v>
      </c>
      <c r="L273">
        <f>SUMPRODUCT((nCUENTA=1)*(nCURSO=A273)*(nASIG=B273)*(nNOTA=1))</f>
        <v>0</v>
      </c>
      <c r="M273">
        <f>SUMPRODUCT((nCUENTA=1)*(nCURSO=A273)*(nASIG=B273)*(nNOTA=2))</f>
        <v>0</v>
      </c>
      <c r="N273">
        <f>SUMPRODUCT((nCUENTA=1)*(nCURSO=A273)*(nASIG=B273)*(nNOTA=3))</f>
        <v>0</v>
      </c>
      <c r="O273">
        <f>SUMPRODUCT((nCUENTA=1)*(nCURSO=A273)*(nASIG=B273)*(nNOTA=4))</f>
        <v>0</v>
      </c>
      <c r="P273">
        <f>SUMPRODUCT((nCUENTA=1)*(nCURSO=A273)*(nASIG=B273)*(nNOTA=5))</f>
        <v>0</v>
      </c>
      <c r="Q273">
        <f>SUMPRODUCT((nCUENTA=1)*(nCURSO=A273)*(nASIG=B273)*(nNOTA=6))</f>
        <v>0</v>
      </c>
      <c r="R273">
        <f>SUMPRODUCT((nCUENTA=1)*(nCURSO=A273)*(nASIG=B273)*(nNOTA=7))</f>
        <v>0</v>
      </c>
      <c r="S273">
        <f>SUMPRODUCT((nCUENTA=1)*(nCURSO=A273)*(nASIG=B273)*(nNOTA=8))</f>
        <v>0</v>
      </c>
      <c r="T273">
        <f>SUMPRODUCT((nCUENTA=1)*(nCURSO=A273)*(nASIG=B273)*(nNOTA=9))</f>
        <v>0</v>
      </c>
      <c r="U273">
        <f>SUMPRODUCT((nCUENTA=1)*(nCURSO=A273)*(nASIG=B273)*(nNOTA=10))</f>
        <v>0</v>
      </c>
    </row>
    <row r="274">
      <c r="A274" t="inlineStr">
        <is>
          <t xml:space="preserve">4EPM</t>
        </is>
      </c>
      <c r="B274" cm="1">
        <f t="array" ref="B274">IFERROR(INDEX(_xlfn._xlws.FILTER(CONFIG_ASIGNATURAS!$B$2:$B$91,(CONFIG_ASIGNATURAS!$G$2:$G$91="Sí")*ISNUMBER(SEARCH("4EPM",CONFIG_ASIGNATURAS!$C$2:$C$91))),11),"")</f>
      </c>
      <c r="C274">
        <f>IF(B274="","",IFERROR(VLOOKUP(B274,CONFIG_ASIGNATURAS!$B$2:$D$91,3,FALSE()),"Asignatura"))</f>
      </c>
      <c r="D274">
        <f>SUMPRODUCT((nCUENTA=1)*(nCURSO=A274)*(nASIG=B274))</f>
        <v>0</v>
      </c>
      <c r="E274" s="10" t="str">
        <f>IFERROR(SUMPRODUCT((nCUENTA=1)*(nCURSO=A274)*(nASIG=B274)*(nNOTA))/D274,"—")</f>
        <v>—</v>
      </c>
      <c r="F274" s="10" t="str" cm="1">
        <f t="array" ref="F274">IFERROR(_xlfn.STDEV.P(_xlfn._xlws.FILTER(nNOTA,(nCUENTA=1)*(nCURSO=A274)*(nASIG=B274))),"—")</f>
        <v>—</v>
      </c>
      <c r="G274" t="str" cm="1">
        <f t="array" ref="G274">IFERROR(_xlfn.MODE.SNGL(_xlfn._xlws.FILTER(nNOTA,(nCUENTA=1)*(nCURSO=A274)*(nASIG=B274))),"—")</f>
        <v>—</v>
      </c>
      <c r="H274" s="11" t="str">
        <f>IFERROR(SUMPRODUCT((nCUENTA=1)*(nCURSO=A274)*(nASIG=B274)*(nAPTO="S"))/D274,"—")</f>
        <v>—</v>
      </c>
      <c r="I274" s="11" t="str">
        <f>IFERROR(SUMPRODUCT((nCUENTA=1)*(nCURSO=A274)*(nASIG=B274)*(nAPTO="N"))/D274,"—")</f>
        <v>—</v>
      </c>
      <c r="J274" t="str" cm="1">
        <f t="array" ref="J274">IFERROR(_xlfn.MODE.SNGL(_xlfn._xlws.FILTER(nNOTA,(nCUENTA=1)*(nCURSO=A274)*(nASIG=B274)*(nAPTO="S"))),"—")</f>
        <v>—</v>
      </c>
      <c r="K274" t="str" cm="1">
        <f t="array" ref="K274">IFERROR(_xlfn.MODE.SNGL(_xlfn._xlws.FILTER(nNOTA,(nCUENTA=1)*(nCURSO=A274)*(nASIG=B274)*(nAPTO="N"))),"—")</f>
        <v>—</v>
      </c>
      <c r="L274">
        <f>SUMPRODUCT((nCUENTA=1)*(nCURSO=A274)*(nASIG=B274)*(nNOTA=1))</f>
        <v>0</v>
      </c>
      <c r="M274">
        <f>SUMPRODUCT((nCUENTA=1)*(nCURSO=A274)*(nASIG=B274)*(nNOTA=2))</f>
        <v>0</v>
      </c>
      <c r="N274">
        <f>SUMPRODUCT((nCUENTA=1)*(nCURSO=A274)*(nASIG=B274)*(nNOTA=3))</f>
        <v>0</v>
      </c>
      <c r="O274">
        <f>SUMPRODUCT((nCUENTA=1)*(nCURSO=A274)*(nASIG=B274)*(nNOTA=4))</f>
        <v>0</v>
      </c>
      <c r="P274">
        <f>SUMPRODUCT((nCUENTA=1)*(nCURSO=A274)*(nASIG=B274)*(nNOTA=5))</f>
        <v>0</v>
      </c>
      <c r="Q274">
        <f>SUMPRODUCT((nCUENTA=1)*(nCURSO=A274)*(nASIG=B274)*(nNOTA=6))</f>
        <v>0</v>
      </c>
      <c r="R274">
        <f>SUMPRODUCT((nCUENTA=1)*(nCURSO=A274)*(nASIG=B274)*(nNOTA=7))</f>
        <v>0</v>
      </c>
      <c r="S274">
        <f>SUMPRODUCT((nCUENTA=1)*(nCURSO=A274)*(nASIG=B274)*(nNOTA=8))</f>
        <v>0</v>
      </c>
      <c r="T274">
        <f>SUMPRODUCT((nCUENTA=1)*(nCURSO=A274)*(nASIG=B274)*(nNOTA=9))</f>
        <v>0</v>
      </c>
      <c r="U274">
        <f>SUMPRODUCT((nCUENTA=1)*(nCURSO=A274)*(nASIG=B274)*(nNOTA=10))</f>
        <v>0</v>
      </c>
    </row>
    <row r="275">
      <c r="A275" t="inlineStr">
        <is>
          <t xml:space="preserve">4EPM</t>
        </is>
      </c>
      <c r="B275" cm="1">
        <f t="array" ref="B275">IFERROR(INDEX(_xlfn._xlws.FILTER(CONFIG_ASIGNATURAS!$B$2:$B$91,(CONFIG_ASIGNATURAS!$G$2:$G$91="Sí")*ISNUMBER(SEARCH("4EPM",CONFIG_ASIGNATURAS!$C$2:$C$91))),12),"")</f>
      </c>
      <c r="C275">
        <f>IF(B275="","",IFERROR(VLOOKUP(B275,CONFIG_ASIGNATURAS!$B$2:$D$91,3,FALSE()),"Asignatura"))</f>
      </c>
      <c r="D275">
        <f>SUMPRODUCT((nCUENTA=1)*(nCURSO=A275)*(nASIG=B275))</f>
        <v>0</v>
      </c>
      <c r="E275" s="10" t="str">
        <f>IFERROR(SUMPRODUCT((nCUENTA=1)*(nCURSO=A275)*(nASIG=B275)*(nNOTA))/D275,"—")</f>
        <v>—</v>
      </c>
      <c r="F275" s="10" t="str" cm="1">
        <f t="array" ref="F275">IFERROR(_xlfn.STDEV.P(_xlfn._xlws.FILTER(nNOTA,(nCUENTA=1)*(nCURSO=A275)*(nASIG=B275))),"—")</f>
        <v>—</v>
      </c>
      <c r="G275" t="str" cm="1">
        <f t="array" ref="G275">IFERROR(_xlfn.MODE.SNGL(_xlfn._xlws.FILTER(nNOTA,(nCUENTA=1)*(nCURSO=A275)*(nASIG=B275))),"—")</f>
        <v>—</v>
      </c>
      <c r="H275" s="11" t="str">
        <f>IFERROR(SUMPRODUCT((nCUENTA=1)*(nCURSO=A275)*(nASIG=B275)*(nAPTO="S"))/D275,"—")</f>
        <v>—</v>
      </c>
      <c r="I275" s="11" t="str">
        <f>IFERROR(SUMPRODUCT((nCUENTA=1)*(nCURSO=A275)*(nASIG=B275)*(nAPTO="N"))/D275,"—")</f>
        <v>—</v>
      </c>
      <c r="J275" t="str" cm="1">
        <f t="array" ref="J275">IFERROR(_xlfn.MODE.SNGL(_xlfn._xlws.FILTER(nNOTA,(nCUENTA=1)*(nCURSO=A275)*(nASIG=B275)*(nAPTO="S"))),"—")</f>
        <v>—</v>
      </c>
      <c r="K275" t="str" cm="1">
        <f t="array" ref="K275">IFERROR(_xlfn.MODE.SNGL(_xlfn._xlws.FILTER(nNOTA,(nCUENTA=1)*(nCURSO=A275)*(nASIG=B275)*(nAPTO="N"))),"—")</f>
        <v>—</v>
      </c>
      <c r="L275">
        <f>SUMPRODUCT((nCUENTA=1)*(nCURSO=A275)*(nASIG=B275)*(nNOTA=1))</f>
        <v>0</v>
      </c>
      <c r="M275">
        <f>SUMPRODUCT((nCUENTA=1)*(nCURSO=A275)*(nASIG=B275)*(nNOTA=2))</f>
        <v>0</v>
      </c>
      <c r="N275">
        <f>SUMPRODUCT((nCUENTA=1)*(nCURSO=A275)*(nASIG=B275)*(nNOTA=3))</f>
        <v>0</v>
      </c>
      <c r="O275">
        <f>SUMPRODUCT((nCUENTA=1)*(nCURSO=A275)*(nASIG=B275)*(nNOTA=4))</f>
        <v>0</v>
      </c>
      <c r="P275">
        <f>SUMPRODUCT((nCUENTA=1)*(nCURSO=A275)*(nASIG=B275)*(nNOTA=5))</f>
        <v>0</v>
      </c>
      <c r="Q275">
        <f>SUMPRODUCT((nCUENTA=1)*(nCURSO=A275)*(nASIG=B275)*(nNOTA=6))</f>
        <v>0</v>
      </c>
      <c r="R275">
        <f>SUMPRODUCT((nCUENTA=1)*(nCURSO=A275)*(nASIG=B275)*(nNOTA=7))</f>
        <v>0</v>
      </c>
      <c r="S275">
        <f>SUMPRODUCT((nCUENTA=1)*(nCURSO=A275)*(nASIG=B275)*(nNOTA=8))</f>
        <v>0</v>
      </c>
      <c r="T275">
        <f>SUMPRODUCT((nCUENTA=1)*(nCURSO=A275)*(nASIG=B275)*(nNOTA=9))</f>
        <v>0</v>
      </c>
      <c r="U275">
        <f>SUMPRODUCT((nCUENTA=1)*(nCURSO=A275)*(nASIG=B275)*(nNOTA=10))</f>
        <v>0</v>
      </c>
    </row>
    <row r="276">
      <c r="A276" t="inlineStr">
        <is>
          <t xml:space="preserve">4EPM</t>
        </is>
      </c>
      <c r="B276" cm="1">
        <f t="array" ref="B276">IFERROR(INDEX(_xlfn._xlws.FILTER(CONFIG_ASIGNATURAS!$B$2:$B$91,(CONFIG_ASIGNATURAS!$G$2:$G$91="Sí")*ISNUMBER(SEARCH("4EPM",CONFIG_ASIGNATURAS!$C$2:$C$91))),13),"")</f>
      </c>
      <c r="C276">
        <f>IF(B276="","",IFERROR(VLOOKUP(B276,CONFIG_ASIGNATURAS!$B$2:$D$91,3,FALSE()),"Asignatura"))</f>
      </c>
      <c r="D276">
        <f>SUMPRODUCT((nCUENTA=1)*(nCURSO=A276)*(nASIG=B276))</f>
        <v>0</v>
      </c>
      <c r="E276" s="10" t="str">
        <f>IFERROR(SUMPRODUCT((nCUENTA=1)*(nCURSO=A276)*(nASIG=B276)*(nNOTA))/D276,"—")</f>
        <v>—</v>
      </c>
      <c r="F276" s="10" t="str" cm="1">
        <f t="array" ref="F276">IFERROR(_xlfn.STDEV.P(_xlfn._xlws.FILTER(nNOTA,(nCUENTA=1)*(nCURSO=A276)*(nASIG=B276))),"—")</f>
        <v>—</v>
      </c>
      <c r="G276" t="str" cm="1">
        <f t="array" ref="G276">IFERROR(_xlfn.MODE.SNGL(_xlfn._xlws.FILTER(nNOTA,(nCUENTA=1)*(nCURSO=A276)*(nASIG=B276))),"—")</f>
        <v>—</v>
      </c>
      <c r="H276" s="11" t="str">
        <f>IFERROR(SUMPRODUCT((nCUENTA=1)*(nCURSO=A276)*(nASIG=B276)*(nAPTO="S"))/D276,"—")</f>
        <v>—</v>
      </c>
      <c r="I276" s="11" t="str">
        <f>IFERROR(SUMPRODUCT((nCUENTA=1)*(nCURSO=A276)*(nASIG=B276)*(nAPTO="N"))/D276,"—")</f>
        <v>—</v>
      </c>
      <c r="J276" t="str" cm="1">
        <f t="array" ref="J276">IFERROR(_xlfn.MODE.SNGL(_xlfn._xlws.FILTER(nNOTA,(nCUENTA=1)*(nCURSO=A276)*(nASIG=B276)*(nAPTO="S"))),"—")</f>
        <v>—</v>
      </c>
      <c r="K276" t="str" cm="1">
        <f t="array" ref="K276">IFERROR(_xlfn.MODE.SNGL(_xlfn._xlws.FILTER(nNOTA,(nCUENTA=1)*(nCURSO=A276)*(nASIG=B276)*(nAPTO="N"))),"—")</f>
        <v>—</v>
      </c>
      <c r="L276">
        <f>SUMPRODUCT((nCUENTA=1)*(nCURSO=A276)*(nASIG=B276)*(nNOTA=1))</f>
        <v>0</v>
      </c>
      <c r="M276">
        <f>SUMPRODUCT((nCUENTA=1)*(nCURSO=A276)*(nASIG=B276)*(nNOTA=2))</f>
        <v>0</v>
      </c>
      <c r="N276">
        <f>SUMPRODUCT((nCUENTA=1)*(nCURSO=A276)*(nASIG=B276)*(nNOTA=3))</f>
        <v>0</v>
      </c>
      <c r="O276">
        <f>SUMPRODUCT((nCUENTA=1)*(nCURSO=A276)*(nASIG=B276)*(nNOTA=4))</f>
        <v>0</v>
      </c>
      <c r="P276">
        <f>SUMPRODUCT((nCUENTA=1)*(nCURSO=A276)*(nASIG=B276)*(nNOTA=5))</f>
        <v>0</v>
      </c>
      <c r="Q276">
        <f>SUMPRODUCT((nCUENTA=1)*(nCURSO=A276)*(nASIG=B276)*(nNOTA=6))</f>
        <v>0</v>
      </c>
      <c r="R276">
        <f>SUMPRODUCT((nCUENTA=1)*(nCURSO=A276)*(nASIG=B276)*(nNOTA=7))</f>
        <v>0</v>
      </c>
      <c r="S276">
        <f>SUMPRODUCT((nCUENTA=1)*(nCURSO=A276)*(nASIG=B276)*(nNOTA=8))</f>
        <v>0</v>
      </c>
      <c r="T276">
        <f>SUMPRODUCT((nCUENTA=1)*(nCURSO=A276)*(nASIG=B276)*(nNOTA=9))</f>
        <v>0</v>
      </c>
      <c r="U276">
        <f>SUMPRODUCT((nCUENTA=1)*(nCURSO=A276)*(nASIG=B276)*(nNOTA=10))</f>
        <v>0</v>
      </c>
    </row>
    <row r="277">
      <c r="A277" t="inlineStr">
        <is>
          <t xml:space="preserve">4EPM</t>
        </is>
      </c>
      <c r="B277" cm="1">
        <f t="array" ref="B277">IFERROR(INDEX(_xlfn._xlws.FILTER(CONFIG_ASIGNATURAS!$B$2:$B$91,(CONFIG_ASIGNATURAS!$G$2:$G$91="Sí")*ISNUMBER(SEARCH("4EPM",CONFIG_ASIGNATURAS!$C$2:$C$91))),14),"")</f>
      </c>
      <c r="C277">
        <f>IF(B277="","",IFERROR(VLOOKUP(B277,CONFIG_ASIGNATURAS!$B$2:$D$91,3,FALSE()),"Asignatura"))</f>
      </c>
      <c r="D277">
        <f>SUMPRODUCT((nCUENTA=1)*(nCURSO=A277)*(nASIG=B277))</f>
        <v>0</v>
      </c>
      <c r="E277" s="10" t="str">
        <f>IFERROR(SUMPRODUCT((nCUENTA=1)*(nCURSO=A277)*(nASIG=B277)*(nNOTA))/D277,"—")</f>
        <v>—</v>
      </c>
      <c r="F277" s="10" t="str" cm="1">
        <f t="array" ref="F277">IFERROR(_xlfn.STDEV.P(_xlfn._xlws.FILTER(nNOTA,(nCUENTA=1)*(nCURSO=A277)*(nASIG=B277))),"—")</f>
        <v>—</v>
      </c>
      <c r="G277" t="str" cm="1">
        <f t="array" ref="G277">IFERROR(_xlfn.MODE.SNGL(_xlfn._xlws.FILTER(nNOTA,(nCUENTA=1)*(nCURSO=A277)*(nASIG=B277))),"—")</f>
        <v>—</v>
      </c>
      <c r="H277" s="11" t="str">
        <f>IFERROR(SUMPRODUCT((nCUENTA=1)*(nCURSO=A277)*(nASIG=B277)*(nAPTO="S"))/D277,"—")</f>
        <v>—</v>
      </c>
      <c r="I277" s="11" t="str">
        <f>IFERROR(SUMPRODUCT((nCUENTA=1)*(nCURSO=A277)*(nASIG=B277)*(nAPTO="N"))/D277,"—")</f>
        <v>—</v>
      </c>
      <c r="J277" t="str" cm="1">
        <f t="array" ref="J277">IFERROR(_xlfn.MODE.SNGL(_xlfn._xlws.FILTER(nNOTA,(nCUENTA=1)*(nCURSO=A277)*(nASIG=B277)*(nAPTO="S"))),"—")</f>
        <v>—</v>
      </c>
      <c r="K277" t="str" cm="1">
        <f t="array" ref="K277">IFERROR(_xlfn.MODE.SNGL(_xlfn._xlws.FILTER(nNOTA,(nCUENTA=1)*(nCURSO=A277)*(nASIG=B277)*(nAPTO="N"))),"—")</f>
        <v>—</v>
      </c>
      <c r="L277">
        <f>SUMPRODUCT((nCUENTA=1)*(nCURSO=A277)*(nASIG=B277)*(nNOTA=1))</f>
        <v>0</v>
      </c>
      <c r="M277">
        <f>SUMPRODUCT((nCUENTA=1)*(nCURSO=A277)*(nASIG=B277)*(nNOTA=2))</f>
        <v>0</v>
      </c>
      <c r="N277">
        <f>SUMPRODUCT((nCUENTA=1)*(nCURSO=A277)*(nASIG=B277)*(nNOTA=3))</f>
        <v>0</v>
      </c>
      <c r="O277">
        <f>SUMPRODUCT((nCUENTA=1)*(nCURSO=A277)*(nASIG=B277)*(nNOTA=4))</f>
        <v>0</v>
      </c>
      <c r="P277">
        <f>SUMPRODUCT((nCUENTA=1)*(nCURSO=A277)*(nASIG=B277)*(nNOTA=5))</f>
        <v>0</v>
      </c>
      <c r="Q277">
        <f>SUMPRODUCT((nCUENTA=1)*(nCURSO=A277)*(nASIG=B277)*(nNOTA=6))</f>
        <v>0</v>
      </c>
      <c r="R277">
        <f>SUMPRODUCT((nCUENTA=1)*(nCURSO=A277)*(nASIG=B277)*(nNOTA=7))</f>
        <v>0</v>
      </c>
      <c r="S277">
        <f>SUMPRODUCT((nCUENTA=1)*(nCURSO=A277)*(nASIG=B277)*(nNOTA=8))</f>
        <v>0</v>
      </c>
      <c r="T277">
        <f>SUMPRODUCT((nCUENTA=1)*(nCURSO=A277)*(nASIG=B277)*(nNOTA=9))</f>
        <v>0</v>
      </c>
      <c r="U277">
        <f>SUMPRODUCT((nCUENTA=1)*(nCURSO=A277)*(nASIG=B277)*(nNOTA=10))</f>
        <v>0</v>
      </c>
    </row>
    <row r="278">
      <c r="A278" t="inlineStr">
        <is>
          <t xml:space="preserve">4EPM</t>
        </is>
      </c>
      <c r="B278" cm="1">
        <f t="array" ref="B278">IFERROR(INDEX(_xlfn._xlws.FILTER(CONFIG_ASIGNATURAS!$B$2:$B$91,(CONFIG_ASIGNATURAS!$G$2:$G$91="Sí")*ISNUMBER(SEARCH("4EPM",CONFIG_ASIGNATURAS!$C$2:$C$91))),15),"")</f>
      </c>
      <c r="C278">
        <f>IF(B278="","",IFERROR(VLOOKUP(B278,CONFIG_ASIGNATURAS!$B$2:$D$91,3,FALSE()),"Asignatura"))</f>
      </c>
      <c r="D278">
        <f>SUMPRODUCT((nCUENTA=1)*(nCURSO=A278)*(nASIG=B278))</f>
        <v>0</v>
      </c>
      <c r="E278" s="10" t="str">
        <f>IFERROR(SUMPRODUCT((nCUENTA=1)*(nCURSO=A278)*(nASIG=B278)*(nNOTA))/D278,"—")</f>
        <v>—</v>
      </c>
      <c r="F278" s="10" t="str" cm="1">
        <f t="array" ref="F278">IFERROR(_xlfn.STDEV.P(_xlfn._xlws.FILTER(nNOTA,(nCUENTA=1)*(nCURSO=A278)*(nASIG=B278))),"—")</f>
        <v>—</v>
      </c>
      <c r="G278" t="str" cm="1">
        <f t="array" ref="G278">IFERROR(_xlfn.MODE.SNGL(_xlfn._xlws.FILTER(nNOTA,(nCUENTA=1)*(nCURSO=A278)*(nASIG=B278))),"—")</f>
        <v>—</v>
      </c>
      <c r="H278" s="11" t="str">
        <f>IFERROR(SUMPRODUCT((nCUENTA=1)*(nCURSO=A278)*(nASIG=B278)*(nAPTO="S"))/D278,"—")</f>
        <v>—</v>
      </c>
      <c r="I278" s="11" t="str">
        <f>IFERROR(SUMPRODUCT((nCUENTA=1)*(nCURSO=A278)*(nASIG=B278)*(nAPTO="N"))/D278,"—")</f>
        <v>—</v>
      </c>
      <c r="J278" t="str" cm="1">
        <f t="array" ref="J278">IFERROR(_xlfn.MODE.SNGL(_xlfn._xlws.FILTER(nNOTA,(nCUENTA=1)*(nCURSO=A278)*(nASIG=B278)*(nAPTO="S"))),"—")</f>
        <v>—</v>
      </c>
      <c r="K278" t="str" cm="1">
        <f t="array" ref="K278">IFERROR(_xlfn.MODE.SNGL(_xlfn._xlws.FILTER(nNOTA,(nCUENTA=1)*(nCURSO=A278)*(nASIG=B278)*(nAPTO="N"))),"—")</f>
        <v>—</v>
      </c>
      <c r="L278">
        <f>SUMPRODUCT((nCUENTA=1)*(nCURSO=A278)*(nASIG=B278)*(nNOTA=1))</f>
        <v>0</v>
      </c>
      <c r="M278">
        <f>SUMPRODUCT((nCUENTA=1)*(nCURSO=A278)*(nASIG=B278)*(nNOTA=2))</f>
        <v>0</v>
      </c>
      <c r="N278">
        <f>SUMPRODUCT((nCUENTA=1)*(nCURSO=A278)*(nASIG=B278)*(nNOTA=3))</f>
        <v>0</v>
      </c>
      <c r="O278">
        <f>SUMPRODUCT((nCUENTA=1)*(nCURSO=A278)*(nASIG=B278)*(nNOTA=4))</f>
        <v>0</v>
      </c>
      <c r="P278">
        <f>SUMPRODUCT((nCUENTA=1)*(nCURSO=A278)*(nASIG=B278)*(nNOTA=5))</f>
        <v>0</v>
      </c>
      <c r="Q278">
        <f>SUMPRODUCT((nCUENTA=1)*(nCURSO=A278)*(nASIG=B278)*(nNOTA=6))</f>
        <v>0</v>
      </c>
      <c r="R278">
        <f>SUMPRODUCT((nCUENTA=1)*(nCURSO=A278)*(nASIG=B278)*(nNOTA=7))</f>
        <v>0</v>
      </c>
      <c r="S278">
        <f>SUMPRODUCT((nCUENTA=1)*(nCURSO=A278)*(nASIG=B278)*(nNOTA=8))</f>
        <v>0</v>
      </c>
      <c r="T278">
        <f>SUMPRODUCT((nCUENTA=1)*(nCURSO=A278)*(nASIG=B278)*(nNOTA=9))</f>
        <v>0</v>
      </c>
      <c r="U278">
        <f>SUMPRODUCT((nCUENTA=1)*(nCURSO=A278)*(nASIG=B278)*(nNOTA=10))</f>
        <v>0</v>
      </c>
    </row>
    <row r="279">
      <c r="A279" t="inlineStr">
        <is>
          <t xml:space="preserve">4EPM</t>
        </is>
      </c>
      <c r="B279" cm="1">
        <f t="array" ref="B279">IFERROR(INDEX(_xlfn._xlws.FILTER(CONFIG_ASIGNATURAS!$B$2:$B$91,(CONFIG_ASIGNATURAS!$G$2:$G$91="Sí")*ISNUMBER(SEARCH("4EPM",CONFIG_ASIGNATURAS!$C$2:$C$91))),16),"")</f>
      </c>
      <c r="C279">
        <f>IF(B279="","",IFERROR(VLOOKUP(B279,CONFIG_ASIGNATURAS!$B$2:$D$91,3,FALSE()),"Asignatura"))</f>
      </c>
      <c r="D279">
        <f>SUMPRODUCT((nCUENTA=1)*(nCURSO=A279)*(nASIG=B279))</f>
        <v>0</v>
      </c>
      <c r="E279" s="10" t="str">
        <f>IFERROR(SUMPRODUCT((nCUENTA=1)*(nCURSO=A279)*(nASIG=B279)*(nNOTA))/D279,"—")</f>
        <v>—</v>
      </c>
      <c r="F279" s="10" t="str" cm="1">
        <f t="array" ref="F279">IFERROR(_xlfn.STDEV.P(_xlfn._xlws.FILTER(nNOTA,(nCUENTA=1)*(nCURSO=A279)*(nASIG=B279))),"—")</f>
        <v>—</v>
      </c>
      <c r="G279" t="str" cm="1">
        <f t="array" ref="G279">IFERROR(_xlfn.MODE.SNGL(_xlfn._xlws.FILTER(nNOTA,(nCUENTA=1)*(nCURSO=A279)*(nASIG=B279))),"—")</f>
        <v>—</v>
      </c>
      <c r="H279" s="11" t="str">
        <f>IFERROR(SUMPRODUCT((nCUENTA=1)*(nCURSO=A279)*(nASIG=B279)*(nAPTO="S"))/D279,"—")</f>
        <v>—</v>
      </c>
      <c r="I279" s="11" t="str">
        <f>IFERROR(SUMPRODUCT((nCUENTA=1)*(nCURSO=A279)*(nASIG=B279)*(nAPTO="N"))/D279,"—")</f>
        <v>—</v>
      </c>
      <c r="J279" t="str" cm="1">
        <f t="array" ref="J279">IFERROR(_xlfn.MODE.SNGL(_xlfn._xlws.FILTER(nNOTA,(nCUENTA=1)*(nCURSO=A279)*(nASIG=B279)*(nAPTO="S"))),"—")</f>
        <v>—</v>
      </c>
      <c r="K279" t="str" cm="1">
        <f t="array" ref="K279">IFERROR(_xlfn.MODE.SNGL(_xlfn._xlws.FILTER(nNOTA,(nCUENTA=1)*(nCURSO=A279)*(nASIG=B279)*(nAPTO="N"))),"—")</f>
        <v>—</v>
      </c>
      <c r="L279">
        <f>SUMPRODUCT((nCUENTA=1)*(nCURSO=A279)*(nASIG=B279)*(nNOTA=1))</f>
        <v>0</v>
      </c>
      <c r="M279">
        <f>SUMPRODUCT((nCUENTA=1)*(nCURSO=A279)*(nASIG=B279)*(nNOTA=2))</f>
        <v>0</v>
      </c>
      <c r="N279">
        <f>SUMPRODUCT((nCUENTA=1)*(nCURSO=A279)*(nASIG=B279)*(nNOTA=3))</f>
        <v>0</v>
      </c>
      <c r="O279">
        <f>SUMPRODUCT((nCUENTA=1)*(nCURSO=A279)*(nASIG=B279)*(nNOTA=4))</f>
        <v>0</v>
      </c>
      <c r="P279">
        <f>SUMPRODUCT((nCUENTA=1)*(nCURSO=A279)*(nASIG=B279)*(nNOTA=5))</f>
        <v>0</v>
      </c>
      <c r="Q279">
        <f>SUMPRODUCT((nCUENTA=1)*(nCURSO=A279)*(nASIG=B279)*(nNOTA=6))</f>
        <v>0</v>
      </c>
      <c r="R279">
        <f>SUMPRODUCT((nCUENTA=1)*(nCURSO=A279)*(nASIG=B279)*(nNOTA=7))</f>
        <v>0</v>
      </c>
      <c r="S279">
        <f>SUMPRODUCT((nCUENTA=1)*(nCURSO=A279)*(nASIG=B279)*(nNOTA=8))</f>
        <v>0</v>
      </c>
      <c r="T279">
        <f>SUMPRODUCT((nCUENTA=1)*(nCURSO=A279)*(nASIG=B279)*(nNOTA=9))</f>
        <v>0</v>
      </c>
      <c r="U279">
        <f>SUMPRODUCT((nCUENTA=1)*(nCURSO=A279)*(nASIG=B279)*(nNOTA=10))</f>
        <v>0</v>
      </c>
    </row>
    <row r="280">
      <c r="A280" t="inlineStr">
        <is>
          <t xml:space="preserve">4EPM</t>
        </is>
      </c>
      <c r="B280" cm="1">
        <f t="array" ref="B280">IFERROR(INDEX(_xlfn._xlws.FILTER(CONFIG_ASIGNATURAS!$B$2:$B$91,(CONFIG_ASIGNATURAS!$G$2:$G$91="Sí")*ISNUMBER(SEARCH("4EPM",CONFIG_ASIGNATURAS!$C$2:$C$91))),17),"")</f>
      </c>
      <c r="C280">
        <f>IF(B280="","",IFERROR(VLOOKUP(B280,CONFIG_ASIGNATURAS!$B$2:$D$91,3,FALSE()),"Asignatura"))</f>
      </c>
      <c r="D280">
        <f>SUMPRODUCT((nCUENTA=1)*(nCURSO=A280)*(nASIG=B280))</f>
        <v>0</v>
      </c>
      <c r="E280" s="10" t="str">
        <f>IFERROR(SUMPRODUCT((nCUENTA=1)*(nCURSO=A280)*(nASIG=B280)*(nNOTA))/D280,"—")</f>
        <v>—</v>
      </c>
      <c r="F280" s="10" t="str" cm="1">
        <f t="array" ref="F280">IFERROR(_xlfn.STDEV.P(_xlfn._xlws.FILTER(nNOTA,(nCUENTA=1)*(nCURSO=A280)*(nASIG=B280))),"—")</f>
        <v>—</v>
      </c>
      <c r="G280" t="str" cm="1">
        <f t="array" ref="G280">IFERROR(_xlfn.MODE.SNGL(_xlfn._xlws.FILTER(nNOTA,(nCUENTA=1)*(nCURSO=A280)*(nASIG=B280))),"—")</f>
        <v>—</v>
      </c>
      <c r="H280" s="11" t="str">
        <f>IFERROR(SUMPRODUCT((nCUENTA=1)*(nCURSO=A280)*(nASIG=B280)*(nAPTO="S"))/D280,"—")</f>
        <v>—</v>
      </c>
      <c r="I280" s="11" t="str">
        <f>IFERROR(SUMPRODUCT((nCUENTA=1)*(nCURSO=A280)*(nASIG=B280)*(nAPTO="N"))/D280,"—")</f>
        <v>—</v>
      </c>
      <c r="J280" t="str" cm="1">
        <f t="array" ref="J280">IFERROR(_xlfn.MODE.SNGL(_xlfn._xlws.FILTER(nNOTA,(nCUENTA=1)*(nCURSO=A280)*(nASIG=B280)*(nAPTO="S"))),"—")</f>
        <v>—</v>
      </c>
      <c r="K280" t="str" cm="1">
        <f t="array" ref="K280">IFERROR(_xlfn.MODE.SNGL(_xlfn._xlws.FILTER(nNOTA,(nCUENTA=1)*(nCURSO=A280)*(nASIG=B280)*(nAPTO="N"))),"—")</f>
        <v>—</v>
      </c>
      <c r="L280">
        <f>SUMPRODUCT((nCUENTA=1)*(nCURSO=A280)*(nASIG=B280)*(nNOTA=1))</f>
        <v>0</v>
      </c>
      <c r="M280">
        <f>SUMPRODUCT((nCUENTA=1)*(nCURSO=A280)*(nASIG=B280)*(nNOTA=2))</f>
        <v>0</v>
      </c>
      <c r="N280">
        <f>SUMPRODUCT((nCUENTA=1)*(nCURSO=A280)*(nASIG=B280)*(nNOTA=3))</f>
        <v>0</v>
      </c>
      <c r="O280">
        <f>SUMPRODUCT((nCUENTA=1)*(nCURSO=A280)*(nASIG=B280)*(nNOTA=4))</f>
        <v>0</v>
      </c>
      <c r="P280">
        <f>SUMPRODUCT((nCUENTA=1)*(nCURSO=A280)*(nASIG=B280)*(nNOTA=5))</f>
        <v>0</v>
      </c>
      <c r="Q280">
        <f>SUMPRODUCT((nCUENTA=1)*(nCURSO=A280)*(nASIG=B280)*(nNOTA=6))</f>
        <v>0</v>
      </c>
      <c r="R280">
        <f>SUMPRODUCT((nCUENTA=1)*(nCURSO=A280)*(nASIG=B280)*(nNOTA=7))</f>
        <v>0</v>
      </c>
      <c r="S280">
        <f>SUMPRODUCT((nCUENTA=1)*(nCURSO=A280)*(nASIG=B280)*(nNOTA=8))</f>
        <v>0</v>
      </c>
      <c r="T280">
        <f>SUMPRODUCT((nCUENTA=1)*(nCURSO=A280)*(nASIG=B280)*(nNOTA=9))</f>
        <v>0</v>
      </c>
      <c r="U280">
        <f>SUMPRODUCT((nCUENTA=1)*(nCURSO=A280)*(nASIG=B280)*(nNOTA=10))</f>
        <v>0</v>
      </c>
    </row>
    <row r="281">
      <c r="A281" t="inlineStr">
        <is>
          <t xml:space="preserve">4EPM</t>
        </is>
      </c>
      <c r="B281" cm="1">
        <f t="array" ref="B281">IFERROR(INDEX(_xlfn._xlws.FILTER(CONFIG_ASIGNATURAS!$B$2:$B$91,(CONFIG_ASIGNATURAS!$G$2:$G$91="Sí")*ISNUMBER(SEARCH("4EPM",CONFIG_ASIGNATURAS!$C$2:$C$91))),18),"")</f>
      </c>
      <c r="C281">
        <f>IF(B281="","",IFERROR(VLOOKUP(B281,CONFIG_ASIGNATURAS!$B$2:$D$91,3,FALSE()),"Asignatura"))</f>
      </c>
      <c r="D281">
        <f>SUMPRODUCT((nCUENTA=1)*(nCURSO=A281)*(nASIG=B281))</f>
        <v>0</v>
      </c>
      <c r="E281" s="10" t="str">
        <f>IFERROR(SUMPRODUCT((nCUENTA=1)*(nCURSO=A281)*(nASIG=B281)*(nNOTA))/D281,"—")</f>
        <v>—</v>
      </c>
      <c r="F281" s="10" t="str" cm="1">
        <f t="array" ref="F281">IFERROR(_xlfn.STDEV.P(_xlfn._xlws.FILTER(nNOTA,(nCUENTA=1)*(nCURSO=A281)*(nASIG=B281))),"—")</f>
        <v>—</v>
      </c>
      <c r="G281" t="str" cm="1">
        <f t="array" ref="G281">IFERROR(_xlfn.MODE.SNGL(_xlfn._xlws.FILTER(nNOTA,(nCUENTA=1)*(nCURSO=A281)*(nASIG=B281))),"—")</f>
        <v>—</v>
      </c>
      <c r="H281" s="11" t="str">
        <f>IFERROR(SUMPRODUCT((nCUENTA=1)*(nCURSO=A281)*(nASIG=B281)*(nAPTO="S"))/D281,"—")</f>
        <v>—</v>
      </c>
      <c r="I281" s="11" t="str">
        <f>IFERROR(SUMPRODUCT((nCUENTA=1)*(nCURSO=A281)*(nASIG=B281)*(nAPTO="N"))/D281,"—")</f>
        <v>—</v>
      </c>
      <c r="J281" t="str" cm="1">
        <f t="array" ref="J281">IFERROR(_xlfn.MODE.SNGL(_xlfn._xlws.FILTER(nNOTA,(nCUENTA=1)*(nCURSO=A281)*(nASIG=B281)*(nAPTO="S"))),"—")</f>
        <v>—</v>
      </c>
      <c r="K281" t="str" cm="1">
        <f t="array" ref="K281">IFERROR(_xlfn.MODE.SNGL(_xlfn._xlws.FILTER(nNOTA,(nCUENTA=1)*(nCURSO=A281)*(nASIG=B281)*(nAPTO="N"))),"—")</f>
        <v>—</v>
      </c>
      <c r="L281">
        <f>SUMPRODUCT((nCUENTA=1)*(nCURSO=A281)*(nASIG=B281)*(nNOTA=1))</f>
        <v>0</v>
      </c>
      <c r="M281">
        <f>SUMPRODUCT((nCUENTA=1)*(nCURSO=A281)*(nASIG=B281)*(nNOTA=2))</f>
        <v>0</v>
      </c>
      <c r="N281">
        <f>SUMPRODUCT((nCUENTA=1)*(nCURSO=A281)*(nASIG=B281)*(nNOTA=3))</f>
        <v>0</v>
      </c>
      <c r="O281">
        <f>SUMPRODUCT((nCUENTA=1)*(nCURSO=A281)*(nASIG=B281)*(nNOTA=4))</f>
        <v>0</v>
      </c>
      <c r="P281">
        <f>SUMPRODUCT((nCUENTA=1)*(nCURSO=A281)*(nASIG=B281)*(nNOTA=5))</f>
        <v>0</v>
      </c>
      <c r="Q281">
        <f>SUMPRODUCT((nCUENTA=1)*(nCURSO=A281)*(nASIG=B281)*(nNOTA=6))</f>
        <v>0</v>
      </c>
      <c r="R281">
        <f>SUMPRODUCT((nCUENTA=1)*(nCURSO=A281)*(nASIG=B281)*(nNOTA=7))</f>
        <v>0</v>
      </c>
      <c r="S281">
        <f>SUMPRODUCT((nCUENTA=1)*(nCURSO=A281)*(nASIG=B281)*(nNOTA=8))</f>
        <v>0</v>
      </c>
      <c r="T281">
        <f>SUMPRODUCT((nCUENTA=1)*(nCURSO=A281)*(nASIG=B281)*(nNOTA=9))</f>
        <v>0</v>
      </c>
      <c r="U281">
        <f>SUMPRODUCT((nCUENTA=1)*(nCURSO=A281)*(nASIG=B281)*(nNOTA=10))</f>
        <v>0</v>
      </c>
    </row>
    <row r="282">
      <c r="A282" t="inlineStr">
        <is>
          <t xml:space="preserve">4EPM</t>
        </is>
      </c>
      <c r="B282" cm="1">
        <f t="array" ref="B282">IFERROR(INDEX(_xlfn._xlws.FILTER(CONFIG_ASIGNATURAS!$B$2:$B$91,(CONFIG_ASIGNATURAS!$G$2:$G$91="Sí")*ISNUMBER(SEARCH("4EPM",CONFIG_ASIGNATURAS!$C$2:$C$91))),19),"")</f>
      </c>
      <c r="C282">
        <f>IF(B282="","",IFERROR(VLOOKUP(B282,CONFIG_ASIGNATURAS!$B$2:$D$91,3,FALSE()),"Asignatura"))</f>
      </c>
      <c r="D282">
        <f>SUMPRODUCT((nCUENTA=1)*(nCURSO=A282)*(nASIG=B282))</f>
        <v>0</v>
      </c>
      <c r="E282" s="10" t="str">
        <f>IFERROR(SUMPRODUCT((nCUENTA=1)*(nCURSO=A282)*(nASIG=B282)*(nNOTA))/D282,"—")</f>
        <v>—</v>
      </c>
      <c r="F282" s="10" t="str" cm="1">
        <f t="array" ref="F282">IFERROR(_xlfn.STDEV.P(_xlfn._xlws.FILTER(nNOTA,(nCUENTA=1)*(nCURSO=A282)*(nASIG=B282))),"—")</f>
        <v>—</v>
      </c>
      <c r="G282" t="str" cm="1">
        <f t="array" ref="G282">IFERROR(_xlfn.MODE.SNGL(_xlfn._xlws.FILTER(nNOTA,(nCUENTA=1)*(nCURSO=A282)*(nASIG=B282))),"—")</f>
        <v>—</v>
      </c>
      <c r="H282" s="11" t="str">
        <f>IFERROR(SUMPRODUCT((nCUENTA=1)*(nCURSO=A282)*(nASIG=B282)*(nAPTO="S"))/D282,"—")</f>
        <v>—</v>
      </c>
      <c r="I282" s="11" t="str">
        <f>IFERROR(SUMPRODUCT((nCUENTA=1)*(nCURSO=A282)*(nASIG=B282)*(nAPTO="N"))/D282,"—")</f>
        <v>—</v>
      </c>
      <c r="J282" t="str" cm="1">
        <f t="array" ref="J282">IFERROR(_xlfn.MODE.SNGL(_xlfn._xlws.FILTER(nNOTA,(nCUENTA=1)*(nCURSO=A282)*(nASIG=B282)*(nAPTO="S"))),"—")</f>
        <v>—</v>
      </c>
      <c r="K282" t="str" cm="1">
        <f t="array" ref="K282">IFERROR(_xlfn.MODE.SNGL(_xlfn._xlws.FILTER(nNOTA,(nCUENTA=1)*(nCURSO=A282)*(nASIG=B282)*(nAPTO="N"))),"—")</f>
        <v>—</v>
      </c>
      <c r="L282">
        <f>SUMPRODUCT((nCUENTA=1)*(nCURSO=A282)*(nASIG=B282)*(nNOTA=1))</f>
        <v>0</v>
      </c>
      <c r="M282">
        <f>SUMPRODUCT((nCUENTA=1)*(nCURSO=A282)*(nASIG=B282)*(nNOTA=2))</f>
        <v>0</v>
      </c>
      <c r="N282">
        <f>SUMPRODUCT((nCUENTA=1)*(nCURSO=A282)*(nASIG=B282)*(nNOTA=3))</f>
        <v>0</v>
      </c>
      <c r="O282">
        <f>SUMPRODUCT((nCUENTA=1)*(nCURSO=A282)*(nASIG=B282)*(nNOTA=4))</f>
        <v>0</v>
      </c>
      <c r="P282">
        <f>SUMPRODUCT((nCUENTA=1)*(nCURSO=A282)*(nASIG=B282)*(nNOTA=5))</f>
        <v>0</v>
      </c>
      <c r="Q282">
        <f>SUMPRODUCT((nCUENTA=1)*(nCURSO=A282)*(nASIG=B282)*(nNOTA=6))</f>
        <v>0</v>
      </c>
      <c r="R282">
        <f>SUMPRODUCT((nCUENTA=1)*(nCURSO=A282)*(nASIG=B282)*(nNOTA=7))</f>
        <v>0</v>
      </c>
      <c r="S282">
        <f>SUMPRODUCT((nCUENTA=1)*(nCURSO=A282)*(nASIG=B282)*(nNOTA=8))</f>
        <v>0</v>
      </c>
      <c r="T282">
        <f>SUMPRODUCT((nCUENTA=1)*(nCURSO=A282)*(nASIG=B282)*(nNOTA=9))</f>
        <v>0</v>
      </c>
      <c r="U282">
        <f>SUMPRODUCT((nCUENTA=1)*(nCURSO=A282)*(nASIG=B282)*(nNOTA=10))</f>
        <v>0</v>
      </c>
    </row>
    <row r="283">
      <c r="A283" t="inlineStr">
        <is>
          <t xml:space="preserve">4EPM</t>
        </is>
      </c>
      <c r="B283" cm="1">
        <f t="array" ref="B283">IFERROR(INDEX(_xlfn._xlws.FILTER(CONFIG_ASIGNATURAS!$B$2:$B$91,(CONFIG_ASIGNATURAS!$G$2:$G$91="Sí")*ISNUMBER(SEARCH("4EPM",CONFIG_ASIGNATURAS!$C$2:$C$91))),20),"")</f>
      </c>
      <c r="C283">
        <f>IF(B283="","",IFERROR(VLOOKUP(B283,CONFIG_ASIGNATURAS!$B$2:$D$91,3,FALSE()),"Asignatura"))</f>
      </c>
      <c r="D283">
        <f>SUMPRODUCT((nCUENTA=1)*(nCURSO=A283)*(nASIG=B283))</f>
        <v>0</v>
      </c>
      <c r="E283" s="10" t="str">
        <f>IFERROR(SUMPRODUCT((nCUENTA=1)*(nCURSO=A283)*(nASIG=B283)*(nNOTA))/D283,"—")</f>
        <v>—</v>
      </c>
      <c r="F283" s="10" t="str" cm="1">
        <f t="array" ref="F283">IFERROR(_xlfn.STDEV.P(_xlfn._xlws.FILTER(nNOTA,(nCUENTA=1)*(nCURSO=A283)*(nASIG=B283))),"—")</f>
        <v>—</v>
      </c>
      <c r="G283" t="str" cm="1">
        <f t="array" ref="G283">IFERROR(_xlfn.MODE.SNGL(_xlfn._xlws.FILTER(nNOTA,(nCUENTA=1)*(nCURSO=A283)*(nASIG=B283))),"—")</f>
        <v>—</v>
      </c>
      <c r="H283" s="11" t="str">
        <f>IFERROR(SUMPRODUCT((nCUENTA=1)*(nCURSO=A283)*(nASIG=B283)*(nAPTO="S"))/D283,"—")</f>
        <v>—</v>
      </c>
      <c r="I283" s="11" t="str">
        <f>IFERROR(SUMPRODUCT((nCUENTA=1)*(nCURSO=A283)*(nASIG=B283)*(nAPTO="N"))/D283,"—")</f>
        <v>—</v>
      </c>
      <c r="J283" t="str" cm="1">
        <f t="array" ref="J283">IFERROR(_xlfn.MODE.SNGL(_xlfn._xlws.FILTER(nNOTA,(nCUENTA=1)*(nCURSO=A283)*(nASIG=B283)*(nAPTO="S"))),"—")</f>
        <v>—</v>
      </c>
      <c r="K283" t="str" cm="1">
        <f t="array" ref="K283">IFERROR(_xlfn.MODE.SNGL(_xlfn._xlws.FILTER(nNOTA,(nCUENTA=1)*(nCURSO=A283)*(nASIG=B283)*(nAPTO="N"))),"—")</f>
        <v>—</v>
      </c>
      <c r="L283">
        <f>SUMPRODUCT((nCUENTA=1)*(nCURSO=A283)*(nASIG=B283)*(nNOTA=1))</f>
        <v>0</v>
      </c>
      <c r="M283">
        <f>SUMPRODUCT((nCUENTA=1)*(nCURSO=A283)*(nASIG=B283)*(nNOTA=2))</f>
        <v>0</v>
      </c>
      <c r="N283">
        <f>SUMPRODUCT((nCUENTA=1)*(nCURSO=A283)*(nASIG=B283)*(nNOTA=3))</f>
        <v>0</v>
      </c>
      <c r="O283">
        <f>SUMPRODUCT((nCUENTA=1)*(nCURSO=A283)*(nASIG=B283)*(nNOTA=4))</f>
        <v>0</v>
      </c>
      <c r="P283">
        <f>SUMPRODUCT((nCUENTA=1)*(nCURSO=A283)*(nASIG=B283)*(nNOTA=5))</f>
        <v>0</v>
      </c>
      <c r="Q283">
        <f>SUMPRODUCT((nCUENTA=1)*(nCURSO=A283)*(nASIG=B283)*(nNOTA=6))</f>
        <v>0</v>
      </c>
      <c r="R283">
        <f>SUMPRODUCT((nCUENTA=1)*(nCURSO=A283)*(nASIG=B283)*(nNOTA=7))</f>
        <v>0</v>
      </c>
      <c r="S283">
        <f>SUMPRODUCT((nCUENTA=1)*(nCURSO=A283)*(nASIG=B283)*(nNOTA=8))</f>
        <v>0</v>
      </c>
      <c r="T283">
        <f>SUMPRODUCT((nCUENTA=1)*(nCURSO=A283)*(nASIG=B283)*(nNOTA=9))</f>
        <v>0</v>
      </c>
      <c r="U283">
        <f>SUMPRODUCT((nCUENTA=1)*(nCURSO=A283)*(nASIG=B283)*(nNOTA=10))</f>
        <v>0</v>
      </c>
    </row>
    <row r="284">
      <c r="A284" t="inlineStr">
        <is>
          <t xml:space="preserve">4EPM</t>
        </is>
      </c>
      <c r="B284" cm="1">
        <f t="array" ref="B284">IFERROR(INDEX(_xlfn._xlws.FILTER(CONFIG_ASIGNATURAS!$B$2:$B$91,(CONFIG_ASIGNATURAS!$G$2:$G$91="Sí")*ISNUMBER(SEARCH("4EPM",CONFIG_ASIGNATURAS!$C$2:$C$91))),21),"")</f>
      </c>
      <c r="C284">
        <f>IF(B284="","",IFERROR(VLOOKUP(B284,CONFIG_ASIGNATURAS!$B$2:$D$91,3,FALSE()),"Asignatura"))</f>
      </c>
      <c r="D284">
        <f>SUMPRODUCT((nCUENTA=1)*(nCURSO=A284)*(nASIG=B284))</f>
        <v>0</v>
      </c>
      <c r="E284" s="10" t="str">
        <f>IFERROR(SUMPRODUCT((nCUENTA=1)*(nCURSO=A284)*(nASIG=B284)*(nNOTA))/D284,"—")</f>
        <v>—</v>
      </c>
      <c r="F284" s="10" t="str" cm="1">
        <f t="array" ref="F284">IFERROR(_xlfn.STDEV.P(_xlfn._xlws.FILTER(nNOTA,(nCUENTA=1)*(nCURSO=A284)*(nASIG=B284))),"—")</f>
        <v>—</v>
      </c>
      <c r="G284" t="str" cm="1">
        <f t="array" ref="G284">IFERROR(_xlfn.MODE.SNGL(_xlfn._xlws.FILTER(nNOTA,(nCUENTA=1)*(nCURSO=A284)*(nASIG=B284))),"—")</f>
        <v>—</v>
      </c>
      <c r="H284" s="11" t="str">
        <f>IFERROR(SUMPRODUCT((nCUENTA=1)*(nCURSO=A284)*(nASIG=B284)*(nAPTO="S"))/D284,"—")</f>
        <v>—</v>
      </c>
      <c r="I284" s="11" t="str">
        <f>IFERROR(SUMPRODUCT((nCUENTA=1)*(nCURSO=A284)*(nASIG=B284)*(nAPTO="N"))/D284,"—")</f>
        <v>—</v>
      </c>
      <c r="J284" t="str" cm="1">
        <f t="array" ref="J284">IFERROR(_xlfn.MODE.SNGL(_xlfn._xlws.FILTER(nNOTA,(nCUENTA=1)*(nCURSO=A284)*(nASIG=B284)*(nAPTO="S"))),"—")</f>
        <v>—</v>
      </c>
      <c r="K284" t="str" cm="1">
        <f t="array" ref="K284">IFERROR(_xlfn.MODE.SNGL(_xlfn._xlws.FILTER(nNOTA,(nCUENTA=1)*(nCURSO=A284)*(nASIG=B284)*(nAPTO="N"))),"—")</f>
        <v>—</v>
      </c>
      <c r="L284">
        <f>SUMPRODUCT((nCUENTA=1)*(nCURSO=A284)*(nASIG=B284)*(nNOTA=1))</f>
        <v>0</v>
      </c>
      <c r="M284">
        <f>SUMPRODUCT((nCUENTA=1)*(nCURSO=A284)*(nASIG=B284)*(nNOTA=2))</f>
        <v>0</v>
      </c>
      <c r="N284">
        <f>SUMPRODUCT((nCUENTA=1)*(nCURSO=A284)*(nASIG=B284)*(nNOTA=3))</f>
        <v>0</v>
      </c>
      <c r="O284">
        <f>SUMPRODUCT((nCUENTA=1)*(nCURSO=A284)*(nASIG=B284)*(nNOTA=4))</f>
        <v>0</v>
      </c>
      <c r="P284">
        <f>SUMPRODUCT((nCUENTA=1)*(nCURSO=A284)*(nASIG=B284)*(nNOTA=5))</f>
        <v>0</v>
      </c>
      <c r="Q284">
        <f>SUMPRODUCT((nCUENTA=1)*(nCURSO=A284)*(nASIG=B284)*(nNOTA=6))</f>
        <v>0</v>
      </c>
      <c r="R284">
        <f>SUMPRODUCT((nCUENTA=1)*(nCURSO=A284)*(nASIG=B284)*(nNOTA=7))</f>
        <v>0</v>
      </c>
      <c r="S284">
        <f>SUMPRODUCT((nCUENTA=1)*(nCURSO=A284)*(nASIG=B284)*(nNOTA=8))</f>
        <v>0</v>
      </c>
      <c r="T284">
        <f>SUMPRODUCT((nCUENTA=1)*(nCURSO=A284)*(nASIG=B284)*(nNOTA=9))</f>
        <v>0</v>
      </c>
      <c r="U284">
        <f>SUMPRODUCT((nCUENTA=1)*(nCURSO=A284)*(nASIG=B284)*(nNOTA=10))</f>
        <v>0</v>
      </c>
    </row>
    <row r="285">
      <c r="A285" t="inlineStr">
        <is>
          <t xml:space="preserve">4EPM</t>
        </is>
      </c>
      <c r="B285" cm="1">
        <f t="array" ref="B285">IFERROR(INDEX(_xlfn._xlws.FILTER(CONFIG_ASIGNATURAS!$B$2:$B$91,(CONFIG_ASIGNATURAS!$G$2:$G$91="Sí")*ISNUMBER(SEARCH("4EPM",CONFIG_ASIGNATURAS!$C$2:$C$91))),22),"")</f>
      </c>
      <c r="C285">
        <f>IF(B285="","",IFERROR(VLOOKUP(B285,CONFIG_ASIGNATURAS!$B$2:$D$91,3,FALSE()),"Asignatura"))</f>
      </c>
      <c r="D285">
        <f>SUMPRODUCT((nCUENTA=1)*(nCURSO=A285)*(nASIG=B285))</f>
        <v>0</v>
      </c>
      <c r="E285" s="10" t="str">
        <f>IFERROR(SUMPRODUCT((nCUENTA=1)*(nCURSO=A285)*(nASIG=B285)*(nNOTA))/D285,"—")</f>
        <v>—</v>
      </c>
      <c r="F285" s="10" t="str" cm="1">
        <f t="array" ref="F285">IFERROR(_xlfn.STDEV.P(_xlfn._xlws.FILTER(nNOTA,(nCUENTA=1)*(nCURSO=A285)*(nASIG=B285))),"—")</f>
        <v>—</v>
      </c>
      <c r="G285" t="str" cm="1">
        <f t="array" ref="G285">IFERROR(_xlfn.MODE.SNGL(_xlfn._xlws.FILTER(nNOTA,(nCUENTA=1)*(nCURSO=A285)*(nASIG=B285))),"—")</f>
        <v>—</v>
      </c>
      <c r="H285" s="11" t="str">
        <f>IFERROR(SUMPRODUCT((nCUENTA=1)*(nCURSO=A285)*(nASIG=B285)*(nAPTO="S"))/D285,"—")</f>
        <v>—</v>
      </c>
      <c r="I285" s="11" t="str">
        <f>IFERROR(SUMPRODUCT((nCUENTA=1)*(nCURSO=A285)*(nASIG=B285)*(nAPTO="N"))/D285,"—")</f>
        <v>—</v>
      </c>
      <c r="J285" t="str" cm="1">
        <f t="array" ref="J285">IFERROR(_xlfn.MODE.SNGL(_xlfn._xlws.FILTER(nNOTA,(nCUENTA=1)*(nCURSO=A285)*(nASIG=B285)*(nAPTO="S"))),"—")</f>
        <v>—</v>
      </c>
      <c r="K285" t="str" cm="1">
        <f t="array" ref="K285">IFERROR(_xlfn.MODE.SNGL(_xlfn._xlws.FILTER(nNOTA,(nCUENTA=1)*(nCURSO=A285)*(nASIG=B285)*(nAPTO="N"))),"—")</f>
        <v>—</v>
      </c>
      <c r="L285">
        <f>SUMPRODUCT((nCUENTA=1)*(nCURSO=A285)*(nASIG=B285)*(nNOTA=1))</f>
        <v>0</v>
      </c>
      <c r="M285">
        <f>SUMPRODUCT((nCUENTA=1)*(nCURSO=A285)*(nASIG=B285)*(nNOTA=2))</f>
        <v>0</v>
      </c>
      <c r="N285">
        <f>SUMPRODUCT((nCUENTA=1)*(nCURSO=A285)*(nASIG=B285)*(nNOTA=3))</f>
        <v>0</v>
      </c>
      <c r="O285">
        <f>SUMPRODUCT((nCUENTA=1)*(nCURSO=A285)*(nASIG=B285)*(nNOTA=4))</f>
        <v>0</v>
      </c>
      <c r="P285">
        <f>SUMPRODUCT((nCUENTA=1)*(nCURSO=A285)*(nASIG=B285)*(nNOTA=5))</f>
        <v>0</v>
      </c>
      <c r="Q285">
        <f>SUMPRODUCT((nCUENTA=1)*(nCURSO=A285)*(nASIG=B285)*(nNOTA=6))</f>
        <v>0</v>
      </c>
      <c r="R285">
        <f>SUMPRODUCT((nCUENTA=1)*(nCURSO=A285)*(nASIG=B285)*(nNOTA=7))</f>
        <v>0</v>
      </c>
      <c r="S285">
        <f>SUMPRODUCT((nCUENTA=1)*(nCURSO=A285)*(nASIG=B285)*(nNOTA=8))</f>
        <v>0</v>
      </c>
      <c r="T285">
        <f>SUMPRODUCT((nCUENTA=1)*(nCURSO=A285)*(nASIG=B285)*(nNOTA=9))</f>
        <v>0</v>
      </c>
      <c r="U285">
        <f>SUMPRODUCT((nCUENTA=1)*(nCURSO=A285)*(nASIG=B285)*(nNOTA=10))</f>
        <v>0</v>
      </c>
    </row>
    <row r="286">
      <c r="A286" t="inlineStr">
        <is>
          <t xml:space="preserve">4EPM</t>
        </is>
      </c>
      <c r="B286" cm="1">
        <f t="array" ref="B286">IFERROR(INDEX(_xlfn._xlws.FILTER(CONFIG_ASIGNATURAS!$B$2:$B$91,(CONFIG_ASIGNATURAS!$G$2:$G$91="Sí")*ISNUMBER(SEARCH("4EPM",CONFIG_ASIGNATURAS!$C$2:$C$91))),23),"")</f>
      </c>
      <c r="C286">
        <f>IF(B286="","",IFERROR(VLOOKUP(B286,CONFIG_ASIGNATURAS!$B$2:$D$91,3,FALSE()),"Asignatura"))</f>
      </c>
      <c r="D286">
        <f>SUMPRODUCT((nCUENTA=1)*(nCURSO=A286)*(nASIG=B286))</f>
        <v>0</v>
      </c>
      <c r="E286" s="10" t="str">
        <f>IFERROR(SUMPRODUCT((nCUENTA=1)*(nCURSO=A286)*(nASIG=B286)*(nNOTA))/D286,"—")</f>
        <v>—</v>
      </c>
      <c r="F286" s="10" t="str" cm="1">
        <f t="array" ref="F286">IFERROR(_xlfn.STDEV.P(_xlfn._xlws.FILTER(nNOTA,(nCUENTA=1)*(nCURSO=A286)*(nASIG=B286))),"—")</f>
        <v>—</v>
      </c>
      <c r="G286" t="str" cm="1">
        <f t="array" ref="G286">IFERROR(_xlfn.MODE.SNGL(_xlfn._xlws.FILTER(nNOTA,(nCUENTA=1)*(nCURSO=A286)*(nASIG=B286))),"—")</f>
        <v>—</v>
      </c>
      <c r="H286" s="11" t="str">
        <f>IFERROR(SUMPRODUCT((nCUENTA=1)*(nCURSO=A286)*(nASIG=B286)*(nAPTO="S"))/D286,"—")</f>
        <v>—</v>
      </c>
      <c r="I286" s="11" t="str">
        <f>IFERROR(SUMPRODUCT((nCUENTA=1)*(nCURSO=A286)*(nASIG=B286)*(nAPTO="N"))/D286,"—")</f>
        <v>—</v>
      </c>
      <c r="J286" t="str" cm="1">
        <f t="array" ref="J286">IFERROR(_xlfn.MODE.SNGL(_xlfn._xlws.FILTER(nNOTA,(nCUENTA=1)*(nCURSO=A286)*(nASIG=B286)*(nAPTO="S"))),"—")</f>
        <v>—</v>
      </c>
      <c r="K286" t="str" cm="1">
        <f t="array" ref="K286">IFERROR(_xlfn.MODE.SNGL(_xlfn._xlws.FILTER(nNOTA,(nCUENTA=1)*(nCURSO=A286)*(nASIG=B286)*(nAPTO="N"))),"—")</f>
        <v>—</v>
      </c>
      <c r="L286">
        <f>SUMPRODUCT((nCUENTA=1)*(nCURSO=A286)*(nASIG=B286)*(nNOTA=1))</f>
        <v>0</v>
      </c>
      <c r="M286">
        <f>SUMPRODUCT((nCUENTA=1)*(nCURSO=A286)*(nASIG=B286)*(nNOTA=2))</f>
        <v>0</v>
      </c>
      <c r="N286">
        <f>SUMPRODUCT((nCUENTA=1)*(nCURSO=A286)*(nASIG=B286)*(nNOTA=3))</f>
        <v>0</v>
      </c>
      <c r="O286">
        <f>SUMPRODUCT((nCUENTA=1)*(nCURSO=A286)*(nASIG=B286)*(nNOTA=4))</f>
        <v>0</v>
      </c>
      <c r="P286">
        <f>SUMPRODUCT((nCUENTA=1)*(nCURSO=A286)*(nASIG=B286)*(nNOTA=5))</f>
        <v>0</v>
      </c>
      <c r="Q286">
        <f>SUMPRODUCT((nCUENTA=1)*(nCURSO=A286)*(nASIG=B286)*(nNOTA=6))</f>
        <v>0</v>
      </c>
      <c r="R286">
        <f>SUMPRODUCT((nCUENTA=1)*(nCURSO=A286)*(nASIG=B286)*(nNOTA=7))</f>
        <v>0</v>
      </c>
      <c r="S286">
        <f>SUMPRODUCT((nCUENTA=1)*(nCURSO=A286)*(nASIG=B286)*(nNOTA=8))</f>
        <v>0</v>
      </c>
      <c r="T286">
        <f>SUMPRODUCT((nCUENTA=1)*(nCURSO=A286)*(nASIG=B286)*(nNOTA=9))</f>
        <v>0</v>
      </c>
      <c r="U286">
        <f>SUMPRODUCT((nCUENTA=1)*(nCURSO=A286)*(nASIG=B286)*(nNOTA=10))</f>
        <v>0</v>
      </c>
    </row>
    <row r="287">
      <c r="A287" t="inlineStr">
        <is>
          <t xml:space="preserve">4EPM</t>
        </is>
      </c>
      <c r="B287" cm="1">
        <f t="array" ref="B287">IFERROR(INDEX(_xlfn._xlws.FILTER(CONFIG_ASIGNATURAS!$B$2:$B$91,(CONFIG_ASIGNATURAS!$G$2:$G$91="Sí")*ISNUMBER(SEARCH("4EPM",CONFIG_ASIGNATURAS!$C$2:$C$91))),24),"")</f>
      </c>
      <c r="C287">
        <f>IF(B287="","",IFERROR(VLOOKUP(B287,CONFIG_ASIGNATURAS!$B$2:$D$91,3,FALSE()),"Asignatura"))</f>
      </c>
      <c r="D287">
        <f>SUMPRODUCT((nCUENTA=1)*(nCURSO=A287)*(nASIG=B287))</f>
        <v>0</v>
      </c>
      <c r="E287" s="10" t="str">
        <f>IFERROR(SUMPRODUCT((nCUENTA=1)*(nCURSO=A287)*(nASIG=B287)*(nNOTA))/D287,"—")</f>
        <v>—</v>
      </c>
      <c r="F287" s="10" t="str" cm="1">
        <f t="array" ref="F287">IFERROR(_xlfn.STDEV.P(_xlfn._xlws.FILTER(nNOTA,(nCUENTA=1)*(nCURSO=A287)*(nASIG=B287))),"—")</f>
        <v>—</v>
      </c>
      <c r="G287" t="str" cm="1">
        <f t="array" ref="G287">IFERROR(_xlfn.MODE.SNGL(_xlfn._xlws.FILTER(nNOTA,(nCUENTA=1)*(nCURSO=A287)*(nASIG=B287))),"—")</f>
        <v>—</v>
      </c>
      <c r="H287" s="11" t="str">
        <f>IFERROR(SUMPRODUCT((nCUENTA=1)*(nCURSO=A287)*(nASIG=B287)*(nAPTO="S"))/D287,"—")</f>
        <v>—</v>
      </c>
      <c r="I287" s="11" t="str">
        <f>IFERROR(SUMPRODUCT((nCUENTA=1)*(nCURSO=A287)*(nASIG=B287)*(nAPTO="N"))/D287,"—")</f>
        <v>—</v>
      </c>
      <c r="J287" t="str" cm="1">
        <f t="array" ref="J287">IFERROR(_xlfn.MODE.SNGL(_xlfn._xlws.FILTER(nNOTA,(nCUENTA=1)*(nCURSO=A287)*(nASIG=B287)*(nAPTO="S"))),"—")</f>
        <v>—</v>
      </c>
      <c r="K287" t="str" cm="1">
        <f t="array" ref="K287">IFERROR(_xlfn.MODE.SNGL(_xlfn._xlws.FILTER(nNOTA,(nCUENTA=1)*(nCURSO=A287)*(nASIG=B287)*(nAPTO="N"))),"—")</f>
        <v>—</v>
      </c>
      <c r="L287">
        <f>SUMPRODUCT((nCUENTA=1)*(nCURSO=A287)*(nASIG=B287)*(nNOTA=1))</f>
        <v>0</v>
      </c>
      <c r="M287">
        <f>SUMPRODUCT((nCUENTA=1)*(nCURSO=A287)*(nASIG=B287)*(nNOTA=2))</f>
        <v>0</v>
      </c>
      <c r="N287">
        <f>SUMPRODUCT((nCUENTA=1)*(nCURSO=A287)*(nASIG=B287)*(nNOTA=3))</f>
        <v>0</v>
      </c>
      <c r="O287">
        <f>SUMPRODUCT((nCUENTA=1)*(nCURSO=A287)*(nASIG=B287)*(nNOTA=4))</f>
        <v>0</v>
      </c>
      <c r="P287">
        <f>SUMPRODUCT((nCUENTA=1)*(nCURSO=A287)*(nASIG=B287)*(nNOTA=5))</f>
        <v>0</v>
      </c>
      <c r="Q287">
        <f>SUMPRODUCT((nCUENTA=1)*(nCURSO=A287)*(nASIG=B287)*(nNOTA=6))</f>
        <v>0</v>
      </c>
      <c r="R287">
        <f>SUMPRODUCT((nCUENTA=1)*(nCURSO=A287)*(nASIG=B287)*(nNOTA=7))</f>
        <v>0</v>
      </c>
      <c r="S287">
        <f>SUMPRODUCT((nCUENTA=1)*(nCURSO=A287)*(nASIG=B287)*(nNOTA=8))</f>
        <v>0</v>
      </c>
      <c r="T287">
        <f>SUMPRODUCT((nCUENTA=1)*(nCURSO=A287)*(nASIG=B287)*(nNOTA=9))</f>
        <v>0</v>
      </c>
      <c r="U287">
        <f>SUMPRODUCT((nCUENTA=1)*(nCURSO=A287)*(nASIG=B287)*(nNOTA=10))</f>
        <v>0</v>
      </c>
    </row>
    <row r="288">
      <c r="A288" t="inlineStr">
        <is>
          <t xml:space="preserve">4EPM</t>
        </is>
      </c>
      <c r="B288" cm="1">
        <f t="array" ref="B288">IFERROR(INDEX(_xlfn._xlws.FILTER(CONFIG_ASIGNATURAS!$B$2:$B$91,(CONFIG_ASIGNATURAS!$G$2:$G$91="Sí")*ISNUMBER(SEARCH("4EPM",CONFIG_ASIGNATURAS!$C$2:$C$91))),25),"")</f>
      </c>
      <c r="C288">
        <f>IF(B288="","",IFERROR(VLOOKUP(B288,CONFIG_ASIGNATURAS!$B$2:$D$91,3,FALSE()),"Asignatura"))</f>
      </c>
      <c r="D288">
        <f>SUMPRODUCT((nCUENTA=1)*(nCURSO=A288)*(nASIG=B288))</f>
        <v>0</v>
      </c>
      <c r="E288" s="10" t="str">
        <f>IFERROR(SUMPRODUCT((nCUENTA=1)*(nCURSO=A288)*(nASIG=B288)*(nNOTA))/D288,"—")</f>
        <v>—</v>
      </c>
      <c r="F288" s="10" t="str" cm="1">
        <f t="array" ref="F288">IFERROR(_xlfn.STDEV.P(_xlfn._xlws.FILTER(nNOTA,(nCUENTA=1)*(nCURSO=A288)*(nASIG=B288))),"—")</f>
        <v>—</v>
      </c>
      <c r="G288" t="str" cm="1">
        <f t="array" ref="G288">IFERROR(_xlfn.MODE.SNGL(_xlfn._xlws.FILTER(nNOTA,(nCUENTA=1)*(nCURSO=A288)*(nASIG=B288))),"—")</f>
        <v>—</v>
      </c>
      <c r="H288" s="11" t="str">
        <f>IFERROR(SUMPRODUCT((nCUENTA=1)*(nCURSO=A288)*(nASIG=B288)*(nAPTO="S"))/D288,"—")</f>
        <v>—</v>
      </c>
      <c r="I288" s="11" t="str">
        <f>IFERROR(SUMPRODUCT((nCUENTA=1)*(nCURSO=A288)*(nASIG=B288)*(nAPTO="N"))/D288,"—")</f>
        <v>—</v>
      </c>
      <c r="J288" t="str" cm="1">
        <f t="array" ref="J288">IFERROR(_xlfn.MODE.SNGL(_xlfn._xlws.FILTER(nNOTA,(nCUENTA=1)*(nCURSO=A288)*(nASIG=B288)*(nAPTO="S"))),"—")</f>
        <v>—</v>
      </c>
      <c r="K288" t="str" cm="1">
        <f t="array" ref="K288">IFERROR(_xlfn.MODE.SNGL(_xlfn._xlws.FILTER(nNOTA,(nCUENTA=1)*(nCURSO=A288)*(nASIG=B288)*(nAPTO="N"))),"—")</f>
        <v>—</v>
      </c>
      <c r="L288">
        <f>SUMPRODUCT((nCUENTA=1)*(nCURSO=A288)*(nASIG=B288)*(nNOTA=1))</f>
        <v>0</v>
      </c>
      <c r="M288">
        <f>SUMPRODUCT((nCUENTA=1)*(nCURSO=A288)*(nASIG=B288)*(nNOTA=2))</f>
        <v>0</v>
      </c>
      <c r="N288">
        <f>SUMPRODUCT((nCUENTA=1)*(nCURSO=A288)*(nASIG=B288)*(nNOTA=3))</f>
        <v>0</v>
      </c>
      <c r="O288">
        <f>SUMPRODUCT((nCUENTA=1)*(nCURSO=A288)*(nASIG=B288)*(nNOTA=4))</f>
        <v>0</v>
      </c>
      <c r="P288">
        <f>SUMPRODUCT((nCUENTA=1)*(nCURSO=A288)*(nASIG=B288)*(nNOTA=5))</f>
        <v>0</v>
      </c>
      <c r="Q288">
        <f>SUMPRODUCT((nCUENTA=1)*(nCURSO=A288)*(nASIG=B288)*(nNOTA=6))</f>
        <v>0</v>
      </c>
      <c r="R288">
        <f>SUMPRODUCT((nCUENTA=1)*(nCURSO=A288)*(nASIG=B288)*(nNOTA=7))</f>
        <v>0</v>
      </c>
      <c r="S288">
        <f>SUMPRODUCT((nCUENTA=1)*(nCURSO=A288)*(nASIG=B288)*(nNOTA=8))</f>
        <v>0</v>
      </c>
      <c r="T288">
        <f>SUMPRODUCT((nCUENTA=1)*(nCURSO=A288)*(nASIG=B288)*(nNOTA=9))</f>
        <v>0</v>
      </c>
      <c r="U288">
        <f>SUMPRODUCT((nCUENTA=1)*(nCURSO=A288)*(nASIG=B288)*(nNOTA=10))</f>
        <v>0</v>
      </c>
    </row>
    <row r="289">
      <c r="A289" t="inlineStr">
        <is>
          <t xml:space="preserve">4EPM</t>
        </is>
      </c>
      <c r="B289" cm="1">
        <f t="array" ref="B289">IFERROR(INDEX(_xlfn._xlws.FILTER(CONFIG_ASIGNATURAS!$B$2:$B$91,(CONFIG_ASIGNATURAS!$G$2:$G$91="Sí")*ISNUMBER(SEARCH("4EPM",CONFIG_ASIGNATURAS!$C$2:$C$91))),26),"")</f>
      </c>
      <c r="C289">
        <f>IF(B289="","",IFERROR(VLOOKUP(B289,CONFIG_ASIGNATURAS!$B$2:$D$91,3,FALSE()),"Asignatura"))</f>
      </c>
      <c r="D289">
        <f>SUMPRODUCT((nCUENTA=1)*(nCURSO=A289)*(nASIG=B289))</f>
        <v>0</v>
      </c>
      <c r="E289" s="10" t="str">
        <f>IFERROR(SUMPRODUCT((nCUENTA=1)*(nCURSO=A289)*(nASIG=B289)*(nNOTA))/D289,"—")</f>
        <v>—</v>
      </c>
      <c r="F289" s="10" t="str" cm="1">
        <f t="array" ref="F289">IFERROR(_xlfn.STDEV.P(_xlfn._xlws.FILTER(nNOTA,(nCUENTA=1)*(nCURSO=A289)*(nASIG=B289))),"—")</f>
        <v>—</v>
      </c>
      <c r="G289" t="str" cm="1">
        <f t="array" ref="G289">IFERROR(_xlfn.MODE.SNGL(_xlfn._xlws.FILTER(nNOTA,(nCUENTA=1)*(nCURSO=A289)*(nASIG=B289))),"—")</f>
        <v>—</v>
      </c>
      <c r="H289" s="11" t="str">
        <f>IFERROR(SUMPRODUCT((nCUENTA=1)*(nCURSO=A289)*(nASIG=B289)*(nAPTO="S"))/D289,"—")</f>
        <v>—</v>
      </c>
      <c r="I289" s="11" t="str">
        <f>IFERROR(SUMPRODUCT((nCUENTA=1)*(nCURSO=A289)*(nASIG=B289)*(nAPTO="N"))/D289,"—")</f>
        <v>—</v>
      </c>
      <c r="J289" t="str" cm="1">
        <f t="array" ref="J289">IFERROR(_xlfn.MODE.SNGL(_xlfn._xlws.FILTER(nNOTA,(nCUENTA=1)*(nCURSO=A289)*(nASIG=B289)*(nAPTO="S"))),"—")</f>
        <v>—</v>
      </c>
      <c r="K289" t="str" cm="1">
        <f t="array" ref="K289">IFERROR(_xlfn.MODE.SNGL(_xlfn._xlws.FILTER(nNOTA,(nCUENTA=1)*(nCURSO=A289)*(nASIG=B289)*(nAPTO="N"))),"—")</f>
        <v>—</v>
      </c>
      <c r="L289">
        <f>SUMPRODUCT((nCUENTA=1)*(nCURSO=A289)*(nASIG=B289)*(nNOTA=1))</f>
        <v>0</v>
      </c>
      <c r="M289">
        <f>SUMPRODUCT((nCUENTA=1)*(nCURSO=A289)*(nASIG=B289)*(nNOTA=2))</f>
        <v>0</v>
      </c>
      <c r="N289">
        <f>SUMPRODUCT((nCUENTA=1)*(nCURSO=A289)*(nASIG=B289)*(nNOTA=3))</f>
        <v>0</v>
      </c>
      <c r="O289">
        <f>SUMPRODUCT((nCUENTA=1)*(nCURSO=A289)*(nASIG=B289)*(nNOTA=4))</f>
        <v>0</v>
      </c>
      <c r="P289">
        <f>SUMPRODUCT((nCUENTA=1)*(nCURSO=A289)*(nASIG=B289)*(nNOTA=5))</f>
        <v>0</v>
      </c>
      <c r="Q289">
        <f>SUMPRODUCT((nCUENTA=1)*(nCURSO=A289)*(nASIG=B289)*(nNOTA=6))</f>
        <v>0</v>
      </c>
      <c r="R289">
        <f>SUMPRODUCT((nCUENTA=1)*(nCURSO=A289)*(nASIG=B289)*(nNOTA=7))</f>
        <v>0</v>
      </c>
      <c r="S289">
        <f>SUMPRODUCT((nCUENTA=1)*(nCURSO=A289)*(nASIG=B289)*(nNOTA=8))</f>
        <v>0</v>
      </c>
      <c r="T289">
        <f>SUMPRODUCT((nCUENTA=1)*(nCURSO=A289)*(nASIG=B289)*(nNOTA=9))</f>
        <v>0</v>
      </c>
      <c r="U289">
        <f>SUMPRODUCT((nCUENTA=1)*(nCURSO=A289)*(nASIG=B289)*(nNOTA=10))</f>
        <v>0</v>
      </c>
    </row>
    <row r="290">
      <c r="A290" t="inlineStr">
        <is>
          <t xml:space="preserve">4EPM</t>
        </is>
      </c>
      <c r="B290" cm="1">
        <f t="array" ref="B290">IFERROR(INDEX(_xlfn._xlws.FILTER(CONFIG_ASIGNATURAS!$B$2:$B$91,(CONFIG_ASIGNATURAS!$G$2:$G$91="Sí")*ISNUMBER(SEARCH("4EPM",CONFIG_ASIGNATURAS!$C$2:$C$91))),27),"")</f>
      </c>
      <c r="C290">
        <f>IF(B290="","",IFERROR(VLOOKUP(B290,CONFIG_ASIGNATURAS!$B$2:$D$91,3,FALSE()),"Asignatura"))</f>
      </c>
      <c r="D290">
        <f>SUMPRODUCT((nCUENTA=1)*(nCURSO=A290)*(nASIG=B290))</f>
        <v>0</v>
      </c>
      <c r="E290" s="10" t="str">
        <f>IFERROR(SUMPRODUCT((nCUENTA=1)*(nCURSO=A290)*(nASIG=B290)*(nNOTA))/D290,"—")</f>
        <v>—</v>
      </c>
      <c r="F290" s="10" t="str" cm="1">
        <f t="array" ref="F290">IFERROR(_xlfn.STDEV.P(_xlfn._xlws.FILTER(nNOTA,(nCUENTA=1)*(nCURSO=A290)*(nASIG=B290))),"—")</f>
        <v>—</v>
      </c>
      <c r="G290" t="str" cm="1">
        <f t="array" ref="G290">IFERROR(_xlfn.MODE.SNGL(_xlfn._xlws.FILTER(nNOTA,(nCUENTA=1)*(nCURSO=A290)*(nASIG=B290))),"—")</f>
        <v>—</v>
      </c>
      <c r="H290" s="11" t="str">
        <f>IFERROR(SUMPRODUCT((nCUENTA=1)*(nCURSO=A290)*(nASIG=B290)*(nAPTO="S"))/D290,"—")</f>
        <v>—</v>
      </c>
      <c r="I290" s="11" t="str">
        <f>IFERROR(SUMPRODUCT((nCUENTA=1)*(nCURSO=A290)*(nASIG=B290)*(nAPTO="N"))/D290,"—")</f>
        <v>—</v>
      </c>
      <c r="J290" t="str" cm="1">
        <f t="array" ref="J290">IFERROR(_xlfn.MODE.SNGL(_xlfn._xlws.FILTER(nNOTA,(nCUENTA=1)*(nCURSO=A290)*(nASIG=B290)*(nAPTO="S"))),"—")</f>
        <v>—</v>
      </c>
      <c r="K290" t="str" cm="1">
        <f t="array" ref="K290">IFERROR(_xlfn.MODE.SNGL(_xlfn._xlws.FILTER(nNOTA,(nCUENTA=1)*(nCURSO=A290)*(nASIG=B290)*(nAPTO="N"))),"—")</f>
        <v>—</v>
      </c>
      <c r="L290">
        <f>SUMPRODUCT((nCUENTA=1)*(nCURSO=A290)*(nASIG=B290)*(nNOTA=1))</f>
        <v>0</v>
      </c>
      <c r="M290">
        <f>SUMPRODUCT((nCUENTA=1)*(nCURSO=A290)*(nASIG=B290)*(nNOTA=2))</f>
        <v>0</v>
      </c>
      <c r="N290">
        <f>SUMPRODUCT((nCUENTA=1)*(nCURSO=A290)*(nASIG=B290)*(nNOTA=3))</f>
        <v>0</v>
      </c>
      <c r="O290">
        <f>SUMPRODUCT((nCUENTA=1)*(nCURSO=A290)*(nASIG=B290)*(nNOTA=4))</f>
        <v>0</v>
      </c>
      <c r="P290">
        <f>SUMPRODUCT((nCUENTA=1)*(nCURSO=A290)*(nASIG=B290)*(nNOTA=5))</f>
        <v>0</v>
      </c>
      <c r="Q290">
        <f>SUMPRODUCT((nCUENTA=1)*(nCURSO=A290)*(nASIG=B290)*(nNOTA=6))</f>
        <v>0</v>
      </c>
      <c r="R290">
        <f>SUMPRODUCT((nCUENTA=1)*(nCURSO=A290)*(nASIG=B290)*(nNOTA=7))</f>
        <v>0</v>
      </c>
      <c r="S290">
        <f>SUMPRODUCT((nCUENTA=1)*(nCURSO=A290)*(nASIG=B290)*(nNOTA=8))</f>
        <v>0</v>
      </c>
      <c r="T290">
        <f>SUMPRODUCT((nCUENTA=1)*(nCURSO=A290)*(nASIG=B290)*(nNOTA=9))</f>
        <v>0</v>
      </c>
      <c r="U290">
        <f>SUMPRODUCT((nCUENTA=1)*(nCURSO=A290)*(nASIG=B290)*(nNOTA=10))</f>
        <v>0</v>
      </c>
    </row>
    <row r="291">
      <c r="A291" t="inlineStr">
        <is>
          <t xml:space="preserve">4EPM</t>
        </is>
      </c>
      <c r="B291" cm="1">
        <f t="array" ref="B291">IFERROR(INDEX(_xlfn._xlws.FILTER(CONFIG_ASIGNATURAS!$B$2:$B$91,(CONFIG_ASIGNATURAS!$G$2:$G$91="Sí")*ISNUMBER(SEARCH("4EPM",CONFIG_ASIGNATURAS!$C$2:$C$91))),28),"")</f>
      </c>
      <c r="C291">
        <f>IF(B291="","",IFERROR(VLOOKUP(B291,CONFIG_ASIGNATURAS!$B$2:$D$91,3,FALSE()),"Asignatura"))</f>
      </c>
      <c r="D291">
        <f>SUMPRODUCT((nCUENTA=1)*(nCURSO=A291)*(nASIG=B291))</f>
        <v>0</v>
      </c>
      <c r="E291" s="10" t="str">
        <f>IFERROR(SUMPRODUCT((nCUENTA=1)*(nCURSO=A291)*(nASIG=B291)*(nNOTA))/D291,"—")</f>
        <v>—</v>
      </c>
      <c r="F291" s="10" t="str" cm="1">
        <f t="array" ref="F291">IFERROR(_xlfn.STDEV.P(_xlfn._xlws.FILTER(nNOTA,(nCUENTA=1)*(nCURSO=A291)*(nASIG=B291))),"—")</f>
        <v>—</v>
      </c>
      <c r="G291" t="str" cm="1">
        <f t="array" ref="G291">IFERROR(_xlfn.MODE.SNGL(_xlfn._xlws.FILTER(nNOTA,(nCUENTA=1)*(nCURSO=A291)*(nASIG=B291))),"—")</f>
        <v>—</v>
      </c>
      <c r="H291" s="11" t="str">
        <f>IFERROR(SUMPRODUCT((nCUENTA=1)*(nCURSO=A291)*(nASIG=B291)*(nAPTO="S"))/D291,"—")</f>
        <v>—</v>
      </c>
      <c r="I291" s="11" t="str">
        <f>IFERROR(SUMPRODUCT((nCUENTA=1)*(nCURSO=A291)*(nASIG=B291)*(nAPTO="N"))/D291,"—")</f>
        <v>—</v>
      </c>
      <c r="J291" t="str" cm="1">
        <f t="array" ref="J291">IFERROR(_xlfn.MODE.SNGL(_xlfn._xlws.FILTER(nNOTA,(nCUENTA=1)*(nCURSO=A291)*(nASIG=B291)*(nAPTO="S"))),"—")</f>
        <v>—</v>
      </c>
      <c r="K291" t="str" cm="1">
        <f t="array" ref="K291">IFERROR(_xlfn.MODE.SNGL(_xlfn._xlws.FILTER(nNOTA,(nCUENTA=1)*(nCURSO=A291)*(nASIG=B291)*(nAPTO="N"))),"—")</f>
        <v>—</v>
      </c>
      <c r="L291">
        <f>SUMPRODUCT((nCUENTA=1)*(nCURSO=A291)*(nASIG=B291)*(nNOTA=1))</f>
        <v>0</v>
      </c>
      <c r="M291">
        <f>SUMPRODUCT((nCUENTA=1)*(nCURSO=A291)*(nASIG=B291)*(nNOTA=2))</f>
        <v>0</v>
      </c>
      <c r="N291">
        <f>SUMPRODUCT((nCUENTA=1)*(nCURSO=A291)*(nASIG=B291)*(nNOTA=3))</f>
        <v>0</v>
      </c>
      <c r="O291">
        <f>SUMPRODUCT((nCUENTA=1)*(nCURSO=A291)*(nASIG=B291)*(nNOTA=4))</f>
        <v>0</v>
      </c>
      <c r="P291">
        <f>SUMPRODUCT((nCUENTA=1)*(nCURSO=A291)*(nASIG=B291)*(nNOTA=5))</f>
        <v>0</v>
      </c>
      <c r="Q291">
        <f>SUMPRODUCT((nCUENTA=1)*(nCURSO=A291)*(nASIG=B291)*(nNOTA=6))</f>
        <v>0</v>
      </c>
      <c r="R291">
        <f>SUMPRODUCT((nCUENTA=1)*(nCURSO=A291)*(nASIG=B291)*(nNOTA=7))</f>
        <v>0</v>
      </c>
      <c r="S291">
        <f>SUMPRODUCT((nCUENTA=1)*(nCURSO=A291)*(nASIG=B291)*(nNOTA=8))</f>
        <v>0</v>
      </c>
      <c r="T291">
        <f>SUMPRODUCT((nCUENTA=1)*(nCURSO=A291)*(nASIG=B291)*(nNOTA=9))</f>
        <v>0</v>
      </c>
      <c r="U291">
        <f>SUMPRODUCT((nCUENTA=1)*(nCURSO=A291)*(nASIG=B291)*(nNOTA=10))</f>
        <v>0</v>
      </c>
    </row>
    <row r="292">
      <c r="A292" t="inlineStr">
        <is>
          <t xml:space="preserve">4EPM</t>
        </is>
      </c>
      <c r="B292" cm="1">
        <f t="array" ref="B292">IFERROR(INDEX(_xlfn._xlws.FILTER(CONFIG_ASIGNATURAS!$B$2:$B$91,(CONFIG_ASIGNATURAS!$G$2:$G$91="Sí")*ISNUMBER(SEARCH("4EPM",CONFIG_ASIGNATURAS!$C$2:$C$91))),29),"")</f>
      </c>
      <c r="C292">
        <f>IF(B292="","",IFERROR(VLOOKUP(B292,CONFIG_ASIGNATURAS!$B$2:$D$91,3,FALSE()),"Asignatura"))</f>
      </c>
      <c r="D292">
        <f>SUMPRODUCT((nCUENTA=1)*(nCURSO=A292)*(nASIG=B292))</f>
        <v>0</v>
      </c>
      <c r="E292" s="10" t="str">
        <f>IFERROR(SUMPRODUCT((nCUENTA=1)*(nCURSO=A292)*(nASIG=B292)*(nNOTA))/D292,"—")</f>
        <v>—</v>
      </c>
      <c r="F292" s="10" t="str" cm="1">
        <f t="array" ref="F292">IFERROR(_xlfn.STDEV.P(_xlfn._xlws.FILTER(nNOTA,(nCUENTA=1)*(nCURSO=A292)*(nASIG=B292))),"—")</f>
        <v>—</v>
      </c>
      <c r="G292" t="str" cm="1">
        <f t="array" ref="G292">IFERROR(_xlfn.MODE.SNGL(_xlfn._xlws.FILTER(nNOTA,(nCUENTA=1)*(nCURSO=A292)*(nASIG=B292))),"—")</f>
        <v>—</v>
      </c>
      <c r="H292" s="11" t="str">
        <f>IFERROR(SUMPRODUCT((nCUENTA=1)*(nCURSO=A292)*(nASIG=B292)*(nAPTO="S"))/D292,"—")</f>
        <v>—</v>
      </c>
      <c r="I292" s="11" t="str">
        <f>IFERROR(SUMPRODUCT((nCUENTA=1)*(nCURSO=A292)*(nASIG=B292)*(nAPTO="N"))/D292,"—")</f>
        <v>—</v>
      </c>
      <c r="J292" t="str" cm="1">
        <f t="array" ref="J292">IFERROR(_xlfn.MODE.SNGL(_xlfn._xlws.FILTER(nNOTA,(nCUENTA=1)*(nCURSO=A292)*(nASIG=B292)*(nAPTO="S"))),"—")</f>
        <v>—</v>
      </c>
      <c r="K292" t="str" cm="1">
        <f t="array" ref="K292">IFERROR(_xlfn.MODE.SNGL(_xlfn._xlws.FILTER(nNOTA,(nCUENTA=1)*(nCURSO=A292)*(nASIG=B292)*(nAPTO="N"))),"—")</f>
        <v>—</v>
      </c>
      <c r="L292">
        <f>SUMPRODUCT((nCUENTA=1)*(nCURSO=A292)*(nASIG=B292)*(nNOTA=1))</f>
        <v>0</v>
      </c>
      <c r="M292">
        <f>SUMPRODUCT((nCUENTA=1)*(nCURSO=A292)*(nASIG=B292)*(nNOTA=2))</f>
        <v>0</v>
      </c>
      <c r="N292">
        <f>SUMPRODUCT((nCUENTA=1)*(nCURSO=A292)*(nASIG=B292)*(nNOTA=3))</f>
        <v>0</v>
      </c>
      <c r="O292">
        <f>SUMPRODUCT((nCUENTA=1)*(nCURSO=A292)*(nASIG=B292)*(nNOTA=4))</f>
        <v>0</v>
      </c>
      <c r="P292">
        <f>SUMPRODUCT((nCUENTA=1)*(nCURSO=A292)*(nASIG=B292)*(nNOTA=5))</f>
        <v>0</v>
      </c>
      <c r="Q292">
        <f>SUMPRODUCT((nCUENTA=1)*(nCURSO=A292)*(nASIG=B292)*(nNOTA=6))</f>
        <v>0</v>
      </c>
      <c r="R292">
        <f>SUMPRODUCT((nCUENTA=1)*(nCURSO=A292)*(nASIG=B292)*(nNOTA=7))</f>
        <v>0</v>
      </c>
      <c r="S292">
        <f>SUMPRODUCT((nCUENTA=1)*(nCURSO=A292)*(nASIG=B292)*(nNOTA=8))</f>
        <v>0</v>
      </c>
      <c r="T292">
        <f>SUMPRODUCT((nCUENTA=1)*(nCURSO=A292)*(nASIG=B292)*(nNOTA=9))</f>
        <v>0</v>
      </c>
      <c r="U292">
        <f>SUMPRODUCT((nCUENTA=1)*(nCURSO=A292)*(nASIG=B292)*(nNOTA=10))</f>
        <v>0</v>
      </c>
    </row>
    <row r="293">
      <c r="A293" t="inlineStr">
        <is>
          <t xml:space="preserve">4EPM</t>
        </is>
      </c>
      <c r="B293" cm="1">
        <f t="array" ref="B293">IFERROR(INDEX(_xlfn._xlws.FILTER(CONFIG_ASIGNATURAS!$B$2:$B$91,(CONFIG_ASIGNATURAS!$G$2:$G$91="Sí")*ISNUMBER(SEARCH("4EPM",CONFIG_ASIGNATURAS!$C$2:$C$91))),30),"")</f>
      </c>
      <c r="C293">
        <f>IF(B293="","",IFERROR(VLOOKUP(B293,CONFIG_ASIGNATURAS!$B$2:$D$91,3,FALSE()),"Asignatura"))</f>
      </c>
      <c r="D293">
        <f>SUMPRODUCT((nCUENTA=1)*(nCURSO=A293)*(nASIG=B293))</f>
        <v>0</v>
      </c>
      <c r="E293" s="10" t="str">
        <f>IFERROR(SUMPRODUCT((nCUENTA=1)*(nCURSO=A293)*(nASIG=B293)*(nNOTA))/D293,"—")</f>
        <v>—</v>
      </c>
      <c r="F293" s="10" t="str" cm="1">
        <f t="array" ref="F293">IFERROR(_xlfn.STDEV.P(_xlfn._xlws.FILTER(nNOTA,(nCUENTA=1)*(nCURSO=A293)*(nASIG=B293))),"—")</f>
        <v>—</v>
      </c>
      <c r="G293" t="str" cm="1">
        <f t="array" ref="G293">IFERROR(_xlfn.MODE.SNGL(_xlfn._xlws.FILTER(nNOTA,(nCUENTA=1)*(nCURSO=A293)*(nASIG=B293))),"—")</f>
        <v>—</v>
      </c>
      <c r="H293" s="11" t="str">
        <f>IFERROR(SUMPRODUCT((nCUENTA=1)*(nCURSO=A293)*(nASIG=B293)*(nAPTO="S"))/D293,"—")</f>
        <v>—</v>
      </c>
      <c r="I293" s="11" t="str">
        <f>IFERROR(SUMPRODUCT((nCUENTA=1)*(nCURSO=A293)*(nASIG=B293)*(nAPTO="N"))/D293,"—")</f>
        <v>—</v>
      </c>
      <c r="J293" t="str" cm="1">
        <f t="array" ref="J293">IFERROR(_xlfn.MODE.SNGL(_xlfn._xlws.FILTER(nNOTA,(nCUENTA=1)*(nCURSO=A293)*(nASIG=B293)*(nAPTO="S"))),"—")</f>
        <v>—</v>
      </c>
      <c r="K293" t="str" cm="1">
        <f t="array" ref="K293">IFERROR(_xlfn.MODE.SNGL(_xlfn._xlws.FILTER(nNOTA,(nCUENTA=1)*(nCURSO=A293)*(nASIG=B293)*(nAPTO="N"))),"—")</f>
        <v>—</v>
      </c>
      <c r="L293">
        <f>SUMPRODUCT((nCUENTA=1)*(nCURSO=A293)*(nASIG=B293)*(nNOTA=1))</f>
        <v>0</v>
      </c>
      <c r="M293">
        <f>SUMPRODUCT((nCUENTA=1)*(nCURSO=A293)*(nASIG=B293)*(nNOTA=2))</f>
        <v>0</v>
      </c>
      <c r="N293">
        <f>SUMPRODUCT((nCUENTA=1)*(nCURSO=A293)*(nASIG=B293)*(nNOTA=3))</f>
        <v>0</v>
      </c>
      <c r="O293">
        <f>SUMPRODUCT((nCUENTA=1)*(nCURSO=A293)*(nASIG=B293)*(nNOTA=4))</f>
        <v>0</v>
      </c>
      <c r="P293">
        <f>SUMPRODUCT((nCUENTA=1)*(nCURSO=A293)*(nASIG=B293)*(nNOTA=5))</f>
        <v>0</v>
      </c>
      <c r="Q293">
        <f>SUMPRODUCT((nCUENTA=1)*(nCURSO=A293)*(nASIG=B293)*(nNOTA=6))</f>
        <v>0</v>
      </c>
      <c r="R293">
        <f>SUMPRODUCT((nCUENTA=1)*(nCURSO=A293)*(nASIG=B293)*(nNOTA=7))</f>
        <v>0</v>
      </c>
      <c r="S293">
        <f>SUMPRODUCT((nCUENTA=1)*(nCURSO=A293)*(nASIG=B293)*(nNOTA=8))</f>
        <v>0</v>
      </c>
      <c r="T293">
        <f>SUMPRODUCT((nCUENTA=1)*(nCURSO=A293)*(nASIG=B293)*(nNOTA=9))</f>
        <v>0</v>
      </c>
      <c r="U293">
        <f>SUMPRODUCT((nCUENTA=1)*(nCURSO=A293)*(nASIG=B293)*(nNOTA=10))</f>
        <v>0</v>
      </c>
    </row>
    <row r="294">
      <c r="A294" t="inlineStr">
        <is>
          <t xml:space="preserve">4EPM</t>
        </is>
      </c>
      <c r="B294" cm="1">
        <f t="array" ref="B294">IFERROR(INDEX(_xlfn._xlws.FILTER(CONFIG_ASIGNATURAS!$B$2:$B$91,(CONFIG_ASIGNATURAS!$G$2:$G$91="Sí")*ISNUMBER(SEARCH("4EPM",CONFIG_ASIGNATURAS!$C$2:$C$91))),31),"")</f>
      </c>
      <c r="C294">
        <f>IF(B294="","",IFERROR(VLOOKUP(B294,CONFIG_ASIGNATURAS!$B$2:$D$91,3,FALSE()),"Asignatura"))</f>
      </c>
      <c r="D294">
        <f>SUMPRODUCT((nCUENTA=1)*(nCURSO=A294)*(nASIG=B294))</f>
        <v>0</v>
      </c>
      <c r="E294" s="10" t="str">
        <f>IFERROR(SUMPRODUCT((nCUENTA=1)*(nCURSO=A294)*(nASIG=B294)*(nNOTA))/D294,"—")</f>
        <v>—</v>
      </c>
      <c r="F294" s="10" t="str" cm="1">
        <f t="array" ref="F294">IFERROR(_xlfn.STDEV.P(_xlfn._xlws.FILTER(nNOTA,(nCUENTA=1)*(nCURSO=A294)*(nASIG=B294))),"—")</f>
        <v>—</v>
      </c>
      <c r="G294" t="str" cm="1">
        <f t="array" ref="G294">IFERROR(_xlfn.MODE.SNGL(_xlfn._xlws.FILTER(nNOTA,(nCUENTA=1)*(nCURSO=A294)*(nASIG=B294))),"—")</f>
        <v>—</v>
      </c>
      <c r="H294" s="11" t="str">
        <f>IFERROR(SUMPRODUCT((nCUENTA=1)*(nCURSO=A294)*(nASIG=B294)*(nAPTO="S"))/D294,"—")</f>
        <v>—</v>
      </c>
      <c r="I294" s="11" t="str">
        <f>IFERROR(SUMPRODUCT((nCUENTA=1)*(nCURSO=A294)*(nASIG=B294)*(nAPTO="N"))/D294,"—")</f>
        <v>—</v>
      </c>
      <c r="J294" t="str" cm="1">
        <f t="array" ref="J294">IFERROR(_xlfn.MODE.SNGL(_xlfn._xlws.FILTER(nNOTA,(nCUENTA=1)*(nCURSO=A294)*(nASIG=B294)*(nAPTO="S"))),"—")</f>
        <v>—</v>
      </c>
      <c r="K294" t="str" cm="1">
        <f t="array" ref="K294">IFERROR(_xlfn.MODE.SNGL(_xlfn._xlws.FILTER(nNOTA,(nCUENTA=1)*(nCURSO=A294)*(nASIG=B294)*(nAPTO="N"))),"—")</f>
        <v>—</v>
      </c>
      <c r="L294">
        <f>SUMPRODUCT((nCUENTA=1)*(nCURSO=A294)*(nASIG=B294)*(nNOTA=1))</f>
        <v>0</v>
      </c>
      <c r="M294">
        <f>SUMPRODUCT((nCUENTA=1)*(nCURSO=A294)*(nASIG=B294)*(nNOTA=2))</f>
        <v>0</v>
      </c>
      <c r="N294">
        <f>SUMPRODUCT((nCUENTA=1)*(nCURSO=A294)*(nASIG=B294)*(nNOTA=3))</f>
        <v>0</v>
      </c>
      <c r="O294">
        <f>SUMPRODUCT((nCUENTA=1)*(nCURSO=A294)*(nASIG=B294)*(nNOTA=4))</f>
        <v>0</v>
      </c>
      <c r="P294">
        <f>SUMPRODUCT((nCUENTA=1)*(nCURSO=A294)*(nASIG=B294)*(nNOTA=5))</f>
        <v>0</v>
      </c>
      <c r="Q294">
        <f>SUMPRODUCT((nCUENTA=1)*(nCURSO=A294)*(nASIG=B294)*(nNOTA=6))</f>
        <v>0</v>
      </c>
      <c r="R294">
        <f>SUMPRODUCT((nCUENTA=1)*(nCURSO=A294)*(nASIG=B294)*(nNOTA=7))</f>
        <v>0</v>
      </c>
      <c r="S294">
        <f>SUMPRODUCT((nCUENTA=1)*(nCURSO=A294)*(nASIG=B294)*(nNOTA=8))</f>
        <v>0</v>
      </c>
      <c r="T294">
        <f>SUMPRODUCT((nCUENTA=1)*(nCURSO=A294)*(nASIG=B294)*(nNOTA=9))</f>
        <v>0</v>
      </c>
      <c r="U294">
        <f>SUMPRODUCT((nCUENTA=1)*(nCURSO=A294)*(nASIG=B294)*(nNOTA=10))</f>
        <v>0</v>
      </c>
    </row>
    <row r="295">
      <c r="A295" t="inlineStr">
        <is>
          <t xml:space="preserve">4EPM</t>
        </is>
      </c>
      <c r="B295" cm="1">
        <f t="array" ref="B295">IFERROR(INDEX(_xlfn._xlws.FILTER(CONFIG_ASIGNATURAS!$B$2:$B$91,(CONFIG_ASIGNATURAS!$G$2:$G$91="Sí")*ISNUMBER(SEARCH("4EPM",CONFIG_ASIGNATURAS!$C$2:$C$91))),32),"")</f>
      </c>
      <c r="C295">
        <f>IF(B295="","",IFERROR(VLOOKUP(B295,CONFIG_ASIGNATURAS!$B$2:$D$91,3,FALSE()),"Asignatura"))</f>
      </c>
      <c r="D295">
        <f>SUMPRODUCT((nCUENTA=1)*(nCURSO=A295)*(nASIG=B295))</f>
        <v>0</v>
      </c>
      <c r="E295" s="10" t="str">
        <f>IFERROR(SUMPRODUCT((nCUENTA=1)*(nCURSO=A295)*(nASIG=B295)*(nNOTA))/D295,"—")</f>
        <v>—</v>
      </c>
      <c r="F295" s="10" t="str" cm="1">
        <f t="array" ref="F295">IFERROR(_xlfn.STDEV.P(_xlfn._xlws.FILTER(nNOTA,(nCUENTA=1)*(nCURSO=A295)*(nASIG=B295))),"—")</f>
        <v>—</v>
      </c>
      <c r="G295" t="str" cm="1">
        <f t="array" ref="G295">IFERROR(_xlfn.MODE.SNGL(_xlfn._xlws.FILTER(nNOTA,(nCUENTA=1)*(nCURSO=A295)*(nASIG=B295))),"—")</f>
        <v>—</v>
      </c>
      <c r="H295" s="11" t="str">
        <f>IFERROR(SUMPRODUCT((nCUENTA=1)*(nCURSO=A295)*(nASIG=B295)*(nAPTO="S"))/D295,"—")</f>
        <v>—</v>
      </c>
      <c r="I295" s="11" t="str">
        <f>IFERROR(SUMPRODUCT((nCUENTA=1)*(nCURSO=A295)*(nASIG=B295)*(nAPTO="N"))/D295,"—")</f>
        <v>—</v>
      </c>
      <c r="J295" t="str" cm="1">
        <f t="array" ref="J295">IFERROR(_xlfn.MODE.SNGL(_xlfn._xlws.FILTER(nNOTA,(nCUENTA=1)*(nCURSO=A295)*(nASIG=B295)*(nAPTO="S"))),"—")</f>
        <v>—</v>
      </c>
      <c r="K295" t="str" cm="1">
        <f t="array" ref="K295">IFERROR(_xlfn.MODE.SNGL(_xlfn._xlws.FILTER(nNOTA,(nCUENTA=1)*(nCURSO=A295)*(nASIG=B295)*(nAPTO="N"))),"—")</f>
        <v>—</v>
      </c>
      <c r="L295">
        <f>SUMPRODUCT((nCUENTA=1)*(nCURSO=A295)*(nASIG=B295)*(nNOTA=1))</f>
        <v>0</v>
      </c>
      <c r="M295">
        <f>SUMPRODUCT((nCUENTA=1)*(nCURSO=A295)*(nASIG=B295)*(nNOTA=2))</f>
        <v>0</v>
      </c>
      <c r="N295">
        <f>SUMPRODUCT((nCUENTA=1)*(nCURSO=A295)*(nASIG=B295)*(nNOTA=3))</f>
        <v>0</v>
      </c>
      <c r="O295">
        <f>SUMPRODUCT((nCUENTA=1)*(nCURSO=A295)*(nASIG=B295)*(nNOTA=4))</f>
        <v>0</v>
      </c>
      <c r="P295">
        <f>SUMPRODUCT((nCUENTA=1)*(nCURSO=A295)*(nASIG=B295)*(nNOTA=5))</f>
        <v>0</v>
      </c>
      <c r="Q295">
        <f>SUMPRODUCT((nCUENTA=1)*(nCURSO=A295)*(nASIG=B295)*(nNOTA=6))</f>
        <v>0</v>
      </c>
      <c r="R295">
        <f>SUMPRODUCT((nCUENTA=1)*(nCURSO=A295)*(nASIG=B295)*(nNOTA=7))</f>
        <v>0</v>
      </c>
      <c r="S295">
        <f>SUMPRODUCT((nCUENTA=1)*(nCURSO=A295)*(nASIG=B295)*(nNOTA=8))</f>
        <v>0</v>
      </c>
      <c r="T295">
        <f>SUMPRODUCT((nCUENTA=1)*(nCURSO=A295)*(nASIG=B295)*(nNOTA=9))</f>
        <v>0</v>
      </c>
      <c r="U295">
        <f>SUMPRODUCT((nCUENTA=1)*(nCURSO=A295)*(nASIG=B295)*(nNOTA=10))</f>
        <v>0</v>
      </c>
    </row>
    <row r="296">
      <c r="A296" t="inlineStr">
        <is>
          <t xml:space="preserve">4EPM</t>
        </is>
      </c>
      <c r="B296" cm="1">
        <f t="array" ref="B296">IFERROR(INDEX(_xlfn._xlws.FILTER(CONFIG_ASIGNATURAS!$B$2:$B$91,(CONFIG_ASIGNATURAS!$G$2:$G$91="Sí")*ISNUMBER(SEARCH("4EPM",CONFIG_ASIGNATURAS!$C$2:$C$91))),33),"")</f>
      </c>
      <c r="C296">
        <f>IF(B296="","",IFERROR(VLOOKUP(B296,CONFIG_ASIGNATURAS!$B$2:$D$91,3,FALSE()),"Asignatura"))</f>
      </c>
      <c r="D296">
        <f>SUMPRODUCT((nCUENTA=1)*(nCURSO=A296)*(nASIG=B296))</f>
        <v>0</v>
      </c>
      <c r="E296" s="10" t="str">
        <f>IFERROR(SUMPRODUCT((nCUENTA=1)*(nCURSO=A296)*(nASIG=B296)*(nNOTA))/D296,"—")</f>
        <v>—</v>
      </c>
      <c r="F296" s="10" t="str" cm="1">
        <f t="array" ref="F296">IFERROR(_xlfn.STDEV.P(_xlfn._xlws.FILTER(nNOTA,(nCUENTA=1)*(nCURSO=A296)*(nASIG=B296))),"—")</f>
        <v>—</v>
      </c>
      <c r="G296" t="str" cm="1">
        <f t="array" ref="G296">IFERROR(_xlfn.MODE.SNGL(_xlfn._xlws.FILTER(nNOTA,(nCUENTA=1)*(nCURSO=A296)*(nASIG=B296))),"—")</f>
        <v>—</v>
      </c>
      <c r="H296" s="11" t="str">
        <f>IFERROR(SUMPRODUCT((nCUENTA=1)*(nCURSO=A296)*(nASIG=B296)*(nAPTO="S"))/D296,"—")</f>
        <v>—</v>
      </c>
      <c r="I296" s="11" t="str">
        <f>IFERROR(SUMPRODUCT((nCUENTA=1)*(nCURSO=A296)*(nASIG=B296)*(nAPTO="N"))/D296,"—")</f>
        <v>—</v>
      </c>
      <c r="J296" t="str" cm="1">
        <f t="array" ref="J296">IFERROR(_xlfn.MODE.SNGL(_xlfn._xlws.FILTER(nNOTA,(nCUENTA=1)*(nCURSO=A296)*(nASIG=B296)*(nAPTO="S"))),"—")</f>
        <v>—</v>
      </c>
      <c r="K296" t="str" cm="1">
        <f t="array" ref="K296">IFERROR(_xlfn.MODE.SNGL(_xlfn._xlws.FILTER(nNOTA,(nCUENTA=1)*(nCURSO=A296)*(nASIG=B296)*(nAPTO="N"))),"—")</f>
        <v>—</v>
      </c>
      <c r="L296">
        <f>SUMPRODUCT((nCUENTA=1)*(nCURSO=A296)*(nASIG=B296)*(nNOTA=1))</f>
        <v>0</v>
      </c>
      <c r="M296">
        <f>SUMPRODUCT((nCUENTA=1)*(nCURSO=A296)*(nASIG=B296)*(nNOTA=2))</f>
        <v>0</v>
      </c>
      <c r="N296">
        <f>SUMPRODUCT((nCUENTA=1)*(nCURSO=A296)*(nASIG=B296)*(nNOTA=3))</f>
        <v>0</v>
      </c>
      <c r="O296">
        <f>SUMPRODUCT((nCUENTA=1)*(nCURSO=A296)*(nASIG=B296)*(nNOTA=4))</f>
        <v>0</v>
      </c>
      <c r="P296">
        <f>SUMPRODUCT((nCUENTA=1)*(nCURSO=A296)*(nASIG=B296)*(nNOTA=5))</f>
        <v>0</v>
      </c>
      <c r="Q296">
        <f>SUMPRODUCT((nCUENTA=1)*(nCURSO=A296)*(nASIG=B296)*(nNOTA=6))</f>
        <v>0</v>
      </c>
      <c r="R296">
        <f>SUMPRODUCT((nCUENTA=1)*(nCURSO=A296)*(nASIG=B296)*(nNOTA=7))</f>
        <v>0</v>
      </c>
      <c r="S296">
        <f>SUMPRODUCT((nCUENTA=1)*(nCURSO=A296)*(nASIG=B296)*(nNOTA=8))</f>
        <v>0</v>
      </c>
      <c r="T296">
        <f>SUMPRODUCT((nCUENTA=1)*(nCURSO=A296)*(nASIG=B296)*(nNOTA=9))</f>
        <v>0</v>
      </c>
      <c r="U296">
        <f>SUMPRODUCT((nCUENTA=1)*(nCURSO=A296)*(nASIG=B296)*(nNOTA=10))</f>
        <v>0</v>
      </c>
    </row>
    <row r="297">
      <c r="A297" t="inlineStr">
        <is>
          <t xml:space="preserve">4EPM</t>
        </is>
      </c>
      <c r="B297" cm="1">
        <f t="array" ref="B297">IFERROR(INDEX(_xlfn._xlws.FILTER(CONFIG_ASIGNATURAS!$B$2:$B$91,(CONFIG_ASIGNATURAS!$G$2:$G$91="Sí")*ISNUMBER(SEARCH("4EPM",CONFIG_ASIGNATURAS!$C$2:$C$91))),34),"")</f>
      </c>
      <c r="C297">
        <f>IF(B297="","",IFERROR(VLOOKUP(B297,CONFIG_ASIGNATURAS!$B$2:$D$91,3,FALSE()),"Asignatura"))</f>
      </c>
      <c r="D297">
        <f>SUMPRODUCT((nCUENTA=1)*(nCURSO=A297)*(nASIG=B297))</f>
        <v>0</v>
      </c>
      <c r="E297" s="10" t="str">
        <f>IFERROR(SUMPRODUCT((nCUENTA=1)*(nCURSO=A297)*(nASIG=B297)*(nNOTA))/D297,"—")</f>
        <v>—</v>
      </c>
      <c r="F297" s="10" t="str" cm="1">
        <f t="array" ref="F297">IFERROR(_xlfn.STDEV.P(_xlfn._xlws.FILTER(nNOTA,(nCUENTA=1)*(nCURSO=A297)*(nASIG=B297))),"—")</f>
        <v>—</v>
      </c>
      <c r="G297" t="str" cm="1">
        <f t="array" ref="G297">IFERROR(_xlfn.MODE.SNGL(_xlfn._xlws.FILTER(nNOTA,(nCUENTA=1)*(nCURSO=A297)*(nASIG=B297))),"—")</f>
        <v>—</v>
      </c>
      <c r="H297" s="11" t="str">
        <f>IFERROR(SUMPRODUCT((nCUENTA=1)*(nCURSO=A297)*(nASIG=B297)*(nAPTO="S"))/D297,"—")</f>
        <v>—</v>
      </c>
      <c r="I297" s="11" t="str">
        <f>IFERROR(SUMPRODUCT((nCUENTA=1)*(nCURSO=A297)*(nASIG=B297)*(nAPTO="N"))/D297,"—")</f>
        <v>—</v>
      </c>
      <c r="J297" t="str" cm="1">
        <f t="array" ref="J297">IFERROR(_xlfn.MODE.SNGL(_xlfn._xlws.FILTER(nNOTA,(nCUENTA=1)*(nCURSO=A297)*(nASIG=B297)*(nAPTO="S"))),"—")</f>
        <v>—</v>
      </c>
      <c r="K297" t="str" cm="1">
        <f t="array" ref="K297">IFERROR(_xlfn.MODE.SNGL(_xlfn._xlws.FILTER(nNOTA,(nCUENTA=1)*(nCURSO=A297)*(nASIG=B297)*(nAPTO="N"))),"—")</f>
        <v>—</v>
      </c>
      <c r="L297">
        <f>SUMPRODUCT((nCUENTA=1)*(nCURSO=A297)*(nASIG=B297)*(nNOTA=1))</f>
        <v>0</v>
      </c>
      <c r="M297">
        <f>SUMPRODUCT((nCUENTA=1)*(nCURSO=A297)*(nASIG=B297)*(nNOTA=2))</f>
        <v>0</v>
      </c>
      <c r="N297">
        <f>SUMPRODUCT((nCUENTA=1)*(nCURSO=A297)*(nASIG=B297)*(nNOTA=3))</f>
        <v>0</v>
      </c>
      <c r="O297">
        <f>SUMPRODUCT((nCUENTA=1)*(nCURSO=A297)*(nASIG=B297)*(nNOTA=4))</f>
        <v>0</v>
      </c>
      <c r="P297">
        <f>SUMPRODUCT((nCUENTA=1)*(nCURSO=A297)*(nASIG=B297)*(nNOTA=5))</f>
        <v>0</v>
      </c>
      <c r="Q297">
        <f>SUMPRODUCT((nCUENTA=1)*(nCURSO=A297)*(nASIG=B297)*(nNOTA=6))</f>
        <v>0</v>
      </c>
      <c r="R297">
        <f>SUMPRODUCT((nCUENTA=1)*(nCURSO=A297)*(nASIG=B297)*(nNOTA=7))</f>
        <v>0</v>
      </c>
      <c r="S297">
        <f>SUMPRODUCT((nCUENTA=1)*(nCURSO=A297)*(nASIG=B297)*(nNOTA=8))</f>
        <v>0</v>
      </c>
      <c r="T297">
        <f>SUMPRODUCT((nCUENTA=1)*(nCURSO=A297)*(nASIG=B297)*(nNOTA=9))</f>
        <v>0</v>
      </c>
      <c r="U297">
        <f>SUMPRODUCT((nCUENTA=1)*(nCURSO=A297)*(nASIG=B297)*(nNOTA=10))</f>
        <v>0</v>
      </c>
    </row>
    <row r="298">
      <c r="A298" t="inlineStr">
        <is>
          <t xml:space="preserve">4EPM</t>
        </is>
      </c>
      <c r="B298" cm="1">
        <f t="array" ref="B298">IFERROR(INDEX(_xlfn._xlws.FILTER(CONFIG_ASIGNATURAS!$B$2:$B$91,(CONFIG_ASIGNATURAS!$G$2:$G$91="Sí")*ISNUMBER(SEARCH("4EPM",CONFIG_ASIGNATURAS!$C$2:$C$91))),35),"")</f>
      </c>
      <c r="C298">
        <f>IF(B298="","",IFERROR(VLOOKUP(B298,CONFIG_ASIGNATURAS!$B$2:$D$91,3,FALSE()),"Asignatura"))</f>
      </c>
      <c r="D298">
        <f>SUMPRODUCT((nCUENTA=1)*(nCURSO=A298)*(nASIG=B298))</f>
        <v>0</v>
      </c>
      <c r="E298" s="10" t="str">
        <f>IFERROR(SUMPRODUCT((nCUENTA=1)*(nCURSO=A298)*(nASIG=B298)*(nNOTA))/D298,"—")</f>
        <v>—</v>
      </c>
      <c r="F298" s="10" t="str" cm="1">
        <f t="array" ref="F298">IFERROR(_xlfn.STDEV.P(_xlfn._xlws.FILTER(nNOTA,(nCUENTA=1)*(nCURSO=A298)*(nASIG=B298))),"—")</f>
        <v>—</v>
      </c>
      <c r="G298" t="str" cm="1">
        <f t="array" ref="G298">IFERROR(_xlfn.MODE.SNGL(_xlfn._xlws.FILTER(nNOTA,(nCUENTA=1)*(nCURSO=A298)*(nASIG=B298))),"—")</f>
        <v>—</v>
      </c>
      <c r="H298" s="11" t="str">
        <f>IFERROR(SUMPRODUCT((nCUENTA=1)*(nCURSO=A298)*(nASIG=B298)*(nAPTO="S"))/D298,"—")</f>
        <v>—</v>
      </c>
      <c r="I298" s="11" t="str">
        <f>IFERROR(SUMPRODUCT((nCUENTA=1)*(nCURSO=A298)*(nASIG=B298)*(nAPTO="N"))/D298,"—")</f>
        <v>—</v>
      </c>
      <c r="J298" t="str" cm="1">
        <f t="array" ref="J298">IFERROR(_xlfn.MODE.SNGL(_xlfn._xlws.FILTER(nNOTA,(nCUENTA=1)*(nCURSO=A298)*(nASIG=B298)*(nAPTO="S"))),"—")</f>
        <v>—</v>
      </c>
      <c r="K298" t="str" cm="1">
        <f t="array" ref="K298">IFERROR(_xlfn.MODE.SNGL(_xlfn._xlws.FILTER(nNOTA,(nCUENTA=1)*(nCURSO=A298)*(nASIG=B298)*(nAPTO="N"))),"—")</f>
        <v>—</v>
      </c>
      <c r="L298">
        <f>SUMPRODUCT((nCUENTA=1)*(nCURSO=A298)*(nASIG=B298)*(nNOTA=1))</f>
        <v>0</v>
      </c>
      <c r="M298">
        <f>SUMPRODUCT((nCUENTA=1)*(nCURSO=A298)*(nASIG=B298)*(nNOTA=2))</f>
        <v>0</v>
      </c>
      <c r="N298">
        <f>SUMPRODUCT((nCUENTA=1)*(nCURSO=A298)*(nASIG=B298)*(nNOTA=3))</f>
        <v>0</v>
      </c>
      <c r="O298">
        <f>SUMPRODUCT((nCUENTA=1)*(nCURSO=A298)*(nASIG=B298)*(nNOTA=4))</f>
        <v>0</v>
      </c>
      <c r="P298">
        <f>SUMPRODUCT((nCUENTA=1)*(nCURSO=A298)*(nASIG=B298)*(nNOTA=5))</f>
        <v>0</v>
      </c>
      <c r="Q298">
        <f>SUMPRODUCT((nCUENTA=1)*(nCURSO=A298)*(nASIG=B298)*(nNOTA=6))</f>
        <v>0</v>
      </c>
      <c r="R298">
        <f>SUMPRODUCT((nCUENTA=1)*(nCURSO=A298)*(nASIG=B298)*(nNOTA=7))</f>
        <v>0</v>
      </c>
      <c r="S298">
        <f>SUMPRODUCT((nCUENTA=1)*(nCURSO=A298)*(nASIG=B298)*(nNOTA=8))</f>
        <v>0</v>
      </c>
      <c r="T298">
        <f>SUMPRODUCT((nCUENTA=1)*(nCURSO=A298)*(nASIG=B298)*(nNOTA=9))</f>
        <v>0</v>
      </c>
      <c r="U298">
        <f>SUMPRODUCT((nCUENTA=1)*(nCURSO=A298)*(nASIG=B298)*(nNOTA=10))</f>
        <v>0</v>
      </c>
    </row>
    <row r="299">
      <c r="A299" t="inlineStr">
        <is>
          <t xml:space="preserve">4EPM</t>
        </is>
      </c>
      <c r="B299" cm="1">
        <f t="array" ref="B299">IFERROR(INDEX(_xlfn._xlws.FILTER(CONFIG_ASIGNATURAS!$B$2:$B$91,(CONFIG_ASIGNATURAS!$G$2:$G$91="Sí")*ISNUMBER(SEARCH("4EPM",CONFIG_ASIGNATURAS!$C$2:$C$91))),36),"")</f>
      </c>
      <c r="C299">
        <f>IF(B299="","",IFERROR(VLOOKUP(B299,CONFIG_ASIGNATURAS!$B$2:$D$91,3,FALSE()),"Asignatura"))</f>
      </c>
      <c r="D299">
        <f>SUMPRODUCT((nCUENTA=1)*(nCURSO=A299)*(nASIG=B299))</f>
        <v>0</v>
      </c>
      <c r="E299" s="10" t="str">
        <f>IFERROR(SUMPRODUCT((nCUENTA=1)*(nCURSO=A299)*(nASIG=B299)*(nNOTA))/D299,"—")</f>
        <v>—</v>
      </c>
      <c r="F299" s="10" t="str" cm="1">
        <f t="array" ref="F299">IFERROR(_xlfn.STDEV.P(_xlfn._xlws.FILTER(nNOTA,(nCUENTA=1)*(nCURSO=A299)*(nASIG=B299))),"—")</f>
        <v>—</v>
      </c>
      <c r="G299" t="str" cm="1">
        <f t="array" ref="G299">IFERROR(_xlfn.MODE.SNGL(_xlfn._xlws.FILTER(nNOTA,(nCUENTA=1)*(nCURSO=A299)*(nASIG=B299))),"—")</f>
        <v>—</v>
      </c>
      <c r="H299" s="11" t="str">
        <f>IFERROR(SUMPRODUCT((nCUENTA=1)*(nCURSO=A299)*(nASIG=B299)*(nAPTO="S"))/D299,"—")</f>
        <v>—</v>
      </c>
      <c r="I299" s="11" t="str">
        <f>IFERROR(SUMPRODUCT((nCUENTA=1)*(nCURSO=A299)*(nASIG=B299)*(nAPTO="N"))/D299,"—")</f>
        <v>—</v>
      </c>
      <c r="J299" t="str" cm="1">
        <f t="array" ref="J299">IFERROR(_xlfn.MODE.SNGL(_xlfn._xlws.FILTER(nNOTA,(nCUENTA=1)*(nCURSO=A299)*(nASIG=B299)*(nAPTO="S"))),"—")</f>
        <v>—</v>
      </c>
      <c r="K299" t="str" cm="1">
        <f t="array" ref="K299">IFERROR(_xlfn.MODE.SNGL(_xlfn._xlws.FILTER(nNOTA,(nCUENTA=1)*(nCURSO=A299)*(nASIG=B299)*(nAPTO="N"))),"—")</f>
        <v>—</v>
      </c>
      <c r="L299">
        <f>SUMPRODUCT((nCUENTA=1)*(nCURSO=A299)*(nASIG=B299)*(nNOTA=1))</f>
        <v>0</v>
      </c>
      <c r="M299">
        <f>SUMPRODUCT((nCUENTA=1)*(nCURSO=A299)*(nASIG=B299)*(nNOTA=2))</f>
        <v>0</v>
      </c>
      <c r="N299">
        <f>SUMPRODUCT((nCUENTA=1)*(nCURSO=A299)*(nASIG=B299)*(nNOTA=3))</f>
        <v>0</v>
      </c>
      <c r="O299">
        <f>SUMPRODUCT((nCUENTA=1)*(nCURSO=A299)*(nASIG=B299)*(nNOTA=4))</f>
        <v>0</v>
      </c>
      <c r="P299">
        <f>SUMPRODUCT((nCUENTA=1)*(nCURSO=A299)*(nASIG=B299)*(nNOTA=5))</f>
        <v>0</v>
      </c>
      <c r="Q299">
        <f>SUMPRODUCT((nCUENTA=1)*(nCURSO=A299)*(nASIG=B299)*(nNOTA=6))</f>
        <v>0</v>
      </c>
      <c r="R299">
        <f>SUMPRODUCT((nCUENTA=1)*(nCURSO=A299)*(nASIG=B299)*(nNOTA=7))</f>
        <v>0</v>
      </c>
      <c r="S299">
        <f>SUMPRODUCT((nCUENTA=1)*(nCURSO=A299)*(nASIG=B299)*(nNOTA=8))</f>
        <v>0</v>
      </c>
      <c r="T299">
        <f>SUMPRODUCT((nCUENTA=1)*(nCURSO=A299)*(nASIG=B299)*(nNOTA=9))</f>
        <v>0</v>
      </c>
      <c r="U299">
        <f>SUMPRODUCT((nCUENTA=1)*(nCURSO=A299)*(nASIG=B299)*(nNOTA=10))</f>
        <v>0</v>
      </c>
    </row>
    <row r="300">
      <c r="A300" t="inlineStr">
        <is>
          <t xml:space="preserve">4EPM</t>
        </is>
      </c>
      <c r="B300" cm="1">
        <f t="array" ref="B300">IFERROR(INDEX(_xlfn._xlws.FILTER(CONFIG_ASIGNATURAS!$B$2:$B$91,(CONFIG_ASIGNATURAS!$G$2:$G$91="Sí")*ISNUMBER(SEARCH("4EPM",CONFIG_ASIGNATURAS!$C$2:$C$91))),37),"")</f>
      </c>
      <c r="C300">
        <f>IF(B300="","",IFERROR(VLOOKUP(B300,CONFIG_ASIGNATURAS!$B$2:$D$91,3,FALSE()),"Asignatura"))</f>
      </c>
      <c r="D300">
        <f>SUMPRODUCT((nCUENTA=1)*(nCURSO=A300)*(nASIG=B300))</f>
        <v>0</v>
      </c>
      <c r="E300" s="10" t="str">
        <f>IFERROR(SUMPRODUCT((nCUENTA=1)*(nCURSO=A300)*(nASIG=B300)*(nNOTA))/D300,"—")</f>
        <v>—</v>
      </c>
      <c r="F300" s="10" t="str" cm="1">
        <f t="array" ref="F300">IFERROR(_xlfn.STDEV.P(_xlfn._xlws.FILTER(nNOTA,(nCUENTA=1)*(nCURSO=A300)*(nASIG=B300))),"—")</f>
        <v>—</v>
      </c>
      <c r="G300" t="str" cm="1">
        <f t="array" ref="G300">IFERROR(_xlfn.MODE.SNGL(_xlfn._xlws.FILTER(nNOTA,(nCUENTA=1)*(nCURSO=A300)*(nASIG=B300))),"—")</f>
        <v>—</v>
      </c>
      <c r="H300" s="11" t="str">
        <f>IFERROR(SUMPRODUCT((nCUENTA=1)*(nCURSO=A300)*(nASIG=B300)*(nAPTO="S"))/D300,"—")</f>
        <v>—</v>
      </c>
      <c r="I300" s="11" t="str">
        <f>IFERROR(SUMPRODUCT((nCUENTA=1)*(nCURSO=A300)*(nASIG=B300)*(nAPTO="N"))/D300,"—")</f>
        <v>—</v>
      </c>
      <c r="J300" t="str" cm="1">
        <f t="array" ref="J300">IFERROR(_xlfn.MODE.SNGL(_xlfn._xlws.FILTER(nNOTA,(nCUENTA=1)*(nCURSO=A300)*(nASIG=B300)*(nAPTO="S"))),"—")</f>
        <v>—</v>
      </c>
      <c r="K300" t="str" cm="1">
        <f t="array" ref="K300">IFERROR(_xlfn.MODE.SNGL(_xlfn._xlws.FILTER(nNOTA,(nCUENTA=1)*(nCURSO=A300)*(nASIG=B300)*(nAPTO="N"))),"—")</f>
        <v>—</v>
      </c>
      <c r="L300">
        <f>SUMPRODUCT((nCUENTA=1)*(nCURSO=A300)*(nASIG=B300)*(nNOTA=1))</f>
        <v>0</v>
      </c>
      <c r="M300">
        <f>SUMPRODUCT((nCUENTA=1)*(nCURSO=A300)*(nASIG=B300)*(nNOTA=2))</f>
        <v>0</v>
      </c>
      <c r="N300">
        <f>SUMPRODUCT((nCUENTA=1)*(nCURSO=A300)*(nASIG=B300)*(nNOTA=3))</f>
        <v>0</v>
      </c>
      <c r="O300">
        <f>SUMPRODUCT((nCUENTA=1)*(nCURSO=A300)*(nASIG=B300)*(nNOTA=4))</f>
        <v>0</v>
      </c>
      <c r="P300">
        <f>SUMPRODUCT((nCUENTA=1)*(nCURSO=A300)*(nASIG=B300)*(nNOTA=5))</f>
        <v>0</v>
      </c>
      <c r="Q300">
        <f>SUMPRODUCT((nCUENTA=1)*(nCURSO=A300)*(nASIG=B300)*(nNOTA=6))</f>
        <v>0</v>
      </c>
      <c r="R300">
        <f>SUMPRODUCT((nCUENTA=1)*(nCURSO=A300)*(nASIG=B300)*(nNOTA=7))</f>
        <v>0</v>
      </c>
      <c r="S300">
        <f>SUMPRODUCT((nCUENTA=1)*(nCURSO=A300)*(nASIG=B300)*(nNOTA=8))</f>
        <v>0</v>
      </c>
      <c r="T300">
        <f>SUMPRODUCT((nCUENTA=1)*(nCURSO=A300)*(nASIG=B300)*(nNOTA=9))</f>
        <v>0</v>
      </c>
      <c r="U300">
        <f>SUMPRODUCT((nCUENTA=1)*(nCURSO=A300)*(nASIG=B300)*(nNOTA=10))</f>
        <v>0</v>
      </c>
    </row>
    <row r="301">
      <c r="A301" t="inlineStr">
        <is>
          <t xml:space="preserve">4EPM</t>
        </is>
      </c>
      <c r="B301" cm="1">
        <f t="array" ref="B301">IFERROR(INDEX(_xlfn._xlws.FILTER(CONFIG_ASIGNATURAS!$B$2:$B$91,(CONFIG_ASIGNATURAS!$G$2:$G$91="Sí")*ISNUMBER(SEARCH("4EPM",CONFIG_ASIGNATURAS!$C$2:$C$91))),38),"")</f>
      </c>
      <c r="C301">
        <f>IF(B301="","",IFERROR(VLOOKUP(B301,CONFIG_ASIGNATURAS!$B$2:$D$91,3,FALSE()),"Asignatura"))</f>
      </c>
      <c r="D301">
        <f>SUMPRODUCT((nCUENTA=1)*(nCURSO=A301)*(nASIG=B301))</f>
        <v>0</v>
      </c>
      <c r="E301" s="10" t="str">
        <f>IFERROR(SUMPRODUCT((nCUENTA=1)*(nCURSO=A301)*(nASIG=B301)*(nNOTA))/D301,"—")</f>
        <v>—</v>
      </c>
      <c r="F301" s="10" t="str" cm="1">
        <f t="array" ref="F301">IFERROR(_xlfn.STDEV.P(_xlfn._xlws.FILTER(nNOTA,(nCUENTA=1)*(nCURSO=A301)*(nASIG=B301))),"—")</f>
        <v>—</v>
      </c>
      <c r="G301" t="str" cm="1">
        <f t="array" ref="G301">IFERROR(_xlfn.MODE.SNGL(_xlfn._xlws.FILTER(nNOTA,(nCUENTA=1)*(nCURSO=A301)*(nASIG=B301))),"—")</f>
        <v>—</v>
      </c>
      <c r="H301" s="11" t="str">
        <f>IFERROR(SUMPRODUCT((nCUENTA=1)*(nCURSO=A301)*(nASIG=B301)*(nAPTO="S"))/D301,"—")</f>
        <v>—</v>
      </c>
      <c r="I301" s="11" t="str">
        <f>IFERROR(SUMPRODUCT((nCUENTA=1)*(nCURSO=A301)*(nASIG=B301)*(nAPTO="N"))/D301,"—")</f>
        <v>—</v>
      </c>
      <c r="J301" t="str" cm="1">
        <f t="array" ref="J301">IFERROR(_xlfn.MODE.SNGL(_xlfn._xlws.FILTER(nNOTA,(nCUENTA=1)*(nCURSO=A301)*(nASIG=B301)*(nAPTO="S"))),"—")</f>
        <v>—</v>
      </c>
      <c r="K301" t="str" cm="1">
        <f t="array" ref="K301">IFERROR(_xlfn.MODE.SNGL(_xlfn._xlws.FILTER(nNOTA,(nCUENTA=1)*(nCURSO=A301)*(nASIG=B301)*(nAPTO="N"))),"—")</f>
        <v>—</v>
      </c>
      <c r="L301">
        <f>SUMPRODUCT((nCUENTA=1)*(nCURSO=A301)*(nASIG=B301)*(nNOTA=1))</f>
        <v>0</v>
      </c>
      <c r="M301">
        <f>SUMPRODUCT((nCUENTA=1)*(nCURSO=A301)*(nASIG=B301)*(nNOTA=2))</f>
        <v>0</v>
      </c>
      <c r="N301">
        <f>SUMPRODUCT((nCUENTA=1)*(nCURSO=A301)*(nASIG=B301)*(nNOTA=3))</f>
        <v>0</v>
      </c>
      <c r="O301">
        <f>SUMPRODUCT((nCUENTA=1)*(nCURSO=A301)*(nASIG=B301)*(nNOTA=4))</f>
        <v>0</v>
      </c>
      <c r="P301">
        <f>SUMPRODUCT((nCUENTA=1)*(nCURSO=A301)*(nASIG=B301)*(nNOTA=5))</f>
        <v>0</v>
      </c>
      <c r="Q301">
        <f>SUMPRODUCT((nCUENTA=1)*(nCURSO=A301)*(nASIG=B301)*(nNOTA=6))</f>
        <v>0</v>
      </c>
      <c r="R301">
        <f>SUMPRODUCT((nCUENTA=1)*(nCURSO=A301)*(nASIG=B301)*(nNOTA=7))</f>
        <v>0</v>
      </c>
      <c r="S301">
        <f>SUMPRODUCT((nCUENTA=1)*(nCURSO=A301)*(nASIG=B301)*(nNOTA=8))</f>
        <v>0</v>
      </c>
      <c r="T301">
        <f>SUMPRODUCT((nCUENTA=1)*(nCURSO=A301)*(nASIG=B301)*(nNOTA=9))</f>
        <v>0</v>
      </c>
      <c r="U301">
        <f>SUMPRODUCT((nCUENTA=1)*(nCURSO=A301)*(nASIG=B301)*(nNOTA=10))</f>
        <v>0</v>
      </c>
    </row>
    <row r="302">
      <c r="A302" t="inlineStr">
        <is>
          <t xml:space="preserve">4EPM</t>
        </is>
      </c>
      <c r="B302" cm="1">
        <f t="array" ref="B302">IFERROR(INDEX(_xlfn._xlws.FILTER(CONFIG_ASIGNATURAS!$B$2:$B$91,(CONFIG_ASIGNATURAS!$G$2:$G$91="Sí")*ISNUMBER(SEARCH("4EPM",CONFIG_ASIGNATURAS!$C$2:$C$91))),39),"")</f>
      </c>
      <c r="C302">
        <f>IF(B302="","",IFERROR(VLOOKUP(B302,CONFIG_ASIGNATURAS!$B$2:$D$91,3,FALSE()),"Asignatura"))</f>
      </c>
      <c r="D302">
        <f>SUMPRODUCT((nCUENTA=1)*(nCURSO=A302)*(nASIG=B302))</f>
        <v>0</v>
      </c>
      <c r="E302" s="10" t="str">
        <f>IFERROR(SUMPRODUCT((nCUENTA=1)*(nCURSO=A302)*(nASIG=B302)*(nNOTA))/D302,"—")</f>
        <v>—</v>
      </c>
      <c r="F302" s="10" t="str" cm="1">
        <f t="array" ref="F302">IFERROR(_xlfn.STDEV.P(_xlfn._xlws.FILTER(nNOTA,(nCUENTA=1)*(nCURSO=A302)*(nASIG=B302))),"—")</f>
        <v>—</v>
      </c>
      <c r="G302" t="str" cm="1">
        <f t="array" ref="G302">IFERROR(_xlfn.MODE.SNGL(_xlfn._xlws.FILTER(nNOTA,(nCUENTA=1)*(nCURSO=A302)*(nASIG=B302))),"—")</f>
        <v>—</v>
      </c>
      <c r="H302" s="11" t="str">
        <f>IFERROR(SUMPRODUCT((nCUENTA=1)*(nCURSO=A302)*(nASIG=B302)*(nAPTO="S"))/D302,"—")</f>
        <v>—</v>
      </c>
      <c r="I302" s="11" t="str">
        <f>IFERROR(SUMPRODUCT((nCUENTA=1)*(nCURSO=A302)*(nASIG=B302)*(nAPTO="N"))/D302,"—")</f>
        <v>—</v>
      </c>
      <c r="J302" t="str" cm="1">
        <f t="array" ref="J302">IFERROR(_xlfn.MODE.SNGL(_xlfn._xlws.FILTER(nNOTA,(nCUENTA=1)*(nCURSO=A302)*(nASIG=B302)*(nAPTO="S"))),"—")</f>
        <v>—</v>
      </c>
      <c r="K302" t="str" cm="1">
        <f t="array" ref="K302">IFERROR(_xlfn.MODE.SNGL(_xlfn._xlws.FILTER(nNOTA,(nCUENTA=1)*(nCURSO=A302)*(nASIG=B302)*(nAPTO="N"))),"—")</f>
        <v>—</v>
      </c>
      <c r="L302">
        <f>SUMPRODUCT((nCUENTA=1)*(nCURSO=A302)*(nASIG=B302)*(nNOTA=1))</f>
        <v>0</v>
      </c>
      <c r="M302">
        <f>SUMPRODUCT((nCUENTA=1)*(nCURSO=A302)*(nASIG=B302)*(nNOTA=2))</f>
        <v>0</v>
      </c>
      <c r="N302">
        <f>SUMPRODUCT((nCUENTA=1)*(nCURSO=A302)*(nASIG=B302)*(nNOTA=3))</f>
        <v>0</v>
      </c>
      <c r="O302">
        <f>SUMPRODUCT((nCUENTA=1)*(nCURSO=A302)*(nASIG=B302)*(nNOTA=4))</f>
        <v>0</v>
      </c>
      <c r="P302">
        <f>SUMPRODUCT((nCUENTA=1)*(nCURSO=A302)*(nASIG=B302)*(nNOTA=5))</f>
        <v>0</v>
      </c>
      <c r="Q302">
        <f>SUMPRODUCT((nCUENTA=1)*(nCURSO=A302)*(nASIG=B302)*(nNOTA=6))</f>
        <v>0</v>
      </c>
      <c r="R302">
        <f>SUMPRODUCT((nCUENTA=1)*(nCURSO=A302)*(nASIG=B302)*(nNOTA=7))</f>
        <v>0</v>
      </c>
      <c r="S302">
        <f>SUMPRODUCT((nCUENTA=1)*(nCURSO=A302)*(nASIG=B302)*(nNOTA=8))</f>
        <v>0</v>
      </c>
      <c r="T302">
        <f>SUMPRODUCT((nCUENTA=1)*(nCURSO=A302)*(nASIG=B302)*(nNOTA=9))</f>
        <v>0</v>
      </c>
      <c r="U302">
        <f>SUMPRODUCT((nCUENTA=1)*(nCURSO=A302)*(nASIG=B302)*(nNOTA=10))</f>
        <v>0</v>
      </c>
    </row>
    <row r="303">
      <c r="A303" t="inlineStr">
        <is>
          <t xml:space="preserve">4EPM</t>
        </is>
      </c>
      <c r="B303" cm="1">
        <f t="array" ref="B303">IFERROR(INDEX(_xlfn._xlws.FILTER(CONFIG_ASIGNATURAS!$B$2:$B$91,(CONFIG_ASIGNATURAS!$G$2:$G$91="Sí")*ISNUMBER(SEARCH("4EPM",CONFIG_ASIGNATURAS!$C$2:$C$91))),40),"")</f>
      </c>
      <c r="C303">
        <f>IF(B303="","",IFERROR(VLOOKUP(B303,CONFIG_ASIGNATURAS!$B$2:$D$91,3,FALSE()),"Asignatura"))</f>
      </c>
      <c r="D303">
        <f>SUMPRODUCT((nCUENTA=1)*(nCURSO=A303)*(nASIG=B303))</f>
        <v>0</v>
      </c>
      <c r="E303" s="10" t="str">
        <f>IFERROR(SUMPRODUCT((nCUENTA=1)*(nCURSO=A303)*(nASIG=B303)*(nNOTA))/D303,"—")</f>
        <v>—</v>
      </c>
      <c r="F303" s="10" t="str" cm="1">
        <f t="array" ref="F303">IFERROR(_xlfn.STDEV.P(_xlfn._xlws.FILTER(nNOTA,(nCUENTA=1)*(nCURSO=A303)*(nASIG=B303))),"—")</f>
        <v>—</v>
      </c>
      <c r="G303" t="str" cm="1">
        <f t="array" ref="G303">IFERROR(_xlfn.MODE.SNGL(_xlfn._xlws.FILTER(nNOTA,(nCUENTA=1)*(nCURSO=A303)*(nASIG=B303))),"—")</f>
        <v>—</v>
      </c>
      <c r="H303" s="11" t="str">
        <f>IFERROR(SUMPRODUCT((nCUENTA=1)*(nCURSO=A303)*(nASIG=B303)*(nAPTO="S"))/D303,"—")</f>
        <v>—</v>
      </c>
      <c r="I303" s="11" t="str">
        <f>IFERROR(SUMPRODUCT((nCUENTA=1)*(nCURSO=A303)*(nASIG=B303)*(nAPTO="N"))/D303,"—")</f>
        <v>—</v>
      </c>
      <c r="J303" t="str" cm="1">
        <f t="array" ref="J303">IFERROR(_xlfn.MODE.SNGL(_xlfn._xlws.FILTER(nNOTA,(nCUENTA=1)*(nCURSO=A303)*(nASIG=B303)*(nAPTO="S"))),"—")</f>
        <v>—</v>
      </c>
      <c r="K303" t="str" cm="1">
        <f t="array" ref="K303">IFERROR(_xlfn.MODE.SNGL(_xlfn._xlws.FILTER(nNOTA,(nCUENTA=1)*(nCURSO=A303)*(nASIG=B303)*(nAPTO="N"))),"—")</f>
        <v>—</v>
      </c>
      <c r="L303">
        <f>SUMPRODUCT((nCUENTA=1)*(nCURSO=A303)*(nASIG=B303)*(nNOTA=1))</f>
        <v>0</v>
      </c>
      <c r="M303">
        <f>SUMPRODUCT((nCUENTA=1)*(nCURSO=A303)*(nASIG=B303)*(nNOTA=2))</f>
        <v>0</v>
      </c>
      <c r="N303">
        <f>SUMPRODUCT((nCUENTA=1)*(nCURSO=A303)*(nASIG=B303)*(nNOTA=3))</f>
        <v>0</v>
      </c>
      <c r="O303">
        <f>SUMPRODUCT((nCUENTA=1)*(nCURSO=A303)*(nASIG=B303)*(nNOTA=4))</f>
        <v>0</v>
      </c>
      <c r="P303">
        <f>SUMPRODUCT((nCUENTA=1)*(nCURSO=A303)*(nASIG=B303)*(nNOTA=5))</f>
        <v>0</v>
      </c>
      <c r="Q303">
        <f>SUMPRODUCT((nCUENTA=1)*(nCURSO=A303)*(nASIG=B303)*(nNOTA=6))</f>
        <v>0</v>
      </c>
      <c r="R303">
        <f>SUMPRODUCT((nCUENTA=1)*(nCURSO=A303)*(nASIG=B303)*(nNOTA=7))</f>
        <v>0</v>
      </c>
      <c r="S303">
        <f>SUMPRODUCT((nCUENTA=1)*(nCURSO=A303)*(nASIG=B303)*(nNOTA=8))</f>
        <v>0</v>
      </c>
      <c r="T303">
        <f>SUMPRODUCT((nCUENTA=1)*(nCURSO=A303)*(nASIG=B303)*(nNOTA=9))</f>
        <v>0</v>
      </c>
      <c r="U303">
        <f>SUMPRODUCT((nCUENTA=1)*(nCURSO=A303)*(nASIG=B303)*(nNOTA=10))</f>
        <v>0</v>
      </c>
    </row>
    <row r="304">
      <c r="A304" t="inlineStr">
        <is>
          <t xml:space="preserve">4EPM</t>
        </is>
      </c>
      <c r="B304" cm="1">
        <f t="array" ref="B304">IFERROR(INDEX(_xlfn._xlws.FILTER(CONFIG_ASIGNATURAS!$B$2:$B$91,(CONFIG_ASIGNATURAS!$G$2:$G$91="Sí")*ISNUMBER(SEARCH("4EPM",CONFIG_ASIGNATURAS!$C$2:$C$91))),41),"")</f>
      </c>
      <c r="C304">
        <f>IF(B304="","",IFERROR(VLOOKUP(B304,CONFIG_ASIGNATURAS!$B$2:$D$91,3,FALSE()),"Asignatura"))</f>
      </c>
      <c r="D304">
        <f>SUMPRODUCT((nCUENTA=1)*(nCURSO=A304)*(nASIG=B304))</f>
        <v>0</v>
      </c>
      <c r="E304" s="10" t="str">
        <f>IFERROR(SUMPRODUCT((nCUENTA=1)*(nCURSO=A304)*(nASIG=B304)*(nNOTA))/D304,"—")</f>
        <v>—</v>
      </c>
      <c r="F304" s="10" t="str" cm="1">
        <f t="array" ref="F304">IFERROR(_xlfn.STDEV.P(_xlfn._xlws.FILTER(nNOTA,(nCUENTA=1)*(nCURSO=A304)*(nASIG=B304))),"—")</f>
        <v>—</v>
      </c>
      <c r="G304" t="str" cm="1">
        <f t="array" ref="G304">IFERROR(_xlfn.MODE.SNGL(_xlfn._xlws.FILTER(nNOTA,(nCUENTA=1)*(nCURSO=A304)*(nASIG=B304))),"—")</f>
        <v>—</v>
      </c>
      <c r="H304" s="11" t="str">
        <f>IFERROR(SUMPRODUCT((nCUENTA=1)*(nCURSO=A304)*(nASIG=B304)*(nAPTO="S"))/D304,"—")</f>
        <v>—</v>
      </c>
      <c r="I304" s="11" t="str">
        <f>IFERROR(SUMPRODUCT((nCUENTA=1)*(nCURSO=A304)*(nASIG=B304)*(nAPTO="N"))/D304,"—")</f>
        <v>—</v>
      </c>
      <c r="J304" t="str" cm="1">
        <f t="array" ref="J304">IFERROR(_xlfn.MODE.SNGL(_xlfn._xlws.FILTER(nNOTA,(nCUENTA=1)*(nCURSO=A304)*(nASIG=B304)*(nAPTO="S"))),"—")</f>
        <v>—</v>
      </c>
      <c r="K304" t="str" cm="1">
        <f t="array" ref="K304">IFERROR(_xlfn.MODE.SNGL(_xlfn._xlws.FILTER(nNOTA,(nCUENTA=1)*(nCURSO=A304)*(nASIG=B304)*(nAPTO="N"))),"—")</f>
        <v>—</v>
      </c>
      <c r="L304">
        <f>SUMPRODUCT((nCUENTA=1)*(nCURSO=A304)*(nASIG=B304)*(nNOTA=1))</f>
        <v>0</v>
      </c>
      <c r="M304">
        <f>SUMPRODUCT((nCUENTA=1)*(nCURSO=A304)*(nASIG=B304)*(nNOTA=2))</f>
        <v>0</v>
      </c>
      <c r="N304">
        <f>SUMPRODUCT((nCUENTA=1)*(nCURSO=A304)*(nASIG=B304)*(nNOTA=3))</f>
        <v>0</v>
      </c>
      <c r="O304">
        <f>SUMPRODUCT((nCUENTA=1)*(nCURSO=A304)*(nASIG=B304)*(nNOTA=4))</f>
        <v>0</v>
      </c>
      <c r="P304">
        <f>SUMPRODUCT((nCUENTA=1)*(nCURSO=A304)*(nASIG=B304)*(nNOTA=5))</f>
        <v>0</v>
      </c>
      <c r="Q304">
        <f>SUMPRODUCT((nCUENTA=1)*(nCURSO=A304)*(nASIG=B304)*(nNOTA=6))</f>
        <v>0</v>
      </c>
      <c r="R304">
        <f>SUMPRODUCT((nCUENTA=1)*(nCURSO=A304)*(nASIG=B304)*(nNOTA=7))</f>
        <v>0</v>
      </c>
      <c r="S304">
        <f>SUMPRODUCT((nCUENTA=1)*(nCURSO=A304)*(nASIG=B304)*(nNOTA=8))</f>
        <v>0</v>
      </c>
      <c r="T304">
        <f>SUMPRODUCT((nCUENTA=1)*(nCURSO=A304)*(nASIG=B304)*(nNOTA=9))</f>
        <v>0</v>
      </c>
      <c r="U304">
        <f>SUMPRODUCT((nCUENTA=1)*(nCURSO=A304)*(nASIG=B304)*(nNOTA=10))</f>
        <v>0</v>
      </c>
    </row>
    <row r="305">
      <c r="A305" t="inlineStr">
        <is>
          <t xml:space="preserve">4EPM</t>
        </is>
      </c>
      <c r="B305" cm="1">
        <f t="array" ref="B305">IFERROR(INDEX(_xlfn._xlws.FILTER(CONFIG_ASIGNATURAS!$B$2:$B$91,(CONFIG_ASIGNATURAS!$G$2:$G$91="Sí")*ISNUMBER(SEARCH("4EPM",CONFIG_ASIGNATURAS!$C$2:$C$91))),42),"")</f>
      </c>
      <c r="C305">
        <f>IF(B305="","",IFERROR(VLOOKUP(B305,CONFIG_ASIGNATURAS!$B$2:$D$91,3,FALSE()),"Asignatura"))</f>
      </c>
      <c r="D305">
        <f>SUMPRODUCT((nCUENTA=1)*(nCURSO=A305)*(nASIG=B305))</f>
        <v>0</v>
      </c>
      <c r="E305" s="10" t="str">
        <f>IFERROR(SUMPRODUCT((nCUENTA=1)*(nCURSO=A305)*(nASIG=B305)*(nNOTA))/D305,"—")</f>
        <v>—</v>
      </c>
      <c r="F305" s="10" t="str" cm="1">
        <f t="array" ref="F305">IFERROR(_xlfn.STDEV.P(_xlfn._xlws.FILTER(nNOTA,(nCUENTA=1)*(nCURSO=A305)*(nASIG=B305))),"—")</f>
        <v>—</v>
      </c>
      <c r="G305" t="str" cm="1">
        <f t="array" ref="G305">IFERROR(_xlfn.MODE.SNGL(_xlfn._xlws.FILTER(nNOTA,(nCUENTA=1)*(nCURSO=A305)*(nASIG=B305))),"—")</f>
        <v>—</v>
      </c>
      <c r="H305" s="11" t="str">
        <f>IFERROR(SUMPRODUCT((nCUENTA=1)*(nCURSO=A305)*(nASIG=B305)*(nAPTO="S"))/D305,"—")</f>
        <v>—</v>
      </c>
      <c r="I305" s="11" t="str">
        <f>IFERROR(SUMPRODUCT((nCUENTA=1)*(nCURSO=A305)*(nASIG=B305)*(nAPTO="N"))/D305,"—")</f>
        <v>—</v>
      </c>
      <c r="J305" t="str" cm="1">
        <f t="array" ref="J305">IFERROR(_xlfn.MODE.SNGL(_xlfn._xlws.FILTER(nNOTA,(nCUENTA=1)*(nCURSO=A305)*(nASIG=B305)*(nAPTO="S"))),"—")</f>
        <v>—</v>
      </c>
      <c r="K305" t="str" cm="1">
        <f t="array" ref="K305">IFERROR(_xlfn.MODE.SNGL(_xlfn._xlws.FILTER(nNOTA,(nCUENTA=1)*(nCURSO=A305)*(nASIG=B305)*(nAPTO="N"))),"—")</f>
        <v>—</v>
      </c>
      <c r="L305">
        <f>SUMPRODUCT((nCUENTA=1)*(nCURSO=A305)*(nASIG=B305)*(nNOTA=1))</f>
        <v>0</v>
      </c>
      <c r="M305">
        <f>SUMPRODUCT((nCUENTA=1)*(nCURSO=A305)*(nASIG=B305)*(nNOTA=2))</f>
        <v>0</v>
      </c>
      <c r="N305">
        <f>SUMPRODUCT((nCUENTA=1)*(nCURSO=A305)*(nASIG=B305)*(nNOTA=3))</f>
        <v>0</v>
      </c>
      <c r="O305">
        <f>SUMPRODUCT((nCUENTA=1)*(nCURSO=A305)*(nASIG=B305)*(nNOTA=4))</f>
        <v>0</v>
      </c>
      <c r="P305">
        <f>SUMPRODUCT((nCUENTA=1)*(nCURSO=A305)*(nASIG=B305)*(nNOTA=5))</f>
        <v>0</v>
      </c>
      <c r="Q305">
        <f>SUMPRODUCT((nCUENTA=1)*(nCURSO=A305)*(nASIG=B305)*(nNOTA=6))</f>
        <v>0</v>
      </c>
      <c r="R305">
        <f>SUMPRODUCT((nCUENTA=1)*(nCURSO=A305)*(nASIG=B305)*(nNOTA=7))</f>
        <v>0</v>
      </c>
      <c r="S305">
        <f>SUMPRODUCT((nCUENTA=1)*(nCURSO=A305)*(nASIG=B305)*(nNOTA=8))</f>
        <v>0</v>
      </c>
      <c r="T305">
        <f>SUMPRODUCT((nCUENTA=1)*(nCURSO=A305)*(nASIG=B305)*(nNOTA=9))</f>
        <v>0</v>
      </c>
      <c r="U305">
        <f>SUMPRODUCT((nCUENTA=1)*(nCURSO=A305)*(nASIG=B305)*(nNOTA=10))</f>
        <v>0</v>
      </c>
    </row>
    <row r="306">
      <c r="A306" t="inlineStr">
        <is>
          <t xml:space="preserve">4EPM</t>
        </is>
      </c>
      <c r="B306" cm="1">
        <f t="array" ref="B306">IFERROR(INDEX(_xlfn._xlws.FILTER(CONFIG_ASIGNATURAS!$B$2:$B$91,(CONFIG_ASIGNATURAS!$G$2:$G$91="Sí")*ISNUMBER(SEARCH("4EPM",CONFIG_ASIGNATURAS!$C$2:$C$91))),43),"")</f>
      </c>
      <c r="C306">
        <f>IF(B306="","",IFERROR(VLOOKUP(B306,CONFIG_ASIGNATURAS!$B$2:$D$91,3,FALSE()),"Asignatura"))</f>
      </c>
      <c r="D306">
        <f>SUMPRODUCT((nCUENTA=1)*(nCURSO=A306)*(nASIG=B306))</f>
        <v>0</v>
      </c>
      <c r="E306" s="10" t="str">
        <f>IFERROR(SUMPRODUCT((nCUENTA=1)*(nCURSO=A306)*(nASIG=B306)*(nNOTA))/D306,"—")</f>
        <v>—</v>
      </c>
      <c r="F306" s="10" t="str" cm="1">
        <f t="array" ref="F306">IFERROR(_xlfn.STDEV.P(_xlfn._xlws.FILTER(nNOTA,(nCUENTA=1)*(nCURSO=A306)*(nASIG=B306))),"—")</f>
        <v>—</v>
      </c>
      <c r="G306" t="str" cm="1">
        <f t="array" ref="G306">IFERROR(_xlfn.MODE.SNGL(_xlfn._xlws.FILTER(nNOTA,(nCUENTA=1)*(nCURSO=A306)*(nASIG=B306))),"—")</f>
        <v>—</v>
      </c>
      <c r="H306" s="11" t="str">
        <f>IFERROR(SUMPRODUCT((nCUENTA=1)*(nCURSO=A306)*(nASIG=B306)*(nAPTO="S"))/D306,"—")</f>
        <v>—</v>
      </c>
      <c r="I306" s="11" t="str">
        <f>IFERROR(SUMPRODUCT((nCUENTA=1)*(nCURSO=A306)*(nASIG=B306)*(nAPTO="N"))/D306,"—")</f>
        <v>—</v>
      </c>
      <c r="J306" t="str" cm="1">
        <f t="array" ref="J306">IFERROR(_xlfn.MODE.SNGL(_xlfn._xlws.FILTER(nNOTA,(nCUENTA=1)*(nCURSO=A306)*(nASIG=B306)*(nAPTO="S"))),"—")</f>
        <v>—</v>
      </c>
      <c r="K306" t="str" cm="1">
        <f t="array" ref="K306">IFERROR(_xlfn.MODE.SNGL(_xlfn._xlws.FILTER(nNOTA,(nCUENTA=1)*(nCURSO=A306)*(nASIG=B306)*(nAPTO="N"))),"—")</f>
        <v>—</v>
      </c>
      <c r="L306">
        <f>SUMPRODUCT((nCUENTA=1)*(nCURSO=A306)*(nASIG=B306)*(nNOTA=1))</f>
        <v>0</v>
      </c>
      <c r="M306">
        <f>SUMPRODUCT((nCUENTA=1)*(nCURSO=A306)*(nASIG=B306)*(nNOTA=2))</f>
        <v>0</v>
      </c>
      <c r="N306">
        <f>SUMPRODUCT((nCUENTA=1)*(nCURSO=A306)*(nASIG=B306)*(nNOTA=3))</f>
        <v>0</v>
      </c>
      <c r="O306">
        <f>SUMPRODUCT((nCUENTA=1)*(nCURSO=A306)*(nASIG=B306)*(nNOTA=4))</f>
        <v>0</v>
      </c>
      <c r="P306">
        <f>SUMPRODUCT((nCUENTA=1)*(nCURSO=A306)*(nASIG=B306)*(nNOTA=5))</f>
        <v>0</v>
      </c>
      <c r="Q306">
        <f>SUMPRODUCT((nCUENTA=1)*(nCURSO=A306)*(nASIG=B306)*(nNOTA=6))</f>
        <v>0</v>
      </c>
      <c r="R306">
        <f>SUMPRODUCT((nCUENTA=1)*(nCURSO=A306)*(nASIG=B306)*(nNOTA=7))</f>
        <v>0</v>
      </c>
      <c r="S306">
        <f>SUMPRODUCT((nCUENTA=1)*(nCURSO=A306)*(nASIG=B306)*(nNOTA=8))</f>
        <v>0</v>
      </c>
      <c r="T306">
        <f>SUMPRODUCT((nCUENTA=1)*(nCURSO=A306)*(nASIG=B306)*(nNOTA=9))</f>
        <v>0</v>
      </c>
      <c r="U306">
        <f>SUMPRODUCT((nCUENTA=1)*(nCURSO=A306)*(nASIG=B306)*(nNOTA=10))</f>
        <v>0</v>
      </c>
    </row>
    <row r="307">
      <c r="A307" t="inlineStr">
        <is>
          <t xml:space="preserve">4EPM</t>
        </is>
      </c>
      <c r="B307" cm="1">
        <f t="array" ref="B307">IFERROR(INDEX(_xlfn._xlws.FILTER(CONFIG_ASIGNATURAS!$B$2:$B$91,(CONFIG_ASIGNATURAS!$G$2:$G$91="Sí")*ISNUMBER(SEARCH("4EPM",CONFIG_ASIGNATURAS!$C$2:$C$91))),44),"")</f>
      </c>
      <c r="C307">
        <f>IF(B307="","",IFERROR(VLOOKUP(B307,CONFIG_ASIGNATURAS!$B$2:$D$91,3,FALSE()),"Asignatura"))</f>
      </c>
      <c r="D307">
        <f>SUMPRODUCT((nCUENTA=1)*(nCURSO=A307)*(nASIG=B307))</f>
        <v>0</v>
      </c>
      <c r="E307" s="10" t="str">
        <f>IFERROR(SUMPRODUCT((nCUENTA=1)*(nCURSO=A307)*(nASIG=B307)*(nNOTA))/D307,"—")</f>
        <v>—</v>
      </c>
      <c r="F307" s="10" t="str" cm="1">
        <f t="array" ref="F307">IFERROR(_xlfn.STDEV.P(_xlfn._xlws.FILTER(nNOTA,(nCUENTA=1)*(nCURSO=A307)*(nASIG=B307))),"—")</f>
        <v>—</v>
      </c>
      <c r="G307" t="str" cm="1">
        <f t="array" ref="G307">IFERROR(_xlfn.MODE.SNGL(_xlfn._xlws.FILTER(nNOTA,(nCUENTA=1)*(nCURSO=A307)*(nASIG=B307))),"—")</f>
        <v>—</v>
      </c>
      <c r="H307" s="11" t="str">
        <f>IFERROR(SUMPRODUCT((nCUENTA=1)*(nCURSO=A307)*(nASIG=B307)*(nAPTO="S"))/D307,"—")</f>
        <v>—</v>
      </c>
      <c r="I307" s="11" t="str">
        <f>IFERROR(SUMPRODUCT((nCUENTA=1)*(nCURSO=A307)*(nASIG=B307)*(nAPTO="N"))/D307,"—")</f>
        <v>—</v>
      </c>
      <c r="J307" t="str" cm="1">
        <f t="array" ref="J307">IFERROR(_xlfn.MODE.SNGL(_xlfn._xlws.FILTER(nNOTA,(nCUENTA=1)*(nCURSO=A307)*(nASIG=B307)*(nAPTO="S"))),"—")</f>
        <v>—</v>
      </c>
      <c r="K307" t="str" cm="1">
        <f t="array" ref="K307">IFERROR(_xlfn.MODE.SNGL(_xlfn._xlws.FILTER(nNOTA,(nCUENTA=1)*(nCURSO=A307)*(nASIG=B307)*(nAPTO="N"))),"—")</f>
        <v>—</v>
      </c>
      <c r="L307">
        <f>SUMPRODUCT((nCUENTA=1)*(nCURSO=A307)*(nASIG=B307)*(nNOTA=1))</f>
        <v>0</v>
      </c>
      <c r="M307">
        <f>SUMPRODUCT((nCUENTA=1)*(nCURSO=A307)*(nASIG=B307)*(nNOTA=2))</f>
        <v>0</v>
      </c>
      <c r="N307">
        <f>SUMPRODUCT((nCUENTA=1)*(nCURSO=A307)*(nASIG=B307)*(nNOTA=3))</f>
        <v>0</v>
      </c>
      <c r="O307">
        <f>SUMPRODUCT((nCUENTA=1)*(nCURSO=A307)*(nASIG=B307)*(nNOTA=4))</f>
        <v>0</v>
      </c>
      <c r="P307">
        <f>SUMPRODUCT((nCUENTA=1)*(nCURSO=A307)*(nASIG=B307)*(nNOTA=5))</f>
        <v>0</v>
      </c>
      <c r="Q307">
        <f>SUMPRODUCT((nCUENTA=1)*(nCURSO=A307)*(nASIG=B307)*(nNOTA=6))</f>
        <v>0</v>
      </c>
      <c r="R307">
        <f>SUMPRODUCT((nCUENTA=1)*(nCURSO=A307)*(nASIG=B307)*(nNOTA=7))</f>
        <v>0</v>
      </c>
      <c r="S307">
        <f>SUMPRODUCT((nCUENTA=1)*(nCURSO=A307)*(nASIG=B307)*(nNOTA=8))</f>
        <v>0</v>
      </c>
      <c r="T307">
        <f>SUMPRODUCT((nCUENTA=1)*(nCURSO=A307)*(nASIG=B307)*(nNOTA=9))</f>
        <v>0</v>
      </c>
      <c r="U307">
        <f>SUMPRODUCT((nCUENTA=1)*(nCURSO=A307)*(nASIG=B307)*(nNOTA=10))</f>
        <v>0</v>
      </c>
    </row>
    <row r="308">
      <c r="A308" t="inlineStr">
        <is>
          <t xml:space="preserve">4EPM</t>
        </is>
      </c>
      <c r="B308" cm="1">
        <f t="array" ref="B308">IFERROR(INDEX(_xlfn._xlws.FILTER(CONFIG_ASIGNATURAS!$B$2:$B$91,(CONFIG_ASIGNATURAS!$G$2:$G$91="Sí")*ISNUMBER(SEARCH("4EPM",CONFIG_ASIGNATURAS!$C$2:$C$91))),45),"")</f>
      </c>
      <c r="C308">
        <f>IF(B308="","",IFERROR(VLOOKUP(B308,CONFIG_ASIGNATURAS!$B$2:$D$91,3,FALSE()),"Asignatura"))</f>
      </c>
      <c r="D308">
        <f>SUMPRODUCT((nCUENTA=1)*(nCURSO=A308)*(nASIG=B308))</f>
        <v>0</v>
      </c>
      <c r="E308" s="10" t="str">
        <f>IFERROR(SUMPRODUCT((nCUENTA=1)*(nCURSO=A308)*(nASIG=B308)*(nNOTA))/D308,"—")</f>
        <v>—</v>
      </c>
      <c r="F308" s="10" t="str" cm="1">
        <f t="array" ref="F308">IFERROR(_xlfn.STDEV.P(_xlfn._xlws.FILTER(nNOTA,(nCUENTA=1)*(nCURSO=A308)*(nASIG=B308))),"—")</f>
        <v>—</v>
      </c>
      <c r="G308" t="str" cm="1">
        <f t="array" ref="G308">IFERROR(_xlfn.MODE.SNGL(_xlfn._xlws.FILTER(nNOTA,(nCUENTA=1)*(nCURSO=A308)*(nASIG=B308))),"—")</f>
        <v>—</v>
      </c>
      <c r="H308" s="11" t="str">
        <f>IFERROR(SUMPRODUCT((nCUENTA=1)*(nCURSO=A308)*(nASIG=B308)*(nAPTO="S"))/D308,"—")</f>
        <v>—</v>
      </c>
      <c r="I308" s="11" t="str">
        <f>IFERROR(SUMPRODUCT((nCUENTA=1)*(nCURSO=A308)*(nASIG=B308)*(nAPTO="N"))/D308,"—")</f>
        <v>—</v>
      </c>
      <c r="J308" t="str" cm="1">
        <f t="array" ref="J308">IFERROR(_xlfn.MODE.SNGL(_xlfn._xlws.FILTER(nNOTA,(nCUENTA=1)*(nCURSO=A308)*(nASIG=B308)*(nAPTO="S"))),"—")</f>
        <v>—</v>
      </c>
      <c r="K308" t="str" cm="1">
        <f t="array" ref="K308">IFERROR(_xlfn.MODE.SNGL(_xlfn._xlws.FILTER(nNOTA,(nCUENTA=1)*(nCURSO=A308)*(nASIG=B308)*(nAPTO="N"))),"—")</f>
        <v>—</v>
      </c>
      <c r="L308">
        <f>SUMPRODUCT((nCUENTA=1)*(nCURSO=A308)*(nASIG=B308)*(nNOTA=1))</f>
        <v>0</v>
      </c>
      <c r="M308">
        <f>SUMPRODUCT((nCUENTA=1)*(nCURSO=A308)*(nASIG=B308)*(nNOTA=2))</f>
        <v>0</v>
      </c>
      <c r="N308">
        <f>SUMPRODUCT((nCUENTA=1)*(nCURSO=A308)*(nASIG=B308)*(nNOTA=3))</f>
        <v>0</v>
      </c>
      <c r="O308">
        <f>SUMPRODUCT((nCUENTA=1)*(nCURSO=A308)*(nASIG=B308)*(nNOTA=4))</f>
        <v>0</v>
      </c>
      <c r="P308">
        <f>SUMPRODUCT((nCUENTA=1)*(nCURSO=A308)*(nASIG=B308)*(nNOTA=5))</f>
        <v>0</v>
      </c>
      <c r="Q308">
        <f>SUMPRODUCT((nCUENTA=1)*(nCURSO=A308)*(nASIG=B308)*(nNOTA=6))</f>
        <v>0</v>
      </c>
      <c r="R308">
        <f>SUMPRODUCT((nCUENTA=1)*(nCURSO=A308)*(nASIG=B308)*(nNOTA=7))</f>
        <v>0</v>
      </c>
      <c r="S308">
        <f>SUMPRODUCT((nCUENTA=1)*(nCURSO=A308)*(nASIG=B308)*(nNOTA=8))</f>
        <v>0</v>
      </c>
      <c r="T308">
        <f>SUMPRODUCT((nCUENTA=1)*(nCURSO=A308)*(nASIG=B308)*(nNOTA=9))</f>
        <v>0</v>
      </c>
      <c r="U308">
        <f>SUMPRODUCT((nCUENTA=1)*(nCURSO=A308)*(nASIG=B308)*(nNOTA=10))</f>
        <v>0</v>
      </c>
    </row>
    <row r="309">
      <c r="A309" t="inlineStr">
        <is>
          <t xml:space="preserve">4EPM</t>
        </is>
      </c>
      <c r="B309" cm="1">
        <f t="array" ref="B309">IFERROR(INDEX(_xlfn._xlws.FILTER(CONFIG_ASIGNATURAS!$B$2:$B$91,(CONFIG_ASIGNATURAS!$G$2:$G$91="Sí")*ISNUMBER(SEARCH("4EPM",CONFIG_ASIGNATURAS!$C$2:$C$91))),46),"")</f>
      </c>
      <c r="C309">
        <f>IF(B309="","",IFERROR(VLOOKUP(B309,CONFIG_ASIGNATURAS!$B$2:$D$91,3,FALSE()),"Asignatura"))</f>
      </c>
      <c r="D309">
        <f>SUMPRODUCT((nCUENTA=1)*(nCURSO=A309)*(nASIG=B309))</f>
        <v>0</v>
      </c>
      <c r="E309" s="10" t="str">
        <f>IFERROR(SUMPRODUCT((nCUENTA=1)*(nCURSO=A309)*(nASIG=B309)*(nNOTA))/D309,"—")</f>
        <v>—</v>
      </c>
      <c r="F309" s="10" t="str" cm="1">
        <f t="array" ref="F309">IFERROR(_xlfn.STDEV.P(_xlfn._xlws.FILTER(nNOTA,(nCUENTA=1)*(nCURSO=A309)*(nASIG=B309))),"—")</f>
        <v>—</v>
      </c>
      <c r="G309" t="str" cm="1">
        <f t="array" ref="G309">IFERROR(_xlfn.MODE.SNGL(_xlfn._xlws.FILTER(nNOTA,(nCUENTA=1)*(nCURSO=A309)*(nASIG=B309))),"—")</f>
        <v>—</v>
      </c>
      <c r="H309" s="11" t="str">
        <f>IFERROR(SUMPRODUCT((nCUENTA=1)*(nCURSO=A309)*(nASIG=B309)*(nAPTO="S"))/D309,"—")</f>
        <v>—</v>
      </c>
      <c r="I309" s="11" t="str">
        <f>IFERROR(SUMPRODUCT((nCUENTA=1)*(nCURSO=A309)*(nASIG=B309)*(nAPTO="N"))/D309,"—")</f>
        <v>—</v>
      </c>
      <c r="J309" t="str" cm="1">
        <f t="array" ref="J309">IFERROR(_xlfn.MODE.SNGL(_xlfn._xlws.FILTER(nNOTA,(nCUENTA=1)*(nCURSO=A309)*(nASIG=B309)*(nAPTO="S"))),"—")</f>
        <v>—</v>
      </c>
      <c r="K309" t="str" cm="1">
        <f t="array" ref="K309">IFERROR(_xlfn.MODE.SNGL(_xlfn._xlws.FILTER(nNOTA,(nCUENTA=1)*(nCURSO=A309)*(nASIG=B309)*(nAPTO="N"))),"—")</f>
        <v>—</v>
      </c>
      <c r="L309">
        <f>SUMPRODUCT((nCUENTA=1)*(nCURSO=A309)*(nASIG=B309)*(nNOTA=1))</f>
        <v>0</v>
      </c>
      <c r="M309">
        <f>SUMPRODUCT((nCUENTA=1)*(nCURSO=A309)*(nASIG=B309)*(nNOTA=2))</f>
        <v>0</v>
      </c>
      <c r="N309">
        <f>SUMPRODUCT((nCUENTA=1)*(nCURSO=A309)*(nASIG=B309)*(nNOTA=3))</f>
        <v>0</v>
      </c>
      <c r="O309">
        <f>SUMPRODUCT((nCUENTA=1)*(nCURSO=A309)*(nASIG=B309)*(nNOTA=4))</f>
        <v>0</v>
      </c>
      <c r="P309">
        <f>SUMPRODUCT((nCUENTA=1)*(nCURSO=A309)*(nASIG=B309)*(nNOTA=5))</f>
        <v>0</v>
      </c>
      <c r="Q309">
        <f>SUMPRODUCT((nCUENTA=1)*(nCURSO=A309)*(nASIG=B309)*(nNOTA=6))</f>
        <v>0</v>
      </c>
      <c r="R309">
        <f>SUMPRODUCT((nCUENTA=1)*(nCURSO=A309)*(nASIG=B309)*(nNOTA=7))</f>
        <v>0</v>
      </c>
      <c r="S309">
        <f>SUMPRODUCT((nCUENTA=1)*(nCURSO=A309)*(nASIG=B309)*(nNOTA=8))</f>
        <v>0</v>
      </c>
      <c r="T309">
        <f>SUMPRODUCT((nCUENTA=1)*(nCURSO=A309)*(nASIG=B309)*(nNOTA=9))</f>
        <v>0</v>
      </c>
      <c r="U309">
        <f>SUMPRODUCT((nCUENTA=1)*(nCURSO=A309)*(nASIG=B309)*(nNOTA=10))</f>
        <v>0</v>
      </c>
    </row>
    <row r="310">
      <c r="A310" t="inlineStr">
        <is>
          <t xml:space="preserve">4EPM</t>
        </is>
      </c>
      <c r="B310" cm="1">
        <f t="array" ref="B310">IFERROR(INDEX(_xlfn._xlws.FILTER(CONFIG_ASIGNATURAS!$B$2:$B$91,(CONFIG_ASIGNATURAS!$G$2:$G$91="Sí")*ISNUMBER(SEARCH("4EPM",CONFIG_ASIGNATURAS!$C$2:$C$91))),47),"")</f>
      </c>
      <c r="C310">
        <f>IF(B310="","",IFERROR(VLOOKUP(B310,CONFIG_ASIGNATURAS!$B$2:$D$91,3,FALSE()),"Asignatura"))</f>
      </c>
      <c r="D310">
        <f>SUMPRODUCT((nCUENTA=1)*(nCURSO=A310)*(nASIG=B310))</f>
        <v>0</v>
      </c>
      <c r="E310" s="10" t="str">
        <f>IFERROR(SUMPRODUCT((nCUENTA=1)*(nCURSO=A310)*(nASIG=B310)*(nNOTA))/D310,"—")</f>
        <v>—</v>
      </c>
      <c r="F310" s="10" t="str" cm="1">
        <f t="array" ref="F310">IFERROR(_xlfn.STDEV.P(_xlfn._xlws.FILTER(nNOTA,(nCUENTA=1)*(nCURSO=A310)*(nASIG=B310))),"—")</f>
        <v>—</v>
      </c>
      <c r="G310" t="str" cm="1">
        <f t="array" ref="G310">IFERROR(_xlfn.MODE.SNGL(_xlfn._xlws.FILTER(nNOTA,(nCUENTA=1)*(nCURSO=A310)*(nASIG=B310))),"—")</f>
        <v>—</v>
      </c>
      <c r="H310" s="11" t="str">
        <f>IFERROR(SUMPRODUCT((nCUENTA=1)*(nCURSO=A310)*(nASIG=B310)*(nAPTO="S"))/D310,"—")</f>
        <v>—</v>
      </c>
      <c r="I310" s="11" t="str">
        <f>IFERROR(SUMPRODUCT((nCUENTA=1)*(nCURSO=A310)*(nASIG=B310)*(nAPTO="N"))/D310,"—")</f>
        <v>—</v>
      </c>
      <c r="J310" t="str" cm="1">
        <f t="array" ref="J310">IFERROR(_xlfn.MODE.SNGL(_xlfn._xlws.FILTER(nNOTA,(nCUENTA=1)*(nCURSO=A310)*(nASIG=B310)*(nAPTO="S"))),"—")</f>
        <v>—</v>
      </c>
      <c r="K310" t="str" cm="1">
        <f t="array" ref="K310">IFERROR(_xlfn.MODE.SNGL(_xlfn._xlws.FILTER(nNOTA,(nCUENTA=1)*(nCURSO=A310)*(nASIG=B310)*(nAPTO="N"))),"—")</f>
        <v>—</v>
      </c>
      <c r="L310">
        <f>SUMPRODUCT((nCUENTA=1)*(nCURSO=A310)*(nASIG=B310)*(nNOTA=1))</f>
        <v>0</v>
      </c>
      <c r="M310">
        <f>SUMPRODUCT((nCUENTA=1)*(nCURSO=A310)*(nASIG=B310)*(nNOTA=2))</f>
        <v>0</v>
      </c>
      <c r="N310">
        <f>SUMPRODUCT((nCUENTA=1)*(nCURSO=A310)*(nASIG=B310)*(nNOTA=3))</f>
        <v>0</v>
      </c>
      <c r="O310">
        <f>SUMPRODUCT((nCUENTA=1)*(nCURSO=A310)*(nASIG=B310)*(nNOTA=4))</f>
        <v>0</v>
      </c>
      <c r="P310">
        <f>SUMPRODUCT((nCUENTA=1)*(nCURSO=A310)*(nASIG=B310)*(nNOTA=5))</f>
        <v>0</v>
      </c>
      <c r="Q310">
        <f>SUMPRODUCT((nCUENTA=1)*(nCURSO=A310)*(nASIG=B310)*(nNOTA=6))</f>
        <v>0</v>
      </c>
      <c r="R310">
        <f>SUMPRODUCT((nCUENTA=1)*(nCURSO=A310)*(nASIG=B310)*(nNOTA=7))</f>
        <v>0</v>
      </c>
      <c r="S310">
        <f>SUMPRODUCT((nCUENTA=1)*(nCURSO=A310)*(nASIG=B310)*(nNOTA=8))</f>
        <v>0</v>
      </c>
      <c r="T310">
        <f>SUMPRODUCT((nCUENTA=1)*(nCURSO=A310)*(nASIG=B310)*(nNOTA=9))</f>
        <v>0</v>
      </c>
      <c r="U310">
        <f>SUMPRODUCT((nCUENTA=1)*(nCURSO=A310)*(nASIG=B310)*(nNOTA=10))</f>
        <v>0</v>
      </c>
    </row>
    <row r="311">
      <c r="A311" t="inlineStr">
        <is>
          <t xml:space="preserve">4EPM</t>
        </is>
      </c>
      <c r="B311" cm="1">
        <f t="array" ref="B311">IFERROR(INDEX(_xlfn._xlws.FILTER(CONFIG_ASIGNATURAS!$B$2:$B$91,(CONFIG_ASIGNATURAS!$G$2:$G$91="Sí")*ISNUMBER(SEARCH("4EPM",CONFIG_ASIGNATURAS!$C$2:$C$91))),48),"")</f>
      </c>
      <c r="C311">
        <f>IF(B311="","",IFERROR(VLOOKUP(B311,CONFIG_ASIGNATURAS!$B$2:$D$91,3,FALSE()),"Asignatura"))</f>
      </c>
      <c r="D311">
        <f>SUMPRODUCT((nCUENTA=1)*(nCURSO=A311)*(nASIG=B311))</f>
        <v>0</v>
      </c>
      <c r="E311" s="10" t="str">
        <f>IFERROR(SUMPRODUCT((nCUENTA=1)*(nCURSO=A311)*(nASIG=B311)*(nNOTA))/D311,"—")</f>
        <v>—</v>
      </c>
      <c r="F311" s="10" t="str" cm="1">
        <f t="array" ref="F311">IFERROR(_xlfn.STDEV.P(_xlfn._xlws.FILTER(nNOTA,(nCUENTA=1)*(nCURSO=A311)*(nASIG=B311))),"—")</f>
        <v>—</v>
      </c>
      <c r="G311" t="str" cm="1">
        <f t="array" ref="G311">IFERROR(_xlfn.MODE.SNGL(_xlfn._xlws.FILTER(nNOTA,(nCUENTA=1)*(nCURSO=A311)*(nASIG=B311))),"—")</f>
        <v>—</v>
      </c>
      <c r="H311" s="11" t="str">
        <f>IFERROR(SUMPRODUCT((nCUENTA=1)*(nCURSO=A311)*(nASIG=B311)*(nAPTO="S"))/D311,"—")</f>
        <v>—</v>
      </c>
      <c r="I311" s="11" t="str">
        <f>IFERROR(SUMPRODUCT((nCUENTA=1)*(nCURSO=A311)*(nASIG=B311)*(nAPTO="N"))/D311,"—")</f>
        <v>—</v>
      </c>
      <c r="J311" t="str" cm="1">
        <f t="array" ref="J311">IFERROR(_xlfn.MODE.SNGL(_xlfn._xlws.FILTER(nNOTA,(nCUENTA=1)*(nCURSO=A311)*(nASIG=B311)*(nAPTO="S"))),"—")</f>
        <v>—</v>
      </c>
      <c r="K311" t="str" cm="1">
        <f t="array" ref="K311">IFERROR(_xlfn.MODE.SNGL(_xlfn._xlws.FILTER(nNOTA,(nCUENTA=1)*(nCURSO=A311)*(nASIG=B311)*(nAPTO="N"))),"—")</f>
        <v>—</v>
      </c>
      <c r="L311">
        <f>SUMPRODUCT((nCUENTA=1)*(nCURSO=A311)*(nASIG=B311)*(nNOTA=1))</f>
        <v>0</v>
      </c>
      <c r="M311">
        <f>SUMPRODUCT((nCUENTA=1)*(nCURSO=A311)*(nASIG=B311)*(nNOTA=2))</f>
        <v>0</v>
      </c>
      <c r="N311">
        <f>SUMPRODUCT((nCUENTA=1)*(nCURSO=A311)*(nASIG=B311)*(nNOTA=3))</f>
        <v>0</v>
      </c>
      <c r="O311">
        <f>SUMPRODUCT((nCUENTA=1)*(nCURSO=A311)*(nASIG=B311)*(nNOTA=4))</f>
        <v>0</v>
      </c>
      <c r="P311">
        <f>SUMPRODUCT((nCUENTA=1)*(nCURSO=A311)*(nASIG=B311)*(nNOTA=5))</f>
        <v>0</v>
      </c>
      <c r="Q311">
        <f>SUMPRODUCT((nCUENTA=1)*(nCURSO=A311)*(nASIG=B311)*(nNOTA=6))</f>
        <v>0</v>
      </c>
      <c r="R311">
        <f>SUMPRODUCT((nCUENTA=1)*(nCURSO=A311)*(nASIG=B311)*(nNOTA=7))</f>
        <v>0</v>
      </c>
      <c r="S311">
        <f>SUMPRODUCT((nCUENTA=1)*(nCURSO=A311)*(nASIG=B311)*(nNOTA=8))</f>
        <v>0</v>
      </c>
      <c r="T311">
        <f>SUMPRODUCT((nCUENTA=1)*(nCURSO=A311)*(nASIG=B311)*(nNOTA=9))</f>
        <v>0</v>
      </c>
      <c r="U311">
        <f>SUMPRODUCT((nCUENTA=1)*(nCURSO=A311)*(nASIG=B311)*(nNOTA=10))</f>
        <v>0</v>
      </c>
    </row>
    <row r="312">
      <c r="A312" t="inlineStr">
        <is>
          <t xml:space="preserve">4EPM</t>
        </is>
      </c>
      <c r="B312" cm="1">
        <f t="array" ref="B312">IFERROR(INDEX(_xlfn._xlws.FILTER(CONFIG_ASIGNATURAS!$B$2:$B$91,(CONFIG_ASIGNATURAS!$G$2:$G$91="Sí")*ISNUMBER(SEARCH("4EPM",CONFIG_ASIGNATURAS!$C$2:$C$91))),49),"")</f>
      </c>
      <c r="C312">
        <f>IF(B312="","",IFERROR(VLOOKUP(B312,CONFIG_ASIGNATURAS!$B$2:$D$91,3,FALSE()),"Asignatura"))</f>
      </c>
      <c r="D312">
        <f>SUMPRODUCT((nCUENTA=1)*(nCURSO=A312)*(nASIG=B312))</f>
        <v>0</v>
      </c>
      <c r="E312" s="10" t="str">
        <f>IFERROR(SUMPRODUCT((nCUENTA=1)*(nCURSO=A312)*(nASIG=B312)*(nNOTA))/D312,"—")</f>
        <v>—</v>
      </c>
      <c r="F312" s="10" t="str" cm="1">
        <f t="array" ref="F312">IFERROR(_xlfn.STDEV.P(_xlfn._xlws.FILTER(nNOTA,(nCUENTA=1)*(nCURSO=A312)*(nASIG=B312))),"—")</f>
        <v>—</v>
      </c>
      <c r="G312" t="str" cm="1">
        <f t="array" ref="G312">IFERROR(_xlfn.MODE.SNGL(_xlfn._xlws.FILTER(nNOTA,(nCUENTA=1)*(nCURSO=A312)*(nASIG=B312))),"—")</f>
        <v>—</v>
      </c>
      <c r="H312" s="11" t="str">
        <f>IFERROR(SUMPRODUCT((nCUENTA=1)*(nCURSO=A312)*(nASIG=B312)*(nAPTO="S"))/D312,"—")</f>
        <v>—</v>
      </c>
      <c r="I312" s="11" t="str">
        <f>IFERROR(SUMPRODUCT((nCUENTA=1)*(nCURSO=A312)*(nASIG=B312)*(nAPTO="N"))/D312,"—")</f>
        <v>—</v>
      </c>
      <c r="J312" t="str" cm="1">
        <f t="array" ref="J312">IFERROR(_xlfn.MODE.SNGL(_xlfn._xlws.FILTER(nNOTA,(nCUENTA=1)*(nCURSO=A312)*(nASIG=B312)*(nAPTO="S"))),"—")</f>
        <v>—</v>
      </c>
      <c r="K312" t="str" cm="1">
        <f t="array" ref="K312">IFERROR(_xlfn.MODE.SNGL(_xlfn._xlws.FILTER(nNOTA,(nCUENTA=1)*(nCURSO=A312)*(nASIG=B312)*(nAPTO="N"))),"—")</f>
        <v>—</v>
      </c>
      <c r="L312">
        <f>SUMPRODUCT((nCUENTA=1)*(nCURSO=A312)*(nASIG=B312)*(nNOTA=1))</f>
        <v>0</v>
      </c>
      <c r="M312">
        <f>SUMPRODUCT((nCUENTA=1)*(nCURSO=A312)*(nASIG=B312)*(nNOTA=2))</f>
        <v>0</v>
      </c>
      <c r="N312">
        <f>SUMPRODUCT((nCUENTA=1)*(nCURSO=A312)*(nASIG=B312)*(nNOTA=3))</f>
        <v>0</v>
      </c>
      <c r="O312">
        <f>SUMPRODUCT((nCUENTA=1)*(nCURSO=A312)*(nASIG=B312)*(nNOTA=4))</f>
        <v>0</v>
      </c>
      <c r="P312">
        <f>SUMPRODUCT((nCUENTA=1)*(nCURSO=A312)*(nASIG=B312)*(nNOTA=5))</f>
        <v>0</v>
      </c>
      <c r="Q312">
        <f>SUMPRODUCT((nCUENTA=1)*(nCURSO=A312)*(nASIG=B312)*(nNOTA=6))</f>
        <v>0</v>
      </c>
      <c r="R312">
        <f>SUMPRODUCT((nCUENTA=1)*(nCURSO=A312)*(nASIG=B312)*(nNOTA=7))</f>
        <v>0</v>
      </c>
      <c r="S312">
        <f>SUMPRODUCT((nCUENTA=1)*(nCURSO=A312)*(nASIG=B312)*(nNOTA=8))</f>
        <v>0</v>
      </c>
      <c r="T312">
        <f>SUMPRODUCT((nCUENTA=1)*(nCURSO=A312)*(nASIG=B312)*(nNOTA=9))</f>
        <v>0</v>
      </c>
      <c r="U312">
        <f>SUMPRODUCT((nCUENTA=1)*(nCURSO=A312)*(nASIG=B312)*(nNOTA=10))</f>
        <v>0</v>
      </c>
    </row>
    <row r="313">
      <c r="A313" t="inlineStr">
        <is>
          <t xml:space="preserve">4EPM</t>
        </is>
      </c>
      <c r="B313" cm="1">
        <f t="array" ref="B313">IFERROR(INDEX(_xlfn._xlws.FILTER(CONFIG_ASIGNATURAS!$B$2:$B$91,(CONFIG_ASIGNATURAS!$G$2:$G$91="Sí")*ISNUMBER(SEARCH("4EPM",CONFIG_ASIGNATURAS!$C$2:$C$91))),50),"")</f>
      </c>
      <c r="C313">
        <f>IF(B313="","",IFERROR(VLOOKUP(B313,CONFIG_ASIGNATURAS!$B$2:$D$91,3,FALSE()),"Asignatura"))</f>
      </c>
      <c r="D313">
        <f>SUMPRODUCT((nCUENTA=1)*(nCURSO=A313)*(nASIG=B313))</f>
        <v>0</v>
      </c>
      <c r="E313" s="10" t="str">
        <f>IFERROR(SUMPRODUCT((nCUENTA=1)*(nCURSO=A313)*(nASIG=B313)*(nNOTA))/D313,"—")</f>
        <v>—</v>
      </c>
      <c r="F313" s="10" t="str" cm="1">
        <f t="array" ref="F313">IFERROR(_xlfn.STDEV.P(_xlfn._xlws.FILTER(nNOTA,(nCUENTA=1)*(nCURSO=A313)*(nASIG=B313))),"—")</f>
        <v>—</v>
      </c>
      <c r="G313" t="str" cm="1">
        <f t="array" ref="G313">IFERROR(_xlfn.MODE.SNGL(_xlfn._xlws.FILTER(nNOTA,(nCUENTA=1)*(nCURSO=A313)*(nASIG=B313))),"—")</f>
        <v>—</v>
      </c>
      <c r="H313" s="11" t="str">
        <f>IFERROR(SUMPRODUCT((nCUENTA=1)*(nCURSO=A313)*(nASIG=B313)*(nAPTO="S"))/D313,"—")</f>
        <v>—</v>
      </c>
      <c r="I313" s="11" t="str">
        <f>IFERROR(SUMPRODUCT((nCUENTA=1)*(nCURSO=A313)*(nASIG=B313)*(nAPTO="N"))/D313,"—")</f>
        <v>—</v>
      </c>
      <c r="J313" t="str" cm="1">
        <f t="array" ref="J313">IFERROR(_xlfn.MODE.SNGL(_xlfn._xlws.FILTER(nNOTA,(nCUENTA=1)*(nCURSO=A313)*(nASIG=B313)*(nAPTO="S"))),"—")</f>
        <v>—</v>
      </c>
      <c r="K313" t="str" cm="1">
        <f t="array" ref="K313">IFERROR(_xlfn.MODE.SNGL(_xlfn._xlws.FILTER(nNOTA,(nCUENTA=1)*(nCURSO=A313)*(nASIG=B313)*(nAPTO="N"))),"—")</f>
        <v>—</v>
      </c>
      <c r="L313">
        <f>SUMPRODUCT((nCUENTA=1)*(nCURSO=A313)*(nASIG=B313)*(nNOTA=1))</f>
        <v>0</v>
      </c>
      <c r="M313">
        <f>SUMPRODUCT((nCUENTA=1)*(nCURSO=A313)*(nASIG=B313)*(nNOTA=2))</f>
        <v>0</v>
      </c>
      <c r="N313">
        <f>SUMPRODUCT((nCUENTA=1)*(nCURSO=A313)*(nASIG=B313)*(nNOTA=3))</f>
        <v>0</v>
      </c>
      <c r="O313">
        <f>SUMPRODUCT((nCUENTA=1)*(nCURSO=A313)*(nASIG=B313)*(nNOTA=4))</f>
        <v>0</v>
      </c>
      <c r="P313">
        <f>SUMPRODUCT((nCUENTA=1)*(nCURSO=A313)*(nASIG=B313)*(nNOTA=5))</f>
        <v>0</v>
      </c>
      <c r="Q313">
        <f>SUMPRODUCT((nCUENTA=1)*(nCURSO=A313)*(nASIG=B313)*(nNOTA=6))</f>
        <v>0</v>
      </c>
      <c r="R313">
        <f>SUMPRODUCT((nCUENTA=1)*(nCURSO=A313)*(nASIG=B313)*(nNOTA=7))</f>
        <v>0</v>
      </c>
      <c r="S313">
        <f>SUMPRODUCT((nCUENTA=1)*(nCURSO=A313)*(nASIG=B313)*(nNOTA=8))</f>
        <v>0</v>
      </c>
      <c r="T313">
        <f>SUMPRODUCT((nCUENTA=1)*(nCURSO=A313)*(nASIG=B313)*(nNOTA=9))</f>
        <v>0</v>
      </c>
      <c r="U313">
        <f>SUMPRODUCT((nCUENTA=1)*(nCURSO=A313)*(nASIG=B313)*(nNOTA=10))</f>
        <v>0</v>
      </c>
    </row>
    <row r="314">
      <c r="A314" t="inlineStr">
        <is>
          <t xml:space="preserve">4EPM</t>
        </is>
      </c>
      <c r="B314" cm="1">
        <f t="array" ref="B314">IFERROR(INDEX(_xlfn._xlws.FILTER(CONFIG_ASIGNATURAS!$B$2:$B$91,(CONFIG_ASIGNATURAS!$G$2:$G$91="Sí")*ISNUMBER(SEARCH("4EPM",CONFIG_ASIGNATURAS!$C$2:$C$91))),51),"")</f>
      </c>
      <c r="C314">
        <f>IF(B314="","",IFERROR(VLOOKUP(B314,CONFIG_ASIGNATURAS!$B$2:$D$91,3,FALSE()),"Asignatura"))</f>
      </c>
      <c r="D314">
        <f>SUMPRODUCT((nCUENTA=1)*(nCURSO=A314)*(nASIG=B314))</f>
        <v>0</v>
      </c>
      <c r="E314" s="10" t="str">
        <f>IFERROR(SUMPRODUCT((nCUENTA=1)*(nCURSO=A314)*(nASIG=B314)*(nNOTA))/D314,"—")</f>
        <v>—</v>
      </c>
      <c r="F314" s="10" t="str" cm="1">
        <f t="array" ref="F314">IFERROR(_xlfn.STDEV.P(_xlfn._xlws.FILTER(nNOTA,(nCUENTA=1)*(nCURSO=A314)*(nASIG=B314))),"—")</f>
        <v>—</v>
      </c>
      <c r="G314" t="str" cm="1">
        <f t="array" ref="G314">IFERROR(_xlfn.MODE.SNGL(_xlfn._xlws.FILTER(nNOTA,(nCUENTA=1)*(nCURSO=A314)*(nASIG=B314))),"—")</f>
        <v>—</v>
      </c>
      <c r="H314" s="11" t="str">
        <f>IFERROR(SUMPRODUCT((nCUENTA=1)*(nCURSO=A314)*(nASIG=B314)*(nAPTO="S"))/D314,"—")</f>
        <v>—</v>
      </c>
      <c r="I314" s="11" t="str">
        <f>IFERROR(SUMPRODUCT((nCUENTA=1)*(nCURSO=A314)*(nASIG=B314)*(nAPTO="N"))/D314,"—")</f>
        <v>—</v>
      </c>
      <c r="J314" t="str" cm="1">
        <f t="array" ref="J314">IFERROR(_xlfn.MODE.SNGL(_xlfn._xlws.FILTER(nNOTA,(nCUENTA=1)*(nCURSO=A314)*(nASIG=B314)*(nAPTO="S"))),"—")</f>
        <v>—</v>
      </c>
      <c r="K314" t="str" cm="1">
        <f t="array" ref="K314">IFERROR(_xlfn.MODE.SNGL(_xlfn._xlws.FILTER(nNOTA,(nCUENTA=1)*(nCURSO=A314)*(nASIG=B314)*(nAPTO="N"))),"—")</f>
        <v>—</v>
      </c>
      <c r="L314">
        <f>SUMPRODUCT((nCUENTA=1)*(nCURSO=A314)*(nASIG=B314)*(nNOTA=1))</f>
        <v>0</v>
      </c>
      <c r="M314">
        <f>SUMPRODUCT((nCUENTA=1)*(nCURSO=A314)*(nASIG=B314)*(nNOTA=2))</f>
        <v>0</v>
      </c>
      <c r="N314">
        <f>SUMPRODUCT((nCUENTA=1)*(nCURSO=A314)*(nASIG=B314)*(nNOTA=3))</f>
        <v>0</v>
      </c>
      <c r="O314">
        <f>SUMPRODUCT((nCUENTA=1)*(nCURSO=A314)*(nASIG=B314)*(nNOTA=4))</f>
        <v>0</v>
      </c>
      <c r="P314">
        <f>SUMPRODUCT((nCUENTA=1)*(nCURSO=A314)*(nASIG=B314)*(nNOTA=5))</f>
        <v>0</v>
      </c>
      <c r="Q314">
        <f>SUMPRODUCT((nCUENTA=1)*(nCURSO=A314)*(nASIG=B314)*(nNOTA=6))</f>
        <v>0</v>
      </c>
      <c r="R314">
        <f>SUMPRODUCT((nCUENTA=1)*(nCURSO=A314)*(nASIG=B314)*(nNOTA=7))</f>
        <v>0</v>
      </c>
      <c r="S314">
        <f>SUMPRODUCT((nCUENTA=1)*(nCURSO=A314)*(nASIG=B314)*(nNOTA=8))</f>
        <v>0</v>
      </c>
      <c r="T314">
        <f>SUMPRODUCT((nCUENTA=1)*(nCURSO=A314)*(nASIG=B314)*(nNOTA=9))</f>
        <v>0</v>
      </c>
      <c r="U314">
        <f>SUMPRODUCT((nCUENTA=1)*(nCURSO=A314)*(nASIG=B314)*(nNOTA=10))</f>
        <v>0</v>
      </c>
    </row>
    <row r="315">
      <c r="A315" t="inlineStr">
        <is>
          <t xml:space="preserve">4EPM</t>
        </is>
      </c>
      <c r="B315" cm="1">
        <f t="array" ref="B315">IFERROR(INDEX(_xlfn._xlws.FILTER(CONFIG_ASIGNATURAS!$B$2:$B$91,(CONFIG_ASIGNATURAS!$G$2:$G$91="Sí")*ISNUMBER(SEARCH("4EPM",CONFIG_ASIGNATURAS!$C$2:$C$91))),52),"")</f>
      </c>
      <c r="C315">
        <f>IF(B315="","",IFERROR(VLOOKUP(B315,CONFIG_ASIGNATURAS!$B$2:$D$91,3,FALSE()),"Asignatura"))</f>
      </c>
      <c r="D315">
        <f>SUMPRODUCT((nCUENTA=1)*(nCURSO=A315)*(nASIG=B315))</f>
        <v>0</v>
      </c>
      <c r="E315" s="10" t="str">
        <f>IFERROR(SUMPRODUCT((nCUENTA=1)*(nCURSO=A315)*(nASIG=B315)*(nNOTA))/D315,"—")</f>
        <v>—</v>
      </c>
      <c r="F315" s="10" t="str" cm="1">
        <f t="array" ref="F315">IFERROR(_xlfn.STDEV.P(_xlfn._xlws.FILTER(nNOTA,(nCUENTA=1)*(nCURSO=A315)*(nASIG=B315))),"—")</f>
        <v>—</v>
      </c>
      <c r="G315" t="str" cm="1">
        <f t="array" ref="G315">IFERROR(_xlfn.MODE.SNGL(_xlfn._xlws.FILTER(nNOTA,(nCUENTA=1)*(nCURSO=A315)*(nASIG=B315))),"—")</f>
        <v>—</v>
      </c>
      <c r="H315" s="11" t="str">
        <f>IFERROR(SUMPRODUCT((nCUENTA=1)*(nCURSO=A315)*(nASIG=B315)*(nAPTO="S"))/D315,"—")</f>
        <v>—</v>
      </c>
      <c r="I315" s="11" t="str">
        <f>IFERROR(SUMPRODUCT((nCUENTA=1)*(nCURSO=A315)*(nASIG=B315)*(nAPTO="N"))/D315,"—")</f>
        <v>—</v>
      </c>
      <c r="J315" t="str" cm="1">
        <f t="array" ref="J315">IFERROR(_xlfn.MODE.SNGL(_xlfn._xlws.FILTER(nNOTA,(nCUENTA=1)*(nCURSO=A315)*(nASIG=B315)*(nAPTO="S"))),"—")</f>
        <v>—</v>
      </c>
      <c r="K315" t="str" cm="1">
        <f t="array" ref="K315">IFERROR(_xlfn.MODE.SNGL(_xlfn._xlws.FILTER(nNOTA,(nCUENTA=1)*(nCURSO=A315)*(nASIG=B315)*(nAPTO="N"))),"—")</f>
        <v>—</v>
      </c>
      <c r="L315">
        <f>SUMPRODUCT((nCUENTA=1)*(nCURSO=A315)*(nASIG=B315)*(nNOTA=1))</f>
        <v>0</v>
      </c>
      <c r="M315">
        <f>SUMPRODUCT((nCUENTA=1)*(nCURSO=A315)*(nASIG=B315)*(nNOTA=2))</f>
        <v>0</v>
      </c>
      <c r="N315">
        <f>SUMPRODUCT((nCUENTA=1)*(nCURSO=A315)*(nASIG=B315)*(nNOTA=3))</f>
        <v>0</v>
      </c>
      <c r="O315">
        <f>SUMPRODUCT((nCUENTA=1)*(nCURSO=A315)*(nASIG=B315)*(nNOTA=4))</f>
        <v>0</v>
      </c>
      <c r="P315">
        <f>SUMPRODUCT((nCUENTA=1)*(nCURSO=A315)*(nASIG=B315)*(nNOTA=5))</f>
        <v>0</v>
      </c>
      <c r="Q315">
        <f>SUMPRODUCT((nCUENTA=1)*(nCURSO=A315)*(nASIG=B315)*(nNOTA=6))</f>
        <v>0</v>
      </c>
      <c r="R315">
        <f>SUMPRODUCT((nCUENTA=1)*(nCURSO=A315)*(nASIG=B315)*(nNOTA=7))</f>
        <v>0</v>
      </c>
      <c r="S315">
        <f>SUMPRODUCT((nCUENTA=1)*(nCURSO=A315)*(nASIG=B315)*(nNOTA=8))</f>
        <v>0</v>
      </c>
      <c r="T315">
        <f>SUMPRODUCT((nCUENTA=1)*(nCURSO=A315)*(nASIG=B315)*(nNOTA=9))</f>
        <v>0</v>
      </c>
      <c r="U315">
        <f>SUMPRODUCT((nCUENTA=1)*(nCURSO=A315)*(nASIG=B315)*(nNOTA=10))</f>
        <v>0</v>
      </c>
    </row>
    <row r="316">
      <c r="A316" t="inlineStr">
        <is>
          <t xml:space="preserve">4EPM</t>
        </is>
      </c>
      <c r="B316" cm="1">
        <f t="array" ref="B316">IFERROR(INDEX(_xlfn._xlws.FILTER(CONFIG_ASIGNATURAS!$B$2:$B$91,(CONFIG_ASIGNATURAS!$G$2:$G$91="Sí")*ISNUMBER(SEARCH("4EPM",CONFIG_ASIGNATURAS!$C$2:$C$91))),53),"")</f>
      </c>
      <c r="C316">
        <f>IF(B316="","",IFERROR(VLOOKUP(B316,CONFIG_ASIGNATURAS!$B$2:$D$91,3,FALSE()),"Asignatura"))</f>
      </c>
      <c r="D316">
        <f>SUMPRODUCT((nCUENTA=1)*(nCURSO=A316)*(nASIG=B316))</f>
        <v>0</v>
      </c>
      <c r="E316" s="10" t="str">
        <f>IFERROR(SUMPRODUCT((nCUENTA=1)*(nCURSO=A316)*(nASIG=B316)*(nNOTA))/D316,"—")</f>
        <v>—</v>
      </c>
      <c r="F316" s="10" t="str" cm="1">
        <f t="array" ref="F316">IFERROR(_xlfn.STDEV.P(_xlfn._xlws.FILTER(nNOTA,(nCUENTA=1)*(nCURSO=A316)*(nASIG=B316))),"—")</f>
        <v>—</v>
      </c>
      <c r="G316" t="str" cm="1">
        <f t="array" ref="G316">IFERROR(_xlfn.MODE.SNGL(_xlfn._xlws.FILTER(nNOTA,(nCUENTA=1)*(nCURSO=A316)*(nASIG=B316))),"—")</f>
        <v>—</v>
      </c>
      <c r="H316" s="11" t="str">
        <f>IFERROR(SUMPRODUCT((nCUENTA=1)*(nCURSO=A316)*(nASIG=B316)*(nAPTO="S"))/D316,"—")</f>
        <v>—</v>
      </c>
      <c r="I316" s="11" t="str">
        <f>IFERROR(SUMPRODUCT((nCUENTA=1)*(nCURSO=A316)*(nASIG=B316)*(nAPTO="N"))/D316,"—")</f>
        <v>—</v>
      </c>
      <c r="J316" t="str" cm="1">
        <f t="array" ref="J316">IFERROR(_xlfn.MODE.SNGL(_xlfn._xlws.FILTER(nNOTA,(nCUENTA=1)*(nCURSO=A316)*(nASIG=B316)*(nAPTO="S"))),"—")</f>
        <v>—</v>
      </c>
      <c r="K316" t="str" cm="1">
        <f t="array" ref="K316">IFERROR(_xlfn.MODE.SNGL(_xlfn._xlws.FILTER(nNOTA,(nCUENTA=1)*(nCURSO=A316)*(nASIG=B316)*(nAPTO="N"))),"—")</f>
        <v>—</v>
      </c>
      <c r="L316">
        <f>SUMPRODUCT((nCUENTA=1)*(nCURSO=A316)*(nASIG=B316)*(nNOTA=1))</f>
        <v>0</v>
      </c>
      <c r="M316">
        <f>SUMPRODUCT((nCUENTA=1)*(nCURSO=A316)*(nASIG=B316)*(nNOTA=2))</f>
        <v>0</v>
      </c>
      <c r="N316">
        <f>SUMPRODUCT((nCUENTA=1)*(nCURSO=A316)*(nASIG=B316)*(nNOTA=3))</f>
        <v>0</v>
      </c>
      <c r="O316">
        <f>SUMPRODUCT((nCUENTA=1)*(nCURSO=A316)*(nASIG=B316)*(nNOTA=4))</f>
        <v>0</v>
      </c>
      <c r="P316">
        <f>SUMPRODUCT((nCUENTA=1)*(nCURSO=A316)*(nASIG=B316)*(nNOTA=5))</f>
        <v>0</v>
      </c>
      <c r="Q316">
        <f>SUMPRODUCT((nCUENTA=1)*(nCURSO=A316)*(nASIG=B316)*(nNOTA=6))</f>
        <v>0</v>
      </c>
      <c r="R316">
        <f>SUMPRODUCT((nCUENTA=1)*(nCURSO=A316)*(nASIG=B316)*(nNOTA=7))</f>
        <v>0</v>
      </c>
      <c r="S316">
        <f>SUMPRODUCT((nCUENTA=1)*(nCURSO=A316)*(nASIG=B316)*(nNOTA=8))</f>
        <v>0</v>
      </c>
      <c r="T316">
        <f>SUMPRODUCT((nCUENTA=1)*(nCURSO=A316)*(nASIG=B316)*(nNOTA=9))</f>
        <v>0</v>
      </c>
      <c r="U316">
        <f>SUMPRODUCT((nCUENTA=1)*(nCURSO=A316)*(nASIG=B316)*(nNOTA=10))</f>
        <v>0</v>
      </c>
    </row>
    <row r="317">
      <c r="A317" t="inlineStr">
        <is>
          <t xml:space="preserve">4EPM</t>
        </is>
      </c>
      <c r="B317" cm="1">
        <f t="array" ref="B317">IFERROR(INDEX(_xlfn._xlws.FILTER(CONFIG_ASIGNATURAS!$B$2:$B$91,(CONFIG_ASIGNATURAS!$G$2:$G$91="Sí")*ISNUMBER(SEARCH("4EPM",CONFIG_ASIGNATURAS!$C$2:$C$91))),54),"")</f>
      </c>
      <c r="C317">
        <f>IF(B317="","",IFERROR(VLOOKUP(B317,CONFIG_ASIGNATURAS!$B$2:$D$91,3,FALSE()),"Asignatura"))</f>
      </c>
      <c r="D317">
        <f>SUMPRODUCT((nCUENTA=1)*(nCURSO=A317)*(nASIG=B317))</f>
        <v>0</v>
      </c>
      <c r="E317" s="10" t="str">
        <f>IFERROR(SUMPRODUCT((nCUENTA=1)*(nCURSO=A317)*(nASIG=B317)*(nNOTA))/D317,"—")</f>
        <v>—</v>
      </c>
      <c r="F317" s="10" t="str" cm="1">
        <f t="array" ref="F317">IFERROR(_xlfn.STDEV.P(_xlfn._xlws.FILTER(nNOTA,(nCUENTA=1)*(nCURSO=A317)*(nASIG=B317))),"—")</f>
        <v>—</v>
      </c>
      <c r="G317" t="str" cm="1">
        <f t="array" ref="G317">IFERROR(_xlfn.MODE.SNGL(_xlfn._xlws.FILTER(nNOTA,(nCUENTA=1)*(nCURSO=A317)*(nASIG=B317))),"—")</f>
        <v>—</v>
      </c>
      <c r="H317" s="11" t="str">
        <f>IFERROR(SUMPRODUCT((nCUENTA=1)*(nCURSO=A317)*(nASIG=B317)*(nAPTO="S"))/D317,"—")</f>
        <v>—</v>
      </c>
      <c r="I317" s="11" t="str">
        <f>IFERROR(SUMPRODUCT((nCUENTA=1)*(nCURSO=A317)*(nASIG=B317)*(nAPTO="N"))/D317,"—")</f>
        <v>—</v>
      </c>
      <c r="J317" t="str" cm="1">
        <f t="array" ref="J317">IFERROR(_xlfn.MODE.SNGL(_xlfn._xlws.FILTER(nNOTA,(nCUENTA=1)*(nCURSO=A317)*(nASIG=B317)*(nAPTO="S"))),"—")</f>
        <v>—</v>
      </c>
      <c r="K317" t="str" cm="1">
        <f t="array" ref="K317">IFERROR(_xlfn.MODE.SNGL(_xlfn._xlws.FILTER(nNOTA,(nCUENTA=1)*(nCURSO=A317)*(nASIG=B317)*(nAPTO="N"))),"—")</f>
        <v>—</v>
      </c>
      <c r="L317">
        <f>SUMPRODUCT((nCUENTA=1)*(nCURSO=A317)*(nASIG=B317)*(nNOTA=1))</f>
        <v>0</v>
      </c>
      <c r="M317">
        <f>SUMPRODUCT((nCUENTA=1)*(nCURSO=A317)*(nASIG=B317)*(nNOTA=2))</f>
        <v>0</v>
      </c>
      <c r="N317">
        <f>SUMPRODUCT((nCUENTA=1)*(nCURSO=A317)*(nASIG=B317)*(nNOTA=3))</f>
        <v>0</v>
      </c>
      <c r="O317">
        <f>SUMPRODUCT((nCUENTA=1)*(nCURSO=A317)*(nASIG=B317)*(nNOTA=4))</f>
        <v>0</v>
      </c>
      <c r="P317">
        <f>SUMPRODUCT((nCUENTA=1)*(nCURSO=A317)*(nASIG=B317)*(nNOTA=5))</f>
        <v>0</v>
      </c>
      <c r="Q317">
        <f>SUMPRODUCT((nCUENTA=1)*(nCURSO=A317)*(nASIG=B317)*(nNOTA=6))</f>
        <v>0</v>
      </c>
      <c r="R317">
        <f>SUMPRODUCT((nCUENTA=1)*(nCURSO=A317)*(nASIG=B317)*(nNOTA=7))</f>
        <v>0</v>
      </c>
      <c r="S317">
        <f>SUMPRODUCT((nCUENTA=1)*(nCURSO=A317)*(nASIG=B317)*(nNOTA=8))</f>
        <v>0</v>
      </c>
      <c r="T317">
        <f>SUMPRODUCT((nCUENTA=1)*(nCURSO=A317)*(nASIG=B317)*(nNOTA=9))</f>
        <v>0</v>
      </c>
      <c r="U317">
        <f>SUMPRODUCT((nCUENTA=1)*(nCURSO=A317)*(nASIG=B317)*(nNOTA=10))</f>
        <v>0</v>
      </c>
    </row>
    <row r="318">
      <c r="A318" t="inlineStr">
        <is>
          <t xml:space="preserve">4EPM</t>
        </is>
      </c>
      <c r="B318" cm="1">
        <f t="array" ref="B318">IFERROR(INDEX(_xlfn._xlws.FILTER(CONFIG_ASIGNATURAS!$B$2:$B$91,(CONFIG_ASIGNATURAS!$G$2:$G$91="Sí")*ISNUMBER(SEARCH("4EPM",CONFIG_ASIGNATURAS!$C$2:$C$91))),55),"")</f>
      </c>
      <c r="C318">
        <f>IF(B318="","",IFERROR(VLOOKUP(B318,CONFIG_ASIGNATURAS!$B$2:$D$91,3,FALSE()),"Asignatura"))</f>
      </c>
      <c r="D318">
        <f>SUMPRODUCT((nCUENTA=1)*(nCURSO=A318)*(nASIG=B318))</f>
        <v>0</v>
      </c>
      <c r="E318" s="10" t="str">
        <f>IFERROR(SUMPRODUCT((nCUENTA=1)*(nCURSO=A318)*(nASIG=B318)*(nNOTA))/D318,"—")</f>
        <v>—</v>
      </c>
      <c r="F318" s="10" t="str" cm="1">
        <f t="array" ref="F318">IFERROR(_xlfn.STDEV.P(_xlfn._xlws.FILTER(nNOTA,(nCUENTA=1)*(nCURSO=A318)*(nASIG=B318))),"—")</f>
        <v>—</v>
      </c>
      <c r="G318" t="str" cm="1">
        <f t="array" ref="G318">IFERROR(_xlfn.MODE.SNGL(_xlfn._xlws.FILTER(nNOTA,(nCUENTA=1)*(nCURSO=A318)*(nASIG=B318))),"—")</f>
        <v>—</v>
      </c>
      <c r="H318" s="11" t="str">
        <f>IFERROR(SUMPRODUCT((nCUENTA=1)*(nCURSO=A318)*(nASIG=B318)*(nAPTO="S"))/D318,"—")</f>
        <v>—</v>
      </c>
      <c r="I318" s="11" t="str">
        <f>IFERROR(SUMPRODUCT((nCUENTA=1)*(nCURSO=A318)*(nASIG=B318)*(nAPTO="N"))/D318,"—")</f>
        <v>—</v>
      </c>
      <c r="J318" t="str" cm="1">
        <f t="array" ref="J318">IFERROR(_xlfn.MODE.SNGL(_xlfn._xlws.FILTER(nNOTA,(nCUENTA=1)*(nCURSO=A318)*(nASIG=B318)*(nAPTO="S"))),"—")</f>
        <v>—</v>
      </c>
      <c r="K318" t="str" cm="1">
        <f t="array" ref="K318">IFERROR(_xlfn.MODE.SNGL(_xlfn._xlws.FILTER(nNOTA,(nCUENTA=1)*(nCURSO=A318)*(nASIG=B318)*(nAPTO="N"))),"—")</f>
        <v>—</v>
      </c>
      <c r="L318">
        <f>SUMPRODUCT((nCUENTA=1)*(nCURSO=A318)*(nASIG=B318)*(nNOTA=1))</f>
        <v>0</v>
      </c>
      <c r="M318">
        <f>SUMPRODUCT((nCUENTA=1)*(nCURSO=A318)*(nASIG=B318)*(nNOTA=2))</f>
        <v>0</v>
      </c>
      <c r="N318">
        <f>SUMPRODUCT((nCUENTA=1)*(nCURSO=A318)*(nASIG=B318)*(nNOTA=3))</f>
        <v>0</v>
      </c>
      <c r="O318">
        <f>SUMPRODUCT((nCUENTA=1)*(nCURSO=A318)*(nASIG=B318)*(nNOTA=4))</f>
        <v>0</v>
      </c>
      <c r="P318">
        <f>SUMPRODUCT((nCUENTA=1)*(nCURSO=A318)*(nASIG=B318)*(nNOTA=5))</f>
        <v>0</v>
      </c>
      <c r="Q318">
        <f>SUMPRODUCT((nCUENTA=1)*(nCURSO=A318)*(nASIG=B318)*(nNOTA=6))</f>
        <v>0</v>
      </c>
      <c r="R318">
        <f>SUMPRODUCT((nCUENTA=1)*(nCURSO=A318)*(nASIG=B318)*(nNOTA=7))</f>
        <v>0</v>
      </c>
      <c r="S318">
        <f>SUMPRODUCT((nCUENTA=1)*(nCURSO=A318)*(nASIG=B318)*(nNOTA=8))</f>
        <v>0</v>
      </c>
      <c r="T318">
        <f>SUMPRODUCT((nCUENTA=1)*(nCURSO=A318)*(nASIG=B318)*(nNOTA=9))</f>
        <v>0</v>
      </c>
      <c r="U318">
        <f>SUMPRODUCT((nCUENTA=1)*(nCURSO=A318)*(nASIG=B318)*(nNOTA=10))</f>
        <v>0</v>
      </c>
    </row>
    <row r="319">
      <c r="A319" t="inlineStr">
        <is>
          <t xml:space="preserve">4EPM</t>
        </is>
      </c>
      <c r="B319" cm="1">
        <f t="array" ref="B319">IFERROR(INDEX(_xlfn._xlws.FILTER(CONFIG_ASIGNATURAS!$B$2:$B$91,(CONFIG_ASIGNATURAS!$G$2:$G$91="Sí")*ISNUMBER(SEARCH("4EPM",CONFIG_ASIGNATURAS!$C$2:$C$91))),56),"")</f>
      </c>
      <c r="C319">
        <f>IF(B319="","",IFERROR(VLOOKUP(B319,CONFIG_ASIGNATURAS!$B$2:$D$91,3,FALSE()),"Asignatura"))</f>
      </c>
      <c r="D319">
        <f>SUMPRODUCT((nCUENTA=1)*(nCURSO=A319)*(nASIG=B319))</f>
        <v>0</v>
      </c>
      <c r="E319" s="10" t="str">
        <f>IFERROR(SUMPRODUCT((nCUENTA=1)*(nCURSO=A319)*(nASIG=B319)*(nNOTA))/D319,"—")</f>
        <v>—</v>
      </c>
      <c r="F319" s="10" t="str" cm="1">
        <f t="array" ref="F319">IFERROR(_xlfn.STDEV.P(_xlfn._xlws.FILTER(nNOTA,(nCUENTA=1)*(nCURSO=A319)*(nASIG=B319))),"—")</f>
        <v>—</v>
      </c>
      <c r="G319" t="str" cm="1">
        <f t="array" ref="G319">IFERROR(_xlfn.MODE.SNGL(_xlfn._xlws.FILTER(nNOTA,(nCUENTA=1)*(nCURSO=A319)*(nASIG=B319))),"—")</f>
        <v>—</v>
      </c>
      <c r="H319" s="11" t="str">
        <f>IFERROR(SUMPRODUCT((nCUENTA=1)*(nCURSO=A319)*(nASIG=B319)*(nAPTO="S"))/D319,"—")</f>
        <v>—</v>
      </c>
      <c r="I319" s="11" t="str">
        <f>IFERROR(SUMPRODUCT((nCUENTA=1)*(nCURSO=A319)*(nASIG=B319)*(nAPTO="N"))/D319,"—")</f>
        <v>—</v>
      </c>
      <c r="J319" t="str" cm="1">
        <f t="array" ref="J319">IFERROR(_xlfn.MODE.SNGL(_xlfn._xlws.FILTER(nNOTA,(nCUENTA=1)*(nCURSO=A319)*(nASIG=B319)*(nAPTO="S"))),"—")</f>
        <v>—</v>
      </c>
      <c r="K319" t="str" cm="1">
        <f t="array" ref="K319">IFERROR(_xlfn.MODE.SNGL(_xlfn._xlws.FILTER(nNOTA,(nCUENTA=1)*(nCURSO=A319)*(nASIG=B319)*(nAPTO="N"))),"—")</f>
        <v>—</v>
      </c>
      <c r="L319">
        <f>SUMPRODUCT((nCUENTA=1)*(nCURSO=A319)*(nASIG=B319)*(nNOTA=1))</f>
        <v>0</v>
      </c>
      <c r="M319">
        <f>SUMPRODUCT((nCUENTA=1)*(nCURSO=A319)*(nASIG=B319)*(nNOTA=2))</f>
        <v>0</v>
      </c>
      <c r="N319">
        <f>SUMPRODUCT((nCUENTA=1)*(nCURSO=A319)*(nASIG=B319)*(nNOTA=3))</f>
        <v>0</v>
      </c>
      <c r="O319">
        <f>SUMPRODUCT((nCUENTA=1)*(nCURSO=A319)*(nASIG=B319)*(nNOTA=4))</f>
        <v>0</v>
      </c>
      <c r="P319">
        <f>SUMPRODUCT((nCUENTA=1)*(nCURSO=A319)*(nASIG=B319)*(nNOTA=5))</f>
        <v>0</v>
      </c>
      <c r="Q319">
        <f>SUMPRODUCT((nCUENTA=1)*(nCURSO=A319)*(nASIG=B319)*(nNOTA=6))</f>
        <v>0</v>
      </c>
      <c r="R319">
        <f>SUMPRODUCT((nCUENTA=1)*(nCURSO=A319)*(nASIG=B319)*(nNOTA=7))</f>
        <v>0</v>
      </c>
      <c r="S319">
        <f>SUMPRODUCT((nCUENTA=1)*(nCURSO=A319)*(nASIG=B319)*(nNOTA=8))</f>
        <v>0</v>
      </c>
      <c r="T319">
        <f>SUMPRODUCT((nCUENTA=1)*(nCURSO=A319)*(nASIG=B319)*(nNOTA=9))</f>
        <v>0</v>
      </c>
      <c r="U319">
        <f>SUMPRODUCT((nCUENTA=1)*(nCURSO=A319)*(nASIG=B319)*(nNOTA=10))</f>
        <v>0</v>
      </c>
    </row>
    <row r="320">
      <c r="A320" t="inlineStr">
        <is>
          <t xml:space="preserve">4EPM</t>
        </is>
      </c>
      <c r="B320" cm="1">
        <f t="array" ref="B320">IFERROR(INDEX(_xlfn._xlws.FILTER(CONFIG_ASIGNATURAS!$B$2:$B$91,(CONFIG_ASIGNATURAS!$G$2:$G$91="Sí")*ISNUMBER(SEARCH("4EPM",CONFIG_ASIGNATURAS!$C$2:$C$91))),57),"")</f>
      </c>
      <c r="C320">
        <f>IF(B320="","",IFERROR(VLOOKUP(B320,CONFIG_ASIGNATURAS!$B$2:$D$91,3,FALSE()),"Asignatura"))</f>
      </c>
      <c r="D320">
        <f>SUMPRODUCT((nCUENTA=1)*(nCURSO=A320)*(nASIG=B320))</f>
        <v>0</v>
      </c>
      <c r="E320" s="10" t="str">
        <f>IFERROR(SUMPRODUCT((nCUENTA=1)*(nCURSO=A320)*(nASIG=B320)*(nNOTA))/D320,"—")</f>
        <v>—</v>
      </c>
      <c r="F320" s="10" t="str" cm="1">
        <f t="array" ref="F320">IFERROR(_xlfn.STDEV.P(_xlfn._xlws.FILTER(nNOTA,(nCUENTA=1)*(nCURSO=A320)*(nASIG=B320))),"—")</f>
        <v>—</v>
      </c>
      <c r="G320" t="str" cm="1">
        <f t="array" ref="G320">IFERROR(_xlfn.MODE.SNGL(_xlfn._xlws.FILTER(nNOTA,(nCUENTA=1)*(nCURSO=A320)*(nASIG=B320))),"—")</f>
        <v>—</v>
      </c>
      <c r="H320" s="11" t="str">
        <f>IFERROR(SUMPRODUCT((nCUENTA=1)*(nCURSO=A320)*(nASIG=B320)*(nAPTO="S"))/D320,"—")</f>
        <v>—</v>
      </c>
      <c r="I320" s="11" t="str">
        <f>IFERROR(SUMPRODUCT((nCUENTA=1)*(nCURSO=A320)*(nASIG=B320)*(nAPTO="N"))/D320,"—")</f>
        <v>—</v>
      </c>
      <c r="J320" t="str" cm="1">
        <f t="array" ref="J320">IFERROR(_xlfn.MODE.SNGL(_xlfn._xlws.FILTER(nNOTA,(nCUENTA=1)*(nCURSO=A320)*(nASIG=B320)*(nAPTO="S"))),"—")</f>
        <v>—</v>
      </c>
      <c r="K320" t="str" cm="1">
        <f t="array" ref="K320">IFERROR(_xlfn.MODE.SNGL(_xlfn._xlws.FILTER(nNOTA,(nCUENTA=1)*(nCURSO=A320)*(nASIG=B320)*(nAPTO="N"))),"—")</f>
        <v>—</v>
      </c>
      <c r="L320">
        <f>SUMPRODUCT((nCUENTA=1)*(nCURSO=A320)*(nASIG=B320)*(nNOTA=1))</f>
        <v>0</v>
      </c>
      <c r="M320">
        <f>SUMPRODUCT((nCUENTA=1)*(nCURSO=A320)*(nASIG=B320)*(nNOTA=2))</f>
        <v>0</v>
      </c>
      <c r="N320">
        <f>SUMPRODUCT((nCUENTA=1)*(nCURSO=A320)*(nASIG=B320)*(nNOTA=3))</f>
        <v>0</v>
      </c>
      <c r="O320">
        <f>SUMPRODUCT((nCUENTA=1)*(nCURSO=A320)*(nASIG=B320)*(nNOTA=4))</f>
        <v>0</v>
      </c>
      <c r="P320">
        <f>SUMPRODUCT((nCUENTA=1)*(nCURSO=A320)*(nASIG=B320)*(nNOTA=5))</f>
        <v>0</v>
      </c>
      <c r="Q320">
        <f>SUMPRODUCT((nCUENTA=1)*(nCURSO=A320)*(nASIG=B320)*(nNOTA=6))</f>
        <v>0</v>
      </c>
      <c r="R320">
        <f>SUMPRODUCT((nCUENTA=1)*(nCURSO=A320)*(nASIG=B320)*(nNOTA=7))</f>
        <v>0</v>
      </c>
      <c r="S320">
        <f>SUMPRODUCT((nCUENTA=1)*(nCURSO=A320)*(nASIG=B320)*(nNOTA=8))</f>
        <v>0</v>
      </c>
      <c r="T320">
        <f>SUMPRODUCT((nCUENTA=1)*(nCURSO=A320)*(nASIG=B320)*(nNOTA=9))</f>
        <v>0</v>
      </c>
      <c r="U320">
        <f>SUMPRODUCT((nCUENTA=1)*(nCURSO=A320)*(nASIG=B320)*(nNOTA=10))</f>
        <v>0</v>
      </c>
    </row>
    <row r="321">
      <c r="A321" t="inlineStr">
        <is>
          <t xml:space="preserve">4EPM</t>
        </is>
      </c>
      <c r="B321" cm="1">
        <f t="array" ref="B321">IFERROR(INDEX(_xlfn._xlws.FILTER(CONFIG_ASIGNATURAS!$B$2:$B$91,(CONFIG_ASIGNATURAS!$G$2:$G$91="Sí")*ISNUMBER(SEARCH("4EPM",CONFIG_ASIGNATURAS!$C$2:$C$91))),58),"")</f>
      </c>
      <c r="C321">
        <f>IF(B321="","",IFERROR(VLOOKUP(B321,CONFIG_ASIGNATURAS!$B$2:$D$91,3,FALSE()),"Asignatura"))</f>
      </c>
      <c r="D321">
        <f>SUMPRODUCT((nCUENTA=1)*(nCURSO=A321)*(nASIG=B321))</f>
        <v>0</v>
      </c>
      <c r="E321" s="10" t="str">
        <f>IFERROR(SUMPRODUCT((nCUENTA=1)*(nCURSO=A321)*(nASIG=B321)*(nNOTA))/D321,"—")</f>
        <v>—</v>
      </c>
      <c r="F321" s="10" t="str" cm="1">
        <f t="array" ref="F321">IFERROR(_xlfn.STDEV.P(_xlfn._xlws.FILTER(nNOTA,(nCUENTA=1)*(nCURSO=A321)*(nASIG=B321))),"—")</f>
        <v>—</v>
      </c>
      <c r="G321" t="str" cm="1">
        <f t="array" ref="G321">IFERROR(_xlfn.MODE.SNGL(_xlfn._xlws.FILTER(nNOTA,(nCUENTA=1)*(nCURSO=A321)*(nASIG=B321))),"—")</f>
        <v>—</v>
      </c>
      <c r="H321" s="11" t="str">
        <f>IFERROR(SUMPRODUCT((nCUENTA=1)*(nCURSO=A321)*(nASIG=B321)*(nAPTO="S"))/D321,"—")</f>
        <v>—</v>
      </c>
      <c r="I321" s="11" t="str">
        <f>IFERROR(SUMPRODUCT((nCUENTA=1)*(nCURSO=A321)*(nASIG=B321)*(nAPTO="N"))/D321,"—")</f>
        <v>—</v>
      </c>
      <c r="J321" t="str" cm="1">
        <f t="array" ref="J321">IFERROR(_xlfn.MODE.SNGL(_xlfn._xlws.FILTER(nNOTA,(nCUENTA=1)*(nCURSO=A321)*(nASIG=B321)*(nAPTO="S"))),"—")</f>
        <v>—</v>
      </c>
      <c r="K321" t="str" cm="1">
        <f t="array" ref="K321">IFERROR(_xlfn.MODE.SNGL(_xlfn._xlws.FILTER(nNOTA,(nCUENTA=1)*(nCURSO=A321)*(nASIG=B321)*(nAPTO="N"))),"—")</f>
        <v>—</v>
      </c>
      <c r="L321">
        <f>SUMPRODUCT((nCUENTA=1)*(nCURSO=A321)*(nASIG=B321)*(nNOTA=1))</f>
        <v>0</v>
      </c>
      <c r="M321">
        <f>SUMPRODUCT((nCUENTA=1)*(nCURSO=A321)*(nASIG=B321)*(nNOTA=2))</f>
        <v>0</v>
      </c>
      <c r="N321">
        <f>SUMPRODUCT((nCUENTA=1)*(nCURSO=A321)*(nASIG=B321)*(nNOTA=3))</f>
        <v>0</v>
      </c>
      <c r="O321">
        <f>SUMPRODUCT((nCUENTA=1)*(nCURSO=A321)*(nASIG=B321)*(nNOTA=4))</f>
        <v>0</v>
      </c>
      <c r="P321">
        <f>SUMPRODUCT((nCUENTA=1)*(nCURSO=A321)*(nASIG=B321)*(nNOTA=5))</f>
        <v>0</v>
      </c>
      <c r="Q321">
        <f>SUMPRODUCT((nCUENTA=1)*(nCURSO=A321)*(nASIG=B321)*(nNOTA=6))</f>
        <v>0</v>
      </c>
      <c r="R321">
        <f>SUMPRODUCT((nCUENTA=1)*(nCURSO=A321)*(nASIG=B321)*(nNOTA=7))</f>
        <v>0</v>
      </c>
      <c r="S321">
        <f>SUMPRODUCT((nCUENTA=1)*(nCURSO=A321)*(nASIG=B321)*(nNOTA=8))</f>
        <v>0</v>
      </c>
      <c r="T321">
        <f>SUMPRODUCT((nCUENTA=1)*(nCURSO=A321)*(nASIG=B321)*(nNOTA=9))</f>
        <v>0</v>
      </c>
      <c r="U321">
        <f>SUMPRODUCT((nCUENTA=1)*(nCURSO=A321)*(nASIG=B321)*(nNOTA=10))</f>
        <v>0</v>
      </c>
    </row>
    <row r="322">
      <c r="A322" t="inlineStr">
        <is>
          <t xml:space="preserve">4EPM</t>
        </is>
      </c>
      <c r="B322" cm="1">
        <f t="array" ref="B322">IFERROR(INDEX(_xlfn._xlws.FILTER(CONFIG_ASIGNATURAS!$B$2:$B$91,(CONFIG_ASIGNATURAS!$G$2:$G$91="Sí")*ISNUMBER(SEARCH("4EPM",CONFIG_ASIGNATURAS!$C$2:$C$91))),59),"")</f>
      </c>
      <c r="C322">
        <f>IF(B322="","",IFERROR(VLOOKUP(B322,CONFIG_ASIGNATURAS!$B$2:$D$91,3,FALSE()),"Asignatura"))</f>
      </c>
      <c r="D322">
        <f>SUMPRODUCT((nCUENTA=1)*(nCURSO=A322)*(nASIG=B322))</f>
        <v>0</v>
      </c>
      <c r="E322" s="10" t="str">
        <f>IFERROR(SUMPRODUCT((nCUENTA=1)*(nCURSO=A322)*(nASIG=B322)*(nNOTA))/D322,"—")</f>
        <v>—</v>
      </c>
      <c r="F322" s="10" t="str" cm="1">
        <f t="array" ref="F322">IFERROR(_xlfn.STDEV.P(_xlfn._xlws.FILTER(nNOTA,(nCUENTA=1)*(nCURSO=A322)*(nASIG=B322))),"—")</f>
        <v>—</v>
      </c>
      <c r="G322" t="str" cm="1">
        <f t="array" ref="G322">IFERROR(_xlfn.MODE.SNGL(_xlfn._xlws.FILTER(nNOTA,(nCUENTA=1)*(nCURSO=A322)*(nASIG=B322))),"—")</f>
        <v>—</v>
      </c>
      <c r="H322" s="11" t="str">
        <f>IFERROR(SUMPRODUCT((nCUENTA=1)*(nCURSO=A322)*(nASIG=B322)*(nAPTO="S"))/D322,"—")</f>
        <v>—</v>
      </c>
      <c r="I322" s="11" t="str">
        <f>IFERROR(SUMPRODUCT((nCUENTA=1)*(nCURSO=A322)*(nASIG=B322)*(nAPTO="N"))/D322,"—")</f>
        <v>—</v>
      </c>
      <c r="J322" t="str" cm="1">
        <f t="array" ref="J322">IFERROR(_xlfn.MODE.SNGL(_xlfn._xlws.FILTER(nNOTA,(nCUENTA=1)*(nCURSO=A322)*(nASIG=B322)*(nAPTO="S"))),"—")</f>
        <v>—</v>
      </c>
      <c r="K322" t="str" cm="1">
        <f t="array" ref="K322">IFERROR(_xlfn.MODE.SNGL(_xlfn._xlws.FILTER(nNOTA,(nCUENTA=1)*(nCURSO=A322)*(nASIG=B322)*(nAPTO="N"))),"—")</f>
        <v>—</v>
      </c>
      <c r="L322">
        <f>SUMPRODUCT((nCUENTA=1)*(nCURSO=A322)*(nASIG=B322)*(nNOTA=1))</f>
        <v>0</v>
      </c>
      <c r="M322">
        <f>SUMPRODUCT((nCUENTA=1)*(nCURSO=A322)*(nASIG=B322)*(nNOTA=2))</f>
        <v>0</v>
      </c>
      <c r="N322">
        <f>SUMPRODUCT((nCUENTA=1)*(nCURSO=A322)*(nASIG=B322)*(nNOTA=3))</f>
        <v>0</v>
      </c>
      <c r="O322">
        <f>SUMPRODUCT((nCUENTA=1)*(nCURSO=A322)*(nASIG=B322)*(nNOTA=4))</f>
        <v>0</v>
      </c>
      <c r="P322">
        <f>SUMPRODUCT((nCUENTA=1)*(nCURSO=A322)*(nASIG=B322)*(nNOTA=5))</f>
        <v>0</v>
      </c>
      <c r="Q322">
        <f>SUMPRODUCT((nCUENTA=1)*(nCURSO=A322)*(nASIG=B322)*(nNOTA=6))</f>
        <v>0</v>
      </c>
      <c r="R322">
        <f>SUMPRODUCT((nCUENTA=1)*(nCURSO=A322)*(nASIG=B322)*(nNOTA=7))</f>
        <v>0</v>
      </c>
      <c r="S322">
        <f>SUMPRODUCT((nCUENTA=1)*(nCURSO=A322)*(nASIG=B322)*(nNOTA=8))</f>
        <v>0</v>
      </c>
      <c r="T322">
        <f>SUMPRODUCT((nCUENTA=1)*(nCURSO=A322)*(nASIG=B322)*(nNOTA=9))</f>
        <v>0</v>
      </c>
      <c r="U322">
        <f>SUMPRODUCT((nCUENTA=1)*(nCURSO=A322)*(nASIG=B322)*(nNOTA=10))</f>
        <v>0</v>
      </c>
    </row>
    <row r="323">
      <c r="A323" t="inlineStr">
        <is>
          <t xml:space="preserve">4EPM</t>
        </is>
      </c>
      <c r="B323" cm="1">
        <f t="array" ref="B323">IFERROR(INDEX(_xlfn._xlws.FILTER(CONFIG_ASIGNATURAS!$B$2:$B$91,(CONFIG_ASIGNATURAS!$G$2:$G$91="Sí")*ISNUMBER(SEARCH("4EPM",CONFIG_ASIGNATURAS!$C$2:$C$91))),60),"")</f>
      </c>
      <c r="C323">
        <f>IF(B323="","",IFERROR(VLOOKUP(B323,CONFIG_ASIGNATURAS!$B$2:$D$91,3,FALSE()),"Asignatura"))</f>
      </c>
      <c r="D323">
        <f>SUMPRODUCT((nCUENTA=1)*(nCURSO=A323)*(nASIG=B323))</f>
        <v>0</v>
      </c>
      <c r="E323" s="10" t="str">
        <f>IFERROR(SUMPRODUCT((nCUENTA=1)*(nCURSO=A323)*(nASIG=B323)*(nNOTA))/D323,"—")</f>
        <v>—</v>
      </c>
      <c r="F323" s="10" t="str" cm="1">
        <f t="array" ref="F323">IFERROR(_xlfn.STDEV.P(_xlfn._xlws.FILTER(nNOTA,(nCUENTA=1)*(nCURSO=A323)*(nASIG=B323))),"—")</f>
        <v>—</v>
      </c>
      <c r="G323" t="str" cm="1">
        <f t="array" ref="G323">IFERROR(_xlfn.MODE.SNGL(_xlfn._xlws.FILTER(nNOTA,(nCUENTA=1)*(nCURSO=A323)*(nASIG=B323))),"—")</f>
        <v>—</v>
      </c>
      <c r="H323" s="11" t="str">
        <f>IFERROR(SUMPRODUCT((nCUENTA=1)*(nCURSO=A323)*(nASIG=B323)*(nAPTO="S"))/D323,"—")</f>
        <v>—</v>
      </c>
      <c r="I323" s="11" t="str">
        <f>IFERROR(SUMPRODUCT((nCUENTA=1)*(nCURSO=A323)*(nASIG=B323)*(nAPTO="N"))/D323,"—")</f>
        <v>—</v>
      </c>
      <c r="J323" t="str" cm="1">
        <f t="array" ref="J323">IFERROR(_xlfn.MODE.SNGL(_xlfn._xlws.FILTER(nNOTA,(nCUENTA=1)*(nCURSO=A323)*(nASIG=B323)*(nAPTO="S"))),"—")</f>
        <v>—</v>
      </c>
      <c r="K323" t="str" cm="1">
        <f t="array" ref="K323">IFERROR(_xlfn.MODE.SNGL(_xlfn._xlws.FILTER(nNOTA,(nCUENTA=1)*(nCURSO=A323)*(nASIG=B323)*(nAPTO="N"))),"—")</f>
        <v>—</v>
      </c>
      <c r="L323">
        <f>SUMPRODUCT((nCUENTA=1)*(nCURSO=A323)*(nASIG=B323)*(nNOTA=1))</f>
        <v>0</v>
      </c>
      <c r="M323">
        <f>SUMPRODUCT((nCUENTA=1)*(nCURSO=A323)*(nASIG=B323)*(nNOTA=2))</f>
        <v>0</v>
      </c>
      <c r="N323">
        <f>SUMPRODUCT((nCUENTA=1)*(nCURSO=A323)*(nASIG=B323)*(nNOTA=3))</f>
        <v>0</v>
      </c>
      <c r="O323">
        <f>SUMPRODUCT((nCUENTA=1)*(nCURSO=A323)*(nASIG=B323)*(nNOTA=4))</f>
        <v>0</v>
      </c>
      <c r="P323">
        <f>SUMPRODUCT((nCUENTA=1)*(nCURSO=A323)*(nASIG=B323)*(nNOTA=5))</f>
        <v>0</v>
      </c>
      <c r="Q323">
        <f>SUMPRODUCT((nCUENTA=1)*(nCURSO=A323)*(nASIG=B323)*(nNOTA=6))</f>
        <v>0</v>
      </c>
      <c r="R323">
        <f>SUMPRODUCT((nCUENTA=1)*(nCURSO=A323)*(nASIG=B323)*(nNOTA=7))</f>
        <v>0</v>
      </c>
      <c r="S323">
        <f>SUMPRODUCT((nCUENTA=1)*(nCURSO=A323)*(nASIG=B323)*(nNOTA=8))</f>
        <v>0</v>
      </c>
      <c r="T323">
        <f>SUMPRODUCT((nCUENTA=1)*(nCURSO=A323)*(nASIG=B323)*(nNOTA=9))</f>
        <v>0</v>
      </c>
      <c r="U323">
        <f>SUMPRODUCT((nCUENTA=1)*(nCURSO=A323)*(nASIG=B323)*(nNOTA=10))</f>
        <v>0</v>
      </c>
    </row>
    <row r="324">
      <c r="A324" t="inlineStr">
        <is>
          <t xml:space="preserve">5EPM</t>
        </is>
      </c>
      <c r="B324" cm="1">
        <f t="array" ref="B324">IFERROR(INDEX(_xlfn._xlws.FILTER(CONFIG_ASIGNATURAS!$B$2:$B$91,(CONFIG_ASIGNATURAS!$G$2:$G$91="Sí")*ISNUMBER(SEARCH("5EPM",CONFIG_ASIGNATURAS!$C$2:$C$91))),1),"")</f>
      </c>
      <c r="C324">
        <f>IF(B324="","",IFERROR(VLOOKUP(B324,CONFIG_ASIGNATURAS!$B$2:$D$91,3,FALSE()),"Asignatura"))</f>
      </c>
      <c r="D324">
        <f>SUMPRODUCT((nCUENTA=1)*(nCURSO=A324)*(nASIG=B324))</f>
        <v>0</v>
      </c>
      <c r="E324" s="10" t="str">
        <f>IFERROR(SUMPRODUCT((nCUENTA=1)*(nCURSO=A324)*(nASIG=B324)*(nNOTA))/D324,"—")</f>
        <v>—</v>
      </c>
      <c r="F324" s="10" t="str" cm="1">
        <f t="array" ref="F324">IFERROR(_xlfn.STDEV.P(_xlfn._xlws.FILTER(nNOTA,(nCUENTA=1)*(nCURSO=A324)*(nASIG=B324))),"—")</f>
        <v>—</v>
      </c>
      <c r="G324" t="str" cm="1">
        <f t="array" ref="G324">IFERROR(_xlfn.MODE.SNGL(_xlfn._xlws.FILTER(nNOTA,(nCUENTA=1)*(nCURSO=A324)*(nASIG=B324))),"—")</f>
        <v>—</v>
      </c>
      <c r="H324" s="11" t="str">
        <f>IFERROR(SUMPRODUCT((nCUENTA=1)*(nCURSO=A324)*(nASIG=B324)*(nAPTO="S"))/D324,"—")</f>
        <v>—</v>
      </c>
      <c r="I324" s="11" t="str">
        <f>IFERROR(SUMPRODUCT((nCUENTA=1)*(nCURSO=A324)*(nASIG=B324)*(nAPTO="N"))/D324,"—")</f>
        <v>—</v>
      </c>
      <c r="J324" t="str" cm="1">
        <f t="array" ref="J324">IFERROR(_xlfn.MODE.SNGL(_xlfn._xlws.FILTER(nNOTA,(nCUENTA=1)*(nCURSO=A324)*(nASIG=B324)*(nAPTO="S"))),"—")</f>
        <v>—</v>
      </c>
      <c r="K324" t="str" cm="1">
        <f t="array" ref="K324">IFERROR(_xlfn.MODE.SNGL(_xlfn._xlws.FILTER(nNOTA,(nCUENTA=1)*(nCURSO=A324)*(nASIG=B324)*(nAPTO="N"))),"—")</f>
        <v>—</v>
      </c>
      <c r="L324">
        <f>SUMPRODUCT((nCUENTA=1)*(nCURSO=A324)*(nASIG=B324)*(nNOTA=1))</f>
        <v>0</v>
      </c>
      <c r="M324">
        <f>SUMPRODUCT((nCUENTA=1)*(nCURSO=A324)*(nASIG=B324)*(nNOTA=2))</f>
        <v>0</v>
      </c>
      <c r="N324">
        <f>SUMPRODUCT((nCUENTA=1)*(nCURSO=A324)*(nASIG=B324)*(nNOTA=3))</f>
        <v>0</v>
      </c>
      <c r="O324">
        <f>SUMPRODUCT((nCUENTA=1)*(nCURSO=A324)*(nASIG=B324)*(nNOTA=4))</f>
        <v>0</v>
      </c>
      <c r="P324">
        <f>SUMPRODUCT((nCUENTA=1)*(nCURSO=A324)*(nASIG=B324)*(nNOTA=5))</f>
        <v>0</v>
      </c>
      <c r="Q324">
        <f>SUMPRODUCT((nCUENTA=1)*(nCURSO=A324)*(nASIG=B324)*(nNOTA=6))</f>
        <v>0</v>
      </c>
      <c r="R324">
        <f>SUMPRODUCT((nCUENTA=1)*(nCURSO=A324)*(nASIG=B324)*(nNOTA=7))</f>
        <v>0</v>
      </c>
      <c r="S324">
        <f>SUMPRODUCT((nCUENTA=1)*(nCURSO=A324)*(nASIG=B324)*(nNOTA=8))</f>
        <v>0</v>
      </c>
      <c r="T324">
        <f>SUMPRODUCT((nCUENTA=1)*(nCURSO=A324)*(nASIG=B324)*(nNOTA=9))</f>
        <v>0</v>
      </c>
      <c r="U324">
        <f>SUMPRODUCT((nCUENTA=1)*(nCURSO=A324)*(nASIG=B324)*(nNOTA=10))</f>
        <v>0</v>
      </c>
    </row>
    <row r="325">
      <c r="A325" t="inlineStr">
        <is>
          <t xml:space="preserve">5EPM</t>
        </is>
      </c>
      <c r="B325" cm="1">
        <f t="array" ref="B325">IFERROR(INDEX(_xlfn._xlws.FILTER(CONFIG_ASIGNATURAS!$B$2:$B$91,(CONFIG_ASIGNATURAS!$G$2:$G$91="Sí")*ISNUMBER(SEARCH("5EPM",CONFIG_ASIGNATURAS!$C$2:$C$91))),2),"")</f>
      </c>
      <c r="C325">
        <f>IF(B325="","",IFERROR(VLOOKUP(B325,CONFIG_ASIGNATURAS!$B$2:$D$91,3,FALSE()),"Asignatura"))</f>
      </c>
      <c r="D325">
        <f>SUMPRODUCT((nCUENTA=1)*(nCURSO=A325)*(nASIG=B325))</f>
        <v>0</v>
      </c>
      <c r="E325" s="10" t="str">
        <f>IFERROR(SUMPRODUCT((nCUENTA=1)*(nCURSO=A325)*(nASIG=B325)*(nNOTA))/D325,"—")</f>
        <v>—</v>
      </c>
      <c r="F325" s="10" t="str" cm="1">
        <f t="array" ref="F325">IFERROR(_xlfn.STDEV.P(_xlfn._xlws.FILTER(nNOTA,(nCUENTA=1)*(nCURSO=A325)*(nASIG=B325))),"—")</f>
        <v>—</v>
      </c>
      <c r="G325" t="str" cm="1">
        <f t="array" ref="G325">IFERROR(_xlfn.MODE.SNGL(_xlfn._xlws.FILTER(nNOTA,(nCUENTA=1)*(nCURSO=A325)*(nASIG=B325))),"—")</f>
        <v>—</v>
      </c>
      <c r="H325" s="11" t="str">
        <f>IFERROR(SUMPRODUCT((nCUENTA=1)*(nCURSO=A325)*(nASIG=B325)*(nAPTO="S"))/D325,"—")</f>
        <v>—</v>
      </c>
      <c r="I325" s="11" t="str">
        <f>IFERROR(SUMPRODUCT((nCUENTA=1)*(nCURSO=A325)*(nASIG=B325)*(nAPTO="N"))/D325,"—")</f>
        <v>—</v>
      </c>
      <c r="J325" t="str" cm="1">
        <f t="array" ref="J325">IFERROR(_xlfn.MODE.SNGL(_xlfn._xlws.FILTER(nNOTA,(nCUENTA=1)*(nCURSO=A325)*(nASIG=B325)*(nAPTO="S"))),"—")</f>
        <v>—</v>
      </c>
      <c r="K325" t="str" cm="1">
        <f t="array" ref="K325">IFERROR(_xlfn.MODE.SNGL(_xlfn._xlws.FILTER(nNOTA,(nCUENTA=1)*(nCURSO=A325)*(nASIG=B325)*(nAPTO="N"))),"—")</f>
        <v>—</v>
      </c>
      <c r="L325">
        <f>SUMPRODUCT((nCUENTA=1)*(nCURSO=A325)*(nASIG=B325)*(nNOTA=1))</f>
        <v>0</v>
      </c>
      <c r="M325">
        <f>SUMPRODUCT((nCUENTA=1)*(nCURSO=A325)*(nASIG=B325)*(nNOTA=2))</f>
        <v>0</v>
      </c>
      <c r="N325">
        <f>SUMPRODUCT((nCUENTA=1)*(nCURSO=A325)*(nASIG=B325)*(nNOTA=3))</f>
        <v>0</v>
      </c>
      <c r="O325">
        <f>SUMPRODUCT((nCUENTA=1)*(nCURSO=A325)*(nASIG=B325)*(nNOTA=4))</f>
        <v>0</v>
      </c>
      <c r="P325">
        <f>SUMPRODUCT((nCUENTA=1)*(nCURSO=A325)*(nASIG=B325)*(nNOTA=5))</f>
        <v>0</v>
      </c>
      <c r="Q325">
        <f>SUMPRODUCT((nCUENTA=1)*(nCURSO=A325)*(nASIG=B325)*(nNOTA=6))</f>
        <v>0</v>
      </c>
      <c r="R325">
        <f>SUMPRODUCT((nCUENTA=1)*(nCURSO=A325)*(nASIG=B325)*(nNOTA=7))</f>
        <v>0</v>
      </c>
      <c r="S325">
        <f>SUMPRODUCT((nCUENTA=1)*(nCURSO=A325)*(nASIG=B325)*(nNOTA=8))</f>
        <v>0</v>
      </c>
      <c r="T325">
        <f>SUMPRODUCT((nCUENTA=1)*(nCURSO=A325)*(nASIG=B325)*(nNOTA=9))</f>
        <v>0</v>
      </c>
      <c r="U325">
        <f>SUMPRODUCT((nCUENTA=1)*(nCURSO=A325)*(nASIG=B325)*(nNOTA=10))</f>
        <v>0</v>
      </c>
    </row>
    <row r="326">
      <c r="A326" t="inlineStr">
        <is>
          <t xml:space="preserve">5EPM</t>
        </is>
      </c>
      <c r="B326" cm="1">
        <f t="array" ref="B326">IFERROR(INDEX(_xlfn._xlws.FILTER(CONFIG_ASIGNATURAS!$B$2:$B$91,(CONFIG_ASIGNATURAS!$G$2:$G$91="Sí")*ISNUMBER(SEARCH("5EPM",CONFIG_ASIGNATURAS!$C$2:$C$91))),3),"")</f>
      </c>
      <c r="C326">
        <f>IF(B326="","",IFERROR(VLOOKUP(B326,CONFIG_ASIGNATURAS!$B$2:$D$91,3,FALSE()),"Asignatura"))</f>
      </c>
      <c r="D326">
        <f>SUMPRODUCT((nCUENTA=1)*(nCURSO=A326)*(nASIG=B326))</f>
        <v>0</v>
      </c>
      <c r="E326" s="10" t="str">
        <f>IFERROR(SUMPRODUCT((nCUENTA=1)*(nCURSO=A326)*(nASIG=B326)*(nNOTA))/D326,"—")</f>
        <v>—</v>
      </c>
      <c r="F326" s="10" t="str" cm="1">
        <f t="array" ref="F326">IFERROR(_xlfn.STDEV.P(_xlfn._xlws.FILTER(nNOTA,(nCUENTA=1)*(nCURSO=A326)*(nASIG=B326))),"—")</f>
        <v>—</v>
      </c>
      <c r="G326" t="str" cm="1">
        <f t="array" ref="G326">IFERROR(_xlfn.MODE.SNGL(_xlfn._xlws.FILTER(nNOTA,(nCUENTA=1)*(nCURSO=A326)*(nASIG=B326))),"—")</f>
        <v>—</v>
      </c>
      <c r="H326" s="11" t="str">
        <f>IFERROR(SUMPRODUCT((nCUENTA=1)*(nCURSO=A326)*(nASIG=B326)*(nAPTO="S"))/D326,"—")</f>
        <v>—</v>
      </c>
      <c r="I326" s="11" t="str">
        <f>IFERROR(SUMPRODUCT((nCUENTA=1)*(nCURSO=A326)*(nASIG=B326)*(nAPTO="N"))/D326,"—")</f>
        <v>—</v>
      </c>
      <c r="J326" t="str" cm="1">
        <f t="array" ref="J326">IFERROR(_xlfn.MODE.SNGL(_xlfn._xlws.FILTER(nNOTA,(nCUENTA=1)*(nCURSO=A326)*(nASIG=B326)*(nAPTO="S"))),"—")</f>
        <v>—</v>
      </c>
      <c r="K326" t="str" cm="1">
        <f t="array" ref="K326">IFERROR(_xlfn.MODE.SNGL(_xlfn._xlws.FILTER(nNOTA,(nCUENTA=1)*(nCURSO=A326)*(nASIG=B326)*(nAPTO="N"))),"—")</f>
        <v>—</v>
      </c>
      <c r="L326">
        <f>SUMPRODUCT((nCUENTA=1)*(nCURSO=A326)*(nASIG=B326)*(nNOTA=1))</f>
        <v>0</v>
      </c>
      <c r="M326">
        <f>SUMPRODUCT((nCUENTA=1)*(nCURSO=A326)*(nASIG=B326)*(nNOTA=2))</f>
        <v>0</v>
      </c>
      <c r="N326">
        <f>SUMPRODUCT((nCUENTA=1)*(nCURSO=A326)*(nASIG=B326)*(nNOTA=3))</f>
        <v>0</v>
      </c>
      <c r="O326">
        <f>SUMPRODUCT((nCUENTA=1)*(nCURSO=A326)*(nASIG=B326)*(nNOTA=4))</f>
        <v>0</v>
      </c>
      <c r="P326">
        <f>SUMPRODUCT((nCUENTA=1)*(nCURSO=A326)*(nASIG=B326)*(nNOTA=5))</f>
        <v>0</v>
      </c>
      <c r="Q326">
        <f>SUMPRODUCT((nCUENTA=1)*(nCURSO=A326)*(nASIG=B326)*(nNOTA=6))</f>
        <v>0</v>
      </c>
      <c r="R326">
        <f>SUMPRODUCT((nCUENTA=1)*(nCURSO=A326)*(nASIG=B326)*(nNOTA=7))</f>
        <v>0</v>
      </c>
      <c r="S326">
        <f>SUMPRODUCT((nCUENTA=1)*(nCURSO=A326)*(nASIG=B326)*(nNOTA=8))</f>
        <v>0</v>
      </c>
      <c r="T326">
        <f>SUMPRODUCT((nCUENTA=1)*(nCURSO=A326)*(nASIG=B326)*(nNOTA=9))</f>
        <v>0</v>
      </c>
      <c r="U326">
        <f>SUMPRODUCT((nCUENTA=1)*(nCURSO=A326)*(nASIG=B326)*(nNOTA=10))</f>
        <v>0</v>
      </c>
    </row>
    <row r="327">
      <c r="A327" t="inlineStr">
        <is>
          <t xml:space="preserve">5EPM</t>
        </is>
      </c>
      <c r="B327" cm="1">
        <f t="array" ref="B327">IFERROR(INDEX(_xlfn._xlws.FILTER(CONFIG_ASIGNATURAS!$B$2:$B$91,(CONFIG_ASIGNATURAS!$G$2:$G$91="Sí")*ISNUMBER(SEARCH("5EPM",CONFIG_ASIGNATURAS!$C$2:$C$91))),4),"")</f>
      </c>
      <c r="C327">
        <f>IF(B327="","",IFERROR(VLOOKUP(B327,CONFIG_ASIGNATURAS!$B$2:$D$91,3,FALSE()),"Asignatura"))</f>
      </c>
      <c r="D327">
        <f>SUMPRODUCT((nCUENTA=1)*(nCURSO=A327)*(nASIG=B327))</f>
        <v>0</v>
      </c>
      <c r="E327" s="10" t="str">
        <f>IFERROR(SUMPRODUCT((nCUENTA=1)*(nCURSO=A327)*(nASIG=B327)*(nNOTA))/D327,"—")</f>
        <v>—</v>
      </c>
      <c r="F327" s="10" t="str" cm="1">
        <f t="array" ref="F327">IFERROR(_xlfn.STDEV.P(_xlfn._xlws.FILTER(nNOTA,(nCUENTA=1)*(nCURSO=A327)*(nASIG=B327))),"—")</f>
        <v>—</v>
      </c>
      <c r="G327" t="str" cm="1">
        <f t="array" ref="G327">IFERROR(_xlfn.MODE.SNGL(_xlfn._xlws.FILTER(nNOTA,(nCUENTA=1)*(nCURSO=A327)*(nASIG=B327))),"—")</f>
        <v>—</v>
      </c>
      <c r="H327" s="11" t="str">
        <f>IFERROR(SUMPRODUCT((nCUENTA=1)*(nCURSO=A327)*(nASIG=B327)*(nAPTO="S"))/D327,"—")</f>
        <v>—</v>
      </c>
      <c r="I327" s="11" t="str">
        <f>IFERROR(SUMPRODUCT((nCUENTA=1)*(nCURSO=A327)*(nASIG=B327)*(nAPTO="N"))/D327,"—")</f>
        <v>—</v>
      </c>
      <c r="J327" t="str" cm="1">
        <f t="array" ref="J327">IFERROR(_xlfn.MODE.SNGL(_xlfn._xlws.FILTER(nNOTA,(nCUENTA=1)*(nCURSO=A327)*(nASIG=B327)*(nAPTO="S"))),"—")</f>
        <v>—</v>
      </c>
      <c r="K327" t="str" cm="1">
        <f t="array" ref="K327">IFERROR(_xlfn.MODE.SNGL(_xlfn._xlws.FILTER(nNOTA,(nCUENTA=1)*(nCURSO=A327)*(nASIG=B327)*(nAPTO="N"))),"—")</f>
        <v>—</v>
      </c>
      <c r="L327">
        <f>SUMPRODUCT((nCUENTA=1)*(nCURSO=A327)*(nASIG=B327)*(nNOTA=1))</f>
        <v>0</v>
      </c>
      <c r="M327">
        <f>SUMPRODUCT((nCUENTA=1)*(nCURSO=A327)*(nASIG=B327)*(nNOTA=2))</f>
        <v>0</v>
      </c>
      <c r="N327">
        <f>SUMPRODUCT((nCUENTA=1)*(nCURSO=A327)*(nASIG=B327)*(nNOTA=3))</f>
        <v>0</v>
      </c>
      <c r="O327">
        <f>SUMPRODUCT((nCUENTA=1)*(nCURSO=A327)*(nASIG=B327)*(nNOTA=4))</f>
        <v>0</v>
      </c>
      <c r="P327">
        <f>SUMPRODUCT((nCUENTA=1)*(nCURSO=A327)*(nASIG=B327)*(nNOTA=5))</f>
        <v>0</v>
      </c>
      <c r="Q327">
        <f>SUMPRODUCT((nCUENTA=1)*(nCURSO=A327)*(nASIG=B327)*(nNOTA=6))</f>
        <v>0</v>
      </c>
      <c r="R327">
        <f>SUMPRODUCT((nCUENTA=1)*(nCURSO=A327)*(nASIG=B327)*(nNOTA=7))</f>
        <v>0</v>
      </c>
      <c r="S327">
        <f>SUMPRODUCT((nCUENTA=1)*(nCURSO=A327)*(nASIG=B327)*(nNOTA=8))</f>
        <v>0</v>
      </c>
      <c r="T327">
        <f>SUMPRODUCT((nCUENTA=1)*(nCURSO=A327)*(nASIG=B327)*(nNOTA=9))</f>
        <v>0</v>
      </c>
      <c r="U327">
        <f>SUMPRODUCT((nCUENTA=1)*(nCURSO=A327)*(nASIG=B327)*(nNOTA=10))</f>
        <v>0</v>
      </c>
    </row>
    <row r="328">
      <c r="A328" t="inlineStr">
        <is>
          <t xml:space="preserve">5EPM</t>
        </is>
      </c>
      <c r="B328" cm="1">
        <f t="array" ref="B328">IFERROR(INDEX(_xlfn._xlws.FILTER(CONFIG_ASIGNATURAS!$B$2:$B$91,(CONFIG_ASIGNATURAS!$G$2:$G$91="Sí")*ISNUMBER(SEARCH("5EPM",CONFIG_ASIGNATURAS!$C$2:$C$91))),5),"")</f>
      </c>
      <c r="C328">
        <f>IF(B328="","",IFERROR(VLOOKUP(B328,CONFIG_ASIGNATURAS!$B$2:$D$91,3,FALSE()),"Asignatura"))</f>
      </c>
      <c r="D328">
        <f>SUMPRODUCT((nCUENTA=1)*(nCURSO=A328)*(nASIG=B328))</f>
        <v>0</v>
      </c>
      <c r="E328" s="10" t="str">
        <f>IFERROR(SUMPRODUCT((nCUENTA=1)*(nCURSO=A328)*(nASIG=B328)*(nNOTA))/D328,"—")</f>
        <v>—</v>
      </c>
      <c r="F328" s="10" t="str" cm="1">
        <f t="array" ref="F328">IFERROR(_xlfn.STDEV.P(_xlfn._xlws.FILTER(nNOTA,(nCUENTA=1)*(nCURSO=A328)*(nASIG=B328))),"—")</f>
        <v>—</v>
      </c>
      <c r="G328" t="str" cm="1">
        <f t="array" ref="G328">IFERROR(_xlfn.MODE.SNGL(_xlfn._xlws.FILTER(nNOTA,(nCUENTA=1)*(nCURSO=A328)*(nASIG=B328))),"—")</f>
        <v>—</v>
      </c>
      <c r="H328" s="11" t="str">
        <f>IFERROR(SUMPRODUCT((nCUENTA=1)*(nCURSO=A328)*(nASIG=B328)*(nAPTO="S"))/D328,"—")</f>
        <v>—</v>
      </c>
      <c r="I328" s="11" t="str">
        <f>IFERROR(SUMPRODUCT((nCUENTA=1)*(nCURSO=A328)*(nASIG=B328)*(nAPTO="N"))/D328,"—")</f>
        <v>—</v>
      </c>
      <c r="J328" t="str" cm="1">
        <f t="array" ref="J328">IFERROR(_xlfn.MODE.SNGL(_xlfn._xlws.FILTER(nNOTA,(nCUENTA=1)*(nCURSO=A328)*(nASIG=B328)*(nAPTO="S"))),"—")</f>
        <v>—</v>
      </c>
      <c r="K328" t="str" cm="1">
        <f t="array" ref="K328">IFERROR(_xlfn.MODE.SNGL(_xlfn._xlws.FILTER(nNOTA,(nCUENTA=1)*(nCURSO=A328)*(nASIG=B328)*(nAPTO="N"))),"—")</f>
        <v>—</v>
      </c>
      <c r="L328">
        <f>SUMPRODUCT((nCUENTA=1)*(nCURSO=A328)*(nASIG=B328)*(nNOTA=1))</f>
        <v>0</v>
      </c>
      <c r="M328">
        <f>SUMPRODUCT((nCUENTA=1)*(nCURSO=A328)*(nASIG=B328)*(nNOTA=2))</f>
        <v>0</v>
      </c>
      <c r="N328">
        <f>SUMPRODUCT((nCUENTA=1)*(nCURSO=A328)*(nASIG=B328)*(nNOTA=3))</f>
        <v>0</v>
      </c>
      <c r="O328">
        <f>SUMPRODUCT((nCUENTA=1)*(nCURSO=A328)*(nASIG=B328)*(nNOTA=4))</f>
        <v>0</v>
      </c>
      <c r="P328">
        <f>SUMPRODUCT((nCUENTA=1)*(nCURSO=A328)*(nASIG=B328)*(nNOTA=5))</f>
        <v>0</v>
      </c>
      <c r="Q328">
        <f>SUMPRODUCT((nCUENTA=1)*(nCURSO=A328)*(nASIG=B328)*(nNOTA=6))</f>
        <v>0</v>
      </c>
      <c r="R328">
        <f>SUMPRODUCT((nCUENTA=1)*(nCURSO=A328)*(nASIG=B328)*(nNOTA=7))</f>
        <v>0</v>
      </c>
      <c r="S328">
        <f>SUMPRODUCT((nCUENTA=1)*(nCURSO=A328)*(nASIG=B328)*(nNOTA=8))</f>
        <v>0</v>
      </c>
      <c r="T328">
        <f>SUMPRODUCT((nCUENTA=1)*(nCURSO=A328)*(nASIG=B328)*(nNOTA=9))</f>
        <v>0</v>
      </c>
      <c r="U328">
        <f>SUMPRODUCT((nCUENTA=1)*(nCURSO=A328)*(nASIG=B328)*(nNOTA=10))</f>
        <v>0</v>
      </c>
    </row>
    <row r="329">
      <c r="A329" t="inlineStr">
        <is>
          <t xml:space="preserve">5EPM</t>
        </is>
      </c>
      <c r="B329" cm="1">
        <f t="array" ref="B329">IFERROR(INDEX(_xlfn._xlws.FILTER(CONFIG_ASIGNATURAS!$B$2:$B$91,(CONFIG_ASIGNATURAS!$G$2:$G$91="Sí")*ISNUMBER(SEARCH("5EPM",CONFIG_ASIGNATURAS!$C$2:$C$91))),6),"")</f>
      </c>
      <c r="C329">
        <f>IF(B329="","",IFERROR(VLOOKUP(B329,CONFIG_ASIGNATURAS!$B$2:$D$91,3,FALSE()),"Asignatura"))</f>
      </c>
      <c r="D329">
        <f>SUMPRODUCT((nCUENTA=1)*(nCURSO=A329)*(nASIG=B329))</f>
        <v>0</v>
      </c>
      <c r="E329" s="10" t="str">
        <f>IFERROR(SUMPRODUCT((nCUENTA=1)*(nCURSO=A329)*(nASIG=B329)*(nNOTA))/D329,"—")</f>
        <v>—</v>
      </c>
      <c r="F329" s="10" t="str" cm="1">
        <f t="array" ref="F329">IFERROR(_xlfn.STDEV.P(_xlfn._xlws.FILTER(nNOTA,(nCUENTA=1)*(nCURSO=A329)*(nASIG=B329))),"—")</f>
        <v>—</v>
      </c>
      <c r="G329" t="str" cm="1">
        <f t="array" ref="G329">IFERROR(_xlfn.MODE.SNGL(_xlfn._xlws.FILTER(nNOTA,(nCUENTA=1)*(nCURSO=A329)*(nASIG=B329))),"—")</f>
        <v>—</v>
      </c>
      <c r="H329" s="11" t="str">
        <f>IFERROR(SUMPRODUCT((nCUENTA=1)*(nCURSO=A329)*(nASIG=B329)*(nAPTO="S"))/D329,"—")</f>
        <v>—</v>
      </c>
      <c r="I329" s="11" t="str">
        <f>IFERROR(SUMPRODUCT((nCUENTA=1)*(nCURSO=A329)*(nASIG=B329)*(nAPTO="N"))/D329,"—")</f>
        <v>—</v>
      </c>
      <c r="J329" t="str" cm="1">
        <f t="array" ref="J329">IFERROR(_xlfn.MODE.SNGL(_xlfn._xlws.FILTER(nNOTA,(nCUENTA=1)*(nCURSO=A329)*(nASIG=B329)*(nAPTO="S"))),"—")</f>
        <v>—</v>
      </c>
      <c r="K329" t="str" cm="1">
        <f t="array" ref="K329">IFERROR(_xlfn.MODE.SNGL(_xlfn._xlws.FILTER(nNOTA,(nCUENTA=1)*(nCURSO=A329)*(nASIG=B329)*(nAPTO="N"))),"—")</f>
        <v>—</v>
      </c>
      <c r="L329">
        <f>SUMPRODUCT((nCUENTA=1)*(nCURSO=A329)*(nASIG=B329)*(nNOTA=1))</f>
        <v>0</v>
      </c>
      <c r="M329">
        <f>SUMPRODUCT((nCUENTA=1)*(nCURSO=A329)*(nASIG=B329)*(nNOTA=2))</f>
        <v>0</v>
      </c>
      <c r="N329">
        <f>SUMPRODUCT((nCUENTA=1)*(nCURSO=A329)*(nASIG=B329)*(nNOTA=3))</f>
        <v>0</v>
      </c>
      <c r="O329">
        <f>SUMPRODUCT((nCUENTA=1)*(nCURSO=A329)*(nASIG=B329)*(nNOTA=4))</f>
        <v>0</v>
      </c>
      <c r="P329">
        <f>SUMPRODUCT((nCUENTA=1)*(nCURSO=A329)*(nASIG=B329)*(nNOTA=5))</f>
        <v>0</v>
      </c>
      <c r="Q329">
        <f>SUMPRODUCT((nCUENTA=1)*(nCURSO=A329)*(nASIG=B329)*(nNOTA=6))</f>
        <v>0</v>
      </c>
      <c r="R329">
        <f>SUMPRODUCT((nCUENTA=1)*(nCURSO=A329)*(nASIG=B329)*(nNOTA=7))</f>
        <v>0</v>
      </c>
      <c r="S329">
        <f>SUMPRODUCT((nCUENTA=1)*(nCURSO=A329)*(nASIG=B329)*(nNOTA=8))</f>
        <v>0</v>
      </c>
      <c r="T329">
        <f>SUMPRODUCT((nCUENTA=1)*(nCURSO=A329)*(nASIG=B329)*(nNOTA=9))</f>
        <v>0</v>
      </c>
      <c r="U329">
        <f>SUMPRODUCT((nCUENTA=1)*(nCURSO=A329)*(nASIG=B329)*(nNOTA=10))</f>
        <v>0</v>
      </c>
    </row>
    <row r="330">
      <c r="A330" t="inlineStr">
        <is>
          <t xml:space="preserve">5EPM</t>
        </is>
      </c>
      <c r="B330" cm="1">
        <f t="array" ref="B330">IFERROR(INDEX(_xlfn._xlws.FILTER(CONFIG_ASIGNATURAS!$B$2:$B$91,(CONFIG_ASIGNATURAS!$G$2:$G$91="Sí")*ISNUMBER(SEARCH("5EPM",CONFIG_ASIGNATURAS!$C$2:$C$91))),7),"")</f>
      </c>
      <c r="C330">
        <f>IF(B330="","",IFERROR(VLOOKUP(B330,CONFIG_ASIGNATURAS!$B$2:$D$91,3,FALSE()),"Asignatura"))</f>
      </c>
      <c r="D330">
        <f>SUMPRODUCT((nCUENTA=1)*(nCURSO=A330)*(nASIG=B330))</f>
        <v>0</v>
      </c>
      <c r="E330" s="10" t="str">
        <f>IFERROR(SUMPRODUCT((nCUENTA=1)*(nCURSO=A330)*(nASIG=B330)*(nNOTA))/D330,"—")</f>
        <v>—</v>
      </c>
      <c r="F330" s="10" t="str" cm="1">
        <f t="array" ref="F330">IFERROR(_xlfn.STDEV.P(_xlfn._xlws.FILTER(nNOTA,(nCUENTA=1)*(nCURSO=A330)*(nASIG=B330))),"—")</f>
        <v>—</v>
      </c>
      <c r="G330" t="str" cm="1">
        <f t="array" ref="G330">IFERROR(_xlfn.MODE.SNGL(_xlfn._xlws.FILTER(nNOTA,(nCUENTA=1)*(nCURSO=A330)*(nASIG=B330))),"—")</f>
        <v>—</v>
      </c>
      <c r="H330" s="11" t="str">
        <f>IFERROR(SUMPRODUCT((nCUENTA=1)*(nCURSO=A330)*(nASIG=B330)*(nAPTO="S"))/D330,"—")</f>
        <v>—</v>
      </c>
      <c r="I330" s="11" t="str">
        <f>IFERROR(SUMPRODUCT((nCUENTA=1)*(nCURSO=A330)*(nASIG=B330)*(nAPTO="N"))/D330,"—")</f>
        <v>—</v>
      </c>
      <c r="J330" t="str" cm="1">
        <f t="array" ref="J330">IFERROR(_xlfn.MODE.SNGL(_xlfn._xlws.FILTER(nNOTA,(nCUENTA=1)*(nCURSO=A330)*(nASIG=B330)*(nAPTO="S"))),"—")</f>
        <v>—</v>
      </c>
      <c r="K330" t="str" cm="1">
        <f t="array" ref="K330">IFERROR(_xlfn.MODE.SNGL(_xlfn._xlws.FILTER(nNOTA,(nCUENTA=1)*(nCURSO=A330)*(nASIG=B330)*(nAPTO="N"))),"—")</f>
        <v>—</v>
      </c>
      <c r="L330">
        <f>SUMPRODUCT((nCUENTA=1)*(nCURSO=A330)*(nASIG=B330)*(nNOTA=1))</f>
        <v>0</v>
      </c>
      <c r="M330">
        <f>SUMPRODUCT((nCUENTA=1)*(nCURSO=A330)*(nASIG=B330)*(nNOTA=2))</f>
        <v>0</v>
      </c>
      <c r="N330">
        <f>SUMPRODUCT((nCUENTA=1)*(nCURSO=A330)*(nASIG=B330)*(nNOTA=3))</f>
        <v>0</v>
      </c>
      <c r="O330">
        <f>SUMPRODUCT((nCUENTA=1)*(nCURSO=A330)*(nASIG=B330)*(nNOTA=4))</f>
        <v>0</v>
      </c>
      <c r="P330">
        <f>SUMPRODUCT((nCUENTA=1)*(nCURSO=A330)*(nASIG=B330)*(nNOTA=5))</f>
        <v>0</v>
      </c>
      <c r="Q330">
        <f>SUMPRODUCT((nCUENTA=1)*(nCURSO=A330)*(nASIG=B330)*(nNOTA=6))</f>
        <v>0</v>
      </c>
      <c r="R330">
        <f>SUMPRODUCT((nCUENTA=1)*(nCURSO=A330)*(nASIG=B330)*(nNOTA=7))</f>
        <v>0</v>
      </c>
      <c r="S330">
        <f>SUMPRODUCT((nCUENTA=1)*(nCURSO=A330)*(nASIG=B330)*(nNOTA=8))</f>
        <v>0</v>
      </c>
      <c r="T330">
        <f>SUMPRODUCT((nCUENTA=1)*(nCURSO=A330)*(nASIG=B330)*(nNOTA=9))</f>
        <v>0</v>
      </c>
      <c r="U330">
        <f>SUMPRODUCT((nCUENTA=1)*(nCURSO=A330)*(nASIG=B330)*(nNOTA=10))</f>
        <v>0</v>
      </c>
    </row>
    <row r="331">
      <c r="A331" t="inlineStr">
        <is>
          <t xml:space="preserve">5EPM</t>
        </is>
      </c>
      <c r="B331" cm="1">
        <f t="array" ref="B331">IFERROR(INDEX(_xlfn._xlws.FILTER(CONFIG_ASIGNATURAS!$B$2:$B$91,(CONFIG_ASIGNATURAS!$G$2:$G$91="Sí")*ISNUMBER(SEARCH("5EPM",CONFIG_ASIGNATURAS!$C$2:$C$91))),8),"")</f>
      </c>
      <c r="C331">
        <f>IF(B331="","",IFERROR(VLOOKUP(B331,CONFIG_ASIGNATURAS!$B$2:$D$91,3,FALSE()),"Asignatura"))</f>
      </c>
      <c r="D331">
        <f>SUMPRODUCT((nCUENTA=1)*(nCURSO=A331)*(nASIG=B331))</f>
        <v>0</v>
      </c>
      <c r="E331" s="10" t="str">
        <f>IFERROR(SUMPRODUCT((nCUENTA=1)*(nCURSO=A331)*(nASIG=B331)*(nNOTA))/D331,"—")</f>
        <v>—</v>
      </c>
      <c r="F331" s="10" t="str" cm="1">
        <f t="array" ref="F331">IFERROR(_xlfn.STDEV.P(_xlfn._xlws.FILTER(nNOTA,(nCUENTA=1)*(nCURSO=A331)*(nASIG=B331))),"—")</f>
        <v>—</v>
      </c>
      <c r="G331" t="str" cm="1">
        <f t="array" ref="G331">IFERROR(_xlfn.MODE.SNGL(_xlfn._xlws.FILTER(nNOTA,(nCUENTA=1)*(nCURSO=A331)*(nASIG=B331))),"—")</f>
        <v>—</v>
      </c>
      <c r="H331" s="11" t="str">
        <f>IFERROR(SUMPRODUCT((nCUENTA=1)*(nCURSO=A331)*(nASIG=B331)*(nAPTO="S"))/D331,"—")</f>
        <v>—</v>
      </c>
      <c r="I331" s="11" t="str">
        <f>IFERROR(SUMPRODUCT((nCUENTA=1)*(nCURSO=A331)*(nASIG=B331)*(nAPTO="N"))/D331,"—")</f>
        <v>—</v>
      </c>
      <c r="J331" t="str" cm="1">
        <f t="array" ref="J331">IFERROR(_xlfn.MODE.SNGL(_xlfn._xlws.FILTER(nNOTA,(nCUENTA=1)*(nCURSO=A331)*(nASIG=B331)*(nAPTO="S"))),"—")</f>
        <v>—</v>
      </c>
      <c r="K331" t="str" cm="1">
        <f t="array" ref="K331">IFERROR(_xlfn.MODE.SNGL(_xlfn._xlws.FILTER(nNOTA,(nCUENTA=1)*(nCURSO=A331)*(nASIG=B331)*(nAPTO="N"))),"—")</f>
        <v>—</v>
      </c>
      <c r="L331">
        <f>SUMPRODUCT((nCUENTA=1)*(nCURSO=A331)*(nASIG=B331)*(nNOTA=1))</f>
        <v>0</v>
      </c>
      <c r="M331">
        <f>SUMPRODUCT((nCUENTA=1)*(nCURSO=A331)*(nASIG=B331)*(nNOTA=2))</f>
        <v>0</v>
      </c>
      <c r="N331">
        <f>SUMPRODUCT((nCUENTA=1)*(nCURSO=A331)*(nASIG=B331)*(nNOTA=3))</f>
        <v>0</v>
      </c>
      <c r="O331">
        <f>SUMPRODUCT((nCUENTA=1)*(nCURSO=A331)*(nASIG=B331)*(nNOTA=4))</f>
        <v>0</v>
      </c>
      <c r="P331">
        <f>SUMPRODUCT((nCUENTA=1)*(nCURSO=A331)*(nASIG=B331)*(nNOTA=5))</f>
        <v>0</v>
      </c>
      <c r="Q331">
        <f>SUMPRODUCT((nCUENTA=1)*(nCURSO=A331)*(nASIG=B331)*(nNOTA=6))</f>
        <v>0</v>
      </c>
      <c r="R331">
        <f>SUMPRODUCT((nCUENTA=1)*(nCURSO=A331)*(nASIG=B331)*(nNOTA=7))</f>
        <v>0</v>
      </c>
      <c r="S331">
        <f>SUMPRODUCT((nCUENTA=1)*(nCURSO=A331)*(nASIG=B331)*(nNOTA=8))</f>
        <v>0</v>
      </c>
      <c r="T331">
        <f>SUMPRODUCT((nCUENTA=1)*(nCURSO=A331)*(nASIG=B331)*(nNOTA=9))</f>
        <v>0</v>
      </c>
      <c r="U331">
        <f>SUMPRODUCT((nCUENTA=1)*(nCURSO=A331)*(nASIG=B331)*(nNOTA=10))</f>
        <v>0</v>
      </c>
    </row>
    <row r="332">
      <c r="A332" t="inlineStr">
        <is>
          <t xml:space="preserve">5EPM</t>
        </is>
      </c>
      <c r="B332" cm="1">
        <f t="array" ref="B332">IFERROR(INDEX(_xlfn._xlws.FILTER(CONFIG_ASIGNATURAS!$B$2:$B$91,(CONFIG_ASIGNATURAS!$G$2:$G$91="Sí")*ISNUMBER(SEARCH("5EPM",CONFIG_ASIGNATURAS!$C$2:$C$91))),9),"")</f>
      </c>
      <c r="C332">
        <f>IF(B332="","",IFERROR(VLOOKUP(B332,CONFIG_ASIGNATURAS!$B$2:$D$91,3,FALSE()),"Asignatura"))</f>
      </c>
      <c r="D332">
        <f>SUMPRODUCT((nCUENTA=1)*(nCURSO=A332)*(nASIG=B332))</f>
        <v>0</v>
      </c>
      <c r="E332" s="10" t="str">
        <f>IFERROR(SUMPRODUCT((nCUENTA=1)*(nCURSO=A332)*(nASIG=B332)*(nNOTA))/D332,"—")</f>
        <v>—</v>
      </c>
      <c r="F332" s="10" t="str" cm="1">
        <f t="array" ref="F332">IFERROR(_xlfn.STDEV.P(_xlfn._xlws.FILTER(nNOTA,(nCUENTA=1)*(nCURSO=A332)*(nASIG=B332))),"—")</f>
        <v>—</v>
      </c>
      <c r="G332" t="str" cm="1">
        <f t="array" ref="G332">IFERROR(_xlfn.MODE.SNGL(_xlfn._xlws.FILTER(nNOTA,(nCUENTA=1)*(nCURSO=A332)*(nASIG=B332))),"—")</f>
        <v>—</v>
      </c>
      <c r="H332" s="11" t="str">
        <f>IFERROR(SUMPRODUCT((nCUENTA=1)*(nCURSO=A332)*(nASIG=B332)*(nAPTO="S"))/D332,"—")</f>
        <v>—</v>
      </c>
      <c r="I332" s="11" t="str">
        <f>IFERROR(SUMPRODUCT((nCUENTA=1)*(nCURSO=A332)*(nASIG=B332)*(nAPTO="N"))/D332,"—")</f>
        <v>—</v>
      </c>
      <c r="J332" t="str" cm="1">
        <f t="array" ref="J332">IFERROR(_xlfn.MODE.SNGL(_xlfn._xlws.FILTER(nNOTA,(nCUENTA=1)*(nCURSO=A332)*(nASIG=B332)*(nAPTO="S"))),"—")</f>
        <v>—</v>
      </c>
      <c r="K332" t="str" cm="1">
        <f t="array" ref="K332">IFERROR(_xlfn.MODE.SNGL(_xlfn._xlws.FILTER(nNOTA,(nCUENTA=1)*(nCURSO=A332)*(nASIG=B332)*(nAPTO="N"))),"—")</f>
        <v>—</v>
      </c>
      <c r="L332">
        <f>SUMPRODUCT((nCUENTA=1)*(nCURSO=A332)*(nASIG=B332)*(nNOTA=1))</f>
        <v>0</v>
      </c>
      <c r="M332">
        <f>SUMPRODUCT((nCUENTA=1)*(nCURSO=A332)*(nASIG=B332)*(nNOTA=2))</f>
        <v>0</v>
      </c>
      <c r="N332">
        <f>SUMPRODUCT((nCUENTA=1)*(nCURSO=A332)*(nASIG=B332)*(nNOTA=3))</f>
        <v>0</v>
      </c>
      <c r="O332">
        <f>SUMPRODUCT((nCUENTA=1)*(nCURSO=A332)*(nASIG=B332)*(nNOTA=4))</f>
        <v>0</v>
      </c>
      <c r="P332">
        <f>SUMPRODUCT((nCUENTA=1)*(nCURSO=A332)*(nASIG=B332)*(nNOTA=5))</f>
        <v>0</v>
      </c>
      <c r="Q332">
        <f>SUMPRODUCT((nCUENTA=1)*(nCURSO=A332)*(nASIG=B332)*(nNOTA=6))</f>
        <v>0</v>
      </c>
      <c r="R332">
        <f>SUMPRODUCT((nCUENTA=1)*(nCURSO=A332)*(nASIG=B332)*(nNOTA=7))</f>
        <v>0</v>
      </c>
      <c r="S332">
        <f>SUMPRODUCT((nCUENTA=1)*(nCURSO=A332)*(nASIG=B332)*(nNOTA=8))</f>
        <v>0</v>
      </c>
      <c r="T332">
        <f>SUMPRODUCT((nCUENTA=1)*(nCURSO=A332)*(nASIG=B332)*(nNOTA=9))</f>
        <v>0</v>
      </c>
      <c r="U332">
        <f>SUMPRODUCT((nCUENTA=1)*(nCURSO=A332)*(nASIG=B332)*(nNOTA=10))</f>
        <v>0</v>
      </c>
    </row>
    <row r="333">
      <c r="A333" t="inlineStr">
        <is>
          <t xml:space="preserve">5EPM</t>
        </is>
      </c>
      <c r="B333" cm="1">
        <f t="array" ref="B333">IFERROR(INDEX(_xlfn._xlws.FILTER(CONFIG_ASIGNATURAS!$B$2:$B$91,(CONFIG_ASIGNATURAS!$G$2:$G$91="Sí")*ISNUMBER(SEARCH("5EPM",CONFIG_ASIGNATURAS!$C$2:$C$91))),10),"")</f>
      </c>
      <c r="C333">
        <f>IF(B333="","",IFERROR(VLOOKUP(B333,CONFIG_ASIGNATURAS!$B$2:$D$91,3,FALSE()),"Asignatura"))</f>
      </c>
      <c r="D333">
        <f>SUMPRODUCT((nCUENTA=1)*(nCURSO=A333)*(nASIG=B333))</f>
        <v>0</v>
      </c>
      <c r="E333" s="10" t="str">
        <f>IFERROR(SUMPRODUCT((nCUENTA=1)*(nCURSO=A333)*(nASIG=B333)*(nNOTA))/D333,"—")</f>
        <v>—</v>
      </c>
      <c r="F333" s="10" t="str" cm="1">
        <f t="array" ref="F333">IFERROR(_xlfn.STDEV.P(_xlfn._xlws.FILTER(nNOTA,(nCUENTA=1)*(nCURSO=A333)*(nASIG=B333))),"—")</f>
        <v>—</v>
      </c>
      <c r="G333" t="str" cm="1">
        <f t="array" ref="G333">IFERROR(_xlfn.MODE.SNGL(_xlfn._xlws.FILTER(nNOTA,(nCUENTA=1)*(nCURSO=A333)*(nASIG=B333))),"—")</f>
        <v>—</v>
      </c>
      <c r="H333" s="11" t="str">
        <f>IFERROR(SUMPRODUCT((nCUENTA=1)*(nCURSO=A333)*(nASIG=B333)*(nAPTO="S"))/D333,"—")</f>
        <v>—</v>
      </c>
      <c r="I333" s="11" t="str">
        <f>IFERROR(SUMPRODUCT((nCUENTA=1)*(nCURSO=A333)*(nASIG=B333)*(nAPTO="N"))/D333,"—")</f>
        <v>—</v>
      </c>
      <c r="J333" t="str" cm="1">
        <f t="array" ref="J333">IFERROR(_xlfn.MODE.SNGL(_xlfn._xlws.FILTER(nNOTA,(nCUENTA=1)*(nCURSO=A333)*(nASIG=B333)*(nAPTO="S"))),"—")</f>
        <v>—</v>
      </c>
      <c r="K333" t="str" cm="1">
        <f t="array" ref="K333">IFERROR(_xlfn.MODE.SNGL(_xlfn._xlws.FILTER(nNOTA,(nCUENTA=1)*(nCURSO=A333)*(nASIG=B333)*(nAPTO="N"))),"—")</f>
        <v>—</v>
      </c>
      <c r="L333">
        <f>SUMPRODUCT((nCUENTA=1)*(nCURSO=A333)*(nASIG=B333)*(nNOTA=1))</f>
        <v>0</v>
      </c>
      <c r="M333">
        <f>SUMPRODUCT((nCUENTA=1)*(nCURSO=A333)*(nASIG=B333)*(nNOTA=2))</f>
        <v>0</v>
      </c>
      <c r="N333">
        <f>SUMPRODUCT((nCUENTA=1)*(nCURSO=A333)*(nASIG=B333)*(nNOTA=3))</f>
        <v>0</v>
      </c>
      <c r="O333">
        <f>SUMPRODUCT((nCUENTA=1)*(nCURSO=A333)*(nASIG=B333)*(nNOTA=4))</f>
        <v>0</v>
      </c>
      <c r="P333">
        <f>SUMPRODUCT((nCUENTA=1)*(nCURSO=A333)*(nASIG=B333)*(nNOTA=5))</f>
        <v>0</v>
      </c>
      <c r="Q333">
        <f>SUMPRODUCT((nCUENTA=1)*(nCURSO=A333)*(nASIG=B333)*(nNOTA=6))</f>
        <v>0</v>
      </c>
      <c r="R333">
        <f>SUMPRODUCT((nCUENTA=1)*(nCURSO=A333)*(nASIG=B333)*(nNOTA=7))</f>
        <v>0</v>
      </c>
      <c r="S333">
        <f>SUMPRODUCT((nCUENTA=1)*(nCURSO=A333)*(nASIG=B333)*(nNOTA=8))</f>
        <v>0</v>
      </c>
      <c r="T333">
        <f>SUMPRODUCT((nCUENTA=1)*(nCURSO=A333)*(nASIG=B333)*(nNOTA=9))</f>
        <v>0</v>
      </c>
      <c r="U333">
        <f>SUMPRODUCT((nCUENTA=1)*(nCURSO=A333)*(nASIG=B333)*(nNOTA=10))</f>
        <v>0</v>
      </c>
    </row>
    <row r="334">
      <c r="A334" t="inlineStr">
        <is>
          <t xml:space="preserve">5EPM</t>
        </is>
      </c>
      <c r="B334" cm="1">
        <f t="array" ref="B334">IFERROR(INDEX(_xlfn._xlws.FILTER(CONFIG_ASIGNATURAS!$B$2:$B$91,(CONFIG_ASIGNATURAS!$G$2:$G$91="Sí")*ISNUMBER(SEARCH("5EPM",CONFIG_ASIGNATURAS!$C$2:$C$91))),11),"")</f>
      </c>
      <c r="C334">
        <f>IF(B334="","",IFERROR(VLOOKUP(B334,CONFIG_ASIGNATURAS!$B$2:$D$91,3,FALSE()),"Asignatura"))</f>
      </c>
      <c r="D334">
        <f>SUMPRODUCT((nCUENTA=1)*(nCURSO=A334)*(nASIG=B334))</f>
        <v>0</v>
      </c>
      <c r="E334" s="10" t="str">
        <f>IFERROR(SUMPRODUCT((nCUENTA=1)*(nCURSO=A334)*(nASIG=B334)*(nNOTA))/D334,"—")</f>
        <v>—</v>
      </c>
      <c r="F334" s="10" t="str" cm="1">
        <f t="array" ref="F334">IFERROR(_xlfn.STDEV.P(_xlfn._xlws.FILTER(nNOTA,(nCUENTA=1)*(nCURSO=A334)*(nASIG=B334))),"—")</f>
        <v>—</v>
      </c>
      <c r="G334" t="str" cm="1">
        <f t="array" ref="G334">IFERROR(_xlfn.MODE.SNGL(_xlfn._xlws.FILTER(nNOTA,(nCUENTA=1)*(nCURSO=A334)*(nASIG=B334))),"—")</f>
        <v>—</v>
      </c>
      <c r="H334" s="11" t="str">
        <f>IFERROR(SUMPRODUCT((nCUENTA=1)*(nCURSO=A334)*(nASIG=B334)*(nAPTO="S"))/D334,"—")</f>
        <v>—</v>
      </c>
      <c r="I334" s="11" t="str">
        <f>IFERROR(SUMPRODUCT((nCUENTA=1)*(nCURSO=A334)*(nASIG=B334)*(nAPTO="N"))/D334,"—")</f>
        <v>—</v>
      </c>
      <c r="J334" t="str" cm="1">
        <f t="array" ref="J334">IFERROR(_xlfn.MODE.SNGL(_xlfn._xlws.FILTER(nNOTA,(nCUENTA=1)*(nCURSO=A334)*(nASIG=B334)*(nAPTO="S"))),"—")</f>
        <v>—</v>
      </c>
      <c r="K334" t="str" cm="1">
        <f t="array" ref="K334">IFERROR(_xlfn.MODE.SNGL(_xlfn._xlws.FILTER(nNOTA,(nCUENTA=1)*(nCURSO=A334)*(nASIG=B334)*(nAPTO="N"))),"—")</f>
        <v>—</v>
      </c>
      <c r="L334">
        <f>SUMPRODUCT((nCUENTA=1)*(nCURSO=A334)*(nASIG=B334)*(nNOTA=1))</f>
        <v>0</v>
      </c>
      <c r="M334">
        <f>SUMPRODUCT((nCUENTA=1)*(nCURSO=A334)*(nASIG=B334)*(nNOTA=2))</f>
        <v>0</v>
      </c>
      <c r="N334">
        <f>SUMPRODUCT((nCUENTA=1)*(nCURSO=A334)*(nASIG=B334)*(nNOTA=3))</f>
        <v>0</v>
      </c>
      <c r="O334">
        <f>SUMPRODUCT((nCUENTA=1)*(nCURSO=A334)*(nASIG=B334)*(nNOTA=4))</f>
        <v>0</v>
      </c>
      <c r="P334">
        <f>SUMPRODUCT((nCUENTA=1)*(nCURSO=A334)*(nASIG=B334)*(nNOTA=5))</f>
        <v>0</v>
      </c>
      <c r="Q334">
        <f>SUMPRODUCT((nCUENTA=1)*(nCURSO=A334)*(nASIG=B334)*(nNOTA=6))</f>
        <v>0</v>
      </c>
      <c r="R334">
        <f>SUMPRODUCT((nCUENTA=1)*(nCURSO=A334)*(nASIG=B334)*(nNOTA=7))</f>
        <v>0</v>
      </c>
      <c r="S334">
        <f>SUMPRODUCT((nCUENTA=1)*(nCURSO=A334)*(nASIG=B334)*(nNOTA=8))</f>
        <v>0</v>
      </c>
      <c r="T334">
        <f>SUMPRODUCT((nCUENTA=1)*(nCURSO=A334)*(nASIG=B334)*(nNOTA=9))</f>
        <v>0</v>
      </c>
      <c r="U334">
        <f>SUMPRODUCT((nCUENTA=1)*(nCURSO=A334)*(nASIG=B334)*(nNOTA=10))</f>
        <v>0</v>
      </c>
    </row>
    <row r="335">
      <c r="A335" t="inlineStr">
        <is>
          <t xml:space="preserve">5EPM</t>
        </is>
      </c>
      <c r="B335" cm="1">
        <f t="array" ref="B335">IFERROR(INDEX(_xlfn._xlws.FILTER(CONFIG_ASIGNATURAS!$B$2:$B$91,(CONFIG_ASIGNATURAS!$G$2:$G$91="Sí")*ISNUMBER(SEARCH("5EPM",CONFIG_ASIGNATURAS!$C$2:$C$91))),12),"")</f>
      </c>
      <c r="C335">
        <f>IF(B335="","",IFERROR(VLOOKUP(B335,CONFIG_ASIGNATURAS!$B$2:$D$91,3,FALSE()),"Asignatura"))</f>
      </c>
      <c r="D335">
        <f>SUMPRODUCT((nCUENTA=1)*(nCURSO=A335)*(nASIG=B335))</f>
        <v>0</v>
      </c>
      <c r="E335" s="10" t="str">
        <f>IFERROR(SUMPRODUCT((nCUENTA=1)*(nCURSO=A335)*(nASIG=B335)*(nNOTA))/D335,"—")</f>
        <v>—</v>
      </c>
      <c r="F335" s="10" t="str" cm="1">
        <f t="array" ref="F335">IFERROR(_xlfn.STDEV.P(_xlfn._xlws.FILTER(nNOTA,(nCUENTA=1)*(nCURSO=A335)*(nASIG=B335))),"—")</f>
        <v>—</v>
      </c>
      <c r="G335" t="str" cm="1">
        <f t="array" ref="G335">IFERROR(_xlfn.MODE.SNGL(_xlfn._xlws.FILTER(nNOTA,(nCUENTA=1)*(nCURSO=A335)*(nASIG=B335))),"—")</f>
        <v>—</v>
      </c>
      <c r="H335" s="11" t="str">
        <f>IFERROR(SUMPRODUCT((nCUENTA=1)*(nCURSO=A335)*(nASIG=B335)*(nAPTO="S"))/D335,"—")</f>
        <v>—</v>
      </c>
      <c r="I335" s="11" t="str">
        <f>IFERROR(SUMPRODUCT((nCUENTA=1)*(nCURSO=A335)*(nASIG=B335)*(nAPTO="N"))/D335,"—")</f>
        <v>—</v>
      </c>
      <c r="J335" t="str" cm="1">
        <f t="array" ref="J335">IFERROR(_xlfn.MODE.SNGL(_xlfn._xlws.FILTER(nNOTA,(nCUENTA=1)*(nCURSO=A335)*(nASIG=B335)*(nAPTO="S"))),"—")</f>
        <v>—</v>
      </c>
      <c r="K335" t="str" cm="1">
        <f t="array" ref="K335">IFERROR(_xlfn.MODE.SNGL(_xlfn._xlws.FILTER(nNOTA,(nCUENTA=1)*(nCURSO=A335)*(nASIG=B335)*(nAPTO="N"))),"—")</f>
        <v>—</v>
      </c>
      <c r="L335">
        <f>SUMPRODUCT((nCUENTA=1)*(nCURSO=A335)*(nASIG=B335)*(nNOTA=1))</f>
        <v>0</v>
      </c>
      <c r="M335">
        <f>SUMPRODUCT((nCUENTA=1)*(nCURSO=A335)*(nASIG=B335)*(nNOTA=2))</f>
        <v>0</v>
      </c>
      <c r="N335">
        <f>SUMPRODUCT((nCUENTA=1)*(nCURSO=A335)*(nASIG=B335)*(nNOTA=3))</f>
        <v>0</v>
      </c>
      <c r="O335">
        <f>SUMPRODUCT((nCUENTA=1)*(nCURSO=A335)*(nASIG=B335)*(nNOTA=4))</f>
        <v>0</v>
      </c>
      <c r="P335">
        <f>SUMPRODUCT((nCUENTA=1)*(nCURSO=A335)*(nASIG=B335)*(nNOTA=5))</f>
        <v>0</v>
      </c>
      <c r="Q335">
        <f>SUMPRODUCT((nCUENTA=1)*(nCURSO=A335)*(nASIG=B335)*(nNOTA=6))</f>
        <v>0</v>
      </c>
      <c r="R335">
        <f>SUMPRODUCT((nCUENTA=1)*(nCURSO=A335)*(nASIG=B335)*(nNOTA=7))</f>
        <v>0</v>
      </c>
      <c r="S335">
        <f>SUMPRODUCT((nCUENTA=1)*(nCURSO=A335)*(nASIG=B335)*(nNOTA=8))</f>
        <v>0</v>
      </c>
      <c r="T335">
        <f>SUMPRODUCT((nCUENTA=1)*(nCURSO=A335)*(nASIG=B335)*(nNOTA=9))</f>
        <v>0</v>
      </c>
      <c r="U335">
        <f>SUMPRODUCT((nCUENTA=1)*(nCURSO=A335)*(nASIG=B335)*(nNOTA=10))</f>
        <v>0</v>
      </c>
    </row>
    <row r="336">
      <c r="A336" t="inlineStr">
        <is>
          <t xml:space="preserve">5EPM</t>
        </is>
      </c>
      <c r="B336" cm="1">
        <f t="array" ref="B336">IFERROR(INDEX(_xlfn._xlws.FILTER(CONFIG_ASIGNATURAS!$B$2:$B$91,(CONFIG_ASIGNATURAS!$G$2:$G$91="Sí")*ISNUMBER(SEARCH("5EPM",CONFIG_ASIGNATURAS!$C$2:$C$91))),13),"")</f>
      </c>
      <c r="C336">
        <f>IF(B336="","",IFERROR(VLOOKUP(B336,CONFIG_ASIGNATURAS!$B$2:$D$91,3,FALSE()),"Asignatura"))</f>
      </c>
      <c r="D336">
        <f>SUMPRODUCT((nCUENTA=1)*(nCURSO=A336)*(nASIG=B336))</f>
        <v>0</v>
      </c>
      <c r="E336" s="10" t="str">
        <f>IFERROR(SUMPRODUCT((nCUENTA=1)*(nCURSO=A336)*(nASIG=B336)*(nNOTA))/D336,"—")</f>
        <v>—</v>
      </c>
      <c r="F336" s="10" t="str" cm="1">
        <f t="array" ref="F336">IFERROR(_xlfn.STDEV.P(_xlfn._xlws.FILTER(nNOTA,(nCUENTA=1)*(nCURSO=A336)*(nASIG=B336))),"—")</f>
        <v>—</v>
      </c>
      <c r="G336" t="str" cm="1">
        <f t="array" ref="G336">IFERROR(_xlfn.MODE.SNGL(_xlfn._xlws.FILTER(nNOTA,(nCUENTA=1)*(nCURSO=A336)*(nASIG=B336))),"—")</f>
        <v>—</v>
      </c>
      <c r="H336" s="11" t="str">
        <f>IFERROR(SUMPRODUCT((nCUENTA=1)*(nCURSO=A336)*(nASIG=B336)*(nAPTO="S"))/D336,"—")</f>
        <v>—</v>
      </c>
      <c r="I336" s="11" t="str">
        <f>IFERROR(SUMPRODUCT((nCUENTA=1)*(nCURSO=A336)*(nASIG=B336)*(nAPTO="N"))/D336,"—")</f>
        <v>—</v>
      </c>
      <c r="J336" t="str" cm="1">
        <f t="array" ref="J336">IFERROR(_xlfn.MODE.SNGL(_xlfn._xlws.FILTER(nNOTA,(nCUENTA=1)*(nCURSO=A336)*(nASIG=B336)*(nAPTO="S"))),"—")</f>
        <v>—</v>
      </c>
      <c r="K336" t="str" cm="1">
        <f t="array" ref="K336">IFERROR(_xlfn.MODE.SNGL(_xlfn._xlws.FILTER(nNOTA,(nCUENTA=1)*(nCURSO=A336)*(nASIG=B336)*(nAPTO="N"))),"—")</f>
        <v>—</v>
      </c>
      <c r="L336">
        <f>SUMPRODUCT((nCUENTA=1)*(nCURSO=A336)*(nASIG=B336)*(nNOTA=1))</f>
        <v>0</v>
      </c>
      <c r="M336">
        <f>SUMPRODUCT((nCUENTA=1)*(nCURSO=A336)*(nASIG=B336)*(nNOTA=2))</f>
        <v>0</v>
      </c>
      <c r="N336">
        <f>SUMPRODUCT((nCUENTA=1)*(nCURSO=A336)*(nASIG=B336)*(nNOTA=3))</f>
        <v>0</v>
      </c>
      <c r="O336">
        <f>SUMPRODUCT((nCUENTA=1)*(nCURSO=A336)*(nASIG=B336)*(nNOTA=4))</f>
        <v>0</v>
      </c>
      <c r="P336">
        <f>SUMPRODUCT((nCUENTA=1)*(nCURSO=A336)*(nASIG=B336)*(nNOTA=5))</f>
        <v>0</v>
      </c>
      <c r="Q336">
        <f>SUMPRODUCT((nCUENTA=1)*(nCURSO=A336)*(nASIG=B336)*(nNOTA=6))</f>
        <v>0</v>
      </c>
      <c r="R336">
        <f>SUMPRODUCT((nCUENTA=1)*(nCURSO=A336)*(nASIG=B336)*(nNOTA=7))</f>
        <v>0</v>
      </c>
      <c r="S336">
        <f>SUMPRODUCT((nCUENTA=1)*(nCURSO=A336)*(nASIG=B336)*(nNOTA=8))</f>
        <v>0</v>
      </c>
      <c r="T336">
        <f>SUMPRODUCT((nCUENTA=1)*(nCURSO=A336)*(nASIG=B336)*(nNOTA=9))</f>
        <v>0</v>
      </c>
      <c r="U336">
        <f>SUMPRODUCT((nCUENTA=1)*(nCURSO=A336)*(nASIG=B336)*(nNOTA=10))</f>
        <v>0</v>
      </c>
    </row>
    <row r="337">
      <c r="A337" t="inlineStr">
        <is>
          <t xml:space="preserve">5EPM</t>
        </is>
      </c>
      <c r="B337" cm="1">
        <f t="array" ref="B337">IFERROR(INDEX(_xlfn._xlws.FILTER(CONFIG_ASIGNATURAS!$B$2:$B$91,(CONFIG_ASIGNATURAS!$G$2:$G$91="Sí")*ISNUMBER(SEARCH("5EPM",CONFIG_ASIGNATURAS!$C$2:$C$91))),14),"")</f>
      </c>
      <c r="C337">
        <f>IF(B337="","",IFERROR(VLOOKUP(B337,CONFIG_ASIGNATURAS!$B$2:$D$91,3,FALSE()),"Asignatura"))</f>
      </c>
      <c r="D337">
        <f>SUMPRODUCT((nCUENTA=1)*(nCURSO=A337)*(nASIG=B337))</f>
        <v>0</v>
      </c>
      <c r="E337" s="10" t="str">
        <f>IFERROR(SUMPRODUCT((nCUENTA=1)*(nCURSO=A337)*(nASIG=B337)*(nNOTA))/D337,"—")</f>
        <v>—</v>
      </c>
      <c r="F337" s="10" t="str" cm="1">
        <f t="array" ref="F337">IFERROR(_xlfn.STDEV.P(_xlfn._xlws.FILTER(nNOTA,(nCUENTA=1)*(nCURSO=A337)*(nASIG=B337))),"—")</f>
        <v>—</v>
      </c>
      <c r="G337" t="str" cm="1">
        <f t="array" ref="G337">IFERROR(_xlfn.MODE.SNGL(_xlfn._xlws.FILTER(nNOTA,(nCUENTA=1)*(nCURSO=A337)*(nASIG=B337))),"—")</f>
        <v>—</v>
      </c>
      <c r="H337" s="11" t="str">
        <f>IFERROR(SUMPRODUCT((nCUENTA=1)*(nCURSO=A337)*(nASIG=B337)*(nAPTO="S"))/D337,"—")</f>
        <v>—</v>
      </c>
      <c r="I337" s="11" t="str">
        <f>IFERROR(SUMPRODUCT((nCUENTA=1)*(nCURSO=A337)*(nASIG=B337)*(nAPTO="N"))/D337,"—")</f>
        <v>—</v>
      </c>
      <c r="J337" t="str" cm="1">
        <f t="array" ref="J337">IFERROR(_xlfn.MODE.SNGL(_xlfn._xlws.FILTER(nNOTA,(nCUENTA=1)*(nCURSO=A337)*(nASIG=B337)*(nAPTO="S"))),"—")</f>
        <v>—</v>
      </c>
      <c r="K337" t="str" cm="1">
        <f t="array" ref="K337">IFERROR(_xlfn.MODE.SNGL(_xlfn._xlws.FILTER(nNOTA,(nCUENTA=1)*(nCURSO=A337)*(nASIG=B337)*(nAPTO="N"))),"—")</f>
        <v>—</v>
      </c>
      <c r="L337">
        <f>SUMPRODUCT((nCUENTA=1)*(nCURSO=A337)*(nASIG=B337)*(nNOTA=1))</f>
        <v>0</v>
      </c>
      <c r="M337">
        <f>SUMPRODUCT((nCUENTA=1)*(nCURSO=A337)*(nASIG=B337)*(nNOTA=2))</f>
        <v>0</v>
      </c>
      <c r="N337">
        <f>SUMPRODUCT((nCUENTA=1)*(nCURSO=A337)*(nASIG=B337)*(nNOTA=3))</f>
        <v>0</v>
      </c>
      <c r="O337">
        <f>SUMPRODUCT((nCUENTA=1)*(nCURSO=A337)*(nASIG=B337)*(nNOTA=4))</f>
        <v>0</v>
      </c>
      <c r="P337">
        <f>SUMPRODUCT((nCUENTA=1)*(nCURSO=A337)*(nASIG=B337)*(nNOTA=5))</f>
        <v>0</v>
      </c>
      <c r="Q337">
        <f>SUMPRODUCT((nCUENTA=1)*(nCURSO=A337)*(nASIG=B337)*(nNOTA=6))</f>
        <v>0</v>
      </c>
      <c r="R337">
        <f>SUMPRODUCT((nCUENTA=1)*(nCURSO=A337)*(nASIG=B337)*(nNOTA=7))</f>
        <v>0</v>
      </c>
      <c r="S337">
        <f>SUMPRODUCT((nCUENTA=1)*(nCURSO=A337)*(nASIG=B337)*(nNOTA=8))</f>
        <v>0</v>
      </c>
      <c r="T337">
        <f>SUMPRODUCT((nCUENTA=1)*(nCURSO=A337)*(nASIG=B337)*(nNOTA=9))</f>
        <v>0</v>
      </c>
      <c r="U337">
        <f>SUMPRODUCT((nCUENTA=1)*(nCURSO=A337)*(nASIG=B337)*(nNOTA=10))</f>
        <v>0</v>
      </c>
    </row>
    <row r="338">
      <c r="A338" t="inlineStr">
        <is>
          <t xml:space="preserve">5EPM</t>
        </is>
      </c>
      <c r="B338" cm="1">
        <f t="array" ref="B338">IFERROR(INDEX(_xlfn._xlws.FILTER(CONFIG_ASIGNATURAS!$B$2:$B$91,(CONFIG_ASIGNATURAS!$G$2:$G$91="Sí")*ISNUMBER(SEARCH("5EPM",CONFIG_ASIGNATURAS!$C$2:$C$91))),15),"")</f>
      </c>
      <c r="C338">
        <f>IF(B338="","",IFERROR(VLOOKUP(B338,CONFIG_ASIGNATURAS!$B$2:$D$91,3,FALSE()),"Asignatura"))</f>
      </c>
      <c r="D338">
        <f>SUMPRODUCT((nCUENTA=1)*(nCURSO=A338)*(nASIG=B338))</f>
        <v>0</v>
      </c>
      <c r="E338" s="10" t="str">
        <f>IFERROR(SUMPRODUCT((nCUENTA=1)*(nCURSO=A338)*(nASIG=B338)*(nNOTA))/D338,"—")</f>
        <v>—</v>
      </c>
      <c r="F338" s="10" t="str" cm="1">
        <f t="array" ref="F338">IFERROR(_xlfn.STDEV.P(_xlfn._xlws.FILTER(nNOTA,(nCUENTA=1)*(nCURSO=A338)*(nASIG=B338))),"—")</f>
        <v>—</v>
      </c>
      <c r="G338" t="str" cm="1">
        <f t="array" ref="G338">IFERROR(_xlfn.MODE.SNGL(_xlfn._xlws.FILTER(nNOTA,(nCUENTA=1)*(nCURSO=A338)*(nASIG=B338))),"—")</f>
        <v>—</v>
      </c>
      <c r="H338" s="11" t="str">
        <f>IFERROR(SUMPRODUCT((nCUENTA=1)*(nCURSO=A338)*(nASIG=B338)*(nAPTO="S"))/D338,"—")</f>
        <v>—</v>
      </c>
      <c r="I338" s="11" t="str">
        <f>IFERROR(SUMPRODUCT((nCUENTA=1)*(nCURSO=A338)*(nASIG=B338)*(nAPTO="N"))/D338,"—")</f>
        <v>—</v>
      </c>
      <c r="J338" t="str" cm="1">
        <f t="array" ref="J338">IFERROR(_xlfn.MODE.SNGL(_xlfn._xlws.FILTER(nNOTA,(nCUENTA=1)*(nCURSO=A338)*(nASIG=B338)*(nAPTO="S"))),"—")</f>
        <v>—</v>
      </c>
      <c r="K338" t="str" cm="1">
        <f t="array" ref="K338">IFERROR(_xlfn.MODE.SNGL(_xlfn._xlws.FILTER(nNOTA,(nCUENTA=1)*(nCURSO=A338)*(nASIG=B338)*(nAPTO="N"))),"—")</f>
        <v>—</v>
      </c>
      <c r="L338">
        <f>SUMPRODUCT((nCUENTA=1)*(nCURSO=A338)*(nASIG=B338)*(nNOTA=1))</f>
        <v>0</v>
      </c>
      <c r="M338">
        <f>SUMPRODUCT((nCUENTA=1)*(nCURSO=A338)*(nASIG=B338)*(nNOTA=2))</f>
        <v>0</v>
      </c>
      <c r="N338">
        <f>SUMPRODUCT((nCUENTA=1)*(nCURSO=A338)*(nASIG=B338)*(nNOTA=3))</f>
        <v>0</v>
      </c>
      <c r="O338">
        <f>SUMPRODUCT((nCUENTA=1)*(nCURSO=A338)*(nASIG=B338)*(nNOTA=4))</f>
        <v>0</v>
      </c>
      <c r="P338">
        <f>SUMPRODUCT((nCUENTA=1)*(nCURSO=A338)*(nASIG=B338)*(nNOTA=5))</f>
        <v>0</v>
      </c>
      <c r="Q338">
        <f>SUMPRODUCT((nCUENTA=1)*(nCURSO=A338)*(nASIG=B338)*(nNOTA=6))</f>
        <v>0</v>
      </c>
      <c r="R338">
        <f>SUMPRODUCT((nCUENTA=1)*(nCURSO=A338)*(nASIG=B338)*(nNOTA=7))</f>
        <v>0</v>
      </c>
      <c r="S338">
        <f>SUMPRODUCT((nCUENTA=1)*(nCURSO=A338)*(nASIG=B338)*(nNOTA=8))</f>
        <v>0</v>
      </c>
      <c r="T338">
        <f>SUMPRODUCT((nCUENTA=1)*(nCURSO=A338)*(nASIG=B338)*(nNOTA=9))</f>
        <v>0</v>
      </c>
      <c r="U338">
        <f>SUMPRODUCT((nCUENTA=1)*(nCURSO=A338)*(nASIG=B338)*(nNOTA=10))</f>
        <v>0</v>
      </c>
    </row>
    <row r="339">
      <c r="A339" t="inlineStr">
        <is>
          <t xml:space="preserve">5EPM</t>
        </is>
      </c>
      <c r="B339" cm="1">
        <f t="array" ref="B339">IFERROR(INDEX(_xlfn._xlws.FILTER(CONFIG_ASIGNATURAS!$B$2:$B$91,(CONFIG_ASIGNATURAS!$G$2:$G$91="Sí")*ISNUMBER(SEARCH("5EPM",CONFIG_ASIGNATURAS!$C$2:$C$91))),16),"")</f>
      </c>
      <c r="C339">
        <f>IF(B339="","",IFERROR(VLOOKUP(B339,CONFIG_ASIGNATURAS!$B$2:$D$91,3,FALSE()),"Asignatura"))</f>
      </c>
      <c r="D339">
        <f>SUMPRODUCT((nCUENTA=1)*(nCURSO=A339)*(nASIG=B339))</f>
        <v>0</v>
      </c>
      <c r="E339" s="10" t="str">
        <f>IFERROR(SUMPRODUCT((nCUENTA=1)*(nCURSO=A339)*(nASIG=B339)*(nNOTA))/D339,"—")</f>
        <v>—</v>
      </c>
      <c r="F339" s="10" t="str" cm="1">
        <f t="array" ref="F339">IFERROR(_xlfn.STDEV.P(_xlfn._xlws.FILTER(nNOTA,(nCUENTA=1)*(nCURSO=A339)*(nASIG=B339))),"—")</f>
        <v>—</v>
      </c>
      <c r="G339" t="str" cm="1">
        <f t="array" ref="G339">IFERROR(_xlfn.MODE.SNGL(_xlfn._xlws.FILTER(nNOTA,(nCUENTA=1)*(nCURSO=A339)*(nASIG=B339))),"—")</f>
        <v>—</v>
      </c>
      <c r="H339" s="11" t="str">
        <f>IFERROR(SUMPRODUCT((nCUENTA=1)*(nCURSO=A339)*(nASIG=B339)*(nAPTO="S"))/D339,"—")</f>
        <v>—</v>
      </c>
      <c r="I339" s="11" t="str">
        <f>IFERROR(SUMPRODUCT((nCUENTA=1)*(nCURSO=A339)*(nASIG=B339)*(nAPTO="N"))/D339,"—")</f>
        <v>—</v>
      </c>
      <c r="J339" t="str" cm="1">
        <f t="array" ref="J339">IFERROR(_xlfn.MODE.SNGL(_xlfn._xlws.FILTER(nNOTA,(nCUENTA=1)*(nCURSO=A339)*(nASIG=B339)*(nAPTO="S"))),"—")</f>
        <v>—</v>
      </c>
      <c r="K339" t="str" cm="1">
        <f t="array" ref="K339">IFERROR(_xlfn.MODE.SNGL(_xlfn._xlws.FILTER(nNOTA,(nCUENTA=1)*(nCURSO=A339)*(nASIG=B339)*(nAPTO="N"))),"—")</f>
        <v>—</v>
      </c>
      <c r="L339">
        <f>SUMPRODUCT((nCUENTA=1)*(nCURSO=A339)*(nASIG=B339)*(nNOTA=1))</f>
        <v>0</v>
      </c>
      <c r="M339">
        <f>SUMPRODUCT((nCUENTA=1)*(nCURSO=A339)*(nASIG=B339)*(nNOTA=2))</f>
        <v>0</v>
      </c>
      <c r="N339">
        <f>SUMPRODUCT((nCUENTA=1)*(nCURSO=A339)*(nASIG=B339)*(nNOTA=3))</f>
        <v>0</v>
      </c>
      <c r="O339">
        <f>SUMPRODUCT((nCUENTA=1)*(nCURSO=A339)*(nASIG=B339)*(nNOTA=4))</f>
        <v>0</v>
      </c>
      <c r="P339">
        <f>SUMPRODUCT((nCUENTA=1)*(nCURSO=A339)*(nASIG=B339)*(nNOTA=5))</f>
        <v>0</v>
      </c>
      <c r="Q339">
        <f>SUMPRODUCT((nCUENTA=1)*(nCURSO=A339)*(nASIG=B339)*(nNOTA=6))</f>
        <v>0</v>
      </c>
      <c r="R339">
        <f>SUMPRODUCT((nCUENTA=1)*(nCURSO=A339)*(nASIG=B339)*(nNOTA=7))</f>
        <v>0</v>
      </c>
      <c r="S339">
        <f>SUMPRODUCT((nCUENTA=1)*(nCURSO=A339)*(nASIG=B339)*(nNOTA=8))</f>
        <v>0</v>
      </c>
      <c r="T339">
        <f>SUMPRODUCT((nCUENTA=1)*(nCURSO=A339)*(nASIG=B339)*(nNOTA=9))</f>
        <v>0</v>
      </c>
      <c r="U339">
        <f>SUMPRODUCT((nCUENTA=1)*(nCURSO=A339)*(nASIG=B339)*(nNOTA=10))</f>
        <v>0</v>
      </c>
    </row>
    <row r="340">
      <c r="A340" t="inlineStr">
        <is>
          <t xml:space="preserve">5EPM</t>
        </is>
      </c>
      <c r="B340" cm="1">
        <f t="array" ref="B340">IFERROR(INDEX(_xlfn._xlws.FILTER(CONFIG_ASIGNATURAS!$B$2:$B$91,(CONFIG_ASIGNATURAS!$G$2:$G$91="Sí")*ISNUMBER(SEARCH("5EPM",CONFIG_ASIGNATURAS!$C$2:$C$91))),17),"")</f>
      </c>
      <c r="C340">
        <f>IF(B340="","",IFERROR(VLOOKUP(B340,CONFIG_ASIGNATURAS!$B$2:$D$91,3,FALSE()),"Asignatura"))</f>
      </c>
      <c r="D340">
        <f>SUMPRODUCT((nCUENTA=1)*(nCURSO=A340)*(nASIG=B340))</f>
        <v>0</v>
      </c>
      <c r="E340" s="10" t="str">
        <f>IFERROR(SUMPRODUCT((nCUENTA=1)*(nCURSO=A340)*(nASIG=B340)*(nNOTA))/D340,"—")</f>
        <v>—</v>
      </c>
      <c r="F340" s="10" t="str" cm="1">
        <f t="array" ref="F340">IFERROR(_xlfn.STDEV.P(_xlfn._xlws.FILTER(nNOTA,(nCUENTA=1)*(nCURSO=A340)*(nASIG=B340))),"—")</f>
        <v>—</v>
      </c>
      <c r="G340" t="str" cm="1">
        <f t="array" ref="G340">IFERROR(_xlfn.MODE.SNGL(_xlfn._xlws.FILTER(nNOTA,(nCUENTA=1)*(nCURSO=A340)*(nASIG=B340))),"—")</f>
        <v>—</v>
      </c>
      <c r="H340" s="11" t="str">
        <f>IFERROR(SUMPRODUCT((nCUENTA=1)*(nCURSO=A340)*(nASIG=B340)*(nAPTO="S"))/D340,"—")</f>
        <v>—</v>
      </c>
      <c r="I340" s="11" t="str">
        <f>IFERROR(SUMPRODUCT((nCUENTA=1)*(nCURSO=A340)*(nASIG=B340)*(nAPTO="N"))/D340,"—")</f>
        <v>—</v>
      </c>
      <c r="J340" t="str" cm="1">
        <f t="array" ref="J340">IFERROR(_xlfn.MODE.SNGL(_xlfn._xlws.FILTER(nNOTA,(nCUENTA=1)*(nCURSO=A340)*(nASIG=B340)*(nAPTO="S"))),"—")</f>
        <v>—</v>
      </c>
      <c r="K340" t="str" cm="1">
        <f t="array" ref="K340">IFERROR(_xlfn.MODE.SNGL(_xlfn._xlws.FILTER(nNOTA,(nCUENTA=1)*(nCURSO=A340)*(nASIG=B340)*(nAPTO="N"))),"—")</f>
        <v>—</v>
      </c>
      <c r="L340">
        <f>SUMPRODUCT((nCUENTA=1)*(nCURSO=A340)*(nASIG=B340)*(nNOTA=1))</f>
        <v>0</v>
      </c>
      <c r="M340">
        <f>SUMPRODUCT((nCUENTA=1)*(nCURSO=A340)*(nASIG=B340)*(nNOTA=2))</f>
        <v>0</v>
      </c>
      <c r="N340">
        <f>SUMPRODUCT((nCUENTA=1)*(nCURSO=A340)*(nASIG=B340)*(nNOTA=3))</f>
        <v>0</v>
      </c>
      <c r="O340">
        <f>SUMPRODUCT((nCUENTA=1)*(nCURSO=A340)*(nASIG=B340)*(nNOTA=4))</f>
        <v>0</v>
      </c>
      <c r="P340">
        <f>SUMPRODUCT((nCUENTA=1)*(nCURSO=A340)*(nASIG=B340)*(nNOTA=5))</f>
        <v>0</v>
      </c>
      <c r="Q340">
        <f>SUMPRODUCT((nCUENTA=1)*(nCURSO=A340)*(nASIG=B340)*(nNOTA=6))</f>
        <v>0</v>
      </c>
      <c r="R340">
        <f>SUMPRODUCT((nCUENTA=1)*(nCURSO=A340)*(nASIG=B340)*(nNOTA=7))</f>
        <v>0</v>
      </c>
      <c r="S340">
        <f>SUMPRODUCT((nCUENTA=1)*(nCURSO=A340)*(nASIG=B340)*(nNOTA=8))</f>
        <v>0</v>
      </c>
      <c r="T340">
        <f>SUMPRODUCT((nCUENTA=1)*(nCURSO=A340)*(nASIG=B340)*(nNOTA=9))</f>
        <v>0</v>
      </c>
      <c r="U340">
        <f>SUMPRODUCT((nCUENTA=1)*(nCURSO=A340)*(nASIG=B340)*(nNOTA=10))</f>
        <v>0</v>
      </c>
    </row>
    <row r="341">
      <c r="A341" t="inlineStr">
        <is>
          <t xml:space="preserve">5EPM</t>
        </is>
      </c>
      <c r="B341" cm="1">
        <f t="array" ref="B341">IFERROR(INDEX(_xlfn._xlws.FILTER(CONFIG_ASIGNATURAS!$B$2:$B$91,(CONFIG_ASIGNATURAS!$G$2:$G$91="Sí")*ISNUMBER(SEARCH("5EPM",CONFIG_ASIGNATURAS!$C$2:$C$91))),18),"")</f>
      </c>
      <c r="C341">
        <f>IF(B341="","",IFERROR(VLOOKUP(B341,CONFIG_ASIGNATURAS!$B$2:$D$91,3,FALSE()),"Asignatura"))</f>
      </c>
      <c r="D341">
        <f>SUMPRODUCT((nCUENTA=1)*(nCURSO=A341)*(nASIG=B341))</f>
        <v>0</v>
      </c>
      <c r="E341" s="10" t="str">
        <f>IFERROR(SUMPRODUCT((nCUENTA=1)*(nCURSO=A341)*(nASIG=B341)*(nNOTA))/D341,"—")</f>
        <v>—</v>
      </c>
      <c r="F341" s="10" t="str" cm="1">
        <f t="array" ref="F341">IFERROR(_xlfn.STDEV.P(_xlfn._xlws.FILTER(nNOTA,(nCUENTA=1)*(nCURSO=A341)*(nASIG=B341))),"—")</f>
        <v>—</v>
      </c>
      <c r="G341" t="str" cm="1">
        <f t="array" ref="G341">IFERROR(_xlfn.MODE.SNGL(_xlfn._xlws.FILTER(nNOTA,(nCUENTA=1)*(nCURSO=A341)*(nASIG=B341))),"—")</f>
        <v>—</v>
      </c>
      <c r="H341" s="11" t="str">
        <f>IFERROR(SUMPRODUCT((nCUENTA=1)*(nCURSO=A341)*(nASIG=B341)*(nAPTO="S"))/D341,"—")</f>
        <v>—</v>
      </c>
      <c r="I341" s="11" t="str">
        <f>IFERROR(SUMPRODUCT((nCUENTA=1)*(nCURSO=A341)*(nASIG=B341)*(nAPTO="N"))/D341,"—")</f>
        <v>—</v>
      </c>
      <c r="J341" t="str" cm="1">
        <f t="array" ref="J341">IFERROR(_xlfn.MODE.SNGL(_xlfn._xlws.FILTER(nNOTA,(nCUENTA=1)*(nCURSO=A341)*(nASIG=B341)*(nAPTO="S"))),"—")</f>
        <v>—</v>
      </c>
      <c r="K341" t="str" cm="1">
        <f t="array" ref="K341">IFERROR(_xlfn.MODE.SNGL(_xlfn._xlws.FILTER(nNOTA,(nCUENTA=1)*(nCURSO=A341)*(nASIG=B341)*(nAPTO="N"))),"—")</f>
        <v>—</v>
      </c>
      <c r="L341">
        <f>SUMPRODUCT((nCUENTA=1)*(nCURSO=A341)*(nASIG=B341)*(nNOTA=1))</f>
        <v>0</v>
      </c>
      <c r="M341">
        <f>SUMPRODUCT((nCUENTA=1)*(nCURSO=A341)*(nASIG=B341)*(nNOTA=2))</f>
        <v>0</v>
      </c>
      <c r="N341">
        <f>SUMPRODUCT((nCUENTA=1)*(nCURSO=A341)*(nASIG=B341)*(nNOTA=3))</f>
        <v>0</v>
      </c>
      <c r="O341">
        <f>SUMPRODUCT((nCUENTA=1)*(nCURSO=A341)*(nASIG=B341)*(nNOTA=4))</f>
        <v>0</v>
      </c>
      <c r="P341">
        <f>SUMPRODUCT((nCUENTA=1)*(nCURSO=A341)*(nASIG=B341)*(nNOTA=5))</f>
        <v>0</v>
      </c>
      <c r="Q341">
        <f>SUMPRODUCT((nCUENTA=1)*(nCURSO=A341)*(nASIG=B341)*(nNOTA=6))</f>
        <v>0</v>
      </c>
      <c r="R341">
        <f>SUMPRODUCT((nCUENTA=1)*(nCURSO=A341)*(nASIG=B341)*(nNOTA=7))</f>
        <v>0</v>
      </c>
      <c r="S341">
        <f>SUMPRODUCT((nCUENTA=1)*(nCURSO=A341)*(nASIG=B341)*(nNOTA=8))</f>
        <v>0</v>
      </c>
      <c r="T341">
        <f>SUMPRODUCT((nCUENTA=1)*(nCURSO=A341)*(nASIG=B341)*(nNOTA=9))</f>
        <v>0</v>
      </c>
      <c r="U341">
        <f>SUMPRODUCT((nCUENTA=1)*(nCURSO=A341)*(nASIG=B341)*(nNOTA=10))</f>
        <v>0</v>
      </c>
    </row>
    <row r="342">
      <c r="A342" t="inlineStr">
        <is>
          <t xml:space="preserve">5EPM</t>
        </is>
      </c>
      <c r="B342" cm="1">
        <f t="array" ref="B342">IFERROR(INDEX(_xlfn._xlws.FILTER(CONFIG_ASIGNATURAS!$B$2:$B$91,(CONFIG_ASIGNATURAS!$G$2:$G$91="Sí")*ISNUMBER(SEARCH("5EPM",CONFIG_ASIGNATURAS!$C$2:$C$91))),19),"")</f>
      </c>
      <c r="C342">
        <f>IF(B342="","",IFERROR(VLOOKUP(B342,CONFIG_ASIGNATURAS!$B$2:$D$91,3,FALSE()),"Asignatura"))</f>
      </c>
      <c r="D342">
        <f>SUMPRODUCT((nCUENTA=1)*(nCURSO=A342)*(nASIG=B342))</f>
        <v>0</v>
      </c>
      <c r="E342" s="10" t="str">
        <f>IFERROR(SUMPRODUCT((nCUENTA=1)*(nCURSO=A342)*(nASIG=B342)*(nNOTA))/D342,"—")</f>
        <v>—</v>
      </c>
      <c r="F342" s="10" t="str" cm="1">
        <f t="array" ref="F342">IFERROR(_xlfn.STDEV.P(_xlfn._xlws.FILTER(nNOTA,(nCUENTA=1)*(nCURSO=A342)*(nASIG=B342))),"—")</f>
        <v>—</v>
      </c>
      <c r="G342" t="str" cm="1">
        <f t="array" ref="G342">IFERROR(_xlfn.MODE.SNGL(_xlfn._xlws.FILTER(nNOTA,(nCUENTA=1)*(nCURSO=A342)*(nASIG=B342))),"—")</f>
        <v>—</v>
      </c>
      <c r="H342" s="11" t="str">
        <f>IFERROR(SUMPRODUCT((nCUENTA=1)*(nCURSO=A342)*(nASIG=B342)*(nAPTO="S"))/D342,"—")</f>
        <v>—</v>
      </c>
      <c r="I342" s="11" t="str">
        <f>IFERROR(SUMPRODUCT((nCUENTA=1)*(nCURSO=A342)*(nASIG=B342)*(nAPTO="N"))/D342,"—")</f>
        <v>—</v>
      </c>
      <c r="J342" t="str" cm="1">
        <f t="array" ref="J342">IFERROR(_xlfn.MODE.SNGL(_xlfn._xlws.FILTER(nNOTA,(nCUENTA=1)*(nCURSO=A342)*(nASIG=B342)*(nAPTO="S"))),"—")</f>
        <v>—</v>
      </c>
      <c r="K342" t="str" cm="1">
        <f t="array" ref="K342">IFERROR(_xlfn.MODE.SNGL(_xlfn._xlws.FILTER(nNOTA,(nCUENTA=1)*(nCURSO=A342)*(nASIG=B342)*(nAPTO="N"))),"—")</f>
        <v>—</v>
      </c>
      <c r="L342">
        <f>SUMPRODUCT((nCUENTA=1)*(nCURSO=A342)*(nASIG=B342)*(nNOTA=1))</f>
        <v>0</v>
      </c>
      <c r="M342">
        <f>SUMPRODUCT((nCUENTA=1)*(nCURSO=A342)*(nASIG=B342)*(nNOTA=2))</f>
        <v>0</v>
      </c>
      <c r="N342">
        <f>SUMPRODUCT((nCUENTA=1)*(nCURSO=A342)*(nASIG=B342)*(nNOTA=3))</f>
        <v>0</v>
      </c>
      <c r="O342">
        <f>SUMPRODUCT((nCUENTA=1)*(nCURSO=A342)*(nASIG=B342)*(nNOTA=4))</f>
        <v>0</v>
      </c>
      <c r="P342">
        <f>SUMPRODUCT((nCUENTA=1)*(nCURSO=A342)*(nASIG=B342)*(nNOTA=5))</f>
        <v>0</v>
      </c>
      <c r="Q342">
        <f>SUMPRODUCT((nCUENTA=1)*(nCURSO=A342)*(nASIG=B342)*(nNOTA=6))</f>
        <v>0</v>
      </c>
      <c r="R342">
        <f>SUMPRODUCT((nCUENTA=1)*(nCURSO=A342)*(nASIG=B342)*(nNOTA=7))</f>
        <v>0</v>
      </c>
      <c r="S342">
        <f>SUMPRODUCT((nCUENTA=1)*(nCURSO=A342)*(nASIG=B342)*(nNOTA=8))</f>
        <v>0</v>
      </c>
      <c r="T342">
        <f>SUMPRODUCT((nCUENTA=1)*(nCURSO=A342)*(nASIG=B342)*(nNOTA=9))</f>
        <v>0</v>
      </c>
      <c r="U342">
        <f>SUMPRODUCT((nCUENTA=1)*(nCURSO=A342)*(nASIG=B342)*(nNOTA=10))</f>
        <v>0</v>
      </c>
    </row>
    <row r="343">
      <c r="A343" t="inlineStr">
        <is>
          <t xml:space="preserve">5EPM</t>
        </is>
      </c>
      <c r="B343" cm="1">
        <f t="array" ref="B343">IFERROR(INDEX(_xlfn._xlws.FILTER(CONFIG_ASIGNATURAS!$B$2:$B$91,(CONFIG_ASIGNATURAS!$G$2:$G$91="Sí")*ISNUMBER(SEARCH("5EPM",CONFIG_ASIGNATURAS!$C$2:$C$91))),20),"")</f>
      </c>
      <c r="C343">
        <f>IF(B343="","",IFERROR(VLOOKUP(B343,CONFIG_ASIGNATURAS!$B$2:$D$91,3,FALSE()),"Asignatura"))</f>
      </c>
      <c r="D343">
        <f>SUMPRODUCT((nCUENTA=1)*(nCURSO=A343)*(nASIG=B343))</f>
        <v>0</v>
      </c>
      <c r="E343" s="10" t="str">
        <f>IFERROR(SUMPRODUCT((nCUENTA=1)*(nCURSO=A343)*(nASIG=B343)*(nNOTA))/D343,"—")</f>
        <v>—</v>
      </c>
      <c r="F343" s="10" t="str" cm="1">
        <f t="array" ref="F343">IFERROR(_xlfn.STDEV.P(_xlfn._xlws.FILTER(nNOTA,(nCUENTA=1)*(nCURSO=A343)*(nASIG=B343))),"—")</f>
        <v>—</v>
      </c>
      <c r="G343" t="str" cm="1">
        <f t="array" ref="G343">IFERROR(_xlfn.MODE.SNGL(_xlfn._xlws.FILTER(nNOTA,(nCUENTA=1)*(nCURSO=A343)*(nASIG=B343))),"—")</f>
        <v>—</v>
      </c>
      <c r="H343" s="11" t="str">
        <f>IFERROR(SUMPRODUCT((nCUENTA=1)*(nCURSO=A343)*(nASIG=B343)*(nAPTO="S"))/D343,"—")</f>
        <v>—</v>
      </c>
      <c r="I343" s="11" t="str">
        <f>IFERROR(SUMPRODUCT((nCUENTA=1)*(nCURSO=A343)*(nASIG=B343)*(nAPTO="N"))/D343,"—")</f>
        <v>—</v>
      </c>
      <c r="J343" t="str" cm="1">
        <f t="array" ref="J343">IFERROR(_xlfn.MODE.SNGL(_xlfn._xlws.FILTER(nNOTA,(nCUENTA=1)*(nCURSO=A343)*(nASIG=B343)*(nAPTO="S"))),"—")</f>
        <v>—</v>
      </c>
      <c r="K343" t="str" cm="1">
        <f t="array" ref="K343">IFERROR(_xlfn.MODE.SNGL(_xlfn._xlws.FILTER(nNOTA,(nCUENTA=1)*(nCURSO=A343)*(nASIG=B343)*(nAPTO="N"))),"—")</f>
        <v>—</v>
      </c>
      <c r="L343">
        <f>SUMPRODUCT((nCUENTA=1)*(nCURSO=A343)*(nASIG=B343)*(nNOTA=1))</f>
        <v>0</v>
      </c>
      <c r="M343">
        <f>SUMPRODUCT((nCUENTA=1)*(nCURSO=A343)*(nASIG=B343)*(nNOTA=2))</f>
        <v>0</v>
      </c>
      <c r="N343">
        <f>SUMPRODUCT((nCUENTA=1)*(nCURSO=A343)*(nASIG=B343)*(nNOTA=3))</f>
        <v>0</v>
      </c>
      <c r="O343">
        <f>SUMPRODUCT((nCUENTA=1)*(nCURSO=A343)*(nASIG=B343)*(nNOTA=4))</f>
        <v>0</v>
      </c>
      <c r="P343">
        <f>SUMPRODUCT((nCUENTA=1)*(nCURSO=A343)*(nASIG=B343)*(nNOTA=5))</f>
        <v>0</v>
      </c>
      <c r="Q343">
        <f>SUMPRODUCT((nCUENTA=1)*(nCURSO=A343)*(nASIG=B343)*(nNOTA=6))</f>
        <v>0</v>
      </c>
      <c r="R343">
        <f>SUMPRODUCT((nCUENTA=1)*(nCURSO=A343)*(nASIG=B343)*(nNOTA=7))</f>
        <v>0</v>
      </c>
      <c r="S343">
        <f>SUMPRODUCT((nCUENTA=1)*(nCURSO=A343)*(nASIG=B343)*(nNOTA=8))</f>
        <v>0</v>
      </c>
      <c r="T343">
        <f>SUMPRODUCT((nCUENTA=1)*(nCURSO=A343)*(nASIG=B343)*(nNOTA=9))</f>
        <v>0</v>
      </c>
      <c r="U343">
        <f>SUMPRODUCT((nCUENTA=1)*(nCURSO=A343)*(nASIG=B343)*(nNOTA=10))</f>
        <v>0</v>
      </c>
    </row>
    <row r="344">
      <c r="A344" t="inlineStr">
        <is>
          <t xml:space="preserve">5EPM</t>
        </is>
      </c>
      <c r="B344" cm="1">
        <f t="array" ref="B344">IFERROR(INDEX(_xlfn._xlws.FILTER(CONFIG_ASIGNATURAS!$B$2:$B$91,(CONFIG_ASIGNATURAS!$G$2:$G$91="Sí")*ISNUMBER(SEARCH("5EPM",CONFIG_ASIGNATURAS!$C$2:$C$91))),21),"")</f>
      </c>
      <c r="C344">
        <f>IF(B344="","",IFERROR(VLOOKUP(B344,CONFIG_ASIGNATURAS!$B$2:$D$91,3,FALSE()),"Asignatura"))</f>
      </c>
      <c r="D344">
        <f>SUMPRODUCT((nCUENTA=1)*(nCURSO=A344)*(nASIG=B344))</f>
        <v>0</v>
      </c>
      <c r="E344" s="10" t="str">
        <f>IFERROR(SUMPRODUCT((nCUENTA=1)*(nCURSO=A344)*(nASIG=B344)*(nNOTA))/D344,"—")</f>
        <v>—</v>
      </c>
      <c r="F344" s="10" t="str" cm="1">
        <f t="array" ref="F344">IFERROR(_xlfn.STDEV.P(_xlfn._xlws.FILTER(nNOTA,(nCUENTA=1)*(nCURSO=A344)*(nASIG=B344))),"—")</f>
        <v>—</v>
      </c>
      <c r="G344" t="str" cm="1">
        <f t="array" ref="G344">IFERROR(_xlfn.MODE.SNGL(_xlfn._xlws.FILTER(nNOTA,(nCUENTA=1)*(nCURSO=A344)*(nASIG=B344))),"—")</f>
        <v>—</v>
      </c>
      <c r="H344" s="11" t="str">
        <f>IFERROR(SUMPRODUCT((nCUENTA=1)*(nCURSO=A344)*(nASIG=B344)*(nAPTO="S"))/D344,"—")</f>
        <v>—</v>
      </c>
      <c r="I344" s="11" t="str">
        <f>IFERROR(SUMPRODUCT((nCUENTA=1)*(nCURSO=A344)*(nASIG=B344)*(nAPTO="N"))/D344,"—")</f>
        <v>—</v>
      </c>
      <c r="J344" t="str" cm="1">
        <f t="array" ref="J344">IFERROR(_xlfn.MODE.SNGL(_xlfn._xlws.FILTER(nNOTA,(nCUENTA=1)*(nCURSO=A344)*(nASIG=B344)*(nAPTO="S"))),"—")</f>
        <v>—</v>
      </c>
      <c r="K344" t="str" cm="1">
        <f t="array" ref="K344">IFERROR(_xlfn.MODE.SNGL(_xlfn._xlws.FILTER(nNOTA,(nCUENTA=1)*(nCURSO=A344)*(nASIG=B344)*(nAPTO="N"))),"—")</f>
        <v>—</v>
      </c>
      <c r="L344">
        <f>SUMPRODUCT((nCUENTA=1)*(nCURSO=A344)*(nASIG=B344)*(nNOTA=1))</f>
        <v>0</v>
      </c>
      <c r="M344">
        <f>SUMPRODUCT((nCUENTA=1)*(nCURSO=A344)*(nASIG=B344)*(nNOTA=2))</f>
        <v>0</v>
      </c>
      <c r="N344">
        <f>SUMPRODUCT((nCUENTA=1)*(nCURSO=A344)*(nASIG=B344)*(nNOTA=3))</f>
        <v>0</v>
      </c>
      <c r="O344">
        <f>SUMPRODUCT((nCUENTA=1)*(nCURSO=A344)*(nASIG=B344)*(nNOTA=4))</f>
        <v>0</v>
      </c>
      <c r="P344">
        <f>SUMPRODUCT((nCUENTA=1)*(nCURSO=A344)*(nASIG=B344)*(nNOTA=5))</f>
        <v>0</v>
      </c>
      <c r="Q344">
        <f>SUMPRODUCT((nCUENTA=1)*(nCURSO=A344)*(nASIG=B344)*(nNOTA=6))</f>
        <v>0</v>
      </c>
      <c r="R344">
        <f>SUMPRODUCT((nCUENTA=1)*(nCURSO=A344)*(nASIG=B344)*(nNOTA=7))</f>
        <v>0</v>
      </c>
      <c r="S344">
        <f>SUMPRODUCT((nCUENTA=1)*(nCURSO=A344)*(nASIG=B344)*(nNOTA=8))</f>
        <v>0</v>
      </c>
      <c r="T344">
        <f>SUMPRODUCT((nCUENTA=1)*(nCURSO=A344)*(nASIG=B344)*(nNOTA=9))</f>
        <v>0</v>
      </c>
      <c r="U344">
        <f>SUMPRODUCT((nCUENTA=1)*(nCURSO=A344)*(nASIG=B344)*(nNOTA=10))</f>
        <v>0</v>
      </c>
    </row>
    <row r="345">
      <c r="A345" t="inlineStr">
        <is>
          <t xml:space="preserve">5EPM</t>
        </is>
      </c>
      <c r="B345" cm="1">
        <f t="array" ref="B345">IFERROR(INDEX(_xlfn._xlws.FILTER(CONFIG_ASIGNATURAS!$B$2:$B$91,(CONFIG_ASIGNATURAS!$G$2:$G$91="Sí")*ISNUMBER(SEARCH("5EPM",CONFIG_ASIGNATURAS!$C$2:$C$91))),22),"")</f>
      </c>
      <c r="C345">
        <f>IF(B345="","",IFERROR(VLOOKUP(B345,CONFIG_ASIGNATURAS!$B$2:$D$91,3,FALSE()),"Asignatura"))</f>
      </c>
      <c r="D345">
        <f>SUMPRODUCT((nCUENTA=1)*(nCURSO=A345)*(nASIG=B345))</f>
        <v>0</v>
      </c>
      <c r="E345" s="10" t="str">
        <f>IFERROR(SUMPRODUCT((nCUENTA=1)*(nCURSO=A345)*(nASIG=B345)*(nNOTA))/D345,"—")</f>
        <v>—</v>
      </c>
      <c r="F345" s="10" t="str" cm="1">
        <f t="array" ref="F345">IFERROR(_xlfn.STDEV.P(_xlfn._xlws.FILTER(nNOTA,(nCUENTA=1)*(nCURSO=A345)*(nASIG=B345))),"—")</f>
        <v>—</v>
      </c>
      <c r="G345" t="str" cm="1">
        <f t="array" ref="G345">IFERROR(_xlfn.MODE.SNGL(_xlfn._xlws.FILTER(nNOTA,(nCUENTA=1)*(nCURSO=A345)*(nASIG=B345))),"—")</f>
        <v>—</v>
      </c>
      <c r="H345" s="11" t="str">
        <f>IFERROR(SUMPRODUCT((nCUENTA=1)*(nCURSO=A345)*(nASIG=B345)*(nAPTO="S"))/D345,"—")</f>
        <v>—</v>
      </c>
      <c r="I345" s="11" t="str">
        <f>IFERROR(SUMPRODUCT((nCUENTA=1)*(nCURSO=A345)*(nASIG=B345)*(nAPTO="N"))/D345,"—")</f>
        <v>—</v>
      </c>
      <c r="J345" t="str" cm="1">
        <f t="array" ref="J345">IFERROR(_xlfn.MODE.SNGL(_xlfn._xlws.FILTER(nNOTA,(nCUENTA=1)*(nCURSO=A345)*(nASIG=B345)*(nAPTO="S"))),"—")</f>
        <v>—</v>
      </c>
      <c r="K345" t="str" cm="1">
        <f t="array" ref="K345">IFERROR(_xlfn.MODE.SNGL(_xlfn._xlws.FILTER(nNOTA,(nCUENTA=1)*(nCURSO=A345)*(nASIG=B345)*(nAPTO="N"))),"—")</f>
        <v>—</v>
      </c>
      <c r="L345">
        <f>SUMPRODUCT((nCUENTA=1)*(nCURSO=A345)*(nASIG=B345)*(nNOTA=1))</f>
        <v>0</v>
      </c>
      <c r="M345">
        <f>SUMPRODUCT((nCUENTA=1)*(nCURSO=A345)*(nASIG=B345)*(nNOTA=2))</f>
        <v>0</v>
      </c>
      <c r="N345">
        <f>SUMPRODUCT((nCUENTA=1)*(nCURSO=A345)*(nASIG=B345)*(nNOTA=3))</f>
        <v>0</v>
      </c>
      <c r="O345">
        <f>SUMPRODUCT((nCUENTA=1)*(nCURSO=A345)*(nASIG=B345)*(nNOTA=4))</f>
        <v>0</v>
      </c>
      <c r="P345">
        <f>SUMPRODUCT((nCUENTA=1)*(nCURSO=A345)*(nASIG=B345)*(nNOTA=5))</f>
        <v>0</v>
      </c>
      <c r="Q345">
        <f>SUMPRODUCT((nCUENTA=1)*(nCURSO=A345)*(nASIG=B345)*(nNOTA=6))</f>
        <v>0</v>
      </c>
      <c r="R345">
        <f>SUMPRODUCT((nCUENTA=1)*(nCURSO=A345)*(nASIG=B345)*(nNOTA=7))</f>
        <v>0</v>
      </c>
      <c r="S345">
        <f>SUMPRODUCT((nCUENTA=1)*(nCURSO=A345)*(nASIG=B345)*(nNOTA=8))</f>
        <v>0</v>
      </c>
      <c r="T345">
        <f>SUMPRODUCT((nCUENTA=1)*(nCURSO=A345)*(nASIG=B345)*(nNOTA=9))</f>
        <v>0</v>
      </c>
      <c r="U345">
        <f>SUMPRODUCT((nCUENTA=1)*(nCURSO=A345)*(nASIG=B345)*(nNOTA=10))</f>
        <v>0</v>
      </c>
    </row>
    <row r="346">
      <c r="A346" t="inlineStr">
        <is>
          <t xml:space="preserve">5EPM</t>
        </is>
      </c>
      <c r="B346" cm="1">
        <f t="array" ref="B346">IFERROR(INDEX(_xlfn._xlws.FILTER(CONFIG_ASIGNATURAS!$B$2:$B$91,(CONFIG_ASIGNATURAS!$G$2:$G$91="Sí")*ISNUMBER(SEARCH("5EPM",CONFIG_ASIGNATURAS!$C$2:$C$91))),23),"")</f>
      </c>
      <c r="C346">
        <f>IF(B346="","",IFERROR(VLOOKUP(B346,CONFIG_ASIGNATURAS!$B$2:$D$91,3,FALSE()),"Asignatura"))</f>
      </c>
      <c r="D346">
        <f>SUMPRODUCT((nCUENTA=1)*(nCURSO=A346)*(nASIG=B346))</f>
        <v>0</v>
      </c>
      <c r="E346" s="10" t="str">
        <f>IFERROR(SUMPRODUCT((nCUENTA=1)*(nCURSO=A346)*(nASIG=B346)*(nNOTA))/D346,"—")</f>
        <v>—</v>
      </c>
      <c r="F346" s="10" t="str" cm="1">
        <f t="array" ref="F346">IFERROR(_xlfn.STDEV.P(_xlfn._xlws.FILTER(nNOTA,(nCUENTA=1)*(nCURSO=A346)*(nASIG=B346))),"—")</f>
        <v>—</v>
      </c>
      <c r="G346" t="str" cm="1">
        <f t="array" ref="G346">IFERROR(_xlfn.MODE.SNGL(_xlfn._xlws.FILTER(nNOTA,(nCUENTA=1)*(nCURSO=A346)*(nASIG=B346))),"—")</f>
        <v>—</v>
      </c>
      <c r="H346" s="11" t="str">
        <f>IFERROR(SUMPRODUCT((nCUENTA=1)*(nCURSO=A346)*(nASIG=B346)*(nAPTO="S"))/D346,"—")</f>
        <v>—</v>
      </c>
      <c r="I346" s="11" t="str">
        <f>IFERROR(SUMPRODUCT((nCUENTA=1)*(nCURSO=A346)*(nASIG=B346)*(nAPTO="N"))/D346,"—")</f>
        <v>—</v>
      </c>
      <c r="J346" t="str" cm="1">
        <f t="array" ref="J346">IFERROR(_xlfn.MODE.SNGL(_xlfn._xlws.FILTER(nNOTA,(nCUENTA=1)*(nCURSO=A346)*(nASIG=B346)*(nAPTO="S"))),"—")</f>
        <v>—</v>
      </c>
      <c r="K346" t="str" cm="1">
        <f t="array" ref="K346">IFERROR(_xlfn.MODE.SNGL(_xlfn._xlws.FILTER(nNOTA,(nCUENTA=1)*(nCURSO=A346)*(nASIG=B346)*(nAPTO="N"))),"—")</f>
        <v>—</v>
      </c>
      <c r="L346">
        <f>SUMPRODUCT((nCUENTA=1)*(nCURSO=A346)*(nASIG=B346)*(nNOTA=1))</f>
        <v>0</v>
      </c>
      <c r="M346">
        <f>SUMPRODUCT((nCUENTA=1)*(nCURSO=A346)*(nASIG=B346)*(nNOTA=2))</f>
        <v>0</v>
      </c>
      <c r="N346">
        <f>SUMPRODUCT((nCUENTA=1)*(nCURSO=A346)*(nASIG=B346)*(nNOTA=3))</f>
        <v>0</v>
      </c>
      <c r="O346">
        <f>SUMPRODUCT((nCUENTA=1)*(nCURSO=A346)*(nASIG=B346)*(nNOTA=4))</f>
        <v>0</v>
      </c>
      <c r="P346">
        <f>SUMPRODUCT((nCUENTA=1)*(nCURSO=A346)*(nASIG=B346)*(nNOTA=5))</f>
        <v>0</v>
      </c>
      <c r="Q346">
        <f>SUMPRODUCT((nCUENTA=1)*(nCURSO=A346)*(nASIG=B346)*(nNOTA=6))</f>
        <v>0</v>
      </c>
      <c r="R346">
        <f>SUMPRODUCT((nCUENTA=1)*(nCURSO=A346)*(nASIG=B346)*(nNOTA=7))</f>
        <v>0</v>
      </c>
      <c r="S346">
        <f>SUMPRODUCT((nCUENTA=1)*(nCURSO=A346)*(nASIG=B346)*(nNOTA=8))</f>
        <v>0</v>
      </c>
      <c r="T346">
        <f>SUMPRODUCT((nCUENTA=1)*(nCURSO=A346)*(nASIG=B346)*(nNOTA=9))</f>
        <v>0</v>
      </c>
      <c r="U346">
        <f>SUMPRODUCT((nCUENTA=1)*(nCURSO=A346)*(nASIG=B346)*(nNOTA=10))</f>
        <v>0</v>
      </c>
    </row>
    <row r="347">
      <c r="A347" t="inlineStr">
        <is>
          <t xml:space="preserve">5EPM</t>
        </is>
      </c>
      <c r="B347" cm="1">
        <f t="array" ref="B347">IFERROR(INDEX(_xlfn._xlws.FILTER(CONFIG_ASIGNATURAS!$B$2:$B$91,(CONFIG_ASIGNATURAS!$G$2:$G$91="Sí")*ISNUMBER(SEARCH("5EPM",CONFIG_ASIGNATURAS!$C$2:$C$91))),24),"")</f>
      </c>
      <c r="C347">
        <f>IF(B347="","",IFERROR(VLOOKUP(B347,CONFIG_ASIGNATURAS!$B$2:$D$91,3,FALSE()),"Asignatura"))</f>
      </c>
      <c r="D347">
        <f>SUMPRODUCT((nCUENTA=1)*(nCURSO=A347)*(nASIG=B347))</f>
        <v>0</v>
      </c>
      <c r="E347" s="10" t="str">
        <f>IFERROR(SUMPRODUCT((nCUENTA=1)*(nCURSO=A347)*(nASIG=B347)*(nNOTA))/D347,"—")</f>
        <v>—</v>
      </c>
      <c r="F347" s="10" t="str" cm="1">
        <f t="array" ref="F347">IFERROR(_xlfn.STDEV.P(_xlfn._xlws.FILTER(nNOTA,(nCUENTA=1)*(nCURSO=A347)*(nASIG=B347))),"—")</f>
        <v>—</v>
      </c>
      <c r="G347" t="str" cm="1">
        <f t="array" ref="G347">IFERROR(_xlfn.MODE.SNGL(_xlfn._xlws.FILTER(nNOTA,(nCUENTA=1)*(nCURSO=A347)*(nASIG=B347))),"—")</f>
        <v>—</v>
      </c>
      <c r="H347" s="11" t="str">
        <f>IFERROR(SUMPRODUCT((nCUENTA=1)*(nCURSO=A347)*(nASIG=B347)*(nAPTO="S"))/D347,"—")</f>
        <v>—</v>
      </c>
      <c r="I347" s="11" t="str">
        <f>IFERROR(SUMPRODUCT((nCUENTA=1)*(nCURSO=A347)*(nASIG=B347)*(nAPTO="N"))/D347,"—")</f>
        <v>—</v>
      </c>
      <c r="J347" t="str" cm="1">
        <f t="array" ref="J347">IFERROR(_xlfn.MODE.SNGL(_xlfn._xlws.FILTER(nNOTA,(nCUENTA=1)*(nCURSO=A347)*(nASIG=B347)*(nAPTO="S"))),"—")</f>
        <v>—</v>
      </c>
      <c r="K347" t="str" cm="1">
        <f t="array" ref="K347">IFERROR(_xlfn.MODE.SNGL(_xlfn._xlws.FILTER(nNOTA,(nCUENTA=1)*(nCURSO=A347)*(nASIG=B347)*(nAPTO="N"))),"—")</f>
        <v>—</v>
      </c>
      <c r="L347">
        <f>SUMPRODUCT((nCUENTA=1)*(nCURSO=A347)*(nASIG=B347)*(nNOTA=1))</f>
        <v>0</v>
      </c>
      <c r="M347">
        <f>SUMPRODUCT((nCUENTA=1)*(nCURSO=A347)*(nASIG=B347)*(nNOTA=2))</f>
        <v>0</v>
      </c>
      <c r="N347">
        <f>SUMPRODUCT((nCUENTA=1)*(nCURSO=A347)*(nASIG=B347)*(nNOTA=3))</f>
        <v>0</v>
      </c>
      <c r="O347">
        <f>SUMPRODUCT((nCUENTA=1)*(nCURSO=A347)*(nASIG=B347)*(nNOTA=4))</f>
        <v>0</v>
      </c>
      <c r="P347">
        <f>SUMPRODUCT((nCUENTA=1)*(nCURSO=A347)*(nASIG=B347)*(nNOTA=5))</f>
        <v>0</v>
      </c>
      <c r="Q347">
        <f>SUMPRODUCT((nCUENTA=1)*(nCURSO=A347)*(nASIG=B347)*(nNOTA=6))</f>
        <v>0</v>
      </c>
      <c r="R347">
        <f>SUMPRODUCT((nCUENTA=1)*(nCURSO=A347)*(nASIG=B347)*(nNOTA=7))</f>
        <v>0</v>
      </c>
      <c r="S347">
        <f>SUMPRODUCT((nCUENTA=1)*(nCURSO=A347)*(nASIG=B347)*(nNOTA=8))</f>
        <v>0</v>
      </c>
      <c r="T347">
        <f>SUMPRODUCT((nCUENTA=1)*(nCURSO=A347)*(nASIG=B347)*(nNOTA=9))</f>
        <v>0</v>
      </c>
      <c r="U347">
        <f>SUMPRODUCT((nCUENTA=1)*(nCURSO=A347)*(nASIG=B347)*(nNOTA=10))</f>
        <v>0</v>
      </c>
    </row>
    <row r="348">
      <c r="A348" t="inlineStr">
        <is>
          <t xml:space="preserve">5EPM</t>
        </is>
      </c>
      <c r="B348" cm="1">
        <f t="array" ref="B348">IFERROR(INDEX(_xlfn._xlws.FILTER(CONFIG_ASIGNATURAS!$B$2:$B$91,(CONFIG_ASIGNATURAS!$G$2:$G$91="Sí")*ISNUMBER(SEARCH("5EPM",CONFIG_ASIGNATURAS!$C$2:$C$91))),25),"")</f>
      </c>
      <c r="C348">
        <f>IF(B348="","",IFERROR(VLOOKUP(B348,CONFIG_ASIGNATURAS!$B$2:$D$91,3,FALSE()),"Asignatura"))</f>
      </c>
      <c r="D348">
        <f>SUMPRODUCT((nCUENTA=1)*(nCURSO=A348)*(nASIG=B348))</f>
        <v>0</v>
      </c>
      <c r="E348" s="10" t="str">
        <f>IFERROR(SUMPRODUCT((nCUENTA=1)*(nCURSO=A348)*(nASIG=B348)*(nNOTA))/D348,"—")</f>
        <v>—</v>
      </c>
      <c r="F348" s="10" t="str" cm="1">
        <f t="array" ref="F348">IFERROR(_xlfn.STDEV.P(_xlfn._xlws.FILTER(nNOTA,(nCUENTA=1)*(nCURSO=A348)*(nASIG=B348))),"—")</f>
        <v>—</v>
      </c>
      <c r="G348" t="str" cm="1">
        <f t="array" ref="G348">IFERROR(_xlfn.MODE.SNGL(_xlfn._xlws.FILTER(nNOTA,(nCUENTA=1)*(nCURSO=A348)*(nASIG=B348))),"—")</f>
        <v>—</v>
      </c>
      <c r="H348" s="11" t="str">
        <f>IFERROR(SUMPRODUCT((nCUENTA=1)*(nCURSO=A348)*(nASIG=B348)*(nAPTO="S"))/D348,"—")</f>
        <v>—</v>
      </c>
      <c r="I348" s="11" t="str">
        <f>IFERROR(SUMPRODUCT((nCUENTA=1)*(nCURSO=A348)*(nASIG=B348)*(nAPTO="N"))/D348,"—")</f>
        <v>—</v>
      </c>
      <c r="J348" t="str" cm="1">
        <f t="array" ref="J348">IFERROR(_xlfn.MODE.SNGL(_xlfn._xlws.FILTER(nNOTA,(nCUENTA=1)*(nCURSO=A348)*(nASIG=B348)*(nAPTO="S"))),"—")</f>
        <v>—</v>
      </c>
      <c r="K348" t="str" cm="1">
        <f t="array" ref="K348">IFERROR(_xlfn.MODE.SNGL(_xlfn._xlws.FILTER(nNOTA,(nCUENTA=1)*(nCURSO=A348)*(nASIG=B348)*(nAPTO="N"))),"—")</f>
        <v>—</v>
      </c>
      <c r="L348">
        <f>SUMPRODUCT((nCUENTA=1)*(nCURSO=A348)*(nASIG=B348)*(nNOTA=1))</f>
        <v>0</v>
      </c>
      <c r="M348">
        <f>SUMPRODUCT((nCUENTA=1)*(nCURSO=A348)*(nASIG=B348)*(nNOTA=2))</f>
        <v>0</v>
      </c>
      <c r="N348">
        <f>SUMPRODUCT((nCUENTA=1)*(nCURSO=A348)*(nASIG=B348)*(nNOTA=3))</f>
        <v>0</v>
      </c>
      <c r="O348">
        <f>SUMPRODUCT((nCUENTA=1)*(nCURSO=A348)*(nASIG=B348)*(nNOTA=4))</f>
        <v>0</v>
      </c>
      <c r="P348">
        <f>SUMPRODUCT((nCUENTA=1)*(nCURSO=A348)*(nASIG=B348)*(nNOTA=5))</f>
        <v>0</v>
      </c>
      <c r="Q348">
        <f>SUMPRODUCT((nCUENTA=1)*(nCURSO=A348)*(nASIG=B348)*(nNOTA=6))</f>
        <v>0</v>
      </c>
      <c r="R348">
        <f>SUMPRODUCT((nCUENTA=1)*(nCURSO=A348)*(nASIG=B348)*(nNOTA=7))</f>
        <v>0</v>
      </c>
      <c r="S348">
        <f>SUMPRODUCT((nCUENTA=1)*(nCURSO=A348)*(nASIG=B348)*(nNOTA=8))</f>
        <v>0</v>
      </c>
      <c r="T348">
        <f>SUMPRODUCT((nCUENTA=1)*(nCURSO=A348)*(nASIG=B348)*(nNOTA=9))</f>
        <v>0</v>
      </c>
      <c r="U348">
        <f>SUMPRODUCT((nCUENTA=1)*(nCURSO=A348)*(nASIG=B348)*(nNOTA=10))</f>
        <v>0</v>
      </c>
    </row>
    <row r="349">
      <c r="A349" t="inlineStr">
        <is>
          <t xml:space="preserve">5EPM</t>
        </is>
      </c>
      <c r="B349" cm="1">
        <f t="array" ref="B349">IFERROR(INDEX(_xlfn._xlws.FILTER(CONFIG_ASIGNATURAS!$B$2:$B$91,(CONFIG_ASIGNATURAS!$G$2:$G$91="Sí")*ISNUMBER(SEARCH("5EPM",CONFIG_ASIGNATURAS!$C$2:$C$91))),26),"")</f>
      </c>
      <c r="C349">
        <f>IF(B349="","",IFERROR(VLOOKUP(B349,CONFIG_ASIGNATURAS!$B$2:$D$91,3,FALSE()),"Asignatura"))</f>
      </c>
      <c r="D349">
        <f>SUMPRODUCT((nCUENTA=1)*(nCURSO=A349)*(nASIG=B349))</f>
        <v>0</v>
      </c>
      <c r="E349" s="10" t="str">
        <f>IFERROR(SUMPRODUCT((nCUENTA=1)*(nCURSO=A349)*(nASIG=B349)*(nNOTA))/D349,"—")</f>
        <v>—</v>
      </c>
      <c r="F349" s="10" t="str" cm="1">
        <f t="array" ref="F349">IFERROR(_xlfn.STDEV.P(_xlfn._xlws.FILTER(nNOTA,(nCUENTA=1)*(nCURSO=A349)*(nASIG=B349))),"—")</f>
        <v>—</v>
      </c>
      <c r="G349" t="str" cm="1">
        <f t="array" ref="G349">IFERROR(_xlfn.MODE.SNGL(_xlfn._xlws.FILTER(nNOTA,(nCUENTA=1)*(nCURSO=A349)*(nASIG=B349))),"—")</f>
        <v>—</v>
      </c>
      <c r="H349" s="11" t="str">
        <f>IFERROR(SUMPRODUCT((nCUENTA=1)*(nCURSO=A349)*(nASIG=B349)*(nAPTO="S"))/D349,"—")</f>
        <v>—</v>
      </c>
      <c r="I349" s="11" t="str">
        <f>IFERROR(SUMPRODUCT((nCUENTA=1)*(nCURSO=A349)*(nASIG=B349)*(nAPTO="N"))/D349,"—")</f>
        <v>—</v>
      </c>
      <c r="J349" t="str" cm="1">
        <f t="array" ref="J349">IFERROR(_xlfn.MODE.SNGL(_xlfn._xlws.FILTER(nNOTA,(nCUENTA=1)*(nCURSO=A349)*(nASIG=B349)*(nAPTO="S"))),"—")</f>
        <v>—</v>
      </c>
      <c r="K349" t="str" cm="1">
        <f t="array" ref="K349">IFERROR(_xlfn.MODE.SNGL(_xlfn._xlws.FILTER(nNOTA,(nCUENTA=1)*(nCURSO=A349)*(nASIG=B349)*(nAPTO="N"))),"—")</f>
        <v>—</v>
      </c>
      <c r="L349">
        <f>SUMPRODUCT((nCUENTA=1)*(nCURSO=A349)*(nASIG=B349)*(nNOTA=1))</f>
        <v>0</v>
      </c>
      <c r="M349">
        <f>SUMPRODUCT((nCUENTA=1)*(nCURSO=A349)*(nASIG=B349)*(nNOTA=2))</f>
        <v>0</v>
      </c>
      <c r="N349">
        <f>SUMPRODUCT((nCUENTA=1)*(nCURSO=A349)*(nASIG=B349)*(nNOTA=3))</f>
        <v>0</v>
      </c>
      <c r="O349">
        <f>SUMPRODUCT((nCUENTA=1)*(nCURSO=A349)*(nASIG=B349)*(nNOTA=4))</f>
        <v>0</v>
      </c>
      <c r="P349">
        <f>SUMPRODUCT((nCUENTA=1)*(nCURSO=A349)*(nASIG=B349)*(nNOTA=5))</f>
        <v>0</v>
      </c>
      <c r="Q349">
        <f>SUMPRODUCT((nCUENTA=1)*(nCURSO=A349)*(nASIG=B349)*(nNOTA=6))</f>
        <v>0</v>
      </c>
      <c r="R349">
        <f>SUMPRODUCT((nCUENTA=1)*(nCURSO=A349)*(nASIG=B349)*(nNOTA=7))</f>
        <v>0</v>
      </c>
      <c r="S349">
        <f>SUMPRODUCT((nCUENTA=1)*(nCURSO=A349)*(nASIG=B349)*(nNOTA=8))</f>
        <v>0</v>
      </c>
      <c r="T349">
        <f>SUMPRODUCT((nCUENTA=1)*(nCURSO=A349)*(nASIG=B349)*(nNOTA=9))</f>
        <v>0</v>
      </c>
      <c r="U349">
        <f>SUMPRODUCT((nCUENTA=1)*(nCURSO=A349)*(nASIG=B349)*(nNOTA=10))</f>
        <v>0</v>
      </c>
    </row>
    <row r="350">
      <c r="A350" t="inlineStr">
        <is>
          <t xml:space="preserve">5EPM</t>
        </is>
      </c>
      <c r="B350" cm="1">
        <f t="array" ref="B350">IFERROR(INDEX(_xlfn._xlws.FILTER(CONFIG_ASIGNATURAS!$B$2:$B$91,(CONFIG_ASIGNATURAS!$G$2:$G$91="Sí")*ISNUMBER(SEARCH("5EPM",CONFIG_ASIGNATURAS!$C$2:$C$91))),27),"")</f>
      </c>
      <c r="C350">
        <f>IF(B350="","",IFERROR(VLOOKUP(B350,CONFIG_ASIGNATURAS!$B$2:$D$91,3,FALSE()),"Asignatura"))</f>
      </c>
      <c r="D350">
        <f>SUMPRODUCT((nCUENTA=1)*(nCURSO=A350)*(nASIG=B350))</f>
        <v>0</v>
      </c>
      <c r="E350" s="10" t="str">
        <f>IFERROR(SUMPRODUCT((nCUENTA=1)*(nCURSO=A350)*(nASIG=B350)*(nNOTA))/D350,"—")</f>
        <v>—</v>
      </c>
      <c r="F350" s="10" t="str" cm="1">
        <f t="array" ref="F350">IFERROR(_xlfn.STDEV.P(_xlfn._xlws.FILTER(nNOTA,(nCUENTA=1)*(nCURSO=A350)*(nASIG=B350))),"—")</f>
        <v>—</v>
      </c>
      <c r="G350" t="str" cm="1">
        <f t="array" ref="G350">IFERROR(_xlfn.MODE.SNGL(_xlfn._xlws.FILTER(nNOTA,(nCUENTA=1)*(nCURSO=A350)*(nASIG=B350))),"—")</f>
        <v>—</v>
      </c>
      <c r="H350" s="11" t="str">
        <f>IFERROR(SUMPRODUCT((nCUENTA=1)*(nCURSO=A350)*(nASIG=B350)*(nAPTO="S"))/D350,"—")</f>
        <v>—</v>
      </c>
      <c r="I350" s="11" t="str">
        <f>IFERROR(SUMPRODUCT((nCUENTA=1)*(nCURSO=A350)*(nASIG=B350)*(nAPTO="N"))/D350,"—")</f>
        <v>—</v>
      </c>
      <c r="J350" t="str" cm="1">
        <f t="array" ref="J350">IFERROR(_xlfn.MODE.SNGL(_xlfn._xlws.FILTER(nNOTA,(nCUENTA=1)*(nCURSO=A350)*(nASIG=B350)*(nAPTO="S"))),"—")</f>
        <v>—</v>
      </c>
      <c r="K350" t="str" cm="1">
        <f t="array" ref="K350">IFERROR(_xlfn.MODE.SNGL(_xlfn._xlws.FILTER(nNOTA,(nCUENTA=1)*(nCURSO=A350)*(nASIG=B350)*(nAPTO="N"))),"—")</f>
        <v>—</v>
      </c>
      <c r="L350">
        <f>SUMPRODUCT((nCUENTA=1)*(nCURSO=A350)*(nASIG=B350)*(nNOTA=1))</f>
        <v>0</v>
      </c>
      <c r="M350">
        <f>SUMPRODUCT((nCUENTA=1)*(nCURSO=A350)*(nASIG=B350)*(nNOTA=2))</f>
        <v>0</v>
      </c>
      <c r="N350">
        <f>SUMPRODUCT((nCUENTA=1)*(nCURSO=A350)*(nASIG=B350)*(nNOTA=3))</f>
        <v>0</v>
      </c>
      <c r="O350">
        <f>SUMPRODUCT((nCUENTA=1)*(nCURSO=A350)*(nASIG=B350)*(nNOTA=4))</f>
        <v>0</v>
      </c>
      <c r="P350">
        <f>SUMPRODUCT((nCUENTA=1)*(nCURSO=A350)*(nASIG=B350)*(nNOTA=5))</f>
        <v>0</v>
      </c>
      <c r="Q350">
        <f>SUMPRODUCT((nCUENTA=1)*(nCURSO=A350)*(nASIG=B350)*(nNOTA=6))</f>
        <v>0</v>
      </c>
      <c r="R350">
        <f>SUMPRODUCT((nCUENTA=1)*(nCURSO=A350)*(nASIG=B350)*(nNOTA=7))</f>
        <v>0</v>
      </c>
      <c r="S350">
        <f>SUMPRODUCT((nCUENTA=1)*(nCURSO=A350)*(nASIG=B350)*(nNOTA=8))</f>
        <v>0</v>
      </c>
      <c r="T350">
        <f>SUMPRODUCT((nCUENTA=1)*(nCURSO=A350)*(nASIG=B350)*(nNOTA=9))</f>
        <v>0</v>
      </c>
      <c r="U350">
        <f>SUMPRODUCT((nCUENTA=1)*(nCURSO=A350)*(nASIG=B350)*(nNOTA=10))</f>
        <v>0</v>
      </c>
    </row>
    <row r="351">
      <c r="A351" t="inlineStr">
        <is>
          <t xml:space="preserve">5EPM</t>
        </is>
      </c>
      <c r="B351" cm="1">
        <f t="array" ref="B351">IFERROR(INDEX(_xlfn._xlws.FILTER(CONFIG_ASIGNATURAS!$B$2:$B$91,(CONFIG_ASIGNATURAS!$G$2:$G$91="Sí")*ISNUMBER(SEARCH("5EPM",CONFIG_ASIGNATURAS!$C$2:$C$91))),28),"")</f>
      </c>
      <c r="C351">
        <f>IF(B351="","",IFERROR(VLOOKUP(B351,CONFIG_ASIGNATURAS!$B$2:$D$91,3,FALSE()),"Asignatura"))</f>
      </c>
      <c r="D351">
        <f>SUMPRODUCT((nCUENTA=1)*(nCURSO=A351)*(nASIG=B351))</f>
        <v>0</v>
      </c>
      <c r="E351" s="10" t="str">
        <f>IFERROR(SUMPRODUCT((nCUENTA=1)*(nCURSO=A351)*(nASIG=B351)*(nNOTA))/D351,"—")</f>
        <v>—</v>
      </c>
      <c r="F351" s="10" t="str" cm="1">
        <f t="array" ref="F351">IFERROR(_xlfn.STDEV.P(_xlfn._xlws.FILTER(nNOTA,(nCUENTA=1)*(nCURSO=A351)*(nASIG=B351))),"—")</f>
        <v>—</v>
      </c>
      <c r="G351" t="str" cm="1">
        <f t="array" ref="G351">IFERROR(_xlfn.MODE.SNGL(_xlfn._xlws.FILTER(nNOTA,(nCUENTA=1)*(nCURSO=A351)*(nASIG=B351))),"—")</f>
        <v>—</v>
      </c>
      <c r="H351" s="11" t="str">
        <f>IFERROR(SUMPRODUCT((nCUENTA=1)*(nCURSO=A351)*(nASIG=B351)*(nAPTO="S"))/D351,"—")</f>
        <v>—</v>
      </c>
      <c r="I351" s="11" t="str">
        <f>IFERROR(SUMPRODUCT((nCUENTA=1)*(nCURSO=A351)*(nASIG=B351)*(nAPTO="N"))/D351,"—")</f>
        <v>—</v>
      </c>
      <c r="J351" t="str" cm="1">
        <f t="array" ref="J351">IFERROR(_xlfn.MODE.SNGL(_xlfn._xlws.FILTER(nNOTA,(nCUENTA=1)*(nCURSO=A351)*(nASIG=B351)*(nAPTO="S"))),"—")</f>
        <v>—</v>
      </c>
      <c r="K351" t="str" cm="1">
        <f t="array" ref="K351">IFERROR(_xlfn.MODE.SNGL(_xlfn._xlws.FILTER(nNOTA,(nCUENTA=1)*(nCURSO=A351)*(nASIG=B351)*(nAPTO="N"))),"—")</f>
        <v>—</v>
      </c>
      <c r="L351">
        <f>SUMPRODUCT((nCUENTA=1)*(nCURSO=A351)*(nASIG=B351)*(nNOTA=1))</f>
        <v>0</v>
      </c>
      <c r="M351">
        <f>SUMPRODUCT((nCUENTA=1)*(nCURSO=A351)*(nASIG=B351)*(nNOTA=2))</f>
        <v>0</v>
      </c>
      <c r="N351">
        <f>SUMPRODUCT((nCUENTA=1)*(nCURSO=A351)*(nASIG=B351)*(nNOTA=3))</f>
        <v>0</v>
      </c>
      <c r="O351">
        <f>SUMPRODUCT((nCUENTA=1)*(nCURSO=A351)*(nASIG=B351)*(nNOTA=4))</f>
        <v>0</v>
      </c>
      <c r="P351">
        <f>SUMPRODUCT((nCUENTA=1)*(nCURSO=A351)*(nASIG=B351)*(nNOTA=5))</f>
        <v>0</v>
      </c>
      <c r="Q351">
        <f>SUMPRODUCT((nCUENTA=1)*(nCURSO=A351)*(nASIG=B351)*(nNOTA=6))</f>
        <v>0</v>
      </c>
      <c r="R351">
        <f>SUMPRODUCT((nCUENTA=1)*(nCURSO=A351)*(nASIG=B351)*(nNOTA=7))</f>
        <v>0</v>
      </c>
      <c r="S351">
        <f>SUMPRODUCT((nCUENTA=1)*(nCURSO=A351)*(nASIG=B351)*(nNOTA=8))</f>
        <v>0</v>
      </c>
      <c r="T351">
        <f>SUMPRODUCT((nCUENTA=1)*(nCURSO=A351)*(nASIG=B351)*(nNOTA=9))</f>
        <v>0</v>
      </c>
      <c r="U351">
        <f>SUMPRODUCT((nCUENTA=1)*(nCURSO=A351)*(nASIG=B351)*(nNOTA=10))</f>
        <v>0</v>
      </c>
    </row>
    <row r="352">
      <c r="A352" t="inlineStr">
        <is>
          <t xml:space="preserve">5EPM</t>
        </is>
      </c>
      <c r="B352" cm="1">
        <f t="array" ref="B352">IFERROR(INDEX(_xlfn._xlws.FILTER(CONFIG_ASIGNATURAS!$B$2:$B$91,(CONFIG_ASIGNATURAS!$G$2:$G$91="Sí")*ISNUMBER(SEARCH("5EPM",CONFIG_ASIGNATURAS!$C$2:$C$91))),29),"")</f>
      </c>
      <c r="C352">
        <f>IF(B352="","",IFERROR(VLOOKUP(B352,CONFIG_ASIGNATURAS!$B$2:$D$91,3,FALSE()),"Asignatura"))</f>
      </c>
      <c r="D352">
        <f>SUMPRODUCT((nCUENTA=1)*(nCURSO=A352)*(nASIG=B352))</f>
        <v>0</v>
      </c>
      <c r="E352" s="10" t="str">
        <f>IFERROR(SUMPRODUCT((nCUENTA=1)*(nCURSO=A352)*(nASIG=B352)*(nNOTA))/D352,"—")</f>
        <v>—</v>
      </c>
      <c r="F352" s="10" t="str" cm="1">
        <f t="array" ref="F352">IFERROR(_xlfn.STDEV.P(_xlfn._xlws.FILTER(nNOTA,(nCUENTA=1)*(nCURSO=A352)*(nASIG=B352))),"—")</f>
        <v>—</v>
      </c>
      <c r="G352" t="str" cm="1">
        <f t="array" ref="G352">IFERROR(_xlfn.MODE.SNGL(_xlfn._xlws.FILTER(nNOTA,(nCUENTA=1)*(nCURSO=A352)*(nASIG=B352))),"—")</f>
        <v>—</v>
      </c>
      <c r="H352" s="11" t="str">
        <f>IFERROR(SUMPRODUCT((nCUENTA=1)*(nCURSO=A352)*(nASIG=B352)*(nAPTO="S"))/D352,"—")</f>
        <v>—</v>
      </c>
      <c r="I352" s="11" t="str">
        <f>IFERROR(SUMPRODUCT((nCUENTA=1)*(nCURSO=A352)*(nASIG=B352)*(nAPTO="N"))/D352,"—")</f>
        <v>—</v>
      </c>
      <c r="J352" t="str" cm="1">
        <f t="array" ref="J352">IFERROR(_xlfn.MODE.SNGL(_xlfn._xlws.FILTER(nNOTA,(nCUENTA=1)*(nCURSO=A352)*(nASIG=B352)*(nAPTO="S"))),"—")</f>
        <v>—</v>
      </c>
      <c r="K352" t="str" cm="1">
        <f t="array" ref="K352">IFERROR(_xlfn.MODE.SNGL(_xlfn._xlws.FILTER(nNOTA,(nCUENTA=1)*(nCURSO=A352)*(nASIG=B352)*(nAPTO="N"))),"—")</f>
        <v>—</v>
      </c>
      <c r="L352">
        <f>SUMPRODUCT((nCUENTA=1)*(nCURSO=A352)*(nASIG=B352)*(nNOTA=1))</f>
        <v>0</v>
      </c>
      <c r="M352">
        <f>SUMPRODUCT((nCUENTA=1)*(nCURSO=A352)*(nASIG=B352)*(nNOTA=2))</f>
        <v>0</v>
      </c>
      <c r="N352">
        <f>SUMPRODUCT((nCUENTA=1)*(nCURSO=A352)*(nASIG=B352)*(nNOTA=3))</f>
        <v>0</v>
      </c>
      <c r="O352">
        <f>SUMPRODUCT((nCUENTA=1)*(nCURSO=A352)*(nASIG=B352)*(nNOTA=4))</f>
        <v>0</v>
      </c>
      <c r="P352">
        <f>SUMPRODUCT((nCUENTA=1)*(nCURSO=A352)*(nASIG=B352)*(nNOTA=5))</f>
        <v>0</v>
      </c>
      <c r="Q352">
        <f>SUMPRODUCT((nCUENTA=1)*(nCURSO=A352)*(nASIG=B352)*(nNOTA=6))</f>
        <v>0</v>
      </c>
      <c r="R352">
        <f>SUMPRODUCT((nCUENTA=1)*(nCURSO=A352)*(nASIG=B352)*(nNOTA=7))</f>
        <v>0</v>
      </c>
      <c r="S352">
        <f>SUMPRODUCT((nCUENTA=1)*(nCURSO=A352)*(nASIG=B352)*(nNOTA=8))</f>
        <v>0</v>
      </c>
      <c r="T352">
        <f>SUMPRODUCT((nCUENTA=1)*(nCURSO=A352)*(nASIG=B352)*(nNOTA=9))</f>
        <v>0</v>
      </c>
      <c r="U352">
        <f>SUMPRODUCT((nCUENTA=1)*(nCURSO=A352)*(nASIG=B352)*(nNOTA=10))</f>
        <v>0</v>
      </c>
    </row>
    <row r="353">
      <c r="A353" t="inlineStr">
        <is>
          <t xml:space="preserve">5EPM</t>
        </is>
      </c>
      <c r="B353" cm="1">
        <f t="array" ref="B353">IFERROR(INDEX(_xlfn._xlws.FILTER(CONFIG_ASIGNATURAS!$B$2:$B$91,(CONFIG_ASIGNATURAS!$G$2:$G$91="Sí")*ISNUMBER(SEARCH("5EPM",CONFIG_ASIGNATURAS!$C$2:$C$91))),30),"")</f>
      </c>
      <c r="C353">
        <f>IF(B353="","",IFERROR(VLOOKUP(B353,CONFIG_ASIGNATURAS!$B$2:$D$91,3,FALSE()),"Asignatura"))</f>
      </c>
      <c r="D353">
        <f>SUMPRODUCT((nCUENTA=1)*(nCURSO=A353)*(nASIG=B353))</f>
        <v>0</v>
      </c>
      <c r="E353" s="10" t="str">
        <f>IFERROR(SUMPRODUCT((nCUENTA=1)*(nCURSO=A353)*(nASIG=B353)*(nNOTA))/D353,"—")</f>
        <v>—</v>
      </c>
      <c r="F353" s="10" t="str" cm="1">
        <f t="array" ref="F353">IFERROR(_xlfn.STDEV.P(_xlfn._xlws.FILTER(nNOTA,(nCUENTA=1)*(nCURSO=A353)*(nASIG=B353))),"—")</f>
        <v>—</v>
      </c>
      <c r="G353" t="str" cm="1">
        <f t="array" ref="G353">IFERROR(_xlfn.MODE.SNGL(_xlfn._xlws.FILTER(nNOTA,(nCUENTA=1)*(nCURSO=A353)*(nASIG=B353))),"—")</f>
        <v>—</v>
      </c>
      <c r="H353" s="11" t="str">
        <f>IFERROR(SUMPRODUCT((nCUENTA=1)*(nCURSO=A353)*(nASIG=B353)*(nAPTO="S"))/D353,"—")</f>
        <v>—</v>
      </c>
      <c r="I353" s="11" t="str">
        <f>IFERROR(SUMPRODUCT((nCUENTA=1)*(nCURSO=A353)*(nASIG=B353)*(nAPTO="N"))/D353,"—")</f>
        <v>—</v>
      </c>
      <c r="J353" t="str" cm="1">
        <f t="array" ref="J353">IFERROR(_xlfn.MODE.SNGL(_xlfn._xlws.FILTER(nNOTA,(nCUENTA=1)*(nCURSO=A353)*(nASIG=B353)*(nAPTO="S"))),"—")</f>
        <v>—</v>
      </c>
      <c r="K353" t="str" cm="1">
        <f t="array" ref="K353">IFERROR(_xlfn.MODE.SNGL(_xlfn._xlws.FILTER(nNOTA,(nCUENTA=1)*(nCURSO=A353)*(nASIG=B353)*(nAPTO="N"))),"—")</f>
        <v>—</v>
      </c>
      <c r="L353">
        <f>SUMPRODUCT((nCUENTA=1)*(nCURSO=A353)*(nASIG=B353)*(nNOTA=1))</f>
        <v>0</v>
      </c>
      <c r="M353">
        <f>SUMPRODUCT((nCUENTA=1)*(nCURSO=A353)*(nASIG=B353)*(nNOTA=2))</f>
        <v>0</v>
      </c>
      <c r="N353">
        <f>SUMPRODUCT((nCUENTA=1)*(nCURSO=A353)*(nASIG=B353)*(nNOTA=3))</f>
        <v>0</v>
      </c>
      <c r="O353">
        <f>SUMPRODUCT((nCUENTA=1)*(nCURSO=A353)*(nASIG=B353)*(nNOTA=4))</f>
        <v>0</v>
      </c>
      <c r="P353">
        <f>SUMPRODUCT((nCUENTA=1)*(nCURSO=A353)*(nASIG=B353)*(nNOTA=5))</f>
        <v>0</v>
      </c>
      <c r="Q353">
        <f>SUMPRODUCT((nCUENTA=1)*(nCURSO=A353)*(nASIG=B353)*(nNOTA=6))</f>
        <v>0</v>
      </c>
      <c r="R353">
        <f>SUMPRODUCT((nCUENTA=1)*(nCURSO=A353)*(nASIG=B353)*(nNOTA=7))</f>
        <v>0</v>
      </c>
      <c r="S353">
        <f>SUMPRODUCT((nCUENTA=1)*(nCURSO=A353)*(nASIG=B353)*(nNOTA=8))</f>
        <v>0</v>
      </c>
      <c r="T353">
        <f>SUMPRODUCT((nCUENTA=1)*(nCURSO=A353)*(nASIG=B353)*(nNOTA=9))</f>
        <v>0</v>
      </c>
      <c r="U353">
        <f>SUMPRODUCT((nCUENTA=1)*(nCURSO=A353)*(nASIG=B353)*(nNOTA=10))</f>
        <v>0</v>
      </c>
    </row>
    <row r="354">
      <c r="A354" t="inlineStr">
        <is>
          <t xml:space="preserve">5EPM</t>
        </is>
      </c>
      <c r="B354" cm="1">
        <f t="array" ref="B354">IFERROR(INDEX(_xlfn._xlws.FILTER(CONFIG_ASIGNATURAS!$B$2:$B$91,(CONFIG_ASIGNATURAS!$G$2:$G$91="Sí")*ISNUMBER(SEARCH("5EPM",CONFIG_ASIGNATURAS!$C$2:$C$91))),31),"")</f>
      </c>
      <c r="C354">
        <f>IF(B354="","",IFERROR(VLOOKUP(B354,CONFIG_ASIGNATURAS!$B$2:$D$91,3,FALSE()),"Asignatura"))</f>
      </c>
      <c r="D354">
        <f>SUMPRODUCT((nCUENTA=1)*(nCURSO=A354)*(nASIG=B354))</f>
        <v>0</v>
      </c>
      <c r="E354" s="10" t="str">
        <f>IFERROR(SUMPRODUCT((nCUENTA=1)*(nCURSO=A354)*(nASIG=B354)*(nNOTA))/D354,"—")</f>
        <v>—</v>
      </c>
      <c r="F354" s="10" t="str" cm="1">
        <f t="array" ref="F354">IFERROR(_xlfn.STDEV.P(_xlfn._xlws.FILTER(nNOTA,(nCUENTA=1)*(nCURSO=A354)*(nASIG=B354))),"—")</f>
        <v>—</v>
      </c>
      <c r="G354" t="str" cm="1">
        <f t="array" ref="G354">IFERROR(_xlfn.MODE.SNGL(_xlfn._xlws.FILTER(nNOTA,(nCUENTA=1)*(nCURSO=A354)*(nASIG=B354))),"—")</f>
        <v>—</v>
      </c>
      <c r="H354" s="11" t="str">
        <f>IFERROR(SUMPRODUCT((nCUENTA=1)*(nCURSO=A354)*(nASIG=B354)*(nAPTO="S"))/D354,"—")</f>
        <v>—</v>
      </c>
      <c r="I354" s="11" t="str">
        <f>IFERROR(SUMPRODUCT((nCUENTA=1)*(nCURSO=A354)*(nASIG=B354)*(nAPTO="N"))/D354,"—")</f>
        <v>—</v>
      </c>
      <c r="J354" t="str" cm="1">
        <f t="array" ref="J354">IFERROR(_xlfn.MODE.SNGL(_xlfn._xlws.FILTER(nNOTA,(nCUENTA=1)*(nCURSO=A354)*(nASIG=B354)*(nAPTO="S"))),"—")</f>
        <v>—</v>
      </c>
      <c r="K354" t="str" cm="1">
        <f t="array" ref="K354">IFERROR(_xlfn.MODE.SNGL(_xlfn._xlws.FILTER(nNOTA,(nCUENTA=1)*(nCURSO=A354)*(nASIG=B354)*(nAPTO="N"))),"—")</f>
        <v>—</v>
      </c>
      <c r="L354">
        <f>SUMPRODUCT((nCUENTA=1)*(nCURSO=A354)*(nASIG=B354)*(nNOTA=1))</f>
        <v>0</v>
      </c>
      <c r="M354">
        <f>SUMPRODUCT((nCUENTA=1)*(nCURSO=A354)*(nASIG=B354)*(nNOTA=2))</f>
        <v>0</v>
      </c>
      <c r="N354">
        <f>SUMPRODUCT((nCUENTA=1)*(nCURSO=A354)*(nASIG=B354)*(nNOTA=3))</f>
        <v>0</v>
      </c>
      <c r="O354">
        <f>SUMPRODUCT((nCUENTA=1)*(nCURSO=A354)*(nASIG=B354)*(nNOTA=4))</f>
        <v>0</v>
      </c>
      <c r="P354">
        <f>SUMPRODUCT((nCUENTA=1)*(nCURSO=A354)*(nASIG=B354)*(nNOTA=5))</f>
        <v>0</v>
      </c>
      <c r="Q354">
        <f>SUMPRODUCT((nCUENTA=1)*(nCURSO=A354)*(nASIG=B354)*(nNOTA=6))</f>
        <v>0</v>
      </c>
      <c r="R354">
        <f>SUMPRODUCT((nCUENTA=1)*(nCURSO=A354)*(nASIG=B354)*(nNOTA=7))</f>
        <v>0</v>
      </c>
      <c r="S354">
        <f>SUMPRODUCT((nCUENTA=1)*(nCURSO=A354)*(nASIG=B354)*(nNOTA=8))</f>
        <v>0</v>
      </c>
      <c r="T354">
        <f>SUMPRODUCT((nCUENTA=1)*(nCURSO=A354)*(nASIG=B354)*(nNOTA=9))</f>
        <v>0</v>
      </c>
      <c r="U354">
        <f>SUMPRODUCT((nCUENTA=1)*(nCURSO=A354)*(nASIG=B354)*(nNOTA=10))</f>
        <v>0</v>
      </c>
    </row>
    <row r="355">
      <c r="A355" t="inlineStr">
        <is>
          <t xml:space="preserve">5EPM</t>
        </is>
      </c>
      <c r="B355" cm="1">
        <f t="array" ref="B355">IFERROR(INDEX(_xlfn._xlws.FILTER(CONFIG_ASIGNATURAS!$B$2:$B$91,(CONFIG_ASIGNATURAS!$G$2:$G$91="Sí")*ISNUMBER(SEARCH("5EPM",CONFIG_ASIGNATURAS!$C$2:$C$91))),32),"")</f>
      </c>
      <c r="C355">
        <f>IF(B355="","",IFERROR(VLOOKUP(B355,CONFIG_ASIGNATURAS!$B$2:$D$91,3,FALSE()),"Asignatura"))</f>
      </c>
      <c r="D355">
        <f>SUMPRODUCT((nCUENTA=1)*(nCURSO=A355)*(nASIG=B355))</f>
        <v>0</v>
      </c>
      <c r="E355" s="10" t="str">
        <f>IFERROR(SUMPRODUCT((nCUENTA=1)*(nCURSO=A355)*(nASIG=B355)*(nNOTA))/D355,"—")</f>
        <v>—</v>
      </c>
      <c r="F355" s="10" t="str" cm="1">
        <f t="array" ref="F355">IFERROR(_xlfn.STDEV.P(_xlfn._xlws.FILTER(nNOTA,(nCUENTA=1)*(nCURSO=A355)*(nASIG=B355))),"—")</f>
        <v>—</v>
      </c>
      <c r="G355" t="str" cm="1">
        <f t="array" ref="G355">IFERROR(_xlfn.MODE.SNGL(_xlfn._xlws.FILTER(nNOTA,(nCUENTA=1)*(nCURSO=A355)*(nASIG=B355))),"—")</f>
        <v>—</v>
      </c>
      <c r="H355" s="11" t="str">
        <f>IFERROR(SUMPRODUCT((nCUENTA=1)*(nCURSO=A355)*(nASIG=B355)*(nAPTO="S"))/D355,"—")</f>
        <v>—</v>
      </c>
      <c r="I355" s="11" t="str">
        <f>IFERROR(SUMPRODUCT((nCUENTA=1)*(nCURSO=A355)*(nASIG=B355)*(nAPTO="N"))/D355,"—")</f>
        <v>—</v>
      </c>
      <c r="J355" t="str" cm="1">
        <f t="array" ref="J355">IFERROR(_xlfn.MODE.SNGL(_xlfn._xlws.FILTER(nNOTA,(nCUENTA=1)*(nCURSO=A355)*(nASIG=B355)*(nAPTO="S"))),"—")</f>
        <v>—</v>
      </c>
      <c r="K355" t="str" cm="1">
        <f t="array" ref="K355">IFERROR(_xlfn.MODE.SNGL(_xlfn._xlws.FILTER(nNOTA,(nCUENTA=1)*(nCURSO=A355)*(nASIG=B355)*(nAPTO="N"))),"—")</f>
        <v>—</v>
      </c>
      <c r="L355">
        <f>SUMPRODUCT((nCUENTA=1)*(nCURSO=A355)*(nASIG=B355)*(nNOTA=1))</f>
        <v>0</v>
      </c>
      <c r="M355">
        <f>SUMPRODUCT((nCUENTA=1)*(nCURSO=A355)*(nASIG=B355)*(nNOTA=2))</f>
        <v>0</v>
      </c>
      <c r="N355">
        <f>SUMPRODUCT((nCUENTA=1)*(nCURSO=A355)*(nASIG=B355)*(nNOTA=3))</f>
        <v>0</v>
      </c>
      <c r="O355">
        <f>SUMPRODUCT((nCUENTA=1)*(nCURSO=A355)*(nASIG=B355)*(nNOTA=4))</f>
        <v>0</v>
      </c>
      <c r="P355">
        <f>SUMPRODUCT((nCUENTA=1)*(nCURSO=A355)*(nASIG=B355)*(nNOTA=5))</f>
        <v>0</v>
      </c>
      <c r="Q355">
        <f>SUMPRODUCT((nCUENTA=1)*(nCURSO=A355)*(nASIG=B355)*(nNOTA=6))</f>
        <v>0</v>
      </c>
      <c r="R355">
        <f>SUMPRODUCT((nCUENTA=1)*(nCURSO=A355)*(nASIG=B355)*(nNOTA=7))</f>
        <v>0</v>
      </c>
      <c r="S355">
        <f>SUMPRODUCT((nCUENTA=1)*(nCURSO=A355)*(nASIG=B355)*(nNOTA=8))</f>
        <v>0</v>
      </c>
      <c r="T355">
        <f>SUMPRODUCT((nCUENTA=1)*(nCURSO=A355)*(nASIG=B355)*(nNOTA=9))</f>
        <v>0</v>
      </c>
      <c r="U355">
        <f>SUMPRODUCT((nCUENTA=1)*(nCURSO=A355)*(nASIG=B355)*(nNOTA=10))</f>
        <v>0</v>
      </c>
    </row>
    <row r="356">
      <c r="A356" t="inlineStr">
        <is>
          <t xml:space="preserve">5EPM</t>
        </is>
      </c>
      <c r="B356" cm="1">
        <f t="array" ref="B356">IFERROR(INDEX(_xlfn._xlws.FILTER(CONFIG_ASIGNATURAS!$B$2:$B$91,(CONFIG_ASIGNATURAS!$G$2:$G$91="Sí")*ISNUMBER(SEARCH("5EPM",CONFIG_ASIGNATURAS!$C$2:$C$91))),33),"")</f>
      </c>
      <c r="C356">
        <f>IF(B356="","",IFERROR(VLOOKUP(B356,CONFIG_ASIGNATURAS!$B$2:$D$91,3,FALSE()),"Asignatura"))</f>
      </c>
      <c r="D356">
        <f>SUMPRODUCT((nCUENTA=1)*(nCURSO=A356)*(nASIG=B356))</f>
        <v>0</v>
      </c>
      <c r="E356" s="10" t="str">
        <f>IFERROR(SUMPRODUCT((nCUENTA=1)*(nCURSO=A356)*(nASIG=B356)*(nNOTA))/D356,"—")</f>
        <v>—</v>
      </c>
      <c r="F356" s="10" t="str" cm="1">
        <f t="array" ref="F356">IFERROR(_xlfn.STDEV.P(_xlfn._xlws.FILTER(nNOTA,(nCUENTA=1)*(nCURSO=A356)*(nASIG=B356))),"—")</f>
        <v>—</v>
      </c>
      <c r="G356" t="str" cm="1">
        <f t="array" ref="G356">IFERROR(_xlfn.MODE.SNGL(_xlfn._xlws.FILTER(nNOTA,(nCUENTA=1)*(nCURSO=A356)*(nASIG=B356))),"—")</f>
        <v>—</v>
      </c>
      <c r="H356" s="11" t="str">
        <f>IFERROR(SUMPRODUCT((nCUENTA=1)*(nCURSO=A356)*(nASIG=B356)*(nAPTO="S"))/D356,"—")</f>
        <v>—</v>
      </c>
      <c r="I356" s="11" t="str">
        <f>IFERROR(SUMPRODUCT((nCUENTA=1)*(nCURSO=A356)*(nASIG=B356)*(nAPTO="N"))/D356,"—")</f>
        <v>—</v>
      </c>
      <c r="J356" t="str" cm="1">
        <f t="array" ref="J356">IFERROR(_xlfn.MODE.SNGL(_xlfn._xlws.FILTER(nNOTA,(nCUENTA=1)*(nCURSO=A356)*(nASIG=B356)*(nAPTO="S"))),"—")</f>
        <v>—</v>
      </c>
      <c r="K356" t="str" cm="1">
        <f t="array" ref="K356">IFERROR(_xlfn.MODE.SNGL(_xlfn._xlws.FILTER(nNOTA,(nCUENTA=1)*(nCURSO=A356)*(nASIG=B356)*(nAPTO="N"))),"—")</f>
        <v>—</v>
      </c>
      <c r="L356">
        <f>SUMPRODUCT((nCUENTA=1)*(nCURSO=A356)*(nASIG=B356)*(nNOTA=1))</f>
        <v>0</v>
      </c>
      <c r="M356">
        <f>SUMPRODUCT((nCUENTA=1)*(nCURSO=A356)*(nASIG=B356)*(nNOTA=2))</f>
        <v>0</v>
      </c>
      <c r="N356">
        <f>SUMPRODUCT((nCUENTA=1)*(nCURSO=A356)*(nASIG=B356)*(nNOTA=3))</f>
        <v>0</v>
      </c>
      <c r="O356">
        <f>SUMPRODUCT((nCUENTA=1)*(nCURSO=A356)*(nASIG=B356)*(nNOTA=4))</f>
        <v>0</v>
      </c>
      <c r="P356">
        <f>SUMPRODUCT((nCUENTA=1)*(nCURSO=A356)*(nASIG=B356)*(nNOTA=5))</f>
        <v>0</v>
      </c>
      <c r="Q356">
        <f>SUMPRODUCT((nCUENTA=1)*(nCURSO=A356)*(nASIG=B356)*(nNOTA=6))</f>
        <v>0</v>
      </c>
      <c r="R356">
        <f>SUMPRODUCT((nCUENTA=1)*(nCURSO=A356)*(nASIG=B356)*(nNOTA=7))</f>
        <v>0</v>
      </c>
      <c r="S356">
        <f>SUMPRODUCT((nCUENTA=1)*(nCURSO=A356)*(nASIG=B356)*(nNOTA=8))</f>
        <v>0</v>
      </c>
      <c r="T356">
        <f>SUMPRODUCT((nCUENTA=1)*(nCURSO=A356)*(nASIG=B356)*(nNOTA=9))</f>
        <v>0</v>
      </c>
      <c r="U356">
        <f>SUMPRODUCT((nCUENTA=1)*(nCURSO=A356)*(nASIG=B356)*(nNOTA=10))</f>
        <v>0</v>
      </c>
    </row>
    <row r="357">
      <c r="A357" t="inlineStr">
        <is>
          <t xml:space="preserve">5EPM</t>
        </is>
      </c>
      <c r="B357" cm="1">
        <f t="array" ref="B357">IFERROR(INDEX(_xlfn._xlws.FILTER(CONFIG_ASIGNATURAS!$B$2:$B$91,(CONFIG_ASIGNATURAS!$G$2:$G$91="Sí")*ISNUMBER(SEARCH("5EPM",CONFIG_ASIGNATURAS!$C$2:$C$91))),34),"")</f>
      </c>
      <c r="C357">
        <f>IF(B357="","",IFERROR(VLOOKUP(B357,CONFIG_ASIGNATURAS!$B$2:$D$91,3,FALSE()),"Asignatura"))</f>
      </c>
      <c r="D357">
        <f>SUMPRODUCT((nCUENTA=1)*(nCURSO=A357)*(nASIG=B357))</f>
        <v>0</v>
      </c>
      <c r="E357" s="10" t="str">
        <f>IFERROR(SUMPRODUCT((nCUENTA=1)*(nCURSO=A357)*(nASIG=B357)*(nNOTA))/D357,"—")</f>
        <v>—</v>
      </c>
      <c r="F357" s="10" t="str" cm="1">
        <f t="array" ref="F357">IFERROR(_xlfn.STDEV.P(_xlfn._xlws.FILTER(nNOTA,(nCUENTA=1)*(nCURSO=A357)*(nASIG=B357))),"—")</f>
        <v>—</v>
      </c>
      <c r="G357" t="str" cm="1">
        <f t="array" ref="G357">IFERROR(_xlfn.MODE.SNGL(_xlfn._xlws.FILTER(nNOTA,(nCUENTA=1)*(nCURSO=A357)*(nASIG=B357))),"—")</f>
        <v>—</v>
      </c>
      <c r="H357" s="11" t="str">
        <f>IFERROR(SUMPRODUCT((nCUENTA=1)*(nCURSO=A357)*(nASIG=B357)*(nAPTO="S"))/D357,"—")</f>
        <v>—</v>
      </c>
      <c r="I357" s="11" t="str">
        <f>IFERROR(SUMPRODUCT((nCUENTA=1)*(nCURSO=A357)*(nASIG=B357)*(nAPTO="N"))/D357,"—")</f>
        <v>—</v>
      </c>
      <c r="J357" t="str" cm="1">
        <f t="array" ref="J357">IFERROR(_xlfn.MODE.SNGL(_xlfn._xlws.FILTER(nNOTA,(nCUENTA=1)*(nCURSO=A357)*(nASIG=B357)*(nAPTO="S"))),"—")</f>
        <v>—</v>
      </c>
      <c r="K357" t="str" cm="1">
        <f t="array" ref="K357">IFERROR(_xlfn.MODE.SNGL(_xlfn._xlws.FILTER(nNOTA,(nCUENTA=1)*(nCURSO=A357)*(nASIG=B357)*(nAPTO="N"))),"—")</f>
        <v>—</v>
      </c>
      <c r="L357">
        <f>SUMPRODUCT((nCUENTA=1)*(nCURSO=A357)*(nASIG=B357)*(nNOTA=1))</f>
        <v>0</v>
      </c>
      <c r="M357">
        <f>SUMPRODUCT((nCUENTA=1)*(nCURSO=A357)*(nASIG=B357)*(nNOTA=2))</f>
        <v>0</v>
      </c>
      <c r="N357">
        <f>SUMPRODUCT((nCUENTA=1)*(nCURSO=A357)*(nASIG=B357)*(nNOTA=3))</f>
        <v>0</v>
      </c>
      <c r="O357">
        <f>SUMPRODUCT((nCUENTA=1)*(nCURSO=A357)*(nASIG=B357)*(nNOTA=4))</f>
        <v>0</v>
      </c>
      <c r="P357">
        <f>SUMPRODUCT((nCUENTA=1)*(nCURSO=A357)*(nASIG=B357)*(nNOTA=5))</f>
        <v>0</v>
      </c>
      <c r="Q357">
        <f>SUMPRODUCT((nCUENTA=1)*(nCURSO=A357)*(nASIG=B357)*(nNOTA=6))</f>
        <v>0</v>
      </c>
      <c r="R357">
        <f>SUMPRODUCT((nCUENTA=1)*(nCURSO=A357)*(nASIG=B357)*(nNOTA=7))</f>
        <v>0</v>
      </c>
      <c r="S357">
        <f>SUMPRODUCT((nCUENTA=1)*(nCURSO=A357)*(nASIG=B357)*(nNOTA=8))</f>
        <v>0</v>
      </c>
      <c r="T357">
        <f>SUMPRODUCT((nCUENTA=1)*(nCURSO=A357)*(nASIG=B357)*(nNOTA=9))</f>
        <v>0</v>
      </c>
      <c r="U357">
        <f>SUMPRODUCT((nCUENTA=1)*(nCURSO=A357)*(nASIG=B357)*(nNOTA=10))</f>
        <v>0</v>
      </c>
    </row>
    <row r="358">
      <c r="A358" t="inlineStr">
        <is>
          <t xml:space="preserve">5EPM</t>
        </is>
      </c>
      <c r="B358" cm="1">
        <f t="array" ref="B358">IFERROR(INDEX(_xlfn._xlws.FILTER(CONFIG_ASIGNATURAS!$B$2:$B$91,(CONFIG_ASIGNATURAS!$G$2:$G$91="Sí")*ISNUMBER(SEARCH("5EPM",CONFIG_ASIGNATURAS!$C$2:$C$91))),35),"")</f>
      </c>
      <c r="C358">
        <f>IF(B358="","",IFERROR(VLOOKUP(B358,CONFIG_ASIGNATURAS!$B$2:$D$91,3,FALSE()),"Asignatura"))</f>
      </c>
      <c r="D358">
        <f>SUMPRODUCT((nCUENTA=1)*(nCURSO=A358)*(nASIG=B358))</f>
        <v>0</v>
      </c>
      <c r="E358" s="10" t="str">
        <f>IFERROR(SUMPRODUCT((nCUENTA=1)*(nCURSO=A358)*(nASIG=B358)*(nNOTA))/D358,"—")</f>
        <v>—</v>
      </c>
      <c r="F358" s="10" t="str" cm="1">
        <f t="array" ref="F358">IFERROR(_xlfn.STDEV.P(_xlfn._xlws.FILTER(nNOTA,(nCUENTA=1)*(nCURSO=A358)*(nASIG=B358))),"—")</f>
        <v>—</v>
      </c>
      <c r="G358" t="str" cm="1">
        <f t="array" ref="G358">IFERROR(_xlfn.MODE.SNGL(_xlfn._xlws.FILTER(nNOTA,(nCUENTA=1)*(nCURSO=A358)*(nASIG=B358))),"—")</f>
        <v>—</v>
      </c>
      <c r="H358" s="11" t="str">
        <f>IFERROR(SUMPRODUCT((nCUENTA=1)*(nCURSO=A358)*(nASIG=B358)*(nAPTO="S"))/D358,"—")</f>
        <v>—</v>
      </c>
      <c r="I358" s="11" t="str">
        <f>IFERROR(SUMPRODUCT((nCUENTA=1)*(nCURSO=A358)*(nASIG=B358)*(nAPTO="N"))/D358,"—")</f>
        <v>—</v>
      </c>
      <c r="J358" t="str" cm="1">
        <f t="array" ref="J358">IFERROR(_xlfn.MODE.SNGL(_xlfn._xlws.FILTER(nNOTA,(nCUENTA=1)*(nCURSO=A358)*(nASIG=B358)*(nAPTO="S"))),"—")</f>
        <v>—</v>
      </c>
      <c r="K358" t="str" cm="1">
        <f t="array" ref="K358">IFERROR(_xlfn.MODE.SNGL(_xlfn._xlws.FILTER(nNOTA,(nCUENTA=1)*(nCURSO=A358)*(nASIG=B358)*(nAPTO="N"))),"—")</f>
        <v>—</v>
      </c>
      <c r="L358">
        <f>SUMPRODUCT((nCUENTA=1)*(nCURSO=A358)*(nASIG=B358)*(nNOTA=1))</f>
        <v>0</v>
      </c>
      <c r="M358">
        <f>SUMPRODUCT((nCUENTA=1)*(nCURSO=A358)*(nASIG=B358)*(nNOTA=2))</f>
        <v>0</v>
      </c>
      <c r="N358">
        <f>SUMPRODUCT((nCUENTA=1)*(nCURSO=A358)*(nASIG=B358)*(nNOTA=3))</f>
        <v>0</v>
      </c>
      <c r="O358">
        <f>SUMPRODUCT((nCUENTA=1)*(nCURSO=A358)*(nASIG=B358)*(nNOTA=4))</f>
        <v>0</v>
      </c>
      <c r="P358">
        <f>SUMPRODUCT((nCUENTA=1)*(nCURSO=A358)*(nASIG=B358)*(nNOTA=5))</f>
        <v>0</v>
      </c>
      <c r="Q358">
        <f>SUMPRODUCT((nCUENTA=1)*(nCURSO=A358)*(nASIG=B358)*(nNOTA=6))</f>
        <v>0</v>
      </c>
      <c r="R358">
        <f>SUMPRODUCT((nCUENTA=1)*(nCURSO=A358)*(nASIG=B358)*(nNOTA=7))</f>
        <v>0</v>
      </c>
      <c r="S358">
        <f>SUMPRODUCT((nCUENTA=1)*(nCURSO=A358)*(nASIG=B358)*(nNOTA=8))</f>
        <v>0</v>
      </c>
      <c r="T358">
        <f>SUMPRODUCT((nCUENTA=1)*(nCURSO=A358)*(nASIG=B358)*(nNOTA=9))</f>
        <v>0</v>
      </c>
      <c r="U358">
        <f>SUMPRODUCT((nCUENTA=1)*(nCURSO=A358)*(nASIG=B358)*(nNOTA=10))</f>
        <v>0</v>
      </c>
    </row>
    <row r="359">
      <c r="A359" t="inlineStr">
        <is>
          <t xml:space="preserve">5EPM</t>
        </is>
      </c>
      <c r="B359" cm="1">
        <f t="array" ref="B359">IFERROR(INDEX(_xlfn._xlws.FILTER(CONFIG_ASIGNATURAS!$B$2:$B$91,(CONFIG_ASIGNATURAS!$G$2:$G$91="Sí")*ISNUMBER(SEARCH("5EPM",CONFIG_ASIGNATURAS!$C$2:$C$91))),36),"")</f>
      </c>
      <c r="C359">
        <f>IF(B359="","",IFERROR(VLOOKUP(B359,CONFIG_ASIGNATURAS!$B$2:$D$91,3,FALSE()),"Asignatura"))</f>
      </c>
      <c r="D359">
        <f>SUMPRODUCT((nCUENTA=1)*(nCURSO=A359)*(nASIG=B359))</f>
        <v>0</v>
      </c>
      <c r="E359" s="10" t="str">
        <f>IFERROR(SUMPRODUCT((nCUENTA=1)*(nCURSO=A359)*(nASIG=B359)*(nNOTA))/D359,"—")</f>
        <v>—</v>
      </c>
      <c r="F359" s="10" t="str" cm="1">
        <f t="array" ref="F359">IFERROR(_xlfn.STDEV.P(_xlfn._xlws.FILTER(nNOTA,(nCUENTA=1)*(nCURSO=A359)*(nASIG=B359))),"—")</f>
        <v>—</v>
      </c>
      <c r="G359" t="str" cm="1">
        <f t="array" ref="G359">IFERROR(_xlfn.MODE.SNGL(_xlfn._xlws.FILTER(nNOTA,(nCUENTA=1)*(nCURSO=A359)*(nASIG=B359))),"—")</f>
        <v>—</v>
      </c>
      <c r="H359" s="11" t="str">
        <f>IFERROR(SUMPRODUCT((nCUENTA=1)*(nCURSO=A359)*(nASIG=B359)*(nAPTO="S"))/D359,"—")</f>
        <v>—</v>
      </c>
      <c r="I359" s="11" t="str">
        <f>IFERROR(SUMPRODUCT((nCUENTA=1)*(nCURSO=A359)*(nASIG=B359)*(nAPTO="N"))/D359,"—")</f>
        <v>—</v>
      </c>
      <c r="J359" t="str" cm="1">
        <f t="array" ref="J359">IFERROR(_xlfn.MODE.SNGL(_xlfn._xlws.FILTER(nNOTA,(nCUENTA=1)*(nCURSO=A359)*(nASIG=B359)*(nAPTO="S"))),"—")</f>
        <v>—</v>
      </c>
      <c r="K359" t="str" cm="1">
        <f t="array" ref="K359">IFERROR(_xlfn.MODE.SNGL(_xlfn._xlws.FILTER(nNOTA,(nCUENTA=1)*(nCURSO=A359)*(nASIG=B359)*(nAPTO="N"))),"—")</f>
        <v>—</v>
      </c>
      <c r="L359">
        <f>SUMPRODUCT((nCUENTA=1)*(nCURSO=A359)*(nASIG=B359)*(nNOTA=1))</f>
        <v>0</v>
      </c>
      <c r="M359">
        <f>SUMPRODUCT((nCUENTA=1)*(nCURSO=A359)*(nASIG=B359)*(nNOTA=2))</f>
        <v>0</v>
      </c>
      <c r="N359">
        <f>SUMPRODUCT((nCUENTA=1)*(nCURSO=A359)*(nASIG=B359)*(nNOTA=3))</f>
        <v>0</v>
      </c>
      <c r="O359">
        <f>SUMPRODUCT((nCUENTA=1)*(nCURSO=A359)*(nASIG=B359)*(nNOTA=4))</f>
        <v>0</v>
      </c>
      <c r="P359">
        <f>SUMPRODUCT((nCUENTA=1)*(nCURSO=A359)*(nASIG=B359)*(nNOTA=5))</f>
        <v>0</v>
      </c>
      <c r="Q359">
        <f>SUMPRODUCT((nCUENTA=1)*(nCURSO=A359)*(nASIG=B359)*(nNOTA=6))</f>
        <v>0</v>
      </c>
      <c r="R359">
        <f>SUMPRODUCT((nCUENTA=1)*(nCURSO=A359)*(nASIG=B359)*(nNOTA=7))</f>
        <v>0</v>
      </c>
      <c r="S359">
        <f>SUMPRODUCT((nCUENTA=1)*(nCURSO=A359)*(nASIG=B359)*(nNOTA=8))</f>
        <v>0</v>
      </c>
      <c r="T359">
        <f>SUMPRODUCT((nCUENTA=1)*(nCURSO=A359)*(nASIG=B359)*(nNOTA=9))</f>
        <v>0</v>
      </c>
      <c r="U359">
        <f>SUMPRODUCT((nCUENTA=1)*(nCURSO=A359)*(nASIG=B359)*(nNOTA=10))</f>
        <v>0</v>
      </c>
    </row>
    <row r="360">
      <c r="A360" t="inlineStr">
        <is>
          <t xml:space="preserve">5EPM</t>
        </is>
      </c>
      <c r="B360" cm="1">
        <f t="array" ref="B360">IFERROR(INDEX(_xlfn._xlws.FILTER(CONFIG_ASIGNATURAS!$B$2:$B$91,(CONFIG_ASIGNATURAS!$G$2:$G$91="Sí")*ISNUMBER(SEARCH("5EPM",CONFIG_ASIGNATURAS!$C$2:$C$91))),37),"")</f>
      </c>
      <c r="C360">
        <f>IF(B360="","",IFERROR(VLOOKUP(B360,CONFIG_ASIGNATURAS!$B$2:$D$91,3,FALSE()),"Asignatura"))</f>
      </c>
      <c r="D360">
        <f>SUMPRODUCT((nCUENTA=1)*(nCURSO=A360)*(nASIG=B360))</f>
        <v>0</v>
      </c>
      <c r="E360" s="10" t="str">
        <f>IFERROR(SUMPRODUCT((nCUENTA=1)*(nCURSO=A360)*(nASIG=B360)*(nNOTA))/D360,"—")</f>
        <v>—</v>
      </c>
      <c r="F360" s="10" t="str" cm="1">
        <f t="array" ref="F360">IFERROR(_xlfn.STDEV.P(_xlfn._xlws.FILTER(nNOTA,(nCUENTA=1)*(nCURSO=A360)*(nASIG=B360))),"—")</f>
        <v>—</v>
      </c>
      <c r="G360" t="str" cm="1">
        <f t="array" ref="G360">IFERROR(_xlfn.MODE.SNGL(_xlfn._xlws.FILTER(nNOTA,(nCUENTA=1)*(nCURSO=A360)*(nASIG=B360))),"—")</f>
        <v>—</v>
      </c>
      <c r="H360" s="11" t="str">
        <f>IFERROR(SUMPRODUCT((nCUENTA=1)*(nCURSO=A360)*(nASIG=B360)*(nAPTO="S"))/D360,"—")</f>
        <v>—</v>
      </c>
      <c r="I360" s="11" t="str">
        <f>IFERROR(SUMPRODUCT((nCUENTA=1)*(nCURSO=A360)*(nASIG=B360)*(nAPTO="N"))/D360,"—")</f>
        <v>—</v>
      </c>
      <c r="J360" t="str" cm="1">
        <f t="array" ref="J360">IFERROR(_xlfn.MODE.SNGL(_xlfn._xlws.FILTER(nNOTA,(nCUENTA=1)*(nCURSO=A360)*(nASIG=B360)*(nAPTO="S"))),"—")</f>
        <v>—</v>
      </c>
      <c r="K360" t="str" cm="1">
        <f t="array" ref="K360">IFERROR(_xlfn.MODE.SNGL(_xlfn._xlws.FILTER(nNOTA,(nCUENTA=1)*(nCURSO=A360)*(nASIG=B360)*(nAPTO="N"))),"—")</f>
        <v>—</v>
      </c>
      <c r="L360">
        <f>SUMPRODUCT((nCUENTA=1)*(nCURSO=A360)*(nASIG=B360)*(nNOTA=1))</f>
        <v>0</v>
      </c>
      <c r="M360">
        <f>SUMPRODUCT((nCUENTA=1)*(nCURSO=A360)*(nASIG=B360)*(nNOTA=2))</f>
        <v>0</v>
      </c>
      <c r="N360">
        <f>SUMPRODUCT((nCUENTA=1)*(nCURSO=A360)*(nASIG=B360)*(nNOTA=3))</f>
        <v>0</v>
      </c>
      <c r="O360">
        <f>SUMPRODUCT((nCUENTA=1)*(nCURSO=A360)*(nASIG=B360)*(nNOTA=4))</f>
        <v>0</v>
      </c>
      <c r="P360">
        <f>SUMPRODUCT((nCUENTA=1)*(nCURSO=A360)*(nASIG=B360)*(nNOTA=5))</f>
        <v>0</v>
      </c>
      <c r="Q360">
        <f>SUMPRODUCT((nCUENTA=1)*(nCURSO=A360)*(nASIG=B360)*(nNOTA=6))</f>
        <v>0</v>
      </c>
      <c r="R360">
        <f>SUMPRODUCT((nCUENTA=1)*(nCURSO=A360)*(nASIG=B360)*(nNOTA=7))</f>
        <v>0</v>
      </c>
      <c r="S360">
        <f>SUMPRODUCT((nCUENTA=1)*(nCURSO=A360)*(nASIG=B360)*(nNOTA=8))</f>
        <v>0</v>
      </c>
      <c r="T360">
        <f>SUMPRODUCT((nCUENTA=1)*(nCURSO=A360)*(nASIG=B360)*(nNOTA=9))</f>
        <v>0</v>
      </c>
      <c r="U360">
        <f>SUMPRODUCT((nCUENTA=1)*(nCURSO=A360)*(nASIG=B360)*(nNOTA=10))</f>
        <v>0</v>
      </c>
    </row>
    <row r="361">
      <c r="A361" t="inlineStr">
        <is>
          <t xml:space="preserve">5EPM</t>
        </is>
      </c>
      <c r="B361" cm="1">
        <f t="array" ref="B361">IFERROR(INDEX(_xlfn._xlws.FILTER(CONFIG_ASIGNATURAS!$B$2:$B$91,(CONFIG_ASIGNATURAS!$G$2:$G$91="Sí")*ISNUMBER(SEARCH("5EPM",CONFIG_ASIGNATURAS!$C$2:$C$91))),38),"")</f>
      </c>
      <c r="C361">
        <f>IF(B361="","",IFERROR(VLOOKUP(B361,CONFIG_ASIGNATURAS!$B$2:$D$91,3,FALSE()),"Asignatura"))</f>
      </c>
      <c r="D361">
        <f>SUMPRODUCT((nCUENTA=1)*(nCURSO=A361)*(nASIG=B361))</f>
        <v>0</v>
      </c>
      <c r="E361" s="10" t="str">
        <f>IFERROR(SUMPRODUCT((nCUENTA=1)*(nCURSO=A361)*(nASIG=B361)*(nNOTA))/D361,"—")</f>
        <v>—</v>
      </c>
      <c r="F361" s="10" t="str" cm="1">
        <f t="array" ref="F361">IFERROR(_xlfn.STDEV.P(_xlfn._xlws.FILTER(nNOTA,(nCUENTA=1)*(nCURSO=A361)*(nASIG=B361))),"—")</f>
        <v>—</v>
      </c>
      <c r="G361" t="str" cm="1">
        <f t="array" ref="G361">IFERROR(_xlfn.MODE.SNGL(_xlfn._xlws.FILTER(nNOTA,(nCUENTA=1)*(nCURSO=A361)*(nASIG=B361))),"—")</f>
        <v>—</v>
      </c>
      <c r="H361" s="11" t="str">
        <f>IFERROR(SUMPRODUCT((nCUENTA=1)*(nCURSO=A361)*(nASIG=B361)*(nAPTO="S"))/D361,"—")</f>
        <v>—</v>
      </c>
      <c r="I361" s="11" t="str">
        <f>IFERROR(SUMPRODUCT((nCUENTA=1)*(nCURSO=A361)*(nASIG=B361)*(nAPTO="N"))/D361,"—")</f>
        <v>—</v>
      </c>
      <c r="J361" t="str" cm="1">
        <f t="array" ref="J361">IFERROR(_xlfn.MODE.SNGL(_xlfn._xlws.FILTER(nNOTA,(nCUENTA=1)*(nCURSO=A361)*(nASIG=B361)*(nAPTO="S"))),"—")</f>
        <v>—</v>
      </c>
      <c r="K361" t="str" cm="1">
        <f t="array" ref="K361">IFERROR(_xlfn.MODE.SNGL(_xlfn._xlws.FILTER(nNOTA,(nCUENTA=1)*(nCURSO=A361)*(nASIG=B361)*(nAPTO="N"))),"—")</f>
        <v>—</v>
      </c>
      <c r="L361">
        <f>SUMPRODUCT((nCUENTA=1)*(nCURSO=A361)*(nASIG=B361)*(nNOTA=1))</f>
        <v>0</v>
      </c>
      <c r="M361">
        <f>SUMPRODUCT((nCUENTA=1)*(nCURSO=A361)*(nASIG=B361)*(nNOTA=2))</f>
        <v>0</v>
      </c>
      <c r="N361">
        <f>SUMPRODUCT((nCUENTA=1)*(nCURSO=A361)*(nASIG=B361)*(nNOTA=3))</f>
        <v>0</v>
      </c>
      <c r="O361">
        <f>SUMPRODUCT((nCUENTA=1)*(nCURSO=A361)*(nASIG=B361)*(nNOTA=4))</f>
        <v>0</v>
      </c>
      <c r="P361">
        <f>SUMPRODUCT((nCUENTA=1)*(nCURSO=A361)*(nASIG=B361)*(nNOTA=5))</f>
        <v>0</v>
      </c>
      <c r="Q361">
        <f>SUMPRODUCT((nCUENTA=1)*(nCURSO=A361)*(nASIG=B361)*(nNOTA=6))</f>
        <v>0</v>
      </c>
      <c r="R361">
        <f>SUMPRODUCT((nCUENTA=1)*(nCURSO=A361)*(nASIG=B361)*(nNOTA=7))</f>
        <v>0</v>
      </c>
      <c r="S361">
        <f>SUMPRODUCT((nCUENTA=1)*(nCURSO=A361)*(nASIG=B361)*(nNOTA=8))</f>
        <v>0</v>
      </c>
      <c r="T361">
        <f>SUMPRODUCT((nCUENTA=1)*(nCURSO=A361)*(nASIG=B361)*(nNOTA=9))</f>
        <v>0</v>
      </c>
      <c r="U361">
        <f>SUMPRODUCT((nCUENTA=1)*(nCURSO=A361)*(nASIG=B361)*(nNOTA=10))</f>
        <v>0</v>
      </c>
    </row>
    <row r="362">
      <c r="A362" t="inlineStr">
        <is>
          <t xml:space="preserve">5EPM</t>
        </is>
      </c>
      <c r="B362" cm="1">
        <f t="array" ref="B362">IFERROR(INDEX(_xlfn._xlws.FILTER(CONFIG_ASIGNATURAS!$B$2:$B$91,(CONFIG_ASIGNATURAS!$G$2:$G$91="Sí")*ISNUMBER(SEARCH("5EPM",CONFIG_ASIGNATURAS!$C$2:$C$91))),39),"")</f>
      </c>
      <c r="C362">
        <f>IF(B362="","",IFERROR(VLOOKUP(B362,CONFIG_ASIGNATURAS!$B$2:$D$91,3,FALSE()),"Asignatura"))</f>
      </c>
      <c r="D362">
        <f>SUMPRODUCT((nCUENTA=1)*(nCURSO=A362)*(nASIG=B362))</f>
        <v>0</v>
      </c>
      <c r="E362" s="10" t="str">
        <f>IFERROR(SUMPRODUCT((nCUENTA=1)*(nCURSO=A362)*(nASIG=B362)*(nNOTA))/D362,"—")</f>
        <v>—</v>
      </c>
      <c r="F362" s="10" t="str" cm="1">
        <f t="array" ref="F362">IFERROR(_xlfn.STDEV.P(_xlfn._xlws.FILTER(nNOTA,(nCUENTA=1)*(nCURSO=A362)*(nASIG=B362))),"—")</f>
        <v>—</v>
      </c>
      <c r="G362" t="str" cm="1">
        <f t="array" ref="G362">IFERROR(_xlfn.MODE.SNGL(_xlfn._xlws.FILTER(nNOTA,(nCUENTA=1)*(nCURSO=A362)*(nASIG=B362))),"—")</f>
        <v>—</v>
      </c>
      <c r="H362" s="11" t="str">
        <f>IFERROR(SUMPRODUCT((nCUENTA=1)*(nCURSO=A362)*(nASIG=B362)*(nAPTO="S"))/D362,"—")</f>
        <v>—</v>
      </c>
      <c r="I362" s="11" t="str">
        <f>IFERROR(SUMPRODUCT((nCUENTA=1)*(nCURSO=A362)*(nASIG=B362)*(nAPTO="N"))/D362,"—")</f>
        <v>—</v>
      </c>
      <c r="J362" t="str" cm="1">
        <f t="array" ref="J362">IFERROR(_xlfn.MODE.SNGL(_xlfn._xlws.FILTER(nNOTA,(nCUENTA=1)*(nCURSO=A362)*(nASIG=B362)*(nAPTO="S"))),"—")</f>
        <v>—</v>
      </c>
      <c r="K362" t="str" cm="1">
        <f t="array" ref="K362">IFERROR(_xlfn.MODE.SNGL(_xlfn._xlws.FILTER(nNOTA,(nCUENTA=1)*(nCURSO=A362)*(nASIG=B362)*(nAPTO="N"))),"—")</f>
        <v>—</v>
      </c>
      <c r="L362">
        <f>SUMPRODUCT((nCUENTA=1)*(nCURSO=A362)*(nASIG=B362)*(nNOTA=1))</f>
        <v>0</v>
      </c>
      <c r="M362">
        <f>SUMPRODUCT((nCUENTA=1)*(nCURSO=A362)*(nASIG=B362)*(nNOTA=2))</f>
        <v>0</v>
      </c>
      <c r="N362">
        <f>SUMPRODUCT((nCUENTA=1)*(nCURSO=A362)*(nASIG=B362)*(nNOTA=3))</f>
        <v>0</v>
      </c>
      <c r="O362">
        <f>SUMPRODUCT((nCUENTA=1)*(nCURSO=A362)*(nASIG=B362)*(nNOTA=4))</f>
        <v>0</v>
      </c>
      <c r="P362">
        <f>SUMPRODUCT((nCUENTA=1)*(nCURSO=A362)*(nASIG=B362)*(nNOTA=5))</f>
        <v>0</v>
      </c>
      <c r="Q362">
        <f>SUMPRODUCT((nCUENTA=1)*(nCURSO=A362)*(nASIG=B362)*(nNOTA=6))</f>
        <v>0</v>
      </c>
      <c r="R362">
        <f>SUMPRODUCT((nCUENTA=1)*(nCURSO=A362)*(nASIG=B362)*(nNOTA=7))</f>
        <v>0</v>
      </c>
      <c r="S362">
        <f>SUMPRODUCT((nCUENTA=1)*(nCURSO=A362)*(nASIG=B362)*(nNOTA=8))</f>
        <v>0</v>
      </c>
      <c r="T362">
        <f>SUMPRODUCT((nCUENTA=1)*(nCURSO=A362)*(nASIG=B362)*(nNOTA=9))</f>
        <v>0</v>
      </c>
      <c r="U362">
        <f>SUMPRODUCT((nCUENTA=1)*(nCURSO=A362)*(nASIG=B362)*(nNOTA=10))</f>
        <v>0</v>
      </c>
    </row>
    <row r="363">
      <c r="A363" t="inlineStr">
        <is>
          <t xml:space="preserve">5EPM</t>
        </is>
      </c>
      <c r="B363" cm="1">
        <f t="array" ref="B363">IFERROR(INDEX(_xlfn._xlws.FILTER(CONFIG_ASIGNATURAS!$B$2:$B$91,(CONFIG_ASIGNATURAS!$G$2:$G$91="Sí")*ISNUMBER(SEARCH("5EPM",CONFIG_ASIGNATURAS!$C$2:$C$91))),40),"")</f>
      </c>
      <c r="C363">
        <f>IF(B363="","",IFERROR(VLOOKUP(B363,CONFIG_ASIGNATURAS!$B$2:$D$91,3,FALSE()),"Asignatura"))</f>
      </c>
      <c r="D363">
        <f>SUMPRODUCT((nCUENTA=1)*(nCURSO=A363)*(nASIG=B363))</f>
        <v>0</v>
      </c>
      <c r="E363" s="10" t="str">
        <f>IFERROR(SUMPRODUCT((nCUENTA=1)*(nCURSO=A363)*(nASIG=B363)*(nNOTA))/D363,"—")</f>
        <v>—</v>
      </c>
      <c r="F363" s="10" t="str" cm="1">
        <f t="array" ref="F363">IFERROR(_xlfn.STDEV.P(_xlfn._xlws.FILTER(nNOTA,(nCUENTA=1)*(nCURSO=A363)*(nASIG=B363))),"—")</f>
        <v>—</v>
      </c>
      <c r="G363" t="str" cm="1">
        <f t="array" ref="G363">IFERROR(_xlfn.MODE.SNGL(_xlfn._xlws.FILTER(nNOTA,(nCUENTA=1)*(nCURSO=A363)*(nASIG=B363))),"—")</f>
        <v>—</v>
      </c>
      <c r="H363" s="11" t="str">
        <f>IFERROR(SUMPRODUCT((nCUENTA=1)*(nCURSO=A363)*(nASIG=B363)*(nAPTO="S"))/D363,"—")</f>
        <v>—</v>
      </c>
      <c r="I363" s="11" t="str">
        <f>IFERROR(SUMPRODUCT((nCUENTA=1)*(nCURSO=A363)*(nASIG=B363)*(nAPTO="N"))/D363,"—")</f>
        <v>—</v>
      </c>
      <c r="J363" t="str" cm="1">
        <f t="array" ref="J363">IFERROR(_xlfn.MODE.SNGL(_xlfn._xlws.FILTER(nNOTA,(nCUENTA=1)*(nCURSO=A363)*(nASIG=B363)*(nAPTO="S"))),"—")</f>
        <v>—</v>
      </c>
      <c r="K363" t="str" cm="1">
        <f t="array" ref="K363">IFERROR(_xlfn.MODE.SNGL(_xlfn._xlws.FILTER(nNOTA,(nCUENTA=1)*(nCURSO=A363)*(nASIG=B363)*(nAPTO="N"))),"—")</f>
        <v>—</v>
      </c>
      <c r="L363">
        <f>SUMPRODUCT((nCUENTA=1)*(nCURSO=A363)*(nASIG=B363)*(nNOTA=1))</f>
        <v>0</v>
      </c>
      <c r="M363">
        <f>SUMPRODUCT((nCUENTA=1)*(nCURSO=A363)*(nASIG=B363)*(nNOTA=2))</f>
        <v>0</v>
      </c>
      <c r="N363">
        <f>SUMPRODUCT((nCUENTA=1)*(nCURSO=A363)*(nASIG=B363)*(nNOTA=3))</f>
        <v>0</v>
      </c>
      <c r="O363">
        <f>SUMPRODUCT((nCUENTA=1)*(nCURSO=A363)*(nASIG=B363)*(nNOTA=4))</f>
        <v>0</v>
      </c>
      <c r="P363">
        <f>SUMPRODUCT((nCUENTA=1)*(nCURSO=A363)*(nASIG=B363)*(nNOTA=5))</f>
        <v>0</v>
      </c>
      <c r="Q363">
        <f>SUMPRODUCT((nCUENTA=1)*(nCURSO=A363)*(nASIG=B363)*(nNOTA=6))</f>
        <v>0</v>
      </c>
      <c r="R363">
        <f>SUMPRODUCT((nCUENTA=1)*(nCURSO=A363)*(nASIG=B363)*(nNOTA=7))</f>
        <v>0</v>
      </c>
      <c r="S363">
        <f>SUMPRODUCT((nCUENTA=1)*(nCURSO=A363)*(nASIG=B363)*(nNOTA=8))</f>
        <v>0</v>
      </c>
      <c r="T363">
        <f>SUMPRODUCT((nCUENTA=1)*(nCURSO=A363)*(nASIG=B363)*(nNOTA=9))</f>
        <v>0</v>
      </c>
      <c r="U363">
        <f>SUMPRODUCT((nCUENTA=1)*(nCURSO=A363)*(nASIG=B363)*(nNOTA=10))</f>
        <v>0</v>
      </c>
    </row>
    <row r="364">
      <c r="A364" t="inlineStr">
        <is>
          <t xml:space="preserve">5EPM</t>
        </is>
      </c>
      <c r="B364" cm="1">
        <f t="array" ref="B364">IFERROR(INDEX(_xlfn._xlws.FILTER(CONFIG_ASIGNATURAS!$B$2:$B$91,(CONFIG_ASIGNATURAS!$G$2:$G$91="Sí")*ISNUMBER(SEARCH("5EPM",CONFIG_ASIGNATURAS!$C$2:$C$91))),41),"")</f>
      </c>
      <c r="C364">
        <f>IF(B364="","",IFERROR(VLOOKUP(B364,CONFIG_ASIGNATURAS!$B$2:$D$91,3,FALSE()),"Asignatura"))</f>
      </c>
      <c r="D364">
        <f>SUMPRODUCT((nCUENTA=1)*(nCURSO=A364)*(nASIG=B364))</f>
        <v>0</v>
      </c>
      <c r="E364" s="10" t="str">
        <f>IFERROR(SUMPRODUCT((nCUENTA=1)*(nCURSO=A364)*(nASIG=B364)*(nNOTA))/D364,"—")</f>
        <v>—</v>
      </c>
      <c r="F364" s="10" t="str" cm="1">
        <f t="array" ref="F364">IFERROR(_xlfn.STDEV.P(_xlfn._xlws.FILTER(nNOTA,(nCUENTA=1)*(nCURSO=A364)*(nASIG=B364))),"—")</f>
        <v>—</v>
      </c>
      <c r="G364" t="str" cm="1">
        <f t="array" ref="G364">IFERROR(_xlfn.MODE.SNGL(_xlfn._xlws.FILTER(nNOTA,(nCUENTA=1)*(nCURSO=A364)*(nASIG=B364))),"—")</f>
        <v>—</v>
      </c>
      <c r="H364" s="11" t="str">
        <f>IFERROR(SUMPRODUCT((nCUENTA=1)*(nCURSO=A364)*(nASIG=B364)*(nAPTO="S"))/D364,"—")</f>
        <v>—</v>
      </c>
      <c r="I364" s="11" t="str">
        <f>IFERROR(SUMPRODUCT((nCUENTA=1)*(nCURSO=A364)*(nASIG=B364)*(nAPTO="N"))/D364,"—")</f>
        <v>—</v>
      </c>
      <c r="J364" t="str" cm="1">
        <f t="array" ref="J364">IFERROR(_xlfn.MODE.SNGL(_xlfn._xlws.FILTER(nNOTA,(nCUENTA=1)*(nCURSO=A364)*(nASIG=B364)*(nAPTO="S"))),"—")</f>
        <v>—</v>
      </c>
      <c r="K364" t="str" cm="1">
        <f t="array" ref="K364">IFERROR(_xlfn.MODE.SNGL(_xlfn._xlws.FILTER(nNOTA,(nCUENTA=1)*(nCURSO=A364)*(nASIG=B364)*(nAPTO="N"))),"—")</f>
        <v>—</v>
      </c>
      <c r="L364">
        <f>SUMPRODUCT((nCUENTA=1)*(nCURSO=A364)*(nASIG=B364)*(nNOTA=1))</f>
        <v>0</v>
      </c>
      <c r="M364">
        <f>SUMPRODUCT((nCUENTA=1)*(nCURSO=A364)*(nASIG=B364)*(nNOTA=2))</f>
        <v>0</v>
      </c>
      <c r="N364">
        <f>SUMPRODUCT((nCUENTA=1)*(nCURSO=A364)*(nASIG=B364)*(nNOTA=3))</f>
        <v>0</v>
      </c>
      <c r="O364">
        <f>SUMPRODUCT((nCUENTA=1)*(nCURSO=A364)*(nASIG=B364)*(nNOTA=4))</f>
        <v>0</v>
      </c>
      <c r="P364">
        <f>SUMPRODUCT((nCUENTA=1)*(nCURSO=A364)*(nASIG=B364)*(nNOTA=5))</f>
        <v>0</v>
      </c>
      <c r="Q364">
        <f>SUMPRODUCT((nCUENTA=1)*(nCURSO=A364)*(nASIG=B364)*(nNOTA=6))</f>
        <v>0</v>
      </c>
      <c r="R364">
        <f>SUMPRODUCT((nCUENTA=1)*(nCURSO=A364)*(nASIG=B364)*(nNOTA=7))</f>
        <v>0</v>
      </c>
      <c r="S364">
        <f>SUMPRODUCT((nCUENTA=1)*(nCURSO=A364)*(nASIG=B364)*(nNOTA=8))</f>
        <v>0</v>
      </c>
      <c r="T364">
        <f>SUMPRODUCT((nCUENTA=1)*(nCURSO=A364)*(nASIG=B364)*(nNOTA=9))</f>
        <v>0</v>
      </c>
      <c r="U364">
        <f>SUMPRODUCT((nCUENTA=1)*(nCURSO=A364)*(nASIG=B364)*(nNOTA=10))</f>
        <v>0</v>
      </c>
    </row>
    <row r="365">
      <c r="A365" t="inlineStr">
        <is>
          <t xml:space="preserve">5EPM</t>
        </is>
      </c>
      <c r="B365" cm="1">
        <f t="array" ref="B365">IFERROR(INDEX(_xlfn._xlws.FILTER(CONFIG_ASIGNATURAS!$B$2:$B$91,(CONFIG_ASIGNATURAS!$G$2:$G$91="Sí")*ISNUMBER(SEARCH("5EPM",CONFIG_ASIGNATURAS!$C$2:$C$91))),42),"")</f>
      </c>
      <c r="C365">
        <f>IF(B365="","",IFERROR(VLOOKUP(B365,CONFIG_ASIGNATURAS!$B$2:$D$91,3,FALSE()),"Asignatura"))</f>
      </c>
      <c r="D365">
        <f>SUMPRODUCT((nCUENTA=1)*(nCURSO=A365)*(nASIG=B365))</f>
        <v>0</v>
      </c>
      <c r="E365" s="10" t="str">
        <f>IFERROR(SUMPRODUCT((nCUENTA=1)*(nCURSO=A365)*(nASIG=B365)*(nNOTA))/D365,"—")</f>
        <v>—</v>
      </c>
      <c r="F365" s="10" t="str" cm="1">
        <f t="array" ref="F365">IFERROR(_xlfn.STDEV.P(_xlfn._xlws.FILTER(nNOTA,(nCUENTA=1)*(nCURSO=A365)*(nASIG=B365))),"—")</f>
        <v>—</v>
      </c>
      <c r="G365" t="str" cm="1">
        <f t="array" ref="G365">IFERROR(_xlfn.MODE.SNGL(_xlfn._xlws.FILTER(nNOTA,(nCUENTA=1)*(nCURSO=A365)*(nASIG=B365))),"—")</f>
        <v>—</v>
      </c>
      <c r="H365" s="11" t="str">
        <f>IFERROR(SUMPRODUCT((nCUENTA=1)*(nCURSO=A365)*(nASIG=B365)*(nAPTO="S"))/D365,"—")</f>
        <v>—</v>
      </c>
      <c r="I365" s="11" t="str">
        <f>IFERROR(SUMPRODUCT((nCUENTA=1)*(nCURSO=A365)*(nASIG=B365)*(nAPTO="N"))/D365,"—")</f>
        <v>—</v>
      </c>
      <c r="J365" t="str" cm="1">
        <f t="array" ref="J365">IFERROR(_xlfn.MODE.SNGL(_xlfn._xlws.FILTER(nNOTA,(nCUENTA=1)*(nCURSO=A365)*(nASIG=B365)*(nAPTO="S"))),"—")</f>
        <v>—</v>
      </c>
      <c r="K365" t="str" cm="1">
        <f t="array" ref="K365">IFERROR(_xlfn.MODE.SNGL(_xlfn._xlws.FILTER(nNOTA,(nCUENTA=1)*(nCURSO=A365)*(nASIG=B365)*(nAPTO="N"))),"—")</f>
        <v>—</v>
      </c>
      <c r="L365">
        <f>SUMPRODUCT((nCUENTA=1)*(nCURSO=A365)*(nASIG=B365)*(nNOTA=1))</f>
        <v>0</v>
      </c>
      <c r="M365">
        <f>SUMPRODUCT((nCUENTA=1)*(nCURSO=A365)*(nASIG=B365)*(nNOTA=2))</f>
        <v>0</v>
      </c>
      <c r="N365">
        <f>SUMPRODUCT((nCUENTA=1)*(nCURSO=A365)*(nASIG=B365)*(nNOTA=3))</f>
        <v>0</v>
      </c>
      <c r="O365">
        <f>SUMPRODUCT((nCUENTA=1)*(nCURSO=A365)*(nASIG=B365)*(nNOTA=4))</f>
        <v>0</v>
      </c>
      <c r="P365">
        <f>SUMPRODUCT((nCUENTA=1)*(nCURSO=A365)*(nASIG=B365)*(nNOTA=5))</f>
        <v>0</v>
      </c>
      <c r="Q365">
        <f>SUMPRODUCT((nCUENTA=1)*(nCURSO=A365)*(nASIG=B365)*(nNOTA=6))</f>
        <v>0</v>
      </c>
      <c r="R365">
        <f>SUMPRODUCT((nCUENTA=1)*(nCURSO=A365)*(nASIG=B365)*(nNOTA=7))</f>
        <v>0</v>
      </c>
      <c r="S365">
        <f>SUMPRODUCT((nCUENTA=1)*(nCURSO=A365)*(nASIG=B365)*(nNOTA=8))</f>
        <v>0</v>
      </c>
      <c r="T365">
        <f>SUMPRODUCT((nCUENTA=1)*(nCURSO=A365)*(nASIG=B365)*(nNOTA=9))</f>
        <v>0</v>
      </c>
      <c r="U365">
        <f>SUMPRODUCT((nCUENTA=1)*(nCURSO=A365)*(nASIG=B365)*(nNOTA=10))</f>
        <v>0</v>
      </c>
    </row>
    <row r="366">
      <c r="A366" t="inlineStr">
        <is>
          <t xml:space="preserve">5EPM</t>
        </is>
      </c>
      <c r="B366" cm="1">
        <f t="array" ref="B366">IFERROR(INDEX(_xlfn._xlws.FILTER(CONFIG_ASIGNATURAS!$B$2:$B$91,(CONFIG_ASIGNATURAS!$G$2:$G$91="Sí")*ISNUMBER(SEARCH("5EPM",CONFIG_ASIGNATURAS!$C$2:$C$91))),43),"")</f>
      </c>
      <c r="C366">
        <f>IF(B366="","",IFERROR(VLOOKUP(B366,CONFIG_ASIGNATURAS!$B$2:$D$91,3,FALSE()),"Asignatura"))</f>
      </c>
      <c r="D366">
        <f>SUMPRODUCT((nCUENTA=1)*(nCURSO=A366)*(nASIG=B366))</f>
        <v>0</v>
      </c>
      <c r="E366" s="10" t="str">
        <f>IFERROR(SUMPRODUCT((nCUENTA=1)*(nCURSO=A366)*(nASIG=B366)*(nNOTA))/D366,"—")</f>
        <v>—</v>
      </c>
      <c r="F366" s="10" t="str" cm="1">
        <f t="array" ref="F366">IFERROR(_xlfn.STDEV.P(_xlfn._xlws.FILTER(nNOTA,(nCUENTA=1)*(nCURSO=A366)*(nASIG=B366))),"—")</f>
        <v>—</v>
      </c>
      <c r="G366" t="str" cm="1">
        <f t="array" ref="G366">IFERROR(_xlfn.MODE.SNGL(_xlfn._xlws.FILTER(nNOTA,(nCUENTA=1)*(nCURSO=A366)*(nASIG=B366))),"—")</f>
        <v>—</v>
      </c>
      <c r="H366" s="11" t="str">
        <f>IFERROR(SUMPRODUCT((nCUENTA=1)*(nCURSO=A366)*(nASIG=B366)*(nAPTO="S"))/D366,"—")</f>
        <v>—</v>
      </c>
      <c r="I366" s="11" t="str">
        <f>IFERROR(SUMPRODUCT((nCUENTA=1)*(nCURSO=A366)*(nASIG=B366)*(nAPTO="N"))/D366,"—")</f>
        <v>—</v>
      </c>
      <c r="J366" t="str" cm="1">
        <f t="array" ref="J366">IFERROR(_xlfn.MODE.SNGL(_xlfn._xlws.FILTER(nNOTA,(nCUENTA=1)*(nCURSO=A366)*(nASIG=B366)*(nAPTO="S"))),"—")</f>
        <v>—</v>
      </c>
      <c r="K366" t="str" cm="1">
        <f t="array" ref="K366">IFERROR(_xlfn.MODE.SNGL(_xlfn._xlws.FILTER(nNOTA,(nCUENTA=1)*(nCURSO=A366)*(nASIG=B366)*(nAPTO="N"))),"—")</f>
        <v>—</v>
      </c>
      <c r="L366">
        <f>SUMPRODUCT((nCUENTA=1)*(nCURSO=A366)*(nASIG=B366)*(nNOTA=1))</f>
        <v>0</v>
      </c>
      <c r="M366">
        <f>SUMPRODUCT((nCUENTA=1)*(nCURSO=A366)*(nASIG=B366)*(nNOTA=2))</f>
        <v>0</v>
      </c>
      <c r="N366">
        <f>SUMPRODUCT((nCUENTA=1)*(nCURSO=A366)*(nASIG=B366)*(nNOTA=3))</f>
        <v>0</v>
      </c>
      <c r="O366">
        <f>SUMPRODUCT((nCUENTA=1)*(nCURSO=A366)*(nASIG=B366)*(nNOTA=4))</f>
        <v>0</v>
      </c>
      <c r="P366">
        <f>SUMPRODUCT((nCUENTA=1)*(nCURSO=A366)*(nASIG=B366)*(nNOTA=5))</f>
        <v>0</v>
      </c>
      <c r="Q366">
        <f>SUMPRODUCT((nCUENTA=1)*(nCURSO=A366)*(nASIG=B366)*(nNOTA=6))</f>
        <v>0</v>
      </c>
      <c r="R366">
        <f>SUMPRODUCT((nCUENTA=1)*(nCURSO=A366)*(nASIG=B366)*(nNOTA=7))</f>
        <v>0</v>
      </c>
      <c r="S366">
        <f>SUMPRODUCT((nCUENTA=1)*(nCURSO=A366)*(nASIG=B366)*(nNOTA=8))</f>
        <v>0</v>
      </c>
      <c r="T366">
        <f>SUMPRODUCT((nCUENTA=1)*(nCURSO=A366)*(nASIG=B366)*(nNOTA=9))</f>
        <v>0</v>
      </c>
      <c r="U366">
        <f>SUMPRODUCT((nCUENTA=1)*(nCURSO=A366)*(nASIG=B366)*(nNOTA=10))</f>
        <v>0</v>
      </c>
    </row>
    <row r="367">
      <c r="A367" t="inlineStr">
        <is>
          <t xml:space="preserve">5EPM</t>
        </is>
      </c>
      <c r="B367" cm="1">
        <f t="array" ref="B367">IFERROR(INDEX(_xlfn._xlws.FILTER(CONFIG_ASIGNATURAS!$B$2:$B$91,(CONFIG_ASIGNATURAS!$G$2:$G$91="Sí")*ISNUMBER(SEARCH("5EPM",CONFIG_ASIGNATURAS!$C$2:$C$91))),44),"")</f>
      </c>
      <c r="C367">
        <f>IF(B367="","",IFERROR(VLOOKUP(B367,CONFIG_ASIGNATURAS!$B$2:$D$91,3,FALSE()),"Asignatura"))</f>
      </c>
      <c r="D367">
        <f>SUMPRODUCT((nCUENTA=1)*(nCURSO=A367)*(nASIG=B367))</f>
        <v>0</v>
      </c>
      <c r="E367" s="10" t="str">
        <f>IFERROR(SUMPRODUCT((nCUENTA=1)*(nCURSO=A367)*(nASIG=B367)*(nNOTA))/D367,"—")</f>
        <v>—</v>
      </c>
      <c r="F367" s="10" t="str" cm="1">
        <f t="array" ref="F367">IFERROR(_xlfn.STDEV.P(_xlfn._xlws.FILTER(nNOTA,(nCUENTA=1)*(nCURSO=A367)*(nASIG=B367))),"—")</f>
        <v>—</v>
      </c>
      <c r="G367" t="str" cm="1">
        <f t="array" ref="G367">IFERROR(_xlfn.MODE.SNGL(_xlfn._xlws.FILTER(nNOTA,(nCUENTA=1)*(nCURSO=A367)*(nASIG=B367))),"—")</f>
        <v>—</v>
      </c>
      <c r="H367" s="11" t="str">
        <f>IFERROR(SUMPRODUCT((nCUENTA=1)*(nCURSO=A367)*(nASIG=B367)*(nAPTO="S"))/D367,"—")</f>
        <v>—</v>
      </c>
      <c r="I367" s="11" t="str">
        <f>IFERROR(SUMPRODUCT((nCUENTA=1)*(nCURSO=A367)*(nASIG=B367)*(nAPTO="N"))/D367,"—")</f>
        <v>—</v>
      </c>
      <c r="J367" t="str" cm="1">
        <f t="array" ref="J367">IFERROR(_xlfn.MODE.SNGL(_xlfn._xlws.FILTER(nNOTA,(nCUENTA=1)*(nCURSO=A367)*(nASIG=B367)*(nAPTO="S"))),"—")</f>
        <v>—</v>
      </c>
      <c r="K367" t="str" cm="1">
        <f t="array" ref="K367">IFERROR(_xlfn.MODE.SNGL(_xlfn._xlws.FILTER(nNOTA,(nCUENTA=1)*(nCURSO=A367)*(nASIG=B367)*(nAPTO="N"))),"—")</f>
        <v>—</v>
      </c>
      <c r="L367">
        <f>SUMPRODUCT((nCUENTA=1)*(nCURSO=A367)*(nASIG=B367)*(nNOTA=1))</f>
        <v>0</v>
      </c>
      <c r="M367">
        <f>SUMPRODUCT((nCUENTA=1)*(nCURSO=A367)*(nASIG=B367)*(nNOTA=2))</f>
        <v>0</v>
      </c>
      <c r="N367">
        <f>SUMPRODUCT((nCUENTA=1)*(nCURSO=A367)*(nASIG=B367)*(nNOTA=3))</f>
        <v>0</v>
      </c>
      <c r="O367">
        <f>SUMPRODUCT((nCUENTA=1)*(nCURSO=A367)*(nASIG=B367)*(nNOTA=4))</f>
        <v>0</v>
      </c>
      <c r="P367">
        <f>SUMPRODUCT((nCUENTA=1)*(nCURSO=A367)*(nASIG=B367)*(nNOTA=5))</f>
        <v>0</v>
      </c>
      <c r="Q367">
        <f>SUMPRODUCT((nCUENTA=1)*(nCURSO=A367)*(nASIG=B367)*(nNOTA=6))</f>
        <v>0</v>
      </c>
      <c r="R367">
        <f>SUMPRODUCT((nCUENTA=1)*(nCURSO=A367)*(nASIG=B367)*(nNOTA=7))</f>
        <v>0</v>
      </c>
      <c r="S367">
        <f>SUMPRODUCT((nCUENTA=1)*(nCURSO=A367)*(nASIG=B367)*(nNOTA=8))</f>
        <v>0</v>
      </c>
      <c r="T367">
        <f>SUMPRODUCT((nCUENTA=1)*(nCURSO=A367)*(nASIG=B367)*(nNOTA=9))</f>
        <v>0</v>
      </c>
      <c r="U367">
        <f>SUMPRODUCT((nCUENTA=1)*(nCURSO=A367)*(nASIG=B367)*(nNOTA=10))</f>
        <v>0</v>
      </c>
    </row>
    <row r="368">
      <c r="A368" t="inlineStr">
        <is>
          <t xml:space="preserve">5EPM</t>
        </is>
      </c>
      <c r="B368" cm="1">
        <f t="array" ref="B368">IFERROR(INDEX(_xlfn._xlws.FILTER(CONFIG_ASIGNATURAS!$B$2:$B$91,(CONFIG_ASIGNATURAS!$G$2:$G$91="Sí")*ISNUMBER(SEARCH("5EPM",CONFIG_ASIGNATURAS!$C$2:$C$91))),45),"")</f>
      </c>
      <c r="C368">
        <f>IF(B368="","",IFERROR(VLOOKUP(B368,CONFIG_ASIGNATURAS!$B$2:$D$91,3,FALSE()),"Asignatura"))</f>
      </c>
      <c r="D368">
        <f>SUMPRODUCT((nCUENTA=1)*(nCURSO=A368)*(nASIG=B368))</f>
        <v>0</v>
      </c>
      <c r="E368" s="10" t="str">
        <f>IFERROR(SUMPRODUCT((nCUENTA=1)*(nCURSO=A368)*(nASIG=B368)*(nNOTA))/D368,"—")</f>
        <v>—</v>
      </c>
      <c r="F368" s="10" t="str" cm="1">
        <f t="array" ref="F368">IFERROR(_xlfn.STDEV.P(_xlfn._xlws.FILTER(nNOTA,(nCUENTA=1)*(nCURSO=A368)*(nASIG=B368))),"—")</f>
        <v>—</v>
      </c>
      <c r="G368" t="str" cm="1">
        <f t="array" ref="G368">IFERROR(_xlfn.MODE.SNGL(_xlfn._xlws.FILTER(nNOTA,(nCUENTA=1)*(nCURSO=A368)*(nASIG=B368))),"—")</f>
        <v>—</v>
      </c>
      <c r="H368" s="11" t="str">
        <f>IFERROR(SUMPRODUCT((nCUENTA=1)*(nCURSO=A368)*(nASIG=B368)*(nAPTO="S"))/D368,"—")</f>
        <v>—</v>
      </c>
      <c r="I368" s="11" t="str">
        <f>IFERROR(SUMPRODUCT((nCUENTA=1)*(nCURSO=A368)*(nASIG=B368)*(nAPTO="N"))/D368,"—")</f>
        <v>—</v>
      </c>
      <c r="J368" t="str" cm="1">
        <f t="array" ref="J368">IFERROR(_xlfn.MODE.SNGL(_xlfn._xlws.FILTER(nNOTA,(nCUENTA=1)*(nCURSO=A368)*(nASIG=B368)*(nAPTO="S"))),"—")</f>
        <v>—</v>
      </c>
      <c r="K368" t="str" cm="1">
        <f t="array" ref="K368">IFERROR(_xlfn.MODE.SNGL(_xlfn._xlws.FILTER(nNOTA,(nCUENTA=1)*(nCURSO=A368)*(nASIG=B368)*(nAPTO="N"))),"—")</f>
        <v>—</v>
      </c>
      <c r="L368">
        <f>SUMPRODUCT((nCUENTA=1)*(nCURSO=A368)*(nASIG=B368)*(nNOTA=1))</f>
        <v>0</v>
      </c>
      <c r="M368">
        <f>SUMPRODUCT((nCUENTA=1)*(nCURSO=A368)*(nASIG=B368)*(nNOTA=2))</f>
        <v>0</v>
      </c>
      <c r="N368">
        <f>SUMPRODUCT((nCUENTA=1)*(nCURSO=A368)*(nASIG=B368)*(nNOTA=3))</f>
        <v>0</v>
      </c>
      <c r="O368">
        <f>SUMPRODUCT((nCUENTA=1)*(nCURSO=A368)*(nASIG=B368)*(nNOTA=4))</f>
        <v>0</v>
      </c>
      <c r="P368">
        <f>SUMPRODUCT((nCUENTA=1)*(nCURSO=A368)*(nASIG=B368)*(nNOTA=5))</f>
        <v>0</v>
      </c>
      <c r="Q368">
        <f>SUMPRODUCT((nCUENTA=1)*(nCURSO=A368)*(nASIG=B368)*(nNOTA=6))</f>
        <v>0</v>
      </c>
      <c r="R368">
        <f>SUMPRODUCT((nCUENTA=1)*(nCURSO=A368)*(nASIG=B368)*(nNOTA=7))</f>
        <v>0</v>
      </c>
      <c r="S368">
        <f>SUMPRODUCT((nCUENTA=1)*(nCURSO=A368)*(nASIG=B368)*(nNOTA=8))</f>
        <v>0</v>
      </c>
      <c r="T368">
        <f>SUMPRODUCT((nCUENTA=1)*(nCURSO=A368)*(nASIG=B368)*(nNOTA=9))</f>
        <v>0</v>
      </c>
      <c r="U368">
        <f>SUMPRODUCT((nCUENTA=1)*(nCURSO=A368)*(nASIG=B368)*(nNOTA=10))</f>
        <v>0</v>
      </c>
    </row>
    <row r="369">
      <c r="A369" t="inlineStr">
        <is>
          <t xml:space="preserve">5EPM</t>
        </is>
      </c>
      <c r="B369" cm="1">
        <f t="array" ref="B369">IFERROR(INDEX(_xlfn._xlws.FILTER(CONFIG_ASIGNATURAS!$B$2:$B$91,(CONFIG_ASIGNATURAS!$G$2:$G$91="Sí")*ISNUMBER(SEARCH("5EPM",CONFIG_ASIGNATURAS!$C$2:$C$91))),46),"")</f>
      </c>
      <c r="C369">
        <f>IF(B369="","",IFERROR(VLOOKUP(B369,CONFIG_ASIGNATURAS!$B$2:$D$91,3,FALSE()),"Asignatura"))</f>
      </c>
      <c r="D369">
        <f>SUMPRODUCT((nCUENTA=1)*(nCURSO=A369)*(nASIG=B369))</f>
        <v>0</v>
      </c>
      <c r="E369" s="10" t="str">
        <f>IFERROR(SUMPRODUCT((nCUENTA=1)*(nCURSO=A369)*(nASIG=B369)*(nNOTA))/D369,"—")</f>
        <v>—</v>
      </c>
      <c r="F369" s="10" t="str" cm="1">
        <f t="array" ref="F369">IFERROR(_xlfn.STDEV.P(_xlfn._xlws.FILTER(nNOTA,(nCUENTA=1)*(nCURSO=A369)*(nASIG=B369))),"—")</f>
        <v>—</v>
      </c>
      <c r="G369" t="str" cm="1">
        <f t="array" ref="G369">IFERROR(_xlfn.MODE.SNGL(_xlfn._xlws.FILTER(nNOTA,(nCUENTA=1)*(nCURSO=A369)*(nASIG=B369))),"—")</f>
        <v>—</v>
      </c>
      <c r="H369" s="11" t="str">
        <f>IFERROR(SUMPRODUCT((nCUENTA=1)*(nCURSO=A369)*(nASIG=B369)*(nAPTO="S"))/D369,"—")</f>
        <v>—</v>
      </c>
      <c r="I369" s="11" t="str">
        <f>IFERROR(SUMPRODUCT((nCUENTA=1)*(nCURSO=A369)*(nASIG=B369)*(nAPTO="N"))/D369,"—")</f>
        <v>—</v>
      </c>
      <c r="J369" t="str" cm="1">
        <f t="array" ref="J369">IFERROR(_xlfn.MODE.SNGL(_xlfn._xlws.FILTER(nNOTA,(nCUENTA=1)*(nCURSO=A369)*(nASIG=B369)*(nAPTO="S"))),"—")</f>
        <v>—</v>
      </c>
      <c r="K369" t="str" cm="1">
        <f t="array" ref="K369">IFERROR(_xlfn.MODE.SNGL(_xlfn._xlws.FILTER(nNOTA,(nCUENTA=1)*(nCURSO=A369)*(nASIG=B369)*(nAPTO="N"))),"—")</f>
        <v>—</v>
      </c>
      <c r="L369">
        <f>SUMPRODUCT((nCUENTA=1)*(nCURSO=A369)*(nASIG=B369)*(nNOTA=1))</f>
        <v>0</v>
      </c>
      <c r="M369">
        <f>SUMPRODUCT((nCUENTA=1)*(nCURSO=A369)*(nASIG=B369)*(nNOTA=2))</f>
        <v>0</v>
      </c>
      <c r="N369">
        <f>SUMPRODUCT((nCUENTA=1)*(nCURSO=A369)*(nASIG=B369)*(nNOTA=3))</f>
        <v>0</v>
      </c>
      <c r="O369">
        <f>SUMPRODUCT((nCUENTA=1)*(nCURSO=A369)*(nASIG=B369)*(nNOTA=4))</f>
        <v>0</v>
      </c>
      <c r="P369">
        <f>SUMPRODUCT((nCUENTA=1)*(nCURSO=A369)*(nASIG=B369)*(nNOTA=5))</f>
        <v>0</v>
      </c>
      <c r="Q369">
        <f>SUMPRODUCT((nCUENTA=1)*(nCURSO=A369)*(nASIG=B369)*(nNOTA=6))</f>
        <v>0</v>
      </c>
      <c r="R369">
        <f>SUMPRODUCT((nCUENTA=1)*(nCURSO=A369)*(nASIG=B369)*(nNOTA=7))</f>
        <v>0</v>
      </c>
      <c r="S369">
        <f>SUMPRODUCT((nCUENTA=1)*(nCURSO=A369)*(nASIG=B369)*(nNOTA=8))</f>
        <v>0</v>
      </c>
      <c r="T369">
        <f>SUMPRODUCT((nCUENTA=1)*(nCURSO=A369)*(nASIG=B369)*(nNOTA=9))</f>
        <v>0</v>
      </c>
      <c r="U369">
        <f>SUMPRODUCT((nCUENTA=1)*(nCURSO=A369)*(nASIG=B369)*(nNOTA=10))</f>
        <v>0</v>
      </c>
    </row>
    <row r="370">
      <c r="A370" t="inlineStr">
        <is>
          <t xml:space="preserve">5EPM</t>
        </is>
      </c>
      <c r="B370" cm="1">
        <f t="array" ref="B370">IFERROR(INDEX(_xlfn._xlws.FILTER(CONFIG_ASIGNATURAS!$B$2:$B$91,(CONFIG_ASIGNATURAS!$G$2:$G$91="Sí")*ISNUMBER(SEARCH("5EPM",CONFIG_ASIGNATURAS!$C$2:$C$91))),47),"")</f>
      </c>
      <c r="C370">
        <f>IF(B370="","",IFERROR(VLOOKUP(B370,CONFIG_ASIGNATURAS!$B$2:$D$91,3,FALSE()),"Asignatura"))</f>
      </c>
      <c r="D370">
        <f>SUMPRODUCT((nCUENTA=1)*(nCURSO=A370)*(nASIG=B370))</f>
        <v>0</v>
      </c>
      <c r="E370" s="10" t="str">
        <f>IFERROR(SUMPRODUCT((nCUENTA=1)*(nCURSO=A370)*(nASIG=B370)*(nNOTA))/D370,"—")</f>
        <v>—</v>
      </c>
      <c r="F370" s="10" t="str" cm="1">
        <f t="array" ref="F370">IFERROR(_xlfn.STDEV.P(_xlfn._xlws.FILTER(nNOTA,(nCUENTA=1)*(nCURSO=A370)*(nASIG=B370))),"—")</f>
        <v>—</v>
      </c>
      <c r="G370" t="str" cm="1">
        <f t="array" ref="G370">IFERROR(_xlfn.MODE.SNGL(_xlfn._xlws.FILTER(nNOTA,(nCUENTA=1)*(nCURSO=A370)*(nASIG=B370))),"—")</f>
        <v>—</v>
      </c>
      <c r="H370" s="11" t="str">
        <f>IFERROR(SUMPRODUCT((nCUENTA=1)*(nCURSO=A370)*(nASIG=B370)*(nAPTO="S"))/D370,"—")</f>
        <v>—</v>
      </c>
      <c r="I370" s="11" t="str">
        <f>IFERROR(SUMPRODUCT((nCUENTA=1)*(nCURSO=A370)*(nASIG=B370)*(nAPTO="N"))/D370,"—")</f>
        <v>—</v>
      </c>
      <c r="J370" t="str" cm="1">
        <f t="array" ref="J370">IFERROR(_xlfn.MODE.SNGL(_xlfn._xlws.FILTER(nNOTA,(nCUENTA=1)*(nCURSO=A370)*(nASIG=B370)*(nAPTO="S"))),"—")</f>
        <v>—</v>
      </c>
      <c r="K370" t="str" cm="1">
        <f t="array" ref="K370">IFERROR(_xlfn.MODE.SNGL(_xlfn._xlws.FILTER(nNOTA,(nCUENTA=1)*(nCURSO=A370)*(nASIG=B370)*(nAPTO="N"))),"—")</f>
        <v>—</v>
      </c>
      <c r="L370">
        <f>SUMPRODUCT((nCUENTA=1)*(nCURSO=A370)*(nASIG=B370)*(nNOTA=1))</f>
        <v>0</v>
      </c>
      <c r="M370">
        <f>SUMPRODUCT((nCUENTA=1)*(nCURSO=A370)*(nASIG=B370)*(nNOTA=2))</f>
        <v>0</v>
      </c>
      <c r="N370">
        <f>SUMPRODUCT((nCUENTA=1)*(nCURSO=A370)*(nASIG=B370)*(nNOTA=3))</f>
        <v>0</v>
      </c>
      <c r="O370">
        <f>SUMPRODUCT((nCUENTA=1)*(nCURSO=A370)*(nASIG=B370)*(nNOTA=4))</f>
        <v>0</v>
      </c>
      <c r="P370">
        <f>SUMPRODUCT((nCUENTA=1)*(nCURSO=A370)*(nASIG=B370)*(nNOTA=5))</f>
        <v>0</v>
      </c>
      <c r="Q370">
        <f>SUMPRODUCT((nCUENTA=1)*(nCURSO=A370)*(nASIG=B370)*(nNOTA=6))</f>
        <v>0</v>
      </c>
      <c r="R370">
        <f>SUMPRODUCT((nCUENTA=1)*(nCURSO=A370)*(nASIG=B370)*(nNOTA=7))</f>
        <v>0</v>
      </c>
      <c r="S370">
        <f>SUMPRODUCT((nCUENTA=1)*(nCURSO=A370)*(nASIG=B370)*(nNOTA=8))</f>
        <v>0</v>
      </c>
      <c r="T370">
        <f>SUMPRODUCT((nCUENTA=1)*(nCURSO=A370)*(nASIG=B370)*(nNOTA=9))</f>
        <v>0</v>
      </c>
      <c r="U370">
        <f>SUMPRODUCT((nCUENTA=1)*(nCURSO=A370)*(nASIG=B370)*(nNOTA=10))</f>
        <v>0</v>
      </c>
    </row>
    <row r="371">
      <c r="A371" t="inlineStr">
        <is>
          <t xml:space="preserve">5EPM</t>
        </is>
      </c>
      <c r="B371" cm="1">
        <f t="array" ref="B371">IFERROR(INDEX(_xlfn._xlws.FILTER(CONFIG_ASIGNATURAS!$B$2:$B$91,(CONFIG_ASIGNATURAS!$G$2:$G$91="Sí")*ISNUMBER(SEARCH("5EPM",CONFIG_ASIGNATURAS!$C$2:$C$91))),48),"")</f>
      </c>
      <c r="C371">
        <f>IF(B371="","",IFERROR(VLOOKUP(B371,CONFIG_ASIGNATURAS!$B$2:$D$91,3,FALSE()),"Asignatura"))</f>
      </c>
      <c r="D371">
        <f>SUMPRODUCT((nCUENTA=1)*(nCURSO=A371)*(nASIG=B371))</f>
        <v>0</v>
      </c>
      <c r="E371" s="10" t="str">
        <f>IFERROR(SUMPRODUCT((nCUENTA=1)*(nCURSO=A371)*(nASIG=B371)*(nNOTA))/D371,"—")</f>
        <v>—</v>
      </c>
      <c r="F371" s="10" t="str" cm="1">
        <f t="array" ref="F371">IFERROR(_xlfn.STDEV.P(_xlfn._xlws.FILTER(nNOTA,(nCUENTA=1)*(nCURSO=A371)*(nASIG=B371))),"—")</f>
        <v>—</v>
      </c>
      <c r="G371" t="str" cm="1">
        <f t="array" ref="G371">IFERROR(_xlfn.MODE.SNGL(_xlfn._xlws.FILTER(nNOTA,(nCUENTA=1)*(nCURSO=A371)*(nASIG=B371))),"—")</f>
        <v>—</v>
      </c>
      <c r="H371" s="11" t="str">
        <f>IFERROR(SUMPRODUCT((nCUENTA=1)*(nCURSO=A371)*(nASIG=B371)*(nAPTO="S"))/D371,"—")</f>
        <v>—</v>
      </c>
      <c r="I371" s="11" t="str">
        <f>IFERROR(SUMPRODUCT((nCUENTA=1)*(nCURSO=A371)*(nASIG=B371)*(nAPTO="N"))/D371,"—")</f>
        <v>—</v>
      </c>
      <c r="J371" t="str" cm="1">
        <f t="array" ref="J371">IFERROR(_xlfn.MODE.SNGL(_xlfn._xlws.FILTER(nNOTA,(nCUENTA=1)*(nCURSO=A371)*(nASIG=B371)*(nAPTO="S"))),"—")</f>
        <v>—</v>
      </c>
      <c r="K371" t="str" cm="1">
        <f t="array" ref="K371">IFERROR(_xlfn.MODE.SNGL(_xlfn._xlws.FILTER(nNOTA,(nCUENTA=1)*(nCURSO=A371)*(nASIG=B371)*(nAPTO="N"))),"—")</f>
        <v>—</v>
      </c>
      <c r="L371">
        <f>SUMPRODUCT((nCUENTA=1)*(nCURSO=A371)*(nASIG=B371)*(nNOTA=1))</f>
        <v>0</v>
      </c>
      <c r="M371">
        <f>SUMPRODUCT((nCUENTA=1)*(nCURSO=A371)*(nASIG=B371)*(nNOTA=2))</f>
        <v>0</v>
      </c>
      <c r="N371">
        <f>SUMPRODUCT((nCUENTA=1)*(nCURSO=A371)*(nASIG=B371)*(nNOTA=3))</f>
        <v>0</v>
      </c>
      <c r="O371">
        <f>SUMPRODUCT((nCUENTA=1)*(nCURSO=A371)*(nASIG=B371)*(nNOTA=4))</f>
        <v>0</v>
      </c>
      <c r="P371">
        <f>SUMPRODUCT((nCUENTA=1)*(nCURSO=A371)*(nASIG=B371)*(nNOTA=5))</f>
        <v>0</v>
      </c>
      <c r="Q371">
        <f>SUMPRODUCT((nCUENTA=1)*(nCURSO=A371)*(nASIG=B371)*(nNOTA=6))</f>
        <v>0</v>
      </c>
      <c r="R371">
        <f>SUMPRODUCT((nCUENTA=1)*(nCURSO=A371)*(nASIG=B371)*(nNOTA=7))</f>
        <v>0</v>
      </c>
      <c r="S371">
        <f>SUMPRODUCT((nCUENTA=1)*(nCURSO=A371)*(nASIG=B371)*(nNOTA=8))</f>
        <v>0</v>
      </c>
      <c r="T371">
        <f>SUMPRODUCT((nCUENTA=1)*(nCURSO=A371)*(nASIG=B371)*(nNOTA=9))</f>
        <v>0</v>
      </c>
      <c r="U371">
        <f>SUMPRODUCT((nCUENTA=1)*(nCURSO=A371)*(nASIG=B371)*(nNOTA=10))</f>
        <v>0</v>
      </c>
    </row>
    <row r="372">
      <c r="A372" t="inlineStr">
        <is>
          <t xml:space="preserve">5EPM</t>
        </is>
      </c>
      <c r="B372" cm="1">
        <f t="array" ref="B372">IFERROR(INDEX(_xlfn._xlws.FILTER(CONFIG_ASIGNATURAS!$B$2:$B$91,(CONFIG_ASIGNATURAS!$G$2:$G$91="Sí")*ISNUMBER(SEARCH("5EPM",CONFIG_ASIGNATURAS!$C$2:$C$91))),49),"")</f>
      </c>
      <c r="C372">
        <f>IF(B372="","",IFERROR(VLOOKUP(B372,CONFIG_ASIGNATURAS!$B$2:$D$91,3,FALSE()),"Asignatura"))</f>
      </c>
      <c r="D372">
        <f>SUMPRODUCT((nCUENTA=1)*(nCURSO=A372)*(nASIG=B372))</f>
        <v>0</v>
      </c>
      <c r="E372" s="10" t="str">
        <f>IFERROR(SUMPRODUCT((nCUENTA=1)*(nCURSO=A372)*(nASIG=B372)*(nNOTA))/D372,"—")</f>
        <v>—</v>
      </c>
      <c r="F372" s="10" t="str" cm="1">
        <f t="array" ref="F372">IFERROR(_xlfn.STDEV.P(_xlfn._xlws.FILTER(nNOTA,(nCUENTA=1)*(nCURSO=A372)*(nASIG=B372))),"—")</f>
        <v>—</v>
      </c>
      <c r="G372" t="str" cm="1">
        <f t="array" ref="G372">IFERROR(_xlfn.MODE.SNGL(_xlfn._xlws.FILTER(nNOTA,(nCUENTA=1)*(nCURSO=A372)*(nASIG=B372))),"—")</f>
        <v>—</v>
      </c>
      <c r="H372" s="11" t="str">
        <f>IFERROR(SUMPRODUCT((nCUENTA=1)*(nCURSO=A372)*(nASIG=B372)*(nAPTO="S"))/D372,"—")</f>
        <v>—</v>
      </c>
      <c r="I372" s="11" t="str">
        <f>IFERROR(SUMPRODUCT((nCUENTA=1)*(nCURSO=A372)*(nASIG=B372)*(nAPTO="N"))/D372,"—")</f>
        <v>—</v>
      </c>
      <c r="J372" t="str" cm="1">
        <f t="array" ref="J372">IFERROR(_xlfn.MODE.SNGL(_xlfn._xlws.FILTER(nNOTA,(nCUENTA=1)*(nCURSO=A372)*(nASIG=B372)*(nAPTO="S"))),"—")</f>
        <v>—</v>
      </c>
      <c r="K372" t="str" cm="1">
        <f t="array" ref="K372">IFERROR(_xlfn.MODE.SNGL(_xlfn._xlws.FILTER(nNOTA,(nCUENTA=1)*(nCURSO=A372)*(nASIG=B372)*(nAPTO="N"))),"—")</f>
        <v>—</v>
      </c>
      <c r="L372">
        <f>SUMPRODUCT((nCUENTA=1)*(nCURSO=A372)*(nASIG=B372)*(nNOTA=1))</f>
        <v>0</v>
      </c>
      <c r="M372">
        <f>SUMPRODUCT((nCUENTA=1)*(nCURSO=A372)*(nASIG=B372)*(nNOTA=2))</f>
        <v>0</v>
      </c>
      <c r="N372">
        <f>SUMPRODUCT((nCUENTA=1)*(nCURSO=A372)*(nASIG=B372)*(nNOTA=3))</f>
        <v>0</v>
      </c>
      <c r="O372">
        <f>SUMPRODUCT((nCUENTA=1)*(nCURSO=A372)*(nASIG=B372)*(nNOTA=4))</f>
        <v>0</v>
      </c>
      <c r="P372">
        <f>SUMPRODUCT((nCUENTA=1)*(nCURSO=A372)*(nASIG=B372)*(nNOTA=5))</f>
        <v>0</v>
      </c>
      <c r="Q372">
        <f>SUMPRODUCT((nCUENTA=1)*(nCURSO=A372)*(nASIG=B372)*(nNOTA=6))</f>
        <v>0</v>
      </c>
      <c r="R372">
        <f>SUMPRODUCT((nCUENTA=1)*(nCURSO=A372)*(nASIG=B372)*(nNOTA=7))</f>
        <v>0</v>
      </c>
      <c r="S372">
        <f>SUMPRODUCT((nCUENTA=1)*(nCURSO=A372)*(nASIG=B372)*(nNOTA=8))</f>
        <v>0</v>
      </c>
      <c r="T372">
        <f>SUMPRODUCT((nCUENTA=1)*(nCURSO=A372)*(nASIG=B372)*(nNOTA=9))</f>
        <v>0</v>
      </c>
      <c r="U372">
        <f>SUMPRODUCT((nCUENTA=1)*(nCURSO=A372)*(nASIG=B372)*(nNOTA=10))</f>
        <v>0</v>
      </c>
    </row>
    <row r="373">
      <c r="A373" t="inlineStr">
        <is>
          <t xml:space="preserve">5EPM</t>
        </is>
      </c>
      <c r="B373" cm="1">
        <f t="array" ref="B373">IFERROR(INDEX(_xlfn._xlws.FILTER(CONFIG_ASIGNATURAS!$B$2:$B$91,(CONFIG_ASIGNATURAS!$G$2:$G$91="Sí")*ISNUMBER(SEARCH("5EPM",CONFIG_ASIGNATURAS!$C$2:$C$91))),50),"")</f>
      </c>
      <c r="C373">
        <f>IF(B373="","",IFERROR(VLOOKUP(B373,CONFIG_ASIGNATURAS!$B$2:$D$91,3,FALSE()),"Asignatura"))</f>
      </c>
      <c r="D373">
        <f>SUMPRODUCT((nCUENTA=1)*(nCURSO=A373)*(nASIG=B373))</f>
        <v>0</v>
      </c>
      <c r="E373" s="10" t="str">
        <f>IFERROR(SUMPRODUCT((nCUENTA=1)*(nCURSO=A373)*(nASIG=B373)*(nNOTA))/D373,"—")</f>
        <v>—</v>
      </c>
      <c r="F373" s="10" t="str" cm="1">
        <f t="array" ref="F373">IFERROR(_xlfn.STDEV.P(_xlfn._xlws.FILTER(nNOTA,(nCUENTA=1)*(nCURSO=A373)*(nASIG=B373))),"—")</f>
        <v>—</v>
      </c>
      <c r="G373" t="str" cm="1">
        <f t="array" ref="G373">IFERROR(_xlfn.MODE.SNGL(_xlfn._xlws.FILTER(nNOTA,(nCUENTA=1)*(nCURSO=A373)*(nASIG=B373))),"—")</f>
        <v>—</v>
      </c>
      <c r="H373" s="11" t="str">
        <f>IFERROR(SUMPRODUCT((nCUENTA=1)*(nCURSO=A373)*(nASIG=B373)*(nAPTO="S"))/D373,"—")</f>
        <v>—</v>
      </c>
      <c r="I373" s="11" t="str">
        <f>IFERROR(SUMPRODUCT((nCUENTA=1)*(nCURSO=A373)*(nASIG=B373)*(nAPTO="N"))/D373,"—")</f>
        <v>—</v>
      </c>
      <c r="J373" t="str" cm="1">
        <f t="array" ref="J373">IFERROR(_xlfn.MODE.SNGL(_xlfn._xlws.FILTER(nNOTA,(nCUENTA=1)*(nCURSO=A373)*(nASIG=B373)*(nAPTO="S"))),"—")</f>
        <v>—</v>
      </c>
      <c r="K373" t="str" cm="1">
        <f t="array" ref="K373">IFERROR(_xlfn.MODE.SNGL(_xlfn._xlws.FILTER(nNOTA,(nCUENTA=1)*(nCURSO=A373)*(nASIG=B373)*(nAPTO="N"))),"—")</f>
        <v>—</v>
      </c>
      <c r="L373">
        <f>SUMPRODUCT((nCUENTA=1)*(nCURSO=A373)*(nASIG=B373)*(nNOTA=1))</f>
        <v>0</v>
      </c>
      <c r="M373">
        <f>SUMPRODUCT((nCUENTA=1)*(nCURSO=A373)*(nASIG=B373)*(nNOTA=2))</f>
        <v>0</v>
      </c>
      <c r="N373">
        <f>SUMPRODUCT((nCUENTA=1)*(nCURSO=A373)*(nASIG=B373)*(nNOTA=3))</f>
        <v>0</v>
      </c>
      <c r="O373">
        <f>SUMPRODUCT((nCUENTA=1)*(nCURSO=A373)*(nASIG=B373)*(nNOTA=4))</f>
        <v>0</v>
      </c>
      <c r="P373">
        <f>SUMPRODUCT((nCUENTA=1)*(nCURSO=A373)*(nASIG=B373)*(nNOTA=5))</f>
        <v>0</v>
      </c>
      <c r="Q373">
        <f>SUMPRODUCT((nCUENTA=1)*(nCURSO=A373)*(nASIG=B373)*(nNOTA=6))</f>
        <v>0</v>
      </c>
      <c r="R373">
        <f>SUMPRODUCT((nCUENTA=1)*(nCURSO=A373)*(nASIG=B373)*(nNOTA=7))</f>
        <v>0</v>
      </c>
      <c r="S373">
        <f>SUMPRODUCT((nCUENTA=1)*(nCURSO=A373)*(nASIG=B373)*(nNOTA=8))</f>
        <v>0</v>
      </c>
      <c r="T373">
        <f>SUMPRODUCT((nCUENTA=1)*(nCURSO=A373)*(nASIG=B373)*(nNOTA=9))</f>
        <v>0</v>
      </c>
      <c r="U373">
        <f>SUMPRODUCT((nCUENTA=1)*(nCURSO=A373)*(nASIG=B373)*(nNOTA=10))</f>
        <v>0</v>
      </c>
    </row>
    <row r="374">
      <c r="A374" t="inlineStr">
        <is>
          <t xml:space="preserve">5EPM</t>
        </is>
      </c>
      <c r="B374" cm="1">
        <f t="array" ref="B374">IFERROR(INDEX(_xlfn._xlws.FILTER(CONFIG_ASIGNATURAS!$B$2:$B$91,(CONFIG_ASIGNATURAS!$G$2:$G$91="Sí")*ISNUMBER(SEARCH("5EPM",CONFIG_ASIGNATURAS!$C$2:$C$91))),51),"")</f>
      </c>
      <c r="C374">
        <f>IF(B374="","",IFERROR(VLOOKUP(B374,CONFIG_ASIGNATURAS!$B$2:$D$91,3,FALSE()),"Asignatura"))</f>
      </c>
      <c r="D374">
        <f>SUMPRODUCT((nCUENTA=1)*(nCURSO=A374)*(nASIG=B374))</f>
        <v>0</v>
      </c>
      <c r="E374" s="10" t="str">
        <f>IFERROR(SUMPRODUCT((nCUENTA=1)*(nCURSO=A374)*(nASIG=B374)*(nNOTA))/D374,"—")</f>
        <v>—</v>
      </c>
      <c r="F374" s="10" t="str" cm="1">
        <f t="array" ref="F374">IFERROR(_xlfn.STDEV.P(_xlfn._xlws.FILTER(nNOTA,(nCUENTA=1)*(nCURSO=A374)*(nASIG=B374))),"—")</f>
        <v>—</v>
      </c>
      <c r="G374" t="str" cm="1">
        <f t="array" ref="G374">IFERROR(_xlfn.MODE.SNGL(_xlfn._xlws.FILTER(nNOTA,(nCUENTA=1)*(nCURSO=A374)*(nASIG=B374))),"—")</f>
        <v>—</v>
      </c>
      <c r="H374" s="11" t="str">
        <f>IFERROR(SUMPRODUCT((nCUENTA=1)*(nCURSO=A374)*(nASIG=B374)*(nAPTO="S"))/D374,"—")</f>
        <v>—</v>
      </c>
      <c r="I374" s="11" t="str">
        <f>IFERROR(SUMPRODUCT((nCUENTA=1)*(nCURSO=A374)*(nASIG=B374)*(nAPTO="N"))/D374,"—")</f>
        <v>—</v>
      </c>
      <c r="J374" t="str" cm="1">
        <f t="array" ref="J374">IFERROR(_xlfn.MODE.SNGL(_xlfn._xlws.FILTER(nNOTA,(nCUENTA=1)*(nCURSO=A374)*(nASIG=B374)*(nAPTO="S"))),"—")</f>
        <v>—</v>
      </c>
      <c r="K374" t="str" cm="1">
        <f t="array" ref="K374">IFERROR(_xlfn.MODE.SNGL(_xlfn._xlws.FILTER(nNOTA,(nCUENTA=1)*(nCURSO=A374)*(nASIG=B374)*(nAPTO="N"))),"—")</f>
        <v>—</v>
      </c>
      <c r="L374">
        <f>SUMPRODUCT((nCUENTA=1)*(nCURSO=A374)*(nASIG=B374)*(nNOTA=1))</f>
        <v>0</v>
      </c>
      <c r="M374">
        <f>SUMPRODUCT((nCUENTA=1)*(nCURSO=A374)*(nASIG=B374)*(nNOTA=2))</f>
        <v>0</v>
      </c>
      <c r="N374">
        <f>SUMPRODUCT((nCUENTA=1)*(nCURSO=A374)*(nASIG=B374)*(nNOTA=3))</f>
        <v>0</v>
      </c>
      <c r="O374">
        <f>SUMPRODUCT((nCUENTA=1)*(nCURSO=A374)*(nASIG=B374)*(nNOTA=4))</f>
        <v>0</v>
      </c>
      <c r="P374">
        <f>SUMPRODUCT((nCUENTA=1)*(nCURSO=A374)*(nASIG=B374)*(nNOTA=5))</f>
        <v>0</v>
      </c>
      <c r="Q374">
        <f>SUMPRODUCT((nCUENTA=1)*(nCURSO=A374)*(nASIG=B374)*(nNOTA=6))</f>
        <v>0</v>
      </c>
      <c r="R374">
        <f>SUMPRODUCT((nCUENTA=1)*(nCURSO=A374)*(nASIG=B374)*(nNOTA=7))</f>
        <v>0</v>
      </c>
      <c r="S374">
        <f>SUMPRODUCT((nCUENTA=1)*(nCURSO=A374)*(nASIG=B374)*(nNOTA=8))</f>
        <v>0</v>
      </c>
      <c r="T374">
        <f>SUMPRODUCT((nCUENTA=1)*(nCURSO=A374)*(nASIG=B374)*(nNOTA=9))</f>
        <v>0</v>
      </c>
      <c r="U374">
        <f>SUMPRODUCT((nCUENTA=1)*(nCURSO=A374)*(nASIG=B374)*(nNOTA=10))</f>
        <v>0</v>
      </c>
    </row>
    <row r="375">
      <c r="A375" t="inlineStr">
        <is>
          <t xml:space="preserve">5EPM</t>
        </is>
      </c>
      <c r="B375" cm="1">
        <f t="array" ref="B375">IFERROR(INDEX(_xlfn._xlws.FILTER(CONFIG_ASIGNATURAS!$B$2:$B$91,(CONFIG_ASIGNATURAS!$G$2:$G$91="Sí")*ISNUMBER(SEARCH("5EPM",CONFIG_ASIGNATURAS!$C$2:$C$91))),52),"")</f>
      </c>
      <c r="C375">
        <f>IF(B375="","",IFERROR(VLOOKUP(B375,CONFIG_ASIGNATURAS!$B$2:$D$91,3,FALSE()),"Asignatura"))</f>
      </c>
      <c r="D375">
        <f>SUMPRODUCT((nCUENTA=1)*(nCURSO=A375)*(nASIG=B375))</f>
        <v>0</v>
      </c>
      <c r="E375" s="10" t="str">
        <f>IFERROR(SUMPRODUCT((nCUENTA=1)*(nCURSO=A375)*(nASIG=B375)*(nNOTA))/D375,"—")</f>
        <v>—</v>
      </c>
      <c r="F375" s="10" t="str" cm="1">
        <f t="array" ref="F375">IFERROR(_xlfn.STDEV.P(_xlfn._xlws.FILTER(nNOTA,(nCUENTA=1)*(nCURSO=A375)*(nASIG=B375))),"—")</f>
        <v>—</v>
      </c>
      <c r="G375" t="str" cm="1">
        <f t="array" ref="G375">IFERROR(_xlfn.MODE.SNGL(_xlfn._xlws.FILTER(nNOTA,(nCUENTA=1)*(nCURSO=A375)*(nASIG=B375))),"—")</f>
        <v>—</v>
      </c>
      <c r="H375" s="11" t="str">
        <f>IFERROR(SUMPRODUCT((nCUENTA=1)*(nCURSO=A375)*(nASIG=B375)*(nAPTO="S"))/D375,"—")</f>
        <v>—</v>
      </c>
      <c r="I375" s="11" t="str">
        <f>IFERROR(SUMPRODUCT((nCUENTA=1)*(nCURSO=A375)*(nASIG=B375)*(nAPTO="N"))/D375,"—")</f>
        <v>—</v>
      </c>
      <c r="J375" t="str" cm="1">
        <f t="array" ref="J375">IFERROR(_xlfn.MODE.SNGL(_xlfn._xlws.FILTER(nNOTA,(nCUENTA=1)*(nCURSO=A375)*(nASIG=B375)*(nAPTO="S"))),"—")</f>
        <v>—</v>
      </c>
      <c r="K375" t="str" cm="1">
        <f t="array" ref="K375">IFERROR(_xlfn.MODE.SNGL(_xlfn._xlws.FILTER(nNOTA,(nCUENTA=1)*(nCURSO=A375)*(nASIG=B375)*(nAPTO="N"))),"—")</f>
        <v>—</v>
      </c>
      <c r="L375">
        <f>SUMPRODUCT((nCUENTA=1)*(nCURSO=A375)*(nASIG=B375)*(nNOTA=1))</f>
        <v>0</v>
      </c>
      <c r="M375">
        <f>SUMPRODUCT((nCUENTA=1)*(nCURSO=A375)*(nASIG=B375)*(nNOTA=2))</f>
        <v>0</v>
      </c>
      <c r="N375">
        <f>SUMPRODUCT((nCUENTA=1)*(nCURSO=A375)*(nASIG=B375)*(nNOTA=3))</f>
        <v>0</v>
      </c>
      <c r="O375">
        <f>SUMPRODUCT((nCUENTA=1)*(nCURSO=A375)*(nASIG=B375)*(nNOTA=4))</f>
        <v>0</v>
      </c>
      <c r="P375">
        <f>SUMPRODUCT((nCUENTA=1)*(nCURSO=A375)*(nASIG=B375)*(nNOTA=5))</f>
        <v>0</v>
      </c>
      <c r="Q375">
        <f>SUMPRODUCT((nCUENTA=1)*(nCURSO=A375)*(nASIG=B375)*(nNOTA=6))</f>
        <v>0</v>
      </c>
      <c r="R375">
        <f>SUMPRODUCT((nCUENTA=1)*(nCURSO=A375)*(nASIG=B375)*(nNOTA=7))</f>
        <v>0</v>
      </c>
      <c r="S375">
        <f>SUMPRODUCT((nCUENTA=1)*(nCURSO=A375)*(nASIG=B375)*(nNOTA=8))</f>
        <v>0</v>
      </c>
      <c r="T375">
        <f>SUMPRODUCT((nCUENTA=1)*(nCURSO=A375)*(nASIG=B375)*(nNOTA=9))</f>
        <v>0</v>
      </c>
      <c r="U375">
        <f>SUMPRODUCT((nCUENTA=1)*(nCURSO=A375)*(nASIG=B375)*(nNOTA=10))</f>
        <v>0</v>
      </c>
    </row>
    <row r="376">
      <c r="A376" t="inlineStr">
        <is>
          <t xml:space="preserve">5EPM</t>
        </is>
      </c>
      <c r="B376" cm="1">
        <f t="array" ref="B376">IFERROR(INDEX(_xlfn._xlws.FILTER(CONFIG_ASIGNATURAS!$B$2:$B$91,(CONFIG_ASIGNATURAS!$G$2:$G$91="Sí")*ISNUMBER(SEARCH("5EPM",CONFIG_ASIGNATURAS!$C$2:$C$91))),53),"")</f>
      </c>
      <c r="C376">
        <f>IF(B376="","",IFERROR(VLOOKUP(B376,CONFIG_ASIGNATURAS!$B$2:$D$91,3,FALSE()),"Asignatura"))</f>
      </c>
      <c r="D376">
        <f>SUMPRODUCT((nCUENTA=1)*(nCURSO=A376)*(nASIG=B376))</f>
        <v>0</v>
      </c>
      <c r="E376" s="10" t="str">
        <f>IFERROR(SUMPRODUCT((nCUENTA=1)*(nCURSO=A376)*(nASIG=B376)*(nNOTA))/D376,"—")</f>
        <v>—</v>
      </c>
      <c r="F376" s="10" t="str" cm="1">
        <f t="array" ref="F376">IFERROR(_xlfn.STDEV.P(_xlfn._xlws.FILTER(nNOTA,(nCUENTA=1)*(nCURSO=A376)*(nASIG=B376))),"—")</f>
        <v>—</v>
      </c>
      <c r="G376" t="str" cm="1">
        <f t="array" ref="G376">IFERROR(_xlfn.MODE.SNGL(_xlfn._xlws.FILTER(nNOTA,(nCUENTA=1)*(nCURSO=A376)*(nASIG=B376))),"—")</f>
        <v>—</v>
      </c>
      <c r="H376" s="11" t="str">
        <f>IFERROR(SUMPRODUCT((nCUENTA=1)*(nCURSO=A376)*(nASIG=B376)*(nAPTO="S"))/D376,"—")</f>
        <v>—</v>
      </c>
      <c r="I376" s="11" t="str">
        <f>IFERROR(SUMPRODUCT((nCUENTA=1)*(nCURSO=A376)*(nASIG=B376)*(nAPTO="N"))/D376,"—")</f>
        <v>—</v>
      </c>
      <c r="J376" t="str" cm="1">
        <f t="array" ref="J376">IFERROR(_xlfn.MODE.SNGL(_xlfn._xlws.FILTER(nNOTA,(nCUENTA=1)*(nCURSO=A376)*(nASIG=B376)*(nAPTO="S"))),"—")</f>
        <v>—</v>
      </c>
      <c r="K376" t="str" cm="1">
        <f t="array" ref="K376">IFERROR(_xlfn.MODE.SNGL(_xlfn._xlws.FILTER(nNOTA,(nCUENTA=1)*(nCURSO=A376)*(nASIG=B376)*(nAPTO="N"))),"—")</f>
        <v>—</v>
      </c>
      <c r="L376">
        <f>SUMPRODUCT((nCUENTA=1)*(nCURSO=A376)*(nASIG=B376)*(nNOTA=1))</f>
        <v>0</v>
      </c>
      <c r="M376">
        <f>SUMPRODUCT((nCUENTA=1)*(nCURSO=A376)*(nASIG=B376)*(nNOTA=2))</f>
        <v>0</v>
      </c>
      <c r="N376">
        <f>SUMPRODUCT((nCUENTA=1)*(nCURSO=A376)*(nASIG=B376)*(nNOTA=3))</f>
        <v>0</v>
      </c>
      <c r="O376">
        <f>SUMPRODUCT((nCUENTA=1)*(nCURSO=A376)*(nASIG=B376)*(nNOTA=4))</f>
        <v>0</v>
      </c>
      <c r="P376">
        <f>SUMPRODUCT((nCUENTA=1)*(nCURSO=A376)*(nASIG=B376)*(nNOTA=5))</f>
        <v>0</v>
      </c>
      <c r="Q376">
        <f>SUMPRODUCT((nCUENTA=1)*(nCURSO=A376)*(nASIG=B376)*(nNOTA=6))</f>
        <v>0</v>
      </c>
      <c r="R376">
        <f>SUMPRODUCT((nCUENTA=1)*(nCURSO=A376)*(nASIG=B376)*(nNOTA=7))</f>
        <v>0</v>
      </c>
      <c r="S376">
        <f>SUMPRODUCT((nCUENTA=1)*(nCURSO=A376)*(nASIG=B376)*(nNOTA=8))</f>
        <v>0</v>
      </c>
      <c r="T376">
        <f>SUMPRODUCT((nCUENTA=1)*(nCURSO=A376)*(nASIG=B376)*(nNOTA=9))</f>
        <v>0</v>
      </c>
      <c r="U376">
        <f>SUMPRODUCT((nCUENTA=1)*(nCURSO=A376)*(nASIG=B376)*(nNOTA=10))</f>
        <v>0</v>
      </c>
    </row>
    <row r="377">
      <c r="A377" t="inlineStr">
        <is>
          <t xml:space="preserve">5EPM</t>
        </is>
      </c>
      <c r="B377" cm="1">
        <f t="array" ref="B377">IFERROR(INDEX(_xlfn._xlws.FILTER(CONFIG_ASIGNATURAS!$B$2:$B$91,(CONFIG_ASIGNATURAS!$G$2:$G$91="Sí")*ISNUMBER(SEARCH("5EPM",CONFIG_ASIGNATURAS!$C$2:$C$91))),54),"")</f>
      </c>
      <c r="C377">
        <f>IF(B377="","",IFERROR(VLOOKUP(B377,CONFIG_ASIGNATURAS!$B$2:$D$91,3,FALSE()),"Asignatura"))</f>
      </c>
      <c r="D377">
        <f>SUMPRODUCT((nCUENTA=1)*(nCURSO=A377)*(nASIG=B377))</f>
        <v>0</v>
      </c>
      <c r="E377" s="10" t="str">
        <f>IFERROR(SUMPRODUCT((nCUENTA=1)*(nCURSO=A377)*(nASIG=B377)*(nNOTA))/D377,"—")</f>
        <v>—</v>
      </c>
      <c r="F377" s="10" t="str" cm="1">
        <f t="array" ref="F377">IFERROR(_xlfn.STDEV.P(_xlfn._xlws.FILTER(nNOTA,(nCUENTA=1)*(nCURSO=A377)*(nASIG=B377))),"—")</f>
        <v>—</v>
      </c>
      <c r="G377" t="str" cm="1">
        <f t="array" ref="G377">IFERROR(_xlfn.MODE.SNGL(_xlfn._xlws.FILTER(nNOTA,(nCUENTA=1)*(nCURSO=A377)*(nASIG=B377))),"—")</f>
        <v>—</v>
      </c>
      <c r="H377" s="11" t="str">
        <f>IFERROR(SUMPRODUCT((nCUENTA=1)*(nCURSO=A377)*(nASIG=B377)*(nAPTO="S"))/D377,"—")</f>
        <v>—</v>
      </c>
      <c r="I377" s="11" t="str">
        <f>IFERROR(SUMPRODUCT((nCUENTA=1)*(nCURSO=A377)*(nASIG=B377)*(nAPTO="N"))/D377,"—")</f>
        <v>—</v>
      </c>
      <c r="J377" t="str" cm="1">
        <f t="array" ref="J377">IFERROR(_xlfn.MODE.SNGL(_xlfn._xlws.FILTER(nNOTA,(nCUENTA=1)*(nCURSO=A377)*(nASIG=B377)*(nAPTO="S"))),"—")</f>
        <v>—</v>
      </c>
      <c r="K377" t="str" cm="1">
        <f t="array" ref="K377">IFERROR(_xlfn.MODE.SNGL(_xlfn._xlws.FILTER(nNOTA,(nCUENTA=1)*(nCURSO=A377)*(nASIG=B377)*(nAPTO="N"))),"—")</f>
        <v>—</v>
      </c>
      <c r="L377">
        <f>SUMPRODUCT((nCUENTA=1)*(nCURSO=A377)*(nASIG=B377)*(nNOTA=1))</f>
        <v>0</v>
      </c>
      <c r="M377">
        <f>SUMPRODUCT((nCUENTA=1)*(nCURSO=A377)*(nASIG=B377)*(nNOTA=2))</f>
        <v>0</v>
      </c>
      <c r="N377">
        <f>SUMPRODUCT((nCUENTA=1)*(nCURSO=A377)*(nASIG=B377)*(nNOTA=3))</f>
        <v>0</v>
      </c>
      <c r="O377">
        <f>SUMPRODUCT((nCUENTA=1)*(nCURSO=A377)*(nASIG=B377)*(nNOTA=4))</f>
        <v>0</v>
      </c>
      <c r="P377">
        <f>SUMPRODUCT((nCUENTA=1)*(nCURSO=A377)*(nASIG=B377)*(nNOTA=5))</f>
        <v>0</v>
      </c>
      <c r="Q377">
        <f>SUMPRODUCT((nCUENTA=1)*(nCURSO=A377)*(nASIG=B377)*(nNOTA=6))</f>
        <v>0</v>
      </c>
      <c r="R377">
        <f>SUMPRODUCT((nCUENTA=1)*(nCURSO=A377)*(nASIG=B377)*(nNOTA=7))</f>
        <v>0</v>
      </c>
      <c r="S377">
        <f>SUMPRODUCT((nCUENTA=1)*(nCURSO=A377)*(nASIG=B377)*(nNOTA=8))</f>
        <v>0</v>
      </c>
      <c r="T377">
        <f>SUMPRODUCT((nCUENTA=1)*(nCURSO=A377)*(nASIG=B377)*(nNOTA=9))</f>
        <v>0</v>
      </c>
      <c r="U377">
        <f>SUMPRODUCT((nCUENTA=1)*(nCURSO=A377)*(nASIG=B377)*(nNOTA=10))</f>
        <v>0</v>
      </c>
    </row>
    <row r="378">
      <c r="A378" t="inlineStr">
        <is>
          <t xml:space="preserve">5EPM</t>
        </is>
      </c>
      <c r="B378" cm="1">
        <f t="array" ref="B378">IFERROR(INDEX(_xlfn._xlws.FILTER(CONFIG_ASIGNATURAS!$B$2:$B$91,(CONFIG_ASIGNATURAS!$G$2:$G$91="Sí")*ISNUMBER(SEARCH("5EPM",CONFIG_ASIGNATURAS!$C$2:$C$91))),55),"")</f>
      </c>
      <c r="C378">
        <f>IF(B378="","",IFERROR(VLOOKUP(B378,CONFIG_ASIGNATURAS!$B$2:$D$91,3,FALSE()),"Asignatura"))</f>
      </c>
      <c r="D378">
        <f>SUMPRODUCT((nCUENTA=1)*(nCURSO=A378)*(nASIG=B378))</f>
        <v>0</v>
      </c>
      <c r="E378" s="10" t="str">
        <f>IFERROR(SUMPRODUCT((nCUENTA=1)*(nCURSO=A378)*(nASIG=B378)*(nNOTA))/D378,"—")</f>
        <v>—</v>
      </c>
      <c r="F378" s="10" t="str" cm="1">
        <f t="array" ref="F378">IFERROR(_xlfn.STDEV.P(_xlfn._xlws.FILTER(nNOTA,(nCUENTA=1)*(nCURSO=A378)*(nASIG=B378))),"—")</f>
        <v>—</v>
      </c>
      <c r="G378" t="str" cm="1">
        <f t="array" ref="G378">IFERROR(_xlfn.MODE.SNGL(_xlfn._xlws.FILTER(nNOTA,(nCUENTA=1)*(nCURSO=A378)*(nASIG=B378))),"—")</f>
        <v>—</v>
      </c>
      <c r="H378" s="11" t="str">
        <f>IFERROR(SUMPRODUCT((nCUENTA=1)*(nCURSO=A378)*(nASIG=B378)*(nAPTO="S"))/D378,"—")</f>
        <v>—</v>
      </c>
      <c r="I378" s="11" t="str">
        <f>IFERROR(SUMPRODUCT((nCUENTA=1)*(nCURSO=A378)*(nASIG=B378)*(nAPTO="N"))/D378,"—")</f>
        <v>—</v>
      </c>
      <c r="J378" t="str" cm="1">
        <f t="array" ref="J378">IFERROR(_xlfn.MODE.SNGL(_xlfn._xlws.FILTER(nNOTA,(nCUENTA=1)*(nCURSO=A378)*(nASIG=B378)*(nAPTO="S"))),"—")</f>
        <v>—</v>
      </c>
      <c r="K378" t="str" cm="1">
        <f t="array" ref="K378">IFERROR(_xlfn.MODE.SNGL(_xlfn._xlws.FILTER(nNOTA,(nCUENTA=1)*(nCURSO=A378)*(nASIG=B378)*(nAPTO="N"))),"—")</f>
        <v>—</v>
      </c>
      <c r="L378">
        <f>SUMPRODUCT((nCUENTA=1)*(nCURSO=A378)*(nASIG=B378)*(nNOTA=1))</f>
        <v>0</v>
      </c>
      <c r="M378">
        <f>SUMPRODUCT((nCUENTA=1)*(nCURSO=A378)*(nASIG=B378)*(nNOTA=2))</f>
        <v>0</v>
      </c>
      <c r="N378">
        <f>SUMPRODUCT((nCUENTA=1)*(nCURSO=A378)*(nASIG=B378)*(nNOTA=3))</f>
        <v>0</v>
      </c>
      <c r="O378">
        <f>SUMPRODUCT((nCUENTA=1)*(nCURSO=A378)*(nASIG=B378)*(nNOTA=4))</f>
        <v>0</v>
      </c>
      <c r="P378">
        <f>SUMPRODUCT((nCUENTA=1)*(nCURSO=A378)*(nASIG=B378)*(nNOTA=5))</f>
        <v>0</v>
      </c>
      <c r="Q378">
        <f>SUMPRODUCT((nCUENTA=1)*(nCURSO=A378)*(nASIG=B378)*(nNOTA=6))</f>
        <v>0</v>
      </c>
      <c r="R378">
        <f>SUMPRODUCT((nCUENTA=1)*(nCURSO=A378)*(nASIG=B378)*(nNOTA=7))</f>
        <v>0</v>
      </c>
      <c r="S378">
        <f>SUMPRODUCT((nCUENTA=1)*(nCURSO=A378)*(nASIG=B378)*(nNOTA=8))</f>
        <v>0</v>
      </c>
      <c r="T378">
        <f>SUMPRODUCT((nCUENTA=1)*(nCURSO=A378)*(nASIG=B378)*(nNOTA=9))</f>
        <v>0</v>
      </c>
      <c r="U378">
        <f>SUMPRODUCT((nCUENTA=1)*(nCURSO=A378)*(nASIG=B378)*(nNOTA=10))</f>
        <v>0</v>
      </c>
    </row>
    <row r="379">
      <c r="A379" t="inlineStr">
        <is>
          <t xml:space="preserve">5EPM</t>
        </is>
      </c>
      <c r="B379" cm="1">
        <f t="array" ref="B379">IFERROR(INDEX(_xlfn._xlws.FILTER(CONFIG_ASIGNATURAS!$B$2:$B$91,(CONFIG_ASIGNATURAS!$G$2:$G$91="Sí")*ISNUMBER(SEARCH("5EPM",CONFIG_ASIGNATURAS!$C$2:$C$91))),56),"")</f>
      </c>
      <c r="C379">
        <f>IF(B379="","",IFERROR(VLOOKUP(B379,CONFIG_ASIGNATURAS!$B$2:$D$91,3,FALSE()),"Asignatura"))</f>
      </c>
      <c r="D379">
        <f>SUMPRODUCT((nCUENTA=1)*(nCURSO=A379)*(nASIG=B379))</f>
        <v>0</v>
      </c>
      <c r="E379" s="10" t="str">
        <f>IFERROR(SUMPRODUCT((nCUENTA=1)*(nCURSO=A379)*(nASIG=B379)*(nNOTA))/D379,"—")</f>
        <v>—</v>
      </c>
      <c r="F379" s="10" t="str" cm="1">
        <f t="array" ref="F379">IFERROR(_xlfn.STDEV.P(_xlfn._xlws.FILTER(nNOTA,(nCUENTA=1)*(nCURSO=A379)*(nASIG=B379))),"—")</f>
        <v>—</v>
      </c>
      <c r="G379" t="str" cm="1">
        <f t="array" ref="G379">IFERROR(_xlfn.MODE.SNGL(_xlfn._xlws.FILTER(nNOTA,(nCUENTA=1)*(nCURSO=A379)*(nASIG=B379))),"—")</f>
        <v>—</v>
      </c>
      <c r="H379" s="11" t="str">
        <f>IFERROR(SUMPRODUCT((nCUENTA=1)*(nCURSO=A379)*(nASIG=B379)*(nAPTO="S"))/D379,"—")</f>
        <v>—</v>
      </c>
      <c r="I379" s="11" t="str">
        <f>IFERROR(SUMPRODUCT((nCUENTA=1)*(nCURSO=A379)*(nASIG=B379)*(nAPTO="N"))/D379,"—")</f>
        <v>—</v>
      </c>
      <c r="J379" t="str" cm="1">
        <f t="array" ref="J379">IFERROR(_xlfn.MODE.SNGL(_xlfn._xlws.FILTER(nNOTA,(nCUENTA=1)*(nCURSO=A379)*(nASIG=B379)*(nAPTO="S"))),"—")</f>
        <v>—</v>
      </c>
      <c r="K379" t="str" cm="1">
        <f t="array" ref="K379">IFERROR(_xlfn.MODE.SNGL(_xlfn._xlws.FILTER(nNOTA,(nCUENTA=1)*(nCURSO=A379)*(nASIG=B379)*(nAPTO="N"))),"—")</f>
        <v>—</v>
      </c>
      <c r="L379">
        <f>SUMPRODUCT((nCUENTA=1)*(nCURSO=A379)*(nASIG=B379)*(nNOTA=1))</f>
        <v>0</v>
      </c>
      <c r="M379">
        <f>SUMPRODUCT((nCUENTA=1)*(nCURSO=A379)*(nASIG=B379)*(nNOTA=2))</f>
        <v>0</v>
      </c>
      <c r="N379">
        <f>SUMPRODUCT((nCUENTA=1)*(nCURSO=A379)*(nASIG=B379)*(nNOTA=3))</f>
        <v>0</v>
      </c>
      <c r="O379">
        <f>SUMPRODUCT((nCUENTA=1)*(nCURSO=A379)*(nASIG=B379)*(nNOTA=4))</f>
        <v>0</v>
      </c>
      <c r="P379">
        <f>SUMPRODUCT((nCUENTA=1)*(nCURSO=A379)*(nASIG=B379)*(nNOTA=5))</f>
        <v>0</v>
      </c>
      <c r="Q379">
        <f>SUMPRODUCT((nCUENTA=1)*(nCURSO=A379)*(nASIG=B379)*(nNOTA=6))</f>
        <v>0</v>
      </c>
      <c r="R379">
        <f>SUMPRODUCT((nCUENTA=1)*(nCURSO=A379)*(nASIG=B379)*(nNOTA=7))</f>
        <v>0</v>
      </c>
      <c r="S379">
        <f>SUMPRODUCT((nCUENTA=1)*(nCURSO=A379)*(nASIG=B379)*(nNOTA=8))</f>
        <v>0</v>
      </c>
      <c r="T379">
        <f>SUMPRODUCT((nCUENTA=1)*(nCURSO=A379)*(nASIG=B379)*(nNOTA=9))</f>
        <v>0</v>
      </c>
      <c r="U379">
        <f>SUMPRODUCT((nCUENTA=1)*(nCURSO=A379)*(nASIG=B379)*(nNOTA=10))</f>
        <v>0</v>
      </c>
    </row>
    <row r="380">
      <c r="A380" t="inlineStr">
        <is>
          <t xml:space="preserve">5EPM</t>
        </is>
      </c>
      <c r="B380" cm="1">
        <f t="array" ref="B380">IFERROR(INDEX(_xlfn._xlws.FILTER(CONFIG_ASIGNATURAS!$B$2:$B$91,(CONFIG_ASIGNATURAS!$G$2:$G$91="Sí")*ISNUMBER(SEARCH("5EPM",CONFIG_ASIGNATURAS!$C$2:$C$91))),57),"")</f>
      </c>
      <c r="C380">
        <f>IF(B380="","",IFERROR(VLOOKUP(B380,CONFIG_ASIGNATURAS!$B$2:$D$91,3,FALSE()),"Asignatura"))</f>
      </c>
      <c r="D380">
        <f>SUMPRODUCT((nCUENTA=1)*(nCURSO=A380)*(nASIG=B380))</f>
        <v>0</v>
      </c>
      <c r="E380" s="10" t="str">
        <f>IFERROR(SUMPRODUCT((nCUENTA=1)*(nCURSO=A380)*(nASIG=B380)*(nNOTA))/D380,"—")</f>
        <v>—</v>
      </c>
      <c r="F380" s="10" t="str" cm="1">
        <f t="array" ref="F380">IFERROR(_xlfn.STDEV.P(_xlfn._xlws.FILTER(nNOTA,(nCUENTA=1)*(nCURSO=A380)*(nASIG=B380))),"—")</f>
        <v>—</v>
      </c>
      <c r="G380" t="str" cm="1">
        <f t="array" ref="G380">IFERROR(_xlfn.MODE.SNGL(_xlfn._xlws.FILTER(nNOTA,(nCUENTA=1)*(nCURSO=A380)*(nASIG=B380))),"—")</f>
        <v>—</v>
      </c>
      <c r="H380" s="11" t="str">
        <f>IFERROR(SUMPRODUCT((nCUENTA=1)*(nCURSO=A380)*(nASIG=B380)*(nAPTO="S"))/D380,"—")</f>
        <v>—</v>
      </c>
      <c r="I380" s="11" t="str">
        <f>IFERROR(SUMPRODUCT((nCUENTA=1)*(nCURSO=A380)*(nASIG=B380)*(nAPTO="N"))/D380,"—")</f>
        <v>—</v>
      </c>
      <c r="J380" t="str" cm="1">
        <f t="array" ref="J380">IFERROR(_xlfn.MODE.SNGL(_xlfn._xlws.FILTER(nNOTA,(nCUENTA=1)*(nCURSO=A380)*(nASIG=B380)*(nAPTO="S"))),"—")</f>
        <v>—</v>
      </c>
      <c r="K380" t="str" cm="1">
        <f t="array" ref="K380">IFERROR(_xlfn.MODE.SNGL(_xlfn._xlws.FILTER(nNOTA,(nCUENTA=1)*(nCURSO=A380)*(nASIG=B380)*(nAPTO="N"))),"—")</f>
        <v>—</v>
      </c>
      <c r="L380">
        <f>SUMPRODUCT((nCUENTA=1)*(nCURSO=A380)*(nASIG=B380)*(nNOTA=1))</f>
        <v>0</v>
      </c>
      <c r="M380">
        <f>SUMPRODUCT((nCUENTA=1)*(nCURSO=A380)*(nASIG=B380)*(nNOTA=2))</f>
        <v>0</v>
      </c>
      <c r="N380">
        <f>SUMPRODUCT((nCUENTA=1)*(nCURSO=A380)*(nASIG=B380)*(nNOTA=3))</f>
        <v>0</v>
      </c>
      <c r="O380">
        <f>SUMPRODUCT((nCUENTA=1)*(nCURSO=A380)*(nASIG=B380)*(nNOTA=4))</f>
        <v>0</v>
      </c>
      <c r="P380">
        <f>SUMPRODUCT((nCUENTA=1)*(nCURSO=A380)*(nASIG=B380)*(nNOTA=5))</f>
        <v>0</v>
      </c>
      <c r="Q380">
        <f>SUMPRODUCT((nCUENTA=1)*(nCURSO=A380)*(nASIG=B380)*(nNOTA=6))</f>
        <v>0</v>
      </c>
      <c r="R380">
        <f>SUMPRODUCT((nCUENTA=1)*(nCURSO=A380)*(nASIG=B380)*(nNOTA=7))</f>
        <v>0</v>
      </c>
      <c r="S380">
        <f>SUMPRODUCT((nCUENTA=1)*(nCURSO=A380)*(nASIG=B380)*(nNOTA=8))</f>
        <v>0</v>
      </c>
      <c r="T380">
        <f>SUMPRODUCT((nCUENTA=1)*(nCURSO=A380)*(nASIG=B380)*(nNOTA=9))</f>
        <v>0</v>
      </c>
      <c r="U380">
        <f>SUMPRODUCT((nCUENTA=1)*(nCURSO=A380)*(nASIG=B380)*(nNOTA=10))</f>
        <v>0</v>
      </c>
    </row>
    <row r="381">
      <c r="A381" t="inlineStr">
        <is>
          <t xml:space="preserve">5EPM</t>
        </is>
      </c>
      <c r="B381" cm="1">
        <f t="array" ref="B381">IFERROR(INDEX(_xlfn._xlws.FILTER(CONFIG_ASIGNATURAS!$B$2:$B$91,(CONFIG_ASIGNATURAS!$G$2:$G$91="Sí")*ISNUMBER(SEARCH("5EPM",CONFIG_ASIGNATURAS!$C$2:$C$91))),58),"")</f>
      </c>
      <c r="C381">
        <f>IF(B381="","",IFERROR(VLOOKUP(B381,CONFIG_ASIGNATURAS!$B$2:$D$91,3,FALSE()),"Asignatura"))</f>
      </c>
      <c r="D381">
        <f>SUMPRODUCT((nCUENTA=1)*(nCURSO=A381)*(nASIG=B381))</f>
        <v>0</v>
      </c>
      <c r="E381" s="10" t="str">
        <f>IFERROR(SUMPRODUCT((nCUENTA=1)*(nCURSO=A381)*(nASIG=B381)*(nNOTA))/D381,"—")</f>
        <v>—</v>
      </c>
      <c r="F381" s="10" t="str" cm="1">
        <f t="array" ref="F381">IFERROR(_xlfn.STDEV.P(_xlfn._xlws.FILTER(nNOTA,(nCUENTA=1)*(nCURSO=A381)*(nASIG=B381))),"—")</f>
        <v>—</v>
      </c>
      <c r="G381" t="str" cm="1">
        <f t="array" ref="G381">IFERROR(_xlfn.MODE.SNGL(_xlfn._xlws.FILTER(nNOTA,(nCUENTA=1)*(nCURSO=A381)*(nASIG=B381))),"—")</f>
        <v>—</v>
      </c>
      <c r="H381" s="11" t="str">
        <f>IFERROR(SUMPRODUCT((nCUENTA=1)*(nCURSO=A381)*(nASIG=B381)*(nAPTO="S"))/D381,"—")</f>
        <v>—</v>
      </c>
      <c r="I381" s="11" t="str">
        <f>IFERROR(SUMPRODUCT((nCUENTA=1)*(nCURSO=A381)*(nASIG=B381)*(nAPTO="N"))/D381,"—")</f>
        <v>—</v>
      </c>
      <c r="J381" t="str" cm="1">
        <f t="array" ref="J381">IFERROR(_xlfn.MODE.SNGL(_xlfn._xlws.FILTER(nNOTA,(nCUENTA=1)*(nCURSO=A381)*(nASIG=B381)*(nAPTO="S"))),"—")</f>
        <v>—</v>
      </c>
      <c r="K381" t="str" cm="1">
        <f t="array" ref="K381">IFERROR(_xlfn.MODE.SNGL(_xlfn._xlws.FILTER(nNOTA,(nCUENTA=1)*(nCURSO=A381)*(nASIG=B381)*(nAPTO="N"))),"—")</f>
        <v>—</v>
      </c>
      <c r="L381">
        <f>SUMPRODUCT((nCUENTA=1)*(nCURSO=A381)*(nASIG=B381)*(nNOTA=1))</f>
        <v>0</v>
      </c>
      <c r="M381">
        <f>SUMPRODUCT((nCUENTA=1)*(nCURSO=A381)*(nASIG=B381)*(nNOTA=2))</f>
        <v>0</v>
      </c>
      <c r="N381">
        <f>SUMPRODUCT((nCUENTA=1)*(nCURSO=A381)*(nASIG=B381)*(nNOTA=3))</f>
        <v>0</v>
      </c>
      <c r="O381">
        <f>SUMPRODUCT((nCUENTA=1)*(nCURSO=A381)*(nASIG=B381)*(nNOTA=4))</f>
        <v>0</v>
      </c>
      <c r="P381">
        <f>SUMPRODUCT((nCUENTA=1)*(nCURSO=A381)*(nASIG=B381)*(nNOTA=5))</f>
        <v>0</v>
      </c>
      <c r="Q381">
        <f>SUMPRODUCT((nCUENTA=1)*(nCURSO=A381)*(nASIG=B381)*(nNOTA=6))</f>
        <v>0</v>
      </c>
      <c r="R381">
        <f>SUMPRODUCT((nCUENTA=1)*(nCURSO=A381)*(nASIG=B381)*(nNOTA=7))</f>
        <v>0</v>
      </c>
      <c r="S381">
        <f>SUMPRODUCT((nCUENTA=1)*(nCURSO=A381)*(nASIG=B381)*(nNOTA=8))</f>
        <v>0</v>
      </c>
      <c r="T381">
        <f>SUMPRODUCT((nCUENTA=1)*(nCURSO=A381)*(nASIG=B381)*(nNOTA=9))</f>
        <v>0</v>
      </c>
      <c r="U381">
        <f>SUMPRODUCT((nCUENTA=1)*(nCURSO=A381)*(nASIG=B381)*(nNOTA=10))</f>
        <v>0</v>
      </c>
    </row>
    <row r="382">
      <c r="A382" t="inlineStr">
        <is>
          <t xml:space="preserve">5EPM</t>
        </is>
      </c>
      <c r="B382" cm="1">
        <f t="array" ref="B382">IFERROR(INDEX(_xlfn._xlws.FILTER(CONFIG_ASIGNATURAS!$B$2:$B$91,(CONFIG_ASIGNATURAS!$G$2:$G$91="Sí")*ISNUMBER(SEARCH("5EPM",CONFIG_ASIGNATURAS!$C$2:$C$91))),59),"")</f>
      </c>
      <c r="C382">
        <f>IF(B382="","",IFERROR(VLOOKUP(B382,CONFIG_ASIGNATURAS!$B$2:$D$91,3,FALSE()),"Asignatura"))</f>
      </c>
      <c r="D382">
        <f>SUMPRODUCT((nCUENTA=1)*(nCURSO=A382)*(nASIG=B382))</f>
        <v>0</v>
      </c>
      <c r="E382" s="10" t="str">
        <f>IFERROR(SUMPRODUCT((nCUENTA=1)*(nCURSO=A382)*(nASIG=B382)*(nNOTA))/D382,"—")</f>
        <v>—</v>
      </c>
      <c r="F382" s="10" t="str" cm="1">
        <f t="array" ref="F382">IFERROR(_xlfn.STDEV.P(_xlfn._xlws.FILTER(nNOTA,(nCUENTA=1)*(nCURSO=A382)*(nASIG=B382))),"—")</f>
        <v>—</v>
      </c>
      <c r="G382" t="str" cm="1">
        <f t="array" ref="G382">IFERROR(_xlfn.MODE.SNGL(_xlfn._xlws.FILTER(nNOTA,(nCUENTA=1)*(nCURSO=A382)*(nASIG=B382))),"—")</f>
        <v>—</v>
      </c>
      <c r="H382" s="11" t="str">
        <f>IFERROR(SUMPRODUCT((nCUENTA=1)*(nCURSO=A382)*(nASIG=B382)*(nAPTO="S"))/D382,"—")</f>
        <v>—</v>
      </c>
      <c r="I382" s="11" t="str">
        <f>IFERROR(SUMPRODUCT((nCUENTA=1)*(nCURSO=A382)*(nASIG=B382)*(nAPTO="N"))/D382,"—")</f>
        <v>—</v>
      </c>
      <c r="J382" t="str" cm="1">
        <f t="array" ref="J382">IFERROR(_xlfn.MODE.SNGL(_xlfn._xlws.FILTER(nNOTA,(nCUENTA=1)*(nCURSO=A382)*(nASIG=B382)*(nAPTO="S"))),"—")</f>
        <v>—</v>
      </c>
      <c r="K382" t="str" cm="1">
        <f t="array" ref="K382">IFERROR(_xlfn.MODE.SNGL(_xlfn._xlws.FILTER(nNOTA,(nCUENTA=1)*(nCURSO=A382)*(nASIG=B382)*(nAPTO="N"))),"—")</f>
        <v>—</v>
      </c>
      <c r="L382">
        <f>SUMPRODUCT((nCUENTA=1)*(nCURSO=A382)*(nASIG=B382)*(nNOTA=1))</f>
        <v>0</v>
      </c>
      <c r="M382">
        <f>SUMPRODUCT((nCUENTA=1)*(nCURSO=A382)*(nASIG=B382)*(nNOTA=2))</f>
        <v>0</v>
      </c>
      <c r="N382">
        <f>SUMPRODUCT((nCUENTA=1)*(nCURSO=A382)*(nASIG=B382)*(nNOTA=3))</f>
        <v>0</v>
      </c>
      <c r="O382">
        <f>SUMPRODUCT((nCUENTA=1)*(nCURSO=A382)*(nASIG=B382)*(nNOTA=4))</f>
        <v>0</v>
      </c>
      <c r="P382">
        <f>SUMPRODUCT((nCUENTA=1)*(nCURSO=A382)*(nASIG=B382)*(nNOTA=5))</f>
        <v>0</v>
      </c>
      <c r="Q382">
        <f>SUMPRODUCT((nCUENTA=1)*(nCURSO=A382)*(nASIG=B382)*(nNOTA=6))</f>
        <v>0</v>
      </c>
      <c r="R382">
        <f>SUMPRODUCT((nCUENTA=1)*(nCURSO=A382)*(nASIG=B382)*(nNOTA=7))</f>
        <v>0</v>
      </c>
      <c r="S382">
        <f>SUMPRODUCT((nCUENTA=1)*(nCURSO=A382)*(nASIG=B382)*(nNOTA=8))</f>
        <v>0</v>
      </c>
      <c r="T382">
        <f>SUMPRODUCT((nCUENTA=1)*(nCURSO=A382)*(nASIG=B382)*(nNOTA=9))</f>
        <v>0</v>
      </c>
      <c r="U382">
        <f>SUMPRODUCT((nCUENTA=1)*(nCURSO=A382)*(nASIG=B382)*(nNOTA=10))</f>
        <v>0</v>
      </c>
    </row>
    <row r="383">
      <c r="A383" t="inlineStr">
        <is>
          <t xml:space="preserve">5EPM</t>
        </is>
      </c>
      <c r="B383" cm="1">
        <f t="array" ref="B383">IFERROR(INDEX(_xlfn._xlws.FILTER(CONFIG_ASIGNATURAS!$B$2:$B$91,(CONFIG_ASIGNATURAS!$G$2:$G$91="Sí")*ISNUMBER(SEARCH("5EPM",CONFIG_ASIGNATURAS!$C$2:$C$91))),60),"")</f>
      </c>
      <c r="C383">
        <f>IF(B383="","",IFERROR(VLOOKUP(B383,CONFIG_ASIGNATURAS!$B$2:$D$91,3,FALSE()),"Asignatura"))</f>
      </c>
      <c r="D383">
        <f>SUMPRODUCT((nCUENTA=1)*(nCURSO=A383)*(nASIG=B383))</f>
        <v>0</v>
      </c>
      <c r="E383" s="10" t="str">
        <f>IFERROR(SUMPRODUCT((nCUENTA=1)*(nCURSO=A383)*(nASIG=B383)*(nNOTA))/D383,"—")</f>
        <v>—</v>
      </c>
      <c r="F383" s="10" t="str" cm="1">
        <f t="array" ref="F383">IFERROR(_xlfn.STDEV.P(_xlfn._xlws.FILTER(nNOTA,(nCUENTA=1)*(nCURSO=A383)*(nASIG=B383))),"—")</f>
        <v>—</v>
      </c>
      <c r="G383" t="str" cm="1">
        <f t="array" ref="G383">IFERROR(_xlfn.MODE.SNGL(_xlfn._xlws.FILTER(nNOTA,(nCUENTA=1)*(nCURSO=A383)*(nASIG=B383))),"—")</f>
        <v>—</v>
      </c>
      <c r="H383" s="11" t="str">
        <f>IFERROR(SUMPRODUCT((nCUENTA=1)*(nCURSO=A383)*(nASIG=B383)*(nAPTO="S"))/D383,"—")</f>
        <v>—</v>
      </c>
      <c r="I383" s="11" t="str">
        <f>IFERROR(SUMPRODUCT((nCUENTA=1)*(nCURSO=A383)*(nASIG=B383)*(nAPTO="N"))/D383,"—")</f>
        <v>—</v>
      </c>
      <c r="J383" t="str" cm="1">
        <f t="array" ref="J383">IFERROR(_xlfn.MODE.SNGL(_xlfn._xlws.FILTER(nNOTA,(nCUENTA=1)*(nCURSO=A383)*(nASIG=B383)*(nAPTO="S"))),"—")</f>
        <v>—</v>
      </c>
      <c r="K383" t="str" cm="1">
        <f t="array" ref="K383">IFERROR(_xlfn.MODE.SNGL(_xlfn._xlws.FILTER(nNOTA,(nCUENTA=1)*(nCURSO=A383)*(nASIG=B383)*(nAPTO="N"))),"—")</f>
        <v>—</v>
      </c>
      <c r="L383">
        <f>SUMPRODUCT((nCUENTA=1)*(nCURSO=A383)*(nASIG=B383)*(nNOTA=1))</f>
        <v>0</v>
      </c>
      <c r="M383">
        <f>SUMPRODUCT((nCUENTA=1)*(nCURSO=A383)*(nASIG=B383)*(nNOTA=2))</f>
        <v>0</v>
      </c>
      <c r="N383">
        <f>SUMPRODUCT((nCUENTA=1)*(nCURSO=A383)*(nASIG=B383)*(nNOTA=3))</f>
        <v>0</v>
      </c>
      <c r="O383">
        <f>SUMPRODUCT((nCUENTA=1)*(nCURSO=A383)*(nASIG=B383)*(nNOTA=4))</f>
        <v>0</v>
      </c>
      <c r="P383">
        <f>SUMPRODUCT((nCUENTA=1)*(nCURSO=A383)*(nASIG=B383)*(nNOTA=5))</f>
        <v>0</v>
      </c>
      <c r="Q383">
        <f>SUMPRODUCT((nCUENTA=1)*(nCURSO=A383)*(nASIG=B383)*(nNOTA=6))</f>
        <v>0</v>
      </c>
      <c r="R383">
        <f>SUMPRODUCT((nCUENTA=1)*(nCURSO=A383)*(nASIG=B383)*(nNOTA=7))</f>
        <v>0</v>
      </c>
      <c r="S383">
        <f>SUMPRODUCT((nCUENTA=1)*(nCURSO=A383)*(nASIG=B383)*(nNOTA=8))</f>
        <v>0</v>
      </c>
      <c r="T383">
        <f>SUMPRODUCT((nCUENTA=1)*(nCURSO=A383)*(nASIG=B383)*(nNOTA=9))</f>
        <v>0</v>
      </c>
      <c r="U383">
        <f>SUMPRODUCT((nCUENTA=1)*(nCURSO=A383)*(nASIG=B383)*(nNOTA=10))</f>
        <v>0</v>
      </c>
    </row>
    <row r="384">
      <c r="A384" t="inlineStr">
        <is>
          <t xml:space="preserve">6EPM</t>
        </is>
      </c>
      <c r="B384" cm="1">
        <f t="array" ref="B384">IFERROR(INDEX(_xlfn._xlws.FILTER(CONFIG_ASIGNATURAS!$B$2:$B$91,(CONFIG_ASIGNATURAS!$G$2:$G$91="Sí")*ISNUMBER(SEARCH("6EPM",CONFIG_ASIGNATURAS!$C$2:$C$91))),1),"")</f>
      </c>
      <c r="C384">
        <f>IF(B384="","",IFERROR(VLOOKUP(B384,CONFIG_ASIGNATURAS!$B$2:$D$91,3,FALSE()),"Asignatura"))</f>
      </c>
      <c r="D384">
        <f>SUMPRODUCT((nCUENTA=1)*(nCURSO=A384)*(nASIG=B384))</f>
        <v>0</v>
      </c>
      <c r="E384" s="10" t="str">
        <f>IFERROR(SUMPRODUCT((nCUENTA=1)*(nCURSO=A384)*(nASIG=B384)*(nNOTA))/D384,"—")</f>
        <v>—</v>
      </c>
      <c r="F384" s="10" t="str" cm="1">
        <f t="array" ref="F384">IFERROR(_xlfn.STDEV.P(_xlfn._xlws.FILTER(nNOTA,(nCUENTA=1)*(nCURSO=A384)*(nASIG=B384))),"—")</f>
        <v>—</v>
      </c>
      <c r="G384" t="str" cm="1">
        <f t="array" ref="G384">IFERROR(_xlfn.MODE.SNGL(_xlfn._xlws.FILTER(nNOTA,(nCUENTA=1)*(nCURSO=A384)*(nASIG=B384))),"—")</f>
        <v>—</v>
      </c>
      <c r="H384" s="11" t="str">
        <f>IFERROR(SUMPRODUCT((nCUENTA=1)*(nCURSO=A384)*(nASIG=B384)*(nAPTO="S"))/D384,"—")</f>
        <v>—</v>
      </c>
      <c r="I384" s="11" t="str">
        <f>IFERROR(SUMPRODUCT((nCUENTA=1)*(nCURSO=A384)*(nASIG=B384)*(nAPTO="N"))/D384,"—")</f>
        <v>—</v>
      </c>
      <c r="J384" t="str" cm="1">
        <f t="array" ref="J384">IFERROR(_xlfn.MODE.SNGL(_xlfn._xlws.FILTER(nNOTA,(nCUENTA=1)*(nCURSO=A384)*(nASIG=B384)*(nAPTO="S"))),"—")</f>
        <v>—</v>
      </c>
      <c r="K384" t="str" cm="1">
        <f t="array" ref="K384">IFERROR(_xlfn.MODE.SNGL(_xlfn._xlws.FILTER(nNOTA,(nCUENTA=1)*(nCURSO=A384)*(nASIG=B384)*(nAPTO="N"))),"—")</f>
        <v>—</v>
      </c>
      <c r="L384">
        <f>SUMPRODUCT((nCUENTA=1)*(nCURSO=A384)*(nASIG=B384)*(nNOTA=1))</f>
        <v>0</v>
      </c>
      <c r="M384">
        <f>SUMPRODUCT((nCUENTA=1)*(nCURSO=A384)*(nASIG=B384)*(nNOTA=2))</f>
        <v>0</v>
      </c>
      <c r="N384">
        <f>SUMPRODUCT((nCUENTA=1)*(nCURSO=A384)*(nASIG=B384)*(nNOTA=3))</f>
        <v>0</v>
      </c>
      <c r="O384">
        <f>SUMPRODUCT((nCUENTA=1)*(nCURSO=A384)*(nASIG=B384)*(nNOTA=4))</f>
        <v>0</v>
      </c>
      <c r="P384">
        <f>SUMPRODUCT((nCUENTA=1)*(nCURSO=A384)*(nASIG=B384)*(nNOTA=5))</f>
        <v>0</v>
      </c>
      <c r="Q384">
        <f>SUMPRODUCT((nCUENTA=1)*(nCURSO=A384)*(nASIG=B384)*(nNOTA=6))</f>
        <v>0</v>
      </c>
      <c r="R384">
        <f>SUMPRODUCT((nCUENTA=1)*(nCURSO=A384)*(nASIG=B384)*(nNOTA=7))</f>
        <v>0</v>
      </c>
      <c r="S384">
        <f>SUMPRODUCT((nCUENTA=1)*(nCURSO=A384)*(nASIG=B384)*(nNOTA=8))</f>
        <v>0</v>
      </c>
      <c r="T384">
        <f>SUMPRODUCT((nCUENTA=1)*(nCURSO=A384)*(nASIG=B384)*(nNOTA=9))</f>
        <v>0</v>
      </c>
      <c r="U384">
        <f>SUMPRODUCT((nCUENTA=1)*(nCURSO=A384)*(nASIG=B384)*(nNOTA=10))</f>
        <v>0</v>
      </c>
    </row>
    <row r="385">
      <c r="A385" t="inlineStr">
        <is>
          <t xml:space="preserve">6EPM</t>
        </is>
      </c>
      <c r="B385" cm="1">
        <f t="array" ref="B385">IFERROR(INDEX(_xlfn._xlws.FILTER(CONFIG_ASIGNATURAS!$B$2:$B$91,(CONFIG_ASIGNATURAS!$G$2:$G$91="Sí")*ISNUMBER(SEARCH("6EPM",CONFIG_ASIGNATURAS!$C$2:$C$91))),2),"")</f>
      </c>
      <c r="C385">
        <f>IF(B385="","",IFERROR(VLOOKUP(B385,CONFIG_ASIGNATURAS!$B$2:$D$91,3,FALSE()),"Asignatura"))</f>
      </c>
      <c r="D385">
        <f>SUMPRODUCT((nCUENTA=1)*(nCURSO=A385)*(nASIG=B385))</f>
        <v>0</v>
      </c>
      <c r="E385" s="10" t="str">
        <f>IFERROR(SUMPRODUCT((nCUENTA=1)*(nCURSO=A385)*(nASIG=B385)*(nNOTA))/D385,"—")</f>
        <v>—</v>
      </c>
      <c r="F385" s="10" t="str" cm="1">
        <f t="array" ref="F385">IFERROR(_xlfn.STDEV.P(_xlfn._xlws.FILTER(nNOTA,(nCUENTA=1)*(nCURSO=A385)*(nASIG=B385))),"—")</f>
        <v>—</v>
      </c>
      <c r="G385" t="str" cm="1">
        <f t="array" ref="G385">IFERROR(_xlfn.MODE.SNGL(_xlfn._xlws.FILTER(nNOTA,(nCUENTA=1)*(nCURSO=A385)*(nASIG=B385))),"—")</f>
        <v>—</v>
      </c>
      <c r="H385" s="11" t="str">
        <f>IFERROR(SUMPRODUCT((nCUENTA=1)*(nCURSO=A385)*(nASIG=B385)*(nAPTO="S"))/D385,"—")</f>
        <v>—</v>
      </c>
      <c r="I385" s="11" t="str">
        <f>IFERROR(SUMPRODUCT((nCUENTA=1)*(nCURSO=A385)*(nASIG=B385)*(nAPTO="N"))/D385,"—")</f>
        <v>—</v>
      </c>
      <c r="J385" t="str" cm="1">
        <f t="array" ref="J385">IFERROR(_xlfn.MODE.SNGL(_xlfn._xlws.FILTER(nNOTA,(nCUENTA=1)*(nCURSO=A385)*(nASIG=B385)*(nAPTO="S"))),"—")</f>
        <v>—</v>
      </c>
      <c r="K385" t="str" cm="1">
        <f t="array" ref="K385">IFERROR(_xlfn.MODE.SNGL(_xlfn._xlws.FILTER(nNOTA,(nCUENTA=1)*(nCURSO=A385)*(nASIG=B385)*(nAPTO="N"))),"—")</f>
        <v>—</v>
      </c>
      <c r="L385">
        <f>SUMPRODUCT((nCUENTA=1)*(nCURSO=A385)*(nASIG=B385)*(nNOTA=1))</f>
        <v>0</v>
      </c>
      <c r="M385">
        <f>SUMPRODUCT((nCUENTA=1)*(nCURSO=A385)*(nASIG=B385)*(nNOTA=2))</f>
        <v>0</v>
      </c>
      <c r="N385">
        <f>SUMPRODUCT((nCUENTA=1)*(nCURSO=A385)*(nASIG=B385)*(nNOTA=3))</f>
        <v>0</v>
      </c>
      <c r="O385">
        <f>SUMPRODUCT((nCUENTA=1)*(nCURSO=A385)*(nASIG=B385)*(nNOTA=4))</f>
        <v>0</v>
      </c>
      <c r="P385">
        <f>SUMPRODUCT((nCUENTA=1)*(nCURSO=A385)*(nASIG=B385)*(nNOTA=5))</f>
        <v>0</v>
      </c>
      <c r="Q385">
        <f>SUMPRODUCT((nCUENTA=1)*(nCURSO=A385)*(nASIG=B385)*(nNOTA=6))</f>
        <v>0</v>
      </c>
      <c r="R385">
        <f>SUMPRODUCT((nCUENTA=1)*(nCURSO=A385)*(nASIG=B385)*(nNOTA=7))</f>
        <v>0</v>
      </c>
      <c r="S385">
        <f>SUMPRODUCT((nCUENTA=1)*(nCURSO=A385)*(nASIG=B385)*(nNOTA=8))</f>
        <v>0</v>
      </c>
      <c r="T385">
        <f>SUMPRODUCT((nCUENTA=1)*(nCURSO=A385)*(nASIG=B385)*(nNOTA=9))</f>
        <v>0</v>
      </c>
      <c r="U385">
        <f>SUMPRODUCT((nCUENTA=1)*(nCURSO=A385)*(nASIG=B385)*(nNOTA=10))</f>
        <v>0</v>
      </c>
    </row>
    <row r="386">
      <c r="A386" t="inlineStr">
        <is>
          <t xml:space="preserve">6EPM</t>
        </is>
      </c>
      <c r="B386" cm="1">
        <f t="array" ref="B386">IFERROR(INDEX(_xlfn._xlws.FILTER(CONFIG_ASIGNATURAS!$B$2:$B$91,(CONFIG_ASIGNATURAS!$G$2:$G$91="Sí")*ISNUMBER(SEARCH("6EPM",CONFIG_ASIGNATURAS!$C$2:$C$91))),3),"")</f>
      </c>
      <c r="C386">
        <f>IF(B386="","",IFERROR(VLOOKUP(B386,CONFIG_ASIGNATURAS!$B$2:$D$91,3,FALSE()),"Asignatura"))</f>
      </c>
      <c r="D386">
        <f>SUMPRODUCT((nCUENTA=1)*(nCURSO=A386)*(nASIG=B386))</f>
        <v>0</v>
      </c>
      <c r="E386" s="10" t="str">
        <f>IFERROR(SUMPRODUCT((nCUENTA=1)*(nCURSO=A386)*(nASIG=B386)*(nNOTA))/D386,"—")</f>
        <v>—</v>
      </c>
      <c r="F386" s="10" t="str" cm="1">
        <f t="array" ref="F386">IFERROR(_xlfn.STDEV.P(_xlfn._xlws.FILTER(nNOTA,(nCUENTA=1)*(nCURSO=A386)*(nASIG=B386))),"—")</f>
        <v>—</v>
      </c>
      <c r="G386" t="str" cm="1">
        <f t="array" ref="G386">IFERROR(_xlfn.MODE.SNGL(_xlfn._xlws.FILTER(nNOTA,(nCUENTA=1)*(nCURSO=A386)*(nASIG=B386))),"—")</f>
        <v>—</v>
      </c>
      <c r="H386" s="11" t="str">
        <f>IFERROR(SUMPRODUCT((nCUENTA=1)*(nCURSO=A386)*(nASIG=B386)*(nAPTO="S"))/D386,"—")</f>
        <v>—</v>
      </c>
      <c r="I386" s="11" t="str">
        <f>IFERROR(SUMPRODUCT((nCUENTA=1)*(nCURSO=A386)*(nASIG=B386)*(nAPTO="N"))/D386,"—")</f>
        <v>—</v>
      </c>
      <c r="J386" t="str" cm="1">
        <f t="array" ref="J386">IFERROR(_xlfn.MODE.SNGL(_xlfn._xlws.FILTER(nNOTA,(nCUENTA=1)*(nCURSO=A386)*(nASIG=B386)*(nAPTO="S"))),"—")</f>
        <v>—</v>
      </c>
      <c r="K386" t="str" cm="1">
        <f t="array" ref="K386">IFERROR(_xlfn.MODE.SNGL(_xlfn._xlws.FILTER(nNOTA,(nCUENTA=1)*(nCURSO=A386)*(nASIG=B386)*(nAPTO="N"))),"—")</f>
        <v>—</v>
      </c>
      <c r="L386">
        <f>SUMPRODUCT((nCUENTA=1)*(nCURSO=A386)*(nASIG=B386)*(nNOTA=1))</f>
        <v>0</v>
      </c>
      <c r="M386">
        <f>SUMPRODUCT((nCUENTA=1)*(nCURSO=A386)*(nASIG=B386)*(nNOTA=2))</f>
        <v>0</v>
      </c>
      <c r="N386">
        <f>SUMPRODUCT((nCUENTA=1)*(nCURSO=A386)*(nASIG=B386)*(nNOTA=3))</f>
        <v>0</v>
      </c>
      <c r="O386">
        <f>SUMPRODUCT((nCUENTA=1)*(nCURSO=A386)*(nASIG=B386)*(nNOTA=4))</f>
        <v>0</v>
      </c>
      <c r="P386">
        <f>SUMPRODUCT((nCUENTA=1)*(nCURSO=A386)*(nASIG=B386)*(nNOTA=5))</f>
        <v>0</v>
      </c>
      <c r="Q386">
        <f>SUMPRODUCT((nCUENTA=1)*(nCURSO=A386)*(nASIG=B386)*(nNOTA=6))</f>
        <v>0</v>
      </c>
      <c r="R386">
        <f>SUMPRODUCT((nCUENTA=1)*(nCURSO=A386)*(nASIG=B386)*(nNOTA=7))</f>
        <v>0</v>
      </c>
      <c r="S386">
        <f>SUMPRODUCT((nCUENTA=1)*(nCURSO=A386)*(nASIG=B386)*(nNOTA=8))</f>
        <v>0</v>
      </c>
      <c r="T386">
        <f>SUMPRODUCT((nCUENTA=1)*(nCURSO=A386)*(nASIG=B386)*(nNOTA=9))</f>
        <v>0</v>
      </c>
      <c r="U386">
        <f>SUMPRODUCT((nCUENTA=1)*(nCURSO=A386)*(nASIG=B386)*(nNOTA=10))</f>
        <v>0</v>
      </c>
    </row>
    <row r="387">
      <c r="A387" t="inlineStr">
        <is>
          <t xml:space="preserve">6EPM</t>
        </is>
      </c>
      <c r="B387" cm="1">
        <f t="array" ref="B387">IFERROR(INDEX(_xlfn._xlws.FILTER(CONFIG_ASIGNATURAS!$B$2:$B$91,(CONFIG_ASIGNATURAS!$G$2:$G$91="Sí")*ISNUMBER(SEARCH("6EPM",CONFIG_ASIGNATURAS!$C$2:$C$91))),4),"")</f>
      </c>
      <c r="C387">
        <f>IF(B387="","",IFERROR(VLOOKUP(B387,CONFIG_ASIGNATURAS!$B$2:$D$91,3,FALSE()),"Asignatura"))</f>
      </c>
      <c r="D387">
        <f>SUMPRODUCT((nCUENTA=1)*(nCURSO=A387)*(nASIG=B387))</f>
        <v>0</v>
      </c>
      <c r="E387" s="10" t="str">
        <f>IFERROR(SUMPRODUCT((nCUENTA=1)*(nCURSO=A387)*(nASIG=B387)*(nNOTA))/D387,"—")</f>
        <v>—</v>
      </c>
      <c r="F387" s="10" t="str" cm="1">
        <f t="array" ref="F387">IFERROR(_xlfn.STDEV.P(_xlfn._xlws.FILTER(nNOTA,(nCUENTA=1)*(nCURSO=A387)*(nASIG=B387))),"—")</f>
        <v>—</v>
      </c>
      <c r="G387" t="str" cm="1">
        <f t="array" ref="G387">IFERROR(_xlfn.MODE.SNGL(_xlfn._xlws.FILTER(nNOTA,(nCUENTA=1)*(nCURSO=A387)*(nASIG=B387))),"—")</f>
        <v>—</v>
      </c>
      <c r="H387" s="11" t="str">
        <f>IFERROR(SUMPRODUCT((nCUENTA=1)*(nCURSO=A387)*(nASIG=B387)*(nAPTO="S"))/D387,"—")</f>
        <v>—</v>
      </c>
      <c r="I387" s="11" t="str">
        <f>IFERROR(SUMPRODUCT((nCUENTA=1)*(nCURSO=A387)*(nASIG=B387)*(nAPTO="N"))/D387,"—")</f>
        <v>—</v>
      </c>
      <c r="J387" t="str" cm="1">
        <f t="array" ref="J387">IFERROR(_xlfn.MODE.SNGL(_xlfn._xlws.FILTER(nNOTA,(nCUENTA=1)*(nCURSO=A387)*(nASIG=B387)*(nAPTO="S"))),"—")</f>
        <v>—</v>
      </c>
      <c r="K387" t="str" cm="1">
        <f t="array" ref="K387">IFERROR(_xlfn.MODE.SNGL(_xlfn._xlws.FILTER(nNOTA,(nCUENTA=1)*(nCURSO=A387)*(nASIG=B387)*(nAPTO="N"))),"—")</f>
        <v>—</v>
      </c>
      <c r="L387">
        <f>SUMPRODUCT((nCUENTA=1)*(nCURSO=A387)*(nASIG=B387)*(nNOTA=1))</f>
        <v>0</v>
      </c>
      <c r="M387">
        <f>SUMPRODUCT((nCUENTA=1)*(nCURSO=A387)*(nASIG=B387)*(nNOTA=2))</f>
        <v>0</v>
      </c>
      <c r="N387">
        <f>SUMPRODUCT((nCUENTA=1)*(nCURSO=A387)*(nASIG=B387)*(nNOTA=3))</f>
        <v>0</v>
      </c>
      <c r="O387">
        <f>SUMPRODUCT((nCUENTA=1)*(nCURSO=A387)*(nASIG=B387)*(nNOTA=4))</f>
        <v>0</v>
      </c>
      <c r="P387">
        <f>SUMPRODUCT((nCUENTA=1)*(nCURSO=A387)*(nASIG=B387)*(nNOTA=5))</f>
        <v>0</v>
      </c>
      <c r="Q387">
        <f>SUMPRODUCT((nCUENTA=1)*(nCURSO=A387)*(nASIG=B387)*(nNOTA=6))</f>
        <v>0</v>
      </c>
      <c r="R387">
        <f>SUMPRODUCT((nCUENTA=1)*(nCURSO=A387)*(nASIG=B387)*(nNOTA=7))</f>
        <v>0</v>
      </c>
      <c r="S387">
        <f>SUMPRODUCT((nCUENTA=1)*(nCURSO=A387)*(nASIG=B387)*(nNOTA=8))</f>
        <v>0</v>
      </c>
      <c r="T387">
        <f>SUMPRODUCT((nCUENTA=1)*(nCURSO=A387)*(nASIG=B387)*(nNOTA=9))</f>
        <v>0</v>
      </c>
      <c r="U387">
        <f>SUMPRODUCT((nCUENTA=1)*(nCURSO=A387)*(nASIG=B387)*(nNOTA=10))</f>
        <v>0</v>
      </c>
    </row>
    <row r="388">
      <c r="A388" t="inlineStr">
        <is>
          <t xml:space="preserve">6EPM</t>
        </is>
      </c>
      <c r="B388" cm="1">
        <f t="array" ref="B388">IFERROR(INDEX(_xlfn._xlws.FILTER(CONFIG_ASIGNATURAS!$B$2:$B$91,(CONFIG_ASIGNATURAS!$G$2:$G$91="Sí")*ISNUMBER(SEARCH("6EPM",CONFIG_ASIGNATURAS!$C$2:$C$91))),5),"")</f>
      </c>
      <c r="C388">
        <f>IF(B388="","",IFERROR(VLOOKUP(B388,CONFIG_ASIGNATURAS!$B$2:$D$91,3,FALSE()),"Asignatura"))</f>
      </c>
      <c r="D388">
        <f>SUMPRODUCT((nCUENTA=1)*(nCURSO=A388)*(nASIG=B388))</f>
        <v>0</v>
      </c>
      <c r="E388" s="10" t="str">
        <f>IFERROR(SUMPRODUCT((nCUENTA=1)*(nCURSO=A388)*(nASIG=B388)*(nNOTA))/D388,"—")</f>
        <v>—</v>
      </c>
      <c r="F388" s="10" t="str" cm="1">
        <f t="array" ref="F388">IFERROR(_xlfn.STDEV.P(_xlfn._xlws.FILTER(nNOTA,(nCUENTA=1)*(nCURSO=A388)*(nASIG=B388))),"—")</f>
        <v>—</v>
      </c>
      <c r="G388" t="str" cm="1">
        <f t="array" ref="G388">IFERROR(_xlfn.MODE.SNGL(_xlfn._xlws.FILTER(nNOTA,(nCUENTA=1)*(nCURSO=A388)*(nASIG=B388))),"—")</f>
        <v>—</v>
      </c>
      <c r="H388" s="11" t="str">
        <f>IFERROR(SUMPRODUCT((nCUENTA=1)*(nCURSO=A388)*(nASIG=B388)*(nAPTO="S"))/D388,"—")</f>
        <v>—</v>
      </c>
      <c r="I388" s="11" t="str">
        <f>IFERROR(SUMPRODUCT((nCUENTA=1)*(nCURSO=A388)*(nASIG=B388)*(nAPTO="N"))/D388,"—")</f>
        <v>—</v>
      </c>
      <c r="J388" t="str" cm="1">
        <f t="array" ref="J388">IFERROR(_xlfn.MODE.SNGL(_xlfn._xlws.FILTER(nNOTA,(nCUENTA=1)*(nCURSO=A388)*(nASIG=B388)*(nAPTO="S"))),"—")</f>
        <v>—</v>
      </c>
      <c r="K388" t="str" cm="1">
        <f t="array" ref="K388">IFERROR(_xlfn.MODE.SNGL(_xlfn._xlws.FILTER(nNOTA,(nCUENTA=1)*(nCURSO=A388)*(nASIG=B388)*(nAPTO="N"))),"—")</f>
        <v>—</v>
      </c>
      <c r="L388">
        <f>SUMPRODUCT((nCUENTA=1)*(nCURSO=A388)*(nASIG=B388)*(nNOTA=1))</f>
        <v>0</v>
      </c>
      <c r="M388">
        <f>SUMPRODUCT((nCUENTA=1)*(nCURSO=A388)*(nASIG=B388)*(nNOTA=2))</f>
        <v>0</v>
      </c>
      <c r="N388">
        <f>SUMPRODUCT((nCUENTA=1)*(nCURSO=A388)*(nASIG=B388)*(nNOTA=3))</f>
        <v>0</v>
      </c>
      <c r="O388">
        <f>SUMPRODUCT((nCUENTA=1)*(nCURSO=A388)*(nASIG=B388)*(nNOTA=4))</f>
        <v>0</v>
      </c>
      <c r="P388">
        <f>SUMPRODUCT((nCUENTA=1)*(nCURSO=A388)*(nASIG=B388)*(nNOTA=5))</f>
        <v>0</v>
      </c>
      <c r="Q388">
        <f>SUMPRODUCT((nCUENTA=1)*(nCURSO=A388)*(nASIG=B388)*(nNOTA=6))</f>
        <v>0</v>
      </c>
      <c r="R388">
        <f>SUMPRODUCT((nCUENTA=1)*(nCURSO=A388)*(nASIG=B388)*(nNOTA=7))</f>
        <v>0</v>
      </c>
      <c r="S388">
        <f>SUMPRODUCT((nCUENTA=1)*(nCURSO=A388)*(nASIG=B388)*(nNOTA=8))</f>
        <v>0</v>
      </c>
      <c r="T388">
        <f>SUMPRODUCT((nCUENTA=1)*(nCURSO=A388)*(nASIG=B388)*(nNOTA=9))</f>
        <v>0</v>
      </c>
      <c r="U388">
        <f>SUMPRODUCT((nCUENTA=1)*(nCURSO=A388)*(nASIG=B388)*(nNOTA=10))</f>
        <v>0</v>
      </c>
    </row>
    <row r="389">
      <c r="A389" t="inlineStr">
        <is>
          <t xml:space="preserve">6EPM</t>
        </is>
      </c>
      <c r="B389" cm="1">
        <f t="array" ref="B389">IFERROR(INDEX(_xlfn._xlws.FILTER(CONFIG_ASIGNATURAS!$B$2:$B$91,(CONFIG_ASIGNATURAS!$G$2:$G$91="Sí")*ISNUMBER(SEARCH("6EPM",CONFIG_ASIGNATURAS!$C$2:$C$91))),6),"")</f>
      </c>
      <c r="C389">
        <f>IF(B389="","",IFERROR(VLOOKUP(B389,CONFIG_ASIGNATURAS!$B$2:$D$91,3,FALSE()),"Asignatura"))</f>
      </c>
      <c r="D389">
        <f>SUMPRODUCT((nCUENTA=1)*(nCURSO=A389)*(nASIG=B389))</f>
        <v>0</v>
      </c>
      <c r="E389" s="10" t="str">
        <f>IFERROR(SUMPRODUCT((nCUENTA=1)*(nCURSO=A389)*(nASIG=B389)*(nNOTA))/D389,"—")</f>
        <v>—</v>
      </c>
      <c r="F389" s="10" t="str" cm="1">
        <f t="array" ref="F389">IFERROR(_xlfn.STDEV.P(_xlfn._xlws.FILTER(nNOTA,(nCUENTA=1)*(nCURSO=A389)*(nASIG=B389))),"—")</f>
        <v>—</v>
      </c>
      <c r="G389" t="str" cm="1">
        <f t="array" ref="G389">IFERROR(_xlfn.MODE.SNGL(_xlfn._xlws.FILTER(nNOTA,(nCUENTA=1)*(nCURSO=A389)*(nASIG=B389))),"—")</f>
        <v>—</v>
      </c>
      <c r="H389" s="11" t="str">
        <f>IFERROR(SUMPRODUCT((nCUENTA=1)*(nCURSO=A389)*(nASIG=B389)*(nAPTO="S"))/D389,"—")</f>
        <v>—</v>
      </c>
      <c r="I389" s="11" t="str">
        <f>IFERROR(SUMPRODUCT((nCUENTA=1)*(nCURSO=A389)*(nASIG=B389)*(nAPTO="N"))/D389,"—")</f>
        <v>—</v>
      </c>
      <c r="J389" t="str" cm="1">
        <f t="array" ref="J389">IFERROR(_xlfn.MODE.SNGL(_xlfn._xlws.FILTER(nNOTA,(nCUENTA=1)*(nCURSO=A389)*(nASIG=B389)*(nAPTO="S"))),"—")</f>
        <v>—</v>
      </c>
      <c r="K389" t="str" cm="1">
        <f t="array" ref="K389">IFERROR(_xlfn.MODE.SNGL(_xlfn._xlws.FILTER(nNOTA,(nCUENTA=1)*(nCURSO=A389)*(nASIG=B389)*(nAPTO="N"))),"—")</f>
        <v>—</v>
      </c>
      <c r="L389">
        <f>SUMPRODUCT((nCUENTA=1)*(nCURSO=A389)*(nASIG=B389)*(nNOTA=1))</f>
        <v>0</v>
      </c>
      <c r="M389">
        <f>SUMPRODUCT((nCUENTA=1)*(nCURSO=A389)*(nASIG=B389)*(nNOTA=2))</f>
        <v>0</v>
      </c>
      <c r="N389">
        <f>SUMPRODUCT((nCUENTA=1)*(nCURSO=A389)*(nASIG=B389)*(nNOTA=3))</f>
        <v>0</v>
      </c>
      <c r="O389">
        <f>SUMPRODUCT((nCUENTA=1)*(nCURSO=A389)*(nASIG=B389)*(nNOTA=4))</f>
        <v>0</v>
      </c>
      <c r="P389">
        <f>SUMPRODUCT((nCUENTA=1)*(nCURSO=A389)*(nASIG=B389)*(nNOTA=5))</f>
        <v>0</v>
      </c>
      <c r="Q389">
        <f>SUMPRODUCT((nCUENTA=1)*(nCURSO=A389)*(nASIG=B389)*(nNOTA=6))</f>
        <v>0</v>
      </c>
      <c r="R389">
        <f>SUMPRODUCT((nCUENTA=1)*(nCURSO=A389)*(nASIG=B389)*(nNOTA=7))</f>
        <v>0</v>
      </c>
      <c r="S389">
        <f>SUMPRODUCT((nCUENTA=1)*(nCURSO=A389)*(nASIG=B389)*(nNOTA=8))</f>
        <v>0</v>
      </c>
      <c r="T389">
        <f>SUMPRODUCT((nCUENTA=1)*(nCURSO=A389)*(nASIG=B389)*(nNOTA=9))</f>
        <v>0</v>
      </c>
      <c r="U389">
        <f>SUMPRODUCT((nCUENTA=1)*(nCURSO=A389)*(nASIG=B389)*(nNOTA=10))</f>
        <v>0</v>
      </c>
    </row>
    <row r="390">
      <c r="A390" t="inlineStr">
        <is>
          <t xml:space="preserve">6EPM</t>
        </is>
      </c>
      <c r="B390" cm="1">
        <f t="array" ref="B390">IFERROR(INDEX(_xlfn._xlws.FILTER(CONFIG_ASIGNATURAS!$B$2:$B$91,(CONFIG_ASIGNATURAS!$G$2:$G$91="Sí")*ISNUMBER(SEARCH("6EPM",CONFIG_ASIGNATURAS!$C$2:$C$91))),7),"")</f>
      </c>
      <c r="C390">
        <f>IF(B390="","",IFERROR(VLOOKUP(B390,CONFIG_ASIGNATURAS!$B$2:$D$91,3,FALSE()),"Asignatura"))</f>
      </c>
      <c r="D390">
        <f>SUMPRODUCT((nCUENTA=1)*(nCURSO=A390)*(nASIG=B390))</f>
        <v>0</v>
      </c>
      <c r="E390" s="10" t="str">
        <f>IFERROR(SUMPRODUCT((nCUENTA=1)*(nCURSO=A390)*(nASIG=B390)*(nNOTA))/D390,"—")</f>
        <v>—</v>
      </c>
      <c r="F390" s="10" t="str" cm="1">
        <f t="array" ref="F390">IFERROR(_xlfn.STDEV.P(_xlfn._xlws.FILTER(nNOTA,(nCUENTA=1)*(nCURSO=A390)*(nASIG=B390))),"—")</f>
        <v>—</v>
      </c>
      <c r="G390" t="str" cm="1">
        <f t="array" ref="G390">IFERROR(_xlfn.MODE.SNGL(_xlfn._xlws.FILTER(nNOTA,(nCUENTA=1)*(nCURSO=A390)*(nASIG=B390))),"—")</f>
        <v>—</v>
      </c>
      <c r="H390" s="11" t="str">
        <f>IFERROR(SUMPRODUCT((nCUENTA=1)*(nCURSO=A390)*(nASIG=B390)*(nAPTO="S"))/D390,"—")</f>
        <v>—</v>
      </c>
      <c r="I390" s="11" t="str">
        <f>IFERROR(SUMPRODUCT((nCUENTA=1)*(nCURSO=A390)*(nASIG=B390)*(nAPTO="N"))/D390,"—")</f>
        <v>—</v>
      </c>
      <c r="J390" t="str" cm="1">
        <f t="array" ref="J390">IFERROR(_xlfn.MODE.SNGL(_xlfn._xlws.FILTER(nNOTA,(nCUENTA=1)*(nCURSO=A390)*(nASIG=B390)*(nAPTO="S"))),"—")</f>
        <v>—</v>
      </c>
      <c r="K390" t="str" cm="1">
        <f t="array" ref="K390">IFERROR(_xlfn.MODE.SNGL(_xlfn._xlws.FILTER(nNOTA,(nCUENTA=1)*(nCURSO=A390)*(nASIG=B390)*(nAPTO="N"))),"—")</f>
        <v>—</v>
      </c>
      <c r="L390">
        <f>SUMPRODUCT((nCUENTA=1)*(nCURSO=A390)*(nASIG=B390)*(nNOTA=1))</f>
        <v>0</v>
      </c>
      <c r="M390">
        <f>SUMPRODUCT((nCUENTA=1)*(nCURSO=A390)*(nASIG=B390)*(nNOTA=2))</f>
        <v>0</v>
      </c>
      <c r="N390">
        <f>SUMPRODUCT((nCUENTA=1)*(nCURSO=A390)*(nASIG=B390)*(nNOTA=3))</f>
        <v>0</v>
      </c>
      <c r="O390">
        <f>SUMPRODUCT((nCUENTA=1)*(nCURSO=A390)*(nASIG=B390)*(nNOTA=4))</f>
        <v>0</v>
      </c>
      <c r="P390">
        <f>SUMPRODUCT((nCUENTA=1)*(nCURSO=A390)*(nASIG=B390)*(nNOTA=5))</f>
        <v>0</v>
      </c>
      <c r="Q390">
        <f>SUMPRODUCT((nCUENTA=1)*(nCURSO=A390)*(nASIG=B390)*(nNOTA=6))</f>
        <v>0</v>
      </c>
      <c r="R390">
        <f>SUMPRODUCT((nCUENTA=1)*(nCURSO=A390)*(nASIG=B390)*(nNOTA=7))</f>
        <v>0</v>
      </c>
      <c r="S390">
        <f>SUMPRODUCT((nCUENTA=1)*(nCURSO=A390)*(nASIG=B390)*(nNOTA=8))</f>
        <v>0</v>
      </c>
      <c r="T390">
        <f>SUMPRODUCT((nCUENTA=1)*(nCURSO=A390)*(nASIG=B390)*(nNOTA=9))</f>
        <v>0</v>
      </c>
      <c r="U390">
        <f>SUMPRODUCT((nCUENTA=1)*(nCURSO=A390)*(nASIG=B390)*(nNOTA=10))</f>
        <v>0</v>
      </c>
    </row>
    <row r="391">
      <c r="A391" t="inlineStr">
        <is>
          <t xml:space="preserve">6EPM</t>
        </is>
      </c>
      <c r="B391" cm="1">
        <f t="array" ref="B391">IFERROR(INDEX(_xlfn._xlws.FILTER(CONFIG_ASIGNATURAS!$B$2:$B$91,(CONFIG_ASIGNATURAS!$G$2:$G$91="Sí")*ISNUMBER(SEARCH("6EPM",CONFIG_ASIGNATURAS!$C$2:$C$91))),8),"")</f>
      </c>
      <c r="C391">
        <f>IF(B391="","",IFERROR(VLOOKUP(B391,CONFIG_ASIGNATURAS!$B$2:$D$91,3,FALSE()),"Asignatura"))</f>
      </c>
      <c r="D391">
        <f>SUMPRODUCT((nCUENTA=1)*(nCURSO=A391)*(nASIG=B391))</f>
        <v>0</v>
      </c>
      <c r="E391" s="10" t="str">
        <f>IFERROR(SUMPRODUCT((nCUENTA=1)*(nCURSO=A391)*(nASIG=B391)*(nNOTA))/D391,"—")</f>
        <v>—</v>
      </c>
      <c r="F391" s="10" t="str" cm="1">
        <f t="array" ref="F391">IFERROR(_xlfn.STDEV.P(_xlfn._xlws.FILTER(nNOTA,(nCUENTA=1)*(nCURSO=A391)*(nASIG=B391))),"—")</f>
        <v>—</v>
      </c>
      <c r="G391" t="str" cm="1">
        <f t="array" ref="G391">IFERROR(_xlfn.MODE.SNGL(_xlfn._xlws.FILTER(nNOTA,(nCUENTA=1)*(nCURSO=A391)*(nASIG=B391))),"—")</f>
        <v>—</v>
      </c>
      <c r="H391" s="11" t="str">
        <f>IFERROR(SUMPRODUCT((nCUENTA=1)*(nCURSO=A391)*(nASIG=B391)*(nAPTO="S"))/D391,"—")</f>
        <v>—</v>
      </c>
      <c r="I391" s="11" t="str">
        <f>IFERROR(SUMPRODUCT((nCUENTA=1)*(nCURSO=A391)*(nASIG=B391)*(nAPTO="N"))/D391,"—")</f>
        <v>—</v>
      </c>
      <c r="J391" t="str" cm="1">
        <f t="array" ref="J391">IFERROR(_xlfn.MODE.SNGL(_xlfn._xlws.FILTER(nNOTA,(nCUENTA=1)*(nCURSO=A391)*(nASIG=B391)*(nAPTO="S"))),"—")</f>
        <v>—</v>
      </c>
      <c r="K391" t="str" cm="1">
        <f t="array" ref="K391">IFERROR(_xlfn.MODE.SNGL(_xlfn._xlws.FILTER(nNOTA,(nCUENTA=1)*(nCURSO=A391)*(nASIG=B391)*(nAPTO="N"))),"—")</f>
        <v>—</v>
      </c>
      <c r="L391">
        <f>SUMPRODUCT((nCUENTA=1)*(nCURSO=A391)*(nASIG=B391)*(nNOTA=1))</f>
        <v>0</v>
      </c>
      <c r="M391">
        <f>SUMPRODUCT((nCUENTA=1)*(nCURSO=A391)*(nASIG=B391)*(nNOTA=2))</f>
        <v>0</v>
      </c>
      <c r="N391">
        <f>SUMPRODUCT((nCUENTA=1)*(nCURSO=A391)*(nASIG=B391)*(nNOTA=3))</f>
        <v>0</v>
      </c>
      <c r="O391">
        <f>SUMPRODUCT((nCUENTA=1)*(nCURSO=A391)*(nASIG=B391)*(nNOTA=4))</f>
        <v>0</v>
      </c>
      <c r="P391">
        <f>SUMPRODUCT((nCUENTA=1)*(nCURSO=A391)*(nASIG=B391)*(nNOTA=5))</f>
        <v>0</v>
      </c>
      <c r="Q391">
        <f>SUMPRODUCT((nCUENTA=1)*(nCURSO=A391)*(nASIG=B391)*(nNOTA=6))</f>
        <v>0</v>
      </c>
      <c r="R391">
        <f>SUMPRODUCT((nCUENTA=1)*(nCURSO=A391)*(nASIG=B391)*(nNOTA=7))</f>
        <v>0</v>
      </c>
      <c r="S391">
        <f>SUMPRODUCT((nCUENTA=1)*(nCURSO=A391)*(nASIG=B391)*(nNOTA=8))</f>
        <v>0</v>
      </c>
      <c r="T391">
        <f>SUMPRODUCT((nCUENTA=1)*(nCURSO=A391)*(nASIG=B391)*(nNOTA=9))</f>
        <v>0</v>
      </c>
      <c r="U391">
        <f>SUMPRODUCT((nCUENTA=1)*(nCURSO=A391)*(nASIG=B391)*(nNOTA=10))</f>
        <v>0</v>
      </c>
    </row>
    <row r="392">
      <c r="A392" t="inlineStr">
        <is>
          <t xml:space="preserve">6EPM</t>
        </is>
      </c>
      <c r="B392" cm="1">
        <f t="array" ref="B392">IFERROR(INDEX(_xlfn._xlws.FILTER(CONFIG_ASIGNATURAS!$B$2:$B$91,(CONFIG_ASIGNATURAS!$G$2:$G$91="Sí")*ISNUMBER(SEARCH("6EPM",CONFIG_ASIGNATURAS!$C$2:$C$91))),9),"")</f>
      </c>
      <c r="C392">
        <f>IF(B392="","",IFERROR(VLOOKUP(B392,CONFIG_ASIGNATURAS!$B$2:$D$91,3,FALSE()),"Asignatura"))</f>
      </c>
      <c r="D392">
        <f>SUMPRODUCT((nCUENTA=1)*(nCURSO=A392)*(nASIG=B392))</f>
        <v>0</v>
      </c>
      <c r="E392" s="10" t="str">
        <f>IFERROR(SUMPRODUCT((nCUENTA=1)*(nCURSO=A392)*(nASIG=B392)*(nNOTA))/D392,"—")</f>
        <v>—</v>
      </c>
      <c r="F392" s="10" t="str" cm="1">
        <f t="array" ref="F392">IFERROR(_xlfn.STDEV.P(_xlfn._xlws.FILTER(nNOTA,(nCUENTA=1)*(nCURSO=A392)*(nASIG=B392))),"—")</f>
        <v>—</v>
      </c>
      <c r="G392" t="str" cm="1">
        <f t="array" ref="G392">IFERROR(_xlfn.MODE.SNGL(_xlfn._xlws.FILTER(nNOTA,(nCUENTA=1)*(nCURSO=A392)*(nASIG=B392))),"—")</f>
        <v>—</v>
      </c>
      <c r="H392" s="11" t="str">
        <f>IFERROR(SUMPRODUCT((nCUENTA=1)*(nCURSO=A392)*(nASIG=B392)*(nAPTO="S"))/D392,"—")</f>
        <v>—</v>
      </c>
      <c r="I392" s="11" t="str">
        <f>IFERROR(SUMPRODUCT((nCUENTA=1)*(nCURSO=A392)*(nASIG=B392)*(nAPTO="N"))/D392,"—")</f>
        <v>—</v>
      </c>
      <c r="J392" t="str" cm="1">
        <f t="array" ref="J392">IFERROR(_xlfn.MODE.SNGL(_xlfn._xlws.FILTER(nNOTA,(nCUENTA=1)*(nCURSO=A392)*(nASIG=B392)*(nAPTO="S"))),"—")</f>
        <v>—</v>
      </c>
      <c r="K392" t="str" cm="1">
        <f t="array" ref="K392">IFERROR(_xlfn.MODE.SNGL(_xlfn._xlws.FILTER(nNOTA,(nCUENTA=1)*(nCURSO=A392)*(nASIG=B392)*(nAPTO="N"))),"—")</f>
        <v>—</v>
      </c>
      <c r="L392">
        <f>SUMPRODUCT((nCUENTA=1)*(nCURSO=A392)*(nASIG=B392)*(nNOTA=1))</f>
        <v>0</v>
      </c>
      <c r="M392">
        <f>SUMPRODUCT((nCUENTA=1)*(nCURSO=A392)*(nASIG=B392)*(nNOTA=2))</f>
        <v>0</v>
      </c>
      <c r="N392">
        <f>SUMPRODUCT((nCUENTA=1)*(nCURSO=A392)*(nASIG=B392)*(nNOTA=3))</f>
        <v>0</v>
      </c>
      <c r="O392">
        <f>SUMPRODUCT((nCUENTA=1)*(nCURSO=A392)*(nASIG=B392)*(nNOTA=4))</f>
        <v>0</v>
      </c>
      <c r="P392">
        <f>SUMPRODUCT((nCUENTA=1)*(nCURSO=A392)*(nASIG=B392)*(nNOTA=5))</f>
        <v>0</v>
      </c>
      <c r="Q392">
        <f>SUMPRODUCT((nCUENTA=1)*(nCURSO=A392)*(nASIG=B392)*(nNOTA=6))</f>
        <v>0</v>
      </c>
      <c r="R392">
        <f>SUMPRODUCT((nCUENTA=1)*(nCURSO=A392)*(nASIG=B392)*(nNOTA=7))</f>
        <v>0</v>
      </c>
      <c r="S392">
        <f>SUMPRODUCT((nCUENTA=1)*(nCURSO=A392)*(nASIG=B392)*(nNOTA=8))</f>
        <v>0</v>
      </c>
      <c r="T392">
        <f>SUMPRODUCT((nCUENTA=1)*(nCURSO=A392)*(nASIG=B392)*(nNOTA=9))</f>
        <v>0</v>
      </c>
      <c r="U392">
        <f>SUMPRODUCT((nCUENTA=1)*(nCURSO=A392)*(nASIG=B392)*(nNOTA=10))</f>
        <v>0</v>
      </c>
    </row>
    <row r="393">
      <c r="A393" t="inlineStr">
        <is>
          <t xml:space="preserve">6EPM</t>
        </is>
      </c>
      <c r="B393" cm="1">
        <f t="array" ref="B393">IFERROR(INDEX(_xlfn._xlws.FILTER(CONFIG_ASIGNATURAS!$B$2:$B$91,(CONFIG_ASIGNATURAS!$G$2:$G$91="Sí")*ISNUMBER(SEARCH("6EPM",CONFIG_ASIGNATURAS!$C$2:$C$91))),10),"")</f>
      </c>
      <c r="C393">
        <f>IF(B393="","",IFERROR(VLOOKUP(B393,CONFIG_ASIGNATURAS!$B$2:$D$91,3,FALSE()),"Asignatura"))</f>
      </c>
      <c r="D393">
        <f>SUMPRODUCT((nCUENTA=1)*(nCURSO=A393)*(nASIG=B393))</f>
        <v>0</v>
      </c>
      <c r="E393" s="10" t="str">
        <f>IFERROR(SUMPRODUCT((nCUENTA=1)*(nCURSO=A393)*(nASIG=B393)*(nNOTA))/D393,"—")</f>
        <v>—</v>
      </c>
      <c r="F393" s="10" t="str" cm="1">
        <f t="array" ref="F393">IFERROR(_xlfn.STDEV.P(_xlfn._xlws.FILTER(nNOTA,(nCUENTA=1)*(nCURSO=A393)*(nASIG=B393))),"—")</f>
        <v>—</v>
      </c>
      <c r="G393" t="str" cm="1">
        <f t="array" ref="G393">IFERROR(_xlfn.MODE.SNGL(_xlfn._xlws.FILTER(nNOTA,(nCUENTA=1)*(nCURSO=A393)*(nASIG=B393))),"—")</f>
        <v>—</v>
      </c>
      <c r="H393" s="11" t="str">
        <f>IFERROR(SUMPRODUCT((nCUENTA=1)*(nCURSO=A393)*(nASIG=B393)*(nAPTO="S"))/D393,"—")</f>
        <v>—</v>
      </c>
      <c r="I393" s="11" t="str">
        <f>IFERROR(SUMPRODUCT((nCUENTA=1)*(nCURSO=A393)*(nASIG=B393)*(nAPTO="N"))/D393,"—")</f>
        <v>—</v>
      </c>
      <c r="J393" t="str" cm="1">
        <f t="array" ref="J393">IFERROR(_xlfn.MODE.SNGL(_xlfn._xlws.FILTER(nNOTA,(nCUENTA=1)*(nCURSO=A393)*(nASIG=B393)*(nAPTO="S"))),"—")</f>
        <v>—</v>
      </c>
      <c r="K393" t="str" cm="1">
        <f t="array" ref="K393">IFERROR(_xlfn.MODE.SNGL(_xlfn._xlws.FILTER(nNOTA,(nCUENTA=1)*(nCURSO=A393)*(nASIG=B393)*(nAPTO="N"))),"—")</f>
        <v>—</v>
      </c>
      <c r="L393">
        <f>SUMPRODUCT((nCUENTA=1)*(nCURSO=A393)*(nASIG=B393)*(nNOTA=1))</f>
        <v>0</v>
      </c>
      <c r="M393">
        <f>SUMPRODUCT((nCUENTA=1)*(nCURSO=A393)*(nASIG=B393)*(nNOTA=2))</f>
        <v>0</v>
      </c>
      <c r="N393">
        <f>SUMPRODUCT((nCUENTA=1)*(nCURSO=A393)*(nASIG=B393)*(nNOTA=3))</f>
        <v>0</v>
      </c>
      <c r="O393">
        <f>SUMPRODUCT((nCUENTA=1)*(nCURSO=A393)*(nASIG=B393)*(nNOTA=4))</f>
        <v>0</v>
      </c>
      <c r="P393">
        <f>SUMPRODUCT((nCUENTA=1)*(nCURSO=A393)*(nASIG=B393)*(nNOTA=5))</f>
        <v>0</v>
      </c>
      <c r="Q393">
        <f>SUMPRODUCT((nCUENTA=1)*(nCURSO=A393)*(nASIG=B393)*(nNOTA=6))</f>
        <v>0</v>
      </c>
      <c r="R393">
        <f>SUMPRODUCT((nCUENTA=1)*(nCURSO=A393)*(nASIG=B393)*(nNOTA=7))</f>
        <v>0</v>
      </c>
      <c r="S393">
        <f>SUMPRODUCT((nCUENTA=1)*(nCURSO=A393)*(nASIG=B393)*(nNOTA=8))</f>
        <v>0</v>
      </c>
      <c r="T393">
        <f>SUMPRODUCT((nCUENTA=1)*(nCURSO=A393)*(nASIG=B393)*(nNOTA=9))</f>
        <v>0</v>
      </c>
      <c r="U393">
        <f>SUMPRODUCT((nCUENTA=1)*(nCURSO=A393)*(nASIG=B393)*(nNOTA=10))</f>
        <v>0</v>
      </c>
    </row>
    <row r="394">
      <c r="A394" t="inlineStr">
        <is>
          <t xml:space="preserve">6EPM</t>
        </is>
      </c>
      <c r="B394" cm="1">
        <f t="array" ref="B394">IFERROR(INDEX(_xlfn._xlws.FILTER(CONFIG_ASIGNATURAS!$B$2:$B$91,(CONFIG_ASIGNATURAS!$G$2:$G$91="Sí")*ISNUMBER(SEARCH("6EPM",CONFIG_ASIGNATURAS!$C$2:$C$91))),11),"")</f>
      </c>
      <c r="C394">
        <f>IF(B394="","",IFERROR(VLOOKUP(B394,CONFIG_ASIGNATURAS!$B$2:$D$91,3,FALSE()),"Asignatura"))</f>
      </c>
      <c r="D394">
        <f>SUMPRODUCT((nCUENTA=1)*(nCURSO=A394)*(nASIG=B394))</f>
        <v>0</v>
      </c>
      <c r="E394" s="10" t="str">
        <f>IFERROR(SUMPRODUCT((nCUENTA=1)*(nCURSO=A394)*(nASIG=B394)*(nNOTA))/D394,"—")</f>
        <v>—</v>
      </c>
      <c r="F394" s="10" t="str" cm="1">
        <f t="array" ref="F394">IFERROR(_xlfn.STDEV.P(_xlfn._xlws.FILTER(nNOTA,(nCUENTA=1)*(nCURSO=A394)*(nASIG=B394))),"—")</f>
        <v>—</v>
      </c>
      <c r="G394" t="str" cm="1">
        <f t="array" ref="G394">IFERROR(_xlfn.MODE.SNGL(_xlfn._xlws.FILTER(nNOTA,(nCUENTA=1)*(nCURSO=A394)*(nASIG=B394))),"—")</f>
        <v>—</v>
      </c>
      <c r="H394" s="11" t="str">
        <f>IFERROR(SUMPRODUCT((nCUENTA=1)*(nCURSO=A394)*(nASIG=B394)*(nAPTO="S"))/D394,"—")</f>
        <v>—</v>
      </c>
      <c r="I394" s="11" t="str">
        <f>IFERROR(SUMPRODUCT((nCUENTA=1)*(nCURSO=A394)*(nASIG=B394)*(nAPTO="N"))/D394,"—")</f>
        <v>—</v>
      </c>
      <c r="J394" t="str" cm="1">
        <f t="array" ref="J394">IFERROR(_xlfn.MODE.SNGL(_xlfn._xlws.FILTER(nNOTA,(nCUENTA=1)*(nCURSO=A394)*(nASIG=B394)*(nAPTO="S"))),"—")</f>
        <v>—</v>
      </c>
      <c r="K394" t="str" cm="1">
        <f t="array" ref="K394">IFERROR(_xlfn.MODE.SNGL(_xlfn._xlws.FILTER(nNOTA,(nCUENTA=1)*(nCURSO=A394)*(nASIG=B394)*(nAPTO="N"))),"—")</f>
        <v>—</v>
      </c>
      <c r="L394">
        <f>SUMPRODUCT((nCUENTA=1)*(nCURSO=A394)*(nASIG=B394)*(nNOTA=1))</f>
        <v>0</v>
      </c>
      <c r="M394">
        <f>SUMPRODUCT((nCUENTA=1)*(nCURSO=A394)*(nASIG=B394)*(nNOTA=2))</f>
        <v>0</v>
      </c>
      <c r="N394">
        <f>SUMPRODUCT((nCUENTA=1)*(nCURSO=A394)*(nASIG=B394)*(nNOTA=3))</f>
        <v>0</v>
      </c>
      <c r="O394">
        <f>SUMPRODUCT((nCUENTA=1)*(nCURSO=A394)*(nASIG=B394)*(nNOTA=4))</f>
        <v>0</v>
      </c>
      <c r="P394">
        <f>SUMPRODUCT((nCUENTA=1)*(nCURSO=A394)*(nASIG=B394)*(nNOTA=5))</f>
        <v>0</v>
      </c>
      <c r="Q394">
        <f>SUMPRODUCT((nCUENTA=1)*(nCURSO=A394)*(nASIG=B394)*(nNOTA=6))</f>
        <v>0</v>
      </c>
      <c r="R394">
        <f>SUMPRODUCT((nCUENTA=1)*(nCURSO=A394)*(nASIG=B394)*(nNOTA=7))</f>
        <v>0</v>
      </c>
      <c r="S394">
        <f>SUMPRODUCT((nCUENTA=1)*(nCURSO=A394)*(nASIG=B394)*(nNOTA=8))</f>
        <v>0</v>
      </c>
      <c r="T394">
        <f>SUMPRODUCT((nCUENTA=1)*(nCURSO=A394)*(nASIG=B394)*(nNOTA=9))</f>
        <v>0</v>
      </c>
      <c r="U394">
        <f>SUMPRODUCT((nCUENTA=1)*(nCURSO=A394)*(nASIG=B394)*(nNOTA=10))</f>
        <v>0</v>
      </c>
    </row>
    <row r="395">
      <c r="A395" t="inlineStr">
        <is>
          <t xml:space="preserve">6EPM</t>
        </is>
      </c>
      <c r="B395" cm="1">
        <f t="array" ref="B395">IFERROR(INDEX(_xlfn._xlws.FILTER(CONFIG_ASIGNATURAS!$B$2:$B$91,(CONFIG_ASIGNATURAS!$G$2:$G$91="Sí")*ISNUMBER(SEARCH("6EPM",CONFIG_ASIGNATURAS!$C$2:$C$91))),12),"")</f>
      </c>
      <c r="C395">
        <f>IF(B395="","",IFERROR(VLOOKUP(B395,CONFIG_ASIGNATURAS!$B$2:$D$91,3,FALSE()),"Asignatura"))</f>
      </c>
      <c r="D395">
        <f>SUMPRODUCT((nCUENTA=1)*(nCURSO=A395)*(nASIG=B395))</f>
        <v>0</v>
      </c>
      <c r="E395" s="10" t="str">
        <f>IFERROR(SUMPRODUCT((nCUENTA=1)*(nCURSO=A395)*(nASIG=B395)*(nNOTA))/D395,"—")</f>
        <v>—</v>
      </c>
      <c r="F395" s="10" t="str" cm="1">
        <f t="array" ref="F395">IFERROR(_xlfn.STDEV.P(_xlfn._xlws.FILTER(nNOTA,(nCUENTA=1)*(nCURSO=A395)*(nASIG=B395))),"—")</f>
        <v>—</v>
      </c>
      <c r="G395" t="str" cm="1">
        <f t="array" ref="G395">IFERROR(_xlfn.MODE.SNGL(_xlfn._xlws.FILTER(nNOTA,(nCUENTA=1)*(nCURSO=A395)*(nASIG=B395))),"—")</f>
        <v>—</v>
      </c>
      <c r="H395" s="11" t="str">
        <f>IFERROR(SUMPRODUCT((nCUENTA=1)*(nCURSO=A395)*(nASIG=B395)*(nAPTO="S"))/D395,"—")</f>
        <v>—</v>
      </c>
      <c r="I395" s="11" t="str">
        <f>IFERROR(SUMPRODUCT((nCUENTA=1)*(nCURSO=A395)*(nASIG=B395)*(nAPTO="N"))/D395,"—")</f>
        <v>—</v>
      </c>
      <c r="J395" t="str" cm="1">
        <f t="array" ref="J395">IFERROR(_xlfn.MODE.SNGL(_xlfn._xlws.FILTER(nNOTA,(nCUENTA=1)*(nCURSO=A395)*(nASIG=B395)*(nAPTO="S"))),"—")</f>
        <v>—</v>
      </c>
      <c r="K395" t="str" cm="1">
        <f t="array" ref="K395">IFERROR(_xlfn.MODE.SNGL(_xlfn._xlws.FILTER(nNOTA,(nCUENTA=1)*(nCURSO=A395)*(nASIG=B395)*(nAPTO="N"))),"—")</f>
        <v>—</v>
      </c>
      <c r="L395">
        <f>SUMPRODUCT((nCUENTA=1)*(nCURSO=A395)*(nASIG=B395)*(nNOTA=1))</f>
        <v>0</v>
      </c>
      <c r="M395">
        <f>SUMPRODUCT((nCUENTA=1)*(nCURSO=A395)*(nASIG=B395)*(nNOTA=2))</f>
        <v>0</v>
      </c>
      <c r="N395">
        <f>SUMPRODUCT((nCUENTA=1)*(nCURSO=A395)*(nASIG=B395)*(nNOTA=3))</f>
        <v>0</v>
      </c>
      <c r="O395">
        <f>SUMPRODUCT((nCUENTA=1)*(nCURSO=A395)*(nASIG=B395)*(nNOTA=4))</f>
        <v>0</v>
      </c>
      <c r="P395">
        <f>SUMPRODUCT((nCUENTA=1)*(nCURSO=A395)*(nASIG=B395)*(nNOTA=5))</f>
        <v>0</v>
      </c>
      <c r="Q395">
        <f>SUMPRODUCT((nCUENTA=1)*(nCURSO=A395)*(nASIG=B395)*(nNOTA=6))</f>
        <v>0</v>
      </c>
      <c r="R395">
        <f>SUMPRODUCT((nCUENTA=1)*(nCURSO=A395)*(nASIG=B395)*(nNOTA=7))</f>
        <v>0</v>
      </c>
      <c r="S395">
        <f>SUMPRODUCT((nCUENTA=1)*(nCURSO=A395)*(nASIG=B395)*(nNOTA=8))</f>
        <v>0</v>
      </c>
      <c r="T395">
        <f>SUMPRODUCT((nCUENTA=1)*(nCURSO=A395)*(nASIG=B395)*(nNOTA=9))</f>
        <v>0</v>
      </c>
      <c r="U395">
        <f>SUMPRODUCT((nCUENTA=1)*(nCURSO=A395)*(nASIG=B395)*(nNOTA=10))</f>
        <v>0</v>
      </c>
    </row>
    <row r="396">
      <c r="A396" t="inlineStr">
        <is>
          <t xml:space="preserve">6EPM</t>
        </is>
      </c>
      <c r="B396" cm="1">
        <f t="array" ref="B396">IFERROR(INDEX(_xlfn._xlws.FILTER(CONFIG_ASIGNATURAS!$B$2:$B$91,(CONFIG_ASIGNATURAS!$G$2:$G$91="Sí")*ISNUMBER(SEARCH("6EPM",CONFIG_ASIGNATURAS!$C$2:$C$91))),13),"")</f>
      </c>
      <c r="C396">
        <f>IF(B396="","",IFERROR(VLOOKUP(B396,CONFIG_ASIGNATURAS!$B$2:$D$91,3,FALSE()),"Asignatura"))</f>
      </c>
      <c r="D396">
        <f>SUMPRODUCT((nCUENTA=1)*(nCURSO=A396)*(nASIG=B396))</f>
        <v>0</v>
      </c>
      <c r="E396" s="10" t="str">
        <f>IFERROR(SUMPRODUCT((nCUENTA=1)*(nCURSO=A396)*(nASIG=B396)*(nNOTA))/D396,"—")</f>
        <v>—</v>
      </c>
      <c r="F396" s="10" t="str" cm="1">
        <f t="array" ref="F396">IFERROR(_xlfn.STDEV.P(_xlfn._xlws.FILTER(nNOTA,(nCUENTA=1)*(nCURSO=A396)*(nASIG=B396))),"—")</f>
        <v>—</v>
      </c>
      <c r="G396" t="str" cm="1">
        <f t="array" ref="G396">IFERROR(_xlfn.MODE.SNGL(_xlfn._xlws.FILTER(nNOTA,(nCUENTA=1)*(nCURSO=A396)*(nASIG=B396))),"—")</f>
        <v>—</v>
      </c>
      <c r="H396" s="11" t="str">
        <f>IFERROR(SUMPRODUCT((nCUENTA=1)*(nCURSO=A396)*(nASIG=B396)*(nAPTO="S"))/D396,"—")</f>
        <v>—</v>
      </c>
      <c r="I396" s="11" t="str">
        <f>IFERROR(SUMPRODUCT((nCUENTA=1)*(nCURSO=A396)*(nASIG=B396)*(nAPTO="N"))/D396,"—")</f>
        <v>—</v>
      </c>
      <c r="J396" t="str" cm="1">
        <f t="array" ref="J396">IFERROR(_xlfn.MODE.SNGL(_xlfn._xlws.FILTER(nNOTA,(nCUENTA=1)*(nCURSO=A396)*(nASIG=B396)*(nAPTO="S"))),"—")</f>
        <v>—</v>
      </c>
      <c r="K396" t="str" cm="1">
        <f t="array" ref="K396">IFERROR(_xlfn.MODE.SNGL(_xlfn._xlws.FILTER(nNOTA,(nCUENTA=1)*(nCURSO=A396)*(nASIG=B396)*(nAPTO="N"))),"—")</f>
        <v>—</v>
      </c>
      <c r="L396">
        <f>SUMPRODUCT((nCUENTA=1)*(nCURSO=A396)*(nASIG=B396)*(nNOTA=1))</f>
        <v>0</v>
      </c>
      <c r="M396">
        <f>SUMPRODUCT((nCUENTA=1)*(nCURSO=A396)*(nASIG=B396)*(nNOTA=2))</f>
        <v>0</v>
      </c>
      <c r="N396">
        <f>SUMPRODUCT((nCUENTA=1)*(nCURSO=A396)*(nASIG=B396)*(nNOTA=3))</f>
        <v>0</v>
      </c>
      <c r="O396">
        <f>SUMPRODUCT((nCUENTA=1)*(nCURSO=A396)*(nASIG=B396)*(nNOTA=4))</f>
        <v>0</v>
      </c>
      <c r="P396">
        <f>SUMPRODUCT((nCUENTA=1)*(nCURSO=A396)*(nASIG=B396)*(nNOTA=5))</f>
        <v>0</v>
      </c>
      <c r="Q396">
        <f>SUMPRODUCT((nCUENTA=1)*(nCURSO=A396)*(nASIG=B396)*(nNOTA=6))</f>
        <v>0</v>
      </c>
      <c r="R396">
        <f>SUMPRODUCT((nCUENTA=1)*(nCURSO=A396)*(nASIG=B396)*(nNOTA=7))</f>
        <v>0</v>
      </c>
      <c r="S396">
        <f>SUMPRODUCT((nCUENTA=1)*(nCURSO=A396)*(nASIG=B396)*(nNOTA=8))</f>
        <v>0</v>
      </c>
      <c r="T396">
        <f>SUMPRODUCT((nCUENTA=1)*(nCURSO=A396)*(nASIG=B396)*(nNOTA=9))</f>
        <v>0</v>
      </c>
      <c r="U396">
        <f>SUMPRODUCT((nCUENTA=1)*(nCURSO=A396)*(nASIG=B396)*(nNOTA=10))</f>
        <v>0</v>
      </c>
    </row>
    <row r="397">
      <c r="A397" t="inlineStr">
        <is>
          <t xml:space="preserve">6EPM</t>
        </is>
      </c>
      <c r="B397" cm="1">
        <f t="array" ref="B397">IFERROR(INDEX(_xlfn._xlws.FILTER(CONFIG_ASIGNATURAS!$B$2:$B$91,(CONFIG_ASIGNATURAS!$G$2:$G$91="Sí")*ISNUMBER(SEARCH("6EPM",CONFIG_ASIGNATURAS!$C$2:$C$91))),14),"")</f>
      </c>
      <c r="C397">
        <f>IF(B397="","",IFERROR(VLOOKUP(B397,CONFIG_ASIGNATURAS!$B$2:$D$91,3,FALSE()),"Asignatura"))</f>
      </c>
      <c r="D397">
        <f>SUMPRODUCT((nCUENTA=1)*(nCURSO=A397)*(nASIG=B397))</f>
        <v>0</v>
      </c>
      <c r="E397" s="10" t="str">
        <f>IFERROR(SUMPRODUCT((nCUENTA=1)*(nCURSO=A397)*(nASIG=B397)*(nNOTA))/D397,"—")</f>
        <v>—</v>
      </c>
      <c r="F397" s="10" t="str" cm="1">
        <f t="array" ref="F397">IFERROR(_xlfn.STDEV.P(_xlfn._xlws.FILTER(nNOTA,(nCUENTA=1)*(nCURSO=A397)*(nASIG=B397))),"—")</f>
        <v>—</v>
      </c>
      <c r="G397" t="str" cm="1">
        <f t="array" ref="G397">IFERROR(_xlfn.MODE.SNGL(_xlfn._xlws.FILTER(nNOTA,(nCUENTA=1)*(nCURSO=A397)*(nASIG=B397))),"—")</f>
        <v>—</v>
      </c>
      <c r="H397" s="11" t="str">
        <f>IFERROR(SUMPRODUCT((nCUENTA=1)*(nCURSO=A397)*(nASIG=B397)*(nAPTO="S"))/D397,"—")</f>
        <v>—</v>
      </c>
      <c r="I397" s="11" t="str">
        <f>IFERROR(SUMPRODUCT((nCUENTA=1)*(nCURSO=A397)*(nASIG=B397)*(nAPTO="N"))/D397,"—")</f>
        <v>—</v>
      </c>
      <c r="J397" t="str" cm="1">
        <f t="array" ref="J397">IFERROR(_xlfn.MODE.SNGL(_xlfn._xlws.FILTER(nNOTA,(nCUENTA=1)*(nCURSO=A397)*(nASIG=B397)*(nAPTO="S"))),"—")</f>
        <v>—</v>
      </c>
      <c r="K397" t="str" cm="1">
        <f t="array" ref="K397">IFERROR(_xlfn.MODE.SNGL(_xlfn._xlws.FILTER(nNOTA,(nCUENTA=1)*(nCURSO=A397)*(nASIG=B397)*(nAPTO="N"))),"—")</f>
        <v>—</v>
      </c>
      <c r="L397">
        <f>SUMPRODUCT((nCUENTA=1)*(nCURSO=A397)*(nASIG=B397)*(nNOTA=1))</f>
        <v>0</v>
      </c>
      <c r="M397">
        <f>SUMPRODUCT((nCUENTA=1)*(nCURSO=A397)*(nASIG=B397)*(nNOTA=2))</f>
        <v>0</v>
      </c>
      <c r="N397">
        <f>SUMPRODUCT((nCUENTA=1)*(nCURSO=A397)*(nASIG=B397)*(nNOTA=3))</f>
        <v>0</v>
      </c>
      <c r="O397">
        <f>SUMPRODUCT((nCUENTA=1)*(nCURSO=A397)*(nASIG=B397)*(nNOTA=4))</f>
        <v>0</v>
      </c>
      <c r="P397">
        <f>SUMPRODUCT((nCUENTA=1)*(nCURSO=A397)*(nASIG=B397)*(nNOTA=5))</f>
        <v>0</v>
      </c>
      <c r="Q397">
        <f>SUMPRODUCT((nCUENTA=1)*(nCURSO=A397)*(nASIG=B397)*(nNOTA=6))</f>
        <v>0</v>
      </c>
      <c r="R397">
        <f>SUMPRODUCT((nCUENTA=1)*(nCURSO=A397)*(nASIG=B397)*(nNOTA=7))</f>
        <v>0</v>
      </c>
      <c r="S397">
        <f>SUMPRODUCT((nCUENTA=1)*(nCURSO=A397)*(nASIG=B397)*(nNOTA=8))</f>
        <v>0</v>
      </c>
      <c r="T397">
        <f>SUMPRODUCT((nCUENTA=1)*(nCURSO=A397)*(nASIG=B397)*(nNOTA=9))</f>
        <v>0</v>
      </c>
      <c r="U397">
        <f>SUMPRODUCT((nCUENTA=1)*(nCURSO=A397)*(nASIG=B397)*(nNOTA=10))</f>
        <v>0</v>
      </c>
    </row>
    <row r="398">
      <c r="A398" t="inlineStr">
        <is>
          <t xml:space="preserve">6EPM</t>
        </is>
      </c>
      <c r="B398" cm="1">
        <f t="array" ref="B398">IFERROR(INDEX(_xlfn._xlws.FILTER(CONFIG_ASIGNATURAS!$B$2:$B$91,(CONFIG_ASIGNATURAS!$G$2:$G$91="Sí")*ISNUMBER(SEARCH("6EPM",CONFIG_ASIGNATURAS!$C$2:$C$91))),15),"")</f>
      </c>
      <c r="C398">
        <f>IF(B398="","",IFERROR(VLOOKUP(B398,CONFIG_ASIGNATURAS!$B$2:$D$91,3,FALSE()),"Asignatura"))</f>
      </c>
      <c r="D398">
        <f>SUMPRODUCT((nCUENTA=1)*(nCURSO=A398)*(nASIG=B398))</f>
        <v>0</v>
      </c>
      <c r="E398" s="10" t="str">
        <f>IFERROR(SUMPRODUCT((nCUENTA=1)*(nCURSO=A398)*(nASIG=B398)*(nNOTA))/D398,"—")</f>
        <v>—</v>
      </c>
      <c r="F398" s="10" t="str" cm="1">
        <f t="array" ref="F398">IFERROR(_xlfn.STDEV.P(_xlfn._xlws.FILTER(nNOTA,(nCUENTA=1)*(nCURSO=A398)*(nASIG=B398))),"—")</f>
        <v>—</v>
      </c>
      <c r="G398" t="str" cm="1">
        <f t="array" ref="G398">IFERROR(_xlfn.MODE.SNGL(_xlfn._xlws.FILTER(nNOTA,(nCUENTA=1)*(nCURSO=A398)*(nASIG=B398))),"—")</f>
        <v>—</v>
      </c>
      <c r="H398" s="11" t="str">
        <f>IFERROR(SUMPRODUCT((nCUENTA=1)*(nCURSO=A398)*(nASIG=B398)*(nAPTO="S"))/D398,"—")</f>
        <v>—</v>
      </c>
      <c r="I398" s="11" t="str">
        <f>IFERROR(SUMPRODUCT((nCUENTA=1)*(nCURSO=A398)*(nASIG=B398)*(nAPTO="N"))/D398,"—")</f>
        <v>—</v>
      </c>
      <c r="J398" t="str" cm="1">
        <f t="array" ref="J398">IFERROR(_xlfn.MODE.SNGL(_xlfn._xlws.FILTER(nNOTA,(nCUENTA=1)*(nCURSO=A398)*(nASIG=B398)*(nAPTO="S"))),"—")</f>
        <v>—</v>
      </c>
      <c r="K398" t="str" cm="1">
        <f t="array" ref="K398">IFERROR(_xlfn.MODE.SNGL(_xlfn._xlws.FILTER(nNOTA,(nCUENTA=1)*(nCURSO=A398)*(nASIG=B398)*(nAPTO="N"))),"—")</f>
        <v>—</v>
      </c>
      <c r="L398">
        <f>SUMPRODUCT((nCUENTA=1)*(nCURSO=A398)*(nASIG=B398)*(nNOTA=1))</f>
        <v>0</v>
      </c>
      <c r="M398">
        <f>SUMPRODUCT((nCUENTA=1)*(nCURSO=A398)*(nASIG=B398)*(nNOTA=2))</f>
        <v>0</v>
      </c>
      <c r="N398">
        <f>SUMPRODUCT((nCUENTA=1)*(nCURSO=A398)*(nASIG=B398)*(nNOTA=3))</f>
        <v>0</v>
      </c>
      <c r="O398">
        <f>SUMPRODUCT((nCUENTA=1)*(nCURSO=A398)*(nASIG=B398)*(nNOTA=4))</f>
        <v>0</v>
      </c>
      <c r="P398">
        <f>SUMPRODUCT((nCUENTA=1)*(nCURSO=A398)*(nASIG=B398)*(nNOTA=5))</f>
        <v>0</v>
      </c>
      <c r="Q398">
        <f>SUMPRODUCT((nCUENTA=1)*(nCURSO=A398)*(nASIG=B398)*(nNOTA=6))</f>
        <v>0</v>
      </c>
      <c r="R398">
        <f>SUMPRODUCT((nCUENTA=1)*(nCURSO=A398)*(nASIG=B398)*(nNOTA=7))</f>
        <v>0</v>
      </c>
      <c r="S398">
        <f>SUMPRODUCT((nCUENTA=1)*(nCURSO=A398)*(nASIG=B398)*(nNOTA=8))</f>
        <v>0</v>
      </c>
      <c r="T398">
        <f>SUMPRODUCT((nCUENTA=1)*(nCURSO=A398)*(nASIG=B398)*(nNOTA=9))</f>
        <v>0</v>
      </c>
      <c r="U398">
        <f>SUMPRODUCT((nCUENTA=1)*(nCURSO=A398)*(nASIG=B398)*(nNOTA=10))</f>
        <v>0</v>
      </c>
    </row>
    <row r="399">
      <c r="A399" t="inlineStr">
        <is>
          <t xml:space="preserve">6EPM</t>
        </is>
      </c>
      <c r="B399" cm="1">
        <f t="array" ref="B399">IFERROR(INDEX(_xlfn._xlws.FILTER(CONFIG_ASIGNATURAS!$B$2:$B$91,(CONFIG_ASIGNATURAS!$G$2:$G$91="Sí")*ISNUMBER(SEARCH("6EPM",CONFIG_ASIGNATURAS!$C$2:$C$91))),16),"")</f>
      </c>
      <c r="C399">
        <f>IF(B399="","",IFERROR(VLOOKUP(B399,CONFIG_ASIGNATURAS!$B$2:$D$91,3,FALSE()),"Asignatura"))</f>
      </c>
      <c r="D399">
        <f>SUMPRODUCT((nCUENTA=1)*(nCURSO=A399)*(nASIG=B399))</f>
        <v>0</v>
      </c>
      <c r="E399" s="10" t="str">
        <f>IFERROR(SUMPRODUCT((nCUENTA=1)*(nCURSO=A399)*(nASIG=B399)*(nNOTA))/D399,"—")</f>
        <v>—</v>
      </c>
      <c r="F399" s="10" t="str" cm="1">
        <f t="array" ref="F399">IFERROR(_xlfn.STDEV.P(_xlfn._xlws.FILTER(nNOTA,(nCUENTA=1)*(nCURSO=A399)*(nASIG=B399))),"—")</f>
        <v>—</v>
      </c>
      <c r="G399" t="str" cm="1">
        <f t="array" ref="G399">IFERROR(_xlfn.MODE.SNGL(_xlfn._xlws.FILTER(nNOTA,(nCUENTA=1)*(nCURSO=A399)*(nASIG=B399))),"—")</f>
        <v>—</v>
      </c>
      <c r="H399" s="11" t="str">
        <f>IFERROR(SUMPRODUCT((nCUENTA=1)*(nCURSO=A399)*(nASIG=B399)*(nAPTO="S"))/D399,"—")</f>
        <v>—</v>
      </c>
      <c r="I399" s="11" t="str">
        <f>IFERROR(SUMPRODUCT((nCUENTA=1)*(nCURSO=A399)*(nASIG=B399)*(nAPTO="N"))/D399,"—")</f>
        <v>—</v>
      </c>
      <c r="J399" t="str" cm="1">
        <f t="array" ref="J399">IFERROR(_xlfn.MODE.SNGL(_xlfn._xlws.FILTER(nNOTA,(nCUENTA=1)*(nCURSO=A399)*(nASIG=B399)*(nAPTO="S"))),"—")</f>
        <v>—</v>
      </c>
      <c r="K399" t="str" cm="1">
        <f t="array" ref="K399">IFERROR(_xlfn.MODE.SNGL(_xlfn._xlws.FILTER(nNOTA,(nCUENTA=1)*(nCURSO=A399)*(nASIG=B399)*(nAPTO="N"))),"—")</f>
        <v>—</v>
      </c>
      <c r="L399">
        <f>SUMPRODUCT((nCUENTA=1)*(nCURSO=A399)*(nASIG=B399)*(nNOTA=1))</f>
        <v>0</v>
      </c>
      <c r="M399">
        <f>SUMPRODUCT((nCUENTA=1)*(nCURSO=A399)*(nASIG=B399)*(nNOTA=2))</f>
        <v>0</v>
      </c>
      <c r="N399">
        <f>SUMPRODUCT((nCUENTA=1)*(nCURSO=A399)*(nASIG=B399)*(nNOTA=3))</f>
        <v>0</v>
      </c>
      <c r="O399">
        <f>SUMPRODUCT((nCUENTA=1)*(nCURSO=A399)*(nASIG=B399)*(nNOTA=4))</f>
        <v>0</v>
      </c>
      <c r="P399">
        <f>SUMPRODUCT((nCUENTA=1)*(nCURSO=A399)*(nASIG=B399)*(nNOTA=5))</f>
        <v>0</v>
      </c>
      <c r="Q399">
        <f>SUMPRODUCT((nCUENTA=1)*(nCURSO=A399)*(nASIG=B399)*(nNOTA=6))</f>
        <v>0</v>
      </c>
      <c r="R399">
        <f>SUMPRODUCT((nCUENTA=1)*(nCURSO=A399)*(nASIG=B399)*(nNOTA=7))</f>
        <v>0</v>
      </c>
      <c r="S399">
        <f>SUMPRODUCT((nCUENTA=1)*(nCURSO=A399)*(nASIG=B399)*(nNOTA=8))</f>
        <v>0</v>
      </c>
      <c r="T399">
        <f>SUMPRODUCT((nCUENTA=1)*(nCURSO=A399)*(nASIG=B399)*(nNOTA=9))</f>
        <v>0</v>
      </c>
      <c r="U399">
        <f>SUMPRODUCT((nCUENTA=1)*(nCURSO=A399)*(nASIG=B399)*(nNOTA=10))</f>
        <v>0</v>
      </c>
    </row>
    <row r="400">
      <c r="A400" t="inlineStr">
        <is>
          <t xml:space="preserve">6EPM</t>
        </is>
      </c>
      <c r="B400" cm="1">
        <f t="array" ref="B400">IFERROR(INDEX(_xlfn._xlws.FILTER(CONFIG_ASIGNATURAS!$B$2:$B$91,(CONFIG_ASIGNATURAS!$G$2:$G$91="Sí")*ISNUMBER(SEARCH("6EPM",CONFIG_ASIGNATURAS!$C$2:$C$91))),17),"")</f>
      </c>
      <c r="C400">
        <f>IF(B400="","",IFERROR(VLOOKUP(B400,CONFIG_ASIGNATURAS!$B$2:$D$91,3,FALSE()),"Asignatura"))</f>
      </c>
      <c r="D400">
        <f>SUMPRODUCT((nCUENTA=1)*(nCURSO=A400)*(nASIG=B400))</f>
        <v>0</v>
      </c>
      <c r="E400" s="10" t="str">
        <f>IFERROR(SUMPRODUCT((nCUENTA=1)*(nCURSO=A400)*(nASIG=B400)*(nNOTA))/D400,"—")</f>
        <v>—</v>
      </c>
      <c r="F400" s="10" t="str" cm="1">
        <f t="array" ref="F400">IFERROR(_xlfn.STDEV.P(_xlfn._xlws.FILTER(nNOTA,(nCUENTA=1)*(nCURSO=A400)*(nASIG=B400))),"—")</f>
        <v>—</v>
      </c>
      <c r="G400" t="str" cm="1">
        <f t="array" ref="G400">IFERROR(_xlfn.MODE.SNGL(_xlfn._xlws.FILTER(nNOTA,(nCUENTA=1)*(nCURSO=A400)*(nASIG=B400))),"—")</f>
        <v>—</v>
      </c>
      <c r="H400" s="11" t="str">
        <f>IFERROR(SUMPRODUCT((nCUENTA=1)*(nCURSO=A400)*(nASIG=B400)*(nAPTO="S"))/D400,"—")</f>
        <v>—</v>
      </c>
      <c r="I400" s="11" t="str">
        <f>IFERROR(SUMPRODUCT((nCUENTA=1)*(nCURSO=A400)*(nASIG=B400)*(nAPTO="N"))/D400,"—")</f>
        <v>—</v>
      </c>
      <c r="J400" t="str" cm="1">
        <f t="array" ref="J400">IFERROR(_xlfn.MODE.SNGL(_xlfn._xlws.FILTER(nNOTA,(nCUENTA=1)*(nCURSO=A400)*(nASIG=B400)*(nAPTO="S"))),"—")</f>
        <v>—</v>
      </c>
      <c r="K400" t="str" cm="1">
        <f t="array" ref="K400">IFERROR(_xlfn.MODE.SNGL(_xlfn._xlws.FILTER(nNOTA,(nCUENTA=1)*(nCURSO=A400)*(nASIG=B400)*(nAPTO="N"))),"—")</f>
        <v>—</v>
      </c>
      <c r="L400">
        <f>SUMPRODUCT((nCUENTA=1)*(nCURSO=A400)*(nASIG=B400)*(nNOTA=1))</f>
        <v>0</v>
      </c>
      <c r="M400">
        <f>SUMPRODUCT((nCUENTA=1)*(nCURSO=A400)*(nASIG=B400)*(nNOTA=2))</f>
        <v>0</v>
      </c>
      <c r="N400">
        <f>SUMPRODUCT((nCUENTA=1)*(nCURSO=A400)*(nASIG=B400)*(nNOTA=3))</f>
        <v>0</v>
      </c>
      <c r="O400">
        <f>SUMPRODUCT((nCUENTA=1)*(nCURSO=A400)*(nASIG=B400)*(nNOTA=4))</f>
        <v>0</v>
      </c>
      <c r="P400">
        <f>SUMPRODUCT((nCUENTA=1)*(nCURSO=A400)*(nASIG=B400)*(nNOTA=5))</f>
        <v>0</v>
      </c>
      <c r="Q400">
        <f>SUMPRODUCT((nCUENTA=1)*(nCURSO=A400)*(nASIG=B400)*(nNOTA=6))</f>
        <v>0</v>
      </c>
      <c r="R400">
        <f>SUMPRODUCT((nCUENTA=1)*(nCURSO=A400)*(nASIG=B400)*(nNOTA=7))</f>
        <v>0</v>
      </c>
      <c r="S400">
        <f>SUMPRODUCT((nCUENTA=1)*(nCURSO=A400)*(nASIG=B400)*(nNOTA=8))</f>
        <v>0</v>
      </c>
      <c r="T400">
        <f>SUMPRODUCT((nCUENTA=1)*(nCURSO=A400)*(nASIG=B400)*(nNOTA=9))</f>
        <v>0</v>
      </c>
      <c r="U400">
        <f>SUMPRODUCT((nCUENTA=1)*(nCURSO=A400)*(nASIG=B400)*(nNOTA=10))</f>
        <v>0</v>
      </c>
    </row>
    <row r="401">
      <c r="A401" t="inlineStr">
        <is>
          <t xml:space="preserve">6EPM</t>
        </is>
      </c>
      <c r="B401" cm="1">
        <f t="array" ref="B401">IFERROR(INDEX(_xlfn._xlws.FILTER(CONFIG_ASIGNATURAS!$B$2:$B$91,(CONFIG_ASIGNATURAS!$G$2:$G$91="Sí")*ISNUMBER(SEARCH("6EPM",CONFIG_ASIGNATURAS!$C$2:$C$91))),18),"")</f>
      </c>
      <c r="C401">
        <f>IF(B401="","",IFERROR(VLOOKUP(B401,CONFIG_ASIGNATURAS!$B$2:$D$91,3,FALSE()),"Asignatura"))</f>
      </c>
      <c r="D401">
        <f>SUMPRODUCT((nCUENTA=1)*(nCURSO=A401)*(nASIG=B401))</f>
        <v>0</v>
      </c>
      <c r="E401" s="10" t="str">
        <f>IFERROR(SUMPRODUCT((nCUENTA=1)*(nCURSO=A401)*(nASIG=B401)*(nNOTA))/D401,"—")</f>
        <v>—</v>
      </c>
      <c r="F401" s="10" t="str" cm="1">
        <f t="array" ref="F401">IFERROR(_xlfn.STDEV.P(_xlfn._xlws.FILTER(nNOTA,(nCUENTA=1)*(nCURSO=A401)*(nASIG=B401))),"—")</f>
        <v>—</v>
      </c>
      <c r="G401" t="str" cm="1">
        <f t="array" ref="G401">IFERROR(_xlfn.MODE.SNGL(_xlfn._xlws.FILTER(nNOTA,(nCUENTA=1)*(nCURSO=A401)*(nASIG=B401))),"—")</f>
        <v>—</v>
      </c>
      <c r="H401" s="11" t="str">
        <f>IFERROR(SUMPRODUCT((nCUENTA=1)*(nCURSO=A401)*(nASIG=B401)*(nAPTO="S"))/D401,"—")</f>
        <v>—</v>
      </c>
      <c r="I401" s="11" t="str">
        <f>IFERROR(SUMPRODUCT((nCUENTA=1)*(nCURSO=A401)*(nASIG=B401)*(nAPTO="N"))/D401,"—")</f>
        <v>—</v>
      </c>
      <c r="J401" t="str" cm="1">
        <f t="array" ref="J401">IFERROR(_xlfn.MODE.SNGL(_xlfn._xlws.FILTER(nNOTA,(nCUENTA=1)*(nCURSO=A401)*(nASIG=B401)*(nAPTO="S"))),"—")</f>
        <v>—</v>
      </c>
      <c r="K401" t="str" cm="1">
        <f t="array" ref="K401">IFERROR(_xlfn.MODE.SNGL(_xlfn._xlws.FILTER(nNOTA,(nCUENTA=1)*(nCURSO=A401)*(nASIG=B401)*(nAPTO="N"))),"—")</f>
        <v>—</v>
      </c>
      <c r="L401">
        <f>SUMPRODUCT((nCUENTA=1)*(nCURSO=A401)*(nASIG=B401)*(nNOTA=1))</f>
        <v>0</v>
      </c>
      <c r="M401">
        <f>SUMPRODUCT((nCUENTA=1)*(nCURSO=A401)*(nASIG=B401)*(nNOTA=2))</f>
        <v>0</v>
      </c>
      <c r="N401">
        <f>SUMPRODUCT((nCUENTA=1)*(nCURSO=A401)*(nASIG=B401)*(nNOTA=3))</f>
        <v>0</v>
      </c>
      <c r="O401">
        <f>SUMPRODUCT((nCUENTA=1)*(nCURSO=A401)*(nASIG=B401)*(nNOTA=4))</f>
        <v>0</v>
      </c>
      <c r="P401">
        <f>SUMPRODUCT((nCUENTA=1)*(nCURSO=A401)*(nASIG=B401)*(nNOTA=5))</f>
        <v>0</v>
      </c>
      <c r="Q401">
        <f>SUMPRODUCT((nCUENTA=1)*(nCURSO=A401)*(nASIG=B401)*(nNOTA=6))</f>
        <v>0</v>
      </c>
      <c r="R401">
        <f>SUMPRODUCT((nCUENTA=1)*(nCURSO=A401)*(nASIG=B401)*(nNOTA=7))</f>
        <v>0</v>
      </c>
      <c r="S401">
        <f>SUMPRODUCT((nCUENTA=1)*(nCURSO=A401)*(nASIG=B401)*(nNOTA=8))</f>
        <v>0</v>
      </c>
      <c r="T401">
        <f>SUMPRODUCT((nCUENTA=1)*(nCURSO=A401)*(nASIG=B401)*(nNOTA=9))</f>
        <v>0</v>
      </c>
      <c r="U401">
        <f>SUMPRODUCT((nCUENTA=1)*(nCURSO=A401)*(nASIG=B401)*(nNOTA=10))</f>
        <v>0</v>
      </c>
    </row>
    <row r="402">
      <c r="A402" t="inlineStr">
        <is>
          <t xml:space="preserve">6EPM</t>
        </is>
      </c>
      <c r="B402" cm="1">
        <f t="array" ref="B402">IFERROR(INDEX(_xlfn._xlws.FILTER(CONFIG_ASIGNATURAS!$B$2:$B$91,(CONFIG_ASIGNATURAS!$G$2:$G$91="Sí")*ISNUMBER(SEARCH("6EPM",CONFIG_ASIGNATURAS!$C$2:$C$91))),19),"")</f>
      </c>
      <c r="C402">
        <f>IF(B402="","",IFERROR(VLOOKUP(B402,CONFIG_ASIGNATURAS!$B$2:$D$91,3,FALSE()),"Asignatura"))</f>
      </c>
      <c r="D402">
        <f>SUMPRODUCT((nCUENTA=1)*(nCURSO=A402)*(nASIG=B402))</f>
        <v>0</v>
      </c>
      <c r="E402" s="10" t="str">
        <f>IFERROR(SUMPRODUCT((nCUENTA=1)*(nCURSO=A402)*(nASIG=B402)*(nNOTA))/D402,"—")</f>
        <v>—</v>
      </c>
      <c r="F402" s="10" t="str" cm="1">
        <f t="array" ref="F402">IFERROR(_xlfn.STDEV.P(_xlfn._xlws.FILTER(nNOTA,(nCUENTA=1)*(nCURSO=A402)*(nASIG=B402))),"—")</f>
        <v>—</v>
      </c>
      <c r="G402" t="str" cm="1">
        <f t="array" ref="G402">IFERROR(_xlfn.MODE.SNGL(_xlfn._xlws.FILTER(nNOTA,(nCUENTA=1)*(nCURSO=A402)*(nASIG=B402))),"—")</f>
        <v>—</v>
      </c>
      <c r="H402" s="11" t="str">
        <f>IFERROR(SUMPRODUCT((nCUENTA=1)*(nCURSO=A402)*(nASIG=B402)*(nAPTO="S"))/D402,"—")</f>
        <v>—</v>
      </c>
      <c r="I402" s="11" t="str">
        <f>IFERROR(SUMPRODUCT((nCUENTA=1)*(nCURSO=A402)*(nASIG=B402)*(nAPTO="N"))/D402,"—")</f>
        <v>—</v>
      </c>
      <c r="J402" t="str" cm="1">
        <f t="array" ref="J402">IFERROR(_xlfn.MODE.SNGL(_xlfn._xlws.FILTER(nNOTA,(nCUENTA=1)*(nCURSO=A402)*(nASIG=B402)*(nAPTO="S"))),"—")</f>
        <v>—</v>
      </c>
      <c r="K402" t="str" cm="1">
        <f t="array" ref="K402">IFERROR(_xlfn.MODE.SNGL(_xlfn._xlws.FILTER(nNOTA,(nCUENTA=1)*(nCURSO=A402)*(nASIG=B402)*(nAPTO="N"))),"—")</f>
        <v>—</v>
      </c>
      <c r="L402">
        <f>SUMPRODUCT((nCUENTA=1)*(nCURSO=A402)*(nASIG=B402)*(nNOTA=1))</f>
        <v>0</v>
      </c>
      <c r="M402">
        <f>SUMPRODUCT((nCUENTA=1)*(nCURSO=A402)*(nASIG=B402)*(nNOTA=2))</f>
        <v>0</v>
      </c>
      <c r="N402">
        <f>SUMPRODUCT((nCUENTA=1)*(nCURSO=A402)*(nASIG=B402)*(nNOTA=3))</f>
        <v>0</v>
      </c>
      <c r="O402">
        <f>SUMPRODUCT((nCUENTA=1)*(nCURSO=A402)*(nASIG=B402)*(nNOTA=4))</f>
        <v>0</v>
      </c>
      <c r="P402">
        <f>SUMPRODUCT((nCUENTA=1)*(nCURSO=A402)*(nASIG=B402)*(nNOTA=5))</f>
        <v>0</v>
      </c>
      <c r="Q402">
        <f>SUMPRODUCT((nCUENTA=1)*(nCURSO=A402)*(nASIG=B402)*(nNOTA=6))</f>
        <v>0</v>
      </c>
      <c r="R402">
        <f>SUMPRODUCT((nCUENTA=1)*(nCURSO=A402)*(nASIG=B402)*(nNOTA=7))</f>
        <v>0</v>
      </c>
      <c r="S402">
        <f>SUMPRODUCT((nCUENTA=1)*(nCURSO=A402)*(nASIG=B402)*(nNOTA=8))</f>
        <v>0</v>
      </c>
      <c r="T402">
        <f>SUMPRODUCT((nCUENTA=1)*(nCURSO=A402)*(nASIG=B402)*(nNOTA=9))</f>
        <v>0</v>
      </c>
      <c r="U402">
        <f>SUMPRODUCT((nCUENTA=1)*(nCURSO=A402)*(nASIG=B402)*(nNOTA=10))</f>
        <v>0</v>
      </c>
    </row>
    <row r="403">
      <c r="A403" t="inlineStr">
        <is>
          <t xml:space="preserve">6EPM</t>
        </is>
      </c>
      <c r="B403" cm="1">
        <f t="array" ref="B403">IFERROR(INDEX(_xlfn._xlws.FILTER(CONFIG_ASIGNATURAS!$B$2:$B$91,(CONFIG_ASIGNATURAS!$G$2:$G$91="Sí")*ISNUMBER(SEARCH("6EPM",CONFIG_ASIGNATURAS!$C$2:$C$91))),20),"")</f>
      </c>
      <c r="C403">
        <f>IF(B403="","",IFERROR(VLOOKUP(B403,CONFIG_ASIGNATURAS!$B$2:$D$91,3,FALSE()),"Asignatura"))</f>
      </c>
      <c r="D403">
        <f>SUMPRODUCT((nCUENTA=1)*(nCURSO=A403)*(nASIG=B403))</f>
        <v>0</v>
      </c>
      <c r="E403" s="10" t="str">
        <f>IFERROR(SUMPRODUCT((nCUENTA=1)*(nCURSO=A403)*(nASIG=B403)*(nNOTA))/D403,"—")</f>
        <v>—</v>
      </c>
      <c r="F403" s="10" t="str" cm="1">
        <f t="array" ref="F403">IFERROR(_xlfn.STDEV.P(_xlfn._xlws.FILTER(nNOTA,(nCUENTA=1)*(nCURSO=A403)*(nASIG=B403))),"—")</f>
        <v>—</v>
      </c>
      <c r="G403" t="str" cm="1">
        <f t="array" ref="G403">IFERROR(_xlfn.MODE.SNGL(_xlfn._xlws.FILTER(nNOTA,(nCUENTA=1)*(nCURSO=A403)*(nASIG=B403))),"—")</f>
        <v>—</v>
      </c>
      <c r="H403" s="11" t="str">
        <f>IFERROR(SUMPRODUCT((nCUENTA=1)*(nCURSO=A403)*(nASIG=B403)*(nAPTO="S"))/D403,"—")</f>
        <v>—</v>
      </c>
      <c r="I403" s="11" t="str">
        <f>IFERROR(SUMPRODUCT((nCUENTA=1)*(nCURSO=A403)*(nASIG=B403)*(nAPTO="N"))/D403,"—")</f>
        <v>—</v>
      </c>
      <c r="J403" t="str" cm="1">
        <f t="array" ref="J403">IFERROR(_xlfn.MODE.SNGL(_xlfn._xlws.FILTER(nNOTA,(nCUENTA=1)*(nCURSO=A403)*(nASIG=B403)*(nAPTO="S"))),"—")</f>
        <v>—</v>
      </c>
      <c r="K403" t="str" cm="1">
        <f t="array" ref="K403">IFERROR(_xlfn.MODE.SNGL(_xlfn._xlws.FILTER(nNOTA,(nCUENTA=1)*(nCURSO=A403)*(nASIG=B403)*(nAPTO="N"))),"—")</f>
        <v>—</v>
      </c>
      <c r="L403">
        <f>SUMPRODUCT((nCUENTA=1)*(nCURSO=A403)*(nASIG=B403)*(nNOTA=1))</f>
        <v>0</v>
      </c>
      <c r="M403">
        <f>SUMPRODUCT((nCUENTA=1)*(nCURSO=A403)*(nASIG=B403)*(nNOTA=2))</f>
        <v>0</v>
      </c>
      <c r="N403">
        <f>SUMPRODUCT((nCUENTA=1)*(nCURSO=A403)*(nASIG=B403)*(nNOTA=3))</f>
        <v>0</v>
      </c>
      <c r="O403">
        <f>SUMPRODUCT((nCUENTA=1)*(nCURSO=A403)*(nASIG=B403)*(nNOTA=4))</f>
        <v>0</v>
      </c>
      <c r="P403">
        <f>SUMPRODUCT((nCUENTA=1)*(nCURSO=A403)*(nASIG=B403)*(nNOTA=5))</f>
        <v>0</v>
      </c>
      <c r="Q403">
        <f>SUMPRODUCT((nCUENTA=1)*(nCURSO=A403)*(nASIG=B403)*(nNOTA=6))</f>
        <v>0</v>
      </c>
      <c r="R403">
        <f>SUMPRODUCT((nCUENTA=1)*(nCURSO=A403)*(nASIG=B403)*(nNOTA=7))</f>
        <v>0</v>
      </c>
      <c r="S403">
        <f>SUMPRODUCT((nCUENTA=1)*(nCURSO=A403)*(nASIG=B403)*(nNOTA=8))</f>
        <v>0</v>
      </c>
      <c r="T403">
        <f>SUMPRODUCT((nCUENTA=1)*(nCURSO=A403)*(nASIG=B403)*(nNOTA=9))</f>
        <v>0</v>
      </c>
      <c r="U403">
        <f>SUMPRODUCT((nCUENTA=1)*(nCURSO=A403)*(nASIG=B403)*(nNOTA=10))</f>
        <v>0</v>
      </c>
    </row>
    <row r="404">
      <c r="A404" t="inlineStr">
        <is>
          <t xml:space="preserve">6EPM</t>
        </is>
      </c>
      <c r="B404" cm="1">
        <f t="array" ref="B404">IFERROR(INDEX(_xlfn._xlws.FILTER(CONFIG_ASIGNATURAS!$B$2:$B$91,(CONFIG_ASIGNATURAS!$G$2:$G$91="Sí")*ISNUMBER(SEARCH("6EPM",CONFIG_ASIGNATURAS!$C$2:$C$91))),21),"")</f>
      </c>
      <c r="C404">
        <f>IF(B404="","",IFERROR(VLOOKUP(B404,CONFIG_ASIGNATURAS!$B$2:$D$91,3,FALSE()),"Asignatura"))</f>
      </c>
      <c r="D404">
        <f>SUMPRODUCT((nCUENTA=1)*(nCURSO=A404)*(nASIG=B404))</f>
        <v>0</v>
      </c>
      <c r="E404" s="10" t="str">
        <f>IFERROR(SUMPRODUCT((nCUENTA=1)*(nCURSO=A404)*(nASIG=B404)*(nNOTA))/D404,"—")</f>
        <v>—</v>
      </c>
      <c r="F404" s="10" t="str" cm="1">
        <f t="array" ref="F404">IFERROR(_xlfn.STDEV.P(_xlfn._xlws.FILTER(nNOTA,(nCUENTA=1)*(nCURSO=A404)*(nASIG=B404))),"—")</f>
        <v>—</v>
      </c>
      <c r="G404" t="str" cm="1">
        <f t="array" ref="G404">IFERROR(_xlfn.MODE.SNGL(_xlfn._xlws.FILTER(nNOTA,(nCUENTA=1)*(nCURSO=A404)*(nASIG=B404))),"—")</f>
        <v>—</v>
      </c>
      <c r="H404" s="11" t="str">
        <f>IFERROR(SUMPRODUCT((nCUENTA=1)*(nCURSO=A404)*(nASIG=B404)*(nAPTO="S"))/D404,"—")</f>
        <v>—</v>
      </c>
      <c r="I404" s="11" t="str">
        <f>IFERROR(SUMPRODUCT((nCUENTA=1)*(nCURSO=A404)*(nASIG=B404)*(nAPTO="N"))/D404,"—")</f>
        <v>—</v>
      </c>
      <c r="J404" t="str" cm="1">
        <f t="array" ref="J404">IFERROR(_xlfn.MODE.SNGL(_xlfn._xlws.FILTER(nNOTA,(nCUENTA=1)*(nCURSO=A404)*(nASIG=B404)*(nAPTO="S"))),"—")</f>
        <v>—</v>
      </c>
      <c r="K404" t="str" cm="1">
        <f t="array" ref="K404">IFERROR(_xlfn.MODE.SNGL(_xlfn._xlws.FILTER(nNOTA,(nCUENTA=1)*(nCURSO=A404)*(nASIG=B404)*(nAPTO="N"))),"—")</f>
        <v>—</v>
      </c>
      <c r="L404">
        <f>SUMPRODUCT((nCUENTA=1)*(nCURSO=A404)*(nASIG=B404)*(nNOTA=1))</f>
        <v>0</v>
      </c>
      <c r="M404">
        <f>SUMPRODUCT((nCUENTA=1)*(nCURSO=A404)*(nASIG=B404)*(nNOTA=2))</f>
        <v>0</v>
      </c>
      <c r="N404">
        <f>SUMPRODUCT((nCUENTA=1)*(nCURSO=A404)*(nASIG=B404)*(nNOTA=3))</f>
        <v>0</v>
      </c>
      <c r="O404">
        <f>SUMPRODUCT((nCUENTA=1)*(nCURSO=A404)*(nASIG=B404)*(nNOTA=4))</f>
        <v>0</v>
      </c>
      <c r="P404">
        <f>SUMPRODUCT((nCUENTA=1)*(nCURSO=A404)*(nASIG=B404)*(nNOTA=5))</f>
        <v>0</v>
      </c>
      <c r="Q404">
        <f>SUMPRODUCT((nCUENTA=1)*(nCURSO=A404)*(nASIG=B404)*(nNOTA=6))</f>
        <v>0</v>
      </c>
      <c r="R404">
        <f>SUMPRODUCT((nCUENTA=1)*(nCURSO=A404)*(nASIG=B404)*(nNOTA=7))</f>
        <v>0</v>
      </c>
      <c r="S404">
        <f>SUMPRODUCT((nCUENTA=1)*(nCURSO=A404)*(nASIG=B404)*(nNOTA=8))</f>
        <v>0</v>
      </c>
      <c r="T404">
        <f>SUMPRODUCT((nCUENTA=1)*(nCURSO=A404)*(nASIG=B404)*(nNOTA=9))</f>
        <v>0</v>
      </c>
      <c r="U404">
        <f>SUMPRODUCT((nCUENTA=1)*(nCURSO=A404)*(nASIG=B404)*(nNOTA=10))</f>
        <v>0</v>
      </c>
    </row>
    <row r="405">
      <c r="A405" t="inlineStr">
        <is>
          <t xml:space="preserve">6EPM</t>
        </is>
      </c>
      <c r="B405" cm="1">
        <f t="array" ref="B405">IFERROR(INDEX(_xlfn._xlws.FILTER(CONFIG_ASIGNATURAS!$B$2:$B$91,(CONFIG_ASIGNATURAS!$G$2:$G$91="Sí")*ISNUMBER(SEARCH("6EPM",CONFIG_ASIGNATURAS!$C$2:$C$91))),22),"")</f>
      </c>
      <c r="C405">
        <f>IF(B405="","",IFERROR(VLOOKUP(B405,CONFIG_ASIGNATURAS!$B$2:$D$91,3,FALSE()),"Asignatura"))</f>
      </c>
      <c r="D405">
        <f>SUMPRODUCT((nCUENTA=1)*(nCURSO=A405)*(nASIG=B405))</f>
        <v>0</v>
      </c>
      <c r="E405" s="10" t="str">
        <f>IFERROR(SUMPRODUCT((nCUENTA=1)*(nCURSO=A405)*(nASIG=B405)*(nNOTA))/D405,"—")</f>
        <v>—</v>
      </c>
      <c r="F405" s="10" t="str" cm="1">
        <f t="array" ref="F405">IFERROR(_xlfn.STDEV.P(_xlfn._xlws.FILTER(nNOTA,(nCUENTA=1)*(nCURSO=A405)*(nASIG=B405))),"—")</f>
        <v>—</v>
      </c>
      <c r="G405" t="str" cm="1">
        <f t="array" ref="G405">IFERROR(_xlfn.MODE.SNGL(_xlfn._xlws.FILTER(nNOTA,(nCUENTA=1)*(nCURSO=A405)*(nASIG=B405))),"—")</f>
        <v>—</v>
      </c>
      <c r="H405" s="11" t="str">
        <f>IFERROR(SUMPRODUCT((nCUENTA=1)*(nCURSO=A405)*(nASIG=B405)*(nAPTO="S"))/D405,"—")</f>
        <v>—</v>
      </c>
      <c r="I405" s="11" t="str">
        <f>IFERROR(SUMPRODUCT((nCUENTA=1)*(nCURSO=A405)*(nASIG=B405)*(nAPTO="N"))/D405,"—")</f>
        <v>—</v>
      </c>
      <c r="J405" t="str" cm="1">
        <f t="array" ref="J405">IFERROR(_xlfn.MODE.SNGL(_xlfn._xlws.FILTER(nNOTA,(nCUENTA=1)*(nCURSO=A405)*(nASIG=B405)*(nAPTO="S"))),"—")</f>
        <v>—</v>
      </c>
      <c r="K405" t="str" cm="1">
        <f t="array" ref="K405">IFERROR(_xlfn.MODE.SNGL(_xlfn._xlws.FILTER(nNOTA,(nCUENTA=1)*(nCURSO=A405)*(nASIG=B405)*(nAPTO="N"))),"—")</f>
        <v>—</v>
      </c>
      <c r="L405">
        <f>SUMPRODUCT((nCUENTA=1)*(nCURSO=A405)*(nASIG=B405)*(nNOTA=1))</f>
        <v>0</v>
      </c>
      <c r="M405">
        <f>SUMPRODUCT((nCUENTA=1)*(nCURSO=A405)*(nASIG=B405)*(nNOTA=2))</f>
        <v>0</v>
      </c>
      <c r="N405">
        <f>SUMPRODUCT((nCUENTA=1)*(nCURSO=A405)*(nASIG=B405)*(nNOTA=3))</f>
        <v>0</v>
      </c>
      <c r="O405">
        <f>SUMPRODUCT((nCUENTA=1)*(nCURSO=A405)*(nASIG=B405)*(nNOTA=4))</f>
        <v>0</v>
      </c>
      <c r="P405">
        <f>SUMPRODUCT((nCUENTA=1)*(nCURSO=A405)*(nASIG=B405)*(nNOTA=5))</f>
        <v>0</v>
      </c>
      <c r="Q405">
        <f>SUMPRODUCT((nCUENTA=1)*(nCURSO=A405)*(nASIG=B405)*(nNOTA=6))</f>
        <v>0</v>
      </c>
      <c r="R405">
        <f>SUMPRODUCT((nCUENTA=1)*(nCURSO=A405)*(nASIG=B405)*(nNOTA=7))</f>
        <v>0</v>
      </c>
      <c r="S405">
        <f>SUMPRODUCT((nCUENTA=1)*(nCURSO=A405)*(nASIG=B405)*(nNOTA=8))</f>
        <v>0</v>
      </c>
      <c r="T405">
        <f>SUMPRODUCT((nCUENTA=1)*(nCURSO=A405)*(nASIG=B405)*(nNOTA=9))</f>
        <v>0</v>
      </c>
      <c r="U405">
        <f>SUMPRODUCT((nCUENTA=1)*(nCURSO=A405)*(nASIG=B405)*(nNOTA=10))</f>
        <v>0</v>
      </c>
    </row>
    <row r="406">
      <c r="A406" t="inlineStr">
        <is>
          <t xml:space="preserve">6EPM</t>
        </is>
      </c>
      <c r="B406" cm="1">
        <f t="array" ref="B406">IFERROR(INDEX(_xlfn._xlws.FILTER(CONFIG_ASIGNATURAS!$B$2:$B$91,(CONFIG_ASIGNATURAS!$G$2:$G$91="Sí")*ISNUMBER(SEARCH("6EPM",CONFIG_ASIGNATURAS!$C$2:$C$91))),23),"")</f>
      </c>
      <c r="C406">
        <f>IF(B406="","",IFERROR(VLOOKUP(B406,CONFIG_ASIGNATURAS!$B$2:$D$91,3,FALSE()),"Asignatura"))</f>
      </c>
      <c r="D406">
        <f>SUMPRODUCT((nCUENTA=1)*(nCURSO=A406)*(nASIG=B406))</f>
        <v>0</v>
      </c>
      <c r="E406" s="10" t="str">
        <f>IFERROR(SUMPRODUCT((nCUENTA=1)*(nCURSO=A406)*(nASIG=B406)*(nNOTA))/D406,"—")</f>
        <v>—</v>
      </c>
      <c r="F406" s="10" t="str" cm="1">
        <f t="array" ref="F406">IFERROR(_xlfn.STDEV.P(_xlfn._xlws.FILTER(nNOTA,(nCUENTA=1)*(nCURSO=A406)*(nASIG=B406))),"—")</f>
        <v>—</v>
      </c>
      <c r="G406" t="str" cm="1">
        <f t="array" ref="G406">IFERROR(_xlfn.MODE.SNGL(_xlfn._xlws.FILTER(nNOTA,(nCUENTA=1)*(nCURSO=A406)*(nASIG=B406))),"—")</f>
        <v>—</v>
      </c>
      <c r="H406" s="11" t="str">
        <f>IFERROR(SUMPRODUCT((nCUENTA=1)*(nCURSO=A406)*(nASIG=B406)*(nAPTO="S"))/D406,"—")</f>
        <v>—</v>
      </c>
      <c r="I406" s="11" t="str">
        <f>IFERROR(SUMPRODUCT((nCUENTA=1)*(nCURSO=A406)*(nASIG=B406)*(nAPTO="N"))/D406,"—")</f>
        <v>—</v>
      </c>
      <c r="J406" t="str" cm="1">
        <f t="array" ref="J406">IFERROR(_xlfn.MODE.SNGL(_xlfn._xlws.FILTER(nNOTA,(nCUENTA=1)*(nCURSO=A406)*(nASIG=B406)*(nAPTO="S"))),"—")</f>
        <v>—</v>
      </c>
      <c r="K406" t="str" cm="1">
        <f t="array" ref="K406">IFERROR(_xlfn.MODE.SNGL(_xlfn._xlws.FILTER(nNOTA,(nCUENTA=1)*(nCURSO=A406)*(nASIG=B406)*(nAPTO="N"))),"—")</f>
        <v>—</v>
      </c>
      <c r="L406">
        <f>SUMPRODUCT((nCUENTA=1)*(nCURSO=A406)*(nASIG=B406)*(nNOTA=1))</f>
        <v>0</v>
      </c>
      <c r="M406">
        <f>SUMPRODUCT((nCUENTA=1)*(nCURSO=A406)*(nASIG=B406)*(nNOTA=2))</f>
        <v>0</v>
      </c>
      <c r="N406">
        <f>SUMPRODUCT((nCUENTA=1)*(nCURSO=A406)*(nASIG=B406)*(nNOTA=3))</f>
        <v>0</v>
      </c>
      <c r="O406">
        <f>SUMPRODUCT((nCUENTA=1)*(nCURSO=A406)*(nASIG=B406)*(nNOTA=4))</f>
        <v>0</v>
      </c>
      <c r="P406">
        <f>SUMPRODUCT((nCUENTA=1)*(nCURSO=A406)*(nASIG=B406)*(nNOTA=5))</f>
        <v>0</v>
      </c>
      <c r="Q406">
        <f>SUMPRODUCT((nCUENTA=1)*(nCURSO=A406)*(nASIG=B406)*(nNOTA=6))</f>
        <v>0</v>
      </c>
      <c r="R406">
        <f>SUMPRODUCT((nCUENTA=1)*(nCURSO=A406)*(nASIG=B406)*(nNOTA=7))</f>
        <v>0</v>
      </c>
      <c r="S406">
        <f>SUMPRODUCT((nCUENTA=1)*(nCURSO=A406)*(nASIG=B406)*(nNOTA=8))</f>
        <v>0</v>
      </c>
      <c r="T406">
        <f>SUMPRODUCT((nCUENTA=1)*(nCURSO=A406)*(nASIG=B406)*(nNOTA=9))</f>
        <v>0</v>
      </c>
      <c r="U406">
        <f>SUMPRODUCT((nCUENTA=1)*(nCURSO=A406)*(nASIG=B406)*(nNOTA=10))</f>
        <v>0</v>
      </c>
    </row>
    <row r="407">
      <c r="A407" t="inlineStr">
        <is>
          <t xml:space="preserve">6EPM</t>
        </is>
      </c>
      <c r="B407" cm="1">
        <f t="array" ref="B407">IFERROR(INDEX(_xlfn._xlws.FILTER(CONFIG_ASIGNATURAS!$B$2:$B$91,(CONFIG_ASIGNATURAS!$G$2:$G$91="Sí")*ISNUMBER(SEARCH("6EPM",CONFIG_ASIGNATURAS!$C$2:$C$91))),24),"")</f>
      </c>
      <c r="C407">
        <f>IF(B407="","",IFERROR(VLOOKUP(B407,CONFIG_ASIGNATURAS!$B$2:$D$91,3,FALSE()),"Asignatura"))</f>
      </c>
      <c r="D407">
        <f>SUMPRODUCT((nCUENTA=1)*(nCURSO=A407)*(nASIG=B407))</f>
        <v>0</v>
      </c>
      <c r="E407" s="10" t="str">
        <f>IFERROR(SUMPRODUCT((nCUENTA=1)*(nCURSO=A407)*(nASIG=B407)*(nNOTA))/D407,"—")</f>
        <v>—</v>
      </c>
      <c r="F407" s="10" t="str" cm="1">
        <f t="array" ref="F407">IFERROR(_xlfn.STDEV.P(_xlfn._xlws.FILTER(nNOTA,(nCUENTA=1)*(nCURSO=A407)*(nASIG=B407))),"—")</f>
        <v>—</v>
      </c>
      <c r="G407" t="str" cm="1">
        <f t="array" ref="G407">IFERROR(_xlfn.MODE.SNGL(_xlfn._xlws.FILTER(nNOTA,(nCUENTA=1)*(nCURSO=A407)*(nASIG=B407))),"—")</f>
        <v>—</v>
      </c>
      <c r="H407" s="11" t="str">
        <f>IFERROR(SUMPRODUCT((nCUENTA=1)*(nCURSO=A407)*(nASIG=B407)*(nAPTO="S"))/D407,"—")</f>
        <v>—</v>
      </c>
      <c r="I407" s="11" t="str">
        <f>IFERROR(SUMPRODUCT((nCUENTA=1)*(nCURSO=A407)*(nASIG=B407)*(nAPTO="N"))/D407,"—")</f>
        <v>—</v>
      </c>
      <c r="J407" t="str" cm="1">
        <f t="array" ref="J407">IFERROR(_xlfn.MODE.SNGL(_xlfn._xlws.FILTER(nNOTA,(nCUENTA=1)*(nCURSO=A407)*(nASIG=B407)*(nAPTO="S"))),"—")</f>
        <v>—</v>
      </c>
      <c r="K407" t="str" cm="1">
        <f t="array" ref="K407">IFERROR(_xlfn.MODE.SNGL(_xlfn._xlws.FILTER(nNOTA,(nCUENTA=1)*(nCURSO=A407)*(nASIG=B407)*(nAPTO="N"))),"—")</f>
        <v>—</v>
      </c>
      <c r="L407">
        <f>SUMPRODUCT((nCUENTA=1)*(nCURSO=A407)*(nASIG=B407)*(nNOTA=1))</f>
        <v>0</v>
      </c>
      <c r="M407">
        <f>SUMPRODUCT((nCUENTA=1)*(nCURSO=A407)*(nASIG=B407)*(nNOTA=2))</f>
        <v>0</v>
      </c>
      <c r="N407">
        <f>SUMPRODUCT((nCUENTA=1)*(nCURSO=A407)*(nASIG=B407)*(nNOTA=3))</f>
        <v>0</v>
      </c>
      <c r="O407">
        <f>SUMPRODUCT((nCUENTA=1)*(nCURSO=A407)*(nASIG=B407)*(nNOTA=4))</f>
        <v>0</v>
      </c>
      <c r="P407">
        <f>SUMPRODUCT((nCUENTA=1)*(nCURSO=A407)*(nASIG=B407)*(nNOTA=5))</f>
        <v>0</v>
      </c>
      <c r="Q407">
        <f>SUMPRODUCT((nCUENTA=1)*(nCURSO=A407)*(nASIG=B407)*(nNOTA=6))</f>
        <v>0</v>
      </c>
      <c r="R407">
        <f>SUMPRODUCT((nCUENTA=1)*(nCURSO=A407)*(nASIG=B407)*(nNOTA=7))</f>
        <v>0</v>
      </c>
      <c r="S407">
        <f>SUMPRODUCT((nCUENTA=1)*(nCURSO=A407)*(nASIG=B407)*(nNOTA=8))</f>
        <v>0</v>
      </c>
      <c r="T407">
        <f>SUMPRODUCT((nCUENTA=1)*(nCURSO=A407)*(nASIG=B407)*(nNOTA=9))</f>
        <v>0</v>
      </c>
      <c r="U407">
        <f>SUMPRODUCT((nCUENTA=1)*(nCURSO=A407)*(nASIG=B407)*(nNOTA=10))</f>
        <v>0</v>
      </c>
    </row>
    <row r="408">
      <c r="A408" t="inlineStr">
        <is>
          <t xml:space="preserve">6EPM</t>
        </is>
      </c>
      <c r="B408" cm="1">
        <f t="array" ref="B408">IFERROR(INDEX(_xlfn._xlws.FILTER(CONFIG_ASIGNATURAS!$B$2:$B$91,(CONFIG_ASIGNATURAS!$G$2:$G$91="Sí")*ISNUMBER(SEARCH("6EPM",CONFIG_ASIGNATURAS!$C$2:$C$91))),25),"")</f>
      </c>
      <c r="C408">
        <f>IF(B408="","",IFERROR(VLOOKUP(B408,CONFIG_ASIGNATURAS!$B$2:$D$91,3,FALSE()),"Asignatura"))</f>
      </c>
      <c r="D408">
        <f>SUMPRODUCT((nCUENTA=1)*(nCURSO=A408)*(nASIG=B408))</f>
        <v>0</v>
      </c>
      <c r="E408" s="10" t="str">
        <f>IFERROR(SUMPRODUCT((nCUENTA=1)*(nCURSO=A408)*(nASIG=B408)*(nNOTA))/D408,"—")</f>
        <v>—</v>
      </c>
      <c r="F408" s="10" t="str" cm="1">
        <f t="array" ref="F408">IFERROR(_xlfn.STDEV.P(_xlfn._xlws.FILTER(nNOTA,(nCUENTA=1)*(nCURSO=A408)*(nASIG=B408))),"—")</f>
        <v>—</v>
      </c>
      <c r="G408" t="str" cm="1">
        <f t="array" ref="G408">IFERROR(_xlfn.MODE.SNGL(_xlfn._xlws.FILTER(nNOTA,(nCUENTA=1)*(nCURSO=A408)*(nASIG=B408))),"—")</f>
        <v>—</v>
      </c>
      <c r="H408" s="11" t="str">
        <f>IFERROR(SUMPRODUCT((nCUENTA=1)*(nCURSO=A408)*(nASIG=B408)*(nAPTO="S"))/D408,"—")</f>
        <v>—</v>
      </c>
      <c r="I408" s="11" t="str">
        <f>IFERROR(SUMPRODUCT((nCUENTA=1)*(nCURSO=A408)*(nASIG=B408)*(nAPTO="N"))/D408,"—")</f>
        <v>—</v>
      </c>
      <c r="J408" t="str" cm="1">
        <f t="array" ref="J408">IFERROR(_xlfn.MODE.SNGL(_xlfn._xlws.FILTER(nNOTA,(nCUENTA=1)*(nCURSO=A408)*(nASIG=B408)*(nAPTO="S"))),"—")</f>
        <v>—</v>
      </c>
      <c r="K408" t="str" cm="1">
        <f t="array" ref="K408">IFERROR(_xlfn.MODE.SNGL(_xlfn._xlws.FILTER(nNOTA,(nCUENTA=1)*(nCURSO=A408)*(nASIG=B408)*(nAPTO="N"))),"—")</f>
        <v>—</v>
      </c>
      <c r="L408">
        <f>SUMPRODUCT((nCUENTA=1)*(nCURSO=A408)*(nASIG=B408)*(nNOTA=1))</f>
        <v>0</v>
      </c>
      <c r="M408">
        <f>SUMPRODUCT((nCUENTA=1)*(nCURSO=A408)*(nASIG=B408)*(nNOTA=2))</f>
        <v>0</v>
      </c>
      <c r="N408">
        <f>SUMPRODUCT((nCUENTA=1)*(nCURSO=A408)*(nASIG=B408)*(nNOTA=3))</f>
        <v>0</v>
      </c>
      <c r="O408">
        <f>SUMPRODUCT((nCUENTA=1)*(nCURSO=A408)*(nASIG=B408)*(nNOTA=4))</f>
        <v>0</v>
      </c>
      <c r="P408">
        <f>SUMPRODUCT((nCUENTA=1)*(nCURSO=A408)*(nASIG=B408)*(nNOTA=5))</f>
        <v>0</v>
      </c>
      <c r="Q408">
        <f>SUMPRODUCT((nCUENTA=1)*(nCURSO=A408)*(nASIG=B408)*(nNOTA=6))</f>
        <v>0</v>
      </c>
      <c r="R408">
        <f>SUMPRODUCT((nCUENTA=1)*(nCURSO=A408)*(nASIG=B408)*(nNOTA=7))</f>
        <v>0</v>
      </c>
      <c r="S408">
        <f>SUMPRODUCT((nCUENTA=1)*(nCURSO=A408)*(nASIG=B408)*(nNOTA=8))</f>
        <v>0</v>
      </c>
      <c r="T408">
        <f>SUMPRODUCT((nCUENTA=1)*(nCURSO=A408)*(nASIG=B408)*(nNOTA=9))</f>
        <v>0</v>
      </c>
      <c r="U408">
        <f>SUMPRODUCT((nCUENTA=1)*(nCURSO=A408)*(nASIG=B408)*(nNOTA=10))</f>
        <v>0</v>
      </c>
    </row>
    <row r="409">
      <c r="A409" t="inlineStr">
        <is>
          <t xml:space="preserve">6EPM</t>
        </is>
      </c>
      <c r="B409" cm="1">
        <f t="array" ref="B409">IFERROR(INDEX(_xlfn._xlws.FILTER(CONFIG_ASIGNATURAS!$B$2:$B$91,(CONFIG_ASIGNATURAS!$G$2:$G$91="Sí")*ISNUMBER(SEARCH("6EPM",CONFIG_ASIGNATURAS!$C$2:$C$91))),26),"")</f>
      </c>
      <c r="C409">
        <f>IF(B409="","",IFERROR(VLOOKUP(B409,CONFIG_ASIGNATURAS!$B$2:$D$91,3,FALSE()),"Asignatura"))</f>
      </c>
      <c r="D409">
        <f>SUMPRODUCT((nCUENTA=1)*(nCURSO=A409)*(nASIG=B409))</f>
        <v>0</v>
      </c>
      <c r="E409" s="10" t="str">
        <f>IFERROR(SUMPRODUCT((nCUENTA=1)*(nCURSO=A409)*(nASIG=B409)*(nNOTA))/D409,"—")</f>
        <v>—</v>
      </c>
      <c r="F409" s="10" t="str" cm="1">
        <f t="array" ref="F409">IFERROR(_xlfn.STDEV.P(_xlfn._xlws.FILTER(nNOTA,(nCUENTA=1)*(nCURSO=A409)*(nASIG=B409))),"—")</f>
        <v>—</v>
      </c>
      <c r="G409" t="str" cm="1">
        <f t="array" ref="G409">IFERROR(_xlfn.MODE.SNGL(_xlfn._xlws.FILTER(nNOTA,(nCUENTA=1)*(nCURSO=A409)*(nASIG=B409))),"—")</f>
        <v>—</v>
      </c>
      <c r="H409" s="11" t="str">
        <f>IFERROR(SUMPRODUCT((nCUENTA=1)*(nCURSO=A409)*(nASIG=B409)*(nAPTO="S"))/D409,"—")</f>
        <v>—</v>
      </c>
      <c r="I409" s="11" t="str">
        <f>IFERROR(SUMPRODUCT((nCUENTA=1)*(nCURSO=A409)*(nASIG=B409)*(nAPTO="N"))/D409,"—")</f>
        <v>—</v>
      </c>
      <c r="J409" t="str" cm="1">
        <f t="array" ref="J409">IFERROR(_xlfn.MODE.SNGL(_xlfn._xlws.FILTER(nNOTA,(nCUENTA=1)*(nCURSO=A409)*(nASIG=B409)*(nAPTO="S"))),"—")</f>
        <v>—</v>
      </c>
      <c r="K409" t="str" cm="1">
        <f t="array" ref="K409">IFERROR(_xlfn.MODE.SNGL(_xlfn._xlws.FILTER(nNOTA,(nCUENTA=1)*(nCURSO=A409)*(nASIG=B409)*(nAPTO="N"))),"—")</f>
        <v>—</v>
      </c>
      <c r="L409">
        <f>SUMPRODUCT((nCUENTA=1)*(nCURSO=A409)*(nASIG=B409)*(nNOTA=1))</f>
        <v>0</v>
      </c>
      <c r="M409">
        <f>SUMPRODUCT((nCUENTA=1)*(nCURSO=A409)*(nASIG=B409)*(nNOTA=2))</f>
        <v>0</v>
      </c>
      <c r="N409">
        <f>SUMPRODUCT((nCUENTA=1)*(nCURSO=A409)*(nASIG=B409)*(nNOTA=3))</f>
        <v>0</v>
      </c>
      <c r="O409">
        <f>SUMPRODUCT((nCUENTA=1)*(nCURSO=A409)*(nASIG=B409)*(nNOTA=4))</f>
        <v>0</v>
      </c>
      <c r="P409">
        <f>SUMPRODUCT((nCUENTA=1)*(nCURSO=A409)*(nASIG=B409)*(nNOTA=5))</f>
        <v>0</v>
      </c>
      <c r="Q409">
        <f>SUMPRODUCT((nCUENTA=1)*(nCURSO=A409)*(nASIG=B409)*(nNOTA=6))</f>
        <v>0</v>
      </c>
      <c r="R409">
        <f>SUMPRODUCT((nCUENTA=1)*(nCURSO=A409)*(nASIG=B409)*(nNOTA=7))</f>
        <v>0</v>
      </c>
      <c r="S409">
        <f>SUMPRODUCT((nCUENTA=1)*(nCURSO=A409)*(nASIG=B409)*(nNOTA=8))</f>
        <v>0</v>
      </c>
      <c r="T409">
        <f>SUMPRODUCT((nCUENTA=1)*(nCURSO=A409)*(nASIG=B409)*(nNOTA=9))</f>
        <v>0</v>
      </c>
      <c r="U409">
        <f>SUMPRODUCT((nCUENTA=1)*(nCURSO=A409)*(nASIG=B409)*(nNOTA=10))</f>
        <v>0</v>
      </c>
    </row>
    <row r="410">
      <c r="A410" t="inlineStr">
        <is>
          <t xml:space="preserve">6EPM</t>
        </is>
      </c>
      <c r="B410" cm="1">
        <f t="array" ref="B410">IFERROR(INDEX(_xlfn._xlws.FILTER(CONFIG_ASIGNATURAS!$B$2:$B$91,(CONFIG_ASIGNATURAS!$G$2:$G$91="Sí")*ISNUMBER(SEARCH("6EPM",CONFIG_ASIGNATURAS!$C$2:$C$91))),27),"")</f>
      </c>
      <c r="C410">
        <f>IF(B410="","",IFERROR(VLOOKUP(B410,CONFIG_ASIGNATURAS!$B$2:$D$91,3,FALSE()),"Asignatura"))</f>
      </c>
      <c r="D410">
        <f>SUMPRODUCT((nCUENTA=1)*(nCURSO=A410)*(nASIG=B410))</f>
        <v>0</v>
      </c>
      <c r="E410" s="10" t="str">
        <f>IFERROR(SUMPRODUCT((nCUENTA=1)*(nCURSO=A410)*(nASIG=B410)*(nNOTA))/D410,"—")</f>
        <v>—</v>
      </c>
      <c r="F410" s="10" t="str" cm="1">
        <f t="array" ref="F410">IFERROR(_xlfn.STDEV.P(_xlfn._xlws.FILTER(nNOTA,(nCUENTA=1)*(nCURSO=A410)*(nASIG=B410))),"—")</f>
        <v>—</v>
      </c>
      <c r="G410" t="str" cm="1">
        <f t="array" ref="G410">IFERROR(_xlfn.MODE.SNGL(_xlfn._xlws.FILTER(nNOTA,(nCUENTA=1)*(nCURSO=A410)*(nASIG=B410))),"—")</f>
        <v>—</v>
      </c>
      <c r="H410" s="11" t="str">
        <f>IFERROR(SUMPRODUCT((nCUENTA=1)*(nCURSO=A410)*(nASIG=B410)*(nAPTO="S"))/D410,"—")</f>
        <v>—</v>
      </c>
      <c r="I410" s="11" t="str">
        <f>IFERROR(SUMPRODUCT((nCUENTA=1)*(nCURSO=A410)*(nASIG=B410)*(nAPTO="N"))/D410,"—")</f>
        <v>—</v>
      </c>
      <c r="J410" t="str" cm="1">
        <f t="array" ref="J410">IFERROR(_xlfn.MODE.SNGL(_xlfn._xlws.FILTER(nNOTA,(nCUENTA=1)*(nCURSO=A410)*(nASIG=B410)*(nAPTO="S"))),"—")</f>
        <v>—</v>
      </c>
      <c r="K410" t="str" cm="1">
        <f t="array" ref="K410">IFERROR(_xlfn.MODE.SNGL(_xlfn._xlws.FILTER(nNOTA,(nCUENTA=1)*(nCURSO=A410)*(nASIG=B410)*(nAPTO="N"))),"—")</f>
        <v>—</v>
      </c>
      <c r="L410">
        <f>SUMPRODUCT((nCUENTA=1)*(nCURSO=A410)*(nASIG=B410)*(nNOTA=1))</f>
        <v>0</v>
      </c>
      <c r="M410">
        <f>SUMPRODUCT((nCUENTA=1)*(nCURSO=A410)*(nASIG=B410)*(nNOTA=2))</f>
        <v>0</v>
      </c>
      <c r="N410">
        <f>SUMPRODUCT((nCUENTA=1)*(nCURSO=A410)*(nASIG=B410)*(nNOTA=3))</f>
        <v>0</v>
      </c>
      <c r="O410">
        <f>SUMPRODUCT((nCUENTA=1)*(nCURSO=A410)*(nASIG=B410)*(nNOTA=4))</f>
        <v>0</v>
      </c>
      <c r="P410">
        <f>SUMPRODUCT((nCUENTA=1)*(nCURSO=A410)*(nASIG=B410)*(nNOTA=5))</f>
        <v>0</v>
      </c>
      <c r="Q410">
        <f>SUMPRODUCT((nCUENTA=1)*(nCURSO=A410)*(nASIG=B410)*(nNOTA=6))</f>
        <v>0</v>
      </c>
      <c r="R410">
        <f>SUMPRODUCT((nCUENTA=1)*(nCURSO=A410)*(nASIG=B410)*(nNOTA=7))</f>
        <v>0</v>
      </c>
      <c r="S410">
        <f>SUMPRODUCT((nCUENTA=1)*(nCURSO=A410)*(nASIG=B410)*(nNOTA=8))</f>
        <v>0</v>
      </c>
      <c r="T410">
        <f>SUMPRODUCT((nCUENTA=1)*(nCURSO=A410)*(nASIG=B410)*(nNOTA=9))</f>
        <v>0</v>
      </c>
      <c r="U410">
        <f>SUMPRODUCT((nCUENTA=1)*(nCURSO=A410)*(nASIG=B410)*(nNOTA=10))</f>
        <v>0</v>
      </c>
    </row>
    <row r="411">
      <c r="A411" t="inlineStr">
        <is>
          <t xml:space="preserve">6EPM</t>
        </is>
      </c>
      <c r="B411" cm="1">
        <f t="array" ref="B411">IFERROR(INDEX(_xlfn._xlws.FILTER(CONFIG_ASIGNATURAS!$B$2:$B$91,(CONFIG_ASIGNATURAS!$G$2:$G$91="Sí")*ISNUMBER(SEARCH("6EPM",CONFIG_ASIGNATURAS!$C$2:$C$91))),28),"")</f>
      </c>
      <c r="C411">
        <f>IF(B411="","",IFERROR(VLOOKUP(B411,CONFIG_ASIGNATURAS!$B$2:$D$91,3,FALSE()),"Asignatura"))</f>
      </c>
      <c r="D411">
        <f>SUMPRODUCT((nCUENTA=1)*(nCURSO=A411)*(nASIG=B411))</f>
        <v>0</v>
      </c>
      <c r="E411" s="10" t="str">
        <f>IFERROR(SUMPRODUCT((nCUENTA=1)*(nCURSO=A411)*(nASIG=B411)*(nNOTA))/D411,"—")</f>
        <v>—</v>
      </c>
      <c r="F411" s="10" t="str" cm="1">
        <f t="array" ref="F411">IFERROR(_xlfn.STDEV.P(_xlfn._xlws.FILTER(nNOTA,(nCUENTA=1)*(nCURSO=A411)*(nASIG=B411))),"—")</f>
        <v>—</v>
      </c>
      <c r="G411" t="str" cm="1">
        <f t="array" ref="G411">IFERROR(_xlfn.MODE.SNGL(_xlfn._xlws.FILTER(nNOTA,(nCUENTA=1)*(nCURSO=A411)*(nASIG=B411))),"—")</f>
        <v>—</v>
      </c>
      <c r="H411" s="11" t="str">
        <f>IFERROR(SUMPRODUCT((nCUENTA=1)*(nCURSO=A411)*(nASIG=B411)*(nAPTO="S"))/D411,"—")</f>
        <v>—</v>
      </c>
      <c r="I411" s="11" t="str">
        <f>IFERROR(SUMPRODUCT((nCUENTA=1)*(nCURSO=A411)*(nASIG=B411)*(nAPTO="N"))/D411,"—")</f>
        <v>—</v>
      </c>
      <c r="J411" t="str" cm="1">
        <f t="array" ref="J411">IFERROR(_xlfn.MODE.SNGL(_xlfn._xlws.FILTER(nNOTA,(nCUENTA=1)*(nCURSO=A411)*(nASIG=B411)*(nAPTO="S"))),"—")</f>
        <v>—</v>
      </c>
      <c r="K411" t="str" cm="1">
        <f t="array" ref="K411">IFERROR(_xlfn.MODE.SNGL(_xlfn._xlws.FILTER(nNOTA,(nCUENTA=1)*(nCURSO=A411)*(nASIG=B411)*(nAPTO="N"))),"—")</f>
        <v>—</v>
      </c>
      <c r="L411">
        <f>SUMPRODUCT((nCUENTA=1)*(nCURSO=A411)*(nASIG=B411)*(nNOTA=1))</f>
        <v>0</v>
      </c>
      <c r="M411">
        <f>SUMPRODUCT((nCUENTA=1)*(nCURSO=A411)*(nASIG=B411)*(nNOTA=2))</f>
        <v>0</v>
      </c>
      <c r="N411">
        <f>SUMPRODUCT((nCUENTA=1)*(nCURSO=A411)*(nASIG=B411)*(nNOTA=3))</f>
        <v>0</v>
      </c>
      <c r="O411">
        <f>SUMPRODUCT((nCUENTA=1)*(nCURSO=A411)*(nASIG=B411)*(nNOTA=4))</f>
        <v>0</v>
      </c>
      <c r="P411">
        <f>SUMPRODUCT((nCUENTA=1)*(nCURSO=A411)*(nASIG=B411)*(nNOTA=5))</f>
        <v>0</v>
      </c>
      <c r="Q411">
        <f>SUMPRODUCT((nCUENTA=1)*(nCURSO=A411)*(nASIG=B411)*(nNOTA=6))</f>
        <v>0</v>
      </c>
      <c r="R411">
        <f>SUMPRODUCT((nCUENTA=1)*(nCURSO=A411)*(nASIG=B411)*(nNOTA=7))</f>
        <v>0</v>
      </c>
      <c r="S411">
        <f>SUMPRODUCT((nCUENTA=1)*(nCURSO=A411)*(nASIG=B411)*(nNOTA=8))</f>
        <v>0</v>
      </c>
      <c r="T411">
        <f>SUMPRODUCT((nCUENTA=1)*(nCURSO=A411)*(nASIG=B411)*(nNOTA=9))</f>
        <v>0</v>
      </c>
      <c r="U411">
        <f>SUMPRODUCT((nCUENTA=1)*(nCURSO=A411)*(nASIG=B411)*(nNOTA=10))</f>
        <v>0</v>
      </c>
    </row>
    <row r="412">
      <c r="A412" t="inlineStr">
        <is>
          <t xml:space="preserve">6EPM</t>
        </is>
      </c>
      <c r="B412" cm="1">
        <f t="array" ref="B412">IFERROR(INDEX(_xlfn._xlws.FILTER(CONFIG_ASIGNATURAS!$B$2:$B$91,(CONFIG_ASIGNATURAS!$G$2:$G$91="Sí")*ISNUMBER(SEARCH("6EPM",CONFIG_ASIGNATURAS!$C$2:$C$91))),29),"")</f>
      </c>
      <c r="C412">
        <f>IF(B412="","",IFERROR(VLOOKUP(B412,CONFIG_ASIGNATURAS!$B$2:$D$91,3,FALSE()),"Asignatura"))</f>
      </c>
      <c r="D412">
        <f>SUMPRODUCT((nCUENTA=1)*(nCURSO=A412)*(nASIG=B412))</f>
        <v>0</v>
      </c>
      <c r="E412" s="10" t="str">
        <f>IFERROR(SUMPRODUCT((nCUENTA=1)*(nCURSO=A412)*(nASIG=B412)*(nNOTA))/D412,"—")</f>
        <v>—</v>
      </c>
      <c r="F412" s="10" t="str" cm="1">
        <f t="array" ref="F412">IFERROR(_xlfn.STDEV.P(_xlfn._xlws.FILTER(nNOTA,(nCUENTA=1)*(nCURSO=A412)*(nASIG=B412))),"—")</f>
        <v>—</v>
      </c>
      <c r="G412" t="str" cm="1">
        <f t="array" ref="G412">IFERROR(_xlfn.MODE.SNGL(_xlfn._xlws.FILTER(nNOTA,(nCUENTA=1)*(nCURSO=A412)*(nASIG=B412))),"—")</f>
        <v>—</v>
      </c>
      <c r="H412" s="11" t="str">
        <f>IFERROR(SUMPRODUCT((nCUENTA=1)*(nCURSO=A412)*(nASIG=B412)*(nAPTO="S"))/D412,"—")</f>
        <v>—</v>
      </c>
      <c r="I412" s="11" t="str">
        <f>IFERROR(SUMPRODUCT((nCUENTA=1)*(nCURSO=A412)*(nASIG=B412)*(nAPTO="N"))/D412,"—")</f>
        <v>—</v>
      </c>
      <c r="J412" t="str" cm="1">
        <f t="array" ref="J412">IFERROR(_xlfn.MODE.SNGL(_xlfn._xlws.FILTER(nNOTA,(nCUENTA=1)*(nCURSO=A412)*(nASIG=B412)*(nAPTO="S"))),"—")</f>
        <v>—</v>
      </c>
      <c r="K412" t="str" cm="1">
        <f t="array" ref="K412">IFERROR(_xlfn.MODE.SNGL(_xlfn._xlws.FILTER(nNOTA,(nCUENTA=1)*(nCURSO=A412)*(nASIG=B412)*(nAPTO="N"))),"—")</f>
        <v>—</v>
      </c>
      <c r="L412">
        <f>SUMPRODUCT((nCUENTA=1)*(nCURSO=A412)*(nASIG=B412)*(nNOTA=1))</f>
        <v>0</v>
      </c>
      <c r="M412">
        <f>SUMPRODUCT((nCUENTA=1)*(nCURSO=A412)*(nASIG=B412)*(nNOTA=2))</f>
        <v>0</v>
      </c>
      <c r="N412">
        <f>SUMPRODUCT((nCUENTA=1)*(nCURSO=A412)*(nASIG=B412)*(nNOTA=3))</f>
        <v>0</v>
      </c>
      <c r="O412">
        <f>SUMPRODUCT((nCUENTA=1)*(nCURSO=A412)*(nASIG=B412)*(nNOTA=4))</f>
        <v>0</v>
      </c>
      <c r="P412">
        <f>SUMPRODUCT((nCUENTA=1)*(nCURSO=A412)*(nASIG=B412)*(nNOTA=5))</f>
        <v>0</v>
      </c>
      <c r="Q412">
        <f>SUMPRODUCT((nCUENTA=1)*(nCURSO=A412)*(nASIG=B412)*(nNOTA=6))</f>
        <v>0</v>
      </c>
      <c r="R412">
        <f>SUMPRODUCT((nCUENTA=1)*(nCURSO=A412)*(nASIG=B412)*(nNOTA=7))</f>
        <v>0</v>
      </c>
      <c r="S412">
        <f>SUMPRODUCT((nCUENTA=1)*(nCURSO=A412)*(nASIG=B412)*(nNOTA=8))</f>
        <v>0</v>
      </c>
      <c r="T412">
        <f>SUMPRODUCT((nCUENTA=1)*(nCURSO=A412)*(nASIG=B412)*(nNOTA=9))</f>
        <v>0</v>
      </c>
      <c r="U412">
        <f>SUMPRODUCT((nCUENTA=1)*(nCURSO=A412)*(nASIG=B412)*(nNOTA=10))</f>
        <v>0</v>
      </c>
    </row>
    <row r="413">
      <c r="A413" t="inlineStr">
        <is>
          <t xml:space="preserve">6EPM</t>
        </is>
      </c>
      <c r="B413" cm="1">
        <f t="array" ref="B413">IFERROR(INDEX(_xlfn._xlws.FILTER(CONFIG_ASIGNATURAS!$B$2:$B$91,(CONFIG_ASIGNATURAS!$G$2:$G$91="Sí")*ISNUMBER(SEARCH("6EPM",CONFIG_ASIGNATURAS!$C$2:$C$91))),30),"")</f>
      </c>
      <c r="C413">
        <f>IF(B413="","",IFERROR(VLOOKUP(B413,CONFIG_ASIGNATURAS!$B$2:$D$91,3,FALSE()),"Asignatura"))</f>
      </c>
      <c r="D413">
        <f>SUMPRODUCT((nCUENTA=1)*(nCURSO=A413)*(nASIG=B413))</f>
        <v>0</v>
      </c>
      <c r="E413" s="10" t="str">
        <f>IFERROR(SUMPRODUCT((nCUENTA=1)*(nCURSO=A413)*(nASIG=B413)*(nNOTA))/D413,"—")</f>
        <v>—</v>
      </c>
      <c r="F413" s="10" t="str" cm="1">
        <f t="array" ref="F413">IFERROR(_xlfn.STDEV.P(_xlfn._xlws.FILTER(nNOTA,(nCUENTA=1)*(nCURSO=A413)*(nASIG=B413))),"—")</f>
        <v>—</v>
      </c>
      <c r="G413" t="str" cm="1">
        <f t="array" ref="G413">IFERROR(_xlfn.MODE.SNGL(_xlfn._xlws.FILTER(nNOTA,(nCUENTA=1)*(nCURSO=A413)*(nASIG=B413))),"—")</f>
        <v>—</v>
      </c>
      <c r="H413" s="11" t="str">
        <f>IFERROR(SUMPRODUCT((nCUENTA=1)*(nCURSO=A413)*(nASIG=B413)*(nAPTO="S"))/D413,"—")</f>
        <v>—</v>
      </c>
      <c r="I413" s="11" t="str">
        <f>IFERROR(SUMPRODUCT((nCUENTA=1)*(nCURSO=A413)*(nASIG=B413)*(nAPTO="N"))/D413,"—")</f>
        <v>—</v>
      </c>
      <c r="J413" t="str" cm="1">
        <f t="array" ref="J413">IFERROR(_xlfn.MODE.SNGL(_xlfn._xlws.FILTER(nNOTA,(nCUENTA=1)*(nCURSO=A413)*(nASIG=B413)*(nAPTO="S"))),"—")</f>
        <v>—</v>
      </c>
      <c r="K413" t="str" cm="1">
        <f t="array" ref="K413">IFERROR(_xlfn.MODE.SNGL(_xlfn._xlws.FILTER(nNOTA,(nCUENTA=1)*(nCURSO=A413)*(nASIG=B413)*(nAPTO="N"))),"—")</f>
        <v>—</v>
      </c>
      <c r="L413">
        <f>SUMPRODUCT((nCUENTA=1)*(nCURSO=A413)*(nASIG=B413)*(nNOTA=1))</f>
        <v>0</v>
      </c>
      <c r="M413">
        <f>SUMPRODUCT((nCUENTA=1)*(nCURSO=A413)*(nASIG=B413)*(nNOTA=2))</f>
        <v>0</v>
      </c>
      <c r="N413">
        <f>SUMPRODUCT((nCUENTA=1)*(nCURSO=A413)*(nASIG=B413)*(nNOTA=3))</f>
        <v>0</v>
      </c>
      <c r="O413">
        <f>SUMPRODUCT((nCUENTA=1)*(nCURSO=A413)*(nASIG=B413)*(nNOTA=4))</f>
        <v>0</v>
      </c>
      <c r="P413">
        <f>SUMPRODUCT((nCUENTA=1)*(nCURSO=A413)*(nASIG=B413)*(nNOTA=5))</f>
        <v>0</v>
      </c>
      <c r="Q413">
        <f>SUMPRODUCT((nCUENTA=1)*(nCURSO=A413)*(nASIG=B413)*(nNOTA=6))</f>
        <v>0</v>
      </c>
      <c r="R413">
        <f>SUMPRODUCT((nCUENTA=1)*(nCURSO=A413)*(nASIG=B413)*(nNOTA=7))</f>
        <v>0</v>
      </c>
      <c r="S413">
        <f>SUMPRODUCT((nCUENTA=1)*(nCURSO=A413)*(nASIG=B413)*(nNOTA=8))</f>
        <v>0</v>
      </c>
      <c r="T413">
        <f>SUMPRODUCT((nCUENTA=1)*(nCURSO=A413)*(nASIG=B413)*(nNOTA=9))</f>
        <v>0</v>
      </c>
      <c r="U413">
        <f>SUMPRODUCT((nCUENTA=1)*(nCURSO=A413)*(nASIG=B413)*(nNOTA=10))</f>
        <v>0</v>
      </c>
    </row>
    <row r="414">
      <c r="A414" t="inlineStr">
        <is>
          <t xml:space="preserve">6EPM</t>
        </is>
      </c>
      <c r="B414" cm="1">
        <f t="array" ref="B414">IFERROR(INDEX(_xlfn._xlws.FILTER(CONFIG_ASIGNATURAS!$B$2:$B$91,(CONFIG_ASIGNATURAS!$G$2:$G$91="Sí")*ISNUMBER(SEARCH("6EPM",CONFIG_ASIGNATURAS!$C$2:$C$91))),31),"")</f>
      </c>
      <c r="C414">
        <f>IF(B414="","",IFERROR(VLOOKUP(B414,CONFIG_ASIGNATURAS!$B$2:$D$91,3,FALSE()),"Asignatura"))</f>
      </c>
      <c r="D414">
        <f>SUMPRODUCT((nCUENTA=1)*(nCURSO=A414)*(nASIG=B414))</f>
        <v>0</v>
      </c>
      <c r="E414" s="10" t="str">
        <f>IFERROR(SUMPRODUCT((nCUENTA=1)*(nCURSO=A414)*(nASIG=B414)*(nNOTA))/D414,"—")</f>
        <v>—</v>
      </c>
      <c r="F414" s="10" t="str" cm="1">
        <f t="array" ref="F414">IFERROR(_xlfn.STDEV.P(_xlfn._xlws.FILTER(nNOTA,(nCUENTA=1)*(nCURSO=A414)*(nASIG=B414))),"—")</f>
        <v>—</v>
      </c>
      <c r="G414" t="str" cm="1">
        <f t="array" ref="G414">IFERROR(_xlfn.MODE.SNGL(_xlfn._xlws.FILTER(nNOTA,(nCUENTA=1)*(nCURSO=A414)*(nASIG=B414))),"—")</f>
        <v>—</v>
      </c>
      <c r="H414" s="11" t="str">
        <f>IFERROR(SUMPRODUCT((nCUENTA=1)*(nCURSO=A414)*(nASIG=B414)*(nAPTO="S"))/D414,"—")</f>
        <v>—</v>
      </c>
      <c r="I414" s="11" t="str">
        <f>IFERROR(SUMPRODUCT((nCUENTA=1)*(nCURSO=A414)*(nASIG=B414)*(nAPTO="N"))/D414,"—")</f>
        <v>—</v>
      </c>
      <c r="J414" t="str" cm="1">
        <f t="array" ref="J414">IFERROR(_xlfn.MODE.SNGL(_xlfn._xlws.FILTER(nNOTA,(nCUENTA=1)*(nCURSO=A414)*(nASIG=B414)*(nAPTO="S"))),"—")</f>
        <v>—</v>
      </c>
      <c r="K414" t="str" cm="1">
        <f t="array" ref="K414">IFERROR(_xlfn.MODE.SNGL(_xlfn._xlws.FILTER(nNOTA,(nCUENTA=1)*(nCURSO=A414)*(nASIG=B414)*(nAPTO="N"))),"—")</f>
        <v>—</v>
      </c>
      <c r="L414">
        <f>SUMPRODUCT((nCUENTA=1)*(nCURSO=A414)*(nASIG=B414)*(nNOTA=1))</f>
        <v>0</v>
      </c>
      <c r="M414">
        <f>SUMPRODUCT((nCUENTA=1)*(nCURSO=A414)*(nASIG=B414)*(nNOTA=2))</f>
        <v>0</v>
      </c>
      <c r="N414">
        <f>SUMPRODUCT((nCUENTA=1)*(nCURSO=A414)*(nASIG=B414)*(nNOTA=3))</f>
        <v>0</v>
      </c>
      <c r="O414">
        <f>SUMPRODUCT((nCUENTA=1)*(nCURSO=A414)*(nASIG=B414)*(nNOTA=4))</f>
        <v>0</v>
      </c>
      <c r="P414">
        <f>SUMPRODUCT((nCUENTA=1)*(nCURSO=A414)*(nASIG=B414)*(nNOTA=5))</f>
        <v>0</v>
      </c>
      <c r="Q414">
        <f>SUMPRODUCT((nCUENTA=1)*(nCURSO=A414)*(nASIG=B414)*(nNOTA=6))</f>
        <v>0</v>
      </c>
      <c r="R414">
        <f>SUMPRODUCT((nCUENTA=1)*(nCURSO=A414)*(nASIG=B414)*(nNOTA=7))</f>
        <v>0</v>
      </c>
      <c r="S414">
        <f>SUMPRODUCT((nCUENTA=1)*(nCURSO=A414)*(nASIG=B414)*(nNOTA=8))</f>
        <v>0</v>
      </c>
      <c r="T414">
        <f>SUMPRODUCT((nCUENTA=1)*(nCURSO=A414)*(nASIG=B414)*(nNOTA=9))</f>
        <v>0</v>
      </c>
      <c r="U414">
        <f>SUMPRODUCT((nCUENTA=1)*(nCURSO=A414)*(nASIG=B414)*(nNOTA=10))</f>
        <v>0</v>
      </c>
    </row>
    <row r="415">
      <c r="A415" t="inlineStr">
        <is>
          <t xml:space="preserve">6EPM</t>
        </is>
      </c>
      <c r="B415" cm="1">
        <f t="array" ref="B415">IFERROR(INDEX(_xlfn._xlws.FILTER(CONFIG_ASIGNATURAS!$B$2:$B$91,(CONFIG_ASIGNATURAS!$G$2:$G$91="Sí")*ISNUMBER(SEARCH("6EPM",CONFIG_ASIGNATURAS!$C$2:$C$91))),32),"")</f>
      </c>
      <c r="C415">
        <f>IF(B415="","",IFERROR(VLOOKUP(B415,CONFIG_ASIGNATURAS!$B$2:$D$91,3,FALSE()),"Asignatura"))</f>
      </c>
      <c r="D415">
        <f>SUMPRODUCT((nCUENTA=1)*(nCURSO=A415)*(nASIG=B415))</f>
        <v>0</v>
      </c>
      <c r="E415" s="10" t="str">
        <f>IFERROR(SUMPRODUCT((nCUENTA=1)*(nCURSO=A415)*(nASIG=B415)*(nNOTA))/D415,"—")</f>
        <v>—</v>
      </c>
      <c r="F415" s="10" t="str" cm="1">
        <f t="array" ref="F415">IFERROR(_xlfn.STDEV.P(_xlfn._xlws.FILTER(nNOTA,(nCUENTA=1)*(nCURSO=A415)*(nASIG=B415))),"—")</f>
        <v>—</v>
      </c>
      <c r="G415" t="str" cm="1">
        <f t="array" ref="G415">IFERROR(_xlfn.MODE.SNGL(_xlfn._xlws.FILTER(nNOTA,(nCUENTA=1)*(nCURSO=A415)*(nASIG=B415))),"—")</f>
        <v>—</v>
      </c>
      <c r="H415" s="11" t="str">
        <f>IFERROR(SUMPRODUCT((nCUENTA=1)*(nCURSO=A415)*(nASIG=B415)*(nAPTO="S"))/D415,"—")</f>
        <v>—</v>
      </c>
      <c r="I415" s="11" t="str">
        <f>IFERROR(SUMPRODUCT((nCUENTA=1)*(nCURSO=A415)*(nASIG=B415)*(nAPTO="N"))/D415,"—")</f>
        <v>—</v>
      </c>
      <c r="J415" t="str" cm="1">
        <f t="array" ref="J415">IFERROR(_xlfn.MODE.SNGL(_xlfn._xlws.FILTER(nNOTA,(nCUENTA=1)*(nCURSO=A415)*(nASIG=B415)*(nAPTO="S"))),"—")</f>
        <v>—</v>
      </c>
      <c r="K415" t="str" cm="1">
        <f t="array" ref="K415">IFERROR(_xlfn.MODE.SNGL(_xlfn._xlws.FILTER(nNOTA,(nCUENTA=1)*(nCURSO=A415)*(nASIG=B415)*(nAPTO="N"))),"—")</f>
        <v>—</v>
      </c>
      <c r="L415">
        <f>SUMPRODUCT((nCUENTA=1)*(nCURSO=A415)*(nASIG=B415)*(nNOTA=1))</f>
        <v>0</v>
      </c>
      <c r="M415">
        <f>SUMPRODUCT((nCUENTA=1)*(nCURSO=A415)*(nASIG=B415)*(nNOTA=2))</f>
        <v>0</v>
      </c>
      <c r="N415">
        <f>SUMPRODUCT((nCUENTA=1)*(nCURSO=A415)*(nASIG=B415)*(nNOTA=3))</f>
        <v>0</v>
      </c>
      <c r="O415">
        <f>SUMPRODUCT((nCUENTA=1)*(nCURSO=A415)*(nASIG=B415)*(nNOTA=4))</f>
        <v>0</v>
      </c>
      <c r="P415">
        <f>SUMPRODUCT((nCUENTA=1)*(nCURSO=A415)*(nASIG=B415)*(nNOTA=5))</f>
        <v>0</v>
      </c>
      <c r="Q415">
        <f>SUMPRODUCT((nCUENTA=1)*(nCURSO=A415)*(nASIG=B415)*(nNOTA=6))</f>
        <v>0</v>
      </c>
      <c r="R415">
        <f>SUMPRODUCT((nCUENTA=1)*(nCURSO=A415)*(nASIG=B415)*(nNOTA=7))</f>
        <v>0</v>
      </c>
      <c r="S415">
        <f>SUMPRODUCT((nCUENTA=1)*(nCURSO=A415)*(nASIG=B415)*(nNOTA=8))</f>
        <v>0</v>
      </c>
      <c r="T415">
        <f>SUMPRODUCT((nCUENTA=1)*(nCURSO=A415)*(nASIG=B415)*(nNOTA=9))</f>
        <v>0</v>
      </c>
      <c r="U415">
        <f>SUMPRODUCT((nCUENTA=1)*(nCURSO=A415)*(nASIG=B415)*(nNOTA=10))</f>
        <v>0</v>
      </c>
    </row>
    <row r="416">
      <c r="A416" t="inlineStr">
        <is>
          <t xml:space="preserve">6EPM</t>
        </is>
      </c>
      <c r="B416" cm="1">
        <f t="array" ref="B416">IFERROR(INDEX(_xlfn._xlws.FILTER(CONFIG_ASIGNATURAS!$B$2:$B$91,(CONFIG_ASIGNATURAS!$G$2:$G$91="Sí")*ISNUMBER(SEARCH("6EPM",CONFIG_ASIGNATURAS!$C$2:$C$91))),33),"")</f>
      </c>
      <c r="C416">
        <f>IF(B416="","",IFERROR(VLOOKUP(B416,CONFIG_ASIGNATURAS!$B$2:$D$91,3,FALSE()),"Asignatura"))</f>
      </c>
      <c r="D416">
        <f>SUMPRODUCT((nCUENTA=1)*(nCURSO=A416)*(nASIG=B416))</f>
        <v>0</v>
      </c>
      <c r="E416" s="10" t="str">
        <f>IFERROR(SUMPRODUCT((nCUENTA=1)*(nCURSO=A416)*(nASIG=B416)*(nNOTA))/D416,"—")</f>
        <v>—</v>
      </c>
      <c r="F416" s="10" t="str" cm="1">
        <f t="array" ref="F416">IFERROR(_xlfn.STDEV.P(_xlfn._xlws.FILTER(nNOTA,(nCUENTA=1)*(nCURSO=A416)*(nASIG=B416))),"—")</f>
        <v>—</v>
      </c>
      <c r="G416" t="str" cm="1">
        <f t="array" ref="G416">IFERROR(_xlfn.MODE.SNGL(_xlfn._xlws.FILTER(nNOTA,(nCUENTA=1)*(nCURSO=A416)*(nASIG=B416))),"—")</f>
        <v>—</v>
      </c>
      <c r="H416" s="11" t="str">
        <f>IFERROR(SUMPRODUCT((nCUENTA=1)*(nCURSO=A416)*(nASIG=B416)*(nAPTO="S"))/D416,"—")</f>
        <v>—</v>
      </c>
      <c r="I416" s="11" t="str">
        <f>IFERROR(SUMPRODUCT((nCUENTA=1)*(nCURSO=A416)*(nASIG=B416)*(nAPTO="N"))/D416,"—")</f>
        <v>—</v>
      </c>
      <c r="J416" t="str" cm="1">
        <f t="array" ref="J416">IFERROR(_xlfn.MODE.SNGL(_xlfn._xlws.FILTER(nNOTA,(nCUENTA=1)*(nCURSO=A416)*(nASIG=B416)*(nAPTO="S"))),"—")</f>
        <v>—</v>
      </c>
      <c r="K416" t="str" cm="1">
        <f t="array" ref="K416">IFERROR(_xlfn.MODE.SNGL(_xlfn._xlws.FILTER(nNOTA,(nCUENTA=1)*(nCURSO=A416)*(nASIG=B416)*(nAPTO="N"))),"—")</f>
        <v>—</v>
      </c>
      <c r="L416">
        <f>SUMPRODUCT((nCUENTA=1)*(nCURSO=A416)*(nASIG=B416)*(nNOTA=1))</f>
        <v>0</v>
      </c>
      <c r="M416">
        <f>SUMPRODUCT((nCUENTA=1)*(nCURSO=A416)*(nASIG=B416)*(nNOTA=2))</f>
        <v>0</v>
      </c>
      <c r="N416">
        <f>SUMPRODUCT((nCUENTA=1)*(nCURSO=A416)*(nASIG=B416)*(nNOTA=3))</f>
        <v>0</v>
      </c>
      <c r="O416">
        <f>SUMPRODUCT((nCUENTA=1)*(nCURSO=A416)*(nASIG=B416)*(nNOTA=4))</f>
        <v>0</v>
      </c>
      <c r="P416">
        <f>SUMPRODUCT((nCUENTA=1)*(nCURSO=A416)*(nASIG=B416)*(nNOTA=5))</f>
        <v>0</v>
      </c>
      <c r="Q416">
        <f>SUMPRODUCT((nCUENTA=1)*(nCURSO=A416)*(nASIG=B416)*(nNOTA=6))</f>
        <v>0</v>
      </c>
      <c r="R416">
        <f>SUMPRODUCT((nCUENTA=1)*(nCURSO=A416)*(nASIG=B416)*(nNOTA=7))</f>
        <v>0</v>
      </c>
      <c r="S416">
        <f>SUMPRODUCT((nCUENTA=1)*(nCURSO=A416)*(nASIG=B416)*(nNOTA=8))</f>
        <v>0</v>
      </c>
      <c r="T416">
        <f>SUMPRODUCT((nCUENTA=1)*(nCURSO=A416)*(nASIG=B416)*(nNOTA=9))</f>
        <v>0</v>
      </c>
      <c r="U416">
        <f>SUMPRODUCT((nCUENTA=1)*(nCURSO=A416)*(nASIG=B416)*(nNOTA=10))</f>
        <v>0</v>
      </c>
    </row>
    <row r="417">
      <c r="A417" t="inlineStr">
        <is>
          <t xml:space="preserve">6EPM</t>
        </is>
      </c>
      <c r="B417" cm="1">
        <f t="array" ref="B417">IFERROR(INDEX(_xlfn._xlws.FILTER(CONFIG_ASIGNATURAS!$B$2:$B$91,(CONFIG_ASIGNATURAS!$G$2:$G$91="Sí")*ISNUMBER(SEARCH("6EPM",CONFIG_ASIGNATURAS!$C$2:$C$91))),34),"")</f>
      </c>
      <c r="C417">
        <f>IF(B417="","",IFERROR(VLOOKUP(B417,CONFIG_ASIGNATURAS!$B$2:$D$91,3,FALSE()),"Asignatura"))</f>
      </c>
      <c r="D417">
        <f>SUMPRODUCT((nCUENTA=1)*(nCURSO=A417)*(nASIG=B417))</f>
        <v>0</v>
      </c>
      <c r="E417" s="10" t="str">
        <f>IFERROR(SUMPRODUCT((nCUENTA=1)*(nCURSO=A417)*(nASIG=B417)*(nNOTA))/D417,"—")</f>
        <v>—</v>
      </c>
      <c r="F417" s="10" t="str" cm="1">
        <f t="array" ref="F417">IFERROR(_xlfn.STDEV.P(_xlfn._xlws.FILTER(nNOTA,(nCUENTA=1)*(nCURSO=A417)*(nASIG=B417))),"—")</f>
        <v>—</v>
      </c>
      <c r="G417" t="str" cm="1">
        <f t="array" ref="G417">IFERROR(_xlfn.MODE.SNGL(_xlfn._xlws.FILTER(nNOTA,(nCUENTA=1)*(nCURSO=A417)*(nASIG=B417))),"—")</f>
        <v>—</v>
      </c>
      <c r="H417" s="11" t="str">
        <f>IFERROR(SUMPRODUCT((nCUENTA=1)*(nCURSO=A417)*(nASIG=B417)*(nAPTO="S"))/D417,"—")</f>
        <v>—</v>
      </c>
      <c r="I417" s="11" t="str">
        <f>IFERROR(SUMPRODUCT((nCUENTA=1)*(nCURSO=A417)*(nASIG=B417)*(nAPTO="N"))/D417,"—")</f>
        <v>—</v>
      </c>
      <c r="J417" t="str" cm="1">
        <f t="array" ref="J417">IFERROR(_xlfn.MODE.SNGL(_xlfn._xlws.FILTER(nNOTA,(nCUENTA=1)*(nCURSO=A417)*(nASIG=B417)*(nAPTO="S"))),"—")</f>
        <v>—</v>
      </c>
      <c r="K417" t="str" cm="1">
        <f t="array" ref="K417">IFERROR(_xlfn.MODE.SNGL(_xlfn._xlws.FILTER(nNOTA,(nCUENTA=1)*(nCURSO=A417)*(nASIG=B417)*(nAPTO="N"))),"—")</f>
        <v>—</v>
      </c>
      <c r="L417">
        <f>SUMPRODUCT((nCUENTA=1)*(nCURSO=A417)*(nASIG=B417)*(nNOTA=1))</f>
        <v>0</v>
      </c>
      <c r="M417">
        <f>SUMPRODUCT((nCUENTA=1)*(nCURSO=A417)*(nASIG=B417)*(nNOTA=2))</f>
        <v>0</v>
      </c>
      <c r="N417">
        <f>SUMPRODUCT((nCUENTA=1)*(nCURSO=A417)*(nASIG=B417)*(nNOTA=3))</f>
        <v>0</v>
      </c>
      <c r="O417">
        <f>SUMPRODUCT((nCUENTA=1)*(nCURSO=A417)*(nASIG=B417)*(nNOTA=4))</f>
        <v>0</v>
      </c>
      <c r="P417">
        <f>SUMPRODUCT((nCUENTA=1)*(nCURSO=A417)*(nASIG=B417)*(nNOTA=5))</f>
        <v>0</v>
      </c>
      <c r="Q417">
        <f>SUMPRODUCT((nCUENTA=1)*(nCURSO=A417)*(nASIG=B417)*(nNOTA=6))</f>
        <v>0</v>
      </c>
      <c r="R417">
        <f>SUMPRODUCT((nCUENTA=1)*(nCURSO=A417)*(nASIG=B417)*(nNOTA=7))</f>
        <v>0</v>
      </c>
      <c r="S417">
        <f>SUMPRODUCT((nCUENTA=1)*(nCURSO=A417)*(nASIG=B417)*(nNOTA=8))</f>
        <v>0</v>
      </c>
      <c r="T417">
        <f>SUMPRODUCT((nCUENTA=1)*(nCURSO=A417)*(nASIG=B417)*(nNOTA=9))</f>
        <v>0</v>
      </c>
      <c r="U417">
        <f>SUMPRODUCT((nCUENTA=1)*(nCURSO=A417)*(nASIG=B417)*(nNOTA=10))</f>
        <v>0</v>
      </c>
    </row>
    <row r="418">
      <c r="A418" t="inlineStr">
        <is>
          <t xml:space="preserve">6EPM</t>
        </is>
      </c>
      <c r="B418" cm="1">
        <f t="array" ref="B418">IFERROR(INDEX(_xlfn._xlws.FILTER(CONFIG_ASIGNATURAS!$B$2:$B$91,(CONFIG_ASIGNATURAS!$G$2:$G$91="Sí")*ISNUMBER(SEARCH("6EPM",CONFIG_ASIGNATURAS!$C$2:$C$91))),35),"")</f>
      </c>
      <c r="C418">
        <f>IF(B418="","",IFERROR(VLOOKUP(B418,CONFIG_ASIGNATURAS!$B$2:$D$91,3,FALSE()),"Asignatura"))</f>
      </c>
      <c r="D418">
        <f>SUMPRODUCT((nCUENTA=1)*(nCURSO=A418)*(nASIG=B418))</f>
        <v>0</v>
      </c>
      <c r="E418" s="10" t="str">
        <f>IFERROR(SUMPRODUCT((nCUENTA=1)*(nCURSO=A418)*(nASIG=B418)*(nNOTA))/D418,"—")</f>
        <v>—</v>
      </c>
      <c r="F418" s="10" t="str" cm="1">
        <f t="array" ref="F418">IFERROR(_xlfn.STDEV.P(_xlfn._xlws.FILTER(nNOTA,(nCUENTA=1)*(nCURSO=A418)*(nASIG=B418))),"—")</f>
        <v>—</v>
      </c>
      <c r="G418" t="str" cm="1">
        <f t="array" ref="G418">IFERROR(_xlfn.MODE.SNGL(_xlfn._xlws.FILTER(nNOTA,(nCUENTA=1)*(nCURSO=A418)*(nASIG=B418))),"—")</f>
        <v>—</v>
      </c>
      <c r="H418" s="11" t="str">
        <f>IFERROR(SUMPRODUCT((nCUENTA=1)*(nCURSO=A418)*(nASIG=B418)*(nAPTO="S"))/D418,"—")</f>
        <v>—</v>
      </c>
      <c r="I418" s="11" t="str">
        <f>IFERROR(SUMPRODUCT((nCUENTA=1)*(nCURSO=A418)*(nASIG=B418)*(nAPTO="N"))/D418,"—")</f>
        <v>—</v>
      </c>
      <c r="J418" t="str" cm="1">
        <f t="array" ref="J418">IFERROR(_xlfn.MODE.SNGL(_xlfn._xlws.FILTER(nNOTA,(nCUENTA=1)*(nCURSO=A418)*(nASIG=B418)*(nAPTO="S"))),"—")</f>
        <v>—</v>
      </c>
      <c r="K418" t="str" cm="1">
        <f t="array" ref="K418">IFERROR(_xlfn.MODE.SNGL(_xlfn._xlws.FILTER(nNOTA,(nCUENTA=1)*(nCURSO=A418)*(nASIG=B418)*(nAPTO="N"))),"—")</f>
        <v>—</v>
      </c>
      <c r="L418">
        <f>SUMPRODUCT((nCUENTA=1)*(nCURSO=A418)*(nASIG=B418)*(nNOTA=1))</f>
        <v>0</v>
      </c>
      <c r="M418">
        <f>SUMPRODUCT((nCUENTA=1)*(nCURSO=A418)*(nASIG=B418)*(nNOTA=2))</f>
        <v>0</v>
      </c>
      <c r="N418">
        <f>SUMPRODUCT((nCUENTA=1)*(nCURSO=A418)*(nASIG=B418)*(nNOTA=3))</f>
        <v>0</v>
      </c>
      <c r="O418">
        <f>SUMPRODUCT((nCUENTA=1)*(nCURSO=A418)*(nASIG=B418)*(nNOTA=4))</f>
        <v>0</v>
      </c>
      <c r="P418">
        <f>SUMPRODUCT((nCUENTA=1)*(nCURSO=A418)*(nASIG=B418)*(nNOTA=5))</f>
        <v>0</v>
      </c>
      <c r="Q418">
        <f>SUMPRODUCT((nCUENTA=1)*(nCURSO=A418)*(nASIG=B418)*(nNOTA=6))</f>
        <v>0</v>
      </c>
      <c r="R418">
        <f>SUMPRODUCT((nCUENTA=1)*(nCURSO=A418)*(nASIG=B418)*(nNOTA=7))</f>
        <v>0</v>
      </c>
      <c r="S418">
        <f>SUMPRODUCT((nCUENTA=1)*(nCURSO=A418)*(nASIG=B418)*(nNOTA=8))</f>
        <v>0</v>
      </c>
      <c r="T418">
        <f>SUMPRODUCT((nCUENTA=1)*(nCURSO=A418)*(nASIG=B418)*(nNOTA=9))</f>
        <v>0</v>
      </c>
      <c r="U418">
        <f>SUMPRODUCT((nCUENTA=1)*(nCURSO=A418)*(nASIG=B418)*(nNOTA=10))</f>
        <v>0</v>
      </c>
    </row>
    <row r="419">
      <c r="A419" t="inlineStr">
        <is>
          <t xml:space="preserve">6EPM</t>
        </is>
      </c>
      <c r="B419" cm="1">
        <f t="array" ref="B419">IFERROR(INDEX(_xlfn._xlws.FILTER(CONFIG_ASIGNATURAS!$B$2:$B$91,(CONFIG_ASIGNATURAS!$G$2:$G$91="Sí")*ISNUMBER(SEARCH("6EPM",CONFIG_ASIGNATURAS!$C$2:$C$91))),36),"")</f>
      </c>
      <c r="C419">
        <f>IF(B419="","",IFERROR(VLOOKUP(B419,CONFIG_ASIGNATURAS!$B$2:$D$91,3,FALSE()),"Asignatura"))</f>
      </c>
      <c r="D419">
        <f>SUMPRODUCT((nCUENTA=1)*(nCURSO=A419)*(nASIG=B419))</f>
        <v>0</v>
      </c>
      <c r="E419" s="10" t="str">
        <f>IFERROR(SUMPRODUCT((nCUENTA=1)*(nCURSO=A419)*(nASIG=B419)*(nNOTA))/D419,"—")</f>
        <v>—</v>
      </c>
      <c r="F419" s="10" t="str" cm="1">
        <f t="array" ref="F419">IFERROR(_xlfn.STDEV.P(_xlfn._xlws.FILTER(nNOTA,(nCUENTA=1)*(nCURSO=A419)*(nASIG=B419))),"—")</f>
        <v>—</v>
      </c>
      <c r="G419" t="str" cm="1">
        <f t="array" ref="G419">IFERROR(_xlfn.MODE.SNGL(_xlfn._xlws.FILTER(nNOTA,(nCUENTA=1)*(nCURSO=A419)*(nASIG=B419))),"—")</f>
        <v>—</v>
      </c>
      <c r="H419" s="11" t="str">
        <f>IFERROR(SUMPRODUCT((nCUENTA=1)*(nCURSO=A419)*(nASIG=B419)*(nAPTO="S"))/D419,"—")</f>
        <v>—</v>
      </c>
      <c r="I419" s="11" t="str">
        <f>IFERROR(SUMPRODUCT((nCUENTA=1)*(nCURSO=A419)*(nASIG=B419)*(nAPTO="N"))/D419,"—")</f>
        <v>—</v>
      </c>
      <c r="J419" t="str" cm="1">
        <f t="array" ref="J419">IFERROR(_xlfn.MODE.SNGL(_xlfn._xlws.FILTER(nNOTA,(nCUENTA=1)*(nCURSO=A419)*(nASIG=B419)*(nAPTO="S"))),"—")</f>
        <v>—</v>
      </c>
      <c r="K419" t="str" cm="1">
        <f t="array" ref="K419">IFERROR(_xlfn.MODE.SNGL(_xlfn._xlws.FILTER(nNOTA,(nCUENTA=1)*(nCURSO=A419)*(nASIG=B419)*(nAPTO="N"))),"—")</f>
        <v>—</v>
      </c>
      <c r="L419">
        <f>SUMPRODUCT((nCUENTA=1)*(nCURSO=A419)*(nASIG=B419)*(nNOTA=1))</f>
        <v>0</v>
      </c>
      <c r="M419">
        <f>SUMPRODUCT((nCUENTA=1)*(nCURSO=A419)*(nASIG=B419)*(nNOTA=2))</f>
        <v>0</v>
      </c>
      <c r="N419">
        <f>SUMPRODUCT((nCUENTA=1)*(nCURSO=A419)*(nASIG=B419)*(nNOTA=3))</f>
        <v>0</v>
      </c>
      <c r="O419">
        <f>SUMPRODUCT((nCUENTA=1)*(nCURSO=A419)*(nASIG=B419)*(nNOTA=4))</f>
        <v>0</v>
      </c>
      <c r="P419">
        <f>SUMPRODUCT((nCUENTA=1)*(nCURSO=A419)*(nASIG=B419)*(nNOTA=5))</f>
        <v>0</v>
      </c>
      <c r="Q419">
        <f>SUMPRODUCT((nCUENTA=1)*(nCURSO=A419)*(nASIG=B419)*(nNOTA=6))</f>
        <v>0</v>
      </c>
      <c r="R419">
        <f>SUMPRODUCT((nCUENTA=1)*(nCURSO=A419)*(nASIG=B419)*(nNOTA=7))</f>
        <v>0</v>
      </c>
      <c r="S419">
        <f>SUMPRODUCT((nCUENTA=1)*(nCURSO=A419)*(nASIG=B419)*(nNOTA=8))</f>
        <v>0</v>
      </c>
      <c r="T419">
        <f>SUMPRODUCT((nCUENTA=1)*(nCURSO=A419)*(nASIG=B419)*(nNOTA=9))</f>
        <v>0</v>
      </c>
      <c r="U419">
        <f>SUMPRODUCT((nCUENTA=1)*(nCURSO=A419)*(nASIG=B419)*(nNOTA=10))</f>
        <v>0</v>
      </c>
    </row>
    <row r="420">
      <c r="A420" t="inlineStr">
        <is>
          <t xml:space="preserve">6EPM</t>
        </is>
      </c>
      <c r="B420" cm="1">
        <f t="array" ref="B420">IFERROR(INDEX(_xlfn._xlws.FILTER(CONFIG_ASIGNATURAS!$B$2:$B$91,(CONFIG_ASIGNATURAS!$G$2:$G$91="Sí")*ISNUMBER(SEARCH("6EPM",CONFIG_ASIGNATURAS!$C$2:$C$91))),37),"")</f>
      </c>
      <c r="C420">
        <f>IF(B420="","",IFERROR(VLOOKUP(B420,CONFIG_ASIGNATURAS!$B$2:$D$91,3,FALSE()),"Asignatura"))</f>
      </c>
      <c r="D420">
        <f>SUMPRODUCT((nCUENTA=1)*(nCURSO=A420)*(nASIG=B420))</f>
        <v>0</v>
      </c>
      <c r="E420" s="10" t="str">
        <f>IFERROR(SUMPRODUCT((nCUENTA=1)*(nCURSO=A420)*(nASIG=B420)*(nNOTA))/D420,"—")</f>
        <v>—</v>
      </c>
      <c r="F420" s="10" t="str" cm="1">
        <f t="array" ref="F420">IFERROR(_xlfn.STDEV.P(_xlfn._xlws.FILTER(nNOTA,(nCUENTA=1)*(nCURSO=A420)*(nASIG=B420))),"—")</f>
        <v>—</v>
      </c>
      <c r="G420" t="str" cm="1">
        <f t="array" ref="G420">IFERROR(_xlfn.MODE.SNGL(_xlfn._xlws.FILTER(nNOTA,(nCUENTA=1)*(nCURSO=A420)*(nASIG=B420))),"—")</f>
        <v>—</v>
      </c>
      <c r="H420" s="11" t="str">
        <f>IFERROR(SUMPRODUCT((nCUENTA=1)*(nCURSO=A420)*(nASIG=B420)*(nAPTO="S"))/D420,"—")</f>
        <v>—</v>
      </c>
      <c r="I420" s="11" t="str">
        <f>IFERROR(SUMPRODUCT((nCUENTA=1)*(nCURSO=A420)*(nASIG=B420)*(nAPTO="N"))/D420,"—")</f>
        <v>—</v>
      </c>
      <c r="J420" t="str" cm="1">
        <f t="array" ref="J420">IFERROR(_xlfn.MODE.SNGL(_xlfn._xlws.FILTER(nNOTA,(nCUENTA=1)*(nCURSO=A420)*(nASIG=B420)*(nAPTO="S"))),"—")</f>
        <v>—</v>
      </c>
      <c r="K420" t="str" cm="1">
        <f t="array" ref="K420">IFERROR(_xlfn.MODE.SNGL(_xlfn._xlws.FILTER(nNOTA,(nCUENTA=1)*(nCURSO=A420)*(nASIG=B420)*(nAPTO="N"))),"—")</f>
        <v>—</v>
      </c>
      <c r="L420">
        <f>SUMPRODUCT((nCUENTA=1)*(nCURSO=A420)*(nASIG=B420)*(nNOTA=1))</f>
        <v>0</v>
      </c>
      <c r="M420">
        <f>SUMPRODUCT((nCUENTA=1)*(nCURSO=A420)*(nASIG=B420)*(nNOTA=2))</f>
        <v>0</v>
      </c>
      <c r="N420">
        <f>SUMPRODUCT((nCUENTA=1)*(nCURSO=A420)*(nASIG=B420)*(nNOTA=3))</f>
        <v>0</v>
      </c>
      <c r="O420">
        <f>SUMPRODUCT((nCUENTA=1)*(nCURSO=A420)*(nASIG=B420)*(nNOTA=4))</f>
        <v>0</v>
      </c>
      <c r="P420">
        <f>SUMPRODUCT((nCUENTA=1)*(nCURSO=A420)*(nASIG=B420)*(nNOTA=5))</f>
        <v>0</v>
      </c>
      <c r="Q420">
        <f>SUMPRODUCT((nCUENTA=1)*(nCURSO=A420)*(nASIG=B420)*(nNOTA=6))</f>
        <v>0</v>
      </c>
      <c r="R420">
        <f>SUMPRODUCT((nCUENTA=1)*(nCURSO=A420)*(nASIG=B420)*(nNOTA=7))</f>
        <v>0</v>
      </c>
      <c r="S420">
        <f>SUMPRODUCT((nCUENTA=1)*(nCURSO=A420)*(nASIG=B420)*(nNOTA=8))</f>
        <v>0</v>
      </c>
      <c r="T420">
        <f>SUMPRODUCT((nCUENTA=1)*(nCURSO=A420)*(nASIG=B420)*(nNOTA=9))</f>
        <v>0</v>
      </c>
      <c r="U420">
        <f>SUMPRODUCT((nCUENTA=1)*(nCURSO=A420)*(nASIG=B420)*(nNOTA=10))</f>
        <v>0</v>
      </c>
    </row>
    <row r="421">
      <c r="A421" t="inlineStr">
        <is>
          <t xml:space="preserve">6EPM</t>
        </is>
      </c>
      <c r="B421" cm="1">
        <f t="array" ref="B421">IFERROR(INDEX(_xlfn._xlws.FILTER(CONFIG_ASIGNATURAS!$B$2:$B$91,(CONFIG_ASIGNATURAS!$G$2:$G$91="Sí")*ISNUMBER(SEARCH("6EPM",CONFIG_ASIGNATURAS!$C$2:$C$91))),38),"")</f>
      </c>
      <c r="C421">
        <f>IF(B421="","",IFERROR(VLOOKUP(B421,CONFIG_ASIGNATURAS!$B$2:$D$91,3,FALSE()),"Asignatura"))</f>
      </c>
      <c r="D421">
        <f>SUMPRODUCT((nCUENTA=1)*(nCURSO=A421)*(nASIG=B421))</f>
        <v>0</v>
      </c>
      <c r="E421" s="10" t="str">
        <f>IFERROR(SUMPRODUCT((nCUENTA=1)*(nCURSO=A421)*(nASIG=B421)*(nNOTA))/D421,"—")</f>
        <v>—</v>
      </c>
      <c r="F421" s="10" t="str" cm="1">
        <f t="array" ref="F421">IFERROR(_xlfn.STDEV.P(_xlfn._xlws.FILTER(nNOTA,(nCUENTA=1)*(nCURSO=A421)*(nASIG=B421))),"—")</f>
        <v>—</v>
      </c>
      <c r="G421" t="str" cm="1">
        <f t="array" ref="G421">IFERROR(_xlfn.MODE.SNGL(_xlfn._xlws.FILTER(nNOTA,(nCUENTA=1)*(nCURSO=A421)*(nASIG=B421))),"—")</f>
        <v>—</v>
      </c>
      <c r="H421" s="11" t="str">
        <f>IFERROR(SUMPRODUCT((nCUENTA=1)*(nCURSO=A421)*(nASIG=B421)*(nAPTO="S"))/D421,"—")</f>
        <v>—</v>
      </c>
      <c r="I421" s="11" t="str">
        <f>IFERROR(SUMPRODUCT((nCUENTA=1)*(nCURSO=A421)*(nASIG=B421)*(nAPTO="N"))/D421,"—")</f>
        <v>—</v>
      </c>
      <c r="J421" t="str" cm="1">
        <f t="array" ref="J421">IFERROR(_xlfn.MODE.SNGL(_xlfn._xlws.FILTER(nNOTA,(nCUENTA=1)*(nCURSO=A421)*(nASIG=B421)*(nAPTO="S"))),"—")</f>
        <v>—</v>
      </c>
      <c r="K421" t="str" cm="1">
        <f t="array" ref="K421">IFERROR(_xlfn.MODE.SNGL(_xlfn._xlws.FILTER(nNOTA,(nCUENTA=1)*(nCURSO=A421)*(nASIG=B421)*(nAPTO="N"))),"—")</f>
        <v>—</v>
      </c>
      <c r="L421">
        <f>SUMPRODUCT((nCUENTA=1)*(nCURSO=A421)*(nASIG=B421)*(nNOTA=1))</f>
        <v>0</v>
      </c>
      <c r="M421">
        <f>SUMPRODUCT((nCUENTA=1)*(nCURSO=A421)*(nASIG=B421)*(nNOTA=2))</f>
        <v>0</v>
      </c>
      <c r="N421">
        <f>SUMPRODUCT((nCUENTA=1)*(nCURSO=A421)*(nASIG=B421)*(nNOTA=3))</f>
        <v>0</v>
      </c>
      <c r="O421">
        <f>SUMPRODUCT((nCUENTA=1)*(nCURSO=A421)*(nASIG=B421)*(nNOTA=4))</f>
        <v>0</v>
      </c>
      <c r="P421">
        <f>SUMPRODUCT((nCUENTA=1)*(nCURSO=A421)*(nASIG=B421)*(nNOTA=5))</f>
        <v>0</v>
      </c>
      <c r="Q421">
        <f>SUMPRODUCT((nCUENTA=1)*(nCURSO=A421)*(nASIG=B421)*(nNOTA=6))</f>
        <v>0</v>
      </c>
      <c r="R421">
        <f>SUMPRODUCT((nCUENTA=1)*(nCURSO=A421)*(nASIG=B421)*(nNOTA=7))</f>
        <v>0</v>
      </c>
      <c r="S421">
        <f>SUMPRODUCT((nCUENTA=1)*(nCURSO=A421)*(nASIG=B421)*(nNOTA=8))</f>
        <v>0</v>
      </c>
      <c r="T421">
        <f>SUMPRODUCT((nCUENTA=1)*(nCURSO=A421)*(nASIG=B421)*(nNOTA=9))</f>
        <v>0</v>
      </c>
      <c r="U421">
        <f>SUMPRODUCT((nCUENTA=1)*(nCURSO=A421)*(nASIG=B421)*(nNOTA=10))</f>
        <v>0</v>
      </c>
    </row>
    <row r="422">
      <c r="A422" t="inlineStr">
        <is>
          <t xml:space="preserve">6EPM</t>
        </is>
      </c>
      <c r="B422" cm="1">
        <f t="array" ref="B422">IFERROR(INDEX(_xlfn._xlws.FILTER(CONFIG_ASIGNATURAS!$B$2:$B$91,(CONFIG_ASIGNATURAS!$G$2:$G$91="Sí")*ISNUMBER(SEARCH("6EPM",CONFIG_ASIGNATURAS!$C$2:$C$91))),39),"")</f>
      </c>
      <c r="C422">
        <f>IF(B422="","",IFERROR(VLOOKUP(B422,CONFIG_ASIGNATURAS!$B$2:$D$91,3,FALSE()),"Asignatura"))</f>
      </c>
      <c r="D422">
        <f>SUMPRODUCT((nCUENTA=1)*(nCURSO=A422)*(nASIG=B422))</f>
        <v>0</v>
      </c>
      <c r="E422" s="10" t="str">
        <f>IFERROR(SUMPRODUCT((nCUENTA=1)*(nCURSO=A422)*(nASIG=B422)*(nNOTA))/D422,"—")</f>
        <v>—</v>
      </c>
      <c r="F422" s="10" t="str" cm="1">
        <f t="array" ref="F422">IFERROR(_xlfn.STDEV.P(_xlfn._xlws.FILTER(nNOTA,(nCUENTA=1)*(nCURSO=A422)*(nASIG=B422))),"—")</f>
        <v>—</v>
      </c>
      <c r="G422" t="str" cm="1">
        <f t="array" ref="G422">IFERROR(_xlfn.MODE.SNGL(_xlfn._xlws.FILTER(nNOTA,(nCUENTA=1)*(nCURSO=A422)*(nASIG=B422))),"—")</f>
        <v>—</v>
      </c>
      <c r="H422" s="11" t="str">
        <f>IFERROR(SUMPRODUCT((nCUENTA=1)*(nCURSO=A422)*(nASIG=B422)*(nAPTO="S"))/D422,"—")</f>
        <v>—</v>
      </c>
      <c r="I422" s="11" t="str">
        <f>IFERROR(SUMPRODUCT((nCUENTA=1)*(nCURSO=A422)*(nASIG=B422)*(nAPTO="N"))/D422,"—")</f>
        <v>—</v>
      </c>
      <c r="J422" t="str" cm="1">
        <f t="array" ref="J422">IFERROR(_xlfn.MODE.SNGL(_xlfn._xlws.FILTER(nNOTA,(nCUENTA=1)*(nCURSO=A422)*(nASIG=B422)*(nAPTO="S"))),"—")</f>
        <v>—</v>
      </c>
      <c r="K422" t="str" cm="1">
        <f t="array" ref="K422">IFERROR(_xlfn.MODE.SNGL(_xlfn._xlws.FILTER(nNOTA,(nCUENTA=1)*(nCURSO=A422)*(nASIG=B422)*(nAPTO="N"))),"—")</f>
        <v>—</v>
      </c>
      <c r="L422">
        <f>SUMPRODUCT((nCUENTA=1)*(nCURSO=A422)*(nASIG=B422)*(nNOTA=1))</f>
        <v>0</v>
      </c>
      <c r="M422">
        <f>SUMPRODUCT((nCUENTA=1)*(nCURSO=A422)*(nASIG=B422)*(nNOTA=2))</f>
        <v>0</v>
      </c>
      <c r="N422">
        <f>SUMPRODUCT((nCUENTA=1)*(nCURSO=A422)*(nASIG=B422)*(nNOTA=3))</f>
        <v>0</v>
      </c>
      <c r="O422">
        <f>SUMPRODUCT((nCUENTA=1)*(nCURSO=A422)*(nASIG=B422)*(nNOTA=4))</f>
        <v>0</v>
      </c>
      <c r="P422">
        <f>SUMPRODUCT((nCUENTA=1)*(nCURSO=A422)*(nASIG=B422)*(nNOTA=5))</f>
        <v>0</v>
      </c>
      <c r="Q422">
        <f>SUMPRODUCT((nCUENTA=1)*(nCURSO=A422)*(nASIG=B422)*(nNOTA=6))</f>
        <v>0</v>
      </c>
      <c r="R422">
        <f>SUMPRODUCT((nCUENTA=1)*(nCURSO=A422)*(nASIG=B422)*(nNOTA=7))</f>
        <v>0</v>
      </c>
      <c r="S422">
        <f>SUMPRODUCT((nCUENTA=1)*(nCURSO=A422)*(nASIG=B422)*(nNOTA=8))</f>
        <v>0</v>
      </c>
      <c r="T422">
        <f>SUMPRODUCT((nCUENTA=1)*(nCURSO=A422)*(nASIG=B422)*(nNOTA=9))</f>
        <v>0</v>
      </c>
      <c r="U422">
        <f>SUMPRODUCT((nCUENTA=1)*(nCURSO=A422)*(nASIG=B422)*(nNOTA=10))</f>
        <v>0</v>
      </c>
    </row>
    <row r="423">
      <c r="A423" t="inlineStr">
        <is>
          <t xml:space="preserve">6EPM</t>
        </is>
      </c>
      <c r="B423" cm="1">
        <f t="array" ref="B423">IFERROR(INDEX(_xlfn._xlws.FILTER(CONFIG_ASIGNATURAS!$B$2:$B$91,(CONFIG_ASIGNATURAS!$G$2:$G$91="Sí")*ISNUMBER(SEARCH("6EPM",CONFIG_ASIGNATURAS!$C$2:$C$91))),40),"")</f>
      </c>
      <c r="C423">
        <f>IF(B423="","",IFERROR(VLOOKUP(B423,CONFIG_ASIGNATURAS!$B$2:$D$91,3,FALSE()),"Asignatura"))</f>
      </c>
      <c r="D423">
        <f>SUMPRODUCT((nCUENTA=1)*(nCURSO=A423)*(nASIG=B423))</f>
        <v>0</v>
      </c>
      <c r="E423" s="10" t="str">
        <f>IFERROR(SUMPRODUCT((nCUENTA=1)*(nCURSO=A423)*(nASIG=B423)*(nNOTA))/D423,"—")</f>
        <v>—</v>
      </c>
      <c r="F423" s="10" t="str" cm="1">
        <f t="array" ref="F423">IFERROR(_xlfn.STDEV.P(_xlfn._xlws.FILTER(nNOTA,(nCUENTA=1)*(nCURSO=A423)*(nASIG=B423))),"—")</f>
        <v>—</v>
      </c>
      <c r="G423" t="str" cm="1">
        <f t="array" ref="G423">IFERROR(_xlfn.MODE.SNGL(_xlfn._xlws.FILTER(nNOTA,(nCUENTA=1)*(nCURSO=A423)*(nASIG=B423))),"—")</f>
        <v>—</v>
      </c>
      <c r="H423" s="11" t="str">
        <f>IFERROR(SUMPRODUCT((nCUENTA=1)*(nCURSO=A423)*(nASIG=B423)*(nAPTO="S"))/D423,"—")</f>
        <v>—</v>
      </c>
      <c r="I423" s="11" t="str">
        <f>IFERROR(SUMPRODUCT((nCUENTA=1)*(nCURSO=A423)*(nASIG=B423)*(nAPTO="N"))/D423,"—")</f>
        <v>—</v>
      </c>
      <c r="J423" t="str" cm="1">
        <f t="array" ref="J423">IFERROR(_xlfn.MODE.SNGL(_xlfn._xlws.FILTER(nNOTA,(nCUENTA=1)*(nCURSO=A423)*(nASIG=B423)*(nAPTO="S"))),"—")</f>
        <v>—</v>
      </c>
      <c r="K423" t="str" cm="1">
        <f t="array" ref="K423">IFERROR(_xlfn.MODE.SNGL(_xlfn._xlws.FILTER(nNOTA,(nCUENTA=1)*(nCURSO=A423)*(nASIG=B423)*(nAPTO="N"))),"—")</f>
        <v>—</v>
      </c>
      <c r="L423">
        <f>SUMPRODUCT((nCUENTA=1)*(nCURSO=A423)*(nASIG=B423)*(nNOTA=1))</f>
        <v>0</v>
      </c>
      <c r="M423">
        <f>SUMPRODUCT((nCUENTA=1)*(nCURSO=A423)*(nASIG=B423)*(nNOTA=2))</f>
        <v>0</v>
      </c>
      <c r="N423">
        <f>SUMPRODUCT((nCUENTA=1)*(nCURSO=A423)*(nASIG=B423)*(nNOTA=3))</f>
        <v>0</v>
      </c>
      <c r="O423">
        <f>SUMPRODUCT((nCUENTA=1)*(nCURSO=A423)*(nASIG=B423)*(nNOTA=4))</f>
        <v>0</v>
      </c>
      <c r="P423">
        <f>SUMPRODUCT((nCUENTA=1)*(nCURSO=A423)*(nASIG=B423)*(nNOTA=5))</f>
        <v>0</v>
      </c>
      <c r="Q423">
        <f>SUMPRODUCT((nCUENTA=1)*(nCURSO=A423)*(nASIG=B423)*(nNOTA=6))</f>
        <v>0</v>
      </c>
      <c r="R423">
        <f>SUMPRODUCT((nCUENTA=1)*(nCURSO=A423)*(nASIG=B423)*(nNOTA=7))</f>
        <v>0</v>
      </c>
      <c r="S423">
        <f>SUMPRODUCT((nCUENTA=1)*(nCURSO=A423)*(nASIG=B423)*(nNOTA=8))</f>
        <v>0</v>
      </c>
      <c r="T423">
        <f>SUMPRODUCT((nCUENTA=1)*(nCURSO=A423)*(nASIG=B423)*(nNOTA=9))</f>
        <v>0</v>
      </c>
      <c r="U423">
        <f>SUMPRODUCT((nCUENTA=1)*(nCURSO=A423)*(nASIG=B423)*(nNOTA=10))</f>
        <v>0</v>
      </c>
    </row>
    <row r="424">
      <c r="A424" t="inlineStr">
        <is>
          <t xml:space="preserve">6EPM</t>
        </is>
      </c>
      <c r="B424" cm="1">
        <f t="array" ref="B424">IFERROR(INDEX(_xlfn._xlws.FILTER(CONFIG_ASIGNATURAS!$B$2:$B$91,(CONFIG_ASIGNATURAS!$G$2:$G$91="Sí")*ISNUMBER(SEARCH("6EPM",CONFIG_ASIGNATURAS!$C$2:$C$91))),41),"")</f>
      </c>
      <c r="C424">
        <f>IF(B424="","",IFERROR(VLOOKUP(B424,CONFIG_ASIGNATURAS!$B$2:$D$91,3,FALSE()),"Asignatura"))</f>
      </c>
      <c r="D424">
        <f>SUMPRODUCT((nCUENTA=1)*(nCURSO=A424)*(nASIG=B424))</f>
        <v>0</v>
      </c>
      <c r="E424" s="10" t="str">
        <f>IFERROR(SUMPRODUCT((nCUENTA=1)*(nCURSO=A424)*(nASIG=B424)*(nNOTA))/D424,"—")</f>
        <v>—</v>
      </c>
      <c r="F424" s="10" t="str" cm="1">
        <f t="array" ref="F424">IFERROR(_xlfn.STDEV.P(_xlfn._xlws.FILTER(nNOTA,(nCUENTA=1)*(nCURSO=A424)*(nASIG=B424))),"—")</f>
        <v>—</v>
      </c>
      <c r="G424" t="str" cm="1">
        <f t="array" ref="G424">IFERROR(_xlfn.MODE.SNGL(_xlfn._xlws.FILTER(nNOTA,(nCUENTA=1)*(nCURSO=A424)*(nASIG=B424))),"—")</f>
        <v>—</v>
      </c>
      <c r="H424" s="11" t="str">
        <f>IFERROR(SUMPRODUCT((nCUENTA=1)*(nCURSO=A424)*(nASIG=B424)*(nAPTO="S"))/D424,"—")</f>
        <v>—</v>
      </c>
      <c r="I424" s="11" t="str">
        <f>IFERROR(SUMPRODUCT((nCUENTA=1)*(nCURSO=A424)*(nASIG=B424)*(nAPTO="N"))/D424,"—")</f>
        <v>—</v>
      </c>
      <c r="J424" t="str" cm="1">
        <f t="array" ref="J424">IFERROR(_xlfn.MODE.SNGL(_xlfn._xlws.FILTER(nNOTA,(nCUENTA=1)*(nCURSO=A424)*(nASIG=B424)*(nAPTO="S"))),"—")</f>
        <v>—</v>
      </c>
      <c r="K424" t="str" cm="1">
        <f t="array" ref="K424">IFERROR(_xlfn.MODE.SNGL(_xlfn._xlws.FILTER(nNOTA,(nCUENTA=1)*(nCURSO=A424)*(nASIG=B424)*(nAPTO="N"))),"—")</f>
        <v>—</v>
      </c>
      <c r="L424">
        <f>SUMPRODUCT((nCUENTA=1)*(nCURSO=A424)*(nASIG=B424)*(nNOTA=1))</f>
        <v>0</v>
      </c>
      <c r="M424">
        <f>SUMPRODUCT((nCUENTA=1)*(nCURSO=A424)*(nASIG=B424)*(nNOTA=2))</f>
        <v>0</v>
      </c>
      <c r="N424">
        <f>SUMPRODUCT((nCUENTA=1)*(nCURSO=A424)*(nASIG=B424)*(nNOTA=3))</f>
        <v>0</v>
      </c>
      <c r="O424">
        <f>SUMPRODUCT((nCUENTA=1)*(nCURSO=A424)*(nASIG=B424)*(nNOTA=4))</f>
        <v>0</v>
      </c>
      <c r="P424">
        <f>SUMPRODUCT((nCUENTA=1)*(nCURSO=A424)*(nASIG=B424)*(nNOTA=5))</f>
        <v>0</v>
      </c>
      <c r="Q424">
        <f>SUMPRODUCT((nCUENTA=1)*(nCURSO=A424)*(nASIG=B424)*(nNOTA=6))</f>
        <v>0</v>
      </c>
      <c r="R424">
        <f>SUMPRODUCT((nCUENTA=1)*(nCURSO=A424)*(nASIG=B424)*(nNOTA=7))</f>
        <v>0</v>
      </c>
      <c r="S424">
        <f>SUMPRODUCT((nCUENTA=1)*(nCURSO=A424)*(nASIG=B424)*(nNOTA=8))</f>
        <v>0</v>
      </c>
      <c r="T424">
        <f>SUMPRODUCT((nCUENTA=1)*(nCURSO=A424)*(nASIG=B424)*(nNOTA=9))</f>
        <v>0</v>
      </c>
      <c r="U424">
        <f>SUMPRODUCT((nCUENTA=1)*(nCURSO=A424)*(nASIG=B424)*(nNOTA=10))</f>
        <v>0</v>
      </c>
    </row>
    <row r="425">
      <c r="A425" t="inlineStr">
        <is>
          <t xml:space="preserve">6EPM</t>
        </is>
      </c>
      <c r="B425" cm="1">
        <f t="array" ref="B425">IFERROR(INDEX(_xlfn._xlws.FILTER(CONFIG_ASIGNATURAS!$B$2:$B$91,(CONFIG_ASIGNATURAS!$G$2:$G$91="Sí")*ISNUMBER(SEARCH("6EPM",CONFIG_ASIGNATURAS!$C$2:$C$91))),42),"")</f>
      </c>
      <c r="C425">
        <f>IF(B425="","",IFERROR(VLOOKUP(B425,CONFIG_ASIGNATURAS!$B$2:$D$91,3,FALSE()),"Asignatura"))</f>
      </c>
      <c r="D425">
        <f>SUMPRODUCT((nCUENTA=1)*(nCURSO=A425)*(nASIG=B425))</f>
        <v>0</v>
      </c>
      <c r="E425" s="10" t="str">
        <f>IFERROR(SUMPRODUCT((nCUENTA=1)*(nCURSO=A425)*(nASIG=B425)*(nNOTA))/D425,"—")</f>
        <v>—</v>
      </c>
      <c r="F425" s="10" t="str" cm="1">
        <f t="array" ref="F425">IFERROR(_xlfn.STDEV.P(_xlfn._xlws.FILTER(nNOTA,(nCUENTA=1)*(nCURSO=A425)*(nASIG=B425))),"—")</f>
        <v>—</v>
      </c>
      <c r="G425" t="str" cm="1">
        <f t="array" ref="G425">IFERROR(_xlfn.MODE.SNGL(_xlfn._xlws.FILTER(nNOTA,(nCUENTA=1)*(nCURSO=A425)*(nASIG=B425))),"—")</f>
        <v>—</v>
      </c>
      <c r="H425" s="11" t="str">
        <f>IFERROR(SUMPRODUCT((nCUENTA=1)*(nCURSO=A425)*(nASIG=B425)*(nAPTO="S"))/D425,"—")</f>
        <v>—</v>
      </c>
      <c r="I425" s="11" t="str">
        <f>IFERROR(SUMPRODUCT((nCUENTA=1)*(nCURSO=A425)*(nASIG=B425)*(nAPTO="N"))/D425,"—")</f>
        <v>—</v>
      </c>
      <c r="J425" t="str" cm="1">
        <f t="array" ref="J425">IFERROR(_xlfn.MODE.SNGL(_xlfn._xlws.FILTER(nNOTA,(nCUENTA=1)*(nCURSO=A425)*(nASIG=B425)*(nAPTO="S"))),"—")</f>
        <v>—</v>
      </c>
      <c r="K425" t="str" cm="1">
        <f t="array" ref="K425">IFERROR(_xlfn.MODE.SNGL(_xlfn._xlws.FILTER(nNOTA,(nCUENTA=1)*(nCURSO=A425)*(nASIG=B425)*(nAPTO="N"))),"—")</f>
        <v>—</v>
      </c>
      <c r="L425">
        <f>SUMPRODUCT((nCUENTA=1)*(nCURSO=A425)*(nASIG=B425)*(nNOTA=1))</f>
        <v>0</v>
      </c>
      <c r="M425">
        <f>SUMPRODUCT((nCUENTA=1)*(nCURSO=A425)*(nASIG=B425)*(nNOTA=2))</f>
        <v>0</v>
      </c>
      <c r="N425">
        <f>SUMPRODUCT((nCUENTA=1)*(nCURSO=A425)*(nASIG=B425)*(nNOTA=3))</f>
        <v>0</v>
      </c>
      <c r="O425">
        <f>SUMPRODUCT((nCUENTA=1)*(nCURSO=A425)*(nASIG=B425)*(nNOTA=4))</f>
        <v>0</v>
      </c>
      <c r="P425">
        <f>SUMPRODUCT((nCUENTA=1)*(nCURSO=A425)*(nASIG=B425)*(nNOTA=5))</f>
        <v>0</v>
      </c>
      <c r="Q425">
        <f>SUMPRODUCT((nCUENTA=1)*(nCURSO=A425)*(nASIG=B425)*(nNOTA=6))</f>
        <v>0</v>
      </c>
      <c r="R425">
        <f>SUMPRODUCT((nCUENTA=1)*(nCURSO=A425)*(nASIG=B425)*(nNOTA=7))</f>
        <v>0</v>
      </c>
      <c r="S425">
        <f>SUMPRODUCT((nCUENTA=1)*(nCURSO=A425)*(nASIG=B425)*(nNOTA=8))</f>
        <v>0</v>
      </c>
      <c r="T425">
        <f>SUMPRODUCT((nCUENTA=1)*(nCURSO=A425)*(nASIG=B425)*(nNOTA=9))</f>
        <v>0</v>
      </c>
      <c r="U425">
        <f>SUMPRODUCT((nCUENTA=1)*(nCURSO=A425)*(nASIG=B425)*(nNOTA=10))</f>
        <v>0</v>
      </c>
    </row>
    <row r="426">
      <c r="A426" t="inlineStr">
        <is>
          <t xml:space="preserve">6EPM</t>
        </is>
      </c>
      <c r="B426" cm="1">
        <f t="array" ref="B426">IFERROR(INDEX(_xlfn._xlws.FILTER(CONFIG_ASIGNATURAS!$B$2:$B$91,(CONFIG_ASIGNATURAS!$G$2:$G$91="Sí")*ISNUMBER(SEARCH("6EPM",CONFIG_ASIGNATURAS!$C$2:$C$91))),43),"")</f>
      </c>
      <c r="C426">
        <f>IF(B426="","",IFERROR(VLOOKUP(B426,CONFIG_ASIGNATURAS!$B$2:$D$91,3,FALSE()),"Asignatura"))</f>
      </c>
      <c r="D426">
        <f>SUMPRODUCT((nCUENTA=1)*(nCURSO=A426)*(nASIG=B426))</f>
        <v>0</v>
      </c>
      <c r="E426" s="10" t="str">
        <f>IFERROR(SUMPRODUCT((nCUENTA=1)*(nCURSO=A426)*(nASIG=B426)*(nNOTA))/D426,"—")</f>
        <v>—</v>
      </c>
      <c r="F426" s="10" t="str" cm="1">
        <f t="array" ref="F426">IFERROR(_xlfn.STDEV.P(_xlfn._xlws.FILTER(nNOTA,(nCUENTA=1)*(nCURSO=A426)*(nASIG=B426))),"—")</f>
        <v>—</v>
      </c>
      <c r="G426" t="str" cm="1">
        <f t="array" ref="G426">IFERROR(_xlfn.MODE.SNGL(_xlfn._xlws.FILTER(nNOTA,(nCUENTA=1)*(nCURSO=A426)*(nASIG=B426))),"—")</f>
        <v>—</v>
      </c>
      <c r="H426" s="11" t="str">
        <f>IFERROR(SUMPRODUCT((nCUENTA=1)*(nCURSO=A426)*(nASIG=B426)*(nAPTO="S"))/D426,"—")</f>
        <v>—</v>
      </c>
      <c r="I426" s="11" t="str">
        <f>IFERROR(SUMPRODUCT((nCUENTA=1)*(nCURSO=A426)*(nASIG=B426)*(nAPTO="N"))/D426,"—")</f>
        <v>—</v>
      </c>
      <c r="J426" t="str" cm="1">
        <f t="array" ref="J426">IFERROR(_xlfn.MODE.SNGL(_xlfn._xlws.FILTER(nNOTA,(nCUENTA=1)*(nCURSO=A426)*(nASIG=B426)*(nAPTO="S"))),"—")</f>
        <v>—</v>
      </c>
      <c r="K426" t="str" cm="1">
        <f t="array" ref="K426">IFERROR(_xlfn.MODE.SNGL(_xlfn._xlws.FILTER(nNOTA,(nCUENTA=1)*(nCURSO=A426)*(nASIG=B426)*(nAPTO="N"))),"—")</f>
        <v>—</v>
      </c>
      <c r="L426">
        <f>SUMPRODUCT((nCUENTA=1)*(nCURSO=A426)*(nASIG=B426)*(nNOTA=1))</f>
        <v>0</v>
      </c>
      <c r="M426">
        <f>SUMPRODUCT((nCUENTA=1)*(nCURSO=A426)*(nASIG=B426)*(nNOTA=2))</f>
        <v>0</v>
      </c>
      <c r="N426">
        <f>SUMPRODUCT((nCUENTA=1)*(nCURSO=A426)*(nASIG=B426)*(nNOTA=3))</f>
        <v>0</v>
      </c>
      <c r="O426">
        <f>SUMPRODUCT((nCUENTA=1)*(nCURSO=A426)*(nASIG=B426)*(nNOTA=4))</f>
        <v>0</v>
      </c>
      <c r="P426">
        <f>SUMPRODUCT((nCUENTA=1)*(nCURSO=A426)*(nASIG=B426)*(nNOTA=5))</f>
        <v>0</v>
      </c>
      <c r="Q426">
        <f>SUMPRODUCT((nCUENTA=1)*(nCURSO=A426)*(nASIG=B426)*(nNOTA=6))</f>
        <v>0</v>
      </c>
      <c r="R426">
        <f>SUMPRODUCT((nCUENTA=1)*(nCURSO=A426)*(nASIG=B426)*(nNOTA=7))</f>
        <v>0</v>
      </c>
      <c r="S426">
        <f>SUMPRODUCT((nCUENTA=1)*(nCURSO=A426)*(nASIG=B426)*(nNOTA=8))</f>
        <v>0</v>
      </c>
      <c r="T426">
        <f>SUMPRODUCT((nCUENTA=1)*(nCURSO=A426)*(nASIG=B426)*(nNOTA=9))</f>
        <v>0</v>
      </c>
      <c r="U426">
        <f>SUMPRODUCT((nCUENTA=1)*(nCURSO=A426)*(nASIG=B426)*(nNOTA=10))</f>
        <v>0</v>
      </c>
    </row>
    <row r="427">
      <c r="A427" t="inlineStr">
        <is>
          <t xml:space="preserve">6EPM</t>
        </is>
      </c>
      <c r="B427" cm="1">
        <f t="array" ref="B427">IFERROR(INDEX(_xlfn._xlws.FILTER(CONFIG_ASIGNATURAS!$B$2:$B$91,(CONFIG_ASIGNATURAS!$G$2:$G$91="Sí")*ISNUMBER(SEARCH("6EPM",CONFIG_ASIGNATURAS!$C$2:$C$91))),44),"")</f>
      </c>
      <c r="C427">
        <f>IF(B427="","",IFERROR(VLOOKUP(B427,CONFIG_ASIGNATURAS!$B$2:$D$91,3,FALSE()),"Asignatura"))</f>
      </c>
      <c r="D427">
        <f>SUMPRODUCT((nCUENTA=1)*(nCURSO=A427)*(nASIG=B427))</f>
        <v>0</v>
      </c>
      <c r="E427" s="10" t="str">
        <f>IFERROR(SUMPRODUCT((nCUENTA=1)*(nCURSO=A427)*(nASIG=B427)*(nNOTA))/D427,"—")</f>
        <v>—</v>
      </c>
      <c r="F427" s="10" t="str" cm="1">
        <f t="array" ref="F427">IFERROR(_xlfn.STDEV.P(_xlfn._xlws.FILTER(nNOTA,(nCUENTA=1)*(nCURSO=A427)*(nASIG=B427))),"—")</f>
        <v>—</v>
      </c>
      <c r="G427" t="str" cm="1">
        <f t="array" ref="G427">IFERROR(_xlfn.MODE.SNGL(_xlfn._xlws.FILTER(nNOTA,(nCUENTA=1)*(nCURSO=A427)*(nASIG=B427))),"—")</f>
        <v>—</v>
      </c>
      <c r="H427" s="11" t="str">
        <f>IFERROR(SUMPRODUCT((nCUENTA=1)*(nCURSO=A427)*(nASIG=B427)*(nAPTO="S"))/D427,"—")</f>
        <v>—</v>
      </c>
      <c r="I427" s="11" t="str">
        <f>IFERROR(SUMPRODUCT((nCUENTA=1)*(nCURSO=A427)*(nASIG=B427)*(nAPTO="N"))/D427,"—")</f>
        <v>—</v>
      </c>
      <c r="J427" t="str" cm="1">
        <f t="array" ref="J427">IFERROR(_xlfn.MODE.SNGL(_xlfn._xlws.FILTER(nNOTA,(nCUENTA=1)*(nCURSO=A427)*(nASIG=B427)*(nAPTO="S"))),"—")</f>
        <v>—</v>
      </c>
      <c r="K427" t="str" cm="1">
        <f t="array" ref="K427">IFERROR(_xlfn.MODE.SNGL(_xlfn._xlws.FILTER(nNOTA,(nCUENTA=1)*(nCURSO=A427)*(nASIG=B427)*(nAPTO="N"))),"—")</f>
        <v>—</v>
      </c>
      <c r="L427">
        <f>SUMPRODUCT((nCUENTA=1)*(nCURSO=A427)*(nASIG=B427)*(nNOTA=1))</f>
        <v>0</v>
      </c>
      <c r="M427">
        <f>SUMPRODUCT((nCUENTA=1)*(nCURSO=A427)*(nASIG=B427)*(nNOTA=2))</f>
        <v>0</v>
      </c>
      <c r="N427">
        <f>SUMPRODUCT((nCUENTA=1)*(nCURSO=A427)*(nASIG=B427)*(nNOTA=3))</f>
        <v>0</v>
      </c>
      <c r="O427">
        <f>SUMPRODUCT((nCUENTA=1)*(nCURSO=A427)*(nASIG=B427)*(nNOTA=4))</f>
        <v>0</v>
      </c>
      <c r="P427">
        <f>SUMPRODUCT((nCUENTA=1)*(nCURSO=A427)*(nASIG=B427)*(nNOTA=5))</f>
        <v>0</v>
      </c>
      <c r="Q427">
        <f>SUMPRODUCT((nCUENTA=1)*(nCURSO=A427)*(nASIG=B427)*(nNOTA=6))</f>
        <v>0</v>
      </c>
      <c r="R427">
        <f>SUMPRODUCT((nCUENTA=1)*(nCURSO=A427)*(nASIG=B427)*(nNOTA=7))</f>
        <v>0</v>
      </c>
      <c r="S427">
        <f>SUMPRODUCT((nCUENTA=1)*(nCURSO=A427)*(nASIG=B427)*(nNOTA=8))</f>
        <v>0</v>
      </c>
      <c r="T427">
        <f>SUMPRODUCT((nCUENTA=1)*(nCURSO=A427)*(nASIG=B427)*(nNOTA=9))</f>
        <v>0</v>
      </c>
      <c r="U427">
        <f>SUMPRODUCT((nCUENTA=1)*(nCURSO=A427)*(nASIG=B427)*(nNOTA=10))</f>
        <v>0</v>
      </c>
    </row>
    <row r="428">
      <c r="A428" t="inlineStr">
        <is>
          <t xml:space="preserve">6EPM</t>
        </is>
      </c>
      <c r="B428" cm="1">
        <f t="array" ref="B428">IFERROR(INDEX(_xlfn._xlws.FILTER(CONFIG_ASIGNATURAS!$B$2:$B$91,(CONFIG_ASIGNATURAS!$G$2:$G$91="Sí")*ISNUMBER(SEARCH("6EPM",CONFIG_ASIGNATURAS!$C$2:$C$91))),45),"")</f>
      </c>
      <c r="C428">
        <f>IF(B428="","",IFERROR(VLOOKUP(B428,CONFIG_ASIGNATURAS!$B$2:$D$91,3,FALSE()),"Asignatura"))</f>
      </c>
      <c r="D428">
        <f>SUMPRODUCT((nCUENTA=1)*(nCURSO=A428)*(nASIG=B428))</f>
        <v>0</v>
      </c>
      <c r="E428" s="10" t="str">
        <f>IFERROR(SUMPRODUCT((nCUENTA=1)*(nCURSO=A428)*(nASIG=B428)*(nNOTA))/D428,"—")</f>
        <v>—</v>
      </c>
      <c r="F428" s="10" t="str" cm="1">
        <f t="array" ref="F428">IFERROR(_xlfn.STDEV.P(_xlfn._xlws.FILTER(nNOTA,(nCUENTA=1)*(nCURSO=A428)*(nASIG=B428))),"—")</f>
        <v>—</v>
      </c>
      <c r="G428" t="str" cm="1">
        <f t="array" ref="G428">IFERROR(_xlfn.MODE.SNGL(_xlfn._xlws.FILTER(nNOTA,(nCUENTA=1)*(nCURSO=A428)*(nASIG=B428))),"—")</f>
        <v>—</v>
      </c>
      <c r="H428" s="11" t="str">
        <f>IFERROR(SUMPRODUCT((nCUENTA=1)*(nCURSO=A428)*(nASIG=B428)*(nAPTO="S"))/D428,"—")</f>
        <v>—</v>
      </c>
      <c r="I428" s="11" t="str">
        <f>IFERROR(SUMPRODUCT((nCUENTA=1)*(nCURSO=A428)*(nASIG=B428)*(nAPTO="N"))/D428,"—")</f>
        <v>—</v>
      </c>
      <c r="J428" t="str" cm="1">
        <f t="array" ref="J428">IFERROR(_xlfn.MODE.SNGL(_xlfn._xlws.FILTER(nNOTA,(nCUENTA=1)*(nCURSO=A428)*(nASIG=B428)*(nAPTO="S"))),"—")</f>
        <v>—</v>
      </c>
      <c r="K428" t="str" cm="1">
        <f t="array" ref="K428">IFERROR(_xlfn.MODE.SNGL(_xlfn._xlws.FILTER(nNOTA,(nCUENTA=1)*(nCURSO=A428)*(nASIG=B428)*(nAPTO="N"))),"—")</f>
        <v>—</v>
      </c>
      <c r="L428">
        <f>SUMPRODUCT((nCUENTA=1)*(nCURSO=A428)*(nASIG=B428)*(nNOTA=1))</f>
        <v>0</v>
      </c>
      <c r="M428">
        <f>SUMPRODUCT((nCUENTA=1)*(nCURSO=A428)*(nASIG=B428)*(nNOTA=2))</f>
        <v>0</v>
      </c>
      <c r="N428">
        <f>SUMPRODUCT((nCUENTA=1)*(nCURSO=A428)*(nASIG=B428)*(nNOTA=3))</f>
        <v>0</v>
      </c>
      <c r="O428">
        <f>SUMPRODUCT((nCUENTA=1)*(nCURSO=A428)*(nASIG=B428)*(nNOTA=4))</f>
        <v>0</v>
      </c>
      <c r="P428">
        <f>SUMPRODUCT((nCUENTA=1)*(nCURSO=A428)*(nASIG=B428)*(nNOTA=5))</f>
        <v>0</v>
      </c>
      <c r="Q428">
        <f>SUMPRODUCT((nCUENTA=1)*(nCURSO=A428)*(nASIG=B428)*(nNOTA=6))</f>
        <v>0</v>
      </c>
      <c r="R428">
        <f>SUMPRODUCT((nCUENTA=1)*(nCURSO=A428)*(nASIG=B428)*(nNOTA=7))</f>
        <v>0</v>
      </c>
      <c r="S428">
        <f>SUMPRODUCT((nCUENTA=1)*(nCURSO=A428)*(nASIG=B428)*(nNOTA=8))</f>
        <v>0</v>
      </c>
      <c r="T428">
        <f>SUMPRODUCT((nCUENTA=1)*(nCURSO=A428)*(nASIG=B428)*(nNOTA=9))</f>
        <v>0</v>
      </c>
      <c r="U428">
        <f>SUMPRODUCT((nCUENTA=1)*(nCURSO=A428)*(nASIG=B428)*(nNOTA=10))</f>
        <v>0</v>
      </c>
    </row>
    <row r="429">
      <c r="A429" t="inlineStr">
        <is>
          <t xml:space="preserve">6EPM</t>
        </is>
      </c>
      <c r="B429" cm="1">
        <f t="array" ref="B429">IFERROR(INDEX(_xlfn._xlws.FILTER(CONFIG_ASIGNATURAS!$B$2:$B$91,(CONFIG_ASIGNATURAS!$G$2:$G$91="Sí")*ISNUMBER(SEARCH("6EPM",CONFIG_ASIGNATURAS!$C$2:$C$91))),46),"")</f>
      </c>
      <c r="C429">
        <f>IF(B429="","",IFERROR(VLOOKUP(B429,CONFIG_ASIGNATURAS!$B$2:$D$91,3,FALSE()),"Asignatura"))</f>
      </c>
      <c r="D429">
        <f>SUMPRODUCT((nCUENTA=1)*(nCURSO=A429)*(nASIG=B429))</f>
        <v>0</v>
      </c>
      <c r="E429" s="10" t="str">
        <f>IFERROR(SUMPRODUCT((nCUENTA=1)*(nCURSO=A429)*(nASIG=B429)*(nNOTA))/D429,"—")</f>
        <v>—</v>
      </c>
      <c r="F429" s="10" t="str" cm="1">
        <f t="array" ref="F429">IFERROR(_xlfn.STDEV.P(_xlfn._xlws.FILTER(nNOTA,(nCUENTA=1)*(nCURSO=A429)*(nASIG=B429))),"—")</f>
        <v>—</v>
      </c>
      <c r="G429" t="str" cm="1">
        <f t="array" ref="G429">IFERROR(_xlfn.MODE.SNGL(_xlfn._xlws.FILTER(nNOTA,(nCUENTA=1)*(nCURSO=A429)*(nASIG=B429))),"—")</f>
        <v>—</v>
      </c>
      <c r="H429" s="11" t="str">
        <f>IFERROR(SUMPRODUCT((nCUENTA=1)*(nCURSO=A429)*(nASIG=B429)*(nAPTO="S"))/D429,"—")</f>
        <v>—</v>
      </c>
      <c r="I429" s="11" t="str">
        <f>IFERROR(SUMPRODUCT((nCUENTA=1)*(nCURSO=A429)*(nASIG=B429)*(nAPTO="N"))/D429,"—")</f>
        <v>—</v>
      </c>
      <c r="J429" t="str" cm="1">
        <f t="array" ref="J429">IFERROR(_xlfn.MODE.SNGL(_xlfn._xlws.FILTER(nNOTA,(nCUENTA=1)*(nCURSO=A429)*(nASIG=B429)*(nAPTO="S"))),"—")</f>
        <v>—</v>
      </c>
      <c r="K429" t="str" cm="1">
        <f t="array" ref="K429">IFERROR(_xlfn.MODE.SNGL(_xlfn._xlws.FILTER(nNOTA,(nCUENTA=1)*(nCURSO=A429)*(nASIG=B429)*(nAPTO="N"))),"—")</f>
        <v>—</v>
      </c>
      <c r="L429">
        <f>SUMPRODUCT((nCUENTA=1)*(nCURSO=A429)*(nASIG=B429)*(nNOTA=1))</f>
        <v>0</v>
      </c>
      <c r="M429">
        <f>SUMPRODUCT((nCUENTA=1)*(nCURSO=A429)*(nASIG=B429)*(nNOTA=2))</f>
        <v>0</v>
      </c>
      <c r="N429">
        <f>SUMPRODUCT((nCUENTA=1)*(nCURSO=A429)*(nASIG=B429)*(nNOTA=3))</f>
        <v>0</v>
      </c>
      <c r="O429">
        <f>SUMPRODUCT((nCUENTA=1)*(nCURSO=A429)*(nASIG=B429)*(nNOTA=4))</f>
        <v>0</v>
      </c>
      <c r="P429">
        <f>SUMPRODUCT((nCUENTA=1)*(nCURSO=A429)*(nASIG=B429)*(nNOTA=5))</f>
        <v>0</v>
      </c>
      <c r="Q429">
        <f>SUMPRODUCT((nCUENTA=1)*(nCURSO=A429)*(nASIG=B429)*(nNOTA=6))</f>
        <v>0</v>
      </c>
      <c r="R429">
        <f>SUMPRODUCT((nCUENTA=1)*(nCURSO=A429)*(nASIG=B429)*(nNOTA=7))</f>
        <v>0</v>
      </c>
      <c r="S429">
        <f>SUMPRODUCT((nCUENTA=1)*(nCURSO=A429)*(nASIG=B429)*(nNOTA=8))</f>
        <v>0</v>
      </c>
      <c r="T429">
        <f>SUMPRODUCT((nCUENTA=1)*(nCURSO=A429)*(nASIG=B429)*(nNOTA=9))</f>
        <v>0</v>
      </c>
      <c r="U429">
        <f>SUMPRODUCT((nCUENTA=1)*(nCURSO=A429)*(nASIG=B429)*(nNOTA=10))</f>
        <v>0</v>
      </c>
    </row>
    <row r="430">
      <c r="A430" t="inlineStr">
        <is>
          <t xml:space="preserve">6EPM</t>
        </is>
      </c>
      <c r="B430" cm="1">
        <f t="array" ref="B430">IFERROR(INDEX(_xlfn._xlws.FILTER(CONFIG_ASIGNATURAS!$B$2:$B$91,(CONFIG_ASIGNATURAS!$G$2:$G$91="Sí")*ISNUMBER(SEARCH("6EPM",CONFIG_ASIGNATURAS!$C$2:$C$91))),47),"")</f>
      </c>
      <c r="C430">
        <f>IF(B430="","",IFERROR(VLOOKUP(B430,CONFIG_ASIGNATURAS!$B$2:$D$91,3,FALSE()),"Asignatura"))</f>
      </c>
      <c r="D430">
        <f>SUMPRODUCT((nCUENTA=1)*(nCURSO=A430)*(nASIG=B430))</f>
        <v>0</v>
      </c>
      <c r="E430" s="10" t="str">
        <f>IFERROR(SUMPRODUCT((nCUENTA=1)*(nCURSO=A430)*(nASIG=B430)*(nNOTA))/D430,"—")</f>
        <v>—</v>
      </c>
      <c r="F430" s="10" t="str" cm="1">
        <f t="array" ref="F430">IFERROR(_xlfn.STDEV.P(_xlfn._xlws.FILTER(nNOTA,(nCUENTA=1)*(nCURSO=A430)*(nASIG=B430))),"—")</f>
        <v>—</v>
      </c>
      <c r="G430" t="str" cm="1">
        <f t="array" ref="G430">IFERROR(_xlfn.MODE.SNGL(_xlfn._xlws.FILTER(nNOTA,(nCUENTA=1)*(nCURSO=A430)*(nASIG=B430))),"—")</f>
        <v>—</v>
      </c>
      <c r="H430" s="11" t="str">
        <f>IFERROR(SUMPRODUCT((nCUENTA=1)*(nCURSO=A430)*(nASIG=B430)*(nAPTO="S"))/D430,"—")</f>
        <v>—</v>
      </c>
      <c r="I430" s="11" t="str">
        <f>IFERROR(SUMPRODUCT((nCUENTA=1)*(nCURSO=A430)*(nASIG=B430)*(nAPTO="N"))/D430,"—")</f>
        <v>—</v>
      </c>
      <c r="J430" t="str" cm="1">
        <f t="array" ref="J430">IFERROR(_xlfn.MODE.SNGL(_xlfn._xlws.FILTER(nNOTA,(nCUENTA=1)*(nCURSO=A430)*(nASIG=B430)*(nAPTO="S"))),"—")</f>
        <v>—</v>
      </c>
      <c r="K430" t="str" cm="1">
        <f t="array" ref="K430">IFERROR(_xlfn.MODE.SNGL(_xlfn._xlws.FILTER(nNOTA,(nCUENTA=1)*(nCURSO=A430)*(nASIG=B430)*(nAPTO="N"))),"—")</f>
        <v>—</v>
      </c>
      <c r="L430">
        <f>SUMPRODUCT((nCUENTA=1)*(nCURSO=A430)*(nASIG=B430)*(nNOTA=1))</f>
        <v>0</v>
      </c>
      <c r="M430">
        <f>SUMPRODUCT((nCUENTA=1)*(nCURSO=A430)*(nASIG=B430)*(nNOTA=2))</f>
        <v>0</v>
      </c>
      <c r="N430">
        <f>SUMPRODUCT((nCUENTA=1)*(nCURSO=A430)*(nASIG=B430)*(nNOTA=3))</f>
        <v>0</v>
      </c>
      <c r="O430">
        <f>SUMPRODUCT((nCUENTA=1)*(nCURSO=A430)*(nASIG=B430)*(nNOTA=4))</f>
        <v>0</v>
      </c>
      <c r="P430">
        <f>SUMPRODUCT((nCUENTA=1)*(nCURSO=A430)*(nASIG=B430)*(nNOTA=5))</f>
        <v>0</v>
      </c>
      <c r="Q430">
        <f>SUMPRODUCT((nCUENTA=1)*(nCURSO=A430)*(nASIG=B430)*(nNOTA=6))</f>
        <v>0</v>
      </c>
      <c r="R430">
        <f>SUMPRODUCT((nCUENTA=1)*(nCURSO=A430)*(nASIG=B430)*(nNOTA=7))</f>
        <v>0</v>
      </c>
      <c r="S430">
        <f>SUMPRODUCT((nCUENTA=1)*(nCURSO=A430)*(nASIG=B430)*(nNOTA=8))</f>
        <v>0</v>
      </c>
      <c r="T430">
        <f>SUMPRODUCT((nCUENTA=1)*(nCURSO=A430)*(nASIG=B430)*(nNOTA=9))</f>
        <v>0</v>
      </c>
      <c r="U430">
        <f>SUMPRODUCT((nCUENTA=1)*(nCURSO=A430)*(nASIG=B430)*(nNOTA=10))</f>
        <v>0</v>
      </c>
    </row>
    <row r="431">
      <c r="A431" t="inlineStr">
        <is>
          <t xml:space="preserve">6EPM</t>
        </is>
      </c>
      <c r="B431" cm="1">
        <f t="array" ref="B431">IFERROR(INDEX(_xlfn._xlws.FILTER(CONFIG_ASIGNATURAS!$B$2:$B$91,(CONFIG_ASIGNATURAS!$G$2:$G$91="Sí")*ISNUMBER(SEARCH("6EPM",CONFIG_ASIGNATURAS!$C$2:$C$91))),48),"")</f>
      </c>
      <c r="C431">
        <f>IF(B431="","",IFERROR(VLOOKUP(B431,CONFIG_ASIGNATURAS!$B$2:$D$91,3,FALSE()),"Asignatura"))</f>
      </c>
      <c r="D431">
        <f>SUMPRODUCT((nCUENTA=1)*(nCURSO=A431)*(nASIG=B431))</f>
        <v>0</v>
      </c>
      <c r="E431" s="10" t="str">
        <f>IFERROR(SUMPRODUCT((nCUENTA=1)*(nCURSO=A431)*(nASIG=B431)*(nNOTA))/D431,"—")</f>
        <v>—</v>
      </c>
      <c r="F431" s="10" t="str" cm="1">
        <f t="array" ref="F431">IFERROR(_xlfn.STDEV.P(_xlfn._xlws.FILTER(nNOTA,(nCUENTA=1)*(nCURSO=A431)*(nASIG=B431))),"—")</f>
        <v>—</v>
      </c>
      <c r="G431" t="str" cm="1">
        <f t="array" ref="G431">IFERROR(_xlfn.MODE.SNGL(_xlfn._xlws.FILTER(nNOTA,(nCUENTA=1)*(nCURSO=A431)*(nASIG=B431))),"—")</f>
        <v>—</v>
      </c>
      <c r="H431" s="11" t="str">
        <f>IFERROR(SUMPRODUCT((nCUENTA=1)*(nCURSO=A431)*(nASIG=B431)*(nAPTO="S"))/D431,"—")</f>
        <v>—</v>
      </c>
      <c r="I431" s="11" t="str">
        <f>IFERROR(SUMPRODUCT((nCUENTA=1)*(nCURSO=A431)*(nASIG=B431)*(nAPTO="N"))/D431,"—")</f>
        <v>—</v>
      </c>
      <c r="J431" t="str" cm="1">
        <f t="array" ref="J431">IFERROR(_xlfn.MODE.SNGL(_xlfn._xlws.FILTER(nNOTA,(nCUENTA=1)*(nCURSO=A431)*(nASIG=B431)*(nAPTO="S"))),"—")</f>
        <v>—</v>
      </c>
      <c r="K431" t="str" cm="1">
        <f t="array" ref="K431">IFERROR(_xlfn.MODE.SNGL(_xlfn._xlws.FILTER(nNOTA,(nCUENTA=1)*(nCURSO=A431)*(nASIG=B431)*(nAPTO="N"))),"—")</f>
        <v>—</v>
      </c>
      <c r="L431">
        <f>SUMPRODUCT((nCUENTA=1)*(nCURSO=A431)*(nASIG=B431)*(nNOTA=1))</f>
        <v>0</v>
      </c>
      <c r="M431">
        <f>SUMPRODUCT((nCUENTA=1)*(nCURSO=A431)*(nASIG=B431)*(nNOTA=2))</f>
        <v>0</v>
      </c>
      <c r="N431">
        <f>SUMPRODUCT((nCUENTA=1)*(nCURSO=A431)*(nASIG=B431)*(nNOTA=3))</f>
        <v>0</v>
      </c>
      <c r="O431">
        <f>SUMPRODUCT((nCUENTA=1)*(nCURSO=A431)*(nASIG=B431)*(nNOTA=4))</f>
        <v>0</v>
      </c>
      <c r="P431">
        <f>SUMPRODUCT((nCUENTA=1)*(nCURSO=A431)*(nASIG=B431)*(nNOTA=5))</f>
        <v>0</v>
      </c>
      <c r="Q431">
        <f>SUMPRODUCT((nCUENTA=1)*(nCURSO=A431)*(nASIG=B431)*(nNOTA=6))</f>
        <v>0</v>
      </c>
      <c r="R431">
        <f>SUMPRODUCT((nCUENTA=1)*(nCURSO=A431)*(nASIG=B431)*(nNOTA=7))</f>
        <v>0</v>
      </c>
      <c r="S431">
        <f>SUMPRODUCT((nCUENTA=1)*(nCURSO=A431)*(nASIG=B431)*(nNOTA=8))</f>
        <v>0</v>
      </c>
      <c r="T431">
        <f>SUMPRODUCT((nCUENTA=1)*(nCURSO=A431)*(nASIG=B431)*(nNOTA=9))</f>
        <v>0</v>
      </c>
      <c r="U431">
        <f>SUMPRODUCT((nCUENTA=1)*(nCURSO=A431)*(nASIG=B431)*(nNOTA=10))</f>
        <v>0</v>
      </c>
    </row>
    <row r="432">
      <c r="A432" t="inlineStr">
        <is>
          <t xml:space="preserve">6EPM</t>
        </is>
      </c>
      <c r="B432" cm="1">
        <f t="array" ref="B432">IFERROR(INDEX(_xlfn._xlws.FILTER(CONFIG_ASIGNATURAS!$B$2:$B$91,(CONFIG_ASIGNATURAS!$G$2:$G$91="Sí")*ISNUMBER(SEARCH("6EPM",CONFIG_ASIGNATURAS!$C$2:$C$91))),49),"")</f>
      </c>
      <c r="C432">
        <f>IF(B432="","",IFERROR(VLOOKUP(B432,CONFIG_ASIGNATURAS!$B$2:$D$91,3,FALSE()),"Asignatura"))</f>
      </c>
      <c r="D432">
        <f>SUMPRODUCT((nCUENTA=1)*(nCURSO=A432)*(nASIG=B432))</f>
        <v>0</v>
      </c>
      <c r="E432" s="10" t="str">
        <f>IFERROR(SUMPRODUCT((nCUENTA=1)*(nCURSO=A432)*(nASIG=B432)*(nNOTA))/D432,"—")</f>
        <v>—</v>
      </c>
      <c r="F432" s="10" t="str" cm="1">
        <f t="array" ref="F432">IFERROR(_xlfn.STDEV.P(_xlfn._xlws.FILTER(nNOTA,(nCUENTA=1)*(nCURSO=A432)*(nASIG=B432))),"—")</f>
        <v>—</v>
      </c>
      <c r="G432" t="str" cm="1">
        <f t="array" ref="G432">IFERROR(_xlfn.MODE.SNGL(_xlfn._xlws.FILTER(nNOTA,(nCUENTA=1)*(nCURSO=A432)*(nASIG=B432))),"—")</f>
        <v>—</v>
      </c>
      <c r="H432" s="11" t="str">
        <f>IFERROR(SUMPRODUCT((nCUENTA=1)*(nCURSO=A432)*(nASIG=B432)*(nAPTO="S"))/D432,"—")</f>
        <v>—</v>
      </c>
      <c r="I432" s="11" t="str">
        <f>IFERROR(SUMPRODUCT((nCUENTA=1)*(nCURSO=A432)*(nASIG=B432)*(nAPTO="N"))/D432,"—")</f>
        <v>—</v>
      </c>
      <c r="J432" t="str" cm="1">
        <f t="array" ref="J432">IFERROR(_xlfn.MODE.SNGL(_xlfn._xlws.FILTER(nNOTA,(nCUENTA=1)*(nCURSO=A432)*(nASIG=B432)*(nAPTO="S"))),"—")</f>
        <v>—</v>
      </c>
      <c r="K432" t="str" cm="1">
        <f t="array" ref="K432">IFERROR(_xlfn.MODE.SNGL(_xlfn._xlws.FILTER(nNOTA,(nCUENTA=1)*(nCURSO=A432)*(nASIG=B432)*(nAPTO="N"))),"—")</f>
        <v>—</v>
      </c>
      <c r="L432">
        <f>SUMPRODUCT((nCUENTA=1)*(nCURSO=A432)*(nASIG=B432)*(nNOTA=1))</f>
        <v>0</v>
      </c>
      <c r="M432">
        <f>SUMPRODUCT((nCUENTA=1)*(nCURSO=A432)*(nASIG=B432)*(nNOTA=2))</f>
        <v>0</v>
      </c>
      <c r="N432">
        <f>SUMPRODUCT((nCUENTA=1)*(nCURSO=A432)*(nASIG=B432)*(nNOTA=3))</f>
        <v>0</v>
      </c>
      <c r="O432">
        <f>SUMPRODUCT((nCUENTA=1)*(nCURSO=A432)*(nASIG=B432)*(nNOTA=4))</f>
        <v>0</v>
      </c>
      <c r="P432">
        <f>SUMPRODUCT((nCUENTA=1)*(nCURSO=A432)*(nASIG=B432)*(nNOTA=5))</f>
        <v>0</v>
      </c>
      <c r="Q432">
        <f>SUMPRODUCT((nCUENTA=1)*(nCURSO=A432)*(nASIG=B432)*(nNOTA=6))</f>
        <v>0</v>
      </c>
      <c r="R432">
        <f>SUMPRODUCT((nCUENTA=1)*(nCURSO=A432)*(nASIG=B432)*(nNOTA=7))</f>
        <v>0</v>
      </c>
      <c r="S432">
        <f>SUMPRODUCT((nCUENTA=1)*(nCURSO=A432)*(nASIG=B432)*(nNOTA=8))</f>
        <v>0</v>
      </c>
      <c r="T432">
        <f>SUMPRODUCT((nCUENTA=1)*(nCURSO=A432)*(nASIG=B432)*(nNOTA=9))</f>
        <v>0</v>
      </c>
      <c r="U432">
        <f>SUMPRODUCT((nCUENTA=1)*(nCURSO=A432)*(nASIG=B432)*(nNOTA=10))</f>
        <v>0</v>
      </c>
    </row>
    <row r="433">
      <c r="A433" t="inlineStr">
        <is>
          <t xml:space="preserve">6EPM</t>
        </is>
      </c>
      <c r="B433" cm="1">
        <f t="array" ref="B433">IFERROR(INDEX(_xlfn._xlws.FILTER(CONFIG_ASIGNATURAS!$B$2:$B$91,(CONFIG_ASIGNATURAS!$G$2:$G$91="Sí")*ISNUMBER(SEARCH("6EPM",CONFIG_ASIGNATURAS!$C$2:$C$91))),50),"")</f>
      </c>
      <c r="C433">
        <f>IF(B433="","",IFERROR(VLOOKUP(B433,CONFIG_ASIGNATURAS!$B$2:$D$91,3,FALSE()),"Asignatura"))</f>
      </c>
      <c r="D433">
        <f>SUMPRODUCT((nCUENTA=1)*(nCURSO=A433)*(nASIG=B433))</f>
        <v>0</v>
      </c>
      <c r="E433" s="10" t="str">
        <f>IFERROR(SUMPRODUCT((nCUENTA=1)*(nCURSO=A433)*(nASIG=B433)*(nNOTA))/D433,"—")</f>
        <v>—</v>
      </c>
      <c r="F433" s="10" t="str" cm="1">
        <f t="array" ref="F433">IFERROR(_xlfn.STDEV.P(_xlfn._xlws.FILTER(nNOTA,(nCUENTA=1)*(nCURSO=A433)*(nASIG=B433))),"—")</f>
        <v>—</v>
      </c>
      <c r="G433" t="str" cm="1">
        <f t="array" ref="G433">IFERROR(_xlfn.MODE.SNGL(_xlfn._xlws.FILTER(nNOTA,(nCUENTA=1)*(nCURSO=A433)*(nASIG=B433))),"—")</f>
        <v>—</v>
      </c>
      <c r="H433" s="11" t="str">
        <f>IFERROR(SUMPRODUCT((nCUENTA=1)*(nCURSO=A433)*(nASIG=B433)*(nAPTO="S"))/D433,"—")</f>
        <v>—</v>
      </c>
      <c r="I433" s="11" t="str">
        <f>IFERROR(SUMPRODUCT((nCUENTA=1)*(nCURSO=A433)*(nASIG=B433)*(nAPTO="N"))/D433,"—")</f>
        <v>—</v>
      </c>
      <c r="J433" t="str" cm="1">
        <f t="array" ref="J433">IFERROR(_xlfn.MODE.SNGL(_xlfn._xlws.FILTER(nNOTA,(nCUENTA=1)*(nCURSO=A433)*(nASIG=B433)*(nAPTO="S"))),"—")</f>
        <v>—</v>
      </c>
      <c r="K433" t="str" cm="1">
        <f t="array" ref="K433">IFERROR(_xlfn.MODE.SNGL(_xlfn._xlws.FILTER(nNOTA,(nCUENTA=1)*(nCURSO=A433)*(nASIG=B433)*(nAPTO="N"))),"—")</f>
        <v>—</v>
      </c>
      <c r="L433">
        <f>SUMPRODUCT((nCUENTA=1)*(nCURSO=A433)*(nASIG=B433)*(nNOTA=1))</f>
        <v>0</v>
      </c>
      <c r="M433">
        <f>SUMPRODUCT((nCUENTA=1)*(nCURSO=A433)*(nASIG=B433)*(nNOTA=2))</f>
        <v>0</v>
      </c>
      <c r="N433">
        <f>SUMPRODUCT((nCUENTA=1)*(nCURSO=A433)*(nASIG=B433)*(nNOTA=3))</f>
        <v>0</v>
      </c>
      <c r="O433">
        <f>SUMPRODUCT((nCUENTA=1)*(nCURSO=A433)*(nASIG=B433)*(nNOTA=4))</f>
        <v>0</v>
      </c>
      <c r="P433">
        <f>SUMPRODUCT((nCUENTA=1)*(nCURSO=A433)*(nASIG=B433)*(nNOTA=5))</f>
        <v>0</v>
      </c>
      <c r="Q433">
        <f>SUMPRODUCT((nCUENTA=1)*(nCURSO=A433)*(nASIG=B433)*(nNOTA=6))</f>
        <v>0</v>
      </c>
      <c r="R433">
        <f>SUMPRODUCT((nCUENTA=1)*(nCURSO=A433)*(nASIG=B433)*(nNOTA=7))</f>
        <v>0</v>
      </c>
      <c r="S433">
        <f>SUMPRODUCT((nCUENTA=1)*(nCURSO=A433)*(nASIG=B433)*(nNOTA=8))</f>
        <v>0</v>
      </c>
      <c r="T433">
        <f>SUMPRODUCT((nCUENTA=1)*(nCURSO=A433)*(nASIG=B433)*(nNOTA=9))</f>
        <v>0</v>
      </c>
      <c r="U433">
        <f>SUMPRODUCT((nCUENTA=1)*(nCURSO=A433)*(nASIG=B433)*(nNOTA=10))</f>
        <v>0</v>
      </c>
    </row>
    <row r="434">
      <c r="A434" t="inlineStr">
        <is>
          <t xml:space="preserve">6EPM</t>
        </is>
      </c>
      <c r="B434" cm="1">
        <f t="array" ref="B434">IFERROR(INDEX(_xlfn._xlws.FILTER(CONFIG_ASIGNATURAS!$B$2:$B$91,(CONFIG_ASIGNATURAS!$G$2:$G$91="Sí")*ISNUMBER(SEARCH("6EPM",CONFIG_ASIGNATURAS!$C$2:$C$91))),51),"")</f>
      </c>
      <c r="C434">
        <f>IF(B434="","",IFERROR(VLOOKUP(B434,CONFIG_ASIGNATURAS!$B$2:$D$91,3,FALSE()),"Asignatura"))</f>
      </c>
      <c r="D434">
        <f>SUMPRODUCT((nCUENTA=1)*(nCURSO=A434)*(nASIG=B434))</f>
        <v>0</v>
      </c>
      <c r="E434" s="10" t="str">
        <f>IFERROR(SUMPRODUCT((nCUENTA=1)*(nCURSO=A434)*(nASIG=B434)*(nNOTA))/D434,"—")</f>
        <v>—</v>
      </c>
      <c r="F434" s="10" t="str" cm="1">
        <f t="array" ref="F434">IFERROR(_xlfn.STDEV.P(_xlfn._xlws.FILTER(nNOTA,(nCUENTA=1)*(nCURSO=A434)*(nASIG=B434))),"—")</f>
        <v>—</v>
      </c>
      <c r="G434" t="str" cm="1">
        <f t="array" ref="G434">IFERROR(_xlfn.MODE.SNGL(_xlfn._xlws.FILTER(nNOTA,(nCUENTA=1)*(nCURSO=A434)*(nASIG=B434))),"—")</f>
        <v>—</v>
      </c>
      <c r="H434" s="11" t="str">
        <f>IFERROR(SUMPRODUCT((nCUENTA=1)*(nCURSO=A434)*(nASIG=B434)*(nAPTO="S"))/D434,"—")</f>
        <v>—</v>
      </c>
      <c r="I434" s="11" t="str">
        <f>IFERROR(SUMPRODUCT((nCUENTA=1)*(nCURSO=A434)*(nASIG=B434)*(nAPTO="N"))/D434,"—")</f>
        <v>—</v>
      </c>
      <c r="J434" t="str" cm="1">
        <f t="array" ref="J434">IFERROR(_xlfn.MODE.SNGL(_xlfn._xlws.FILTER(nNOTA,(nCUENTA=1)*(nCURSO=A434)*(nASIG=B434)*(nAPTO="S"))),"—")</f>
        <v>—</v>
      </c>
      <c r="K434" t="str" cm="1">
        <f t="array" ref="K434">IFERROR(_xlfn.MODE.SNGL(_xlfn._xlws.FILTER(nNOTA,(nCUENTA=1)*(nCURSO=A434)*(nASIG=B434)*(nAPTO="N"))),"—")</f>
        <v>—</v>
      </c>
      <c r="L434">
        <f>SUMPRODUCT((nCUENTA=1)*(nCURSO=A434)*(nASIG=B434)*(nNOTA=1))</f>
        <v>0</v>
      </c>
      <c r="M434">
        <f>SUMPRODUCT((nCUENTA=1)*(nCURSO=A434)*(nASIG=B434)*(nNOTA=2))</f>
        <v>0</v>
      </c>
      <c r="N434">
        <f>SUMPRODUCT((nCUENTA=1)*(nCURSO=A434)*(nASIG=B434)*(nNOTA=3))</f>
        <v>0</v>
      </c>
      <c r="O434">
        <f>SUMPRODUCT((nCUENTA=1)*(nCURSO=A434)*(nASIG=B434)*(nNOTA=4))</f>
        <v>0</v>
      </c>
      <c r="P434">
        <f>SUMPRODUCT((nCUENTA=1)*(nCURSO=A434)*(nASIG=B434)*(nNOTA=5))</f>
        <v>0</v>
      </c>
      <c r="Q434">
        <f>SUMPRODUCT((nCUENTA=1)*(nCURSO=A434)*(nASIG=B434)*(nNOTA=6))</f>
        <v>0</v>
      </c>
      <c r="R434">
        <f>SUMPRODUCT((nCUENTA=1)*(nCURSO=A434)*(nASIG=B434)*(nNOTA=7))</f>
        <v>0</v>
      </c>
      <c r="S434">
        <f>SUMPRODUCT((nCUENTA=1)*(nCURSO=A434)*(nASIG=B434)*(nNOTA=8))</f>
        <v>0</v>
      </c>
      <c r="T434">
        <f>SUMPRODUCT((nCUENTA=1)*(nCURSO=A434)*(nASIG=B434)*(nNOTA=9))</f>
        <v>0</v>
      </c>
      <c r="U434">
        <f>SUMPRODUCT((nCUENTA=1)*(nCURSO=A434)*(nASIG=B434)*(nNOTA=10))</f>
        <v>0</v>
      </c>
    </row>
    <row r="435">
      <c r="A435" t="inlineStr">
        <is>
          <t xml:space="preserve">6EPM</t>
        </is>
      </c>
      <c r="B435" cm="1">
        <f t="array" ref="B435">IFERROR(INDEX(_xlfn._xlws.FILTER(CONFIG_ASIGNATURAS!$B$2:$B$91,(CONFIG_ASIGNATURAS!$G$2:$G$91="Sí")*ISNUMBER(SEARCH("6EPM",CONFIG_ASIGNATURAS!$C$2:$C$91))),52),"")</f>
      </c>
      <c r="C435">
        <f>IF(B435="","",IFERROR(VLOOKUP(B435,CONFIG_ASIGNATURAS!$B$2:$D$91,3,FALSE()),"Asignatura"))</f>
      </c>
      <c r="D435">
        <f>SUMPRODUCT((nCUENTA=1)*(nCURSO=A435)*(nASIG=B435))</f>
        <v>0</v>
      </c>
      <c r="E435" s="10" t="str">
        <f>IFERROR(SUMPRODUCT((nCUENTA=1)*(nCURSO=A435)*(nASIG=B435)*(nNOTA))/D435,"—")</f>
        <v>—</v>
      </c>
      <c r="F435" s="10" t="str" cm="1">
        <f t="array" ref="F435">IFERROR(_xlfn.STDEV.P(_xlfn._xlws.FILTER(nNOTA,(nCUENTA=1)*(nCURSO=A435)*(nASIG=B435))),"—")</f>
        <v>—</v>
      </c>
      <c r="G435" t="str" cm="1">
        <f t="array" ref="G435">IFERROR(_xlfn.MODE.SNGL(_xlfn._xlws.FILTER(nNOTA,(nCUENTA=1)*(nCURSO=A435)*(nASIG=B435))),"—")</f>
        <v>—</v>
      </c>
      <c r="H435" s="11" t="str">
        <f>IFERROR(SUMPRODUCT((nCUENTA=1)*(nCURSO=A435)*(nASIG=B435)*(nAPTO="S"))/D435,"—")</f>
        <v>—</v>
      </c>
      <c r="I435" s="11" t="str">
        <f>IFERROR(SUMPRODUCT((nCUENTA=1)*(nCURSO=A435)*(nASIG=B435)*(nAPTO="N"))/D435,"—")</f>
        <v>—</v>
      </c>
      <c r="J435" t="str" cm="1">
        <f t="array" ref="J435">IFERROR(_xlfn.MODE.SNGL(_xlfn._xlws.FILTER(nNOTA,(nCUENTA=1)*(nCURSO=A435)*(nASIG=B435)*(nAPTO="S"))),"—")</f>
        <v>—</v>
      </c>
      <c r="K435" t="str" cm="1">
        <f t="array" ref="K435">IFERROR(_xlfn.MODE.SNGL(_xlfn._xlws.FILTER(nNOTA,(nCUENTA=1)*(nCURSO=A435)*(nASIG=B435)*(nAPTO="N"))),"—")</f>
        <v>—</v>
      </c>
      <c r="L435">
        <f>SUMPRODUCT((nCUENTA=1)*(nCURSO=A435)*(nASIG=B435)*(nNOTA=1))</f>
        <v>0</v>
      </c>
      <c r="M435">
        <f>SUMPRODUCT((nCUENTA=1)*(nCURSO=A435)*(nASIG=B435)*(nNOTA=2))</f>
        <v>0</v>
      </c>
      <c r="N435">
        <f>SUMPRODUCT((nCUENTA=1)*(nCURSO=A435)*(nASIG=B435)*(nNOTA=3))</f>
        <v>0</v>
      </c>
      <c r="O435">
        <f>SUMPRODUCT((nCUENTA=1)*(nCURSO=A435)*(nASIG=B435)*(nNOTA=4))</f>
        <v>0</v>
      </c>
      <c r="P435">
        <f>SUMPRODUCT((nCUENTA=1)*(nCURSO=A435)*(nASIG=B435)*(nNOTA=5))</f>
        <v>0</v>
      </c>
      <c r="Q435">
        <f>SUMPRODUCT((nCUENTA=1)*(nCURSO=A435)*(nASIG=B435)*(nNOTA=6))</f>
        <v>0</v>
      </c>
      <c r="R435">
        <f>SUMPRODUCT((nCUENTA=1)*(nCURSO=A435)*(nASIG=B435)*(nNOTA=7))</f>
        <v>0</v>
      </c>
      <c r="S435">
        <f>SUMPRODUCT((nCUENTA=1)*(nCURSO=A435)*(nASIG=B435)*(nNOTA=8))</f>
        <v>0</v>
      </c>
      <c r="T435">
        <f>SUMPRODUCT((nCUENTA=1)*(nCURSO=A435)*(nASIG=B435)*(nNOTA=9))</f>
        <v>0</v>
      </c>
      <c r="U435">
        <f>SUMPRODUCT((nCUENTA=1)*(nCURSO=A435)*(nASIG=B435)*(nNOTA=10))</f>
        <v>0</v>
      </c>
    </row>
    <row r="436">
      <c r="A436" t="inlineStr">
        <is>
          <t xml:space="preserve">6EPM</t>
        </is>
      </c>
      <c r="B436" cm="1">
        <f t="array" ref="B436">IFERROR(INDEX(_xlfn._xlws.FILTER(CONFIG_ASIGNATURAS!$B$2:$B$91,(CONFIG_ASIGNATURAS!$G$2:$G$91="Sí")*ISNUMBER(SEARCH("6EPM",CONFIG_ASIGNATURAS!$C$2:$C$91))),53),"")</f>
      </c>
      <c r="C436">
        <f>IF(B436="","",IFERROR(VLOOKUP(B436,CONFIG_ASIGNATURAS!$B$2:$D$91,3,FALSE()),"Asignatura"))</f>
      </c>
      <c r="D436">
        <f>SUMPRODUCT((nCUENTA=1)*(nCURSO=A436)*(nASIG=B436))</f>
        <v>0</v>
      </c>
      <c r="E436" s="10" t="str">
        <f>IFERROR(SUMPRODUCT((nCUENTA=1)*(nCURSO=A436)*(nASIG=B436)*(nNOTA))/D436,"—")</f>
        <v>—</v>
      </c>
      <c r="F436" s="10" t="str" cm="1">
        <f t="array" ref="F436">IFERROR(_xlfn.STDEV.P(_xlfn._xlws.FILTER(nNOTA,(nCUENTA=1)*(nCURSO=A436)*(nASIG=B436))),"—")</f>
        <v>—</v>
      </c>
      <c r="G436" t="str" cm="1">
        <f t="array" ref="G436">IFERROR(_xlfn.MODE.SNGL(_xlfn._xlws.FILTER(nNOTA,(nCUENTA=1)*(nCURSO=A436)*(nASIG=B436))),"—")</f>
        <v>—</v>
      </c>
      <c r="H436" s="11" t="str">
        <f>IFERROR(SUMPRODUCT((nCUENTA=1)*(nCURSO=A436)*(nASIG=B436)*(nAPTO="S"))/D436,"—")</f>
        <v>—</v>
      </c>
      <c r="I436" s="11" t="str">
        <f>IFERROR(SUMPRODUCT((nCUENTA=1)*(nCURSO=A436)*(nASIG=B436)*(nAPTO="N"))/D436,"—")</f>
        <v>—</v>
      </c>
      <c r="J436" t="str" cm="1">
        <f t="array" ref="J436">IFERROR(_xlfn.MODE.SNGL(_xlfn._xlws.FILTER(nNOTA,(nCUENTA=1)*(nCURSO=A436)*(nASIG=B436)*(nAPTO="S"))),"—")</f>
        <v>—</v>
      </c>
      <c r="K436" t="str" cm="1">
        <f t="array" ref="K436">IFERROR(_xlfn.MODE.SNGL(_xlfn._xlws.FILTER(nNOTA,(nCUENTA=1)*(nCURSO=A436)*(nASIG=B436)*(nAPTO="N"))),"—")</f>
        <v>—</v>
      </c>
      <c r="L436">
        <f>SUMPRODUCT((nCUENTA=1)*(nCURSO=A436)*(nASIG=B436)*(nNOTA=1))</f>
        <v>0</v>
      </c>
      <c r="M436">
        <f>SUMPRODUCT((nCUENTA=1)*(nCURSO=A436)*(nASIG=B436)*(nNOTA=2))</f>
        <v>0</v>
      </c>
      <c r="N436">
        <f>SUMPRODUCT((nCUENTA=1)*(nCURSO=A436)*(nASIG=B436)*(nNOTA=3))</f>
        <v>0</v>
      </c>
      <c r="O436">
        <f>SUMPRODUCT((nCUENTA=1)*(nCURSO=A436)*(nASIG=B436)*(nNOTA=4))</f>
        <v>0</v>
      </c>
      <c r="P436">
        <f>SUMPRODUCT((nCUENTA=1)*(nCURSO=A436)*(nASIG=B436)*(nNOTA=5))</f>
        <v>0</v>
      </c>
      <c r="Q436">
        <f>SUMPRODUCT((nCUENTA=1)*(nCURSO=A436)*(nASIG=B436)*(nNOTA=6))</f>
        <v>0</v>
      </c>
      <c r="R436">
        <f>SUMPRODUCT((nCUENTA=1)*(nCURSO=A436)*(nASIG=B436)*(nNOTA=7))</f>
        <v>0</v>
      </c>
      <c r="S436">
        <f>SUMPRODUCT((nCUENTA=1)*(nCURSO=A436)*(nASIG=B436)*(nNOTA=8))</f>
        <v>0</v>
      </c>
      <c r="T436">
        <f>SUMPRODUCT((nCUENTA=1)*(nCURSO=A436)*(nASIG=B436)*(nNOTA=9))</f>
        <v>0</v>
      </c>
      <c r="U436">
        <f>SUMPRODUCT((nCUENTA=1)*(nCURSO=A436)*(nASIG=B436)*(nNOTA=10))</f>
        <v>0</v>
      </c>
    </row>
    <row r="437">
      <c r="A437" t="inlineStr">
        <is>
          <t xml:space="preserve">6EPM</t>
        </is>
      </c>
      <c r="B437" cm="1">
        <f t="array" ref="B437">IFERROR(INDEX(_xlfn._xlws.FILTER(CONFIG_ASIGNATURAS!$B$2:$B$91,(CONFIG_ASIGNATURAS!$G$2:$G$91="Sí")*ISNUMBER(SEARCH("6EPM",CONFIG_ASIGNATURAS!$C$2:$C$91))),54),"")</f>
      </c>
      <c r="C437">
        <f>IF(B437="","",IFERROR(VLOOKUP(B437,CONFIG_ASIGNATURAS!$B$2:$D$91,3,FALSE()),"Asignatura"))</f>
      </c>
      <c r="D437">
        <f>SUMPRODUCT((nCUENTA=1)*(nCURSO=A437)*(nASIG=B437))</f>
        <v>0</v>
      </c>
      <c r="E437" s="10" t="str">
        <f>IFERROR(SUMPRODUCT((nCUENTA=1)*(nCURSO=A437)*(nASIG=B437)*(nNOTA))/D437,"—")</f>
        <v>—</v>
      </c>
      <c r="F437" s="10" t="str" cm="1">
        <f t="array" ref="F437">IFERROR(_xlfn.STDEV.P(_xlfn._xlws.FILTER(nNOTA,(nCUENTA=1)*(nCURSO=A437)*(nASIG=B437))),"—")</f>
        <v>—</v>
      </c>
      <c r="G437" t="str" cm="1">
        <f t="array" ref="G437">IFERROR(_xlfn.MODE.SNGL(_xlfn._xlws.FILTER(nNOTA,(nCUENTA=1)*(nCURSO=A437)*(nASIG=B437))),"—")</f>
        <v>—</v>
      </c>
      <c r="H437" s="11" t="str">
        <f>IFERROR(SUMPRODUCT((nCUENTA=1)*(nCURSO=A437)*(nASIG=B437)*(nAPTO="S"))/D437,"—")</f>
        <v>—</v>
      </c>
      <c r="I437" s="11" t="str">
        <f>IFERROR(SUMPRODUCT((nCUENTA=1)*(nCURSO=A437)*(nASIG=B437)*(nAPTO="N"))/D437,"—")</f>
        <v>—</v>
      </c>
      <c r="J437" t="str" cm="1">
        <f t="array" ref="J437">IFERROR(_xlfn.MODE.SNGL(_xlfn._xlws.FILTER(nNOTA,(nCUENTA=1)*(nCURSO=A437)*(nASIG=B437)*(nAPTO="S"))),"—")</f>
        <v>—</v>
      </c>
      <c r="K437" t="str" cm="1">
        <f t="array" ref="K437">IFERROR(_xlfn.MODE.SNGL(_xlfn._xlws.FILTER(nNOTA,(nCUENTA=1)*(nCURSO=A437)*(nASIG=B437)*(nAPTO="N"))),"—")</f>
        <v>—</v>
      </c>
      <c r="L437">
        <f>SUMPRODUCT((nCUENTA=1)*(nCURSO=A437)*(nASIG=B437)*(nNOTA=1))</f>
        <v>0</v>
      </c>
      <c r="M437">
        <f>SUMPRODUCT((nCUENTA=1)*(nCURSO=A437)*(nASIG=B437)*(nNOTA=2))</f>
        <v>0</v>
      </c>
      <c r="N437">
        <f>SUMPRODUCT((nCUENTA=1)*(nCURSO=A437)*(nASIG=B437)*(nNOTA=3))</f>
        <v>0</v>
      </c>
      <c r="O437">
        <f>SUMPRODUCT((nCUENTA=1)*(nCURSO=A437)*(nASIG=B437)*(nNOTA=4))</f>
        <v>0</v>
      </c>
      <c r="P437">
        <f>SUMPRODUCT((nCUENTA=1)*(nCURSO=A437)*(nASIG=B437)*(nNOTA=5))</f>
        <v>0</v>
      </c>
      <c r="Q437">
        <f>SUMPRODUCT((nCUENTA=1)*(nCURSO=A437)*(nASIG=B437)*(nNOTA=6))</f>
        <v>0</v>
      </c>
      <c r="R437">
        <f>SUMPRODUCT((nCUENTA=1)*(nCURSO=A437)*(nASIG=B437)*(nNOTA=7))</f>
        <v>0</v>
      </c>
      <c r="S437">
        <f>SUMPRODUCT((nCUENTA=1)*(nCURSO=A437)*(nASIG=B437)*(nNOTA=8))</f>
        <v>0</v>
      </c>
      <c r="T437">
        <f>SUMPRODUCT((nCUENTA=1)*(nCURSO=A437)*(nASIG=B437)*(nNOTA=9))</f>
        <v>0</v>
      </c>
      <c r="U437">
        <f>SUMPRODUCT((nCUENTA=1)*(nCURSO=A437)*(nASIG=B437)*(nNOTA=10))</f>
        <v>0</v>
      </c>
    </row>
    <row r="438">
      <c r="A438" t="inlineStr">
        <is>
          <t xml:space="preserve">6EPM</t>
        </is>
      </c>
      <c r="B438" cm="1">
        <f t="array" ref="B438">IFERROR(INDEX(_xlfn._xlws.FILTER(CONFIG_ASIGNATURAS!$B$2:$B$91,(CONFIG_ASIGNATURAS!$G$2:$G$91="Sí")*ISNUMBER(SEARCH("6EPM",CONFIG_ASIGNATURAS!$C$2:$C$91))),55),"")</f>
      </c>
      <c r="C438">
        <f>IF(B438="","",IFERROR(VLOOKUP(B438,CONFIG_ASIGNATURAS!$B$2:$D$91,3,FALSE()),"Asignatura"))</f>
      </c>
      <c r="D438">
        <f>SUMPRODUCT((nCUENTA=1)*(nCURSO=A438)*(nASIG=B438))</f>
        <v>0</v>
      </c>
      <c r="E438" s="10" t="str">
        <f>IFERROR(SUMPRODUCT((nCUENTA=1)*(nCURSO=A438)*(nASIG=B438)*(nNOTA))/D438,"—")</f>
        <v>—</v>
      </c>
      <c r="F438" s="10" t="str" cm="1">
        <f t="array" ref="F438">IFERROR(_xlfn.STDEV.P(_xlfn._xlws.FILTER(nNOTA,(nCUENTA=1)*(nCURSO=A438)*(nASIG=B438))),"—")</f>
        <v>—</v>
      </c>
      <c r="G438" t="str" cm="1">
        <f t="array" ref="G438">IFERROR(_xlfn.MODE.SNGL(_xlfn._xlws.FILTER(nNOTA,(nCUENTA=1)*(nCURSO=A438)*(nASIG=B438))),"—")</f>
        <v>—</v>
      </c>
      <c r="H438" s="11" t="str">
        <f>IFERROR(SUMPRODUCT((nCUENTA=1)*(nCURSO=A438)*(nASIG=B438)*(nAPTO="S"))/D438,"—")</f>
        <v>—</v>
      </c>
      <c r="I438" s="11" t="str">
        <f>IFERROR(SUMPRODUCT((nCUENTA=1)*(nCURSO=A438)*(nASIG=B438)*(nAPTO="N"))/D438,"—")</f>
        <v>—</v>
      </c>
      <c r="J438" t="str" cm="1">
        <f t="array" ref="J438">IFERROR(_xlfn.MODE.SNGL(_xlfn._xlws.FILTER(nNOTA,(nCUENTA=1)*(nCURSO=A438)*(nASIG=B438)*(nAPTO="S"))),"—")</f>
        <v>—</v>
      </c>
      <c r="K438" t="str" cm="1">
        <f t="array" ref="K438">IFERROR(_xlfn.MODE.SNGL(_xlfn._xlws.FILTER(nNOTA,(nCUENTA=1)*(nCURSO=A438)*(nASIG=B438)*(nAPTO="N"))),"—")</f>
        <v>—</v>
      </c>
      <c r="L438">
        <f>SUMPRODUCT((nCUENTA=1)*(nCURSO=A438)*(nASIG=B438)*(nNOTA=1))</f>
        <v>0</v>
      </c>
      <c r="M438">
        <f>SUMPRODUCT((nCUENTA=1)*(nCURSO=A438)*(nASIG=B438)*(nNOTA=2))</f>
        <v>0</v>
      </c>
      <c r="N438">
        <f>SUMPRODUCT((nCUENTA=1)*(nCURSO=A438)*(nASIG=B438)*(nNOTA=3))</f>
        <v>0</v>
      </c>
      <c r="O438">
        <f>SUMPRODUCT((nCUENTA=1)*(nCURSO=A438)*(nASIG=B438)*(nNOTA=4))</f>
        <v>0</v>
      </c>
      <c r="P438">
        <f>SUMPRODUCT((nCUENTA=1)*(nCURSO=A438)*(nASIG=B438)*(nNOTA=5))</f>
        <v>0</v>
      </c>
      <c r="Q438">
        <f>SUMPRODUCT((nCUENTA=1)*(nCURSO=A438)*(nASIG=B438)*(nNOTA=6))</f>
        <v>0</v>
      </c>
      <c r="R438">
        <f>SUMPRODUCT((nCUENTA=1)*(nCURSO=A438)*(nASIG=B438)*(nNOTA=7))</f>
        <v>0</v>
      </c>
      <c r="S438">
        <f>SUMPRODUCT((nCUENTA=1)*(nCURSO=A438)*(nASIG=B438)*(nNOTA=8))</f>
        <v>0</v>
      </c>
      <c r="T438">
        <f>SUMPRODUCT((nCUENTA=1)*(nCURSO=A438)*(nASIG=B438)*(nNOTA=9))</f>
        <v>0</v>
      </c>
      <c r="U438">
        <f>SUMPRODUCT((nCUENTA=1)*(nCURSO=A438)*(nASIG=B438)*(nNOTA=10))</f>
        <v>0</v>
      </c>
    </row>
    <row r="439">
      <c r="A439" t="inlineStr">
        <is>
          <t xml:space="preserve">6EPM</t>
        </is>
      </c>
      <c r="B439" cm="1">
        <f t="array" ref="B439">IFERROR(INDEX(_xlfn._xlws.FILTER(CONFIG_ASIGNATURAS!$B$2:$B$91,(CONFIG_ASIGNATURAS!$G$2:$G$91="Sí")*ISNUMBER(SEARCH("6EPM",CONFIG_ASIGNATURAS!$C$2:$C$91))),56),"")</f>
      </c>
      <c r="C439">
        <f>IF(B439="","",IFERROR(VLOOKUP(B439,CONFIG_ASIGNATURAS!$B$2:$D$91,3,FALSE()),"Asignatura"))</f>
      </c>
      <c r="D439">
        <f>SUMPRODUCT((nCUENTA=1)*(nCURSO=A439)*(nASIG=B439))</f>
        <v>0</v>
      </c>
      <c r="E439" s="10" t="str">
        <f>IFERROR(SUMPRODUCT((nCUENTA=1)*(nCURSO=A439)*(nASIG=B439)*(nNOTA))/D439,"—")</f>
        <v>—</v>
      </c>
      <c r="F439" s="10" t="str" cm="1">
        <f t="array" ref="F439">IFERROR(_xlfn.STDEV.P(_xlfn._xlws.FILTER(nNOTA,(nCUENTA=1)*(nCURSO=A439)*(nASIG=B439))),"—")</f>
        <v>—</v>
      </c>
      <c r="G439" t="str" cm="1">
        <f t="array" ref="G439">IFERROR(_xlfn.MODE.SNGL(_xlfn._xlws.FILTER(nNOTA,(nCUENTA=1)*(nCURSO=A439)*(nASIG=B439))),"—")</f>
        <v>—</v>
      </c>
      <c r="H439" s="11" t="str">
        <f>IFERROR(SUMPRODUCT((nCUENTA=1)*(nCURSO=A439)*(nASIG=B439)*(nAPTO="S"))/D439,"—")</f>
        <v>—</v>
      </c>
      <c r="I439" s="11" t="str">
        <f>IFERROR(SUMPRODUCT((nCUENTA=1)*(nCURSO=A439)*(nASIG=B439)*(nAPTO="N"))/D439,"—")</f>
        <v>—</v>
      </c>
      <c r="J439" t="str" cm="1">
        <f t="array" ref="J439">IFERROR(_xlfn.MODE.SNGL(_xlfn._xlws.FILTER(nNOTA,(nCUENTA=1)*(nCURSO=A439)*(nASIG=B439)*(nAPTO="S"))),"—")</f>
        <v>—</v>
      </c>
      <c r="K439" t="str" cm="1">
        <f t="array" ref="K439">IFERROR(_xlfn.MODE.SNGL(_xlfn._xlws.FILTER(nNOTA,(nCUENTA=1)*(nCURSO=A439)*(nASIG=B439)*(nAPTO="N"))),"—")</f>
        <v>—</v>
      </c>
      <c r="L439">
        <f>SUMPRODUCT((nCUENTA=1)*(nCURSO=A439)*(nASIG=B439)*(nNOTA=1))</f>
        <v>0</v>
      </c>
      <c r="M439">
        <f>SUMPRODUCT((nCUENTA=1)*(nCURSO=A439)*(nASIG=B439)*(nNOTA=2))</f>
        <v>0</v>
      </c>
      <c r="N439">
        <f>SUMPRODUCT((nCUENTA=1)*(nCURSO=A439)*(nASIG=B439)*(nNOTA=3))</f>
        <v>0</v>
      </c>
      <c r="O439">
        <f>SUMPRODUCT((nCUENTA=1)*(nCURSO=A439)*(nASIG=B439)*(nNOTA=4))</f>
        <v>0</v>
      </c>
      <c r="P439">
        <f>SUMPRODUCT((nCUENTA=1)*(nCURSO=A439)*(nASIG=B439)*(nNOTA=5))</f>
        <v>0</v>
      </c>
      <c r="Q439">
        <f>SUMPRODUCT((nCUENTA=1)*(nCURSO=A439)*(nASIG=B439)*(nNOTA=6))</f>
        <v>0</v>
      </c>
      <c r="R439">
        <f>SUMPRODUCT((nCUENTA=1)*(nCURSO=A439)*(nASIG=B439)*(nNOTA=7))</f>
        <v>0</v>
      </c>
      <c r="S439">
        <f>SUMPRODUCT((nCUENTA=1)*(nCURSO=A439)*(nASIG=B439)*(nNOTA=8))</f>
        <v>0</v>
      </c>
      <c r="T439">
        <f>SUMPRODUCT((nCUENTA=1)*(nCURSO=A439)*(nASIG=B439)*(nNOTA=9))</f>
        <v>0</v>
      </c>
      <c r="U439">
        <f>SUMPRODUCT((nCUENTA=1)*(nCURSO=A439)*(nASIG=B439)*(nNOTA=10))</f>
        <v>0</v>
      </c>
    </row>
    <row r="440">
      <c r="A440" t="inlineStr">
        <is>
          <t xml:space="preserve">6EPM</t>
        </is>
      </c>
      <c r="B440" cm="1">
        <f t="array" ref="B440">IFERROR(INDEX(_xlfn._xlws.FILTER(CONFIG_ASIGNATURAS!$B$2:$B$91,(CONFIG_ASIGNATURAS!$G$2:$G$91="Sí")*ISNUMBER(SEARCH("6EPM",CONFIG_ASIGNATURAS!$C$2:$C$91))),57),"")</f>
      </c>
      <c r="C440">
        <f>IF(B440="","",IFERROR(VLOOKUP(B440,CONFIG_ASIGNATURAS!$B$2:$D$91,3,FALSE()),"Asignatura"))</f>
      </c>
      <c r="D440">
        <f>SUMPRODUCT((nCUENTA=1)*(nCURSO=A440)*(nASIG=B440))</f>
        <v>0</v>
      </c>
      <c r="E440" s="10" t="str">
        <f>IFERROR(SUMPRODUCT((nCUENTA=1)*(nCURSO=A440)*(nASIG=B440)*(nNOTA))/D440,"—")</f>
        <v>—</v>
      </c>
      <c r="F440" s="10" t="str" cm="1">
        <f t="array" ref="F440">IFERROR(_xlfn.STDEV.P(_xlfn._xlws.FILTER(nNOTA,(nCUENTA=1)*(nCURSO=A440)*(nASIG=B440))),"—")</f>
        <v>—</v>
      </c>
      <c r="G440" t="str" cm="1">
        <f t="array" ref="G440">IFERROR(_xlfn.MODE.SNGL(_xlfn._xlws.FILTER(nNOTA,(nCUENTA=1)*(nCURSO=A440)*(nASIG=B440))),"—")</f>
        <v>—</v>
      </c>
      <c r="H440" s="11" t="str">
        <f>IFERROR(SUMPRODUCT((nCUENTA=1)*(nCURSO=A440)*(nASIG=B440)*(nAPTO="S"))/D440,"—")</f>
        <v>—</v>
      </c>
      <c r="I440" s="11" t="str">
        <f>IFERROR(SUMPRODUCT((nCUENTA=1)*(nCURSO=A440)*(nASIG=B440)*(nAPTO="N"))/D440,"—")</f>
        <v>—</v>
      </c>
      <c r="J440" t="str" cm="1">
        <f t="array" ref="J440">IFERROR(_xlfn.MODE.SNGL(_xlfn._xlws.FILTER(nNOTA,(nCUENTA=1)*(nCURSO=A440)*(nASIG=B440)*(nAPTO="S"))),"—")</f>
        <v>—</v>
      </c>
      <c r="K440" t="str" cm="1">
        <f t="array" ref="K440">IFERROR(_xlfn.MODE.SNGL(_xlfn._xlws.FILTER(nNOTA,(nCUENTA=1)*(nCURSO=A440)*(nASIG=B440)*(nAPTO="N"))),"—")</f>
        <v>—</v>
      </c>
      <c r="L440">
        <f>SUMPRODUCT((nCUENTA=1)*(nCURSO=A440)*(nASIG=B440)*(nNOTA=1))</f>
        <v>0</v>
      </c>
      <c r="M440">
        <f>SUMPRODUCT((nCUENTA=1)*(nCURSO=A440)*(nASIG=B440)*(nNOTA=2))</f>
        <v>0</v>
      </c>
      <c r="N440">
        <f>SUMPRODUCT((nCUENTA=1)*(nCURSO=A440)*(nASIG=B440)*(nNOTA=3))</f>
        <v>0</v>
      </c>
      <c r="O440">
        <f>SUMPRODUCT((nCUENTA=1)*(nCURSO=A440)*(nASIG=B440)*(nNOTA=4))</f>
        <v>0</v>
      </c>
      <c r="P440">
        <f>SUMPRODUCT((nCUENTA=1)*(nCURSO=A440)*(nASIG=B440)*(nNOTA=5))</f>
        <v>0</v>
      </c>
      <c r="Q440">
        <f>SUMPRODUCT((nCUENTA=1)*(nCURSO=A440)*(nASIG=B440)*(nNOTA=6))</f>
        <v>0</v>
      </c>
      <c r="R440">
        <f>SUMPRODUCT((nCUENTA=1)*(nCURSO=A440)*(nASIG=B440)*(nNOTA=7))</f>
        <v>0</v>
      </c>
      <c r="S440">
        <f>SUMPRODUCT((nCUENTA=1)*(nCURSO=A440)*(nASIG=B440)*(nNOTA=8))</f>
        <v>0</v>
      </c>
      <c r="T440">
        <f>SUMPRODUCT((nCUENTA=1)*(nCURSO=A440)*(nASIG=B440)*(nNOTA=9))</f>
        <v>0</v>
      </c>
      <c r="U440">
        <f>SUMPRODUCT((nCUENTA=1)*(nCURSO=A440)*(nASIG=B440)*(nNOTA=10))</f>
        <v>0</v>
      </c>
    </row>
    <row r="441">
      <c r="A441" t="inlineStr">
        <is>
          <t xml:space="preserve">6EPM</t>
        </is>
      </c>
      <c r="B441" cm="1">
        <f t="array" ref="B441">IFERROR(INDEX(_xlfn._xlws.FILTER(CONFIG_ASIGNATURAS!$B$2:$B$91,(CONFIG_ASIGNATURAS!$G$2:$G$91="Sí")*ISNUMBER(SEARCH("6EPM",CONFIG_ASIGNATURAS!$C$2:$C$91))),58),"")</f>
      </c>
      <c r="C441">
        <f>IF(B441="","",IFERROR(VLOOKUP(B441,CONFIG_ASIGNATURAS!$B$2:$D$91,3,FALSE()),"Asignatura"))</f>
      </c>
      <c r="D441">
        <f>SUMPRODUCT((nCUENTA=1)*(nCURSO=A441)*(nASIG=B441))</f>
        <v>0</v>
      </c>
      <c r="E441" s="10" t="str">
        <f>IFERROR(SUMPRODUCT((nCUENTA=1)*(nCURSO=A441)*(nASIG=B441)*(nNOTA))/D441,"—")</f>
        <v>—</v>
      </c>
      <c r="F441" s="10" t="str" cm="1">
        <f t="array" ref="F441">IFERROR(_xlfn.STDEV.P(_xlfn._xlws.FILTER(nNOTA,(nCUENTA=1)*(nCURSO=A441)*(nASIG=B441))),"—")</f>
        <v>—</v>
      </c>
      <c r="G441" t="str" cm="1">
        <f t="array" ref="G441">IFERROR(_xlfn.MODE.SNGL(_xlfn._xlws.FILTER(nNOTA,(nCUENTA=1)*(nCURSO=A441)*(nASIG=B441))),"—")</f>
        <v>—</v>
      </c>
      <c r="H441" s="11" t="str">
        <f>IFERROR(SUMPRODUCT((nCUENTA=1)*(nCURSO=A441)*(nASIG=B441)*(nAPTO="S"))/D441,"—")</f>
        <v>—</v>
      </c>
      <c r="I441" s="11" t="str">
        <f>IFERROR(SUMPRODUCT((nCUENTA=1)*(nCURSO=A441)*(nASIG=B441)*(nAPTO="N"))/D441,"—")</f>
        <v>—</v>
      </c>
      <c r="J441" t="str" cm="1">
        <f t="array" ref="J441">IFERROR(_xlfn.MODE.SNGL(_xlfn._xlws.FILTER(nNOTA,(nCUENTA=1)*(nCURSO=A441)*(nASIG=B441)*(nAPTO="S"))),"—")</f>
        <v>—</v>
      </c>
      <c r="K441" t="str" cm="1">
        <f t="array" ref="K441">IFERROR(_xlfn.MODE.SNGL(_xlfn._xlws.FILTER(nNOTA,(nCUENTA=1)*(nCURSO=A441)*(nASIG=B441)*(nAPTO="N"))),"—")</f>
        <v>—</v>
      </c>
      <c r="L441">
        <f>SUMPRODUCT((nCUENTA=1)*(nCURSO=A441)*(nASIG=B441)*(nNOTA=1))</f>
        <v>0</v>
      </c>
      <c r="M441">
        <f>SUMPRODUCT((nCUENTA=1)*(nCURSO=A441)*(nASIG=B441)*(nNOTA=2))</f>
        <v>0</v>
      </c>
      <c r="N441">
        <f>SUMPRODUCT((nCUENTA=1)*(nCURSO=A441)*(nASIG=B441)*(nNOTA=3))</f>
        <v>0</v>
      </c>
      <c r="O441">
        <f>SUMPRODUCT((nCUENTA=1)*(nCURSO=A441)*(nASIG=B441)*(nNOTA=4))</f>
        <v>0</v>
      </c>
      <c r="P441">
        <f>SUMPRODUCT((nCUENTA=1)*(nCURSO=A441)*(nASIG=B441)*(nNOTA=5))</f>
        <v>0</v>
      </c>
      <c r="Q441">
        <f>SUMPRODUCT((nCUENTA=1)*(nCURSO=A441)*(nASIG=B441)*(nNOTA=6))</f>
        <v>0</v>
      </c>
      <c r="R441">
        <f>SUMPRODUCT((nCUENTA=1)*(nCURSO=A441)*(nASIG=B441)*(nNOTA=7))</f>
        <v>0</v>
      </c>
      <c r="S441">
        <f>SUMPRODUCT((nCUENTA=1)*(nCURSO=A441)*(nASIG=B441)*(nNOTA=8))</f>
        <v>0</v>
      </c>
      <c r="T441">
        <f>SUMPRODUCT((nCUENTA=1)*(nCURSO=A441)*(nASIG=B441)*(nNOTA=9))</f>
        <v>0</v>
      </c>
      <c r="U441">
        <f>SUMPRODUCT((nCUENTA=1)*(nCURSO=A441)*(nASIG=B441)*(nNOTA=10))</f>
        <v>0</v>
      </c>
    </row>
    <row r="442">
      <c r="A442" t="inlineStr">
        <is>
          <t xml:space="preserve">6EPM</t>
        </is>
      </c>
      <c r="B442" cm="1">
        <f t="array" ref="B442">IFERROR(INDEX(_xlfn._xlws.FILTER(CONFIG_ASIGNATURAS!$B$2:$B$91,(CONFIG_ASIGNATURAS!$G$2:$G$91="Sí")*ISNUMBER(SEARCH("6EPM",CONFIG_ASIGNATURAS!$C$2:$C$91))),59),"")</f>
      </c>
      <c r="C442">
        <f>IF(B442="","",IFERROR(VLOOKUP(B442,CONFIG_ASIGNATURAS!$B$2:$D$91,3,FALSE()),"Asignatura"))</f>
      </c>
      <c r="D442">
        <f>SUMPRODUCT((nCUENTA=1)*(nCURSO=A442)*(nASIG=B442))</f>
        <v>0</v>
      </c>
      <c r="E442" s="10" t="str">
        <f>IFERROR(SUMPRODUCT((nCUENTA=1)*(nCURSO=A442)*(nASIG=B442)*(nNOTA))/D442,"—")</f>
        <v>—</v>
      </c>
      <c r="F442" s="10" t="str" cm="1">
        <f t="array" ref="F442">IFERROR(_xlfn.STDEV.P(_xlfn._xlws.FILTER(nNOTA,(nCUENTA=1)*(nCURSO=A442)*(nASIG=B442))),"—")</f>
        <v>—</v>
      </c>
      <c r="G442" t="str" cm="1">
        <f t="array" ref="G442">IFERROR(_xlfn.MODE.SNGL(_xlfn._xlws.FILTER(nNOTA,(nCUENTA=1)*(nCURSO=A442)*(nASIG=B442))),"—")</f>
        <v>—</v>
      </c>
      <c r="H442" s="11" t="str">
        <f>IFERROR(SUMPRODUCT((nCUENTA=1)*(nCURSO=A442)*(nASIG=B442)*(nAPTO="S"))/D442,"—")</f>
        <v>—</v>
      </c>
      <c r="I442" s="11" t="str">
        <f>IFERROR(SUMPRODUCT((nCUENTA=1)*(nCURSO=A442)*(nASIG=B442)*(nAPTO="N"))/D442,"—")</f>
        <v>—</v>
      </c>
      <c r="J442" t="str" cm="1">
        <f t="array" ref="J442">IFERROR(_xlfn.MODE.SNGL(_xlfn._xlws.FILTER(nNOTA,(nCUENTA=1)*(nCURSO=A442)*(nASIG=B442)*(nAPTO="S"))),"—")</f>
        <v>—</v>
      </c>
      <c r="K442" t="str" cm="1">
        <f t="array" ref="K442">IFERROR(_xlfn.MODE.SNGL(_xlfn._xlws.FILTER(nNOTA,(nCUENTA=1)*(nCURSO=A442)*(nASIG=B442)*(nAPTO="N"))),"—")</f>
        <v>—</v>
      </c>
      <c r="L442">
        <f>SUMPRODUCT((nCUENTA=1)*(nCURSO=A442)*(nASIG=B442)*(nNOTA=1))</f>
        <v>0</v>
      </c>
      <c r="M442">
        <f>SUMPRODUCT((nCUENTA=1)*(nCURSO=A442)*(nASIG=B442)*(nNOTA=2))</f>
        <v>0</v>
      </c>
      <c r="N442">
        <f>SUMPRODUCT((nCUENTA=1)*(nCURSO=A442)*(nASIG=B442)*(nNOTA=3))</f>
        <v>0</v>
      </c>
      <c r="O442">
        <f>SUMPRODUCT((nCUENTA=1)*(nCURSO=A442)*(nASIG=B442)*(nNOTA=4))</f>
        <v>0</v>
      </c>
      <c r="P442">
        <f>SUMPRODUCT((nCUENTA=1)*(nCURSO=A442)*(nASIG=B442)*(nNOTA=5))</f>
        <v>0</v>
      </c>
      <c r="Q442">
        <f>SUMPRODUCT((nCUENTA=1)*(nCURSO=A442)*(nASIG=B442)*(nNOTA=6))</f>
        <v>0</v>
      </c>
      <c r="R442">
        <f>SUMPRODUCT((nCUENTA=1)*(nCURSO=A442)*(nASIG=B442)*(nNOTA=7))</f>
        <v>0</v>
      </c>
      <c r="S442">
        <f>SUMPRODUCT((nCUENTA=1)*(nCURSO=A442)*(nASIG=B442)*(nNOTA=8))</f>
        <v>0</v>
      </c>
      <c r="T442">
        <f>SUMPRODUCT((nCUENTA=1)*(nCURSO=A442)*(nASIG=B442)*(nNOTA=9))</f>
        <v>0</v>
      </c>
      <c r="U442">
        <f>SUMPRODUCT((nCUENTA=1)*(nCURSO=A442)*(nASIG=B442)*(nNOTA=10))</f>
        <v>0</v>
      </c>
    </row>
    <row r="443">
      <c r="A443" t="inlineStr">
        <is>
          <t xml:space="preserve">6EPM</t>
        </is>
      </c>
      <c r="B443" cm="1">
        <f t="array" ref="B443">IFERROR(INDEX(_xlfn._xlws.FILTER(CONFIG_ASIGNATURAS!$B$2:$B$91,(CONFIG_ASIGNATURAS!$G$2:$G$91="Sí")*ISNUMBER(SEARCH("6EPM",CONFIG_ASIGNATURAS!$C$2:$C$91))),60),"")</f>
      </c>
      <c r="C443">
        <f>IF(B443="","",IFERROR(VLOOKUP(B443,CONFIG_ASIGNATURAS!$B$2:$D$91,3,FALSE()),"Asignatura"))</f>
      </c>
      <c r="D443">
        <f>SUMPRODUCT((nCUENTA=1)*(nCURSO=A443)*(nASIG=B443))</f>
        <v>0</v>
      </c>
      <c r="E443" s="10" t="str">
        <f>IFERROR(SUMPRODUCT((nCUENTA=1)*(nCURSO=A443)*(nASIG=B443)*(nNOTA))/D443,"—")</f>
        <v>—</v>
      </c>
      <c r="F443" s="10" t="str" cm="1">
        <f t="array" ref="F443">IFERROR(_xlfn.STDEV.P(_xlfn._xlws.FILTER(nNOTA,(nCUENTA=1)*(nCURSO=A443)*(nASIG=B443))),"—")</f>
        <v>—</v>
      </c>
      <c r="G443" t="str" cm="1">
        <f t="array" ref="G443">IFERROR(_xlfn.MODE.SNGL(_xlfn._xlws.FILTER(nNOTA,(nCUENTA=1)*(nCURSO=A443)*(nASIG=B443))),"—")</f>
        <v>—</v>
      </c>
      <c r="H443" s="11" t="str">
        <f>IFERROR(SUMPRODUCT((nCUENTA=1)*(nCURSO=A443)*(nASIG=B443)*(nAPTO="S"))/D443,"—")</f>
        <v>—</v>
      </c>
      <c r="I443" s="11" t="str">
        <f>IFERROR(SUMPRODUCT((nCUENTA=1)*(nCURSO=A443)*(nASIG=B443)*(nAPTO="N"))/D443,"—")</f>
        <v>—</v>
      </c>
      <c r="J443" t="str" cm="1">
        <f t="array" ref="J443">IFERROR(_xlfn.MODE.SNGL(_xlfn._xlws.FILTER(nNOTA,(nCUENTA=1)*(nCURSO=A443)*(nASIG=B443)*(nAPTO="S"))),"—")</f>
        <v>—</v>
      </c>
      <c r="K443" t="str" cm="1">
        <f t="array" ref="K443">IFERROR(_xlfn.MODE.SNGL(_xlfn._xlws.FILTER(nNOTA,(nCUENTA=1)*(nCURSO=A443)*(nASIG=B443)*(nAPTO="N"))),"—")</f>
        <v>—</v>
      </c>
      <c r="L443">
        <f>SUMPRODUCT((nCUENTA=1)*(nCURSO=A443)*(nASIG=B443)*(nNOTA=1))</f>
        <v>0</v>
      </c>
      <c r="M443">
        <f>SUMPRODUCT((nCUENTA=1)*(nCURSO=A443)*(nASIG=B443)*(nNOTA=2))</f>
        <v>0</v>
      </c>
      <c r="N443">
        <f>SUMPRODUCT((nCUENTA=1)*(nCURSO=A443)*(nASIG=B443)*(nNOTA=3))</f>
        <v>0</v>
      </c>
      <c r="O443">
        <f>SUMPRODUCT((nCUENTA=1)*(nCURSO=A443)*(nASIG=B443)*(nNOTA=4))</f>
        <v>0</v>
      </c>
      <c r="P443">
        <f>SUMPRODUCT((nCUENTA=1)*(nCURSO=A443)*(nASIG=B443)*(nNOTA=5))</f>
        <v>0</v>
      </c>
      <c r="Q443">
        <f>SUMPRODUCT((nCUENTA=1)*(nCURSO=A443)*(nASIG=B443)*(nNOTA=6))</f>
        <v>0</v>
      </c>
      <c r="R443">
        <f>SUMPRODUCT((nCUENTA=1)*(nCURSO=A443)*(nASIG=B443)*(nNOTA=7))</f>
        <v>0</v>
      </c>
      <c r="S443">
        <f>SUMPRODUCT((nCUENTA=1)*(nCURSO=A443)*(nASIG=B443)*(nNOTA=8))</f>
        <v>0</v>
      </c>
      <c r="T443">
        <f>SUMPRODUCT((nCUENTA=1)*(nCURSO=A443)*(nASIG=B443)*(nNOTA=9))</f>
        <v>0</v>
      </c>
      <c r="U443">
        <f>SUMPRODUCT((nCUENTA=1)*(nCURSO=A443)*(nASIG=B443)*(nNOTA=10))</f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I1005"/>
  <sheetViews>
    <sheetView topLeftCell="R1" workbookViewId="0">
      <selection activeCell="AE6" sqref="AE6"/>
    </sheetView>
  </sheetViews>
  <sheetFormatPr baseColWidth="10" defaultColWidth="8.83203125" defaultRowHeight="15" x14ac:dyDescent="0.2"/>
  <cols>
    <col min="1" max="36" width="10" customWidth="1"/>
  </cols>
  <sheetData>
    <row r="1" spans="1:35" ht="16" x14ac:dyDescent="0.2">
      <c r="A1" s="6" t="s">
        <v>123</v>
      </c>
    </row>
    <row r="2" spans="1:35" x14ac:dyDescent="0.2">
      <c r="A2" s="3" t="s">
        <v>124</v>
      </c>
    </row>
    <row r="4" spans="1:35" x14ac:dyDescent="0.2">
      <c r="A4" s="4" t="s">
        <v>125</v>
      </c>
      <c r="B4" s="7" t="s">
        <v>78</v>
      </c>
      <c r="G4" s="4" t="s">
        <v>125</v>
      </c>
      <c r="H4" s="7" t="s">
        <v>79</v>
      </c>
      <c r="M4" s="4" t="s">
        <v>125</v>
      </c>
      <c r="N4" s="7" t="s">
        <v>80</v>
      </c>
      <c r="S4" s="4" t="s">
        <v>125</v>
      </c>
      <c r="T4" s="7" t="s">
        <v>81</v>
      </c>
      <c r="Y4" s="4" t="s">
        <v>125</v>
      </c>
      <c r="Z4" s="7" t="s">
        <v>82</v>
      </c>
      <c r="AE4" s="4" t="s">
        <v>125</v>
      </c>
      <c r="AF4" s="7" t="s">
        <v>83</v>
      </c>
    </row>
    <row r="5" spans="1:35" x14ac:dyDescent="0.2">
      <c r="A5" s="2" t="s">
        <v>84</v>
      </c>
      <c r="B5" s="2" t="s">
        <v>126</v>
      </c>
      <c r="C5" s="2" t="s">
        <v>127</v>
      </c>
      <c r="D5" s="2" t="s">
        <v>128</v>
      </c>
      <c r="E5" s="2" t="s">
        <v>129</v>
      </c>
      <c r="G5" s="2" t="s">
        <v>84</v>
      </c>
      <c r="H5" s="2" t="s">
        <v>126</v>
      </c>
      <c r="I5" s="2" t="s">
        <v>127</v>
      </c>
      <c r="J5" s="2" t="s">
        <v>128</v>
      </c>
      <c r="K5" s="2" t="s">
        <v>129</v>
      </c>
      <c r="M5" s="2" t="s">
        <v>84</v>
      </c>
      <c r="N5" s="2" t="s">
        <v>126</v>
      </c>
      <c r="O5" s="2" t="s">
        <v>127</v>
      </c>
      <c r="P5" s="2" t="s">
        <v>130</v>
      </c>
      <c r="Q5" s="2" t="s">
        <v>129</v>
      </c>
      <c r="S5" s="2" t="s">
        <v>84</v>
      </c>
      <c r="T5" s="2" t="s">
        <v>126</v>
      </c>
      <c r="U5" s="2" t="s">
        <v>127</v>
      </c>
      <c r="V5" s="2" t="s">
        <v>130</v>
      </c>
      <c r="W5" s="2" t="s">
        <v>129</v>
      </c>
      <c r="Y5" s="2" t="s">
        <v>84</v>
      </c>
      <c r="Z5" s="2" t="s">
        <v>126</v>
      </c>
      <c r="AA5" s="2" t="s">
        <v>127</v>
      </c>
      <c r="AB5" s="2" t="s">
        <v>130</v>
      </c>
      <c r="AC5" s="2" t="s">
        <v>129</v>
      </c>
      <c r="AE5" s="2" t="s">
        <v>84</v>
      </c>
      <c r="AF5" s="2" t="s">
        <v>126</v>
      </c>
      <c r="AG5" s="2" t="s">
        <v>127</v>
      </c>
      <c r="AH5" s="2" t="s">
        <v>130</v>
      </c>
      <c r="AI5" s="2" t="s">
        <v>129</v>
      </c>
    </row>
    <row r="6" spans="1:35" x14ac:dyDescent="0.2">
      <c r="A6" t="str" cm="1">
        <f t="array" ref="A6">IFERROR(_xlfn.UNIQUE(_xlfn._xlws.FILTER(nNIA,(nCUENTA=1)*(nCURSO="1EPM"))),"")</f>
        <v/>
      </c>
      <c r="B6" t="str">
        <f>IF(A6="","",IF(A6="[FÓRMULA MANUAL]","",IFERROR(AVERAGEIFS(nNOTA,nNIA,A6,nCUENTA,1,nASIG,"Lenguaje Musical"),"")))</f>
        <v/>
      </c>
      <c r="C6" t="str">
        <f>IF(A6="","",IF(A6="[FÓRMULA MANUAL]","",IFERROR(AVERAGEIFS(nNOTA,nNIA,A6,nCUENTA,1,nASIG,"Orquesta/Banda/Conjunto"),"")))</f>
        <v/>
      </c>
      <c r="D6" t="str">
        <f>IF(A6="","",IF(A6="[FÓRMULA MANUAL]","",IFERROR(AVERAGEIFS(nNOTA,nNIA,A6,nCUENTA,1,nASIG,"Conjunto"),"")))</f>
        <v/>
      </c>
      <c r="E6" t="str">
        <f>IF(A6="","",IF(A6="[FÓRMULA MANUAL]","",IFERROR(SUMPRODUCT((nNIA=A6)*(nCUENTA=1)*(COUNTIF(CONFIG_ASIGNATURAS!$B$7:$B$27,nASIG)&gt;0)*(nNOTA))/SUMPRODUCT((nNIA=A6)*(nCUENTA=1)*(COUNTIF(CONFIG_ASIGNATURAS!$B$7:$B$27,nASIG)&gt;0)*1),"")))</f>
        <v/>
      </c>
      <c r="G6" t="str" cm="1">
        <f t="array" ref="G6">IFERROR(_xlfn.UNIQUE(_xlfn._xlws.FILTER(nNIA,(nCUENTA=1)*(nCURSO="2EPM"))),"")</f>
        <v/>
      </c>
      <c r="H6" t="str">
        <f>IF(G6="","",IF(G6="[FÓRMULA MANUAL]","",IFERROR(AVERAGEIFS(nNOTA,nNIA,G6,nCUENTA,1,nASIG,"Lenguaje Musical"),"")))</f>
        <v/>
      </c>
      <c r="I6" t="str">
        <f>IF(G6="","",IF(G6="[FÓRMULA MANUAL]","",IFERROR(AVERAGEIFS(nNOTA,nNIA,G6,nCUENTA,1,nASIG,"Orquesta/Banda/Conjunto"),"")))</f>
        <v/>
      </c>
      <c r="J6" t="str">
        <f>IF(G6="","",IF(G6="[FÓRMULA MANUAL]","",IFERROR(AVERAGEIFS(nNOTA,nNIA,G6,nCUENTA,1,nASIG,"Conjunto"),"")))</f>
        <v/>
      </c>
      <c r="K6" t="str">
        <f>IF(G6="","",IF(G6="[FÓRMULA MANUAL]","",IFERROR(SUMPRODUCT((nNIA=G6)*(nCUENTA=1)*(COUNTIF(CONFIG_ASIGNATURAS!$B$7:$B$27,nASIG)&gt;0)*(nNOTA))/SUMPRODUCT((nNIA=G6)*(nCUENTA=1)*(COUNTIF(CONFIG_ASIGNATURAS!$B$7:$B$27,nASIG)&gt;0)*1),"")))</f>
        <v/>
      </c>
      <c r="M6" t="str" cm="1">
        <f t="array" ref="M6">IFERROR(_xlfn.UNIQUE(_xlfn._xlws.FILTER(nNIA,(nCUENTA=1)*(nCURSO="3EPM"))),"")</f>
        <v/>
      </c>
      <c r="N6" t="str">
        <f>IF(M6="","",IF(M6="[FÓRMULA MANUAL]","",IFERROR(AVERAGEIFS(nNOTA,nNIA,M6,nCUENTA,1,nASIG,"Armonía"),"")))</f>
        <v/>
      </c>
      <c r="O6" t="str">
        <f>IF(M6="","",IF(M6="[FÓRMULA MANUAL]","",IFERROR(AVERAGEIFS(nNOTA,nNIA,M6,nCUENTA,1,nASIG,"Orquesta/Banda/Conjunto"),"")))</f>
        <v/>
      </c>
      <c r="P6" t="str">
        <f>IF(M6="","",IF(M6="[FÓRMULA MANUAL]","",IFERROR(AVERAGEIFS(nNOTA,nNIA,M6,nCUENTA,1,nASIG,"Música de Cámara"),"")))</f>
        <v/>
      </c>
      <c r="Q6" t="str">
        <f>IF(M6="","",IF(M6="[FÓRMULA MANUAL]","",IFERROR(SUMPRODUCT((nNIA=M6)*(nCUENTA=1)*(COUNTIF(CONFIG_ASIGNATURAS!$B$7:$B$27,nASIG)&gt;0)*(nNOTA))/SUMPRODUCT((nNIA=M6)*(nCUENTA=1)*(COUNTIF(CONFIG_ASIGNATURAS!$B$7:$B$27,nASIG)&gt;0)*1),"")))</f>
        <v/>
      </c>
      <c r="S6" t="str" cm="1">
        <f t="array" ref="S6">IFERROR(_xlfn.UNIQUE(_xlfn._xlws.FILTER(nNIA,(nCUENTA=1)*(nCURSO="4EPM"))),"")</f>
        <v/>
      </c>
      <c r="T6" t="str">
        <f>IF(S6="","",IF(S6="[FÓRMULA MANUAL]","",IFERROR(AVERAGEIFS(nNOTA,nNIA,S6,nCUENTA,1,nASIG,"Armonía"),"")))</f>
        <v/>
      </c>
      <c r="U6" t="str">
        <f>IF(S6="","",IF(S6="[FÓRMULA MANUAL]","",IFERROR(AVERAGEIFS(nNOTA,nNIA,S6,nCUENTA,1,nASIG,"Orquesta/Banda/Conjunto"),"")))</f>
        <v/>
      </c>
      <c r="V6" t="str">
        <f>IF(S6="","",IF(S6="[FÓRMULA MANUAL]","",IFERROR(AVERAGEIFS(nNOTA,nNIA,S6,nCUENTA,1,nASIG,"Música de Cámara"),"")))</f>
        <v/>
      </c>
      <c r="W6" t="str">
        <f>IF(S6="","",IF(S6="[FÓRMULA MANUAL]","",IFERROR(SUMPRODUCT((nNIA=S6)*(nCUENTA=1)*(COUNTIF(CONFIG_ASIGNATURAS!$B$7:$B$27,nASIG)&gt;0)*(nNOTA))/SUMPRODUCT((nNIA=S6)*(nCUENTA=1)*(COUNTIF(CONFIG_ASIGNATURAS!$B$7:$B$27,nASIG)&gt;0)*1),"")))</f>
        <v/>
      </c>
      <c r="Y6" t="str" cm="1">
        <f t="array" ref="Y6">IFERROR(_xlfn.UNIQUE(_xlfn._xlws.FILTER(nNIA,(nCUENTA=1)*(nCURSO="5EPM"))),"")</f>
        <v/>
      </c>
      <c r="Z6" t="str">
        <f>IF(Y6="","",IF(Y6="[FÓRMULA MANUAL]","",IFERROR(AVERAGEIFS(nNOTA,nNIA,Y6,nCUENTA,1,nASIG,"Análisis"),"")))</f>
        <v/>
      </c>
      <c r="AA6" t="str">
        <f>IF(Y6="","",IF(Y6="[FÓRMULA MANUAL]","",IFERROR(AVERAGEIFS(nNOTA,nNIA,Y6,nCUENTA,1,nASIG,"Orquesta/Banda/Conjunto"),"")))</f>
        <v/>
      </c>
      <c r="AB6" t="str">
        <f>IF(Y6="","",IF(Y6="[FÓRMULA MANUAL]","",IFERROR(AVERAGEIFS(nNOTA,nNIA,Y6,nCUENTA,1,nASIG,"Música de Cámara"),"")))</f>
        <v/>
      </c>
      <c r="AC6" t="str">
        <f>IF(Y6="","",IF(Y6="[FÓRMULA MANUAL]","",IFERROR(SUMPRODUCT((nNIA=Y6)*(nCUENTA=1)*(COUNTIF(CONFIG_ASIGNATURAS!$B$7:$B$27,nASIG)&gt;0)*(nNOTA))/SUMPRODUCT((nNIA=Y6)*(nCUENTA=1)*(COUNTIF(CONFIG_ASIGNATURAS!$B$7:$B$27,nASIG)&gt;0)*1),"")))</f>
        <v/>
      </c>
      <c r="AE6" t="str" cm="1">
        <f t="array" ref="AE6">IFERROR(_xlfn.UNIQUE(_xlfn._xlws.FILTER(nNIA,(nCUENTA=1)*(nCURSO="6EPM"))),"")</f>
        <v/>
      </c>
      <c r="AF6" t="str">
        <f>IF(AE6="","",IF(AE6="[FÓRMULA MANUAL]","",IFERROR(AVERAGEIFS(nNOTA,nNIA,AE6,nCUENTA,1,nASIG,"Análisis"),"")))</f>
        <v/>
      </c>
      <c r="AG6" t="str">
        <f>IF(AE6="","",IF(AE6="[FÓRMULA MANUAL]","",IFERROR(AVERAGEIFS(nNOTA,nNIA,AE6,nCUENTA,1,nASIG,"Orquesta/Banda/Conjunto"),"")))</f>
        <v/>
      </c>
      <c r="AH6" t="str">
        <f>IF(AE6="","",IF(AE6="[FÓRMULA MANUAL]","",IFERROR(AVERAGEIFS(nNOTA,nNIA,AE6,nCUENTA,1,nASIG,"Música de Cámara"),"")))</f>
        <v/>
      </c>
      <c r="AI6" t="str">
        <f>IF(AE6="","",IF(AE6="[FÓRMULA MANUAL]","",IFERROR(SUMPRODUCT((nNIA=AE6)*(nCUENTA=1)*(COUNTIF(CONFIG_ASIGNATURAS!$B$7:$B$27,nASIG)&gt;0)*(nNOTA))/SUMPRODUCT((nNIA=AE6)*(nCUENTA=1)*(COUNTIF(CONFIG_ASIGNATURAS!$B$7:$B$27,nASIG)&gt;0)*1),"")))</f>
        <v/>
      </c>
    </row>
    <row r="7" spans="1:35" x14ac:dyDescent="0.2">
      <c r="B7" t="str">
        <f>IF(A7="","",IF(A7="[FÓRMULA MANUAL]","",IFERROR(AVERAGEIFS(nNOTA,nNIA,A7,nCUENTA,1,nASIG,"Lenguaje Musical"),"")))</f>
        <v/>
      </c>
      <c r="C7" t="str">
        <f>IF(A7="","",IF(A7="[FÓRMULA MANUAL]","",IFERROR(AVERAGEIFS(nNOTA,nNIA,A7,nCUENTA,1,nASIG,"Orquesta/Banda/Conjunto"),"")))</f>
        <v/>
      </c>
      <c r="D7" t="str">
        <f>IF(A7="","",IF(A7="[FÓRMULA MANUAL]","",IFERROR(AVERAGEIFS(nNOTA,nNIA,A7,nCUENTA,1,nASIG,"Conjunto"),"")))</f>
        <v/>
      </c>
      <c r="E7" t="str">
        <f>IF(A7="","",IF(A7="[FÓRMULA MANUAL]","",IFERROR(SUMPRODUCT((nNIA=A7)*(nCUENTA=1)*(COUNTIF(CONFIG_ASIGNATURAS!$B$7:$B$27,nASIG)&gt;0)*(nNOTA))/SUMPRODUCT((nNIA=A7)*(nCUENTA=1)*(COUNTIF(CONFIG_ASIGNATURAS!$B$7:$B$27,nASIG)&gt;0)*1),"")))</f>
        <v/>
      </c>
      <c r="H7" t="str">
        <f>IF(G7="","",IF(G7="[FÓRMULA MANUAL]","",IFERROR(AVERAGEIFS(nNOTA,nNIA,G7,nCUENTA,1,nASIG,"Lenguaje Musical"),"")))</f>
        <v/>
      </c>
      <c r="I7" t="str">
        <f>IF(G7="","",IF(G7="[FÓRMULA MANUAL]","",IFERROR(AVERAGEIFS(nNOTA,nNIA,G7,nCUENTA,1,nASIG,"Orquesta/Banda/Conjunto"),"")))</f>
        <v/>
      </c>
      <c r="J7" t="str">
        <f>IF(G7="","",IF(G7="[FÓRMULA MANUAL]","",IFERROR(AVERAGEIFS(nNOTA,nNIA,G7,nCUENTA,1,nASIG,"Conjunto"),"")))</f>
        <v/>
      </c>
      <c r="K7" t="str">
        <f>IF(G7="","",IF(G7="[FÓRMULA MANUAL]","",IFERROR(SUMPRODUCT((nNIA=G7)*(nCUENTA=1)*(COUNTIF(CONFIG_ASIGNATURAS!$B$7:$B$27,nASIG)&gt;0)*(nNOTA))/SUMPRODUCT((nNIA=G7)*(nCUENTA=1)*(COUNTIF(CONFIG_ASIGNATURAS!$B$7:$B$27,nASIG)&gt;0)*1),"")))</f>
        <v/>
      </c>
      <c r="N7" t="str">
        <f>IF(M7="","",IF(M7="[FÓRMULA MANUAL]","",IFERROR(AVERAGEIFS(nNOTA,nNIA,M7,nCUENTA,1,nASIG,"Armonía"),"")))</f>
        <v/>
      </c>
      <c r="O7" t="str">
        <f>IF(M7="","",IF(M7="[FÓRMULA MANUAL]","",IFERROR(AVERAGEIFS(nNOTA,nNIA,M7,nCUENTA,1,nASIG,"Orquesta/Banda/Conjunto"),"")))</f>
        <v/>
      </c>
      <c r="P7" t="str">
        <f>IF(M7="","",IF(M7="[FÓRMULA MANUAL]","",IFERROR(AVERAGEIFS(nNOTA,nNIA,M7,nCUENTA,1,nASIG,"Música de Cámara"),"")))</f>
        <v/>
      </c>
      <c r="Q7" t="str">
        <f>IF(M7="","",IF(M7="[FÓRMULA MANUAL]","",IFERROR(SUMPRODUCT((nNIA=M7)*(nCUENTA=1)*(COUNTIF(CONFIG_ASIGNATURAS!$B$7:$B$27,nASIG)&gt;0)*(nNOTA))/SUMPRODUCT((nNIA=M7)*(nCUENTA=1)*(COUNTIF(CONFIG_ASIGNATURAS!$B$7:$B$27,nASIG)&gt;0)*1),"")))</f>
        <v/>
      </c>
      <c r="T7" t="str">
        <f>IF(S7="","",IF(S7="[FÓRMULA MANUAL]","",IFERROR(AVERAGEIFS(nNOTA,nNIA,S7,nCUENTA,1,nASIG,"Armonía"),"")))</f>
        <v/>
      </c>
      <c r="U7" t="str">
        <f>IF(S7="","",IF(S7="[FÓRMULA MANUAL]","",IFERROR(AVERAGEIFS(nNOTA,nNIA,S7,nCUENTA,1,nASIG,"Orquesta/Banda/Conjunto"),"")))</f>
        <v/>
      </c>
      <c r="V7" t="str">
        <f>IF(S7="","",IF(S7="[FÓRMULA MANUAL]","",IFERROR(AVERAGEIFS(nNOTA,nNIA,S7,nCUENTA,1,nASIG,"Música de Cámara"),"")))</f>
        <v/>
      </c>
      <c r="W7" t="str">
        <f>IF(S7="","",IF(S7="[FÓRMULA MANUAL]","",IFERROR(SUMPRODUCT((nNIA=S7)*(nCUENTA=1)*(COUNTIF(CONFIG_ASIGNATURAS!$B$7:$B$27,nASIG)&gt;0)*(nNOTA))/SUMPRODUCT((nNIA=S7)*(nCUENTA=1)*(COUNTIF(CONFIG_ASIGNATURAS!$B$7:$B$27,nASIG)&gt;0)*1),"")))</f>
        <v/>
      </c>
      <c r="Z7" t="str">
        <f>IF(Y7="","",IF(Y7="[FÓRMULA MANUAL]","",IFERROR(AVERAGEIFS(nNOTA,nNIA,Y7,nCUENTA,1,nASIG,"Análisis"),"")))</f>
        <v/>
      </c>
      <c r="AA7" t="str">
        <f>IF(Y7="","",IF(Y7="[FÓRMULA MANUAL]","",IFERROR(AVERAGEIFS(nNOTA,nNIA,Y7,nCUENTA,1,nASIG,"Orquesta/Banda/Conjunto"),"")))</f>
        <v/>
      </c>
      <c r="AB7" t="str">
        <f>IF(Y7="","",IF(Y7="[FÓRMULA MANUAL]","",IFERROR(AVERAGEIFS(nNOTA,nNIA,Y7,nCUENTA,1,nASIG,"Música de Cámara"),"")))</f>
        <v/>
      </c>
      <c r="AC7" t="str">
        <f>IF(Y7="","",IF(Y7="[FÓRMULA MANUAL]","",IFERROR(SUMPRODUCT((nNIA=Y7)*(nCUENTA=1)*(COUNTIF(CONFIG_ASIGNATURAS!$B$7:$B$27,nASIG)&gt;0)*(nNOTA))/SUMPRODUCT((nNIA=Y7)*(nCUENTA=1)*(COUNTIF(CONFIG_ASIGNATURAS!$B$7:$B$27,nASIG)&gt;0)*1),"")))</f>
        <v/>
      </c>
      <c r="AF7" t="str">
        <f>IF(AE7="","",IF(AE7="[FÓRMULA MANUAL]","",IFERROR(AVERAGEIFS(nNOTA,nNIA,AE7,nCUENTA,1,nASIG,"Análisis"),"")))</f>
        <v/>
      </c>
      <c r="AG7" t="str">
        <f>IF(AE7="","",IF(AE7="[FÓRMULA MANUAL]","",IFERROR(AVERAGEIFS(nNOTA,nNIA,AE7,nCUENTA,1,nASIG,"Orquesta/Banda/Conjunto"),"")))</f>
        <v/>
      </c>
      <c r="AH7" t="str">
        <f>IF(AE7="","",IF(AE7="[FÓRMULA MANUAL]","",IFERROR(AVERAGEIFS(nNOTA,nNIA,AE7,nCUENTA,1,nASIG,"Música de Cámara"),"")))</f>
        <v/>
      </c>
      <c r="AI7" t="str">
        <f>IF(AE7="","",IF(AE7="[FÓRMULA MANUAL]","",IFERROR(SUMPRODUCT((nNIA=AE7)*(nCUENTA=1)*(COUNTIF(CONFIG_ASIGNATURAS!$B$7:$B$27,nASIG)&gt;0)*(nNOTA))/SUMPRODUCT((nNIA=AE7)*(nCUENTA=1)*(COUNTIF(CONFIG_ASIGNATURAS!$B$7:$B$27,nASIG)&gt;0)*1),"")))</f>
        <v/>
      </c>
    </row>
    <row r="8" spans="1:35" x14ac:dyDescent="0.2">
      <c r="B8" t="str">
        <f>IF(A8="","",IF(A8="[FÓRMULA MANUAL]","",IFERROR(AVERAGEIFS(nNOTA,nNIA,A8,nCUENTA,1,nASIG,"Lenguaje Musical"),"")))</f>
        <v/>
      </c>
      <c r="C8" t="str">
        <f>IF(A8="","",IF(A8="[FÓRMULA MANUAL]","",IFERROR(AVERAGEIFS(nNOTA,nNIA,A8,nCUENTA,1,nASIG,"Orquesta/Banda/Conjunto"),"")))</f>
        <v/>
      </c>
      <c r="D8" t="str">
        <f>IF(A8="","",IF(A8="[FÓRMULA MANUAL]","",IFERROR(AVERAGEIFS(nNOTA,nNIA,A8,nCUENTA,1,nASIG,"Conjunto"),"")))</f>
        <v/>
      </c>
      <c r="E8" t="str">
        <f>IF(A8="","",IF(A8="[FÓRMULA MANUAL]","",IFERROR(SUMPRODUCT((nNIA=A8)*(nCUENTA=1)*(COUNTIF(CONFIG_ASIGNATURAS!$B$7:$B$27,nASIG)&gt;0)*(nNOTA))/SUMPRODUCT((nNIA=A8)*(nCUENTA=1)*(COUNTIF(CONFIG_ASIGNATURAS!$B$7:$B$27,nASIG)&gt;0)*1),"")))</f>
        <v/>
      </c>
      <c r="H8" t="str">
        <f>IF(G8="","",IF(G8="[FÓRMULA MANUAL]","",IFERROR(AVERAGEIFS(nNOTA,nNIA,G8,nCUENTA,1,nASIG,"Lenguaje Musical"),"")))</f>
        <v/>
      </c>
      <c r="I8" t="str">
        <f>IF(G8="","",IF(G8="[FÓRMULA MANUAL]","",IFERROR(AVERAGEIFS(nNOTA,nNIA,G8,nCUENTA,1,nASIG,"Orquesta/Banda/Conjunto"),"")))</f>
        <v/>
      </c>
      <c r="J8" t="str">
        <f>IF(G8="","",IF(G8="[FÓRMULA MANUAL]","",IFERROR(AVERAGEIFS(nNOTA,nNIA,G8,nCUENTA,1,nASIG,"Conjunto"),"")))</f>
        <v/>
      </c>
      <c r="K8" t="str">
        <f>IF(G8="","",IF(G8="[FÓRMULA MANUAL]","",IFERROR(SUMPRODUCT((nNIA=G8)*(nCUENTA=1)*(COUNTIF(CONFIG_ASIGNATURAS!$B$7:$B$27,nASIG)&gt;0)*(nNOTA))/SUMPRODUCT((nNIA=G8)*(nCUENTA=1)*(COUNTIF(CONFIG_ASIGNATURAS!$B$7:$B$27,nASIG)&gt;0)*1),"")))</f>
        <v/>
      </c>
      <c r="N8" t="str">
        <f>IF(M8="","",IF(M8="[FÓRMULA MANUAL]","",IFERROR(AVERAGEIFS(nNOTA,nNIA,M8,nCUENTA,1,nASIG,"Armonía"),"")))</f>
        <v/>
      </c>
      <c r="O8" t="str">
        <f>IF(M8="","",IF(M8="[FÓRMULA MANUAL]","",IFERROR(AVERAGEIFS(nNOTA,nNIA,M8,nCUENTA,1,nASIG,"Orquesta/Banda/Conjunto"),"")))</f>
        <v/>
      </c>
      <c r="P8" t="str">
        <f>IF(M8="","",IF(M8="[FÓRMULA MANUAL]","",IFERROR(AVERAGEIFS(nNOTA,nNIA,M8,nCUENTA,1,nASIG,"Música de Cámara"),"")))</f>
        <v/>
      </c>
      <c r="Q8" t="str">
        <f>IF(M8="","",IF(M8="[FÓRMULA MANUAL]","",IFERROR(SUMPRODUCT((nNIA=M8)*(nCUENTA=1)*(COUNTIF(CONFIG_ASIGNATURAS!$B$7:$B$27,nASIG)&gt;0)*(nNOTA))/SUMPRODUCT((nNIA=M8)*(nCUENTA=1)*(COUNTIF(CONFIG_ASIGNATURAS!$B$7:$B$27,nASIG)&gt;0)*1),"")))</f>
        <v/>
      </c>
      <c r="T8" t="str">
        <f>IF(S8="","",IF(S8="[FÓRMULA MANUAL]","",IFERROR(AVERAGEIFS(nNOTA,nNIA,S8,nCUENTA,1,nASIG,"Armonía"),"")))</f>
        <v/>
      </c>
      <c r="U8" t="str">
        <f>IF(S8="","",IF(S8="[FÓRMULA MANUAL]","",IFERROR(AVERAGEIFS(nNOTA,nNIA,S8,nCUENTA,1,nASIG,"Orquesta/Banda/Conjunto"),"")))</f>
        <v/>
      </c>
      <c r="V8" t="str">
        <f>IF(S8="","",IF(S8="[FÓRMULA MANUAL]","",IFERROR(AVERAGEIFS(nNOTA,nNIA,S8,nCUENTA,1,nASIG,"Música de Cámara"),"")))</f>
        <v/>
      </c>
      <c r="W8" t="str">
        <f>IF(S8="","",IF(S8="[FÓRMULA MANUAL]","",IFERROR(SUMPRODUCT((nNIA=S8)*(nCUENTA=1)*(COUNTIF(CONFIG_ASIGNATURAS!$B$7:$B$27,nASIG)&gt;0)*(nNOTA))/SUMPRODUCT((nNIA=S8)*(nCUENTA=1)*(COUNTIF(CONFIG_ASIGNATURAS!$B$7:$B$27,nASIG)&gt;0)*1),"")))</f>
        <v/>
      </c>
      <c r="Z8" t="str">
        <f>IF(Y8="","",IF(Y8="[FÓRMULA MANUAL]","",IFERROR(AVERAGEIFS(nNOTA,nNIA,Y8,nCUENTA,1,nASIG,"Análisis"),"")))</f>
        <v/>
      </c>
      <c r="AA8" t="str">
        <f>IF(Y8="","",IF(Y8="[FÓRMULA MANUAL]","",IFERROR(AVERAGEIFS(nNOTA,nNIA,Y8,nCUENTA,1,nASIG,"Orquesta/Banda/Conjunto"),"")))</f>
        <v/>
      </c>
      <c r="AB8" t="str">
        <f>IF(Y8="","",IF(Y8="[FÓRMULA MANUAL]","",IFERROR(AVERAGEIFS(nNOTA,nNIA,Y8,nCUENTA,1,nASIG,"Música de Cámara"),"")))</f>
        <v/>
      </c>
      <c r="AC8" t="str">
        <f>IF(Y8="","",IF(Y8="[FÓRMULA MANUAL]","",IFERROR(SUMPRODUCT((nNIA=Y8)*(nCUENTA=1)*(COUNTIF(CONFIG_ASIGNATURAS!$B$7:$B$27,nASIG)&gt;0)*(nNOTA))/SUMPRODUCT((nNIA=Y8)*(nCUENTA=1)*(COUNTIF(CONFIG_ASIGNATURAS!$B$7:$B$27,nASIG)&gt;0)*1),"")))</f>
        <v/>
      </c>
      <c r="AF8" t="str">
        <f>IF(AE8="","",IF(AE8="[FÓRMULA MANUAL]","",IFERROR(AVERAGEIFS(nNOTA,nNIA,AE8,nCUENTA,1,nASIG,"Análisis"),"")))</f>
        <v/>
      </c>
      <c r="AG8" t="str">
        <f>IF(AE8="","",IF(AE8="[FÓRMULA MANUAL]","",IFERROR(AVERAGEIFS(nNOTA,nNIA,AE8,nCUENTA,1,nASIG,"Orquesta/Banda/Conjunto"),"")))</f>
        <v/>
      </c>
      <c r="AH8" t="str">
        <f>IF(AE8="","",IF(AE8="[FÓRMULA MANUAL]","",IFERROR(AVERAGEIFS(nNOTA,nNIA,AE8,nCUENTA,1,nASIG,"Música de Cámara"),"")))</f>
        <v/>
      </c>
      <c r="AI8" t="str">
        <f>IF(AE8="","",IF(AE8="[FÓRMULA MANUAL]","",IFERROR(SUMPRODUCT((nNIA=AE8)*(nCUENTA=1)*(COUNTIF(CONFIG_ASIGNATURAS!$B$7:$B$27,nASIG)&gt;0)*(nNOTA))/SUMPRODUCT((nNIA=AE8)*(nCUENTA=1)*(COUNTIF(CONFIG_ASIGNATURAS!$B$7:$B$27,nASIG)&gt;0)*1),"")))</f>
        <v/>
      </c>
    </row>
    <row r="9" spans="1:35" x14ac:dyDescent="0.2">
      <c r="B9" t="str">
        <f>IF(A9="","",IF(A9="[FÓRMULA MANUAL]","",IFERROR(AVERAGEIFS(nNOTA,nNIA,A9,nCUENTA,1,nASIG,"Lenguaje Musical"),"")))</f>
        <v/>
      </c>
      <c r="C9" t="str">
        <f>IF(A9="","",IF(A9="[FÓRMULA MANUAL]","",IFERROR(AVERAGEIFS(nNOTA,nNIA,A9,nCUENTA,1,nASIG,"Orquesta/Banda/Conjunto"),"")))</f>
        <v/>
      </c>
      <c r="D9" t="str">
        <f>IF(A9="","",IF(A9="[FÓRMULA MANUAL]","",IFERROR(AVERAGEIFS(nNOTA,nNIA,A9,nCUENTA,1,nASIG,"Conjunto"),"")))</f>
        <v/>
      </c>
      <c r="E9" t="str">
        <f>IF(A9="","",IF(A9="[FÓRMULA MANUAL]","",IFERROR(SUMPRODUCT((nNIA=A9)*(nCUENTA=1)*(COUNTIF(CONFIG_ASIGNATURAS!$B$7:$B$27,nASIG)&gt;0)*(nNOTA))/SUMPRODUCT((nNIA=A9)*(nCUENTA=1)*(COUNTIF(CONFIG_ASIGNATURAS!$B$7:$B$27,nASIG)&gt;0)*1),"")))</f>
        <v/>
      </c>
      <c r="H9" t="str">
        <f>IF(G9="","",IF(G9="[FÓRMULA MANUAL]","",IFERROR(AVERAGEIFS(nNOTA,nNIA,G9,nCUENTA,1,nASIG,"Lenguaje Musical"),"")))</f>
        <v/>
      </c>
      <c r="I9" t="str">
        <f>IF(G9="","",IF(G9="[FÓRMULA MANUAL]","",IFERROR(AVERAGEIFS(nNOTA,nNIA,G9,nCUENTA,1,nASIG,"Orquesta/Banda/Conjunto"),"")))</f>
        <v/>
      </c>
      <c r="J9" t="str">
        <f>IF(G9="","",IF(G9="[FÓRMULA MANUAL]","",IFERROR(AVERAGEIFS(nNOTA,nNIA,G9,nCUENTA,1,nASIG,"Conjunto"),"")))</f>
        <v/>
      </c>
      <c r="K9" t="str">
        <f>IF(G9="","",IF(G9="[FÓRMULA MANUAL]","",IFERROR(SUMPRODUCT((nNIA=G9)*(nCUENTA=1)*(COUNTIF(CONFIG_ASIGNATURAS!$B$7:$B$27,nASIG)&gt;0)*(nNOTA))/SUMPRODUCT((nNIA=G9)*(nCUENTA=1)*(COUNTIF(CONFIG_ASIGNATURAS!$B$7:$B$27,nASIG)&gt;0)*1),"")))</f>
        <v/>
      </c>
      <c r="N9" t="str">
        <f>IF(M9="","",IF(M9="[FÓRMULA MANUAL]","",IFERROR(AVERAGEIFS(nNOTA,nNIA,M9,nCUENTA,1,nASIG,"Armonía"),"")))</f>
        <v/>
      </c>
      <c r="O9" t="str">
        <f>IF(M9="","",IF(M9="[FÓRMULA MANUAL]","",IFERROR(AVERAGEIFS(nNOTA,nNIA,M9,nCUENTA,1,nASIG,"Orquesta/Banda/Conjunto"),"")))</f>
        <v/>
      </c>
      <c r="P9" t="str">
        <f>IF(M9="","",IF(M9="[FÓRMULA MANUAL]","",IFERROR(AVERAGEIFS(nNOTA,nNIA,M9,nCUENTA,1,nASIG,"Música de Cámara"),"")))</f>
        <v/>
      </c>
      <c r="Q9" t="str">
        <f>IF(M9="","",IF(M9="[FÓRMULA MANUAL]","",IFERROR(SUMPRODUCT((nNIA=M9)*(nCUENTA=1)*(COUNTIF(CONFIG_ASIGNATURAS!$B$7:$B$27,nASIG)&gt;0)*(nNOTA))/SUMPRODUCT((nNIA=M9)*(nCUENTA=1)*(COUNTIF(CONFIG_ASIGNATURAS!$B$7:$B$27,nASIG)&gt;0)*1),"")))</f>
        <v/>
      </c>
      <c r="T9" t="str">
        <f>IF(S9="","",IF(S9="[FÓRMULA MANUAL]","",IFERROR(AVERAGEIFS(nNOTA,nNIA,S9,nCUENTA,1,nASIG,"Armonía"),"")))</f>
        <v/>
      </c>
      <c r="U9" t="str">
        <f>IF(S9="","",IF(S9="[FÓRMULA MANUAL]","",IFERROR(AVERAGEIFS(nNOTA,nNIA,S9,nCUENTA,1,nASIG,"Orquesta/Banda/Conjunto"),"")))</f>
        <v/>
      </c>
      <c r="V9" t="str">
        <f>IF(S9="","",IF(S9="[FÓRMULA MANUAL]","",IFERROR(AVERAGEIFS(nNOTA,nNIA,S9,nCUENTA,1,nASIG,"Música de Cámara"),"")))</f>
        <v/>
      </c>
      <c r="W9" t="str">
        <f>IF(S9="","",IF(S9="[FÓRMULA MANUAL]","",IFERROR(SUMPRODUCT((nNIA=S9)*(nCUENTA=1)*(COUNTIF(CONFIG_ASIGNATURAS!$B$7:$B$27,nASIG)&gt;0)*(nNOTA))/SUMPRODUCT((nNIA=S9)*(nCUENTA=1)*(COUNTIF(CONFIG_ASIGNATURAS!$B$7:$B$27,nASIG)&gt;0)*1),"")))</f>
        <v/>
      </c>
      <c r="Z9" t="str">
        <f>IF(Y9="","",IF(Y9="[FÓRMULA MANUAL]","",IFERROR(AVERAGEIFS(nNOTA,nNIA,Y9,nCUENTA,1,nASIG,"Análisis"),"")))</f>
        <v/>
      </c>
      <c r="AA9" t="str">
        <f>IF(Y9="","",IF(Y9="[FÓRMULA MANUAL]","",IFERROR(AVERAGEIFS(nNOTA,nNIA,Y9,nCUENTA,1,nASIG,"Orquesta/Banda/Conjunto"),"")))</f>
        <v/>
      </c>
      <c r="AB9" t="str">
        <f>IF(Y9="","",IF(Y9="[FÓRMULA MANUAL]","",IFERROR(AVERAGEIFS(nNOTA,nNIA,Y9,nCUENTA,1,nASIG,"Música de Cámara"),"")))</f>
        <v/>
      </c>
      <c r="AC9" t="str">
        <f>IF(Y9="","",IF(Y9="[FÓRMULA MANUAL]","",IFERROR(SUMPRODUCT((nNIA=Y9)*(nCUENTA=1)*(COUNTIF(CONFIG_ASIGNATURAS!$B$7:$B$27,nASIG)&gt;0)*(nNOTA))/SUMPRODUCT((nNIA=Y9)*(nCUENTA=1)*(COUNTIF(CONFIG_ASIGNATURAS!$B$7:$B$27,nASIG)&gt;0)*1),"")))</f>
        <v/>
      </c>
      <c r="AF9" t="str">
        <f>IF(AE9="","",IF(AE9="[FÓRMULA MANUAL]","",IFERROR(AVERAGEIFS(nNOTA,nNIA,AE9,nCUENTA,1,nASIG,"Análisis"),"")))</f>
        <v/>
      </c>
      <c r="AG9" t="str">
        <f>IF(AE9="","",IF(AE9="[FÓRMULA MANUAL]","",IFERROR(AVERAGEIFS(nNOTA,nNIA,AE9,nCUENTA,1,nASIG,"Orquesta/Banda/Conjunto"),"")))</f>
        <v/>
      </c>
      <c r="AH9" t="str">
        <f>IF(AE9="","",IF(AE9="[FÓRMULA MANUAL]","",IFERROR(AVERAGEIFS(nNOTA,nNIA,AE9,nCUENTA,1,nASIG,"Música de Cámara"),"")))</f>
        <v/>
      </c>
      <c r="AI9" t="str">
        <f>IF(AE9="","",IF(AE9="[FÓRMULA MANUAL]","",IFERROR(SUMPRODUCT((nNIA=AE9)*(nCUENTA=1)*(COUNTIF(CONFIG_ASIGNATURAS!$B$7:$B$27,nASIG)&gt;0)*(nNOTA))/SUMPRODUCT((nNIA=AE9)*(nCUENTA=1)*(COUNTIF(CONFIG_ASIGNATURAS!$B$7:$B$27,nASIG)&gt;0)*1),"")))</f>
        <v/>
      </c>
    </row>
    <row r="10" spans="1:35" x14ac:dyDescent="0.2">
      <c r="B10" t="str">
        <f>IF(A10="","",IF(A10="[FÓRMULA MANUAL]","",IFERROR(AVERAGEIFS(nNOTA,nNIA,A10,nCUENTA,1,nASIG,"Lenguaje Musical"),"")))</f>
        <v/>
      </c>
      <c r="C10" t="str">
        <f>IF(A10="","",IF(A10="[FÓRMULA MANUAL]","",IFERROR(AVERAGEIFS(nNOTA,nNIA,A10,nCUENTA,1,nASIG,"Orquesta/Banda/Conjunto"),"")))</f>
        <v/>
      </c>
      <c r="D10" t="str">
        <f>IF(A10="","",IF(A10="[FÓRMULA MANUAL]","",IFERROR(AVERAGEIFS(nNOTA,nNIA,A10,nCUENTA,1,nASIG,"Conjunto"),"")))</f>
        <v/>
      </c>
      <c r="E10" t="str">
        <f>IF(A10="","",IF(A10="[FÓRMULA MANUAL]","",IFERROR(SUMPRODUCT((nNIA=A10)*(nCUENTA=1)*(COUNTIF(CONFIG_ASIGNATURAS!$B$7:$B$27,nASIG)&gt;0)*(nNOTA))/SUMPRODUCT((nNIA=A10)*(nCUENTA=1)*(COUNTIF(CONFIG_ASIGNATURAS!$B$7:$B$27,nASIG)&gt;0)*1),"")))</f>
        <v/>
      </c>
      <c r="H10" t="str">
        <f>IF(G10="","",IF(G10="[FÓRMULA MANUAL]","",IFERROR(AVERAGEIFS(nNOTA,nNIA,G10,nCUENTA,1,nASIG,"Lenguaje Musical"),"")))</f>
        <v/>
      </c>
      <c r="I10" t="str">
        <f>IF(G10="","",IF(G10="[FÓRMULA MANUAL]","",IFERROR(AVERAGEIFS(nNOTA,nNIA,G10,nCUENTA,1,nASIG,"Orquesta/Banda/Conjunto"),"")))</f>
        <v/>
      </c>
      <c r="J10" t="str">
        <f>IF(G10="","",IF(G10="[FÓRMULA MANUAL]","",IFERROR(AVERAGEIFS(nNOTA,nNIA,G10,nCUENTA,1,nASIG,"Conjunto"),"")))</f>
        <v/>
      </c>
      <c r="K10" t="str">
        <f>IF(G10="","",IF(G10="[FÓRMULA MANUAL]","",IFERROR(SUMPRODUCT((nNIA=G10)*(nCUENTA=1)*(COUNTIF(CONFIG_ASIGNATURAS!$B$7:$B$27,nASIG)&gt;0)*(nNOTA))/SUMPRODUCT((nNIA=G10)*(nCUENTA=1)*(COUNTIF(CONFIG_ASIGNATURAS!$B$7:$B$27,nASIG)&gt;0)*1),"")))</f>
        <v/>
      </c>
      <c r="N10" t="str">
        <f>IF(M10="","",IF(M10="[FÓRMULA MANUAL]","",IFERROR(AVERAGEIFS(nNOTA,nNIA,M10,nCUENTA,1,nASIG,"Armonía"),"")))</f>
        <v/>
      </c>
      <c r="O10" t="str">
        <f>IF(M10="","",IF(M10="[FÓRMULA MANUAL]","",IFERROR(AVERAGEIFS(nNOTA,nNIA,M10,nCUENTA,1,nASIG,"Orquesta/Banda/Conjunto"),"")))</f>
        <v/>
      </c>
      <c r="P10" t="str">
        <f>IF(M10="","",IF(M10="[FÓRMULA MANUAL]","",IFERROR(AVERAGEIFS(nNOTA,nNIA,M10,nCUENTA,1,nASIG,"Música de Cámara"),"")))</f>
        <v/>
      </c>
      <c r="Q10" t="str">
        <f>IF(M10="","",IF(M10="[FÓRMULA MANUAL]","",IFERROR(SUMPRODUCT((nNIA=M10)*(nCUENTA=1)*(COUNTIF(CONFIG_ASIGNATURAS!$B$7:$B$27,nASIG)&gt;0)*(nNOTA))/SUMPRODUCT((nNIA=M10)*(nCUENTA=1)*(COUNTIF(CONFIG_ASIGNATURAS!$B$7:$B$27,nASIG)&gt;0)*1),"")))</f>
        <v/>
      </c>
      <c r="T10" t="str">
        <f>IF(S10="","",IF(S10="[FÓRMULA MANUAL]","",IFERROR(AVERAGEIFS(nNOTA,nNIA,S10,nCUENTA,1,nASIG,"Armonía"),"")))</f>
        <v/>
      </c>
      <c r="U10" t="str">
        <f>IF(S10="","",IF(S10="[FÓRMULA MANUAL]","",IFERROR(AVERAGEIFS(nNOTA,nNIA,S10,nCUENTA,1,nASIG,"Orquesta/Banda/Conjunto"),"")))</f>
        <v/>
      </c>
      <c r="V10" t="str">
        <f>IF(S10="","",IF(S10="[FÓRMULA MANUAL]","",IFERROR(AVERAGEIFS(nNOTA,nNIA,S10,nCUENTA,1,nASIG,"Música de Cámara"),"")))</f>
        <v/>
      </c>
      <c r="W10" t="str">
        <f>IF(S10="","",IF(S10="[FÓRMULA MANUAL]","",IFERROR(SUMPRODUCT((nNIA=S10)*(nCUENTA=1)*(COUNTIF(CONFIG_ASIGNATURAS!$B$7:$B$27,nASIG)&gt;0)*(nNOTA))/SUMPRODUCT((nNIA=S10)*(nCUENTA=1)*(COUNTIF(CONFIG_ASIGNATURAS!$B$7:$B$27,nASIG)&gt;0)*1),"")))</f>
        <v/>
      </c>
      <c r="Z10" t="str">
        <f>IF(Y10="","",IF(Y10="[FÓRMULA MANUAL]","",IFERROR(AVERAGEIFS(nNOTA,nNIA,Y10,nCUENTA,1,nASIG,"Análisis"),"")))</f>
        <v/>
      </c>
      <c r="AA10" t="str">
        <f>IF(Y10="","",IF(Y10="[FÓRMULA MANUAL]","",IFERROR(AVERAGEIFS(nNOTA,nNIA,Y10,nCUENTA,1,nASIG,"Orquesta/Banda/Conjunto"),"")))</f>
        <v/>
      </c>
      <c r="AB10" t="str">
        <f>IF(Y10="","",IF(Y10="[FÓRMULA MANUAL]","",IFERROR(AVERAGEIFS(nNOTA,nNIA,Y10,nCUENTA,1,nASIG,"Música de Cámara"),"")))</f>
        <v/>
      </c>
      <c r="AC10" t="str">
        <f>IF(Y10="","",IF(Y10="[FÓRMULA MANUAL]","",IFERROR(SUMPRODUCT((nNIA=Y10)*(nCUENTA=1)*(COUNTIF(CONFIG_ASIGNATURAS!$B$7:$B$27,nASIG)&gt;0)*(nNOTA))/SUMPRODUCT((nNIA=Y10)*(nCUENTA=1)*(COUNTIF(CONFIG_ASIGNATURAS!$B$7:$B$27,nASIG)&gt;0)*1),"")))</f>
        <v/>
      </c>
      <c r="AF10" t="str">
        <f>IF(AE10="","",IF(AE10="[FÓRMULA MANUAL]","",IFERROR(AVERAGEIFS(nNOTA,nNIA,AE10,nCUENTA,1,nASIG,"Análisis"),"")))</f>
        <v/>
      </c>
      <c r="AG10" t="str">
        <f>IF(AE10="","",IF(AE10="[FÓRMULA MANUAL]","",IFERROR(AVERAGEIFS(nNOTA,nNIA,AE10,nCUENTA,1,nASIG,"Orquesta/Banda/Conjunto"),"")))</f>
        <v/>
      </c>
      <c r="AH10" t="str">
        <f>IF(AE10="","",IF(AE10="[FÓRMULA MANUAL]","",IFERROR(AVERAGEIFS(nNOTA,nNIA,AE10,nCUENTA,1,nASIG,"Música de Cámara"),"")))</f>
        <v/>
      </c>
      <c r="AI10" t="str">
        <f>IF(AE10="","",IF(AE10="[FÓRMULA MANUAL]","",IFERROR(SUMPRODUCT((nNIA=AE10)*(nCUENTA=1)*(COUNTIF(CONFIG_ASIGNATURAS!$B$7:$B$27,nASIG)&gt;0)*(nNOTA))/SUMPRODUCT((nNIA=AE10)*(nCUENTA=1)*(COUNTIF(CONFIG_ASIGNATURAS!$B$7:$B$27,nASIG)&gt;0)*1),"")))</f>
        <v/>
      </c>
    </row>
    <row r="11" spans="1:35" x14ac:dyDescent="0.2">
      <c r="B11" t="str">
        <f>IF(A11="","",IF(A11="[FÓRMULA MANUAL]","",IFERROR(AVERAGEIFS(nNOTA,nNIA,A11,nCUENTA,1,nASIG,"Lenguaje Musical"),"")))</f>
        <v/>
      </c>
      <c r="C11" t="str">
        <f>IF(A11="","",IF(A11="[FÓRMULA MANUAL]","",IFERROR(AVERAGEIFS(nNOTA,nNIA,A11,nCUENTA,1,nASIG,"Orquesta/Banda/Conjunto"),"")))</f>
        <v/>
      </c>
      <c r="D11" t="str">
        <f>IF(A11="","",IF(A11="[FÓRMULA MANUAL]","",IFERROR(AVERAGEIFS(nNOTA,nNIA,A11,nCUENTA,1,nASIG,"Conjunto"),"")))</f>
        <v/>
      </c>
      <c r="E11" t="str">
        <f>IF(A11="","",IF(A11="[FÓRMULA MANUAL]","",IFERROR(SUMPRODUCT((nNIA=A11)*(nCUENTA=1)*(COUNTIF(CONFIG_ASIGNATURAS!$B$7:$B$27,nASIG)&gt;0)*(nNOTA))/SUMPRODUCT((nNIA=A11)*(nCUENTA=1)*(COUNTIF(CONFIG_ASIGNATURAS!$B$7:$B$27,nASIG)&gt;0)*1),"")))</f>
        <v/>
      </c>
      <c r="H11" t="str">
        <f>IF(G11="","",IF(G11="[FÓRMULA MANUAL]","",IFERROR(AVERAGEIFS(nNOTA,nNIA,G11,nCUENTA,1,nASIG,"Lenguaje Musical"),"")))</f>
        <v/>
      </c>
      <c r="I11" t="str">
        <f>IF(G11="","",IF(G11="[FÓRMULA MANUAL]","",IFERROR(AVERAGEIFS(nNOTA,nNIA,G11,nCUENTA,1,nASIG,"Orquesta/Banda/Conjunto"),"")))</f>
        <v/>
      </c>
      <c r="J11" t="str">
        <f>IF(G11="","",IF(G11="[FÓRMULA MANUAL]","",IFERROR(AVERAGEIFS(nNOTA,nNIA,G11,nCUENTA,1,nASIG,"Conjunto"),"")))</f>
        <v/>
      </c>
      <c r="K11" t="str">
        <f>IF(G11="","",IF(G11="[FÓRMULA MANUAL]","",IFERROR(SUMPRODUCT((nNIA=G11)*(nCUENTA=1)*(COUNTIF(CONFIG_ASIGNATURAS!$B$7:$B$27,nASIG)&gt;0)*(nNOTA))/SUMPRODUCT((nNIA=G11)*(nCUENTA=1)*(COUNTIF(CONFIG_ASIGNATURAS!$B$7:$B$27,nASIG)&gt;0)*1),"")))</f>
        <v/>
      </c>
      <c r="N11" t="str">
        <f>IF(M11="","",IF(M11="[FÓRMULA MANUAL]","",IFERROR(AVERAGEIFS(nNOTA,nNIA,M11,nCUENTA,1,nASIG,"Armonía"),"")))</f>
        <v/>
      </c>
      <c r="O11" t="str">
        <f>IF(M11="","",IF(M11="[FÓRMULA MANUAL]","",IFERROR(AVERAGEIFS(nNOTA,nNIA,M11,nCUENTA,1,nASIG,"Orquesta/Banda/Conjunto"),"")))</f>
        <v/>
      </c>
      <c r="P11" t="str">
        <f>IF(M11="","",IF(M11="[FÓRMULA MANUAL]","",IFERROR(AVERAGEIFS(nNOTA,nNIA,M11,nCUENTA,1,nASIG,"Música de Cámara"),"")))</f>
        <v/>
      </c>
      <c r="Q11" t="str">
        <f>IF(M11="","",IF(M11="[FÓRMULA MANUAL]","",IFERROR(SUMPRODUCT((nNIA=M11)*(nCUENTA=1)*(COUNTIF(CONFIG_ASIGNATURAS!$B$7:$B$27,nASIG)&gt;0)*(nNOTA))/SUMPRODUCT((nNIA=M11)*(nCUENTA=1)*(COUNTIF(CONFIG_ASIGNATURAS!$B$7:$B$27,nASIG)&gt;0)*1),"")))</f>
        <v/>
      </c>
      <c r="T11" t="str">
        <f>IF(S11="","",IF(S11="[FÓRMULA MANUAL]","",IFERROR(AVERAGEIFS(nNOTA,nNIA,S11,nCUENTA,1,nASIG,"Armonía"),"")))</f>
        <v/>
      </c>
      <c r="U11" t="str">
        <f>IF(S11="","",IF(S11="[FÓRMULA MANUAL]","",IFERROR(AVERAGEIFS(nNOTA,nNIA,S11,nCUENTA,1,nASIG,"Orquesta/Banda/Conjunto"),"")))</f>
        <v/>
      </c>
      <c r="V11" t="str">
        <f>IF(S11="","",IF(S11="[FÓRMULA MANUAL]","",IFERROR(AVERAGEIFS(nNOTA,nNIA,S11,nCUENTA,1,nASIG,"Música de Cámara"),"")))</f>
        <v/>
      </c>
      <c r="W11" t="str">
        <f>IF(S11="","",IF(S11="[FÓRMULA MANUAL]","",IFERROR(SUMPRODUCT((nNIA=S11)*(nCUENTA=1)*(COUNTIF(CONFIG_ASIGNATURAS!$B$7:$B$27,nASIG)&gt;0)*(nNOTA))/SUMPRODUCT((nNIA=S11)*(nCUENTA=1)*(COUNTIF(CONFIG_ASIGNATURAS!$B$7:$B$27,nASIG)&gt;0)*1),"")))</f>
        <v/>
      </c>
      <c r="Z11" t="str">
        <f>IF(Y11="","",IF(Y11="[FÓRMULA MANUAL]","",IFERROR(AVERAGEIFS(nNOTA,nNIA,Y11,nCUENTA,1,nASIG,"Análisis"),"")))</f>
        <v/>
      </c>
      <c r="AA11" t="str">
        <f>IF(Y11="","",IF(Y11="[FÓRMULA MANUAL]","",IFERROR(AVERAGEIFS(nNOTA,nNIA,Y11,nCUENTA,1,nASIG,"Orquesta/Banda/Conjunto"),"")))</f>
        <v/>
      </c>
      <c r="AB11" t="str">
        <f>IF(Y11="","",IF(Y11="[FÓRMULA MANUAL]","",IFERROR(AVERAGEIFS(nNOTA,nNIA,Y11,nCUENTA,1,nASIG,"Música de Cámara"),"")))</f>
        <v/>
      </c>
      <c r="AC11" t="str">
        <f>IF(Y11="","",IF(Y11="[FÓRMULA MANUAL]","",IFERROR(SUMPRODUCT((nNIA=Y11)*(nCUENTA=1)*(COUNTIF(CONFIG_ASIGNATURAS!$B$7:$B$27,nASIG)&gt;0)*(nNOTA))/SUMPRODUCT((nNIA=Y11)*(nCUENTA=1)*(COUNTIF(CONFIG_ASIGNATURAS!$B$7:$B$27,nASIG)&gt;0)*1),"")))</f>
        <v/>
      </c>
      <c r="AF11" t="str">
        <f>IF(AE11="","",IF(AE11="[FÓRMULA MANUAL]","",IFERROR(AVERAGEIFS(nNOTA,nNIA,AE11,nCUENTA,1,nASIG,"Análisis"),"")))</f>
        <v/>
      </c>
      <c r="AG11" t="str">
        <f>IF(AE11="","",IF(AE11="[FÓRMULA MANUAL]","",IFERROR(AVERAGEIFS(nNOTA,nNIA,AE11,nCUENTA,1,nASIG,"Orquesta/Banda/Conjunto"),"")))</f>
        <v/>
      </c>
      <c r="AH11" t="str">
        <f>IF(AE11="","",IF(AE11="[FÓRMULA MANUAL]","",IFERROR(AVERAGEIFS(nNOTA,nNIA,AE11,nCUENTA,1,nASIG,"Música de Cámara"),"")))</f>
        <v/>
      </c>
      <c r="AI11" t="str">
        <f>IF(AE11="","",IF(AE11="[FÓRMULA MANUAL]","",IFERROR(SUMPRODUCT((nNIA=AE11)*(nCUENTA=1)*(COUNTIF(CONFIG_ASIGNATURAS!$B$7:$B$27,nASIG)&gt;0)*(nNOTA))/SUMPRODUCT((nNIA=AE11)*(nCUENTA=1)*(COUNTIF(CONFIG_ASIGNATURAS!$B$7:$B$27,nASIG)&gt;0)*1),"")))</f>
        <v/>
      </c>
    </row>
    <row r="12" spans="1:35" x14ac:dyDescent="0.2">
      <c r="B12" t="str">
        <f>IF(A12="","",IF(A12="[FÓRMULA MANUAL]","",IFERROR(AVERAGEIFS(nNOTA,nNIA,A12,nCUENTA,1,nASIG,"Lenguaje Musical"),"")))</f>
        <v/>
      </c>
      <c r="C12" t="str">
        <f>IF(A12="","",IF(A12="[FÓRMULA MANUAL]","",IFERROR(AVERAGEIFS(nNOTA,nNIA,A12,nCUENTA,1,nASIG,"Orquesta/Banda/Conjunto"),"")))</f>
        <v/>
      </c>
      <c r="D12" t="str">
        <f>IF(A12="","",IF(A12="[FÓRMULA MANUAL]","",IFERROR(AVERAGEIFS(nNOTA,nNIA,A12,nCUENTA,1,nASIG,"Conjunto"),"")))</f>
        <v/>
      </c>
      <c r="E12" t="str">
        <f>IF(A12="","",IF(A12="[FÓRMULA MANUAL]","",IFERROR(SUMPRODUCT((nNIA=A12)*(nCUENTA=1)*(COUNTIF(CONFIG_ASIGNATURAS!$B$7:$B$27,nASIG)&gt;0)*(nNOTA))/SUMPRODUCT((nNIA=A12)*(nCUENTA=1)*(COUNTIF(CONFIG_ASIGNATURAS!$B$7:$B$27,nASIG)&gt;0)*1),"")))</f>
        <v/>
      </c>
      <c r="H12" t="str">
        <f>IF(G12="","",IF(G12="[FÓRMULA MANUAL]","",IFERROR(AVERAGEIFS(nNOTA,nNIA,G12,nCUENTA,1,nASIG,"Lenguaje Musical"),"")))</f>
        <v/>
      </c>
      <c r="I12" t="str">
        <f>IF(G12="","",IF(G12="[FÓRMULA MANUAL]","",IFERROR(AVERAGEIFS(nNOTA,nNIA,G12,nCUENTA,1,nASIG,"Orquesta/Banda/Conjunto"),"")))</f>
        <v/>
      </c>
      <c r="J12" t="str">
        <f>IF(G12="","",IF(G12="[FÓRMULA MANUAL]","",IFERROR(AVERAGEIFS(nNOTA,nNIA,G12,nCUENTA,1,nASIG,"Conjunto"),"")))</f>
        <v/>
      </c>
      <c r="K12" t="str">
        <f>IF(G12="","",IF(G12="[FÓRMULA MANUAL]","",IFERROR(SUMPRODUCT((nNIA=G12)*(nCUENTA=1)*(COUNTIF(CONFIG_ASIGNATURAS!$B$7:$B$27,nASIG)&gt;0)*(nNOTA))/SUMPRODUCT((nNIA=G12)*(nCUENTA=1)*(COUNTIF(CONFIG_ASIGNATURAS!$B$7:$B$27,nASIG)&gt;0)*1),"")))</f>
        <v/>
      </c>
      <c r="N12" t="str">
        <f>IF(M12="","",IF(M12="[FÓRMULA MANUAL]","",IFERROR(AVERAGEIFS(nNOTA,nNIA,M12,nCUENTA,1,nASIG,"Armonía"),"")))</f>
        <v/>
      </c>
      <c r="O12" t="str">
        <f>IF(M12="","",IF(M12="[FÓRMULA MANUAL]","",IFERROR(AVERAGEIFS(nNOTA,nNIA,M12,nCUENTA,1,nASIG,"Orquesta/Banda/Conjunto"),"")))</f>
        <v/>
      </c>
      <c r="P12" t="str">
        <f>IF(M12="","",IF(M12="[FÓRMULA MANUAL]","",IFERROR(AVERAGEIFS(nNOTA,nNIA,M12,nCUENTA,1,nASIG,"Música de Cámara"),"")))</f>
        <v/>
      </c>
      <c r="Q12" t="str">
        <f>IF(M12="","",IF(M12="[FÓRMULA MANUAL]","",IFERROR(SUMPRODUCT((nNIA=M12)*(nCUENTA=1)*(COUNTIF(CONFIG_ASIGNATURAS!$B$7:$B$27,nASIG)&gt;0)*(nNOTA))/SUMPRODUCT((nNIA=M12)*(nCUENTA=1)*(COUNTIF(CONFIG_ASIGNATURAS!$B$7:$B$27,nASIG)&gt;0)*1),"")))</f>
        <v/>
      </c>
      <c r="T12" t="str">
        <f>IF(S12="","",IF(S12="[FÓRMULA MANUAL]","",IFERROR(AVERAGEIFS(nNOTA,nNIA,S12,nCUENTA,1,nASIG,"Armonía"),"")))</f>
        <v/>
      </c>
      <c r="U12" t="str">
        <f>IF(S12="","",IF(S12="[FÓRMULA MANUAL]","",IFERROR(AVERAGEIFS(nNOTA,nNIA,S12,nCUENTA,1,nASIG,"Orquesta/Banda/Conjunto"),"")))</f>
        <v/>
      </c>
      <c r="V12" t="str">
        <f>IF(S12="","",IF(S12="[FÓRMULA MANUAL]","",IFERROR(AVERAGEIFS(nNOTA,nNIA,S12,nCUENTA,1,nASIG,"Música de Cámara"),"")))</f>
        <v/>
      </c>
      <c r="W12" t="str">
        <f>IF(S12="","",IF(S12="[FÓRMULA MANUAL]","",IFERROR(SUMPRODUCT((nNIA=S12)*(nCUENTA=1)*(COUNTIF(CONFIG_ASIGNATURAS!$B$7:$B$27,nASIG)&gt;0)*(nNOTA))/SUMPRODUCT((nNIA=S12)*(nCUENTA=1)*(COUNTIF(CONFIG_ASIGNATURAS!$B$7:$B$27,nASIG)&gt;0)*1),"")))</f>
        <v/>
      </c>
      <c r="Z12" t="str">
        <f>IF(Y12="","",IF(Y12="[FÓRMULA MANUAL]","",IFERROR(AVERAGEIFS(nNOTA,nNIA,Y12,nCUENTA,1,nASIG,"Análisis"),"")))</f>
        <v/>
      </c>
      <c r="AA12" t="str">
        <f>IF(Y12="","",IF(Y12="[FÓRMULA MANUAL]","",IFERROR(AVERAGEIFS(nNOTA,nNIA,Y12,nCUENTA,1,nASIG,"Orquesta/Banda/Conjunto"),"")))</f>
        <v/>
      </c>
      <c r="AB12" t="str">
        <f>IF(Y12="","",IF(Y12="[FÓRMULA MANUAL]","",IFERROR(AVERAGEIFS(nNOTA,nNIA,Y12,nCUENTA,1,nASIG,"Música de Cámara"),"")))</f>
        <v/>
      </c>
      <c r="AC12" t="str">
        <f>IF(Y12="","",IF(Y12="[FÓRMULA MANUAL]","",IFERROR(SUMPRODUCT((nNIA=Y12)*(nCUENTA=1)*(COUNTIF(CONFIG_ASIGNATURAS!$B$7:$B$27,nASIG)&gt;0)*(nNOTA))/SUMPRODUCT((nNIA=Y12)*(nCUENTA=1)*(COUNTIF(CONFIG_ASIGNATURAS!$B$7:$B$27,nASIG)&gt;0)*1),"")))</f>
        <v/>
      </c>
      <c r="AF12" t="str">
        <f>IF(AE12="","",IF(AE12="[FÓRMULA MANUAL]","",IFERROR(AVERAGEIFS(nNOTA,nNIA,AE12,nCUENTA,1,nASIG,"Análisis"),"")))</f>
        <v/>
      </c>
      <c r="AG12" t="str">
        <f>IF(AE12="","",IF(AE12="[FÓRMULA MANUAL]","",IFERROR(AVERAGEIFS(nNOTA,nNIA,AE12,nCUENTA,1,nASIG,"Orquesta/Banda/Conjunto"),"")))</f>
        <v/>
      </c>
      <c r="AH12" t="str">
        <f>IF(AE12="","",IF(AE12="[FÓRMULA MANUAL]","",IFERROR(AVERAGEIFS(nNOTA,nNIA,AE12,nCUENTA,1,nASIG,"Música de Cámara"),"")))</f>
        <v/>
      </c>
      <c r="AI12" t="str">
        <f>IF(AE12="","",IF(AE12="[FÓRMULA MANUAL]","",IFERROR(SUMPRODUCT((nNIA=AE12)*(nCUENTA=1)*(COUNTIF(CONFIG_ASIGNATURAS!$B$7:$B$27,nASIG)&gt;0)*(nNOTA))/SUMPRODUCT((nNIA=AE12)*(nCUENTA=1)*(COUNTIF(CONFIG_ASIGNATURAS!$B$7:$B$27,nASIG)&gt;0)*1),"")))</f>
        <v/>
      </c>
    </row>
    <row r="13" spans="1:35" x14ac:dyDescent="0.2">
      <c r="B13" t="str">
        <f>IF(A13="","",IF(A13="[FÓRMULA MANUAL]","",IFERROR(AVERAGEIFS(nNOTA,nNIA,A13,nCUENTA,1,nASIG,"Lenguaje Musical"),"")))</f>
        <v/>
      </c>
      <c r="C13" t="str">
        <f>IF(A13="","",IF(A13="[FÓRMULA MANUAL]","",IFERROR(AVERAGEIFS(nNOTA,nNIA,A13,nCUENTA,1,nASIG,"Orquesta/Banda/Conjunto"),"")))</f>
        <v/>
      </c>
      <c r="D13" t="str">
        <f>IF(A13="","",IF(A13="[FÓRMULA MANUAL]","",IFERROR(AVERAGEIFS(nNOTA,nNIA,A13,nCUENTA,1,nASIG,"Conjunto"),"")))</f>
        <v/>
      </c>
      <c r="E13" t="str">
        <f>IF(A13="","",IF(A13="[FÓRMULA MANUAL]","",IFERROR(SUMPRODUCT((nNIA=A13)*(nCUENTA=1)*(COUNTIF(CONFIG_ASIGNATURAS!$B$7:$B$27,nASIG)&gt;0)*(nNOTA))/SUMPRODUCT((nNIA=A13)*(nCUENTA=1)*(COUNTIF(CONFIG_ASIGNATURAS!$B$7:$B$27,nASIG)&gt;0)*1),"")))</f>
        <v/>
      </c>
      <c r="H13" t="str">
        <f>IF(G13="","",IF(G13="[FÓRMULA MANUAL]","",IFERROR(AVERAGEIFS(nNOTA,nNIA,G13,nCUENTA,1,nASIG,"Lenguaje Musical"),"")))</f>
        <v/>
      </c>
      <c r="I13" t="str">
        <f>IF(G13="","",IF(G13="[FÓRMULA MANUAL]","",IFERROR(AVERAGEIFS(nNOTA,nNIA,G13,nCUENTA,1,nASIG,"Orquesta/Banda/Conjunto"),"")))</f>
        <v/>
      </c>
      <c r="J13" t="str">
        <f>IF(G13="","",IF(G13="[FÓRMULA MANUAL]","",IFERROR(AVERAGEIFS(nNOTA,nNIA,G13,nCUENTA,1,nASIG,"Conjunto"),"")))</f>
        <v/>
      </c>
      <c r="K13" t="str">
        <f>IF(G13="","",IF(G13="[FÓRMULA MANUAL]","",IFERROR(SUMPRODUCT((nNIA=G13)*(nCUENTA=1)*(COUNTIF(CONFIG_ASIGNATURAS!$B$7:$B$27,nASIG)&gt;0)*(nNOTA))/SUMPRODUCT((nNIA=G13)*(nCUENTA=1)*(COUNTIF(CONFIG_ASIGNATURAS!$B$7:$B$27,nASIG)&gt;0)*1),"")))</f>
        <v/>
      </c>
      <c r="N13" t="str">
        <f>IF(M13="","",IF(M13="[FÓRMULA MANUAL]","",IFERROR(AVERAGEIFS(nNOTA,nNIA,M13,nCUENTA,1,nASIG,"Armonía"),"")))</f>
        <v/>
      </c>
      <c r="O13" t="str">
        <f>IF(M13="","",IF(M13="[FÓRMULA MANUAL]","",IFERROR(AVERAGEIFS(nNOTA,nNIA,M13,nCUENTA,1,nASIG,"Orquesta/Banda/Conjunto"),"")))</f>
        <v/>
      </c>
      <c r="P13" t="str">
        <f>IF(M13="","",IF(M13="[FÓRMULA MANUAL]","",IFERROR(AVERAGEIFS(nNOTA,nNIA,M13,nCUENTA,1,nASIG,"Música de Cámara"),"")))</f>
        <v/>
      </c>
      <c r="Q13" t="str">
        <f>IF(M13="","",IF(M13="[FÓRMULA MANUAL]","",IFERROR(SUMPRODUCT((nNIA=M13)*(nCUENTA=1)*(COUNTIF(CONFIG_ASIGNATURAS!$B$7:$B$27,nASIG)&gt;0)*(nNOTA))/SUMPRODUCT((nNIA=M13)*(nCUENTA=1)*(COUNTIF(CONFIG_ASIGNATURAS!$B$7:$B$27,nASIG)&gt;0)*1),"")))</f>
        <v/>
      </c>
      <c r="T13" t="str">
        <f>IF(S13="","",IF(S13="[FÓRMULA MANUAL]","",IFERROR(AVERAGEIFS(nNOTA,nNIA,S13,nCUENTA,1,nASIG,"Armonía"),"")))</f>
        <v/>
      </c>
      <c r="U13" t="str">
        <f>IF(S13="","",IF(S13="[FÓRMULA MANUAL]","",IFERROR(AVERAGEIFS(nNOTA,nNIA,S13,nCUENTA,1,nASIG,"Orquesta/Banda/Conjunto"),"")))</f>
        <v/>
      </c>
      <c r="V13" t="str">
        <f>IF(S13="","",IF(S13="[FÓRMULA MANUAL]","",IFERROR(AVERAGEIFS(nNOTA,nNIA,S13,nCUENTA,1,nASIG,"Música de Cámara"),"")))</f>
        <v/>
      </c>
      <c r="W13" t="str">
        <f>IF(S13="","",IF(S13="[FÓRMULA MANUAL]","",IFERROR(SUMPRODUCT((nNIA=S13)*(nCUENTA=1)*(COUNTIF(CONFIG_ASIGNATURAS!$B$7:$B$27,nASIG)&gt;0)*(nNOTA))/SUMPRODUCT((nNIA=S13)*(nCUENTA=1)*(COUNTIF(CONFIG_ASIGNATURAS!$B$7:$B$27,nASIG)&gt;0)*1),"")))</f>
        <v/>
      </c>
      <c r="Z13" t="str">
        <f>IF(Y13="","",IF(Y13="[FÓRMULA MANUAL]","",IFERROR(AVERAGEIFS(nNOTA,nNIA,Y13,nCUENTA,1,nASIG,"Análisis"),"")))</f>
        <v/>
      </c>
      <c r="AA13" t="str">
        <f>IF(Y13="","",IF(Y13="[FÓRMULA MANUAL]","",IFERROR(AVERAGEIFS(nNOTA,nNIA,Y13,nCUENTA,1,nASIG,"Orquesta/Banda/Conjunto"),"")))</f>
        <v/>
      </c>
      <c r="AB13" t="str">
        <f>IF(Y13="","",IF(Y13="[FÓRMULA MANUAL]","",IFERROR(AVERAGEIFS(nNOTA,nNIA,Y13,nCUENTA,1,nASIG,"Música de Cámara"),"")))</f>
        <v/>
      </c>
      <c r="AC13" t="str">
        <f>IF(Y13="","",IF(Y13="[FÓRMULA MANUAL]","",IFERROR(SUMPRODUCT((nNIA=Y13)*(nCUENTA=1)*(COUNTIF(CONFIG_ASIGNATURAS!$B$7:$B$27,nASIG)&gt;0)*(nNOTA))/SUMPRODUCT((nNIA=Y13)*(nCUENTA=1)*(COUNTIF(CONFIG_ASIGNATURAS!$B$7:$B$27,nASIG)&gt;0)*1),"")))</f>
        <v/>
      </c>
      <c r="AF13" t="str">
        <f>IF(AE13="","",IF(AE13="[FÓRMULA MANUAL]","",IFERROR(AVERAGEIFS(nNOTA,nNIA,AE13,nCUENTA,1,nASIG,"Análisis"),"")))</f>
        <v/>
      </c>
      <c r="AG13" t="str">
        <f>IF(AE13="","",IF(AE13="[FÓRMULA MANUAL]","",IFERROR(AVERAGEIFS(nNOTA,nNIA,AE13,nCUENTA,1,nASIG,"Orquesta/Banda/Conjunto"),"")))</f>
        <v/>
      </c>
      <c r="AH13" t="str">
        <f>IF(AE13="","",IF(AE13="[FÓRMULA MANUAL]","",IFERROR(AVERAGEIFS(nNOTA,nNIA,AE13,nCUENTA,1,nASIG,"Música de Cámara"),"")))</f>
        <v/>
      </c>
      <c r="AI13" t="str">
        <f>IF(AE13="","",IF(AE13="[FÓRMULA MANUAL]","",IFERROR(SUMPRODUCT((nNIA=AE13)*(nCUENTA=1)*(COUNTIF(CONFIG_ASIGNATURAS!$B$7:$B$27,nASIG)&gt;0)*(nNOTA))/SUMPRODUCT((nNIA=AE13)*(nCUENTA=1)*(COUNTIF(CONFIG_ASIGNATURAS!$B$7:$B$27,nASIG)&gt;0)*1),"")))</f>
        <v/>
      </c>
    </row>
    <row r="14" spans="1:35" x14ac:dyDescent="0.2">
      <c r="B14" t="str">
        <f>IF(A14="","",IF(A14="[FÓRMULA MANUAL]","",IFERROR(AVERAGEIFS(nNOTA,nNIA,A14,nCUENTA,1,nASIG,"Lenguaje Musical"),"")))</f>
        <v/>
      </c>
      <c r="C14" t="str">
        <f>IF(A14="","",IF(A14="[FÓRMULA MANUAL]","",IFERROR(AVERAGEIFS(nNOTA,nNIA,A14,nCUENTA,1,nASIG,"Orquesta/Banda/Conjunto"),"")))</f>
        <v/>
      </c>
      <c r="D14" t="str">
        <f>IF(A14="","",IF(A14="[FÓRMULA MANUAL]","",IFERROR(AVERAGEIFS(nNOTA,nNIA,A14,nCUENTA,1,nASIG,"Conjunto"),"")))</f>
        <v/>
      </c>
      <c r="E14" t="str">
        <f>IF(A14="","",IF(A14="[FÓRMULA MANUAL]","",IFERROR(SUMPRODUCT((nNIA=A14)*(nCUENTA=1)*(COUNTIF(CONFIG_ASIGNATURAS!$B$7:$B$27,nASIG)&gt;0)*(nNOTA))/SUMPRODUCT((nNIA=A14)*(nCUENTA=1)*(COUNTIF(CONFIG_ASIGNATURAS!$B$7:$B$27,nASIG)&gt;0)*1),"")))</f>
        <v/>
      </c>
      <c r="H14" t="str">
        <f>IF(G14="","",IF(G14="[FÓRMULA MANUAL]","",IFERROR(AVERAGEIFS(nNOTA,nNIA,G14,nCUENTA,1,nASIG,"Lenguaje Musical"),"")))</f>
        <v/>
      </c>
      <c r="I14" t="str">
        <f>IF(G14="","",IF(G14="[FÓRMULA MANUAL]","",IFERROR(AVERAGEIFS(nNOTA,nNIA,G14,nCUENTA,1,nASIG,"Orquesta/Banda/Conjunto"),"")))</f>
        <v/>
      </c>
      <c r="J14" t="str">
        <f>IF(G14="","",IF(G14="[FÓRMULA MANUAL]","",IFERROR(AVERAGEIFS(nNOTA,nNIA,G14,nCUENTA,1,nASIG,"Conjunto"),"")))</f>
        <v/>
      </c>
      <c r="K14" t="str">
        <f>IF(G14="","",IF(G14="[FÓRMULA MANUAL]","",IFERROR(SUMPRODUCT((nNIA=G14)*(nCUENTA=1)*(COUNTIF(CONFIG_ASIGNATURAS!$B$7:$B$27,nASIG)&gt;0)*(nNOTA))/SUMPRODUCT((nNIA=G14)*(nCUENTA=1)*(COUNTIF(CONFIG_ASIGNATURAS!$B$7:$B$27,nASIG)&gt;0)*1),"")))</f>
        <v/>
      </c>
      <c r="N14" t="str">
        <f>IF(M14="","",IF(M14="[FÓRMULA MANUAL]","",IFERROR(AVERAGEIFS(nNOTA,nNIA,M14,nCUENTA,1,nASIG,"Armonía"),"")))</f>
        <v/>
      </c>
      <c r="O14" t="str">
        <f>IF(M14="","",IF(M14="[FÓRMULA MANUAL]","",IFERROR(AVERAGEIFS(nNOTA,nNIA,M14,nCUENTA,1,nASIG,"Orquesta/Banda/Conjunto"),"")))</f>
        <v/>
      </c>
      <c r="P14" t="str">
        <f>IF(M14="","",IF(M14="[FÓRMULA MANUAL]","",IFERROR(AVERAGEIFS(nNOTA,nNIA,M14,nCUENTA,1,nASIG,"Música de Cámara"),"")))</f>
        <v/>
      </c>
      <c r="Q14" t="str">
        <f>IF(M14="","",IF(M14="[FÓRMULA MANUAL]","",IFERROR(SUMPRODUCT((nNIA=M14)*(nCUENTA=1)*(COUNTIF(CONFIG_ASIGNATURAS!$B$7:$B$27,nASIG)&gt;0)*(nNOTA))/SUMPRODUCT((nNIA=M14)*(nCUENTA=1)*(COUNTIF(CONFIG_ASIGNATURAS!$B$7:$B$27,nASIG)&gt;0)*1),"")))</f>
        <v/>
      </c>
      <c r="T14" t="str">
        <f>IF(S14="","",IF(S14="[FÓRMULA MANUAL]","",IFERROR(AVERAGEIFS(nNOTA,nNIA,S14,nCUENTA,1,nASIG,"Armonía"),"")))</f>
        <v/>
      </c>
      <c r="U14" t="str">
        <f>IF(S14="","",IF(S14="[FÓRMULA MANUAL]","",IFERROR(AVERAGEIFS(nNOTA,nNIA,S14,nCUENTA,1,nASIG,"Orquesta/Banda/Conjunto"),"")))</f>
        <v/>
      </c>
      <c r="V14" t="str">
        <f>IF(S14="","",IF(S14="[FÓRMULA MANUAL]","",IFERROR(AVERAGEIFS(nNOTA,nNIA,S14,nCUENTA,1,nASIG,"Música de Cámara"),"")))</f>
        <v/>
      </c>
      <c r="W14" t="str">
        <f>IF(S14="","",IF(S14="[FÓRMULA MANUAL]","",IFERROR(SUMPRODUCT((nNIA=S14)*(nCUENTA=1)*(COUNTIF(CONFIG_ASIGNATURAS!$B$7:$B$27,nASIG)&gt;0)*(nNOTA))/SUMPRODUCT((nNIA=S14)*(nCUENTA=1)*(COUNTIF(CONFIG_ASIGNATURAS!$B$7:$B$27,nASIG)&gt;0)*1),"")))</f>
        <v/>
      </c>
      <c r="Z14" t="str">
        <f>IF(Y14="","",IF(Y14="[FÓRMULA MANUAL]","",IFERROR(AVERAGEIFS(nNOTA,nNIA,Y14,nCUENTA,1,nASIG,"Análisis"),"")))</f>
        <v/>
      </c>
      <c r="AA14" t="str">
        <f>IF(Y14="","",IF(Y14="[FÓRMULA MANUAL]","",IFERROR(AVERAGEIFS(nNOTA,nNIA,Y14,nCUENTA,1,nASIG,"Orquesta/Banda/Conjunto"),"")))</f>
        <v/>
      </c>
      <c r="AB14" t="str">
        <f>IF(Y14="","",IF(Y14="[FÓRMULA MANUAL]","",IFERROR(AVERAGEIFS(nNOTA,nNIA,Y14,nCUENTA,1,nASIG,"Música de Cámara"),"")))</f>
        <v/>
      </c>
      <c r="AC14" t="str">
        <f>IF(Y14="","",IF(Y14="[FÓRMULA MANUAL]","",IFERROR(SUMPRODUCT((nNIA=Y14)*(nCUENTA=1)*(COUNTIF(CONFIG_ASIGNATURAS!$B$7:$B$27,nASIG)&gt;0)*(nNOTA))/SUMPRODUCT((nNIA=Y14)*(nCUENTA=1)*(COUNTIF(CONFIG_ASIGNATURAS!$B$7:$B$27,nASIG)&gt;0)*1),"")))</f>
        <v/>
      </c>
      <c r="AF14" t="str">
        <f>IF(AE14="","",IF(AE14="[FÓRMULA MANUAL]","",IFERROR(AVERAGEIFS(nNOTA,nNIA,AE14,nCUENTA,1,nASIG,"Análisis"),"")))</f>
        <v/>
      </c>
      <c r="AG14" t="str">
        <f>IF(AE14="","",IF(AE14="[FÓRMULA MANUAL]","",IFERROR(AVERAGEIFS(nNOTA,nNIA,AE14,nCUENTA,1,nASIG,"Orquesta/Banda/Conjunto"),"")))</f>
        <v/>
      </c>
      <c r="AH14" t="str">
        <f>IF(AE14="","",IF(AE14="[FÓRMULA MANUAL]","",IFERROR(AVERAGEIFS(nNOTA,nNIA,AE14,nCUENTA,1,nASIG,"Música de Cámara"),"")))</f>
        <v/>
      </c>
      <c r="AI14" t="str">
        <f>IF(AE14="","",IF(AE14="[FÓRMULA MANUAL]","",IFERROR(SUMPRODUCT((nNIA=AE14)*(nCUENTA=1)*(COUNTIF(CONFIG_ASIGNATURAS!$B$7:$B$27,nASIG)&gt;0)*(nNOTA))/SUMPRODUCT((nNIA=AE14)*(nCUENTA=1)*(COUNTIF(CONFIG_ASIGNATURAS!$B$7:$B$27,nASIG)&gt;0)*1),"")))</f>
        <v/>
      </c>
    </row>
    <row r="15" spans="1:35" x14ac:dyDescent="0.2">
      <c r="B15" t="str">
        <f>IF(A15="","",IF(A15="[FÓRMULA MANUAL]","",IFERROR(AVERAGEIFS(nNOTA,nNIA,A15,nCUENTA,1,nASIG,"Lenguaje Musical"),"")))</f>
        <v/>
      </c>
      <c r="C15" t="str">
        <f>IF(A15="","",IF(A15="[FÓRMULA MANUAL]","",IFERROR(AVERAGEIFS(nNOTA,nNIA,A15,nCUENTA,1,nASIG,"Orquesta/Banda/Conjunto"),"")))</f>
        <v/>
      </c>
      <c r="D15" t="str">
        <f>IF(A15="","",IF(A15="[FÓRMULA MANUAL]","",IFERROR(AVERAGEIFS(nNOTA,nNIA,A15,nCUENTA,1,nASIG,"Conjunto"),"")))</f>
        <v/>
      </c>
      <c r="E15" t="str">
        <f>IF(A15="","",IF(A15="[FÓRMULA MANUAL]","",IFERROR(SUMPRODUCT((nNIA=A15)*(nCUENTA=1)*(COUNTIF(CONFIG_ASIGNATURAS!$B$7:$B$27,nASIG)&gt;0)*(nNOTA))/SUMPRODUCT((nNIA=A15)*(nCUENTA=1)*(COUNTIF(CONFIG_ASIGNATURAS!$B$7:$B$27,nASIG)&gt;0)*1),"")))</f>
        <v/>
      </c>
      <c r="H15" t="str">
        <f>IF(G15="","",IF(G15="[FÓRMULA MANUAL]","",IFERROR(AVERAGEIFS(nNOTA,nNIA,G15,nCUENTA,1,nASIG,"Lenguaje Musical"),"")))</f>
        <v/>
      </c>
      <c r="I15" t="str">
        <f>IF(G15="","",IF(G15="[FÓRMULA MANUAL]","",IFERROR(AVERAGEIFS(nNOTA,nNIA,G15,nCUENTA,1,nASIG,"Orquesta/Banda/Conjunto"),"")))</f>
        <v/>
      </c>
      <c r="J15" t="str">
        <f>IF(G15="","",IF(G15="[FÓRMULA MANUAL]","",IFERROR(AVERAGEIFS(nNOTA,nNIA,G15,nCUENTA,1,nASIG,"Conjunto"),"")))</f>
        <v/>
      </c>
      <c r="K15" t="str">
        <f>IF(G15="","",IF(G15="[FÓRMULA MANUAL]","",IFERROR(SUMPRODUCT((nNIA=G15)*(nCUENTA=1)*(COUNTIF(CONFIG_ASIGNATURAS!$B$7:$B$27,nASIG)&gt;0)*(nNOTA))/SUMPRODUCT((nNIA=G15)*(nCUENTA=1)*(COUNTIF(CONFIG_ASIGNATURAS!$B$7:$B$27,nASIG)&gt;0)*1),"")))</f>
        <v/>
      </c>
      <c r="N15" t="str">
        <f>IF(M15="","",IF(M15="[FÓRMULA MANUAL]","",IFERROR(AVERAGEIFS(nNOTA,nNIA,M15,nCUENTA,1,nASIG,"Armonía"),"")))</f>
        <v/>
      </c>
      <c r="O15" t="str">
        <f>IF(M15="","",IF(M15="[FÓRMULA MANUAL]","",IFERROR(AVERAGEIFS(nNOTA,nNIA,M15,nCUENTA,1,nASIG,"Orquesta/Banda/Conjunto"),"")))</f>
        <v/>
      </c>
      <c r="P15" t="str">
        <f>IF(M15="","",IF(M15="[FÓRMULA MANUAL]","",IFERROR(AVERAGEIFS(nNOTA,nNIA,M15,nCUENTA,1,nASIG,"Música de Cámara"),"")))</f>
        <v/>
      </c>
      <c r="Q15" t="str">
        <f>IF(M15="","",IF(M15="[FÓRMULA MANUAL]","",IFERROR(SUMPRODUCT((nNIA=M15)*(nCUENTA=1)*(COUNTIF(CONFIG_ASIGNATURAS!$B$7:$B$27,nASIG)&gt;0)*(nNOTA))/SUMPRODUCT((nNIA=M15)*(nCUENTA=1)*(COUNTIF(CONFIG_ASIGNATURAS!$B$7:$B$27,nASIG)&gt;0)*1),"")))</f>
        <v/>
      </c>
      <c r="T15" t="str">
        <f>IF(S15="","",IF(S15="[FÓRMULA MANUAL]","",IFERROR(AVERAGEIFS(nNOTA,nNIA,S15,nCUENTA,1,nASIG,"Armonía"),"")))</f>
        <v/>
      </c>
      <c r="U15" t="str">
        <f>IF(S15="","",IF(S15="[FÓRMULA MANUAL]","",IFERROR(AVERAGEIFS(nNOTA,nNIA,S15,nCUENTA,1,nASIG,"Orquesta/Banda/Conjunto"),"")))</f>
        <v/>
      </c>
      <c r="V15" t="str">
        <f>IF(S15="","",IF(S15="[FÓRMULA MANUAL]","",IFERROR(AVERAGEIFS(nNOTA,nNIA,S15,nCUENTA,1,nASIG,"Música de Cámara"),"")))</f>
        <v/>
      </c>
      <c r="W15" t="str">
        <f>IF(S15="","",IF(S15="[FÓRMULA MANUAL]","",IFERROR(SUMPRODUCT((nNIA=S15)*(nCUENTA=1)*(COUNTIF(CONFIG_ASIGNATURAS!$B$7:$B$27,nASIG)&gt;0)*(nNOTA))/SUMPRODUCT((nNIA=S15)*(nCUENTA=1)*(COUNTIF(CONFIG_ASIGNATURAS!$B$7:$B$27,nASIG)&gt;0)*1),"")))</f>
        <v/>
      </c>
      <c r="Z15" t="str">
        <f>IF(Y15="","",IF(Y15="[FÓRMULA MANUAL]","",IFERROR(AVERAGEIFS(nNOTA,nNIA,Y15,nCUENTA,1,nASIG,"Análisis"),"")))</f>
        <v/>
      </c>
      <c r="AA15" t="str">
        <f>IF(Y15="","",IF(Y15="[FÓRMULA MANUAL]","",IFERROR(AVERAGEIFS(nNOTA,nNIA,Y15,nCUENTA,1,nASIG,"Orquesta/Banda/Conjunto"),"")))</f>
        <v/>
      </c>
      <c r="AB15" t="str">
        <f>IF(Y15="","",IF(Y15="[FÓRMULA MANUAL]","",IFERROR(AVERAGEIFS(nNOTA,nNIA,Y15,nCUENTA,1,nASIG,"Música de Cámara"),"")))</f>
        <v/>
      </c>
      <c r="AC15" t="str">
        <f>IF(Y15="","",IF(Y15="[FÓRMULA MANUAL]","",IFERROR(SUMPRODUCT((nNIA=Y15)*(nCUENTA=1)*(COUNTIF(CONFIG_ASIGNATURAS!$B$7:$B$27,nASIG)&gt;0)*(nNOTA))/SUMPRODUCT((nNIA=Y15)*(nCUENTA=1)*(COUNTIF(CONFIG_ASIGNATURAS!$B$7:$B$27,nASIG)&gt;0)*1),"")))</f>
        <v/>
      </c>
      <c r="AF15" t="str">
        <f>IF(AE15="","",IF(AE15="[FÓRMULA MANUAL]","",IFERROR(AVERAGEIFS(nNOTA,nNIA,AE15,nCUENTA,1,nASIG,"Análisis"),"")))</f>
        <v/>
      </c>
      <c r="AG15" t="str">
        <f>IF(AE15="","",IF(AE15="[FÓRMULA MANUAL]","",IFERROR(AVERAGEIFS(nNOTA,nNIA,AE15,nCUENTA,1,nASIG,"Orquesta/Banda/Conjunto"),"")))</f>
        <v/>
      </c>
      <c r="AH15" t="str">
        <f>IF(AE15="","",IF(AE15="[FÓRMULA MANUAL]","",IFERROR(AVERAGEIFS(nNOTA,nNIA,AE15,nCUENTA,1,nASIG,"Música de Cámara"),"")))</f>
        <v/>
      </c>
      <c r="AI15" t="str">
        <f>IF(AE15="","",IF(AE15="[FÓRMULA MANUAL]","",IFERROR(SUMPRODUCT((nNIA=AE15)*(nCUENTA=1)*(COUNTIF(CONFIG_ASIGNATURAS!$B$7:$B$27,nASIG)&gt;0)*(nNOTA))/SUMPRODUCT((nNIA=AE15)*(nCUENTA=1)*(COUNTIF(CONFIG_ASIGNATURAS!$B$7:$B$27,nASIG)&gt;0)*1),"")))</f>
        <v/>
      </c>
    </row>
    <row r="16" spans="1:35" x14ac:dyDescent="0.2">
      <c r="B16" t="str">
        <f>IF(A16="","",IF(A16="[FÓRMULA MANUAL]","",IFERROR(AVERAGEIFS(nNOTA,nNIA,A16,nCUENTA,1,nASIG,"Lenguaje Musical"),"")))</f>
        <v/>
      </c>
      <c r="C16" t="str">
        <f>IF(A16="","",IF(A16="[FÓRMULA MANUAL]","",IFERROR(AVERAGEIFS(nNOTA,nNIA,A16,nCUENTA,1,nASIG,"Orquesta/Banda/Conjunto"),"")))</f>
        <v/>
      </c>
      <c r="D16" t="str">
        <f>IF(A16="","",IF(A16="[FÓRMULA MANUAL]","",IFERROR(AVERAGEIFS(nNOTA,nNIA,A16,nCUENTA,1,nASIG,"Conjunto"),"")))</f>
        <v/>
      </c>
      <c r="E16" t="str">
        <f>IF(A16="","",IF(A16="[FÓRMULA MANUAL]","",IFERROR(SUMPRODUCT((nNIA=A16)*(nCUENTA=1)*(COUNTIF(CONFIG_ASIGNATURAS!$B$7:$B$27,nASIG)&gt;0)*(nNOTA))/SUMPRODUCT((nNIA=A16)*(nCUENTA=1)*(COUNTIF(CONFIG_ASIGNATURAS!$B$7:$B$27,nASIG)&gt;0)*1),"")))</f>
        <v/>
      </c>
      <c r="H16" t="str">
        <f>IF(G16="","",IF(G16="[FÓRMULA MANUAL]","",IFERROR(AVERAGEIFS(nNOTA,nNIA,G16,nCUENTA,1,nASIG,"Lenguaje Musical"),"")))</f>
        <v/>
      </c>
      <c r="I16" t="str">
        <f>IF(G16="","",IF(G16="[FÓRMULA MANUAL]","",IFERROR(AVERAGEIFS(nNOTA,nNIA,G16,nCUENTA,1,nASIG,"Orquesta/Banda/Conjunto"),"")))</f>
        <v/>
      </c>
      <c r="J16" t="str">
        <f>IF(G16="","",IF(G16="[FÓRMULA MANUAL]","",IFERROR(AVERAGEIFS(nNOTA,nNIA,G16,nCUENTA,1,nASIG,"Conjunto"),"")))</f>
        <v/>
      </c>
      <c r="K16" t="str">
        <f>IF(G16="","",IF(G16="[FÓRMULA MANUAL]","",IFERROR(SUMPRODUCT((nNIA=G16)*(nCUENTA=1)*(COUNTIF(CONFIG_ASIGNATURAS!$B$7:$B$27,nASIG)&gt;0)*(nNOTA))/SUMPRODUCT((nNIA=G16)*(nCUENTA=1)*(COUNTIF(CONFIG_ASIGNATURAS!$B$7:$B$27,nASIG)&gt;0)*1),"")))</f>
        <v/>
      </c>
      <c r="N16" t="str">
        <f>IF(M16="","",IF(M16="[FÓRMULA MANUAL]","",IFERROR(AVERAGEIFS(nNOTA,nNIA,M16,nCUENTA,1,nASIG,"Armonía"),"")))</f>
        <v/>
      </c>
      <c r="O16" t="str">
        <f>IF(M16="","",IF(M16="[FÓRMULA MANUAL]","",IFERROR(AVERAGEIFS(nNOTA,nNIA,M16,nCUENTA,1,nASIG,"Orquesta/Banda/Conjunto"),"")))</f>
        <v/>
      </c>
      <c r="P16" t="str">
        <f>IF(M16="","",IF(M16="[FÓRMULA MANUAL]","",IFERROR(AVERAGEIFS(nNOTA,nNIA,M16,nCUENTA,1,nASIG,"Música de Cámara"),"")))</f>
        <v/>
      </c>
      <c r="Q16" t="str">
        <f>IF(M16="","",IF(M16="[FÓRMULA MANUAL]","",IFERROR(SUMPRODUCT((nNIA=M16)*(nCUENTA=1)*(COUNTIF(CONFIG_ASIGNATURAS!$B$7:$B$27,nASIG)&gt;0)*(nNOTA))/SUMPRODUCT((nNIA=M16)*(nCUENTA=1)*(COUNTIF(CONFIG_ASIGNATURAS!$B$7:$B$27,nASIG)&gt;0)*1),"")))</f>
        <v/>
      </c>
      <c r="T16" t="str">
        <f>IF(S16="","",IF(S16="[FÓRMULA MANUAL]","",IFERROR(AVERAGEIFS(nNOTA,nNIA,S16,nCUENTA,1,nASIG,"Armonía"),"")))</f>
        <v/>
      </c>
      <c r="U16" t="str">
        <f>IF(S16="","",IF(S16="[FÓRMULA MANUAL]","",IFERROR(AVERAGEIFS(nNOTA,nNIA,S16,nCUENTA,1,nASIG,"Orquesta/Banda/Conjunto"),"")))</f>
        <v/>
      </c>
      <c r="V16" t="str">
        <f>IF(S16="","",IF(S16="[FÓRMULA MANUAL]","",IFERROR(AVERAGEIFS(nNOTA,nNIA,S16,nCUENTA,1,nASIG,"Música de Cámara"),"")))</f>
        <v/>
      </c>
      <c r="W16" t="str">
        <f>IF(S16="","",IF(S16="[FÓRMULA MANUAL]","",IFERROR(SUMPRODUCT((nNIA=S16)*(nCUENTA=1)*(COUNTIF(CONFIG_ASIGNATURAS!$B$7:$B$27,nASIG)&gt;0)*(nNOTA))/SUMPRODUCT((nNIA=S16)*(nCUENTA=1)*(COUNTIF(CONFIG_ASIGNATURAS!$B$7:$B$27,nASIG)&gt;0)*1),"")))</f>
        <v/>
      </c>
      <c r="Z16" t="str">
        <f>IF(Y16="","",IF(Y16="[FÓRMULA MANUAL]","",IFERROR(AVERAGEIFS(nNOTA,nNIA,Y16,nCUENTA,1,nASIG,"Análisis"),"")))</f>
        <v/>
      </c>
      <c r="AA16" t="str">
        <f>IF(Y16="","",IF(Y16="[FÓRMULA MANUAL]","",IFERROR(AVERAGEIFS(nNOTA,nNIA,Y16,nCUENTA,1,nASIG,"Orquesta/Banda/Conjunto"),"")))</f>
        <v/>
      </c>
      <c r="AB16" t="str">
        <f>IF(Y16="","",IF(Y16="[FÓRMULA MANUAL]","",IFERROR(AVERAGEIFS(nNOTA,nNIA,Y16,nCUENTA,1,nASIG,"Música de Cámara"),"")))</f>
        <v/>
      </c>
      <c r="AC16" t="str">
        <f>IF(Y16="","",IF(Y16="[FÓRMULA MANUAL]","",IFERROR(SUMPRODUCT((nNIA=Y16)*(nCUENTA=1)*(COUNTIF(CONFIG_ASIGNATURAS!$B$7:$B$27,nASIG)&gt;0)*(nNOTA))/SUMPRODUCT((nNIA=Y16)*(nCUENTA=1)*(COUNTIF(CONFIG_ASIGNATURAS!$B$7:$B$27,nASIG)&gt;0)*1),"")))</f>
        <v/>
      </c>
      <c r="AF16" t="str">
        <f>IF(AE16="","",IF(AE16="[FÓRMULA MANUAL]","",IFERROR(AVERAGEIFS(nNOTA,nNIA,AE16,nCUENTA,1,nASIG,"Análisis"),"")))</f>
        <v/>
      </c>
      <c r="AG16" t="str">
        <f>IF(AE16="","",IF(AE16="[FÓRMULA MANUAL]","",IFERROR(AVERAGEIFS(nNOTA,nNIA,AE16,nCUENTA,1,nASIG,"Orquesta/Banda/Conjunto"),"")))</f>
        <v/>
      </c>
      <c r="AH16" t="str">
        <f>IF(AE16="","",IF(AE16="[FÓRMULA MANUAL]","",IFERROR(AVERAGEIFS(nNOTA,nNIA,AE16,nCUENTA,1,nASIG,"Música de Cámara"),"")))</f>
        <v/>
      </c>
      <c r="AI16" t="str">
        <f>IF(AE16="","",IF(AE16="[FÓRMULA MANUAL]","",IFERROR(SUMPRODUCT((nNIA=AE16)*(nCUENTA=1)*(COUNTIF(CONFIG_ASIGNATURAS!$B$7:$B$27,nASIG)&gt;0)*(nNOTA))/SUMPRODUCT((nNIA=AE16)*(nCUENTA=1)*(COUNTIF(CONFIG_ASIGNATURAS!$B$7:$B$27,nASIG)&gt;0)*1),"")))</f>
        <v/>
      </c>
    </row>
    <row r="17" spans="2:35" x14ac:dyDescent="0.2">
      <c r="B17" t="str">
        <f>IF(A17="","",IF(A17="[FÓRMULA MANUAL]","",IFERROR(AVERAGEIFS(nNOTA,nNIA,A17,nCUENTA,1,nASIG,"Lenguaje Musical"),"")))</f>
        <v/>
      </c>
      <c r="C17" t="str">
        <f>IF(A17="","",IF(A17="[FÓRMULA MANUAL]","",IFERROR(AVERAGEIFS(nNOTA,nNIA,A17,nCUENTA,1,nASIG,"Orquesta/Banda/Conjunto"),"")))</f>
        <v/>
      </c>
      <c r="D17" t="str">
        <f>IF(A17="","",IF(A17="[FÓRMULA MANUAL]","",IFERROR(AVERAGEIFS(nNOTA,nNIA,A17,nCUENTA,1,nASIG,"Conjunto"),"")))</f>
        <v/>
      </c>
      <c r="E17" t="str">
        <f>IF(A17="","",IF(A17="[FÓRMULA MANUAL]","",IFERROR(SUMPRODUCT((nNIA=A17)*(nCUENTA=1)*(COUNTIF(CONFIG_ASIGNATURAS!$B$7:$B$27,nASIG)&gt;0)*(nNOTA))/SUMPRODUCT((nNIA=A17)*(nCUENTA=1)*(COUNTIF(CONFIG_ASIGNATURAS!$B$7:$B$27,nASIG)&gt;0)*1),"")))</f>
        <v/>
      </c>
      <c r="H17" t="str">
        <f>IF(G17="","",IF(G17="[FÓRMULA MANUAL]","",IFERROR(AVERAGEIFS(nNOTA,nNIA,G17,nCUENTA,1,nASIG,"Lenguaje Musical"),"")))</f>
        <v/>
      </c>
      <c r="I17" t="str">
        <f>IF(G17="","",IF(G17="[FÓRMULA MANUAL]","",IFERROR(AVERAGEIFS(nNOTA,nNIA,G17,nCUENTA,1,nASIG,"Orquesta/Banda/Conjunto"),"")))</f>
        <v/>
      </c>
      <c r="J17" t="str">
        <f>IF(G17="","",IF(G17="[FÓRMULA MANUAL]","",IFERROR(AVERAGEIFS(nNOTA,nNIA,G17,nCUENTA,1,nASIG,"Conjunto"),"")))</f>
        <v/>
      </c>
      <c r="K17" t="str">
        <f>IF(G17="","",IF(G17="[FÓRMULA MANUAL]","",IFERROR(SUMPRODUCT((nNIA=G17)*(nCUENTA=1)*(COUNTIF(CONFIG_ASIGNATURAS!$B$7:$B$27,nASIG)&gt;0)*(nNOTA))/SUMPRODUCT((nNIA=G17)*(nCUENTA=1)*(COUNTIF(CONFIG_ASIGNATURAS!$B$7:$B$27,nASIG)&gt;0)*1),"")))</f>
        <v/>
      </c>
      <c r="N17" t="str">
        <f>IF(M17="","",IF(M17="[FÓRMULA MANUAL]","",IFERROR(AVERAGEIFS(nNOTA,nNIA,M17,nCUENTA,1,nASIG,"Armonía"),"")))</f>
        <v/>
      </c>
      <c r="O17" t="str">
        <f>IF(M17="","",IF(M17="[FÓRMULA MANUAL]","",IFERROR(AVERAGEIFS(nNOTA,nNIA,M17,nCUENTA,1,nASIG,"Orquesta/Banda/Conjunto"),"")))</f>
        <v/>
      </c>
      <c r="P17" t="str">
        <f>IF(M17="","",IF(M17="[FÓRMULA MANUAL]","",IFERROR(AVERAGEIFS(nNOTA,nNIA,M17,nCUENTA,1,nASIG,"Música de Cámara"),"")))</f>
        <v/>
      </c>
      <c r="Q17" t="str">
        <f>IF(M17="","",IF(M17="[FÓRMULA MANUAL]","",IFERROR(SUMPRODUCT((nNIA=M17)*(nCUENTA=1)*(COUNTIF(CONFIG_ASIGNATURAS!$B$7:$B$27,nASIG)&gt;0)*(nNOTA))/SUMPRODUCT((nNIA=M17)*(nCUENTA=1)*(COUNTIF(CONFIG_ASIGNATURAS!$B$7:$B$27,nASIG)&gt;0)*1),"")))</f>
        <v/>
      </c>
      <c r="T17" t="str">
        <f>IF(S17="","",IF(S17="[FÓRMULA MANUAL]","",IFERROR(AVERAGEIFS(nNOTA,nNIA,S17,nCUENTA,1,nASIG,"Armonía"),"")))</f>
        <v/>
      </c>
      <c r="U17" t="str">
        <f>IF(S17="","",IF(S17="[FÓRMULA MANUAL]","",IFERROR(AVERAGEIFS(nNOTA,nNIA,S17,nCUENTA,1,nASIG,"Orquesta/Banda/Conjunto"),"")))</f>
        <v/>
      </c>
      <c r="V17" t="str">
        <f>IF(S17="","",IF(S17="[FÓRMULA MANUAL]","",IFERROR(AVERAGEIFS(nNOTA,nNIA,S17,nCUENTA,1,nASIG,"Música de Cámara"),"")))</f>
        <v/>
      </c>
      <c r="W17" t="str">
        <f>IF(S17="","",IF(S17="[FÓRMULA MANUAL]","",IFERROR(SUMPRODUCT((nNIA=S17)*(nCUENTA=1)*(COUNTIF(CONFIG_ASIGNATURAS!$B$7:$B$27,nASIG)&gt;0)*(nNOTA))/SUMPRODUCT((nNIA=S17)*(nCUENTA=1)*(COUNTIF(CONFIG_ASIGNATURAS!$B$7:$B$27,nASIG)&gt;0)*1),"")))</f>
        <v/>
      </c>
      <c r="Z17" t="str">
        <f>IF(Y17="","",IF(Y17="[FÓRMULA MANUAL]","",IFERROR(AVERAGEIFS(nNOTA,nNIA,Y17,nCUENTA,1,nASIG,"Análisis"),"")))</f>
        <v/>
      </c>
      <c r="AA17" t="str">
        <f>IF(Y17="","",IF(Y17="[FÓRMULA MANUAL]","",IFERROR(AVERAGEIFS(nNOTA,nNIA,Y17,nCUENTA,1,nASIG,"Orquesta/Banda/Conjunto"),"")))</f>
        <v/>
      </c>
      <c r="AB17" t="str">
        <f>IF(Y17="","",IF(Y17="[FÓRMULA MANUAL]","",IFERROR(AVERAGEIFS(nNOTA,nNIA,Y17,nCUENTA,1,nASIG,"Música de Cámara"),"")))</f>
        <v/>
      </c>
      <c r="AC17" t="str">
        <f>IF(Y17="","",IF(Y17="[FÓRMULA MANUAL]","",IFERROR(SUMPRODUCT((nNIA=Y17)*(nCUENTA=1)*(COUNTIF(CONFIG_ASIGNATURAS!$B$7:$B$27,nASIG)&gt;0)*(nNOTA))/SUMPRODUCT((nNIA=Y17)*(nCUENTA=1)*(COUNTIF(CONFIG_ASIGNATURAS!$B$7:$B$27,nASIG)&gt;0)*1),"")))</f>
        <v/>
      </c>
      <c r="AF17" t="str">
        <f>IF(AE17="","",IF(AE17="[FÓRMULA MANUAL]","",IFERROR(AVERAGEIFS(nNOTA,nNIA,AE17,nCUENTA,1,nASIG,"Análisis"),"")))</f>
        <v/>
      </c>
      <c r="AG17" t="str">
        <f>IF(AE17="","",IF(AE17="[FÓRMULA MANUAL]","",IFERROR(AVERAGEIFS(nNOTA,nNIA,AE17,nCUENTA,1,nASIG,"Orquesta/Banda/Conjunto"),"")))</f>
        <v/>
      </c>
      <c r="AH17" t="str">
        <f>IF(AE17="","",IF(AE17="[FÓRMULA MANUAL]","",IFERROR(AVERAGEIFS(nNOTA,nNIA,AE17,nCUENTA,1,nASIG,"Música de Cámara"),"")))</f>
        <v/>
      </c>
      <c r="AI17" t="str">
        <f>IF(AE17="","",IF(AE17="[FÓRMULA MANUAL]","",IFERROR(SUMPRODUCT((nNIA=AE17)*(nCUENTA=1)*(COUNTIF(CONFIG_ASIGNATURAS!$B$7:$B$27,nASIG)&gt;0)*(nNOTA))/SUMPRODUCT((nNIA=AE17)*(nCUENTA=1)*(COUNTIF(CONFIG_ASIGNATURAS!$B$7:$B$27,nASIG)&gt;0)*1),"")))</f>
        <v/>
      </c>
    </row>
    <row r="18" spans="2:35" x14ac:dyDescent="0.2">
      <c r="B18" t="str">
        <f>IF(A18="","",IF(A18="[FÓRMULA MANUAL]","",IFERROR(AVERAGEIFS(nNOTA,nNIA,A18,nCUENTA,1,nASIG,"Lenguaje Musical"),"")))</f>
        <v/>
      </c>
      <c r="C18" t="str">
        <f>IF(A18="","",IF(A18="[FÓRMULA MANUAL]","",IFERROR(AVERAGEIFS(nNOTA,nNIA,A18,nCUENTA,1,nASIG,"Orquesta/Banda/Conjunto"),"")))</f>
        <v/>
      </c>
      <c r="D18" t="str">
        <f>IF(A18="","",IF(A18="[FÓRMULA MANUAL]","",IFERROR(AVERAGEIFS(nNOTA,nNIA,A18,nCUENTA,1,nASIG,"Conjunto"),"")))</f>
        <v/>
      </c>
      <c r="E18" t="str">
        <f>IF(A18="","",IF(A18="[FÓRMULA MANUAL]","",IFERROR(SUMPRODUCT((nNIA=A18)*(nCUENTA=1)*(COUNTIF(CONFIG_ASIGNATURAS!$B$7:$B$27,nASIG)&gt;0)*(nNOTA))/SUMPRODUCT((nNIA=A18)*(nCUENTA=1)*(COUNTIF(CONFIG_ASIGNATURAS!$B$7:$B$27,nASIG)&gt;0)*1),"")))</f>
        <v/>
      </c>
      <c r="H18" t="str">
        <f>IF(G18="","",IF(G18="[FÓRMULA MANUAL]","",IFERROR(AVERAGEIFS(nNOTA,nNIA,G18,nCUENTA,1,nASIG,"Lenguaje Musical"),"")))</f>
        <v/>
      </c>
      <c r="I18" t="str">
        <f>IF(G18="","",IF(G18="[FÓRMULA MANUAL]","",IFERROR(AVERAGEIFS(nNOTA,nNIA,G18,nCUENTA,1,nASIG,"Orquesta/Banda/Conjunto"),"")))</f>
        <v/>
      </c>
      <c r="J18" t="str">
        <f>IF(G18="","",IF(G18="[FÓRMULA MANUAL]","",IFERROR(AVERAGEIFS(nNOTA,nNIA,G18,nCUENTA,1,nASIG,"Conjunto"),"")))</f>
        <v/>
      </c>
      <c r="K18" t="str">
        <f>IF(G18="","",IF(G18="[FÓRMULA MANUAL]","",IFERROR(SUMPRODUCT((nNIA=G18)*(nCUENTA=1)*(COUNTIF(CONFIG_ASIGNATURAS!$B$7:$B$27,nASIG)&gt;0)*(nNOTA))/SUMPRODUCT((nNIA=G18)*(nCUENTA=1)*(COUNTIF(CONFIG_ASIGNATURAS!$B$7:$B$27,nASIG)&gt;0)*1),"")))</f>
        <v/>
      </c>
      <c r="N18" t="str">
        <f>IF(M18="","",IF(M18="[FÓRMULA MANUAL]","",IFERROR(AVERAGEIFS(nNOTA,nNIA,M18,nCUENTA,1,nASIG,"Armonía"),"")))</f>
        <v/>
      </c>
      <c r="O18" t="str">
        <f>IF(M18="","",IF(M18="[FÓRMULA MANUAL]","",IFERROR(AVERAGEIFS(nNOTA,nNIA,M18,nCUENTA,1,nASIG,"Orquesta/Banda/Conjunto"),"")))</f>
        <v/>
      </c>
      <c r="P18" t="str">
        <f>IF(M18="","",IF(M18="[FÓRMULA MANUAL]","",IFERROR(AVERAGEIFS(nNOTA,nNIA,M18,nCUENTA,1,nASIG,"Música de Cámara"),"")))</f>
        <v/>
      </c>
      <c r="Q18" t="str">
        <f>IF(M18="","",IF(M18="[FÓRMULA MANUAL]","",IFERROR(SUMPRODUCT((nNIA=M18)*(nCUENTA=1)*(COUNTIF(CONFIG_ASIGNATURAS!$B$7:$B$27,nASIG)&gt;0)*(nNOTA))/SUMPRODUCT((nNIA=M18)*(nCUENTA=1)*(COUNTIF(CONFIG_ASIGNATURAS!$B$7:$B$27,nASIG)&gt;0)*1),"")))</f>
        <v/>
      </c>
      <c r="T18" t="str">
        <f>IF(S18="","",IF(S18="[FÓRMULA MANUAL]","",IFERROR(AVERAGEIFS(nNOTA,nNIA,S18,nCUENTA,1,nASIG,"Armonía"),"")))</f>
        <v/>
      </c>
      <c r="U18" t="str">
        <f>IF(S18="","",IF(S18="[FÓRMULA MANUAL]","",IFERROR(AVERAGEIFS(nNOTA,nNIA,S18,nCUENTA,1,nASIG,"Orquesta/Banda/Conjunto"),"")))</f>
        <v/>
      </c>
      <c r="V18" t="str">
        <f>IF(S18="","",IF(S18="[FÓRMULA MANUAL]","",IFERROR(AVERAGEIFS(nNOTA,nNIA,S18,nCUENTA,1,nASIG,"Música de Cámara"),"")))</f>
        <v/>
      </c>
      <c r="W18" t="str">
        <f>IF(S18="","",IF(S18="[FÓRMULA MANUAL]","",IFERROR(SUMPRODUCT((nNIA=S18)*(nCUENTA=1)*(COUNTIF(CONFIG_ASIGNATURAS!$B$7:$B$27,nASIG)&gt;0)*(nNOTA))/SUMPRODUCT((nNIA=S18)*(nCUENTA=1)*(COUNTIF(CONFIG_ASIGNATURAS!$B$7:$B$27,nASIG)&gt;0)*1),"")))</f>
        <v/>
      </c>
      <c r="Z18" t="str">
        <f>IF(Y18="","",IF(Y18="[FÓRMULA MANUAL]","",IFERROR(AVERAGEIFS(nNOTA,nNIA,Y18,nCUENTA,1,nASIG,"Análisis"),"")))</f>
        <v/>
      </c>
      <c r="AA18" t="str">
        <f>IF(Y18="","",IF(Y18="[FÓRMULA MANUAL]","",IFERROR(AVERAGEIFS(nNOTA,nNIA,Y18,nCUENTA,1,nASIG,"Orquesta/Banda/Conjunto"),"")))</f>
        <v/>
      </c>
      <c r="AB18" t="str">
        <f>IF(Y18="","",IF(Y18="[FÓRMULA MANUAL]","",IFERROR(AVERAGEIFS(nNOTA,nNIA,Y18,nCUENTA,1,nASIG,"Música de Cámara"),"")))</f>
        <v/>
      </c>
      <c r="AC18" t="str">
        <f>IF(Y18="","",IF(Y18="[FÓRMULA MANUAL]","",IFERROR(SUMPRODUCT((nNIA=Y18)*(nCUENTA=1)*(COUNTIF(CONFIG_ASIGNATURAS!$B$7:$B$27,nASIG)&gt;0)*(nNOTA))/SUMPRODUCT((nNIA=Y18)*(nCUENTA=1)*(COUNTIF(CONFIG_ASIGNATURAS!$B$7:$B$27,nASIG)&gt;0)*1),"")))</f>
        <v/>
      </c>
      <c r="AF18" t="str">
        <f>IF(AE18="","",IF(AE18="[FÓRMULA MANUAL]","",IFERROR(AVERAGEIFS(nNOTA,nNIA,AE18,nCUENTA,1,nASIG,"Análisis"),"")))</f>
        <v/>
      </c>
      <c r="AG18" t="str">
        <f>IF(AE18="","",IF(AE18="[FÓRMULA MANUAL]","",IFERROR(AVERAGEIFS(nNOTA,nNIA,AE18,nCUENTA,1,nASIG,"Orquesta/Banda/Conjunto"),"")))</f>
        <v/>
      </c>
      <c r="AH18" t="str">
        <f>IF(AE18="","",IF(AE18="[FÓRMULA MANUAL]","",IFERROR(AVERAGEIFS(nNOTA,nNIA,AE18,nCUENTA,1,nASIG,"Música de Cámara"),"")))</f>
        <v/>
      </c>
      <c r="AI18" t="str">
        <f>IF(AE18="","",IF(AE18="[FÓRMULA MANUAL]","",IFERROR(SUMPRODUCT((nNIA=AE18)*(nCUENTA=1)*(COUNTIF(CONFIG_ASIGNATURAS!$B$7:$B$27,nASIG)&gt;0)*(nNOTA))/SUMPRODUCT((nNIA=AE18)*(nCUENTA=1)*(COUNTIF(CONFIG_ASIGNATURAS!$B$7:$B$27,nASIG)&gt;0)*1),"")))</f>
        <v/>
      </c>
    </row>
    <row r="19" spans="2:35" x14ac:dyDescent="0.2">
      <c r="B19" t="str">
        <f>IF(A19="","",IF(A19="[FÓRMULA MANUAL]","",IFERROR(AVERAGEIFS(nNOTA,nNIA,A19,nCUENTA,1,nASIG,"Lenguaje Musical"),"")))</f>
        <v/>
      </c>
      <c r="C19" t="str">
        <f>IF(A19="","",IF(A19="[FÓRMULA MANUAL]","",IFERROR(AVERAGEIFS(nNOTA,nNIA,A19,nCUENTA,1,nASIG,"Orquesta/Banda/Conjunto"),"")))</f>
        <v/>
      </c>
      <c r="D19" t="str">
        <f>IF(A19="","",IF(A19="[FÓRMULA MANUAL]","",IFERROR(AVERAGEIFS(nNOTA,nNIA,A19,nCUENTA,1,nASIG,"Conjunto"),"")))</f>
        <v/>
      </c>
      <c r="E19" t="str">
        <f>IF(A19="","",IF(A19="[FÓRMULA MANUAL]","",IFERROR(SUMPRODUCT((nNIA=A19)*(nCUENTA=1)*(COUNTIF(CONFIG_ASIGNATURAS!$B$7:$B$27,nASIG)&gt;0)*(nNOTA))/SUMPRODUCT((nNIA=A19)*(nCUENTA=1)*(COUNTIF(CONFIG_ASIGNATURAS!$B$7:$B$27,nASIG)&gt;0)*1),"")))</f>
        <v/>
      </c>
      <c r="H19" t="str">
        <f>IF(G19="","",IF(G19="[FÓRMULA MANUAL]","",IFERROR(AVERAGEIFS(nNOTA,nNIA,G19,nCUENTA,1,nASIG,"Lenguaje Musical"),"")))</f>
        <v/>
      </c>
      <c r="I19" t="str">
        <f>IF(G19="","",IF(G19="[FÓRMULA MANUAL]","",IFERROR(AVERAGEIFS(nNOTA,nNIA,G19,nCUENTA,1,nASIG,"Orquesta/Banda/Conjunto"),"")))</f>
        <v/>
      </c>
      <c r="J19" t="str">
        <f>IF(G19="","",IF(G19="[FÓRMULA MANUAL]","",IFERROR(AVERAGEIFS(nNOTA,nNIA,G19,nCUENTA,1,nASIG,"Conjunto"),"")))</f>
        <v/>
      </c>
      <c r="K19" t="str">
        <f>IF(G19="","",IF(G19="[FÓRMULA MANUAL]","",IFERROR(SUMPRODUCT((nNIA=G19)*(nCUENTA=1)*(COUNTIF(CONFIG_ASIGNATURAS!$B$7:$B$27,nASIG)&gt;0)*(nNOTA))/SUMPRODUCT((nNIA=G19)*(nCUENTA=1)*(COUNTIF(CONFIG_ASIGNATURAS!$B$7:$B$27,nASIG)&gt;0)*1),"")))</f>
        <v/>
      </c>
      <c r="N19" t="str">
        <f>IF(M19="","",IF(M19="[FÓRMULA MANUAL]","",IFERROR(AVERAGEIFS(nNOTA,nNIA,M19,nCUENTA,1,nASIG,"Armonía"),"")))</f>
        <v/>
      </c>
      <c r="O19" t="str">
        <f>IF(M19="","",IF(M19="[FÓRMULA MANUAL]","",IFERROR(AVERAGEIFS(nNOTA,nNIA,M19,nCUENTA,1,nASIG,"Orquesta/Banda/Conjunto"),"")))</f>
        <v/>
      </c>
      <c r="P19" t="str">
        <f>IF(M19="","",IF(M19="[FÓRMULA MANUAL]","",IFERROR(AVERAGEIFS(nNOTA,nNIA,M19,nCUENTA,1,nASIG,"Música de Cámara"),"")))</f>
        <v/>
      </c>
      <c r="Q19" t="str">
        <f>IF(M19="","",IF(M19="[FÓRMULA MANUAL]","",IFERROR(SUMPRODUCT((nNIA=M19)*(nCUENTA=1)*(COUNTIF(CONFIG_ASIGNATURAS!$B$7:$B$27,nASIG)&gt;0)*(nNOTA))/SUMPRODUCT((nNIA=M19)*(nCUENTA=1)*(COUNTIF(CONFIG_ASIGNATURAS!$B$7:$B$27,nASIG)&gt;0)*1),"")))</f>
        <v/>
      </c>
      <c r="T19" t="str">
        <f>IF(S19="","",IF(S19="[FÓRMULA MANUAL]","",IFERROR(AVERAGEIFS(nNOTA,nNIA,S19,nCUENTA,1,nASIG,"Armonía"),"")))</f>
        <v/>
      </c>
      <c r="U19" t="str">
        <f>IF(S19="","",IF(S19="[FÓRMULA MANUAL]","",IFERROR(AVERAGEIFS(nNOTA,nNIA,S19,nCUENTA,1,nASIG,"Orquesta/Banda/Conjunto"),"")))</f>
        <v/>
      </c>
      <c r="V19" t="str">
        <f>IF(S19="","",IF(S19="[FÓRMULA MANUAL]","",IFERROR(AVERAGEIFS(nNOTA,nNIA,S19,nCUENTA,1,nASIG,"Música de Cámara"),"")))</f>
        <v/>
      </c>
      <c r="W19" t="str">
        <f>IF(S19="","",IF(S19="[FÓRMULA MANUAL]","",IFERROR(SUMPRODUCT((nNIA=S19)*(nCUENTA=1)*(COUNTIF(CONFIG_ASIGNATURAS!$B$7:$B$27,nASIG)&gt;0)*(nNOTA))/SUMPRODUCT((nNIA=S19)*(nCUENTA=1)*(COUNTIF(CONFIG_ASIGNATURAS!$B$7:$B$27,nASIG)&gt;0)*1),"")))</f>
        <v/>
      </c>
      <c r="Z19" t="str">
        <f>IF(Y19="","",IF(Y19="[FÓRMULA MANUAL]","",IFERROR(AVERAGEIFS(nNOTA,nNIA,Y19,nCUENTA,1,nASIG,"Análisis"),"")))</f>
        <v/>
      </c>
      <c r="AA19" t="str">
        <f>IF(Y19="","",IF(Y19="[FÓRMULA MANUAL]","",IFERROR(AVERAGEIFS(nNOTA,nNIA,Y19,nCUENTA,1,nASIG,"Orquesta/Banda/Conjunto"),"")))</f>
        <v/>
      </c>
      <c r="AB19" t="str">
        <f>IF(Y19="","",IF(Y19="[FÓRMULA MANUAL]","",IFERROR(AVERAGEIFS(nNOTA,nNIA,Y19,nCUENTA,1,nASIG,"Música de Cámara"),"")))</f>
        <v/>
      </c>
      <c r="AC19" t="str">
        <f>IF(Y19="","",IF(Y19="[FÓRMULA MANUAL]","",IFERROR(SUMPRODUCT((nNIA=Y19)*(nCUENTA=1)*(COUNTIF(CONFIG_ASIGNATURAS!$B$7:$B$27,nASIG)&gt;0)*(nNOTA))/SUMPRODUCT((nNIA=Y19)*(nCUENTA=1)*(COUNTIF(CONFIG_ASIGNATURAS!$B$7:$B$27,nASIG)&gt;0)*1),"")))</f>
        <v/>
      </c>
      <c r="AF19" t="str">
        <f>IF(AE19="","",IF(AE19="[FÓRMULA MANUAL]","",IFERROR(AVERAGEIFS(nNOTA,nNIA,AE19,nCUENTA,1,nASIG,"Análisis"),"")))</f>
        <v/>
      </c>
      <c r="AG19" t="str">
        <f>IF(AE19="","",IF(AE19="[FÓRMULA MANUAL]","",IFERROR(AVERAGEIFS(nNOTA,nNIA,AE19,nCUENTA,1,nASIG,"Orquesta/Banda/Conjunto"),"")))</f>
        <v/>
      </c>
      <c r="AH19" t="str">
        <f>IF(AE19="","",IF(AE19="[FÓRMULA MANUAL]","",IFERROR(AVERAGEIFS(nNOTA,nNIA,AE19,nCUENTA,1,nASIG,"Música de Cámara"),"")))</f>
        <v/>
      </c>
      <c r="AI19" t="str">
        <f>IF(AE19="","",IF(AE19="[FÓRMULA MANUAL]","",IFERROR(SUMPRODUCT((nNIA=AE19)*(nCUENTA=1)*(COUNTIF(CONFIG_ASIGNATURAS!$B$7:$B$27,nASIG)&gt;0)*(nNOTA))/SUMPRODUCT((nNIA=AE19)*(nCUENTA=1)*(COUNTIF(CONFIG_ASIGNATURAS!$B$7:$B$27,nASIG)&gt;0)*1),"")))</f>
        <v/>
      </c>
    </row>
    <row r="20" spans="2:35" x14ac:dyDescent="0.2">
      <c r="B20" t="str">
        <f>IF(A20="","",IF(A20="[FÓRMULA MANUAL]","",IFERROR(AVERAGEIFS(nNOTA,nNIA,A20,nCUENTA,1,nASIG,"Lenguaje Musical"),"")))</f>
        <v/>
      </c>
      <c r="C20" t="str">
        <f>IF(A20="","",IF(A20="[FÓRMULA MANUAL]","",IFERROR(AVERAGEIFS(nNOTA,nNIA,A20,nCUENTA,1,nASIG,"Orquesta/Banda/Conjunto"),"")))</f>
        <v/>
      </c>
      <c r="D20" t="str">
        <f>IF(A20="","",IF(A20="[FÓRMULA MANUAL]","",IFERROR(AVERAGEIFS(nNOTA,nNIA,A20,nCUENTA,1,nASIG,"Conjunto"),"")))</f>
        <v/>
      </c>
      <c r="E20" t="str">
        <f>IF(A20="","",IF(A20="[FÓRMULA MANUAL]","",IFERROR(SUMPRODUCT((nNIA=A20)*(nCUENTA=1)*(COUNTIF(CONFIG_ASIGNATURAS!$B$7:$B$27,nASIG)&gt;0)*(nNOTA))/SUMPRODUCT((nNIA=A20)*(nCUENTA=1)*(COUNTIF(CONFIG_ASIGNATURAS!$B$7:$B$27,nASIG)&gt;0)*1),"")))</f>
        <v/>
      </c>
      <c r="H20" t="str">
        <f>IF(G20="","",IF(G20="[FÓRMULA MANUAL]","",IFERROR(AVERAGEIFS(nNOTA,nNIA,G20,nCUENTA,1,nASIG,"Lenguaje Musical"),"")))</f>
        <v/>
      </c>
      <c r="I20" t="str">
        <f>IF(G20="","",IF(G20="[FÓRMULA MANUAL]","",IFERROR(AVERAGEIFS(nNOTA,nNIA,G20,nCUENTA,1,nASIG,"Orquesta/Banda/Conjunto"),"")))</f>
        <v/>
      </c>
      <c r="J20" t="str">
        <f>IF(G20="","",IF(G20="[FÓRMULA MANUAL]","",IFERROR(AVERAGEIFS(nNOTA,nNIA,G20,nCUENTA,1,nASIG,"Conjunto"),"")))</f>
        <v/>
      </c>
      <c r="K20" t="str">
        <f>IF(G20="","",IF(G20="[FÓRMULA MANUAL]","",IFERROR(SUMPRODUCT((nNIA=G20)*(nCUENTA=1)*(COUNTIF(CONFIG_ASIGNATURAS!$B$7:$B$27,nASIG)&gt;0)*(nNOTA))/SUMPRODUCT((nNIA=G20)*(nCUENTA=1)*(COUNTIF(CONFIG_ASIGNATURAS!$B$7:$B$27,nASIG)&gt;0)*1),"")))</f>
        <v/>
      </c>
      <c r="N20" t="str">
        <f>IF(M20="","",IF(M20="[FÓRMULA MANUAL]","",IFERROR(AVERAGEIFS(nNOTA,nNIA,M20,nCUENTA,1,nASIG,"Armonía"),"")))</f>
        <v/>
      </c>
      <c r="O20" t="str">
        <f>IF(M20="","",IF(M20="[FÓRMULA MANUAL]","",IFERROR(AVERAGEIFS(nNOTA,nNIA,M20,nCUENTA,1,nASIG,"Orquesta/Banda/Conjunto"),"")))</f>
        <v/>
      </c>
      <c r="P20" t="str">
        <f>IF(M20="","",IF(M20="[FÓRMULA MANUAL]","",IFERROR(AVERAGEIFS(nNOTA,nNIA,M20,nCUENTA,1,nASIG,"Música de Cámara"),"")))</f>
        <v/>
      </c>
      <c r="Q20" t="str">
        <f>IF(M20="","",IF(M20="[FÓRMULA MANUAL]","",IFERROR(SUMPRODUCT((nNIA=M20)*(nCUENTA=1)*(COUNTIF(CONFIG_ASIGNATURAS!$B$7:$B$27,nASIG)&gt;0)*(nNOTA))/SUMPRODUCT((nNIA=M20)*(nCUENTA=1)*(COUNTIF(CONFIG_ASIGNATURAS!$B$7:$B$27,nASIG)&gt;0)*1),"")))</f>
        <v/>
      </c>
      <c r="T20" t="str">
        <f>IF(S20="","",IF(S20="[FÓRMULA MANUAL]","",IFERROR(AVERAGEIFS(nNOTA,nNIA,S20,nCUENTA,1,nASIG,"Armonía"),"")))</f>
        <v/>
      </c>
      <c r="U20" t="str">
        <f>IF(S20="","",IF(S20="[FÓRMULA MANUAL]","",IFERROR(AVERAGEIFS(nNOTA,nNIA,S20,nCUENTA,1,nASIG,"Orquesta/Banda/Conjunto"),"")))</f>
        <v/>
      </c>
      <c r="V20" t="str">
        <f>IF(S20="","",IF(S20="[FÓRMULA MANUAL]","",IFERROR(AVERAGEIFS(nNOTA,nNIA,S20,nCUENTA,1,nASIG,"Música de Cámara"),"")))</f>
        <v/>
      </c>
      <c r="W20" t="str">
        <f>IF(S20="","",IF(S20="[FÓRMULA MANUAL]","",IFERROR(SUMPRODUCT((nNIA=S20)*(nCUENTA=1)*(COUNTIF(CONFIG_ASIGNATURAS!$B$7:$B$27,nASIG)&gt;0)*(nNOTA))/SUMPRODUCT((nNIA=S20)*(nCUENTA=1)*(COUNTIF(CONFIG_ASIGNATURAS!$B$7:$B$27,nASIG)&gt;0)*1),"")))</f>
        <v/>
      </c>
      <c r="Z20" t="str">
        <f>IF(Y20="","",IF(Y20="[FÓRMULA MANUAL]","",IFERROR(AVERAGEIFS(nNOTA,nNIA,Y20,nCUENTA,1,nASIG,"Análisis"),"")))</f>
        <v/>
      </c>
      <c r="AA20" t="str">
        <f>IF(Y20="","",IF(Y20="[FÓRMULA MANUAL]","",IFERROR(AVERAGEIFS(nNOTA,nNIA,Y20,nCUENTA,1,nASIG,"Orquesta/Banda/Conjunto"),"")))</f>
        <v/>
      </c>
      <c r="AB20" t="str">
        <f>IF(Y20="","",IF(Y20="[FÓRMULA MANUAL]","",IFERROR(AVERAGEIFS(nNOTA,nNIA,Y20,nCUENTA,1,nASIG,"Música de Cámara"),"")))</f>
        <v/>
      </c>
      <c r="AC20" t="str">
        <f>IF(Y20="","",IF(Y20="[FÓRMULA MANUAL]","",IFERROR(SUMPRODUCT((nNIA=Y20)*(nCUENTA=1)*(COUNTIF(CONFIG_ASIGNATURAS!$B$7:$B$27,nASIG)&gt;0)*(nNOTA))/SUMPRODUCT((nNIA=Y20)*(nCUENTA=1)*(COUNTIF(CONFIG_ASIGNATURAS!$B$7:$B$27,nASIG)&gt;0)*1),"")))</f>
        <v/>
      </c>
      <c r="AF20" t="str">
        <f>IF(AE20="","",IF(AE20="[FÓRMULA MANUAL]","",IFERROR(AVERAGEIFS(nNOTA,nNIA,AE20,nCUENTA,1,nASIG,"Análisis"),"")))</f>
        <v/>
      </c>
      <c r="AG20" t="str">
        <f>IF(AE20="","",IF(AE20="[FÓRMULA MANUAL]","",IFERROR(AVERAGEIFS(nNOTA,nNIA,AE20,nCUENTA,1,nASIG,"Orquesta/Banda/Conjunto"),"")))</f>
        <v/>
      </c>
      <c r="AH20" t="str">
        <f>IF(AE20="","",IF(AE20="[FÓRMULA MANUAL]","",IFERROR(AVERAGEIFS(nNOTA,nNIA,AE20,nCUENTA,1,nASIG,"Música de Cámara"),"")))</f>
        <v/>
      </c>
      <c r="AI20" t="str">
        <f>IF(AE20="","",IF(AE20="[FÓRMULA MANUAL]","",IFERROR(SUMPRODUCT((nNIA=AE20)*(nCUENTA=1)*(COUNTIF(CONFIG_ASIGNATURAS!$B$7:$B$27,nASIG)&gt;0)*(nNOTA))/SUMPRODUCT((nNIA=AE20)*(nCUENTA=1)*(COUNTIF(CONFIG_ASIGNATURAS!$B$7:$B$27,nASIG)&gt;0)*1),"")))</f>
        <v/>
      </c>
    </row>
    <row r="21" spans="2:35" x14ac:dyDescent="0.2">
      <c r="B21" t="str">
        <f>IF(A21="","",IF(A21="[FÓRMULA MANUAL]","",IFERROR(AVERAGEIFS(nNOTA,nNIA,A21,nCUENTA,1,nASIG,"Lenguaje Musical"),"")))</f>
        <v/>
      </c>
      <c r="C21" t="str">
        <f>IF(A21="","",IF(A21="[FÓRMULA MANUAL]","",IFERROR(AVERAGEIFS(nNOTA,nNIA,A21,nCUENTA,1,nASIG,"Orquesta/Banda/Conjunto"),"")))</f>
        <v/>
      </c>
      <c r="D21" t="str">
        <f>IF(A21="","",IF(A21="[FÓRMULA MANUAL]","",IFERROR(AVERAGEIFS(nNOTA,nNIA,A21,nCUENTA,1,nASIG,"Conjunto"),"")))</f>
        <v/>
      </c>
      <c r="E21" t="str">
        <f>IF(A21="","",IF(A21="[FÓRMULA MANUAL]","",IFERROR(SUMPRODUCT((nNIA=A21)*(nCUENTA=1)*(COUNTIF(CONFIG_ASIGNATURAS!$B$7:$B$27,nASIG)&gt;0)*(nNOTA))/SUMPRODUCT((nNIA=A21)*(nCUENTA=1)*(COUNTIF(CONFIG_ASIGNATURAS!$B$7:$B$27,nASIG)&gt;0)*1),"")))</f>
        <v/>
      </c>
      <c r="H21" t="str">
        <f>IF(G21="","",IF(G21="[FÓRMULA MANUAL]","",IFERROR(AVERAGEIFS(nNOTA,nNIA,G21,nCUENTA,1,nASIG,"Lenguaje Musical"),"")))</f>
        <v/>
      </c>
      <c r="I21" t="str">
        <f>IF(G21="","",IF(G21="[FÓRMULA MANUAL]","",IFERROR(AVERAGEIFS(nNOTA,nNIA,G21,nCUENTA,1,nASIG,"Orquesta/Banda/Conjunto"),"")))</f>
        <v/>
      </c>
      <c r="J21" t="str">
        <f>IF(G21="","",IF(G21="[FÓRMULA MANUAL]","",IFERROR(AVERAGEIFS(nNOTA,nNIA,G21,nCUENTA,1,nASIG,"Conjunto"),"")))</f>
        <v/>
      </c>
      <c r="K21" t="str">
        <f>IF(G21="","",IF(G21="[FÓRMULA MANUAL]","",IFERROR(SUMPRODUCT((nNIA=G21)*(nCUENTA=1)*(COUNTIF(CONFIG_ASIGNATURAS!$B$7:$B$27,nASIG)&gt;0)*(nNOTA))/SUMPRODUCT((nNIA=G21)*(nCUENTA=1)*(COUNTIF(CONFIG_ASIGNATURAS!$B$7:$B$27,nASIG)&gt;0)*1),"")))</f>
        <v/>
      </c>
      <c r="N21" t="str">
        <f>IF(M21="","",IF(M21="[FÓRMULA MANUAL]","",IFERROR(AVERAGEIFS(nNOTA,nNIA,M21,nCUENTA,1,nASIG,"Armonía"),"")))</f>
        <v/>
      </c>
      <c r="O21" t="str">
        <f>IF(M21="","",IF(M21="[FÓRMULA MANUAL]","",IFERROR(AVERAGEIFS(nNOTA,nNIA,M21,nCUENTA,1,nASIG,"Orquesta/Banda/Conjunto"),"")))</f>
        <v/>
      </c>
      <c r="P21" t="str">
        <f>IF(M21="","",IF(M21="[FÓRMULA MANUAL]","",IFERROR(AVERAGEIFS(nNOTA,nNIA,M21,nCUENTA,1,nASIG,"Música de Cámara"),"")))</f>
        <v/>
      </c>
      <c r="Q21" t="str">
        <f>IF(M21="","",IF(M21="[FÓRMULA MANUAL]","",IFERROR(SUMPRODUCT((nNIA=M21)*(nCUENTA=1)*(COUNTIF(CONFIG_ASIGNATURAS!$B$7:$B$27,nASIG)&gt;0)*(nNOTA))/SUMPRODUCT((nNIA=M21)*(nCUENTA=1)*(COUNTIF(CONFIG_ASIGNATURAS!$B$7:$B$27,nASIG)&gt;0)*1),"")))</f>
        <v/>
      </c>
      <c r="T21" t="str">
        <f>IF(S21="","",IF(S21="[FÓRMULA MANUAL]","",IFERROR(AVERAGEIFS(nNOTA,nNIA,S21,nCUENTA,1,nASIG,"Armonía"),"")))</f>
        <v/>
      </c>
      <c r="U21" t="str">
        <f>IF(S21="","",IF(S21="[FÓRMULA MANUAL]","",IFERROR(AVERAGEIFS(nNOTA,nNIA,S21,nCUENTA,1,nASIG,"Orquesta/Banda/Conjunto"),"")))</f>
        <v/>
      </c>
      <c r="V21" t="str">
        <f>IF(S21="","",IF(S21="[FÓRMULA MANUAL]","",IFERROR(AVERAGEIFS(nNOTA,nNIA,S21,nCUENTA,1,nASIG,"Música de Cámara"),"")))</f>
        <v/>
      </c>
      <c r="W21" t="str">
        <f>IF(S21="","",IF(S21="[FÓRMULA MANUAL]","",IFERROR(SUMPRODUCT((nNIA=S21)*(nCUENTA=1)*(COUNTIF(CONFIG_ASIGNATURAS!$B$7:$B$27,nASIG)&gt;0)*(nNOTA))/SUMPRODUCT((nNIA=S21)*(nCUENTA=1)*(COUNTIF(CONFIG_ASIGNATURAS!$B$7:$B$27,nASIG)&gt;0)*1),"")))</f>
        <v/>
      </c>
      <c r="Z21" t="str">
        <f>IF(Y21="","",IF(Y21="[FÓRMULA MANUAL]","",IFERROR(AVERAGEIFS(nNOTA,nNIA,Y21,nCUENTA,1,nASIG,"Análisis"),"")))</f>
        <v/>
      </c>
      <c r="AA21" t="str">
        <f>IF(Y21="","",IF(Y21="[FÓRMULA MANUAL]","",IFERROR(AVERAGEIFS(nNOTA,nNIA,Y21,nCUENTA,1,nASIG,"Orquesta/Banda/Conjunto"),"")))</f>
        <v/>
      </c>
      <c r="AB21" t="str">
        <f>IF(Y21="","",IF(Y21="[FÓRMULA MANUAL]","",IFERROR(AVERAGEIFS(nNOTA,nNIA,Y21,nCUENTA,1,nASIG,"Música de Cámara"),"")))</f>
        <v/>
      </c>
      <c r="AC21" t="str">
        <f>IF(Y21="","",IF(Y21="[FÓRMULA MANUAL]","",IFERROR(SUMPRODUCT((nNIA=Y21)*(nCUENTA=1)*(COUNTIF(CONFIG_ASIGNATURAS!$B$7:$B$27,nASIG)&gt;0)*(nNOTA))/SUMPRODUCT((nNIA=Y21)*(nCUENTA=1)*(COUNTIF(CONFIG_ASIGNATURAS!$B$7:$B$27,nASIG)&gt;0)*1),"")))</f>
        <v/>
      </c>
      <c r="AF21" t="str">
        <f>IF(AE21="","",IF(AE21="[FÓRMULA MANUAL]","",IFERROR(AVERAGEIFS(nNOTA,nNIA,AE21,nCUENTA,1,nASIG,"Análisis"),"")))</f>
        <v/>
      </c>
      <c r="AG21" t="str">
        <f>IF(AE21="","",IF(AE21="[FÓRMULA MANUAL]","",IFERROR(AVERAGEIFS(nNOTA,nNIA,AE21,nCUENTA,1,nASIG,"Orquesta/Banda/Conjunto"),"")))</f>
        <v/>
      </c>
      <c r="AH21" t="str">
        <f>IF(AE21="","",IF(AE21="[FÓRMULA MANUAL]","",IFERROR(AVERAGEIFS(nNOTA,nNIA,AE21,nCUENTA,1,nASIG,"Música de Cámara"),"")))</f>
        <v/>
      </c>
      <c r="AI21" t="str">
        <f>IF(AE21="","",IF(AE21="[FÓRMULA MANUAL]","",IFERROR(SUMPRODUCT((nNIA=AE21)*(nCUENTA=1)*(COUNTIF(CONFIG_ASIGNATURAS!$B$7:$B$27,nASIG)&gt;0)*(nNOTA))/SUMPRODUCT((nNIA=AE21)*(nCUENTA=1)*(COUNTIF(CONFIG_ASIGNATURAS!$B$7:$B$27,nASIG)&gt;0)*1),"")))</f>
        <v/>
      </c>
    </row>
    <row r="22" spans="2:35" x14ac:dyDescent="0.2">
      <c r="B22" t="str">
        <f>IF(A22="","",IF(A22="[FÓRMULA MANUAL]","",IFERROR(AVERAGEIFS(nNOTA,nNIA,A22,nCUENTA,1,nASIG,"Lenguaje Musical"),"")))</f>
        <v/>
      </c>
      <c r="C22" t="str">
        <f>IF(A22="","",IF(A22="[FÓRMULA MANUAL]","",IFERROR(AVERAGEIFS(nNOTA,nNIA,A22,nCUENTA,1,nASIG,"Orquesta/Banda/Conjunto"),"")))</f>
        <v/>
      </c>
      <c r="D22" t="str">
        <f>IF(A22="","",IF(A22="[FÓRMULA MANUAL]","",IFERROR(AVERAGEIFS(nNOTA,nNIA,A22,nCUENTA,1,nASIG,"Conjunto"),"")))</f>
        <v/>
      </c>
      <c r="E22" t="str">
        <f>IF(A22="","",IF(A22="[FÓRMULA MANUAL]","",IFERROR(SUMPRODUCT((nNIA=A22)*(nCUENTA=1)*(COUNTIF(CONFIG_ASIGNATURAS!$B$7:$B$27,nASIG)&gt;0)*(nNOTA))/SUMPRODUCT((nNIA=A22)*(nCUENTA=1)*(COUNTIF(CONFIG_ASIGNATURAS!$B$7:$B$27,nASIG)&gt;0)*1),"")))</f>
        <v/>
      </c>
      <c r="H22" t="str">
        <f>IF(G22="","",IF(G22="[FÓRMULA MANUAL]","",IFERROR(AVERAGEIFS(nNOTA,nNIA,G22,nCUENTA,1,nASIG,"Lenguaje Musical"),"")))</f>
        <v/>
      </c>
      <c r="I22" t="str">
        <f>IF(G22="","",IF(G22="[FÓRMULA MANUAL]","",IFERROR(AVERAGEIFS(nNOTA,nNIA,G22,nCUENTA,1,nASIG,"Orquesta/Banda/Conjunto"),"")))</f>
        <v/>
      </c>
      <c r="J22" t="str">
        <f>IF(G22="","",IF(G22="[FÓRMULA MANUAL]","",IFERROR(AVERAGEIFS(nNOTA,nNIA,G22,nCUENTA,1,nASIG,"Conjunto"),"")))</f>
        <v/>
      </c>
      <c r="K22" t="str">
        <f>IF(G22="","",IF(G22="[FÓRMULA MANUAL]","",IFERROR(SUMPRODUCT((nNIA=G22)*(nCUENTA=1)*(COUNTIF(CONFIG_ASIGNATURAS!$B$7:$B$27,nASIG)&gt;0)*(nNOTA))/SUMPRODUCT((nNIA=G22)*(nCUENTA=1)*(COUNTIF(CONFIG_ASIGNATURAS!$B$7:$B$27,nASIG)&gt;0)*1),"")))</f>
        <v/>
      </c>
      <c r="N22" t="str">
        <f>IF(M22="","",IF(M22="[FÓRMULA MANUAL]","",IFERROR(AVERAGEIFS(nNOTA,nNIA,M22,nCUENTA,1,nASIG,"Armonía"),"")))</f>
        <v/>
      </c>
      <c r="O22" t="str">
        <f>IF(M22="","",IF(M22="[FÓRMULA MANUAL]","",IFERROR(AVERAGEIFS(nNOTA,nNIA,M22,nCUENTA,1,nASIG,"Orquesta/Banda/Conjunto"),"")))</f>
        <v/>
      </c>
      <c r="P22" t="str">
        <f>IF(M22="","",IF(M22="[FÓRMULA MANUAL]","",IFERROR(AVERAGEIFS(nNOTA,nNIA,M22,nCUENTA,1,nASIG,"Música de Cámara"),"")))</f>
        <v/>
      </c>
      <c r="Q22" t="str">
        <f>IF(M22="","",IF(M22="[FÓRMULA MANUAL]","",IFERROR(SUMPRODUCT((nNIA=M22)*(nCUENTA=1)*(COUNTIF(CONFIG_ASIGNATURAS!$B$7:$B$27,nASIG)&gt;0)*(nNOTA))/SUMPRODUCT((nNIA=M22)*(nCUENTA=1)*(COUNTIF(CONFIG_ASIGNATURAS!$B$7:$B$27,nASIG)&gt;0)*1),"")))</f>
        <v/>
      </c>
      <c r="T22" t="str">
        <f>IF(S22="","",IF(S22="[FÓRMULA MANUAL]","",IFERROR(AVERAGEIFS(nNOTA,nNIA,S22,nCUENTA,1,nASIG,"Armonía"),"")))</f>
        <v/>
      </c>
      <c r="U22" t="str">
        <f>IF(S22="","",IF(S22="[FÓRMULA MANUAL]","",IFERROR(AVERAGEIFS(nNOTA,nNIA,S22,nCUENTA,1,nASIG,"Orquesta/Banda/Conjunto"),"")))</f>
        <v/>
      </c>
      <c r="V22" t="str">
        <f>IF(S22="","",IF(S22="[FÓRMULA MANUAL]","",IFERROR(AVERAGEIFS(nNOTA,nNIA,S22,nCUENTA,1,nASIG,"Música de Cámara"),"")))</f>
        <v/>
      </c>
      <c r="W22" t="str">
        <f>IF(S22="","",IF(S22="[FÓRMULA MANUAL]","",IFERROR(SUMPRODUCT((nNIA=S22)*(nCUENTA=1)*(COUNTIF(CONFIG_ASIGNATURAS!$B$7:$B$27,nASIG)&gt;0)*(nNOTA))/SUMPRODUCT((nNIA=S22)*(nCUENTA=1)*(COUNTIF(CONFIG_ASIGNATURAS!$B$7:$B$27,nASIG)&gt;0)*1),"")))</f>
        <v/>
      </c>
      <c r="Z22" t="str">
        <f>IF(Y22="","",IF(Y22="[FÓRMULA MANUAL]","",IFERROR(AVERAGEIFS(nNOTA,nNIA,Y22,nCUENTA,1,nASIG,"Análisis"),"")))</f>
        <v/>
      </c>
      <c r="AA22" t="str">
        <f>IF(Y22="","",IF(Y22="[FÓRMULA MANUAL]","",IFERROR(AVERAGEIFS(nNOTA,nNIA,Y22,nCUENTA,1,nASIG,"Orquesta/Banda/Conjunto"),"")))</f>
        <v/>
      </c>
      <c r="AB22" t="str">
        <f>IF(Y22="","",IF(Y22="[FÓRMULA MANUAL]","",IFERROR(AVERAGEIFS(nNOTA,nNIA,Y22,nCUENTA,1,nASIG,"Música de Cámara"),"")))</f>
        <v/>
      </c>
      <c r="AC22" t="str">
        <f>IF(Y22="","",IF(Y22="[FÓRMULA MANUAL]","",IFERROR(SUMPRODUCT((nNIA=Y22)*(nCUENTA=1)*(COUNTIF(CONFIG_ASIGNATURAS!$B$7:$B$27,nASIG)&gt;0)*(nNOTA))/SUMPRODUCT((nNIA=Y22)*(nCUENTA=1)*(COUNTIF(CONFIG_ASIGNATURAS!$B$7:$B$27,nASIG)&gt;0)*1),"")))</f>
        <v/>
      </c>
      <c r="AF22" t="str">
        <f>IF(AE22="","",IF(AE22="[FÓRMULA MANUAL]","",IFERROR(AVERAGEIFS(nNOTA,nNIA,AE22,nCUENTA,1,nASIG,"Análisis"),"")))</f>
        <v/>
      </c>
      <c r="AG22" t="str">
        <f>IF(AE22="","",IF(AE22="[FÓRMULA MANUAL]","",IFERROR(AVERAGEIFS(nNOTA,nNIA,AE22,nCUENTA,1,nASIG,"Orquesta/Banda/Conjunto"),"")))</f>
        <v/>
      </c>
      <c r="AH22" t="str">
        <f>IF(AE22="","",IF(AE22="[FÓRMULA MANUAL]","",IFERROR(AVERAGEIFS(nNOTA,nNIA,AE22,nCUENTA,1,nASIG,"Música de Cámara"),"")))</f>
        <v/>
      </c>
      <c r="AI22" t="str">
        <f>IF(AE22="","",IF(AE22="[FÓRMULA MANUAL]","",IFERROR(SUMPRODUCT((nNIA=AE22)*(nCUENTA=1)*(COUNTIF(CONFIG_ASIGNATURAS!$B$7:$B$27,nASIG)&gt;0)*(nNOTA))/SUMPRODUCT((nNIA=AE22)*(nCUENTA=1)*(COUNTIF(CONFIG_ASIGNATURAS!$B$7:$B$27,nASIG)&gt;0)*1),"")))</f>
        <v/>
      </c>
    </row>
    <row r="23" spans="2:35" x14ac:dyDescent="0.2">
      <c r="B23" t="str">
        <f>IF(A23="","",IF(A23="[FÓRMULA MANUAL]","",IFERROR(AVERAGEIFS(nNOTA,nNIA,A23,nCUENTA,1,nASIG,"Lenguaje Musical"),"")))</f>
        <v/>
      </c>
      <c r="C23" t="str">
        <f>IF(A23="","",IF(A23="[FÓRMULA MANUAL]","",IFERROR(AVERAGEIFS(nNOTA,nNIA,A23,nCUENTA,1,nASIG,"Orquesta/Banda/Conjunto"),"")))</f>
        <v/>
      </c>
      <c r="D23" t="str">
        <f>IF(A23="","",IF(A23="[FÓRMULA MANUAL]","",IFERROR(AVERAGEIFS(nNOTA,nNIA,A23,nCUENTA,1,nASIG,"Conjunto"),"")))</f>
        <v/>
      </c>
      <c r="E23" t="str">
        <f>IF(A23="","",IF(A23="[FÓRMULA MANUAL]","",IFERROR(SUMPRODUCT((nNIA=A23)*(nCUENTA=1)*(COUNTIF(CONFIG_ASIGNATURAS!$B$7:$B$27,nASIG)&gt;0)*(nNOTA))/SUMPRODUCT((nNIA=A23)*(nCUENTA=1)*(COUNTIF(CONFIG_ASIGNATURAS!$B$7:$B$27,nASIG)&gt;0)*1),"")))</f>
        <v/>
      </c>
      <c r="H23" t="str">
        <f>IF(G23="","",IF(G23="[FÓRMULA MANUAL]","",IFERROR(AVERAGEIFS(nNOTA,nNIA,G23,nCUENTA,1,nASIG,"Lenguaje Musical"),"")))</f>
        <v/>
      </c>
      <c r="I23" t="str">
        <f>IF(G23="","",IF(G23="[FÓRMULA MANUAL]","",IFERROR(AVERAGEIFS(nNOTA,nNIA,G23,nCUENTA,1,nASIG,"Orquesta/Banda/Conjunto"),"")))</f>
        <v/>
      </c>
      <c r="J23" t="str">
        <f>IF(G23="","",IF(G23="[FÓRMULA MANUAL]","",IFERROR(AVERAGEIFS(nNOTA,nNIA,G23,nCUENTA,1,nASIG,"Conjunto"),"")))</f>
        <v/>
      </c>
      <c r="K23" t="str">
        <f>IF(G23="","",IF(G23="[FÓRMULA MANUAL]","",IFERROR(SUMPRODUCT((nNIA=G23)*(nCUENTA=1)*(COUNTIF(CONFIG_ASIGNATURAS!$B$7:$B$27,nASIG)&gt;0)*(nNOTA))/SUMPRODUCT((nNIA=G23)*(nCUENTA=1)*(COUNTIF(CONFIG_ASIGNATURAS!$B$7:$B$27,nASIG)&gt;0)*1),"")))</f>
        <v/>
      </c>
      <c r="N23" t="str">
        <f>IF(M23="","",IF(M23="[FÓRMULA MANUAL]","",IFERROR(AVERAGEIFS(nNOTA,nNIA,M23,nCUENTA,1,nASIG,"Armonía"),"")))</f>
        <v/>
      </c>
      <c r="O23" t="str">
        <f>IF(M23="","",IF(M23="[FÓRMULA MANUAL]","",IFERROR(AVERAGEIFS(nNOTA,nNIA,M23,nCUENTA,1,nASIG,"Orquesta/Banda/Conjunto"),"")))</f>
        <v/>
      </c>
      <c r="P23" t="str">
        <f>IF(M23="","",IF(M23="[FÓRMULA MANUAL]","",IFERROR(AVERAGEIFS(nNOTA,nNIA,M23,nCUENTA,1,nASIG,"Música de Cámara"),"")))</f>
        <v/>
      </c>
      <c r="Q23" t="str">
        <f>IF(M23="","",IF(M23="[FÓRMULA MANUAL]","",IFERROR(SUMPRODUCT((nNIA=M23)*(nCUENTA=1)*(COUNTIF(CONFIG_ASIGNATURAS!$B$7:$B$27,nASIG)&gt;0)*(nNOTA))/SUMPRODUCT((nNIA=M23)*(nCUENTA=1)*(COUNTIF(CONFIG_ASIGNATURAS!$B$7:$B$27,nASIG)&gt;0)*1),"")))</f>
        <v/>
      </c>
      <c r="T23" t="str">
        <f>IF(S23="","",IF(S23="[FÓRMULA MANUAL]","",IFERROR(AVERAGEIFS(nNOTA,nNIA,S23,nCUENTA,1,nASIG,"Armonía"),"")))</f>
        <v/>
      </c>
      <c r="U23" t="str">
        <f>IF(S23="","",IF(S23="[FÓRMULA MANUAL]","",IFERROR(AVERAGEIFS(nNOTA,nNIA,S23,nCUENTA,1,nASIG,"Orquesta/Banda/Conjunto"),"")))</f>
        <v/>
      </c>
      <c r="V23" t="str">
        <f>IF(S23="","",IF(S23="[FÓRMULA MANUAL]","",IFERROR(AVERAGEIFS(nNOTA,nNIA,S23,nCUENTA,1,nASIG,"Música de Cámara"),"")))</f>
        <v/>
      </c>
      <c r="W23" t="str">
        <f>IF(S23="","",IF(S23="[FÓRMULA MANUAL]","",IFERROR(SUMPRODUCT((nNIA=S23)*(nCUENTA=1)*(COUNTIF(CONFIG_ASIGNATURAS!$B$7:$B$27,nASIG)&gt;0)*(nNOTA))/SUMPRODUCT((nNIA=S23)*(nCUENTA=1)*(COUNTIF(CONFIG_ASIGNATURAS!$B$7:$B$27,nASIG)&gt;0)*1),"")))</f>
        <v/>
      </c>
      <c r="Z23" t="str">
        <f>IF(Y23="","",IF(Y23="[FÓRMULA MANUAL]","",IFERROR(AVERAGEIFS(nNOTA,nNIA,Y23,nCUENTA,1,nASIG,"Análisis"),"")))</f>
        <v/>
      </c>
      <c r="AA23" t="str">
        <f>IF(Y23="","",IF(Y23="[FÓRMULA MANUAL]","",IFERROR(AVERAGEIFS(nNOTA,nNIA,Y23,nCUENTA,1,nASIG,"Orquesta/Banda/Conjunto"),"")))</f>
        <v/>
      </c>
      <c r="AB23" t="str">
        <f>IF(Y23="","",IF(Y23="[FÓRMULA MANUAL]","",IFERROR(AVERAGEIFS(nNOTA,nNIA,Y23,nCUENTA,1,nASIG,"Música de Cámara"),"")))</f>
        <v/>
      </c>
      <c r="AC23" t="str">
        <f>IF(Y23="","",IF(Y23="[FÓRMULA MANUAL]","",IFERROR(SUMPRODUCT((nNIA=Y23)*(nCUENTA=1)*(COUNTIF(CONFIG_ASIGNATURAS!$B$7:$B$27,nASIG)&gt;0)*(nNOTA))/SUMPRODUCT((nNIA=Y23)*(nCUENTA=1)*(COUNTIF(CONFIG_ASIGNATURAS!$B$7:$B$27,nASIG)&gt;0)*1),"")))</f>
        <v/>
      </c>
      <c r="AF23" t="str">
        <f>IF(AE23="","",IF(AE23="[FÓRMULA MANUAL]","",IFERROR(AVERAGEIFS(nNOTA,nNIA,AE23,nCUENTA,1,nASIG,"Análisis"),"")))</f>
        <v/>
      </c>
      <c r="AG23" t="str">
        <f>IF(AE23="","",IF(AE23="[FÓRMULA MANUAL]","",IFERROR(AVERAGEIFS(nNOTA,nNIA,AE23,nCUENTA,1,nASIG,"Orquesta/Banda/Conjunto"),"")))</f>
        <v/>
      </c>
      <c r="AH23" t="str">
        <f>IF(AE23="","",IF(AE23="[FÓRMULA MANUAL]","",IFERROR(AVERAGEIFS(nNOTA,nNIA,AE23,nCUENTA,1,nASIG,"Música de Cámara"),"")))</f>
        <v/>
      </c>
      <c r="AI23" t="str">
        <f>IF(AE23="","",IF(AE23="[FÓRMULA MANUAL]","",IFERROR(SUMPRODUCT((nNIA=AE23)*(nCUENTA=1)*(COUNTIF(CONFIG_ASIGNATURAS!$B$7:$B$27,nASIG)&gt;0)*(nNOTA))/SUMPRODUCT((nNIA=AE23)*(nCUENTA=1)*(COUNTIF(CONFIG_ASIGNATURAS!$B$7:$B$27,nASIG)&gt;0)*1),"")))</f>
        <v/>
      </c>
    </row>
    <row r="24" spans="2:35" x14ac:dyDescent="0.2">
      <c r="B24" t="str">
        <f>IF(A24="","",IF(A24="[FÓRMULA MANUAL]","",IFERROR(AVERAGEIFS(nNOTA,nNIA,A24,nCUENTA,1,nASIG,"Lenguaje Musical"),"")))</f>
        <v/>
      </c>
      <c r="C24" t="str">
        <f>IF(A24="","",IF(A24="[FÓRMULA MANUAL]","",IFERROR(AVERAGEIFS(nNOTA,nNIA,A24,nCUENTA,1,nASIG,"Orquesta/Banda/Conjunto"),"")))</f>
        <v/>
      </c>
      <c r="D24" t="str">
        <f>IF(A24="","",IF(A24="[FÓRMULA MANUAL]","",IFERROR(AVERAGEIFS(nNOTA,nNIA,A24,nCUENTA,1,nASIG,"Conjunto"),"")))</f>
        <v/>
      </c>
      <c r="E24" t="str">
        <f>IF(A24="","",IF(A24="[FÓRMULA MANUAL]","",IFERROR(SUMPRODUCT((nNIA=A24)*(nCUENTA=1)*(COUNTIF(CONFIG_ASIGNATURAS!$B$7:$B$27,nASIG)&gt;0)*(nNOTA))/SUMPRODUCT((nNIA=A24)*(nCUENTA=1)*(COUNTIF(CONFIG_ASIGNATURAS!$B$7:$B$27,nASIG)&gt;0)*1),"")))</f>
        <v/>
      </c>
      <c r="H24" t="str">
        <f>IF(G24="","",IF(G24="[FÓRMULA MANUAL]","",IFERROR(AVERAGEIFS(nNOTA,nNIA,G24,nCUENTA,1,nASIG,"Lenguaje Musical"),"")))</f>
        <v/>
      </c>
      <c r="I24" t="str">
        <f>IF(G24="","",IF(G24="[FÓRMULA MANUAL]","",IFERROR(AVERAGEIFS(nNOTA,nNIA,G24,nCUENTA,1,nASIG,"Orquesta/Banda/Conjunto"),"")))</f>
        <v/>
      </c>
      <c r="J24" t="str">
        <f>IF(G24="","",IF(G24="[FÓRMULA MANUAL]","",IFERROR(AVERAGEIFS(nNOTA,nNIA,G24,nCUENTA,1,nASIG,"Conjunto"),"")))</f>
        <v/>
      </c>
      <c r="K24" t="str">
        <f>IF(G24="","",IF(G24="[FÓRMULA MANUAL]","",IFERROR(SUMPRODUCT((nNIA=G24)*(nCUENTA=1)*(COUNTIF(CONFIG_ASIGNATURAS!$B$7:$B$27,nASIG)&gt;0)*(nNOTA))/SUMPRODUCT((nNIA=G24)*(nCUENTA=1)*(COUNTIF(CONFIG_ASIGNATURAS!$B$7:$B$27,nASIG)&gt;0)*1),"")))</f>
        <v/>
      </c>
      <c r="N24" t="str">
        <f>IF(M24="","",IF(M24="[FÓRMULA MANUAL]","",IFERROR(AVERAGEIFS(nNOTA,nNIA,M24,nCUENTA,1,nASIG,"Armonía"),"")))</f>
        <v/>
      </c>
      <c r="O24" t="str">
        <f>IF(M24="","",IF(M24="[FÓRMULA MANUAL]","",IFERROR(AVERAGEIFS(nNOTA,nNIA,M24,nCUENTA,1,nASIG,"Orquesta/Banda/Conjunto"),"")))</f>
        <v/>
      </c>
      <c r="P24" t="str">
        <f>IF(M24="","",IF(M24="[FÓRMULA MANUAL]","",IFERROR(AVERAGEIFS(nNOTA,nNIA,M24,nCUENTA,1,nASIG,"Música de Cámara"),"")))</f>
        <v/>
      </c>
      <c r="Q24" t="str">
        <f>IF(M24="","",IF(M24="[FÓRMULA MANUAL]","",IFERROR(SUMPRODUCT((nNIA=M24)*(nCUENTA=1)*(COUNTIF(CONFIG_ASIGNATURAS!$B$7:$B$27,nASIG)&gt;0)*(nNOTA))/SUMPRODUCT((nNIA=M24)*(nCUENTA=1)*(COUNTIF(CONFIG_ASIGNATURAS!$B$7:$B$27,nASIG)&gt;0)*1),"")))</f>
        <v/>
      </c>
      <c r="T24" t="str">
        <f>IF(S24="","",IF(S24="[FÓRMULA MANUAL]","",IFERROR(AVERAGEIFS(nNOTA,nNIA,S24,nCUENTA,1,nASIG,"Armonía"),"")))</f>
        <v/>
      </c>
      <c r="U24" t="str">
        <f>IF(S24="","",IF(S24="[FÓRMULA MANUAL]","",IFERROR(AVERAGEIFS(nNOTA,nNIA,S24,nCUENTA,1,nASIG,"Orquesta/Banda/Conjunto"),"")))</f>
        <v/>
      </c>
      <c r="V24" t="str">
        <f>IF(S24="","",IF(S24="[FÓRMULA MANUAL]","",IFERROR(AVERAGEIFS(nNOTA,nNIA,S24,nCUENTA,1,nASIG,"Música de Cámara"),"")))</f>
        <v/>
      </c>
      <c r="W24" t="str">
        <f>IF(S24="","",IF(S24="[FÓRMULA MANUAL]","",IFERROR(SUMPRODUCT((nNIA=S24)*(nCUENTA=1)*(COUNTIF(CONFIG_ASIGNATURAS!$B$7:$B$27,nASIG)&gt;0)*(nNOTA))/SUMPRODUCT((nNIA=S24)*(nCUENTA=1)*(COUNTIF(CONFIG_ASIGNATURAS!$B$7:$B$27,nASIG)&gt;0)*1),"")))</f>
        <v/>
      </c>
      <c r="Z24" t="str">
        <f>IF(Y24="","",IF(Y24="[FÓRMULA MANUAL]","",IFERROR(AVERAGEIFS(nNOTA,nNIA,Y24,nCUENTA,1,nASIG,"Análisis"),"")))</f>
        <v/>
      </c>
      <c r="AA24" t="str">
        <f>IF(Y24="","",IF(Y24="[FÓRMULA MANUAL]","",IFERROR(AVERAGEIFS(nNOTA,nNIA,Y24,nCUENTA,1,nASIG,"Orquesta/Banda/Conjunto"),"")))</f>
        <v/>
      </c>
      <c r="AB24" t="str">
        <f>IF(Y24="","",IF(Y24="[FÓRMULA MANUAL]","",IFERROR(AVERAGEIFS(nNOTA,nNIA,Y24,nCUENTA,1,nASIG,"Música de Cámara"),"")))</f>
        <v/>
      </c>
      <c r="AC24" t="str">
        <f>IF(Y24="","",IF(Y24="[FÓRMULA MANUAL]","",IFERROR(SUMPRODUCT((nNIA=Y24)*(nCUENTA=1)*(COUNTIF(CONFIG_ASIGNATURAS!$B$7:$B$27,nASIG)&gt;0)*(nNOTA))/SUMPRODUCT((nNIA=Y24)*(nCUENTA=1)*(COUNTIF(CONFIG_ASIGNATURAS!$B$7:$B$27,nASIG)&gt;0)*1),"")))</f>
        <v/>
      </c>
      <c r="AF24" t="str">
        <f>IF(AE24="","",IF(AE24="[FÓRMULA MANUAL]","",IFERROR(AVERAGEIFS(nNOTA,nNIA,AE24,nCUENTA,1,nASIG,"Análisis"),"")))</f>
        <v/>
      </c>
      <c r="AG24" t="str">
        <f>IF(AE24="","",IF(AE24="[FÓRMULA MANUAL]","",IFERROR(AVERAGEIFS(nNOTA,nNIA,AE24,nCUENTA,1,nASIG,"Orquesta/Banda/Conjunto"),"")))</f>
        <v/>
      </c>
      <c r="AH24" t="str">
        <f>IF(AE24="","",IF(AE24="[FÓRMULA MANUAL]","",IFERROR(AVERAGEIFS(nNOTA,nNIA,AE24,nCUENTA,1,nASIG,"Música de Cámara"),"")))</f>
        <v/>
      </c>
      <c r="AI24" t="str">
        <f>IF(AE24="","",IF(AE24="[FÓRMULA MANUAL]","",IFERROR(SUMPRODUCT((nNIA=AE24)*(nCUENTA=1)*(COUNTIF(CONFIG_ASIGNATURAS!$B$7:$B$27,nASIG)&gt;0)*(nNOTA))/SUMPRODUCT((nNIA=AE24)*(nCUENTA=1)*(COUNTIF(CONFIG_ASIGNATURAS!$B$7:$B$27,nASIG)&gt;0)*1),"")))</f>
        <v/>
      </c>
    </row>
    <row r="25" spans="2:35" x14ac:dyDescent="0.2">
      <c r="B25" t="str">
        <f>IF(A25="","",IF(A25="[FÓRMULA MANUAL]","",IFERROR(AVERAGEIFS(nNOTA,nNIA,A25,nCUENTA,1,nASIG,"Lenguaje Musical"),"")))</f>
        <v/>
      </c>
      <c r="C25" t="str">
        <f>IF(A25="","",IF(A25="[FÓRMULA MANUAL]","",IFERROR(AVERAGEIFS(nNOTA,nNIA,A25,nCUENTA,1,nASIG,"Orquesta/Banda/Conjunto"),"")))</f>
        <v/>
      </c>
      <c r="D25" t="str">
        <f>IF(A25="","",IF(A25="[FÓRMULA MANUAL]","",IFERROR(AVERAGEIFS(nNOTA,nNIA,A25,nCUENTA,1,nASIG,"Conjunto"),"")))</f>
        <v/>
      </c>
      <c r="E25" t="str">
        <f>IF(A25="","",IF(A25="[FÓRMULA MANUAL]","",IFERROR(SUMPRODUCT((nNIA=A25)*(nCUENTA=1)*(COUNTIF(CONFIG_ASIGNATURAS!$B$7:$B$27,nASIG)&gt;0)*(nNOTA))/SUMPRODUCT((nNIA=A25)*(nCUENTA=1)*(COUNTIF(CONFIG_ASIGNATURAS!$B$7:$B$27,nASIG)&gt;0)*1),"")))</f>
        <v/>
      </c>
      <c r="H25" t="str">
        <f>IF(G25="","",IF(G25="[FÓRMULA MANUAL]","",IFERROR(AVERAGEIFS(nNOTA,nNIA,G25,nCUENTA,1,nASIG,"Lenguaje Musical"),"")))</f>
        <v/>
      </c>
      <c r="I25" t="str">
        <f>IF(G25="","",IF(G25="[FÓRMULA MANUAL]","",IFERROR(AVERAGEIFS(nNOTA,nNIA,G25,nCUENTA,1,nASIG,"Orquesta/Banda/Conjunto"),"")))</f>
        <v/>
      </c>
      <c r="J25" t="str">
        <f>IF(G25="","",IF(G25="[FÓRMULA MANUAL]","",IFERROR(AVERAGEIFS(nNOTA,nNIA,G25,nCUENTA,1,nASIG,"Conjunto"),"")))</f>
        <v/>
      </c>
      <c r="K25" t="str">
        <f>IF(G25="","",IF(G25="[FÓRMULA MANUAL]","",IFERROR(SUMPRODUCT((nNIA=G25)*(nCUENTA=1)*(COUNTIF(CONFIG_ASIGNATURAS!$B$7:$B$27,nASIG)&gt;0)*(nNOTA))/SUMPRODUCT((nNIA=G25)*(nCUENTA=1)*(COUNTIF(CONFIG_ASIGNATURAS!$B$7:$B$27,nASIG)&gt;0)*1),"")))</f>
        <v/>
      </c>
      <c r="N25" t="str">
        <f>IF(M25="","",IF(M25="[FÓRMULA MANUAL]","",IFERROR(AVERAGEIFS(nNOTA,nNIA,M25,nCUENTA,1,nASIG,"Armonía"),"")))</f>
        <v/>
      </c>
      <c r="O25" t="str">
        <f>IF(M25="","",IF(M25="[FÓRMULA MANUAL]","",IFERROR(AVERAGEIFS(nNOTA,nNIA,M25,nCUENTA,1,nASIG,"Orquesta/Banda/Conjunto"),"")))</f>
        <v/>
      </c>
      <c r="P25" t="str">
        <f>IF(M25="","",IF(M25="[FÓRMULA MANUAL]","",IFERROR(AVERAGEIFS(nNOTA,nNIA,M25,nCUENTA,1,nASIG,"Música de Cámara"),"")))</f>
        <v/>
      </c>
      <c r="Q25" t="str">
        <f>IF(M25="","",IF(M25="[FÓRMULA MANUAL]","",IFERROR(SUMPRODUCT((nNIA=M25)*(nCUENTA=1)*(COUNTIF(CONFIG_ASIGNATURAS!$B$7:$B$27,nASIG)&gt;0)*(nNOTA))/SUMPRODUCT((nNIA=M25)*(nCUENTA=1)*(COUNTIF(CONFIG_ASIGNATURAS!$B$7:$B$27,nASIG)&gt;0)*1),"")))</f>
        <v/>
      </c>
      <c r="T25" t="str">
        <f>IF(S25="","",IF(S25="[FÓRMULA MANUAL]","",IFERROR(AVERAGEIFS(nNOTA,nNIA,S25,nCUENTA,1,nASIG,"Armonía"),"")))</f>
        <v/>
      </c>
      <c r="U25" t="str">
        <f>IF(S25="","",IF(S25="[FÓRMULA MANUAL]","",IFERROR(AVERAGEIFS(nNOTA,nNIA,S25,nCUENTA,1,nASIG,"Orquesta/Banda/Conjunto"),"")))</f>
        <v/>
      </c>
      <c r="V25" t="str">
        <f>IF(S25="","",IF(S25="[FÓRMULA MANUAL]","",IFERROR(AVERAGEIFS(nNOTA,nNIA,S25,nCUENTA,1,nASIG,"Música de Cámara"),"")))</f>
        <v/>
      </c>
      <c r="W25" t="str">
        <f>IF(S25="","",IF(S25="[FÓRMULA MANUAL]","",IFERROR(SUMPRODUCT((nNIA=S25)*(nCUENTA=1)*(COUNTIF(CONFIG_ASIGNATURAS!$B$7:$B$27,nASIG)&gt;0)*(nNOTA))/SUMPRODUCT((nNIA=S25)*(nCUENTA=1)*(COUNTIF(CONFIG_ASIGNATURAS!$B$7:$B$27,nASIG)&gt;0)*1),"")))</f>
        <v/>
      </c>
      <c r="Z25" t="str">
        <f>IF(Y25="","",IF(Y25="[FÓRMULA MANUAL]","",IFERROR(AVERAGEIFS(nNOTA,nNIA,Y25,nCUENTA,1,nASIG,"Análisis"),"")))</f>
        <v/>
      </c>
      <c r="AA25" t="str">
        <f>IF(Y25="","",IF(Y25="[FÓRMULA MANUAL]","",IFERROR(AVERAGEIFS(nNOTA,nNIA,Y25,nCUENTA,1,nASIG,"Orquesta/Banda/Conjunto"),"")))</f>
        <v/>
      </c>
      <c r="AB25" t="str">
        <f>IF(Y25="","",IF(Y25="[FÓRMULA MANUAL]","",IFERROR(AVERAGEIFS(nNOTA,nNIA,Y25,nCUENTA,1,nASIG,"Música de Cámara"),"")))</f>
        <v/>
      </c>
      <c r="AC25" t="str">
        <f>IF(Y25="","",IF(Y25="[FÓRMULA MANUAL]","",IFERROR(SUMPRODUCT((nNIA=Y25)*(nCUENTA=1)*(COUNTIF(CONFIG_ASIGNATURAS!$B$7:$B$27,nASIG)&gt;0)*(nNOTA))/SUMPRODUCT((nNIA=Y25)*(nCUENTA=1)*(COUNTIF(CONFIG_ASIGNATURAS!$B$7:$B$27,nASIG)&gt;0)*1),"")))</f>
        <v/>
      </c>
      <c r="AF25" t="str">
        <f>IF(AE25="","",IF(AE25="[FÓRMULA MANUAL]","",IFERROR(AVERAGEIFS(nNOTA,nNIA,AE25,nCUENTA,1,nASIG,"Análisis"),"")))</f>
        <v/>
      </c>
      <c r="AG25" t="str">
        <f>IF(AE25="","",IF(AE25="[FÓRMULA MANUAL]","",IFERROR(AVERAGEIFS(nNOTA,nNIA,AE25,nCUENTA,1,nASIG,"Orquesta/Banda/Conjunto"),"")))</f>
        <v/>
      </c>
      <c r="AH25" t="str">
        <f>IF(AE25="","",IF(AE25="[FÓRMULA MANUAL]","",IFERROR(AVERAGEIFS(nNOTA,nNIA,AE25,nCUENTA,1,nASIG,"Música de Cámara"),"")))</f>
        <v/>
      </c>
      <c r="AI25" t="str">
        <f>IF(AE25="","",IF(AE25="[FÓRMULA MANUAL]","",IFERROR(SUMPRODUCT((nNIA=AE25)*(nCUENTA=1)*(COUNTIF(CONFIG_ASIGNATURAS!$B$7:$B$27,nASIG)&gt;0)*(nNOTA))/SUMPRODUCT((nNIA=AE25)*(nCUENTA=1)*(COUNTIF(CONFIG_ASIGNATURAS!$B$7:$B$27,nASIG)&gt;0)*1),"")))</f>
        <v/>
      </c>
    </row>
    <row r="26" spans="2:35" x14ac:dyDescent="0.2">
      <c r="B26" t="str">
        <f>IF(A26="","",IF(A26="[FÓRMULA MANUAL]","",IFERROR(AVERAGEIFS(nNOTA,nNIA,A26,nCUENTA,1,nASIG,"Lenguaje Musical"),"")))</f>
        <v/>
      </c>
      <c r="C26" t="str">
        <f>IF(A26="","",IF(A26="[FÓRMULA MANUAL]","",IFERROR(AVERAGEIFS(nNOTA,nNIA,A26,nCUENTA,1,nASIG,"Orquesta/Banda/Conjunto"),"")))</f>
        <v/>
      </c>
      <c r="D26" t="str">
        <f>IF(A26="","",IF(A26="[FÓRMULA MANUAL]","",IFERROR(AVERAGEIFS(nNOTA,nNIA,A26,nCUENTA,1,nASIG,"Conjunto"),"")))</f>
        <v/>
      </c>
      <c r="E26" t="str">
        <f>IF(A26="","",IF(A26="[FÓRMULA MANUAL]","",IFERROR(SUMPRODUCT((nNIA=A26)*(nCUENTA=1)*(COUNTIF(CONFIG_ASIGNATURAS!$B$7:$B$27,nASIG)&gt;0)*(nNOTA))/SUMPRODUCT((nNIA=A26)*(nCUENTA=1)*(COUNTIF(CONFIG_ASIGNATURAS!$B$7:$B$27,nASIG)&gt;0)*1),"")))</f>
        <v/>
      </c>
      <c r="H26" t="str">
        <f>IF(G26="","",IF(G26="[FÓRMULA MANUAL]","",IFERROR(AVERAGEIFS(nNOTA,nNIA,G26,nCUENTA,1,nASIG,"Lenguaje Musical"),"")))</f>
        <v/>
      </c>
      <c r="I26" t="str">
        <f>IF(G26="","",IF(G26="[FÓRMULA MANUAL]","",IFERROR(AVERAGEIFS(nNOTA,nNIA,G26,nCUENTA,1,nASIG,"Orquesta/Banda/Conjunto"),"")))</f>
        <v/>
      </c>
      <c r="J26" t="str">
        <f>IF(G26="","",IF(G26="[FÓRMULA MANUAL]","",IFERROR(AVERAGEIFS(nNOTA,nNIA,G26,nCUENTA,1,nASIG,"Conjunto"),"")))</f>
        <v/>
      </c>
      <c r="K26" t="str">
        <f>IF(G26="","",IF(G26="[FÓRMULA MANUAL]","",IFERROR(SUMPRODUCT((nNIA=G26)*(nCUENTA=1)*(COUNTIF(CONFIG_ASIGNATURAS!$B$7:$B$27,nASIG)&gt;0)*(nNOTA))/SUMPRODUCT((nNIA=G26)*(nCUENTA=1)*(COUNTIF(CONFIG_ASIGNATURAS!$B$7:$B$27,nASIG)&gt;0)*1),"")))</f>
        <v/>
      </c>
      <c r="N26" t="str">
        <f>IF(M26="","",IF(M26="[FÓRMULA MANUAL]","",IFERROR(AVERAGEIFS(nNOTA,nNIA,M26,nCUENTA,1,nASIG,"Armonía"),"")))</f>
        <v/>
      </c>
      <c r="O26" t="str">
        <f>IF(M26="","",IF(M26="[FÓRMULA MANUAL]","",IFERROR(AVERAGEIFS(nNOTA,nNIA,M26,nCUENTA,1,nASIG,"Orquesta/Banda/Conjunto"),"")))</f>
        <v/>
      </c>
      <c r="P26" t="str">
        <f>IF(M26="","",IF(M26="[FÓRMULA MANUAL]","",IFERROR(AVERAGEIFS(nNOTA,nNIA,M26,nCUENTA,1,nASIG,"Música de Cámara"),"")))</f>
        <v/>
      </c>
      <c r="Q26" t="str">
        <f>IF(M26="","",IF(M26="[FÓRMULA MANUAL]","",IFERROR(SUMPRODUCT((nNIA=M26)*(nCUENTA=1)*(COUNTIF(CONFIG_ASIGNATURAS!$B$7:$B$27,nASIG)&gt;0)*(nNOTA))/SUMPRODUCT((nNIA=M26)*(nCUENTA=1)*(COUNTIF(CONFIG_ASIGNATURAS!$B$7:$B$27,nASIG)&gt;0)*1),"")))</f>
        <v/>
      </c>
      <c r="T26" t="str">
        <f>IF(S26="","",IF(S26="[FÓRMULA MANUAL]","",IFERROR(AVERAGEIFS(nNOTA,nNIA,S26,nCUENTA,1,nASIG,"Armonía"),"")))</f>
        <v/>
      </c>
      <c r="U26" t="str">
        <f>IF(S26="","",IF(S26="[FÓRMULA MANUAL]","",IFERROR(AVERAGEIFS(nNOTA,nNIA,S26,nCUENTA,1,nASIG,"Orquesta/Banda/Conjunto"),"")))</f>
        <v/>
      </c>
      <c r="V26" t="str">
        <f>IF(S26="","",IF(S26="[FÓRMULA MANUAL]","",IFERROR(AVERAGEIFS(nNOTA,nNIA,S26,nCUENTA,1,nASIG,"Música de Cámara"),"")))</f>
        <v/>
      </c>
      <c r="W26" t="str">
        <f>IF(S26="","",IF(S26="[FÓRMULA MANUAL]","",IFERROR(SUMPRODUCT((nNIA=S26)*(nCUENTA=1)*(COUNTIF(CONFIG_ASIGNATURAS!$B$7:$B$27,nASIG)&gt;0)*(nNOTA))/SUMPRODUCT((nNIA=S26)*(nCUENTA=1)*(COUNTIF(CONFIG_ASIGNATURAS!$B$7:$B$27,nASIG)&gt;0)*1),"")))</f>
        <v/>
      </c>
      <c r="Z26" t="str">
        <f>IF(Y26="","",IF(Y26="[FÓRMULA MANUAL]","",IFERROR(AVERAGEIFS(nNOTA,nNIA,Y26,nCUENTA,1,nASIG,"Análisis"),"")))</f>
        <v/>
      </c>
      <c r="AA26" t="str">
        <f>IF(Y26="","",IF(Y26="[FÓRMULA MANUAL]","",IFERROR(AVERAGEIFS(nNOTA,nNIA,Y26,nCUENTA,1,nASIG,"Orquesta/Banda/Conjunto"),"")))</f>
        <v/>
      </c>
      <c r="AB26" t="str">
        <f>IF(Y26="","",IF(Y26="[FÓRMULA MANUAL]","",IFERROR(AVERAGEIFS(nNOTA,nNIA,Y26,nCUENTA,1,nASIG,"Música de Cámara"),"")))</f>
        <v/>
      </c>
      <c r="AC26" t="str">
        <f>IF(Y26="","",IF(Y26="[FÓRMULA MANUAL]","",IFERROR(SUMPRODUCT((nNIA=Y26)*(nCUENTA=1)*(COUNTIF(CONFIG_ASIGNATURAS!$B$7:$B$27,nASIG)&gt;0)*(nNOTA))/SUMPRODUCT((nNIA=Y26)*(nCUENTA=1)*(COUNTIF(CONFIG_ASIGNATURAS!$B$7:$B$27,nASIG)&gt;0)*1),"")))</f>
        <v/>
      </c>
      <c r="AF26" t="str">
        <f>IF(AE26="","",IF(AE26="[FÓRMULA MANUAL]","",IFERROR(AVERAGEIFS(nNOTA,nNIA,AE26,nCUENTA,1,nASIG,"Análisis"),"")))</f>
        <v/>
      </c>
      <c r="AG26" t="str">
        <f>IF(AE26="","",IF(AE26="[FÓRMULA MANUAL]","",IFERROR(AVERAGEIFS(nNOTA,nNIA,AE26,nCUENTA,1,nASIG,"Orquesta/Banda/Conjunto"),"")))</f>
        <v/>
      </c>
      <c r="AH26" t="str">
        <f>IF(AE26="","",IF(AE26="[FÓRMULA MANUAL]","",IFERROR(AVERAGEIFS(nNOTA,nNIA,AE26,nCUENTA,1,nASIG,"Música de Cámara"),"")))</f>
        <v/>
      </c>
      <c r="AI26" t="str">
        <f>IF(AE26="","",IF(AE26="[FÓRMULA MANUAL]","",IFERROR(SUMPRODUCT((nNIA=AE26)*(nCUENTA=1)*(COUNTIF(CONFIG_ASIGNATURAS!$B$7:$B$27,nASIG)&gt;0)*(nNOTA))/SUMPRODUCT((nNIA=AE26)*(nCUENTA=1)*(COUNTIF(CONFIG_ASIGNATURAS!$B$7:$B$27,nASIG)&gt;0)*1),"")))</f>
        <v/>
      </c>
    </row>
    <row r="27" spans="2:35" x14ac:dyDescent="0.2">
      <c r="B27" t="str">
        <f>IF(A27="","",IF(A27="[FÓRMULA MANUAL]","",IFERROR(AVERAGEIFS(nNOTA,nNIA,A27,nCUENTA,1,nASIG,"Lenguaje Musical"),"")))</f>
        <v/>
      </c>
      <c r="C27" t="str">
        <f>IF(A27="","",IF(A27="[FÓRMULA MANUAL]","",IFERROR(AVERAGEIFS(nNOTA,nNIA,A27,nCUENTA,1,nASIG,"Orquesta/Banda/Conjunto"),"")))</f>
        <v/>
      </c>
      <c r="D27" t="str">
        <f>IF(A27="","",IF(A27="[FÓRMULA MANUAL]","",IFERROR(AVERAGEIFS(nNOTA,nNIA,A27,nCUENTA,1,nASIG,"Conjunto"),"")))</f>
        <v/>
      </c>
      <c r="E27" t="str">
        <f>IF(A27="","",IF(A27="[FÓRMULA MANUAL]","",IFERROR(SUMPRODUCT((nNIA=A27)*(nCUENTA=1)*(COUNTIF(CONFIG_ASIGNATURAS!$B$7:$B$27,nASIG)&gt;0)*(nNOTA))/SUMPRODUCT((nNIA=A27)*(nCUENTA=1)*(COUNTIF(CONFIG_ASIGNATURAS!$B$7:$B$27,nASIG)&gt;0)*1),"")))</f>
        <v/>
      </c>
      <c r="H27" t="str">
        <f>IF(G27="","",IF(G27="[FÓRMULA MANUAL]","",IFERROR(AVERAGEIFS(nNOTA,nNIA,G27,nCUENTA,1,nASIG,"Lenguaje Musical"),"")))</f>
        <v/>
      </c>
      <c r="I27" t="str">
        <f>IF(G27="","",IF(G27="[FÓRMULA MANUAL]","",IFERROR(AVERAGEIFS(nNOTA,nNIA,G27,nCUENTA,1,nASIG,"Orquesta/Banda/Conjunto"),"")))</f>
        <v/>
      </c>
      <c r="J27" t="str">
        <f>IF(G27="","",IF(G27="[FÓRMULA MANUAL]","",IFERROR(AVERAGEIFS(nNOTA,nNIA,G27,nCUENTA,1,nASIG,"Conjunto"),"")))</f>
        <v/>
      </c>
      <c r="K27" t="str">
        <f>IF(G27="","",IF(G27="[FÓRMULA MANUAL]","",IFERROR(SUMPRODUCT((nNIA=G27)*(nCUENTA=1)*(COUNTIF(CONFIG_ASIGNATURAS!$B$7:$B$27,nASIG)&gt;0)*(nNOTA))/SUMPRODUCT((nNIA=G27)*(nCUENTA=1)*(COUNTIF(CONFIG_ASIGNATURAS!$B$7:$B$27,nASIG)&gt;0)*1),"")))</f>
        <v/>
      </c>
      <c r="N27" t="str">
        <f>IF(M27="","",IF(M27="[FÓRMULA MANUAL]","",IFERROR(AVERAGEIFS(nNOTA,nNIA,M27,nCUENTA,1,nASIG,"Armonía"),"")))</f>
        <v/>
      </c>
      <c r="O27" t="str">
        <f>IF(M27="","",IF(M27="[FÓRMULA MANUAL]","",IFERROR(AVERAGEIFS(nNOTA,nNIA,M27,nCUENTA,1,nASIG,"Orquesta/Banda/Conjunto"),"")))</f>
        <v/>
      </c>
      <c r="P27" t="str">
        <f>IF(M27="","",IF(M27="[FÓRMULA MANUAL]","",IFERROR(AVERAGEIFS(nNOTA,nNIA,M27,nCUENTA,1,nASIG,"Música de Cámara"),"")))</f>
        <v/>
      </c>
      <c r="Q27" t="str">
        <f>IF(M27="","",IF(M27="[FÓRMULA MANUAL]","",IFERROR(SUMPRODUCT((nNIA=M27)*(nCUENTA=1)*(COUNTIF(CONFIG_ASIGNATURAS!$B$7:$B$27,nASIG)&gt;0)*(nNOTA))/SUMPRODUCT((nNIA=M27)*(nCUENTA=1)*(COUNTIF(CONFIG_ASIGNATURAS!$B$7:$B$27,nASIG)&gt;0)*1),"")))</f>
        <v/>
      </c>
      <c r="T27" t="str">
        <f>IF(S27="","",IF(S27="[FÓRMULA MANUAL]","",IFERROR(AVERAGEIFS(nNOTA,nNIA,S27,nCUENTA,1,nASIG,"Armonía"),"")))</f>
        <v/>
      </c>
      <c r="U27" t="str">
        <f>IF(S27="","",IF(S27="[FÓRMULA MANUAL]","",IFERROR(AVERAGEIFS(nNOTA,nNIA,S27,nCUENTA,1,nASIG,"Orquesta/Banda/Conjunto"),"")))</f>
        <v/>
      </c>
      <c r="V27" t="str">
        <f>IF(S27="","",IF(S27="[FÓRMULA MANUAL]","",IFERROR(AVERAGEIFS(nNOTA,nNIA,S27,nCUENTA,1,nASIG,"Música de Cámara"),"")))</f>
        <v/>
      </c>
      <c r="W27" t="str">
        <f>IF(S27="","",IF(S27="[FÓRMULA MANUAL]","",IFERROR(SUMPRODUCT((nNIA=S27)*(nCUENTA=1)*(COUNTIF(CONFIG_ASIGNATURAS!$B$7:$B$27,nASIG)&gt;0)*(nNOTA))/SUMPRODUCT((nNIA=S27)*(nCUENTA=1)*(COUNTIF(CONFIG_ASIGNATURAS!$B$7:$B$27,nASIG)&gt;0)*1),"")))</f>
        <v/>
      </c>
      <c r="Z27" t="str">
        <f>IF(Y27="","",IF(Y27="[FÓRMULA MANUAL]","",IFERROR(AVERAGEIFS(nNOTA,nNIA,Y27,nCUENTA,1,nASIG,"Análisis"),"")))</f>
        <v/>
      </c>
      <c r="AA27" t="str">
        <f>IF(Y27="","",IF(Y27="[FÓRMULA MANUAL]","",IFERROR(AVERAGEIFS(nNOTA,nNIA,Y27,nCUENTA,1,nASIG,"Orquesta/Banda/Conjunto"),"")))</f>
        <v/>
      </c>
      <c r="AB27" t="str">
        <f>IF(Y27="","",IF(Y27="[FÓRMULA MANUAL]","",IFERROR(AVERAGEIFS(nNOTA,nNIA,Y27,nCUENTA,1,nASIG,"Música de Cámara"),"")))</f>
        <v/>
      </c>
      <c r="AC27" t="str">
        <f>IF(Y27="","",IF(Y27="[FÓRMULA MANUAL]","",IFERROR(SUMPRODUCT((nNIA=Y27)*(nCUENTA=1)*(COUNTIF(CONFIG_ASIGNATURAS!$B$7:$B$27,nASIG)&gt;0)*(nNOTA))/SUMPRODUCT((nNIA=Y27)*(nCUENTA=1)*(COUNTIF(CONFIG_ASIGNATURAS!$B$7:$B$27,nASIG)&gt;0)*1),"")))</f>
        <v/>
      </c>
      <c r="AF27" t="str">
        <f>IF(AE27="","",IF(AE27="[FÓRMULA MANUAL]","",IFERROR(AVERAGEIFS(nNOTA,nNIA,AE27,nCUENTA,1,nASIG,"Análisis"),"")))</f>
        <v/>
      </c>
      <c r="AG27" t="str">
        <f>IF(AE27="","",IF(AE27="[FÓRMULA MANUAL]","",IFERROR(AVERAGEIFS(nNOTA,nNIA,AE27,nCUENTA,1,nASIG,"Orquesta/Banda/Conjunto"),"")))</f>
        <v/>
      </c>
      <c r="AH27" t="str">
        <f>IF(AE27="","",IF(AE27="[FÓRMULA MANUAL]","",IFERROR(AVERAGEIFS(nNOTA,nNIA,AE27,nCUENTA,1,nASIG,"Música de Cámara"),"")))</f>
        <v/>
      </c>
      <c r="AI27" t="str">
        <f>IF(AE27="","",IF(AE27="[FÓRMULA MANUAL]","",IFERROR(SUMPRODUCT((nNIA=AE27)*(nCUENTA=1)*(COUNTIF(CONFIG_ASIGNATURAS!$B$7:$B$27,nASIG)&gt;0)*(nNOTA))/SUMPRODUCT((nNIA=AE27)*(nCUENTA=1)*(COUNTIF(CONFIG_ASIGNATURAS!$B$7:$B$27,nASIG)&gt;0)*1),"")))</f>
        <v/>
      </c>
    </row>
    <row r="28" spans="2:35" x14ac:dyDescent="0.2">
      <c r="B28" t="str">
        <f>IF(A28="","",IF(A28="[FÓRMULA MANUAL]","",IFERROR(AVERAGEIFS(nNOTA,nNIA,A28,nCUENTA,1,nASIG,"Lenguaje Musical"),"")))</f>
        <v/>
      </c>
      <c r="C28" t="str">
        <f>IF(A28="","",IF(A28="[FÓRMULA MANUAL]","",IFERROR(AVERAGEIFS(nNOTA,nNIA,A28,nCUENTA,1,nASIG,"Orquesta/Banda/Conjunto"),"")))</f>
        <v/>
      </c>
      <c r="D28" t="str">
        <f>IF(A28="","",IF(A28="[FÓRMULA MANUAL]","",IFERROR(AVERAGEIFS(nNOTA,nNIA,A28,nCUENTA,1,nASIG,"Conjunto"),"")))</f>
        <v/>
      </c>
      <c r="E28" t="str">
        <f>IF(A28="","",IF(A28="[FÓRMULA MANUAL]","",IFERROR(SUMPRODUCT((nNIA=A28)*(nCUENTA=1)*(COUNTIF(CONFIG_ASIGNATURAS!$B$7:$B$27,nASIG)&gt;0)*(nNOTA))/SUMPRODUCT((nNIA=A28)*(nCUENTA=1)*(COUNTIF(CONFIG_ASIGNATURAS!$B$7:$B$27,nASIG)&gt;0)*1),"")))</f>
        <v/>
      </c>
      <c r="H28" t="str">
        <f>IF(G28="","",IF(G28="[FÓRMULA MANUAL]","",IFERROR(AVERAGEIFS(nNOTA,nNIA,G28,nCUENTA,1,nASIG,"Lenguaje Musical"),"")))</f>
        <v/>
      </c>
      <c r="I28" t="str">
        <f>IF(G28="","",IF(G28="[FÓRMULA MANUAL]","",IFERROR(AVERAGEIFS(nNOTA,nNIA,G28,nCUENTA,1,nASIG,"Orquesta/Banda/Conjunto"),"")))</f>
        <v/>
      </c>
      <c r="J28" t="str">
        <f>IF(G28="","",IF(G28="[FÓRMULA MANUAL]","",IFERROR(AVERAGEIFS(nNOTA,nNIA,G28,nCUENTA,1,nASIG,"Conjunto"),"")))</f>
        <v/>
      </c>
      <c r="K28" t="str">
        <f>IF(G28="","",IF(G28="[FÓRMULA MANUAL]","",IFERROR(SUMPRODUCT((nNIA=G28)*(nCUENTA=1)*(COUNTIF(CONFIG_ASIGNATURAS!$B$7:$B$27,nASIG)&gt;0)*(nNOTA))/SUMPRODUCT((nNIA=G28)*(nCUENTA=1)*(COUNTIF(CONFIG_ASIGNATURAS!$B$7:$B$27,nASIG)&gt;0)*1),"")))</f>
        <v/>
      </c>
      <c r="N28" t="str">
        <f>IF(M28="","",IF(M28="[FÓRMULA MANUAL]","",IFERROR(AVERAGEIFS(nNOTA,nNIA,M28,nCUENTA,1,nASIG,"Armonía"),"")))</f>
        <v/>
      </c>
      <c r="O28" t="str">
        <f>IF(M28="","",IF(M28="[FÓRMULA MANUAL]","",IFERROR(AVERAGEIFS(nNOTA,nNIA,M28,nCUENTA,1,nASIG,"Orquesta/Banda/Conjunto"),"")))</f>
        <v/>
      </c>
      <c r="P28" t="str">
        <f>IF(M28="","",IF(M28="[FÓRMULA MANUAL]","",IFERROR(AVERAGEIFS(nNOTA,nNIA,M28,nCUENTA,1,nASIG,"Música de Cámara"),"")))</f>
        <v/>
      </c>
      <c r="Q28" t="str">
        <f>IF(M28="","",IF(M28="[FÓRMULA MANUAL]","",IFERROR(SUMPRODUCT((nNIA=M28)*(nCUENTA=1)*(COUNTIF(CONFIG_ASIGNATURAS!$B$7:$B$27,nASIG)&gt;0)*(nNOTA))/SUMPRODUCT((nNIA=M28)*(nCUENTA=1)*(COUNTIF(CONFIG_ASIGNATURAS!$B$7:$B$27,nASIG)&gt;0)*1),"")))</f>
        <v/>
      </c>
      <c r="T28" t="str">
        <f>IF(S28="","",IF(S28="[FÓRMULA MANUAL]","",IFERROR(AVERAGEIFS(nNOTA,nNIA,S28,nCUENTA,1,nASIG,"Armonía"),"")))</f>
        <v/>
      </c>
      <c r="U28" t="str">
        <f>IF(S28="","",IF(S28="[FÓRMULA MANUAL]","",IFERROR(AVERAGEIFS(nNOTA,nNIA,S28,nCUENTA,1,nASIG,"Orquesta/Banda/Conjunto"),"")))</f>
        <v/>
      </c>
      <c r="V28" t="str">
        <f>IF(S28="","",IF(S28="[FÓRMULA MANUAL]","",IFERROR(AVERAGEIFS(nNOTA,nNIA,S28,nCUENTA,1,nASIG,"Música de Cámara"),"")))</f>
        <v/>
      </c>
      <c r="W28" t="str">
        <f>IF(S28="","",IF(S28="[FÓRMULA MANUAL]","",IFERROR(SUMPRODUCT((nNIA=S28)*(nCUENTA=1)*(COUNTIF(CONFIG_ASIGNATURAS!$B$7:$B$27,nASIG)&gt;0)*(nNOTA))/SUMPRODUCT((nNIA=S28)*(nCUENTA=1)*(COUNTIF(CONFIG_ASIGNATURAS!$B$7:$B$27,nASIG)&gt;0)*1),"")))</f>
        <v/>
      </c>
      <c r="Z28" t="str">
        <f>IF(Y28="","",IF(Y28="[FÓRMULA MANUAL]","",IFERROR(AVERAGEIFS(nNOTA,nNIA,Y28,nCUENTA,1,nASIG,"Análisis"),"")))</f>
        <v/>
      </c>
      <c r="AA28" t="str">
        <f>IF(Y28="","",IF(Y28="[FÓRMULA MANUAL]","",IFERROR(AVERAGEIFS(nNOTA,nNIA,Y28,nCUENTA,1,nASIG,"Orquesta/Banda/Conjunto"),"")))</f>
        <v/>
      </c>
      <c r="AB28" t="str">
        <f>IF(Y28="","",IF(Y28="[FÓRMULA MANUAL]","",IFERROR(AVERAGEIFS(nNOTA,nNIA,Y28,nCUENTA,1,nASIG,"Música de Cámara"),"")))</f>
        <v/>
      </c>
      <c r="AC28" t="str">
        <f>IF(Y28="","",IF(Y28="[FÓRMULA MANUAL]","",IFERROR(SUMPRODUCT((nNIA=Y28)*(nCUENTA=1)*(COUNTIF(CONFIG_ASIGNATURAS!$B$7:$B$27,nASIG)&gt;0)*(nNOTA))/SUMPRODUCT((nNIA=Y28)*(nCUENTA=1)*(COUNTIF(CONFIG_ASIGNATURAS!$B$7:$B$27,nASIG)&gt;0)*1),"")))</f>
        <v/>
      </c>
      <c r="AF28" t="str">
        <f>IF(AE28="","",IF(AE28="[FÓRMULA MANUAL]","",IFERROR(AVERAGEIFS(nNOTA,nNIA,AE28,nCUENTA,1,nASIG,"Análisis"),"")))</f>
        <v/>
      </c>
      <c r="AG28" t="str">
        <f>IF(AE28="","",IF(AE28="[FÓRMULA MANUAL]","",IFERROR(AVERAGEIFS(nNOTA,nNIA,AE28,nCUENTA,1,nASIG,"Orquesta/Banda/Conjunto"),"")))</f>
        <v/>
      </c>
      <c r="AH28" t="str">
        <f>IF(AE28="","",IF(AE28="[FÓRMULA MANUAL]","",IFERROR(AVERAGEIFS(nNOTA,nNIA,AE28,nCUENTA,1,nASIG,"Música de Cámara"),"")))</f>
        <v/>
      </c>
      <c r="AI28" t="str">
        <f>IF(AE28="","",IF(AE28="[FÓRMULA MANUAL]","",IFERROR(SUMPRODUCT((nNIA=AE28)*(nCUENTA=1)*(COUNTIF(CONFIG_ASIGNATURAS!$B$7:$B$27,nASIG)&gt;0)*(nNOTA))/SUMPRODUCT((nNIA=AE28)*(nCUENTA=1)*(COUNTIF(CONFIG_ASIGNATURAS!$B$7:$B$27,nASIG)&gt;0)*1),"")))</f>
        <v/>
      </c>
    </row>
    <row r="29" spans="2:35" x14ac:dyDescent="0.2">
      <c r="B29" t="str">
        <f>IF(A29="","",IF(A29="[FÓRMULA MANUAL]","",IFERROR(AVERAGEIFS(nNOTA,nNIA,A29,nCUENTA,1,nASIG,"Lenguaje Musical"),"")))</f>
        <v/>
      </c>
      <c r="C29" t="str">
        <f>IF(A29="","",IF(A29="[FÓRMULA MANUAL]","",IFERROR(AVERAGEIFS(nNOTA,nNIA,A29,nCUENTA,1,nASIG,"Orquesta/Banda/Conjunto"),"")))</f>
        <v/>
      </c>
      <c r="D29" t="str">
        <f>IF(A29="","",IF(A29="[FÓRMULA MANUAL]","",IFERROR(AVERAGEIFS(nNOTA,nNIA,A29,nCUENTA,1,nASIG,"Conjunto"),"")))</f>
        <v/>
      </c>
      <c r="E29" t="str">
        <f>IF(A29="","",IF(A29="[FÓRMULA MANUAL]","",IFERROR(SUMPRODUCT((nNIA=A29)*(nCUENTA=1)*(COUNTIF(CONFIG_ASIGNATURAS!$B$7:$B$27,nASIG)&gt;0)*(nNOTA))/SUMPRODUCT((nNIA=A29)*(nCUENTA=1)*(COUNTIF(CONFIG_ASIGNATURAS!$B$7:$B$27,nASIG)&gt;0)*1),"")))</f>
        <v/>
      </c>
      <c r="H29" t="str">
        <f>IF(G29="","",IF(G29="[FÓRMULA MANUAL]","",IFERROR(AVERAGEIFS(nNOTA,nNIA,G29,nCUENTA,1,nASIG,"Lenguaje Musical"),"")))</f>
        <v/>
      </c>
      <c r="I29" t="str">
        <f>IF(G29="","",IF(G29="[FÓRMULA MANUAL]","",IFERROR(AVERAGEIFS(nNOTA,nNIA,G29,nCUENTA,1,nASIG,"Orquesta/Banda/Conjunto"),"")))</f>
        <v/>
      </c>
      <c r="J29" t="str">
        <f>IF(G29="","",IF(G29="[FÓRMULA MANUAL]","",IFERROR(AVERAGEIFS(nNOTA,nNIA,G29,nCUENTA,1,nASIG,"Conjunto"),"")))</f>
        <v/>
      </c>
      <c r="K29" t="str">
        <f>IF(G29="","",IF(G29="[FÓRMULA MANUAL]","",IFERROR(SUMPRODUCT((nNIA=G29)*(nCUENTA=1)*(COUNTIF(CONFIG_ASIGNATURAS!$B$7:$B$27,nASIG)&gt;0)*(nNOTA))/SUMPRODUCT((nNIA=G29)*(nCUENTA=1)*(COUNTIF(CONFIG_ASIGNATURAS!$B$7:$B$27,nASIG)&gt;0)*1),"")))</f>
        <v/>
      </c>
      <c r="N29" t="str">
        <f>IF(M29="","",IF(M29="[FÓRMULA MANUAL]","",IFERROR(AVERAGEIFS(nNOTA,nNIA,M29,nCUENTA,1,nASIG,"Armonía"),"")))</f>
        <v/>
      </c>
      <c r="O29" t="str">
        <f>IF(M29="","",IF(M29="[FÓRMULA MANUAL]","",IFERROR(AVERAGEIFS(nNOTA,nNIA,M29,nCUENTA,1,nASIG,"Orquesta/Banda/Conjunto"),"")))</f>
        <v/>
      </c>
      <c r="P29" t="str">
        <f>IF(M29="","",IF(M29="[FÓRMULA MANUAL]","",IFERROR(AVERAGEIFS(nNOTA,nNIA,M29,nCUENTA,1,nASIG,"Música de Cámara"),"")))</f>
        <v/>
      </c>
      <c r="Q29" t="str">
        <f>IF(M29="","",IF(M29="[FÓRMULA MANUAL]","",IFERROR(SUMPRODUCT((nNIA=M29)*(nCUENTA=1)*(COUNTIF(CONFIG_ASIGNATURAS!$B$7:$B$27,nASIG)&gt;0)*(nNOTA))/SUMPRODUCT((nNIA=M29)*(nCUENTA=1)*(COUNTIF(CONFIG_ASIGNATURAS!$B$7:$B$27,nASIG)&gt;0)*1),"")))</f>
        <v/>
      </c>
      <c r="T29" t="str">
        <f>IF(S29="","",IF(S29="[FÓRMULA MANUAL]","",IFERROR(AVERAGEIFS(nNOTA,nNIA,S29,nCUENTA,1,nASIG,"Armonía"),"")))</f>
        <v/>
      </c>
      <c r="U29" t="str">
        <f>IF(S29="","",IF(S29="[FÓRMULA MANUAL]","",IFERROR(AVERAGEIFS(nNOTA,nNIA,S29,nCUENTA,1,nASIG,"Orquesta/Banda/Conjunto"),"")))</f>
        <v/>
      </c>
      <c r="V29" t="str">
        <f>IF(S29="","",IF(S29="[FÓRMULA MANUAL]","",IFERROR(AVERAGEIFS(nNOTA,nNIA,S29,nCUENTA,1,nASIG,"Música de Cámara"),"")))</f>
        <v/>
      </c>
      <c r="W29" t="str">
        <f>IF(S29="","",IF(S29="[FÓRMULA MANUAL]","",IFERROR(SUMPRODUCT((nNIA=S29)*(nCUENTA=1)*(COUNTIF(CONFIG_ASIGNATURAS!$B$7:$B$27,nASIG)&gt;0)*(nNOTA))/SUMPRODUCT((nNIA=S29)*(nCUENTA=1)*(COUNTIF(CONFIG_ASIGNATURAS!$B$7:$B$27,nASIG)&gt;0)*1),"")))</f>
        <v/>
      </c>
      <c r="Z29" t="str">
        <f>IF(Y29="","",IF(Y29="[FÓRMULA MANUAL]","",IFERROR(AVERAGEIFS(nNOTA,nNIA,Y29,nCUENTA,1,nASIG,"Análisis"),"")))</f>
        <v/>
      </c>
      <c r="AA29" t="str">
        <f>IF(Y29="","",IF(Y29="[FÓRMULA MANUAL]","",IFERROR(AVERAGEIFS(nNOTA,nNIA,Y29,nCUENTA,1,nASIG,"Orquesta/Banda/Conjunto"),"")))</f>
        <v/>
      </c>
      <c r="AB29" t="str">
        <f>IF(Y29="","",IF(Y29="[FÓRMULA MANUAL]","",IFERROR(AVERAGEIFS(nNOTA,nNIA,Y29,nCUENTA,1,nASIG,"Música de Cámara"),"")))</f>
        <v/>
      </c>
      <c r="AC29" t="str">
        <f>IF(Y29="","",IF(Y29="[FÓRMULA MANUAL]","",IFERROR(SUMPRODUCT((nNIA=Y29)*(nCUENTA=1)*(COUNTIF(CONFIG_ASIGNATURAS!$B$7:$B$27,nASIG)&gt;0)*(nNOTA))/SUMPRODUCT((nNIA=Y29)*(nCUENTA=1)*(COUNTIF(CONFIG_ASIGNATURAS!$B$7:$B$27,nASIG)&gt;0)*1),"")))</f>
        <v/>
      </c>
      <c r="AF29" t="str">
        <f>IF(AE29="","",IF(AE29="[FÓRMULA MANUAL]","",IFERROR(AVERAGEIFS(nNOTA,nNIA,AE29,nCUENTA,1,nASIG,"Análisis"),"")))</f>
        <v/>
      </c>
      <c r="AG29" t="str">
        <f>IF(AE29="","",IF(AE29="[FÓRMULA MANUAL]","",IFERROR(AVERAGEIFS(nNOTA,nNIA,AE29,nCUENTA,1,nASIG,"Orquesta/Banda/Conjunto"),"")))</f>
        <v/>
      </c>
      <c r="AH29" t="str">
        <f>IF(AE29="","",IF(AE29="[FÓRMULA MANUAL]","",IFERROR(AVERAGEIFS(nNOTA,nNIA,AE29,nCUENTA,1,nASIG,"Música de Cámara"),"")))</f>
        <v/>
      </c>
      <c r="AI29" t="str">
        <f>IF(AE29="","",IF(AE29="[FÓRMULA MANUAL]","",IFERROR(SUMPRODUCT((nNIA=AE29)*(nCUENTA=1)*(COUNTIF(CONFIG_ASIGNATURAS!$B$7:$B$27,nASIG)&gt;0)*(nNOTA))/SUMPRODUCT((nNIA=AE29)*(nCUENTA=1)*(COUNTIF(CONFIG_ASIGNATURAS!$B$7:$B$27,nASIG)&gt;0)*1),"")))</f>
        <v/>
      </c>
    </row>
    <row r="30" spans="2:35" x14ac:dyDescent="0.2">
      <c r="B30" t="str">
        <f>IF(A30="","",IF(A30="[FÓRMULA MANUAL]","",IFERROR(AVERAGEIFS(nNOTA,nNIA,A30,nCUENTA,1,nASIG,"Lenguaje Musical"),"")))</f>
        <v/>
      </c>
      <c r="C30" t="str">
        <f>IF(A30="","",IF(A30="[FÓRMULA MANUAL]","",IFERROR(AVERAGEIFS(nNOTA,nNIA,A30,nCUENTA,1,nASIG,"Orquesta/Banda/Conjunto"),"")))</f>
        <v/>
      </c>
      <c r="D30" t="str">
        <f>IF(A30="","",IF(A30="[FÓRMULA MANUAL]","",IFERROR(AVERAGEIFS(nNOTA,nNIA,A30,nCUENTA,1,nASIG,"Conjunto"),"")))</f>
        <v/>
      </c>
      <c r="E30" t="str">
        <f>IF(A30="","",IF(A30="[FÓRMULA MANUAL]","",IFERROR(SUMPRODUCT((nNIA=A30)*(nCUENTA=1)*(COUNTIF(CONFIG_ASIGNATURAS!$B$7:$B$27,nASIG)&gt;0)*(nNOTA))/SUMPRODUCT((nNIA=A30)*(nCUENTA=1)*(COUNTIF(CONFIG_ASIGNATURAS!$B$7:$B$27,nASIG)&gt;0)*1),"")))</f>
        <v/>
      </c>
      <c r="H30" t="str">
        <f>IF(G30="","",IF(G30="[FÓRMULA MANUAL]","",IFERROR(AVERAGEIFS(nNOTA,nNIA,G30,nCUENTA,1,nASIG,"Lenguaje Musical"),"")))</f>
        <v/>
      </c>
      <c r="I30" t="str">
        <f>IF(G30="","",IF(G30="[FÓRMULA MANUAL]","",IFERROR(AVERAGEIFS(nNOTA,nNIA,G30,nCUENTA,1,nASIG,"Orquesta/Banda/Conjunto"),"")))</f>
        <v/>
      </c>
      <c r="J30" t="str">
        <f>IF(G30="","",IF(G30="[FÓRMULA MANUAL]","",IFERROR(AVERAGEIFS(nNOTA,nNIA,G30,nCUENTA,1,nASIG,"Conjunto"),"")))</f>
        <v/>
      </c>
      <c r="K30" t="str">
        <f>IF(G30="","",IF(G30="[FÓRMULA MANUAL]","",IFERROR(SUMPRODUCT((nNIA=G30)*(nCUENTA=1)*(COUNTIF(CONFIG_ASIGNATURAS!$B$7:$B$27,nASIG)&gt;0)*(nNOTA))/SUMPRODUCT((nNIA=G30)*(nCUENTA=1)*(COUNTIF(CONFIG_ASIGNATURAS!$B$7:$B$27,nASIG)&gt;0)*1),"")))</f>
        <v/>
      </c>
      <c r="N30" t="str">
        <f>IF(M30="","",IF(M30="[FÓRMULA MANUAL]","",IFERROR(AVERAGEIFS(nNOTA,nNIA,M30,nCUENTA,1,nASIG,"Armonía"),"")))</f>
        <v/>
      </c>
      <c r="O30" t="str">
        <f>IF(M30="","",IF(M30="[FÓRMULA MANUAL]","",IFERROR(AVERAGEIFS(nNOTA,nNIA,M30,nCUENTA,1,nASIG,"Orquesta/Banda/Conjunto"),"")))</f>
        <v/>
      </c>
      <c r="P30" t="str">
        <f>IF(M30="","",IF(M30="[FÓRMULA MANUAL]","",IFERROR(AVERAGEIFS(nNOTA,nNIA,M30,nCUENTA,1,nASIG,"Música de Cámara"),"")))</f>
        <v/>
      </c>
      <c r="Q30" t="str">
        <f>IF(M30="","",IF(M30="[FÓRMULA MANUAL]","",IFERROR(SUMPRODUCT((nNIA=M30)*(nCUENTA=1)*(COUNTIF(CONFIG_ASIGNATURAS!$B$7:$B$27,nASIG)&gt;0)*(nNOTA))/SUMPRODUCT((nNIA=M30)*(nCUENTA=1)*(COUNTIF(CONFIG_ASIGNATURAS!$B$7:$B$27,nASIG)&gt;0)*1),"")))</f>
        <v/>
      </c>
      <c r="T30" t="str">
        <f>IF(S30="","",IF(S30="[FÓRMULA MANUAL]","",IFERROR(AVERAGEIFS(nNOTA,nNIA,S30,nCUENTA,1,nASIG,"Armonía"),"")))</f>
        <v/>
      </c>
      <c r="U30" t="str">
        <f>IF(S30="","",IF(S30="[FÓRMULA MANUAL]","",IFERROR(AVERAGEIFS(nNOTA,nNIA,S30,nCUENTA,1,nASIG,"Orquesta/Banda/Conjunto"),"")))</f>
        <v/>
      </c>
      <c r="V30" t="str">
        <f>IF(S30="","",IF(S30="[FÓRMULA MANUAL]","",IFERROR(AVERAGEIFS(nNOTA,nNIA,S30,nCUENTA,1,nASIG,"Música de Cámara"),"")))</f>
        <v/>
      </c>
      <c r="W30" t="str">
        <f>IF(S30="","",IF(S30="[FÓRMULA MANUAL]","",IFERROR(SUMPRODUCT((nNIA=S30)*(nCUENTA=1)*(COUNTIF(CONFIG_ASIGNATURAS!$B$7:$B$27,nASIG)&gt;0)*(nNOTA))/SUMPRODUCT((nNIA=S30)*(nCUENTA=1)*(COUNTIF(CONFIG_ASIGNATURAS!$B$7:$B$27,nASIG)&gt;0)*1),"")))</f>
        <v/>
      </c>
      <c r="Z30" t="str">
        <f>IF(Y30="","",IF(Y30="[FÓRMULA MANUAL]","",IFERROR(AVERAGEIFS(nNOTA,nNIA,Y30,nCUENTA,1,nASIG,"Análisis"),"")))</f>
        <v/>
      </c>
      <c r="AA30" t="str">
        <f>IF(Y30="","",IF(Y30="[FÓRMULA MANUAL]","",IFERROR(AVERAGEIFS(nNOTA,nNIA,Y30,nCUENTA,1,nASIG,"Orquesta/Banda/Conjunto"),"")))</f>
        <v/>
      </c>
      <c r="AB30" t="str">
        <f>IF(Y30="","",IF(Y30="[FÓRMULA MANUAL]","",IFERROR(AVERAGEIFS(nNOTA,nNIA,Y30,nCUENTA,1,nASIG,"Música de Cámara"),"")))</f>
        <v/>
      </c>
      <c r="AC30" t="str">
        <f>IF(Y30="","",IF(Y30="[FÓRMULA MANUAL]","",IFERROR(SUMPRODUCT((nNIA=Y30)*(nCUENTA=1)*(COUNTIF(CONFIG_ASIGNATURAS!$B$7:$B$27,nASIG)&gt;0)*(nNOTA))/SUMPRODUCT((nNIA=Y30)*(nCUENTA=1)*(COUNTIF(CONFIG_ASIGNATURAS!$B$7:$B$27,nASIG)&gt;0)*1),"")))</f>
        <v/>
      </c>
      <c r="AF30" t="str">
        <f>IF(AE30="","",IF(AE30="[FÓRMULA MANUAL]","",IFERROR(AVERAGEIFS(nNOTA,nNIA,AE30,nCUENTA,1,nASIG,"Análisis"),"")))</f>
        <v/>
      </c>
      <c r="AG30" t="str">
        <f>IF(AE30="","",IF(AE30="[FÓRMULA MANUAL]","",IFERROR(AVERAGEIFS(nNOTA,nNIA,AE30,nCUENTA,1,nASIG,"Orquesta/Banda/Conjunto"),"")))</f>
        <v/>
      </c>
      <c r="AH30" t="str">
        <f>IF(AE30="","",IF(AE30="[FÓRMULA MANUAL]","",IFERROR(AVERAGEIFS(nNOTA,nNIA,AE30,nCUENTA,1,nASIG,"Música de Cámara"),"")))</f>
        <v/>
      </c>
      <c r="AI30" t="str">
        <f>IF(AE30="","",IF(AE30="[FÓRMULA MANUAL]","",IFERROR(SUMPRODUCT((nNIA=AE30)*(nCUENTA=1)*(COUNTIF(CONFIG_ASIGNATURAS!$B$7:$B$27,nASIG)&gt;0)*(nNOTA))/SUMPRODUCT((nNIA=AE30)*(nCUENTA=1)*(COUNTIF(CONFIG_ASIGNATURAS!$B$7:$B$27,nASIG)&gt;0)*1),"")))</f>
        <v/>
      </c>
    </row>
    <row r="31" spans="2:35" x14ac:dyDescent="0.2">
      <c r="B31" t="str">
        <f>IF(A31="","",IF(A31="[FÓRMULA MANUAL]","",IFERROR(AVERAGEIFS(nNOTA,nNIA,A31,nCUENTA,1,nASIG,"Lenguaje Musical"),"")))</f>
        <v/>
      </c>
      <c r="C31" t="str">
        <f>IF(A31="","",IF(A31="[FÓRMULA MANUAL]","",IFERROR(AVERAGEIFS(nNOTA,nNIA,A31,nCUENTA,1,nASIG,"Orquesta/Banda/Conjunto"),"")))</f>
        <v/>
      </c>
      <c r="D31" t="str">
        <f>IF(A31="","",IF(A31="[FÓRMULA MANUAL]","",IFERROR(AVERAGEIFS(nNOTA,nNIA,A31,nCUENTA,1,nASIG,"Conjunto"),"")))</f>
        <v/>
      </c>
      <c r="E31" t="str">
        <f>IF(A31="","",IF(A31="[FÓRMULA MANUAL]","",IFERROR(SUMPRODUCT((nNIA=A31)*(nCUENTA=1)*(COUNTIF(CONFIG_ASIGNATURAS!$B$7:$B$27,nASIG)&gt;0)*(nNOTA))/SUMPRODUCT((nNIA=A31)*(nCUENTA=1)*(COUNTIF(CONFIG_ASIGNATURAS!$B$7:$B$27,nASIG)&gt;0)*1),"")))</f>
        <v/>
      </c>
      <c r="H31" t="str">
        <f>IF(G31="","",IF(G31="[FÓRMULA MANUAL]","",IFERROR(AVERAGEIFS(nNOTA,nNIA,G31,nCUENTA,1,nASIG,"Lenguaje Musical"),"")))</f>
        <v/>
      </c>
      <c r="I31" t="str">
        <f>IF(G31="","",IF(G31="[FÓRMULA MANUAL]","",IFERROR(AVERAGEIFS(nNOTA,nNIA,G31,nCUENTA,1,nASIG,"Orquesta/Banda/Conjunto"),"")))</f>
        <v/>
      </c>
      <c r="J31" t="str">
        <f>IF(G31="","",IF(G31="[FÓRMULA MANUAL]","",IFERROR(AVERAGEIFS(nNOTA,nNIA,G31,nCUENTA,1,nASIG,"Conjunto"),"")))</f>
        <v/>
      </c>
      <c r="K31" t="str">
        <f>IF(G31="","",IF(G31="[FÓRMULA MANUAL]","",IFERROR(SUMPRODUCT((nNIA=G31)*(nCUENTA=1)*(COUNTIF(CONFIG_ASIGNATURAS!$B$7:$B$27,nASIG)&gt;0)*(nNOTA))/SUMPRODUCT((nNIA=G31)*(nCUENTA=1)*(COUNTIF(CONFIG_ASIGNATURAS!$B$7:$B$27,nASIG)&gt;0)*1),"")))</f>
        <v/>
      </c>
      <c r="N31" t="str">
        <f>IF(M31="","",IF(M31="[FÓRMULA MANUAL]","",IFERROR(AVERAGEIFS(nNOTA,nNIA,M31,nCUENTA,1,nASIG,"Armonía"),"")))</f>
        <v/>
      </c>
      <c r="O31" t="str">
        <f>IF(M31="","",IF(M31="[FÓRMULA MANUAL]","",IFERROR(AVERAGEIFS(nNOTA,nNIA,M31,nCUENTA,1,nASIG,"Orquesta/Banda/Conjunto"),"")))</f>
        <v/>
      </c>
      <c r="P31" t="str">
        <f>IF(M31="","",IF(M31="[FÓRMULA MANUAL]","",IFERROR(AVERAGEIFS(nNOTA,nNIA,M31,nCUENTA,1,nASIG,"Música de Cámara"),"")))</f>
        <v/>
      </c>
      <c r="Q31" t="str">
        <f>IF(M31="","",IF(M31="[FÓRMULA MANUAL]","",IFERROR(SUMPRODUCT((nNIA=M31)*(nCUENTA=1)*(COUNTIF(CONFIG_ASIGNATURAS!$B$7:$B$27,nASIG)&gt;0)*(nNOTA))/SUMPRODUCT((nNIA=M31)*(nCUENTA=1)*(COUNTIF(CONFIG_ASIGNATURAS!$B$7:$B$27,nASIG)&gt;0)*1),"")))</f>
        <v/>
      </c>
      <c r="T31" t="str">
        <f>IF(S31="","",IF(S31="[FÓRMULA MANUAL]","",IFERROR(AVERAGEIFS(nNOTA,nNIA,S31,nCUENTA,1,nASIG,"Armonía"),"")))</f>
        <v/>
      </c>
      <c r="U31" t="str">
        <f>IF(S31="","",IF(S31="[FÓRMULA MANUAL]","",IFERROR(AVERAGEIFS(nNOTA,nNIA,S31,nCUENTA,1,nASIG,"Orquesta/Banda/Conjunto"),"")))</f>
        <v/>
      </c>
      <c r="V31" t="str">
        <f>IF(S31="","",IF(S31="[FÓRMULA MANUAL]","",IFERROR(AVERAGEIFS(nNOTA,nNIA,S31,nCUENTA,1,nASIG,"Música de Cámara"),"")))</f>
        <v/>
      </c>
      <c r="W31" t="str">
        <f>IF(S31="","",IF(S31="[FÓRMULA MANUAL]","",IFERROR(SUMPRODUCT((nNIA=S31)*(nCUENTA=1)*(COUNTIF(CONFIG_ASIGNATURAS!$B$7:$B$27,nASIG)&gt;0)*(nNOTA))/SUMPRODUCT((nNIA=S31)*(nCUENTA=1)*(COUNTIF(CONFIG_ASIGNATURAS!$B$7:$B$27,nASIG)&gt;0)*1),"")))</f>
        <v/>
      </c>
      <c r="Z31" t="str">
        <f>IF(Y31="","",IF(Y31="[FÓRMULA MANUAL]","",IFERROR(AVERAGEIFS(nNOTA,nNIA,Y31,nCUENTA,1,nASIG,"Análisis"),"")))</f>
        <v/>
      </c>
      <c r="AA31" t="str">
        <f>IF(Y31="","",IF(Y31="[FÓRMULA MANUAL]","",IFERROR(AVERAGEIFS(nNOTA,nNIA,Y31,nCUENTA,1,nASIG,"Orquesta/Banda/Conjunto"),"")))</f>
        <v/>
      </c>
      <c r="AB31" t="str">
        <f>IF(Y31="","",IF(Y31="[FÓRMULA MANUAL]","",IFERROR(AVERAGEIFS(nNOTA,nNIA,Y31,nCUENTA,1,nASIG,"Música de Cámara"),"")))</f>
        <v/>
      </c>
      <c r="AC31" t="str">
        <f>IF(Y31="","",IF(Y31="[FÓRMULA MANUAL]","",IFERROR(SUMPRODUCT((nNIA=Y31)*(nCUENTA=1)*(COUNTIF(CONFIG_ASIGNATURAS!$B$7:$B$27,nASIG)&gt;0)*(nNOTA))/SUMPRODUCT((nNIA=Y31)*(nCUENTA=1)*(COUNTIF(CONFIG_ASIGNATURAS!$B$7:$B$27,nASIG)&gt;0)*1),"")))</f>
        <v/>
      </c>
      <c r="AF31" t="str">
        <f>IF(AE31="","",IF(AE31="[FÓRMULA MANUAL]","",IFERROR(AVERAGEIFS(nNOTA,nNIA,AE31,nCUENTA,1,nASIG,"Análisis"),"")))</f>
        <v/>
      </c>
      <c r="AG31" t="str">
        <f>IF(AE31="","",IF(AE31="[FÓRMULA MANUAL]","",IFERROR(AVERAGEIFS(nNOTA,nNIA,AE31,nCUENTA,1,nASIG,"Orquesta/Banda/Conjunto"),"")))</f>
        <v/>
      </c>
      <c r="AH31" t="str">
        <f>IF(AE31="","",IF(AE31="[FÓRMULA MANUAL]","",IFERROR(AVERAGEIFS(nNOTA,nNIA,AE31,nCUENTA,1,nASIG,"Música de Cámara"),"")))</f>
        <v/>
      </c>
      <c r="AI31" t="str">
        <f>IF(AE31="","",IF(AE31="[FÓRMULA MANUAL]","",IFERROR(SUMPRODUCT((nNIA=AE31)*(nCUENTA=1)*(COUNTIF(CONFIG_ASIGNATURAS!$B$7:$B$27,nASIG)&gt;0)*(nNOTA))/SUMPRODUCT((nNIA=AE31)*(nCUENTA=1)*(COUNTIF(CONFIG_ASIGNATURAS!$B$7:$B$27,nASIG)&gt;0)*1),"")))</f>
        <v/>
      </c>
    </row>
    <row r="32" spans="2:35" x14ac:dyDescent="0.2">
      <c r="B32" t="str">
        <f>IF(A32="","",IF(A32="[FÓRMULA MANUAL]","",IFERROR(AVERAGEIFS(nNOTA,nNIA,A32,nCUENTA,1,nASIG,"Lenguaje Musical"),"")))</f>
        <v/>
      </c>
      <c r="C32" t="str">
        <f>IF(A32="","",IF(A32="[FÓRMULA MANUAL]","",IFERROR(AVERAGEIFS(nNOTA,nNIA,A32,nCUENTA,1,nASIG,"Orquesta/Banda/Conjunto"),"")))</f>
        <v/>
      </c>
      <c r="D32" t="str">
        <f>IF(A32="","",IF(A32="[FÓRMULA MANUAL]","",IFERROR(AVERAGEIFS(nNOTA,nNIA,A32,nCUENTA,1,nASIG,"Conjunto"),"")))</f>
        <v/>
      </c>
      <c r="E32" t="str">
        <f>IF(A32="","",IF(A32="[FÓRMULA MANUAL]","",IFERROR(SUMPRODUCT((nNIA=A32)*(nCUENTA=1)*(COUNTIF(CONFIG_ASIGNATURAS!$B$7:$B$27,nASIG)&gt;0)*(nNOTA))/SUMPRODUCT((nNIA=A32)*(nCUENTA=1)*(COUNTIF(CONFIG_ASIGNATURAS!$B$7:$B$27,nASIG)&gt;0)*1),"")))</f>
        <v/>
      </c>
      <c r="H32" t="str">
        <f>IF(G32="","",IF(G32="[FÓRMULA MANUAL]","",IFERROR(AVERAGEIFS(nNOTA,nNIA,G32,nCUENTA,1,nASIG,"Lenguaje Musical"),"")))</f>
        <v/>
      </c>
      <c r="I32" t="str">
        <f>IF(G32="","",IF(G32="[FÓRMULA MANUAL]","",IFERROR(AVERAGEIFS(nNOTA,nNIA,G32,nCUENTA,1,nASIG,"Orquesta/Banda/Conjunto"),"")))</f>
        <v/>
      </c>
      <c r="J32" t="str">
        <f>IF(G32="","",IF(G32="[FÓRMULA MANUAL]","",IFERROR(AVERAGEIFS(nNOTA,nNIA,G32,nCUENTA,1,nASIG,"Conjunto"),"")))</f>
        <v/>
      </c>
      <c r="K32" t="str">
        <f>IF(G32="","",IF(G32="[FÓRMULA MANUAL]","",IFERROR(SUMPRODUCT((nNIA=G32)*(nCUENTA=1)*(COUNTIF(CONFIG_ASIGNATURAS!$B$7:$B$27,nASIG)&gt;0)*(nNOTA))/SUMPRODUCT((nNIA=G32)*(nCUENTA=1)*(COUNTIF(CONFIG_ASIGNATURAS!$B$7:$B$27,nASIG)&gt;0)*1),"")))</f>
        <v/>
      </c>
      <c r="N32" t="str">
        <f>IF(M32="","",IF(M32="[FÓRMULA MANUAL]","",IFERROR(AVERAGEIFS(nNOTA,nNIA,M32,nCUENTA,1,nASIG,"Armonía"),"")))</f>
        <v/>
      </c>
      <c r="O32" t="str">
        <f>IF(M32="","",IF(M32="[FÓRMULA MANUAL]","",IFERROR(AVERAGEIFS(nNOTA,nNIA,M32,nCUENTA,1,nASIG,"Orquesta/Banda/Conjunto"),"")))</f>
        <v/>
      </c>
      <c r="P32" t="str">
        <f>IF(M32="","",IF(M32="[FÓRMULA MANUAL]","",IFERROR(AVERAGEIFS(nNOTA,nNIA,M32,nCUENTA,1,nASIG,"Música de Cámara"),"")))</f>
        <v/>
      </c>
      <c r="Q32" t="str">
        <f>IF(M32="","",IF(M32="[FÓRMULA MANUAL]","",IFERROR(SUMPRODUCT((nNIA=M32)*(nCUENTA=1)*(COUNTIF(CONFIG_ASIGNATURAS!$B$7:$B$27,nASIG)&gt;0)*(nNOTA))/SUMPRODUCT((nNIA=M32)*(nCUENTA=1)*(COUNTIF(CONFIG_ASIGNATURAS!$B$7:$B$27,nASIG)&gt;0)*1),"")))</f>
        <v/>
      </c>
      <c r="T32" t="str">
        <f>IF(S32="","",IF(S32="[FÓRMULA MANUAL]","",IFERROR(AVERAGEIFS(nNOTA,nNIA,S32,nCUENTA,1,nASIG,"Armonía"),"")))</f>
        <v/>
      </c>
      <c r="U32" t="str">
        <f>IF(S32="","",IF(S32="[FÓRMULA MANUAL]","",IFERROR(AVERAGEIFS(nNOTA,nNIA,S32,nCUENTA,1,nASIG,"Orquesta/Banda/Conjunto"),"")))</f>
        <v/>
      </c>
      <c r="V32" t="str">
        <f>IF(S32="","",IF(S32="[FÓRMULA MANUAL]","",IFERROR(AVERAGEIFS(nNOTA,nNIA,S32,nCUENTA,1,nASIG,"Música de Cámara"),"")))</f>
        <v/>
      </c>
      <c r="W32" t="str">
        <f>IF(S32="","",IF(S32="[FÓRMULA MANUAL]","",IFERROR(SUMPRODUCT((nNIA=S32)*(nCUENTA=1)*(COUNTIF(CONFIG_ASIGNATURAS!$B$7:$B$27,nASIG)&gt;0)*(nNOTA))/SUMPRODUCT((nNIA=S32)*(nCUENTA=1)*(COUNTIF(CONFIG_ASIGNATURAS!$B$7:$B$27,nASIG)&gt;0)*1),"")))</f>
        <v/>
      </c>
      <c r="Z32" t="str">
        <f>IF(Y32="","",IF(Y32="[FÓRMULA MANUAL]","",IFERROR(AVERAGEIFS(nNOTA,nNIA,Y32,nCUENTA,1,nASIG,"Análisis"),"")))</f>
        <v/>
      </c>
      <c r="AA32" t="str">
        <f>IF(Y32="","",IF(Y32="[FÓRMULA MANUAL]","",IFERROR(AVERAGEIFS(nNOTA,nNIA,Y32,nCUENTA,1,nASIG,"Orquesta/Banda/Conjunto"),"")))</f>
        <v/>
      </c>
      <c r="AB32" t="str">
        <f>IF(Y32="","",IF(Y32="[FÓRMULA MANUAL]","",IFERROR(AVERAGEIFS(nNOTA,nNIA,Y32,nCUENTA,1,nASIG,"Música de Cámara"),"")))</f>
        <v/>
      </c>
      <c r="AC32" t="str">
        <f>IF(Y32="","",IF(Y32="[FÓRMULA MANUAL]","",IFERROR(SUMPRODUCT((nNIA=Y32)*(nCUENTA=1)*(COUNTIF(CONFIG_ASIGNATURAS!$B$7:$B$27,nASIG)&gt;0)*(nNOTA))/SUMPRODUCT((nNIA=Y32)*(nCUENTA=1)*(COUNTIF(CONFIG_ASIGNATURAS!$B$7:$B$27,nASIG)&gt;0)*1),"")))</f>
        <v/>
      </c>
      <c r="AF32" t="str">
        <f>IF(AE32="","",IF(AE32="[FÓRMULA MANUAL]","",IFERROR(AVERAGEIFS(nNOTA,nNIA,AE32,nCUENTA,1,nASIG,"Análisis"),"")))</f>
        <v/>
      </c>
      <c r="AG32" t="str">
        <f>IF(AE32="","",IF(AE32="[FÓRMULA MANUAL]","",IFERROR(AVERAGEIFS(nNOTA,nNIA,AE32,nCUENTA,1,nASIG,"Orquesta/Banda/Conjunto"),"")))</f>
        <v/>
      </c>
      <c r="AH32" t="str">
        <f>IF(AE32="","",IF(AE32="[FÓRMULA MANUAL]","",IFERROR(AVERAGEIFS(nNOTA,nNIA,AE32,nCUENTA,1,nASIG,"Música de Cámara"),"")))</f>
        <v/>
      </c>
      <c r="AI32" t="str">
        <f>IF(AE32="","",IF(AE32="[FÓRMULA MANUAL]","",IFERROR(SUMPRODUCT((nNIA=AE32)*(nCUENTA=1)*(COUNTIF(CONFIG_ASIGNATURAS!$B$7:$B$27,nASIG)&gt;0)*(nNOTA))/SUMPRODUCT((nNIA=AE32)*(nCUENTA=1)*(COUNTIF(CONFIG_ASIGNATURAS!$B$7:$B$27,nASIG)&gt;0)*1),"")))</f>
        <v/>
      </c>
    </row>
    <row r="33" spans="2:35" x14ac:dyDescent="0.2">
      <c r="B33" t="str">
        <f>IF(A33="","",IF(A33="[FÓRMULA MANUAL]","",IFERROR(AVERAGEIFS(nNOTA,nNIA,A33,nCUENTA,1,nASIG,"Lenguaje Musical"),"")))</f>
        <v/>
      </c>
      <c r="C33" t="str">
        <f>IF(A33="","",IF(A33="[FÓRMULA MANUAL]","",IFERROR(AVERAGEIFS(nNOTA,nNIA,A33,nCUENTA,1,nASIG,"Orquesta/Banda/Conjunto"),"")))</f>
        <v/>
      </c>
      <c r="D33" t="str">
        <f>IF(A33="","",IF(A33="[FÓRMULA MANUAL]","",IFERROR(AVERAGEIFS(nNOTA,nNIA,A33,nCUENTA,1,nASIG,"Conjunto"),"")))</f>
        <v/>
      </c>
      <c r="E33" t="str">
        <f>IF(A33="","",IF(A33="[FÓRMULA MANUAL]","",IFERROR(SUMPRODUCT((nNIA=A33)*(nCUENTA=1)*(COUNTIF(CONFIG_ASIGNATURAS!$B$7:$B$27,nASIG)&gt;0)*(nNOTA))/SUMPRODUCT((nNIA=A33)*(nCUENTA=1)*(COUNTIF(CONFIG_ASIGNATURAS!$B$7:$B$27,nASIG)&gt;0)*1),"")))</f>
        <v/>
      </c>
      <c r="H33" t="str">
        <f>IF(G33="","",IF(G33="[FÓRMULA MANUAL]","",IFERROR(AVERAGEIFS(nNOTA,nNIA,G33,nCUENTA,1,nASIG,"Lenguaje Musical"),"")))</f>
        <v/>
      </c>
      <c r="I33" t="str">
        <f>IF(G33="","",IF(G33="[FÓRMULA MANUAL]","",IFERROR(AVERAGEIFS(nNOTA,nNIA,G33,nCUENTA,1,nASIG,"Orquesta/Banda/Conjunto"),"")))</f>
        <v/>
      </c>
      <c r="J33" t="str">
        <f>IF(G33="","",IF(G33="[FÓRMULA MANUAL]","",IFERROR(AVERAGEIFS(nNOTA,nNIA,G33,nCUENTA,1,nASIG,"Conjunto"),"")))</f>
        <v/>
      </c>
      <c r="K33" t="str">
        <f>IF(G33="","",IF(G33="[FÓRMULA MANUAL]","",IFERROR(SUMPRODUCT((nNIA=G33)*(nCUENTA=1)*(COUNTIF(CONFIG_ASIGNATURAS!$B$7:$B$27,nASIG)&gt;0)*(nNOTA))/SUMPRODUCT((nNIA=G33)*(nCUENTA=1)*(COUNTIF(CONFIG_ASIGNATURAS!$B$7:$B$27,nASIG)&gt;0)*1),"")))</f>
        <v/>
      </c>
      <c r="N33" t="str">
        <f>IF(M33="","",IF(M33="[FÓRMULA MANUAL]","",IFERROR(AVERAGEIFS(nNOTA,nNIA,M33,nCUENTA,1,nASIG,"Armonía"),"")))</f>
        <v/>
      </c>
      <c r="O33" t="str">
        <f>IF(M33="","",IF(M33="[FÓRMULA MANUAL]","",IFERROR(AVERAGEIFS(nNOTA,nNIA,M33,nCUENTA,1,nASIG,"Orquesta/Banda/Conjunto"),"")))</f>
        <v/>
      </c>
      <c r="P33" t="str">
        <f>IF(M33="","",IF(M33="[FÓRMULA MANUAL]","",IFERROR(AVERAGEIFS(nNOTA,nNIA,M33,nCUENTA,1,nASIG,"Música de Cámara"),"")))</f>
        <v/>
      </c>
      <c r="Q33" t="str">
        <f>IF(M33="","",IF(M33="[FÓRMULA MANUAL]","",IFERROR(SUMPRODUCT((nNIA=M33)*(nCUENTA=1)*(COUNTIF(CONFIG_ASIGNATURAS!$B$7:$B$27,nASIG)&gt;0)*(nNOTA))/SUMPRODUCT((nNIA=M33)*(nCUENTA=1)*(COUNTIF(CONFIG_ASIGNATURAS!$B$7:$B$27,nASIG)&gt;0)*1),"")))</f>
        <v/>
      </c>
      <c r="T33" t="str">
        <f>IF(S33="","",IF(S33="[FÓRMULA MANUAL]","",IFERROR(AVERAGEIFS(nNOTA,nNIA,S33,nCUENTA,1,nASIG,"Armonía"),"")))</f>
        <v/>
      </c>
      <c r="U33" t="str">
        <f>IF(S33="","",IF(S33="[FÓRMULA MANUAL]","",IFERROR(AVERAGEIFS(nNOTA,nNIA,S33,nCUENTA,1,nASIG,"Orquesta/Banda/Conjunto"),"")))</f>
        <v/>
      </c>
      <c r="V33" t="str">
        <f>IF(S33="","",IF(S33="[FÓRMULA MANUAL]","",IFERROR(AVERAGEIFS(nNOTA,nNIA,S33,nCUENTA,1,nASIG,"Música de Cámara"),"")))</f>
        <v/>
      </c>
      <c r="W33" t="str">
        <f>IF(S33="","",IF(S33="[FÓRMULA MANUAL]","",IFERROR(SUMPRODUCT((nNIA=S33)*(nCUENTA=1)*(COUNTIF(CONFIG_ASIGNATURAS!$B$7:$B$27,nASIG)&gt;0)*(nNOTA))/SUMPRODUCT((nNIA=S33)*(nCUENTA=1)*(COUNTIF(CONFIG_ASIGNATURAS!$B$7:$B$27,nASIG)&gt;0)*1),"")))</f>
        <v/>
      </c>
      <c r="Z33" t="str">
        <f>IF(Y33="","",IF(Y33="[FÓRMULA MANUAL]","",IFERROR(AVERAGEIFS(nNOTA,nNIA,Y33,nCUENTA,1,nASIG,"Análisis"),"")))</f>
        <v/>
      </c>
      <c r="AA33" t="str">
        <f>IF(Y33="","",IF(Y33="[FÓRMULA MANUAL]","",IFERROR(AVERAGEIFS(nNOTA,nNIA,Y33,nCUENTA,1,nASIG,"Orquesta/Banda/Conjunto"),"")))</f>
        <v/>
      </c>
      <c r="AB33" t="str">
        <f>IF(Y33="","",IF(Y33="[FÓRMULA MANUAL]","",IFERROR(AVERAGEIFS(nNOTA,nNIA,Y33,nCUENTA,1,nASIG,"Música de Cámara"),"")))</f>
        <v/>
      </c>
      <c r="AC33" t="str">
        <f>IF(Y33="","",IF(Y33="[FÓRMULA MANUAL]","",IFERROR(SUMPRODUCT((nNIA=Y33)*(nCUENTA=1)*(COUNTIF(CONFIG_ASIGNATURAS!$B$7:$B$27,nASIG)&gt;0)*(nNOTA))/SUMPRODUCT((nNIA=Y33)*(nCUENTA=1)*(COUNTIF(CONFIG_ASIGNATURAS!$B$7:$B$27,nASIG)&gt;0)*1),"")))</f>
        <v/>
      </c>
      <c r="AF33" t="str">
        <f>IF(AE33="","",IF(AE33="[FÓRMULA MANUAL]","",IFERROR(AVERAGEIFS(nNOTA,nNIA,AE33,nCUENTA,1,nASIG,"Análisis"),"")))</f>
        <v/>
      </c>
      <c r="AG33" t="str">
        <f>IF(AE33="","",IF(AE33="[FÓRMULA MANUAL]","",IFERROR(AVERAGEIFS(nNOTA,nNIA,AE33,nCUENTA,1,nASIG,"Orquesta/Banda/Conjunto"),"")))</f>
        <v/>
      </c>
      <c r="AH33" t="str">
        <f>IF(AE33="","",IF(AE33="[FÓRMULA MANUAL]","",IFERROR(AVERAGEIFS(nNOTA,nNIA,AE33,nCUENTA,1,nASIG,"Música de Cámara"),"")))</f>
        <v/>
      </c>
      <c r="AI33" t="str">
        <f>IF(AE33="","",IF(AE33="[FÓRMULA MANUAL]","",IFERROR(SUMPRODUCT((nNIA=AE33)*(nCUENTA=1)*(COUNTIF(CONFIG_ASIGNATURAS!$B$7:$B$27,nASIG)&gt;0)*(nNOTA))/SUMPRODUCT((nNIA=AE33)*(nCUENTA=1)*(COUNTIF(CONFIG_ASIGNATURAS!$B$7:$B$27,nASIG)&gt;0)*1),"")))</f>
        <v/>
      </c>
    </row>
    <row r="34" spans="2:35" x14ac:dyDescent="0.2">
      <c r="B34" t="str">
        <f>IF(A34="","",IF(A34="[FÓRMULA MANUAL]","",IFERROR(AVERAGEIFS(nNOTA,nNIA,A34,nCUENTA,1,nASIG,"Lenguaje Musical"),"")))</f>
        <v/>
      </c>
      <c r="C34" t="str">
        <f>IF(A34="","",IF(A34="[FÓRMULA MANUAL]","",IFERROR(AVERAGEIFS(nNOTA,nNIA,A34,nCUENTA,1,nASIG,"Orquesta/Banda/Conjunto"),"")))</f>
        <v/>
      </c>
      <c r="D34" t="str">
        <f>IF(A34="","",IF(A34="[FÓRMULA MANUAL]","",IFERROR(AVERAGEIFS(nNOTA,nNIA,A34,nCUENTA,1,nASIG,"Conjunto"),"")))</f>
        <v/>
      </c>
      <c r="E34" t="str">
        <f>IF(A34="","",IF(A34="[FÓRMULA MANUAL]","",IFERROR(SUMPRODUCT((nNIA=A34)*(nCUENTA=1)*(COUNTIF(CONFIG_ASIGNATURAS!$B$7:$B$27,nASIG)&gt;0)*(nNOTA))/SUMPRODUCT((nNIA=A34)*(nCUENTA=1)*(COUNTIF(CONFIG_ASIGNATURAS!$B$7:$B$27,nASIG)&gt;0)*1),"")))</f>
        <v/>
      </c>
      <c r="H34" t="str">
        <f>IF(G34="","",IF(G34="[FÓRMULA MANUAL]","",IFERROR(AVERAGEIFS(nNOTA,nNIA,G34,nCUENTA,1,nASIG,"Lenguaje Musical"),"")))</f>
        <v/>
      </c>
      <c r="I34" t="str">
        <f>IF(G34="","",IF(G34="[FÓRMULA MANUAL]","",IFERROR(AVERAGEIFS(nNOTA,nNIA,G34,nCUENTA,1,nASIG,"Orquesta/Banda/Conjunto"),"")))</f>
        <v/>
      </c>
      <c r="J34" t="str">
        <f>IF(G34="","",IF(G34="[FÓRMULA MANUAL]","",IFERROR(AVERAGEIFS(nNOTA,nNIA,G34,nCUENTA,1,nASIG,"Conjunto"),"")))</f>
        <v/>
      </c>
      <c r="K34" t="str">
        <f>IF(G34="","",IF(G34="[FÓRMULA MANUAL]","",IFERROR(SUMPRODUCT((nNIA=G34)*(nCUENTA=1)*(COUNTIF(CONFIG_ASIGNATURAS!$B$7:$B$27,nASIG)&gt;0)*(nNOTA))/SUMPRODUCT((nNIA=G34)*(nCUENTA=1)*(COUNTIF(CONFIG_ASIGNATURAS!$B$7:$B$27,nASIG)&gt;0)*1),"")))</f>
        <v/>
      </c>
      <c r="N34" t="str">
        <f>IF(M34="","",IF(M34="[FÓRMULA MANUAL]","",IFERROR(AVERAGEIFS(nNOTA,nNIA,M34,nCUENTA,1,nASIG,"Armonía"),"")))</f>
        <v/>
      </c>
      <c r="O34" t="str">
        <f>IF(M34="","",IF(M34="[FÓRMULA MANUAL]","",IFERROR(AVERAGEIFS(nNOTA,nNIA,M34,nCUENTA,1,nASIG,"Orquesta/Banda/Conjunto"),"")))</f>
        <v/>
      </c>
      <c r="P34" t="str">
        <f>IF(M34="","",IF(M34="[FÓRMULA MANUAL]","",IFERROR(AVERAGEIFS(nNOTA,nNIA,M34,nCUENTA,1,nASIG,"Música de Cámara"),"")))</f>
        <v/>
      </c>
      <c r="Q34" t="str">
        <f>IF(M34="","",IF(M34="[FÓRMULA MANUAL]","",IFERROR(SUMPRODUCT((nNIA=M34)*(nCUENTA=1)*(COUNTIF(CONFIG_ASIGNATURAS!$B$7:$B$27,nASIG)&gt;0)*(nNOTA))/SUMPRODUCT((nNIA=M34)*(nCUENTA=1)*(COUNTIF(CONFIG_ASIGNATURAS!$B$7:$B$27,nASIG)&gt;0)*1),"")))</f>
        <v/>
      </c>
      <c r="T34" t="str">
        <f>IF(S34="","",IF(S34="[FÓRMULA MANUAL]","",IFERROR(AVERAGEIFS(nNOTA,nNIA,S34,nCUENTA,1,nASIG,"Armonía"),"")))</f>
        <v/>
      </c>
      <c r="U34" t="str">
        <f>IF(S34="","",IF(S34="[FÓRMULA MANUAL]","",IFERROR(AVERAGEIFS(nNOTA,nNIA,S34,nCUENTA,1,nASIG,"Orquesta/Banda/Conjunto"),"")))</f>
        <v/>
      </c>
      <c r="V34" t="str">
        <f>IF(S34="","",IF(S34="[FÓRMULA MANUAL]","",IFERROR(AVERAGEIFS(nNOTA,nNIA,S34,nCUENTA,1,nASIG,"Música de Cámara"),"")))</f>
        <v/>
      </c>
      <c r="W34" t="str">
        <f>IF(S34="","",IF(S34="[FÓRMULA MANUAL]","",IFERROR(SUMPRODUCT((nNIA=S34)*(nCUENTA=1)*(COUNTIF(CONFIG_ASIGNATURAS!$B$7:$B$27,nASIG)&gt;0)*(nNOTA))/SUMPRODUCT((nNIA=S34)*(nCUENTA=1)*(COUNTIF(CONFIG_ASIGNATURAS!$B$7:$B$27,nASIG)&gt;0)*1),"")))</f>
        <v/>
      </c>
      <c r="Z34" t="str">
        <f>IF(Y34="","",IF(Y34="[FÓRMULA MANUAL]","",IFERROR(AVERAGEIFS(nNOTA,nNIA,Y34,nCUENTA,1,nASIG,"Análisis"),"")))</f>
        <v/>
      </c>
      <c r="AA34" t="str">
        <f>IF(Y34="","",IF(Y34="[FÓRMULA MANUAL]","",IFERROR(AVERAGEIFS(nNOTA,nNIA,Y34,nCUENTA,1,nASIG,"Orquesta/Banda/Conjunto"),"")))</f>
        <v/>
      </c>
      <c r="AB34" t="str">
        <f>IF(Y34="","",IF(Y34="[FÓRMULA MANUAL]","",IFERROR(AVERAGEIFS(nNOTA,nNIA,Y34,nCUENTA,1,nASIG,"Música de Cámara"),"")))</f>
        <v/>
      </c>
      <c r="AC34" t="str">
        <f>IF(Y34="","",IF(Y34="[FÓRMULA MANUAL]","",IFERROR(SUMPRODUCT((nNIA=Y34)*(nCUENTA=1)*(COUNTIF(CONFIG_ASIGNATURAS!$B$7:$B$27,nASIG)&gt;0)*(nNOTA))/SUMPRODUCT((nNIA=Y34)*(nCUENTA=1)*(COUNTIF(CONFIG_ASIGNATURAS!$B$7:$B$27,nASIG)&gt;0)*1),"")))</f>
        <v/>
      </c>
      <c r="AF34" t="str">
        <f>IF(AE34="","",IF(AE34="[FÓRMULA MANUAL]","",IFERROR(AVERAGEIFS(nNOTA,nNIA,AE34,nCUENTA,1,nASIG,"Análisis"),"")))</f>
        <v/>
      </c>
      <c r="AG34" t="str">
        <f>IF(AE34="","",IF(AE34="[FÓRMULA MANUAL]","",IFERROR(AVERAGEIFS(nNOTA,nNIA,AE34,nCUENTA,1,nASIG,"Orquesta/Banda/Conjunto"),"")))</f>
        <v/>
      </c>
      <c r="AH34" t="str">
        <f>IF(AE34="","",IF(AE34="[FÓRMULA MANUAL]","",IFERROR(AVERAGEIFS(nNOTA,nNIA,AE34,nCUENTA,1,nASIG,"Música de Cámara"),"")))</f>
        <v/>
      </c>
      <c r="AI34" t="str">
        <f>IF(AE34="","",IF(AE34="[FÓRMULA MANUAL]","",IFERROR(SUMPRODUCT((nNIA=AE34)*(nCUENTA=1)*(COUNTIF(CONFIG_ASIGNATURAS!$B$7:$B$27,nASIG)&gt;0)*(nNOTA))/SUMPRODUCT((nNIA=AE34)*(nCUENTA=1)*(COUNTIF(CONFIG_ASIGNATURAS!$B$7:$B$27,nASIG)&gt;0)*1),"")))</f>
        <v/>
      </c>
    </row>
    <row r="35" spans="2:35" x14ac:dyDescent="0.2">
      <c r="B35" t="str">
        <f>IF(A35="","",IF(A35="[FÓRMULA MANUAL]","",IFERROR(AVERAGEIFS(nNOTA,nNIA,A35,nCUENTA,1,nASIG,"Lenguaje Musical"),"")))</f>
        <v/>
      </c>
      <c r="C35" t="str">
        <f>IF(A35="","",IF(A35="[FÓRMULA MANUAL]","",IFERROR(AVERAGEIFS(nNOTA,nNIA,A35,nCUENTA,1,nASIG,"Orquesta/Banda/Conjunto"),"")))</f>
        <v/>
      </c>
      <c r="D35" t="str">
        <f>IF(A35="","",IF(A35="[FÓRMULA MANUAL]","",IFERROR(AVERAGEIFS(nNOTA,nNIA,A35,nCUENTA,1,nASIG,"Conjunto"),"")))</f>
        <v/>
      </c>
      <c r="E35" t="str">
        <f>IF(A35="","",IF(A35="[FÓRMULA MANUAL]","",IFERROR(SUMPRODUCT((nNIA=A35)*(nCUENTA=1)*(COUNTIF(CONFIG_ASIGNATURAS!$B$7:$B$27,nASIG)&gt;0)*(nNOTA))/SUMPRODUCT((nNIA=A35)*(nCUENTA=1)*(COUNTIF(CONFIG_ASIGNATURAS!$B$7:$B$27,nASIG)&gt;0)*1),"")))</f>
        <v/>
      </c>
      <c r="H35" t="str">
        <f>IF(G35="","",IF(G35="[FÓRMULA MANUAL]","",IFERROR(AVERAGEIFS(nNOTA,nNIA,G35,nCUENTA,1,nASIG,"Lenguaje Musical"),"")))</f>
        <v/>
      </c>
      <c r="I35" t="str">
        <f>IF(G35="","",IF(G35="[FÓRMULA MANUAL]","",IFERROR(AVERAGEIFS(nNOTA,nNIA,G35,nCUENTA,1,nASIG,"Orquesta/Banda/Conjunto"),"")))</f>
        <v/>
      </c>
      <c r="J35" t="str">
        <f>IF(G35="","",IF(G35="[FÓRMULA MANUAL]","",IFERROR(AVERAGEIFS(nNOTA,nNIA,G35,nCUENTA,1,nASIG,"Conjunto"),"")))</f>
        <v/>
      </c>
      <c r="K35" t="str">
        <f>IF(G35="","",IF(G35="[FÓRMULA MANUAL]","",IFERROR(SUMPRODUCT((nNIA=G35)*(nCUENTA=1)*(COUNTIF(CONFIG_ASIGNATURAS!$B$7:$B$27,nASIG)&gt;0)*(nNOTA))/SUMPRODUCT((nNIA=G35)*(nCUENTA=1)*(COUNTIF(CONFIG_ASIGNATURAS!$B$7:$B$27,nASIG)&gt;0)*1),"")))</f>
        <v/>
      </c>
      <c r="N35" t="str">
        <f>IF(M35="","",IF(M35="[FÓRMULA MANUAL]","",IFERROR(AVERAGEIFS(nNOTA,nNIA,M35,nCUENTA,1,nASIG,"Armonía"),"")))</f>
        <v/>
      </c>
      <c r="O35" t="str">
        <f>IF(M35="","",IF(M35="[FÓRMULA MANUAL]","",IFERROR(AVERAGEIFS(nNOTA,nNIA,M35,nCUENTA,1,nASIG,"Orquesta/Banda/Conjunto"),"")))</f>
        <v/>
      </c>
      <c r="P35" t="str">
        <f>IF(M35="","",IF(M35="[FÓRMULA MANUAL]","",IFERROR(AVERAGEIFS(nNOTA,nNIA,M35,nCUENTA,1,nASIG,"Música de Cámara"),"")))</f>
        <v/>
      </c>
      <c r="Q35" t="str">
        <f>IF(M35="","",IF(M35="[FÓRMULA MANUAL]","",IFERROR(SUMPRODUCT((nNIA=M35)*(nCUENTA=1)*(COUNTIF(CONFIG_ASIGNATURAS!$B$7:$B$27,nASIG)&gt;0)*(nNOTA))/SUMPRODUCT((nNIA=M35)*(nCUENTA=1)*(COUNTIF(CONFIG_ASIGNATURAS!$B$7:$B$27,nASIG)&gt;0)*1),"")))</f>
        <v/>
      </c>
      <c r="T35" t="str">
        <f>IF(S35="","",IF(S35="[FÓRMULA MANUAL]","",IFERROR(AVERAGEIFS(nNOTA,nNIA,S35,nCUENTA,1,nASIG,"Armonía"),"")))</f>
        <v/>
      </c>
      <c r="U35" t="str">
        <f>IF(S35="","",IF(S35="[FÓRMULA MANUAL]","",IFERROR(AVERAGEIFS(nNOTA,nNIA,S35,nCUENTA,1,nASIG,"Orquesta/Banda/Conjunto"),"")))</f>
        <v/>
      </c>
      <c r="V35" t="str">
        <f>IF(S35="","",IF(S35="[FÓRMULA MANUAL]","",IFERROR(AVERAGEIFS(nNOTA,nNIA,S35,nCUENTA,1,nASIG,"Música de Cámara"),"")))</f>
        <v/>
      </c>
      <c r="W35" t="str">
        <f>IF(S35="","",IF(S35="[FÓRMULA MANUAL]","",IFERROR(SUMPRODUCT((nNIA=S35)*(nCUENTA=1)*(COUNTIF(CONFIG_ASIGNATURAS!$B$7:$B$27,nASIG)&gt;0)*(nNOTA))/SUMPRODUCT((nNIA=S35)*(nCUENTA=1)*(COUNTIF(CONFIG_ASIGNATURAS!$B$7:$B$27,nASIG)&gt;0)*1),"")))</f>
        <v/>
      </c>
      <c r="Z35" t="str">
        <f>IF(Y35="","",IF(Y35="[FÓRMULA MANUAL]","",IFERROR(AVERAGEIFS(nNOTA,nNIA,Y35,nCUENTA,1,nASIG,"Análisis"),"")))</f>
        <v/>
      </c>
      <c r="AA35" t="str">
        <f>IF(Y35="","",IF(Y35="[FÓRMULA MANUAL]","",IFERROR(AVERAGEIFS(nNOTA,nNIA,Y35,nCUENTA,1,nASIG,"Orquesta/Banda/Conjunto"),"")))</f>
        <v/>
      </c>
      <c r="AB35" t="str">
        <f>IF(Y35="","",IF(Y35="[FÓRMULA MANUAL]","",IFERROR(AVERAGEIFS(nNOTA,nNIA,Y35,nCUENTA,1,nASIG,"Música de Cámara"),"")))</f>
        <v/>
      </c>
      <c r="AC35" t="str">
        <f>IF(Y35="","",IF(Y35="[FÓRMULA MANUAL]","",IFERROR(SUMPRODUCT((nNIA=Y35)*(nCUENTA=1)*(COUNTIF(CONFIG_ASIGNATURAS!$B$7:$B$27,nASIG)&gt;0)*(nNOTA))/SUMPRODUCT((nNIA=Y35)*(nCUENTA=1)*(COUNTIF(CONFIG_ASIGNATURAS!$B$7:$B$27,nASIG)&gt;0)*1),"")))</f>
        <v/>
      </c>
      <c r="AF35" t="str">
        <f>IF(AE35="","",IF(AE35="[FÓRMULA MANUAL]","",IFERROR(AVERAGEIFS(nNOTA,nNIA,AE35,nCUENTA,1,nASIG,"Análisis"),"")))</f>
        <v/>
      </c>
      <c r="AG35" t="str">
        <f>IF(AE35="","",IF(AE35="[FÓRMULA MANUAL]","",IFERROR(AVERAGEIFS(nNOTA,nNIA,AE35,nCUENTA,1,nASIG,"Orquesta/Banda/Conjunto"),"")))</f>
        <v/>
      </c>
      <c r="AH35" t="str">
        <f>IF(AE35="","",IF(AE35="[FÓRMULA MANUAL]","",IFERROR(AVERAGEIFS(nNOTA,nNIA,AE35,nCUENTA,1,nASIG,"Música de Cámara"),"")))</f>
        <v/>
      </c>
      <c r="AI35" t="str">
        <f>IF(AE35="","",IF(AE35="[FÓRMULA MANUAL]","",IFERROR(SUMPRODUCT((nNIA=AE35)*(nCUENTA=1)*(COUNTIF(CONFIG_ASIGNATURAS!$B$7:$B$27,nASIG)&gt;0)*(nNOTA))/SUMPRODUCT((nNIA=AE35)*(nCUENTA=1)*(COUNTIF(CONFIG_ASIGNATURAS!$B$7:$B$27,nASIG)&gt;0)*1),"")))</f>
        <v/>
      </c>
    </row>
    <row r="36" spans="2:35" x14ac:dyDescent="0.2">
      <c r="B36" t="str">
        <f>IF(A36="","",IF(A36="[FÓRMULA MANUAL]","",IFERROR(AVERAGEIFS(nNOTA,nNIA,A36,nCUENTA,1,nASIG,"Lenguaje Musical"),"")))</f>
        <v/>
      </c>
      <c r="C36" t="str">
        <f>IF(A36="","",IF(A36="[FÓRMULA MANUAL]","",IFERROR(AVERAGEIFS(nNOTA,nNIA,A36,nCUENTA,1,nASIG,"Orquesta/Banda/Conjunto"),"")))</f>
        <v/>
      </c>
      <c r="D36" t="str">
        <f>IF(A36="","",IF(A36="[FÓRMULA MANUAL]","",IFERROR(AVERAGEIFS(nNOTA,nNIA,A36,nCUENTA,1,nASIG,"Conjunto"),"")))</f>
        <v/>
      </c>
      <c r="E36" t="str">
        <f>IF(A36="","",IF(A36="[FÓRMULA MANUAL]","",IFERROR(SUMPRODUCT((nNIA=A36)*(nCUENTA=1)*(COUNTIF(CONFIG_ASIGNATURAS!$B$7:$B$27,nASIG)&gt;0)*(nNOTA))/SUMPRODUCT((nNIA=A36)*(nCUENTA=1)*(COUNTIF(CONFIG_ASIGNATURAS!$B$7:$B$27,nASIG)&gt;0)*1),"")))</f>
        <v/>
      </c>
      <c r="H36" t="str">
        <f>IF(G36="","",IF(G36="[FÓRMULA MANUAL]","",IFERROR(AVERAGEIFS(nNOTA,nNIA,G36,nCUENTA,1,nASIG,"Lenguaje Musical"),"")))</f>
        <v/>
      </c>
      <c r="I36" t="str">
        <f>IF(G36="","",IF(G36="[FÓRMULA MANUAL]","",IFERROR(AVERAGEIFS(nNOTA,nNIA,G36,nCUENTA,1,nASIG,"Orquesta/Banda/Conjunto"),"")))</f>
        <v/>
      </c>
      <c r="J36" t="str">
        <f>IF(G36="","",IF(G36="[FÓRMULA MANUAL]","",IFERROR(AVERAGEIFS(nNOTA,nNIA,G36,nCUENTA,1,nASIG,"Conjunto"),"")))</f>
        <v/>
      </c>
      <c r="K36" t="str">
        <f>IF(G36="","",IF(G36="[FÓRMULA MANUAL]","",IFERROR(SUMPRODUCT((nNIA=G36)*(nCUENTA=1)*(COUNTIF(CONFIG_ASIGNATURAS!$B$7:$B$27,nASIG)&gt;0)*(nNOTA))/SUMPRODUCT((nNIA=G36)*(nCUENTA=1)*(COUNTIF(CONFIG_ASIGNATURAS!$B$7:$B$27,nASIG)&gt;0)*1),"")))</f>
        <v/>
      </c>
      <c r="N36" t="str">
        <f>IF(M36="","",IF(M36="[FÓRMULA MANUAL]","",IFERROR(AVERAGEIFS(nNOTA,nNIA,M36,nCUENTA,1,nASIG,"Armonía"),"")))</f>
        <v/>
      </c>
      <c r="O36" t="str">
        <f>IF(M36="","",IF(M36="[FÓRMULA MANUAL]","",IFERROR(AVERAGEIFS(nNOTA,nNIA,M36,nCUENTA,1,nASIG,"Orquesta/Banda/Conjunto"),"")))</f>
        <v/>
      </c>
      <c r="P36" t="str">
        <f>IF(M36="","",IF(M36="[FÓRMULA MANUAL]","",IFERROR(AVERAGEIFS(nNOTA,nNIA,M36,nCUENTA,1,nASIG,"Música de Cámara"),"")))</f>
        <v/>
      </c>
      <c r="Q36" t="str">
        <f>IF(M36="","",IF(M36="[FÓRMULA MANUAL]","",IFERROR(SUMPRODUCT((nNIA=M36)*(nCUENTA=1)*(COUNTIF(CONFIG_ASIGNATURAS!$B$7:$B$27,nASIG)&gt;0)*(nNOTA))/SUMPRODUCT((nNIA=M36)*(nCUENTA=1)*(COUNTIF(CONFIG_ASIGNATURAS!$B$7:$B$27,nASIG)&gt;0)*1),"")))</f>
        <v/>
      </c>
      <c r="T36" t="str">
        <f>IF(S36="","",IF(S36="[FÓRMULA MANUAL]","",IFERROR(AVERAGEIFS(nNOTA,nNIA,S36,nCUENTA,1,nASIG,"Armonía"),"")))</f>
        <v/>
      </c>
      <c r="U36" t="str">
        <f>IF(S36="","",IF(S36="[FÓRMULA MANUAL]","",IFERROR(AVERAGEIFS(nNOTA,nNIA,S36,nCUENTA,1,nASIG,"Orquesta/Banda/Conjunto"),"")))</f>
        <v/>
      </c>
      <c r="V36" t="str">
        <f>IF(S36="","",IF(S36="[FÓRMULA MANUAL]","",IFERROR(AVERAGEIFS(nNOTA,nNIA,S36,nCUENTA,1,nASIG,"Música de Cámara"),"")))</f>
        <v/>
      </c>
      <c r="W36" t="str">
        <f>IF(S36="","",IF(S36="[FÓRMULA MANUAL]","",IFERROR(SUMPRODUCT((nNIA=S36)*(nCUENTA=1)*(COUNTIF(CONFIG_ASIGNATURAS!$B$7:$B$27,nASIG)&gt;0)*(nNOTA))/SUMPRODUCT((nNIA=S36)*(nCUENTA=1)*(COUNTIF(CONFIG_ASIGNATURAS!$B$7:$B$27,nASIG)&gt;0)*1),"")))</f>
        <v/>
      </c>
      <c r="Z36" t="str">
        <f>IF(Y36="","",IF(Y36="[FÓRMULA MANUAL]","",IFERROR(AVERAGEIFS(nNOTA,nNIA,Y36,nCUENTA,1,nASIG,"Análisis"),"")))</f>
        <v/>
      </c>
      <c r="AA36" t="str">
        <f>IF(Y36="","",IF(Y36="[FÓRMULA MANUAL]","",IFERROR(AVERAGEIFS(nNOTA,nNIA,Y36,nCUENTA,1,nASIG,"Orquesta/Banda/Conjunto"),"")))</f>
        <v/>
      </c>
      <c r="AB36" t="str">
        <f>IF(Y36="","",IF(Y36="[FÓRMULA MANUAL]","",IFERROR(AVERAGEIFS(nNOTA,nNIA,Y36,nCUENTA,1,nASIG,"Música de Cámara"),"")))</f>
        <v/>
      </c>
      <c r="AC36" t="str">
        <f>IF(Y36="","",IF(Y36="[FÓRMULA MANUAL]","",IFERROR(SUMPRODUCT((nNIA=Y36)*(nCUENTA=1)*(COUNTIF(CONFIG_ASIGNATURAS!$B$7:$B$27,nASIG)&gt;0)*(nNOTA))/SUMPRODUCT((nNIA=Y36)*(nCUENTA=1)*(COUNTIF(CONFIG_ASIGNATURAS!$B$7:$B$27,nASIG)&gt;0)*1),"")))</f>
        <v/>
      </c>
      <c r="AF36" t="str">
        <f>IF(AE36="","",IF(AE36="[FÓRMULA MANUAL]","",IFERROR(AVERAGEIFS(nNOTA,nNIA,AE36,nCUENTA,1,nASIG,"Análisis"),"")))</f>
        <v/>
      </c>
      <c r="AG36" t="str">
        <f>IF(AE36="","",IF(AE36="[FÓRMULA MANUAL]","",IFERROR(AVERAGEIFS(nNOTA,nNIA,AE36,nCUENTA,1,nASIG,"Orquesta/Banda/Conjunto"),"")))</f>
        <v/>
      </c>
      <c r="AH36" t="str">
        <f>IF(AE36="","",IF(AE36="[FÓRMULA MANUAL]","",IFERROR(AVERAGEIFS(nNOTA,nNIA,AE36,nCUENTA,1,nASIG,"Música de Cámara"),"")))</f>
        <v/>
      </c>
      <c r="AI36" t="str">
        <f>IF(AE36="","",IF(AE36="[FÓRMULA MANUAL]","",IFERROR(SUMPRODUCT((nNIA=AE36)*(nCUENTA=1)*(COUNTIF(CONFIG_ASIGNATURAS!$B$7:$B$27,nASIG)&gt;0)*(nNOTA))/SUMPRODUCT((nNIA=AE36)*(nCUENTA=1)*(COUNTIF(CONFIG_ASIGNATURAS!$B$7:$B$27,nASIG)&gt;0)*1),"")))</f>
        <v/>
      </c>
    </row>
    <row r="37" spans="2:35" x14ac:dyDescent="0.2">
      <c r="B37" t="str">
        <f>IF(A37="","",IF(A37="[FÓRMULA MANUAL]","",IFERROR(AVERAGEIFS(nNOTA,nNIA,A37,nCUENTA,1,nASIG,"Lenguaje Musical"),"")))</f>
        <v/>
      </c>
      <c r="C37" t="str">
        <f>IF(A37="","",IF(A37="[FÓRMULA MANUAL]","",IFERROR(AVERAGEIFS(nNOTA,nNIA,A37,nCUENTA,1,nASIG,"Orquesta/Banda/Conjunto"),"")))</f>
        <v/>
      </c>
      <c r="D37" t="str">
        <f>IF(A37="","",IF(A37="[FÓRMULA MANUAL]","",IFERROR(AVERAGEIFS(nNOTA,nNIA,A37,nCUENTA,1,nASIG,"Conjunto"),"")))</f>
        <v/>
      </c>
      <c r="E37" t="str">
        <f>IF(A37="","",IF(A37="[FÓRMULA MANUAL]","",IFERROR(SUMPRODUCT((nNIA=A37)*(nCUENTA=1)*(COUNTIF(CONFIG_ASIGNATURAS!$B$7:$B$27,nASIG)&gt;0)*(nNOTA))/SUMPRODUCT((nNIA=A37)*(nCUENTA=1)*(COUNTIF(CONFIG_ASIGNATURAS!$B$7:$B$27,nASIG)&gt;0)*1),"")))</f>
        <v/>
      </c>
      <c r="H37" t="str">
        <f>IF(G37="","",IF(G37="[FÓRMULA MANUAL]","",IFERROR(AVERAGEIFS(nNOTA,nNIA,G37,nCUENTA,1,nASIG,"Lenguaje Musical"),"")))</f>
        <v/>
      </c>
      <c r="I37" t="str">
        <f>IF(G37="","",IF(G37="[FÓRMULA MANUAL]","",IFERROR(AVERAGEIFS(nNOTA,nNIA,G37,nCUENTA,1,nASIG,"Orquesta/Banda/Conjunto"),"")))</f>
        <v/>
      </c>
      <c r="J37" t="str">
        <f>IF(G37="","",IF(G37="[FÓRMULA MANUAL]","",IFERROR(AVERAGEIFS(nNOTA,nNIA,G37,nCUENTA,1,nASIG,"Conjunto"),"")))</f>
        <v/>
      </c>
      <c r="K37" t="str">
        <f>IF(G37="","",IF(G37="[FÓRMULA MANUAL]","",IFERROR(SUMPRODUCT((nNIA=G37)*(nCUENTA=1)*(COUNTIF(CONFIG_ASIGNATURAS!$B$7:$B$27,nASIG)&gt;0)*(nNOTA))/SUMPRODUCT((nNIA=G37)*(nCUENTA=1)*(COUNTIF(CONFIG_ASIGNATURAS!$B$7:$B$27,nASIG)&gt;0)*1),"")))</f>
        <v/>
      </c>
      <c r="N37" t="str">
        <f>IF(M37="","",IF(M37="[FÓRMULA MANUAL]","",IFERROR(AVERAGEIFS(nNOTA,nNIA,M37,nCUENTA,1,nASIG,"Armonía"),"")))</f>
        <v/>
      </c>
      <c r="O37" t="str">
        <f>IF(M37="","",IF(M37="[FÓRMULA MANUAL]","",IFERROR(AVERAGEIFS(nNOTA,nNIA,M37,nCUENTA,1,nASIG,"Orquesta/Banda/Conjunto"),"")))</f>
        <v/>
      </c>
      <c r="P37" t="str">
        <f>IF(M37="","",IF(M37="[FÓRMULA MANUAL]","",IFERROR(AVERAGEIFS(nNOTA,nNIA,M37,nCUENTA,1,nASIG,"Música de Cámara"),"")))</f>
        <v/>
      </c>
      <c r="Q37" t="str">
        <f>IF(M37="","",IF(M37="[FÓRMULA MANUAL]","",IFERROR(SUMPRODUCT((nNIA=M37)*(nCUENTA=1)*(COUNTIF(CONFIG_ASIGNATURAS!$B$7:$B$27,nASIG)&gt;0)*(nNOTA))/SUMPRODUCT((nNIA=M37)*(nCUENTA=1)*(COUNTIF(CONFIG_ASIGNATURAS!$B$7:$B$27,nASIG)&gt;0)*1),"")))</f>
        <v/>
      </c>
      <c r="T37" t="str">
        <f>IF(S37="","",IF(S37="[FÓRMULA MANUAL]","",IFERROR(AVERAGEIFS(nNOTA,nNIA,S37,nCUENTA,1,nASIG,"Armonía"),"")))</f>
        <v/>
      </c>
      <c r="U37" t="str">
        <f>IF(S37="","",IF(S37="[FÓRMULA MANUAL]","",IFERROR(AVERAGEIFS(nNOTA,nNIA,S37,nCUENTA,1,nASIG,"Orquesta/Banda/Conjunto"),"")))</f>
        <v/>
      </c>
      <c r="V37" t="str">
        <f>IF(S37="","",IF(S37="[FÓRMULA MANUAL]","",IFERROR(AVERAGEIFS(nNOTA,nNIA,S37,nCUENTA,1,nASIG,"Música de Cámara"),"")))</f>
        <v/>
      </c>
      <c r="W37" t="str">
        <f>IF(S37="","",IF(S37="[FÓRMULA MANUAL]","",IFERROR(SUMPRODUCT((nNIA=S37)*(nCUENTA=1)*(COUNTIF(CONFIG_ASIGNATURAS!$B$7:$B$27,nASIG)&gt;0)*(nNOTA))/SUMPRODUCT((nNIA=S37)*(nCUENTA=1)*(COUNTIF(CONFIG_ASIGNATURAS!$B$7:$B$27,nASIG)&gt;0)*1),"")))</f>
        <v/>
      </c>
      <c r="Z37" t="str">
        <f>IF(Y37="","",IF(Y37="[FÓRMULA MANUAL]","",IFERROR(AVERAGEIFS(nNOTA,nNIA,Y37,nCUENTA,1,nASIG,"Análisis"),"")))</f>
        <v/>
      </c>
      <c r="AA37" t="str">
        <f>IF(Y37="","",IF(Y37="[FÓRMULA MANUAL]","",IFERROR(AVERAGEIFS(nNOTA,nNIA,Y37,nCUENTA,1,nASIG,"Orquesta/Banda/Conjunto"),"")))</f>
        <v/>
      </c>
      <c r="AB37" t="str">
        <f>IF(Y37="","",IF(Y37="[FÓRMULA MANUAL]","",IFERROR(AVERAGEIFS(nNOTA,nNIA,Y37,nCUENTA,1,nASIG,"Música de Cámara"),"")))</f>
        <v/>
      </c>
      <c r="AC37" t="str">
        <f>IF(Y37="","",IF(Y37="[FÓRMULA MANUAL]","",IFERROR(SUMPRODUCT((nNIA=Y37)*(nCUENTA=1)*(COUNTIF(CONFIG_ASIGNATURAS!$B$7:$B$27,nASIG)&gt;0)*(nNOTA))/SUMPRODUCT((nNIA=Y37)*(nCUENTA=1)*(COUNTIF(CONFIG_ASIGNATURAS!$B$7:$B$27,nASIG)&gt;0)*1),"")))</f>
        <v/>
      </c>
      <c r="AF37" t="str">
        <f>IF(AE37="","",IF(AE37="[FÓRMULA MANUAL]","",IFERROR(AVERAGEIFS(nNOTA,nNIA,AE37,nCUENTA,1,nASIG,"Análisis"),"")))</f>
        <v/>
      </c>
      <c r="AG37" t="str">
        <f>IF(AE37="","",IF(AE37="[FÓRMULA MANUAL]","",IFERROR(AVERAGEIFS(nNOTA,nNIA,AE37,nCUENTA,1,nASIG,"Orquesta/Banda/Conjunto"),"")))</f>
        <v/>
      </c>
      <c r="AH37" t="str">
        <f>IF(AE37="","",IF(AE37="[FÓRMULA MANUAL]","",IFERROR(AVERAGEIFS(nNOTA,nNIA,AE37,nCUENTA,1,nASIG,"Música de Cámara"),"")))</f>
        <v/>
      </c>
      <c r="AI37" t="str">
        <f>IF(AE37="","",IF(AE37="[FÓRMULA MANUAL]","",IFERROR(SUMPRODUCT((nNIA=AE37)*(nCUENTA=1)*(COUNTIF(CONFIG_ASIGNATURAS!$B$7:$B$27,nASIG)&gt;0)*(nNOTA))/SUMPRODUCT((nNIA=AE37)*(nCUENTA=1)*(COUNTIF(CONFIG_ASIGNATURAS!$B$7:$B$27,nASIG)&gt;0)*1),"")))</f>
        <v/>
      </c>
    </row>
    <row r="38" spans="2:35" x14ac:dyDescent="0.2">
      <c r="B38" t="str">
        <f>IF(A38="","",IF(A38="[FÓRMULA MANUAL]","",IFERROR(AVERAGEIFS(nNOTA,nNIA,A38,nCUENTA,1,nASIG,"Lenguaje Musical"),"")))</f>
        <v/>
      </c>
      <c r="C38" t="str">
        <f>IF(A38="","",IF(A38="[FÓRMULA MANUAL]","",IFERROR(AVERAGEIFS(nNOTA,nNIA,A38,nCUENTA,1,nASIG,"Orquesta/Banda/Conjunto"),"")))</f>
        <v/>
      </c>
      <c r="D38" t="str">
        <f>IF(A38="","",IF(A38="[FÓRMULA MANUAL]","",IFERROR(AVERAGEIFS(nNOTA,nNIA,A38,nCUENTA,1,nASIG,"Conjunto"),"")))</f>
        <v/>
      </c>
      <c r="E38" t="str">
        <f>IF(A38="","",IF(A38="[FÓRMULA MANUAL]","",IFERROR(SUMPRODUCT((nNIA=A38)*(nCUENTA=1)*(COUNTIF(CONFIG_ASIGNATURAS!$B$7:$B$27,nASIG)&gt;0)*(nNOTA))/SUMPRODUCT((nNIA=A38)*(nCUENTA=1)*(COUNTIF(CONFIG_ASIGNATURAS!$B$7:$B$27,nASIG)&gt;0)*1),"")))</f>
        <v/>
      </c>
      <c r="H38" t="str">
        <f>IF(G38="","",IF(G38="[FÓRMULA MANUAL]","",IFERROR(AVERAGEIFS(nNOTA,nNIA,G38,nCUENTA,1,nASIG,"Lenguaje Musical"),"")))</f>
        <v/>
      </c>
      <c r="I38" t="str">
        <f>IF(G38="","",IF(G38="[FÓRMULA MANUAL]","",IFERROR(AVERAGEIFS(nNOTA,nNIA,G38,nCUENTA,1,nASIG,"Orquesta/Banda/Conjunto"),"")))</f>
        <v/>
      </c>
      <c r="J38" t="str">
        <f>IF(G38="","",IF(G38="[FÓRMULA MANUAL]","",IFERROR(AVERAGEIFS(nNOTA,nNIA,G38,nCUENTA,1,nASIG,"Conjunto"),"")))</f>
        <v/>
      </c>
      <c r="K38" t="str">
        <f>IF(G38="","",IF(G38="[FÓRMULA MANUAL]","",IFERROR(SUMPRODUCT((nNIA=G38)*(nCUENTA=1)*(COUNTIF(CONFIG_ASIGNATURAS!$B$7:$B$27,nASIG)&gt;0)*(nNOTA))/SUMPRODUCT((nNIA=G38)*(nCUENTA=1)*(COUNTIF(CONFIG_ASIGNATURAS!$B$7:$B$27,nASIG)&gt;0)*1),"")))</f>
        <v/>
      </c>
      <c r="N38" t="str">
        <f>IF(M38="","",IF(M38="[FÓRMULA MANUAL]","",IFERROR(AVERAGEIFS(nNOTA,nNIA,M38,nCUENTA,1,nASIG,"Armonía"),"")))</f>
        <v/>
      </c>
      <c r="O38" t="str">
        <f>IF(M38="","",IF(M38="[FÓRMULA MANUAL]","",IFERROR(AVERAGEIFS(nNOTA,nNIA,M38,nCUENTA,1,nASIG,"Orquesta/Banda/Conjunto"),"")))</f>
        <v/>
      </c>
      <c r="P38" t="str">
        <f>IF(M38="","",IF(M38="[FÓRMULA MANUAL]","",IFERROR(AVERAGEIFS(nNOTA,nNIA,M38,nCUENTA,1,nASIG,"Música de Cámara"),"")))</f>
        <v/>
      </c>
      <c r="Q38" t="str">
        <f>IF(M38="","",IF(M38="[FÓRMULA MANUAL]","",IFERROR(SUMPRODUCT((nNIA=M38)*(nCUENTA=1)*(COUNTIF(CONFIG_ASIGNATURAS!$B$7:$B$27,nASIG)&gt;0)*(nNOTA))/SUMPRODUCT((nNIA=M38)*(nCUENTA=1)*(COUNTIF(CONFIG_ASIGNATURAS!$B$7:$B$27,nASIG)&gt;0)*1),"")))</f>
        <v/>
      </c>
      <c r="T38" t="str">
        <f>IF(S38="","",IF(S38="[FÓRMULA MANUAL]","",IFERROR(AVERAGEIFS(nNOTA,nNIA,S38,nCUENTA,1,nASIG,"Armonía"),"")))</f>
        <v/>
      </c>
      <c r="U38" t="str">
        <f>IF(S38="","",IF(S38="[FÓRMULA MANUAL]","",IFERROR(AVERAGEIFS(nNOTA,nNIA,S38,nCUENTA,1,nASIG,"Orquesta/Banda/Conjunto"),"")))</f>
        <v/>
      </c>
      <c r="V38" t="str">
        <f>IF(S38="","",IF(S38="[FÓRMULA MANUAL]","",IFERROR(AVERAGEIFS(nNOTA,nNIA,S38,nCUENTA,1,nASIG,"Música de Cámara"),"")))</f>
        <v/>
      </c>
      <c r="W38" t="str">
        <f>IF(S38="","",IF(S38="[FÓRMULA MANUAL]","",IFERROR(SUMPRODUCT((nNIA=S38)*(nCUENTA=1)*(COUNTIF(CONFIG_ASIGNATURAS!$B$7:$B$27,nASIG)&gt;0)*(nNOTA))/SUMPRODUCT((nNIA=S38)*(nCUENTA=1)*(COUNTIF(CONFIG_ASIGNATURAS!$B$7:$B$27,nASIG)&gt;0)*1),"")))</f>
        <v/>
      </c>
      <c r="Z38" t="str">
        <f>IF(Y38="","",IF(Y38="[FÓRMULA MANUAL]","",IFERROR(AVERAGEIFS(nNOTA,nNIA,Y38,nCUENTA,1,nASIG,"Análisis"),"")))</f>
        <v/>
      </c>
      <c r="AA38" t="str">
        <f>IF(Y38="","",IF(Y38="[FÓRMULA MANUAL]","",IFERROR(AVERAGEIFS(nNOTA,nNIA,Y38,nCUENTA,1,nASIG,"Orquesta/Banda/Conjunto"),"")))</f>
        <v/>
      </c>
      <c r="AB38" t="str">
        <f>IF(Y38="","",IF(Y38="[FÓRMULA MANUAL]","",IFERROR(AVERAGEIFS(nNOTA,nNIA,Y38,nCUENTA,1,nASIG,"Música de Cámara"),"")))</f>
        <v/>
      </c>
      <c r="AC38" t="str">
        <f>IF(Y38="","",IF(Y38="[FÓRMULA MANUAL]","",IFERROR(SUMPRODUCT((nNIA=Y38)*(nCUENTA=1)*(COUNTIF(CONFIG_ASIGNATURAS!$B$7:$B$27,nASIG)&gt;0)*(nNOTA))/SUMPRODUCT((nNIA=Y38)*(nCUENTA=1)*(COUNTIF(CONFIG_ASIGNATURAS!$B$7:$B$27,nASIG)&gt;0)*1),"")))</f>
        <v/>
      </c>
      <c r="AF38" t="str">
        <f>IF(AE38="","",IF(AE38="[FÓRMULA MANUAL]","",IFERROR(AVERAGEIFS(nNOTA,nNIA,AE38,nCUENTA,1,nASIG,"Análisis"),"")))</f>
        <v/>
      </c>
      <c r="AG38" t="str">
        <f>IF(AE38="","",IF(AE38="[FÓRMULA MANUAL]","",IFERROR(AVERAGEIFS(nNOTA,nNIA,AE38,nCUENTA,1,nASIG,"Orquesta/Banda/Conjunto"),"")))</f>
        <v/>
      </c>
      <c r="AH38" t="str">
        <f>IF(AE38="","",IF(AE38="[FÓRMULA MANUAL]","",IFERROR(AVERAGEIFS(nNOTA,nNIA,AE38,nCUENTA,1,nASIG,"Música de Cámara"),"")))</f>
        <v/>
      </c>
      <c r="AI38" t="str">
        <f>IF(AE38="","",IF(AE38="[FÓRMULA MANUAL]","",IFERROR(SUMPRODUCT((nNIA=AE38)*(nCUENTA=1)*(COUNTIF(CONFIG_ASIGNATURAS!$B$7:$B$27,nASIG)&gt;0)*(nNOTA))/SUMPRODUCT((nNIA=AE38)*(nCUENTA=1)*(COUNTIF(CONFIG_ASIGNATURAS!$B$7:$B$27,nASIG)&gt;0)*1),"")))</f>
        <v/>
      </c>
    </row>
    <row r="39" spans="2:35" x14ac:dyDescent="0.2">
      <c r="B39" t="str">
        <f>IF(A39="","",IF(A39="[FÓRMULA MANUAL]","",IFERROR(AVERAGEIFS(nNOTA,nNIA,A39,nCUENTA,1,nASIG,"Lenguaje Musical"),"")))</f>
        <v/>
      </c>
      <c r="C39" t="str">
        <f>IF(A39="","",IF(A39="[FÓRMULA MANUAL]","",IFERROR(AVERAGEIFS(nNOTA,nNIA,A39,nCUENTA,1,nASIG,"Orquesta/Banda/Conjunto"),"")))</f>
        <v/>
      </c>
      <c r="D39" t="str">
        <f>IF(A39="","",IF(A39="[FÓRMULA MANUAL]","",IFERROR(AVERAGEIFS(nNOTA,nNIA,A39,nCUENTA,1,nASIG,"Conjunto"),"")))</f>
        <v/>
      </c>
      <c r="E39" t="str">
        <f>IF(A39="","",IF(A39="[FÓRMULA MANUAL]","",IFERROR(SUMPRODUCT((nNIA=A39)*(nCUENTA=1)*(COUNTIF(CONFIG_ASIGNATURAS!$B$7:$B$27,nASIG)&gt;0)*(nNOTA))/SUMPRODUCT((nNIA=A39)*(nCUENTA=1)*(COUNTIF(CONFIG_ASIGNATURAS!$B$7:$B$27,nASIG)&gt;0)*1),"")))</f>
        <v/>
      </c>
      <c r="H39" t="str">
        <f>IF(G39="","",IF(G39="[FÓRMULA MANUAL]","",IFERROR(AVERAGEIFS(nNOTA,nNIA,G39,nCUENTA,1,nASIG,"Lenguaje Musical"),"")))</f>
        <v/>
      </c>
      <c r="I39" t="str">
        <f>IF(G39="","",IF(G39="[FÓRMULA MANUAL]","",IFERROR(AVERAGEIFS(nNOTA,nNIA,G39,nCUENTA,1,nASIG,"Orquesta/Banda/Conjunto"),"")))</f>
        <v/>
      </c>
      <c r="J39" t="str">
        <f>IF(G39="","",IF(G39="[FÓRMULA MANUAL]","",IFERROR(AVERAGEIFS(nNOTA,nNIA,G39,nCUENTA,1,nASIG,"Conjunto"),"")))</f>
        <v/>
      </c>
      <c r="K39" t="str">
        <f>IF(G39="","",IF(G39="[FÓRMULA MANUAL]","",IFERROR(SUMPRODUCT((nNIA=G39)*(nCUENTA=1)*(COUNTIF(CONFIG_ASIGNATURAS!$B$7:$B$27,nASIG)&gt;0)*(nNOTA))/SUMPRODUCT((nNIA=G39)*(nCUENTA=1)*(COUNTIF(CONFIG_ASIGNATURAS!$B$7:$B$27,nASIG)&gt;0)*1),"")))</f>
        <v/>
      </c>
      <c r="N39" t="str">
        <f>IF(M39="","",IF(M39="[FÓRMULA MANUAL]","",IFERROR(AVERAGEIFS(nNOTA,nNIA,M39,nCUENTA,1,nASIG,"Armonía"),"")))</f>
        <v/>
      </c>
      <c r="O39" t="str">
        <f>IF(M39="","",IF(M39="[FÓRMULA MANUAL]","",IFERROR(AVERAGEIFS(nNOTA,nNIA,M39,nCUENTA,1,nASIG,"Orquesta/Banda/Conjunto"),"")))</f>
        <v/>
      </c>
      <c r="P39" t="str">
        <f>IF(M39="","",IF(M39="[FÓRMULA MANUAL]","",IFERROR(AVERAGEIFS(nNOTA,nNIA,M39,nCUENTA,1,nASIG,"Música de Cámara"),"")))</f>
        <v/>
      </c>
      <c r="Q39" t="str">
        <f>IF(M39="","",IF(M39="[FÓRMULA MANUAL]","",IFERROR(SUMPRODUCT((nNIA=M39)*(nCUENTA=1)*(COUNTIF(CONFIG_ASIGNATURAS!$B$7:$B$27,nASIG)&gt;0)*(nNOTA))/SUMPRODUCT((nNIA=M39)*(nCUENTA=1)*(COUNTIF(CONFIG_ASIGNATURAS!$B$7:$B$27,nASIG)&gt;0)*1),"")))</f>
        <v/>
      </c>
      <c r="T39" t="str">
        <f>IF(S39="","",IF(S39="[FÓRMULA MANUAL]","",IFERROR(AVERAGEIFS(nNOTA,nNIA,S39,nCUENTA,1,nASIG,"Armonía"),"")))</f>
        <v/>
      </c>
      <c r="U39" t="str">
        <f>IF(S39="","",IF(S39="[FÓRMULA MANUAL]","",IFERROR(AVERAGEIFS(nNOTA,nNIA,S39,nCUENTA,1,nASIG,"Orquesta/Banda/Conjunto"),"")))</f>
        <v/>
      </c>
      <c r="V39" t="str">
        <f>IF(S39="","",IF(S39="[FÓRMULA MANUAL]","",IFERROR(AVERAGEIFS(nNOTA,nNIA,S39,nCUENTA,1,nASIG,"Música de Cámara"),"")))</f>
        <v/>
      </c>
      <c r="W39" t="str">
        <f>IF(S39="","",IF(S39="[FÓRMULA MANUAL]","",IFERROR(SUMPRODUCT((nNIA=S39)*(nCUENTA=1)*(COUNTIF(CONFIG_ASIGNATURAS!$B$7:$B$27,nASIG)&gt;0)*(nNOTA))/SUMPRODUCT((nNIA=S39)*(nCUENTA=1)*(COUNTIF(CONFIG_ASIGNATURAS!$B$7:$B$27,nASIG)&gt;0)*1),"")))</f>
        <v/>
      </c>
      <c r="Z39" t="str">
        <f>IF(Y39="","",IF(Y39="[FÓRMULA MANUAL]","",IFERROR(AVERAGEIFS(nNOTA,nNIA,Y39,nCUENTA,1,nASIG,"Análisis"),"")))</f>
        <v/>
      </c>
      <c r="AA39" t="str">
        <f>IF(Y39="","",IF(Y39="[FÓRMULA MANUAL]","",IFERROR(AVERAGEIFS(nNOTA,nNIA,Y39,nCUENTA,1,nASIG,"Orquesta/Banda/Conjunto"),"")))</f>
        <v/>
      </c>
      <c r="AB39" t="str">
        <f>IF(Y39="","",IF(Y39="[FÓRMULA MANUAL]","",IFERROR(AVERAGEIFS(nNOTA,nNIA,Y39,nCUENTA,1,nASIG,"Música de Cámara"),"")))</f>
        <v/>
      </c>
      <c r="AC39" t="str">
        <f>IF(Y39="","",IF(Y39="[FÓRMULA MANUAL]","",IFERROR(SUMPRODUCT((nNIA=Y39)*(nCUENTA=1)*(COUNTIF(CONFIG_ASIGNATURAS!$B$7:$B$27,nASIG)&gt;0)*(nNOTA))/SUMPRODUCT((nNIA=Y39)*(nCUENTA=1)*(COUNTIF(CONFIG_ASIGNATURAS!$B$7:$B$27,nASIG)&gt;0)*1),"")))</f>
        <v/>
      </c>
      <c r="AF39" t="str">
        <f>IF(AE39="","",IF(AE39="[FÓRMULA MANUAL]","",IFERROR(AVERAGEIFS(nNOTA,nNIA,AE39,nCUENTA,1,nASIG,"Análisis"),"")))</f>
        <v/>
      </c>
      <c r="AG39" t="str">
        <f>IF(AE39="","",IF(AE39="[FÓRMULA MANUAL]","",IFERROR(AVERAGEIFS(nNOTA,nNIA,AE39,nCUENTA,1,nASIG,"Orquesta/Banda/Conjunto"),"")))</f>
        <v/>
      </c>
      <c r="AH39" t="str">
        <f>IF(AE39="","",IF(AE39="[FÓRMULA MANUAL]","",IFERROR(AVERAGEIFS(nNOTA,nNIA,AE39,nCUENTA,1,nASIG,"Música de Cámara"),"")))</f>
        <v/>
      </c>
      <c r="AI39" t="str">
        <f>IF(AE39="","",IF(AE39="[FÓRMULA MANUAL]","",IFERROR(SUMPRODUCT((nNIA=AE39)*(nCUENTA=1)*(COUNTIF(CONFIG_ASIGNATURAS!$B$7:$B$27,nASIG)&gt;0)*(nNOTA))/SUMPRODUCT((nNIA=AE39)*(nCUENTA=1)*(COUNTIF(CONFIG_ASIGNATURAS!$B$7:$B$27,nASIG)&gt;0)*1),"")))</f>
        <v/>
      </c>
    </row>
    <row r="40" spans="2:35" x14ac:dyDescent="0.2">
      <c r="B40" t="str">
        <f>IF(A40="","",IF(A40="[FÓRMULA MANUAL]","",IFERROR(AVERAGEIFS(nNOTA,nNIA,A40,nCUENTA,1,nASIG,"Lenguaje Musical"),"")))</f>
        <v/>
      </c>
      <c r="C40" t="str">
        <f>IF(A40="","",IF(A40="[FÓRMULA MANUAL]","",IFERROR(AVERAGEIFS(nNOTA,nNIA,A40,nCUENTA,1,nASIG,"Orquesta/Banda/Conjunto"),"")))</f>
        <v/>
      </c>
      <c r="D40" t="str">
        <f>IF(A40="","",IF(A40="[FÓRMULA MANUAL]","",IFERROR(AVERAGEIFS(nNOTA,nNIA,A40,nCUENTA,1,nASIG,"Conjunto"),"")))</f>
        <v/>
      </c>
      <c r="E40" t="str">
        <f>IF(A40="","",IF(A40="[FÓRMULA MANUAL]","",IFERROR(SUMPRODUCT((nNIA=A40)*(nCUENTA=1)*(COUNTIF(CONFIG_ASIGNATURAS!$B$7:$B$27,nASIG)&gt;0)*(nNOTA))/SUMPRODUCT((nNIA=A40)*(nCUENTA=1)*(COUNTIF(CONFIG_ASIGNATURAS!$B$7:$B$27,nASIG)&gt;0)*1),"")))</f>
        <v/>
      </c>
      <c r="H40" t="str">
        <f>IF(G40="","",IF(G40="[FÓRMULA MANUAL]","",IFERROR(AVERAGEIFS(nNOTA,nNIA,G40,nCUENTA,1,nASIG,"Lenguaje Musical"),"")))</f>
        <v/>
      </c>
      <c r="I40" t="str">
        <f>IF(G40="","",IF(G40="[FÓRMULA MANUAL]","",IFERROR(AVERAGEIFS(nNOTA,nNIA,G40,nCUENTA,1,nASIG,"Orquesta/Banda/Conjunto"),"")))</f>
        <v/>
      </c>
      <c r="J40" t="str">
        <f>IF(G40="","",IF(G40="[FÓRMULA MANUAL]","",IFERROR(AVERAGEIFS(nNOTA,nNIA,G40,nCUENTA,1,nASIG,"Conjunto"),"")))</f>
        <v/>
      </c>
      <c r="K40" t="str">
        <f>IF(G40="","",IF(G40="[FÓRMULA MANUAL]","",IFERROR(SUMPRODUCT((nNIA=G40)*(nCUENTA=1)*(COUNTIF(CONFIG_ASIGNATURAS!$B$7:$B$27,nASIG)&gt;0)*(nNOTA))/SUMPRODUCT((nNIA=G40)*(nCUENTA=1)*(COUNTIF(CONFIG_ASIGNATURAS!$B$7:$B$27,nASIG)&gt;0)*1),"")))</f>
        <v/>
      </c>
      <c r="N40" t="str">
        <f>IF(M40="","",IF(M40="[FÓRMULA MANUAL]","",IFERROR(AVERAGEIFS(nNOTA,nNIA,M40,nCUENTA,1,nASIG,"Armonía"),"")))</f>
        <v/>
      </c>
      <c r="O40" t="str">
        <f>IF(M40="","",IF(M40="[FÓRMULA MANUAL]","",IFERROR(AVERAGEIFS(nNOTA,nNIA,M40,nCUENTA,1,nASIG,"Orquesta/Banda/Conjunto"),"")))</f>
        <v/>
      </c>
      <c r="P40" t="str">
        <f>IF(M40="","",IF(M40="[FÓRMULA MANUAL]","",IFERROR(AVERAGEIFS(nNOTA,nNIA,M40,nCUENTA,1,nASIG,"Música de Cámara"),"")))</f>
        <v/>
      </c>
      <c r="Q40" t="str">
        <f>IF(M40="","",IF(M40="[FÓRMULA MANUAL]","",IFERROR(SUMPRODUCT((nNIA=M40)*(nCUENTA=1)*(COUNTIF(CONFIG_ASIGNATURAS!$B$7:$B$27,nASIG)&gt;0)*(nNOTA))/SUMPRODUCT((nNIA=M40)*(nCUENTA=1)*(COUNTIF(CONFIG_ASIGNATURAS!$B$7:$B$27,nASIG)&gt;0)*1),"")))</f>
        <v/>
      </c>
      <c r="T40" t="str">
        <f>IF(S40="","",IF(S40="[FÓRMULA MANUAL]","",IFERROR(AVERAGEIFS(nNOTA,nNIA,S40,nCUENTA,1,nASIG,"Armonía"),"")))</f>
        <v/>
      </c>
      <c r="U40" t="str">
        <f>IF(S40="","",IF(S40="[FÓRMULA MANUAL]","",IFERROR(AVERAGEIFS(nNOTA,nNIA,S40,nCUENTA,1,nASIG,"Orquesta/Banda/Conjunto"),"")))</f>
        <v/>
      </c>
      <c r="V40" t="str">
        <f>IF(S40="","",IF(S40="[FÓRMULA MANUAL]","",IFERROR(AVERAGEIFS(nNOTA,nNIA,S40,nCUENTA,1,nASIG,"Música de Cámara"),"")))</f>
        <v/>
      </c>
      <c r="W40" t="str">
        <f>IF(S40="","",IF(S40="[FÓRMULA MANUAL]","",IFERROR(SUMPRODUCT((nNIA=S40)*(nCUENTA=1)*(COUNTIF(CONFIG_ASIGNATURAS!$B$7:$B$27,nASIG)&gt;0)*(nNOTA))/SUMPRODUCT((nNIA=S40)*(nCUENTA=1)*(COUNTIF(CONFIG_ASIGNATURAS!$B$7:$B$27,nASIG)&gt;0)*1),"")))</f>
        <v/>
      </c>
      <c r="Z40" t="str">
        <f>IF(Y40="","",IF(Y40="[FÓRMULA MANUAL]","",IFERROR(AVERAGEIFS(nNOTA,nNIA,Y40,nCUENTA,1,nASIG,"Análisis"),"")))</f>
        <v/>
      </c>
      <c r="AA40" t="str">
        <f>IF(Y40="","",IF(Y40="[FÓRMULA MANUAL]","",IFERROR(AVERAGEIFS(nNOTA,nNIA,Y40,nCUENTA,1,nASIG,"Orquesta/Banda/Conjunto"),"")))</f>
        <v/>
      </c>
      <c r="AB40" t="str">
        <f>IF(Y40="","",IF(Y40="[FÓRMULA MANUAL]","",IFERROR(AVERAGEIFS(nNOTA,nNIA,Y40,nCUENTA,1,nASIG,"Música de Cámara"),"")))</f>
        <v/>
      </c>
      <c r="AC40" t="str">
        <f>IF(Y40="","",IF(Y40="[FÓRMULA MANUAL]","",IFERROR(SUMPRODUCT((nNIA=Y40)*(nCUENTA=1)*(COUNTIF(CONFIG_ASIGNATURAS!$B$7:$B$27,nASIG)&gt;0)*(nNOTA))/SUMPRODUCT((nNIA=Y40)*(nCUENTA=1)*(COUNTIF(CONFIG_ASIGNATURAS!$B$7:$B$27,nASIG)&gt;0)*1),"")))</f>
        <v/>
      </c>
      <c r="AF40" t="str">
        <f>IF(AE40="","",IF(AE40="[FÓRMULA MANUAL]","",IFERROR(AVERAGEIFS(nNOTA,nNIA,AE40,nCUENTA,1,nASIG,"Análisis"),"")))</f>
        <v/>
      </c>
      <c r="AG40" t="str">
        <f>IF(AE40="","",IF(AE40="[FÓRMULA MANUAL]","",IFERROR(AVERAGEIFS(nNOTA,nNIA,AE40,nCUENTA,1,nASIG,"Orquesta/Banda/Conjunto"),"")))</f>
        <v/>
      </c>
      <c r="AH40" t="str">
        <f>IF(AE40="","",IF(AE40="[FÓRMULA MANUAL]","",IFERROR(AVERAGEIFS(nNOTA,nNIA,AE40,nCUENTA,1,nASIG,"Música de Cámara"),"")))</f>
        <v/>
      </c>
      <c r="AI40" t="str">
        <f>IF(AE40="","",IF(AE40="[FÓRMULA MANUAL]","",IFERROR(SUMPRODUCT((nNIA=AE40)*(nCUENTA=1)*(COUNTIF(CONFIG_ASIGNATURAS!$B$7:$B$27,nASIG)&gt;0)*(nNOTA))/SUMPRODUCT((nNIA=AE40)*(nCUENTA=1)*(COUNTIF(CONFIG_ASIGNATURAS!$B$7:$B$27,nASIG)&gt;0)*1),"")))</f>
        <v/>
      </c>
    </row>
    <row r="41" spans="2:35" x14ac:dyDescent="0.2">
      <c r="B41" t="str">
        <f>IF(A41="","",IF(A41="[FÓRMULA MANUAL]","",IFERROR(AVERAGEIFS(nNOTA,nNIA,A41,nCUENTA,1,nASIG,"Lenguaje Musical"),"")))</f>
        <v/>
      </c>
      <c r="C41" t="str">
        <f>IF(A41="","",IF(A41="[FÓRMULA MANUAL]","",IFERROR(AVERAGEIFS(nNOTA,nNIA,A41,nCUENTA,1,nASIG,"Orquesta/Banda/Conjunto"),"")))</f>
        <v/>
      </c>
      <c r="D41" t="str">
        <f>IF(A41="","",IF(A41="[FÓRMULA MANUAL]","",IFERROR(AVERAGEIFS(nNOTA,nNIA,A41,nCUENTA,1,nASIG,"Conjunto"),"")))</f>
        <v/>
      </c>
      <c r="E41" t="str">
        <f>IF(A41="","",IF(A41="[FÓRMULA MANUAL]","",IFERROR(SUMPRODUCT((nNIA=A41)*(nCUENTA=1)*(COUNTIF(CONFIG_ASIGNATURAS!$B$7:$B$27,nASIG)&gt;0)*(nNOTA))/SUMPRODUCT((nNIA=A41)*(nCUENTA=1)*(COUNTIF(CONFIG_ASIGNATURAS!$B$7:$B$27,nASIG)&gt;0)*1),"")))</f>
        <v/>
      </c>
      <c r="H41" t="str">
        <f>IF(G41="","",IF(G41="[FÓRMULA MANUAL]","",IFERROR(AVERAGEIFS(nNOTA,nNIA,G41,nCUENTA,1,nASIG,"Lenguaje Musical"),"")))</f>
        <v/>
      </c>
      <c r="I41" t="str">
        <f>IF(G41="","",IF(G41="[FÓRMULA MANUAL]","",IFERROR(AVERAGEIFS(nNOTA,nNIA,G41,nCUENTA,1,nASIG,"Orquesta/Banda/Conjunto"),"")))</f>
        <v/>
      </c>
      <c r="J41" t="str">
        <f>IF(G41="","",IF(G41="[FÓRMULA MANUAL]","",IFERROR(AVERAGEIFS(nNOTA,nNIA,G41,nCUENTA,1,nASIG,"Conjunto"),"")))</f>
        <v/>
      </c>
      <c r="K41" t="str">
        <f>IF(G41="","",IF(G41="[FÓRMULA MANUAL]","",IFERROR(SUMPRODUCT((nNIA=G41)*(nCUENTA=1)*(COUNTIF(CONFIG_ASIGNATURAS!$B$7:$B$27,nASIG)&gt;0)*(nNOTA))/SUMPRODUCT((nNIA=G41)*(nCUENTA=1)*(COUNTIF(CONFIG_ASIGNATURAS!$B$7:$B$27,nASIG)&gt;0)*1),"")))</f>
        <v/>
      </c>
      <c r="N41" t="str">
        <f>IF(M41="","",IF(M41="[FÓRMULA MANUAL]","",IFERROR(AVERAGEIFS(nNOTA,nNIA,M41,nCUENTA,1,nASIG,"Armonía"),"")))</f>
        <v/>
      </c>
      <c r="O41" t="str">
        <f>IF(M41="","",IF(M41="[FÓRMULA MANUAL]","",IFERROR(AVERAGEIFS(nNOTA,nNIA,M41,nCUENTA,1,nASIG,"Orquesta/Banda/Conjunto"),"")))</f>
        <v/>
      </c>
      <c r="P41" t="str">
        <f>IF(M41="","",IF(M41="[FÓRMULA MANUAL]","",IFERROR(AVERAGEIFS(nNOTA,nNIA,M41,nCUENTA,1,nASIG,"Música de Cámara"),"")))</f>
        <v/>
      </c>
      <c r="Q41" t="str">
        <f>IF(M41="","",IF(M41="[FÓRMULA MANUAL]","",IFERROR(SUMPRODUCT((nNIA=M41)*(nCUENTA=1)*(COUNTIF(CONFIG_ASIGNATURAS!$B$7:$B$27,nASIG)&gt;0)*(nNOTA))/SUMPRODUCT((nNIA=M41)*(nCUENTA=1)*(COUNTIF(CONFIG_ASIGNATURAS!$B$7:$B$27,nASIG)&gt;0)*1),"")))</f>
        <v/>
      </c>
      <c r="T41" t="str">
        <f>IF(S41="","",IF(S41="[FÓRMULA MANUAL]","",IFERROR(AVERAGEIFS(nNOTA,nNIA,S41,nCUENTA,1,nASIG,"Armonía"),"")))</f>
        <v/>
      </c>
      <c r="U41" t="str">
        <f>IF(S41="","",IF(S41="[FÓRMULA MANUAL]","",IFERROR(AVERAGEIFS(nNOTA,nNIA,S41,nCUENTA,1,nASIG,"Orquesta/Banda/Conjunto"),"")))</f>
        <v/>
      </c>
      <c r="V41" t="str">
        <f>IF(S41="","",IF(S41="[FÓRMULA MANUAL]","",IFERROR(AVERAGEIFS(nNOTA,nNIA,S41,nCUENTA,1,nASIG,"Música de Cámara"),"")))</f>
        <v/>
      </c>
      <c r="W41" t="str">
        <f>IF(S41="","",IF(S41="[FÓRMULA MANUAL]","",IFERROR(SUMPRODUCT((nNIA=S41)*(nCUENTA=1)*(COUNTIF(CONFIG_ASIGNATURAS!$B$7:$B$27,nASIG)&gt;0)*(nNOTA))/SUMPRODUCT((nNIA=S41)*(nCUENTA=1)*(COUNTIF(CONFIG_ASIGNATURAS!$B$7:$B$27,nASIG)&gt;0)*1),"")))</f>
        <v/>
      </c>
      <c r="Z41" t="str">
        <f>IF(Y41="","",IF(Y41="[FÓRMULA MANUAL]","",IFERROR(AVERAGEIFS(nNOTA,nNIA,Y41,nCUENTA,1,nASIG,"Análisis"),"")))</f>
        <v/>
      </c>
      <c r="AA41" t="str">
        <f>IF(Y41="","",IF(Y41="[FÓRMULA MANUAL]","",IFERROR(AVERAGEIFS(nNOTA,nNIA,Y41,nCUENTA,1,nASIG,"Orquesta/Banda/Conjunto"),"")))</f>
        <v/>
      </c>
      <c r="AB41" t="str">
        <f>IF(Y41="","",IF(Y41="[FÓRMULA MANUAL]","",IFERROR(AVERAGEIFS(nNOTA,nNIA,Y41,nCUENTA,1,nASIG,"Música de Cámara"),"")))</f>
        <v/>
      </c>
      <c r="AC41" t="str">
        <f>IF(Y41="","",IF(Y41="[FÓRMULA MANUAL]","",IFERROR(SUMPRODUCT((nNIA=Y41)*(nCUENTA=1)*(COUNTIF(CONFIG_ASIGNATURAS!$B$7:$B$27,nASIG)&gt;0)*(nNOTA))/SUMPRODUCT((nNIA=Y41)*(nCUENTA=1)*(COUNTIF(CONFIG_ASIGNATURAS!$B$7:$B$27,nASIG)&gt;0)*1),"")))</f>
        <v/>
      </c>
      <c r="AF41" t="str">
        <f>IF(AE41="","",IF(AE41="[FÓRMULA MANUAL]","",IFERROR(AVERAGEIFS(nNOTA,nNIA,AE41,nCUENTA,1,nASIG,"Análisis"),"")))</f>
        <v/>
      </c>
      <c r="AG41" t="str">
        <f>IF(AE41="","",IF(AE41="[FÓRMULA MANUAL]","",IFERROR(AVERAGEIFS(nNOTA,nNIA,AE41,nCUENTA,1,nASIG,"Orquesta/Banda/Conjunto"),"")))</f>
        <v/>
      </c>
      <c r="AH41" t="str">
        <f>IF(AE41="","",IF(AE41="[FÓRMULA MANUAL]","",IFERROR(AVERAGEIFS(nNOTA,nNIA,AE41,nCUENTA,1,nASIG,"Música de Cámara"),"")))</f>
        <v/>
      </c>
      <c r="AI41" t="str">
        <f>IF(AE41="","",IF(AE41="[FÓRMULA MANUAL]","",IFERROR(SUMPRODUCT((nNIA=AE41)*(nCUENTA=1)*(COUNTIF(CONFIG_ASIGNATURAS!$B$7:$B$27,nASIG)&gt;0)*(nNOTA))/SUMPRODUCT((nNIA=AE41)*(nCUENTA=1)*(COUNTIF(CONFIG_ASIGNATURAS!$B$7:$B$27,nASIG)&gt;0)*1),"")))</f>
        <v/>
      </c>
    </row>
    <row r="42" spans="2:35" x14ac:dyDescent="0.2">
      <c r="B42" t="str">
        <f>IF(A42="","",IF(A42="[FÓRMULA MANUAL]","",IFERROR(AVERAGEIFS(nNOTA,nNIA,A42,nCUENTA,1,nASIG,"Lenguaje Musical"),"")))</f>
        <v/>
      </c>
      <c r="C42" t="str">
        <f>IF(A42="","",IF(A42="[FÓRMULA MANUAL]","",IFERROR(AVERAGEIFS(nNOTA,nNIA,A42,nCUENTA,1,nASIG,"Orquesta/Banda/Conjunto"),"")))</f>
        <v/>
      </c>
      <c r="D42" t="str">
        <f>IF(A42="","",IF(A42="[FÓRMULA MANUAL]","",IFERROR(AVERAGEIFS(nNOTA,nNIA,A42,nCUENTA,1,nASIG,"Conjunto"),"")))</f>
        <v/>
      </c>
      <c r="E42" t="str">
        <f>IF(A42="","",IF(A42="[FÓRMULA MANUAL]","",IFERROR(SUMPRODUCT((nNIA=A42)*(nCUENTA=1)*(COUNTIF(CONFIG_ASIGNATURAS!$B$7:$B$27,nASIG)&gt;0)*(nNOTA))/SUMPRODUCT((nNIA=A42)*(nCUENTA=1)*(COUNTIF(CONFIG_ASIGNATURAS!$B$7:$B$27,nASIG)&gt;0)*1),"")))</f>
        <v/>
      </c>
      <c r="H42" t="str">
        <f>IF(G42="","",IF(G42="[FÓRMULA MANUAL]","",IFERROR(AVERAGEIFS(nNOTA,nNIA,G42,nCUENTA,1,nASIG,"Lenguaje Musical"),"")))</f>
        <v/>
      </c>
      <c r="I42" t="str">
        <f>IF(G42="","",IF(G42="[FÓRMULA MANUAL]","",IFERROR(AVERAGEIFS(nNOTA,nNIA,G42,nCUENTA,1,nASIG,"Orquesta/Banda/Conjunto"),"")))</f>
        <v/>
      </c>
      <c r="J42" t="str">
        <f>IF(G42="","",IF(G42="[FÓRMULA MANUAL]","",IFERROR(AVERAGEIFS(nNOTA,nNIA,G42,nCUENTA,1,nASIG,"Conjunto"),"")))</f>
        <v/>
      </c>
      <c r="K42" t="str">
        <f>IF(G42="","",IF(G42="[FÓRMULA MANUAL]","",IFERROR(SUMPRODUCT((nNIA=G42)*(nCUENTA=1)*(COUNTIF(CONFIG_ASIGNATURAS!$B$7:$B$27,nASIG)&gt;0)*(nNOTA))/SUMPRODUCT((nNIA=G42)*(nCUENTA=1)*(COUNTIF(CONFIG_ASIGNATURAS!$B$7:$B$27,nASIG)&gt;0)*1),"")))</f>
        <v/>
      </c>
      <c r="N42" t="str">
        <f>IF(M42="","",IF(M42="[FÓRMULA MANUAL]","",IFERROR(AVERAGEIFS(nNOTA,nNIA,M42,nCUENTA,1,nASIG,"Armonía"),"")))</f>
        <v/>
      </c>
      <c r="O42" t="str">
        <f>IF(M42="","",IF(M42="[FÓRMULA MANUAL]","",IFERROR(AVERAGEIFS(nNOTA,nNIA,M42,nCUENTA,1,nASIG,"Orquesta/Banda/Conjunto"),"")))</f>
        <v/>
      </c>
      <c r="P42" t="str">
        <f>IF(M42="","",IF(M42="[FÓRMULA MANUAL]","",IFERROR(AVERAGEIFS(nNOTA,nNIA,M42,nCUENTA,1,nASIG,"Música de Cámara"),"")))</f>
        <v/>
      </c>
      <c r="Q42" t="str">
        <f>IF(M42="","",IF(M42="[FÓRMULA MANUAL]","",IFERROR(SUMPRODUCT((nNIA=M42)*(nCUENTA=1)*(COUNTIF(CONFIG_ASIGNATURAS!$B$7:$B$27,nASIG)&gt;0)*(nNOTA))/SUMPRODUCT((nNIA=M42)*(nCUENTA=1)*(COUNTIF(CONFIG_ASIGNATURAS!$B$7:$B$27,nASIG)&gt;0)*1),"")))</f>
        <v/>
      </c>
      <c r="T42" t="str">
        <f>IF(S42="","",IF(S42="[FÓRMULA MANUAL]","",IFERROR(AVERAGEIFS(nNOTA,nNIA,S42,nCUENTA,1,nASIG,"Armonía"),"")))</f>
        <v/>
      </c>
      <c r="U42" t="str">
        <f>IF(S42="","",IF(S42="[FÓRMULA MANUAL]","",IFERROR(AVERAGEIFS(nNOTA,nNIA,S42,nCUENTA,1,nASIG,"Orquesta/Banda/Conjunto"),"")))</f>
        <v/>
      </c>
      <c r="V42" t="str">
        <f>IF(S42="","",IF(S42="[FÓRMULA MANUAL]","",IFERROR(AVERAGEIFS(nNOTA,nNIA,S42,nCUENTA,1,nASIG,"Música de Cámara"),"")))</f>
        <v/>
      </c>
      <c r="W42" t="str">
        <f>IF(S42="","",IF(S42="[FÓRMULA MANUAL]","",IFERROR(SUMPRODUCT((nNIA=S42)*(nCUENTA=1)*(COUNTIF(CONFIG_ASIGNATURAS!$B$7:$B$27,nASIG)&gt;0)*(nNOTA))/SUMPRODUCT((nNIA=S42)*(nCUENTA=1)*(COUNTIF(CONFIG_ASIGNATURAS!$B$7:$B$27,nASIG)&gt;0)*1),"")))</f>
        <v/>
      </c>
      <c r="Z42" t="str">
        <f>IF(Y42="","",IF(Y42="[FÓRMULA MANUAL]","",IFERROR(AVERAGEIFS(nNOTA,nNIA,Y42,nCUENTA,1,nASIG,"Análisis"),"")))</f>
        <v/>
      </c>
      <c r="AA42" t="str">
        <f>IF(Y42="","",IF(Y42="[FÓRMULA MANUAL]","",IFERROR(AVERAGEIFS(nNOTA,nNIA,Y42,nCUENTA,1,nASIG,"Orquesta/Banda/Conjunto"),"")))</f>
        <v/>
      </c>
      <c r="AB42" t="str">
        <f>IF(Y42="","",IF(Y42="[FÓRMULA MANUAL]","",IFERROR(AVERAGEIFS(nNOTA,nNIA,Y42,nCUENTA,1,nASIG,"Música de Cámara"),"")))</f>
        <v/>
      </c>
      <c r="AC42" t="str">
        <f>IF(Y42="","",IF(Y42="[FÓRMULA MANUAL]","",IFERROR(SUMPRODUCT((nNIA=Y42)*(nCUENTA=1)*(COUNTIF(CONFIG_ASIGNATURAS!$B$7:$B$27,nASIG)&gt;0)*(nNOTA))/SUMPRODUCT((nNIA=Y42)*(nCUENTA=1)*(COUNTIF(CONFIG_ASIGNATURAS!$B$7:$B$27,nASIG)&gt;0)*1),"")))</f>
        <v/>
      </c>
      <c r="AF42" t="str">
        <f>IF(AE42="","",IF(AE42="[FÓRMULA MANUAL]","",IFERROR(AVERAGEIFS(nNOTA,nNIA,AE42,nCUENTA,1,nASIG,"Análisis"),"")))</f>
        <v/>
      </c>
      <c r="AG42" t="str">
        <f>IF(AE42="","",IF(AE42="[FÓRMULA MANUAL]","",IFERROR(AVERAGEIFS(nNOTA,nNIA,AE42,nCUENTA,1,nASIG,"Orquesta/Banda/Conjunto"),"")))</f>
        <v/>
      </c>
      <c r="AH42" t="str">
        <f>IF(AE42="","",IF(AE42="[FÓRMULA MANUAL]","",IFERROR(AVERAGEIFS(nNOTA,nNIA,AE42,nCUENTA,1,nASIG,"Música de Cámara"),"")))</f>
        <v/>
      </c>
      <c r="AI42" t="str">
        <f>IF(AE42="","",IF(AE42="[FÓRMULA MANUAL]","",IFERROR(SUMPRODUCT((nNIA=AE42)*(nCUENTA=1)*(COUNTIF(CONFIG_ASIGNATURAS!$B$7:$B$27,nASIG)&gt;0)*(nNOTA))/SUMPRODUCT((nNIA=AE42)*(nCUENTA=1)*(COUNTIF(CONFIG_ASIGNATURAS!$B$7:$B$27,nASIG)&gt;0)*1),"")))</f>
        <v/>
      </c>
    </row>
    <row r="43" spans="2:35" x14ac:dyDescent="0.2">
      <c r="B43" t="str">
        <f>IF(A43="","",IF(A43="[FÓRMULA MANUAL]","",IFERROR(AVERAGEIFS(nNOTA,nNIA,A43,nCUENTA,1,nASIG,"Lenguaje Musical"),"")))</f>
        <v/>
      </c>
      <c r="C43" t="str">
        <f>IF(A43="","",IF(A43="[FÓRMULA MANUAL]","",IFERROR(AVERAGEIFS(nNOTA,nNIA,A43,nCUENTA,1,nASIG,"Orquesta/Banda/Conjunto"),"")))</f>
        <v/>
      </c>
      <c r="D43" t="str">
        <f>IF(A43="","",IF(A43="[FÓRMULA MANUAL]","",IFERROR(AVERAGEIFS(nNOTA,nNIA,A43,nCUENTA,1,nASIG,"Conjunto"),"")))</f>
        <v/>
      </c>
      <c r="E43" t="str">
        <f>IF(A43="","",IF(A43="[FÓRMULA MANUAL]","",IFERROR(SUMPRODUCT((nNIA=A43)*(nCUENTA=1)*(COUNTIF(CONFIG_ASIGNATURAS!$B$7:$B$27,nASIG)&gt;0)*(nNOTA))/SUMPRODUCT((nNIA=A43)*(nCUENTA=1)*(COUNTIF(CONFIG_ASIGNATURAS!$B$7:$B$27,nASIG)&gt;0)*1),"")))</f>
        <v/>
      </c>
      <c r="H43" t="str">
        <f>IF(G43="","",IF(G43="[FÓRMULA MANUAL]","",IFERROR(AVERAGEIFS(nNOTA,nNIA,G43,nCUENTA,1,nASIG,"Lenguaje Musical"),"")))</f>
        <v/>
      </c>
      <c r="I43" t="str">
        <f>IF(G43="","",IF(G43="[FÓRMULA MANUAL]","",IFERROR(AVERAGEIFS(nNOTA,nNIA,G43,nCUENTA,1,nASIG,"Orquesta/Banda/Conjunto"),"")))</f>
        <v/>
      </c>
      <c r="J43" t="str">
        <f>IF(G43="","",IF(G43="[FÓRMULA MANUAL]","",IFERROR(AVERAGEIFS(nNOTA,nNIA,G43,nCUENTA,1,nASIG,"Conjunto"),"")))</f>
        <v/>
      </c>
      <c r="K43" t="str">
        <f>IF(G43="","",IF(G43="[FÓRMULA MANUAL]","",IFERROR(SUMPRODUCT((nNIA=G43)*(nCUENTA=1)*(COUNTIF(CONFIG_ASIGNATURAS!$B$7:$B$27,nASIG)&gt;0)*(nNOTA))/SUMPRODUCT((nNIA=G43)*(nCUENTA=1)*(COUNTIF(CONFIG_ASIGNATURAS!$B$7:$B$27,nASIG)&gt;0)*1),"")))</f>
        <v/>
      </c>
      <c r="N43" t="str">
        <f>IF(M43="","",IF(M43="[FÓRMULA MANUAL]","",IFERROR(AVERAGEIFS(nNOTA,nNIA,M43,nCUENTA,1,nASIG,"Armonía"),"")))</f>
        <v/>
      </c>
      <c r="O43" t="str">
        <f>IF(M43="","",IF(M43="[FÓRMULA MANUAL]","",IFERROR(AVERAGEIFS(nNOTA,nNIA,M43,nCUENTA,1,nASIG,"Orquesta/Banda/Conjunto"),"")))</f>
        <v/>
      </c>
      <c r="P43" t="str">
        <f>IF(M43="","",IF(M43="[FÓRMULA MANUAL]","",IFERROR(AVERAGEIFS(nNOTA,nNIA,M43,nCUENTA,1,nASIG,"Música de Cámara"),"")))</f>
        <v/>
      </c>
      <c r="Q43" t="str">
        <f>IF(M43="","",IF(M43="[FÓRMULA MANUAL]","",IFERROR(SUMPRODUCT((nNIA=M43)*(nCUENTA=1)*(COUNTIF(CONFIG_ASIGNATURAS!$B$7:$B$27,nASIG)&gt;0)*(nNOTA))/SUMPRODUCT((nNIA=M43)*(nCUENTA=1)*(COUNTIF(CONFIG_ASIGNATURAS!$B$7:$B$27,nASIG)&gt;0)*1),"")))</f>
        <v/>
      </c>
      <c r="T43" t="str">
        <f>IF(S43="","",IF(S43="[FÓRMULA MANUAL]","",IFERROR(AVERAGEIFS(nNOTA,nNIA,S43,nCUENTA,1,nASIG,"Armonía"),"")))</f>
        <v/>
      </c>
      <c r="U43" t="str">
        <f>IF(S43="","",IF(S43="[FÓRMULA MANUAL]","",IFERROR(AVERAGEIFS(nNOTA,nNIA,S43,nCUENTA,1,nASIG,"Orquesta/Banda/Conjunto"),"")))</f>
        <v/>
      </c>
      <c r="V43" t="str">
        <f>IF(S43="","",IF(S43="[FÓRMULA MANUAL]","",IFERROR(AVERAGEIFS(nNOTA,nNIA,S43,nCUENTA,1,nASIG,"Música de Cámara"),"")))</f>
        <v/>
      </c>
      <c r="W43" t="str">
        <f>IF(S43="","",IF(S43="[FÓRMULA MANUAL]","",IFERROR(SUMPRODUCT((nNIA=S43)*(nCUENTA=1)*(COUNTIF(CONFIG_ASIGNATURAS!$B$7:$B$27,nASIG)&gt;0)*(nNOTA))/SUMPRODUCT((nNIA=S43)*(nCUENTA=1)*(COUNTIF(CONFIG_ASIGNATURAS!$B$7:$B$27,nASIG)&gt;0)*1),"")))</f>
        <v/>
      </c>
      <c r="Z43" t="str">
        <f>IF(Y43="","",IF(Y43="[FÓRMULA MANUAL]","",IFERROR(AVERAGEIFS(nNOTA,nNIA,Y43,nCUENTA,1,nASIG,"Análisis"),"")))</f>
        <v/>
      </c>
      <c r="AA43" t="str">
        <f>IF(Y43="","",IF(Y43="[FÓRMULA MANUAL]","",IFERROR(AVERAGEIFS(nNOTA,nNIA,Y43,nCUENTA,1,nASIG,"Orquesta/Banda/Conjunto"),"")))</f>
        <v/>
      </c>
      <c r="AB43" t="str">
        <f>IF(Y43="","",IF(Y43="[FÓRMULA MANUAL]","",IFERROR(AVERAGEIFS(nNOTA,nNIA,Y43,nCUENTA,1,nASIG,"Música de Cámara"),"")))</f>
        <v/>
      </c>
      <c r="AC43" t="str">
        <f>IF(Y43="","",IF(Y43="[FÓRMULA MANUAL]","",IFERROR(SUMPRODUCT((nNIA=Y43)*(nCUENTA=1)*(COUNTIF(CONFIG_ASIGNATURAS!$B$7:$B$27,nASIG)&gt;0)*(nNOTA))/SUMPRODUCT((nNIA=Y43)*(nCUENTA=1)*(COUNTIF(CONFIG_ASIGNATURAS!$B$7:$B$27,nASIG)&gt;0)*1),"")))</f>
        <v/>
      </c>
      <c r="AF43" t="str">
        <f>IF(AE43="","",IF(AE43="[FÓRMULA MANUAL]","",IFERROR(AVERAGEIFS(nNOTA,nNIA,AE43,nCUENTA,1,nASIG,"Análisis"),"")))</f>
        <v/>
      </c>
      <c r="AG43" t="str">
        <f>IF(AE43="","",IF(AE43="[FÓRMULA MANUAL]","",IFERROR(AVERAGEIFS(nNOTA,nNIA,AE43,nCUENTA,1,nASIG,"Orquesta/Banda/Conjunto"),"")))</f>
        <v/>
      </c>
      <c r="AH43" t="str">
        <f>IF(AE43="","",IF(AE43="[FÓRMULA MANUAL]","",IFERROR(AVERAGEIFS(nNOTA,nNIA,AE43,nCUENTA,1,nASIG,"Música de Cámara"),"")))</f>
        <v/>
      </c>
      <c r="AI43" t="str">
        <f>IF(AE43="","",IF(AE43="[FÓRMULA MANUAL]","",IFERROR(SUMPRODUCT((nNIA=AE43)*(nCUENTA=1)*(COUNTIF(CONFIG_ASIGNATURAS!$B$7:$B$27,nASIG)&gt;0)*(nNOTA))/SUMPRODUCT((nNIA=AE43)*(nCUENTA=1)*(COUNTIF(CONFIG_ASIGNATURAS!$B$7:$B$27,nASIG)&gt;0)*1),"")))</f>
        <v/>
      </c>
    </row>
    <row r="44" spans="2:35" x14ac:dyDescent="0.2">
      <c r="B44" t="str">
        <f>IF(A44="","",IF(A44="[FÓRMULA MANUAL]","",IFERROR(AVERAGEIFS(nNOTA,nNIA,A44,nCUENTA,1,nASIG,"Lenguaje Musical"),"")))</f>
        <v/>
      </c>
      <c r="C44" t="str">
        <f>IF(A44="","",IF(A44="[FÓRMULA MANUAL]","",IFERROR(AVERAGEIFS(nNOTA,nNIA,A44,nCUENTA,1,nASIG,"Orquesta/Banda/Conjunto"),"")))</f>
        <v/>
      </c>
      <c r="D44" t="str">
        <f>IF(A44="","",IF(A44="[FÓRMULA MANUAL]","",IFERROR(AVERAGEIFS(nNOTA,nNIA,A44,nCUENTA,1,nASIG,"Conjunto"),"")))</f>
        <v/>
      </c>
      <c r="E44" t="str">
        <f>IF(A44="","",IF(A44="[FÓRMULA MANUAL]","",IFERROR(SUMPRODUCT((nNIA=A44)*(nCUENTA=1)*(COUNTIF(CONFIG_ASIGNATURAS!$B$7:$B$27,nASIG)&gt;0)*(nNOTA))/SUMPRODUCT((nNIA=A44)*(nCUENTA=1)*(COUNTIF(CONFIG_ASIGNATURAS!$B$7:$B$27,nASIG)&gt;0)*1),"")))</f>
        <v/>
      </c>
      <c r="H44" t="str">
        <f>IF(G44="","",IF(G44="[FÓRMULA MANUAL]","",IFERROR(AVERAGEIFS(nNOTA,nNIA,G44,nCUENTA,1,nASIG,"Lenguaje Musical"),"")))</f>
        <v/>
      </c>
      <c r="I44" t="str">
        <f>IF(G44="","",IF(G44="[FÓRMULA MANUAL]","",IFERROR(AVERAGEIFS(nNOTA,nNIA,G44,nCUENTA,1,nASIG,"Orquesta/Banda/Conjunto"),"")))</f>
        <v/>
      </c>
      <c r="J44" t="str">
        <f>IF(G44="","",IF(G44="[FÓRMULA MANUAL]","",IFERROR(AVERAGEIFS(nNOTA,nNIA,G44,nCUENTA,1,nASIG,"Conjunto"),"")))</f>
        <v/>
      </c>
      <c r="K44" t="str">
        <f>IF(G44="","",IF(G44="[FÓRMULA MANUAL]","",IFERROR(SUMPRODUCT((nNIA=G44)*(nCUENTA=1)*(COUNTIF(CONFIG_ASIGNATURAS!$B$7:$B$27,nASIG)&gt;0)*(nNOTA))/SUMPRODUCT((nNIA=G44)*(nCUENTA=1)*(COUNTIF(CONFIG_ASIGNATURAS!$B$7:$B$27,nASIG)&gt;0)*1),"")))</f>
        <v/>
      </c>
      <c r="N44" t="str">
        <f>IF(M44="","",IF(M44="[FÓRMULA MANUAL]","",IFERROR(AVERAGEIFS(nNOTA,nNIA,M44,nCUENTA,1,nASIG,"Armonía"),"")))</f>
        <v/>
      </c>
      <c r="O44" t="str">
        <f>IF(M44="","",IF(M44="[FÓRMULA MANUAL]","",IFERROR(AVERAGEIFS(nNOTA,nNIA,M44,nCUENTA,1,nASIG,"Orquesta/Banda/Conjunto"),"")))</f>
        <v/>
      </c>
      <c r="P44" t="str">
        <f>IF(M44="","",IF(M44="[FÓRMULA MANUAL]","",IFERROR(AVERAGEIFS(nNOTA,nNIA,M44,nCUENTA,1,nASIG,"Música de Cámara"),"")))</f>
        <v/>
      </c>
      <c r="Q44" t="str">
        <f>IF(M44="","",IF(M44="[FÓRMULA MANUAL]","",IFERROR(SUMPRODUCT((nNIA=M44)*(nCUENTA=1)*(COUNTIF(CONFIG_ASIGNATURAS!$B$7:$B$27,nASIG)&gt;0)*(nNOTA))/SUMPRODUCT((nNIA=M44)*(nCUENTA=1)*(COUNTIF(CONFIG_ASIGNATURAS!$B$7:$B$27,nASIG)&gt;0)*1),"")))</f>
        <v/>
      </c>
      <c r="T44" t="str">
        <f>IF(S44="","",IF(S44="[FÓRMULA MANUAL]","",IFERROR(AVERAGEIFS(nNOTA,nNIA,S44,nCUENTA,1,nASIG,"Armonía"),"")))</f>
        <v/>
      </c>
      <c r="U44" t="str">
        <f>IF(S44="","",IF(S44="[FÓRMULA MANUAL]","",IFERROR(AVERAGEIFS(nNOTA,nNIA,S44,nCUENTA,1,nASIG,"Orquesta/Banda/Conjunto"),"")))</f>
        <v/>
      </c>
      <c r="V44" t="str">
        <f>IF(S44="","",IF(S44="[FÓRMULA MANUAL]","",IFERROR(AVERAGEIFS(nNOTA,nNIA,S44,nCUENTA,1,nASIG,"Música de Cámara"),"")))</f>
        <v/>
      </c>
      <c r="W44" t="str">
        <f>IF(S44="","",IF(S44="[FÓRMULA MANUAL]","",IFERROR(SUMPRODUCT((nNIA=S44)*(nCUENTA=1)*(COUNTIF(CONFIG_ASIGNATURAS!$B$7:$B$27,nASIG)&gt;0)*(nNOTA))/SUMPRODUCT((nNIA=S44)*(nCUENTA=1)*(COUNTIF(CONFIG_ASIGNATURAS!$B$7:$B$27,nASIG)&gt;0)*1),"")))</f>
        <v/>
      </c>
      <c r="Z44" t="str">
        <f>IF(Y44="","",IF(Y44="[FÓRMULA MANUAL]","",IFERROR(AVERAGEIFS(nNOTA,nNIA,Y44,nCUENTA,1,nASIG,"Análisis"),"")))</f>
        <v/>
      </c>
      <c r="AA44" t="str">
        <f>IF(Y44="","",IF(Y44="[FÓRMULA MANUAL]","",IFERROR(AVERAGEIFS(nNOTA,nNIA,Y44,nCUENTA,1,nASIG,"Orquesta/Banda/Conjunto"),"")))</f>
        <v/>
      </c>
      <c r="AB44" t="str">
        <f>IF(Y44="","",IF(Y44="[FÓRMULA MANUAL]","",IFERROR(AVERAGEIFS(nNOTA,nNIA,Y44,nCUENTA,1,nASIG,"Música de Cámara"),"")))</f>
        <v/>
      </c>
      <c r="AC44" t="str">
        <f>IF(Y44="","",IF(Y44="[FÓRMULA MANUAL]","",IFERROR(SUMPRODUCT((nNIA=Y44)*(nCUENTA=1)*(COUNTIF(CONFIG_ASIGNATURAS!$B$7:$B$27,nASIG)&gt;0)*(nNOTA))/SUMPRODUCT((nNIA=Y44)*(nCUENTA=1)*(COUNTIF(CONFIG_ASIGNATURAS!$B$7:$B$27,nASIG)&gt;0)*1),"")))</f>
        <v/>
      </c>
      <c r="AF44" t="str">
        <f>IF(AE44="","",IF(AE44="[FÓRMULA MANUAL]","",IFERROR(AVERAGEIFS(nNOTA,nNIA,AE44,nCUENTA,1,nASIG,"Análisis"),"")))</f>
        <v/>
      </c>
      <c r="AG44" t="str">
        <f>IF(AE44="","",IF(AE44="[FÓRMULA MANUAL]","",IFERROR(AVERAGEIFS(nNOTA,nNIA,AE44,nCUENTA,1,nASIG,"Orquesta/Banda/Conjunto"),"")))</f>
        <v/>
      </c>
      <c r="AH44" t="str">
        <f>IF(AE44="","",IF(AE44="[FÓRMULA MANUAL]","",IFERROR(AVERAGEIFS(nNOTA,nNIA,AE44,nCUENTA,1,nASIG,"Música de Cámara"),"")))</f>
        <v/>
      </c>
      <c r="AI44" t="str">
        <f>IF(AE44="","",IF(AE44="[FÓRMULA MANUAL]","",IFERROR(SUMPRODUCT((nNIA=AE44)*(nCUENTA=1)*(COUNTIF(CONFIG_ASIGNATURAS!$B$7:$B$27,nASIG)&gt;0)*(nNOTA))/SUMPRODUCT((nNIA=AE44)*(nCUENTA=1)*(COUNTIF(CONFIG_ASIGNATURAS!$B$7:$B$27,nASIG)&gt;0)*1),"")))</f>
        <v/>
      </c>
    </row>
    <row r="45" spans="2:35" x14ac:dyDescent="0.2">
      <c r="B45" t="str">
        <f>IF(A45="","",IF(A45="[FÓRMULA MANUAL]","",IFERROR(AVERAGEIFS(nNOTA,nNIA,A45,nCUENTA,1,nASIG,"Lenguaje Musical"),"")))</f>
        <v/>
      </c>
      <c r="C45" t="str">
        <f>IF(A45="","",IF(A45="[FÓRMULA MANUAL]","",IFERROR(AVERAGEIFS(nNOTA,nNIA,A45,nCUENTA,1,nASIG,"Orquesta/Banda/Conjunto"),"")))</f>
        <v/>
      </c>
      <c r="D45" t="str">
        <f>IF(A45="","",IF(A45="[FÓRMULA MANUAL]","",IFERROR(AVERAGEIFS(nNOTA,nNIA,A45,nCUENTA,1,nASIG,"Conjunto"),"")))</f>
        <v/>
      </c>
      <c r="E45" t="str">
        <f>IF(A45="","",IF(A45="[FÓRMULA MANUAL]","",IFERROR(SUMPRODUCT((nNIA=A45)*(nCUENTA=1)*(COUNTIF(CONFIG_ASIGNATURAS!$B$7:$B$27,nASIG)&gt;0)*(nNOTA))/SUMPRODUCT((nNIA=A45)*(nCUENTA=1)*(COUNTIF(CONFIG_ASIGNATURAS!$B$7:$B$27,nASIG)&gt;0)*1),"")))</f>
        <v/>
      </c>
      <c r="H45" t="str">
        <f>IF(G45="","",IF(G45="[FÓRMULA MANUAL]","",IFERROR(AVERAGEIFS(nNOTA,nNIA,G45,nCUENTA,1,nASIG,"Lenguaje Musical"),"")))</f>
        <v/>
      </c>
      <c r="I45" t="str">
        <f>IF(G45="","",IF(G45="[FÓRMULA MANUAL]","",IFERROR(AVERAGEIFS(nNOTA,nNIA,G45,nCUENTA,1,nASIG,"Orquesta/Banda/Conjunto"),"")))</f>
        <v/>
      </c>
      <c r="J45" t="str">
        <f>IF(G45="","",IF(G45="[FÓRMULA MANUAL]","",IFERROR(AVERAGEIFS(nNOTA,nNIA,G45,nCUENTA,1,nASIG,"Conjunto"),"")))</f>
        <v/>
      </c>
      <c r="K45" t="str">
        <f>IF(G45="","",IF(G45="[FÓRMULA MANUAL]","",IFERROR(SUMPRODUCT((nNIA=G45)*(nCUENTA=1)*(COUNTIF(CONFIG_ASIGNATURAS!$B$7:$B$27,nASIG)&gt;0)*(nNOTA))/SUMPRODUCT((nNIA=G45)*(nCUENTA=1)*(COUNTIF(CONFIG_ASIGNATURAS!$B$7:$B$27,nASIG)&gt;0)*1),"")))</f>
        <v/>
      </c>
      <c r="N45" t="str">
        <f>IF(M45="","",IF(M45="[FÓRMULA MANUAL]","",IFERROR(AVERAGEIFS(nNOTA,nNIA,M45,nCUENTA,1,nASIG,"Armonía"),"")))</f>
        <v/>
      </c>
      <c r="O45" t="str">
        <f>IF(M45="","",IF(M45="[FÓRMULA MANUAL]","",IFERROR(AVERAGEIFS(nNOTA,nNIA,M45,nCUENTA,1,nASIG,"Orquesta/Banda/Conjunto"),"")))</f>
        <v/>
      </c>
      <c r="P45" t="str">
        <f>IF(M45="","",IF(M45="[FÓRMULA MANUAL]","",IFERROR(AVERAGEIFS(nNOTA,nNIA,M45,nCUENTA,1,nASIG,"Música de Cámara"),"")))</f>
        <v/>
      </c>
      <c r="Q45" t="str">
        <f>IF(M45="","",IF(M45="[FÓRMULA MANUAL]","",IFERROR(SUMPRODUCT((nNIA=M45)*(nCUENTA=1)*(COUNTIF(CONFIG_ASIGNATURAS!$B$7:$B$27,nASIG)&gt;0)*(nNOTA))/SUMPRODUCT((nNIA=M45)*(nCUENTA=1)*(COUNTIF(CONFIG_ASIGNATURAS!$B$7:$B$27,nASIG)&gt;0)*1),"")))</f>
        <v/>
      </c>
      <c r="T45" t="str">
        <f>IF(S45="","",IF(S45="[FÓRMULA MANUAL]","",IFERROR(AVERAGEIFS(nNOTA,nNIA,S45,nCUENTA,1,nASIG,"Armonía"),"")))</f>
        <v/>
      </c>
      <c r="U45" t="str">
        <f>IF(S45="","",IF(S45="[FÓRMULA MANUAL]","",IFERROR(AVERAGEIFS(nNOTA,nNIA,S45,nCUENTA,1,nASIG,"Orquesta/Banda/Conjunto"),"")))</f>
        <v/>
      </c>
      <c r="V45" t="str">
        <f>IF(S45="","",IF(S45="[FÓRMULA MANUAL]","",IFERROR(AVERAGEIFS(nNOTA,nNIA,S45,nCUENTA,1,nASIG,"Música de Cámara"),"")))</f>
        <v/>
      </c>
      <c r="W45" t="str">
        <f>IF(S45="","",IF(S45="[FÓRMULA MANUAL]","",IFERROR(SUMPRODUCT((nNIA=S45)*(nCUENTA=1)*(COUNTIF(CONFIG_ASIGNATURAS!$B$7:$B$27,nASIG)&gt;0)*(nNOTA))/SUMPRODUCT((nNIA=S45)*(nCUENTA=1)*(COUNTIF(CONFIG_ASIGNATURAS!$B$7:$B$27,nASIG)&gt;0)*1),"")))</f>
        <v/>
      </c>
      <c r="Z45" t="str">
        <f>IF(Y45="","",IF(Y45="[FÓRMULA MANUAL]","",IFERROR(AVERAGEIFS(nNOTA,nNIA,Y45,nCUENTA,1,nASIG,"Análisis"),"")))</f>
        <v/>
      </c>
      <c r="AA45" t="str">
        <f>IF(Y45="","",IF(Y45="[FÓRMULA MANUAL]","",IFERROR(AVERAGEIFS(nNOTA,nNIA,Y45,nCUENTA,1,nASIG,"Orquesta/Banda/Conjunto"),"")))</f>
        <v/>
      </c>
      <c r="AB45" t="str">
        <f>IF(Y45="","",IF(Y45="[FÓRMULA MANUAL]","",IFERROR(AVERAGEIFS(nNOTA,nNIA,Y45,nCUENTA,1,nASIG,"Música de Cámara"),"")))</f>
        <v/>
      </c>
      <c r="AC45" t="str">
        <f>IF(Y45="","",IF(Y45="[FÓRMULA MANUAL]","",IFERROR(SUMPRODUCT((nNIA=Y45)*(nCUENTA=1)*(COUNTIF(CONFIG_ASIGNATURAS!$B$7:$B$27,nASIG)&gt;0)*(nNOTA))/SUMPRODUCT((nNIA=Y45)*(nCUENTA=1)*(COUNTIF(CONFIG_ASIGNATURAS!$B$7:$B$27,nASIG)&gt;0)*1),"")))</f>
        <v/>
      </c>
      <c r="AF45" t="str">
        <f>IF(AE45="","",IF(AE45="[FÓRMULA MANUAL]","",IFERROR(AVERAGEIFS(nNOTA,nNIA,AE45,nCUENTA,1,nASIG,"Análisis"),"")))</f>
        <v/>
      </c>
      <c r="AG45" t="str">
        <f>IF(AE45="","",IF(AE45="[FÓRMULA MANUAL]","",IFERROR(AVERAGEIFS(nNOTA,nNIA,AE45,nCUENTA,1,nASIG,"Orquesta/Banda/Conjunto"),"")))</f>
        <v/>
      </c>
      <c r="AH45" t="str">
        <f>IF(AE45="","",IF(AE45="[FÓRMULA MANUAL]","",IFERROR(AVERAGEIFS(nNOTA,nNIA,AE45,nCUENTA,1,nASIG,"Música de Cámara"),"")))</f>
        <v/>
      </c>
      <c r="AI45" t="str">
        <f>IF(AE45="","",IF(AE45="[FÓRMULA MANUAL]","",IFERROR(SUMPRODUCT((nNIA=AE45)*(nCUENTA=1)*(COUNTIF(CONFIG_ASIGNATURAS!$B$7:$B$27,nASIG)&gt;0)*(nNOTA))/SUMPRODUCT((nNIA=AE45)*(nCUENTA=1)*(COUNTIF(CONFIG_ASIGNATURAS!$B$7:$B$27,nASIG)&gt;0)*1),"")))</f>
        <v/>
      </c>
    </row>
    <row r="46" spans="2:35" x14ac:dyDescent="0.2">
      <c r="B46" t="str">
        <f>IF(A46="","",IF(A46="[FÓRMULA MANUAL]","",IFERROR(AVERAGEIFS(nNOTA,nNIA,A46,nCUENTA,1,nASIG,"Lenguaje Musical"),"")))</f>
        <v/>
      </c>
      <c r="C46" t="str">
        <f>IF(A46="","",IF(A46="[FÓRMULA MANUAL]","",IFERROR(AVERAGEIFS(nNOTA,nNIA,A46,nCUENTA,1,nASIG,"Orquesta/Banda/Conjunto"),"")))</f>
        <v/>
      </c>
      <c r="D46" t="str">
        <f>IF(A46="","",IF(A46="[FÓRMULA MANUAL]","",IFERROR(AVERAGEIFS(nNOTA,nNIA,A46,nCUENTA,1,nASIG,"Conjunto"),"")))</f>
        <v/>
      </c>
      <c r="E46" t="str">
        <f>IF(A46="","",IF(A46="[FÓRMULA MANUAL]","",IFERROR(SUMPRODUCT((nNIA=A46)*(nCUENTA=1)*(COUNTIF(CONFIG_ASIGNATURAS!$B$7:$B$27,nASIG)&gt;0)*(nNOTA))/SUMPRODUCT((nNIA=A46)*(nCUENTA=1)*(COUNTIF(CONFIG_ASIGNATURAS!$B$7:$B$27,nASIG)&gt;0)*1),"")))</f>
        <v/>
      </c>
      <c r="H46" t="str">
        <f>IF(G46="","",IF(G46="[FÓRMULA MANUAL]","",IFERROR(AVERAGEIFS(nNOTA,nNIA,G46,nCUENTA,1,nASIG,"Lenguaje Musical"),"")))</f>
        <v/>
      </c>
      <c r="I46" t="str">
        <f>IF(G46="","",IF(G46="[FÓRMULA MANUAL]","",IFERROR(AVERAGEIFS(nNOTA,nNIA,G46,nCUENTA,1,nASIG,"Orquesta/Banda/Conjunto"),"")))</f>
        <v/>
      </c>
      <c r="J46" t="str">
        <f>IF(G46="","",IF(G46="[FÓRMULA MANUAL]","",IFERROR(AVERAGEIFS(nNOTA,nNIA,G46,nCUENTA,1,nASIG,"Conjunto"),"")))</f>
        <v/>
      </c>
      <c r="K46" t="str">
        <f>IF(G46="","",IF(G46="[FÓRMULA MANUAL]","",IFERROR(SUMPRODUCT((nNIA=G46)*(nCUENTA=1)*(COUNTIF(CONFIG_ASIGNATURAS!$B$7:$B$27,nASIG)&gt;0)*(nNOTA))/SUMPRODUCT((nNIA=G46)*(nCUENTA=1)*(COUNTIF(CONFIG_ASIGNATURAS!$B$7:$B$27,nASIG)&gt;0)*1),"")))</f>
        <v/>
      </c>
      <c r="N46" t="str">
        <f>IF(M46="","",IF(M46="[FÓRMULA MANUAL]","",IFERROR(AVERAGEIFS(nNOTA,nNIA,M46,nCUENTA,1,nASIG,"Armonía"),"")))</f>
        <v/>
      </c>
      <c r="O46" t="str">
        <f>IF(M46="","",IF(M46="[FÓRMULA MANUAL]","",IFERROR(AVERAGEIFS(nNOTA,nNIA,M46,nCUENTA,1,nASIG,"Orquesta/Banda/Conjunto"),"")))</f>
        <v/>
      </c>
      <c r="P46" t="str">
        <f>IF(M46="","",IF(M46="[FÓRMULA MANUAL]","",IFERROR(AVERAGEIFS(nNOTA,nNIA,M46,nCUENTA,1,nASIG,"Música de Cámara"),"")))</f>
        <v/>
      </c>
      <c r="Q46" t="str">
        <f>IF(M46="","",IF(M46="[FÓRMULA MANUAL]","",IFERROR(SUMPRODUCT((nNIA=M46)*(nCUENTA=1)*(COUNTIF(CONFIG_ASIGNATURAS!$B$7:$B$27,nASIG)&gt;0)*(nNOTA))/SUMPRODUCT((nNIA=M46)*(nCUENTA=1)*(COUNTIF(CONFIG_ASIGNATURAS!$B$7:$B$27,nASIG)&gt;0)*1),"")))</f>
        <v/>
      </c>
      <c r="T46" t="str">
        <f>IF(S46="","",IF(S46="[FÓRMULA MANUAL]","",IFERROR(AVERAGEIFS(nNOTA,nNIA,S46,nCUENTA,1,nASIG,"Armonía"),"")))</f>
        <v/>
      </c>
      <c r="U46" t="str">
        <f>IF(S46="","",IF(S46="[FÓRMULA MANUAL]","",IFERROR(AVERAGEIFS(nNOTA,nNIA,S46,nCUENTA,1,nASIG,"Orquesta/Banda/Conjunto"),"")))</f>
        <v/>
      </c>
      <c r="V46" t="str">
        <f>IF(S46="","",IF(S46="[FÓRMULA MANUAL]","",IFERROR(AVERAGEIFS(nNOTA,nNIA,S46,nCUENTA,1,nASIG,"Música de Cámara"),"")))</f>
        <v/>
      </c>
      <c r="W46" t="str">
        <f>IF(S46="","",IF(S46="[FÓRMULA MANUAL]","",IFERROR(SUMPRODUCT((nNIA=S46)*(nCUENTA=1)*(COUNTIF(CONFIG_ASIGNATURAS!$B$7:$B$27,nASIG)&gt;0)*(nNOTA))/SUMPRODUCT((nNIA=S46)*(nCUENTA=1)*(COUNTIF(CONFIG_ASIGNATURAS!$B$7:$B$27,nASIG)&gt;0)*1),"")))</f>
        <v/>
      </c>
      <c r="Z46" t="str">
        <f>IF(Y46="","",IF(Y46="[FÓRMULA MANUAL]","",IFERROR(AVERAGEIFS(nNOTA,nNIA,Y46,nCUENTA,1,nASIG,"Análisis"),"")))</f>
        <v/>
      </c>
      <c r="AA46" t="str">
        <f>IF(Y46="","",IF(Y46="[FÓRMULA MANUAL]","",IFERROR(AVERAGEIFS(nNOTA,nNIA,Y46,nCUENTA,1,nASIG,"Orquesta/Banda/Conjunto"),"")))</f>
        <v/>
      </c>
      <c r="AB46" t="str">
        <f>IF(Y46="","",IF(Y46="[FÓRMULA MANUAL]","",IFERROR(AVERAGEIFS(nNOTA,nNIA,Y46,nCUENTA,1,nASIG,"Música de Cámara"),"")))</f>
        <v/>
      </c>
      <c r="AC46" t="str">
        <f>IF(Y46="","",IF(Y46="[FÓRMULA MANUAL]","",IFERROR(SUMPRODUCT((nNIA=Y46)*(nCUENTA=1)*(COUNTIF(CONFIG_ASIGNATURAS!$B$7:$B$27,nASIG)&gt;0)*(nNOTA))/SUMPRODUCT((nNIA=Y46)*(nCUENTA=1)*(COUNTIF(CONFIG_ASIGNATURAS!$B$7:$B$27,nASIG)&gt;0)*1),"")))</f>
        <v/>
      </c>
      <c r="AF46" t="str">
        <f>IF(AE46="","",IF(AE46="[FÓRMULA MANUAL]","",IFERROR(AVERAGEIFS(nNOTA,nNIA,AE46,nCUENTA,1,nASIG,"Análisis"),"")))</f>
        <v/>
      </c>
      <c r="AG46" t="str">
        <f>IF(AE46="","",IF(AE46="[FÓRMULA MANUAL]","",IFERROR(AVERAGEIFS(nNOTA,nNIA,AE46,nCUENTA,1,nASIG,"Orquesta/Banda/Conjunto"),"")))</f>
        <v/>
      </c>
      <c r="AH46" t="str">
        <f>IF(AE46="","",IF(AE46="[FÓRMULA MANUAL]","",IFERROR(AVERAGEIFS(nNOTA,nNIA,AE46,nCUENTA,1,nASIG,"Música de Cámara"),"")))</f>
        <v/>
      </c>
      <c r="AI46" t="str">
        <f>IF(AE46="","",IF(AE46="[FÓRMULA MANUAL]","",IFERROR(SUMPRODUCT((nNIA=AE46)*(nCUENTA=1)*(COUNTIF(CONFIG_ASIGNATURAS!$B$7:$B$27,nASIG)&gt;0)*(nNOTA))/SUMPRODUCT((nNIA=AE46)*(nCUENTA=1)*(COUNTIF(CONFIG_ASIGNATURAS!$B$7:$B$27,nASIG)&gt;0)*1),"")))</f>
        <v/>
      </c>
    </row>
    <row r="47" spans="2:35" x14ac:dyDescent="0.2">
      <c r="B47" t="str">
        <f>IF(A47="","",IF(A47="[FÓRMULA MANUAL]","",IFERROR(AVERAGEIFS(nNOTA,nNIA,A47,nCUENTA,1,nASIG,"Lenguaje Musical"),"")))</f>
        <v/>
      </c>
      <c r="C47" t="str">
        <f>IF(A47="","",IF(A47="[FÓRMULA MANUAL]","",IFERROR(AVERAGEIFS(nNOTA,nNIA,A47,nCUENTA,1,nASIG,"Orquesta/Banda/Conjunto"),"")))</f>
        <v/>
      </c>
      <c r="D47" t="str">
        <f>IF(A47="","",IF(A47="[FÓRMULA MANUAL]","",IFERROR(AVERAGEIFS(nNOTA,nNIA,A47,nCUENTA,1,nASIG,"Conjunto"),"")))</f>
        <v/>
      </c>
      <c r="E47" t="str">
        <f>IF(A47="","",IF(A47="[FÓRMULA MANUAL]","",IFERROR(SUMPRODUCT((nNIA=A47)*(nCUENTA=1)*(COUNTIF(CONFIG_ASIGNATURAS!$B$7:$B$27,nASIG)&gt;0)*(nNOTA))/SUMPRODUCT((nNIA=A47)*(nCUENTA=1)*(COUNTIF(CONFIG_ASIGNATURAS!$B$7:$B$27,nASIG)&gt;0)*1),"")))</f>
        <v/>
      </c>
      <c r="H47" t="str">
        <f>IF(G47="","",IF(G47="[FÓRMULA MANUAL]","",IFERROR(AVERAGEIFS(nNOTA,nNIA,G47,nCUENTA,1,nASIG,"Lenguaje Musical"),"")))</f>
        <v/>
      </c>
      <c r="I47" t="str">
        <f>IF(G47="","",IF(G47="[FÓRMULA MANUAL]","",IFERROR(AVERAGEIFS(nNOTA,nNIA,G47,nCUENTA,1,nASIG,"Orquesta/Banda/Conjunto"),"")))</f>
        <v/>
      </c>
      <c r="J47" t="str">
        <f>IF(G47="","",IF(G47="[FÓRMULA MANUAL]","",IFERROR(AVERAGEIFS(nNOTA,nNIA,G47,nCUENTA,1,nASIG,"Conjunto"),"")))</f>
        <v/>
      </c>
      <c r="K47" t="str">
        <f>IF(G47="","",IF(G47="[FÓRMULA MANUAL]","",IFERROR(SUMPRODUCT((nNIA=G47)*(nCUENTA=1)*(COUNTIF(CONFIG_ASIGNATURAS!$B$7:$B$27,nASIG)&gt;0)*(nNOTA))/SUMPRODUCT((nNIA=G47)*(nCUENTA=1)*(COUNTIF(CONFIG_ASIGNATURAS!$B$7:$B$27,nASIG)&gt;0)*1),"")))</f>
        <v/>
      </c>
      <c r="N47" t="str">
        <f>IF(M47="","",IF(M47="[FÓRMULA MANUAL]","",IFERROR(AVERAGEIFS(nNOTA,nNIA,M47,nCUENTA,1,nASIG,"Armonía"),"")))</f>
        <v/>
      </c>
      <c r="O47" t="str">
        <f>IF(M47="","",IF(M47="[FÓRMULA MANUAL]","",IFERROR(AVERAGEIFS(nNOTA,nNIA,M47,nCUENTA,1,nASIG,"Orquesta/Banda/Conjunto"),"")))</f>
        <v/>
      </c>
      <c r="P47" t="str">
        <f>IF(M47="","",IF(M47="[FÓRMULA MANUAL]","",IFERROR(AVERAGEIFS(nNOTA,nNIA,M47,nCUENTA,1,nASIG,"Música de Cámara"),"")))</f>
        <v/>
      </c>
      <c r="Q47" t="str">
        <f>IF(M47="","",IF(M47="[FÓRMULA MANUAL]","",IFERROR(SUMPRODUCT((nNIA=M47)*(nCUENTA=1)*(COUNTIF(CONFIG_ASIGNATURAS!$B$7:$B$27,nASIG)&gt;0)*(nNOTA))/SUMPRODUCT((nNIA=M47)*(nCUENTA=1)*(COUNTIF(CONFIG_ASIGNATURAS!$B$7:$B$27,nASIG)&gt;0)*1),"")))</f>
        <v/>
      </c>
      <c r="T47" t="str">
        <f>IF(S47="","",IF(S47="[FÓRMULA MANUAL]","",IFERROR(AVERAGEIFS(nNOTA,nNIA,S47,nCUENTA,1,nASIG,"Armonía"),"")))</f>
        <v/>
      </c>
      <c r="U47" t="str">
        <f>IF(S47="","",IF(S47="[FÓRMULA MANUAL]","",IFERROR(AVERAGEIFS(nNOTA,nNIA,S47,nCUENTA,1,nASIG,"Orquesta/Banda/Conjunto"),"")))</f>
        <v/>
      </c>
      <c r="V47" t="str">
        <f>IF(S47="","",IF(S47="[FÓRMULA MANUAL]","",IFERROR(AVERAGEIFS(nNOTA,nNIA,S47,nCUENTA,1,nASIG,"Música de Cámara"),"")))</f>
        <v/>
      </c>
      <c r="W47" t="str">
        <f>IF(S47="","",IF(S47="[FÓRMULA MANUAL]","",IFERROR(SUMPRODUCT((nNIA=S47)*(nCUENTA=1)*(COUNTIF(CONFIG_ASIGNATURAS!$B$7:$B$27,nASIG)&gt;0)*(nNOTA))/SUMPRODUCT((nNIA=S47)*(nCUENTA=1)*(COUNTIF(CONFIG_ASIGNATURAS!$B$7:$B$27,nASIG)&gt;0)*1),"")))</f>
        <v/>
      </c>
      <c r="Z47" t="str">
        <f>IF(Y47="","",IF(Y47="[FÓRMULA MANUAL]","",IFERROR(AVERAGEIFS(nNOTA,nNIA,Y47,nCUENTA,1,nASIG,"Análisis"),"")))</f>
        <v/>
      </c>
      <c r="AA47" t="str">
        <f>IF(Y47="","",IF(Y47="[FÓRMULA MANUAL]","",IFERROR(AVERAGEIFS(nNOTA,nNIA,Y47,nCUENTA,1,nASIG,"Orquesta/Banda/Conjunto"),"")))</f>
        <v/>
      </c>
      <c r="AB47" t="str">
        <f>IF(Y47="","",IF(Y47="[FÓRMULA MANUAL]","",IFERROR(AVERAGEIFS(nNOTA,nNIA,Y47,nCUENTA,1,nASIG,"Música de Cámara"),"")))</f>
        <v/>
      </c>
      <c r="AC47" t="str">
        <f>IF(Y47="","",IF(Y47="[FÓRMULA MANUAL]","",IFERROR(SUMPRODUCT((nNIA=Y47)*(nCUENTA=1)*(COUNTIF(CONFIG_ASIGNATURAS!$B$7:$B$27,nASIG)&gt;0)*(nNOTA))/SUMPRODUCT((nNIA=Y47)*(nCUENTA=1)*(COUNTIF(CONFIG_ASIGNATURAS!$B$7:$B$27,nASIG)&gt;0)*1),"")))</f>
        <v/>
      </c>
      <c r="AF47" t="str">
        <f>IF(AE47="","",IF(AE47="[FÓRMULA MANUAL]","",IFERROR(AVERAGEIFS(nNOTA,nNIA,AE47,nCUENTA,1,nASIG,"Análisis"),"")))</f>
        <v/>
      </c>
      <c r="AG47" t="str">
        <f>IF(AE47="","",IF(AE47="[FÓRMULA MANUAL]","",IFERROR(AVERAGEIFS(nNOTA,nNIA,AE47,nCUENTA,1,nASIG,"Orquesta/Banda/Conjunto"),"")))</f>
        <v/>
      </c>
      <c r="AH47" t="str">
        <f>IF(AE47="","",IF(AE47="[FÓRMULA MANUAL]","",IFERROR(AVERAGEIFS(nNOTA,nNIA,AE47,nCUENTA,1,nASIG,"Música de Cámara"),"")))</f>
        <v/>
      </c>
      <c r="AI47" t="str">
        <f>IF(AE47="","",IF(AE47="[FÓRMULA MANUAL]","",IFERROR(SUMPRODUCT((nNIA=AE47)*(nCUENTA=1)*(COUNTIF(CONFIG_ASIGNATURAS!$B$7:$B$27,nASIG)&gt;0)*(nNOTA))/SUMPRODUCT((nNIA=AE47)*(nCUENTA=1)*(COUNTIF(CONFIG_ASIGNATURAS!$B$7:$B$27,nASIG)&gt;0)*1),"")))</f>
        <v/>
      </c>
    </row>
    <row r="48" spans="2:35" x14ac:dyDescent="0.2">
      <c r="B48" t="str">
        <f>IF(A48="","",IF(A48="[FÓRMULA MANUAL]","",IFERROR(AVERAGEIFS(nNOTA,nNIA,A48,nCUENTA,1,nASIG,"Lenguaje Musical"),"")))</f>
        <v/>
      </c>
      <c r="C48" t="str">
        <f>IF(A48="","",IF(A48="[FÓRMULA MANUAL]","",IFERROR(AVERAGEIFS(nNOTA,nNIA,A48,nCUENTA,1,nASIG,"Orquesta/Banda/Conjunto"),"")))</f>
        <v/>
      </c>
      <c r="D48" t="str">
        <f>IF(A48="","",IF(A48="[FÓRMULA MANUAL]","",IFERROR(AVERAGEIFS(nNOTA,nNIA,A48,nCUENTA,1,nASIG,"Conjunto"),"")))</f>
        <v/>
      </c>
      <c r="E48" t="str">
        <f>IF(A48="","",IF(A48="[FÓRMULA MANUAL]","",IFERROR(SUMPRODUCT((nNIA=A48)*(nCUENTA=1)*(COUNTIF(CONFIG_ASIGNATURAS!$B$7:$B$27,nASIG)&gt;0)*(nNOTA))/SUMPRODUCT((nNIA=A48)*(nCUENTA=1)*(COUNTIF(CONFIG_ASIGNATURAS!$B$7:$B$27,nASIG)&gt;0)*1),"")))</f>
        <v/>
      </c>
      <c r="H48" t="str">
        <f>IF(G48="","",IF(G48="[FÓRMULA MANUAL]","",IFERROR(AVERAGEIFS(nNOTA,nNIA,G48,nCUENTA,1,nASIG,"Lenguaje Musical"),"")))</f>
        <v/>
      </c>
      <c r="I48" t="str">
        <f>IF(G48="","",IF(G48="[FÓRMULA MANUAL]","",IFERROR(AVERAGEIFS(nNOTA,nNIA,G48,nCUENTA,1,nASIG,"Orquesta/Banda/Conjunto"),"")))</f>
        <v/>
      </c>
      <c r="J48" t="str">
        <f>IF(G48="","",IF(G48="[FÓRMULA MANUAL]","",IFERROR(AVERAGEIFS(nNOTA,nNIA,G48,nCUENTA,1,nASIG,"Conjunto"),"")))</f>
        <v/>
      </c>
      <c r="K48" t="str">
        <f>IF(G48="","",IF(G48="[FÓRMULA MANUAL]","",IFERROR(SUMPRODUCT((nNIA=G48)*(nCUENTA=1)*(COUNTIF(CONFIG_ASIGNATURAS!$B$7:$B$27,nASIG)&gt;0)*(nNOTA))/SUMPRODUCT((nNIA=G48)*(nCUENTA=1)*(COUNTIF(CONFIG_ASIGNATURAS!$B$7:$B$27,nASIG)&gt;0)*1),"")))</f>
        <v/>
      </c>
      <c r="N48" t="str">
        <f>IF(M48="","",IF(M48="[FÓRMULA MANUAL]","",IFERROR(AVERAGEIFS(nNOTA,nNIA,M48,nCUENTA,1,nASIG,"Armonía"),"")))</f>
        <v/>
      </c>
      <c r="O48" t="str">
        <f>IF(M48="","",IF(M48="[FÓRMULA MANUAL]","",IFERROR(AVERAGEIFS(nNOTA,nNIA,M48,nCUENTA,1,nASIG,"Orquesta/Banda/Conjunto"),"")))</f>
        <v/>
      </c>
      <c r="P48" t="str">
        <f>IF(M48="","",IF(M48="[FÓRMULA MANUAL]","",IFERROR(AVERAGEIFS(nNOTA,nNIA,M48,nCUENTA,1,nASIG,"Música de Cámara"),"")))</f>
        <v/>
      </c>
      <c r="Q48" t="str">
        <f>IF(M48="","",IF(M48="[FÓRMULA MANUAL]","",IFERROR(SUMPRODUCT((nNIA=M48)*(nCUENTA=1)*(COUNTIF(CONFIG_ASIGNATURAS!$B$7:$B$27,nASIG)&gt;0)*(nNOTA))/SUMPRODUCT((nNIA=M48)*(nCUENTA=1)*(COUNTIF(CONFIG_ASIGNATURAS!$B$7:$B$27,nASIG)&gt;0)*1),"")))</f>
        <v/>
      </c>
      <c r="T48" t="str">
        <f>IF(S48="","",IF(S48="[FÓRMULA MANUAL]","",IFERROR(AVERAGEIFS(nNOTA,nNIA,S48,nCUENTA,1,nASIG,"Armonía"),"")))</f>
        <v/>
      </c>
      <c r="U48" t="str">
        <f>IF(S48="","",IF(S48="[FÓRMULA MANUAL]","",IFERROR(AVERAGEIFS(nNOTA,nNIA,S48,nCUENTA,1,nASIG,"Orquesta/Banda/Conjunto"),"")))</f>
        <v/>
      </c>
      <c r="V48" t="str">
        <f>IF(S48="","",IF(S48="[FÓRMULA MANUAL]","",IFERROR(AVERAGEIFS(nNOTA,nNIA,S48,nCUENTA,1,nASIG,"Música de Cámara"),"")))</f>
        <v/>
      </c>
      <c r="W48" t="str">
        <f>IF(S48="","",IF(S48="[FÓRMULA MANUAL]","",IFERROR(SUMPRODUCT((nNIA=S48)*(nCUENTA=1)*(COUNTIF(CONFIG_ASIGNATURAS!$B$7:$B$27,nASIG)&gt;0)*(nNOTA))/SUMPRODUCT((nNIA=S48)*(nCUENTA=1)*(COUNTIF(CONFIG_ASIGNATURAS!$B$7:$B$27,nASIG)&gt;0)*1),"")))</f>
        <v/>
      </c>
      <c r="Z48" t="str">
        <f>IF(Y48="","",IF(Y48="[FÓRMULA MANUAL]","",IFERROR(AVERAGEIFS(nNOTA,nNIA,Y48,nCUENTA,1,nASIG,"Análisis"),"")))</f>
        <v/>
      </c>
      <c r="AA48" t="str">
        <f>IF(Y48="","",IF(Y48="[FÓRMULA MANUAL]","",IFERROR(AVERAGEIFS(nNOTA,nNIA,Y48,nCUENTA,1,nASIG,"Orquesta/Banda/Conjunto"),"")))</f>
        <v/>
      </c>
      <c r="AB48" t="str">
        <f>IF(Y48="","",IF(Y48="[FÓRMULA MANUAL]","",IFERROR(AVERAGEIFS(nNOTA,nNIA,Y48,nCUENTA,1,nASIG,"Música de Cámara"),"")))</f>
        <v/>
      </c>
      <c r="AC48" t="str">
        <f>IF(Y48="","",IF(Y48="[FÓRMULA MANUAL]","",IFERROR(SUMPRODUCT((nNIA=Y48)*(nCUENTA=1)*(COUNTIF(CONFIG_ASIGNATURAS!$B$7:$B$27,nASIG)&gt;0)*(nNOTA))/SUMPRODUCT((nNIA=Y48)*(nCUENTA=1)*(COUNTIF(CONFIG_ASIGNATURAS!$B$7:$B$27,nASIG)&gt;0)*1),"")))</f>
        <v/>
      </c>
      <c r="AF48" t="str">
        <f>IF(AE48="","",IF(AE48="[FÓRMULA MANUAL]","",IFERROR(AVERAGEIFS(nNOTA,nNIA,AE48,nCUENTA,1,nASIG,"Análisis"),"")))</f>
        <v/>
      </c>
      <c r="AG48" t="str">
        <f>IF(AE48="","",IF(AE48="[FÓRMULA MANUAL]","",IFERROR(AVERAGEIFS(nNOTA,nNIA,AE48,nCUENTA,1,nASIG,"Orquesta/Banda/Conjunto"),"")))</f>
        <v/>
      </c>
      <c r="AH48" t="str">
        <f>IF(AE48="","",IF(AE48="[FÓRMULA MANUAL]","",IFERROR(AVERAGEIFS(nNOTA,nNIA,AE48,nCUENTA,1,nASIG,"Música de Cámara"),"")))</f>
        <v/>
      </c>
      <c r="AI48" t="str">
        <f>IF(AE48="","",IF(AE48="[FÓRMULA MANUAL]","",IFERROR(SUMPRODUCT((nNIA=AE48)*(nCUENTA=1)*(COUNTIF(CONFIG_ASIGNATURAS!$B$7:$B$27,nASIG)&gt;0)*(nNOTA))/SUMPRODUCT((nNIA=AE48)*(nCUENTA=1)*(COUNTIF(CONFIG_ASIGNATURAS!$B$7:$B$27,nASIG)&gt;0)*1),"")))</f>
        <v/>
      </c>
    </row>
    <row r="49" spans="2:35" x14ac:dyDescent="0.2">
      <c r="B49" t="str">
        <f>IF(A49="","",IF(A49="[FÓRMULA MANUAL]","",IFERROR(AVERAGEIFS(nNOTA,nNIA,A49,nCUENTA,1,nASIG,"Lenguaje Musical"),"")))</f>
        <v/>
      </c>
      <c r="C49" t="str">
        <f>IF(A49="","",IF(A49="[FÓRMULA MANUAL]","",IFERROR(AVERAGEIFS(nNOTA,nNIA,A49,nCUENTA,1,nASIG,"Orquesta/Banda/Conjunto"),"")))</f>
        <v/>
      </c>
      <c r="D49" t="str">
        <f>IF(A49="","",IF(A49="[FÓRMULA MANUAL]","",IFERROR(AVERAGEIFS(nNOTA,nNIA,A49,nCUENTA,1,nASIG,"Conjunto"),"")))</f>
        <v/>
      </c>
      <c r="E49" t="str">
        <f>IF(A49="","",IF(A49="[FÓRMULA MANUAL]","",IFERROR(SUMPRODUCT((nNIA=A49)*(nCUENTA=1)*(COUNTIF(CONFIG_ASIGNATURAS!$B$7:$B$27,nASIG)&gt;0)*(nNOTA))/SUMPRODUCT((nNIA=A49)*(nCUENTA=1)*(COUNTIF(CONFIG_ASIGNATURAS!$B$7:$B$27,nASIG)&gt;0)*1),"")))</f>
        <v/>
      </c>
      <c r="H49" t="str">
        <f>IF(G49="","",IF(G49="[FÓRMULA MANUAL]","",IFERROR(AVERAGEIFS(nNOTA,nNIA,G49,nCUENTA,1,nASIG,"Lenguaje Musical"),"")))</f>
        <v/>
      </c>
      <c r="I49" t="str">
        <f>IF(G49="","",IF(G49="[FÓRMULA MANUAL]","",IFERROR(AVERAGEIFS(nNOTA,nNIA,G49,nCUENTA,1,nASIG,"Orquesta/Banda/Conjunto"),"")))</f>
        <v/>
      </c>
      <c r="J49" t="str">
        <f>IF(G49="","",IF(G49="[FÓRMULA MANUAL]","",IFERROR(AVERAGEIFS(nNOTA,nNIA,G49,nCUENTA,1,nASIG,"Conjunto"),"")))</f>
        <v/>
      </c>
      <c r="K49" t="str">
        <f>IF(G49="","",IF(G49="[FÓRMULA MANUAL]","",IFERROR(SUMPRODUCT((nNIA=G49)*(nCUENTA=1)*(COUNTIF(CONFIG_ASIGNATURAS!$B$7:$B$27,nASIG)&gt;0)*(nNOTA))/SUMPRODUCT((nNIA=G49)*(nCUENTA=1)*(COUNTIF(CONFIG_ASIGNATURAS!$B$7:$B$27,nASIG)&gt;0)*1),"")))</f>
        <v/>
      </c>
      <c r="N49" t="str">
        <f>IF(M49="","",IF(M49="[FÓRMULA MANUAL]","",IFERROR(AVERAGEIFS(nNOTA,nNIA,M49,nCUENTA,1,nASIG,"Armonía"),"")))</f>
        <v/>
      </c>
      <c r="O49" t="str">
        <f>IF(M49="","",IF(M49="[FÓRMULA MANUAL]","",IFERROR(AVERAGEIFS(nNOTA,nNIA,M49,nCUENTA,1,nASIG,"Orquesta/Banda/Conjunto"),"")))</f>
        <v/>
      </c>
      <c r="P49" t="str">
        <f>IF(M49="","",IF(M49="[FÓRMULA MANUAL]","",IFERROR(AVERAGEIFS(nNOTA,nNIA,M49,nCUENTA,1,nASIG,"Música de Cámara"),"")))</f>
        <v/>
      </c>
      <c r="Q49" t="str">
        <f>IF(M49="","",IF(M49="[FÓRMULA MANUAL]","",IFERROR(SUMPRODUCT((nNIA=M49)*(nCUENTA=1)*(COUNTIF(CONFIG_ASIGNATURAS!$B$7:$B$27,nASIG)&gt;0)*(nNOTA))/SUMPRODUCT((nNIA=M49)*(nCUENTA=1)*(COUNTIF(CONFIG_ASIGNATURAS!$B$7:$B$27,nASIG)&gt;0)*1),"")))</f>
        <v/>
      </c>
      <c r="T49" t="str">
        <f>IF(S49="","",IF(S49="[FÓRMULA MANUAL]","",IFERROR(AVERAGEIFS(nNOTA,nNIA,S49,nCUENTA,1,nASIG,"Armonía"),"")))</f>
        <v/>
      </c>
      <c r="U49" t="str">
        <f>IF(S49="","",IF(S49="[FÓRMULA MANUAL]","",IFERROR(AVERAGEIFS(nNOTA,nNIA,S49,nCUENTA,1,nASIG,"Orquesta/Banda/Conjunto"),"")))</f>
        <v/>
      </c>
      <c r="V49" t="str">
        <f>IF(S49="","",IF(S49="[FÓRMULA MANUAL]","",IFERROR(AVERAGEIFS(nNOTA,nNIA,S49,nCUENTA,1,nASIG,"Música de Cámara"),"")))</f>
        <v/>
      </c>
      <c r="W49" t="str">
        <f>IF(S49="","",IF(S49="[FÓRMULA MANUAL]","",IFERROR(SUMPRODUCT((nNIA=S49)*(nCUENTA=1)*(COUNTIF(CONFIG_ASIGNATURAS!$B$7:$B$27,nASIG)&gt;0)*(nNOTA))/SUMPRODUCT((nNIA=S49)*(nCUENTA=1)*(COUNTIF(CONFIG_ASIGNATURAS!$B$7:$B$27,nASIG)&gt;0)*1),"")))</f>
        <v/>
      </c>
      <c r="Z49" t="str">
        <f>IF(Y49="","",IF(Y49="[FÓRMULA MANUAL]","",IFERROR(AVERAGEIFS(nNOTA,nNIA,Y49,nCUENTA,1,nASIG,"Análisis"),"")))</f>
        <v/>
      </c>
      <c r="AA49" t="str">
        <f>IF(Y49="","",IF(Y49="[FÓRMULA MANUAL]","",IFERROR(AVERAGEIFS(nNOTA,nNIA,Y49,nCUENTA,1,nASIG,"Orquesta/Banda/Conjunto"),"")))</f>
        <v/>
      </c>
      <c r="AB49" t="str">
        <f>IF(Y49="","",IF(Y49="[FÓRMULA MANUAL]","",IFERROR(AVERAGEIFS(nNOTA,nNIA,Y49,nCUENTA,1,nASIG,"Música de Cámara"),"")))</f>
        <v/>
      </c>
      <c r="AC49" t="str">
        <f>IF(Y49="","",IF(Y49="[FÓRMULA MANUAL]","",IFERROR(SUMPRODUCT((nNIA=Y49)*(nCUENTA=1)*(COUNTIF(CONFIG_ASIGNATURAS!$B$7:$B$27,nASIG)&gt;0)*(nNOTA))/SUMPRODUCT((nNIA=Y49)*(nCUENTA=1)*(COUNTIF(CONFIG_ASIGNATURAS!$B$7:$B$27,nASIG)&gt;0)*1),"")))</f>
        <v/>
      </c>
      <c r="AF49" t="str">
        <f>IF(AE49="","",IF(AE49="[FÓRMULA MANUAL]","",IFERROR(AVERAGEIFS(nNOTA,nNIA,AE49,nCUENTA,1,nASIG,"Análisis"),"")))</f>
        <v/>
      </c>
      <c r="AG49" t="str">
        <f>IF(AE49="","",IF(AE49="[FÓRMULA MANUAL]","",IFERROR(AVERAGEIFS(nNOTA,nNIA,AE49,nCUENTA,1,nASIG,"Orquesta/Banda/Conjunto"),"")))</f>
        <v/>
      </c>
      <c r="AH49" t="str">
        <f>IF(AE49="","",IF(AE49="[FÓRMULA MANUAL]","",IFERROR(AVERAGEIFS(nNOTA,nNIA,AE49,nCUENTA,1,nASIG,"Música de Cámara"),"")))</f>
        <v/>
      </c>
      <c r="AI49" t="str">
        <f>IF(AE49="","",IF(AE49="[FÓRMULA MANUAL]","",IFERROR(SUMPRODUCT((nNIA=AE49)*(nCUENTA=1)*(COUNTIF(CONFIG_ASIGNATURAS!$B$7:$B$27,nASIG)&gt;0)*(nNOTA))/SUMPRODUCT((nNIA=AE49)*(nCUENTA=1)*(COUNTIF(CONFIG_ASIGNATURAS!$B$7:$B$27,nASIG)&gt;0)*1),"")))</f>
        <v/>
      </c>
    </row>
    <row r="50" spans="2:35" x14ac:dyDescent="0.2">
      <c r="B50" t="str">
        <f>IF(A50="","",IF(A50="[FÓRMULA MANUAL]","",IFERROR(AVERAGEIFS(nNOTA,nNIA,A50,nCUENTA,1,nASIG,"Lenguaje Musical"),"")))</f>
        <v/>
      </c>
      <c r="C50" t="str">
        <f>IF(A50="","",IF(A50="[FÓRMULA MANUAL]","",IFERROR(AVERAGEIFS(nNOTA,nNIA,A50,nCUENTA,1,nASIG,"Orquesta/Banda/Conjunto"),"")))</f>
        <v/>
      </c>
      <c r="D50" t="str">
        <f>IF(A50="","",IF(A50="[FÓRMULA MANUAL]","",IFERROR(AVERAGEIFS(nNOTA,nNIA,A50,nCUENTA,1,nASIG,"Conjunto"),"")))</f>
        <v/>
      </c>
      <c r="E50" t="str">
        <f>IF(A50="","",IF(A50="[FÓRMULA MANUAL]","",IFERROR(SUMPRODUCT((nNIA=A50)*(nCUENTA=1)*(COUNTIF(CONFIG_ASIGNATURAS!$B$7:$B$27,nASIG)&gt;0)*(nNOTA))/SUMPRODUCT((nNIA=A50)*(nCUENTA=1)*(COUNTIF(CONFIG_ASIGNATURAS!$B$7:$B$27,nASIG)&gt;0)*1),"")))</f>
        <v/>
      </c>
      <c r="H50" t="str">
        <f>IF(G50="","",IF(G50="[FÓRMULA MANUAL]","",IFERROR(AVERAGEIFS(nNOTA,nNIA,G50,nCUENTA,1,nASIG,"Lenguaje Musical"),"")))</f>
        <v/>
      </c>
      <c r="I50" t="str">
        <f>IF(G50="","",IF(G50="[FÓRMULA MANUAL]","",IFERROR(AVERAGEIFS(nNOTA,nNIA,G50,nCUENTA,1,nASIG,"Orquesta/Banda/Conjunto"),"")))</f>
        <v/>
      </c>
      <c r="J50" t="str">
        <f>IF(G50="","",IF(G50="[FÓRMULA MANUAL]","",IFERROR(AVERAGEIFS(nNOTA,nNIA,G50,nCUENTA,1,nASIG,"Conjunto"),"")))</f>
        <v/>
      </c>
      <c r="K50" t="str">
        <f>IF(G50="","",IF(G50="[FÓRMULA MANUAL]","",IFERROR(SUMPRODUCT((nNIA=G50)*(nCUENTA=1)*(COUNTIF(CONFIG_ASIGNATURAS!$B$7:$B$27,nASIG)&gt;0)*(nNOTA))/SUMPRODUCT((nNIA=G50)*(nCUENTA=1)*(COUNTIF(CONFIG_ASIGNATURAS!$B$7:$B$27,nASIG)&gt;0)*1),"")))</f>
        <v/>
      </c>
      <c r="N50" t="str">
        <f>IF(M50="","",IF(M50="[FÓRMULA MANUAL]","",IFERROR(AVERAGEIFS(nNOTA,nNIA,M50,nCUENTA,1,nASIG,"Armonía"),"")))</f>
        <v/>
      </c>
      <c r="O50" t="str">
        <f>IF(M50="","",IF(M50="[FÓRMULA MANUAL]","",IFERROR(AVERAGEIFS(nNOTA,nNIA,M50,nCUENTA,1,nASIG,"Orquesta/Banda/Conjunto"),"")))</f>
        <v/>
      </c>
      <c r="P50" t="str">
        <f>IF(M50="","",IF(M50="[FÓRMULA MANUAL]","",IFERROR(AVERAGEIFS(nNOTA,nNIA,M50,nCUENTA,1,nASIG,"Música de Cámara"),"")))</f>
        <v/>
      </c>
      <c r="Q50" t="str">
        <f>IF(M50="","",IF(M50="[FÓRMULA MANUAL]","",IFERROR(SUMPRODUCT((nNIA=M50)*(nCUENTA=1)*(COUNTIF(CONFIG_ASIGNATURAS!$B$7:$B$27,nASIG)&gt;0)*(nNOTA))/SUMPRODUCT((nNIA=M50)*(nCUENTA=1)*(COUNTIF(CONFIG_ASIGNATURAS!$B$7:$B$27,nASIG)&gt;0)*1),"")))</f>
        <v/>
      </c>
      <c r="T50" t="str">
        <f>IF(S50="","",IF(S50="[FÓRMULA MANUAL]","",IFERROR(AVERAGEIFS(nNOTA,nNIA,S50,nCUENTA,1,nASIG,"Armonía"),"")))</f>
        <v/>
      </c>
      <c r="U50" t="str">
        <f>IF(S50="","",IF(S50="[FÓRMULA MANUAL]","",IFERROR(AVERAGEIFS(nNOTA,nNIA,S50,nCUENTA,1,nASIG,"Orquesta/Banda/Conjunto"),"")))</f>
        <v/>
      </c>
      <c r="V50" t="str">
        <f>IF(S50="","",IF(S50="[FÓRMULA MANUAL]","",IFERROR(AVERAGEIFS(nNOTA,nNIA,S50,nCUENTA,1,nASIG,"Música de Cámara"),"")))</f>
        <v/>
      </c>
      <c r="W50" t="str">
        <f>IF(S50="","",IF(S50="[FÓRMULA MANUAL]","",IFERROR(SUMPRODUCT((nNIA=S50)*(nCUENTA=1)*(COUNTIF(CONFIG_ASIGNATURAS!$B$7:$B$27,nASIG)&gt;0)*(nNOTA))/SUMPRODUCT((nNIA=S50)*(nCUENTA=1)*(COUNTIF(CONFIG_ASIGNATURAS!$B$7:$B$27,nASIG)&gt;0)*1),"")))</f>
        <v/>
      </c>
      <c r="Z50" t="str">
        <f>IF(Y50="","",IF(Y50="[FÓRMULA MANUAL]","",IFERROR(AVERAGEIFS(nNOTA,nNIA,Y50,nCUENTA,1,nASIG,"Análisis"),"")))</f>
        <v/>
      </c>
      <c r="AA50" t="str">
        <f>IF(Y50="","",IF(Y50="[FÓRMULA MANUAL]","",IFERROR(AVERAGEIFS(nNOTA,nNIA,Y50,nCUENTA,1,nASIG,"Orquesta/Banda/Conjunto"),"")))</f>
        <v/>
      </c>
      <c r="AB50" t="str">
        <f>IF(Y50="","",IF(Y50="[FÓRMULA MANUAL]","",IFERROR(AVERAGEIFS(nNOTA,nNIA,Y50,nCUENTA,1,nASIG,"Música de Cámara"),"")))</f>
        <v/>
      </c>
      <c r="AC50" t="str">
        <f>IF(Y50="","",IF(Y50="[FÓRMULA MANUAL]","",IFERROR(SUMPRODUCT((nNIA=Y50)*(nCUENTA=1)*(COUNTIF(CONFIG_ASIGNATURAS!$B$7:$B$27,nASIG)&gt;0)*(nNOTA))/SUMPRODUCT((nNIA=Y50)*(nCUENTA=1)*(COUNTIF(CONFIG_ASIGNATURAS!$B$7:$B$27,nASIG)&gt;0)*1),"")))</f>
        <v/>
      </c>
      <c r="AF50" t="str">
        <f>IF(AE50="","",IF(AE50="[FÓRMULA MANUAL]","",IFERROR(AVERAGEIFS(nNOTA,nNIA,AE50,nCUENTA,1,nASIG,"Análisis"),"")))</f>
        <v/>
      </c>
      <c r="AG50" t="str">
        <f>IF(AE50="","",IF(AE50="[FÓRMULA MANUAL]","",IFERROR(AVERAGEIFS(nNOTA,nNIA,AE50,nCUENTA,1,nASIG,"Orquesta/Banda/Conjunto"),"")))</f>
        <v/>
      </c>
      <c r="AH50" t="str">
        <f>IF(AE50="","",IF(AE50="[FÓRMULA MANUAL]","",IFERROR(AVERAGEIFS(nNOTA,nNIA,AE50,nCUENTA,1,nASIG,"Música de Cámara"),"")))</f>
        <v/>
      </c>
      <c r="AI50" t="str">
        <f>IF(AE50="","",IF(AE50="[FÓRMULA MANUAL]","",IFERROR(SUMPRODUCT((nNIA=AE50)*(nCUENTA=1)*(COUNTIF(CONFIG_ASIGNATURAS!$B$7:$B$27,nASIG)&gt;0)*(nNOTA))/SUMPRODUCT((nNIA=AE50)*(nCUENTA=1)*(COUNTIF(CONFIG_ASIGNATURAS!$B$7:$B$27,nASIG)&gt;0)*1),"")))</f>
        <v/>
      </c>
    </row>
    <row r="51" spans="2:35" x14ac:dyDescent="0.2">
      <c r="B51" t="str">
        <f>IF(A51="","",IF(A51="[FÓRMULA MANUAL]","",IFERROR(AVERAGEIFS(nNOTA,nNIA,A51,nCUENTA,1,nASIG,"Lenguaje Musical"),"")))</f>
        <v/>
      </c>
      <c r="C51" t="str">
        <f>IF(A51="","",IF(A51="[FÓRMULA MANUAL]","",IFERROR(AVERAGEIFS(nNOTA,nNIA,A51,nCUENTA,1,nASIG,"Orquesta/Banda/Conjunto"),"")))</f>
        <v/>
      </c>
      <c r="D51" t="str">
        <f>IF(A51="","",IF(A51="[FÓRMULA MANUAL]","",IFERROR(AVERAGEIFS(nNOTA,nNIA,A51,nCUENTA,1,nASIG,"Conjunto"),"")))</f>
        <v/>
      </c>
      <c r="E51" t="str">
        <f>IF(A51="","",IF(A51="[FÓRMULA MANUAL]","",IFERROR(SUMPRODUCT((nNIA=A51)*(nCUENTA=1)*(COUNTIF(CONFIG_ASIGNATURAS!$B$7:$B$27,nASIG)&gt;0)*(nNOTA))/SUMPRODUCT((nNIA=A51)*(nCUENTA=1)*(COUNTIF(CONFIG_ASIGNATURAS!$B$7:$B$27,nASIG)&gt;0)*1),"")))</f>
        <v/>
      </c>
      <c r="H51" t="str">
        <f>IF(G51="","",IF(G51="[FÓRMULA MANUAL]","",IFERROR(AVERAGEIFS(nNOTA,nNIA,G51,nCUENTA,1,nASIG,"Lenguaje Musical"),"")))</f>
        <v/>
      </c>
      <c r="I51" t="str">
        <f>IF(G51="","",IF(G51="[FÓRMULA MANUAL]","",IFERROR(AVERAGEIFS(nNOTA,nNIA,G51,nCUENTA,1,nASIG,"Orquesta/Banda/Conjunto"),"")))</f>
        <v/>
      </c>
      <c r="J51" t="str">
        <f>IF(G51="","",IF(G51="[FÓRMULA MANUAL]","",IFERROR(AVERAGEIFS(nNOTA,nNIA,G51,nCUENTA,1,nASIG,"Conjunto"),"")))</f>
        <v/>
      </c>
      <c r="K51" t="str">
        <f>IF(G51="","",IF(G51="[FÓRMULA MANUAL]","",IFERROR(SUMPRODUCT((nNIA=G51)*(nCUENTA=1)*(COUNTIF(CONFIG_ASIGNATURAS!$B$7:$B$27,nASIG)&gt;0)*(nNOTA))/SUMPRODUCT((nNIA=G51)*(nCUENTA=1)*(COUNTIF(CONFIG_ASIGNATURAS!$B$7:$B$27,nASIG)&gt;0)*1),"")))</f>
        <v/>
      </c>
      <c r="N51" t="str">
        <f>IF(M51="","",IF(M51="[FÓRMULA MANUAL]","",IFERROR(AVERAGEIFS(nNOTA,nNIA,M51,nCUENTA,1,nASIG,"Armonía"),"")))</f>
        <v/>
      </c>
      <c r="O51" t="str">
        <f>IF(M51="","",IF(M51="[FÓRMULA MANUAL]","",IFERROR(AVERAGEIFS(nNOTA,nNIA,M51,nCUENTA,1,nASIG,"Orquesta/Banda/Conjunto"),"")))</f>
        <v/>
      </c>
      <c r="P51" t="str">
        <f>IF(M51="","",IF(M51="[FÓRMULA MANUAL]","",IFERROR(AVERAGEIFS(nNOTA,nNIA,M51,nCUENTA,1,nASIG,"Música de Cámara"),"")))</f>
        <v/>
      </c>
      <c r="Q51" t="str">
        <f>IF(M51="","",IF(M51="[FÓRMULA MANUAL]","",IFERROR(SUMPRODUCT((nNIA=M51)*(nCUENTA=1)*(COUNTIF(CONFIG_ASIGNATURAS!$B$7:$B$27,nASIG)&gt;0)*(nNOTA))/SUMPRODUCT((nNIA=M51)*(nCUENTA=1)*(COUNTIF(CONFIG_ASIGNATURAS!$B$7:$B$27,nASIG)&gt;0)*1),"")))</f>
        <v/>
      </c>
      <c r="T51" t="str">
        <f>IF(S51="","",IF(S51="[FÓRMULA MANUAL]","",IFERROR(AVERAGEIFS(nNOTA,nNIA,S51,nCUENTA,1,nASIG,"Armonía"),"")))</f>
        <v/>
      </c>
      <c r="U51" t="str">
        <f>IF(S51="","",IF(S51="[FÓRMULA MANUAL]","",IFERROR(AVERAGEIFS(nNOTA,nNIA,S51,nCUENTA,1,nASIG,"Orquesta/Banda/Conjunto"),"")))</f>
        <v/>
      </c>
      <c r="V51" t="str">
        <f>IF(S51="","",IF(S51="[FÓRMULA MANUAL]","",IFERROR(AVERAGEIFS(nNOTA,nNIA,S51,nCUENTA,1,nASIG,"Música de Cámara"),"")))</f>
        <v/>
      </c>
      <c r="W51" t="str">
        <f>IF(S51="","",IF(S51="[FÓRMULA MANUAL]","",IFERROR(SUMPRODUCT((nNIA=S51)*(nCUENTA=1)*(COUNTIF(CONFIG_ASIGNATURAS!$B$7:$B$27,nASIG)&gt;0)*(nNOTA))/SUMPRODUCT((nNIA=S51)*(nCUENTA=1)*(COUNTIF(CONFIG_ASIGNATURAS!$B$7:$B$27,nASIG)&gt;0)*1),"")))</f>
        <v/>
      </c>
      <c r="Z51" t="str">
        <f>IF(Y51="","",IF(Y51="[FÓRMULA MANUAL]","",IFERROR(AVERAGEIFS(nNOTA,nNIA,Y51,nCUENTA,1,nASIG,"Análisis"),"")))</f>
        <v/>
      </c>
      <c r="AA51" t="str">
        <f>IF(Y51="","",IF(Y51="[FÓRMULA MANUAL]","",IFERROR(AVERAGEIFS(nNOTA,nNIA,Y51,nCUENTA,1,nASIG,"Orquesta/Banda/Conjunto"),"")))</f>
        <v/>
      </c>
      <c r="AB51" t="str">
        <f>IF(Y51="","",IF(Y51="[FÓRMULA MANUAL]","",IFERROR(AVERAGEIFS(nNOTA,nNIA,Y51,nCUENTA,1,nASIG,"Música de Cámara"),"")))</f>
        <v/>
      </c>
      <c r="AC51" t="str">
        <f>IF(Y51="","",IF(Y51="[FÓRMULA MANUAL]","",IFERROR(SUMPRODUCT((nNIA=Y51)*(nCUENTA=1)*(COUNTIF(CONFIG_ASIGNATURAS!$B$7:$B$27,nASIG)&gt;0)*(nNOTA))/SUMPRODUCT((nNIA=Y51)*(nCUENTA=1)*(COUNTIF(CONFIG_ASIGNATURAS!$B$7:$B$27,nASIG)&gt;0)*1),"")))</f>
        <v/>
      </c>
      <c r="AF51" t="str">
        <f>IF(AE51="","",IF(AE51="[FÓRMULA MANUAL]","",IFERROR(AVERAGEIFS(nNOTA,nNIA,AE51,nCUENTA,1,nASIG,"Análisis"),"")))</f>
        <v/>
      </c>
      <c r="AG51" t="str">
        <f>IF(AE51="","",IF(AE51="[FÓRMULA MANUAL]","",IFERROR(AVERAGEIFS(nNOTA,nNIA,AE51,nCUENTA,1,nASIG,"Orquesta/Banda/Conjunto"),"")))</f>
        <v/>
      </c>
      <c r="AH51" t="str">
        <f>IF(AE51="","",IF(AE51="[FÓRMULA MANUAL]","",IFERROR(AVERAGEIFS(nNOTA,nNIA,AE51,nCUENTA,1,nASIG,"Música de Cámara"),"")))</f>
        <v/>
      </c>
      <c r="AI51" t="str">
        <f>IF(AE51="","",IF(AE51="[FÓRMULA MANUAL]","",IFERROR(SUMPRODUCT((nNIA=AE51)*(nCUENTA=1)*(COUNTIF(CONFIG_ASIGNATURAS!$B$7:$B$27,nASIG)&gt;0)*(nNOTA))/SUMPRODUCT((nNIA=AE51)*(nCUENTA=1)*(COUNTIF(CONFIG_ASIGNATURAS!$B$7:$B$27,nASIG)&gt;0)*1),"")))</f>
        <v/>
      </c>
    </row>
    <row r="52" spans="2:35" x14ac:dyDescent="0.2">
      <c r="B52" t="str">
        <f>IF(A52="","",IF(A52="[FÓRMULA MANUAL]","",IFERROR(AVERAGEIFS(nNOTA,nNIA,A52,nCUENTA,1,nASIG,"Lenguaje Musical"),"")))</f>
        <v/>
      </c>
      <c r="C52" t="str">
        <f>IF(A52="","",IF(A52="[FÓRMULA MANUAL]","",IFERROR(AVERAGEIFS(nNOTA,nNIA,A52,nCUENTA,1,nASIG,"Orquesta/Banda/Conjunto"),"")))</f>
        <v/>
      </c>
      <c r="D52" t="str">
        <f>IF(A52="","",IF(A52="[FÓRMULA MANUAL]","",IFERROR(AVERAGEIFS(nNOTA,nNIA,A52,nCUENTA,1,nASIG,"Conjunto"),"")))</f>
        <v/>
      </c>
      <c r="E52" t="str">
        <f>IF(A52="","",IF(A52="[FÓRMULA MANUAL]","",IFERROR(SUMPRODUCT((nNIA=A52)*(nCUENTA=1)*(COUNTIF(CONFIG_ASIGNATURAS!$B$7:$B$27,nASIG)&gt;0)*(nNOTA))/SUMPRODUCT((nNIA=A52)*(nCUENTA=1)*(COUNTIF(CONFIG_ASIGNATURAS!$B$7:$B$27,nASIG)&gt;0)*1),"")))</f>
        <v/>
      </c>
      <c r="H52" t="str">
        <f>IF(G52="","",IF(G52="[FÓRMULA MANUAL]","",IFERROR(AVERAGEIFS(nNOTA,nNIA,G52,nCUENTA,1,nASIG,"Lenguaje Musical"),"")))</f>
        <v/>
      </c>
      <c r="I52" t="str">
        <f>IF(G52="","",IF(G52="[FÓRMULA MANUAL]","",IFERROR(AVERAGEIFS(nNOTA,nNIA,G52,nCUENTA,1,nASIG,"Orquesta/Banda/Conjunto"),"")))</f>
        <v/>
      </c>
      <c r="J52" t="str">
        <f>IF(G52="","",IF(G52="[FÓRMULA MANUAL]","",IFERROR(AVERAGEIFS(nNOTA,nNIA,G52,nCUENTA,1,nASIG,"Conjunto"),"")))</f>
        <v/>
      </c>
      <c r="K52" t="str">
        <f>IF(G52="","",IF(G52="[FÓRMULA MANUAL]","",IFERROR(SUMPRODUCT((nNIA=G52)*(nCUENTA=1)*(COUNTIF(CONFIG_ASIGNATURAS!$B$7:$B$27,nASIG)&gt;0)*(nNOTA))/SUMPRODUCT((nNIA=G52)*(nCUENTA=1)*(COUNTIF(CONFIG_ASIGNATURAS!$B$7:$B$27,nASIG)&gt;0)*1),"")))</f>
        <v/>
      </c>
      <c r="N52" t="str">
        <f>IF(M52="","",IF(M52="[FÓRMULA MANUAL]","",IFERROR(AVERAGEIFS(nNOTA,nNIA,M52,nCUENTA,1,nASIG,"Armonía"),"")))</f>
        <v/>
      </c>
      <c r="O52" t="str">
        <f>IF(M52="","",IF(M52="[FÓRMULA MANUAL]","",IFERROR(AVERAGEIFS(nNOTA,nNIA,M52,nCUENTA,1,nASIG,"Orquesta/Banda/Conjunto"),"")))</f>
        <v/>
      </c>
      <c r="P52" t="str">
        <f>IF(M52="","",IF(M52="[FÓRMULA MANUAL]","",IFERROR(AVERAGEIFS(nNOTA,nNIA,M52,nCUENTA,1,nASIG,"Música de Cámara"),"")))</f>
        <v/>
      </c>
      <c r="Q52" t="str">
        <f>IF(M52="","",IF(M52="[FÓRMULA MANUAL]","",IFERROR(SUMPRODUCT((nNIA=M52)*(nCUENTA=1)*(COUNTIF(CONFIG_ASIGNATURAS!$B$7:$B$27,nASIG)&gt;0)*(nNOTA))/SUMPRODUCT((nNIA=M52)*(nCUENTA=1)*(COUNTIF(CONFIG_ASIGNATURAS!$B$7:$B$27,nASIG)&gt;0)*1),"")))</f>
        <v/>
      </c>
      <c r="T52" t="str">
        <f>IF(S52="","",IF(S52="[FÓRMULA MANUAL]","",IFERROR(AVERAGEIFS(nNOTA,nNIA,S52,nCUENTA,1,nASIG,"Armonía"),"")))</f>
        <v/>
      </c>
      <c r="U52" t="str">
        <f>IF(S52="","",IF(S52="[FÓRMULA MANUAL]","",IFERROR(AVERAGEIFS(nNOTA,nNIA,S52,nCUENTA,1,nASIG,"Orquesta/Banda/Conjunto"),"")))</f>
        <v/>
      </c>
      <c r="V52" t="str">
        <f>IF(S52="","",IF(S52="[FÓRMULA MANUAL]","",IFERROR(AVERAGEIFS(nNOTA,nNIA,S52,nCUENTA,1,nASIG,"Música de Cámara"),"")))</f>
        <v/>
      </c>
      <c r="W52" t="str">
        <f>IF(S52="","",IF(S52="[FÓRMULA MANUAL]","",IFERROR(SUMPRODUCT((nNIA=S52)*(nCUENTA=1)*(COUNTIF(CONFIG_ASIGNATURAS!$B$7:$B$27,nASIG)&gt;0)*(nNOTA))/SUMPRODUCT((nNIA=S52)*(nCUENTA=1)*(COUNTIF(CONFIG_ASIGNATURAS!$B$7:$B$27,nASIG)&gt;0)*1),"")))</f>
        <v/>
      </c>
      <c r="Z52" t="str">
        <f>IF(Y52="","",IF(Y52="[FÓRMULA MANUAL]","",IFERROR(AVERAGEIFS(nNOTA,nNIA,Y52,nCUENTA,1,nASIG,"Análisis"),"")))</f>
        <v/>
      </c>
      <c r="AA52" t="str">
        <f>IF(Y52="","",IF(Y52="[FÓRMULA MANUAL]","",IFERROR(AVERAGEIFS(nNOTA,nNIA,Y52,nCUENTA,1,nASIG,"Orquesta/Banda/Conjunto"),"")))</f>
        <v/>
      </c>
      <c r="AB52" t="str">
        <f>IF(Y52="","",IF(Y52="[FÓRMULA MANUAL]","",IFERROR(AVERAGEIFS(nNOTA,nNIA,Y52,nCUENTA,1,nASIG,"Música de Cámara"),"")))</f>
        <v/>
      </c>
      <c r="AC52" t="str">
        <f>IF(Y52="","",IF(Y52="[FÓRMULA MANUAL]","",IFERROR(SUMPRODUCT((nNIA=Y52)*(nCUENTA=1)*(COUNTIF(CONFIG_ASIGNATURAS!$B$7:$B$27,nASIG)&gt;0)*(nNOTA))/SUMPRODUCT((nNIA=Y52)*(nCUENTA=1)*(COUNTIF(CONFIG_ASIGNATURAS!$B$7:$B$27,nASIG)&gt;0)*1),"")))</f>
        <v/>
      </c>
      <c r="AF52" t="str">
        <f>IF(AE52="","",IF(AE52="[FÓRMULA MANUAL]","",IFERROR(AVERAGEIFS(nNOTA,nNIA,AE52,nCUENTA,1,nASIG,"Análisis"),"")))</f>
        <v/>
      </c>
      <c r="AG52" t="str">
        <f>IF(AE52="","",IF(AE52="[FÓRMULA MANUAL]","",IFERROR(AVERAGEIFS(nNOTA,nNIA,AE52,nCUENTA,1,nASIG,"Orquesta/Banda/Conjunto"),"")))</f>
        <v/>
      </c>
      <c r="AH52" t="str">
        <f>IF(AE52="","",IF(AE52="[FÓRMULA MANUAL]","",IFERROR(AVERAGEIFS(nNOTA,nNIA,AE52,nCUENTA,1,nASIG,"Música de Cámara"),"")))</f>
        <v/>
      </c>
      <c r="AI52" t="str">
        <f>IF(AE52="","",IF(AE52="[FÓRMULA MANUAL]","",IFERROR(SUMPRODUCT((nNIA=AE52)*(nCUENTA=1)*(COUNTIF(CONFIG_ASIGNATURAS!$B$7:$B$27,nASIG)&gt;0)*(nNOTA))/SUMPRODUCT((nNIA=AE52)*(nCUENTA=1)*(COUNTIF(CONFIG_ASIGNATURAS!$B$7:$B$27,nASIG)&gt;0)*1),"")))</f>
        <v/>
      </c>
    </row>
    <row r="53" spans="2:35" x14ac:dyDescent="0.2">
      <c r="B53" t="str">
        <f>IF(A53="","",IF(A53="[FÓRMULA MANUAL]","",IFERROR(AVERAGEIFS(nNOTA,nNIA,A53,nCUENTA,1,nASIG,"Lenguaje Musical"),"")))</f>
        <v/>
      </c>
      <c r="C53" t="str">
        <f>IF(A53="","",IF(A53="[FÓRMULA MANUAL]","",IFERROR(AVERAGEIFS(nNOTA,nNIA,A53,nCUENTA,1,nASIG,"Orquesta/Banda/Conjunto"),"")))</f>
        <v/>
      </c>
      <c r="D53" t="str">
        <f>IF(A53="","",IF(A53="[FÓRMULA MANUAL]","",IFERROR(AVERAGEIFS(nNOTA,nNIA,A53,nCUENTA,1,nASIG,"Conjunto"),"")))</f>
        <v/>
      </c>
      <c r="E53" t="str">
        <f>IF(A53="","",IF(A53="[FÓRMULA MANUAL]","",IFERROR(SUMPRODUCT((nNIA=A53)*(nCUENTA=1)*(COUNTIF(CONFIG_ASIGNATURAS!$B$7:$B$27,nASIG)&gt;0)*(nNOTA))/SUMPRODUCT((nNIA=A53)*(nCUENTA=1)*(COUNTIF(CONFIG_ASIGNATURAS!$B$7:$B$27,nASIG)&gt;0)*1),"")))</f>
        <v/>
      </c>
      <c r="H53" t="str">
        <f>IF(G53="","",IF(G53="[FÓRMULA MANUAL]","",IFERROR(AVERAGEIFS(nNOTA,nNIA,G53,nCUENTA,1,nASIG,"Lenguaje Musical"),"")))</f>
        <v/>
      </c>
      <c r="I53" t="str">
        <f>IF(G53="","",IF(G53="[FÓRMULA MANUAL]","",IFERROR(AVERAGEIFS(nNOTA,nNIA,G53,nCUENTA,1,nASIG,"Orquesta/Banda/Conjunto"),"")))</f>
        <v/>
      </c>
      <c r="J53" t="str">
        <f>IF(G53="","",IF(G53="[FÓRMULA MANUAL]","",IFERROR(AVERAGEIFS(nNOTA,nNIA,G53,nCUENTA,1,nASIG,"Conjunto"),"")))</f>
        <v/>
      </c>
      <c r="K53" t="str">
        <f>IF(G53="","",IF(G53="[FÓRMULA MANUAL]","",IFERROR(SUMPRODUCT((nNIA=G53)*(nCUENTA=1)*(COUNTIF(CONFIG_ASIGNATURAS!$B$7:$B$27,nASIG)&gt;0)*(nNOTA))/SUMPRODUCT((nNIA=G53)*(nCUENTA=1)*(COUNTIF(CONFIG_ASIGNATURAS!$B$7:$B$27,nASIG)&gt;0)*1),"")))</f>
        <v/>
      </c>
      <c r="N53" t="str">
        <f>IF(M53="","",IF(M53="[FÓRMULA MANUAL]","",IFERROR(AVERAGEIFS(nNOTA,nNIA,M53,nCUENTA,1,nASIG,"Armonía"),"")))</f>
        <v/>
      </c>
      <c r="O53" t="str">
        <f>IF(M53="","",IF(M53="[FÓRMULA MANUAL]","",IFERROR(AVERAGEIFS(nNOTA,nNIA,M53,nCUENTA,1,nASIG,"Orquesta/Banda/Conjunto"),"")))</f>
        <v/>
      </c>
      <c r="P53" t="str">
        <f>IF(M53="","",IF(M53="[FÓRMULA MANUAL]","",IFERROR(AVERAGEIFS(nNOTA,nNIA,M53,nCUENTA,1,nASIG,"Música de Cámara"),"")))</f>
        <v/>
      </c>
      <c r="Q53" t="str">
        <f>IF(M53="","",IF(M53="[FÓRMULA MANUAL]","",IFERROR(SUMPRODUCT((nNIA=M53)*(nCUENTA=1)*(COUNTIF(CONFIG_ASIGNATURAS!$B$7:$B$27,nASIG)&gt;0)*(nNOTA))/SUMPRODUCT((nNIA=M53)*(nCUENTA=1)*(COUNTIF(CONFIG_ASIGNATURAS!$B$7:$B$27,nASIG)&gt;0)*1),"")))</f>
        <v/>
      </c>
      <c r="T53" t="str">
        <f>IF(S53="","",IF(S53="[FÓRMULA MANUAL]","",IFERROR(AVERAGEIFS(nNOTA,nNIA,S53,nCUENTA,1,nASIG,"Armonía"),"")))</f>
        <v/>
      </c>
      <c r="U53" t="str">
        <f>IF(S53="","",IF(S53="[FÓRMULA MANUAL]","",IFERROR(AVERAGEIFS(nNOTA,nNIA,S53,nCUENTA,1,nASIG,"Orquesta/Banda/Conjunto"),"")))</f>
        <v/>
      </c>
      <c r="V53" t="str">
        <f>IF(S53="","",IF(S53="[FÓRMULA MANUAL]","",IFERROR(AVERAGEIFS(nNOTA,nNIA,S53,nCUENTA,1,nASIG,"Música de Cámara"),"")))</f>
        <v/>
      </c>
      <c r="W53" t="str">
        <f>IF(S53="","",IF(S53="[FÓRMULA MANUAL]","",IFERROR(SUMPRODUCT((nNIA=S53)*(nCUENTA=1)*(COUNTIF(CONFIG_ASIGNATURAS!$B$7:$B$27,nASIG)&gt;0)*(nNOTA))/SUMPRODUCT((nNIA=S53)*(nCUENTA=1)*(COUNTIF(CONFIG_ASIGNATURAS!$B$7:$B$27,nASIG)&gt;0)*1),"")))</f>
        <v/>
      </c>
      <c r="Z53" t="str">
        <f>IF(Y53="","",IF(Y53="[FÓRMULA MANUAL]","",IFERROR(AVERAGEIFS(nNOTA,nNIA,Y53,nCUENTA,1,nASIG,"Análisis"),"")))</f>
        <v/>
      </c>
      <c r="AA53" t="str">
        <f>IF(Y53="","",IF(Y53="[FÓRMULA MANUAL]","",IFERROR(AVERAGEIFS(nNOTA,nNIA,Y53,nCUENTA,1,nASIG,"Orquesta/Banda/Conjunto"),"")))</f>
        <v/>
      </c>
      <c r="AB53" t="str">
        <f>IF(Y53="","",IF(Y53="[FÓRMULA MANUAL]","",IFERROR(AVERAGEIFS(nNOTA,nNIA,Y53,nCUENTA,1,nASIG,"Música de Cámara"),"")))</f>
        <v/>
      </c>
      <c r="AC53" t="str">
        <f>IF(Y53="","",IF(Y53="[FÓRMULA MANUAL]","",IFERROR(SUMPRODUCT((nNIA=Y53)*(nCUENTA=1)*(COUNTIF(CONFIG_ASIGNATURAS!$B$7:$B$27,nASIG)&gt;0)*(nNOTA))/SUMPRODUCT((nNIA=Y53)*(nCUENTA=1)*(COUNTIF(CONFIG_ASIGNATURAS!$B$7:$B$27,nASIG)&gt;0)*1),"")))</f>
        <v/>
      </c>
      <c r="AF53" t="str">
        <f>IF(AE53="","",IF(AE53="[FÓRMULA MANUAL]","",IFERROR(AVERAGEIFS(nNOTA,nNIA,AE53,nCUENTA,1,nASIG,"Análisis"),"")))</f>
        <v/>
      </c>
      <c r="AG53" t="str">
        <f>IF(AE53="","",IF(AE53="[FÓRMULA MANUAL]","",IFERROR(AVERAGEIFS(nNOTA,nNIA,AE53,nCUENTA,1,nASIG,"Orquesta/Banda/Conjunto"),"")))</f>
        <v/>
      </c>
      <c r="AH53" t="str">
        <f>IF(AE53="","",IF(AE53="[FÓRMULA MANUAL]","",IFERROR(AVERAGEIFS(nNOTA,nNIA,AE53,nCUENTA,1,nASIG,"Música de Cámara"),"")))</f>
        <v/>
      </c>
      <c r="AI53" t="str">
        <f>IF(AE53="","",IF(AE53="[FÓRMULA MANUAL]","",IFERROR(SUMPRODUCT((nNIA=AE53)*(nCUENTA=1)*(COUNTIF(CONFIG_ASIGNATURAS!$B$7:$B$27,nASIG)&gt;0)*(nNOTA))/SUMPRODUCT((nNIA=AE53)*(nCUENTA=1)*(COUNTIF(CONFIG_ASIGNATURAS!$B$7:$B$27,nASIG)&gt;0)*1),"")))</f>
        <v/>
      </c>
    </row>
    <row r="54" spans="2:35" x14ac:dyDescent="0.2">
      <c r="B54" t="str">
        <f>IF(A54="","",IF(A54="[FÓRMULA MANUAL]","",IFERROR(AVERAGEIFS(nNOTA,nNIA,A54,nCUENTA,1,nASIG,"Lenguaje Musical"),"")))</f>
        <v/>
      </c>
      <c r="C54" t="str">
        <f>IF(A54="","",IF(A54="[FÓRMULA MANUAL]","",IFERROR(AVERAGEIFS(nNOTA,nNIA,A54,nCUENTA,1,nASIG,"Orquesta/Banda/Conjunto"),"")))</f>
        <v/>
      </c>
      <c r="D54" t="str">
        <f>IF(A54="","",IF(A54="[FÓRMULA MANUAL]","",IFERROR(AVERAGEIFS(nNOTA,nNIA,A54,nCUENTA,1,nASIG,"Conjunto"),"")))</f>
        <v/>
      </c>
      <c r="E54" t="str">
        <f>IF(A54="","",IF(A54="[FÓRMULA MANUAL]","",IFERROR(SUMPRODUCT((nNIA=A54)*(nCUENTA=1)*(COUNTIF(CONFIG_ASIGNATURAS!$B$7:$B$27,nASIG)&gt;0)*(nNOTA))/SUMPRODUCT((nNIA=A54)*(nCUENTA=1)*(COUNTIF(CONFIG_ASIGNATURAS!$B$7:$B$27,nASIG)&gt;0)*1),"")))</f>
        <v/>
      </c>
      <c r="H54" t="str">
        <f>IF(G54="","",IF(G54="[FÓRMULA MANUAL]","",IFERROR(AVERAGEIFS(nNOTA,nNIA,G54,nCUENTA,1,nASIG,"Lenguaje Musical"),"")))</f>
        <v/>
      </c>
      <c r="I54" t="str">
        <f>IF(G54="","",IF(G54="[FÓRMULA MANUAL]","",IFERROR(AVERAGEIFS(nNOTA,nNIA,G54,nCUENTA,1,nASIG,"Orquesta/Banda/Conjunto"),"")))</f>
        <v/>
      </c>
      <c r="J54" t="str">
        <f>IF(G54="","",IF(G54="[FÓRMULA MANUAL]","",IFERROR(AVERAGEIFS(nNOTA,nNIA,G54,nCUENTA,1,nASIG,"Conjunto"),"")))</f>
        <v/>
      </c>
      <c r="K54" t="str">
        <f>IF(G54="","",IF(G54="[FÓRMULA MANUAL]","",IFERROR(SUMPRODUCT((nNIA=G54)*(nCUENTA=1)*(COUNTIF(CONFIG_ASIGNATURAS!$B$7:$B$27,nASIG)&gt;0)*(nNOTA))/SUMPRODUCT((nNIA=G54)*(nCUENTA=1)*(COUNTIF(CONFIG_ASIGNATURAS!$B$7:$B$27,nASIG)&gt;0)*1),"")))</f>
        <v/>
      </c>
      <c r="N54" t="str">
        <f>IF(M54="","",IF(M54="[FÓRMULA MANUAL]","",IFERROR(AVERAGEIFS(nNOTA,nNIA,M54,nCUENTA,1,nASIG,"Armonía"),"")))</f>
        <v/>
      </c>
      <c r="O54" t="str">
        <f>IF(M54="","",IF(M54="[FÓRMULA MANUAL]","",IFERROR(AVERAGEIFS(nNOTA,nNIA,M54,nCUENTA,1,nASIG,"Orquesta/Banda/Conjunto"),"")))</f>
        <v/>
      </c>
      <c r="P54" t="str">
        <f>IF(M54="","",IF(M54="[FÓRMULA MANUAL]","",IFERROR(AVERAGEIFS(nNOTA,nNIA,M54,nCUENTA,1,nASIG,"Música de Cámara"),"")))</f>
        <v/>
      </c>
      <c r="Q54" t="str">
        <f>IF(M54="","",IF(M54="[FÓRMULA MANUAL]","",IFERROR(SUMPRODUCT((nNIA=M54)*(nCUENTA=1)*(COUNTIF(CONFIG_ASIGNATURAS!$B$7:$B$27,nASIG)&gt;0)*(nNOTA))/SUMPRODUCT((nNIA=M54)*(nCUENTA=1)*(COUNTIF(CONFIG_ASIGNATURAS!$B$7:$B$27,nASIG)&gt;0)*1),"")))</f>
        <v/>
      </c>
      <c r="T54" t="str">
        <f>IF(S54="","",IF(S54="[FÓRMULA MANUAL]","",IFERROR(AVERAGEIFS(nNOTA,nNIA,S54,nCUENTA,1,nASIG,"Armonía"),"")))</f>
        <v/>
      </c>
      <c r="U54" t="str">
        <f>IF(S54="","",IF(S54="[FÓRMULA MANUAL]","",IFERROR(AVERAGEIFS(nNOTA,nNIA,S54,nCUENTA,1,nASIG,"Orquesta/Banda/Conjunto"),"")))</f>
        <v/>
      </c>
      <c r="V54" t="str">
        <f>IF(S54="","",IF(S54="[FÓRMULA MANUAL]","",IFERROR(AVERAGEIFS(nNOTA,nNIA,S54,nCUENTA,1,nASIG,"Música de Cámara"),"")))</f>
        <v/>
      </c>
      <c r="W54" t="str">
        <f>IF(S54="","",IF(S54="[FÓRMULA MANUAL]","",IFERROR(SUMPRODUCT((nNIA=S54)*(nCUENTA=1)*(COUNTIF(CONFIG_ASIGNATURAS!$B$7:$B$27,nASIG)&gt;0)*(nNOTA))/SUMPRODUCT((nNIA=S54)*(nCUENTA=1)*(COUNTIF(CONFIG_ASIGNATURAS!$B$7:$B$27,nASIG)&gt;0)*1),"")))</f>
        <v/>
      </c>
      <c r="Z54" t="str">
        <f>IF(Y54="","",IF(Y54="[FÓRMULA MANUAL]","",IFERROR(AVERAGEIFS(nNOTA,nNIA,Y54,nCUENTA,1,nASIG,"Análisis"),"")))</f>
        <v/>
      </c>
      <c r="AA54" t="str">
        <f>IF(Y54="","",IF(Y54="[FÓRMULA MANUAL]","",IFERROR(AVERAGEIFS(nNOTA,nNIA,Y54,nCUENTA,1,nASIG,"Orquesta/Banda/Conjunto"),"")))</f>
        <v/>
      </c>
      <c r="AB54" t="str">
        <f>IF(Y54="","",IF(Y54="[FÓRMULA MANUAL]","",IFERROR(AVERAGEIFS(nNOTA,nNIA,Y54,nCUENTA,1,nASIG,"Música de Cámara"),"")))</f>
        <v/>
      </c>
      <c r="AC54" t="str">
        <f>IF(Y54="","",IF(Y54="[FÓRMULA MANUAL]","",IFERROR(SUMPRODUCT((nNIA=Y54)*(nCUENTA=1)*(COUNTIF(CONFIG_ASIGNATURAS!$B$7:$B$27,nASIG)&gt;0)*(nNOTA))/SUMPRODUCT((nNIA=Y54)*(nCUENTA=1)*(COUNTIF(CONFIG_ASIGNATURAS!$B$7:$B$27,nASIG)&gt;0)*1),"")))</f>
        <v/>
      </c>
      <c r="AF54" t="str">
        <f>IF(AE54="","",IF(AE54="[FÓRMULA MANUAL]","",IFERROR(AVERAGEIFS(nNOTA,nNIA,AE54,nCUENTA,1,nASIG,"Análisis"),"")))</f>
        <v/>
      </c>
      <c r="AG54" t="str">
        <f>IF(AE54="","",IF(AE54="[FÓRMULA MANUAL]","",IFERROR(AVERAGEIFS(nNOTA,nNIA,AE54,nCUENTA,1,nASIG,"Orquesta/Banda/Conjunto"),"")))</f>
        <v/>
      </c>
      <c r="AH54" t="str">
        <f>IF(AE54="","",IF(AE54="[FÓRMULA MANUAL]","",IFERROR(AVERAGEIFS(nNOTA,nNIA,AE54,nCUENTA,1,nASIG,"Música de Cámara"),"")))</f>
        <v/>
      </c>
      <c r="AI54" t="str">
        <f>IF(AE54="","",IF(AE54="[FÓRMULA MANUAL]","",IFERROR(SUMPRODUCT((nNIA=AE54)*(nCUENTA=1)*(COUNTIF(CONFIG_ASIGNATURAS!$B$7:$B$27,nASIG)&gt;0)*(nNOTA))/SUMPRODUCT((nNIA=AE54)*(nCUENTA=1)*(COUNTIF(CONFIG_ASIGNATURAS!$B$7:$B$27,nASIG)&gt;0)*1),"")))</f>
        <v/>
      </c>
    </row>
    <row r="55" spans="2:35" x14ac:dyDescent="0.2">
      <c r="B55" t="str">
        <f>IF(A55="","",IF(A55="[FÓRMULA MANUAL]","",IFERROR(AVERAGEIFS(nNOTA,nNIA,A55,nCUENTA,1,nASIG,"Lenguaje Musical"),"")))</f>
        <v/>
      </c>
      <c r="C55" t="str">
        <f>IF(A55="","",IF(A55="[FÓRMULA MANUAL]","",IFERROR(AVERAGEIFS(nNOTA,nNIA,A55,nCUENTA,1,nASIG,"Orquesta/Banda/Conjunto"),"")))</f>
        <v/>
      </c>
      <c r="D55" t="str">
        <f>IF(A55="","",IF(A55="[FÓRMULA MANUAL]","",IFERROR(AVERAGEIFS(nNOTA,nNIA,A55,nCUENTA,1,nASIG,"Conjunto"),"")))</f>
        <v/>
      </c>
      <c r="E55" t="str">
        <f>IF(A55="","",IF(A55="[FÓRMULA MANUAL]","",IFERROR(SUMPRODUCT((nNIA=A55)*(nCUENTA=1)*(COUNTIF(CONFIG_ASIGNATURAS!$B$7:$B$27,nASIG)&gt;0)*(nNOTA))/SUMPRODUCT((nNIA=A55)*(nCUENTA=1)*(COUNTIF(CONFIG_ASIGNATURAS!$B$7:$B$27,nASIG)&gt;0)*1),"")))</f>
        <v/>
      </c>
      <c r="H55" t="str">
        <f>IF(G55="","",IF(G55="[FÓRMULA MANUAL]","",IFERROR(AVERAGEIFS(nNOTA,nNIA,G55,nCUENTA,1,nASIG,"Lenguaje Musical"),"")))</f>
        <v/>
      </c>
      <c r="I55" t="str">
        <f>IF(G55="","",IF(G55="[FÓRMULA MANUAL]","",IFERROR(AVERAGEIFS(nNOTA,nNIA,G55,nCUENTA,1,nASIG,"Orquesta/Banda/Conjunto"),"")))</f>
        <v/>
      </c>
      <c r="J55" t="str">
        <f>IF(G55="","",IF(G55="[FÓRMULA MANUAL]","",IFERROR(AVERAGEIFS(nNOTA,nNIA,G55,nCUENTA,1,nASIG,"Conjunto"),"")))</f>
        <v/>
      </c>
      <c r="K55" t="str">
        <f>IF(G55="","",IF(G55="[FÓRMULA MANUAL]","",IFERROR(SUMPRODUCT((nNIA=G55)*(nCUENTA=1)*(COUNTIF(CONFIG_ASIGNATURAS!$B$7:$B$27,nASIG)&gt;0)*(nNOTA))/SUMPRODUCT((nNIA=G55)*(nCUENTA=1)*(COUNTIF(CONFIG_ASIGNATURAS!$B$7:$B$27,nASIG)&gt;0)*1),"")))</f>
        <v/>
      </c>
      <c r="N55" t="str">
        <f>IF(M55="","",IF(M55="[FÓRMULA MANUAL]","",IFERROR(AVERAGEIFS(nNOTA,nNIA,M55,nCUENTA,1,nASIG,"Armonía"),"")))</f>
        <v/>
      </c>
      <c r="O55" t="str">
        <f>IF(M55="","",IF(M55="[FÓRMULA MANUAL]","",IFERROR(AVERAGEIFS(nNOTA,nNIA,M55,nCUENTA,1,nASIG,"Orquesta/Banda/Conjunto"),"")))</f>
        <v/>
      </c>
      <c r="P55" t="str">
        <f>IF(M55="","",IF(M55="[FÓRMULA MANUAL]","",IFERROR(AVERAGEIFS(nNOTA,nNIA,M55,nCUENTA,1,nASIG,"Música de Cámara"),"")))</f>
        <v/>
      </c>
      <c r="Q55" t="str">
        <f>IF(M55="","",IF(M55="[FÓRMULA MANUAL]","",IFERROR(SUMPRODUCT((nNIA=M55)*(nCUENTA=1)*(COUNTIF(CONFIG_ASIGNATURAS!$B$7:$B$27,nASIG)&gt;0)*(nNOTA))/SUMPRODUCT((nNIA=M55)*(nCUENTA=1)*(COUNTIF(CONFIG_ASIGNATURAS!$B$7:$B$27,nASIG)&gt;0)*1),"")))</f>
        <v/>
      </c>
      <c r="T55" t="str">
        <f>IF(S55="","",IF(S55="[FÓRMULA MANUAL]","",IFERROR(AVERAGEIFS(nNOTA,nNIA,S55,nCUENTA,1,nASIG,"Armonía"),"")))</f>
        <v/>
      </c>
      <c r="U55" t="str">
        <f>IF(S55="","",IF(S55="[FÓRMULA MANUAL]","",IFERROR(AVERAGEIFS(nNOTA,nNIA,S55,nCUENTA,1,nASIG,"Orquesta/Banda/Conjunto"),"")))</f>
        <v/>
      </c>
      <c r="V55" t="str">
        <f>IF(S55="","",IF(S55="[FÓRMULA MANUAL]","",IFERROR(AVERAGEIFS(nNOTA,nNIA,S55,nCUENTA,1,nASIG,"Música de Cámara"),"")))</f>
        <v/>
      </c>
      <c r="W55" t="str">
        <f>IF(S55="","",IF(S55="[FÓRMULA MANUAL]","",IFERROR(SUMPRODUCT((nNIA=S55)*(nCUENTA=1)*(COUNTIF(CONFIG_ASIGNATURAS!$B$7:$B$27,nASIG)&gt;0)*(nNOTA))/SUMPRODUCT((nNIA=S55)*(nCUENTA=1)*(COUNTIF(CONFIG_ASIGNATURAS!$B$7:$B$27,nASIG)&gt;0)*1),"")))</f>
        <v/>
      </c>
      <c r="Z55" t="str">
        <f>IF(Y55="","",IF(Y55="[FÓRMULA MANUAL]","",IFERROR(AVERAGEIFS(nNOTA,nNIA,Y55,nCUENTA,1,nASIG,"Análisis"),"")))</f>
        <v/>
      </c>
      <c r="AA55" t="str">
        <f>IF(Y55="","",IF(Y55="[FÓRMULA MANUAL]","",IFERROR(AVERAGEIFS(nNOTA,nNIA,Y55,nCUENTA,1,nASIG,"Orquesta/Banda/Conjunto"),"")))</f>
        <v/>
      </c>
      <c r="AB55" t="str">
        <f>IF(Y55="","",IF(Y55="[FÓRMULA MANUAL]","",IFERROR(AVERAGEIFS(nNOTA,nNIA,Y55,nCUENTA,1,nASIG,"Música de Cámara"),"")))</f>
        <v/>
      </c>
      <c r="AC55" t="str">
        <f>IF(Y55="","",IF(Y55="[FÓRMULA MANUAL]","",IFERROR(SUMPRODUCT((nNIA=Y55)*(nCUENTA=1)*(COUNTIF(CONFIG_ASIGNATURAS!$B$7:$B$27,nASIG)&gt;0)*(nNOTA))/SUMPRODUCT((nNIA=Y55)*(nCUENTA=1)*(COUNTIF(CONFIG_ASIGNATURAS!$B$7:$B$27,nASIG)&gt;0)*1),"")))</f>
        <v/>
      </c>
      <c r="AF55" t="str">
        <f>IF(AE55="","",IF(AE55="[FÓRMULA MANUAL]","",IFERROR(AVERAGEIFS(nNOTA,nNIA,AE55,nCUENTA,1,nASIG,"Análisis"),"")))</f>
        <v/>
      </c>
      <c r="AG55" t="str">
        <f>IF(AE55="","",IF(AE55="[FÓRMULA MANUAL]","",IFERROR(AVERAGEIFS(nNOTA,nNIA,AE55,nCUENTA,1,nASIG,"Orquesta/Banda/Conjunto"),"")))</f>
        <v/>
      </c>
      <c r="AH55" t="str">
        <f>IF(AE55="","",IF(AE55="[FÓRMULA MANUAL]","",IFERROR(AVERAGEIFS(nNOTA,nNIA,AE55,nCUENTA,1,nASIG,"Música de Cámara"),"")))</f>
        <v/>
      </c>
      <c r="AI55" t="str">
        <f>IF(AE55="","",IF(AE55="[FÓRMULA MANUAL]","",IFERROR(SUMPRODUCT((nNIA=AE55)*(nCUENTA=1)*(COUNTIF(CONFIG_ASIGNATURAS!$B$7:$B$27,nASIG)&gt;0)*(nNOTA))/SUMPRODUCT((nNIA=AE55)*(nCUENTA=1)*(COUNTIF(CONFIG_ASIGNATURAS!$B$7:$B$27,nASIG)&gt;0)*1),"")))</f>
        <v/>
      </c>
    </row>
    <row r="56" spans="2:35" x14ac:dyDescent="0.2">
      <c r="B56" t="str">
        <f>IF(A56="","",IF(A56="[FÓRMULA MANUAL]","",IFERROR(AVERAGEIFS(nNOTA,nNIA,A56,nCUENTA,1,nASIG,"Lenguaje Musical"),"")))</f>
        <v/>
      </c>
      <c r="C56" t="str">
        <f>IF(A56="","",IF(A56="[FÓRMULA MANUAL]","",IFERROR(AVERAGEIFS(nNOTA,nNIA,A56,nCUENTA,1,nASIG,"Orquesta/Banda/Conjunto"),"")))</f>
        <v/>
      </c>
      <c r="D56" t="str">
        <f>IF(A56="","",IF(A56="[FÓRMULA MANUAL]","",IFERROR(AVERAGEIFS(nNOTA,nNIA,A56,nCUENTA,1,nASIG,"Conjunto"),"")))</f>
        <v/>
      </c>
      <c r="E56" t="str">
        <f>IF(A56="","",IF(A56="[FÓRMULA MANUAL]","",IFERROR(SUMPRODUCT((nNIA=A56)*(nCUENTA=1)*(COUNTIF(CONFIG_ASIGNATURAS!$B$7:$B$27,nASIG)&gt;0)*(nNOTA))/SUMPRODUCT((nNIA=A56)*(nCUENTA=1)*(COUNTIF(CONFIG_ASIGNATURAS!$B$7:$B$27,nASIG)&gt;0)*1),"")))</f>
        <v/>
      </c>
      <c r="H56" t="str">
        <f>IF(G56="","",IF(G56="[FÓRMULA MANUAL]","",IFERROR(AVERAGEIFS(nNOTA,nNIA,G56,nCUENTA,1,nASIG,"Lenguaje Musical"),"")))</f>
        <v/>
      </c>
      <c r="I56" t="str">
        <f>IF(G56="","",IF(G56="[FÓRMULA MANUAL]","",IFERROR(AVERAGEIFS(nNOTA,nNIA,G56,nCUENTA,1,nASIG,"Orquesta/Banda/Conjunto"),"")))</f>
        <v/>
      </c>
      <c r="J56" t="str">
        <f>IF(G56="","",IF(G56="[FÓRMULA MANUAL]","",IFERROR(AVERAGEIFS(nNOTA,nNIA,G56,nCUENTA,1,nASIG,"Conjunto"),"")))</f>
        <v/>
      </c>
      <c r="K56" t="str">
        <f>IF(G56="","",IF(G56="[FÓRMULA MANUAL]","",IFERROR(SUMPRODUCT((nNIA=G56)*(nCUENTA=1)*(COUNTIF(CONFIG_ASIGNATURAS!$B$7:$B$27,nASIG)&gt;0)*(nNOTA))/SUMPRODUCT((nNIA=G56)*(nCUENTA=1)*(COUNTIF(CONFIG_ASIGNATURAS!$B$7:$B$27,nASIG)&gt;0)*1),"")))</f>
        <v/>
      </c>
      <c r="N56" t="str">
        <f>IF(M56="","",IF(M56="[FÓRMULA MANUAL]","",IFERROR(AVERAGEIFS(nNOTA,nNIA,M56,nCUENTA,1,nASIG,"Armonía"),"")))</f>
        <v/>
      </c>
      <c r="O56" t="str">
        <f>IF(M56="","",IF(M56="[FÓRMULA MANUAL]","",IFERROR(AVERAGEIFS(nNOTA,nNIA,M56,nCUENTA,1,nASIG,"Orquesta/Banda/Conjunto"),"")))</f>
        <v/>
      </c>
      <c r="P56" t="str">
        <f>IF(M56="","",IF(M56="[FÓRMULA MANUAL]","",IFERROR(AVERAGEIFS(nNOTA,nNIA,M56,nCUENTA,1,nASIG,"Música de Cámara"),"")))</f>
        <v/>
      </c>
      <c r="Q56" t="str">
        <f>IF(M56="","",IF(M56="[FÓRMULA MANUAL]","",IFERROR(SUMPRODUCT((nNIA=M56)*(nCUENTA=1)*(COUNTIF(CONFIG_ASIGNATURAS!$B$7:$B$27,nASIG)&gt;0)*(nNOTA))/SUMPRODUCT((nNIA=M56)*(nCUENTA=1)*(COUNTIF(CONFIG_ASIGNATURAS!$B$7:$B$27,nASIG)&gt;0)*1),"")))</f>
        <v/>
      </c>
      <c r="T56" t="str">
        <f>IF(S56="","",IF(S56="[FÓRMULA MANUAL]","",IFERROR(AVERAGEIFS(nNOTA,nNIA,S56,nCUENTA,1,nASIG,"Armonía"),"")))</f>
        <v/>
      </c>
      <c r="U56" t="str">
        <f>IF(S56="","",IF(S56="[FÓRMULA MANUAL]","",IFERROR(AVERAGEIFS(nNOTA,nNIA,S56,nCUENTA,1,nASIG,"Orquesta/Banda/Conjunto"),"")))</f>
        <v/>
      </c>
      <c r="V56" t="str">
        <f>IF(S56="","",IF(S56="[FÓRMULA MANUAL]","",IFERROR(AVERAGEIFS(nNOTA,nNIA,S56,nCUENTA,1,nASIG,"Música de Cámara"),"")))</f>
        <v/>
      </c>
      <c r="W56" t="str">
        <f>IF(S56="","",IF(S56="[FÓRMULA MANUAL]","",IFERROR(SUMPRODUCT((nNIA=S56)*(nCUENTA=1)*(COUNTIF(CONFIG_ASIGNATURAS!$B$7:$B$27,nASIG)&gt;0)*(nNOTA))/SUMPRODUCT((nNIA=S56)*(nCUENTA=1)*(COUNTIF(CONFIG_ASIGNATURAS!$B$7:$B$27,nASIG)&gt;0)*1),"")))</f>
        <v/>
      </c>
      <c r="Z56" t="str">
        <f>IF(Y56="","",IF(Y56="[FÓRMULA MANUAL]","",IFERROR(AVERAGEIFS(nNOTA,nNIA,Y56,nCUENTA,1,nASIG,"Análisis"),"")))</f>
        <v/>
      </c>
      <c r="AA56" t="str">
        <f>IF(Y56="","",IF(Y56="[FÓRMULA MANUAL]","",IFERROR(AVERAGEIFS(nNOTA,nNIA,Y56,nCUENTA,1,nASIG,"Orquesta/Banda/Conjunto"),"")))</f>
        <v/>
      </c>
      <c r="AB56" t="str">
        <f>IF(Y56="","",IF(Y56="[FÓRMULA MANUAL]","",IFERROR(AVERAGEIFS(nNOTA,nNIA,Y56,nCUENTA,1,nASIG,"Música de Cámara"),"")))</f>
        <v/>
      </c>
      <c r="AC56" t="str">
        <f>IF(Y56="","",IF(Y56="[FÓRMULA MANUAL]","",IFERROR(SUMPRODUCT((nNIA=Y56)*(nCUENTA=1)*(COUNTIF(CONFIG_ASIGNATURAS!$B$7:$B$27,nASIG)&gt;0)*(nNOTA))/SUMPRODUCT((nNIA=Y56)*(nCUENTA=1)*(COUNTIF(CONFIG_ASIGNATURAS!$B$7:$B$27,nASIG)&gt;0)*1),"")))</f>
        <v/>
      </c>
      <c r="AF56" t="str">
        <f>IF(AE56="","",IF(AE56="[FÓRMULA MANUAL]","",IFERROR(AVERAGEIFS(nNOTA,nNIA,AE56,nCUENTA,1,nASIG,"Análisis"),"")))</f>
        <v/>
      </c>
      <c r="AG56" t="str">
        <f>IF(AE56="","",IF(AE56="[FÓRMULA MANUAL]","",IFERROR(AVERAGEIFS(nNOTA,nNIA,AE56,nCUENTA,1,nASIG,"Orquesta/Banda/Conjunto"),"")))</f>
        <v/>
      </c>
      <c r="AH56" t="str">
        <f>IF(AE56="","",IF(AE56="[FÓRMULA MANUAL]","",IFERROR(AVERAGEIFS(nNOTA,nNIA,AE56,nCUENTA,1,nASIG,"Música de Cámara"),"")))</f>
        <v/>
      </c>
      <c r="AI56" t="str">
        <f>IF(AE56="","",IF(AE56="[FÓRMULA MANUAL]","",IFERROR(SUMPRODUCT((nNIA=AE56)*(nCUENTA=1)*(COUNTIF(CONFIG_ASIGNATURAS!$B$7:$B$27,nASIG)&gt;0)*(nNOTA))/SUMPRODUCT((nNIA=AE56)*(nCUENTA=1)*(COUNTIF(CONFIG_ASIGNATURAS!$B$7:$B$27,nASIG)&gt;0)*1),"")))</f>
        <v/>
      </c>
    </row>
    <row r="57" spans="2:35" x14ac:dyDescent="0.2">
      <c r="B57" t="str">
        <f>IF(A57="","",IF(A57="[FÓRMULA MANUAL]","",IFERROR(AVERAGEIFS(nNOTA,nNIA,A57,nCUENTA,1,nASIG,"Lenguaje Musical"),"")))</f>
        <v/>
      </c>
      <c r="C57" t="str">
        <f>IF(A57="","",IF(A57="[FÓRMULA MANUAL]","",IFERROR(AVERAGEIFS(nNOTA,nNIA,A57,nCUENTA,1,nASIG,"Orquesta/Banda/Conjunto"),"")))</f>
        <v/>
      </c>
      <c r="D57" t="str">
        <f>IF(A57="","",IF(A57="[FÓRMULA MANUAL]","",IFERROR(AVERAGEIFS(nNOTA,nNIA,A57,nCUENTA,1,nASIG,"Conjunto"),"")))</f>
        <v/>
      </c>
      <c r="E57" t="str">
        <f>IF(A57="","",IF(A57="[FÓRMULA MANUAL]","",IFERROR(SUMPRODUCT((nNIA=A57)*(nCUENTA=1)*(COUNTIF(CONFIG_ASIGNATURAS!$B$7:$B$27,nASIG)&gt;0)*(nNOTA))/SUMPRODUCT((nNIA=A57)*(nCUENTA=1)*(COUNTIF(CONFIG_ASIGNATURAS!$B$7:$B$27,nASIG)&gt;0)*1),"")))</f>
        <v/>
      </c>
      <c r="H57" t="str">
        <f>IF(G57="","",IF(G57="[FÓRMULA MANUAL]","",IFERROR(AVERAGEIFS(nNOTA,nNIA,G57,nCUENTA,1,nASIG,"Lenguaje Musical"),"")))</f>
        <v/>
      </c>
      <c r="I57" t="str">
        <f>IF(G57="","",IF(G57="[FÓRMULA MANUAL]","",IFERROR(AVERAGEIFS(nNOTA,nNIA,G57,nCUENTA,1,nASIG,"Orquesta/Banda/Conjunto"),"")))</f>
        <v/>
      </c>
      <c r="J57" t="str">
        <f>IF(G57="","",IF(G57="[FÓRMULA MANUAL]","",IFERROR(AVERAGEIFS(nNOTA,nNIA,G57,nCUENTA,1,nASIG,"Conjunto"),"")))</f>
        <v/>
      </c>
      <c r="K57" t="str">
        <f>IF(G57="","",IF(G57="[FÓRMULA MANUAL]","",IFERROR(SUMPRODUCT((nNIA=G57)*(nCUENTA=1)*(COUNTIF(CONFIG_ASIGNATURAS!$B$7:$B$27,nASIG)&gt;0)*(nNOTA))/SUMPRODUCT((nNIA=G57)*(nCUENTA=1)*(COUNTIF(CONFIG_ASIGNATURAS!$B$7:$B$27,nASIG)&gt;0)*1),"")))</f>
        <v/>
      </c>
      <c r="N57" t="str">
        <f>IF(M57="","",IF(M57="[FÓRMULA MANUAL]","",IFERROR(AVERAGEIFS(nNOTA,nNIA,M57,nCUENTA,1,nASIG,"Armonía"),"")))</f>
        <v/>
      </c>
      <c r="O57" t="str">
        <f>IF(M57="","",IF(M57="[FÓRMULA MANUAL]","",IFERROR(AVERAGEIFS(nNOTA,nNIA,M57,nCUENTA,1,nASIG,"Orquesta/Banda/Conjunto"),"")))</f>
        <v/>
      </c>
      <c r="P57" t="str">
        <f>IF(M57="","",IF(M57="[FÓRMULA MANUAL]","",IFERROR(AVERAGEIFS(nNOTA,nNIA,M57,nCUENTA,1,nASIG,"Música de Cámara"),"")))</f>
        <v/>
      </c>
      <c r="Q57" t="str">
        <f>IF(M57="","",IF(M57="[FÓRMULA MANUAL]","",IFERROR(SUMPRODUCT((nNIA=M57)*(nCUENTA=1)*(COUNTIF(CONFIG_ASIGNATURAS!$B$7:$B$27,nASIG)&gt;0)*(nNOTA))/SUMPRODUCT((nNIA=M57)*(nCUENTA=1)*(COUNTIF(CONFIG_ASIGNATURAS!$B$7:$B$27,nASIG)&gt;0)*1),"")))</f>
        <v/>
      </c>
      <c r="T57" t="str">
        <f>IF(S57="","",IF(S57="[FÓRMULA MANUAL]","",IFERROR(AVERAGEIFS(nNOTA,nNIA,S57,nCUENTA,1,nASIG,"Armonía"),"")))</f>
        <v/>
      </c>
      <c r="U57" t="str">
        <f>IF(S57="","",IF(S57="[FÓRMULA MANUAL]","",IFERROR(AVERAGEIFS(nNOTA,nNIA,S57,nCUENTA,1,nASIG,"Orquesta/Banda/Conjunto"),"")))</f>
        <v/>
      </c>
      <c r="V57" t="str">
        <f>IF(S57="","",IF(S57="[FÓRMULA MANUAL]","",IFERROR(AVERAGEIFS(nNOTA,nNIA,S57,nCUENTA,1,nASIG,"Música de Cámara"),"")))</f>
        <v/>
      </c>
      <c r="W57" t="str">
        <f>IF(S57="","",IF(S57="[FÓRMULA MANUAL]","",IFERROR(SUMPRODUCT((nNIA=S57)*(nCUENTA=1)*(COUNTIF(CONFIG_ASIGNATURAS!$B$7:$B$27,nASIG)&gt;0)*(nNOTA))/SUMPRODUCT((nNIA=S57)*(nCUENTA=1)*(COUNTIF(CONFIG_ASIGNATURAS!$B$7:$B$27,nASIG)&gt;0)*1),"")))</f>
        <v/>
      </c>
      <c r="Z57" t="str">
        <f>IF(Y57="","",IF(Y57="[FÓRMULA MANUAL]","",IFERROR(AVERAGEIFS(nNOTA,nNIA,Y57,nCUENTA,1,nASIG,"Análisis"),"")))</f>
        <v/>
      </c>
      <c r="AA57" t="str">
        <f>IF(Y57="","",IF(Y57="[FÓRMULA MANUAL]","",IFERROR(AVERAGEIFS(nNOTA,nNIA,Y57,nCUENTA,1,nASIG,"Orquesta/Banda/Conjunto"),"")))</f>
        <v/>
      </c>
      <c r="AB57" t="str">
        <f>IF(Y57="","",IF(Y57="[FÓRMULA MANUAL]","",IFERROR(AVERAGEIFS(nNOTA,nNIA,Y57,nCUENTA,1,nASIG,"Música de Cámara"),"")))</f>
        <v/>
      </c>
      <c r="AC57" t="str">
        <f>IF(Y57="","",IF(Y57="[FÓRMULA MANUAL]","",IFERROR(SUMPRODUCT((nNIA=Y57)*(nCUENTA=1)*(COUNTIF(CONFIG_ASIGNATURAS!$B$7:$B$27,nASIG)&gt;0)*(nNOTA))/SUMPRODUCT((nNIA=Y57)*(nCUENTA=1)*(COUNTIF(CONFIG_ASIGNATURAS!$B$7:$B$27,nASIG)&gt;0)*1),"")))</f>
        <v/>
      </c>
      <c r="AF57" t="str">
        <f>IF(AE57="","",IF(AE57="[FÓRMULA MANUAL]","",IFERROR(AVERAGEIFS(nNOTA,nNIA,AE57,nCUENTA,1,nASIG,"Análisis"),"")))</f>
        <v/>
      </c>
      <c r="AG57" t="str">
        <f>IF(AE57="","",IF(AE57="[FÓRMULA MANUAL]","",IFERROR(AVERAGEIFS(nNOTA,nNIA,AE57,nCUENTA,1,nASIG,"Orquesta/Banda/Conjunto"),"")))</f>
        <v/>
      </c>
      <c r="AH57" t="str">
        <f>IF(AE57="","",IF(AE57="[FÓRMULA MANUAL]","",IFERROR(AVERAGEIFS(nNOTA,nNIA,AE57,nCUENTA,1,nASIG,"Música de Cámara"),"")))</f>
        <v/>
      </c>
      <c r="AI57" t="str">
        <f>IF(AE57="","",IF(AE57="[FÓRMULA MANUAL]","",IFERROR(SUMPRODUCT((nNIA=AE57)*(nCUENTA=1)*(COUNTIF(CONFIG_ASIGNATURAS!$B$7:$B$27,nASIG)&gt;0)*(nNOTA))/SUMPRODUCT((nNIA=AE57)*(nCUENTA=1)*(COUNTIF(CONFIG_ASIGNATURAS!$B$7:$B$27,nASIG)&gt;0)*1),"")))</f>
        <v/>
      </c>
    </row>
    <row r="58" spans="2:35" x14ac:dyDescent="0.2">
      <c r="B58" t="str">
        <f>IF(A58="","",IF(A58="[FÓRMULA MANUAL]","",IFERROR(AVERAGEIFS(nNOTA,nNIA,A58,nCUENTA,1,nASIG,"Lenguaje Musical"),"")))</f>
        <v/>
      </c>
      <c r="C58" t="str">
        <f>IF(A58="","",IF(A58="[FÓRMULA MANUAL]","",IFERROR(AVERAGEIFS(nNOTA,nNIA,A58,nCUENTA,1,nASIG,"Orquesta/Banda/Conjunto"),"")))</f>
        <v/>
      </c>
      <c r="D58" t="str">
        <f>IF(A58="","",IF(A58="[FÓRMULA MANUAL]","",IFERROR(AVERAGEIFS(nNOTA,nNIA,A58,nCUENTA,1,nASIG,"Conjunto"),"")))</f>
        <v/>
      </c>
      <c r="E58" t="str">
        <f>IF(A58="","",IF(A58="[FÓRMULA MANUAL]","",IFERROR(SUMPRODUCT((nNIA=A58)*(nCUENTA=1)*(COUNTIF(CONFIG_ASIGNATURAS!$B$7:$B$27,nASIG)&gt;0)*(nNOTA))/SUMPRODUCT((nNIA=A58)*(nCUENTA=1)*(COUNTIF(CONFIG_ASIGNATURAS!$B$7:$B$27,nASIG)&gt;0)*1),"")))</f>
        <v/>
      </c>
      <c r="H58" t="str">
        <f>IF(G58="","",IF(G58="[FÓRMULA MANUAL]","",IFERROR(AVERAGEIFS(nNOTA,nNIA,G58,nCUENTA,1,nASIG,"Lenguaje Musical"),"")))</f>
        <v/>
      </c>
      <c r="I58" t="str">
        <f>IF(G58="","",IF(G58="[FÓRMULA MANUAL]","",IFERROR(AVERAGEIFS(nNOTA,nNIA,G58,nCUENTA,1,nASIG,"Orquesta/Banda/Conjunto"),"")))</f>
        <v/>
      </c>
      <c r="J58" t="str">
        <f>IF(G58="","",IF(G58="[FÓRMULA MANUAL]","",IFERROR(AVERAGEIFS(nNOTA,nNIA,G58,nCUENTA,1,nASIG,"Conjunto"),"")))</f>
        <v/>
      </c>
      <c r="K58" t="str">
        <f>IF(G58="","",IF(G58="[FÓRMULA MANUAL]","",IFERROR(SUMPRODUCT((nNIA=G58)*(nCUENTA=1)*(COUNTIF(CONFIG_ASIGNATURAS!$B$7:$B$27,nASIG)&gt;0)*(nNOTA))/SUMPRODUCT((nNIA=G58)*(nCUENTA=1)*(COUNTIF(CONFIG_ASIGNATURAS!$B$7:$B$27,nASIG)&gt;0)*1),"")))</f>
        <v/>
      </c>
      <c r="N58" t="str">
        <f>IF(M58="","",IF(M58="[FÓRMULA MANUAL]","",IFERROR(AVERAGEIFS(nNOTA,nNIA,M58,nCUENTA,1,nASIG,"Armonía"),"")))</f>
        <v/>
      </c>
      <c r="O58" t="str">
        <f>IF(M58="","",IF(M58="[FÓRMULA MANUAL]","",IFERROR(AVERAGEIFS(nNOTA,nNIA,M58,nCUENTA,1,nASIG,"Orquesta/Banda/Conjunto"),"")))</f>
        <v/>
      </c>
      <c r="P58" t="str">
        <f>IF(M58="","",IF(M58="[FÓRMULA MANUAL]","",IFERROR(AVERAGEIFS(nNOTA,nNIA,M58,nCUENTA,1,nASIG,"Música de Cámara"),"")))</f>
        <v/>
      </c>
      <c r="Q58" t="str">
        <f>IF(M58="","",IF(M58="[FÓRMULA MANUAL]","",IFERROR(SUMPRODUCT((nNIA=M58)*(nCUENTA=1)*(COUNTIF(CONFIG_ASIGNATURAS!$B$7:$B$27,nASIG)&gt;0)*(nNOTA))/SUMPRODUCT((nNIA=M58)*(nCUENTA=1)*(COUNTIF(CONFIG_ASIGNATURAS!$B$7:$B$27,nASIG)&gt;0)*1),"")))</f>
        <v/>
      </c>
      <c r="T58" t="str">
        <f>IF(S58="","",IF(S58="[FÓRMULA MANUAL]","",IFERROR(AVERAGEIFS(nNOTA,nNIA,S58,nCUENTA,1,nASIG,"Armonía"),"")))</f>
        <v/>
      </c>
      <c r="U58" t="str">
        <f>IF(S58="","",IF(S58="[FÓRMULA MANUAL]","",IFERROR(AVERAGEIFS(nNOTA,nNIA,S58,nCUENTA,1,nASIG,"Orquesta/Banda/Conjunto"),"")))</f>
        <v/>
      </c>
      <c r="V58" t="str">
        <f>IF(S58="","",IF(S58="[FÓRMULA MANUAL]","",IFERROR(AVERAGEIFS(nNOTA,nNIA,S58,nCUENTA,1,nASIG,"Música de Cámara"),"")))</f>
        <v/>
      </c>
      <c r="W58" t="str">
        <f>IF(S58="","",IF(S58="[FÓRMULA MANUAL]","",IFERROR(SUMPRODUCT((nNIA=S58)*(nCUENTA=1)*(COUNTIF(CONFIG_ASIGNATURAS!$B$7:$B$27,nASIG)&gt;0)*(nNOTA))/SUMPRODUCT((nNIA=S58)*(nCUENTA=1)*(COUNTIF(CONFIG_ASIGNATURAS!$B$7:$B$27,nASIG)&gt;0)*1),"")))</f>
        <v/>
      </c>
      <c r="Z58" t="str">
        <f>IF(Y58="","",IF(Y58="[FÓRMULA MANUAL]","",IFERROR(AVERAGEIFS(nNOTA,nNIA,Y58,nCUENTA,1,nASIG,"Análisis"),"")))</f>
        <v/>
      </c>
      <c r="AA58" t="str">
        <f>IF(Y58="","",IF(Y58="[FÓRMULA MANUAL]","",IFERROR(AVERAGEIFS(nNOTA,nNIA,Y58,nCUENTA,1,nASIG,"Orquesta/Banda/Conjunto"),"")))</f>
        <v/>
      </c>
      <c r="AB58" t="str">
        <f>IF(Y58="","",IF(Y58="[FÓRMULA MANUAL]","",IFERROR(AVERAGEIFS(nNOTA,nNIA,Y58,nCUENTA,1,nASIG,"Música de Cámara"),"")))</f>
        <v/>
      </c>
      <c r="AC58" t="str">
        <f>IF(Y58="","",IF(Y58="[FÓRMULA MANUAL]","",IFERROR(SUMPRODUCT((nNIA=Y58)*(nCUENTA=1)*(COUNTIF(CONFIG_ASIGNATURAS!$B$7:$B$27,nASIG)&gt;0)*(nNOTA))/SUMPRODUCT((nNIA=Y58)*(nCUENTA=1)*(COUNTIF(CONFIG_ASIGNATURAS!$B$7:$B$27,nASIG)&gt;0)*1),"")))</f>
        <v/>
      </c>
      <c r="AF58" t="str">
        <f>IF(AE58="","",IF(AE58="[FÓRMULA MANUAL]","",IFERROR(AVERAGEIFS(nNOTA,nNIA,AE58,nCUENTA,1,nASIG,"Análisis"),"")))</f>
        <v/>
      </c>
      <c r="AG58" t="str">
        <f>IF(AE58="","",IF(AE58="[FÓRMULA MANUAL]","",IFERROR(AVERAGEIFS(nNOTA,nNIA,AE58,nCUENTA,1,nASIG,"Orquesta/Banda/Conjunto"),"")))</f>
        <v/>
      </c>
      <c r="AH58" t="str">
        <f>IF(AE58="","",IF(AE58="[FÓRMULA MANUAL]","",IFERROR(AVERAGEIFS(nNOTA,nNIA,AE58,nCUENTA,1,nASIG,"Música de Cámara"),"")))</f>
        <v/>
      </c>
      <c r="AI58" t="str">
        <f>IF(AE58="","",IF(AE58="[FÓRMULA MANUAL]","",IFERROR(SUMPRODUCT((nNIA=AE58)*(nCUENTA=1)*(COUNTIF(CONFIG_ASIGNATURAS!$B$7:$B$27,nASIG)&gt;0)*(nNOTA))/SUMPRODUCT((nNIA=AE58)*(nCUENTA=1)*(COUNTIF(CONFIG_ASIGNATURAS!$B$7:$B$27,nASIG)&gt;0)*1),"")))</f>
        <v/>
      </c>
    </row>
    <row r="59" spans="2:35" x14ac:dyDescent="0.2">
      <c r="B59" t="str">
        <f>IF(A59="","",IF(A59="[FÓRMULA MANUAL]","",IFERROR(AVERAGEIFS(nNOTA,nNIA,A59,nCUENTA,1,nASIG,"Lenguaje Musical"),"")))</f>
        <v/>
      </c>
      <c r="C59" t="str">
        <f>IF(A59="","",IF(A59="[FÓRMULA MANUAL]","",IFERROR(AVERAGEIFS(nNOTA,nNIA,A59,nCUENTA,1,nASIG,"Orquesta/Banda/Conjunto"),"")))</f>
        <v/>
      </c>
      <c r="D59" t="str">
        <f>IF(A59="","",IF(A59="[FÓRMULA MANUAL]","",IFERROR(AVERAGEIFS(nNOTA,nNIA,A59,nCUENTA,1,nASIG,"Conjunto"),"")))</f>
        <v/>
      </c>
      <c r="E59" t="str">
        <f>IF(A59="","",IF(A59="[FÓRMULA MANUAL]","",IFERROR(SUMPRODUCT((nNIA=A59)*(nCUENTA=1)*(COUNTIF(CONFIG_ASIGNATURAS!$B$7:$B$27,nASIG)&gt;0)*(nNOTA))/SUMPRODUCT((nNIA=A59)*(nCUENTA=1)*(COUNTIF(CONFIG_ASIGNATURAS!$B$7:$B$27,nASIG)&gt;0)*1),"")))</f>
        <v/>
      </c>
      <c r="H59" t="str">
        <f>IF(G59="","",IF(G59="[FÓRMULA MANUAL]","",IFERROR(AVERAGEIFS(nNOTA,nNIA,G59,nCUENTA,1,nASIG,"Lenguaje Musical"),"")))</f>
        <v/>
      </c>
      <c r="I59" t="str">
        <f>IF(G59="","",IF(G59="[FÓRMULA MANUAL]","",IFERROR(AVERAGEIFS(nNOTA,nNIA,G59,nCUENTA,1,nASIG,"Orquesta/Banda/Conjunto"),"")))</f>
        <v/>
      </c>
      <c r="J59" t="str">
        <f>IF(G59="","",IF(G59="[FÓRMULA MANUAL]","",IFERROR(AVERAGEIFS(nNOTA,nNIA,G59,nCUENTA,1,nASIG,"Conjunto"),"")))</f>
        <v/>
      </c>
      <c r="K59" t="str">
        <f>IF(G59="","",IF(G59="[FÓRMULA MANUAL]","",IFERROR(SUMPRODUCT((nNIA=G59)*(nCUENTA=1)*(COUNTIF(CONFIG_ASIGNATURAS!$B$7:$B$27,nASIG)&gt;0)*(nNOTA))/SUMPRODUCT((nNIA=G59)*(nCUENTA=1)*(COUNTIF(CONFIG_ASIGNATURAS!$B$7:$B$27,nASIG)&gt;0)*1),"")))</f>
        <v/>
      </c>
      <c r="N59" t="str">
        <f>IF(M59="","",IF(M59="[FÓRMULA MANUAL]","",IFERROR(AVERAGEIFS(nNOTA,nNIA,M59,nCUENTA,1,nASIG,"Armonía"),"")))</f>
        <v/>
      </c>
      <c r="O59" t="str">
        <f>IF(M59="","",IF(M59="[FÓRMULA MANUAL]","",IFERROR(AVERAGEIFS(nNOTA,nNIA,M59,nCUENTA,1,nASIG,"Orquesta/Banda/Conjunto"),"")))</f>
        <v/>
      </c>
      <c r="P59" t="str">
        <f>IF(M59="","",IF(M59="[FÓRMULA MANUAL]","",IFERROR(AVERAGEIFS(nNOTA,nNIA,M59,nCUENTA,1,nASIG,"Música de Cámara"),"")))</f>
        <v/>
      </c>
      <c r="Q59" t="str">
        <f>IF(M59="","",IF(M59="[FÓRMULA MANUAL]","",IFERROR(SUMPRODUCT((nNIA=M59)*(nCUENTA=1)*(COUNTIF(CONFIG_ASIGNATURAS!$B$7:$B$27,nASIG)&gt;0)*(nNOTA))/SUMPRODUCT((nNIA=M59)*(nCUENTA=1)*(COUNTIF(CONFIG_ASIGNATURAS!$B$7:$B$27,nASIG)&gt;0)*1),"")))</f>
        <v/>
      </c>
      <c r="T59" t="str">
        <f>IF(S59="","",IF(S59="[FÓRMULA MANUAL]","",IFERROR(AVERAGEIFS(nNOTA,nNIA,S59,nCUENTA,1,nASIG,"Armonía"),"")))</f>
        <v/>
      </c>
      <c r="U59" t="str">
        <f>IF(S59="","",IF(S59="[FÓRMULA MANUAL]","",IFERROR(AVERAGEIFS(nNOTA,nNIA,S59,nCUENTA,1,nASIG,"Orquesta/Banda/Conjunto"),"")))</f>
        <v/>
      </c>
      <c r="V59" t="str">
        <f>IF(S59="","",IF(S59="[FÓRMULA MANUAL]","",IFERROR(AVERAGEIFS(nNOTA,nNIA,S59,nCUENTA,1,nASIG,"Música de Cámara"),"")))</f>
        <v/>
      </c>
      <c r="W59" t="str">
        <f>IF(S59="","",IF(S59="[FÓRMULA MANUAL]","",IFERROR(SUMPRODUCT((nNIA=S59)*(nCUENTA=1)*(COUNTIF(CONFIG_ASIGNATURAS!$B$7:$B$27,nASIG)&gt;0)*(nNOTA))/SUMPRODUCT((nNIA=S59)*(nCUENTA=1)*(COUNTIF(CONFIG_ASIGNATURAS!$B$7:$B$27,nASIG)&gt;0)*1),"")))</f>
        <v/>
      </c>
      <c r="Z59" t="str">
        <f>IF(Y59="","",IF(Y59="[FÓRMULA MANUAL]","",IFERROR(AVERAGEIFS(nNOTA,nNIA,Y59,nCUENTA,1,nASIG,"Análisis"),"")))</f>
        <v/>
      </c>
      <c r="AA59" t="str">
        <f>IF(Y59="","",IF(Y59="[FÓRMULA MANUAL]","",IFERROR(AVERAGEIFS(nNOTA,nNIA,Y59,nCUENTA,1,nASIG,"Orquesta/Banda/Conjunto"),"")))</f>
        <v/>
      </c>
      <c r="AB59" t="str">
        <f>IF(Y59="","",IF(Y59="[FÓRMULA MANUAL]","",IFERROR(AVERAGEIFS(nNOTA,nNIA,Y59,nCUENTA,1,nASIG,"Música de Cámara"),"")))</f>
        <v/>
      </c>
      <c r="AC59" t="str">
        <f>IF(Y59="","",IF(Y59="[FÓRMULA MANUAL]","",IFERROR(SUMPRODUCT((nNIA=Y59)*(nCUENTA=1)*(COUNTIF(CONFIG_ASIGNATURAS!$B$7:$B$27,nASIG)&gt;0)*(nNOTA))/SUMPRODUCT((nNIA=Y59)*(nCUENTA=1)*(COUNTIF(CONFIG_ASIGNATURAS!$B$7:$B$27,nASIG)&gt;0)*1),"")))</f>
        <v/>
      </c>
      <c r="AF59" t="str">
        <f>IF(AE59="","",IF(AE59="[FÓRMULA MANUAL]","",IFERROR(AVERAGEIFS(nNOTA,nNIA,AE59,nCUENTA,1,nASIG,"Análisis"),"")))</f>
        <v/>
      </c>
      <c r="AG59" t="str">
        <f>IF(AE59="","",IF(AE59="[FÓRMULA MANUAL]","",IFERROR(AVERAGEIFS(nNOTA,nNIA,AE59,nCUENTA,1,nASIG,"Orquesta/Banda/Conjunto"),"")))</f>
        <v/>
      </c>
      <c r="AH59" t="str">
        <f>IF(AE59="","",IF(AE59="[FÓRMULA MANUAL]","",IFERROR(AVERAGEIFS(nNOTA,nNIA,AE59,nCUENTA,1,nASIG,"Música de Cámara"),"")))</f>
        <v/>
      </c>
      <c r="AI59" t="str">
        <f>IF(AE59="","",IF(AE59="[FÓRMULA MANUAL]","",IFERROR(SUMPRODUCT((nNIA=AE59)*(nCUENTA=1)*(COUNTIF(CONFIG_ASIGNATURAS!$B$7:$B$27,nASIG)&gt;0)*(nNOTA))/SUMPRODUCT((nNIA=AE59)*(nCUENTA=1)*(COUNTIF(CONFIG_ASIGNATURAS!$B$7:$B$27,nASIG)&gt;0)*1),"")))</f>
        <v/>
      </c>
    </row>
    <row r="60" spans="2:35" x14ac:dyDescent="0.2">
      <c r="B60" t="str">
        <f>IF(A60="","",IF(A60="[FÓRMULA MANUAL]","",IFERROR(AVERAGEIFS(nNOTA,nNIA,A60,nCUENTA,1,nASIG,"Lenguaje Musical"),"")))</f>
        <v/>
      </c>
      <c r="C60" t="str">
        <f>IF(A60="","",IF(A60="[FÓRMULA MANUAL]","",IFERROR(AVERAGEIFS(nNOTA,nNIA,A60,nCUENTA,1,nASIG,"Orquesta/Banda/Conjunto"),"")))</f>
        <v/>
      </c>
      <c r="D60" t="str">
        <f>IF(A60="","",IF(A60="[FÓRMULA MANUAL]","",IFERROR(AVERAGEIFS(nNOTA,nNIA,A60,nCUENTA,1,nASIG,"Conjunto"),"")))</f>
        <v/>
      </c>
      <c r="E60" t="str">
        <f>IF(A60="","",IF(A60="[FÓRMULA MANUAL]","",IFERROR(SUMPRODUCT((nNIA=A60)*(nCUENTA=1)*(COUNTIF(CONFIG_ASIGNATURAS!$B$7:$B$27,nASIG)&gt;0)*(nNOTA))/SUMPRODUCT((nNIA=A60)*(nCUENTA=1)*(COUNTIF(CONFIG_ASIGNATURAS!$B$7:$B$27,nASIG)&gt;0)*1),"")))</f>
        <v/>
      </c>
      <c r="H60" t="str">
        <f>IF(G60="","",IF(G60="[FÓRMULA MANUAL]","",IFERROR(AVERAGEIFS(nNOTA,nNIA,G60,nCUENTA,1,nASIG,"Lenguaje Musical"),"")))</f>
        <v/>
      </c>
      <c r="I60" t="str">
        <f>IF(G60="","",IF(G60="[FÓRMULA MANUAL]","",IFERROR(AVERAGEIFS(nNOTA,nNIA,G60,nCUENTA,1,nASIG,"Orquesta/Banda/Conjunto"),"")))</f>
        <v/>
      </c>
      <c r="J60" t="str">
        <f>IF(G60="","",IF(G60="[FÓRMULA MANUAL]","",IFERROR(AVERAGEIFS(nNOTA,nNIA,G60,nCUENTA,1,nASIG,"Conjunto"),"")))</f>
        <v/>
      </c>
      <c r="K60" t="str">
        <f>IF(G60="","",IF(G60="[FÓRMULA MANUAL]","",IFERROR(SUMPRODUCT((nNIA=G60)*(nCUENTA=1)*(COUNTIF(CONFIG_ASIGNATURAS!$B$7:$B$27,nASIG)&gt;0)*(nNOTA))/SUMPRODUCT((nNIA=G60)*(nCUENTA=1)*(COUNTIF(CONFIG_ASIGNATURAS!$B$7:$B$27,nASIG)&gt;0)*1),"")))</f>
        <v/>
      </c>
      <c r="N60" t="str">
        <f>IF(M60="","",IF(M60="[FÓRMULA MANUAL]","",IFERROR(AVERAGEIFS(nNOTA,nNIA,M60,nCUENTA,1,nASIG,"Armonía"),"")))</f>
        <v/>
      </c>
      <c r="O60" t="str">
        <f>IF(M60="","",IF(M60="[FÓRMULA MANUAL]","",IFERROR(AVERAGEIFS(nNOTA,nNIA,M60,nCUENTA,1,nASIG,"Orquesta/Banda/Conjunto"),"")))</f>
        <v/>
      </c>
      <c r="P60" t="str">
        <f>IF(M60="","",IF(M60="[FÓRMULA MANUAL]","",IFERROR(AVERAGEIFS(nNOTA,nNIA,M60,nCUENTA,1,nASIG,"Música de Cámara"),"")))</f>
        <v/>
      </c>
      <c r="Q60" t="str">
        <f>IF(M60="","",IF(M60="[FÓRMULA MANUAL]","",IFERROR(SUMPRODUCT((nNIA=M60)*(nCUENTA=1)*(COUNTIF(CONFIG_ASIGNATURAS!$B$7:$B$27,nASIG)&gt;0)*(nNOTA))/SUMPRODUCT((nNIA=M60)*(nCUENTA=1)*(COUNTIF(CONFIG_ASIGNATURAS!$B$7:$B$27,nASIG)&gt;0)*1),"")))</f>
        <v/>
      </c>
      <c r="T60" t="str">
        <f>IF(S60="","",IF(S60="[FÓRMULA MANUAL]","",IFERROR(AVERAGEIFS(nNOTA,nNIA,S60,nCUENTA,1,nASIG,"Armonía"),"")))</f>
        <v/>
      </c>
      <c r="U60" t="str">
        <f>IF(S60="","",IF(S60="[FÓRMULA MANUAL]","",IFERROR(AVERAGEIFS(nNOTA,nNIA,S60,nCUENTA,1,nASIG,"Orquesta/Banda/Conjunto"),"")))</f>
        <v/>
      </c>
      <c r="V60" t="str">
        <f>IF(S60="","",IF(S60="[FÓRMULA MANUAL]","",IFERROR(AVERAGEIFS(nNOTA,nNIA,S60,nCUENTA,1,nASIG,"Música de Cámara"),"")))</f>
        <v/>
      </c>
      <c r="W60" t="str">
        <f>IF(S60="","",IF(S60="[FÓRMULA MANUAL]","",IFERROR(SUMPRODUCT((nNIA=S60)*(nCUENTA=1)*(COUNTIF(CONFIG_ASIGNATURAS!$B$7:$B$27,nASIG)&gt;0)*(nNOTA))/SUMPRODUCT((nNIA=S60)*(nCUENTA=1)*(COUNTIF(CONFIG_ASIGNATURAS!$B$7:$B$27,nASIG)&gt;0)*1),"")))</f>
        <v/>
      </c>
      <c r="Z60" t="str">
        <f>IF(Y60="","",IF(Y60="[FÓRMULA MANUAL]","",IFERROR(AVERAGEIFS(nNOTA,nNIA,Y60,nCUENTA,1,nASIG,"Análisis"),"")))</f>
        <v/>
      </c>
      <c r="AA60" t="str">
        <f>IF(Y60="","",IF(Y60="[FÓRMULA MANUAL]","",IFERROR(AVERAGEIFS(nNOTA,nNIA,Y60,nCUENTA,1,nASIG,"Orquesta/Banda/Conjunto"),"")))</f>
        <v/>
      </c>
      <c r="AB60" t="str">
        <f>IF(Y60="","",IF(Y60="[FÓRMULA MANUAL]","",IFERROR(AVERAGEIFS(nNOTA,nNIA,Y60,nCUENTA,1,nASIG,"Música de Cámara"),"")))</f>
        <v/>
      </c>
      <c r="AC60" t="str">
        <f>IF(Y60="","",IF(Y60="[FÓRMULA MANUAL]","",IFERROR(SUMPRODUCT((nNIA=Y60)*(nCUENTA=1)*(COUNTIF(CONFIG_ASIGNATURAS!$B$7:$B$27,nASIG)&gt;0)*(nNOTA))/SUMPRODUCT((nNIA=Y60)*(nCUENTA=1)*(COUNTIF(CONFIG_ASIGNATURAS!$B$7:$B$27,nASIG)&gt;0)*1),"")))</f>
        <v/>
      </c>
      <c r="AF60" t="str">
        <f>IF(AE60="","",IF(AE60="[FÓRMULA MANUAL]","",IFERROR(AVERAGEIFS(nNOTA,nNIA,AE60,nCUENTA,1,nASIG,"Análisis"),"")))</f>
        <v/>
      </c>
      <c r="AG60" t="str">
        <f>IF(AE60="","",IF(AE60="[FÓRMULA MANUAL]","",IFERROR(AVERAGEIFS(nNOTA,nNIA,AE60,nCUENTA,1,nASIG,"Orquesta/Banda/Conjunto"),"")))</f>
        <v/>
      </c>
      <c r="AH60" t="str">
        <f>IF(AE60="","",IF(AE60="[FÓRMULA MANUAL]","",IFERROR(AVERAGEIFS(nNOTA,nNIA,AE60,nCUENTA,1,nASIG,"Música de Cámara"),"")))</f>
        <v/>
      </c>
      <c r="AI60" t="str">
        <f>IF(AE60="","",IF(AE60="[FÓRMULA MANUAL]","",IFERROR(SUMPRODUCT((nNIA=AE60)*(nCUENTA=1)*(COUNTIF(CONFIG_ASIGNATURAS!$B$7:$B$27,nASIG)&gt;0)*(nNOTA))/SUMPRODUCT((nNIA=AE60)*(nCUENTA=1)*(COUNTIF(CONFIG_ASIGNATURAS!$B$7:$B$27,nASIG)&gt;0)*1),"")))</f>
        <v/>
      </c>
    </row>
    <row r="61" spans="2:35" x14ac:dyDescent="0.2">
      <c r="B61" t="str">
        <f>IF(A61="","",IF(A61="[FÓRMULA MANUAL]","",IFERROR(AVERAGEIFS(nNOTA,nNIA,A61,nCUENTA,1,nASIG,"Lenguaje Musical"),"")))</f>
        <v/>
      </c>
      <c r="C61" t="str">
        <f>IF(A61="","",IF(A61="[FÓRMULA MANUAL]","",IFERROR(AVERAGEIFS(nNOTA,nNIA,A61,nCUENTA,1,nASIG,"Orquesta/Banda/Conjunto"),"")))</f>
        <v/>
      </c>
      <c r="D61" t="str">
        <f>IF(A61="","",IF(A61="[FÓRMULA MANUAL]","",IFERROR(AVERAGEIFS(nNOTA,nNIA,A61,nCUENTA,1,nASIG,"Conjunto"),"")))</f>
        <v/>
      </c>
      <c r="E61" t="str">
        <f>IF(A61="","",IF(A61="[FÓRMULA MANUAL]","",IFERROR(SUMPRODUCT((nNIA=A61)*(nCUENTA=1)*(COUNTIF(CONFIG_ASIGNATURAS!$B$7:$B$27,nASIG)&gt;0)*(nNOTA))/SUMPRODUCT((nNIA=A61)*(nCUENTA=1)*(COUNTIF(CONFIG_ASIGNATURAS!$B$7:$B$27,nASIG)&gt;0)*1),"")))</f>
        <v/>
      </c>
      <c r="H61" t="str">
        <f>IF(G61="","",IF(G61="[FÓRMULA MANUAL]","",IFERROR(AVERAGEIFS(nNOTA,nNIA,G61,nCUENTA,1,nASIG,"Lenguaje Musical"),"")))</f>
        <v/>
      </c>
      <c r="I61" t="str">
        <f>IF(G61="","",IF(G61="[FÓRMULA MANUAL]","",IFERROR(AVERAGEIFS(nNOTA,nNIA,G61,nCUENTA,1,nASIG,"Orquesta/Banda/Conjunto"),"")))</f>
        <v/>
      </c>
      <c r="J61" t="str">
        <f>IF(G61="","",IF(G61="[FÓRMULA MANUAL]","",IFERROR(AVERAGEIFS(nNOTA,nNIA,G61,nCUENTA,1,nASIG,"Conjunto"),"")))</f>
        <v/>
      </c>
      <c r="K61" t="str">
        <f>IF(G61="","",IF(G61="[FÓRMULA MANUAL]","",IFERROR(SUMPRODUCT((nNIA=G61)*(nCUENTA=1)*(COUNTIF(CONFIG_ASIGNATURAS!$B$7:$B$27,nASIG)&gt;0)*(nNOTA))/SUMPRODUCT((nNIA=G61)*(nCUENTA=1)*(COUNTIF(CONFIG_ASIGNATURAS!$B$7:$B$27,nASIG)&gt;0)*1),"")))</f>
        <v/>
      </c>
      <c r="N61" t="str">
        <f>IF(M61="","",IF(M61="[FÓRMULA MANUAL]","",IFERROR(AVERAGEIFS(nNOTA,nNIA,M61,nCUENTA,1,nASIG,"Armonía"),"")))</f>
        <v/>
      </c>
      <c r="O61" t="str">
        <f>IF(M61="","",IF(M61="[FÓRMULA MANUAL]","",IFERROR(AVERAGEIFS(nNOTA,nNIA,M61,nCUENTA,1,nASIG,"Orquesta/Banda/Conjunto"),"")))</f>
        <v/>
      </c>
      <c r="P61" t="str">
        <f>IF(M61="","",IF(M61="[FÓRMULA MANUAL]","",IFERROR(AVERAGEIFS(nNOTA,nNIA,M61,nCUENTA,1,nASIG,"Música de Cámara"),"")))</f>
        <v/>
      </c>
      <c r="Q61" t="str">
        <f>IF(M61="","",IF(M61="[FÓRMULA MANUAL]","",IFERROR(SUMPRODUCT((nNIA=M61)*(nCUENTA=1)*(COUNTIF(CONFIG_ASIGNATURAS!$B$7:$B$27,nASIG)&gt;0)*(nNOTA))/SUMPRODUCT((nNIA=M61)*(nCUENTA=1)*(COUNTIF(CONFIG_ASIGNATURAS!$B$7:$B$27,nASIG)&gt;0)*1),"")))</f>
        <v/>
      </c>
      <c r="T61" t="str">
        <f>IF(S61="","",IF(S61="[FÓRMULA MANUAL]","",IFERROR(AVERAGEIFS(nNOTA,nNIA,S61,nCUENTA,1,nASIG,"Armonía"),"")))</f>
        <v/>
      </c>
      <c r="U61" t="str">
        <f>IF(S61="","",IF(S61="[FÓRMULA MANUAL]","",IFERROR(AVERAGEIFS(nNOTA,nNIA,S61,nCUENTA,1,nASIG,"Orquesta/Banda/Conjunto"),"")))</f>
        <v/>
      </c>
      <c r="V61" t="str">
        <f>IF(S61="","",IF(S61="[FÓRMULA MANUAL]","",IFERROR(AVERAGEIFS(nNOTA,nNIA,S61,nCUENTA,1,nASIG,"Música de Cámara"),"")))</f>
        <v/>
      </c>
      <c r="W61" t="str">
        <f>IF(S61="","",IF(S61="[FÓRMULA MANUAL]","",IFERROR(SUMPRODUCT((nNIA=S61)*(nCUENTA=1)*(COUNTIF(CONFIG_ASIGNATURAS!$B$7:$B$27,nASIG)&gt;0)*(nNOTA))/SUMPRODUCT((nNIA=S61)*(nCUENTA=1)*(COUNTIF(CONFIG_ASIGNATURAS!$B$7:$B$27,nASIG)&gt;0)*1),"")))</f>
        <v/>
      </c>
      <c r="Z61" t="str">
        <f>IF(Y61="","",IF(Y61="[FÓRMULA MANUAL]","",IFERROR(AVERAGEIFS(nNOTA,nNIA,Y61,nCUENTA,1,nASIG,"Análisis"),"")))</f>
        <v/>
      </c>
      <c r="AA61" t="str">
        <f>IF(Y61="","",IF(Y61="[FÓRMULA MANUAL]","",IFERROR(AVERAGEIFS(nNOTA,nNIA,Y61,nCUENTA,1,nASIG,"Orquesta/Banda/Conjunto"),"")))</f>
        <v/>
      </c>
      <c r="AB61" t="str">
        <f>IF(Y61="","",IF(Y61="[FÓRMULA MANUAL]","",IFERROR(AVERAGEIFS(nNOTA,nNIA,Y61,nCUENTA,1,nASIG,"Música de Cámara"),"")))</f>
        <v/>
      </c>
      <c r="AC61" t="str">
        <f>IF(Y61="","",IF(Y61="[FÓRMULA MANUAL]","",IFERROR(SUMPRODUCT((nNIA=Y61)*(nCUENTA=1)*(COUNTIF(CONFIG_ASIGNATURAS!$B$7:$B$27,nASIG)&gt;0)*(nNOTA))/SUMPRODUCT((nNIA=Y61)*(nCUENTA=1)*(COUNTIF(CONFIG_ASIGNATURAS!$B$7:$B$27,nASIG)&gt;0)*1),"")))</f>
        <v/>
      </c>
      <c r="AF61" t="str">
        <f>IF(AE61="","",IF(AE61="[FÓRMULA MANUAL]","",IFERROR(AVERAGEIFS(nNOTA,nNIA,AE61,nCUENTA,1,nASIG,"Análisis"),"")))</f>
        <v/>
      </c>
      <c r="AG61" t="str">
        <f>IF(AE61="","",IF(AE61="[FÓRMULA MANUAL]","",IFERROR(AVERAGEIFS(nNOTA,nNIA,AE61,nCUENTA,1,nASIG,"Orquesta/Banda/Conjunto"),"")))</f>
        <v/>
      </c>
      <c r="AH61" t="str">
        <f>IF(AE61="","",IF(AE61="[FÓRMULA MANUAL]","",IFERROR(AVERAGEIFS(nNOTA,nNIA,AE61,nCUENTA,1,nASIG,"Música de Cámara"),"")))</f>
        <v/>
      </c>
      <c r="AI61" t="str">
        <f>IF(AE61="","",IF(AE61="[FÓRMULA MANUAL]","",IFERROR(SUMPRODUCT((nNIA=AE61)*(nCUENTA=1)*(COUNTIF(CONFIG_ASIGNATURAS!$B$7:$B$27,nASIG)&gt;0)*(nNOTA))/SUMPRODUCT((nNIA=AE61)*(nCUENTA=1)*(COUNTIF(CONFIG_ASIGNATURAS!$B$7:$B$27,nASIG)&gt;0)*1),"")))</f>
        <v/>
      </c>
    </row>
    <row r="62" spans="2:35" x14ac:dyDescent="0.2">
      <c r="B62" t="str">
        <f>IF(A62="","",IF(A62="[FÓRMULA MANUAL]","",IFERROR(AVERAGEIFS(nNOTA,nNIA,A62,nCUENTA,1,nASIG,"Lenguaje Musical"),"")))</f>
        <v/>
      </c>
      <c r="C62" t="str">
        <f>IF(A62="","",IF(A62="[FÓRMULA MANUAL]","",IFERROR(AVERAGEIFS(nNOTA,nNIA,A62,nCUENTA,1,nASIG,"Orquesta/Banda/Conjunto"),"")))</f>
        <v/>
      </c>
      <c r="D62" t="str">
        <f>IF(A62="","",IF(A62="[FÓRMULA MANUAL]","",IFERROR(AVERAGEIFS(nNOTA,nNIA,A62,nCUENTA,1,nASIG,"Conjunto"),"")))</f>
        <v/>
      </c>
      <c r="E62" t="str">
        <f>IF(A62="","",IF(A62="[FÓRMULA MANUAL]","",IFERROR(SUMPRODUCT((nNIA=A62)*(nCUENTA=1)*(COUNTIF(CONFIG_ASIGNATURAS!$B$7:$B$27,nASIG)&gt;0)*(nNOTA))/SUMPRODUCT((nNIA=A62)*(nCUENTA=1)*(COUNTIF(CONFIG_ASIGNATURAS!$B$7:$B$27,nASIG)&gt;0)*1),"")))</f>
        <v/>
      </c>
      <c r="H62" t="str">
        <f>IF(G62="","",IF(G62="[FÓRMULA MANUAL]","",IFERROR(AVERAGEIFS(nNOTA,nNIA,G62,nCUENTA,1,nASIG,"Lenguaje Musical"),"")))</f>
        <v/>
      </c>
      <c r="I62" t="str">
        <f>IF(G62="","",IF(G62="[FÓRMULA MANUAL]","",IFERROR(AVERAGEIFS(nNOTA,nNIA,G62,nCUENTA,1,nASIG,"Orquesta/Banda/Conjunto"),"")))</f>
        <v/>
      </c>
      <c r="J62" t="str">
        <f>IF(G62="","",IF(G62="[FÓRMULA MANUAL]","",IFERROR(AVERAGEIFS(nNOTA,nNIA,G62,nCUENTA,1,nASIG,"Conjunto"),"")))</f>
        <v/>
      </c>
      <c r="K62" t="str">
        <f>IF(G62="","",IF(G62="[FÓRMULA MANUAL]","",IFERROR(SUMPRODUCT((nNIA=G62)*(nCUENTA=1)*(COUNTIF(CONFIG_ASIGNATURAS!$B$7:$B$27,nASIG)&gt;0)*(nNOTA))/SUMPRODUCT((nNIA=G62)*(nCUENTA=1)*(COUNTIF(CONFIG_ASIGNATURAS!$B$7:$B$27,nASIG)&gt;0)*1),"")))</f>
        <v/>
      </c>
      <c r="N62" t="str">
        <f>IF(M62="","",IF(M62="[FÓRMULA MANUAL]","",IFERROR(AVERAGEIFS(nNOTA,nNIA,M62,nCUENTA,1,nASIG,"Armonía"),"")))</f>
        <v/>
      </c>
      <c r="O62" t="str">
        <f>IF(M62="","",IF(M62="[FÓRMULA MANUAL]","",IFERROR(AVERAGEIFS(nNOTA,nNIA,M62,nCUENTA,1,nASIG,"Orquesta/Banda/Conjunto"),"")))</f>
        <v/>
      </c>
      <c r="P62" t="str">
        <f>IF(M62="","",IF(M62="[FÓRMULA MANUAL]","",IFERROR(AVERAGEIFS(nNOTA,nNIA,M62,nCUENTA,1,nASIG,"Música de Cámara"),"")))</f>
        <v/>
      </c>
      <c r="Q62" t="str">
        <f>IF(M62="","",IF(M62="[FÓRMULA MANUAL]","",IFERROR(SUMPRODUCT((nNIA=M62)*(nCUENTA=1)*(COUNTIF(CONFIG_ASIGNATURAS!$B$7:$B$27,nASIG)&gt;0)*(nNOTA))/SUMPRODUCT((nNIA=M62)*(nCUENTA=1)*(COUNTIF(CONFIG_ASIGNATURAS!$B$7:$B$27,nASIG)&gt;0)*1),"")))</f>
        <v/>
      </c>
      <c r="T62" t="str">
        <f>IF(S62="","",IF(S62="[FÓRMULA MANUAL]","",IFERROR(AVERAGEIFS(nNOTA,nNIA,S62,nCUENTA,1,nASIG,"Armonía"),"")))</f>
        <v/>
      </c>
      <c r="U62" t="str">
        <f>IF(S62="","",IF(S62="[FÓRMULA MANUAL]","",IFERROR(AVERAGEIFS(nNOTA,nNIA,S62,nCUENTA,1,nASIG,"Orquesta/Banda/Conjunto"),"")))</f>
        <v/>
      </c>
      <c r="V62" t="str">
        <f>IF(S62="","",IF(S62="[FÓRMULA MANUAL]","",IFERROR(AVERAGEIFS(nNOTA,nNIA,S62,nCUENTA,1,nASIG,"Música de Cámara"),"")))</f>
        <v/>
      </c>
      <c r="W62" t="str">
        <f>IF(S62="","",IF(S62="[FÓRMULA MANUAL]","",IFERROR(SUMPRODUCT((nNIA=S62)*(nCUENTA=1)*(COUNTIF(CONFIG_ASIGNATURAS!$B$7:$B$27,nASIG)&gt;0)*(nNOTA))/SUMPRODUCT((nNIA=S62)*(nCUENTA=1)*(COUNTIF(CONFIG_ASIGNATURAS!$B$7:$B$27,nASIG)&gt;0)*1),"")))</f>
        <v/>
      </c>
      <c r="Z62" t="str">
        <f>IF(Y62="","",IF(Y62="[FÓRMULA MANUAL]","",IFERROR(AVERAGEIFS(nNOTA,nNIA,Y62,nCUENTA,1,nASIG,"Análisis"),"")))</f>
        <v/>
      </c>
      <c r="AA62" t="str">
        <f>IF(Y62="","",IF(Y62="[FÓRMULA MANUAL]","",IFERROR(AVERAGEIFS(nNOTA,nNIA,Y62,nCUENTA,1,nASIG,"Orquesta/Banda/Conjunto"),"")))</f>
        <v/>
      </c>
      <c r="AB62" t="str">
        <f>IF(Y62="","",IF(Y62="[FÓRMULA MANUAL]","",IFERROR(AVERAGEIFS(nNOTA,nNIA,Y62,nCUENTA,1,nASIG,"Música de Cámara"),"")))</f>
        <v/>
      </c>
      <c r="AC62" t="str">
        <f>IF(Y62="","",IF(Y62="[FÓRMULA MANUAL]","",IFERROR(SUMPRODUCT((nNIA=Y62)*(nCUENTA=1)*(COUNTIF(CONFIG_ASIGNATURAS!$B$7:$B$27,nASIG)&gt;0)*(nNOTA))/SUMPRODUCT((nNIA=Y62)*(nCUENTA=1)*(COUNTIF(CONFIG_ASIGNATURAS!$B$7:$B$27,nASIG)&gt;0)*1),"")))</f>
        <v/>
      </c>
      <c r="AF62" t="str">
        <f>IF(AE62="","",IF(AE62="[FÓRMULA MANUAL]","",IFERROR(AVERAGEIFS(nNOTA,nNIA,AE62,nCUENTA,1,nASIG,"Análisis"),"")))</f>
        <v/>
      </c>
      <c r="AG62" t="str">
        <f>IF(AE62="","",IF(AE62="[FÓRMULA MANUAL]","",IFERROR(AVERAGEIFS(nNOTA,nNIA,AE62,nCUENTA,1,nASIG,"Orquesta/Banda/Conjunto"),"")))</f>
        <v/>
      </c>
      <c r="AH62" t="str">
        <f>IF(AE62="","",IF(AE62="[FÓRMULA MANUAL]","",IFERROR(AVERAGEIFS(nNOTA,nNIA,AE62,nCUENTA,1,nASIG,"Música de Cámara"),"")))</f>
        <v/>
      </c>
      <c r="AI62" t="str">
        <f>IF(AE62="","",IF(AE62="[FÓRMULA MANUAL]","",IFERROR(SUMPRODUCT((nNIA=AE62)*(nCUENTA=1)*(COUNTIF(CONFIG_ASIGNATURAS!$B$7:$B$27,nASIG)&gt;0)*(nNOTA))/SUMPRODUCT((nNIA=AE62)*(nCUENTA=1)*(COUNTIF(CONFIG_ASIGNATURAS!$B$7:$B$27,nASIG)&gt;0)*1),"")))</f>
        <v/>
      </c>
    </row>
    <row r="63" spans="2:35" x14ac:dyDescent="0.2">
      <c r="B63" t="str">
        <f>IF(A63="","",IF(A63="[FÓRMULA MANUAL]","",IFERROR(AVERAGEIFS(nNOTA,nNIA,A63,nCUENTA,1,nASIG,"Lenguaje Musical"),"")))</f>
        <v/>
      </c>
      <c r="C63" t="str">
        <f>IF(A63="","",IF(A63="[FÓRMULA MANUAL]","",IFERROR(AVERAGEIFS(nNOTA,nNIA,A63,nCUENTA,1,nASIG,"Orquesta/Banda/Conjunto"),"")))</f>
        <v/>
      </c>
      <c r="D63" t="str">
        <f>IF(A63="","",IF(A63="[FÓRMULA MANUAL]","",IFERROR(AVERAGEIFS(nNOTA,nNIA,A63,nCUENTA,1,nASIG,"Conjunto"),"")))</f>
        <v/>
      </c>
      <c r="E63" t="str">
        <f>IF(A63="","",IF(A63="[FÓRMULA MANUAL]","",IFERROR(SUMPRODUCT((nNIA=A63)*(nCUENTA=1)*(COUNTIF(CONFIG_ASIGNATURAS!$B$7:$B$27,nASIG)&gt;0)*(nNOTA))/SUMPRODUCT((nNIA=A63)*(nCUENTA=1)*(COUNTIF(CONFIG_ASIGNATURAS!$B$7:$B$27,nASIG)&gt;0)*1),"")))</f>
        <v/>
      </c>
      <c r="H63" t="str">
        <f>IF(G63="","",IF(G63="[FÓRMULA MANUAL]","",IFERROR(AVERAGEIFS(nNOTA,nNIA,G63,nCUENTA,1,nASIG,"Lenguaje Musical"),"")))</f>
        <v/>
      </c>
      <c r="I63" t="str">
        <f>IF(G63="","",IF(G63="[FÓRMULA MANUAL]","",IFERROR(AVERAGEIFS(nNOTA,nNIA,G63,nCUENTA,1,nASIG,"Orquesta/Banda/Conjunto"),"")))</f>
        <v/>
      </c>
      <c r="J63" t="str">
        <f>IF(G63="","",IF(G63="[FÓRMULA MANUAL]","",IFERROR(AVERAGEIFS(nNOTA,nNIA,G63,nCUENTA,1,nASIG,"Conjunto"),"")))</f>
        <v/>
      </c>
      <c r="K63" t="str">
        <f>IF(G63="","",IF(G63="[FÓRMULA MANUAL]","",IFERROR(SUMPRODUCT((nNIA=G63)*(nCUENTA=1)*(COUNTIF(CONFIG_ASIGNATURAS!$B$7:$B$27,nASIG)&gt;0)*(nNOTA))/SUMPRODUCT((nNIA=G63)*(nCUENTA=1)*(COUNTIF(CONFIG_ASIGNATURAS!$B$7:$B$27,nASIG)&gt;0)*1),"")))</f>
        <v/>
      </c>
      <c r="N63" t="str">
        <f>IF(M63="","",IF(M63="[FÓRMULA MANUAL]","",IFERROR(AVERAGEIFS(nNOTA,nNIA,M63,nCUENTA,1,nASIG,"Armonía"),"")))</f>
        <v/>
      </c>
      <c r="O63" t="str">
        <f>IF(M63="","",IF(M63="[FÓRMULA MANUAL]","",IFERROR(AVERAGEIFS(nNOTA,nNIA,M63,nCUENTA,1,nASIG,"Orquesta/Banda/Conjunto"),"")))</f>
        <v/>
      </c>
      <c r="P63" t="str">
        <f>IF(M63="","",IF(M63="[FÓRMULA MANUAL]","",IFERROR(AVERAGEIFS(nNOTA,nNIA,M63,nCUENTA,1,nASIG,"Música de Cámara"),"")))</f>
        <v/>
      </c>
      <c r="Q63" t="str">
        <f>IF(M63="","",IF(M63="[FÓRMULA MANUAL]","",IFERROR(SUMPRODUCT((nNIA=M63)*(nCUENTA=1)*(COUNTIF(CONFIG_ASIGNATURAS!$B$7:$B$27,nASIG)&gt;0)*(nNOTA))/SUMPRODUCT((nNIA=M63)*(nCUENTA=1)*(COUNTIF(CONFIG_ASIGNATURAS!$B$7:$B$27,nASIG)&gt;0)*1),"")))</f>
        <v/>
      </c>
      <c r="T63" t="str">
        <f>IF(S63="","",IF(S63="[FÓRMULA MANUAL]","",IFERROR(AVERAGEIFS(nNOTA,nNIA,S63,nCUENTA,1,nASIG,"Armonía"),"")))</f>
        <v/>
      </c>
      <c r="U63" t="str">
        <f>IF(S63="","",IF(S63="[FÓRMULA MANUAL]","",IFERROR(AVERAGEIFS(nNOTA,nNIA,S63,nCUENTA,1,nASIG,"Orquesta/Banda/Conjunto"),"")))</f>
        <v/>
      </c>
      <c r="V63" t="str">
        <f>IF(S63="","",IF(S63="[FÓRMULA MANUAL]","",IFERROR(AVERAGEIFS(nNOTA,nNIA,S63,nCUENTA,1,nASIG,"Música de Cámara"),"")))</f>
        <v/>
      </c>
      <c r="W63" t="str">
        <f>IF(S63="","",IF(S63="[FÓRMULA MANUAL]","",IFERROR(SUMPRODUCT((nNIA=S63)*(nCUENTA=1)*(COUNTIF(CONFIG_ASIGNATURAS!$B$7:$B$27,nASIG)&gt;0)*(nNOTA))/SUMPRODUCT((nNIA=S63)*(nCUENTA=1)*(COUNTIF(CONFIG_ASIGNATURAS!$B$7:$B$27,nASIG)&gt;0)*1),"")))</f>
        <v/>
      </c>
      <c r="Z63" t="str">
        <f>IF(Y63="","",IF(Y63="[FÓRMULA MANUAL]","",IFERROR(AVERAGEIFS(nNOTA,nNIA,Y63,nCUENTA,1,nASIG,"Análisis"),"")))</f>
        <v/>
      </c>
      <c r="AA63" t="str">
        <f>IF(Y63="","",IF(Y63="[FÓRMULA MANUAL]","",IFERROR(AVERAGEIFS(nNOTA,nNIA,Y63,nCUENTA,1,nASIG,"Orquesta/Banda/Conjunto"),"")))</f>
        <v/>
      </c>
      <c r="AB63" t="str">
        <f>IF(Y63="","",IF(Y63="[FÓRMULA MANUAL]","",IFERROR(AVERAGEIFS(nNOTA,nNIA,Y63,nCUENTA,1,nASIG,"Música de Cámara"),"")))</f>
        <v/>
      </c>
      <c r="AC63" t="str">
        <f>IF(Y63="","",IF(Y63="[FÓRMULA MANUAL]","",IFERROR(SUMPRODUCT((nNIA=Y63)*(nCUENTA=1)*(COUNTIF(CONFIG_ASIGNATURAS!$B$7:$B$27,nASIG)&gt;0)*(nNOTA))/SUMPRODUCT((nNIA=Y63)*(nCUENTA=1)*(COUNTIF(CONFIG_ASIGNATURAS!$B$7:$B$27,nASIG)&gt;0)*1),"")))</f>
        <v/>
      </c>
      <c r="AF63" t="str">
        <f>IF(AE63="","",IF(AE63="[FÓRMULA MANUAL]","",IFERROR(AVERAGEIFS(nNOTA,nNIA,AE63,nCUENTA,1,nASIG,"Análisis"),"")))</f>
        <v/>
      </c>
      <c r="AG63" t="str">
        <f>IF(AE63="","",IF(AE63="[FÓRMULA MANUAL]","",IFERROR(AVERAGEIFS(nNOTA,nNIA,AE63,nCUENTA,1,nASIG,"Orquesta/Banda/Conjunto"),"")))</f>
        <v/>
      </c>
      <c r="AH63" t="str">
        <f>IF(AE63="","",IF(AE63="[FÓRMULA MANUAL]","",IFERROR(AVERAGEIFS(nNOTA,nNIA,AE63,nCUENTA,1,nASIG,"Música de Cámara"),"")))</f>
        <v/>
      </c>
      <c r="AI63" t="str">
        <f>IF(AE63="","",IF(AE63="[FÓRMULA MANUAL]","",IFERROR(SUMPRODUCT((nNIA=AE63)*(nCUENTA=1)*(COUNTIF(CONFIG_ASIGNATURAS!$B$7:$B$27,nASIG)&gt;0)*(nNOTA))/SUMPRODUCT((nNIA=AE63)*(nCUENTA=1)*(COUNTIF(CONFIG_ASIGNATURAS!$B$7:$B$27,nASIG)&gt;0)*1),"")))</f>
        <v/>
      </c>
    </row>
    <row r="64" spans="2:35" x14ac:dyDescent="0.2">
      <c r="B64" t="str">
        <f>IF(A64="","",IF(A64="[FÓRMULA MANUAL]","",IFERROR(AVERAGEIFS(nNOTA,nNIA,A64,nCUENTA,1,nASIG,"Lenguaje Musical"),"")))</f>
        <v/>
      </c>
      <c r="C64" t="str">
        <f>IF(A64="","",IF(A64="[FÓRMULA MANUAL]","",IFERROR(AVERAGEIFS(nNOTA,nNIA,A64,nCUENTA,1,nASIG,"Orquesta/Banda/Conjunto"),"")))</f>
        <v/>
      </c>
      <c r="D64" t="str">
        <f>IF(A64="","",IF(A64="[FÓRMULA MANUAL]","",IFERROR(AVERAGEIFS(nNOTA,nNIA,A64,nCUENTA,1,nASIG,"Conjunto"),"")))</f>
        <v/>
      </c>
      <c r="E64" t="str">
        <f>IF(A64="","",IF(A64="[FÓRMULA MANUAL]","",IFERROR(SUMPRODUCT((nNIA=A64)*(nCUENTA=1)*(COUNTIF(CONFIG_ASIGNATURAS!$B$7:$B$27,nASIG)&gt;0)*(nNOTA))/SUMPRODUCT((nNIA=A64)*(nCUENTA=1)*(COUNTIF(CONFIG_ASIGNATURAS!$B$7:$B$27,nASIG)&gt;0)*1),"")))</f>
        <v/>
      </c>
      <c r="H64" t="str">
        <f>IF(G64="","",IF(G64="[FÓRMULA MANUAL]","",IFERROR(AVERAGEIFS(nNOTA,nNIA,G64,nCUENTA,1,nASIG,"Lenguaje Musical"),"")))</f>
        <v/>
      </c>
      <c r="I64" t="str">
        <f>IF(G64="","",IF(G64="[FÓRMULA MANUAL]","",IFERROR(AVERAGEIFS(nNOTA,nNIA,G64,nCUENTA,1,nASIG,"Orquesta/Banda/Conjunto"),"")))</f>
        <v/>
      </c>
      <c r="J64" t="str">
        <f>IF(G64="","",IF(G64="[FÓRMULA MANUAL]","",IFERROR(AVERAGEIFS(nNOTA,nNIA,G64,nCUENTA,1,nASIG,"Conjunto"),"")))</f>
        <v/>
      </c>
      <c r="K64" t="str">
        <f>IF(G64="","",IF(G64="[FÓRMULA MANUAL]","",IFERROR(SUMPRODUCT((nNIA=G64)*(nCUENTA=1)*(COUNTIF(CONFIG_ASIGNATURAS!$B$7:$B$27,nASIG)&gt;0)*(nNOTA))/SUMPRODUCT((nNIA=G64)*(nCUENTA=1)*(COUNTIF(CONFIG_ASIGNATURAS!$B$7:$B$27,nASIG)&gt;0)*1),"")))</f>
        <v/>
      </c>
      <c r="N64" t="str">
        <f>IF(M64="","",IF(M64="[FÓRMULA MANUAL]","",IFERROR(AVERAGEIFS(nNOTA,nNIA,M64,nCUENTA,1,nASIG,"Armonía"),"")))</f>
        <v/>
      </c>
      <c r="O64" t="str">
        <f>IF(M64="","",IF(M64="[FÓRMULA MANUAL]","",IFERROR(AVERAGEIFS(nNOTA,nNIA,M64,nCUENTA,1,nASIG,"Orquesta/Banda/Conjunto"),"")))</f>
        <v/>
      </c>
      <c r="P64" t="str">
        <f>IF(M64="","",IF(M64="[FÓRMULA MANUAL]","",IFERROR(AVERAGEIFS(nNOTA,nNIA,M64,nCUENTA,1,nASIG,"Música de Cámara"),"")))</f>
        <v/>
      </c>
      <c r="Q64" t="str">
        <f>IF(M64="","",IF(M64="[FÓRMULA MANUAL]","",IFERROR(SUMPRODUCT((nNIA=M64)*(nCUENTA=1)*(COUNTIF(CONFIG_ASIGNATURAS!$B$7:$B$27,nASIG)&gt;0)*(nNOTA))/SUMPRODUCT((nNIA=M64)*(nCUENTA=1)*(COUNTIF(CONFIG_ASIGNATURAS!$B$7:$B$27,nASIG)&gt;0)*1),"")))</f>
        <v/>
      </c>
      <c r="T64" t="str">
        <f>IF(S64="","",IF(S64="[FÓRMULA MANUAL]","",IFERROR(AVERAGEIFS(nNOTA,nNIA,S64,nCUENTA,1,nASIG,"Armonía"),"")))</f>
        <v/>
      </c>
      <c r="U64" t="str">
        <f>IF(S64="","",IF(S64="[FÓRMULA MANUAL]","",IFERROR(AVERAGEIFS(nNOTA,nNIA,S64,nCUENTA,1,nASIG,"Orquesta/Banda/Conjunto"),"")))</f>
        <v/>
      </c>
      <c r="V64" t="str">
        <f>IF(S64="","",IF(S64="[FÓRMULA MANUAL]","",IFERROR(AVERAGEIFS(nNOTA,nNIA,S64,nCUENTA,1,nASIG,"Música de Cámara"),"")))</f>
        <v/>
      </c>
      <c r="W64" t="str">
        <f>IF(S64="","",IF(S64="[FÓRMULA MANUAL]","",IFERROR(SUMPRODUCT((nNIA=S64)*(nCUENTA=1)*(COUNTIF(CONFIG_ASIGNATURAS!$B$7:$B$27,nASIG)&gt;0)*(nNOTA))/SUMPRODUCT((nNIA=S64)*(nCUENTA=1)*(COUNTIF(CONFIG_ASIGNATURAS!$B$7:$B$27,nASIG)&gt;0)*1),"")))</f>
        <v/>
      </c>
      <c r="Z64" t="str">
        <f>IF(Y64="","",IF(Y64="[FÓRMULA MANUAL]","",IFERROR(AVERAGEIFS(nNOTA,nNIA,Y64,nCUENTA,1,nASIG,"Análisis"),"")))</f>
        <v/>
      </c>
      <c r="AA64" t="str">
        <f>IF(Y64="","",IF(Y64="[FÓRMULA MANUAL]","",IFERROR(AVERAGEIFS(nNOTA,nNIA,Y64,nCUENTA,1,nASIG,"Orquesta/Banda/Conjunto"),"")))</f>
        <v/>
      </c>
      <c r="AB64" t="str">
        <f>IF(Y64="","",IF(Y64="[FÓRMULA MANUAL]","",IFERROR(AVERAGEIFS(nNOTA,nNIA,Y64,nCUENTA,1,nASIG,"Música de Cámara"),"")))</f>
        <v/>
      </c>
      <c r="AC64" t="str">
        <f>IF(Y64="","",IF(Y64="[FÓRMULA MANUAL]","",IFERROR(SUMPRODUCT((nNIA=Y64)*(nCUENTA=1)*(COUNTIF(CONFIG_ASIGNATURAS!$B$7:$B$27,nASIG)&gt;0)*(nNOTA))/SUMPRODUCT((nNIA=Y64)*(nCUENTA=1)*(COUNTIF(CONFIG_ASIGNATURAS!$B$7:$B$27,nASIG)&gt;0)*1),"")))</f>
        <v/>
      </c>
      <c r="AF64" t="str">
        <f>IF(AE64="","",IF(AE64="[FÓRMULA MANUAL]","",IFERROR(AVERAGEIFS(nNOTA,nNIA,AE64,nCUENTA,1,nASIG,"Análisis"),"")))</f>
        <v/>
      </c>
      <c r="AG64" t="str">
        <f>IF(AE64="","",IF(AE64="[FÓRMULA MANUAL]","",IFERROR(AVERAGEIFS(nNOTA,nNIA,AE64,nCUENTA,1,nASIG,"Orquesta/Banda/Conjunto"),"")))</f>
        <v/>
      </c>
      <c r="AH64" t="str">
        <f>IF(AE64="","",IF(AE64="[FÓRMULA MANUAL]","",IFERROR(AVERAGEIFS(nNOTA,nNIA,AE64,nCUENTA,1,nASIG,"Música de Cámara"),"")))</f>
        <v/>
      </c>
      <c r="AI64" t="str">
        <f>IF(AE64="","",IF(AE64="[FÓRMULA MANUAL]","",IFERROR(SUMPRODUCT((nNIA=AE64)*(nCUENTA=1)*(COUNTIF(CONFIG_ASIGNATURAS!$B$7:$B$27,nASIG)&gt;0)*(nNOTA))/SUMPRODUCT((nNIA=AE64)*(nCUENTA=1)*(COUNTIF(CONFIG_ASIGNATURAS!$B$7:$B$27,nASIG)&gt;0)*1),"")))</f>
        <v/>
      </c>
    </row>
    <row r="65" spans="2:35" x14ac:dyDescent="0.2">
      <c r="B65" t="str">
        <f>IF(A65="","",IF(A65="[FÓRMULA MANUAL]","",IFERROR(AVERAGEIFS(nNOTA,nNIA,A65,nCUENTA,1,nASIG,"Lenguaje Musical"),"")))</f>
        <v/>
      </c>
      <c r="C65" t="str">
        <f>IF(A65="","",IF(A65="[FÓRMULA MANUAL]","",IFERROR(AVERAGEIFS(nNOTA,nNIA,A65,nCUENTA,1,nASIG,"Orquesta/Banda/Conjunto"),"")))</f>
        <v/>
      </c>
      <c r="D65" t="str">
        <f>IF(A65="","",IF(A65="[FÓRMULA MANUAL]","",IFERROR(AVERAGEIFS(nNOTA,nNIA,A65,nCUENTA,1,nASIG,"Conjunto"),"")))</f>
        <v/>
      </c>
      <c r="E65" t="str">
        <f>IF(A65="","",IF(A65="[FÓRMULA MANUAL]","",IFERROR(SUMPRODUCT((nNIA=A65)*(nCUENTA=1)*(COUNTIF(CONFIG_ASIGNATURAS!$B$7:$B$27,nASIG)&gt;0)*(nNOTA))/SUMPRODUCT((nNIA=A65)*(nCUENTA=1)*(COUNTIF(CONFIG_ASIGNATURAS!$B$7:$B$27,nASIG)&gt;0)*1),"")))</f>
        <v/>
      </c>
      <c r="H65" t="str">
        <f>IF(G65="","",IF(G65="[FÓRMULA MANUAL]","",IFERROR(AVERAGEIFS(nNOTA,nNIA,G65,nCUENTA,1,nASIG,"Lenguaje Musical"),"")))</f>
        <v/>
      </c>
      <c r="I65" t="str">
        <f>IF(G65="","",IF(G65="[FÓRMULA MANUAL]","",IFERROR(AVERAGEIFS(nNOTA,nNIA,G65,nCUENTA,1,nASIG,"Orquesta/Banda/Conjunto"),"")))</f>
        <v/>
      </c>
      <c r="J65" t="str">
        <f>IF(G65="","",IF(G65="[FÓRMULA MANUAL]","",IFERROR(AVERAGEIFS(nNOTA,nNIA,G65,nCUENTA,1,nASIG,"Conjunto"),"")))</f>
        <v/>
      </c>
      <c r="K65" t="str">
        <f>IF(G65="","",IF(G65="[FÓRMULA MANUAL]","",IFERROR(SUMPRODUCT((nNIA=G65)*(nCUENTA=1)*(COUNTIF(CONFIG_ASIGNATURAS!$B$7:$B$27,nASIG)&gt;0)*(nNOTA))/SUMPRODUCT((nNIA=G65)*(nCUENTA=1)*(COUNTIF(CONFIG_ASIGNATURAS!$B$7:$B$27,nASIG)&gt;0)*1),"")))</f>
        <v/>
      </c>
      <c r="N65" t="str">
        <f>IF(M65="","",IF(M65="[FÓRMULA MANUAL]","",IFERROR(AVERAGEIFS(nNOTA,nNIA,M65,nCUENTA,1,nASIG,"Armonía"),"")))</f>
        <v/>
      </c>
      <c r="O65" t="str">
        <f>IF(M65="","",IF(M65="[FÓRMULA MANUAL]","",IFERROR(AVERAGEIFS(nNOTA,nNIA,M65,nCUENTA,1,nASIG,"Orquesta/Banda/Conjunto"),"")))</f>
        <v/>
      </c>
      <c r="P65" t="str">
        <f>IF(M65="","",IF(M65="[FÓRMULA MANUAL]","",IFERROR(AVERAGEIFS(nNOTA,nNIA,M65,nCUENTA,1,nASIG,"Música de Cámara"),"")))</f>
        <v/>
      </c>
      <c r="Q65" t="str">
        <f>IF(M65="","",IF(M65="[FÓRMULA MANUAL]","",IFERROR(SUMPRODUCT((nNIA=M65)*(nCUENTA=1)*(COUNTIF(CONFIG_ASIGNATURAS!$B$7:$B$27,nASIG)&gt;0)*(nNOTA))/SUMPRODUCT((nNIA=M65)*(nCUENTA=1)*(COUNTIF(CONFIG_ASIGNATURAS!$B$7:$B$27,nASIG)&gt;0)*1),"")))</f>
        <v/>
      </c>
      <c r="T65" t="str">
        <f>IF(S65="","",IF(S65="[FÓRMULA MANUAL]","",IFERROR(AVERAGEIFS(nNOTA,nNIA,S65,nCUENTA,1,nASIG,"Armonía"),"")))</f>
        <v/>
      </c>
      <c r="U65" t="str">
        <f>IF(S65="","",IF(S65="[FÓRMULA MANUAL]","",IFERROR(AVERAGEIFS(nNOTA,nNIA,S65,nCUENTA,1,nASIG,"Orquesta/Banda/Conjunto"),"")))</f>
        <v/>
      </c>
      <c r="V65" t="str">
        <f>IF(S65="","",IF(S65="[FÓRMULA MANUAL]","",IFERROR(AVERAGEIFS(nNOTA,nNIA,S65,nCUENTA,1,nASIG,"Música de Cámara"),"")))</f>
        <v/>
      </c>
      <c r="W65" t="str">
        <f>IF(S65="","",IF(S65="[FÓRMULA MANUAL]","",IFERROR(SUMPRODUCT((nNIA=S65)*(nCUENTA=1)*(COUNTIF(CONFIG_ASIGNATURAS!$B$7:$B$27,nASIG)&gt;0)*(nNOTA))/SUMPRODUCT((nNIA=S65)*(nCUENTA=1)*(COUNTIF(CONFIG_ASIGNATURAS!$B$7:$B$27,nASIG)&gt;0)*1),"")))</f>
        <v/>
      </c>
      <c r="Z65" t="str">
        <f>IF(Y65="","",IF(Y65="[FÓRMULA MANUAL]","",IFERROR(AVERAGEIFS(nNOTA,nNIA,Y65,nCUENTA,1,nASIG,"Análisis"),"")))</f>
        <v/>
      </c>
      <c r="AA65" t="str">
        <f>IF(Y65="","",IF(Y65="[FÓRMULA MANUAL]","",IFERROR(AVERAGEIFS(nNOTA,nNIA,Y65,nCUENTA,1,nASIG,"Orquesta/Banda/Conjunto"),"")))</f>
        <v/>
      </c>
      <c r="AB65" t="str">
        <f>IF(Y65="","",IF(Y65="[FÓRMULA MANUAL]","",IFERROR(AVERAGEIFS(nNOTA,nNIA,Y65,nCUENTA,1,nASIG,"Música de Cámara"),"")))</f>
        <v/>
      </c>
      <c r="AC65" t="str">
        <f>IF(Y65="","",IF(Y65="[FÓRMULA MANUAL]","",IFERROR(SUMPRODUCT((nNIA=Y65)*(nCUENTA=1)*(COUNTIF(CONFIG_ASIGNATURAS!$B$7:$B$27,nASIG)&gt;0)*(nNOTA))/SUMPRODUCT((nNIA=Y65)*(nCUENTA=1)*(COUNTIF(CONFIG_ASIGNATURAS!$B$7:$B$27,nASIG)&gt;0)*1),"")))</f>
        <v/>
      </c>
      <c r="AF65" t="str">
        <f>IF(AE65="","",IF(AE65="[FÓRMULA MANUAL]","",IFERROR(AVERAGEIFS(nNOTA,nNIA,AE65,nCUENTA,1,nASIG,"Análisis"),"")))</f>
        <v/>
      </c>
      <c r="AG65" t="str">
        <f>IF(AE65="","",IF(AE65="[FÓRMULA MANUAL]","",IFERROR(AVERAGEIFS(nNOTA,nNIA,AE65,nCUENTA,1,nASIG,"Orquesta/Banda/Conjunto"),"")))</f>
        <v/>
      </c>
      <c r="AH65" t="str">
        <f>IF(AE65="","",IF(AE65="[FÓRMULA MANUAL]","",IFERROR(AVERAGEIFS(nNOTA,nNIA,AE65,nCUENTA,1,nASIG,"Música de Cámara"),"")))</f>
        <v/>
      </c>
      <c r="AI65" t="str">
        <f>IF(AE65="","",IF(AE65="[FÓRMULA MANUAL]","",IFERROR(SUMPRODUCT((nNIA=AE65)*(nCUENTA=1)*(COUNTIF(CONFIG_ASIGNATURAS!$B$7:$B$27,nASIG)&gt;0)*(nNOTA))/SUMPRODUCT((nNIA=AE65)*(nCUENTA=1)*(COUNTIF(CONFIG_ASIGNATURAS!$B$7:$B$27,nASIG)&gt;0)*1),"")))</f>
        <v/>
      </c>
    </row>
    <row r="66" spans="2:35" x14ac:dyDescent="0.2">
      <c r="B66" t="str">
        <f>IF(A66="","",IF(A66="[FÓRMULA MANUAL]","",IFERROR(AVERAGEIFS(nNOTA,nNIA,A66,nCUENTA,1,nASIG,"Lenguaje Musical"),"")))</f>
        <v/>
      </c>
      <c r="C66" t="str">
        <f>IF(A66="","",IF(A66="[FÓRMULA MANUAL]","",IFERROR(AVERAGEIFS(nNOTA,nNIA,A66,nCUENTA,1,nASIG,"Orquesta/Banda/Conjunto"),"")))</f>
        <v/>
      </c>
      <c r="D66" t="str">
        <f>IF(A66="","",IF(A66="[FÓRMULA MANUAL]","",IFERROR(AVERAGEIFS(nNOTA,nNIA,A66,nCUENTA,1,nASIG,"Conjunto"),"")))</f>
        <v/>
      </c>
      <c r="E66" t="str">
        <f>IF(A66="","",IF(A66="[FÓRMULA MANUAL]","",IFERROR(SUMPRODUCT((nNIA=A66)*(nCUENTA=1)*(COUNTIF(CONFIG_ASIGNATURAS!$B$7:$B$27,nASIG)&gt;0)*(nNOTA))/SUMPRODUCT((nNIA=A66)*(nCUENTA=1)*(COUNTIF(CONFIG_ASIGNATURAS!$B$7:$B$27,nASIG)&gt;0)*1),"")))</f>
        <v/>
      </c>
      <c r="H66" t="str">
        <f>IF(G66="","",IF(G66="[FÓRMULA MANUAL]","",IFERROR(AVERAGEIFS(nNOTA,nNIA,G66,nCUENTA,1,nASIG,"Lenguaje Musical"),"")))</f>
        <v/>
      </c>
      <c r="I66" t="str">
        <f>IF(G66="","",IF(G66="[FÓRMULA MANUAL]","",IFERROR(AVERAGEIFS(nNOTA,nNIA,G66,nCUENTA,1,nASIG,"Orquesta/Banda/Conjunto"),"")))</f>
        <v/>
      </c>
      <c r="J66" t="str">
        <f>IF(G66="","",IF(G66="[FÓRMULA MANUAL]","",IFERROR(AVERAGEIFS(nNOTA,nNIA,G66,nCUENTA,1,nASIG,"Conjunto"),"")))</f>
        <v/>
      </c>
      <c r="K66" t="str">
        <f>IF(G66="","",IF(G66="[FÓRMULA MANUAL]","",IFERROR(SUMPRODUCT((nNIA=G66)*(nCUENTA=1)*(COUNTIF(CONFIG_ASIGNATURAS!$B$7:$B$27,nASIG)&gt;0)*(nNOTA))/SUMPRODUCT((nNIA=G66)*(nCUENTA=1)*(COUNTIF(CONFIG_ASIGNATURAS!$B$7:$B$27,nASIG)&gt;0)*1),"")))</f>
        <v/>
      </c>
      <c r="N66" t="str">
        <f>IF(M66="","",IF(M66="[FÓRMULA MANUAL]","",IFERROR(AVERAGEIFS(nNOTA,nNIA,M66,nCUENTA,1,nASIG,"Armonía"),"")))</f>
        <v/>
      </c>
      <c r="O66" t="str">
        <f>IF(M66="","",IF(M66="[FÓRMULA MANUAL]","",IFERROR(AVERAGEIFS(nNOTA,nNIA,M66,nCUENTA,1,nASIG,"Orquesta/Banda/Conjunto"),"")))</f>
        <v/>
      </c>
      <c r="P66" t="str">
        <f>IF(M66="","",IF(M66="[FÓRMULA MANUAL]","",IFERROR(AVERAGEIFS(nNOTA,nNIA,M66,nCUENTA,1,nASIG,"Música de Cámara"),"")))</f>
        <v/>
      </c>
      <c r="Q66" t="str">
        <f>IF(M66="","",IF(M66="[FÓRMULA MANUAL]","",IFERROR(SUMPRODUCT((nNIA=M66)*(nCUENTA=1)*(COUNTIF(CONFIG_ASIGNATURAS!$B$7:$B$27,nASIG)&gt;0)*(nNOTA))/SUMPRODUCT((nNIA=M66)*(nCUENTA=1)*(COUNTIF(CONFIG_ASIGNATURAS!$B$7:$B$27,nASIG)&gt;0)*1),"")))</f>
        <v/>
      </c>
      <c r="T66" t="str">
        <f>IF(S66="","",IF(S66="[FÓRMULA MANUAL]","",IFERROR(AVERAGEIFS(nNOTA,nNIA,S66,nCUENTA,1,nASIG,"Armonía"),"")))</f>
        <v/>
      </c>
      <c r="U66" t="str">
        <f>IF(S66="","",IF(S66="[FÓRMULA MANUAL]","",IFERROR(AVERAGEIFS(nNOTA,nNIA,S66,nCUENTA,1,nASIG,"Orquesta/Banda/Conjunto"),"")))</f>
        <v/>
      </c>
      <c r="V66" t="str">
        <f>IF(S66="","",IF(S66="[FÓRMULA MANUAL]","",IFERROR(AVERAGEIFS(nNOTA,nNIA,S66,nCUENTA,1,nASIG,"Música de Cámara"),"")))</f>
        <v/>
      </c>
      <c r="W66" t="str">
        <f>IF(S66="","",IF(S66="[FÓRMULA MANUAL]","",IFERROR(SUMPRODUCT((nNIA=S66)*(nCUENTA=1)*(COUNTIF(CONFIG_ASIGNATURAS!$B$7:$B$27,nASIG)&gt;0)*(nNOTA))/SUMPRODUCT((nNIA=S66)*(nCUENTA=1)*(COUNTIF(CONFIG_ASIGNATURAS!$B$7:$B$27,nASIG)&gt;0)*1),"")))</f>
        <v/>
      </c>
      <c r="Z66" t="str">
        <f>IF(Y66="","",IF(Y66="[FÓRMULA MANUAL]","",IFERROR(AVERAGEIFS(nNOTA,nNIA,Y66,nCUENTA,1,nASIG,"Análisis"),"")))</f>
        <v/>
      </c>
      <c r="AA66" t="str">
        <f>IF(Y66="","",IF(Y66="[FÓRMULA MANUAL]","",IFERROR(AVERAGEIFS(nNOTA,nNIA,Y66,nCUENTA,1,nASIG,"Orquesta/Banda/Conjunto"),"")))</f>
        <v/>
      </c>
      <c r="AB66" t="str">
        <f>IF(Y66="","",IF(Y66="[FÓRMULA MANUAL]","",IFERROR(AVERAGEIFS(nNOTA,nNIA,Y66,nCUENTA,1,nASIG,"Música de Cámara"),"")))</f>
        <v/>
      </c>
      <c r="AC66" t="str">
        <f>IF(Y66="","",IF(Y66="[FÓRMULA MANUAL]","",IFERROR(SUMPRODUCT((nNIA=Y66)*(nCUENTA=1)*(COUNTIF(CONFIG_ASIGNATURAS!$B$7:$B$27,nASIG)&gt;0)*(nNOTA))/SUMPRODUCT((nNIA=Y66)*(nCUENTA=1)*(COUNTIF(CONFIG_ASIGNATURAS!$B$7:$B$27,nASIG)&gt;0)*1),"")))</f>
        <v/>
      </c>
      <c r="AF66" t="str">
        <f>IF(AE66="","",IF(AE66="[FÓRMULA MANUAL]","",IFERROR(AVERAGEIFS(nNOTA,nNIA,AE66,nCUENTA,1,nASIG,"Análisis"),"")))</f>
        <v/>
      </c>
      <c r="AG66" t="str">
        <f>IF(AE66="","",IF(AE66="[FÓRMULA MANUAL]","",IFERROR(AVERAGEIFS(nNOTA,nNIA,AE66,nCUENTA,1,nASIG,"Orquesta/Banda/Conjunto"),"")))</f>
        <v/>
      </c>
      <c r="AH66" t="str">
        <f>IF(AE66="","",IF(AE66="[FÓRMULA MANUAL]","",IFERROR(AVERAGEIFS(nNOTA,nNIA,AE66,nCUENTA,1,nASIG,"Música de Cámara"),"")))</f>
        <v/>
      </c>
      <c r="AI66" t="str">
        <f>IF(AE66="","",IF(AE66="[FÓRMULA MANUAL]","",IFERROR(SUMPRODUCT((nNIA=AE66)*(nCUENTA=1)*(COUNTIF(CONFIG_ASIGNATURAS!$B$7:$B$27,nASIG)&gt;0)*(nNOTA))/SUMPRODUCT((nNIA=AE66)*(nCUENTA=1)*(COUNTIF(CONFIG_ASIGNATURAS!$B$7:$B$27,nASIG)&gt;0)*1),"")))</f>
        <v/>
      </c>
    </row>
    <row r="67" spans="2:35" x14ac:dyDescent="0.2">
      <c r="B67" t="str">
        <f>IF(A67="","",IF(A67="[FÓRMULA MANUAL]","",IFERROR(AVERAGEIFS(nNOTA,nNIA,A67,nCUENTA,1,nASIG,"Lenguaje Musical"),"")))</f>
        <v/>
      </c>
      <c r="C67" t="str">
        <f>IF(A67="","",IF(A67="[FÓRMULA MANUAL]","",IFERROR(AVERAGEIFS(nNOTA,nNIA,A67,nCUENTA,1,nASIG,"Orquesta/Banda/Conjunto"),"")))</f>
        <v/>
      </c>
      <c r="D67" t="str">
        <f>IF(A67="","",IF(A67="[FÓRMULA MANUAL]","",IFERROR(AVERAGEIFS(nNOTA,nNIA,A67,nCUENTA,1,nASIG,"Conjunto"),"")))</f>
        <v/>
      </c>
      <c r="E67" t="str">
        <f>IF(A67="","",IF(A67="[FÓRMULA MANUAL]","",IFERROR(SUMPRODUCT((nNIA=A67)*(nCUENTA=1)*(COUNTIF(CONFIG_ASIGNATURAS!$B$7:$B$27,nASIG)&gt;0)*(nNOTA))/SUMPRODUCT((nNIA=A67)*(nCUENTA=1)*(COUNTIF(CONFIG_ASIGNATURAS!$B$7:$B$27,nASIG)&gt;0)*1),"")))</f>
        <v/>
      </c>
      <c r="H67" t="str">
        <f>IF(G67="","",IF(G67="[FÓRMULA MANUAL]","",IFERROR(AVERAGEIFS(nNOTA,nNIA,G67,nCUENTA,1,nASIG,"Lenguaje Musical"),"")))</f>
        <v/>
      </c>
      <c r="I67" t="str">
        <f>IF(G67="","",IF(G67="[FÓRMULA MANUAL]","",IFERROR(AVERAGEIFS(nNOTA,nNIA,G67,nCUENTA,1,nASIG,"Orquesta/Banda/Conjunto"),"")))</f>
        <v/>
      </c>
      <c r="J67" t="str">
        <f>IF(G67="","",IF(G67="[FÓRMULA MANUAL]","",IFERROR(AVERAGEIFS(nNOTA,nNIA,G67,nCUENTA,1,nASIG,"Conjunto"),"")))</f>
        <v/>
      </c>
      <c r="K67" t="str">
        <f>IF(G67="","",IF(G67="[FÓRMULA MANUAL]","",IFERROR(SUMPRODUCT((nNIA=G67)*(nCUENTA=1)*(COUNTIF(CONFIG_ASIGNATURAS!$B$7:$B$27,nASIG)&gt;0)*(nNOTA))/SUMPRODUCT((nNIA=G67)*(nCUENTA=1)*(COUNTIF(CONFIG_ASIGNATURAS!$B$7:$B$27,nASIG)&gt;0)*1),"")))</f>
        <v/>
      </c>
      <c r="N67" t="str">
        <f>IF(M67="","",IF(M67="[FÓRMULA MANUAL]","",IFERROR(AVERAGEIFS(nNOTA,nNIA,M67,nCUENTA,1,nASIG,"Armonía"),"")))</f>
        <v/>
      </c>
      <c r="O67" t="str">
        <f>IF(M67="","",IF(M67="[FÓRMULA MANUAL]","",IFERROR(AVERAGEIFS(nNOTA,nNIA,M67,nCUENTA,1,nASIG,"Orquesta/Banda/Conjunto"),"")))</f>
        <v/>
      </c>
      <c r="P67" t="str">
        <f>IF(M67="","",IF(M67="[FÓRMULA MANUAL]","",IFERROR(AVERAGEIFS(nNOTA,nNIA,M67,nCUENTA,1,nASIG,"Música de Cámara"),"")))</f>
        <v/>
      </c>
      <c r="Q67" t="str">
        <f>IF(M67="","",IF(M67="[FÓRMULA MANUAL]","",IFERROR(SUMPRODUCT((nNIA=M67)*(nCUENTA=1)*(COUNTIF(CONFIG_ASIGNATURAS!$B$7:$B$27,nASIG)&gt;0)*(nNOTA))/SUMPRODUCT((nNIA=M67)*(nCUENTA=1)*(COUNTIF(CONFIG_ASIGNATURAS!$B$7:$B$27,nASIG)&gt;0)*1),"")))</f>
        <v/>
      </c>
      <c r="T67" t="str">
        <f>IF(S67="","",IF(S67="[FÓRMULA MANUAL]","",IFERROR(AVERAGEIFS(nNOTA,nNIA,S67,nCUENTA,1,nASIG,"Armonía"),"")))</f>
        <v/>
      </c>
      <c r="U67" t="str">
        <f>IF(S67="","",IF(S67="[FÓRMULA MANUAL]","",IFERROR(AVERAGEIFS(nNOTA,nNIA,S67,nCUENTA,1,nASIG,"Orquesta/Banda/Conjunto"),"")))</f>
        <v/>
      </c>
      <c r="V67" t="str">
        <f>IF(S67="","",IF(S67="[FÓRMULA MANUAL]","",IFERROR(AVERAGEIFS(nNOTA,nNIA,S67,nCUENTA,1,nASIG,"Música de Cámara"),"")))</f>
        <v/>
      </c>
      <c r="W67" t="str">
        <f>IF(S67="","",IF(S67="[FÓRMULA MANUAL]","",IFERROR(SUMPRODUCT((nNIA=S67)*(nCUENTA=1)*(COUNTIF(CONFIG_ASIGNATURAS!$B$7:$B$27,nASIG)&gt;0)*(nNOTA))/SUMPRODUCT((nNIA=S67)*(nCUENTA=1)*(COUNTIF(CONFIG_ASIGNATURAS!$B$7:$B$27,nASIG)&gt;0)*1),"")))</f>
        <v/>
      </c>
      <c r="Z67" t="str">
        <f>IF(Y67="","",IF(Y67="[FÓRMULA MANUAL]","",IFERROR(AVERAGEIFS(nNOTA,nNIA,Y67,nCUENTA,1,nASIG,"Análisis"),"")))</f>
        <v/>
      </c>
      <c r="AA67" t="str">
        <f>IF(Y67="","",IF(Y67="[FÓRMULA MANUAL]","",IFERROR(AVERAGEIFS(nNOTA,nNIA,Y67,nCUENTA,1,nASIG,"Orquesta/Banda/Conjunto"),"")))</f>
        <v/>
      </c>
      <c r="AB67" t="str">
        <f>IF(Y67="","",IF(Y67="[FÓRMULA MANUAL]","",IFERROR(AVERAGEIFS(nNOTA,nNIA,Y67,nCUENTA,1,nASIG,"Música de Cámara"),"")))</f>
        <v/>
      </c>
      <c r="AC67" t="str">
        <f>IF(Y67="","",IF(Y67="[FÓRMULA MANUAL]","",IFERROR(SUMPRODUCT((nNIA=Y67)*(nCUENTA=1)*(COUNTIF(CONFIG_ASIGNATURAS!$B$7:$B$27,nASIG)&gt;0)*(nNOTA))/SUMPRODUCT((nNIA=Y67)*(nCUENTA=1)*(COUNTIF(CONFIG_ASIGNATURAS!$B$7:$B$27,nASIG)&gt;0)*1),"")))</f>
        <v/>
      </c>
      <c r="AF67" t="str">
        <f>IF(AE67="","",IF(AE67="[FÓRMULA MANUAL]","",IFERROR(AVERAGEIFS(nNOTA,nNIA,AE67,nCUENTA,1,nASIG,"Análisis"),"")))</f>
        <v/>
      </c>
      <c r="AG67" t="str">
        <f>IF(AE67="","",IF(AE67="[FÓRMULA MANUAL]","",IFERROR(AVERAGEIFS(nNOTA,nNIA,AE67,nCUENTA,1,nASIG,"Orquesta/Banda/Conjunto"),"")))</f>
        <v/>
      </c>
      <c r="AH67" t="str">
        <f>IF(AE67="","",IF(AE67="[FÓRMULA MANUAL]","",IFERROR(AVERAGEIFS(nNOTA,nNIA,AE67,nCUENTA,1,nASIG,"Música de Cámara"),"")))</f>
        <v/>
      </c>
      <c r="AI67" t="str">
        <f>IF(AE67="","",IF(AE67="[FÓRMULA MANUAL]","",IFERROR(SUMPRODUCT((nNIA=AE67)*(nCUENTA=1)*(COUNTIF(CONFIG_ASIGNATURAS!$B$7:$B$27,nASIG)&gt;0)*(nNOTA))/SUMPRODUCT((nNIA=AE67)*(nCUENTA=1)*(COUNTIF(CONFIG_ASIGNATURAS!$B$7:$B$27,nASIG)&gt;0)*1),"")))</f>
        <v/>
      </c>
    </row>
    <row r="68" spans="2:35" x14ac:dyDescent="0.2">
      <c r="B68" t="str">
        <f>IF(A68="","",IF(A68="[FÓRMULA MANUAL]","",IFERROR(AVERAGEIFS(nNOTA,nNIA,A68,nCUENTA,1,nASIG,"Lenguaje Musical"),"")))</f>
        <v/>
      </c>
      <c r="C68" t="str">
        <f>IF(A68="","",IF(A68="[FÓRMULA MANUAL]","",IFERROR(AVERAGEIFS(nNOTA,nNIA,A68,nCUENTA,1,nASIG,"Orquesta/Banda/Conjunto"),"")))</f>
        <v/>
      </c>
      <c r="D68" t="str">
        <f>IF(A68="","",IF(A68="[FÓRMULA MANUAL]","",IFERROR(AVERAGEIFS(nNOTA,nNIA,A68,nCUENTA,1,nASIG,"Conjunto"),"")))</f>
        <v/>
      </c>
      <c r="E68" t="str">
        <f>IF(A68="","",IF(A68="[FÓRMULA MANUAL]","",IFERROR(SUMPRODUCT((nNIA=A68)*(nCUENTA=1)*(COUNTIF(CONFIG_ASIGNATURAS!$B$7:$B$27,nASIG)&gt;0)*(nNOTA))/SUMPRODUCT((nNIA=A68)*(nCUENTA=1)*(COUNTIF(CONFIG_ASIGNATURAS!$B$7:$B$27,nASIG)&gt;0)*1),"")))</f>
        <v/>
      </c>
      <c r="H68" t="str">
        <f>IF(G68="","",IF(G68="[FÓRMULA MANUAL]","",IFERROR(AVERAGEIFS(nNOTA,nNIA,G68,nCUENTA,1,nASIG,"Lenguaje Musical"),"")))</f>
        <v/>
      </c>
      <c r="I68" t="str">
        <f>IF(G68="","",IF(G68="[FÓRMULA MANUAL]","",IFERROR(AVERAGEIFS(nNOTA,nNIA,G68,nCUENTA,1,nASIG,"Orquesta/Banda/Conjunto"),"")))</f>
        <v/>
      </c>
      <c r="J68" t="str">
        <f>IF(G68="","",IF(G68="[FÓRMULA MANUAL]","",IFERROR(AVERAGEIFS(nNOTA,nNIA,G68,nCUENTA,1,nASIG,"Conjunto"),"")))</f>
        <v/>
      </c>
      <c r="K68" t="str">
        <f>IF(G68="","",IF(G68="[FÓRMULA MANUAL]","",IFERROR(SUMPRODUCT((nNIA=G68)*(nCUENTA=1)*(COUNTIF(CONFIG_ASIGNATURAS!$B$7:$B$27,nASIG)&gt;0)*(nNOTA))/SUMPRODUCT((nNIA=G68)*(nCUENTA=1)*(COUNTIF(CONFIG_ASIGNATURAS!$B$7:$B$27,nASIG)&gt;0)*1),"")))</f>
        <v/>
      </c>
      <c r="N68" t="str">
        <f>IF(M68="","",IF(M68="[FÓRMULA MANUAL]","",IFERROR(AVERAGEIFS(nNOTA,nNIA,M68,nCUENTA,1,nASIG,"Armonía"),"")))</f>
        <v/>
      </c>
      <c r="O68" t="str">
        <f>IF(M68="","",IF(M68="[FÓRMULA MANUAL]","",IFERROR(AVERAGEIFS(nNOTA,nNIA,M68,nCUENTA,1,nASIG,"Orquesta/Banda/Conjunto"),"")))</f>
        <v/>
      </c>
      <c r="P68" t="str">
        <f>IF(M68="","",IF(M68="[FÓRMULA MANUAL]","",IFERROR(AVERAGEIFS(nNOTA,nNIA,M68,nCUENTA,1,nASIG,"Música de Cámara"),"")))</f>
        <v/>
      </c>
      <c r="Q68" t="str">
        <f>IF(M68="","",IF(M68="[FÓRMULA MANUAL]","",IFERROR(SUMPRODUCT((nNIA=M68)*(nCUENTA=1)*(COUNTIF(CONFIG_ASIGNATURAS!$B$7:$B$27,nASIG)&gt;0)*(nNOTA))/SUMPRODUCT((nNIA=M68)*(nCUENTA=1)*(COUNTIF(CONFIG_ASIGNATURAS!$B$7:$B$27,nASIG)&gt;0)*1),"")))</f>
        <v/>
      </c>
      <c r="T68" t="str">
        <f>IF(S68="","",IF(S68="[FÓRMULA MANUAL]","",IFERROR(AVERAGEIFS(nNOTA,nNIA,S68,nCUENTA,1,nASIG,"Armonía"),"")))</f>
        <v/>
      </c>
      <c r="U68" t="str">
        <f>IF(S68="","",IF(S68="[FÓRMULA MANUAL]","",IFERROR(AVERAGEIFS(nNOTA,nNIA,S68,nCUENTA,1,nASIG,"Orquesta/Banda/Conjunto"),"")))</f>
        <v/>
      </c>
      <c r="V68" t="str">
        <f>IF(S68="","",IF(S68="[FÓRMULA MANUAL]","",IFERROR(AVERAGEIFS(nNOTA,nNIA,S68,nCUENTA,1,nASIG,"Música de Cámara"),"")))</f>
        <v/>
      </c>
      <c r="W68" t="str">
        <f>IF(S68="","",IF(S68="[FÓRMULA MANUAL]","",IFERROR(SUMPRODUCT((nNIA=S68)*(nCUENTA=1)*(COUNTIF(CONFIG_ASIGNATURAS!$B$7:$B$27,nASIG)&gt;0)*(nNOTA))/SUMPRODUCT((nNIA=S68)*(nCUENTA=1)*(COUNTIF(CONFIG_ASIGNATURAS!$B$7:$B$27,nASIG)&gt;0)*1),"")))</f>
        <v/>
      </c>
      <c r="Z68" t="str">
        <f>IF(Y68="","",IF(Y68="[FÓRMULA MANUAL]","",IFERROR(AVERAGEIFS(nNOTA,nNIA,Y68,nCUENTA,1,nASIG,"Análisis"),"")))</f>
        <v/>
      </c>
      <c r="AA68" t="str">
        <f>IF(Y68="","",IF(Y68="[FÓRMULA MANUAL]","",IFERROR(AVERAGEIFS(nNOTA,nNIA,Y68,nCUENTA,1,nASIG,"Orquesta/Banda/Conjunto"),"")))</f>
        <v/>
      </c>
      <c r="AB68" t="str">
        <f>IF(Y68="","",IF(Y68="[FÓRMULA MANUAL]","",IFERROR(AVERAGEIFS(nNOTA,nNIA,Y68,nCUENTA,1,nASIG,"Música de Cámara"),"")))</f>
        <v/>
      </c>
      <c r="AC68" t="str">
        <f>IF(Y68="","",IF(Y68="[FÓRMULA MANUAL]","",IFERROR(SUMPRODUCT((nNIA=Y68)*(nCUENTA=1)*(COUNTIF(CONFIG_ASIGNATURAS!$B$7:$B$27,nASIG)&gt;0)*(nNOTA))/SUMPRODUCT((nNIA=Y68)*(nCUENTA=1)*(COUNTIF(CONFIG_ASIGNATURAS!$B$7:$B$27,nASIG)&gt;0)*1),"")))</f>
        <v/>
      </c>
      <c r="AF68" t="str">
        <f>IF(AE68="","",IF(AE68="[FÓRMULA MANUAL]","",IFERROR(AVERAGEIFS(nNOTA,nNIA,AE68,nCUENTA,1,nASIG,"Análisis"),"")))</f>
        <v/>
      </c>
      <c r="AG68" t="str">
        <f>IF(AE68="","",IF(AE68="[FÓRMULA MANUAL]","",IFERROR(AVERAGEIFS(nNOTA,nNIA,AE68,nCUENTA,1,nASIG,"Orquesta/Banda/Conjunto"),"")))</f>
        <v/>
      </c>
      <c r="AH68" t="str">
        <f>IF(AE68="","",IF(AE68="[FÓRMULA MANUAL]","",IFERROR(AVERAGEIFS(nNOTA,nNIA,AE68,nCUENTA,1,nASIG,"Música de Cámara"),"")))</f>
        <v/>
      </c>
      <c r="AI68" t="str">
        <f>IF(AE68="","",IF(AE68="[FÓRMULA MANUAL]","",IFERROR(SUMPRODUCT((nNIA=AE68)*(nCUENTA=1)*(COUNTIF(CONFIG_ASIGNATURAS!$B$7:$B$27,nASIG)&gt;0)*(nNOTA))/SUMPRODUCT((nNIA=AE68)*(nCUENTA=1)*(COUNTIF(CONFIG_ASIGNATURAS!$B$7:$B$27,nASIG)&gt;0)*1),"")))</f>
        <v/>
      </c>
    </row>
    <row r="69" spans="2:35" x14ac:dyDescent="0.2">
      <c r="B69" t="str">
        <f>IF(A69="","",IF(A69="[FÓRMULA MANUAL]","",IFERROR(AVERAGEIFS(nNOTA,nNIA,A69,nCUENTA,1,nASIG,"Lenguaje Musical"),"")))</f>
        <v/>
      </c>
      <c r="C69" t="str">
        <f>IF(A69="","",IF(A69="[FÓRMULA MANUAL]","",IFERROR(AVERAGEIFS(nNOTA,nNIA,A69,nCUENTA,1,nASIG,"Orquesta/Banda/Conjunto"),"")))</f>
        <v/>
      </c>
      <c r="D69" t="str">
        <f>IF(A69="","",IF(A69="[FÓRMULA MANUAL]","",IFERROR(AVERAGEIFS(nNOTA,nNIA,A69,nCUENTA,1,nASIG,"Conjunto"),"")))</f>
        <v/>
      </c>
      <c r="E69" t="str">
        <f>IF(A69="","",IF(A69="[FÓRMULA MANUAL]","",IFERROR(SUMPRODUCT((nNIA=A69)*(nCUENTA=1)*(COUNTIF(CONFIG_ASIGNATURAS!$B$7:$B$27,nASIG)&gt;0)*(nNOTA))/SUMPRODUCT((nNIA=A69)*(nCUENTA=1)*(COUNTIF(CONFIG_ASIGNATURAS!$B$7:$B$27,nASIG)&gt;0)*1),"")))</f>
        <v/>
      </c>
      <c r="H69" t="str">
        <f>IF(G69="","",IF(G69="[FÓRMULA MANUAL]","",IFERROR(AVERAGEIFS(nNOTA,nNIA,G69,nCUENTA,1,nASIG,"Lenguaje Musical"),"")))</f>
        <v/>
      </c>
      <c r="I69" t="str">
        <f>IF(G69="","",IF(G69="[FÓRMULA MANUAL]","",IFERROR(AVERAGEIFS(nNOTA,nNIA,G69,nCUENTA,1,nASIG,"Orquesta/Banda/Conjunto"),"")))</f>
        <v/>
      </c>
      <c r="J69" t="str">
        <f>IF(G69="","",IF(G69="[FÓRMULA MANUAL]","",IFERROR(AVERAGEIFS(nNOTA,nNIA,G69,nCUENTA,1,nASIG,"Conjunto"),"")))</f>
        <v/>
      </c>
      <c r="K69" t="str">
        <f>IF(G69="","",IF(G69="[FÓRMULA MANUAL]","",IFERROR(SUMPRODUCT((nNIA=G69)*(nCUENTA=1)*(COUNTIF(CONFIG_ASIGNATURAS!$B$7:$B$27,nASIG)&gt;0)*(nNOTA))/SUMPRODUCT((nNIA=G69)*(nCUENTA=1)*(COUNTIF(CONFIG_ASIGNATURAS!$B$7:$B$27,nASIG)&gt;0)*1),"")))</f>
        <v/>
      </c>
      <c r="N69" t="str">
        <f>IF(M69="","",IF(M69="[FÓRMULA MANUAL]","",IFERROR(AVERAGEIFS(nNOTA,nNIA,M69,nCUENTA,1,nASIG,"Armonía"),"")))</f>
        <v/>
      </c>
      <c r="O69" t="str">
        <f>IF(M69="","",IF(M69="[FÓRMULA MANUAL]","",IFERROR(AVERAGEIFS(nNOTA,nNIA,M69,nCUENTA,1,nASIG,"Orquesta/Banda/Conjunto"),"")))</f>
        <v/>
      </c>
      <c r="P69" t="str">
        <f>IF(M69="","",IF(M69="[FÓRMULA MANUAL]","",IFERROR(AVERAGEIFS(nNOTA,nNIA,M69,nCUENTA,1,nASIG,"Música de Cámara"),"")))</f>
        <v/>
      </c>
      <c r="Q69" t="str">
        <f>IF(M69="","",IF(M69="[FÓRMULA MANUAL]","",IFERROR(SUMPRODUCT((nNIA=M69)*(nCUENTA=1)*(COUNTIF(CONFIG_ASIGNATURAS!$B$7:$B$27,nASIG)&gt;0)*(nNOTA))/SUMPRODUCT((nNIA=M69)*(nCUENTA=1)*(COUNTIF(CONFIG_ASIGNATURAS!$B$7:$B$27,nASIG)&gt;0)*1),"")))</f>
        <v/>
      </c>
      <c r="T69" t="str">
        <f>IF(S69="","",IF(S69="[FÓRMULA MANUAL]","",IFERROR(AVERAGEIFS(nNOTA,nNIA,S69,nCUENTA,1,nASIG,"Armonía"),"")))</f>
        <v/>
      </c>
      <c r="U69" t="str">
        <f>IF(S69="","",IF(S69="[FÓRMULA MANUAL]","",IFERROR(AVERAGEIFS(nNOTA,nNIA,S69,nCUENTA,1,nASIG,"Orquesta/Banda/Conjunto"),"")))</f>
        <v/>
      </c>
      <c r="V69" t="str">
        <f>IF(S69="","",IF(S69="[FÓRMULA MANUAL]","",IFERROR(AVERAGEIFS(nNOTA,nNIA,S69,nCUENTA,1,nASIG,"Música de Cámara"),"")))</f>
        <v/>
      </c>
      <c r="W69" t="str">
        <f>IF(S69="","",IF(S69="[FÓRMULA MANUAL]","",IFERROR(SUMPRODUCT((nNIA=S69)*(nCUENTA=1)*(COUNTIF(CONFIG_ASIGNATURAS!$B$7:$B$27,nASIG)&gt;0)*(nNOTA))/SUMPRODUCT((nNIA=S69)*(nCUENTA=1)*(COUNTIF(CONFIG_ASIGNATURAS!$B$7:$B$27,nASIG)&gt;0)*1),"")))</f>
        <v/>
      </c>
      <c r="Z69" t="str">
        <f>IF(Y69="","",IF(Y69="[FÓRMULA MANUAL]","",IFERROR(AVERAGEIFS(nNOTA,nNIA,Y69,nCUENTA,1,nASIG,"Análisis"),"")))</f>
        <v/>
      </c>
      <c r="AA69" t="str">
        <f>IF(Y69="","",IF(Y69="[FÓRMULA MANUAL]","",IFERROR(AVERAGEIFS(nNOTA,nNIA,Y69,nCUENTA,1,nASIG,"Orquesta/Banda/Conjunto"),"")))</f>
        <v/>
      </c>
      <c r="AB69" t="str">
        <f>IF(Y69="","",IF(Y69="[FÓRMULA MANUAL]","",IFERROR(AVERAGEIFS(nNOTA,nNIA,Y69,nCUENTA,1,nASIG,"Música de Cámara"),"")))</f>
        <v/>
      </c>
      <c r="AC69" t="str">
        <f>IF(Y69="","",IF(Y69="[FÓRMULA MANUAL]","",IFERROR(SUMPRODUCT((nNIA=Y69)*(nCUENTA=1)*(COUNTIF(CONFIG_ASIGNATURAS!$B$7:$B$27,nASIG)&gt;0)*(nNOTA))/SUMPRODUCT((nNIA=Y69)*(nCUENTA=1)*(COUNTIF(CONFIG_ASIGNATURAS!$B$7:$B$27,nASIG)&gt;0)*1),"")))</f>
        <v/>
      </c>
      <c r="AF69" t="str">
        <f>IF(AE69="","",IF(AE69="[FÓRMULA MANUAL]","",IFERROR(AVERAGEIFS(nNOTA,nNIA,AE69,nCUENTA,1,nASIG,"Análisis"),"")))</f>
        <v/>
      </c>
      <c r="AG69" t="str">
        <f>IF(AE69="","",IF(AE69="[FÓRMULA MANUAL]","",IFERROR(AVERAGEIFS(nNOTA,nNIA,AE69,nCUENTA,1,nASIG,"Orquesta/Banda/Conjunto"),"")))</f>
        <v/>
      </c>
      <c r="AH69" t="str">
        <f>IF(AE69="","",IF(AE69="[FÓRMULA MANUAL]","",IFERROR(AVERAGEIFS(nNOTA,nNIA,AE69,nCUENTA,1,nASIG,"Música de Cámara"),"")))</f>
        <v/>
      </c>
      <c r="AI69" t="str">
        <f>IF(AE69="","",IF(AE69="[FÓRMULA MANUAL]","",IFERROR(SUMPRODUCT((nNIA=AE69)*(nCUENTA=1)*(COUNTIF(CONFIG_ASIGNATURAS!$B$7:$B$27,nASIG)&gt;0)*(nNOTA))/SUMPRODUCT((nNIA=AE69)*(nCUENTA=1)*(COUNTIF(CONFIG_ASIGNATURAS!$B$7:$B$27,nASIG)&gt;0)*1),"")))</f>
        <v/>
      </c>
    </row>
    <row r="70" spans="2:35" x14ac:dyDescent="0.2">
      <c r="B70" t="str">
        <f>IF(A70="","",IF(A70="[FÓRMULA MANUAL]","",IFERROR(AVERAGEIFS(nNOTA,nNIA,A70,nCUENTA,1,nASIG,"Lenguaje Musical"),"")))</f>
        <v/>
      </c>
      <c r="C70" t="str">
        <f>IF(A70="","",IF(A70="[FÓRMULA MANUAL]","",IFERROR(AVERAGEIFS(nNOTA,nNIA,A70,nCUENTA,1,nASIG,"Orquesta/Banda/Conjunto"),"")))</f>
        <v/>
      </c>
      <c r="D70" t="str">
        <f>IF(A70="","",IF(A70="[FÓRMULA MANUAL]","",IFERROR(AVERAGEIFS(nNOTA,nNIA,A70,nCUENTA,1,nASIG,"Conjunto"),"")))</f>
        <v/>
      </c>
      <c r="E70" t="str">
        <f>IF(A70="","",IF(A70="[FÓRMULA MANUAL]","",IFERROR(SUMPRODUCT((nNIA=A70)*(nCUENTA=1)*(COUNTIF(CONFIG_ASIGNATURAS!$B$7:$B$27,nASIG)&gt;0)*(nNOTA))/SUMPRODUCT((nNIA=A70)*(nCUENTA=1)*(COUNTIF(CONFIG_ASIGNATURAS!$B$7:$B$27,nASIG)&gt;0)*1),"")))</f>
        <v/>
      </c>
      <c r="H70" t="str">
        <f>IF(G70="","",IF(G70="[FÓRMULA MANUAL]","",IFERROR(AVERAGEIFS(nNOTA,nNIA,G70,nCUENTA,1,nASIG,"Lenguaje Musical"),"")))</f>
        <v/>
      </c>
      <c r="I70" t="str">
        <f>IF(G70="","",IF(G70="[FÓRMULA MANUAL]","",IFERROR(AVERAGEIFS(nNOTA,nNIA,G70,nCUENTA,1,nASIG,"Orquesta/Banda/Conjunto"),"")))</f>
        <v/>
      </c>
      <c r="J70" t="str">
        <f>IF(G70="","",IF(G70="[FÓRMULA MANUAL]","",IFERROR(AVERAGEIFS(nNOTA,nNIA,G70,nCUENTA,1,nASIG,"Conjunto"),"")))</f>
        <v/>
      </c>
      <c r="K70" t="str">
        <f>IF(G70="","",IF(G70="[FÓRMULA MANUAL]","",IFERROR(SUMPRODUCT((nNIA=G70)*(nCUENTA=1)*(COUNTIF(CONFIG_ASIGNATURAS!$B$7:$B$27,nASIG)&gt;0)*(nNOTA))/SUMPRODUCT((nNIA=G70)*(nCUENTA=1)*(COUNTIF(CONFIG_ASIGNATURAS!$B$7:$B$27,nASIG)&gt;0)*1),"")))</f>
        <v/>
      </c>
      <c r="N70" t="str">
        <f>IF(M70="","",IF(M70="[FÓRMULA MANUAL]","",IFERROR(AVERAGEIFS(nNOTA,nNIA,M70,nCUENTA,1,nASIG,"Armonía"),"")))</f>
        <v/>
      </c>
      <c r="O70" t="str">
        <f>IF(M70="","",IF(M70="[FÓRMULA MANUAL]","",IFERROR(AVERAGEIFS(nNOTA,nNIA,M70,nCUENTA,1,nASIG,"Orquesta/Banda/Conjunto"),"")))</f>
        <v/>
      </c>
      <c r="P70" t="str">
        <f>IF(M70="","",IF(M70="[FÓRMULA MANUAL]","",IFERROR(AVERAGEIFS(nNOTA,nNIA,M70,nCUENTA,1,nASIG,"Música de Cámara"),"")))</f>
        <v/>
      </c>
      <c r="Q70" t="str">
        <f>IF(M70="","",IF(M70="[FÓRMULA MANUAL]","",IFERROR(SUMPRODUCT((nNIA=M70)*(nCUENTA=1)*(COUNTIF(CONFIG_ASIGNATURAS!$B$7:$B$27,nASIG)&gt;0)*(nNOTA))/SUMPRODUCT((nNIA=M70)*(nCUENTA=1)*(COUNTIF(CONFIG_ASIGNATURAS!$B$7:$B$27,nASIG)&gt;0)*1),"")))</f>
        <v/>
      </c>
      <c r="T70" t="str">
        <f>IF(S70="","",IF(S70="[FÓRMULA MANUAL]","",IFERROR(AVERAGEIFS(nNOTA,nNIA,S70,nCUENTA,1,nASIG,"Armonía"),"")))</f>
        <v/>
      </c>
      <c r="U70" t="str">
        <f>IF(S70="","",IF(S70="[FÓRMULA MANUAL]","",IFERROR(AVERAGEIFS(nNOTA,nNIA,S70,nCUENTA,1,nASIG,"Orquesta/Banda/Conjunto"),"")))</f>
        <v/>
      </c>
      <c r="V70" t="str">
        <f>IF(S70="","",IF(S70="[FÓRMULA MANUAL]","",IFERROR(AVERAGEIFS(nNOTA,nNIA,S70,nCUENTA,1,nASIG,"Música de Cámara"),"")))</f>
        <v/>
      </c>
      <c r="W70" t="str">
        <f>IF(S70="","",IF(S70="[FÓRMULA MANUAL]","",IFERROR(SUMPRODUCT((nNIA=S70)*(nCUENTA=1)*(COUNTIF(CONFIG_ASIGNATURAS!$B$7:$B$27,nASIG)&gt;0)*(nNOTA))/SUMPRODUCT((nNIA=S70)*(nCUENTA=1)*(COUNTIF(CONFIG_ASIGNATURAS!$B$7:$B$27,nASIG)&gt;0)*1),"")))</f>
        <v/>
      </c>
      <c r="Z70" t="str">
        <f>IF(Y70="","",IF(Y70="[FÓRMULA MANUAL]","",IFERROR(AVERAGEIFS(nNOTA,nNIA,Y70,nCUENTA,1,nASIG,"Análisis"),"")))</f>
        <v/>
      </c>
      <c r="AA70" t="str">
        <f>IF(Y70="","",IF(Y70="[FÓRMULA MANUAL]","",IFERROR(AVERAGEIFS(nNOTA,nNIA,Y70,nCUENTA,1,nASIG,"Orquesta/Banda/Conjunto"),"")))</f>
        <v/>
      </c>
      <c r="AB70" t="str">
        <f>IF(Y70="","",IF(Y70="[FÓRMULA MANUAL]","",IFERROR(AVERAGEIFS(nNOTA,nNIA,Y70,nCUENTA,1,nASIG,"Música de Cámara"),"")))</f>
        <v/>
      </c>
      <c r="AC70" t="str">
        <f>IF(Y70="","",IF(Y70="[FÓRMULA MANUAL]","",IFERROR(SUMPRODUCT((nNIA=Y70)*(nCUENTA=1)*(COUNTIF(CONFIG_ASIGNATURAS!$B$7:$B$27,nASIG)&gt;0)*(nNOTA))/SUMPRODUCT((nNIA=Y70)*(nCUENTA=1)*(COUNTIF(CONFIG_ASIGNATURAS!$B$7:$B$27,nASIG)&gt;0)*1),"")))</f>
        <v/>
      </c>
      <c r="AF70" t="str">
        <f>IF(AE70="","",IF(AE70="[FÓRMULA MANUAL]","",IFERROR(AVERAGEIFS(nNOTA,nNIA,AE70,nCUENTA,1,nASIG,"Análisis"),"")))</f>
        <v/>
      </c>
      <c r="AG70" t="str">
        <f>IF(AE70="","",IF(AE70="[FÓRMULA MANUAL]","",IFERROR(AVERAGEIFS(nNOTA,nNIA,AE70,nCUENTA,1,nASIG,"Orquesta/Banda/Conjunto"),"")))</f>
        <v/>
      </c>
      <c r="AH70" t="str">
        <f>IF(AE70="","",IF(AE70="[FÓRMULA MANUAL]","",IFERROR(AVERAGEIFS(nNOTA,nNIA,AE70,nCUENTA,1,nASIG,"Música de Cámara"),"")))</f>
        <v/>
      </c>
      <c r="AI70" t="str">
        <f>IF(AE70="","",IF(AE70="[FÓRMULA MANUAL]","",IFERROR(SUMPRODUCT((nNIA=AE70)*(nCUENTA=1)*(COUNTIF(CONFIG_ASIGNATURAS!$B$7:$B$27,nASIG)&gt;0)*(nNOTA))/SUMPRODUCT((nNIA=AE70)*(nCUENTA=1)*(COUNTIF(CONFIG_ASIGNATURAS!$B$7:$B$27,nASIG)&gt;0)*1),"")))</f>
        <v/>
      </c>
    </row>
    <row r="71" spans="2:35" x14ac:dyDescent="0.2">
      <c r="B71" t="str">
        <f>IF(A71="","",IF(A71="[FÓRMULA MANUAL]","",IFERROR(AVERAGEIFS(nNOTA,nNIA,A71,nCUENTA,1,nASIG,"Lenguaje Musical"),"")))</f>
        <v/>
      </c>
      <c r="C71" t="str">
        <f>IF(A71="","",IF(A71="[FÓRMULA MANUAL]","",IFERROR(AVERAGEIFS(nNOTA,nNIA,A71,nCUENTA,1,nASIG,"Orquesta/Banda/Conjunto"),"")))</f>
        <v/>
      </c>
      <c r="D71" t="str">
        <f>IF(A71="","",IF(A71="[FÓRMULA MANUAL]","",IFERROR(AVERAGEIFS(nNOTA,nNIA,A71,nCUENTA,1,nASIG,"Conjunto"),"")))</f>
        <v/>
      </c>
      <c r="E71" t="str">
        <f>IF(A71="","",IF(A71="[FÓRMULA MANUAL]","",IFERROR(SUMPRODUCT((nNIA=A71)*(nCUENTA=1)*(COUNTIF(CONFIG_ASIGNATURAS!$B$7:$B$27,nASIG)&gt;0)*(nNOTA))/SUMPRODUCT((nNIA=A71)*(nCUENTA=1)*(COUNTIF(CONFIG_ASIGNATURAS!$B$7:$B$27,nASIG)&gt;0)*1),"")))</f>
        <v/>
      </c>
      <c r="H71" t="str">
        <f>IF(G71="","",IF(G71="[FÓRMULA MANUAL]","",IFERROR(AVERAGEIFS(nNOTA,nNIA,G71,nCUENTA,1,nASIG,"Lenguaje Musical"),"")))</f>
        <v/>
      </c>
      <c r="I71" t="str">
        <f>IF(G71="","",IF(G71="[FÓRMULA MANUAL]","",IFERROR(AVERAGEIFS(nNOTA,nNIA,G71,nCUENTA,1,nASIG,"Orquesta/Banda/Conjunto"),"")))</f>
        <v/>
      </c>
      <c r="J71" t="str">
        <f>IF(G71="","",IF(G71="[FÓRMULA MANUAL]","",IFERROR(AVERAGEIFS(nNOTA,nNIA,G71,nCUENTA,1,nASIG,"Conjunto"),"")))</f>
        <v/>
      </c>
      <c r="K71" t="str">
        <f>IF(G71="","",IF(G71="[FÓRMULA MANUAL]","",IFERROR(SUMPRODUCT((nNIA=G71)*(nCUENTA=1)*(COUNTIF(CONFIG_ASIGNATURAS!$B$7:$B$27,nASIG)&gt;0)*(nNOTA))/SUMPRODUCT((nNIA=G71)*(nCUENTA=1)*(COUNTIF(CONFIG_ASIGNATURAS!$B$7:$B$27,nASIG)&gt;0)*1),"")))</f>
        <v/>
      </c>
      <c r="N71" t="str">
        <f>IF(M71="","",IF(M71="[FÓRMULA MANUAL]","",IFERROR(AVERAGEIFS(nNOTA,nNIA,M71,nCUENTA,1,nASIG,"Armonía"),"")))</f>
        <v/>
      </c>
      <c r="O71" t="str">
        <f>IF(M71="","",IF(M71="[FÓRMULA MANUAL]","",IFERROR(AVERAGEIFS(nNOTA,nNIA,M71,nCUENTA,1,nASIG,"Orquesta/Banda/Conjunto"),"")))</f>
        <v/>
      </c>
      <c r="P71" t="str">
        <f>IF(M71="","",IF(M71="[FÓRMULA MANUAL]","",IFERROR(AVERAGEIFS(nNOTA,nNIA,M71,nCUENTA,1,nASIG,"Música de Cámara"),"")))</f>
        <v/>
      </c>
      <c r="Q71" t="str">
        <f>IF(M71="","",IF(M71="[FÓRMULA MANUAL]","",IFERROR(SUMPRODUCT((nNIA=M71)*(nCUENTA=1)*(COUNTIF(CONFIG_ASIGNATURAS!$B$7:$B$27,nASIG)&gt;0)*(nNOTA))/SUMPRODUCT((nNIA=M71)*(nCUENTA=1)*(COUNTIF(CONFIG_ASIGNATURAS!$B$7:$B$27,nASIG)&gt;0)*1),"")))</f>
        <v/>
      </c>
      <c r="T71" t="str">
        <f>IF(S71="","",IF(S71="[FÓRMULA MANUAL]","",IFERROR(AVERAGEIFS(nNOTA,nNIA,S71,nCUENTA,1,nASIG,"Armonía"),"")))</f>
        <v/>
      </c>
      <c r="U71" t="str">
        <f>IF(S71="","",IF(S71="[FÓRMULA MANUAL]","",IFERROR(AVERAGEIFS(nNOTA,nNIA,S71,nCUENTA,1,nASIG,"Orquesta/Banda/Conjunto"),"")))</f>
        <v/>
      </c>
      <c r="V71" t="str">
        <f>IF(S71="","",IF(S71="[FÓRMULA MANUAL]","",IFERROR(AVERAGEIFS(nNOTA,nNIA,S71,nCUENTA,1,nASIG,"Música de Cámara"),"")))</f>
        <v/>
      </c>
      <c r="W71" t="str">
        <f>IF(S71="","",IF(S71="[FÓRMULA MANUAL]","",IFERROR(SUMPRODUCT((nNIA=S71)*(nCUENTA=1)*(COUNTIF(CONFIG_ASIGNATURAS!$B$7:$B$27,nASIG)&gt;0)*(nNOTA))/SUMPRODUCT((nNIA=S71)*(nCUENTA=1)*(COUNTIF(CONFIG_ASIGNATURAS!$B$7:$B$27,nASIG)&gt;0)*1),"")))</f>
        <v/>
      </c>
      <c r="Z71" t="str">
        <f>IF(Y71="","",IF(Y71="[FÓRMULA MANUAL]","",IFERROR(AVERAGEIFS(nNOTA,nNIA,Y71,nCUENTA,1,nASIG,"Análisis"),"")))</f>
        <v/>
      </c>
      <c r="AA71" t="str">
        <f>IF(Y71="","",IF(Y71="[FÓRMULA MANUAL]","",IFERROR(AVERAGEIFS(nNOTA,nNIA,Y71,nCUENTA,1,nASIG,"Orquesta/Banda/Conjunto"),"")))</f>
        <v/>
      </c>
      <c r="AB71" t="str">
        <f>IF(Y71="","",IF(Y71="[FÓRMULA MANUAL]","",IFERROR(AVERAGEIFS(nNOTA,nNIA,Y71,nCUENTA,1,nASIG,"Música de Cámara"),"")))</f>
        <v/>
      </c>
      <c r="AC71" t="str">
        <f>IF(Y71="","",IF(Y71="[FÓRMULA MANUAL]","",IFERROR(SUMPRODUCT((nNIA=Y71)*(nCUENTA=1)*(COUNTIF(CONFIG_ASIGNATURAS!$B$7:$B$27,nASIG)&gt;0)*(nNOTA))/SUMPRODUCT((nNIA=Y71)*(nCUENTA=1)*(COUNTIF(CONFIG_ASIGNATURAS!$B$7:$B$27,nASIG)&gt;0)*1),"")))</f>
        <v/>
      </c>
      <c r="AF71" t="str">
        <f>IF(AE71="","",IF(AE71="[FÓRMULA MANUAL]","",IFERROR(AVERAGEIFS(nNOTA,nNIA,AE71,nCUENTA,1,nASIG,"Análisis"),"")))</f>
        <v/>
      </c>
      <c r="AG71" t="str">
        <f>IF(AE71="","",IF(AE71="[FÓRMULA MANUAL]","",IFERROR(AVERAGEIFS(nNOTA,nNIA,AE71,nCUENTA,1,nASIG,"Orquesta/Banda/Conjunto"),"")))</f>
        <v/>
      </c>
      <c r="AH71" t="str">
        <f>IF(AE71="","",IF(AE71="[FÓRMULA MANUAL]","",IFERROR(AVERAGEIFS(nNOTA,nNIA,AE71,nCUENTA,1,nASIG,"Música de Cámara"),"")))</f>
        <v/>
      </c>
      <c r="AI71" t="str">
        <f>IF(AE71="","",IF(AE71="[FÓRMULA MANUAL]","",IFERROR(SUMPRODUCT((nNIA=AE71)*(nCUENTA=1)*(COUNTIF(CONFIG_ASIGNATURAS!$B$7:$B$27,nASIG)&gt;0)*(nNOTA))/SUMPRODUCT((nNIA=AE71)*(nCUENTA=1)*(COUNTIF(CONFIG_ASIGNATURAS!$B$7:$B$27,nASIG)&gt;0)*1),"")))</f>
        <v/>
      </c>
    </row>
    <row r="72" spans="2:35" x14ac:dyDescent="0.2">
      <c r="B72" t="str">
        <f>IF(A72="","",IF(A72="[FÓRMULA MANUAL]","",IFERROR(AVERAGEIFS(nNOTA,nNIA,A72,nCUENTA,1,nASIG,"Lenguaje Musical"),"")))</f>
        <v/>
      </c>
      <c r="C72" t="str">
        <f>IF(A72="","",IF(A72="[FÓRMULA MANUAL]","",IFERROR(AVERAGEIFS(nNOTA,nNIA,A72,nCUENTA,1,nASIG,"Orquesta/Banda/Conjunto"),"")))</f>
        <v/>
      </c>
      <c r="D72" t="str">
        <f>IF(A72="","",IF(A72="[FÓRMULA MANUAL]","",IFERROR(AVERAGEIFS(nNOTA,nNIA,A72,nCUENTA,1,nASIG,"Conjunto"),"")))</f>
        <v/>
      </c>
      <c r="E72" t="str">
        <f>IF(A72="","",IF(A72="[FÓRMULA MANUAL]","",IFERROR(SUMPRODUCT((nNIA=A72)*(nCUENTA=1)*(COUNTIF(CONFIG_ASIGNATURAS!$B$7:$B$27,nASIG)&gt;0)*(nNOTA))/SUMPRODUCT((nNIA=A72)*(nCUENTA=1)*(COUNTIF(CONFIG_ASIGNATURAS!$B$7:$B$27,nASIG)&gt;0)*1),"")))</f>
        <v/>
      </c>
      <c r="H72" t="str">
        <f>IF(G72="","",IF(G72="[FÓRMULA MANUAL]","",IFERROR(AVERAGEIFS(nNOTA,nNIA,G72,nCUENTA,1,nASIG,"Lenguaje Musical"),"")))</f>
        <v/>
      </c>
      <c r="I72" t="str">
        <f>IF(G72="","",IF(G72="[FÓRMULA MANUAL]","",IFERROR(AVERAGEIFS(nNOTA,nNIA,G72,nCUENTA,1,nASIG,"Orquesta/Banda/Conjunto"),"")))</f>
        <v/>
      </c>
      <c r="J72" t="str">
        <f>IF(G72="","",IF(G72="[FÓRMULA MANUAL]","",IFERROR(AVERAGEIFS(nNOTA,nNIA,G72,nCUENTA,1,nASIG,"Conjunto"),"")))</f>
        <v/>
      </c>
      <c r="K72" t="str">
        <f>IF(G72="","",IF(G72="[FÓRMULA MANUAL]","",IFERROR(SUMPRODUCT((nNIA=G72)*(nCUENTA=1)*(COUNTIF(CONFIG_ASIGNATURAS!$B$7:$B$27,nASIG)&gt;0)*(nNOTA))/SUMPRODUCT((nNIA=G72)*(nCUENTA=1)*(COUNTIF(CONFIG_ASIGNATURAS!$B$7:$B$27,nASIG)&gt;0)*1),"")))</f>
        <v/>
      </c>
      <c r="N72" t="str">
        <f>IF(M72="","",IF(M72="[FÓRMULA MANUAL]","",IFERROR(AVERAGEIFS(nNOTA,nNIA,M72,nCUENTA,1,nASIG,"Armonía"),"")))</f>
        <v/>
      </c>
      <c r="O72" t="str">
        <f>IF(M72="","",IF(M72="[FÓRMULA MANUAL]","",IFERROR(AVERAGEIFS(nNOTA,nNIA,M72,nCUENTA,1,nASIG,"Orquesta/Banda/Conjunto"),"")))</f>
        <v/>
      </c>
      <c r="P72" t="str">
        <f>IF(M72="","",IF(M72="[FÓRMULA MANUAL]","",IFERROR(AVERAGEIFS(nNOTA,nNIA,M72,nCUENTA,1,nASIG,"Música de Cámara"),"")))</f>
        <v/>
      </c>
      <c r="Q72" t="str">
        <f>IF(M72="","",IF(M72="[FÓRMULA MANUAL]","",IFERROR(SUMPRODUCT((nNIA=M72)*(nCUENTA=1)*(COUNTIF(CONFIG_ASIGNATURAS!$B$7:$B$27,nASIG)&gt;0)*(nNOTA))/SUMPRODUCT((nNIA=M72)*(nCUENTA=1)*(COUNTIF(CONFIG_ASIGNATURAS!$B$7:$B$27,nASIG)&gt;0)*1),"")))</f>
        <v/>
      </c>
      <c r="T72" t="str">
        <f>IF(S72="","",IF(S72="[FÓRMULA MANUAL]","",IFERROR(AVERAGEIFS(nNOTA,nNIA,S72,nCUENTA,1,nASIG,"Armonía"),"")))</f>
        <v/>
      </c>
      <c r="U72" t="str">
        <f>IF(S72="","",IF(S72="[FÓRMULA MANUAL]","",IFERROR(AVERAGEIFS(nNOTA,nNIA,S72,nCUENTA,1,nASIG,"Orquesta/Banda/Conjunto"),"")))</f>
        <v/>
      </c>
      <c r="V72" t="str">
        <f>IF(S72="","",IF(S72="[FÓRMULA MANUAL]","",IFERROR(AVERAGEIFS(nNOTA,nNIA,S72,nCUENTA,1,nASIG,"Música de Cámara"),"")))</f>
        <v/>
      </c>
      <c r="W72" t="str">
        <f>IF(S72="","",IF(S72="[FÓRMULA MANUAL]","",IFERROR(SUMPRODUCT((nNIA=S72)*(nCUENTA=1)*(COUNTIF(CONFIG_ASIGNATURAS!$B$7:$B$27,nASIG)&gt;0)*(nNOTA))/SUMPRODUCT((nNIA=S72)*(nCUENTA=1)*(COUNTIF(CONFIG_ASIGNATURAS!$B$7:$B$27,nASIG)&gt;0)*1),"")))</f>
        <v/>
      </c>
      <c r="Z72" t="str">
        <f>IF(Y72="","",IF(Y72="[FÓRMULA MANUAL]","",IFERROR(AVERAGEIFS(nNOTA,nNIA,Y72,nCUENTA,1,nASIG,"Análisis"),"")))</f>
        <v/>
      </c>
      <c r="AA72" t="str">
        <f>IF(Y72="","",IF(Y72="[FÓRMULA MANUAL]","",IFERROR(AVERAGEIFS(nNOTA,nNIA,Y72,nCUENTA,1,nASIG,"Orquesta/Banda/Conjunto"),"")))</f>
        <v/>
      </c>
      <c r="AB72" t="str">
        <f>IF(Y72="","",IF(Y72="[FÓRMULA MANUAL]","",IFERROR(AVERAGEIFS(nNOTA,nNIA,Y72,nCUENTA,1,nASIG,"Música de Cámara"),"")))</f>
        <v/>
      </c>
      <c r="AC72" t="str">
        <f>IF(Y72="","",IF(Y72="[FÓRMULA MANUAL]","",IFERROR(SUMPRODUCT((nNIA=Y72)*(nCUENTA=1)*(COUNTIF(CONFIG_ASIGNATURAS!$B$7:$B$27,nASIG)&gt;0)*(nNOTA))/SUMPRODUCT((nNIA=Y72)*(nCUENTA=1)*(COUNTIF(CONFIG_ASIGNATURAS!$B$7:$B$27,nASIG)&gt;0)*1),"")))</f>
        <v/>
      </c>
      <c r="AF72" t="str">
        <f>IF(AE72="","",IF(AE72="[FÓRMULA MANUAL]","",IFERROR(AVERAGEIFS(nNOTA,nNIA,AE72,nCUENTA,1,nASIG,"Análisis"),"")))</f>
        <v/>
      </c>
      <c r="AG72" t="str">
        <f>IF(AE72="","",IF(AE72="[FÓRMULA MANUAL]","",IFERROR(AVERAGEIFS(nNOTA,nNIA,AE72,nCUENTA,1,nASIG,"Orquesta/Banda/Conjunto"),"")))</f>
        <v/>
      </c>
      <c r="AH72" t="str">
        <f>IF(AE72="","",IF(AE72="[FÓRMULA MANUAL]","",IFERROR(AVERAGEIFS(nNOTA,nNIA,AE72,nCUENTA,1,nASIG,"Música de Cámara"),"")))</f>
        <v/>
      </c>
      <c r="AI72" t="str">
        <f>IF(AE72="","",IF(AE72="[FÓRMULA MANUAL]","",IFERROR(SUMPRODUCT((nNIA=AE72)*(nCUENTA=1)*(COUNTIF(CONFIG_ASIGNATURAS!$B$7:$B$27,nASIG)&gt;0)*(nNOTA))/SUMPRODUCT((nNIA=AE72)*(nCUENTA=1)*(COUNTIF(CONFIG_ASIGNATURAS!$B$7:$B$27,nASIG)&gt;0)*1),"")))</f>
        <v/>
      </c>
    </row>
    <row r="73" spans="2:35" x14ac:dyDescent="0.2">
      <c r="B73" t="str">
        <f>IF(A73="","",IF(A73="[FÓRMULA MANUAL]","",IFERROR(AVERAGEIFS(nNOTA,nNIA,A73,nCUENTA,1,nASIG,"Lenguaje Musical"),"")))</f>
        <v/>
      </c>
      <c r="C73" t="str">
        <f>IF(A73="","",IF(A73="[FÓRMULA MANUAL]","",IFERROR(AVERAGEIFS(nNOTA,nNIA,A73,nCUENTA,1,nASIG,"Orquesta/Banda/Conjunto"),"")))</f>
        <v/>
      </c>
      <c r="D73" t="str">
        <f>IF(A73="","",IF(A73="[FÓRMULA MANUAL]","",IFERROR(AVERAGEIFS(nNOTA,nNIA,A73,nCUENTA,1,nASIG,"Conjunto"),"")))</f>
        <v/>
      </c>
      <c r="E73" t="str">
        <f>IF(A73="","",IF(A73="[FÓRMULA MANUAL]","",IFERROR(SUMPRODUCT((nNIA=A73)*(nCUENTA=1)*(COUNTIF(CONFIG_ASIGNATURAS!$B$7:$B$27,nASIG)&gt;0)*(nNOTA))/SUMPRODUCT((nNIA=A73)*(nCUENTA=1)*(COUNTIF(CONFIG_ASIGNATURAS!$B$7:$B$27,nASIG)&gt;0)*1),"")))</f>
        <v/>
      </c>
      <c r="H73" t="str">
        <f>IF(G73="","",IF(G73="[FÓRMULA MANUAL]","",IFERROR(AVERAGEIFS(nNOTA,nNIA,G73,nCUENTA,1,nASIG,"Lenguaje Musical"),"")))</f>
        <v/>
      </c>
      <c r="I73" t="str">
        <f>IF(G73="","",IF(G73="[FÓRMULA MANUAL]","",IFERROR(AVERAGEIFS(nNOTA,nNIA,G73,nCUENTA,1,nASIG,"Orquesta/Banda/Conjunto"),"")))</f>
        <v/>
      </c>
      <c r="J73" t="str">
        <f>IF(G73="","",IF(G73="[FÓRMULA MANUAL]","",IFERROR(AVERAGEIFS(nNOTA,nNIA,G73,nCUENTA,1,nASIG,"Conjunto"),"")))</f>
        <v/>
      </c>
      <c r="K73" t="str">
        <f>IF(G73="","",IF(G73="[FÓRMULA MANUAL]","",IFERROR(SUMPRODUCT((nNIA=G73)*(nCUENTA=1)*(COUNTIF(CONFIG_ASIGNATURAS!$B$7:$B$27,nASIG)&gt;0)*(nNOTA))/SUMPRODUCT((nNIA=G73)*(nCUENTA=1)*(COUNTIF(CONFIG_ASIGNATURAS!$B$7:$B$27,nASIG)&gt;0)*1),"")))</f>
        <v/>
      </c>
      <c r="N73" t="str">
        <f>IF(M73="","",IF(M73="[FÓRMULA MANUAL]","",IFERROR(AVERAGEIFS(nNOTA,nNIA,M73,nCUENTA,1,nASIG,"Armonía"),"")))</f>
        <v/>
      </c>
      <c r="O73" t="str">
        <f>IF(M73="","",IF(M73="[FÓRMULA MANUAL]","",IFERROR(AVERAGEIFS(nNOTA,nNIA,M73,nCUENTA,1,nASIG,"Orquesta/Banda/Conjunto"),"")))</f>
        <v/>
      </c>
      <c r="P73" t="str">
        <f>IF(M73="","",IF(M73="[FÓRMULA MANUAL]","",IFERROR(AVERAGEIFS(nNOTA,nNIA,M73,nCUENTA,1,nASIG,"Música de Cámara"),"")))</f>
        <v/>
      </c>
      <c r="Q73" t="str">
        <f>IF(M73="","",IF(M73="[FÓRMULA MANUAL]","",IFERROR(SUMPRODUCT((nNIA=M73)*(nCUENTA=1)*(COUNTIF(CONFIG_ASIGNATURAS!$B$7:$B$27,nASIG)&gt;0)*(nNOTA))/SUMPRODUCT((nNIA=M73)*(nCUENTA=1)*(COUNTIF(CONFIG_ASIGNATURAS!$B$7:$B$27,nASIG)&gt;0)*1),"")))</f>
        <v/>
      </c>
      <c r="T73" t="str">
        <f>IF(S73="","",IF(S73="[FÓRMULA MANUAL]","",IFERROR(AVERAGEIFS(nNOTA,nNIA,S73,nCUENTA,1,nASIG,"Armonía"),"")))</f>
        <v/>
      </c>
      <c r="U73" t="str">
        <f>IF(S73="","",IF(S73="[FÓRMULA MANUAL]","",IFERROR(AVERAGEIFS(nNOTA,nNIA,S73,nCUENTA,1,nASIG,"Orquesta/Banda/Conjunto"),"")))</f>
        <v/>
      </c>
      <c r="V73" t="str">
        <f>IF(S73="","",IF(S73="[FÓRMULA MANUAL]","",IFERROR(AVERAGEIFS(nNOTA,nNIA,S73,nCUENTA,1,nASIG,"Música de Cámara"),"")))</f>
        <v/>
      </c>
      <c r="W73" t="str">
        <f>IF(S73="","",IF(S73="[FÓRMULA MANUAL]","",IFERROR(SUMPRODUCT((nNIA=S73)*(nCUENTA=1)*(COUNTIF(CONFIG_ASIGNATURAS!$B$7:$B$27,nASIG)&gt;0)*(nNOTA))/SUMPRODUCT((nNIA=S73)*(nCUENTA=1)*(COUNTIF(CONFIG_ASIGNATURAS!$B$7:$B$27,nASIG)&gt;0)*1),"")))</f>
        <v/>
      </c>
      <c r="Z73" t="str">
        <f>IF(Y73="","",IF(Y73="[FÓRMULA MANUAL]","",IFERROR(AVERAGEIFS(nNOTA,nNIA,Y73,nCUENTA,1,nASIG,"Análisis"),"")))</f>
        <v/>
      </c>
      <c r="AA73" t="str">
        <f>IF(Y73="","",IF(Y73="[FÓRMULA MANUAL]","",IFERROR(AVERAGEIFS(nNOTA,nNIA,Y73,nCUENTA,1,nASIG,"Orquesta/Banda/Conjunto"),"")))</f>
        <v/>
      </c>
      <c r="AB73" t="str">
        <f>IF(Y73="","",IF(Y73="[FÓRMULA MANUAL]","",IFERROR(AVERAGEIFS(nNOTA,nNIA,Y73,nCUENTA,1,nASIG,"Música de Cámara"),"")))</f>
        <v/>
      </c>
      <c r="AC73" t="str">
        <f>IF(Y73="","",IF(Y73="[FÓRMULA MANUAL]","",IFERROR(SUMPRODUCT((nNIA=Y73)*(nCUENTA=1)*(COUNTIF(CONFIG_ASIGNATURAS!$B$7:$B$27,nASIG)&gt;0)*(nNOTA))/SUMPRODUCT((nNIA=Y73)*(nCUENTA=1)*(COUNTIF(CONFIG_ASIGNATURAS!$B$7:$B$27,nASIG)&gt;0)*1),"")))</f>
        <v/>
      </c>
      <c r="AF73" t="str">
        <f>IF(AE73="","",IF(AE73="[FÓRMULA MANUAL]","",IFERROR(AVERAGEIFS(nNOTA,nNIA,AE73,nCUENTA,1,nASIG,"Análisis"),"")))</f>
        <v/>
      </c>
      <c r="AG73" t="str">
        <f>IF(AE73="","",IF(AE73="[FÓRMULA MANUAL]","",IFERROR(AVERAGEIFS(nNOTA,nNIA,AE73,nCUENTA,1,nASIG,"Orquesta/Banda/Conjunto"),"")))</f>
        <v/>
      </c>
      <c r="AH73" t="str">
        <f>IF(AE73="","",IF(AE73="[FÓRMULA MANUAL]","",IFERROR(AVERAGEIFS(nNOTA,nNIA,AE73,nCUENTA,1,nASIG,"Música de Cámara"),"")))</f>
        <v/>
      </c>
      <c r="AI73" t="str">
        <f>IF(AE73="","",IF(AE73="[FÓRMULA MANUAL]","",IFERROR(SUMPRODUCT((nNIA=AE73)*(nCUENTA=1)*(COUNTIF(CONFIG_ASIGNATURAS!$B$7:$B$27,nASIG)&gt;0)*(nNOTA))/SUMPRODUCT((nNIA=AE73)*(nCUENTA=1)*(COUNTIF(CONFIG_ASIGNATURAS!$B$7:$B$27,nASIG)&gt;0)*1),"")))</f>
        <v/>
      </c>
    </row>
    <row r="74" spans="2:35" x14ac:dyDescent="0.2">
      <c r="B74" t="str">
        <f>IF(A74="","",IF(A74="[FÓRMULA MANUAL]","",IFERROR(AVERAGEIFS(nNOTA,nNIA,A74,nCUENTA,1,nASIG,"Lenguaje Musical"),"")))</f>
        <v/>
      </c>
      <c r="C74" t="str">
        <f>IF(A74="","",IF(A74="[FÓRMULA MANUAL]","",IFERROR(AVERAGEIFS(nNOTA,nNIA,A74,nCUENTA,1,nASIG,"Orquesta/Banda/Conjunto"),"")))</f>
        <v/>
      </c>
      <c r="D74" t="str">
        <f>IF(A74="","",IF(A74="[FÓRMULA MANUAL]","",IFERROR(AVERAGEIFS(nNOTA,nNIA,A74,nCUENTA,1,nASIG,"Conjunto"),"")))</f>
        <v/>
      </c>
      <c r="E74" t="str">
        <f>IF(A74="","",IF(A74="[FÓRMULA MANUAL]","",IFERROR(SUMPRODUCT((nNIA=A74)*(nCUENTA=1)*(COUNTIF(CONFIG_ASIGNATURAS!$B$7:$B$27,nASIG)&gt;0)*(nNOTA))/SUMPRODUCT((nNIA=A74)*(nCUENTA=1)*(COUNTIF(CONFIG_ASIGNATURAS!$B$7:$B$27,nASIG)&gt;0)*1),"")))</f>
        <v/>
      </c>
      <c r="H74" t="str">
        <f>IF(G74="","",IF(G74="[FÓRMULA MANUAL]","",IFERROR(AVERAGEIFS(nNOTA,nNIA,G74,nCUENTA,1,nASIG,"Lenguaje Musical"),"")))</f>
        <v/>
      </c>
      <c r="I74" t="str">
        <f>IF(G74="","",IF(G74="[FÓRMULA MANUAL]","",IFERROR(AVERAGEIFS(nNOTA,nNIA,G74,nCUENTA,1,nASIG,"Orquesta/Banda/Conjunto"),"")))</f>
        <v/>
      </c>
      <c r="J74" t="str">
        <f>IF(G74="","",IF(G74="[FÓRMULA MANUAL]","",IFERROR(AVERAGEIFS(nNOTA,nNIA,G74,nCUENTA,1,nASIG,"Conjunto"),"")))</f>
        <v/>
      </c>
      <c r="K74" t="str">
        <f>IF(G74="","",IF(G74="[FÓRMULA MANUAL]","",IFERROR(SUMPRODUCT((nNIA=G74)*(nCUENTA=1)*(COUNTIF(CONFIG_ASIGNATURAS!$B$7:$B$27,nASIG)&gt;0)*(nNOTA))/SUMPRODUCT((nNIA=G74)*(nCUENTA=1)*(COUNTIF(CONFIG_ASIGNATURAS!$B$7:$B$27,nASIG)&gt;0)*1),"")))</f>
        <v/>
      </c>
      <c r="N74" t="str">
        <f>IF(M74="","",IF(M74="[FÓRMULA MANUAL]","",IFERROR(AVERAGEIFS(nNOTA,nNIA,M74,nCUENTA,1,nASIG,"Armonía"),"")))</f>
        <v/>
      </c>
      <c r="O74" t="str">
        <f>IF(M74="","",IF(M74="[FÓRMULA MANUAL]","",IFERROR(AVERAGEIFS(nNOTA,nNIA,M74,nCUENTA,1,nASIG,"Orquesta/Banda/Conjunto"),"")))</f>
        <v/>
      </c>
      <c r="P74" t="str">
        <f>IF(M74="","",IF(M74="[FÓRMULA MANUAL]","",IFERROR(AVERAGEIFS(nNOTA,nNIA,M74,nCUENTA,1,nASIG,"Música de Cámara"),"")))</f>
        <v/>
      </c>
      <c r="Q74" t="str">
        <f>IF(M74="","",IF(M74="[FÓRMULA MANUAL]","",IFERROR(SUMPRODUCT((nNIA=M74)*(nCUENTA=1)*(COUNTIF(CONFIG_ASIGNATURAS!$B$7:$B$27,nASIG)&gt;0)*(nNOTA))/SUMPRODUCT((nNIA=M74)*(nCUENTA=1)*(COUNTIF(CONFIG_ASIGNATURAS!$B$7:$B$27,nASIG)&gt;0)*1),"")))</f>
        <v/>
      </c>
      <c r="T74" t="str">
        <f>IF(S74="","",IF(S74="[FÓRMULA MANUAL]","",IFERROR(AVERAGEIFS(nNOTA,nNIA,S74,nCUENTA,1,nASIG,"Armonía"),"")))</f>
        <v/>
      </c>
      <c r="U74" t="str">
        <f>IF(S74="","",IF(S74="[FÓRMULA MANUAL]","",IFERROR(AVERAGEIFS(nNOTA,nNIA,S74,nCUENTA,1,nASIG,"Orquesta/Banda/Conjunto"),"")))</f>
        <v/>
      </c>
      <c r="V74" t="str">
        <f>IF(S74="","",IF(S74="[FÓRMULA MANUAL]","",IFERROR(AVERAGEIFS(nNOTA,nNIA,S74,nCUENTA,1,nASIG,"Música de Cámara"),"")))</f>
        <v/>
      </c>
      <c r="W74" t="str">
        <f>IF(S74="","",IF(S74="[FÓRMULA MANUAL]","",IFERROR(SUMPRODUCT((nNIA=S74)*(nCUENTA=1)*(COUNTIF(CONFIG_ASIGNATURAS!$B$7:$B$27,nASIG)&gt;0)*(nNOTA))/SUMPRODUCT((nNIA=S74)*(nCUENTA=1)*(COUNTIF(CONFIG_ASIGNATURAS!$B$7:$B$27,nASIG)&gt;0)*1),"")))</f>
        <v/>
      </c>
      <c r="Z74" t="str">
        <f>IF(Y74="","",IF(Y74="[FÓRMULA MANUAL]","",IFERROR(AVERAGEIFS(nNOTA,nNIA,Y74,nCUENTA,1,nASIG,"Análisis"),"")))</f>
        <v/>
      </c>
      <c r="AA74" t="str">
        <f>IF(Y74="","",IF(Y74="[FÓRMULA MANUAL]","",IFERROR(AVERAGEIFS(nNOTA,nNIA,Y74,nCUENTA,1,nASIG,"Orquesta/Banda/Conjunto"),"")))</f>
        <v/>
      </c>
      <c r="AB74" t="str">
        <f>IF(Y74="","",IF(Y74="[FÓRMULA MANUAL]","",IFERROR(AVERAGEIFS(nNOTA,nNIA,Y74,nCUENTA,1,nASIG,"Música de Cámara"),"")))</f>
        <v/>
      </c>
      <c r="AC74" t="str">
        <f>IF(Y74="","",IF(Y74="[FÓRMULA MANUAL]","",IFERROR(SUMPRODUCT((nNIA=Y74)*(nCUENTA=1)*(COUNTIF(CONFIG_ASIGNATURAS!$B$7:$B$27,nASIG)&gt;0)*(nNOTA))/SUMPRODUCT((nNIA=Y74)*(nCUENTA=1)*(COUNTIF(CONFIG_ASIGNATURAS!$B$7:$B$27,nASIG)&gt;0)*1),"")))</f>
        <v/>
      </c>
      <c r="AF74" t="str">
        <f>IF(AE74="","",IF(AE74="[FÓRMULA MANUAL]","",IFERROR(AVERAGEIFS(nNOTA,nNIA,AE74,nCUENTA,1,nASIG,"Análisis"),"")))</f>
        <v/>
      </c>
      <c r="AG74" t="str">
        <f>IF(AE74="","",IF(AE74="[FÓRMULA MANUAL]","",IFERROR(AVERAGEIFS(nNOTA,nNIA,AE74,nCUENTA,1,nASIG,"Orquesta/Banda/Conjunto"),"")))</f>
        <v/>
      </c>
      <c r="AH74" t="str">
        <f>IF(AE74="","",IF(AE74="[FÓRMULA MANUAL]","",IFERROR(AVERAGEIFS(nNOTA,nNIA,AE74,nCUENTA,1,nASIG,"Música de Cámara"),"")))</f>
        <v/>
      </c>
      <c r="AI74" t="str">
        <f>IF(AE74="","",IF(AE74="[FÓRMULA MANUAL]","",IFERROR(SUMPRODUCT((nNIA=AE74)*(nCUENTA=1)*(COUNTIF(CONFIG_ASIGNATURAS!$B$7:$B$27,nASIG)&gt;0)*(nNOTA))/SUMPRODUCT((nNIA=AE74)*(nCUENTA=1)*(COUNTIF(CONFIG_ASIGNATURAS!$B$7:$B$27,nASIG)&gt;0)*1),"")))</f>
        <v/>
      </c>
    </row>
    <row r="75" spans="2:35" x14ac:dyDescent="0.2">
      <c r="B75" t="str">
        <f>IF(A75="","",IF(A75="[FÓRMULA MANUAL]","",IFERROR(AVERAGEIFS(nNOTA,nNIA,A75,nCUENTA,1,nASIG,"Lenguaje Musical"),"")))</f>
        <v/>
      </c>
      <c r="C75" t="str">
        <f>IF(A75="","",IF(A75="[FÓRMULA MANUAL]","",IFERROR(AVERAGEIFS(nNOTA,nNIA,A75,nCUENTA,1,nASIG,"Orquesta/Banda/Conjunto"),"")))</f>
        <v/>
      </c>
      <c r="D75" t="str">
        <f>IF(A75="","",IF(A75="[FÓRMULA MANUAL]","",IFERROR(AVERAGEIFS(nNOTA,nNIA,A75,nCUENTA,1,nASIG,"Conjunto"),"")))</f>
        <v/>
      </c>
      <c r="E75" t="str">
        <f>IF(A75="","",IF(A75="[FÓRMULA MANUAL]","",IFERROR(SUMPRODUCT((nNIA=A75)*(nCUENTA=1)*(COUNTIF(CONFIG_ASIGNATURAS!$B$7:$B$27,nASIG)&gt;0)*(nNOTA))/SUMPRODUCT((nNIA=A75)*(nCUENTA=1)*(COUNTIF(CONFIG_ASIGNATURAS!$B$7:$B$27,nASIG)&gt;0)*1),"")))</f>
        <v/>
      </c>
      <c r="H75" t="str">
        <f>IF(G75="","",IF(G75="[FÓRMULA MANUAL]","",IFERROR(AVERAGEIFS(nNOTA,nNIA,G75,nCUENTA,1,nASIG,"Lenguaje Musical"),"")))</f>
        <v/>
      </c>
      <c r="I75" t="str">
        <f>IF(G75="","",IF(G75="[FÓRMULA MANUAL]","",IFERROR(AVERAGEIFS(nNOTA,nNIA,G75,nCUENTA,1,nASIG,"Orquesta/Banda/Conjunto"),"")))</f>
        <v/>
      </c>
      <c r="J75" t="str">
        <f>IF(G75="","",IF(G75="[FÓRMULA MANUAL]","",IFERROR(AVERAGEIFS(nNOTA,nNIA,G75,nCUENTA,1,nASIG,"Conjunto"),"")))</f>
        <v/>
      </c>
      <c r="K75" t="str">
        <f>IF(G75="","",IF(G75="[FÓRMULA MANUAL]","",IFERROR(SUMPRODUCT((nNIA=G75)*(nCUENTA=1)*(COUNTIF(CONFIG_ASIGNATURAS!$B$7:$B$27,nASIG)&gt;0)*(nNOTA))/SUMPRODUCT((nNIA=G75)*(nCUENTA=1)*(COUNTIF(CONFIG_ASIGNATURAS!$B$7:$B$27,nASIG)&gt;0)*1),"")))</f>
        <v/>
      </c>
      <c r="N75" t="str">
        <f>IF(M75="","",IF(M75="[FÓRMULA MANUAL]","",IFERROR(AVERAGEIFS(nNOTA,nNIA,M75,nCUENTA,1,nASIG,"Armonía"),"")))</f>
        <v/>
      </c>
      <c r="O75" t="str">
        <f>IF(M75="","",IF(M75="[FÓRMULA MANUAL]","",IFERROR(AVERAGEIFS(nNOTA,nNIA,M75,nCUENTA,1,nASIG,"Orquesta/Banda/Conjunto"),"")))</f>
        <v/>
      </c>
      <c r="P75" t="str">
        <f>IF(M75="","",IF(M75="[FÓRMULA MANUAL]","",IFERROR(AVERAGEIFS(nNOTA,nNIA,M75,nCUENTA,1,nASIG,"Música de Cámara"),"")))</f>
        <v/>
      </c>
      <c r="Q75" t="str">
        <f>IF(M75="","",IF(M75="[FÓRMULA MANUAL]","",IFERROR(SUMPRODUCT((nNIA=M75)*(nCUENTA=1)*(COUNTIF(CONFIG_ASIGNATURAS!$B$7:$B$27,nASIG)&gt;0)*(nNOTA))/SUMPRODUCT((nNIA=M75)*(nCUENTA=1)*(COUNTIF(CONFIG_ASIGNATURAS!$B$7:$B$27,nASIG)&gt;0)*1),"")))</f>
        <v/>
      </c>
      <c r="T75" t="str">
        <f>IF(S75="","",IF(S75="[FÓRMULA MANUAL]","",IFERROR(AVERAGEIFS(nNOTA,nNIA,S75,nCUENTA,1,nASIG,"Armonía"),"")))</f>
        <v/>
      </c>
      <c r="U75" t="str">
        <f>IF(S75="","",IF(S75="[FÓRMULA MANUAL]","",IFERROR(AVERAGEIFS(nNOTA,nNIA,S75,nCUENTA,1,nASIG,"Orquesta/Banda/Conjunto"),"")))</f>
        <v/>
      </c>
      <c r="V75" t="str">
        <f>IF(S75="","",IF(S75="[FÓRMULA MANUAL]","",IFERROR(AVERAGEIFS(nNOTA,nNIA,S75,nCUENTA,1,nASIG,"Música de Cámara"),"")))</f>
        <v/>
      </c>
      <c r="W75" t="str">
        <f>IF(S75="","",IF(S75="[FÓRMULA MANUAL]","",IFERROR(SUMPRODUCT((nNIA=S75)*(nCUENTA=1)*(COUNTIF(CONFIG_ASIGNATURAS!$B$7:$B$27,nASIG)&gt;0)*(nNOTA))/SUMPRODUCT((nNIA=S75)*(nCUENTA=1)*(COUNTIF(CONFIG_ASIGNATURAS!$B$7:$B$27,nASIG)&gt;0)*1),"")))</f>
        <v/>
      </c>
      <c r="Z75" t="str">
        <f>IF(Y75="","",IF(Y75="[FÓRMULA MANUAL]","",IFERROR(AVERAGEIFS(nNOTA,nNIA,Y75,nCUENTA,1,nASIG,"Análisis"),"")))</f>
        <v/>
      </c>
      <c r="AA75" t="str">
        <f>IF(Y75="","",IF(Y75="[FÓRMULA MANUAL]","",IFERROR(AVERAGEIFS(nNOTA,nNIA,Y75,nCUENTA,1,nASIG,"Orquesta/Banda/Conjunto"),"")))</f>
        <v/>
      </c>
      <c r="AB75" t="str">
        <f>IF(Y75="","",IF(Y75="[FÓRMULA MANUAL]","",IFERROR(AVERAGEIFS(nNOTA,nNIA,Y75,nCUENTA,1,nASIG,"Música de Cámara"),"")))</f>
        <v/>
      </c>
      <c r="AC75" t="str">
        <f>IF(Y75="","",IF(Y75="[FÓRMULA MANUAL]","",IFERROR(SUMPRODUCT((nNIA=Y75)*(nCUENTA=1)*(COUNTIF(CONFIG_ASIGNATURAS!$B$7:$B$27,nASIG)&gt;0)*(nNOTA))/SUMPRODUCT((nNIA=Y75)*(nCUENTA=1)*(COUNTIF(CONFIG_ASIGNATURAS!$B$7:$B$27,nASIG)&gt;0)*1),"")))</f>
        <v/>
      </c>
      <c r="AF75" t="str">
        <f>IF(AE75="","",IF(AE75="[FÓRMULA MANUAL]","",IFERROR(AVERAGEIFS(nNOTA,nNIA,AE75,nCUENTA,1,nASIG,"Análisis"),"")))</f>
        <v/>
      </c>
      <c r="AG75" t="str">
        <f>IF(AE75="","",IF(AE75="[FÓRMULA MANUAL]","",IFERROR(AVERAGEIFS(nNOTA,nNIA,AE75,nCUENTA,1,nASIG,"Orquesta/Banda/Conjunto"),"")))</f>
        <v/>
      </c>
      <c r="AH75" t="str">
        <f>IF(AE75="","",IF(AE75="[FÓRMULA MANUAL]","",IFERROR(AVERAGEIFS(nNOTA,nNIA,AE75,nCUENTA,1,nASIG,"Música de Cámara"),"")))</f>
        <v/>
      </c>
      <c r="AI75" t="str">
        <f>IF(AE75="","",IF(AE75="[FÓRMULA MANUAL]","",IFERROR(SUMPRODUCT((nNIA=AE75)*(nCUENTA=1)*(COUNTIF(CONFIG_ASIGNATURAS!$B$7:$B$27,nASIG)&gt;0)*(nNOTA))/SUMPRODUCT((nNIA=AE75)*(nCUENTA=1)*(COUNTIF(CONFIG_ASIGNATURAS!$B$7:$B$27,nASIG)&gt;0)*1),"")))</f>
        <v/>
      </c>
    </row>
    <row r="76" spans="2:35" x14ac:dyDescent="0.2">
      <c r="B76" t="str">
        <f>IF(A76="","",IF(A76="[FÓRMULA MANUAL]","",IFERROR(AVERAGEIFS(nNOTA,nNIA,A76,nCUENTA,1,nASIG,"Lenguaje Musical"),"")))</f>
        <v/>
      </c>
      <c r="C76" t="str">
        <f>IF(A76="","",IF(A76="[FÓRMULA MANUAL]","",IFERROR(AVERAGEIFS(nNOTA,nNIA,A76,nCUENTA,1,nASIG,"Orquesta/Banda/Conjunto"),"")))</f>
        <v/>
      </c>
      <c r="D76" t="str">
        <f>IF(A76="","",IF(A76="[FÓRMULA MANUAL]","",IFERROR(AVERAGEIFS(nNOTA,nNIA,A76,nCUENTA,1,nASIG,"Conjunto"),"")))</f>
        <v/>
      </c>
      <c r="E76" t="str">
        <f>IF(A76="","",IF(A76="[FÓRMULA MANUAL]","",IFERROR(SUMPRODUCT((nNIA=A76)*(nCUENTA=1)*(COUNTIF(CONFIG_ASIGNATURAS!$B$7:$B$27,nASIG)&gt;0)*(nNOTA))/SUMPRODUCT((nNIA=A76)*(nCUENTA=1)*(COUNTIF(CONFIG_ASIGNATURAS!$B$7:$B$27,nASIG)&gt;0)*1),"")))</f>
        <v/>
      </c>
      <c r="H76" t="str">
        <f>IF(G76="","",IF(G76="[FÓRMULA MANUAL]","",IFERROR(AVERAGEIFS(nNOTA,nNIA,G76,nCUENTA,1,nASIG,"Lenguaje Musical"),"")))</f>
        <v/>
      </c>
      <c r="I76" t="str">
        <f>IF(G76="","",IF(G76="[FÓRMULA MANUAL]","",IFERROR(AVERAGEIFS(nNOTA,nNIA,G76,nCUENTA,1,nASIG,"Orquesta/Banda/Conjunto"),"")))</f>
        <v/>
      </c>
      <c r="J76" t="str">
        <f>IF(G76="","",IF(G76="[FÓRMULA MANUAL]","",IFERROR(AVERAGEIFS(nNOTA,nNIA,G76,nCUENTA,1,nASIG,"Conjunto"),"")))</f>
        <v/>
      </c>
      <c r="K76" t="str">
        <f>IF(G76="","",IF(G76="[FÓRMULA MANUAL]","",IFERROR(SUMPRODUCT((nNIA=G76)*(nCUENTA=1)*(COUNTIF(CONFIG_ASIGNATURAS!$B$7:$B$27,nASIG)&gt;0)*(nNOTA))/SUMPRODUCT((nNIA=G76)*(nCUENTA=1)*(COUNTIF(CONFIG_ASIGNATURAS!$B$7:$B$27,nASIG)&gt;0)*1),"")))</f>
        <v/>
      </c>
      <c r="N76" t="str">
        <f>IF(M76="","",IF(M76="[FÓRMULA MANUAL]","",IFERROR(AVERAGEIFS(nNOTA,nNIA,M76,nCUENTA,1,nASIG,"Armonía"),"")))</f>
        <v/>
      </c>
      <c r="O76" t="str">
        <f>IF(M76="","",IF(M76="[FÓRMULA MANUAL]","",IFERROR(AVERAGEIFS(nNOTA,nNIA,M76,nCUENTA,1,nASIG,"Orquesta/Banda/Conjunto"),"")))</f>
        <v/>
      </c>
      <c r="P76" t="str">
        <f>IF(M76="","",IF(M76="[FÓRMULA MANUAL]","",IFERROR(AVERAGEIFS(nNOTA,nNIA,M76,nCUENTA,1,nASIG,"Música de Cámara"),"")))</f>
        <v/>
      </c>
      <c r="Q76" t="str">
        <f>IF(M76="","",IF(M76="[FÓRMULA MANUAL]","",IFERROR(SUMPRODUCT((nNIA=M76)*(nCUENTA=1)*(COUNTIF(CONFIG_ASIGNATURAS!$B$7:$B$27,nASIG)&gt;0)*(nNOTA))/SUMPRODUCT((nNIA=M76)*(nCUENTA=1)*(COUNTIF(CONFIG_ASIGNATURAS!$B$7:$B$27,nASIG)&gt;0)*1),"")))</f>
        <v/>
      </c>
      <c r="T76" t="str">
        <f>IF(S76="","",IF(S76="[FÓRMULA MANUAL]","",IFERROR(AVERAGEIFS(nNOTA,nNIA,S76,nCUENTA,1,nASIG,"Armonía"),"")))</f>
        <v/>
      </c>
      <c r="U76" t="str">
        <f>IF(S76="","",IF(S76="[FÓRMULA MANUAL]","",IFERROR(AVERAGEIFS(nNOTA,nNIA,S76,nCUENTA,1,nASIG,"Orquesta/Banda/Conjunto"),"")))</f>
        <v/>
      </c>
      <c r="V76" t="str">
        <f>IF(S76="","",IF(S76="[FÓRMULA MANUAL]","",IFERROR(AVERAGEIFS(nNOTA,nNIA,S76,nCUENTA,1,nASIG,"Música de Cámara"),"")))</f>
        <v/>
      </c>
      <c r="W76" t="str">
        <f>IF(S76="","",IF(S76="[FÓRMULA MANUAL]","",IFERROR(SUMPRODUCT((nNIA=S76)*(nCUENTA=1)*(COUNTIF(CONFIG_ASIGNATURAS!$B$7:$B$27,nASIG)&gt;0)*(nNOTA))/SUMPRODUCT((nNIA=S76)*(nCUENTA=1)*(COUNTIF(CONFIG_ASIGNATURAS!$B$7:$B$27,nASIG)&gt;0)*1),"")))</f>
        <v/>
      </c>
      <c r="Z76" t="str">
        <f>IF(Y76="","",IF(Y76="[FÓRMULA MANUAL]","",IFERROR(AVERAGEIFS(nNOTA,nNIA,Y76,nCUENTA,1,nASIG,"Análisis"),"")))</f>
        <v/>
      </c>
      <c r="AA76" t="str">
        <f>IF(Y76="","",IF(Y76="[FÓRMULA MANUAL]","",IFERROR(AVERAGEIFS(nNOTA,nNIA,Y76,nCUENTA,1,nASIG,"Orquesta/Banda/Conjunto"),"")))</f>
        <v/>
      </c>
      <c r="AB76" t="str">
        <f>IF(Y76="","",IF(Y76="[FÓRMULA MANUAL]","",IFERROR(AVERAGEIFS(nNOTA,nNIA,Y76,nCUENTA,1,nASIG,"Música de Cámara"),"")))</f>
        <v/>
      </c>
      <c r="AC76" t="str">
        <f>IF(Y76="","",IF(Y76="[FÓRMULA MANUAL]","",IFERROR(SUMPRODUCT((nNIA=Y76)*(nCUENTA=1)*(COUNTIF(CONFIG_ASIGNATURAS!$B$7:$B$27,nASIG)&gt;0)*(nNOTA))/SUMPRODUCT((nNIA=Y76)*(nCUENTA=1)*(COUNTIF(CONFIG_ASIGNATURAS!$B$7:$B$27,nASIG)&gt;0)*1),"")))</f>
        <v/>
      </c>
      <c r="AF76" t="str">
        <f>IF(AE76="","",IF(AE76="[FÓRMULA MANUAL]","",IFERROR(AVERAGEIFS(nNOTA,nNIA,AE76,nCUENTA,1,nASIG,"Análisis"),"")))</f>
        <v/>
      </c>
      <c r="AG76" t="str">
        <f>IF(AE76="","",IF(AE76="[FÓRMULA MANUAL]","",IFERROR(AVERAGEIFS(nNOTA,nNIA,AE76,nCUENTA,1,nASIG,"Orquesta/Banda/Conjunto"),"")))</f>
        <v/>
      </c>
      <c r="AH76" t="str">
        <f>IF(AE76="","",IF(AE76="[FÓRMULA MANUAL]","",IFERROR(AVERAGEIFS(nNOTA,nNIA,AE76,nCUENTA,1,nASIG,"Música de Cámara"),"")))</f>
        <v/>
      </c>
      <c r="AI76" t="str">
        <f>IF(AE76="","",IF(AE76="[FÓRMULA MANUAL]","",IFERROR(SUMPRODUCT((nNIA=AE76)*(nCUENTA=1)*(COUNTIF(CONFIG_ASIGNATURAS!$B$7:$B$27,nASIG)&gt;0)*(nNOTA))/SUMPRODUCT((nNIA=AE76)*(nCUENTA=1)*(COUNTIF(CONFIG_ASIGNATURAS!$B$7:$B$27,nASIG)&gt;0)*1),"")))</f>
        <v/>
      </c>
    </row>
    <row r="77" spans="2:35" x14ac:dyDescent="0.2">
      <c r="B77" t="str">
        <f>IF(A77="","",IF(A77="[FÓRMULA MANUAL]","",IFERROR(AVERAGEIFS(nNOTA,nNIA,A77,nCUENTA,1,nASIG,"Lenguaje Musical"),"")))</f>
        <v/>
      </c>
      <c r="C77" t="str">
        <f>IF(A77="","",IF(A77="[FÓRMULA MANUAL]","",IFERROR(AVERAGEIFS(nNOTA,nNIA,A77,nCUENTA,1,nASIG,"Orquesta/Banda/Conjunto"),"")))</f>
        <v/>
      </c>
      <c r="D77" t="str">
        <f>IF(A77="","",IF(A77="[FÓRMULA MANUAL]","",IFERROR(AVERAGEIFS(nNOTA,nNIA,A77,nCUENTA,1,nASIG,"Conjunto"),"")))</f>
        <v/>
      </c>
      <c r="E77" t="str">
        <f>IF(A77="","",IF(A77="[FÓRMULA MANUAL]","",IFERROR(SUMPRODUCT((nNIA=A77)*(nCUENTA=1)*(COUNTIF(CONFIG_ASIGNATURAS!$B$7:$B$27,nASIG)&gt;0)*(nNOTA))/SUMPRODUCT((nNIA=A77)*(nCUENTA=1)*(COUNTIF(CONFIG_ASIGNATURAS!$B$7:$B$27,nASIG)&gt;0)*1),"")))</f>
        <v/>
      </c>
      <c r="H77" t="str">
        <f>IF(G77="","",IF(G77="[FÓRMULA MANUAL]","",IFERROR(AVERAGEIFS(nNOTA,nNIA,G77,nCUENTA,1,nASIG,"Lenguaje Musical"),"")))</f>
        <v/>
      </c>
      <c r="I77" t="str">
        <f>IF(G77="","",IF(G77="[FÓRMULA MANUAL]","",IFERROR(AVERAGEIFS(nNOTA,nNIA,G77,nCUENTA,1,nASIG,"Orquesta/Banda/Conjunto"),"")))</f>
        <v/>
      </c>
      <c r="J77" t="str">
        <f>IF(G77="","",IF(G77="[FÓRMULA MANUAL]","",IFERROR(AVERAGEIFS(nNOTA,nNIA,G77,nCUENTA,1,nASIG,"Conjunto"),"")))</f>
        <v/>
      </c>
      <c r="K77" t="str">
        <f>IF(G77="","",IF(G77="[FÓRMULA MANUAL]","",IFERROR(SUMPRODUCT((nNIA=G77)*(nCUENTA=1)*(COUNTIF(CONFIG_ASIGNATURAS!$B$7:$B$27,nASIG)&gt;0)*(nNOTA))/SUMPRODUCT((nNIA=G77)*(nCUENTA=1)*(COUNTIF(CONFIG_ASIGNATURAS!$B$7:$B$27,nASIG)&gt;0)*1),"")))</f>
        <v/>
      </c>
      <c r="N77" t="str">
        <f>IF(M77="","",IF(M77="[FÓRMULA MANUAL]","",IFERROR(AVERAGEIFS(nNOTA,nNIA,M77,nCUENTA,1,nASIG,"Armonía"),"")))</f>
        <v/>
      </c>
      <c r="O77" t="str">
        <f>IF(M77="","",IF(M77="[FÓRMULA MANUAL]","",IFERROR(AVERAGEIFS(nNOTA,nNIA,M77,nCUENTA,1,nASIG,"Orquesta/Banda/Conjunto"),"")))</f>
        <v/>
      </c>
      <c r="P77" t="str">
        <f>IF(M77="","",IF(M77="[FÓRMULA MANUAL]","",IFERROR(AVERAGEIFS(nNOTA,nNIA,M77,nCUENTA,1,nASIG,"Música de Cámara"),"")))</f>
        <v/>
      </c>
      <c r="Q77" t="str">
        <f>IF(M77="","",IF(M77="[FÓRMULA MANUAL]","",IFERROR(SUMPRODUCT((nNIA=M77)*(nCUENTA=1)*(COUNTIF(CONFIG_ASIGNATURAS!$B$7:$B$27,nASIG)&gt;0)*(nNOTA))/SUMPRODUCT((nNIA=M77)*(nCUENTA=1)*(COUNTIF(CONFIG_ASIGNATURAS!$B$7:$B$27,nASIG)&gt;0)*1),"")))</f>
        <v/>
      </c>
      <c r="T77" t="str">
        <f>IF(S77="","",IF(S77="[FÓRMULA MANUAL]","",IFERROR(AVERAGEIFS(nNOTA,nNIA,S77,nCUENTA,1,nASIG,"Armonía"),"")))</f>
        <v/>
      </c>
      <c r="U77" t="str">
        <f>IF(S77="","",IF(S77="[FÓRMULA MANUAL]","",IFERROR(AVERAGEIFS(nNOTA,nNIA,S77,nCUENTA,1,nASIG,"Orquesta/Banda/Conjunto"),"")))</f>
        <v/>
      </c>
      <c r="V77" t="str">
        <f>IF(S77="","",IF(S77="[FÓRMULA MANUAL]","",IFERROR(AVERAGEIFS(nNOTA,nNIA,S77,nCUENTA,1,nASIG,"Música de Cámara"),"")))</f>
        <v/>
      </c>
      <c r="W77" t="str">
        <f>IF(S77="","",IF(S77="[FÓRMULA MANUAL]","",IFERROR(SUMPRODUCT((nNIA=S77)*(nCUENTA=1)*(COUNTIF(CONFIG_ASIGNATURAS!$B$7:$B$27,nASIG)&gt;0)*(nNOTA))/SUMPRODUCT((nNIA=S77)*(nCUENTA=1)*(COUNTIF(CONFIG_ASIGNATURAS!$B$7:$B$27,nASIG)&gt;0)*1),"")))</f>
        <v/>
      </c>
      <c r="Z77" t="str">
        <f>IF(Y77="","",IF(Y77="[FÓRMULA MANUAL]","",IFERROR(AVERAGEIFS(nNOTA,nNIA,Y77,nCUENTA,1,nASIG,"Análisis"),"")))</f>
        <v/>
      </c>
      <c r="AA77" t="str">
        <f>IF(Y77="","",IF(Y77="[FÓRMULA MANUAL]","",IFERROR(AVERAGEIFS(nNOTA,nNIA,Y77,nCUENTA,1,nASIG,"Orquesta/Banda/Conjunto"),"")))</f>
        <v/>
      </c>
      <c r="AB77" t="str">
        <f>IF(Y77="","",IF(Y77="[FÓRMULA MANUAL]","",IFERROR(AVERAGEIFS(nNOTA,nNIA,Y77,nCUENTA,1,nASIG,"Música de Cámara"),"")))</f>
        <v/>
      </c>
      <c r="AC77" t="str">
        <f>IF(Y77="","",IF(Y77="[FÓRMULA MANUAL]","",IFERROR(SUMPRODUCT((nNIA=Y77)*(nCUENTA=1)*(COUNTIF(CONFIG_ASIGNATURAS!$B$7:$B$27,nASIG)&gt;0)*(nNOTA))/SUMPRODUCT((nNIA=Y77)*(nCUENTA=1)*(COUNTIF(CONFIG_ASIGNATURAS!$B$7:$B$27,nASIG)&gt;0)*1),"")))</f>
        <v/>
      </c>
      <c r="AF77" t="str">
        <f>IF(AE77="","",IF(AE77="[FÓRMULA MANUAL]","",IFERROR(AVERAGEIFS(nNOTA,nNIA,AE77,nCUENTA,1,nASIG,"Análisis"),"")))</f>
        <v/>
      </c>
      <c r="AG77" t="str">
        <f>IF(AE77="","",IF(AE77="[FÓRMULA MANUAL]","",IFERROR(AVERAGEIFS(nNOTA,nNIA,AE77,nCUENTA,1,nASIG,"Orquesta/Banda/Conjunto"),"")))</f>
        <v/>
      </c>
      <c r="AH77" t="str">
        <f>IF(AE77="","",IF(AE77="[FÓRMULA MANUAL]","",IFERROR(AVERAGEIFS(nNOTA,nNIA,AE77,nCUENTA,1,nASIG,"Música de Cámara"),"")))</f>
        <v/>
      </c>
      <c r="AI77" t="str">
        <f>IF(AE77="","",IF(AE77="[FÓRMULA MANUAL]","",IFERROR(SUMPRODUCT((nNIA=AE77)*(nCUENTA=1)*(COUNTIF(CONFIG_ASIGNATURAS!$B$7:$B$27,nASIG)&gt;0)*(nNOTA))/SUMPRODUCT((nNIA=AE77)*(nCUENTA=1)*(COUNTIF(CONFIG_ASIGNATURAS!$B$7:$B$27,nASIG)&gt;0)*1),"")))</f>
        <v/>
      </c>
    </row>
    <row r="78" spans="2:35" x14ac:dyDescent="0.2">
      <c r="B78" t="str">
        <f>IF(A78="","",IF(A78="[FÓRMULA MANUAL]","",IFERROR(AVERAGEIFS(nNOTA,nNIA,A78,nCUENTA,1,nASIG,"Lenguaje Musical"),"")))</f>
        <v/>
      </c>
      <c r="C78" t="str">
        <f>IF(A78="","",IF(A78="[FÓRMULA MANUAL]","",IFERROR(AVERAGEIFS(nNOTA,nNIA,A78,nCUENTA,1,nASIG,"Orquesta/Banda/Conjunto"),"")))</f>
        <v/>
      </c>
      <c r="D78" t="str">
        <f>IF(A78="","",IF(A78="[FÓRMULA MANUAL]","",IFERROR(AVERAGEIFS(nNOTA,nNIA,A78,nCUENTA,1,nASIG,"Conjunto"),"")))</f>
        <v/>
      </c>
      <c r="E78" t="str">
        <f>IF(A78="","",IF(A78="[FÓRMULA MANUAL]","",IFERROR(SUMPRODUCT((nNIA=A78)*(nCUENTA=1)*(COUNTIF(CONFIG_ASIGNATURAS!$B$7:$B$27,nASIG)&gt;0)*(nNOTA))/SUMPRODUCT((nNIA=A78)*(nCUENTA=1)*(COUNTIF(CONFIG_ASIGNATURAS!$B$7:$B$27,nASIG)&gt;0)*1),"")))</f>
        <v/>
      </c>
      <c r="H78" t="str">
        <f>IF(G78="","",IF(G78="[FÓRMULA MANUAL]","",IFERROR(AVERAGEIFS(nNOTA,nNIA,G78,nCUENTA,1,nASIG,"Lenguaje Musical"),"")))</f>
        <v/>
      </c>
      <c r="I78" t="str">
        <f>IF(G78="","",IF(G78="[FÓRMULA MANUAL]","",IFERROR(AVERAGEIFS(nNOTA,nNIA,G78,nCUENTA,1,nASIG,"Orquesta/Banda/Conjunto"),"")))</f>
        <v/>
      </c>
      <c r="J78" t="str">
        <f>IF(G78="","",IF(G78="[FÓRMULA MANUAL]","",IFERROR(AVERAGEIFS(nNOTA,nNIA,G78,nCUENTA,1,nASIG,"Conjunto"),"")))</f>
        <v/>
      </c>
      <c r="K78" t="str">
        <f>IF(G78="","",IF(G78="[FÓRMULA MANUAL]","",IFERROR(SUMPRODUCT((nNIA=G78)*(nCUENTA=1)*(COUNTIF(CONFIG_ASIGNATURAS!$B$7:$B$27,nASIG)&gt;0)*(nNOTA))/SUMPRODUCT((nNIA=G78)*(nCUENTA=1)*(COUNTIF(CONFIG_ASIGNATURAS!$B$7:$B$27,nASIG)&gt;0)*1),"")))</f>
        <v/>
      </c>
      <c r="N78" t="str">
        <f>IF(M78="","",IF(M78="[FÓRMULA MANUAL]","",IFERROR(AVERAGEIFS(nNOTA,nNIA,M78,nCUENTA,1,nASIG,"Armonía"),"")))</f>
        <v/>
      </c>
      <c r="O78" t="str">
        <f>IF(M78="","",IF(M78="[FÓRMULA MANUAL]","",IFERROR(AVERAGEIFS(nNOTA,nNIA,M78,nCUENTA,1,nASIG,"Orquesta/Banda/Conjunto"),"")))</f>
        <v/>
      </c>
      <c r="P78" t="str">
        <f>IF(M78="","",IF(M78="[FÓRMULA MANUAL]","",IFERROR(AVERAGEIFS(nNOTA,nNIA,M78,nCUENTA,1,nASIG,"Música de Cámara"),"")))</f>
        <v/>
      </c>
      <c r="Q78" t="str">
        <f>IF(M78="","",IF(M78="[FÓRMULA MANUAL]","",IFERROR(SUMPRODUCT((nNIA=M78)*(nCUENTA=1)*(COUNTIF(CONFIG_ASIGNATURAS!$B$7:$B$27,nASIG)&gt;0)*(nNOTA))/SUMPRODUCT((nNIA=M78)*(nCUENTA=1)*(COUNTIF(CONFIG_ASIGNATURAS!$B$7:$B$27,nASIG)&gt;0)*1),"")))</f>
        <v/>
      </c>
      <c r="T78" t="str">
        <f>IF(S78="","",IF(S78="[FÓRMULA MANUAL]","",IFERROR(AVERAGEIFS(nNOTA,nNIA,S78,nCUENTA,1,nASIG,"Armonía"),"")))</f>
        <v/>
      </c>
      <c r="U78" t="str">
        <f>IF(S78="","",IF(S78="[FÓRMULA MANUAL]","",IFERROR(AVERAGEIFS(nNOTA,nNIA,S78,nCUENTA,1,nASIG,"Orquesta/Banda/Conjunto"),"")))</f>
        <v/>
      </c>
      <c r="V78" t="str">
        <f>IF(S78="","",IF(S78="[FÓRMULA MANUAL]","",IFERROR(AVERAGEIFS(nNOTA,nNIA,S78,nCUENTA,1,nASIG,"Música de Cámara"),"")))</f>
        <v/>
      </c>
      <c r="W78" t="str">
        <f>IF(S78="","",IF(S78="[FÓRMULA MANUAL]","",IFERROR(SUMPRODUCT((nNIA=S78)*(nCUENTA=1)*(COUNTIF(CONFIG_ASIGNATURAS!$B$7:$B$27,nASIG)&gt;0)*(nNOTA))/SUMPRODUCT((nNIA=S78)*(nCUENTA=1)*(COUNTIF(CONFIG_ASIGNATURAS!$B$7:$B$27,nASIG)&gt;0)*1),"")))</f>
        <v/>
      </c>
      <c r="Z78" t="str">
        <f>IF(Y78="","",IF(Y78="[FÓRMULA MANUAL]","",IFERROR(AVERAGEIFS(nNOTA,nNIA,Y78,nCUENTA,1,nASIG,"Análisis"),"")))</f>
        <v/>
      </c>
      <c r="AA78" t="str">
        <f>IF(Y78="","",IF(Y78="[FÓRMULA MANUAL]","",IFERROR(AVERAGEIFS(nNOTA,nNIA,Y78,nCUENTA,1,nASIG,"Orquesta/Banda/Conjunto"),"")))</f>
        <v/>
      </c>
      <c r="AB78" t="str">
        <f>IF(Y78="","",IF(Y78="[FÓRMULA MANUAL]","",IFERROR(AVERAGEIFS(nNOTA,nNIA,Y78,nCUENTA,1,nASIG,"Música de Cámara"),"")))</f>
        <v/>
      </c>
      <c r="AC78" t="str">
        <f>IF(Y78="","",IF(Y78="[FÓRMULA MANUAL]","",IFERROR(SUMPRODUCT((nNIA=Y78)*(nCUENTA=1)*(COUNTIF(CONFIG_ASIGNATURAS!$B$7:$B$27,nASIG)&gt;0)*(nNOTA))/SUMPRODUCT((nNIA=Y78)*(nCUENTA=1)*(COUNTIF(CONFIG_ASIGNATURAS!$B$7:$B$27,nASIG)&gt;0)*1),"")))</f>
        <v/>
      </c>
      <c r="AF78" t="str">
        <f>IF(AE78="","",IF(AE78="[FÓRMULA MANUAL]","",IFERROR(AVERAGEIFS(nNOTA,nNIA,AE78,nCUENTA,1,nASIG,"Análisis"),"")))</f>
        <v/>
      </c>
      <c r="AG78" t="str">
        <f>IF(AE78="","",IF(AE78="[FÓRMULA MANUAL]","",IFERROR(AVERAGEIFS(nNOTA,nNIA,AE78,nCUENTA,1,nASIG,"Orquesta/Banda/Conjunto"),"")))</f>
        <v/>
      </c>
      <c r="AH78" t="str">
        <f>IF(AE78="","",IF(AE78="[FÓRMULA MANUAL]","",IFERROR(AVERAGEIFS(nNOTA,nNIA,AE78,nCUENTA,1,nASIG,"Música de Cámara"),"")))</f>
        <v/>
      </c>
      <c r="AI78" t="str">
        <f>IF(AE78="","",IF(AE78="[FÓRMULA MANUAL]","",IFERROR(SUMPRODUCT((nNIA=AE78)*(nCUENTA=1)*(COUNTIF(CONFIG_ASIGNATURAS!$B$7:$B$27,nASIG)&gt;0)*(nNOTA))/SUMPRODUCT((nNIA=AE78)*(nCUENTA=1)*(COUNTIF(CONFIG_ASIGNATURAS!$B$7:$B$27,nASIG)&gt;0)*1),"")))</f>
        <v/>
      </c>
    </row>
    <row r="79" spans="2:35" x14ac:dyDescent="0.2">
      <c r="B79" t="str">
        <f>IF(A79="","",IF(A79="[FÓRMULA MANUAL]","",IFERROR(AVERAGEIFS(nNOTA,nNIA,A79,nCUENTA,1,nASIG,"Lenguaje Musical"),"")))</f>
        <v/>
      </c>
      <c r="C79" t="str">
        <f>IF(A79="","",IF(A79="[FÓRMULA MANUAL]","",IFERROR(AVERAGEIFS(nNOTA,nNIA,A79,nCUENTA,1,nASIG,"Orquesta/Banda/Conjunto"),"")))</f>
        <v/>
      </c>
      <c r="D79" t="str">
        <f>IF(A79="","",IF(A79="[FÓRMULA MANUAL]","",IFERROR(AVERAGEIFS(nNOTA,nNIA,A79,nCUENTA,1,nASIG,"Conjunto"),"")))</f>
        <v/>
      </c>
      <c r="E79" t="str">
        <f>IF(A79="","",IF(A79="[FÓRMULA MANUAL]","",IFERROR(SUMPRODUCT((nNIA=A79)*(nCUENTA=1)*(COUNTIF(CONFIG_ASIGNATURAS!$B$7:$B$27,nASIG)&gt;0)*(nNOTA))/SUMPRODUCT((nNIA=A79)*(nCUENTA=1)*(COUNTIF(CONFIG_ASIGNATURAS!$B$7:$B$27,nASIG)&gt;0)*1),"")))</f>
        <v/>
      </c>
      <c r="H79" t="str">
        <f>IF(G79="","",IF(G79="[FÓRMULA MANUAL]","",IFERROR(AVERAGEIFS(nNOTA,nNIA,G79,nCUENTA,1,nASIG,"Lenguaje Musical"),"")))</f>
        <v/>
      </c>
      <c r="I79" t="str">
        <f>IF(G79="","",IF(G79="[FÓRMULA MANUAL]","",IFERROR(AVERAGEIFS(nNOTA,nNIA,G79,nCUENTA,1,nASIG,"Orquesta/Banda/Conjunto"),"")))</f>
        <v/>
      </c>
      <c r="J79" t="str">
        <f>IF(G79="","",IF(G79="[FÓRMULA MANUAL]","",IFERROR(AVERAGEIFS(nNOTA,nNIA,G79,nCUENTA,1,nASIG,"Conjunto"),"")))</f>
        <v/>
      </c>
      <c r="K79" t="str">
        <f>IF(G79="","",IF(G79="[FÓRMULA MANUAL]","",IFERROR(SUMPRODUCT((nNIA=G79)*(nCUENTA=1)*(COUNTIF(CONFIG_ASIGNATURAS!$B$7:$B$27,nASIG)&gt;0)*(nNOTA))/SUMPRODUCT((nNIA=G79)*(nCUENTA=1)*(COUNTIF(CONFIG_ASIGNATURAS!$B$7:$B$27,nASIG)&gt;0)*1),"")))</f>
        <v/>
      </c>
      <c r="N79" t="str">
        <f>IF(M79="","",IF(M79="[FÓRMULA MANUAL]","",IFERROR(AVERAGEIFS(nNOTA,nNIA,M79,nCUENTA,1,nASIG,"Armonía"),"")))</f>
        <v/>
      </c>
      <c r="O79" t="str">
        <f>IF(M79="","",IF(M79="[FÓRMULA MANUAL]","",IFERROR(AVERAGEIFS(nNOTA,nNIA,M79,nCUENTA,1,nASIG,"Orquesta/Banda/Conjunto"),"")))</f>
        <v/>
      </c>
      <c r="P79" t="str">
        <f>IF(M79="","",IF(M79="[FÓRMULA MANUAL]","",IFERROR(AVERAGEIFS(nNOTA,nNIA,M79,nCUENTA,1,nASIG,"Música de Cámara"),"")))</f>
        <v/>
      </c>
      <c r="Q79" t="str">
        <f>IF(M79="","",IF(M79="[FÓRMULA MANUAL]","",IFERROR(SUMPRODUCT((nNIA=M79)*(nCUENTA=1)*(COUNTIF(CONFIG_ASIGNATURAS!$B$7:$B$27,nASIG)&gt;0)*(nNOTA))/SUMPRODUCT((nNIA=M79)*(nCUENTA=1)*(COUNTIF(CONFIG_ASIGNATURAS!$B$7:$B$27,nASIG)&gt;0)*1),"")))</f>
        <v/>
      </c>
      <c r="T79" t="str">
        <f>IF(S79="","",IF(S79="[FÓRMULA MANUAL]","",IFERROR(AVERAGEIFS(nNOTA,nNIA,S79,nCUENTA,1,nASIG,"Armonía"),"")))</f>
        <v/>
      </c>
      <c r="U79" t="str">
        <f>IF(S79="","",IF(S79="[FÓRMULA MANUAL]","",IFERROR(AVERAGEIFS(nNOTA,nNIA,S79,nCUENTA,1,nASIG,"Orquesta/Banda/Conjunto"),"")))</f>
        <v/>
      </c>
      <c r="V79" t="str">
        <f>IF(S79="","",IF(S79="[FÓRMULA MANUAL]","",IFERROR(AVERAGEIFS(nNOTA,nNIA,S79,nCUENTA,1,nASIG,"Música de Cámara"),"")))</f>
        <v/>
      </c>
      <c r="W79" t="str">
        <f>IF(S79="","",IF(S79="[FÓRMULA MANUAL]","",IFERROR(SUMPRODUCT((nNIA=S79)*(nCUENTA=1)*(COUNTIF(CONFIG_ASIGNATURAS!$B$7:$B$27,nASIG)&gt;0)*(nNOTA))/SUMPRODUCT((nNIA=S79)*(nCUENTA=1)*(COUNTIF(CONFIG_ASIGNATURAS!$B$7:$B$27,nASIG)&gt;0)*1),"")))</f>
        <v/>
      </c>
      <c r="Z79" t="str">
        <f>IF(Y79="","",IF(Y79="[FÓRMULA MANUAL]","",IFERROR(AVERAGEIFS(nNOTA,nNIA,Y79,nCUENTA,1,nASIG,"Análisis"),"")))</f>
        <v/>
      </c>
      <c r="AA79" t="str">
        <f>IF(Y79="","",IF(Y79="[FÓRMULA MANUAL]","",IFERROR(AVERAGEIFS(nNOTA,nNIA,Y79,nCUENTA,1,nASIG,"Orquesta/Banda/Conjunto"),"")))</f>
        <v/>
      </c>
      <c r="AB79" t="str">
        <f>IF(Y79="","",IF(Y79="[FÓRMULA MANUAL]","",IFERROR(AVERAGEIFS(nNOTA,nNIA,Y79,nCUENTA,1,nASIG,"Música de Cámara"),"")))</f>
        <v/>
      </c>
      <c r="AC79" t="str">
        <f>IF(Y79="","",IF(Y79="[FÓRMULA MANUAL]","",IFERROR(SUMPRODUCT((nNIA=Y79)*(nCUENTA=1)*(COUNTIF(CONFIG_ASIGNATURAS!$B$7:$B$27,nASIG)&gt;0)*(nNOTA))/SUMPRODUCT((nNIA=Y79)*(nCUENTA=1)*(COUNTIF(CONFIG_ASIGNATURAS!$B$7:$B$27,nASIG)&gt;0)*1),"")))</f>
        <v/>
      </c>
      <c r="AF79" t="str">
        <f>IF(AE79="","",IF(AE79="[FÓRMULA MANUAL]","",IFERROR(AVERAGEIFS(nNOTA,nNIA,AE79,nCUENTA,1,nASIG,"Análisis"),"")))</f>
        <v/>
      </c>
      <c r="AG79" t="str">
        <f>IF(AE79="","",IF(AE79="[FÓRMULA MANUAL]","",IFERROR(AVERAGEIFS(nNOTA,nNIA,AE79,nCUENTA,1,nASIG,"Orquesta/Banda/Conjunto"),"")))</f>
        <v/>
      </c>
      <c r="AH79" t="str">
        <f>IF(AE79="","",IF(AE79="[FÓRMULA MANUAL]","",IFERROR(AVERAGEIFS(nNOTA,nNIA,AE79,nCUENTA,1,nASIG,"Música de Cámara"),"")))</f>
        <v/>
      </c>
      <c r="AI79" t="str">
        <f>IF(AE79="","",IF(AE79="[FÓRMULA MANUAL]","",IFERROR(SUMPRODUCT((nNIA=AE79)*(nCUENTA=1)*(COUNTIF(CONFIG_ASIGNATURAS!$B$7:$B$27,nASIG)&gt;0)*(nNOTA))/SUMPRODUCT((nNIA=AE79)*(nCUENTA=1)*(COUNTIF(CONFIG_ASIGNATURAS!$B$7:$B$27,nASIG)&gt;0)*1),"")))</f>
        <v/>
      </c>
    </row>
    <row r="80" spans="2:35" x14ac:dyDescent="0.2">
      <c r="B80" t="str">
        <f>IF(A80="","",IF(A80="[FÓRMULA MANUAL]","",IFERROR(AVERAGEIFS(nNOTA,nNIA,A80,nCUENTA,1,nASIG,"Lenguaje Musical"),"")))</f>
        <v/>
      </c>
      <c r="C80" t="str">
        <f>IF(A80="","",IF(A80="[FÓRMULA MANUAL]","",IFERROR(AVERAGEIFS(nNOTA,nNIA,A80,nCUENTA,1,nASIG,"Orquesta/Banda/Conjunto"),"")))</f>
        <v/>
      </c>
      <c r="D80" t="str">
        <f>IF(A80="","",IF(A80="[FÓRMULA MANUAL]","",IFERROR(AVERAGEIFS(nNOTA,nNIA,A80,nCUENTA,1,nASIG,"Conjunto"),"")))</f>
        <v/>
      </c>
      <c r="E80" t="str">
        <f>IF(A80="","",IF(A80="[FÓRMULA MANUAL]","",IFERROR(SUMPRODUCT((nNIA=A80)*(nCUENTA=1)*(COUNTIF(CONFIG_ASIGNATURAS!$B$7:$B$27,nASIG)&gt;0)*(nNOTA))/SUMPRODUCT((nNIA=A80)*(nCUENTA=1)*(COUNTIF(CONFIG_ASIGNATURAS!$B$7:$B$27,nASIG)&gt;0)*1),"")))</f>
        <v/>
      </c>
      <c r="H80" t="str">
        <f>IF(G80="","",IF(G80="[FÓRMULA MANUAL]","",IFERROR(AVERAGEIFS(nNOTA,nNIA,G80,nCUENTA,1,nASIG,"Lenguaje Musical"),"")))</f>
        <v/>
      </c>
      <c r="I80" t="str">
        <f>IF(G80="","",IF(G80="[FÓRMULA MANUAL]","",IFERROR(AVERAGEIFS(nNOTA,nNIA,G80,nCUENTA,1,nASIG,"Orquesta/Banda/Conjunto"),"")))</f>
        <v/>
      </c>
      <c r="J80" t="str">
        <f>IF(G80="","",IF(G80="[FÓRMULA MANUAL]","",IFERROR(AVERAGEIFS(nNOTA,nNIA,G80,nCUENTA,1,nASIG,"Conjunto"),"")))</f>
        <v/>
      </c>
      <c r="K80" t="str">
        <f>IF(G80="","",IF(G80="[FÓRMULA MANUAL]","",IFERROR(SUMPRODUCT((nNIA=G80)*(nCUENTA=1)*(COUNTIF(CONFIG_ASIGNATURAS!$B$7:$B$27,nASIG)&gt;0)*(nNOTA))/SUMPRODUCT((nNIA=G80)*(nCUENTA=1)*(COUNTIF(CONFIG_ASIGNATURAS!$B$7:$B$27,nASIG)&gt;0)*1),"")))</f>
        <v/>
      </c>
      <c r="N80" t="str">
        <f>IF(M80="","",IF(M80="[FÓRMULA MANUAL]","",IFERROR(AVERAGEIFS(nNOTA,nNIA,M80,nCUENTA,1,nASIG,"Armonía"),"")))</f>
        <v/>
      </c>
      <c r="O80" t="str">
        <f>IF(M80="","",IF(M80="[FÓRMULA MANUAL]","",IFERROR(AVERAGEIFS(nNOTA,nNIA,M80,nCUENTA,1,nASIG,"Orquesta/Banda/Conjunto"),"")))</f>
        <v/>
      </c>
      <c r="P80" t="str">
        <f>IF(M80="","",IF(M80="[FÓRMULA MANUAL]","",IFERROR(AVERAGEIFS(nNOTA,nNIA,M80,nCUENTA,1,nASIG,"Música de Cámara"),"")))</f>
        <v/>
      </c>
      <c r="Q80" t="str">
        <f>IF(M80="","",IF(M80="[FÓRMULA MANUAL]","",IFERROR(SUMPRODUCT((nNIA=M80)*(nCUENTA=1)*(COUNTIF(CONFIG_ASIGNATURAS!$B$7:$B$27,nASIG)&gt;0)*(nNOTA))/SUMPRODUCT((nNIA=M80)*(nCUENTA=1)*(COUNTIF(CONFIG_ASIGNATURAS!$B$7:$B$27,nASIG)&gt;0)*1),"")))</f>
        <v/>
      </c>
      <c r="T80" t="str">
        <f>IF(S80="","",IF(S80="[FÓRMULA MANUAL]","",IFERROR(AVERAGEIFS(nNOTA,nNIA,S80,nCUENTA,1,nASIG,"Armonía"),"")))</f>
        <v/>
      </c>
      <c r="U80" t="str">
        <f>IF(S80="","",IF(S80="[FÓRMULA MANUAL]","",IFERROR(AVERAGEIFS(nNOTA,nNIA,S80,nCUENTA,1,nASIG,"Orquesta/Banda/Conjunto"),"")))</f>
        <v/>
      </c>
      <c r="V80" t="str">
        <f>IF(S80="","",IF(S80="[FÓRMULA MANUAL]","",IFERROR(AVERAGEIFS(nNOTA,nNIA,S80,nCUENTA,1,nASIG,"Música de Cámara"),"")))</f>
        <v/>
      </c>
      <c r="W80" t="str">
        <f>IF(S80="","",IF(S80="[FÓRMULA MANUAL]","",IFERROR(SUMPRODUCT((nNIA=S80)*(nCUENTA=1)*(COUNTIF(CONFIG_ASIGNATURAS!$B$7:$B$27,nASIG)&gt;0)*(nNOTA))/SUMPRODUCT((nNIA=S80)*(nCUENTA=1)*(COUNTIF(CONFIG_ASIGNATURAS!$B$7:$B$27,nASIG)&gt;0)*1),"")))</f>
        <v/>
      </c>
      <c r="Z80" t="str">
        <f>IF(Y80="","",IF(Y80="[FÓRMULA MANUAL]","",IFERROR(AVERAGEIFS(nNOTA,nNIA,Y80,nCUENTA,1,nASIG,"Análisis"),"")))</f>
        <v/>
      </c>
      <c r="AA80" t="str">
        <f>IF(Y80="","",IF(Y80="[FÓRMULA MANUAL]","",IFERROR(AVERAGEIFS(nNOTA,nNIA,Y80,nCUENTA,1,nASIG,"Orquesta/Banda/Conjunto"),"")))</f>
        <v/>
      </c>
      <c r="AB80" t="str">
        <f>IF(Y80="","",IF(Y80="[FÓRMULA MANUAL]","",IFERROR(AVERAGEIFS(nNOTA,nNIA,Y80,nCUENTA,1,nASIG,"Música de Cámara"),"")))</f>
        <v/>
      </c>
      <c r="AC80" t="str">
        <f>IF(Y80="","",IF(Y80="[FÓRMULA MANUAL]","",IFERROR(SUMPRODUCT((nNIA=Y80)*(nCUENTA=1)*(COUNTIF(CONFIG_ASIGNATURAS!$B$7:$B$27,nASIG)&gt;0)*(nNOTA))/SUMPRODUCT((nNIA=Y80)*(nCUENTA=1)*(COUNTIF(CONFIG_ASIGNATURAS!$B$7:$B$27,nASIG)&gt;0)*1),"")))</f>
        <v/>
      </c>
      <c r="AF80" t="str">
        <f>IF(AE80="","",IF(AE80="[FÓRMULA MANUAL]","",IFERROR(AVERAGEIFS(nNOTA,nNIA,AE80,nCUENTA,1,nASIG,"Análisis"),"")))</f>
        <v/>
      </c>
      <c r="AG80" t="str">
        <f>IF(AE80="","",IF(AE80="[FÓRMULA MANUAL]","",IFERROR(AVERAGEIFS(nNOTA,nNIA,AE80,nCUENTA,1,nASIG,"Orquesta/Banda/Conjunto"),"")))</f>
        <v/>
      </c>
      <c r="AH80" t="str">
        <f>IF(AE80="","",IF(AE80="[FÓRMULA MANUAL]","",IFERROR(AVERAGEIFS(nNOTA,nNIA,AE80,nCUENTA,1,nASIG,"Música de Cámara"),"")))</f>
        <v/>
      </c>
      <c r="AI80" t="str">
        <f>IF(AE80="","",IF(AE80="[FÓRMULA MANUAL]","",IFERROR(SUMPRODUCT((nNIA=AE80)*(nCUENTA=1)*(COUNTIF(CONFIG_ASIGNATURAS!$B$7:$B$27,nASIG)&gt;0)*(nNOTA))/SUMPRODUCT((nNIA=AE80)*(nCUENTA=1)*(COUNTIF(CONFIG_ASIGNATURAS!$B$7:$B$27,nASIG)&gt;0)*1),"")))</f>
        <v/>
      </c>
    </row>
    <row r="81" spans="2:35" x14ac:dyDescent="0.2">
      <c r="B81" t="str">
        <f>IF(A81="","",IF(A81="[FÓRMULA MANUAL]","",IFERROR(AVERAGEIFS(nNOTA,nNIA,A81,nCUENTA,1,nASIG,"Lenguaje Musical"),"")))</f>
        <v/>
      </c>
      <c r="C81" t="str">
        <f>IF(A81="","",IF(A81="[FÓRMULA MANUAL]","",IFERROR(AVERAGEIFS(nNOTA,nNIA,A81,nCUENTA,1,nASIG,"Orquesta/Banda/Conjunto"),"")))</f>
        <v/>
      </c>
      <c r="D81" t="str">
        <f>IF(A81="","",IF(A81="[FÓRMULA MANUAL]","",IFERROR(AVERAGEIFS(nNOTA,nNIA,A81,nCUENTA,1,nASIG,"Conjunto"),"")))</f>
        <v/>
      </c>
      <c r="E81" t="str">
        <f>IF(A81="","",IF(A81="[FÓRMULA MANUAL]","",IFERROR(SUMPRODUCT((nNIA=A81)*(nCUENTA=1)*(COUNTIF(CONFIG_ASIGNATURAS!$B$7:$B$27,nASIG)&gt;0)*(nNOTA))/SUMPRODUCT((nNIA=A81)*(nCUENTA=1)*(COUNTIF(CONFIG_ASIGNATURAS!$B$7:$B$27,nASIG)&gt;0)*1),"")))</f>
        <v/>
      </c>
      <c r="H81" t="str">
        <f>IF(G81="","",IF(G81="[FÓRMULA MANUAL]","",IFERROR(AVERAGEIFS(nNOTA,nNIA,G81,nCUENTA,1,nASIG,"Lenguaje Musical"),"")))</f>
        <v/>
      </c>
      <c r="I81" t="str">
        <f>IF(G81="","",IF(G81="[FÓRMULA MANUAL]","",IFERROR(AVERAGEIFS(nNOTA,nNIA,G81,nCUENTA,1,nASIG,"Orquesta/Banda/Conjunto"),"")))</f>
        <v/>
      </c>
      <c r="J81" t="str">
        <f>IF(G81="","",IF(G81="[FÓRMULA MANUAL]","",IFERROR(AVERAGEIFS(nNOTA,nNIA,G81,nCUENTA,1,nASIG,"Conjunto"),"")))</f>
        <v/>
      </c>
      <c r="K81" t="str">
        <f>IF(G81="","",IF(G81="[FÓRMULA MANUAL]","",IFERROR(SUMPRODUCT((nNIA=G81)*(nCUENTA=1)*(COUNTIF(CONFIG_ASIGNATURAS!$B$7:$B$27,nASIG)&gt;0)*(nNOTA))/SUMPRODUCT((nNIA=G81)*(nCUENTA=1)*(COUNTIF(CONFIG_ASIGNATURAS!$B$7:$B$27,nASIG)&gt;0)*1),"")))</f>
        <v/>
      </c>
      <c r="N81" t="str">
        <f>IF(M81="","",IF(M81="[FÓRMULA MANUAL]","",IFERROR(AVERAGEIFS(nNOTA,nNIA,M81,nCUENTA,1,nASIG,"Armonía"),"")))</f>
        <v/>
      </c>
      <c r="O81" t="str">
        <f>IF(M81="","",IF(M81="[FÓRMULA MANUAL]","",IFERROR(AVERAGEIFS(nNOTA,nNIA,M81,nCUENTA,1,nASIG,"Orquesta/Banda/Conjunto"),"")))</f>
        <v/>
      </c>
      <c r="P81" t="str">
        <f>IF(M81="","",IF(M81="[FÓRMULA MANUAL]","",IFERROR(AVERAGEIFS(nNOTA,nNIA,M81,nCUENTA,1,nASIG,"Música de Cámara"),"")))</f>
        <v/>
      </c>
      <c r="Q81" t="str">
        <f>IF(M81="","",IF(M81="[FÓRMULA MANUAL]","",IFERROR(SUMPRODUCT((nNIA=M81)*(nCUENTA=1)*(COUNTIF(CONFIG_ASIGNATURAS!$B$7:$B$27,nASIG)&gt;0)*(nNOTA))/SUMPRODUCT((nNIA=M81)*(nCUENTA=1)*(COUNTIF(CONFIG_ASIGNATURAS!$B$7:$B$27,nASIG)&gt;0)*1),"")))</f>
        <v/>
      </c>
      <c r="T81" t="str">
        <f>IF(S81="","",IF(S81="[FÓRMULA MANUAL]","",IFERROR(AVERAGEIFS(nNOTA,nNIA,S81,nCUENTA,1,nASIG,"Armonía"),"")))</f>
        <v/>
      </c>
      <c r="U81" t="str">
        <f>IF(S81="","",IF(S81="[FÓRMULA MANUAL]","",IFERROR(AVERAGEIFS(nNOTA,nNIA,S81,nCUENTA,1,nASIG,"Orquesta/Banda/Conjunto"),"")))</f>
        <v/>
      </c>
      <c r="V81" t="str">
        <f>IF(S81="","",IF(S81="[FÓRMULA MANUAL]","",IFERROR(AVERAGEIFS(nNOTA,nNIA,S81,nCUENTA,1,nASIG,"Música de Cámara"),"")))</f>
        <v/>
      </c>
      <c r="W81" t="str">
        <f>IF(S81="","",IF(S81="[FÓRMULA MANUAL]","",IFERROR(SUMPRODUCT((nNIA=S81)*(nCUENTA=1)*(COUNTIF(CONFIG_ASIGNATURAS!$B$7:$B$27,nASIG)&gt;0)*(nNOTA))/SUMPRODUCT((nNIA=S81)*(nCUENTA=1)*(COUNTIF(CONFIG_ASIGNATURAS!$B$7:$B$27,nASIG)&gt;0)*1),"")))</f>
        <v/>
      </c>
      <c r="Z81" t="str">
        <f>IF(Y81="","",IF(Y81="[FÓRMULA MANUAL]","",IFERROR(AVERAGEIFS(nNOTA,nNIA,Y81,nCUENTA,1,nASIG,"Análisis"),"")))</f>
        <v/>
      </c>
      <c r="AA81" t="str">
        <f>IF(Y81="","",IF(Y81="[FÓRMULA MANUAL]","",IFERROR(AVERAGEIFS(nNOTA,nNIA,Y81,nCUENTA,1,nASIG,"Orquesta/Banda/Conjunto"),"")))</f>
        <v/>
      </c>
      <c r="AB81" t="str">
        <f>IF(Y81="","",IF(Y81="[FÓRMULA MANUAL]","",IFERROR(AVERAGEIFS(nNOTA,nNIA,Y81,nCUENTA,1,nASIG,"Música de Cámara"),"")))</f>
        <v/>
      </c>
      <c r="AC81" t="str">
        <f>IF(Y81="","",IF(Y81="[FÓRMULA MANUAL]","",IFERROR(SUMPRODUCT((nNIA=Y81)*(nCUENTA=1)*(COUNTIF(CONFIG_ASIGNATURAS!$B$7:$B$27,nASIG)&gt;0)*(nNOTA))/SUMPRODUCT((nNIA=Y81)*(nCUENTA=1)*(COUNTIF(CONFIG_ASIGNATURAS!$B$7:$B$27,nASIG)&gt;0)*1),"")))</f>
        <v/>
      </c>
      <c r="AF81" t="str">
        <f>IF(AE81="","",IF(AE81="[FÓRMULA MANUAL]","",IFERROR(AVERAGEIFS(nNOTA,nNIA,AE81,nCUENTA,1,nASIG,"Análisis"),"")))</f>
        <v/>
      </c>
      <c r="AG81" t="str">
        <f>IF(AE81="","",IF(AE81="[FÓRMULA MANUAL]","",IFERROR(AVERAGEIFS(nNOTA,nNIA,AE81,nCUENTA,1,nASIG,"Orquesta/Banda/Conjunto"),"")))</f>
        <v/>
      </c>
      <c r="AH81" t="str">
        <f>IF(AE81="","",IF(AE81="[FÓRMULA MANUAL]","",IFERROR(AVERAGEIFS(nNOTA,nNIA,AE81,nCUENTA,1,nASIG,"Música de Cámara"),"")))</f>
        <v/>
      </c>
      <c r="AI81" t="str">
        <f>IF(AE81="","",IF(AE81="[FÓRMULA MANUAL]","",IFERROR(SUMPRODUCT((nNIA=AE81)*(nCUENTA=1)*(COUNTIF(CONFIG_ASIGNATURAS!$B$7:$B$27,nASIG)&gt;0)*(nNOTA))/SUMPRODUCT((nNIA=AE81)*(nCUENTA=1)*(COUNTIF(CONFIG_ASIGNATURAS!$B$7:$B$27,nASIG)&gt;0)*1),"")))</f>
        <v/>
      </c>
    </row>
    <row r="82" spans="2:35" x14ac:dyDescent="0.2">
      <c r="B82" t="str">
        <f>IF(A82="","",IF(A82="[FÓRMULA MANUAL]","",IFERROR(AVERAGEIFS(nNOTA,nNIA,A82,nCUENTA,1,nASIG,"Lenguaje Musical"),"")))</f>
        <v/>
      </c>
      <c r="C82" t="str">
        <f>IF(A82="","",IF(A82="[FÓRMULA MANUAL]","",IFERROR(AVERAGEIFS(nNOTA,nNIA,A82,nCUENTA,1,nASIG,"Orquesta/Banda/Conjunto"),"")))</f>
        <v/>
      </c>
      <c r="D82" t="str">
        <f>IF(A82="","",IF(A82="[FÓRMULA MANUAL]","",IFERROR(AVERAGEIFS(nNOTA,nNIA,A82,nCUENTA,1,nASIG,"Conjunto"),"")))</f>
        <v/>
      </c>
      <c r="E82" t="str">
        <f>IF(A82="","",IF(A82="[FÓRMULA MANUAL]","",IFERROR(SUMPRODUCT((nNIA=A82)*(nCUENTA=1)*(COUNTIF(CONFIG_ASIGNATURAS!$B$7:$B$27,nASIG)&gt;0)*(nNOTA))/SUMPRODUCT((nNIA=A82)*(nCUENTA=1)*(COUNTIF(CONFIG_ASIGNATURAS!$B$7:$B$27,nASIG)&gt;0)*1),"")))</f>
        <v/>
      </c>
      <c r="H82" t="str">
        <f>IF(G82="","",IF(G82="[FÓRMULA MANUAL]","",IFERROR(AVERAGEIFS(nNOTA,nNIA,G82,nCUENTA,1,nASIG,"Lenguaje Musical"),"")))</f>
        <v/>
      </c>
      <c r="I82" t="str">
        <f>IF(G82="","",IF(G82="[FÓRMULA MANUAL]","",IFERROR(AVERAGEIFS(nNOTA,nNIA,G82,nCUENTA,1,nASIG,"Orquesta/Banda/Conjunto"),"")))</f>
        <v/>
      </c>
      <c r="J82" t="str">
        <f>IF(G82="","",IF(G82="[FÓRMULA MANUAL]","",IFERROR(AVERAGEIFS(nNOTA,nNIA,G82,nCUENTA,1,nASIG,"Conjunto"),"")))</f>
        <v/>
      </c>
      <c r="K82" t="str">
        <f>IF(G82="","",IF(G82="[FÓRMULA MANUAL]","",IFERROR(SUMPRODUCT((nNIA=G82)*(nCUENTA=1)*(COUNTIF(CONFIG_ASIGNATURAS!$B$7:$B$27,nASIG)&gt;0)*(nNOTA))/SUMPRODUCT((nNIA=G82)*(nCUENTA=1)*(COUNTIF(CONFIG_ASIGNATURAS!$B$7:$B$27,nASIG)&gt;0)*1),"")))</f>
        <v/>
      </c>
      <c r="N82" t="str">
        <f>IF(M82="","",IF(M82="[FÓRMULA MANUAL]","",IFERROR(AVERAGEIFS(nNOTA,nNIA,M82,nCUENTA,1,nASIG,"Armonía"),"")))</f>
        <v/>
      </c>
      <c r="O82" t="str">
        <f>IF(M82="","",IF(M82="[FÓRMULA MANUAL]","",IFERROR(AVERAGEIFS(nNOTA,nNIA,M82,nCUENTA,1,nASIG,"Orquesta/Banda/Conjunto"),"")))</f>
        <v/>
      </c>
      <c r="P82" t="str">
        <f>IF(M82="","",IF(M82="[FÓRMULA MANUAL]","",IFERROR(AVERAGEIFS(nNOTA,nNIA,M82,nCUENTA,1,nASIG,"Música de Cámara"),"")))</f>
        <v/>
      </c>
      <c r="Q82" t="str">
        <f>IF(M82="","",IF(M82="[FÓRMULA MANUAL]","",IFERROR(SUMPRODUCT((nNIA=M82)*(nCUENTA=1)*(COUNTIF(CONFIG_ASIGNATURAS!$B$7:$B$27,nASIG)&gt;0)*(nNOTA))/SUMPRODUCT((nNIA=M82)*(nCUENTA=1)*(COUNTIF(CONFIG_ASIGNATURAS!$B$7:$B$27,nASIG)&gt;0)*1),"")))</f>
        <v/>
      </c>
      <c r="T82" t="str">
        <f>IF(S82="","",IF(S82="[FÓRMULA MANUAL]","",IFERROR(AVERAGEIFS(nNOTA,nNIA,S82,nCUENTA,1,nASIG,"Armonía"),"")))</f>
        <v/>
      </c>
      <c r="U82" t="str">
        <f>IF(S82="","",IF(S82="[FÓRMULA MANUAL]","",IFERROR(AVERAGEIFS(nNOTA,nNIA,S82,nCUENTA,1,nASIG,"Orquesta/Banda/Conjunto"),"")))</f>
        <v/>
      </c>
      <c r="V82" t="str">
        <f>IF(S82="","",IF(S82="[FÓRMULA MANUAL]","",IFERROR(AVERAGEIFS(nNOTA,nNIA,S82,nCUENTA,1,nASIG,"Música de Cámara"),"")))</f>
        <v/>
      </c>
      <c r="W82" t="str">
        <f>IF(S82="","",IF(S82="[FÓRMULA MANUAL]","",IFERROR(SUMPRODUCT((nNIA=S82)*(nCUENTA=1)*(COUNTIF(CONFIG_ASIGNATURAS!$B$7:$B$27,nASIG)&gt;0)*(nNOTA))/SUMPRODUCT((nNIA=S82)*(nCUENTA=1)*(COUNTIF(CONFIG_ASIGNATURAS!$B$7:$B$27,nASIG)&gt;0)*1),"")))</f>
        <v/>
      </c>
      <c r="Z82" t="str">
        <f>IF(Y82="","",IF(Y82="[FÓRMULA MANUAL]","",IFERROR(AVERAGEIFS(nNOTA,nNIA,Y82,nCUENTA,1,nASIG,"Análisis"),"")))</f>
        <v/>
      </c>
      <c r="AA82" t="str">
        <f>IF(Y82="","",IF(Y82="[FÓRMULA MANUAL]","",IFERROR(AVERAGEIFS(nNOTA,nNIA,Y82,nCUENTA,1,nASIG,"Orquesta/Banda/Conjunto"),"")))</f>
        <v/>
      </c>
      <c r="AB82" t="str">
        <f>IF(Y82="","",IF(Y82="[FÓRMULA MANUAL]","",IFERROR(AVERAGEIFS(nNOTA,nNIA,Y82,nCUENTA,1,nASIG,"Música de Cámara"),"")))</f>
        <v/>
      </c>
      <c r="AC82" t="str">
        <f>IF(Y82="","",IF(Y82="[FÓRMULA MANUAL]","",IFERROR(SUMPRODUCT((nNIA=Y82)*(nCUENTA=1)*(COUNTIF(CONFIG_ASIGNATURAS!$B$7:$B$27,nASIG)&gt;0)*(nNOTA))/SUMPRODUCT((nNIA=Y82)*(nCUENTA=1)*(COUNTIF(CONFIG_ASIGNATURAS!$B$7:$B$27,nASIG)&gt;0)*1),"")))</f>
        <v/>
      </c>
      <c r="AF82" t="str">
        <f>IF(AE82="","",IF(AE82="[FÓRMULA MANUAL]","",IFERROR(AVERAGEIFS(nNOTA,nNIA,AE82,nCUENTA,1,nASIG,"Análisis"),"")))</f>
        <v/>
      </c>
      <c r="AG82" t="str">
        <f>IF(AE82="","",IF(AE82="[FÓRMULA MANUAL]","",IFERROR(AVERAGEIFS(nNOTA,nNIA,AE82,nCUENTA,1,nASIG,"Orquesta/Banda/Conjunto"),"")))</f>
        <v/>
      </c>
      <c r="AH82" t="str">
        <f>IF(AE82="","",IF(AE82="[FÓRMULA MANUAL]","",IFERROR(AVERAGEIFS(nNOTA,nNIA,AE82,nCUENTA,1,nASIG,"Música de Cámara"),"")))</f>
        <v/>
      </c>
      <c r="AI82" t="str">
        <f>IF(AE82="","",IF(AE82="[FÓRMULA MANUAL]","",IFERROR(SUMPRODUCT((nNIA=AE82)*(nCUENTA=1)*(COUNTIF(CONFIG_ASIGNATURAS!$B$7:$B$27,nASIG)&gt;0)*(nNOTA))/SUMPRODUCT((nNIA=AE82)*(nCUENTA=1)*(COUNTIF(CONFIG_ASIGNATURAS!$B$7:$B$27,nASIG)&gt;0)*1),"")))</f>
        <v/>
      </c>
    </row>
    <row r="83" spans="2:35" x14ac:dyDescent="0.2">
      <c r="B83" t="str">
        <f>IF(A83="","",IF(A83="[FÓRMULA MANUAL]","",IFERROR(AVERAGEIFS(nNOTA,nNIA,A83,nCUENTA,1,nASIG,"Lenguaje Musical"),"")))</f>
        <v/>
      </c>
      <c r="C83" t="str">
        <f>IF(A83="","",IF(A83="[FÓRMULA MANUAL]","",IFERROR(AVERAGEIFS(nNOTA,nNIA,A83,nCUENTA,1,nASIG,"Orquesta/Banda/Conjunto"),"")))</f>
        <v/>
      </c>
      <c r="D83" t="str">
        <f>IF(A83="","",IF(A83="[FÓRMULA MANUAL]","",IFERROR(AVERAGEIFS(nNOTA,nNIA,A83,nCUENTA,1,nASIG,"Conjunto"),"")))</f>
        <v/>
      </c>
      <c r="E83" t="str">
        <f>IF(A83="","",IF(A83="[FÓRMULA MANUAL]","",IFERROR(SUMPRODUCT((nNIA=A83)*(nCUENTA=1)*(COUNTIF(CONFIG_ASIGNATURAS!$B$7:$B$27,nASIG)&gt;0)*(nNOTA))/SUMPRODUCT((nNIA=A83)*(nCUENTA=1)*(COUNTIF(CONFIG_ASIGNATURAS!$B$7:$B$27,nASIG)&gt;0)*1),"")))</f>
        <v/>
      </c>
      <c r="H83" t="str">
        <f>IF(G83="","",IF(G83="[FÓRMULA MANUAL]","",IFERROR(AVERAGEIFS(nNOTA,nNIA,G83,nCUENTA,1,nASIG,"Lenguaje Musical"),"")))</f>
        <v/>
      </c>
      <c r="I83" t="str">
        <f>IF(G83="","",IF(G83="[FÓRMULA MANUAL]","",IFERROR(AVERAGEIFS(nNOTA,nNIA,G83,nCUENTA,1,nASIG,"Orquesta/Banda/Conjunto"),"")))</f>
        <v/>
      </c>
      <c r="J83" t="str">
        <f>IF(G83="","",IF(G83="[FÓRMULA MANUAL]","",IFERROR(AVERAGEIFS(nNOTA,nNIA,G83,nCUENTA,1,nASIG,"Conjunto"),"")))</f>
        <v/>
      </c>
      <c r="K83" t="str">
        <f>IF(G83="","",IF(G83="[FÓRMULA MANUAL]","",IFERROR(SUMPRODUCT((nNIA=G83)*(nCUENTA=1)*(COUNTIF(CONFIG_ASIGNATURAS!$B$7:$B$27,nASIG)&gt;0)*(nNOTA))/SUMPRODUCT((nNIA=G83)*(nCUENTA=1)*(COUNTIF(CONFIG_ASIGNATURAS!$B$7:$B$27,nASIG)&gt;0)*1),"")))</f>
        <v/>
      </c>
      <c r="N83" t="str">
        <f>IF(M83="","",IF(M83="[FÓRMULA MANUAL]","",IFERROR(AVERAGEIFS(nNOTA,nNIA,M83,nCUENTA,1,nASIG,"Armonía"),"")))</f>
        <v/>
      </c>
      <c r="O83" t="str">
        <f>IF(M83="","",IF(M83="[FÓRMULA MANUAL]","",IFERROR(AVERAGEIFS(nNOTA,nNIA,M83,nCUENTA,1,nASIG,"Orquesta/Banda/Conjunto"),"")))</f>
        <v/>
      </c>
      <c r="P83" t="str">
        <f>IF(M83="","",IF(M83="[FÓRMULA MANUAL]","",IFERROR(AVERAGEIFS(nNOTA,nNIA,M83,nCUENTA,1,nASIG,"Música de Cámara"),"")))</f>
        <v/>
      </c>
      <c r="Q83" t="str">
        <f>IF(M83="","",IF(M83="[FÓRMULA MANUAL]","",IFERROR(SUMPRODUCT((nNIA=M83)*(nCUENTA=1)*(COUNTIF(CONFIG_ASIGNATURAS!$B$7:$B$27,nASIG)&gt;0)*(nNOTA))/SUMPRODUCT((nNIA=M83)*(nCUENTA=1)*(COUNTIF(CONFIG_ASIGNATURAS!$B$7:$B$27,nASIG)&gt;0)*1),"")))</f>
        <v/>
      </c>
      <c r="T83" t="str">
        <f>IF(S83="","",IF(S83="[FÓRMULA MANUAL]","",IFERROR(AVERAGEIFS(nNOTA,nNIA,S83,nCUENTA,1,nASIG,"Armonía"),"")))</f>
        <v/>
      </c>
      <c r="U83" t="str">
        <f>IF(S83="","",IF(S83="[FÓRMULA MANUAL]","",IFERROR(AVERAGEIFS(nNOTA,nNIA,S83,nCUENTA,1,nASIG,"Orquesta/Banda/Conjunto"),"")))</f>
        <v/>
      </c>
      <c r="V83" t="str">
        <f>IF(S83="","",IF(S83="[FÓRMULA MANUAL]","",IFERROR(AVERAGEIFS(nNOTA,nNIA,S83,nCUENTA,1,nASIG,"Música de Cámara"),"")))</f>
        <v/>
      </c>
      <c r="W83" t="str">
        <f>IF(S83="","",IF(S83="[FÓRMULA MANUAL]","",IFERROR(SUMPRODUCT((nNIA=S83)*(nCUENTA=1)*(COUNTIF(CONFIG_ASIGNATURAS!$B$7:$B$27,nASIG)&gt;0)*(nNOTA))/SUMPRODUCT((nNIA=S83)*(nCUENTA=1)*(COUNTIF(CONFIG_ASIGNATURAS!$B$7:$B$27,nASIG)&gt;0)*1),"")))</f>
        <v/>
      </c>
      <c r="Z83" t="str">
        <f>IF(Y83="","",IF(Y83="[FÓRMULA MANUAL]","",IFERROR(AVERAGEIFS(nNOTA,nNIA,Y83,nCUENTA,1,nASIG,"Análisis"),"")))</f>
        <v/>
      </c>
      <c r="AA83" t="str">
        <f>IF(Y83="","",IF(Y83="[FÓRMULA MANUAL]","",IFERROR(AVERAGEIFS(nNOTA,nNIA,Y83,nCUENTA,1,nASIG,"Orquesta/Banda/Conjunto"),"")))</f>
        <v/>
      </c>
      <c r="AB83" t="str">
        <f>IF(Y83="","",IF(Y83="[FÓRMULA MANUAL]","",IFERROR(AVERAGEIFS(nNOTA,nNIA,Y83,nCUENTA,1,nASIG,"Música de Cámara"),"")))</f>
        <v/>
      </c>
      <c r="AC83" t="str">
        <f>IF(Y83="","",IF(Y83="[FÓRMULA MANUAL]","",IFERROR(SUMPRODUCT((nNIA=Y83)*(nCUENTA=1)*(COUNTIF(CONFIG_ASIGNATURAS!$B$7:$B$27,nASIG)&gt;0)*(nNOTA))/SUMPRODUCT((nNIA=Y83)*(nCUENTA=1)*(COUNTIF(CONFIG_ASIGNATURAS!$B$7:$B$27,nASIG)&gt;0)*1),"")))</f>
        <v/>
      </c>
      <c r="AF83" t="str">
        <f>IF(AE83="","",IF(AE83="[FÓRMULA MANUAL]","",IFERROR(AVERAGEIFS(nNOTA,nNIA,AE83,nCUENTA,1,nASIG,"Análisis"),"")))</f>
        <v/>
      </c>
      <c r="AG83" t="str">
        <f>IF(AE83="","",IF(AE83="[FÓRMULA MANUAL]","",IFERROR(AVERAGEIFS(nNOTA,nNIA,AE83,nCUENTA,1,nASIG,"Orquesta/Banda/Conjunto"),"")))</f>
        <v/>
      </c>
      <c r="AH83" t="str">
        <f>IF(AE83="","",IF(AE83="[FÓRMULA MANUAL]","",IFERROR(AVERAGEIFS(nNOTA,nNIA,AE83,nCUENTA,1,nASIG,"Música de Cámara"),"")))</f>
        <v/>
      </c>
      <c r="AI83" t="str">
        <f>IF(AE83="","",IF(AE83="[FÓRMULA MANUAL]","",IFERROR(SUMPRODUCT((nNIA=AE83)*(nCUENTA=1)*(COUNTIF(CONFIG_ASIGNATURAS!$B$7:$B$27,nASIG)&gt;0)*(nNOTA))/SUMPRODUCT((nNIA=AE83)*(nCUENTA=1)*(COUNTIF(CONFIG_ASIGNATURAS!$B$7:$B$27,nASIG)&gt;0)*1),"")))</f>
        <v/>
      </c>
    </row>
    <row r="84" spans="2:35" x14ac:dyDescent="0.2">
      <c r="B84" t="str">
        <f>IF(A84="","",IF(A84="[FÓRMULA MANUAL]","",IFERROR(AVERAGEIFS(nNOTA,nNIA,A84,nCUENTA,1,nASIG,"Lenguaje Musical"),"")))</f>
        <v/>
      </c>
      <c r="C84" t="str">
        <f>IF(A84="","",IF(A84="[FÓRMULA MANUAL]","",IFERROR(AVERAGEIFS(nNOTA,nNIA,A84,nCUENTA,1,nASIG,"Orquesta/Banda/Conjunto"),"")))</f>
        <v/>
      </c>
      <c r="D84" t="str">
        <f>IF(A84="","",IF(A84="[FÓRMULA MANUAL]","",IFERROR(AVERAGEIFS(nNOTA,nNIA,A84,nCUENTA,1,nASIG,"Conjunto"),"")))</f>
        <v/>
      </c>
      <c r="E84" t="str">
        <f>IF(A84="","",IF(A84="[FÓRMULA MANUAL]","",IFERROR(SUMPRODUCT((nNIA=A84)*(nCUENTA=1)*(COUNTIF(CONFIG_ASIGNATURAS!$B$7:$B$27,nASIG)&gt;0)*(nNOTA))/SUMPRODUCT((nNIA=A84)*(nCUENTA=1)*(COUNTIF(CONFIG_ASIGNATURAS!$B$7:$B$27,nASIG)&gt;0)*1),"")))</f>
        <v/>
      </c>
      <c r="H84" t="str">
        <f>IF(G84="","",IF(G84="[FÓRMULA MANUAL]","",IFERROR(AVERAGEIFS(nNOTA,nNIA,G84,nCUENTA,1,nASIG,"Lenguaje Musical"),"")))</f>
        <v/>
      </c>
      <c r="I84" t="str">
        <f>IF(G84="","",IF(G84="[FÓRMULA MANUAL]","",IFERROR(AVERAGEIFS(nNOTA,nNIA,G84,nCUENTA,1,nASIG,"Orquesta/Banda/Conjunto"),"")))</f>
        <v/>
      </c>
      <c r="J84" t="str">
        <f>IF(G84="","",IF(G84="[FÓRMULA MANUAL]","",IFERROR(AVERAGEIFS(nNOTA,nNIA,G84,nCUENTA,1,nASIG,"Conjunto"),"")))</f>
        <v/>
      </c>
      <c r="K84" t="str">
        <f>IF(G84="","",IF(G84="[FÓRMULA MANUAL]","",IFERROR(SUMPRODUCT((nNIA=G84)*(nCUENTA=1)*(COUNTIF(CONFIG_ASIGNATURAS!$B$7:$B$27,nASIG)&gt;0)*(nNOTA))/SUMPRODUCT((nNIA=G84)*(nCUENTA=1)*(COUNTIF(CONFIG_ASIGNATURAS!$B$7:$B$27,nASIG)&gt;0)*1),"")))</f>
        <v/>
      </c>
      <c r="N84" t="str">
        <f>IF(M84="","",IF(M84="[FÓRMULA MANUAL]","",IFERROR(AVERAGEIFS(nNOTA,nNIA,M84,nCUENTA,1,nASIG,"Armonía"),"")))</f>
        <v/>
      </c>
      <c r="O84" t="str">
        <f>IF(M84="","",IF(M84="[FÓRMULA MANUAL]","",IFERROR(AVERAGEIFS(nNOTA,nNIA,M84,nCUENTA,1,nASIG,"Orquesta/Banda/Conjunto"),"")))</f>
        <v/>
      </c>
      <c r="P84" t="str">
        <f>IF(M84="","",IF(M84="[FÓRMULA MANUAL]","",IFERROR(AVERAGEIFS(nNOTA,nNIA,M84,nCUENTA,1,nASIG,"Música de Cámara"),"")))</f>
        <v/>
      </c>
      <c r="Q84" t="str">
        <f>IF(M84="","",IF(M84="[FÓRMULA MANUAL]","",IFERROR(SUMPRODUCT((nNIA=M84)*(nCUENTA=1)*(COUNTIF(CONFIG_ASIGNATURAS!$B$7:$B$27,nASIG)&gt;0)*(nNOTA))/SUMPRODUCT((nNIA=M84)*(nCUENTA=1)*(COUNTIF(CONFIG_ASIGNATURAS!$B$7:$B$27,nASIG)&gt;0)*1),"")))</f>
        <v/>
      </c>
      <c r="T84" t="str">
        <f>IF(S84="","",IF(S84="[FÓRMULA MANUAL]","",IFERROR(AVERAGEIFS(nNOTA,nNIA,S84,nCUENTA,1,nASIG,"Armonía"),"")))</f>
        <v/>
      </c>
      <c r="U84" t="str">
        <f>IF(S84="","",IF(S84="[FÓRMULA MANUAL]","",IFERROR(AVERAGEIFS(nNOTA,nNIA,S84,nCUENTA,1,nASIG,"Orquesta/Banda/Conjunto"),"")))</f>
        <v/>
      </c>
      <c r="V84" t="str">
        <f>IF(S84="","",IF(S84="[FÓRMULA MANUAL]","",IFERROR(AVERAGEIFS(nNOTA,nNIA,S84,nCUENTA,1,nASIG,"Música de Cámara"),"")))</f>
        <v/>
      </c>
      <c r="W84" t="str">
        <f>IF(S84="","",IF(S84="[FÓRMULA MANUAL]","",IFERROR(SUMPRODUCT((nNIA=S84)*(nCUENTA=1)*(COUNTIF(CONFIG_ASIGNATURAS!$B$7:$B$27,nASIG)&gt;0)*(nNOTA))/SUMPRODUCT((nNIA=S84)*(nCUENTA=1)*(COUNTIF(CONFIG_ASIGNATURAS!$B$7:$B$27,nASIG)&gt;0)*1),"")))</f>
        <v/>
      </c>
      <c r="Z84" t="str">
        <f>IF(Y84="","",IF(Y84="[FÓRMULA MANUAL]","",IFERROR(AVERAGEIFS(nNOTA,nNIA,Y84,nCUENTA,1,nASIG,"Análisis"),"")))</f>
        <v/>
      </c>
      <c r="AA84" t="str">
        <f>IF(Y84="","",IF(Y84="[FÓRMULA MANUAL]","",IFERROR(AVERAGEIFS(nNOTA,nNIA,Y84,nCUENTA,1,nASIG,"Orquesta/Banda/Conjunto"),"")))</f>
        <v/>
      </c>
      <c r="AB84" t="str">
        <f>IF(Y84="","",IF(Y84="[FÓRMULA MANUAL]","",IFERROR(AVERAGEIFS(nNOTA,nNIA,Y84,nCUENTA,1,nASIG,"Música de Cámara"),"")))</f>
        <v/>
      </c>
      <c r="AC84" t="str">
        <f>IF(Y84="","",IF(Y84="[FÓRMULA MANUAL]","",IFERROR(SUMPRODUCT((nNIA=Y84)*(nCUENTA=1)*(COUNTIF(CONFIG_ASIGNATURAS!$B$7:$B$27,nASIG)&gt;0)*(nNOTA))/SUMPRODUCT((nNIA=Y84)*(nCUENTA=1)*(COUNTIF(CONFIG_ASIGNATURAS!$B$7:$B$27,nASIG)&gt;0)*1),"")))</f>
        <v/>
      </c>
      <c r="AF84" t="str">
        <f>IF(AE84="","",IF(AE84="[FÓRMULA MANUAL]","",IFERROR(AVERAGEIFS(nNOTA,nNIA,AE84,nCUENTA,1,nASIG,"Análisis"),"")))</f>
        <v/>
      </c>
      <c r="AG84" t="str">
        <f>IF(AE84="","",IF(AE84="[FÓRMULA MANUAL]","",IFERROR(AVERAGEIFS(nNOTA,nNIA,AE84,nCUENTA,1,nASIG,"Orquesta/Banda/Conjunto"),"")))</f>
        <v/>
      </c>
      <c r="AH84" t="str">
        <f>IF(AE84="","",IF(AE84="[FÓRMULA MANUAL]","",IFERROR(AVERAGEIFS(nNOTA,nNIA,AE84,nCUENTA,1,nASIG,"Música de Cámara"),"")))</f>
        <v/>
      </c>
      <c r="AI84" t="str">
        <f>IF(AE84="","",IF(AE84="[FÓRMULA MANUAL]","",IFERROR(SUMPRODUCT((nNIA=AE84)*(nCUENTA=1)*(COUNTIF(CONFIG_ASIGNATURAS!$B$7:$B$27,nASIG)&gt;0)*(nNOTA))/SUMPRODUCT((nNIA=AE84)*(nCUENTA=1)*(COUNTIF(CONFIG_ASIGNATURAS!$B$7:$B$27,nASIG)&gt;0)*1),"")))</f>
        <v/>
      </c>
    </row>
    <row r="85" spans="2:35" x14ac:dyDescent="0.2">
      <c r="B85" t="str">
        <f>IF(A85="","",IF(A85="[FÓRMULA MANUAL]","",IFERROR(AVERAGEIFS(nNOTA,nNIA,A85,nCUENTA,1,nASIG,"Lenguaje Musical"),"")))</f>
        <v/>
      </c>
      <c r="C85" t="str">
        <f>IF(A85="","",IF(A85="[FÓRMULA MANUAL]","",IFERROR(AVERAGEIFS(nNOTA,nNIA,A85,nCUENTA,1,nASIG,"Orquesta/Banda/Conjunto"),"")))</f>
        <v/>
      </c>
      <c r="D85" t="str">
        <f>IF(A85="","",IF(A85="[FÓRMULA MANUAL]","",IFERROR(AVERAGEIFS(nNOTA,nNIA,A85,nCUENTA,1,nASIG,"Conjunto"),"")))</f>
        <v/>
      </c>
      <c r="E85" t="str">
        <f>IF(A85="","",IF(A85="[FÓRMULA MANUAL]","",IFERROR(SUMPRODUCT((nNIA=A85)*(nCUENTA=1)*(COUNTIF(CONFIG_ASIGNATURAS!$B$7:$B$27,nASIG)&gt;0)*(nNOTA))/SUMPRODUCT((nNIA=A85)*(nCUENTA=1)*(COUNTIF(CONFIG_ASIGNATURAS!$B$7:$B$27,nASIG)&gt;0)*1),"")))</f>
        <v/>
      </c>
      <c r="H85" t="str">
        <f>IF(G85="","",IF(G85="[FÓRMULA MANUAL]","",IFERROR(AVERAGEIFS(nNOTA,nNIA,G85,nCUENTA,1,nASIG,"Lenguaje Musical"),"")))</f>
        <v/>
      </c>
      <c r="I85" t="str">
        <f>IF(G85="","",IF(G85="[FÓRMULA MANUAL]","",IFERROR(AVERAGEIFS(nNOTA,nNIA,G85,nCUENTA,1,nASIG,"Orquesta/Banda/Conjunto"),"")))</f>
        <v/>
      </c>
      <c r="J85" t="str">
        <f>IF(G85="","",IF(G85="[FÓRMULA MANUAL]","",IFERROR(AVERAGEIFS(nNOTA,nNIA,G85,nCUENTA,1,nASIG,"Conjunto"),"")))</f>
        <v/>
      </c>
      <c r="K85" t="str">
        <f>IF(G85="","",IF(G85="[FÓRMULA MANUAL]","",IFERROR(SUMPRODUCT((nNIA=G85)*(nCUENTA=1)*(COUNTIF(CONFIG_ASIGNATURAS!$B$7:$B$27,nASIG)&gt;0)*(nNOTA))/SUMPRODUCT((nNIA=G85)*(nCUENTA=1)*(COUNTIF(CONFIG_ASIGNATURAS!$B$7:$B$27,nASIG)&gt;0)*1),"")))</f>
        <v/>
      </c>
      <c r="N85" t="str">
        <f>IF(M85="","",IF(M85="[FÓRMULA MANUAL]","",IFERROR(AVERAGEIFS(nNOTA,nNIA,M85,nCUENTA,1,nASIG,"Armonía"),"")))</f>
        <v/>
      </c>
      <c r="O85" t="str">
        <f>IF(M85="","",IF(M85="[FÓRMULA MANUAL]","",IFERROR(AVERAGEIFS(nNOTA,nNIA,M85,nCUENTA,1,nASIG,"Orquesta/Banda/Conjunto"),"")))</f>
        <v/>
      </c>
      <c r="P85" t="str">
        <f>IF(M85="","",IF(M85="[FÓRMULA MANUAL]","",IFERROR(AVERAGEIFS(nNOTA,nNIA,M85,nCUENTA,1,nASIG,"Música de Cámara"),"")))</f>
        <v/>
      </c>
      <c r="Q85" t="str">
        <f>IF(M85="","",IF(M85="[FÓRMULA MANUAL]","",IFERROR(SUMPRODUCT((nNIA=M85)*(nCUENTA=1)*(COUNTIF(CONFIG_ASIGNATURAS!$B$7:$B$27,nASIG)&gt;0)*(nNOTA))/SUMPRODUCT((nNIA=M85)*(nCUENTA=1)*(COUNTIF(CONFIG_ASIGNATURAS!$B$7:$B$27,nASIG)&gt;0)*1),"")))</f>
        <v/>
      </c>
      <c r="T85" t="str">
        <f>IF(S85="","",IF(S85="[FÓRMULA MANUAL]","",IFERROR(AVERAGEIFS(nNOTA,nNIA,S85,nCUENTA,1,nASIG,"Armonía"),"")))</f>
        <v/>
      </c>
      <c r="U85" t="str">
        <f>IF(S85="","",IF(S85="[FÓRMULA MANUAL]","",IFERROR(AVERAGEIFS(nNOTA,nNIA,S85,nCUENTA,1,nASIG,"Orquesta/Banda/Conjunto"),"")))</f>
        <v/>
      </c>
      <c r="V85" t="str">
        <f>IF(S85="","",IF(S85="[FÓRMULA MANUAL]","",IFERROR(AVERAGEIFS(nNOTA,nNIA,S85,nCUENTA,1,nASIG,"Música de Cámara"),"")))</f>
        <v/>
      </c>
      <c r="W85" t="str">
        <f>IF(S85="","",IF(S85="[FÓRMULA MANUAL]","",IFERROR(SUMPRODUCT((nNIA=S85)*(nCUENTA=1)*(COUNTIF(CONFIG_ASIGNATURAS!$B$7:$B$27,nASIG)&gt;0)*(nNOTA))/SUMPRODUCT((nNIA=S85)*(nCUENTA=1)*(COUNTIF(CONFIG_ASIGNATURAS!$B$7:$B$27,nASIG)&gt;0)*1),"")))</f>
        <v/>
      </c>
      <c r="Z85" t="str">
        <f>IF(Y85="","",IF(Y85="[FÓRMULA MANUAL]","",IFERROR(AVERAGEIFS(nNOTA,nNIA,Y85,nCUENTA,1,nASIG,"Análisis"),"")))</f>
        <v/>
      </c>
      <c r="AA85" t="str">
        <f>IF(Y85="","",IF(Y85="[FÓRMULA MANUAL]","",IFERROR(AVERAGEIFS(nNOTA,nNIA,Y85,nCUENTA,1,nASIG,"Orquesta/Banda/Conjunto"),"")))</f>
        <v/>
      </c>
      <c r="AB85" t="str">
        <f>IF(Y85="","",IF(Y85="[FÓRMULA MANUAL]","",IFERROR(AVERAGEIFS(nNOTA,nNIA,Y85,nCUENTA,1,nASIG,"Música de Cámara"),"")))</f>
        <v/>
      </c>
      <c r="AC85" t="str">
        <f>IF(Y85="","",IF(Y85="[FÓRMULA MANUAL]","",IFERROR(SUMPRODUCT((nNIA=Y85)*(nCUENTA=1)*(COUNTIF(CONFIG_ASIGNATURAS!$B$7:$B$27,nASIG)&gt;0)*(nNOTA))/SUMPRODUCT((nNIA=Y85)*(nCUENTA=1)*(COUNTIF(CONFIG_ASIGNATURAS!$B$7:$B$27,nASIG)&gt;0)*1),"")))</f>
        <v/>
      </c>
      <c r="AF85" t="str">
        <f>IF(AE85="","",IF(AE85="[FÓRMULA MANUAL]","",IFERROR(AVERAGEIFS(nNOTA,nNIA,AE85,nCUENTA,1,nASIG,"Análisis"),"")))</f>
        <v/>
      </c>
      <c r="AG85" t="str">
        <f>IF(AE85="","",IF(AE85="[FÓRMULA MANUAL]","",IFERROR(AVERAGEIFS(nNOTA,nNIA,AE85,nCUENTA,1,nASIG,"Orquesta/Banda/Conjunto"),"")))</f>
        <v/>
      </c>
      <c r="AH85" t="str">
        <f>IF(AE85="","",IF(AE85="[FÓRMULA MANUAL]","",IFERROR(AVERAGEIFS(nNOTA,nNIA,AE85,nCUENTA,1,nASIG,"Música de Cámara"),"")))</f>
        <v/>
      </c>
      <c r="AI85" t="str">
        <f>IF(AE85="","",IF(AE85="[FÓRMULA MANUAL]","",IFERROR(SUMPRODUCT((nNIA=AE85)*(nCUENTA=1)*(COUNTIF(CONFIG_ASIGNATURAS!$B$7:$B$27,nASIG)&gt;0)*(nNOTA))/SUMPRODUCT((nNIA=AE85)*(nCUENTA=1)*(COUNTIF(CONFIG_ASIGNATURAS!$B$7:$B$27,nASIG)&gt;0)*1),"")))</f>
        <v/>
      </c>
    </row>
    <row r="86" spans="2:35" x14ac:dyDescent="0.2">
      <c r="B86" t="str">
        <f>IF(A86="","",IF(A86="[FÓRMULA MANUAL]","",IFERROR(AVERAGEIFS(nNOTA,nNIA,A86,nCUENTA,1,nASIG,"Lenguaje Musical"),"")))</f>
        <v/>
      </c>
      <c r="C86" t="str">
        <f>IF(A86="","",IF(A86="[FÓRMULA MANUAL]","",IFERROR(AVERAGEIFS(nNOTA,nNIA,A86,nCUENTA,1,nASIG,"Orquesta/Banda/Conjunto"),"")))</f>
        <v/>
      </c>
      <c r="D86" t="str">
        <f>IF(A86="","",IF(A86="[FÓRMULA MANUAL]","",IFERROR(AVERAGEIFS(nNOTA,nNIA,A86,nCUENTA,1,nASIG,"Conjunto"),"")))</f>
        <v/>
      </c>
      <c r="E86" t="str">
        <f>IF(A86="","",IF(A86="[FÓRMULA MANUAL]","",IFERROR(SUMPRODUCT((nNIA=A86)*(nCUENTA=1)*(COUNTIF(CONFIG_ASIGNATURAS!$B$7:$B$27,nASIG)&gt;0)*(nNOTA))/SUMPRODUCT((nNIA=A86)*(nCUENTA=1)*(COUNTIF(CONFIG_ASIGNATURAS!$B$7:$B$27,nASIG)&gt;0)*1),"")))</f>
        <v/>
      </c>
      <c r="H86" t="str">
        <f>IF(G86="","",IF(G86="[FÓRMULA MANUAL]","",IFERROR(AVERAGEIFS(nNOTA,nNIA,G86,nCUENTA,1,nASIG,"Lenguaje Musical"),"")))</f>
        <v/>
      </c>
      <c r="I86" t="str">
        <f>IF(G86="","",IF(G86="[FÓRMULA MANUAL]","",IFERROR(AVERAGEIFS(nNOTA,nNIA,G86,nCUENTA,1,nASIG,"Orquesta/Banda/Conjunto"),"")))</f>
        <v/>
      </c>
      <c r="J86" t="str">
        <f>IF(G86="","",IF(G86="[FÓRMULA MANUAL]","",IFERROR(AVERAGEIFS(nNOTA,nNIA,G86,nCUENTA,1,nASIG,"Conjunto"),"")))</f>
        <v/>
      </c>
      <c r="K86" t="str">
        <f>IF(G86="","",IF(G86="[FÓRMULA MANUAL]","",IFERROR(SUMPRODUCT((nNIA=G86)*(nCUENTA=1)*(COUNTIF(CONFIG_ASIGNATURAS!$B$7:$B$27,nASIG)&gt;0)*(nNOTA))/SUMPRODUCT((nNIA=G86)*(nCUENTA=1)*(COUNTIF(CONFIG_ASIGNATURAS!$B$7:$B$27,nASIG)&gt;0)*1),"")))</f>
        <v/>
      </c>
      <c r="N86" t="str">
        <f>IF(M86="","",IF(M86="[FÓRMULA MANUAL]","",IFERROR(AVERAGEIFS(nNOTA,nNIA,M86,nCUENTA,1,nASIG,"Armonía"),"")))</f>
        <v/>
      </c>
      <c r="O86" t="str">
        <f>IF(M86="","",IF(M86="[FÓRMULA MANUAL]","",IFERROR(AVERAGEIFS(nNOTA,nNIA,M86,nCUENTA,1,nASIG,"Orquesta/Banda/Conjunto"),"")))</f>
        <v/>
      </c>
      <c r="P86" t="str">
        <f>IF(M86="","",IF(M86="[FÓRMULA MANUAL]","",IFERROR(AVERAGEIFS(nNOTA,nNIA,M86,nCUENTA,1,nASIG,"Música de Cámara"),"")))</f>
        <v/>
      </c>
      <c r="Q86" t="str">
        <f>IF(M86="","",IF(M86="[FÓRMULA MANUAL]","",IFERROR(SUMPRODUCT((nNIA=M86)*(nCUENTA=1)*(COUNTIF(CONFIG_ASIGNATURAS!$B$7:$B$27,nASIG)&gt;0)*(nNOTA))/SUMPRODUCT((nNIA=M86)*(nCUENTA=1)*(COUNTIF(CONFIG_ASIGNATURAS!$B$7:$B$27,nASIG)&gt;0)*1),"")))</f>
        <v/>
      </c>
      <c r="T86" t="str">
        <f>IF(S86="","",IF(S86="[FÓRMULA MANUAL]","",IFERROR(AVERAGEIFS(nNOTA,nNIA,S86,nCUENTA,1,nASIG,"Armonía"),"")))</f>
        <v/>
      </c>
      <c r="U86" t="str">
        <f>IF(S86="","",IF(S86="[FÓRMULA MANUAL]","",IFERROR(AVERAGEIFS(nNOTA,nNIA,S86,nCUENTA,1,nASIG,"Orquesta/Banda/Conjunto"),"")))</f>
        <v/>
      </c>
      <c r="V86" t="str">
        <f>IF(S86="","",IF(S86="[FÓRMULA MANUAL]","",IFERROR(AVERAGEIFS(nNOTA,nNIA,S86,nCUENTA,1,nASIG,"Música de Cámara"),"")))</f>
        <v/>
      </c>
      <c r="W86" t="str">
        <f>IF(S86="","",IF(S86="[FÓRMULA MANUAL]","",IFERROR(SUMPRODUCT((nNIA=S86)*(nCUENTA=1)*(COUNTIF(CONFIG_ASIGNATURAS!$B$7:$B$27,nASIG)&gt;0)*(nNOTA))/SUMPRODUCT((nNIA=S86)*(nCUENTA=1)*(COUNTIF(CONFIG_ASIGNATURAS!$B$7:$B$27,nASIG)&gt;0)*1),"")))</f>
        <v/>
      </c>
      <c r="Z86" t="str">
        <f>IF(Y86="","",IF(Y86="[FÓRMULA MANUAL]","",IFERROR(AVERAGEIFS(nNOTA,nNIA,Y86,nCUENTA,1,nASIG,"Análisis"),"")))</f>
        <v/>
      </c>
      <c r="AA86" t="str">
        <f>IF(Y86="","",IF(Y86="[FÓRMULA MANUAL]","",IFERROR(AVERAGEIFS(nNOTA,nNIA,Y86,nCUENTA,1,nASIG,"Orquesta/Banda/Conjunto"),"")))</f>
        <v/>
      </c>
      <c r="AB86" t="str">
        <f>IF(Y86="","",IF(Y86="[FÓRMULA MANUAL]","",IFERROR(AVERAGEIFS(nNOTA,nNIA,Y86,nCUENTA,1,nASIG,"Música de Cámara"),"")))</f>
        <v/>
      </c>
      <c r="AC86" t="str">
        <f>IF(Y86="","",IF(Y86="[FÓRMULA MANUAL]","",IFERROR(SUMPRODUCT((nNIA=Y86)*(nCUENTA=1)*(COUNTIF(CONFIG_ASIGNATURAS!$B$7:$B$27,nASIG)&gt;0)*(nNOTA))/SUMPRODUCT((nNIA=Y86)*(nCUENTA=1)*(COUNTIF(CONFIG_ASIGNATURAS!$B$7:$B$27,nASIG)&gt;0)*1),"")))</f>
        <v/>
      </c>
      <c r="AF86" t="str">
        <f>IF(AE86="","",IF(AE86="[FÓRMULA MANUAL]","",IFERROR(AVERAGEIFS(nNOTA,nNIA,AE86,nCUENTA,1,nASIG,"Análisis"),"")))</f>
        <v/>
      </c>
      <c r="AG86" t="str">
        <f>IF(AE86="","",IF(AE86="[FÓRMULA MANUAL]","",IFERROR(AVERAGEIFS(nNOTA,nNIA,AE86,nCUENTA,1,nASIG,"Orquesta/Banda/Conjunto"),"")))</f>
        <v/>
      </c>
      <c r="AH86" t="str">
        <f>IF(AE86="","",IF(AE86="[FÓRMULA MANUAL]","",IFERROR(AVERAGEIFS(nNOTA,nNIA,AE86,nCUENTA,1,nASIG,"Música de Cámara"),"")))</f>
        <v/>
      </c>
      <c r="AI86" t="str">
        <f>IF(AE86="","",IF(AE86="[FÓRMULA MANUAL]","",IFERROR(SUMPRODUCT((nNIA=AE86)*(nCUENTA=1)*(COUNTIF(CONFIG_ASIGNATURAS!$B$7:$B$27,nASIG)&gt;0)*(nNOTA))/SUMPRODUCT((nNIA=AE86)*(nCUENTA=1)*(COUNTIF(CONFIG_ASIGNATURAS!$B$7:$B$27,nASIG)&gt;0)*1),"")))</f>
        <v/>
      </c>
    </row>
    <row r="87" spans="2:35" x14ac:dyDescent="0.2">
      <c r="B87" t="str">
        <f>IF(A87="","",IF(A87="[FÓRMULA MANUAL]","",IFERROR(AVERAGEIFS(nNOTA,nNIA,A87,nCUENTA,1,nASIG,"Lenguaje Musical"),"")))</f>
        <v/>
      </c>
      <c r="C87" t="str">
        <f>IF(A87="","",IF(A87="[FÓRMULA MANUAL]","",IFERROR(AVERAGEIFS(nNOTA,nNIA,A87,nCUENTA,1,nASIG,"Orquesta/Banda/Conjunto"),"")))</f>
        <v/>
      </c>
      <c r="D87" t="str">
        <f>IF(A87="","",IF(A87="[FÓRMULA MANUAL]","",IFERROR(AVERAGEIFS(nNOTA,nNIA,A87,nCUENTA,1,nASIG,"Conjunto"),"")))</f>
        <v/>
      </c>
      <c r="E87" t="str">
        <f>IF(A87="","",IF(A87="[FÓRMULA MANUAL]","",IFERROR(SUMPRODUCT((nNIA=A87)*(nCUENTA=1)*(COUNTIF(CONFIG_ASIGNATURAS!$B$7:$B$27,nASIG)&gt;0)*(nNOTA))/SUMPRODUCT((nNIA=A87)*(nCUENTA=1)*(COUNTIF(CONFIG_ASIGNATURAS!$B$7:$B$27,nASIG)&gt;0)*1),"")))</f>
        <v/>
      </c>
      <c r="H87" t="str">
        <f>IF(G87="","",IF(G87="[FÓRMULA MANUAL]","",IFERROR(AVERAGEIFS(nNOTA,nNIA,G87,nCUENTA,1,nASIG,"Lenguaje Musical"),"")))</f>
        <v/>
      </c>
      <c r="I87" t="str">
        <f>IF(G87="","",IF(G87="[FÓRMULA MANUAL]","",IFERROR(AVERAGEIFS(nNOTA,nNIA,G87,nCUENTA,1,nASIG,"Orquesta/Banda/Conjunto"),"")))</f>
        <v/>
      </c>
      <c r="J87" t="str">
        <f>IF(G87="","",IF(G87="[FÓRMULA MANUAL]","",IFERROR(AVERAGEIFS(nNOTA,nNIA,G87,nCUENTA,1,nASIG,"Conjunto"),"")))</f>
        <v/>
      </c>
      <c r="K87" t="str">
        <f>IF(G87="","",IF(G87="[FÓRMULA MANUAL]","",IFERROR(SUMPRODUCT((nNIA=G87)*(nCUENTA=1)*(COUNTIF(CONFIG_ASIGNATURAS!$B$7:$B$27,nASIG)&gt;0)*(nNOTA))/SUMPRODUCT((nNIA=G87)*(nCUENTA=1)*(COUNTIF(CONFIG_ASIGNATURAS!$B$7:$B$27,nASIG)&gt;0)*1),"")))</f>
        <v/>
      </c>
      <c r="N87" t="str">
        <f>IF(M87="","",IF(M87="[FÓRMULA MANUAL]","",IFERROR(AVERAGEIFS(nNOTA,nNIA,M87,nCUENTA,1,nASIG,"Armonía"),"")))</f>
        <v/>
      </c>
      <c r="O87" t="str">
        <f>IF(M87="","",IF(M87="[FÓRMULA MANUAL]","",IFERROR(AVERAGEIFS(nNOTA,nNIA,M87,nCUENTA,1,nASIG,"Orquesta/Banda/Conjunto"),"")))</f>
        <v/>
      </c>
      <c r="P87" t="str">
        <f>IF(M87="","",IF(M87="[FÓRMULA MANUAL]","",IFERROR(AVERAGEIFS(nNOTA,nNIA,M87,nCUENTA,1,nASIG,"Música de Cámara"),"")))</f>
        <v/>
      </c>
      <c r="Q87" t="str">
        <f>IF(M87="","",IF(M87="[FÓRMULA MANUAL]","",IFERROR(SUMPRODUCT((nNIA=M87)*(nCUENTA=1)*(COUNTIF(CONFIG_ASIGNATURAS!$B$7:$B$27,nASIG)&gt;0)*(nNOTA))/SUMPRODUCT((nNIA=M87)*(nCUENTA=1)*(COUNTIF(CONFIG_ASIGNATURAS!$B$7:$B$27,nASIG)&gt;0)*1),"")))</f>
        <v/>
      </c>
      <c r="T87" t="str">
        <f>IF(S87="","",IF(S87="[FÓRMULA MANUAL]","",IFERROR(AVERAGEIFS(nNOTA,nNIA,S87,nCUENTA,1,nASIG,"Armonía"),"")))</f>
        <v/>
      </c>
      <c r="U87" t="str">
        <f>IF(S87="","",IF(S87="[FÓRMULA MANUAL]","",IFERROR(AVERAGEIFS(nNOTA,nNIA,S87,nCUENTA,1,nASIG,"Orquesta/Banda/Conjunto"),"")))</f>
        <v/>
      </c>
      <c r="V87" t="str">
        <f>IF(S87="","",IF(S87="[FÓRMULA MANUAL]","",IFERROR(AVERAGEIFS(nNOTA,nNIA,S87,nCUENTA,1,nASIG,"Música de Cámara"),"")))</f>
        <v/>
      </c>
      <c r="W87" t="str">
        <f>IF(S87="","",IF(S87="[FÓRMULA MANUAL]","",IFERROR(SUMPRODUCT((nNIA=S87)*(nCUENTA=1)*(COUNTIF(CONFIG_ASIGNATURAS!$B$7:$B$27,nASIG)&gt;0)*(nNOTA))/SUMPRODUCT((nNIA=S87)*(nCUENTA=1)*(COUNTIF(CONFIG_ASIGNATURAS!$B$7:$B$27,nASIG)&gt;0)*1),"")))</f>
        <v/>
      </c>
      <c r="Z87" t="str">
        <f>IF(Y87="","",IF(Y87="[FÓRMULA MANUAL]","",IFERROR(AVERAGEIFS(nNOTA,nNIA,Y87,nCUENTA,1,nASIG,"Análisis"),"")))</f>
        <v/>
      </c>
      <c r="AA87" t="str">
        <f>IF(Y87="","",IF(Y87="[FÓRMULA MANUAL]","",IFERROR(AVERAGEIFS(nNOTA,nNIA,Y87,nCUENTA,1,nASIG,"Orquesta/Banda/Conjunto"),"")))</f>
        <v/>
      </c>
      <c r="AB87" t="str">
        <f>IF(Y87="","",IF(Y87="[FÓRMULA MANUAL]","",IFERROR(AVERAGEIFS(nNOTA,nNIA,Y87,nCUENTA,1,nASIG,"Música de Cámara"),"")))</f>
        <v/>
      </c>
      <c r="AC87" t="str">
        <f>IF(Y87="","",IF(Y87="[FÓRMULA MANUAL]","",IFERROR(SUMPRODUCT((nNIA=Y87)*(nCUENTA=1)*(COUNTIF(CONFIG_ASIGNATURAS!$B$7:$B$27,nASIG)&gt;0)*(nNOTA))/SUMPRODUCT((nNIA=Y87)*(nCUENTA=1)*(COUNTIF(CONFIG_ASIGNATURAS!$B$7:$B$27,nASIG)&gt;0)*1),"")))</f>
        <v/>
      </c>
      <c r="AF87" t="str">
        <f>IF(AE87="","",IF(AE87="[FÓRMULA MANUAL]","",IFERROR(AVERAGEIFS(nNOTA,nNIA,AE87,nCUENTA,1,nASIG,"Análisis"),"")))</f>
        <v/>
      </c>
      <c r="AG87" t="str">
        <f>IF(AE87="","",IF(AE87="[FÓRMULA MANUAL]","",IFERROR(AVERAGEIFS(nNOTA,nNIA,AE87,nCUENTA,1,nASIG,"Orquesta/Banda/Conjunto"),"")))</f>
        <v/>
      </c>
      <c r="AH87" t="str">
        <f>IF(AE87="","",IF(AE87="[FÓRMULA MANUAL]","",IFERROR(AVERAGEIFS(nNOTA,nNIA,AE87,nCUENTA,1,nASIG,"Música de Cámara"),"")))</f>
        <v/>
      </c>
      <c r="AI87" t="str">
        <f>IF(AE87="","",IF(AE87="[FÓRMULA MANUAL]","",IFERROR(SUMPRODUCT((nNIA=AE87)*(nCUENTA=1)*(COUNTIF(CONFIG_ASIGNATURAS!$B$7:$B$27,nASIG)&gt;0)*(nNOTA))/SUMPRODUCT((nNIA=AE87)*(nCUENTA=1)*(COUNTIF(CONFIG_ASIGNATURAS!$B$7:$B$27,nASIG)&gt;0)*1),"")))</f>
        <v/>
      </c>
    </row>
    <row r="88" spans="2:35" x14ac:dyDescent="0.2">
      <c r="B88" t="str">
        <f>IF(A88="","",IF(A88="[FÓRMULA MANUAL]","",IFERROR(AVERAGEIFS(nNOTA,nNIA,A88,nCUENTA,1,nASIG,"Lenguaje Musical"),"")))</f>
        <v/>
      </c>
      <c r="C88" t="str">
        <f>IF(A88="","",IF(A88="[FÓRMULA MANUAL]","",IFERROR(AVERAGEIFS(nNOTA,nNIA,A88,nCUENTA,1,nASIG,"Orquesta/Banda/Conjunto"),"")))</f>
        <v/>
      </c>
      <c r="D88" t="str">
        <f>IF(A88="","",IF(A88="[FÓRMULA MANUAL]","",IFERROR(AVERAGEIFS(nNOTA,nNIA,A88,nCUENTA,1,nASIG,"Conjunto"),"")))</f>
        <v/>
      </c>
      <c r="E88" t="str">
        <f>IF(A88="","",IF(A88="[FÓRMULA MANUAL]","",IFERROR(SUMPRODUCT((nNIA=A88)*(nCUENTA=1)*(COUNTIF(CONFIG_ASIGNATURAS!$B$7:$B$27,nASIG)&gt;0)*(nNOTA))/SUMPRODUCT((nNIA=A88)*(nCUENTA=1)*(COUNTIF(CONFIG_ASIGNATURAS!$B$7:$B$27,nASIG)&gt;0)*1),"")))</f>
        <v/>
      </c>
      <c r="H88" t="str">
        <f>IF(G88="","",IF(G88="[FÓRMULA MANUAL]","",IFERROR(AVERAGEIFS(nNOTA,nNIA,G88,nCUENTA,1,nASIG,"Lenguaje Musical"),"")))</f>
        <v/>
      </c>
      <c r="I88" t="str">
        <f>IF(G88="","",IF(G88="[FÓRMULA MANUAL]","",IFERROR(AVERAGEIFS(nNOTA,nNIA,G88,nCUENTA,1,nASIG,"Orquesta/Banda/Conjunto"),"")))</f>
        <v/>
      </c>
      <c r="J88" t="str">
        <f>IF(G88="","",IF(G88="[FÓRMULA MANUAL]","",IFERROR(AVERAGEIFS(nNOTA,nNIA,G88,nCUENTA,1,nASIG,"Conjunto"),"")))</f>
        <v/>
      </c>
      <c r="K88" t="str">
        <f>IF(G88="","",IF(G88="[FÓRMULA MANUAL]","",IFERROR(SUMPRODUCT((nNIA=G88)*(nCUENTA=1)*(COUNTIF(CONFIG_ASIGNATURAS!$B$7:$B$27,nASIG)&gt;0)*(nNOTA))/SUMPRODUCT((nNIA=G88)*(nCUENTA=1)*(COUNTIF(CONFIG_ASIGNATURAS!$B$7:$B$27,nASIG)&gt;0)*1),"")))</f>
        <v/>
      </c>
      <c r="N88" t="str">
        <f>IF(M88="","",IF(M88="[FÓRMULA MANUAL]","",IFERROR(AVERAGEIFS(nNOTA,nNIA,M88,nCUENTA,1,nASIG,"Armonía"),"")))</f>
        <v/>
      </c>
      <c r="O88" t="str">
        <f>IF(M88="","",IF(M88="[FÓRMULA MANUAL]","",IFERROR(AVERAGEIFS(nNOTA,nNIA,M88,nCUENTA,1,nASIG,"Orquesta/Banda/Conjunto"),"")))</f>
        <v/>
      </c>
      <c r="P88" t="str">
        <f>IF(M88="","",IF(M88="[FÓRMULA MANUAL]","",IFERROR(AVERAGEIFS(nNOTA,nNIA,M88,nCUENTA,1,nASIG,"Música de Cámara"),"")))</f>
        <v/>
      </c>
      <c r="Q88" t="str">
        <f>IF(M88="","",IF(M88="[FÓRMULA MANUAL]","",IFERROR(SUMPRODUCT((nNIA=M88)*(nCUENTA=1)*(COUNTIF(CONFIG_ASIGNATURAS!$B$7:$B$27,nASIG)&gt;0)*(nNOTA))/SUMPRODUCT((nNIA=M88)*(nCUENTA=1)*(COUNTIF(CONFIG_ASIGNATURAS!$B$7:$B$27,nASIG)&gt;0)*1),"")))</f>
        <v/>
      </c>
      <c r="T88" t="str">
        <f>IF(S88="","",IF(S88="[FÓRMULA MANUAL]","",IFERROR(AVERAGEIFS(nNOTA,nNIA,S88,nCUENTA,1,nASIG,"Armonía"),"")))</f>
        <v/>
      </c>
      <c r="U88" t="str">
        <f>IF(S88="","",IF(S88="[FÓRMULA MANUAL]","",IFERROR(AVERAGEIFS(nNOTA,nNIA,S88,nCUENTA,1,nASIG,"Orquesta/Banda/Conjunto"),"")))</f>
        <v/>
      </c>
      <c r="V88" t="str">
        <f>IF(S88="","",IF(S88="[FÓRMULA MANUAL]","",IFERROR(AVERAGEIFS(nNOTA,nNIA,S88,nCUENTA,1,nASIG,"Música de Cámara"),"")))</f>
        <v/>
      </c>
      <c r="W88" t="str">
        <f>IF(S88="","",IF(S88="[FÓRMULA MANUAL]","",IFERROR(SUMPRODUCT((nNIA=S88)*(nCUENTA=1)*(COUNTIF(CONFIG_ASIGNATURAS!$B$7:$B$27,nASIG)&gt;0)*(nNOTA))/SUMPRODUCT((nNIA=S88)*(nCUENTA=1)*(COUNTIF(CONFIG_ASIGNATURAS!$B$7:$B$27,nASIG)&gt;0)*1),"")))</f>
        <v/>
      </c>
      <c r="Z88" t="str">
        <f>IF(Y88="","",IF(Y88="[FÓRMULA MANUAL]","",IFERROR(AVERAGEIFS(nNOTA,nNIA,Y88,nCUENTA,1,nASIG,"Análisis"),"")))</f>
        <v/>
      </c>
      <c r="AA88" t="str">
        <f>IF(Y88="","",IF(Y88="[FÓRMULA MANUAL]","",IFERROR(AVERAGEIFS(nNOTA,nNIA,Y88,nCUENTA,1,nASIG,"Orquesta/Banda/Conjunto"),"")))</f>
        <v/>
      </c>
      <c r="AB88" t="str">
        <f>IF(Y88="","",IF(Y88="[FÓRMULA MANUAL]","",IFERROR(AVERAGEIFS(nNOTA,nNIA,Y88,nCUENTA,1,nASIG,"Música de Cámara"),"")))</f>
        <v/>
      </c>
      <c r="AC88" t="str">
        <f>IF(Y88="","",IF(Y88="[FÓRMULA MANUAL]","",IFERROR(SUMPRODUCT((nNIA=Y88)*(nCUENTA=1)*(COUNTIF(CONFIG_ASIGNATURAS!$B$7:$B$27,nASIG)&gt;0)*(nNOTA))/SUMPRODUCT((nNIA=Y88)*(nCUENTA=1)*(COUNTIF(CONFIG_ASIGNATURAS!$B$7:$B$27,nASIG)&gt;0)*1),"")))</f>
        <v/>
      </c>
      <c r="AF88" t="str">
        <f>IF(AE88="","",IF(AE88="[FÓRMULA MANUAL]","",IFERROR(AVERAGEIFS(nNOTA,nNIA,AE88,nCUENTA,1,nASIG,"Análisis"),"")))</f>
        <v/>
      </c>
      <c r="AG88" t="str">
        <f>IF(AE88="","",IF(AE88="[FÓRMULA MANUAL]","",IFERROR(AVERAGEIFS(nNOTA,nNIA,AE88,nCUENTA,1,nASIG,"Orquesta/Banda/Conjunto"),"")))</f>
        <v/>
      </c>
      <c r="AH88" t="str">
        <f>IF(AE88="","",IF(AE88="[FÓRMULA MANUAL]","",IFERROR(AVERAGEIFS(nNOTA,nNIA,AE88,nCUENTA,1,nASIG,"Música de Cámara"),"")))</f>
        <v/>
      </c>
      <c r="AI88" t="str">
        <f>IF(AE88="","",IF(AE88="[FÓRMULA MANUAL]","",IFERROR(SUMPRODUCT((nNIA=AE88)*(nCUENTA=1)*(COUNTIF(CONFIG_ASIGNATURAS!$B$7:$B$27,nASIG)&gt;0)*(nNOTA))/SUMPRODUCT((nNIA=AE88)*(nCUENTA=1)*(COUNTIF(CONFIG_ASIGNATURAS!$B$7:$B$27,nASIG)&gt;0)*1),"")))</f>
        <v/>
      </c>
    </row>
    <row r="89" spans="2:35" x14ac:dyDescent="0.2">
      <c r="B89" t="str">
        <f>IF(A89="","",IF(A89="[FÓRMULA MANUAL]","",IFERROR(AVERAGEIFS(nNOTA,nNIA,A89,nCUENTA,1,nASIG,"Lenguaje Musical"),"")))</f>
        <v/>
      </c>
      <c r="C89" t="str">
        <f>IF(A89="","",IF(A89="[FÓRMULA MANUAL]","",IFERROR(AVERAGEIFS(nNOTA,nNIA,A89,nCUENTA,1,nASIG,"Orquesta/Banda/Conjunto"),"")))</f>
        <v/>
      </c>
      <c r="D89" t="str">
        <f>IF(A89="","",IF(A89="[FÓRMULA MANUAL]","",IFERROR(AVERAGEIFS(nNOTA,nNIA,A89,nCUENTA,1,nASIG,"Conjunto"),"")))</f>
        <v/>
      </c>
      <c r="E89" t="str">
        <f>IF(A89="","",IF(A89="[FÓRMULA MANUAL]","",IFERROR(SUMPRODUCT((nNIA=A89)*(nCUENTA=1)*(COUNTIF(CONFIG_ASIGNATURAS!$B$7:$B$27,nASIG)&gt;0)*(nNOTA))/SUMPRODUCT((nNIA=A89)*(nCUENTA=1)*(COUNTIF(CONFIG_ASIGNATURAS!$B$7:$B$27,nASIG)&gt;0)*1),"")))</f>
        <v/>
      </c>
      <c r="H89" t="str">
        <f>IF(G89="","",IF(G89="[FÓRMULA MANUAL]","",IFERROR(AVERAGEIFS(nNOTA,nNIA,G89,nCUENTA,1,nASIG,"Lenguaje Musical"),"")))</f>
        <v/>
      </c>
      <c r="I89" t="str">
        <f>IF(G89="","",IF(G89="[FÓRMULA MANUAL]","",IFERROR(AVERAGEIFS(nNOTA,nNIA,G89,nCUENTA,1,nASIG,"Orquesta/Banda/Conjunto"),"")))</f>
        <v/>
      </c>
      <c r="J89" t="str">
        <f>IF(G89="","",IF(G89="[FÓRMULA MANUAL]","",IFERROR(AVERAGEIFS(nNOTA,nNIA,G89,nCUENTA,1,nASIG,"Conjunto"),"")))</f>
        <v/>
      </c>
      <c r="K89" t="str">
        <f>IF(G89="","",IF(G89="[FÓRMULA MANUAL]","",IFERROR(SUMPRODUCT((nNIA=G89)*(nCUENTA=1)*(COUNTIF(CONFIG_ASIGNATURAS!$B$7:$B$27,nASIG)&gt;0)*(nNOTA))/SUMPRODUCT((nNIA=G89)*(nCUENTA=1)*(COUNTIF(CONFIG_ASIGNATURAS!$B$7:$B$27,nASIG)&gt;0)*1),"")))</f>
        <v/>
      </c>
      <c r="N89" t="str">
        <f>IF(M89="","",IF(M89="[FÓRMULA MANUAL]","",IFERROR(AVERAGEIFS(nNOTA,nNIA,M89,nCUENTA,1,nASIG,"Armonía"),"")))</f>
        <v/>
      </c>
      <c r="O89" t="str">
        <f>IF(M89="","",IF(M89="[FÓRMULA MANUAL]","",IFERROR(AVERAGEIFS(nNOTA,nNIA,M89,nCUENTA,1,nASIG,"Orquesta/Banda/Conjunto"),"")))</f>
        <v/>
      </c>
      <c r="P89" t="str">
        <f>IF(M89="","",IF(M89="[FÓRMULA MANUAL]","",IFERROR(AVERAGEIFS(nNOTA,nNIA,M89,nCUENTA,1,nASIG,"Música de Cámara"),"")))</f>
        <v/>
      </c>
      <c r="Q89" t="str">
        <f>IF(M89="","",IF(M89="[FÓRMULA MANUAL]","",IFERROR(SUMPRODUCT((nNIA=M89)*(nCUENTA=1)*(COUNTIF(CONFIG_ASIGNATURAS!$B$7:$B$27,nASIG)&gt;0)*(nNOTA))/SUMPRODUCT((nNIA=M89)*(nCUENTA=1)*(COUNTIF(CONFIG_ASIGNATURAS!$B$7:$B$27,nASIG)&gt;0)*1),"")))</f>
        <v/>
      </c>
      <c r="T89" t="str">
        <f>IF(S89="","",IF(S89="[FÓRMULA MANUAL]","",IFERROR(AVERAGEIFS(nNOTA,nNIA,S89,nCUENTA,1,nASIG,"Armonía"),"")))</f>
        <v/>
      </c>
      <c r="U89" t="str">
        <f>IF(S89="","",IF(S89="[FÓRMULA MANUAL]","",IFERROR(AVERAGEIFS(nNOTA,nNIA,S89,nCUENTA,1,nASIG,"Orquesta/Banda/Conjunto"),"")))</f>
        <v/>
      </c>
      <c r="V89" t="str">
        <f>IF(S89="","",IF(S89="[FÓRMULA MANUAL]","",IFERROR(AVERAGEIFS(nNOTA,nNIA,S89,nCUENTA,1,nASIG,"Música de Cámara"),"")))</f>
        <v/>
      </c>
      <c r="W89" t="str">
        <f>IF(S89="","",IF(S89="[FÓRMULA MANUAL]","",IFERROR(SUMPRODUCT((nNIA=S89)*(nCUENTA=1)*(COUNTIF(CONFIG_ASIGNATURAS!$B$7:$B$27,nASIG)&gt;0)*(nNOTA))/SUMPRODUCT((nNIA=S89)*(nCUENTA=1)*(COUNTIF(CONFIG_ASIGNATURAS!$B$7:$B$27,nASIG)&gt;0)*1),"")))</f>
        <v/>
      </c>
      <c r="Z89" t="str">
        <f>IF(Y89="","",IF(Y89="[FÓRMULA MANUAL]","",IFERROR(AVERAGEIFS(nNOTA,nNIA,Y89,nCUENTA,1,nASIG,"Análisis"),"")))</f>
        <v/>
      </c>
      <c r="AA89" t="str">
        <f>IF(Y89="","",IF(Y89="[FÓRMULA MANUAL]","",IFERROR(AVERAGEIFS(nNOTA,nNIA,Y89,nCUENTA,1,nASIG,"Orquesta/Banda/Conjunto"),"")))</f>
        <v/>
      </c>
      <c r="AB89" t="str">
        <f>IF(Y89="","",IF(Y89="[FÓRMULA MANUAL]","",IFERROR(AVERAGEIFS(nNOTA,nNIA,Y89,nCUENTA,1,nASIG,"Música de Cámara"),"")))</f>
        <v/>
      </c>
      <c r="AC89" t="str">
        <f>IF(Y89="","",IF(Y89="[FÓRMULA MANUAL]","",IFERROR(SUMPRODUCT((nNIA=Y89)*(nCUENTA=1)*(COUNTIF(CONFIG_ASIGNATURAS!$B$7:$B$27,nASIG)&gt;0)*(nNOTA))/SUMPRODUCT((nNIA=Y89)*(nCUENTA=1)*(COUNTIF(CONFIG_ASIGNATURAS!$B$7:$B$27,nASIG)&gt;0)*1),"")))</f>
        <v/>
      </c>
      <c r="AF89" t="str">
        <f>IF(AE89="","",IF(AE89="[FÓRMULA MANUAL]","",IFERROR(AVERAGEIFS(nNOTA,nNIA,AE89,nCUENTA,1,nASIG,"Análisis"),"")))</f>
        <v/>
      </c>
      <c r="AG89" t="str">
        <f>IF(AE89="","",IF(AE89="[FÓRMULA MANUAL]","",IFERROR(AVERAGEIFS(nNOTA,nNIA,AE89,nCUENTA,1,nASIG,"Orquesta/Banda/Conjunto"),"")))</f>
        <v/>
      </c>
      <c r="AH89" t="str">
        <f>IF(AE89="","",IF(AE89="[FÓRMULA MANUAL]","",IFERROR(AVERAGEIFS(nNOTA,nNIA,AE89,nCUENTA,1,nASIG,"Música de Cámara"),"")))</f>
        <v/>
      </c>
      <c r="AI89" t="str">
        <f>IF(AE89="","",IF(AE89="[FÓRMULA MANUAL]","",IFERROR(SUMPRODUCT((nNIA=AE89)*(nCUENTA=1)*(COUNTIF(CONFIG_ASIGNATURAS!$B$7:$B$27,nASIG)&gt;0)*(nNOTA))/SUMPRODUCT((nNIA=AE89)*(nCUENTA=1)*(COUNTIF(CONFIG_ASIGNATURAS!$B$7:$B$27,nASIG)&gt;0)*1),"")))</f>
        <v/>
      </c>
    </row>
    <row r="90" spans="2:35" x14ac:dyDescent="0.2">
      <c r="B90" t="str">
        <f>IF(A90="","",IF(A90="[FÓRMULA MANUAL]","",IFERROR(AVERAGEIFS(nNOTA,nNIA,A90,nCUENTA,1,nASIG,"Lenguaje Musical"),"")))</f>
        <v/>
      </c>
      <c r="C90" t="str">
        <f>IF(A90="","",IF(A90="[FÓRMULA MANUAL]","",IFERROR(AVERAGEIFS(nNOTA,nNIA,A90,nCUENTA,1,nASIG,"Orquesta/Banda/Conjunto"),"")))</f>
        <v/>
      </c>
      <c r="D90" t="str">
        <f>IF(A90="","",IF(A90="[FÓRMULA MANUAL]","",IFERROR(AVERAGEIFS(nNOTA,nNIA,A90,nCUENTA,1,nASIG,"Conjunto"),"")))</f>
        <v/>
      </c>
      <c r="E90" t="str">
        <f>IF(A90="","",IF(A90="[FÓRMULA MANUAL]","",IFERROR(SUMPRODUCT((nNIA=A90)*(nCUENTA=1)*(COUNTIF(CONFIG_ASIGNATURAS!$B$7:$B$27,nASIG)&gt;0)*(nNOTA))/SUMPRODUCT((nNIA=A90)*(nCUENTA=1)*(COUNTIF(CONFIG_ASIGNATURAS!$B$7:$B$27,nASIG)&gt;0)*1),"")))</f>
        <v/>
      </c>
      <c r="H90" t="str">
        <f>IF(G90="","",IF(G90="[FÓRMULA MANUAL]","",IFERROR(AVERAGEIFS(nNOTA,nNIA,G90,nCUENTA,1,nASIG,"Lenguaje Musical"),"")))</f>
        <v/>
      </c>
      <c r="I90" t="str">
        <f>IF(G90="","",IF(G90="[FÓRMULA MANUAL]","",IFERROR(AVERAGEIFS(nNOTA,nNIA,G90,nCUENTA,1,nASIG,"Orquesta/Banda/Conjunto"),"")))</f>
        <v/>
      </c>
      <c r="J90" t="str">
        <f>IF(G90="","",IF(G90="[FÓRMULA MANUAL]","",IFERROR(AVERAGEIFS(nNOTA,nNIA,G90,nCUENTA,1,nASIG,"Conjunto"),"")))</f>
        <v/>
      </c>
      <c r="K90" t="str">
        <f>IF(G90="","",IF(G90="[FÓRMULA MANUAL]","",IFERROR(SUMPRODUCT((nNIA=G90)*(nCUENTA=1)*(COUNTIF(CONFIG_ASIGNATURAS!$B$7:$B$27,nASIG)&gt;0)*(nNOTA))/SUMPRODUCT((nNIA=G90)*(nCUENTA=1)*(COUNTIF(CONFIG_ASIGNATURAS!$B$7:$B$27,nASIG)&gt;0)*1),"")))</f>
        <v/>
      </c>
      <c r="N90" t="str">
        <f>IF(M90="","",IF(M90="[FÓRMULA MANUAL]","",IFERROR(AVERAGEIFS(nNOTA,nNIA,M90,nCUENTA,1,nASIG,"Armonía"),"")))</f>
        <v/>
      </c>
      <c r="O90" t="str">
        <f>IF(M90="","",IF(M90="[FÓRMULA MANUAL]","",IFERROR(AVERAGEIFS(nNOTA,nNIA,M90,nCUENTA,1,nASIG,"Orquesta/Banda/Conjunto"),"")))</f>
        <v/>
      </c>
      <c r="P90" t="str">
        <f>IF(M90="","",IF(M90="[FÓRMULA MANUAL]","",IFERROR(AVERAGEIFS(nNOTA,nNIA,M90,nCUENTA,1,nASIG,"Música de Cámara"),"")))</f>
        <v/>
      </c>
      <c r="Q90" t="str">
        <f>IF(M90="","",IF(M90="[FÓRMULA MANUAL]","",IFERROR(SUMPRODUCT((nNIA=M90)*(nCUENTA=1)*(COUNTIF(CONFIG_ASIGNATURAS!$B$7:$B$27,nASIG)&gt;0)*(nNOTA))/SUMPRODUCT((nNIA=M90)*(nCUENTA=1)*(COUNTIF(CONFIG_ASIGNATURAS!$B$7:$B$27,nASIG)&gt;0)*1),"")))</f>
        <v/>
      </c>
      <c r="T90" t="str">
        <f>IF(S90="","",IF(S90="[FÓRMULA MANUAL]","",IFERROR(AVERAGEIFS(nNOTA,nNIA,S90,nCUENTA,1,nASIG,"Armonía"),"")))</f>
        <v/>
      </c>
      <c r="U90" t="str">
        <f>IF(S90="","",IF(S90="[FÓRMULA MANUAL]","",IFERROR(AVERAGEIFS(nNOTA,nNIA,S90,nCUENTA,1,nASIG,"Orquesta/Banda/Conjunto"),"")))</f>
        <v/>
      </c>
      <c r="V90" t="str">
        <f>IF(S90="","",IF(S90="[FÓRMULA MANUAL]","",IFERROR(AVERAGEIFS(nNOTA,nNIA,S90,nCUENTA,1,nASIG,"Música de Cámara"),"")))</f>
        <v/>
      </c>
      <c r="W90" t="str">
        <f>IF(S90="","",IF(S90="[FÓRMULA MANUAL]","",IFERROR(SUMPRODUCT((nNIA=S90)*(nCUENTA=1)*(COUNTIF(CONFIG_ASIGNATURAS!$B$7:$B$27,nASIG)&gt;0)*(nNOTA))/SUMPRODUCT((nNIA=S90)*(nCUENTA=1)*(COUNTIF(CONFIG_ASIGNATURAS!$B$7:$B$27,nASIG)&gt;0)*1),"")))</f>
        <v/>
      </c>
      <c r="Z90" t="str">
        <f>IF(Y90="","",IF(Y90="[FÓRMULA MANUAL]","",IFERROR(AVERAGEIFS(nNOTA,nNIA,Y90,nCUENTA,1,nASIG,"Análisis"),"")))</f>
        <v/>
      </c>
      <c r="AA90" t="str">
        <f>IF(Y90="","",IF(Y90="[FÓRMULA MANUAL]","",IFERROR(AVERAGEIFS(nNOTA,nNIA,Y90,nCUENTA,1,nASIG,"Orquesta/Banda/Conjunto"),"")))</f>
        <v/>
      </c>
      <c r="AB90" t="str">
        <f>IF(Y90="","",IF(Y90="[FÓRMULA MANUAL]","",IFERROR(AVERAGEIFS(nNOTA,nNIA,Y90,nCUENTA,1,nASIG,"Música de Cámara"),"")))</f>
        <v/>
      </c>
      <c r="AC90" t="str">
        <f>IF(Y90="","",IF(Y90="[FÓRMULA MANUAL]","",IFERROR(SUMPRODUCT((nNIA=Y90)*(nCUENTA=1)*(COUNTIF(CONFIG_ASIGNATURAS!$B$7:$B$27,nASIG)&gt;0)*(nNOTA))/SUMPRODUCT((nNIA=Y90)*(nCUENTA=1)*(COUNTIF(CONFIG_ASIGNATURAS!$B$7:$B$27,nASIG)&gt;0)*1),"")))</f>
        <v/>
      </c>
      <c r="AF90" t="str">
        <f>IF(AE90="","",IF(AE90="[FÓRMULA MANUAL]","",IFERROR(AVERAGEIFS(nNOTA,nNIA,AE90,nCUENTA,1,nASIG,"Análisis"),"")))</f>
        <v/>
      </c>
      <c r="AG90" t="str">
        <f>IF(AE90="","",IF(AE90="[FÓRMULA MANUAL]","",IFERROR(AVERAGEIFS(nNOTA,nNIA,AE90,nCUENTA,1,nASIG,"Orquesta/Banda/Conjunto"),"")))</f>
        <v/>
      </c>
      <c r="AH90" t="str">
        <f>IF(AE90="","",IF(AE90="[FÓRMULA MANUAL]","",IFERROR(AVERAGEIFS(nNOTA,nNIA,AE90,nCUENTA,1,nASIG,"Música de Cámara"),"")))</f>
        <v/>
      </c>
      <c r="AI90" t="str">
        <f>IF(AE90="","",IF(AE90="[FÓRMULA MANUAL]","",IFERROR(SUMPRODUCT((nNIA=AE90)*(nCUENTA=1)*(COUNTIF(CONFIG_ASIGNATURAS!$B$7:$B$27,nASIG)&gt;0)*(nNOTA))/SUMPRODUCT((nNIA=AE90)*(nCUENTA=1)*(COUNTIF(CONFIG_ASIGNATURAS!$B$7:$B$27,nASIG)&gt;0)*1),"")))</f>
        <v/>
      </c>
    </row>
    <row r="91" spans="2:35" x14ac:dyDescent="0.2">
      <c r="B91" t="str">
        <f>IF(A91="","",IF(A91="[FÓRMULA MANUAL]","",IFERROR(AVERAGEIFS(nNOTA,nNIA,A91,nCUENTA,1,nASIG,"Lenguaje Musical"),"")))</f>
        <v/>
      </c>
      <c r="C91" t="str">
        <f>IF(A91="","",IF(A91="[FÓRMULA MANUAL]","",IFERROR(AVERAGEIFS(nNOTA,nNIA,A91,nCUENTA,1,nASIG,"Orquesta/Banda/Conjunto"),"")))</f>
        <v/>
      </c>
      <c r="D91" t="str">
        <f>IF(A91="","",IF(A91="[FÓRMULA MANUAL]","",IFERROR(AVERAGEIFS(nNOTA,nNIA,A91,nCUENTA,1,nASIG,"Conjunto"),"")))</f>
        <v/>
      </c>
      <c r="E91" t="str">
        <f>IF(A91="","",IF(A91="[FÓRMULA MANUAL]","",IFERROR(SUMPRODUCT((nNIA=A91)*(nCUENTA=1)*(COUNTIF(CONFIG_ASIGNATURAS!$B$7:$B$27,nASIG)&gt;0)*(nNOTA))/SUMPRODUCT((nNIA=A91)*(nCUENTA=1)*(COUNTIF(CONFIG_ASIGNATURAS!$B$7:$B$27,nASIG)&gt;0)*1),"")))</f>
        <v/>
      </c>
      <c r="H91" t="str">
        <f>IF(G91="","",IF(G91="[FÓRMULA MANUAL]","",IFERROR(AVERAGEIFS(nNOTA,nNIA,G91,nCUENTA,1,nASIG,"Lenguaje Musical"),"")))</f>
        <v/>
      </c>
      <c r="I91" t="str">
        <f>IF(G91="","",IF(G91="[FÓRMULA MANUAL]","",IFERROR(AVERAGEIFS(nNOTA,nNIA,G91,nCUENTA,1,nASIG,"Orquesta/Banda/Conjunto"),"")))</f>
        <v/>
      </c>
      <c r="J91" t="str">
        <f>IF(G91="","",IF(G91="[FÓRMULA MANUAL]","",IFERROR(AVERAGEIFS(nNOTA,nNIA,G91,nCUENTA,1,nASIG,"Conjunto"),"")))</f>
        <v/>
      </c>
      <c r="K91" t="str">
        <f>IF(G91="","",IF(G91="[FÓRMULA MANUAL]","",IFERROR(SUMPRODUCT((nNIA=G91)*(nCUENTA=1)*(COUNTIF(CONFIG_ASIGNATURAS!$B$7:$B$27,nASIG)&gt;0)*(nNOTA))/SUMPRODUCT((nNIA=G91)*(nCUENTA=1)*(COUNTIF(CONFIG_ASIGNATURAS!$B$7:$B$27,nASIG)&gt;0)*1),"")))</f>
        <v/>
      </c>
      <c r="N91" t="str">
        <f>IF(M91="","",IF(M91="[FÓRMULA MANUAL]","",IFERROR(AVERAGEIFS(nNOTA,nNIA,M91,nCUENTA,1,nASIG,"Armonía"),"")))</f>
        <v/>
      </c>
      <c r="O91" t="str">
        <f>IF(M91="","",IF(M91="[FÓRMULA MANUAL]","",IFERROR(AVERAGEIFS(nNOTA,nNIA,M91,nCUENTA,1,nASIG,"Orquesta/Banda/Conjunto"),"")))</f>
        <v/>
      </c>
      <c r="P91" t="str">
        <f>IF(M91="","",IF(M91="[FÓRMULA MANUAL]","",IFERROR(AVERAGEIFS(nNOTA,nNIA,M91,nCUENTA,1,nASIG,"Música de Cámara"),"")))</f>
        <v/>
      </c>
      <c r="Q91" t="str">
        <f>IF(M91="","",IF(M91="[FÓRMULA MANUAL]","",IFERROR(SUMPRODUCT((nNIA=M91)*(nCUENTA=1)*(COUNTIF(CONFIG_ASIGNATURAS!$B$7:$B$27,nASIG)&gt;0)*(nNOTA))/SUMPRODUCT((nNIA=M91)*(nCUENTA=1)*(COUNTIF(CONFIG_ASIGNATURAS!$B$7:$B$27,nASIG)&gt;0)*1),"")))</f>
        <v/>
      </c>
      <c r="T91" t="str">
        <f>IF(S91="","",IF(S91="[FÓRMULA MANUAL]","",IFERROR(AVERAGEIFS(nNOTA,nNIA,S91,nCUENTA,1,nASIG,"Armonía"),"")))</f>
        <v/>
      </c>
      <c r="U91" t="str">
        <f>IF(S91="","",IF(S91="[FÓRMULA MANUAL]","",IFERROR(AVERAGEIFS(nNOTA,nNIA,S91,nCUENTA,1,nASIG,"Orquesta/Banda/Conjunto"),"")))</f>
        <v/>
      </c>
      <c r="V91" t="str">
        <f>IF(S91="","",IF(S91="[FÓRMULA MANUAL]","",IFERROR(AVERAGEIFS(nNOTA,nNIA,S91,nCUENTA,1,nASIG,"Música de Cámara"),"")))</f>
        <v/>
      </c>
      <c r="W91" t="str">
        <f>IF(S91="","",IF(S91="[FÓRMULA MANUAL]","",IFERROR(SUMPRODUCT((nNIA=S91)*(nCUENTA=1)*(COUNTIF(CONFIG_ASIGNATURAS!$B$7:$B$27,nASIG)&gt;0)*(nNOTA))/SUMPRODUCT((nNIA=S91)*(nCUENTA=1)*(COUNTIF(CONFIG_ASIGNATURAS!$B$7:$B$27,nASIG)&gt;0)*1),"")))</f>
        <v/>
      </c>
      <c r="Z91" t="str">
        <f>IF(Y91="","",IF(Y91="[FÓRMULA MANUAL]","",IFERROR(AVERAGEIFS(nNOTA,nNIA,Y91,nCUENTA,1,nASIG,"Análisis"),"")))</f>
        <v/>
      </c>
      <c r="AA91" t="str">
        <f>IF(Y91="","",IF(Y91="[FÓRMULA MANUAL]","",IFERROR(AVERAGEIFS(nNOTA,nNIA,Y91,nCUENTA,1,nASIG,"Orquesta/Banda/Conjunto"),"")))</f>
        <v/>
      </c>
      <c r="AB91" t="str">
        <f>IF(Y91="","",IF(Y91="[FÓRMULA MANUAL]","",IFERROR(AVERAGEIFS(nNOTA,nNIA,Y91,nCUENTA,1,nASIG,"Música de Cámara"),"")))</f>
        <v/>
      </c>
      <c r="AC91" t="str">
        <f>IF(Y91="","",IF(Y91="[FÓRMULA MANUAL]","",IFERROR(SUMPRODUCT((nNIA=Y91)*(nCUENTA=1)*(COUNTIF(CONFIG_ASIGNATURAS!$B$7:$B$27,nASIG)&gt;0)*(nNOTA))/SUMPRODUCT((nNIA=Y91)*(nCUENTA=1)*(COUNTIF(CONFIG_ASIGNATURAS!$B$7:$B$27,nASIG)&gt;0)*1),"")))</f>
        <v/>
      </c>
      <c r="AF91" t="str">
        <f>IF(AE91="","",IF(AE91="[FÓRMULA MANUAL]","",IFERROR(AVERAGEIFS(nNOTA,nNIA,AE91,nCUENTA,1,nASIG,"Análisis"),"")))</f>
        <v/>
      </c>
      <c r="AG91" t="str">
        <f>IF(AE91="","",IF(AE91="[FÓRMULA MANUAL]","",IFERROR(AVERAGEIFS(nNOTA,nNIA,AE91,nCUENTA,1,nASIG,"Orquesta/Banda/Conjunto"),"")))</f>
        <v/>
      </c>
      <c r="AH91" t="str">
        <f>IF(AE91="","",IF(AE91="[FÓRMULA MANUAL]","",IFERROR(AVERAGEIFS(nNOTA,nNIA,AE91,nCUENTA,1,nASIG,"Música de Cámara"),"")))</f>
        <v/>
      </c>
      <c r="AI91" t="str">
        <f>IF(AE91="","",IF(AE91="[FÓRMULA MANUAL]","",IFERROR(SUMPRODUCT((nNIA=AE91)*(nCUENTA=1)*(COUNTIF(CONFIG_ASIGNATURAS!$B$7:$B$27,nASIG)&gt;0)*(nNOTA))/SUMPRODUCT((nNIA=AE91)*(nCUENTA=1)*(COUNTIF(CONFIG_ASIGNATURAS!$B$7:$B$27,nASIG)&gt;0)*1),"")))</f>
        <v/>
      </c>
    </row>
    <row r="92" spans="2:35" x14ac:dyDescent="0.2">
      <c r="B92" t="str">
        <f>IF(A92="","",IF(A92="[FÓRMULA MANUAL]","",IFERROR(AVERAGEIFS(nNOTA,nNIA,A92,nCUENTA,1,nASIG,"Lenguaje Musical"),"")))</f>
        <v/>
      </c>
      <c r="C92" t="str">
        <f>IF(A92="","",IF(A92="[FÓRMULA MANUAL]","",IFERROR(AVERAGEIFS(nNOTA,nNIA,A92,nCUENTA,1,nASIG,"Orquesta/Banda/Conjunto"),"")))</f>
        <v/>
      </c>
      <c r="D92" t="str">
        <f>IF(A92="","",IF(A92="[FÓRMULA MANUAL]","",IFERROR(AVERAGEIFS(nNOTA,nNIA,A92,nCUENTA,1,nASIG,"Conjunto"),"")))</f>
        <v/>
      </c>
      <c r="E92" t="str">
        <f>IF(A92="","",IF(A92="[FÓRMULA MANUAL]","",IFERROR(SUMPRODUCT((nNIA=A92)*(nCUENTA=1)*(COUNTIF(CONFIG_ASIGNATURAS!$B$7:$B$27,nASIG)&gt;0)*(nNOTA))/SUMPRODUCT((nNIA=A92)*(nCUENTA=1)*(COUNTIF(CONFIG_ASIGNATURAS!$B$7:$B$27,nASIG)&gt;0)*1),"")))</f>
        <v/>
      </c>
      <c r="H92" t="str">
        <f>IF(G92="","",IF(G92="[FÓRMULA MANUAL]","",IFERROR(AVERAGEIFS(nNOTA,nNIA,G92,nCUENTA,1,nASIG,"Lenguaje Musical"),"")))</f>
        <v/>
      </c>
      <c r="I92" t="str">
        <f>IF(G92="","",IF(G92="[FÓRMULA MANUAL]","",IFERROR(AVERAGEIFS(nNOTA,nNIA,G92,nCUENTA,1,nASIG,"Orquesta/Banda/Conjunto"),"")))</f>
        <v/>
      </c>
      <c r="J92" t="str">
        <f>IF(G92="","",IF(G92="[FÓRMULA MANUAL]","",IFERROR(AVERAGEIFS(nNOTA,nNIA,G92,nCUENTA,1,nASIG,"Conjunto"),"")))</f>
        <v/>
      </c>
      <c r="K92" t="str">
        <f>IF(G92="","",IF(G92="[FÓRMULA MANUAL]","",IFERROR(SUMPRODUCT((nNIA=G92)*(nCUENTA=1)*(COUNTIF(CONFIG_ASIGNATURAS!$B$7:$B$27,nASIG)&gt;0)*(nNOTA))/SUMPRODUCT((nNIA=G92)*(nCUENTA=1)*(COUNTIF(CONFIG_ASIGNATURAS!$B$7:$B$27,nASIG)&gt;0)*1),"")))</f>
        <v/>
      </c>
      <c r="N92" t="str">
        <f>IF(M92="","",IF(M92="[FÓRMULA MANUAL]","",IFERROR(AVERAGEIFS(nNOTA,nNIA,M92,nCUENTA,1,nASIG,"Armonía"),"")))</f>
        <v/>
      </c>
      <c r="O92" t="str">
        <f>IF(M92="","",IF(M92="[FÓRMULA MANUAL]","",IFERROR(AVERAGEIFS(nNOTA,nNIA,M92,nCUENTA,1,nASIG,"Orquesta/Banda/Conjunto"),"")))</f>
        <v/>
      </c>
      <c r="P92" t="str">
        <f>IF(M92="","",IF(M92="[FÓRMULA MANUAL]","",IFERROR(AVERAGEIFS(nNOTA,nNIA,M92,nCUENTA,1,nASIG,"Música de Cámara"),"")))</f>
        <v/>
      </c>
      <c r="Q92" t="str">
        <f>IF(M92="","",IF(M92="[FÓRMULA MANUAL]","",IFERROR(SUMPRODUCT((nNIA=M92)*(nCUENTA=1)*(COUNTIF(CONFIG_ASIGNATURAS!$B$7:$B$27,nASIG)&gt;0)*(nNOTA))/SUMPRODUCT((nNIA=M92)*(nCUENTA=1)*(COUNTIF(CONFIG_ASIGNATURAS!$B$7:$B$27,nASIG)&gt;0)*1),"")))</f>
        <v/>
      </c>
      <c r="T92" t="str">
        <f>IF(S92="","",IF(S92="[FÓRMULA MANUAL]","",IFERROR(AVERAGEIFS(nNOTA,nNIA,S92,nCUENTA,1,nASIG,"Armonía"),"")))</f>
        <v/>
      </c>
      <c r="U92" t="str">
        <f>IF(S92="","",IF(S92="[FÓRMULA MANUAL]","",IFERROR(AVERAGEIFS(nNOTA,nNIA,S92,nCUENTA,1,nASIG,"Orquesta/Banda/Conjunto"),"")))</f>
        <v/>
      </c>
      <c r="V92" t="str">
        <f>IF(S92="","",IF(S92="[FÓRMULA MANUAL]","",IFERROR(AVERAGEIFS(nNOTA,nNIA,S92,nCUENTA,1,nASIG,"Música de Cámara"),"")))</f>
        <v/>
      </c>
      <c r="W92" t="str">
        <f>IF(S92="","",IF(S92="[FÓRMULA MANUAL]","",IFERROR(SUMPRODUCT((nNIA=S92)*(nCUENTA=1)*(COUNTIF(CONFIG_ASIGNATURAS!$B$7:$B$27,nASIG)&gt;0)*(nNOTA))/SUMPRODUCT((nNIA=S92)*(nCUENTA=1)*(COUNTIF(CONFIG_ASIGNATURAS!$B$7:$B$27,nASIG)&gt;0)*1),"")))</f>
        <v/>
      </c>
      <c r="Z92" t="str">
        <f>IF(Y92="","",IF(Y92="[FÓRMULA MANUAL]","",IFERROR(AVERAGEIFS(nNOTA,nNIA,Y92,nCUENTA,1,nASIG,"Análisis"),"")))</f>
        <v/>
      </c>
      <c r="AA92" t="str">
        <f>IF(Y92="","",IF(Y92="[FÓRMULA MANUAL]","",IFERROR(AVERAGEIFS(nNOTA,nNIA,Y92,nCUENTA,1,nASIG,"Orquesta/Banda/Conjunto"),"")))</f>
        <v/>
      </c>
      <c r="AB92" t="str">
        <f>IF(Y92="","",IF(Y92="[FÓRMULA MANUAL]","",IFERROR(AVERAGEIFS(nNOTA,nNIA,Y92,nCUENTA,1,nASIG,"Música de Cámara"),"")))</f>
        <v/>
      </c>
      <c r="AC92" t="str">
        <f>IF(Y92="","",IF(Y92="[FÓRMULA MANUAL]","",IFERROR(SUMPRODUCT((nNIA=Y92)*(nCUENTA=1)*(COUNTIF(CONFIG_ASIGNATURAS!$B$7:$B$27,nASIG)&gt;0)*(nNOTA))/SUMPRODUCT((nNIA=Y92)*(nCUENTA=1)*(COUNTIF(CONFIG_ASIGNATURAS!$B$7:$B$27,nASIG)&gt;0)*1),"")))</f>
        <v/>
      </c>
      <c r="AF92" t="str">
        <f>IF(AE92="","",IF(AE92="[FÓRMULA MANUAL]","",IFERROR(AVERAGEIFS(nNOTA,nNIA,AE92,nCUENTA,1,nASIG,"Análisis"),"")))</f>
        <v/>
      </c>
      <c r="AG92" t="str">
        <f>IF(AE92="","",IF(AE92="[FÓRMULA MANUAL]","",IFERROR(AVERAGEIFS(nNOTA,nNIA,AE92,nCUENTA,1,nASIG,"Orquesta/Banda/Conjunto"),"")))</f>
        <v/>
      </c>
      <c r="AH92" t="str">
        <f>IF(AE92="","",IF(AE92="[FÓRMULA MANUAL]","",IFERROR(AVERAGEIFS(nNOTA,nNIA,AE92,nCUENTA,1,nASIG,"Música de Cámara"),"")))</f>
        <v/>
      </c>
      <c r="AI92" t="str">
        <f>IF(AE92="","",IF(AE92="[FÓRMULA MANUAL]","",IFERROR(SUMPRODUCT((nNIA=AE92)*(nCUENTA=1)*(COUNTIF(CONFIG_ASIGNATURAS!$B$7:$B$27,nASIG)&gt;0)*(nNOTA))/SUMPRODUCT((nNIA=AE92)*(nCUENTA=1)*(COUNTIF(CONFIG_ASIGNATURAS!$B$7:$B$27,nASIG)&gt;0)*1),"")))</f>
        <v/>
      </c>
    </row>
    <row r="93" spans="2:35" x14ac:dyDescent="0.2">
      <c r="B93" t="str">
        <f>IF(A93="","",IF(A93="[FÓRMULA MANUAL]","",IFERROR(AVERAGEIFS(nNOTA,nNIA,A93,nCUENTA,1,nASIG,"Lenguaje Musical"),"")))</f>
        <v/>
      </c>
      <c r="C93" t="str">
        <f>IF(A93="","",IF(A93="[FÓRMULA MANUAL]","",IFERROR(AVERAGEIFS(nNOTA,nNIA,A93,nCUENTA,1,nASIG,"Orquesta/Banda/Conjunto"),"")))</f>
        <v/>
      </c>
      <c r="D93" t="str">
        <f>IF(A93="","",IF(A93="[FÓRMULA MANUAL]","",IFERROR(AVERAGEIFS(nNOTA,nNIA,A93,nCUENTA,1,nASIG,"Conjunto"),"")))</f>
        <v/>
      </c>
      <c r="E93" t="str">
        <f>IF(A93="","",IF(A93="[FÓRMULA MANUAL]","",IFERROR(SUMPRODUCT((nNIA=A93)*(nCUENTA=1)*(COUNTIF(CONFIG_ASIGNATURAS!$B$7:$B$27,nASIG)&gt;0)*(nNOTA))/SUMPRODUCT((nNIA=A93)*(nCUENTA=1)*(COUNTIF(CONFIG_ASIGNATURAS!$B$7:$B$27,nASIG)&gt;0)*1),"")))</f>
        <v/>
      </c>
      <c r="H93" t="str">
        <f>IF(G93="","",IF(G93="[FÓRMULA MANUAL]","",IFERROR(AVERAGEIFS(nNOTA,nNIA,G93,nCUENTA,1,nASIG,"Lenguaje Musical"),"")))</f>
        <v/>
      </c>
      <c r="I93" t="str">
        <f>IF(G93="","",IF(G93="[FÓRMULA MANUAL]","",IFERROR(AVERAGEIFS(nNOTA,nNIA,G93,nCUENTA,1,nASIG,"Orquesta/Banda/Conjunto"),"")))</f>
        <v/>
      </c>
      <c r="J93" t="str">
        <f>IF(G93="","",IF(G93="[FÓRMULA MANUAL]","",IFERROR(AVERAGEIFS(nNOTA,nNIA,G93,nCUENTA,1,nASIG,"Conjunto"),"")))</f>
        <v/>
      </c>
      <c r="K93" t="str">
        <f>IF(G93="","",IF(G93="[FÓRMULA MANUAL]","",IFERROR(SUMPRODUCT((nNIA=G93)*(nCUENTA=1)*(COUNTIF(CONFIG_ASIGNATURAS!$B$7:$B$27,nASIG)&gt;0)*(nNOTA))/SUMPRODUCT((nNIA=G93)*(nCUENTA=1)*(COUNTIF(CONFIG_ASIGNATURAS!$B$7:$B$27,nASIG)&gt;0)*1),"")))</f>
        <v/>
      </c>
      <c r="N93" t="str">
        <f>IF(M93="","",IF(M93="[FÓRMULA MANUAL]","",IFERROR(AVERAGEIFS(nNOTA,nNIA,M93,nCUENTA,1,nASIG,"Armonía"),"")))</f>
        <v/>
      </c>
      <c r="O93" t="str">
        <f>IF(M93="","",IF(M93="[FÓRMULA MANUAL]","",IFERROR(AVERAGEIFS(nNOTA,nNIA,M93,nCUENTA,1,nASIG,"Orquesta/Banda/Conjunto"),"")))</f>
        <v/>
      </c>
      <c r="P93" t="str">
        <f>IF(M93="","",IF(M93="[FÓRMULA MANUAL]","",IFERROR(AVERAGEIFS(nNOTA,nNIA,M93,nCUENTA,1,nASIG,"Música de Cámara"),"")))</f>
        <v/>
      </c>
      <c r="Q93" t="str">
        <f>IF(M93="","",IF(M93="[FÓRMULA MANUAL]","",IFERROR(SUMPRODUCT((nNIA=M93)*(nCUENTA=1)*(COUNTIF(CONFIG_ASIGNATURAS!$B$7:$B$27,nASIG)&gt;0)*(nNOTA))/SUMPRODUCT((nNIA=M93)*(nCUENTA=1)*(COUNTIF(CONFIG_ASIGNATURAS!$B$7:$B$27,nASIG)&gt;0)*1),"")))</f>
        <v/>
      </c>
      <c r="T93" t="str">
        <f>IF(S93="","",IF(S93="[FÓRMULA MANUAL]","",IFERROR(AVERAGEIFS(nNOTA,nNIA,S93,nCUENTA,1,nASIG,"Armonía"),"")))</f>
        <v/>
      </c>
      <c r="U93" t="str">
        <f>IF(S93="","",IF(S93="[FÓRMULA MANUAL]","",IFERROR(AVERAGEIFS(nNOTA,nNIA,S93,nCUENTA,1,nASIG,"Orquesta/Banda/Conjunto"),"")))</f>
        <v/>
      </c>
      <c r="V93" t="str">
        <f>IF(S93="","",IF(S93="[FÓRMULA MANUAL]","",IFERROR(AVERAGEIFS(nNOTA,nNIA,S93,nCUENTA,1,nASIG,"Música de Cámara"),"")))</f>
        <v/>
      </c>
      <c r="W93" t="str">
        <f>IF(S93="","",IF(S93="[FÓRMULA MANUAL]","",IFERROR(SUMPRODUCT((nNIA=S93)*(nCUENTA=1)*(COUNTIF(CONFIG_ASIGNATURAS!$B$7:$B$27,nASIG)&gt;0)*(nNOTA))/SUMPRODUCT((nNIA=S93)*(nCUENTA=1)*(COUNTIF(CONFIG_ASIGNATURAS!$B$7:$B$27,nASIG)&gt;0)*1),"")))</f>
        <v/>
      </c>
      <c r="Z93" t="str">
        <f>IF(Y93="","",IF(Y93="[FÓRMULA MANUAL]","",IFERROR(AVERAGEIFS(nNOTA,nNIA,Y93,nCUENTA,1,nASIG,"Análisis"),"")))</f>
        <v/>
      </c>
      <c r="AA93" t="str">
        <f>IF(Y93="","",IF(Y93="[FÓRMULA MANUAL]","",IFERROR(AVERAGEIFS(nNOTA,nNIA,Y93,nCUENTA,1,nASIG,"Orquesta/Banda/Conjunto"),"")))</f>
        <v/>
      </c>
      <c r="AB93" t="str">
        <f>IF(Y93="","",IF(Y93="[FÓRMULA MANUAL]","",IFERROR(AVERAGEIFS(nNOTA,nNIA,Y93,nCUENTA,1,nASIG,"Música de Cámara"),"")))</f>
        <v/>
      </c>
      <c r="AC93" t="str">
        <f>IF(Y93="","",IF(Y93="[FÓRMULA MANUAL]","",IFERROR(SUMPRODUCT((nNIA=Y93)*(nCUENTA=1)*(COUNTIF(CONFIG_ASIGNATURAS!$B$7:$B$27,nASIG)&gt;0)*(nNOTA))/SUMPRODUCT((nNIA=Y93)*(nCUENTA=1)*(COUNTIF(CONFIG_ASIGNATURAS!$B$7:$B$27,nASIG)&gt;0)*1),"")))</f>
        <v/>
      </c>
      <c r="AF93" t="str">
        <f>IF(AE93="","",IF(AE93="[FÓRMULA MANUAL]","",IFERROR(AVERAGEIFS(nNOTA,nNIA,AE93,nCUENTA,1,nASIG,"Análisis"),"")))</f>
        <v/>
      </c>
      <c r="AG93" t="str">
        <f>IF(AE93="","",IF(AE93="[FÓRMULA MANUAL]","",IFERROR(AVERAGEIFS(nNOTA,nNIA,AE93,nCUENTA,1,nASIG,"Orquesta/Banda/Conjunto"),"")))</f>
        <v/>
      </c>
      <c r="AH93" t="str">
        <f>IF(AE93="","",IF(AE93="[FÓRMULA MANUAL]","",IFERROR(AVERAGEIFS(nNOTA,nNIA,AE93,nCUENTA,1,nASIG,"Música de Cámara"),"")))</f>
        <v/>
      </c>
      <c r="AI93" t="str">
        <f>IF(AE93="","",IF(AE93="[FÓRMULA MANUAL]","",IFERROR(SUMPRODUCT((nNIA=AE93)*(nCUENTA=1)*(COUNTIF(CONFIG_ASIGNATURAS!$B$7:$B$27,nASIG)&gt;0)*(nNOTA))/SUMPRODUCT((nNIA=AE93)*(nCUENTA=1)*(COUNTIF(CONFIG_ASIGNATURAS!$B$7:$B$27,nASIG)&gt;0)*1),"")))</f>
        <v/>
      </c>
    </row>
    <row r="94" spans="2:35" x14ac:dyDescent="0.2">
      <c r="B94" t="str">
        <f>IF(A94="","",IF(A94="[FÓRMULA MANUAL]","",IFERROR(AVERAGEIFS(nNOTA,nNIA,A94,nCUENTA,1,nASIG,"Lenguaje Musical"),"")))</f>
        <v/>
      </c>
      <c r="C94" t="str">
        <f>IF(A94="","",IF(A94="[FÓRMULA MANUAL]","",IFERROR(AVERAGEIFS(nNOTA,nNIA,A94,nCUENTA,1,nASIG,"Orquesta/Banda/Conjunto"),"")))</f>
        <v/>
      </c>
      <c r="D94" t="str">
        <f>IF(A94="","",IF(A94="[FÓRMULA MANUAL]","",IFERROR(AVERAGEIFS(nNOTA,nNIA,A94,nCUENTA,1,nASIG,"Conjunto"),"")))</f>
        <v/>
      </c>
      <c r="E94" t="str">
        <f>IF(A94="","",IF(A94="[FÓRMULA MANUAL]","",IFERROR(SUMPRODUCT((nNIA=A94)*(nCUENTA=1)*(COUNTIF(CONFIG_ASIGNATURAS!$B$7:$B$27,nASIG)&gt;0)*(nNOTA))/SUMPRODUCT((nNIA=A94)*(nCUENTA=1)*(COUNTIF(CONFIG_ASIGNATURAS!$B$7:$B$27,nASIG)&gt;0)*1),"")))</f>
        <v/>
      </c>
      <c r="H94" t="str">
        <f>IF(G94="","",IF(G94="[FÓRMULA MANUAL]","",IFERROR(AVERAGEIFS(nNOTA,nNIA,G94,nCUENTA,1,nASIG,"Lenguaje Musical"),"")))</f>
        <v/>
      </c>
      <c r="I94" t="str">
        <f>IF(G94="","",IF(G94="[FÓRMULA MANUAL]","",IFERROR(AVERAGEIFS(nNOTA,nNIA,G94,nCUENTA,1,nASIG,"Orquesta/Banda/Conjunto"),"")))</f>
        <v/>
      </c>
      <c r="J94" t="str">
        <f>IF(G94="","",IF(G94="[FÓRMULA MANUAL]","",IFERROR(AVERAGEIFS(nNOTA,nNIA,G94,nCUENTA,1,nASIG,"Conjunto"),"")))</f>
        <v/>
      </c>
      <c r="K94" t="str">
        <f>IF(G94="","",IF(G94="[FÓRMULA MANUAL]","",IFERROR(SUMPRODUCT((nNIA=G94)*(nCUENTA=1)*(COUNTIF(CONFIG_ASIGNATURAS!$B$7:$B$27,nASIG)&gt;0)*(nNOTA))/SUMPRODUCT((nNIA=G94)*(nCUENTA=1)*(COUNTIF(CONFIG_ASIGNATURAS!$B$7:$B$27,nASIG)&gt;0)*1),"")))</f>
        <v/>
      </c>
      <c r="N94" t="str">
        <f>IF(M94="","",IF(M94="[FÓRMULA MANUAL]","",IFERROR(AVERAGEIFS(nNOTA,nNIA,M94,nCUENTA,1,nASIG,"Armonía"),"")))</f>
        <v/>
      </c>
      <c r="O94" t="str">
        <f>IF(M94="","",IF(M94="[FÓRMULA MANUAL]","",IFERROR(AVERAGEIFS(nNOTA,nNIA,M94,nCUENTA,1,nASIG,"Orquesta/Banda/Conjunto"),"")))</f>
        <v/>
      </c>
      <c r="P94" t="str">
        <f>IF(M94="","",IF(M94="[FÓRMULA MANUAL]","",IFERROR(AVERAGEIFS(nNOTA,nNIA,M94,nCUENTA,1,nASIG,"Música de Cámara"),"")))</f>
        <v/>
      </c>
      <c r="Q94" t="str">
        <f>IF(M94="","",IF(M94="[FÓRMULA MANUAL]","",IFERROR(SUMPRODUCT((nNIA=M94)*(nCUENTA=1)*(COUNTIF(CONFIG_ASIGNATURAS!$B$7:$B$27,nASIG)&gt;0)*(nNOTA))/SUMPRODUCT((nNIA=M94)*(nCUENTA=1)*(COUNTIF(CONFIG_ASIGNATURAS!$B$7:$B$27,nASIG)&gt;0)*1),"")))</f>
        <v/>
      </c>
      <c r="T94" t="str">
        <f>IF(S94="","",IF(S94="[FÓRMULA MANUAL]","",IFERROR(AVERAGEIFS(nNOTA,nNIA,S94,nCUENTA,1,nASIG,"Armonía"),"")))</f>
        <v/>
      </c>
      <c r="U94" t="str">
        <f>IF(S94="","",IF(S94="[FÓRMULA MANUAL]","",IFERROR(AVERAGEIFS(nNOTA,nNIA,S94,nCUENTA,1,nASIG,"Orquesta/Banda/Conjunto"),"")))</f>
        <v/>
      </c>
      <c r="V94" t="str">
        <f>IF(S94="","",IF(S94="[FÓRMULA MANUAL]","",IFERROR(AVERAGEIFS(nNOTA,nNIA,S94,nCUENTA,1,nASIG,"Música de Cámara"),"")))</f>
        <v/>
      </c>
      <c r="W94" t="str">
        <f>IF(S94="","",IF(S94="[FÓRMULA MANUAL]","",IFERROR(SUMPRODUCT((nNIA=S94)*(nCUENTA=1)*(COUNTIF(CONFIG_ASIGNATURAS!$B$7:$B$27,nASIG)&gt;0)*(nNOTA))/SUMPRODUCT((nNIA=S94)*(nCUENTA=1)*(COUNTIF(CONFIG_ASIGNATURAS!$B$7:$B$27,nASIG)&gt;0)*1),"")))</f>
        <v/>
      </c>
      <c r="Z94" t="str">
        <f>IF(Y94="","",IF(Y94="[FÓRMULA MANUAL]","",IFERROR(AVERAGEIFS(nNOTA,nNIA,Y94,nCUENTA,1,nASIG,"Análisis"),"")))</f>
        <v/>
      </c>
      <c r="AA94" t="str">
        <f>IF(Y94="","",IF(Y94="[FÓRMULA MANUAL]","",IFERROR(AVERAGEIFS(nNOTA,nNIA,Y94,nCUENTA,1,nASIG,"Orquesta/Banda/Conjunto"),"")))</f>
        <v/>
      </c>
      <c r="AB94" t="str">
        <f>IF(Y94="","",IF(Y94="[FÓRMULA MANUAL]","",IFERROR(AVERAGEIFS(nNOTA,nNIA,Y94,nCUENTA,1,nASIG,"Música de Cámara"),"")))</f>
        <v/>
      </c>
      <c r="AC94" t="str">
        <f>IF(Y94="","",IF(Y94="[FÓRMULA MANUAL]","",IFERROR(SUMPRODUCT((nNIA=Y94)*(nCUENTA=1)*(COUNTIF(CONFIG_ASIGNATURAS!$B$7:$B$27,nASIG)&gt;0)*(nNOTA))/SUMPRODUCT((nNIA=Y94)*(nCUENTA=1)*(COUNTIF(CONFIG_ASIGNATURAS!$B$7:$B$27,nASIG)&gt;0)*1),"")))</f>
        <v/>
      </c>
      <c r="AF94" t="str">
        <f>IF(AE94="","",IF(AE94="[FÓRMULA MANUAL]","",IFERROR(AVERAGEIFS(nNOTA,nNIA,AE94,nCUENTA,1,nASIG,"Análisis"),"")))</f>
        <v/>
      </c>
      <c r="AG94" t="str">
        <f>IF(AE94="","",IF(AE94="[FÓRMULA MANUAL]","",IFERROR(AVERAGEIFS(nNOTA,nNIA,AE94,nCUENTA,1,nASIG,"Orquesta/Banda/Conjunto"),"")))</f>
        <v/>
      </c>
      <c r="AH94" t="str">
        <f>IF(AE94="","",IF(AE94="[FÓRMULA MANUAL]","",IFERROR(AVERAGEIFS(nNOTA,nNIA,AE94,nCUENTA,1,nASIG,"Música de Cámara"),"")))</f>
        <v/>
      </c>
      <c r="AI94" t="str">
        <f>IF(AE94="","",IF(AE94="[FÓRMULA MANUAL]","",IFERROR(SUMPRODUCT((nNIA=AE94)*(nCUENTA=1)*(COUNTIF(CONFIG_ASIGNATURAS!$B$7:$B$27,nASIG)&gt;0)*(nNOTA))/SUMPRODUCT((nNIA=AE94)*(nCUENTA=1)*(COUNTIF(CONFIG_ASIGNATURAS!$B$7:$B$27,nASIG)&gt;0)*1),"")))</f>
        <v/>
      </c>
    </row>
    <row r="95" spans="2:35" x14ac:dyDescent="0.2">
      <c r="B95" t="str">
        <f>IF(A95="","",IF(A95="[FÓRMULA MANUAL]","",IFERROR(AVERAGEIFS(nNOTA,nNIA,A95,nCUENTA,1,nASIG,"Lenguaje Musical"),"")))</f>
        <v/>
      </c>
      <c r="C95" t="str">
        <f>IF(A95="","",IF(A95="[FÓRMULA MANUAL]","",IFERROR(AVERAGEIFS(nNOTA,nNIA,A95,nCUENTA,1,nASIG,"Orquesta/Banda/Conjunto"),"")))</f>
        <v/>
      </c>
      <c r="D95" t="str">
        <f>IF(A95="","",IF(A95="[FÓRMULA MANUAL]","",IFERROR(AVERAGEIFS(nNOTA,nNIA,A95,nCUENTA,1,nASIG,"Conjunto"),"")))</f>
        <v/>
      </c>
      <c r="E95" t="str">
        <f>IF(A95="","",IF(A95="[FÓRMULA MANUAL]","",IFERROR(SUMPRODUCT((nNIA=A95)*(nCUENTA=1)*(COUNTIF(CONFIG_ASIGNATURAS!$B$7:$B$27,nASIG)&gt;0)*(nNOTA))/SUMPRODUCT((nNIA=A95)*(nCUENTA=1)*(COUNTIF(CONFIG_ASIGNATURAS!$B$7:$B$27,nASIG)&gt;0)*1),"")))</f>
        <v/>
      </c>
      <c r="H95" t="str">
        <f>IF(G95="","",IF(G95="[FÓRMULA MANUAL]","",IFERROR(AVERAGEIFS(nNOTA,nNIA,G95,nCUENTA,1,nASIG,"Lenguaje Musical"),"")))</f>
        <v/>
      </c>
      <c r="I95" t="str">
        <f>IF(G95="","",IF(G95="[FÓRMULA MANUAL]","",IFERROR(AVERAGEIFS(nNOTA,nNIA,G95,nCUENTA,1,nASIG,"Orquesta/Banda/Conjunto"),"")))</f>
        <v/>
      </c>
      <c r="J95" t="str">
        <f>IF(G95="","",IF(G95="[FÓRMULA MANUAL]","",IFERROR(AVERAGEIFS(nNOTA,nNIA,G95,nCUENTA,1,nASIG,"Conjunto"),"")))</f>
        <v/>
      </c>
      <c r="K95" t="str">
        <f>IF(G95="","",IF(G95="[FÓRMULA MANUAL]","",IFERROR(SUMPRODUCT((nNIA=G95)*(nCUENTA=1)*(COUNTIF(CONFIG_ASIGNATURAS!$B$7:$B$27,nASIG)&gt;0)*(nNOTA))/SUMPRODUCT((nNIA=G95)*(nCUENTA=1)*(COUNTIF(CONFIG_ASIGNATURAS!$B$7:$B$27,nASIG)&gt;0)*1),"")))</f>
        <v/>
      </c>
      <c r="N95" t="str">
        <f>IF(M95="","",IF(M95="[FÓRMULA MANUAL]","",IFERROR(AVERAGEIFS(nNOTA,nNIA,M95,nCUENTA,1,nASIG,"Armonía"),"")))</f>
        <v/>
      </c>
      <c r="O95" t="str">
        <f>IF(M95="","",IF(M95="[FÓRMULA MANUAL]","",IFERROR(AVERAGEIFS(nNOTA,nNIA,M95,nCUENTA,1,nASIG,"Orquesta/Banda/Conjunto"),"")))</f>
        <v/>
      </c>
      <c r="P95" t="str">
        <f>IF(M95="","",IF(M95="[FÓRMULA MANUAL]","",IFERROR(AVERAGEIFS(nNOTA,nNIA,M95,nCUENTA,1,nASIG,"Música de Cámara"),"")))</f>
        <v/>
      </c>
      <c r="Q95" t="str">
        <f>IF(M95="","",IF(M95="[FÓRMULA MANUAL]","",IFERROR(SUMPRODUCT((nNIA=M95)*(nCUENTA=1)*(COUNTIF(CONFIG_ASIGNATURAS!$B$7:$B$27,nASIG)&gt;0)*(nNOTA))/SUMPRODUCT((nNIA=M95)*(nCUENTA=1)*(COUNTIF(CONFIG_ASIGNATURAS!$B$7:$B$27,nASIG)&gt;0)*1),"")))</f>
        <v/>
      </c>
      <c r="T95" t="str">
        <f>IF(S95="","",IF(S95="[FÓRMULA MANUAL]","",IFERROR(AVERAGEIFS(nNOTA,nNIA,S95,nCUENTA,1,nASIG,"Armonía"),"")))</f>
        <v/>
      </c>
      <c r="U95" t="str">
        <f>IF(S95="","",IF(S95="[FÓRMULA MANUAL]","",IFERROR(AVERAGEIFS(nNOTA,nNIA,S95,nCUENTA,1,nASIG,"Orquesta/Banda/Conjunto"),"")))</f>
        <v/>
      </c>
      <c r="V95" t="str">
        <f>IF(S95="","",IF(S95="[FÓRMULA MANUAL]","",IFERROR(AVERAGEIFS(nNOTA,nNIA,S95,nCUENTA,1,nASIG,"Música de Cámara"),"")))</f>
        <v/>
      </c>
      <c r="W95" t="str">
        <f>IF(S95="","",IF(S95="[FÓRMULA MANUAL]","",IFERROR(SUMPRODUCT((nNIA=S95)*(nCUENTA=1)*(COUNTIF(CONFIG_ASIGNATURAS!$B$7:$B$27,nASIG)&gt;0)*(nNOTA))/SUMPRODUCT((nNIA=S95)*(nCUENTA=1)*(COUNTIF(CONFIG_ASIGNATURAS!$B$7:$B$27,nASIG)&gt;0)*1),"")))</f>
        <v/>
      </c>
      <c r="Z95" t="str">
        <f>IF(Y95="","",IF(Y95="[FÓRMULA MANUAL]","",IFERROR(AVERAGEIFS(nNOTA,nNIA,Y95,nCUENTA,1,nASIG,"Análisis"),"")))</f>
        <v/>
      </c>
      <c r="AA95" t="str">
        <f>IF(Y95="","",IF(Y95="[FÓRMULA MANUAL]","",IFERROR(AVERAGEIFS(nNOTA,nNIA,Y95,nCUENTA,1,nASIG,"Orquesta/Banda/Conjunto"),"")))</f>
        <v/>
      </c>
      <c r="AB95" t="str">
        <f>IF(Y95="","",IF(Y95="[FÓRMULA MANUAL]","",IFERROR(AVERAGEIFS(nNOTA,nNIA,Y95,nCUENTA,1,nASIG,"Música de Cámara"),"")))</f>
        <v/>
      </c>
      <c r="AC95" t="str">
        <f>IF(Y95="","",IF(Y95="[FÓRMULA MANUAL]","",IFERROR(SUMPRODUCT((nNIA=Y95)*(nCUENTA=1)*(COUNTIF(CONFIG_ASIGNATURAS!$B$7:$B$27,nASIG)&gt;0)*(nNOTA))/SUMPRODUCT((nNIA=Y95)*(nCUENTA=1)*(COUNTIF(CONFIG_ASIGNATURAS!$B$7:$B$27,nASIG)&gt;0)*1),"")))</f>
        <v/>
      </c>
      <c r="AF95" t="str">
        <f>IF(AE95="","",IF(AE95="[FÓRMULA MANUAL]","",IFERROR(AVERAGEIFS(nNOTA,nNIA,AE95,nCUENTA,1,nASIG,"Análisis"),"")))</f>
        <v/>
      </c>
      <c r="AG95" t="str">
        <f>IF(AE95="","",IF(AE95="[FÓRMULA MANUAL]","",IFERROR(AVERAGEIFS(nNOTA,nNIA,AE95,nCUENTA,1,nASIG,"Orquesta/Banda/Conjunto"),"")))</f>
        <v/>
      </c>
      <c r="AH95" t="str">
        <f>IF(AE95="","",IF(AE95="[FÓRMULA MANUAL]","",IFERROR(AVERAGEIFS(nNOTA,nNIA,AE95,nCUENTA,1,nASIG,"Música de Cámara"),"")))</f>
        <v/>
      </c>
      <c r="AI95" t="str">
        <f>IF(AE95="","",IF(AE95="[FÓRMULA MANUAL]","",IFERROR(SUMPRODUCT((nNIA=AE95)*(nCUENTA=1)*(COUNTIF(CONFIG_ASIGNATURAS!$B$7:$B$27,nASIG)&gt;0)*(nNOTA))/SUMPRODUCT((nNIA=AE95)*(nCUENTA=1)*(COUNTIF(CONFIG_ASIGNATURAS!$B$7:$B$27,nASIG)&gt;0)*1),"")))</f>
        <v/>
      </c>
    </row>
    <row r="96" spans="2:35" x14ac:dyDescent="0.2">
      <c r="B96" t="str">
        <f>IF(A96="","",IF(A96="[FÓRMULA MANUAL]","",IFERROR(AVERAGEIFS(nNOTA,nNIA,A96,nCUENTA,1,nASIG,"Lenguaje Musical"),"")))</f>
        <v/>
      </c>
      <c r="C96" t="str">
        <f>IF(A96="","",IF(A96="[FÓRMULA MANUAL]","",IFERROR(AVERAGEIFS(nNOTA,nNIA,A96,nCUENTA,1,nASIG,"Orquesta/Banda/Conjunto"),"")))</f>
        <v/>
      </c>
      <c r="D96" t="str">
        <f>IF(A96="","",IF(A96="[FÓRMULA MANUAL]","",IFERROR(AVERAGEIFS(nNOTA,nNIA,A96,nCUENTA,1,nASIG,"Conjunto"),"")))</f>
        <v/>
      </c>
      <c r="E96" t="str">
        <f>IF(A96="","",IF(A96="[FÓRMULA MANUAL]","",IFERROR(SUMPRODUCT((nNIA=A96)*(nCUENTA=1)*(COUNTIF(CONFIG_ASIGNATURAS!$B$7:$B$27,nASIG)&gt;0)*(nNOTA))/SUMPRODUCT((nNIA=A96)*(nCUENTA=1)*(COUNTIF(CONFIG_ASIGNATURAS!$B$7:$B$27,nASIG)&gt;0)*1),"")))</f>
        <v/>
      </c>
      <c r="H96" t="str">
        <f>IF(G96="","",IF(G96="[FÓRMULA MANUAL]","",IFERROR(AVERAGEIFS(nNOTA,nNIA,G96,nCUENTA,1,nASIG,"Lenguaje Musical"),"")))</f>
        <v/>
      </c>
      <c r="I96" t="str">
        <f>IF(G96="","",IF(G96="[FÓRMULA MANUAL]","",IFERROR(AVERAGEIFS(nNOTA,nNIA,G96,nCUENTA,1,nASIG,"Orquesta/Banda/Conjunto"),"")))</f>
        <v/>
      </c>
      <c r="J96" t="str">
        <f>IF(G96="","",IF(G96="[FÓRMULA MANUAL]","",IFERROR(AVERAGEIFS(nNOTA,nNIA,G96,nCUENTA,1,nASIG,"Conjunto"),"")))</f>
        <v/>
      </c>
      <c r="K96" t="str">
        <f>IF(G96="","",IF(G96="[FÓRMULA MANUAL]","",IFERROR(SUMPRODUCT((nNIA=G96)*(nCUENTA=1)*(COUNTIF(CONFIG_ASIGNATURAS!$B$7:$B$27,nASIG)&gt;0)*(nNOTA))/SUMPRODUCT((nNIA=G96)*(nCUENTA=1)*(COUNTIF(CONFIG_ASIGNATURAS!$B$7:$B$27,nASIG)&gt;0)*1),"")))</f>
        <v/>
      </c>
      <c r="N96" t="str">
        <f>IF(M96="","",IF(M96="[FÓRMULA MANUAL]","",IFERROR(AVERAGEIFS(nNOTA,nNIA,M96,nCUENTA,1,nASIG,"Armonía"),"")))</f>
        <v/>
      </c>
      <c r="O96" t="str">
        <f>IF(M96="","",IF(M96="[FÓRMULA MANUAL]","",IFERROR(AVERAGEIFS(nNOTA,nNIA,M96,nCUENTA,1,nASIG,"Orquesta/Banda/Conjunto"),"")))</f>
        <v/>
      </c>
      <c r="P96" t="str">
        <f>IF(M96="","",IF(M96="[FÓRMULA MANUAL]","",IFERROR(AVERAGEIFS(nNOTA,nNIA,M96,nCUENTA,1,nASIG,"Música de Cámara"),"")))</f>
        <v/>
      </c>
      <c r="Q96" t="str">
        <f>IF(M96="","",IF(M96="[FÓRMULA MANUAL]","",IFERROR(SUMPRODUCT((nNIA=M96)*(nCUENTA=1)*(COUNTIF(CONFIG_ASIGNATURAS!$B$7:$B$27,nASIG)&gt;0)*(nNOTA))/SUMPRODUCT((nNIA=M96)*(nCUENTA=1)*(COUNTIF(CONFIG_ASIGNATURAS!$B$7:$B$27,nASIG)&gt;0)*1),"")))</f>
        <v/>
      </c>
      <c r="T96" t="str">
        <f>IF(S96="","",IF(S96="[FÓRMULA MANUAL]","",IFERROR(AVERAGEIFS(nNOTA,nNIA,S96,nCUENTA,1,nASIG,"Armonía"),"")))</f>
        <v/>
      </c>
      <c r="U96" t="str">
        <f>IF(S96="","",IF(S96="[FÓRMULA MANUAL]","",IFERROR(AVERAGEIFS(nNOTA,nNIA,S96,nCUENTA,1,nASIG,"Orquesta/Banda/Conjunto"),"")))</f>
        <v/>
      </c>
      <c r="V96" t="str">
        <f>IF(S96="","",IF(S96="[FÓRMULA MANUAL]","",IFERROR(AVERAGEIFS(nNOTA,nNIA,S96,nCUENTA,1,nASIG,"Música de Cámara"),"")))</f>
        <v/>
      </c>
      <c r="W96" t="str">
        <f>IF(S96="","",IF(S96="[FÓRMULA MANUAL]","",IFERROR(SUMPRODUCT((nNIA=S96)*(nCUENTA=1)*(COUNTIF(CONFIG_ASIGNATURAS!$B$7:$B$27,nASIG)&gt;0)*(nNOTA))/SUMPRODUCT((nNIA=S96)*(nCUENTA=1)*(COUNTIF(CONFIG_ASIGNATURAS!$B$7:$B$27,nASIG)&gt;0)*1),"")))</f>
        <v/>
      </c>
      <c r="Z96" t="str">
        <f>IF(Y96="","",IF(Y96="[FÓRMULA MANUAL]","",IFERROR(AVERAGEIFS(nNOTA,nNIA,Y96,nCUENTA,1,nASIG,"Análisis"),"")))</f>
        <v/>
      </c>
      <c r="AA96" t="str">
        <f>IF(Y96="","",IF(Y96="[FÓRMULA MANUAL]","",IFERROR(AVERAGEIFS(nNOTA,nNIA,Y96,nCUENTA,1,nASIG,"Orquesta/Banda/Conjunto"),"")))</f>
        <v/>
      </c>
      <c r="AB96" t="str">
        <f>IF(Y96="","",IF(Y96="[FÓRMULA MANUAL]","",IFERROR(AVERAGEIFS(nNOTA,nNIA,Y96,nCUENTA,1,nASIG,"Música de Cámara"),"")))</f>
        <v/>
      </c>
      <c r="AC96" t="str">
        <f>IF(Y96="","",IF(Y96="[FÓRMULA MANUAL]","",IFERROR(SUMPRODUCT((nNIA=Y96)*(nCUENTA=1)*(COUNTIF(CONFIG_ASIGNATURAS!$B$7:$B$27,nASIG)&gt;0)*(nNOTA))/SUMPRODUCT((nNIA=Y96)*(nCUENTA=1)*(COUNTIF(CONFIG_ASIGNATURAS!$B$7:$B$27,nASIG)&gt;0)*1),"")))</f>
        <v/>
      </c>
      <c r="AF96" t="str">
        <f>IF(AE96="","",IF(AE96="[FÓRMULA MANUAL]","",IFERROR(AVERAGEIFS(nNOTA,nNIA,AE96,nCUENTA,1,nASIG,"Análisis"),"")))</f>
        <v/>
      </c>
      <c r="AG96" t="str">
        <f>IF(AE96="","",IF(AE96="[FÓRMULA MANUAL]","",IFERROR(AVERAGEIFS(nNOTA,nNIA,AE96,nCUENTA,1,nASIG,"Orquesta/Banda/Conjunto"),"")))</f>
        <v/>
      </c>
      <c r="AH96" t="str">
        <f>IF(AE96="","",IF(AE96="[FÓRMULA MANUAL]","",IFERROR(AVERAGEIFS(nNOTA,nNIA,AE96,nCUENTA,1,nASIG,"Música de Cámara"),"")))</f>
        <v/>
      </c>
      <c r="AI96" t="str">
        <f>IF(AE96="","",IF(AE96="[FÓRMULA MANUAL]","",IFERROR(SUMPRODUCT((nNIA=AE96)*(nCUENTA=1)*(COUNTIF(CONFIG_ASIGNATURAS!$B$7:$B$27,nASIG)&gt;0)*(nNOTA))/SUMPRODUCT((nNIA=AE96)*(nCUENTA=1)*(COUNTIF(CONFIG_ASIGNATURAS!$B$7:$B$27,nASIG)&gt;0)*1),"")))</f>
        <v/>
      </c>
    </row>
    <row r="97" spans="2:35" x14ac:dyDescent="0.2">
      <c r="B97" t="str">
        <f>IF(A97="","",IF(A97="[FÓRMULA MANUAL]","",IFERROR(AVERAGEIFS(nNOTA,nNIA,A97,nCUENTA,1,nASIG,"Lenguaje Musical"),"")))</f>
        <v/>
      </c>
      <c r="C97" t="str">
        <f>IF(A97="","",IF(A97="[FÓRMULA MANUAL]","",IFERROR(AVERAGEIFS(nNOTA,nNIA,A97,nCUENTA,1,nASIG,"Orquesta/Banda/Conjunto"),"")))</f>
        <v/>
      </c>
      <c r="D97" t="str">
        <f>IF(A97="","",IF(A97="[FÓRMULA MANUAL]","",IFERROR(AVERAGEIFS(nNOTA,nNIA,A97,nCUENTA,1,nASIG,"Conjunto"),"")))</f>
        <v/>
      </c>
      <c r="E97" t="str">
        <f>IF(A97="","",IF(A97="[FÓRMULA MANUAL]","",IFERROR(SUMPRODUCT((nNIA=A97)*(nCUENTA=1)*(COUNTIF(CONFIG_ASIGNATURAS!$B$7:$B$27,nASIG)&gt;0)*(nNOTA))/SUMPRODUCT((nNIA=A97)*(nCUENTA=1)*(COUNTIF(CONFIG_ASIGNATURAS!$B$7:$B$27,nASIG)&gt;0)*1),"")))</f>
        <v/>
      </c>
      <c r="H97" t="str">
        <f>IF(G97="","",IF(G97="[FÓRMULA MANUAL]","",IFERROR(AVERAGEIFS(nNOTA,nNIA,G97,nCUENTA,1,nASIG,"Lenguaje Musical"),"")))</f>
        <v/>
      </c>
      <c r="I97" t="str">
        <f>IF(G97="","",IF(G97="[FÓRMULA MANUAL]","",IFERROR(AVERAGEIFS(nNOTA,nNIA,G97,nCUENTA,1,nASIG,"Orquesta/Banda/Conjunto"),"")))</f>
        <v/>
      </c>
      <c r="J97" t="str">
        <f>IF(G97="","",IF(G97="[FÓRMULA MANUAL]","",IFERROR(AVERAGEIFS(nNOTA,nNIA,G97,nCUENTA,1,nASIG,"Conjunto"),"")))</f>
        <v/>
      </c>
      <c r="K97" t="str">
        <f>IF(G97="","",IF(G97="[FÓRMULA MANUAL]","",IFERROR(SUMPRODUCT((nNIA=G97)*(nCUENTA=1)*(COUNTIF(CONFIG_ASIGNATURAS!$B$7:$B$27,nASIG)&gt;0)*(nNOTA))/SUMPRODUCT((nNIA=G97)*(nCUENTA=1)*(COUNTIF(CONFIG_ASIGNATURAS!$B$7:$B$27,nASIG)&gt;0)*1),"")))</f>
        <v/>
      </c>
      <c r="N97" t="str">
        <f>IF(M97="","",IF(M97="[FÓRMULA MANUAL]","",IFERROR(AVERAGEIFS(nNOTA,nNIA,M97,nCUENTA,1,nASIG,"Armonía"),"")))</f>
        <v/>
      </c>
      <c r="O97" t="str">
        <f>IF(M97="","",IF(M97="[FÓRMULA MANUAL]","",IFERROR(AVERAGEIFS(nNOTA,nNIA,M97,nCUENTA,1,nASIG,"Orquesta/Banda/Conjunto"),"")))</f>
        <v/>
      </c>
      <c r="P97" t="str">
        <f>IF(M97="","",IF(M97="[FÓRMULA MANUAL]","",IFERROR(AVERAGEIFS(nNOTA,nNIA,M97,nCUENTA,1,nASIG,"Música de Cámara"),"")))</f>
        <v/>
      </c>
      <c r="Q97" t="str">
        <f>IF(M97="","",IF(M97="[FÓRMULA MANUAL]","",IFERROR(SUMPRODUCT((nNIA=M97)*(nCUENTA=1)*(COUNTIF(CONFIG_ASIGNATURAS!$B$7:$B$27,nASIG)&gt;0)*(nNOTA))/SUMPRODUCT((nNIA=M97)*(nCUENTA=1)*(COUNTIF(CONFIG_ASIGNATURAS!$B$7:$B$27,nASIG)&gt;0)*1),"")))</f>
        <v/>
      </c>
      <c r="T97" t="str">
        <f>IF(S97="","",IF(S97="[FÓRMULA MANUAL]","",IFERROR(AVERAGEIFS(nNOTA,nNIA,S97,nCUENTA,1,nASIG,"Armonía"),"")))</f>
        <v/>
      </c>
      <c r="U97" t="str">
        <f>IF(S97="","",IF(S97="[FÓRMULA MANUAL]","",IFERROR(AVERAGEIFS(nNOTA,nNIA,S97,nCUENTA,1,nASIG,"Orquesta/Banda/Conjunto"),"")))</f>
        <v/>
      </c>
      <c r="V97" t="str">
        <f>IF(S97="","",IF(S97="[FÓRMULA MANUAL]","",IFERROR(AVERAGEIFS(nNOTA,nNIA,S97,nCUENTA,1,nASIG,"Música de Cámara"),"")))</f>
        <v/>
      </c>
      <c r="W97" t="str">
        <f>IF(S97="","",IF(S97="[FÓRMULA MANUAL]","",IFERROR(SUMPRODUCT((nNIA=S97)*(nCUENTA=1)*(COUNTIF(CONFIG_ASIGNATURAS!$B$7:$B$27,nASIG)&gt;0)*(nNOTA))/SUMPRODUCT((nNIA=S97)*(nCUENTA=1)*(COUNTIF(CONFIG_ASIGNATURAS!$B$7:$B$27,nASIG)&gt;0)*1),"")))</f>
        <v/>
      </c>
      <c r="Z97" t="str">
        <f>IF(Y97="","",IF(Y97="[FÓRMULA MANUAL]","",IFERROR(AVERAGEIFS(nNOTA,nNIA,Y97,nCUENTA,1,nASIG,"Análisis"),"")))</f>
        <v/>
      </c>
      <c r="AA97" t="str">
        <f>IF(Y97="","",IF(Y97="[FÓRMULA MANUAL]","",IFERROR(AVERAGEIFS(nNOTA,nNIA,Y97,nCUENTA,1,nASIG,"Orquesta/Banda/Conjunto"),"")))</f>
        <v/>
      </c>
      <c r="AB97" t="str">
        <f>IF(Y97="","",IF(Y97="[FÓRMULA MANUAL]","",IFERROR(AVERAGEIFS(nNOTA,nNIA,Y97,nCUENTA,1,nASIG,"Música de Cámara"),"")))</f>
        <v/>
      </c>
      <c r="AC97" t="str">
        <f>IF(Y97="","",IF(Y97="[FÓRMULA MANUAL]","",IFERROR(SUMPRODUCT((nNIA=Y97)*(nCUENTA=1)*(COUNTIF(CONFIG_ASIGNATURAS!$B$7:$B$27,nASIG)&gt;0)*(nNOTA))/SUMPRODUCT((nNIA=Y97)*(nCUENTA=1)*(COUNTIF(CONFIG_ASIGNATURAS!$B$7:$B$27,nASIG)&gt;0)*1),"")))</f>
        <v/>
      </c>
      <c r="AF97" t="str">
        <f>IF(AE97="","",IF(AE97="[FÓRMULA MANUAL]","",IFERROR(AVERAGEIFS(nNOTA,nNIA,AE97,nCUENTA,1,nASIG,"Análisis"),"")))</f>
        <v/>
      </c>
      <c r="AG97" t="str">
        <f>IF(AE97="","",IF(AE97="[FÓRMULA MANUAL]","",IFERROR(AVERAGEIFS(nNOTA,nNIA,AE97,nCUENTA,1,nASIG,"Orquesta/Banda/Conjunto"),"")))</f>
        <v/>
      </c>
      <c r="AH97" t="str">
        <f>IF(AE97="","",IF(AE97="[FÓRMULA MANUAL]","",IFERROR(AVERAGEIFS(nNOTA,nNIA,AE97,nCUENTA,1,nASIG,"Música de Cámara"),"")))</f>
        <v/>
      </c>
      <c r="AI97" t="str">
        <f>IF(AE97="","",IF(AE97="[FÓRMULA MANUAL]","",IFERROR(SUMPRODUCT((nNIA=AE97)*(nCUENTA=1)*(COUNTIF(CONFIG_ASIGNATURAS!$B$7:$B$27,nASIG)&gt;0)*(nNOTA))/SUMPRODUCT((nNIA=AE97)*(nCUENTA=1)*(COUNTIF(CONFIG_ASIGNATURAS!$B$7:$B$27,nASIG)&gt;0)*1),"")))</f>
        <v/>
      </c>
    </row>
    <row r="98" spans="2:35" x14ac:dyDescent="0.2">
      <c r="B98" t="str">
        <f>IF(A98="","",IF(A98="[FÓRMULA MANUAL]","",IFERROR(AVERAGEIFS(nNOTA,nNIA,A98,nCUENTA,1,nASIG,"Lenguaje Musical"),"")))</f>
        <v/>
      </c>
      <c r="C98" t="str">
        <f>IF(A98="","",IF(A98="[FÓRMULA MANUAL]","",IFERROR(AVERAGEIFS(nNOTA,nNIA,A98,nCUENTA,1,nASIG,"Orquesta/Banda/Conjunto"),"")))</f>
        <v/>
      </c>
      <c r="D98" t="str">
        <f>IF(A98="","",IF(A98="[FÓRMULA MANUAL]","",IFERROR(AVERAGEIFS(nNOTA,nNIA,A98,nCUENTA,1,nASIG,"Conjunto"),"")))</f>
        <v/>
      </c>
      <c r="E98" t="str">
        <f>IF(A98="","",IF(A98="[FÓRMULA MANUAL]","",IFERROR(SUMPRODUCT((nNIA=A98)*(nCUENTA=1)*(COUNTIF(CONFIG_ASIGNATURAS!$B$7:$B$27,nASIG)&gt;0)*(nNOTA))/SUMPRODUCT((nNIA=A98)*(nCUENTA=1)*(COUNTIF(CONFIG_ASIGNATURAS!$B$7:$B$27,nASIG)&gt;0)*1),"")))</f>
        <v/>
      </c>
      <c r="H98" t="str">
        <f>IF(G98="","",IF(G98="[FÓRMULA MANUAL]","",IFERROR(AVERAGEIFS(nNOTA,nNIA,G98,nCUENTA,1,nASIG,"Lenguaje Musical"),"")))</f>
        <v/>
      </c>
      <c r="I98" t="str">
        <f>IF(G98="","",IF(G98="[FÓRMULA MANUAL]","",IFERROR(AVERAGEIFS(nNOTA,nNIA,G98,nCUENTA,1,nASIG,"Orquesta/Banda/Conjunto"),"")))</f>
        <v/>
      </c>
      <c r="J98" t="str">
        <f>IF(G98="","",IF(G98="[FÓRMULA MANUAL]","",IFERROR(AVERAGEIFS(nNOTA,nNIA,G98,nCUENTA,1,nASIG,"Conjunto"),"")))</f>
        <v/>
      </c>
      <c r="K98" t="str">
        <f>IF(G98="","",IF(G98="[FÓRMULA MANUAL]","",IFERROR(SUMPRODUCT((nNIA=G98)*(nCUENTA=1)*(COUNTIF(CONFIG_ASIGNATURAS!$B$7:$B$27,nASIG)&gt;0)*(nNOTA))/SUMPRODUCT((nNIA=G98)*(nCUENTA=1)*(COUNTIF(CONFIG_ASIGNATURAS!$B$7:$B$27,nASIG)&gt;0)*1),"")))</f>
        <v/>
      </c>
      <c r="N98" t="str">
        <f>IF(M98="","",IF(M98="[FÓRMULA MANUAL]","",IFERROR(AVERAGEIFS(nNOTA,nNIA,M98,nCUENTA,1,nASIG,"Armonía"),"")))</f>
        <v/>
      </c>
      <c r="O98" t="str">
        <f>IF(M98="","",IF(M98="[FÓRMULA MANUAL]","",IFERROR(AVERAGEIFS(nNOTA,nNIA,M98,nCUENTA,1,nASIG,"Orquesta/Banda/Conjunto"),"")))</f>
        <v/>
      </c>
      <c r="P98" t="str">
        <f>IF(M98="","",IF(M98="[FÓRMULA MANUAL]","",IFERROR(AVERAGEIFS(nNOTA,nNIA,M98,nCUENTA,1,nASIG,"Música de Cámara"),"")))</f>
        <v/>
      </c>
      <c r="Q98" t="str">
        <f>IF(M98="","",IF(M98="[FÓRMULA MANUAL]","",IFERROR(SUMPRODUCT((nNIA=M98)*(nCUENTA=1)*(COUNTIF(CONFIG_ASIGNATURAS!$B$7:$B$27,nASIG)&gt;0)*(nNOTA))/SUMPRODUCT((nNIA=M98)*(nCUENTA=1)*(COUNTIF(CONFIG_ASIGNATURAS!$B$7:$B$27,nASIG)&gt;0)*1),"")))</f>
        <v/>
      </c>
      <c r="T98" t="str">
        <f>IF(S98="","",IF(S98="[FÓRMULA MANUAL]","",IFERROR(AVERAGEIFS(nNOTA,nNIA,S98,nCUENTA,1,nASIG,"Armonía"),"")))</f>
        <v/>
      </c>
      <c r="U98" t="str">
        <f>IF(S98="","",IF(S98="[FÓRMULA MANUAL]","",IFERROR(AVERAGEIFS(nNOTA,nNIA,S98,nCUENTA,1,nASIG,"Orquesta/Banda/Conjunto"),"")))</f>
        <v/>
      </c>
      <c r="V98" t="str">
        <f>IF(S98="","",IF(S98="[FÓRMULA MANUAL]","",IFERROR(AVERAGEIFS(nNOTA,nNIA,S98,nCUENTA,1,nASIG,"Música de Cámara"),"")))</f>
        <v/>
      </c>
      <c r="W98" t="str">
        <f>IF(S98="","",IF(S98="[FÓRMULA MANUAL]","",IFERROR(SUMPRODUCT((nNIA=S98)*(nCUENTA=1)*(COUNTIF(CONFIG_ASIGNATURAS!$B$7:$B$27,nASIG)&gt;0)*(nNOTA))/SUMPRODUCT((nNIA=S98)*(nCUENTA=1)*(COUNTIF(CONFIG_ASIGNATURAS!$B$7:$B$27,nASIG)&gt;0)*1),"")))</f>
        <v/>
      </c>
      <c r="Z98" t="str">
        <f>IF(Y98="","",IF(Y98="[FÓRMULA MANUAL]","",IFERROR(AVERAGEIFS(nNOTA,nNIA,Y98,nCUENTA,1,nASIG,"Análisis"),"")))</f>
        <v/>
      </c>
      <c r="AA98" t="str">
        <f>IF(Y98="","",IF(Y98="[FÓRMULA MANUAL]","",IFERROR(AVERAGEIFS(nNOTA,nNIA,Y98,nCUENTA,1,nASIG,"Orquesta/Banda/Conjunto"),"")))</f>
        <v/>
      </c>
      <c r="AB98" t="str">
        <f>IF(Y98="","",IF(Y98="[FÓRMULA MANUAL]","",IFERROR(AVERAGEIFS(nNOTA,nNIA,Y98,nCUENTA,1,nASIG,"Música de Cámara"),"")))</f>
        <v/>
      </c>
      <c r="AC98" t="str">
        <f>IF(Y98="","",IF(Y98="[FÓRMULA MANUAL]","",IFERROR(SUMPRODUCT((nNIA=Y98)*(nCUENTA=1)*(COUNTIF(CONFIG_ASIGNATURAS!$B$7:$B$27,nASIG)&gt;0)*(nNOTA))/SUMPRODUCT((nNIA=Y98)*(nCUENTA=1)*(COUNTIF(CONFIG_ASIGNATURAS!$B$7:$B$27,nASIG)&gt;0)*1),"")))</f>
        <v/>
      </c>
      <c r="AF98" t="str">
        <f>IF(AE98="","",IF(AE98="[FÓRMULA MANUAL]","",IFERROR(AVERAGEIFS(nNOTA,nNIA,AE98,nCUENTA,1,nASIG,"Análisis"),"")))</f>
        <v/>
      </c>
      <c r="AG98" t="str">
        <f>IF(AE98="","",IF(AE98="[FÓRMULA MANUAL]","",IFERROR(AVERAGEIFS(nNOTA,nNIA,AE98,nCUENTA,1,nASIG,"Orquesta/Banda/Conjunto"),"")))</f>
        <v/>
      </c>
      <c r="AH98" t="str">
        <f>IF(AE98="","",IF(AE98="[FÓRMULA MANUAL]","",IFERROR(AVERAGEIFS(nNOTA,nNIA,AE98,nCUENTA,1,nASIG,"Música de Cámara"),"")))</f>
        <v/>
      </c>
      <c r="AI98" t="str">
        <f>IF(AE98="","",IF(AE98="[FÓRMULA MANUAL]","",IFERROR(SUMPRODUCT((nNIA=AE98)*(nCUENTA=1)*(COUNTIF(CONFIG_ASIGNATURAS!$B$7:$B$27,nASIG)&gt;0)*(nNOTA))/SUMPRODUCT((nNIA=AE98)*(nCUENTA=1)*(COUNTIF(CONFIG_ASIGNATURAS!$B$7:$B$27,nASIG)&gt;0)*1),"")))</f>
        <v/>
      </c>
    </row>
    <row r="99" spans="2:35" x14ac:dyDescent="0.2">
      <c r="B99" t="str">
        <f>IF(A99="","",IF(A99="[FÓRMULA MANUAL]","",IFERROR(AVERAGEIFS(nNOTA,nNIA,A99,nCUENTA,1,nASIG,"Lenguaje Musical"),"")))</f>
        <v/>
      </c>
      <c r="C99" t="str">
        <f>IF(A99="","",IF(A99="[FÓRMULA MANUAL]","",IFERROR(AVERAGEIFS(nNOTA,nNIA,A99,nCUENTA,1,nASIG,"Orquesta/Banda/Conjunto"),"")))</f>
        <v/>
      </c>
      <c r="D99" t="str">
        <f>IF(A99="","",IF(A99="[FÓRMULA MANUAL]","",IFERROR(AVERAGEIFS(nNOTA,nNIA,A99,nCUENTA,1,nASIG,"Conjunto"),"")))</f>
        <v/>
      </c>
      <c r="E99" t="str">
        <f>IF(A99="","",IF(A99="[FÓRMULA MANUAL]","",IFERROR(SUMPRODUCT((nNIA=A99)*(nCUENTA=1)*(COUNTIF(CONFIG_ASIGNATURAS!$B$7:$B$27,nASIG)&gt;0)*(nNOTA))/SUMPRODUCT((nNIA=A99)*(nCUENTA=1)*(COUNTIF(CONFIG_ASIGNATURAS!$B$7:$B$27,nASIG)&gt;0)*1),"")))</f>
        <v/>
      </c>
      <c r="H99" t="str">
        <f>IF(G99="","",IF(G99="[FÓRMULA MANUAL]","",IFERROR(AVERAGEIFS(nNOTA,nNIA,G99,nCUENTA,1,nASIG,"Lenguaje Musical"),"")))</f>
        <v/>
      </c>
      <c r="I99" t="str">
        <f>IF(G99="","",IF(G99="[FÓRMULA MANUAL]","",IFERROR(AVERAGEIFS(nNOTA,nNIA,G99,nCUENTA,1,nASIG,"Orquesta/Banda/Conjunto"),"")))</f>
        <v/>
      </c>
      <c r="J99" t="str">
        <f>IF(G99="","",IF(G99="[FÓRMULA MANUAL]","",IFERROR(AVERAGEIFS(nNOTA,nNIA,G99,nCUENTA,1,nASIG,"Conjunto"),"")))</f>
        <v/>
      </c>
      <c r="K99" t="str">
        <f>IF(G99="","",IF(G99="[FÓRMULA MANUAL]","",IFERROR(SUMPRODUCT((nNIA=G99)*(nCUENTA=1)*(COUNTIF(CONFIG_ASIGNATURAS!$B$7:$B$27,nASIG)&gt;0)*(nNOTA))/SUMPRODUCT((nNIA=G99)*(nCUENTA=1)*(COUNTIF(CONFIG_ASIGNATURAS!$B$7:$B$27,nASIG)&gt;0)*1),"")))</f>
        <v/>
      </c>
      <c r="N99" t="str">
        <f>IF(M99="","",IF(M99="[FÓRMULA MANUAL]","",IFERROR(AVERAGEIFS(nNOTA,nNIA,M99,nCUENTA,1,nASIG,"Armonía"),"")))</f>
        <v/>
      </c>
      <c r="O99" t="str">
        <f>IF(M99="","",IF(M99="[FÓRMULA MANUAL]","",IFERROR(AVERAGEIFS(nNOTA,nNIA,M99,nCUENTA,1,nASIG,"Orquesta/Banda/Conjunto"),"")))</f>
        <v/>
      </c>
      <c r="P99" t="str">
        <f>IF(M99="","",IF(M99="[FÓRMULA MANUAL]","",IFERROR(AVERAGEIFS(nNOTA,nNIA,M99,nCUENTA,1,nASIG,"Música de Cámara"),"")))</f>
        <v/>
      </c>
      <c r="Q99" t="str">
        <f>IF(M99="","",IF(M99="[FÓRMULA MANUAL]","",IFERROR(SUMPRODUCT((nNIA=M99)*(nCUENTA=1)*(COUNTIF(CONFIG_ASIGNATURAS!$B$7:$B$27,nASIG)&gt;0)*(nNOTA))/SUMPRODUCT((nNIA=M99)*(nCUENTA=1)*(COUNTIF(CONFIG_ASIGNATURAS!$B$7:$B$27,nASIG)&gt;0)*1),"")))</f>
        <v/>
      </c>
      <c r="T99" t="str">
        <f>IF(S99="","",IF(S99="[FÓRMULA MANUAL]","",IFERROR(AVERAGEIFS(nNOTA,nNIA,S99,nCUENTA,1,nASIG,"Armonía"),"")))</f>
        <v/>
      </c>
      <c r="U99" t="str">
        <f>IF(S99="","",IF(S99="[FÓRMULA MANUAL]","",IFERROR(AVERAGEIFS(nNOTA,nNIA,S99,nCUENTA,1,nASIG,"Orquesta/Banda/Conjunto"),"")))</f>
        <v/>
      </c>
      <c r="V99" t="str">
        <f>IF(S99="","",IF(S99="[FÓRMULA MANUAL]","",IFERROR(AVERAGEIFS(nNOTA,nNIA,S99,nCUENTA,1,nASIG,"Música de Cámara"),"")))</f>
        <v/>
      </c>
      <c r="W99" t="str">
        <f>IF(S99="","",IF(S99="[FÓRMULA MANUAL]","",IFERROR(SUMPRODUCT((nNIA=S99)*(nCUENTA=1)*(COUNTIF(CONFIG_ASIGNATURAS!$B$7:$B$27,nASIG)&gt;0)*(nNOTA))/SUMPRODUCT((nNIA=S99)*(nCUENTA=1)*(COUNTIF(CONFIG_ASIGNATURAS!$B$7:$B$27,nASIG)&gt;0)*1),"")))</f>
        <v/>
      </c>
      <c r="Z99" t="str">
        <f>IF(Y99="","",IF(Y99="[FÓRMULA MANUAL]","",IFERROR(AVERAGEIFS(nNOTA,nNIA,Y99,nCUENTA,1,nASIG,"Análisis"),"")))</f>
        <v/>
      </c>
      <c r="AA99" t="str">
        <f>IF(Y99="","",IF(Y99="[FÓRMULA MANUAL]","",IFERROR(AVERAGEIFS(nNOTA,nNIA,Y99,nCUENTA,1,nASIG,"Orquesta/Banda/Conjunto"),"")))</f>
        <v/>
      </c>
      <c r="AB99" t="str">
        <f>IF(Y99="","",IF(Y99="[FÓRMULA MANUAL]","",IFERROR(AVERAGEIFS(nNOTA,nNIA,Y99,nCUENTA,1,nASIG,"Música de Cámara"),"")))</f>
        <v/>
      </c>
      <c r="AC99" t="str">
        <f>IF(Y99="","",IF(Y99="[FÓRMULA MANUAL]","",IFERROR(SUMPRODUCT((nNIA=Y99)*(nCUENTA=1)*(COUNTIF(CONFIG_ASIGNATURAS!$B$7:$B$27,nASIG)&gt;0)*(nNOTA))/SUMPRODUCT((nNIA=Y99)*(nCUENTA=1)*(COUNTIF(CONFIG_ASIGNATURAS!$B$7:$B$27,nASIG)&gt;0)*1),"")))</f>
        <v/>
      </c>
      <c r="AF99" t="str">
        <f>IF(AE99="","",IF(AE99="[FÓRMULA MANUAL]","",IFERROR(AVERAGEIFS(nNOTA,nNIA,AE99,nCUENTA,1,nASIG,"Análisis"),"")))</f>
        <v/>
      </c>
      <c r="AG99" t="str">
        <f>IF(AE99="","",IF(AE99="[FÓRMULA MANUAL]","",IFERROR(AVERAGEIFS(nNOTA,nNIA,AE99,nCUENTA,1,nASIG,"Orquesta/Banda/Conjunto"),"")))</f>
        <v/>
      </c>
      <c r="AH99" t="str">
        <f>IF(AE99="","",IF(AE99="[FÓRMULA MANUAL]","",IFERROR(AVERAGEIFS(nNOTA,nNIA,AE99,nCUENTA,1,nASIG,"Música de Cámara"),"")))</f>
        <v/>
      </c>
      <c r="AI99" t="str">
        <f>IF(AE99="","",IF(AE99="[FÓRMULA MANUAL]","",IFERROR(SUMPRODUCT((nNIA=AE99)*(nCUENTA=1)*(COUNTIF(CONFIG_ASIGNATURAS!$B$7:$B$27,nASIG)&gt;0)*(nNOTA))/SUMPRODUCT((nNIA=AE99)*(nCUENTA=1)*(COUNTIF(CONFIG_ASIGNATURAS!$B$7:$B$27,nASIG)&gt;0)*1),"")))</f>
        <v/>
      </c>
    </row>
    <row r="100" spans="2:35" x14ac:dyDescent="0.2">
      <c r="B100" t="str">
        <f>IF(A100="","",IF(A100="[FÓRMULA MANUAL]","",IFERROR(AVERAGEIFS(nNOTA,nNIA,A100,nCUENTA,1,nASIG,"Lenguaje Musical"),"")))</f>
        <v/>
      </c>
      <c r="C100" t="str">
        <f>IF(A100="","",IF(A100="[FÓRMULA MANUAL]","",IFERROR(AVERAGEIFS(nNOTA,nNIA,A100,nCUENTA,1,nASIG,"Orquesta/Banda/Conjunto"),"")))</f>
        <v/>
      </c>
      <c r="D100" t="str">
        <f>IF(A100="","",IF(A100="[FÓRMULA MANUAL]","",IFERROR(AVERAGEIFS(nNOTA,nNIA,A100,nCUENTA,1,nASIG,"Conjunto"),"")))</f>
        <v/>
      </c>
      <c r="E100" t="str">
        <f>IF(A100="","",IF(A100="[FÓRMULA MANUAL]","",IFERROR(SUMPRODUCT((nNIA=A100)*(nCUENTA=1)*(COUNTIF(CONFIG_ASIGNATURAS!$B$7:$B$27,nASIG)&gt;0)*(nNOTA))/SUMPRODUCT((nNIA=A100)*(nCUENTA=1)*(COUNTIF(CONFIG_ASIGNATURAS!$B$7:$B$27,nASIG)&gt;0)*1),"")))</f>
        <v/>
      </c>
      <c r="H100" t="str">
        <f>IF(G100="","",IF(G100="[FÓRMULA MANUAL]","",IFERROR(AVERAGEIFS(nNOTA,nNIA,G100,nCUENTA,1,nASIG,"Lenguaje Musical"),"")))</f>
        <v/>
      </c>
      <c r="I100" t="str">
        <f>IF(G100="","",IF(G100="[FÓRMULA MANUAL]","",IFERROR(AVERAGEIFS(nNOTA,nNIA,G100,nCUENTA,1,nASIG,"Orquesta/Banda/Conjunto"),"")))</f>
        <v/>
      </c>
      <c r="J100" t="str">
        <f>IF(G100="","",IF(G100="[FÓRMULA MANUAL]","",IFERROR(AVERAGEIFS(nNOTA,nNIA,G100,nCUENTA,1,nASIG,"Conjunto"),"")))</f>
        <v/>
      </c>
      <c r="K100" t="str">
        <f>IF(G100="","",IF(G100="[FÓRMULA MANUAL]","",IFERROR(SUMPRODUCT((nNIA=G100)*(nCUENTA=1)*(COUNTIF(CONFIG_ASIGNATURAS!$B$7:$B$27,nASIG)&gt;0)*(nNOTA))/SUMPRODUCT((nNIA=G100)*(nCUENTA=1)*(COUNTIF(CONFIG_ASIGNATURAS!$B$7:$B$27,nASIG)&gt;0)*1),"")))</f>
        <v/>
      </c>
      <c r="N100" t="str">
        <f>IF(M100="","",IF(M100="[FÓRMULA MANUAL]","",IFERROR(AVERAGEIFS(nNOTA,nNIA,M100,nCUENTA,1,nASIG,"Armonía"),"")))</f>
        <v/>
      </c>
      <c r="O100" t="str">
        <f>IF(M100="","",IF(M100="[FÓRMULA MANUAL]","",IFERROR(AVERAGEIFS(nNOTA,nNIA,M100,nCUENTA,1,nASIG,"Orquesta/Banda/Conjunto"),"")))</f>
        <v/>
      </c>
      <c r="P100" t="str">
        <f>IF(M100="","",IF(M100="[FÓRMULA MANUAL]","",IFERROR(AVERAGEIFS(nNOTA,nNIA,M100,nCUENTA,1,nASIG,"Música de Cámara"),"")))</f>
        <v/>
      </c>
      <c r="Q100" t="str">
        <f>IF(M100="","",IF(M100="[FÓRMULA MANUAL]","",IFERROR(SUMPRODUCT((nNIA=M100)*(nCUENTA=1)*(COUNTIF(CONFIG_ASIGNATURAS!$B$7:$B$27,nASIG)&gt;0)*(nNOTA))/SUMPRODUCT((nNIA=M100)*(nCUENTA=1)*(COUNTIF(CONFIG_ASIGNATURAS!$B$7:$B$27,nASIG)&gt;0)*1),"")))</f>
        <v/>
      </c>
      <c r="T100" t="str">
        <f>IF(S100="","",IF(S100="[FÓRMULA MANUAL]","",IFERROR(AVERAGEIFS(nNOTA,nNIA,S100,nCUENTA,1,nASIG,"Armonía"),"")))</f>
        <v/>
      </c>
      <c r="U100" t="str">
        <f>IF(S100="","",IF(S100="[FÓRMULA MANUAL]","",IFERROR(AVERAGEIFS(nNOTA,nNIA,S100,nCUENTA,1,nASIG,"Orquesta/Banda/Conjunto"),"")))</f>
        <v/>
      </c>
      <c r="V100" t="str">
        <f>IF(S100="","",IF(S100="[FÓRMULA MANUAL]","",IFERROR(AVERAGEIFS(nNOTA,nNIA,S100,nCUENTA,1,nASIG,"Música de Cámara"),"")))</f>
        <v/>
      </c>
      <c r="W100" t="str">
        <f>IF(S100="","",IF(S100="[FÓRMULA MANUAL]","",IFERROR(SUMPRODUCT((nNIA=S100)*(nCUENTA=1)*(COUNTIF(CONFIG_ASIGNATURAS!$B$7:$B$27,nASIG)&gt;0)*(nNOTA))/SUMPRODUCT((nNIA=S100)*(nCUENTA=1)*(COUNTIF(CONFIG_ASIGNATURAS!$B$7:$B$27,nASIG)&gt;0)*1),"")))</f>
        <v/>
      </c>
      <c r="Z100" t="str">
        <f>IF(Y100="","",IF(Y100="[FÓRMULA MANUAL]","",IFERROR(AVERAGEIFS(nNOTA,nNIA,Y100,nCUENTA,1,nASIG,"Análisis"),"")))</f>
        <v/>
      </c>
      <c r="AA100" t="str">
        <f>IF(Y100="","",IF(Y100="[FÓRMULA MANUAL]","",IFERROR(AVERAGEIFS(nNOTA,nNIA,Y100,nCUENTA,1,nASIG,"Orquesta/Banda/Conjunto"),"")))</f>
        <v/>
      </c>
      <c r="AB100" t="str">
        <f>IF(Y100="","",IF(Y100="[FÓRMULA MANUAL]","",IFERROR(AVERAGEIFS(nNOTA,nNIA,Y100,nCUENTA,1,nASIG,"Música de Cámara"),"")))</f>
        <v/>
      </c>
      <c r="AC100" t="str">
        <f>IF(Y100="","",IF(Y100="[FÓRMULA MANUAL]","",IFERROR(SUMPRODUCT((nNIA=Y100)*(nCUENTA=1)*(COUNTIF(CONFIG_ASIGNATURAS!$B$7:$B$27,nASIG)&gt;0)*(nNOTA))/SUMPRODUCT((nNIA=Y100)*(nCUENTA=1)*(COUNTIF(CONFIG_ASIGNATURAS!$B$7:$B$27,nASIG)&gt;0)*1),"")))</f>
        <v/>
      </c>
      <c r="AF100" t="str">
        <f>IF(AE100="","",IF(AE100="[FÓRMULA MANUAL]","",IFERROR(AVERAGEIFS(nNOTA,nNIA,AE100,nCUENTA,1,nASIG,"Análisis"),"")))</f>
        <v/>
      </c>
      <c r="AG100" t="str">
        <f>IF(AE100="","",IF(AE100="[FÓRMULA MANUAL]","",IFERROR(AVERAGEIFS(nNOTA,nNIA,AE100,nCUENTA,1,nASIG,"Orquesta/Banda/Conjunto"),"")))</f>
        <v/>
      </c>
      <c r="AH100" t="str">
        <f>IF(AE100="","",IF(AE100="[FÓRMULA MANUAL]","",IFERROR(AVERAGEIFS(nNOTA,nNIA,AE100,nCUENTA,1,nASIG,"Música de Cámara"),"")))</f>
        <v/>
      </c>
      <c r="AI100" t="str">
        <f>IF(AE100="","",IF(AE100="[FÓRMULA MANUAL]","",IFERROR(SUMPRODUCT((nNIA=AE100)*(nCUENTA=1)*(COUNTIF(CONFIG_ASIGNATURAS!$B$7:$B$27,nASIG)&gt;0)*(nNOTA))/SUMPRODUCT((nNIA=AE100)*(nCUENTA=1)*(COUNTIF(CONFIG_ASIGNATURAS!$B$7:$B$27,nASIG)&gt;0)*1),"")))</f>
        <v/>
      </c>
    </row>
    <row r="101" spans="2:35" x14ac:dyDescent="0.2">
      <c r="B101" t="str">
        <f>IF(A101="","",IF(A101="[FÓRMULA MANUAL]","",IFERROR(AVERAGEIFS(nNOTA,nNIA,A101,nCUENTA,1,nASIG,"Lenguaje Musical"),"")))</f>
        <v/>
      </c>
      <c r="C101" t="str">
        <f>IF(A101="","",IF(A101="[FÓRMULA MANUAL]","",IFERROR(AVERAGEIFS(nNOTA,nNIA,A101,nCUENTA,1,nASIG,"Orquesta/Banda/Conjunto"),"")))</f>
        <v/>
      </c>
      <c r="D101" t="str">
        <f>IF(A101="","",IF(A101="[FÓRMULA MANUAL]","",IFERROR(AVERAGEIFS(nNOTA,nNIA,A101,nCUENTA,1,nASIG,"Conjunto"),"")))</f>
        <v/>
      </c>
      <c r="E101" t="str">
        <f>IF(A101="","",IF(A101="[FÓRMULA MANUAL]","",IFERROR(SUMPRODUCT((nNIA=A101)*(nCUENTA=1)*(COUNTIF(CONFIG_ASIGNATURAS!$B$7:$B$27,nASIG)&gt;0)*(nNOTA))/SUMPRODUCT((nNIA=A101)*(nCUENTA=1)*(COUNTIF(CONFIG_ASIGNATURAS!$B$7:$B$27,nASIG)&gt;0)*1),"")))</f>
        <v/>
      </c>
      <c r="H101" t="str">
        <f>IF(G101="","",IF(G101="[FÓRMULA MANUAL]","",IFERROR(AVERAGEIFS(nNOTA,nNIA,G101,nCUENTA,1,nASIG,"Lenguaje Musical"),"")))</f>
        <v/>
      </c>
      <c r="I101" t="str">
        <f>IF(G101="","",IF(G101="[FÓRMULA MANUAL]","",IFERROR(AVERAGEIFS(nNOTA,nNIA,G101,nCUENTA,1,nASIG,"Orquesta/Banda/Conjunto"),"")))</f>
        <v/>
      </c>
      <c r="J101" t="str">
        <f>IF(G101="","",IF(G101="[FÓRMULA MANUAL]","",IFERROR(AVERAGEIFS(nNOTA,nNIA,G101,nCUENTA,1,nASIG,"Conjunto"),"")))</f>
        <v/>
      </c>
      <c r="K101" t="str">
        <f>IF(G101="","",IF(G101="[FÓRMULA MANUAL]","",IFERROR(SUMPRODUCT((nNIA=G101)*(nCUENTA=1)*(COUNTIF(CONFIG_ASIGNATURAS!$B$7:$B$27,nASIG)&gt;0)*(nNOTA))/SUMPRODUCT((nNIA=G101)*(nCUENTA=1)*(COUNTIF(CONFIG_ASIGNATURAS!$B$7:$B$27,nASIG)&gt;0)*1),"")))</f>
        <v/>
      </c>
      <c r="N101" t="str">
        <f>IF(M101="","",IF(M101="[FÓRMULA MANUAL]","",IFERROR(AVERAGEIFS(nNOTA,nNIA,M101,nCUENTA,1,nASIG,"Armonía"),"")))</f>
        <v/>
      </c>
      <c r="O101" t="str">
        <f>IF(M101="","",IF(M101="[FÓRMULA MANUAL]","",IFERROR(AVERAGEIFS(nNOTA,nNIA,M101,nCUENTA,1,nASIG,"Orquesta/Banda/Conjunto"),"")))</f>
        <v/>
      </c>
      <c r="P101" t="str">
        <f>IF(M101="","",IF(M101="[FÓRMULA MANUAL]","",IFERROR(AVERAGEIFS(nNOTA,nNIA,M101,nCUENTA,1,nASIG,"Música de Cámara"),"")))</f>
        <v/>
      </c>
      <c r="Q101" t="str">
        <f>IF(M101="","",IF(M101="[FÓRMULA MANUAL]","",IFERROR(SUMPRODUCT((nNIA=M101)*(nCUENTA=1)*(COUNTIF(CONFIG_ASIGNATURAS!$B$7:$B$27,nASIG)&gt;0)*(nNOTA))/SUMPRODUCT((nNIA=M101)*(nCUENTA=1)*(COUNTIF(CONFIG_ASIGNATURAS!$B$7:$B$27,nASIG)&gt;0)*1),"")))</f>
        <v/>
      </c>
      <c r="T101" t="str">
        <f>IF(S101="","",IF(S101="[FÓRMULA MANUAL]","",IFERROR(AVERAGEIFS(nNOTA,nNIA,S101,nCUENTA,1,nASIG,"Armonía"),"")))</f>
        <v/>
      </c>
      <c r="U101" t="str">
        <f>IF(S101="","",IF(S101="[FÓRMULA MANUAL]","",IFERROR(AVERAGEIFS(nNOTA,nNIA,S101,nCUENTA,1,nASIG,"Orquesta/Banda/Conjunto"),"")))</f>
        <v/>
      </c>
      <c r="V101" t="str">
        <f>IF(S101="","",IF(S101="[FÓRMULA MANUAL]","",IFERROR(AVERAGEIFS(nNOTA,nNIA,S101,nCUENTA,1,nASIG,"Música de Cámara"),"")))</f>
        <v/>
      </c>
      <c r="W101" t="str">
        <f>IF(S101="","",IF(S101="[FÓRMULA MANUAL]","",IFERROR(SUMPRODUCT((nNIA=S101)*(nCUENTA=1)*(COUNTIF(CONFIG_ASIGNATURAS!$B$7:$B$27,nASIG)&gt;0)*(nNOTA))/SUMPRODUCT((nNIA=S101)*(nCUENTA=1)*(COUNTIF(CONFIG_ASIGNATURAS!$B$7:$B$27,nASIG)&gt;0)*1),"")))</f>
        <v/>
      </c>
      <c r="Z101" t="str">
        <f>IF(Y101="","",IF(Y101="[FÓRMULA MANUAL]","",IFERROR(AVERAGEIFS(nNOTA,nNIA,Y101,nCUENTA,1,nASIG,"Análisis"),"")))</f>
        <v/>
      </c>
      <c r="AA101" t="str">
        <f>IF(Y101="","",IF(Y101="[FÓRMULA MANUAL]","",IFERROR(AVERAGEIFS(nNOTA,nNIA,Y101,nCUENTA,1,nASIG,"Orquesta/Banda/Conjunto"),"")))</f>
        <v/>
      </c>
      <c r="AB101" t="str">
        <f>IF(Y101="","",IF(Y101="[FÓRMULA MANUAL]","",IFERROR(AVERAGEIFS(nNOTA,nNIA,Y101,nCUENTA,1,nASIG,"Música de Cámara"),"")))</f>
        <v/>
      </c>
      <c r="AC101" t="str">
        <f>IF(Y101="","",IF(Y101="[FÓRMULA MANUAL]","",IFERROR(SUMPRODUCT((nNIA=Y101)*(nCUENTA=1)*(COUNTIF(CONFIG_ASIGNATURAS!$B$7:$B$27,nASIG)&gt;0)*(nNOTA))/SUMPRODUCT((nNIA=Y101)*(nCUENTA=1)*(COUNTIF(CONFIG_ASIGNATURAS!$B$7:$B$27,nASIG)&gt;0)*1),"")))</f>
        <v/>
      </c>
      <c r="AF101" t="str">
        <f>IF(AE101="","",IF(AE101="[FÓRMULA MANUAL]","",IFERROR(AVERAGEIFS(nNOTA,nNIA,AE101,nCUENTA,1,nASIG,"Análisis"),"")))</f>
        <v/>
      </c>
      <c r="AG101" t="str">
        <f>IF(AE101="","",IF(AE101="[FÓRMULA MANUAL]","",IFERROR(AVERAGEIFS(nNOTA,nNIA,AE101,nCUENTA,1,nASIG,"Orquesta/Banda/Conjunto"),"")))</f>
        <v/>
      </c>
      <c r="AH101" t="str">
        <f>IF(AE101="","",IF(AE101="[FÓRMULA MANUAL]","",IFERROR(AVERAGEIFS(nNOTA,nNIA,AE101,nCUENTA,1,nASIG,"Música de Cámara"),"")))</f>
        <v/>
      </c>
      <c r="AI101" t="str">
        <f>IF(AE101="","",IF(AE101="[FÓRMULA MANUAL]","",IFERROR(SUMPRODUCT((nNIA=AE101)*(nCUENTA=1)*(COUNTIF(CONFIG_ASIGNATURAS!$B$7:$B$27,nASIG)&gt;0)*(nNOTA))/SUMPRODUCT((nNIA=AE101)*(nCUENTA=1)*(COUNTIF(CONFIG_ASIGNATURAS!$B$7:$B$27,nASIG)&gt;0)*1),"")))</f>
        <v/>
      </c>
    </row>
    <row r="102" spans="2:35" x14ac:dyDescent="0.2">
      <c r="B102" t="str">
        <f>IF(A102="","",IF(A102="[FÓRMULA MANUAL]","",IFERROR(AVERAGEIFS(nNOTA,nNIA,A102,nCUENTA,1,nASIG,"Lenguaje Musical"),"")))</f>
        <v/>
      </c>
      <c r="C102" t="str">
        <f>IF(A102="","",IF(A102="[FÓRMULA MANUAL]","",IFERROR(AVERAGEIFS(nNOTA,nNIA,A102,nCUENTA,1,nASIG,"Orquesta/Banda/Conjunto"),"")))</f>
        <v/>
      </c>
      <c r="D102" t="str">
        <f>IF(A102="","",IF(A102="[FÓRMULA MANUAL]","",IFERROR(AVERAGEIFS(nNOTA,nNIA,A102,nCUENTA,1,nASIG,"Conjunto"),"")))</f>
        <v/>
      </c>
      <c r="E102" t="str">
        <f>IF(A102="","",IF(A102="[FÓRMULA MANUAL]","",IFERROR(SUMPRODUCT((nNIA=A102)*(nCUENTA=1)*(COUNTIF(CONFIG_ASIGNATURAS!$B$7:$B$27,nASIG)&gt;0)*(nNOTA))/SUMPRODUCT((nNIA=A102)*(nCUENTA=1)*(COUNTIF(CONFIG_ASIGNATURAS!$B$7:$B$27,nASIG)&gt;0)*1),"")))</f>
        <v/>
      </c>
      <c r="H102" t="str">
        <f>IF(G102="","",IF(G102="[FÓRMULA MANUAL]","",IFERROR(AVERAGEIFS(nNOTA,nNIA,G102,nCUENTA,1,nASIG,"Lenguaje Musical"),"")))</f>
        <v/>
      </c>
      <c r="I102" t="str">
        <f>IF(G102="","",IF(G102="[FÓRMULA MANUAL]","",IFERROR(AVERAGEIFS(nNOTA,nNIA,G102,nCUENTA,1,nASIG,"Orquesta/Banda/Conjunto"),"")))</f>
        <v/>
      </c>
      <c r="J102" t="str">
        <f>IF(G102="","",IF(G102="[FÓRMULA MANUAL]","",IFERROR(AVERAGEIFS(nNOTA,nNIA,G102,nCUENTA,1,nASIG,"Conjunto"),"")))</f>
        <v/>
      </c>
      <c r="K102" t="str">
        <f>IF(G102="","",IF(G102="[FÓRMULA MANUAL]","",IFERROR(SUMPRODUCT((nNIA=G102)*(nCUENTA=1)*(COUNTIF(CONFIG_ASIGNATURAS!$B$7:$B$27,nASIG)&gt;0)*(nNOTA))/SUMPRODUCT((nNIA=G102)*(nCUENTA=1)*(COUNTIF(CONFIG_ASIGNATURAS!$B$7:$B$27,nASIG)&gt;0)*1),"")))</f>
        <v/>
      </c>
      <c r="N102" t="str">
        <f>IF(M102="","",IF(M102="[FÓRMULA MANUAL]","",IFERROR(AVERAGEIFS(nNOTA,nNIA,M102,nCUENTA,1,nASIG,"Armonía"),"")))</f>
        <v/>
      </c>
      <c r="O102" t="str">
        <f>IF(M102="","",IF(M102="[FÓRMULA MANUAL]","",IFERROR(AVERAGEIFS(nNOTA,nNIA,M102,nCUENTA,1,nASIG,"Orquesta/Banda/Conjunto"),"")))</f>
        <v/>
      </c>
      <c r="P102" t="str">
        <f>IF(M102="","",IF(M102="[FÓRMULA MANUAL]","",IFERROR(AVERAGEIFS(nNOTA,nNIA,M102,nCUENTA,1,nASIG,"Música de Cámara"),"")))</f>
        <v/>
      </c>
      <c r="Q102" t="str">
        <f>IF(M102="","",IF(M102="[FÓRMULA MANUAL]","",IFERROR(SUMPRODUCT((nNIA=M102)*(nCUENTA=1)*(COUNTIF(CONFIG_ASIGNATURAS!$B$7:$B$27,nASIG)&gt;0)*(nNOTA))/SUMPRODUCT((nNIA=M102)*(nCUENTA=1)*(COUNTIF(CONFIG_ASIGNATURAS!$B$7:$B$27,nASIG)&gt;0)*1),"")))</f>
        <v/>
      </c>
      <c r="T102" t="str">
        <f>IF(S102="","",IF(S102="[FÓRMULA MANUAL]","",IFERROR(AVERAGEIFS(nNOTA,nNIA,S102,nCUENTA,1,nASIG,"Armonía"),"")))</f>
        <v/>
      </c>
      <c r="U102" t="str">
        <f>IF(S102="","",IF(S102="[FÓRMULA MANUAL]","",IFERROR(AVERAGEIFS(nNOTA,nNIA,S102,nCUENTA,1,nASIG,"Orquesta/Banda/Conjunto"),"")))</f>
        <v/>
      </c>
      <c r="V102" t="str">
        <f>IF(S102="","",IF(S102="[FÓRMULA MANUAL]","",IFERROR(AVERAGEIFS(nNOTA,nNIA,S102,nCUENTA,1,nASIG,"Música de Cámara"),"")))</f>
        <v/>
      </c>
      <c r="W102" t="str">
        <f>IF(S102="","",IF(S102="[FÓRMULA MANUAL]","",IFERROR(SUMPRODUCT((nNIA=S102)*(nCUENTA=1)*(COUNTIF(CONFIG_ASIGNATURAS!$B$7:$B$27,nASIG)&gt;0)*(nNOTA))/SUMPRODUCT((nNIA=S102)*(nCUENTA=1)*(COUNTIF(CONFIG_ASIGNATURAS!$B$7:$B$27,nASIG)&gt;0)*1),"")))</f>
        <v/>
      </c>
      <c r="Z102" t="str">
        <f>IF(Y102="","",IF(Y102="[FÓRMULA MANUAL]","",IFERROR(AVERAGEIFS(nNOTA,nNIA,Y102,nCUENTA,1,nASIG,"Análisis"),"")))</f>
        <v/>
      </c>
      <c r="AA102" t="str">
        <f>IF(Y102="","",IF(Y102="[FÓRMULA MANUAL]","",IFERROR(AVERAGEIFS(nNOTA,nNIA,Y102,nCUENTA,1,nASIG,"Orquesta/Banda/Conjunto"),"")))</f>
        <v/>
      </c>
      <c r="AB102" t="str">
        <f>IF(Y102="","",IF(Y102="[FÓRMULA MANUAL]","",IFERROR(AVERAGEIFS(nNOTA,nNIA,Y102,nCUENTA,1,nASIG,"Música de Cámara"),"")))</f>
        <v/>
      </c>
      <c r="AC102" t="str">
        <f>IF(Y102="","",IF(Y102="[FÓRMULA MANUAL]","",IFERROR(SUMPRODUCT((nNIA=Y102)*(nCUENTA=1)*(COUNTIF(CONFIG_ASIGNATURAS!$B$7:$B$27,nASIG)&gt;0)*(nNOTA))/SUMPRODUCT((nNIA=Y102)*(nCUENTA=1)*(COUNTIF(CONFIG_ASIGNATURAS!$B$7:$B$27,nASIG)&gt;0)*1),"")))</f>
        <v/>
      </c>
      <c r="AF102" t="str">
        <f>IF(AE102="","",IF(AE102="[FÓRMULA MANUAL]","",IFERROR(AVERAGEIFS(nNOTA,nNIA,AE102,nCUENTA,1,nASIG,"Análisis"),"")))</f>
        <v/>
      </c>
      <c r="AG102" t="str">
        <f>IF(AE102="","",IF(AE102="[FÓRMULA MANUAL]","",IFERROR(AVERAGEIFS(nNOTA,nNIA,AE102,nCUENTA,1,nASIG,"Orquesta/Banda/Conjunto"),"")))</f>
        <v/>
      </c>
      <c r="AH102" t="str">
        <f>IF(AE102="","",IF(AE102="[FÓRMULA MANUAL]","",IFERROR(AVERAGEIFS(nNOTA,nNIA,AE102,nCUENTA,1,nASIG,"Música de Cámara"),"")))</f>
        <v/>
      </c>
      <c r="AI102" t="str">
        <f>IF(AE102="","",IF(AE102="[FÓRMULA MANUAL]","",IFERROR(SUMPRODUCT((nNIA=AE102)*(nCUENTA=1)*(COUNTIF(CONFIG_ASIGNATURAS!$B$7:$B$27,nASIG)&gt;0)*(nNOTA))/SUMPRODUCT((nNIA=AE102)*(nCUENTA=1)*(COUNTIF(CONFIG_ASIGNATURAS!$B$7:$B$27,nASIG)&gt;0)*1),"")))</f>
        <v/>
      </c>
    </row>
    <row r="103" spans="2:35" x14ac:dyDescent="0.2">
      <c r="B103" t="str">
        <f>IF(A103="","",IF(A103="[FÓRMULA MANUAL]","",IFERROR(AVERAGEIFS(nNOTA,nNIA,A103,nCUENTA,1,nASIG,"Lenguaje Musical"),"")))</f>
        <v/>
      </c>
      <c r="C103" t="str">
        <f>IF(A103="","",IF(A103="[FÓRMULA MANUAL]","",IFERROR(AVERAGEIFS(nNOTA,nNIA,A103,nCUENTA,1,nASIG,"Orquesta/Banda/Conjunto"),"")))</f>
        <v/>
      </c>
      <c r="D103" t="str">
        <f>IF(A103="","",IF(A103="[FÓRMULA MANUAL]","",IFERROR(AVERAGEIFS(nNOTA,nNIA,A103,nCUENTA,1,nASIG,"Conjunto"),"")))</f>
        <v/>
      </c>
      <c r="E103" t="str">
        <f>IF(A103="","",IF(A103="[FÓRMULA MANUAL]","",IFERROR(SUMPRODUCT((nNIA=A103)*(nCUENTA=1)*(COUNTIF(CONFIG_ASIGNATURAS!$B$7:$B$27,nASIG)&gt;0)*(nNOTA))/SUMPRODUCT((nNIA=A103)*(nCUENTA=1)*(COUNTIF(CONFIG_ASIGNATURAS!$B$7:$B$27,nASIG)&gt;0)*1),"")))</f>
        <v/>
      </c>
      <c r="H103" t="str">
        <f>IF(G103="","",IF(G103="[FÓRMULA MANUAL]","",IFERROR(AVERAGEIFS(nNOTA,nNIA,G103,nCUENTA,1,nASIG,"Lenguaje Musical"),"")))</f>
        <v/>
      </c>
      <c r="I103" t="str">
        <f>IF(G103="","",IF(G103="[FÓRMULA MANUAL]","",IFERROR(AVERAGEIFS(nNOTA,nNIA,G103,nCUENTA,1,nASIG,"Orquesta/Banda/Conjunto"),"")))</f>
        <v/>
      </c>
      <c r="J103" t="str">
        <f>IF(G103="","",IF(G103="[FÓRMULA MANUAL]","",IFERROR(AVERAGEIFS(nNOTA,nNIA,G103,nCUENTA,1,nASIG,"Conjunto"),"")))</f>
        <v/>
      </c>
      <c r="K103" t="str">
        <f>IF(G103="","",IF(G103="[FÓRMULA MANUAL]","",IFERROR(SUMPRODUCT((nNIA=G103)*(nCUENTA=1)*(COUNTIF(CONFIG_ASIGNATURAS!$B$7:$B$27,nASIG)&gt;0)*(nNOTA))/SUMPRODUCT((nNIA=G103)*(nCUENTA=1)*(COUNTIF(CONFIG_ASIGNATURAS!$B$7:$B$27,nASIG)&gt;0)*1),"")))</f>
        <v/>
      </c>
      <c r="N103" t="str">
        <f>IF(M103="","",IF(M103="[FÓRMULA MANUAL]","",IFERROR(AVERAGEIFS(nNOTA,nNIA,M103,nCUENTA,1,nASIG,"Armonía"),"")))</f>
        <v/>
      </c>
      <c r="O103" t="str">
        <f>IF(M103="","",IF(M103="[FÓRMULA MANUAL]","",IFERROR(AVERAGEIFS(nNOTA,nNIA,M103,nCUENTA,1,nASIG,"Orquesta/Banda/Conjunto"),"")))</f>
        <v/>
      </c>
      <c r="P103" t="str">
        <f>IF(M103="","",IF(M103="[FÓRMULA MANUAL]","",IFERROR(AVERAGEIFS(nNOTA,nNIA,M103,nCUENTA,1,nASIG,"Música de Cámara"),"")))</f>
        <v/>
      </c>
      <c r="Q103" t="str">
        <f>IF(M103="","",IF(M103="[FÓRMULA MANUAL]","",IFERROR(SUMPRODUCT((nNIA=M103)*(nCUENTA=1)*(COUNTIF(CONFIG_ASIGNATURAS!$B$7:$B$27,nASIG)&gt;0)*(nNOTA))/SUMPRODUCT((nNIA=M103)*(nCUENTA=1)*(COUNTIF(CONFIG_ASIGNATURAS!$B$7:$B$27,nASIG)&gt;0)*1),"")))</f>
        <v/>
      </c>
      <c r="T103" t="str">
        <f>IF(S103="","",IF(S103="[FÓRMULA MANUAL]","",IFERROR(AVERAGEIFS(nNOTA,nNIA,S103,nCUENTA,1,nASIG,"Armonía"),"")))</f>
        <v/>
      </c>
      <c r="U103" t="str">
        <f>IF(S103="","",IF(S103="[FÓRMULA MANUAL]","",IFERROR(AVERAGEIFS(nNOTA,nNIA,S103,nCUENTA,1,nASIG,"Orquesta/Banda/Conjunto"),"")))</f>
        <v/>
      </c>
      <c r="V103" t="str">
        <f>IF(S103="","",IF(S103="[FÓRMULA MANUAL]","",IFERROR(AVERAGEIFS(nNOTA,nNIA,S103,nCUENTA,1,nASIG,"Música de Cámara"),"")))</f>
        <v/>
      </c>
      <c r="W103" t="str">
        <f>IF(S103="","",IF(S103="[FÓRMULA MANUAL]","",IFERROR(SUMPRODUCT((nNIA=S103)*(nCUENTA=1)*(COUNTIF(CONFIG_ASIGNATURAS!$B$7:$B$27,nASIG)&gt;0)*(nNOTA))/SUMPRODUCT((nNIA=S103)*(nCUENTA=1)*(COUNTIF(CONFIG_ASIGNATURAS!$B$7:$B$27,nASIG)&gt;0)*1),"")))</f>
        <v/>
      </c>
      <c r="Z103" t="str">
        <f>IF(Y103="","",IF(Y103="[FÓRMULA MANUAL]","",IFERROR(AVERAGEIFS(nNOTA,nNIA,Y103,nCUENTA,1,nASIG,"Análisis"),"")))</f>
        <v/>
      </c>
      <c r="AA103" t="str">
        <f>IF(Y103="","",IF(Y103="[FÓRMULA MANUAL]","",IFERROR(AVERAGEIFS(nNOTA,nNIA,Y103,nCUENTA,1,nASIG,"Orquesta/Banda/Conjunto"),"")))</f>
        <v/>
      </c>
      <c r="AB103" t="str">
        <f>IF(Y103="","",IF(Y103="[FÓRMULA MANUAL]","",IFERROR(AVERAGEIFS(nNOTA,nNIA,Y103,nCUENTA,1,nASIG,"Música de Cámara"),"")))</f>
        <v/>
      </c>
      <c r="AC103" t="str">
        <f>IF(Y103="","",IF(Y103="[FÓRMULA MANUAL]","",IFERROR(SUMPRODUCT((nNIA=Y103)*(nCUENTA=1)*(COUNTIF(CONFIG_ASIGNATURAS!$B$7:$B$27,nASIG)&gt;0)*(nNOTA))/SUMPRODUCT((nNIA=Y103)*(nCUENTA=1)*(COUNTIF(CONFIG_ASIGNATURAS!$B$7:$B$27,nASIG)&gt;0)*1),"")))</f>
        <v/>
      </c>
      <c r="AF103" t="str">
        <f>IF(AE103="","",IF(AE103="[FÓRMULA MANUAL]","",IFERROR(AVERAGEIFS(nNOTA,nNIA,AE103,nCUENTA,1,nASIG,"Análisis"),"")))</f>
        <v/>
      </c>
      <c r="AG103" t="str">
        <f>IF(AE103="","",IF(AE103="[FÓRMULA MANUAL]","",IFERROR(AVERAGEIFS(nNOTA,nNIA,AE103,nCUENTA,1,nASIG,"Orquesta/Banda/Conjunto"),"")))</f>
        <v/>
      </c>
      <c r="AH103" t="str">
        <f>IF(AE103="","",IF(AE103="[FÓRMULA MANUAL]","",IFERROR(AVERAGEIFS(nNOTA,nNIA,AE103,nCUENTA,1,nASIG,"Música de Cámara"),"")))</f>
        <v/>
      </c>
      <c r="AI103" t="str">
        <f>IF(AE103="","",IF(AE103="[FÓRMULA MANUAL]","",IFERROR(SUMPRODUCT((nNIA=AE103)*(nCUENTA=1)*(COUNTIF(CONFIG_ASIGNATURAS!$B$7:$B$27,nASIG)&gt;0)*(nNOTA))/SUMPRODUCT((nNIA=AE103)*(nCUENTA=1)*(COUNTIF(CONFIG_ASIGNATURAS!$B$7:$B$27,nASIG)&gt;0)*1),"")))</f>
        <v/>
      </c>
    </row>
    <row r="104" spans="2:35" x14ac:dyDescent="0.2">
      <c r="B104" t="str">
        <f>IF(A104="","",IF(A104="[FÓRMULA MANUAL]","",IFERROR(AVERAGEIFS(nNOTA,nNIA,A104,nCUENTA,1,nASIG,"Lenguaje Musical"),"")))</f>
        <v/>
      </c>
      <c r="C104" t="str">
        <f>IF(A104="","",IF(A104="[FÓRMULA MANUAL]","",IFERROR(AVERAGEIFS(nNOTA,nNIA,A104,nCUENTA,1,nASIG,"Orquesta/Banda/Conjunto"),"")))</f>
        <v/>
      </c>
      <c r="D104" t="str">
        <f>IF(A104="","",IF(A104="[FÓRMULA MANUAL]","",IFERROR(AVERAGEIFS(nNOTA,nNIA,A104,nCUENTA,1,nASIG,"Conjunto"),"")))</f>
        <v/>
      </c>
      <c r="E104" t="str">
        <f>IF(A104="","",IF(A104="[FÓRMULA MANUAL]","",IFERROR(SUMPRODUCT((nNIA=A104)*(nCUENTA=1)*(COUNTIF(CONFIG_ASIGNATURAS!$B$7:$B$27,nASIG)&gt;0)*(nNOTA))/SUMPRODUCT((nNIA=A104)*(nCUENTA=1)*(COUNTIF(CONFIG_ASIGNATURAS!$B$7:$B$27,nASIG)&gt;0)*1),"")))</f>
        <v/>
      </c>
      <c r="H104" t="str">
        <f>IF(G104="","",IF(G104="[FÓRMULA MANUAL]","",IFERROR(AVERAGEIFS(nNOTA,nNIA,G104,nCUENTA,1,nASIG,"Lenguaje Musical"),"")))</f>
        <v/>
      </c>
      <c r="I104" t="str">
        <f>IF(G104="","",IF(G104="[FÓRMULA MANUAL]","",IFERROR(AVERAGEIFS(nNOTA,nNIA,G104,nCUENTA,1,nASIG,"Orquesta/Banda/Conjunto"),"")))</f>
        <v/>
      </c>
      <c r="J104" t="str">
        <f>IF(G104="","",IF(G104="[FÓRMULA MANUAL]","",IFERROR(AVERAGEIFS(nNOTA,nNIA,G104,nCUENTA,1,nASIG,"Conjunto"),"")))</f>
        <v/>
      </c>
      <c r="K104" t="str">
        <f>IF(G104="","",IF(G104="[FÓRMULA MANUAL]","",IFERROR(SUMPRODUCT((nNIA=G104)*(nCUENTA=1)*(COUNTIF(CONFIG_ASIGNATURAS!$B$7:$B$27,nASIG)&gt;0)*(nNOTA))/SUMPRODUCT((nNIA=G104)*(nCUENTA=1)*(COUNTIF(CONFIG_ASIGNATURAS!$B$7:$B$27,nASIG)&gt;0)*1),"")))</f>
        <v/>
      </c>
      <c r="N104" t="str">
        <f>IF(M104="","",IF(M104="[FÓRMULA MANUAL]","",IFERROR(AVERAGEIFS(nNOTA,nNIA,M104,nCUENTA,1,nASIG,"Armonía"),"")))</f>
        <v/>
      </c>
      <c r="O104" t="str">
        <f>IF(M104="","",IF(M104="[FÓRMULA MANUAL]","",IFERROR(AVERAGEIFS(nNOTA,nNIA,M104,nCUENTA,1,nASIG,"Orquesta/Banda/Conjunto"),"")))</f>
        <v/>
      </c>
      <c r="P104" t="str">
        <f>IF(M104="","",IF(M104="[FÓRMULA MANUAL]","",IFERROR(AVERAGEIFS(nNOTA,nNIA,M104,nCUENTA,1,nASIG,"Música de Cámara"),"")))</f>
        <v/>
      </c>
      <c r="Q104" t="str">
        <f>IF(M104="","",IF(M104="[FÓRMULA MANUAL]","",IFERROR(SUMPRODUCT((nNIA=M104)*(nCUENTA=1)*(COUNTIF(CONFIG_ASIGNATURAS!$B$7:$B$27,nASIG)&gt;0)*(nNOTA))/SUMPRODUCT((nNIA=M104)*(nCUENTA=1)*(COUNTIF(CONFIG_ASIGNATURAS!$B$7:$B$27,nASIG)&gt;0)*1),"")))</f>
        <v/>
      </c>
      <c r="T104" t="str">
        <f>IF(S104="","",IF(S104="[FÓRMULA MANUAL]","",IFERROR(AVERAGEIFS(nNOTA,nNIA,S104,nCUENTA,1,nASIG,"Armonía"),"")))</f>
        <v/>
      </c>
      <c r="U104" t="str">
        <f>IF(S104="","",IF(S104="[FÓRMULA MANUAL]","",IFERROR(AVERAGEIFS(nNOTA,nNIA,S104,nCUENTA,1,nASIG,"Orquesta/Banda/Conjunto"),"")))</f>
        <v/>
      </c>
      <c r="V104" t="str">
        <f>IF(S104="","",IF(S104="[FÓRMULA MANUAL]","",IFERROR(AVERAGEIFS(nNOTA,nNIA,S104,nCUENTA,1,nASIG,"Música de Cámara"),"")))</f>
        <v/>
      </c>
      <c r="W104" t="str">
        <f>IF(S104="","",IF(S104="[FÓRMULA MANUAL]","",IFERROR(SUMPRODUCT((nNIA=S104)*(nCUENTA=1)*(COUNTIF(CONFIG_ASIGNATURAS!$B$7:$B$27,nASIG)&gt;0)*(nNOTA))/SUMPRODUCT((nNIA=S104)*(nCUENTA=1)*(COUNTIF(CONFIG_ASIGNATURAS!$B$7:$B$27,nASIG)&gt;0)*1),"")))</f>
        <v/>
      </c>
      <c r="Z104" t="str">
        <f>IF(Y104="","",IF(Y104="[FÓRMULA MANUAL]","",IFERROR(AVERAGEIFS(nNOTA,nNIA,Y104,nCUENTA,1,nASIG,"Análisis"),"")))</f>
        <v/>
      </c>
      <c r="AA104" t="str">
        <f>IF(Y104="","",IF(Y104="[FÓRMULA MANUAL]","",IFERROR(AVERAGEIFS(nNOTA,nNIA,Y104,nCUENTA,1,nASIG,"Orquesta/Banda/Conjunto"),"")))</f>
        <v/>
      </c>
      <c r="AB104" t="str">
        <f>IF(Y104="","",IF(Y104="[FÓRMULA MANUAL]","",IFERROR(AVERAGEIFS(nNOTA,nNIA,Y104,nCUENTA,1,nASIG,"Música de Cámara"),"")))</f>
        <v/>
      </c>
      <c r="AC104" t="str">
        <f>IF(Y104="","",IF(Y104="[FÓRMULA MANUAL]","",IFERROR(SUMPRODUCT((nNIA=Y104)*(nCUENTA=1)*(COUNTIF(CONFIG_ASIGNATURAS!$B$7:$B$27,nASIG)&gt;0)*(nNOTA))/SUMPRODUCT((nNIA=Y104)*(nCUENTA=1)*(COUNTIF(CONFIG_ASIGNATURAS!$B$7:$B$27,nASIG)&gt;0)*1),"")))</f>
        <v/>
      </c>
      <c r="AF104" t="str">
        <f>IF(AE104="","",IF(AE104="[FÓRMULA MANUAL]","",IFERROR(AVERAGEIFS(nNOTA,nNIA,AE104,nCUENTA,1,nASIG,"Análisis"),"")))</f>
        <v/>
      </c>
      <c r="AG104" t="str">
        <f>IF(AE104="","",IF(AE104="[FÓRMULA MANUAL]","",IFERROR(AVERAGEIFS(nNOTA,nNIA,AE104,nCUENTA,1,nASIG,"Orquesta/Banda/Conjunto"),"")))</f>
        <v/>
      </c>
      <c r="AH104" t="str">
        <f>IF(AE104="","",IF(AE104="[FÓRMULA MANUAL]","",IFERROR(AVERAGEIFS(nNOTA,nNIA,AE104,nCUENTA,1,nASIG,"Música de Cámara"),"")))</f>
        <v/>
      </c>
      <c r="AI104" t="str">
        <f>IF(AE104="","",IF(AE104="[FÓRMULA MANUAL]","",IFERROR(SUMPRODUCT((nNIA=AE104)*(nCUENTA=1)*(COUNTIF(CONFIG_ASIGNATURAS!$B$7:$B$27,nASIG)&gt;0)*(nNOTA))/SUMPRODUCT((nNIA=AE104)*(nCUENTA=1)*(COUNTIF(CONFIG_ASIGNATURAS!$B$7:$B$27,nASIG)&gt;0)*1),"")))</f>
        <v/>
      </c>
    </row>
    <row r="105" spans="2:35" x14ac:dyDescent="0.2">
      <c r="B105" t="str">
        <f>IF(A105="","",IF(A105="[FÓRMULA MANUAL]","",IFERROR(AVERAGEIFS(nNOTA,nNIA,A105,nCUENTA,1,nASIG,"Lenguaje Musical"),"")))</f>
        <v/>
      </c>
      <c r="C105" t="str">
        <f>IF(A105="","",IF(A105="[FÓRMULA MANUAL]","",IFERROR(AVERAGEIFS(nNOTA,nNIA,A105,nCUENTA,1,nASIG,"Orquesta/Banda/Conjunto"),"")))</f>
        <v/>
      </c>
      <c r="D105" t="str">
        <f>IF(A105="","",IF(A105="[FÓRMULA MANUAL]","",IFERROR(AVERAGEIFS(nNOTA,nNIA,A105,nCUENTA,1,nASIG,"Conjunto"),"")))</f>
        <v/>
      </c>
      <c r="E105" t="str">
        <f>IF(A105="","",IF(A105="[FÓRMULA MANUAL]","",IFERROR(SUMPRODUCT((nNIA=A105)*(nCUENTA=1)*(COUNTIF(CONFIG_ASIGNATURAS!$B$7:$B$27,nASIG)&gt;0)*(nNOTA))/SUMPRODUCT((nNIA=A105)*(nCUENTA=1)*(COUNTIF(CONFIG_ASIGNATURAS!$B$7:$B$27,nASIG)&gt;0)*1),"")))</f>
        <v/>
      </c>
      <c r="H105" t="str">
        <f>IF(G105="","",IF(G105="[FÓRMULA MANUAL]","",IFERROR(AVERAGEIFS(nNOTA,nNIA,G105,nCUENTA,1,nASIG,"Lenguaje Musical"),"")))</f>
        <v/>
      </c>
      <c r="I105" t="str">
        <f>IF(G105="","",IF(G105="[FÓRMULA MANUAL]","",IFERROR(AVERAGEIFS(nNOTA,nNIA,G105,nCUENTA,1,nASIG,"Orquesta/Banda/Conjunto"),"")))</f>
        <v/>
      </c>
      <c r="J105" t="str">
        <f>IF(G105="","",IF(G105="[FÓRMULA MANUAL]","",IFERROR(AVERAGEIFS(nNOTA,nNIA,G105,nCUENTA,1,nASIG,"Conjunto"),"")))</f>
        <v/>
      </c>
      <c r="K105" t="str">
        <f>IF(G105="","",IF(G105="[FÓRMULA MANUAL]","",IFERROR(SUMPRODUCT((nNIA=G105)*(nCUENTA=1)*(COUNTIF(CONFIG_ASIGNATURAS!$B$7:$B$27,nASIG)&gt;0)*(nNOTA))/SUMPRODUCT((nNIA=G105)*(nCUENTA=1)*(COUNTIF(CONFIG_ASIGNATURAS!$B$7:$B$27,nASIG)&gt;0)*1),"")))</f>
        <v/>
      </c>
      <c r="N105" t="str">
        <f>IF(M105="","",IF(M105="[FÓRMULA MANUAL]","",IFERROR(AVERAGEIFS(nNOTA,nNIA,M105,nCUENTA,1,nASIG,"Armonía"),"")))</f>
        <v/>
      </c>
      <c r="O105" t="str">
        <f>IF(M105="","",IF(M105="[FÓRMULA MANUAL]","",IFERROR(AVERAGEIFS(nNOTA,nNIA,M105,nCUENTA,1,nASIG,"Orquesta/Banda/Conjunto"),"")))</f>
        <v/>
      </c>
      <c r="P105" t="str">
        <f>IF(M105="","",IF(M105="[FÓRMULA MANUAL]","",IFERROR(AVERAGEIFS(nNOTA,nNIA,M105,nCUENTA,1,nASIG,"Música de Cámara"),"")))</f>
        <v/>
      </c>
      <c r="Q105" t="str">
        <f>IF(M105="","",IF(M105="[FÓRMULA MANUAL]","",IFERROR(SUMPRODUCT((nNIA=M105)*(nCUENTA=1)*(COUNTIF(CONFIG_ASIGNATURAS!$B$7:$B$27,nASIG)&gt;0)*(nNOTA))/SUMPRODUCT((nNIA=M105)*(nCUENTA=1)*(COUNTIF(CONFIG_ASIGNATURAS!$B$7:$B$27,nASIG)&gt;0)*1),"")))</f>
        <v/>
      </c>
      <c r="T105" t="str">
        <f>IF(S105="","",IF(S105="[FÓRMULA MANUAL]","",IFERROR(AVERAGEIFS(nNOTA,nNIA,S105,nCUENTA,1,nASIG,"Armonía"),"")))</f>
        <v/>
      </c>
      <c r="U105" t="str">
        <f>IF(S105="","",IF(S105="[FÓRMULA MANUAL]","",IFERROR(AVERAGEIFS(nNOTA,nNIA,S105,nCUENTA,1,nASIG,"Orquesta/Banda/Conjunto"),"")))</f>
        <v/>
      </c>
      <c r="V105" t="str">
        <f>IF(S105="","",IF(S105="[FÓRMULA MANUAL]","",IFERROR(AVERAGEIFS(nNOTA,nNIA,S105,nCUENTA,1,nASIG,"Música de Cámara"),"")))</f>
        <v/>
      </c>
      <c r="W105" t="str">
        <f>IF(S105="","",IF(S105="[FÓRMULA MANUAL]","",IFERROR(SUMPRODUCT((nNIA=S105)*(nCUENTA=1)*(COUNTIF(CONFIG_ASIGNATURAS!$B$7:$B$27,nASIG)&gt;0)*(nNOTA))/SUMPRODUCT((nNIA=S105)*(nCUENTA=1)*(COUNTIF(CONFIG_ASIGNATURAS!$B$7:$B$27,nASIG)&gt;0)*1),"")))</f>
        <v/>
      </c>
      <c r="Z105" t="str">
        <f>IF(Y105="","",IF(Y105="[FÓRMULA MANUAL]","",IFERROR(AVERAGEIFS(nNOTA,nNIA,Y105,nCUENTA,1,nASIG,"Análisis"),"")))</f>
        <v/>
      </c>
      <c r="AA105" t="str">
        <f>IF(Y105="","",IF(Y105="[FÓRMULA MANUAL]","",IFERROR(AVERAGEIFS(nNOTA,nNIA,Y105,nCUENTA,1,nASIG,"Orquesta/Banda/Conjunto"),"")))</f>
        <v/>
      </c>
      <c r="AB105" t="str">
        <f>IF(Y105="","",IF(Y105="[FÓRMULA MANUAL]","",IFERROR(AVERAGEIFS(nNOTA,nNIA,Y105,nCUENTA,1,nASIG,"Música de Cámara"),"")))</f>
        <v/>
      </c>
      <c r="AC105" t="str">
        <f>IF(Y105="","",IF(Y105="[FÓRMULA MANUAL]","",IFERROR(SUMPRODUCT((nNIA=Y105)*(nCUENTA=1)*(COUNTIF(CONFIG_ASIGNATURAS!$B$7:$B$27,nASIG)&gt;0)*(nNOTA))/SUMPRODUCT((nNIA=Y105)*(nCUENTA=1)*(COUNTIF(CONFIG_ASIGNATURAS!$B$7:$B$27,nASIG)&gt;0)*1),"")))</f>
        <v/>
      </c>
      <c r="AF105" t="str">
        <f>IF(AE105="","",IF(AE105="[FÓRMULA MANUAL]","",IFERROR(AVERAGEIFS(nNOTA,nNIA,AE105,nCUENTA,1,nASIG,"Análisis"),"")))</f>
        <v/>
      </c>
      <c r="AG105" t="str">
        <f>IF(AE105="","",IF(AE105="[FÓRMULA MANUAL]","",IFERROR(AVERAGEIFS(nNOTA,nNIA,AE105,nCUENTA,1,nASIG,"Orquesta/Banda/Conjunto"),"")))</f>
        <v/>
      </c>
      <c r="AH105" t="str">
        <f>IF(AE105="","",IF(AE105="[FÓRMULA MANUAL]","",IFERROR(AVERAGEIFS(nNOTA,nNIA,AE105,nCUENTA,1,nASIG,"Música de Cámara"),"")))</f>
        <v/>
      </c>
      <c r="AI105" t="str">
        <f>IF(AE105="","",IF(AE105="[FÓRMULA MANUAL]","",IFERROR(SUMPRODUCT((nNIA=AE105)*(nCUENTA=1)*(COUNTIF(CONFIG_ASIGNATURAS!$B$7:$B$27,nASIG)&gt;0)*(nNOTA))/SUMPRODUCT((nNIA=AE105)*(nCUENTA=1)*(COUNTIF(CONFIG_ASIGNATURAS!$B$7:$B$27,nASIG)&gt;0)*1),"")))</f>
        <v/>
      </c>
    </row>
    <row r="106" spans="2:35" x14ac:dyDescent="0.2">
      <c r="B106" t="str">
        <f>IF(A106="","",IF(A106="[FÓRMULA MANUAL]","",IFERROR(AVERAGEIFS(nNOTA,nNIA,A106,nCUENTA,1,nASIG,"Lenguaje Musical"),"")))</f>
        <v/>
      </c>
      <c r="C106" t="str">
        <f>IF(A106="","",IF(A106="[FÓRMULA MANUAL]","",IFERROR(AVERAGEIFS(nNOTA,nNIA,A106,nCUENTA,1,nASIG,"Orquesta/Banda/Conjunto"),"")))</f>
        <v/>
      </c>
      <c r="D106" t="str">
        <f>IF(A106="","",IF(A106="[FÓRMULA MANUAL]","",IFERROR(AVERAGEIFS(nNOTA,nNIA,A106,nCUENTA,1,nASIG,"Conjunto"),"")))</f>
        <v/>
      </c>
      <c r="E106" t="str">
        <f>IF(A106="","",IF(A106="[FÓRMULA MANUAL]","",IFERROR(SUMPRODUCT((nNIA=A106)*(nCUENTA=1)*(COUNTIF(CONFIG_ASIGNATURAS!$B$7:$B$27,nASIG)&gt;0)*(nNOTA))/SUMPRODUCT((nNIA=A106)*(nCUENTA=1)*(COUNTIF(CONFIG_ASIGNATURAS!$B$7:$B$27,nASIG)&gt;0)*1),"")))</f>
        <v/>
      </c>
      <c r="H106" t="str">
        <f>IF(G106="","",IF(G106="[FÓRMULA MANUAL]","",IFERROR(AVERAGEIFS(nNOTA,nNIA,G106,nCUENTA,1,nASIG,"Lenguaje Musical"),"")))</f>
        <v/>
      </c>
      <c r="I106" t="str">
        <f>IF(G106="","",IF(G106="[FÓRMULA MANUAL]","",IFERROR(AVERAGEIFS(nNOTA,nNIA,G106,nCUENTA,1,nASIG,"Orquesta/Banda/Conjunto"),"")))</f>
        <v/>
      </c>
      <c r="J106" t="str">
        <f>IF(G106="","",IF(G106="[FÓRMULA MANUAL]","",IFERROR(AVERAGEIFS(nNOTA,nNIA,G106,nCUENTA,1,nASIG,"Conjunto"),"")))</f>
        <v/>
      </c>
      <c r="K106" t="str">
        <f>IF(G106="","",IF(G106="[FÓRMULA MANUAL]","",IFERROR(SUMPRODUCT((nNIA=G106)*(nCUENTA=1)*(COUNTIF(CONFIG_ASIGNATURAS!$B$7:$B$27,nASIG)&gt;0)*(nNOTA))/SUMPRODUCT((nNIA=G106)*(nCUENTA=1)*(COUNTIF(CONFIG_ASIGNATURAS!$B$7:$B$27,nASIG)&gt;0)*1),"")))</f>
        <v/>
      </c>
      <c r="N106" t="str">
        <f>IF(M106="","",IF(M106="[FÓRMULA MANUAL]","",IFERROR(AVERAGEIFS(nNOTA,nNIA,M106,nCUENTA,1,nASIG,"Armonía"),"")))</f>
        <v/>
      </c>
      <c r="O106" t="str">
        <f>IF(M106="","",IF(M106="[FÓRMULA MANUAL]","",IFERROR(AVERAGEIFS(nNOTA,nNIA,M106,nCUENTA,1,nASIG,"Orquesta/Banda/Conjunto"),"")))</f>
        <v/>
      </c>
      <c r="P106" t="str">
        <f>IF(M106="","",IF(M106="[FÓRMULA MANUAL]","",IFERROR(AVERAGEIFS(nNOTA,nNIA,M106,nCUENTA,1,nASIG,"Música de Cámara"),"")))</f>
        <v/>
      </c>
      <c r="Q106" t="str">
        <f>IF(M106="","",IF(M106="[FÓRMULA MANUAL]","",IFERROR(SUMPRODUCT((nNIA=M106)*(nCUENTA=1)*(COUNTIF(CONFIG_ASIGNATURAS!$B$7:$B$27,nASIG)&gt;0)*(nNOTA))/SUMPRODUCT((nNIA=M106)*(nCUENTA=1)*(COUNTIF(CONFIG_ASIGNATURAS!$B$7:$B$27,nASIG)&gt;0)*1),"")))</f>
        <v/>
      </c>
      <c r="T106" t="str">
        <f>IF(S106="","",IF(S106="[FÓRMULA MANUAL]","",IFERROR(AVERAGEIFS(nNOTA,nNIA,S106,nCUENTA,1,nASIG,"Armonía"),"")))</f>
        <v/>
      </c>
      <c r="U106" t="str">
        <f>IF(S106="","",IF(S106="[FÓRMULA MANUAL]","",IFERROR(AVERAGEIFS(nNOTA,nNIA,S106,nCUENTA,1,nASIG,"Orquesta/Banda/Conjunto"),"")))</f>
        <v/>
      </c>
      <c r="V106" t="str">
        <f>IF(S106="","",IF(S106="[FÓRMULA MANUAL]","",IFERROR(AVERAGEIFS(nNOTA,nNIA,S106,nCUENTA,1,nASIG,"Música de Cámara"),"")))</f>
        <v/>
      </c>
      <c r="W106" t="str">
        <f>IF(S106="","",IF(S106="[FÓRMULA MANUAL]","",IFERROR(SUMPRODUCT((nNIA=S106)*(nCUENTA=1)*(COUNTIF(CONFIG_ASIGNATURAS!$B$7:$B$27,nASIG)&gt;0)*(nNOTA))/SUMPRODUCT((nNIA=S106)*(nCUENTA=1)*(COUNTIF(CONFIG_ASIGNATURAS!$B$7:$B$27,nASIG)&gt;0)*1),"")))</f>
        <v/>
      </c>
      <c r="Z106" t="str">
        <f>IF(Y106="","",IF(Y106="[FÓRMULA MANUAL]","",IFERROR(AVERAGEIFS(nNOTA,nNIA,Y106,nCUENTA,1,nASIG,"Análisis"),"")))</f>
        <v/>
      </c>
      <c r="AA106" t="str">
        <f>IF(Y106="","",IF(Y106="[FÓRMULA MANUAL]","",IFERROR(AVERAGEIFS(nNOTA,nNIA,Y106,nCUENTA,1,nASIG,"Orquesta/Banda/Conjunto"),"")))</f>
        <v/>
      </c>
      <c r="AB106" t="str">
        <f>IF(Y106="","",IF(Y106="[FÓRMULA MANUAL]","",IFERROR(AVERAGEIFS(nNOTA,nNIA,Y106,nCUENTA,1,nASIG,"Música de Cámara"),"")))</f>
        <v/>
      </c>
      <c r="AC106" t="str">
        <f>IF(Y106="","",IF(Y106="[FÓRMULA MANUAL]","",IFERROR(SUMPRODUCT((nNIA=Y106)*(nCUENTA=1)*(COUNTIF(CONFIG_ASIGNATURAS!$B$7:$B$27,nASIG)&gt;0)*(nNOTA))/SUMPRODUCT((nNIA=Y106)*(nCUENTA=1)*(COUNTIF(CONFIG_ASIGNATURAS!$B$7:$B$27,nASIG)&gt;0)*1),"")))</f>
        <v/>
      </c>
      <c r="AF106" t="str">
        <f>IF(AE106="","",IF(AE106="[FÓRMULA MANUAL]","",IFERROR(AVERAGEIFS(nNOTA,nNIA,AE106,nCUENTA,1,nASIG,"Análisis"),"")))</f>
        <v/>
      </c>
      <c r="AG106" t="str">
        <f>IF(AE106="","",IF(AE106="[FÓRMULA MANUAL]","",IFERROR(AVERAGEIFS(nNOTA,nNIA,AE106,nCUENTA,1,nASIG,"Orquesta/Banda/Conjunto"),"")))</f>
        <v/>
      </c>
      <c r="AH106" t="str">
        <f>IF(AE106="","",IF(AE106="[FÓRMULA MANUAL]","",IFERROR(AVERAGEIFS(nNOTA,nNIA,AE106,nCUENTA,1,nASIG,"Música de Cámara"),"")))</f>
        <v/>
      </c>
      <c r="AI106" t="str">
        <f>IF(AE106="","",IF(AE106="[FÓRMULA MANUAL]","",IFERROR(SUMPRODUCT((nNIA=AE106)*(nCUENTA=1)*(COUNTIF(CONFIG_ASIGNATURAS!$B$7:$B$27,nASIG)&gt;0)*(nNOTA))/SUMPRODUCT((nNIA=AE106)*(nCUENTA=1)*(COUNTIF(CONFIG_ASIGNATURAS!$B$7:$B$27,nASIG)&gt;0)*1),"")))</f>
        <v/>
      </c>
    </row>
    <row r="107" spans="2:35" x14ac:dyDescent="0.2">
      <c r="B107" t="str">
        <f>IF(A107="","",IF(A107="[FÓRMULA MANUAL]","",IFERROR(AVERAGEIFS(nNOTA,nNIA,A107,nCUENTA,1,nASIG,"Lenguaje Musical"),"")))</f>
        <v/>
      </c>
      <c r="C107" t="str">
        <f>IF(A107="","",IF(A107="[FÓRMULA MANUAL]","",IFERROR(AVERAGEIFS(nNOTA,nNIA,A107,nCUENTA,1,nASIG,"Orquesta/Banda/Conjunto"),"")))</f>
        <v/>
      </c>
      <c r="D107" t="str">
        <f>IF(A107="","",IF(A107="[FÓRMULA MANUAL]","",IFERROR(AVERAGEIFS(nNOTA,nNIA,A107,nCUENTA,1,nASIG,"Conjunto"),"")))</f>
        <v/>
      </c>
      <c r="E107" t="str">
        <f>IF(A107="","",IF(A107="[FÓRMULA MANUAL]","",IFERROR(SUMPRODUCT((nNIA=A107)*(nCUENTA=1)*(COUNTIF(CONFIG_ASIGNATURAS!$B$7:$B$27,nASIG)&gt;0)*(nNOTA))/SUMPRODUCT((nNIA=A107)*(nCUENTA=1)*(COUNTIF(CONFIG_ASIGNATURAS!$B$7:$B$27,nASIG)&gt;0)*1),"")))</f>
        <v/>
      </c>
      <c r="H107" t="str">
        <f>IF(G107="","",IF(G107="[FÓRMULA MANUAL]","",IFERROR(AVERAGEIFS(nNOTA,nNIA,G107,nCUENTA,1,nASIG,"Lenguaje Musical"),"")))</f>
        <v/>
      </c>
      <c r="I107" t="str">
        <f>IF(G107="","",IF(G107="[FÓRMULA MANUAL]","",IFERROR(AVERAGEIFS(nNOTA,nNIA,G107,nCUENTA,1,nASIG,"Orquesta/Banda/Conjunto"),"")))</f>
        <v/>
      </c>
      <c r="J107" t="str">
        <f>IF(G107="","",IF(G107="[FÓRMULA MANUAL]","",IFERROR(AVERAGEIFS(nNOTA,nNIA,G107,nCUENTA,1,nASIG,"Conjunto"),"")))</f>
        <v/>
      </c>
      <c r="K107" t="str">
        <f>IF(G107="","",IF(G107="[FÓRMULA MANUAL]","",IFERROR(SUMPRODUCT((nNIA=G107)*(nCUENTA=1)*(COUNTIF(CONFIG_ASIGNATURAS!$B$7:$B$27,nASIG)&gt;0)*(nNOTA))/SUMPRODUCT((nNIA=G107)*(nCUENTA=1)*(COUNTIF(CONFIG_ASIGNATURAS!$B$7:$B$27,nASIG)&gt;0)*1),"")))</f>
        <v/>
      </c>
      <c r="N107" t="str">
        <f>IF(M107="","",IF(M107="[FÓRMULA MANUAL]","",IFERROR(AVERAGEIFS(nNOTA,nNIA,M107,nCUENTA,1,nASIG,"Armonía"),"")))</f>
        <v/>
      </c>
      <c r="O107" t="str">
        <f>IF(M107="","",IF(M107="[FÓRMULA MANUAL]","",IFERROR(AVERAGEIFS(nNOTA,nNIA,M107,nCUENTA,1,nASIG,"Orquesta/Banda/Conjunto"),"")))</f>
        <v/>
      </c>
      <c r="P107" t="str">
        <f>IF(M107="","",IF(M107="[FÓRMULA MANUAL]","",IFERROR(AVERAGEIFS(nNOTA,nNIA,M107,nCUENTA,1,nASIG,"Música de Cámara"),"")))</f>
        <v/>
      </c>
      <c r="Q107" t="str">
        <f>IF(M107="","",IF(M107="[FÓRMULA MANUAL]","",IFERROR(SUMPRODUCT((nNIA=M107)*(nCUENTA=1)*(COUNTIF(CONFIG_ASIGNATURAS!$B$7:$B$27,nASIG)&gt;0)*(nNOTA))/SUMPRODUCT((nNIA=M107)*(nCUENTA=1)*(COUNTIF(CONFIG_ASIGNATURAS!$B$7:$B$27,nASIG)&gt;0)*1),"")))</f>
        <v/>
      </c>
      <c r="T107" t="str">
        <f>IF(S107="","",IF(S107="[FÓRMULA MANUAL]","",IFERROR(AVERAGEIFS(nNOTA,nNIA,S107,nCUENTA,1,nASIG,"Armonía"),"")))</f>
        <v/>
      </c>
      <c r="U107" t="str">
        <f>IF(S107="","",IF(S107="[FÓRMULA MANUAL]","",IFERROR(AVERAGEIFS(nNOTA,nNIA,S107,nCUENTA,1,nASIG,"Orquesta/Banda/Conjunto"),"")))</f>
        <v/>
      </c>
      <c r="V107" t="str">
        <f>IF(S107="","",IF(S107="[FÓRMULA MANUAL]","",IFERROR(AVERAGEIFS(nNOTA,nNIA,S107,nCUENTA,1,nASIG,"Música de Cámara"),"")))</f>
        <v/>
      </c>
      <c r="W107" t="str">
        <f>IF(S107="","",IF(S107="[FÓRMULA MANUAL]","",IFERROR(SUMPRODUCT((nNIA=S107)*(nCUENTA=1)*(COUNTIF(CONFIG_ASIGNATURAS!$B$7:$B$27,nASIG)&gt;0)*(nNOTA))/SUMPRODUCT((nNIA=S107)*(nCUENTA=1)*(COUNTIF(CONFIG_ASIGNATURAS!$B$7:$B$27,nASIG)&gt;0)*1),"")))</f>
        <v/>
      </c>
      <c r="Z107" t="str">
        <f>IF(Y107="","",IF(Y107="[FÓRMULA MANUAL]","",IFERROR(AVERAGEIFS(nNOTA,nNIA,Y107,nCUENTA,1,nASIG,"Análisis"),"")))</f>
        <v/>
      </c>
      <c r="AA107" t="str">
        <f>IF(Y107="","",IF(Y107="[FÓRMULA MANUAL]","",IFERROR(AVERAGEIFS(nNOTA,nNIA,Y107,nCUENTA,1,nASIG,"Orquesta/Banda/Conjunto"),"")))</f>
        <v/>
      </c>
      <c r="AB107" t="str">
        <f>IF(Y107="","",IF(Y107="[FÓRMULA MANUAL]","",IFERROR(AVERAGEIFS(nNOTA,nNIA,Y107,nCUENTA,1,nASIG,"Música de Cámara"),"")))</f>
        <v/>
      </c>
      <c r="AC107" t="str">
        <f>IF(Y107="","",IF(Y107="[FÓRMULA MANUAL]","",IFERROR(SUMPRODUCT((nNIA=Y107)*(nCUENTA=1)*(COUNTIF(CONFIG_ASIGNATURAS!$B$7:$B$27,nASIG)&gt;0)*(nNOTA))/SUMPRODUCT((nNIA=Y107)*(nCUENTA=1)*(COUNTIF(CONFIG_ASIGNATURAS!$B$7:$B$27,nASIG)&gt;0)*1),"")))</f>
        <v/>
      </c>
      <c r="AF107" t="str">
        <f>IF(AE107="","",IF(AE107="[FÓRMULA MANUAL]","",IFERROR(AVERAGEIFS(nNOTA,nNIA,AE107,nCUENTA,1,nASIG,"Análisis"),"")))</f>
        <v/>
      </c>
      <c r="AG107" t="str">
        <f>IF(AE107="","",IF(AE107="[FÓRMULA MANUAL]","",IFERROR(AVERAGEIFS(nNOTA,nNIA,AE107,nCUENTA,1,nASIG,"Orquesta/Banda/Conjunto"),"")))</f>
        <v/>
      </c>
      <c r="AH107" t="str">
        <f>IF(AE107="","",IF(AE107="[FÓRMULA MANUAL]","",IFERROR(AVERAGEIFS(nNOTA,nNIA,AE107,nCUENTA,1,nASIG,"Música de Cámara"),"")))</f>
        <v/>
      </c>
      <c r="AI107" t="str">
        <f>IF(AE107="","",IF(AE107="[FÓRMULA MANUAL]","",IFERROR(SUMPRODUCT((nNIA=AE107)*(nCUENTA=1)*(COUNTIF(CONFIG_ASIGNATURAS!$B$7:$B$27,nASIG)&gt;0)*(nNOTA))/SUMPRODUCT((nNIA=AE107)*(nCUENTA=1)*(COUNTIF(CONFIG_ASIGNATURAS!$B$7:$B$27,nASIG)&gt;0)*1),"")))</f>
        <v/>
      </c>
    </row>
    <row r="108" spans="2:35" x14ac:dyDescent="0.2">
      <c r="B108" t="str">
        <f>IF(A108="","",IF(A108="[FÓRMULA MANUAL]","",IFERROR(AVERAGEIFS(nNOTA,nNIA,A108,nCUENTA,1,nASIG,"Lenguaje Musical"),"")))</f>
        <v/>
      </c>
      <c r="C108" t="str">
        <f>IF(A108="","",IF(A108="[FÓRMULA MANUAL]","",IFERROR(AVERAGEIFS(nNOTA,nNIA,A108,nCUENTA,1,nASIG,"Orquesta/Banda/Conjunto"),"")))</f>
        <v/>
      </c>
      <c r="D108" t="str">
        <f>IF(A108="","",IF(A108="[FÓRMULA MANUAL]","",IFERROR(AVERAGEIFS(nNOTA,nNIA,A108,nCUENTA,1,nASIG,"Conjunto"),"")))</f>
        <v/>
      </c>
      <c r="E108" t="str">
        <f>IF(A108="","",IF(A108="[FÓRMULA MANUAL]","",IFERROR(SUMPRODUCT((nNIA=A108)*(nCUENTA=1)*(COUNTIF(CONFIG_ASIGNATURAS!$B$7:$B$27,nASIG)&gt;0)*(nNOTA))/SUMPRODUCT((nNIA=A108)*(nCUENTA=1)*(COUNTIF(CONFIG_ASIGNATURAS!$B$7:$B$27,nASIG)&gt;0)*1),"")))</f>
        <v/>
      </c>
      <c r="H108" t="str">
        <f>IF(G108="","",IF(G108="[FÓRMULA MANUAL]","",IFERROR(AVERAGEIFS(nNOTA,nNIA,G108,nCUENTA,1,nASIG,"Lenguaje Musical"),"")))</f>
        <v/>
      </c>
      <c r="I108" t="str">
        <f>IF(G108="","",IF(G108="[FÓRMULA MANUAL]","",IFERROR(AVERAGEIFS(nNOTA,nNIA,G108,nCUENTA,1,nASIG,"Orquesta/Banda/Conjunto"),"")))</f>
        <v/>
      </c>
      <c r="J108" t="str">
        <f>IF(G108="","",IF(G108="[FÓRMULA MANUAL]","",IFERROR(AVERAGEIFS(nNOTA,nNIA,G108,nCUENTA,1,nASIG,"Conjunto"),"")))</f>
        <v/>
      </c>
      <c r="K108" t="str">
        <f>IF(G108="","",IF(G108="[FÓRMULA MANUAL]","",IFERROR(SUMPRODUCT((nNIA=G108)*(nCUENTA=1)*(COUNTIF(CONFIG_ASIGNATURAS!$B$7:$B$27,nASIG)&gt;0)*(nNOTA))/SUMPRODUCT((nNIA=G108)*(nCUENTA=1)*(COUNTIF(CONFIG_ASIGNATURAS!$B$7:$B$27,nASIG)&gt;0)*1),"")))</f>
        <v/>
      </c>
      <c r="N108" t="str">
        <f>IF(M108="","",IF(M108="[FÓRMULA MANUAL]","",IFERROR(AVERAGEIFS(nNOTA,nNIA,M108,nCUENTA,1,nASIG,"Armonía"),"")))</f>
        <v/>
      </c>
      <c r="O108" t="str">
        <f>IF(M108="","",IF(M108="[FÓRMULA MANUAL]","",IFERROR(AVERAGEIFS(nNOTA,nNIA,M108,nCUENTA,1,nASIG,"Orquesta/Banda/Conjunto"),"")))</f>
        <v/>
      </c>
      <c r="P108" t="str">
        <f>IF(M108="","",IF(M108="[FÓRMULA MANUAL]","",IFERROR(AVERAGEIFS(nNOTA,nNIA,M108,nCUENTA,1,nASIG,"Música de Cámara"),"")))</f>
        <v/>
      </c>
      <c r="Q108" t="str">
        <f>IF(M108="","",IF(M108="[FÓRMULA MANUAL]","",IFERROR(SUMPRODUCT((nNIA=M108)*(nCUENTA=1)*(COUNTIF(CONFIG_ASIGNATURAS!$B$7:$B$27,nASIG)&gt;0)*(nNOTA))/SUMPRODUCT((nNIA=M108)*(nCUENTA=1)*(COUNTIF(CONFIG_ASIGNATURAS!$B$7:$B$27,nASIG)&gt;0)*1),"")))</f>
        <v/>
      </c>
      <c r="T108" t="str">
        <f>IF(S108="","",IF(S108="[FÓRMULA MANUAL]","",IFERROR(AVERAGEIFS(nNOTA,nNIA,S108,nCUENTA,1,nASIG,"Armonía"),"")))</f>
        <v/>
      </c>
      <c r="U108" t="str">
        <f>IF(S108="","",IF(S108="[FÓRMULA MANUAL]","",IFERROR(AVERAGEIFS(nNOTA,nNIA,S108,nCUENTA,1,nASIG,"Orquesta/Banda/Conjunto"),"")))</f>
        <v/>
      </c>
      <c r="V108" t="str">
        <f>IF(S108="","",IF(S108="[FÓRMULA MANUAL]","",IFERROR(AVERAGEIFS(nNOTA,nNIA,S108,nCUENTA,1,nASIG,"Música de Cámara"),"")))</f>
        <v/>
      </c>
      <c r="W108" t="str">
        <f>IF(S108="","",IF(S108="[FÓRMULA MANUAL]","",IFERROR(SUMPRODUCT((nNIA=S108)*(nCUENTA=1)*(COUNTIF(CONFIG_ASIGNATURAS!$B$7:$B$27,nASIG)&gt;0)*(nNOTA))/SUMPRODUCT((nNIA=S108)*(nCUENTA=1)*(COUNTIF(CONFIG_ASIGNATURAS!$B$7:$B$27,nASIG)&gt;0)*1),"")))</f>
        <v/>
      </c>
      <c r="Z108" t="str">
        <f>IF(Y108="","",IF(Y108="[FÓRMULA MANUAL]","",IFERROR(AVERAGEIFS(nNOTA,nNIA,Y108,nCUENTA,1,nASIG,"Análisis"),"")))</f>
        <v/>
      </c>
      <c r="AA108" t="str">
        <f>IF(Y108="","",IF(Y108="[FÓRMULA MANUAL]","",IFERROR(AVERAGEIFS(nNOTA,nNIA,Y108,nCUENTA,1,nASIG,"Orquesta/Banda/Conjunto"),"")))</f>
        <v/>
      </c>
      <c r="AB108" t="str">
        <f>IF(Y108="","",IF(Y108="[FÓRMULA MANUAL]","",IFERROR(AVERAGEIFS(nNOTA,nNIA,Y108,nCUENTA,1,nASIG,"Música de Cámara"),"")))</f>
        <v/>
      </c>
      <c r="AC108" t="str">
        <f>IF(Y108="","",IF(Y108="[FÓRMULA MANUAL]","",IFERROR(SUMPRODUCT((nNIA=Y108)*(nCUENTA=1)*(COUNTIF(CONFIG_ASIGNATURAS!$B$7:$B$27,nASIG)&gt;0)*(nNOTA))/SUMPRODUCT((nNIA=Y108)*(nCUENTA=1)*(COUNTIF(CONFIG_ASIGNATURAS!$B$7:$B$27,nASIG)&gt;0)*1),"")))</f>
        <v/>
      </c>
      <c r="AF108" t="str">
        <f>IF(AE108="","",IF(AE108="[FÓRMULA MANUAL]","",IFERROR(AVERAGEIFS(nNOTA,nNIA,AE108,nCUENTA,1,nASIG,"Análisis"),"")))</f>
        <v/>
      </c>
      <c r="AG108" t="str">
        <f>IF(AE108="","",IF(AE108="[FÓRMULA MANUAL]","",IFERROR(AVERAGEIFS(nNOTA,nNIA,AE108,nCUENTA,1,nASIG,"Orquesta/Banda/Conjunto"),"")))</f>
        <v/>
      </c>
      <c r="AH108" t="str">
        <f>IF(AE108="","",IF(AE108="[FÓRMULA MANUAL]","",IFERROR(AVERAGEIFS(nNOTA,nNIA,AE108,nCUENTA,1,nASIG,"Música de Cámara"),"")))</f>
        <v/>
      </c>
      <c r="AI108" t="str">
        <f>IF(AE108="","",IF(AE108="[FÓRMULA MANUAL]","",IFERROR(SUMPRODUCT((nNIA=AE108)*(nCUENTA=1)*(COUNTIF(CONFIG_ASIGNATURAS!$B$7:$B$27,nASIG)&gt;0)*(nNOTA))/SUMPRODUCT((nNIA=AE108)*(nCUENTA=1)*(COUNTIF(CONFIG_ASIGNATURAS!$B$7:$B$27,nASIG)&gt;0)*1),"")))</f>
        <v/>
      </c>
    </row>
    <row r="109" spans="2:35" x14ac:dyDescent="0.2">
      <c r="B109" t="str">
        <f>IF(A109="","",IF(A109="[FÓRMULA MANUAL]","",IFERROR(AVERAGEIFS(nNOTA,nNIA,A109,nCUENTA,1,nASIG,"Lenguaje Musical"),"")))</f>
        <v/>
      </c>
      <c r="C109" t="str">
        <f>IF(A109="","",IF(A109="[FÓRMULA MANUAL]","",IFERROR(AVERAGEIFS(nNOTA,nNIA,A109,nCUENTA,1,nASIG,"Orquesta/Banda/Conjunto"),"")))</f>
        <v/>
      </c>
      <c r="D109" t="str">
        <f>IF(A109="","",IF(A109="[FÓRMULA MANUAL]","",IFERROR(AVERAGEIFS(nNOTA,nNIA,A109,nCUENTA,1,nASIG,"Conjunto"),"")))</f>
        <v/>
      </c>
      <c r="E109" t="str">
        <f>IF(A109="","",IF(A109="[FÓRMULA MANUAL]","",IFERROR(SUMPRODUCT((nNIA=A109)*(nCUENTA=1)*(COUNTIF(CONFIG_ASIGNATURAS!$B$7:$B$27,nASIG)&gt;0)*(nNOTA))/SUMPRODUCT((nNIA=A109)*(nCUENTA=1)*(COUNTIF(CONFIG_ASIGNATURAS!$B$7:$B$27,nASIG)&gt;0)*1),"")))</f>
        <v/>
      </c>
      <c r="H109" t="str">
        <f>IF(G109="","",IF(G109="[FÓRMULA MANUAL]","",IFERROR(AVERAGEIFS(nNOTA,nNIA,G109,nCUENTA,1,nASIG,"Lenguaje Musical"),"")))</f>
        <v/>
      </c>
      <c r="I109" t="str">
        <f>IF(G109="","",IF(G109="[FÓRMULA MANUAL]","",IFERROR(AVERAGEIFS(nNOTA,nNIA,G109,nCUENTA,1,nASIG,"Orquesta/Banda/Conjunto"),"")))</f>
        <v/>
      </c>
      <c r="J109" t="str">
        <f>IF(G109="","",IF(G109="[FÓRMULA MANUAL]","",IFERROR(AVERAGEIFS(nNOTA,nNIA,G109,nCUENTA,1,nASIG,"Conjunto"),"")))</f>
        <v/>
      </c>
      <c r="K109" t="str">
        <f>IF(G109="","",IF(G109="[FÓRMULA MANUAL]","",IFERROR(SUMPRODUCT((nNIA=G109)*(nCUENTA=1)*(COUNTIF(CONFIG_ASIGNATURAS!$B$7:$B$27,nASIG)&gt;0)*(nNOTA))/SUMPRODUCT((nNIA=G109)*(nCUENTA=1)*(COUNTIF(CONFIG_ASIGNATURAS!$B$7:$B$27,nASIG)&gt;0)*1),"")))</f>
        <v/>
      </c>
      <c r="N109" t="str">
        <f>IF(M109="","",IF(M109="[FÓRMULA MANUAL]","",IFERROR(AVERAGEIFS(nNOTA,nNIA,M109,nCUENTA,1,nASIG,"Armonía"),"")))</f>
        <v/>
      </c>
      <c r="O109" t="str">
        <f>IF(M109="","",IF(M109="[FÓRMULA MANUAL]","",IFERROR(AVERAGEIFS(nNOTA,nNIA,M109,nCUENTA,1,nASIG,"Orquesta/Banda/Conjunto"),"")))</f>
        <v/>
      </c>
      <c r="P109" t="str">
        <f>IF(M109="","",IF(M109="[FÓRMULA MANUAL]","",IFERROR(AVERAGEIFS(nNOTA,nNIA,M109,nCUENTA,1,nASIG,"Música de Cámara"),"")))</f>
        <v/>
      </c>
      <c r="Q109" t="str">
        <f>IF(M109="","",IF(M109="[FÓRMULA MANUAL]","",IFERROR(SUMPRODUCT((nNIA=M109)*(nCUENTA=1)*(COUNTIF(CONFIG_ASIGNATURAS!$B$7:$B$27,nASIG)&gt;0)*(nNOTA))/SUMPRODUCT((nNIA=M109)*(nCUENTA=1)*(COUNTIF(CONFIG_ASIGNATURAS!$B$7:$B$27,nASIG)&gt;0)*1),"")))</f>
        <v/>
      </c>
      <c r="T109" t="str">
        <f>IF(S109="","",IF(S109="[FÓRMULA MANUAL]","",IFERROR(AVERAGEIFS(nNOTA,nNIA,S109,nCUENTA,1,nASIG,"Armonía"),"")))</f>
        <v/>
      </c>
      <c r="U109" t="str">
        <f>IF(S109="","",IF(S109="[FÓRMULA MANUAL]","",IFERROR(AVERAGEIFS(nNOTA,nNIA,S109,nCUENTA,1,nASIG,"Orquesta/Banda/Conjunto"),"")))</f>
        <v/>
      </c>
      <c r="V109" t="str">
        <f>IF(S109="","",IF(S109="[FÓRMULA MANUAL]","",IFERROR(AVERAGEIFS(nNOTA,nNIA,S109,nCUENTA,1,nASIG,"Música de Cámara"),"")))</f>
        <v/>
      </c>
      <c r="W109" t="str">
        <f>IF(S109="","",IF(S109="[FÓRMULA MANUAL]","",IFERROR(SUMPRODUCT((nNIA=S109)*(nCUENTA=1)*(COUNTIF(CONFIG_ASIGNATURAS!$B$7:$B$27,nASIG)&gt;0)*(nNOTA))/SUMPRODUCT((nNIA=S109)*(nCUENTA=1)*(COUNTIF(CONFIG_ASIGNATURAS!$B$7:$B$27,nASIG)&gt;0)*1),"")))</f>
        <v/>
      </c>
      <c r="Z109" t="str">
        <f>IF(Y109="","",IF(Y109="[FÓRMULA MANUAL]","",IFERROR(AVERAGEIFS(nNOTA,nNIA,Y109,nCUENTA,1,nASIG,"Análisis"),"")))</f>
        <v/>
      </c>
      <c r="AA109" t="str">
        <f>IF(Y109="","",IF(Y109="[FÓRMULA MANUAL]","",IFERROR(AVERAGEIFS(nNOTA,nNIA,Y109,nCUENTA,1,nASIG,"Orquesta/Banda/Conjunto"),"")))</f>
        <v/>
      </c>
      <c r="AB109" t="str">
        <f>IF(Y109="","",IF(Y109="[FÓRMULA MANUAL]","",IFERROR(AVERAGEIFS(nNOTA,nNIA,Y109,nCUENTA,1,nASIG,"Música de Cámara"),"")))</f>
        <v/>
      </c>
      <c r="AC109" t="str">
        <f>IF(Y109="","",IF(Y109="[FÓRMULA MANUAL]","",IFERROR(SUMPRODUCT((nNIA=Y109)*(nCUENTA=1)*(COUNTIF(CONFIG_ASIGNATURAS!$B$7:$B$27,nASIG)&gt;0)*(nNOTA))/SUMPRODUCT((nNIA=Y109)*(nCUENTA=1)*(COUNTIF(CONFIG_ASIGNATURAS!$B$7:$B$27,nASIG)&gt;0)*1),"")))</f>
        <v/>
      </c>
      <c r="AF109" t="str">
        <f>IF(AE109="","",IF(AE109="[FÓRMULA MANUAL]","",IFERROR(AVERAGEIFS(nNOTA,nNIA,AE109,nCUENTA,1,nASIG,"Análisis"),"")))</f>
        <v/>
      </c>
      <c r="AG109" t="str">
        <f>IF(AE109="","",IF(AE109="[FÓRMULA MANUAL]","",IFERROR(AVERAGEIFS(nNOTA,nNIA,AE109,nCUENTA,1,nASIG,"Orquesta/Banda/Conjunto"),"")))</f>
        <v/>
      </c>
      <c r="AH109" t="str">
        <f>IF(AE109="","",IF(AE109="[FÓRMULA MANUAL]","",IFERROR(AVERAGEIFS(nNOTA,nNIA,AE109,nCUENTA,1,nASIG,"Música de Cámara"),"")))</f>
        <v/>
      </c>
      <c r="AI109" t="str">
        <f>IF(AE109="","",IF(AE109="[FÓRMULA MANUAL]","",IFERROR(SUMPRODUCT((nNIA=AE109)*(nCUENTA=1)*(COUNTIF(CONFIG_ASIGNATURAS!$B$7:$B$27,nASIG)&gt;0)*(nNOTA))/SUMPRODUCT((nNIA=AE109)*(nCUENTA=1)*(COUNTIF(CONFIG_ASIGNATURAS!$B$7:$B$27,nASIG)&gt;0)*1),"")))</f>
        <v/>
      </c>
    </row>
    <row r="110" spans="2:35" x14ac:dyDescent="0.2">
      <c r="B110" t="str">
        <f>IF(A110="","",IF(A110="[FÓRMULA MANUAL]","",IFERROR(AVERAGEIFS(nNOTA,nNIA,A110,nCUENTA,1,nASIG,"Lenguaje Musical"),"")))</f>
        <v/>
      </c>
      <c r="C110" t="str">
        <f>IF(A110="","",IF(A110="[FÓRMULA MANUAL]","",IFERROR(AVERAGEIFS(nNOTA,nNIA,A110,nCUENTA,1,nASIG,"Orquesta/Banda/Conjunto"),"")))</f>
        <v/>
      </c>
      <c r="D110" t="str">
        <f>IF(A110="","",IF(A110="[FÓRMULA MANUAL]","",IFERROR(AVERAGEIFS(nNOTA,nNIA,A110,nCUENTA,1,nASIG,"Conjunto"),"")))</f>
        <v/>
      </c>
      <c r="E110" t="str">
        <f>IF(A110="","",IF(A110="[FÓRMULA MANUAL]","",IFERROR(SUMPRODUCT((nNIA=A110)*(nCUENTA=1)*(COUNTIF(CONFIG_ASIGNATURAS!$B$7:$B$27,nASIG)&gt;0)*(nNOTA))/SUMPRODUCT((nNIA=A110)*(nCUENTA=1)*(COUNTIF(CONFIG_ASIGNATURAS!$B$7:$B$27,nASIG)&gt;0)*1),"")))</f>
        <v/>
      </c>
      <c r="H110" t="str">
        <f>IF(G110="","",IF(G110="[FÓRMULA MANUAL]","",IFERROR(AVERAGEIFS(nNOTA,nNIA,G110,nCUENTA,1,nASIG,"Lenguaje Musical"),"")))</f>
        <v/>
      </c>
      <c r="I110" t="str">
        <f>IF(G110="","",IF(G110="[FÓRMULA MANUAL]","",IFERROR(AVERAGEIFS(nNOTA,nNIA,G110,nCUENTA,1,nASIG,"Orquesta/Banda/Conjunto"),"")))</f>
        <v/>
      </c>
      <c r="J110" t="str">
        <f>IF(G110="","",IF(G110="[FÓRMULA MANUAL]","",IFERROR(AVERAGEIFS(nNOTA,nNIA,G110,nCUENTA,1,nASIG,"Conjunto"),"")))</f>
        <v/>
      </c>
      <c r="K110" t="str">
        <f>IF(G110="","",IF(G110="[FÓRMULA MANUAL]","",IFERROR(SUMPRODUCT((nNIA=G110)*(nCUENTA=1)*(COUNTIF(CONFIG_ASIGNATURAS!$B$7:$B$27,nASIG)&gt;0)*(nNOTA))/SUMPRODUCT((nNIA=G110)*(nCUENTA=1)*(COUNTIF(CONFIG_ASIGNATURAS!$B$7:$B$27,nASIG)&gt;0)*1),"")))</f>
        <v/>
      </c>
      <c r="N110" t="str">
        <f>IF(M110="","",IF(M110="[FÓRMULA MANUAL]","",IFERROR(AVERAGEIFS(nNOTA,nNIA,M110,nCUENTA,1,nASIG,"Armonía"),"")))</f>
        <v/>
      </c>
      <c r="O110" t="str">
        <f>IF(M110="","",IF(M110="[FÓRMULA MANUAL]","",IFERROR(AVERAGEIFS(nNOTA,nNIA,M110,nCUENTA,1,nASIG,"Orquesta/Banda/Conjunto"),"")))</f>
        <v/>
      </c>
      <c r="P110" t="str">
        <f>IF(M110="","",IF(M110="[FÓRMULA MANUAL]","",IFERROR(AVERAGEIFS(nNOTA,nNIA,M110,nCUENTA,1,nASIG,"Música de Cámara"),"")))</f>
        <v/>
      </c>
      <c r="Q110" t="str">
        <f>IF(M110="","",IF(M110="[FÓRMULA MANUAL]","",IFERROR(SUMPRODUCT((nNIA=M110)*(nCUENTA=1)*(COUNTIF(CONFIG_ASIGNATURAS!$B$7:$B$27,nASIG)&gt;0)*(nNOTA))/SUMPRODUCT((nNIA=M110)*(nCUENTA=1)*(COUNTIF(CONFIG_ASIGNATURAS!$B$7:$B$27,nASIG)&gt;0)*1),"")))</f>
        <v/>
      </c>
      <c r="T110" t="str">
        <f>IF(S110="","",IF(S110="[FÓRMULA MANUAL]","",IFERROR(AVERAGEIFS(nNOTA,nNIA,S110,nCUENTA,1,nASIG,"Armonía"),"")))</f>
        <v/>
      </c>
      <c r="U110" t="str">
        <f>IF(S110="","",IF(S110="[FÓRMULA MANUAL]","",IFERROR(AVERAGEIFS(nNOTA,nNIA,S110,nCUENTA,1,nASIG,"Orquesta/Banda/Conjunto"),"")))</f>
        <v/>
      </c>
      <c r="V110" t="str">
        <f>IF(S110="","",IF(S110="[FÓRMULA MANUAL]","",IFERROR(AVERAGEIFS(nNOTA,nNIA,S110,nCUENTA,1,nASIG,"Música de Cámara"),"")))</f>
        <v/>
      </c>
      <c r="W110" t="str">
        <f>IF(S110="","",IF(S110="[FÓRMULA MANUAL]","",IFERROR(SUMPRODUCT((nNIA=S110)*(nCUENTA=1)*(COUNTIF(CONFIG_ASIGNATURAS!$B$7:$B$27,nASIG)&gt;0)*(nNOTA))/SUMPRODUCT((nNIA=S110)*(nCUENTA=1)*(COUNTIF(CONFIG_ASIGNATURAS!$B$7:$B$27,nASIG)&gt;0)*1),"")))</f>
        <v/>
      </c>
      <c r="Z110" t="str">
        <f>IF(Y110="","",IF(Y110="[FÓRMULA MANUAL]","",IFERROR(AVERAGEIFS(nNOTA,nNIA,Y110,nCUENTA,1,nASIG,"Análisis"),"")))</f>
        <v/>
      </c>
      <c r="AA110" t="str">
        <f>IF(Y110="","",IF(Y110="[FÓRMULA MANUAL]","",IFERROR(AVERAGEIFS(nNOTA,nNIA,Y110,nCUENTA,1,nASIG,"Orquesta/Banda/Conjunto"),"")))</f>
        <v/>
      </c>
      <c r="AB110" t="str">
        <f>IF(Y110="","",IF(Y110="[FÓRMULA MANUAL]","",IFERROR(AVERAGEIFS(nNOTA,nNIA,Y110,nCUENTA,1,nASIG,"Música de Cámara"),"")))</f>
        <v/>
      </c>
      <c r="AC110" t="str">
        <f>IF(Y110="","",IF(Y110="[FÓRMULA MANUAL]","",IFERROR(SUMPRODUCT((nNIA=Y110)*(nCUENTA=1)*(COUNTIF(CONFIG_ASIGNATURAS!$B$7:$B$27,nASIG)&gt;0)*(nNOTA))/SUMPRODUCT((nNIA=Y110)*(nCUENTA=1)*(COUNTIF(CONFIG_ASIGNATURAS!$B$7:$B$27,nASIG)&gt;0)*1),"")))</f>
        <v/>
      </c>
      <c r="AF110" t="str">
        <f>IF(AE110="","",IF(AE110="[FÓRMULA MANUAL]","",IFERROR(AVERAGEIFS(nNOTA,nNIA,AE110,nCUENTA,1,nASIG,"Análisis"),"")))</f>
        <v/>
      </c>
      <c r="AG110" t="str">
        <f>IF(AE110="","",IF(AE110="[FÓRMULA MANUAL]","",IFERROR(AVERAGEIFS(nNOTA,nNIA,AE110,nCUENTA,1,nASIG,"Orquesta/Banda/Conjunto"),"")))</f>
        <v/>
      </c>
      <c r="AH110" t="str">
        <f>IF(AE110="","",IF(AE110="[FÓRMULA MANUAL]","",IFERROR(AVERAGEIFS(nNOTA,nNIA,AE110,nCUENTA,1,nASIG,"Música de Cámara"),"")))</f>
        <v/>
      </c>
      <c r="AI110" t="str">
        <f>IF(AE110="","",IF(AE110="[FÓRMULA MANUAL]","",IFERROR(SUMPRODUCT((nNIA=AE110)*(nCUENTA=1)*(COUNTIF(CONFIG_ASIGNATURAS!$B$7:$B$27,nASIG)&gt;0)*(nNOTA))/SUMPRODUCT((nNIA=AE110)*(nCUENTA=1)*(COUNTIF(CONFIG_ASIGNATURAS!$B$7:$B$27,nASIG)&gt;0)*1),"")))</f>
        <v/>
      </c>
    </row>
    <row r="111" spans="2:35" x14ac:dyDescent="0.2">
      <c r="B111" t="str">
        <f>IF(A111="","",IF(A111="[FÓRMULA MANUAL]","",IFERROR(AVERAGEIFS(nNOTA,nNIA,A111,nCUENTA,1,nASIG,"Lenguaje Musical"),"")))</f>
        <v/>
      </c>
      <c r="C111" t="str">
        <f>IF(A111="","",IF(A111="[FÓRMULA MANUAL]","",IFERROR(AVERAGEIFS(nNOTA,nNIA,A111,nCUENTA,1,nASIG,"Orquesta/Banda/Conjunto"),"")))</f>
        <v/>
      </c>
      <c r="D111" t="str">
        <f>IF(A111="","",IF(A111="[FÓRMULA MANUAL]","",IFERROR(AVERAGEIFS(nNOTA,nNIA,A111,nCUENTA,1,nASIG,"Conjunto"),"")))</f>
        <v/>
      </c>
      <c r="E111" t="str">
        <f>IF(A111="","",IF(A111="[FÓRMULA MANUAL]","",IFERROR(SUMPRODUCT((nNIA=A111)*(nCUENTA=1)*(COUNTIF(CONFIG_ASIGNATURAS!$B$7:$B$27,nASIG)&gt;0)*(nNOTA))/SUMPRODUCT((nNIA=A111)*(nCUENTA=1)*(COUNTIF(CONFIG_ASIGNATURAS!$B$7:$B$27,nASIG)&gt;0)*1),"")))</f>
        <v/>
      </c>
      <c r="H111" t="str">
        <f>IF(G111="","",IF(G111="[FÓRMULA MANUAL]","",IFERROR(AVERAGEIFS(nNOTA,nNIA,G111,nCUENTA,1,nASIG,"Lenguaje Musical"),"")))</f>
        <v/>
      </c>
      <c r="I111" t="str">
        <f>IF(G111="","",IF(G111="[FÓRMULA MANUAL]","",IFERROR(AVERAGEIFS(nNOTA,nNIA,G111,nCUENTA,1,nASIG,"Orquesta/Banda/Conjunto"),"")))</f>
        <v/>
      </c>
      <c r="J111" t="str">
        <f>IF(G111="","",IF(G111="[FÓRMULA MANUAL]","",IFERROR(AVERAGEIFS(nNOTA,nNIA,G111,nCUENTA,1,nASIG,"Conjunto"),"")))</f>
        <v/>
      </c>
      <c r="K111" t="str">
        <f>IF(G111="","",IF(G111="[FÓRMULA MANUAL]","",IFERROR(SUMPRODUCT((nNIA=G111)*(nCUENTA=1)*(COUNTIF(CONFIG_ASIGNATURAS!$B$7:$B$27,nASIG)&gt;0)*(nNOTA))/SUMPRODUCT((nNIA=G111)*(nCUENTA=1)*(COUNTIF(CONFIG_ASIGNATURAS!$B$7:$B$27,nASIG)&gt;0)*1),"")))</f>
        <v/>
      </c>
      <c r="N111" t="str">
        <f>IF(M111="","",IF(M111="[FÓRMULA MANUAL]","",IFERROR(AVERAGEIFS(nNOTA,nNIA,M111,nCUENTA,1,nASIG,"Armonía"),"")))</f>
        <v/>
      </c>
      <c r="O111" t="str">
        <f>IF(M111="","",IF(M111="[FÓRMULA MANUAL]","",IFERROR(AVERAGEIFS(nNOTA,nNIA,M111,nCUENTA,1,nASIG,"Orquesta/Banda/Conjunto"),"")))</f>
        <v/>
      </c>
      <c r="P111" t="str">
        <f>IF(M111="","",IF(M111="[FÓRMULA MANUAL]","",IFERROR(AVERAGEIFS(nNOTA,nNIA,M111,nCUENTA,1,nASIG,"Música de Cámara"),"")))</f>
        <v/>
      </c>
      <c r="Q111" t="str">
        <f>IF(M111="","",IF(M111="[FÓRMULA MANUAL]","",IFERROR(SUMPRODUCT((nNIA=M111)*(nCUENTA=1)*(COUNTIF(CONFIG_ASIGNATURAS!$B$7:$B$27,nASIG)&gt;0)*(nNOTA))/SUMPRODUCT((nNIA=M111)*(nCUENTA=1)*(COUNTIF(CONFIG_ASIGNATURAS!$B$7:$B$27,nASIG)&gt;0)*1),"")))</f>
        <v/>
      </c>
      <c r="T111" t="str">
        <f>IF(S111="","",IF(S111="[FÓRMULA MANUAL]","",IFERROR(AVERAGEIFS(nNOTA,nNIA,S111,nCUENTA,1,nASIG,"Armonía"),"")))</f>
        <v/>
      </c>
      <c r="U111" t="str">
        <f>IF(S111="","",IF(S111="[FÓRMULA MANUAL]","",IFERROR(AVERAGEIFS(nNOTA,nNIA,S111,nCUENTA,1,nASIG,"Orquesta/Banda/Conjunto"),"")))</f>
        <v/>
      </c>
      <c r="V111" t="str">
        <f>IF(S111="","",IF(S111="[FÓRMULA MANUAL]","",IFERROR(AVERAGEIFS(nNOTA,nNIA,S111,nCUENTA,1,nASIG,"Música de Cámara"),"")))</f>
        <v/>
      </c>
      <c r="W111" t="str">
        <f>IF(S111="","",IF(S111="[FÓRMULA MANUAL]","",IFERROR(SUMPRODUCT((nNIA=S111)*(nCUENTA=1)*(COUNTIF(CONFIG_ASIGNATURAS!$B$7:$B$27,nASIG)&gt;0)*(nNOTA))/SUMPRODUCT((nNIA=S111)*(nCUENTA=1)*(COUNTIF(CONFIG_ASIGNATURAS!$B$7:$B$27,nASIG)&gt;0)*1),"")))</f>
        <v/>
      </c>
      <c r="Z111" t="str">
        <f>IF(Y111="","",IF(Y111="[FÓRMULA MANUAL]","",IFERROR(AVERAGEIFS(nNOTA,nNIA,Y111,nCUENTA,1,nASIG,"Análisis"),"")))</f>
        <v/>
      </c>
      <c r="AA111" t="str">
        <f>IF(Y111="","",IF(Y111="[FÓRMULA MANUAL]","",IFERROR(AVERAGEIFS(nNOTA,nNIA,Y111,nCUENTA,1,nASIG,"Orquesta/Banda/Conjunto"),"")))</f>
        <v/>
      </c>
      <c r="AB111" t="str">
        <f>IF(Y111="","",IF(Y111="[FÓRMULA MANUAL]","",IFERROR(AVERAGEIFS(nNOTA,nNIA,Y111,nCUENTA,1,nASIG,"Música de Cámara"),"")))</f>
        <v/>
      </c>
      <c r="AC111" t="str">
        <f>IF(Y111="","",IF(Y111="[FÓRMULA MANUAL]","",IFERROR(SUMPRODUCT((nNIA=Y111)*(nCUENTA=1)*(COUNTIF(CONFIG_ASIGNATURAS!$B$7:$B$27,nASIG)&gt;0)*(nNOTA))/SUMPRODUCT((nNIA=Y111)*(nCUENTA=1)*(COUNTIF(CONFIG_ASIGNATURAS!$B$7:$B$27,nASIG)&gt;0)*1),"")))</f>
        <v/>
      </c>
      <c r="AF111" t="str">
        <f>IF(AE111="","",IF(AE111="[FÓRMULA MANUAL]","",IFERROR(AVERAGEIFS(nNOTA,nNIA,AE111,nCUENTA,1,nASIG,"Análisis"),"")))</f>
        <v/>
      </c>
      <c r="AG111" t="str">
        <f>IF(AE111="","",IF(AE111="[FÓRMULA MANUAL]","",IFERROR(AVERAGEIFS(nNOTA,nNIA,AE111,nCUENTA,1,nASIG,"Orquesta/Banda/Conjunto"),"")))</f>
        <v/>
      </c>
      <c r="AH111" t="str">
        <f>IF(AE111="","",IF(AE111="[FÓRMULA MANUAL]","",IFERROR(AVERAGEIFS(nNOTA,nNIA,AE111,nCUENTA,1,nASIG,"Música de Cámara"),"")))</f>
        <v/>
      </c>
      <c r="AI111" t="str">
        <f>IF(AE111="","",IF(AE111="[FÓRMULA MANUAL]","",IFERROR(SUMPRODUCT((nNIA=AE111)*(nCUENTA=1)*(COUNTIF(CONFIG_ASIGNATURAS!$B$7:$B$27,nASIG)&gt;0)*(nNOTA))/SUMPRODUCT((nNIA=AE111)*(nCUENTA=1)*(COUNTIF(CONFIG_ASIGNATURAS!$B$7:$B$27,nASIG)&gt;0)*1),"")))</f>
        <v/>
      </c>
    </row>
    <row r="112" spans="2:35" x14ac:dyDescent="0.2">
      <c r="B112" t="str">
        <f>IF(A112="","",IF(A112="[FÓRMULA MANUAL]","",IFERROR(AVERAGEIFS(nNOTA,nNIA,A112,nCUENTA,1,nASIG,"Lenguaje Musical"),"")))</f>
        <v/>
      </c>
      <c r="C112" t="str">
        <f>IF(A112="","",IF(A112="[FÓRMULA MANUAL]","",IFERROR(AVERAGEIFS(nNOTA,nNIA,A112,nCUENTA,1,nASIG,"Orquesta/Banda/Conjunto"),"")))</f>
        <v/>
      </c>
      <c r="D112" t="str">
        <f>IF(A112="","",IF(A112="[FÓRMULA MANUAL]","",IFERROR(AVERAGEIFS(nNOTA,nNIA,A112,nCUENTA,1,nASIG,"Conjunto"),"")))</f>
        <v/>
      </c>
      <c r="E112" t="str">
        <f>IF(A112="","",IF(A112="[FÓRMULA MANUAL]","",IFERROR(SUMPRODUCT((nNIA=A112)*(nCUENTA=1)*(COUNTIF(CONFIG_ASIGNATURAS!$B$7:$B$27,nASIG)&gt;0)*(nNOTA))/SUMPRODUCT((nNIA=A112)*(nCUENTA=1)*(COUNTIF(CONFIG_ASIGNATURAS!$B$7:$B$27,nASIG)&gt;0)*1),"")))</f>
        <v/>
      </c>
      <c r="H112" t="str">
        <f>IF(G112="","",IF(G112="[FÓRMULA MANUAL]","",IFERROR(AVERAGEIFS(nNOTA,nNIA,G112,nCUENTA,1,nASIG,"Lenguaje Musical"),"")))</f>
        <v/>
      </c>
      <c r="I112" t="str">
        <f>IF(G112="","",IF(G112="[FÓRMULA MANUAL]","",IFERROR(AVERAGEIFS(nNOTA,nNIA,G112,nCUENTA,1,nASIG,"Orquesta/Banda/Conjunto"),"")))</f>
        <v/>
      </c>
      <c r="J112" t="str">
        <f>IF(G112="","",IF(G112="[FÓRMULA MANUAL]","",IFERROR(AVERAGEIFS(nNOTA,nNIA,G112,nCUENTA,1,nASIG,"Conjunto"),"")))</f>
        <v/>
      </c>
      <c r="K112" t="str">
        <f>IF(G112="","",IF(G112="[FÓRMULA MANUAL]","",IFERROR(SUMPRODUCT((nNIA=G112)*(nCUENTA=1)*(COUNTIF(CONFIG_ASIGNATURAS!$B$7:$B$27,nASIG)&gt;0)*(nNOTA))/SUMPRODUCT((nNIA=G112)*(nCUENTA=1)*(COUNTIF(CONFIG_ASIGNATURAS!$B$7:$B$27,nASIG)&gt;0)*1),"")))</f>
        <v/>
      </c>
      <c r="N112" t="str">
        <f>IF(M112="","",IF(M112="[FÓRMULA MANUAL]","",IFERROR(AVERAGEIFS(nNOTA,nNIA,M112,nCUENTA,1,nASIG,"Armonía"),"")))</f>
        <v/>
      </c>
      <c r="O112" t="str">
        <f>IF(M112="","",IF(M112="[FÓRMULA MANUAL]","",IFERROR(AVERAGEIFS(nNOTA,nNIA,M112,nCUENTA,1,nASIG,"Orquesta/Banda/Conjunto"),"")))</f>
        <v/>
      </c>
      <c r="P112" t="str">
        <f>IF(M112="","",IF(M112="[FÓRMULA MANUAL]","",IFERROR(AVERAGEIFS(nNOTA,nNIA,M112,nCUENTA,1,nASIG,"Música de Cámara"),"")))</f>
        <v/>
      </c>
      <c r="Q112" t="str">
        <f>IF(M112="","",IF(M112="[FÓRMULA MANUAL]","",IFERROR(SUMPRODUCT((nNIA=M112)*(nCUENTA=1)*(COUNTIF(CONFIG_ASIGNATURAS!$B$7:$B$27,nASIG)&gt;0)*(nNOTA))/SUMPRODUCT((nNIA=M112)*(nCUENTA=1)*(COUNTIF(CONFIG_ASIGNATURAS!$B$7:$B$27,nASIG)&gt;0)*1),"")))</f>
        <v/>
      </c>
      <c r="T112" t="str">
        <f>IF(S112="","",IF(S112="[FÓRMULA MANUAL]","",IFERROR(AVERAGEIFS(nNOTA,nNIA,S112,nCUENTA,1,nASIG,"Armonía"),"")))</f>
        <v/>
      </c>
      <c r="U112" t="str">
        <f>IF(S112="","",IF(S112="[FÓRMULA MANUAL]","",IFERROR(AVERAGEIFS(nNOTA,nNIA,S112,nCUENTA,1,nASIG,"Orquesta/Banda/Conjunto"),"")))</f>
        <v/>
      </c>
      <c r="V112" t="str">
        <f>IF(S112="","",IF(S112="[FÓRMULA MANUAL]","",IFERROR(AVERAGEIFS(nNOTA,nNIA,S112,nCUENTA,1,nASIG,"Música de Cámara"),"")))</f>
        <v/>
      </c>
      <c r="W112" t="str">
        <f>IF(S112="","",IF(S112="[FÓRMULA MANUAL]","",IFERROR(SUMPRODUCT((nNIA=S112)*(nCUENTA=1)*(COUNTIF(CONFIG_ASIGNATURAS!$B$7:$B$27,nASIG)&gt;0)*(nNOTA))/SUMPRODUCT((nNIA=S112)*(nCUENTA=1)*(COUNTIF(CONFIG_ASIGNATURAS!$B$7:$B$27,nASIG)&gt;0)*1),"")))</f>
        <v/>
      </c>
      <c r="Z112" t="str">
        <f>IF(Y112="","",IF(Y112="[FÓRMULA MANUAL]","",IFERROR(AVERAGEIFS(nNOTA,nNIA,Y112,nCUENTA,1,nASIG,"Análisis"),"")))</f>
        <v/>
      </c>
      <c r="AA112" t="str">
        <f>IF(Y112="","",IF(Y112="[FÓRMULA MANUAL]","",IFERROR(AVERAGEIFS(nNOTA,nNIA,Y112,nCUENTA,1,nASIG,"Orquesta/Banda/Conjunto"),"")))</f>
        <v/>
      </c>
      <c r="AB112" t="str">
        <f>IF(Y112="","",IF(Y112="[FÓRMULA MANUAL]","",IFERROR(AVERAGEIFS(nNOTA,nNIA,Y112,nCUENTA,1,nASIG,"Música de Cámara"),"")))</f>
        <v/>
      </c>
      <c r="AC112" t="str">
        <f>IF(Y112="","",IF(Y112="[FÓRMULA MANUAL]","",IFERROR(SUMPRODUCT((nNIA=Y112)*(nCUENTA=1)*(COUNTIF(CONFIG_ASIGNATURAS!$B$7:$B$27,nASIG)&gt;0)*(nNOTA))/SUMPRODUCT((nNIA=Y112)*(nCUENTA=1)*(COUNTIF(CONFIG_ASIGNATURAS!$B$7:$B$27,nASIG)&gt;0)*1),"")))</f>
        <v/>
      </c>
      <c r="AF112" t="str">
        <f>IF(AE112="","",IF(AE112="[FÓRMULA MANUAL]","",IFERROR(AVERAGEIFS(nNOTA,nNIA,AE112,nCUENTA,1,nASIG,"Análisis"),"")))</f>
        <v/>
      </c>
      <c r="AG112" t="str">
        <f>IF(AE112="","",IF(AE112="[FÓRMULA MANUAL]","",IFERROR(AVERAGEIFS(nNOTA,nNIA,AE112,nCUENTA,1,nASIG,"Orquesta/Banda/Conjunto"),"")))</f>
        <v/>
      </c>
      <c r="AH112" t="str">
        <f>IF(AE112="","",IF(AE112="[FÓRMULA MANUAL]","",IFERROR(AVERAGEIFS(nNOTA,nNIA,AE112,nCUENTA,1,nASIG,"Música de Cámara"),"")))</f>
        <v/>
      </c>
      <c r="AI112" t="str">
        <f>IF(AE112="","",IF(AE112="[FÓRMULA MANUAL]","",IFERROR(SUMPRODUCT((nNIA=AE112)*(nCUENTA=1)*(COUNTIF(CONFIG_ASIGNATURAS!$B$7:$B$27,nASIG)&gt;0)*(nNOTA))/SUMPRODUCT((nNIA=AE112)*(nCUENTA=1)*(COUNTIF(CONFIG_ASIGNATURAS!$B$7:$B$27,nASIG)&gt;0)*1),"")))</f>
        <v/>
      </c>
    </row>
    <row r="113" spans="2:35" x14ac:dyDescent="0.2">
      <c r="B113" t="str">
        <f>IF(A113="","",IF(A113="[FÓRMULA MANUAL]","",IFERROR(AVERAGEIFS(nNOTA,nNIA,A113,nCUENTA,1,nASIG,"Lenguaje Musical"),"")))</f>
        <v/>
      </c>
      <c r="C113" t="str">
        <f>IF(A113="","",IF(A113="[FÓRMULA MANUAL]","",IFERROR(AVERAGEIFS(nNOTA,nNIA,A113,nCUENTA,1,nASIG,"Orquesta/Banda/Conjunto"),"")))</f>
        <v/>
      </c>
      <c r="D113" t="str">
        <f>IF(A113="","",IF(A113="[FÓRMULA MANUAL]","",IFERROR(AVERAGEIFS(nNOTA,nNIA,A113,nCUENTA,1,nASIG,"Conjunto"),"")))</f>
        <v/>
      </c>
      <c r="E113" t="str">
        <f>IF(A113="","",IF(A113="[FÓRMULA MANUAL]","",IFERROR(SUMPRODUCT((nNIA=A113)*(nCUENTA=1)*(COUNTIF(CONFIG_ASIGNATURAS!$B$7:$B$27,nASIG)&gt;0)*(nNOTA))/SUMPRODUCT((nNIA=A113)*(nCUENTA=1)*(COUNTIF(CONFIG_ASIGNATURAS!$B$7:$B$27,nASIG)&gt;0)*1),"")))</f>
        <v/>
      </c>
      <c r="H113" t="str">
        <f>IF(G113="","",IF(G113="[FÓRMULA MANUAL]","",IFERROR(AVERAGEIFS(nNOTA,nNIA,G113,nCUENTA,1,nASIG,"Lenguaje Musical"),"")))</f>
        <v/>
      </c>
      <c r="I113" t="str">
        <f>IF(G113="","",IF(G113="[FÓRMULA MANUAL]","",IFERROR(AVERAGEIFS(nNOTA,nNIA,G113,nCUENTA,1,nASIG,"Orquesta/Banda/Conjunto"),"")))</f>
        <v/>
      </c>
      <c r="J113" t="str">
        <f>IF(G113="","",IF(G113="[FÓRMULA MANUAL]","",IFERROR(AVERAGEIFS(nNOTA,nNIA,G113,nCUENTA,1,nASIG,"Conjunto"),"")))</f>
        <v/>
      </c>
      <c r="K113" t="str">
        <f>IF(G113="","",IF(G113="[FÓRMULA MANUAL]","",IFERROR(SUMPRODUCT((nNIA=G113)*(nCUENTA=1)*(COUNTIF(CONFIG_ASIGNATURAS!$B$7:$B$27,nASIG)&gt;0)*(nNOTA))/SUMPRODUCT((nNIA=G113)*(nCUENTA=1)*(COUNTIF(CONFIG_ASIGNATURAS!$B$7:$B$27,nASIG)&gt;0)*1),"")))</f>
        <v/>
      </c>
      <c r="N113" t="str">
        <f>IF(M113="","",IF(M113="[FÓRMULA MANUAL]","",IFERROR(AVERAGEIFS(nNOTA,nNIA,M113,nCUENTA,1,nASIG,"Armonía"),"")))</f>
        <v/>
      </c>
      <c r="O113" t="str">
        <f>IF(M113="","",IF(M113="[FÓRMULA MANUAL]","",IFERROR(AVERAGEIFS(nNOTA,nNIA,M113,nCUENTA,1,nASIG,"Orquesta/Banda/Conjunto"),"")))</f>
        <v/>
      </c>
      <c r="P113" t="str">
        <f>IF(M113="","",IF(M113="[FÓRMULA MANUAL]","",IFERROR(AVERAGEIFS(nNOTA,nNIA,M113,nCUENTA,1,nASIG,"Música de Cámara"),"")))</f>
        <v/>
      </c>
      <c r="Q113" t="str">
        <f>IF(M113="","",IF(M113="[FÓRMULA MANUAL]","",IFERROR(SUMPRODUCT((nNIA=M113)*(nCUENTA=1)*(COUNTIF(CONFIG_ASIGNATURAS!$B$7:$B$27,nASIG)&gt;0)*(nNOTA))/SUMPRODUCT((nNIA=M113)*(nCUENTA=1)*(COUNTIF(CONFIG_ASIGNATURAS!$B$7:$B$27,nASIG)&gt;0)*1),"")))</f>
        <v/>
      </c>
      <c r="T113" t="str">
        <f>IF(S113="","",IF(S113="[FÓRMULA MANUAL]","",IFERROR(AVERAGEIFS(nNOTA,nNIA,S113,nCUENTA,1,nASIG,"Armonía"),"")))</f>
        <v/>
      </c>
      <c r="U113" t="str">
        <f>IF(S113="","",IF(S113="[FÓRMULA MANUAL]","",IFERROR(AVERAGEIFS(nNOTA,nNIA,S113,nCUENTA,1,nASIG,"Orquesta/Banda/Conjunto"),"")))</f>
        <v/>
      </c>
      <c r="V113" t="str">
        <f>IF(S113="","",IF(S113="[FÓRMULA MANUAL]","",IFERROR(AVERAGEIFS(nNOTA,nNIA,S113,nCUENTA,1,nASIG,"Música de Cámara"),"")))</f>
        <v/>
      </c>
      <c r="W113" t="str">
        <f>IF(S113="","",IF(S113="[FÓRMULA MANUAL]","",IFERROR(SUMPRODUCT((nNIA=S113)*(nCUENTA=1)*(COUNTIF(CONFIG_ASIGNATURAS!$B$7:$B$27,nASIG)&gt;0)*(nNOTA))/SUMPRODUCT((nNIA=S113)*(nCUENTA=1)*(COUNTIF(CONFIG_ASIGNATURAS!$B$7:$B$27,nASIG)&gt;0)*1),"")))</f>
        <v/>
      </c>
      <c r="Z113" t="str">
        <f>IF(Y113="","",IF(Y113="[FÓRMULA MANUAL]","",IFERROR(AVERAGEIFS(nNOTA,nNIA,Y113,nCUENTA,1,nASIG,"Análisis"),"")))</f>
        <v/>
      </c>
      <c r="AA113" t="str">
        <f>IF(Y113="","",IF(Y113="[FÓRMULA MANUAL]","",IFERROR(AVERAGEIFS(nNOTA,nNIA,Y113,nCUENTA,1,nASIG,"Orquesta/Banda/Conjunto"),"")))</f>
        <v/>
      </c>
      <c r="AB113" t="str">
        <f>IF(Y113="","",IF(Y113="[FÓRMULA MANUAL]","",IFERROR(AVERAGEIFS(nNOTA,nNIA,Y113,nCUENTA,1,nASIG,"Música de Cámara"),"")))</f>
        <v/>
      </c>
      <c r="AC113" t="str">
        <f>IF(Y113="","",IF(Y113="[FÓRMULA MANUAL]","",IFERROR(SUMPRODUCT((nNIA=Y113)*(nCUENTA=1)*(COUNTIF(CONFIG_ASIGNATURAS!$B$7:$B$27,nASIG)&gt;0)*(nNOTA))/SUMPRODUCT((nNIA=Y113)*(nCUENTA=1)*(COUNTIF(CONFIG_ASIGNATURAS!$B$7:$B$27,nASIG)&gt;0)*1),"")))</f>
        <v/>
      </c>
      <c r="AF113" t="str">
        <f>IF(AE113="","",IF(AE113="[FÓRMULA MANUAL]","",IFERROR(AVERAGEIFS(nNOTA,nNIA,AE113,nCUENTA,1,nASIG,"Análisis"),"")))</f>
        <v/>
      </c>
      <c r="AG113" t="str">
        <f>IF(AE113="","",IF(AE113="[FÓRMULA MANUAL]","",IFERROR(AVERAGEIFS(nNOTA,nNIA,AE113,nCUENTA,1,nASIG,"Orquesta/Banda/Conjunto"),"")))</f>
        <v/>
      </c>
      <c r="AH113" t="str">
        <f>IF(AE113="","",IF(AE113="[FÓRMULA MANUAL]","",IFERROR(AVERAGEIFS(nNOTA,nNIA,AE113,nCUENTA,1,nASIG,"Música de Cámara"),"")))</f>
        <v/>
      </c>
      <c r="AI113" t="str">
        <f>IF(AE113="","",IF(AE113="[FÓRMULA MANUAL]","",IFERROR(SUMPRODUCT((nNIA=AE113)*(nCUENTA=1)*(COUNTIF(CONFIG_ASIGNATURAS!$B$7:$B$27,nASIG)&gt;0)*(nNOTA))/SUMPRODUCT((nNIA=AE113)*(nCUENTA=1)*(COUNTIF(CONFIG_ASIGNATURAS!$B$7:$B$27,nASIG)&gt;0)*1),"")))</f>
        <v/>
      </c>
    </row>
    <row r="114" spans="2:35" x14ac:dyDescent="0.2">
      <c r="B114" t="str">
        <f>IF(A114="","",IF(A114="[FÓRMULA MANUAL]","",IFERROR(AVERAGEIFS(nNOTA,nNIA,A114,nCUENTA,1,nASIG,"Lenguaje Musical"),"")))</f>
        <v/>
      </c>
      <c r="C114" t="str">
        <f>IF(A114="","",IF(A114="[FÓRMULA MANUAL]","",IFERROR(AVERAGEIFS(nNOTA,nNIA,A114,nCUENTA,1,nASIG,"Orquesta/Banda/Conjunto"),"")))</f>
        <v/>
      </c>
      <c r="D114" t="str">
        <f>IF(A114="","",IF(A114="[FÓRMULA MANUAL]","",IFERROR(AVERAGEIFS(nNOTA,nNIA,A114,nCUENTA,1,nASIG,"Conjunto"),"")))</f>
        <v/>
      </c>
      <c r="E114" t="str">
        <f>IF(A114="","",IF(A114="[FÓRMULA MANUAL]","",IFERROR(SUMPRODUCT((nNIA=A114)*(nCUENTA=1)*(COUNTIF(CONFIG_ASIGNATURAS!$B$7:$B$27,nASIG)&gt;0)*(nNOTA))/SUMPRODUCT((nNIA=A114)*(nCUENTA=1)*(COUNTIF(CONFIG_ASIGNATURAS!$B$7:$B$27,nASIG)&gt;0)*1),"")))</f>
        <v/>
      </c>
      <c r="H114" t="str">
        <f>IF(G114="","",IF(G114="[FÓRMULA MANUAL]","",IFERROR(AVERAGEIFS(nNOTA,nNIA,G114,nCUENTA,1,nASIG,"Lenguaje Musical"),"")))</f>
        <v/>
      </c>
      <c r="I114" t="str">
        <f>IF(G114="","",IF(G114="[FÓRMULA MANUAL]","",IFERROR(AVERAGEIFS(nNOTA,nNIA,G114,nCUENTA,1,nASIG,"Orquesta/Banda/Conjunto"),"")))</f>
        <v/>
      </c>
      <c r="J114" t="str">
        <f>IF(G114="","",IF(G114="[FÓRMULA MANUAL]","",IFERROR(AVERAGEIFS(nNOTA,nNIA,G114,nCUENTA,1,nASIG,"Conjunto"),"")))</f>
        <v/>
      </c>
      <c r="K114" t="str">
        <f>IF(G114="","",IF(G114="[FÓRMULA MANUAL]","",IFERROR(SUMPRODUCT((nNIA=G114)*(nCUENTA=1)*(COUNTIF(CONFIG_ASIGNATURAS!$B$7:$B$27,nASIG)&gt;0)*(nNOTA))/SUMPRODUCT((nNIA=G114)*(nCUENTA=1)*(COUNTIF(CONFIG_ASIGNATURAS!$B$7:$B$27,nASIG)&gt;0)*1),"")))</f>
        <v/>
      </c>
      <c r="N114" t="str">
        <f>IF(M114="","",IF(M114="[FÓRMULA MANUAL]","",IFERROR(AVERAGEIFS(nNOTA,nNIA,M114,nCUENTA,1,nASIG,"Armonía"),"")))</f>
        <v/>
      </c>
      <c r="O114" t="str">
        <f>IF(M114="","",IF(M114="[FÓRMULA MANUAL]","",IFERROR(AVERAGEIFS(nNOTA,nNIA,M114,nCUENTA,1,nASIG,"Orquesta/Banda/Conjunto"),"")))</f>
        <v/>
      </c>
      <c r="P114" t="str">
        <f>IF(M114="","",IF(M114="[FÓRMULA MANUAL]","",IFERROR(AVERAGEIFS(nNOTA,nNIA,M114,nCUENTA,1,nASIG,"Música de Cámara"),"")))</f>
        <v/>
      </c>
      <c r="Q114" t="str">
        <f>IF(M114="","",IF(M114="[FÓRMULA MANUAL]","",IFERROR(SUMPRODUCT((nNIA=M114)*(nCUENTA=1)*(COUNTIF(CONFIG_ASIGNATURAS!$B$7:$B$27,nASIG)&gt;0)*(nNOTA))/SUMPRODUCT((nNIA=M114)*(nCUENTA=1)*(COUNTIF(CONFIG_ASIGNATURAS!$B$7:$B$27,nASIG)&gt;0)*1),"")))</f>
        <v/>
      </c>
      <c r="T114" t="str">
        <f>IF(S114="","",IF(S114="[FÓRMULA MANUAL]","",IFERROR(AVERAGEIFS(nNOTA,nNIA,S114,nCUENTA,1,nASIG,"Armonía"),"")))</f>
        <v/>
      </c>
      <c r="U114" t="str">
        <f>IF(S114="","",IF(S114="[FÓRMULA MANUAL]","",IFERROR(AVERAGEIFS(nNOTA,nNIA,S114,nCUENTA,1,nASIG,"Orquesta/Banda/Conjunto"),"")))</f>
        <v/>
      </c>
      <c r="V114" t="str">
        <f>IF(S114="","",IF(S114="[FÓRMULA MANUAL]","",IFERROR(AVERAGEIFS(nNOTA,nNIA,S114,nCUENTA,1,nASIG,"Música de Cámara"),"")))</f>
        <v/>
      </c>
      <c r="W114" t="str">
        <f>IF(S114="","",IF(S114="[FÓRMULA MANUAL]","",IFERROR(SUMPRODUCT((nNIA=S114)*(nCUENTA=1)*(COUNTIF(CONFIG_ASIGNATURAS!$B$7:$B$27,nASIG)&gt;0)*(nNOTA))/SUMPRODUCT((nNIA=S114)*(nCUENTA=1)*(COUNTIF(CONFIG_ASIGNATURAS!$B$7:$B$27,nASIG)&gt;0)*1),"")))</f>
        <v/>
      </c>
      <c r="Z114" t="str">
        <f>IF(Y114="","",IF(Y114="[FÓRMULA MANUAL]","",IFERROR(AVERAGEIFS(nNOTA,nNIA,Y114,nCUENTA,1,nASIG,"Análisis"),"")))</f>
        <v/>
      </c>
      <c r="AA114" t="str">
        <f>IF(Y114="","",IF(Y114="[FÓRMULA MANUAL]","",IFERROR(AVERAGEIFS(nNOTA,nNIA,Y114,nCUENTA,1,nASIG,"Orquesta/Banda/Conjunto"),"")))</f>
        <v/>
      </c>
      <c r="AB114" t="str">
        <f>IF(Y114="","",IF(Y114="[FÓRMULA MANUAL]","",IFERROR(AVERAGEIFS(nNOTA,nNIA,Y114,nCUENTA,1,nASIG,"Música de Cámara"),"")))</f>
        <v/>
      </c>
      <c r="AC114" t="str">
        <f>IF(Y114="","",IF(Y114="[FÓRMULA MANUAL]","",IFERROR(SUMPRODUCT((nNIA=Y114)*(nCUENTA=1)*(COUNTIF(CONFIG_ASIGNATURAS!$B$7:$B$27,nASIG)&gt;0)*(nNOTA))/SUMPRODUCT((nNIA=Y114)*(nCUENTA=1)*(COUNTIF(CONFIG_ASIGNATURAS!$B$7:$B$27,nASIG)&gt;0)*1),"")))</f>
        <v/>
      </c>
      <c r="AF114" t="str">
        <f>IF(AE114="","",IF(AE114="[FÓRMULA MANUAL]","",IFERROR(AVERAGEIFS(nNOTA,nNIA,AE114,nCUENTA,1,nASIG,"Análisis"),"")))</f>
        <v/>
      </c>
      <c r="AG114" t="str">
        <f>IF(AE114="","",IF(AE114="[FÓRMULA MANUAL]","",IFERROR(AVERAGEIFS(nNOTA,nNIA,AE114,nCUENTA,1,nASIG,"Orquesta/Banda/Conjunto"),"")))</f>
        <v/>
      </c>
      <c r="AH114" t="str">
        <f>IF(AE114="","",IF(AE114="[FÓRMULA MANUAL]","",IFERROR(AVERAGEIFS(nNOTA,nNIA,AE114,nCUENTA,1,nASIG,"Música de Cámara"),"")))</f>
        <v/>
      </c>
      <c r="AI114" t="str">
        <f>IF(AE114="","",IF(AE114="[FÓRMULA MANUAL]","",IFERROR(SUMPRODUCT((nNIA=AE114)*(nCUENTA=1)*(COUNTIF(CONFIG_ASIGNATURAS!$B$7:$B$27,nASIG)&gt;0)*(nNOTA))/SUMPRODUCT((nNIA=AE114)*(nCUENTA=1)*(COUNTIF(CONFIG_ASIGNATURAS!$B$7:$B$27,nASIG)&gt;0)*1),"")))</f>
        <v/>
      </c>
    </row>
    <row r="115" spans="2:35" x14ac:dyDescent="0.2">
      <c r="B115" t="str">
        <f>IF(A115="","",IF(A115="[FÓRMULA MANUAL]","",IFERROR(AVERAGEIFS(nNOTA,nNIA,A115,nCUENTA,1,nASIG,"Lenguaje Musical"),"")))</f>
        <v/>
      </c>
      <c r="C115" t="str">
        <f>IF(A115="","",IF(A115="[FÓRMULA MANUAL]","",IFERROR(AVERAGEIFS(nNOTA,nNIA,A115,nCUENTA,1,nASIG,"Orquesta/Banda/Conjunto"),"")))</f>
        <v/>
      </c>
      <c r="D115" t="str">
        <f>IF(A115="","",IF(A115="[FÓRMULA MANUAL]","",IFERROR(AVERAGEIFS(nNOTA,nNIA,A115,nCUENTA,1,nASIG,"Conjunto"),"")))</f>
        <v/>
      </c>
      <c r="E115" t="str">
        <f>IF(A115="","",IF(A115="[FÓRMULA MANUAL]","",IFERROR(SUMPRODUCT((nNIA=A115)*(nCUENTA=1)*(COUNTIF(CONFIG_ASIGNATURAS!$B$7:$B$27,nASIG)&gt;0)*(nNOTA))/SUMPRODUCT((nNIA=A115)*(nCUENTA=1)*(COUNTIF(CONFIG_ASIGNATURAS!$B$7:$B$27,nASIG)&gt;0)*1),"")))</f>
        <v/>
      </c>
      <c r="H115" t="str">
        <f>IF(G115="","",IF(G115="[FÓRMULA MANUAL]","",IFERROR(AVERAGEIFS(nNOTA,nNIA,G115,nCUENTA,1,nASIG,"Lenguaje Musical"),"")))</f>
        <v/>
      </c>
      <c r="I115" t="str">
        <f>IF(G115="","",IF(G115="[FÓRMULA MANUAL]","",IFERROR(AVERAGEIFS(nNOTA,nNIA,G115,nCUENTA,1,nASIG,"Orquesta/Banda/Conjunto"),"")))</f>
        <v/>
      </c>
      <c r="J115" t="str">
        <f>IF(G115="","",IF(G115="[FÓRMULA MANUAL]","",IFERROR(AVERAGEIFS(nNOTA,nNIA,G115,nCUENTA,1,nASIG,"Conjunto"),"")))</f>
        <v/>
      </c>
      <c r="K115" t="str">
        <f>IF(G115="","",IF(G115="[FÓRMULA MANUAL]","",IFERROR(SUMPRODUCT((nNIA=G115)*(nCUENTA=1)*(COUNTIF(CONFIG_ASIGNATURAS!$B$7:$B$27,nASIG)&gt;0)*(nNOTA))/SUMPRODUCT((nNIA=G115)*(nCUENTA=1)*(COUNTIF(CONFIG_ASIGNATURAS!$B$7:$B$27,nASIG)&gt;0)*1),"")))</f>
        <v/>
      </c>
      <c r="N115" t="str">
        <f>IF(M115="","",IF(M115="[FÓRMULA MANUAL]","",IFERROR(AVERAGEIFS(nNOTA,nNIA,M115,nCUENTA,1,nASIG,"Armonía"),"")))</f>
        <v/>
      </c>
      <c r="O115" t="str">
        <f>IF(M115="","",IF(M115="[FÓRMULA MANUAL]","",IFERROR(AVERAGEIFS(nNOTA,nNIA,M115,nCUENTA,1,nASIG,"Orquesta/Banda/Conjunto"),"")))</f>
        <v/>
      </c>
      <c r="P115" t="str">
        <f>IF(M115="","",IF(M115="[FÓRMULA MANUAL]","",IFERROR(AVERAGEIFS(nNOTA,nNIA,M115,nCUENTA,1,nASIG,"Música de Cámara"),"")))</f>
        <v/>
      </c>
      <c r="Q115" t="str">
        <f>IF(M115="","",IF(M115="[FÓRMULA MANUAL]","",IFERROR(SUMPRODUCT((nNIA=M115)*(nCUENTA=1)*(COUNTIF(CONFIG_ASIGNATURAS!$B$7:$B$27,nASIG)&gt;0)*(nNOTA))/SUMPRODUCT((nNIA=M115)*(nCUENTA=1)*(COUNTIF(CONFIG_ASIGNATURAS!$B$7:$B$27,nASIG)&gt;0)*1),"")))</f>
        <v/>
      </c>
      <c r="T115" t="str">
        <f>IF(S115="","",IF(S115="[FÓRMULA MANUAL]","",IFERROR(AVERAGEIFS(nNOTA,nNIA,S115,nCUENTA,1,nASIG,"Armonía"),"")))</f>
        <v/>
      </c>
      <c r="U115" t="str">
        <f>IF(S115="","",IF(S115="[FÓRMULA MANUAL]","",IFERROR(AVERAGEIFS(nNOTA,nNIA,S115,nCUENTA,1,nASIG,"Orquesta/Banda/Conjunto"),"")))</f>
        <v/>
      </c>
      <c r="V115" t="str">
        <f>IF(S115="","",IF(S115="[FÓRMULA MANUAL]","",IFERROR(AVERAGEIFS(nNOTA,nNIA,S115,nCUENTA,1,nASIG,"Música de Cámara"),"")))</f>
        <v/>
      </c>
      <c r="W115" t="str">
        <f>IF(S115="","",IF(S115="[FÓRMULA MANUAL]","",IFERROR(SUMPRODUCT((nNIA=S115)*(nCUENTA=1)*(COUNTIF(CONFIG_ASIGNATURAS!$B$7:$B$27,nASIG)&gt;0)*(nNOTA))/SUMPRODUCT((nNIA=S115)*(nCUENTA=1)*(COUNTIF(CONFIG_ASIGNATURAS!$B$7:$B$27,nASIG)&gt;0)*1),"")))</f>
        <v/>
      </c>
      <c r="Z115" t="str">
        <f>IF(Y115="","",IF(Y115="[FÓRMULA MANUAL]","",IFERROR(AVERAGEIFS(nNOTA,nNIA,Y115,nCUENTA,1,nASIG,"Análisis"),"")))</f>
        <v/>
      </c>
      <c r="AA115" t="str">
        <f>IF(Y115="","",IF(Y115="[FÓRMULA MANUAL]","",IFERROR(AVERAGEIFS(nNOTA,nNIA,Y115,nCUENTA,1,nASIG,"Orquesta/Banda/Conjunto"),"")))</f>
        <v/>
      </c>
      <c r="AB115" t="str">
        <f>IF(Y115="","",IF(Y115="[FÓRMULA MANUAL]","",IFERROR(AVERAGEIFS(nNOTA,nNIA,Y115,nCUENTA,1,nASIG,"Música de Cámara"),"")))</f>
        <v/>
      </c>
      <c r="AC115" t="str">
        <f>IF(Y115="","",IF(Y115="[FÓRMULA MANUAL]","",IFERROR(SUMPRODUCT((nNIA=Y115)*(nCUENTA=1)*(COUNTIF(CONFIG_ASIGNATURAS!$B$7:$B$27,nASIG)&gt;0)*(nNOTA))/SUMPRODUCT((nNIA=Y115)*(nCUENTA=1)*(COUNTIF(CONFIG_ASIGNATURAS!$B$7:$B$27,nASIG)&gt;0)*1),"")))</f>
        <v/>
      </c>
      <c r="AF115" t="str">
        <f>IF(AE115="","",IF(AE115="[FÓRMULA MANUAL]","",IFERROR(AVERAGEIFS(nNOTA,nNIA,AE115,nCUENTA,1,nASIG,"Análisis"),"")))</f>
        <v/>
      </c>
      <c r="AG115" t="str">
        <f>IF(AE115="","",IF(AE115="[FÓRMULA MANUAL]","",IFERROR(AVERAGEIFS(nNOTA,nNIA,AE115,nCUENTA,1,nASIG,"Orquesta/Banda/Conjunto"),"")))</f>
        <v/>
      </c>
      <c r="AH115" t="str">
        <f>IF(AE115="","",IF(AE115="[FÓRMULA MANUAL]","",IFERROR(AVERAGEIFS(nNOTA,nNIA,AE115,nCUENTA,1,nASIG,"Música de Cámara"),"")))</f>
        <v/>
      </c>
      <c r="AI115" t="str">
        <f>IF(AE115="","",IF(AE115="[FÓRMULA MANUAL]","",IFERROR(SUMPRODUCT((nNIA=AE115)*(nCUENTA=1)*(COUNTIF(CONFIG_ASIGNATURAS!$B$7:$B$27,nASIG)&gt;0)*(nNOTA))/SUMPRODUCT((nNIA=AE115)*(nCUENTA=1)*(COUNTIF(CONFIG_ASIGNATURAS!$B$7:$B$27,nASIG)&gt;0)*1),"")))</f>
        <v/>
      </c>
    </row>
    <row r="116" spans="2:35" x14ac:dyDescent="0.2">
      <c r="B116" t="str">
        <f>IF(A116="","",IF(A116="[FÓRMULA MANUAL]","",IFERROR(AVERAGEIFS(nNOTA,nNIA,A116,nCUENTA,1,nASIG,"Lenguaje Musical"),"")))</f>
        <v/>
      </c>
      <c r="C116" t="str">
        <f>IF(A116="","",IF(A116="[FÓRMULA MANUAL]","",IFERROR(AVERAGEIFS(nNOTA,nNIA,A116,nCUENTA,1,nASIG,"Orquesta/Banda/Conjunto"),"")))</f>
        <v/>
      </c>
      <c r="D116" t="str">
        <f>IF(A116="","",IF(A116="[FÓRMULA MANUAL]","",IFERROR(AVERAGEIFS(nNOTA,nNIA,A116,nCUENTA,1,nASIG,"Conjunto"),"")))</f>
        <v/>
      </c>
      <c r="E116" t="str">
        <f>IF(A116="","",IF(A116="[FÓRMULA MANUAL]","",IFERROR(SUMPRODUCT((nNIA=A116)*(nCUENTA=1)*(COUNTIF(CONFIG_ASIGNATURAS!$B$7:$B$27,nASIG)&gt;0)*(nNOTA))/SUMPRODUCT((nNIA=A116)*(nCUENTA=1)*(COUNTIF(CONFIG_ASIGNATURAS!$B$7:$B$27,nASIG)&gt;0)*1),"")))</f>
        <v/>
      </c>
      <c r="H116" t="str">
        <f>IF(G116="","",IF(G116="[FÓRMULA MANUAL]","",IFERROR(AVERAGEIFS(nNOTA,nNIA,G116,nCUENTA,1,nASIG,"Lenguaje Musical"),"")))</f>
        <v/>
      </c>
      <c r="I116" t="str">
        <f>IF(G116="","",IF(G116="[FÓRMULA MANUAL]","",IFERROR(AVERAGEIFS(nNOTA,nNIA,G116,nCUENTA,1,nASIG,"Orquesta/Banda/Conjunto"),"")))</f>
        <v/>
      </c>
      <c r="J116" t="str">
        <f>IF(G116="","",IF(G116="[FÓRMULA MANUAL]","",IFERROR(AVERAGEIFS(nNOTA,nNIA,G116,nCUENTA,1,nASIG,"Conjunto"),"")))</f>
        <v/>
      </c>
      <c r="K116" t="str">
        <f>IF(G116="","",IF(G116="[FÓRMULA MANUAL]","",IFERROR(SUMPRODUCT((nNIA=G116)*(nCUENTA=1)*(COUNTIF(CONFIG_ASIGNATURAS!$B$7:$B$27,nASIG)&gt;0)*(nNOTA))/SUMPRODUCT((nNIA=G116)*(nCUENTA=1)*(COUNTIF(CONFIG_ASIGNATURAS!$B$7:$B$27,nASIG)&gt;0)*1),"")))</f>
        <v/>
      </c>
      <c r="N116" t="str">
        <f>IF(M116="","",IF(M116="[FÓRMULA MANUAL]","",IFERROR(AVERAGEIFS(nNOTA,nNIA,M116,nCUENTA,1,nASIG,"Armonía"),"")))</f>
        <v/>
      </c>
      <c r="O116" t="str">
        <f>IF(M116="","",IF(M116="[FÓRMULA MANUAL]","",IFERROR(AVERAGEIFS(nNOTA,nNIA,M116,nCUENTA,1,nASIG,"Orquesta/Banda/Conjunto"),"")))</f>
        <v/>
      </c>
      <c r="P116" t="str">
        <f>IF(M116="","",IF(M116="[FÓRMULA MANUAL]","",IFERROR(AVERAGEIFS(nNOTA,nNIA,M116,nCUENTA,1,nASIG,"Música de Cámara"),"")))</f>
        <v/>
      </c>
      <c r="Q116" t="str">
        <f>IF(M116="","",IF(M116="[FÓRMULA MANUAL]","",IFERROR(SUMPRODUCT((nNIA=M116)*(nCUENTA=1)*(COUNTIF(CONFIG_ASIGNATURAS!$B$7:$B$27,nASIG)&gt;0)*(nNOTA))/SUMPRODUCT((nNIA=M116)*(nCUENTA=1)*(COUNTIF(CONFIG_ASIGNATURAS!$B$7:$B$27,nASIG)&gt;0)*1),"")))</f>
        <v/>
      </c>
      <c r="T116" t="str">
        <f>IF(S116="","",IF(S116="[FÓRMULA MANUAL]","",IFERROR(AVERAGEIFS(nNOTA,nNIA,S116,nCUENTA,1,nASIG,"Armonía"),"")))</f>
        <v/>
      </c>
      <c r="U116" t="str">
        <f>IF(S116="","",IF(S116="[FÓRMULA MANUAL]","",IFERROR(AVERAGEIFS(nNOTA,nNIA,S116,nCUENTA,1,nASIG,"Orquesta/Banda/Conjunto"),"")))</f>
        <v/>
      </c>
      <c r="V116" t="str">
        <f>IF(S116="","",IF(S116="[FÓRMULA MANUAL]","",IFERROR(AVERAGEIFS(nNOTA,nNIA,S116,nCUENTA,1,nASIG,"Música de Cámara"),"")))</f>
        <v/>
      </c>
      <c r="W116" t="str">
        <f>IF(S116="","",IF(S116="[FÓRMULA MANUAL]","",IFERROR(SUMPRODUCT((nNIA=S116)*(nCUENTA=1)*(COUNTIF(CONFIG_ASIGNATURAS!$B$7:$B$27,nASIG)&gt;0)*(nNOTA))/SUMPRODUCT((nNIA=S116)*(nCUENTA=1)*(COUNTIF(CONFIG_ASIGNATURAS!$B$7:$B$27,nASIG)&gt;0)*1),"")))</f>
        <v/>
      </c>
      <c r="Z116" t="str">
        <f>IF(Y116="","",IF(Y116="[FÓRMULA MANUAL]","",IFERROR(AVERAGEIFS(nNOTA,nNIA,Y116,nCUENTA,1,nASIG,"Análisis"),"")))</f>
        <v/>
      </c>
      <c r="AA116" t="str">
        <f>IF(Y116="","",IF(Y116="[FÓRMULA MANUAL]","",IFERROR(AVERAGEIFS(nNOTA,nNIA,Y116,nCUENTA,1,nASIG,"Orquesta/Banda/Conjunto"),"")))</f>
        <v/>
      </c>
      <c r="AB116" t="str">
        <f>IF(Y116="","",IF(Y116="[FÓRMULA MANUAL]","",IFERROR(AVERAGEIFS(nNOTA,nNIA,Y116,nCUENTA,1,nASIG,"Música de Cámara"),"")))</f>
        <v/>
      </c>
      <c r="AC116" t="str">
        <f>IF(Y116="","",IF(Y116="[FÓRMULA MANUAL]","",IFERROR(SUMPRODUCT((nNIA=Y116)*(nCUENTA=1)*(COUNTIF(CONFIG_ASIGNATURAS!$B$7:$B$27,nASIG)&gt;0)*(nNOTA))/SUMPRODUCT((nNIA=Y116)*(nCUENTA=1)*(COUNTIF(CONFIG_ASIGNATURAS!$B$7:$B$27,nASIG)&gt;0)*1),"")))</f>
        <v/>
      </c>
      <c r="AF116" t="str">
        <f>IF(AE116="","",IF(AE116="[FÓRMULA MANUAL]","",IFERROR(AVERAGEIFS(nNOTA,nNIA,AE116,nCUENTA,1,nASIG,"Análisis"),"")))</f>
        <v/>
      </c>
      <c r="AG116" t="str">
        <f>IF(AE116="","",IF(AE116="[FÓRMULA MANUAL]","",IFERROR(AVERAGEIFS(nNOTA,nNIA,AE116,nCUENTA,1,nASIG,"Orquesta/Banda/Conjunto"),"")))</f>
        <v/>
      </c>
      <c r="AH116" t="str">
        <f>IF(AE116="","",IF(AE116="[FÓRMULA MANUAL]","",IFERROR(AVERAGEIFS(nNOTA,nNIA,AE116,nCUENTA,1,nASIG,"Música de Cámara"),"")))</f>
        <v/>
      </c>
      <c r="AI116" t="str">
        <f>IF(AE116="","",IF(AE116="[FÓRMULA MANUAL]","",IFERROR(SUMPRODUCT((nNIA=AE116)*(nCUENTA=1)*(COUNTIF(CONFIG_ASIGNATURAS!$B$7:$B$27,nASIG)&gt;0)*(nNOTA))/SUMPRODUCT((nNIA=AE116)*(nCUENTA=1)*(COUNTIF(CONFIG_ASIGNATURAS!$B$7:$B$27,nASIG)&gt;0)*1),"")))</f>
        <v/>
      </c>
    </row>
    <row r="117" spans="2:35" x14ac:dyDescent="0.2">
      <c r="B117" t="str">
        <f>IF(A117="","",IF(A117="[FÓRMULA MANUAL]","",IFERROR(AVERAGEIFS(nNOTA,nNIA,A117,nCUENTA,1,nASIG,"Lenguaje Musical"),"")))</f>
        <v/>
      </c>
      <c r="C117" t="str">
        <f>IF(A117="","",IF(A117="[FÓRMULA MANUAL]","",IFERROR(AVERAGEIFS(nNOTA,nNIA,A117,nCUENTA,1,nASIG,"Orquesta/Banda/Conjunto"),"")))</f>
        <v/>
      </c>
      <c r="D117" t="str">
        <f>IF(A117="","",IF(A117="[FÓRMULA MANUAL]","",IFERROR(AVERAGEIFS(nNOTA,nNIA,A117,nCUENTA,1,nASIG,"Conjunto"),"")))</f>
        <v/>
      </c>
      <c r="E117" t="str">
        <f>IF(A117="","",IF(A117="[FÓRMULA MANUAL]","",IFERROR(SUMPRODUCT((nNIA=A117)*(nCUENTA=1)*(COUNTIF(CONFIG_ASIGNATURAS!$B$7:$B$27,nASIG)&gt;0)*(nNOTA))/SUMPRODUCT((nNIA=A117)*(nCUENTA=1)*(COUNTIF(CONFIG_ASIGNATURAS!$B$7:$B$27,nASIG)&gt;0)*1),"")))</f>
        <v/>
      </c>
      <c r="H117" t="str">
        <f>IF(G117="","",IF(G117="[FÓRMULA MANUAL]","",IFERROR(AVERAGEIFS(nNOTA,nNIA,G117,nCUENTA,1,nASIG,"Lenguaje Musical"),"")))</f>
        <v/>
      </c>
      <c r="I117" t="str">
        <f>IF(G117="","",IF(G117="[FÓRMULA MANUAL]","",IFERROR(AVERAGEIFS(nNOTA,nNIA,G117,nCUENTA,1,nASIG,"Orquesta/Banda/Conjunto"),"")))</f>
        <v/>
      </c>
      <c r="J117" t="str">
        <f>IF(G117="","",IF(G117="[FÓRMULA MANUAL]","",IFERROR(AVERAGEIFS(nNOTA,nNIA,G117,nCUENTA,1,nASIG,"Conjunto"),"")))</f>
        <v/>
      </c>
      <c r="K117" t="str">
        <f>IF(G117="","",IF(G117="[FÓRMULA MANUAL]","",IFERROR(SUMPRODUCT((nNIA=G117)*(nCUENTA=1)*(COUNTIF(CONFIG_ASIGNATURAS!$B$7:$B$27,nASIG)&gt;0)*(nNOTA))/SUMPRODUCT((nNIA=G117)*(nCUENTA=1)*(COUNTIF(CONFIG_ASIGNATURAS!$B$7:$B$27,nASIG)&gt;0)*1),"")))</f>
        <v/>
      </c>
      <c r="N117" t="str">
        <f>IF(M117="","",IF(M117="[FÓRMULA MANUAL]","",IFERROR(AVERAGEIFS(nNOTA,nNIA,M117,nCUENTA,1,nASIG,"Armonía"),"")))</f>
        <v/>
      </c>
      <c r="O117" t="str">
        <f>IF(M117="","",IF(M117="[FÓRMULA MANUAL]","",IFERROR(AVERAGEIFS(nNOTA,nNIA,M117,nCUENTA,1,nASIG,"Orquesta/Banda/Conjunto"),"")))</f>
        <v/>
      </c>
      <c r="P117" t="str">
        <f>IF(M117="","",IF(M117="[FÓRMULA MANUAL]","",IFERROR(AVERAGEIFS(nNOTA,nNIA,M117,nCUENTA,1,nASIG,"Música de Cámara"),"")))</f>
        <v/>
      </c>
      <c r="Q117" t="str">
        <f>IF(M117="","",IF(M117="[FÓRMULA MANUAL]","",IFERROR(SUMPRODUCT((nNIA=M117)*(nCUENTA=1)*(COUNTIF(CONFIG_ASIGNATURAS!$B$7:$B$27,nASIG)&gt;0)*(nNOTA))/SUMPRODUCT((nNIA=M117)*(nCUENTA=1)*(COUNTIF(CONFIG_ASIGNATURAS!$B$7:$B$27,nASIG)&gt;0)*1),"")))</f>
        <v/>
      </c>
      <c r="T117" t="str">
        <f>IF(S117="","",IF(S117="[FÓRMULA MANUAL]","",IFERROR(AVERAGEIFS(nNOTA,nNIA,S117,nCUENTA,1,nASIG,"Armonía"),"")))</f>
        <v/>
      </c>
      <c r="U117" t="str">
        <f>IF(S117="","",IF(S117="[FÓRMULA MANUAL]","",IFERROR(AVERAGEIFS(nNOTA,nNIA,S117,nCUENTA,1,nASIG,"Orquesta/Banda/Conjunto"),"")))</f>
        <v/>
      </c>
      <c r="V117" t="str">
        <f>IF(S117="","",IF(S117="[FÓRMULA MANUAL]","",IFERROR(AVERAGEIFS(nNOTA,nNIA,S117,nCUENTA,1,nASIG,"Música de Cámara"),"")))</f>
        <v/>
      </c>
      <c r="W117" t="str">
        <f>IF(S117="","",IF(S117="[FÓRMULA MANUAL]","",IFERROR(SUMPRODUCT((nNIA=S117)*(nCUENTA=1)*(COUNTIF(CONFIG_ASIGNATURAS!$B$7:$B$27,nASIG)&gt;0)*(nNOTA))/SUMPRODUCT((nNIA=S117)*(nCUENTA=1)*(COUNTIF(CONFIG_ASIGNATURAS!$B$7:$B$27,nASIG)&gt;0)*1),"")))</f>
        <v/>
      </c>
      <c r="Z117" t="str">
        <f>IF(Y117="","",IF(Y117="[FÓRMULA MANUAL]","",IFERROR(AVERAGEIFS(nNOTA,nNIA,Y117,nCUENTA,1,nASIG,"Análisis"),"")))</f>
        <v/>
      </c>
      <c r="AA117" t="str">
        <f>IF(Y117="","",IF(Y117="[FÓRMULA MANUAL]","",IFERROR(AVERAGEIFS(nNOTA,nNIA,Y117,nCUENTA,1,nASIG,"Orquesta/Banda/Conjunto"),"")))</f>
        <v/>
      </c>
      <c r="AB117" t="str">
        <f>IF(Y117="","",IF(Y117="[FÓRMULA MANUAL]","",IFERROR(AVERAGEIFS(nNOTA,nNIA,Y117,nCUENTA,1,nASIG,"Música de Cámara"),"")))</f>
        <v/>
      </c>
      <c r="AC117" t="str">
        <f>IF(Y117="","",IF(Y117="[FÓRMULA MANUAL]","",IFERROR(SUMPRODUCT((nNIA=Y117)*(nCUENTA=1)*(COUNTIF(CONFIG_ASIGNATURAS!$B$7:$B$27,nASIG)&gt;0)*(nNOTA))/SUMPRODUCT((nNIA=Y117)*(nCUENTA=1)*(COUNTIF(CONFIG_ASIGNATURAS!$B$7:$B$27,nASIG)&gt;0)*1),"")))</f>
        <v/>
      </c>
      <c r="AF117" t="str">
        <f>IF(AE117="","",IF(AE117="[FÓRMULA MANUAL]","",IFERROR(AVERAGEIFS(nNOTA,nNIA,AE117,nCUENTA,1,nASIG,"Análisis"),"")))</f>
        <v/>
      </c>
      <c r="AG117" t="str">
        <f>IF(AE117="","",IF(AE117="[FÓRMULA MANUAL]","",IFERROR(AVERAGEIFS(nNOTA,nNIA,AE117,nCUENTA,1,nASIG,"Orquesta/Banda/Conjunto"),"")))</f>
        <v/>
      </c>
      <c r="AH117" t="str">
        <f>IF(AE117="","",IF(AE117="[FÓRMULA MANUAL]","",IFERROR(AVERAGEIFS(nNOTA,nNIA,AE117,nCUENTA,1,nASIG,"Música de Cámara"),"")))</f>
        <v/>
      </c>
      <c r="AI117" t="str">
        <f>IF(AE117="","",IF(AE117="[FÓRMULA MANUAL]","",IFERROR(SUMPRODUCT((nNIA=AE117)*(nCUENTA=1)*(COUNTIF(CONFIG_ASIGNATURAS!$B$7:$B$27,nASIG)&gt;0)*(nNOTA))/SUMPRODUCT((nNIA=AE117)*(nCUENTA=1)*(COUNTIF(CONFIG_ASIGNATURAS!$B$7:$B$27,nASIG)&gt;0)*1),"")))</f>
        <v/>
      </c>
    </row>
    <row r="118" spans="2:35" x14ac:dyDescent="0.2">
      <c r="B118" t="str">
        <f>IF(A118="","",IF(A118="[FÓRMULA MANUAL]","",IFERROR(AVERAGEIFS(nNOTA,nNIA,A118,nCUENTA,1,nASIG,"Lenguaje Musical"),"")))</f>
        <v/>
      </c>
      <c r="C118" t="str">
        <f>IF(A118="","",IF(A118="[FÓRMULA MANUAL]","",IFERROR(AVERAGEIFS(nNOTA,nNIA,A118,nCUENTA,1,nASIG,"Orquesta/Banda/Conjunto"),"")))</f>
        <v/>
      </c>
      <c r="D118" t="str">
        <f>IF(A118="","",IF(A118="[FÓRMULA MANUAL]","",IFERROR(AVERAGEIFS(nNOTA,nNIA,A118,nCUENTA,1,nASIG,"Conjunto"),"")))</f>
        <v/>
      </c>
      <c r="E118" t="str">
        <f>IF(A118="","",IF(A118="[FÓRMULA MANUAL]","",IFERROR(SUMPRODUCT((nNIA=A118)*(nCUENTA=1)*(COUNTIF(CONFIG_ASIGNATURAS!$B$7:$B$27,nASIG)&gt;0)*(nNOTA))/SUMPRODUCT((nNIA=A118)*(nCUENTA=1)*(COUNTIF(CONFIG_ASIGNATURAS!$B$7:$B$27,nASIG)&gt;0)*1),"")))</f>
        <v/>
      </c>
      <c r="H118" t="str">
        <f>IF(G118="","",IF(G118="[FÓRMULA MANUAL]","",IFERROR(AVERAGEIFS(nNOTA,nNIA,G118,nCUENTA,1,nASIG,"Lenguaje Musical"),"")))</f>
        <v/>
      </c>
      <c r="I118" t="str">
        <f>IF(G118="","",IF(G118="[FÓRMULA MANUAL]","",IFERROR(AVERAGEIFS(nNOTA,nNIA,G118,nCUENTA,1,nASIG,"Orquesta/Banda/Conjunto"),"")))</f>
        <v/>
      </c>
      <c r="J118" t="str">
        <f>IF(G118="","",IF(G118="[FÓRMULA MANUAL]","",IFERROR(AVERAGEIFS(nNOTA,nNIA,G118,nCUENTA,1,nASIG,"Conjunto"),"")))</f>
        <v/>
      </c>
      <c r="K118" t="str">
        <f>IF(G118="","",IF(G118="[FÓRMULA MANUAL]","",IFERROR(SUMPRODUCT((nNIA=G118)*(nCUENTA=1)*(COUNTIF(CONFIG_ASIGNATURAS!$B$7:$B$27,nASIG)&gt;0)*(nNOTA))/SUMPRODUCT((nNIA=G118)*(nCUENTA=1)*(COUNTIF(CONFIG_ASIGNATURAS!$B$7:$B$27,nASIG)&gt;0)*1),"")))</f>
        <v/>
      </c>
      <c r="N118" t="str">
        <f>IF(M118="","",IF(M118="[FÓRMULA MANUAL]","",IFERROR(AVERAGEIFS(nNOTA,nNIA,M118,nCUENTA,1,nASIG,"Armonía"),"")))</f>
        <v/>
      </c>
      <c r="O118" t="str">
        <f>IF(M118="","",IF(M118="[FÓRMULA MANUAL]","",IFERROR(AVERAGEIFS(nNOTA,nNIA,M118,nCUENTA,1,nASIG,"Orquesta/Banda/Conjunto"),"")))</f>
        <v/>
      </c>
      <c r="P118" t="str">
        <f>IF(M118="","",IF(M118="[FÓRMULA MANUAL]","",IFERROR(AVERAGEIFS(nNOTA,nNIA,M118,nCUENTA,1,nASIG,"Música de Cámara"),"")))</f>
        <v/>
      </c>
      <c r="Q118" t="str">
        <f>IF(M118="","",IF(M118="[FÓRMULA MANUAL]","",IFERROR(SUMPRODUCT((nNIA=M118)*(nCUENTA=1)*(COUNTIF(CONFIG_ASIGNATURAS!$B$7:$B$27,nASIG)&gt;0)*(nNOTA))/SUMPRODUCT((nNIA=M118)*(nCUENTA=1)*(COUNTIF(CONFIG_ASIGNATURAS!$B$7:$B$27,nASIG)&gt;0)*1),"")))</f>
        <v/>
      </c>
      <c r="T118" t="str">
        <f>IF(S118="","",IF(S118="[FÓRMULA MANUAL]","",IFERROR(AVERAGEIFS(nNOTA,nNIA,S118,nCUENTA,1,nASIG,"Armonía"),"")))</f>
        <v/>
      </c>
      <c r="U118" t="str">
        <f>IF(S118="","",IF(S118="[FÓRMULA MANUAL]","",IFERROR(AVERAGEIFS(nNOTA,nNIA,S118,nCUENTA,1,nASIG,"Orquesta/Banda/Conjunto"),"")))</f>
        <v/>
      </c>
      <c r="V118" t="str">
        <f>IF(S118="","",IF(S118="[FÓRMULA MANUAL]","",IFERROR(AVERAGEIFS(nNOTA,nNIA,S118,nCUENTA,1,nASIG,"Música de Cámara"),"")))</f>
        <v/>
      </c>
      <c r="W118" t="str">
        <f>IF(S118="","",IF(S118="[FÓRMULA MANUAL]","",IFERROR(SUMPRODUCT((nNIA=S118)*(nCUENTA=1)*(COUNTIF(CONFIG_ASIGNATURAS!$B$7:$B$27,nASIG)&gt;0)*(nNOTA))/SUMPRODUCT((nNIA=S118)*(nCUENTA=1)*(COUNTIF(CONFIG_ASIGNATURAS!$B$7:$B$27,nASIG)&gt;0)*1),"")))</f>
        <v/>
      </c>
      <c r="Z118" t="str">
        <f>IF(Y118="","",IF(Y118="[FÓRMULA MANUAL]","",IFERROR(AVERAGEIFS(nNOTA,nNIA,Y118,nCUENTA,1,nASIG,"Análisis"),"")))</f>
        <v/>
      </c>
      <c r="AA118" t="str">
        <f>IF(Y118="","",IF(Y118="[FÓRMULA MANUAL]","",IFERROR(AVERAGEIFS(nNOTA,nNIA,Y118,nCUENTA,1,nASIG,"Orquesta/Banda/Conjunto"),"")))</f>
        <v/>
      </c>
      <c r="AB118" t="str">
        <f>IF(Y118="","",IF(Y118="[FÓRMULA MANUAL]","",IFERROR(AVERAGEIFS(nNOTA,nNIA,Y118,nCUENTA,1,nASIG,"Música de Cámara"),"")))</f>
        <v/>
      </c>
      <c r="AC118" t="str">
        <f>IF(Y118="","",IF(Y118="[FÓRMULA MANUAL]","",IFERROR(SUMPRODUCT((nNIA=Y118)*(nCUENTA=1)*(COUNTIF(CONFIG_ASIGNATURAS!$B$7:$B$27,nASIG)&gt;0)*(nNOTA))/SUMPRODUCT((nNIA=Y118)*(nCUENTA=1)*(COUNTIF(CONFIG_ASIGNATURAS!$B$7:$B$27,nASIG)&gt;0)*1),"")))</f>
        <v/>
      </c>
      <c r="AF118" t="str">
        <f>IF(AE118="","",IF(AE118="[FÓRMULA MANUAL]","",IFERROR(AVERAGEIFS(nNOTA,nNIA,AE118,nCUENTA,1,nASIG,"Análisis"),"")))</f>
        <v/>
      </c>
      <c r="AG118" t="str">
        <f>IF(AE118="","",IF(AE118="[FÓRMULA MANUAL]","",IFERROR(AVERAGEIFS(nNOTA,nNIA,AE118,nCUENTA,1,nASIG,"Orquesta/Banda/Conjunto"),"")))</f>
        <v/>
      </c>
      <c r="AH118" t="str">
        <f>IF(AE118="","",IF(AE118="[FÓRMULA MANUAL]","",IFERROR(AVERAGEIFS(nNOTA,nNIA,AE118,nCUENTA,1,nASIG,"Música de Cámara"),"")))</f>
        <v/>
      </c>
      <c r="AI118" t="str">
        <f>IF(AE118="","",IF(AE118="[FÓRMULA MANUAL]","",IFERROR(SUMPRODUCT((nNIA=AE118)*(nCUENTA=1)*(COUNTIF(CONFIG_ASIGNATURAS!$B$7:$B$27,nASIG)&gt;0)*(nNOTA))/SUMPRODUCT((nNIA=AE118)*(nCUENTA=1)*(COUNTIF(CONFIG_ASIGNATURAS!$B$7:$B$27,nASIG)&gt;0)*1),"")))</f>
        <v/>
      </c>
    </row>
    <row r="119" spans="2:35" x14ac:dyDescent="0.2">
      <c r="B119" t="str">
        <f>IF(A119="","",IF(A119="[FÓRMULA MANUAL]","",IFERROR(AVERAGEIFS(nNOTA,nNIA,A119,nCUENTA,1,nASIG,"Lenguaje Musical"),"")))</f>
        <v/>
      </c>
      <c r="C119" t="str">
        <f>IF(A119="","",IF(A119="[FÓRMULA MANUAL]","",IFERROR(AVERAGEIFS(nNOTA,nNIA,A119,nCUENTA,1,nASIG,"Orquesta/Banda/Conjunto"),"")))</f>
        <v/>
      </c>
      <c r="D119" t="str">
        <f>IF(A119="","",IF(A119="[FÓRMULA MANUAL]","",IFERROR(AVERAGEIFS(nNOTA,nNIA,A119,nCUENTA,1,nASIG,"Conjunto"),"")))</f>
        <v/>
      </c>
      <c r="E119" t="str">
        <f>IF(A119="","",IF(A119="[FÓRMULA MANUAL]","",IFERROR(SUMPRODUCT((nNIA=A119)*(nCUENTA=1)*(COUNTIF(CONFIG_ASIGNATURAS!$B$7:$B$27,nASIG)&gt;0)*(nNOTA))/SUMPRODUCT((nNIA=A119)*(nCUENTA=1)*(COUNTIF(CONFIG_ASIGNATURAS!$B$7:$B$27,nASIG)&gt;0)*1),"")))</f>
        <v/>
      </c>
      <c r="H119" t="str">
        <f>IF(G119="","",IF(G119="[FÓRMULA MANUAL]","",IFERROR(AVERAGEIFS(nNOTA,nNIA,G119,nCUENTA,1,nASIG,"Lenguaje Musical"),"")))</f>
        <v/>
      </c>
      <c r="I119" t="str">
        <f>IF(G119="","",IF(G119="[FÓRMULA MANUAL]","",IFERROR(AVERAGEIFS(nNOTA,nNIA,G119,nCUENTA,1,nASIG,"Orquesta/Banda/Conjunto"),"")))</f>
        <v/>
      </c>
      <c r="J119" t="str">
        <f>IF(G119="","",IF(G119="[FÓRMULA MANUAL]","",IFERROR(AVERAGEIFS(nNOTA,nNIA,G119,nCUENTA,1,nASIG,"Conjunto"),"")))</f>
        <v/>
      </c>
      <c r="K119" t="str">
        <f>IF(G119="","",IF(G119="[FÓRMULA MANUAL]","",IFERROR(SUMPRODUCT((nNIA=G119)*(nCUENTA=1)*(COUNTIF(CONFIG_ASIGNATURAS!$B$7:$B$27,nASIG)&gt;0)*(nNOTA))/SUMPRODUCT((nNIA=G119)*(nCUENTA=1)*(COUNTIF(CONFIG_ASIGNATURAS!$B$7:$B$27,nASIG)&gt;0)*1),"")))</f>
        <v/>
      </c>
      <c r="N119" t="str">
        <f>IF(M119="","",IF(M119="[FÓRMULA MANUAL]","",IFERROR(AVERAGEIFS(nNOTA,nNIA,M119,nCUENTA,1,nASIG,"Armonía"),"")))</f>
        <v/>
      </c>
      <c r="O119" t="str">
        <f>IF(M119="","",IF(M119="[FÓRMULA MANUAL]","",IFERROR(AVERAGEIFS(nNOTA,nNIA,M119,nCUENTA,1,nASIG,"Orquesta/Banda/Conjunto"),"")))</f>
        <v/>
      </c>
      <c r="P119" t="str">
        <f>IF(M119="","",IF(M119="[FÓRMULA MANUAL]","",IFERROR(AVERAGEIFS(nNOTA,nNIA,M119,nCUENTA,1,nASIG,"Música de Cámara"),"")))</f>
        <v/>
      </c>
      <c r="Q119" t="str">
        <f>IF(M119="","",IF(M119="[FÓRMULA MANUAL]","",IFERROR(SUMPRODUCT((nNIA=M119)*(nCUENTA=1)*(COUNTIF(CONFIG_ASIGNATURAS!$B$7:$B$27,nASIG)&gt;0)*(nNOTA))/SUMPRODUCT((nNIA=M119)*(nCUENTA=1)*(COUNTIF(CONFIG_ASIGNATURAS!$B$7:$B$27,nASIG)&gt;0)*1),"")))</f>
        <v/>
      </c>
      <c r="T119" t="str">
        <f>IF(S119="","",IF(S119="[FÓRMULA MANUAL]","",IFERROR(AVERAGEIFS(nNOTA,nNIA,S119,nCUENTA,1,nASIG,"Armonía"),"")))</f>
        <v/>
      </c>
      <c r="U119" t="str">
        <f>IF(S119="","",IF(S119="[FÓRMULA MANUAL]","",IFERROR(AVERAGEIFS(nNOTA,nNIA,S119,nCUENTA,1,nASIG,"Orquesta/Banda/Conjunto"),"")))</f>
        <v/>
      </c>
      <c r="V119" t="str">
        <f>IF(S119="","",IF(S119="[FÓRMULA MANUAL]","",IFERROR(AVERAGEIFS(nNOTA,nNIA,S119,nCUENTA,1,nASIG,"Música de Cámara"),"")))</f>
        <v/>
      </c>
      <c r="W119" t="str">
        <f>IF(S119="","",IF(S119="[FÓRMULA MANUAL]","",IFERROR(SUMPRODUCT((nNIA=S119)*(nCUENTA=1)*(COUNTIF(CONFIG_ASIGNATURAS!$B$7:$B$27,nASIG)&gt;0)*(nNOTA))/SUMPRODUCT((nNIA=S119)*(nCUENTA=1)*(COUNTIF(CONFIG_ASIGNATURAS!$B$7:$B$27,nASIG)&gt;0)*1),"")))</f>
        <v/>
      </c>
      <c r="Z119" t="str">
        <f>IF(Y119="","",IF(Y119="[FÓRMULA MANUAL]","",IFERROR(AVERAGEIFS(nNOTA,nNIA,Y119,nCUENTA,1,nASIG,"Análisis"),"")))</f>
        <v/>
      </c>
      <c r="AA119" t="str">
        <f>IF(Y119="","",IF(Y119="[FÓRMULA MANUAL]","",IFERROR(AVERAGEIFS(nNOTA,nNIA,Y119,nCUENTA,1,nASIG,"Orquesta/Banda/Conjunto"),"")))</f>
        <v/>
      </c>
      <c r="AB119" t="str">
        <f>IF(Y119="","",IF(Y119="[FÓRMULA MANUAL]","",IFERROR(AVERAGEIFS(nNOTA,nNIA,Y119,nCUENTA,1,nASIG,"Música de Cámara"),"")))</f>
        <v/>
      </c>
      <c r="AC119" t="str">
        <f>IF(Y119="","",IF(Y119="[FÓRMULA MANUAL]","",IFERROR(SUMPRODUCT((nNIA=Y119)*(nCUENTA=1)*(COUNTIF(CONFIG_ASIGNATURAS!$B$7:$B$27,nASIG)&gt;0)*(nNOTA))/SUMPRODUCT((nNIA=Y119)*(nCUENTA=1)*(COUNTIF(CONFIG_ASIGNATURAS!$B$7:$B$27,nASIG)&gt;0)*1),"")))</f>
        <v/>
      </c>
      <c r="AF119" t="str">
        <f>IF(AE119="","",IF(AE119="[FÓRMULA MANUAL]","",IFERROR(AVERAGEIFS(nNOTA,nNIA,AE119,nCUENTA,1,nASIG,"Análisis"),"")))</f>
        <v/>
      </c>
      <c r="AG119" t="str">
        <f>IF(AE119="","",IF(AE119="[FÓRMULA MANUAL]","",IFERROR(AVERAGEIFS(nNOTA,nNIA,AE119,nCUENTA,1,nASIG,"Orquesta/Banda/Conjunto"),"")))</f>
        <v/>
      </c>
      <c r="AH119" t="str">
        <f>IF(AE119="","",IF(AE119="[FÓRMULA MANUAL]","",IFERROR(AVERAGEIFS(nNOTA,nNIA,AE119,nCUENTA,1,nASIG,"Música de Cámara"),"")))</f>
        <v/>
      </c>
      <c r="AI119" t="str">
        <f>IF(AE119="","",IF(AE119="[FÓRMULA MANUAL]","",IFERROR(SUMPRODUCT((nNIA=AE119)*(nCUENTA=1)*(COUNTIF(CONFIG_ASIGNATURAS!$B$7:$B$27,nASIG)&gt;0)*(nNOTA))/SUMPRODUCT((nNIA=AE119)*(nCUENTA=1)*(COUNTIF(CONFIG_ASIGNATURAS!$B$7:$B$27,nASIG)&gt;0)*1),"")))</f>
        <v/>
      </c>
    </row>
    <row r="120" spans="2:35" x14ac:dyDescent="0.2">
      <c r="B120" t="str">
        <f>IF(A120="","",IF(A120="[FÓRMULA MANUAL]","",IFERROR(AVERAGEIFS(nNOTA,nNIA,A120,nCUENTA,1,nASIG,"Lenguaje Musical"),"")))</f>
        <v/>
      </c>
      <c r="C120" t="str">
        <f>IF(A120="","",IF(A120="[FÓRMULA MANUAL]","",IFERROR(AVERAGEIFS(nNOTA,nNIA,A120,nCUENTA,1,nASIG,"Orquesta/Banda/Conjunto"),"")))</f>
        <v/>
      </c>
      <c r="D120" t="str">
        <f>IF(A120="","",IF(A120="[FÓRMULA MANUAL]","",IFERROR(AVERAGEIFS(nNOTA,nNIA,A120,nCUENTA,1,nASIG,"Conjunto"),"")))</f>
        <v/>
      </c>
      <c r="E120" t="str">
        <f>IF(A120="","",IF(A120="[FÓRMULA MANUAL]","",IFERROR(SUMPRODUCT((nNIA=A120)*(nCUENTA=1)*(COUNTIF(CONFIG_ASIGNATURAS!$B$7:$B$27,nASIG)&gt;0)*(nNOTA))/SUMPRODUCT((nNIA=A120)*(nCUENTA=1)*(COUNTIF(CONFIG_ASIGNATURAS!$B$7:$B$27,nASIG)&gt;0)*1),"")))</f>
        <v/>
      </c>
      <c r="H120" t="str">
        <f>IF(G120="","",IF(G120="[FÓRMULA MANUAL]","",IFERROR(AVERAGEIFS(nNOTA,nNIA,G120,nCUENTA,1,nASIG,"Lenguaje Musical"),"")))</f>
        <v/>
      </c>
      <c r="I120" t="str">
        <f>IF(G120="","",IF(G120="[FÓRMULA MANUAL]","",IFERROR(AVERAGEIFS(nNOTA,nNIA,G120,nCUENTA,1,nASIG,"Orquesta/Banda/Conjunto"),"")))</f>
        <v/>
      </c>
      <c r="J120" t="str">
        <f>IF(G120="","",IF(G120="[FÓRMULA MANUAL]","",IFERROR(AVERAGEIFS(nNOTA,nNIA,G120,nCUENTA,1,nASIG,"Conjunto"),"")))</f>
        <v/>
      </c>
      <c r="K120" t="str">
        <f>IF(G120="","",IF(G120="[FÓRMULA MANUAL]","",IFERROR(SUMPRODUCT((nNIA=G120)*(nCUENTA=1)*(COUNTIF(CONFIG_ASIGNATURAS!$B$7:$B$27,nASIG)&gt;0)*(nNOTA))/SUMPRODUCT((nNIA=G120)*(nCUENTA=1)*(COUNTIF(CONFIG_ASIGNATURAS!$B$7:$B$27,nASIG)&gt;0)*1),"")))</f>
        <v/>
      </c>
      <c r="N120" t="str">
        <f>IF(M120="","",IF(M120="[FÓRMULA MANUAL]","",IFERROR(AVERAGEIFS(nNOTA,nNIA,M120,nCUENTA,1,nASIG,"Armonía"),"")))</f>
        <v/>
      </c>
      <c r="O120" t="str">
        <f>IF(M120="","",IF(M120="[FÓRMULA MANUAL]","",IFERROR(AVERAGEIFS(nNOTA,nNIA,M120,nCUENTA,1,nASIG,"Orquesta/Banda/Conjunto"),"")))</f>
        <v/>
      </c>
      <c r="P120" t="str">
        <f>IF(M120="","",IF(M120="[FÓRMULA MANUAL]","",IFERROR(AVERAGEIFS(nNOTA,nNIA,M120,nCUENTA,1,nASIG,"Música de Cámara"),"")))</f>
        <v/>
      </c>
      <c r="Q120" t="str">
        <f>IF(M120="","",IF(M120="[FÓRMULA MANUAL]","",IFERROR(SUMPRODUCT((nNIA=M120)*(nCUENTA=1)*(COUNTIF(CONFIG_ASIGNATURAS!$B$7:$B$27,nASIG)&gt;0)*(nNOTA))/SUMPRODUCT((nNIA=M120)*(nCUENTA=1)*(COUNTIF(CONFIG_ASIGNATURAS!$B$7:$B$27,nASIG)&gt;0)*1),"")))</f>
        <v/>
      </c>
      <c r="T120" t="str">
        <f>IF(S120="","",IF(S120="[FÓRMULA MANUAL]","",IFERROR(AVERAGEIFS(nNOTA,nNIA,S120,nCUENTA,1,nASIG,"Armonía"),"")))</f>
        <v/>
      </c>
      <c r="U120" t="str">
        <f>IF(S120="","",IF(S120="[FÓRMULA MANUAL]","",IFERROR(AVERAGEIFS(nNOTA,nNIA,S120,nCUENTA,1,nASIG,"Orquesta/Banda/Conjunto"),"")))</f>
        <v/>
      </c>
      <c r="V120" t="str">
        <f>IF(S120="","",IF(S120="[FÓRMULA MANUAL]","",IFERROR(AVERAGEIFS(nNOTA,nNIA,S120,nCUENTA,1,nASIG,"Música de Cámara"),"")))</f>
        <v/>
      </c>
      <c r="W120" t="str">
        <f>IF(S120="","",IF(S120="[FÓRMULA MANUAL]","",IFERROR(SUMPRODUCT((nNIA=S120)*(nCUENTA=1)*(COUNTIF(CONFIG_ASIGNATURAS!$B$7:$B$27,nASIG)&gt;0)*(nNOTA))/SUMPRODUCT((nNIA=S120)*(nCUENTA=1)*(COUNTIF(CONFIG_ASIGNATURAS!$B$7:$B$27,nASIG)&gt;0)*1),"")))</f>
        <v/>
      </c>
      <c r="Z120" t="str">
        <f>IF(Y120="","",IF(Y120="[FÓRMULA MANUAL]","",IFERROR(AVERAGEIFS(nNOTA,nNIA,Y120,nCUENTA,1,nASIG,"Análisis"),"")))</f>
        <v/>
      </c>
      <c r="AA120" t="str">
        <f>IF(Y120="","",IF(Y120="[FÓRMULA MANUAL]","",IFERROR(AVERAGEIFS(nNOTA,nNIA,Y120,nCUENTA,1,nASIG,"Orquesta/Banda/Conjunto"),"")))</f>
        <v/>
      </c>
      <c r="AB120" t="str">
        <f>IF(Y120="","",IF(Y120="[FÓRMULA MANUAL]","",IFERROR(AVERAGEIFS(nNOTA,nNIA,Y120,nCUENTA,1,nASIG,"Música de Cámara"),"")))</f>
        <v/>
      </c>
      <c r="AC120" t="str">
        <f>IF(Y120="","",IF(Y120="[FÓRMULA MANUAL]","",IFERROR(SUMPRODUCT((nNIA=Y120)*(nCUENTA=1)*(COUNTIF(CONFIG_ASIGNATURAS!$B$7:$B$27,nASIG)&gt;0)*(nNOTA))/SUMPRODUCT((nNIA=Y120)*(nCUENTA=1)*(COUNTIF(CONFIG_ASIGNATURAS!$B$7:$B$27,nASIG)&gt;0)*1),"")))</f>
        <v/>
      </c>
      <c r="AF120" t="str">
        <f>IF(AE120="","",IF(AE120="[FÓRMULA MANUAL]","",IFERROR(AVERAGEIFS(nNOTA,nNIA,AE120,nCUENTA,1,nASIG,"Análisis"),"")))</f>
        <v/>
      </c>
      <c r="AG120" t="str">
        <f>IF(AE120="","",IF(AE120="[FÓRMULA MANUAL]","",IFERROR(AVERAGEIFS(nNOTA,nNIA,AE120,nCUENTA,1,nASIG,"Orquesta/Banda/Conjunto"),"")))</f>
        <v/>
      </c>
      <c r="AH120" t="str">
        <f>IF(AE120="","",IF(AE120="[FÓRMULA MANUAL]","",IFERROR(AVERAGEIFS(nNOTA,nNIA,AE120,nCUENTA,1,nASIG,"Música de Cámara"),"")))</f>
        <v/>
      </c>
      <c r="AI120" t="str">
        <f>IF(AE120="","",IF(AE120="[FÓRMULA MANUAL]","",IFERROR(SUMPRODUCT((nNIA=AE120)*(nCUENTA=1)*(COUNTIF(CONFIG_ASIGNATURAS!$B$7:$B$27,nASIG)&gt;0)*(nNOTA))/SUMPRODUCT((nNIA=AE120)*(nCUENTA=1)*(COUNTIF(CONFIG_ASIGNATURAS!$B$7:$B$27,nASIG)&gt;0)*1),"")))</f>
        <v/>
      </c>
    </row>
    <row r="121" spans="2:35" x14ac:dyDescent="0.2">
      <c r="B121" t="str">
        <f>IF(A121="","",IF(A121="[FÓRMULA MANUAL]","",IFERROR(AVERAGEIFS(nNOTA,nNIA,A121,nCUENTA,1,nASIG,"Lenguaje Musical"),"")))</f>
        <v/>
      </c>
      <c r="C121" t="str">
        <f>IF(A121="","",IF(A121="[FÓRMULA MANUAL]","",IFERROR(AVERAGEIFS(nNOTA,nNIA,A121,nCUENTA,1,nASIG,"Orquesta/Banda/Conjunto"),"")))</f>
        <v/>
      </c>
      <c r="D121" t="str">
        <f>IF(A121="","",IF(A121="[FÓRMULA MANUAL]","",IFERROR(AVERAGEIFS(nNOTA,nNIA,A121,nCUENTA,1,nASIG,"Conjunto"),"")))</f>
        <v/>
      </c>
      <c r="E121" t="str">
        <f>IF(A121="","",IF(A121="[FÓRMULA MANUAL]","",IFERROR(SUMPRODUCT((nNIA=A121)*(nCUENTA=1)*(COUNTIF(CONFIG_ASIGNATURAS!$B$7:$B$27,nASIG)&gt;0)*(nNOTA))/SUMPRODUCT((nNIA=A121)*(nCUENTA=1)*(COUNTIF(CONFIG_ASIGNATURAS!$B$7:$B$27,nASIG)&gt;0)*1),"")))</f>
        <v/>
      </c>
      <c r="H121" t="str">
        <f>IF(G121="","",IF(G121="[FÓRMULA MANUAL]","",IFERROR(AVERAGEIFS(nNOTA,nNIA,G121,nCUENTA,1,nASIG,"Lenguaje Musical"),"")))</f>
        <v/>
      </c>
      <c r="I121" t="str">
        <f>IF(G121="","",IF(G121="[FÓRMULA MANUAL]","",IFERROR(AVERAGEIFS(nNOTA,nNIA,G121,nCUENTA,1,nASIG,"Orquesta/Banda/Conjunto"),"")))</f>
        <v/>
      </c>
      <c r="J121" t="str">
        <f>IF(G121="","",IF(G121="[FÓRMULA MANUAL]","",IFERROR(AVERAGEIFS(nNOTA,nNIA,G121,nCUENTA,1,nASIG,"Conjunto"),"")))</f>
        <v/>
      </c>
      <c r="K121" t="str">
        <f>IF(G121="","",IF(G121="[FÓRMULA MANUAL]","",IFERROR(SUMPRODUCT((nNIA=G121)*(nCUENTA=1)*(COUNTIF(CONFIG_ASIGNATURAS!$B$7:$B$27,nASIG)&gt;0)*(nNOTA))/SUMPRODUCT((nNIA=G121)*(nCUENTA=1)*(COUNTIF(CONFIG_ASIGNATURAS!$B$7:$B$27,nASIG)&gt;0)*1),"")))</f>
        <v/>
      </c>
      <c r="N121" t="str">
        <f>IF(M121="","",IF(M121="[FÓRMULA MANUAL]","",IFERROR(AVERAGEIFS(nNOTA,nNIA,M121,nCUENTA,1,nASIG,"Armonía"),"")))</f>
        <v/>
      </c>
      <c r="O121" t="str">
        <f>IF(M121="","",IF(M121="[FÓRMULA MANUAL]","",IFERROR(AVERAGEIFS(nNOTA,nNIA,M121,nCUENTA,1,nASIG,"Orquesta/Banda/Conjunto"),"")))</f>
        <v/>
      </c>
      <c r="P121" t="str">
        <f>IF(M121="","",IF(M121="[FÓRMULA MANUAL]","",IFERROR(AVERAGEIFS(nNOTA,nNIA,M121,nCUENTA,1,nASIG,"Música de Cámara"),"")))</f>
        <v/>
      </c>
      <c r="Q121" t="str">
        <f>IF(M121="","",IF(M121="[FÓRMULA MANUAL]","",IFERROR(SUMPRODUCT((nNIA=M121)*(nCUENTA=1)*(COUNTIF(CONFIG_ASIGNATURAS!$B$7:$B$27,nASIG)&gt;0)*(nNOTA))/SUMPRODUCT((nNIA=M121)*(nCUENTA=1)*(COUNTIF(CONFIG_ASIGNATURAS!$B$7:$B$27,nASIG)&gt;0)*1),"")))</f>
        <v/>
      </c>
      <c r="T121" t="str">
        <f>IF(S121="","",IF(S121="[FÓRMULA MANUAL]","",IFERROR(AVERAGEIFS(nNOTA,nNIA,S121,nCUENTA,1,nASIG,"Armonía"),"")))</f>
        <v/>
      </c>
      <c r="U121" t="str">
        <f>IF(S121="","",IF(S121="[FÓRMULA MANUAL]","",IFERROR(AVERAGEIFS(nNOTA,nNIA,S121,nCUENTA,1,nASIG,"Orquesta/Banda/Conjunto"),"")))</f>
        <v/>
      </c>
      <c r="V121" t="str">
        <f>IF(S121="","",IF(S121="[FÓRMULA MANUAL]","",IFERROR(AVERAGEIFS(nNOTA,nNIA,S121,nCUENTA,1,nASIG,"Música de Cámara"),"")))</f>
        <v/>
      </c>
      <c r="W121" t="str">
        <f>IF(S121="","",IF(S121="[FÓRMULA MANUAL]","",IFERROR(SUMPRODUCT((nNIA=S121)*(nCUENTA=1)*(COUNTIF(CONFIG_ASIGNATURAS!$B$7:$B$27,nASIG)&gt;0)*(nNOTA))/SUMPRODUCT((nNIA=S121)*(nCUENTA=1)*(COUNTIF(CONFIG_ASIGNATURAS!$B$7:$B$27,nASIG)&gt;0)*1),"")))</f>
        <v/>
      </c>
      <c r="Z121" t="str">
        <f>IF(Y121="","",IF(Y121="[FÓRMULA MANUAL]","",IFERROR(AVERAGEIFS(nNOTA,nNIA,Y121,nCUENTA,1,nASIG,"Análisis"),"")))</f>
        <v/>
      </c>
      <c r="AA121" t="str">
        <f>IF(Y121="","",IF(Y121="[FÓRMULA MANUAL]","",IFERROR(AVERAGEIFS(nNOTA,nNIA,Y121,nCUENTA,1,nASIG,"Orquesta/Banda/Conjunto"),"")))</f>
        <v/>
      </c>
      <c r="AB121" t="str">
        <f>IF(Y121="","",IF(Y121="[FÓRMULA MANUAL]","",IFERROR(AVERAGEIFS(nNOTA,nNIA,Y121,nCUENTA,1,nASIG,"Música de Cámara"),"")))</f>
        <v/>
      </c>
      <c r="AC121" t="str">
        <f>IF(Y121="","",IF(Y121="[FÓRMULA MANUAL]","",IFERROR(SUMPRODUCT((nNIA=Y121)*(nCUENTA=1)*(COUNTIF(CONFIG_ASIGNATURAS!$B$7:$B$27,nASIG)&gt;0)*(nNOTA))/SUMPRODUCT((nNIA=Y121)*(nCUENTA=1)*(COUNTIF(CONFIG_ASIGNATURAS!$B$7:$B$27,nASIG)&gt;0)*1),"")))</f>
        <v/>
      </c>
      <c r="AF121" t="str">
        <f>IF(AE121="","",IF(AE121="[FÓRMULA MANUAL]","",IFERROR(AVERAGEIFS(nNOTA,nNIA,AE121,nCUENTA,1,nASIG,"Análisis"),"")))</f>
        <v/>
      </c>
      <c r="AG121" t="str">
        <f>IF(AE121="","",IF(AE121="[FÓRMULA MANUAL]","",IFERROR(AVERAGEIFS(nNOTA,nNIA,AE121,nCUENTA,1,nASIG,"Orquesta/Banda/Conjunto"),"")))</f>
        <v/>
      </c>
      <c r="AH121" t="str">
        <f>IF(AE121="","",IF(AE121="[FÓRMULA MANUAL]","",IFERROR(AVERAGEIFS(nNOTA,nNIA,AE121,nCUENTA,1,nASIG,"Música de Cámara"),"")))</f>
        <v/>
      </c>
      <c r="AI121" t="str">
        <f>IF(AE121="","",IF(AE121="[FÓRMULA MANUAL]","",IFERROR(SUMPRODUCT((nNIA=AE121)*(nCUENTA=1)*(COUNTIF(CONFIG_ASIGNATURAS!$B$7:$B$27,nASIG)&gt;0)*(nNOTA))/SUMPRODUCT((nNIA=AE121)*(nCUENTA=1)*(COUNTIF(CONFIG_ASIGNATURAS!$B$7:$B$27,nASIG)&gt;0)*1),"")))</f>
        <v/>
      </c>
    </row>
    <row r="122" spans="2:35" x14ac:dyDescent="0.2">
      <c r="B122" t="str">
        <f>IF(A122="","",IF(A122="[FÓRMULA MANUAL]","",IFERROR(AVERAGEIFS(nNOTA,nNIA,A122,nCUENTA,1,nASIG,"Lenguaje Musical"),"")))</f>
        <v/>
      </c>
      <c r="C122" t="str">
        <f>IF(A122="","",IF(A122="[FÓRMULA MANUAL]","",IFERROR(AVERAGEIFS(nNOTA,nNIA,A122,nCUENTA,1,nASIG,"Orquesta/Banda/Conjunto"),"")))</f>
        <v/>
      </c>
      <c r="D122" t="str">
        <f>IF(A122="","",IF(A122="[FÓRMULA MANUAL]","",IFERROR(AVERAGEIFS(nNOTA,nNIA,A122,nCUENTA,1,nASIG,"Conjunto"),"")))</f>
        <v/>
      </c>
      <c r="E122" t="str">
        <f>IF(A122="","",IF(A122="[FÓRMULA MANUAL]","",IFERROR(SUMPRODUCT((nNIA=A122)*(nCUENTA=1)*(COUNTIF(CONFIG_ASIGNATURAS!$B$7:$B$27,nASIG)&gt;0)*(nNOTA))/SUMPRODUCT((nNIA=A122)*(nCUENTA=1)*(COUNTIF(CONFIG_ASIGNATURAS!$B$7:$B$27,nASIG)&gt;0)*1),"")))</f>
        <v/>
      </c>
      <c r="H122" t="str">
        <f>IF(G122="","",IF(G122="[FÓRMULA MANUAL]","",IFERROR(AVERAGEIFS(nNOTA,nNIA,G122,nCUENTA,1,nASIG,"Lenguaje Musical"),"")))</f>
        <v/>
      </c>
      <c r="I122" t="str">
        <f>IF(G122="","",IF(G122="[FÓRMULA MANUAL]","",IFERROR(AVERAGEIFS(nNOTA,nNIA,G122,nCUENTA,1,nASIG,"Orquesta/Banda/Conjunto"),"")))</f>
        <v/>
      </c>
      <c r="J122" t="str">
        <f>IF(G122="","",IF(G122="[FÓRMULA MANUAL]","",IFERROR(AVERAGEIFS(nNOTA,nNIA,G122,nCUENTA,1,nASIG,"Conjunto"),"")))</f>
        <v/>
      </c>
      <c r="K122" t="str">
        <f>IF(G122="","",IF(G122="[FÓRMULA MANUAL]","",IFERROR(SUMPRODUCT((nNIA=G122)*(nCUENTA=1)*(COUNTIF(CONFIG_ASIGNATURAS!$B$7:$B$27,nASIG)&gt;0)*(nNOTA))/SUMPRODUCT((nNIA=G122)*(nCUENTA=1)*(COUNTIF(CONFIG_ASIGNATURAS!$B$7:$B$27,nASIG)&gt;0)*1),"")))</f>
        <v/>
      </c>
      <c r="N122" t="str">
        <f>IF(M122="","",IF(M122="[FÓRMULA MANUAL]","",IFERROR(AVERAGEIFS(nNOTA,nNIA,M122,nCUENTA,1,nASIG,"Armonía"),"")))</f>
        <v/>
      </c>
      <c r="O122" t="str">
        <f>IF(M122="","",IF(M122="[FÓRMULA MANUAL]","",IFERROR(AVERAGEIFS(nNOTA,nNIA,M122,nCUENTA,1,nASIG,"Orquesta/Banda/Conjunto"),"")))</f>
        <v/>
      </c>
      <c r="P122" t="str">
        <f>IF(M122="","",IF(M122="[FÓRMULA MANUAL]","",IFERROR(AVERAGEIFS(nNOTA,nNIA,M122,nCUENTA,1,nASIG,"Música de Cámara"),"")))</f>
        <v/>
      </c>
      <c r="Q122" t="str">
        <f>IF(M122="","",IF(M122="[FÓRMULA MANUAL]","",IFERROR(SUMPRODUCT((nNIA=M122)*(nCUENTA=1)*(COUNTIF(CONFIG_ASIGNATURAS!$B$7:$B$27,nASIG)&gt;0)*(nNOTA))/SUMPRODUCT((nNIA=M122)*(nCUENTA=1)*(COUNTIF(CONFIG_ASIGNATURAS!$B$7:$B$27,nASIG)&gt;0)*1),"")))</f>
        <v/>
      </c>
      <c r="T122" t="str">
        <f>IF(S122="","",IF(S122="[FÓRMULA MANUAL]","",IFERROR(AVERAGEIFS(nNOTA,nNIA,S122,nCUENTA,1,nASIG,"Armonía"),"")))</f>
        <v/>
      </c>
      <c r="U122" t="str">
        <f>IF(S122="","",IF(S122="[FÓRMULA MANUAL]","",IFERROR(AVERAGEIFS(nNOTA,nNIA,S122,nCUENTA,1,nASIG,"Orquesta/Banda/Conjunto"),"")))</f>
        <v/>
      </c>
      <c r="V122" t="str">
        <f>IF(S122="","",IF(S122="[FÓRMULA MANUAL]","",IFERROR(AVERAGEIFS(nNOTA,nNIA,S122,nCUENTA,1,nASIG,"Música de Cámara"),"")))</f>
        <v/>
      </c>
      <c r="W122" t="str">
        <f>IF(S122="","",IF(S122="[FÓRMULA MANUAL]","",IFERROR(SUMPRODUCT((nNIA=S122)*(nCUENTA=1)*(COUNTIF(CONFIG_ASIGNATURAS!$B$7:$B$27,nASIG)&gt;0)*(nNOTA))/SUMPRODUCT((nNIA=S122)*(nCUENTA=1)*(COUNTIF(CONFIG_ASIGNATURAS!$B$7:$B$27,nASIG)&gt;0)*1),"")))</f>
        <v/>
      </c>
      <c r="Z122" t="str">
        <f>IF(Y122="","",IF(Y122="[FÓRMULA MANUAL]","",IFERROR(AVERAGEIFS(nNOTA,nNIA,Y122,nCUENTA,1,nASIG,"Análisis"),"")))</f>
        <v/>
      </c>
      <c r="AA122" t="str">
        <f>IF(Y122="","",IF(Y122="[FÓRMULA MANUAL]","",IFERROR(AVERAGEIFS(nNOTA,nNIA,Y122,nCUENTA,1,nASIG,"Orquesta/Banda/Conjunto"),"")))</f>
        <v/>
      </c>
      <c r="AB122" t="str">
        <f>IF(Y122="","",IF(Y122="[FÓRMULA MANUAL]","",IFERROR(AVERAGEIFS(nNOTA,nNIA,Y122,nCUENTA,1,nASIG,"Música de Cámara"),"")))</f>
        <v/>
      </c>
      <c r="AC122" t="str">
        <f>IF(Y122="","",IF(Y122="[FÓRMULA MANUAL]","",IFERROR(SUMPRODUCT((nNIA=Y122)*(nCUENTA=1)*(COUNTIF(CONFIG_ASIGNATURAS!$B$7:$B$27,nASIG)&gt;0)*(nNOTA))/SUMPRODUCT((nNIA=Y122)*(nCUENTA=1)*(COUNTIF(CONFIG_ASIGNATURAS!$B$7:$B$27,nASIG)&gt;0)*1),"")))</f>
        <v/>
      </c>
      <c r="AF122" t="str">
        <f>IF(AE122="","",IF(AE122="[FÓRMULA MANUAL]","",IFERROR(AVERAGEIFS(nNOTA,nNIA,AE122,nCUENTA,1,nASIG,"Análisis"),"")))</f>
        <v/>
      </c>
      <c r="AG122" t="str">
        <f>IF(AE122="","",IF(AE122="[FÓRMULA MANUAL]","",IFERROR(AVERAGEIFS(nNOTA,nNIA,AE122,nCUENTA,1,nASIG,"Orquesta/Banda/Conjunto"),"")))</f>
        <v/>
      </c>
      <c r="AH122" t="str">
        <f>IF(AE122="","",IF(AE122="[FÓRMULA MANUAL]","",IFERROR(AVERAGEIFS(nNOTA,nNIA,AE122,nCUENTA,1,nASIG,"Música de Cámara"),"")))</f>
        <v/>
      </c>
      <c r="AI122" t="str">
        <f>IF(AE122="","",IF(AE122="[FÓRMULA MANUAL]","",IFERROR(SUMPRODUCT((nNIA=AE122)*(nCUENTA=1)*(COUNTIF(CONFIG_ASIGNATURAS!$B$7:$B$27,nASIG)&gt;0)*(nNOTA))/SUMPRODUCT((nNIA=AE122)*(nCUENTA=1)*(COUNTIF(CONFIG_ASIGNATURAS!$B$7:$B$27,nASIG)&gt;0)*1),"")))</f>
        <v/>
      </c>
    </row>
    <row r="123" spans="2:35" x14ac:dyDescent="0.2">
      <c r="B123" t="str">
        <f>IF(A123="","",IF(A123="[FÓRMULA MANUAL]","",IFERROR(AVERAGEIFS(nNOTA,nNIA,A123,nCUENTA,1,nASIG,"Lenguaje Musical"),"")))</f>
        <v/>
      </c>
      <c r="C123" t="str">
        <f>IF(A123="","",IF(A123="[FÓRMULA MANUAL]","",IFERROR(AVERAGEIFS(nNOTA,nNIA,A123,nCUENTA,1,nASIG,"Orquesta/Banda/Conjunto"),"")))</f>
        <v/>
      </c>
      <c r="D123" t="str">
        <f>IF(A123="","",IF(A123="[FÓRMULA MANUAL]","",IFERROR(AVERAGEIFS(nNOTA,nNIA,A123,nCUENTA,1,nASIG,"Conjunto"),"")))</f>
        <v/>
      </c>
      <c r="E123" t="str">
        <f>IF(A123="","",IF(A123="[FÓRMULA MANUAL]","",IFERROR(SUMPRODUCT((nNIA=A123)*(nCUENTA=1)*(COUNTIF(CONFIG_ASIGNATURAS!$B$7:$B$27,nASIG)&gt;0)*(nNOTA))/SUMPRODUCT((nNIA=A123)*(nCUENTA=1)*(COUNTIF(CONFIG_ASIGNATURAS!$B$7:$B$27,nASIG)&gt;0)*1),"")))</f>
        <v/>
      </c>
      <c r="H123" t="str">
        <f>IF(G123="","",IF(G123="[FÓRMULA MANUAL]","",IFERROR(AVERAGEIFS(nNOTA,nNIA,G123,nCUENTA,1,nASIG,"Lenguaje Musical"),"")))</f>
        <v/>
      </c>
      <c r="I123" t="str">
        <f>IF(G123="","",IF(G123="[FÓRMULA MANUAL]","",IFERROR(AVERAGEIFS(nNOTA,nNIA,G123,nCUENTA,1,nASIG,"Orquesta/Banda/Conjunto"),"")))</f>
        <v/>
      </c>
      <c r="J123" t="str">
        <f>IF(G123="","",IF(G123="[FÓRMULA MANUAL]","",IFERROR(AVERAGEIFS(nNOTA,nNIA,G123,nCUENTA,1,nASIG,"Conjunto"),"")))</f>
        <v/>
      </c>
      <c r="K123" t="str">
        <f>IF(G123="","",IF(G123="[FÓRMULA MANUAL]","",IFERROR(SUMPRODUCT((nNIA=G123)*(nCUENTA=1)*(COUNTIF(CONFIG_ASIGNATURAS!$B$7:$B$27,nASIG)&gt;0)*(nNOTA))/SUMPRODUCT((nNIA=G123)*(nCUENTA=1)*(COUNTIF(CONFIG_ASIGNATURAS!$B$7:$B$27,nASIG)&gt;0)*1),"")))</f>
        <v/>
      </c>
      <c r="N123" t="str">
        <f>IF(M123="","",IF(M123="[FÓRMULA MANUAL]","",IFERROR(AVERAGEIFS(nNOTA,nNIA,M123,nCUENTA,1,nASIG,"Armonía"),"")))</f>
        <v/>
      </c>
      <c r="O123" t="str">
        <f>IF(M123="","",IF(M123="[FÓRMULA MANUAL]","",IFERROR(AVERAGEIFS(nNOTA,nNIA,M123,nCUENTA,1,nASIG,"Orquesta/Banda/Conjunto"),"")))</f>
        <v/>
      </c>
      <c r="P123" t="str">
        <f>IF(M123="","",IF(M123="[FÓRMULA MANUAL]","",IFERROR(AVERAGEIFS(nNOTA,nNIA,M123,nCUENTA,1,nASIG,"Música de Cámara"),"")))</f>
        <v/>
      </c>
      <c r="Q123" t="str">
        <f>IF(M123="","",IF(M123="[FÓRMULA MANUAL]","",IFERROR(SUMPRODUCT((nNIA=M123)*(nCUENTA=1)*(COUNTIF(CONFIG_ASIGNATURAS!$B$7:$B$27,nASIG)&gt;0)*(nNOTA))/SUMPRODUCT((nNIA=M123)*(nCUENTA=1)*(COUNTIF(CONFIG_ASIGNATURAS!$B$7:$B$27,nASIG)&gt;0)*1),"")))</f>
        <v/>
      </c>
      <c r="T123" t="str">
        <f>IF(S123="","",IF(S123="[FÓRMULA MANUAL]","",IFERROR(AVERAGEIFS(nNOTA,nNIA,S123,nCUENTA,1,nASIG,"Armonía"),"")))</f>
        <v/>
      </c>
      <c r="U123" t="str">
        <f>IF(S123="","",IF(S123="[FÓRMULA MANUAL]","",IFERROR(AVERAGEIFS(nNOTA,nNIA,S123,nCUENTA,1,nASIG,"Orquesta/Banda/Conjunto"),"")))</f>
        <v/>
      </c>
      <c r="V123" t="str">
        <f>IF(S123="","",IF(S123="[FÓRMULA MANUAL]","",IFERROR(AVERAGEIFS(nNOTA,nNIA,S123,nCUENTA,1,nASIG,"Música de Cámara"),"")))</f>
        <v/>
      </c>
      <c r="W123" t="str">
        <f>IF(S123="","",IF(S123="[FÓRMULA MANUAL]","",IFERROR(SUMPRODUCT((nNIA=S123)*(nCUENTA=1)*(COUNTIF(CONFIG_ASIGNATURAS!$B$7:$B$27,nASIG)&gt;0)*(nNOTA))/SUMPRODUCT((nNIA=S123)*(nCUENTA=1)*(COUNTIF(CONFIG_ASIGNATURAS!$B$7:$B$27,nASIG)&gt;0)*1),"")))</f>
        <v/>
      </c>
      <c r="Z123" t="str">
        <f>IF(Y123="","",IF(Y123="[FÓRMULA MANUAL]","",IFERROR(AVERAGEIFS(nNOTA,nNIA,Y123,nCUENTA,1,nASIG,"Análisis"),"")))</f>
        <v/>
      </c>
      <c r="AA123" t="str">
        <f>IF(Y123="","",IF(Y123="[FÓRMULA MANUAL]","",IFERROR(AVERAGEIFS(nNOTA,nNIA,Y123,nCUENTA,1,nASIG,"Orquesta/Banda/Conjunto"),"")))</f>
        <v/>
      </c>
      <c r="AB123" t="str">
        <f>IF(Y123="","",IF(Y123="[FÓRMULA MANUAL]","",IFERROR(AVERAGEIFS(nNOTA,nNIA,Y123,nCUENTA,1,nASIG,"Música de Cámara"),"")))</f>
        <v/>
      </c>
      <c r="AC123" t="str">
        <f>IF(Y123="","",IF(Y123="[FÓRMULA MANUAL]","",IFERROR(SUMPRODUCT((nNIA=Y123)*(nCUENTA=1)*(COUNTIF(CONFIG_ASIGNATURAS!$B$7:$B$27,nASIG)&gt;0)*(nNOTA))/SUMPRODUCT((nNIA=Y123)*(nCUENTA=1)*(COUNTIF(CONFIG_ASIGNATURAS!$B$7:$B$27,nASIG)&gt;0)*1),"")))</f>
        <v/>
      </c>
      <c r="AF123" t="str">
        <f>IF(AE123="","",IF(AE123="[FÓRMULA MANUAL]","",IFERROR(AVERAGEIFS(nNOTA,nNIA,AE123,nCUENTA,1,nASIG,"Análisis"),"")))</f>
        <v/>
      </c>
      <c r="AG123" t="str">
        <f>IF(AE123="","",IF(AE123="[FÓRMULA MANUAL]","",IFERROR(AVERAGEIFS(nNOTA,nNIA,AE123,nCUENTA,1,nASIG,"Orquesta/Banda/Conjunto"),"")))</f>
        <v/>
      </c>
      <c r="AH123" t="str">
        <f>IF(AE123="","",IF(AE123="[FÓRMULA MANUAL]","",IFERROR(AVERAGEIFS(nNOTA,nNIA,AE123,nCUENTA,1,nASIG,"Música de Cámara"),"")))</f>
        <v/>
      </c>
      <c r="AI123" t="str">
        <f>IF(AE123="","",IF(AE123="[FÓRMULA MANUAL]","",IFERROR(SUMPRODUCT((nNIA=AE123)*(nCUENTA=1)*(COUNTIF(CONFIG_ASIGNATURAS!$B$7:$B$27,nASIG)&gt;0)*(nNOTA))/SUMPRODUCT((nNIA=AE123)*(nCUENTA=1)*(COUNTIF(CONFIG_ASIGNATURAS!$B$7:$B$27,nASIG)&gt;0)*1),"")))</f>
        <v/>
      </c>
    </row>
    <row r="124" spans="2:35" x14ac:dyDescent="0.2">
      <c r="B124" t="str">
        <f>IF(A124="","",IF(A124="[FÓRMULA MANUAL]","",IFERROR(AVERAGEIFS(nNOTA,nNIA,A124,nCUENTA,1,nASIG,"Lenguaje Musical"),"")))</f>
        <v/>
      </c>
      <c r="C124" t="str">
        <f>IF(A124="","",IF(A124="[FÓRMULA MANUAL]","",IFERROR(AVERAGEIFS(nNOTA,nNIA,A124,nCUENTA,1,nASIG,"Orquesta/Banda/Conjunto"),"")))</f>
        <v/>
      </c>
      <c r="D124" t="str">
        <f>IF(A124="","",IF(A124="[FÓRMULA MANUAL]","",IFERROR(AVERAGEIFS(nNOTA,nNIA,A124,nCUENTA,1,nASIG,"Conjunto"),"")))</f>
        <v/>
      </c>
      <c r="E124" t="str">
        <f>IF(A124="","",IF(A124="[FÓRMULA MANUAL]","",IFERROR(SUMPRODUCT((nNIA=A124)*(nCUENTA=1)*(COUNTIF(CONFIG_ASIGNATURAS!$B$7:$B$27,nASIG)&gt;0)*(nNOTA))/SUMPRODUCT((nNIA=A124)*(nCUENTA=1)*(COUNTIF(CONFIG_ASIGNATURAS!$B$7:$B$27,nASIG)&gt;0)*1),"")))</f>
        <v/>
      </c>
      <c r="H124" t="str">
        <f>IF(G124="","",IF(G124="[FÓRMULA MANUAL]","",IFERROR(AVERAGEIFS(nNOTA,nNIA,G124,nCUENTA,1,nASIG,"Lenguaje Musical"),"")))</f>
        <v/>
      </c>
      <c r="I124" t="str">
        <f>IF(G124="","",IF(G124="[FÓRMULA MANUAL]","",IFERROR(AVERAGEIFS(nNOTA,nNIA,G124,nCUENTA,1,nASIG,"Orquesta/Banda/Conjunto"),"")))</f>
        <v/>
      </c>
      <c r="J124" t="str">
        <f>IF(G124="","",IF(G124="[FÓRMULA MANUAL]","",IFERROR(AVERAGEIFS(nNOTA,nNIA,G124,nCUENTA,1,nASIG,"Conjunto"),"")))</f>
        <v/>
      </c>
      <c r="K124" t="str">
        <f>IF(G124="","",IF(G124="[FÓRMULA MANUAL]","",IFERROR(SUMPRODUCT((nNIA=G124)*(nCUENTA=1)*(COUNTIF(CONFIG_ASIGNATURAS!$B$7:$B$27,nASIG)&gt;0)*(nNOTA))/SUMPRODUCT((nNIA=G124)*(nCUENTA=1)*(COUNTIF(CONFIG_ASIGNATURAS!$B$7:$B$27,nASIG)&gt;0)*1),"")))</f>
        <v/>
      </c>
      <c r="N124" t="str">
        <f>IF(M124="","",IF(M124="[FÓRMULA MANUAL]","",IFERROR(AVERAGEIFS(nNOTA,nNIA,M124,nCUENTA,1,nASIG,"Armonía"),"")))</f>
        <v/>
      </c>
      <c r="O124" t="str">
        <f>IF(M124="","",IF(M124="[FÓRMULA MANUAL]","",IFERROR(AVERAGEIFS(nNOTA,nNIA,M124,nCUENTA,1,nASIG,"Orquesta/Banda/Conjunto"),"")))</f>
        <v/>
      </c>
      <c r="P124" t="str">
        <f>IF(M124="","",IF(M124="[FÓRMULA MANUAL]","",IFERROR(AVERAGEIFS(nNOTA,nNIA,M124,nCUENTA,1,nASIG,"Música de Cámara"),"")))</f>
        <v/>
      </c>
      <c r="Q124" t="str">
        <f>IF(M124="","",IF(M124="[FÓRMULA MANUAL]","",IFERROR(SUMPRODUCT((nNIA=M124)*(nCUENTA=1)*(COUNTIF(CONFIG_ASIGNATURAS!$B$7:$B$27,nASIG)&gt;0)*(nNOTA))/SUMPRODUCT((nNIA=M124)*(nCUENTA=1)*(COUNTIF(CONFIG_ASIGNATURAS!$B$7:$B$27,nASIG)&gt;0)*1),"")))</f>
        <v/>
      </c>
      <c r="T124" t="str">
        <f>IF(S124="","",IF(S124="[FÓRMULA MANUAL]","",IFERROR(AVERAGEIFS(nNOTA,nNIA,S124,nCUENTA,1,nASIG,"Armonía"),"")))</f>
        <v/>
      </c>
      <c r="U124" t="str">
        <f>IF(S124="","",IF(S124="[FÓRMULA MANUAL]","",IFERROR(AVERAGEIFS(nNOTA,nNIA,S124,nCUENTA,1,nASIG,"Orquesta/Banda/Conjunto"),"")))</f>
        <v/>
      </c>
      <c r="V124" t="str">
        <f>IF(S124="","",IF(S124="[FÓRMULA MANUAL]","",IFERROR(AVERAGEIFS(nNOTA,nNIA,S124,nCUENTA,1,nASIG,"Música de Cámara"),"")))</f>
        <v/>
      </c>
      <c r="W124" t="str">
        <f>IF(S124="","",IF(S124="[FÓRMULA MANUAL]","",IFERROR(SUMPRODUCT((nNIA=S124)*(nCUENTA=1)*(COUNTIF(CONFIG_ASIGNATURAS!$B$7:$B$27,nASIG)&gt;0)*(nNOTA))/SUMPRODUCT((nNIA=S124)*(nCUENTA=1)*(COUNTIF(CONFIG_ASIGNATURAS!$B$7:$B$27,nASIG)&gt;0)*1),"")))</f>
        <v/>
      </c>
      <c r="Z124" t="str">
        <f>IF(Y124="","",IF(Y124="[FÓRMULA MANUAL]","",IFERROR(AVERAGEIFS(nNOTA,nNIA,Y124,nCUENTA,1,nASIG,"Análisis"),"")))</f>
        <v/>
      </c>
      <c r="AA124" t="str">
        <f>IF(Y124="","",IF(Y124="[FÓRMULA MANUAL]","",IFERROR(AVERAGEIFS(nNOTA,nNIA,Y124,nCUENTA,1,nASIG,"Orquesta/Banda/Conjunto"),"")))</f>
        <v/>
      </c>
      <c r="AB124" t="str">
        <f>IF(Y124="","",IF(Y124="[FÓRMULA MANUAL]","",IFERROR(AVERAGEIFS(nNOTA,nNIA,Y124,nCUENTA,1,nASIG,"Música de Cámara"),"")))</f>
        <v/>
      </c>
      <c r="AC124" t="str">
        <f>IF(Y124="","",IF(Y124="[FÓRMULA MANUAL]","",IFERROR(SUMPRODUCT((nNIA=Y124)*(nCUENTA=1)*(COUNTIF(CONFIG_ASIGNATURAS!$B$7:$B$27,nASIG)&gt;0)*(nNOTA))/SUMPRODUCT((nNIA=Y124)*(nCUENTA=1)*(COUNTIF(CONFIG_ASIGNATURAS!$B$7:$B$27,nASIG)&gt;0)*1),"")))</f>
        <v/>
      </c>
      <c r="AF124" t="str">
        <f>IF(AE124="","",IF(AE124="[FÓRMULA MANUAL]","",IFERROR(AVERAGEIFS(nNOTA,nNIA,AE124,nCUENTA,1,nASIG,"Análisis"),"")))</f>
        <v/>
      </c>
      <c r="AG124" t="str">
        <f>IF(AE124="","",IF(AE124="[FÓRMULA MANUAL]","",IFERROR(AVERAGEIFS(nNOTA,nNIA,AE124,nCUENTA,1,nASIG,"Orquesta/Banda/Conjunto"),"")))</f>
        <v/>
      </c>
      <c r="AH124" t="str">
        <f>IF(AE124="","",IF(AE124="[FÓRMULA MANUAL]","",IFERROR(AVERAGEIFS(nNOTA,nNIA,AE124,nCUENTA,1,nASIG,"Música de Cámara"),"")))</f>
        <v/>
      </c>
      <c r="AI124" t="str">
        <f>IF(AE124="","",IF(AE124="[FÓRMULA MANUAL]","",IFERROR(SUMPRODUCT((nNIA=AE124)*(nCUENTA=1)*(COUNTIF(CONFIG_ASIGNATURAS!$B$7:$B$27,nASIG)&gt;0)*(nNOTA))/SUMPRODUCT((nNIA=AE124)*(nCUENTA=1)*(COUNTIF(CONFIG_ASIGNATURAS!$B$7:$B$27,nASIG)&gt;0)*1),"")))</f>
        <v/>
      </c>
    </row>
    <row r="125" spans="2:35" x14ac:dyDescent="0.2">
      <c r="B125" t="str">
        <f>IF(A125="","",IF(A125="[FÓRMULA MANUAL]","",IFERROR(AVERAGEIFS(nNOTA,nNIA,A125,nCUENTA,1,nASIG,"Lenguaje Musical"),"")))</f>
        <v/>
      </c>
      <c r="C125" t="str">
        <f>IF(A125="","",IF(A125="[FÓRMULA MANUAL]","",IFERROR(AVERAGEIFS(nNOTA,nNIA,A125,nCUENTA,1,nASIG,"Orquesta/Banda/Conjunto"),"")))</f>
        <v/>
      </c>
      <c r="D125" t="str">
        <f>IF(A125="","",IF(A125="[FÓRMULA MANUAL]","",IFERROR(AVERAGEIFS(nNOTA,nNIA,A125,nCUENTA,1,nASIG,"Conjunto"),"")))</f>
        <v/>
      </c>
      <c r="E125" t="str">
        <f>IF(A125="","",IF(A125="[FÓRMULA MANUAL]","",IFERROR(SUMPRODUCT((nNIA=A125)*(nCUENTA=1)*(COUNTIF(CONFIG_ASIGNATURAS!$B$7:$B$27,nASIG)&gt;0)*(nNOTA))/SUMPRODUCT((nNIA=A125)*(nCUENTA=1)*(COUNTIF(CONFIG_ASIGNATURAS!$B$7:$B$27,nASIG)&gt;0)*1),"")))</f>
        <v/>
      </c>
      <c r="H125" t="str">
        <f>IF(G125="","",IF(G125="[FÓRMULA MANUAL]","",IFERROR(AVERAGEIFS(nNOTA,nNIA,G125,nCUENTA,1,nASIG,"Lenguaje Musical"),"")))</f>
        <v/>
      </c>
      <c r="I125" t="str">
        <f>IF(G125="","",IF(G125="[FÓRMULA MANUAL]","",IFERROR(AVERAGEIFS(nNOTA,nNIA,G125,nCUENTA,1,nASIG,"Orquesta/Banda/Conjunto"),"")))</f>
        <v/>
      </c>
      <c r="J125" t="str">
        <f>IF(G125="","",IF(G125="[FÓRMULA MANUAL]","",IFERROR(AVERAGEIFS(nNOTA,nNIA,G125,nCUENTA,1,nASIG,"Conjunto"),"")))</f>
        <v/>
      </c>
      <c r="K125" t="str">
        <f>IF(G125="","",IF(G125="[FÓRMULA MANUAL]","",IFERROR(SUMPRODUCT((nNIA=G125)*(nCUENTA=1)*(COUNTIF(CONFIG_ASIGNATURAS!$B$7:$B$27,nASIG)&gt;0)*(nNOTA))/SUMPRODUCT((nNIA=G125)*(nCUENTA=1)*(COUNTIF(CONFIG_ASIGNATURAS!$B$7:$B$27,nASIG)&gt;0)*1),"")))</f>
        <v/>
      </c>
      <c r="N125" t="str">
        <f>IF(M125="","",IF(M125="[FÓRMULA MANUAL]","",IFERROR(AVERAGEIFS(nNOTA,nNIA,M125,nCUENTA,1,nASIG,"Armonía"),"")))</f>
        <v/>
      </c>
      <c r="O125" t="str">
        <f>IF(M125="","",IF(M125="[FÓRMULA MANUAL]","",IFERROR(AVERAGEIFS(nNOTA,nNIA,M125,nCUENTA,1,nASIG,"Orquesta/Banda/Conjunto"),"")))</f>
        <v/>
      </c>
      <c r="P125" t="str">
        <f>IF(M125="","",IF(M125="[FÓRMULA MANUAL]","",IFERROR(AVERAGEIFS(nNOTA,nNIA,M125,nCUENTA,1,nASIG,"Música de Cámara"),"")))</f>
        <v/>
      </c>
      <c r="Q125" t="str">
        <f>IF(M125="","",IF(M125="[FÓRMULA MANUAL]","",IFERROR(SUMPRODUCT((nNIA=M125)*(nCUENTA=1)*(COUNTIF(CONFIG_ASIGNATURAS!$B$7:$B$27,nASIG)&gt;0)*(nNOTA))/SUMPRODUCT((nNIA=M125)*(nCUENTA=1)*(COUNTIF(CONFIG_ASIGNATURAS!$B$7:$B$27,nASIG)&gt;0)*1),"")))</f>
        <v/>
      </c>
      <c r="T125" t="str">
        <f>IF(S125="","",IF(S125="[FÓRMULA MANUAL]","",IFERROR(AVERAGEIFS(nNOTA,nNIA,S125,nCUENTA,1,nASIG,"Armonía"),"")))</f>
        <v/>
      </c>
      <c r="U125" t="str">
        <f>IF(S125="","",IF(S125="[FÓRMULA MANUAL]","",IFERROR(AVERAGEIFS(nNOTA,nNIA,S125,nCUENTA,1,nASIG,"Orquesta/Banda/Conjunto"),"")))</f>
        <v/>
      </c>
      <c r="V125" t="str">
        <f>IF(S125="","",IF(S125="[FÓRMULA MANUAL]","",IFERROR(AVERAGEIFS(nNOTA,nNIA,S125,nCUENTA,1,nASIG,"Música de Cámara"),"")))</f>
        <v/>
      </c>
      <c r="W125" t="str">
        <f>IF(S125="","",IF(S125="[FÓRMULA MANUAL]","",IFERROR(SUMPRODUCT((nNIA=S125)*(nCUENTA=1)*(COUNTIF(CONFIG_ASIGNATURAS!$B$7:$B$27,nASIG)&gt;0)*(nNOTA))/SUMPRODUCT((nNIA=S125)*(nCUENTA=1)*(COUNTIF(CONFIG_ASIGNATURAS!$B$7:$B$27,nASIG)&gt;0)*1),"")))</f>
        <v/>
      </c>
      <c r="Z125" t="str">
        <f>IF(Y125="","",IF(Y125="[FÓRMULA MANUAL]","",IFERROR(AVERAGEIFS(nNOTA,nNIA,Y125,nCUENTA,1,nASIG,"Análisis"),"")))</f>
        <v/>
      </c>
      <c r="AA125" t="str">
        <f>IF(Y125="","",IF(Y125="[FÓRMULA MANUAL]","",IFERROR(AVERAGEIFS(nNOTA,nNIA,Y125,nCUENTA,1,nASIG,"Orquesta/Banda/Conjunto"),"")))</f>
        <v/>
      </c>
      <c r="AB125" t="str">
        <f>IF(Y125="","",IF(Y125="[FÓRMULA MANUAL]","",IFERROR(AVERAGEIFS(nNOTA,nNIA,Y125,nCUENTA,1,nASIG,"Música de Cámara"),"")))</f>
        <v/>
      </c>
      <c r="AC125" t="str">
        <f>IF(Y125="","",IF(Y125="[FÓRMULA MANUAL]","",IFERROR(SUMPRODUCT((nNIA=Y125)*(nCUENTA=1)*(COUNTIF(CONFIG_ASIGNATURAS!$B$7:$B$27,nASIG)&gt;0)*(nNOTA))/SUMPRODUCT((nNIA=Y125)*(nCUENTA=1)*(COUNTIF(CONFIG_ASIGNATURAS!$B$7:$B$27,nASIG)&gt;0)*1),"")))</f>
        <v/>
      </c>
      <c r="AF125" t="str">
        <f>IF(AE125="","",IF(AE125="[FÓRMULA MANUAL]","",IFERROR(AVERAGEIFS(nNOTA,nNIA,AE125,nCUENTA,1,nASIG,"Análisis"),"")))</f>
        <v/>
      </c>
      <c r="AG125" t="str">
        <f>IF(AE125="","",IF(AE125="[FÓRMULA MANUAL]","",IFERROR(AVERAGEIFS(nNOTA,nNIA,AE125,nCUENTA,1,nASIG,"Orquesta/Banda/Conjunto"),"")))</f>
        <v/>
      </c>
      <c r="AH125" t="str">
        <f>IF(AE125="","",IF(AE125="[FÓRMULA MANUAL]","",IFERROR(AVERAGEIFS(nNOTA,nNIA,AE125,nCUENTA,1,nASIG,"Música de Cámara"),"")))</f>
        <v/>
      </c>
      <c r="AI125" t="str">
        <f>IF(AE125="","",IF(AE125="[FÓRMULA MANUAL]","",IFERROR(SUMPRODUCT((nNIA=AE125)*(nCUENTA=1)*(COUNTIF(CONFIG_ASIGNATURAS!$B$7:$B$27,nASIG)&gt;0)*(nNOTA))/SUMPRODUCT((nNIA=AE125)*(nCUENTA=1)*(COUNTIF(CONFIG_ASIGNATURAS!$B$7:$B$27,nASIG)&gt;0)*1),"")))</f>
        <v/>
      </c>
    </row>
    <row r="126" spans="2:35" x14ac:dyDescent="0.2">
      <c r="B126" t="str">
        <f>IF(A126="","",IF(A126="[FÓRMULA MANUAL]","",IFERROR(AVERAGEIFS(nNOTA,nNIA,A126,nCUENTA,1,nASIG,"Lenguaje Musical"),"")))</f>
        <v/>
      </c>
      <c r="C126" t="str">
        <f>IF(A126="","",IF(A126="[FÓRMULA MANUAL]","",IFERROR(AVERAGEIFS(nNOTA,nNIA,A126,nCUENTA,1,nASIG,"Orquesta/Banda/Conjunto"),"")))</f>
        <v/>
      </c>
      <c r="D126" t="str">
        <f>IF(A126="","",IF(A126="[FÓRMULA MANUAL]","",IFERROR(AVERAGEIFS(nNOTA,nNIA,A126,nCUENTA,1,nASIG,"Conjunto"),"")))</f>
        <v/>
      </c>
      <c r="E126" t="str">
        <f>IF(A126="","",IF(A126="[FÓRMULA MANUAL]","",IFERROR(SUMPRODUCT((nNIA=A126)*(nCUENTA=1)*(COUNTIF(CONFIG_ASIGNATURAS!$B$7:$B$27,nASIG)&gt;0)*(nNOTA))/SUMPRODUCT((nNIA=A126)*(nCUENTA=1)*(COUNTIF(CONFIG_ASIGNATURAS!$B$7:$B$27,nASIG)&gt;0)*1),"")))</f>
        <v/>
      </c>
      <c r="H126" t="str">
        <f>IF(G126="","",IF(G126="[FÓRMULA MANUAL]","",IFERROR(AVERAGEIFS(nNOTA,nNIA,G126,nCUENTA,1,nASIG,"Lenguaje Musical"),"")))</f>
        <v/>
      </c>
      <c r="I126" t="str">
        <f>IF(G126="","",IF(G126="[FÓRMULA MANUAL]","",IFERROR(AVERAGEIFS(nNOTA,nNIA,G126,nCUENTA,1,nASIG,"Orquesta/Banda/Conjunto"),"")))</f>
        <v/>
      </c>
      <c r="J126" t="str">
        <f>IF(G126="","",IF(G126="[FÓRMULA MANUAL]","",IFERROR(AVERAGEIFS(nNOTA,nNIA,G126,nCUENTA,1,nASIG,"Conjunto"),"")))</f>
        <v/>
      </c>
      <c r="K126" t="str">
        <f>IF(G126="","",IF(G126="[FÓRMULA MANUAL]","",IFERROR(SUMPRODUCT((nNIA=G126)*(nCUENTA=1)*(COUNTIF(CONFIG_ASIGNATURAS!$B$7:$B$27,nASIG)&gt;0)*(nNOTA))/SUMPRODUCT((nNIA=G126)*(nCUENTA=1)*(COUNTIF(CONFIG_ASIGNATURAS!$B$7:$B$27,nASIG)&gt;0)*1),"")))</f>
        <v/>
      </c>
      <c r="N126" t="str">
        <f>IF(M126="","",IF(M126="[FÓRMULA MANUAL]","",IFERROR(AVERAGEIFS(nNOTA,nNIA,M126,nCUENTA,1,nASIG,"Armonía"),"")))</f>
        <v/>
      </c>
      <c r="O126" t="str">
        <f>IF(M126="","",IF(M126="[FÓRMULA MANUAL]","",IFERROR(AVERAGEIFS(nNOTA,nNIA,M126,nCUENTA,1,nASIG,"Orquesta/Banda/Conjunto"),"")))</f>
        <v/>
      </c>
      <c r="P126" t="str">
        <f>IF(M126="","",IF(M126="[FÓRMULA MANUAL]","",IFERROR(AVERAGEIFS(nNOTA,nNIA,M126,nCUENTA,1,nASIG,"Música de Cámara"),"")))</f>
        <v/>
      </c>
      <c r="Q126" t="str">
        <f>IF(M126="","",IF(M126="[FÓRMULA MANUAL]","",IFERROR(SUMPRODUCT((nNIA=M126)*(nCUENTA=1)*(COUNTIF(CONFIG_ASIGNATURAS!$B$7:$B$27,nASIG)&gt;0)*(nNOTA))/SUMPRODUCT((nNIA=M126)*(nCUENTA=1)*(COUNTIF(CONFIG_ASIGNATURAS!$B$7:$B$27,nASIG)&gt;0)*1),"")))</f>
        <v/>
      </c>
      <c r="T126" t="str">
        <f>IF(S126="","",IF(S126="[FÓRMULA MANUAL]","",IFERROR(AVERAGEIFS(nNOTA,nNIA,S126,nCUENTA,1,nASIG,"Armonía"),"")))</f>
        <v/>
      </c>
      <c r="U126" t="str">
        <f>IF(S126="","",IF(S126="[FÓRMULA MANUAL]","",IFERROR(AVERAGEIFS(nNOTA,nNIA,S126,nCUENTA,1,nASIG,"Orquesta/Banda/Conjunto"),"")))</f>
        <v/>
      </c>
      <c r="V126" t="str">
        <f>IF(S126="","",IF(S126="[FÓRMULA MANUAL]","",IFERROR(AVERAGEIFS(nNOTA,nNIA,S126,nCUENTA,1,nASIG,"Música de Cámara"),"")))</f>
        <v/>
      </c>
      <c r="W126" t="str">
        <f>IF(S126="","",IF(S126="[FÓRMULA MANUAL]","",IFERROR(SUMPRODUCT((nNIA=S126)*(nCUENTA=1)*(COUNTIF(CONFIG_ASIGNATURAS!$B$7:$B$27,nASIG)&gt;0)*(nNOTA))/SUMPRODUCT((nNIA=S126)*(nCUENTA=1)*(COUNTIF(CONFIG_ASIGNATURAS!$B$7:$B$27,nASIG)&gt;0)*1),"")))</f>
        <v/>
      </c>
      <c r="Z126" t="str">
        <f>IF(Y126="","",IF(Y126="[FÓRMULA MANUAL]","",IFERROR(AVERAGEIFS(nNOTA,nNIA,Y126,nCUENTA,1,nASIG,"Análisis"),"")))</f>
        <v/>
      </c>
      <c r="AA126" t="str">
        <f>IF(Y126="","",IF(Y126="[FÓRMULA MANUAL]","",IFERROR(AVERAGEIFS(nNOTA,nNIA,Y126,nCUENTA,1,nASIG,"Orquesta/Banda/Conjunto"),"")))</f>
        <v/>
      </c>
      <c r="AB126" t="str">
        <f>IF(Y126="","",IF(Y126="[FÓRMULA MANUAL]","",IFERROR(AVERAGEIFS(nNOTA,nNIA,Y126,nCUENTA,1,nASIG,"Música de Cámara"),"")))</f>
        <v/>
      </c>
      <c r="AC126" t="str">
        <f>IF(Y126="","",IF(Y126="[FÓRMULA MANUAL]","",IFERROR(SUMPRODUCT((nNIA=Y126)*(nCUENTA=1)*(COUNTIF(CONFIG_ASIGNATURAS!$B$7:$B$27,nASIG)&gt;0)*(nNOTA))/SUMPRODUCT((nNIA=Y126)*(nCUENTA=1)*(COUNTIF(CONFIG_ASIGNATURAS!$B$7:$B$27,nASIG)&gt;0)*1),"")))</f>
        <v/>
      </c>
      <c r="AF126" t="str">
        <f>IF(AE126="","",IF(AE126="[FÓRMULA MANUAL]","",IFERROR(AVERAGEIFS(nNOTA,nNIA,AE126,nCUENTA,1,nASIG,"Análisis"),"")))</f>
        <v/>
      </c>
      <c r="AG126" t="str">
        <f>IF(AE126="","",IF(AE126="[FÓRMULA MANUAL]","",IFERROR(AVERAGEIFS(nNOTA,nNIA,AE126,nCUENTA,1,nASIG,"Orquesta/Banda/Conjunto"),"")))</f>
        <v/>
      </c>
      <c r="AH126" t="str">
        <f>IF(AE126="","",IF(AE126="[FÓRMULA MANUAL]","",IFERROR(AVERAGEIFS(nNOTA,nNIA,AE126,nCUENTA,1,nASIG,"Música de Cámara"),"")))</f>
        <v/>
      </c>
      <c r="AI126" t="str">
        <f>IF(AE126="","",IF(AE126="[FÓRMULA MANUAL]","",IFERROR(SUMPRODUCT((nNIA=AE126)*(nCUENTA=1)*(COUNTIF(CONFIG_ASIGNATURAS!$B$7:$B$27,nASIG)&gt;0)*(nNOTA))/SUMPRODUCT((nNIA=AE126)*(nCUENTA=1)*(COUNTIF(CONFIG_ASIGNATURAS!$B$7:$B$27,nASIG)&gt;0)*1),"")))</f>
        <v/>
      </c>
    </row>
    <row r="127" spans="2:35" x14ac:dyDescent="0.2">
      <c r="B127" t="str">
        <f>IF(A127="","",IF(A127="[FÓRMULA MANUAL]","",IFERROR(AVERAGEIFS(nNOTA,nNIA,A127,nCUENTA,1,nASIG,"Lenguaje Musical"),"")))</f>
        <v/>
      </c>
      <c r="C127" t="str">
        <f>IF(A127="","",IF(A127="[FÓRMULA MANUAL]","",IFERROR(AVERAGEIFS(nNOTA,nNIA,A127,nCUENTA,1,nASIG,"Orquesta/Banda/Conjunto"),"")))</f>
        <v/>
      </c>
      <c r="D127" t="str">
        <f>IF(A127="","",IF(A127="[FÓRMULA MANUAL]","",IFERROR(AVERAGEIFS(nNOTA,nNIA,A127,nCUENTA,1,nASIG,"Conjunto"),"")))</f>
        <v/>
      </c>
      <c r="E127" t="str">
        <f>IF(A127="","",IF(A127="[FÓRMULA MANUAL]","",IFERROR(SUMPRODUCT((nNIA=A127)*(nCUENTA=1)*(COUNTIF(CONFIG_ASIGNATURAS!$B$7:$B$27,nASIG)&gt;0)*(nNOTA))/SUMPRODUCT((nNIA=A127)*(nCUENTA=1)*(COUNTIF(CONFIG_ASIGNATURAS!$B$7:$B$27,nASIG)&gt;0)*1),"")))</f>
        <v/>
      </c>
      <c r="H127" t="str">
        <f>IF(G127="","",IF(G127="[FÓRMULA MANUAL]","",IFERROR(AVERAGEIFS(nNOTA,nNIA,G127,nCUENTA,1,nASIG,"Lenguaje Musical"),"")))</f>
        <v/>
      </c>
      <c r="I127" t="str">
        <f>IF(G127="","",IF(G127="[FÓRMULA MANUAL]","",IFERROR(AVERAGEIFS(nNOTA,nNIA,G127,nCUENTA,1,nASIG,"Orquesta/Banda/Conjunto"),"")))</f>
        <v/>
      </c>
      <c r="J127" t="str">
        <f>IF(G127="","",IF(G127="[FÓRMULA MANUAL]","",IFERROR(AVERAGEIFS(nNOTA,nNIA,G127,nCUENTA,1,nASIG,"Conjunto"),"")))</f>
        <v/>
      </c>
      <c r="K127" t="str">
        <f>IF(G127="","",IF(G127="[FÓRMULA MANUAL]","",IFERROR(SUMPRODUCT((nNIA=G127)*(nCUENTA=1)*(COUNTIF(CONFIG_ASIGNATURAS!$B$7:$B$27,nASIG)&gt;0)*(nNOTA))/SUMPRODUCT((nNIA=G127)*(nCUENTA=1)*(COUNTIF(CONFIG_ASIGNATURAS!$B$7:$B$27,nASIG)&gt;0)*1),"")))</f>
        <v/>
      </c>
      <c r="N127" t="str">
        <f>IF(M127="","",IF(M127="[FÓRMULA MANUAL]","",IFERROR(AVERAGEIFS(nNOTA,nNIA,M127,nCUENTA,1,nASIG,"Armonía"),"")))</f>
        <v/>
      </c>
      <c r="O127" t="str">
        <f>IF(M127="","",IF(M127="[FÓRMULA MANUAL]","",IFERROR(AVERAGEIFS(nNOTA,nNIA,M127,nCUENTA,1,nASIG,"Orquesta/Banda/Conjunto"),"")))</f>
        <v/>
      </c>
      <c r="P127" t="str">
        <f>IF(M127="","",IF(M127="[FÓRMULA MANUAL]","",IFERROR(AVERAGEIFS(nNOTA,nNIA,M127,nCUENTA,1,nASIG,"Música de Cámara"),"")))</f>
        <v/>
      </c>
      <c r="Q127" t="str">
        <f>IF(M127="","",IF(M127="[FÓRMULA MANUAL]","",IFERROR(SUMPRODUCT((nNIA=M127)*(nCUENTA=1)*(COUNTIF(CONFIG_ASIGNATURAS!$B$7:$B$27,nASIG)&gt;0)*(nNOTA))/SUMPRODUCT((nNIA=M127)*(nCUENTA=1)*(COUNTIF(CONFIG_ASIGNATURAS!$B$7:$B$27,nASIG)&gt;0)*1),"")))</f>
        <v/>
      </c>
      <c r="T127" t="str">
        <f>IF(S127="","",IF(S127="[FÓRMULA MANUAL]","",IFERROR(AVERAGEIFS(nNOTA,nNIA,S127,nCUENTA,1,nASIG,"Armonía"),"")))</f>
        <v/>
      </c>
      <c r="U127" t="str">
        <f>IF(S127="","",IF(S127="[FÓRMULA MANUAL]","",IFERROR(AVERAGEIFS(nNOTA,nNIA,S127,nCUENTA,1,nASIG,"Orquesta/Banda/Conjunto"),"")))</f>
        <v/>
      </c>
      <c r="V127" t="str">
        <f>IF(S127="","",IF(S127="[FÓRMULA MANUAL]","",IFERROR(AVERAGEIFS(nNOTA,nNIA,S127,nCUENTA,1,nASIG,"Música de Cámara"),"")))</f>
        <v/>
      </c>
      <c r="W127" t="str">
        <f>IF(S127="","",IF(S127="[FÓRMULA MANUAL]","",IFERROR(SUMPRODUCT((nNIA=S127)*(nCUENTA=1)*(COUNTIF(CONFIG_ASIGNATURAS!$B$7:$B$27,nASIG)&gt;0)*(nNOTA))/SUMPRODUCT((nNIA=S127)*(nCUENTA=1)*(COUNTIF(CONFIG_ASIGNATURAS!$B$7:$B$27,nASIG)&gt;0)*1),"")))</f>
        <v/>
      </c>
      <c r="Z127" t="str">
        <f>IF(Y127="","",IF(Y127="[FÓRMULA MANUAL]","",IFERROR(AVERAGEIFS(nNOTA,nNIA,Y127,nCUENTA,1,nASIG,"Análisis"),"")))</f>
        <v/>
      </c>
      <c r="AA127" t="str">
        <f>IF(Y127="","",IF(Y127="[FÓRMULA MANUAL]","",IFERROR(AVERAGEIFS(nNOTA,nNIA,Y127,nCUENTA,1,nASIG,"Orquesta/Banda/Conjunto"),"")))</f>
        <v/>
      </c>
      <c r="AB127" t="str">
        <f>IF(Y127="","",IF(Y127="[FÓRMULA MANUAL]","",IFERROR(AVERAGEIFS(nNOTA,nNIA,Y127,nCUENTA,1,nASIG,"Música de Cámara"),"")))</f>
        <v/>
      </c>
      <c r="AC127" t="str">
        <f>IF(Y127="","",IF(Y127="[FÓRMULA MANUAL]","",IFERROR(SUMPRODUCT((nNIA=Y127)*(nCUENTA=1)*(COUNTIF(CONFIG_ASIGNATURAS!$B$7:$B$27,nASIG)&gt;0)*(nNOTA))/SUMPRODUCT((nNIA=Y127)*(nCUENTA=1)*(COUNTIF(CONFIG_ASIGNATURAS!$B$7:$B$27,nASIG)&gt;0)*1),"")))</f>
        <v/>
      </c>
      <c r="AF127" t="str">
        <f>IF(AE127="","",IF(AE127="[FÓRMULA MANUAL]","",IFERROR(AVERAGEIFS(nNOTA,nNIA,AE127,nCUENTA,1,nASIG,"Análisis"),"")))</f>
        <v/>
      </c>
      <c r="AG127" t="str">
        <f>IF(AE127="","",IF(AE127="[FÓRMULA MANUAL]","",IFERROR(AVERAGEIFS(nNOTA,nNIA,AE127,nCUENTA,1,nASIG,"Orquesta/Banda/Conjunto"),"")))</f>
        <v/>
      </c>
      <c r="AH127" t="str">
        <f>IF(AE127="","",IF(AE127="[FÓRMULA MANUAL]","",IFERROR(AVERAGEIFS(nNOTA,nNIA,AE127,nCUENTA,1,nASIG,"Música de Cámara"),"")))</f>
        <v/>
      </c>
      <c r="AI127" t="str">
        <f>IF(AE127="","",IF(AE127="[FÓRMULA MANUAL]","",IFERROR(SUMPRODUCT((nNIA=AE127)*(nCUENTA=1)*(COUNTIF(CONFIG_ASIGNATURAS!$B$7:$B$27,nASIG)&gt;0)*(nNOTA))/SUMPRODUCT((nNIA=AE127)*(nCUENTA=1)*(COUNTIF(CONFIG_ASIGNATURAS!$B$7:$B$27,nASIG)&gt;0)*1),"")))</f>
        <v/>
      </c>
    </row>
    <row r="128" spans="2:35" x14ac:dyDescent="0.2">
      <c r="B128" t="str">
        <f>IF(A128="","",IF(A128="[FÓRMULA MANUAL]","",IFERROR(AVERAGEIFS(nNOTA,nNIA,A128,nCUENTA,1,nASIG,"Lenguaje Musical"),"")))</f>
        <v/>
      </c>
      <c r="C128" t="str">
        <f>IF(A128="","",IF(A128="[FÓRMULA MANUAL]","",IFERROR(AVERAGEIFS(nNOTA,nNIA,A128,nCUENTA,1,nASIG,"Orquesta/Banda/Conjunto"),"")))</f>
        <v/>
      </c>
      <c r="D128" t="str">
        <f>IF(A128="","",IF(A128="[FÓRMULA MANUAL]","",IFERROR(AVERAGEIFS(nNOTA,nNIA,A128,nCUENTA,1,nASIG,"Conjunto"),"")))</f>
        <v/>
      </c>
      <c r="E128" t="str">
        <f>IF(A128="","",IF(A128="[FÓRMULA MANUAL]","",IFERROR(SUMPRODUCT((nNIA=A128)*(nCUENTA=1)*(COUNTIF(CONFIG_ASIGNATURAS!$B$7:$B$27,nASIG)&gt;0)*(nNOTA))/SUMPRODUCT((nNIA=A128)*(nCUENTA=1)*(COUNTIF(CONFIG_ASIGNATURAS!$B$7:$B$27,nASIG)&gt;0)*1),"")))</f>
        <v/>
      </c>
      <c r="H128" t="str">
        <f>IF(G128="","",IF(G128="[FÓRMULA MANUAL]","",IFERROR(AVERAGEIFS(nNOTA,nNIA,G128,nCUENTA,1,nASIG,"Lenguaje Musical"),"")))</f>
        <v/>
      </c>
      <c r="I128" t="str">
        <f>IF(G128="","",IF(G128="[FÓRMULA MANUAL]","",IFERROR(AVERAGEIFS(nNOTA,nNIA,G128,nCUENTA,1,nASIG,"Orquesta/Banda/Conjunto"),"")))</f>
        <v/>
      </c>
      <c r="J128" t="str">
        <f>IF(G128="","",IF(G128="[FÓRMULA MANUAL]","",IFERROR(AVERAGEIFS(nNOTA,nNIA,G128,nCUENTA,1,nASIG,"Conjunto"),"")))</f>
        <v/>
      </c>
      <c r="K128" t="str">
        <f>IF(G128="","",IF(G128="[FÓRMULA MANUAL]","",IFERROR(SUMPRODUCT((nNIA=G128)*(nCUENTA=1)*(COUNTIF(CONFIG_ASIGNATURAS!$B$7:$B$27,nASIG)&gt;0)*(nNOTA))/SUMPRODUCT((nNIA=G128)*(nCUENTA=1)*(COUNTIF(CONFIG_ASIGNATURAS!$B$7:$B$27,nASIG)&gt;0)*1),"")))</f>
        <v/>
      </c>
      <c r="N128" t="str">
        <f>IF(M128="","",IF(M128="[FÓRMULA MANUAL]","",IFERROR(AVERAGEIFS(nNOTA,nNIA,M128,nCUENTA,1,nASIG,"Armonía"),"")))</f>
        <v/>
      </c>
      <c r="O128" t="str">
        <f>IF(M128="","",IF(M128="[FÓRMULA MANUAL]","",IFERROR(AVERAGEIFS(nNOTA,nNIA,M128,nCUENTA,1,nASIG,"Orquesta/Banda/Conjunto"),"")))</f>
        <v/>
      </c>
      <c r="P128" t="str">
        <f>IF(M128="","",IF(M128="[FÓRMULA MANUAL]","",IFERROR(AVERAGEIFS(nNOTA,nNIA,M128,nCUENTA,1,nASIG,"Música de Cámara"),"")))</f>
        <v/>
      </c>
      <c r="Q128" t="str">
        <f>IF(M128="","",IF(M128="[FÓRMULA MANUAL]","",IFERROR(SUMPRODUCT((nNIA=M128)*(nCUENTA=1)*(COUNTIF(CONFIG_ASIGNATURAS!$B$7:$B$27,nASIG)&gt;0)*(nNOTA))/SUMPRODUCT((nNIA=M128)*(nCUENTA=1)*(COUNTIF(CONFIG_ASIGNATURAS!$B$7:$B$27,nASIG)&gt;0)*1),"")))</f>
        <v/>
      </c>
      <c r="T128" t="str">
        <f>IF(S128="","",IF(S128="[FÓRMULA MANUAL]","",IFERROR(AVERAGEIFS(nNOTA,nNIA,S128,nCUENTA,1,nASIG,"Armonía"),"")))</f>
        <v/>
      </c>
      <c r="U128" t="str">
        <f>IF(S128="","",IF(S128="[FÓRMULA MANUAL]","",IFERROR(AVERAGEIFS(nNOTA,nNIA,S128,nCUENTA,1,nASIG,"Orquesta/Banda/Conjunto"),"")))</f>
        <v/>
      </c>
      <c r="V128" t="str">
        <f>IF(S128="","",IF(S128="[FÓRMULA MANUAL]","",IFERROR(AVERAGEIFS(nNOTA,nNIA,S128,nCUENTA,1,nASIG,"Música de Cámara"),"")))</f>
        <v/>
      </c>
      <c r="W128" t="str">
        <f>IF(S128="","",IF(S128="[FÓRMULA MANUAL]","",IFERROR(SUMPRODUCT((nNIA=S128)*(nCUENTA=1)*(COUNTIF(CONFIG_ASIGNATURAS!$B$7:$B$27,nASIG)&gt;0)*(nNOTA))/SUMPRODUCT((nNIA=S128)*(nCUENTA=1)*(COUNTIF(CONFIG_ASIGNATURAS!$B$7:$B$27,nASIG)&gt;0)*1),"")))</f>
        <v/>
      </c>
      <c r="Z128" t="str">
        <f>IF(Y128="","",IF(Y128="[FÓRMULA MANUAL]","",IFERROR(AVERAGEIFS(nNOTA,nNIA,Y128,nCUENTA,1,nASIG,"Análisis"),"")))</f>
        <v/>
      </c>
      <c r="AA128" t="str">
        <f>IF(Y128="","",IF(Y128="[FÓRMULA MANUAL]","",IFERROR(AVERAGEIFS(nNOTA,nNIA,Y128,nCUENTA,1,nASIG,"Orquesta/Banda/Conjunto"),"")))</f>
        <v/>
      </c>
      <c r="AB128" t="str">
        <f>IF(Y128="","",IF(Y128="[FÓRMULA MANUAL]","",IFERROR(AVERAGEIFS(nNOTA,nNIA,Y128,nCUENTA,1,nASIG,"Música de Cámara"),"")))</f>
        <v/>
      </c>
      <c r="AC128" t="str">
        <f>IF(Y128="","",IF(Y128="[FÓRMULA MANUAL]","",IFERROR(SUMPRODUCT((nNIA=Y128)*(nCUENTA=1)*(COUNTIF(CONFIG_ASIGNATURAS!$B$7:$B$27,nASIG)&gt;0)*(nNOTA))/SUMPRODUCT((nNIA=Y128)*(nCUENTA=1)*(COUNTIF(CONFIG_ASIGNATURAS!$B$7:$B$27,nASIG)&gt;0)*1),"")))</f>
        <v/>
      </c>
      <c r="AF128" t="str">
        <f>IF(AE128="","",IF(AE128="[FÓRMULA MANUAL]","",IFERROR(AVERAGEIFS(nNOTA,nNIA,AE128,nCUENTA,1,nASIG,"Análisis"),"")))</f>
        <v/>
      </c>
      <c r="AG128" t="str">
        <f>IF(AE128="","",IF(AE128="[FÓRMULA MANUAL]","",IFERROR(AVERAGEIFS(nNOTA,nNIA,AE128,nCUENTA,1,nASIG,"Orquesta/Banda/Conjunto"),"")))</f>
        <v/>
      </c>
      <c r="AH128" t="str">
        <f>IF(AE128="","",IF(AE128="[FÓRMULA MANUAL]","",IFERROR(AVERAGEIFS(nNOTA,nNIA,AE128,nCUENTA,1,nASIG,"Música de Cámara"),"")))</f>
        <v/>
      </c>
      <c r="AI128" t="str">
        <f>IF(AE128="","",IF(AE128="[FÓRMULA MANUAL]","",IFERROR(SUMPRODUCT((nNIA=AE128)*(nCUENTA=1)*(COUNTIF(CONFIG_ASIGNATURAS!$B$7:$B$27,nASIG)&gt;0)*(nNOTA))/SUMPRODUCT((nNIA=AE128)*(nCUENTA=1)*(COUNTIF(CONFIG_ASIGNATURAS!$B$7:$B$27,nASIG)&gt;0)*1),"")))</f>
        <v/>
      </c>
    </row>
    <row r="129" spans="2:35" x14ac:dyDescent="0.2">
      <c r="B129" t="str">
        <f>IF(A129="","",IF(A129="[FÓRMULA MANUAL]","",IFERROR(AVERAGEIFS(nNOTA,nNIA,A129,nCUENTA,1,nASIG,"Lenguaje Musical"),"")))</f>
        <v/>
      </c>
      <c r="C129" t="str">
        <f>IF(A129="","",IF(A129="[FÓRMULA MANUAL]","",IFERROR(AVERAGEIFS(nNOTA,nNIA,A129,nCUENTA,1,nASIG,"Orquesta/Banda/Conjunto"),"")))</f>
        <v/>
      </c>
      <c r="D129" t="str">
        <f>IF(A129="","",IF(A129="[FÓRMULA MANUAL]","",IFERROR(AVERAGEIFS(nNOTA,nNIA,A129,nCUENTA,1,nASIG,"Conjunto"),"")))</f>
        <v/>
      </c>
      <c r="E129" t="str">
        <f>IF(A129="","",IF(A129="[FÓRMULA MANUAL]","",IFERROR(SUMPRODUCT((nNIA=A129)*(nCUENTA=1)*(COUNTIF(CONFIG_ASIGNATURAS!$B$7:$B$27,nASIG)&gt;0)*(nNOTA))/SUMPRODUCT((nNIA=A129)*(nCUENTA=1)*(COUNTIF(CONFIG_ASIGNATURAS!$B$7:$B$27,nASIG)&gt;0)*1),"")))</f>
        <v/>
      </c>
      <c r="H129" t="str">
        <f>IF(G129="","",IF(G129="[FÓRMULA MANUAL]","",IFERROR(AVERAGEIFS(nNOTA,nNIA,G129,nCUENTA,1,nASIG,"Lenguaje Musical"),"")))</f>
        <v/>
      </c>
      <c r="I129" t="str">
        <f>IF(G129="","",IF(G129="[FÓRMULA MANUAL]","",IFERROR(AVERAGEIFS(nNOTA,nNIA,G129,nCUENTA,1,nASIG,"Orquesta/Banda/Conjunto"),"")))</f>
        <v/>
      </c>
      <c r="J129" t="str">
        <f>IF(G129="","",IF(G129="[FÓRMULA MANUAL]","",IFERROR(AVERAGEIFS(nNOTA,nNIA,G129,nCUENTA,1,nASIG,"Conjunto"),"")))</f>
        <v/>
      </c>
      <c r="K129" t="str">
        <f>IF(G129="","",IF(G129="[FÓRMULA MANUAL]","",IFERROR(SUMPRODUCT((nNIA=G129)*(nCUENTA=1)*(COUNTIF(CONFIG_ASIGNATURAS!$B$7:$B$27,nASIG)&gt;0)*(nNOTA))/SUMPRODUCT((nNIA=G129)*(nCUENTA=1)*(COUNTIF(CONFIG_ASIGNATURAS!$B$7:$B$27,nASIG)&gt;0)*1),"")))</f>
        <v/>
      </c>
      <c r="N129" t="str">
        <f>IF(M129="","",IF(M129="[FÓRMULA MANUAL]","",IFERROR(AVERAGEIFS(nNOTA,nNIA,M129,nCUENTA,1,nASIG,"Armonía"),"")))</f>
        <v/>
      </c>
      <c r="O129" t="str">
        <f>IF(M129="","",IF(M129="[FÓRMULA MANUAL]","",IFERROR(AVERAGEIFS(nNOTA,nNIA,M129,nCUENTA,1,nASIG,"Orquesta/Banda/Conjunto"),"")))</f>
        <v/>
      </c>
      <c r="P129" t="str">
        <f>IF(M129="","",IF(M129="[FÓRMULA MANUAL]","",IFERROR(AVERAGEIFS(nNOTA,nNIA,M129,nCUENTA,1,nASIG,"Música de Cámara"),"")))</f>
        <v/>
      </c>
      <c r="Q129" t="str">
        <f>IF(M129="","",IF(M129="[FÓRMULA MANUAL]","",IFERROR(SUMPRODUCT((nNIA=M129)*(nCUENTA=1)*(COUNTIF(CONFIG_ASIGNATURAS!$B$7:$B$27,nASIG)&gt;0)*(nNOTA))/SUMPRODUCT((nNIA=M129)*(nCUENTA=1)*(COUNTIF(CONFIG_ASIGNATURAS!$B$7:$B$27,nASIG)&gt;0)*1),"")))</f>
        <v/>
      </c>
      <c r="T129" t="str">
        <f>IF(S129="","",IF(S129="[FÓRMULA MANUAL]","",IFERROR(AVERAGEIFS(nNOTA,nNIA,S129,nCUENTA,1,nASIG,"Armonía"),"")))</f>
        <v/>
      </c>
      <c r="U129" t="str">
        <f>IF(S129="","",IF(S129="[FÓRMULA MANUAL]","",IFERROR(AVERAGEIFS(nNOTA,nNIA,S129,nCUENTA,1,nASIG,"Orquesta/Banda/Conjunto"),"")))</f>
        <v/>
      </c>
      <c r="V129" t="str">
        <f>IF(S129="","",IF(S129="[FÓRMULA MANUAL]","",IFERROR(AVERAGEIFS(nNOTA,nNIA,S129,nCUENTA,1,nASIG,"Música de Cámara"),"")))</f>
        <v/>
      </c>
      <c r="W129" t="str">
        <f>IF(S129="","",IF(S129="[FÓRMULA MANUAL]","",IFERROR(SUMPRODUCT((nNIA=S129)*(nCUENTA=1)*(COUNTIF(CONFIG_ASIGNATURAS!$B$7:$B$27,nASIG)&gt;0)*(nNOTA))/SUMPRODUCT((nNIA=S129)*(nCUENTA=1)*(COUNTIF(CONFIG_ASIGNATURAS!$B$7:$B$27,nASIG)&gt;0)*1),"")))</f>
        <v/>
      </c>
      <c r="Z129" t="str">
        <f>IF(Y129="","",IF(Y129="[FÓRMULA MANUAL]","",IFERROR(AVERAGEIFS(nNOTA,nNIA,Y129,nCUENTA,1,nASIG,"Análisis"),"")))</f>
        <v/>
      </c>
      <c r="AA129" t="str">
        <f>IF(Y129="","",IF(Y129="[FÓRMULA MANUAL]","",IFERROR(AVERAGEIFS(nNOTA,nNIA,Y129,nCUENTA,1,nASIG,"Orquesta/Banda/Conjunto"),"")))</f>
        <v/>
      </c>
      <c r="AB129" t="str">
        <f>IF(Y129="","",IF(Y129="[FÓRMULA MANUAL]","",IFERROR(AVERAGEIFS(nNOTA,nNIA,Y129,nCUENTA,1,nASIG,"Música de Cámara"),"")))</f>
        <v/>
      </c>
      <c r="AC129" t="str">
        <f>IF(Y129="","",IF(Y129="[FÓRMULA MANUAL]","",IFERROR(SUMPRODUCT((nNIA=Y129)*(nCUENTA=1)*(COUNTIF(CONFIG_ASIGNATURAS!$B$7:$B$27,nASIG)&gt;0)*(nNOTA))/SUMPRODUCT((nNIA=Y129)*(nCUENTA=1)*(COUNTIF(CONFIG_ASIGNATURAS!$B$7:$B$27,nASIG)&gt;0)*1),"")))</f>
        <v/>
      </c>
      <c r="AF129" t="str">
        <f>IF(AE129="","",IF(AE129="[FÓRMULA MANUAL]","",IFERROR(AVERAGEIFS(nNOTA,nNIA,AE129,nCUENTA,1,nASIG,"Análisis"),"")))</f>
        <v/>
      </c>
      <c r="AG129" t="str">
        <f>IF(AE129="","",IF(AE129="[FÓRMULA MANUAL]","",IFERROR(AVERAGEIFS(nNOTA,nNIA,AE129,nCUENTA,1,nASIG,"Orquesta/Banda/Conjunto"),"")))</f>
        <v/>
      </c>
      <c r="AH129" t="str">
        <f>IF(AE129="","",IF(AE129="[FÓRMULA MANUAL]","",IFERROR(AVERAGEIFS(nNOTA,nNIA,AE129,nCUENTA,1,nASIG,"Música de Cámara"),"")))</f>
        <v/>
      </c>
      <c r="AI129" t="str">
        <f>IF(AE129="","",IF(AE129="[FÓRMULA MANUAL]","",IFERROR(SUMPRODUCT((nNIA=AE129)*(nCUENTA=1)*(COUNTIF(CONFIG_ASIGNATURAS!$B$7:$B$27,nASIG)&gt;0)*(nNOTA))/SUMPRODUCT((nNIA=AE129)*(nCUENTA=1)*(COUNTIF(CONFIG_ASIGNATURAS!$B$7:$B$27,nASIG)&gt;0)*1),"")))</f>
        <v/>
      </c>
    </row>
    <row r="130" spans="2:35" x14ac:dyDescent="0.2">
      <c r="B130" t="str">
        <f>IF(A130="","",IF(A130="[FÓRMULA MANUAL]","",IFERROR(AVERAGEIFS(nNOTA,nNIA,A130,nCUENTA,1,nASIG,"Lenguaje Musical"),"")))</f>
        <v/>
      </c>
      <c r="C130" t="str">
        <f>IF(A130="","",IF(A130="[FÓRMULA MANUAL]","",IFERROR(AVERAGEIFS(nNOTA,nNIA,A130,nCUENTA,1,nASIG,"Orquesta/Banda/Conjunto"),"")))</f>
        <v/>
      </c>
      <c r="D130" t="str">
        <f>IF(A130="","",IF(A130="[FÓRMULA MANUAL]","",IFERROR(AVERAGEIFS(nNOTA,nNIA,A130,nCUENTA,1,nASIG,"Conjunto"),"")))</f>
        <v/>
      </c>
      <c r="E130" t="str">
        <f>IF(A130="","",IF(A130="[FÓRMULA MANUAL]","",IFERROR(SUMPRODUCT((nNIA=A130)*(nCUENTA=1)*(COUNTIF(CONFIG_ASIGNATURAS!$B$7:$B$27,nASIG)&gt;0)*(nNOTA))/SUMPRODUCT((nNIA=A130)*(nCUENTA=1)*(COUNTIF(CONFIG_ASIGNATURAS!$B$7:$B$27,nASIG)&gt;0)*1),"")))</f>
        <v/>
      </c>
      <c r="H130" t="str">
        <f>IF(G130="","",IF(G130="[FÓRMULA MANUAL]","",IFERROR(AVERAGEIFS(nNOTA,nNIA,G130,nCUENTA,1,nASIG,"Lenguaje Musical"),"")))</f>
        <v/>
      </c>
      <c r="I130" t="str">
        <f>IF(G130="","",IF(G130="[FÓRMULA MANUAL]","",IFERROR(AVERAGEIFS(nNOTA,nNIA,G130,nCUENTA,1,nASIG,"Orquesta/Banda/Conjunto"),"")))</f>
        <v/>
      </c>
      <c r="J130" t="str">
        <f>IF(G130="","",IF(G130="[FÓRMULA MANUAL]","",IFERROR(AVERAGEIFS(nNOTA,nNIA,G130,nCUENTA,1,nASIG,"Conjunto"),"")))</f>
        <v/>
      </c>
      <c r="K130" t="str">
        <f>IF(G130="","",IF(G130="[FÓRMULA MANUAL]","",IFERROR(SUMPRODUCT((nNIA=G130)*(nCUENTA=1)*(COUNTIF(CONFIG_ASIGNATURAS!$B$7:$B$27,nASIG)&gt;0)*(nNOTA))/SUMPRODUCT((nNIA=G130)*(nCUENTA=1)*(COUNTIF(CONFIG_ASIGNATURAS!$B$7:$B$27,nASIG)&gt;0)*1),"")))</f>
        <v/>
      </c>
      <c r="N130" t="str">
        <f>IF(M130="","",IF(M130="[FÓRMULA MANUAL]","",IFERROR(AVERAGEIFS(nNOTA,nNIA,M130,nCUENTA,1,nASIG,"Armonía"),"")))</f>
        <v/>
      </c>
      <c r="O130" t="str">
        <f>IF(M130="","",IF(M130="[FÓRMULA MANUAL]","",IFERROR(AVERAGEIFS(nNOTA,nNIA,M130,nCUENTA,1,nASIG,"Orquesta/Banda/Conjunto"),"")))</f>
        <v/>
      </c>
      <c r="P130" t="str">
        <f>IF(M130="","",IF(M130="[FÓRMULA MANUAL]","",IFERROR(AVERAGEIFS(nNOTA,nNIA,M130,nCUENTA,1,nASIG,"Música de Cámara"),"")))</f>
        <v/>
      </c>
      <c r="Q130" t="str">
        <f>IF(M130="","",IF(M130="[FÓRMULA MANUAL]","",IFERROR(SUMPRODUCT((nNIA=M130)*(nCUENTA=1)*(COUNTIF(CONFIG_ASIGNATURAS!$B$7:$B$27,nASIG)&gt;0)*(nNOTA))/SUMPRODUCT((nNIA=M130)*(nCUENTA=1)*(COUNTIF(CONFIG_ASIGNATURAS!$B$7:$B$27,nASIG)&gt;0)*1),"")))</f>
        <v/>
      </c>
      <c r="T130" t="str">
        <f>IF(S130="","",IF(S130="[FÓRMULA MANUAL]","",IFERROR(AVERAGEIFS(nNOTA,nNIA,S130,nCUENTA,1,nASIG,"Armonía"),"")))</f>
        <v/>
      </c>
      <c r="U130" t="str">
        <f>IF(S130="","",IF(S130="[FÓRMULA MANUAL]","",IFERROR(AVERAGEIFS(nNOTA,nNIA,S130,nCUENTA,1,nASIG,"Orquesta/Banda/Conjunto"),"")))</f>
        <v/>
      </c>
      <c r="V130" t="str">
        <f>IF(S130="","",IF(S130="[FÓRMULA MANUAL]","",IFERROR(AVERAGEIFS(nNOTA,nNIA,S130,nCUENTA,1,nASIG,"Música de Cámara"),"")))</f>
        <v/>
      </c>
      <c r="W130" t="str">
        <f>IF(S130="","",IF(S130="[FÓRMULA MANUAL]","",IFERROR(SUMPRODUCT((nNIA=S130)*(nCUENTA=1)*(COUNTIF(CONFIG_ASIGNATURAS!$B$7:$B$27,nASIG)&gt;0)*(nNOTA))/SUMPRODUCT((nNIA=S130)*(nCUENTA=1)*(COUNTIF(CONFIG_ASIGNATURAS!$B$7:$B$27,nASIG)&gt;0)*1),"")))</f>
        <v/>
      </c>
      <c r="Z130" t="str">
        <f>IF(Y130="","",IF(Y130="[FÓRMULA MANUAL]","",IFERROR(AVERAGEIFS(nNOTA,nNIA,Y130,nCUENTA,1,nASIG,"Análisis"),"")))</f>
        <v/>
      </c>
      <c r="AA130" t="str">
        <f>IF(Y130="","",IF(Y130="[FÓRMULA MANUAL]","",IFERROR(AVERAGEIFS(nNOTA,nNIA,Y130,nCUENTA,1,nASIG,"Orquesta/Banda/Conjunto"),"")))</f>
        <v/>
      </c>
      <c r="AB130" t="str">
        <f>IF(Y130="","",IF(Y130="[FÓRMULA MANUAL]","",IFERROR(AVERAGEIFS(nNOTA,nNIA,Y130,nCUENTA,1,nASIG,"Música de Cámara"),"")))</f>
        <v/>
      </c>
      <c r="AC130" t="str">
        <f>IF(Y130="","",IF(Y130="[FÓRMULA MANUAL]","",IFERROR(SUMPRODUCT((nNIA=Y130)*(nCUENTA=1)*(COUNTIF(CONFIG_ASIGNATURAS!$B$7:$B$27,nASIG)&gt;0)*(nNOTA))/SUMPRODUCT((nNIA=Y130)*(nCUENTA=1)*(COUNTIF(CONFIG_ASIGNATURAS!$B$7:$B$27,nASIG)&gt;0)*1),"")))</f>
        <v/>
      </c>
      <c r="AF130" t="str">
        <f>IF(AE130="","",IF(AE130="[FÓRMULA MANUAL]","",IFERROR(AVERAGEIFS(nNOTA,nNIA,AE130,nCUENTA,1,nASIG,"Análisis"),"")))</f>
        <v/>
      </c>
      <c r="AG130" t="str">
        <f>IF(AE130="","",IF(AE130="[FÓRMULA MANUAL]","",IFERROR(AVERAGEIFS(nNOTA,nNIA,AE130,nCUENTA,1,nASIG,"Orquesta/Banda/Conjunto"),"")))</f>
        <v/>
      </c>
      <c r="AH130" t="str">
        <f>IF(AE130="","",IF(AE130="[FÓRMULA MANUAL]","",IFERROR(AVERAGEIFS(nNOTA,nNIA,AE130,nCUENTA,1,nASIG,"Música de Cámara"),"")))</f>
        <v/>
      </c>
      <c r="AI130" t="str">
        <f>IF(AE130="","",IF(AE130="[FÓRMULA MANUAL]","",IFERROR(SUMPRODUCT((nNIA=AE130)*(nCUENTA=1)*(COUNTIF(CONFIG_ASIGNATURAS!$B$7:$B$27,nASIG)&gt;0)*(nNOTA))/SUMPRODUCT((nNIA=AE130)*(nCUENTA=1)*(COUNTIF(CONFIG_ASIGNATURAS!$B$7:$B$27,nASIG)&gt;0)*1),"")))</f>
        <v/>
      </c>
    </row>
    <row r="131" spans="2:35" x14ac:dyDescent="0.2">
      <c r="B131" t="str">
        <f>IF(A131="","",IF(A131="[FÓRMULA MANUAL]","",IFERROR(AVERAGEIFS(nNOTA,nNIA,A131,nCUENTA,1,nASIG,"Lenguaje Musical"),"")))</f>
        <v/>
      </c>
      <c r="C131" t="str">
        <f>IF(A131="","",IF(A131="[FÓRMULA MANUAL]","",IFERROR(AVERAGEIFS(nNOTA,nNIA,A131,nCUENTA,1,nASIG,"Orquesta/Banda/Conjunto"),"")))</f>
        <v/>
      </c>
      <c r="D131" t="str">
        <f>IF(A131="","",IF(A131="[FÓRMULA MANUAL]","",IFERROR(AVERAGEIFS(nNOTA,nNIA,A131,nCUENTA,1,nASIG,"Conjunto"),"")))</f>
        <v/>
      </c>
      <c r="E131" t="str">
        <f>IF(A131="","",IF(A131="[FÓRMULA MANUAL]","",IFERROR(SUMPRODUCT((nNIA=A131)*(nCUENTA=1)*(COUNTIF(CONFIG_ASIGNATURAS!$B$7:$B$27,nASIG)&gt;0)*(nNOTA))/SUMPRODUCT((nNIA=A131)*(nCUENTA=1)*(COUNTIF(CONFIG_ASIGNATURAS!$B$7:$B$27,nASIG)&gt;0)*1),"")))</f>
        <v/>
      </c>
      <c r="H131" t="str">
        <f>IF(G131="","",IF(G131="[FÓRMULA MANUAL]","",IFERROR(AVERAGEIFS(nNOTA,nNIA,G131,nCUENTA,1,nASIG,"Lenguaje Musical"),"")))</f>
        <v/>
      </c>
      <c r="I131" t="str">
        <f>IF(G131="","",IF(G131="[FÓRMULA MANUAL]","",IFERROR(AVERAGEIFS(nNOTA,nNIA,G131,nCUENTA,1,nASIG,"Orquesta/Banda/Conjunto"),"")))</f>
        <v/>
      </c>
      <c r="J131" t="str">
        <f>IF(G131="","",IF(G131="[FÓRMULA MANUAL]","",IFERROR(AVERAGEIFS(nNOTA,nNIA,G131,nCUENTA,1,nASIG,"Conjunto"),"")))</f>
        <v/>
      </c>
      <c r="K131" t="str">
        <f>IF(G131="","",IF(G131="[FÓRMULA MANUAL]","",IFERROR(SUMPRODUCT((nNIA=G131)*(nCUENTA=1)*(COUNTIF(CONFIG_ASIGNATURAS!$B$7:$B$27,nASIG)&gt;0)*(nNOTA))/SUMPRODUCT((nNIA=G131)*(nCUENTA=1)*(COUNTIF(CONFIG_ASIGNATURAS!$B$7:$B$27,nASIG)&gt;0)*1),"")))</f>
        <v/>
      </c>
      <c r="N131" t="str">
        <f>IF(M131="","",IF(M131="[FÓRMULA MANUAL]","",IFERROR(AVERAGEIFS(nNOTA,nNIA,M131,nCUENTA,1,nASIG,"Armonía"),"")))</f>
        <v/>
      </c>
      <c r="O131" t="str">
        <f>IF(M131="","",IF(M131="[FÓRMULA MANUAL]","",IFERROR(AVERAGEIFS(nNOTA,nNIA,M131,nCUENTA,1,nASIG,"Orquesta/Banda/Conjunto"),"")))</f>
        <v/>
      </c>
      <c r="P131" t="str">
        <f>IF(M131="","",IF(M131="[FÓRMULA MANUAL]","",IFERROR(AVERAGEIFS(nNOTA,nNIA,M131,nCUENTA,1,nASIG,"Música de Cámara"),"")))</f>
        <v/>
      </c>
      <c r="Q131" t="str">
        <f>IF(M131="","",IF(M131="[FÓRMULA MANUAL]","",IFERROR(SUMPRODUCT((nNIA=M131)*(nCUENTA=1)*(COUNTIF(CONFIG_ASIGNATURAS!$B$7:$B$27,nASIG)&gt;0)*(nNOTA))/SUMPRODUCT((nNIA=M131)*(nCUENTA=1)*(COUNTIF(CONFIG_ASIGNATURAS!$B$7:$B$27,nASIG)&gt;0)*1),"")))</f>
        <v/>
      </c>
      <c r="T131" t="str">
        <f>IF(S131="","",IF(S131="[FÓRMULA MANUAL]","",IFERROR(AVERAGEIFS(nNOTA,nNIA,S131,nCUENTA,1,nASIG,"Armonía"),"")))</f>
        <v/>
      </c>
      <c r="U131" t="str">
        <f>IF(S131="","",IF(S131="[FÓRMULA MANUAL]","",IFERROR(AVERAGEIFS(nNOTA,nNIA,S131,nCUENTA,1,nASIG,"Orquesta/Banda/Conjunto"),"")))</f>
        <v/>
      </c>
      <c r="V131" t="str">
        <f>IF(S131="","",IF(S131="[FÓRMULA MANUAL]","",IFERROR(AVERAGEIFS(nNOTA,nNIA,S131,nCUENTA,1,nASIG,"Música de Cámara"),"")))</f>
        <v/>
      </c>
      <c r="W131" t="str">
        <f>IF(S131="","",IF(S131="[FÓRMULA MANUAL]","",IFERROR(SUMPRODUCT((nNIA=S131)*(nCUENTA=1)*(COUNTIF(CONFIG_ASIGNATURAS!$B$7:$B$27,nASIG)&gt;0)*(nNOTA))/SUMPRODUCT((nNIA=S131)*(nCUENTA=1)*(COUNTIF(CONFIG_ASIGNATURAS!$B$7:$B$27,nASIG)&gt;0)*1),"")))</f>
        <v/>
      </c>
      <c r="Z131" t="str">
        <f>IF(Y131="","",IF(Y131="[FÓRMULA MANUAL]","",IFERROR(AVERAGEIFS(nNOTA,nNIA,Y131,nCUENTA,1,nASIG,"Análisis"),"")))</f>
        <v/>
      </c>
      <c r="AA131" t="str">
        <f>IF(Y131="","",IF(Y131="[FÓRMULA MANUAL]","",IFERROR(AVERAGEIFS(nNOTA,nNIA,Y131,nCUENTA,1,nASIG,"Orquesta/Banda/Conjunto"),"")))</f>
        <v/>
      </c>
      <c r="AB131" t="str">
        <f>IF(Y131="","",IF(Y131="[FÓRMULA MANUAL]","",IFERROR(AVERAGEIFS(nNOTA,nNIA,Y131,nCUENTA,1,nASIG,"Música de Cámara"),"")))</f>
        <v/>
      </c>
      <c r="AC131" t="str">
        <f>IF(Y131="","",IF(Y131="[FÓRMULA MANUAL]","",IFERROR(SUMPRODUCT((nNIA=Y131)*(nCUENTA=1)*(COUNTIF(CONFIG_ASIGNATURAS!$B$7:$B$27,nASIG)&gt;0)*(nNOTA))/SUMPRODUCT((nNIA=Y131)*(nCUENTA=1)*(COUNTIF(CONFIG_ASIGNATURAS!$B$7:$B$27,nASIG)&gt;0)*1),"")))</f>
        <v/>
      </c>
      <c r="AF131" t="str">
        <f>IF(AE131="","",IF(AE131="[FÓRMULA MANUAL]","",IFERROR(AVERAGEIFS(nNOTA,nNIA,AE131,nCUENTA,1,nASIG,"Análisis"),"")))</f>
        <v/>
      </c>
      <c r="AG131" t="str">
        <f>IF(AE131="","",IF(AE131="[FÓRMULA MANUAL]","",IFERROR(AVERAGEIFS(nNOTA,nNIA,AE131,nCUENTA,1,nASIG,"Orquesta/Banda/Conjunto"),"")))</f>
        <v/>
      </c>
      <c r="AH131" t="str">
        <f>IF(AE131="","",IF(AE131="[FÓRMULA MANUAL]","",IFERROR(AVERAGEIFS(nNOTA,nNIA,AE131,nCUENTA,1,nASIG,"Música de Cámara"),"")))</f>
        <v/>
      </c>
      <c r="AI131" t="str">
        <f>IF(AE131="","",IF(AE131="[FÓRMULA MANUAL]","",IFERROR(SUMPRODUCT((nNIA=AE131)*(nCUENTA=1)*(COUNTIF(CONFIG_ASIGNATURAS!$B$7:$B$27,nASIG)&gt;0)*(nNOTA))/SUMPRODUCT((nNIA=AE131)*(nCUENTA=1)*(COUNTIF(CONFIG_ASIGNATURAS!$B$7:$B$27,nASIG)&gt;0)*1),"")))</f>
        <v/>
      </c>
    </row>
    <row r="132" spans="2:35" x14ac:dyDescent="0.2">
      <c r="B132" t="str">
        <f>IF(A132="","",IF(A132="[FÓRMULA MANUAL]","",IFERROR(AVERAGEIFS(nNOTA,nNIA,A132,nCUENTA,1,nASIG,"Lenguaje Musical"),"")))</f>
        <v/>
      </c>
      <c r="C132" t="str">
        <f>IF(A132="","",IF(A132="[FÓRMULA MANUAL]","",IFERROR(AVERAGEIFS(nNOTA,nNIA,A132,nCUENTA,1,nASIG,"Orquesta/Banda/Conjunto"),"")))</f>
        <v/>
      </c>
      <c r="D132" t="str">
        <f>IF(A132="","",IF(A132="[FÓRMULA MANUAL]","",IFERROR(AVERAGEIFS(nNOTA,nNIA,A132,nCUENTA,1,nASIG,"Conjunto"),"")))</f>
        <v/>
      </c>
      <c r="E132" t="str">
        <f>IF(A132="","",IF(A132="[FÓRMULA MANUAL]","",IFERROR(SUMPRODUCT((nNIA=A132)*(nCUENTA=1)*(COUNTIF(CONFIG_ASIGNATURAS!$B$7:$B$27,nASIG)&gt;0)*(nNOTA))/SUMPRODUCT((nNIA=A132)*(nCUENTA=1)*(COUNTIF(CONFIG_ASIGNATURAS!$B$7:$B$27,nASIG)&gt;0)*1),"")))</f>
        <v/>
      </c>
      <c r="H132" t="str">
        <f>IF(G132="","",IF(G132="[FÓRMULA MANUAL]","",IFERROR(AVERAGEIFS(nNOTA,nNIA,G132,nCUENTA,1,nASIG,"Lenguaje Musical"),"")))</f>
        <v/>
      </c>
      <c r="I132" t="str">
        <f>IF(G132="","",IF(G132="[FÓRMULA MANUAL]","",IFERROR(AVERAGEIFS(nNOTA,nNIA,G132,nCUENTA,1,nASIG,"Orquesta/Banda/Conjunto"),"")))</f>
        <v/>
      </c>
      <c r="J132" t="str">
        <f>IF(G132="","",IF(G132="[FÓRMULA MANUAL]","",IFERROR(AVERAGEIFS(nNOTA,nNIA,G132,nCUENTA,1,nASIG,"Conjunto"),"")))</f>
        <v/>
      </c>
      <c r="K132" t="str">
        <f>IF(G132="","",IF(G132="[FÓRMULA MANUAL]","",IFERROR(SUMPRODUCT((nNIA=G132)*(nCUENTA=1)*(COUNTIF(CONFIG_ASIGNATURAS!$B$7:$B$27,nASIG)&gt;0)*(nNOTA))/SUMPRODUCT((nNIA=G132)*(nCUENTA=1)*(COUNTIF(CONFIG_ASIGNATURAS!$B$7:$B$27,nASIG)&gt;0)*1),"")))</f>
        <v/>
      </c>
      <c r="N132" t="str">
        <f>IF(M132="","",IF(M132="[FÓRMULA MANUAL]","",IFERROR(AVERAGEIFS(nNOTA,nNIA,M132,nCUENTA,1,nASIG,"Armonía"),"")))</f>
        <v/>
      </c>
      <c r="O132" t="str">
        <f>IF(M132="","",IF(M132="[FÓRMULA MANUAL]","",IFERROR(AVERAGEIFS(nNOTA,nNIA,M132,nCUENTA,1,nASIG,"Orquesta/Banda/Conjunto"),"")))</f>
        <v/>
      </c>
      <c r="P132" t="str">
        <f>IF(M132="","",IF(M132="[FÓRMULA MANUAL]","",IFERROR(AVERAGEIFS(nNOTA,nNIA,M132,nCUENTA,1,nASIG,"Música de Cámara"),"")))</f>
        <v/>
      </c>
      <c r="Q132" t="str">
        <f>IF(M132="","",IF(M132="[FÓRMULA MANUAL]","",IFERROR(SUMPRODUCT((nNIA=M132)*(nCUENTA=1)*(COUNTIF(CONFIG_ASIGNATURAS!$B$7:$B$27,nASIG)&gt;0)*(nNOTA))/SUMPRODUCT((nNIA=M132)*(nCUENTA=1)*(COUNTIF(CONFIG_ASIGNATURAS!$B$7:$B$27,nASIG)&gt;0)*1),"")))</f>
        <v/>
      </c>
      <c r="T132" t="str">
        <f>IF(S132="","",IF(S132="[FÓRMULA MANUAL]","",IFERROR(AVERAGEIFS(nNOTA,nNIA,S132,nCUENTA,1,nASIG,"Armonía"),"")))</f>
        <v/>
      </c>
      <c r="U132" t="str">
        <f>IF(S132="","",IF(S132="[FÓRMULA MANUAL]","",IFERROR(AVERAGEIFS(nNOTA,nNIA,S132,nCUENTA,1,nASIG,"Orquesta/Banda/Conjunto"),"")))</f>
        <v/>
      </c>
      <c r="V132" t="str">
        <f>IF(S132="","",IF(S132="[FÓRMULA MANUAL]","",IFERROR(AVERAGEIFS(nNOTA,nNIA,S132,nCUENTA,1,nASIG,"Música de Cámara"),"")))</f>
        <v/>
      </c>
      <c r="W132" t="str">
        <f>IF(S132="","",IF(S132="[FÓRMULA MANUAL]","",IFERROR(SUMPRODUCT((nNIA=S132)*(nCUENTA=1)*(COUNTIF(CONFIG_ASIGNATURAS!$B$7:$B$27,nASIG)&gt;0)*(nNOTA))/SUMPRODUCT((nNIA=S132)*(nCUENTA=1)*(COUNTIF(CONFIG_ASIGNATURAS!$B$7:$B$27,nASIG)&gt;0)*1),"")))</f>
        <v/>
      </c>
      <c r="Z132" t="str">
        <f>IF(Y132="","",IF(Y132="[FÓRMULA MANUAL]","",IFERROR(AVERAGEIFS(nNOTA,nNIA,Y132,nCUENTA,1,nASIG,"Análisis"),"")))</f>
        <v/>
      </c>
      <c r="AA132" t="str">
        <f>IF(Y132="","",IF(Y132="[FÓRMULA MANUAL]","",IFERROR(AVERAGEIFS(nNOTA,nNIA,Y132,nCUENTA,1,nASIG,"Orquesta/Banda/Conjunto"),"")))</f>
        <v/>
      </c>
      <c r="AB132" t="str">
        <f>IF(Y132="","",IF(Y132="[FÓRMULA MANUAL]","",IFERROR(AVERAGEIFS(nNOTA,nNIA,Y132,nCUENTA,1,nASIG,"Música de Cámara"),"")))</f>
        <v/>
      </c>
      <c r="AC132" t="str">
        <f>IF(Y132="","",IF(Y132="[FÓRMULA MANUAL]","",IFERROR(SUMPRODUCT((nNIA=Y132)*(nCUENTA=1)*(COUNTIF(CONFIG_ASIGNATURAS!$B$7:$B$27,nASIG)&gt;0)*(nNOTA))/SUMPRODUCT((nNIA=Y132)*(nCUENTA=1)*(COUNTIF(CONFIG_ASIGNATURAS!$B$7:$B$27,nASIG)&gt;0)*1),"")))</f>
        <v/>
      </c>
      <c r="AF132" t="str">
        <f>IF(AE132="","",IF(AE132="[FÓRMULA MANUAL]","",IFERROR(AVERAGEIFS(nNOTA,nNIA,AE132,nCUENTA,1,nASIG,"Análisis"),"")))</f>
        <v/>
      </c>
      <c r="AG132" t="str">
        <f>IF(AE132="","",IF(AE132="[FÓRMULA MANUAL]","",IFERROR(AVERAGEIFS(nNOTA,nNIA,AE132,nCUENTA,1,nASIG,"Orquesta/Banda/Conjunto"),"")))</f>
        <v/>
      </c>
      <c r="AH132" t="str">
        <f>IF(AE132="","",IF(AE132="[FÓRMULA MANUAL]","",IFERROR(AVERAGEIFS(nNOTA,nNIA,AE132,nCUENTA,1,nASIG,"Música de Cámara"),"")))</f>
        <v/>
      </c>
      <c r="AI132" t="str">
        <f>IF(AE132="","",IF(AE132="[FÓRMULA MANUAL]","",IFERROR(SUMPRODUCT((nNIA=AE132)*(nCUENTA=1)*(COUNTIF(CONFIG_ASIGNATURAS!$B$7:$B$27,nASIG)&gt;0)*(nNOTA))/SUMPRODUCT((nNIA=AE132)*(nCUENTA=1)*(COUNTIF(CONFIG_ASIGNATURAS!$B$7:$B$27,nASIG)&gt;0)*1),"")))</f>
        <v/>
      </c>
    </row>
    <row r="133" spans="2:35" x14ac:dyDescent="0.2">
      <c r="B133" t="str">
        <f>IF(A133="","",IF(A133="[FÓRMULA MANUAL]","",IFERROR(AVERAGEIFS(nNOTA,nNIA,A133,nCUENTA,1,nASIG,"Lenguaje Musical"),"")))</f>
        <v/>
      </c>
      <c r="C133" t="str">
        <f>IF(A133="","",IF(A133="[FÓRMULA MANUAL]","",IFERROR(AVERAGEIFS(nNOTA,nNIA,A133,nCUENTA,1,nASIG,"Orquesta/Banda/Conjunto"),"")))</f>
        <v/>
      </c>
      <c r="D133" t="str">
        <f>IF(A133="","",IF(A133="[FÓRMULA MANUAL]","",IFERROR(AVERAGEIFS(nNOTA,nNIA,A133,nCUENTA,1,nASIG,"Conjunto"),"")))</f>
        <v/>
      </c>
      <c r="E133" t="str">
        <f>IF(A133="","",IF(A133="[FÓRMULA MANUAL]","",IFERROR(SUMPRODUCT((nNIA=A133)*(nCUENTA=1)*(COUNTIF(CONFIG_ASIGNATURAS!$B$7:$B$27,nASIG)&gt;0)*(nNOTA))/SUMPRODUCT((nNIA=A133)*(nCUENTA=1)*(COUNTIF(CONFIG_ASIGNATURAS!$B$7:$B$27,nASIG)&gt;0)*1),"")))</f>
        <v/>
      </c>
      <c r="H133" t="str">
        <f>IF(G133="","",IF(G133="[FÓRMULA MANUAL]","",IFERROR(AVERAGEIFS(nNOTA,nNIA,G133,nCUENTA,1,nASIG,"Lenguaje Musical"),"")))</f>
        <v/>
      </c>
      <c r="I133" t="str">
        <f>IF(G133="","",IF(G133="[FÓRMULA MANUAL]","",IFERROR(AVERAGEIFS(nNOTA,nNIA,G133,nCUENTA,1,nASIG,"Orquesta/Banda/Conjunto"),"")))</f>
        <v/>
      </c>
      <c r="J133" t="str">
        <f>IF(G133="","",IF(G133="[FÓRMULA MANUAL]","",IFERROR(AVERAGEIFS(nNOTA,nNIA,G133,nCUENTA,1,nASIG,"Conjunto"),"")))</f>
        <v/>
      </c>
      <c r="K133" t="str">
        <f>IF(G133="","",IF(G133="[FÓRMULA MANUAL]","",IFERROR(SUMPRODUCT((nNIA=G133)*(nCUENTA=1)*(COUNTIF(CONFIG_ASIGNATURAS!$B$7:$B$27,nASIG)&gt;0)*(nNOTA))/SUMPRODUCT((nNIA=G133)*(nCUENTA=1)*(COUNTIF(CONFIG_ASIGNATURAS!$B$7:$B$27,nASIG)&gt;0)*1),"")))</f>
        <v/>
      </c>
      <c r="N133" t="str">
        <f>IF(M133="","",IF(M133="[FÓRMULA MANUAL]","",IFERROR(AVERAGEIFS(nNOTA,nNIA,M133,nCUENTA,1,nASIG,"Armonía"),"")))</f>
        <v/>
      </c>
      <c r="O133" t="str">
        <f>IF(M133="","",IF(M133="[FÓRMULA MANUAL]","",IFERROR(AVERAGEIFS(nNOTA,nNIA,M133,nCUENTA,1,nASIG,"Orquesta/Banda/Conjunto"),"")))</f>
        <v/>
      </c>
      <c r="P133" t="str">
        <f>IF(M133="","",IF(M133="[FÓRMULA MANUAL]","",IFERROR(AVERAGEIFS(nNOTA,nNIA,M133,nCUENTA,1,nASIG,"Música de Cámara"),"")))</f>
        <v/>
      </c>
      <c r="Q133" t="str">
        <f>IF(M133="","",IF(M133="[FÓRMULA MANUAL]","",IFERROR(SUMPRODUCT((nNIA=M133)*(nCUENTA=1)*(COUNTIF(CONFIG_ASIGNATURAS!$B$7:$B$27,nASIG)&gt;0)*(nNOTA))/SUMPRODUCT((nNIA=M133)*(nCUENTA=1)*(COUNTIF(CONFIG_ASIGNATURAS!$B$7:$B$27,nASIG)&gt;0)*1),"")))</f>
        <v/>
      </c>
      <c r="T133" t="str">
        <f>IF(S133="","",IF(S133="[FÓRMULA MANUAL]","",IFERROR(AVERAGEIFS(nNOTA,nNIA,S133,nCUENTA,1,nASIG,"Armonía"),"")))</f>
        <v/>
      </c>
      <c r="U133" t="str">
        <f>IF(S133="","",IF(S133="[FÓRMULA MANUAL]","",IFERROR(AVERAGEIFS(nNOTA,nNIA,S133,nCUENTA,1,nASIG,"Orquesta/Banda/Conjunto"),"")))</f>
        <v/>
      </c>
      <c r="V133" t="str">
        <f>IF(S133="","",IF(S133="[FÓRMULA MANUAL]","",IFERROR(AVERAGEIFS(nNOTA,nNIA,S133,nCUENTA,1,nASIG,"Música de Cámara"),"")))</f>
        <v/>
      </c>
      <c r="W133" t="str">
        <f>IF(S133="","",IF(S133="[FÓRMULA MANUAL]","",IFERROR(SUMPRODUCT((nNIA=S133)*(nCUENTA=1)*(COUNTIF(CONFIG_ASIGNATURAS!$B$7:$B$27,nASIG)&gt;0)*(nNOTA))/SUMPRODUCT((nNIA=S133)*(nCUENTA=1)*(COUNTIF(CONFIG_ASIGNATURAS!$B$7:$B$27,nASIG)&gt;0)*1),"")))</f>
        <v/>
      </c>
      <c r="Z133" t="str">
        <f>IF(Y133="","",IF(Y133="[FÓRMULA MANUAL]","",IFERROR(AVERAGEIFS(nNOTA,nNIA,Y133,nCUENTA,1,nASIG,"Análisis"),"")))</f>
        <v/>
      </c>
      <c r="AA133" t="str">
        <f>IF(Y133="","",IF(Y133="[FÓRMULA MANUAL]","",IFERROR(AVERAGEIFS(nNOTA,nNIA,Y133,nCUENTA,1,nASIG,"Orquesta/Banda/Conjunto"),"")))</f>
        <v/>
      </c>
      <c r="AB133" t="str">
        <f>IF(Y133="","",IF(Y133="[FÓRMULA MANUAL]","",IFERROR(AVERAGEIFS(nNOTA,nNIA,Y133,nCUENTA,1,nASIG,"Música de Cámara"),"")))</f>
        <v/>
      </c>
      <c r="AC133" t="str">
        <f>IF(Y133="","",IF(Y133="[FÓRMULA MANUAL]","",IFERROR(SUMPRODUCT((nNIA=Y133)*(nCUENTA=1)*(COUNTIF(CONFIG_ASIGNATURAS!$B$7:$B$27,nASIG)&gt;0)*(nNOTA))/SUMPRODUCT((nNIA=Y133)*(nCUENTA=1)*(COUNTIF(CONFIG_ASIGNATURAS!$B$7:$B$27,nASIG)&gt;0)*1),"")))</f>
        <v/>
      </c>
      <c r="AF133" t="str">
        <f>IF(AE133="","",IF(AE133="[FÓRMULA MANUAL]","",IFERROR(AVERAGEIFS(nNOTA,nNIA,AE133,nCUENTA,1,nASIG,"Análisis"),"")))</f>
        <v/>
      </c>
      <c r="AG133" t="str">
        <f>IF(AE133="","",IF(AE133="[FÓRMULA MANUAL]","",IFERROR(AVERAGEIFS(nNOTA,nNIA,AE133,nCUENTA,1,nASIG,"Orquesta/Banda/Conjunto"),"")))</f>
        <v/>
      </c>
      <c r="AH133" t="str">
        <f>IF(AE133="","",IF(AE133="[FÓRMULA MANUAL]","",IFERROR(AVERAGEIFS(nNOTA,nNIA,AE133,nCUENTA,1,nASIG,"Música de Cámara"),"")))</f>
        <v/>
      </c>
      <c r="AI133" t="str">
        <f>IF(AE133="","",IF(AE133="[FÓRMULA MANUAL]","",IFERROR(SUMPRODUCT((nNIA=AE133)*(nCUENTA=1)*(COUNTIF(CONFIG_ASIGNATURAS!$B$7:$B$27,nASIG)&gt;0)*(nNOTA))/SUMPRODUCT((nNIA=AE133)*(nCUENTA=1)*(COUNTIF(CONFIG_ASIGNATURAS!$B$7:$B$27,nASIG)&gt;0)*1),"")))</f>
        <v/>
      </c>
    </row>
    <row r="134" spans="2:35" x14ac:dyDescent="0.2">
      <c r="B134" t="str">
        <f>IF(A134="","",IF(A134="[FÓRMULA MANUAL]","",IFERROR(AVERAGEIFS(nNOTA,nNIA,A134,nCUENTA,1,nASIG,"Lenguaje Musical"),"")))</f>
        <v/>
      </c>
      <c r="C134" t="str">
        <f>IF(A134="","",IF(A134="[FÓRMULA MANUAL]","",IFERROR(AVERAGEIFS(nNOTA,nNIA,A134,nCUENTA,1,nASIG,"Orquesta/Banda/Conjunto"),"")))</f>
        <v/>
      </c>
      <c r="D134" t="str">
        <f>IF(A134="","",IF(A134="[FÓRMULA MANUAL]","",IFERROR(AVERAGEIFS(nNOTA,nNIA,A134,nCUENTA,1,nASIG,"Conjunto"),"")))</f>
        <v/>
      </c>
      <c r="E134" t="str">
        <f>IF(A134="","",IF(A134="[FÓRMULA MANUAL]","",IFERROR(SUMPRODUCT((nNIA=A134)*(nCUENTA=1)*(COUNTIF(CONFIG_ASIGNATURAS!$B$7:$B$27,nASIG)&gt;0)*(nNOTA))/SUMPRODUCT((nNIA=A134)*(nCUENTA=1)*(COUNTIF(CONFIG_ASIGNATURAS!$B$7:$B$27,nASIG)&gt;0)*1),"")))</f>
        <v/>
      </c>
      <c r="H134" t="str">
        <f>IF(G134="","",IF(G134="[FÓRMULA MANUAL]","",IFERROR(AVERAGEIFS(nNOTA,nNIA,G134,nCUENTA,1,nASIG,"Lenguaje Musical"),"")))</f>
        <v/>
      </c>
      <c r="I134" t="str">
        <f>IF(G134="","",IF(G134="[FÓRMULA MANUAL]","",IFERROR(AVERAGEIFS(nNOTA,nNIA,G134,nCUENTA,1,nASIG,"Orquesta/Banda/Conjunto"),"")))</f>
        <v/>
      </c>
      <c r="J134" t="str">
        <f>IF(G134="","",IF(G134="[FÓRMULA MANUAL]","",IFERROR(AVERAGEIFS(nNOTA,nNIA,G134,nCUENTA,1,nASIG,"Conjunto"),"")))</f>
        <v/>
      </c>
      <c r="K134" t="str">
        <f>IF(G134="","",IF(G134="[FÓRMULA MANUAL]","",IFERROR(SUMPRODUCT((nNIA=G134)*(nCUENTA=1)*(COUNTIF(CONFIG_ASIGNATURAS!$B$7:$B$27,nASIG)&gt;0)*(nNOTA))/SUMPRODUCT((nNIA=G134)*(nCUENTA=1)*(COUNTIF(CONFIG_ASIGNATURAS!$B$7:$B$27,nASIG)&gt;0)*1),"")))</f>
        <v/>
      </c>
      <c r="N134" t="str">
        <f>IF(M134="","",IF(M134="[FÓRMULA MANUAL]","",IFERROR(AVERAGEIFS(nNOTA,nNIA,M134,nCUENTA,1,nASIG,"Armonía"),"")))</f>
        <v/>
      </c>
      <c r="O134" t="str">
        <f>IF(M134="","",IF(M134="[FÓRMULA MANUAL]","",IFERROR(AVERAGEIFS(nNOTA,nNIA,M134,nCUENTA,1,nASIG,"Orquesta/Banda/Conjunto"),"")))</f>
        <v/>
      </c>
      <c r="P134" t="str">
        <f>IF(M134="","",IF(M134="[FÓRMULA MANUAL]","",IFERROR(AVERAGEIFS(nNOTA,nNIA,M134,nCUENTA,1,nASIG,"Música de Cámara"),"")))</f>
        <v/>
      </c>
      <c r="Q134" t="str">
        <f>IF(M134="","",IF(M134="[FÓRMULA MANUAL]","",IFERROR(SUMPRODUCT((nNIA=M134)*(nCUENTA=1)*(COUNTIF(CONFIG_ASIGNATURAS!$B$7:$B$27,nASIG)&gt;0)*(nNOTA))/SUMPRODUCT((nNIA=M134)*(nCUENTA=1)*(COUNTIF(CONFIG_ASIGNATURAS!$B$7:$B$27,nASIG)&gt;0)*1),"")))</f>
        <v/>
      </c>
      <c r="T134" t="str">
        <f>IF(S134="","",IF(S134="[FÓRMULA MANUAL]","",IFERROR(AVERAGEIFS(nNOTA,nNIA,S134,nCUENTA,1,nASIG,"Armonía"),"")))</f>
        <v/>
      </c>
      <c r="U134" t="str">
        <f>IF(S134="","",IF(S134="[FÓRMULA MANUAL]","",IFERROR(AVERAGEIFS(nNOTA,nNIA,S134,nCUENTA,1,nASIG,"Orquesta/Banda/Conjunto"),"")))</f>
        <v/>
      </c>
      <c r="V134" t="str">
        <f>IF(S134="","",IF(S134="[FÓRMULA MANUAL]","",IFERROR(AVERAGEIFS(nNOTA,nNIA,S134,nCUENTA,1,nASIG,"Música de Cámara"),"")))</f>
        <v/>
      </c>
      <c r="W134" t="str">
        <f>IF(S134="","",IF(S134="[FÓRMULA MANUAL]","",IFERROR(SUMPRODUCT((nNIA=S134)*(nCUENTA=1)*(COUNTIF(CONFIG_ASIGNATURAS!$B$7:$B$27,nASIG)&gt;0)*(nNOTA))/SUMPRODUCT((nNIA=S134)*(nCUENTA=1)*(COUNTIF(CONFIG_ASIGNATURAS!$B$7:$B$27,nASIG)&gt;0)*1),"")))</f>
        <v/>
      </c>
      <c r="Z134" t="str">
        <f>IF(Y134="","",IF(Y134="[FÓRMULA MANUAL]","",IFERROR(AVERAGEIFS(nNOTA,nNIA,Y134,nCUENTA,1,nASIG,"Análisis"),"")))</f>
        <v/>
      </c>
      <c r="AA134" t="str">
        <f>IF(Y134="","",IF(Y134="[FÓRMULA MANUAL]","",IFERROR(AVERAGEIFS(nNOTA,nNIA,Y134,nCUENTA,1,nASIG,"Orquesta/Banda/Conjunto"),"")))</f>
        <v/>
      </c>
      <c r="AB134" t="str">
        <f>IF(Y134="","",IF(Y134="[FÓRMULA MANUAL]","",IFERROR(AVERAGEIFS(nNOTA,nNIA,Y134,nCUENTA,1,nASIG,"Música de Cámara"),"")))</f>
        <v/>
      </c>
      <c r="AC134" t="str">
        <f>IF(Y134="","",IF(Y134="[FÓRMULA MANUAL]","",IFERROR(SUMPRODUCT((nNIA=Y134)*(nCUENTA=1)*(COUNTIF(CONFIG_ASIGNATURAS!$B$7:$B$27,nASIG)&gt;0)*(nNOTA))/SUMPRODUCT((nNIA=Y134)*(nCUENTA=1)*(COUNTIF(CONFIG_ASIGNATURAS!$B$7:$B$27,nASIG)&gt;0)*1),"")))</f>
        <v/>
      </c>
      <c r="AF134" t="str">
        <f>IF(AE134="","",IF(AE134="[FÓRMULA MANUAL]","",IFERROR(AVERAGEIFS(nNOTA,nNIA,AE134,nCUENTA,1,nASIG,"Análisis"),"")))</f>
        <v/>
      </c>
      <c r="AG134" t="str">
        <f>IF(AE134="","",IF(AE134="[FÓRMULA MANUAL]","",IFERROR(AVERAGEIFS(nNOTA,nNIA,AE134,nCUENTA,1,nASIG,"Orquesta/Banda/Conjunto"),"")))</f>
        <v/>
      </c>
      <c r="AH134" t="str">
        <f>IF(AE134="","",IF(AE134="[FÓRMULA MANUAL]","",IFERROR(AVERAGEIFS(nNOTA,nNIA,AE134,nCUENTA,1,nASIG,"Música de Cámara"),"")))</f>
        <v/>
      </c>
      <c r="AI134" t="str">
        <f>IF(AE134="","",IF(AE134="[FÓRMULA MANUAL]","",IFERROR(SUMPRODUCT((nNIA=AE134)*(nCUENTA=1)*(COUNTIF(CONFIG_ASIGNATURAS!$B$7:$B$27,nASIG)&gt;0)*(nNOTA))/SUMPRODUCT((nNIA=AE134)*(nCUENTA=1)*(COUNTIF(CONFIG_ASIGNATURAS!$B$7:$B$27,nASIG)&gt;0)*1),"")))</f>
        <v/>
      </c>
    </row>
    <row r="135" spans="2:35" x14ac:dyDescent="0.2">
      <c r="B135" t="str">
        <f>IF(A135="","",IF(A135="[FÓRMULA MANUAL]","",IFERROR(AVERAGEIFS(nNOTA,nNIA,A135,nCUENTA,1,nASIG,"Lenguaje Musical"),"")))</f>
        <v/>
      </c>
      <c r="C135" t="str">
        <f>IF(A135="","",IF(A135="[FÓRMULA MANUAL]","",IFERROR(AVERAGEIFS(nNOTA,nNIA,A135,nCUENTA,1,nASIG,"Orquesta/Banda/Conjunto"),"")))</f>
        <v/>
      </c>
      <c r="D135" t="str">
        <f>IF(A135="","",IF(A135="[FÓRMULA MANUAL]","",IFERROR(AVERAGEIFS(nNOTA,nNIA,A135,nCUENTA,1,nASIG,"Conjunto"),"")))</f>
        <v/>
      </c>
      <c r="E135" t="str">
        <f>IF(A135="","",IF(A135="[FÓRMULA MANUAL]","",IFERROR(SUMPRODUCT((nNIA=A135)*(nCUENTA=1)*(COUNTIF(CONFIG_ASIGNATURAS!$B$7:$B$27,nASIG)&gt;0)*(nNOTA))/SUMPRODUCT((nNIA=A135)*(nCUENTA=1)*(COUNTIF(CONFIG_ASIGNATURAS!$B$7:$B$27,nASIG)&gt;0)*1),"")))</f>
        <v/>
      </c>
      <c r="H135" t="str">
        <f>IF(G135="","",IF(G135="[FÓRMULA MANUAL]","",IFERROR(AVERAGEIFS(nNOTA,nNIA,G135,nCUENTA,1,nASIG,"Lenguaje Musical"),"")))</f>
        <v/>
      </c>
      <c r="I135" t="str">
        <f>IF(G135="","",IF(G135="[FÓRMULA MANUAL]","",IFERROR(AVERAGEIFS(nNOTA,nNIA,G135,nCUENTA,1,nASIG,"Orquesta/Banda/Conjunto"),"")))</f>
        <v/>
      </c>
      <c r="J135" t="str">
        <f>IF(G135="","",IF(G135="[FÓRMULA MANUAL]","",IFERROR(AVERAGEIFS(nNOTA,nNIA,G135,nCUENTA,1,nASIG,"Conjunto"),"")))</f>
        <v/>
      </c>
      <c r="K135" t="str">
        <f>IF(G135="","",IF(G135="[FÓRMULA MANUAL]","",IFERROR(SUMPRODUCT((nNIA=G135)*(nCUENTA=1)*(COUNTIF(CONFIG_ASIGNATURAS!$B$7:$B$27,nASIG)&gt;0)*(nNOTA))/SUMPRODUCT((nNIA=G135)*(nCUENTA=1)*(COUNTIF(CONFIG_ASIGNATURAS!$B$7:$B$27,nASIG)&gt;0)*1),"")))</f>
        <v/>
      </c>
      <c r="N135" t="str">
        <f>IF(M135="","",IF(M135="[FÓRMULA MANUAL]","",IFERROR(AVERAGEIFS(nNOTA,nNIA,M135,nCUENTA,1,nASIG,"Armonía"),"")))</f>
        <v/>
      </c>
      <c r="O135" t="str">
        <f>IF(M135="","",IF(M135="[FÓRMULA MANUAL]","",IFERROR(AVERAGEIFS(nNOTA,nNIA,M135,nCUENTA,1,nASIG,"Orquesta/Banda/Conjunto"),"")))</f>
        <v/>
      </c>
      <c r="P135" t="str">
        <f>IF(M135="","",IF(M135="[FÓRMULA MANUAL]","",IFERROR(AVERAGEIFS(nNOTA,nNIA,M135,nCUENTA,1,nASIG,"Música de Cámara"),"")))</f>
        <v/>
      </c>
      <c r="Q135" t="str">
        <f>IF(M135="","",IF(M135="[FÓRMULA MANUAL]","",IFERROR(SUMPRODUCT((nNIA=M135)*(nCUENTA=1)*(COUNTIF(CONFIG_ASIGNATURAS!$B$7:$B$27,nASIG)&gt;0)*(nNOTA))/SUMPRODUCT((nNIA=M135)*(nCUENTA=1)*(COUNTIF(CONFIG_ASIGNATURAS!$B$7:$B$27,nASIG)&gt;0)*1),"")))</f>
        <v/>
      </c>
      <c r="T135" t="str">
        <f>IF(S135="","",IF(S135="[FÓRMULA MANUAL]","",IFERROR(AVERAGEIFS(nNOTA,nNIA,S135,nCUENTA,1,nASIG,"Armonía"),"")))</f>
        <v/>
      </c>
      <c r="U135" t="str">
        <f>IF(S135="","",IF(S135="[FÓRMULA MANUAL]","",IFERROR(AVERAGEIFS(nNOTA,nNIA,S135,nCUENTA,1,nASIG,"Orquesta/Banda/Conjunto"),"")))</f>
        <v/>
      </c>
      <c r="V135" t="str">
        <f>IF(S135="","",IF(S135="[FÓRMULA MANUAL]","",IFERROR(AVERAGEIFS(nNOTA,nNIA,S135,nCUENTA,1,nASIG,"Música de Cámara"),"")))</f>
        <v/>
      </c>
      <c r="W135" t="str">
        <f>IF(S135="","",IF(S135="[FÓRMULA MANUAL]","",IFERROR(SUMPRODUCT((nNIA=S135)*(nCUENTA=1)*(COUNTIF(CONFIG_ASIGNATURAS!$B$7:$B$27,nASIG)&gt;0)*(nNOTA))/SUMPRODUCT((nNIA=S135)*(nCUENTA=1)*(COUNTIF(CONFIG_ASIGNATURAS!$B$7:$B$27,nASIG)&gt;0)*1),"")))</f>
        <v/>
      </c>
      <c r="Z135" t="str">
        <f>IF(Y135="","",IF(Y135="[FÓRMULA MANUAL]","",IFERROR(AVERAGEIFS(nNOTA,nNIA,Y135,nCUENTA,1,nASIG,"Análisis"),"")))</f>
        <v/>
      </c>
      <c r="AA135" t="str">
        <f>IF(Y135="","",IF(Y135="[FÓRMULA MANUAL]","",IFERROR(AVERAGEIFS(nNOTA,nNIA,Y135,nCUENTA,1,nASIG,"Orquesta/Banda/Conjunto"),"")))</f>
        <v/>
      </c>
      <c r="AB135" t="str">
        <f>IF(Y135="","",IF(Y135="[FÓRMULA MANUAL]","",IFERROR(AVERAGEIFS(nNOTA,nNIA,Y135,nCUENTA,1,nASIG,"Música de Cámara"),"")))</f>
        <v/>
      </c>
      <c r="AC135" t="str">
        <f>IF(Y135="","",IF(Y135="[FÓRMULA MANUAL]","",IFERROR(SUMPRODUCT((nNIA=Y135)*(nCUENTA=1)*(COUNTIF(CONFIG_ASIGNATURAS!$B$7:$B$27,nASIG)&gt;0)*(nNOTA))/SUMPRODUCT((nNIA=Y135)*(nCUENTA=1)*(COUNTIF(CONFIG_ASIGNATURAS!$B$7:$B$27,nASIG)&gt;0)*1),"")))</f>
        <v/>
      </c>
      <c r="AF135" t="str">
        <f>IF(AE135="","",IF(AE135="[FÓRMULA MANUAL]","",IFERROR(AVERAGEIFS(nNOTA,nNIA,AE135,nCUENTA,1,nASIG,"Análisis"),"")))</f>
        <v/>
      </c>
      <c r="AG135" t="str">
        <f>IF(AE135="","",IF(AE135="[FÓRMULA MANUAL]","",IFERROR(AVERAGEIFS(nNOTA,nNIA,AE135,nCUENTA,1,nASIG,"Orquesta/Banda/Conjunto"),"")))</f>
        <v/>
      </c>
      <c r="AH135" t="str">
        <f>IF(AE135="","",IF(AE135="[FÓRMULA MANUAL]","",IFERROR(AVERAGEIFS(nNOTA,nNIA,AE135,nCUENTA,1,nASIG,"Música de Cámara"),"")))</f>
        <v/>
      </c>
      <c r="AI135" t="str">
        <f>IF(AE135="","",IF(AE135="[FÓRMULA MANUAL]","",IFERROR(SUMPRODUCT((nNIA=AE135)*(nCUENTA=1)*(COUNTIF(CONFIG_ASIGNATURAS!$B$7:$B$27,nASIG)&gt;0)*(nNOTA))/SUMPRODUCT((nNIA=AE135)*(nCUENTA=1)*(COUNTIF(CONFIG_ASIGNATURAS!$B$7:$B$27,nASIG)&gt;0)*1),"")))</f>
        <v/>
      </c>
    </row>
    <row r="136" spans="2:35" x14ac:dyDescent="0.2">
      <c r="B136" t="str">
        <f>IF(A136="","",IF(A136="[FÓRMULA MANUAL]","",IFERROR(AVERAGEIFS(nNOTA,nNIA,A136,nCUENTA,1,nASIG,"Lenguaje Musical"),"")))</f>
        <v/>
      </c>
      <c r="C136" t="str">
        <f>IF(A136="","",IF(A136="[FÓRMULA MANUAL]","",IFERROR(AVERAGEIFS(nNOTA,nNIA,A136,nCUENTA,1,nASIG,"Orquesta/Banda/Conjunto"),"")))</f>
        <v/>
      </c>
      <c r="D136" t="str">
        <f>IF(A136="","",IF(A136="[FÓRMULA MANUAL]","",IFERROR(AVERAGEIFS(nNOTA,nNIA,A136,nCUENTA,1,nASIG,"Conjunto"),"")))</f>
        <v/>
      </c>
      <c r="E136" t="str">
        <f>IF(A136="","",IF(A136="[FÓRMULA MANUAL]","",IFERROR(SUMPRODUCT((nNIA=A136)*(nCUENTA=1)*(COUNTIF(CONFIG_ASIGNATURAS!$B$7:$B$27,nASIG)&gt;0)*(nNOTA))/SUMPRODUCT((nNIA=A136)*(nCUENTA=1)*(COUNTIF(CONFIG_ASIGNATURAS!$B$7:$B$27,nASIG)&gt;0)*1),"")))</f>
        <v/>
      </c>
      <c r="H136" t="str">
        <f>IF(G136="","",IF(G136="[FÓRMULA MANUAL]","",IFERROR(AVERAGEIFS(nNOTA,nNIA,G136,nCUENTA,1,nASIG,"Lenguaje Musical"),"")))</f>
        <v/>
      </c>
      <c r="I136" t="str">
        <f>IF(G136="","",IF(G136="[FÓRMULA MANUAL]","",IFERROR(AVERAGEIFS(nNOTA,nNIA,G136,nCUENTA,1,nASIG,"Orquesta/Banda/Conjunto"),"")))</f>
        <v/>
      </c>
      <c r="J136" t="str">
        <f>IF(G136="","",IF(G136="[FÓRMULA MANUAL]","",IFERROR(AVERAGEIFS(nNOTA,nNIA,G136,nCUENTA,1,nASIG,"Conjunto"),"")))</f>
        <v/>
      </c>
      <c r="K136" t="str">
        <f>IF(G136="","",IF(G136="[FÓRMULA MANUAL]","",IFERROR(SUMPRODUCT((nNIA=G136)*(nCUENTA=1)*(COUNTIF(CONFIG_ASIGNATURAS!$B$7:$B$27,nASIG)&gt;0)*(nNOTA))/SUMPRODUCT((nNIA=G136)*(nCUENTA=1)*(COUNTIF(CONFIG_ASIGNATURAS!$B$7:$B$27,nASIG)&gt;0)*1),"")))</f>
        <v/>
      </c>
      <c r="N136" t="str">
        <f>IF(M136="","",IF(M136="[FÓRMULA MANUAL]","",IFERROR(AVERAGEIFS(nNOTA,nNIA,M136,nCUENTA,1,nASIG,"Armonía"),"")))</f>
        <v/>
      </c>
      <c r="O136" t="str">
        <f>IF(M136="","",IF(M136="[FÓRMULA MANUAL]","",IFERROR(AVERAGEIFS(nNOTA,nNIA,M136,nCUENTA,1,nASIG,"Orquesta/Banda/Conjunto"),"")))</f>
        <v/>
      </c>
      <c r="P136" t="str">
        <f>IF(M136="","",IF(M136="[FÓRMULA MANUAL]","",IFERROR(AVERAGEIFS(nNOTA,nNIA,M136,nCUENTA,1,nASIG,"Música de Cámara"),"")))</f>
        <v/>
      </c>
      <c r="Q136" t="str">
        <f>IF(M136="","",IF(M136="[FÓRMULA MANUAL]","",IFERROR(SUMPRODUCT((nNIA=M136)*(nCUENTA=1)*(COUNTIF(CONFIG_ASIGNATURAS!$B$7:$B$27,nASIG)&gt;0)*(nNOTA))/SUMPRODUCT((nNIA=M136)*(nCUENTA=1)*(COUNTIF(CONFIG_ASIGNATURAS!$B$7:$B$27,nASIG)&gt;0)*1),"")))</f>
        <v/>
      </c>
      <c r="T136" t="str">
        <f>IF(S136="","",IF(S136="[FÓRMULA MANUAL]","",IFERROR(AVERAGEIFS(nNOTA,nNIA,S136,nCUENTA,1,nASIG,"Armonía"),"")))</f>
        <v/>
      </c>
      <c r="U136" t="str">
        <f>IF(S136="","",IF(S136="[FÓRMULA MANUAL]","",IFERROR(AVERAGEIFS(nNOTA,nNIA,S136,nCUENTA,1,nASIG,"Orquesta/Banda/Conjunto"),"")))</f>
        <v/>
      </c>
      <c r="V136" t="str">
        <f>IF(S136="","",IF(S136="[FÓRMULA MANUAL]","",IFERROR(AVERAGEIFS(nNOTA,nNIA,S136,nCUENTA,1,nASIG,"Música de Cámara"),"")))</f>
        <v/>
      </c>
      <c r="W136" t="str">
        <f>IF(S136="","",IF(S136="[FÓRMULA MANUAL]","",IFERROR(SUMPRODUCT((nNIA=S136)*(nCUENTA=1)*(COUNTIF(CONFIG_ASIGNATURAS!$B$7:$B$27,nASIG)&gt;0)*(nNOTA))/SUMPRODUCT((nNIA=S136)*(nCUENTA=1)*(COUNTIF(CONFIG_ASIGNATURAS!$B$7:$B$27,nASIG)&gt;0)*1),"")))</f>
        <v/>
      </c>
      <c r="Z136" t="str">
        <f>IF(Y136="","",IF(Y136="[FÓRMULA MANUAL]","",IFERROR(AVERAGEIFS(nNOTA,nNIA,Y136,nCUENTA,1,nASIG,"Análisis"),"")))</f>
        <v/>
      </c>
      <c r="AA136" t="str">
        <f>IF(Y136="","",IF(Y136="[FÓRMULA MANUAL]","",IFERROR(AVERAGEIFS(nNOTA,nNIA,Y136,nCUENTA,1,nASIG,"Orquesta/Banda/Conjunto"),"")))</f>
        <v/>
      </c>
      <c r="AB136" t="str">
        <f>IF(Y136="","",IF(Y136="[FÓRMULA MANUAL]","",IFERROR(AVERAGEIFS(nNOTA,nNIA,Y136,nCUENTA,1,nASIG,"Música de Cámara"),"")))</f>
        <v/>
      </c>
      <c r="AC136" t="str">
        <f>IF(Y136="","",IF(Y136="[FÓRMULA MANUAL]","",IFERROR(SUMPRODUCT((nNIA=Y136)*(nCUENTA=1)*(COUNTIF(CONFIG_ASIGNATURAS!$B$7:$B$27,nASIG)&gt;0)*(nNOTA))/SUMPRODUCT((nNIA=Y136)*(nCUENTA=1)*(COUNTIF(CONFIG_ASIGNATURAS!$B$7:$B$27,nASIG)&gt;0)*1),"")))</f>
        <v/>
      </c>
      <c r="AF136" t="str">
        <f>IF(AE136="","",IF(AE136="[FÓRMULA MANUAL]","",IFERROR(AVERAGEIFS(nNOTA,nNIA,AE136,nCUENTA,1,nASIG,"Análisis"),"")))</f>
        <v/>
      </c>
      <c r="AG136" t="str">
        <f>IF(AE136="","",IF(AE136="[FÓRMULA MANUAL]","",IFERROR(AVERAGEIFS(nNOTA,nNIA,AE136,nCUENTA,1,nASIG,"Orquesta/Banda/Conjunto"),"")))</f>
        <v/>
      </c>
      <c r="AH136" t="str">
        <f>IF(AE136="","",IF(AE136="[FÓRMULA MANUAL]","",IFERROR(AVERAGEIFS(nNOTA,nNIA,AE136,nCUENTA,1,nASIG,"Música de Cámara"),"")))</f>
        <v/>
      </c>
      <c r="AI136" t="str">
        <f>IF(AE136="","",IF(AE136="[FÓRMULA MANUAL]","",IFERROR(SUMPRODUCT((nNIA=AE136)*(nCUENTA=1)*(COUNTIF(CONFIG_ASIGNATURAS!$B$7:$B$27,nASIG)&gt;0)*(nNOTA))/SUMPRODUCT((nNIA=AE136)*(nCUENTA=1)*(COUNTIF(CONFIG_ASIGNATURAS!$B$7:$B$27,nASIG)&gt;0)*1),"")))</f>
        <v/>
      </c>
    </row>
    <row r="137" spans="2:35" x14ac:dyDescent="0.2">
      <c r="B137" t="str">
        <f>IF(A137="","",IF(A137="[FÓRMULA MANUAL]","",IFERROR(AVERAGEIFS(nNOTA,nNIA,A137,nCUENTA,1,nASIG,"Lenguaje Musical"),"")))</f>
        <v/>
      </c>
      <c r="C137" t="str">
        <f>IF(A137="","",IF(A137="[FÓRMULA MANUAL]","",IFERROR(AVERAGEIFS(nNOTA,nNIA,A137,nCUENTA,1,nASIG,"Orquesta/Banda/Conjunto"),"")))</f>
        <v/>
      </c>
      <c r="D137" t="str">
        <f>IF(A137="","",IF(A137="[FÓRMULA MANUAL]","",IFERROR(AVERAGEIFS(nNOTA,nNIA,A137,nCUENTA,1,nASIG,"Conjunto"),"")))</f>
        <v/>
      </c>
      <c r="E137" t="str">
        <f>IF(A137="","",IF(A137="[FÓRMULA MANUAL]","",IFERROR(SUMPRODUCT((nNIA=A137)*(nCUENTA=1)*(COUNTIF(CONFIG_ASIGNATURAS!$B$7:$B$27,nASIG)&gt;0)*(nNOTA))/SUMPRODUCT((nNIA=A137)*(nCUENTA=1)*(COUNTIF(CONFIG_ASIGNATURAS!$B$7:$B$27,nASIG)&gt;0)*1),"")))</f>
        <v/>
      </c>
      <c r="H137" t="str">
        <f>IF(G137="","",IF(G137="[FÓRMULA MANUAL]","",IFERROR(AVERAGEIFS(nNOTA,nNIA,G137,nCUENTA,1,nASIG,"Lenguaje Musical"),"")))</f>
        <v/>
      </c>
      <c r="I137" t="str">
        <f>IF(G137="","",IF(G137="[FÓRMULA MANUAL]","",IFERROR(AVERAGEIFS(nNOTA,nNIA,G137,nCUENTA,1,nASIG,"Orquesta/Banda/Conjunto"),"")))</f>
        <v/>
      </c>
      <c r="J137" t="str">
        <f>IF(G137="","",IF(G137="[FÓRMULA MANUAL]","",IFERROR(AVERAGEIFS(nNOTA,nNIA,G137,nCUENTA,1,nASIG,"Conjunto"),"")))</f>
        <v/>
      </c>
      <c r="K137" t="str">
        <f>IF(G137="","",IF(G137="[FÓRMULA MANUAL]","",IFERROR(SUMPRODUCT((nNIA=G137)*(nCUENTA=1)*(COUNTIF(CONFIG_ASIGNATURAS!$B$7:$B$27,nASIG)&gt;0)*(nNOTA))/SUMPRODUCT((nNIA=G137)*(nCUENTA=1)*(COUNTIF(CONFIG_ASIGNATURAS!$B$7:$B$27,nASIG)&gt;0)*1),"")))</f>
        <v/>
      </c>
      <c r="N137" t="str">
        <f>IF(M137="","",IF(M137="[FÓRMULA MANUAL]","",IFERROR(AVERAGEIFS(nNOTA,nNIA,M137,nCUENTA,1,nASIG,"Armonía"),"")))</f>
        <v/>
      </c>
      <c r="O137" t="str">
        <f>IF(M137="","",IF(M137="[FÓRMULA MANUAL]","",IFERROR(AVERAGEIFS(nNOTA,nNIA,M137,nCUENTA,1,nASIG,"Orquesta/Banda/Conjunto"),"")))</f>
        <v/>
      </c>
      <c r="P137" t="str">
        <f>IF(M137="","",IF(M137="[FÓRMULA MANUAL]","",IFERROR(AVERAGEIFS(nNOTA,nNIA,M137,nCUENTA,1,nASIG,"Música de Cámara"),"")))</f>
        <v/>
      </c>
      <c r="Q137" t="str">
        <f>IF(M137="","",IF(M137="[FÓRMULA MANUAL]","",IFERROR(SUMPRODUCT((nNIA=M137)*(nCUENTA=1)*(COUNTIF(CONFIG_ASIGNATURAS!$B$7:$B$27,nASIG)&gt;0)*(nNOTA))/SUMPRODUCT((nNIA=M137)*(nCUENTA=1)*(COUNTIF(CONFIG_ASIGNATURAS!$B$7:$B$27,nASIG)&gt;0)*1),"")))</f>
        <v/>
      </c>
      <c r="T137" t="str">
        <f>IF(S137="","",IF(S137="[FÓRMULA MANUAL]","",IFERROR(AVERAGEIFS(nNOTA,nNIA,S137,nCUENTA,1,nASIG,"Armonía"),"")))</f>
        <v/>
      </c>
      <c r="U137" t="str">
        <f>IF(S137="","",IF(S137="[FÓRMULA MANUAL]","",IFERROR(AVERAGEIFS(nNOTA,nNIA,S137,nCUENTA,1,nASIG,"Orquesta/Banda/Conjunto"),"")))</f>
        <v/>
      </c>
      <c r="V137" t="str">
        <f>IF(S137="","",IF(S137="[FÓRMULA MANUAL]","",IFERROR(AVERAGEIFS(nNOTA,nNIA,S137,nCUENTA,1,nASIG,"Música de Cámara"),"")))</f>
        <v/>
      </c>
      <c r="W137" t="str">
        <f>IF(S137="","",IF(S137="[FÓRMULA MANUAL]","",IFERROR(SUMPRODUCT((nNIA=S137)*(nCUENTA=1)*(COUNTIF(CONFIG_ASIGNATURAS!$B$7:$B$27,nASIG)&gt;0)*(nNOTA))/SUMPRODUCT((nNIA=S137)*(nCUENTA=1)*(COUNTIF(CONFIG_ASIGNATURAS!$B$7:$B$27,nASIG)&gt;0)*1),"")))</f>
        <v/>
      </c>
      <c r="Z137" t="str">
        <f>IF(Y137="","",IF(Y137="[FÓRMULA MANUAL]","",IFERROR(AVERAGEIFS(nNOTA,nNIA,Y137,nCUENTA,1,nASIG,"Análisis"),"")))</f>
        <v/>
      </c>
      <c r="AA137" t="str">
        <f>IF(Y137="","",IF(Y137="[FÓRMULA MANUAL]","",IFERROR(AVERAGEIFS(nNOTA,nNIA,Y137,nCUENTA,1,nASIG,"Orquesta/Banda/Conjunto"),"")))</f>
        <v/>
      </c>
      <c r="AB137" t="str">
        <f>IF(Y137="","",IF(Y137="[FÓRMULA MANUAL]","",IFERROR(AVERAGEIFS(nNOTA,nNIA,Y137,nCUENTA,1,nASIG,"Música de Cámara"),"")))</f>
        <v/>
      </c>
      <c r="AC137" t="str">
        <f>IF(Y137="","",IF(Y137="[FÓRMULA MANUAL]","",IFERROR(SUMPRODUCT((nNIA=Y137)*(nCUENTA=1)*(COUNTIF(CONFIG_ASIGNATURAS!$B$7:$B$27,nASIG)&gt;0)*(nNOTA))/SUMPRODUCT((nNIA=Y137)*(nCUENTA=1)*(COUNTIF(CONFIG_ASIGNATURAS!$B$7:$B$27,nASIG)&gt;0)*1),"")))</f>
        <v/>
      </c>
      <c r="AF137" t="str">
        <f>IF(AE137="","",IF(AE137="[FÓRMULA MANUAL]","",IFERROR(AVERAGEIFS(nNOTA,nNIA,AE137,nCUENTA,1,nASIG,"Análisis"),"")))</f>
        <v/>
      </c>
      <c r="AG137" t="str">
        <f>IF(AE137="","",IF(AE137="[FÓRMULA MANUAL]","",IFERROR(AVERAGEIFS(nNOTA,nNIA,AE137,nCUENTA,1,nASIG,"Orquesta/Banda/Conjunto"),"")))</f>
        <v/>
      </c>
      <c r="AH137" t="str">
        <f>IF(AE137="","",IF(AE137="[FÓRMULA MANUAL]","",IFERROR(AVERAGEIFS(nNOTA,nNIA,AE137,nCUENTA,1,nASIG,"Música de Cámara"),"")))</f>
        <v/>
      </c>
      <c r="AI137" t="str">
        <f>IF(AE137="","",IF(AE137="[FÓRMULA MANUAL]","",IFERROR(SUMPRODUCT((nNIA=AE137)*(nCUENTA=1)*(COUNTIF(CONFIG_ASIGNATURAS!$B$7:$B$27,nASIG)&gt;0)*(nNOTA))/SUMPRODUCT((nNIA=AE137)*(nCUENTA=1)*(COUNTIF(CONFIG_ASIGNATURAS!$B$7:$B$27,nASIG)&gt;0)*1),"")))</f>
        <v/>
      </c>
    </row>
    <row r="138" spans="2:35" x14ac:dyDescent="0.2">
      <c r="B138" t="str">
        <f>IF(A138="","",IF(A138="[FÓRMULA MANUAL]","",IFERROR(AVERAGEIFS(nNOTA,nNIA,A138,nCUENTA,1,nASIG,"Lenguaje Musical"),"")))</f>
        <v/>
      </c>
      <c r="C138" t="str">
        <f>IF(A138="","",IF(A138="[FÓRMULA MANUAL]","",IFERROR(AVERAGEIFS(nNOTA,nNIA,A138,nCUENTA,1,nASIG,"Orquesta/Banda/Conjunto"),"")))</f>
        <v/>
      </c>
      <c r="D138" t="str">
        <f>IF(A138="","",IF(A138="[FÓRMULA MANUAL]","",IFERROR(AVERAGEIFS(nNOTA,nNIA,A138,nCUENTA,1,nASIG,"Conjunto"),"")))</f>
        <v/>
      </c>
      <c r="E138" t="str">
        <f>IF(A138="","",IF(A138="[FÓRMULA MANUAL]","",IFERROR(SUMPRODUCT((nNIA=A138)*(nCUENTA=1)*(COUNTIF(CONFIG_ASIGNATURAS!$B$7:$B$27,nASIG)&gt;0)*(nNOTA))/SUMPRODUCT((nNIA=A138)*(nCUENTA=1)*(COUNTIF(CONFIG_ASIGNATURAS!$B$7:$B$27,nASIG)&gt;0)*1),"")))</f>
        <v/>
      </c>
      <c r="H138" t="str">
        <f>IF(G138="","",IF(G138="[FÓRMULA MANUAL]","",IFERROR(AVERAGEIFS(nNOTA,nNIA,G138,nCUENTA,1,nASIG,"Lenguaje Musical"),"")))</f>
        <v/>
      </c>
      <c r="I138" t="str">
        <f>IF(G138="","",IF(G138="[FÓRMULA MANUAL]","",IFERROR(AVERAGEIFS(nNOTA,nNIA,G138,nCUENTA,1,nASIG,"Orquesta/Banda/Conjunto"),"")))</f>
        <v/>
      </c>
      <c r="J138" t="str">
        <f>IF(G138="","",IF(G138="[FÓRMULA MANUAL]","",IFERROR(AVERAGEIFS(nNOTA,nNIA,G138,nCUENTA,1,nASIG,"Conjunto"),"")))</f>
        <v/>
      </c>
      <c r="K138" t="str">
        <f>IF(G138="","",IF(G138="[FÓRMULA MANUAL]","",IFERROR(SUMPRODUCT((nNIA=G138)*(nCUENTA=1)*(COUNTIF(CONFIG_ASIGNATURAS!$B$7:$B$27,nASIG)&gt;0)*(nNOTA))/SUMPRODUCT((nNIA=G138)*(nCUENTA=1)*(COUNTIF(CONFIG_ASIGNATURAS!$B$7:$B$27,nASIG)&gt;0)*1),"")))</f>
        <v/>
      </c>
      <c r="N138" t="str">
        <f>IF(M138="","",IF(M138="[FÓRMULA MANUAL]","",IFERROR(AVERAGEIFS(nNOTA,nNIA,M138,nCUENTA,1,nASIG,"Armonía"),"")))</f>
        <v/>
      </c>
      <c r="O138" t="str">
        <f>IF(M138="","",IF(M138="[FÓRMULA MANUAL]","",IFERROR(AVERAGEIFS(nNOTA,nNIA,M138,nCUENTA,1,nASIG,"Orquesta/Banda/Conjunto"),"")))</f>
        <v/>
      </c>
      <c r="P138" t="str">
        <f>IF(M138="","",IF(M138="[FÓRMULA MANUAL]","",IFERROR(AVERAGEIFS(nNOTA,nNIA,M138,nCUENTA,1,nASIG,"Música de Cámara"),"")))</f>
        <v/>
      </c>
      <c r="Q138" t="str">
        <f>IF(M138="","",IF(M138="[FÓRMULA MANUAL]","",IFERROR(SUMPRODUCT((nNIA=M138)*(nCUENTA=1)*(COUNTIF(CONFIG_ASIGNATURAS!$B$7:$B$27,nASIG)&gt;0)*(nNOTA))/SUMPRODUCT((nNIA=M138)*(nCUENTA=1)*(COUNTIF(CONFIG_ASIGNATURAS!$B$7:$B$27,nASIG)&gt;0)*1),"")))</f>
        <v/>
      </c>
      <c r="T138" t="str">
        <f>IF(S138="","",IF(S138="[FÓRMULA MANUAL]","",IFERROR(AVERAGEIFS(nNOTA,nNIA,S138,nCUENTA,1,nASIG,"Armonía"),"")))</f>
        <v/>
      </c>
      <c r="U138" t="str">
        <f>IF(S138="","",IF(S138="[FÓRMULA MANUAL]","",IFERROR(AVERAGEIFS(nNOTA,nNIA,S138,nCUENTA,1,nASIG,"Orquesta/Banda/Conjunto"),"")))</f>
        <v/>
      </c>
      <c r="V138" t="str">
        <f>IF(S138="","",IF(S138="[FÓRMULA MANUAL]","",IFERROR(AVERAGEIFS(nNOTA,nNIA,S138,nCUENTA,1,nASIG,"Música de Cámara"),"")))</f>
        <v/>
      </c>
      <c r="W138" t="str">
        <f>IF(S138="","",IF(S138="[FÓRMULA MANUAL]","",IFERROR(SUMPRODUCT((nNIA=S138)*(nCUENTA=1)*(COUNTIF(CONFIG_ASIGNATURAS!$B$7:$B$27,nASIG)&gt;0)*(nNOTA))/SUMPRODUCT((nNIA=S138)*(nCUENTA=1)*(COUNTIF(CONFIG_ASIGNATURAS!$B$7:$B$27,nASIG)&gt;0)*1),"")))</f>
        <v/>
      </c>
      <c r="Z138" t="str">
        <f>IF(Y138="","",IF(Y138="[FÓRMULA MANUAL]","",IFERROR(AVERAGEIFS(nNOTA,nNIA,Y138,nCUENTA,1,nASIG,"Análisis"),"")))</f>
        <v/>
      </c>
      <c r="AA138" t="str">
        <f>IF(Y138="","",IF(Y138="[FÓRMULA MANUAL]","",IFERROR(AVERAGEIFS(nNOTA,nNIA,Y138,nCUENTA,1,nASIG,"Orquesta/Banda/Conjunto"),"")))</f>
        <v/>
      </c>
      <c r="AB138" t="str">
        <f>IF(Y138="","",IF(Y138="[FÓRMULA MANUAL]","",IFERROR(AVERAGEIFS(nNOTA,nNIA,Y138,nCUENTA,1,nASIG,"Música de Cámara"),"")))</f>
        <v/>
      </c>
      <c r="AC138" t="str">
        <f>IF(Y138="","",IF(Y138="[FÓRMULA MANUAL]","",IFERROR(SUMPRODUCT((nNIA=Y138)*(nCUENTA=1)*(COUNTIF(CONFIG_ASIGNATURAS!$B$7:$B$27,nASIG)&gt;0)*(nNOTA))/SUMPRODUCT((nNIA=Y138)*(nCUENTA=1)*(COUNTIF(CONFIG_ASIGNATURAS!$B$7:$B$27,nASIG)&gt;0)*1),"")))</f>
        <v/>
      </c>
      <c r="AF138" t="str">
        <f>IF(AE138="","",IF(AE138="[FÓRMULA MANUAL]","",IFERROR(AVERAGEIFS(nNOTA,nNIA,AE138,nCUENTA,1,nASIG,"Análisis"),"")))</f>
        <v/>
      </c>
      <c r="AG138" t="str">
        <f>IF(AE138="","",IF(AE138="[FÓRMULA MANUAL]","",IFERROR(AVERAGEIFS(nNOTA,nNIA,AE138,nCUENTA,1,nASIG,"Orquesta/Banda/Conjunto"),"")))</f>
        <v/>
      </c>
      <c r="AH138" t="str">
        <f>IF(AE138="","",IF(AE138="[FÓRMULA MANUAL]","",IFERROR(AVERAGEIFS(nNOTA,nNIA,AE138,nCUENTA,1,nASIG,"Música de Cámara"),"")))</f>
        <v/>
      </c>
      <c r="AI138" t="str">
        <f>IF(AE138="","",IF(AE138="[FÓRMULA MANUAL]","",IFERROR(SUMPRODUCT((nNIA=AE138)*(nCUENTA=1)*(COUNTIF(CONFIG_ASIGNATURAS!$B$7:$B$27,nASIG)&gt;0)*(nNOTA))/SUMPRODUCT((nNIA=AE138)*(nCUENTA=1)*(COUNTIF(CONFIG_ASIGNATURAS!$B$7:$B$27,nASIG)&gt;0)*1),"")))</f>
        <v/>
      </c>
    </row>
    <row r="139" spans="2:35" x14ac:dyDescent="0.2">
      <c r="B139" t="str">
        <f>IF(A139="","",IF(A139="[FÓRMULA MANUAL]","",IFERROR(AVERAGEIFS(nNOTA,nNIA,A139,nCUENTA,1,nASIG,"Lenguaje Musical"),"")))</f>
        <v/>
      </c>
      <c r="C139" t="str">
        <f>IF(A139="","",IF(A139="[FÓRMULA MANUAL]","",IFERROR(AVERAGEIFS(nNOTA,nNIA,A139,nCUENTA,1,nASIG,"Orquesta/Banda/Conjunto"),"")))</f>
        <v/>
      </c>
      <c r="D139" t="str">
        <f>IF(A139="","",IF(A139="[FÓRMULA MANUAL]","",IFERROR(AVERAGEIFS(nNOTA,nNIA,A139,nCUENTA,1,nASIG,"Conjunto"),"")))</f>
        <v/>
      </c>
      <c r="E139" t="str">
        <f>IF(A139="","",IF(A139="[FÓRMULA MANUAL]","",IFERROR(SUMPRODUCT((nNIA=A139)*(nCUENTA=1)*(COUNTIF(CONFIG_ASIGNATURAS!$B$7:$B$27,nASIG)&gt;0)*(nNOTA))/SUMPRODUCT((nNIA=A139)*(nCUENTA=1)*(COUNTIF(CONFIG_ASIGNATURAS!$B$7:$B$27,nASIG)&gt;0)*1),"")))</f>
        <v/>
      </c>
      <c r="H139" t="str">
        <f>IF(G139="","",IF(G139="[FÓRMULA MANUAL]","",IFERROR(AVERAGEIFS(nNOTA,nNIA,G139,nCUENTA,1,nASIG,"Lenguaje Musical"),"")))</f>
        <v/>
      </c>
      <c r="I139" t="str">
        <f>IF(G139="","",IF(G139="[FÓRMULA MANUAL]","",IFERROR(AVERAGEIFS(nNOTA,nNIA,G139,nCUENTA,1,nASIG,"Orquesta/Banda/Conjunto"),"")))</f>
        <v/>
      </c>
      <c r="J139" t="str">
        <f>IF(G139="","",IF(G139="[FÓRMULA MANUAL]","",IFERROR(AVERAGEIFS(nNOTA,nNIA,G139,nCUENTA,1,nASIG,"Conjunto"),"")))</f>
        <v/>
      </c>
      <c r="K139" t="str">
        <f>IF(G139="","",IF(G139="[FÓRMULA MANUAL]","",IFERROR(SUMPRODUCT((nNIA=G139)*(nCUENTA=1)*(COUNTIF(CONFIG_ASIGNATURAS!$B$7:$B$27,nASIG)&gt;0)*(nNOTA))/SUMPRODUCT((nNIA=G139)*(nCUENTA=1)*(COUNTIF(CONFIG_ASIGNATURAS!$B$7:$B$27,nASIG)&gt;0)*1),"")))</f>
        <v/>
      </c>
      <c r="N139" t="str">
        <f>IF(M139="","",IF(M139="[FÓRMULA MANUAL]","",IFERROR(AVERAGEIFS(nNOTA,nNIA,M139,nCUENTA,1,nASIG,"Armonía"),"")))</f>
        <v/>
      </c>
      <c r="O139" t="str">
        <f>IF(M139="","",IF(M139="[FÓRMULA MANUAL]","",IFERROR(AVERAGEIFS(nNOTA,nNIA,M139,nCUENTA,1,nASIG,"Orquesta/Banda/Conjunto"),"")))</f>
        <v/>
      </c>
      <c r="P139" t="str">
        <f>IF(M139="","",IF(M139="[FÓRMULA MANUAL]","",IFERROR(AVERAGEIFS(nNOTA,nNIA,M139,nCUENTA,1,nASIG,"Música de Cámara"),"")))</f>
        <v/>
      </c>
      <c r="Q139" t="str">
        <f>IF(M139="","",IF(M139="[FÓRMULA MANUAL]","",IFERROR(SUMPRODUCT((nNIA=M139)*(nCUENTA=1)*(COUNTIF(CONFIG_ASIGNATURAS!$B$7:$B$27,nASIG)&gt;0)*(nNOTA))/SUMPRODUCT((nNIA=M139)*(nCUENTA=1)*(COUNTIF(CONFIG_ASIGNATURAS!$B$7:$B$27,nASIG)&gt;0)*1),"")))</f>
        <v/>
      </c>
      <c r="T139" t="str">
        <f>IF(S139="","",IF(S139="[FÓRMULA MANUAL]","",IFERROR(AVERAGEIFS(nNOTA,nNIA,S139,nCUENTA,1,nASIG,"Armonía"),"")))</f>
        <v/>
      </c>
      <c r="U139" t="str">
        <f>IF(S139="","",IF(S139="[FÓRMULA MANUAL]","",IFERROR(AVERAGEIFS(nNOTA,nNIA,S139,nCUENTA,1,nASIG,"Orquesta/Banda/Conjunto"),"")))</f>
        <v/>
      </c>
      <c r="V139" t="str">
        <f>IF(S139="","",IF(S139="[FÓRMULA MANUAL]","",IFERROR(AVERAGEIFS(nNOTA,nNIA,S139,nCUENTA,1,nASIG,"Música de Cámara"),"")))</f>
        <v/>
      </c>
      <c r="W139" t="str">
        <f>IF(S139="","",IF(S139="[FÓRMULA MANUAL]","",IFERROR(SUMPRODUCT((nNIA=S139)*(nCUENTA=1)*(COUNTIF(CONFIG_ASIGNATURAS!$B$7:$B$27,nASIG)&gt;0)*(nNOTA))/SUMPRODUCT((nNIA=S139)*(nCUENTA=1)*(COUNTIF(CONFIG_ASIGNATURAS!$B$7:$B$27,nASIG)&gt;0)*1),"")))</f>
        <v/>
      </c>
      <c r="Z139" t="str">
        <f>IF(Y139="","",IF(Y139="[FÓRMULA MANUAL]","",IFERROR(AVERAGEIFS(nNOTA,nNIA,Y139,nCUENTA,1,nASIG,"Análisis"),"")))</f>
        <v/>
      </c>
      <c r="AA139" t="str">
        <f>IF(Y139="","",IF(Y139="[FÓRMULA MANUAL]","",IFERROR(AVERAGEIFS(nNOTA,nNIA,Y139,nCUENTA,1,nASIG,"Orquesta/Banda/Conjunto"),"")))</f>
        <v/>
      </c>
      <c r="AB139" t="str">
        <f>IF(Y139="","",IF(Y139="[FÓRMULA MANUAL]","",IFERROR(AVERAGEIFS(nNOTA,nNIA,Y139,nCUENTA,1,nASIG,"Música de Cámara"),"")))</f>
        <v/>
      </c>
      <c r="AC139" t="str">
        <f>IF(Y139="","",IF(Y139="[FÓRMULA MANUAL]","",IFERROR(SUMPRODUCT((nNIA=Y139)*(nCUENTA=1)*(COUNTIF(CONFIG_ASIGNATURAS!$B$7:$B$27,nASIG)&gt;0)*(nNOTA))/SUMPRODUCT((nNIA=Y139)*(nCUENTA=1)*(COUNTIF(CONFIG_ASIGNATURAS!$B$7:$B$27,nASIG)&gt;0)*1),"")))</f>
        <v/>
      </c>
      <c r="AF139" t="str">
        <f>IF(AE139="","",IF(AE139="[FÓRMULA MANUAL]","",IFERROR(AVERAGEIFS(nNOTA,nNIA,AE139,nCUENTA,1,nASIG,"Análisis"),"")))</f>
        <v/>
      </c>
      <c r="AG139" t="str">
        <f>IF(AE139="","",IF(AE139="[FÓRMULA MANUAL]","",IFERROR(AVERAGEIFS(nNOTA,nNIA,AE139,nCUENTA,1,nASIG,"Orquesta/Banda/Conjunto"),"")))</f>
        <v/>
      </c>
      <c r="AH139" t="str">
        <f>IF(AE139="","",IF(AE139="[FÓRMULA MANUAL]","",IFERROR(AVERAGEIFS(nNOTA,nNIA,AE139,nCUENTA,1,nASIG,"Música de Cámara"),"")))</f>
        <v/>
      </c>
      <c r="AI139" t="str">
        <f>IF(AE139="","",IF(AE139="[FÓRMULA MANUAL]","",IFERROR(SUMPRODUCT((nNIA=AE139)*(nCUENTA=1)*(COUNTIF(CONFIG_ASIGNATURAS!$B$7:$B$27,nASIG)&gt;0)*(nNOTA))/SUMPRODUCT((nNIA=AE139)*(nCUENTA=1)*(COUNTIF(CONFIG_ASIGNATURAS!$B$7:$B$27,nASIG)&gt;0)*1),"")))</f>
        <v/>
      </c>
    </row>
    <row r="140" spans="2:35" x14ac:dyDescent="0.2">
      <c r="B140" t="str">
        <f>IF(A140="","",IF(A140="[FÓRMULA MANUAL]","",IFERROR(AVERAGEIFS(nNOTA,nNIA,A140,nCUENTA,1,nASIG,"Lenguaje Musical"),"")))</f>
        <v/>
      </c>
      <c r="C140" t="str">
        <f>IF(A140="","",IF(A140="[FÓRMULA MANUAL]","",IFERROR(AVERAGEIFS(nNOTA,nNIA,A140,nCUENTA,1,nASIG,"Orquesta/Banda/Conjunto"),"")))</f>
        <v/>
      </c>
      <c r="D140" t="str">
        <f>IF(A140="","",IF(A140="[FÓRMULA MANUAL]","",IFERROR(AVERAGEIFS(nNOTA,nNIA,A140,nCUENTA,1,nASIG,"Conjunto"),"")))</f>
        <v/>
      </c>
      <c r="E140" t="str">
        <f>IF(A140="","",IF(A140="[FÓRMULA MANUAL]","",IFERROR(SUMPRODUCT((nNIA=A140)*(nCUENTA=1)*(COUNTIF(CONFIG_ASIGNATURAS!$B$7:$B$27,nASIG)&gt;0)*(nNOTA))/SUMPRODUCT((nNIA=A140)*(nCUENTA=1)*(COUNTIF(CONFIG_ASIGNATURAS!$B$7:$B$27,nASIG)&gt;0)*1),"")))</f>
        <v/>
      </c>
      <c r="H140" t="str">
        <f>IF(G140="","",IF(G140="[FÓRMULA MANUAL]","",IFERROR(AVERAGEIFS(nNOTA,nNIA,G140,nCUENTA,1,nASIG,"Lenguaje Musical"),"")))</f>
        <v/>
      </c>
      <c r="I140" t="str">
        <f>IF(G140="","",IF(G140="[FÓRMULA MANUAL]","",IFERROR(AVERAGEIFS(nNOTA,nNIA,G140,nCUENTA,1,nASIG,"Orquesta/Banda/Conjunto"),"")))</f>
        <v/>
      </c>
      <c r="J140" t="str">
        <f>IF(G140="","",IF(G140="[FÓRMULA MANUAL]","",IFERROR(AVERAGEIFS(nNOTA,nNIA,G140,nCUENTA,1,nASIG,"Conjunto"),"")))</f>
        <v/>
      </c>
      <c r="K140" t="str">
        <f>IF(G140="","",IF(G140="[FÓRMULA MANUAL]","",IFERROR(SUMPRODUCT((nNIA=G140)*(nCUENTA=1)*(COUNTIF(CONFIG_ASIGNATURAS!$B$7:$B$27,nASIG)&gt;0)*(nNOTA))/SUMPRODUCT((nNIA=G140)*(nCUENTA=1)*(COUNTIF(CONFIG_ASIGNATURAS!$B$7:$B$27,nASIG)&gt;0)*1),"")))</f>
        <v/>
      </c>
      <c r="N140" t="str">
        <f>IF(M140="","",IF(M140="[FÓRMULA MANUAL]","",IFERROR(AVERAGEIFS(nNOTA,nNIA,M140,nCUENTA,1,nASIG,"Armonía"),"")))</f>
        <v/>
      </c>
      <c r="O140" t="str">
        <f>IF(M140="","",IF(M140="[FÓRMULA MANUAL]","",IFERROR(AVERAGEIFS(nNOTA,nNIA,M140,nCUENTA,1,nASIG,"Orquesta/Banda/Conjunto"),"")))</f>
        <v/>
      </c>
      <c r="P140" t="str">
        <f>IF(M140="","",IF(M140="[FÓRMULA MANUAL]","",IFERROR(AVERAGEIFS(nNOTA,nNIA,M140,nCUENTA,1,nASIG,"Música de Cámara"),"")))</f>
        <v/>
      </c>
      <c r="Q140" t="str">
        <f>IF(M140="","",IF(M140="[FÓRMULA MANUAL]","",IFERROR(SUMPRODUCT((nNIA=M140)*(nCUENTA=1)*(COUNTIF(CONFIG_ASIGNATURAS!$B$7:$B$27,nASIG)&gt;0)*(nNOTA))/SUMPRODUCT((nNIA=M140)*(nCUENTA=1)*(COUNTIF(CONFIG_ASIGNATURAS!$B$7:$B$27,nASIG)&gt;0)*1),"")))</f>
        <v/>
      </c>
      <c r="T140" t="str">
        <f>IF(S140="","",IF(S140="[FÓRMULA MANUAL]","",IFERROR(AVERAGEIFS(nNOTA,nNIA,S140,nCUENTA,1,nASIG,"Armonía"),"")))</f>
        <v/>
      </c>
      <c r="U140" t="str">
        <f>IF(S140="","",IF(S140="[FÓRMULA MANUAL]","",IFERROR(AVERAGEIFS(nNOTA,nNIA,S140,nCUENTA,1,nASIG,"Orquesta/Banda/Conjunto"),"")))</f>
        <v/>
      </c>
      <c r="V140" t="str">
        <f>IF(S140="","",IF(S140="[FÓRMULA MANUAL]","",IFERROR(AVERAGEIFS(nNOTA,nNIA,S140,nCUENTA,1,nASIG,"Música de Cámara"),"")))</f>
        <v/>
      </c>
      <c r="W140" t="str">
        <f>IF(S140="","",IF(S140="[FÓRMULA MANUAL]","",IFERROR(SUMPRODUCT((nNIA=S140)*(nCUENTA=1)*(COUNTIF(CONFIG_ASIGNATURAS!$B$7:$B$27,nASIG)&gt;0)*(nNOTA))/SUMPRODUCT((nNIA=S140)*(nCUENTA=1)*(COUNTIF(CONFIG_ASIGNATURAS!$B$7:$B$27,nASIG)&gt;0)*1),"")))</f>
        <v/>
      </c>
      <c r="Z140" t="str">
        <f>IF(Y140="","",IF(Y140="[FÓRMULA MANUAL]","",IFERROR(AVERAGEIFS(nNOTA,nNIA,Y140,nCUENTA,1,nASIG,"Análisis"),"")))</f>
        <v/>
      </c>
      <c r="AA140" t="str">
        <f>IF(Y140="","",IF(Y140="[FÓRMULA MANUAL]","",IFERROR(AVERAGEIFS(nNOTA,nNIA,Y140,nCUENTA,1,nASIG,"Orquesta/Banda/Conjunto"),"")))</f>
        <v/>
      </c>
      <c r="AB140" t="str">
        <f>IF(Y140="","",IF(Y140="[FÓRMULA MANUAL]","",IFERROR(AVERAGEIFS(nNOTA,nNIA,Y140,nCUENTA,1,nASIG,"Música de Cámara"),"")))</f>
        <v/>
      </c>
      <c r="AC140" t="str">
        <f>IF(Y140="","",IF(Y140="[FÓRMULA MANUAL]","",IFERROR(SUMPRODUCT((nNIA=Y140)*(nCUENTA=1)*(COUNTIF(CONFIG_ASIGNATURAS!$B$7:$B$27,nASIG)&gt;0)*(nNOTA))/SUMPRODUCT((nNIA=Y140)*(nCUENTA=1)*(COUNTIF(CONFIG_ASIGNATURAS!$B$7:$B$27,nASIG)&gt;0)*1),"")))</f>
        <v/>
      </c>
      <c r="AF140" t="str">
        <f>IF(AE140="","",IF(AE140="[FÓRMULA MANUAL]","",IFERROR(AVERAGEIFS(nNOTA,nNIA,AE140,nCUENTA,1,nASIG,"Análisis"),"")))</f>
        <v/>
      </c>
      <c r="AG140" t="str">
        <f>IF(AE140="","",IF(AE140="[FÓRMULA MANUAL]","",IFERROR(AVERAGEIFS(nNOTA,nNIA,AE140,nCUENTA,1,nASIG,"Orquesta/Banda/Conjunto"),"")))</f>
        <v/>
      </c>
      <c r="AH140" t="str">
        <f>IF(AE140="","",IF(AE140="[FÓRMULA MANUAL]","",IFERROR(AVERAGEIFS(nNOTA,nNIA,AE140,nCUENTA,1,nASIG,"Música de Cámara"),"")))</f>
        <v/>
      </c>
      <c r="AI140" t="str">
        <f>IF(AE140="","",IF(AE140="[FÓRMULA MANUAL]","",IFERROR(SUMPRODUCT((nNIA=AE140)*(nCUENTA=1)*(COUNTIF(CONFIG_ASIGNATURAS!$B$7:$B$27,nASIG)&gt;0)*(nNOTA))/SUMPRODUCT((nNIA=AE140)*(nCUENTA=1)*(COUNTIF(CONFIG_ASIGNATURAS!$B$7:$B$27,nASIG)&gt;0)*1),"")))</f>
        <v/>
      </c>
    </row>
    <row r="141" spans="2:35" x14ac:dyDescent="0.2">
      <c r="B141" t="str">
        <f>IF(A141="","",IF(A141="[FÓRMULA MANUAL]","",IFERROR(AVERAGEIFS(nNOTA,nNIA,A141,nCUENTA,1,nASIG,"Lenguaje Musical"),"")))</f>
        <v/>
      </c>
      <c r="C141" t="str">
        <f>IF(A141="","",IF(A141="[FÓRMULA MANUAL]","",IFERROR(AVERAGEIFS(nNOTA,nNIA,A141,nCUENTA,1,nASIG,"Orquesta/Banda/Conjunto"),"")))</f>
        <v/>
      </c>
      <c r="D141" t="str">
        <f>IF(A141="","",IF(A141="[FÓRMULA MANUAL]","",IFERROR(AVERAGEIFS(nNOTA,nNIA,A141,nCUENTA,1,nASIG,"Conjunto"),"")))</f>
        <v/>
      </c>
      <c r="E141" t="str">
        <f>IF(A141="","",IF(A141="[FÓRMULA MANUAL]","",IFERROR(SUMPRODUCT((nNIA=A141)*(nCUENTA=1)*(COUNTIF(CONFIG_ASIGNATURAS!$B$7:$B$27,nASIG)&gt;0)*(nNOTA))/SUMPRODUCT((nNIA=A141)*(nCUENTA=1)*(COUNTIF(CONFIG_ASIGNATURAS!$B$7:$B$27,nASIG)&gt;0)*1),"")))</f>
        <v/>
      </c>
      <c r="H141" t="str">
        <f>IF(G141="","",IF(G141="[FÓRMULA MANUAL]","",IFERROR(AVERAGEIFS(nNOTA,nNIA,G141,nCUENTA,1,nASIG,"Lenguaje Musical"),"")))</f>
        <v/>
      </c>
      <c r="I141" t="str">
        <f>IF(G141="","",IF(G141="[FÓRMULA MANUAL]","",IFERROR(AVERAGEIFS(nNOTA,nNIA,G141,nCUENTA,1,nASIG,"Orquesta/Banda/Conjunto"),"")))</f>
        <v/>
      </c>
      <c r="J141" t="str">
        <f>IF(G141="","",IF(G141="[FÓRMULA MANUAL]","",IFERROR(AVERAGEIFS(nNOTA,nNIA,G141,nCUENTA,1,nASIG,"Conjunto"),"")))</f>
        <v/>
      </c>
      <c r="K141" t="str">
        <f>IF(G141="","",IF(G141="[FÓRMULA MANUAL]","",IFERROR(SUMPRODUCT((nNIA=G141)*(nCUENTA=1)*(COUNTIF(CONFIG_ASIGNATURAS!$B$7:$B$27,nASIG)&gt;0)*(nNOTA))/SUMPRODUCT((nNIA=G141)*(nCUENTA=1)*(COUNTIF(CONFIG_ASIGNATURAS!$B$7:$B$27,nASIG)&gt;0)*1),"")))</f>
        <v/>
      </c>
      <c r="N141" t="str">
        <f>IF(M141="","",IF(M141="[FÓRMULA MANUAL]","",IFERROR(AVERAGEIFS(nNOTA,nNIA,M141,nCUENTA,1,nASIG,"Armonía"),"")))</f>
        <v/>
      </c>
      <c r="O141" t="str">
        <f>IF(M141="","",IF(M141="[FÓRMULA MANUAL]","",IFERROR(AVERAGEIFS(nNOTA,nNIA,M141,nCUENTA,1,nASIG,"Orquesta/Banda/Conjunto"),"")))</f>
        <v/>
      </c>
      <c r="P141" t="str">
        <f>IF(M141="","",IF(M141="[FÓRMULA MANUAL]","",IFERROR(AVERAGEIFS(nNOTA,nNIA,M141,nCUENTA,1,nASIG,"Música de Cámara"),"")))</f>
        <v/>
      </c>
      <c r="Q141" t="str">
        <f>IF(M141="","",IF(M141="[FÓRMULA MANUAL]","",IFERROR(SUMPRODUCT((nNIA=M141)*(nCUENTA=1)*(COUNTIF(CONFIG_ASIGNATURAS!$B$7:$B$27,nASIG)&gt;0)*(nNOTA))/SUMPRODUCT((nNIA=M141)*(nCUENTA=1)*(COUNTIF(CONFIG_ASIGNATURAS!$B$7:$B$27,nASIG)&gt;0)*1),"")))</f>
        <v/>
      </c>
      <c r="T141" t="str">
        <f>IF(S141="","",IF(S141="[FÓRMULA MANUAL]","",IFERROR(AVERAGEIFS(nNOTA,nNIA,S141,nCUENTA,1,nASIG,"Armonía"),"")))</f>
        <v/>
      </c>
      <c r="U141" t="str">
        <f>IF(S141="","",IF(S141="[FÓRMULA MANUAL]","",IFERROR(AVERAGEIFS(nNOTA,nNIA,S141,nCUENTA,1,nASIG,"Orquesta/Banda/Conjunto"),"")))</f>
        <v/>
      </c>
      <c r="V141" t="str">
        <f>IF(S141="","",IF(S141="[FÓRMULA MANUAL]","",IFERROR(AVERAGEIFS(nNOTA,nNIA,S141,nCUENTA,1,nASIG,"Música de Cámara"),"")))</f>
        <v/>
      </c>
      <c r="W141" t="str">
        <f>IF(S141="","",IF(S141="[FÓRMULA MANUAL]","",IFERROR(SUMPRODUCT((nNIA=S141)*(nCUENTA=1)*(COUNTIF(CONFIG_ASIGNATURAS!$B$7:$B$27,nASIG)&gt;0)*(nNOTA))/SUMPRODUCT((nNIA=S141)*(nCUENTA=1)*(COUNTIF(CONFIG_ASIGNATURAS!$B$7:$B$27,nASIG)&gt;0)*1),"")))</f>
        <v/>
      </c>
      <c r="Z141" t="str">
        <f>IF(Y141="","",IF(Y141="[FÓRMULA MANUAL]","",IFERROR(AVERAGEIFS(nNOTA,nNIA,Y141,nCUENTA,1,nASIG,"Análisis"),"")))</f>
        <v/>
      </c>
      <c r="AA141" t="str">
        <f>IF(Y141="","",IF(Y141="[FÓRMULA MANUAL]","",IFERROR(AVERAGEIFS(nNOTA,nNIA,Y141,nCUENTA,1,nASIG,"Orquesta/Banda/Conjunto"),"")))</f>
        <v/>
      </c>
      <c r="AB141" t="str">
        <f>IF(Y141="","",IF(Y141="[FÓRMULA MANUAL]","",IFERROR(AVERAGEIFS(nNOTA,nNIA,Y141,nCUENTA,1,nASIG,"Música de Cámara"),"")))</f>
        <v/>
      </c>
      <c r="AC141" t="str">
        <f>IF(Y141="","",IF(Y141="[FÓRMULA MANUAL]","",IFERROR(SUMPRODUCT((nNIA=Y141)*(nCUENTA=1)*(COUNTIF(CONFIG_ASIGNATURAS!$B$7:$B$27,nASIG)&gt;0)*(nNOTA))/SUMPRODUCT((nNIA=Y141)*(nCUENTA=1)*(COUNTIF(CONFIG_ASIGNATURAS!$B$7:$B$27,nASIG)&gt;0)*1),"")))</f>
        <v/>
      </c>
      <c r="AF141" t="str">
        <f>IF(AE141="","",IF(AE141="[FÓRMULA MANUAL]","",IFERROR(AVERAGEIFS(nNOTA,nNIA,AE141,nCUENTA,1,nASIG,"Análisis"),"")))</f>
        <v/>
      </c>
      <c r="AG141" t="str">
        <f>IF(AE141="","",IF(AE141="[FÓRMULA MANUAL]","",IFERROR(AVERAGEIFS(nNOTA,nNIA,AE141,nCUENTA,1,nASIG,"Orquesta/Banda/Conjunto"),"")))</f>
        <v/>
      </c>
      <c r="AH141" t="str">
        <f>IF(AE141="","",IF(AE141="[FÓRMULA MANUAL]","",IFERROR(AVERAGEIFS(nNOTA,nNIA,AE141,nCUENTA,1,nASIG,"Música de Cámara"),"")))</f>
        <v/>
      </c>
      <c r="AI141" t="str">
        <f>IF(AE141="","",IF(AE141="[FÓRMULA MANUAL]","",IFERROR(SUMPRODUCT((nNIA=AE141)*(nCUENTA=1)*(COUNTIF(CONFIG_ASIGNATURAS!$B$7:$B$27,nASIG)&gt;0)*(nNOTA))/SUMPRODUCT((nNIA=AE141)*(nCUENTA=1)*(COUNTIF(CONFIG_ASIGNATURAS!$B$7:$B$27,nASIG)&gt;0)*1),"")))</f>
        <v/>
      </c>
    </row>
    <row r="142" spans="2:35" x14ac:dyDescent="0.2">
      <c r="B142" t="str">
        <f>IF(A142="","",IF(A142="[FÓRMULA MANUAL]","",IFERROR(AVERAGEIFS(nNOTA,nNIA,A142,nCUENTA,1,nASIG,"Lenguaje Musical"),"")))</f>
        <v/>
      </c>
      <c r="C142" t="str">
        <f>IF(A142="","",IF(A142="[FÓRMULA MANUAL]","",IFERROR(AVERAGEIFS(nNOTA,nNIA,A142,nCUENTA,1,nASIG,"Orquesta/Banda/Conjunto"),"")))</f>
        <v/>
      </c>
      <c r="D142" t="str">
        <f>IF(A142="","",IF(A142="[FÓRMULA MANUAL]","",IFERROR(AVERAGEIFS(nNOTA,nNIA,A142,nCUENTA,1,nASIG,"Conjunto"),"")))</f>
        <v/>
      </c>
      <c r="E142" t="str">
        <f>IF(A142="","",IF(A142="[FÓRMULA MANUAL]","",IFERROR(SUMPRODUCT((nNIA=A142)*(nCUENTA=1)*(COUNTIF(CONFIG_ASIGNATURAS!$B$7:$B$27,nASIG)&gt;0)*(nNOTA))/SUMPRODUCT((nNIA=A142)*(nCUENTA=1)*(COUNTIF(CONFIG_ASIGNATURAS!$B$7:$B$27,nASIG)&gt;0)*1),"")))</f>
        <v/>
      </c>
      <c r="H142" t="str">
        <f>IF(G142="","",IF(G142="[FÓRMULA MANUAL]","",IFERROR(AVERAGEIFS(nNOTA,nNIA,G142,nCUENTA,1,nASIG,"Lenguaje Musical"),"")))</f>
        <v/>
      </c>
      <c r="I142" t="str">
        <f>IF(G142="","",IF(G142="[FÓRMULA MANUAL]","",IFERROR(AVERAGEIFS(nNOTA,nNIA,G142,nCUENTA,1,nASIG,"Orquesta/Banda/Conjunto"),"")))</f>
        <v/>
      </c>
      <c r="J142" t="str">
        <f>IF(G142="","",IF(G142="[FÓRMULA MANUAL]","",IFERROR(AVERAGEIFS(nNOTA,nNIA,G142,nCUENTA,1,nASIG,"Conjunto"),"")))</f>
        <v/>
      </c>
      <c r="K142" t="str">
        <f>IF(G142="","",IF(G142="[FÓRMULA MANUAL]","",IFERROR(SUMPRODUCT((nNIA=G142)*(nCUENTA=1)*(COUNTIF(CONFIG_ASIGNATURAS!$B$7:$B$27,nASIG)&gt;0)*(nNOTA))/SUMPRODUCT((nNIA=G142)*(nCUENTA=1)*(COUNTIF(CONFIG_ASIGNATURAS!$B$7:$B$27,nASIG)&gt;0)*1),"")))</f>
        <v/>
      </c>
      <c r="N142" t="str">
        <f>IF(M142="","",IF(M142="[FÓRMULA MANUAL]","",IFERROR(AVERAGEIFS(nNOTA,nNIA,M142,nCUENTA,1,nASIG,"Armonía"),"")))</f>
        <v/>
      </c>
      <c r="O142" t="str">
        <f>IF(M142="","",IF(M142="[FÓRMULA MANUAL]","",IFERROR(AVERAGEIFS(nNOTA,nNIA,M142,nCUENTA,1,nASIG,"Orquesta/Banda/Conjunto"),"")))</f>
        <v/>
      </c>
      <c r="P142" t="str">
        <f>IF(M142="","",IF(M142="[FÓRMULA MANUAL]","",IFERROR(AVERAGEIFS(nNOTA,nNIA,M142,nCUENTA,1,nASIG,"Música de Cámara"),"")))</f>
        <v/>
      </c>
      <c r="Q142" t="str">
        <f>IF(M142="","",IF(M142="[FÓRMULA MANUAL]","",IFERROR(SUMPRODUCT((nNIA=M142)*(nCUENTA=1)*(COUNTIF(CONFIG_ASIGNATURAS!$B$7:$B$27,nASIG)&gt;0)*(nNOTA))/SUMPRODUCT((nNIA=M142)*(nCUENTA=1)*(COUNTIF(CONFIG_ASIGNATURAS!$B$7:$B$27,nASIG)&gt;0)*1),"")))</f>
        <v/>
      </c>
      <c r="T142" t="str">
        <f>IF(S142="","",IF(S142="[FÓRMULA MANUAL]","",IFERROR(AVERAGEIFS(nNOTA,nNIA,S142,nCUENTA,1,nASIG,"Armonía"),"")))</f>
        <v/>
      </c>
      <c r="U142" t="str">
        <f>IF(S142="","",IF(S142="[FÓRMULA MANUAL]","",IFERROR(AVERAGEIFS(nNOTA,nNIA,S142,nCUENTA,1,nASIG,"Orquesta/Banda/Conjunto"),"")))</f>
        <v/>
      </c>
      <c r="V142" t="str">
        <f>IF(S142="","",IF(S142="[FÓRMULA MANUAL]","",IFERROR(AVERAGEIFS(nNOTA,nNIA,S142,nCUENTA,1,nASIG,"Música de Cámara"),"")))</f>
        <v/>
      </c>
      <c r="W142" t="str">
        <f>IF(S142="","",IF(S142="[FÓRMULA MANUAL]","",IFERROR(SUMPRODUCT((nNIA=S142)*(nCUENTA=1)*(COUNTIF(CONFIG_ASIGNATURAS!$B$7:$B$27,nASIG)&gt;0)*(nNOTA))/SUMPRODUCT((nNIA=S142)*(nCUENTA=1)*(COUNTIF(CONFIG_ASIGNATURAS!$B$7:$B$27,nASIG)&gt;0)*1),"")))</f>
        <v/>
      </c>
      <c r="Z142" t="str">
        <f>IF(Y142="","",IF(Y142="[FÓRMULA MANUAL]","",IFERROR(AVERAGEIFS(nNOTA,nNIA,Y142,nCUENTA,1,nASIG,"Análisis"),"")))</f>
        <v/>
      </c>
      <c r="AA142" t="str">
        <f>IF(Y142="","",IF(Y142="[FÓRMULA MANUAL]","",IFERROR(AVERAGEIFS(nNOTA,nNIA,Y142,nCUENTA,1,nASIG,"Orquesta/Banda/Conjunto"),"")))</f>
        <v/>
      </c>
      <c r="AB142" t="str">
        <f>IF(Y142="","",IF(Y142="[FÓRMULA MANUAL]","",IFERROR(AVERAGEIFS(nNOTA,nNIA,Y142,nCUENTA,1,nASIG,"Música de Cámara"),"")))</f>
        <v/>
      </c>
      <c r="AC142" t="str">
        <f>IF(Y142="","",IF(Y142="[FÓRMULA MANUAL]","",IFERROR(SUMPRODUCT((nNIA=Y142)*(nCUENTA=1)*(COUNTIF(CONFIG_ASIGNATURAS!$B$7:$B$27,nASIG)&gt;0)*(nNOTA))/SUMPRODUCT((nNIA=Y142)*(nCUENTA=1)*(COUNTIF(CONFIG_ASIGNATURAS!$B$7:$B$27,nASIG)&gt;0)*1),"")))</f>
        <v/>
      </c>
      <c r="AF142" t="str">
        <f>IF(AE142="","",IF(AE142="[FÓRMULA MANUAL]","",IFERROR(AVERAGEIFS(nNOTA,nNIA,AE142,nCUENTA,1,nASIG,"Análisis"),"")))</f>
        <v/>
      </c>
      <c r="AG142" t="str">
        <f>IF(AE142="","",IF(AE142="[FÓRMULA MANUAL]","",IFERROR(AVERAGEIFS(nNOTA,nNIA,AE142,nCUENTA,1,nASIG,"Orquesta/Banda/Conjunto"),"")))</f>
        <v/>
      </c>
      <c r="AH142" t="str">
        <f>IF(AE142="","",IF(AE142="[FÓRMULA MANUAL]","",IFERROR(AVERAGEIFS(nNOTA,nNIA,AE142,nCUENTA,1,nASIG,"Música de Cámara"),"")))</f>
        <v/>
      </c>
      <c r="AI142" t="str">
        <f>IF(AE142="","",IF(AE142="[FÓRMULA MANUAL]","",IFERROR(SUMPRODUCT((nNIA=AE142)*(nCUENTA=1)*(COUNTIF(CONFIG_ASIGNATURAS!$B$7:$B$27,nASIG)&gt;0)*(nNOTA))/SUMPRODUCT((nNIA=AE142)*(nCUENTA=1)*(COUNTIF(CONFIG_ASIGNATURAS!$B$7:$B$27,nASIG)&gt;0)*1),"")))</f>
        <v/>
      </c>
    </row>
    <row r="143" spans="2:35" x14ac:dyDescent="0.2">
      <c r="B143" t="str">
        <f>IF(A143="","",IF(A143="[FÓRMULA MANUAL]","",IFERROR(AVERAGEIFS(nNOTA,nNIA,A143,nCUENTA,1,nASIG,"Lenguaje Musical"),"")))</f>
        <v/>
      </c>
      <c r="C143" t="str">
        <f>IF(A143="","",IF(A143="[FÓRMULA MANUAL]","",IFERROR(AVERAGEIFS(nNOTA,nNIA,A143,nCUENTA,1,nASIG,"Orquesta/Banda/Conjunto"),"")))</f>
        <v/>
      </c>
      <c r="D143" t="str">
        <f>IF(A143="","",IF(A143="[FÓRMULA MANUAL]","",IFERROR(AVERAGEIFS(nNOTA,nNIA,A143,nCUENTA,1,nASIG,"Conjunto"),"")))</f>
        <v/>
      </c>
      <c r="E143" t="str">
        <f>IF(A143="","",IF(A143="[FÓRMULA MANUAL]","",IFERROR(SUMPRODUCT((nNIA=A143)*(nCUENTA=1)*(COUNTIF(CONFIG_ASIGNATURAS!$B$7:$B$27,nASIG)&gt;0)*(nNOTA))/SUMPRODUCT((nNIA=A143)*(nCUENTA=1)*(COUNTIF(CONFIG_ASIGNATURAS!$B$7:$B$27,nASIG)&gt;0)*1),"")))</f>
        <v/>
      </c>
      <c r="H143" t="str">
        <f>IF(G143="","",IF(G143="[FÓRMULA MANUAL]","",IFERROR(AVERAGEIFS(nNOTA,nNIA,G143,nCUENTA,1,nASIG,"Lenguaje Musical"),"")))</f>
        <v/>
      </c>
      <c r="I143" t="str">
        <f>IF(G143="","",IF(G143="[FÓRMULA MANUAL]","",IFERROR(AVERAGEIFS(nNOTA,nNIA,G143,nCUENTA,1,nASIG,"Orquesta/Banda/Conjunto"),"")))</f>
        <v/>
      </c>
      <c r="J143" t="str">
        <f>IF(G143="","",IF(G143="[FÓRMULA MANUAL]","",IFERROR(AVERAGEIFS(nNOTA,nNIA,G143,nCUENTA,1,nASIG,"Conjunto"),"")))</f>
        <v/>
      </c>
      <c r="K143" t="str">
        <f>IF(G143="","",IF(G143="[FÓRMULA MANUAL]","",IFERROR(SUMPRODUCT((nNIA=G143)*(nCUENTA=1)*(COUNTIF(CONFIG_ASIGNATURAS!$B$7:$B$27,nASIG)&gt;0)*(nNOTA))/SUMPRODUCT((nNIA=G143)*(nCUENTA=1)*(COUNTIF(CONFIG_ASIGNATURAS!$B$7:$B$27,nASIG)&gt;0)*1),"")))</f>
        <v/>
      </c>
      <c r="N143" t="str">
        <f>IF(M143="","",IF(M143="[FÓRMULA MANUAL]","",IFERROR(AVERAGEIFS(nNOTA,nNIA,M143,nCUENTA,1,nASIG,"Armonía"),"")))</f>
        <v/>
      </c>
      <c r="O143" t="str">
        <f>IF(M143="","",IF(M143="[FÓRMULA MANUAL]","",IFERROR(AVERAGEIFS(nNOTA,nNIA,M143,nCUENTA,1,nASIG,"Orquesta/Banda/Conjunto"),"")))</f>
        <v/>
      </c>
      <c r="P143" t="str">
        <f>IF(M143="","",IF(M143="[FÓRMULA MANUAL]","",IFERROR(AVERAGEIFS(nNOTA,nNIA,M143,nCUENTA,1,nASIG,"Música de Cámara"),"")))</f>
        <v/>
      </c>
      <c r="Q143" t="str">
        <f>IF(M143="","",IF(M143="[FÓRMULA MANUAL]","",IFERROR(SUMPRODUCT((nNIA=M143)*(nCUENTA=1)*(COUNTIF(CONFIG_ASIGNATURAS!$B$7:$B$27,nASIG)&gt;0)*(nNOTA))/SUMPRODUCT((nNIA=M143)*(nCUENTA=1)*(COUNTIF(CONFIG_ASIGNATURAS!$B$7:$B$27,nASIG)&gt;0)*1),"")))</f>
        <v/>
      </c>
      <c r="T143" t="str">
        <f>IF(S143="","",IF(S143="[FÓRMULA MANUAL]","",IFERROR(AVERAGEIFS(nNOTA,nNIA,S143,nCUENTA,1,nASIG,"Armonía"),"")))</f>
        <v/>
      </c>
      <c r="U143" t="str">
        <f>IF(S143="","",IF(S143="[FÓRMULA MANUAL]","",IFERROR(AVERAGEIFS(nNOTA,nNIA,S143,nCUENTA,1,nASIG,"Orquesta/Banda/Conjunto"),"")))</f>
        <v/>
      </c>
      <c r="V143" t="str">
        <f>IF(S143="","",IF(S143="[FÓRMULA MANUAL]","",IFERROR(AVERAGEIFS(nNOTA,nNIA,S143,nCUENTA,1,nASIG,"Música de Cámara"),"")))</f>
        <v/>
      </c>
      <c r="W143" t="str">
        <f>IF(S143="","",IF(S143="[FÓRMULA MANUAL]","",IFERROR(SUMPRODUCT((nNIA=S143)*(nCUENTA=1)*(COUNTIF(CONFIG_ASIGNATURAS!$B$7:$B$27,nASIG)&gt;0)*(nNOTA))/SUMPRODUCT((nNIA=S143)*(nCUENTA=1)*(COUNTIF(CONFIG_ASIGNATURAS!$B$7:$B$27,nASIG)&gt;0)*1),"")))</f>
        <v/>
      </c>
      <c r="Z143" t="str">
        <f>IF(Y143="","",IF(Y143="[FÓRMULA MANUAL]","",IFERROR(AVERAGEIFS(nNOTA,nNIA,Y143,nCUENTA,1,nASIG,"Análisis"),"")))</f>
        <v/>
      </c>
      <c r="AA143" t="str">
        <f>IF(Y143="","",IF(Y143="[FÓRMULA MANUAL]","",IFERROR(AVERAGEIFS(nNOTA,nNIA,Y143,nCUENTA,1,nASIG,"Orquesta/Banda/Conjunto"),"")))</f>
        <v/>
      </c>
      <c r="AB143" t="str">
        <f>IF(Y143="","",IF(Y143="[FÓRMULA MANUAL]","",IFERROR(AVERAGEIFS(nNOTA,nNIA,Y143,nCUENTA,1,nASIG,"Música de Cámara"),"")))</f>
        <v/>
      </c>
      <c r="AC143" t="str">
        <f>IF(Y143="","",IF(Y143="[FÓRMULA MANUAL]","",IFERROR(SUMPRODUCT((nNIA=Y143)*(nCUENTA=1)*(COUNTIF(CONFIG_ASIGNATURAS!$B$7:$B$27,nASIG)&gt;0)*(nNOTA))/SUMPRODUCT((nNIA=Y143)*(nCUENTA=1)*(COUNTIF(CONFIG_ASIGNATURAS!$B$7:$B$27,nASIG)&gt;0)*1),"")))</f>
        <v/>
      </c>
      <c r="AF143" t="str">
        <f>IF(AE143="","",IF(AE143="[FÓRMULA MANUAL]","",IFERROR(AVERAGEIFS(nNOTA,nNIA,AE143,nCUENTA,1,nASIG,"Análisis"),"")))</f>
        <v/>
      </c>
      <c r="AG143" t="str">
        <f>IF(AE143="","",IF(AE143="[FÓRMULA MANUAL]","",IFERROR(AVERAGEIFS(nNOTA,nNIA,AE143,nCUENTA,1,nASIG,"Orquesta/Banda/Conjunto"),"")))</f>
        <v/>
      </c>
      <c r="AH143" t="str">
        <f>IF(AE143="","",IF(AE143="[FÓRMULA MANUAL]","",IFERROR(AVERAGEIFS(nNOTA,nNIA,AE143,nCUENTA,1,nASIG,"Música de Cámara"),"")))</f>
        <v/>
      </c>
      <c r="AI143" t="str">
        <f>IF(AE143="","",IF(AE143="[FÓRMULA MANUAL]","",IFERROR(SUMPRODUCT((nNIA=AE143)*(nCUENTA=1)*(COUNTIF(CONFIG_ASIGNATURAS!$B$7:$B$27,nASIG)&gt;0)*(nNOTA))/SUMPRODUCT((nNIA=AE143)*(nCUENTA=1)*(COUNTIF(CONFIG_ASIGNATURAS!$B$7:$B$27,nASIG)&gt;0)*1),"")))</f>
        <v/>
      </c>
    </row>
    <row r="144" spans="2:35" x14ac:dyDescent="0.2">
      <c r="B144" t="str">
        <f>IF(A144="","",IF(A144="[FÓRMULA MANUAL]","",IFERROR(AVERAGEIFS(nNOTA,nNIA,A144,nCUENTA,1,nASIG,"Lenguaje Musical"),"")))</f>
        <v/>
      </c>
      <c r="C144" t="str">
        <f>IF(A144="","",IF(A144="[FÓRMULA MANUAL]","",IFERROR(AVERAGEIFS(nNOTA,nNIA,A144,nCUENTA,1,nASIG,"Orquesta/Banda/Conjunto"),"")))</f>
        <v/>
      </c>
      <c r="D144" t="str">
        <f>IF(A144="","",IF(A144="[FÓRMULA MANUAL]","",IFERROR(AVERAGEIFS(nNOTA,nNIA,A144,nCUENTA,1,nASIG,"Conjunto"),"")))</f>
        <v/>
      </c>
      <c r="E144" t="str">
        <f>IF(A144="","",IF(A144="[FÓRMULA MANUAL]","",IFERROR(SUMPRODUCT((nNIA=A144)*(nCUENTA=1)*(COUNTIF(CONFIG_ASIGNATURAS!$B$7:$B$27,nASIG)&gt;0)*(nNOTA))/SUMPRODUCT((nNIA=A144)*(nCUENTA=1)*(COUNTIF(CONFIG_ASIGNATURAS!$B$7:$B$27,nASIG)&gt;0)*1),"")))</f>
        <v/>
      </c>
      <c r="H144" t="str">
        <f>IF(G144="","",IF(G144="[FÓRMULA MANUAL]","",IFERROR(AVERAGEIFS(nNOTA,nNIA,G144,nCUENTA,1,nASIG,"Lenguaje Musical"),"")))</f>
        <v/>
      </c>
      <c r="I144" t="str">
        <f>IF(G144="","",IF(G144="[FÓRMULA MANUAL]","",IFERROR(AVERAGEIFS(nNOTA,nNIA,G144,nCUENTA,1,nASIG,"Orquesta/Banda/Conjunto"),"")))</f>
        <v/>
      </c>
      <c r="J144" t="str">
        <f>IF(G144="","",IF(G144="[FÓRMULA MANUAL]","",IFERROR(AVERAGEIFS(nNOTA,nNIA,G144,nCUENTA,1,nASIG,"Conjunto"),"")))</f>
        <v/>
      </c>
      <c r="K144" t="str">
        <f>IF(G144="","",IF(G144="[FÓRMULA MANUAL]","",IFERROR(SUMPRODUCT((nNIA=G144)*(nCUENTA=1)*(COUNTIF(CONFIG_ASIGNATURAS!$B$7:$B$27,nASIG)&gt;0)*(nNOTA))/SUMPRODUCT((nNIA=G144)*(nCUENTA=1)*(COUNTIF(CONFIG_ASIGNATURAS!$B$7:$B$27,nASIG)&gt;0)*1),"")))</f>
        <v/>
      </c>
      <c r="N144" t="str">
        <f>IF(M144="","",IF(M144="[FÓRMULA MANUAL]","",IFERROR(AVERAGEIFS(nNOTA,nNIA,M144,nCUENTA,1,nASIG,"Armonía"),"")))</f>
        <v/>
      </c>
      <c r="O144" t="str">
        <f>IF(M144="","",IF(M144="[FÓRMULA MANUAL]","",IFERROR(AVERAGEIFS(nNOTA,nNIA,M144,nCUENTA,1,nASIG,"Orquesta/Banda/Conjunto"),"")))</f>
        <v/>
      </c>
      <c r="P144" t="str">
        <f>IF(M144="","",IF(M144="[FÓRMULA MANUAL]","",IFERROR(AVERAGEIFS(nNOTA,nNIA,M144,nCUENTA,1,nASIG,"Música de Cámara"),"")))</f>
        <v/>
      </c>
      <c r="Q144" t="str">
        <f>IF(M144="","",IF(M144="[FÓRMULA MANUAL]","",IFERROR(SUMPRODUCT((nNIA=M144)*(nCUENTA=1)*(COUNTIF(CONFIG_ASIGNATURAS!$B$7:$B$27,nASIG)&gt;0)*(nNOTA))/SUMPRODUCT((nNIA=M144)*(nCUENTA=1)*(COUNTIF(CONFIG_ASIGNATURAS!$B$7:$B$27,nASIG)&gt;0)*1),"")))</f>
        <v/>
      </c>
      <c r="T144" t="str">
        <f>IF(S144="","",IF(S144="[FÓRMULA MANUAL]","",IFERROR(AVERAGEIFS(nNOTA,nNIA,S144,nCUENTA,1,nASIG,"Armonía"),"")))</f>
        <v/>
      </c>
      <c r="U144" t="str">
        <f>IF(S144="","",IF(S144="[FÓRMULA MANUAL]","",IFERROR(AVERAGEIFS(nNOTA,nNIA,S144,nCUENTA,1,nASIG,"Orquesta/Banda/Conjunto"),"")))</f>
        <v/>
      </c>
      <c r="V144" t="str">
        <f>IF(S144="","",IF(S144="[FÓRMULA MANUAL]","",IFERROR(AVERAGEIFS(nNOTA,nNIA,S144,nCUENTA,1,nASIG,"Música de Cámara"),"")))</f>
        <v/>
      </c>
      <c r="W144" t="str">
        <f>IF(S144="","",IF(S144="[FÓRMULA MANUAL]","",IFERROR(SUMPRODUCT((nNIA=S144)*(nCUENTA=1)*(COUNTIF(CONFIG_ASIGNATURAS!$B$7:$B$27,nASIG)&gt;0)*(nNOTA))/SUMPRODUCT((nNIA=S144)*(nCUENTA=1)*(COUNTIF(CONFIG_ASIGNATURAS!$B$7:$B$27,nASIG)&gt;0)*1),"")))</f>
        <v/>
      </c>
      <c r="Z144" t="str">
        <f>IF(Y144="","",IF(Y144="[FÓRMULA MANUAL]","",IFERROR(AVERAGEIFS(nNOTA,nNIA,Y144,nCUENTA,1,nASIG,"Análisis"),"")))</f>
        <v/>
      </c>
      <c r="AA144" t="str">
        <f>IF(Y144="","",IF(Y144="[FÓRMULA MANUAL]","",IFERROR(AVERAGEIFS(nNOTA,nNIA,Y144,nCUENTA,1,nASIG,"Orquesta/Banda/Conjunto"),"")))</f>
        <v/>
      </c>
      <c r="AB144" t="str">
        <f>IF(Y144="","",IF(Y144="[FÓRMULA MANUAL]","",IFERROR(AVERAGEIFS(nNOTA,nNIA,Y144,nCUENTA,1,nASIG,"Música de Cámara"),"")))</f>
        <v/>
      </c>
      <c r="AC144" t="str">
        <f>IF(Y144="","",IF(Y144="[FÓRMULA MANUAL]","",IFERROR(SUMPRODUCT((nNIA=Y144)*(nCUENTA=1)*(COUNTIF(CONFIG_ASIGNATURAS!$B$7:$B$27,nASIG)&gt;0)*(nNOTA))/SUMPRODUCT((nNIA=Y144)*(nCUENTA=1)*(COUNTIF(CONFIG_ASIGNATURAS!$B$7:$B$27,nASIG)&gt;0)*1),"")))</f>
        <v/>
      </c>
      <c r="AF144" t="str">
        <f>IF(AE144="","",IF(AE144="[FÓRMULA MANUAL]","",IFERROR(AVERAGEIFS(nNOTA,nNIA,AE144,nCUENTA,1,nASIG,"Análisis"),"")))</f>
        <v/>
      </c>
      <c r="AG144" t="str">
        <f>IF(AE144="","",IF(AE144="[FÓRMULA MANUAL]","",IFERROR(AVERAGEIFS(nNOTA,nNIA,AE144,nCUENTA,1,nASIG,"Orquesta/Banda/Conjunto"),"")))</f>
        <v/>
      </c>
      <c r="AH144" t="str">
        <f>IF(AE144="","",IF(AE144="[FÓRMULA MANUAL]","",IFERROR(AVERAGEIFS(nNOTA,nNIA,AE144,nCUENTA,1,nASIG,"Música de Cámara"),"")))</f>
        <v/>
      </c>
      <c r="AI144" t="str">
        <f>IF(AE144="","",IF(AE144="[FÓRMULA MANUAL]","",IFERROR(SUMPRODUCT((nNIA=AE144)*(nCUENTA=1)*(COUNTIF(CONFIG_ASIGNATURAS!$B$7:$B$27,nASIG)&gt;0)*(nNOTA))/SUMPRODUCT((nNIA=AE144)*(nCUENTA=1)*(COUNTIF(CONFIG_ASIGNATURAS!$B$7:$B$27,nASIG)&gt;0)*1),"")))</f>
        <v/>
      </c>
    </row>
    <row r="145" spans="2:35" x14ac:dyDescent="0.2">
      <c r="B145" t="str">
        <f>IF(A145="","",IF(A145="[FÓRMULA MANUAL]","",IFERROR(AVERAGEIFS(nNOTA,nNIA,A145,nCUENTA,1,nASIG,"Lenguaje Musical"),"")))</f>
        <v/>
      </c>
      <c r="C145" t="str">
        <f>IF(A145="","",IF(A145="[FÓRMULA MANUAL]","",IFERROR(AVERAGEIFS(nNOTA,nNIA,A145,nCUENTA,1,nASIG,"Orquesta/Banda/Conjunto"),"")))</f>
        <v/>
      </c>
      <c r="D145" t="str">
        <f>IF(A145="","",IF(A145="[FÓRMULA MANUAL]","",IFERROR(AVERAGEIFS(nNOTA,nNIA,A145,nCUENTA,1,nASIG,"Conjunto"),"")))</f>
        <v/>
      </c>
      <c r="E145" t="str">
        <f>IF(A145="","",IF(A145="[FÓRMULA MANUAL]","",IFERROR(SUMPRODUCT((nNIA=A145)*(nCUENTA=1)*(COUNTIF(CONFIG_ASIGNATURAS!$B$7:$B$27,nASIG)&gt;0)*(nNOTA))/SUMPRODUCT((nNIA=A145)*(nCUENTA=1)*(COUNTIF(CONFIG_ASIGNATURAS!$B$7:$B$27,nASIG)&gt;0)*1),"")))</f>
        <v/>
      </c>
      <c r="H145" t="str">
        <f>IF(G145="","",IF(G145="[FÓRMULA MANUAL]","",IFERROR(AVERAGEIFS(nNOTA,nNIA,G145,nCUENTA,1,nASIG,"Lenguaje Musical"),"")))</f>
        <v/>
      </c>
      <c r="I145" t="str">
        <f>IF(G145="","",IF(G145="[FÓRMULA MANUAL]","",IFERROR(AVERAGEIFS(nNOTA,nNIA,G145,nCUENTA,1,nASIG,"Orquesta/Banda/Conjunto"),"")))</f>
        <v/>
      </c>
      <c r="J145" t="str">
        <f>IF(G145="","",IF(G145="[FÓRMULA MANUAL]","",IFERROR(AVERAGEIFS(nNOTA,nNIA,G145,nCUENTA,1,nASIG,"Conjunto"),"")))</f>
        <v/>
      </c>
      <c r="K145" t="str">
        <f>IF(G145="","",IF(G145="[FÓRMULA MANUAL]","",IFERROR(SUMPRODUCT((nNIA=G145)*(nCUENTA=1)*(COUNTIF(CONFIG_ASIGNATURAS!$B$7:$B$27,nASIG)&gt;0)*(nNOTA))/SUMPRODUCT((nNIA=G145)*(nCUENTA=1)*(COUNTIF(CONFIG_ASIGNATURAS!$B$7:$B$27,nASIG)&gt;0)*1),"")))</f>
        <v/>
      </c>
      <c r="N145" t="str">
        <f>IF(M145="","",IF(M145="[FÓRMULA MANUAL]","",IFERROR(AVERAGEIFS(nNOTA,nNIA,M145,nCUENTA,1,nASIG,"Armonía"),"")))</f>
        <v/>
      </c>
      <c r="O145" t="str">
        <f>IF(M145="","",IF(M145="[FÓRMULA MANUAL]","",IFERROR(AVERAGEIFS(nNOTA,nNIA,M145,nCUENTA,1,nASIG,"Orquesta/Banda/Conjunto"),"")))</f>
        <v/>
      </c>
      <c r="P145" t="str">
        <f>IF(M145="","",IF(M145="[FÓRMULA MANUAL]","",IFERROR(AVERAGEIFS(nNOTA,nNIA,M145,nCUENTA,1,nASIG,"Música de Cámara"),"")))</f>
        <v/>
      </c>
      <c r="Q145" t="str">
        <f>IF(M145="","",IF(M145="[FÓRMULA MANUAL]","",IFERROR(SUMPRODUCT((nNIA=M145)*(nCUENTA=1)*(COUNTIF(CONFIG_ASIGNATURAS!$B$7:$B$27,nASIG)&gt;0)*(nNOTA))/SUMPRODUCT((nNIA=M145)*(nCUENTA=1)*(COUNTIF(CONFIG_ASIGNATURAS!$B$7:$B$27,nASIG)&gt;0)*1),"")))</f>
        <v/>
      </c>
      <c r="T145" t="str">
        <f>IF(S145="","",IF(S145="[FÓRMULA MANUAL]","",IFERROR(AVERAGEIFS(nNOTA,nNIA,S145,nCUENTA,1,nASIG,"Armonía"),"")))</f>
        <v/>
      </c>
      <c r="U145" t="str">
        <f>IF(S145="","",IF(S145="[FÓRMULA MANUAL]","",IFERROR(AVERAGEIFS(nNOTA,nNIA,S145,nCUENTA,1,nASIG,"Orquesta/Banda/Conjunto"),"")))</f>
        <v/>
      </c>
      <c r="V145" t="str">
        <f>IF(S145="","",IF(S145="[FÓRMULA MANUAL]","",IFERROR(AVERAGEIFS(nNOTA,nNIA,S145,nCUENTA,1,nASIG,"Música de Cámara"),"")))</f>
        <v/>
      </c>
      <c r="W145" t="str">
        <f>IF(S145="","",IF(S145="[FÓRMULA MANUAL]","",IFERROR(SUMPRODUCT((nNIA=S145)*(nCUENTA=1)*(COUNTIF(CONFIG_ASIGNATURAS!$B$7:$B$27,nASIG)&gt;0)*(nNOTA))/SUMPRODUCT((nNIA=S145)*(nCUENTA=1)*(COUNTIF(CONFIG_ASIGNATURAS!$B$7:$B$27,nASIG)&gt;0)*1),"")))</f>
        <v/>
      </c>
      <c r="Z145" t="str">
        <f>IF(Y145="","",IF(Y145="[FÓRMULA MANUAL]","",IFERROR(AVERAGEIFS(nNOTA,nNIA,Y145,nCUENTA,1,nASIG,"Análisis"),"")))</f>
        <v/>
      </c>
      <c r="AA145" t="str">
        <f>IF(Y145="","",IF(Y145="[FÓRMULA MANUAL]","",IFERROR(AVERAGEIFS(nNOTA,nNIA,Y145,nCUENTA,1,nASIG,"Orquesta/Banda/Conjunto"),"")))</f>
        <v/>
      </c>
      <c r="AB145" t="str">
        <f>IF(Y145="","",IF(Y145="[FÓRMULA MANUAL]","",IFERROR(AVERAGEIFS(nNOTA,nNIA,Y145,nCUENTA,1,nASIG,"Música de Cámara"),"")))</f>
        <v/>
      </c>
      <c r="AC145" t="str">
        <f>IF(Y145="","",IF(Y145="[FÓRMULA MANUAL]","",IFERROR(SUMPRODUCT((nNIA=Y145)*(nCUENTA=1)*(COUNTIF(CONFIG_ASIGNATURAS!$B$7:$B$27,nASIG)&gt;0)*(nNOTA))/SUMPRODUCT((nNIA=Y145)*(nCUENTA=1)*(COUNTIF(CONFIG_ASIGNATURAS!$B$7:$B$27,nASIG)&gt;0)*1),"")))</f>
        <v/>
      </c>
      <c r="AF145" t="str">
        <f>IF(AE145="","",IF(AE145="[FÓRMULA MANUAL]","",IFERROR(AVERAGEIFS(nNOTA,nNIA,AE145,nCUENTA,1,nASIG,"Análisis"),"")))</f>
        <v/>
      </c>
      <c r="AG145" t="str">
        <f>IF(AE145="","",IF(AE145="[FÓRMULA MANUAL]","",IFERROR(AVERAGEIFS(nNOTA,nNIA,AE145,nCUENTA,1,nASIG,"Orquesta/Banda/Conjunto"),"")))</f>
        <v/>
      </c>
      <c r="AH145" t="str">
        <f>IF(AE145="","",IF(AE145="[FÓRMULA MANUAL]","",IFERROR(AVERAGEIFS(nNOTA,nNIA,AE145,nCUENTA,1,nASIG,"Música de Cámara"),"")))</f>
        <v/>
      </c>
      <c r="AI145" t="str">
        <f>IF(AE145="","",IF(AE145="[FÓRMULA MANUAL]","",IFERROR(SUMPRODUCT((nNIA=AE145)*(nCUENTA=1)*(COUNTIF(CONFIG_ASIGNATURAS!$B$7:$B$27,nASIG)&gt;0)*(nNOTA))/SUMPRODUCT((nNIA=AE145)*(nCUENTA=1)*(COUNTIF(CONFIG_ASIGNATURAS!$B$7:$B$27,nASIG)&gt;0)*1),"")))</f>
        <v/>
      </c>
    </row>
    <row r="146" spans="2:35" x14ac:dyDescent="0.2">
      <c r="B146" t="str">
        <f>IF(A146="","",IF(A146="[FÓRMULA MANUAL]","",IFERROR(AVERAGEIFS(nNOTA,nNIA,A146,nCUENTA,1,nASIG,"Lenguaje Musical"),"")))</f>
        <v/>
      </c>
      <c r="C146" t="str">
        <f>IF(A146="","",IF(A146="[FÓRMULA MANUAL]","",IFERROR(AVERAGEIFS(nNOTA,nNIA,A146,nCUENTA,1,nASIG,"Orquesta/Banda/Conjunto"),"")))</f>
        <v/>
      </c>
      <c r="D146" t="str">
        <f>IF(A146="","",IF(A146="[FÓRMULA MANUAL]","",IFERROR(AVERAGEIFS(nNOTA,nNIA,A146,nCUENTA,1,nASIG,"Conjunto"),"")))</f>
        <v/>
      </c>
      <c r="E146" t="str">
        <f>IF(A146="","",IF(A146="[FÓRMULA MANUAL]","",IFERROR(SUMPRODUCT((nNIA=A146)*(nCUENTA=1)*(COUNTIF(CONFIG_ASIGNATURAS!$B$7:$B$27,nASIG)&gt;0)*(nNOTA))/SUMPRODUCT((nNIA=A146)*(nCUENTA=1)*(COUNTIF(CONFIG_ASIGNATURAS!$B$7:$B$27,nASIG)&gt;0)*1),"")))</f>
        <v/>
      </c>
      <c r="H146" t="str">
        <f>IF(G146="","",IF(G146="[FÓRMULA MANUAL]","",IFERROR(AVERAGEIFS(nNOTA,nNIA,G146,nCUENTA,1,nASIG,"Lenguaje Musical"),"")))</f>
        <v/>
      </c>
      <c r="I146" t="str">
        <f>IF(G146="","",IF(G146="[FÓRMULA MANUAL]","",IFERROR(AVERAGEIFS(nNOTA,nNIA,G146,nCUENTA,1,nASIG,"Orquesta/Banda/Conjunto"),"")))</f>
        <v/>
      </c>
      <c r="J146" t="str">
        <f>IF(G146="","",IF(G146="[FÓRMULA MANUAL]","",IFERROR(AVERAGEIFS(nNOTA,nNIA,G146,nCUENTA,1,nASIG,"Conjunto"),"")))</f>
        <v/>
      </c>
      <c r="K146" t="str">
        <f>IF(G146="","",IF(G146="[FÓRMULA MANUAL]","",IFERROR(SUMPRODUCT((nNIA=G146)*(nCUENTA=1)*(COUNTIF(CONFIG_ASIGNATURAS!$B$7:$B$27,nASIG)&gt;0)*(nNOTA))/SUMPRODUCT((nNIA=G146)*(nCUENTA=1)*(COUNTIF(CONFIG_ASIGNATURAS!$B$7:$B$27,nASIG)&gt;0)*1),"")))</f>
        <v/>
      </c>
      <c r="N146" t="str">
        <f>IF(M146="","",IF(M146="[FÓRMULA MANUAL]","",IFERROR(AVERAGEIFS(nNOTA,nNIA,M146,nCUENTA,1,nASIG,"Armonía"),"")))</f>
        <v/>
      </c>
      <c r="O146" t="str">
        <f>IF(M146="","",IF(M146="[FÓRMULA MANUAL]","",IFERROR(AVERAGEIFS(nNOTA,nNIA,M146,nCUENTA,1,nASIG,"Orquesta/Banda/Conjunto"),"")))</f>
        <v/>
      </c>
      <c r="P146" t="str">
        <f>IF(M146="","",IF(M146="[FÓRMULA MANUAL]","",IFERROR(AVERAGEIFS(nNOTA,nNIA,M146,nCUENTA,1,nASIG,"Música de Cámara"),"")))</f>
        <v/>
      </c>
      <c r="Q146" t="str">
        <f>IF(M146="","",IF(M146="[FÓRMULA MANUAL]","",IFERROR(SUMPRODUCT((nNIA=M146)*(nCUENTA=1)*(COUNTIF(CONFIG_ASIGNATURAS!$B$7:$B$27,nASIG)&gt;0)*(nNOTA))/SUMPRODUCT((nNIA=M146)*(nCUENTA=1)*(COUNTIF(CONFIG_ASIGNATURAS!$B$7:$B$27,nASIG)&gt;0)*1),"")))</f>
        <v/>
      </c>
      <c r="T146" t="str">
        <f>IF(S146="","",IF(S146="[FÓRMULA MANUAL]","",IFERROR(AVERAGEIFS(nNOTA,nNIA,S146,nCUENTA,1,nASIG,"Armonía"),"")))</f>
        <v/>
      </c>
      <c r="U146" t="str">
        <f>IF(S146="","",IF(S146="[FÓRMULA MANUAL]","",IFERROR(AVERAGEIFS(nNOTA,nNIA,S146,nCUENTA,1,nASIG,"Orquesta/Banda/Conjunto"),"")))</f>
        <v/>
      </c>
      <c r="V146" t="str">
        <f>IF(S146="","",IF(S146="[FÓRMULA MANUAL]","",IFERROR(AVERAGEIFS(nNOTA,nNIA,S146,nCUENTA,1,nASIG,"Música de Cámara"),"")))</f>
        <v/>
      </c>
      <c r="W146" t="str">
        <f>IF(S146="","",IF(S146="[FÓRMULA MANUAL]","",IFERROR(SUMPRODUCT((nNIA=S146)*(nCUENTA=1)*(COUNTIF(CONFIG_ASIGNATURAS!$B$7:$B$27,nASIG)&gt;0)*(nNOTA))/SUMPRODUCT((nNIA=S146)*(nCUENTA=1)*(COUNTIF(CONFIG_ASIGNATURAS!$B$7:$B$27,nASIG)&gt;0)*1),"")))</f>
        <v/>
      </c>
      <c r="Z146" t="str">
        <f>IF(Y146="","",IF(Y146="[FÓRMULA MANUAL]","",IFERROR(AVERAGEIFS(nNOTA,nNIA,Y146,nCUENTA,1,nASIG,"Análisis"),"")))</f>
        <v/>
      </c>
      <c r="AA146" t="str">
        <f>IF(Y146="","",IF(Y146="[FÓRMULA MANUAL]","",IFERROR(AVERAGEIFS(nNOTA,nNIA,Y146,nCUENTA,1,nASIG,"Orquesta/Banda/Conjunto"),"")))</f>
        <v/>
      </c>
      <c r="AB146" t="str">
        <f>IF(Y146="","",IF(Y146="[FÓRMULA MANUAL]","",IFERROR(AVERAGEIFS(nNOTA,nNIA,Y146,nCUENTA,1,nASIG,"Música de Cámara"),"")))</f>
        <v/>
      </c>
      <c r="AC146" t="str">
        <f>IF(Y146="","",IF(Y146="[FÓRMULA MANUAL]","",IFERROR(SUMPRODUCT((nNIA=Y146)*(nCUENTA=1)*(COUNTIF(CONFIG_ASIGNATURAS!$B$7:$B$27,nASIG)&gt;0)*(nNOTA))/SUMPRODUCT((nNIA=Y146)*(nCUENTA=1)*(COUNTIF(CONFIG_ASIGNATURAS!$B$7:$B$27,nASIG)&gt;0)*1),"")))</f>
        <v/>
      </c>
      <c r="AF146" t="str">
        <f>IF(AE146="","",IF(AE146="[FÓRMULA MANUAL]","",IFERROR(AVERAGEIFS(nNOTA,nNIA,AE146,nCUENTA,1,nASIG,"Análisis"),"")))</f>
        <v/>
      </c>
      <c r="AG146" t="str">
        <f>IF(AE146="","",IF(AE146="[FÓRMULA MANUAL]","",IFERROR(AVERAGEIFS(nNOTA,nNIA,AE146,nCUENTA,1,nASIG,"Orquesta/Banda/Conjunto"),"")))</f>
        <v/>
      </c>
      <c r="AH146" t="str">
        <f>IF(AE146="","",IF(AE146="[FÓRMULA MANUAL]","",IFERROR(AVERAGEIFS(nNOTA,nNIA,AE146,nCUENTA,1,nASIG,"Música de Cámara"),"")))</f>
        <v/>
      </c>
      <c r="AI146" t="str">
        <f>IF(AE146="","",IF(AE146="[FÓRMULA MANUAL]","",IFERROR(SUMPRODUCT((nNIA=AE146)*(nCUENTA=1)*(COUNTIF(CONFIG_ASIGNATURAS!$B$7:$B$27,nASIG)&gt;0)*(nNOTA))/SUMPRODUCT((nNIA=AE146)*(nCUENTA=1)*(COUNTIF(CONFIG_ASIGNATURAS!$B$7:$B$27,nASIG)&gt;0)*1),"")))</f>
        <v/>
      </c>
    </row>
    <row r="147" spans="2:35" x14ac:dyDescent="0.2">
      <c r="B147" t="str">
        <f>IF(A147="","",IF(A147="[FÓRMULA MANUAL]","",IFERROR(AVERAGEIFS(nNOTA,nNIA,A147,nCUENTA,1,nASIG,"Lenguaje Musical"),"")))</f>
        <v/>
      </c>
      <c r="C147" t="str">
        <f>IF(A147="","",IF(A147="[FÓRMULA MANUAL]","",IFERROR(AVERAGEIFS(nNOTA,nNIA,A147,nCUENTA,1,nASIG,"Orquesta/Banda/Conjunto"),"")))</f>
        <v/>
      </c>
      <c r="D147" t="str">
        <f>IF(A147="","",IF(A147="[FÓRMULA MANUAL]","",IFERROR(AVERAGEIFS(nNOTA,nNIA,A147,nCUENTA,1,nASIG,"Conjunto"),"")))</f>
        <v/>
      </c>
      <c r="E147" t="str">
        <f>IF(A147="","",IF(A147="[FÓRMULA MANUAL]","",IFERROR(SUMPRODUCT((nNIA=A147)*(nCUENTA=1)*(COUNTIF(CONFIG_ASIGNATURAS!$B$7:$B$27,nASIG)&gt;0)*(nNOTA))/SUMPRODUCT((nNIA=A147)*(nCUENTA=1)*(COUNTIF(CONFIG_ASIGNATURAS!$B$7:$B$27,nASIG)&gt;0)*1),"")))</f>
        <v/>
      </c>
      <c r="H147" t="str">
        <f>IF(G147="","",IF(G147="[FÓRMULA MANUAL]","",IFERROR(AVERAGEIFS(nNOTA,nNIA,G147,nCUENTA,1,nASIG,"Lenguaje Musical"),"")))</f>
        <v/>
      </c>
      <c r="I147" t="str">
        <f>IF(G147="","",IF(G147="[FÓRMULA MANUAL]","",IFERROR(AVERAGEIFS(nNOTA,nNIA,G147,nCUENTA,1,nASIG,"Orquesta/Banda/Conjunto"),"")))</f>
        <v/>
      </c>
      <c r="J147" t="str">
        <f>IF(G147="","",IF(G147="[FÓRMULA MANUAL]","",IFERROR(AVERAGEIFS(nNOTA,nNIA,G147,nCUENTA,1,nASIG,"Conjunto"),"")))</f>
        <v/>
      </c>
      <c r="K147" t="str">
        <f>IF(G147="","",IF(G147="[FÓRMULA MANUAL]","",IFERROR(SUMPRODUCT((nNIA=G147)*(nCUENTA=1)*(COUNTIF(CONFIG_ASIGNATURAS!$B$7:$B$27,nASIG)&gt;0)*(nNOTA))/SUMPRODUCT((nNIA=G147)*(nCUENTA=1)*(COUNTIF(CONFIG_ASIGNATURAS!$B$7:$B$27,nASIG)&gt;0)*1),"")))</f>
        <v/>
      </c>
      <c r="N147" t="str">
        <f>IF(M147="","",IF(M147="[FÓRMULA MANUAL]","",IFERROR(AVERAGEIFS(nNOTA,nNIA,M147,nCUENTA,1,nASIG,"Armonía"),"")))</f>
        <v/>
      </c>
      <c r="O147" t="str">
        <f>IF(M147="","",IF(M147="[FÓRMULA MANUAL]","",IFERROR(AVERAGEIFS(nNOTA,nNIA,M147,nCUENTA,1,nASIG,"Orquesta/Banda/Conjunto"),"")))</f>
        <v/>
      </c>
      <c r="P147" t="str">
        <f>IF(M147="","",IF(M147="[FÓRMULA MANUAL]","",IFERROR(AVERAGEIFS(nNOTA,nNIA,M147,nCUENTA,1,nASIG,"Música de Cámara"),"")))</f>
        <v/>
      </c>
      <c r="Q147" t="str">
        <f>IF(M147="","",IF(M147="[FÓRMULA MANUAL]","",IFERROR(SUMPRODUCT((nNIA=M147)*(nCUENTA=1)*(COUNTIF(CONFIG_ASIGNATURAS!$B$7:$B$27,nASIG)&gt;0)*(nNOTA))/SUMPRODUCT((nNIA=M147)*(nCUENTA=1)*(COUNTIF(CONFIG_ASIGNATURAS!$B$7:$B$27,nASIG)&gt;0)*1),"")))</f>
        <v/>
      </c>
      <c r="T147" t="str">
        <f>IF(S147="","",IF(S147="[FÓRMULA MANUAL]","",IFERROR(AVERAGEIFS(nNOTA,nNIA,S147,nCUENTA,1,nASIG,"Armonía"),"")))</f>
        <v/>
      </c>
      <c r="U147" t="str">
        <f>IF(S147="","",IF(S147="[FÓRMULA MANUAL]","",IFERROR(AVERAGEIFS(nNOTA,nNIA,S147,nCUENTA,1,nASIG,"Orquesta/Banda/Conjunto"),"")))</f>
        <v/>
      </c>
      <c r="V147" t="str">
        <f>IF(S147="","",IF(S147="[FÓRMULA MANUAL]","",IFERROR(AVERAGEIFS(nNOTA,nNIA,S147,nCUENTA,1,nASIG,"Música de Cámara"),"")))</f>
        <v/>
      </c>
      <c r="W147" t="str">
        <f>IF(S147="","",IF(S147="[FÓRMULA MANUAL]","",IFERROR(SUMPRODUCT((nNIA=S147)*(nCUENTA=1)*(COUNTIF(CONFIG_ASIGNATURAS!$B$7:$B$27,nASIG)&gt;0)*(nNOTA))/SUMPRODUCT((nNIA=S147)*(nCUENTA=1)*(COUNTIF(CONFIG_ASIGNATURAS!$B$7:$B$27,nASIG)&gt;0)*1),"")))</f>
        <v/>
      </c>
      <c r="Z147" t="str">
        <f>IF(Y147="","",IF(Y147="[FÓRMULA MANUAL]","",IFERROR(AVERAGEIFS(nNOTA,nNIA,Y147,nCUENTA,1,nASIG,"Análisis"),"")))</f>
        <v/>
      </c>
      <c r="AA147" t="str">
        <f>IF(Y147="","",IF(Y147="[FÓRMULA MANUAL]","",IFERROR(AVERAGEIFS(nNOTA,nNIA,Y147,nCUENTA,1,nASIG,"Orquesta/Banda/Conjunto"),"")))</f>
        <v/>
      </c>
      <c r="AB147" t="str">
        <f>IF(Y147="","",IF(Y147="[FÓRMULA MANUAL]","",IFERROR(AVERAGEIFS(nNOTA,nNIA,Y147,nCUENTA,1,nASIG,"Música de Cámara"),"")))</f>
        <v/>
      </c>
      <c r="AC147" t="str">
        <f>IF(Y147="","",IF(Y147="[FÓRMULA MANUAL]","",IFERROR(SUMPRODUCT((nNIA=Y147)*(nCUENTA=1)*(COUNTIF(CONFIG_ASIGNATURAS!$B$7:$B$27,nASIG)&gt;0)*(nNOTA))/SUMPRODUCT((nNIA=Y147)*(nCUENTA=1)*(COUNTIF(CONFIG_ASIGNATURAS!$B$7:$B$27,nASIG)&gt;0)*1),"")))</f>
        <v/>
      </c>
      <c r="AF147" t="str">
        <f>IF(AE147="","",IF(AE147="[FÓRMULA MANUAL]","",IFERROR(AVERAGEIFS(nNOTA,nNIA,AE147,nCUENTA,1,nASIG,"Análisis"),"")))</f>
        <v/>
      </c>
      <c r="AG147" t="str">
        <f>IF(AE147="","",IF(AE147="[FÓRMULA MANUAL]","",IFERROR(AVERAGEIFS(nNOTA,nNIA,AE147,nCUENTA,1,nASIG,"Orquesta/Banda/Conjunto"),"")))</f>
        <v/>
      </c>
      <c r="AH147" t="str">
        <f>IF(AE147="","",IF(AE147="[FÓRMULA MANUAL]","",IFERROR(AVERAGEIFS(nNOTA,nNIA,AE147,nCUENTA,1,nASIG,"Música de Cámara"),"")))</f>
        <v/>
      </c>
      <c r="AI147" t="str">
        <f>IF(AE147="","",IF(AE147="[FÓRMULA MANUAL]","",IFERROR(SUMPRODUCT((nNIA=AE147)*(nCUENTA=1)*(COUNTIF(CONFIG_ASIGNATURAS!$B$7:$B$27,nASIG)&gt;0)*(nNOTA))/SUMPRODUCT((nNIA=AE147)*(nCUENTA=1)*(COUNTIF(CONFIG_ASIGNATURAS!$B$7:$B$27,nASIG)&gt;0)*1),"")))</f>
        <v/>
      </c>
    </row>
    <row r="148" spans="2:35" x14ac:dyDescent="0.2">
      <c r="B148" t="str">
        <f>IF(A148="","",IF(A148="[FÓRMULA MANUAL]","",IFERROR(AVERAGEIFS(nNOTA,nNIA,A148,nCUENTA,1,nASIG,"Lenguaje Musical"),"")))</f>
        <v/>
      </c>
      <c r="C148" t="str">
        <f>IF(A148="","",IF(A148="[FÓRMULA MANUAL]","",IFERROR(AVERAGEIFS(nNOTA,nNIA,A148,nCUENTA,1,nASIG,"Orquesta/Banda/Conjunto"),"")))</f>
        <v/>
      </c>
      <c r="D148" t="str">
        <f>IF(A148="","",IF(A148="[FÓRMULA MANUAL]","",IFERROR(AVERAGEIFS(nNOTA,nNIA,A148,nCUENTA,1,nASIG,"Conjunto"),"")))</f>
        <v/>
      </c>
      <c r="E148" t="str">
        <f>IF(A148="","",IF(A148="[FÓRMULA MANUAL]","",IFERROR(SUMPRODUCT((nNIA=A148)*(nCUENTA=1)*(COUNTIF(CONFIG_ASIGNATURAS!$B$7:$B$27,nASIG)&gt;0)*(nNOTA))/SUMPRODUCT((nNIA=A148)*(nCUENTA=1)*(COUNTIF(CONFIG_ASIGNATURAS!$B$7:$B$27,nASIG)&gt;0)*1),"")))</f>
        <v/>
      </c>
      <c r="H148" t="str">
        <f>IF(G148="","",IF(G148="[FÓRMULA MANUAL]","",IFERROR(AVERAGEIFS(nNOTA,nNIA,G148,nCUENTA,1,nASIG,"Lenguaje Musical"),"")))</f>
        <v/>
      </c>
      <c r="I148" t="str">
        <f>IF(G148="","",IF(G148="[FÓRMULA MANUAL]","",IFERROR(AVERAGEIFS(nNOTA,nNIA,G148,nCUENTA,1,nASIG,"Orquesta/Banda/Conjunto"),"")))</f>
        <v/>
      </c>
      <c r="J148" t="str">
        <f>IF(G148="","",IF(G148="[FÓRMULA MANUAL]","",IFERROR(AVERAGEIFS(nNOTA,nNIA,G148,nCUENTA,1,nASIG,"Conjunto"),"")))</f>
        <v/>
      </c>
      <c r="K148" t="str">
        <f>IF(G148="","",IF(G148="[FÓRMULA MANUAL]","",IFERROR(SUMPRODUCT((nNIA=G148)*(nCUENTA=1)*(COUNTIF(CONFIG_ASIGNATURAS!$B$7:$B$27,nASIG)&gt;0)*(nNOTA))/SUMPRODUCT((nNIA=G148)*(nCUENTA=1)*(COUNTIF(CONFIG_ASIGNATURAS!$B$7:$B$27,nASIG)&gt;0)*1),"")))</f>
        <v/>
      </c>
      <c r="N148" t="str">
        <f>IF(M148="","",IF(M148="[FÓRMULA MANUAL]","",IFERROR(AVERAGEIFS(nNOTA,nNIA,M148,nCUENTA,1,nASIG,"Armonía"),"")))</f>
        <v/>
      </c>
      <c r="O148" t="str">
        <f>IF(M148="","",IF(M148="[FÓRMULA MANUAL]","",IFERROR(AVERAGEIFS(nNOTA,nNIA,M148,nCUENTA,1,nASIG,"Orquesta/Banda/Conjunto"),"")))</f>
        <v/>
      </c>
      <c r="P148" t="str">
        <f>IF(M148="","",IF(M148="[FÓRMULA MANUAL]","",IFERROR(AVERAGEIFS(nNOTA,nNIA,M148,nCUENTA,1,nASIG,"Música de Cámara"),"")))</f>
        <v/>
      </c>
      <c r="Q148" t="str">
        <f>IF(M148="","",IF(M148="[FÓRMULA MANUAL]","",IFERROR(SUMPRODUCT((nNIA=M148)*(nCUENTA=1)*(COUNTIF(CONFIG_ASIGNATURAS!$B$7:$B$27,nASIG)&gt;0)*(nNOTA))/SUMPRODUCT((nNIA=M148)*(nCUENTA=1)*(COUNTIF(CONFIG_ASIGNATURAS!$B$7:$B$27,nASIG)&gt;0)*1),"")))</f>
        <v/>
      </c>
      <c r="T148" t="str">
        <f>IF(S148="","",IF(S148="[FÓRMULA MANUAL]","",IFERROR(AVERAGEIFS(nNOTA,nNIA,S148,nCUENTA,1,nASIG,"Armonía"),"")))</f>
        <v/>
      </c>
      <c r="U148" t="str">
        <f>IF(S148="","",IF(S148="[FÓRMULA MANUAL]","",IFERROR(AVERAGEIFS(nNOTA,nNIA,S148,nCUENTA,1,nASIG,"Orquesta/Banda/Conjunto"),"")))</f>
        <v/>
      </c>
      <c r="V148" t="str">
        <f>IF(S148="","",IF(S148="[FÓRMULA MANUAL]","",IFERROR(AVERAGEIFS(nNOTA,nNIA,S148,nCUENTA,1,nASIG,"Música de Cámara"),"")))</f>
        <v/>
      </c>
      <c r="W148" t="str">
        <f>IF(S148="","",IF(S148="[FÓRMULA MANUAL]","",IFERROR(SUMPRODUCT((nNIA=S148)*(nCUENTA=1)*(COUNTIF(CONFIG_ASIGNATURAS!$B$7:$B$27,nASIG)&gt;0)*(nNOTA))/SUMPRODUCT((nNIA=S148)*(nCUENTA=1)*(COUNTIF(CONFIG_ASIGNATURAS!$B$7:$B$27,nASIG)&gt;0)*1),"")))</f>
        <v/>
      </c>
      <c r="Z148" t="str">
        <f>IF(Y148="","",IF(Y148="[FÓRMULA MANUAL]","",IFERROR(AVERAGEIFS(nNOTA,nNIA,Y148,nCUENTA,1,nASIG,"Análisis"),"")))</f>
        <v/>
      </c>
      <c r="AA148" t="str">
        <f>IF(Y148="","",IF(Y148="[FÓRMULA MANUAL]","",IFERROR(AVERAGEIFS(nNOTA,nNIA,Y148,nCUENTA,1,nASIG,"Orquesta/Banda/Conjunto"),"")))</f>
        <v/>
      </c>
      <c r="AB148" t="str">
        <f>IF(Y148="","",IF(Y148="[FÓRMULA MANUAL]","",IFERROR(AVERAGEIFS(nNOTA,nNIA,Y148,nCUENTA,1,nASIG,"Música de Cámara"),"")))</f>
        <v/>
      </c>
      <c r="AC148" t="str">
        <f>IF(Y148="","",IF(Y148="[FÓRMULA MANUAL]","",IFERROR(SUMPRODUCT((nNIA=Y148)*(nCUENTA=1)*(COUNTIF(CONFIG_ASIGNATURAS!$B$7:$B$27,nASIG)&gt;0)*(nNOTA))/SUMPRODUCT((nNIA=Y148)*(nCUENTA=1)*(COUNTIF(CONFIG_ASIGNATURAS!$B$7:$B$27,nASIG)&gt;0)*1),"")))</f>
        <v/>
      </c>
      <c r="AF148" t="str">
        <f>IF(AE148="","",IF(AE148="[FÓRMULA MANUAL]","",IFERROR(AVERAGEIFS(nNOTA,nNIA,AE148,nCUENTA,1,nASIG,"Análisis"),"")))</f>
        <v/>
      </c>
      <c r="AG148" t="str">
        <f>IF(AE148="","",IF(AE148="[FÓRMULA MANUAL]","",IFERROR(AVERAGEIFS(nNOTA,nNIA,AE148,nCUENTA,1,nASIG,"Orquesta/Banda/Conjunto"),"")))</f>
        <v/>
      </c>
      <c r="AH148" t="str">
        <f>IF(AE148="","",IF(AE148="[FÓRMULA MANUAL]","",IFERROR(AVERAGEIFS(nNOTA,nNIA,AE148,nCUENTA,1,nASIG,"Música de Cámara"),"")))</f>
        <v/>
      </c>
      <c r="AI148" t="str">
        <f>IF(AE148="","",IF(AE148="[FÓRMULA MANUAL]","",IFERROR(SUMPRODUCT((nNIA=AE148)*(nCUENTA=1)*(COUNTIF(CONFIG_ASIGNATURAS!$B$7:$B$27,nASIG)&gt;0)*(nNOTA))/SUMPRODUCT((nNIA=AE148)*(nCUENTA=1)*(COUNTIF(CONFIG_ASIGNATURAS!$B$7:$B$27,nASIG)&gt;0)*1),"")))</f>
        <v/>
      </c>
    </row>
    <row r="149" spans="2:35" x14ac:dyDescent="0.2">
      <c r="B149" t="str">
        <f>IF(A149="","",IF(A149="[FÓRMULA MANUAL]","",IFERROR(AVERAGEIFS(nNOTA,nNIA,A149,nCUENTA,1,nASIG,"Lenguaje Musical"),"")))</f>
        <v/>
      </c>
      <c r="C149" t="str">
        <f>IF(A149="","",IF(A149="[FÓRMULA MANUAL]","",IFERROR(AVERAGEIFS(nNOTA,nNIA,A149,nCUENTA,1,nASIG,"Orquesta/Banda/Conjunto"),"")))</f>
        <v/>
      </c>
      <c r="D149" t="str">
        <f>IF(A149="","",IF(A149="[FÓRMULA MANUAL]","",IFERROR(AVERAGEIFS(nNOTA,nNIA,A149,nCUENTA,1,nASIG,"Conjunto"),"")))</f>
        <v/>
      </c>
      <c r="E149" t="str">
        <f>IF(A149="","",IF(A149="[FÓRMULA MANUAL]","",IFERROR(SUMPRODUCT((nNIA=A149)*(nCUENTA=1)*(COUNTIF(CONFIG_ASIGNATURAS!$B$7:$B$27,nASIG)&gt;0)*(nNOTA))/SUMPRODUCT((nNIA=A149)*(nCUENTA=1)*(COUNTIF(CONFIG_ASIGNATURAS!$B$7:$B$27,nASIG)&gt;0)*1),"")))</f>
        <v/>
      </c>
      <c r="H149" t="str">
        <f>IF(G149="","",IF(G149="[FÓRMULA MANUAL]","",IFERROR(AVERAGEIFS(nNOTA,nNIA,G149,nCUENTA,1,nASIG,"Lenguaje Musical"),"")))</f>
        <v/>
      </c>
      <c r="I149" t="str">
        <f>IF(G149="","",IF(G149="[FÓRMULA MANUAL]","",IFERROR(AVERAGEIFS(nNOTA,nNIA,G149,nCUENTA,1,nASIG,"Orquesta/Banda/Conjunto"),"")))</f>
        <v/>
      </c>
      <c r="J149" t="str">
        <f>IF(G149="","",IF(G149="[FÓRMULA MANUAL]","",IFERROR(AVERAGEIFS(nNOTA,nNIA,G149,nCUENTA,1,nASIG,"Conjunto"),"")))</f>
        <v/>
      </c>
      <c r="K149" t="str">
        <f>IF(G149="","",IF(G149="[FÓRMULA MANUAL]","",IFERROR(SUMPRODUCT((nNIA=G149)*(nCUENTA=1)*(COUNTIF(CONFIG_ASIGNATURAS!$B$7:$B$27,nASIG)&gt;0)*(nNOTA))/SUMPRODUCT((nNIA=G149)*(nCUENTA=1)*(COUNTIF(CONFIG_ASIGNATURAS!$B$7:$B$27,nASIG)&gt;0)*1),"")))</f>
        <v/>
      </c>
      <c r="N149" t="str">
        <f>IF(M149="","",IF(M149="[FÓRMULA MANUAL]","",IFERROR(AVERAGEIFS(nNOTA,nNIA,M149,nCUENTA,1,nASIG,"Armonía"),"")))</f>
        <v/>
      </c>
      <c r="O149" t="str">
        <f>IF(M149="","",IF(M149="[FÓRMULA MANUAL]","",IFERROR(AVERAGEIFS(nNOTA,nNIA,M149,nCUENTA,1,nASIG,"Orquesta/Banda/Conjunto"),"")))</f>
        <v/>
      </c>
      <c r="P149" t="str">
        <f>IF(M149="","",IF(M149="[FÓRMULA MANUAL]","",IFERROR(AVERAGEIFS(nNOTA,nNIA,M149,nCUENTA,1,nASIG,"Música de Cámara"),"")))</f>
        <v/>
      </c>
      <c r="Q149" t="str">
        <f>IF(M149="","",IF(M149="[FÓRMULA MANUAL]","",IFERROR(SUMPRODUCT((nNIA=M149)*(nCUENTA=1)*(COUNTIF(CONFIG_ASIGNATURAS!$B$7:$B$27,nASIG)&gt;0)*(nNOTA))/SUMPRODUCT((nNIA=M149)*(nCUENTA=1)*(COUNTIF(CONFIG_ASIGNATURAS!$B$7:$B$27,nASIG)&gt;0)*1),"")))</f>
        <v/>
      </c>
      <c r="T149" t="str">
        <f>IF(S149="","",IF(S149="[FÓRMULA MANUAL]","",IFERROR(AVERAGEIFS(nNOTA,nNIA,S149,nCUENTA,1,nASIG,"Armonía"),"")))</f>
        <v/>
      </c>
      <c r="U149" t="str">
        <f>IF(S149="","",IF(S149="[FÓRMULA MANUAL]","",IFERROR(AVERAGEIFS(nNOTA,nNIA,S149,nCUENTA,1,nASIG,"Orquesta/Banda/Conjunto"),"")))</f>
        <v/>
      </c>
      <c r="V149" t="str">
        <f>IF(S149="","",IF(S149="[FÓRMULA MANUAL]","",IFERROR(AVERAGEIFS(nNOTA,nNIA,S149,nCUENTA,1,nASIG,"Música de Cámara"),"")))</f>
        <v/>
      </c>
      <c r="W149" t="str">
        <f>IF(S149="","",IF(S149="[FÓRMULA MANUAL]","",IFERROR(SUMPRODUCT((nNIA=S149)*(nCUENTA=1)*(COUNTIF(CONFIG_ASIGNATURAS!$B$7:$B$27,nASIG)&gt;0)*(nNOTA))/SUMPRODUCT((nNIA=S149)*(nCUENTA=1)*(COUNTIF(CONFIG_ASIGNATURAS!$B$7:$B$27,nASIG)&gt;0)*1),"")))</f>
        <v/>
      </c>
      <c r="Z149" t="str">
        <f>IF(Y149="","",IF(Y149="[FÓRMULA MANUAL]","",IFERROR(AVERAGEIFS(nNOTA,nNIA,Y149,nCUENTA,1,nASIG,"Análisis"),"")))</f>
        <v/>
      </c>
      <c r="AA149" t="str">
        <f>IF(Y149="","",IF(Y149="[FÓRMULA MANUAL]","",IFERROR(AVERAGEIFS(nNOTA,nNIA,Y149,nCUENTA,1,nASIG,"Orquesta/Banda/Conjunto"),"")))</f>
        <v/>
      </c>
      <c r="AB149" t="str">
        <f>IF(Y149="","",IF(Y149="[FÓRMULA MANUAL]","",IFERROR(AVERAGEIFS(nNOTA,nNIA,Y149,nCUENTA,1,nASIG,"Música de Cámara"),"")))</f>
        <v/>
      </c>
      <c r="AC149" t="str">
        <f>IF(Y149="","",IF(Y149="[FÓRMULA MANUAL]","",IFERROR(SUMPRODUCT((nNIA=Y149)*(nCUENTA=1)*(COUNTIF(CONFIG_ASIGNATURAS!$B$7:$B$27,nASIG)&gt;0)*(nNOTA))/SUMPRODUCT((nNIA=Y149)*(nCUENTA=1)*(COUNTIF(CONFIG_ASIGNATURAS!$B$7:$B$27,nASIG)&gt;0)*1),"")))</f>
        <v/>
      </c>
      <c r="AF149" t="str">
        <f>IF(AE149="","",IF(AE149="[FÓRMULA MANUAL]","",IFERROR(AVERAGEIFS(nNOTA,nNIA,AE149,nCUENTA,1,nASIG,"Análisis"),"")))</f>
        <v/>
      </c>
      <c r="AG149" t="str">
        <f>IF(AE149="","",IF(AE149="[FÓRMULA MANUAL]","",IFERROR(AVERAGEIFS(nNOTA,nNIA,AE149,nCUENTA,1,nASIG,"Orquesta/Banda/Conjunto"),"")))</f>
        <v/>
      </c>
      <c r="AH149" t="str">
        <f>IF(AE149="","",IF(AE149="[FÓRMULA MANUAL]","",IFERROR(AVERAGEIFS(nNOTA,nNIA,AE149,nCUENTA,1,nASIG,"Música de Cámara"),"")))</f>
        <v/>
      </c>
      <c r="AI149" t="str">
        <f>IF(AE149="","",IF(AE149="[FÓRMULA MANUAL]","",IFERROR(SUMPRODUCT((nNIA=AE149)*(nCUENTA=1)*(COUNTIF(CONFIG_ASIGNATURAS!$B$7:$B$27,nASIG)&gt;0)*(nNOTA))/SUMPRODUCT((nNIA=AE149)*(nCUENTA=1)*(COUNTIF(CONFIG_ASIGNATURAS!$B$7:$B$27,nASIG)&gt;0)*1),"")))</f>
        <v/>
      </c>
    </row>
    <row r="150" spans="2:35" x14ac:dyDescent="0.2">
      <c r="B150" t="str">
        <f>IF(A150="","",IF(A150="[FÓRMULA MANUAL]","",IFERROR(AVERAGEIFS(nNOTA,nNIA,A150,nCUENTA,1,nASIG,"Lenguaje Musical"),"")))</f>
        <v/>
      </c>
      <c r="C150" t="str">
        <f>IF(A150="","",IF(A150="[FÓRMULA MANUAL]","",IFERROR(AVERAGEIFS(nNOTA,nNIA,A150,nCUENTA,1,nASIG,"Orquesta/Banda/Conjunto"),"")))</f>
        <v/>
      </c>
      <c r="D150" t="str">
        <f>IF(A150="","",IF(A150="[FÓRMULA MANUAL]","",IFERROR(AVERAGEIFS(nNOTA,nNIA,A150,nCUENTA,1,nASIG,"Conjunto"),"")))</f>
        <v/>
      </c>
      <c r="E150" t="str">
        <f>IF(A150="","",IF(A150="[FÓRMULA MANUAL]","",IFERROR(SUMPRODUCT((nNIA=A150)*(nCUENTA=1)*(COUNTIF(CONFIG_ASIGNATURAS!$B$7:$B$27,nASIG)&gt;0)*(nNOTA))/SUMPRODUCT((nNIA=A150)*(nCUENTA=1)*(COUNTIF(CONFIG_ASIGNATURAS!$B$7:$B$27,nASIG)&gt;0)*1),"")))</f>
        <v/>
      </c>
      <c r="H150" t="str">
        <f>IF(G150="","",IF(G150="[FÓRMULA MANUAL]","",IFERROR(AVERAGEIFS(nNOTA,nNIA,G150,nCUENTA,1,nASIG,"Lenguaje Musical"),"")))</f>
        <v/>
      </c>
      <c r="I150" t="str">
        <f>IF(G150="","",IF(G150="[FÓRMULA MANUAL]","",IFERROR(AVERAGEIFS(nNOTA,nNIA,G150,nCUENTA,1,nASIG,"Orquesta/Banda/Conjunto"),"")))</f>
        <v/>
      </c>
      <c r="J150" t="str">
        <f>IF(G150="","",IF(G150="[FÓRMULA MANUAL]","",IFERROR(AVERAGEIFS(nNOTA,nNIA,G150,nCUENTA,1,nASIG,"Conjunto"),"")))</f>
        <v/>
      </c>
      <c r="K150" t="str">
        <f>IF(G150="","",IF(G150="[FÓRMULA MANUAL]","",IFERROR(SUMPRODUCT((nNIA=G150)*(nCUENTA=1)*(COUNTIF(CONFIG_ASIGNATURAS!$B$7:$B$27,nASIG)&gt;0)*(nNOTA))/SUMPRODUCT((nNIA=G150)*(nCUENTA=1)*(COUNTIF(CONFIG_ASIGNATURAS!$B$7:$B$27,nASIG)&gt;0)*1),"")))</f>
        <v/>
      </c>
      <c r="N150" t="str">
        <f>IF(M150="","",IF(M150="[FÓRMULA MANUAL]","",IFERROR(AVERAGEIFS(nNOTA,nNIA,M150,nCUENTA,1,nASIG,"Armonía"),"")))</f>
        <v/>
      </c>
      <c r="O150" t="str">
        <f>IF(M150="","",IF(M150="[FÓRMULA MANUAL]","",IFERROR(AVERAGEIFS(nNOTA,nNIA,M150,nCUENTA,1,nASIG,"Orquesta/Banda/Conjunto"),"")))</f>
        <v/>
      </c>
      <c r="P150" t="str">
        <f>IF(M150="","",IF(M150="[FÓRMULA MANUAL]","",IFERROR(AVERAGEIFS(nNOTA,nNIA,M150,nCUENTA,1,nASIG,"Música de Cámara"),"")))</f>
        <v/>
      </c>
      <c r="Q150" t="str">
        <f>IF(M150="","",IF(M150="[FÓRMULA MANUAL]","",IFERROR(SUMPRODUCT((nNIA=M150)*(nCUENTA=1)*(COUNTIF(CONFIG_ASIGNATURAS!$B$7:$B$27,nASIG)&gt;0)*(nNOTA))/SUMPRODUCT((nNIA=M150)*(nCUENTA=1)*(COUNTIF(CONFIG_ASIGNATURAS!$B$7:$B$27,nASIG)&gt;0)*1),"")))</f>
        <v/>
      </c>
      <c r="T150" t="str">
        <f>IF(S150="","",IF(S150="[FÓRMULA MANUAL]","",IFERROR(AVERAGEIFS(nNOTA,nNIA,S150,nCUENTA,1,nASIG,"Armonía"),"")))</f>
        <v/>
      </c>
      <c r="U150" t="str">
        <f>IF(S150="","",IF(S150="[FÓRMULA MANUAL]","",IFERROR(AVERAGEIFS(nNOTA,nNIA,S150,nCUENTA,1,nASIG,"Orquesta/Banda/Conjunto"),"")))</f>
        <v/>
      </c>
      <c r="V150" t="str">
        <f>IF(S150="","",IF(S150="[FÓRMULA MANUAL]","",IFERROR(AVERAGEIFS(nNOTA,nNIA,S150,nCUENTA,1,nASIG,"Música de Cámara"),"")))</f>
        <v/>
      </c>
      <c r="W150" t="str">
        <f>IF(S150="","",IF(S150="[FÓRMULA MANUAL]","",IFERROR(SUMPRODUCT((nNIA=S150)*(nCUENTA=1)*(COUNTIF(CONFIG_ASIGNATURAS!$B$7:$B$27,nASIG)&gt;0)*(nNOTA))/SUMPRODUCT((nNIA=S150)*(nCUENTA=1)*(COUNTIF(CONFIG_ASIGNATURAS!$B$7:$B$27,nASIG)&gt;0)*1),"")))</f>
        <v/>
      </c>
      <c r="Z150" t="str">
        <f>IF(Y150="","",IF(Y150="[FÓRMULA MANUAL]","",IFERROR(AVERAGEIFS(nNOTA,nNIA,Y150,nCUENTA,1,nASIG,"Análisis"),"")))</f>
        <v/>
      </c>
      <c r="AA150" t="str">
        <f>IF(Y150="","",IF(Y150="[FÓRMULA MANUAL]","",IFERROR(AVERAGEIFS(nNOTA,nNIA,Y150,nCUENTA,1,nASIG,"Orquesta/Banda/Conjunto"),"")))</f>
        <v/>
      </c>
      <c r="AB150" t="str">
        <f>IF(Y150="","",IF(Y150="[FÓRMULA MANUAL]","",IFERROR(AVERAGEIFS(nNOTA,nNIA,Y150,nCUENTA,1,nASIG,"Música de Cámara"),"")))</f>
        <v/>
      </c>
      <c r="AC150" t="str">
        <f>IF(Y150="","",IF(Y150="[FÓRMULA MANUAL]","",IFERROR(SUMPRODUCT((nNIA=Y150)*(nCUENTA=1)*(COUNTIF(CONFIG_ASIGNATURAS!$B$7:$B$27,nASIG)&gt;0)*(nNOTA))/SUMPRODUCT((nNIA=Y150)*(nCUENTA=1)*(COUNTIF(CONFIG_ASIGNATURAS!$B$7:$B$27,nASIG)&gt;0)*1),"")))</f>
        <v/>
      </c>
      <c r="AF150" t="str">
        <f>IF(AE150="","",IF(AE150="[FÓRMULA MANUAL]","",IFERROR(AVERAGEIFS(nNOTA,nNIA,AE150,nCUENTA,1,nASIG,"Análisis"),"")))</f>
        <v/>
      </c>
      <c r="AG150" t="str">
        <f>IF(AE150="","",IF(AE150="[FÓRMULA MANUAL]","",IFERROR(AVERAGEIFS(nNOTA,nNIA,AE150,nCUENTA,1,nASIG,"Orquesta/Banda/Conjunto"),"")))</f>
        <v/>
      </c>
      <c r="AH150" t="str">
        <f>IF(AE150="","",IF(AE150="[FÓRMULA MANUAL]","",IFERROR(AVERAGEIFS(nNOTA,nNIA,AE150,nCUENTA,1,nASIG,"Música de Cámara"),"")))</f>
        <v/>
      </c>
      <c r="AI150" t="str">
        <f>IF(AE150="","",IF(AE150="[FÓRMULA MANUAL]","",IFERROR(SUMPRODUCT((nNIA=AE150)*(nCUENTA=1)*(COUNTIF(CONFIG_ASIGNATURAS!$B$7:$B$27,nASIG)&gt;0)*(nNOTA))/SUMPRODUCT((nNIA=AE150)*(nCUENTA=1)*(COUNTIF(CONFIG_ASIGNATURAS!$B$7:$B$27,nASIG)&gt;0)*1),"")))</f>
        <v/>
      </c>
    </row>
    <row r="151" spans="2:35" x14ac:dyDescent="0.2">
      <c r="B151" t="str">
        <f>IF(A151="","",IF(A151="[FÓRMULA MANUAL]","",IFERROR(AVERAGEIFS(nNOTA,nNIA,A151,nCUENTA,1,nASIG,"Lenguaje Musical"),"")))</f>
        <v/>
      </c>
      <c r="C151" t="str">
        <f>IF(A151="","",IF(A151="[FÓRMULA MANUAL]","",IFERROR(AVERAGEIFS(nNOTA,nNIA,A151,nCUENTA,1,nASIG,"Orquesta/Banda/Conjunto"),"")))</f>
        <v/>
      </c>
      <c r="D151" t="str">
        <f>IF(A151="","",IF(A151="[FÓRMULA MANUAL]","",IFERROR(AVERAGEIFS(nNOTA,nNIA,A151,nCUENTA,1,nASIG,"Conjunto"),"")))</f>
        <v/>
      </c>
      <c r="E151" t="str">
        <f>IF(A151="","",IF(A151="[FÓRMULA MANUAL]","",IFERROR(SUMPRODUCT((nNIA=A151)*(nCUENTA=1)*(COUNTIF(CONFIG_ASIGNATURAS!$B$7:$B$27,nASIG)&gt;0)*(nNOTA))/SUMPRODUCT((nNIA=A151)*(nCUENTA=1)*(COUNTIF(CONFIG_ASIGNATURAS!$B$7:$B$27,nASIG)&gt;0)*1),"")))</f>
        <v/>
      </c>
      <c r="H151" t="str">
        <f>IF(G151="","",IF(G151="[FÓRMULA MANUAL]","",IFERROR(AVERAGEIFS(nNOTA,nNIA,G151,nCUENTA,1,nASIG,"Lenguaje Musical"),"")))</f>
        <v/>
      </c>
      <c r="I151" t="str">
        <f>IF(G151="","",IF(G151="[FÓRMULA MANUAL]","",IFERROR(AVERAGEIFS(nNOTA,nNIA,G151,nCUENTA,1,nASIG,"Orquesta/Banda/Conjunto"),"")))</f>
        <v/>
      </c>
      <c r="J151" t="str">
        <f>IF(G151="","",IF(G151="[FÓRMULA MANUAL]","",IFERROR(AVERAGEIFS(nNOTA,nNIA,G151,nCUENTA,1,nASIG,"Conjunto"),"")))</f>
        <v/>
      </c>
      <c r="K151" t="str">
        <f>IF(G151="","",IF(G151="[FÓRMULA MANUAL]","",IFERROR(SUMPRODUCT((nNIA=G151)*(nCUENTA=1)*(COUNTIF(CONFIG_ASIGNATURAS!$B$7:$B$27,nASIG)&gt;0)*(nNOTA))/SUMPRODUCT((nNIA=G151)*(nCUENTA=1)*(COUNTIF(CONFIG_ASIGNATURAS!$B$7:$B$27,nASIG)&gt;0)*1),"")))</f>
        <v/>
      </c>
      <c r="N151" t="str">
        <f>IF(M151="","",IF(M151="[FÓRMULA MANUAL]","",IFERROR(AVERAGEIFS(nNOTA,nNIA,M151,nCUENTA,1,nASIG,"Armonía"),"")))</f>
        <v/>
      </c>
      <c r="O151" t="str">
        <f>IF(M151="","",IF(M151="[FÓRMULA MANUAL]","",IFERROR(AVERAGEIFS(nNOTA,nNIA,M151,nCUENTA,1,nASIG,"Orquesta/Banda/Conjunto"),"")))</f>
        <v/>
      </c>
      <c r="P151" t="str">
        <f>IF(M151="","",IF(M151="[FÓRMULA MANUAL]","",IFERROR(AVERAGEIFS(nNOTA,nNIA,M151,nCUENTA,1,nASIG,"Música de Cámara"),"")))</f>
        <v/>
      </c>
      <c r="Q151" t="str">
        <f>IF(M151="","",IF(M151="[FÓRMULA MANUAL]","",IFERROR(SUMPRODUCT((nNIA=M151)*(nCUENTA=1)*(COUNTIF(CONFIG_ASIGNATURAS!$B$7:$B$27,nASIG)&gt;0)*(nNOTA))/SUMPRODUCT((nNIA=M151)*(nCUENTA=1)*(COUNTIF(CONFIG_ASIGNATURAS!$B$7:$B$27,nASIG)&gt;0)*1),"")))</f>
        <v/>
      </c>
      <c r="T151" t="str">
        <f>IF(S151="","",IF(S151="[FÓRMULA MANUAL]","",IFERROR(AVERAGEIFS(nNOTA,nNIA,S151,nCUENTA,1,nASIG,"Armonía"),"")))</f>
        <v/>
      </c>
      <c r="U151" t="str">
        <f>IF(S151="","",IF(S151="[FÓRMULA MANUAL]","",IFERROR(AVERAGEIFS(nNOTA,nNIA,S151,nCUENTA,1,nASIG,"Orquesta/Banda/Conjunto"),"")))</f>
        <v/>
      </c>
      <c r="V151" t="str">
        <f>IF(S151="","",IF(S151="[FÓRMULA MANUAL]","",IFERROR(AVERAGEIFS(nNOTA,nNIA,S151,nCUENTA,1,nASIG,"Música de Cámara"),"")))</f>
        <v/>
      </c>
      <c r="W151" t="str">
        <f>IF(S151="","",IF(S151="[FÓRMULA MANUAL]","",IFERROR(SUMPRODUCT((nNIA=S151)*(nCUENTA=1)*(COUNTIF(CONFIG_ASIGNATURAS!$B$7:$B$27,nASIG)&gt;0)*(nNOTA))/SUMPRODUCT((nNIA=S151)*(nCUENTA=1)*(COUNTIF(CONFIG_ASIGNATURAS!$B$7:$B$27,nASIG)&gt;0)*1),"")))</f>
        <v/>
      </c>
      <c r="Z151" t="str">
        <f>IF(Y151="","",IF(Y151="[FÓRMULA MANUAL]","",IFERROR(AVERAGEIFS(nNOTA,nNIA,Y151,nCUENTA,1,nASIG,"Análisis"),"")))</f>
        <v/>
      </c>
      <c r="AA151" t="str">
        <f>IF(Y151="","",IF(Y151="[FÓRMULA MANUAL]","",IFERROR(AVERAGEIFS(nNOTA,nNIA,Y151,nCUENTA,1,nASIG,"Orquesta/Banda/Conjunto"),"")))</f>
        <v/>
      </c>
      <c r="AB151" t="str">
        <f>IF(Y151="","",IF(Y151="[FÓRMULA MANUAL]","",IFERROR(AVERAGEIFS(nNOTA,nNIA,Y151,nCUENTA,1,nASIG,"Música de Cámara"),"")))</f>
        <v/>
      </c>
      <c r="AC151" t="str">
        <f>IF(Y151="","",IF(Y151="[FÓRMULA MANUAL]","",IFERROR(SUMPRODUCT((nNIA=Y151)*(nCUENTA=1)*(COUNTIF(CONFIG_ASIGNATURAS!$B$7:$B$27,nASIG)&gt;0)*(nNOTA))/SUMPRODUCT((nNIA=Y151)*(nCUENTA=1)*(COUNTIF(CONFIG_ASIGNATURAS!$B$7:$B$27,nASIG)&gt;0)*1),"")))</f>
        <v/>
      </c>
      <c r="AF151" t="str">
        <f>IF(AE151="","",IF(AE151="[FÓRMULA MANUAL]","",IFERROR(AVERAGEIFS(nNOTA,nNIA,AE151,nCUENTA,1,nASIG,"Análisis"),"")))</f>
        <v/>
      </c>
      <c r="AG151" t="str">
        <f>IF(AE151="","",IF(AE151="[FÓRMULA MANUAL]","",IFERROR(AVERAGEIFS(nNOTA,nNIA,AE151,nCUENTA,1,nASIG,"Orquesta/Banda/Conjunto"),"")))</f>
        <v/>
      </c>
      <c r="AH151" t="str">
        <f>IF(AE151="","",IF(AE151="[FÓRMULA MANUAL]","",IFERROR(AVERAGEIFS(nNOTA,nNIA,AE151,nCUENTA,1,nASIG,"Música de Cámara"),"")))</f>
        <v/>
      </c>
      <c r="AI151" t="str">
        <f>IF(AE151="","",IF(AE151="[FÓRMULA MANUAL]","",IFERROR(SUMPRODUCT((nNIA=AE151)*(nCUENTA=1)*(COUNTIF(CONFIG_ASIGNATURAS!$B$7:$B$27,nASIG)&gt;0)*(nNOTA))/SUMPRODUCT((nNIA=AE151)*(nCUENTA=1)*(COUNTIF(CONFIG_ASIGNATURAS!$B$7:$B$27,nASIG)&gt;0)*1),"")))</f>
        <v/>
      </c>
    </row>
    <row r="152" spans="2:35" x14ac:dyDescent="0.2">
      <c r="B152" t="str">
        <f>IF(A152="","",IF(A152="[FÓRMULA MANUAL]","",IFERROR(AVERAGEIFS(nNOTA,nNIA,A152,nCUENTA,1,nASIG,"Lenguaje Musical"),"")))</f>
        <v/>
      </c>
      <c r="C152" t="str">
        <f>IF(A152="","",IF(A152="[FÓRMULA MANUAL]","",IFERROR(AVERAGEIFS(nNOTA,nNIA,A152,nCUENTA,1,nASIG,"Orquesta/Banda/Conjunto"),"")))</f>
        <v/>
      </c>
      <c r="D152" t="str">
        <f>IF(A152="","",IF(A152="[FÓRMULA MANUAL]","",IFERROR(AVERAGEIFS(nNOTA,nNIA,A152,nCUENTA,1,nASIG,"Conjunto"),"")))</f>
        <v/>
      </c>
      <c r="E152" t="str">
        <f>IF(A152="","",IF(A152="[FÓRMULA MANUAL]","",IFERROR(SUMPRODUCT((nNIA=A152)*(nCUENTA=1)*(COUNTIF(CONFIG_ASIGNATURAS!$B$7:$B$27,nASIG)&gt;0)*(nNOTA))/SUMPRODUCT((nNIA=A152)*(nCUENTA=1)*(COUNTIF(CONFIG_ASIGNATURAS!$B$7:$B$27,nASIG)&gt;0)*1),"")))</f>
        <v/>
      </c>
      <c r="H152" t="str">
        <f>IF(G152="","",IF(G152="[FÓRMULA MANUAL]","",IFERROR(AVERAGEIFS(nNOTA,nNIA,G152,nCUENTA,1,nASIG,"Lenguaje Musical"),"")))</f>
        <v/>
      </c>
      <c r="I152" t="str">
        <f>IF(G152="","",IF(G152="[FÓRMULA MANUAL]","",IFERROR(AVERAGEIFS(nNOTA,nNIA,G152,nCUENTA,1,nASIG,"Orquesta/Banda/Conjunto"),"")))</f>
        <v/>
      </c>
      <c r="J152" t="str">
        <f>IF(G152="","",IF(G152="[FÓRMULA MANUAL]","",IFERROR(AVERAGEIFS(nNOTA,nNIA,G152,nCUENTA,1,nASIG,"Conjunto"),"")))</f>
        <v/>
      </c>
      <c r="K152" t="str">
        <f>IF(G152="","",IF(G152="[FÓRMULA MANUAL]","",IFERROR(SUMPRODUCT((nNIA=G152)*(nCUENTA=1)*(COUNTIF(CONFIG_ASIGNATURAS!$B$7:$B$27,nASIG)&gt;0)*(nNOTA))/SUMPRODUCT((nNIA=G152)*(nCUENTA=1)*(COUNTIF(CONFIG_ASIGNATURAS!$B$7:$B$27,nASIG)&gt;0)*1),"")))</f>
        <v/>
      </c>
      <c r="N152" t="str">
        <f>IF(M152="","",IF(M152="[FÓRMULA MANUAL]","",IFERROR(AVERAGEIFS(nNOTA,nNIA,M152,nCUENTA,1,nASIG,"Armonía"),"")))</f>
        <v/>
      </c>
      <c r="O152" t="str">
        <f>IF(M152="","",IF(M152="[FÓRMULA MANUAL]","",IFERROR(AVERAGEIFS(nNOTA,nNIA,M152,nCUENTA,1,nASIG,"Orquesta/Banda/Conjunto"),"")))</f>
        <v/>
      </c>
      <c r="P152" t="str">
        <f>IF(M152="","",IF(M152="[FÓRMULA MANUAL]","",IFERROR(AVERAGEIFS(nNOTA,nNIA,M152,nCUENTA,1,nASIG,"Música de Cámara"),"")))</f>
        <v/>
      </c>
      <c r="Q152" t="str">
        <f>IF(M152="","",IF(M152="[FÓRMULA MANUAL]","",IFERROR(SUMPRODUCT((nNIA=M152)*(nCUENTA=1)*(COUNTIF(CONFIG_ASIGNATURAS!$B$7:$B$27,nASIG)&gt;0)*(nNOTA))/SUMPRODUCT((nNIA=M152)*(nCUENTA=1)*(COUNTIF(CONFIG_ASIGNATURAS!$B$7:$B$27,nASIG)&gt;0)*1),"")))</f>
        <v/>
      </c>
      <c r="T152" t="str">
        <f>IF(S152="","",IF(S152="[FÓRMULA MANUAL]","",IFERROR(AVERAGEIFS(nNOTA,nNIA,S152,nCUENTA,1,nASIG,"Armonía"),"")))</f>
        <v/>
      </c>
      <c r="U152" t="str">
        <f>IF(S152="","",IF(S152="[FÓRMULA MANUAL]","",IFERROR(AVERAGEIFS(nNOTA,nNIA,S152,nCUENTA,1,nASIG,"Orquesta/Banda/Conjunto"),"")))</f>
        <v/>
      </c>
      <c r="V152" t="str">
        <f>IF(S152="","",IF(S152="[FÓRMULA MANUAL]","",IFERROR(AVERAGEIFS(nNOTA,nNIA,S152,nCUENTA,1,nASIG,"Música de Cámara"),"")))</f>
        <v/>
      </c>
      <c r="W152" t="str">
        <f>IF(S152="","",IF(S152="[FÓRMULA MANUAL]","",IFERROR(SUMPRODUCT((nNIA=S152)*(nCUENTA=1)*(COUNTIF(CONFIG_ASIGNATURAS!$B$7:$B$27,nASIG)&gt;0)*(nNOTA))/SUMPRODUCT((nNIA=S152)*(nCUENTA=1)*(COUNTIF(CONFIG_ASIGNATURAS!$B$7:$B$27,nASIG)&gt;0)*1),"")))</f>
        <v/>
      </c>
      <c r="Z152" t="str">
        <f>IF(Y152="","",IF(Y152="[FÓRMULA MANUAL]","",IFERROR(AVERAGEIFS(nNOTA,nNIA,Y152,nCUENTA,1,nASIG,"Análisis"),"")))</f>
        <v/>
      </c>
      <c r="AA152" t="str">
        <f>IF(Y152="","",IF(Y152="[FÓRMULA MANUAL]","",IFERROR(AVERAGEIFS(nNOTA,nNIA,Y152,nCUENTA,1,nASIG,"Orquesta/Banda/Conjunto"),"")))</f>
        <v/>
      </c>
      <c r="AB152" t="str">
        <f>IF(Y152="","",IF(Y152="[FÓRMULA MANUAL]","",IFERROR(AVERAGEIFS(nNOTA,nNIA,Y152,nCUENTA,1,nASIG,"Música de Cámara"),"")))</f>
        <v/>
      </c>
      <c r="AC152" t="str">
        <f>IF(Y152="","",IF(Y152="[FÓRMULA MANUAL]","",IFERROR(SUMPRODUCT((nNIA=Y152)*(nCUENTA=1)*(COUNTIF(CONFIG_ASIGNATURAS!$B$7:$B$27,nASIG)&gt;0)*(nNOTA))/SUMPRODUCT((nNIA=Y152)*(nCUENTA=1)*(COUNTIF(CONFIG_ASIGNATURAS!$B$7:$B$27,nASIG)&gt;0)*1),"")))</f>
        <v/>
      </c>
      <c r="AF152" t="str">
        <f>IF(AE152="","",IF(AE152="[FÓRMULA MANUAL]","",IFERROR(AVERAGEIFS(nNOTA,nNIA,AE152,nCUENTA,1,nASIG,"Análisis"),"")))</f>
        <v/>
      </c>
      <c r="AG152" t="str">
        <f>IF(AE152="","",IF(AE152="[FÓRMULA MANUAL]","",IFERROR(AVERAGEIFS(nNOTA,nNIA,AE152,nCUENTA,1,nASIG,"Orquesta/Banda/Conjunto"),"")))</f>
        <v/>
      </c>
      <c r="AH152" t="str">
        <f>IF(AE152="","",IF(AE152="[FÓRMULA MANUAL]","",IFERROR(AVERAGEIFS(nNOTA,nNIA,AE152,nCUENTA,1,nASIG,"Música de Cámara"),"")))</f>
        <v/>
      </c>
      <c r="AI152" t="str">
        <f>IF(AE152="","",IF(AE152="[FÓRMULA MANUAL]","",IFERROR(SUMPRODUCT((nNIA=AE152)*(nCUENTA=1)*(COUNTIF(CONFIG_ASIGNATURAS!$B$7:$B$27,nASIG)&gt;0)*(nNOTA))/SUMPRODUCT((nNIA=AE152)*(nCUENTA=1)*(COUNTIF(CONFIG_ASIGNATURAS!$B$7:$B$27,nASIG)&gt;0)*1),"")))</f>
        <v/>
      </c>
    </row>
    <row r="153" spans="2:35" x14ac:dyDescent="0.2">
      <c r="B153" t="str">
        <f>IF(A153="","",IF(A153="[FÓRMULA MANUAL]","",IFERROR(AVERAGEIFS(nNOTA,nNIA,A153,nCUENTA,1,nASIG,"Lenguaje Musical"),"")))</f>
        <v/>
      </c>
      <c r="C153" t="str">
        <f>IF(A153="","",IF(A153="[FÓRMULA MANUAL]","",IFERROR(AVERAGEIFS(nNOTA,nNIA,A153,nCUENTA,1,nASIG,"Orquesta/Banda/Conjunto"),"")))</f>
        <v/>
      </c>
      <c r="D153" t="str">
        <f>IF(A153="","",IF(A153="[FÓRMULA MANUAL]","",IFERROR(AVERAGEIFS(nNOTA,nNIA,A153,nCUENTA,1,nASIG,"Conjunto"),"")))</f>
        <v/>
      </c>
      <c r="E153" t="str">
        <f>IF(A153="","",IF(A153="[FÓRMULA MANUAL]","",IFERROR(SUMPRODUCT((nNIA=A153)*(nCUENTA=1)*(COUNTIF(CONFIG_ASIGNATURAS!$B$7:$B$27,nASIG)&gt;0)*(nNOTA))/SUMPRODUCT((nNIA=A153)*(nCUENTA=1)*(COUNTIF(CONFIG_ASIGNATURAS!$B$7:$B$27,nASIG)&gt;0)*1),"")))</f>
        <v/>
      </c>
      <c r="H153" t="str">
        <f>IF(G153="","",IF(G153="[FÓRMULA MANUAL]","",IFERROR(AVERAGEIFS(nNOTA,nNIA,G153,nCUENTA,1,nASIG,"Lenguaje Musical"),"")))</f>
        <v/>
      </c>
      <c r="I153" t="str">
        <f>IF(G153="","",IF(G153="[FÓRMULA MANUAL]","",IFERROR(AVERAGEIFS(nNOTA,nNIA,G153,nCUENTA,1,nASIG,"Orquesta/Banda/Conjunto"),"")))</f>
        <v/>
      </c>
      <c r="J153" t="str">
        <f>IF(G153="","",IF(G153="[FÓRMULA MANUAL]","",IFERROR(AVERAGEIFS(nNOTA,nNIA,G153,nCUENTA,1,nASIG,"Conjunto"),"")))</f>
        <v/>
      </c>
      <c r="K153" t="str">
        <f>IF(G153="","",IF(G153="[FÓRMULA MANUAL]","",IFERROR(SUMPRODUCT((nNIA=G153)*(nCUENTA=1)*(COUNTIF(CONFIG_ASIGNATURAS!$B$7:$B$27,nASIG)&gt;0)*(nNOTA))/SUMPRODUCT((nNIA=G153)*(nCUENTA=1)*(COUNTIF(CONFIG_ASIGNATURAS!$B$7:$B$27,nASIG)&gt;0)*1),"")))</f>
        <v/>
      </c>
      <c r="N153" t="str">
        <f>IF(M153="","",IF(M153="[FÓRMULA MANUAL]","",IFERROR(AVERAGEIFS(nNOTA,nNIA,M153,nCUENTA,1,nASIG,"Armonía"),"")))</f>
        <v/>
      </c>
      <c r="O153" t="str">
        <f>IF(M153="","",IF(M153="[FÓRMULA MANUAL]","",IFERROR(AVERAGEIFS(nNOTA,nNIA,M153,nCUENTA,1,nASIG,"Orquesta/Banda/Conjunto"),"")))</f>
        <v/>
      </c>
      <c r="P153" t="str">
        <f>IF(M153="","",IF(M153="[FÓRMULA MANUAL]","",IFERROR(AVERAGEIFS(nNOTA,nNIA,M153,nCUENTA,1,nASIG,"Música de Cámara"),"")))</f>
        <v/>
      </c>
      <c r="Q153" t="str">
        <f>IF(M153="","",IF(M153="[FÓRMULA MANUAL]","",IFERROR(SUMPRODUCT((nNIA=M153)*(nCUENTA=1)*(COUNTIF(CONFIG_ASIGNATURAS!$B$7:$B$27,nASIG)&gt;0)*(nNOTA))/SUMPRODUCT((nNIA=M153)*(nCUENTA=1)*(COUNTIF(CONFIG_ASIGNATURAS!$B$7:$B$27,nASIG)&gt;0)*1),"")))</f>
        <v/>
      </c>
      <c r="T153" t="str">
        <f>IF(S153="","",IF(S153="[FÓRMULA MANUAL]","",IFERROR(AVERAGEIFS(nNOTA,nNIA,S153,nCUENTA,1,nASIG,"Armonía"),"")))</f>
        <v/>
      </c>
      <c r="U153" t="str">
        <f>IF(S153="","",IF(S153="[FÓRMULA MANUAL]","",IFERROR(AVERAGEIFS(nNOTA,nNIA,S153,nCUENTA,1,nASIG,"Orquesta/Banda/Conjunto"),"")))</f>
        <v/>
      </c>
      <c r="V153" t="str">
        <f>IF(S153="","",IF(S153="[FÓRMULA MANUAL]","",IFERROR(AVERAGEIFS(nNOTA,nNIA,S153,nCUENTA,1,nASIG,"Música de Cámara"),"")))</f>
        <v/>
      </c>
      <c r="W153" t="str">
        <f>IF(S153="","",IF(S153="[FÓRMULA MANUAL]","",IFERROR(SUMPRODUCT((nNIA=S153)*(nCUENTA=1)*(COUNTIF(CONFIG_ASIGNATURAS!$B$7:$B$27,nASIG)&gt;0)*(nNOTA))/SUMPRODUCT((nNIA=S153)*(nCUENTA=1)*(COUNTIF(CONFIG_ASIGNATURAS!$B$7:$B$27,nASIG)&gt;0)*1),"")))</f>
        <v/>
      </c>
      <c r="Z153" t="str">
        <f>IF(Y153="","",IF(Y153="[FÓRMULA MANUAL]","",IFERROR(AVERAGEIFS(nNOTA,nNIA,Y153,nCUENTA,1,nASIG,"Análisis"),"")))</f>
        <v/>
      </c>
      <c r="AA153" t="str">
        <f>IF(Y153="","",IF(Y153="[FÓRMULA MANUAL]","",IFERROR(AVERAGEIFS(nNOTA,nNIA,Y153,nCUENTA,1,nASIG,"Orquesta/Banda/Conjunto"),"")))</f>
        <v/>
      </c>
      <c r="AB153" t="str">
        <f>IF(Y153="","",IF(Y153="[FÓRMULA MANUAL]","",IFERROR(AVERAGEIFS(nNOTA,nNIA,Y153,nCUENTA,1,nASIG,"Música de Cámara"),"")))</f>
        <v/>
      </c>
      <c r="AC153" t="str">
        <f>IF(Y153="","",IF(Y153="[FÓRMULA MANUAL]","",IFERROR(SUMPRODUCT((nNIA=Y153)*(nCUENTA=1)*(COUNTIF(CONFIG_ASIGNATURAS!$B$7:$B$27,nASIG)&gt;0)*(nNOTA))/SUMPRODUCT((nNIA=Y153)*(nCUENTA=1)*(COUNTIF(CONFIG_ASIGNATURAS!$B$7:$B$27,nASIG)&gt;0)*1),"")))</f>
        <v/>
      </c>
      <c r="AF153" t="str">
        <f>IF(AE153="","",IF(AE153="[FÓRMULA MANUAL]","",IFERROR(AVERAGEIFS(nNOTA,nNIA,AE153,nCUENTA,1,nASIG,"Análisis"),"")))</f>
        <v/>
      </c>
      <c r="AG153" t="str">
        <f>IF(AE153="","",IF(AE153="[FÓRMULA MANUAL]","",IFERROR(AVERAGEIFS(nNOTA,nNIA,AE153,nCUENTA,1,nASIG,"Orquesta/Banda/Conjunto"),"")))</f>
        <v/>
      </c>
      <c r="AH153" t="str">
        <f>IF(AE153="","",IF(AE153="[FÓRMULA MANUAL]","",IFERROR(AVERAGEIFS(nNOTA,nNIA,AE153,nCUENTA,1,nASIG,"Música de Cámara"),"")))</f>
        <v/>
      </c>
      <c r="AI153" t="str">
        <f>IF(AE153="","",IF(AE153="[FÓRMULA MANUAL]","",IFERROR(SUMPRODUCT((nNIA=AE153)*(nCUENTA=1)*(COUNTIF(CONFIG_ASIGNATURAS!$B$7:$B$27,nASIG)&gt;0)*(nNOTA))/SUMPRODUCT((nNIA=AE153)*(nCUENTA=1)*(COUNTIF(CONFIG_ASIGNATURAS!$B$7:$B$27,nASIG)&gt;0)*1),"")))</f>
        <v/>
      </c>
    </row>
    <row r="154" spans="2:35" x14ac:dyDescent="0.2">
      <c r="B154" t="str">
        <f>IF(A154="","",IF(A154="[FÓRMULA MANUAL]","",IFERROR(AVERAGEIFS(nNOTA,nNIA,A154,nCUENTA,1,nASIG,"Lenguaje Musical"),"")))</f>
        <v/>
      </c>
      <c r="C154" t="str">
        <f>IF(A154="","",IF(A154="[FÓRMULA MANUAL]","",IFERROR(AVERAGEIFS(nNOTA,nNIA,A154,nCUENTA,1,nASIG,"Orquesta/Banda/Conjunto"),"")))</f>
        <v/>
      </c>
      <c r="D154" t="str">
        <f>IF(A154="","",IF(A154="[FÓRMULA MANUAL]","",IFERROR(AVERAGEIFS(nNOTA,nNIA,A154,nCUENTA,1,nASIG,"Conjunto"),"")))</f>
        <v/>
      </c>
      <c r="E154" t="str">
        <f>IF(A154="","",IF(A154="[FÓRMULA MANUAL]","",IFERROR(SUMPRODUCT((nNIA=A154)*(nCUENTA=1)*(COUNTIF(CONFIG_ASIGNATURAS!$B$7:$B$27,nASIG)&gt;0)*(nNOTA))/SUMPRODUCT((nNIA=A154)*(nCUENTA=1)*(COUNTIF(CONFIG_ASIGNATURAS!$B$7:$B$27,nASIG)&gt;0)*1),"")))</f>
        <v/>
      </c>
      <c r="H154" t="str">
        <f>IF(G154="","",IF(G154="[FÓRMULA MANUAL]","",IFERROR(AVERAGEIFS(nNOTA,nNIA,G154,nCUENTA,1,nASIG,"Lenguaje Musical"),"")))</f>
        <v/>
      </c>
      <c r="I154" t="str">
        <f>IF(G154="","",IF(G154="[FÓRMULA MANUAL]","",IFERROR(AVERAGEIFS(nNOTA,nNIA,G154,nCUENTA,1,nASIG,"Orquesta/Banda/Conjunto"),"")))</f>
        <v/>
      </c>
      <c r="J154" t="str">
        <f>IF(G154="","",IF(G154="[FÓRMULA MANUAL]","",IFERROR(AVERAGEIFS(nNOTA,nNIA,G154,nCUENTA,1,nASIG,"Conjunto"),"")))</f>
        <v/>
      </c>
      <c r="K154" t="str">
        <f>IF(G154="","",IF(G154="[FÓRMULA MANUAL]","",IFERROR(SUMPRODUCT((nNIA=G154)*(nCUENTA=1)*(COUNTIF(CONFIG_ASIGNATURAS!$B$7:$B$27,nASIG)&gt;0)*(nNOTA))/SUMPRODUCT((nNIA=G154)*(nCUENTA=1)*(COUNTIF(CONFIG_ASIGNATURAS!$B$7:$B$27,nASIG)&gt;0)*1),"")))</f>
        <v/>
      </c>
      <c r="N154" t="str">
        <f>IF(M154="","",IF(M154="[FÓRMULA MANUAL]","",IFERROR(AVERAGEIFS(nNOTA,nNIA,M154,nCUENTA,1,nASIG,"Armonía"),"")))</f>
        <v/>
      </c>
      <c r="O154" t="str">
        <f>IF(M154="","",IF(M154="[FÓRMULA MANUAL]","",IFERROR(AVERAGEIFS(nNOTA,nNIA,M154,nCUENTA,1,nASIG,"Orquesta/Banda/Conjunto"),"")))</f>
        <v/>
      </c>
      <c r="P154" t="str">
        <f>IF(M154="","",IF(M154="[FÓRMULA MANUAL]","",IFERROR(AVERAGEIFS(nNOTA,nNIA,M154,nCUENTA,1,nASIG,"Música de Cámara"),"")))</f>
        <v/>
      </c>
      <c r="Q154" t="str">
        <f>IF(M154="","",IF(M154="[FÓRMULA MANUAL]","",IFERROR(SUMPRODUCT((nNIA=M154)*(nCUENTA=1)*(COUNTIF(CONFIG_ASIGNATURAS!$B$7:$B$27,nASIG)&gt;0)*(nNOTA))/SUMPRODUCT((nNIA=M154)*(nCUENTA=1)*(COUNTIF(CONFIG_ASIGNATURAS!$B$7:$B$27,nASIG)&gt;0)*1),"")))</f>
        <v/>
      </c>
      <c r="T154" t="str">
        <f>IF(S154="","",IF(S154="[FÓRMULA MANUAL]","",IFERROR(AVERAGEIFS(nNOTA,nNIA,S154,nCUENTA,1,nASIG,"Armonía"),"")))</f>
        <v/>
      </c>
      <c r="U154" t="str">
        <f>IF(S154="","",IF(S154="[FÓRMULA MANUAL]","",IFERROR(AVERAGEIFS(nNOTA,nNIA,S154,nCUENTA,1,nASIG,"Orquesta/Banda/Conjunto"),"")))</f>
        <v/>
      </c>
      <c r="V154" t="str">
        <f>IF(S154="","",IF(S154="[FÓRMULA MANUAL]","",IFERROR(AVERAGEIFS(nNOTA,nNIA,S154,nCUENTA,1,nASIG,"Música de Cámara"),"")))</f>
        <v/>
      </c>
      <c r="W154" t="str">
        <f>IF(S154="","",IF(S154="[FÓRMULA MANUAL]","",IFERROR(SUMPRODUCT((nNIA=S154)*(nCUENTA=1)*(COUNTIF(CONFIG_ASIGNATURAS!$B$7:$B$27,nASIG)&gt;0)*(nNOTA))/SUMPRODUCT((nNIA=S154)*(nCUENTA=1)*(COUNTIF(CONFIG_ASIGNATURAS!$B$7:$B$27,nASIG)&gt;0)*1),"")))</f>
        <v/>
      </c>
      <c r="Z154" t="str">
        <f>IF(Y154="","",IF(Y154="[FÓRMULA MANUAL]","",IFERROR(AVERAGEIFS(nNOTA,nNIA,Y154,nCUENTA,1,nASIG,"Análisis"),"")))</f>
        <v/>
      </c>
      <c r="AA154" t="str">
        <f>IF(Y154="","",IF(Y154="[FÓRMULA MANUAL]","",IFERROR(AVERAGEIFS(nNOTA,nNIA,Y154,nCUENTA,1,nASIG,"Orquesta/Banda/Conjunto"),"")))</f>
        <v/>
      </c>
      <c r="AB154" t="str">
        <f>IF(Y154="","",IF(Y154="[FÓRMULA MANUAL]","",IFERROR(AVERAGEIFS(nNOTA,nNIA,Y154,nCUENTA,1,nASIG,"Música de Cámara"),"")))</f>
        <v/>
      </c>
      <c r="AC154" t="str">
        <f>IF(Y154="","",IF(Y154="[FÓRMULA MANUAL]","",IFERROR(SUMPRODUCT((nNIA=Y154)*(nCUENTA=1)*(COUNTIF(CONFIG_ASIGNATURAS!$B$7:$B$27,nASIG)&gt;0)*(nNOTA))/SUMPRODUCT((nNIA=Y154)*(nCUENTA=1)*(COUNTIF(CONFIG_ASIGNATURAS!$B$7:$B$27,nASIG)&gt;0)*1),"")))</f>
        <v/>
      </c>
      <c r="AF154" t="str">
        <f>IF(AE154="","",IF(AE154="[FÓRMULA MANUAL]","",IFERROR(AVERAGEIFS(nNOTA,nNIA,AE154,nCUENTA,1,nASIG,"Análisis"),"")))</f>
        <v/>
      </c>
      <c r="AG154" t="str">
        <f>IF(AE154="","",IF(AE154="[FÓRMULA MANUAL]","",IFERROR(AVERAGEIFS(nNOTA,nNIA,AE154,nCUENTA,1,nASIG,"Orquesta/Banda/Conjunto"),"")))</f>
        <v/>
      </c>
      <c r="AH154" t="str">
        <f>IF(AE154="","",IF(AE154="[FÓRMULA MANUAL]","",IFERROR(AVERAGEIFS(nNOTA,nNIA,AE154,nCUENTA,1,nASIG,"Música de Cámara"),"")))</f>
        <v/>
      </c>
      <c r="AI154" t="str">
        <f>IF(AE154="","",IF(AE154="[FÓRMULA MANUAL]","",IFERROR(SUMPRODUCT((nNIA=AE154)*(nCUENTA=1)*(COUNTIF(CONFIG_ASIGNATURAS!$B$7:$B$27,nASIG)&gt;0)*(nNOTA))/SUMPRODUCT((nNIA=AE154)*(nCUENTA=1)*(COUNTIF(CONFIG_ASIGNATURAS!$B$7:$B$27,nASIG)&gt;0)*1),"")))</f>
        <v/>
      </c>
    </row>
    <row r="155" spans="2:35" x14ac:dyDescent="0.2">
      <c r="B155" t="str">
        <f>IF(A155="","",IF(A155="[FÓRMULA MANUAL]","",IFERROR(AVERAGEIFS(nNOTA,nNIA,A155,nCUENTA,1,nASIG,"Lenguaje Musical"),"")))</f>
        <v/>
      </c>
      <c r="C155" t="str">
        <f>IF(A155="","",IF(A155="[FÓRMULA MANUAL]","",IFERROR(AVERAGEIFS(nNOTA,nNIA,A155,nCUENTA,1,nASIG,"Orquesta/Banda/Conjunto"),"")))</f>
        <v/>
      </c>
      <c r="D155" t="str">
        <f>IF(A155="","",IF(A155="[FÓRMULA MANUAL]","",IFERROR(AVERAGEIFS(nNOTA,nNIA,A155,nCUENTA,1,nASIG,"Conjunto"),"")))</f>
        <v/>
      </c>
      <c r="E155" t="str">
        <f>IF(A155="","",IF(A155="[FÓRMULA MANUAL]","",IFERROR(SUMPRODUCT((nNIA=A155)*(nCUENTA=1)*(COUNTIF(CONFIG_ASIGNATURAS!$B$7:$B$27,nASIG)&gt;0)*(nNOTA))/SUMPRODUCT((nNIA=A155)*(nCUENTA=1)*(COUNTIF(CONFIG_ASIGNATURAS!$B$7:$B$27,nASIG)&gt;0)*1),"")))</f>
        <v/>
      </c>
      <c r="H155" t="str">
        <f>IF(G155="","",IF(G155="[FÓRMULA MANUAL]","",IFERROR(AVERAGEIFS(nNOTA,nNIA,G155,nCUENTA,1,nASIG,"Lenguaje Musical"),"")))</f>
        <v/>
      </c>
      <c r="I155" t="str">
        <f>IF(G155="","",IF(G155="[FÓRMULA MANUAL]","",IFERROR(AVERAGEIFS(nNOTA,nNIA,G155,nCUENTA,1,nASIG,"Orquesta/Banda/Conjunto"),"")))</f>
        <v/>
      </c>
      <c r="J155" t="str">
        <f>IF(G155="","",IF(G155="[FÓRMULA MANUAL]","",IFERROR(AVERAGEIFS(nNOTA,nNIA,G155,nCUENTA,1,nASIG,"Conjunto"),"")))</f>
        <v/>
      </c>
      <c r="K155" t="str">
        <f>IF(G155="","",IF(G155="[FÓRMULA MANUAL]","",IFERROR(SUMPRODUCT((nNIA=G155)*(nCUENTA=1)*(COUNTIF(CONFIG_ASIGNATURAS!$B$7:$B$27,nASIG)&gt;0)*(nNOTA))/SUMPRODUCT((nNIA=G155)*(nCUENTA=1)*(COUNTIF(CONFIG_ASIGNATURAS!$B$7:$B$27,nASIG)&gt;0)*1),"")))</f>
        <v/>
      </c>
      <c r="N155" t="str">
        <f>IF(M155="","",IF(M155="[FÓRMULA MANUAL]","",IFERROR(AVERAGEIFS(nNOTA,nNIA,M155,nCUENTA,1,nASIG,"Armonía"),"")))</f>
        <v/>
      </c>
      <c r="O155" t="str">
        <f>IF(M155="","",IF(M155="[FÓRMULA MANUAL]","",IFERROR(AVERAGEIFS(nNOTA,nNIA,M155,nCUENTA,1,nASIG,"Orquesta/Banda/Conjunto"),"")))</f>
        <v/>
      </c>
      <c r="P155" t="str">
        <f>IF(M155="","",IF(M155="[FÓRMULA MANUAL]","",IFERROR(AVERAGEIFS(nNOTA,nNIA,M155,nCUENTA,1,nASIG,"Música de Cámara"),"")))</f>
        <v/>
      </c>
      <c r="Q155" t="str">
        <f>IF(M155="","",IF(M155="[FÓRMULA MANUAL]","",IFERROR(SUMPRODUCT((nNIA=M155)*(nCUENTA=1)*(COUNTIF(CONFIG_ASIGNATURAS!$B$7:$B$27,nASIG)&gt;0)*(nNOTA))/SUMPRODUCT((nNIA=M155)*(nCUENTA=1)*(COUNTIF(CONFIG_ASIGNATURAS!$B$7:$B$27,nASIG)&gt;0)*1),"")))</f>
        <v/>
      </c>
      <c r="T155" t="str">
        <f>IF(S155="","",IF(S155="[FÓRMULA MANUAL]","",IFERROR(AVERAGEIFS(nNOTA,nNIA,S155,nCUENTA,1,nASIG,"Armonía"),"")))</f>
        <v/>
      </c>
      <c r="U155" t="str">
        <f>IF(S155="","",IF(S155="[FÓRMULA MANUAL]","",IFERROR(AVERAGEIFS(nNOTA,nNIA,S155,nCUENTA,1,nASIG,"Orquesta/Banda/Conjunto"),"")))</f>
        <v/>
      </c>
      <c r="V155" t="str">
        <f>IF(S155="","",IF(S155="[FÓRMULA MANUAL]","",IFERROR(AVERAGEIFS(nNOTA,nNIA,S155,nCUENTA,1,nASIG,"Música de Cámara"),"")))</f>
        <v/>
      </c>
      <c r="W155" t="str">
        <f>IF(S155="","",IF(S155="[FÓRMULA MANUAL]","",IFERROR(SUMPRODUCT((nNIA=S155)*(nCUENTA=1)*(COUNTIF(CONFIG_ASIGNATURAS!$B$7:$B$27,nASIG)&gt;0)*(nNOTA))/SUMPRODUCT((nNIA=S155)*(nCUENTA=1)*(COUNTIF(CONFIG_ASIGNATURAS!$B$7:$B$27,nASIG)&gt;0)*1),"")))</f>
        <v/>
      </c>
      <c r="Z155" t="str">
        <f>IF(Y155="","",IF(Y155="[FÓRMULA MANUAL]","",IFERROR(AVERAGEIFS(nNOTA,nNIA,Y155,nCUENTA,1,nASIG,"Análisis"),"")))</f>
        <v/>
      </c>
      <c r="AA155" t="str">
        <f>IF(Y155="","",IF(Y155="[FÓRMULA MANUAL]","",IFERROR(AVERAGEIFS(nNOTA,nNIA,Y155,nCUENTA,1,nASIG,"Orquesta/Banda/Conjunto"),"")))</f>
        <v/>
      </c>
      <c r="AB155" t="str">
        <f>IF(Y155="","",IF(Y155="[FÓRMULA MANUAL]","",IFERROR(AVERAGEIFS(nNOTA,nNIA,Y155,nCUENTA,1,nASIG,"Música de Cámara"),"")))</f>
        <v/>
      </c>
      <c r="AC155" t="str">
        <f>IF(Y155="","",IF(Y155="[FÓRMULA MANUAL]","",IFERROR(SUMPRODUCT((nNIA=Y155)*(nCUENTA=1)*(COUNTIF(CONFIG_ASIGNATURAS!$B$7:$B$27,nASIG)&gt;0)*(nNOTA))/SUMPRODUCT((nNIA=Y155)*(nCUENTA=1)*(COUNTIF(CONFIG_ASIGNATURAS!$B$7:$B$27,nASIG)&gt;0)*1),"")))</f>
        <v/>
      </c>
      <c r="AF155" t="str">
        <f>IF(AE155="","",IF(AE155="[FÓRMULA MANUAL]","",IFERROR(AVERAGEIFS(nNOTA,nNIA,AE155,nCUENTA,1,nASIG,"Análisis"),"")))</f>
        <v/>
      </c>
      <c r="AG155" t="str">
        <f>IF(AE155="","",IF(AE155="[FÓRMULA MANUAL]","",IFERROR(AVERAGEIFS(nNOTA,nNIA,AE155,nCUENTA,1,nASIG,"Orquesta/Banda/Conjunto"),"")))</f>
        <v/>
      </c>
      <c r="AH155" t="str">
        <f>IF(AE155="","",IF(AE155="[FÓRMULA MANUAL]","",IFERROR(AVERAGEIFS(nNOTA,nNIA,AE155,nCUENTA,1,nASIG,"Música de Cámara"),"")))</f>
        <v/>
      </c>
      <c r="AI155" t="str">
        <f>IF(AE155="","",IF(AE155="[FÓRMULA MANUAL]","",IFERROR(SUMPRODUCT((nNIA=AE155)*(nCUENTA=1)*(COUNTIF(CONFIG_ASIGNATURAS!$B$7:$B$27,nASIG)&gt;0)*(nNOTA))/SUMPRODUCT((nNIA=AE155)*(nCUENTA=1)*(COUNTIF(CONFIG_ASIGNATURAS!$B$7:$B$27,nASIG)&gt;0)*1),"")))</f>
        <v/>
      </c>
    </row>
    <row r="156" spans="2:35" x14ac:dyDescent="0.2">
      <c r="B156" t="str">
        <f>IF(A156="","",IF(A156="[FÓRMULA MANUAL]","",IFERROR(AVERAGEIFS(nNOTA,nNIA,A156,nCUENTA,1,nASIG,"Lenguaje Musical"),"")))</f>
        <v/>
      </c>
      <c r="C156" t="str">
        <f>IF(A156="","",IF(A156="[FÓRMULA MANUAL]","",IFERROR(AVERAGEIFS(nNOTA,nNIA,A156,nCUENTA,1,nASIG,"Orquesta/Banda/Conjunto"),"")))</f>
        <v/>
      </c>
      <c r="D156" t="str">
        <f>IF(A156="","",IF(A156="[FÓRMULA MANUAL]","",IFERROR(AVERAGEIFS(nNOTA,nNIA,A156,nCUENTA,1,nASIG,"Conjunto"),"")))</f>
        <v/>
      </c>
      <c r="E156" t="str">
        <f>IF(A156="","",IF(A156="[FÓRMULA MANUAL]","",IFERROR(SUMPRODUCT((nNIA=A156)*(nCUENTA=1)*(COUNTIF(CONFIG_ASIGNATURAS!$B$7:$B$27,nASIG)&gt;0)*(nNOTA))/SUMPRODUCT((nNIA=A156)*(nCUENTA=1)*(COUNTIF(CONFIG_ASIGNATURAS!$B$7:$B$27,nASIG)&gt;0)*1),"")))</f>
        <v/>
      </c>
      <c r="H156" t="str">
        <f>IF(G156="","",IF(G156="[FÓRMULA MANUAL]","",IFERROR(AVERAGEIFS(nNOTA,nNIA,G156,nCUENTA,1,nASIG,"Lenguaje Musical"),"")))</f>
        <v/>
      </c>
      <c r="I156" t="str">
        <f>IF(G156="","",IF(G156="[FÓRMULA MANUAL]","",IFERROR(AVERAGEIFS(nNOTA,nNIA,G156,nCUENTA,1,nASIG,"Orquesta/Banda/Conjunto"),"")))</f>
        <v/>
      </c>
      <c r="J156" t="str">
        <f>IF(G156="","",IF(G156="[FÓRMULA MANUAL]","",IFERROR(AVERAGEIFS(nNOTA,nNIA,G156,nCUENTA,1,nASIG,"Conjunto"),"")))</f>
        <v/>
      </c>
      <c r="K156" t="str">
        <f>IF(G156="","",IF(G156="[FÓRMULA MANUAL]","",IFERROR(SUMPRODUCT((nNIA=G156)*(nCUENTA=1)*(COUNTIF(CONFIG_ASIGNATURAS!$B$7:$B$27,nASIG)&gt;0)*(nNOTA))/SUMPRODUCT((nNIA=G156)*(nCUENTA=1)*(COUNTIF(CONFIG_ASIGNATURAS!$B$7:$B$27,nASIG)&gt;0)*1),"")))</f>
        <v/>
      </c>
      <c r="N156" t="str">
        <f>IF(M156="","",IF(M156="[FÓRMULA MANUAL]","",IFERROR(AVERAGEIFS(nNOTA,nNIA,M156,nCUENTA,1,nASIG,"Armonía"),"")))</f>
        <v/>
      </c>
      <c r="O156" t="str">
        <f>IF(M156="","",IF(M156="[FÓRMULA MANUAL]","",IFERROR(AVERAGEIFS(nNOTA,nNIA,M156,nCUENTA,1,nASIG,"Orquesta/Banda/Conjunto"),"")))</f>
        <v/>
      </c>
      <c r="P156" t="str">
        <f>IF(M156="","",IF(M156="[FÓRMULA MANUAL]","",IFERROR(AVERAGEIFS(nNOTA,nNIA,M156,nCUENTA,1,nASIG,"Música de Cámara"),"")))</f>
        <v/>
      </c>
      <c r="Q156" t="str">
        <f>IF(M156="","",IF(M156="[FÓRMULA MANUAL]","",IFERROR(SUMPRODUCT((nNIA=M156)*(nCUENTA=1)*(COUNTIF(CONFIG_ASIGNATURAS!$B$7:$B$27,nASIG)&gt;0)*(nNOTA))/SUMPRODUCT((nNIA=M156)*(nCUENTA=1)*(COUNTIF(CONFIG_ASIGNATURAS!$B$7:$B$27,nASIG)&gt;0)*1),"")))</f>
        <v/>
      </c>
      <c r="T156" t="str">
        <f>IF(S156="","",IF(S156="[FÓRMULA MANUAL]","",IFERROR(AVERAGEIFS(nNOTA,nNIA,S156,nCUENTA,1,nASIG,"Armonía"),"")))</f>
        <v/>
      </c>
      <c r="U156" t="str">
        <f>IF(S156="","",IF(S156="[FÓRMULA MANUAL]","",IFERROR(AVERAGEIFS(nNOTA,nNIA,S156,nCUENTA,1,nASIG,"Orquesta/Banda/Conjunto"),"")))</f>
        <v/>
      </c>
      <c r="V156" t="str">
        <f>IF(S156="","",IF(S156="[FÓRMULA MANUAL]","",IFERROR(AVERAGEIFS(nNOTA,nNIA,S156,nCUENTA,1,nASIG,"Música de Cámara"),"")))</f>
        <v/>
      </c>
      <c r="W156" t="str">
        <f>IF(S156="","",IF(S156="[FÓRMULA MANUAL]","",IFERROR(SUMPRODUCT((nNIA=S156)*(nCUENTA=1)*(COUNTIF(CONFIG_ASIGNATURAS!$B$7:$B$27,nASIG)&gt;0)*(nNOTA))/SUMPRODUCT((nNIA=S156)*(nCUENTA=1)*(COUNTIF(CONFIG_ASIGNATURAS!$B$7:$B$27,nASIG)&gt;0)*1),"")))</f>
        <v/>
      </c>
      <c r="Z156" t="str">
        <f>IF(Y156="","",IF(Y156="[FÓRMULA MANUAL]","",IFERROR(AVERAGEIFS(nNOTA,nNIA,Y156,nCUENTA,1,nASIG,"Análisis"),"")))</f>
        <v/>
      </c>
      <c r="AA156" t="str">
        <f>IF(Y156="","",IF(Y156="[FÓRMULA MANUAL]","",IFERROR(AVERAGEIFS(nNOTA,nNIA,Y156,nCUENTA,1,nASIG,"Orquesta/Banda/Conjunto"),"")))</f>
        <v/>
      </c>
      <c r="AB156" t="str">
        <f>IF(Y156="","",IF(Y156="[FÓRMULA MANUAL]","",IFERROR(AVERAGEIFS(nNOTA,nNIA,Y156,nCUENTA,1,nASIG,"Música de Cámara"),"")))</f>
        <v/>
      </c>
      <c r="AC156" t="str">
        <f>IF(Y156="","",IF(Y156="[FÓRMULA MANUAL]","",IFERROR(SUMPRODUCT((nNIA=Y156)*(nCUENTA=1)*(COUNTIF(CONFIG_ASIGNATURAS!$B$7:$B$27,nASIG)&gt;0)*(nNOTA))/SUMPRODUCT((nNIA=Y156)*(nCUENTA=1)*(COUNTIF(CONFIG_ASIGNATURAS!$B$7:$B$27,nASIG)&gt;0)*1),"")))</f>
        <v/>
      </c>
      <c r="AF156" t="str">
        <f>IF(AE156="","",IF(AE156="[FÓRMULA MANUAL]","",IFERROR(AVERAGEIFS(nNOTA,nNIA,AE156,nCUENTA,1,nASIG,"Análisis"),"")))</f>
        <v/>
      </c>
      <c r="AG156" t="str">
        <f>IF(AE156="","",IF(AE156="[FÓRMULA MANUAL]","",IFERROR(AVERAGEIFS(nNOTA,nNIA,AE156,nCUENTA,1,nASIG,"Orquesta/Banda/Conjunto"),"")))</f>
        <v/>
      </c>
      <c r="AH156" t="str">
        <f>IF(AE156="","",IF(AE156="[FÓRMULA MANUAL]","",IFERROR(AVERAGEIFS(nNOTA,nNIA,AE156,nCUENTA,1,nASIG,"Música de Cámara"),"")))</f>
        <v/>
      </c>
      <c r="AI156" t="str">
        <f>IF(AE156="","",IF(AE156="[FÓRMULA MANUAL]","",IFERROR(SUMPRODUCT((nNIA=AE156)*(nCUENTA=1)*(COUNTIF(CONFIG_ASIGNATURAS!$B$7:$B$27,nASIG)&gt;0)*(nNOTA))/SUMPRODUCT((nNIA=AE156)*(nCUENTA=1)*(COUNTIF(CONFIG_ASIGNATURAS!$B$7:$B$27,nASIG)&gt;0)*1),"")))</f>
        <v/>
      </c>
    </row>
    <row r="157" spans="2:35" x14ac:dyDescent="0.2">
      <c r="B157" t="str">
        <f>IF(A157="","",IF(A157="[FÓRMULA MANUAL]","",IFERROR(AVERAGEIFS(nNOTA,nNIA,A157,nCUENTA,1,nASIG,"Lenguaje Musical"),"")))</f>
        <v/>
      </c>
      <c r="C157" t="str">
        <f>IF(A157="","",IF(A157="[FÓRMULA MANUAL]","",IFERROR(AVERAGEIFS(nNOTA,nNIA,A157,nCUENTA,1,nASIG,"Orquesta/Banda/Conjunto"),"")))</f>
        <v/>
      </c>
      <c r="D157" t="str">
        <f>IF(A157="","",IF(A157="[FÓRMULA MANUAL]","",IFERROR(AVERAGEIFS(nNOTA,nNIA,A157,nCUENTA,1,nASIG,"Conjunto"),"")))</f>
        <v/>
      </c>
      <c r="E157" t="str">
        <f>IF(A157="","",IF(A157="[FÓRMULA MANUAL]","",IFERROR(SUMPRODUCT((nNIA=A157)*(nCUENTA=1)*(COUNTIF(CONFIG_ASIGNATURAS!$B$7:$B$27,nASIG)&gt;0)*(nNOTA))/SUMPRODUCT((nNIA=A157)*(nCUENTA=1)*(COUNTIF(CONFIG_ASIGNATURAS!$B$7:$B$27,nASIG)&gt;0)*1),"")))</f>
        <v/>
      </c>
      <c r="H157" t="str">
        <f>IF(G157="","",IF(G157="[FÓRMULA MANUAL]","",IFERROR(AVERAGEIFS(nNOTA,nNIA,G157,nCUENTA,1,nASIG,"Lenguaje Musical"),"")))</f>
        <v/>
      </c>
      <c r="I157" t="str">
        <f>IF(G157="","",IF(G157="[FÓRMULA MANUAL]","",IFERROR(AVERAGEIFS(nNOTA,nNIA,G157,nCUENTA,1,nASIG,"Orquesta/Banda/Conjunto"),"")))</f>
        <v/>
      </c>
      <c r="J157" t="str">
        <f>IF(G157="","",IF(G157="[FÓRMULA MANUAL]","",IFERROR(AVERAGEIFS(nNOTA,nNIA,G157,nCUENTA,1,nASIG,"Conjunto"),"")))</f>
        <v/>
      </c>
      <c r="K157" t="str">
        <f>IF(G157="","",IF(G157="[FÓRMULA MANUAL]","",IFERROR(SUMPRODUCT((nNIA=G157)*(nCUENTA=1)*(COUNTIF(CONFIG_ASIGNATURAS!$B$7:$B$27,nASIG)&gt;0)*(nNOTA))/SUMPRODUCT((nNIA=G157)*(nCUENTA=1)*(COUNTIF(CONFIG_ASIGNATURAS!$B$7:$B$27,nASIG)&gt;0)*1),"")))</f>
        <v/>
      </c>
      <c r="N157" t="str">
        <f>IF(M157="","",IF(M157="[FÓRMULA MANUAL]","",IFERROR(AVERAGEIFS(nNOTA,nNIA,M157,nCUENTA,1,nASIG,"Armonía"),"")))</f>
        <v/>
      </c>
      <c r="O157" t="str">
        <f>IF(M157="","",IF(M157="[FÓRMULA MANUAL]","",IFERROR(AVERAGEIFS(nNOTA,nNIA,M157,nCUENTA,1,nASIG,"Orquesta/Banda/Conjunto"),"")))</f>
        <v/>
      </c>
      <c r="P157" t="str">
        <f>IF(M157="","",IF(M157="[FÓRMULA MANUAL]","",IFERROR(AVERAGEIFS(nNOTA,nNIA,M157,nCUENTA,1,nASIG,"Música de Cámara"),"")))</f>
        <v/>
      </c>
      <c r="Q157" t="str">
        <f>IF(M157="","",IF(M157="[FÓRMULA MANUAL]","",IFERROR(SUMPRODUCT((nNIA=M157)*(nCUENTA=1)*(COUNTIF(CONFIG_ASIGNATURAS!$B$7:$B$27,nASIG)&gt;0)*(nNOTA))/SUMPRODUCT((nNIA=M157)*(nCUENTA=1)*(COUNTIF(CONFIG_ASIGNATURAS!$B$7:$B$27,nASIG)&gt;0)*1),"")))</f>
        <v/>
      </c>
      <c r="T157" t="str">
        <f>IF(S157="","",IF(S157="[FÓRMULA MANUAL]","",IFERROR(AVERAGEIFS(nNOTA,nNIA,S157,nCUENTA,1,nASIG,"Armonía"),"")))</f>
        <v/>
      </c>
      <c r="U157" t="str">
        <f>IF(S157="","",IF(S157="[FÓRMULA MANUAL]","",IFERROR(AVERAGEIFS(nNOTA,nNIA,S157,nCUENTA,1,nASIG,"Orquesta/Banda/Conjunto"),"")))</f>
        <v/>
      </c>
      <c r="V157" t="str">
        <f>IF(S157="","",IF(S157="[FÓRMULA MANUAL]","",IFERROR(AVERAGEIFS(nNOTA,nNIA,S157,nCUENTA,1,nASIG,"Música de Cámara"),"")))</f>
        <v/>
      </c>
      <c r="W157" t="str">
        <f>IF(S157="","",IF(S157="[FÓRMULA MANUAL]","",IFERROR(SUMPRODUCT((nNIA=S157)*(nCUENTA=1)*(COUNTIF(CONFIG_ASIGNATURAS!$B$7:$B$27,nASIG)&gt;0)*(nNOTA))/SUMPRODUCT((nNIA=S157)*(nCUENTA=1)*(COUNTIF(CONFIG_ASIGNATURAS!$B$7:$B$27,nASIG)&gt;0)*1),"")))</f>
        <v/>
      </c>
      <c r="Z157" t="str">
        <f>IF(Y157="","",IF(Y157="[FÓRMULA MANUAL]","",IFERROR(AVERAGEIFS(nNOTA,nNIA,Y157,nCUENTA,1,nASIG,"Análisis"),"")))</f>
        <v/>
      </c>
      <c r="AA157" t="str">
        <f>IF(Y157="","",IF(Y157="[FÓRMULA MANUAL]","",IFERROR(AVERAGEIFS(nNOTA,nNIA,Y157,nCUENTA,1,nASIG,"Orquesta/Banda/Conjunto"),"")))</f>
        <v/>
      </c>
      <c r="AB157" t="str">
        <f>IF(Y157="","",IF(Y157="[FÓRMULA MANUAL]","",IFERROR(AVERAGEIFS(nNOTA,nNIA,Y157,nCUENTA,1,nASIG,"Música de Cámara"),"")))</f>
        <v/>
      </c>
      <c r="AC157" t="str">
        <f>IF(Y157="","",IF(Y157="[FÓRMULA MANUAL]","",IFERROR(SUMPRODUCT((nNIA=Y157)*(nCUENTA=1)*(COUNTIF(CONFIG_ASIGNATURAS!$B$7:$B$27,nASIG)&gt;0)*(nNOTA))/SUMPRODUCT((nNIA=Y157)*(nCUENTA=1)*(COUNTIF(CONFIG_ASIGNATURAS!$B$7:$B$27,nASIG)&gt;0)*1),"")))</f>
        <v/>
      </c>
      <c r="AF157" t="str">
        <f>IF(AE157="","",IF(AE157="[FÓRMULA MANUAL]","",IFERROR(AVERAGEIFS(nNOTA,nNIA,AE157,nCUENTA,1,nASIG,"Análisis"),"")))</f>
        <v/>
      </c>
      <c r="AG157" t="str">
        <f>IF(AE157="","",IF(AE157="[FÓRMULA MANUAL]","",IFERROR(AVERAGEIFS(nNOTA,nNIA,AE157,nCUENTA,1,nASIG,"Orquesta/Banda/Conjunto"),"")))</f>
        <v/>
      </c>
      <c r="AH157" t="str">
        <f>IF(AE157="","",IF(AE157="[FÓRMULA MANUAL]","",IFERROR(AVERAGEIFS(nNOTA,nNIA,AE157,nCUENTA,1,nASIG,"Música de Cámara"),"")))</f>
        <v/>
      </c>
      <c r="AI157" t="str">
        <f>IF(AE157="","",IF(AE157="[FÓRMULA MANUAL]","",IFERROR(SUMPRODUCT((nNIA=AE157)*(nCUENTA=1)*(COUNTIF(CONFIG_ASIGNATURAS!$B$7:$B$27,nASIG)&gt;0)*(nNOTA))/SUMPRODUCT((nNIA=AE157)*(nCUENTA=1)*(COUNTIF(CONFIG_ASIGNATURAS!$B$7:$B$27,nASIG)&gt;0)*1),"")))</f>
        <v/>
      </c>
    </row>
    <row r="158" spans="2:35" x14ac:dyDescent="0.2">
      <c r="B158" t="str">
        <f>IF(A158="","",IF(A158="[FÓRMULA MANUAL]","",IFERROR(AVERAGEIFS(nNOTA,nNIA,A158,nCUENTA,1,nASIG,"Lenguaje Musical"),"")))</f>
        <v/>
      </c>
      <c r="C158" t="str">
        <f>IF(A158="","",IF(A158="[FÓRMULA MANUAL]","",IFERROR(AVERAGEIFS(nNOTA,nNIA,A158,nCUENTA,1,nASIG,"Orquesta/Banda/Conjunto"),"")))</f>
        <v/>
      </c>
      <c r="D158" t="str">
        <f>IF(A158="","",IF(A158="[FÓRMULA MANUAL]","",IFERROR(AVERAGEIFS(nNOTA,nNIA,A158,nCUENTA,1,nASIG,"Conjunto"),"")))</f>
        <v/>
      </c>
      <c r="E158" t="str">
        <f>IF(A158="","",IF(A158="[FÓRMULA MANUAL]","",IFERROR(SUMPRODUCT((nNIA=A158)*(nCUENTA=1)*(COUNTIF(CONFIG_ASIGNATURAS!$B$7:$B$27,nASIG)&gt;0)*(nNOTA))/SUMPRODUCT((nNIA=A158)*(nCUENTA=1)*(COUNTIF(CONFIG_ASIGNATURAS!$B$7:$B$27,nASIG)&gt;0)*1),"")))</f>
        <v/>
      </c>
      <c r="H158" t="str">
        <f>IF(G158="","",IF(G158="[FÓRMULA MANUAL]","",IFERROR(AVERAGEIFS(nNOTA,nNIA,G158,nCUENTA,1,nASIG,"Lenguaje Musical"),"")))</f>
        <v/>
      </c>
      <c r="I158" t="str">
        <f>IF(G158="","",IF(G158="[FÓRMULA MANUAL]","",IFERROR(AVERAGEIFS(nNOTA,nNIA,G158,nCUENTA,1,nASIG,"Orquesta/Banda/Conjunto"),"")))</f>
        <v/>
      </c>
      <c r="J158" t="str">
        <f>IF(G158="","",IF(G158="[FÓRMULA MANUAL]","",IFERROR(AVERAGEIFS(nNOTA,nNIA,G158,nCUENTA,1,nASIG,"Conjunto"),"")))</f>
        <v/>
      </c>
      <c r="K158" t="str">
        <f>IF(G158="","",IF(G158="[FÓRMULA MANUAL]","",IFERROR(SUMPRODUCT((nNIA=G158)*(nCUENTA=1)*(COUNTIF(CONFIG_ASIGNATURAS!$B$7:$B$27,nASIG)&gt;0)*(nNOTA))/SUMPRODUCT((nNIA=G158)*(nCUENTA=1)*(COUNTIF(CONFIG_ASIGNATURAS!$B$7:$B$27,nASIG)&gt;0)*1),"")))</f>
        <v/>
      </c>
      <c r="N158" t="str">
        <f>IF(M158="","",IF(M158="[FÓRMULA MANUAL]","",IFERROR(AVERAGEIFS(nNOTA,nNIA,M158,nCUENTA,1,nASIG,"Armonía"),"")))</f>
        <v/>
      </c>
      <c r="O158" t="str">
        <f>IF(M158="","",IF(M158="[FÓRMULA MANUAL]","",IFERROR(AVERAGEIFS(nNOTA,nNIA,M158,nCUENTA,1,nASIG,"Orquesta/Banda/Conjunto"),"")))</f>
        <v/>
      </c>
      <c r="P158" t="str">
        <f>IF(M158="","",IF(M158="[FÓRMULA MANUAL]","",IFERROR(AVERAGEIFS(nNOTA,nNIA,M158,nCUENTA,1,nASIG,"Música de Cámara"),"")))</f>
        <v/>
      </c>
      <c r="Q158" t="str">
        <f>IF(M158="","",IF(M158="[FÓRMULA MANUAL]","",IFERROR(SUMPRODUCT((nNIA=M158)*(nCUENTA=1)*(COUNTIF(CONFIG_ASIGNATURAS!$B$7:$B$27,nASIG)&gt;0)*(nNOTA))/SUMPRODUCT((nNIA=M158)*(nCUENTA=1)*(COUNTIF(CONFIG_ASIGNATURAS!$B$7:$B$27,nASIG)&gt;0)*1),"")))</f>
        <v/>
      </c>
      <c r="T158" t="str">
        <f>IF(S158="","",IF(S158="[FÓRMULA MANUAL]","",IFERROR(AVERAGEIFS(nNOTA,nNIA,S158,nCUENTA,1,nASIG,"Armonía"),"")))</f>
        <v/>
      </c>
      <c r="U158" t="str">
        <f>IF(S158="","",IF(S158="[FÓRMULA MANUAL]","",IFERROR(AVERAGEIFS(nNOTA,nNIA,S158,nCUENTA,1,nASIG,"Orquesta/Banda/Conjunto"),"")))</f>
        <v/>
      </c>
      <c r="V158" t="str">
        <f>IF(S158="","",IF(S158="[FÓRMULA MANUAL]","",IFERROR(AVERAGEIFS(nNOTA,nNIA,S158,nCUENTA,1,nASIG,"Música de Cámara"),"")))</f>
        <v/>
      </c>
      <c r="W158" t="str">
        <f>IF(S158="","",IF(S158="[FÓRMULA MANUAL]","",IFERROR(SUMPRODUCT((nNIA=S158)*(nCUENTA=1)*(COUNTIF(CONFIG_ASIGNATURAS!$B$7:$B$27,nASIG)&gt;0)*(nNOTA))/SUMPRODUCT((nNIA=S158)*(nCUENTA=1)*(COUNTIF(CONFIG_ASIGNATURAS!$B$7:$B$27,nASIG)&gt;0)*1),"")))</f>
        <v/>
      </c>
      <c r="Z158" t="str">
        <f>IF(Y158="","",IF(Y158="[FÓRMULA MANUAL]","",IFERROR(AVERAGEIFS(nNOTA,nNIA,Y158,nCUENTA,1,nASIG,"Análisis"),"")))</f>
        <v/>
      </c>
      <c r="AA158" t="str">
        <f>IF(Y158="","",IF(Y158="[FÓRMULA MANUAL]","",IFERROR(AVERAGEIFS(nNOTA,nNIA,Y158,nCUENTA,1,nASIG,"Orquesta/Banda/Conjunto"),"")))</f>
        <v/>
      </c>
      <c r="AB158" t="str">
        <f>IF(Y158="","",IF(Y158="[FÓRMULA MANUAL]","",IFERROR(AVERAGEIFS(nNOTA,nNIA,Y158,nCUENTA,1,nASIG,"Música de Cámara"),"")))</f>
        <v/>
      </c>
      <c r="AC158" t="str">
        <f>IF(Y158="","",IF(Y158="[FÓRMULA MANUAL]","",IFERROR(SUMPRODUCT((nNIA=Y158)*(nCUENTA=1)*(COUNTIF(CONFIG_ASIGNATURAS!$B$7:$B$27,nASIG)&gt;0)*(nNOTA))/SUMPRODUCT((nNIA=Y158)*(nCUENTA=1)*(COUNTIF(CONFIG_ASIGNATURAS!$B$7:$B$27,nASIG)&gt;0)*1),"")))</f>
        <v/>
      </c>
      <c r="AF158" t="str">
        <f>IF(AE158="","",IF(AE158="[FÓRMULA MANUAL]","",IFERROR(AVERAGEIFS(nNOTA,nNIA,AE158,nCUENTA,1,nASIG,"Análisis"),"")))</f>
        <v/>
      </c>
      <c r="AG158" t="str">
        <f>IF(AE158="","",IF(AE158="[FÓRMULA MANUAL]","",IFERROR(AVERAGEIFS(nNOTA,nNIA,AE158,nCUENTA,1,nASIG,"Orquesta/Banda/Conjunto"),"")))</f>
        <v/>
      </c>
      <c r="AH158" t="str">
        <f>IF(AE158="","",IF(AE158="[FÓRMULA MANUAL]","",IFERROR(AVERAGEIFS(nNOTA,nNIA,AE158,nCUENTA,1,nASIG,"Música de Cámara"),"")))</f>
        <v/>
      </c>
      <c r="AI158" t="str">
        <f>IF(AE158="","",IF(AE158="[FÓRMULA MANUAL]","",IFERROR(SUMPRODUCT((nNIA=AE158)*(nCUENTA=1)*(COUNTIF(CONFIG_ASIGNATURAS!$B$7:$B$27,nASIG)&gt;0)*(nNOTA))/SUMPRODUCT((nNIA=AE158)*(nCUENTA=1)*(COUNTIF(CONFIG_ASIGNATURAS!$B$7:$B$27,nASIG)&gt;0)*1),"")))</f>
        <v/>
      </c>
    </row>
    <row r="159" spans="2:35" x14ac:dyDescent="0.2">
      <c r="B159" t="str">
        <f>IF(A159="","",IF(A159="[FÓRMULA MANUAL]","",IFERROR(AVERAGEIFS(nNOTA,nNIA,A159,nCUENTA,1,nASIG,"Lenguaje Musical"),"")))</f>
        <v/>
      </c>
      <c r="C159" t="str">
        <f>IF(A159="","",IF(A159="[FÓRMULA MANUAL]","",IFERROR(AVERAGEIFS(nNOTA,nNIA,A159,nCUENTA,1,nASIG,"Orquesta/Banda/Conjunto"),"")))</f>
        <v/>
      </c>
      <c r="D159" t="str">
        <f>IF(A159="","",IF(A159="[FÓRMULA MANUAL]","",IFERROR(AVERAGEIFS(nNOTA,nNIA,A159,nCUENTA,1,nASIG,"Conjunto"),"")))</f>
        <v/>
      </c>
      <c r="E159" t="str">
        <f>IF(A159="","",IF(A159="[FÓRMULA MANUAL]","",IFERROR(SUMPRODUCT((nNIA=A159)*(nCUENTA=1)*(COUNTIF(CONFIG_ASIGNATURAS!$B$7:$B$27,nASIG)&gt;0)*(nNOTA))/SUMPRODUCT((nNIA=A159)*(nCUENTA=1)*(COUNTIF(CONFIG_ASIGNATURAS!$B$7:$B$27,nASIG)&gt;0)*1),"")))</f>
        <v/>
      </c>
      <c r="H159" t="str">
        <f>IF(G159="","",IF(G159="[FÓRMULA MANUAL]","",IFERROR(AVERAGEIFS(nNOTA,nNIA,G159,nCUENTA,1,nASIG,"Lenguaje Musical"),"")))</f>
        <v/>
      </c>
      <c r="I159" t="str">
        <f>IF(G159="","",IF(G159="[FÓRMULA MANUAL]","",IFERROR(AVERAGEIFS(nNOTA,nNIA,G159,nCUENTA,1,nASIG,"Orquesta/Banda/Conjunto"),"")))</f>
        <v/>
      </c>
      <c r="J159" t="str">
        <f>IF(G159="","",IF(G159="[FÓRMULA MANUAL]","",IFERROR(AVERAGEIFS(nNOTA,nNIA,G159,nCUENTA,1,nASIG,"Conjunto"),"")))</f>
        <v/>
      </c>
      <c r="K159" t="str">
        <f>IF(G159="","",IF(G159="[FÓRMULA MANUAL]","",IFERROR(SUMPRODUCT((nNIA=G159)*(nCUENTA=1)*(COUNTIF(CONFIG_ASIGNATURAS!$B$7:$B$27,nASIG)&gt;0)*(nNOTA))/SUMPRODUCT((nNIA=G159)*(nCUENTA=1)*(COUNTIF(CONFIG_ASIGNATURAS!$B$7:$B$27,nASIG)&gt;0)*1),"")))</f>
        <v/>
      </c>
      <c r="N159" t="str">
        <f>IF(M159="","",IF(M159="[FÓRMULA MANUAL]","",IFERROR(AVERAGEIFS(nNOTA,nNIA,M159,nCUENTA,1,nASIG,"Armonía"),"")))</f>
        <v/>
      </c>
      <c r="O159" t="str">
        <f>IF(M159="","",IF(M159="[FÓRMULA MANUAL]","",IFERROR(AVERAGEIFS(nNOTA,nNIA,M159,nCUENTA,1,nASIG,"Orquesta/Banda/Conjunto"),"")))</f>
        <v/>
      </c>
      <c r="P159" t="str">
        <f>IF(M159="","",IF(M159="[FÓRMULA MANUAL]","",IFERROR(AVERAGEIFS(nNOTA,nNIA,M159,nCUENTA,1,nASIG,"Música de Cámara"),"")))</f>
        <v/>
      </c>
      <c r="Q159" t="str">
        <f>IF(M159="","",IF(M159="[FÓRMULA MANUAL]","",IFERROR(SUMPRODUCT((nNIA=M159)*(nCUENTA=1)*(COUNTIF(CONFIG_ASIGNATURAS!$B$7:$B$27,nASIG)&gt;0)*(nNOTA))/SUMPRODUCT((nNIA=M159)*(nCUENTA=1)*(COUNTIF(CONFIG_ASIGNATURAS!$B$7:$B$27,nASIG)&gt;0)*1),"")))</f>
        <v/>
      </c>
      <c r="T159" t="str">
        <f>IF(S159="","",IF(S159="[FÓRMULA MANUAL]","",IFERROR(AVERAGEIFS(nNOTA,nNIA,S159,nCUENTA,1,nASIG,"Armonía"),"")))</f>
        <v/>
      </c>
      <c r="U159" t="str">
        <f>IF(S159="","",IF(S159="[FÓRMULA MANUAL]","",IFERROR(AVERAGEIFS(nNOTA,nNIA,S159,nCUENTA,1,nASIG,"Orquesta/Banda/Conjunto"),"")))</f>
        <v/>
      </c>
      <c r="V159" t="str">
        <f>IF(S159="","",IF(S159="[FÓRMULA MANUAL]","",IFERROR(AVERAGEIFS(nNOTA,nNIA,S159,nCUENTA,1,nASIG,"Música de Cámara"),"")))</f>
        <v/>
      </c>
      <c r="W159" t="str">
        <f>IF(S159="","",IF(S159="[FÓRMULA MANUAL]","",IFERROR(SUMPRODUCT((nNIA=S159)*(nCUENTA=1)*(COUNTIF(CONFIG_ASIGNATURAS!$B$7:$B$27,nASIG)&gt;0)*(nNOTA))/SUMPRODUCT((nNIA=S159)*(nCUENTA=1)*(COUNTIF(CONFIG_ASIGNATURAS!$B$7:$B$27,nASIG)&gt;0)*1),"")))</f>
        <v/>
      </c>
      <c r="Z159" t="str">
        <f>IF(Y159="","",IF(Y159="[FÓRMULA MANUAL]","",IFERROR(AVERAGEIFS(nNOTA,nNIA,Y159,nCUENTA,1,nASIG,"Análisis"),"")))</f>
        <v/>
      </c>
      <c r="AA159" t="str">
        <f>IF(Y159="","",IF(Y159="[FÓRMULA MANUAL]","",IFERROR(AVERAGEIFS(nNOTA,nNIA,Y159,nCUENTA,1,nASIG,"Orquesta/Banda/Conjunto"),"")))</f>
        <v/>
      </c>
      <c r="AB159" t="str">
        <f>IF(Y159="","",IF(Y159="[FÓRMULA MANUAL]","",IFERROR(AVERAGEIFS(nNOTA,nNIA,Y159,nCUENTA,1,nASIG,"Música de Cámara"),"")))</f>
        <v/>
      </c>
      <c r="AC159" t="str">
        <f>IF(Y159="","",IF(Y159="[FÓRMULA MANUAL]","",IFERROR(SUMPRODUCT((nNIA=Y159)*(nCUENTA=1)*(COUNTIF(CONFIG_ASIGNATURAS!$B$7:$B$27,nASIG)&gt;0)*(nNOTA))/SUMPRODUCT((nNIA=Y159)*(nCUENTA=1)*(COUNTIF(CONFIG_ASIGNATURAS!$B$7:$B$27,nASIG)&gt;0)*1),"")))</f>
        <v/>
      </c>
      <c r="AF159" t="str">
        <f>IF(AE159="","",IF(AE159="[FÓRMULA MANUAL]","",IFERROR(AVERAGEIFS(nNOTA,nNIA,AE159,nCUENTA,1,nASIG,"Análisis"),"")))</f>
        <v/>
      </c>
      <c r="AG159" t="str">
        <f>IF(AE159="","",IF(AE159="[FÓRMULA MANUAL]","",IFERROR(AVERAGEIFS(nNOTA,nNIA,AE159,nCUENTA,1,nASIG,"Orquesta/Banda/Conjunto"),"")))</f>
        <v/>
      </c>
      <c r="AH159" t="str">
        <f>IF(AE159="","",IF(AE159="[FÓRMULA MANUAL]","",IFERROR(AVERAGEIFS(nNOTA,nNIA,AE159,nCUENTA,1,nASIG,"Música de Cámara"),"")))</f>
        <v/>
      </c>
      <c r="AI159" t="str">
        <f>IF(AE159="","",IF(AE159="[FÓRMULA MANUAL]","",IFERROR(SUMPRODUCT((nNIA=AE159)*(nCUENTA=1)*(COUNTIF(CONFIG_ASIGNATURAS!$B$7:$B$27,nASIG)&gt;0)*(nNOTA))/SUMPRODUCT((nNIA=AE159)*(nCUENTA=1)*(COUNTIF(CONFIG_ASIGNATURAS!$B$7:$B$27,nASIG)&gt;0)*1),"")))</f>
        <v/>
      </c>
    </row>
    <row r="160" spans="2:35" x14ac:dyDescent="0.2">
      <c r="B160" t="str">
        <f>IF(A160="","",IF(A160="[FÓRMULA MANUAL]","",IFERROR(AVERAGEIFS(nNOTA,nNIA,A160,nCUENTA,1,nASIG,"Lenguaje Musical"),"")))</f>
        <v/>
      </c>
      <c r="C160" t="str">
        <f>IF(A160="","",IF(A160="[FÓRMULA MANUAL]","",IFERROR(AVERAGEIFS(nNOTA,nNIA,A160,nCUENTA,1,nASIG,"Orquesta/Banda/Conjunto"),"")))</f>
        <v/>
      </c>
      <c r="D160" t="str">
        <f>IF(A160="","",IF(A160="[FÓRMULA MANUAL]","",IFERROR(AVERAGEIFS(nNOTA,nNIA,A160,nCUENTA,1,nASIG,"Conjunto"),"")))</f>
        <v/>
      </c>
      <c r="E160" t="str">
        <f>IF(A160="","",IF(A160="[FÓRMULA MANUAL]","",IFERROR(SUMPRODUCT((nNIA=A160)*(nCUENTA=1)*(COUNTIF(CONFIG_ASIGNATURAS!$B$7:$B$27,nASIG)&gt;0)*(nNOTA))/SUMPRODUCT((nNIA=A160)*(nCUENTA=1)*(COUNTIF(CONFIG_ASIGNATURAS!$B$7:$B$27,nASIG)&gt;0)*1),"")))</f>
        <v/>
      </c>
      <c r="H160" t="str">
        <f>IF(G160="","",IF(G160="[FÓRMULA MANUAL]","",IFERROR(AVERAGEIFS(nNOTA,nNIA,G160,nCUENTA,1,nASIG,"Lenguaje Musical"),"")))</f>
        <v/>
      </c>
      <c r="I160" t="str">
        <f>IF(G160="","",IF(G160="[FÓRMULA MANUAL]","",IFERROR(AVERAGEIFS(nNOTA,nNIA,G160,nCUENTA,1,nASIG,"Orquesta/Banda/Conjunto"),"")))</f>
        <v/>
      </c>
      <c r="J160" t="str">
        <f>IF(G160="","",IF(G160="[FÓRMULA MANUAL]","",IFERROR(AVERAGEIFS(nNOTA,nNIA,G160,nCUENTA,1,nASIG,"Conjunto"),"")))</f>
        <v/>
      </c>
      <c r="K160" t="str">
        <f>IF(G160="","",IF(G160="[FÓRMULA MANUAL]","",IFERROR(SUMPRODUCT((nNIA=G160)*(nCUENTA=1)*(COUNTIF(CONFIG_ASIGNATURAS!$B$7:$B$27,nASIG)&gt;0)*(nNOTA))/SUMPRODUCT((nNIA=G160)*(nCUENTA=1)*(COUNTIF(CONFIG_ASIGNATURAS!$B$7:$B$27,nASIG)&gt;0)*1),"")))</f>
        <v/>
      </c>
      <c r="N160" t="str">
        <f>IF(M160="","",IF(M160="[FÓRMULA MANUAL]","",IFERROR(AVERAGEIFS(nNOTA,nNIA,M160,nCUENTA,1,nASIG,"Armonía"),"")))</f>
        <v/>
      </c>
      <c r="O160" t="str">
        <f>IF(M160="","",IF(M160="[FÓRMULA MANUAL]","",IFERROR(AVERAGEIFS(nNOTA,nNIA,M160,nCUENTA,1,nASIG,"Orquesta/Banda/Conjunto"),"")))</f>
        <v/>
      </c>
      <c r="P160" t="str">
        <f>IF(M160="","",IF(M160="[FÓRMULA MANUAL]","",IFERROR(AVERAGEIFS(nNOTA,nNIA,M160,nCUENTA,1,nASIG,"Música de Cámara"),"")))</f>
        <v/>
      </c>
      <c r="Q160" t="str">
        <f>IF(M160="","",IF(M160="[FÓRMULA MANUAL]","",IFERROR(SUMPRODUCT((nNIA=M160)*(nCUENTA=1)*(COUNTIF(CONFIG_ASIGNATURAS!$B$7:$B$27,nASIG)&gt;0)*(nNOTA))/SUMPRODUCT((nNIA=M160)*(nCUENTA=1)*(COUNTIF(CONFIG_ASIGNATURAS!$B$7:$B$27,nASIG)&gt;0)*1),"")))</f>
        <v/>
      </c>
      <c r="T160" t="str">
        <f>IF(S160="","",IF(S160="[FÓRMULA MANUAL]","",IFERROR(AVERAGEIFS(nNOTA,nNIA,S160,nCUENTA,1,nASIG,"Armonía"),"")))</f>
        <v/>
      </c>
      <c r="U160" t="str">
        <f>IF(S160="","",IF(S160="[FÓRMULA MANUAL]","",IFERROR(AVERAGEIFS(nNOTA,nNIA,S160,nCUENTA,1,nASIG,"Orquesta/Banda/Conjunto"),"")))</f>
        <v/>
      </c>
      <c r="V160" t="str">
        <f>IF(S160="","",IF(S160="[FÓRMULA MANUAL]","",IFERROR(AVERAGEIFS(nNOTA,nNIA,S160,nCUENTA,1,nASIG,"Música de Cámara"),"")))</f>
        <v/>
      </c>
      <c r="W160" t="str">
        <f>IF(S160="","",IF(S160="[FÓRMULA MANUAL]","",IFERROR(SUMPRODUCT((nNIA=S160)*(nCUENTA=1)*(COUNTIF(CONFIG_ASIGNATURAS!$B$7:$B$27,nASIG)&gt;0)*(nNOTA))/SUMPRODUCT((nNIA=S160)*(nCUENTA=1)*(COUNTIF(CONFIG_ASIGNATURAS!$B$7:$B$27,nASIG)&gt;0)*1),"")))</f>
        <v/>
      </c>
      <c r="Z160" t="str">
        <f>IF(Y160="","",IF(Y160="[FÓRMULA MANUAL]","",IFERROR(AVERAGEIFS(nNOTA,nNIA,Y160,nCUENTA,1,nASIG,"Análisis"),"")))</f>
        <v/>
      </c>
      <c r="AA160" t="str">
        <f>IF(Y160="","",IF(Y160="[FÓRMULA MANUAL]","",IFERROR(AVERAGEIFS(nNOTA,nNIA,Y160,nCUENTA,1,nASIG,"Orquesta/Banda/Conjunto"),"")))</f>
        <v/>
      </c>
      <c r="AB160" t="str">
        <f>IF(Y160="","",IF(Y160="[FÓRMULA MANUAL]","",IFERROR(AVERAGEIFS(nNOTA,nNIA,Y160,nCUENTA,1,nASIG,"Música de Cámara"),"")))</f>
        <v/>
      </c>
      <c r="AC160" t="str">
        <f>IF(Y160="","",IF(Y160="[FÓRMULA MANUAL]","",IFERROR(SUMPRODUCT((nNIA=Y160)*(nCUENTA=1)*(COUNTIF(CONFIG_ASIGNATURAS!$B$7:$B$27,nASIG)&gt;0)*(nNOTA))/SUMPRODUCT((nNIA=Y160)*(nCUENTA=1)*(COUNTIF(CONFIG_ASIGNATURAS!$B$7:$B$27,nASIG)&gt;0)*1),"")))</f>
        <v/>
      </c>
      <c r="AF160" t="str">
        <f>IF(AE160="","",IF(AE160="[FÓRMULA MANUAL]","",IFERROR(AVERAGEIFS(nNOTA,nNIA,AE160,nCUENTA,1,nASIG,"Análisis"),"")))</f>
        <v/>
      </c>
      <c r="AG160" t="str">
        <f>IF(AE160="","",IF(AE160="[FÓRMULA MANUAL]","",IFERROR(AVERAGEIFS(nNOTA,nNIA,AE160,nCUENTA,1,nASIG,"Orquesta/Banda/Conjunto"),"")))</f>
        <v/>
      </c>
      <c r="AH160" t="str">
        <f>IF(AE160="","",IF(AE160="[FÓRMULA MANUAL]","",IFERROR(AVERAGEIFS(nNOTA,nNIA,AE160,nCUENTA,1,nASIG,"Música de Cámara"),"")))</f>
        <v/>
      </c>
      <c r="AI160" t="str">
        <f>IF(AE160="","",IF(AE160="[FÓRMULA MANUAL]","",IFERROR(SUMPRODUCT((nNIA=AE160)*(nCUENTA=1)*(COUNTIF(CONFIG_ASIGNATURAS!$B$7:$B$27,nASIG)&gt;0)*(nNOTA))/SUMPRODUCT((nNIA=AE160)*(nCUENTA=1)*(COUNTIF(CONFIG_ASIGNATURAS!$B$7:$B$27,nASIG)&gt;0)*1),"")))</f>
        <v/>
      </c>
    </row>
    <row r="161" spans="2:35" x14ac:dyDescent="0.2">
      <c r="B161" t="str">
        <f>IF(A161="","",IF(A161="[FÓRMULA MANUAL]","",IFERROR(AVERAGEIFS(nNOTA,nNIA,A161,nCUENTA,1,nASIG,"Lenguaje Musical"),"")))</f>
        <v/>
      </c>
      <c r="C161" t="str">
        <f>IF(A161="","",IF(A161="[FÓRMULA MANUAL]","",IFERROR(AVERAGEIFS(nNOTA,nNIA,A161,nCUENTA,1,nASIG,"Orquesta/Banda/Conjunto"),"")))</f>
        <v/>
      </c>
      <c r="D161" t="str">
        <f>IF(A161="","",IF(A161="[FÓRMULA MANUAL]","",IFERROR(AVERAGEIFS(nNOTA,nNIA,A161,nCUENTA,1,nASIG,"Conjunto"),"")))</f>
        <v/>
      </c>
      <c r="E161" t="str">
        <f>IF(A161="","",IF(A161="[FÓRMULA MANUAL]","",IFERROR(SUMPRODUCT((nNIA=A161)*(nCUENTA=1)*(COUNTIF(CONFIG_ASIGNATURAS!$B$7:$B$27,nASIG)&gt;0)*(nNOTA))/SUMPRODUCT((nNIA=A161)*(nCUENTA=1)*(COUNTIF(CONFIG_ASIGNATURAS!$B$7:$B$27,nASIG)&gt;0)*1),"")))</f>
        <v/>
      </c>
      <c r="H161" t="str">
        <f>IF(G161="","",IF(G161="[FÓRMULA MANUAL]","",IFERROR(AVERAGEIFS(nNOTA,nNIA,G161,nCUENTA,1,nASIG,"Lenguaje Musical"),"")))</f>
        <v/>
      </c>
      <c r="I161" t="str">
        <f>IF(G161="","",IF(G161="[FÓRMULA MANUAL]","",IFERROR(AVERAGEIFS(nNOTA,nNIA,G161,nCUENTA,1,nASIG,"Orquesta/Banda/Conjunto"),"")))</f>
        <v/>
      </c>
      <c r="J161" t="str">
        <f>IF(G161="","",IF(G161="[FÓRMULA MANUAL]","",IFERROR(AVERAGEIFS(nNOTA,nNIA,G161,nCUENTA,1,nASIG,"Conjunto"),"")))</f>
        <v/>
      </c>
      <c r="K161" t="str">
        <f>IF(G161="","",IF(G161="[FÓRMULA MANUAL]","",IFERROR(SUMPRODUCT((nNIA=G161)*(nCUENTA=1)*(COUNTIF(CONFIG_ASIGNATURAS!$B$7:$B$27,nASIG)&gt;0)*(nNOTA))/SUMPRODUCT((nNIA=G161)*(nCUENTA=1)*(COUNTIF(CONFIG_ASIGNATURAS!$B$7:$B$27,nASIG)&gt;0)*1),"")))</f>
        <v/>
      </c>
      <c r="N161" t="str">
        <f>IF(M161="","",IF(M161="[FÓRMULA MANUAL]","",IFERROR(AVERAGEIFS(nNOTA,nNIA,M161,nCUENTA,1,nASIG,"Armonía"),"")))</f>
        <v/>
      </c>
      <c r="O161" t="str">
        <f>IF(M161="","",IF(M161="[FÓRMULA MANUAL]","",IFERROR(AVERAGEIFS(nNOTA,nNIA,M161,nCUENTA,1,nASIG,"Orquesta/Banda/Conjunto"),"")))</f>
        <v/>
      </c>
      <c r="P161" t="str">
        <f>IF(M161="","",IF(M161="[FÓRMULA MANUAL]","",IFERROR(AVERAGEIFS(nNOTA,nNIA,M161,nCUENTA,1,nASIG,"Música de Cámara"),"")))</f>
        <v/>
      </c>
      <c r="Q161" t="str">
        <f>IF(M161="","",IF(M161="[FÓRMULA MANUAL]","",IFERROR(SUMPRODUCT((nNIA=M161)*(nCUENTA=1)*(COUNTIF(CONFIG_ASIGNATURAS!$B$7:$B$27,nASIG)&gt;0)*(nNOTA))/SUMPRODUCT((nNIA=M161)*(nCUENTA=1)*(COUNTIF(CONFIG_ASIGNATURAS!$B$7:$B$27,nASIG)&gt;0)*1),"")))</f>
        <v/>
      </c>
      <c r="T161" t="str">
        <f>IF(S161="","",IF(S161="[FÓRMULA MANUAL]","",IFERROR(AVERAGEIFS(nNOTA,nNIA,S161,nCUENTA,1,nASIG,"Armonía"),"")))</f>
        <v/>
      </c>
      <c r="U161" t="str">
        <f>IF(S161="","",IF(S161="[FÓRMULA MANUAL]","",IFERROR(AVERAGEIFS(nNOTA,nNIA,S161,nCUENTA,1,nASIG,"Orquesta/Banda/Conjunto"),"")))</f>
        <v/>
      </c>
      <c r="V161" t="str">
        <f>IF(S161="","",IF(S161="[FÓRMULA MANUAL]","",IFERROR(AVERAGEIFS(nNOTA,nNIA,S161,nCUENTA,1,nASIG,"Música de Cámara"),"")))</f>
        <v/>
      </c>
      <c r="W161" t="str">
        <f>IF(S161="","",IF(S161="[FÓRMULA MANUAL]","",IFERROR(SUMPRODUCT((nNIA=S161)*(nCUENTA=1)*(COUNTIF(CONFIG_ASIGNATURAS!$B$7:$B$27,nASIG)&gt;0)*(nNOTA))/SUMPRODUCT((nNIA=S161)*(nCUENTA=1)*(COUNTIF(CONFIG_ASIGNATURAS!$B$7:$B$27,nASIG)&gt;0)*1),"")))</f>
        <v/>
      </c>
      <c r="Z161" t="str">
        <f>IF(Y161="","",IF(Y161="[FÓRMULA MANUAL]","",IFERROR(AVERAGEIFS(nNOTA,nNIA,Y161,nCUENTA,1,nASIG,"Análisis"),"")))</f>
        <v/>
      </c>
      <c r="AA161" t="str">
        <f>IF(Y161="","",IF(Y161="[FÓRMULA MANUAL]","",IFERROR(AVERAGEIFS(nNOTA,nNIA,Y161,nCUENTA,1,nASIG,"Orquesta/Banda/Conjunto"),"")))</f>
        <v/>
      </c>
      <c r="AB161" t="str">
        <f>IF(Y161="","",IF(Y161="[FÓRMULA MANUAL]","",IFERROR(AVERAGEIFS(nNOTA,nNIA,Y161,nCUENTA,1,nASIG,"Música de Cámara"),"")))</f>
        <v/>
      </c>
      <c r="AC161" t="str">
        <f>IF(Y161="","",IF(Y161="[FÓRMULA MANUAL]","",IFERROR(SUMPRODUCT((nNIA=Y161)*(nCUENTA=1)*(COUNTIF(CONFIG_ASIGNATURAS!$B$7:$B$27,nASIG)&gt;0)*(nNOTA))/SUMPRODUCT((nNIA=Y161)*(nCUENTA=1)*(COUNTIF(CONFIG_ASIGNATURAS!$B$7:$B$27,nASIG)&gt;0)*1),"")))</f>
        <v/>
      </c>
      <c r="AF161" t="str">
        <f>IF(AE161="","",IF(AE161="[FÓRMULA MANUAL]","",IFERROR(AVERAGEIFS(nNOTA,nNIA,AE161,nCUENTA,1,nASIG,"Análisis"),"")))</f>
        <v/>
      </c>
      <c r="AG161" t="str">
        <f>IF(AE161="","",IF(AE161="[FÓRMULA MANUAL]","",IFERROR(AVERAGEIFS(nNOTA,nNIA,AE161,nCUENTA,1,nASIG,"Orquesta/Banda/Conjunto"),"")))</f>
        <v/>
      </c>
      <c r="AH161" t="str">
        <f>IF(AE161="","",IF(AE161="[FÓRMULA MANUAL]","",IFERROR(AVERAGEIFS(nNOTA,nNIA,AE161,nCUENTA,1,nASIG,"Música de Cámara"),"")))</f>
        <v/>
      </c>
      <c r="AI161" t="str">
        <f>IF(AE161="","",IF(AE161="[FÓRMULA MANUAL]","",IFERROR(SUMPRODUCT((nNIA=AE161)*(nCUENTA=1)*(COUNTIF(CONFIG_ASIGNATURAS!$B$7:$B$27,nASIG)&gt;0)*(nNOTA))/SUMPRODUCT((nNIA=AE161)*(nCUENTA=1)*(COUNTIF(CONFIG_ASIGNATURAS!$B$7:$B$27,nASIG)&gt;0)*1),"")))</f>
        <v/>
      </c>
    </row>
    <row r="162" spans="2:35" x14ac:dyDescent="0.2">
      <c r="B162" t="str">
        <f>IF(A162="","",IF(A162="[FÓRMULA MANUAL]","",IFERROR(AVERAGEIFS(nNOTA,nNIA,A162,nCUENTA,1,nASIG,"Lenguaje Musical"),"")))</f>
        <v/>
      </c>
      <c r="C162" t="str">
        <f>IF(A162="","",IF(A162="[FÓRMULA MANUAL]","",IFERROR(AVERAGEIFS(nNOTA,nNIA,A162,nCUENTA,1,nASIG,"Orquesta/Banda/Conjunto"),"")))</f>
        <v/>
      </c>
      <c r="D162" t="str">
        <f>IF(A162="","",IF(A162="[FÓRMULA MANUAL]","",IFERROR(AVERAGEIFS(nNOTA,nNIA,A162,nCUENTA,1,nASIG,"Conjunto"),"")))</f>
        <v/>
      </c>
      <c r="E162" t="str">
        <f>IF(A162="","",IF(A162="[FÓRMULA MANUAL]","",IFERROR(SUMPRODUCT((nNIA=A162)*(nCUENTA=1)*(COUNTIF(CONFIG_ASIGNATURAS!$B$7:$B$27,nASIG)&gt;0)*(nNOTA))/SUMPRODUCT((nNIA=A162)*(nCUENTA=1)*(COUNTIF(CONFIG_ASIGNATURAS!$B$7:$B$27,nASIG)&gt;0)*1),"")))</f>
        <v/>
      </c>
      <c r="H162" t="str">
        <f>IF(G162="","",IF(G162="[FÓRMULA MANUAL]","",IFERROR(AVERAGEIFS(nNOTA,nNIA,G162,nCUENTA,1,nASIG,"Lenguaje Musical"),"")))</f>
        <v/>
      </c>
      <c r="I162" t="str">
        <f>IF(G162="","",IF(G162="[FÓRMULA MANUAL]","",IFERROR(AVERAGEIFS(nNOTA,nNIA,G162,nCUENTA,1,nASIG,"Orquesta/Banda/Conjunto"),"")))</f>
        <v/>
      </c>
      <c r="J162" t="str">
        <f>IF(G162="","",IF(G162="[FÓRMULA MANUAL]","",IFERROR(AVERAGEIFS(nNOTA,nNIA,G162,nCUENTA,1,nASIG,"Conjunto"),"")))</f>
        <v/>
      </c>
      <c r="K162" t="str">
        <f>IF(G162="","",IF(G162="[FÓRMULA MANUAL]","",IFERROR(SUMPRODUCT((nNIA=G162)*(nCUENTA=1)*(COUNTIF(CONFIG_ASIGNATURAS!$B$7:$B$27,nASIG)&gt;0)*(nNOTA))/SUMPRODUCT((nNIA=G162)*(nCUENTA=1)*(COUNTIF(CONFIG_ASIGNATURAS!$B$7:$B$27,nASIG)&gt;0)*1),"")))</f>
        <v/>
      </c>
      <c r="N162" t="str">
        <f>IF(M162="","",IF(M162="[FÓRMULA MANUAL]","",IFERROR(AVERAGEIFS(nNOTA,nNIA,M162,nCUENTA,1,nASIG,"Armonía"),"")))</f>
        <v/>
      </c>
      <c r="O162" t="str">
        <f>IF(M162="","",IF(M162="[FÓRMULA MANUAL]","",IFERROR(AVERAGEIFS(nNOTA,nNIA,M162,nCUENTA,1,nASIG,"Orquesta/Banda/Conjunto"),"")))</f>
        <v/>
      </c>
      <c r="P162" t="str">
        <f>IF(M162="","",IF(M162="[FÓRMULA MANUAL]","",IFERROR(AVERAGEIFS(nNOTA,nNIA,M162,nCUENTA,1,nASIG,"Música de Cámara"),"")))</f>
        <v/>
      </c>
      <c r="Q162" t="str">
        <f>IF(M162="","",IF(M162="[FÓRMULA MANUAL]","",IFERROR(SUMPRODUCT((nNIA=M162)*(nCUENTA=1)*(COUNTIF(CONFIG_ASIGNATURAS!$B$7:$B$27,nASIG)&gt;0)*(nNOTA))/SUMPRODUCT((nNIA=M162)*(nCUENTA=1)*(COUNTIF(CONFIG_ASIGNATURAS!$B$7:$B$27,nASIG)&gt;0)*1),"")))</f>
        <v/>
      </c>
      <c r="T162" t="str">
        <f>IF(S162="","",IF(S162="[FÓRMULA MANUAL]","",IFERROR(AVERAGEIFS(nNOTA,nNIA,S162,nCUENTA,1,nASIG,"Armonía"),"")))</f>
        <v/>
      </c>
      <c r="U162" t="str">
        <f>IF(S162="","",IF(S162="[FÓRMULA MANUAL]","",IFERROR(AVERAGEIFS(nNOTA,nNIA,S162,nCUENTA,1,nASIG,"Orquesta/Banda/Conjunto"),"")))</f>
        <v/>
      </c>
      <c r="V162" t="str">
        <f>IF(S162="","",IF(S162="[FÓRMULA MANUAL]","",IFERROR(AVERAGEIFS(nNOTA,nNIA,S162,nCUENTA,1,nASIG,"Música de Cámara"),"")))</f>
        <v/>
      </c>
      <c r="W162" t="str">
        <f>IF(S162="","",IF(S162="[FÓRMULA MANUAL]","",IFERROR(SUMPRODUCT((nNIA=S162)*(nCUENTA=1)*(COUNTIF(CONFIG_ASIGNATURAS!$B$7:$B$27,nASIG)&gt;0)*(nNOTA))/SUMPRODUCT((nNIA=S162)*(nCUENTA=1)*(COUNTIF(CONFIG_ASIGNATURAS!$B$7:$B$27,nASIG)&gt;0)*1),"")))</f>
        <v/>
      </c>
      <c r="Z162" t="str">
        <f>IF(Y162="","",IF(Y162="[FÓRMULA MANUAL]","",IFERROR(AVERAGEIFS(nNOTA,nNIA,Y162,nCUENTA,1,nASIG,"Análisis"),"")))</f>
        <v/>
      </c>
      <c r="AA162" t="str">
        <f>IF(Y162="","",IF(Y162="[FÓRMULA MANUAL]","",IFERROR(AVERAGEIFS(nNOTA,nNIA,Y162,nCUENTA,1,nASIG,"Orquesta/Banda/Conjunto"),"")))</f>
        <v/>
      </c>
      <c r="AB162" t="str">
        <f>IF(Y162="","",IF(Y162="[FÓRMULA MANUAL]","",IFERROR(AVERAGEIFS(nNOTA,nNIA,Y162,nCUENTA,1,nASIG,"Música de Cámara"),"")))</f>
        <v/>
      </c>
      <c r="AC162" t="str">
        <f>IF(Y162="","",IF(Y162="[FÓRMULA MANUAL]","",IFERROR(SUMPRODUCT((nNIA=Y162)*(nCUENTA=1)*(COUNTIF(CONFIG_ASIGNATURAS!$B$7:$B$27,nASIG)&gt;0)*(nNOTA))/SUMPRODUCT((nNIA=Y162)*(nCUENTA=1)*(COUNTIF(CONFIG_ASIGNATURAS!$B$7:$B$27,nASIG)&gt;0)*1),"")))</f>
        <v/>
      </c>
      <c r="AF162" t="str">
        <f>IF(AE162="","",IF(AE162="[FÓRMULA MANUAL]","",IFERROR(AVERAGEIFS(nNOTA,nNIA,AE162,nCUENTA,1,nASIG,"Análisis"),"")))</f>
        <v/>
      </c>
      <c r="AG162" t="str">
        <f>IF(AE162="","",IF(AE162="[FÓRMULA MANUAL]","",IFERROR(AVERAGEIFS(nNOTA,nNIA,AE162,nCUENTA,1,nASIG,"Orquesta/Banda/Conjunto"),"")))</f>
        <v/>
      </c>
      <c r="AH162" t="str">
        <f>IF(AE162="","",IF(AE162="[FÓRMULA MANUAL]","",IFERROR(AVERAGEIFS(nNOTA,nNIA,AE162,nCUENTA,1,nASIG,"Música de Cámara"),"")))</f>
        <v/>
      </c>
      <c r="AI162" t="str">
        <f>IF(AE162="","",IF(AE162="[FÓRMULA MANUAL]","",IFERROR(SUMPRODUCT((nNIA=AE162)*(nCUENTA=1)*(COUNTIF(CONFIG_ASIGNATURAS!$B$7:$B$27,nASIG)&gt;0)*(nNOTA))/SUMPRODUCT((nNIA=AE162)*(nCUENTA=1)*(COUNTIF(CONFIG_ASIGNATURAS!$B$7:$B$27,nASIG)&gt;0)*1),"")))</f>
        <v/>
      </c>
    </row>
    <row r="163" spans="2:35" x14ac:dyDescent="0.2">
      <c r="B163" t="str">
        <f>IF(A163="","",IF(A163="[FÓRMULA MANUAL]","",IFERROR(AVERAGEIFS(nNOTA,nNIA,A163,nCUENTA,1,nASIG,"Lenguaje Musical"),"")))</f>
        <v/>
      </c>
      <c r="C163" t="str">
        <f>IF(A163="","",IF(A163="[FÓRMULA MANUAL]","",IFERROR(AVERAGEIFS(nNOTA,nNIA,A163,nCUENTA,1,nASIG,"Orquesta/Banda/Conjunto"),"")))</f>
        <v/>
      </c>
      <c r="D163" t="str">
        <f>IF(A163="","",IF(A163="[FÓRMULA MANUAL]","",IFERROR(AVERAGEIFS(nNOTA,nNIA,A163,nCUENTA,1,nASIG,"Conjunto"),"")))</f>
        <v/>
      </c>
      <c r="E163" t="str">
        <f>IF(A163="","",IF(A163="[FÓRMULA MANUAL]","",IFERROR(SUMPRODUCT((nNIA=A163)*(nCUENTA=1)*(COUNTIF(CONFIG_ASIGNATURAS!$B$7:$B$27,nASIG)&gt;0)*(nNOTA))/SUMPRODUCT((nNIA=A163)*(nCUENTA=1)*(COUNTIF(CONFIG_ASIGNATURAS!$B$7:$B$27,nASIG)&gt;0)*1),"")))</f>
        <v/>
      </c>
      <c r="H163" t="str">
        <f>IF(G163="","",IF(G163="[FÓRMULA MANUAL]","",IFERROR(AVERAGEIFS(nNOTA,nNIA,G163,nCUENTA,1,nASIG,"Lenguaje Musical"),"")))</f>
        <v/>
      </c>
      <c r="I163" t="str">
        <f>IF(G163="","",IF(G163="[FÓRMULA MANUAL]","",IFERROR(AVERAGEIFS(nNOTA,nNIA,G163,nCUENTA,1,nASIG,"Orquesta/Banda/Conjunto"),"")))</f>
        <v/>
      </c>
      <c r="J163" t="str">
        <f>IF(G163="","",IF(G163="[FÓRMULA MANUAL]","",IFERROR(AVERAGEIFS(nNOTA,nNIA,G163,nCUENTA,1,nASIG,"Conjunto"),"")))</f>
        <v/>
      </c>
      <c r="K163" t="str">
        <f>IF(G163="","",IF(G163="[FÓRMULA MANUAL]","",IFERROR(SUMPRODUCT((nNIA=G163)*(nCUENTA=1)*(COUNTIF(CONFIG_ASIGNATURAS!$B$7:$B$27,nASIG)&gt;0)*(nNOTA))/SUMPRODUCT((nNIA=G163)*(nCUENTA=1)*(COUNTIF(CONFIG_ASIGNATURAS!$B$7:$B$27,nASIG)&gt;0)*1),"")))</f>
        <v/>
      </c>
      <c r="N163" t="str">
        <f>IF(M163="","",IF(M163="[FÓRMULA MANUAL]","",IFERROR(AVERAGEIFS(nNOTA,nNIA,M163,nCUENTA,1,nASIG,"Armonía"),"")))</f>
        <v/>
      </c>
      <c r="O163" t="str">
        <f>IF(M163="","",IF(M163="[FÓRMULA MANUAL]","",IFERROR(AVERAGEIFS(nNOTA,nNIA,M163,nCUENTA,1,nASIG,"Orquesta/Banda/Conjunto"),"")))</f>
        <v/>
      </c>
      <c r="P163" t="str">
        <f>IF(M163="","",IF(M163="[FÓRMULA MANUAL]","",IFERROR(AVERAGEIFS(nNOTA,nNIA,M163,nCUENTA,1,nASIG,"Música de Cámara"),"")))</f>
        <v/>
      </c>
      <c r="Q163" t="str">
        <f>IF(M163="","",IF(M163="[FÓRMULA MANUAL]","",IFERROR(SUMPRODUCT((nNIA=M163)*(nCUENTA=1)*(COUNTIF(CONFIG_ASIGNATURAS!$B$7:$B$27,nASIG)&gt;0)*(nNOTA))/SUMPRODUCT((nNIA=M163)*(nCUENTA=1)*(COUNTIF(CONFIG_ASIGNATURAS!$B$7:$B$27,nASIG)&gt;0)*1),"")))</f>
        <v/>
      </c>
      <c r="T163" t="str">
        <f>IF(S163="","",IF(S163="[FÓRMULA MANUAL]","",IFERROR(AVERAGEIFS(nNOTA,nNIA,S163,nCUENTA,1,nASIG,"Armonía"),"")))</f>
        <v/>
      </c>
      <c r="U163" t="str">
        <f>IF(S163="","",IF(S163="[FÓRMULA MANUAL]","",IFERROR(AVERAGEIFS(nNOTA,nNIA,S163,nCUENTA,1,nASIG,"Orquesta/Banda/Conjunto"),"")))</f>
        <v/>
      </c>
      <c r="V163" t="str">
        <f>IF(S163="","",IF(S163="[FÓRMULA MANUAL]","",IFERROR(AVERAGEIFS(nNOTA,nNIA,S163,nCUENTA,1,nASIG,"Música de Cámara"),"")))</f>
        <v/>
      </c>
      <c r="W163" t="str">
        <f>IF(S163="","",IF(S163="[FÓRMULA MANUAL]","",IFERROR(SUMPRODUCT((nNIA=S163)*(nCUENTA=1)*(COUNTIF(CONFIG_ASIGNATURAS!$B$7:$B$27,nASIG)&gt;0)*(nNOTA))/SUMPRODUCT((nNIA=S163)*(nCUENTA=1)*(COUNTIF(CONFIG_ASIGNATURAS!$B$7:$B$27,nASIG)&gt;0)*1),"")))</f>
        <v/>
      </c>
      <c r="Z163" t="str">
        <f>IF(Y163="","",IF(Y163="[FÓRMULA MANUAL]","",IFERROR(AVERAGEIFS(nNOTA,nNIA,Y163,nCUENTA,1,nASIG,"Análisis"),"")))</f>
        <v/>
      </c>
      <c r="AA163" t="str">
        <f>IF(Y163="","",IF(Y163="[FÓRMULA MANUAL]","",IFERROR(AVERAGEIFS(nNOTA,nNIA,Y163,nCUENTA,1,nASIG,"Orquesta/Banda/Conjunto"),"")))</f>
        <v/>
      </c>
      <c r="AB163" t="str">
        <f>IF(Y163="","",IF(Y163="[FÓRMULA MANUAL]","",IFERROR(AVERAGEIFS(nNOTA,nNIA,Y163,nCUENTA,1,nASIG,"Música de Cámara"),"")))</f>
        <v/>
      </c>
      <c r="AC163" t="str">
        <f>IF(Y163="","",IF(Y163="[FÓRMULA MANUAL]","",IFERROR(SUMPRODUCT((nNIA=Y163)*(nCUENTA=1)*(COUNTIF(CONFIG_ASIGNATURAS!$B$7:$B$27,nASIG)&gt;0)*(nNOTA))/SUMPRODUCT((nNIA=Y163)*(nCUENTA=1)*(COUNTIF(CONFIG_ASIGNATURAS!$B$7:$B$27,nASIG)&gt;0)*1),"")))</f>
        <v/>
      </c>
      <c r="AF163" t="str">
        <f>IF(AE163="","",IF(AE163="[FÓRMULA MANUAL]","",IFERROR(AVERAGEIFS(nNOTA,nNIA,AE163,nCUENTA,1,nASIG,"Análisis"),"")))</f>
        <v/>
      </c>
      <c r="AG163" t="str">
        <f>IF(AE163="","",IF(AE163="[FÓRMULA MANUAL]","",IFERROR(AVERAGEIFS(nNOTA,nNIA,AE163,nCUENTA,1,nASIG,"Orquesta/Banda/Conjunto"),"")))</f>
        <v/>
      </c>
      <c r="AH163" t="str">
        <f>IF(AE163="","",IF(AE163="[FÓRMULA MANUAL]","",IFERROR(AVERAGEIFS(nNOTA,nNIA,AE163,nCUENTA,1,nASIG,"Música de Cámara"),"")))</f>
        <v/>
      </c>
      <c r="AI163" t="str">
        <f>IF(AE163="","",IF(AE163="[FÓRMULA MANUAL]","",IFERROR(SUMPRODUCT((nNIA=AE163)*(nCUENTA=1)*(COUNTIF(CONFIG_ASIGNATURAS!$B$7:$B$27,nASIG)&gt;0)*(nNOTA))/SUMPRODUCT((nNIA=AE163)*(nCUENTA=1)*(COUNTIF(CONFIG_ASIGNATURAS!$B$7:$B$27,nASIG)&gt;0)*1),"")))</f>
        <v/>
      </c>
    </row>
    <row r="164" spans="2:35" x14ac:dyDescent="0.2">
      <c r="B164" t="str">
        <f>IF(A164="","",IF(A164="[FÓRMULA MANUAL]","",IFERROR(AVERAGEIFS(nNOTA,nNIA,A164,nCUENTA,1,nASIG,"Lenguaje Musical"),"")))</f>
        <v/>
      </c>
      <c r="C164" t="str">
        <f>IF(A164="","",IF(A164="[FÓRMULA MANUAL]","",IFERROR(AVERAGEIFS(nNOTA,nNIA,A164,nCUENTA,1,nASIG,"Orquesta/Banda/Conjunto"),"")))</f>
        <v/>
      </c>
      <c r="D164" t="str">
        <f>IF(A164="","",IF(A164="[FÓRMULA MANUAL]","",IFERROR(AVERAGEIFS(nNOTA,nNIA,A164,nCUENTA,1,nASIG,"Conjunto"),"")))</f>
        <v/>
      </c>
      <c r="E164" t="str">
        <f>IF(A164="","",IF(A164="[FÓRMULA MANUAL]","",IFERROR(SUMPRODUCT((nNIA=A164)*(nCUENTA=1)*(COUNTIF(CONFIG_ASIGNATURAS!$B$7:$B$27,nASIG)&gt;0)*(nNOTA))/SUMPRODUCT((nNIA=A164)*(nCUENTA=1)*(COUNTIF(CONFIG_ASIGNATURAS!$B$7:$B$27,nASIG)&gt;0)*1),"")))</f>
        <v/>
      </c>
      <c r="H164" t="str">
        <f>IF(G164="","",IF(G164="[FÓRMULA MANUAL]","",IFERROR(AVERAGEIFS(nNOTA,nNIA,G164,nCUENTA,1,nASIG,"Lenguaje Musical"),"")))</f>
        <v/>
      </c>
      <c r="I164" t="str">
        <f>IF(G164="","",IF(G164="[FÓRMULA MANUAL]","",IFERROR(AVERAGEIFS(nNOTA,nNIA,G164,nCUENTA,1,nASIG,"Orquesta/Banda/Conjunto"),"")))</f>
        <v/>
      </c>
      <c r="J164" t="str">
        <f>IF(G164="","",IF(G164="[FÓRMULA MANUAL]","",IFERROR(AVERAGEIFS(nNOTA,nNIA,G164,nCUENTA,1,nASIG,"Conjunto"),"")))</f>
        <v/>
      </c>
      <c r="K164" t="str">
        <f>IF(G164="","",IF(G164="[FÓRMULA MANUAL]","",IFERROR(SUMPRODUCT((nNIA=G164)*(nCUENTA=1)*(COUNTIF(CONFIG_ASIGNATURAS!$B$7:$B$27,nASIG)&gt;0)*(nNOTA))/SUMPRODUCT((nNIA=G164)*(nCUENTA=1)*(COUNTIF(CONFIG_ASIGNATURAS!$B$7:$B$27,nASIG)&gt;0)*1),"")))</f>
        <v/>
      </c>
      <c r="N164" t="str">
        <f>IF(M164="","",IF(M164="[FÓRMULA MANUAL]","",IFERROR(AVERAGEIFS(nNOTA,nNIA,M164,nCUENTA,1,nASIG,"Armonía"),"")))</f>
        <v/>
      </c>
      <c r="O164" t="str">
        <f>IF(M164="","",IF(M164="[FÓRMULA MANUAL]","",IFERROR(AVERAGEIFS(nNOTA,nNIA,M164,nCUENTA,1,nASIG,"Orquesta/Banda/Conjunto"),"")))</f>
        <v/>
      </c>
      <c r="P164" t="str">
        <f>IF(M164="","",IF(M164="[FÓRMULA MANUAL]","",IFERROR(AVERAGEIFS(nNOTA,nNIA,M164,nCUENTA,1,nASIG,"Música de Cámara"),"")))</f>
        <v/>
      </c>
      <c r="Q164" t="str">
        <f>IF(M164="","",IF(M164="[FÓRMULA MANUAL]","",IFERROR(SUMPRODUCT((nNIA=M164)*(nCUENTA=1)*(COUNTIF(CONFIG_ASIGNATURAS!$B$7:$B$27,nASIG)&gt;0)*(nNOTA))/SUMPRODUCT((nNIA=M164)*(nCUENTA=1)*(COUNTIF(CONFIG_ASIGNATURAS!$B$7:$B$27,nASIG)&gt;0)*1),"")))</f>
        <v/>
      </c>
      <c r="T164" t="str">
        <f>IF(S164="","",IF(S164="[FÓRMULA MANUAL]","",IFERROR(AVERAGEIFS(nNOTA,nNIA,S164,nCUENTA,1,nASIG,"Armonía"),"")))</f>
        <v/>
      </c>
      <c r="U164" t="str">
        <f>IF(S164="","",IF(S164="[FÓRMULA MANUAL]","",IFERROR(AVERAGEIFS(nNOTA,nNIA,S164,nCUENTA,1,nASIG,"Orquesta/Banda/Conjunto"),"")))</f>
        <v/>
      </c>
      <c r="V164" t="str">
        <f>IF(S164="","",IF(S164="[FÓRMULA MANUAL]","",IFERROR(AVERAGEIFS(nNOTA,nNIA,S164,nCUENTA,1,nASIG,"Música de Cámara"),"")))</f>
        <v/>
      </c>
      <c r="W164" t="str">
        <f>IF(S164="","",IF(S164="[FÓRMULA MANUAL]","",IFERROR(SUMPRODUCT((nNIA=S164)*(nCUENTA=1)*(COUNTIF(CONFIG_ASIGNATURAS!$B$7:$B$27,nASIG)&gt;0)*(nNOTA))/SUMPRODUCT((nNIA=S164)*(nCUENTA=1)*(COUNTIF(CONFIG_ASIGNATURAS!$B$7:$B$27,nASIG)&gt;0)*1),"")))</f>
        <v/>
      </c>
      <c r="Z164" t="str">
        <f>IF(Y164="","",IF(Y164="[FÓRMULA MANUAL]","",IFERROR(AVERAGEIFS(nNOTA,nNIA,Y164,nCUENTA,1,nASIG,"Análisis"),"")))</f>
        <v/>
      </c>
      <c r="AA164" t="str">
        <f>IF(Y164="","",IF(Y164="[FÓRMULA MANUAL]","",IFERROR(AVERAGEIFS(nNOTA,nNIA,Y164,nCUENTA,1,nASIG,"Orquesta/Banda/Conjunto"),"")))</f>
        <v/>
      </c>
      <c r="AB164" t="str">
        <f>IF(Y164="","",IF(Y164="[FÓRMULA MANUAL]","",IFERROR(AVERAGEIFS(nNOTA,nNIA,Y164,nCUENTA,1,nASIG,"Música de Cámara"),"")))</f>
        <v/>
      </c>
      <c r="AC164" t="str">
        <f>IF(Y164="","",IF(Y164="[FÓRMULA MANUAL]","",IFERROR(SUMPRODUCT((nNIA=Y164)*(nCUENTA=1)*(COUNTIF(CONFIG_ASIGNATURAS!$B$7:$B$27,nASIG)&gt;0)*(nNOTA))/SUMPRODUCT((nNIA=Y164)*(nCUENTA=1)*(COUNTIF(CONFIG_ASIGNATURAS!$B$7:$B$27,nASIG)&gt;0)*1),"")))</f>
        <v/>
      </c>
      <c r="AF164" t="str">
        <f>IF(AE164="","",IF(AE164="[FÓRMULA MANUAL]","",IFERROR(AVERAGEIFS(nNOTA,nNIA,AE164,nCUENTA,1,nASIG,"Análisis"),"")))</f>
        <v/>
      </c>
      <c r="AG164" t="str">
        <f>IF(AE164="","",IF(AE164="[FÓRMULA MANUAL]","",IFERROR(AVERAGEIFS(nNOTA,nNIA,AE164,nCUENTA,1,nASIG,"Orquesta/Banda/Conjunto"),"")))</f>
        <v/>
      </c>
      <c r="AH164" t="str">
        <f>IF(AE164="","",IF(AE164="[FÓRMULA MANUAL]","",IFERROR(AVERAGEIFS(nNOTA,nNIA,AE164,nCUENTA,1,nASIG,"Música de Cámara"),"")))</f>
        <v/>
      </c>
      <c r="AI164" t="str">
        <f>IF(AE164="","",IF(AE164="[FÓRMULA MANUAL]","",IFERROR(SUMPRODUCT((nNIA=AE164)*(nCUENTA=1)*(COUNTIF(CONFIG_ASIGNATURAS!$B$7:$B$27,nASIG)&gt;0)*(nNOTA))/SUMPRODUCT((nNIA=AE164)*(nCUENTA=1)*(COUNTIF(CONFIG_ASIGNATURAS!$B$7:$B$27,nASIG)&gt;0)*1),"")))</f>
        <v/>
      </c>
    </row>
    <row r="165" spans="2:35" x14ac:dyDescent="0.2">
      <c r="B165" t="str">
        <f>IF(A165="","",IF(A165="[FÓRMULA MANUAL]","",IFERROR(AVERAGEIFS(nNOTA,nNIA,A165,nCUENTA,1,nASIG,"Lenguaje Musical"),"")))</f>
        <v/>
      </c>
      <c r="C165" t="str">
        <f>IF(A165="","",IF(A165="[FÓRMULA MANUAL]","",IFERROR(AVERAGEIFS(nNOTA,nNIA,A165,nCUENTA,1,nASIG,"Orquesta/Banda/Conjunto"),"")))</f>
        <v/>
      </c>
      <c r="D165" t="str">
        <f>IF(A165="","",IF(A165="[FÓRMULA MANUAL]","",IFERROR(AVERAGEIFS(nNOTA,nNIA,A165,nCUENTA,1,nASIG,"Conjunto"),"")))</f>
        <v/>
      </c>
      <c r="E165" t="str">
        <f>IF(A165="","",IF(A165="[FÓRMULA MANUAL]","",IFERROR(SUMPRODUCT((nNIA=A165)*(nCUENTA=1)*(COUNTIF(CONFIG_ASIGNATURAS!$B$7:$B$27,nASIG)&gt;0)*(nNOTA))/SUMPRODUCT((nNIA=A165)*(nCUENTA=1)*(COUNTIF(CONFIG_ASIGNATURAS!$B$7:$B$27,nASIG)&gt;0)*1),"")))</f>
        <v/>
      </c>
      <c r="H165" t="str">
        <f>IF(G165="","",IF(G165="[FÓRMULA MANUAL]","",IFERROR(AVERAGEIFS(nNOTA,nNIA,G165,nCUENTA,1,nASIG,"Lenguaje Musical"),"")))</f>
        <v/>
      </c>
      <c r="I165" t="str">
        <f>IF(G165="","",IF(G165="[FÓRMULA MANUAL]","",IFERROR(AVERAGEIFS(nNOTA,nNIA,G165,nCUENTA,1,nASIG,"Orquesta/Banda/Conjunto"),"")))</f>
        <v/>
      </c>
      <c r="J165" t="str">
        <f>IF(G165="","",IF(G165="[FÓRMULA MANUAL]","",IFERROR(AVERAGEIFS(nNOTA,nNIA,G165,nCUENTA,1,nASIG,"Conjunto"),"")))</f>
        <v/>
      </c>
      <c r="K165" t="str">
        <f>IF(G165="","",IF(G165="[FÓRMULA MANUAL]","",IFERROR(SUMPRODUCT((nNIA=G165)*(nCUENTA=1)*(COUNTIF(CONFIG_ASIGNATURAS!$B$7:$B$27,nASIG)&gt;0)*(nNOTA))/SUMPRODUCT((nNIA=G165)*(nCUENTA=1)*(COUNTIF(CONFIG_ASIGNATURAS!$B$7:$B$27,nASIG)&gt;0)*1),"")))</f>
        <v/>
      </c>
      <c r="N165" t="str">
        <f>IF(M165="","",IF(M165="[FÓRMULA MANUAL]","",IFERROR(AVERAGEIFS(nNOTA,nNIA,M165,nCUENTA,1,nASIG,"Armonía"),"")))</f>
        <v/>
      </c>
      <c r="O165" t="str">
        <f>IF(M165="","",IF(M165="[FÓRMULA MANUAL]","",IFERROR(AVERAGEIFS(nNOTA,nNIA,M165,nCUENTA,1,nASIG,"Orquesta/Banda/Conjunto"),"")))</f>
        <v/>
      </c>
      <c r="P165" t="str">
        <f>IF(M165="","",IF(M165="[FÓRMULA MANUAL]","",IFERROR(AVERAGEIFS(nNOTA,nNIA,M165,nCUENTA,1,nASIG,"Música de Cámara"),"")))</f>
        <v/>
      </c>
      <c r="Q165" t="str">
        <f>IF(M165="","",IF(M165="[FÓRMULA MANUAL]","",IFERROR(SUMPRODUCT((nNIA=M165)*(nCUENTA=1)*(COUNTIF(CONFIG_ASIGNATURAS!$B$7:$B$27,nASIG)&gt;0)*(nNOTA))/SUMPRODUCT((nNIA=M165)*(nCUENTA=1)*(COUNTIF(CONFIG_ASIGNATURAS!$B$7:$B$27,nASIG)&gt;0)*1),"")))</f>
        <v/>
      </c>
      <c r="T165" t="str">
        <f>IF(S165="","",IF(S165="[FÓRMULA MANUAL]","",IFERROR(AVERAGEIFS(nNOTA,nNIA,S165,nCUENTA,1,nASIG,"Armonía"),"")))</f>
        <v/>
      </c>
      <c r="U165" t="str">
        <f>IF(S165="","",IF(S165="[FÓRMULA MANUAL]","",IFERROR(AVERAGEIFS(nNOTA,nNIA,S165,nCUENTA,1,nASIG,"Orquesta/Banda/Conjunto"),"")))</f>
        <v/>
      </c>
      <c r="V165" t="str">
        <f>IF(S165="","",IF(S165="[FÓRMULA MANUAL]","",IFERROR(AVERAGEIFS(nNOTA,nNIA,S165,nCUENTA,1,nASIG,"Música de Cámara"),"")))</f>
        <v/>
      </c>
      <c r="W165" t="str">
        <f>IF(S165="","",IF(S165="[FÓRMULA MANUAL]","",IFERROR(SUMPRODUCT((nNIA=S165)*(nCUENTA=1)*(COUNTIF(CONFIG_ASIGNATURAS!$B$7:$B$27,nASIG)&gt;0)*(nNOTA))/SUMPRODUCT((nNIA=S165)*(nCUENTA=1)*(COUNTIF(CONFIG_ASIGNATURAS!$B$7:$B$27,nASIG)&gt;0)*1),"")))</f>
        <v/>
      </c>
      <c r="Z165" t="str">
        <f>IF(Y165="","",IF(Y165="[FÓRMULA MANUAL]","",IFERROR(AVERAGEIFS(nNOTA,nNIA,Y165,nCUENTA,1,nASIG,"Análisis"),"")))</f>
        <v/>
      </c>
      <c r="AA165" t="str">
        <f>IF(Y165="","",IF(Y165="[FÓRMULA MANUAL]","",IFERROR(AVERAGEIFS(nNOTA,nNIA,Y165,nCUENTA,1,nASIG,"Orquesta/Banda/Conjunto"),"")))</f>
        <v/>
      </c>
      <c r="AB165" t="str">
        <f>IF(Y165="","",IF(Y165="[FÓRMULA MANUAL]","",IFERROR(AVERAGEIFS(nNOTA,nNIA,Y165,nCUENTA,1,nASIG,"Música de Cámara"),"")))</f>
        <v/>
      </c>
      <c r="AC165" t="str">
        <f>IF(Y165="","",IF(Y165="[FÓRMULA MANUAL]","",IFERROR(SUMPRODUCT((nNIA=Y165)*(nCUENTA=1)*(COUNTIF(CONFIG_ASIGNATURAS!$B$7:$B$27,nASIG)&gt;0)*(nNOTA))/SUMPRODUCT((nNIA=Y165)*(nCUENTA=1)*(COUNTIF(CONFIG_ASIGNATURAS!$B$7:$B$27,nASIG)&gt;0)*1),"")))</f>
        <v/>
      </c>
      <c r="AF165" t="str">
        <f>IF(AE165="","",IF(AE165="[FÓRMULA MANUAL]","",IFERROR(AVERAGEIFS(nNOTA,nNIA,AE165,nCUENTA,1,nASIG,"Análisis"),"")))</f>
        <v/>
      </c>
      <c r="AG165" t="str">
        <f>IF(AE165="","",IF(AE165="[FÓRMULA MANUAL]","",IFERROR(AVERAGEIFS(nNOTA,nNIA,AE165,nCUENTA,1,nASIG,"Orquesta/Banda/Conjunto"),"")))</f>
        <v/>
      </c>
      <c r="AH165" t="str">
        <f>IF(AE165="","",IF(AE165="[FÓRMULA MANUAL]","",IFERROR(AVERAGEIFS(nNOTA,nNIA,AE165,nCUENTA,1,nASIG,"Música de Cámara"),"")))</f>
        <v/>
      </c>
      <c r="AI165" t="str">
        <f>IF(AE165="","",IF(AE165="[FÓRMULA MANUAL]","",IFERROR(SUMPRODUCT((nNIA=AE165)*(nCUENTA=1)*(COUNTIF(CONFIG_ASIGNATURAS!$B$7:$B$27,nASIG)&gt;0)*(nNOTA))/SUMPRODUCT((nNIA=AE165)*(nCUENTA=1)*(COUNTIF(CONFIG_ASIGNATURAS!$B$7:$B$27,nASIG)&gt;0)*1),"")))</f>
        <v/>
      </c>
    </row>
    <row r="166" spans="2:35" x14ac:dyDescent="0.2">
      <c r="B166" t="str">
        <f>IF(A166="","",IF(A166="[FÓRMULA MANUAL]","",IFERROR(AVERAGEIFS(nNOTA,nNIA,A166,nCUENTA,1,nASIG,"Lenguaje Musical"),"")))</f>
        <v/>
      </c>
      <c r="C166" t="str">
        <f>IF(A166="","",IF(A166="[FÓRMULA MANUAL]","",IFERROR(AVERAGEIFS(nNOTA,nNIA,A166,nCUENTA,1,nASIG,"Orquesta/Banda/Conjunto"),"")))</f>
        <v/>
      </c>
      <c r="D166" t="str">
        <f>IF(A166="","",IF(A166="[FÓRMULA MANUAL]","",IFERROR(AVERAGEIFS(nNOTA,nNIA,A166,nCUENTA,1,nASIG,"Conjunto"),"")))</f>
        <v/>
      </c>
      <c r="E166" t="str">
        <f>IF(A166="","",IF(A166="[FÓRMULA MANUAL]","",IFERROR(SUMPRODUCT((nNIA=A166)*(nCUENTA=1)*(COUNTIF(CONFIG_ASIGNATURAS!$B$7:$B$27,nASIG)&gt;0)*(nNOTA))/SUMPRODUCT((nNIA=A166)*(nCUENTA=1)*(COUNTIF(CONFIG_ASIGNATURAS!$B$7:$B$27,nASIG)&gt;0)*1),"")))</f>
        <v/>
      </c>
      <c r="H166" t="str">
        <f>IF(G166="","",IF(G166="[FÓRMULA MANUAL]","",IFERROR(AVERAGEIFS(nNOTA,nNIA,G166,nCUENTA,1,nASIG,"Lenguaje Musical"),"")))</f>
        <v/>
      </c>
      <c r="I166" t="str">
        <f>IF(G166="","",IF(G166="[FÓRMULA MANUAL]","",IFERROR(AVERAGEIFS(nNOTA,nNIA,G166,nCUENTA,1,nASIG,"Orquesta/Banda/Conjunto"),"")))</f>
        <v/>
      </c>
      <c r="J166" t="str">
        <f>IF(G166="","",IF(G166="[FÓRMULA MANUAL]","",IFERROR(AVERAGEIFS(nNOTA,nNIA,G166,nCUENTA,1,nASIG,"Conjunto"),"")))</f>
        <v/>
      </c>
      <c r="K166" t="str">
        <f>IF(G166="","",IF(G166="[FÓRMULA MANUAL]","",IFERROR(SUMPRODUCT((nNIA=G166)*(nCUENTA=1)*(COUNTIF(CONFIG_ASIGNATURAS!$B$7:$B$27,nASIG)&gt;0)*(nNOTA))/SUMPRODUCT((nNIA=G166)*(nCUENTA=1)*(COUNTIF(CONFIG_ASIGNATURAS!$B$7:$B$27,nASIG)&gt;0)*1),"")))</f>
        <v/>
      </c>
      <c r="N166" t="str">
        <f>IF(M166="","",IF(M166="[FÓRMULA MANUAL]","",IFERROR(AVERAGEIFS(nNOTA,nNIA,M166,nCUENTA,1,nASIG,"Armonía"),"")))</f>
        <v/>
      </c>
      <c r="O166" t="str">
        <f>IF(M166="","",IF(M166="[FÓRMULA MANUAL]","",IFERROR(AVERAGEIFS(nNOTA,nNIA,M166,nCUENTA,1,nASIG,"Orquesta/Banda/Conjunto"),"")))</f>
        <v/>
      </c>
      <c r="P166" t="str">
        <f>IF(M166="","",IF(M166="[FÓRMULA MANUAL]","",IFERROR(AVERAGEIFS(nNOTA,nNIA,M166,nCUENTA,1,nASIG,"Música de Cámara"),"")))</f>
        <v/>
      </c>
      <c r="Q166" t="str">
        <f>IF(M166="","",IF(M166="[FÓRMULA MANUAL]","",IFERROR(SUMPRODUCT((nNIA=M166)*(nCUENTA=1)*(COUNTIF(CONFIG_ASIGNATURAS!$B$7:$B$27,nASIG)&gt;0)*(nNOTA))/SUMPRODUCT((nNIA=M166)*(nCUENTA=1)*(COUNTIF(CONFIG_ASIGNATURAS!$B$7:$B$27,nASIG)&gt;0)*1),"")))</f>
        <v/>
      </c>
      <c r="T166" t="str">
        <f>IF(S166="","",IF(S166="[FÓRMULA MANUAL]","",IFERROR(AVERAGEIFS(nNOTA,nNIA,S166,nCUENTA,1,nASIG,"Armonía"),"")))</f>
        <v/>
      </c>
      <c r="U166" t="str">
        <f>IF(S166="","",IF(S166="[FÓRMULA MANUAL]","",IFERROR(AVERAGEIFS(nNOTA,nNIA,S166,nCUENTA,1,nASIG,"Orquesta/Banda/Conjunto"),"")))</f>
        <v/>
      </c>
      <c r="V166" t="str">
        <f>IF(S166="","",IF(S166="[FÓRMULA MANUAL]","",IFERROR(AVERAGEIFS(nNOTA,nNIA,S166,nCUENTA,1,nASIG,"Música de Cámara"),"")))</f>
        <v/>
      </c>
      <c r="W166" t="str">
        <f>IF(S166="","",IF(S166="[FÓRMULA MANUAL]","",IFERROR(SUMPRODUCT((nNIA=S166)*(nCUENTA=1)*(COUNTIF(CONFIG_ASIGNATURAS!$B$7:$B$27,nASIG)&gt;0)*(nNOTA))/SUMPRODUCT((nNIA=S166)*(nCUENTA=1)*(COUNTIF(CONFIG_ASIGNATURAS!$B$7:$B$27,nASIG)&gt;0)*1),"")))</f>
        <v/>
      </c>
      <c r="Z166" t="str">
        <f>IF(Y166="","",IF(Y166="[FÓRMULA MANUAL]","",IFERROR(AVERAGEIFS(nNOTA,nNIA,Y166,nCUENTA,1,nASIG,"Análisis"),"")))</f>
        <v/>
      </c>
      <c r="AA166" t="str">
        <f>IF(Y166="","",IF(Y166="[FÓRMULA MANUAL]","",IFERROR(AVERAGEIFS(nNOTA,nNIA,Y166,nCUENTA,1,nASIG,"Orquesta/Banda/Conjunto"),"")))</f>
        <v/>
      </c>
      <c r="AB166" t="str">
        <f>IF(Y166="","",IF(Y166="[FÓRMULA MANUAL]","",IFERROR(AVERAGEIFS(nNOTA,nNIA,Y166,nCUENTA,1,nASIG,"Música de Cámara"),"")))</f>
        <v/>
      </c>
      <c r="AC166" t="str">
        <f>IF(Y166="","",IF(Y166="[FÓRMULA MANUAL]","",IFERROR(SUMPRODUCT((nNIA=Y166)*(nCUENTA=1)*(COUNTIF(CONFIG_ASIGNATURAS!$B$7:$B$27,nASIG)&gt;0)*(nNOTA))/SUMPRODUCT((nNIA=Y166)*(nCUENTA=1)*(COUNTIF(CONFIG_ASIGNATURAS!$B$7:$B$27,nASIG)&gt;0)*1),"")))</f>
        <v/>
      </c>
      <c r="AF166" t="str">
        <f>IF(AE166="","",IF(AE166="[FÓRMULA MANUAL]","",IFERROR(AVERAGEIFS(nNOTA,nNIA,AE166,nCUENTA,1,nASIG,"Análisis"),"")))</f>
        <v/>
      </c>
      <c r="AG166" t="str">
        <f>IF(AE166="","",IF(AE166="[FÓRMULA MANUAL]","",IFERROR(AVERAGEIFS(nNOTA,nNIA,AE166,nCUENTA,1,nASIG,"Orquesta/Banda/Conjunto"),"")))</f>
        <v/>
      </c>
      <c r="AH166" t="str">
        <f>IF(AE166="","",IF(AE166="[FÓRMULA MANUAL]","",IFERROR(AVERAGEIFS(nNOTA,nNIA,AE166,nCUENTA,1,nASIG,"Música de Cámara"),"")))</f>
        <v/>
      </c>
      <c r="AI166" t="str">
        <f>IF(AE166="","",IF(AE166="[FÓRMULA MANUAL]","",IFERROR(SUMPRODUCT((nNIA=AE166)*(nCUENTA=1)*(COUNTIF(CONFIG_ASIGNATURAS!$B$7:$B$27,nASIG)&gt;0)*(nNOTA))/SUMPRODUCT((nNIA=AE166)*(nCUENTA=1)*(COUNTIF(CONFIG_ASIGNATURAS!$B$7:$B$27,nASIG)&gt;0)*1),"")))</f>
        <v/>
      </c>
    </row>
    <row r="167" spans="2:35" x14ac:dyDescent="0.2">
      <c r="B167" t="str">
        <f>IF(A167="","",IF(A167="[FÓRMULA MANUAL]","",IFERROR(AVERAGEIFS(nNOTA,nNIA,A167,nCUENTA,1,nASIG,"Lenguaje Musical"),"")))</f>
        <v/>
      </c>
      <c r="C167" t="str">
        <f>IF(A167="","",IF(A167="[FÓRMULA MANUAL]","",IFERROR(AVERAGEIFS(nNOTA,nNIA,A167,nCUENTA,1,nASIG,"Orquesta/Banda/Conjunto"),"")))</f>
        <v/>
      </c>
      <c r="D167" t="str">
        <f>IF(A167="","",IF(A167="[FÓRMULA MANUAL]","",IFERROR(AVERAGEIFS(nNOTA,nNIA,A167,nCUENTA,1,nASIG,"Conjunto"),"")))</f>
        <v/>
      </c>
      <c r="E167" t="str">
        <f>IF(A167="","",IF(A167="[FÓRMULA MANUAL]","",IFERROR(SUMPRODUCT((nNIA=A167)*(nCUENTA=1)*(COUNTIF(CONFIG_ASIGNATURAS!$B$7:$B$27,nASIG)&gt;0)*(nNOTA))/SUMPRODUCT((nNIA=A167)*(nCUENTA=1)*(COUNTIF(CONFIG_ASIGNATURAS!$B$7:$B$27,nASIG)&gt;0)*1),"")))</f>
        <v/>
      </c>
      <c r="H167" t="str">
        <f>IF(G167="","",IF(G167="[FÓRMULA MANUAL]","",IFERROR(AVERAGEIFS(nNOTA,nNIA,G167,nCUENTA,1,nASIG,"Lenguaje Musical"),"")))</f>
        <v/>
      </c>
      <c r="I167" t="str">
        <f>IF(G167="","",IF(G167="[FÓRMULA MANUAL]","",IFERROR(AVERAGEIFS(nNOTA,nNIA,G167,nCUENTA,1,nASIG,"Orquesta/Banda/Conjunto"),"")))</f>
        <v/>
      </c>
      <c r="J167" t="str">
        <f>IF(G167="","",IF(G167="[FÓRMULA MANUAL]","",IFERROR(AVERAGEIFS(nNOTA,nNIA,G167,nCUENTA,1,nASIG,"Conjunto"),"")))</f>
        <v/>
      </c>
      <c r="K167" t="str">
        <f>IF(G167="","",IF(G167="[FÓRMULA MANUAL]","",IFERROR(SUMPRODUCT((nNIA=G167)*(nCUENTA=1)*(COUNTIF(CONFIG_ASIGNATURAS!$B$7:$B$27,nASIG)&gt;0)*(nNOTA))/SUMPRODUCT((nNIA=G167)*(nCUENTA=1)*(COUNTIF(CONFIG_ASIGNATURAS!$B$7:$B$27,nASIG)&gt;0)*1),"")))</f>
        <v/>
      </c>
      <c r="N167" t="str">
        <f>IF(M167="","",IF(M167="[FÓRMULA MANUAL]","",IFERROR(AVERAGEIFS(nNOTA,nNIA,M167,nCUENTA,1,nASIG,"Armonía"),"")))</f>
        <v/>
      </c>
      <c r="O167" t="str">
        <f>IF(M167="","",IF(M167="[FÓRMULA MANUAL]","",IFERROR(AVERAGEIFS(nNOTA,nNIA,M167,nCUENTA,1,nASIG,"Orquesta/Banda/Conjunto"),"")))</f>
        <v/>
      </c>
      <c r="P167" t="str">
        <f>IF(M167="","",IF(M167="[FÓRMULA MANUAL]","",IFERROR(AVERAGEIFS(nNOTA,nNIA,M167,nCUENTA,1,nASIG,"Música de Cámara"),"")))</f>
        <v/>
      </c>
      <c r="Q167" t="str">
        <f>IF(M167="","",IF(M167="[FÓRMULA MANUAL]","",IFERROR(SUMPRODUCT((nNIA=M167)*(nCUENTA=1)*(COUNTIF(CONFIG_ASIGNATURAS!$B$7:$B$27,nASIG)&gt;0)*(nNOTA))/SUMPRODUCT((nNIA=M167)*(nCUENTA=1)*(COUNTIF(CONFIG_ASIGNATURAS!$B$7:$B$27,nASIG)&gt;0)*1),"")))</f>
        <v/>
      </c>
      <c r="T167" t="str">
        <f>IF(S167="","",IF(S167="[FÓRMULA MANUAL]","",IFERROR(AVERAGEIFS(nNOTA,nNIA,S167,nCUENTA,1,nASIG,"Armonía"),"")))</f>
        <v/>
      </c>
      <c r="U167" t="str">
        <f>IF(S167="","",IF(S167="[FÓRMULA MANUAL]","",IFERROR(AVERAGEIFS(nNOTA,nNIA,S167,nCUENTA,1,nASIG,"Orquesta/Banda/Conjunto"),"")))</f>
        <v/>
      </c>
      <c r="V167" t="str">
        <f>IF(S167="","",IF(S167="[FÓRMULA MANUAL]","",IFERROR(AVERAGEIFS(nNOTA,nNIA,S167,nCUENTA,1,nASIG,"Música de Cámara"),"")))</f>
        <v/>
      </c>
      <c r="W167" t="str">
        <f>IF(S167="","",IF(S167="[FÓRMULA MANUAL]","",IFERROR(SUMPRODUCT((nNIA=S167)*(nCUENTA=1)*(COUNTIF(CONFIG_ASIGNATURAS!$B$7:$B$27,nASIG)&gt;0)*(nNOTA))/SUMPRODUCT((nNIA=S167)*(nCUENTA=1)*(COUNTIF(CONFIG_ASIGNATURAS!$B$7:$B$27,nASIG)&gt;0)*1),"")))</f>
        <v/>
      </c>
      <c r="Z167" t="str">
        <f>IF(Y167="","",IF(Y167="[FÓRMULA MANUAL]","",IFERROR(AVERAGEIFS(nNOTA,nNIA,Y167,nCUENTA,1,nASIG,"Análisis"),"")))</f>
        <v/>
      </c>
      <c r="AA167" t="str">
        <f>IF(Y167="","",IF(Y167="[FÓRMULA MANUAL]","",IFERROR(AVERAGEIFS(nNOTA,nNIA,Y167,nCUENTA,1,nASIG,"Orquesta/Banda/Conjunto"),"")))</f>
        <v/>
      </c>
      <c r="AB167" t="str">
        <f>IF(Y167="","",IF(Y167="[FÓRMULA MANUAL]","",IFERROR(AVERAGEIFS(nNOTA,nNIA,Y167,nCUENTA,1,nASIG,"Música de Cámara"),"")))</f>
        <v/>
      </c>
      <c r="AC167" t="str">
        <f>IF(Y167="","",IF(Y167="[FÓRMULA MANUAL]","",IFERROR(SUMPRODUCT((nNIA=Y167)*(nCUENTA=1)*(COUNTIF(CONFIG_ASIGNATURAS!$B$7:$B$27,nASIG)&gt;0)*(nNOTA))/SUMPRODUCT((nNIA=Y167)*(nCUENTA=1)*(COUNTIF(CONFIG_ASIGNATURAS!$B$7:$B$27,nASIG)&gt;0)*1),"")))</f>
        <v/>
      </c>
      <c r="AF167" t="str">
        <f>IF(AE167="","",IF(AE167="[FÓRMULA MANUAL]","",IFERROR(AVERAGEIFS(nNOTA,nNIA,AE167,nCUENTA,1,nASIG,"Análisis"),"")))</f>
        <v/>
      </c>
      <c r="AG167" t="str">
        <f>IF(AE167="","",IF(AE167="[FÓRMULA MANUAL]","",IFERROR(AVERAGEIFS(nNOTA,nNIA,AE167,nCUENTA,1,nASIG,"Orquesta/Banda/Conjunto"),"")))</f>
        <v/>
      </c>
      <c r="AH167" t="str">
        <f>IF(AE167="","",IF(AE167="[FÓRMULA MANUAL]","",IFERROR(AVERAGEIFS(nNOTA,nNIA,AE167,nCUENTA,1,nASIG,"Música de Cámara"),"")))</f>
        <v/>
      </c>
      <c r="AI167" t="str">
        <f>IF(AE167="","",IF(AE167="[FÓRMULA MANUAL]","",IFERROR(SUMPRODUCT((nNIA=AE167)*(nCUENTA=1)*(COUNTIF(CONFIG_ASIGNATURAS!$B$7:$B$27,nASIG)&gt;0)*(nNOTA))/SUMPRODUCT((nNIA=AE167)*(nCUENTA=1)*(COUNTIF(CONFIG_ASIGNATURAS!$B$7:$B$27,nASIG)&gt;0)*1),"")))</f>
        <v/>
      </c>
    </row>
    <row r="168" spans="2:35" x14ac:dyDescent="0.2">
      <c r="B168" t="str">
        <f>IF(A168="","",IF(A168="[FÓRMULA MANUAL]","",IFERROR(AVERAGEIFS(nNOTA,nNIA,A168,nCUENTA,1,nASIG,"Lenguaje Musical"),"")))</f>
        <v/>
      </c>
      <c r="C168" t="str">
        <f>IF(A168="","",IF(A168="[FÓRMULA MANUAL]","",IFERROR(AVERAGEIFS(nNOTA,nNIA,A168,nCUENTA,1,nASIG,"Orquesta/Banda/Conjunto"),"")))</f>
        <v/>
      </c>
      <c r="D168" t="str">
        <f>IF(A168="","",IF(A168="[FÓRMULA MANUAL]","",IFERROR(AVERAGEIFS(nNOTA,nNIA,A168,nCUENTA,1,nASIG,"Conjunto"),"")))</f>
        <v/>
      </c>
      <c r="E168" t="str">
        <f>IF(A168="","",IF(A168="[FÓRMULA MANUAL]","",IFERROR(SUMPRODUCT((nNIA=A168)*(nCUENTA=1)*(COUNTIF(CONFIG_ASIGNATURAS!$B$7:$B$27,nASIG)&gt;0)*(nNOTA))/SUMPRODUCT((nNIA=A168)*(nCUENTA=1)*(COUNTIF(CONFIG_ASIGNATURAS!$B$7:$B$27,nASIG)&gt;0)*1),"")))</f>
        <v/>
      </c>
      <c r="H168" t="str">
        <f>IF(G168="","",IF(G168="[FÓRMULA MANUAL]","",IFERROR(AVERAGEIFS(nNOTA,nNIA,G168,nCUENTA,1,nASIG,"Lenguaje Musical"),"")))</f>
        <v/>
      </c>
      <c r="I168" t="str">
        <f>IF(G168="","",IF(G168="[FÓRMULA MANUAL]","",IFERROR(AVERAGEIFS(nNOTA,nNIA,G168,nCUENTA,1,nASIG,"Orquesta/Banda/Conjunto"),"")))</f>
        <v/>
      </c>
      <c r="J168" t="str">
        <f>IF(G168="","",IF(G168="[FÓRMULA MANUAL]","",IFERROR(AVERAGEIFS(nNOTA,nNIA,G168,nCUENTA,1,nASIG,"Conjunto"),"")))</f>
        <v/>
      </c>
      <c r="K168" t="str">
        <f>IF(G168="","",IF(G168="[FÓRMULA MANUAL]","",IFERROR(SUMPRODUCT((nNIA=G168)*(nCUENTA=1)*(COUNTIF(CONFIG_ASIGNATURAS!$B$7:$B$27,nASIG)&gt;0)*(nNOTA))/SUMPRODUCT((nNIA=G168)*(nCUENTA=1)*(COUNTIF(CONFIG_ASIGNATURAS!$B$7:$B$27,nASIG)&gt;0)*1),"")))</f>
        <v/>
      </c>
      <c r="N168" t="str">
        <f>IF(M168="","",IF(M168="[FÓRMULA MANUAL]","",IFERROR(AVERAGEIFS(nNOTA,nNIA,M168,nCUENTA,1,nASIG,"Armonía"),"")))</f>
        <v/>
      </c>
      <c r="O168" t="str">
        <f>IF(M168="","",IF(M168="[FÓRMULA MANUAL]","",IFERROR(AVERAGEIFS(nNOTA,nNIA,M168,nCUENTA,1,nASIG,"Orquesta/Banda/Conjunto"),"")))</f>
        <v/>
      </c>
      <c r="P168" t="str">
        <f>IF(M168="","",IF(M168="[FÓRMULA MANUAL]","",IFERROR(AVERAGEIFS(nNOTA,nNIA,M168,nCUENTA,1,nASIG,"Música de Cámara"),"")))</f>
        <v/>
      </c>
      <c r="Q168" t="str">
        <f>IF(M168="","",IF(M168="[FÓRMULA MANUAL]","",IFERROR(SUMPRODUCT((nNIA=M168)*(nCUENTA=1)*(COUNTIF(CONFIG_ASIGNATURAS!$B$7:$B$27,nASIG)&gt;0)*(nNOTA))/SUMPRODUCT((nNIA=M168)*(nCUENTA=1)*(COUNTIF(CONFIG_ASIGNATURAS!$B$7:$B$27,nASIG)&gt;0)*1),"")))</f>
        <v/>
      </c>
      <c r="T168" t="str">
        <f>IF(S168="","",IF(S168="[FÓRMULA MANUAL]","",IFERROR(AVERAGEIFS(nNOTA,nNIA,S168,nCUENTA,1,nASIG,"Armonía"),"")))</f>
        <v/>
      </c>
      <c r="U168" t="str">
        <f>IF(S168="","",IF(S168="[FÓRMULA MANUAL]","",IFERROR(AVERAGEIFS(nNOTA,nNIA,S168,nCUENTA,1,nASIG,"Orquesta/Banda/Conjunto"),"")))</f>
        <v/>
      </c>
      <c r="V168" t="str">
        <f>IF(S168="","",IF(S168="[FÓRMULA MANUAL]","",IFERROR(AVERAGEIFS(nNOTA,nNIA,S168,nCUENTA,1,nASIG,"Música de Cámara"),"")))</f>
        <v/>
      </c>
      <c r="W168" t="str">
        <f>IF(S168="","",IF(S168="[FÓRMULA MANUAL]","",IFERROR(SUMPRODUCT((nNIA=S168)*(nCUENTA=1)*(COUNTIF(CONFIG_ASIGNATURAS!$B$7:$B$27,nASIG)&gt;0)*(nNOTA))/SUMPRODUCT((nNIA=S168)*(nCUENTA=1)*(COUNTIF(CONFIG_ASIGNATURAS!$B$7:$B$27,nASIG)&gt;0)*1),"")))</f>
        <v/>
      </c>
      <c r="Z168" t="str">
        <f>IF(Y168="","",IF(Y168="[FÓRMULA MANUAL]","",IFERROR(AVERAGEIFS(nNOTA,nNIA,Y168,nCUENTA,1,nASIG,"Análisis"),"")))</f>
        <v/>
      </c>
      <c r="AA168" t="str">
        <f>IF(Y168="","",IF(Y168="[FÓRMULA MANUAL]","",IFERROR(AVERAGEIFS(nNOTA,nNIA,Y168,nCUENTA,1,nASIG,"Orquesta/Banda/Conjunto"),"")))</f>
        <v/>
      </c>
      <c r="AB168" t="str">
        <f>IF(Y168="","",IF(Y168="[FÓRMULA MANUAL]","",IFERROR(AVERAGEIFS(nNOTA,nNIA,Y168,nCUENTA,1,nASIG,"Música de Cámara"),"")))</f>
        <v/>
      </c>
      <c r="AC168" t="str">
        <f>IF(Y168="","",IF(Y168="[FÓRMULA MANUAL]","",IFERROR(SUMPRODUCT((nNIA=Y168)*(nCUENTA=1)*(COUNTIF(CONFIG_ASIGNATURAS!$B$7:$B$27,nASIG)&gt;0)*(nNOTA))/SUMPRODUCT((nNIA=Y168)*(nCUENTA=1)*(COUNTIF(CONFIG_ASIGNATURAS!$B$7:$B$27,nASIG)&gt;0)*1),"")))</f>
        <v/>
      </c>
      <c r="AF168" t="str">
        <f>IF(AE168="","",IF(AE168="[FÓRMULA MANUAL]","",IFERROR(AVERAGEIFS(nNOTA,nNIA,AE168,nCUENTA,1,nASIG,"Análisis"),"")))</f>
        <v/>
      </c>
      <c r="AG168" t="str">
        <f>IF(AE168="","",IF(AE168="[FÓRMULA MANUAL]","",IFERROR(AVERAGEIFS(nNOTA,nNIA,AE168,nCUENTA,1,nASIG,"Orquesta/Banda/Conjunto"),"")))</f>
        <v/>
      </c>
      <c r="AH168" t="str">
        <f>IF(AE168="","",IF(AE168="[FÓRMULA MANUAL]","",IFERROR(AVERAGEIFS(nNOTA,nNIA,AE168,nCUENTA,1,nASIG,"Música de Cámara"),"")))</f>
        <v/>
      </c>
      <c r="AI168" t="str">
        <f>IF(AE168="","",IF(AE168="[FÓRMULA MANUAL]","",IFERROR(SUMPRODUCT((nNIA=AE168)*(nCUENTA=1)*(COUNTIF(CONFIG_ASIGNATURAS!$B$7:$B$27,nASIG)&gt;0)*(nNOTA))/SUMPRODUCT((nNIA=AE168)*(nCUENTA=1)*(COUNTIF(CONFIG_ASIGNATURAS!$B$7:$B$27,nASIG)&gt;0)*1),"")))</f>
        <v/>
      </c>
    </row>
    <row r="169" spans="2:35" x14ac:dyDescent="0.2">
      <c r="B169" t="str">
        <f>IF(A169="","",IF(A169="[FÓRMULA MANUAL]","",IFERROR(AVERAGEIFS(nNOTA,nNIA,A169,nCUENTA,1,nASIG,"Lenguaje Musical"),"")))</f>
        <v/>
      </c>
      <c r="C169" t="str">
        <f>IF(A169="","",IF(A169="[FÓRMULA MANUAL]","",IFERROR(AVERAGEIFS(nNOTA,nNIA,A169,nCUENTA,1,nASIG,"Orquesta/Banda/Conjunto"),"")))</f>
        <v/>
      </c>
      <c r="D169" t="str">
        <f>IF(A169="","",IF(A169="[FÓRMULA MANUAL]","",IFERROR(AVERAGEIFS(nNOTA,nNIA,A169,nCUENTA,1,nASIG,"Conjunto"),"")))</f>
        <v/>
      </c>
      <c r="E169" t="str">
        <f>IF(A169="","",IF(A169="[FÓRMULA MANUAL]","",IFERROR(SUMPRODUCT((nNIA=A169)*(nCUENTA=1)*(COUNTIF(CONFIG_ASIGNATURAS!$B$7:$B$27,nASIG)&gt;0)*(nNOTA))/SUMPRODUCT((nNIA=A169)*(nCUENTA=1)*(COUNTIF(CONFIG_ASIGNATURAS!$B$7:$B$27,nASIG)&gt;0)*1),"")))</f>
        <v/>
      </c>
      <c r="H169" t="str">
        <f>IF(G169="","",IF(G169="[FÓRMULA MANUAL]","",IFERROR(AVERAGEIFS(nNOTA,nNIA,G169,nCUENTA,1,nASIG,"Lenguaje Musical"),"")))</f>
        <v/>
      </c>
      <c r="I169" t="str">
        <f>IF(G169="","",IF(G169="[FÓRMULA MANUAL]","",IFERROR(AVERAGEIFS(nNOTA,nNIA,G169,nCUENTA,1,nASIG,"Orquesta/Banda/Conjunto"),"")))</f>
        <v/>
      </c>
      <c r="J169" t="str">
        <f>IF(G169="","",IF(G169="[FÓRMULA MANUAL]","",IFERROR(AVERAGEIFS(nNOTA,nNIA,G169,nCUENTA,1,nASIG,"Conjunto"),"")))</f>
        <v/>
      </c>
      <c r="K169" t="str">
        <f>IF(G169="","",IF(G169="[FÓRMULA MANUAL]","",IFERROR(SUMPRODUCT((nNIA=G169)*(nCUENTA=1)*(COUNTIF(CONFIG_ASIGNATURAS!$B$7:$B$27,nASIG)&gt;0)*(nNOTA))/SUMPRODUCT((nNIA=G169)*(nCUENTA=1)*(COUNTIF(CONFIG_ASIGNATURAS!$B$7:$B$27,nASIG)&gt;0)*1),"")))</f>
        <v/>
      </c>
      <c r="N169" t="str">
        <f>IF(M169="","",IF(M169="[FÓRMULA MANUAL]","",IFERROR(AVERAGEIFS(nNOTA,nNIA,M169,nCUENTA,1,nASIG,"Armonía"),"")))</f>
        <v/>
      </c>
      <c r="O169" t="str">
        <f>IF(M169="","",IF(M169="[FÓRMULA MANUAL]","",IFERROR(AVERAGEIFS(nNOTA,nNIA,M169,nCUENTA,1,nASIG,"Orquesta/Banda/Conjunto"),"")))</f>
        <v/>
      </c>
      <c r="P169" t="str">
        <f>IF(M169="","",IF(M169="[FÓRMULA MANUAL]","",IFERROR(AVERAGEIFS(nNOTA,nNIA,M169,nCUENTA,1,nASIG,"Música de Cámara"),"")))</f>
        <v/>
      </c>
      <c r="Q169" t="str">
        <f>IF(M169="","",IF(M169="[FÓRMULA MANUAL]","",IFERROR(SUMPRODUCT((nNIA=M169)*(nCUENTA=1)*(COUNTIF(CONFIG_ASIGNATURAS!$B$7:$B$27,nASIG)&gt;0)*(nNOTA))/SUMPRODUCT((nNIA=M169)*(nCUENTA=1)*(COUNTIF(CONFIG_ASIGNATURAS!$B$7:$B$27,nASIG)&gt;0)*1),"")))</f>
        <v/>
      </c>
      <c r="T169" t="str">
        <f>IF(S169="","",IF(S169="[FÓRMULA MANUAL]","",IFERROR(AVERAGEIFS(nNOTA,nNIA,S169,nCUENTA,1,nASIG,"Armonía"),"")))</f>
        <v/>
      </c>
      <c r="U169" t="str">
        <f>IF(S169="","",IF(S169="[FÓRMULA MANUAL]","",IFERROR(AVERAGEIFS(nNOTA,nNIA,S169,nCUENTA,1,nASIG,"Orquesta/Banda/Conjunto"),"")))</f>
        <v/>
      </c>
      <c r="V169" t="str">
        <f>IF(S169="","",IF(S169="[FÓRMULA MANUAL]","",IFERROR(AVERAGEIFS(nNOTA,nNIA,S169,nCUENTA,1,nASIG,"Música de Cámara"),"")))</f>
        <v/>
      </c>
      <c r="W169" t="str">
        <f>IF(S169="","",IF(S169="[FÓRMULA MANUAL]","",IFERROR(SUMPRODUCT((nNIA=S169)*(nCUENTA=1)*(COUNTIF(CONFIG_ASIGNATURAS!$B$7:$B$27,nASIG)&gt;0)*(nNOTA))/SUMPRODUCT((nNIA=S169)*(nCUENTA=1)*(COUNTIF(CONFIG_ASIGNATURAS!$B$7:$B$27,nASIG)&gt;0)*1),"")))</f>
        <v/>
      </c>
      <c r="Z169" t="str">
        <f>IF(Y169="","",IF(Y169="[FÓRMULA MANUAL]","",IFERROR(AVERAGEIFS(nNOTA,nNIA,Y169,nCUENTA,1,nASIG,"Análisis"),"")))</f>
        <v/>
      </c>
      <c r="AA169" t="str">
        <f>IF(Y169="","",IF(Y169="[FÓRMULA MANUAL]","",IFERROR(AVERAGEIFS(nNOTA,nNIA,Y169,nCUENTA,1,nASIG,"Orquesta/Banda/Conjunto"),"")))</f>
        <v/>
      </c>
      <c r="AB169" t="str">
        <f>IF(Y169="","",IF(Y169="[FÓRMULA MANUAL]","",IFERROR(AVERAGEIFS(nNOTA,nNIA,Y169,nCUENTA,1,nASIG,"Música de Cámara"),"")))</f>
        <v/>
      </c>
      <c r="AC169" t="str">
        <f>IF(Y169="","",IF(Y169="[FÓRMULA MANUAL]","",IFERROR(SUMPRODUCT((nNIA=Y169)*(nCUENTA=1)*(COUNTIF(CONFIG_ASIGNATURAS!$B$7:$B$27,nASIG)&gt;0)*(nNOTA))/SUMPRODUCT((nNIA=Y169)*(nCUENTA=1)*(COUNTIF(CONFIG_ASIGNATURAS!$B$7:$B$27,nASIG)&gt;0)*1),"")))</f>
        <v/>
      </c>
      <c r="AF169" t="str">
        <f>IF(AE169="","",IF(AE169="[FÓRMULA MANUAL]","",IFERROR(AVERAGEIFS(nNOTA,nNIA,AE169,nCUENTA,1,nASIG,"Análisis"),"")))</f>
        <v/>
      </c>
      <c r="AG169" t="str">
        <f>IF(AE169="","",IF(AE169="[FÓRMULA MANUAL]","",IFERROR(AVERAGEIFS(nNOTA,nNIA,AE169,nCUENTA,1,nASIG,"Orquesta/Banda/Conjunto"),"")))</f>
        <v/>
      </c>
      <c r="AH169" t="str">
        <f>IF(AE169="","",IF(AE169="[FÓRMULA MANUAL]","",IFERROR(AVERAGEIFS(nNOTA,nNIA,AE169,nCUENTA,1,nASIG,"Música de Cámara"),"")))</f>
        <v/>
      </c>
      <c r="AI169" t="str">
        <f>IF(AE169="","",IF(AE169="[FÓRMULA MANUAL]","",IFERROR(SUMPRODUCT((nNIA=AE169)*(nCUENTA=1)*(COUNTIF(CONFIG_ASIGNATURAS!$B$7:$B$27,nASIG)&gt;0)*(nNOTA))/SUMPRODUCT((nNIA=AE169)*(nCUENTA=1)*(COUNTIF(CONFIG_ASIGNATURAS!$B$7:$B$27,nASIG)&gt;0)*1),"")))</f>
        <v/>
      </c>
    </row>
    <row r="170" spans="2:35" x14ac:dyDescent="0.2">
      <c r="B170" t="str">
        <f>IF(A170="","",IF(A170="[FÓRMULA MANUAL]","",IFERROR(AVERAGEIFS(nNOTA,nNIA,A170,nCUENTA,1,nASIG,"Lenguaje Musical"),"")))</f>
        <v/>
      </c>
      <c r="C170" t="str">
        <f>IF(A170="","",IF(A170="[FÓRMULA MANUAL]","",IFERROR(AVERAGEIFS(nNOTA,nNIA,A170,nCUENTA,1,nASIG,"Orquesta/Banda/Conjunto"),"")))</f>
        <v/>
      </c>
      <c r="D170" t="str">
        <f>IF(A170="","",IF(A170="[FÓRMULA MANUAL]","",IFERROR(AVERAGEIFS(nNOTA,nNIA,A170,nCUENTA,1,nASIG,"Conjunto"),"")))</f>
        <v/>
      </c>
      <c r="E170" t="str">
        <f>IF(A170="","",IF(A170="[FÓRMULA MANUAL]","",IFERROR(SUMPRODUCT((nNIA=A170)*(nCUENTA=1)*(COUNTIF(CONFIG_ASIGNATURAS!$B$7:$B$27,nASIG)&gt;0)*(nNOTA))/SUMPRODUCT((nNIA=A170)*(nCUENTA=1)*(COUNTIF(CONFIG_ASIGNATURAS!$B$7:$B$27,nASIG)&gt;0)*1),"")))</f>
        <v/>
      </c>
      <c r="H170" t="str">
        <f>IF(G170="","",IF(G170="[FÓRMULA MANUAL]","",IFERROR(AVERAGEIFS(nNOTA,nNIA,G170,nCUENTA,1,nASIG,"Lenguaje Musical"),"")))</f>
        <v/>
      </c>
      <c r="I170" t="str">
        <f>IF(G170="","",IF(G170="[FÓRMULA MANUAL]","",IFERROR(AVERAGEIFS(nNOTA,nNIA,G170,nCUENTA,1,nASIG,"Orquesta/Banda/Conjunto"),"")))</f>
        <v/>
      </c>
      <c r="J170" t="str">
        <f>IF(G170="","",IF(G170="[FÓRMULA MANUAL]","",IFERROR(AVERAGEIFS(nNOTA,nNIA,G170,nCUENTA,1,nASIG,"Conjunto"),"")))</f>
        <v/>
      </c>
      <c r="K170" t="str">
        <f>IF(G170="","",IF(G170="[FÓRMULA MANUAL]","",IFERROR(SUMPRODUCT((nNIA=G170)*(nCUENTA=1)*(COUNTIF(CONFIG_ASIGNATURAS!$B$7:$B$27,nASIG)&gt;0)*(nNOTA))/SUMPRODUCT((nNIA=G170)*(nCUENTA=1)*(COUNTIF(CONFIG_ASIGNATURAS!$B$7:$B$27,nASIG)&gt;0)*1),"")))</f>
        <v/>
      </c>
      <c r="N170" t="str">
        <f>IF(M170="","",IF(M170="[FÓRMULA MANUAL]","",IFERROR(AVERAGEIFS(nNOTA,nNIA,M170,nCUENTA,1,nASIG,"Armonía"),"")))</f>
        <v/>
      </c>
      <c r="O170" t="str">
        <f>IF(M170="","",IF(M170="[FÓRMULA MANUAL]","",IFERROR(AVERAGEIFS(nNOTA,nNIA,M170,nCUENTA,1,nASIG,"Orquesta/Banda/Conjunto"),"")))</f>
        <v/>
      </c>
      <c r="P170" t="str">
        <f>IF(M170="","",IF(M170="[FÓRMULA MANUAL]","",IFERROR(AVERAGEIFS(nNOTA,nNIA,M170,nCUENTA,1,nASIG,"Música de Cámara"),"")))</f>
        <v/>
      </c>
      <c r="Q170" t="str">
        <f>IF(M170="","",IF(M170="[FÓRMULA MANUAL]","",IFERROR(SUMPRODUCT((nNIA=M170)*(nCUENTA=1)*(COUNTIF(CONFIG_ASIGNATURAS!$B$7:$B$27,nASIG)&gt;0)*(nNOTA))/SUMPRODUCT((nNIA=M170)*(nCUENTA=1)*(COUNTIF(CONFIG_ASIGNATURAS!$B$7:$B$27,nASIG)&gt;0)*1),"")))</f>
        <v/>
      </c>
      <c r="T170" t="str">
        <f>IF(S170="","",IF(S170="[FÓRMULA MANUAL]","",IFERROR(AVERAGEIFS(nNOTA,nNIA,S170,nCUENTA,1,nASIG,"Armonía"),"")))</f>
        <v/>
      </c>
      <c r="U170" t="str">
        <f>IF(S170="","",IF(S170="[FÓRMULA MANUAL]","",IFERROR(AVERAGEIFS(nNOTA,nNIA,S170,nCUENTA,1,nASIG,"Orquesta/Banda/Conjunto"),"")))</f>
        <v/>
      </c>
      <c r="V170" t="str">
        <f>IF(S170="","",IF(S170="[FÓRMULA MANUAL]","",IFERROR(AVERAGEIFS(nNOTA,nNIA,S170,nCUENTA,1,nASIG,"Música de Cámara"),"")))</f>
        <v/>
      </c>
      <c r="W170" t="str">
        <f>IF(S170="","",IF(S170="[FÓRMULA MANUAL]","",IFERROR(SUMPRODUCT((nNIA=S170)*(nCUENTA=1)*(COUNTIF(CONFIG_ASIGNATURAS!$B$7:$B$27,nASIG)&gt;0)*(nNOTA))/SUMPRODUCT((nNIA=S170)*(nCUENTA=1)*(COUNTIF(CONFIG_ASIGNATURAS!$B$7:$B$27,nASIG)&gt;0)*1),"")))</f>
        <v/>
      </c>
      <c r="Z170" t="str">
        <f>IF(Y170="","",IF(Y170="[FÓRMULA MANUAL]","",IFERROR(AVERAGEIFS(nNOTA,nNIA,Y170,nCUENTA,1,nASIG,"Análisis"),"")))</f>
        <v/>
      </c>
      <c r="AA170" t="str">
        <f>IF(Y170="","",IF(Y170="[FÓRMULA MANUAL]","",IFERROR(AVERAGEIFS(nNOTA,nNIA,Y170,nCUENTA,1,nASIG,"Orquesta/Banda/Conjunto"),"")))</f>
        <v/>
      </c>
      <c r="AB170" t="str">
        <f>IF(Y170="","",IF(Y170="[FÓRMULA MANUAL]","",IFERROR(AVERAGEIFS(nNOTA,nNIA,Y170,nCUENTA,1,nASIG,"Música de Cámara"),"")))</f>
        <v/>
      </c>
      <c r="AC170" t="str">
        <f>IF(Y170="","",IF(Y170="[FÓRMULA MANUAL]","",IFERROR(SUMPRODUCT((nNIA=Y170)*(nCUENTA=1)*(COUNTIF(CONFIG_ASIGNATURAS!$B$7:$B$27,nASIG)&gt;0)*(nNOTA))/SUMPRODUCT((nNIA=Y170)*(nCUENTA=1)*(COUNTIF(CONFIG_ASIGNATURAS!$B$7:$B$27,nASIG)&gt;0)*1),"")))</f>
        <v/>
      </c>
      <c r="AF170" t="str">
        <f>IF(AE170="","",IF(AE170="[FÓRMULA MANUAL]","",IFERROR(AVERAGEIFS(nNOTA,nNIA,AE170,nCUENTA,1,nASIG,"Análisis"),"")))</f>
        <v/>
      </c>
      <c r="AG170" t="str">
        <f>IF(AE170="","",IF(AE170="[FÓRMULA MANUAL]","",IFERROR(AVERAGEIFS(nNOTA,nNIA,AE170,nCUENTA,1,nASIG,"Orquesta/Banda/Conjunto"),"")))</f>
        <v/>
      </c>
      <c r="AH170" t="str">
        <f>IF(AE170="","",IF(AE170="[FÓRMULA MANUAL]","",IFERROR(AVERAGEIFS(nNOTA,nNIA,AE170,nCUENTA,1,nASIG,"Música de Cámara"),"")))</f>
        <v/>
      </c>
      <c r="AI170" t="str">
        <f>IF(AE170="","",IF(AE170="[FÓRMULA MANUAL]","",IFERROR(SUMPRODUCT((nNIA=AE170)*(nCUENTA=1)*(COUNTIF(CONFIG_ASIGNATURAS!$B$7:$B$27,nASIG)&gt;0)*(nNOTA))/SUMPRODUCT((nNIA=AE170)*(nCUENTA=1)*(COUNTIF(CONFIG_ASIGNATURAS!$B$7:$B$27,nASIG)&gt;0)*1),"")))</f>
        <v/>
      </c>
    </row>
    <row r="171" spans="2:35" x14ac:dyDescent="0.2">
      <c r="B171" t="str">
        <f>IF(A171="","",IF(A171="[FÓRMULA MANUAL]","",IFERROR(AVERAGEIFS(nNOTA,nNIA,A171,nCUENTA,1,nASIG,"Lenguaje Musical"),"")))</f>
        <v/>
      </c>
      <c r="C171" t="str">
        <f>IF(A171="","",IF(A171="[FÓRMULA MANUAL]","",IFERROR(AVERAGEIFS(nNOTA,nNIA,A171,nCUENTA,1,nASIG,"Orquesta/Banda/Conjunto"),"")))</f>
        <v/>
      </c>
      <c r="D171" t="str">
        <f>IF(A171="","",IF(A171="[FÓRMULA MANUAL]","",IFERROR(AVERAGEIFS(nNOTA,nNIA,A171,nCUENTA,1,nASIG,"Conjunto"),"")))</f>
        <v/>
      </c>
      <c r="E171" t="str">
        <f>IF(A171="","",IF(A171="[FÓRMULA MANUAL]","",IFERROR(SUMPRODUCT((nNIA=A171)*(nCUENTA=1)*(COUNTIF(CONFIG_ASIGNATURAS!$B$7:$B$27,nASIG)&gt;0)*(nNOTA))/SUMPRODUCT((nNIA=A171)*(nCUENTA=1)*(COUNTIF(CONFIG_ASIGNATURAS!$B$7:$B$27,nASIG)&gt;0)*1),"")))</f>
        <v/>
      </c>
      <c r="H171" t="str">
        <f>IF(G171="","",IF(G171="[FÓRMULA MANUAL]","",IFERROR(AVERAGEIFS(nNOTA,nNIA,G171,nCUENTA,1,nASIG,"Lenguaje Musical"),"")))</f>
        <v/>
      </c>
      <c r="I171" t="str">
        <f>IF(G171="","",IF(G171="[FÓRMULA MANUAL]","",IFERROR(AVERAGEIFS(nNOTA,nNIA,G171,nCUENTA,1,nASIG,"Orquesta/Banda/Conjunto"),"")))</f>
        <v/>
      </c>
      <c r="J171" t="str">
        <f>IF(G171="","",IF(G171="[FÓRMULA MANUAL]","",IFERROR(AVERAGEIFS(nNOTA,nNIA,G171,nCUENTA,1,nASIG,"Conjunto"),"")))</f>
        <v/>
      </c>
      <c r="K171" t="str">
        <f>IF(G171="","",IF(G171="[FÓRMULA MANUAL]","",IFERROR(SUMPRODUCT((nNIA=G171)*(nCUENTA=1)*(COUNTIF(CONFIG_ASIGNATURAS!$B$7:$B$27,nASIG)&gt;0)*(nNOTA))/SUMPRODUCT((nNIA=G171)*(nCUENTA=1)*(COUNTIF(CONFIG_ASIGNATURAS!$B$7:$B$27,nASIG)&gt;0)*1),"")))</f>
        <v/>
      </c>
      <c r="N171" t="str">
        <f>IF(M171="","",IF(M171="[FÓRMULA MANUAL]","",IFERROR(AVERAGEIFS(nNOTA,nNIA,M171,nCUENTA,1,nASIG,"Armonía"),"")))</f>
        <v/>
      </c>
      <c r="O171" t="str">
        <f>IF(M171="","",IF(M171="[FÓRMULA MANUAL]","",IFERROR(AVERAGEIFS(nNOTA,nNIA,M171,nCUENTA,1,nASIG,"Orquesta/Banda/Conjunto"),"")))</f>
        <v/>
      </c>
      <c r="P171" t="str">
        <f>IF(M171="","",IF(M171="[FÓRMULA MANUAL]","",IFERROR(AVERAGEIFS(nNOTA,nNIA,M171,nCUENTA,1,nASIG,"Música de Cámara"),"")))</f>
        <v/>
      </c>
      <c r="Q171" t="str">
        <f>IF(M171="","",IF(M171="[FÓRMULA MANUAL]","",IFERROR(SUMPRODUCT((nNIA=M171)*(nCUENTA=1)*(COUNTIF(CONFIG_ASIGNATURAS!$B$7:$B$27,nASIG)&gt;0)*(nNOTA))/SUMPRODUCT((nNIA=M171)*(nCUENTA=1)*(COUNTIF(CONFIG_ASIGNATURAS!$B$7:$B$27,nASIG)&gt;0)*1),"")))</f>
        <v/>
      </c>
      <c r="T171" t="str">
        <f>IF(S171="","",IF(S171="[FÓRMULA MANUAL]","",IFERROR(AVERAGEIFS(nNOTA,nNIA,S171,nCUENTA,1,nASIG,"Armonía"),"")))</f>
        <v/>
      </c>
      <c r="U171" t="str">
        <f>IF(S171="","",IF(S171="[FÓRMULA MANUAL]","",IFERROR(AVERAGEIFS(nNOTA,nNIA,S171,nCUENTA,1,nASIG,"Orquesta/Banda/Conjunto"),"")))</f>
        <v/>
      </c>
      <c r="V171" t="str">
        <f>IF(S171="","",IF(S171="[FÓRMULA MANUAL]","",IFERROR(AVERAGEIFS(nNOTA,nNIA,S171,nCUENTA,1,nASIG,"Música de Cámara"),"")))</f>
        <v/>
      </c>
      <c r="W171" t="str">
        <f>IF(S171="","",IF(S171="[FÓRMULA MANUAL]","",IFERROR(SUMPRODUCT((nNIA=S171)*(nCUENTA=1)*(COUNTIF(CONFIG_ASIGNATURAS!$B$7:$B$27,nASIG)&gt;0)*(nNOTA))/SUMPRODUCT((nNIA=S171)*(nCUENTA=1)*(COUNTIF(CONFIG_ASIGNATURAS!$B$7:$B$27,nASIG)&gt;0)*1),"")))</f>
        <v/>
      </c>
      <c r="Z171" t="str">
        <f>IF(Y171="","",IF(Y171="[FÓRMULA MANUAL]","",IFERROR(AVERAGEIFS(nNOTA,nNIA,Y171,nCUENTA,1,nASIG,"Análisis"),"")))</f>
        <v/>
      </c>
      <c r="AA171" t="str">
        <f>IF(Y171="","",IF(Y171="[FÓRMULA MANUAL]","",IFERROR(AVERAGEIFS(nNOTA,nNIA,Y171,nCUENTA,1,nASIG,"Orquesta/Banda/Conjunto"),"")))</f>
        <v/>
      </c>
      <c r="AB171" t="str">
        <f>IF(Y171="","",IF(Y171="[FÓRMULA MANUAL]","",IFERROR(AVERAGEIFS(nNOTA,nNIA,Y171,nCUENTA,1,nASIG,"Música de Cámara"),"")))</f>
        <v/>
      </c>
      <c r="AC171" t="str">
        <f>IF(Y171="","",IF(Y171="[FÓRMULA MANUAL]","",IFERROR(SUMPRODUCT((nNIA=Y171)*(nCUENTA=1)*(COUNTIF(CONFIG_ASIGNATURAS!$B$7:$B$27,nASIG)&gt;0)*(nNOTA))/SUMPRODUCT((nNIA=Y171)*(nCUENTA=1)*(COUNTIF(CONFIG_ASIGNATURAS!$B$7:$B$27,nASIG)&gt;0)*1),"")))</f>
        <v/>
      </c>
      <c r="AF171" t="str">
        <f>IF(AE171="","",IF(AE171="[FÓRMULA MANUAL]","",IFERROR(AVERAGEIFS(nNOTA,nNIA,AE171,nCUENTA,1,nASIG,"Análisis"),"")))</f>
        <v/>
      </c>
      <c r="AG171" t="str">
        <f>IF(AE171="","",IF(AE171="[FÓRMULA MANUAL]","",IFERROR(AVERAGEIFS(nNOTA,nNIA,AE171,nCUENTA,1,nASIG,"Orquesta/Banda/Conjunto"),"")))</f>
        <v/>
      </c>
      <c r="AH171" t="str">
        <f>IF(AE171="","",IF(AE171="[FÓRMULA MANUAL]","",IFERROR(AVERAGEIFS(nNOTA,nNIA,AE171,nCUENTA,1,nASIG,"Música de Cámara"),"")))</f>
        <v/>
      </c>
      <c r="AI171" t="str">
        <f>IF(AE171="","",IF(AE171="[FÓRMULA MANUAL]","",IFERROR(SUMPRODUCT((nNIA=AE171)*(nCUENTA=1)*(COUNTIF(CONFIG_ASIGNATURAS!$B$7:$B$27,nASIG)&gt;0)*(nNOTA))/SUMPRODUCT((nNIA=AE171)*(nCUENTA=1)*(COUNTIF(CONFIG_ASIGNATURAS!$B$7:$B$27,nASIG)&gt;0)*1),"")))</f>
        <v/>
      </c>
    </row>
    <row r="172" spans="2:35" x14ac:dyDescent="0.2">
      <c r="B172" t="str">
        <f>IF(A172="","",IF(A172="[FÓRMULA MANUAL]","",IFERROR(AVERAGEIFS(nNOTA,nNIA,A172,nCUENTA,1,nASIG,"Lenguaje Musical"),"")))</f>
        <v/>
      </c>
      <c r="C172" t="str">
        <f>IF(A172="","",IF(A172="[FÓRMULA MANUAL]","",IFERROR(AVERAGEIFS(nNOTA,nNIA,A172,nCUENTA,1,nASIG,"Orquesta/Banda/Conjunto"),"")))</f>
        <v/>
      </c>
      <c r="D172" t="str">
        <f>IF(A172="","",IF(A172="[FÓRMULA MANUAL]","",IFERROR(AVERAGEIFS(nNOTA,nNIA,A172,nCUENTA,1,nASIG,"Conjunto"),"")))</f>
        <v/>
      </c>
      <c r="E172" t="str">
        <f>IF(A172="","",IF(A172="[FÓRMULA MANUAL]","",IFERROR(SUMPRODUCT((nNIA=A172)*(nCUENTA=1)*(COUNTIF(CONFIG_ASIGNATURAS!$B$7:$B$27,nASIG)&gt;0)*(nNOTA))/SUMPRODUCT((nNIA=A172)*(nCUENTA=1)*(COUNTIF(CONFIG_ASIGNATURAS!$B$7:$B$27,nASIG)&gt;0)*1),"")))</f>
        <v/>
      </c>
      <c r="H172" t="str">
        <f>IF(G172="","",IF(G172="[FÓRMULA MANUAL]","",IFERROR(AVERAGEIFS(nNOTA,nNIA,G172,nCUENTA,1,nASIG,"Lenguaje Musical"),"")))</f>
        <v/>
      </c>
      <c r="I172" t="str">
        <f>IF(G172="","",IF(G172="[FÓRMULA MANUAL]","",IFERROR(AVERAGEIFS(nNOTA,nNIA,G172,nCUENTA,1,nASIG,"Orquesta/Banda/Conjunto"),"")))</f>
        <v/>
      </c>
      <c r="J172" t="str">
        <f>IF(G172="","",IF(G172="[FÓRMULA MANUAL]","",IFERROR(AVERAGEIFS(nNOTA,nNIA,G172,nCUENTA,1,nASIG,"Conjunto"),"")))</f>
        <v/>
      </c>
      <c r="K172" t="str">
        <f>IF(G172="","",IF(G172="[FÓRMULA MANUAL]","",IFERROR(SUMPRODUCT((nNIA=G172)*(nCUENTA=1)*(COUNTIF(CONFIG_ASIGNATURAS!$B$7:$B$27,nASIG)&gt;0)*(nNOTA))/SUMPRODUCT((nNIA=G172)*(nCUENTA=1)*(COUNTIF(CONFIG_ASIGNATURAS!$B$7:$B$27,nASIG)&gt;0)*1),"")))</f>
        <v/>
      </c>
      <c r="N172" t="str">
        <f>IF(M172="","",IF(M172="[FÓRMULA MANUAL]","",IFERROR(AVERAGEIFS(nNOTA,nNIA,M172,nCUENTA,1,nASIG,"Armonía"),"")))</f>
        <v/>
      </c>
      <c r="O172" t="str">
        <f>IF(M172="","",IF(M172="[FÓRMULA MANUAL]","",IFERROR(AVERAGEIFS(nNOTA,nNIA,M172,nCUENTA,1,nASIG,"Orquesta/Banda/Conjunto"),"")))</f>
        <v/>
      </c>
      <c r="P172" t="str">
        <f>IF(M172="","",IF(M172="[FÓRMULA MANUAL]","",IFERROR(AVERAGEIFS(nNOTA,nNIA,M172,nCUENTA,1,nASIG,"Música de Cámara"),"")))</f>
        <v/>
      </c>
      <c r="Q172" t="str">
        <f>IF(M172="","",IF(M172="[FÓRMULA MANUAL]","",IFERROR(SUMPRODUCT((nNIA=M172)*(nCUENTA=1)*(COUNTIF(CONFIG_ASIGNATURAS!$B$7:$B$27,nASIG)&gt;0)*(nNOTA))/SUMPRODUCT((nNIA=M172)*(nCUENTA=1)*(COUNTIF(CONFIG_ASIGNATURAS!$B$7:$B$27,nASIG)&gt;0)*1),"")))</f>
        <v/>
      </c>
      <c r="T172" t="str">
        <f>IF(S172="","",IF(S172="[FÓRMULA MANUAL]","",IFERROR(AVERAGEIFS(nNOTA,nNIA,S172,nCUENTA,1,nASIG,"Armonía"),"")))</f>
        <v/>
      </c>
      <c r="U172" t="str">
        <f>IF(S172="","",IF(S172="[FÓRMULA MANUAL]","",IFERROR(AVERAGEIFS(nNOTA,nNIA,S172,nCUENTA,1,nASIG,"Orquesta/Banda/Conjunto"),"")))</f>
        <v/>
      </c>
      <c r="V172" t="str">
        <f>IF(S172="","",IF(S172="[FÓRMULA MANUAL]","",IFERROR(AVERAGEIFS(nNOTA,nNIA,S172,nCUENTA,1,nASIG,"Música de Cámara"),"")))</f>
        <v/>
      </c>
      <c r="W172" t="str">
        <f>IF(S172="","",IF(S172="[FÓRMULA MANUAL]","",IFERROR(SUMPRODUCT((nNIA=S172)*(nCUENTA=1)*(COUNTIF(CONFIG_ASIGNATURAS!$B$7:$B$27,nASIG)&gt;0)*(nNOTA))/SUMPRODUCT((nNIA=S172)*(nCUENTA=1)*(COUNTIF(CONFIG_ASIGNATURAS!$B$7:$B$27,nASIG)&gt;0)*1),"")))</f>
        <v/>
      </c>
      <c r="Z172" t="str">
        <f>IF(Y172="","",IF(Y172="[FÓRMULA MANUAL]","",IFERROR(AVERAGEIFS(nNOTA,nNIA,Y172,nCUENTA,1,nASIG,"Análisis"),"")))</f>
        <v/>
      </c>
      <c r="AA172" t="str">
        <f>IF(Y172="","",IF(Y172="[FÓRMULA MANUAL]","",IFERROR(AVERAGEIFS(nNOTA,nNIA,Y172,nCUENTA,1,nASIG,"Orquesta/Banda/Conjunto"),"")))</f>
        <v/>
      </c>
      <c r="AB172" t="str">
        <f>IF(Y172="","",IF(Y172="[FÓRMULA MANUAL]","",IFERROR(AVERAGEIFS(nNOTA,nNIA,Y172,nCUENTA,1,nASIG,"Música de Cámara"),"")))</f>
        <v/>
      </c>
      <c r="AC172" t="str">
        <f>IF(Y172="","",IF(Y172="[FÓRMULA MANUAL]","",IFERROR(SUMPRODUCT((nNIA=Y172)*(nCUENTA=1)*(COUNTIF(CONFIG_ASIGNATURAS!$B$7:$B$27,nASIG)&gt;0)*(nNOTA))/SUMPRODUCT((nNIA=Y172)*(nCUENTA=1)*(COUNTIF(CONFIG_ASIGNATURAS!$B$7:$B$27,nASIG)&gt;0)*1),"")))</f>
        <v/>
      </c>
      <c r="AF172" t="str">
        <f>IF(AE172="","",IF(AE172="[FÓRMULA MANUAL]","",IFERROR(AVERAGEIFS(nNOTA,nNIA,AE172,nCUENTA,1,nASIG,"Análisis"),"")))</f>
        <v/>
      </c>
      <c r="AG172" t="str">
        <f>IF(AE172="","",IF(AE172="[FÓRMULA MANUAL]","",IFERROR(AVERAGEIFS(nNOTA,nNIA,AE172,nCUENTA,1,nASIG,"Orquesta/Banda/Conjunto"),"")))</f>
        <v/>
      </c>
      <c r="AH172" t="str">
        <f>IF(AE172="","",IF(AE172="[FÓRMULA MANUAL]","",IFERROR(AVERAGEIFS(nNOTA,nNIA,AE172,nCUENTA,1,nASIG,"Música de Cámara"),"")))</f>
        <v/>
      </c>
      <c r="AI172" t="str">
        <f>IF(AE172="","",IF(AE172="[FÓRMULA MANUAL]","",IFERROR(SUMPRODUCT((nNIA=AE172)*(nCUENTA=1)*(COUNTIF(CONFIG_ASIGNATURAS!$B$7:$B$27,nASIG)&gt;0)*(nNOTA))/SUMPRODUCT((nNIA=AE172)*(nCUENTA=1)*(COUNTIF(CONFIG_ASIGNATURAS!$B$7:$B$27,nASIG)&gt;0)*1),"")))</f>
        <v/>
      </c>
    </row>
    <row r="173" spans="2:35" x14ac:dyDescent="0.2">
      <c r="B173" t="str">
        <f>IF(A173="","",IF(A173="[FÓRMULA MANUAL]","",IFERROR(AVERAGEIFS(nNOTA,nNIA,A173,nCUENTA,1,nASIG,"Lenguaje Musical"),"")))</f>
        <v/>
      </c>
      <c r="C173" t="str">
        <f>IF(A173="","",IF(A173="[FÓRMULA MANUAL]","",IFERROR(AVERAGEIFS(nNOTA,nNIA,A173,nCUENTA,1,nASIG,"Orquesta/Banda/Conjunto"),"")))</f>
        <v/>
      </c>
      <c r="D173" t="str">
        <f>IF(A173="","",IF(A173="[FÓRMULA MANUAL]","",IFERROR(AVERAGEIFS(nNOTA,nNIA,A173,nCUENTA,1,nASIG,"Conjunto"),"")))</f>
        <v/>
      </c>
      <c r="E173" t="str">
        <f>IF(A173="","",IF(A173="[FÓRMULA MANUAL]","",IFERROR(SUMPRODUCT((nNIA=A173)*(nCUENTA=1)*(COUNTIF(CONFIG_ASIGNATURAS!$B$7:$B$27,nASIG)&gt;0)*(nNOTA))/SUMPRODUCT((nNIA=A173)*(nCUENTA=1)*(COUNTIF(CONFIG_ASIGNATURAS!$B$7:$B$27,nASIG)&gt;0)*1),"")))</f>
        <v/>
      </c>
      <c r="H173" t="str">
        <f>IF(G173="","",IF(G173="[FÓRMULA MANUAL]","",IFERROR(AVERAGEIFS(nNOTA,nNIA,G173,nCUENTA,1,nASIG,"Lenguaje Musical"),"")))</f>
        <v/>
      </c>
      <c r="I173" t="str">
        <f>IF(G173="","",IF(G173="[FÓRMULA MANUAL]","",IFERROR(AVERAGEIFS(nNOTA,nNIA,G173,nCUENTA,1,nASIG,"Orquesta/Banda/Conjunto"),"")))</f>
        <v/>
      </c>
      <c r="J173" t="str">
        <f>IF(G173="","",IF(G173="[FÓRMULA MANUAL]","",IFERROR(AVERAGEIFS(nNOTA,nNIA,G173,nCUENTA,1,nASIG,"Conjunto"),"")))</f>
        <v/>
      </c>
      <c r="K173" t="str">
        <f>IF(G173="","",IF(G173="[FÓRMULA MANUAL]","",IFERROR(SUMPRODUCT((nNIA=G173)*(nCUENTA=1)*(COUNTIF(CONFIG_ASIGNATURAS!$B$7:$B$27,nASIG)&gt;0)*(nNOTA))/SUMPRODUCT((nNIA=G173)*(nCUENTA=1)*(COUNTIF(CONFIG_ASIGNATURAS!$B$7:$B$27,nASIG)&gt;0)*1),"")))</f>
        <v/>
      </c>
      <c r="N173" t="str">
        <f>IF(M173="","",IF(M173="[FÓRMULA MANUAL]","",IFERROR(AVERAGEIFS(nNOTA,nNIA,M173,nCUENTA,1,nASIG,"Armonía"),"")))</f>
        <v/>
      </c>
      <c r="O173" t="str">
        <f>IF(M173="","",IF(M173="[FÓRMULA MANUAL]","",IFERROR(AVERAGEIFS(nNOTA,nNIA,M173,nCUENTA,1,nASIG,"Orquesta/Banda/Conjunto"),"")))</f>
        <v/>
      </c>
      <c r="P173" t="str">
        <f>IF(M173="","",IF(M173="[FÓRMULA MANUAL]","",IFERROR(AVERAGEIFS(nNOTA,nNIA,M173,nCUENTA,1,nASIG,"Música de Cámara"),"")))</f>
        <v/>
      </c>
      <c r="Q173" t="str">
        <f>IF(M173="","",IF(M173="[FÓRMULA MANUAL]","",IFERROR(SUMPRODUCT((nNIA=M173)*(nCUENTA=1)*(COUNTIF(CONFIG_ASIGNATURAS!$B$7:$B$27,nASIG)&gt;0)*(nNOTA))/SUMPRODUCT((nNIA=M173)*(nCUENTA=1)*(COUNTIF(CONFIG_ASIGNATURAS!$B$7:$B$27,nASIG)&gt;0)*1),"")))</f>
        <v/>
      </c>
      <c r="T173" t="str">
        <f>IF(S173="","",IF(S173="[FÓRMULA MANUAL]","",IFERROR(AVERAGEIFS(nNOTA,nNIA,S173,nCUENTA,1,nASIG,"Armonía"),"")))</f>
        <v/>
      </c>
      <c r="U173" t="str">
        <f>IF(S173="","",IF(S173="[FÓRMULA MANUAL]","",IFERROR(AVERAGEIFS(nNOTA,nNIA,S173,nCUENTA,1,nASIG,"Orquesta/Banda/Conjunto"),"")))</f>
        <v/>
      </c>
      <c r="V173" t="str">
        <f>IF(S173="","",IF(S173="[FÓRMULA MANUAL]","",IFERROR(AVERAGEIFS(nNOTA,nNIA,S173,nCUENTA,1,nASIG,"Música de Cámara"),"")))</f>
        <v/>
      </c>
      <c r="W173" t="str">
        <f>IF(S173="","",IF(S173="[FÓRMULA MANUAL]","",IFERROR(SUMPRODUCT((nNIA=S173)*(nCUENTA=1)*(COUNTIF(CONFIG_ASIGNATURAS!$B$7:$B$27,nASIG)&gt;0)*(nNOTA))/SUMPRODUCT((nNIA=S173)*(nCUENTA=1)*(COUNTIF(CONFIG_ASIGNATURAS!$B$7:$B$27,nASIG)&gt;0)*1),"")))</f>
        <v/>
      </c>
      <c r="Z173" t="str">
        <f>IF(Y173="","",IF(Y173="[FÓRMULA MANUAL]","",IFERROR(AVERAGEIFS(nNOTA,nNIA,Y173,nCUENTA,1,nASIG,"Análisis"),"")))</f>
        <v/>
      </c>
      <c r="AA173" t="str">
        <f>IF(Y173="","",IF(Y173="[FÓRMULA MANUAL]","",IFERROR(AVERAGEIFS(nNOTA,nNIA,Y173,nCUENTA,1,nASIG,"Orquesta/Banda/Conjunto"),"")))</f>
        <v/>
      </c>
      <c r="AB173" t="str">
        <f>IF(Y173="","",IF(Y173="[FÓRMULA MANUAL]","",IFERROR(AVERAGEIFS(nNOTA,nNIA,Y173,nCUENTA,1,nASIG,"Música de Cámara"),"")))</f>
        <v/>
      </c>
      <c r="AC173" t="str">
        <f>IF(Y173="","",IF(Y173="[FÓRMULA MANUAL]","",IFERROR(SUMPRODUCT((nNIA=Y173)*(nCUENTA=1)*(COUNTIF(CONFIG_ASIGNATURAS!$B$7:$B$27,nASIG)&gt;0)*(nNOTA))/SUMPRODUCT((nNIA=Y173)*(nCUENTA=1)*(COUNTIF(CONFIG_ASIGNATURAS!$B$7:$B$27,nASIG)&gt;0)*1),"")))</f>
        <v/>
      </c>
      <c r="AF173" t="str">
        <f>IF(AE173="","",IF(AE173="[FÓRMULA MANUAL]","",IFERROR(AVERAGEIFS(nNOTA,nNIA,AE173,nCUENTA,1,nASIG,"Análisis"),"")))</f>
        <v/>
      </c>
      <c r="AG173" t="str">
        <f>IF(AE173="","",IF(AE173="[FÓRMULA MANUAL]","",IFERROR(AVERAGEIFS(nNOTA,nNIA,AE173,nCUENTA,1,nASIG,"Orquesta/Banda/Conjunto"),"")))</f>
        <v/>
      </c>
      <c r="AH173" t="str">
        <f>IF(AE173="","",IF(AE173="[FÓRMULA MANUAL]","",IFERROR(AVERAGEIFS(nNOTA,nNIA,AE173,nCUENTA,1,nASIG,"Música de Cámara"),"")))</f>
        <v/>
      </c>
      <c r="AI173" t="str">
        <f>IF(AE173="","",IF(AE173="[FÓRMULA MANUAL]","",IFERROR(SUMPRODUCT((nNIA=AE173)*(nCUENTA=1)*(COUNTIF(CONFIG_ASIGNATURAS!$B$7:$B$27,nASIG)&gt;0)*(nNOTA))/SUMPRODUCT((nNIA=AE173)*(nCUENTA=1)*(COUNTIF(CONFIG_ASIGNATURAS!$B$7:$B$27,nASIG)&gt;0)*1),"")))</f>
        <v/>
      </c>
    </row>
    <row r="174" spans="2:35" x14ac:dyDescent="0.2">
      <c r="B174" t="str">
        <f>IF(A174="","",IF(A174="[FÓRMULA MANUAL]","",IFERROR(AVERAGEIFS(nNOTA,nNIA,A174,nCUENTA,1,nASIG,"Lenguaje Musical"),"")))</f>
        <v/>
      </c>
      <c r="C174" t="str">
        <f>IF(A174="","",IF(A174="[FÓRMULA MANUAL]","",IFERROR(AVERAGEIFS(nNOTA,nNIA,A174,nCUENTA,1,nASIG,"Orquesta/Banda/Conjunto"),"")))</f>
        <v/>
      </c>
      <c r="D174" t="str">
        <f>IF(A174="","",IF(A174="[FÓRMULA MANUAL]","",IFERROR(AVERAGEIFS(nNOTA,nNIA,A174,nCUENTA,1,nASIG,"Conjunto"),"")))</f>
        <v/>
      </c>
      <c r="E174" t="str">
        <f>IF(A174="","",IF(A174="[FÓRMULA MANUAL]","",IFERROR(SUMPRODUCT((nNIA=A174)*(nCUENTA=1)*(COUNTIF(CONFIG_ASIGNATURAS!$B$7:$B$27,nASIG)&gt;0)*(nNOTA))/SUMPRODUCT((nNIA=A174)*(nCUENTA=1)*(COUNTIF(CONFIG_ASIGNATURAS!$B$7:$B$27,nASIG)&gt;0)*1),"")))</f>
        <v/>
      </c>
      <c r="H174" t="str">
        <f>IF(G174="","",IF(G174="[FÓRMULA MANUAL]","",IFERROR(AVERAGEIFS(nNOTA,nNIA,G174,nCUENTA,1,nASIG,"Lenguaje Musical"),"")))</f>
        <v/>
      </c>
      <c r="I174" t="str">
        <f>IF(G174="","",IF(G174="[FÓRMULA MANUAL]","",IFERROR(AVERAGEIFS(nNOTA,nNIA,G174,nCUENTA,1,nASIG,"Orquesta/Banda/Conjunto"),"")))</f>
        <v/>
      </c>
      <c r="J174" t="str">
        <f>IF(G174="","",IF(G174="[FÓRMULA MANUAL]","",IFERROR(AVERAGEIFS(nNOTA,nNIA,G174,nCUENTA,1,nASIG,"Conjunto"),"")))</f>
        <v/>
      </c>
      <c r="K174" t="str">
        <f>IF(G174="","",IF(G174="[FÓRMULA MANUAL]","",IFERROR(SUMPRODUCT((nNIA=G174)*(nCUENTA=1)*(COUNTIF(CONFIG_ASIGNATURAS!$B$7:$B$27,nASIG)&gt;0)*(nNOTA))/SUMPRODUCT((nNIA=G174)*(nCUENTA=1)*(COUNTIF(CONFIG_ASIGNATURAS!$B$7:$B$27,nASIG)&gt;0)*1),"")))</f>
        <v/>
      </c>
      <c r="N174" t="str">
        <f>IF(M174="","",IF(M174="[FÓRMULA MANUAL]","",IFERROR(AVERAGEIFS(nNOTA,nNIA,M174,nCUENTA,1,nASIG,"Armonía"),"")))</f>
        <v/>
      </c>
      <c r="O174" t="str">
        <f>IF(M174="","",IF(M174="[FÓRMULA MANUAL]","",IFERROR(AVERAGEIFS(nNOTA,nNIA,M174,nCUENTA,1,nASIG,"Orquesta/Banda/Conjunto"),"")))</f>
        <v/>
      </c>
      <c r="P174" t="str">
        <f>IF(M174="","",IF(M174="[FÓRMULA MANUAL]","",IFERROR(AVERAGEIFS(nNOTA,nNIA,M174,nCUENTA,1,nASIG,"Música de Cámara"),"")))</f>
        <v/>
      </c>
      <c r="Q174" t="str">
        <f>IF(M174="","",IF(M174="[FÓRMULA MANUAL]","",IFERROR(SUMPRODUCT((nNIA=M174)*(nCUENTA=1)*(COUNTIF(CONFIG_ASIGNATURAS!$B$7:$B$27,nASIG)&gt;0)*(nNOTA))/SUMPRODUCT((nNIA=M174)*(nCUENTA=1)*(COUNTIF(CONFIG_ASIGNATURAS!$B$7:$B$27,nASIG)&gt;0)*1),"")))</f>
        <v/>
      </c>
      <c r="T174" t="str">
        <f>IF(S174="","",IF(S174="[FÓRMULA MANUAL]","",IFERROR(AVERAGEIFS(nNOTA,nNIA,S174,nCUENTA,1,nASIG,"Armonía"),"")))</f>
        <v/>
      </c>
      <c r="U174" t="str">
        <f>IF(S174="","",IF(S174="[FÓRMULA MANUAL]","",IFERROR(AVERAGEIFS(nNOTA,nNIA,S174,nCUENTA,1,nASIG,"Orquesta/Banda/Conjunto"),"")))</f>
        <v/>
      </c>
      <c r="V174" t="str">
        <f>IF(S174="","",IF(S174="[FÓRMULA MANUAL]","",IFERROR(AVERAGEIFS(nNOTA,nNIA,S174,nCUENTA,1,nASIG,"Música de Cámara"),"")))</f>
        <v/>
      </c>
      <c r="W174" t="str">
        <f>IF(S174="","",IF(S174="[FÓRMULA MANUAL]","",IFERROR(SUMPRODUCT((nNIA=S174)*(nCUENTA=1)*(COUNTIF(CONFIG_ASIGNATURAS!$B$7:$B$27,nASIG)&gt;0)*(nNOTA))/SUMPRODUCT((nNIA=S174)*(nCUENTA=1)*(COUNTIF(CONFIG_ASIGNATURAS!$B$7:$B$27,nASIG)&gt;0)*1),"")))</f>
        <v/>
      </c>
      <c r="Z174" t="str">
        <f>IF(Y174="","",IF(Y174="[FÓRMULA MANUAL]","",IFERROR(AVERAGEIFS(nNOTA,nNIA,Y174,nCUENTA,1,nASIG,"Análisis"),"")))</f>
        <v/>
      </c>
      <c r="AA174" t="str">
        <f>IF(Y174="","",IF(Y174="[FÓRMULA MANUAL]","",IFERROR(AVERAGEIFS(nNOTA,nNIA,Y174,nCUENTA,1,nASIG,"Orquesta/Banda/Conjunto"),"")))</f>
        <v/>
      </c>
      <c r="AB174" t="str">
        <f>IF(Y174="","",IF(Y174="[FÓRMULA MANUAL]","",IFERROR(AVERAGEIFS(nNOTA,nNIA,Y174,nCUENTA,1,nASIG,"Música de Cámara"),"")))</f>
        <v/>
      </c>
      <c r="AC174" t="str">
        <f>IF(Y174="","",IF(Y174="[FÓRMULA MANUAL]","",IFERROR(SUMPRODUCT((nNIA=Y174)*(nCUENTA=1)*(COUNTIF(CONFIG_ASIGNATURAS!$B$7:$B$27,nASIG)&gt;0)*(nNOTA))/SUMPRODUCT((nNIA=Y174)*(nCUENTA=1)*(COUNTIF(CONFIG_ASIGNATURAS!$B$7:$B$27,nASIG)&gt;0)*1),"")))</f>
        <v/>
      </c>
      <c r="AF174" t="str">
        <f>IF(AE174="","",IF(AE174="[FÓRMULA MANUAL]","",IFERROR(AVERAGEIFS(nNOTA,nNIA,AE174,nCUENTA,1,nASIG,"Análisis"),"")))</f>
        <v/>
      </c>
      <c r="AG174" t="str">
        <f>IF(AE174="","",IF(AE174="[FÓRMULA MANUAL]","",IFERROR(AVERAGEIFS(nNOTA,nNIA,AE174,nCUENTA,1,nASIG,"Orquesta/Banda/Conjunto"),"")))</f>
        <v/>
      </c>
      <c r="AH174" t="str">
        <f>IF(AE174="","",IF(AE174="[FÓRMULA MANUAL]","",IFERROR(AVERAGEIFS(nNOTA,nNIA,AE174,nCUENTA,1,nASIG,"Música de Cámara"),"")))</f>
        <v/>
      </c>
      <c r="AI174" t="str">
        <f>IF(AE174="","",IF(AE174="[FÓRMULA MANUAL]","",IFERROR(SUMPRODUCT((nNIA=AE174)*(nCUENTA=1)*(COUNTIF(CONFIG_ASIGNATURAS!$B$7:$B$27,nASIG)&gt;0)*(nNOTA))/SUMPRODUCT((nNIA=AE174)*(nCUENTA=1)*(COUNTIF(CONFIG_ASIGNATURAS!$B$7:$B$27,nASIG)&gt;0)*1),"")))</f>
        <v/>
      </c>
    </row>
    <row r="175" spans="2:35" x14ac:dyDescent="0.2">
      <c r="B175" t="str">
        <f>IF(A175="","",IF(A175="[FÓRMULA MANUAL]","",IFERROR(AVERAGEIFS(nNOTA,nNIA,A175,nCUENTA,1,nASIG,"Lenguaje Musical"),"")))</f>
        <v/>
      </c>
      <c r="C175" t="str">
        <f>IF(A175="","",IF(A175="[FÓRMULA MANUAL]","",IFERROR(AVERAGEIFS(nNOTA,nNIA,A175,nCUENTA,1,nASIG,"Orquesta/Banda/Conjunto"),"")))</f>
        <v/>
      </c>
      <c r="D175" t="str">
        <f>IF(A175="","",IF(A175="[FÓRMULA MANUAL]","",IFERROR(AVERAGEIFS(nNOTA,nNIA,A175,nCUENTA,1,nASIG,"Conjunto"),"")))</f>
        <v/>
      </c>
      <c r="E175" t="str">
        <f>IF(A175="","",IF(A175="[FÓRMULA MANUAL]","",IFERROR(SUMPRODUCT((nNIA=A175)*(nCUENTA=1)*(COUNTIF(CONFIG_ASIGNATURAS!$B$7:$B$27,nASIG)&gt;0)*(nNOTA))/SUMPRODUCT((nNIA=A175)*(nCUENTA=1)*(COUNTIF(CONFIG_ASIGNATURAS!$B$7:$B$27,nASIG)&gt;0)*1),"")))</f>
        <v/>
      </c>
      <c r="H175" t="str">
        <f>IF(G175="","",IF(G175="[FÓRMULA MANUAL]","",IFERROR(AVERAGEIFS(nNOTA,nNIA,G175,nCUENTA,1,nASIG,"Lenguaje Musical"),"")))</f>
        <v/>
      </c>
      <c r="I175" t="str">
        <f>IF(G175="","",IF(G175="[FÓRMULA MANUAL]","",IFERROR(AVERAGEIFS(nNOTA,nNIA,G175,nCUENTA,1,nASIG,"Orquesta/Banda/Conjunto"),"")))</f>
        <v/>
      </c>
      <c r="J175" t="str">
        <f>IF(G175="","",IF(G175="[FÓRMULA MANUAL]","",IFERROR(AVERAGEIFS(nNOTA,nNIA,G175,nCUENTA,1,nASIG,"Conjunto"),"")))</f>
        <v/>
      </c>
      <c r="K175" t="str">
        <f>IF(G175="","",IF(G175="[FÓRMULA MANUAL]","",IFERROR(SUMPRODUCT((nNIA=G175)*(nCUENTA=1)*(COUNTIF(CONFIG_ASIGNATURAS!$B$7:$B$27,nASIG)&gt;0)*(nNOTA))/SUMPRODUCT((nNIA=G175)*(nCUENTA=1)*(COUNTIF(CONFIG_ASIGNATURAS!$B$7:$B$27,nASIG)&gt;0)*1),"")))</f>
        <v/>
      </c>
      <c r="N175" t="str">
        <f>IF(M175="","",IF(M175="[FÓRMULA MANUAL]","",IFERROR(AVERAGEIFS(nNOTA,nNIA,M175,nCUENTA,1,nASIG,"Armonía"),"")))</f>
        <v/>
      </c>
      <c r="O175" t="str">
        <f>IF(M175="","",IF(M175="[FÓRMULA MANUAL]","",IFERROR(AVERAGEIFS(nNOTA,nNIA,M175,nCUENTA,1,nASIG,"Orquesta/Banda/Conjunto"),"")))</f>
        <v/>
      </c>
      <c r="P175" t="str">
        <f>IF(M175="","",IF(M175="[FÓRMULA MANUAL]","",IFERROR(AVERAGEIFS(nNOTA,nNIA,M175,nCUENTA,1,nASIG,"Música de Cámara"),"")))</f>
        <v/>
      </c>
      <c r="Q175" t="str">
        <f>IF(M175="","",IF(M175="[FÓRMULA MANUAL]","",IFERROR(SUMPRODUCT((nNIA=M175)*(nCUENTA=1)*(COUNTIF(CONFIG_ASIGNATURAS!$B$7:$B$27,nASIG)&gt;0)*(nNOTA))/SUMPRODUCT((nNIA=M175)*(nCUENTA=1)*(COUNTIF(CONFIG_ASIGNATURAS!$B$7:$B$27,nASIG)&gt;0)*1),"")))</f>
        <v/>
      </c>
      <c r="T175" t="str">
        <f>IF(S175="","",IF(S175="[FÓRMULA MANUAL]","",IFERROR(AVERAGEIFS(nNOTA,nNIA,S175,nCUENTA,1,nASIG,"Armonía"),"")))</f>
        <v/>
      </c>
      <c r="U175" t="str">
        <f>IF(S175="","",IF(S175="[FÓRMULA MANUAL]","",IFERROR(AVERAGEIFS(nNOTA,nNIA,S175,nCUENTA,1,nASIG,"Orquesta/Banda/Conjunto"),"")))</f>
        <v/>
      </c>
      <c r="V175" t="str">
        <f>IF(S175="","",IF(S175="[FÓRMULA MANUAL]","",IFERROR(AVERAGEIFS(nNOTA,nNIA,S175,nCUENTA,1,nASIG,"Música de Cámara"),"")))</f>
        <v/>
      </c>
      <c r="W175" t="str">
        <f>IF(S175="","",IF(S175="[FÓRMULA MANUAL]","",IFERROR(SUMPRODUCT((nNIA=S175)*(nCUENTA=1)*(COUNTIF(CONFIG_ASIGNATURAS!$B$7:$B$27,nASIG)&gt;0)*(nNOTA))/SUMPRODUCT((nNIA=S175)*(nCUENTA=1)*(COUNTIF(CONFIG_ASIGNATURAS!$B$7:$B$27,nASIG)&gt;0)*1),"")))</f>
        <v/>
      </c>
      <c r="Z175" t="str">
        <f>IF(Y175="","",IF(Y175="[FÓRMULA MANUAL]","",IFERROR(AVERAGEIFS(nNOTA,nNIA,Y175,nCUENTA,1,nASIG,"Análisis"),"")))</f>
        <v/>
      </c>
      <c r="AA175" t="str">
        <f>IF(Y175="","",IF(Y175="[FÓRMULA MANUAL]","",IFERROR(AVERAGEIFS(nNOTA,nNIA,Y175,nCUENTA,1,nASIG,"Orquesta/Banda/Conjunto"),"")))</f>
        <v/>
      </c>
      <c r="AB175" t="str">
        <f>IF(Y175="","",IF(Y175="[FÓRMULA MANUAL]","",IFERROR(AVERAGEIFS(nNOTA,nNIA,Y175,nCUENTA,1,nASIG,"Música de Cámara"),"")))</f>
        <v/>
      </c>
      <c r="AC175" t="str">
        <f>IF(Y175="","",IF(Y175="[FÓRMULA MANUAL]","",IFERROR(SUMPRODUCT((nNIA=Y175)*(nCUENTA=1)*(COUNTIF(CONFIG_ASIGNATURAS!$B$7:$B$27,nASIG)&gt;0)*(nNOTA))/SUMPRODUCT((nNIA=Y175)*(nCUENTA=1)*(COUNTIF(CONFIG_ASIGNATURAS!$B$7:$B$27,nASIG)&gt;0)*1),"")))</f>
        <v/>
      </c>
      <c r="AF175" t="str">
        <f>IF(AE175="","",IF(AE175="[FÓRMULA MANUAL]","",IFERROR(AVERAGEIFS(nNOTA,nNIA,AE175,nCUENTA,1,nASIG,"Análisis"),"")))</f>
        <v/>
      </c>
      <c r="AG175" t="str">
        <f>IF(AE175="","",IF(AE175="[FÓRMULA MANUAL]","",IFERROR(AVERAGEIFS(nNOTA,nNIA,AE175,nCUENTA,1,nASIG,"Orquesta/Banda/Conjunto"),"")))</f>
        <v/>
      </c>
      <c r="AH175" t="str">
        <f>IF(AE175="","",IF(AE175="[FÓRMULA MANUAL]","",IFERROR(AVERAGEIFS(nNOTA,nNIA,AE175,nCUENTA,1,nASIG,"Música de Cámara"),"")))</f>
        <v/>
      </c>
      <c r="AI175" t="str">
        <f>IF(AE175="","",IF(AE175="[FÓRMULA MANUAL]","",IFERROR(SUMPRODUCT((nNIA=AE175)*(nCUENTA=1)*(COUNTIF(CONFIG_ASIGNATURAS!$B$7:$B$27,nASIG)&gt;0)*(nNOTA))/SUMPRODUCT((nNIA=AE175)*(nCUENTA=1)*(COUNTIF(CONFIG_ASIGNATURAS!$B$7:$B$27,nASIG)&gt;0)*1),"")))</f>
        <v/>
      </c>
    </row>
    <row r="176" spans="2:35" x14ac:dyDescent="0.2">
      <c r="B176" t="str">
        <f>IF(A176="","",IF(A176="[FÓRMULA MANUAL]","",IFERROR(AVERAGEIFS(nNOTA,nNIA,A176,nCUENTA,1,nASIG,"Lenguaje Musical"),"")))</f>
        <v/>
      </c>
      <c r="C176" t="str">
        <f>IF(A176="","",IF(A176="[FÓRMULA MANUAL]","",IFERROR(AVERAGEIFS(nNOTA,nNIA,A176,nCUENTA,1,nASIG,"Orquesta/Banda/Conjunto"),"")))</f>
        <v/>
      </c>
      <c r="D176" t="str">
        <f>IF(A176="","",IF(A176="[FÓRMULA MANUAL]","",IFERROR(AVERAGEIFS(nNOTA,nNIA,A176,nCUENTA,1,nASIG,"Conjunto"),"")))</f>
        <v/>
      </c>
      <c r="E176" t="str">
        <f>IF(A176="","",IF(A176="[FÓRMULA MANUAL]","",IFERROR(SUMPRODUCT((nNIA=A176)*(nCUENTA=1)*(COUNTIF(CONFIG_ASIGNATURAS!$B$7:$B$27,nASIG)&gt;0)*(nNOTA))/SUMPRODUCT((nNIA=A176)*(nCUENTA=1)*(COUNTIF(CONFIG_ASIGNATURAS!$B$7:$B$27,nASIG)&gt;0)*1),"")))</f>
        <v/>
      </c>
      <c r="H176" t="str">
        <f>IF(G176="","",IF(G176="[FÓRMULA MANUAL]","",IFERROR(AVERAGEIFS(nNOTA,nNIA,G176,nCUENTA,1,nASIG,"Lenguaje Musical"),"")))</f>
        <v/>
      </c>
      <c r="I176" t="str">
        <f>IF(G176="","",IF(G176="[FÓRMULA MANUAL]","",IFERROR(AVERAGEIFS(nNOTA,nNIA,G176,nCUENTA,1,nASIG,"Orquesta/Banda/Conjunto"),"")))</f>
        <v/>
      </c>
      <c r="J176" t="str">
        <f>IF(G176="","",IF(G176="[FÓRMULA MANUAL]","",IFERROR(AVERAGEIFS(nNOTA,nNIA,G176,nCUENTA,1,nASIG,"Conjunto"),"")))</f>
        <v/>
      </c>
      <c r="K176" t="str">
        <f>IF(G176="","",IF(G176="[FÓRMULA MANUAL]","",IFERROR(SUMPRODUCT((nNIA=G176)*(nCUENTA=1)*(COUNTIF(CONFIG_ASIGNATURAS!$B$7:$B$27,nASIG)&gt;0)*(nNOTA))/SUMPRODUCT((nNIA=G176)*(nCUENTA=1)*(COUNTIF(CONFIG_ASIGNATURAS!$B$7:$B$27,nASIG)&gt;0)*1),"")))</f>
        <v/>
      </c>
      <c r="N176" t="str">
        <f>IF(M176="","",IF(M176="[FÓRMULA MANUAL]","",IFERROR(AVERAGEIFS(nNOTA,nNIA,M176,nCUENTA,1,nASIG,"Armonía"),"")))</f>
        <v/>
      </c>
      <c r="O176" t="str">
        <f>IF(M176="","",IF(M176="[FÓRMULA MANUAL]","",IFERROR(AVERAGEIFS(nNOTA,nNIA,M176,nCUENTA,1,nASIG,"Orquesta/Banda/Conjunto"),"")))</f>
        <v/>
      </c>
      <c r="P176" t="str">
        <f>IF(M176="","",IF(M176="[FÓRMULA MANUAL]","",IFERROR(AVERAGEIFS(nNOTA,nNIA,M176,nCUENTA,1,nASIG,"Música de Cámara"),"")))</f>
        <v/>
      </c>
      <c r="Q176" t="str">
        <f>IF(M176="","",IF(M176="[FÓRMULA MANUAL]","",IFERROR(SUMPRODUCT((nNIA=M176)*(nCUENTA=1)*(COUNTIF(CONFIG_ASIGNATURAS!$B$7:$B$27,nASIG)&gt;0)*(nNOTA))/SUMPRODUCT((nNIA=M176)*(nCUENTA=1)*(COUNTIF(CONFIG_ASIGNATURAS!$B$7:$B$27,nASIG)&gt;0)*1),"")))</f>
        <v/>
      </c>
      <c r="T176" t="str">
        <f>IF(S176="","",IF(S176="[FÓRMULA MANUAL]","",IFERROR(AVERAGEIFS(nNOTA,nNIA,S176,nCUENTA,1,nASIG,"Armonía"),"")))</f>
        <v/>
      </c>
      <c r="U176" t="str">
        <f>IF(S176="","",IF(S176="[FÓRMULA MANUAL]","",IFERROR(AVERAGEIFS(nNOTA,nNIA,S176,nCUENTA,1,nASIG,"Orquesta/Banda/Conjunto"),"")))</f>
        <v/>
      </c>
      <c r="V176" t="str">
        <f>IF(S176="","",IF(S176="[FÓRMULA MANUAL]","",IFERROR(AVERAGEIFS(nNOTA,nNIA,S176,nCUENTA,1,nASIG,"Música de Cámara"),"")))</f>
        <v/>
      </c>
      <c r="W176" t="str">
        <f>IF(S176="","",IF(S176="[FÓRMULA MANUAL]","",IFERROR(SUMPRODUCT((nNIA=S176)*(nCUENTA=1)*(COUNTIF(CONFIG_ASIGNATURAS!$B$7:$B$27,nASIG)&gt;0)*(nNOTA))/SUMPRODUCT((nNIA=S176)*(nCUENTA=1)*(COUNTIF(CONFIG_ASIGNATURAS!$B$7:$B$27,nASIG)&gt;0)*1),"")))</f>
        <v/>
      </c>
      <c r="Z176" t="str">
        <f>IF(Y176="","",IF(Y176="[FÓRMULA MANUAL]","",IFERROR(AVERAGEIFS(nNOTA,nNIA,Y176,nCUENTA,1,nASIG,"Análisis"),"")))</f>
        <v/>
      </c>
      <c r="AA176" t="str">
        <f>IF(Y176="","",IF(Y176="[FÓRMULA MANUAL]","",IFERROR(AVERAGEIFS(nNOTA,nNIA,Y176,nCUENTA,1,nASIG,"Orquesta/Banda/Conjunto"),"")))</f>
        <v/>
      </c>
      <c r="AB176" t="str">
        <f>IF(Y176="","",IF(Y176="[FÓRMULA MANUAL]","",IFERROR(AVERAGEIFS(nNOTA,nNIA,Y176,nCUENTA,1,nASIG,"Música de Cámara"),"")))</f>
        <v/>
      </c>
      <c r="AC176" t="str">
        <f>IF(Y176="","",IF(Y176="[FÓRMULA MANUAL]","",IFERROR(SUMPRODUCT((nNIA=Y176)*(nCUENTA=1)*(COUNTIF(CONFIG_ASIGNATURAS!$B$7:$B$27,nASIG)&gt;0)*(nNOTA))/SUMPRODUCT((nNIA=Y176)*(nCUENTA=1)*(COUNTIF(CONFIG_ASIGNATURAS!$B$7:$B$27,nASIG)&gt;0)*1),"")))</f>
        <v/>
      </c>
      <c r="AF176" t="str">
        <f>IF(AE176="","",IF(AE176="[FÓRMULA MANUAL]","",IFERROR(AVERAGEIFS(nNOTA,nNIA,AE176,nCUENTA,1,nASIG,"Análisis"),"")))</f>
        <v/>
      </c>
      <c r="AG176" t="str">
        <f>IF(AE176="","",IF(AE176="[FÓRMULA MANUAL]","",IFERROR(AVERAGEIFS(nNOTA,nNIA,AE176,nCUENTA,1,nASIG,"Orquesta/Banda/Conjunto"),"")))</f>
        <v/>
      </c>
      <c r="AH176" t="str">
        <f>IF(AE176="","",IF(AE176="[FÓRMULA MANUAL]","",IFERROR(AVERAGEIFS(nNOTA,nNIA,AE176,nCUENTA,1,nASIG,"Música de Cámara"),"")))</f>
        <v/>
      </c>
      <c r="AI176" t="str">
        <f>IF(AE176="","",IF(AE176="[FÓRMULA MANUAL]","",IFERROR(SUMPRODUCT((nNIA=AE176)*(nCUENTA=1)*(COUNTIF(CONFIG_ASIGNATURAS!$B$7:$B$27,nASIG)&gt;0)*(nNOTA))/SUMPRODUCT((nNIA=AE176)*(nCUENTA=1)*(COUNTIF(CONFIG_ASIGNATURAS!$B$7:$B$27,nASIG)&gt;0)*1),"")))</f>
        <v/>
      </c>
    </row>
    <row r="177" spans="2:35" x14ac:dyDescent="0.2">
      <c r="B177" t="str">
        <f>IF(A177="","",IF(A177="[FÓRMULA MANUAL]","",IFERROR(AVERAGEIFS(nNOTA,nNIA,A177,nCUENTA,1,nASIG,"Lenguaje Musical"),"")))</f>
        <v/>
      </c>
      <c r="C177" t="str">
        <f>IF(A177="","",IF(A177="[FÓRMULA MANUAL]","",IFERROR(AVERAGEIFS(nNOTA,nNIA,A177,nCUENTA,1,nASIG,"Orquesta/Banda/Conjunto"),"")))</f>
        <v/>
      </c>
      <c r="D177" t="str">
        <f>IF(A177="","",IF(A177="[FÓRMULA MANUAL]","",IFERROR(AVERAGEIFS(nNOTA,nNIA,A177,nCUENTA,1,nASIG,"Conjunto"),"")))</f>
        <v/>
      </c>
      <c r="E177" t="str">
        <f>IF(A177="","",IF(A177="[FÓRMULA MANUAL]","",IFERROR(SUMPRODUCT((nNIA=A177)*(nCUENTA=1)*(COUNTIF(CONFIG_ASIGNATURAS!$B$7:$B$27,nASIG)&gt;0)*(nNOTA))/SUMPRODUCT((nNIA=A177)*(nCUENTA=1)*(COUNTIF(CONFIG_ASIGNATURAS!$B$7:$B$27,nASIG)&gt;0)*1),"")))</f>
        <v/>
      </c>
      <c r="H177" t="str">
        <f>IF(G177="","",IF(G177="[FÓRMULA MANUAL]","",IFERROR(AVERAGEIFS(nNOTA,nNIA,G177,nCUENTA,1,nASIG,"Lenguaje Musical"),"")))</f>
        <v/>
      </c>
      <c r="I177" t="str">
        <f>IF(G177="","",IF(G177="[FÓRMULA MANUAL]","",IFERROR(AVERAGEIFS(nNOTA,nNIA,G177,nCUENTA,1,nASIG,"Orquesta/Banda/Conjunto"),"")))</f>
        <v/>
      </c>
      <c r="J177" t="str">
        <f>IF(G177="","",IF(G177="[FÓRMULA MANUAL]","",IFERROR(AVERAGEIFS(nNOTA,nNIA,G177,nCUENTA,1,nASIG,"Conjunto"),"")))</f>
        <v/>
      </c>
      <c r="K177" t="str">
        <f>IF(G177="","",IF(G177="[FÓRMULA MANUAL]","",IFERROR(SUMPRODUCT((nNIA=G177)*(nCUENTA=1)*(COUNTIF(CONFIG_ASIGNATURAS!$B$7:$B$27,nASIG)&gt;0)*(nNOTA))/SUMPRODUCT((nNIA=G177)*(nCUENTA=1)*(COUNTIF(CONFIG_ASIGNATURAS!$B$7:$B$27,nASIG)&gt;0)*1),"")))</f>
        <v/>
      </c>
      <c r="N177" t="str">
        <f>IF(M177="","",IF(M177="[FÓRMULA MANUAL]","",IFERROR(AVERAGEIFS(nNOTA,nNIA,M177,nCUENTA,1,nASIG,"Armonía"),"")))</f>
        <v/>
      </c>
      <c r="O177" t="str">
        <f>IF(M177="","",IF(M177="[FÓRMULA MANUAL]","",IFERROR(AVERAGEIFS(nNOTA,nNIA,M177,nCUENTA,1,nASIG,"Orquesta/Banda/Conjunto"),"")))</f>
        <v/>
      </c>
      <c r="P177" t="str">
        <f>IF(M177="","",IF(M177="[FÓRMULA MANUAL]","",IFERROR(AVERAGEIFS(nNOTA,nNIA,M177,nCUENTA,1,nASIG,"Música de Cámara"),"")))</f>
        <v/>
      </c>
      <c r="Q177" t="str">
        <f>IF(M177="","",IF(M177="[FÓRMULA MANUAL]","",IFERROR(SUMPRODUCT((nNIA=M177)*(nCUENTA=1)*(COUNTIF(CONFIG_ASIGNATURAS!$B$7:$B$27,nASIG)&gt;0)*(nNOTA))/SUMPRODUCT((nNIA=M177)*(nCUENTA=1)*(COUNTIF(CONFIG_ASIGNATURAS!$B$7:$B$27,nASIG)&gt;0)*1),"")))</f>
        <v/>
      </c>
      <c r="T177" t="str">
        <f>IF(S177="","",IF(S177="[FÓRMULA MANUAL]","",IFERROR(AVERAGEIFS(nNOTA,nNIA,S177,nCUENTA,1,nASIG,"Armonía"),"")))</f>
        <v/>
      </c>
      <c r="U177" t="str">
        <f>IF(S177="","",IF(S177="[FÓRMULA MANUAL]","",IFERROR(AVERAGEIFS(nNOTA,nNIA,S177,nCUENTA,1,nASIG,"Orquesta/Banda/Conjunto"),"")))</f>
        <v/>
      </c>
      <c r="V177" t="str">
        <f>IF(S177="","",IF(S177="[FÓRMULA MANUAL]","",IFERROR(AVERAGEIFS(nNOTA,nNIA,S177,nCUENTA,1,nASIG,"Música de Cámara"),"")))</f>
        <v/>
      </c>
      <c r="W177" t="str">
        <f>IF(S177="","",IF(S177="[FÓRMULA MANUAL]","",IFERROR(SUMPRODUCT((nNIA=S177)*(nCUENTA=1)*(COUNTIF(CONFIG_ASIGNATURAS!$B$7:$B$27,nASIG)&gt;0)*(nNOTA))/SUMPRODUCT((nNIA=S177)*(nCUENTA=1)*(COUNTIF(CONFIG_ASIGNATURAS!$B$7:$B$27,nASIG)&gt;0)*1),"")))</f>
        <v/>
      </c>
      <c r="Z177" t="str">
        <f>IF(Y177="","",IF(Y177="[FÓRMULA MANUAL]","",IFERROR(AVERAGEIFS(nNOTA,nNIA,Y177,nCUENTA,1,nASIG,"Análisis"),"")))</f>
        <v/>
      </c>
      <c r="AA177" t="str">
        <f>IF(Y177="","",IF(Y177="[FÓRMULA MANUAL]","",IFERROR(AVERAGEIFS(nNOTA,nNIA,Y177,nCUENTA,1,nASIG,"Orquesta/Banda/Conjunto"),"")))</f>
        <v/>
      </c>
      <c r="AB177" t="str">
        <f>IF(Y177="","",IF(Y177="[FÓRMULA MANUAL]","",IFERROR(AVERAGEIFS(nNOTA,nNIA,Y177,nCUENTA,1,nASIG,"Música de Cámara"),"")))</f>
        <v/>
      </c>
      <c r="AC177" t="str">
        <f>IF(Y177="","",IF(Y177="[FÓRMULA MANUAL]","",IFERROR(SUMPRODUCT((nNIA=Y177)*(nCUENTA=1)*(COUNTIF(CONFIG_ASIGNATURAS!$B$7:$B$27,nASIG)&gt;0)*(nNOTA))/SUMPRODUCT((nNIA=Y177)*(nCUENTA=1)*(COUNTIF(CONFIG_ASIGNATURAS!$B$7:$B$27,nASIG)&gt;0)*1),"")))</f>
        <v/>
      </c>
      <c r="AF177" t="str">
        <f>IF(AE177="","",IF(AE177="[FÓRMULA MANUAL]","",IFERROR(AVERAGEIFS(nNOTA,nNIA,AE177,nCUENTA,1,nASIG,"Análisis"),"")))</f>
        <v/>
      </c>
      <c r="AG177" t="str">
        <f>IF(AE177="","",IF(AE177="[FÓRMULA MANUAL]","",IFERROR(AVERAGEIFS(nNOTA,nNIA,AE177,nCUENTA,1,nASIG,"Orquesta/Banda/Conjunto"),"")))</f>
        <v/>
      </c>
      <c r="AH177" t="str">
        <f>IF(AE177="","",IF(AE177="[FÓRMULA MANUAL]","",IFERROR(AVERAGEIFS(nNOTA,nNIA,AE177,nCUENTA,1,nASIG,"Música de Cámara"),"")))</f>
        <v/>
      </c>
      <c r="AI177" t="str">
        <f>IF(AE177="","",IF(AE177="[FÓRMULA MANUAL]","",IFERROR(SUMPRODUCT((nNIA=AE177)*(nCUENTA=1)*(COUNTIF(CONFIG_ASIGNATURAS!$B$7:$B$27,nASIG)&gt;0)*(nNOTA))/SUMPRODUCT((nNIA=AE177)*(nCUENTA=1)*(COUNTIF(CONFIG_ASIGNATURAS!$B$7:$B$27,nASIG)&gt;0)*1),"")))</f>
        <v/>
      </c>
    </row>
    <row r="178" spans="2:35" x14ac:dyDescent="0.2">
      <c r="B178" t="str">
        <f>IF(A178="","",IF(A178="[FÓRMULA MANUAL]","",IFERROR(AVERAGEIFS(nNOTA,nNIA,A178,nCUENTA,1,nASIG,"Lenguaje Musical"),"")))</f>
        <v/>
      </c>
      <c r="C178" t="str">
        <f>IF(A178="","",IF(A178="[FÓRMULA MANUAL]","",IFERROR(AVERAGEIFS(nNOTA,nNIA,A178,nCUENTA,1,nASIG,"Orquesta/Banda/Conjunto"),"")))</f>
        <v/>
      </c>
      <c r="D178" t="str">
        <f>IF(A178="","",IF(A178="[FÓRMULA MANUAL]","",IFERROR(AVERAGEIFS(nNOTA,nNIA,A178,nCUENTA,1,nASIG,"Conjunto"),"")))</f>
        <v/>
      </c>
      <c r="E178" t="str">
        <f>IF(A178="","",IF(A178="[FÓRMULA MANUAL]","",IFERROR(SUMPRODUCT((nNIA=A178)*(nCUENTA=1)*(COUNTIF(CONFIG_ASIGNATURAS!$B$7:$B$27,nASIG)&gt;0)*(nNOTA))/SUMPRODUCT((nNIA=A178)*(nCUENTA=1)*(COUNTIF(CONFIG_ASIGNATURAS!$B$7:$B$27,nASIG)&gt;0)*1),"")))</f>
        <v/>
      </c>
      <c r="H178" t="str">
        <f>IF(G178="","",IF(G178="[FÓRMULA MANUAL]","",IFERROR(AVERAGEIFS(nNOTA,nNIA,G178,nCUENTA,1,nASIG,"Lenguaje Musical"),"")))</f>
        <v/>
      </c>
      <c r="I178" t="str">
        <f>IF(G178="","",IF(G178="[FÓRMULA MANUAL]","",IFERROR(AVERAGEIFS(nNOTA,nNIA,G178,nCUENTA,1,nASIG,"Orquesta/Banda/Conjunto"),"")))</f>
        <v/>
      </c>
      <c r="J178" t="str">
        <f>IF(G178="","",IF(G178="[FÓRMULA MANUAL]","",IFERROR(AVERAGEIFS(nNOTA,nNIA,G178,nCUENTA,1,nASIG,"Conjunto"),"")))</f>
        <v/>
      </c>
      <c r="K178" t="str">
        <f>IF(G178="","",IF(G178="[FÓRMULA MANUAL]","",IFERROR(SUMPRODUCT((nNIA=G178)*(nCUENTA=1)*(COUNTIF(CONFIG_ASIGNATURAS!$B$7:$B$27,nASIG)&gt;0)*(nNOTA))/SUMPRODUCT((nNIA=G178)*(nCUENTA=1)*(COUNTIF(CONFIG_ASIGNATURAS!$B$7:$B$27,nASIG)&gt;0)*1),"")))</f>
        <v/>
      </c>
      <c r="N178" t="str">
        <f>IF(M178="","",IF(M178="[FÓRMULA MANUAL]","",IFERROR(AVERAGEIFS(nNOTA,nNIA,M178,nCUENTA,1,nASIG,"Armonía"),"")))</f>
        <v/>
      </c>
      <c r="O178" t="str">
        <f>IF(M178="","",IF(M178="[FÓRMULA MANUAL]","",IFERROR(AVERAGEIFS(nNOTA,nNIA,M178,nCUENTA,1,nASIG,"Orquesta/Banda/Conjunto"),"")))</f>
        <v/>
      </c>
      <c r="P178" t="str">
        <f>IF(M178="","",IF(M178="[FÓRMULA MANUAL]","",IFERROR(AVERAGEIFS(nNOTA,nNIA,M178,nCUENTA,1,nASIG,"Música de Cámara"),"")))</f>
        <v/>
      </c>
      <c r="Q178" t="str">
        <f>IF(M178="","",IF(M178="[FÓRMULA MANUAL]","",IFERROR(SUMPRODUCT((nNIA=M178)*(nCUENTA=1)*(COUNTIF(CONFIG_ASIGNATURAS!$B$7:$B$27,nASIG)&gt;0)*(nNOTA))/SUMPRODUCT((nNIA=M178)*(nCUENTA=1)*(COUNTIF(CONFIG_ASIGNATURAS!$B$7:$B$27,nASIG)&gt;0)*1),"")))</f>
        <v/>
      </c>
      <c r="T178" t="str">
        <f>IF(S178="","",IF(S178="[FÓRMULA MANUAL]","",IFERROR(AVERAGEIFS(nNOTA,nNIA,S178,nCUENTA,1,nASIG,"Armonía"),"")))</f>
        <v/>
      </c>
      <c r="U178" t="str">
        <f>IF(S178="","",IF(S178="[FÓRMULA MANUAL]","",IFERROR(AVERAGEIFS(nNOTA,nNIA,S178,nCUENTA,1,nASIG,"Orquesta/Banda/Conjunto"),"")))</f>
        <v/>
      </c>
      <c r="V178" t="str">
        <f>IF(S178="","",IF(S178="[FÓRMULA MANUAL]","",IFERROR(AVERAGEIFS(nNOTA,nNIA,S178,nCUENTA,1,nASIG,"Música de Cámara"),"")))</f>
        <v/>
      </c>
      <c r="W178" t="str">
        <f>IF(S178="","",IF(S178="[FÓRMULA MANUAL]","",IFERROR(SUMPRODUCT((nNIA=S178)*(nCUENTA=1)*(COUNTIF(CONFIG_ASIGNATURAS!$B$7:$B$27,nASIG)&gt;0)*(nNOTA))/SUMPRODUCT((nNIA=S178)*(nCUENTA=1)*(COUNTIF(CONFIG_ASIGNATURAS!$B$7:$B$27,nASIG)&gt;0)*1),"")))</f>
        <v/>
      </c>
      <c r="Z178" t="str">
        <f>IF(Y178="","",IF(Y178="[FÓRMULA MANUAL]","",IFERROR(AVERAGEIFS(nNOTA,nNIA,Y178,nCUENTA,1,nASIG,"Análisis"),"")))</f>
        <v/>
      </c>
      <c r="AA178" t="str">
        <f>IF(Y178="","",IF(Y178="[FÓRMULA MANUAL]","",IFERROR(AVERAGEIFS(nNOTA,nNIA,Y178,nCUENTA,1,nASIG,"Orquesta/Banda/Conjunto"),"")))</f>
        <v/>
      </c>
      <c r="AB178" t="str">
        <f>IF(Y178="","",IF(Y178="[FÓRMULA MANUAL]","",IFERROR(AVERAGEIFS(nNOTA,nNIA,Y178,nCUENTA,1,nASIG,"Música de Cámara"),"")))</f>
        <v/>
      </c>
      <c r="AC178" t="str">
        <f>IF(Y178="","",IF(Y178="[FÓRMULA MANUAL]","",IFERROR(SUMPRODUCT((nNIA=Y178)*(nCUENTA=1)*(COUNTIF(CONFIG_ASIGNATURAS!$B$7:$B$27,nASIG)&gt;0)*(nNOTA))/SUMPRODUCT((nNIA=Y178)*(nCUENTA=1)*(COUNTIF(CONFIG_ASIGNATURAS!$B$7:$B$27,nASIG)&gt;0)*1),"")))</f>
        <v/>
      </c>
      <c r="AF178" t="str">
        <f>IF(AE178="","",IF(AE178="[FÓRMULA MANUAL]","",IFERROR(AVERAGEIFS(nNOTA,nNIA,AE178,nCUENTA,1,nASIG,"Análisis"),"")))</f>
        <v/>
      </c>
      <c r="AG178" t="str">
        <f>IF(AE178="","",IF(AE178="[FÓRMULA MANUAL]","",IFERROR(AVERAGEIFS(nNOTA,nNIA,AE178,nCUENTA,1,nASIG,"Orquesta/Banda/Conjunto"),"")))</f>
        <v/>
      </c>
      <c r="AH178" t="str">
        <f>IF(AE178="","",IF(AE178="[FÓRMULA MANUAL]","",IFERROR(AVERAGEIFS(nNOTA,nNIA,AE178,nCUENTA,1,nASIG,"Música de Cámara"),"")))</f>
        <v/>
      </c>
      <c r="AI178" t="str">
        <f>IF(AE178="","",IF(AE178="[FÓRMULA MANUAL]","",IFERROR(SUMPRODUCT((nNIA=AE178)*(nCUENTA=1)*(COUNTIF(CONFIG_ASIGNATURAS!$B$7:$B$27,nASIG)&gt;0)*(nNOTA))/SUMPRODUCT((nNIA=AE178)*(nCUENTA=1)*(COUNTIF(CONFIG_ASIGNATURAS!$B$7:$B$27,nASIG)&gt;0)*1),"")))</f>
        <v/>
      </c>
    </row>
    <row r="179" spans="2:35" x14ac:dyDescent="0.2">
      <c r="B179" t="str">
        <f>IF(A179="","",IF(A179="[FÓRMULA MANUAL]","",IFERROR(AVERAGEIFS(nNOTA,nNIA,A179,nCUENTA,1,nASIG,"Lenguaje Musical"),"")))</f>
        <v/>
      </c>
      <c r="C179" t="str">
        <f>IF(A179="","",IF(A179="[FÓRMULA MANUAL]","",IFERROR(AVERAGEIFS(nNOTA,nNIA,A179,nCUENTA,1,nASIG,"Orquesta/Banda/Conjunto"),"")))</f>
        <v/>
      </c>
      <c r="D179" t="str">
        <f>IF(A179="","",IF(A179="[FÓRMULA MANUAL]","",IFERROR(AVERAGEIFS(nNOTA,nNIA,A179,nCUENTA,1,nASIG,"Conjunto"),"")))</f>
        <v/>
      </c>
      <c r="E179" t="str">
        <f>IF(A179="","",IF(A179="[FÓRMULA MANUAL]","",IFERROR(SUMPRODUCT((nNIA=A179)*(nCUENTA=1)*(COUNTIF(CONFIG_ASIGNATURAS!$B$7:$B$27,nASIG)&gt;0)*(nNOTA))/SUMPRODUCT((nNIA=A179)*(nCUENTA=1)*(COUNTIF(CONFIG_ASIGNATURAS!$B$7:$B$27,nASIG)&gt;0)*1),"")))</f>
        <v/>
      </c>
      <c r="H179" t="str">
        <f>IF(G179="","",IF(G179="[FÓRMULA MANUAL]","",IFERROR(AVERAGEIFS(nNOTA,nNIA,G179,nCUENTA,1,nASIG,"Lenguaje Musical"),"")))</f>
        <v/>
      </c>
      <c r="I179" t="str">
        <f>IF(G179="","",IF(G179="[FÓRMULA MANUAL]","",IFERROR(AVERAGEIFS(nNOTA,nNIA,G179,nCUENTA,1,nASIG,"Orquesta/Banda/Conjunto"),"")))</f>
        <v/>
      </c>
      <c r="J179" t="str">
        <f>IF(G179="","",IF(G179="[FÓRMULA MANUAL]","",IFERROR(AVERAGEIFS(nNOTA,nNIA,G179,nCUENTA,1,nASIG,"Conjunto"),"")))</f>
        <v/>
      </c>
      <c r="K179" t="str">
        <f>IF(G179="","",IF(G179="[FÓRMULA MANUAL]","",IFERROR(SUMPRODUCT((nNIA=G179)*(nCUENTA=1)*(COUNTIF(CONFIG_ASIGNATURAS!$B$7:$B$27,nASIG)&gt;0)*(nNOTA))/SUMPRODUCT((nNIA=G179)*(nCUENTA=1)*(COUNTIF(CONFIG_ASIGNATURAS!$B$7:$B$27,nASIG)&gt;0)*1),"")))</f>
        <v/>
      </c>
      <c r="N179" t="str">
        <f>IF(M179="","",IF(M179="[FÓRMULA MANUAL]","",IFERROR(AVERAGEIFS(nNOTA,nNIA,M179,nCUENTA,1,nASIG,"Armonía"),"")))</f>
        <v/>
      </c>
      <c r="O179" t="str">
        <f>IF(M179="","",IF(M179="[FÓRMULA MANUAL]","",IFERROR(AVERAGEIFS(nNOTA,nNIA,M179,nCUENTA,1,nASIG,"Orquesta/Banda/Conjunto"),"")))</f>
        <v/>
      </c>
      <c r="P179" t="str">
        <f>IF(M179="","",IF(M179="[FÓRMULA MANUAL]","",IFERROR(AVERAGEIFS(nNOTA,nNIA,M179,nCUENTA,1,nASIG,"Música de Cámara"),"")))</f>
        <v/>
      </c>
      <c r="Q179" t="str">
        <f>IF(M179="","",IF(M179="[FÓRMULA MANUAL]","",IFERROR(SUMPRODUCT((nNIA=M179)*(nCUENTA=1)*(COUNTIF(CONFIG_ASIGNATURAS!$B$7:$B$27,nASIG)&gt;0)*(nNOTA))/SUMPRODUCT((nNIA=M179)*(nCUENTA=1)*(COUNTIF(CONFIG_ASIGNATURAS!$B$7:$B$27,nASIG)&gt;0)*1),"")))</f>
        <v/>
      </c>
      <c r="T179" t="str">
        <f>IF(S179="","",IF(S179="[FÓRMULA MANUAL]","",IFERROR(AVERAGEIFS(nNOTA,nNIA,S179,nCUENTA,1,nASIG,"Armonía"),"")))</f>
        <v/>
      </c>
      <c r="U179" t="str">
        <f>IF(S179="","",IF(S179="[FÓRMULA MANUAL]","",IFERROR(AVERAGEIFS(nNOTA,nNIA,S179,nCUENTA,1,nASIG,"Orquesta/Banda/Conjunto"),"")))</f>
        <v/>
      </c>
      <c r="V179" t="str">
        <f>IF(S179="","",IF(S179="[FÓRMULA MANUAL]","",IFERROR(AVERAGEIFS(nNOTA,nNIA,S179,nCUENTA,1,nASIG,"Música de Cámara"),"")))</f>
        <v/>
      </c>
      <c r="W179" t="str">
        <f>IF(S179="","",IF(S179="[FÓRMULA MANUAL]","",IFERROR(SUMPRODUCT((nNIA=S179)*(nCUENTA=1)*(COUNTIF(CONFIG_ASIGNATURAS!$B$7:$B$27,nASIG)&gt;0)*(nNOTA))/SUMPRODUCT((nNIA=S179)*(nCUENTA=1)*(COUNTIF(CONFIG_ASIGNATURAS!$B$7:$B$27,nASIG)&gt;0)*1),"")))</f>
        <v/>
      </c>
      <c r="Z179" t="str">
        <f>IF(Y179="","",IF(Y179="[FÓRMULA MANUAL]","",IFERROR(AVERAGEIFS(nNOTA,nNIA,Y179,nCUENTA,1,nASIG,"Análisis"),"")))</f>
        <v/>
      </c>
      <c r="AA179" t="str">
        <f>IF(Y179="","",IF(Y179="[FÓRMULA MANUAL]","",IFERROR(AVERAGEIFS(nNOTA,nNIA,Y179,nCUENTA,1,nASIG,"Orquesta/Banda/Conjunto"),"")))</f>
        <v/>
      </c>
      <c r="AB179" t="str">
        <f>IF(Y179="","",IF(Y179="[FÓRMULA MANUAL]","",IFERROR(AVERAGEIFS(nNOTA,nNIA,Y179,nCUENTA,1,nASIG,"Música de Cámara"),"")))</f>
        <v/>
      </c>
      <c r="AC179" t="str">
        <f>IF(Y179="","",IF(Y179="[FÓRMULA MANUAL]","",IFERROR(SUMPRODUCT((nNIA=Y179)*(nCUENTA=1)*(COUNTIF(CONFIG_ASIGNATURAS!$B$7:$B$27,nASIG)&gt;0)*(nNOTA))/SUMPRODUCT((nNIA=Y179)*(nCUENTA=1)*(COUNTIF(CONFIG_ASIGNATURAS!$B$7:$B$27,nASIG)&gt;0)*1),"")))</f>
        <v/>
      </c>
      <c r="AF179" t="str">
        <f>IF(AE179="","",IF(AE179="[FÓRMULA MANUAL]","",IFERROR(AVERAGEIFS(nNOTA,nNIA,AE179,nCUENTA,1,nASIG,"Análisis"),"")))</f>
        <v/>
      </c>
      <c r="AG179" t="str">
        <f>IF(AE179="","",IF(AE179="[FÓRMULA MANUAL]","",IFERROR(AVERAGEIFS(nNOTA,nNIA,AE179,nCUENTA,1,nASIG,"Orquesta/Banda/Conjunto"),"")))</f>
        <v/>
      </c>
      <c r="AH179" t="str">
        <f>IF(AE179="","",IF(AE179="[FÓRMULA MANUAL]","",IFERROR(AVERAGEIFS(nNOTA,nNIA,AE179,nCUENTA,1,nASIG,"Música de Cámara"),"")))</f>
        <v/>
      </c>
      <c r="AI179" t="str">
        <f>IF(AE179="","",IF(AE179="[FÓRMULA MANUAL]","",IFERROR(SUMPRODUCT((nNIA=AE179)*(nCUENTA=1)*(COUNTIF(CONFIG_ASIGNATURAS!$B$7:$B$27,nASIG)&gt;0)*(nNOTA))/SUMPRODUCT((nNIA=AE179)*(nCUENTA=1)*(COUNTIF(CONFIG_ASIGNATURAS!$B$7:$B$27,nASIG)&gt;0)*1),"")))</f>
        <v/>
      </c>
    </row>
    <row r="180" spans="2:35" x14ac:dyDescent="0.2">
      <c r="B180" t="str">
        <f>IF(A180="","",IF(A180="[FÓRMULA MANUAL]","",IFERROR(AVERAGEIFS(nNOTA,nNIA,A180,nCUENTA,1,nASIG,"Lenguaje Musical"),"")))</f>
        <v/>
      </c>
      <c r="C180" t="str">
        <f>IF(A180="","",IF(A180="[FÓRMULA MANUAL]","",IFERROR(AVERAGEIFS(nNOTA,nNIA,A180,nCUENTA,1,nASIG,"Orquesta/Banda/Conjunto"),"")))</f>
        <v/>
      </c>
      <c r="D180" t="str">
        <f>IF(A180="","",IF(A180="[FÓRMULA MANUAL]","",IFERROR(AVERAGEIFS(nNOTA,nNIA,A180,nCUENTA,1,nASIG,"Conjunto"),"")))</f>
        <v/>
      </c>
      <c r="E180" t="str">
        <f>IF(A180="","",IF(A180="[FÓRMULA MANUAL]","",IFERROR(SUMPRODUCT((nNIA=A180)*(nCUENTA=1)*(COUNTIF(CONFIG_ASIGNATURAS!$B$7:$B$27,nASIG)&gt;0)*(nNOTA))/SUMPRODUCT((nNIA=A180)*(nCUENTA=1)*(COUNTIF(CONFIG_ASIGNATURAS!$B$7:$B$27,nASIG)&gt;0)*1),"")))</f>
        <v/>
      </c>
      <c r="H180" t="str">
        <f>IF(G180="","",IF(G180="[FÓRMULA MANUAL]","",IFERROR(AVERAGEIFS(nNOTA,nNIA,G180,nCUENTA,1,nASIG,"Lenguaje Musical"),"")))</f>
        <v/>
      </c>
      <c r="I180" t="str">
        <f>IF(G180="","",IF(G180="[FÓRMULA MANUAL]","",IFERROR(AVERAGEIFS(nNOTA,nNIA,G180,nCUENTA,1,nASIG,"Orquesta/Banda/Conjunto"),"")))</f>
        <v/>
      </c>
      <c r="J180" t="str">
        <f>IF(G180="","",IF(G180="[FÓRMULA MANUAL]","",IFERROR(AVERAGEIFS(nNOTA,nNIA,G180,nCUENTA,1,nASIG,"Conjunto"),"")))</f>
        <v/>
      </c>
      <c r="K180" t="str">
        <f>IF(G180="","",IF(G180="[FÓRMULA MANUAL]","",IFERROR(SUMPRODUCT((nNIA=G180)*(nCUENTA=1)*(COUNTIF(CONFIG_ASIGNATURAS!$B$7:$B$27,nASIG)&gt;0)*(nNOTA))/SUMPRODUCT((nNIA=G180)*(nCUENTA=1)*(COUNTIF(CONFIG_ASIGNATURAS!$B$7:$B$27,nASIG)&gt;0)*1),"")))</f>
        <v/>
      </c>
      <c r="N180" t="str">
        <f>IF(M180="","",IF(M180="[FÓRMULA MANUAL]","",IFERROR(AVERAGEIFS(nNOTA,nNIA,M180,nCUENTA,1,nASIG,"Armonía"),"")))</f>
        <v/>
      </c>
      <c r="O180" t="str">
        <f>IF(M180="","",IF(M180="[FÓRMULA MANUAL]","",IFERROR(AVERAGEIFS(nNOTA,nNIA,M180,nCUENTA,1,nASIG,"Orquesta/Banda/Conjunto"),"")))</f>
        <v/>
      </c>
      <c r="P180" t="str">
        <f>IF(M180="","",IF(M180="[FÓRMULA MANUAL]","",IFERROR(AVERAGEIFS(nNOTA,nNIA,M180,nCUENTA,1,nASIG,"Música de Cámara"),"")))</f>
        <v/>
      </c>
      <c r="Q180" t="str">
        <f>IF(M180="","",IF(M180="[FÓRMULA MANUAL]","",IFERROR(SUMPRODUCT((nNIA=M180)*(nCUENTA=1)*(COUNTIF(CONFIG_ASIGNATURAS!$B$7:$B$27,nASIG)&gt;0)*(nNOTA))/SUMPRODUCT((nNIA=M180)*(nCUENTA=1)*(COUNTIF(CONFIG_ASIGNATURAS!$B$7:$B$27,nASIG)&gt;0)*1),"")))</f>
        <v/>
      </c>
      <c r="T180" t="str">
        <f>IF(S180="","",IF(S180="[FÓRMULA MANUAL]","",IFERROR(AVERAGEIFS(nNOTA,nNIA,S180,nCUENTA,1,nASIG,"Armonía"),"")))</f>
        <v/>
      </c>
      <c r="U180" t="str">
        <f>IF(S180="","",IF(S180="[FÓRMULA MANUAL]","",IFERROR(AVERAGEIFS(nNOTA,nNIA,S180,nCUENTA,1,nASIG,"Orquesta/Banda/Conjunto"),"")))</f>
        <v/>
      </c>
      <c r="V180" t="str">
        <f>IF(S180="","",IF(S180="[FÓRMULA MANUAL]","",IFERROR(AVERAGEIFS(nNOTA,nNIA,S180,nCUENTA,1,nASIG,"Música de Cámara"),"")))</f>
        <v/>
      </c>
      <c r="W180" t="str">
        <f>IF(S180="","",IF(S180="[FÓRMULA MANUAL]","",IFERROR(SUMPRODUCT((nNIA=S180)*(nCUENTA=1)*(COUNTIF(CONFIG_ASIGNATURAS!$B$7:$B$27,nASIG)&gt;0)*(nNOTA))/SUMPRODUCT((nNIA=S180)*(nCUENTA=1)*(COUNTIF(CONFIG_ASIGNATURAS!$B$7:$B$27,nASIG)&gt;0)*1),"")))</f>
        <v/>
      </c>
      <c r="Z180" t="str">
        <f>IF(Y180="","",IF(Y180="[FÓRMULA MANUAL]","",IFERROR(AVERAGEIFS(nNOTA,nNIA,Y180,nCUENTA,1,nASIG,"Análisis"),"")))</f>
        <v/>
      </c>
      <c r="AA180" t="str">
        <f>IF(Y180="","",IF(Y180="[FÓRMULA MANUAL]","",IFERROR(AVERAGEIFS(nNOTA,nNIA,Y180,nCUENTA,1,nASIG,"Orquesta/Banda/Conjunto"),"")))</f>
        <v/>
      </c>
      <c r="AB180" t="str">
        <f>IF(Y180="","",IF(Y180="[FÓRMULA MANUAL]","",IFERROR(AVERAGEIFS(nNOTA,nNIA,Y180,nCUENTA,1,nASIG,"Música de Cámara"),"")))</f>
        <v/>
      </c>
      <c r="AC180" t="str">
        <f>IF(Y180="","",IF(Y180="[FÓRMULA MANUAL]","",IFERROR(SUMPRODUCT((nNIA=Y180)*(nCUENTA=1)*(COUNTIF(CONFIG_ASIGNATURAS!$B$7:$B$27,nASIG)&gt;0)*(nNOTA))/SUMPRODUCT((nNIA=Y180)*(nCUENTA=1)*(COUNTIF(CONFIG_ASIGNATURAS!$B$7:$B$27,nASIG)&gt;0)*1),"")))</f>
        <v/>
      </c>
      <c r="AF180" t="str">
        <f>IF(AE180="","",IF(AE180="[FÓRMULA MANUAL]","",IFERROR(AVERAGEIFS(nNOTA,nNIA,AE180,nCUENTA,1,nASIG,"Análisis"),"")))</f>
        <v/>
      </c>
      <c r="AG180" t="str">
        <f>IF(AE180="","",IF(AE180="[FÓRMULA MANUAL]","",IFERROR(AVERAGEIFS(nNOTA,nNIA,AE180,nCUENTA,1,nASIG,"Orquesta/Banda/Conjunto"),"")))</f>
        <v/>
      </c>
      <c r="AH180" t="str">
        <f>IF(AE180="","",IF(AE180="[FÓRMULA MANUAL]","",IFERROR(AVERAGEIFS(nNOTA,nNIA,AE180,nCUENTA,1,nASIG,"Música de Cámara"),"")))</f>
        <v/>
      </c>
      <c r="AI180" t="str">
        <f>IF(AE180="","",IF(AE180="[FÓRMULA MANUAL]","",IFERROR(SUMPRODUCT((nNIA=AE180)*(nCUENTA=1)*(COUNTIF(CONFIG_ASIGNATURAS!$B$7:$B$27,nASIG)&gt;0)*(nNOTA))/SUMPRODUCT((nNIA=AE180)*(nCUENTA=1)*(COUNTIF(CONFIG_ASIGNATURAS!$B$7:$B$27,nASIG)&gt;0)*1),"")))</f>
        <v/>
      </c>
    </row>
    <row r="181" spans="2:35" x14ac:dyDescent="0.2">
      <c r="B181" t="str">
        <f>IF(A181="","",IF(A181="[FÓRMULA MANUAL]","",IFERROR(AVERAGEIFS(nNOTA,nNIA,A181,nCUENTA,1,nASIG,"Lenguaje Musical"),"")))</f>
        <v/>
      </c>
      <c r="C181" t="str">
        <f>IF(A181="","",IF(A181="[FÓRMULA MANUAL]","",IFERROR(AVERAGEIFS(nNOTA,nNIA,A181,nCUENTA,1,nASIG,"Orquesta/Banda/Conjunto"),"")))</f>
        <v/>
      </c>
      <c r="D181" t="str">
        <f>IF(A181="","",IF(A181="[FÓRMULA MANUAL]","",IFERROR(AVERAGEIFS(nNOTA,nNIA,A181,nCUENTA,1,nASIG,"Conjunto"),"")))</f>
        <v/>
      </c>
      <c r="E181" t="str">
        <f>IF(A181="","",IF(A181="[FÓRMULA MANUAL]","",IFERROR(SUMPRODUCT((nNIA=A181)*(nCUENTA=1)*(COUNTIF(CONFIG_ASIGNATURAS!$B$7:$B$27,nASIG)&gt;0)*(nNOTA))/SUMPRODUCT((nNIA=A181)*(nCUENTA=1)*(COUNTIF(CONFIG_ASIGNATURAS!$B$7:$B$27,nASIG)&gt;0)*1),"")))</f>
        <v/>
      </c>
      <c r="H181" t="str">
        <f>IF(G181="","",IF(G181="[FÓRMULA MANUAL]","",IFERROR(AVERAGEIFS(nNOTA,nNIA,G181,nCUENTA,1,nASIG,"Lenguaje Musical"),"")))</f>
        <v/>
      </c>
      <c r="I181" t="str">
        <f>IF(G181="","",IF(G181="[FÓRMULA MANUAL]","",IFERROR(AVERAGEIFS(nNOTA,nNIA,G181,nCUENTA,1,nASIG,"Orquesta/Banda/Conjunto"),"")))</f>
        <v/>
      </c>
      <c r="J181" t="str">
        <f>IF(G181="","",IF(G181="[FÓRMULA MANUAL]","",IFERROR(AVERAGEIFS(nNOTA,nNIA,G181,nCUENTA,1,nASIG,"Conjunto"),"")))</f>
        <v/>
      </c>
      <c r="K181" t="str">
        <f>IF(G181="","",IF(G181="[FÓRMULA MANUAL]","",IFERROR(SUMPRODUCT((nNIA=G181)*(nCUENTA=1)*(COUNTIF(CONFIG_ASIGNATURAS!$B$7:$B$27,nASIG)&gt;0)*(nNOTA))/SUMPRODUCT((nNIA=G181)*(nCUENTA=1)*(COUNTIF(CONFIG_ASIGNATURAS!$B$7:$B$27,nASIG)&gt;0)*1),"")))</f>
        <v/>
      </c>
      <c r="N181" t="str">
        <f>IF(M181="","",IF(M181="[FÓRMULA MANUAL]","",IFERROR(AVERAGEIFS(nNOTA,nNIA,M181,nCUENTA,1,nASIG,"Armonía"),"")))</f>
        <v/>
      </c>
      <c r="O181" t="str">
        <f>IF(M181="","",IF(M181="[FÓRMULA MANUAL]","",IFERROR(AVERAGEIFS(nNOTA,nNIA,M181,nCUENTA,1,nASIG,"Orquesta/Banda/Conjunto"),"")))</f>
        <v/>
      </c>
      <c r="P181" t="str">
        <f>IF(M181="","",IF(M181="[FÓRMULA MANUAL]","",IFERROR(AVERAGEIFS(nNOTA,nNIA,M181,nCUENTA,1,nASIG,"Música de Cámara"),"")))</f>
        <v/>
      </c>
      <c r="Q181" t="str">
        <f>IF(M181="","",IF(M181="[FÓRMULA MANUAL]","",IFERROR(SUMPRODUCT((nNIA=M181)*(nCUENTA=1)*(COUNTIF(CONFIG_ASIGNATURAS!$B$7:$B$27,nASIG)&gt;0)*(nNOTA))/SUMPRODUCT((nNIA=M181)*(nCUENTA=1)*(COUNTIF(CONFIG_ASIGNATURAS!$B$7:$B$27,nASIG)&gt;0)*1),"")))</f>
        <v/>
      </c>
      <c r="T181" t="str">
        <f>IF(S181="","",IF(S181="[FÓRMULA MANUAL]","",IFERROR(AVERAGEIFS(nNOTA,nNIA,S181,nCUENTA,1,nASIG,"Armonía"),"")))</f>
        <v/>
      </c>
      <c r="U181" t="str">
        <f>IF(S181="","",IF(S181="[FÓRMULA MANUAL]","",IFERROR(AVERAGEIFS(nNOTA,nNIA,S181,nCUENTA,1,nASIG,"Orquesta/Banda/Conjunto"),"")))</f>
        <v/>
      </c>
      <c r="V181" t="str">
        <f>IF(S181="","",IF(S181="[FÓRMULA MANUAL]","",IFERROR(AVERAGEIFS(nNOTA,nNIA,S181,nCUENTA,1,nASIG,"Música de Cámara"),"")))</f>
        <v/>
      </c>
      <c r="W181" t="str">
        <f>IF(S181="","",IF(S181="[FÓRMULA MANUAL]","",IFERROR(SUMPRODUCT((nNIA=S181)*(nCUENTA=1)*(COUNTIF(CONFIG_ASIGNATURAS!$B$7:$B$27,nASIG)&gt;0)*(nNOTA))/SUMPRODUCT((nNIA=S181)*(nCUENTA=1)*(COUNTIF(CONFIG_ASIGNATURAS!$B$7:$B$27,nASIG)&gt;0)*1),"")))</f>
        <v/>
      </c>
      <c r="Z181" t="str">
        <f>IF(Y181="","",IF(Y181="[FÓRMULA MANUAL]","",IFERROR(AVERAGEIFS(nNOTA,nNIA,Y181,nCUENTA,1,nASIG,"Análisis"),"")))</f>
        <v/>
      </c>
      <c r="AA181" t="str">
        <f>IF(Y181="","",IF(Y181="[FÓRMULA MANUAL]","",IFERROR(AVERAGEIFS(nNOTA,nNIA,Y181,nCUENTA,1,nASIG,"Orquesta/Banda/Conjunto"),"")))</f>
        <v/>
      </c>
      <c r="AB181" t="str">
        <f>IF(Y181="","",IF(Y181="[FÓRMULA MANUAL]","",IFERROR(AVERAGEIFS(nNOTA,nNIA,Y181,nCUENTA,1,nASIG,"Música de Cámara"),"")))</f>
        <v/>
      </c>
      <c r="AC181" t="str">
        <f>IF(Y181="","",IF(Y181="[FÓRMULA MANUAL]","",IFERROR(SUMPRODUCT((nNIA=Y181)*(nCUENTA=1)*(COUNTIF(CONFIG_ASIGNATURAS!$B$7:$B$27,nASIG)&gt;0)*(nNOTA))/SUMPRODUCT((nNIA=Y181)*(nCUENTA=1)*(COUNTIF(CONFIG_ASIGNATURAS!$B$7:$B$27,nASIG)&gt;0)*1),"")))</f>
        <v/>
      </c>
      <c r="AF181" t="str">
        <f>IF(AE181="","",IF(AE181="[FÓRMULA MANUAL]","",IFERROR(AVERAGEIFS(nNOTA,nNIA,AE181,nCUENTA,1,nASIG,"Análisis"),"")))</f>
        <v/>
      </c>
      <c r="AG181" t="str">
        <f>IF(AE181="","",IF(AE181="[FÓRMULA MANUAL]","",IFERROR(AVERAGEIFS(nNOTA,nNIA,AE181,nCUENTA,1,nASIG,"Orquesta/Banda/Conjunto"),"")))</f>
        <v/>
      </c>
      <c r="AH181" t="str">
        <f>IF(AE181="","",IF(AE181="[FÓRMULA MANUAL]","",IFERROR(AVERAGEIFS(nNOTA,nNIA,AE181,nCUENTA,1,nASIG,"Música de Cámara"),"")))</f>
        <v/>
      </c>
      <c r="AI181" t="str">
        <f>IF(AE181="","",IF(AE181="[FÓRMULA MANUAL]","",IFERROR(SUMPRODUCT((nNIA=AE181)*(nCUENTA=1)*(COUNTIF(CONFIG_ASIGNATURAS!$B$7:$B$27,nASIG)&gt;0)*(nNOTA))/SUMPRODUCT((nNIA=AE181)*(nCUENTA=1)*(COUNTIF(CONFIG_ASIGNATURAS!$B$7:$B$27,nASIG)&gt;0)*1),"")))</f>
        <v/>
      </c>
    </row>
    <row r="182" spans="2:35" x14ac:dyDescent="0.2">
      <c r="B182" t="str">
        <f>IF(A182="","",IF(A182="[FÓRMULA MANUAL]","",IFERROR(AVERAGEIFS(nNOTA,nNIA,A182,nCUENTA,1,nASIG,"Lenguaje Musical"),"")))</f>
        <v/>
      </c>
      <c r="C182" t="str">
        <f>IF(A182="","",IF(A182="[FÓRMULA MANUAL]","",IFERROR(AVERAGEIFS(nNOTA,nNIA,A182,nCUENTA,1,nASIG,"Orquesta/Banda/Conjunto"),"")))</f>
        <v/>
      </c>
      <c r="D182" t="str">
        <f>IF(A182="","",IF(A182="[FÓRMULA MANUAL]","",IFERROR(AVERAGEIFS(nNOTA,nNIA,A182,nCUENTA,1,nASIG,"Conjunto"),"")))</f>
        <v/>
      </c>
      <c r="E182" t="str">
        <f>IF(A182="","",IF(A182="[FÓRMULA MANUAL]","",IFERROR(SUMPRODUCT((nNIA=A182)*(nCUENTA=1)*(COUNTIF(CONFIG_ASIGNATURAS!$B$7:$B$27,nASIG)&gt;0)*(nNOTA))/SUMPRODUCT((nNIA=A182)*(nCUENTA=1)*(COUNTIF(CONFIG_ASIGNATURAS!$B$7:$B$27,nASIG)&gt;0)*1),"")))</f>
        <v/>
      </c>
      <c r="H182" t="str">
        <f>IF(G182="","",IF(G182="[FÓRMULA MANUAL]","",IFERROR(AVERAGEIFS(nNOTA,nNIA,G182,nCUENTA,1,nASIG,"Lenguaje Musical"),"")))</f>
        <v/>
      </c>
      <c r="I182" t="str">
        <f>IF(G182="","",IF(G182="[FÓRMULA MANUAL]","",IFERROR(AVERAGEIFS(nNOTA,nNIA,G182,nCUENTA,1,nASIG,"Orquesta/Banda/Conjunto"),"")))</f>
        <v/>
      </c>
      <c r="J182" t="str">
        <f>IF(G182="","",IF(G182="[FÓRMULA MANUAL]","",IFERROR(AVERAGEIFS(nNOTA,nNIA,G182,nCUENTA,1,nASIG,"Conjunto"),"")))</f>
        <v/>
      </c>
      <c r="K182" t="str">
        <f>IF(G182="","",IF(G182="[FÓRMULA MANUAL]","",IFERROR(SUMPRODUCT((nNIA=G182)*(nCUENTA=1)*(COUNTIF(CONFIG_ASIGNATURAS!$B$7:$B$27,nASIG)&gt;0)*(nNOTA))/SUMPRODUCT((nNIA=G182)*(nCUENTA=1)*(COUNTIF(CONFIG_ASIGNATURAS!$B$7:$B$27,nASIG)&gt;0)*1),"")))</f>
        <v/>
      </c>
      <c r="N182" t="str">
        <f>IF(M182="","",IF(M182="[FÓRMULA MANUAL]","",IFERROR(AVERAGEIFS(nNOTA,nNIA,M182,nCUENTA,1,nASIG,"Armonía"),"")))</f>
        <v/>
      </c>
      <c r="O182" t="str">
        <f>IF(M182="","",IF(M182="[FÓRMULA MANUAL]","",IFERROR(AVERAGEIFS(nNOTA,nNIA,M182,nCUENTA,1,nASIG,"Orquesta/Banda/Conjunto"),"")))</f>
        <v/>
      </c>
      <c r="P182" t="str">
        <f>IF(M182="","",IF(M182="[FÓRMULA MANUAL]","",IFERROR(AVERAGEIFS(nNOTA,nNIA,M182,nCUENTA,1,nASIG,"Música de Cámara"),"")))</f>
        <v/>
      </c>
      <c r="Q182" t="str">
        <f>IF(M182="","",IF(M182="[FÓRMULA MANUAL]","",IFERROR(SUMPRODUCT((nNIA=M182)*(nCUENTA=1)*(COUNTIF(CONFIG_ASIGNATURAS!$B$7:$B$27,nASIG)&gt;0)*(nNOTA))/SUMPRODUCT((nNIA=M182)*(nCUENTA=1)*(COUNTIF(CONFIG_ASIGNATURAS!$B$7:$B$27,nASIG)&gt;0)*1),"")))</f>
        <v/>
      </c>
      <c r="T182" t="str">
        <f>IF(S182="","",IF(S182="[FÓRMULA MANUAL]","",IFERROR(AVERAGEIFS(nNOTA,nNIA,S182,nCUENTA,1,nASIG,"Armonía"),"")))</f>
        <v/>
      </c>
      <c r="U182" t="str">
        <f>IF(S182="","",IF(S182="[FÓRMULA MANUAL]","",IFERROR(AVERAGEIFS(nNOTA,nNIA,S182,nCUENTA,1,nASIG,"Orquesta/Banda/Conjunto"),"")))</f>
        <v/>
      </c>
      <c r="V182" t="str">
        <f>IF(S182="","",IF(S182="[FÓRMULA MANUAL]","",IFERROR(AVERAGEIFS(nNOTA,nNIA,S182,nCUENTA,1,nASIG,"Música de Cámara"),"")))</f>
        <v/>
      </c>
      <c r="W182" t="str">
        <f>IF(S182="","",IF(S182="[FÓRMULA MANUAL]","",IFERROR(SUMPRODUCT((nNIA=S182)*(nCUENTA=1)*(COUNTIF(CONFIG_ASIGNATURAS!$B$7:$B$27,nASIG)&gt;0)*(nNOTA))/SUMPRODUCT((nNIA=S182)*(nCUENTA=1)*(COUNTIF(CONFIG_ASIGNATURAS!$B$7:$B$27,nASIG)&gt;0)*1),"")))</f>
        <v/>
      </c>
      <c r="Z182" t="str">
        <f>IF(Y182="","",IF(Y182="[FÓRMULA MANUAL]","",IFERROR(AVERAGEIFS(nNOTA,nNIA,Y182,nCUENTA,1,nASIG,"Análisis"),"")))</f>
        <v/>
      </c>
      <c r="AA182" t="str">
        <f>IF(Y182="","",IF(Y182="[FÓRMULA MANUAL]","",IFERROR(AVERAGEIFS(nNOTA,nNIA,Y182,nCUENTA,1,nASIG,"Orquesta/Banda/Conjunto"),"")))</f>
        <v/>
      </c>
      <c r="AB182" t="str">
        <f>IF(Y182="","",IF(Y182="[FÓRMULA MANUAL]","",IFERROR(AVERAGEIFS(nNOTA,nNIA,Y182,nCUENTA,1,nASIG,"Música de Cámara"),"")))</f>
        <v/>
      </c>
      <c r="AC182" t="str">
        <f>IF(Y182="","",IF(Y182="[FÓRMULA MANUAL]","",IFERROR(SUMPRODUCT((nNIA=Y182)*(nCUENTA=1)*(COUNTIF(CONFIG_ASIGNATURAS!$B$7:$B$27,nASIG)&gt;0)*(nNOTA))/SUMPRODUCT((nNIA=Y182)*(nCUENTA=1)*(COUNTIF(CONFIG_ASIGNATURAS!$B$7:$B$27,nASIG)&gt;0)*1),"")))</f>
        <v/>
      </c>
      <c r="AF182" t="str">
        <f>IF(AE182="","",IF(AE182="[FÓRMULA MANUAL]","",IFERROR(AVERAGEIFS(nNOTA,nNIA,AE182,nCUENTA,1,nASIG,"Análisis"),"")))</f>
        <v/>
      </c>
      <c r="AG182" t="str">
        <f>IF(AE182="","",IF(AE182="[FÓRMULA MANUAL]","",IFERROR(AVERAGEIFS(nNOTA,nNIA,AE182,nCUENTA,1,nASIG,"Orquesta/Banda/Conjunto"),"")))</f>
        <v/>
      </c>
      <c r="AH182" t="str">
        <f>IF(AE182="","",IF(AE182="[FÓRMULA MANUAL]","",IFERROR(AVERAGEIFS(nNOTA,nNIA,AE182,nCUENTA,1,nASIG,"Música de Cámara"),"")))</f>
        <v/>
      </c>
      <c r="AI182" t="str">
        <f>IF(AE182="","",IF(AE182="[FÓRMULA MANUAL]","",IFERROR(SUMPRODUCT((nNIA=AE182)*(nCUENTA=1)*(COUNTIF(CONFIG_ASIGNATURAS!$B$7:$B$27,nASIG)&gt;0)*(nNOTA))/SUMPRODUCT((nNIA=AE182)*(nCUENTA=1)*(COUNTIF(CONFIG_ASIGNATURAS!$B$7:$B$27,nASIG)&gt;0)*1),"")))</f>
        <v/>
      </c>
    </row>
    <row r="183" spans="2:35" x14ac:dyDescent="0.2">
      <c r="B183" t="str">
        <f>IF(A183="","",IF(A183="[FÓRMULA MANUAL]","",IFERROR(AVERAGEIFS(nNOTA,nNIA,A183,nCUENTA,1,nASIG,"Lenguaje Musical"),"")))</f>
        <v/>
      </c>
      <c r="C183" t="str">
        <f>IF(A183="","",IF(A183="[FÓRMULA MANUAL]","",IFERROR(AVERAGEIFS(nNOTA,nNIA,A183,nCUENTA,1,nASIG,"Orquesta/Banda/Conjunto"),"")))</f>
        <v/>
      </c>
      <c r="D183" t="str">
        <f>IF(A183="","",IF(A183="[FÓRMULA MANUAL]","",IFERROR(AVERAGEIFS(nNOTA,nNIA,A183,nCUENTA,1,nASIG,"Conjunto"),"")))</f>
        <v/>
      </c>
      <c r="E183" t="str">
        <f>IF(A183="","",IF(A183="[FÓRMULA MANUAL]","",IFERROR(SUMPRODUCT((nNIA=A183)*(nCUENTA=1)*(COUNTIF(CONFIG_ASIGNATURAS!$B$7:$B$27,nASIG)&gt;0)*(nNOTA))/SUMPRODUCT((nNIA=A183)*(nCUENTA=1)*(COUNTIF(CONFIG_ASIGNATURAS!$B$7:$B$27,nASIG)&gt;0)*1),"")))</f>
        <v/>
      </c>
      <c r="H183" t="str">
        <f>IF(G183="","",IF(G183="[FÓRMULA MANUAL]","",IFERROR(AVERAGEIFS(nNOTA,nNIA,G183,nCUENTA,1,nASIG,"Lenguaje Musical"),"")))</f>
        <v/>
      </c>
      <c r="I183" t="str">
        <f>IF(G183="","",IF(G183="[FÓRMULA MANUAL]","",IFERROR(AVERAGEIFS(nNOTA,nNIA,G183,nCUENTA,1,nASIG,"Orquesta/Banda/Conjunto"),"")))</f>
        <v/>
      </c>
      <c r="J183" t="str">
        <f>IF(G183="","",IF(G183="[FÓRMULA MANUAL]","",IFERROR(AVERAGEIFS(nNOTA,nNIA,G183,nCUENTA,1,nASIG,"Conjunto"),"")))</f>
        <v/>
      </c>
      <c r="K183" t="str">
        <f>IF(G183="","",IF(G183="[FÓRMULA MANUAL]","",IFERROR(SUMPRODUCT((nNIA=G183)*(nCUENTA=1)*(COUNTIF(CONFIG_ASIGNATURAS!$B$7:$B$27,nASIG)&gt;0)*(nNOTA))/SUMPRODUCT((nNIA=G183)*(nCUENTA=1)*(COUNTIF(CONFIG_ASIGNATURAS!$B$7:$B$27,nASIG)&gt;0)*1),"")))</f>
        <v/>
      </c>
      <c r="N183" t="str">
        <f>IF(M183="","",IF(M183="[FÓRMULA MANUAL]","",IFERROR(AVERAGEIFS(nNOTA,nNIA,M183,nCUENTA,1,nASIG,"Armonía"),"")))</f>
        <v/>
      </c>
      <c r="O183" t="str">
        <f>IF(M183="","",IF(M183="[FÓRMULA MANUAL]","",IFERROR(AVERAGEIFS(nNOTA,nNIA,M183,nCUENTA,1,nASIG,"Orquesta/Banda/Conjunto"),"")))</f>
        <v/>
      </c>
      <c r="P183" t="str">
        <f>IF(M183="","",IF(M183="[FÓRMULA MANUAL]","",IFERROR(AVERAGEIFS(nNOTA,nNIA,M183,nCUENTA,1,nASIG,"Música de Cámara"),"")))</f>
        <v/>
      </c>
      <c r="Q183" t="str">
        <f>IF(M183="","",IF(M183="[FÓRMULA MANUAL]","",IFERROR(SUMPRODUCT((nNIA=M183)*(nCUENTA=1)*(COUNTIF(CONFIG_ASIGNATURAS!$B$7:$B$27,nASIG)&gt;0)*(nNOTA))/SUMPRODUCT((nNIA=M183)*(nCUENTA=1)*(COUNTIF(CONFIG_ASIGNATURAS!$B$7:$B$27,nASIG)&gt;0)*1),"")))</f>
        <v/>
      </c>
      <c r="T183" t="str">
        <f>IF(S183="","",IF(S183="[FÓRMULA MANUAL]","",IFERROR(AVERAGEIFS(nNOTA,nNIA,S183,nCUENTA,1,nASIG,"Armonía"),"")))</f>
        <v/>
      </c>
      <c r="U183" t="str">
        <f>IF(S183="","",IF(S183="[FÓRMULA MANUAL]","",IFERROR(AVERAGEIFS(nNOTA,nNIA,S183,nCUENTA,1,nASIG,"Orquesta/Banda/Conjunto"),"")))</f>
        <v/>
      </c>
      <c r="V183" t="str">
        <f>IF(S183="","",IF(S183="[FÓRMULA MANUAL]","",IFERROR(AVERAGEIFS(nNOTA,nNIA,S183,nCUENTA,1,nASIG,"Música de Cámara"),"")))</f>
        <v/>
      </c>
      <c r="W183" t="str">
        <f>IF(S183="","",IF(S183="[FÓRMULA MANUAL]","",IFERROR(SUMPRODUCT((nNIA=S183)*(nCUENTA=1)*(COUNTIF(CONFIG_ASIGNATURAS!$B$7:$B$27,nASIG)&gt;0)*(nNOTA))/SUMPRODUCT((nNIA=S183)*(nCUENTA=1)*(COUNTIF(CONFIG_ASIGNATURAS!$B$7:$B$27,nASIG)&gt;0)*1),"")))</f>
        <v/>
      </c>
      <c r="Z183" t="str">
        <f>IF(Y183="","",IF(Y183="[FÓRMULA MANUAL]","",IFERROR(AVERAGEIFS(nNOTA,nNIA,Y183,nCUENTA,1,nASIG,"Análisis"),"")))</f>
        <v/>
      </c>
      <c r="AA183" t="str">
        <f>IF(Y183="","",IF(Y183="[FÓRMULA MANUAL]","",IFERROR(AVERAGEIFS(nNOTA,nNIA,Y183,nCUENTA,1,nASIG,"Orquesta/Banda/Conjunto"),"")))</f>
        <v/>
      </c>
      <c r="AB183" t="str">
        <f>IF(Y183="","",IF(Y183="[FÓRMULA MANUAL]","",IFERROR(AVERAGEIFS(nNOTA,nNIA,Y183,nCUENTA,1,nASIG,"Música de Cámara"),"")))</f>
        <v/>
      </c>
      <c r="AC183" t="str">
        <f>IF(Y183="","",IF(Y183="[FÓRMULA MANUAL]","",IFERROR(SUMPRODUCT((nNIA=Y183)*(nCUENTA=1)*(COUNTIF(CONFIG_ASIGNATURAS!$B$7:$B$27,nASIG)&gt;0)*(nNOTA))/SUMPRODUCT((nNIA=Y183)*(nCUENTA=1)*(COUNTIF(CONFIG_ASIGNATURAS!$B$7:$B$27,nASIG)&gt;0)*1),"")))</f>
        <v/>
      </c>
      <c r="AF183" t="str">
        <f>IF(AE183="","",IF(AE183="[FÓRMULA MANUAL]","",IFERROR(AVERAGEIFS(nNOTA,nNIA,AE183,nCUENTA,1,nASIG,"Análisis"),"")))</f>
        <v/>
      </c>
      <c r="AG183" t="str">
        <f>IF(AE183="","",IF(AE183="[FÓRMULA MANUAL]","",IFERROR(AVERAGEIFS(nNOTA,nNIA,AE183,nCUENTA,1,nASIG,"Orquesta/Banda/Conjunto"),"")))</f>
        <v/>
      </c>
      <c r="AH183" t="str">
        <f>IF(AE183="","",IF(AE183="[FÓRMULA MANUAL]","",IFERROR(AVERAGEIFS(nNOTA,nNIA,AE183,nCUENTA,1,nASIG,"Música de Cámara"),"")))</f>
        <v/>
      </c>
      <c r="AI183" t="str">
        <f>IF(AE183="","",IF(AE183="[FÓRMULA MANUAL]","",IFERROR(SUMPRODUCT((nNIA=AE183)*(nCUENTA=1)*(COUNTIF(CONFIG_ASIGNATURAS!$B$7:$B$27,nASIG)&gt;0)*(nNOTA))/SUMPRODUCT((nNIA=AE183)*(nCUENTA=1)*(COUNTIF(CONFIG_ASIGNATURAS!$B$7:$B$27,nASIG)&gt;0)*1),"")))</f>
        <v/>
      </c>
    </row>
    <row r="184" spans="2:35" x14ac:dyDescent="0.2">
      <c r="B184" t="str">
        <f>IF(A184="","",IF(A184="[FÓRMULA MANUAL]","",IFERROR(AVERAGEIFS(nNOTA,nNIA,A184,nCUENTA,1,nASIG,"Lenguaje Musical"),"")))</f>
        <v/>
      </c>
      <c r="C184" t="str">
        <f>IF(A184="","",IF(A184="[FÓRMULA MANUAL]","",IFERROR(AVERAGEIFS(nNOTA,nNIA,A184,nCUENTA,1,nASIG,"Orquesta/Banda/Conjunto"),"")))</f>
        <v/>
      </c>
      <c r="D184" t="str">
        <f>IF(A184="","",IF(A184="[FÓRMULA MANUAL]","",IFERROR(AVERAGEIFS(nNOTA,nNIA,A184,nCUENTA,1,nASIG,"Conjunto"),"")))</f>
        <v/>
      </c>
      <c r="E184" t="str">
        <f>IF(A184="","",IF(A184="[FÓRMULA MANUAL]","",IFERROR(SUMPRODUCT((nNIA=A184)*(nCUENTA=1)*(COUNTIF(CONFIG_ASIGNATURAS!$B$7:$B$27,nASIG)&gt;0)*(nNOTA))/SUMPRODUCT((nNIA=A184)*(nCUENTA=1)*(COUNTIF(CONFIG_ASIGNATURAS!$B$7:$B$27,nASIG)&gt;0)*1),"")))</f>
        <v/>
      </c>
      <c r="H184" t="str">
        <f>IF(G184="","",IF(G184="[FÓRMULA MANUAL]","",IFERROR(AVERAGEIFS(nNOTA,nNIA,G184,nCUENTA,1,nASIG,"Lenguaje Musical"),"")))</f>
        <v/>
      </c>
      <c r="I184" t="str">
        <f>IF(G184="","",IF(G184="[FÓRMULA MANUAL]","",IFERROR(AVERAGEIFS(nNOTA,nNIA,G184,nCUENTA,1,nASIG,"Orquesta/Banda/Conjunto"),"")))</f>
        <v/>
      </c>
      <c r="J184" t="str">
        <f>IF(G184="","",IF(G184="[FÓRMULA MANUAL]","",IFERROR(AVERAGEIFS(nNOTA,nNIA,G184,nCUENTA,1,nASIG,"Conjunto"),"")))</f>
        <v/>
      </c>
      <c r="K184" t="str">
        <f>IF(G184="","",IF(G184="[FÓRMULA MANUAL]","",IFERROR(SUMPRODUCT((nNIA=G184)*(nCUENTA=1)*(COUNTIF(CONFIG_ASIGNATURAS!$B$7:$B$27,nASIG)&gt;0)*(nNOTA))/SUMPRODUCT((nNIA=G184)*(nCUENTA=1)*(COUNTIF(CONFIG_ASIGNATURAS!$B$7:$B$27,nASIG)&gt;0)*1),"")))</f>
        <v/>
      </c>
      <c r="N184" t="str">
        <f>IF(M184="","",IF(M184="[FÓRMULA MANUAL]","",IFERROR(AVERAGEIFS(nNOTA,nNIA,M184,nCUENTA,1,nASIG,"Armonía"),"")))</f>
        <v/>
      </c>
      <c r="O184" t="str">
        <f>IF(M184="","",IF(M184="[FÓRMULA MANUAL]","",IFERROR(AVERAGEIFS(nNOTA,nNIA,M184,nCUENTA,1,nASIG,"Orquesta/Banda/Conjunto"),"")))</f>
        <v/>
      </c>
      <c r="P184" t="str">
        <f>IF(M184="","",IF(M184="[FÓRMULA MANUAL]","",IFERROR(AVERAGEIFS(nNOTA,nNIA,M184,nCUENTA,1,nASIG,"Música de Cámara"),"")))</f>
        <v/>
      </c>
      <c r="Q184" t="str">
        <f>IF(M184="","",IF(M184="[FÓRMULA MANUAL]","",IFERROR(SUMPRODUCT((nNIA=M184)*(nCUENTA=1)*(COUNTIF(CONFIG_ASIGNATURAS!$B$7:$B$27,nASIG)&gt;0)*(nNOTA))/SUMPRODUCT((nNIA=M184)*(nCUENTA=1)*(COUNTIF(CONFIG_ASIGNATURAS!$B$7:$B$27,nASIG)&gt;0)*1),"")))</f>
        <v/>
      </c>
      <c r="T184" t="str">
        <f>IF(S184="","",IF(S184="[FÓRMULA MANUAL]","",IFERROR(AVERAGEIFS(nNOTA,nNIA,S184,nCUENTA,1,nASIG,"Armonía"),"")))</f>
        <v/>
      </c>
      <c r="U184" t="str">
        <f>IF(S184="","",IF(S184="[FÓRMULA MANUAL]","",IFERROR(AVERAGEIFS(nNOTA,nNIA,S184,nCUENTA,1,nASIG,"Orquesta/Banda/Conjunto"),"")))</f>
        <v/>
      </c>
      <c r="V184" t="str">
        <f>IF(S184="","",IF(S184="[FÓRMULA MANUAL]","",IFERROR(AVERAGEIFS(nNOTA,nNIA,S184,nCUENTA,1,nASIG,"Música de Cámara"),"")))</f>
        <v/>
      </c>
      <c r="W184" t="str">
        <f>IF(S184="","",IF(S184="[FÓRMULA MANUAL]","",IFERROR(SUMPRODUCT((nNIA=S184)*(nCUENTA=1)*(COUNTIF(CONFIG_ASIGNATURAS!$B$7:$B$27,nASIG)&gt;0)*(nNOTA))/SUMPRODUCT((nNIA=S184)*(nCUENTA=1)*(COUNTIF(CONFIG_ASIGNATURAS!$B$7:$B$27,nASIG)&gt;0)*1),"")))</f>
        <v/>
      </c>
      <c r="Z184" t="str">
        <f>IF(Y184="","",IF(Y184="[FÓRMULA MANUAL]","",IFERROR(AVERAGEIFS(nNOTA,nNIA,Y184,nCUENTA,1,nASIG,"Análisis"),"")))</f>
        <v/>
      </c>
      <c r="AA184" t="str">
        <f>IF(Y184="","",IF(Y184="[FÓRMULA MANUAL]","",IFERROR(AVERAGEIFS(nNOTA,nNIA,Y184,nCUENTA,1,nASIG,"Orquesta/Banda/Conjunto"),"")))</f>
        <v/>
      </c>
      <c r="AB184" t="str">
        <f>IF(Y184="","",IF(Y184="[FÓRMULA MANUAL]","",IFERROR(AVERAGEIFS(nNOTA,nNIA,Y184,nCUENTA,1,nASIG,"Música de Cámara"),"")))</f>
        <v/>
      </c>
      <c r="AC184" t="str">
        <f>IF(Y184="","",IF(Y184="[FÓRMULA MANUAL]","",IFERROR(SUMPRODUCT((nNIA=Y184)*(nCUENTA=1)*(COUNTIF(CONFIG_ASIGNATURAS!$B$7:$B$27,nASIG)&gt;0)*(nNOTA))/SUMPRODUCT((nNIA=Y184)*(nCUENTA=1)*(COUNTIF(CONFIG_ASIGNATURAS!$B$7:$B$27,nASIG)&gt;0)*1),"")))</f>
        <v/>
      </c>
      <c r="AF184" t="str">
        <f>IF(AE184="","",IF(AE184="[FÓRMULA MANUAL]","",IFERROR(AVERAGEIFS(nNOTA,nNIA,AE184,nCUENTA,1,nASIG,"Análisis"),"")))</f>
        <v/>
      </c>
      <c r="AG184" t="str">
        <f>IF(AE184="","",IF(AE184="[FÓRMULA MANUAL]","",IFERROR(AVERAGEIFS(nNOTA,nNIA,AE184,nCUENTA,1,nASIG,"Orquesta/Banda/Conjunto"),"")))</f>
        <v/>
      </c>
      <c r="AH184" t="str">
        <f>IF(AE184="","",IF(AE184="[FÓRMULA MANUAL]","",IFERROR(AVERAGEIFS(nNOTA,nNIA,AE184,nCUENTA,1,nASIG,"Música de Cámara"),"")))</f>
        <v/>
      </c>
      <c r="AI184" t="str">
        <f>IF(AE184="","",IF(AE184="[FÓRMULA MANUAL]","",IFERROR(SUMPRODUCT((nNIA=AE184)*(nCUENTA=1)*(COUNTIF(CONFIG_ASIGNATURAS!$B$7:$B$27,nASIG)&gt;0)*(nNOTA))/SUMPRODUCT((nNIA=AE184)*(nCUENTA=1)*(COUNTIF(CONFIG_ASIGNATURAS!$B$7:$B$27,nASIG)&gt;0)*1),"")))</f>
        <v/>
      </c>
    </row>
    <row r="185" spans="2:35" x14ac:dyDescent="0.2">
      <c r="B185" t="str">
        <f>IF(A185="","",IF(A185="[FÓRMULA MANUAL]","",IFERROR(AVERAGEIFS(nNOTA,nNIA,A185,nCUENTA,1,nASIG,"Lenguaje Musical"),"")))</f>
        <v/>
      </c>
      <c r="C185" t="str">
        <f>IF(A185="","",IF(A185="[FÓRMULA MANUAL]","",IFERROR(AVERAGEIFS(nNOTA,nNIA,A185,nCUENTA,1,nASIG,"Orquesta/Banda/Conjunto"),"")))</f>
        <v/>
      </c>
      <c r="D185" t="str">
        <f>IF(A185="","",IF(A185="[FÓRMULA MANUAL]","",IFERROR(AVERAGEIFS(nNOTA,nNIA,A185,nCUENTA,1,nASIG,"Conjunto"),"")))</f>
        <v/>
      </c>
      <c r="E185" t="str">
        <f>IF(A185="","",IF(A185="[FÓRMULA MANUAL]","",IFERROR(SUMPRODUCT((nNIA=A185)*(nCUENTA=1)*(COUNTIF(CONFIG_ASIGNATURAS!$B$7:$B$27,nASIG)&gt;0)*(nNOTA))/SUMPRODUCT((nNIA=A185)*(nCUENTA=1)*(COUNTIF(CONFIG_ASIGNATURAS!$B$7:$B$27,nASIG)&gt;0)*1),"")))</f>
        <v/>
      </c>
      <c r="H185" t="str">
        <f>IF(G185="","",IF(G185="[FÓRMULA MANUAL]","",IFERROR(AVERAGEIFS(nNOTA,nNIA,G185,nCUENTA,1,nASIG,"Lenguaje Musical"),"")))</f>
        <v/>
      </c>
      <c r="I185" t="str">
        <f>IF(G185="","",IF(G185="[FÓRMULA MANUAL]","",IFERROR(AVERAGEIFS(nNOTA,nNIA,G185,nCUENTA,1,nASIG,"Orquesta/Banda/Conjunto"),"")))</f>
        <v/>
      </c>
      <c r="J185" t="str">
        <f>IF(G185="","",IF(G185="[FÓRMULA MANUAL]","",IFERROR(AVERAGEIFS(nNOTA,nNIA,G185,nCUENTA,1,nASIG,"Conjunto"),"")))</f>
        <v/>
      </c>
      <c r="K185" t="str">
        <f>IF(G185="","",IF(G185="[FÓRMULA MANUAL]","",IFERROR(SUMPRODUCT((nNIA=G185)*(nCUENTA=1)*(COUNTIF(CONFIG_ASIGNATURAS!$B$7:$B$27,nASIG)&gt;0)*(nNOTA))/SUMPRODUCT((nNIA=G185)*(nCUENTA=1)*(COUNTIF(CONFIG_ASIGNATURAS!$B$7:$B$27,nASIG)&gt;0)*1),"")))</f>
        <v/>
      </c>
      <c r="N185" t="str">
        <f>IF(M185="","",IF(M185="[FÓRMULA MANUAL]","",IFERROR(AVERAGEIFS(nNOTA,nNIA,M185,nCUENTA,1,nASIG,"Armonía"),"")))</f>
        <v/>
      </c>
      <c r="O185" t="str">
        <f>IF(M185="","",IF(M185="[FÓRMULA MANUAL]","",IFERROR(AVERAGEIFS(nNOTA,nNIA,M185,nCUENTA,1,nASIG,"Orquesta/Banda/Conjunto"),"")))</f>
        <v/>
      </c>
      <c r="P185" t="str">
        <f>IF(M185="","",IF(M185="[FÓRMULA MANUAL]","",IFERROR(AVERAGEIFS(nNOTA,nNIA,M185,nCUENTA,1,nASIG,"Música de Cámara"),"")))</f>
        <v/>
      </c>
      <c r="Q185" t="str">
        <f>IF(M185="","",IF(M185="[FÓRMULA MANUAL]","",IFERROR(SUMPRODUCT((nNIA=M185)*(nCUENTA=1)*(COUNTIF(CONFIG_ASIGNATURAS!$B$7:$B$27,nASIG)&gt;0)*(nNOTA))/SUMPRODUCT((nNIA=M185)*(nCUENTA=1)*(COUNTIF(CONFIG_ASIGNATURAS!$B$7:$B$27,nASIG)&gt;0)*1),"")))</f>
        <v/>
      </c>
      <c r="T185" t="str">
        <f>IF(S185="","",IF(S185="[FÓRMULA MANUAL]","",IFERROR(AVERAGEIFS(nNOTA,nNIA,S185,nCUENTA,1,nASIG,"Armonía"),"")))</f>
        <v/>
      </c>
      <c r="U185" t="str">
        <f>IF(S185="","",IF(S185="[FÓRMULA MANUAL]","",IFERROR(AVERAGEIFS(nNOTA,nNIA,S185,nCUENTA,1,nASIG,"Orquesta/Banda/Conjunto"),"")))</f>
        <v/>
      </c>
      <c r="V185" t="str">
        <f>IF(S185="","",IF(S185="[FÓRMULA MANUAL]","",IFERROR(AVERAGEIFS(nNOTA,nNIA,S185,nCUENTA,1,nASIG,"Música de Cámara"),"")))</f>
        <v/>
      </c>
      <c r="W185" t="str">
        <f>IF(S185="","",IF(S185="[FÓRMULA MANUAL]","",IFERROR(SUMPRODUCT((nNIA=S185)*(nCUENTA=1)*(COUNTIF(CONFIG_ASIGNATURAS!$B$7:$B$27,nASIG)&gt;0)*(nNOTA))/SUMPRODUCT((nNIA=S185)*(nCUENTA=1)*(COUNTIF(CONFIG_ASIGNATURAS!$B$7:$B$27,nASIG)&gt;0)*1),"")))</f>
        <v/>
      </c>
      <c r="Z185" t="str">
        <f>IF(Y185="","",IF(Y185="[FÓRMULA MANUAL]","",IFERROR(AVERAGEIFS(nNOTA,nNIA,Y185,nCUENTA,1,nASIG,"Análisis"),"")))</f>
        <v/>
      </c>
      <c r="AA185" t="str">
        <f>IF(Y185="","",IF(Y185="[FÓRMULA MANUAL]","",IFERROR(AVERAGEIFS(nNOTA,nNIA,Y185,nCUENTA,1,nASIG,"Orquesta/Banda/Conjunto"),"")))</f>
        <v/>
      </c>
      <c r="AB185" t="str">
        <f>IF(Y185="","",IF(Y185="[FÓRMULA MANUAL]","",IFERROR(AVERAGEIFS(nNOTA,nNIA,Y185,nCUENTA,1,nASIG,"Música de Cámara"),"")))</f>
        <v/>
      </c>
      <c r="AC185" t="str">
        <f>IF(Y185="","",IF(Y185="[FÓRMULA MANUAL]","",IFERROR(SUMPRODUCT((nNIA=Y185)*(nCUENTA=1)*(COUNTIF(CONFIG_ASIGNATURAS!$B$7:$B$27,nASIG)&gt;0)*(nNOTA))/SUMPRODUCT((nNIA=Y185)*(nCUENTA=1)*(COUNTIF(CONFIG_ASIGNATURAS!$B$7:$B$27,nASIG)&gt;0)*1),"")))</f>
        <v/>
      </c>
      <c r="AF185" t="str">
        <f>IF(AE185="","",IF(AE185="[FÓRMULA MANUAL]","",IFERROR(AVERAGEIFS(nNOTA,nNIA,AE185,nCUENTA,1,nASIG,"Análisis"),"")))</f>
        <v/>
      </c>
      <c r="AG185" t="str">
        <f>IF(AE185="","",IF(AE185="[FÓRMULA MANUAL]","",IFERROR(AVERAGEIFS(nNOTA,nNIA,AE185,nCUENTA,1,nASIG,"Orquesta/Banda/Conjunto"),"")))</f>
        <v/>
      </c>
      <c r="AH185" t="str">
        <f>IF(AE185="","",IF(AE185="[FÓRMULA MANUAL]","",IFERROR(AVERAGEIFS(nNOTA,nNIA,AE185,nCUENTA,1,nASIG,"Música de Cámara"),"")))</f>
        <v/>
      </c>
      <c r="AI185" t="str">
        <f>IF(AE185="","",IF(AE185="[FÓRMULA MANUAL]","",IFERROR(SUMPRODUCT((nNIA=AE185)*(nCUENTA=1)*(COUNTIF(CONFIG_ASIGNATURAS!$B$7:$B$27,nASIG)&gt;0)*(nNOTA))/SUMPRODUCT((nNIA=AE185)*(nCUENTA=1)*(COUNTIF(CONFIG_ASIGNATURAS!$B$7:$B$27,nASIG)&gt;0)*1),"")))</f>
        <v/>
      </c>
    </row>
    <row r="186" spans="2:35" x14ac:dyDescent="0.2">
      <c r="B186" t="str">
        <f>IF(A186="","",IF(A186="[FÓRMULA MANUAL]","",IFERROR(AVERAGEIFS(nNOTA,nNIA,A186,nCUENTA,1,nASIG,"Lenguaje Musical"),"")))</f>
        <v/>
      </c>
      <c r="C186" t="str">
        <f>IF(A186="","",IF(A186="[FÓRMULA MANUAL]","",IFERROR(AVERAGEIFS(nNOTA,nNIA,A186,nCUENTA,1,nASIG,"Orquesta/Banda/Conjunto"),"")))</f>
        <v/>
      </c>
      <c r="D186" t="str">
        <f>IF(A186="","",IF(A186="[FÓRMULA MANUAL]","",IFERROR(AVERAGEIFS(nNOTA,nNIA,A186,nCUENTA,1,nASIG,"Conjunto"),"")))</f>
        <v/>
      </c>
      <c r="E186" t="str">
        <f>IF(A186="","",IF(A186="[FÓRMULA MANUAL]","",IFERROR(SUMPRODUCT((nNIA=A186)*(nCUENTA=1)*(COUNTIF(CONFIG_ASIGNATURAS!$B$7:$B$27,nASIG)&gt;0)*(nNOTA))/SUMPRODUCT((nNIA=A186)*(nCUENTA=1)*(COUNTIF(CONFIG_ASIGNATURAS!$B$7:$B$27,nASIG)&gt;0)*1),"")))</f>
        <v/>
      </c>
      <c r="H186" t="str">
        <f>IF(G186="","",IF(G186="[FÓRMULA MANUAL]","",IFERROR(AVERAGEIFS(nNOTA,nNIA,G186,nCUENTA,1,nASIG,"Lenguaje Musical"),"")))</f>
        <v/>
      </c>
      <c r="I186" t="str">
        <f>IF(G186="","",IF(G186="[FÓRMULA MANUAL]","",IFERROR(AVERAGEIFS(nNOTA,nNIA,G186,nCUENTA,1,nASIG,"Orquesta/Banda/Conjunto"),"")))</f>
        <v/>
      </c>
      <c r="J186" t="str">
        <f>IF(G186="","",IF(G186="[FÓRMULA MANUAL]","",IFERROR(AVERAGEIFS(nNOTA,nNIA,G186,nCUENTA,1,nASIG,"Conjunto"),"")))</f>
        <v/>
      </c>
      <c r="K186" t="str">
        <f>IF(G186="","",IF(G186="[FÓRMULA MANUAL]","",IFERROR(SUMPRODUCT((nNIA=G186)*(nCUENTA=1)*(COUNTIF(CONFIG_ASIGNATURAS!$B$7:$B$27,nASIG)&gt;0)*(nNOTA))/SUMPRODUCT((nNIA=G186)*(nCUENTA=1)*(COUNTIF(CONFIG_ASIGNATURAS!$B$7:$B$27,nASIG)&gt;0)*1),"")))</f>
        <v/>
      </c>
      <c r="N186" t="str">
        <f>IF(M186="","",IF(M186="[FÓRMULA MANUAL]","",IFERROR(AVERAGEIFS(nNOTA,nNIA,M186,nCUENTA,1,nASIG,"Armonía"),"")))</f>
        <v/>
      </c>
      <c r="O186" t="str">
        <f>IF(M186="","",IF(M186="[FÓRMULA MANUAL]","",IFERROR(AVERAGEIFS(nNOTA,nNIA,M186,nCUENTA,1,nASIG,"Orquesta/Banda/Conjunto"),"")))</f>
        <v/>
      </c>
      <c r="P186" t="str">
        <f>IF(M186="","",IF(M186="[FÓRMULA MANUAL]","",IFERROR(AVERAGEIFS(nNOTA,nNIA,M186,nCUENTA,1,nASIG,"Música de Cámara"),"")))</f>
        <v/>
      </c>
      <c r="Q186" t="str">
        <f>IF(M186="","",IF(M186="[FÓRMULA MANUAL]","",IFERROR(SUMPRODUCT((nNIA=M186)*(nCUENTA=1)*(COUNTIF(CONFIG_ASIGNATURAS!$B$7:$B$27,nASIG)&gt;0)*(nNOTA))/SUMPRODUCT((nNIA=M186)*(nCUENTA=1)*(COUNTIF(CONFIG_ASIGNATURAS!$B$7:$B$27,nASIG)&gt;0)*1),"")))</f>
        <v/>
      </c>
      <c r="T186" t="str">
        <f>IF(S186="","",IF(S186="[FÓRMULA MANUAL]","",IFERROR(AVERAGEIFS(nNOTA,nNIA,S186,nCUENTA,1,nASIG,"Armonía"),"")))</f>
        <v/>
      </c>
      <c r="U186" t="str">
        <f>IF(S186="","",IF(S186="[FÓRMULA MANUAL]","",IFERROR(AVERAGEIFS(nNOTA,nNIA,S186,nCUENTA,1,nASIG,"Orquesta/Banda/Conjunto"),"")))</f>
        <v/>
      </c>
      <c r="V186" t="str">
        <f>IF(S186="","",IF(S186="[FÓRMULA MANUAL]","",IFERROR(AVERAGEIFS(nNOTA,nNIA,S186,nCUENTA,1,nASIG,"Música de Cámara"),"")))</f>
        <v/>
      </c>
      <c r="W186" t="str">
        <f>IF(S186="","",IF(S186="[FÓRMULA MANUAL]","",IFERROR(SUMPRODUCT((nNIA=S186)*(nCUENTA=1)*(COUNTIF(CONFIG_ASIGNATURAS!$B$7:$B$27,nASIG)&gt;0)*(nNOTA))/SUMPRODUCT((nNIA=S186)*(nCUENTA=1)*(COUNTIF(CONFIG_ASIGNATURAS!$B$7:$B$27,nASIG)&gt;0)*1),"")))</f>
        <v/>
      </c>
      <c r="Z186" t="str">
        <f>IF(Y186="","",IF(Y186="[FÓRMULA MANUAL]","",IFERROR(AVERAGEIFS(nNOTA,nNIA,Y186,nCUENTA,1,nASIG,"Análisis"),"")))</f>
        <v/>
      </c>
      <c r="AA186" t="str">
        <f>IF(Y186="","",IF(Y186="[FÓRMULA MANUAL]","",IFERROR(AVERAGEIFS(nNOTA,nNIA,Y186,nCUENTA,1,nASIG,"Orquesta/Banda/Conjunto"),"")))</f>
        <v/>
      </c>
      <c r="AB186" t="str">
        <f>IF(Y186="","",IF(Y186="[FÓRMULA MANUAL]","",IFERROR(AVERAGEIFS(nNOTA,nNIA,Y186,nCUENTA,1,nASIG,"Música de Cámara"),"")))</f>
        <v/>
      </c>
      <c r="AC186" t="str">
        <f>IF(Y186="","",IF(Y186="[FÓRMULA MANUAL]","",IFERROR(SUMPRODUCT((nNIA=Y186)*(nCUENTA=1)*(COUNTIF(CONFIG_ASIGNATURAS!$B$7:$B$27,nASIG)&gt;0)*(nNOTA))/SUMPRODUCT((nNIA=Y186)*(nCUENTA=1)*(COUNTIF(CONFIG_ASIGNATURAS!$B$7:$B$27,nASIG)&gt;0)*1),"")))</f>
        <v/>
      </c>
      <c r="AF186" t="str">
        <f>IF(AE186="","",IF(AE186="[FÓRMULA MANUAL]","",IFERROR(AVERAGEIFS(nNOTA,nNIA,AE186,nCUENTA,1,nASIG,"Análisis"),"")))</f>
        <v/>
      </c>
      <c r="AG186" t="str">
        <f>IF(AE186="","",IF(AE186="[FÓRMULA MANUAL]","",IFERROR(AVERAGEIFS(nNOTA,nNIA,AE186,nCUENTA,1,nASIG,"Orquesta/Banda/Conjunto"),"")))</f>
        <v/>
      </c>
      <c r="AH186" t="str">
        <f>IF(AE186="","",IF(AE186="[FÓRMULA MANUAL]","",IFERROR(AVERAGEIFS(nNOTA,nNIA,AE186,nCUENTA,1,nASIG,"Música de Cámara"),"")))</f>
        <v/>
      </c>
      <c r="AI186" t="str">
        <f>IF(AE186="","",IF(AE186="[FÓRMULA MANUAL]","",IFERROR(SUMPRODUCT((nNIA=AE186)*(nCUENTA=1)*(COUNTIF(CONFIG_ASIGNATURAS!$B$7:$B$27,nASIG)&gt;0)*(nNOTA))/SUMPRODUCT((nNIA=AE186)*(nCUENTA=1)*(COUNTIF(CONFIG_ASIGNATURAS!$B$7:$B$27,nASIG)&gt;0)*1),"")))</f>
        <v/>
      </c>
    </row>
    <row r="187" spans="2:35" x14ac:dyDescent="0.2">
      <c r="B187" t="str">
        <f>IF(A187="","",IF(A187="[FÓRMULA MANUAL]","",IFERROR(AVERAGEIFS(nNOTA,nNIA,A187,nCUENTA,1,nASIG,"Lenguaje Musical"),"")))</f>
        <v/>
      </c>
      <c r="C187" t="str">
        <f>IF(A187="","",IF(A187="[FÓRMULA MANUAL]","",IFERROR(AVERAGEIFS(nNOTA,nNIA,A187,nCUENTA,1,nASIG,"Orquesta/Banda/Conjunto"),"")))</f>
        <v/>
      </c>
      <c r="D187" t="str">
        <f>IF(A187="","",IF(A187="[FÓRMULA MANUAL]","",IFERROR(AVERAGEIFS(nNOTA,nNIA,A187,nCUENTA,1,nASIG,"Conjunto"),"")))</f>
        <v/>
      </c>
      <c r="E187" t="str">
        <f>IF(A187="","",IF(A187="[FÓRMULA MANUAL]","",IFERROR(SUMPRODUCT((nNIA=A187)*(nCUENTA=1)*(COUNTIF(CONFIG_ASIGNATURAS!$B$7:$B$27,nASIG)&gt;0)*(nNOTA))/SUMPRODUCT((nNIA=A187)*(nCUENTA=1)*(COUNTIF(CONFIG_ASIGNATURAS!$B$7:$B$27,nASIG)&gt;0)*1),"")))</f>
        <v/>
      </c>
      <c r="H187" t="str">
        <f>IF(G187="","",IF(G187="[FÓRMULA MANUAL]","",IFERROR(AVERAGEIFS(nNOTA,nNIA,G187,nCUENTA,1,nASIG,"Lenguaje Musical"),"")))</f>
        <v/>
      </c>
      <c r="I187" t="str">
        <f>IF(G187="","",IF(G187="[FÓRMULA MANUAL]","",IFERROR(AVERAGEIFS(nNOTA,nNIA,G187,nCUENTA,1,nASIG,"Orquesta/Banda/Conjunto"),"")))</f>
        <v/>
      </c>
      <c r="J187" t="str">
        <f>IF(G187="","",IF(G187="[FÓRMULA MANUAL]","",IFERROR(AVERAGEIFS(nNOTA,nNIA,G187,nCUENTA,1,nASIG,"Conjunto"),"")))</f>
        <v/>
      </c>
      <c r="K187" t="str">
        <f>IF(G187="","",IF(G187="[FÓRMULA MANUAL]","",IFERROR(SUMPRODUCT((nNIA=G187)*(nCUENTA=1)*(COUNTIF(CONFIG_ASIGNATURAS!$B$7:$B$27,nASIG)&gt;0)*(nNOTA))/SUMPRODUCT((nNIA=G187)*(nCUENTA=1)*(COUNTIF(CONFIG_ASIGNATURAS!$B$7:$B$27,nASIG)&gt;0)*1),"")))</f>
        <v/>
      </c>
      <c r="N187" t="str">
        <f>IF(M187="","",IF(M187="[FÓRMULA MANUAL]","",IFERROR(AVERAGEIFS(nNOTA,nNIA,M187,nCUENTA,1,nASIG,"Armonía"),"")))</f>
        <v/>
      </c>
      <c r="O187" t="str">
        <f>IF(M187="","",IF(M187="[FÓRMULA MANUAL]","",IFERROR(AVERAGEIFS(nNOTA,nNIA,M187,nCUENTA,1,nASIG,"Orquesta/Banda/Conjunto"),"")))</f>
        <v/>
      </c>
      <c r="P187" t="str">
        <f>IF(M187="","",IF(M187="[FÓRMULA MANUAL]","",IFERROR(AVERAGEIFS(nNOTA,nNIA,M187,nCUENTA,1,nASIG,"Música de Cámara"),"")))</f>
        <v/>
      </c>
      <c r="Q187" t="str">
        <f>IF(M187="","",IF(M187="[FÓRMULA MANUAL]","",IFERROR(SUMPRODUCT((nNIA=M187)*(nCUENTA=1)*(COUNTIF(CONFIG_ASIGNATURAS!$B$7:$B$27,nASIG)&gt;0)*(nNOTA))/SUMPRODUCT((nNIA=M187)*(nCUENTA=1)*(COUNTIF(CONFIG_ASIGNATURAS!$B$7:$B$27,nASIG)&gt;0)*1),"")))</f>
        <v/>
      </c>
      <c r="T187" t="str">
        <f>IF(S187="","",IF(S187="[FÓRMULA MANUAL]","",IFERROR(AVERAGEIFS(nNOTA,nNIA,S187,nCUENTA,1,nASIG,"Armonía"),"")))</f>
        <v/>
      </c>
      <c r="U187" t="str">
        <f>IF(S187="","",IF(S187="[FÓRMULA MANUAL]","",IFERROR(AVERAGEIFS(nNOTA,nNIA,S187,nCUENTA,1,nASIG,"Orquesta/Banda/Conjunto"),"")))</f>
        <v/>
      </c>
      <c r="V187" t="str">
        <f>IF(S187="","",IF(S187="[FÓRMULA MANUAL]","",IFERROR(AVERAGEIFS(nNOTA,nNIA,S187,nCUENTA,1,nASIG,"Música de Cámara"),"")))</f>
        <v/>
      </c>
      <c r="W187" t="str">
        <f>IF(S187="","",IF(S187="[FÓRMULA MANUAL]","",IFERROR(SUMPRODUCT((nNIA=S187)*(nCUENTA=1)*(COUNTIF(CONFIG_ASIGNATURAS!$B$7:$B$27,nASIG)&gt;0)*(nNOTA))/SUMPRODUCT((nNIA=S187)*(nCUENTA=1)*(COUNTIF(CONFIG_ASIGNATURAS!$B$7:$B$27,nASIG)&gt;0)*1),"")))</f>
        <v/>
      </c>
      <c r="Z187" t="str">
        <f>IF(Y187="","",IF(Y187="[FÓRMULA MANUAL]","",IFERROR(AVERAGEIFS(nNOTA,nNIA,Y187,nCUENTA,1,nASIG,"Análisis"),"")))</f>
        <v/>
      </c>
      <c r="AA187" t="str">
        <f>IF(Y187="","",IF(Y187="[FÓRMULA MANUAL]","",IFERROR(AVERAGEIFS(nNOTA,nNIA,Y187,nCUENTA,1,nASIG,"Orquesta/Banda/Conjunto"),"")))</f>
        <v/>
      </c>
      <c r="AB187" t="str">
        <f>IF(Y187="","",IF(Y187="[FÓRMULA MANUAL]","",IFERROR(AVERAGEIFS(nNOTA,nNIA,Y187,nCUENTA,1,nASIG,"Música de Cámara"),"")))</f>
        <v/>
      </c>
      <c r="AC187" t="str">
        <f>IF(Y187="","",IF(Y187="[FÓRMULA MANUAL]","",IFERROR(SUMPRODUCT((nNIA=Y187)*(nCUENTA=1)*(COUNTIF(CONFIG_ASIGNATURAS!$B$7:$B$27,nASIG)&gt;0)*(nNOTA))/SUMPRODUCT((nNIA=Y187)*(nCUENTA=1)*(COUNTIF(CONFIG_ASIGNATURAS!$B$7:$B$27,nASIG)&gt;0)*1),"")))</f>
        <v/>
      </c>
      <c r="AF187" t="str">
        <f>IF(AE187="","",IF(AE187="[FÓRMULA MANUAL]","",IFERROR(AVERAGEIFS(nNOTA,nNIA,AE187,nCUENTA,1,nASIG,"Análisis"),"")))</f>
        <v/>
      </c>
      <c r="AG187" t="str">
        <f>IF(AE187="","",IF(AE187="[FÓRMULA MANUAL]","",IFERROR(AVERAGEIFS(nNOTA,nNIA,AE187,nCUENTA,1,nASIG,"Orquesta/Banda/Conjunto"),"")))</f>
        <v/>
      </c>
      <c r="AH187" t="str">
        <f>IF(AE187="","",IF(AE187="[FÓRMULA MANUAL]","",IFERROR(AVERAGEIFS(nNOTA,nNIA,AE187,nCUENTA,1,nASIG,"Música de Cámara"),"")))</f>
        <v/>
      </c>
      <c r="AI187" t="str">
        <f>IF(AE187="","",IF(AE187="[FÓRMULA MANUAL]","",IFERROR(SUMPRODUCT((nNIA=AE187)*(nCUENTA=1)*(COUNTIF(CONFIG_ASIGNATURAS!$B$7:$B$27,nASIG)&gt;0)*(nNOTA))/SUMPRODUCT((nNIA=AE187)*(nCUENTA=1)*(COUNTIF(CONFIG_ASIGNATURAS!$B$7:$B$27,nASIG)&gt;0)*1),"")))</f>
        <v/>
      </c>
    </row>
    <row r="188" spans="2:35" x14ac:dyDescent="0.2">
      <c r="B188" t="str">
        <f>IF(A188="","",IF(A188="[FÓRMULA MANUAL]","",IFERROR(AVERAGEIFS(nNOTA,nNIA,A188,nCUENTA,1,nASIG,"Lenguaje Musical"),"")))</f>
        <v/>
      </c>
      <c r="C188" t="str">
        <f>IF(A188="","",IF(A188="[FÓRMULA MANUAL]","",IFERROR(AVERAGEIFS(nNOTA,nNIA,A188,nCUENTA,1,nASIG,"Orquesta/Banda/Conjunto"),"")))</f>
        <v/>
      </c>
      <c r="D188" t="str">
        <f>IF(A188="","",IF(A188="[FÓRMULA MANUAL]","",IFERROR(AVERAGEIFS(nNOTA,nNIA,A188,nCUENTA,1,nASIG,"Conjunto"),"")))</f>
        <v/>
      </c>
      <c r="E188" t="str">
        <f>IF(A188="","",IF(A188="[FÓRMULA MANUAL]","",IFERROR(SUMPRODUCT((nNIA=A188)*(nCUENTA=1)*(COUNTIF(CONFIG_ASIGNATURAS!$B$7:$B$27,nASIG)&gt;0)*(nNOTA))/SUMPRODUCT((nNIA=A188)*(nCUENTA=1)*(COUNTIF(CONFIG_ASIGNATURAS!$B$7:$B$27,nASIG)&gt;0)*1),"")))</f>
        <v/>
      </c>
      <c r="H188" t="str">
        <f>IF(G188="","",IF(G188="[FÓRMULA MANUAL]","",IFERROR(AVERAGEIFS(nNOTA,nNIA,G188,nCUENTA,1,nASIG,"Lenguaje Musical"),"")))</f>
        <v/>
      </c>
      <c r="I188" t="str">
        <f>IF(G188="","",IF(G188="[FÓRMULA MANUAL]","",IFERROR(AVERAGEIFS(nNOTA,nNIA,G188,nCUENTA,1,nASIG,"Orquesta/Banda/Conjunto"),"")))</f>
        <v/>
      </c>
      <c r="J188" t="str">
        <f>IF(G188="","",IF(G188="[FÓRMULA MANUAL]","",IFERROR(AVERAGEIFS(nNOTA,nNIA,G188,nCUENTA,1,nASIG,"Conjunto"),"")))</f>
        <v/>
      </c>
      <c r="K188" t="str">
        <f>IF(G188="","",IF(G188="[FÓRMULA MANUAL]","",IFERROR(SUMPRODUCT((nNIA=G188)*(nCUENTA=1)*(COUNTIF(CONFIG_ASIGNATURAS!$B$7:$B$27,nASIG)&gt;0)*(nNOTA))/SUMPRODUCT((nNIA=G188)*(nCUENTA=1)*(COUNTIF(CONFIG_ASIGNATURAS!$B$7:$B$27,nASIG)&gt;0)*1),"")))</f>
        <v/>
      </c>
      <c r="N188" t="str">
        <f>IF(M188="","",IF(M188="[FÓRMULA MANUAL]","",IFERROR(AVERAGEIFS(nNOTA,nNIA,M188,nCUENTA,1,nASIG,"Armonía"),"")))</f>
        <v/>
      </c>
      <c r="O188" t="str">
        <f>IF(M188="","",IF(M188="[FÓRMULA MANUAL]","",IFERROR(AVERAGEIFS(nNOTA,nNIA,M188,nCUENTA,1,nASIG,"Orquesta/Banda/Conjunto"),"")))</f>
        <v/>
      </c>
      <c r="P188" t="str">
        <f>IF(M188="","",IF(M188="[FÓRMULA MANUAL]","",IFERROR(AVERAGEIFS(nNOTA,nNIA,M188,nCUENTA,1,nASIG,"Música de Cámara"),"")))</f>
        <v/>
      </c>
      <c r="Q188" t="str">
        <f>IF(M188="","",IF(M188="[FÓRMULA MANUAL]","",IFERROR(SUMPRODUCT((nNIA=M188)*(nCUENTA=1)*(COUNTIF(CONFIG_ASIGNATURAS!$B$7:$B$27,nASIG)&gt;0)*(nNOTA))/SUMPRODUCT((nNIA=M188)*(nCUENTA=1)*(COUNTIF(CONFIG_ASIGNATURAS!$B$7:$B$27,nASIG)&gt;0)*1),"")))</f>
        <v/>
      </c>
      <c r="T188" t="str">
        <f>IF(S188="","",IF(S188="[FÓRMULA MANUAL]","",IFERROR(AVERAGEIFS(nNOTA,nNIA,S188,nCUENTA,1,nASIG,"Armonía"),"")))</f>
        <v/>
      </c>
      <c r="U188" t="str">
        <f>IF(S188="","",IF(S188="[FÓRMULA MANUAL]","",IFERROR(AVERAGEIFS(nNOTA,nNIA,S188,nCUENTA,1,nASIG,"Orquesta/Banda/Conjunto"),"")))</f>
        <v/>
      </c>
      <c r="V188" t="str">
        <f>IF(S188="","",IF(S188="[FÓRMULA MANUAL]","",IFERROR(AVERAGEIFS(nNOTA,nNIA,S188,nCUENTA,1,nASIG,"Música de Cámara"),"")))</f>
        <v/>
      </c>
      <c r="W188" t="str">
        <f>IF(S188="","",IF(S188="[FÓRMULA MANUAL]","",IFERROR(SUMPRODUCT((nNIA=S188)*(nCUENTA=1)*(COUNTIF(CONFIG_ASIGNATURAS!$B$7:$B$27,nASIG)&gt;0)*(nNOTA))/SUMPRODUCT((nNIA=S188)*(nCUENTA=1)*(COUNTIF(CONFIG_ASIGNATURAS!$B$7:$B$27,nASIG)&gt;0)*1),"")))</f>
        <v/>
      </c>
      <c r="Z188" t="str">
        <f>IF(Y188="","",IF(Y188="[FÓRMULA MANUAL]","",IFERROR(AVERAGEIFS(nNOTA,nNIA,Y188,nCUENTA,1,nASIG,"Análisis"),"")))</f>
        <v/>
      </c>
      <c r="AA188" t="str">
        <f>IF(Y188="","",IF(Y188="[FÓRMULA MANUAL]","",IFERROR(AVERAGEIFS(nNOTA,nNIA,Y188,nCUENTA,1,nASIG,"Orquesta/Banda/Conjunto"),"")))</f>
        <v/>
      </c>
      <c r="AB188" t="str">
        <f>IF(Y188="","",IF(Y188="[FÓRMULA MANUAL]","",IFERROR(AVERAGEIFS(nNOTA,nNIA,Y188,nCUENTA,1,nASIG,"Música de Cámara"),"")))</f>
        <v/>
      </c>
      <c r="AC188" t="str">
        <f>IF(Y188="","",IF(Y188="[FÓRMULA MANUAL]","",IFERROR(SUMPRODUCT((nNIA=Y188)*(nCUENTA=1)*(COUNTIF(CONFIG_ASIGNATURAS!$B$7:$B$27,nASIG)&gt;0)*(nNOTA))/SUMPRODUCT((nNIA=Y188)*(nCUENTA=1)*(COUNTIF(CONFIG_ASIGNATURAS!$B$7:$B$27,nASIG)&gt;0)*1),"")))</f>
        <v/>
      </c>
      <c r="AF188" t="str">
        <f>IF(AE188="","",IF(AE188="[FÓRMULA MANUAL]","",IFERROR(AVERAGEIFS(nNOTA,nNIA,AE188,nCUENTA,1,nASIG,"Análisis"),"")))</f>
        <v/>
      </c>
      <c r="AG188" t="str">
        <f>IF(AE188="","",IF(AE188="[FÓRMULA MANUAL]","",IFERROR(AVERAGEIFS(nNOTA,nNIA,AE188,nCUENTA,1,nASIG,"Orquesta/Banda/Conjunto"),"")))</f>
        <v/>
      </c>
      <c r="AH188" t="str">
        <f>IF(AE188="","",IF(AE188="[FÓRMULA MANUAL]","",IFERROR(AVERAGEIFS(nNOTA,nNIA,AE188,nCUENTA,1,nASIG,"Música de Cámara"),"")))</f>
        <v/>
      </c>
      <c r="AI188" t="str">
        <f>IF(AE188="","",IF(AE188="[FÓRMULA MANUAL]","",IFERROR(SUMPRODUCT((nNIA=AE188)*(nCUENTA=1)*(COUNTIF(CONFIG_ASIGNATURAS!$B$7:$B$27,nASIG)&gt;0)*(nNOTA))/SUMPRODUCT((nNIA=AE188)*(nCUENTA=1)*(COUNTIF(CONFIG_ASIGNATURAS!$B$7:$B$27,nASIG)&gt;0)*1),"")))</f>
        <v/>
      </c>
    </row>
    <row r="189" spans="2:35" x14ac:dyDescent="0.2">
      <c r="B189" t="str">
        <f>IF(A189="","",IF(A189="[FÓRMULA MANUAL]","",IFERROR(AVERAGEIFS(nNOTA,nNIA,A189,nCUENTA,1,nASIG,"Lenguaje Musical"),"")))</f>
        <v/>
      </c>
      <c r="C189" t="str">
        <f>IF(A189="","",IF(A189="[FÓRMULA MANUAL]","",IFERROR(AVERAGEIFS(nNOTA,nNIA,A189,nCUENTA,1,nASIG,"Orquesta/Banda/Conjunto"),"")))</f>
        <v/>
      </c>
      <c r="D189" t="str">
        <f>IF(A189="","",IF(A189="[FÓRMULA MANUAL]","",IFERROR(AVERAGEIFS(nNOTA,nNIA,A189,nCUENTA,1,nASIG,"Conjunto"),"")))</f>
        <v/>
      </c>
      <c r="E189" t="str">
        <f>IF(A189="","",IF(A189="[FÓRMULA MANUAL]","",IFERROR(SUMPRODUCT((nNIA=A189)*(nCUENTA=1)*(COUNTIF(CONFIG_ASIGNATURAS!$B$7:$B$27,nASIG)&gt;0)*(nNOTA))/SUMPRODUCT((nNIA=A189)*(nCUENTA=1)*(COUNTIF(CONFIG_ASIGNATURAS!$B$7:$B$27,nASIG)&gt;0)*1),"")))</f>
        <v/>
      </c>
      <c r="H189" t="str">
        <f>IF(G189="","",IF(G189="[FÓRMULA MANUAL]","",IFERROR(AVERAGEIFS(nNOTA,nNIA,G189,nCUENTA,1,nASIG,"Lenguaje Musical"),"")))</f>
        <v/>
      </c>
      <c r="I189" t="str">
        <f>IF(G189="","",IF(G189="[FÓRMULA MANUAL]","",IFERROR(AVERAGEIFS(nNOTA,nNIA,G189,nCUENTA,1,nASIG,"Orquesta/Banda/Conjunto"),"")))</f>
        <v/>
      </c>
      <c r="J189" t="str">
        <f>IF(G189="","",IF(G189="[FÓRMULA MANUAL]","",IFERROR(AVERAGEIFS(nNOTA,nNIA,G189,nCUENTA,1,nASIG,"Conjunto"),"")))</f>
        <v/>
      </c>
      <c r="K189" t="str">
        <f>IF(G189="","",IF(G189="[FÓRMULA MANUAL]","",IFERROR(SUMPRODUCT((nNIA=G189)*(nCUENTA=1)*(COUNTIF(CONFIG_ASIGNATURAS!$B$7:$B$27,nASIG)&gt;0)*(nNOTA))/SUMPRODUCT((nNIA=G189)*(nCUENTA=1)*(COUNTIF(CONFIG_ASIGNATURAS!$B$7:$B$27,nASIG)&gt;0)*1),"")))</f>
        <v/>
      </c>
      <c r="N189" t="str">
        <f>IF(M189="","",IF(M189="[FÓRMULA MANUAL]","",IFERROR(AVERAGEIFS(nNOTA,nNIA,M189,nCUENTA,1,nASIG,"Armonía"),"")))</f>
        <v/>
      </c>
      <c r="O189" t="str">
        <f>IF(M189="","",IF(M189="[FÓRMULA MANUAL]","",IFERROR(AVERAGEIFS(nNOTA,nNIA,M189,nCUENTA,1,nASIG,"Orquesta/Banda/Conjunto"),"")))</f>
        <v/>
      </c>
      <c r="P189" t="str">
        <f>IF(M189="","",IF(M189="[FÓRMULA MANUAL]","",IFERROR(AVERAGEIFS(nNOTA,nNIA,M189,nCUENTA,1,nASIG,"Música de Cámara"),"")))</f>
        <v/>
      </c>
      <c r="Q189" t="str">
        <f>IF(M189="","",IF(M189="[FÓRMULA MANUAL]","",IFERROR(SUMPRODUCT((nNIA=M189)*(nCUENTA=1)*(COUNTIF(CONFIG_ASIGNATURAS!$B$7:$B$27,nASIG)&gt;0)*(nNOTA))/SUMPRODUCT((nNIA=M189)*(nCUENTA=1)*(COUNTIF(CONFIG_ASIGNATURAS!$B$7:$B$27,nASIG)&gt;0)*1),"")))</f>
        <v/>
      </c>
      <c r="T189" t="str">
        <f>IF(S189="","",IF(S189="[FÓRMULA MANUAL]","",IFERROR(AVERAGEIFS(nNOTA,nNIA,S189,nCUENTA,1,nASIG,"Armonía"),"")))</f>
        <v/>
      </c>
      <c r="U189" t="str">
        <f>IF(S189="","",IF(S189="[FÓRMULA MANUAL]","",IFERROR(AVERAGEIFS(nNOTA,nNIA,S189,nCUENTA,1,nASIG,"Orquesta/Banda/Conjunto"),"")))</f>
        <v/>
      </c>
      <c r="V189" t="str">
        <f>IF(S189="","",IF(S189="[FÓRMULA MANUAL]","",IFERROR(AVERAGEIFS(nNOTA,nNIA,S189,nCUENTA,1,nASIG,"Música de Cámara"),"")))</f>
        <v/>
      </c>
      <c r="W189" t="str">
        <f>IF(S189="","",IF(S189="[FÓRMULA MANUAL]","",IFERROR(SUMPRODUCT((nNIA=S189)*(nCUENTA=1)*(COUNTIF(CONFIG_ASIGNATURAS!$B$7:$B$27,nASIG)&gt;0)*(nNOTA))/SUMPRODUCT((nNIA=S189)*(nCUENTA=1)*(COUNTIF(CONFIG_ASIGNATURAS!$B$7:$B$27,nASIG)&gt;0)*1),"")))</f>
        <v/>
      </c>
      <c r="Z189" t="str">
        <f>IF(Y189="","",IF(Y189="[FÓRMULA MANUAL]","",IFERROR(AVERAGEIFS(nNOTA,nNIA,Y189,nCUENTA,1,nASIG,"Análisis"),"")))</f>
        <v/>
      </c>
      <c r="AA189" t="str">
        <f>IF(Y189="","",IF(Y189="[FÓRMULA MANUAL]","",IFERROR(AVERAGEIFS(nNOTA,nNIA,Y189,nCUENTA,1,nASIG,"Orquesta/Banda/Conjunto"),"")))</f>
        <v/>
      </c>
      <c r="AB189" t="str">
        <f>IF(Y189="","",IF(Y189="[FÓRMULA MANUAL]","",IFERROR(AVERAGEIFS(nNOTA,nNIA,Y189,nCUENTA,1,nASIG,"Música de Cámara"),"")))</f>
        <v/>
      </c>
      <c r="AC189" t="str">
        <f>IF(Y189="","",IF(Y189="[FÓRMULA MANUAL]","",IFERROR(SUMPRODUCT((nNIA=Y189)*(nCUENTA=1)*(COUNTIF(CONFIG_ASIGNATURAS!$B$7:$B$27,nASIG)&gt;0)*(nNOTA))/SUMPRODUCT((nNIA=Y189)*(nCUENTA=1)*(COUNTIF(CONFIG_ASIGNATURAS!$B$7:$B$27,nASIG)&gt;0)*1),"")))</f>
        <v/>
      </c>
      <c r="AF189" t="str">
        <f>IF(AE189="","",IF(AE189="[FÓRMULA MANUAL]","",IFERROR(AVERAGEIFS(nNOTA,nNIA,AE189,nCUENTA,1,nASIG,"Análisis"),"")))</f>
        <v/>
      </c>
      <c r="AG189" t="str">
        <f>IF(AE189="","",IF(AE189="[FÓRMULA MANUAL]","",IFERROR(AVERAGEIFS(nNOTA,nNIA,AE189,nCUENTA,1,nASIG,"Orquesta/Banda/Conjunto"),"")))</f>
        <v/>
      </c>
      <c r="AH189" t="str">
        <f>IF(AE189="","",IF(AE189="[FÓRMULA MANUAL]","",IFERROR(AVERAGEIFS(nNOTA,nNIA,AE189,nCUENTA,1,nASIG,"Música de Cámara"),"")))</f>
        <v/>
      </c>
      <c r="AI189" t="str">
        <f>IF(AE189="","",IF(AE189="[FÓRMULA MANUAL]","",IFERROR(SUMPRODUCT((nNIA=AE189)*(nCUENTA=1)*(COUNTIF(CONFIG_ASIGNATURAS!$B$7:$B$27,nASIG)&gt;0)*(nNOTA))/SUMPRODUCT((nNIA=AE189)*(nCUENTA=1)*(COUNTIF(CONFIG_ASIGNATURAS!$B$7:$B$27,nASIG)&gt;0)*1),"")))</f>
        <v/>
      </c>
    </row>
    <row r="190" spans="2:35" x14ac:dyDescent="0.2">
      <c r="B190" t="str">
        <f>IF(A190="","",IF(A190="[FÓRMULA MANUAL]","",IFERROR(AVERAGEIFS(nNOTA,nNIA,A190,nCUENTA,1,nASIG,"Lenguaje Musical"),"")))</f>
        <v/>
      </c>
      <c r="C190" t="str">
        <f>IF(A190="","",IF(A190="[FÓRMULA MANUAL]","",IFERROR(AVERAGEIFS(nNOTA,nNIA,A190,nCUENTA,1,nASIG,"Orquesta/Banda/Conjunto"),"")))</f>
        <v/>
      </c>
      <c r="D190" t="str">
        <f>IF(A190="","",IF(A190="[FÓRMULA MANUAL]","",IFERROR(AVERAGEIFS(nNOTA,nNIA,A190,nCUENTA,1,nASIG,"Conjunto"),"")))</f>
        <v/>
      </c>
      <c r="E190" t="str">
        <f>IF(A190="","",IF(A190="[FÓRMULA MANUAL]","",IFERROR(SUMPRODUCT((nNIA=A190)*(nCUENTA=1)*(COUNTIF(CONFIG_ASIGNATURAS!$B$7:$B$27,nASIG)&gt;0)*(nNOTA))/SUMPRODUCT((nNIA=A190)*(nCUENTA=1)*(COUNTIF(CONFIG_ASIGNATURAS!$B$7:$B$27,nASIG)&gt;0)*1),"")))</f>
        <v/>
      </c>
      <c r="H190" t="str">
        <f>IF(G190="","",IF(G190="[FÓRMULA MANUAL]","",IFERROR(AVERAGEIFS(nNOTA,nNIA,G190,nCUENTA,1,nASIG,"Lenguaje Musical"),"")))</f>
        <v/>
      </c>
      <c r="I190" t="str">
        <f>IF(G190="","",IF(G190="[FÓRMULA MANUAL]","",IFERROR(AVERAGEIFS(nNOTA,nNIA,G190,nCUENTA,1,nASIG,"Orquesta/Banda/Conjunto"),"")))</f>
        <v/>
      </c>
      <c r="J190" t="str">
        <f>IF(G190="","",IF(G190="[FÓRMULA MANUAL]","",IFERROR(AVERAGEIFS(nNOTA,nNIA,G190,nCUENTA,1,nASIG,"Conjunto"),"")))</f>
        <v/>
      </c>
      <c r="K190" t="str">
        <f>IF(G190="","",IF(G190="[FÓRMULA MANUAL]","",IFERROR(SUMPRODUCT((nNIA=G190)*(nCUENTA=1)*(COUNTIF(CONFIG_ASIGNATURAS!$B$7:$B$27,nASIG)&gt;0)*(nNOTA))/SUMPRODUCT((nNIA=G190)*(nCUENTA=1)*(COUNTIF(CONFIG_ASIGNATURAS!$B$7:$B$27,nASIG)&gt;0)*1),"")))</f>
        <v/>
      </c>
      <c r="N190" t="str">
        <f>IF(M190="","",IF(M190="[FÓRMULA MANUAL]","",IFERROR(AVERAGEIFS(nNOTA,nNIA,M190,nCUENTA,1,nASIG,"Armonía"),"")))</f>
        <v/>
      </c>
      <c r="O190" t="str">
        <f>IF(M190="","",IF(M190="[FÓRMULA MANUAL]","",IFERROR(AVERAGEIFS(nNOTA,nNIA,M190,nCUENTA,1,nASIG,"Orquesta/Banda/Conjunto"),"")))</f>
        <v/>
      </c>
      <c r="P190" t="str">
        <f>IF(M190="","",IF(M190="[FÓRMULA MANUAL]","",IFERROR(AVERAGEIFS(nNOTA,nNIA,M190,nCUENTA,1,nASIG,"Música de Cámara"),"")))</f>
        <v/>
      </c>
      <c r="Q190" t="str">
        <f>IF(M190="","",IF(M190="[FÓRMULA MANUAL]","",IFERROR(SUMPRODUCT((nNIA=M190)*(nCUENTA=1)*(COUNTIF(CONFIG_ASIGNATURAS!$B$7:$B$27,nASIG)&gt;0)*(nNOTA))/SUMPRODUCT((nNIA=M190)*(nCUENTA=1)*(COUNTIF(CONFIG_ASIGNATURAS!$B$7:$B$27,nASIG)&gt;0)*1),"")))</f>
        <v/>
      </c>
      <c r="T190" t="str">
        <f>IF(S190="","",IF(S190="[FÓRMULA MANUAL]","",IFERROR(AVERAGEIFS(nNOTA,nNIA,S190,nCUENTA,1,nASIG,"Armonía"),"")))</f>
        <v/>
      </c>
      <c r="U190" t="str">
        <f>IF(S190="","",IF(S190="[FÓRMULA MANUAL]","",IFERROR(AVERAGEIFS(nNOTA,nNIA,S190,nCUENTA,1,nASIG,"Orquesta/Banda/Conjunto"),"")))</f>
        <v/>
      </c>
      <c r="V190" t="str">
        <f>IF(S190="","",IF(S190="[FÓRMULA MANUAL]","",IFERROR(AVERAGEIFS(nNOTA,nNIA,S190,nCUENTA,1,nASIG,"Música de Cámara"),"")))</f>
        <v/>
      </c>
      <c r="W190" t="str">
        <f>IF(S190="","",IF(S190="[FÓRMULA MANUAL]","",IFERROR(SUMPRODUCT((nNIA=S190)*(nCUENTA=1)*(COUNTIF(CONFIG_ASIGNATURAS!$B$7:$B$27,nASIG)&gt;0)*(nNOTA))/SUMPRODUCT((nNIA=S190)*(nCUENTA=1)*(COUNTIF(CONFIG_ASIGNATURAS!$B$7:$B$27,nASIG)&gt;0)*1),"")))</f>
        <v/>
      </c>
      <c r="Z190" t="str">
        <f>IF(Y190="","",IF(Y190="[FÓRMULA MANUAL]","",IFERROR(AVERAGEIFS(nNOTA,nNIA,Y190,nCUENTA,1,nASIG,"Análisis"),"")))</f>
        <v/>
      </c>
      <c r="AA190" t="str">
        <f>IF(Y190="","",IF(Y190="[FÓRMULA MANUAL]","",IFERROR(AVERAGEIFS(nNOTA,nNIA,Y190,nCUENTA,1,nASIG,"Orquesta/Banda/Conjunto"),"")))</f>
        <v/>
      </c>
      <c r="AB190" t="str">
        <f>IF(Y190="","",IF(Y190="[FÓRMULA MANUAL]","",IFERROR(AVERAGEIFS(nNOTA,nNIA,Y190,nCUENTA,1,nASIG,"Música de Cámara"),"")))</f>
        <v/>
      </c>
      <c r="AC190" t="str">
        <f>IF(Y190="","",IF(Y190="[FÓRMULA MANUAL]","",IFERROR(SUMPRODUCT((nNIA=Y190)*(nCUENTA=1)*(COUNTIF(CONFIG_ASIGNATURAS!$B$7:$B$27,nASIG)&gt;0)*(nNOTA))/SUMPRODUCT((nNIA=Y190)*(nCUENTA=1)*(COUNTIF(CONFIG_ASIGNATURAS!$B$7:$B$27,nASIG)&gt;0)*1),"")))</f>
        <v/>
      </c>
      <c r="AF190" t="str">
        <f>IF(AE190="","",IF(AE190="[FÓRMULA MANUAL]","",IFERROR(AVERAGEIFS(nNOTA,nNIA,AE190,nCUENTA,1,nASIG,"Análisis"),"")))</f>
        <v/>
      </c>
      <c r="AG190" t="str">
        <f>IF(AE190="","",IF(AE190="[FÓRMULA MANUAL]","",IFERROR(AVERAGEIFS(nNOTA,nNIA,AE190,nCUENTA,1,nASIG,"Orquesta/Banda/Conjunto"),"")))</f>
        <v/>
      </c>
      <c r="AH190" t="str">
        <f>IF(AE190="","",IF(AE190="[FÓRMULA MANUAL]","",IFERROR(AVERAGEIFS(nNOTA,nNIA,AE190,nCUENTA,1,nASIG,"Música de Cámara"),"")))</f>
        <v/>
      </c>
      <c r="AI190" t="str">
        <f>IF(AE190="","",IF(AE190="[FÓRMULA MANUAL]","",IFERROR(SUMPRODUCT((nNIA=AE190)*(nCUENTA=1)*(COUNTIF(CONFIG_ASIGNATURAS!$B$7:$B$27,nASIG)&gt;0)*(nNOTA))/SUMPRODUCT((nNIA=AE190)*(nCUENTA=1)*(COUNTIF(CONFIG_ASIGNATURAS!$B$7:$B$27,nASIG)&gt;0)*1),"")))</f>
        <v/>
      </c>
    </row>
    <row r="191" spans="2:35" x14ac:dyDescent="0.2">
      <c r="B191" t="str">
        <f>IF(A191="","",IF(A191="[FÓRMULA MANUAL]","",IFERROR(AVERAGEIFS(nNOTA,nNIA,A191,nCUENTA,1,nASIG,"Lenguaje Musical"),"")))</f>
        <v/>
      </c>
      <c r="C191" t="str">
        <f>IF(A191="","",IF(A191="[FÓRMULA MANUAL]","",IFERROR(AVERAGEIFS(nNOTA,nNIA,A191,nCUENTA,1,nASIG,"Orquesta/Banda/Conjunto"),"")))</f>
        <v/>
      </c>
      <c r="D191" t="str">
        <f>IF(A191="","",IF(A191="[FÓRMULA MANUAL]","",IFERROR(AVERAGEIFS(nNOTA,nNIA,A191,nCUENTA,1,nASIG,"Conjunto"),"")))</f>
        <v/>
      </c>
      <c r="E191" t="str">
        <f>IF(A191="","",IF(A191="[FÓRMULA MANUAL]","",IFERROR(SUMPRODUCT((nNIA=A191)*(nCUENTA=1)*(COUNTIF(CONFIG_ASIGNATURAS!$B$7:$B$27,nASIG)&gt;0)*(nNOTA))/SUMPRODUCT((nNIA=A191)*(nCUENTA=1)*(COUNTIF(CONFIG_ASIGNATURAS!$B$7:$B$27,nASIG)&gt;0)*1),"")))</f>
        <v/>
      </c>
      <c r="H191" t="str">
        <f>IF(G191="","",IF(G191="[FÓRMULA MANUAL]","",IFERROR(AVERAGEIFS(nNOTA,nNIA,G191,nCUENTA,1,nASIG,"Lenguaje Musical"),"")))</f>
        <v/>
      </c>
      <c r="I191" t="str">
        <f>IF(G191="","",IF(G191="[FÓRMULA MANUAL]","",IFERROR(AVERAGEIFS(nNOTA,nNIA,G191,nCUENTA,1,nASIG,"Orquesta/Banda/Conjunto"),"")))</f>
        <v/>
      </c>
      <c r="J191" t="str">
        <f>IF(G191="","",IF(G191="[FÓRMULA MANUAL]","",IFERROR(AVERAGEIFS(nNOTA,nNIA,G191,nCUENTA,1,nASIG,"Conjunto"),"")))</f>
        <v/>
      </c>
      <c r="K191" t="str">
        <f>IF(G191="","",IF(G191="[FÓRMULA MANUAL]","",IFERROR(SUMPRODUCT((nNIA=G191)*(nCUENTA=1)*(COUNTIF(CONFIG_ASIGNATURAS!$B$7:$B$27,nASIG)&gt;0)*(nNOTA))/SUMPRODUCT((nNIA=G191)*(nCUENTA=1)*(COUNTIF(CONFIG_ASIGNATURAS!$B$7:$B$27,nASIG)&gt;0)*1),"")))</f>
        <v/>
      </c>
      <c r="N191" t="str">
        <f>IF(M191="","",IF(M191="[FÓRMULA MANUAL]","",IFERROR(AVERAGEIFS(nNOTA,nNIA,M191,nCUENTA,1,nASIG,"Armonía"),"")))</f>
        <v/>
      </c>
      <c r="O191" t="str">
        <f>IF(M191="","",IF(M191="[FÓRMULA MANUAL]","",IFERROR(AVERAGEIFS(nNOTA,nNIA,M191,nCUENTA,1,nASIG,"Orquesta/Banda/Conjunto"),"")))</f>
        <v/>
      </c>
      <c r="P191" t="str">
        <f>IF(M191="","",IF(M191="[FÓRMULA MANUAL]","",IFERROR(AVERAGEIFS(nNOTA,nNIA,M191,nCUENTA,1,nASIG,"Música de Cámara"),"")))</f>
        <v/>
      </c>
      <c r="Q191" t="str">
        <f>IF(M191="","",IF(M191="[FÓRMULA MANUAL]","",IFERROR(SUMPRODUCT((nNIA=M191)*(nCUENTA=1)*(COUNTIF(CONFIG_ASIGNATURAS!$B$7:$B$27,nASIG)&gt;0)*(nNOTA))/SUMPRODUCT((nNIA=M191)*(nCUENTA=1)*(COUNTIF(CONFIG_ASIGNATURAS!$B$7:$B$27,nASIG)&gt;0)*1),"")))</f>
        <v/>
      </c>
      <c r="T191" t="str">
        <f>IF(S191="","",IF(S191="[FÓRMULA MANUAL]","",IFERROR(AVERAGEIFS(nNOTA,nNIA,S191,nCUENTA,1,nASIG,"Armonía"),"")))</f>
        <v/>
      </c>
      <c r="U191" t="str">
        <f>IF(S191="","",IF(S191="[FÓRMULA MANUAL]","",IFERROR(AVERAGEIFS(nNOTA,nNIA,S191,nCUENTA,1,nASIG,"Orquesta/Banda/Conjunto"),"")))</f>
        <v/>
      </c>
      <c r="V191" t="str">
        <f>IF(S191="","",IF(S191="[FÓRMULA MANUAL]","",IFERROR(AVERAGEIFS(nNOTA,nNIA,S191,nCUENTA,1,nASIG,"Música de Cámara"),"")))</f>
        <v/>
      </c>
      <c r="W191" t="str">
        <f>IF(S191="","",IF(S191="[FÓRMULA MANUAL]","",IFERROR(SUMPRODUCT((nNIA=S191)*(nCUENTA=1)*(COUNTIF(CONFIG_ASIGNATURAS!$B$7:$B$27,nASIG)&gt;0)*(nNOTA))/SUMPRODUCT((nNIA=S191)*(nCUENTA=1)*(COUNTIF(CONFIG_ASIGNATURAS!$B$7:$B$27,nASIG)&gt;0)*1),"")))</f>
        <v/>
      </c>
      <c r="Z191" t="str">
        <f>IF(Y191="","",IF(Y191="[FÓRMULA MANUAL]","",IFERROR(AVERAGEIFS(nNOTA,nNIA,Y191,nCUENTA,1,nASIG,"Análisis"),"")))</f>
        <v/>
      </c>
      <c r="AA191" t="str">
        <f>IF(Y191="","",IF(Y191="[FÓRMULA MANUAL]","",IFERROR(AVERAGEIFS(nNOTA,nNIA,Y191,nCUENTA,1,nASIG,"Orquesta/Banda/Conjunto"),"")))</f>
        <v/>
      </c>
      <c r="AB191" t="str">
        <f>IF(Y191="","",IF(Y191="[FÓRMULA MANUAL]","",IFERROR(AVERAGEIFS(nNOTA,nNIA,Y191,nCUENTA,1,nASIG,"Música de Cámara"),"")))</f>
        <v/>
      </c>
      <c r="AC191" t="str">
        <f>IF(Y191="","",IF(Y191="[FÓRMULA MANUAL]","",IFERROR(SUMPRODUCT((nNIA=Y191)*(nCUENTA=1)*(COUNTIF(CONFIG_ASIGNATURAS!$B$7:$B$27,nASIG)&gt;0)*(nNOTA))/SUMPRODUCT((nNIA=Y191)*(nCUENTA=1)*(COUNTIF(CONFIG_ASIGNATURAS!$B$7:$B$27,nASIG)&gt;0)*1),"")))</f>
        <v/>
      </c>
      <c r="AF191" t="str">
        <f>IF(AE191="","",IF(AE191="[FÓRMULA MANUAL]","",IFERROR(AVERAGEIFS(nNOTA,nNIA,AE191,nCUENTA,1,nASIG,"Análisis"),"")))</f>
        <v/>
      </c>
      <c r="AG191" t="str">
        <f>IF(AE191="","",IF(AE191="[FÓRMULA MANUAL]","",IFERROR(AVERAGEIFS(nNOTA,nNIA,AE191,nCUENTA,1,nASIG,"Orquesta/Banda/Conjunto"),"")))</f>
        <v/>
      </c>
      <c r="AH191" t="str">
        <f>IF(AE191="","",IF(AE191="[FÓRMULA MANUAL]","",IFERROR(AVERAGEIFS(nNOTA,nNIA,AE191,nCUENTA,1,nASIG,"Música de Cámara"),"")))</f>
        <v/>
      </c>
      <c r="AI191" t="str">
        <f>IF(AE191="","",IF(AE191="[FÓRMULA MANUAL]","",IFERROR(SUMPRODUCT((nNIA=AE191)*(nCUENTA=1)*(COUNTIF(CONFIG_ASIGNATURAS!$B$7:$B$27,nASIG)&gt;0)*(nNOTA))/SUMPRODUCT((nNIA=AE191)*(nCUENTA=1)*(COUNTIF(CONFIG_ASIGNATURAS!$B$7:$B$27,nASIG)&gt;0)*1),"")))</f>
        <v/>
      </c>
    </row>
    <row r="192" spans="2:35" x14ac:dyDescent="0.2">
      <c r="B192" t="str">
        <f>IF(A192="","",IF(A192="[FÓRMULA MANUAL]","",IFERROR(AVERAGEIFS(nNOTA,nNIA,A192,nCUENTA,1,nASIG,"Lenguaje Musical"),"")))</f>
        <v/>
      </c>
      <c r="C192" t="str">
        <f>IF(A192="","",IF(A192="[FÓRMULA MANUAL]","",IFERROR(AVERAGEIFS(nNOTA,nNIA,A192,nCUENTA,1,nASIG,"Orquesta/Banda/Conjunto"),"")))</f>
        <v/>
      </c>
      <c r="D192" t="str">
        <f>IF(A192="","",IF(A192="[FÓRMULA MANUAL]","",IFERROR(AVERAGEIFS(nNOTA,nNIA,A192,nCUENTA,1,nASIG,"Conjunto"),"")))</f>
        <v/>
      </c>
      <c r="E192" t="str">
        <f>IF(A192="","",IF(A192="[FÓRMULA MANUAL]","",IFERROR(SUMPRODUCT((nNIA=A192)*(nCUENTA=1)*(COUNTIF(CONFIG_ASIGNATURAS!$B$7:$B$27,nASIG)&gt;0)*(nNOTA))/SUMPRODUCT((nNIA=A192)*(nCUENTA=1)*(COUNTIF(CONFIG_ASIGNATURAS!$B$7:$B$27,nASIG)&gt;0)*1),"")))</f>
        <v/>
      </c>
      <c r="H192" t="str">
        <f>IF(G192="","",IF(G192="[FÓRMULA MANUAL]","",IFERROR(AVERAGEIFS(nNOTA,nNIA,G192,nCUENTA,1,nASIG,"Lenguaje Musical"),"")))</f>
        <v/>
      </c>
      <c r="I192" t="str">
        <f>IF(G192="","",IF(G192="[FÓRMULA MANUAL]","",IFERROR(AVERAGEIFS(nNOTA,nNIA,G192,nCUENTA,1,nASIG,"Orquesta/Banda/Conjunto"),"")))</f>
        <v/>
      </c>
      <c r="J192" t="str">
        <f>IF(G192="","",IF(G192="[FÓRMULA MANUAL]","",IFERROR(AVERAGEIFS(nNOTA,nNIA,G192,nCUENTA,1,nASIG,"Conjunto"),"")))</f>
        <v/>
      </c>
      <c r="K192" t="str">
        <f>IF(G192="","",IF(G192="[FÓRMULA MANUAL]","",IFERROR(SUMPRODUCT((nNIA=G192)*(nCUENTA=1)*(COUNTIF(CONFIG_ASIGNATURAS!$B$7:$B$27,nASIG)&gt;0)*(nNOTA))/SUMPRODUCT((nNIA=G192)*(nCUENTA=1)*(COUNTIF(CONFIG_ASIGNATURAS!$B$7:$B$27,nASIG)&gt;0)*1),"")))</f>
        <v/>
      </c>
      <c r="N192" t="str">
        <f>IF(M192="","",IF(M192="[FÓRMULA MANUAL]","",IFERROR(AVERAGEIFS(nNOTA,nNIA,M192,nCUENTA,1,nASIG,"Armonía"),"")))</f>
        <v/>
      </c>
      <c r="O192" t="str">
        <f>IF(M192="","",IF(M192="[FÓRMULA MANUAL]","",IFERROR(AVERAGEIFS(nNOTA,nNIA,M192,nCUENTA,1,nASIG,"Orquesta/Banda/Conjunto"),"")))</f>
        <v/>
      </c>
      <c r="P192" t="str">
        <f>IF(M192="","",IF(M192="[FÓRMULA MANUAL]","",IFERROR(AVERAGEIFS(nNOTA,nNIA,M192,nCUENTA,1,nASIG,"Música de Cámara"),"")))</f>
        <v/>
      </c>
      <c r="Q192" t="str">
        <f>IF(M192="","",IF(M192="[FÓRMULA MANUAL]","",IFERROR(SUMPRODUCT((nNIA=M192)*(nCUENTA=1)*(COUNTIF(CONFIG_ASIGNATURAS!$B$7:$B$27,nASIG)&gt;0)*(nNOTA))/SUMPRODUCT((nNIA=M192)*(nCUENTA=1)*(COUNTIF(CONFIG_ASIGNATURAS!$B$7:$B$27,nASIG)&gt;0)*1),"")))</f>
        <v/>
      </c>
      <c r="T192" t="str">
        <f>IF(S192="","",IF(S192="[FÓRMULA MANUAL]","",IFERROR(AVERAGEIFS(nNOTA,nNIA,S192,nCUENTA,1,nASIG,"Armonía"),"")))</f>
        <v/>
      </c>
      <c r="U192" t="str">
        <f>IF(S192="","",IF(S192="[FÓRMULA MANUAL]","",IFERROR(AVERAGEIFS(nNOTA,nNIA,S192,nCUENTA,1,nASIG,"Orquesta/Banda/Conjunto"),"")))</f>
        <v/>
      </c>
      <c r="V192" t="str">
        <f>IF(S192="","",IF(S192="[FÓRMULA MANUAL]","",IFERROR(AVERAGEIFS(nNOTA,nNIA,S192,nCUENTA,1,nASIG,"Música de Cámara"),"")))</f>
        <v/>
      </c>
      <c r="W192" t="str">
        <f>IF(S192="","",IF(S192="[FÓRMULA MANUAL]","",IFERROR(SUMPRODUCT((nNIA=S192)*(nCUENTA=1)*(COUNTIF(CONFIG_ASIGNATURAS!$B$7:$B$27,nASIG)&gt;0)*(nNOTA))/SUMPRODUCT((nNIA=S192)*(nCUENTA=1)*(COUNTIF(CONFIG_ASIGNATURAS!$B$7:$B$27,nASIG)&gt;0)*1),"")))</f>
        <v/>
      </c>
      <c r="Z192" t="str">
        <f>IF(Y192="","",IF(Y192="[FÓRMULA MANUAL]","",IFERROR(AVERAGEIFS(nNOTA,nNIA,Y192,nCUENTA,1,nASIG,"Análisis"),"")))</f>
        <v/>
      </c>
      <c r="AA192" t="str">
        <f>IF(Y192="","",IF(Y192="[FÓRMULA MANUAL]","",IFERROR(AVERAGEIFS(nNOTA,nNIA,Y192,nCUENTA,1,nASIG,"Orquesta/Banda/Conjunto"),"")))</f>
        <v/>
      </c>
      <c r="AB192" t="str">
        <f>IF(Y192="","",IF(Y192="[FÓRMULA MANUAL]","",IFERROR(AVERAGEIFS(nNOTA,nNIA,Y192,nCUENTA,1,nASIG,"Música de Cámara"),"")))</f>
        <v/>
      </c>
      <c r="AC192" t="str">
        <f>IF(Y192="","",IF(Y192="[FÓRMULA MANUAL]","",IFERROR(SUMPRODUCT((nNIA=Y192)*(nCUENTA=1)*(COUNTIF(CONFIG_ASIGNATURAS!$B$7:$B$27,nASIG)&gt;0)*(nNOTA))/SUMPRODUCT((nNIA=Y192)*(nCUENTA=1)*(COUNTIF(CONFIG_ASIGNATURAS!$B$7:$B$27,nASIG)&gt;0)*1),"")))</f>
        <v/>
      </c>
      <c r="AF192" t="str">
        <f>IF(AE192="","",IF(AE192="[FÓRMULA MANUAL]","",IFERROR(AVERAGEIFS(nNOTA,nNIA,AE192,nCUENTA,1,nASIG,"Análisis"),"")))</f>
        <v/>
      </c>
      <c r="AG192" t="str">
        <f>IF(AE192="","",IF(AE192="[FÓRMULA MANUAL]","",IFERROR(AVERAGEIFS(nNOTA,nNIA,AE192,nCUENTA,1,nASIG,"Orquesta/Banda/Conjunto"),"")))</f>
        <v/>
      </c>
      <c r="AH192" t="str">
        <f>IF(AE192="","",IF(AE192="[FÓRMULA MANUAL]","",IFERROR(AVERAGEIFS(nNOTA,nNIA,AE192,nCUENTA,1,nASIG,"Música de Cámara"),"")))</f>
        <v/>
      </c>
      <c r="AI192" t="str">
        <f>IF(AE192="","",IF(AE192="[FÓRMULA MANUAL]","",IFERROR(SUMPRODUCT((nNIA=AE192)*(nCUENTA=1)*(COUNTIF(CONFIG_ASIGNATURAS!$B$7:$B$27,nASIG)&gt;0)*(nNOTA))/SUMPRODUCT((nNIA=AE192)*(nCUENTA=1)*(COUNTIF(CONFIG_ASIGNATURAS!$B$7:$B$27,nASIG)&gt;0)*1),"")))</f>
        <v/>
      </c>
    </row>
    <row r="193" spans="2:35" x14ac:dyDescent="0.2">
      <c r="B193" t="str">
        <f>IF(A193="","",IF(A193="[FÓRMULA MANUAL]","",IFERROR(AVERAGEIFS(nNOTA,nNIA,A193,nCUENTA,1,nASIG,"Lenguaje Musical"),"")))</f>
        <v/>
      </c>
      <c r="C193" t="str">
        <f>IF(A193="","",IF(A193="[FÓRMULA MANUAL]","",IFERROR(AVERAGEIFS(nNOTA,nNIA,A193,nCUENTA,1,nASIG,"Orquesta/Banda/Conjunto"),"")))</f>
        <v/>
      </c>
      <c r="D193" t="str">
        <f>IF(A193="","",IF(A193="[FÓRMULA MANUAL]","",IFERROR(AVERAGEIFS(nNOTA,nNIA,A193,nCUENTA,1,nASIG,"Conjunto"),"")))</f>
        <v/>
      </c>
      <c r="E193" t="str">
        <f>IF(A193="","",IF(A193="[FÓRMULA MANUAL]","",IFERROR(SUMPRODUCT((nNIA=A193)*(nCUENTA=1)*(COUNTIF(CONFIG_ASIGNATURAS!$B$7:$B$27,nASIG)&gt;0)*(nNOTA))/SUMPRODUCT((nNIA=A193)*(nCUENTA=1)*(COUNTIF(CONFIG_ASIGNATURAS!$B$7:$B$27,nASIG)&gt;0)*1),"")))</f>
        <v/>
      </c>
      <c r="H193" t="str">
        <f>IF(G193="","",IF(G193="[FÓRMULA MANUAL]","",IFERROR(AVERAGEIFS(nNOTA,nNIA,G193,nCUENTA,1,nASIG,"Lenguaje Musical"),"")))</f>
        <v/>
      </c>
      <c r="I193" t="str">
        <f>IF(G193="","",IF(G193="[FÓRMULA MANUAL]","",IFERROR(AVERAGEIFS(nNOTA,nNIA,G193,nCUENTA,1,nASIG,"Orquesta/Banda/Conjunto"),"")))</f>
        <v/>
      </c>
      <c r="J193" t="str">
        <f>IF(G193="","",IF(G193="[FÓRMULA MANUAL]","",IFERROR(AVERAGEIFS(nNOTA,nNIA,G193,nCUENTA,1,nASIG,"Conjunto"),"")))</f>
        <v/>
      </c>
      <c r="K193" t="str">
        <f>IF(G193="","",IF(G193="[FÓRMULA MANUAL]","",IFERROR(SUMPRODUCT((nNIA=G193)*(nCUENTA=1)*(COUNTIF(CONFIG_ASIGNATURAS!$B$7:$B$27,nASIG)&gt;0)*(nNOTA))/SUMPRODUCT((nNIA=G193)*(nCUENTA=1)*(COUNTIF(CONFIG_ASIGNATURAS!$B$7:$B$27,nASIG)&gt;0)*1),"")))</f>
        <v/>
      </c>
      <c r="N193" t="str">
        <f>IF(M193="","",IF(M193="[FÓRMULA MANUAL]","",IFERROR(AVERAGEIFS(nNOTA,nNIA,M193,nCUENTA,1,nASIG,"Armonía"),"")))</f>
        <v/>
      </c>
      <c r="O193" t="str">
        <f>IF(M193="","",IF(M193="[FÓRMULA MANUAL]","",IFERROR(AVERAGEIFS(nNOTA,nNIA,M193,nCUENTA,1,nASIG,"Orquesta/Banda/Conjunto"),"")))</f>
        <v/>
      </c>
      <c r="P193" t="str">
        <f>IF(M193="","",IF(M193="[FÓRMULA MANUAL]","",IFERROR(AVERAGEIFS(nNOTA,nNIA,M193,nCUENTA,1,nASIG,"Música de Cámara"),"")))</f>
        <v/>
      </c>
      <c r="Q193" t="str">
        <f>IF(M193="","",IF(M193="[FÓRMULA MANUAL]","",IFERROR(SUMPRODUCT((nNIA=M193)*(nCUENTA=1)*(COUNTIF(CONFIG_ASIGNATURAS!$B$7:$B$27,nASIG)&gt;0)*(nNOTA))/SUMPRODUCT((nNIA=M193)*(nCUENTA=1)*(COUNTIF(CONFIG_ASIGNATURAS!$B$7:$B$27,nASIG)&gt;0)*1),"")))</f>
        <v/>
      </c>
      <c r="T193" t="str">
        <f>IF(S193="","",IF(S193="[FÓRMULA MANUAL]","",IFERROR(AVERAGEIFS(nNOTA,nNIA,S193,nCUENTA,1,nASIG,"Armonía"),"")))</f>
        <v/>
      </c>
      <c r="U193" t="str">
        <f>IF(S193="","",IF(S193="[FÓRMULA MANUAL]","",IFERROR(AVERAGEIFS(nNOTA,nNIA,S193,nCUENTA,1,nASIG,"Orquesta/Banda/Conjunto"),"")))</f>
        <v/>
      </c>
      <c r="V193" t="str">
        <f>IF(S193="","",IF(S193="[FÓRMULA MANUAL]","",IFERROR(AVERAGEIFS(nNOTA,nNIA,S193,nCUENTA,1,nASIG,"Música de Cámara"),"")))</f>
        <v/>
      </c>
      <c r="W193" t="str">
        <f>IF(S193="","",IF(S193="[FÓRMULA MANUAL]","",IFERROR(SUMPRODUCT((nNIA=S193)*(nCUENTA=1)*(COUNTIF(CONFIG_ASIGNATURAS!$B$7:$B$27,nASIG)&gt;0)*(nNOTA))/SUMPRODUCT((nNIA=S193)*(nCUENTA=1)*(COUNTIF(CONFIG_ASIGNATURAS!$B$7:$B$27,nASIG)&gt;0)*1),"")))</f>
        <v/>
      </c>
      <c r="Z193" t="str">
        <f>IF(Y193="","",IF(Y193="[FÓRMULA MANUAL]","",IFERROR(AVERAGEIFS(nNOTA,nNIA,Y193,nCUENTA,1,nASIG,"Análisis"),"")))</f>
        <v/>
      </c>
      <c r="AA193" t="str">
        <f>IF(Y193="","",IF(Y193="[FÓRMULA MANUAL]","",IFERROR(AVERAGEIFS(nNOTA,nNIA,Y193,nCUENTA,1,nASIG,"Orquesta/Banda/Conjunto"),"")))</f>
        <v/>
      </c>
      <c r="AB193" t="str">
        <f>IF(Y193="","",IF(Y193="[FÓRMULA MANUAL]","",IFERROR(AVERAGEIFS(nNOTA,nNIA,Y193,nCUENTA,1,nASIG,"Música de Cámara"),"")))</f>
        <v/>
      </c>
      <c r="AC193" t="str">
        <f>IF(Y193="","",IF(Y193="[FÓRMULA MANUAL]","",IFERROR(SUMPRODUCT((nNIA=Y193)*(nCUENTA=1)*(COUNTIF(CONFIG_ASIGNATURAS!$B$7:$B$27,nASIG)&gt;0)*(nNOTA))/SUMPRODUCT((nNIA=Y193)*(nCUENTA=1)*(COUNTIF(CONFIG_ASIGNATURAS!$B$7:$B$27,nASIG)&gt;0)*1),"")))</f>
        <v/>
      </c>
      <c r="AF193" t="str">
        <f>IF(AE193="","",IF(AE193="[FÓRMULA MANUAL]","",IFERROR(AVERAGEIFS(nNOTA,nNIA,AE193,nCUENTA,1,nASIG,"Análisis"),"")))</f>
        <v/>
      </c>
      <c r="AG193" t="str">
        <f>IF(AE193="","",IF(AE193="[FÓRMULA MANUAL]","",IFERROR(AVERAGEIFS(nNOTA,nNIA,AE193,nCUENTA,1,nASIG,"Orquesta/Banda/Conjunto"),"")))</f>
        <v/>
      </c>
      <c r="AH193" t="str">
        <f>IF(AE193="","",IF(AE193="[FÓRMULA MANUAL]","",IFERROR(AVERAGEIFS(nNOTA,nNIA,AE193,nCUENTA,1,nASIG,"Música de Cámara"),"")))</f>
        <v/>
      </c>
      <c r="AI193" t="str">
        <f>IF(AE193="","",IF(AE193="[FÓRMULA MANUAL]","",IFERROR(SUMPRODUCT((nNIA=AE193)*(nCUENTA=1)*(COUNTIF(CONFIG_ASIGNATURAS!$B$7:$B$27,nASIG)&gt;0)*(nNOTA))/SUMPRODUCT((nNIA=AE193)*(nCUENTA=1)*(COUNTIF(CONFIG_ASIGNATURAS!$B$7:$B$27,nASIG)&gt;0)*1),"")))</f>
        <v/>
      </c>
    </row>
    <row r="194" spans="2:35" x14ac:dyDescent="0.2">
      <c r="B194" t="str">
        <f>IF(A194="","",IF(A194="[FÓRMULA MANUAL]","",IFERROR(AVERAGEIFS(nNOTA,nNIA,A194,nCUENTA,1,nASIG,"Lenguaje Musical"),"")))</f>
        <v/>
      </c>
      <c r="C194" t="str">
        <f>IF(A194="","",IF(A194="[FÓRMULA MANUAL]","",IFERROR(AVERAGEIFS(nNOTA,nNIA,A194,nCUENTA,1,nASIG,"Orquesta/Banda/Conjunto"),"")))</f>
        <v/>
      </c>
      <c r="D194" t="str">
        <f>IF(A194="","",IF(A194="[FÓRMULA MANUAL]","",IFERROR(AVERAGEIFS(nNOTA,nNIA,A194,nCUENTA,1,nASIG,"Conjunto"),"")))</f>
        <v/>
      </c>
      <c r="E194" t="str">
        <f>IF(A194="","",IF(A194="[FÓRMULA MANUAL]","",IFERROR(SUMPRODUCT((nNIA=A194)*(nCUENTA=1)*(COUNTIF(CONFIG_ASIGNATURAS!$B$7:$B$27,nASIG)&gt;0)*(nNOTA))/SUMPRODUCT((nNIA=A194)*(nCUENTA=1)*(COUNTIF(CONFIG_ASIGNATURAS!$B$7:$B$27,nASIG)&gt;0)*1),"")))</f>
        <v/>
      </c>
      <c r="H194" t="str">
        <f>IF(G194="","",IF(G194="[FÓRMULA MANUAL]","",IFERROR(AVERAGEIFS(nNOTA,nNIA,G194,nCUENTA,1,nASIG,"Lenguaje Musical"),"")))</f>
        <v/>
      </c>
      <c r="I194" t="str">
        <f>IF(G194="","",IF(G194="[FÓRMULA MANUAL]","",IFERROR(AVERAGEIFS(nNOTA,nNIA,G194,nCUENTA,1,nASIG,"Orquesta/Banda/Conjunto"),"")))</f>
        <v/>
      </c>
      <c r="J194" t="str">
        <f>IF(G194="","",IF(G194="[FÓRMULA MANUAL]","",IFERROR(AVERAGEIFS(nNOTA,nNIA,G194,nCUENTA,1,nASIG,"Conjunto"),"")))</f>
        <v/>
      </c>
      <c r="K194" t="str">
        <f>IF(G194="","",IF(G194="[FÓRMULA MANUAL]","",IFERROR(SUMPRODUCT((nNIA=G194)*(nCUENTA=1)*(COUNTIF(CONFIG_ASIGNATURAS!$B$7:$B$27,nASIG)&gt;0)*(nNOTA))/SUMPRODUCT((nNIA=G194)*(nCUENTA=1)*(COUNTIF(CONFIG_ASIGNATURAS!$B$7:$B$27,nASIG)&gt;0)*1),"")))</f>
        <v/>
      </c>
      <c r="N194" t="str">
        <f>IF(M194="","",IF(M194="[FÓRMULA MANUAL]","",IFERROR(AVERAGEIFS(nNOTA,nNIA,M194,nCUENTA,1,nASIG,"Armonía"),"")))</f>
        <v/>
      </c>
      <c r="O194" t="str">
        <f>IF(M194="","",IF(M194="[FÓRMULA MANUAL]","",IFERROR(AVERAGEIFS(nNOTA,nNIA,M194,nCUENTA,1,nASIG,"Orquesta/Banda/Conjunto"),"")))</f>
        <v/>
      </c>
      <c r="P194" t="str">
        <f>IF(M194="","",IF(M194="[FÓRMULA MANUAL]","",IFERROR(AVERAGEIFS(nNOTA,nNIA,M194,nCUENTA,1,nASIG,"Música de Cámara"),"")))</f>
        <v/>
      </c>
      <c r="Q194" t="str">
        <f>IF(M194="","",IF(M194="[FÓRMULA MANUAL]","",IFERROR(SUMPRODUCT((nNIA=M194)*(nCUENTA=1)*(COUNTIF(CONFIG_ASIGNATURAS!$B$7:$B$27,nASIG)&gt;0)*(nNOTA))/SUMPRODUCT((nNIA=M194)*(nCUENTA=1)*(COUNTIF(CONFIG_ASIGNATURAS!$B$7:$B$27,nASIG)&gt;0)*1),"")))</f>
        <v/>
      </c>
      <c r="T194" t="str">
        <f>IF(S194="","",IF(S194="[FÓRMULA MANUAL]","",IFERROR(AVERAGEIFS(nNOTA,nNIA,S194,nCUENTA,1,nASIG,"Armonía"),"")))</f>
        <v/>
      </c>
      <c r="U194" t="str">
        <f>IF(S194="","",IF(S194="[FÓRMULA MANUAL]","",IFERROR(AVERAGEIFS(nNOTA,nNIA,S194,nCUENTA,1,nASIG,"Orquesta/Banda/Conjunto"),"")))</f>
        <v/>
      </c>
      <c r="V194" t="str">
        <f>IF(S194="","",IF(S194="[FÓRMULA MANUAL]","",IFERROR(AVERAGEIFS(nNOTA,nNIA,S194,nCUENTA,1,nASIG,"Música de Cámara"),"")))</f>
        <v/>
      </c>
      <c r="W194" t="str">
        <f>IF(S194="","",IF(S194="[FÓRMULA MANUAL]","",IFERROR(SUMPRODUCT((nNIA=S194)*(nCUENTA=1)*(COUNTIF(CONFIG_ASIGNATURAS!$B$7:$B$27,nASIG)&gt;0)*(nNOTA))/SUMPRODUCT((nNIA=S194)*(nCUENTA=1)*(COUNTIF(CONFIG_ASIGNATURAS!$B$7:$B$27,nASIG)&gt;0)*1),"")))</f>
        <v/>
      </c>
      <c r="Z194" t="str">
        <f>IF(Y194="","",IF(Y194="[FÓRMULA MANUAL]","",IFERROR(AVERAGEIFS(nNOTA,nNIA,Y194,nCUENTA,1,nASIG,"Análisis"),"")))</f>
        <v/>
      </c>
      <c r="AA194" t="str">
        <f>IF(Y194="","",IF(Y194="[FÓRMULA MANUAL]","",IFERROR(AVERAGEIFS(nNOTA,nNIA,Y194,nCUENTA,1,nASIG,"Orquesta/Banda/Conjunto"),"")))</f>
        <v/>
      </c>
      <c r="AB194" t="str">
        <f>IF(Y194="","",IF(Y194="[FÓRMULA MANUAL]","",IFERROR(AVERAGEIFS(nNOTA,nNIA,Y194,nCUENTA,1,nASIG,"Música de Cámara"),"")))</f>
        <v/>
      </c>
      <c r="AC194" t="str">
        <f>IF(Y194="","",IF(Y194="[FÓRMULA MANUAL]","",IFERROR(SUMPRODUCT((nNIA=Y194)*(nCUENTA=1)*(COUNTIF(CONFIG_ASIGNATURAS!$B$7:$B$27,nASIG)&gt;0)*(nNOTA))/SUMPRODUCT((nNIA=Y194)*(nCUENTA=1)*(COUNTIF(CONFIG_ASIGNATURAS!$B$7:$B$27,nASIG)&gt;0)*1),"")))</f>
        <v/>
      </c>
      <c r="AF194" t="str">
        <f>IF(AE194="","",IF(AE194="[FÓRMULA MANUAL]","",IFERROR(AVERAGEIFS(nNOTA,nNIA,AE194,nCUENTA,1,nASIG,"Análisis"),"")))</f>
        <v/>
      </c>
      <c r="AG194" t="str">
        <f>IF(AE194="","",IF(AE194="[FÓRMULA MANUAL]","",IFERROR(AVERAGEIFS(nNOTA,nNIA,AE194,nCUENTA,1,nASIG,"Orquesta/Banda/Conjunto"),"")))</f>
        <v/>
      </c>
      <c r="AH194" t="str">
        <f>IF(AE194="","",IF(AE194="[FÓRMULA MANUAL]","",IFERROR(AVERAGEIFS(nNOTA,nNIA,AE194,nCUENTA,1,nASIG,"Música de Cámara"),"")))</f>
        <v/>
      </c>
      <c r="AI194" t="str">
        <f>IF(AE194="","",IF(AE194="[FÓRMULA MANUAL]","",IFERROR(SUMPRODUCT((nNIA=AE194)*(nCUENTA=1)*(COUNTIF(CONFIG_ASIGNATURAS!$B$7:$B$27,nASIG)&gt;0)*(nNOTA))/SUMPRODUCT((nNIA=AE194)*(nCUENTA=1)*(COUNTIF(CONFIG_ASIGNATURAS!$B$7:$B$27,nASIG)&gt;0)*1),"")))</f>
        <v/>
      </c>
    </row>
    <row r="195" spans="2:35" x14ac:dyDescent="0.2">
      <c r="B195" t="str">
        <f>IF(A195="","",IF(A195="[FÓRMULA MANUAL]","",IFERROR(AVERAGEIFS(nNOTA,nNIA,A195,nCUENTA,1,nASIG,"Lenguaje Musical"),"")))</f>
        <v/>
      </c>
      <c r="C195" t="str">
        <f>IF(A195="","",IF(A195="[FÓRMULA MANUAL]","",IFERROR(AVERAGEIFS(nNOTA,nNIA,A195,nCUENTA,1,nASIG,"Orquesta/Banda/Conjunto"),"")))</f>
        <v/>
      </c>
      <c r="D195" t="str">
        <f>IF(A195="","",IF(A195="[FÓRMULA MANUAL]","",IFERROR(AVERAGEIFS(nNOTA,nNIA,A195,nCUENTA,1,nASIG,"Conjunto"),"")))</f>
        <v/>
      </c>
      <c r="E195" t="str">
        <f>IF(A195="","",IF(A195="[FÓRMULA MANUAL]","",IFERROR(SUMPRODUCT((nNIA=A195)*(nCUENTA=1)*(COUNTIF(CONFIG_ASIGNATURAS!$B$7:$B$27,nASIG)&gt;0)*(nNOTA))/SUMPRODUCT((nNIA=A195)*(nCUENTA=1)*(COUNTIF(CONFIG_ASIGNATURAS!$B$7:$B$27,nASIG)&gt;0)*1),"")))</f>
        <v/>
      </c>
      <c r="H195" t="str">
        <f>IF(G195="","",IF(G195="[FÓRMULA MANUAL]","",IFERROR(AVERAGEIFS(nNOTA,nNIA,G195,nCUENTA,1,nASIG,"Lenguaje Musical"),"")))</f>
        <v/>
      </c>
      <c r="I195" t="str">
        <f>IF(G195="","",IF(G195="[FÓRMULA MANUAL]","",IFERROR(AVERAGEIFS(nNOTA,nNIA,G195,nCUENTA,1,nASIG,"Orquesta/Banda/Conjunto"),"")))</f>
        <v/>
      </c>
      <c r="J195" t="str">
        <f>IF(G195="","",IF(G195="[FÓRMULA MANUAL]","",IFERROR(AVERAGEIFS(nNOTA,nNIA,G195,nCUENTA,1,nASIG,"Conjunto"),"")))</f>
        <v/>
      </c>
      <c r="K195" t="str">
        <f>IF(G195="","",IF(G195="[FÓRMULA MANUAL]","",IFERROR(SUMPRODUCT((nNIA=G195)*(nCUENTA=1)*(COUNTIF(CONFIG_ASIGNATURAS!$B$7:$B$27,nASIG)&gt;0)*(nNOTA))/SUMPRODUCT((nNIA=G195)*(nCUENTA=1)*(COUNTIF(CONFIG_ASIGNATURAS!$B$7:$B$27,nASIG)&gt;0)*1),"")))</f>
        <v/>
      </c>
      <c r="N195" t="str">
        <f>IF(M195="","",IF(M195="[FÓRMULA MANUAL]","",IFERROR(AVERAGEIFS(nNOTA,nNIA,M195,nCUENTA,1,nASIG,"Armonía"),"")))</f>
        <v/>
      </c>
      <c r="O195" t="str">
        <f>IF(M195="","",IF(M195="[FÓRMULA MANUAL]","",IFERROR(AVERAGEIFS(nNOTA,nNIA,M195,nCUENTA,1,nASIG,"Orquesta/Banda/Conjunto"),"")))</f>
        <v/>
      </c>
      <c r="P195" t="str">
        <f>IF(M195="","",IF(M195="[FÓRMULA MANUAL]","",IFERROR(AVERAGEIFS(nNOTA,nNIA,M195,nCUENTA,1,nASIG,"Música de Cámara"),"")))</f>
        <v/>
      </c>
      <c r="Q195" t="str">
        <f>IF(M195="","",IF(M195="[FÓRMULA MANUAL]","",IFERROR(SUMPRODUCT((nNIA=M195)*(nCUENTA=1)*(COUNTIF(CONFIG_ASIGNATURAS!$B$7:$B$27,nASIG)&gt;0)*(nNOTA))/SUMPRODUCT((nNIA=M195)*(nCUENTA=1)*(COUNTIF(CONFIG_ASIGNATURAS!$B$7:$B$27,nASIG)&gt;0)*1),"")))</f>
        <v/>
      </c>
      <c r="T195" t="str">
        <f>IF(S195="","",IF(S195="[FÓRMULA MANUAL]","",IFERROR(AVERAGEIFS(nNOTA,nNIA,S195,nCUENTA,1,nASIG,"Armonía"),"")))</f>
        <v/>
      </c>
      <c r="U195" t="str">
        <f>IF(S195="","",IF(S195="[FÓRMULA MANUAL]","",IFERROR(AVERAGEIFS(nNOTA,nNIA,S195,nCUENTA,1,nASIG,"Orquesta/Banda/Conjunto"),"")))</f>
        <v/>
      </c>
      <c r="V195" t="str">
        <f>IF(S195="","",IF(S195="[FÓRMULA MANUAL]","",IFERROR(AVERAGEIFS(nNOTA,nNIA,S195,nCUENTA,1,nASIG,"Música de Cámara"),"")))</f>
        <v/>
      </c>
      <c r="W195" t="str">
        <f>IF(S195="","",IF(S195="[FÓRMULA MANUAL]","",IFERROR(SUMPRODUCT((nNIA=S195)*(nCUENTA=1)*(COUNTIF(CONFIG_ASIGNATURAS!$B$7:$B$27,nASIG)&gt;0)*(nNOTA))/SUMPRODUCT((nNIA=S195)*(nCUENTA=1)*(COUNTIF(CONFIG_ASIGNATURAS!$B$7:$B$27,nASIG)&gt;0)*1),"")))</f>
        <v/>
      </c>
      <c r="Z195" t="str">
        <f>IF(Y195="","",IF(Y195="[FÓRMULA MANUAL]","",IFERROR(AVERAGEIFS(nNOTA,nNIA,Y195,nCUENTA,1,nASIG,"Análisis"),"")))</f>
        <v/>
      </c>
      <c r="AA195" t="str">
        <f>IF(Y195="","",IF(Y195="[FÓRMULA MANUAL]","",IFERROR(AVERAGEIFS(nNOTA,nNIA,Y195,nCUENTA,1,nASIG,"Orquesta/Banda/Conjunto"),"")))</f>
        <v/>
      </c>
      <c r="AB195" t="str">
        <f>IF(Y195="","",IF(Y195="[FÓRMULA MANUAL]","",IFERROR(AVERAGEIFS(nNOTA,nNIA,Y195,nCUENTA,1,nASIG,"Música de Cámara"),"")))</f>
        <v/>
      </c>
      <c r="AC195" t="str">
        <f>IF(Y195="","",IF(Y195="[FÓRMULA MANUAL]","",IFERROR(SUMPRODUCT((nNIA=Y195)*(nCUENTA=1)*(COUNTIF(CONFIG_ASIGNATURAS!$B$7:$B$27,nASIG)&gt;0)*(nNOTA))/SUMPRODUCT((nNIA=Y195)*(nCUENTA=1)*(COUNTIF(CONFIG_ASIGNATURAS!$B$7:$B$27,nASIG)&gt;0)*1),"")))</f>
        <v/>
      </c>
      <c r="AF195" t="str">
        <f>IF(AE195="","",IF(AE195="[FÓRMULA MANUAL]","",IFERROR(AVERAGEIFS(nNOTA,nNIA,AE195,nCUENTA,1,nASIG,"Análisis"),"")))</f>
        <v/>
      </c>
      <c r="AG195" t="str">
        <f>IF(AE195="","",IF(AE195="[FÓRMULA MANUAL]","",IFERROR(AVERAGEIFS(nNOTA,nNIA,AE195,nCUENTA,1,nASIG,"Orquesta/Banda/Conjunto"),"")))</f>
        <v/>
      </c>
      <c r="AH195" t="str">
        <f>IF(AE195="","",IF(AE195="[FÓRMULA MANUAL]","",IFERROR(AVERAGEIFS(nNOTA,nNIA,AE195,nCUENTA,1,nASIG,"Música de Cámara"),"")))</f>
        <v/>
      </c>
      <c r="AI195" t="str">
        <f>IF(AE195="","",IF(AE195="[FÓRMULA MANUAL]","",IFERROR(SUMPRODUCT((nNIA=AE195)*(nCUENTA=1)*(COUNTIF(CONFIG_ASIGNATURAS!$B$7:$B$27,nASIG)&gt;0)*(nNOTA))/SUMPRODUCT((nNIA=AE195)*(nCUENTA=1)*(COUNTIF(CONFIG_ASIGNATURAS!$B$7:$B$27,nASIG)&gt;0)*1),"")))</f>
        <v/>
      </c>
    </row>
    <row r="196" spans="2:35" x14ac:dyDescent="0.2">
      <c r="B196" t="str">
        <f>IF(A196="","",IF(A196="[FÓRMULA MANUAL]","",IFERROR(AVERAGEIFS(nNOTA,nNIA,A196,nCUENTA,1,nASIG,"Lenguaje Musical"),"")))</f>
        <v/>
      </c>
      <c r="C196" t="str">
        <f>IF(A196="","",IF(A196="[FÓRMULA MANUAL]","",IFERROR(AVERAGEIFS(nNOTA,nNIA,A196,nCUENTA,1,nASIG,"Orquesta/Banda/Conjunto"),"")))</f>
        <v/>
      </c>
      <c r="D196" t="str">
        <f>IF(A196="","",IF(A196="[FÓRMULA MANUAL]","",IFERROR(AVERAGEIFS(nNOTA,nNIA,A196,nCUENTA,1,nASIG,"Conjunto"),"")))</f>
        <v/>
      </c>
      <c r="E196" t="str">
        <f>IF(A196="","",IF(A196="[FÓRMULA MANUAL]","",IFERROR(SUMPRODUCT((nNIA=A196)*(nCUENTA=1)*(COUNTIF(CONFIG_ASIGNATURAS!$B$7:$B$27,nASIG)&gt;0)*(nNOTA))/SUMPRODUCT((nNIA=A196)*(nCUENTA=1)*(COUNTIF(CONFIG_ASIGNATURAS!$B$7:$B$27,nASIG)&gt;0)*1),"")))</f>
        <v/>
      </c>
      <c r="H196" t="str">
        <f>IF(G196="","",IF(G196="[FÓRMULA MANUAL]","",IFERROR(AVERAGEIFS(nNOTA,nNIA,G196,nCUENTA,1,nASIG,"Lenguaje Musical"),"")))</f>
        <v/>
      </c>
      <c r="I196" t="str">
        <f>IF(G196="","",IF(G196="[FÓRMULA MANUAL]","",IFERROR(AVERAGEIFS(nNOTA,nNIA,G196,nCUENTA,1,nASIG,"Orquesta/Banda/Conjunto"),"")))</f>
        <v/>
      </c>
      <c r="J196" t="str">
        <f>IF(G196="","",IF(G196="[FÓRMULA MANUAL]","",IFERROR(AVERAGEIFS(nNOTA,nNIA,G196,nCUENTA,1,nASIG,"Conjunto"),"")))</f>
        <v/>
      </c>
      <c r="K196" t="str">
        <f>IF(G196="","",IF(G196="[FÓRMULA MANUAL]","",IFERROR(SUMPRODUCT((nNIA=G196)*(nCUENTA=1)*(COUNTIF(CONFIG_ASIGNATURAS!$B$7:$B$27,nASIG)&gt;0)*(nNOTA))/SUMPRODUCT((nNIA=G196)*(nCUENTA=1)*(COUNTIF(CONFIG_ASIGNATURAS!$B$7:$B$27,nASIG)&gt;0)*1),"")))</f>
        <v/>
      </c>
      <c r="N196" t="str">
        <f>IF(M196="","",IF(M196="[FÓRMULA MANUAL]","",IFERROR(AVERAGEIFS(nNOTA,nNIA,M196,nCUENTA,1,nASIG,"Armonía"),"")))</f>
        <v/>
      </c>
      <c r="O196" t="str">
        <f>IF(M196="","",IF(M196="[FÓRMULA MANUAL]","",IFERROR(AVERAGEIFS(nNOTA,nNIA,M196,nCUENTA,1,nASIG,"Orquesta/Banda/Conjunto"),"")))</f>
        <v/>
      </c>
      <c r="P196" t="str">
        <f>IF(M196="","",IF(M196="[FÓRMULA MANUAL]","",IFERROR(AVERAGEIFS(nNOTA,nNIA,M196,nCUENTA,1,nASIG,"Música de Cámara"),"")))</f>
        <v/>
      </c>
      <c r="Q196" t="str">
        <f>IF(M196="","",IF(M196="[FÓRMULA MANUAL]","",IFERROR(SUMPRODUCT((nNIA=M196)*(nCUENTA=1)*(COUNTIF(CONFIG_ASIGNATURAS!$B$7:$B$27,nASIG)&gt;0)*(nNOTA))/SUMPRODUCT((nNIA=M196)*(nCUENTA=1)*(COUNTIF(CONFIG_ASIGNATURAS!$B$7:$B$27,nASIG)&gt;0)*1),"")))</f>
        <v/>
      </c>
      <c r="T196" t="str">
        <f>IF(S196="","",IF(S196="[FÓRMULA MANUAL]","",IFERROR(AVERAGEIFS(nNOTA,nNIA,S196,nCUENTA,1,nASIG,"Armonía"),"")))</f>
        <v/>
      </c>
      <c r="U196" t="str">
        <f>IF(S196="","",IF(S196="[FÓRMULA MANUAL]","",IFERROR(AVERAGEIFS(nNOTA,nNIA,S196,nCUENTA,1,nASIG,"Orquesta/Banda/Conjunto"),"")))</f>
        <v/>
      </c>
      <c r="V196" t="str">
        <f>IF(S196="","",IF(S196="[FÓRMULA MANUAL]","",IFERROR(AVERAGEIFS(nNOTA,nNIA,S196,nCUENTA,1,nASIG,"Música de Cámara"),"")))</f>
        <v/>
      </c>
      <c r="W196" t="str">
        <f>IF(S196="","",IF(S196="[FÓRMULA MANUAL]","",IFERROR(SUMPRODUCT((nNIA=S196)*(nCUENTA=1)*(COUNTIF(CONFIG_ASIGNATURAS!$B$7:$B$27,nASIG)&gt;0)*(nNOTA))/SUMPRODUCT((nNIA=S196)*(nCUENTA=1)*(COUNTIF(CONFIG_ASIGNATURAS!$B$7:$B$27,nASIG)&gt;0)*1),"")))</f>
        <v/>
      </c>
      <c r="Z196" t="str">
        <f>IF(Y196="","",IF(Y196="[FÓRMULA MANUAL]","",IFERROR(AVERAGEIFS(nNOTA,nNIA,Y196,nCUENTA,1,nASIG,"Análisis"),"")))</f>
        <v/>
      </c>
      <c r="AA196" t="str">
        <f>IF(Y196="","",IF(Y196="[FÓRMULA MANUAL]","",IFERROR(AVERAGEIFS(nNOTA,nNIA,Y196,nCUENTA,1,nASIG,"Orquesta/Banda/Conjunto"),"")))</f>
        <v/>
      </c>
      <c r="AB196" t="str">
        <f>IF(Y196="","",IF(Y196="[FÓRMULA MANUAL]","",IFERROR(AVERAGEIFS(nNOTA,nNIA,Y196,nCUENTA,1,nASIG,"Música de Cámara"),"")))</f>
        <v/>
      </c>
      <c r="AC196" t="str">
        <f>IF(Y196="","",IF(Y196="[FÓRMULA MANUAL]","",IFERROR(SUMPRODUCT((nNIA=Y196)*(nCUENTA=1)*(COUNTIF(CONFIG_ASIGNATURAS!$B$7:$B$27,nASIG)&gt;0)*(nNOTA))/SUMPRODUCT((nNIA=Y196)*(nCUENTA=1)*(COUNTIF(CONFIG_ASIGNATURAS!$B$7:$B$27,nASIG)&gt;0)*1),"")))</f>
        <v/>
      </c>
      <c r="AF196" t="str">
        <f>IF(AE196="","",IF(AE196="[FÓRMULA MANUAL]","",IFERROR(AVERAGEIFS(nNOTA,nNIA,AE196,nCUENTA,1,nASIG,"Análisis"),"")))</f>
        <v/>
      </c>
      <c r="AG196" t="str">
        <f>IF(AE196="","",IF(AE196="[FÓRMULA MANUAL]","",IFERROR(AVERAGEIFS(nNOTA,nNIA,AE196,nCUENTA,1,nASIG,"Orquesta/Banda/Conjunto"),"")))</f>
        <v/>
      </c>
      <c r="AH196" t="str">
        <f>IF(AE196="","",IF(AE196="[FÓRMULA MANUAL]","",IFERROR(AVERAGEIFS(nNOTA,nNIA,AE196,nCUENTA,1,nASIG,"Música de Cámara"),"")))</f>
        <v/>
      </c>
      <c r="AI196" t="str">
        <f>IF(AE196="","",IF(AE196="[FÓRMULA MANUAL]","",IFERROR(SUMPRODUCT((nNIA=AE196)*(nCUENTA=1)*(COUNTIF(CONFIG_ASIGNATURAS!$B$7:$B$27,nASIG)&gt;0)*(nNOTA))/SUMPRODUCT((nNIA=AE196)*(nCUENTA=1)*(COUNTIF(CONFIG_ASIGNATURAS!$B$7:$B$27,nASIG)&gt;0)*1),"")))</f>
        <v/>
      </c>
    </row>
    <row r="197" spans="2:35" x14ac:dyDescent="0.2">
      <c r="B197" t="str">
        <f>IF(A197="","",IF(A197="[FÓRMULA MANUAL]","",IFERROR(AVERAGEIFS(nNOTA,nNIA,A197,nCUENTA,1,nASIG,"Lenguaje Musical"),"")))</f>
        <v/>
      </c>
      <c r="C197" t="str">
        <f>IF(A197="","",IF(A197="[FÓRMULA MANUAL]","",IFERROR(AVERAGEIFS(nNOTA,nNIA,A197,nCUENTA,1,nASIG,"Orquesta/Banda/Conjunto"),"")))</f>
        <v/>
      </c>
      <c r="D197" t="str">
        <f>IF(A197="","",IF(A197="[FÓRMULA MANUAL]","",IFERROR(AVERAGEIFS(nNOTA,nNIA,A197,nCUENTA,1,nASIG,"Conjunto"),"")))</f>
        <v/>
      </c>
      <c r="E197" t="str">
        <f>IF(A197="","",IF(A197="[FÓRMULA MANUAL]","",IFERROR(SUMPRODUCT((nNIA=A197)*(nCUENTA=1)*(COUNTIF(CONFIG_ASIGNATURAS!$B$7:$B$27,nASIG)&gt;0)*(nNOTA))/SUMPRODUCT((nNIA=A197)*(nCUENTA=1)*(COUNTIF(CONFIG_ASIGNATURAS!$B$7:$B$27,nASIG)&gt;0)*1),"")))</f>
        <v/>
      </c>
      <c r="H197" t="str">
        <f>IF(G197="","",IF(G197="[FÓRMULA MANUAL]","",IFERROR(AVERAGEIFS(nNOTA,nNIA,G197,nCUENTA,1,nASIG,"Lenguaje Musical"),"")))</f>
        <v/>
      </c>
      <c r="I197" t="str">
        <f>IF(G197="","",IF(G197="[FÓRMULA MANUAL]","",IFERROR(AVERAGEIFS(nNOTA,nNIA,G197,nCUENTA,1,nASIG,"Orquesta/Banda/Conjunto"),"")))</f>
        <v/>
      </c>
      <c r="J197" t="str">
        <f>IF(G197="","",IF(G197="[FÓRMULA MANUAL]","",IFERROR(AVERAGEIFS(nNOTA,nNIA,G197,nCUENTA,1,nASIG,"Conjunto"),"")))</f>
        <v/>
      </c>
      <c r="K197" t="str">
        <f>IF(G197="","",IF(G197="[FÓRMULA MANUAL]","",IFERROR(SUMPRODUCT((nNIA=G197)*(nCUENTA=1)*(COUNTIF(CONFIG_ASIGNATURAS!$B$7:$B$27,nASIG)&gt;0)*(nNOTA))/SUMPRODUCT((nNIA=G197)*(nCUENTA=1)*(COUNTIF(CONFIG_ASIGNATURAS!$B$7:$B$27,nASIG)&gt;0)*1),"")))</f>
        <v/>
      </c>
      <c r="N197" t="str">
        <f>IF(M197="","",IF(M197="[FÓRMULA MANUAL]","",IFERROR(AVERAGEIFS(nNOTA,nNIA,M197,nCUENTA,1,nASIG,"Armonía"),"")))</f>
        <v/>
      </c>
      <c r="O197" t="str">
        <f>IF(M197="","",IF(M197="[FÓRMULA MANUAL]","",IFERROR(AVERAGEIFS(nNOTA,nNIA,M197,nCUENTA,1,nASIG,"Orquesta/Banda/Conjunto"),"")))</f>
        <v/>
      </c>
      <c r="P197" t="str">
        <f>IF(M197="","",IF(M197="[FÓRMULA MANUAL]","",IFERROR(AVERAGEIFS(nNOTA,nNIA,M197,nCUENTA,1,nASIG,"Música de Cámara"),"")))</f>
        <v/>
      </c>
      <c r="Q197" t="str">
        <f>IF(M197="","",IF(M197="[FÓRMULA MANUAL]","",IFERROR(SUMPRODUCT((nNIA=M197)*(nCUENTA=1)*(COUNTIF(CONFIG_ASIGNATURAS!$B$7:$B$27,nASIG)&gt;0)*(nNOTA))/SUMPRODUCT((nNIA=M197)*(nCUENTA=1)*(COUNTIF(CONFIG_ASIGNATURAS!$B$7:$B$27,nASIG)&gt;0)*1),"")))</f>
        <v/>
      </c>
      <c r="T197" t="str">
        <f>IF(S197="","",IF(S197="[FÓRMULA MANUAL]","",IFERROR(AVERAGEIFS(nNOTA,nNIA,S197,nCUENTA,1,nASIG,"Armonía"),"")))</f>
        <v/>
      </c>
      <c r="U197" t="str">
        <f>IF(S197="","",IF(S197="[FÓRMULA MANUAL]","",IFERROR(AVERAGEIFS(nNOTA,nNIA,S197,nCUENTA,1,nASIG,"Orquesta/Banda/Conjunto"),"")))</f>
        <v/>
      </c>
      <c r="V197" t="str">
        <f>IF(S197="","",IF(S197="[FÓRMULA MANUAL]","",IFERROR(AVERAGEIFS(nNOTA,nNIA,S197,nCUENTA,1,nASIG,"Música de Cámara"),"")))</f>
        <v/>
      </c>
      <c r="W197" t="str">
        <f>IF(S197="","",IF(S197="[FÓRMULA MANUAL]","",IFERROR(SUMPRODUCT((nNIA=S197)*(nCUENTA=1)*(COUNTIF(CONFIG_ASIGNATURAS!$B$7:$B$27,nASIG)&gt;0)*(nNOTA))/SUMPRODUCT((nNIA=S197)*(nCUENTA=1)*(COUNTIF(CONFIG_ASIGNATURAS!$B$7:$B$27,nASIG)&gt;0)*1),"")))</f>
        <v/>
      </c>
      <c r="Z197" t="str">
        <f>IF(Y197="","",IF(Y197="[FÓRMULA MANUAL]","",IFERROR(AVERAGEIFS(nNOTA,nNIA,Y197,nCUENTA,1,nASIG,"Análisis"),"")))</f>
        <v/>
      </c>
      <c r="AA197" t="str">
        <f>IF(Y197="","",IF(Y197="[FÓRMULA MANUAL]","",IFERROR(AVERAGEIFS(nNOTA,nNIA,Y197,nCUENTA,1,nASIG,"Orquesta/Banda/Conjunto"),"")))</f>
        <v/>
      </c>
      <c r="AB197" t="str">
        <f>IF(Y197="","",IF(Y197="[FÓRMULA MANUAL]","",IFERROR(AVERAGEIFS(nNOTA,nNIA,Y197,nCUENTA,1,nASIG,"Música de Cámara"),"")))</f>
        <v/>
      </c>
      <c r="AC197" t="str">
        <f>IF(Y197="","",IF(Y197="[FÓRMULA MANUAL]","",IFERROR(SUMPRODUCT((nNIA=Y197)*(nCUENTA=1)*(COUNTIF(CONFIG_ASIGNATURAS!$B$7:$B$27,nASIG)&gt;0)*(nNOTA))/SUMPRODUCT((nNIA=Y197)*(nCUENTA=1)*(COUNTIF(CONFIG_ASIGNATURAS!$B$7:$B$27,nASIG)&gt;0)*1),"")))</f>
        <v/>
      </c>
      <c r="AF197" t="str">
        <f>IF(AE197="","",IF(AE197="[FÓRMULA MANUAL]","",IFERROR(AVERAGEIFS(nNOTA,nNIA,AE197,nCUENTA,1,nASIG,"Análisis"),"")))</f>
        <v/>
      </c>
      <c r="AG197" t="str">
        <f>IF(AE197="","",IF(AE197="[FÓRMULA MANUAL]","",IFERROR(AVERAGEIFS(nNOTA,nNIA,AE197,nCUENTA,1,nASIG,"Orquesta/Banda/Conjunto"),"")))</f>
        <v/>
      </c>
      <c r="AH197" t="str">
        <f>IF(AE197="","",IF(AE197="[FÓRMULA MANUAL]","",IFERROR(AVERAGEIFS(nNOTA,nNIA,AE197,nCUENTA,1,nASIG,"Música de Cámara"),"")))</f>
        <v/>
      </c>
      <c r="AI197" t="str">
        <f>IF(AE197="","",IF(AE197="[FÓRMULA MANUAL]","",IFERROR(SUMPRODUCT((nNIA=AE197)*(nCUENTA=1)*(COUNTIF(CONFIG_ASIGNATURAS!$B$7:$B$27,nASIG)&gt;0)*(nNOTA))/SUMPRODUCT((nNIA=AE197)*(nCUENTA=1)*(COUNTIF(CONFIG_ASIGNATURAS!$B$7:$B$27,nASIG)&gt;0)*1),"")))</f>
        <v/>
      </c>
    </row>
    <row r="198" spans="2:35" x14ac:dyDescent="0.2">
      <c r="B198" t="str">
        <f>IF(A198="","",IF(A198="[FÓRMULA MANUAL]","",IFERROR(AVERAGEIFS(nNOTA,nNIA,A198,nCUENTA,1,nASIG,"Lenguaje Musical"),"")))</f>
        <v/>
      </c>
      <c r="C198" t="str">
        <f>IF(A198="","",IF(A198="[FÓRMULA MANUAL]","",IFERROR(AVERAGEIFS(nNOTA,nNIA,A198,nCUENTA,1,nASIG,"Orquesta/Banda/Conjunto"),"")))</f>
        <v/>
      </c>
      <c r="D198" t="str">
        <f>IF(A198="","",IF(A198="[FÓRMULA MANUAL]","",IFERROR(AVERAGEIFS(nNOTA,nNIA,A198,nCUENTA,1,nASIG,"Conjunto"),"")))</f>
        <v/>
      </c>
      <c r="E198" t="str">
        <f>IF(A198="","",IF(A198="[FÓRMULA MANUAL]","",IFERROR(SUMPRODUCT((nNIA=A198)*(nCUENTA=1)*(COUNTIF(CONFIG_ASIGNATURAS!$B$7:$B$27,nASIG)&gt;0)*(nNOTA))/SUMPRODUCT((nNIA=A198)*(nCUENTA=1)*(COUNTIF(CONFIG_ASIGNATURAS!$B$7:$B$27,nASIG)&gt;0)*1),"")))</f>
        <v/>
      </c>
      <c r="H198" t="str">
        <f>IF(G198="","",IF(G198="[FÓRMULA MANUAL]","",IFERROR(AVERAGEIFS(nNOTA,nNIA,G198,nCUENTA,1,nASIG,"Lenguaje Musical"),"")))</f>
        <v/>
      </c>
      <c r="I198" t="str">
        <f>IF(G198="","",IF(G198="[FÓRMULA MANUAL]","",IFERROR(AVERAGEIFS(nNOTA,nNIA,G198,nCUENTA,1,nASIG,"Orquesta/Banda/Conjunto"),"")))</f>
        <v/>
      </c>
      <c r="J198" t="str">
        <f>IF(G198="","",IF(G198="[FÓRMULA MANUAL]","",IFERROR(AVERAGEIFS(nNOTA,nNIA,G198,nCUENTA,1,nASIG,"Conjunto"),"")))</f>
        <v/>
      </c>
      <c r="K198" t="str">
        <f>IF(G198="","",IF(G198="[FÓRMULA MANUAL]","",IFERROR(SUMPRODUCT((nNIA=G198)*(nCUENTA=1)*(COUNTIF(CONFIG_ASIGNATURAS!$B$7:$B$27,nASIG)&gt;0)*(nNOTA))/SUMPRODUCT((nNIA=G198)*(nCUENTA=1)*(COUNTIF(CONFIG_ASIGNATURAS!$B$7:$B$27,nASIG)&gt;0)*1),"")))</f>
        <v/>
      </c>
      <c r="N198" t="str">
        <f>IF(M198="","",IF(M198="[FÓRMULA MANUAL]","",IFERROR(AVERAGEIFS(nNOTA,nNIA,M198,nCUENTA,1,nASIG,"Armonía"),"")))</f>
        <v/>
      </c>
      <c r="O198" t="str">
        <f>IF(M198="","",IF(M198="[FÓRMULA MANUAL]","",IFERROR(AVERAGEIFS(nNOTA,nNIA,M198,nCUENTA,1,nASIG,"Orquesta/Banda/Conjunto"),"")))</f>
        <v/>
      </c>
      <c r="P198" t="str">
        <f>IF(M198="","",IF(M198="[FÓRMULA MANUAL]","",IFERROR(AVERAGEIFS(nNOTA,nNIA,M198,nCUENTA,1,nASIG,"Música de Cámara"),"")))</f>
        <v/>
      </c>
      <c r="Q198" t="str">
        <f>IF(M198="","",IF(M198="[FÓRMULA MANUAL]","",IFERROR(SUMPRODUCT((nNIA=M198)*(nCUENTA=1)*(COUNTIF(CONFIG_ASIGNATURAS!$B$7:$B$27,nASIG)&gt;0)*(nNOTA))/SUMPRODUCT((nNIA=M198)*(nCUENTA=1)*(COUNTIF(CONFIG_ASIGNATURAS!$B$7:$B$27,nASIG)&gt;0)*1),"")))</f>
        <v/>
      </c>
      <c r="T198" t="str">
        <f>IF(S198="","",IF(S198="[FÓRMULA MANUAL]","",IFERROR(AVERAGEIFS(nNOTA,nNIA,S198,nCUENTA,1,nASIG,"Armonía"),"")))</f>
        <v/>
      </c>
      <c r="U198" t="str">
        <f>IF(S198="","",IF(S198="[FÓRMULA MANUAL]","",IFERROR(AVERAGEIFS(nNOTA,nNIA,S198,nCUENTA,1,nASIG,"Orquesta/Banda/Conjunto"),"")))</f>
        <v/>
      </c>
      <c r="V198" t="str">
        <f>IF(S198="","",IF(S198="[FÓRMULA MANUAL]","",IFERROR(AVERAGEIFS(nNOTA,nNIA,S198,nCUENTA,1,nASIG,"Música de Cámara"),"")))</f>
        <v/>
      </c>
      <c r="W198" t="str">
        <f>IF(S198="","",IF(S198="[FÓRMULA MANUAL]","",IFERROR(SUMPRODUCT((nNIA=S198)*(nCUENTA=1)*(COUNTIF(CONFIG_ASIGNATURAS!$B$7:$B$27,nASIG)&gt;0)*(nNOTA))/SUMPRODUCT((nNIA=S198)*(nCUENTA=1)*(COUNTIF(CONFIG_ASIGNATURAS!$B$7:$B$27,nASIG)&gt;0)*1),"")))</f>
        <v/>
      </c>
      <c r="Z198" t="str">
        <f>IF(Y198="","",IF(Y198="[FÓRMULA MANUAL]","",IFERROR(AVERAGEIFS(nNOTA,nNIA,Y198,nCUENTA,1,nASIG,"Análisis"),"")))</f>
        <v/>
      </c>
      <c r="AA198" t="str">
        <f>IF(Y198="","",IF(Y198="[FÓRMULA MANUAL]","",IFERROR(AVERAGEIFS(nNOTA,nNIA,Y198,nCUENTA,1,nASIG,"Orquesta/Banda/Conjunto"),"")))</f>
        <v/>
      </c>
      <c r="AB198" t="str">
        <f>IF(Y198="","",IF(Y198="[FÓRMULA MANUAL]","",IFERROR(AVERAGEIFS(nNOTA,nNIA,Y198,nCUENTA,1,nASIG,"Música de Cámara"),"")))</f>
        <v/>
      </c>
      <c r="AC198" t="str">
        <f>IF(Y198="","",IF(Y198="[FÓRMULA MANUAL]","",IFERROR(SUMPRODUCT((nNIA=Y198)*(nCUENTA=1)*(COUNTIF(CONFIG_ASIGNATURAS!$B$7:$B$27,nASIG)&gt;0)*(nNOTA))/SUMPRODUCT((nNIA=Y198)*(nCUENTA=1)*(COUNTIF(CONFIG_ASIGNATURAS!$B$7:$B$27,nASIG)&gt;0)*1),"")))</f>
        <v/>
      </c>
      <c r="AF198" t="str">
        <f>IF(AE198="","",IF(AE198="[FÓRMULA MANUAL]","",IFERROR(AVERAGEIFS(nNOTA,nNIA,AE198,nCUENTA,1,nASIG,"Análisis"),"")))</f>
        <v/>
      </c>
      <c r="AG198" t="str">
        <f>IF(AE198="","",IF(AE198="[FÓRMULA MANUAL]","",IFERROR(AVERAGEIFS(nNOTA,nNIA,AE198,nCUENTA,1,nASIG,"Orquesta/Banda/Conjunto"),"")))</f>
        <v/>
      </c>
      <c r="AH198" t="str">
        <f>IF(AE198="","",IF(AE198="[FÓRMULA MANUAL]","",IFERROR(AVERAGEIFS(nNOTA,nNIA,AE198,nCUENTA,1,nASIG,"Música de Cámara"),"")))</f>
        <v/>
      </c>
      <c r="AI198" t="str">
        <f>IF(AE198="","",IF(AE198="[FÓRMULA MANUAL]","",IFERROR(SUMPRODUCT((nNIA=AE198)*(nCUENTA=1)*(COUNTIF(CONFIG_ASIGNATURAS!$B$7:$B$27,nASIG)&gt;0)*(nNOTA))/SUMPRODUCT((nNIA=AE198)*(nCUENTA=1)*(COUNTIF(CONFIG_ASIGNATURAS!$B$7:$B$27,nASIG)&gt;0)*1),"")))</f>
        <v/>
      </c>
    </row>
    <row r="199" spans="2:35" x14ac:dyDescent="0.2">
      <c r="B199" t="str">
        <f>IF(A199="","",IF(A199="[FÓRMULA MANUAL]","",IFERROR(AVERAGEIFS(nNOTA,nNIA,A199,nCUENTA,1,nASIG,"Lenguaje Musical"),"")))</f>
        <v/>
      </c>
      <c r="C199" t="str">
        <f>IF(A199="","",IF(A199="[FÓRMULA MANUAL]","",IFERROR(AVERAGEIFS(nNOTA,nNIA,A199,nCUENTA,1,nASIG,"Orquesta/Banda/Conjunto"),"")))</f>
        <v/>
      </c>
      <c r="D199" t="str">
        <f>IF(A199="","",IF(A199="[FÓRMULA MANUAL]","",IFERROR(AVERAGEIFS(nNOTA,nNIA,A199,nCUENTA,1,nASIG,"Conjunto"),"")))</f>
        <v/>
      </c>
      <c r="E199" t="str">
        <f>IF(A199="","",IF(A199="[FÓRMULA MANUAL]","",IFERROR(SUMPRODUCT((nNIA=A199)*(nCUENTA=1)*(COUNTIF(CONFIG_ASIGNATURAS!$B$7:$B$27,nASIG)&gt;0)*(nNOTA))/SUMPRODUCT((nNIA=A199)*(nCUENTA=1)*(COUNTIF(CONFIG_ASIGNATURAS!$B$7:$B$27,nASIG)&gt;0)*1),"")))</f>
        <v/>
      </c>
      <c r="H199" t="str">
        <f>IF(G199="","",IF(G199="[FÓRMULA MANUAL]","",IFERROR(AVERAGEIFS(nNOTA,nNIA,G199,nCUENTA,1,nASIG,"Lenguaje Musical"),"")))</f>
        <v/>
      </c>
      <c r="I199" t="str">
        <f>IF(G199="","",IF(G199="[FÓRMULA MANUAL]","",IFERROR(AVERAGEIFS(nNOTA,nNIA,G199,nCUENTA,1,nASIG,"Orquesta/Banda/Conjunto"),"")))</f>
        <v/>
      </c>
      <c r="J199" t="str">
        <f>IF(G199="","",IF(G199="[FÓRMULA MANUAL]","",IFERROR(AVERAGEIFS(nNOTA,nNIA,G199,nCUENTA,1,nASIG,"Conjunto"),"")))</f>
        <v/>
      </c>
      <c r="K199" t="str">
        <f>IF(G199="","",IF(G199="[FÓRMULA MANUAL]","",IFERROR(SUMPRODUCT((nNIA=G199)*(nCUENTA=1)*(COUNTIF(CONFIG_ASIGNATURAS!$B$7:$B$27,nASIG)&gt;0)*(nNOTA))/SUMPRODUCT((nNIA=G199)*(nCUENTA=1)*(COUNTIF(CONFIG_ASIGNATURAS!$B$7:$B$27,nASIG)&gt;0)*1),"")))</f>
        <v/>
      </c>
      <c r="N199" t="str">
        <f>IF(M199="","",IF(M199="[FÓRMULA MANUAL]","",IFERROR(AVERAGEIFS(nNOTA,nNIA,M199,nCUENTA,1,nASIG,"Armonía"),"")))</f>
        <v/>
      </c>
      <c r="O199" t="str">
        <f>IF(M199="","",IF(M199="[FÓRMULA MANUAL]","",IFERROR(AVERAGEIFS(nNOTA,nNIA,M199,nCUENTA,1,nASIG,"Orquesta/Banda/Conjunto"),"")))</f>
        <v/>
      </c>
      <c r="P199" t="str">
        <f>IF(M199="","",IF(M199="[FÓRMULA MANUAL]","",IFERROR(AVERAGEIFS(nNOTA,nNIA,M199,nCUENTA,1,nASIG,"Música de Cámara"),"")))</f>
        <v/>
      </c>
      <c r="Q199" t="str">
        <f>IF(M199="","",IF(M199="[FÓRMULA MANUAL]","",IFERROR(SUMPRODUCT((nNIA=M199)*(nCUENTA=1)*(COUNTIF(CONFIG_ASIGNATURAS!$B$7:$B$27,nASIG)&gt;0)*(nNOTA))/SUMPRODUCT((nNIA=M199)*(nCUENTA=1)*(COUNTIF(CONFIG_ASIGNATURAS!$B$7:$B$27,nASIG)&gt;0)*1),"")))</f>
        <v/>
      </c>
      <c r="T199" t="str">
        <f>IF(S199="","",IF(S199="[FÓRMULA MANUAL]","",IFERROR(AVERAGEIFS(nNOTA,nNIA,S199,nCUENTA,1,nASIG,"Armonía"),"")))</f>
        <v/>
      </c>
      <c r="U199" t="str">
        <f>IF(S199="","",IF(S199="[FÓRMULA MANUAL]","",IFERROR(AVERAGEIFS(nNOTA,nNIA,S199,nCUENTA,1,nASIG,"Orquesta/Banda/Conjunto"),"")))</f>
        <v/>
      </c>
      <c r="V199" t="str">
        <f>IF(S199="","",IF(S199="[FÓRMULA MANUAL]","",IFERROR(AVERAGEIFS(nNOTA,nNIA,S199,nCUENTA,1,nASIG,"Música de Cámara"),"")))</f>
        <v/>
      </c>
      <c r="W199" t="str">
        <f>IF(S199="","",IF(S199="[FÓRMULA MANUAL]","",IFERROR(SUMPRODUCT((nNIA=S199)*(nCUENTA=1)*(COUNTIF(CONFIG_ASIGNATURAS!$B$7:$B$27,nASIG)&gt;0)*(nNOTA))/SUMPRODUCT((nNIA=S199)*(nCUENTA=1)*(COUNTIF(CONFIG_ASIGNATURAS!$B$7:$B$27,nASIG)&gt;0)*1),"")))</f>
        <v/>
      </c>
      <c r="Z199" t="str">
        <f>IF(Y199="","",IF(Y199="[FÓRMULA MANUAL]","",IFERROR(AVERAGEIFS(nNOTA,nNIA,Y199,nCUENTA,1,nASIG,"Análisis"),"")))</f>
        <v/>
      </c>
      <c r="AA199" t="str">
        <f>IF(Y199="","",IF(Y199="[FÓRMULA MANUAL]","",IFERROR(AVERAGEIFS(nNOTA,nNIA,Y199,nCUENTA,1,nASIG,"Orquesta/Banda/Conjunto"),"")))</f>
        <v/>
      </c>
      <c r="AB199" t="str">
        <f>IF(Y199="","",IF(Y199="[FÓRMULA MANUAL]","",IFERROR(AVERAGEIFS(nNOTA,nNIA,Y199,nCUENTA,1,nASIG,"Música de Cámara"),"")))</f>
        <v/>
      </c>
      <c r="AC199" t="str">
        <f>IF(Y199="","",IF(Y199="[FÓRMULA MANUAL]","",IFERROR(SUMPRODUCT((nNIA=Y199)*(nCUENTA=1)*(COUNTIF(CONFIG_ASIGNATURAS!$B$7:$B$27,nASIG)&gt;0)*(nNOTA))/SUMPRODUCT((nNIA=Y199)*(nCUENTA=1)*(COUNTIF(CONFIG_ASIGNATURAS!$B$7:$B$27,nASIG)&gt;0)*1),"")))</f>
        <v/>
      </c>
      <c r="AF199" t="str">
        <f>IF(AE199="","",IF(AE199="[FÓRMULA MANUAL]","",IFERROR(AVERAGEIFS(nNOTA,nNIA,AE199,nCUENTA,1,nASIG,"Análisis"),"")))</f>
        <v/>
      </c>
      <c r="AG199" t="str">
        <f>IF(AE199="","",IF(AE199="[FÓRMULA MANUAL]","",IFERROR(AVERAGEIFS(nNOTA,nNIA,AE199,nCUENTA,1,nASIG,"Orquesta/Banda/Conjunto"),"")))</f>
        <v/>
      </c>
      <c r="AH199" t="str">
        <f>IF(AE199="","",IF(AE199="[FÓRMULA MANUAL]","",IFERROR(AVERAGEIFS(nNOTA,nNIA,AE199,nCUENTA,1,nASIG,"Música de Cámara"),"")))</f>
        <v/>
      </c>
      <c r="AI199" t="str">
        <f>IF(AE199="","",IF(AE199="[FÓRMULA MANUAL]","",IFERROR(SUMPRODUCT((nNIA=AE199)*(nCUENTA=1)*(COUNTIF(CONFIG_ASIGNATURAS!$B$7:$B$27,nASIG)&gt;0)*(nNOTA))/SUMPRODUCT((nNIA=AE199)*(nCUENTA=1)*(COUNTIF(CONFIG_ASIGNATURAS!$B$7:$B$27,nASIG)&gt;0)*1),"")))</f>
        <v/>
      </c>
    </row>
    <row r="200" spans="2:35" x14ac:dyDescent="0.2">
      <c r="B200" t="str">
        <f>IF(A200="","",IF(A200="[FÓRMULA MANUAL]","",IFERROR(AVERAGEIFS(nNOTA,nNIA,A200,nCUENTA,1,nASIG,"Lenguaje Musical"),"")))</f>
        <v/>
      </c>
      <c r="C200" t="str">
        <f>IF(A200="","",IF(A200="[FÓRMULA MANUAL]","",IFERROR(AVERAGEIFS(nNOTA,nNIA,A200,nCUENTA,1,nASIG,"Orquesta/Banda/Conjunto"),"")))</f>
        <v/>
      </c>
      <c r="D200" t="str">
        <f>IF(A200="","",IF(A200="[FÓRMULA MANUAL]","",IFERROR(AVERAGEIFS(nNOTA,nNIA,A200,nCUENTA,1,nASIG,"Conjunto"),"")))</f>
        <v/>
      </c>
      <c r="E200" t="str">
        <f>IF(A200="","",IF(A200="[FÓRMULA MANUAL]","",IFERROR(SUMPRODUCT((nNIA=A200)*(nCUENTA=1)*(COUNTIF(CONFIG_ASIGNATURAS!$B$7:$B$27,nASIG)&gt;0)*(nNOTA))/SUMPRODUCT((nNIA=A200)*(nCUENTA=1)*(COUNTIF(CONFIG_ASIGNATURAS!$B$7:$B$27,nASIG)&gt;0)*1),"")))</f>
        <v/>
      </c>
      <c r="H200" t="str">
        <f>IF(G200="","",IF(G200="[FÓRMULA MANUAL]","",IFERROR(AVERAGEIFS(nNOTA,nNIA,G200,nCUENTA,1,nASIG,"Lenguaje Musical"),"")))</f>
        <v/>
      </c>
      <c r="I200" t="str">
        <f>IF(G200="","",IF(G200="[FÓRMULA MANUAL]","",IFERROR(AVERAGEIFS(nNOTA,nNIA,G200,nCUENTA,1,nASIG,"Orquesta/Banda/Conjunto"),"")))</f>
        <v/>
      </c>
      <c r="J200" t="str">
        <f>IF(G200="","",IF(G200="[FÓRMULA MANUAL]","",IFERROR(AVERAGEIFS(nNOTA,nNIA,G200,nCUENTA,1,nASIG,"Conjunto"),"")))</f>
        <v/>
      </c>
      <c r="K200" t="str">
        <f>IF(G200="","",IF(G200="[FÓRMULA MANUAL]","",IFERROR(SUMPRODUCT((nNIA=G200)*(nCUENTA=1)*(COUNTIF(CONFIG_ASIGNATURAS!$B$7:$B$27,nASIG)&gt;0)*(nNOTA))/SUMPRODUCT((nNIA=G200)*(nCUENTA=1)*(COUNTIF(CONFIG_ASIGNATURAS!$B$7:$B$27,nASIG)&gt;0)*1),"")))</f>
        <v/>
      </c>
      <c r="N200" t="str">
        <f>IF(M200="","",IF(M200="[FÓRMULA MANUAL]","",IFERROR(AVERAGEIFS(nNOTA,nNIA,M200,nCUENTA,1,nASIG,"Armonía"),"")))</f>
        <v/>
      </c>
      <c r="O200" t="str">
        <f>IF(M200="","",IF(M200="[FÓRMULA MANUAL]","",IFERROR(AVERAGEIFS(nNOTA,nNIA,M200,nCUENTA,1,nASIG,"Orquesta/Banda/Conjunto"),"")))</f>
        <v/>
      </c>
      <c r="P200" t="str">
        <f>IF(M200="","",IF(M200="[FÓRMULA MANUAL]","",IFERROR(AVERAGEIFS(nNOTA,nNIA,M200,nCUENTA,1,nASIG,"Música de Cámara"),"")))</f>
        <v/>
      </c>
      <c r="Q200" t="str">
        <f>IF(M200="","",IF(M200="[FÓRMULA MANUAL]","",IFERROR(SUMPRODUCT((nNIA=M200)*(nCUENTA=1)*(COUNTIF(CONFIG_ASIGNATURAS!$B$7:$B$27,nASIG)&gt;0)*(nNOTA))/SUMPRODUCT((nNIA=M200)*(nCUENTA=1)*(COUNTIF(CONFIG_ASIGNATURAS!$B$7:$B$27,nASIG)&gt;0)*1),"")))</f>
        <v/>
      </c>
      <c r="T200" t="str">
        <f>IF(S200="","",IF(S200="[FÓRMULA MANUAL]","",IFERROR(AVERAGEIFS(nNOTA,nNIA,S200,nCUENTA,1,nASIG,"Armonía"),"")))</f>
        <v/>
      </c>
      <c r="U200" t="str">
        <f>IF(S200="","",IF(S200="[FÓRMULA MANUAL]","",IFERROR(AVERAGEIFS(nNOTA,nNIA,S200,nCUENTA,1,nASIG,"Orquesta/Banda/Conjunto"),"")))</f>
        <v/>
      </c>
      <c r="V200" t="str">
        <f>IF(S200="","",IF(S200="[FÓRMULA MANUAL]","",IFERROR(AVERAGEIFS(nNOTA,nNIA,S200,nCUENTA,1,nASIG,"Música de Cámara"),"")))</f>
        <v/>
      </c>
      <c r="W200" t="str">
        <f>IF(S200="","",IF(S200="[FÓRMULA MANUAL]","",IFERROR(SUMPRODUCT((nNIA=S200)*(nCUENTA=1)*(COUNTIF(CONFIG_ASIGNATURAS!$B$7:$B$27,nASIG)&gt;0)*(nNOTA))/SUMPRODUCT((nNIA=S200)*(nCUENTA=1)*(COUNTIF(CONFIG_ASIGNATURAS!$B$7:$B$27,nASIG)&gt;0)*1),"")))</f>
        <v/>
      </c>
      <c r="Z200" t="str">
        <f>IF(Y200="","",IF(Y200="[FÓRMULA MANUAL]","",IFERROR(AVERAGEIFS(nNOTA,nNIA,Y200,nCUENTA,1,nASIG,"Análisis"),"")))</f>
        <v/>
      </c>
      <c r="AA200" t="str">
        <f>IF(Y200="","",IF(Y200="[FÓRMULA MANUAL]","",IFERROR(AVERAGEIFS(nNOTA,nNIA,Y200,nCUENTA,1,nASIG,"Orquesta/Banda/Conjunto"),"")))</f>
        <v/>
      </c>
      <c r="AB200" t="str">
        <f>IF(Y200="","",IF(Y200="[FÓRMULA MANUAL]","",IFERROR(AVERAGEIFS(nNOTA,nNIA,Y200,nCUENTA,1,nASIG,"Música de Cámara"),"")))</f>
        <v/>
      </c>
      <c r="AC200" t="str">
        <f>IF(Y200="","",IF(Y200="[FÓRMULA MANUAL]","",IFERROR(SUMPRODUCT((nNIA=Y200)*(nCUENTA=1)*(COUNTIF(CONFIG_ASIGNATURAS!$B$7:$B$27,nASIG)&gt;0)*(nNOTA))/SUMPRODUCT((nNIA=Y200)*(nCUENTA=1)*(COUNTIF(CONFIG_ASIGNATURAS!$B$7:$B$27,nASIG)&gt;0)*1),"")))</f>
        <v/>
      </c>
      <c r="AF200" t="str">
        <f>IF(AE200="","",IF(AE200="[FÓRMULA MANUAL]","",IFERROR(AVERAGEIFS(nNOTA,nNIA,AE200,nCUENTA,1,nASIG,"Análisis"),"")))</f>
        <v/>
      </c>
      <c r="AG200" t="str">
        <f>IF(AE200="","",IF(AE200="[FÓRMULA MANUAL]","",IFERROR(AVERAGEIFS(nNOTA,nNIA,AE200,nCUENTA,1,nASIG,"Orquesta/Banda/Conjunto"),"")))</f>
        <v/>
      </c>
      <c r="AH200" t="str">
        <f>IF(AE200="","",IF(AE200="[FÓRMULA MANUAL]","",IFERROR(AVERAGEIFS(nNOTA,nNIA,AE200,nCUENTA,1,nASIG,"Música de Cámara"),"")))</f>
        <v/>
      </c>
      <c r="AI200" t="str">
        <f>IF(AE200="","",IF(AE200="[FÓRMULA MANUAL]","",IFERROR(SUMPRODUCT((nNIA=AE200)*(nCUENTA=1)*(COUNTIF(CONFIG_ASIGNATURAS!$B$7:$B$27,nASIG)&gt;0)*(nNOTA))/SUMPRODUCT((nNIA=AE200)*(nCUENTA=1)*(COUNTIF(CONFIG_ASIGNATURAS!$B$7:$B$27,nASIG)&gt;0)*1),"")))</f>
        <v/>
      </c>
    </row>
    <row r="201" spans="2:35" x14ac:dyDescent="0.2">
      <c r="B201" t="str">
        <f>IF(A201="","",IF(A201="[FÓRMULA MANUAL]","",IFERROR(AVERAGEIFS(nNOTA,nNIA,A201,nCUENTA,1,nASIG,"Lenguaje Musical"),"")))</f>
        <v/>
      </c>
      <c r="C201" t="str">
        <f>IF(A201="","",IF(A201="[FÓRMULA MANUAL]","",IFERROR(AVERAGEIFS(nNOTA,nNIA,A201,nCUENTA,1,nASIG,"Orquesta/Banda/Conjunto"),"")))</f>
        <v/>
      </c>
      <c r="D201" t="str">
        <f>IF(A201="","",IF(A201="[FÓRMULA MANUAL]","",IFERROR(AVERAGEIFS(nNOTA,nNIA,A201,nCUENTA,1,nASIG,"Conjunto"),"")))</f>
        <v/>
      </c>
      <c r="E201" t="str">
        <f>IF(A201="","",IF(A201="[FÓRMULA MANUAL]","",IFERROR(SUMPRODUCT((nNIA=A201)*(nCUENTA=1)*(COUNTIF(CONFIG_ASIGNATURAS!$B$7:$B$27,nASIG)&gt;0)*(nNOTA))/SUMPRODUCT((nNIA=A201)*(nCUENTA=1)*(COUNTIF(CONFIG_ASIGNATURAS!$B$7:$B$27,nASIG)&gt;0)*1),"")))</f>
        <v/>
      </c>
      <c r="H201" t="str">
        <f>IF(G201="","",IF(G201="[FÓRMULA MANUAL]","",IFERROR(AVERAGEIFS(nNOTA,nNIA,G201,nCUENTA,1,nASIG,"Lenguaje Musical"),"")))</f>
        <v/>
      </c>
      <c r="I201" t="str">
        <f>IF(G201="","",IF(G201="[FÓRMULA MANUAL]","",IFERROR(AVERAGEIFS(nNOTA,nNIA,G201,nCUENTA,1,nASIG,"Orquesta/Banda/Conjunto"),"")))</f>
        <v/>
      </c>
      <c r="J201" t="str">
        <f>IF(G201="","",IF(G201="[FÓRMULA MANUAL]","",IFERROR(AVERAGEIFS(nNOTA,nNIA,G201,nCUENTA,1,nASIG,"Conjunto"),"")))</f>
        <v/>
      </c>
      <c r="K201" t="str">
        <f>IF(G201="","",IF(G201="[FÓRMULA MANUAL]","",IFERROR(SUMPRODUCT((nNIA=G201)*(nCUENTA=1)*(COUNTIF(CONFIG_ASIGNATURAS!$B$7:$B$27,nASIG)&gt;0)*(nNOTA))/SUMPRODUCT((nNIA=G201)*(nCUENTA=1)*(COUNTIF(CONFIG_ASIGNATURAS!$B$7:$B$27,nASIG)&gt;0)*1),"")))</f>
        <v/>
      </c>
      <c r="N201" t="str">
        <f>IF(M201="","",IF(M201="[FÓRMULA MANUAL]","",IFERROR(AVERAGEIFS(nNOTA,nNIA,M201,nCUENTA,1,nASIG,"Armonía"),"")))</f>
        <v/>
      </c>
      <c r="O201" t="str">
        <f>IF(M201="","",IF(M201="[FÓRMULA MANUAL]","",IFERROR(AVERAGEIFS(nNOTA,nNIA,M201,nCUENTA,1,nASIG,"Orquesta/Banda/Conjunto"),"")))</f>
        <v/>
      </c>
      <c r="P201" t="str">
        <f>IF(M201="","",IF(M201="[FÓRMULA MANUAL]","",IFERROR(AVERAGEIFS(nNOTA,nNIA,M201,nCUENTA,1,nASIG,"Música de Cámara"),"")))</f>
        <v/>
      </c>
      <c r="Q201" t="str">
        <f>IF(M201="","",IF(M201="[FÓRMULA MANUAL]","",IFERROR(SUMPRODUCT((nNIA=M201)*(nCUENTA=1)*(COUNTIF(CONFIG_ASIGNATURAS!$B$7:$B$27,nASIG)&gt;0)*(nNOTA))/SUMPRODUCT((nNIA=M201)*(nCUENTA=1)*(COUNTIF(CONFIG_ASIGNATURAS!$B$7:$B$27,nASIG)&gt;0)*1),"")))</f>
        <v/>
      </c>
      <c r="T201" t="str">
        <f>IF(S201="","",IF(S201="[FÓRMULA MANUAL]","",IFERROR(AVERAGEIFS(nNOTA,nNIA,S201,nCUENTA,1,nASIG,"Armonía"),"")))</f>
        <v/>
      </c>
      <c r="U201" t="str">
        <f>IF(S201="","",IF(S201="[FÓRMULA MANUAL]","",IFERROR(AVERAGEIFS(nNOTA,nNIA,S201,nCUENTA,1,nASIG,"Orquesta/Banda/Conjunto"),"")))</f>
        <v/>
      </c>
      <c r="V201" t="str">
        <f>IF(S201="","",IF(S201="[FÓRMULA MANUAL]","",IFERROR(AVERAGEIFS(nNOTA,nNIA,S201,nCUENTA,1,nASIG,"Música de Cámara"),"")))</f>
        <v/>
      </c>
      <c r="W201" t="str">
        <f>IF(S201="","",IF(S201="[FÓRMULA MANUAL]","",IFERROR(SUMPRODUCT((nNIA=S201)*(nCUENTA=1)*(COUNTIF(CONFIG_ASIGNATURAS!$B$7:$B$27,nASIG)&gt;0)*(nNOTA))/SUMPRODUCT((nNIA=S201)*(nCUENTA=1)*(COUNTIF(CONFIG_ASIGNATURAS!$B$7:$B$27,nASIG)&gt;0)*1),"")))</f>
        <v/>
      </c>
      <c r="Z201" t="str">
        <f>IF(Y201="","",IF(Y201="[FÓRMULA MANUAL]","",IFERROR(AVERAGEIFS(nNOTA,nNIA,Y201,nCUENTA,1,nASIG,"Análisis"),"")))</f>
        <v/>
      </c>
      <c r="AA201" t="str">
        <f>IF(Y201="","",IF(Y201="[FÓRMULA MANUAL]","",IFERROR(AVERAGEIFS(nNOTA,nNIA,Y201,nCUENTA,1,nASIG,"Orquesta/Banda/Conjunto"),"")))</f>
        <v/>
      </c>
      <c r="AB201" t="str">
        <f>IF(Y201="","",IF(Y201="[FÓRMULA MANUAL]","",IFERROR(AVERAGEIFS(nNOTA,nNIA,Y201,nCUENTA,1,nASIG,"Música de Cámara"),"")))</f>
        <v/>
      </c>
      <c r="AC201" t="str">
        <f>IF(Y201="","",IF(Y201="[FÓRMULA MANUAL]","",IFERROR(SUMPRODUCT((nNIA=Y201)*(nCUENTA=1)*(COUNTIF(CONFIG_ASIGNATURAS!$B$7:$B$27,nASIG)&gt;0)*(nNOTA))/SUMPRODUCT((nNIA=Y201)*(nCUENTA=1)*(COUNTIF(CONFIG_ASIGNATURAS!$B$7:$B$27,nASIG)&gt;0)*1),"")))</f>
        <v/>
      </c>
      <c r="AF201" t="str">
        <f>IF(AE201="","",IF(AE201="[FÓRMULA MANUAL]","",IFERROR(AVERAGEIFS(nNOTA,nNIA,AE201,nCUENTA,1,nASIG,"Análisis"),"")))</f>
        <v/>
      </c>
      <c r="AG201" t="str">
        <f>IF(AE201="","",IF(AE201="[FÓRMULA MANUAL]","",IFERROR(AVERAGEIFS(nNOTA,nNIA,AE201,nCUENTA,1,nASIG,"Orquesta/Banda/Conjunto"),"")))</f>
        <v/>
      </c>
      <c r="AH201" t="str">
        <f>IF(AE201="","",IF(AE201="[FÓRMULA MANUAL]","",IFERROR(AVERAGEIFS(nNOTA,nNIA,AE201,nCUENTA,1,nASIG,"Música de Cámara"),"")))</f>
        <v/>
      </c>
      <c r="AI201" t="str">
        <f>IF(AE201="","",IF(AE201="[FÓRMULA MANUAL]","",IFERROR(SUMPRODUCT((nNIA=AE201)*(nCUENTA=1)*(COUNTIF(CONFIG_ASIGNATURAS!$B$7:$B$27,nASIG)&gt;0)*(nNOTA))/SUMPRODUCT((nNIA=AE201)*(nCUENTA=1)*(COUNTIF(CONFIG_ASIGNATURAS!$B$7:$B$27,nASIG)&gt;0)*1),"")))</f>
        <v/>
      </c>
    </row>
    <row r="202" spans="2:35" x14ac:dyDescent="0.2">
      <c r="B202" t="str">
        <f>IF(A202="","",IF(A202="[FÓRMULA MANUAL]","",IFERROR(AVERAGEIFS(nNOTA,nNIA,A202,nCUENTA,1,nASIG,"Lenguaje Musical"),"")))</f>
        <v/>
      </c>
      <c r="C202" t="str">
        <f>IF(A202="","",IF(A202="[FÓRMULA MANUAL]","",IFERROR(AVERAGEIFS(nNOTA,nNIA,A202,nCUENTA,1,nASIG,"Orquesta/Banda/Conjunto"),"")))</f>
        <v/>
      </c>
      <c r="D202" t="str">
        <f>IF(A202="","",IF(A202="[FÓRMULA MANUAL]","",IFERROR(AVERAGEIFS(nNOTA,nNIA,A202,nCUENTA,1,nASIG,"Conjunto"),"")))</f>
        <v/>
      </c>
      <c r="E202" t="str">
        <f>IF(A202="","",IF(A202="[FÓRMULA MANUAL]","",IFERROR(SUMPRODUCT((nNIA=A202)*(nCUENTA=1)*(COUNTIF(CONFIG_ASIGNATURAS!$B$7:$B$27,nASIG)&gt;0)*(nNOTA))/SUMPRODUCT((nNIA=A202)*(nCUENTA=1)*(COUNTIF(CONFIG_ASIGNATURAS!$B$7:$B$27,nASIG)&gt;0)*1),"")))</f>
        <v/>
      </c>
      <c r="H202" t="str">
        <f>IF(G202="","",IF(G202="[FÓRMULA MANUAL]","",IFERROR(AVERAGEIFS(nNOTA,nNIA,G202,nCUENTA,1,nASIG,"Lenguaje Musical"),"")))</f>
        <v/>
      </c>
      <c r="I202" t="str">
        <f>IF(G202="","",IF(G202="[FÓRMULA MANUAL]","",IFERROR(AVERAGEIFS(nNOTA,nNIA,G202,nCUENTA,1,nASIG,"Orquesta/Banda/Conjunto"),"")))</f>
        <v/>
      </c>
      <c r="J202" t="str">
        <f>IF(G202="","",IF(G202="[FÓRMULA MANUAL]","",IFERROR(AVERAGEIFS(nNOTA,nNIA,G202,nCUENTA,1,nASIG,"Conjunto"),"")))</f>
        <v/>
      </c>
      <c r="K202" t="str">
        <f>IF(G202="","",IF(G202="[FÓRMULA MANUAL]","",IFERROR(SUMPRODUCT((nNIA=G202)*(nCUENTA=1)*(COUNTIF(CONFIG_ASIGNATURAS!$B$7:$B$27,nASIG)&gt;0)*(nNOTA))/SUMPRODUCT((nNIA=G202)*(nCUENTA=1)*(COUNTIF(CONFIG_ASIGNATURAS!$B$7:$B$27,nASIG)&gt;0)*1),"")))</f>
        <v/>
      </c>
      <c r="N202" t="str">
        <f>IF(M202="","",IF(M202="[FÓRMULA MANUAL]","",IFERROR(AVERAGEIFS(nNOTA,nNIA,M202,nCUENTA,1,nASIG,"Armonía"),"")))</f>
        <v/>
      </c>
      <c r="O202" t="str">
        <f>IF(M202="","",IF(M202="[FÓRMULA MANUAL]","",IFERROR(AVERAGEIFS(nNOTA,nNIA,M202,nCUENTA,1,nASIG,"Orquesta/Banda/Conjunto"),"")))</f>
        <v/>
      </c>
      <c r="P202" t="str">
        <f>IF(M202="","",IF(M202="[FÓRMULA MANUAL]","",IFERROR(AVERAGEIFS(nNOTA,nNIA,M202,nCUENTA,1,nASIG,"Música de Cámara"),"")))</f>
        <v/>
      </c>
      <c r="Q202" t="str">
        <f>IF(M202="","",IF(M202="[FÓRMULA MANUAL]","",IFERROR(SUMPRODUCT((nNIA=M202)*(nCUENTA=1)*(COUNTIF(CONFIG_ASIGNATURAS!$B$7:$B$27,nASIG)&gt;0)*(nNOTA))/SUMPRODUCT((nNIA=M202)*(nCUENTA=1)*(COUNTIF(CONFIG_ASIGNATURAS!$B$7:$B$27,nASIG)&gt;0)*1),"")))</f>
        <v/>
      </c>
      <c r="T202" t="str">
        <f>IF(S202="","",IF(S202="[FÓRMULA MANUAL]","",IFERROR(AVERAGEIFS(nNOTA,nNIA,S202,nCUENTA,1,nASIG,"Armonía"),"")))</f>
        <v/>
      </c>
      <c r="U202" t="str">
        <f>IF(S202="","",IF(S202="[FÓRMULA MANUAL]","",IFERROR(AVERAGEIFS(nNOTA,nNIA,S202,nCUENTA,1,nASIG,"Orquesta/Banda/Conjunto"),"")))</f>
        <v/>
      </c>
      <c r="V202" t="str">
        <f>IF(S202="","",IF(S202="[FÓRMULA MANUAL]","",IFERROR(AVERAGEIFS(nNOTA,nNIA,S202,nCUENTA,1,nASIG,"Música de Cámara"),"")))</f>
        <v/>
      </c>
      <c r="W202" t="str">
        <f>IF(S202="","",IF(S202="[FÓRMULA MANUAL]","",IFERROR(SUMPRODUCT((nNIA=S202)*(nCUENTA=1)*(COUNTIF(CONFIG_ASIGNATURAS!$B$7:$B$27,nASIG)&gt;0)*(nNOTA))/SUMPRODUCT((nNIA=S202)*(nCUENTA=1)*(COUNTIF(CONFIG_ASIGNATURAS!$B$7:$B$27,nASIG)&gt;0)*1),"")))</f>
        <v/>
      </c>
      <c r="Z202" t="str">
        <f>IF(Y202="","",IF(Y202="[FÓRMULA MANUAL]","",IFERROR(AVERAGEIFS(nNOTA,nNIA,Y202,nCUENTA,1,nASIG,"Análisis"),"")))</f>
        <v/>
      </c>
      <c r="AA202" t="str">
        <f>IF(Y202="","",IF(Y202="[FÓRMULA MANUAL]","",IFERROR(AVERAGEIFS(nNOTA,nNIA,Y202,nCUENTA,1,nASIG,"Orquesta/Banda/Conjunto"),"")))</f>
        <v/>
      </c>
      <c r="AB202" t="str">
        <f>IF(Y202="","",IF(Y202="[FÓRMULA MANUAL]","",IFERROR(AVERAGEIFS(nNOTA,nNIA,Y202,nCUENTA,1,nASIG,"Música de Cámara"),"")))</f>
        <v/>
      </c>
      <c r="AC202" t="str">
        <f>IF(Y202="","",IF(Y202="[FÓRMULA MANUAL]","",IFERROR(SUMPRODUCT((nNIA=Y202)*(nCUENTA=1)*(COUNTIF(CONFIG_ASIGNATURAS!$B$7:$B$27,nASIG)&gt;0)*(nNOTA))/SUMPRODUCT((nNIA=Y202)*(nCUENTA=1)*(COUNTIF(CONFIG_ASIGNATURAS!$B$7:$B$27,nASIG)&gt;0)*1),"")))</f>
        <v/>
      </c>
      <c r="AF202" t="str">
        <f>IF(AE202="","",IF(AE202="[FÓRMULA MANUAL]","",IFERROR(AVERAGEIFS(nNOTA,nNIA,AE202,nCUENTA,1,nASIG,"Análisis"),"")))</f>
        <v/>
      </c>
      <c r="AG202" t="str">
        <f>IF(AE202="","",IF(AE202="[FÓRMULA MANUAL]","",IFERROR(AVERAGEIFS(nNOTA,nNIA,AE202,nCUENTA,1,nASIG,"Orquesta/Banda/Conjunto"),"")))</f>
        <v/>
      </c>
      <c r="AH202" t="str">
        <f>IF(AE202="","",IF(AE202="[FÓRMULA MANUAL]","",IFERROR(AVERAGEIFS(nNOTA,nNIA,AE202,nCUENTA,1,nASIG,"Música de Cámara"),"")))</f>
        <v/>
      </c>
      <c r="AI202" t="str">
        <f>IF(AE202="","",IF(AE202="[FÓRMULA MANUAL]","",IFERROR(SUMPRODUCT((nNIA=AE202)*(nCUENTA=1)*(COUNTIF(CONFIG_ASIGNATURAS!$B$7:$B$27,nASIG)&gt;0)*(nNOTA))/SUMPRODUCT((nNIA=AE202)*(nCUENTA=1)*(COUNTIF(CONFIG_ASIGNATURAS!$B$7:$B$27,nASIG)&gt;0)*1),"")))</f>
        <v/>
      </c>
    </row>
    <row r="203" spans="2:35" x14ac:dyDescent="0.2">
      <c r="B203" t="str">
        <f>IF(A203="","",IF(A203="[FÓRMULA MANUAL]","",IFERROR(AVERAGEIFS(nNOTA,nNIA,A203,nCUENTA,1,nASIG,"Lenguaje Musical"),"")))</f>
        <v/>
      </c>
      <c r="C203" t="str">
        <f>IF(A203="","",IF(A203="[FÓRMULA MANUAL]","",IFERROR(AVERAGEIFS(nNOTA,nNIA,A203,nCUENTA,1,nASIG,"Orquesta/Banda/Conjunto"),"")))</f>
        <v/>
      </c>
      <c r="D203" t="str">
        <f>IF(A203="","",IF(A203="[FÓRMULA MANUAL]","",IFERROR(AVERAGEIFS(nNOTA,nNIA,A203,nCUENTA,1,nASIG,"Conjunto"),"")))</f>
        <v/>
      </c>
      <c r="E203" t="str">
        <f>IF(A203="","",IF(A203="[FÓRMULA MANUAL]","",IFERROR(SUMPRODUCT((nNIA=A203)*(nCUENTA=1)*(COUNTIF(CONFIG_ASIGNATURAS!$B$7:$B$27,nASIG)&gt;0)*(nNOTA))/SUMPRODUCT((nNIA=A203)*(nCUENTA=1)*(COUNTIF(CONFIG_ASIGNATURAS!$B$7:$B$27,nASIG)&gt;0)*1),"")))</f>
        <v/>
      </c>
      <c r="H203" t="str">
        <f>IF(G203="","",IF(G203="[FÓRMULA MANUAL]","",IFERROR(AVERAGEIFS(nNOTA,nNIA,G203,nCUENTA,1,nASIG,"Lenguaje Musical"),"")))</f>
        <v/>
      </c>
      <c r="I203" t="str">
        <f>IF(G203="","",IF(G203="[FÓRMULA MANUAL]","",IFERROR(AVERAGEIFS(nNOTA,nNIA,G203,nCUENTA,1,nASIG,"Orquesta/Banda/Conjunto"),"")))</f>
        <v/>
      </c>
      <c r="J203" t="str">
        <f>IF(G203="","",IF(G203="[FÓRMULA MANUAL]","",IFERROR(AVERAGEIFS(nNOTA,nNIA,G203,nCUENTA,1,nASIG,"Conjunto"),"")))</f>
        <v/>
      </c>
      <c r="K203" t="str">
        <f>IF(G203="","",IF(G203="[FÓRMULA MANUAL]","",IFERROR(SUMPRODUCT((nNIA=G203)*(nCUENTA=1)*(COUNTIF(CONFIG_ASIGNATURAS!$B$7:$B$27,nASIG)&gt;0)*(nNOTA))/SUMPRODUCT((nNIA=G203)*(nCUENTA=1)*(COUNTIF(CONFIG_ASIGNATURAS!$B$7:$B$27,nASIG)&gt;0)*1),"")))</f>
        <v/>
      </c>
      <c r="N203" t="str">
        <f>IF(M203="","",IF(M203="[FÓRMULA MANUAL]","",IFERROR(AVERAGEIFS(nNOTA,nNIA,M203,nCUENTA,1,nASIG,"Armonía"),"")))</f>
        <v/>
      </c>
      <c r="O203" t="str">
        <f>IF(M203="","",IF(M203="[FÓRMULA MANUAL]","",IFERROR(AVERAGEIFS(nNOTA,nNIA,M203,nCUENTA,1,nASIG,"Orquesta/Banda/Conjunto"),"")))</f>
        <v/>
      </c>
      <c r="P203" t="str">
        <f>IF(M203="","",IF(M203="[FÓRMULA MANUAL]","",IFERROR(AVERAGEIFS(nNOTA,nNIA,M203,nCUENTA,1,nASIG,"Música de Cámara"),"")))</f>
        <v/>
      </c>
      <c r="Q203" t="str">
        <f>IF(M203="","",IF(M203="[FÓRMULA MANUAL]","",IFERROR(SUMPRODUCT((nNIA=M203)*(nCUENTA=1)*(COUNTIF(CONFIG_ASIGNATURAS!$B$7:$B$27,nASIG)&gt;0)*(nNOTA))/SUMPRODUCT((nNIA=M203)*(nCUENTA=1)*(COUNTIF(CONFIG_ASIGNATURAS!$B$7:$B$27,nASIG)&gt;0)*1),"")))</f>
        <v/>
      </c>
      <c r="T203" t="str">
        <f>IF(S203="","",IF(S203="[FÓRMULA MANUAL]","",IFERROR(AVERAGEIFS(nNOTA,nNIA,S203,nCUENTA,1,nASIG,"Armonía"),"")))</f>
        <v/>
      </c>
      <c r="U203" t="str">
        <f>IF(S203="","",IF(S203="[FÓRMULA MANUAL]","",IFERROR(AVERAGEIFS(nNOTA,nNIA,S203,nCUENTA,1,nASIG,"Orquesta/Banda/Conjunto"),"")))</f>
        <v/>
      </c>
      <c r="V203" t="str">
        <f>IF(S203="","",IF(S203="[FÓRMULA MANUAL]","",IFERROR(AVERAGEIFS(nNOTA,nNIA,S203,nCUENTA,1,nASIG,"Música de Cámara"),"")))</f>
        <v/>
      </c>
      <c r="W203" t="str">
        <f>IF(S203="","",IF(S203="[FÓRMULA MANUAL]","",IFERROR(SUMPRODUCT((nNIA=S203)*(nCUENTA=1)*(COUNTIF(CONFIG_ASIGNATURAS!$B$7:$B$27,nASIG)&gt;0)*(nNOTA))/SUMPRODUCT((nNIA=S203)*(nCUENTA=1)*(COUNTIF(CONFIG_ASIGNATURAS!$B$7:$B$27,nASIG)&gt;0)*1),"")))</f>
        <v/>
      </c>
      <c r="Z203" t="str">
        <f>IF(Y203="","",IF(Y203="[FÓRMULA MANUAL]","",IFERROR(AVERAGEIFS(nNOTA,nNIA,Y203,nCUENTA,1,nASIG,"Análisis"),"")))</f>
        <v/>
      </c>
      <c r="AA203" t="str">
        <f>IF(Y203="","",IF(Y203="[FÓRMULA MANUAL]","",IFERROR(AVERAGEIFS(nNOTA,nNIA,Y203,nCUENTA,1,nASIG,"Orquesta/Banda/Conjunto"),"")))</f>
        <v/>
      </c>
      <c r="AB203" t="str">
        <f>IF(Y203="","",IF(Y203="[FÓRMULA MANUAL]","",IFERROR(AVERAGEIFS(nNOTA,nNIA,Y203,nCUENTA,1,nASIG,"Música de Cámara"),"")))</f>
        <v/>
      </c>
      <c r="AC203" t="str">
        <f>IF(Y203="","",IF(Y203="[FÓRMULA MANUAL]","",IFERROR(SUMPRODUCT((nNIA=Y203)*(nCUENTA=1)*(COUNTIF(CONFIG_ASIGNATURAS!$B$7:$B$27,nASIG)&gt;0)*(nNOTA))/SUMPRODUCT((nNIA=Y203)*(nCUENTA=1)*(COUNTIF(CONFIG_ASIGNATURAS!$B$7:$B$27,nASIG)&gt;0)*1),"")))</f>
        <v/>
      </c>
      <c r="AF203" t="str">
        <f>IF(AE203="","",IF(AE203="[FÓRMULA MANUAL]","",IFERROR(AVERAGEIFS(nNOTA,nNIA,AE203,nCUENTA,1,nASIG,"Análisis"),"")))</f>
        <v/>
      </c>
      <c r="AG203" t="str">
        <f>IF(AE203="","",IF(AE203="[FÓRMULA MANUAL]","",IFERROR(AVERAGEIFS(nNOTA,nNIA,AE203,nCUENTA,1,nASIG,"Orquesta/Banda/Conjunto"),"")))</f>
        <v/>
      </c>
      <c r="AH203" t="str">
        <f>IF(AE203="","",IF(AE203="[FÓRMULA MANUAL]","",IFERROR(AVERAGEIFS(nNOTA,nNIA,AE203,nCUENTA,1,nASIG,"Música de Cámara"),"")))</f>
        <v/>
      </c>
      <c r="AI203" t="str">
        <f>IF(AE203="","",IF(AE203="[FÓRMULA MANUAL]","",IFERROR(SUMPRODUCT((nNIA=AE203)*(nCUENTA=1)*(COUNTIF(CONFIG_ASIGNATURAS!$B$7:$B$27,nASIG)&gt;0)*(nNOTA))/SUMPRODUCT((nNIA=AE203)*(nCUENTA=1)*(COUNTIF(CONFIG_ASIGNATURAS!$B$7:$B$27,nASIG)&gt;0)*1),"")))</f>
        <v/>
      </c>
    </row>
    <row r="204" spans="2:35" x14ac:dyDescent="0.2">
      <c r="B204" t="str">
        <f>IF(A204="","",IF(A204="[FÓRMULA MANUAL]","",IFERROR(AVERAGEIFS(nNOTA,nNIA,A204,nCUENTA,1,nASIG,"Lenguaje Musical"),"")))</f>
        <v/>
      </c>
      <c r="C204" t="str">
        <f>IF(A204="","",IF(A204="[FÓRMULA MANUAL]","",IFERROR(AVERAGEIFS(nNOTA,nNIA,A204,nCUENTA,1,nASIG,"Orquesta/Banda/Conjunto"),"")))</f>
        <v/>
      </c>
      <c r="D204" t="str">
        <f>IF(A204="","",IF(A204="[FÓRMULA MANUAL]","",IFERROR(AVERAGEIFS(nNOTA,nNIA,A204,nCUENTA,1,nASIG,"Conjunto"),"")))</f>
        <v/>
      </c>
      <c r="E204" t="str">
        <f>IF(A204="","",IF(A204="[FÓRMULA MANUAL]","",IFERROR(SUMPRODUCT((nNIA=A204)*(nCUENTA=1)*(COUNTIF(CONFIG_ASIGNATURAS!$B$7:$B$27,nASIG)&gt;0)*(nNOTA))/SUMPRODUCT((nNIA=A204)*(nCUENTA=1)*(COUNTIF(CONFIG_ASIGNATURAS!$B$7:$B$27,nASIG)&gt;0)*1),"")))</f>
        <v/>
      </c>
      <c r="H204" t="str">
        <f>IF(G204="","",IF(G204="[FÓRMULA MANUAL]","",IFERROR(AVERAGEIFS(nNOTA,nNIA,G204,nCUENTA,1,nASIG,"Lenguaje Musical"),"")))</f>
        <v/>
      </c>
      <c r="I204" t="str">
        <f>IF(G204="","",IF(G204="[FÓRMULA MANUAL]","",IFERROR(AVERAGEIFS(nNOTA,nNIA,G204,nCUENTA,1,nASIG,"Orquesta/Banda/Conjunto"),"")))</f>
        <v/>
      </c>
      <c r="J204" t="str">
        <f>IF(G204="","",IF(G204="[FÓRMULA MANUAL]","",IFERROR(AVERAGEIFS(nNOTA,nNIA,G204,nCUENTA,1,nASIG,"Conjunto"),"")))</f>
        <v/>
      </c>
      <c r="K204" t="str">
        <f>IF(G204="","",IF(G204="[FÓRMULA MANUAL]","",IFERROR(SUMPRODUCT((nNIA=G204)*(nCUENTA=1)*(COUNTIF(CONFIG_ASIGNATURAS!$B$7:$B$27,nASIG)&gt;0)*(nNOTA))/SUMPRODUCT((nNIA=G204)*(nCUENTA=1)*(COUNTIF(CONFIG_ASIGNATURAS!$B$7:$B$27,nASIG)&gt;0)*1),"")))</f>
        <v/>
      </c>
      <c r="N204" t="str">
        <f>IF(M204="","",IF(M204="[FÓRMULA MANUAL]","",IFERROR(AVERAGEIFS(nNOTA,nNIA,M204,nCUENTA,1,nASIG,"Armonía"),"")))</f>
        <v/>
      </c>
      <c r="O204" t="str">
        <f>IF(M204="","",IF(M204="[FÓRMULA MANUAL]","",IFERROR(AVERAGEIFS(nNOTA,nNIA,M204,nCUENTA,1,nASIG,"Orquesta/Banda/Conjunto"),"")))</f>
        <v/>
      </c>
      <c r="P204" t="str">
        <f>IF(M204="","",IF(M204="[FÓRMULA MANUAL]","",IFERROR(AVERAGEIFS(nNOTA,nNIA,M204,nCUENTA,1,nASIG,"Música de Cámara"),"")))</f>
        <v/>
      </c>
      <c r="Q204" t="str">
        <f>IF(M204="","",IF(M204="[FÓRMULA MANUAL]","",IFERROR(SUMPRODUCT((nNIA=M204)*(nCUENTA=1)*(COUNTIF(CONFIG_ASIGNATURAS!$B$7:$B$27,nASIG)&gt;0)*(nNOTA))/SUMPRODUCT((nNIA=M204)*(nCUENTA=1)*(COUNTIF(CONFIG_ASIGNATURAS!$B$7:$B$27,nASIG)&gt;0)*1),"")))</f>
        <v/>
      </c>
      <c r="T204" t="str">
        <f>IF(S204="","",IF(S204="[FÓRMULA MANUAL]","",IFERROR(AVERAGEIFS(nNOTA,nNIA,S204,nCUENTA,1,nASIG,"Armonía"),"")))</f>
        <v/>
      </c>
      <c r="U204" t="str">
        <f>IF(S204="","",IF(S204="[FÓRMULA MANUAL]","",IFERROR(AVERAGEIFS(nNOTA,nNIA,S204,nCUENTA,1,nASIG,"Orquesta/Banda/Conjunto"),"")))</f>
        <v/>
      </c>
      <c r="V204" t="str">
        <f>IF(S204="","",IF(S204="[FÓRMULA MANUAL]","",IFERROR(AVERAGEIFS(nNOTA,nNIA,S204,nCUENTA,1,nASIG,"Música de Cámara"),"")))</f>
        <v/>
      </c>
      <c r="W204" t="str">
        <f>IF(S204="","",IF(S204="[FÓRMULA MANUAL]","",IFERROR(SUMPRODUCT((nNIA=S204)*(nCUENTA=1)*(COUNTIF(CONFIG_ASIGNATURAS!$B$7:$B$27,nASIG)&gt;0)*(nNOTA))/SUMPRODUCT((nNIA=S204)*(nCUENTA=1)*(COUNTIF(CONFIG_ASIGNATURAS!$B$7:$B$27,nASIG)&gt;0)*1),"")))</f>
        <v/>
      </c>
      <c r="Z204" t="str">
        <f>IF(Y204="","",IF(Y204="[FÓRMULA MANUAL]","",IFERROR(AVERAGEIFS(nNOTA,nNIA,Y204,nCUENTA,1,nASIG,"Análisis"),"")))</f>
        <v/>
      </c>
      <c r="AA204" t="str">
        <f>IF(Y204="","",IF(Y204="[FÓRMULA MANUAL]","",IFERROR(AVERAGEIFS(nNOTA,nNIA,Y204,nCUENTA,1,nASIG,"Orquesta/Banda/Conjunto"),"")))</f>
        <v/>
      </c>
      <c r="AB204" t="str">
        <f>IF(Y204="","",IF(Y204="[FÓRMULA MANUAL]","",IFERROR(AVERAGEIFS(nNOTA,nNIA,Y204,nCUENTA,1,nASIG,"Música de Cámara"),"")))</f>
        <v/>
      </c>
      <c r="AC204" t="str">
        <f>IF(Y204="","",IF(Y204="[FÓRMULA MANUAL]","",IFERROR(SUMPRODUCT((nNIA=Y204)*(nCUENTA=1)*(COUNTIF(CONFIG_ASIGNATURAS!$B$7:$B$27,nASIG)&gt;0)*(nNOTA))/SUMPRODUCT((nNIA=Y204)*(nCUENTA=1)*(COUNTIF(CONFIG_ASIGNATURAS!$B$7:$B$27,nASIG)&gt;0)*1),"")))</f>
        <v/>
      </c>
      <c r="AF204" t="str">
        <f>IF(AE204="","",IF(AE204="[FÓRMULA MANUAL]","",IFERROR(AVERAGEIFS(nNOTA,nNIA,AE204,nCUENTA,1,nASIG,"Análisis"),"")))</f>
        <v/>
      </c>
      <c r="AG204" t="str">
        <f>IF(AE204="","",IF(AE204="[FÓRMULA MANUAL]","",IFERROR(AVERAGEIFS(nNOTA,nNIA,AE204,nCUENTA,1,nASIG,"Orquesta/Banda/Conjunto"),"")))</f>
        <v/>
      </c>
      <c r="AH204" t="str">
        <f>IF(AE204="","",IF(AE204="[FÓRMULA MANUAL]","",IFERROR(AVERAGEIFS(nNOTA,nNIA,AE204,nCUENTA,1,nASIG,"Música de Cámara"),"")))</f>
        <v/>
      </c>
      <c r="AI204" t="str">
        <f>IF(AE204="","",IF(AE204="[FÓRMULA MANUAL]","",IFERROR(SUMPRODUCT((nNIA=AE204)*(nCUENTA=1)*(COUNTIF(CONFIG_ASIGNATURAS!$B$7:$B$27,nASIG)&gt;0)*(nNOTA))/SUMPRODUCT((nNIA=AE204)*(nCUENTA=1)*(COUNTIF(CONFIG_ASIGNATURAS!$B$7:$B$27,nASIG)&gt;0)*1),"")))</f>
        <v/>
      </c>
    </row>
    <row r="205" spans="2:35" x14ac:dyDescent="0.2">
      <c r="B205" t="str">
        <f>IF(A205="","",IF(A205="[FÓRMULA MANUAL]","",IFERROR(AVERAGEIFS(nNOTA,nNIA,A205,nCUENTA,1,nASIG,"Lenguaje Musical"),"")))</f>
        <v/>
      </c>
      <c r="C205" t="str">
        <f>IF(A205="","",IF(A205="[FÓRMULA MANUAL]","",IFERROR(AVERAGEIFS(nNOTA,nNIA,A205,nCUENTA,1,nASIG,"Orquesta/Banda/Conjunto"),"")))</f>
        <v/>
      </c>
      <c r="D205" t="str">
        <f>IF(A205="","",IF(A205="[FÓRMULA MANUAL]","",IFERROR(AVERAGEIFS(nNOTA,nNIA,A205,nCUENTA,1,nASIG,"Conjunto"),"")))</f>
        <v/>
      </c>
      <c r="E205" t="str">
        <f>IF(A205="","",IF(A205="[FÓRMULA MANUAL]","",IFERROR(SUMPRODUCT((nNIA=A205)*(nCUENTA=1)*(COUNTIF(CONFIG_ASIGNATURAS!$B$7:$B$27,nASIG)&gt;0)*(nNOTA))/SUMPRODUCT((nNIA=A205)*(nCUENTA=1)*(COUNTIF(CONFIG_ASIGNATURAS!$B$7:$B$27,nASIG)&gt;0)*1),"")))</f>
        <v/>
      </c>
      <c r="H205" t="str">
        <f>IF(G205="","",IF(G205="[FÓRMULA MANUAL]","",IFERROR(AVERAGEIFS(nNOTA,nNIA,G205,nCUENTA,1,nASIG,"Lenguaje Musical"),"")))</f>
        <v/>
      </c>
      <c r="I205" t="str">
        <f>IF(G205="","",IF(G205="[FÓRMULA MANUAL]","",IFERROR(AVERAGEIFS(nNOTA,nNIA,G205,nCUENTA,1,nASIG,"Orquesta/Banda/Conjunto"),"")))</f>
        <v/>
      </c>
      <c r="J205" t="str">
        <f>IF(G205="","",IF(G205="[FÓRMULA MANUAL]","",IFERROR(AVERAGEIFS(nNOTA,nNIA,G205,nCUENTA,1,nASIG,"Conjunto"),"")))</f>
        <v/>
      </c>
      <c r="K205" t="str">
        <f>IF(G205="","",IF(G205="[FÓRMULA MANUAL]","",IFERROR(SUMPRODUCT((nNIA=G205)*(nCUENTA=1)*(COUNTIF(CONFIG_ASIGNATURAS!$B$7:$B$27,nASIG)&gt;0)*(nNOTA))/SUMPRODUCT((nNIA=G205)*(nCUENTA=1)*(COUNTIF(CONFIG_ASIGNATURAS!$B$7:$B$27,nASIG)&gt;0)*1),"")))</f>
        <v/>
      </c>
      <c r="N205" t="str">
        <f>IF(M205="","",IF(M205="[FÓRMULA MANUAL]","",IFERROR(AVERAGEIFS(nNOTA,nNIA,M205,nCUENTA,1,nASIG,"Armonía"),"")))</f>
        <v/>
      </c>
      <c r="O205" t="str">
        <f>IF(M205="","",IF(M205="[FÓRMULA MANUAL]","",IFERROR(AVERAGEIFS(nNOTA,nNIA,M205,nCUENTA,1,nASIG,"Orquesta/Banda/Conjunto"),"")))</f>
        <v/>
      </c>
      <c r="P205" t="str">
        <f>IF(M205="","",IF(M205="[FÓRMULA MANUAL]","",IFERROR(AVERAGEIFS(nNOTA,nNIA,M205,nCUENTA,1,nASIG,"Música de Cámara"),"")))</f>
        <v/>
      </c>
      <c r="Q205" t="str">
        <f>IF(M205="","",IF(M205="[FÓRMULA MANUAL]","",IFERROR(SUMPRODUCT((nNIA=M205)*(nCUENTA=1)*(COUNTIF(CONFIG_ASIGNATURAS!$B$7:$B$27,nASIG)&gt;0)*(nNOTA))/SUMPRODUCT((nNIA=M205)*(nCUENTA=1)*(COUNTIF(CONFIG_ASIGNATURAS!$B$7:$B$27,nASIG)&gt;0)*1),"")))</f>
        <v/>
      </c>
      <c r="T205" t="str">
        <f>IF(S205="","",IF(S205="[FÓRMULA MANUAL]","",IFERROR(AVERAGEIFS(nNOTA,nNIA,S205,nCUENTA,1,nASIG,"Armonía"),"")))</f>
        <v/>
      </c>
      <c r="U205" t="str">
        <f>IF(S205="","",IF(S205="[FÓRMULA MANUAL]","",IFERROR(AVERAGEIFS(nNOTA,nNIA,S205,nCUENTA,1,nASIG,"Orquesta/Banda/Conjunto"),"")))</f>
        <v/>
      </c>
      <c r="V205" t="str">
        <f>IF(S205="","",IF(S205="[FÓRMULA MANUAL]","",IFERROR(AVERAGEIFS(nNOTA,nNIA,S205,nCUENTA,1,nASIG,"Música de Cámara"),"")))</f>
        <v/>
      </c>
      <c r="W205" t="str">
        <f>IF(S205="","",IF(S205="[FÓRMULA MANUAL]","",IFERROR(SUMPRODUCT((nNIA=S205)*(nCUENTA=1)*(COUNTIF(CONFIG_ASIGNATURAS!$B$7:$B$27,nASIG)&gt;0)*(nNOTA))/SUMPRODUCT((nNIA=S205)*(nCUENTA=1)*(COUNTIF(CONFIG_ASIGNATURAS!$B$7:$B$27,nASIG)&gt;0)*1),"")))</f>
        <v/>
      </c>
      <c r="Z205" t="str">
        <f>IF(Y205="","",IF(Y205="[FÓRMULA MANUAL]","",IFERROR(AVERAGEIFS(nNOTA,nNIA,Y205,nCUENTA,1,nASIG,"Análisis"),"")))</f>
        <v/>
      </c>
      <c r="AA205" t="str">
        <f>IF(Y205="","",IF(Y205="[FÓRMULA MANUAL]","",IFERROR(AVERAGEIFS(nNOTA,nNIA,Y205,nCUENTA,1,nASIG,"Orquesta/Banda/Conjunto"),"")))</f>
        <v/>
      </c>
      <c r="AB205" t="str">
        <f>IF(Y205="","",IF(Y205="[FÓRMULA MANUAL]","",IFERROR(AVERAGEIFS(nNOTA,nNIA,Y205,nCUENTA,1,nASIG,"Música de Cámara"),"")))</f>
        <v/>
      </c>
      <c r="AC205" t="str">
        <f>IF(Y205="","",IF(Y205="[FÓRMULA MANUAL]","",IFERROR(SUMPRODUCT((nNIA=Y205)*(nCUENTA=1)*(COUNTIF(CONFIG_ASIGNATURAS!$B$7:$B$27,nASIG)&gt;0)*(nNOTA))/SUMPRODUCT((nNIA=Y205)*(nCUENTA=1)*(COUNTIF(CONFIG_ASIGNATURAS!$B$7:$B$27,nASIG)&gt;0)*1),"")))</f>
        <v/>
      </c>
      <c r="AF205" t="str">
        <f>IF(AE205="","",IF(AE205="[FÓRMULA MANUAL]","",IFERROR(AVERAGEIFS(nNOTA,nNIA,AE205,nCUENTA,1,nASIG,"Análisis"),"")))</f>
        <v/>
      </c>
      <c r="AG205" t="str">
        <f>IF(AE205="","",IF(AE205="[FÓRMULA MANUAL]","",IFERROR(AVERAGEIFS(nNOTA,nNIA,AE205,nCUENTA,1,nASIG,"Orquesta/Banda/Conjunto"),"")))</f>
        <v/>
      </c>
      <c r="AH205" t="str">
        <f>IF(AE205="","",IF(AE205="[FÓRMULA MANUAL]","",IFERROR(AVERAGEIFS(nNOTA,nNIA,AE205,nCUENTA,1,nASIG,"Música de Cámara"),"")))</f>
        <v/>
      </c>
      <c r="AI205" t="str">
        <f>IF(AE205="","",IF(AE205="[FÓRMULA MANUAL]","",IFERROR(SUMPRODUCT((nNIA=AE205)*(nCUENTA=1)*(COUNTIF(CONFIG_ASIGNATURAS!$B$7:$B$27,nASIG)&gt;0)*(nNOTA))/SUMPRODUCT((nNIA=AE205)*(nCUENTA=1)*(COUNTIF(CONFIG_ASIGNATURAS!$B$7:$B$27,nASIG)&gt;0)*1),"")))</f>
        <v/>
      </c>
    </row>
    <row r="206" spans="2:35" x14ac:dyDescent="0.2">
      <c r="B206" t="str">
        <f>IF(A206="","",IF(A206="[FÓRMULA MANUAL]","",IFERROR(AVERAGEIFS(nNOTA,nNIA,A206,nCUENTA,1,nASIG,"Lenguaje Musical"),"")))</f>
        <v/>
      </c>
      <c r="C206" t="str">
        <f>IF(A206="","",IF(A206="[FÓRMULA MANUAL]","",IFERROR(AVERAGEIFS(nNOTA,nNIA,A206,nCUENTA,1,nASIG,"Orquesta/Banda/Conjunto"),"")))</f>
        <v/>
      </c>
      <c r="D206" t="str">
        <f>IF(A206="","",IF(A206="[FÓRMULA MANUAL]","",IFERROR(AVERAGEIFS(nNOTA,nNIA,A206,nCUENTA,1,nASIG,"Conjunto"),"")))</f>
        <v/>
      </c>
      <c r="E206" t="str">
        <f>IF(A206="","",IF(A206="[FÓRMULA MANUAL]","",IFERROR(SUMPRODUCT((nNIA=A206)*(nCUENTA=1)*(COUNTIF(CONFIG_ASIGNATURAS!$B$7:$B$27,nASIG)&gt;0)*(nNOTA))/SUMPRODUCT((nNIA=A206)*(nCUENTA=1)*(COUNTIF(CONFIG_ASIGNATURAS!$B$7:$B$27,nASIG)&gt;0)*1),"")))</f>
        <v/>
      </c>
      <c r="H206" t="str">
        <f>IF(G206="","",IF(G206="[FÓRMULA MANUAL]","",IFERROR(AVERAGEIFS(nNOTA,nNIA,G206,nCUENTA,1,nASIG,"Lenguaje Musical"),"")))</f>
        <v/>
      </c>
      <c r="I206" t="str">
        <f>IF(G206="","",IF(G206="[FÓRMULA MANUAL]","",IFERROR(AVERAGEIFS(nNOTA,nNIA,G206,nCUENTA,1,nASIG,"Orquesta/Banda/Conjunto"),"")))</f>
        <v/>
      </c>
      <c r="J206" t="str">
        <f>IF(G206="","",IF(G206="[FÓRMULA MANUAL]","",IFERROR(AVERAGEIFS(nNOTA,nNIA,G206,nCUENTA,1,nASIG,"Conjunto"),"")))</f>
        <v/>
      </c>
      <c r="K206" t="str">
        <f>IF(G206="","",IF(G206="[FÓRMULA MANUAL]","",IFERROR(SUMPRODUCT((nNIA=G206)*(nCUENTA=1)*(COUNTIF(CONFIG_ASIGNATURAS!$B$7:$B$27,nASIG)&gt;0)*(nNOTA))/SUMPRODUCT((nNIA=G206)*(nCUENTA=1)*(COUNTIF(CONFIG_ASIGNATURAS!$B$7:$B$27,nASIG)&gt;0)*1),"")))</f>
        <v/>
      </c>
      <c r="N206" t="str">
        <f>IF(M206="","",IF(M206="[FÓRMULA MANUAL]","",IFERROR(AVERAGEIFS(nNOTA,nNIA,M206,nCUENTA,1,nASIG,"Armonía"),"")))</f>
        <v/>
      </c>
      <c r="O206" t="str">
        <f>IF(M206="","",IF(M206="[FÓRMULA MANUAL]","",IFERROR(AVERAGEIFS(nNOTA,nNIA,M206,nCUENTA,1,nASIG,"Orquesta/Banda/Conjunto"),"")))</f>
        <v/>
      </c>
      <c r="P206" t="str">
        <f>IF(M206="","",IF(M206="[FÓRMULA MANUAL]","",IFERROR(AVERAGEIFS(nNOTA,nNIA,M206,nCUENTA,1,nASIG,"Música de Cámara"),"")))</f>
        <v/>
      </c>
      <c r="Q206" t="str">
        <f>IF(M206="","",IF(M206="[FÓRMULA MANUAL]","",IFERROR(SUMPRODUCT((nNIA=M206)*(nCUENTA=1)*(COUNTIF(CONFIG_ASIGNATURAS!$B$7:$B$27,nASIG)&gt;0)*(nNOTA))/SUMPRODUCT((nNIA=M206)*(nCUENTA=1)*(COUNTIF(CONFIG_ASIGNATURAS!$B$7:$B$27,nASIG)&gt;0)*1),"")))</f>
        <v/>
      </c>
      <c r="T206" t="str">
        <f>IF(S206="","",IF(S206="[FÓRMULA MANUAL]","",IFERROR(AVERAGEIFS(nNOTA,nNIA,S206,nCUENTA,1,nASIG,"Armonía"),"")))</f>
        <v/>
      </c>
      <c r="U206" t="str">
        <f>IF(S206="","",IF(S206="[FÓRMULA MANUAL]","",IFERROR(AVERAGEIFS(nNOTA,nNIA,S206,nCUENTA,1,nASIG,"Orquesta/Banda/Conjunto"),"")))</f>
        <v/>
      </c>
      <c r="V206" t="str">
        <f>IF(S206="","",IF(S206="[FÓRMULA MANUAL]","",IFERROR(AVERAGEIFS(nNOTA,nNIA,S206,nCUENTA,1,nASIG,"Música de Cámara"),"")))</f>
        <v/>
      </c>
      <c r="W206" t="str">
        <f>IF(S206="","",IF(S206="[FÓRMULA MANUAL]","",IFERROR(SUMPRODUCT((nNIA=S206)*(nCUENTA=1)*(COUNTIF(CONFIG_ASIGNATURAS!$B$7:$B$27,nASIG)&gt;0)*(nNOTA))/SUMPRODUCT((nNIA=S206)*(nCUENTA=1)*(COUNTIF(CONFIG_ASIGNATURAS!$B$7:$B$27,nASIG)&gt;0)*1),"")))</f>
        <v/>
      </c>
      <c r="Z206" t="str">
        <f>IF(Y206="","",IF(Y206="[FÓRMULA MANUAL]","",IFERROR(AVERAGEIFS(nNOTA,nNIA,Y206,nCUENTA,1,nASIG,"Análisis"),"")))</f>
        <v/>
      </c>
      <c r="AA206" t="str">
        <f>IF(Y206="","",IF(Y206="[FÓRMULA MANUAL]","",IFERROR(AVERAGEIFS(nNOTA,nNIA,Y206,nCUENTA,1,nASIG,"Orquesta/Banda/Conjunto"),"")))</f>
        <v/>
      </c>
      <c r="AB206" t="str">
        <f>IF(Y206="","",IF(Y206="[FÓRMULA MANUAL]","",IFERROR(AVERAGEIFS(nNOTA,nNIA,Y206,nCUENTA,1,nASIG,"Música de Cámara"),"")))</f>
        <v/>
      </c>
      <c r="AC206" t="str">
        <f>IF(Y206="","",IF(Y206="[FÓRMULA MANUAL]","",IFERROR(SUMPRODUCT((nNIA=Y206)*(nCUENTA=1)*(COUNTIF(CONFIG_ASIGNATURAS!$B$7:$B$27,nASIG)&gt;0)*(nNOTA))/SUMPRODUCT((nNIA=Y206)*(nCUENTA=1)*(COUNTIF(CONFIG_ASIGNATURAS!$B$7:$B$27,nASIG)&gt;0)*1),"")))</f>
        <v/>
      </c>
      <c r="AF206" t="str">
        <f>IF(AE206="","",IF(AE206="[FÓRMULA MANUAL]","",IFERROR(AVERAGEIFS(nNOTA,nNIA,AE206,nCUENTA,1,nASIG,"Análisis"),"")))</f>
        <v/>
      </c>
      <c r="AG206" t="str">
        <f>IF(AE206="","",IF(AE206="[FÓRMULA MANUAL]","",IFERROR(AVERAGEIFS(nNOTA,nNIA,AE206,nCUENTA,1,nASIG,"Orquesta/Banda/Conjunto"),"")))</f>
        <v/>
      </c>
      <c r="AH206" t="str">
        <f>IF(AE206="","",IF(AE206="[FÓRMULA MANUAL]","",IFERROR(AVERAGEIFS(nNOTA,nNIA,AE206,nCUENTA,1,nASIG,"Música de Cámara"),"")))</f>
        <v/>
      </c>
      <c r="AI206" t="str">
        <f>IF(AE206="","",IF(AE206="[FÓRMULA MANUAL]","",IFERROR(SUMPRODUCT((nNIA=AE206)*(nCUENTA=1)*(COUNTIF(CONFIG_ASIGNATURAS!$B$7:$B$27,nASIG)&gt;0)*(nNOTA))/SUMPRODUCT((nNIA=AE206)*(nCUENTA=1)*(COUNTIF(CONFIG_ASIGNATURAS!$B$7:$B$27,nASIG)&gt;0)*1),"")))</f>
        <v/>
      </c>
    </row>
    <row r="207" spans="2:35" x14ac:dyDescent="0.2">
      <c r="B207" t="str">
        <f>IF(A207="","",IF(A207="[FÓRMULA MANUAL]","",IFERROR(AVERAGEIFS(nNOTA,nNIA,A207,nCUENTA,1,nASIG,"Lenguaje Musical"),"")))</f>
        <v/>
      </c>
      <c r="C207" t="str">
        <f>IF(A207="","",IF(A207="[FÓRMULA MANUAL]","",IFERROR(AVERAGEIFS(nNOTA,nNIA,A207,nCUENTA,1,nASIG,"Orquesta/Banda/Conjunto"),"")))</f>
        <v/>
      </c>
      <c r="D207" t="str">
        <f>IF(A207="","",IF(A207="[FÓRMULA MANUAL]","",IFERROR(AVERAGEIFS(nNOTA,nNIA,A207,nCUENTA,1,nASIG,"Conjunto"),"")))</f>
        <v/>
      </c>
      <c r="E207" t="str">
        <f>IF(A207="","",IF(A207="[FÓRMULA MANUAL]","",IFERROR(SUMPRODUCT((nNIA=A207)*(nCUENTA=1)*(COUNTIF(CONFIG_ASIGNATURAS!$B$7:$B$27,nASIG)&gt;0)*(nNOTA))/SUMPRODUCT((nNIA=A207)*(nCUENTA=1)*(COUNTIF(CONFIG_ASIGNATURAS!$B$7:$B$27,nASIG)&gt;0)*1),"")))</f>
        <v/>
      </c>
      <c r="H207" t="str">
        <f>IF(G207="","",IF(G207="[FÓRMULA MANUAL]","",IFERROR(AVERAGEIFS(nNOTA,nNIA,G207,nCUENTA,1,nASIG,"Lenguaje Musical"),"")))</f>
        <v/>
      </c>
      <c r="I207" t="str">
        <f>IF(G207="","",IF(G207="[FÓRMULA MANUAL]","",IFERROR(AVERAGEIFS(nNOTA,nNIA,G207,nCUENTA,1,nASIG,"Orquesta/Banda/Conjunto"),"")))</f>
        <v/>
      </c>
      <c r="J207" t="str">
        <f>IF(G207="","",IF(G207="[FÓRMULA MANUAL]","",IFERROR(AVERAGEIFS(nNOTA,nNIA,G207,nCUENTA,1,nASIG,"Conjunto"),"")))</f>
        <v/>
      </c>
      <c r="K207" t="str">
        <f>IF(G207="","",IF(G207="[FÓRMULA MANUAL]","",IFERROR(SUMPRODUCT((nNIA=G207)*(nCUENTA=1)*(COUNTIF(CONFIG_ASIGNATURAS!$B$7:$B$27,nASIG)&gt;0)*(nNOTA))/SUMPRODUCT((nNIA=G207)*(nCUENTA=1)*(COUNTIF(CONFIG_ASIGNATURAS!$B$7:$B$27,nASIG)&gt;0)*1),"")))</f>
        <v/>
      </c>
      <c r="N207" t="str">
        <f>IF(M207="","",IF(M207="[FÓRMULA MANUAL]","",IFERROR(AVERAGEIFS(nNOTA,nNIA,M207,nCUENTA,1,nASIG,"Armonía"),"")))</f>
        <v/>
      </c>
      <c r="O207" t="str">
        <f>IF(M207="","",IF(M207="[FÓRMULA MANUAL]","",IFERROR(AVERAGEIFS(nNOTA,nNIA,M207,nCUENTA,1,nASIG,"Orquesta/Banda/Conjunto"),"")))</f>
        <v/>
      </c>
      <c r="P207" t="str">
        <f>IF(M207="","",IF(M207="[FÓRMULA MANUAL]","",IFERROR(AVERAGEIFS(nNOTA,nNIA,M207,nCUENTA,1,nASIG,"Música de Cámara"),"")))</f>
        <v/>
      </c>
      <c r="Q207" t="str">
        <f>IF(M207="","",IF(M207="[FÓRMULA MANUAL]","",IFERROR(SUMPRODUCT((nNIA=M207)*(nCUENTA=1)*(COUNTIF(CONFIG_ASIGNATURAS!$B$7:$B$27,nASIG)&gt;0)*(nNOTA))/SUMPRODUCT((nNIA=M207)*(nCUENTA=1)*(COUNTIF(CONFIG_ASIGNATURAS!$B$7:$B$27,nASIG)&gt;0)*1),"")))</f>
        <v/>
      </c>
      <c r="T207" t="str">
        <f>IF(S207="","",IF(S207="[FÓRMULA MANUAL]","",IFERROR(AVERAGEIFS(nNOTA,nNIA,S207,nCUENTA,1,nASIG,"Armonía"),"")))</f>
        <v/>
      </c>
      <c r="U207" t="str">
        <f>IF(S207="","",IF(S207="[FÓRMULA MANUAL]","",IFERROR(AVERAGEIFS(nNOTA,nNIA,S207,nCUENTA,1,nASIG,"Orquesta/Banda/Conjunto"),"")))</f>
        <v/>
      </c>
      <c r="V207" t="str">
        <f>IF(S207="","",IF(S207="[FÓRMULA MANUAL]","",IFERROR(AVERAGEIFS(nNOTA,nNIA,S207,nCUENTA,1,nASIG,"Música de Cámara"),"")))</f>
        <v/>
      </c>
      <c r="W207" t="str">
        <f>IF(S207="","",IF(S207="[FÓRMULA MANUAL]","",IFERROR(SUMPRODUCT((nNIA=S207)*(nCUENTA=1)*(COUNTIF(CONFIG_ASIGNATURAS!$B$7:$B$27,nASIG)&gt;0)*(nNOTA))/SUMPRODUCT((nNIA=S207)*(nCUENTA=1)*(COUNTIF(CONFIG_ASIGNATURAS!$B$7:$B$27,nASIG)&gt;0)*1),"")))</f>
        <v/>
      </c>
      <c r="Z207" t="str">
        <f>IF(Y207="","",IF(Y207="[FÓRMULA MANUAL]","",IFERROR(AVERAGEIFS(nNOTA,nNIA,Y207,nCUENTA,1,nASIG,"Análisis"),"")))</f>
        <v/>
      </c>
      <c r="AA207" t="str">
        <f>IF(Y207="","",IF(Y207="[FÓRMULA MANUAL]","",IFERROR(AVERAGEIFS(nNOTA,nNIA,Y207,nCUENTA,1,nASIG,"Orquesta/Banda/Conjunto"),"")))</f>
        <v/>
      </c>
      <c r="AB207" t="str">
        <f>IF(Y207="","",IF(Y207="[FÓRMULA MANUAL]","",IFERROR(AVERAGEIFS(nNOTA,nNIA,Y207,nCUENTA,1,nASIG,"Música de Cámara"),"")))</f>
        <v/>
      </c>
      <c r="AC207" t="str">
        <f>IF(Y207="","",IF(Y207="[FÓRMULA MANUAL]","",IFERROR(SUMPRODUCT((nNIA=Y207)*(nCUENTA=1)*(COUNTIF(CONFIG_ASIGNATURAS!$B$7:$B$27,nASIG)&gt;0)*(nNOTA))/SUMPRODUCT((nNIA=Y207)*(nCUENTA=1)*(COUNTIF(CONFIG_ASIGNATURAS!$B$7:$B$27,nASIG)&gt;0)*1),"")))</f>
        <v/>
      </c>
      <c r="AF207" t="str">
        <f>IF(AE207="","",IF(AE207="[FÓRMULA MANUAL]","",IFERROR(AVERAGEIFS(nNOTA,nNIA,AE207,nCUENTA,1,nASIG,"Análisis"),"")))</f>
        <v/>
      </c>
      <c r="AG207" t="str">
        <f>IF(AE207="","",IF(AE207="[FÓRMULA MANUAL]","",IFERROR(AVERAGEIFS(nNOTA,nNIA,AE207,nCUENTA,1,nASIG,"Orquesta/Banda/Conjunto"),"")))</f>
        <v/>
      </c>
      <c r="AH207" t="str">
        <f>IF(AE207="","",IF(AE207="[FÓRMULA MANUAL]","",IFERROR(AVERAGEIFS(nNOTA,nNIA,AE207,nCUENTA,1,nASIG,"Música de Cámara"),"")))</f>
        <v/>
      </c>
      <c r="AI207" t="str">
        <f>IF(AE207="","",IF(AE207="[FÓRMULA MANUAL]","",IFERROR(SUMPRODUCT((nNIA=AE207)*(nCUENTA=1)*(COUNTIF(CONFIG_ASIGNATURAS!$B$7:$B$27,nASIG)&gt;0)*(nNOTA))/SUMPRODUCT((nNIA=AE207)*(nCUENTA=1)*(COUNTIF(CONFIG_ASIGNATURAS!$B$7:$B$27,nASIG)&gt;0)*1),"")))</f>
        <v/>
      </c>
    </row>
    <row r="208" spans="2:35" x14ac:dyDescent="0.2">
      <c r="B208" t="str">
        <f>IF(A208="","",IF(A208="[FÓRMULA MANUAL]","",IFERROR(AVERAGEIFS(nNOTA,nNIA,A208,nCUENTA,1,nASIG,"Lenguaje Musical"),"")))</f>
        <v/>
      </c>
      <c r="C208" t="str">
        <f>IF(A208="","",IF(A208="[FÓRMULA MANUAL]","",IFERROR(AVERAGEIFS(nNOTA,nNIA,A208,nCUENTA,1,nASIG,"Orquesta/Banda/Conjunto"),"")))</f>
        <v/>
      </c>
      <c r="D208" t="str">
        <f>IF(A208="","",IF(A208="[FÓRMULA MANUAL]","",IFERROR(AVERAGEIFS(nNOTA,nNIA,A208,nCUENTA,1,nASIG,"Conjunto"),"")))</f>
        <v/>
      </c>
      <c r="E208" t="str">
        <f>IF(A208="","",IF(A208="[FÓRMULA MANUAL]","",IFERROR(SUMPRODUCT((nNIA=A208)*(nCUENTA=1)*(COUNTIF(CONFIG_ASIGNATURAS!$B$7:$B$27,nASIG)&gt;0)*(nNOTA))/SUMPRODUCT((nNIA=A208)*(nCUENTA=1)*(COUNTIF(CONFIG_ASIGNATURAS!$B$7:$B$27,nASIG)&gt;0)*1),"")))</f>
        <v/>
      </c>
      <c r="H208" t="str">
        <f>IF(G208="","",IF(G208="[FÓRMULA MANUAL]","",IFERROR(AVERAGEIFS(nNOTA,nNIA,G208,nCUENTA,1,nASIG,"Lenguaje Musical"),"")))</f>
        <v/>
      </c>
      <c r="I208" t="str">
        <f>IF(G208="","",IF(G208="[FÓRMULA MANUAL]","",IFERROR(AVERAGEIFS(nNOTA,nNIA,G208,nCUENTA,1,nASIG,"Orquesta/Banda/Conjunto"),"")))</f>
        <v/>
      </c>
      <c r="J208" t="str">
        <f>IF(G208="","",IF(G208="[FÓRMULA MANUAL]","",IFERROR(AVERAGEIFS(nNOTA,nNIA,G208,nCUENTA,1,nASIG,"Conjunto"),"")))</f>
        <v/>
      </c>
      <c r="K208" t="str">
        <f>IF(G208="","",IF(G208="[FÓRMULA MANUAL]","",IFERROR(SUMPRODUCT((nNIA=G208)*(nCUENTA=1)*(COUNTIF(CONFIG_ASIGNATURAS!$B$7:$B$27,nASIG)&gt;0)*(nNOTA))/SUMPRODUCT((nNIA=G208)*(nCUENTA=1)*(COUNTIF(CONFIG_ASIGNATURAS!$B$7:$B$27,nASIG)&gt;0)*1),"")))</f>
        <v/>
      </c>
      <c r="N208" t="str">
        <f>IF(M208="","",IF(M208="[FÓRMULA MANUAL]","",IFERROR(AVERAGEIFS(nNOTA,nNIA,M208,nCUENTA,1,nASIG,"Armonía"),"")))</f>
        <v/>
      </c>
      <c r="O208" t="str">
        <f>IF(M208="","",IF(M208="[FÓRMULA MANUAL]","",IFERROR(AVERAGEIFS(nNOTA,nNIA,M208,nCUENTA,1,nASIG,"Orquesta/Banda/Conjunto"),"")))</f>
        <v/>
      </c>
      <c r="P208" t="str">
        <f>IF(M208="","",IF(M208="[FÓRMULA MANUAL]","",IFERROR(AVERAGEIFS(nNOTA,nNIA,M208,nCUENTA,1,nASIG,"Música de Cámara"),"")))</f>
        <v/>
      </c>
      <c r="Q208" t="str">
        <f>IF(M208="","",IF(M208="[FÓRMULA MANUAL]","",IFERROR(SUMPRODUCT((nNIA=M208)*(nCUENTA=1)*(COUNTIF(CONFIG_ASIGNATURAS!$B$7:$B$27,nASIG)&gt;0)*(nNOTA))/SUMPRODUCT((nNIA=M208)*(nCUENTA=1)*(COUNTIF(CONFIG_ASIGNATURAS!$B$7:$B$27,nASIG)&gt;0)*1),"")))</f>
        <v/>
      </c>
      <c r="T208" t="str">
        <f>IF(S208="","",IF(S208="[FÓRMULA MANUAL]","",IFERROR(AVERAGEIFS(nNOTA,nNIA,S208,nCUENTA,1,nASIG,"Armonía"),"")))</f>
        <v/>
      </c>
      <c r="U208" t="str">
        <f>IF(S208="","",IF(S208="[FÓRMULA MANUAL]","",IFERROR(AVERAGEIFS(nNOTA,nNIA,S208,nCUENTA,1,nASIG,"Orquesta/Banda/Conjunto"),"")))</f>
        <v/>
      </c>
      <c r="V208" t="str">
        <f>IF(S208="","",IF(S208="[FÓRMULA MANUAL]","",IFERROR(AVERAGEIFS(nNOTA,nNIA,S208,nCUENTA,1,nASIG,"Música de Cámara"),"")))</f>
        <v/>
      </c>
      <c r="W208" t="str">
        <f>IF(S208="","",IF(S208="[FÓRMULA MANUAL]","",IFERROR(SUMPRODUCT((nNIA=S208)*(nCUENTA=1)*(COUNTIF(CONFIG_ASIGNATURAS!$B$7:$B$27,nASIG)&gt;0)*(nNOTA))/SUMPRODUCT((nNIA=S208)*(nCUENTA=1)*(COUNTIF(CONFIG_ASIGNATURAS!$B$7:$B$27,nASIG)&gt;0)*1),"")))</f>
        <v/>
      </c>
      <c r="Z208" t="str">
        <f>IF(Y208="","",IF(Y208="[FÓRMULA MANUAL]","",IFERROR(AVERAGEIFS(nNOTA,nNIA,Y208,nCUENTA,1,nASIG,"Análisis"),"")))</f>
        <v/>
      </c>
      <c r="AA208" t="str">
        <f>IF(Y208="","",IF(Y208="[FÓRMULA MANUAL]","",IFERROR(AVERAGEIFS(nNOTA,nNIA,Y208,nCUENTA,1,nASIG,"Orquesta/Banda/Conjunto"),"")))</f>
        <v/>
      </c>
      <c r="AB208" t="str">
        <f>IF(Y208="","",IF(Y208="[FÓRMULA MANUAL]","",IFERROR(AVERAGEIFS(nNOTA,nNIA,Y208,nCUENTA,1,nASIG,"Música de Cámara"),"")))</f>
        <v/>
      </c>
      <c r="AC208" t="str">
        <f>IF(Y208="","",IF(Y208="[FÓRMULA MANUAL]","",IFERROR(SUMPRODUCT((nNIA=Y208)*(nCUENTA=1)*(COUNTIF(CONFIG_ASIGNATURAS!$B$7:$B$27,nASIG)&gt;0)*(nNOTA))/SUMPRODUCT((nNIA=Y208)*(nCUENTA=1)*(COUNTIF(CONFIG_ASIGNATURAS!$B$7:$B$27,nASIG)&gt;0)*1),"")))</f>
        <v/>
      </c>
      <c r="AF208" t="str">
        <f>IF(AE208="","",IF(AE208="[FÓRMULA MANUAL]","",IFERROR(AVERAGEIFS(nNOTA,nNIA,AE208,nCUENTA,1,nASIG,"Análisis"),"")))</f>
        <v/>
      </c>
      <c r="AG208" t="str">
        <f>IF(AE208="","",IF(AE208="[FÓRMULA MANUAL]","",IFERROR(AVERAGEIFS(nNOTA,nNIA,AE208,nCUENTA,1,nASIG,"Orquesta/Banda/Conjunto"),"")))</f>
        <v/>
      </c>
      <c r="AH208" t="str">
        <f>IF(AE208="","",IF(AE208="[FÓRMULA MANUAL]","",IFERROR(AVERAGEIFS(nNOTA,nNIA,AE208,nCUENTA,1,nASIG,"Música de Cámara"),"")))</f>
        <v/>
      </c>
      <c r="AI208" t="str">
        <f>IF(AE208="","",IF(AE208="[FÓRMULA MANUAL]","",IFERROR(SUMPRODUCT((nNIA=AE208)*(nCUENTA=1)*(COUNTIF(CONFIG_ASIGNATURAS!$B$7:$B$27,nASIG)&gt;0)*(nNOTA))/SUMPRODUCT((nNIA=AE208)*(nCUENTA=1)*(COUNTIF(CONFIG_ASIGNATURAS!$B$7:$B$27,nASIG)&gt;0)*1),"")))</f>
        <v/>
      </c>
    </row>
    <row r="209" spans="2:35" x14ac:dyDescent="0.2">
      <c r="B209" t="str">
        <f>IF(A209="","",IF(A209="[FÓRMULA MANUAL]","",IFERROR(AVERAGEIFS(nNOTA,nNIA,A209,nCUENTA,1,nASIG,"Lenguaje Musical"),"")))</f>
        <v/>
      </c>
      <c r="C209" t="str">
        <f>IF(A209="","",IF(A209="[FÓRMULA MANUAL]","",IFERROR(AVERAGEIFS(nNOTA,nNIA,A209,nCUENTA,1,nASIG,"Orquesta/Banda/Conjunto"),"")))</f>
        <v/>
      </c>
      <c r="D209" t="str">
        <f>IF(A209="","",IF(A209="[FÓRMULA MANUAL]","",IFERROR(AVERAGEIFS(nNOTA,nNIA,A209,nCUENTA,1,nASIG,"Conjunto"),"")))</f>
        <v/>
      </c>
      <c r="E209" t="str">
        <f>IF(A209="","",IF(A209="[FÓRMULA MANUAL]","",IFERROR(SUMPRODUCT((nNIA=A209)*(nCUENTA=1)*(COUNTIF(CONFIG_ASIGNATURAS!$B$7:$B$27,nASIG)&gt;0)*(nNOTA))/SUMPRODUCT((nNIA=A209)*(nCUENTA=1)*(COUNTIF(CONFIG_ASIGNATURAS!$B$7:$B$27,nASIG)&gt;0)*1),"")))</f>
        <v/>
      </c>
      <c r="H209" t="str">
        <f>IF(G209="","",IF(G209="[FÓRMULA MANUAL]","",IFERROR(AVERAGEIFS(nNOTA,nNIA,G209,nCUENTA,1,nASIG,"Lenguaje Musical"),"")))</f>
        <v/>
      </c>
      <c r="I209" t="str">
        <f>IF(G209="","",IF(G209="[FÓRMULA MANUAL]","",IFERROR(AVERAGEIFS(nNOTA,nNIA,G209,nCUENTA,1,nASIG,"Orquesta/Banda/Conjunto"),"")))</f>
        <v/>
      </c>
      <c r="J209" t="str">
        <f>IF(G209="","",IF(G209="[FÓRMULA MANUAL]","",IFERROR(AVERAGEIFS(nNOTA,nNIA,G209,nCUENTA,1,nASIG,"Conjunto"),"")))</f>
        <v/>
      </c>
      <c r="K209" t="str">
        <f>IF(G209="","",IF(G209="[FÓRMULA MANUAL]","",IFERROR(SUMPRODUCT((nNIA=G209)*(nCUENTA=1)*(COUNTIF(CONFIG_ASIGNATURAS!$B$7:$B$27,nASIG)&gt;0)*(nNOTA))/SUMPRODUCT((nNIA=G209)*(nCUENTA=1)*(COUNTIF(CONFIG_ASIGNATURAS!$B$7:$B$27,nASIG)&gt;0)*1),"")))</f>
        <v/>
      </c>
      <c r="N209" t="str">
        <f>IF(M209="","",IF(M209="[FÓRMULA MANUAL]","",IFERROR(AVERAGEIFS(nNOTA,nNIA,M209,nCUENTA,1,nASIG,"Armonía"),"")))</f>
        <v/>
      </c>
      <c r="O209" t="str">
        <f>IF(M209="","",IF(M209="[FÓRMULA MANUAL]","",IFERROR(AVERAGEIFS(nNOTA,nNIA,M209,nCUENTA,1,nASIG,"Orquesta/Banda/Conjunto"),"")))</f>
        <v/>
      </c>
      <c r="P209" t="str">
        <f>IF(M209="","",IF(M209="[FÓRMULA MANUAL]","",IFERROR(AVERAGEIFS(nNOTA,nNIA,M209,nCUENTA,1,nASIG,"Música de Cámara"),"")))</f>
        <v/>
      </c>
      <c r="Q209" t="str">
        <f>IF(M209="","",IF(M209="[FÓRMULA MANUAL]","",IFERROR(SUMPRODUCT((nNIA=M209)*(nCUENTA=1)*(COUNTIF(CONFIG_ASIGNATURAS!$B$7:$B$27,nASIG)&gt;0)*(nNOTA))/SUMPRODUCT((nNIA=M209)*(nCUENTA=1)*(COUNTIF(CONFIG_ASIGNATURAS!$B$7:$B$27,nASIG)&gt;0)*1),"")))</f>
        <v/>
      </c>
      <c r="T209" t="str">
        <f>IF(S209="","",IF(S209="[FÓRMULA MANUAL]","",IFERROR(AVERAGEIFS(nNOTA,nNIA,S209,nCUENTA,1,nASIG,"Armonía"),"")))</f>
        <v/>
      </c>
      <c r="U209" t="str">
        <f>IF(S209="","",IF(S209="[FÓRMULA MANUAL]","",IFERROR(AVERAGEIFS(nNOTA,nNIA,S209,nCUENTA,1,nASIG,"Orquesta/Banda/Conjunto"),"")))</f>
        <v/>
      </c>
      <c r="V209" t="str">
        <f>IF(S209="","",IF(S209="[FÓRMULA MANUAL]","",IFERROR(AVERAGEIFS(nNOTA,nNIA,S209,nCUENTA,1,nASIG,"Música de Cámara"),"")))</f>
        <v/>
      </c>
      <c r="W209" t="str">
        <f>IF(S209="","",IF(S209="[FÓRMULA MANUAL]","",IFERROR(SUMPRODUCT((nNIA=S209)*(nCUENTA=1)*(COUNTIF(CONFIG_ASIGNATURAS!$B$7:$B$27,nASIG)&gt;0)*(nNOTA))/SUMPRODUCT((nNIA=S209)*(nCUENTA=1)*(COUNTIF(CONFIG_ASIGNATURAS!$B$7:$B$27,nASIG)&gt;0)*1),"")))</f>
        <v/>
      </c>
      <c r="Z209" t="str">
        <f>IF(Y209="","",IF(Y209="[FÓRMULA MANUAL]","",IFERROR(AVERAGEIFS(nNOTA,nNIA,Y209,nCUENTA,1,nASIG,"Análisis"),"")))</f>
        <v/>
      </c>
      <c r="AA209" t="str">
        <f>IF(Y209="","",IF(Y209="[FÓRMULA MANUAL]","",IFERROR(AVERAGEIFS(nNOTA,nNIA,Y209,nCUENTA,1,nASIG,"Orquesta/Banda/Conjunto"),"")))</f>
        <v/>
      </c>
      <c r="AB209" t="str">
        <f>IF(Y209="","",IF(Y209="[FÓRMULA MANUAL]","",IFERROR(AVERAGEIFS(nNOTA,nNIA,Y209,nCUENTA,1,nASIG,"Música de Cámara"),"")))</f>
        <v/>
      </c>
      <c r="AC209" t="str">
        <f>IF(Y209="","",IF(Y209="[FÓRMULA MANUAL]","",IFERROR(SUMPRODUCT((nNIA=Y209)*(nCUENTA=1)*(COUNTIF(CONFIG_ASIGNATURAS!$B$7:$B$27,nASIG)&gt;0)*(nNOTA))/SUMPRODUCT((nNIA=Y209)*(nCUENTA=1)*(COUNTIF(CONFIG_ASIGNATURAS!$B$7:$B$27,nASIG)&gt;0)*1),"")))</f>
        <v/>
      </c>
      <c r="AF209" t="str">
        <f>IF(AE209="","",IF(AE209="[FÓRMULA MANUAL]","",IFERROR(AVERAGEIFS(nNOTA,nNIA,AE209,nCUENTA,1,nASIG,"Análisis"),"")))</f>
        <v/>
      </c>
      <c r="AG209" t="str">
        <f>IF(AE209="","",IF(AE209="[FÓRMULA MANUAL]","",IFERROR(AVERAGEIFS(nNOTA,nNIA,AE209,nCUENTA,1,nASIG,"Orquesta/Banda/Conjunto"),"")))</f>
        <v/>
      </c>
      <c r="AH209" t="str">
        <f>IF(AE209="","",IF(AE209="[FÓRMULA MANUAL]","",IFERROR(AVERAGEIFS(nNOTA,nNIA,AE209,nCUENTA,1,nASIG,"Música de Cámara"),"")))</f>
        <v/>
      </c>
      <c r="AI209" t="str">
        <f>IF(AE209="","",IF(AE209="[FÓRMULA MANUAL]","",IFERROR(SUMPRODUCT((nNIA=AE209)*(nCUENTA=1)*(COUNTIF(CONFIG_ASIGNATURAS!$B$7:$B$27,nASIG)&gt;0)*(nNOTA))/SUMPRODUCT((nNIA=AE209)*(nCUENTA=1)*(COUNTIF(CONFIG_ASIGNATURAS!$B$7:$B$27,nASIG)&gt;0)*1),"")))</f>
        <v/>
      </c>
    </row>
    <row r="210" spans="2:35" x14ac:dyDescent="0.2">
      <c r="B210" t="str">
        <f>IF(A210="","",IF(A210="[FÓRMULA MANUAL]","",IFERROR(AVERAGEIFS(nNOTA,nNIA,A210,nCUENTA,1,nASIG,"Lenguaje Musical"),"")))</f>
        <v/>
      </c>
      <c r="C210" t="str">
        <f>IF(A210="","",IF(A210="[FÓRMULA MANUAL]","",IFERROR(AVERAGEIFS(nNOTA,nNIA,A210,nCUENTA,1,nASIG,"Orquesta/Banda/Conjunto"),"")))</f>
        <v/>
      </c>
      <c r="D210" t="str">
        <f>IF(A210="","",IF(A210="[FÓRMULA MANUAL]","",IFERROR(AVERAGEIFS(nNOTA,nNIA,A210,nCUENTA,1,nASIG,"Conjunto"),"")))</f>
        <v/>
      </c>
      <c r="E210" t="str">
        <f>IF(A210="","",IF(A210="[FÓRMULA MANUAL]","",IFERROR(SUMPRODUCT((nNIA=A210)*(nCUENTA=1)*(COUNTIF(CONFIG_ASIGNATURAS!$B$7:$B$27,nASIG)&gt;0)*(nNOTA))/SUMPRODUCT((nNIA=A210)*(nCUENTA=1)*(COUNTIF(CONFIG_ASIGNATURAS!$B$7:$B$27,nASIG)&gt;0)*1),"")))</f>
        <v/>
      </c>
      <c r="H210" t="str">
        <f>IF(G210="","",IF(G210="[FÓRMULA MANUAL]","",IFERROR(AVERAGEIFS(nNOTA,nNIA,G210,nCUENTA,1,nASIG,"Lenguaje Musical"),"")))</f>
        <v/>
      </c>
      <c r="I210" t="str">
        <f>IF(G210="","",IF(G210="[FÓRMULA MANUAL]","",IFERROR(AVERAGEIFS(nNOTA,nNIA,G210,nCUENTA,1,nASIG,"Orquesta/Banda/Conjunto"),"")))</f>
        <v/>
      </c>
      <c r="J210" t="str">
        <f>IF(G210="","",IF(G210="[FÓRMULA MANUAL]","",IFERROR(AVERAGEIFS(nNOTA,nNIA,G210,nCUENTA,1,nASIG,"Conjunto"),"")))</f>
        <v/>
      </c>
      <c r="K210" t="str">
        <f>IF(G210="","",IF(G210="[FÓRMULA MANUAL]","",IFERROR(SUMPRODUCT((nNIA=G210)*(nCUENTA=1)*(COUNTIF(CONFIG_ASIGNATURAS!$B$7:$B$27,nASIG)&gt;0)*(nNOTA))/SUMPRODUCT((nNIA=G210)*(nCUENTA=1)*(COUNTIF(CONFIG_ASIGNATURAS!$B$7:$B$27,nASIG)&gt;0)*1),"")))</f>
        <v/>
      </c>
      <c r="N210" t="str">
        <f>IF(M210="","",IF(M210="[FÓRMULA MANUAL]","",IFERROR(AVERAGEIFS(nNOTA,nNIA,M210,nCUENTA,1,nASIG,"Armonía"),"")))</f>
        <v/>
      </c>
      <c r="O210" t="str">
        <f>IF(M210="","",IF(M210="[FÓRMULA MANUAL]","",IFERROR(AVERAGEIFS(nNOTA,nNIA,M210,nCUENTA,1,nASIG,"Orquesta/Banda/Conjunto"),"")))</f>
        <v/>
      </c>
      <c r="P210" t="str">
        <f>IF(M210="","",IF(M210="[FÓRMULA MANUAL]","",IFERROR(AVERAGEIFS(nNOTA,nNIA,M210,nCUENTA,1,nASIG,"Música de Cámara"),"")))</f>
        <v/>
      </c>
      <c r="Q210" t="str">
        <f>IF(M210="","",IF(M210="[FÓRMULA MANUAL]","",IFERROR(SUMPRODUCT((nNIA=M210)*(nCUENTA=1)*(COUNTIF(CONFIG_ASIGNATURAS!$B$7:$B$27,nASIG)&gt;0)*(nNOTA))/SUMPRODUCT((nNIA=M210)*(nCUENTA=1)*(COUNTIF(CONFIG_ASIGNATURAS!$B$7:$B$27,nASIG)&gt;0)*1),"")))</f>
        <v/>
      </c>
      <c r="T210" t="str">
        <f>IF(S210="","",IF(S210="[FÓRMULA MANUAL]","",IFERROR(AVERAGEIFS(nNOTA,nNIA,S210,nCUENTA,1,nASIG,"Armonía"),"")))</f>
        <v/>
      </c>
      <c r="U210" t="str">
        <f>IF(S210="","",IF(S210="[FÓRMULA MANUAL]","",IFERROR(AVERAGEIFS(nNOTA,nNIA,S210,nCUENTA,1,nASIG,"Orquesta/Banda/Conjunto"),"")))</f>
        <v/>
      </c>
      <c r="V210" t="str">
        <f>IF(S210="","",IF(S210="[FÓRMULA MANUAL]","",IFERROR(AVERAGEIFS(nNOTA,nNIA,S210,nCUENTA,1,nASIG,"Música de Cámara"),"")))</f>
        <v/>
      </c>
      <c r="W210" t="str">
        <f>IF(S210="","",IF(S210="[FÓRMULA MANUAL]","",IFERROR(SUMPRODUCT((nNIA=S210)*(nCUENTA=1)*(COUNTIF(CONFIG_ASIGNATURAS!$B$7:$B$27,nASIG)&gt;0)*(nNOTA))/SUMPRODUCT((nNIA=S210)*(nCUENTA=1)*(COUNTIF(CONFIG_ASIGNATURAS!$B$7:$B$27,nASIG)&gt;0)*1),"")))</f>
        <v/>
      </c>
      <c r="Z210" t="str">
        <f>IF(Y210="","",IF(Y210="[FÓRMULA MANUAL]","",IFERROR(AVERAGEIFS(nNOTA,nNIA,Y210,nCUENTA,1,nASIG,"Análisis"),"")))</f>
        <v/>
      </c>
      <c r="AA210" t="str">
        <f>IF(Y210="","",IF(Y210="[FÓRMULA MANUAL]","",IFERROR(AVERAGEIFS(nNOTA,nNIA,Y210,nCUENTA,1,nASIG,"Orquesta/Banda/Conjunto"),"")))</f>
        <v/>
      </c>
      <c r="AB210" t="str">
        <f>IF(Y210="","",IF(Y210="[FÓRMULA MANUAL]","",IFERROR(AVERAGEIFS(nNOTA,nNIA,Y210,nCUENTA,1,nASIG,"Música de Cámara"),"")))</f>
        <v/>
      </c>
      <c r="AC210" t="str">
        <f>IF(Y210="","",IF(Y210="[FÓRMULA MANUAL]","",IFERROR(SUMPRODUCT((nNIA=Y210)*(nCUENTA=1)*(COUNTIF(CONFIG_ASIGNATURAS!$B$7:$B$27,nASIG)&gt;0)*(nNOTA))/SUMPRODUCT((nNIA=Y210)*(nCUENTA=1)*(COUNTIF(CONFIG_ASIGNATURAS!$B$7:$B$27,nASIG)&gt;0)*1),"")))</f>
        <v/>
      </c>
      <c r="AF210" t="str">
        <f>IF(AE210="","",IF(AE210="[FÓRMULA MANUAL]","",IFERROR(AVERAGEIFS(nNOTA,nNIA,AE210,nCUENTA,1,nASIG,"Análisis"),"")))</f>
        <v/>
      </c>
      <c r="AG210" t="str">
        <f>IF(AE210="","",IF(AE210="[FÓRMULA MANUAL]","",IFERROR(AVERAGEIFS(nNOTA,nNIA,AE210,nCUENTA,1,nASIG,"Orquesta/Banda/Conjunto"),"")))</f>
        <v/>
      </c>
      <c r="AH210" t="str">
        <f>IF(AE210="","",IF(AE210="[FÓRMULA MANUAL]","",IFERROR(AVERAGEIFS(nNOTA,nNIA,AE210,nCUENTA,1,nASIG,"Música de Cámara"),"")))</f>
        <v/>
      </c>
      <c r="AI210" t="str">
        <f>IF(AE210="","",IF(AE210="[FÓRMULA MANUAL]","",IFERROR(SUMPRODUCT((nNIA=AE210)*(nCUENTA=1)*(COUNTIF(CONFIG_ASIGNATURAS!$B$7:$B$27,nASIG)&gt;0)*(nNOTA))/SUMPRODUCT((nNIA=AE210)*(nCUENTA=1)*(COUNTIF(CONFIG_ASIGNATURAS!$B$7:$B$27,nASIG)&gt;0)*1),"")))</f>
        <v/>
      </c>
    </row>
    <row r="211" spans="2:35" x14ac:dyDescent="0.2">
      <c r="B211" t="str">
        <f>IF(A211="","",IF(A211="[FÓRMULA MANUAL]","",IFERROR(AVERAGEIFS(nNOTA,nNIA,A211,nCUENTA,1,nASIG,"Lenguaje Musical"),"")))</f>
        <v/>
      </c>
      <c r="C211" t="str">
        <f>IF(A211="","",IF(A211="[FÓRMULA MANUAL]","",IFERROR(AVERAGEIFS(nNOTA,nNIA,A211,nCUENTA,1,nASIG,"Orquesta/Banda/Conjunto"),"")))</f>
        <v/>
      </c>
      <c r="D211" t="str">
        <f>IF(A211="","",IF(A211="[FÓRMULA MANUAL]","",IFERROR(AVERAGEIFS(nNOTA,nNIA,A211,nCUENTA,1,nASIG,"Conjunto"),"")))</f>
        <v/>
      </c>
      <c r="E211" t="str">
        <f>IF(A211="","",IF(A211="[FÓRMULA MANUAL]","",IFERROR(SUMPRODUCT((nNIA=A211)*(nCUENTA=1)*(COUNTIF(CONFIG_ASIGNATURAS!$B$7:$B$27,nASIG)&gt;0)*(nNOTA))/SUMPRODUCT((nNIA=A211)*(nCUENTA=1)*(COUNTIF(CONFIG_ASIGNATURAS!$B$7:$B$27,nASIG)&gt;0)*1),"")))</f>
        <v/>
      </c>
      <c r="H211" t="str">
        <f>IF(G211="","",IF(G211="[FÓRMULA MANUAL]","",IFERROR(AVERAGEIFS(nNOTA,nNIA,G211,nCUENTA,1,nASIG,"Lenguaje Musical"),"")))</f>
        <v/>
      </c>
      <c r="I211" t="str">
        <f>IF(G211="","",IF(G211="[FÓRMULA MANUAL]","",IFERROR(AVERAGEIFS(nNOTA,nNIA,G211,nCUENTA,1,nASIG,"Orquesta/Banda/Conjunto"),"")))</f>
        <v/>
      </c>
      <c r="J211" t="str">
        <f>IF(G211="","",IF(G211="[FÓRMULA MANUAL]","",IFERROR(AVERAGEIFS(nNOTA,nNIA,G211,nCUENTA,1,nASIG,"Conjunto"),"")))</f>
        <v/>
      </c>
      <c r="K211" t="str">
        <f>IF(G211="","",IF(G211="[FÓRMULA MANUAL]","",IFERROR(SUMPRODUCT((nNIA=G211)*(nCUENTA=1)*(COUNTIF(CONFIG_ASIGNATURAS!$B$7:$B$27,nASIG)&gt;0)*(nNOTA))/SUMPRODUCT((nNIA=G211)*(nCUENTA=1)*(COUNTIF(CONFIG_ASIGNATURAS!$B$7:$B$27,nASIG)&gt;0)*1),"")))</f>
        <v/>
      </c>
      <c r="N211" t="str">
        <f>IF(M211="","",IF(M211="[FÓRMULA MANUAL]","",IFERROR(AVERAGEIFS(nNOTA,nNIA,M211,nCUENTA,1,nASIG,"Armonía"),"")))</f>
        <v/>
      </c>
      <c r="O211" t="str">
        <f>IF(M211="","",IF(M211="[FÓRMULA MANUAL]","",IFERROR(AVERAGEIFS(nNOTA,nNIA,M211,nCUENTA,1,nASIG,"Orquesta/Banda/Conjunto"),"")))</f>
        <v/>
      </c>
      <c r="P211" t="str">
        <f>IF(M211="","",IF(M211="[FÓRMULA MANUAL]","",IFERROR(AVERAGEIFS(nNOTA,nNIA,M211,nCUENTA,1,nASIG,"Música de Cámara"),"")))</f>
        <v/>
      </c>
      <c r="Q211" t="str">
        <f>IF(M211="","",IF(M211="[FÓRMULA MANUAL]","",IFERROR(SUMPRODUCT((nNIA=M211)*(nCUENTA=1)*(COUNTIF(CONFIG_ASIGNATURAS!$B$7:$B$27,nASIG)&gt;0)*(nNOTA))/SUMPRODUCT((nNIA=M211)*(nCUENTA=1)*(COUNTIF(CONFIG_ASIGNATURAS!$B$7:$B$27,nASIG)&gt;0)*1),"")))</f>
        <v/>
      </c>
      <c r="T211" t="str">
        <f>IF(S211="","",IF(S211="[FÓRMULA MANUAL]","",IFERROR(AVERAGEIFS(nNOTA,nNIA,S211,nCUENTA,1,nASIG,"Armonía"),"")))</f>
        <v/>
      </c>
      <c r="U211" t="str">
        <f>IF(S211="","",IF(S211="[FÓRMULA MANUAL]","",IFERROR(AVERAGEIFS(nNOTA,nNIA,S211,nCUENTA,1,nASIG,"Orquesta/Banda/Conjunto"),"")))</f>
        <v/>
      </c>
      <c r="V211" t="str">
        <f>IF(S211="","",IF(S211="[FÓRMULA MANUAL]","",IFERROR(AVERAGEIFS(nNOTA,nNIA,S211,nCUENTA,1,nASIG,"Música de Cámara"),"")))</f>
        <v/>
      </c>
      <c r="W211" t="str">
        <f>IF(S211="","",IF(S211="[FÓRMULA MANUAL]","",IFERROR(SUMPRODUCT((nNIA=S211)*(nCUENTA=1)*(COUNTIF(CONFIG_ASIGNATURAS!$B$7:$B$27,nASIG)&gt;0)*(nNOTA))/SUMPRODUCT((nNIA=S211)*(nCUENTA=1)*(COUNTIF(CONFIG_ASIGNATURAS!$B$7:$B$27,nASIG)&gt;0)*1),"")))</f>
        <v/>
      </c>
      <c r="Z211" t="str">
        <f>IF(Y211="","",IF(Y211="[FÓRMULA MANUAL]","",IFERROR(AVERAGEIFS(nNOTA,nNIA,Y211,nCUENTA,1,nASIG,"Análisis"),"")))</f>
        <v/>
      </c>
      <c r="AA211" t="str">
        <f>IF(Y211="","",IF(Y211="[FÓRMULA MANUAL]","",IFERROR(AVERAGEIFS(nNOTA,nNIA,Y211,nCUENTA,1,nASIG,"Orquesta/Banda/Conjunto"),"")))</f>
        <v/>
      </c>
      <c r="AB211" t="str">
        <f>IF(Y211="","",IF(Y211="[FÓRMULA MANUAL]","",IFERROR(AVERAGEIFS(nNOTA,nNIA,Y211,nCUENTA,1,nASIG,"Música de Cámara"),"")))</f>
        <v/>
      </c>
      <c r="AC211" t="str">
        <f>IF(Y211="","",IF(Y211="[FÓRMULA MANUAL]","",IFERROR(SUMPRODUCT((nNIA=Y211)*(nCUENTA=1)*(COUNTIF(CONFIG_ASIGNATURAS!$B$7:$B$27,nASIG)&gt;0)*(nNOTA))/SUMPRODUCT((nNIA=Y211)*(nCUENTA=1)*(COUNTIF(CONFIG_ASIGNATURAS!$B$7:$B$27,nASIG)&gt;0)*1),"")))</f>
        <v/>
      </c>
      <c r="AF211" t="str">
        <f>IF(AE211="","",IF(AE211="[FÓRMULA MANUAL]","",IFERROR(AVERAGEIFS(nNOTA,nNIA,AE211,nCUENTA,1,nASIG,"Análisis"),"")))</f>
        <v/>
      </c>
      <c r="AG211" t="str">
        <f>IF(AE211="","",IF(AE211="[FÓRMULA MANUAL]","",IFERROR(AVERAGEIFS(nNOTA,nNIA,AE211,nCUENTA,1,nASIG,"Orquesta/Banda/Conjunto"),"")))</f>
        <v/>
      </c>
      <c r="AH211" t="str">
        <f>IF(AE211="","",IF(AE211="[FÓRMULA MANUAL]","",IFERROR(AVERAGEIFS(nNOTA,nNIA,AE211,nCUENTA,1,nASIG,"Música de Cámara"),"")))</f>
        <v/>
      </c>
      <c r="AI211" t="str">
        <f>IF(AE211="","",IF(AE211="[FÓRMULA MANUAL]","",IFERROR(SUMPRODUCT((nNIA=AE211)*(nCUENTA=1)*(COUNTIF(CONFIG_ASIGNATURAS!$B$7:$B$27,nASIG)&gt;0)*(nNOTA))/SUMPRODUCT((nNIA=AE211)*(nCUENTA=1)*(COUNTIF(CONFIG_ASIGNATURAS!$B$7:$B$27,nASIG)&gt;0)*1),"")))</f>
        <v/>
      </c>
    </row>
    <row r="212" spans="2:35" x14ac:dyDescent="0.2">
      <c r="B212" t="str">
        <f>IF(A212="","",IF(A212="[FÓRMULA MANUAL]","",IFERROR(AVERAGEIFS(nNOTA,nNIA,A212,nCUENTA,1,nASIG,"Lenguaje Musical"),"")))</f>
        <v/>
      </c>
      <c r="C212" t="str">
        <f>IF(A212="","",IF(A212="[FÓRMULA MANUAL]","",IFERROR(AVERAGEIFS(nNOTA,nNIA,A212,nCUENTA,1,nASIG,"Orquesta/Banda/Conjunto"),"")))</f>
        <v/>
      </c>
      <c r="D212" t="str">
        <f>IF(A212="","",IF(A212="[FÓRMULA MANUAL]","",IFERROR(AVERAGEIFS(nNOTA,nNIA,A212,nCUENTA,1,nASIG,"Conjunto"),"")))</f>
        <v/>
      </c>
      <c r="E212" t="str">
        <f>IF(A212="","",IF(A212="[FÓRMULA MANUAL]","",IFERROR(SUMPRODUCT((nNIA=A212)*(nCUENTA=1)*(COUNTIF(CONFIG_ASIGNATURAS!$B$7:$B$27,nASIG)&gt;0)*(nNOTA))/SUMPRODUCT((nNIA=A212)*(nCUENTA=1)*(COUNTIF(CONFIG_ASIGNATURAS!$B$7:$B$27,nASIG)&gt;0)*1),"")))</f>
        <v/>
      </c>
      <c r="H212" t="str">
        <f>IF(G212="","",IF(G212="[FÓRMULA MANUAL]","",IFERROR(AVERAGEIFS(nNOTA,nNIA,G212,nCUENTA,1,nASIG,"Lenguaje Musical"),"")))</f>
        <v/>
      </c>
      <c r="I212" t="str">
        <f>IF(G212="","",IF(G212="[FÓRMULA MANUAL]","",IFERROR(AVERAGEIFS(nNOTA,nNIA,G212,nCUENTA,1,nASIG,"Orquesta/Banda/Conjunto"),"")))</f>
        <v/>
      </c>
      <c r="J212" t="str">
        <f>IF(G212="","",IF(G212="[FÓRMULA MANUAL]","",IFERROR(AVERAGEIFS(nNOTA,nNIA,G212,nCUENTA,1,nASIG,"Conjunto"),"")))</f>
        <v/>
      </c>
      <c r="K212" t="str">
        <f>IF(G212="","",IF(G212="[FÓRMULA MANUAL]","",IFERROR(SUMPRODUCT((nNIA=G212)*(nCUENTA=1)*(COUNTIF(CONFIG_ASIGNATURAS!$B$7:$B$27,nASIG)&gt;0)*(nNOTA))/SUMPRODUCT((nNIA=G212)*(nCUENTA=1)*(COUNTIF(CONFIG_ASIGNATURAS!$B$7:$B$27,nASIG)&gt;0)*1),"")))</f>
        <v/>
      </c>
      <c r="N212" t="str">
        <f>IF(M212="","",IF(M212="[FÓRMULA MANUAL]","",IFERROR(AVERAGEIFS(nNOTA,nNIA,M212,nCUENTA,1,nASIG,"Armonía"),"")))</f>
        <v/>
      </c>
      <c r="O212" t="str">
        <f>IF(M212="","",IF(M212="[FÓRMULA MANUAL]","",IFERROR(AVERAGEIFS(nNOTA,nNIA,M212,nCUENTA,1,nASIG,"Orquesta/Banda/Conjunto"),"")))</f>
        <v/>
      </c>
      <c r="P212" t="str">
        <f>IF(M212="","",IF(M212="[FÓRMULA MANUAL]","",IFERROR(AVERAGEIFS(nNOTA,nNIA,M212,nCUENTA,1,nASIG,"Música de Cámara"),"")))</f>
        <v/>
      </c>
      <c r="Q212" t="str">
        <f>IF(M212="","",IF(M212="[FÓRMULA MANUAL]","",IFERROR(SUMPRODUCT((nNIA=M212)*(nCUENTA=1)*(COUNTIF(CONFIG_ASIGNATURAS!$B$7:$B$27,nASIG)&gt;0)*(nNOTA))/SUMPRODUCT((nNIA=M212)*(nCUENTA=1)*(COUNTIF(CONFIG_ASIGNATURAS!$B$7:$B$27,nASIG)&gt;0)*1),"")))</f>
        <v/>
      </c>
      <c r="T212" t="str">
        <f>IF(S212="","",IF(S212="[FÓRMULA MANUAL]","",IFERROR(AVERAGEIFS(nNOTA,nNIA,S212,nCUENTA,1,nASIG,"Armonía"),"")))</f>
        <v/>
      </c>
      <c r="U212" t="str">
        <f>IF(S212="","",IF(S212="[FÓRMULA MANUAL]","",IFERROR(AVERAGEIFS(nNOTA,nNIA,S212,nCUENTA,1,nASIG,"Orquesta/Banda/Conjunto"),"")))</f>
        <v/>
      </c>
      <c r="V212" t="str">
        <f>IF(S212="","",IF(S212="[FÓRMULA MANUAL]","",IFERROR(AVERAGEIFS(nNOTA,nNIA,S212,nCUENTA,1,nASIG,"Música de Cámara"),"")))</f>
        <v/>
      </c>
      <c r="W212" t="str">
        <f>IF(S212="","",IF(S212="[FÓRMULA MANUAL]","",IFERROR(SUMPRODUCT((nNIA=S212)*(nCUENTA=1)*(COUNTIF(CONFIG_ASIGNATURAS!$B$7:$B$27,nASIG)&gt;0)*(nNOTA))/SUMPRODUCT((nNIA=S212)*(nCUENTA=1)*(COUNTIF(CONFIG_ASIGNATURAS!$B$7:$B$27,nASIG)&gt;0)*1),"")))</f>
        <v/>
      </c>
      <c r="Z212" t="str">
        <f>IF(Y212="","",IF(Y212="[FÓRMULA MANUAL]","",IFERROR(AVERAGEIFS(nNOTA,nNIA,Y212,nCUENTA,1,nASIG,"Análisis"),"")))</f>
        <v/>
      </c>
      <c r="AA212" t="str">
        <f>IF(Y212="","",IF(Y212="[FÓRMULA MANUAL]","",IFERROR(AVERAGEIFS(nNOTA,nNIA,Y212,nCUENTA,1,nASIG,"Orquesta/Banda/Conjunto"),"")))</f>
        <v/>
      </c>
      <c r="AB212" t="str">
        <f>IF(Y212="","",IF(Y212="[FÓRMULA MANUAL]","",IFERROR(AVERAGEIFS(nNOTA,nNIA,Y212,nCUENTA,1,nASIG,"Música de Cámara"),"")))</f>
        <v/>
      </c>
      <c r="AC212" t="str">
        <f>IF(Y212="","",IF(Y212="[FÓRMULA MANUAL]","",IFERROR(SUMPRODUCT((nNIA=Y212)*(nCUENTA=1)*(COUNTIF(CONFIG_ASIGNATURAS!$B$7:$B$27,nASIG)&gt;0)*(nNOTA))/SUMPRODUCT((nNIA=Y212)*(nCUENTA=1)*(COUNTIF(CONFIG_ASIGNATURAS!$B$7:$B$27,nASIG)&gt;0)*1),"")))</f>
        <v/>
      </c>
      <c r="AF212" t="str">
        <f>IF(AE212="","",IF(AE212="[FÓRMULA MANUAL]","",IFERROR(AVERAGEIFS(nNOTA,nNIA,AE212,nCUENTA,1,nASIG,"Análisis"),"")))</f>
        <v/>
      </c>
      <c r="AG212" t="str">
        <f>IF(AE212="","",IF(AE212="[FÓRMULA MANUAL]","",IFERROR(AVERAGEIFS(nNOTA,nNIA,AE212,nCUENTA,1,nASIG,"Orquesta/Banda/Conjunto"),"")))</f>
        <v/>
      </c>
      <c r="AH212" t="str">
        <f>IF(AE212="","",IF(AE212="[FÓRMULA MANUAL]","",IFERROR(AVERAGEIFS(nNOTA,nNIA,AE212,nCUENTA,1,nASIG,"Música de Cámara"),"")))</f>
        <v/>
      </c>
      <c r="AI212" t="str">
        <f>IF(AE212="","",IF(AE212="[FÓRMULA MANUAL]","",IFERROR(SUMPRODUCT((nNIA=AE212)*(nCUENTA=1)*(COUNTIF(CONFIG_ASIGNATURAS!$B$7:$B$27,nASIG)&gt;0)*(nNOTA))/SUMPRODUCT((nNIA=AE212)*(nCUENTA=1)*(COUNTIF(CONFIG_ASIGNATURAS!$B$7:$B$27,nASIG)&gt;0)*1),"")))</f>
        <v/>
      </c>
    </row>
    <row r="213" spans="2:35" x14ac:dyDescent="0.2">
      <c r="B213" t="str">
        <f>IF(A213="","",IF(A213="[FÓRMULA MANUAL]","",IFERROR(AVERAGEIFS(nNOTA,nNIA,A213,nCUENTA,1,nASIG,"Lenguaje Musical"),"")))</f>
        <v/>
      </c>
      <c r="C213" t="str">
        <f>IF(A213="","",IF(A213="[FÓRMULA MANUAL]","",IFERROR(AVERAGEIFS(nNOTA,nNIA,A213,nCUENTA,1,nASIG,"Orquesta/Banda/Conjunto"),"")))</f>
        <v/>
      </c>
      <c r="D213" t="str">
        <f>IF(A213="","",IF(A213="[FÓRMULA MANUAL]","",IFERROR(AVERAGEIFS(nNOTA,nNIA,A213,nCUENTA,1,nASIG,"Conjunto"),"")))</f>
        <v/>
      </c>
      <c r="E213" t="str">
        <f>IF(A213="","",IF(A213="[FÓRMULA MANUAL]","",IFERROR(SUMPRODUCT((nNIA=A213)*(nCUENTA=1)*(COUNTIF(CONFIG_ASIGNATURAS!$B$7:$B$27,nASIG)&gt;0)*(nNOTA))/SUMPRODUCT((nNIA=A213)*(nCUENTA=1)*(COUNTIF(CONFIG_ASIGNATURAS!$B$7:$B$27,nASIG)&gt;0)*1),"")))</f>
        <v/>
      </c>
      <c r="H213" t="str">
        <f>IF(G213="","",IF(G213="[FÓRMULA MANUAL]","",IFERROR(AVERAGEIFS(nNOTA,nNIA,G213,nCUENTA,1,nASIG,"Lenguaje Musical"),"")))</f>
        <v/>
      </c>
      <c r="I213" t="str">
        <f>IF(G213="","",IF(G213="[FÓRMULA MANUAL]","",IFERROR(AVERAGEIFS(nNOTA,nNIA,G213,nCUENTA,1,nASIG,"Orquesta/Banda/Conjunto"),"")))</f>
        <v/>
      </c>
      <c r="J213" t="str">
        <f>IF(G213="","",IF(G213="[FÓRMULA MANUAL]","",IFERROR(AVERAGEIFS(nNOTA,nNIA,G213,nCUENTA,1,nASIG,"Conjunto"),"")))</f>
        <v/>
      </c>
      <c r="K213" t="str">
        <f>IF(G213="","",IF(G213="[FÓRMULA MANUAL]","",IFERROR(SUMPRODUCT((nNIA=G213)*(nCUENTA=1)*(COUNTIF(CONFIG_ASIGNATURAS!$B$7:$B$27,nASIG)&gt;0)*(nNOTA))/SUMPRODUCT((nNIA=G213)*(nCUENTA=1)*(COUNTIF(CONFIG_ASIGNATURAS!$B$7:$B$27,nASIG)&gt;0)*1),"")))</f>
        <v/>
      </c>
      <c r="N213" t="str">
        <f>IF(M213="","",IF(M213="[FÓRMULA MANUAL]","",IFERROR(AVERAGEIFS(nNOTA,nNIA,M213,nCUENTA,1,nASIG,"Armonía"),"")))</f>
        <v/>
      </c>
      <c r="O213" t="str">
        <f>IF(M213="","",IF(M213="[FÓRMULA MANUAL]","",IFERROR(AVERAGEIFS(nNOTA,nNIA,M213,nCUENTA,1,nASIG,"Orquesta/Banda/Conjunto"),"")))</f>
        <v/>
      </c>
      <c r="P213" t="str">
        <f>IF(M213="","",IF(M213="[FÓRMULA MANUAL]","",IFERROR(AVERAGEIFS(nNOTA,nNIA,M213,nCUENTA,1,nASIG,"Música de Cámara"),"")))</f>
        <v/>
      </c>
      <c r="Q213" t="str">
        <f>IF(M213="","",IF(M213="[FÓRMULA MANUAL]","",IFERROR(SUMPRODUCT((nNIA=M213)*(nCUENTA=1)*(COUNTIF(CONFIG_ASIGNATURAS!$B$7:$B$27,nASIG)&gt;0)*(nNOTA))/SUMPRODUCT((nNIA=M213)*(nCUENTA=1)*(COUNTIF(CONFIG_ASIGNATURAS!$B$7:$B$27,nASIG)&gt;0)*1),"")))</f>
        <v/>
      </c>
      <c r="T213" t="str">
        <f>IF(S213="","",IF(S213="[FÓRMULA MANUAL]","",IFERROR(AVERAGEIFS(nNOTA,nNIA,S213,nCUENTA,1,nASIG,"Armonía"),"")))</f>
        <v/>
      </c>
      <c r="U213" t="str">
        <f>IF(S213="","",IF(S213="[FÓRMULA MANUAL]","",IFERROR(AVERAGEIFS(nNOTA,nNIA,S213,nCUENTA,1,nASIG,"Orquesta/Banda/Conjunto"),"")))</f>
        <v/>
      </c>
      <c r="V213" t="str">
        <f>IF(S213="","",IF(S213="[FÓRMULA MANUAL]","",IFERROR(AVERAGEIFS(nNOTA,nNIA,S213,nCUENTA,1,nASIG,"Música de Cámara"),"")))</f>
        <v/>
      </c>
      <c r="W213" t="str">
        <f>IF(S213="","",IF(S213="[FÓRMULA MANUAL]","",IFERROR(SUMPRODUCT((nNIA=S213)*(nCUENTA=1)*(COUNTIF(CONFIG_ASIGNATURAS!$B$7:$B$27,nASIG)&gt;0)*(nNOTA))/SUMPRODUCT((nNIA=S213)*(nCUENTA=1)*(COUNTIF(CONFIG_ASIGNATURAS!$B$7:$B$27,nASIG)&gt;0)*1),"")))</f>
        <v/>
      </c>
      <c r="Z213" t="str">
        <f>IF(Y213="","",IF(Y213="[FÓRMULA MANUAL]","",IFERROR(AVERAGEIFS(nNOTA,nNIA,Y213,nCUENTA,1,nASIG,"Análisis"),"")))</f>
        <v/>
      </c>
      <c r="AA213" t="str">
        <f>IF(Y213="","",IF(Y213="[FÓRMULA MANUAL]","",IFERROR(AVERAGEIFS(nNOTA,nNIA,Y213,nCUENTA,1,nASIG,"Orquesta/Banda/Conjunto"),"")))</f>
        <v/>
      </c>
      <c r="AB213" t="str">
        <f>IF(Y213="","",IF(Y213="[FÓRMULA MANUAL]","",IFERROR(AVERAGEIFS(nNOTA,nNIA,Y213,nCUENTA,1,nASIG,"Música de Cámara"),"")))</f>
        <v/>
      </c>
      <c r="AC213" t="str">
        <f>IF(Y213="","",IF(Y213="[FÓRMULA MANUAL]","",IFERROR(SUMPRODUCT((nNIA=Y213)*(nCUENTA=1)*(COUNTIF(CONFIG_ASIGNATURAS!$B$7:$B$27,nASIG)&gt;0)*(nNOTA))/SUMPRODUCT((nNIA=Y213)*(nCUENTA=1)*(COUNTIF(CONFIG_ASIGNATURAS!$B$7:$B$27,nASIG)&gt;0)*1),"")))</f>
        <v/>
      </c>
      <c r="AF213" t="str">
        <f>IF(AE213="","",IF(AE213="[FÓRMULA MANUAL]","",IFERROR(AVERAGEIFS(nNOTA,nNIA,AE213,nCUENTA,1,nASIG,"Análisis"),"")))</f>
        <v/>
      </c>
      <c r="AG213" t="str">
        <f>IF(AE213="","",IF(AE213="[FÓRMULA MANUAL]","",IFERROR(AVERAGEIFS(nNOTA,nNIA,AE213,nCUENTA,1,nASIG,"Orquesta/Banda/Conjunto"),"")))</f>
        <v/>
      </c>
      <c r="AH213" t="str">
        <f>IF(AE213="","",IF(AE213="[FÓRMULA MANUAL]","",IFERROR(AVERAGEIFS(nNOTA,nNIA,AE213,nCUENTA,1,nASIG,"Música de Cámara"),"")))</f>
        <v/>
      </c>
      <c r="AI213" t="str">
        <f>IF(AE213="","",IF(AE213="[FÓRMULA MANUAL]","",IFERROR(SUMPRODUCT((nNIA=AE213)*(nCUENTA=1)*(COUNTIF(CONFIG_ASIGNATURAS!$B$7:$B$27,nASIG)&gt;0)*(nNOTA))/SUMPRODUCT((nNIA=AE213)*(nCUENTA=1)*(COUNTIF(CONFIG_ASIGNATURAS!$B$7:$B$27,nASIG)&gt;0)*1),"")))</f>
        <v/>
      </c>
    </row>
    <row r="214" spans="2:35" x14ac:dyDescent="0.2">
      <c r="B214" t="str">
        <f>IF(A214="","",IF(A214="[FÓRMULA MANUAL]","",IFERROR(AVERAGEIFS(nNOTA,nNIA,A214,nCUENTA,1,nASIG,"Lenguaje Musical"),"")))</f>
        <v/>
      </c>
      <c r="C214" t="str">
        <f>IF(A214="","",IF(A214="[FÓRMULA MANUAL]","",IFERROR(AVERAGEIFS(nNOTA,nNIA,A214,nCUENTA,1,nASIG,"Orquesta/Banda/Conjunto"),"")))</f>
        <v/>
      </c>
      <c r="D214" t="str">
        <f>IF(A214="","",IF(A214="[FÓRMULA MANUAL]","",IFERROR(AVERAGEIFS(nNOTA,nNIA,A214,nCUENTA,1,nASIG,"Conjunto"),"")))</f>
        <v/>
      </c>
      <c r="E214" t="str">
        <f>IF(A214="","",IF(A214="[FÓRMULA MANUAL]","",IFERROR(SUMPRODUCT((nNIA=A214)*(nCUENTA=1)*(COUNTIF(CONFIG_ASIGNATURAS!$B$7:$B$27,nASIG)&gt;0)*(nNOTA))/SUMPRODUCT((nNIA=A214)*(nCUENTA=1)*(COUNTIF(CONFIG_ASIGNATURAS!$B$7:$B$27,nASIG)&gt;0)*1),"")))</f>
        <v/>
      </c>
      <c r="H214" t="str">
        <f>IF(G214="","",IF(G214="[FÓRMULA MANUAL]","",IFERROR(AVERAGEIFS(nNOTA,nNIA,G214,nCUENTA,1,nASIG,"Lenguaje Musical"),"")))</f>
        <v/>
      </c>
      <c r="I214" t="str">
        <f>IF(G214="","",IF(G214="[FÓRMULA MANUAL]","",IFERROR(AVERAGEIFS(nNOTA,nNIA,G214,nCUENTA,1,nASIG,"Orquesta/Banda/Conjunto"),"")))</f>
        <v/>
      </c>
      <c r="J214" t="str">
        <f>IF(G214="","",IF(G214="[FÓRMULA MANUAL]","",IFERROR(AVERAGEIFS(nNOTA,nNIA,G214,nCUENTA,1,nASIG,"Conjunto"),"")))</f>
        <v/>
      </c>
      <c r="K214" t="str">
        <f>IF(G214="","",IF(G214="[FÓRMULA MANUAL]","",IFERROR(SUMPRODUCT((nNIA=G214)*(nCUENTA=1)*(COUNTIF(CONFIG_ASIGNATURAS!$B$7:$B$27,nASIG)&gt;0)*(nNOTA))/SUMPRODUCT((nNIA=G214)*(nCUENTA=1)*(COUNTIF(CONFIG_ASIGNATURAS!$B$7:$B$27,nASIG)&gt;0)*1),"")))</f>
        <v/>
      </c>
      <c r="N214" t="str">
        <f>IF(M214="","",IF(M214="[FÓRMULA MANUAL]","",IFERROR(AVERAGEIFS(nNOTA,nNIA,M214,nCUENTA,1,nASIG,"Armonía"),"")))</f>
        <v/>
      </c>
      <c r="O214" t="str">
        <f>IF(M214="","",IF(M214="[FÓRMULA MANUAL]","",IFERROR(AVERAGEIFS(nNOTA,nNIA,M214,nCUENTA,1,nASIG,"Orquesta/Banda/Conjunto"),"")))</f>
        <v/>
      </c>
      <c r="P214" t="str">
        <f>IF(M214="","",IF(M214="[FÓRMULA MANUAL]","",IFERROR(AVERAGEIFS(nNOTA,nNIA,M214,nCUENTA,1,nASIG,"Música de Cámara"),"")))</f>
        <v/>
      </c>
      <c r="Q214" t="str">
        <f>IF(M214="","",IF(M214="[FÓRMULA MANUAL]","",IFERROR(SUMPRODUCT((nNIA=M214)*(nCUENTA=1)*(COUNTIF(CONFIG_ASIGNATURAS!$B$7:$B$27,nASIG)&gt;0)*(nNOTA))/SUMPRODUCT((nNIA=M214)*(nCUENTA=1)*(COUNTIF(CONFIG_ASIGNATURAS!$B$7:$B$27,nASIG)&gt;0)*1),"")))</f>
        <v/>
      </c>
      <c r="T214" t="str">
        <f>IF(S214="","",IF(S214="[FÓRMULA MANUAL]","",IFERROR(AVERAGEIFS(nNOTA,nNIA,S214,nCUENTA,1,nASIG,"Armonía"),"")))</f>
        <v/>
      </c>
      <c r="U214" t="str">
        <f>IF(S214="","",IF(S214="[FÓRMULA MANUAL]","",IFERROR(AVERAGEIFS(nNOTA,nNIA,S214,nCUENTA,1,nASIG,"Orquesta/Banda/Conjunto"),"")))</f>
        <v/>
      </c>
      <c r="V214" t="str">
        <f>IF(S214="","",IF(S214="[FÓRMULA MANUAL]","",IFERROR(AVERAGEIFS(nNOTA,nNIA,S214,nCUENTA,1,nASIG,"Música de Cámara"),"")))</f>
        <v/>
      </c>
      <c r="W214" t="str">
        <f>IF(S214="","",IF(S214="[FÓRMULA MANUAL]","",IFERROR(SUMPRODUCT((nNIA=S214)*(nCUENTA=1)*(COUNTIF(CONFIG_ASIGNATURAS!$B$7:$B$27,nASIG)&gt;0)*(nNOTA))/SUMPRODUCT((nNIA=S214)*(nCUENTA=1)*(COUNTIF(CONFIG_ASIGNATURAS!$B$7:$B$27,nASIG)&gt;0)*1),"")))</f>
        <v/>
      </c>
      <c r="Z214" t="str">
        <f>IF(Y214="","",IF(Y214="[FÓRMULA MANUAL]","",IFERROR(AVERAGEIFS(nNOTA,nNIA,Y214,nCUENTA,1,nASIG,"Análisis"),"")))</f>
        <v/>
      </c>
      <c r="AA214" t="str">
        <f>IF(Y214="","",IF(Y214="[FÓRMULA MANUAL]","",IFERROR(AVERAGEIFS(nNOTA,nNIA,Y214,nCUENTA,1,nASIG,"Orquesta/Banda/Conjunto"),"")))</f>
        <v/>
      </c>
      <c r="AB214" t="str">
        <f>IF(Y214="","",IF(Y214="[FÓRMULA MANUAL]","",IFERROR(AVERAGEIFS(nNOTA,nNIA,Y214,nCUENTA,1,nASIG,"Música de Cámara"),"")))</f>
        <v/>
      </c>
      <c r="AC214" t="str">
        <f>IF(Y214="","",IF(Y214="[FÓRMULA MANUAL]","",IFERROR(SUMPRODUCT((nNIA=Y214)*(nCUENTA=1)*(COUNTIF(CONFIG_ASIGNATURAS!$B$7:$B$27,nASIG)&gt;0)*(nNOTA))/SUMPRODUCT((nNIA=Y214)*(nCUENTA=1)*(COUNTIF(CONFIG_ASIGNATURAS!$B$7:$B$27,nASIG)&gt;0)*1),"")))</f>
        <v/>
      </c>
      <c r="AF214" t="str">
        <f>IF(AE214="","",IF(AE214="[FÓRMULA MANUAL]","",IFERROR(AVERAGEIFS(nNOTA,nNIA,AE214,nCUENTA,1,nASIG,"Análisis"),"")))</f>
        <v/>
      </c>
      <c r="AG214" t="str">
        <f>IF(AE214="","",IF(AE214="[FÓRMULA MANUAL]","",IFERROR(AVERAGEIFS(nNOTA,nNIA,AE214,nCUENTA,1,nASIG,"Orquesta/Banda/Conjunto"),"")))</f>
        <v/>
      </c>
      <c r="AH214" t="str">
        <f>IF(AE214="","",IF(AE214="[FÓRMULA MANUAL]","",IFERROR(AVERAGEIFS(nNOTA,nNIA,AE214,nCUENTA,1,nASIG,"Música de Cámara"),"")))</f>
        <v/>
      </c>
      <c r="AI214" t="str">
        <f>IF(AE214="","",IF(AE214="[FÓRMULA MANUAL]","",IFERROR(SUMPRODUCT((nNIA=AE214)*(nCUENTA=1)*(COUNTIF(CONFIG_ASIGNATURAS!$B$7:$B$27,nASIG)&gt;0)*(nNOTA))/SUMPRODUCT((nNIA=AE214)*(nCUENTA=1)*(COUNTIF(CONFIG_ASIGNATURAS!$B$7:$B$27,nASIG)&gt;0)*1),"")))</f>
        <v/>
      </c>
    </row>
    <row r="215" spans="2:35" x14ac:dyDescent="0.2">
      <c r="B215" t="str">
        <f>IF(A215="","",IF(A215="[FÓRMULA MANUAL]","",IFERROR(AVERAGEIFS(nNOTA,nNIA,A215,nCUENTA,1,nASIG,"Lenguaje Musical"),"")))</f>
        <v/>
      </c>
      <c r="C215" t="str">
        <f>IF(A215="","",IF(A215="[FÓRMULA MANUAL]","",IFERROR(AVERAGEIFS(nNOTA,nNIA,A215,nCUENTA,1,nASIG,"Orquesta/Banda/Conjunto"),"")))</f>
        <v/>
      </c>
      <c r="D215" t="str">
        <f>IF(A215="","",IF(A215="[FÓRMULA MANUAL]","",IFERROR(AVERAGEIFS(nNOTA,nNIA,A215,nCUENTA,1,nASIG,"Conjunto"),"")))</f>
        <v/>
      </c>
      <c r="E215" t="str">
        <f>IF(A215="","",IF(A215="[FÓRMULA MANUAL]","",IFERROR(SUMPRODUCT((nNIA=A215)*(nCUENTA=1)*(COUNTIF(CONFIG_ASIGNATURAS!$B$7:$B$27,nASIG)&gt;0)*(nNOTA))/SUMPRODUCT((nNIA=A215)*(nCUENTA=1)*(COUNTIF(CONFIG_ASIGNATURAS!$B$7:$B$27,nASIG)&gt;0)*1),"")))</f>
        <v/>
      </c>
      <c r="H215" t="str">
        <f>IF(G215="","",IF(G215="[FÓRMULA MANUAL]","",IFERROR(AVERAGEIFS(nNOTA,nNIA,G215,nCUENTA,1,nASIG,"Lenguaje Musical"),"")))</f>
        <v/>
      </c>
      <c r="I215" t="str">
        <f>IF(G215="","",IF(G215="[FÓRMULA MANUAL]","",IFERROR(AVERAGEIFS(nNOTA,nNIA,G215,nCUENTA,1,nASIG,"Orquesta/Banda/Conjunto"),"")))</f>
        <v/>
      </c>
      <c r="J215" t="str">
        <f>IF(G215="","",IF(G215="[FÓRMULA MANUAL]","",IFERROR(AVERAGEIFS(nNOTA,nNIA,G215,nCUENTA,1,nASIG,"Conjunto"),"")))</f>
        <v/>
      </c>
      <c r="K215" t="str">
        <f>IF(G215="","",IF(G215="[FÓRMULA MANUAL]","",IFERROR(SUMPRODUCT((nNIA=G215)*(nCUENTA=1)*(COUNTIF(CONFIG_ASIGNATURAS!$B$7:$B$27,nASIG)&gt;0)*(nNOTA))/SUMPRODUCT((nNIA=G215)*(nCUENTA=1)*(COUNTIF(CONFIG_ASIGNATURAS!$B$7:$B$27,nASIG)&gt;0)*1),"")))</f>
        <v/>
      </c>
      <c r="N215" t="str">
        <f>IF(M215="","",IF(M215="[FÓRMULA MANUAL]","",IFERROR(AVERAGEIFS(nNOTA,nNIA,M215,nCUENTA,1,nASIG,"Armonía"),"")))</f>
        <v/>
      </c>
      <c r="O215" t="str">
        <f>IF(M215="","",IF(M215="[FÓRMULA MANUAL]","",IFERROR(AVERAGEIFS(nNOTA,nNIA,M215,nCUENTA,1,nASIG,"Orquesta/Banda/Conjunto"),"")))</f>
        <v/>
      </c>
      <c r="P215" t="str">
        <f>IF(M215="","",IF(M215="[FÓRMULA MANUAL]","",IFERROR(AVERAGEIFS(nNOTA,nNIA,M215,nCUENTA,1,nASIG,"Música de Cámara"),"")))</f>
        <v/>
      </c>
      <c r="Q215" t="str">
        <f>IF(M215="","",IF(M215="[FÓRMULA MANUAL]","",IFERROR(SUMPRODUCT((nNIA=M215)*(nCUENTA=1)*(COUNTIF(CONFIG_ASIGNATURAS!$B$7:$B$27,nASIG)&gt;0)*(nNOTA))/SUMPRODUCT((nNIA=M215)*(nCUENTA=1)*(COUNTIF(CONFIG_ASIGNATURAS!$B$7:$B$27,nASIG)&gt;0)*1),"")))</f>
        <v/>
      </c>
      <c r="T215" t="str">
        <f>IF(S215="","",IF(S215="[FÓRMULA MANUAL]","",IFERROR(AVERAGEIFS(nNOTA,nNIA,S215,nCUENTA,1,nASIG,"Armonía"),"")))</f>
        <v/>
      </c>
      <c r="U215" t="str">
        <f>IF(S215="","",IF(S215="[FÓRMULA MANUAL]","",IFERROR(AVERAGEIFS(nNOTA,nNIA,S215,nCUENTA,1,nASIG,"Orquesta/Banda/Conjunto"),"")))</f>
        <v/>
      </c>
      <c r="V215" t="str">
        <f>IF(S215="","",IF(S215="[FÓRMULA MANUAL]","",IFERROR(AVERAGEIFS(nNOTA,nNIA,S215,nCUENTA,1,nASIG,"Música de Cámara"),"")))</f>
        <v/>
      </c>
      <c r="W215" t="str">
        <f>IF(S215="","",IF(S215="[FÓRMULA MANUAL]","",IFERROR(SUMPRODUCT((nNIA=S215)*(nCUENTA=1)*(COUNTIF(CONFIG_ASIGNATURAS!$B$7:$B$27,nASIG)&gt;0)*(nNOTA))/SUMPRODUCT((nNIA=S215)*(nCUENTA=1)*(COUNTIF(CONFIG_ASIGNATURAS!$B$7:$B$27,nASIG)&gt;0)*1),"")))</f>
        <v/>
      </c>
      <c r="Z215" t="str">
        <f>IF(Y215="","",IF(Y215="[FÓRMULA MANUAL]","",IFERROR(AVERAGEIFS(nNOTA,nNIA,Y215,nCUENTA,1,nASIG,"Análisis"),"")))</f>
        <v/>
      </c>
      <c r="AA215" t="str">
        <f>IF(Y215="","",IF(Y215="[FÓRMULA MANUAL]","",IFERROR(AVERAGEIFS(nNOTA,nNIA,Y215,nCUENTA,1,nASIG,"Orquesta/Banda/Conjunto"),"")))</f>
        <v/>
      </c>
      <c r="AB215" t="str">
        <f>IF(Y215="","",IF(Y215="[FÓRMULA MANUAL]","",IFERROR(AVERAGEIFS(nNOTA,nNIA,Y215,nCUENTA,1,nASIG,"Música de Cámara"),"")))</f>
        <v/>
      </c>
      <c r="AC215" t="str">
        <f>IF(Y215="","",IF(Y215="[FÓRMULA MANUAL]","",IFERROR(SUMPRODUCT((nNIA=Y215)*(nCUENTA=1)*(COUNTIF(CONFIG_ASIGNATURAS!$B$7:$B$27,nASIG)&gt;0)*(nNOTA))/SUMPRODUCT((nNIA=Y215)*(nCUENTA=1)*(COUNTIF(CONFIG_ASIGNATURAS!$B$7:$B$27,nASIG)&gt;0)*1),"")))</f>
        <v/>
      </c>
      <c r="AF215" t="str">
        <f>IF(AE215="","",IF(AE215="[FÓRMULA MANUAL]","",IFERROR(AVERAGEIFS(nNOTA,nNIA,AE215,nCUENTA,1,nASIG,"Análisis"),"")))</f>
        <v/>
      </c>
      <c r="AG215" t="str">
        <f>IF(AE215="","",IF(AE215="[FÓRMULA MANUAL]","",IFERROR(AVERAGEIFS(nNOTA,nNIA,AE215,nCUENTA,1,nASIG,"Orquesta/Banda/Conjunto"),"")))</f>
        <v/>
      </c>
      <c r="AH215" t="str">
        <f>IF(AE215="","",IF(AE215="[FÓRMULA MANUAL]","",IFERROR(AVERAGEIFS(nNOTA,nNIA,AE215,nCUENTA,1,nASIG,"Música de Cámara"),"")))</f>
        <v/>
      </c>
      <c r="AI215" t="str">
        <f>IF(AE215="","",IF(AE215="[FÓRMULA MANUAL]","",IFERROR(SUMPRODUCT((nNIA=AE215)*(nCUENTA=1)*(COUNTIF(CONFIG_ASIGNATURAS!$B$7:$B$27,nASIG)&gt;0)*(nNOTA))/SUMPRODUCT((nNIA=AE215)*(nCUENTA=1)*(COUNTIF(CONFIG_ASIGNATURAS!$B$7:$B$27,nASIG)&gt;0)*1),"")))</f>
        <v/>
      </c>
    </row>
    <row r="216" spans="2:35" x14ac:dyDescent="0.2">
      <c r="B216" t="str">
        <f>IF(A216="","",IF(A216="[FÓRMULA MANUAL]","",IFERROR(AVERAGEIFS(nNOTA,nNIA,A216,nCUENTA,1,nASIG,"Lenguaje Musical"),"")))</f>
        <v/>
      </c>
      <c r="C216" t="str">
        <f>IF(A216="","",IF(A216="[FÓRMULA MANUAL]","",IFERROR(AVERAGEIFS(nNOTA,nNIA,A216,nCUENTA,1,nASIG,"Orquesta/Banda/Conjunto"),"")))</f>
        <v/>
      </c>
      <c r="D216" t="str">
        <f>IF(A216="","",IF(A216="[FÓRMULA MANUAL]","",IFERROR(AVERAGEIFS(nNOTA,nNIA,A216,nCUENTA,1,nASIG,"Conjunto"),"")))</f>
        <v/>
      </c>
      <c r="E216" t="str">
        <f>IF(A216="","",IF(A216="[FÓRMULA MANUAL]","",IFERROR(SUMPRODUCT((nNIA=A216)*(nCUENTA=1)*(COUNTIF(CONFIG_ASIGNATURAS!$B$7:$B$27,nASIG)&gt;0)*(nNOTA))/SUMPRODUCT((nNIA=A216)*(nCUENTA=1)*(COUNTIF(CONFIG_ASIGNATURAS!$B$7:$B$27,nASIG)&gt;0)*1),"")))</f>
        <v/>
      </c>
      <c r="H216" t="str">
        <f>IF(G216="","",IF(G216="[FÓRMULA MANUAL]","",IFERROR(AVERAGEIFS(nNOTA,nNIA,G216,nCUENTA,1,nASIG,"Lenguaje Musical"),"")))</f>
        <v/>
      </c>
      <c r="I216" t="str">
        <f>IF(G216="","",IF(G216="[FÓRMULA MANUAL]","",IFERROR(AVERAGEIFS(nNOTA,nNIA,G216,nCUENTA,1,nASIG,"Orquesta/Banda/Conjunto"),"")))</f>
        <v/>
      </c>
      <c r="J216" t="str">
        <f>IF(G216="","",IF(G216="[FÓRMULA MANUAL]","",IFERROR(AVERAGEIFS(nNOTA,nNIA,G216,nCUENTA,1,nASIG,"Conjunto"),"")))</f>
        <v/>
      </c>
      <c r="K216" t="str">
        <f>IF(G216="","",IF(G216="[FÓRMULA MANUAL]","",IFERROR(SUMPRODUCT((nNIA=G216)*(nCUENTA=1)*(COUNTIF(CONFIG_ASIGNATURAS!$B$7:$B$27,nASIG)&gt;0)*(nNOTA))/SUMPRODUCT((nNIA=G216)*(nCUENTA=1)*(COUNTIF(CONFIG_ASIGNATURAS!$B$7:$B$27,nASIG)&gt;0)*1),"")))</f>
        <v/>
      </c>
      <c r="N216" t="str">
        <f>IF(M216="","",IF(M216="[FÓRMULA MANUAL]","",IFERROR(AVERAGEIFS(nNOTA,nNIA,M216,nCUENTA,1,nASIG,"Armonía"),"")))</f>
        <v/>
      </c>
      <c r="O216" t="str">
        <f>IF(M216="","",IF(M216="[FÓRMULA MANUAL]","",IFERROR(AVERAGEIFS(nNOTA,nNIA,M216,nCUENTA,1,nASIG,"Orquesta/Banda/Conjunto"),"")))</f>
        <v/>
      </c>
      <c r="P216" t="str">
        <f>IF(M216="","",IF(M216="[FÓRMULA MANUAL]","",IFERROR(AVERAGEIFS(nNOTA,nNIA,M216,nCUENTA,1,nASIG,"Música de Cámara"),"")))</f>
        <v/>
      </c>
      <c r="Q216" t="str">
        <f>IF(M216="","",IF(M216="[FÓRMULA MANUAL]","",IFERROR(SUMPRODUCT((nNIA=M216)*(nCUENTA=1)*(COUNTIF(CONFIG_ASIGNATURAS!$B$7:$B$27,nASIG)&gt;0)*(nNOTA))/SUMPRODUCT((nNIA=M216)*(nCUENTA=1)*(COUNTIF(CONFIG_ASIGNATURAS!$B$7:$B$27,nASIG)&gt;0)*1),"")))</f>
        <v/>
      </c>
      <c r="T216" t="str">
        <f>IF(S216="","",IF(S216="[FÓRMULA MANUAL]","",IFERROR(AVERAGEIFS(nNOTA,nNIA,S216,nCUENTA,1,nASIG,"Armonía"),"")))</f>
        <v/>
      </c>
      <c r="U216" t="str">
        <f>IF(S216="","",IF(S216="[FÓRMULA MANUAL]","",IFERROR(AVERAGEIFS(nNOTA,nNIA,S216,nCUENTA,1,nASIG,"Orquesta/Banda/Conjunto"),"")))</f>
        <v/>
      </c>
      <c r="V216" t="str">
        <f>IF(S216="","",IF(S216="[FÓRMULA MANUAL]","",IFERROR(AVERAGEIFS(nNOTA,nNIA,S216,nCUENTA,1,nASIG,"Música de Cámara"),"")))</f>
        <v/>
      </c>
      <c r="W216" t="str">
        <f>IF(S216="","",IF(S216="[FÓRMULA MANUAL]","",IFERROR(SUMPRODUCT((nNIA=S216)*(nCUENTA=1)*(COUNTIF(CONFIG_ASIGNATURAS!$B$7:$B$27,nASIG)&gt;0)*(nNOTA))/SUMPRODUCT((nNIA=S216)*(nCUENTA=1)*(COUNTIF(CONFIG_ASIGNATURAS!$B$7:$B$27,nASIG)&gt;0)*1),"")))</f>
        <v/>
      </c>
      <c r="Z216" t="str">
        <f>IF(Y216="","",IF(Y216="[FÓRMULA MANUAL]","",IFERROR(AVERAGEIFS(nNOTA,nNIA,Y216,nCUENTA,1,nASIG,"Análisis"),"")))</f>
        <v/>
      </c>
      <c r="AA216" t="str">
        <f>IF(Y216="","",IF(Y216="[FÓRMULA MANUAL]","",IFERROR(AVERAGEIFS(nNOTA,nNIA,Y216,nCUENTA,1,nASIG,"Orquesta/Banda/Conjunto"),"")))</f>
        <v/>
      </c>
      <c r="AB216" t="str">
        <f>IF(Y216="","",IF(Y216="[FÓRMULA MANUAL]","",IFERROR(AVERAGEIFS(nNOTA,nNIA,Y216,nCUENTA,1,nASIG,"Música de Cámara"),"")))</f>
        <v/>
      </c>
      <c r="AC216" t="str">
        <f>IF(Y216="","",IF(Y216="[FÓRMULA MANUAL]","",IFERROR(SUMPRODUCT((nNIA=Y216)*(nCUENTA=1)*(COUNTIF(CONFIG_ASIGNATURAS!$B$7:$B$27,nASIG)&gt;0)*(nNOTA))/SUMPRODUCT((nNIA=Y216)*(nCUENTA=1)*(COUNTIF(CONFIG_ASIGNATURAS!$B$7:$B$27,nASIG)&gt;0)*1),"")))</f>
        <v/>
      </c>
      <c r="AF216" t="str">
        <f>IF(AE216="","",IF(AE216="[FÓRMULA MANUAL]","",IFERROR(AVERAGEIFS(nNOTA,nNIA,AE216,nCUENTA,1,nASIG,"Análisis"),"")))</f>
        <v/>
      </c>
      <c r="AG216" t="str">
        <f>IF(AE216="","",IF(AE216="[FÓRMULA MANUAL]","",IFERROR(AVERAGEIFS(nNOTA,nNIA,AE216,nCUENTA,1,nASIG,"Orquesta/Banda/Conjunto"),"")))</f>
        <v/>
      </c>
      <c r="AH216" t="str">
        <f>IF(AE216="","",IF(AE216="[FÓRMULA MANUAL]","",IFERROR(AVERAGEIFS(nNOTA,nNIA,AE216,nCUENTA,1,nASIG,"Música de Cámara"),"")))</f>
        <v/>
      </c>
      <c r="AI216" t="str">
        <f>IF(AE216="","",IF(AE216="[FÓRMULA MANUAL]","",IFERROR(SUMPRODUCT((nNIA=AE216)*(nCUENTA=1)*(COUNTIF(CONFIG_ASIGNATURAS!$B$7:$B$27,nASIG)&gt;0)*(nNOTA))/SUMPRODUCT((nNIA=AE216)*(nCUENTA=1)*(COUNTIF(CONFIG_ASIGNATURAS!$B$7:$B$27,nASIG)&gt;0)*1),"")))</f>
        <v/>
      </c>
    </row>
    <row r="217" spans="2:35" x14ac:dyDescent="0.2">
      <c r="B217" t="str">
        <f>IF(A217="","",IF(A217="[FÓRMULA MANUAL]","",IFERROR(AVERAGEIFS(nNOTA,nNIA,A217,nCUENTA,1,nASIG,"Lenguaje Musical"),"")))</f>
        <v/>
      </c>
      <c r="C217" t="str">
        <f>IF(A217="","",IF(A217="[FÓRMULA MANUAL]","",IFERROR(AVERAGEIFS(nNOTA,nNIA,A217,nCUENTA,1,nASIG,"Orquesta/Banda/Conjunto"),"")))</f>
        <v/>
      </c>
      <c r="D217" t="str">
        <f>IF(A217="","",IF(A217="[FÓRMULA MANUAL]","",IFERROR(AVERAGEIFS(nNOTA,nNIA,A217,nCUENTA,1,nASIG,"Conjunto"),"")))</f>
        <v/>
      </c>
      <c r="E217" t="str">
        <f>IF(A217="","",IF(A217="[FÓRMULA MANUAL]","",IFERROR(SUMPRODUCT((nNIA=A217)*(nCUENTA=1)*(COUNTIF(CONFIG_ASIGNATURAS!$B$7:$B$27,nASIG)&gt;0)*(nNOTA))/SUMPRODUCT((nNIA=A217)*(nCUENTA=1)*(COUNTIF(CONFIG_ASIGNATURAS!$B$7:$B$27,nASIG)&gt;0)*1),"")))</f>
        <v/>
      </c>
      <c r="H217" t="str">
        <f>IF(G217="","",IF(G217="[FÓRMULA MANUAL]","",IFERROR(AVERAGEIFS(nNOTA,nNIA,G217,nCUENTA,1,nASIG,"Lenguaje Musical"),"")))</f>
        <v/>
      </c>
      <c r="I217" t="str">
        <f>IF(G217="","",IF(G217="[FÓRMULA MANUAL]","",IFERROR(AVERAGEIFS(nNOTA,nNIA,G217,nCUENTA,1,nASIG,"Orquesta/Banda/Conjunto"),"")))</f>
        <v/>
      </c>
      <c r="J217" t="str">
        <f>IF(G217="","",IF(G217="[FÓRMULA MANUAL]","",IFERROR(AVERAGEIFS(nNOTA,nNIA,G217,nCUENTA,1,nASIG,"Conjunto"),"")))</f>
        <v/>
      </c>
      <c r="K217" t="str">
        <f>IF(G217="","",IF(G217="[FÓRMULA MANUAL]","",IFERROR(SUMPRODUCT((nNIA=G217)*(nCUENTA=1)*(COUNTIF(CONFIG_ASIGNATURAS!$B$7:$B$27,nASIG)&gt;0)*(nNOTA))/SUMPRODUCT((nNIA=G217)*(nCUENTA=1)*(COUNTIF(CONFIG_ASIGNATURAS!$B$7:$B$27,nASIG)&gt;0)*1),"")))</f>
        <v/>
      </c>
      <c r="N217" t="str">
        <f>IF(M217="","",IF(M217="[FÓRMULA MANUAL]","",IFERROR(AVERAGEIFS(nNOTA,nNIA,M217,nCUENTA,1,nASIG,"Armonía"),"")))</f>
        <v/>
      </c>
      <c r="O217" t="str">
        <f>IF(M217="","",IF(M217="[FÓRMULA MANUAL]","",IFERROR(AVERAGEIFS(nNOTA,nNIA,M217,nCUENTA,1,nASIG,"Orquesta/Banda/Conjunto"),"")))</f>
        <v/>
      </c>
      <c r="P217" t="str">
        <f>IF(M217="","",IF(M217="[FÓRMULA MANUAL]","",IFERROR(AVERAGEIFS(nNOTA,nNIA,M217,nCUENTA,1,nASIG,"Música de Cámara"),"")))</f>
        <v/>
      </c>
      <c r="Q217" t="str">
        <f>IF(M217="","",IF(M217="[FÓRMULA MANUAL]","",IFERROR(SUMPRODUCT((nNIA=M217)*(nCUENTA=1)*(COUNTIF(CONFIG_ASIGNATURAS!$B$7:$B$27,nASIG)&gt;0)*(nNOTA))/SUMPRODUCT((nNIA=M217)*(nCUENTA=1)*(COUNTIF(CONFIG_ASIGNATURAS!$B$7:$B$27,nASIG)&gt;0)*1),"")))</f>
        <v/>
      </c>
      <c r="T217" t="str">
        <f>IF(S217="","",IF(S217="[FÓRMULA MANUAL]","",IFERROR(AVERAGEIFS(nNOTA,nNIA,S217,nCUENTA,1,nASIG,"Armonía"),"")))</f>
        <v/>
      </c>
      <c r="U217" t="str">
        <f>IF(S217="","",IF(S217="[FÓRMULA MANUAL]","",IFERROR(AVERAGEIFS(nNOTA,nNIA,S217,nCUENTA,1,nASIG,"Orquesta/Banda/Conjunto"),"")))</f>
        <v/>
      </c>
      <c r="V217" t="str">
        <f>IF(S217="","",IF(S217="[FÓRMULA MANUAL]","",IFERROR(AVERAGEIFS(nNOTA,nNIA,S217,nCUENTA,1,nASIG,"Música de Cámara"),"")))</f>
        <v/>
      </c>
      <c r="W217" t="str">
        <f>IF(S217="","",IF(S217="[FÓRMULA MANUAL]","",IFERROR(SUMPRODUCT((nNIA=S217)*(nCUENTA=1)*(COUNTIF(CONFIG_ASIGNATURAS!$B$7:$B$27,nASIG)&gt;0)*(nNOTA))/SUMPRODUCT((nNIA=S217)*(nCUENTA=1)*(COUNTIF(CONFIG_ASIGNATURAS!$B$7:$B$27,nASIG)&gt;0)*1),"")))</f>
        <v/>
      </c>
      <c r="Z217" t="str">
        <f>IF(Y217="","",IF(Y217="[FÓRMULA MANUAL]","",IFERROR(AVERAGEIFS(nNOTA,nNIA,Y217,nCUENTA,1,nASIG,"Análisis"),"")))</f>
        <v/>
      </c>
      <c r="AA217" t="str">
        <f>IF(Y217="","",IF(Y217="[FÓRMULA MANUAL]","",IFERROR(AVERAGEIFS(nNOTA,nNIA,Y217,nCUENTA,1,nASIG,"Orquesta/Banda/Conjunto"),"")))</f>
        <v/>
      </c>
      <c r="AB217" t="str">
        <f>IF(Y217="","",IF(Y217="[FÓRMULA MANUAL]","",IFERROR(AVERAGEIFS(nNOTA,nNIA,Y217,nCUENTA,1,nASIG,"Música de Cámara"),"")))</f>
        <v/>
      </c>
      <c r="AC217" t="str">
        <f>IF(Y217="","",IF(Y217="[FÓRMULA MANUAL]","",IFERROR(SUMPRODUCT((nNIA=Y217)*(nCUENTA=1)*(COUNTIF(CONFIG_ASIGNATURAS!$B$7:$B$27,nASIG)&gt;0)*(nNOTA))/SUMPRODUCT((nNIA=Y217)*(nCUENTA=1)*(COUNTIF(CONFIG_ASIGNATURAS!$B$7:$B$27,nASIG)&gt;0)*1),"")))</f>
        <v/>
      </c>
      <c r="AF217" t="str">
        <f>IF(AE217="","",IF(AE217="[FÓRMULA MANUAL]","",IFERROR(AVERAGEIFS(nNOTA,nNIA,AE217,nCUENTA,1,nASIG,"Análisis"),"")))</f>
        <v/>
      </c>
      <c r="AG217" t="str">
        <f>IF(AE217="","",IF(AE217="[FÓRMULA MANUAL]","",IFERROR(AVERAGEIFS(nNOTA,nNIA,AE217,nCUENTA,1,nASIG,"Orquesta/Banda/Conjunto"),"")))</f>
        <v/>
      </c>
      <c r="AH217" t="str">
        <f>IF(AE217="","",IF(AE217="[FÓRMULA MANUAL]","",IFERROR(AVERAGEIFS(nNOTA,nNIA,AE217,nCUENTA,1,nASIG,"Música de Cámara"),"")))</f>
        <v/>
      </c>
      <c r="AI217" t="str">
        <f>IF(AE217="","",IF(AE217="[FÓRMULA MANUAL]","",IFERROR(SUMPRODUCT((nNIA=AE217)*(nCUENTA=1)*(COUNTIF(CONFIG_ASIGNATURAS!$B$7:$B$27,nASIG)&gt;0)*(nNOTA))/SUMPRODUCT((nNIA=AE217)*(nCUENTA=1)*(COUNTIF(CONFIG_ASIGNATURAS!$B$7:$B$27,nASIG)&gt;0)*1),"")))</f>
        <v/>
      </c>
    </row>
    <row r="218" spans="2:35" x14ac:dyDescent="0.2">
      <c r="B218" t="str">
        <f>IF(A218="","",IF(A218="[FÓRMULA MANUAL]","",IFERROR(AVERAGEIFS(nNOTA,nNIA,A218,nCUENTA,1,nASIG,"Lenguaje Musical"),"")))</f>
        <v/>
      </c>
      <c r="C218" t="str">
        <f>IF(A218="","",IF(A218="[FÓRMULA MANUAL]","",IFERROR(AVERAGEIFS(nNOTA,nNIA,A218,nCUENTA,1,nASIG,"Orquesta/Banda/Conjunto"),"")))</f>
        <v/>
      </c>
      <c r="D218" t="str">
        <f>IF(A218="","",IF(A218="[FÓRMULA MANUAL]","",IFERROR(AVERAGEIFS(nNOTA,nNIA,A218,nCUENTA,1,nASIG,"Conjunto"),"")))</f>
        <v/>
      </c>
      <c r="E218" t="str">
        <f>IF(A218="","",IF(A218="[FÓRMULA MANUAL]","",IFERROR(SUMPRODUCT((nNIA=A218)*(nCUENTA=1)*(COUNTIF(CONFIG_ASIGNATURAS!$B$7:$B$27,nASIG)&gt;0)*(nNOTA))/SUMPRODUCT((nNIA=A218)*(nCUENTA=1)*(COUNTIF(CONFIG_ASIGNATURAS!$B$7:$B$27,nASIG)&gt;0)*1),"")))</f>
        <v/>
      </c>
      <c r="H218" t="str">
        <f>IF(G218="","",IF(G218="[FÓRMULA MANUAL]","",IFERROR(AVERAGEIFS(nNOTA,nNIA,G218,nCUENTA,1,nASIG,"Lenguaje Musical"),"")))</f>
        <v/>
      </c>
      <c r="I218" t="str">
        <f>IF(G218="","",IF(G218="[FÓRMULA MANUAL]","",IFERROR(AVERAGEIFS(nNOTA,nNIA,G218,nCUENTA,1,nASIG,"Orquesta/Banda/Conjunto"),"")))</f>
        <v/>
      </c>
      <c r="J218" t="str">
        <f>IF(G218="","",IF(G218="[FÓRMULA MANUAL]","",IFERROR(AVERAGEIFS(nNOTA,nNIA,G218,nCUENTA,1,nASIG,"Conjunto"),"")))</f>
        <v/>
      </c>
      <c r="K218" t="str">
        <f>IF(G218="","",IF(G218="[FÓRMULA MANUAL]","",IFERROR(SUMPRODUCT((nNIA=G218)*(nCUENTA=1)*(COUNTIF(CONFIG_ASIGNATURAS!$B$7:$B$27,nASIG)&gt;0)*(nNOTA))/SUMPRODUCT((nNIA=G218)*(nCUENTA=1)*(COUNTIF(CONFIG_ASIGNATURAS!$B$7:$B$27,nASIG)&gt;0)*1),"")))</f>
        <v/>
      </c>
      <c r="N218" t="str">
        <f>IF(M218="","",IF(M218="[FÓRMULA MANUAL]","",IFERROR(AVERAGEIFS(nNOTA,nNIA,M218,nCUENTA,1,nASIG,"Armonía"),"")))</f>
        <v/>
      </c>
      <c r="O218" t="str">
        <f>IF(M218="","",IF(M218="[FÓRMULA MANUAL]","",IFERROR(AVERAGEIFS(nNOTA,nNIA,M218,nCUENTA,1,nASIG,"Orquesta/Banda/Conjunto"),"")))</f>
        <v/>
      </c>
      <c r="P218" t="str">
        <f>IF(M218="","",IF(M218="[FÓRMULA MANUAL]","",IFERROR(AVERAGEIFS(nNOTA,nNIA,M218,nCUENTA,1,nASIG,"Música de Cámara"),"")))</f>
        <v/>
      </c>
      <c r="Q218" t="str">
        <f>IF(M218="","",IF(M218="[FÓRMULA MANUAL]","",IFERROR(SUMPRODUCT((nNIA=M218)*(nCUENTA=1)*(COUNTIF(CONFIG_ASIGNATURAS!$B$7:$B$27,nASIG)&gt;0)*(nNOTA))/SUMPRODUCT((nNIA=M218)*(nCUENTA=1)*(COUNTIF(CONFIG_ASIGNATURAS!$B$7:$B$27,nASIG)&gt;0)*1),"")))</f>
        <v/>
      </c>
      <c r="T218" t="str">
        <f>IF(S218="","",IF(S218="[FÓRMULA MANUAL]","",IFERROR(AVERAGEIFS(nNOTA,nNIA,S218,nCUENTA,1,nASIG,"Armonía"),"")))</f>
        <v/>
      </c>
      <c r="U218" t="str">
        <f>IF(S218="","",IF(S218="[FÓRMULA MANUAL]","",IFERROR(AVERAGEIFS(nNOTA,nNIA,S218,nCUENTA,1,nASIG,"Orquesta/Banda/Conjunto"),"")))</f>
        <v/>
      </c>
      <c r="V218" t="str">
        <f>IF(S218="","",IF(S218="[FÓRMULA MANUAL]","",IFERROR(AVERAGEIFS(nNOTA,nNIA,S218,nCUENTA,1,nASIG,"Música de Cámara"),"")))</f>
        <v/>
      </c>
      <c r="W218" t="str">
        <f>IF(S218="","",IF(S218="[FÓRMULA MANUAL]","",IFERROR(SUMPRODUCT((nNIA=S218)*(nCUENTA=1)*(COUNTIF(CONFIG_ASIGNATURAS!$B$7:$B$27,nASIG)&gt;0)*(nNOTA))/SUMPRODUCT((nNIA=S218)*(nCUENTA=1)*(COUNTIF(CONFIG_ASIGNATURAS!$B$7:$B$27,nASIG)&gt;0)*1),"")))</f>
        <v/>
      </c>
      <c r="Z218" t="str">
        <f>IF(Y218="","",IF(Y218="[FÓRMULA MANUAL]","",IFERROR(AVERAGEIFS(nNOTA,nNIA,Y218,nCUENTA,1,nASIG,"Análisis"),"")))</f>
        <v/>
      </c>
      <c r="AA218" t="str">
        <f>IF(Y218="","",IF(Y218="[FÓRMULA MANUAL]","",IFERROR(AVERAGEIFS(nNOTA,nNIA,Y218,nCUENTA,1,nASIG,"Orquesta/Banda/Conjunto"),"")))</f>
        <v/>
      </c>
      <c r="AB218" t="str">
        <f>IF(Y218="","",IF(Y218="[FÓRMULA MANUAL]","",IFERROR(AVERAGEIFS(nNOTA,nNIA,Y218,nCUENTA,1,nASIG,"Música de Cámara"),"")))</f>
        <v/>
      </c>
      <c r="AC218" t="str">
        <f>IF(Y218="","",IF(Y218="[FÓRMULA MANUAL]","",IFERROR(SUMPRODUCT((nNIA=Y218)*(nCUENTA=1)*(COUNTIF(CONFIG_ASIGNATURAS!$B$7:$B$27,nASIG)&gt;0)*(nNOTA))/SUMPRODUCT((nNIA=Y218)*(nCUENTA=1)*(COUNTIF(CONFIG_ASIGNATURAS!$B$7:$B$27,nASIG)&gt;0)*1),"")))</f>
        <v/>
      </c>
      <c r="AF218" t="str">
        <f>IF(AE218="","",IF(AE218="[FÓRMULA MANUAL]","",IFERROR(AVERAGEIFS(nNOTA,nNIA,AE218,nCUENTA,1,nASIG,"Análisis"),"")))</f>
        <v/>
      </c>
      <c r="AG218" t="str">
        <f>IF(AE218="","",IF(AE218="[FÓRMULA MANUAL]","",IFERROR(AVERAGEIFS(nNOTA,nNIA,AE218,nCUENTA,1,nASIG,"Orquesta/Banda/Conjunto"),"")))</f>
        <v/>
      </c>
      <c r="AH218" t="str">
        <f>IF(AE218="","",IF(AE218="[FÓRMULA MANUAL]","",IFERROR(AVERAGEIFS(nNOTA,nNIA,AE218,nCUENTA,1,nASIG,"Música de Cámara"),"")))</f>
        <v/>
      </c>
      <c r="AI218" t="str">
        <f>IF(AE218="","",IF(AE218="[FÓRMULA MANUAL]","",IFERROR(SUMPRODUCT((nNIA=AE218)*(nCUENTA=1)*(COUNTIF(CONFIG_ASIGNATURAS!$B$7:$B$27,nASIG)&gt;0)*(nNOTA))/SUMPRODUCT((nNIA=AE218)*(nCUENTA=1)*(COUNTIF(CONFIG_ASIGNATURAS!$B$7:$B$27,nASIG)&gt;0)*1),"")))</f>
        <v/>
      </c>
    </row>
    <row r="219" spans="2:35" x14ac:dyDescent="0.2">
      <c r="B219" t="str">
        <f>IF(A219="","",IF(A219="[FÓRMULA MANUAL]","",IFERROR(AVERAGEIFS(nNOTA,nNIA,A219,nCUENTA,1,nASIG,"Lenguaje Musical"),"")))</f>
        <v/>
      </c>
      <c r="C219" t="str">
        <f>IF(A219="","",IF(A219="[FÓRMULA MANUAL]","",IFERROR(AVERAGEIFS(nNOTA,nNIA,A219,nCUENTA,1,nASIG,"Orquesta/Banda/Conjunto"),"")))</f>
        <v/>
      </c>
      <c r="D219" t="str">
        <f>IF(A219="","",IF(A219="[FÓRMULA MANUAL]","",IFERROR(AVERAGEIFS(nNOTA,nNIA,A219,nCUENTA,1,nASIG,"Conjunto"),"")))</f>
        <v/>
      </c>
      <c r="E219" t="str">
        <f>IF(A219="","",IF(A219="[FÓRMULA MANUAL]","",IFERROR(SUMPRODUCT((nNIA=A219)*(nCUENTA=1)*(COUNTIF(CONFIG_ASIGNATURAS!$B$7:$B$27,nASIG)&gt;0)*(nNOTA))/SUMPRODUCT((nNIA=A219)*(nCUENTA=1)*(COUNTIF(CONFIG_ASIGNATURAS!$B$7:$B$27,nASIG)&gt;0)*1),"")))</f>
        <v/>
      </c>
      <c r="H219" t="str">
        <f>IF(G219="","",IF(G219="[FÓRMULA MANUAL]","",IFERROR(AVERAGEIFS(nNOTA,nNIA,G219,nCUENTA,1,nASIG,"Lenguaje Musical"),"")))</f>
        <v/>
      </c>
      <c r="I219" t="str">
        <f>IF(G219="","",IF(G219="[FÓRMULA MANUAL]","",IFERROR(AVERAGEIFS(nNOTA,nNIA,G219,nCUENTA,1,nASIG,"Orquesta/Banda/Conjunto"),"")))</f>
        <v/>
      </c>
      <c r="J219" t="str">
        <f>IF(G219="","",IF(G219="[FÓRMULA MANUAL]","",IFERROR(AVERAGEIFS(nNOTA,nNIA,G219,nCUENTA,1,nASIG,"Conjunto"),"")))</f>
        <v/>
      </c>
      <c r="K219" t="str">
        <f>IF(G219="","",IF(G219="[FÓRMULA MANUAL]","",IFERROR(SUMPRODUCT((nNIA=G219)*(nCUENTA=1)*(COUNTIF(CONFIG_ASIGNATURAS!$B$7:$B$27,nASIG)&gt;0)*(nNOTA))/SUMPRODUCT((nNIA=G219)*(nCUENTA=1)*(COUNTIF(CONFIG_ASIGNATURAS!$B$7:$B$27,nASIG)&gt;0)*1),"")))</f>
        <v/>
      </c>
      <c r="N219" t="str">
        <f>IF(M219="","",IF(M219="[FÓRMULA MANUAL]","",IFERROR(AVERAGEIFS(nNOTA,nNIA,M219,nCUENTA,1,nASIG,"Armonía"),"")))</f>
        <v/>
      </c>
      <c r="O219" t="str">
        <f>IF(M219="","",IF(M219="[FÓRMULA MANUAL]","",IFERROR(AVERAGEIFS(nNOTA,nNIA,M219,nCUENTA,1,nASIG,"Orquesta/Banda/Conjunto"),"")))</f>
        <v/>
      </c>
      <c r="P219" t="str">
        <f>IF(M219="","",IF(M219="[FÓRMULA MANUAL]","",IFERROR(AVERAGEIFS(nNOTA,nNIA,M219,nCUENTA,1,nASIG,"Música de Cámara"),"")))</f>
        <v/>
      </c>
      <c r="Q219" t="str">
        <f>IF(M219="","",IF(M219="[FÓRMULA MANUAL]","",IFERROR(SUMPRODUCT((nNIA=M219)*(nCUENTA=1)*(COUNTIF(CONFIG_ASIGNATURAS!$B$7:$B$27,nASIG)&gt;0)*(nNOTA))/SUMPRODUCT((nNIA=M219)*(nCUENTA=1)*(COUNTIF(CONFIG_ASIGNATURAS!$B$7:$B$27,nASIG)&gt;0)*1),"")))</f>
        <v/>
      </c>
      <c r="T219" t="str">
        <f>IF(S219="","",IF(S219="[FÓRMULA MANUAL]","",IFERROR(AVERAGEIFS(nNOTA,nNIA,S219,nCUENTA,1,nASIG,"Armonía"),"")))</f>
        <v/>
      </c>
      <c r="U219" t="str">
        <f>IF(S219="","",IF(S219="[FÓRMULA MANUAL]","",IFERROR(AVERAGEIFS(nNOTA,nNIA,S219,nCUENTA,1,nASIG,"Orquesta/Banda/Conjunto"),"")))</f>
        <v/>
      </c>
      <c r="V219" t="str">
        <f>IF(S219="","",IF(S219="[FÓRMULA MANUAL]","",IFERROR(AVERAGEIFS(nNOTA,nNIA,S219,nCUENTA,1,nASIG,"Música de Cámara"),"")))</f>
        <v/>
      </c>
      <c r="W219" t="str">
        <f>IF(S219="","",IF(S219="[FÓRMULA MANUAL]","",IFERROR(SUMPRODUCT((nNIA=S219)*(nCUENTA=1)*(COUNTIF(CONFIG_ASIGNATURAS!$B$7:$B$27,nASIG)&gt;0)*(nNOTA))/SUMPRODUCT((nNIA=S219)*(nCUENTA=1)*(COUNTIF(CONFIG_ASIGNATURAS!$B$7:$B$27,nASIG)&gt;0)*1),"")))</f>
        <v/>
      </c>
      <c r="Z219" t="str">
        <f>IF(Y219="","",IF(Y219="[FÓRMULA MANUAL]","",IFERROR(AVERAGEIFS(nNOTA,nNIA,Y219,nCUENTA,1,nASIG,"Análisis"),"")))</f>
        <v/>
      </c>
      <c r="AA219" t="str">
        <f>IF(Y219="","",IF(Y219="[FÓRMULA MANUAL]","",IFERROR(AVERAGEIFS(nNOTA,nNIA,Y219,nCUENTA,1,nASIG,"Orquesta/Banda/Conjunto"),"")))</f>
        <v/>
      </c>
      <c r="AB219" t="str">
        <f>IF(Y219="","",IF(Y219="[FÓRMULA MANUAL]","",IFERROR(AVERAGEIFS(nNOTA,nNIA,Y219,nCUENTA,1,nASIG,"Música de Cámara"),"")))</f>
        <v/>
      </c>
      <c r="AC219" t="str">
        <f>IF(Y219="","",IF(Y219="[FÓRMULA MANUAL]","",IFERROR(SUMPRODUCT((nNIA=Y219)*(nCUENTA=1)*(COUNTIF(CONFIG_ASIGNATURAS!$B$7:$B$27,nASIG)&gt;0)*(nNOTA))/SUMPRODUCT((nNIA=Y219)*(nCUENTA=1)*(COUNTIF(CONFIG_ASIGNATURAS!$B$7:$B$27,nASIG)&gt;0)*1),"")))</f>
        <v/>
      </c>
      <c r="AF219" t="str">
        <f>IF(AE219="","",IF(AE219="[FÓRMULA MANUAL]","",IFERROR(AVERAGEIFS(nNOTA,nNIA,AE219,nCUENTA,1,nASIG,"Análisis"),"")))</f>
        <v/>
      </c>
      <c r="AG219" t="str">
        <f>IF(AE219="","",IF(AE219="[FÓRMULA MANUAL]","",IFERROR(AVERAGEIFS(nNOTA,nNIA,AE219,nCUENTA,1,nASIG,"Orquesta/Banda/Conjunto"),"")))</f>
        <v/>
      </c>
      <c r="AH219" t="str">
        <f>IF(AE219="","",IF(AE219="[FÓRMULA MANUAL]","",IFERROR(AVERAGEIFS(nNOTA,nNIA,AE219,nCUENTA,1,nASIG,"Música de Cámara"),"")))</f>
        <v/>
      </c>
      <c r="AI219" t="str">
        <f>IF(AE219="","",IF(AE219="[FÓRMULA MANUAL]","",IFERROR(SUMPRODUCT((nNIA=AE219)*(nCUENTA=1)*(COUNTIF(CONFIG_ASIGNATURAS!$B$7:$B$27,nASIG)&gt;0)*(nNOTA))/SUMPRODUCT((nNIA=AE219)*(nCUENTA=1)*(COUNTIF(CONFIG_ASIGNATURAS!$B$7:$B$27,nASIG)&gt;0)*1),"")))</f>
        <v/>
      </c>
    </row>
    <row r="220" spans="2:35" x14ac:dyDescent="0.2">
      <c r="B220" t="str">
        <f>IF(A220="","",IF(A220="[FÓRMULA MANUAL]","",IFERROR(AVERAGEIFS(nNOTA,nNIA,A220,nCUENTA,1,nASIG,"Lenguaje Musical"),"")))</f>
        <v/>
      </c>
      <c r="C220" t="str">
        <f>IF(A220="","",IF(A220="[FÓRMULA MANUAL]","",IFERROR(AVERAGEIFS(nNOTA,nNIA,A220,nCUENTA,1,nASIG,"Orquesta/Banda/Conjunto"),"")))</f>
        <v/>
      </c>
      <c r="D220" t="str">
        <f>IF(A220="","",IF(A220="[FÓRMULA MANUAL]","",IFERROR(AVERAGEIFS(nNOTA,nNIA,A220,nCUENTA,1,nASIG,"Conjunto"),"")))</f>
        <v/>
      </c>
      <c r="E220" t="str">
        <f>IF(A220="","",IF(A220="[FÓRMULA MANUAL]","",IFERROR(SUMPRODUCT((nNIA=A220)*(nCUENTA=1)*(COUNTIF(CONFIG_ASIGNATURAS!$B$7:$B$27,nASIG)&gt;0)*(nNOTA))/SUMPRODUCT((nNIA=A220)*(nCUENTA=1)*(COUNTIF(CONFIG_ASIGNATURAS!$B$7:$B$27,nASIG)&gt;0)*1),"")))</f>
        <v/>
      </c>
      <c r="H220" t="str">
        <f>IF(G220="","",IF(G220="[FÓRMULA MANUAL]","",IFERROR(AVERAGEIFS(nNOTA,nNIA,G220,nCUENTA,1,nASIG,"Lenguaje Musical"),"")))</f>
        <v/>
      </c>
      <c r="I220" t="str">
        <f>IF(G220="","",IF(G220="[FÓRMULA MANUAL]","",IFERROR(AVERAGEIFS(nNOTA,nNIA,G220,nCUENTA,1,nASIG,"Orquesta/Banda/Conjunto"),"")))</f>
        <v/>
      </c>
      <c r="J220" t="str">
        <f>IF(G220="","",IF(G220="[FÓRMULA MANUAL]","",IFERROR(AVERAGEIFS(nNOTA,nNIA,G220,nCUENTA,1,nASIG,"Conjunto"),"")))</f>
        <v/>
      </c>
      <c r="K220" t="str">
        <f>IF(G220="","",IF(G220="[FÓRMULA MANUAL]","",IFERROR(SUMPRODUCT((nNIA=G220)*(nCUENTA=1)*(COUNTIF(CONFIG_ASIGNATURAS!$B$7:$B$27,nASIG)&gt;0)*(nNOTA))/SUMPRODUCT((nNIA=G220)*(nCUENTA=1)*(COUNTIF(CONFIG_ASIGNATURAS!$B$7:$B$27,nASIG)&gt;0)*1),"")))</f>
        <v/>
      </c>
      <c r="N220" t="str">
        <f>IF(M220="","",IF(M220="[FÓRMULA MANUAL]","",IFERROR(AVERAGEIFS(nNOTA,nNIA,M220,nCUENTA,1,nASIG,"Armonía"),"")))</f>
        <v/>
      </c>
      <c r="O220" t="str">
        <f>IF(M220="","",IF(M220="[FÓRMULA MANUAL]","",IFERROR(AVERAGEIFS(nNOTA,nNIA,M220,nCUENTA,1,nASIG,"Orquesta/Banda/Conjunto"),"")))</f>
        <v/>
      </c>
      <c r="P220" t="str">
        <f>IF(M220="","",IF(M220="[FÓRMULA MANUAL]","",IFERROR(AVERAGEIFS(nNOTA,nNIA,M220,nCUENTA,1,nASIG,"Música de Cámara"),"")))</f>
        <v/>
      </c>
      <c r="Q220" t="str">
        <f>IF(M220="","",IF(M220="[FÓRMULA MANUAL]","",IFERROR(SUMPRODUCT((nNIA=M220)*(nCUENTA=1)*(COUNTIF(CONFIG_ASIGNATURAS!$B$7:$B$27,nASIG)&gt;0)*(nNOTA))/SUMPRODUCT((nNIA=M220)*(nCUENTA=1)*(COUNTIF(CONFIG_ASIGNATURAS!$B$7:$B$27,nASIG)&gt;0)*1),"")))</f>
        <v/>
      </c>
      <c r="T220" t="str">
        <f>IF(S220="","",IF(S220="[FÓRMULA MANUAL]","",IFERROR(AVERAGEIFS(nNOTA,nNIA,S220,nCUENTA,1,nASIG,"Armonía"),"")))</f>
        <v/>
      </c>
      <c r="U220" t="str">
        <f>IF(S220="","",IF(S220="[FÓRMULA MANUAL]","",IFERROR(AVERAGEIFS(nNOTA,nNIA,S220,nCUENTA,1,nASIG,"Orquesta/Banda/Conjunto"),"")))</f>
        <v/>
      </c>
      <c r="V220" t="str">
        <f>IF(S220="","",IF(S220="[FÓRMULA MANUAL]","",IFERROR(AVERAGEIFS(nNOTA,nNIA,S220,nCUENTA,1,nASIG,"Música de Cámara"),"")))</f>
        <v/>
      </c>
      <c r="W220" t="str">
        <f>IF(S220="","",IF(S220="[FÓRMULA MANUAL]","",IFERROR(SUMPRODUCT((nNIA=S220)*(nCUENTA=1)*(COUNTIF(CONFIG_ASIGNATURAS!$B$7:$B$27,nASIG)&gt;0)*(nNOTA))/SUMPRODUCT((nNIA=S220)*(nCUENTA=1)*(COUNTIF(CONFIG_ASIGNATURAS!$B$7:$B$27,nASIG)&gt;0)*1),"")))</f>
        <v/>
      </c>
      <c r="Z220" t="str">
        <f>IF(Y220="","",IF(Y220="[FÓRMULA MANUAL]","",IFERROR(AVERAGEIFS(nNOTA,nNIA,Y220,nCUENTA,1,nASIG,"Análisis"),"")))</f>
        <v/>
      </c>
      <c r="AA220" t="str">
        <f>IF(Y220="","",IF(Y220="[FÓRMULA MANUAL]","",IFERROR(AVERAGEIFS(nNOTA,nNIA,Y220,nCUENTA,1,nASIG,"Orquesta/Banda/Conjunto"),"")))</f>
        <v/>
      </c>
      <c r="AB220" t="str">
        <f>IF(Y220="","",IF(Y220="[FÓRMULA MANUAL]","",IFERROR(AVERAGEIFS(nNOTA,nNIA,Y220,nCUENTA,1,nASIG,"Música de Cámara"),"")))</f>
        <v/>
      </c>
      <c r="AC220" t="str">
        <f>IF(Y220="","",IF(Y220="[FÓRMULA MANUAL]","",IFERROR(SUMPRODUCT((nNIA=Y220)*(nCUENTA=1)*(COUNTIF(CONFIG_ASIGNATURAS!$B$7:$B$27,nASIG)&gt;0)*(nNOTA))/SUMPRODUCT((nNIA=Y220)*(nCUENTA=1)*(COUNTIF(CONFIG_ASIGNATURAS!$B$7:$B$27,nASIG)&gt;0)*1),"")))</f>
        <v/>
      </c>
      <c r="AF220" t="str">
        <f>IF(AE220="","",IF(AE220="[FÓRMULA MANUAL]","",IFERROR(AVERAGEIFS(nNOTA,nNIA,AE220,nCUENTA,1,nASIG,"Análisis"),"")))</f>
        <v/>
      </c>
      <c r="AG220" t="str">
        <f>IF(AE220="","",IF(AE220="[FÓRMULA MANUAL]","",IFERROR(AVERAGEIFS(nNOTA,nNIA,AE220,nCUENTA,1,nASIG,"Orquesta/Banda/Conjunto"),"")))</f>
        <v/>
      </c>
      <c r="AH220" t="str">
        <f>IF(AE220="","",IF(AE220="[FÓRMULA MANUAL]","",IFERROR(AVERAGEIFS(nNOTA,nNIA,AE220,nCUENTA,1,nASIG,"Música de Cámara"),"")))</f>
        <v/>
      </c>
      <c r="AI220" t="str">
        <f>IF(AE220="","",IF(AE220="[FÓRMULA MANUAL]","",IFERROR(SUMPRODUCT((nNIA=AE220)*(nCUENTA=1)*(COUNTIF(CONFIG_ASIGNATURAS!$B$7:$B$27,nASIG)&gt;0)*(nNOTA))/SUMPRODUCT((nNIA=AE220)*(nCUENTA=1)*(COUNTIF(CONFIG_ASIGNATURAS!$B$7:$B$27,nASIG)&gt;0)*1),"")))</f>
        <v/>
      </c>
    </row>
    <row r="221" spans="2:35" x14ac:dyDescent="0.2">
      <c r="B221" t="str">
        <f>IF(A221="","",IF(A221="[FÓRMULA MANUAL]","",IFERROR(AVERAGEIFS(nNOTA,nNIA,A221,nCUENTA,1,nASIG,"Lenguaje Musical"),"")))</f>
        <v/>
      </c>
      <c r="C221" t="str">
        <f>IF(A221="","",IF(A221="[FÓRMULA MANUAL]","",IFERROR(AVERAGEIFS(nNOTA,nNIA,A221,nCUENTA,1,nASIG,"Orquesta/Banda/Conjunto"),"")))</f>
        <v/>
      </c>
      <c r="D221" t="str">
        <f>IF(A221="","",IF(A221="[FÓRMULA MANUAL]","",IFERROR(AVERAGEIFS(nNOTA,nNIA,A221,nCUENTA,1,nASIG,"Conjunto"),"")))</f>
        <v/>
      </c>
      <c r="E221" t="str">
        <f>IF(A221="","",IF(A221="[FÓRMULA MANUAL]","",IFERROR(SUMPRODUCT((nNIA=A221)*(nCUENTA=1)*(COUNTIF(CONFIG_ASIGNATURAS!$B$7:$B$27,nASIG)&gt;0)*(nNOTA))/SUMPRODUCT((nNIA=A221)*(nCUENTA=1)*(COUNTIF(CONFIG_ASIGNATURAS!$B$7:$B$27,nASIG)&gt;0)*1),"")))</f>
        <v/>
      </c>
      <c r="H221" t="str">
        <f>IF(G221="","",IF(G221="[FÓRMULA MANUAL]","",IFERROR(AVERAGEIFS(nNOTA,nNIA,G221,nCUENTA,1,nASIG,"Lenguaje Musical"),"")))</f>
        <v/>
      </c>
      <c r="I221" t="str">
        <f>IF(G221="","",IF(G221="[FÓRMULA MANUAL]","",IFERROR(AVERAGEIFS(nNOTA,nNIA,G221,nCUENTA,1,nASIG,"Orquesta/Banda/Conjunto"),"")))</f>
        <v/>
      </c>
      <c r="J221" t="str">
        <f>IF(G221="","",IF(G221="[FÓRMULA MANUAL]","",IFERROR(AVERAGEIFS(nNOTA,nNIA,G221,nCUENTA,1,nASIG,"Conjunto"),"")))</f>
        <v/>
      </c>
      <c r="K221" t="str">
        <f>IF(G221="","",IF(G221="[FÓRMULA MANUAL]","",IFERROR(SUMPRODUCT((nNIA=G221)*(nCUENTA=1)*(COUNTIF(CONFIG_ASIGNATURAS!$B$7:$B$27,nASIG)&gt;0)*(nNOTA))/SUMPRODUCT((nNIA=G221)*(nCUENTA=1)*(COUNTIF(CONFIG_ASIGNATURAS!$B$7:$B$27,nASIG)&gt;0)*1),"")))</f>
        <v/>
      </c>
      <c r="N221" t="str">
        <f>IF(M221="","",IF(M221="[FÓRMULA MANUAL]","",IFERROR(AVERAGEIFS(nNOTA,nNIA,M221,nCUENTA,1,nASIG,"Armonía"),"")))</f>
        <v/>
      </c>
      <c r="O221" t="str">
        <f>IF(M221="","",IF(M221="[FÓRMULA MANUAL]","",IFERROR(AVERAGEIFS(nNOTA,nNIA,M221,nCUENTA,1,nASIG,"Orquesta/Banda/Conjunto"),"")))</f>
        <v/>
      </c>
      <c r="P221" t="str">
        <f>IF(M221="","",IF(M221="[FÓRMULA MANUAL]","",IFERROR(AVERAGEIFS(nNOTA,nNIA,M221,nCUENTA,1,nASIG,"Música de Cámara"),"")))</f>
        <v/>
      </c>
      <c r="Q221" t="str">
        <f>IF(M221="","",IF(M221="[FÓRMULA MANUAL]","",IFERROR(SUMPRODUCT((nNIA=M221)*(nCUENTA=1)*(COUNTIF(CONFIG_ASIGNATURAS!$B$7:$B$27,nASIG)&gt;0)*(nNOTA))/SUMPRODUCT((nNIA=M221)*(nCUENTA=1)*(COUNTIF(CONFIG_ASIGNATURAS!$B$7:$B$27,nASIG)&gt;0)*1),"")))</f>
        <v/>
      </c>
      <c r="T221" t="str">
        <f>IF(S221="","",IF(S221="[FÓRMULA MANUAL]","",IFERROR(AVERAGEIFS(nNOTA,nNIA,S221,nCUENTA,1,nASIG,"Armonía"),"")))</f>
        <v/>
      </c>
      <c r="U221" t="str">
        <f>IF(S221="","",IF(S221="[FÓRMULA MANUAL]","",IFERROR(AVERAGEIFS(nNOTA,nNIA,S221,nCUENTA,1,nASIG,"Orquesta/Banda/Conjunto"),"")))</f>
        <v/>
      </c>
      <c r="V221" t="str">
        <f>IF(S221="","",IF(S221="[FÓRMULA MANUAL]","",IFERROR(AVERAGEIFS(nNOTA,nNIA,S221,nCUENTA,1,nASIG,"Música de Cámara"),"")))</f>
        <v/>
      </c>
      <c r="W221" t="str">
        <f>IF(S221="","",IF(S221="[FÓRMULA MANUAL]","",IFERROR(SUMPRODUCT((nNIA=S221)*(nCUENTA=1)*(COUNTIF(CONFIG_ASIGNATURAS!$B$7:$B$27,nASIG)&gt;0)*(nNOTA))/SUMPRODUCT((nNIA=S221)*(nCUENTA=1)*(COUNTIF(CONFIG_ASIGNATURAS!$B$7:$B$27,nASIG)&gt;0)*1),"")))</f>
        <v/>
      </c>
      <c r="Z221" t="str">
        <f>IF(Y221="","",IF(Y221="[FÓRMULA MANUAL]","",IFERROR(AVERAGEIFS(nNOTA,nNIA,Y221,nCUENTA,1,nASIG,"Análisis"),"")))</f>
        <v/>
      </c>
      <c r="AA221" t="str">
        <f>IF(Y221="","",IF(Y221="[FÓRMULA MANUAL]","",IFERROR(AVERAGEIFS(nNOTA,nNIA,Y221,nCUENTA,1,nASIG,"Orquesta/Banda/Conjunto"),"")))</f>
        <v/>
      </c>
      <c r="AB221" t="str">
        <f>IF(Y221="","",IF(Y221="[FÓRMULA MANUAL]","",IFERROR(AVERAGEIFS(nNOTA,nNIA,Y221,nCUENTA,1,nASIG,"Música de Cámara"),"")))</f>
        <v/>
      </c>
      <c r="AC221" t="str">
        <f>IF(Y221="","",IF(Y221="[FÓRMULA MANUAL]","",IFERROR(SUMPRODUCT((nNIA=Y221)*(nCUENTA=1)*(COUNTIF(CONFIG_ASIGNATURAS!$B$7:$B$27,nASIG)&gt;0)*(nNOTA))/SUMPRODUCT((nNIA=Y221)*(nCUENTA=1)*(COUNTIF(CONFIG_ASIGNATURAS!$B$7:$B$27,nASIG)&gt;0)*1),"")))</f>
        <v/>
      </c>
      <c r="AF221" t="str">
        <f>IF(AE221="","",IF(AE221="[FÓRMULA MANUAL]","",IFERROR(AVERAGEIFS(nNOTA,nNIA,AE221,nCUENTA,1,nASIG,"Análisis"),"")))</f>
        <v/>
      </c>
      <c r="AG221" t="str">
        <f>IF(AE221="","",IF(AE221="[FÓRMULA MANUAL]","",IFERROR(AVERAGEIFS(nNOTA,nNIA,AE221,nCUENTA,1,nASIG,"Orquesta/Banda/Conjunto"),"")))</f>
        <v/>
      </c>
      <c r="AH221" t="str">
        <f>IF(AE221="","",IF(AE221="[FÓRMULA MANUAL]","",IFERROR(AVERAGEIFS(nNOTA,nNIA,AE221,nCUENTA,1,nASIG,"Música de Cámara"),"")))</f>
        <v/>
      </c>
      <c r="AI221" t="str">
        <f>IF(AE221="","",IF(AE221="[FÓRMULA MANUAL]","",IFERROR(SUMPRODUCT((nNIA=AE221)*(nCUENTA=1)*(COUNTIF(CONFIG_ASIGNATURAS!$B$7:$B$27,nASIG)&gt;0)*(nNOTA))/SUMPRODUCT((nNIA=AE221)*(nCUENTA=1)*(COUNTIF(CONFIG_ASIGNATURAS!$B$7:$B$27,nASIG)&gt;0)*1),"")))</f>
        <v/>
      </c>
    </row>
    <row r="222" spans="2:35" x14ac:dyDescent="0.2">
      <c r="B222" t="str">
        <f>IF(A222="","",IF(A222="[FÓRMULA MANUAL]","",IFERROR(AVERAGEIFS(nNOTA,nNIA,A222,nCUENTA,1,nASIG,"Lenguaje Musical"),"")))</f>
        <v/>
      </c>
      <c r="C222" t="str">
        <f>IF(A222="","",IF(A222="[FÓRMULA MANUAL]","",IFERROR(AVERAGEIFS(nNOTA,nNIA,A222,nCUENTA,1,nASIG,"Orquesta/Banda/Conjunto"),"")))</f>
        <v/>
      </c>
      <c r="D222" t="str">
        <f>IF(A222="","",IF(A222="[FÓRMULA MANUAL]","",IFERROR(AVERAGEIFS(nNOTA,nNIA,A222,nCUENTA,1,nASIG,"Conjunto"),"")))</f>
        <v/>
      </c>
      <c r="E222" t="str">
        <f>IF(A222="","",IF(A222="[FÓRMULA MANUAL]","",IFERROR(SUMPRODUCT((nNIA=A222)*(nCUENTA=1)*(COUNTIF(CONFIG_ASIGNATURAS!$B$7:$B$27,nASIG)&gt;0)*(nNOTA))/SUMPRODUCT((nNIA=A222)*(nCUENTA=1)*(COUNTIF(CONFIG_ASIGNATURAS!$B$7:$B$27,nASIG)&gt;0)*1),"")))</f>
        <v/>
      </c>
      <c r="H222" t="str">
        <f>IF(G222="","",IF(G222="[FÓRMULA MANUAL]","",IFERROR(AVERAGEIFS(nNOTA,nNIA,G222,nCUENTA,1,nASIG,"Lenguaje Musical"),"")))</f>
        <v/>
      </c>
      <c r="I222" t="str">
        <f>IF(G222="","",IF(G222="[FÓRMULA MANUAL]","",IFERROR(AVERAGEIFS(nNOTA,nNIA,G222,nCUENTA,1,nASIG,"Orquesta/Banda/Conjunto"),"")))</f>
        <v/>
      </c>
      <c r="J222" t="str">
        <f>IF(G222="","",IF(G222="[FÓRMULA MANUAL]","",IFERROR(AVERAGEIFS(nNOTA,nNIA,G222,nCUENTA,1,nASIG,"Conjunto"),"")))</f>
        <v/>
      </c>
      <c r="K222" t="str">
        <f>IF(G222="","",IF(G222="[FÓRMULA MANUAL]","",IFERROR(SUMPRODUCT((nNIA=G222)*(nCUENTA=1)*(COUNTIF(CONFIG_ASIGNATURAS!$B$7:$B$27,nASIG)&gt;0)*(nNOTA))/SUMPRODUCT((nNIA=G222)*(nCUENTA=1)*(COUNTIF(CONFIG_ASIGNATURAS!$B$7:$B$27,nASIG)&gt;0)*1),"")))</f>
        <v/>
      </c>
      <c r="N222" t="str">
        <f>IF(M222="","",IF(M222="[FÓRMULA MANUAL]","",IFERROR(AVERAGEIFS(nNOTA,nNIA,M222,nCUENTA,1,nASIG,"Armonía"),"")))</f>
        <v/>
      </c>
      <c r="O222" t="str">
        <f>IF(M222="","",IF(M222="[FÓRMULA MANUAL]","",IFERROR(AVERAGEIFS(nNOTA,nNIA,M222,nCUENTA,1,nASIG,"Orquesta/Banda/Conjunto"),"")))</f>
        <v/>
      </c>
      <c r="P222" t="str">
        <f>IF(M222="","",IF(M222="[FÓRMULA MANUAL]","",IFERROR(AVERAGEIFS(nNOTA,nNIA,M222,nCUENTA,1,nASIG,"Música de Cámara"),"")))</f>
        <v/>
      </c>
      <c r="Q222" t="str">
        <f>IF(M222="","",IF(M222="[FÓRMULA MANUAL]","",IFERROR(SUMPRODUCT((nNIA=M222)*(nCUENTA=1)*(COUNTIF(CONFIG_ASIGNATURAS!$B$7:$B$27,nASIG)&gt;0)*(nNOTA))/SUMPRODUCT((nNIA=M222)*(nCUENTA=1)*(COUNTIF(CONFIG_ASIGNATURAS!$B$7:$B$27,nASIG)&gt;0)*1),"")))</f>
        <v/>
      </c>
      <c r="T222" t="str">
        <f>IF(S222="","",IF(S222="[FÓRMULA MANUAL]","",IFERROR(AVERAGEIFS(nNOTA,nNIA,S222,nCUENTA,1,nASIG,"Armonía"),"")))</f>
        <v/>
      </c>
      <c r="U222" t="str">
        <f>IF(S222="","",IF(S222="[FÓRMULA MANUAL]","",IFERROR(AVERAGEIFS(nNOTA,nNIA,S222,nCUENTA,1,nASIG,"Orquesta/Banda/Conjunto"),"")))</f>
        <v/>
      </c>
      <c r="V222" t="str">
        <f>IF(S222="","",IF(S222="[FÓRMULA MANUAL]","",IFERROR(AVERAGEIFS(nNOTA,nNIA,S222,nCUENTA,1,nASIG,"Música de Cámara"),"")))</f>
        <v/>
      </c>
      <c r="W222" t="str">
        <f>IF(S222="","",IF(S222="[FÓRMULA MANUAL]","",IFERROR(SUMPRODUCT((nNIA=S222)*(nCUENTA=1)*(COUNTIF(CONFIG_ASIGNATURAS!$B$7:$B$27,nASIG)&gt;0)*(nNOTA))/SUMPRODUCT((nNIA=S222)*(nCUENTA=1)*(COUNTIF(CONFIG_ASIGNATURAS!$B$7:$B$27,nASIG)&gt;0)*1),"")))</f>
        <v/>
      </c>
      <c r="Z222" t="str">
        <f>IF(Y222="","",IF(Y222="[FÓRMULA MANUAL]","",IFERROR(AVERAGEIFS(nNOTA,nNIA,Y222,nCUENTA,1,nASIG,"Análisis"),"")))</f>
        <v/>
      </c>
      <c r="AA222" t="str">
        <f>IF(Y222="","",IF(Y222="[FÓRMULA MANUAL]","",IFERROR(AVERAGEIFS(nNOTA,nNIA,Y222,nCUENTA,1,nASIG,"Orquesta/Banda/Conjunto"),"")))</f>
        <v/>
      </c>
      <c r="AB222" t="str">
        <f>IF(Y222="","",IF(Y222="[FÓRMULA MANUAL]","",IFERROR(AVERAGEIFS(nNOTA,nNIA,Y222,nCUENTA,1,nASIG,"Música de Cámara"),"")))</f>
        <v/>
      </c>
      <c r="AC222" t="str">
        <f>IF(Y222="","",IF(Y222="[FÓRMULA MANUAL]","",IFERROR(SUMPRODUCT((nNIA=Y222)*(nCUENTA=1)*(COUNTIF(CONFIG_ASIGNATURAS!$B$7:$B$27,nASIG)&gt;0)*(nNOTA))/SUMPRODUCT((nNIA=Y222)*(nCUENTA=1)*(COUNTIF(CONFIG_ASIGNATURAS!$B$7:$B$27,nASIG)&gt;0)*1),"")))</f>
        <v/>
      </c>
      <c r="AF222" t="str">
        <f>IF(AE222="","",IF(AE222="[FÓRMULA MANUAL]","",IFERROR(AVERAGEIFS(nNOTA,nNIA,AE222,nCUENTA,1,nASIG,"Análisis"),"")))</f>
        <v/>
      </c>
      <c r="AG222" t="str">
        <f>IF(AE222="","",IF(AE222="[FÓRMULA MANUAL]","",IFERROR(AVERAGEIFS(nNOTA,nNIA,AE222,nCUENTA,1,nASIG,"Orquesta/Banda/Conjunto"),"")))</f>
        <v/>
      </c>
      <c r="AH222" t="str">
        <f>IF(AE222="","",IF(AE222="[FÓRMULA MANUAL]","",IFERROR(AVERAGEIFS(nNOTA,nNIA,AE222,nCUENTA,1,nASIG,"Música de Cámara"),"")))</f>
        <v/>
      </c>
      <c r="AI222" t="str">
        <f>IF(AE222="","",IF(AE222="[FÓRMULA MANUAL]","",IFERROR(SUMPRODUCT((nNIA=AE222)*(nCUENTA=1)*(COUNTIF(CONFIG_ASIGNATURAS!$B$7:$B$27,nASIG)&gt;0)*(nNOTA))/SUMPRODUCT((nNIA=AE222)*(nCUENTA=1)*(COUNTIF(CONFIG_ASIGNATURAS!$B$7:$B$27,nASIG)&gt;0)*1),"")))</f>
        <v/>
      </c>
    </row>
    <row r="223" spans="2:35" x14ac:dyDescent="0.2">
      <c r="B223" t="str">
        <f>IF(A223="","",IF(A223="[FÓRMULA MANUAL]","",IFERROR(AVERAGEIFS(nNOTA,nNIA,A223,nCUENTA,1,nASIG,"Lenguaje Musical"),"")))</f>
        <v/>
      </c>
      <c r="C223" t="str">
        <f>IF(A223="","",IF(A223="[FÓRMULA MANUAL]","",IFERROR(AVERAGEIFS(nNOTA,nNIA,A223,nCUENTA,1,nASIG,"Orquesta/Banda/Conjunto"),"")))</f>
        <v/>
      </c>
      <c r="D223" t="str">
        <f>IF(A223="","",IF(A223="[FÓRMULA MANUAL]","",IFERROR(AVERAGEIFS(nNOTA,nNIA,A223,nCUENTA,1,nASIG,"Conjunto"),"")))</f>
        <v/>
      </c>
      <c r="E223" t="str">
        <f>IF(A223="","",IF(A223="[FÓRMULA MANUAL]","",IFERROR(SUMPRODUCT((nNIA=A223)*(nCUENTA=1)*(COUNTIF(CONFIG_ASIGNATURAS!$B$7:$B$27,nASIG)&gt;0)*(nNOTA))/SUMPRODUCT((nNIA=A223)*(nCUENTA=1)*(COUNTIF(CONFIG_ASIGNATURAS!$B$7:$B$27,nASIG)&gt;0)*1),"")))</f>
        <v/>
      </c>
      <c r="H223" t="str">
        <f>IF(G223="","",IF(G223="[FÓRMULA MANUAL]","",IFERROR(AVERAGEIFS(nNOTA,nNIA,G223,nCUENTA,1,nASIG,"Lenguaje Musical"),"")))</f>
        <v/>
      </c>
      <c r="I223" t="str">
        <f>IF(G223="","",IF(G223="[FÓRMULA MANUAL]","",IFERROR(AVERAGEIFS(nNOTA,nNIA,G223,nCUENTA,1,nASIG,"Orquesta/Banda/Conjunto"),"")))</f>
        <v/>
      </c>
      <c r="J223" t="str">
        <f>IF(G223="","",IF(G223="[FÓRMULA MANUAL]","",IFERROR(AVERAGEIFS(nNOTA,nNIA,G223,nCUENTA,1,nASIG,"Conjunto"),"")))</f>
        <v/>
      </c>
      <c r="K223" t="str">
        <f>IF(G223="","",IF(G223="[FÓRMULA MANUAL]","",IFERROR(SUMPRODUCT((nNIA=G223)*(nCUENTA=1)*(COUNTIF(CONFIG_ASIGNATURAS!$B$7:$B$27,nASIG)&gt;0)*(nNOTA))/SUMPRODUCT((nNIA=G223)*(nCUENTA=1)*(COUNTIF(CONFIG_ASIGNATURAS!$B$7:$B$27,nASIG)&gt;0)*1),"")))</f>
        <v/>
      </c>
      <c r="N223" t="str">
        <f>IF(M223="","",IF(M223="[FÓRMULA MANUAL]","",IFERROR(AVERAGEIFS(nNOTA,nNIA,M223,nCUENTA,1,nASIG,"Armonía"),"")))</f>
        <v/>
      </c>
      <c r="O223" t="str">
        <f>IF(M223="","",IF(M223="[FÓRMULA MANUAL]","",IFERROR(AVERAGEIFS(nNOTA,nNIA,M223,nCUENTA,1,nASIG,"Orquesta/Banda/Conjunto"),"")))</f>
        <v/>
      </c>
      <c r="P223" t="str">
        <f>IF(M223="","",IF(M223="[FÓRMULA MANUAL]","",IFERROR(AVERAGEIFS(nNOTA,nNIA,M223,nCUENTA,1,nASIG,"Música de Cámara"),"")))</f>
        <v/>
      </c>
      <c r="Q223" t="str">
        <f>IF(M223="","",IF(M223="[FÓRMULA MANUAL]","",IFERROR(SUMPRODUCT((nNIA=M223)*(nCUENTA=1)*(COUNTIF(CONFIG_ASIGNATURAS!$B$7:$B$27,nASIG)&gt;0)*(nNOTA))/SUMPRODUCT((nNIA=M223)*(nCUENTA=1)*(COUNTIF(CONFIG_ASIGNATURAS!$B$7:$B$27,nASIG)&gt;0)*1),"")))</f>
        <v/>
      </c>
      <c r="T223" t="str">
        <f>IF(S223="","",IF(S223="[FÓRMULA MANUAL]","",IFERROR(AVERAGEIFS(nNOTA,nNIA,S223,nCUENTA,1,nASIG,"Armonía"),"")))</f>
        <v/>
      </c>
      <c r="U223" t="str">
        <f>IF(S223="","",IF(S223="[FÓRMULA MANUAL]","",IFERROR(AVERAGEIFS(nNOTA,nNIA,S223,nCUENTA,1,nASIG,"Orquesta/Banda/Conjunto"),"")))</f>
        <v/>
      </c>
      <c r="V223" t="str">
        <f>IF(S223="","",IF(S223="[FÓRMULA MANUAL]","",IFERROR(AVERAGEIFS(nNOTA,nNIA,S223,nCUENTA,1,nASIG,"Música de Cámara"),"")))</f>
        <v/>
      </c>
      <c r="W223" t="str">
        <f>IF(S223="","",IF(S223="[FÓRMULA MANUAL]","",IFERROR(SUMPRODUCT((nNIA=S223)*(nCUENTA=1)*(COUNTIF(CONFIG_ASIGNATURAS!$B$7:$B$27,nASIG)&gt;0)*(nNOTA))/SUMPRODUCT((nNIA=S223)*(nCUENTA=1)*(COUNTIF(CONFIG_ASIGNATURAS!$B$7:$B$27,nASIG)&gt;0)*1),"")))</f>
        <v/>
      </c>
      <c r="Z223" t="str">
        <f>IF(Y223="","",IF(Y223="[FÓRMULA MANUAL]","",IFERROR(AVERAGEIFS(nNOTA,nNIA,Y223,nCUENTA,1,nASIG,"Análisis"),"")))</f>
        <v/>
      </c>
      <c r="AA223" t="str">
        <f>IF(Y223="","",IF(Y223="[FÓRMULA MANUAL]","",IFERROR(AVERAGEIFS(nNOTA,nNIA,Y223,nCUENTA,1,nASIG,"Orquesta/Banda/Conjunto"),"")))</f>
        <v/>
      </c>
      <c r="AB223" t="str">
        <f>IF(Y223="","",IF(Y223="[FÓRMULA MANUAL]","",IFERROR(AVERAGEIFS(nNOTA,nNIA,Y223,nCUENTA,1,nASIG,"Música de Cámara"),"")))</f>
        <v/>
      </c>
      <c r="AC223" t="str">
        <f>IF(Y223="","",IF(Y223="[FÓRMULA MANUAL]","",IFERROR(SUMPRODUCT((nNIA=Y223)*(nCUENTA=1)*(COUNTIF(CONFIG_ASIGNATURAS!$B$7:$B$27,nASIG)&gt;0)*(nNOTA))/SUMPRODUCT((nNIA=Y223)*(nCUENTA=1)*(COUNTIF(CONFIG_ASIGNATURAS!$B$7:$B$27,nASIG)&gt;0)*1),"")))</f>
        <v/>
      </c>
      <c r="AF223" t="str">
        <f>IF(AE223="","",IF(AE223="[FÓRMULA MANUAL]","",IFERROR(AVERAGEIFS(nNOTA,nNIA,AE223,nCUENTA,1,nASIG,"Análisis"),"")))</f>
        <v/>
      </c>
      <c r="AG223" t="str">
        <f>IF(AE223="","",IF(AE223="[FÓRMULA MANUAL]","",IFERROR(AVERAGEIFS(nNOTA,nNIA,AE223,nCUENTA,1,nASIG,"Orquesta/Banda/Conjunto"),"")))</f>
        <v/>
      </c>
      <c r="AH223" t="str">
        <f>IF(AE223="","",IF(AE223="[FÓRMULA MANUAL]","",IFERROR(AVERAGEIFS(nNOTA,nNIA,AE223,nCUENTA,1,nASIG,"Música de Cámara"),"")))</f>
        <v/>
      </c>
      <c r="AI223" t="str">
        <f>IF(AE223="","",IF(AE223="[FÓRMULA MANUAL]","",IFERROR(SUMPRODUCT((nNIA=AE223)*(nCUENTA=1)*(COUNTIF(CONFIG_ASIGNATURAS!$B$7:$B$27,nASIG)&gt;0)*(nNOTA))/SUMPRODUCT((nNIA=AE223)*(nCUENTA=1)*(COUNTIF(CONFIG_ASIGNATURAS!$B$7:$B$27,nASIG)&gt;0)*1),"")))</f>
        <v/>
      </c>
    </row>
    <row r="224" spans="2:35" x14ac:dyDescent="0.2">
      <c r="B224" t="str">
        <f>IF(A224="","",IF(A224="[FÓRMULA MANUAL]","",IFERROR(AVERAGEIFS(nNOTA,nNIA,A224,nCUENTA,1,nASIG,"Lenguaje Musical"),"")))</f>
        <v/>
      </c>
      <c r="C224" t="str">
        <f>IF(A224="","",IF(A224="[FÓRMULA MANUAL]","",IFERROR(AVERAGEIFS(nNOTA,nNIA,A224,nCUENTA,1,nASIG,"Orquesta/Banda/Conjunto"),"")))</f>
        <v/>
      </c>
      <c r="D224" t="str">
        <f>IF(A224="","",IF(A224="[FÓRMULA MANUAL]","",IFERROR(AVERAGEIFS(nNOTA,nNIA,A224,nCUENTA,1,nASIG,"Conjunto"),"")))</f>
        <v/>
      </c>
      <c r="E224" t="str">
        <f>IF(A224="","",IF(A224="[FÓRMULA MANUAL]","",IFERROR(SUMPRODUCT((nNIA=A224)*(nCUENTA=1)*(COUNTIF(CONFIG_ASIGNATURAS!$B$7:$B$27,nASIG)&gt;0)*(nNOTA))/SUMPRODUCT((nNIA=A224)*(nCUENTA=1)*(COUNTIF(CONFIG_ASIGNATURAS!$B$7:$B$27,nASIG)&gt;0)*1),"")))</f>
        <v/>
      </c>
      <c r="H224" t="str">
        <f>IF(G224="","",IF(G224="[FÓRMULA MANUAL]","",IFERROR(AVERAGEIFS(nNOTA,nNIA,G224,nCUENTA,1,nASIG,"Lenguaje Musical"),"")))</f>
        <v/>
      </c>
      <c r="I224" t="str">
        <f>IF(G224="","",IF(G224="[FÓRMULA MANUAL]","",IFERROR(AVERAGEIFS(nNOTA,nNIA,G224,nCUENTA,1,nASIG,"Orquesta/Banda/Conjunto"),"")))</f>
        <v/>
      </c>
      <c r="J224" t="str">
        <f>IF(G224="","",IF(G224="[FÓRMULA MANUAL]","",IFERROR(AVERAGEIFS(nNOTA,nNIA,G224,nCUENTA,1,nASIG,"Conjunto"),"")))</f>
        <v/>
      </c>
      <c r="K224" t="str">
        <f>IF(G224="","",IF(G224="[FÓRMULA MANUAL]","",IFERROR(SUMPRODUCT((nNIA=G224)*(nCUENTA=1)*(COUNTIF(CONFIG_ASIGNATURAS!$B$7:$B$27,nASIG)&gt;0)*(nNOTA))/SUMPRODUCT((nNIA=G224)*(nCUENTA=1)*(COUNTIF(CONFIG_ASIGNATURAS!$B$7:$B$27,nASIG)&gt;0)*1),"")))</f>
        <v/>
      </c>
      <c r="N224" t="str">
        <f>IF(M224="","",IF(M224="[FÓRMULA MANUAL]","",IFERROR(AVERAGEIFS(nNOTA,nNIA,M224,nCUENTA,1,nASIG,"Armonía"),"")))</f>
        <v/>
      </c>
      <c r="O224" t="str">
        <f>IF(M224="","",IF(M224="[FÓRMULA MANUAL]","",IFERROR(AVERAGEIFS(nNOTA,nNIA,M224,nCUENTA,1,nASIG,"Orquesta/Banda/Conjunto"),"")))</f>
        <v/>
      </c>
      <c r="P224" t="str">
        <f>IF(M224="","",IF(M224="[FÓRMULA MANUAL]","",IFERROR(AVERAGEIFS(nNOTA,nNIA,M224,nCUENTA,1,nASIG,"Música de Cámara"),"")))</f>
        <v/>
      </c>
      <c r="Q224" t="str">
        <f>IF(M224="","",IF(M224="[FÓRMULA MANUAL]","",IFERROR(SUMPRODUCT((nNIA=M224)*(nCUENTA=1)*(COUNTIF(CONFIG_ASIGNATURAS!$B$7:$B$27,nASIG)&gt;0)*(nNOTA))/SUMPRODUCT((nNIA=M224)*(nCUENTA=1)*(COUNTIF(CONFIG_ASIGNATURAS!$B$7:$B$27,nASIG)&gt;0)*1),"")))</f>
        <v/>
      </c>
      <c r="T224" t="str">
        <f>IF(S224="","",IF(S224="[FÓRMULA MANUAL]","",IFERROR(AVERAGEIFS(nNOTA,nNIA,S224,nCUENTA,1,nASIG,"Armonía"),"")))</f>
        <v/>
      </c>
      <c r="U224" t="str">
        <f>IF(S224="","",IF(S224="[FÓRMULA MANUAL]","",IFERROR(AVERAGEIFS(nNOTA,nNIA,S224,nCUENTA,1,nASIG,"Orquesta/Banda/Conjunto"),"")))</f>
        <v/>
      </c>
      <c r="V224" t="str">
        <f>IF(S224="","",IF(S224="[FÓRMULA MANUAL]","",IFERROR(AVERAGEIFS(nNOTA,nNIA,S224,nCUENTA,1,nASIG,"Música de Cámara"),"")))</f>
        <v/>
      </c>
      <c r="W224" t="str">
        <f>IF(S224="","",IF(S224="[FÓRMULA MANUAL]","",IFERROR(SUMPRODUCT((nNIA=S224)*(nCUENTA=1)*(COUNTIF(CONFIG_ASIGNATURAS!$B$7:$B$27,nASIG)&gt;0)*(nNOTA))/SUMPRODUCT((nNIA=S224)*(nCUENTA=1)*(COUNTIF(CONFIG_ASIGNATURAS!$B$7:$B$27,nASIG)&gt;0)*1),"")))</f>
        <v/>
      </c>
      <c r="Z224" t="str">
        <f>IF(Y224="","",IF(Y224="[FÓRMULA MANUAL]","",IFERROR(AVERAGEIFS(nNOTA,nNIA,Y224,nCUENTA,1,nASIG,"Análisis"),"")))</f>
        <v/>
      </c>
      <c r="AA224" t="str">
        <f>IF(Y224="","",IF(Y224="[FÓRMULA MANUAL]","",IFERROR(AVERAGEIFS(nNOTA,nNIA,Y224,nCUENTA,1,nASIG,"Orquesta/Banda/Conjunto"),"")))</f>
        <v/>
      </c>
      <c r="AB224" t="str">
        <f>IF(Y224="","",IF(Y224="[FÓRMULA MANUAL]","",IFERROR(AVERAGEIFS(nNOTA,nNIA,Y224,nCUENTA,1,nASIG,"Música de Cámara"),"")))</f>
        <v/>
      </c>
      <c r="AC224" t="str">
        <f>IF(Y224="","",IF(Y224="[FÓRMULA MANUAL]","",IFERROR(SUMPRODUCT((nNIA=Y224)*(nCUENTA=1)*(COUNTIF(CONFIG_ASIGNATURAS!$B$7:$B$27,nASIG)&gt;0)*(nNOTA))/SUMPRODUCT((nNIA=Y224)*(nCUENTA=1)*(COUNTIF(CONFIG_ASIGNATURAS!$B$7:$B$27,nASIG)&gt;0)*1),"")))</f>
        <v/>
      </c>
      <c r="AF224" t="str">
        <f>IF(AE224="","",IF(AE224="[FÓRMULA MANUAL]","",IFERROR(AVERAGEIFS(nNOTA,nNIA,AE224,nCUENTA,1,nASIG,"Análisis"),"")))</f>
        <v/>
      </c>
      <c r="AG224" t="str">
        <f>IF(AE224="","",IF(AE224="[FÓRMULA MANUAL]","",IFERROR(AVERAGEIFS(nNOTA,nNIA,AE224,nCUENTA,1,nASIG,"Orquesta/Banda/Conjunto"),"")))</f>
        <v/>
      </c>
      <c r="AH224" t="str">
        <f>IF(AE224="","",IF(AE224="[FÓRMULA MANUAL]","",IFERROR(AVERAGEIFS(nNOTA,nNIA,AE224,nCUENTA,1,nASIG,"Música de Cámara"),"")))</f>
        <v/>
      </c>
      <c r="AI224" t="str">
        <f>IF(AE224="","",IF(AE224="[FÓRMULA MANUAL]","",IFERROR(SUMPRODUCT((nNIA=AE224)*(nCUENTA=1)*(COUNTIF(CONFIG_ASIGNATURAS!$B$7:$B$27,nASIG)&gt;0)*(nNOTA))/SUMPRODUCT((nNIA=AE224)*(nCUENTA=1)*(COUNTIF(CONFIG_ASIGNATURAS!$B$7:$B$27,nASIG)&gt;0)*1),"")))</f>
        <v/>
      </c>
    </row>
    <row r="225" spans="2:35" x14ac:dyDescent="0.2">
      <c r="B225" t="str">
        <f>IF(A225="","",IF(A225="[FÓRMULA MANUAL]","",IFERROR(AVERAGEIFS(nNOTA,nNIA,A225,nCUENTA,1,nASIG,"Lenguaje Musical"),"")))</f>
        <v/>
      </c>
      <c r="C225" t="str">
        <f>IF(A225="","",IF(A225="[FÓRMULA MANUAL]","",IFERROR(AVERAGEIFS(nNOTA,nNIA,A225,nCUENTA,1,nASIG,"Orquesta/Banda/Conjunto"),"")))</f>
        <v/>
      </c>
      <c r="D225" t="str">
        <f>IF(A225="","",IF(A225="[FÓRMULA MANUAL]","",IFERROR(AVERAGEIFS(nNOTA,nNIA,A225,nCUENTA,1,nASIG,"Conjunto"),"")))</f>
        <v/>
      </c>
      <c r="E225" t="str">
        <f>IF(A225="","",IF(A225="[FÓRMULA MANUAL]","",IFERROR(SUMPRODUCT((nNIA=A225)*(nCUENTA=1)*(COUNTIF(CONFIG_ASIGNATURAS!$B$7:$B$27,nASIG)&gt;0)*(nNOTA))/SUMPRODUCT((nNIA=A225)*(nCUENTA=1)*(COUNTIF(CONFIG_ASIGNATURAS!$B$7:$B$27,nASIG)&gt;0)*1),"")))</f>
        <v/>
      </c>
      <c r="H225" t="str">
        <f>IF(G225="","",IF(G225="[FÓRMULA MANUAL]","",IFERROR(AVERAGEIFS(nNOTA,nNIA,G225,nCUENTA,1,nASIG,"Lenguaje Musical"),"")))</f>
        <v/>
      </c>
      <c r="I225" t="str">
        <f>IF(G225="","",IF(G225="[FÓRMULA MANUAL]","",IFERROR(AVERAGEIFS(nNOTA,nNIA,G225,nCUENTA,1,nASIG,"Orquesta/Banda/Conjunto"),"")))</f>
        <v/>
      </c>
      <c r="J225" t="str">
        <f>IF(G225="","",IF(G225="[FÓRMULA MANUAL]","",IFERROR(AVERAGEIFS(nNOTA,nNIA,G225,nCUENTA,1,nASIG,"Conjunto"),"")))</f>
        <v/>
      </c>
      <c r="K225" t="str">
        <f>IF(G225="","",IF(G225="[FÓRMULA MANUAL]","",IFERROR(SUMPRODUCT((nNIA=G225)*(nCUENTA=1)*(COUNTIF(CONFIG_ASIGNATURAS!$B$7:$B$27,nASIG)&gt;0)*(nNOTA))/SUMPRODUCT((nNIA=G225)*(nCUENTA=1)*(COUNTIF(CONFIG_ASIGNATURAS!$B$7:$B$27,nASIG)&gt;0)*1),"")))</f>
        <v/>
      </c>
      <c r="N225" t="str">
        <f>IF(M225="","",IF(M225="[FÓRMULA MANUAL]","",IFERROR(AVERAGEIFS(nNOTA,nNIA,M225,nCUENTA,1,nASIG,"Armonía"),"")))</f>
        <v/>
      </c>
      <c r="O225" t="str">
        <f>IF(M225="","",IF(M225="[FÓRMULA MANUAL]","",IFERROR(AVERAGEIFS(nNOTA,nNIA,M225,nCUENTA,1,nASIG,"Orquesta/Banda/Conjunto"),"")))</f>
        <v/>
      </c>
      <c r="P225" t="str">
        <f>IF(M225="","",IF(M225="[FÓRMULA MANUAL]","",IFERROR(AVERAGEIFS(nNOTA,nNIA,M225,nCUENTA,1,nASIG,"Música de Cámara"),"")))</f>
        <v/>
      </c>
      <c r="Q225" t="str">
        <f>IF(M225="","",IF(M225="[FÓRMULA MANUAL]","",IFERROR(SUMPRODUCT((nNIA=M225)*(nCUENTA=1)*(COUNTIF(CONFIG_ASIGNATURAS!$B$7:$B$27,nASIG)&gt;0)*(nNOTA))/SUMPRODUCT((nNIA=M225)*(nCUENTA=1)*(COUNTIF(CONFIG_ASIGNATURAS!$B$7:$B$27,nASIG)&gt;0)*1),"")))</f>
        <v/>
      </c>
      <c r="T225" t="str">
        <f>IF(S225="","",IF(S225="[FÓRMULA MANUAL]","",IFERROR(AVERAGEIFS(nNOTA,nNIA,S225,nCUENTA,1,nASIG,"Armonía"),"")))</f>
        <v/>
      </c>
      <c r="U225" t="str">
        <f>IF(S225="","",IF(S225="[FÓRMULA MANUAL]","",IFERROR(AVERAGEIFS(nNOTA,nNIA,S225,nCUENTA,1,nASIG,"Orquesta/Banda/Conjunto"),"")))</f>
        <v/>
      </c>
      <c r="V225" t="str">
        <f>IF(S225="","",IF(S225="[FÓRMULA MANUAL]","",IFERROR(AVERAGEIFS(nNOTA,nNIA,S225,nCUENTA,1,nASIG,"Música de Cámara"),"")))</f>
        <v/>
      </c>
      <c r="W225" t="str">
        <f>IF(S225="","",IF(S225="[FÓRMULA MANUAL]","",IFERROR(SUMPRODUCT((nNIA=S225)*(nCUENTA=1)*(COUNTIF(CONFIG_ASIGNATURAS!$B$7:$B$27,nASIG)&gt;0)*(nNOTA))/SUMPRODUCT((nNIA=S225)*(nCUENTA=1)*(COUNTIF(CONFIG_ASIGNATURAS!$B$7:$B$27,nASIG)&gt;0)*1),"")))</f>
        <v/>
      </c>
      <c r="Z225" t="str">
        <f>IF(Y225="","",IF(Y225="[FÓRMULA MANUAL]","",IFERROR(AVERAGEIFS(nNOTA,nNIA,Y225,nCUENTA,1,nASIG,"Análisis"),"")))</f>
        <v/>
      </c>
      <c r="AA225" t="str">
        <f>IF(Y225="","",IF(Y225="[FÓRMULA MANUAL]","",IFERROR(AVERAGEIFS(nNOTA,nNIA,Y225,nCUENTA,1,nASIG,"Orquesta/Banda/Conjunto"),"")))</f>
        <v/>
      </c>
      <c r="AB225" t="str">
        <f>IF(Y225="","",IF(Y225="[FÓRMULA MANUAL]","",IFERROR(AVERAGEIFS(nNOTA,nNIA,Y225,nCUENTA,1,nASIG,"Música de Cámara"),"")))</f>
        <v/>
      </c>
      <c r="AC225" t="str">
        <f>IF(Y225="","",IF(Y225="[FÓRMULA MANUAL]","",IFERROR(SUMPRODUCT((nNIA=Y225)*(nCUENTA=1)*(COUNTIF(CONFIG_ASIGNATURAS!$B$7:$B$27,nASIG)&gt;0)*(nNOTA))/SUMPRODUCT((nNIA=Y225)*(nCUENTA=1)*(COUNTIF(CONFIG_ASIGNATURAS!$B$7:$B$27,nASIG)&gt;0)*1),"")))</f>
        <v/>
      </c>
      <c r="AF225" t="str">
        <f>IF(AE225="","",IF(AE225="[FÓRMULA MANUAL]","",IFERROR(AVERAGEIFS(nNOTA,nNIA,AE225,nCUENTA,1,nASIG,"Análisis"),"")))</f>
        <v/>
      </c>
      <c r="AG225" t="str">
        <f>IF(AE225="","",IF(AE225="[FÓRMULA MANUAL]","",IFERROR(AVERAGEIFS(nNOTA,nNIA,AE225,nCUENTA,1,nASIG,"Orquesta/Banda/Conjunto"),"")))</f>
        <v/>
      </c>
      <c r="AH225" t="str">
        <f>IF(AE225="","",IF(AE225="[FÓRMULA MANUAL]","",IFERROR(AVERAGEIFS(nNOTA,nNIA,AE225,nCUENTA,1,nASIG,"Música de Cámara"),"")))</f>
        <v/>
      </c>
      <c r="AI225" t="str">
        <f>IF(AE225="","",IF(AE225="[FÓRMULA MANUAL]","",IFERROR(SUMPRODUCT((nNIA=AE225)*(nCUENTA=1)*(COUNTIF(CONFIG_ASIGNATURAS!$B$7:$B$27,nASIG)&gt;0)*(nNOTA))/SUMPRODUCT((nNIA=AE225)*(nCUENTA=1)*(COUNTIF(CONFIG_ASIGNATURAS!$B$7:$B$27,nASIG)&gt;0)*1),"")))</f>
        <v/>
      </c>
    </row>
    <row r="226" spans="2:35" x14ac:dyDescent="0.2">
      <c r="B226" t="str">
        <f>IF(A226="","",IF(A226="[FÓRMULA MANUAL]","",IFERROR(AVERAGEIFS(nNOTA,nNIA,A226,nCUENTA,1,nASIG,"Lenguaje Musical"),"")))</f>
        <v/>
      </c>
      <c r="C226" t="str">
        <f>IF(A226="","",IF(A226="[FÓRMULA MANUAL]","",IFERROR(AVERAGEIFS(nNOTA,nNIA,A226,nCUENTA,1,nASIG,"Orquesta/Banda/Conjunto"),"")))</f>
        <v/>
      </c>
      <c r="D226" t="str">
        <f>IF(A226="","",IF(A226="[FÓRMULA MANUAL]","",IFERROR(AVERAGEIFS(nNOTA,nNIA,A226,nCUENTA,1,nASIG,"Conjunto"),"")))</f>
        <v/>
      </c>
      <c r="E226" t="str">
        <f>IF(A226="","",IF(A226="[FÓRMULA MANUAL]","",IFERROR(SUMPRODUCT((nNIA=A226)*(nCUENTA=1)*(COUNTIF(CONFIG_ASIGNATURAS!$B$7:$B$27,nASIG)&gt;0)*(nNOTA))/SUMPRODUCT((nNIA=A226)*(nCUENTA=1)*(COUNTIF(CONFIG_ASIGNATURAS!$B$7:$B$27,nASIG)&gt;0)*1),"")))</f>
        <v/>
      </c>
      <c r="H226" t="str">
        <f>IF(G226="","",IF(G226="[FÓRMULA MANUAL]","",IFERROR(AVERAGEIFS(nNOTA,nNIA,G226,nCUENTA,1,nASIG,"Lenguaje Musical"),"")))</f>
        <v/>
      </c>
      <c r="I226" t="str">
        <f>IF(G226="","",IF(G226="[FÓRMULA MANUAL]","",IFERROR(AVERAGEIFS(nNOTA,nNIA,G226,nCUENTA,1,nASIG,"Orquesta/Banda/Conjunto"),"")))</f>
        <v/>
      </c>
      <c r="J226" t="str">
        <f>IF(G226="","",IF(G226="[FÓRMULA MANUAL]","",IFERROR(AVERAGEIFS(nNOTA,nNIA,G226,nCUENTA,1,nASIG,"Conjunto"),"")))</f>
        <v/>
      </c>
      <c r="K226" t="str">
        <f>IF(G226="","",IF(G226="[FÓRMULA MANUAL]","",IFERROR(SUMPRODUCT((nNIA=G226)*(nCUENTA=1)*(COUNTIF(CONFIG_ASIGNATURAS!$B$7:$B$27,nASIG)&gt;0)*(nNOTA))/SUMPRODUCT((nNIA=G226)*(nCUENTA=1)*(COUNTIF(CONFIG_ASIGNATURAS!$B$7:$B$27,nASIG)&gt;0)*1),"")))</f>
        <v/>
      </c>
      <c r="N226" t="str">
        <f>IF(M226="","",IF(M226="[FÓRMULA MANUAL]","",IFERROR(AVERAGEIFS(nNOTA,nNIA,M226,nCUENTA,1,nASIG,"Armonía"),"")))</f>
        <v/>
      </c>
      <c r="O226" t="str">
        <f>IF(M226="","",IF(M226="[FÓRMULA MANUAL]","",IFERROR(AVERAGEIFS(nNOTA,nNIA,M226,nCUENTA,1,nASIG,"Orquesta/Banda/Conjunto"),"")))</f>
        <v/>
      </c>
      <c r="P226" t="str">
        <f>IF(M226="","",IF(M226="[FÓRMULA MANUAL]","",IFERROR(AVERAGEIFS(nNOTA,nNIA,M226,nCUENTA,1,nASIG,"Música de Cámara"),"")))</f>
        <v/>
      </c>
      <c r="Q226" t="str">
        <f>IF(M226="","",IF(M226="[FÓRMULA MANUAL]","",IFERROR(SUMPRODUCT((nNIA=M226)*(nCUENTA=1)*(COUNTIF(CONFIG_ASIGNATURAS!$B$7:$B$27,nASIG)&gt;0)*(nNOTA))/SUMPRODUCT((nNIA=M226)*(nCUENTA=1)*(COUNTIF(CONFIG_ASIGNATURAS!$B$7:$B$27,nASIG)&gt;0)*1),"")))</f>
        <v/>
      </c>
      <c r="T226" t="str">
        <f>IF(S226="","",IF(S226="[FÓRMULA MANUAL]","",IFERROR(AVERAGEIFS(nNOTA,nNIA,S226,nCUENTA,1,nASIG,"Armonía"),"")))</f>
        <v/>
      </c>
      <c r="U226" t="str">
        <f>IF(S226="","",IF(S226="[FÓRMULA MANUAL]","",IFERROR(AVERAGEIFS(nNOTA,nNIA,S226,nCUENTA,1,nASIG,"Orquesta/Banda/Conjunto"),"")))</f>
        <v/>
      </c>
      <c r="V226" t="str">
        <f>IF(S226="","",IF(S226="[FÓRMULA MANUAL]","",IFERROR(AVERAGEIFS(nNOTA,nNIA,S226,nCUENTA,1,nASIG,"Música de Cámara"),"")))</f>
        <v/>
      </c>
      <c r="W226" t="str">
        <f>IF(S226="","",IF(S226="[FÓRMULA MANUAL]","",IFERROR(SUMPRODUCT((nNIA=S226)*(nCUENTA=1)*(COUNTIF(CONFIG_ASIGNATURAS!$B$7:$B$27,nASIG)&gt;0)*(nNOTA))/SUMPRODUCT((nNIA=S226)*(nCUENTA=1)*(COUNTIF(CONFIG_ASIGNATURAS!$B$7:$B$27,nASIG)&gt;0)*1),"")))</f>
        <v/>
      </c>
      <c r="Z226" t="str">
        <f>IF(Y226="","",IF(Y226="[FÓRMULA MANUAL]","",IFERROR(AVERAGEIFS(nNOTA,nNIA,Y226,nCUENTA,1,nASIG,"Análisis"),"")))</f>
        <v/>
      </c>
      <c r="AA226" t="str">
        <f>IF(Y226="","",IF(Y226="[FÓRMULA MANUAL]","",IFERROR(AVERAGEIFS(nNOTA,nNIA,Y226,nCUENTA,1,nASIG,"Orquesta/Banda/Conjunto"),"")))</f>
        <v/>
      </c>
      <c r="AB226" t="str">
        <f>IF(Y226="","",IF(Y226="[FÓRMULA MANUAL]","",IFERROR(AVERAGEIFS(nNOTA,nNIA,Y226,nCUENTA,1,nASIG,"Música de Cámara"),"")))</f>
        <v/>
      </c>
      <c r="AC226" t="str">
        <f>IF(Y226="","",IF(Y226="[FÓRMULA MANUAL]","",IFERROR(SUMPRODUCT((nNIA=Y226)*(nCUENTA=1)*(COUNTIF(CONFIG_ASIGNATURAS!$B$7:$B$27,nASIG)&gt;0)*(nNOTA))/SUMPRODUCT((nNIA=Y226)*(nCUENTA=1)*(COUNTIF(CONFIG_ASIGNATURAS!$B$7:$B$27,nASIG)&gt;0)*1),"")))</f>
        <v/>
      </c>
      <c r="AF226" t="str">
        <f>IF(AE226="","",IF(AE226="[FÓRMULA MANUAL]","",IFERROR(AVERAGEIFS(nNOTA,nNIA,AE226,nCUENTA,1,nASIG,"Análisis"),"")))</f>
        <v/>
      </c>
      <c r="AG226" t="str">
        <f>IF(AE226="","",IF(AE226="[FÓRMULA MANUAL]","",IFERROR(AVERAGEIFS(nNOTA,nNIA,AE226,nCUENTA,1,nASIG,"Orquesta/Banda/Conjunto"),"")))</f>
        <v/>
      </c>
      <c r="AH226" t="str">
        <f>IF(AE226="","",IF(AE226="[FÓRMULA MANUAL]","",IFERROR(AVERAGEIFS(nNOTA,nNIA,AE226,nCUENTA,1,nASIG,"Música de Cámara"),"")))</f>
        <v/>
      </c>
      <c r="AI226" t="str">
        <f>IF(AE226="","",IF(AE226="[FÓRMULA MANUAL]","",IFERROR(SUMPRODUCT((nNIA=AE226)*(nCUENTA=1)*(COUNTIF(CONFIG_ASIGNATURAS!$B$7:$B$27,nASIG)&gt;0)*(nNOTA))/SUMPRODUCT((nNIA=AE226)*(nCUENTA=1)*(COUNTIF(CONFIG_ASIGNATURAS!$B$7:$B$27,nASIG)&gt;0)*1),"")))</f>
        <v/>
      </c>
    </row>
    <row r="227" spans="2:35" x14ac:dyDescent="0.2">
      <c r="B227" t="str">
        <f>IF(A227="","",IF(A227="[FÓRMULA MANUAL]","",IFERROR(AVERAGEIFS(nNOTA,nNIA,A227,nCUENTA,1,nASIG,"Lenguaje Musical"),"")))</f>
        <v/>
      </c>
      <c r="C227" t="str">
        <f>IF(A227="","",IF(A227="[FÓRMULA MANUAL]","",IFERROR(AVERAGEIFS(nNOTA,nNIA,A227,nCUENTA,1,nASIG,"Orquesta/Banda/Conjunto"),"")))</f>
        <v/>
      </c>
      <c r="D227" t="str">
        <f>IF(A227="","",IF(A227="[FÓRMULA MANUAL]","",IFERROR(AVERAGEIFS(nNOTA,nNIA,A227,nCUENTA,1,nASIG,"Conjunto"),"")))</f>
        <v/>
      </c>
      <c r="E227" t="str">
        <f>IF(A227="","",IF(A227="[FÓRMULA MANUAL]","",IFERROR(SUMPRODUCT((nNIA=A227)*(nCUENTA=1)*(COUNTIF(CONFIG_ASIGNATURAS!$B$7:$B$27,nASIG)&gt;0)*(nNOTA))/SUMPRODUCT((nNIA=A227)*(nCUENTA=1)*(COUNTIF(CONFIG_ASIGNATURAS!$B$7:$B$27,nASIG)&gt;0)*1),"")))</f>
        <v/>
      </c>
      <c r="H227" t="str">
        <f>IF(G227="","",IF(G227="[FÓRMULA MANUAL]","",IFERROR(AVERAGEIFS(nNOTA,nNIA,G227,nCUENTA,1,nASIG,"Lenguaje Musical"),"")))</f>
        <v/>
      </c>
      <c r="I227" t="str">
        <f>IF(G227="","",IF(G227="[FÓRMULA MANUAL]","",IFERROR(AVERAGEIFS(nNOTA,nNIA,G227,nCUENTA,1,nASIG,"Orquesta/Banda/Conjunto"),"")))</f>
        <v/>
      </c>
      <c r="J227" t="str">
        <f>IF(G227="","",IF(G227="[FÓRMULA MANUAL]","",IFERROR(AVERAGEIFS(nNOTA,nNIA,G227,nCUENTA,1,nASIG,"Conjunto"),"")))</f>
        <v/>
      </c>
      <c r="K227" t="str">
        <f>IF(G227="","",IF(G227="[FÓRMULA MANUAL]","",IFERROR(SUMPRODUCT((nNIA=G227)*(nCUENTA=1)*(COUNTIF(CONFIG_ASIGNATURAS!$B$7:$B$27,nASIG)&gt;0)*(nNOTA))/SUMPRODUCT((nNIA=G227)*(nCUENTA=1)*(COUNTIF(CONFIG_ASIGNATURAS!$B$7:$B$27,nASIG)&gt;0)*1),"")))</f>
        <v/>
      </c>
      <c r="N227" t="str">
        <f>IF(M227="","",IF(M227="[FÓRMULA MANUAL]","",IFERROR(AVERAGEIFS(nNOTA,nNIA,M227,nCUENTA,1,nASIG,"Armonía"),"")))</f>
        <v/>
      </c>
      <c r="O227" t="str">
        <f>IF(M227="","",IF(M227="[FÓRMULA MANUAL]","",IFERROR(AVERAGEIFS(nNOTA,nNIA,M227,nCUENTA,1,nASIG,"Orquesta/Banda/Conjunto"),"")))</f>
        <v/>
      </c>
      <c r="P227" t="str">
        <f>IF(M227="","",IF(M227="[FÓRMULA MANUAL]","",IFERROR(AVERAGEIFS(nNOTA,nNIA,M227,nCUENTA,1,nASIG,"Música de Cámara"),"")))</f>
        <v/>
      </c>
      <c r="Q227" t="str">
        <f>IF(M227="","",IF(M227="[FÓRMULA MANUAL]","",IFERROR(SUMPRODUCT((nNIA=M227)*(nCUENTA=1)*(COUNTIF(CONFIG_ASIGNATURAS!$B$7:$B$27,nASIG)&gt;0)*(nNOTA))/SUMPRODUCT((nNIA=M227)*(nCUENTA=1)*(COUNTIF(CONFIG_ASIGNATURAS!$B$7:$B$27,nASIG)&gt;0)*1),"")))</f>
        <v/>
      </c>
      <c r="T227" t="str">
        <f>IF(S227="","",IF(S227="[FÓRMULA MANUAL]","",IFERROR(AVERAGEIFS(nNOTA,nNIA,S227,nCUENTA,1,nASIG,"Armonía"),"")))</f>
        <v/>
      </c>
      <c r="U227" t="str">
        <f>IF(S227="","",IF(S227="[FÓRMULA MANUAL]","",IFERROR(AVERAGEIFS(nNOTA,nNIA,S227,nCUENTA,1,nASIG,"Orquesta/Banda/Conjunto"),"")))</f>
        <v/>
      </c>
      <c r="V227" t="str">
        <f>IF(S227="","",IF(S227="[FÓRMULA MANUAL]","",IFERROR(AVERAGEIFS(nNOTA,nNIA,S227,nCUENTA,1,nASIG,"Música de Cámara"),"")))</f>
        <v/>
      </c>
      <c r="W227" t="str">
        <f>IF(S227="","",IF(S227="[FÓRMULA MANUAL]","",IFERROR(SUMPRODUCT((nNIA=S227)*(nCUENTA=1)*(COUNTIF(CONFIG_ASIGNATURAS!$B$7:$B$27,nASIG)&gt;0)*(nNOTA))/SUMPRODUCT((nNIA=S227)*(nCUENTA=1)*(COUNTIF(CONFIG_ASIGNATURAS!$B$7:$B$27,nASIG)&gt;0)*1),"")))</f>
        <v/>
      </c>
      <c r="Z227" t="str">
        <f>IF(Y227="","",IF(Y227="[FÓRMULA MANUAL]","",IFERROR(AVERAGEIFS(nNOTA,nNIA,Y227,nCUENTA,1,nASIG,"Análisis"),"")))</f>
        <v/>
      </c>
      <c r="AA227" t="str">
        <f>IF(Y227="","",IF(Y227="[FÓRMULA MANUAL]","",IFERROR(AVERAGEIFS(nNOTA,nNIA,Y227,nCUENTA,1,nASIG,"Orquesta/Banda/Conjunto"),"")))</f>
        <v/>
      </c>
      <c r="AB227" t="str">
        <f>IF(Y227="","",IF(Y227="[FÓRMULA MANUAL]","",IFERROR(AVERAGEIFS(nNOTA,nNIA,Y227,nCUENTA,1,nASIG,"Música de Cámara"),"")))</f>
        <v/>
      </c>
      <c r="AC227" t="str">
        <f>IF(Y227="","",IF(Y227="[FÓRMULA MANUAL]","",IFERROR(SUMPRODUCT((nNIA=Y227)*(nCUENTA=1)*(COUNTIF(CONFIG_ASIGNATURAS!$B$7:$B$27,nASIG)&gt;0)*(nNOTA))/SUMPRODUCT((nNIA=Y227)*(nCUENTA=1)*(COUNTIF(CONFIG_ASIGNATURAS!$B$7:$B$27,nASIG)&gt;0)*1),"")))</f>
        <v/>
      </c>
      <c r="AF227" t="str">
        <f>IF(AE227="","",IF(AE227="[FÓRMULA MANUAL]","",IFERROR(AVERAGEIFS(nNOTA,nNIA,AE227,nCUENTA,1,nASIG,"Análisis"),"")))</f>
        <v/>
      </c>
      <c r="AG227" t="str">
        <f>IF(AE227="","",IF(AE227="[FÓRMULA MANUAL]","",IFERROR(AVERAGEIFS(nNOTA,nNIA,AE227,nCUENTA,1,nASIG,"Orquesta/Banda/Conjunto"),"")))</f>
        <v/>
      </c>
      <c r="AH227" t="str">
        <f>IF(AE227="","",IF(AE227="[FÓRMULA MANUAL]","",IFERROR(AVERAGEIFS(nNOTA,nNIA,AE227,nCUENTA,1,nASIG,"Música de Cámara"),"")))</f>
        <v/>
      </c>
      <c r="AI227" t="str">
        <f>IF(AE227="","",IF(AE227="[FÓRMULA MANUAL]","",IFERROR(SUMPRODUCT((nNIA=AE227)*(nCUENTA=1)*(COUNTIF(CONFIG_ASIGNATURAS!$B$7:$B$27,nASIG)&gt;0)*(nNOTA))/SUMPRODUCT((nNIA=AE227)*(nCUENTA=1)*(COUNTIF(CONFIG_ASIGNATURAS!$B$7:$B$27,nASIG)&gt;0)*1),"")))</f>
        <v/>
      </c>
    </row>
    <row r="228" spans="2:35" x14ac:dyDescent="0.2">
      <c r="B228" t="str">
        <f>IF(A228="","",IF(A228="[FÓRMULA MANUAL]","",IFERROR(AVERAGEIFS(nNOTA,nNIA,A228,nCUENTA,1,nASIG,"Lenguaje Musical"),"")))</f>
        <v/>
      </c>
      <c r="C228" t="str">
        <f>IF(A228="","",IF(A228="[FÓRMULA MANUAL]","",IFERROR(AVERAGEIFS(nNOTA,nNIA,A228,nCUENTA,1,nASIG,"Orquesta/Banda/Conjunto"),"")))</f>
        <v/>
      </c>
      <c r="D228" t="str">
        <f>IF(A228="","",IF(A228="[FÓRMULA MANUAL]","",IFERROR(AVERAGEIFS(nNOTA,nNIA,A228,nCUENTA,1,nASIG,"Conjunto"),"")))</f>
        <v/>
      </c>
      <c r="E228" t="str">
        <f>IF(A228="","",IF(A228="[FÓRMULA MANUAL]","",IFERROR(SUMPRODUCT((nNIA=A228)*(nCUENTA=1)*(COUNTIF(CONFIG_ASIGNATURAS!$B$7:$B$27,nASIG)&gt;0)*(nNOTA))/SUMPRODUCT((nNIA=A228)*(nCUENTA=1)*(COUNTIF(CONFIG_ASIGNATURAS!$B$7:$B$27,nASIG)&gt;0)*1),"")))</f>
        <v/>
      </c>
      <c r="H228" t="str">
        <f>IF(G228="","",IF(G228="[FÓRMULA MANUAL]","",IFERROR(AVERAGEIFS(nNOTA,nNIA,G228,nCUENTA,1,nASIG,"Lenguaje Musical"),"")))</f>
        <v/>
      </c>
      <c r="I228" t="str">
        <f>IF(G228="","",IF(G228="[FÓRMULA MANUAL]","",IFERROR(AVERAGEIFS(nNOTA,nNIA,G228,nCUENTA,1,nASIG,"Orquesta/Banda/Conjunto"),"")))</f>
        <v/>
      </c>
      <c r="J228" t="str">
        <f>IF(G228="","",IF(G228="[FÓRMULA MANUAL]","",IFERROR(AVERAGEIFS(nNOTA,nNIA,G228,nCUENTA,1,nASIG,"Conjunto"),"")))</f>
        <v/>
      </c>
      <c r="K228" t="str">
        <f>IF(G228="","",IF(G228="[FÓRMULA MANUAL]","",IFERROR(SUMPRODUCT((nNIA=G228)*(nCUENTA=1)*(COUNTIF(CONFIG_ASIGNATURAS!$B$7:$B$27,nASIG)&gt;0)*(nNOTA))/SUMPRODUCT((nNIA=G228)*(nCUENTA=1)*(COUNTIF(CONFIG_ASIGNATURAS!$B$7:$B$27,nASIG)&gt;0)*1),"")))</f>
        <v/>
      </c>
      <c r="N228" t="str">
        <f>IF(M228="","",IF(M228="[FÓRMULA MANUAL]","",IFERROR(AVERAGEIFS(nNOTA,nNIA,M228,nCUENTA,1,nASIG,"Armonía"),"")))</f>
        <v/>
      </c>
      <c r="O228" t="str">
        <f>IF(M228="","",IF(M228="[FÓRMULA MANUAL]","",IFERROR(AVERAGEIFS(nNOTA,nNIA,M228,nCUENTA,1,nASIG,"Orquesta/Banda/Conjunto"),"")))</f>
        <v/>
      </c>
      <c r="P228" t="str">
        <f>IF(M228="","",IF(M228="[FÓRMULA MANUAL]","",IFERROR(AVERAGEIFS(nNOTA,nNIA,M228,nCUENTA,1,nASIG,"Música de Cámara"),"")))</f>
        <v/>
      </c>
      <c r="Q228" t="str">
        <f>IF(M228="","",IF(M228="[FÓRMULA MANUAL]","",IFERROR(SUMPRODUCT((nNIA=M228)*(nCUENTA=1)*(COUNTIF(CONFIG_ASIGNATURAS!$B$7:$B$27,nASIG)&gt;0)*(nNOTA))/SUMPRODUCT((nNIA=M228)*(nCUENTA=1)*(COUNTIF(CONFIG_ASIGNATURAS!$B$7:$B$27,nASIG)&gt;0)*1),"")))</f>
        <v/>
      </c>
      <c r="T228" t="str">
        <f>IF(S228="","",IF(S228="[FÓRMULA MANUAL]","",IFERROR(AVERAGEIFS(nNOTA,nNIA,S228,nCUENTA,1,nASIG,"Armonía"),"")))</f>
        <v/>
      </c>
      <c r="U228" t="str">
        <f>IF(S228="","",IF(S228="[FÓRMULA MANUAL]","",IFERROR(AVERAGEIFS(nNOTA,nNIA,S228,nCUENTA,1,nASIG,"Orquesta/Banda/Conjunto"),"")))</f>
        <v/>
      </c>
      <c r="V228" t="str">
        <f>IF(S228="","",IF(S228="[FÓRMULA MANUAL]","",IFERROR(AVERAGEIFS(nNOTA,nNIA,S228,nCUENTA,1,nASIG,"Música de Cámara"),"")))</f>
        <v/>
      </c>
      <c r="W228" t="str">
        <f>IF(S228="","",IF(S228="[FÓRMULA MANUAL]","",IFERROR(SUMPRODUCT((nNIA=S228)*(nCUENTA=1)*(COUNTIF(CONFIG_ASIGNATURAS!$B$7:$B$27,nASIG)&gt;0)*(nNOTA))/SUMPRODUCT((nNIA=S228)*(nCUENTA=1)*(COUNTIF(CONFIG_ASIGNATURAS!$B$7:$B$27,nASIG)&gt;0)*1),"")))</f>
        <v/>
      </c>
      <c r="Z228" t="str">
        <f>IF(Y228="","",IF(Y228="[FÓRMULA MANUAL]","",IFERROR(AVERAGEIFS(nNOTA,nNIA,Y228,nCUENTA,1,nASIG,"Análisis"),"")))</f>
        <v/>
      </c>
      <c r="AA228" t="str">
        <f>IF(Y228="","",IF(Y228="[FÓRMULA MANUAL]","",IFERROR(AVERAGEIFS(nNOTA,nNIA,Y228,nCUENTA,1,nASIG,"Orquesta/Banda/Conjunto"),"")))</f>
        <v/>
      </c>
      <c r="AB228" t="str">
        <f>IF(Y228="","",IF(Y228="[FÓRMULA MANUAL]","",IFERROR(AVERAGEIFS(nNOTA,nNIA,Y228,nCUENTA,1,nASIG,"Música de Cámara"),"")))</f>
        <v/>
      </c>
      <c r="AC228" t="str">
        <f>IF(Y228="","",IF(Y228="[FÓRMULA MANUAL]","",IFERROR(SUMPRODUCT((nNIA=Y228)*(nCUENTA=1)*(COUNTIF(CONFIG_ASIGNATURAS!$B$7:$B$27,nASIG)&gt;0)*(nNOTA))/SUMPRODUCT((nNIA=Y228)*(nCUENTA=1)*(COUNTIF(CONFIG_ASIGNATURAS!$B$7:$B$27,nASIG)&gt;0)*1),"")))</f>
        <v/>
      </c>
      <c r="AF228" t="str">
        <f>IF(AE228="","",IF(AE228="[FÓRMULA MANUAL]","",IFERROR(AVERAGEIFS(nNOTA,nNIA,AE228,nCUENTA,1,nASIG,"Análisis"),"")))</f>
        <v/>
      </c>
      <c r="AG228" t="str">
        <f>IF(AE228="","",IF(AE228="[FÓRMULA MANUAL]","",IFERROR(AVERAGEIFS(nNOTA,nNIA,AE228,nCUENTA,1,nASIG,"Orquesta/Banda/Conjunto"),"")))</f>
        <v/>
      </c>
      <c r="AH228" t="str">
        <f>IF(AE228="","",IF(AE228="[FÓRMULA MANUAL]","",IFERROR(AVERAGEIFS(nNOTA,nNIA,AE228,nCUENTA,1,nASIG,"Música de Cámara"),"")))</f>
        <v/>
      </c>
      <c r="AI228" t="str">
        <f>IF(AE228="","",IF(AE228="[FÓRMULA MANUAL]","",IFERROR(SUMPRODUCT((nNIA=AE228)*(nCUENTA=1)*(COUNTIF(CONFIG_ASIGNATURAS!$B$7:$B$27,nASIG)&gt;0)*(nNOTA))/SUMPRODUCT((nNIA=AE228)*(nCUENTA=1)*(COUNTIF(CONFIG_ASIGNATURAS!$B$7:$B$27,nASIG)&gt;0)*1),"")))</f>
        <v/>
      </c>
    </row>
    <row r="229" spans="2:35" x14ac:dyDescent="0.2">
      <c r="B229" t="str">
        <f>IF(A229="","",IF(A229="[FÓRMULA MANUAL]","",IFERROR(AVERAGEIFS(nNOTA,nNIA,A229,nCUENTA,1,nASIG,"Lenguaje Musical"),"")))</f>
        <v/>
      </c>
      <c r="C229" t="str">
        <f>IF(A229="","",IF(A229="[FÓRMULA MANUAL]","",IFERROR(AVERAGEIFS(nNOTA,nNIA,A229,nCUENTA,1,nASIG,"Orquesta/Banda/Conjunto"),"")))</f>
        <v/>
      </c>
      <c r="D229" t="str">
        <f>IF(A229="","",IF(A229="[FÓRMULA MANUAL]","",IFERROR(AVERAGEIFS(nNOTA,nNIA,A229,nCUENTA,1,nASIG,"Conjunto"),"")))</f>
        <v/>
      </c>
      <c r="E229" t="str">
        <f>IF(A229="","",IF(A229="[FÓRMULA MANUAL]","",IFERROR(SUMPRODUCT((nNIA=A229)*(nCUENTA=1)*(COUNTIF(CONFIG_ASIGNATURAS!$B$7:$B$27,nASIG)&gt;0)*(nNOTA))/SUMPRODUCT((nNIA=A229)*(nCUENTA=1)*(COUNTIF(CONFIG_ASIGNATURAS!$B$7:$B$27,nASIG)&gt;0)*1),"")))</f>
        <v/>
      </c>
      <c r="H229" t="str">
        <f>IF(G229="","",IF(G229="[FÓRMULA MANUAL]","",IFERROR(AVERAGEIFS(nNOTA,nNIA,G229,nCUENTA,1,nASIG,"Lenguaje Musical"),"")))</f>
        <v/>
      </c>
      <c r="I229" t="str">
        <f>IF(G229="","",IF(G229="[FÓRMULA MANUAL]","",IFERROR(AVERAGEIFS(nNOTA,nNIA,G229,nCUENTA,1,nASIG,"Orquesta/Banda/Conjunto"),"")))</f>
        <v/>
      </c>
      <c r="J229" t="str">
        <f>IF(G229="","",IF(G229="[FÓRMULA MANUAL]","",IFERROR(AVERAGEIFS(nNOTA,nNIA,G229,nCUENTA,1,nASIG,"Conjunto"),"")))</f>
        <v/>
      </c>
      <c r="K229" t="str">
        <f>IF(G229="","",IF(G229="[FÓRMULA MANUAL]","",IFERROR(SUMPRODUCT((nNIA=G229)*(nCUENTA=1)*(COUNTIF(CONFIG_ASIGNATURAS!$B$7:$B$27,nASIG)&gt;0)*(nNOTA))/SUMPRODUCT((nNIA=G229)*(nCUENTA=1)*(COUNTIF(CONFIG_ASIGNATURAS!$B$7:$B$27,nASIG)&gt;0)*1),"")))</f>
        <v/>
      </c>
      <c r="N229" t="str">
        <f>IF(M229="","",IF(M229="[FÓRMULA MANUAL]","",IFERROR(AVERAGEIFS(nNOTA,nNIA,M229,nCUENTA,1,nASIG,"Armonía"),"")))</f>
        <v/>
      </c>
      <c r="O229" t="str">
        <f>IF(M229="","",IF(M229="[FÓRMULA MANUAL]","",IFERROR(AVERAGEIFS(nNOTA,nNIA,M229,nCUENTA,1,nASIG,"Orquesta/Banda/Conjunto"),"")))</f>
        <v/>
      </c>
      <c r="P229" t="str">
        <f>IF(M229="","",IF(M229="[FÓRMULA MANUAL]","",IFERROR(AVERAGEIFS(nNOTA,nNIA,M229,nCUENTA,1,nASIG,"Música de Cámara"),"")))</f>
        <v/>
      </c>
      <c r="Q229" t="str">
        <f>IF(M229="","",IF(M229="[FÓRMULA MANUAL]","",IFERROR(SUMPRODUCT((nNIA=M229)*(nCUENTA=1)*(COUNTIF(CONFIG_ASIGNATURAS!$B$7:$B$27,nASIG)&gt;0)*(nNOTA))/SUMPRODUCT((nNIA=M229)*(nCUENTA=1)*(COUNTIF(CONFIG_ASIGNATURAS!$B$7:$B$27,nASIG)&gt;0)*1),"")))</f>
        <v/>
      </c>
      <c r="T229" t="str">
        <f>IF(S229="","",IF(S229="[FÓRMULA MANUAL]","",IFERROR(AVERAGEIFS(nNOTA,nNIA,S229,nCUENTA,1,nASIG,"Armonía"),"")))</f>
        <v/>
      </c>
      <c r="U229" t="str">
        <f>IF(S229="","",IF(S229="[FÓRMULA MANUAL]","",IFERROR(AVERAGEIFS(nNOTA,nNIA,S229,nCUENTA,1,nASIG,"Orquesta/Banda/Conjunto"),"")))</f>
        <v/>
      </c>
      <c r="V229" t="str">
        <f>IF(S229="","",IF(S229="[FÓRMULA MANUAL]","",IFERROR(AVERAGEIFS(nNOTA,nNIA,S229,nCUENTA,1,nASIG,"Música de Cámara"),"")))</f>
        <v/>
      </c>
      <c r="W229" t="str">
        <f>IF(S229="","",IF(S229="[FÓRMULA MANUAL]","",IFERROR(SUMPRODUCT((nNIA=S229)*(nCUENTA=1)*(COUNTIF(CONFIG_ASIGNATURAS!$B$7:$B$27,nASIG)&gt;0)*(nNOTA))/SUMPRODUCT((nNIA=S229)*(nCUENTA=1)*(COUNTIF(CONFIG_ASIGNATURAS!$B$7:$B$27,nASIG)&gt;0)*1),"")))</f>
        <v/>
      </c>
      <c r="Z229" t="str">
        <f>IF(Y229="","",IF(Y229="[FÓRMULA MANUAL]","",IFERROR(AVERAGEIFS(nNOTA,nNIA,Y229,nCUENTA,1,nASIG,"Análisis"),"")))</f>
        <v/>
      </c>
      <c r="AA229" t="str">
        <f>IF(Y229="","",IF(Y229="[FÓRMULA MANUAL]","",IFERROR(AVERAGEIFS(nNOTA,nNIA,Y229,nCUENTA,1,nASIG,"Orquesta/Banda/Conjunto"),"")))</f>
        <v/>
      </c>
      <c r="AB229" t="str">
        <f>IF(Y229="","",IF(Y229="[FÓRMULA MANUAL]","",IFERROR(AVERAGEIFS(nNOTA,nNIA,Y229,nCUENTA,1,nASIG,"Música de Cámara"),"")))</f>
        <v/>
      </c>
      <c r="AC229" t="str">
        <f>IF(Y229="","",IF(Y229="[FÓRMULA MANUAL]","",IFERROR(SUMPRODUCT((nNIA=Y229)*(nCUENTA=1)*(COUNTIF(CONFIG_ASIGNATURAS!$B$7:$B$27,nASIG)&gt;0)*(nNOTA))/SUMPRODUCT((nNIA=Y229)*(nCUENTA=1)*(COUNTIF(CONFIG_ASIGNATURAS!$B$7:$B$27,nASIG)&gt;0)*1),"")))</f>
        <v/>
      </c>
      <c r="AF229" t="str">
        <f>IF(AE229="","",IF(AE229="[FÓRMULA MANUAL]","",IFERROR(AVERAGEIFS(nNOTA,nNIA,AE229,nCUENTA,1,nASIG,"Análisis"),"")))</f>
        <v/>
      </c>
      <c r="AG229" t="str">
        <f>IF(AE229="","",IF(AE229="[FÓRMULA MANUAL]","",IFERROR(AVERAGEIFS(nNOTA,nNIA,AE229,nCUENTA,1,nASIG,"Orquesta/Banda/Conjunto"),"")))</f>
        <v/>
      </c>
      <c r="AH229" t="str">
        <f>IF(AE229="","",IF(AE229="[FÓRMULA MANUAL]","",IFERROR(AVERAGEIFS(nNOTA,nNIA,AE229,nCUENTA,1,nASIG,"Música de Cámara"),"")))</f>
        <v/>
      </c>
      <c r="AI229" t="str">
        <f>IF(AE229="","",IF(AE229="[FÓRMULA MANUAL]","",IFERROR(SUMPRODUCT((nNIA=AE229)*(nCUENTA=1)*(COUNTIF(CONFIG_ASIGNATURAS!$B$7:$B$27,nASIG)&gt;0)*(nNOTA))/SUMPRODUCT((nNIA=AE229)*(nCUENTA=1)*(COUNTIF(CONFIG_ASIGNATURAS!$B$7:$B$27,nASIG)&gt;0)*1),"")))</f>
        <v/>
      </c>
    </row>
    <row r="230" spans="2:35" x14ac:dyDescent="0.2">
      <c r="B230" t="str">
        <f>IF(A230="","",IF(A230="[FÓRMULA MANUAL]","",IFERROR(AVERAGEIFS(nNOTA,nNIA,A230,nCUENTA,1,nASIG,"Lenguaje Musical"),"")))</f>
        <v/>
      </c>
      <c r="C230" t="str">
        <f>IF(A230="","",IF(A230="[FÓRMULA MANUAL]","",IFERROR(AVERAGEIFS(nNOTA,nNIA,A230,nCUENTA,1,nASIG,"Orquesta/Banda/Conjunto"),"")))</f>
        <v/>
      </c>
      <c r="D230" t="str">
        <f>IF(A230="","",IF(A230="[FÓRMULA MANUAL]","",IFERROR(AVERAGEIFS(nNOTA,nNIA,A230,nCUENTA,1,nASIG,"Conjunto"),"")))</f>
        <v/>
      </c>
      <c r="E230" t="str">
        <f>IF(A230="","",IF(A230="[FÓRMULA MANUAL]","",IFERROR(SUMPRODUCT((nNIA=A230)*(nCUENTA=1)*(COUNTIF(CONFIG_ASIGNATURAS!$B$7:$B$27,nASIG)&gt;0)*(nNOTA))/SUMPRODUCT((nNIA=A230)*(nCUENTA=1)*(COUNTIF(CONFIG_ASIGNATURAS!$B$7:$B$27,nASIG)&gt;0)*1),"")))</f>
        <v/>
      </c>
      <c r="H230" t="str">
        <f>IF(G230="","",IF(G230="[FÓRMULA MANUAL]","",IFERROR(AVERAGEIFS(nNOTA,nNIA,G230,nCUENTA,1,nASIG,"Lenguaje Musical"),"")))</f>
        <v/>
      </c>
      <c r="I230" t="str">
        <f>IF(G230="","",IF(G230="[FÓRMULA MANUAL]","",IFERROR(AVERAGEIFS(nNOTA,nNIA,G230,nCUENTA,1,nASIG,"Orquesta/Banda/Conjunto"),"")))</f>
        <v/>
      </c>
      <c r="J230" t="str">
        <f>IF(G230="","",IF(G230="[FÓRMULA MANUAL]","",IFERROR(AVERAGEIFS(nNOTA,nNIA,G230,nCUENTA,1,nASIG,"Conjunto"),"")))</f>
        <v/>
      </c>
      <c r="K230" t="str">
        <f>IF(G230="","",IF(G230="[FÓRMULA MANUAL]","",IFERROR(SUMPRODUCT((nNIA=G230)*(nCUENTA=1)*(COUNTIF(CONFIG_ASIGNATURAS!$B$7:$B$27,nASIG)&gt;0)*(nNOTA))/SUMPRODUCT((nNIA=G230)*(nCUENTA=1)*(COUNTIF(CONFIG_ASIGNATURAS!$B$7:$B$27,nASIG)&gt;0)*1),"")))</f>
        <v/>
      </c>
      <c r="N230" t="str">
        <f>IF(M230="","",IF(M230="[FÓRMULA MANUAL]","",IFERROR(AVERAGEIFS(nNOTA,nNIA,M230,nCUENTA,1,nASIG,"Armonía"),"")))</f>
        <v/>
      </c>
      <c r="O230" t="str">
        <f>IF(M230="","",IF(M230="[FÓRMULA MANUAL]","",IFERROR(AVERAGEIFS(nNOTA,nNIA,M230,nCUENTA,1,nASIG,"Orquesta/Banda/Conjunto"),"")))</f>
        <v/>
      </c>
      <c r="P230" t="str">
        <f>IF(M230="","",IF(M230="[FÓRMULA MANUAL]","",IFERROR(AVERAGEIFS(nNOTA,nNIA,M230,nCUENTA,1,nASIG,"Música de Cámara"),"")))</f>
        <v/>
      </c>
      <c r="Q230" t="str">
        <f>IF(M230="","",IF(M230="[FÓRMULA MANUAL]","",IFERROR(SUMPRODUCT((nNIA=M230)*(nCUENTA=1)*(COUNTIF(CONFIG_ASIGNATURAS!$B$7:$B$27,nASIG)&gt;0)*(nNOTA))/SUMPRODUCT((nNIA=M230)*(nCUENTA=1)*(COUNTIF(CONFIG_ASIGNATURAS!$B$7:$B$27,nASIG)&gt;0)*1),"")))</f>
        <v/>
      </c>
      <c r="T230" t="str">
        <f>IF(S230="","",IF(S230="[FÓRMULA MANUAL]","",IFERROR(AVERAGEIFS(nNOTA,nNIA,S230,nCUENTA,1,nASIG,"Armonía"),"")))</f>
        <v/>
      </c>
      <c r="U230" t="str">
        <f>IF(S230="","",IF(S230="[FÓRMULA MANUAL]","",IFERROR(AVERAGEIFS(nNOTA,nNIA,S230,nCUENTA,1,nASIG,"Orquesta/Banda/Conjunto"),"")))</f>
        <v/>
      </c>
      <c r="V230" t="str">
        <f>IF(S230="","",IF(S230="[FÓRMULA MANUAL]","",IFERROR(AVERAGEIFS(nNOTA,nNIA,S230,nCUENTA,1,nASIG,"Música de Cámara"),"")))</f>
        <v/>
      </c>
      <c r="W230" t="str">
        <f>IF(S230="","",IF(S230="[FÓRMULA MANUAL]","",IFERROR(SUMPRODUCT((nNIA=S230)*(nCUENTA=1)*(COUNTIF(CONFIG_ASIGNATURAS!$B$7:$B$27,nASIG)&gt;0)*(nNOTA))/SUMPRODUCT((nNIA=S230)*(nCUENTA=1)*(COUNTIF(CONFIG_ASIGNATURAS!$B$7:$B$27,nASIG)&gt;0)*1),"")))</f>
        <v/>
      </c>
      <c r="Z230" t="str">
        <f>IF(Y230="","",IF(Y230="[FÓRMULA MANUAL]","",IFERROR(AVERAGEIFS(nNOTA,nNIA,Y230,nCUENTA,1,nASIG,"Análisis"),"")))</f>
        <v/>
      </c>
      <c r="AA230" t="str">
        <f>IF(Y230="","",IF(Y230="[FÓRMULA MANUAL]","",IFERROR(AVERAGEIFS(nNOTA,nNIA,Y230,nCUENTA,1,nASIG,"Orquesta/Banda/Conjunto"),"")))</f>
        <v/>
      </c>
      <c r="AB230" t="str">
        <f>IF(Y230="","",IF(Y230="[FÓRMULA MANUAL]","",IFERROR(AVERAGEIFS(nNOTA,nNIA,Y230,nCUENTA,1,nASIG,"Música de Cámara"),"")))</f>
        <v/>
      </c>
      <c r="AC230" t="str">
        <f>IF(Y230="","",IF(Y230="[FÓRMULA MANUAL]","",IFERROR(SUMPRODUCT((nNIA=Y230)*(nCUENTA=1)*(COUNTIF(CONFIG_ASIGNATURAS!$B$7:$B$27,nASIG)&gt;0)*(nNOTA))/SUMPRODUCT((nNIA=Y230)*(nCUENTA=1)*(COUNTIF(CONFIG_ASIGNATURAS!$B$7:$B$27,nASIG)&gt;0)*1),"")))</f>
        <v/>
      </c>
      <c r="AF230" t="str">
        <f>IF(AE230="","",IF(AE230="[FÓRMULA MANUAL]","",IFERROR(AVERAGEIFS(nNOTA,nNIA,AE230,nCUENTA,1,nASIG,"Análisis"),"")))</f>
        <v/>
      </c>
      <c r="AG230" t="str">
        <f>IF(AE230="","",IF(AE230="[FÓRMULA MANUAL]","",IFERROR(AVERAGEIFS(nNOTA,nNIA,AE230,nCUENTA,1,nASIG,"Orquesta/Banda/Conjunto"),"")))</f>
        <v/>
      </c>
      <c r="AH230" t="str">
        <f>IF(AE230="","",IF(AE230="[FÓRMULA MANUAL]","",IFERROR(AVERAGEIFS(nNOTA,nNIA,AE230,nCUENTA,1,nASIG,"Música de Cámara"),"")))</f>
        <v/>
      </c>
      <c r="AI230" t="str">
        <f>IF(AE230="","",IF(AE230="[FÓRMULA MANUAL]","",IFERROR(SUMPRODUCT((nNIA=AE230)*(nCUENTA=1)*(COUNTIF(CONFIG_ASIGNATURAS!$B$7:$B$27,nASIG)&gt;0)*(nNOTA))/SUMPRODUCT((nNIA=AE230)*(nCUENTA=1)*(COUNTIF(CONFIG_ASIGNATURAS!$B$7:$B$27,nASIG)&gt;0)*1),"")))</f>
        <v/>
      </c>
    </row>
    <row r="231" spans="2:35" x14ac:dyDescent="0.2">
      <c r="B231" t="str">
        <f>IF(A231="","",IF(A231="[FÓRMULA MANUAL]","",IFERROR(AVERAGEIFS(nNOTA,nNIA,A231,nCUENTA,1,nASIG,"Lenguaje Musical"),"")))</f>
        <v/>
      </c>
      <c r="C231" t="str">
        <f>IF(A231="","",IF(A231="[FÓRMULA MANUAL]","",IFERROR(AVERAGEIFS(nNOTA,nNIA,A231,nCUENTA,1,nASIG,"Orquesta/Banda/Conjunto"),"")))</f>
        <v/>
      </c>
      <c r="D231" t="str">
        <f>IF(A231="","",IF(A231="[FÓRMULA MANUAL]","",IFERROR(AVERAGEIFS(nNOTA,nNIA,A231,nCUENTA,1,nASIG,"Conjunto"),"")))</f>
        <v/>
      </c>
      <c r="E231" t="str">
        <f>IF(A231="","",IF(A231="[FÓRMULA MANUAL]","",IFERROR(SUMPRODUCT((nNIA=A231)*(nCUENTA=1)*(COUNTIF(CONFIG_ASIGNATURAS!$B$7:$B$27,nASIG)&gt;0)*(nNOTA))/SUMPRODUCT((nNIA=A231)*(nCUENTA=1)*(COUNTIF(CONFIG_ASIGNATURAS!$B$7:$B$27,nASIG)&gt;0)*1),"")))</f>
        <v/>
      </c>
      <c r="H231" t="str">
        <f>IF(G231="","",IF(G231="[FÓRMULA MANUAL]","",IFERROR(AVERAGEIFS(nNOTA,nNIA,G231,nCUENTA,1,nASIG,"Lenguaje Musical"),"")))</f>
        <v/>
      </c>
      <c r="I231" t="str">
        <f>IF(G231="","",IF(G231="[FÓRMULA MANUAL]","",IFERROR(AVERAGEIFS(nNOTA,nNIA,G231,nCUENTA,1,nASIG,"Orquesta/Banda/Conjunto"),"")))</f>
        <v/>
      </c>
      <c r="J231" t="str">
        <f>IF(G231="","",IF(G231="[FÓRMULA MANUAL]","",IFERROR(AVERAGEIFS(nNOTA,nNIA,G231,nCUENTA,1,nASIG,"Conjunto"),"")))</f>
        <v/>
      </c>
      <c r="K231" t="str">
        <f>IF(G231="","",IF(G231="[FÓRMULA MANUAL]","",IFERROR(SUMPRODUCT((nNIA=G231)*(nCUENTA=1)*(COUNTIF(CONFIG_ASIGNATURAS!$B$7:$B$27,nASIG)&gt;0)*(nNOTA))/SUMPRODUCT((nNIA=G231)*(nCUENTA=1)*(COUNTIF(CONFIG_ASIGNATURAS!$B$7:$B$27,nASIG)&gt;0)*1),"")))</f>
        <v/>
      </c>
      <c r="N231" t="str">
        <f>IF(M231="","",IF(M231="[FÓRMULA MANUAL]","",IFERROR(AVERAGEIFS(nNOTA,nNIA,M231,nCUENTA,1,nASIG,"Armonía"),"")))</f>
        <v/>
      </c>
      <c r="O231" t="str">
        <f>IF(M231="","",IF(M231="[FÓRMULA MANUAL]","",IFERROR(AVERAGEIFS(nNOTA,nNIA,M231,nCUENTA,1,nASIG,"Orquesta/Banda/Conjunto"),"")))</f>
        <v/>
      </c>
      <c r="P231" t="str">
        <f>IF(M231="","",IF(M231="[FÓRMULA MANUAL]","",IFERROR(AVERAGEIFS(nNOTA,nNIA,M231,nCUENTA,1,nASIG,"Música de Cámara"),"")))</f>
        <v/>
      </c>
      <c r="Q231" t="str">
        <f>IF(M231="","",IF(M231="[FÓRMULA MANUAL]","",IFERROR(SUMPRODUCT((nNIA=M231)*(nCUENTA=1)*(COUNTIF(CONFIG_ASIGNATURAS!$B$7:$B$27,nASIG)&gt;0)*(nNOTA))/SUMPRODUCT((nNIA=M231)*(nCUENTA=1)*(COUNTIF(CONFIG_ASIGNATURAS!$B$7:$B$27,nASIG)&gt;0)*1),"")))</f>
        <v/>
      </c>
      <c r="T231" t="str">
        <f>IF(S231="","",IF(S231="[FÓRMULA MANUAL]","",IFERROR(AVERAGEIFS(nNOTA,nNIA,S231,nCUENTA,1,nASIG,"Armonía"),"")))</f>
        <v/>
      </c>
      <c r="U231" t="str">
        <f>IF(S231="","",IF(S231="[FÓRMULA MANUAL]","",IFERROR(AVERAGEIFS(nNOTA,nNIA,S231,nCUENTA,1,nASIG,"Orquesta/Banda/Conjunto"),"")))</f>
        <v/>
      </c>
      <c r="V231" t="str">
        <f>IF(S231="","",IF(S231="[FÓRMULA MANUAL]","",IFERROR(AVERAGEIFS(nNOTA,nNIA,S231,nCUENTA,1,nASIG,"Música de Cámara"),"")))</f>
        <v/>
      </c>
      <c r="W231" t="str">
        <f>IF(S231="","",IF(S231="[FÓRMULA MANUAL]","",IFERROR(SUMPRODUCT((nNIA=S231)*(nCUENTA=1)*(COUNTIF(CONFIG_ASIGNATURAS!$B$7:$B$27,nASIG)&gt;0)*(nNOTA))/SUMPRODUCT((nNIA=S231)*(nCUENTA=1)*(COUNTIF(CONFIG_ASIGNATURAS!$B$7:$B$27,nASIG)&gt;0)*1),"")))</f>
        <v/>
      </c>
      <c r="Z231" t="str">
        <f>IF(Y231="","",IF(Y231="[FÓRMULA MANUAL]","",IFERROR(AVERAGEIFS(nNOTA,nNIA,Y231,nCUENTA,1,nASIG,"Análisis"),"")))</f>
        <v/>
      </c>
      <c r="AA231" t="str">
        <f>IF(Y231="","",IF(Y231="[FÓRMULA MANUAL]","",IFERROR(AVERAGEIFS(nNOTA,nNIA,Y231,nCUENTA,1,nASIG,"Orquesta/Banda/Conjunto"),"")))</f>
        <v/>
      </c>
      <c r="AB231" t="str">
        <f>IF(Y231="","",IF(Y231="[FÓRMULA MANUAL]","",IFERROR(AVERAGEIFS(nNOTA,nNIA,Y231,nCUENTA,1,nASIG,"Música de Cámara"),"")))</f>
        <v/>
      </c>
      <c r="AC231" t="str">
        <f>IF(Y231="","",IF(Y231="[FÓRMULA MANUAL]","",IFERROR(SUMPRODUCT((nNIA=Y231)*(nCUENTA=1)*(COUNTIF(CONFIG_ASIGNATURAS!$B$7:$B$27,nASIG)&gt;0)*(nNOTA))/SUMPRODUCT((nNIA=Y231)*(nCUENTA=1)*(COUNTIF(CONFIG_ASIGNATURAS!$B$7:$B$27,nASIG)&gt;0)*1),"")))</f>
        <v/>
      </c>
      <c r="AF231" t="str">
        <f>IF(AE231="","",IF(AE231="[FÓRMULA MANUAL]","",IFERROR(AVERAGEIFS(nNOTA,nNIA,AE231,nCUENTA,1,nASIG,"Análisis"),"")))</f>
        <v/>
      </c>
      <c r="AG231" t="str">
        <f>IF(AE231="","",IF(AE231="[FÓRMULA MANUAL]","",IFERROR(AVERAGEIFS(nNOTA,nNIA,AE231,nCUENTA,1,nASIG,"Orquesta/Banda/Conjunto"),"")))</f>
        <v/>
      </c>
      <c r="AH231" t="str">
        <f>IF(AE231="","",IF(AE231="[FÓRMULA MANUAL]","",IFERROR(AVERAGEIFS(nNOTA,nNIA,AE231,nCUENTA,1,nASIG,"Música de Cámara"),"")))</f>
        <v/>
      </c>
      <c r="AI231" t="str">
        <f>IF(AE231="","",IF(AE231="[FÓRMULA MANUAL]","",IFERROR(SUMPRODUCT((nNIA=AE231)*(nCUENTA=1)*(COUNTIF(CONFIG_ASIGNATURAS!$B$7:$B$27,nASIG)&gt;0)*(nNOTA))/SUMPRODUCT((nNIA=AE231)*(nCUENTA=1)*(COUNTIF(CONFIG_ASIGNATURAS!$B$7:$B$27,nASIG)&gt;0)*1),"")))</f>
        <v/>
      </c>
    </row>
    <row r="232" spans="2:35" x14ac:dyDescent="0.2">
      <c r="B232" t="str">
        <f>IF(A232="","",IF(A232="[FÓRMULA MANUAL]","",IFERROR(AVERAGEIFS(nNOTA,nNIA,A232,nCUENTA,1,nASIG,"Lenguaje Musical"),"")))</f>
        <v/>
      </c>
      <c r="C232" t="str">
        <f>IF(A232="","",IF(A232="[FÓRMULA MANUAL]","",IFERROR(AVERAGEIFS(nNOTA,nNIA,A232,nCUENTA,1,nASIG,"Orquesta/Banda/Conjunto"),"")))</f>
        <v/>
      </c>
      <c r="D232" t="str">
        <f>IF(A232="","",IF(A232="[FÓRMULA MANUAL]","",IFERROR(AVERAGEIFS(nNOTA,nNIA,A232,nCUENTA,1,nASIG,"Conjunto"),"")))</f>
        <v/>
      </c>
      <c r="E232" t="str">
        <f>IF(A232="","",IF(A232="[FÓRMULA MANUAL]","",IFERROR(SUMPRODUCT((nNIA=A232)*(nCUENTA=1)*(COUNTIF(CONFIG_ASIGNATURAS!$B$7:$B$27,nASIG)&gt;0)*(nNOTA))/SUMPRODUCT((nNIA=A232)*(nCUENTA=1)*(COUNTIF(CONFIG_ASIGNATURAS!$B$7:$B$27,nASIG)&gt;0)*1),"")))</f>
        <v/>
      </c>
      <c r="H232" t="str">
        <f>IF(G232="","",IF(G232="[FÓRMULA MANUAL]","",IFERROR(AVERAGEIFS(nNOTA,nNIA,G232,nCUENTA,1,nASIG,"Lenguaje Musical"),"")))</f>
        <v/>
      </c>
      <c r="I232" t="str">
        <f>IF(G232="","",IF(G232="[FÓRMULA MANUAL]","",IFERROR(AVERAGEIFS(nNOTA,nNIA,G232,nCUENTA,1,nASIG,"Orquesta/Banda/Conjunto"),"")))</f>
        <v/>
      </c>
      <c r="J232" t="str">
        <f>IF(G232="","",IF(G232="[FÓRMULA MANUAL]","",IFERROR(AVERAGEIFS(nNOTA,nNIA,G232,nCUENTA,1,nASIG,"Conjunto"),"")))</f>
        <v/>
      </c>
      <c r="K232" t="str">
        <f>IF(G232="","",IF(G232="[FÓRMULA MANUAL]","",IFERROR(SUMPRODUCT((nNIA=G232)*(nCUENTA=1)*(COUNTIF(CONFIG_ASIGNATURAS!$B$7:$B$27,nASIG)&gt;0)*(nNOTA))/SUMPRODUCT((nNIA=G232)*(nCUENTA=1)*(COUNTIF(CONFIG_ASIGNATURAS!$B$7:$B$27,nASIG)&gt;0)*1),"")))</f>
        <v/>
      </c>
      <c r="N232" t="str">
        <f>IF(M232="","",IF(M232="[FÓRMULA MANUAL]","",IFERROR(AVERAGEIFS(nNOTA,nNIA,M232,nCUENTA,1,nASIG,"Armonía"),"")))</f>
        <v/>
      </c>
      <c r="O232" t="str">
        <f>IF(M232="","",IF(M232="[FÓRMULA MANUAL]","",IFERROR(AVERAGEIFS(nNOTA,nNIA,M232,nCUENTA,1,nASIG,"Orquesta/Banda/Conjunto"),"")))</f>
        <v/>
      </c>
      <c r="P232" t="str">
        <f>IF(M232="","",IF(M232="[FÓRMULA MANUAL]","",IFERROR(AVERAGEIFS(nNOTA,nNIA,M232,nCUENTA,1,nASIG,"Música de Cámara"),"")))</f>
        <v/>
      </c>
      <c r="Q232" t="str">
        <f>IF(M232="","",IF(M232="[FÓRMULA MANUAL]","",IFERROR(SUMPRODUCT((nNIA=M232)*(nCUENTA=1)*(COUNTIF(CONFIG_ASIGNATURAS!$B$7:$B$27,nASIG)&gt;0)*(nNOTA))/SUMPRODUCT((nNIA=M232)*(nCUENTA=1)*(COUNTIF(CONFIG_ASIGNATURAS!$B$7:$B$27,nASIG)&gt;0)*1),"")))</f>
        <v/>
      </c>
      <c r="T232" t="str">
        <f>IF(S232="","",IF(S232="[FÓRMULA MANUAL]","",IFERROR(AVERAGEIFS(nNOTA,nNIA,S232,nCUENTA,1,nASIG,"Armonía"),"")))</f>
        <v/>
      </c>
      <c r="U232" t="str">
        <f>IF(S232="","",IF(S232="[FÓRMULA MANUAL]","",IFERROR(AVERAGEIFS(nNOTA,nNIA,S232,nCUENTA,1,nASIG,"Orquesta/Banda/Conjunto"),"")))</f>
        <v/>
      </c>
      <c r="V232" t="str">
        <f>IF(S232="","",IF(S232="[FÓRMULA MANUAL]","",IFERROR(AVERAGEIFS(nNOTA,nNIA,S232,nCUENTA,1,nASIG,"Música de Cámara"),"")))</f>
        <v/>
      </c>
      <c r="W232" t="str">
        <f>IF(S232="","",IF(S232="[FÓRMULA MANUAL]","",IFERROR(SUMPRODUCT((nNIA=S232)*(nCUENTA=1)*(COUNTIF(CONFIG_ASIGNATURAS!$B$7:$B$27,nASIG)&gt;0)*(nNOTA))/SUMPRODUCT((nNIA=S232)*(nCUENTA=1)*(COUNTIF(CONFIG_ASIGNATURAS!$B$7:$B$27,nASIG)&gt;0)*1),"")))</f>
        <v/>
      </c>
      <c r="Z232" t="str">
        <f>IF(Y232="","",IF(Y232="[FÓRMULA MANUAL]","",IFERROR(AVERAGEIFS(nNOTA,nNIA,Y232,nCUENTA,1,nASIG,"Análisis"),"")))</f>
        <v/>
      </c>
      <c r="AA232" t="str">
        <f>IF(Y232="","",IF(Y232="[FÓRMULA MANUAL]","",IFERROR(AVERAGEIFS(nNOTA,nNIA,Y232,nCUENTA,1,nASIG,"Orquesta/Banda/Conjunto"),"")))</f>
        <v/>
      </c>
      <c r="AB232" t="str">
        <f>IF(Y232="","",IF(Y232="[FÓRMULA MANUAL]","",IFERROR(AVERAGEIFS(nNOTA,nNIA,Y232,nCUENTA,1,nASIG,"Música de Cámara"),"")))</f>
        <v/>
      </c>
      <c r="AC232" t="str">
        <f>IF(Y232="","",IF(Y232="[FÓRMULA MANUAL]","",IFERROR(SUMPRODUCT((nNIA=Y232)*(nCUENTA=1)*(COUNTIF(CONFIG_ASIGNATURAS!$B$7:$B$27,nASIG)&gt;0)*(nNOTA))/SUMPRODUCT((nNIA=Y232)*(nCUENTA=1)*(COUNTIF(CONFIG_ASIGNATURAS!$B$7:$B$27,nASIG)&gt;0)*1),"")))</f>
        <v/>
      </c>
      <c r="AF232" t="str">
        <f>IF(AE232="","",IF(AE232="[FÓRMULA MANUAL]","",IFERROR(AVERAGEIFS(nNOTA,nNIA,AE232,nCUENTA,1,nASIG,"Análisis"),"")))</f>
        <v/>
      </c>
      <c r="AG232" t="str">
        <f>IF(AE232="","",IF(AE232="[FÓRMULA MANUAL]","",IFERROR(AVERAGEIFS(nNOTA,nNIA,AE232,nCUENTA,1,nASIG,"Orquesta/Banda/Conjunto"),"")))</f>
        <v/>
      </c>
      <c r="AH232" t="str">
        <f>IF(AE232="","",IF(AE232="[FÓRMULA MANUAL]","",IFERROR(AVERAGEIFS(nNOTA,nNIA,AE232,nCUENTA,1,nASIG,"Música de Cámara"),"")))</f>
        <v/>
      </c>
      <c r="AI232" t="str">
        <f>IF(AE232="","",IF(AE232="[FÓRMULA MANUAL]","",IFERROR(SUMPRODUCT((nNIA=AE232)*(nCUENTA=1)*(COUNTIF(CONFIG_ASIGNATURAS!$B$7:$B$27,nASIG)&gt;0)*(nNOTA))/SUMPRODUCT((nNIA=AE232)*(nCUENTA=1)*(COUNTIF(CONFIG_ASIGNATURAS!$B$7:$B$27,nASIG)&gt;0)*1),"")))</f>
        <v/>
      </c>
    </row>
    <row r="233" spans="2:35" x14ac:dyDescent="0.2">
      <c r="B233" t="str">
        <f>IF(A233="","",IF(A233="[FÓRMULA MANUAL]","",IFERROR(AVERAGEIFS(nNOTA,nNIA,A233,nCUENTA,1,nASIG,"Lenguaje Musical"),"")))</f>
        <v/>
      </c>
      <c r="C233" t="str">
        <f>IF(A233="","",IF(A233="[FÓRMULA MANUAL]","",IFERROR(AVERAGEIFS(nNOTA,nNIA,A233,nCUENTA,1,nASIG,"Orquesta/Banda/Conjunto"),"")))</f>
        <v/>
      </c>
      <c r="D233" t="str">
        <f>IF(A233="","",IF(A233="[FÓRMULA MANUAL]","",IFERROR(AVERAGEIFS(nNOTA,nNIA,A233,nCUENTA,1,nASIG,"Conjunto"),"")))</f>
        <v/>
      </c>
      <c r="E233" t="str">
        <f>IF(A233="","",IF(A233="[FÓRMULA MANUAL]","",IFERROR(SUMPRODUCT((nNIA=A233)*(nCUENTA=1)*(COUNTIF(CONFIG_ASIGNATURAS!$B$7:$B$27,nASIG)&gt;0)*(nNOTA))/SUMPRODUCT((nNIA=A233)*(nCUENTA=1)*(COUNTIF(CONFIG_ASIGNATURAS!$B$7:$B$27,nASIG)&gt;0)*1),"")))</f>
        <v/>
      </c>
      <c r="H233" t="str">
        <f>IF(G233="","",IF(G233="[FÓRMULA MANUAL]","",IFERROR(AVERAGEIFS(nNOTA,nNIA,G233,nCUENTA,1,nASIG,"Lenguaje Musical"),"")))</f>
        <v/>
      </c>
      <c r="I233" t="str">
        <f>IF(G233="","",IF(G233="[FÓRMULA MANUAL]","",IFERROR(AVERAGEIFS(nNOTA,nNIA,G233,nCUENTA,1,nASIG,"Orquesta/Banda/Conjunto"),"")))</f>
        <v/>
      </c>
      <c r="J233" t="str">
        <f>IF(G233="","",IF(G233="[FÓRMULA MANUAL]","",IFERROR(AVERAGEIFS(nNOTA,nNIA,G233,nCUENTA,1,nASIG,"Conjunto"),"")))</f>
        <v/>
      </c>
      <c r="K233" t="str">
        <f>IF(G233="","",IF(G233="[FÓRMULA MANUAL]","",IFERROR(SUMPRODUCT((nNIA=G233)*(nCUENTA=1)*(COUNTIF(CONFIG_ASIGNATURAS!$B$7:$B$27,nASIG)&gt;0)*(nNOTA))/SUMPRODUCT((nNIA=G233)*(nCUENTA=1)*(COUNTIF(CONFIG_ASIGNATURAS!$B$7:$B$27,nASIG)&gt;0)*1),"")))</f>
        <v/>
      </c>
      <c r="N233" t="str">
        <f>IF(M233="","",IF(M233="[FÓRMULA MANUAL]","",IFERROR(AVERAGEIFS(nNOTA,nNIA,M233,nCUENTA,1,nASIG,"Armonía"),"")))</f>
        <v/>
      </c>
      <c r="O233" t="str">
        <f>IF(M233="","",IF(M233="[FÓRMULA MANUAL]","",IFERROR(AVERAGEIFS(nNOTA,nNIA,M233,nCUENTA,1,nASIG,"Orquesta/Banda/Conjunto"),"")))</f>
        <v/>
      </c>
      <c r="P233" t="str">
        <f>IF(M233="","",IF(M233="[FÓRMULA MANUAL]","",IFERROR(AVERAGEIFS(nNOTA,nNIA,M233,nCUENTA,1,nASIG,"Música de Cámara"),"")))</f>
        <v/>
      </c>
      <c r="Q233" t="str">
        <f>IF(M233="","",IF(M233="[FÓRMULA MANUAL]","",IFERROR(SUMPRODUCT((nNIA=M233)*(nCUENTA=1)*(COUNTIF(CONFIG_ASIGNATURAS!$B$7:$B$27,nASIG)&gt;0)*(nNOTA))/SUMPRODUCT((nNIA=M233)*(nCUENTA=1)*(COUNTIF(CONFIG_ASIGNATURAS!$B$7:$B$27,nASIG)&gt;0)*1),"")))</f>
        <v/>
      </c>
      <c r="T233" t="str">
        <f>IF(S233="","",IF(S233="[FÓRMULA MANUAL]","",IFERROR(AVERAGEIFS(nNOTA,nNIA,S233,nCUENTA,1,nASIG,"Armonía"),"")))</f>
        <v/>
      </c>
      <c r="U233" t="str">
        <f>IF(S233="","",IF(S233="[FÓRMULA MANUAL]","",IFERROR(AVERAGEIFS(nNOTA,nNIA,S233,nCUENTA,1,nASIG,"Orquesta/Banda/Conjunto"),"")))</f>
        <v/>
      </c>
      <c r="V233" t="str">
        <f>IF(S233="","",IF(S233="[FÓRMULA MANUAL]","",IFERROR(AVERAGEIFS(nNOTA,nNIA,S233,nCUENTA,1,nASIG,"Música de Cámara"),"")))</f>
        <v/>
      </c>
      <c r="W233" t="str">
        <f>IF(S233="","",IF(S233="[FÓRMULA MANUAL]","",IFERROR(SUMPRODUCT((nNIA=S233)*(nCUENTA=1)*(COUNTIF(CONFIG_ASIGNATURAS!$B$7:$B$27,nASIG)&gt;0)*(nNOTA))/SUMPRODUCT((nNIA=S233)*(nCUENTA=1)*(COUNTIF(CONFIG_ASIGNATURAS!$B$7:$B$27,nASIG)&gt;0)*1),"")))</f>
        <v/>
      </c>
      <c r="Z233" t="str">
        <f>IF(Y233="","",IF(Y233="[FÓRMULA MANUAL]","",IFERROR(AVERAGEIFS(nNOTA,nNIA,Y233,nCUENTA,1,nASIG,"Análisis"),"")))</f>
        <v/>
      </c>
      <c r="AA233" t="str">
        <f>IF(Y233="","",IF(Y233="[FÓRMULA MANUAL]","",IFERROR(AVERAGEIFS(nNOTA,nNIA,Y233,nCUENTA,1,nASIG,"Orquesta/Banda/Conjunto"),"")))</f>
        <v/>
      </c>
      <c r="AB233" t="str">
        <f>IF(Y233="","",IF(Y233="[FÓRMULA MANUAL]","",IFERROR(AVERAGEIFS(nNOTA,nNIA,Y233,nCUENTA,1,nASIG,"Música de Cámara"),"")))</f>
        <v/>
      </c>
      <c r="AC233" t="str">
        <f>IF(Y233="","",IF(Y233="[FÓRMULA MANUAL]","",IFERROR(SUMPRODUCT((nNIA=Y233)*(nCUENTA=1)*(COUNTIF(CONFIG_ASIGNATURAS!$B$7:$B$27,nASIG)&gt;0)*(nNOTA))/SUMPRODUCT((nNIA=Y233)*(nCUENTA=1)*(COUNTIF(CONFIG_ASIGNATURAS!$B$7:$B$27,nASIG)&gt;0)*1),"")))</f>
        <v/>
      </c>
      <c r="AF233" t="str">
        <f>IF(AE233="","",IF(AE233="[FÓRMULA MANUAL]","",IFERROR(AVERAGEIFS(nNOTA,nNIA,AE233,nCUENTA,1,nASIG,"Análisis"),"")))</f>
        <v/>
      </c>
      <c r="AG233" t="str">
        <f>IF(AE233="","",IF(AE233="[FÓRMULA MANUAL]","",IFERROR(AVERAGEIFS(nNOTA,nNIA,AE233,nCUENTA,1,nASIG,"Orquesta/Banda/Conjunto"),"")))</f>
        <v/>
      </c>
      <c r="AH233" t="str">
        <f>IF(AE233="","",IF(AE233="[FÓRMULA MANUAL]","",IFERROR(AVERAGEIFS(nNOTA,nNIA,AE233,nCUENTA,1,nASIG,"Música de Cámara"),"")))</f>
        <v/>
      </c>
      <c r="AI233" t="str">
        <f>IF(AE233="","",IF(AE233="[FÓRMULA MANUAL]","",IFERROR(SUMPRODUCT((nNIA=AE233)*(nCUENTA=1)*(COUNTIF(CONFIG_ASIGNATURAS!$B$7:$B$27,nASIG)&gt;0)*(nNOTA))/SUMPRODUCT((nNIA=AE233)*(nCUENTA=1)*(COUNTIF(CONFIG_ASIGNATURAS!$B$7:$B$27,nASIG)&gt;0)*1),"")))</f>
        <v/>
      </c>
    </row>
    <row r="234" spans="2:35" x14ac:dyDescent="0.2">
      <c r="B234" t="str">
        <f>IF(A234="","",IF(A234="[FÓRMULA MANUAL]","",IFERROR(AVERAGEIFS(nNOTA,nNIA,A234,nCUENTA,1,nASIG,"Lenguaje Musical"),"")))</f>
        <v/>
      </c>
      <c r="C234" t="str">
        <f>IF(A234="","",IF(A234="[FÓRMULA MANUAL]","",IFERROR(AVERAGEIFS(nNOTA,nNIA,A234,nCUENTA,1,nASIG,"Orquesta/Banda/Conjunto"),"")))</f>
        <v/>
      </c>
      <c r="D234" t="str">
        <f>IF(A234="","",IF(A234="[FÓRMULA MANUAL]","",IFERROR(AVERAGEIFS(nNOTA,nNIA,A234,nCUENTA,1,nASIG,"Conjunto"),"")))</f>
        <v/>
      </c>
      <c r="E234" t="str">
        <f>IF(A234="","",IF(A234="[FÓRMULA MANUAL]","",IFERROR(SUMPRODUCT((nNIA=A234)*(nCUENTA=1)*(COUNTIF(CONFIG_ASIGNATURAS!$B$7:$B$27,nASIG)&gt;0)*(nNOTA))/SUMPRODUCT((nNIA=A234)*(nCUENTA=1)*(COUNTIF(CONFIG_ASIGNATURAS!$B$7:$B$27,nASIG)&gt;0)*1),"")))</f>
        <v/>
      </c>
      <c r="H234" t="str">
        <f>IF(G234="","",IF(G234="[FÓRMULA MANUAL]","",IFERROR(AVERAGEIFS(nNOTA,nNIA,G234,nCUENTA,1,nASIG,"Lenguaje Musical"),"")))</f>
        <v/>
      </c>
      <c r="I234" t="str">
        <f>IF(G234="","",IF(G234="[FÓRMULA MANUAL]","",IFERROR(AVERAGEIFS(nNOTA,nNIA,G234,nCUENTA,1,nASIG,"Orquesta/Banda/Conjunto"),"")))</f>
        <v/>
      </c>
      <c r="J234" t="str">
        <f>IF(G234="","",IF(G234="[FÓRMULA MANUAL]","",IFERROR(AVERAGEIFS(nNOTA,nNIA,G234,nCUENTA,1,nASIG,"Conjunto"),"")))</f>
        <v/>
      </c>
      <c r="K234" t="str">
        <f>IF(G234="","",IF(G234="[FÓRMULA MANUAL]","",IFERROR(SUMPRODUCT((nNIA=G234)*(nCUENTA=1)*(COUNTIF(CONFIG_ASIGNATURAS!$B$7:$B$27,nASIG)&gt;0)*(nNOTA))/SUMPRODUCT((nNIA=G234)*(nCUENTA=1)*(COUNTIF(CONFIG_ASIGNATURAS!$B$7:$B$27,nASIG)&gt;0)*1),"")))</f>
        <v/>
      </c>
      <c r="N234" t="str">
        <f>IF(M234="","",IF(M234="[FÓRMULA MANUAL]","",IFERROR(AVERAGEIFS(nNOTA,nNIA,M234,nCUENTA,1,nASIG,"Armonía"),"")))</f>
        <v/>
      </c>
      <c r="O234" t="str">
        <f>IF(M234="","",IF(M234="[FÓRMULA MANUAL]","",IFERROR(AVERAGEIFS(nNOTA,nNIA,M234,nCUENTA,1,nASIG,"Orquesta/Banda/Conjunto"),"")))</f>
        <v/>
      </c>
      <c r="P234" t="str">
        <f>IF(M234="","",IF(M234="[FÓRMULA MANUAL]","",IFERROR(AVERAGEIFS(nNOTA,nNIA,M234,nCUENTA,1,nASIG,"Música de Cámara"),"")))</f>
        <v/>
      </c>
      <c r="Q234" t="str">
        <f>IF(M234="","",IF(M234="[FÓRMULA MANUAL]","",IFERROR(SUMPRODUCT((nNIA=M234)*(nCUENTA=1)*(COUNTIF(CONFIG_ASIGNATURAS!$B$7:$B$27,nASIG)&gt;0)*(nNOTA))/SUMPRODUCT((nNIA=M234)*(nCUENTA=1)*(COUNTIF(CONFIG_ASIGNATURAS!$B$7:$B$27,nASIG)&gt;0)*1),"")))</f>
        <v/>
      </c>
      <c r="T234" t="str">
        <f>IF(S234="","",IF(S234="[FÓRMULA MANUAL]","",IFERROR(AVERAGEIFS(nNOTA,nNIA,S234,nCUENTA,1,nASIG,"Armonía"),"")))</f>
        <v/>
      </c>
      <c r="U234" t="str">
        <f>IF(S234="","",IF(S234="[FÓRMULA MANUAL]","",IFERROR(AVERAGEIFS(nNOTA,nNIA,S234,nCUENTA,1,nASIG,"Orquesta/Banda/Conjunto"),"")))</f>
        <v/>
      </c>
      <c r="V234" t="str">
        <f>IF(S234="","",IF(S234="[FÓRMULA MANUAL]","",IFERROR(AVERAGEIFS(nNOTA,nNIA,S234,nCUENTA,1,nASIG,"Música de Cámara"),"")))</f>
        <v/>
      </c>
      <c r="W234" t="str">
        <f>IF(S234="","",IF(S234="[FÓRMULA MANUAL]","",IFERROR(SUMPRODUCT((nNIA=S234)*(nCUENTA=1)*(COUNTIF(CONFIG_ASIGNATURAS!$B$7:$B$27,nASIG)&gt;0)*(nNOTA))/SUMPRODUCT((nNIA=S234)*(nCUENTA=1)*(COUNTIF(CONFIG_ASIGNATURAS!$B$7:$B$27,nASIG)&gt;0)*1),"")))</f>
        <v/>
      </c>
      <c r="Z234" t="str">
        <f>IF(Y234="","",IF(Y234="[FÓRMULA MANUAL]","",IFERROR(AVERAGEIFS(nNOTA,nNIA,Y234,nCUENTA,1,nASIG,"Análisis"),"")))</f>
        <v/>
      </c>
      <c r="AA234" t="str">
        <f>IF(Y234="","",IF(Y234="[FÓRMULA MANUAL]","",IFERROR(AVERAGEIFS(nNOTA,nNIA,Y234,nCUENTA,1,nASIG,"Orquesta/Banda/Conjunto"),"")))</f>
        <v/>
      </c>
      <c r="AB234" t="str">
        <f>IF(Y234="","",IF(Y234="[FÓRMULA MANUAL]","",IFERROR(AVERAGEIFS(nNOTA,nNIA,Y234,nCUENTA,1,nASIG,"Música de Cámara"),"")))</f>
        <v/>
      </c>
      <c r="AC234" t="str">
        <f>IF(Y234="","",IF(Y234="[FÓRMULA MANUAL]","",IFERROR(SUMPRODUCT((nNIA=Y234)*(nCUENTA=1)*(COUNTIF(CONFIG_ASIGNATURAS!$B$7:$B$27,nASIG)&gt;0)*(nNOTA))/SUMPRODUCT((nNIA=Y234)*(nCUENTA=1)*(COUNTIF(CONFIG_ASIGNATURAS!$B$7:$B$27,nASIG)&gt;0)*1),"")))</f>
        <v/>
      </c>
      <c r="AF234" t="str">
        <f>IF(AE234="","",IF(AE234="[FÓRMULA MANUAL]","",IFERROR(AVERAGEIFS(nNOTA,nNIA,AE234,nCUENTA,1,nASIG,"Análisis"),"")))</f>
        <v/>
      </c>
      <c r="AG234" t="str">
        <f>IF(AE234="","",IF(AE234="[FÓRMULA MANUAL]","",IFERROR(AVERAGEIFS(nNOTA,nNIA,AE234,nCUENTA,1,nASIG,"Orquesta/Banda/Conjunto"),"")))</f>
        <v/>
      </c>
      <c r="AH234" t="str">
        <f>IF(AE234="","",IF(AE234="[FÓRMULA MANUAL]","",IFERROR(AVERAGEIFS(nNOTA,nNIA,AE234,nCUENTA,1,nASIG,"Música de Cámara"),"")))</f>
        <v/>
      </c>
      <c r="AI234" t="str">
        <f>IF(AE234="","",IF(AE234="[FÓRMULA MANUAL]","",IFERROR(SUMPRODUCT((nNIA=AE234)*(nCUENTA=1)*(COUNTIF(CONFIG_ASIGNATURAS!$B$7:$B$27,nASIG)&gt;0)*(nNOTA))/SUMPRODUCT((nNIA=AE234)*(nCUENTA=1)*(COUNTIF(CONFIG_ASIGNATURAS!$B$7:$B$27,nASIG)&gt;0)*1),"")))</f>
        <v/>
      </c>
    </row>
    <row r="235" spans="2:35" x14ac:dyDescent="0.2">
      <c r="B235" t="str">
        <f>IF(A235="","",IF(A235="[FÓRMULA MANUAL]","",IFERROR(AVERAGEIFS(nNOTA,nNIA,A235,nCUENTA,1,nASIG,"Lenguaje Musical"),"")))</f>
        <v/>
      </c>
      <c r="C235" t="str">
        <f>IF(A235="","",IF(A235="[FÓRMULA MANUAL]","",IFERROR(AVERAGEIFS(nNOTA,nNIA,A235,nCUENTA,1,nASIG,"Orquesta/Banda/Conjunto"),"")))</f>
        <v/>
      </c>
      <c r="D235" t="str">
        <f>IF(A235="","",IF(A235="[FÓRMULA MANUAL]","",IFERROR(AVERAGEIFS(nNOTA,nNIA,A235,nCUENTA,1,nASIG,"Conjunto"),"")))</f>
        <v/>
      </c>
      <c r="E235" t="str">
        <f>IF(A235="","",IF(A235="[FÓRMULA MANUAL]","",IFERROR(SUMPRODUCT((nNIA=A235)*(nCUENTA=1)*(COUNTIF(CONFIG_ASIGNATURAS!$B$7:$B$27,nASIG)&gt;0)*(nNOTA))/SUMPRODUCT((nNIA=A235)*(nCUENTA=1)*(COUNTIF(CONFIG_ASIGNATURAS!$B$7:$B$27,nASIG)&gt;0)*1),"")))</f>
        <v/>
      </c>
      <c r="H235" t="str">
        <f>IF(G235="","",IF(G235="[FÓRMULA MANUAL]","",IFERROR(AVERAGEIFS(nNOTA,nNIA,G235,nCUENTA,1,nASIG,"Lenguaje Musical"),"")))</f>
        <v/>
      </c>
      <c r="I235" t="str">
        <f>IF(G235="","",IF(G235="[FÓRMULA MANUAL]","",IFERROR(AVERAGEIFS(nNOTA,nNIA,G235,nCUENTA,1,nASIG,"Orquesta/Banda/Conjunto"),"")))</f>
        <v/>
      </c>
      <c r="J235" t="str">
        <f>IF(G235="","",IF(G235="[FÓRMULA MANUAL]","",IFERROR(AVERAGEIFS(nNOTA,nNIA,G235,nCUENTA,1,nASIG,"Conjunto"),"")))</f>
        <v/>
      </c>
      <c r="K235" t="str">
        <f>IF(G235="","",IF(G235="[FÓRMULA MANUAL]","",IFERROR(SUMPRODUCT((nNIA=G235)*(nCUENTA=1)*(COUNTIF(CONFIG_ASIGNATURAS!$B$7:$B$27,nASIG)&gt;0)*(nNOTA))/SUMPRODUCT((nNIA=G235)*(nCUENTA=1)*(COUNTIF(CONFIG_ASIGNATURAS!$B$7:$B$27,nASIG)&gt;0)*1),"")))</f>
        <v/>
      </c>
      <c r="N235" t="str">
        <f>IF(M235="","",IF(M235="[FÓRMULA MANUAL]","",IFERROR(AVERAGEIFS(nNOTA,nNIA,M235,nCUENTA,1,nASIG,"Armonía"),"")))</f>
        <v/>
      </c>
      <c r="O235" t="str">
        <f>IF(M235="","",IF(M235="[FÓRMULA MANUAL]","",IFERROR(AVERAGEIFS(nNOTA,nNIA,M235,nCUENTA,1,nASIG,"Orquesta/Banda/Conjunto"),"")))</f>
        <v/>
      </c>
      <c r="P235" t="str">
        <f>IF(M235="","",IF(M235="[FÓRMULA MANUAL]","",IFERROR(AVERAGEIFS(nNOTA,nNIA,M235,nCUENTA,1,nASIG,"Música de Cámara"),"")))</f>
        <v/>
      </c>
      <c r="Q235" t="str">
        <f>IF(M235="","",IF(M235="[FÓRMULA MANUAL]","",IFERROR(SUMPRODUCT((nNIA=M235)*(nCUENTA=1)*(COUNTIF(CONFIG_ASIGNATURAS!$B$7:$B$27,nASIG)&gt;0)*(nNOTA))/SUMPRODUCT((nNIA=M235)*(nCUENTA=1)*(COUNTIF(CONFIG_ASIGNATURAS!$B$7:$B$27,nASIG)&gt;0)*1),"")))</f>
        <v/>
      </c>
      <c r="T235" t="str">
        <f>IF(S235="","",IF(S235="[FÓRMULA MANUAL]","",IFERROR(AVERAGEIFS(nNOTA,nNIA,S235,nCUENTA,1,nASIG,"Armonía"),"")))</f>
        <v/>
      </c>
      <c r="U235" t="str">
        <f>IF(S235="","",IF(S235="[FÓRMULA MANUAL]","",IFERROR(AVERAGEIFS(nNOTA,nNIA,S235,nCUENTA,1,nASIG,"Orquesta/Banda/Conjunto"),"")))</f>
        <v/>
      </c>
      <c r="V235" t="str">
        <f>IF(S235="","",IF(S235="[FÓRMULA MANUAL]","",IFERROR(AVERAGEIFS(nNOTA,nNIA,S235,nCUENTA,1,nASIG,"Música de Cámara"),"")))</f>
        <v/>
      </c>
      <c r="W235" t="str">
        <f>IF(S235="","",IF(S235="[FÓRMULA MANUAL]","",IFERROR(SUMPRODUCT((nNIA=S235)*(nCUENTA=1)*(COUNTIF(CONFIG_ASIGNATURAS!$B$7:$B$27,nASIG)&gt;0)*(nNOTA))/SUMPRODUCT((nNIA=S235)*(nCUENTA=1)*(COUNTIF(CONFIG_ASIGNATURAS!$B$7:$B$27,nASIG)&gt;0)*1),"")))</f>
        <v/>
      </c>
      <c r="Z235" t="str">
        <f>IF(Y235="","",IF(Y235="[FÓRMULA MANUAL]","",IFERROR(AVERAGEIFS(nNOTA,nNIA,Y235,nCUENTA,1,nASIG,"Análisis"),"")))</f>
        <v/>
      </c>
      <c r="AA235" t="str">
        <f>IF(Y235="","",IF(Y235="[FÓRMULA MANUAL]","",IFERROR(AVERAGEIFS(nNOTA,nNIA,Y235,nCUENTA,1,nASIG,"Orquesta/Banda/Conjunto"),"")))</f>
        <v/>
      </c>
      <c r="AB235" t="str">
        <f>IF(Y235="","",IF(Y235="[FÓRMULA MANUAL]","",IFERROR(AVERAGEIFS(nNOTA,nNIA,Y235,nCUENTA,1,nASIG,"Música de Cámara"),"")))</f>
        <v/>
      </c>
      <c r="AC235" t="str">
        <f>IF(Y235="","",IF(Y235="[FÓRMULA MANUAL]","",IFERROR(SUMPRODUCT((nNIA=Y235)*(nCUENTA=1)*(COUNTIF(CONFIG_ASIGNATURAS!$B$7:$B$27,nASIG)&gt;0)*(nNOTA))/SUMPRODUCT((nNIA=Y235)*(nCUENTA=1)*(COUNTIF(CONFIG_ASIGNATURAS!$B$7:$B$27,nASIG)&gt;0)*1),"")))</f>
        <v/>
      </c>
      <c r="AF235" t="str">
        <f>IF(AE235="","",IF(AE235="[FÓRMULA MANUAL]","",IFERROR(AVERAGEIFS(nNOTA,nNIA,AE235,nCUENTA,1,nASIG,"Análisis"),"")))</f>
        <v/>
      </c>
      <c r="AG235" t="str">
        <f>IF(AE235="","",IF(AE235="[FÓRMULA MANUAL]","",IFERROR(AVERAGEIFS(nNOTA,nNIA,AE235,nCUENTA,1,nASIG,"Orquesta/Banda/Conjunto"),"")))</f>
        <v/>
      </c>
      <c r="AH235" t="str">
        <f>IF(AE235="","",IF(AE235="[FÓRMULA MANUAL]","",IFERROR(AVERAGEIFS(nNOTA,nNIA,AE235,nCUENTA,1,nASIG,"Música de Cámara"),"")))</f>
        <v/>
      </c>
      <c r="AI235" t="str">
        <f>IF(AE235="","",IF(AE235="[FÓRMULA MANUAL]","",IFERROR(SUMPRODUCT((nNIA=AE235)*(nCUENTA=1)*(COUNTIF(CONFIG_ASIGNATURAS!$B$7:$B$27,nASIG)&gt;0)*(nNOTA))/SUMPRODUCT((nNIA=AE235)*(nCUENTA=1)*(COUNTIF(CONFIG_ASIGNATURAS!$B$7:$B$27,nASIG)&gt;0)*1),"")))</f>
        <v/>
      </c>
    </row>
    <row r="236" spans="2:35" x14ac:dyDescent="0.2">
      <c r="B236" t="str">
        <f>IF(A236="","",IF(A236="[FÓRMULA MANUAL]","",IFERROR(AVERAGEIFS(nNOTA,nNIA,A236,nCUENTA,1,nASIG,"Lenguaje Musical"),"")))</f>
        <v/>
      </c>
      <c r="C236" t="str">
        <f>IF(A236="","",IF(A236="[FÓRMULA MANUAL]","",IFERROR(AVERAGEIFS(nNOTA,nNIA,A236,nCUENTA,1,nASIG,"Orquesta/Banda/Conjunto"),"")))</f>
        <v/>
      </c>
      <c r="D236" t="str">
        <f>IF(A236="","",IF(A236="[FÓRMULA MANUAL]","",IFERROR(AVERAGEIFS(nNOTA,nNIA,A236,nCUENTA,1,nASIG,"Conjunto"),"")))</f>
        <v/>
      </c>
      <c r="E236" t="str">
        <f>IF(A236="","",IF(A236="[FÓRMULA MANUAL]","",IFERROR(SUMPRODUCT((nNIA=A236)*(nCUENTA=1)*(COUNTIF(CONFIG_ASIGNATURAS!$B$7:$B$27,nASIG)&gt;0)*(nNOTA))/SUMPRODUCT((nNIA=A236)*(nCUENTA=1)*(COUNTIF(CONFIG_ASIGNATURAS!$B$7:$B$27,nASIG)&gt;0)*1),"")))</f>
        <v/>
      </c>
      <c r="H236" t="str">
        <f>IF(G236="","",IF(G236="[FÓRMULA MANUAL]","",IFERROR(AVERAGEIFS(nNOTA,nNIA,G236,nCUENTA,1,nASIG,"Lenguaje Musical"),"")))</f>
        <v/>
      </c>
      <c r="I236" t="str">
        <f>IF(G236="","",IF(G236="[FÓRMULA MANUAL]","",IFERROR(AVERAGEIFS(nNOTA,nNIA,G236,nCUENTA,1,nASIG,"Orquesta/Banda/Conjunto"),"")))</f>
        <v/>
      </c>
      <c r="J236" t="str">
        <f>IF(G236="","",IF(G236="[FÓRMULA MANUAL]","",IFERROR(AVERAGEIFS(nNOTA,nNIA,G236,nCUENTA,1,nASIG,"Conjunto"),"")))</f>
        <v/>
      </c>
      <c r="K236" t="str">
        <f>IF(G236="","",IF(G236="[FÓRMULA MANUAL]","",IFERROR(SUMPRODUCT((nNIA=G236)*(nCUENTA=1)*(COUNTIF(CONFIG_ASIGNATURAS!$B$7:$B$27,nASIG)&gt;0)*(nNOTA))/SUMPRODUCT((nNIA=G236)*(nCUENTA=1)*(COUNTIF(CONFIG_ASIGNATURAS!$B$7:$B$27,nASIG)&gt;0)*1),"")))</f>
        <v/>
      </c>
      <c r="N236" t="str">
        <f>IF(M236="","",IF(M236="[FÓRMULA MANUAL]","",IFERROR(AVERAGEIFS(nNOTA,nNIA,M236,nCUENTA,1,nASIG,"Armonía"),"")))</f>
        <v/>
      </c>
      <c r="O236" t="str">
        <f>IF(M236="","",IF(M236="[FÓRMULA MANUAL]","",IFERROR(AVERAGEIFS(nNOTA,nNIA,M236,nCUENTA,1,nASIG,"Orquesta/Banda/Conjunto"),"")))</f>
        <v/>
      </c>
      <c r="P236" t="str">
        <f>IF(M236="","",IF(M236="[FÓRMULA MANUAL]","",IFERROR(AVERAGEIFS(nNOTA,nNIA,M236,nCUENTA,1,nASIG,"Música de Cámara"),"")))</f>
        <v/>
      </c>
      <c r="Q236" t="str">
        <f>IF(M236="","",IF(M236="[FÓRMULA MANUAL]","",IFERROR(SUMPRODUCT((nNIA=M236)*(nCUENTA=1)*(COUNTIF(CONFIG_ASIGNATURAS!$B$7:$B$27,nASIG)&gt;0)*(nNOTA))/SUMPRODUCT((nNIA=M236)*(nCUENTA=1)*(COUNTIF(CONFIG_ASIGNATURAS!$B$7:$B$27,nASIG)&gt;0)*1),"")))</f>
        <v/>
      </c>
      <c r="T236" t="str">
        <f>IF(S236="","",IF(S236="[FÓRMULA MANUAL]","",IFERROR(AVERAGEIFS(nNOTA,nNIA,S236,nCUENTA,1,nASIG,"Armonía"),"")))</f>
        <v/>
      </c>
      <c r="U236" t="str">
        <f>IF(S236="","",IF(S236="[FÓRMULA MANUAL]","",IFERROR(AVERAGEIFS(nNOTA,nNIA,S236,nCUENTA,1,nASIG,"Orquesta/Banda/Conjunto"),"")))</f>
        <v/>
      </c>
      <c r="V236" t="str">
        <f>IF(S236="","",IF(S236="[FÓRMULA MANUAL]","",IFERROR(AVERAGEIFS(nNOTA,nNIA,S236,nCUENTA,1,nASIG,"Música de Cámara"),"")))</f>
        <v/>
      </c>
      <c r="W236" t="str">
        <f>IF(S236="","",IF(S236="[FÓRMULA MANUAL]","",IFERROR(SUMPRODUCT((nNIA=S236)*(nCUENTA=1)*(COUNTIF(CONFIG_ASIGNATURAS!$B$7:$B$27,nASIG)&gt;0)*(nNOTA))/SUMPRODUCT((nNIA=S236)*(nCUENTA=1)*(COUNTIF(CONFIG_ASIGNATURAS!$B$7:$B$27,nASIG)&gt;0)*1),"")))</f>
        <v/>
      </c>
      <c r="Z236" t="str">
        <f>IF(Y236="","",IF(Y236="[FÓRMULA MANUAL]","",IFERROR(AVERAGEIFS(nNOTA,nNIA,Y236,nCUENTA,1,nASIG,"Análisis"),"")))</f>
        <v/>
      </c>
      <c r="AA236" t="str">
        <f>IF(Y236="","",IF(Y236="[FÓRMULA MANUAL]","",IFERROR(AVERAGEIFS(nNOTA,nNIA,Y236,nCUENTA,1,nASIG,"Orquesta/Banda/Conjunto"),"")))</f>
        <v/>
      </c>
      <c r="AB236" t="str">
        <f>IF(Y236="","",IF(Y236="[FÓRMULA MANUAL]","",IFERROR(AVERAGEIFS(nNOTA,nNIA,Y236,nCUENTA,1,nASIG,"Música de Cámara"),"")))</f>
        <v/>
      </c>
      <c r="AC236" t="str">
        <f>IF(Y236="","",IF(Y236="[FÓRMULA MANUAL]","",IFERROR(SUMPRODUCT((nNIA=Y236)*(nCUENTA=1)*(COUNTIF(CONFIG_ASIGNATURAS!$B$7:$B$27,nASIG)&gt;0)*(nNOTA))/SUMPRODUCT((nNIA=Y236)*(nCUENTA=1)*(COUNTIF(CONFIG_ASIGNATURAS!$B$7:$B$27,nASIG)&gt;0)*1),"")))</f>
        <v/>
      </c>
      <c r="AF236" t="str">
        <f>IF(AE236="","",IF(AE236="[FÓRMULA MANUAL]","",IFERROR(AVERAGEIFS(nNOTA,nNIA,AE236,nCUENTA,1,nASIG,"Análisis"),"")))</f>
        <v/>
      </c>
      <c r="AG236" t="str">
        <f>IF(AE236="","",IF(AE236="[FÓRMULA MANUAL]","",IFERROR(AVERAGEIFS(nNOTA,nNIA,AE236,nCUENTA,1,nASIG,"Orquesta/Banda/Conjunto"),"")))</f>
        <v/>
      </c>
      <c r="AH236" t="str">
        <f>IF(AE236="","",IF(AE236="[FÓRMULA MANUAL]","",IFERROR(AVERAGEIFS(nNOTA,nNIA,AE236,nCUENTA,1,nASIG,"Música de Cámara"),"")))</f>
        <v/>
      </c>
      <c r="AI236" t="str">
        <f>IF(AE236="","",IF(AE236="[FÓRMULA MANUAL]","",IFERROR(SUMPRODUCT((nNIA=AE236)*(nCUENTA=1)*(COUNTIF(CONFIG_ASIGNATURAS!$B$7:$B$27,nASIG)&gt;0)*(nNOTA))/SUMPRODUCT((nNIA=AE236)*(nCUENTA=1)*(COUNTIF(CONFIG_ASIGNATURAS!$B$7:$B$27,nASIG)&gt;0)*1),"")))</f>
        <v/>
      </c>
    </row>
    <row r="237" spans="2:35" x14ac:dyDescent="0.2">
      <c r="B237" t="str">
        <f>IF(A237="","",IF(A237="[FÓRMULA MANUAL]","",IFERROR(AVERAGEIFS(nNOTA,nNIA,A237,nCUENTA,1,nASIG,"Lenguaje Musical"),"")))</f>
        <v/>
      </c>
      <c r="C237" t="str">
        <f>IF(A237="","",IF(A237="[FÓRMULA MANUAL]","",IFERROR(AVERAGEIFS(nNOTA,nNIA,A237,nCUENTA,1,nASIG,"Orquesta/Banda/Conjunto"),"")))</f>
        <v/>
      </c>
      <c r="D237" t="str">
        <f>IF(A237="","",IF(A237="[FÓRMULA MANUAL]","",IFERROR(AVERAGEIFS(nNOTA,nNIA,A237,nCUENTA,1,nASIG,"Conjunto"),"")))</f>
        <v/>
      </c>
      <c r="E237" t="str">
        <f>IF(A237="","",IF(A237="[FÓRMULA MANUAL]","",IFERROR(SUMPRODUCT((nNIA=A237)*(nCUENTA=1)*(COUNTIF(CONFIG_ASIGNATURAS!$B$7:$B$27,nASIG)&gt;0)*(nNOTA))/SUMPRODUCT((nNIA=A237)*(nCUENTA=1)*(COUNTIF(CONFIG_ASIGNATURAS!$B$7:$B$27,nASIG)&gt;0)*1),"")))</f>
        <v/>
      </c>
      <c r="H237" t="str">
        <f>IF(G237="","",IF(G237="[FÓRMULA MANUAL]","",IFERROR(AVERAGEIFS(nNOTA,nNIA,G237,nCUENTA,1,nASIG,"Lenguaje Musical"),"")))</f>
        <v/>
      </c>
      <c r="I237" t="str">
        <f>IF(G237="","",IF(G237="[FÓRMULA MANUAL]","",IFERROR(AVERAGEIFS(nNOTA,nNIA,G237,nCUENTA,1,nASIG,"Orquesta/Banda/Conjunto"),"")))</f>
        <v/>
      </c>
      <c r="J237" t="str">
        <f>IF(G237="","",IF(G237="[FÓRMULA MANUAL]","",IFERROR(AVERAGEIFS(nNOTA,nNIA,G237,nCUENTA,1,nASIG,"Conjunto"),"")))</f>
        <v/>
      </c>
      <c r="K237" t="str">
        <f>IF(G237="","",IF(G237="[FÓRMULA MANUAL]","",IFERROR(SUMPRODUCT((nNIA=G237)*(nCUENTA=1)*(COUNTIF(CONFIG_ASIGNATURAS!$B$7:$B$27,nASIG)&gt;0)*(nNOTA))/SUMPRODUCT((nNIA=G237)*(nCUENTA=1)*(COUNTIF(CONFIG_ASIGNATURAS!$B$7:$B$27,nASIG)&gt;0)*1),"")))</f>
        <v/>
      </c>
      <c r="N237" t="str">
        <f>IF(M237="","",IF(M237="[FÓRMULA MANUAL]","",IFERROR(AVERAGEIFS(nNOTA,nNIA,M237,nCUENTA,1,nASIG,"Armonía"),"")))</f>
        <v/>
      </c>
      <c r="O237" t="str">
        <f>IF(M237="","",IF(M237="[FÓRMULA MANUAL]","",IFERROR(AVERAGEIFS(nNOTA,nNIA,M237,nCUENTA,1,nASIG,"Orquesta/Banda/Conjunto"),"")))</f>
        <v/>
      </c>
      <c r="P237" t="str">
        <f>IF(M237="","",IF(M237="[FÓRMULA MANUAL]","",IFERROR(AVERAGEIFS(nNOTA,nNIA,M237,nCUENTA,1,nASIG,"Música de Cámara"),"")))</f>
        <v/>
      </c>
      <c r="Q237" t="str">
        <f>IF(M237="","",IF(M237="[FÓRMULA MANUAL]","",IFERROR(SUMPRODUCT((nNIA=M237)*(nCUENTA=1)*(COUNTIF(CONFIG_ASIGNATURAS!$B$7:$B$27,nASIG)&gt;0)*(nNOTA))/SUMPRODUCT((nNIA=M237)*(nCUENTA=1)*(COUNTIF(CONFIG_ASIGNATURAS!$B$7:$B$27,nASIG)&gt;0)*1),"")))</f>
        <v/>
      </c>
      <c r="T237" t="str">
        <f>IF(S237="","",IF(S237="[FÓRMULA MANUAL]","",IFERROR(AVERAGEIFS(nNOTA,nNIA,S237,nCUENTA,1,nASIG,"Armonía"),"")))</f>
        <v/>
      </c>
      <c r="U237" t="str">
        <f>IF(S237="","",IF(S237="[FÓRMULA MANUAL]","",IFERROR(AVERAGEIFS(nNOTA,nNIA,S237,nCUENTA,1,nASIG,"Orquesta/Banda/Conjunto"),"")))</f>
        <v/>
      </c>
      <c r="V237" t="str">
        <f>IF(S237="","",IF(S237="[FÓRMULA MANUAL]","",IFERROR(AVERAGEIFS(nNOTA,nNIA,S237,nCUENTA,1,nASIG,"Música de Cámara"),"")))</f>
        <v/>
      </c>
      <c r="W237" t="str">
        <f>IF(S237="","",IF(S237="[FÓRMULA MANUAL]","",IFERROR(SUMPRODUCT((nNIA=S237)*(nCUENTA=1)*(COUNTIF(CONFIG_ASIGNATURAS!$B$7:$B$27,nASIG)&gt;0)*(nNOTA))/SUMPRODUCT((nNIA=S237)*(nCUENTA=1)*(COUNTIF(CONFIG_ASIGNATURAS!$B$7:$B$27,nASIG)&gt;0)*1),"")))</f>
        <v/>
      </c>
      <c r="Z237" t="str">
        <f>IF(Y237="","",IF(Y237="[FÓRMULA MANUAL]","",IFERROR(AVERAGEIFS(nNOTA,nNIA,Y237,nCUENTA,1,nASIG,"Análisis"),"")))</f>
        <v/>
      </c>
      <c r="AA237" t="str">
        <f>IF(Y237="","",IF(Y237="[FÓRMULA MANUAL]","",IFERROR(AVERAGEIFS(nNOTA,nNIA,Y237,nCUENTA,1,nASIG,"Orquesta/Banda/Conjunto"),"")))</f>
        <v/>
      </c>
      <c r="AB237" t="str">
        <f>IF(Y237="","",IF(Y237="[FÓRMULA MANUAL]","",IFERROR(AVERAGEIFS(nNOTA,nNIA,Y237,nCUENTA,1,nASIG,"Música de Cámara"),"")))</f>
        <v/>
      </c>
      <c r="AC237" t="str">
        <f>IF(Y237="","",IF(Y237="[FÓRMULA MANUAL]","",IFERROR(SUMPRODUCT((nNIA=Y237)*(nCUENTA=1)*(COUNTIF(CONFIG_ASIGNATURAS!$B$7:$B$27,nASIG)&gt;0)*(nNOTA))/SUMPRODUCT((nNIA=Y237)*(nCUENTA=1)*(COUNTIF(CONFIG_ASIGNATURAS!$B$7:$B$27,nASIG)&gt;0)*1),"")))</f>
        <v/>
      </c>
      <c r="AF237" t="str">
        <f>IF(AE237="","",IF(AE237="[FÓRMULA MANUAL]","",IFERROR(AVERAGEIFS(nNOTA,nNIA,AE237,nCUENTA,1,nASIG,"Análisis"),"")))</f>
        <v/>
      </c>
      <c r="AG237" t="str">
        <f>IF(AE237="","",IF(AE237="[FÓRMULA MANUAL]","",IFERROR(AVERAGEIFS(nNOTA,nNIA,AE237,nCUENTA,1,nASIG,"Orquesta/Banda/Conjunto"),"")))</f>
        <v/>
      </c>
      <c r="AH237" t="str">
        <f>IF(AE237="","",IF(AE237="[FÓRMULA MANUAL]","",IFERROR(AVERAGEIFS(nNOTA,nNIA,AE237,nCUENTA,1,nASIG,"Música de Cámara"),"")))</f>
        <v/>
      </c>
      <c r="AI237" t="str">
        <f>IF(AE237="","",IF(AE237="[FÓRMULA MANUAL]","",IFERROR(SUMPRODUCT((nNIA=AE237)*(nCUENTA=1)*(COUNTIF(CONFIG_ASIGNATURAS!$B$7:$B$27,nASIG)&gt;0)*(nNOTA))/SUMPRODUCT((nNIA=AE237)*(nCUENTA=1)*(COUNTIF(CONFIG_ASIGNATURAS!$B$7:$B$27,nASIG)&gt;0)*1),"")))</f>
        <v/>
      </c>
    </row>
    <row r="238" spans="2:35" x14ac:dyDescent="0.2">
      <c r="B238" t="str">
        <f>IF(A238="","",IF(A238="[FÓRMULA MANUAL]","",IFERROR(AVERAGEIFS(nNOTA,nNIA,A238,nCUENTA,1,nASIG,"Lenguaje Musical"),"")))</f>
        <v/>
      </c>
      <c r="C238" t="str">
        <f>IF(A238="","",IF(A238="[FÓRMULA MANUAL]","",IFERROR(AVERAGEIFS(nNOTA,nNIA,A238,nCUENTA,1,nASIG,"Orquesta/Banda/Conjunto"),"")))</f>
        <v/>
      </c>
      <c r="D238" t="str">
        <f>IF(A238="","",IF(A238="[FÓRMULA MANUAL]","",IFERROR(AVERAGEIFS(nNOTA,nNIA,A238,nCUENTA,1,nASIG,"Conjunto"),"")))</f>
        <v/>
      </c>
      <c r="E238" t="str">
        <f>IF(A238="","",IF(A238="[FÓRMULA MANUAL]","",IFERROR(SUMPRODUCT((nNIA=A238)*(nCUENTA=1)*(COUNTIF(CONFIG_ASIGNATURAS!$B$7:$B$27,nASIG)&gt;0)*(nNOTA))/SUMPRODUCT((nNIA=A238)*(nCUENTA=1)*(COUNTIF(CONFIG_ASIGNATURAS!$B$7:$B$27,nASIG)&gt;0)*1),"")))</f>
        <v/>
      </c>
      <c r="H238" t="str">
        <f>IF(G238="","",IF(G238="[FÓRMULA MANUAL]","",IFERROR(AVERAGEIFS(nNOTA,nNIA,G238,nCUENTA,1,nASIG,"Lenguaje Musical"),"")))</f>
        <v/>
      </c>
      <c r="I238" t="str">
        <f>IF(G238="","",IF(G238="[FÓRMULA MANUAL]","",IFERROR(AVERAGEIFS(nNOTA,nNIA,G238,nCUENTA,1,nASIG,"Orquesta/Banda/Conjunto"),"")))</f>
        <v/>
      </c>
      <c r="J238" t="str">
        <f>IF(G238="","",IF(G238="[FÓRMULA MANUAL]","",IFERROR(AVERAGEIFS(nNOTA,nNIA,G238,nCUENTA,1,nASIG,"Conjunto"),"")))</f>
        <v/>
      </c>
      <c r="K238" t="str">
        <f>IF(G238="","",IF(G238="[FÓRMULA MANUAL]","",IFERROR(SUMPRODUCT((nNIA=G238)*(nCUENTA=1)*(COUNTIF(CONFIG_ASIGNATURAS!$B$7:$B$27,nASIG)&gt;0)*(nNOTA))/SUMPRODUCT((nNIA=G238)*(nCUENTA=1)*(COUNTIF(CONFIG_ASIGNATURAS!$B$7:$B$27,nASIG)&gt;0)*1),"")))</f>
        <v/>
      </c>
      <c r="N238" t="str">
        <f>IF(M238="","",IF(M238="[FÓRMULA MANUAL]","",IFERROR(AVERAGEIFS(nNOTA,nNIA,M238,nCUENTA,1,nASIG,"Armonía"),"")))</f>
        <v/>
      </c>
      <c r="O238" t="str">
        <f>IF(M238="","",IF(M238="[FÓRMULA MANUAL]","",IFERROR(AVERAGEIFS(nNOTA,nNIA,M238,nCUENTA,1,nASIG,"Orquesta/Banda/Conjunto"),"")))</f>
        <v/>
      </c>
      <c r="P238" t="str">
        <f>IF(M238="","",IF(M238="[FÓRMULA MANUAL]","",IFERROR(AVERAGEIFS(nNOTA,nNIA,M238,nCUENTA,1,nASIG,"Música de Cámara"),"")))</f>
        <v/>
      </c>
      <c r="Q238" t="str">
        <f>IF(M238="","",IF(M238="[FÓRMULA MANUAL]","",IFERROR(SUMPRODUCT((nNIA=M238)*(nCUENTA=1)*(COUNTIF(CONFIG_ASIGNATURAS!$B$7:$B$27,nASIG)&gt;0)*(nNOTA))/SUMPRODUCT((nNIA=M238)*(nCUENTA=1)*(COUNTIF(CONFIG_ASIGNATURAS!$B$7:$B$27,nASIG)&gt;0)*1),"")))</f>
        <v/>
      </c>
      <c r="T238" t="str">
        <f>IF(S238="","",IF(S238="[FÓRMULA MANUAL]","",IFERROR(AVERAGEIFS(nNOTA,nNIA,S238,nCUENTA,1,nASIG,"Armonía"),"")))</f>
        <v/>
      </c>
      <c r="U238" t="str">
        <f>IF(S238="","",IF(S238="[FÓRMULA MANUAL]","",IFERROR(AVERAGEIFS(nNOTA,nNIA,S238,nCUENTA,1,nASIG,"Orquesta/Banda/Conjunto"),"")))</f>
        <v/>
      </c>
      <c r="V238" t="str">
        <f>IF(S238="","",IF(S238="[FÓRMULA MANUAL]","",IFERROR(AVERAGEIFS(nNOTA,nNIA,S238,nCUENTA,1,nASIG,"Música de Cámara"),"")))</f>
        <v/>
      </c>
      <c r="W238" t="str">
        <f>IF(S238="","",IF(S238="[FÓRMULA MANUAL]","",IFERROR(SUMPRODUCT((nNIA=S238)*(nCUENTA=1)*(COUNTIF(CONFIG_ASIGNATURAS!$B$7:$B$27,nASIG)&gt;0)*(nNOTA))/SUMPRODUCT((nNIA=S238)*(nCUENTA=1)*(COUNTIF(CONFIG_ASIGNATURAS!$B$7:$B$27,nASIG)&gt;0)*1),"")))</f>
        <v/>
      </c>
      <c r="Z238" t="str">
        <f>IF(Y238="","",IF(Y238="[FÓRMULA MANUAL]","",IFERROR(AVERAGEIFS(nNOTA,nNIA,Y238,nCUENTA,1,nASIG,"Análisis"),"")))</f>
        <v/>
      </c>
      <c r="AA238" t="str">
        <f>IF(Y238="","",IF(Y238="[FÓRMULA MANUAL]","",IFERROR(AVERAGEIFS(nNOTA,nNIA,Y238,nCUENTA,1,nASIG,"Orquesta/Banda/Conjunto"),"")))</f>
        <v/>
      </c>
      <c r="AB238" t="str">
        <f>IF(Y238="","",IF(Y238="[FÓRMULA MANUAL]","",IFERROR(AVERAGEIFS(nNOTA,nNIA,Y238,nCUENTA,1,nASIG,"Música de Cámara"),"")))</f>
        <v/>
      </c>
      <c r="AC238" t="str">
        <f>IF(Y238="","",IF(Y238="[FÓRMULA MANUAL]","",IFERROR(SUMPRODUCT((nNIA=Y238)*(nCUENTA=1)*(COUNTIF(CONFIG_ASIGNATURAS!$B$7:$B$27,nASIG)&gt;0)*(nNOTA))/SUMPRODUCT((nNIA=Y238)*(nCUENTA=1)*(COUNTIF(CONFIG_ASIGNATURAS!$B$7:$B$27,nASIG)&gt;0)*1),"")))</f>
        <v/>
      </c>
      <c r="AF238" t="str">
        <f>IF(AE238="","",IF(AE238="[FÓRMULA MANUAL]","",IFERROR(AVERAGEIFS(nNOTA,nNIA,AE238,nCUENTA,1,nASIG,"Análisis"),"")))</f>
        <v/>
      </c>
      <c r="AG238" t="str">
        <f>IF(AE238="","",IF(AE238="[FÓRMULA MANUAL]","",IFERROR(AVERAGEIFS(nNOTA,nNIA,AE238,nCUENTA,1,nASIG,"Orquesta/Banda/Conjunto"),"")))</f>
        <v/>
      </c>
      <c r="AH238" t="str">
        <f>IF(AE238="","",IF(AE238="[FÓRMULA MANUAL]","",IFERROR(AVERAGEIFS(nNOTA,nNIA,AE238,nCUENTA,1,nASIG,"Música de Cámara"),"")))</f>
        <v/>
      </c>
      <c r="AI238" t="str">
        <f>IF(AE238="","",IF(AE238="[FÓRMULA MANUAL]","",IFERROR(SUMPRODUCT((nNIA=AE238)*(nCUENTA=1)*(COUNTIF(CONFIG_ASIGNATURAS!$B$7:$B$27,nASIG)&gt;0)*(nNOTA))/SUMPRODUCT((nNIA=AE238)*(nCUENTA=1)*(COUNTIF(CONFIG_ASIGNATURAS!$B$7:$B$27,nASIG)&gt;0)*1),"")))</f>
        <v/>
      </c>
    </row>
    <row r="239" spans="2:35" x14ac:dyDescent="0.2">
      <c r="B239" t="str">
        <f>IF(A239="","",IF(A239="[FÓRMULA MANUAL]","",IFERROR(AVERAGEIFS(nNOTA,nNIA,A239,nCUENTA,1,nASIG,"Lenguaje Musical"),"")))</f>
        <v/>
      </c>
      <c r="C239" t="str">
        <f>IF(A239="","",IF(A239="[FÓRMULA MANUAL]","",IFERROR(AVERAGEIFS(nNOTA,nNIA,A239,nCUENTA,1,nASIG,"Orquesta/Banda/Conjunto"),"")))</f>
        <v/>
      </c>
      <c r="D239" t="str">
        <f>IF(A239="","",IF(A239="[FÓRMULA MANUAL]","",IFERROR(AVERAGEIFS(nNOTA,nNIA,A239,nCUENTA,1,nASIG,"Conjunto"),"")))</f>
        <v/>
      </c>
      <c r="E239" t="str">
        <f>IF(A239="","",IF(A239="[FÓRMULA MANUAL]","",IFERROR(SUMPRODUCT((nNIA=A239)*(nCUENTA=1)*(COUNTIF(CONFIG_ASIGNATURAS!$B$7:$B$27,nASIG)&gt;0)*(nNOTA))/SUMPRODUCT((nNIA=A239)*(nCUENTA=1)*(COUNTIF(CONFIG_ASIGNATURAS!$B$7:$B$27,nASIG)&gt;0)*1),"")))</f>
        <v/>
      </c>
      <c r="H239" t="str">
        <f>IF(G239="","",IF(G239="[FÓRMULA MANUAL]","",IFERROR(AVERAGEIFS(nNOTA,nNIA,G239,nCUENTA,1,nASIG,"Lenguaje Musical"),"")))</f>
        <v/>
      </c>
      <c r="I239" t="str">
        <f>IF(G239="","",IF(G239="[FÓRMULA MANUAL]","",IFERROR(AVERAGEIFS(nNOTA,nNIA,G239,nCUENTA,1,nASIG,"Orquesta/Banda/Conjunto"),"")))</f>
        <v/>
      </c>
      <c r="J239" t="str">
        <f>IF(G239="","",IF(G239="[FÓRMULA MANUAL]","",IFERROR(AVERAGEIFS(nNOTA,nNIA,G239,nCUENTA,1,nASIG,"Conjunto"),"")))</f>
        <v/>
      </c>
      <c r="K239" t="str">
        <f>IF(G239="","",IF(G239="[FÓRMULA MANUAL]","",IFERROR(SUMPRODUCT((nNIA=G239)*(nCUENTA=1)*(COUNTIF(CONFIG_ASIGNATURAS!$B$7:$B$27,nASIG)&gt;0)*(nNOTA))/SUMPRODUCT((nNIA=G239)*(nCUENTA=1)*(COUNTIF(CONFIG_ASIGNATURAS!$B$7:$B$27,nASIG)&gt;0)*1),"")))</f>
        <v/>
      </c>
      <c r="N239" t="str">
        <f>IF(M239="","",IF(M239="[FÓRMULA MANUAL]","",IFERROR(AVERAGEIFS(nNOTA,nNIA,M239,nCUENTA,1,nASIG,"Armonía"),"")))</f>
        <v/>
      </c>
      <c r="O239" t="str">
        <f>IF(M239="","",IF(M239="[FÓRMULA MANUAL]","",IFERROR(AVERAGEIFS(nNOTA,nNIA,M239,nCUENTA,1,nASIG,"Orquesta/Banda/Conjunto"),"")))</f>
        <v/>
      </c>
      <c r="P239" t="str">
        <f>IF(M239="","",IF(M239="[FÓRMULA MANUAL]","",IFERROR(AVERAGEIFS(nNOTA,nNIA,M239,nCUENTA,1,nASIG,"Música de Cámara"),"")))</f>
        <v/>
      </c>
      <c r="Q239" t="str">
        <f>IF(M239="","",IF(M239="[FÓRMULA MANUAL]","",IFERROR(SUMPRODUCT((nNIA=M239)*(nCUENTA=1)*(COUNTIF(CONFIG_ASIGNATURAS!$B$7:$B$27,nASIG)&gt;0)*(nNOTA))/SUMPRODUCT((nNIA=M239)*(nCUENTA=1)*(COUNTIF(CONFIG_ASIGNATURAS!$B$7:$B$27,nASIG)&gt;0)*1),"")))</f>
        <v/>
      </c>
      <c r="T239" t="str">
        <f>IF(S239="","",IF(S239="[FÓRMULA MANUAL]","",IFERROR(AVERAGEIFS(nNOTA,nNIA,S239,nCUENTA,1,nASIG,"Armonía"),"")))</f>
        <v/>
      </c>
      <c r="U239" t="str">
        <f>IF(S239="","",IF(S239="[FÓRMULA MANUAL]","",IFERROR(AVERAGEIFS(nNOTA,nNIA,S239,nCUENTA,1,nASIG,"Orquesta/Banda/Conjunto"),"")))</f>
        <v/>
      </c>
      <c r="V239" t="str">
        <f>IF(S239="","",IF(S239="[FÓRMULA MANUAL]","",IFERROR(AVERAGEIFS(nNOTA,nNIA,S239,nCUENTA,1,nASIG,"Música de Cámara"),"")))</f>
        <v/>
      </c>
      <c r="W239" t="str">
        <f>IF(S239="","",IF(S239="[FÓRMULA MANUAL]","",IFERROR(SUMPRODUCT((nNIA=S239)*(nCUENTA=1)*(COUNTIF(CONFIG_ASIGNATURAS!$B$7:$B$27,nASIG)&gt;0)*(nNOTA))/SUMPRODUCT((nNIA=S239)*(nCUENTA=1)*(COUNTIF(CONFIG_ASIGNATURAS!$B$7:$B$27,nASIG)&gt;0)*1),"")))</f>
        <v/>
      </c>
      <c r="Z239" t="str">
        <f>IF(Y239="","",IF(Y239="[FÓRMULA MANUAL]","",IFERROR(AVERAGEIFS(nNOTA,nNIA,Y239,nCUENTA,1,nASIG,"Análisis"),"")))</f>
        <v/>
      </c>
      <c r="AA239" t="str">
        <f>IF(Y239="","",IF(Y239="[FÓRMULA MANUAL]","",IFERROR(AVERAGEIFS(nNOTA,nNIA,Y239,nCUENTA,1,nASIG,"Orquesta/Banda/Conjunto"),"")))</f>
        <v/>
      </c>
      <c r="AB239" t="str">
        <f>IF(Y239="","",IF(Y239="[FÓRMULA MANUAL]","",IFERROR(AVERAGEIFS(nNOTA,nNIA,Y239,nCUENTA,1,nASIG,"Música de Cámara"),"")))</f>
        <v/>
      </c>
      <c r="AC239" t="str">
        <f>IF(Y239="","",IF(Y239="[FÓRMULA MANUAL]","",IFERROR(SUMPRODUCT((nNIA=Y239)*(nCUENTA=1)*(COUNTIF(CONFIG_ASIGNATURAS!$B$7:$B$27,nASIG)&gt;0)*(nNOTA))/SUMPRODUCT((nNIA=Y239)*(nCUENTA=1)*(COUNTIF(CONFIG_ASIGNATURAS!$B$7:$B$27,nASIG)&gt;0)*1),"")))</f>
        <v/>
      </c>
      <c r="AF239" t="str">
        <f>IF(AE239="","",IF(AE239="[FÓRMULA MANUAL]","",IFERROR(AVERAGEIFS(nNOTA,nNIA,AE239,nCUENTA,1,nASIG,"Análisis"),"")))</f>
        <v/>
      </c>
      <c r="AG239" t="str">
        <f>IF(AE239="","",IF(AE239="[FÓRMULA MANUAL]","",IFERROR(AVERAGEIFS(nNOTA,nNIA,AE239,nCUENTA,1,nASIG,"Orquesta/Banda/Conjunto"),"")))</f>
        <v/>
      </c>
      <c r="AH239" t="str">
        <f>IF(AE239="","",IF(AE239="[FÓRMULA MANUAL]","",IFERROR(AVERAGEIFS(nNOTA,nNIA,AE239,nCUENTA,1,nASIG,"Música de Cámara"),"")))</f>
        <v/>
      </c>
      <c r="AI239" t="str">
        <f>IF(AE239="","",IF(AE239="[FÓRMULA MANUAL]","",IFERROR(SUMPRODUCT((nNIA=AE239)*(nCUENTA=1)*(COUNTIF(CONFIG_ASIGNATURAS!$B$7:$B$27,nASIG)&gt;0)*(nNOTA))/SUMPRODUCT((nNIA=AE239)*(nCUENTA=1)*(COUNTIF(CONFIG_ASIGNATURAS!$B$7:$B$27,nASIG)&gt;0)*1),"")))</f>
        <v/>
      </c>
    </row>
    <row r="240" spans="2:35" x14ac:dyDescent="0.2">
      <c r="B240" t="str">
        <f>IF(A240="","",IF(A240="[FÓRMULA MANUAL]","",IFERROR(AVERAGEIFS(nNOTA,nNIA,A240,nCUENTA,1,nASIG,"Lenguaje Musical"),"")))</f>
        <v/>
      </c>
      <c r="C240" t="str">
        <f>IF(A240="","",IF(A240="[FÓRMULA MANUAL]","",IFERROR(AVERAGEIFS(nNOTA,nNIA,A240,nCUENTA,1,nASIG,"Orquesta/Banda/Conjunto"),"")))</f>
        <v/>
      </c>
      <c r="D240" t="str">
        <f>IF(A240="","",IF(A240="[FÓRMULA MANUAL]","",IFERROR(AVERAGEIFS(nNOTA,nNIA,A240,nCUENTA,1,nASIG,"Conjunto"),"")))</f>
        <v/>
      </c>
      <c r="E240" t="str">
        <f>IF(A240="","",IF(A240="[FÓRMULA MANUAL]","",IFERROR(SUMPRODUCT((nNIA=A240)*(nCUENTA=1)*(COUNTIF(CONFIG_ASIGNATURAS!$B$7:$B$27,nASIG)&gt;0)*(nNOTA))/SUMPRODUCT((nNIA=A240)*(nCUENTA=1)*(COUNTIF(CONFIG_ASIGNATURAS!$B$7:$B$27,nASIG)&gt;0)*1),"")))</f>
        <v/>
      </c>
      <c r="H240" t="str">
        <f>IF(G240="","",IF(G240="[FÓRMULA MANUAL]","",IFERROR(AVERAGEIFS(nNOTA,nNIA,G240,nCUENTA,1,nASIG,"Lenguaje Musical"),"")))</f>
        <v/>
      </c>
      <c r="I240" t="str">
        <f>IF(G240="","",IF(G240="[FÓRMULA MANUAL]","",IFERROR(AVERAGEIFS(nNOTA,nNIA,G240,nCUENTA,1,nASIG,"Orquesta/Banda/Conjunto"),"")))</f>
        <v/>
      </c>
      <c r="J240" t="str">
        <f>IF(G240="","",IF(G240="[FÓRMULA MANUAL]","",IFERROR(AVERAGEIFS(nNOTA,nNIA,G240,nCUENTA,1,nASIG,"Conjunto"),"")))</f>
        <v/>
      </c>
      <c r="K240" t="str">
        <f>IF(G240="","",IF(G240="[FÓRMULA MANUAL]","",IFERROR(SUMPRODUCT((nNIA=G240)*(nCUENTA=1)*(COUNTIF(CONFIG_ASIGNATURAS!$B$7:$B$27,nASIG)&gt;0)*(nNOTA))/SUMPRODUCT((nNIA=G240)*(nCUENTA=1)*(COUNTIF(CONFIG_ASIGNATURAS!$B$7:$B$27,nASIG)&gt;0)*1),"")))</f>
        <v/>
      </c>
      <c r="N240" t="str">
        <f>IF(M240="","",IF(M240="[FÓRMULA MANUAL]","",IFERROR(AVERAGEIFS(nNOTA,nNIA,M240,nCUENTA,1,nASIG,"Armonía"),"")))</f>
        <v/>
      </c>
      <c r="O240" t="str">
        <f>IF(M240="","",IF(M240="[FÓRMULA MANUAL]","",IFERROR(AVERAGEIFS(nNOTA,nNIA,M240,nCUENTA,1,nASIG,"Orquesta/Banda/Conjunto"),"")))</f>
        <v/>
      </c>
      <c r="P240" t="str">
        <f>IF(M240="","",IF(M240="[FÓRMULA MANUAL]","",IFERROR(AVERAGEIFS(nNOTA,nNIA,M240,nCUENTA,1,nASIG,"Música de Cámara"),"")))</f>
        <v/>
      </c>
      <c r="Q240" t="str">
        <f>IF(M240="","",IF(M240="[FÓRMULA MANUAL]","",IFERROR(SUMPRODUCT((nNIA=M240)*(nCUENTA=1)*(COUNTIF(CONFIG_ASIGNATURAS!$B$7:$B$27,nASIG)&gt;0)*(nNOTA))/SUMPRODUCT((nNIA=M240)*(nCUENTA=1)*(COUNTIF(CONFIG_ASIGNATURAS!$B$7:$B$27,nASIG)&gt;0)*1),"")))</f>
        <v/>
      </c>
      <c r="T240" t="str">
        <f>IF(S240="","",IF(S240="[FÓRMULA MANUAL]","",IFERROR(AVERAGEIFS(nNOTA,nNIA,S240,nCUENTA,1,nASIG,"Armonía"),"")))</f>
        <v/>
      </c>
      <c r="U240" t="str">
        <f>IF(S240="","",IF(S240="[FÓRMULA MANUAL]","",IFERROR(AVERAGEIFS(nNOTA,nNIA,S240,nCUENTA,1,nASIG,"Orquesta/Banda/Conjunto"),"")))</f>
        <v/>
      </c>
      <c r="V240" t="str">
        <f>IF(S240="","",IF(S240="[FÓRMULA MANUAL]","",IFERROR(AVERAGEIFS(nNOTA,nNIA,S240,nCUENTA,1,nASIG,"Música de Cámara"),"")))</f>
        <v/>
      </c>
      <c r="W240" t="str">
        <f>IF(S240="","",IF(S240="[FÓRMULA MANUAL]","",IFERROR(SUMPRODUCT((nNIA=S240)*(nCUENTA=1)*(COUNTIF(CONFIG_ASIGNATURAS!$B$7:$B$27,nASIG)&gt;0)*(nNOTA))/SUMPRODUCT((nNIA=S240)*(nCUENTA=1)*(COUNTIF(CONFIG_ASIGNATURAS!$B$7:$B$27,nASIG)&gt;0)*1),"")))</f>
        <v/>
      </c>
      <c r="Z240" t="str">
        <f>IF(Y240="","",IF(Y240="[FÓRMULA MANUAL]","",IFERROR(AVERAGEIFS(nNOTA,nNIA,Y240,nCUENTA,1,nASIG,"Análisis"),"")))</f>
        <v/>
      </c>
      <c r="AA240" t="str">
        <f>IF(Y240="","",IF(Y240="[FÓRMULA MANUAL]","",IFERROR(AVERAGEIFS(nNOTA,nNIA,Y240,nCUENTA,1,nASIG,"Orquesta/Banda/Conjunto"),"")))</f>
        <v/>
      </c>
      <c r="AB240" t="str">
        <f>IF(Y240="","",IF(Y240="[FÓRMULA MANUAL]","",IFERROR(AVERAGEIFS(nNOTA,nNIA,Y240,nCUENTA,1,nASIG,"Música de Cámara"),"")))</f>
        <v/>
      </c>
      <c r="AC240" t="str">
        <f>IF(Y240="","",IF(Y240="[FÓRMULA MANUAL]","",IFERROR(SUMPRODUCT((nNIA=Y240)*(nCUENTA=1)*(COUNTIF(CONFIG_ASIGNATURAS!$B$7:$B$27,nASIG)&gt;0)*(nNOTA))/SUMPRODUCT((nNIA=Y240)*(nCUENTA=1)*(COUNTIF(CONFIG_ASIGNATURAS!$B$7:$B$27,nASIG)&gt;0)*1),"")))</f>
        <v/>
      </c>
      <c r="AF240" t="str">
        <f>IF(AE240="","",IF(AE240="[FÓRMULA MANUAL]","",IFERROR(AVERAGEIFS(nNOTA,nNIA,AE240,nCUENTA,1,nASIG,"Análisis"),"")))</f>
        <v/>
      </c>
      <c r="AG240" t="str">
        <f>IF(AE240="","",IF(AE240="[FÓRMULA MANUAL]","",IFERROR(AVERAGEIFS(nNOTA,nNIA,AE240,nCUENTA,1,nASIG,"Orquesta/Banda/Conjunto"),"")))</f>
        <v/>
      </c>
      <c r="AH240" t="str">
        <f>IF(AE240="","",IF(AE240="[FÓRMULA MANUAL]","",IFERROR(AVERAGEIFS(nNOTA,nNIA,AE240,nCUENTA,1,nASIG,"Música de Cámara"),"")))</f>
        <v/>
      </c>
      <c r="AI240" t="str">
        <f>IF(AE240="","",IF(AE240="[FÓRMULA MANUAL]","",IFERROR(SUMPRODUCT((nNIA=AE240)*(nCUENTA=1)*(COUNTIF(CONFIG_ASIGNATURAS!$B$7:$B$27,nASIG)&gt;0)*(nNOTA))/SUMPRODUCT((nNIA=AE240)*(nCUENTA=1)*(COUNTIF(CONFIG_ASIGNATURAS!$B$7:$B$27,nASIG)&gt;0)*1),"")))</f>
        <v/>
      </c>
    </row>
    <row r="241" spans="2:35" x14ac:dyDescent="0.2">
      <c r="B241" t="str">
        <f>IF(A241="","",IF(A241="[FÓRMULA MANUAL]","",IFERROR(AVERAGEIFS(nNOTA,nNIA,A241,nCUENTA,1,nASIG,"Lenguaje Musical"),"")))</f>
        <v/>
      </c>
      <c r="C241" t="str">
        <f>IF(A241="","",IF(A241="[FÓRMULA MANUAL]","",IFERROR(AVERAGEIFS(nNOTA,nNIA,A241,nCUENTA,1,nASIG,"Orquesta/Banda/Conjunto"),"")))</f>
        <v/>
      </c>
      <c r="D241" t="str">
        <f>IF(A241="","",IF(A241="[FÓRMULA MANUAL]","",IFERROR(AVERAGEIFS(nNOTA,nNIA,A241,nCUENTA,1,nASIG,"Conjunto"),"")))</f>
        <v/>
      </c>
      <c r="E241" t="str">
        <f>IF(A241="","",IF(A241="[FÓRMULA MANUAL]","",IFERROR(SUMPRODUCT((nNIA=A241)*(nCUENTA=1)*(COUNTIF(CONFIG_ASIGNATURAS!$B$7:$B$27,nASIG)&gt;0)*(nNOTA))/SUMPRODUCT((nNIA=A241)*(nCUENTA=1)*(COUNTIF(CONFIG_ASIGNATURAS!$B$7:$B$27,nASIG)&gt;0)*1),"")))</f>
        <v/>
      </c>
      <c r="H241" t="str">
        <f>IF(G241="","",IF(G241="[FÓRMULA MANUAL]","",IFERROR(AVERAGEIFS(nNOTA,nNIA,G241,nCUENTA,1,nASIG,"Lenguaje Musical"),"")))</f>
        <v/>
      </c>
      <c r="I241" t="str">
        <f>IF(G241="","",IF(G241="[FÓRMULA MANUAL]","",IFERROR(AVERAGEIFS(nNOTA,nNIA,G241,nCUENTA,1,nASIG,"Orquesta/Banda/Conjunto"),"")))</f>
        <v/>
      </c>
      <c r="J241" t="str">
        <f>IF(G241="","",IF(G241="[FÓRMULA MANUAL]","",IFERROR(AVERAGEIFS(nNOTA,nNIA,G241,nCUENTA,1,nASIG,"Conjunto"),"")))</f>
        <v/>
      </c>
      <c r="K241" t="str">
        <f>IF(G241="","",IF(G241="[FÓRMULA MANUAL]","",IFERROR(SUMPRODUCT((nNIA=G241)*(nCUENTA=1)*(COUNTIF(CONFIG_ASIGNATURAS!$B$7:$B$27,nASIG)&gt;0)*(nNOTA))/SUMPRODUCT((nNIA=G241)*(nCUENTA=1)*(COUNTIF(CONFIG_ASIGNATURAS!$B$7:$B$27,nASIG)&gt;0)*1),"")))</f>
        <v/>
      </c>
      <c r="N241" t="str">
        <f>IF(M241="","",IF(M241="[FÓRMULA MANUAL]","",IFERROR(AVERAGEIFS(nNOTA,nNIA,M241,nCUENTA,1,nASIG,"Armonía"),"")))</f>
        <v/>
      </c>
      <c r="O241" t="str">
        <f>IF(M241="","",IF(M241="[FÓRMULA MANUAL]","",IFERROR(AVERAGEIFS(nNOTA,nNIA,M241,nCUENTA,1,nASIG,"Orquesta/Banda/Conjunto"),"")))</f>
        <v/>
      </c>
      <c r="P241" t="str">
        <f>IF(M241="","",IF(M241="[FÓRMULA MANUAL]","",IFERROR(AVERAGEIFS(nNOTA,nNIA,M241,nCUENTA,1,nASIG,"Música de Cámara"),"")))</f>
        <v/>
      </c>
      <c r="Q241" t="str">
        <f>IF(M241="","",IF(M241="[FÓRMULA MANUAL]","",IFERROR(SUMPRODUCT((nNIA=M241)*(nCUENTA=1)*(COUNTIF(CONFIG_ASIGNATURAS!$B$7:$B$27,nASIG)&gt;0)*(nNOTA))/SUMPRODUCT((nNIA=M241)*(nCUENTA=1)*(COUNTIF(CONFIG_ASIGNATURAS!$B$7:$B$27,nASIG)&gt;0)*1),"")))</f>
        <v/>
      </c>
      <c r="T241" t="str">
        <f>IF(S241="","",IF(S241="[FÓRMULA MANUAL]","",IFERROR(AVERAGEIFS(nNOTA,nNIA,S241,nCUENTA,1,nASIG,"Armonía"),"")))</f>
        <v/>
      </c>
      <c r="U241" t="str">
        <f>IF(S241="","",IF(S241="[FÓRMULA MANUAL]","",IFERROR(AVERAGEIFS(nNOTA,nNIA,S241,nCUENTA,1,nASIG,"Orquesta/Banda/Conjunto"),"")))</f>
        <v/>
      </c>
      <c r="V241" t="str">
        <f>IF(S241="","",IF(S241="[FÓRMULA MANUAL]","",IFERROR(AVERAGEIFS(nNOTA,nNIA,S241,nCUENTA,1,nASIG,"Música de Cámara"),"")))</f>
        <v/>
      </c>
      <c r="W241" t="str">
        <f>IF(S241="","",IF(S241="[FÓRMULA MANUAL]","",IFERROR(SUMPRODUCT((nNIA=S241)*(nCUENTA=1)*(COUNTIF(CONFIG_ASIGNATURAS!$B$7:$B$27,nASIG)&gt;0)*(nNOTA))/SUMPRODUCT((nNIA=S241)*(nCUENTA=1)*(COUNTIF(CONFIG_ASIGNATURAS!$B$7:$B$27,nASIG)&gt;0)*1),"")))</f>
        <v/>
      </c>
      <c r="Z241" t="str">
        <f>IF(Y241="","",IF(Y241="[FÓRMULA MANUAL]","",IFERROR(AVERAGEIFS(nNOTA,nNIA,Y241,nCUENTA,1,nASIG,"Análisis"),"")))</f>
        <v/>
      </c>
      <c r="AA241" t="str">
        <f>IF(Y241="","",IF(Y241="[FÓRMULA MANUAL]","",IFERROR(AVERAGEIFS(nNOTA,nNIA,Y241,nCUENTA,1,nASIG,"Orquesta/Banda/Conjunto"),"")))</f>
        <v/>
      </c>
      <c r="AB241" t="str">
        <f>IF(Y241="","",IF(Y241="[FÓRMULA MANUAL]","",IFERROR(AVERAGEIFS(nNOTA,nNIA,Y241,nCUENTA,1,nASIG,"Música de Cámara"),"")))</f>
        <v/>
      </c>
      <c r="AC241" t="str">
        <f>IF(Y241="","",IF(Y241="[FÓRMULA MANUAL]","",IFERROR(SUMPRODUCT((nNIA=Y241)*(nCUENTA=1)*(COUNTIF(CONFIG_ASIGNATURAS!$B$7:$B$27,nASIG)&gt;0)*(nNOTA))/SUMPRODUCT((nNIA=Y241)*(nCUENTA=1)*(COUNTIF(CONFIG_ASIGNATURAS!$B$7:$B$27,nASIG)&gt;0)*1),"")))</f>
        <v/>
      </c>
      <c r="AF241" t="str">
        <f>IF(AE241="","",IF(AE241="[FÓRMULA MANUAL]","",IFERROR(AVERAGEIFS(nNOTA,nNIA,AE241,nCUENTA,1,nASIG,"Análisis"),"")))</f>
        <v/>
      </c>
      <c r="AG241" t="str">
        <f>IF(AE241="","",IF(AE241="[FÓRMULA MANUAL]","",IFERROR(AVERAGEIFS(nNOTA,nNIA,AE241,nCUENTA,1,nASIG,"Orquesta/Banda/Conjunto"),"")))</f>
        <v/>
      </c>
      <c r="AH241" t="str">
        <f>IF(AE241="","",IF(AE241="[FÓRMULA MANUAL]","",IFERROR(AVERAGEIFS(nNOTA,nNIA,AE241,nCUENTA,1,nASIG,"Música de Cámara"),"")))</f>
        <v/>
      </c>
      <c r="AI241" t="str">
        <f>IF(AE241="","",IF(AE241="[FÓRMULA MANUAL]","",IFERROR(SUMPRODUCT((nNIA=AE241)*(nCUENTA=1)*(COUNTIF(CONFIG_ASIGNATURAS!$B$7:$B$27,nASIG)&gt;0)*(nNOTA))/SUMPRODUCT((nNIA=AE241)*(nCUENTA=1)*(COUNTIF(CONFIG_ASIGNATURAS!$B$7:$B$27,nASIG)&gt;0)*1),"")))</f>
        <v/>
      </c>
    </row>
    <row r="242" spans="2:35" x14ac:dyDescent="0.2">
      <c r="B242" t="str">
        <f>IF(A242="","",IF(A242="[FÓRMULA MANUAL]","",IFERROR(AVERAGEIFS(nNOTA,nNIA,A242,nCUENTA,1,nASIG,"Lenguaje Musical"),"")))</f>
        <v/>
      </c>
      <c r="C242" t="str">
        <f>IF(A242="","",IF(A242="[FÓRMULA MANUAL]","",IFERROR(AVERAGEIFS(nNOTA,nNIA,A242,nCUENTA,1,nASIG,"Orquesta/Banda/Conjunto"),"")))</f>
        <v/>
      </c>
      <c r="D242" t="str">
        <f>IF(A242="","",IF(A242="[FÓRMULA MANUAL]","",IFERROR(AVERAGEIFS(nNOTA,nNIA,A242,nCUENTA,1,nASIG,"Conjunto"),"")))</f>
        <v/>
      </c>
      <c r="E242" t="str">
        <f>IF(A242="","",IF(A242="[FÓRMULA MANUAL]","",IFERROR(SUMPRODUCT((nNIA=A242)*(nCUENTA=1)*(COUNTIF(CONFIG_ASIGNATURAS!$B$7:$B$27,nASIG)&gt;0)*(nNOTA))/SUMPRODUCT((nNIA=A242)*(nCUENTA=1)*(COUNTIF(CONFIG_ASIGNATURAS!$B$7:$B$27,nASIG)&gt;0)*1),"")))</f>
        <v/>
      </c>
      <c r="H242" t="str">
        <f>IF(G242="","",IF(G242="[FÓRMULA MANUAL]","",IFERROR(AVERAGEIFS(nNOTA,nNIA,G242,nCUENTA,1,nASIG,"Lenguaje Musical"),"")))</f>
        <v/>
      </c>
      <c r="I242" t="str">
        <f>IF(G242="","",IF(G242="[FÓRMULA MANUAL]","",IFERROR(AVERAGEIFS(nNOTA,nNIA,G242,nCUENTA,1,nASIG,"Orquesta/Banda/Conjunto"),"")))</f>
        <v/>
      </c>
      <c r="J242" t="str">
        <f>IF(G242="","",IF(G242="[FÓRMULA MANUAL]","",IFERROR(AVERAGEIFS(nNOTA,nNIA,G242,nCUENTA,1,nASIG,"Conjunto"),"")))</f>
        <v/>
      </c>
      <c r="K242" t="str">
        <f>IF(G242="","",IF(G242="[FÓRMULA MANUAL]","",IFERROR(SUMPRODUCT((nNIA=G242)*(nCUENTA=1)*(COUNTIF(CONFIG_ASIGNATURAS!$B$7:$B$27,nASIG)&gt;0)*(nNOTA))/SUMPRODUCT((nNIA=G242)*(nCUENTA=1)*(COUNTIF(CONFIG_ASIGNATURAS!$B$7:$B$27,nASIG)&gt;0)*1),"")))</f>
        <v/>
      </c>
      <c r="N242" t="str">
        <f>IF(M242="","",IF(M242="[FÓRMULA MANUAL]","",IFERROR(AVERAGEIFS(nNOTA,nNIA,M242,nCUENTA,1,nASIG,"Armonía"),"")))</f>
        <v/>
      </c>
      <c r="O242" t="str">
        <f>IF(M242="","",IF(M242="[FÓRMULA MANUAL]","",IFERROR(AVERAGEIFS(nNOTA,nNIA,M242,nCUENTA,1,nASIG,"Orquesta/Banda/Conjunto"),"")))</f>
        <v/>
      </c>
      <c r="P242" t="str">
        <f>IF(M242="","",IF(M242="[FÓRMULA MANUAL]","",IFERROR(AVERAGEIFS(nNOTA,nNIA,M242,nCUENTA,1,nASIG,"Música de Cámara"),"")))</f>
        <v/>
      </c>
      <c r="Q242" t="str">
        <f>IF(M242="","",IF(M242="[FÓRMULA MANUAL]","",IFERROR(SUMPRODUCT((nNIA=M242)*(nCUENTA=1)*(COUNTIF(CONFIG_ASIGNATURAS!$B$7:$B$27,nASIG)&gt;0)*(nNOTA))/SUMPRODUCT((nNIA=M242)*(nCUENTA=1)*(COUNTIF(CONFIG_ASIGNATURAS!$B$7:$B$27,nASIG)&gt;0)*1),"")))</f>
        <v/>
      </c>
      <c r="T242" t="str">
        <f>IF(S242="","",IF(S242="[FÓRMULA MANUAL]","",IFERROR(AVERAGEIFS(nNOTA,nNIA,S242,nCUENTA,1,nASIG,"Armonía"),"")))</f>
        <v/>
      </c>
      <c r="U242" t="str">
        <f>IF(S242="","",IF(S242="[FÓRMULA MANUAL]","",IFERROR(AVERAGEIFS(nNOTA,nNIA,S242,nCUENTA,1,nASIG,"Orquesta/Banda/Conjunto"),"")))</f>
        <v/>
      </c>
      <c r="V242" t="str">
        <f>IF(S242="","",IF(S242="[FÓRMULA MANUAL]","",IFERROR(AVERAGEIFS(nNOTA,nNIA,S242,nCUENTA,1,nASIG,"Música de Cámara"),"")))</f>
        <v/>
      </c>
      <c r="W242" t="str">
        <f>IF(S242="","",IF(S242="[FÓRMULA MANUAL]","",IFERROR(SUMPRODUCT((nNIA=S242)*(nCUENTA=1)*(COUNTIF(CONFIG_ASIGNATURAS!$B$7:$B$27,nASIG)&gt;0)*(nNOTA))/SUMPRODUCT((nNIA=S242)*(nCUENTA=1)*(COUNTIF(CONFIG_ASIGNATURAS!$B$7:$B$27,nASIG)&gt;0)*1),"")))</f>
        <v/>
      </c>
      <c r="Z242" t="str">
        <f>IF(Y242="","",IF(Y242="[FÓRMULA MANUAL]","",IFERROR(AVERAGEIFS(nNOTA,nNIA,Y242,nCUENTA,1,nASIG,"Análisis"),"")))</f>
        <v/>
      </c>
      <c r="AA242" t="str">
        <f>IF(Y242="","",IF(Y242="[FÓRMULA MANUAL]","",IFERROR(AVERAGEIFS(nNOTA,nNIA,Y242,nCUENTA,1,nASIG,"Orquesta/Banda/Conjunto"),"")))</f>
        <v/>
      </c>
      <c r="AB242" t="str">
        <f>IF(Y242="","",IF(Y242="[FÓRMULA MANUAL]","",IFERROR(AVERAGEIFS(nNOTA,nNIA,Y242,nCUENTA,1,nASIG,"Música de Cámara"),"")))</f>
        <v/>
      </c>
      <c r="AC242" t="str">
        <f>IF(Y242="","",IF(Y242="[FÓRMULA MANUAL]","",IFERROR(SUMPRODUCT((nNIA=Y242)*(nCUENTA=1)*(COUNTIF(CONFIG_ASIGNATURAS!$B$7:$B$27,nASIG)&gt;0)*(nNOTA))/SUMPRODUCT((nNIA=Y242)*(nCUENTA=1)*(COUNTIF(CONFIG_ASIGNATURAS!$B$7:$B$27,nASIG)&gt;0)*1),"")))</f>
        <v/>
      </c>
      <c r="AF242" t="str">
        <f>IF(AE242="","",IF(AE242="[FÓRMULA MANUAL]","",IFERROR(AVERAGEIFS(nNOTA,nNIA,AE242,nCUENTA,1,nASIG,"Análisis"),"")))</f>
        <v/>
      </c>
      <c r="AG242" t="str">
        <f>IF(AE242="","",IF(AE242="[FÓRMULA MANUAL]","",IFERROR(AVERAGEIFS(nNOTA,nNIA,AE242,nCUENTA,1,nASIG,"Orquesta/Banda/Conjunto"),"")))</f>
        <v/>
      </c>
      <c r="AH242" t="str">
        <f>IF(AE242="","",IF(AE242="[FÓRMULA MANUAL]","",IFERROR(AVERAGEIFS(nNOTA,nNIA,AE242,nCUENTA,1,nASIG,"Música de Cámara"),"")))</f>
        <v/>
      </c>
      <c r="AI242" t="str">
        <f>IF(AE242="","",IF(AE242="[FÓRMULA MANUAL]","",IFERROR(SUMPRODUCT((nNIA=AE242)*(nCUENTA=1)*(COUNTIF(CONFIG_ASIGNATURAS!$B$7:$B$27,nASIG)&gt;0)*(nNOTA))/SUMPRODUCT((nNIA=AE242)*(nCUENTA=1)*(COUNTIF(CONFIG_ASIGNATURAS!$B$7:$B$27,nASIG)&gt;0)*1),"")))</f>
        <v/>
      </c>
    </row>
    <row r="243" spans="2:35" x14ac:dyDescent="0.2">
      <c r="B243" t="str">
        <f>IF(A243="","",IF(A243="[FÓRMULA MANUAL]","",IFERROR(AVERAGEIFS(nNOTA,nNIA,A243,nCUENTA,1,nASIG,"Lenguaje Musical"),"")))</f>
        <v/>
      </c>
      <c r="C243" t="str">
        <f>IF(A243="","",IF(A243="[FÓRMULA MANUAL]","",IFERROR(AVERAGEIFS(nNOTA,nNIA,A243,nCUENTA,1,nASIG,"Orquesta/Banda/Conjunto"),"")))</f>
        <v/>
      </c>
      <c r="D243" t="str">
        <f>IF(A243="","",IF(A243="[FÓRMULA MANUAL]","",IFERROR(AVERAGEIFS(nNOTA,nNIA,A243,nCUENTA,1,nASIG,"Conjunto"),"")))</f>
        <v/>
      </c>
      <c r="E243" t="str">
        <f>IF(A243="","",IF(A243="[FÓRMULA MANUAL]","",IFERROR(SUMPRODUCT((nNIA=A243)*(nCUENTA=1)*(COUNTIF(CONFIG_ASIGNATURAS!$B$7:$B$27,nASIG)&gt;0)*(nNOTA))/SUMPRODUCT((nNIA=A243)*(nCUENTA=1)*(COUNTIF(CONFIG_ASIGNATURAS!$B$7:$B$27,nASIG)&gt;0)*1),"")))</f>
        <v/>
      </c>
      <c r="H243" t="str">
        <f>IF(G243="","",IF(G243="[FÓRMULA MANUAL]","",IFERROR(AVERAGEIFS(nNOTA,nNIA,G243,nCUENTA,1,nASIG,"Lenguaje Musical"),"")))</f>
        <v/>
      </c>
      <c r="I243" t="str">
        <f>IF(G243="","",IF(G243="[FÓRMULA MANUAL]","",IFERROR(AVERAGEIFS(nNOTA,nNIA,G243,nCUENTA,1,nASIG,"Orquesta/Banda/Conjunto"),"")))</f>
        <v/>
      </c>
      <c r="J243" t="str">
        <f>IF(G243="","",IF(G243="[FÓRMULA MANUAL]","",IFERROR(AVERAGEIFS(nNOTA,nNIA,G243,nCUENTA,1,nASIG,"Conjunto"),"")))</f>
        <v/>
      </c>
      <c r="K243" t="str">
        <f>IF(G243="","",IF(G243="[FÓRMULA MANUAL]","",IFERROR(SUMPRODUCT((nNIA=G243)*(nCUENTA=1)*(COUNTIF(CONFIG_ASIGNATURAS!$B$7:$B$27,nASIG)&gt;0)*(nNOTA))/SUMPRODUCT((nNIA=G243)*(nCUENTA=1)*(COUNTIF(CONFIG_ASIGNATURAS!$B$7:$B$27,nASIG)&gt;0)*1),"")))</f>
        <v/>
      </c>
      <c r="N243" t="str">
        <f>IF(M243="","",IF(M243="[FÓRMULA MANUAL]","",IFERROR(AVERAGEIFS(nNOTA,nNIA,M243,nCUENTA,1,nASIG,"Armonía"),"")))</f>
        <v/>
      </c>
      <c r="O243" t="str">
        <f>IF(M243="","",IF(M243="[FÓRMULA MANUAL]","",IFERROR(AVERAGEIFS(nNOTA,nNIA,M243,nCUENTA,1,nASIG,"Orquesta/Banda/Conjunto"),"")))</f>
        <v/>
      </c>
      <c r="P243" t="str">
        <f>IF(M243="","",IF(M243="[FÓRMULA MANUAL]","",IFERROR(AVERAGEIFS(nNOTA,nNIA,M243,nCUENTA,1,nASIG,"Música de Cámara"),"")))</f>
        <v/>
      </c>
      <c r="Q243" t="str">
        <f>IF(M243="","",IF(M243="[FÓRMULA MANUAL]","",IFERROR(SUMPRODUCT((nNIA=M243)*(nCUENTA=1)*(COUNTIF(CONFIG_ASIGNATURAS!$B$7:$B$27,nASIG)&gt;0)*(nNOTA))/SUMPRODUCT((nNIA=M243)*(nCUENTA=1)*(COUNTIF(CONFIG_ASIGNATURAS!$B$7:$B$27,nASIG)&gt;0)*1),"")))</f>
        <v/>
      </c>
      <c r="T243" t="str">
        <f>IF(S243="","",IF(S243="[FÓRMULA MANUAL]","",IFERROR(AVERAGEIFS(nNOTA,nNIA,S243,nCUENTA,1,nASIG,"Armonía"),"")))</f>
        <v/>
      </c>
      <c r="U243" t="str">
        <f>IF(S243="","",IF(S243="[FÓRMULA MANUAL]","",IFERROR(AVERAGEIFS(nNOTA,nNIA,S243,nCUENTA,1,nASIG,"Orquesta/Banda/Conjunto"),"")))</f>
        <v/>
      </c>
      <c r="V243" t="str">
        <f>IF(S243="","",IF(S243="[FÓRMULA MANUAL]","",IFERROR(AVERAGEIFS(nNOTA,nNIA,S243,nCUENTA,1,nASIG,"Música de Cámara"),"")))</f>
        <v/>
      </c>
      <c r="W243" t="str">
        <f>IF(S243="","",IF(S243="[FÓRMULA MANUAL]","",IFERROR(SUMPRODUCT((nNIA=S243)*(nCUENTA=1)*(COUNTIF(CONFIG_ASIGNATURAS!$B$7:$B$27,nASIG)&gt;0)*(nNOTA))/SUMPRODUCT((nNIA=S243)*(nCUENTA=1)*(COUNTIF(CONFIG_ASIGNATURAS!$B$7:$B$27,nASIG)&gt;0)*1),"")))</f>
        <v/>
      </c>
      <c r="Z243" t="str">
        <f>IF(Y243="","",IF(Y243="[FÓRMULA MANUAL]","",IFERROR(AVERAGEIFS(nNOTA,nNIA,Y243,nCUENTA,1,nASIG,"Análisis"),"")))</f>
        <v/>
      </c>
      <c r="AA243" t="str">
        <f>IF(Y243="","",IF(Y243="[FÓRMULA MANUAL]","",IFERROR(AVERAGEIFS(nNOTA,nNIA,Y243,nCUENTA,1,nASIG,"Orquesta/Banda/Conjunto"),"")))</f>
        <v/>
      </c>
      <c r="AB243" t="str">
        <f>IF(Y243="","",IF(Y243="[FÓRMULA MANUAL]","",IFERROR(AVERAGEIFS(nNOTA,nNIA,Y243,nCUENTA,1,nASIG,"Música de Cámara"),"")))</f>
        <v/>
      </c>
      <c r="AC243" t="str">
        <f>IF(Y243="","",IF(Y243="[FÓRMULA MANUAL]","",IFERROR(SUMPRODUCT((nNIA=Y243)*(nCUENTA=1)*(COUNTIF(CONFIG_ASIGNATURAS!$B$7:$B$27,nASIG)&gt;0)*(nNOTA))/SUMPRODUCT((nNIA=Y243)*(nCUENTA=1)*(COUNTIF(CONFIG_ASIGNATURAS!$B$7:$B$27,nASIG)&gt;0)*1),"")))</f>
        <v/>
      </c>
      <c r="AF243" t="str">
        <f>IF(AE243="","",IF(AE243="[FÓRMULA MANUAL]","",IFERROR(AVERAGEIFS(nNOTA,nNIA,AE243,nCUENTA,1,nASIG,"Análisis"),"")))</f>
        <v/>
      </c>
      <c r="AG243" t="str">
        <f>IF(AE243="","",IF(AE243="[FÓRMULA MANUAL]","",IFERROR(AVERAGEIFS(nNOTA,nNIA,AE243,nCUENTA,1,nASIG,"Orquesta/Banda/Conjunto"),"")))</f>
        <v/>
      </c>
      <c r="AH243" t="str">
        <f>IF(AE243="","",IF(AE243="[FÓRMULA MANUAL]","",IFERROR(AVERAGEIFS(nNOTA,nNIA,AE243,nCUENTA,1,nASIG,"Música de Cámara"),"")))</f>
        <v/>
      </c>
      <c r="AI243" t="str">
        <f>IF(AE243="","",IF(AE243="[FÓRMULA MANUAL]","",IFERROR(SUMPRODUCT((nNIA=AE243)*(nCUENTA=1)*(COUNTIF(CONFIG_ASIGNATURAS!$B$7:$B$27,nASIG)&gt;0)*(nNOTA))/SUMPRODUCT((nNIA=AE243)*(nCUENTA=1)*(COUNTIF(CONFIG_ASIGNATURAS!$B$7:$B$27,nASIG)&gt;0)*1),"")))</f>
        <v/>
      </c>
    </row>
    <row r="244" spans="2:35" x14ac:dyDescent="0.2">
      <c r="B244" t="str">
        <f>IF(A244="","",IF(A244="[FÓRMULA MANUAL]","",IFERROR(AVERAGEIFS(nNOTA,nNIA,A244,nCUENTA,1,nASIG,"Lenguaje Musical"),"")))</f>
        <v/>
      </c>
      <c r="C244" t="str">
        <f>IF(A244="","",IF(A244="[FÓRMULA MANUAL]","",IFERROR(AVERAGEIFS(nNOTA,nNIA,A244,nCUENTA,1,nASIG,"Orquesta/Banda/Conjunto"),"")))</f>
        <v/>
      </c>
      <c r="D244" t="str">
        <f>IF(A244="","",IF(A244="[FÓRMULA MANUAL]","",IFERROR(AVERAGEIFS(nNOTA,nNIA,A244,nCUENTA,1,nASIG,"Conjunto"),"")))</f>
        <v/>
      </c>
      <c r="E244" t="str">
        <f>IF(A244="","",IF(A244="[FÓRMULA MANUAL]","",IFERROR(SUMPRODUCT((nNIA=A244)*(nCUENTA=1)*(COUNTIF(CONFIG_ASIGNATURAS!$B$7:$B$27,nASIG)&gt;0)*(nNOTA))/SUMPRODUCT((nNIA=A244)*(nCUENTA=1)*(COUNTIF(CONFIG_ASIGNATURAS!$B$7:$B$27,nASIG)&gt;0)*1),"")))</f>
        <v/>
      </c>
      <c r="H244" t="str">
        <f>IF(G244="","",IF(G244="[FÓRMULA MANUAL]","",IFERROR(AVERAGEIFS(nNOTA,nNIA,G244,nCUENTA,1,nASIG,"Lenguaje Musical"),"")))</f>
        <v/>
      </c>
      <c r="I244" t="str">
        <f>IF(G244="","",IF(G244="[FÓRMULA MANUAL]","",IFERROR(AVERAGEIFS(nNOTA,nNIA,G244,nCUENTA,1,nASIG,"Orquesta/Banda/Conjunto"),"")))</f>
        <v/>
      </c>
      <c r="J244" t="str">
        <f>IF(G244="","",IF(G244="[FÓRMULA MANUAL]","",IFERROR(AVERAGEIFS(nNOTA,nNIA,G244,nCUENTA,1,nASIG,"Conjunto"),"")))</f>
        <v/>
      </c>
      <c r="K244" t="str">
        <f>IF(G244="","",IF(G244="[FÓRMULA MANUAL]","",IFERROR(SUMPRODUCT((nNIA=G244)*(nCUENTA=1)*(COUNTIF(CONFIG_ASIGNATURAS!$B$7:$B$27,nASIG)&gt;0)*(nNOTA))/SUMPRODUCT((nNIA=G244)*(nCUENTA=1)*(COUNTIF(CONFIG_ASIGNATURAS!$B$7:$B$27,nASIG)&gt;0)*1),"")))</f>
        <v/>
      </c>
      <c r="N244" t="str">
        <f>IF(M244="","",IF(M244="[FÓRMULA MANUAL]","",IFERROR(AVERAGEIFS(nNOTA,nNIA,M244,nCUENTA,1,nASIG,"Armonía"),"")))</f>
        <v/>
      </c>
      <c r="O244" t="str">
        <f>IF(M244="","",IF(M244="[FÓRMULA MANUAL]","",IFERROR(AVERAGEIFS(nNOTA,nNIA,M244,nCUENTA,1,nASIG,"Orquesta/Banda/Conjunto"),"")))</f>
        <v/>
      </c>
      <c r="P244" t="str">
        <f>IF(M244="","",IF(M244="[FÓRMULA MANUAL]","",IFERROR(AVERAGEIFS(nNOTA,nNIA,M244,nCUENTA,1,nASIG,"Música de Cámara"),"")))</f>
        <v/>
      </c>
      <c r="Q244" t="str">
        <f>IF(M244="","",IF(M244="[FÓRMULA MANUAL]","",IFERROR(SUMPRODUCT((nNIA=M244)*(nCUENTA=1)*(COUNTIF(CONFIG_ASIGNATURAS!$B$7:$B$27,nASIG)&gt;0)*(nNOTA))/SUMPRODUCT((nNIA=M244)*(nCUENTA=1)*(COUNTIF(CONFIG_ASIGNATURAS!$B$7:$B$27,nASIG)&gt;0)*1),"")))</f>
        <v/>
      </c>
      <c r="T244" t="str">
        <f>IF(S244="","",IF(S244="[FÓRMULA MANUAL]","",IFERROR(AVERAGEIFS(nNOTA,nNIA,S244,nCUENTA,1,nASIG,"Armonía"),"")))</f>
        <v/>
      </c>
      <c r="U244" t="str">
        <f>IF(S244="","",IF(S244="[FÓRMULA MANUAL]","",IFERROR(AVERAGEIFS(nNOTA,nNIA,S244,nCUENTA,1,nASIG,"Orquesta/Banda/Conjunto"),"")))</f>
        <v/>
      </c>
      <c r="V244" t="str">
        <f>IF(S244="","",IF(S244="[FÓRMULA MANUAL]","",IFERROR(AVERAGEIFS(nNOTA,nNIA,S244,nCUENTA,1,nASIG,"Música de Cámara"),"")))</f>
        <v/>
      </c>
      <c r="W244" t="str">
        <f>IF(S244="","",IF(S244="[FÓRMULA MANUAL]","",IFERROR(SUMPRODUCT((nNIA=S244)*(nCUENTA=1)*(COUNTIF(CONFIG_ASIGNATURAS!$B$7:$B$27,nASIG)&gt;0)*(nNOTA))/SUMPRODUCT((nNIA=S244)*(nCUENTA=1)*(COUNTIF(CONFIG_ASIGNATURAS!$B$7:$B$27,nASIG)&gt;0)*1),"")))</f>
        <v/>
      </c>
      <c r="Z244" t="str">
        <f>IF(Y244="","",IF(Y244="[FÓRMULA MANUAL]","",IFERROR(AVERAGEIFS(nNOTA,nNIA,Y244,nCUENTA,1,nASIG,"Análisis"),"")))</f>
        <v/>
      </c>
      <c r="AA244" t="str">
        <f>IF(Y244="","",IF(Y244="[FÓRMULA MANUAL]","",IFERROR(AVERAGEIFS(nNOTA,nNIA,Y244,nCUENTA,1,nASIG,"Orquesta/Banda/Conjunto"),"")))</f>
        <v/>
      </c>
      <c r="AB244" t="str">
        <f>IF(Y244="","",IF(Y244="[FÓRMULA MANUAL]","",IFERROR(AVERAGEIFS(nNOTA,nNIA,Y244,nCUENTA,1,nASIG,"Música de Cámara"),"")))</f>
        <v/>
      </c>
      <c r="AC244" t="str">
        <f>IF(Y244="","",IF(Y244="[FÓRMULA MANUAL]","",IFERROR(SUMPRODUCT((nNIA=Y244)*(nCUENTA=1)*(COUNTIF(CONFIG_ASIGNATURAS!$B$7:$B$27,nASIG)&gt;0)*(nNOTA))/SUMPRODUCT((nNIA=Y244)*(nCUENTA=1)*(COUNTIF(CONFIG_ASIGNATURAS!$B$7:$B$27,nASIG)&gt;0)*1),"")))</f>
        <v/>
      </c>
      <c r="AF244" t="str">
        <f>IF(AE244="","",IF(AE244="[FÓRMULA MANUAL]","",IFERROR(AVERAGEIFS(nNOTA,nNIA,AE244,nCUENTA,1,nASIG,"Análisis"),"")))</f>
        <v/>
      </c>
      <c r="AG244" t="str">
        <f>IF(AE244="","",IF(AE244="[FÓRMULA MANUAL]","",IFERROR(AVERAGEIFS(nNOTA,nNIA,AE244,nCUENTA,1,nASIG,"Orquesta/Banda/Conjunto"),"")))</f>
        <v/>
      </c>
      <c r="AH244" t="str">
        <f>IF(AE244="","",IF(AE244="[FÓRMULA MANUAL]","",IFERROR(AVERAGEIFS(nNOTA,nNIA,AE244,nCUENTA,1,nASIG,"Música de Cámara"),"")))</f>
        <v/>
      </c>
      <c r="AI244" t="str">
        <f>IF(AE244="","",IF(AE244="[FÓRMULA MANUAL]","",IFERROR(SUMPRODUCT((nNIA=AE244)*(nCUENTA=1)*(COUNTIF(CONFIG_ASIGNATURAS!$B$7:$B$27,nASIG)&gt;0)*(nNOTA))/SUMPRODUCT((nNIA=AE244)*(nCUENTA=1)*(COUNTIF(CONFIG_ASIGNATURAS!$B$7:$B$27,nASIG)&gt;0)*1),"")))</f>
        <v/>
      </c>
    </row>
    <row r="245" spans="2:35" x14ac:dyDescent="0.2">
      <c r="B245" t="str">
        <f>IF(A245="","",IF(A245="[FÓRMULA MANUAL]","",IFERROR(AVERAGEIFS(nNOTA,nNIA,A245,nCUENTA,1,nASIG,"Lenguaje Musical"),"")))</f>
        <v/>
      </c>
      <c r="C245" t="str">
        <f>IF(A245="","",IF(A245="[FÓRMULA MANUAL]","",IFERROR(AVERAGEIFS(nNOTA,nNIA,A245,nCUENTA,1,nASIG,"Orquesta/Banda/Conjunto"),"")))</f>
        <v/>
      </c>
      <c r="D245" t="str">
        <f>IF(A245="","",IF(A245="[FÓRMULA MANUAL]","",IFERROR(AVERAGEIFS(nNOTA,nNIA,A245,nCUENTA,1,nASIG,"Conjunto"),"")))</f>
        <v/>
      </c>
      <c r="E245" t="str">
        <f>IF(A245="","",IF(A245="[FÓRMULA MANUAL]","",IFERROR(SUMPRODUCT((nNIA=A245)*(nCUENTA=1)*(COUNTIF(CONFIG_ASIGNATURAS!$B$7:$B$27,nASIG)&gt;0)*(nNOTA))/SUMPRODUCT((nNIA=A245)*(nCUENTA=1)*(COUNTIF(CONFIG_ASIGNATURAS!$B$7:$B$27,nASIG)&gt;0)*1),"")))</f>
        <v/>
      </c>
      <c r="H245" t="str">
        <f>IF(G245="","",IF(G245="[FÓRMULA MANUAL]","",IFERROR(AVERAGEIFS(nNOTA,nNIA,G245,nCUENTA,1,nASIG,"Lenguaje Musical"),"")))</f>
        <v/>
      </c>
      <c r="I245" t="str">
        <f>IF(G245="","",IF(G245="[FÓRMULA MANUAL]","",IFERROR(AVERAGEIFS(nNOTA,nNIA,G245,nCUENTA,1,nASIG,"Orquesta/Banda/Conjunto"),"")))</f>
        <v/>
      </c>
      <c r="J245" t="str">
        <f>IF(G245="","",IF(G245="[FÓRMULA MANUAL]","",IFERROR(AVERAGEIFS(nNOTA,nNIA,G245,nCUENTA,1,nASIG,"Conjunto"),"")))</f>
        <v/>
      </c>
      <c r="K245" t="str">
        <f>IF(G245="","",IF(G245="[FÓRMULA MANUAL]","",IFERROR(SUMPRODUCT((nNIA=G245)*(nCUENTA=1)*(COUNTIF(CONFIG_ASIGNATURAS!$B$7:$B$27,nASIG)&gt;0)*(nNOTA))/SUMPRODUCT((nNIA=G245)*(nCUENTA=1)*(COUNTIF(CONFIG_ASIGNATURAS!$B$7:$B$27,nASIG)&gt;0)*1),"")))</f>
        <v/>
      </c>
      <c r="N245" t="str">
        <f>IF(M245="","",IF(M245="[FÓRMULA MANUAL]","",IFERROR(AVERAGEIFS(nNOTA,nNIA,M245,nCUENTA,1,nASIG,"Armonía"),"")))</f>
        <v/>
      </c>
      <c r="O245" t="str">
        <f>IF(M245="","",IF(M245="[FÓRMULA MANUAL]","",IFERROR(AVERAGEIFS(nNOTA,nNIA,M245,nCUENTA,1,nASIG,"Orquesta/Banda/Conjunto"),"")))</f>
        <v/>
      </c>
      <c r="P245" t="str">
        <f>IF(M245="","",IF(M245="[FÓRMULA MANUAL]","",IFERROR(AVERAGEIFS(nNOTA,nNIA,M245,nCUENTA,1,nASIG,"Música de Cámara"),"")))</f>
        <v/>
      </c>
      <c r="Q245" t="str">
        <f>IF(M245="","",IF(M245="[FÓRMULA MANUAL]","",IFERROR(SUMPRODUCT((nNIA=M245)*(nCUENTA=1)*(COUNTIF(CONFIG_ASIGNATURAS!$B$7:$B$27,nASIG)&gt;0)*(nNOTA))/SUMPRODUCT((nNIA=M245)*(nCUENTA=1)*(COUNTIF(CONFIG_ASIGNATURAS!$B$7:$B$27,nASIG)&gt;0)*1),"")))</f>
        <v/>
      </c>
      <c r="T245" t="str">
        <f>IF(S245="","",IF(S245="[FÓRMULA MANUAL]","",IFERROR(AVERAGEIFS(nNOTA,nNIA,S245,nCUENTA,1,nASIG,"Armonía"),"")))</f>
        <v/>
      </c>
      <c r="U245" t="str">
        <f>IF(S245="","",IF(S245="[FÓRMULA MANUAL]","",IFERROR(AVERAGEIFS(nNOTA,nNIA,S245,nCUENTA,1,nASIG,"Orquesta/Banda/Conjunto"),"")))</f>
        <v/>
      </c>
      <c r="V245" t="str">
        <f>IF(S245="","",IF(S245="[FÓRMULA MANUAL]","",IFERROR(AVERAGEIFS(nNOTA,nNIA,S245,nCUENTA,1,nASIG,"Música de Cámara"),"")))</f>
        <v/>
      </c>
      <c r="W245" t="str">
        <f>IF(S245="","",IF(S245="[FÓRMULA MANUAL]","",IFERROR(SUMPRODUCT((nNIA=S245)*(nCUENTA=1)*(COUNTIF(CONFIG_ASIGNATURAS!$B$7:$B$27,nASIG)&gt;0)*(nNOTA))/SUMPRODUCT((nNIA=S245)*(nCUENTA=1)*(COUNTIF(CONFIG_ASIGNATURAS!$B$7:$B$27,nASIG)&gt;0)*1),"")))</f>
        <v/>
      </c>
      <c r="Z245" t="str">
        <f>IF(Y245="","",IF(Y245="[FÓRMULA MANUAL]","",IFERROR(AVERAGEIFS(nNOTA,nNIA,Y245,nCUENTA,1,nASIG,"Análisis"),"")))</f>
        <v/>
      </c>
      <c r="AA245" t="str">
        <f>IF(Y245="","",IF(Y245="[FÓRMULA MANUAL]","",IFERROR(AVERAGEIFS(nNOTA,nNIA,Y245,nCUENTA,1,nASIG,"Orquesta/Banda/Conjunto"),"")))</f>
        <v/>
      </c>
      <c r="AB245" t="str">
        <f>IF(Y245="","",IF(Y245="[FÓRMULA MANUAL]","",IFERROR(AVERAGEIFS(nNOTA,nNIA,Y245,nCUENTA,1,nASIG,"Música de Cámara"),"")))</f>
        <v/>
      </c>
      <c r="AC245" t="str">
        <f>IF(Y245="","",IF(Y245="[FÓRMULA MANUAL]","",IFERROR(SUMPRODUCT((nNIA=Y245)*(nCUENTA=1)*(COUNTIF(CONFIG_ASIGNATURAS!$B$7:$B$27,nASIG)&gt;0)*(nNOTA))/SUMPRODUCT((nNIA=Y245)*(nCUENTA=1)*(COUNTIF(CONFIG_ASIGNATURAS!$B$7:$B$27,nASIG)&gt;0)*1),"")))</f>
        <v/>
      </c>
      <c r="AF245" t="str">
        <f>IF(AE245="","",IF(AE245="[FÓRMULA MANUAL]","",IFERROR(AVERAGEIFS(nNOTA,nNIA,AE245,nCUENTA,1,nASIG,"Análisis"),"")))</f>
        <v/>
      </c>
      <c r="AG245" t="str">
        <f>IF(AE245="","",IF(AE245="[FÓRMULA MANUAL]","",IFERROR(AVERAGEIFS(nNOTA,nNIA,AE245,nCUENTA,1,nASIG,"Orquesta/Banda/Conjunto"),"")))</f>
        <v/>
      </c>
      <c r="AH245" t="str">
        <f>IF(AE245="","",IF(AE245="[FÓRMULA MANUAL]","",IFERROR(AVERAGEIFS(nNOTA,nNIA,AE245,nCUENTA,1,nASIG,"Música de Cámara"),"")))</f>
        <v/>
      </c>
      <c r="AI245" t="str">
        <f>IF(AE245="","",IF(AE245="[FÓRMULA MANUAL]","",IFERROR(SUMPRODUCT((nNIA=AE245)*(nCUENTA=1)*(COUNTIF(CONFIG_ASIGNATURAS!$B$7:$B$27,nASIG)&gt;0)*(nNOTA))/SUMPRODUCT((nNIA=AE245)*(nCUENTA=1)*(COUNTIF(CONFIG_ASIGNATURAS!$B$7:$B$27,nASIG)&gt;0)*1),"")))</f>
        <v/>
      </c>
    </row>
    <row r="246" spans="2:35" x14ac:dyDescent="0.2">
      <c r="B246" t="str">
        <f>IF(A246="","",IF(A246="[FÓRMULA MANUAL]","",IFERROR(AVERAGEIFS(nNOTA,nNIA,A246,nCUENTA,1,nASIG,"Lenguaje Musical"),"")))</f>
        <v/>
      </c>
      <c r="C246" t="str">
        <f>IF(A246="","",IF(A246="[FÓRMULA MANUAL]","",IFERROR(AVERAGEIFS(nNOTA,nNIA,A246,nCUENTA,1,nASIG,"Orquesta/Banda/Conjunto"),"")))</f>
        <v/>
      </c>
      <c r="D246" t="str">
        <f>IF(A246="","",IF(A246="[FÓRMULA MANUAL]","",IFERROR(AVERAGEIFS(nNOTA,nNIA,A246,nCUENTA,1,nASIG,"Conjunto"),"")))</f>
        <v/>
      </c>
      <c r="E246" t="str">
        <f>IF(A246="","",IF(A246="[FÓRMULA MANUAL]","",IFERROR(SUMPRODUCT((nNIA=A246)*(nCUENTA=1)*(COUNTIF(CONFIG_ASIGNATURAS!$B$7:$B$27,nASIG)&gt;0)*(nNOTA))/SUMPRODUCT((nNIA=A246)*(nCUENTA=1)*(COUNTIF(CONFIG_ASIGNATURAS!$B$7:$B$27,nASIG)&gt;0)*1),"")))</f>
        <v/>
      </c>
      <c r="H246" t="str">
        <f>IF(G246="","",IF(G246="[FÓRMULA MANUAL]","",IFERROR(AVERAGEIFS(nNOTA,nNIA,G246,nCUENTA,1,nASIG,"Lenguaje Musical"),"")))</f>
        <v/>
      </c>
      <c r="I246" t="str">
        <f>IF(G246="","",IF(G246="[FÓRMULA MANUAL]","",IFERROR(AVERAGEIFS(nNOTA,nNIA,G246,nCUENTA,1,nASIG,"Orquesta/Banda/Conjunto"),"")))</f>
        <v/>
      </c>
      <c r="J246" t="str">
        <f>IF(G246="","",IF(G246="[FÓRMULA MANUAL]","",IFERROR(AVERAGEIFS(nNOTA,nNIA,G246,nCUENTA,1,nASIG,"Conjunto"),"")))</f>
        <v/>
      </c>
      <c r="K246" t="str">
        <f>IF(G246="","",IF(G246="[FÓRMULA MANUAL]","",IFERROR(SUMPRODUCT((nNIA=G246)*(nCUENTA=1)*(COUNTIF(CONFIG_ASIGNATURAS!$B$7:$B$27,nASIG)&gt;0)*(nNOTA))/SUMPRODUCT((nNIA=G246)*(nCUENTA=1)*(COUNTIF(CONFIG_ASIGNATURAS!$B$7:$B$27,nASIG)&gt;0)*1),"")))</f>
        <v/>
      </c>
      <c r="N246" t="str">
        <f>IF(M246="","",IF(M246="[FÓRMULA MANUAL]","",IFERROR(AVERAGEIFS(nNOTA,nNIA,M246,nCUENTA,1,nASIG,"Armonía"),"")))</f>
        <v/>
      </c>
      <c r="O246" t="str">
        <f>IF(M246="","",IF(M246="[FÓRMULA MANUAL]","",IFERROR(AVERAGEIFS(nNOTA,nNIA,M246,nCUENTA,1,nASIG,"Orquesta/Banda/Conjunto"),"")))</f>
        <v/>
      </c>
      <c r="P246" t="str">
        <f>IF(M246="","",IF(M246="[FÓRMULA MANUAL]","",IFERROR(AVERAGEIFS(nNOTA,nNIA,M246,nCUENTA,1,nASIG,"Música de Cámara"),"")))</f>
        <v/>
      </c>
      <c r="Q246" t="str">
        <f>IF(M246="","",IF(M246="[FÓRMULA MANUAL]","",IFERROR(SUMPRODUCT((nNIA=M246)*(nCUENTA=1)*(COUNTIF(CONFIG_ASIGNATURAS!$B$7:$B$27,nASIG)&gt;0)*(nNOTA))/SUMPRODUCT((nNIA=M246)*(nCUENTA=1)*(COUNTIF(CONFIG_ASIGNATURAS!$B$7:$B$27,nASIG)&gt;0)*1),"")))</f>
        <v/>
      </c>
      <c r="T246" t="str">
        <f>IF(S246="","",IF(S246="[FÓRMULA MANUAL]","",IFERROR(AVERAGEIFS(nNOTA,nNIA,S246,nCUENTA,1,nASIG,"Armonía"),"")))</f>
        <v/>
      </c>
      <c r="U246" t="str">
        <f>IF(S246="","",IF(S246="[FÓRMULA MANUAL]","",IFERROR(AVERAGEIFS(nNOTA,nNIA,S246,nCUENTA,1,nASIG,"Orquesta/Banda/Conjunto"),"")))</f>
        <v/>
      </c>
      <c r="V246" t="str">
        <f>IF(S246="","",IF(S246="[FÓRMULA MANUAL]","",IFERROR(AVERAGEIFS(nNOTA,nNIA,S246,nCUENTA,1,nASIG,"Música de Cámara"),"")))</f>
        <v/>
      </c>
      <c r="W246" t="str">
        <f>IF(S246="","",IF(S246="[FÓRMULA MANUAL]","",IFERROR(SUMPRODUCT((nNIA=S246)*(nCUENTA=1)*(COUNTIF(CONFIG_ASIGNATURAS!$B$7:$B$27,nASIG)&gt;0)*(nNOTA))/SUMPRODUCT((nNIA=S246)*(nCUENTA=1)*(COUNTIF(CONFIG_ASIGNATURAS!$B$7:$B$27,nASIG)&gt;0)*1),"")))</f>
        <v/>
      </c>
      <c r="Z246" t="str">
        <f>IF(Y246="","",IF(Y246="[FÓRMULA MANUAL]","",IFERROR(AVERAGEIFS(nNOTA,nNIA,Y246,nCUENTA,1,nASIG,"Análisis"),"")))</f>
        <v/>
      </c>
      <c r="AA246" t="str">
        <f>IF(Y246="","",IF(Y246="[FÓRMULA MANUAL]","",IFERROR(AVERAGEIFS(nNOTA,nNIA,Y246,nCUENTA,1,nASIG,"Orquesta/Banda/Conjunto"),"")))</f>
        <v/>
      </c>
      <c r="AB246" t="str">
        <f>IF(Y246="","",IF(Y246="[FÓRMULA MANUAL]","",IFERROR(AVERAGEIFS(nNOTA,nNIA,Y246,nCUENTA,1,nASIG,"Música de Cámara"),"")))</f>
        <v/>
      </c>
      <c r="AC246" t="str">
        <f>IF(Y246="","",IF(Y246="[FÓRMULA MANUAL]","",IFERROR(SUMPRODUCT((nNIA=Y246)*(nCUENTA=1)*(COUNTIF(CONFIG_ASIGNATURAS!$B$7:$B$27,nASIG)&gt;0)*(nNOTA))/SUMPRODUCT((nNIA=Y246)*(nCUENTA=1)*(COUNTIF(CONFIG_ASIGNATURAS!$B$7:$B$27,nASIG)&gt;0)*1),"")))</f>
        <v/>
      </c>
      <c r="AF246" t="str">
        <f>IF(AE246="","",IF(AE246="[FÓRMULA MANUAL]","",IFERROR(AVERAGEIFS(nNOTA,nNIA,AE246,nCUENTA,1,nASIG,"Análisis"),"")))</f>
        <v/>
      </c>
      <c r="AG246" t="str">
        <f>IF(AE246="","",IF(AE246="[FÓRMULA MANUAL]","",IFERROR(AVERAGEIFS(nNOTA,nNIA,AE246,nCUENTA,1,nASIG,"Orquesta/Banda/Conjunto"),"")))</f>
        <v/>
      </c>
      <c r="AH246" t="str">
        <f>IF(AE246="","",IF(AE246="[FÓRMULA MANUAL]","",IFERROR(AVERAGEIFS(nNOTA,nNIA,AE246,nCUENTA,1,nASIG,"Música de Cámara"),"")))</f>
        <v/>
      </c>
      <c r="AI246" t="str">
        <f>IF(AE246="","",IF(AE246="[FÓRMULA MANUAL]","",IFERROR(SUMPRODUCT((nNIA=AE246)*(nCUENTA=1)*(COUNTIF(CONFIG_ASIGNATURAS!$B$7:$B$27,nASIG)&gt;0)*(nNOTA))/SUMPRODUCT((nNIA=AE246)*(nCUENTA=1)*(COUNTIF(CONFIG_ASIGNATURAS!$B$7:$B$27,nASIG)&gt;0)*1),"")))</f>
        <v/>
      </c>
    </row>
    <row r="247" spans="2:35" x14ac:dyDescent="0.2">
      <c r="B247" t="str">
        <f>IF(A247="","",IF(A247="[FÓRMULA MANUAL]","",IFERROR(AVERAGEIFS(nNOTA,nNIA,A247,nCUENTA,1,nASIG,"Lenguaje Musical"),"")))</f>
        <v/>
      </c>
      <c r="C247" t="str">
        <f>IF(A247="","",IF(A247="[FÓRMULA MANUAL]","",IFERROR(AVERAGEIFS(nNOTA,nNIA,A247,nCUENTA,1,nASIG,"Orquesta/Banda/Conjunto"),"")))</f>
        <v/>
      </c>
      <c r="D247" t="str">
        <f>IF(A247="","",IF(A247="[FÓRMULA MANUAL]","",IFERROR(AVERAGEIFS(nNOTA,nNIA,A247,nCUENTA,1,nASIG,"Conjunto"),"")))</f>
        <v/>
      </c>
      <c r="E247" t="str">
        <f>IF(A247="","",IF(A247="[FÓRMULA MANUAL]","",IFERROR(SUMPRODUCT((nNIA=A247)*(nCUENTA=1)*(COUNTIF(CONFIG_ASIGNATURAS!$B$7:$B$27,nASIG)&gt;0)*(nNOTA))/SUMPRODUCT((nNIA=A247)*(nCUENTA=1)*(COUNTIF(CONFIG_ASIGNATURAS!$B$7:$B$27,nASIG)&gt;0)*1),"")))</f>
        <v/>
      </c>
      <c r="H247" t="str">
        <f>IF(G247="","",IF(G247="[FÓRMULA MANUAL]","",IFERROR(AVERAGEIFS(nNOTA,nNIA,G247,nCUENTA,1,nASIG,"Lenguaje Musical"),"")))</f>
        <v/>
      </c>
      <c r="I247" t="str">
        <f>IF(G247="","",IF(G247="[FÓRMULA MANUAL]","",IFERROR(AVERAGEIFS(nNOTA,nNIA,G247,nCUENTA,1,nASIG,"Orquesta/Banda/Conjunto"),"")))</f>
        <v/>
      </c>
      <c r="J247" t="str">
        <f>IF(G247="","",IF(G247="[FÓRMULA MANUAL]","",IFERROR(AVERAGEIFS(nNOTA,nNIA,G247,nCUENTA,1,nASIG,"Conjunto"),"")))</f>
        <v/>
      </c>
      <c r="K247" t="str">
        <f>IF(G247="","",IF(G247="[FÓRMULA MANUAL]","",IFERROR(SUMPRODUCT((nNIA=G247)*(nCUENTA=1)*(COUNTIF(CONFIG_ASIGNATURAS!$B$7:$B$27,nASIG)&gt;0)*(nNOTA))/SUMPRODUCT((nNIA=G247)*(nCUENTA=1)*(COUNTIF(CONFIG_ASIGNATURAS!$B$7:$B$27,nASIG)&gt;0)*1),"")))</f>
        <v/>
      </c>
      <c r="N247" t="str">
        <f>IF(M247="","",IF(M247="[FÓRMULA MANUAL]","",IFERROR(AVERAGEIFS(nNOTA,nNIA,M247,nCUENTA,1,nASIG,"Armonía"),"")))</f>
        <v/>
      </c>
      <c r="O247" t="str">
        <f>IF(M247="","",IF(M247="[FÓRMULA MANUAL]","",IFERROR(AVERAGEIFS(nNOTA,nNIA,M247,nCUENTA,1,nASIG,"Orquesta/Banda/Conjunto"),"")))</f>
        <v/>
      </c>
      <c r="P247" t="str">
        <f>IF(M247="","",IF(M247="[FÓRMULA MANUAL]","",IFERROR(AVERAGEIFS(nNOTA,nNIA,M247,nCUENTA,1,nASIG,"Música de Cámara"),"")))</f>
        <v/>
      </c>
      <c r="Q247" t="str">
        <f>IF(M247="","",IF(M247="[FÓRMULA MANUAL]","",IFERROR(SUMPRODUCT((nNIA=M247)*(nCUENTA=1)*(COUNTIF(CONFIG_ASIGNATURAS!$B$7:$B$27,nASIG)&gt;0)*(nNOTA))/SUMPRODUCT((nNIA=M247)*(nCUENTA=1)*(COUNTIF(CONFIG_ASIGNATURAS!$B$7:$B$27,nASIG)&gt;0)*1),"")))</f>
        <v/>
      </c>
      <c r="T247" t="str">
        <f>IF(S247="","",IF(S247="[FÓRMULA MANUAL]","",IFERROR(AVERAGEIFS(nNOTA,nNIA,S247,nCUENTA,1,nASIG,"Armonía"),"")))</f>
        <v/>
      </c>
      <c r="U247" t="str">
        <f>IF(S247="","",IF(S247="[FÓRMULA MANUAL]","",IFERROR(AVERAGEIFS(nNOTA,nNIA,S247,nCUENTA,1,nASIG,"Orquesta/Banda/Conjunto"),"")))</f>
        <v/>
      </c>
      <c r="V247" t="str">
        <f>IF(S247="","",IF(S247="[FÓRMULA MANUAL]","",IFERROR(AVERAGEIFS(nNOTA,nNIA,S247,nCUENTA,1,nASIG,"Música de Cámara"),"")))</f>
        <v/>
      </c>
      <c r="W247" t="str">
        <f>IF(S247="","",IF(S247="[FÓRMULA MANUAL]","",IFERROR(SUMPRODUCT((nNIA=S247)*(nCUENTA=1)*(COUNTIF(CONFIG_ASIGNATURAS!$B$7:$B$27,nASIG)&gt;0)*(nNOTA))/SUMPRODUCT((nNIA=S247)*(nCUENTA=1)*(COUNTIF(CONFIG_ASIGNATURAS!$B$7:$B$27,nASIG)&gt;0)*1),"")))</f>
        <v/>
      </c>
      <c r="Z247" t="str">
        <f>IF(Y247="","",IF(Y247="[FÓRMULA MANUAL]","",IFERROR(AVERAGEIFS(nNOTA,nNIA,Y247,nCUENTA,1,nASIG,"Análisis"),"")))</f>
        <v/>
      </c>
      <c r="AA247" t="str">
        <f>IF(Y247="","",IF(Y247="[FÓRMULA MANUAL]","",IFERROR(AVERAGEIFS(nNOTA,nNIA,Y247,nCUENTA,1,nASIG,"Orquesta/Banda/Conjunto"),"")))</f>
        <v/>
      </c>
      <c r="AB247" t="str">
        <f>IF(Y247="","",IF(Y247="[FÓRMULA MANUAL]","",IFERROR(AVERAGEIFS(nNOTA,nNIA,Y247,nCUENTA,1,nASIG,"Música de Cámara"),"")))</f>
        <v/>
      </c>
      <c r="AC247" t="str">
        <f>IF(Y247="","",IF(Y247="[FÓRMULA MANUAL]","",IFERROR(SUMPRODUCT((nNIA=Y247)*(nCUENTA=1)*(COUNTIF(CONFIG_ASIGNATURAS!$B$7:$B$27,nASIG)&gt;0)*(nNOTA))/SUMPRODUCT((nNIA=Y247)*(nCUENTA=1)*(COUNTIF(CONFIG_ASIGNATURAS!$B$7:$B$27,nASIG)&gt;0)*1),"")))</f>
        <v/>
      </c>
      <c r="AF247" t="str">
        <f>IF(AE247="","",IF(AE247="[FÓRMULA MANUAL]","",IFERROR(AVERAGEIFS(nNOTA,nNIA,AE247,nCUENTA,1,nASIG,"Análisis"),"")))</f>
        <v/>
      </c>
      <c r="AG247" t="str">
        <f>IF(AE247="","",IF(AE247="[FÓRMULA MANUAL]","",IFERROR(AVERAGEIFS(nNOTA,nNIA,AE247,nCUENTA,1,nASIG,"Orquesta/Banda/Conjunto"),"")))</f>
        <v/>
      </c>
      <c r="AH247" t="str">
        <f>IF(AE247="","",IF(AE247="[FÓRMULA MANUAL]","",IFERROR(AVERAGEIFS(nNOTA,nNIA,AE247,nCUENTA,1,nASIG,"Música de Cámara"),"")))</f>
        <v/>
      </c>
      <c r="AI247" t="str">
        <f>IF(AE247="","",IF(AE247="[FÓRMULA MANUAL]","",IFERROR(SUMPRODUCT((nNIA=AE247)*(nCUENTA=1)*(COUNTIF(CONFIG_ASIGNATURAS!$B$7:$B$27,nASIG)&gt;0)*(nNOTA))/SUMPRODUCT((nNIA=AE247)*(nCUENTA=1)*(COUNTIF(CONFIG_ASIGNATURAS!$B$7:$B$27,nASIG)&gt;0)*1),"")))</f>
        <v/>
      </c>
    </row>
    <row r="248" spans="2:35" x14ac:dyDescent="0.2">
      <c r="B248" t="str">
        <f>IF(A248="","",IF(A248="[FÓRMULA MANUAL]","",IFERROR(AVERAGEIFS(nNOTA,nNIA,A248,nCUENTA,1,nASIG,"Lenguaje Musical"),"")))</f>
        <v/>
      </c>
      <c r="C248" t="str">
        <f>IF(A248="","",IF(A248="[FÓRMULA MANUAL]","",IFERROR(AVERAGEIFS(nNOTA,nNIA,A248,nCUENTA,1,nASIG,"Orquesta/Banda/Conjunto"),"")))</f>
        <v/>
      </c>
      <c r="D248" t="str">
        <f>IF(A248="","",IF(A248="[FÓRMULA MANUAL]","",IFERROR(AVERAGEIFS(nNOTA,nNIA,A248,nCUENTA,1,nASIG,"Conjunto"),"")))</f>
        <v/>
      </c>
      <c r="E248" t="str">
        <f>IF(A248="","",IF(A248="[FÓRMULA MANUAL]","",IFERROR(SUMPRODUCT((nNIA=A248)*(nCUENTA=1)*(COUNTIF(CONFIG_ASIGNATURAS!$B$7:$B$27,nASIG)&gt;0)*(nNOTA))/SUMPRODUCT((nNIA=A248)*(nCUENTA=1)*(COUNTIF(CONFIG_ASIGNATURAS!$B$7:$B$27,nASIG)&gt;0)*1),"")))</f>
        <v/>
      </c>
      <c r="H248" t="str">
        <f>IF(G248="","",IF(G248="[FÓRMULA MANUAL]","",IFERROR(AVERAGEIFS(nNOTA,nNIA,G248,nCUENTA,1,nASIG,"Lenguaje Musical"),"")))</f>
        <v/>
      </c>
      <c r="I248" t="str">
        <f>IF(G248="","",IF(G248="[FÓRMULA MANUAL]","",IFERROR(AVERAGEIFS(nNOTA,nNIA,G248,nCUENTA,1,nASIG,"Orquesta/Banda/Conjunto"),"")))</f>
        <v/>
      </c>
      <c r="J248" t="str">
        <f>IF(G248="","",IF(G248="[FÓRMULA MANUAL]","",IFERROR(AVERAGEIFS(nNOTA,nNIA,G248,nCUENTA,1,nASIG,"Conjunto"),"")))</f>
        <v/>
      </c>
      <c r="K248" t="str">
        <f>IF(G248="","",IF(G248="[FÓRMULA MANUAL]","",IFERROR(SUMPRODUCT((nNIA=G248)*(nCUENTA=1)*(COUNTIF(CONFIG_ASIGNATURAS!$B$7:$B$27,nASIG)&gt;0)*(nNOTA))/SUMPRODUCT((nNIA=G248)*(nCUENTA=1)*(COUNTIF(CONFIG_ASIGNATURAS!$B$7:$B$27,nASIG)&gt;0)*1),"")))</f>
        <v/>
      </c>
      <c r="N248" t="str">
        <f>IF(M248="","",IF(M248="[FÓRMULA MANUAL]","",IFERROR(AVERAGEIFS(nNOTA,nNIA,M248,nCUENTA,1,nASIG,"Armonía"),"")))</f>
        <v/>
      </c>
      <c r="O248" t="str">
        <f>IF(M248="","",IF(M248="[FÓRMULA MANUAL]","",IFERROR(AVERAGEIFS(nNOTA,nNIA,M248,nCUENTA,1,nASIG,"Orquesta/Banda/Conjunto"),"")))</f>
        <v/>
      </c>
      <c r="P248" t="str">
        <f>IF(M248="","",IF(M248="[FÓRMULA MANUAL]","",IFERROR(AVERAGEIFS(nNOTA,nNIA,M248,nCUENTA,1,nASIG,"Música de Cámara"),"")))</f>
        <v/>
      </c>
      <c r="Q248" t="str">
        <f>IF(M248="","",IF(M248="[FÓRMULA MANUAL]","",IFERROR(SUMPRODUCT((nNIA=M248)*(nCUENTA=1)*(COUNTIF(CONFIG_ASIGNATURAS!$B$7:$B$27,nASIG)&gt;0)*(nNOTA))/SUMPRODUCT((nNIA=M248)*(nCUENTA=1)*(COUNTIF(CONFIG_ASIGNATURAS!$B$7:$B$27,nASIG)&gt;0)*1),"")))</f>
        <v/>
      </c>
      <c r="T248" t="str">
        <f>IF(S248="","",IF(S248="[FÓRMULA MANUAL]","",IFERROR(AVERAGEIFS(nNOTA,nNIA,S248,nCUENTA,1,nASIG,"Armonía"),"")))</f>
        <v/>
      </c>
      <c r="U248" t="str">
        <f>IF(S248="","",IF(S248="[FÓRMULA MANUAL]","",IFERROR(AVERAGEIFS(nNOTA,nNIA,S248,nCUENTA,1,nASIG,"Orquesta/Banda/Conjunto"),"")))</f>
        <v/>
      </c>
      <c r="V248" t="str">
        <f>IF(S248="","",IF(S248="[FÓRMULA MANUAL]","",IFERROR(AVERAGEIFS(nNOTA,nNIA,S248,nCUENTA,1,nASIG,"Música de Cámara"),"")))</f>
        <v/>
      </c>
      <c r="W248" t="str">
        <f>IF(S248="","",IF(S248="[FÓRMULA MANUAL]","",IFERROR(SUMPRODUCT((nNIA=S248)*(nCUENTA=1)*(COUNTIF(CONFIG_ASIGNATURAS!$B$7:$B$27,nASIG)&gt;0)*(nNOTA))/SUMPRODUCT((nNIA=S248)*(nCUENTA=1)*(COUNTIF(CONFIG_ASIGNATURAS!$B$7:$B$27,nASIG)&gt;0)*1),"")))</f>
        <v/>
      </c>
      <c r="Z248" t="str">
        <f>IF(Y248="","",IF(Y248="[FÓRMULA MANUAL]","",IFERROR(AVERAGEIFS(nNOTA,nNIA,Y248,nCUENTA,1,nASIG,"Análisis"),"")))</f>
        <v/>
      </c>
      <c r="AA248" t="str">
        <f>IF(Y248="","",IF(Y248="[FÓRMULA MANUAL]","",IFERROR(AVERAGEIFS(nNOTA,nNIA,Y248,nCUENTA,1,nASIG,"Orquesta/Banda/Conjunto"),"")))</f>
        <v/>
      </c>
      <c r="AB248" t="str">
        <f>IF(Y248="","",IF(Y248="[FÓRMULA MANUAL]","",IFERROR(AVERAGEIFS(nNOTA,nNIA,Y248,nCUENTA,1,nASIG,"Música de Cámara"),"")))</f>
        <v/>
      </c>
      <c r="AC248" t="str">
        <f>IF(Y248="","",IF(Y248="[FÓRMULA MANUAL]","",IFERROR(SUMPRODUCT((nNIA=Y248)*(nCUENTA=1)*(COUNTIF(CONFIG_ASIGNATURAS!$B$7:$B$27,nASIG)&gt;0)*(nNOTA))/SUMPRODUCT((nNIA=Y248)*(nCUENTA=1)*(COUNTIF(CONFIG_ASIGNATURAS!$B$7:$B$27,nASIG)&gt;0)*1),"")))</f>
        <v/>
      </c>
      <c r="AF248" t="str">
        <f>IF(AE248="","",IF(AE248="[FÓRMULA MANUAL]","",IFERROR(AVERAGEIFS(nNOTA,nNIA,AE248,nCUENTA,1,nASIG,"Análisis"),"")))</f>
        <v/>
      </c>
      <c r="AG248" t="str">
        <f>IF(AE248="","",IF(AE248="[FÓRMULA MANUAL]","",IFERROR(AVERAGEIFS(nNOTA,nNIA,AE248,nCUENTA,1,nASIG,"Orquesta/Banda/Conjunto"),"")))</f>
        <v/>
      </c>
      <c r="AH248" t="str">
        <f>IF(AE248="","",IF(AE248="[FÓRMULA MANUAL]","",IFERROR(AVERAGEIFS(nNOTA,nNIA,AE248,nCUENTA,1,nASIG,"Música de Cámara"),"")))</f>
        <v/>
      </c>
      <c r="AI248" t="str">
        <f>IF(AE248="","",IF(AE248="[FÓRMULA MANUAL]","",IFERROR(SUMPRODUCT((nNIA=AE248)*(nCUENTA=1)*(COUNTIF(CONFIG_ASIGNATURAS!$B$7:$B$27,nASIG)&gt;0)*(nNOTA))/SUMPRODUCT((nNIA=AE248)*(nCUENTA=1)*(COUNTIF(CONFIG_ASIGNATURAS!$B$7:$B$27,nASIG)&gt;0)*1),"")))</f>
        <v/>
      </c>
    </row>
    <row r="249" spans="2:35" x14ac:dyDescent="0.2">
      <c r="B249" t="str">
        <f>IF(A249="","",IF(A249="[FÓRMULA MANUAL]","",IFERROR(AVERAGEIFS(nNOTA,nNIA,A249,nCUENTA,1,nASIG,"Lenguaje Musical"),"")))</f>
        <v/>
      </c>
      <c r="C249" t="str">
        <f>IF(A249="","",IF(A249="[FÓRMULA MANUAL]","",IFERROR(AVERAGEIFS(nNOTA,nNIA,A249,nCUENTA,1,nASIG,"Orquesta/Banda/Conjunto"),"")))</f>
        <v/>
      </c>
      <c r="D249" t="str">
        <f>IF(A249="","",IF(A249="[FÓRMULA MANUAL]","",IFERROR(AVERAGEIFS(nNOTA,nNIA,A249,nCUENTA,1,nASIG,"Conjunto"),"")))</f>
        <v/>
      </c>
      <c r="E249" t="str">
        <f>IF(A249="","",IF(A249="[FÓRMULA MANUAL]","",IFERROR(SUMPRODUCT((nNIA=A249)*(nCUENTA=1)*(COUNTIF(CONFIG_ASIGNATURAS!$B$7:$B$27,nASIG)&gt;0)*(nNOTA))/SUMPRODUCT((nNIA=A249)*(nCUENTA=1)*(COUNTIF(CONFIG_ASIGNATURAS!$B$7:$B$27,nASIG)&gt;0)*1),"")))</f>
        <v/>
      </c>
      <c r="H249" t="str">
        <f>IF(G249="","",IF(G249="[FÓRMULA MANUAL]","",IFERROR(AVERAGEIFS(nNOTA,nNIA,G249,nCUENTA,1,nASIG,"Lenguaje Musical"),"")))</f>
        <v/>
      </c>
      <c r="I249" t="str">
        <f>IF(G249="","",IF(G249="[FÓRMULA MANUAL]","",IFERROR(AVERAGEIFS(nNOTA,nNIA,G249,nCUENTA,1,nASIG,"Orquesta/Banda/Conjunto"),"")))</f>
        <v/>
      </c>
      <c r="J249" t="str">
        <f>IF(G249="","",IF(G249="[FÓRMULA MANUAL]","",IFERROR(AVERAGEIFS(nNOTA,nNIA,G249,nCUENTA,1,nASIG,"Conjunto"),"")))</f>
        <v/>
      </c>
      <c r="K249" t="str">
        <f>IF(G249="","",IF(G249="[FÓRMULA MANUAL]","",IFERROR(SUMPRODUCT((nNIA=G249)*(nCUENTA=1)*(COUNTIF(CONFIG_ASIGNATURAS!$B$7:$B$27,nASIG)&gt;0)*(nNOTA))/SUMPRODUCT((nNIA=G249)*(nCUENTA=1)*(COUNTIF(CONFIG_ASIGNATURAS!$B$7:$B$27,nASIG)&gt;0)*1),"")))</f>
        <v/>
      </c>
      <c r="N249" t="str">
        <f>IF(M249="","",IF(M249="[FÓRMULA MANUAL]","",IFERROR(AVERAGEIFS(nNOTA,nNIA,M249,nCUENTA,1,nASIG,"Armonía"),"")))</f>
        <v/>
      </c>
      <c r="O249" t="str">
        <f>IF(M249="","",IF(M249="[FÓRMULA MANUAL]","",IFERROR(AVERAGEIFS(nNOTA,nNIA,M249,nCUENTA,1,nASIG,"Orquesta/Banda/Conjunto"),"")))</f>
        <v/>
      </c>
      <c r="P249" t="str">
        <f>IF(M249="","",IF(M249="[FÓRMULA MANUAL]","",IFERROR(AVERAGEIFS(nNOTA,nNIA,M249,nCUENTA,1,nASIG,"Música de Cámara"),"")))</f>
        <v/>
      </c>
      <c r="Q249" t="str">
        <f>IF(M249="","",IF(M249="[FÓRMULA MANUAL]","",IFERROR(SUMPRODUCT((nNIA=M249)*(nCUENTA=1)*(COUNTIF(CONFIG_ASIGNATURAS!$B$7:$B$27,nASIG)&gt;0)*(nNOTA))/SUMPRODUCT((nNIA=M249)*(nCUENTA=1)*(COUNTIF(CONFIG_ASIGNATURAS!$B$7:$B$27,nASIG)&gt;0)*1),"")))</f>
        <v/>
      </c>
      <c r="T249" t="str">
        <f>IF(S249="","",IF(S249="[FÓRMULA MANUAL]","",IFERROR(AVERAGEIFS(nNOTA,nNIA,S249,nCUENTA,1,nASIG,"Armonía"),"")))</f>
        <v/>
      </c>
      <c r="U249" t="str">
        <f>IF(S249="","",IF(S249="[FÓRMULA MANUAL]","",IFERROR(AVERAGEIFS(nNOTA,nNIA,S249,nCUENTA,1,nASIG,"Orquesta/Banda/Conjunto"),"")))</f>
        <v/>
      </c>
      <c r="V249" t="str">
        <f>IF(S249="","",IF(S249="[FÓRMULA MANUAL]","",IFERROR(AVERAGEIFS(nNOTA,nNIA,S249,nCUENTA,1,nASIG,"Música de Cámara"),"")))</f>
        <v/>
      </c>
      <c r="W249" t="str">
        <f>IF(S249="","",IF(S249="[FÓRMULA MANUAL]","",IFERROR(SUMPRODUCT((nNIA=S249)*(nCUENTA=1)*(COUNTIF(CONFIG_ASIGNATURAS!$B$7:$B$27,nASIG)&gt;0)*(nNOTA))/SUMPRODUCT((nNIA=S249)*(nCUENTA=1)*(COUNTIF(CONFIG_ASIGNATURAS!$B$7:$B$27,nASIG)&gt;0)*1),"")))</f>
        <v/>
      </c>
      <c r="Z249" t="str">
        <f>IF(Y249="","",IF(Y249="[FÓRMULA MANUAL]","",IFERROR(AVERAGEIFS(nNOTA,nNIA,Y249,nCUENTA,1,nASIG,"Análisis"),"")))</f>
        <v/>
      </c>
      <c r="AA249" t="str">
        <f>IF(Y249="","",IF(Y249="[FÓRMULA MANUAL]","",IFERROR(AVERAGEIFS(nNOTA,nNIA,Y249,nCUENTA,1,nASIG,"Orquesta/Banda/Conjunto"),"")))</f>
        <v/>
      </c>
      <c r="AB249" t="str">
        <f>IF(Y249="","",IF(Y249="[FÓRMULA MANUAL]","",IFERROR(AVERAGEIFS(nNOTA,nNIA,Y249,nCUENTA,1,nASIG,"Música de Cámara"),"")))</f>
        <v/>
      </c>
      <c r="AC249" t="str">
        <f>IF(Y249="","",IF(Y249="[FÓRMULA MANUAL]","",IFERROR(SUMPRODUCT((nNIA=Y249)*(nCUENTA=1)*(COUNTIF(CONFIG_ASIGNATURAS!$B$7:$B$27,nASIG)&gt;0)*(nNOTA))/SUMPRODUCT((nNIA=Y249)*(nCUENTA=1)*(COUNTIF(CONFIG_ASIGNATURAS!$B$7:$B$27,nASIG)&gt;0)*1),"")))</f>
        <v/>
      </c>
      <c r="AF249" t="str">
        <f>IF(AE249="","",IF(AE249="[FÓRMULA MANUAL]","",IFERROR(AVERAGEIFS(nNOTA,nNIA,AE249,nCUENTA,1,nASIG,"Análisis"),"")))</f>
        <v/>
      </c>
      <c r="AG249" t="str">
        <f>IF(AE249="","",IF(AE249="[FÓRMULA MANUAL]","",IFERROR(AVERAGEIFS(nNOTA,nNIA,AE249,nCUENTA,1,nASIG,"Orquesta/Banda/Conjunto"),"")))</f>
        <v/>
      </c>
      <c r="AH249" t="str">
        <f>IF(AE249="","",IF(AE249="[FÓRMULA MANUAL]","",IFERROR(AVERAGEIFS(nNOTA,nNIA,AE249,nCUENTA,1,nASIG,"Música de Cámara"),"")))</f>
        <v/>
      </c>
      <c r="AI249" t="str">
        <f>IF(AE249="","",IF(AE249="[FÓRMULA MANUAL]","",IFERROR(SUMPRODUCT((nNIA=AE249)*(nCUENTA=1)*(COUNTIF(CONFIG_ASIGNATURAS!$B$7:$B$27,nASIG)&gt;0)*(nNOTA))/SUMPRODUCT((nNIA=AE249)*(nCUENTA=1)*(COUNTIF(CONFIG_ASIGNATURAS!$B$7:$B$27,nASIG)&gt;0)*1),"")))</f>
        <v/>
      </c>
    </row>
    <row r="250" spans="2:35" x14ac:dyDescent="0.2">
      <c r="B250" t="str">
        <f>IF(A250="","",IF(A250="[FÓRMULA MANUAL]","",IFERROR(AVERAGEIFS(nNOTA,nNIA,A250,nCUENTA,1,nASIG,"Lenguaje Musical"),"")))</f>
        <v/>
      </c>
      <c r="C250" t="str">
        <f>IF(A250="","",IF(A250="[FÓRMULA MANUAL]","",IFERROR(AVERAGEIFS(nNOTA,nNIA,A250,nCUENTA,1,nASIG,"Orquesta/Banda/Conjunto"),"")))</f>
        <v/>
      </c>
      <c r="D250" t="str">
        <f>IF(A250="","",IF(A250="[FÓRMULA MANUAL]","",IFERROR(AVERAGEIFS(nNOTA,nNIA,A250,nCUENTA,1,nASIG,"Conjunto"),"")))</f>
        <v/>
      </c>
      <c r="E250" t="str">
        <f>IF(A250="","",IF(A250="[FÓRMULA MANUAL]","",IFERROR(SUMPRODUCT((nNIA=A250)*(nCUENTA=1)*(COUNTIF(CONFIG_ASIGNATURAS!$B$7:$B$27,nASIG)&gt;0)*(nNOTA))/SUMPRODUCT((nNIA=A250)*(nCUENTA=1)*(COUNTIF(CONFIG_ASIGNATURAS!$B$7:$B$27,nASIG)&gt;0)*1),"")))</f>
        <v/>
      </c>
      <c r="H250" t="str">
        <f>IF(G250="","",IF(G250="[FÓRMULA MANUAL]","",IFERROR(AVERAGEIFS(nNOTA,nNIA,G250,nCUENTA,1,nASIG,"Lenguaje Musical"),"")))</f>
        <v/>
      </c>
      <c r="I250" t="str">
        <f>IF(G250="","",IF(G250="[FÓRMULA MANUAL]","",IFERROR(AVERAGEIFS(nNOTA,nNIA,G250,nCUENTA,1,nASIG,"Orquesta/Banda/Conjunto"),"")))</f>
        <v/>
      </c>
      <c r="J250" t="str">
        <f>IF(G250="","",IF(G250="[FÓRMULA MANUAL]","",IFERROR(AVERAGEIFS(nNOTA,nNIA,G250,nCUENTA,1,nASIG,"Conjunto"),"")))</f>
        <v/>
      </c>
      <c r="K250" t="str">
        <f>IF(G250="","",IF(G250="[FÓRMULA MANUAL]","",IFERROR(SUMPRODUCT((nNIA=G250)*(nCUENTA=1)*(COUNTIF(CONFIG_ASIGNATURAS!$B$7:$B$27,nASIG)&gt;0)*(nNOTA))/SUMPRODUCT((nNIA=G250)*(nCUENTA=1)*(COUNTIF(CONFIG_ASIGNATURAS!$B$7:$B$27,nASIG)&gt;0)*1),"")))</f>
        <v/>
      </c>
      <c r="N250" t="str">
        <f>IF(M250="","",IF(M250="[FÓRMULA MANUAL]","",IFERROR(AVERAGEIFS(nNOTA,nNIA,M250,nCUENTA,1,nASIG,"Armonía"),"")))</f>
        <v/>
      </c>
      <c r="O250" t="str">
        <f>IF(M250="","",IF(M250="[FÓRMULA MANUAL]","",IFERROR(AVERAGEIFS(nNOTA,nNIA,M250,nCUENTA,1,nASIG,"Orquesta/Banda/Conjunto"),"")))</f>
        <v/>
      </c>
      <c r="P250" t="str">
        <f>IF(M250="","",IF(M250="[FÓRMULA MANUAL]","",IFERROR(AVERAGEIFS(nNOTA,nNIA,M250,nCUENTA,1,nASIG,"Música de Cámara"),"")))</f>
        <v/>
      </c>
      <c r="Q250" t="str">
        <f>IF(M250="","",IF(M250="[FÓRMULA MANUAL]","",IFERROR(SUMPRODUCT((nNIA=M250)*(nCUENTA=1)*(COUNTIF(CONFIG_ASIGNATURAS!$B$7:$B$27,nASIG)&gt;0)*(nNOTA))/SUMPRODUCT((nNIA=M250)*(nCUENTA=1)*(COUNTIF(CONFIG_ASIGNATURAS!$B$7:$B$27,nASIG)&gt;0)*1),"")))</f>
        <v/>
      </c>
      <c r="T250" t="str">
        <f>IF(S250="","",IF(S250="[FÓRMULA MANUAL]","",IFERROR(AVERAGEIFS(nNOTA,nNIA,S250,nCUENTA,1,nASIG,"Armonía"),"")))</f>
        <v/>
      </c>
      <c r="U250" t="str">
        <f>IF(S250="","",IF(S250="[FÓRMULA MANUAL]","",IFERROR(AVERAGEIFS(nNOTA,nNIA,S250,nCUENTA,1,nASIG,"Orquesta/Banda/Conjunto"),"")))</f>
        <v/>
      </c>
      <c r="V250" t="str">
        <f>IF(S250="","",IF(S250="[FÓRMULA MANUAL]","",IFERROR(AVERAGEIFS(nNOTA,nNIA,S250,nCUENTA,1,nASIG,"Música de Cámara"),"")))</f>
        <v/>
      </c>
      <c r="W250" t="str">
        <f>IF(S250="","",IF(S250="[FÓRMULA MANUAL]","",IFERROR(SUMPRODUCT((nNIA=S250)*(nCUENTA=1)*(COUNTIF(CONFIG_ASIGNATURAS!$B$7:$B$27,nASIG)&gt;0)*(nNOTA))/SUMPRODUCT((nNIA=S250)*(nCUENTA=1)*(COUNTIF(CONFIG_ASIGNATURAS!$B$7:$B$27,nASIG)&gt;0)*1),"")))</f>
        <v/>
      </c>
      <c r="Z250" t="str">
        <f>IF(Y250="","",IF(Y250="[FÓRMULA MANUAL]","",IFERROR(AVERAGEIFS(nNOTA,nNIA,Y250,nCUENTA,1,nASIG,"Análisis"),"")))</f>
        <v/>
      </c>
      <c r="AA250" t="str">
        <f>IF(Y250="","",IF(Y250="[FÓRMULA MANUAL]","",IFERROR(AVERAGEIFS(nNOTA,nNIA,Y250,nCUENTA,1,nASIG,"Orquesta/Banda/Conjunto"),"")))</f>
        <v/>
      </c>
      <c r="AB250" t="str">
        <f>IF(Y250="","",IF(Y250="[FÓRMULA MANUAL]","",IFERROR(AVERAGEIFS(nNOTA,nNIA,Y250,nCUENTA,1,nASIG,"Música de Cámara"),"")))</f>
        <v/>
      </c>
      <c r="AC250" t="str">
        <f>IF(Y250="","",IF(Y250="[FÓRMULA MANUAL]","",IFERROR(SUMPRODUCT((nNIA=Y250)*(nCUENTA=1)*(COUNTIF(CONFIG_ASIGNATURAS!$B$7:$B$27,nASIG)&gt;0)*(nNOTA))/SUMPRODUCT((nNIA=Y250)*(nCUENTA=1)*(COUNTIF(CONFIG_ASIGNATURAS!$B$7:$B$27,nASIG)&gt;0)*1),"")))</f>
        <v/>
      </c>
      <c r="AF250" t="str">
        <f>IF(AE250="","",IF(AE250="[FÓRMULA MANUAL]","",IFERROR(AVERAGEIFS(nNOTA,nNIA,AE250,nCUENTA,1,nASIG,"Análisis"),"")))</f>
        <v/>
      </c>
      <c r="AG250" t="str">
        <f>IF(AE250="","",IF(AE250="[FÓRMULA MANUAL]","",IFERROR(AVERAGEIFS(nNOTA,nNIA,AE250,nCUENTA,1,nASIG,"Orquesta/Banda/Conjunto"),"")))</f>
        <v/>
      </c>
      <c r="AH250" t="str">
        <f>IF(AE250="","",IF(AE250="[FÓRMULA MANUAL]","",IFERROR(AVERAGEIFS(nNOTA,nNIA,AE250,nCUENTA,1,nASIG,"Música de Cámara"),"")))</f>
        <v/>
      </c>
      <c r="AI250" t="str">
        <f>IF(AE250="","",IF(AE250="[FÓRMULA MANUAL]","",IFERROR(SUMPRODUCT((nNIA=AE250)*(nCUENTA=1)*(COUNTIF(CONFIG_ASIGNATURAS!$B$7:$B$27,nASIG)&gt;0)*(nNOTA))/SUMPRODUCT((nNIA=AE250)*(nCUENTA=1)*(COUNTIF(CONFIG_ASIGNATURAS!$B$7:$B$27,nASIG)&gt;0)*1),"")))</f>
        <v/>
      </c>
    </row>
    <row r="251" spans="2:35" x14ac:dyDescent="0.2">
      <c r="B251" t="str">
        <f>IF(A251="","",IF(A251="[FÓRMULA MANUAL]","",IFERROR(AVERAGEIFS(nNOTA,nNIA,A251,nCUENTA,1,nASIG,"Lenguaje Musical"),"")))</f>
        <v/>
      </c>
      <c r="C251" t="str">
        <f>IF(A251="","",IF(A251="[FÓRMULA MANUAL]","",IFERROR(AVERAGEIFS(nNOTA,nNIA,A251,nCUENTA,1,nASIG,"Orquesta/Banda/Conjunto"),"")))</f>
        <v/>
      </c>
      <c r="D251" t="str">
        <f>IF(A251="","",IF(A251="[FÓRMULA MANUAL]","",IFERROR(AVERAGEIFS(nNOTA,nNIA,A251,nCUENTA,1,nASIG,"Conjunto"),"")))</f>
        <v/>
      </c>
      <c r="E251" t="str">
        <f>IF(A251="","",IF(A251="[FÓRMULA MANUAL]","",IFERROR(SUMPRODUCT((nNIA=A251)*(nCUENTA=1)*(COUNTIF(CONFIG_ASIGNATURAS!$B$7:$B$27,nASIG)&gt;0)*(nNOTA))/SUMPRODUCT((nNIA=A251)*(nCUENTA=1)*(COUNTIF(CONFIG_ASIGNATURAS!$B$7:$B$27,nASIG)&gt;0)*1),"")))</f>
        <v/>
      </c>
      <c r="H251" t="str">
        <f>IF(G251="","",IF(G251="[FÓRMULA MANUAL]","",IFERROR(AVERAGEIFS(nNOTA,nNIA,G251,nCUENTA,1,nASIG,"Lenguaje Musical"),"")))</f>
        <v/>
      </c>
      <c r="I251" t="str">
        <f>IF(G251="","",IF(G251="[FÓRMULA MANUAL]","",IFERROR(AVERAGEIFS(nNOTA,nNIA,G251,nCUENTA,1,nASIG,"Orquesta/Banda/Conjunto"),"")))</f>
        <v/>
      </c>
      <c r="J251" t="str">
        <f>IF(G251="","",IF(G251="[FÓRMULA MANUAL]","",IFERROR(AVERAGEIFS(nNOTA,nNIA,G251,nCUENTA,1,nASIG,"Conjunto"),"")))</f>
        <v/>
      </c>
      <c r="K251" t="str">
        <f>IF(G251="","",IF(G251="[FÓRMULA MANUAL]","",IFERROR(SUMPRODUCT((nNIA=G251)*(nCUENTA=1)*(COUNTIF(CONFIG_ASIGNATURAS!$B$7:$B$27,nASIG)&gt;0)*(nNOTA))/SUMPRODUCT((nNIA=G251)*(nCUENTA=1)*(COUNTIF(CONFIG_ASIGNATURAS!$B$7:$B$27,nASIG)&gt;0)*1),"")))</f>
        <v/>
      </c>
      <c r="N251" t="str">
        <f>IF(M251="","",IF(M251="[FÓRMULA MANUAL]","",IFERROR(AVERAGEIFS(nNOTA,nNIA,M251,nCUENTA,1,nASIG,"Armonía"),"")))</f>
        <v/>
      </c>
      <c r="O251" t="str">
        <f>IF(M251="","",IF(M251="[FÓRMULA MANUAL]","",IFERROR(AVERAGEIFS(nNOTA,nNIA,M251,nCUENTA,1,nASIG,"Orquesta/Banda/Conjunto"),"")))</f>
        <v/>
      </c>
      <c r="P251" t="str">
        <f>IF(M251="","",IF(M251="[FÓRMULA MANUAL]","",IFERROR(AVERAGEIFS(nNOTA,nNIA,M251,nCUENTA,1,nASIG,"Música de Cámara"),"")))</f>
        <v/>
      </c>
      <c r="Q251" t="str">
        <f>IF(M251="","",IF(M251="[FÓRMULA MANUAL]","",IFERROR(SUMPRODUCT((nNIA=M251)*(nCUENTA=1)*(COUNTIF(CONFIG_ASIGNATURAS!$B$7:$B$27,nASIG)&gt;0)*(nNOTA))/SUMPRODUCT((nNIA=M251)*(nCUENTA=1)*(COUNTIF(CONFIG_ASIGNATURAS!$B$7:$B$27,nASIG)&gt;0)*1),"")))</f>
        <v/>
      </c>
      <c r="T251" t="str">
        <f>IF(S251="","",IF(S251="[FÓRMULA MANUAL]","",IFERROR(AVERAGEIFS(nNOTA,nNIA,S251,nCUENTA,1,nASIG,"Armonía"),"")))</f>
        <v/>
      </c>
      <c r="U251" t="str">
        <f>IF(S251="","",IF(S251="[FÓRMULA MANUAL]","",IFERROR(AVERAGEIFS(nNOTA,nNIA,S251,nCUENTA,1,nASIG,"Orquesta/Banda/Conjunto"),"")))</f>
        <v/>
      </c>
      <c r="V251" t="str">
        <f>IF(S251="","",IF(S251="[FÓRMULA MANUAL]","",IFERROR(AVERAGEIFS(nNOTA,nNIA,S251,nCUENTA,1,nASIG,"Música de Cámara"),"")))</f>
        <v/>
      </c>
      <c r="W251" t="str">
        <f>IF(S251="","",IF(S251="[FÓRMULA MANUAL]","",IFERROR(SUMPRODUCT((nNIA=S251)*(nCUENTA=1)*(COUNTIF(CONFIG_ASIGNATURAS!$B$7:$B$27,nASIG)&gt;0)*(nNOTA))/SUMPRODUCT((nNIA=S251)*(nCUENTA=1)*(COUNTIF(CONFIG_ASIGNATURAS!$B$7:$B$27,nASIG)&gt;0)*1),"")))</f>
        <v/>
      </c>
      <c r="Z251" t="str">
        <f>IF(Y251="","",IF(Y251="[FÓRMULA MANUAL]","",IFERROR(AVERAGEIFS(nNOTA,nNIA,Y251,nCUENTA,1,nASIG,"Análisis"),"")))</f>
        <v/>
      </c>
      <c r="AA251" t="str">
        <f>IF(Y251="","",IF(Y251="[FÓRMULA MANUAL]","",IFERROR(AVERAGEIFS(nNOTA,nNIA,Y251,nCUENTA,1,nASIG,"Orquesta/Banda/Conjunto"),"")))</f>
        <v/>
      </c>
      <c r="AB251" t="str">
        <f>IF(Y251="","",IF(Y251="[FÓRMULA MANUAL]","",IFERROR(AVERAGEIFS(nNOTA,nNIA,Y251,nCUENTA,1,nASIG,"Música de Cámara"),"")))</f>
        <v/>
      </c>
      <c r="AC251" t="str">
        <f>IF(Y251="","",IF(Y251="[FÓRMULA MANUAL]","",IFERROR(SUMPRODUCT((nNIA=Y251)*(nCUENTA=1)*(COUNTIF(CONFIG_ASIGNATURAS!$B$7:$B$27,nASIG)&gt;0)*(nNOTA))/SUMPRODUCT((nNIA=Y251)*(nCUENTA=1)*(COUNTIF(CONFIG_ASIGNATURAS!$B$7:$B$27,nASIG)&gt;0)*1),"")))</f>
        <v/>
      </c>
      <c r="AF251" t="str">
        <f>IF(AE251="","",IF(AE251="[FÓRMULA MANUAL]","",IFERROR(AVERAGEIFS(nNOTA,nNIA,AE251,nCUENTA,1,nASIG,"Análisis"),"")))</f>
        <v/>
      </c>
      <c r="AG251" t="str">
        <f>IF(AE251="","",IF(AE251="[FÓRMULA MANUAL]","",IFERROR(AVERAGEIFS(nNOTA,nNIA,AE251,nCUENTA,1,nASIG,"Orquesta/Banda/Conjunto"),"")))</f>
        <v/>
      </c>
      <c r="AH251" t="str">
        <f>IF(AE251="","",IF(AE251="[FÓRMULA MANUAL]","",IFERROR(AVERAGEIFS(nNOTA,nNIA,AE251,nCUENTA,1,nASIG,"Música de Cámara"),"")))</f>
        <v/>
      </c>
      <c r="AI251" t="str">
        <f>IF(AE251="","",IF(AE251="[FÓRMULA MANUAL]","",IFERROR(SUMPRODUCT((nNIA=AE251)*(nCUENTA=1)*(COUNTIF(CONFIG_ASIGNATURAS!$B$7:$B$27,nASIG)&gt;0)*(nNOTA))/SUMPRODUCT((nNIA=AE251)*(nCUENTA=1)*(COUNTIF(CONFIG_ASIGNATURAS!$B$7:$B$27,nASIG)&gt;0)*1),"")))</f>
        <v/>
      </c>
    </row>
    <row r="252" spans="2:35" x14ac:dyDescent="0.2">
      <c r="B252" t="str">
        <f>IF(A252="","",IF(A252="[FÓRMULA MANUAL]","",IFERROR(AVERAGEIFS(nNOTA,nNIA,A252,nCUENTA,1,nASIG,"Lenguaje Musical"),"")))</f>
        <v/>
      </c>
      <c r="C252" t="str">
        <f>IF(A252="","",IF(A252="[FÓRMULA MANUAL]","",IFERROR(AVERAGEIFS(nNOTA,nNIA,A252,nCUENTA,1,nASIG,"Orquesta/Banda/Conjunto"),"")))</f>
        <v/>
      </c>
      <c r="D252" t="str">
        <f>IF(A252="","",IF(A252="[FÓRMULA MANUAL]","",IFERROR(AVERAGEIFS(nNOTA,nNIA,A252,nCUENTA,1,nASIG,"Conjunto"),"")))</f>
        <v/>
      </c>
      <c r="E252" t="str">
        <f>IF(A252="","",IF(A252="[FÓRMULA MANUAL]","",IFERROR(SUMPRODUCT((nNIA=A252)*(nCUENTA=1)*(COUNTIF(CONFIG_ASIGNATURAS!$B$7:$B$27,nASIG)&gt;0)*(nNOTA))/SUMPRODUCT((nNIA=A252)*(nCUENTA=1)*(COUNTIF(CONFIG_ASIGNATURAS!$B$7:$B$27,nASIG)&gt;0)*1),"")))</f>
        <v/>
      </c>
      <c r="H252" t="str">
        <f>IF(G252="","",IF(G252="[FÓRMULA MANUAL]","",IFERROR(AVERAGEIFS(nNOTA,nNIA,G252,nCUENTA,1,nASIG,"Lenguaje Musical"),"")))</f>
        <v/>
      </c>
      <c r="I252" t="str">
        <f>IF(G252="","",IF(G252="[FÓRMULA MANUAL]","",IFERROR(AVERAGEIFS(nNOTA,nNIA,G252,nCUENTA,1,nASIG,"Orquesta/Banda/Conjunto"),"")))</f>
        <v/>
      </c>
      <c r="J252" t="str">
        <f>IF(G252="","",IF(G252="[FÓRMULA MANUAL]","",IFERROR(AVERAGEIFS(nNOTA,nNIA,G252,nCUENTA,1,nASIG,"Conjunto"),"")))</f>
        <v/>
      </c>
      <c r="K252" t="str">
        <f>IF(G252="","",IF(G252="[FÓRMULA MANUAL]","",IFERROR(SUMPRODUCT((nNIA=G252)*(nCUENTA=1)*(COUNTIF(CONFIG_ASIGNATURAS!$B$7:$B$27,nASIG)&gt;0)*(nNOTA))/SUMPRODUCT((nNIA=G252)*(nCUENTA=1)*(COUNTIF(CONFIG_ASIGNATURAS!$B$7:$B$27,nASIG)&gt;0)*1),"")))</f>
        <v/>
      </c>
      <c r="N252" t="str">
        <f>IF(M252="","",IF(M252="[FÓRMULA MANUAL]","",IFERROR(AVERAGEIFS(nNOTA,nNIA,M252,nCUENTA,1,nASIG,"Armonía"),"")))</f>
        <v/>
      </c>
      <c r="O252" t="str">
        <f>IF(M252="","",IF(M252="[FÓRMULA MANUAL]","",IFERROR(AVERAGEIFS(nNOTA,nNIA,M252,nCUENTA,1,nASIG,"Orquesta/Banda/Conjunto"),"")))</f>
        <v/>
      </c>
      <c r="P252" t="str">
        <f>IF(M252="","",IF(M252="[FÓRMULA MANUAL]","",IFERROR(AVERAGEIFS(nNOTA,nNIA,M252,nCUENTA,1,nASIG,"Música de Cámara"),"")))</f>
        <v/>
      </c>
      <c r="Q252" t="str">
        <f>IF(M252="","",IF(M252="[FÓRMULA MANUAL]","",IFERROR(SUMPRODUCT((nNIA=M252)*(nCUENTA=1)*(COUNTIF(CONFIG_ASIGNATURAS!$B$7:$B$27,nASIG)&gt;0)*(nNOTA))/SUMPRODUCT((nNIA=M252)*(nCUENTA=1)*(COUNTIF(CONFIG_ASIGNATURAS!$B$7:$B$27,nASIG)&gt;0)*1),"")))</f>
        <v/>
      </c>
      <c r="T252" t="str">
        <f>IF(S252="","",IF(S252="[FÓRMULA MANUAL]","",IFERROR(AVERAGEIFS(nNOTA,nNIA,S252,nCUENTA,1,nASIG,"Armonía"),"")))</f>
        <v/>
      </c>
      <c r="U252" t="str">
        <f>IF(S252="","",IF(S252="[FÓRMULA MANUAL]","",IFERROR(AVERAGEIFS(nNOTA,nNIA,S252,nCUENTA,1,nASIG,"Orquesta/Banda/Conjunto"),"")))</f>
        <v/>
      </c>
      <c r="V252" t="str">
        <f>IF(S252="","",IF(S252="[FÓRMULA MANUAL]","",IFERROR(AVERAGEIFS(nNOTA,nNIA,S252,nCUENTA,1,nASIG,"Música de Cámara"),"")))</f>
        <v/>
      </c>
      <c r="W252" t="str">
        <f>IF(S252="","",IF(S252="[FÓRMULA MANUAL]","",IFERROR(SUMPRODUCT((nNIA=S252)*(nCUENTA=1)*(COUNTIF(CONFIG_ASIGNATURAS!$B$7:$B$27,nASIG)&gt;0)*(nNOTA))/SUMPRODUCT((nNIA=S252)*(nCUENTA=1)*(COUNTIF(CONFIG_ASIGNATURAS!$B$7:$B$27,nASIG)&gt;0)*1),"")))</f>
        <v/>
      </c>
      <c r="Z252" t="str">
        <f>IF(Y252="","",IF(Y252="[FÓRMULA MANUAL]","",IFERROR(AVERAGEIFS(nNOTA,nNIA,Y252,nCUENTA,1,nASIG,"Análisis"),"")))</f>
        <v/>
      </c>
      <c r="AA252" t="str">
        <f>IF(Y252="","",IF(Y252="[FÓRMULA MANUAL]","",IFERROR(AVERAGEIFS(nNOTA,nNIA,Y252,nCUENTA,1,nASIG,"Orquesta/Banda/Conjunto"),"")))</f>
        <v/>
      </c>
      <c r="AB252" t="str">
        <f>IF(Y252="","",IF(Y252="[FÓRMULA MANUAL]","",IFERROR(AVERAGEIFS(nNOTA,nNIA,Y252,nCUENTA,1,nASIG,"Música de Cámara"),"")))</f>
        <v/>
      </c>
      <c r="AC252" t="str">
        <f>IF(Y252="","",IF(Y252="[FÓRMULA MANUAL]","",IFERROR(SUMPRODUCT((nNIA=Y252)*(nCUENTA=1)*(COUNTIF(CONFIG_ASIGNATURAS!$B$7:$B$27,nASIG)&gt;0)*(nNOTA))/SUMPRODUCT((nNIA=Y252)*(nCUENTA=1)*(COUNTIF(CONFIG_ASIGNATURAS!$B$7:$B$27,nASIG)&gt;0)*1),"")))</f>
        <v/>
      </c>
      <c r="AF252" t="str">
        <f>IF(AE252="","",IF(AE252="[FÓRMULA MANUAL]","",IFERROR(AVERAGEIFS(nNOTA,nNIA,AE252,nCUENTA,1,nASIG,"Análisis"),"")))</f>
        <v/>
      </c>
      <c r="AG252" t="str">
        <f>IF(AE252="","",IF(AE252="[FÓRMULA MANUAL]","",IFERROR(AVERAGEIFS(nNOTA,nNIA,AE252,nCUENTA,1,nASIG,"Orquesta/Banda/Conjunto"),"")))</f>
        <v/>
      </c>
      <c r="AH252" t="str">
        <f>IF(AE252="","",IF(AE252="[FÓRMULA MANUAL]","",IFERROR(AVERAGEIFS(nNOTA,nNIA,AE252,nCUENTA,1,nASIG,"Música de Cámara"),"")))</f>
        <v/>
      </c>
      <c r="AI252" t="str">
        <f>IF(AE252="","",IF(AE252="[FÓRMULA MANUAL]","",IFERROR(SUMPRODUCT((nNIA=AE252)*(nCUENTA=1)*(COUNTIF(CONFIG_ASIGNATURAS!$B$7:$B$27,nASIG)&gt;0)*(nNOTA))/SUMPRODUCT((nNIA=AE252)*(nCUENTA=1)*(COUNTIF(CONFIG_ASIGNATURAS!$B$7:$B$27,nASIG)&gt;0)*1),"")))</f>
        <v/>
      </c>
    </row>
    <row r="253" spans="2:35" x14ac:dyDescent="0.2">
      <c r="B253" t="str">
        <f>IF(A253="","",IF(A253="[FÓRMULA MANUAL]","",IFERROR(AVERAGEIFS(nNOTA,nNIA,A253,nCUENTA,1,nASIG,"Lenguaje Musical"),"")))</f>
        <v/>
      </c>
      <c r="C253" t="str">
        <f>IF(A253="","",IF(A253="[FÓRMULA MANUAL]","",IFERROR(AVERAGEIFS(nNOTA,nNIA,A253,nCUENTA,1,nASIG,"Orquesta/Banda/Conjunto"),"")))</f>
        <v/>
      </c>
      <c r="D253" t="str">
        <f>IF(A253="","",IF(A253="[FÓRMULA MANUAL]","",IFERROR(AVERAGEIFS(nNOTA,nNIA,A253,nCUENTA,1,nASIG,"Conjunto"),"")))</f>
        <v/>
      </c>
      <c r="E253" t="str">
        <f>IF(A253="","",IF(A253="[FÓRMULA MANUAL]","",IFERROR(SUMPRODUCT((nNIA=A253)*(nCUENTA=1)*(COUNTIF(CONFIG_ASIGNATURAS!$B$7:$B$27,nASIG)&gt;0)*(nNOTA))/SUMPRODUCT((nNIA=A253)*(nCUENTA=1)*(COUNTIF(CONFIG_ASIGNATURAS!$B$7:$B$27,nASIG)&gt;0)*1),"")))</f>
        <v/>
      </c>
      <c r="H253" t="str">
        <f>IF(G253="","",IF(G253="[FÓRMULA MANUAL]","",IFERROR(AVERAGEIFS(nNOTA,nNIA,G253,nCUENTA,1,nASIG,"Lenguaje Musical"),"")))</f>
        <v/>
      </c>
      <c r="I253" t="str">
        <f>IF(G253="","",IF(G253="[FÓRMULA MANUAL]","",IFERROR(AVERAGEIFS(nNOTA,nNIA,G253,nCUENTA,1,nASIG,"Orquesta/Banda/Conjunto"),"")))</f>
        <v/>
      </c>
      <c r="J253" t="str">
        <f>IF(G253="","",IF(G253="[FÓRMULA MANUAL]","",IFERROR(AVERAGEIFS(nNOTA,nNIA,G253,nCUENTA,1,nASIG,"Conjunto"),"")))</f>
        <v/>
      </c>
      <c r="K253" t="str">
        <f>IF(G253="","",IF(G253="[FÓRMULA MANUAL]","",IFERROR(SUMPRODUCT((nNIA=G253)*(nCUENTA=1)*(COUNTIF(CONFIG_ASIGNATURAS!$B$7:$B$27,nASIG)&gt;0)*(nNOTA))/SUMPRODUCT((nNIA=G253)*(nCUENTA=1)*(COUNTIF(CONFIG_ASIGNATURAS!$B$7:$B$27,nASIG)&gt;0)*1),"")))</f>
        <v/>
      </c>
      <c r="N253" t="str">
        <f>IF(M253="","",IF(M253="[FÓRMULA MANUAL]","",IFERROR(AVERAGEIFS(nNOTA,nNIA,M253,nCUENTA,1,nASIG,"Armonía"),"")))</f>
        <v/>
      </c>
      <c r="O253" t="str">
        <f>IF(M253="","",IF(M253="[FÓRMULA MANUAL]","",IFERROR(AVERAGEIFS(nNOTA,nNIA,M253,nCUENTA,1,nASIG,"Orquesta/Banda/Conjunto"),"")))</f>
        <v/>
      </c>
      <c r="P253" t="str">
        <f>IF(M253="","",IF(M253="[FÓRMULA MANUAL]","",IFERROR(AVERAGEIFS(nNOTA,nNIA,M253,nCUENTA,1,nASIG,"Música de Cámara"),"")))</f>
        <v/>
      </c>
      <c r="Q253" t="str">
        <f>IF(M253="","",IF(M253="[FÓRMULA MANUAL]","",IFERROR(SUMPRODUCT((nNIA=M253)*(nCUENTA=1)*(COUNTIF(CONFIG_ASIGNATURAS!$B$7:$B$27,nASIG)&gt;0)*(nNOTA))/SUMPRODUCT((nNIA=M253)*(nCUENTA=1)*(COUNTIF(CONFIG_ASIGNATURAS!$B$7:$B$27,nASIG)&gt;0)*1),"")))</f>
        <v/>
      </c>
      <c r="T253" t="str">
        <f>IF(S253="","",IF(S253="[FÓRMULA MANUAL]","",IFERROR(AVERAGEIFS(nNOTA,nNIA,S253,nCUENTA,1,nASIG,"Armonía"),"")))</f>
        <v/>
      </c>
      <c r="U253" t="str">
        <f>IF(S253="","",IF(S253="[FÓRMULA MANUAL]","",IFERROR(AVERAGEIFS(nNOTA,nNIA,S253,nCUENTA,1,nASIG,"Orquesta/Banda/Conjunto"),"")))</f>
        <v/>
      </c>
      <c r="V253" t="str">
        <f>IF(S253="","",IF(S253="[FÓRMULA MANUAL]","",IFERROR(AVERAGEIFS(nNOTA,nNIA,S253,nCUENTA,1,nASIG,"Música de Cámara"),"")))</f>
        <v/>
      </c>
      <c r="W253" t="str">
        <f>IF(S253="","",IF(S253="[FÓRMULA MANUAL]","",IFERROR(SUMPRODUCT((nNIA=S253)*(nCUENTA=1)*(COUNTIF(CONFIG_ASIGNATURAS!$B$7:$B$27,nASIG)&gt;0)*(nNOTA))/SUMPRODUCT((nNIA=S253)*(nCUENTA=1)*(COUNTIF(CONFIG_ASIGNATURAS!$B$7:$B$27,nASIG)&gt;0)*1),"")))</f>
        <v/>
      </c>
      <c r="Z253" t="str">
        <f>IF(Y253="","",IF(Y253="[FÓRMULA MANUAL]","",IFERROR(AVERAGEIFS(nNOTA,nNIA,Y253,nCUENTA,1,nASIG,"Análisis"),"")))</f>
        <v/>
      </c>
      <c r="AA253" t="str">
        <f>IF(Y253="","",IF(Y253="[FÓRMULA MANUAL]","",IFERROR(AVERAGEIFS(nNOTA,nNIA,Y253,nCUENTA,1,nASIG,"Orquesta/Banda/Conjunto"),"")))</f>
        <v/>
      </c>
      <c r="AB253" t="str">
        <f>IF(Y253="","",IF(Y253="[FÓRMULA MANUAL]","",IFERROR(AVERAGEIFS(nNOTA,nNIA,Y253,nCUENTA,1,nASIG,"Música de Cámara"),"")))</f>
        <v/>
      </c>
      <c r="AC253" t="str">
        <f>IF(Y253="","",IF(Y253="[FÓRMULA MANUAL]","",IFERROR(SUMPRODUCT((nNIA=Y253)*(nCUENTA=1)*(COUNTIF(CONFIG_ASIGNATURAS!$B$7:$B$27,nASIG)&gt;0)*(nNOTA))/SUMPRODUCT((nNIA=Y253)*(nCUENTA=1)*(COUNTIF(CONFIG_ASIGNATURAS!$B$7:$B$27,nASIG)&gt;0)*1),"")))</f>
        <v/>
      </c>
      <c r="AF253" t="str">
        <f>IF(AE253="","",IF(AE253="[FÓRMULA MANUAL]","",IFERROR(AVERAGEIFS(nNOTA,nNIA,AE253,nCUENTA,1,nASIG,"Análisis"),"")))</f>
        <v/>
      </c>
      <c r="AG253" t="str">
        <f>IF(AE253="","",IF(AE253="[FÓRMULA MANUAL]","",IFERROR(AVERAGEIFS(nNOTA,nNIA,AE253,nCUENTA,1,nASIG,"Orquesta/Banda/Conjunto"),"")))</f>
        <v/>
      </c>
      <c r="AH253" t="str">
        <f>IF(AE253="","",IF(AE253="[FÓRMULA MANUAL]","",IFERROR(AVERAGEIFS(nNOTA,nNIA,AE253,nCUENTA,1,nASIG,"Música de Cámara"),"")))</f>
        <v/>
      </c>
      <c r="AI253" t="str">
        <f>IF(AE253="","",IF(AE253="[FÓRMULA MANUAL]","",IFERROR(SUMPRODUCT((nNIA=AE253)*(nCUENTA=1)*(COUNTIF(CONFIG_ASIGNATURAS!$B$7:$B$27,nASIG)&gt;0)*(nNOTA))/SUMPRODUCT((nNIA=AE253)*(nCUENTA=1)*(COUNTIF(CONFIG_ASIGNATURAS!$B$7:$B$27,nASIG)&gt;0)*1),"")))</f>
        <v/>
      </c>
    </row>
    <row r="254" spans="2:35" x14ac:dyDescent="0.2">
      <c r="B254" t="str">
        <f>IF(A254="","",IF(A254="[FÓRMULA MANUAL]","",IFERROR(AVERAGEIFS(nNOTA,nNIA,A254,nCUENTA,1,nASIG,"Lenguaje Musical"),"")))</f>
        <v/>
      </c>
      <c r="C254" t="str">
        <f>IF(A254="","",IF(A254="[FÓRMULA MANUAL]","",IFERROR(AVERAGEIFS(nNOTA,nNIA,A254,nCUENTA,1,nASIG,"Orquesta/Banda/Conjunto"),"")))</f>
        <v/>
      </c>
      <c r="D254" t="str">
        <f>IF(A254="","",IF(A254="[FÓRMULA MANUAL]","",IFERROR(AVERAGEIFS(nNOTA,nNIA,A254,nCUENTA,1,nASIG,"Conjunto"),"")))</f>
        <v/>
      </c>
      <c r="E254" t="str">
        <f>IF(A254="","",IF(A254="[FÓRMULA MANUAL]","",IFERROR(SUMPRODUCT((nNIA=A254)*(nCUENTA=1)*(COUNTIF(CONFIG_ASIGNATURAS!$B$7:$B$27,nASIG)&gt;0)*(nNOTA))/SUMPRODUCT((nNIA=A254)*(nCUENTA=1)*(COUNTIF(CONFIG_ASIGNATURAS!$B$7:$B$27,nASIG)&gt;0)*1),"")))</f>
        <v/>
      </c>
      <c r="H254" t="str">
        <f>IF(G254="","",IF(G254="[FÓRMULA MANUAL]","",IFERROR(AVERAGEIFS(nNOTA,nNIA,G254,nCUENTA,1,nASIG,"Lenguaje Musical"),"")))</f>
        <v/>
      </c>
      <c r="I254" t="str">
        <f>IF(G254="","",IF(G254="[FÓRMULA MANUAL]","",IFERROR(AVERAGEIFS(nNOTA,nNIA,G254,nCUENTA,1,nASIG,"Orquesta/Banda/Conjunto"),"")))</f>
        <v/>
      </c>
      <c r="J254" t="str">
        <f>IF(G254="","",IF(G254="[FÓRMULA MANUAL]","",IFERROR(AVERAGEIFS(nNOTA,nNIA,G254,nCUENTA,1,nASIG,"Conjunto"),"")))</f>
        <v/>
      </c>
      <c r="K254" t="str">
        <f>IF(G254="","",IF(G254="[FÓRMULA MANUAL]","",IFERROR(SUMPRODUCT((nNIA=G254)*(nCUENTA=1)*(COUNTIF(CONFIG_ASIGNATURAS!$B$7:$B$27,nASIG)&gt;0)*(nNOTA))/SUMPRODUCT((nNIA=G254)*(nCUENTA=1)*(COUNTIF(CONFIG_ASIGNATURAS!$B$7:$B$27,nASIG)&gt;0)*1),"")))</f>
        <v/>
      </c>
      <c r="N254" t="str">
        <f>IF(M254="","",IF(M254="[FÓRMULA MANUAL]","",IFERROR(AVERAGEIFS(nNOTA,nNIA,M254,nCUENTA,1,nASIG,"Armonía"),"")))</f>
        <v/>
      </c>
      <c r="O254" t="str">
        <f>IF(M254="","",IF(M254="[FÓRMULA MANUAL]","",IFERROR(AVERAGEIFS(nNOTA,nNIA,M254,nCUENTA,1,nASIG,"Orquesta/Banda/Conjunto"),"")))</f>
        <v/>
      </c>
      <c r="P254" t="str">
        <f>IF(M254="","",IF(M254="[FÓRMULA MANUAL]","",IFERROR(AVERAGEIFS(nNOTA,nNIA,M254,nCUENTA,1,nASIG,"Música de Cámara"),"")))</f>
        <v/>
      </c>
      <c r="Q254" t="str">
        <f>IF(M254="","",IF(M254="[FÓRMULA MANUAL]","",IFERROR(SUMPRODUCT((nNIA=M254)*(nCUENTA=1)*(COUNTIF(CONFIG_ASIGNATURAS!$B$7:$B$27,nASIG)&gt;0)*(nNOTA))/SUMPRODUCT((nNIA=M254)*(nCUENTA=1)*(COUNTIF(CONFIG_ASIGNATURAS!$B$7:$B$27,nASIG)&gt;0)*1),"")))</f>
        <v/>
      </c>
      <c r="T254" t="str">
        <f>IF(S254="","",IF(S254="[FÓRMULA MANUAL]","",IFERROR(AVERAGEIFS(nNOTA,nNIA,S254,nCUENTA,1,nASIG,"Armonía"),"")))</f>
        <v/>
      </c>
      <c r="U254" t="str">
        <f>IF(S254="","",IF(S254="[FÓRMULA MANUAL]","",IFERROR(AVERAGEIFS(nNOTA,nNIA,S254,nCUENTA,1,nASIG,"Orquesta/Banda/Conjunto"),"")))</f>
        <v/>
      </c>
      <c r="V254" t="str">
        <f>IF(S254="","",IF(S254="[FÓRMULA MANUAL]","",IFERROR(AVERAGEIFS(nNOTA,nNIA,S254,nCUENTA,1,nASIG,"Música de Cámara"),"")))</f>
        <v/>
      </c>
      <c r="W254" t="str">
        <f>IF(S254="","",IF(S254="[FÓRMULA MANUAL]","",IFERROR(SUMPRODUCT((nNIA=S254)*(nCUENTA=1)*(COUNTIF(CONFIG_ASIGNATURAS!$B$7:$B$27,nASIG)&gt;0)*(nNOTA))/SUMPRODUCT((nNIA=S254)*(nCUENTA=1)*(COUNTIF(CONFIG_ASIGNATURAS!$B$7:$B$27,nASIG)&gt;0)*1),"")))</f>
        <v/>
      </c>
      <c r="Z254" t="str">
        <f>IF(Y254="","",IF(Y254="[FÓRMULA MANUAL]","",IFERROR(AVERAGEIFS(nNOTA,nNIA,Y254,nCUENTA,1,nASIG,"Análisis"),"")))</f>
        <v/>
      </c>
      <c r="AA254" t="str">
        <f>IF(Y254="","",IF(Y254="[FÓRMULA MANUAL]","",IFERROR(AVERAGEIFS(nNOTA,nNIA,Y254,nCUENTA,1,nASIG,"Orquesta/Banda/Conjunto"),"")))</f>
        <v/>
      </c>
      <c r="AB254" t="str">
        <f>IF(Y254="","",IF(Y254="[FÓRMULA MANUAL]","",IFERROR(AVERAGEIFS(nNOTA,nNIA,Y254,nCUENTA,1,nASIG,"Música de Cámara"),"")))</f>
        <v/>
      </c>
      <c r="AC254" t="str">
        <f>IF(Y254="","",IF(Y254="[FÓRMULA MANUAL]","",IFERROR(SUMPRODUCT((nNIA=Y254)*(nCUENTA=1)*(COUNTIF(CONFIG_ASIGNATURAS!$B$7:$B$27,nASIG)&gt;0)*(nNOTA))/SUMPRODUCT((nNIA=Y254)*(nCUENTA=1)*(COUNTIF(CONFIG_ASIGNATURAS!$B$7:$B$27,nASIG)&gt;0)*1),"")))</f>
        <v/>
      </c>
      <c r="AF254" t="str">
        <f>IF(AE254="","",IF(AE254="[FÓRMULA MANUAL]","",IFERROR(AVERAGEIFS(nNOTA,nNIA,AE254,nCUENTA,1,nASIG,"Análisis"),"")))</f>
        <v/>
      </c>
      <c r="AG254" t="str">
        <f>IF(AE254="","",IF(AE254="[FÓRMULA MANUAL]","",IFERROR(AVERAGEIFS(nNOTA,nNIA,AE254,nCUENTA,1,nASIG,"Orquesta/Banda/Conjunto"),"")))</f>
        <v/>
      </c>
      <c r="AH254" t="str">
        <f>IF(AE254="","",IF(AE254="[FÓRMULA MANUAL]","",IFERROR(AVERAGEIFS(nNOTA,nNIA,AE254,nCUENTA,1,nASIG,"Música de Cámara"),"")))</f>
        <v/>
      </c>
      <c r="AI254" t="str">
        <f>IF(AE254="","",IF(AE254="[FÓRMULA MANUAL]","",IFERROR(SUMPRODUCT((nNIA=AE254)*(nCUENTA=1)*(COUNTIF(CONFIG_ASIGNATURAS!$B$7:$B$27,nASIG)&gt;0)*(nNOTA))/SUMPRODUCT((nNIA=AE254)*(nCUENTA=1)*(COUNTIF(CONFIG_ASIGNATURAS!$B$7:$B$27,nASIG)&gt;0)*1),"")))</f>
        <v/>
      </c>
    </row>
    <row r="255" spans="2:35" x14ac:dyDescent="0.2">
      <c r="B255" t="str">
        <f>IF(A255="","",IF(A255="[FÓRMULA MANUAL]","",IFERROR(AVERAGEIFS(nNOTA,nNIA,A255,nCUENTA,1,nASIG,"Lenguaje Musical"),"")))</f>
        <v/>
      </c>
      <c r="C255" t="str">
        <f>IF(A255="","",IF(A255="[FÓRMULA MANUAL]","",IFERROR(AVERAGEIFS(nNOTA,nNIA,A255,nCUENTA,1,nASIG,"Orquesta/Banda/Conjunto"),"")))</f>
        <v/>
      </c>
      <c r="D255" t="str">
        <f>IF(A255="","",IF(A255="[FÓRMULA MANUAL]","",IFERROR(AVERAGEIFS(nNOTA,nNIA,A255,nCUENTA,1,nASIG,"Conjunto"),"")))</f>
        <v/>
      </c>
      <c r="E255" t="str">
        <f>IF(A255="","",IF(A255="[FÓRMULA MANUAL]","",IFERROR(SUMPRODUCT((nNIA=A255)*(nCUENTA=1)*(COUNTIF(CONFIG_ASIGNATURAS!$B$7:$B$27,nASIG)&gt;0)*(nNOTA))/SUMPRODUCT((nNIA=A255)*(nCUENTA=1)*(COUNTIF(CONFIG_ASIGNATURAS!$B$7:$B$27,nASIG)&gt;0)*1),"")))</f>
        <v/>
      </c>
      <c r="H255" t="str">
        <f>IF(G255="","",IF(G255="[FÓRMULA MANUAL]","",IFERROR(AVERAGEIFS(nNOTA,nNIA,G255,nCUENTA,1,nASIG,"Lenguaje Musical"),"")))</f>
        <v/>
      </c>
      <c r="I255" t="str">
        <f>IF(G255="","",IF(G255="[FÓRMULA MANUAL]","",IFERROR(AVERAGEIFS(nNOTA,nNIA,G255,nCUENTA,1,nASIG,"Orquesta/Banda/Conjunto"),"")))</f>
        <v/>
      </c>
      <c r="J255" t="str">
        <f>IF(G255="","",IF(G255="[FÓRMULA MANUAL]","",IFERROR(AVERAGEIFS(nNOTA,nNIA,G255,nCUENTA,1,nASIG,"Conjunto"),"")))</f>
        <v/>
      </c>
      <c r="K255" t="str">
        <f>IF(G255="","",IF(G255="[FÓRMULA MANUAL]","",IFERROR(SUMPRODUCT((nNIA=G255)*(nCUENTA=1)*(COUNTIF(CONFIG_ASIGNATURAS!$B$7:$B$27,nASIG)&gt;0)*(nNOTA))/SUMPRODUCT((nNIA=G255)*(nCUENTA=1)*(COUNTIF(CONFIG_ASIGNATURAS!$B$7:$B$27,nASIG)&gt;0)*1),"")))</f>
        <v/>
      </c>
      <c r="N255" t="str">
        <f>IF(M255="","",IF(M255="[FÓRMULA MANUAL]","",IFERROR(AVERAGEIFS(nNOTA,nNIA,M255,nCUENTA,1,nASIG,"Armonía"),"")))</f>
        <v/>
      </c>
      <c r="O255" t="str">
        <f>IF(M255="","",IF(M255="[FÓRMULA MANUAL]","",IFERROR(AVERAGEIFS(nNOTA,nNIA,M255,nCUENTA,1,nASIG,"Orquesta/Banda/Conjunto"),"")))</f>
        <v/>
      </c>
      <c r="P255" t="str">
        <f>IF(M255="","",IF(M255="[FÓRMULA MANUAL]","",IFERROR(AVERAGEIFS(nNOTA,nNIA,M255,nCUENTA,1,nASIG,"Música de Cámara"),"")))</f>
        <v/>
      </c>
      <c r="Q255" t="str">
        <f>IF(M255="","",IF(M255="[FÓRMULA MANUAL]","",IFERROR(SUMPRODUCT((nNIA=M255)*(nCUENTA=1)*(COUNTIF(CONFIG_ASIGNATURAS!$B$7:$B$27,nASIG)&gt;0)*(nNOTA))/SUMPRODUCT((nNIA=M255)*(nCUENTA=1)*(COUNTIF(CONFIG_ASIGNATURAS!$B$7:$B$27,nASIG)&gt;0)*1),"")))</f>
        <v/>
      </c>
      <c r="T255" t="str">
        <f>IF(S255="","",IF(S255="[FÓRMULA MANUAL]","",IFERROR(AVERAGEIFS(nNOTA,nNIA,S255,nCUENTA,1,nASIG,"Armonía"),"")))</f>
        <v/>
      </c>
      <c r="U255" t="str">
        <f>IF(S255="","",IF(S255="[FÓRMULA MANUAL]","",IFERROR(AVERAGEIFS(nNOTA,nNIA,S255,nCUENTA,1,nASIG,"Orquesta/Banda/Conjunto"),"")))</f>
        <v/>
      </c>
      <c r="V255" t="str">
        <f>IF(S255="","",IF(S255="[FÓRMULA MANUAL]","",IFERROR(AVERAGEIFS(nNOTA,nNIA,S255,nCUENTA,1,nASIG,"Música de Cámara"),"")))</f>
        <v/>
      </c>
      <c r="W255" t="str">
        <f>IF(S255="","",IF(S255="[FÓRMULA MANUAL]","",IFERROR(SUMPRODUCT((nNIA=S255)*(nCUENTA=1)*(COUNTIF(CONFIG_ASIGNATURAS!$B$7:$B$27,nASIG)&gt;0)*(nNOTA))/SUMPRODUCT((nNIA=S255)*(nCUENTA=1)*(COUNTIF(CONFIG_ASIGNATURAS!$B$7:$B$27,nASIG)&gt;0)*1),"")))</f>
        <v/>
      </c>
      <c r="Z255" t="str">
        <f>IF(Y255="","",IF(Y255="[FÓRMULA MANUAL]","",IFERROR(AVERAGEIFS(nNOTA,nNIA,Y255,nCUENTA,1,nASIG,"Análisis"),"")))</f>
        <v/>
      </c>
      <c r="AA255" t="str">
        <f>IF(Y255="","",IF(Y255="[FÓRMULA MANUAL]","",IFERROR(AVERAGEIFS(nNOTA,nNIA,Y255,nCUENTA,1,nASIG,"Orquesta/Banda/Conjunto"),"")))</f>
        <v/>
      </c>
      <c r="AB255" t="str">
        <f>IF(Y255="","",IF(Y255="[FÓRMULA MANUAL]","",IFERROR(AVERAGEIFS(nNOTA,nNIA,Y255,nCUENTA,1,nASIG,"Música de Cámara"),"")))</f>
        <v/>
      </c>
      <c r="AC255" t="str">
        <f>IF(Y255="","",IF(Y255="[FÓRMULA MANUAL]","",IFERROR(SUMPRODUCT((nNIA=Y255)*(nCUENTA=1)*(COUNTIF(CONFIG_ASIGNATURAS!$B$7:$B$27,nASIG)&gt;0)*(nNOTA))/SUMPRODUCT((nNIA=Y255)*(nCUENTA=1)*(COUNTIF(CONFIG_ASIGNATURAS!$B$7:$B$27,nASIG)&gt;0)*1),"")))</f>
        <v/>
      </c>
      <c r="AF255" t="str">
        <f>IF(AE255="","",IF(AE255="[FÓRMULA MANUAL]","",IFERROR(AVERAGEIFS(nNOTA,nNIA,AE255,nCUENTA,1,nASIG,"Análisis"),"")))</f>
        <v/>
      </c>
      <c r="AG255" t="str">
        <f>IF(AE255="","",IF(AE255="[FÓRMULA MANUAL]","",IFERROR(AVERAGEIFS(nNOTA,nNIA,AE255,nCUENTA,1,nASIG,"Orquesta/Banda/Conjunto"),"")))</f>
        <v/>
      </c>
      <c r="AH255" t="str">
        <f>IF(AE255="","",IF(AE255="[FÓRMULA MANUAL]","",IFERROR(AVERAGEIFS(nNOTA,nNIA,AE255,nCUENTA,1,nASIG,"Música de Cámara"),"")))</f>
        <v/>
      </c>
      <c r="AI255" t="str">
        <f>IF(AE255="","",IF(AE255="[FÓRMULA MANUAL]","",IFERROR(SUMPRODUCT((nNIA=AE255)*(nCUENTA=1)*(COUNTIF(CONFIG_ASIGNATURAS!$B$7:$B$27,nASIG)&gt;0)*(nNOTA))/SUMPRODUCT((nNIA=AE255)*(nCUENTA=1)*(COUNTIF(CONFIG_ASIGNATURAS!$B$7:$B$27,nASIG)&gt;0)*1),"")))</f>
        <v/>
      </c>
    </row>
    <row r="256" spans="2:35" x14ac:dyDescent="0.2">
      <c r="B256" t="str">
        <f>IF(A256="","",IF(A256="[FÓRMULA MANUAL]","",IFERROR(AVERAGEIFS(nNOTA,nNIA,A256,nCUENTA,1,nASIG,"Lenguaje Musical"),"")))</f>
        <v/>
      </c>
      <c r="C256" t="str">
        <f>IF(A256="","",IF(A256="[FÓRMULA MANUAL]","",IFERROR(AVERAGEIFS(nNOTA,nNIA,A256,nCUENTA,1,nASIG,"Orquesta/Banda/Conjunto"),"")))</f>
        <v/>
      </c>
      <c r="D256" t="str">
        <f>IF(A256="","",IF(A256="[FÓRMULA MANUAL]","",IFERROR(AVERAGEIFS(nNOTA,nNIA,A256,nCUENTA,1,nASIG,"Conjunto"),"")))</f>
        <v/>
      </c>
      <c r="E256" t="str">
        <f>IF(A256="","",IF(A256="[FÓRMULA MANUAL]","",IFERROR(SUMPRODUCT((nNIA=A256)*(nCUENTA=1)*(COUNTIF(CONFIG_ASIGNATURAS!$B$7:$B$27,nASIG)&gt;0)*(nNOTA))/SUMPRODUCT((nNIA=A256)*(nCUENTA=1)*(COUNTIF(CONFIG_ASIGNATURAS!$B$7:$B$27,nASIG)&gt;0)*1),"")))</f>
        <v/>
      </c>
      <c r="H256" t="str">
        <f>IF(G256="","",IF(G256="[FÓRMULA MANUAL]","",IFERROR(AVERAGEIFS(nNOTA,nNIA,G256,nCUENTA,1,nASIG,"Lenguaje Musical"),"")))</f>
        <v/>
      </c>
      <c r="I256" t="str">
        <f>IF(G256="","",IF(G256="[FÓRMULA MANUAL]","",IFERROR(AVERAGEIFS(nNOTA,nNIA,G256,nCUENTA,1,nASIG,"Orquesta/Banda/Conjunto"),"")))</f>
        <v/>
      </c>
      <c r="J256" t="str">
        <f>IF(G256="","",IF(G256="[FÓRMULA MANUAL]","",IFERROR(AVERAGEIFS(nNOTA,nNIA,G256,nCUENTA,1,nASIG,"Conjunto"),"")))</f>
        <v/>
      </c>
      <c r="K256" t="str">
        <f>IF(G256="","",IF(G256="[FÓRMULA MANUAL]","",IFERROR(SUMPRODUCT((nNIA=G256)*(nCUENTA=1)*(COUNTIF(CONFIG_ASIGNATURAS!$B$7:$B$27,nASIG)&gt;0)*(nNOTA))/SUMPRODUCT((nNIA=G256)*(nCUENTA=1)*(COUNTIF(CONFIG_ASIGNATURAS!$B$7:$B$27,nASIG)&gt;0)*1),"")))</f>
        <v/>
      </c>
      <c r="N256" t="str">
        <f>IF(M256="","",IF(M256="[FÓRMULA MANUAL]","",IFERROR(AVERAGEIFS(nNOTA,nNIA,M256,nCUENTA,1,nASIG,"Armonía"),"")))</f>
        <v/>
      </c>
      <c r="O256" t="str">
        <f>IF(M256="","",IF(M256="[FÓRMULA MANUAL]","",IFERROR(AVERAGEIFS(nNOTA,nNIA,M256,nCUENTA,1,nASIG,"Orquesta/Banda/Conjunto"),"")))</f>
        <v/>
      </c>
      <c r="P256" t="str">
        <f>IF(M256="","",IF(M256="[FÓRMULA MANUAL]","",IFERROR(AVERAGEIFS(nNOTA,nNIA,M256,nCUENTA,1,nASIG,"Música de Cámara"),"")))</f>
        <v/>
      </c>
      <c r="Q256" t="str">
        <f>IF(M256="","",IF(M256="[FÓRMULA MANUAL]","",IFERROR(SUMPRODUCT((nNIA=M256)*(nCUENTA=1)*(COUNTIF(CONFIG_ASIGNATURAS!$B$7:$B$27,nASIG)&gt;0)*(nNOTA))/SUMPRODUCT((nNIA=M256)*(nCUENTA=1)*(COUNTIF(CONFIG_ASIGNATURAS!$B$7:$B$27,nASIG)&gt;0)*1),"")))</f>
        <v/>
      </c>
      <c r="T256" t="str">
        <f>IF(S256="","",IF(S256="[FÓRMULA MANUAL]","",IFERROR(AVERAGEIFS(nNOTA,nNIA,S256,nCUENTA,1,nASIG,"Armonía"),"")))</f>
        <v/>
      </c>
      <c r="U256" t="str">
        <f>IF(S256="","",IF(S256="[FÓRMULA MANUAL]","",IFERROR(AVERAGEIFS(nNOTA,nNIA,S256,nCUENTA,1,nASIG,"Orquesta/Banda/Conjunto"),"")))</f>
        <v/>
      </c>
      <c r="V256" t="str">
        <f>IF(S256="","",IF(S256="[FÓRMULA MANUAL]","",IFERROR(AVERAGEIFS(nNOTA,nNIA,S256,nCUENTA,1,nASIG,"Música de Cámara"),"")))</f>
        <v/>
      </c>
      <c r="W256" t="str">
        <f>IF(S256="","",IF(S256="[FÓRMULA MANUAL]","",IFERROR(SUMPRODUCT((nNIA=S256)*(nCUENTA=1)*(COUNTIF(CONFIG_ASIGNATURAS!$B$7:$B$27,nASIG)&gt;0)*(nNOTA))/SUMPRODUCT((nNIA=S256)*(nCUENTA=1)*(COUNTIF(CONFIG_ASIGNATURAS!$B$7:$B$27,nASIG)&gt;0)*1),"")))</f>
        <v/>
      </c>
      <c r="Z256" t="str">
        <f>IF(Y256="","",IF(Y256="[FÓRMULA MANUAL]","",IFERROR(AVERAGEIFS(nNOTA,nNIA,Y256,nCUENTA,1,nASIG,"Análisis"),"")))</f>
        <v/>
      </c>
      <c r="AA256" t="str">
        <f>IF(Y256="","",IF(Y256="[FÓRMULA MANUAL]","",IFERROR(AVERAGEIFS(nNOTA,nNIA,Y256,nCUENTA,1,nASIG,"Orquesta/Banda/Conjunto"),"")))</f>
        <v/>
      </c>
      <c r="AB256" t="str">
        <f>IF(Y256="","",IF(Y256="[FÓRMULA MANUAL]","",IFERROR(AVERAGEIFS(nNOTA,nNIA,Y256,nCUENTA,1,nASIG,"Música de Cámara"),"")))</f>
        <v/>
      </c>
      <c r="AC256" t="str">
        <f>IF(Y256="","",IF(Y256="[FÓRMULA MANUAL]","",IFERROR(SUMPRODUCT((nNIA=Y256)*(nCUENTA=1)*(COUNTIF(CONFIG_ASIGNATURAS!$B$7:$B$27,nASIG)&gt;0)*(nNOTA))/SUMPRODUCT((nNIA=Y256)*(nCUENTA=1)*(COUNTIF(CONFIG_ASIGNATURAS!$B$7:$B$27,nASIG)&gt;0)*1),"")))</f>
        <v/>
      </c>
      <c r="AF256" t="str">
        <f>IF(AE256="","",IF(AE256="[FÓRMULA MANUAL]","",IFERROR(AVERAGEIFS(nNOTA,nNIA,AE256,nCUENTA,1,nASIG,"Análisis"),"")))</f>
        <v/>
      </c>
      <c r="AG256" t="str">
        <f>IF(AE256="","",IF(AE256="[FÓRMULA MANUAL]","",IFERROR(AVERAGEIFS(nNOTA,nNIA,AE256,nCUENTA,1,nASIG,"Orquesta/Banda/Conjunto"),"")))</f>
        <v/>
      </c>
      <c r="AH256" t="str">
        <f>IF(AE256="","",IF(AE256="[FÓRMULA MANUAL]","",IFERROR(AVERAGEIFS(nNOTA,nNIA,AE256,nCUENTA,1,nASIG,"Música de Cámara"),"")))</f>
        <v/>
      </c>
      <c r="AI256" t="str">
        <f>IF(AE256="","",IF(AE256="[FÓRMULA MANUAL]","",IFERROR(SUMPRODUCT((nNIA=AE256)*(nCUENTA=1)*(COUNTIF(CONFIG_ASIGNATURAS!$B$7:$B$27,nASIG)&gt;0)*(nNOTA))/SUMPRODUCT((nNIA=AE256)*(nCUENTA=1)*(COUNTIF(CONFIG_ASIGNATURAS!$B$7:$B$27,nASIG)&gt;0)*1),"")))</f>
        <v/>
      </c>
    </row>
    <row r="257" spans="2:35" x14ac:dyDescent="0.2">
      <c r="B257" t="str">
        <f>IF(A257="","",IF(A257="[FÓRMULA MANUAL]","",IFERROR(AVERAGEIFS(nNOTA,nNIA,A257,nCUENTA,1,nASIG,"Lenguaje Musical"),"")))</f>
        <v/>
      </c>
      <c r="C257" t="str">
        <f>IF(A257="","",IF(A257="[FÓRMULA MANUAL]","",IFERROR(AVERAGEIFS(nNOTA,nNIA,A257,nCUENTA,1,nASIG,"Orquesta/Banda/Conjunto"),"")))</f>
        <v/>
      </c>
      <c r="D257" t="str">
        <f>IF(A257="","",IF(A257="[FÓRMULA MANUAL]","",IFERROR(AVERAGEIFS(nNOTA,nNIA,A257,nCUENTA,1,nASIG,"Conjunto"),"")))</f>
        <v/>
      </c>
      <c r="E257" t="str">
        <f>IF(A257="","",IF(A257="[FÓRMULA MANUAL]","",IFERROR(SUMPRODUCT((nNIA=A257)*(nCUENTA=1)*(COUNTIF(CONFIG_ASIGNATURAS!$B$7:$B$27,nASIG)&gt;0)*(nNOTA))/SUMPRODUCT((nNIA=A257)*(nCUENTA=1)*(COUNTIF(CONFIG_ASIGNATURAS!$B$7:$B$27,nASIG)&gt;0)*1),"")))</f>
        <v/>
      </c>
      <c r="H257" t="str">
        <f>IF(G257="","",IF(G257="[FÓRMULA MANUAL]","",IFERROR(AVERAGEIFS(nNOTA,nNIA,G257,nCUENTA,1,nASIG,"Lenguaje Musical"),"")))</f>
        <v/>
      </c>
      <c r="I257" t="str">
        <f>IF(G257="","",IF(G257="[FÓRMULA MANUAL]","",IFERROR(AVERAGEIFS(nNOTA,nNIA,G257,nCUENTA,1,nASIG,"Orquesta/Banda/Conjunto"),"")))</f>
        <v/>
      </c>
      <c r="J257" t="str">
        <f>IF(G257="","",IF(G257="[FÓRMULA MANUAL]","",IFERROR(AVERAGEIFS(nNOTA,nNIA,G257,nCUENTA,1,nASIG,"Conjunto"),"")))</f>
        <v/>
      </c>
      <c r="K257" t="str">
        <f>IF(G257="","",IF(G257="[FÓRMULA MANUAL]","",IFERROR(SUMPRODUCT((nNIA=G257)*(nCUENTA=1)*(COUNTIF(CONFIG_ASIGNATURAS!$B$7:$B$27,nASIG)&gt;0)*(nNOTA))/SUMPRODUCT((nNIA=G257)*(nCUENTA=1)*(COUNTIF(CONFIG_ASIGNATURAS!$B$7:$B$27,nASIG)&gt;0)*1),"")))</f>
        <v/>
      </c>
      <c r="N257" t="str">
        <f>IF(M257="","",IF(M257="[FÓRMULA MANUAL]","",IFERROR(AVERAGEIFS(nNOTA,nNIA,M257,nCUENTA,1,nASIG,"Armonía"),"")))</f>
        <v/>
      </c>
      <c r="O257" t="str">
        <f>IF(M257="","",IF(M257="[FÓRMULA MANUAL]","",IFERROR(AVERAGEIFS(nNOTA,nNIA,M257,nCUENTA,1,nASIG,"Orquesta/Banda/Conjunto"),"")))</f>
        <v/>
      </c>
      <c r="P257" t="str">
        <f>IF(M257="","",IF(M257="[FÓRMULA MANUAL]","",IFERROR(AVERAGEIFS(nNOTA,nNIA,M257,nCUENTA,1,nASIG,"Música de Cámara"),"")))</f>
        <v/>
      </c>
      <c r="Q257" t="str">
        <f>IF(M257="","",IF(M257="[FÓRMULA MANUAL]","",IFERROR(SUMPRODUCT((nNIA=M257)*(nCUENTA=1)*(COUNTIF(CONFIG_ASIGNATURAS!$B$7:$B$27,nASIG)&gt;0)*(nNOTA))/SUMPRODUCT((nNIA=M257)*(nCUENTA=1)*(COUNTIF(CONFIG_ASIGNATURAS!$B$7:$B$27,nASIG)&gt;0)*1),"")))</f>
        <v/>
      </c>
      <c r="T257" t="str">
        <f>IF(S257="","",IF(S257="[FÓRMULA MANUAL]","",IFERROR(AVERAGEIFS(nNOTA,nNIA,S257,nCUENTA,1,nASIG,"Armonía"),"")))</f>
        <v/>
      </c>
      <c r="U257" t="str">
        <f>IF(S257="","",IF(S257="[FÓRMULA MANUAL]","",IFERROR(AVERAGEIFS(nNOTA,nNIA,S257,nCUENTA,1,nASIG,"Orquesta/Banda/Conjunto"),"")))</f>
        <v/>
      </c>
      <c r="V257" t="str">
        <f>IF(S257="","",IF(S257="[FÓRMULA MANUAL]","",IFERROR(AVERAGEIFS(nNOTA,nNIA,S257,nCUENTA,1,nASIG,"Música de Cámara"),"")))</f>
        <v/>
      </c>
      <c r="W257" t="str">
        <f>IF(S257="","",IF(S257="[FÓRMULA MANUAL]","",IFERROR(SUMPRODUCT((nNIA=S257)*(nCUENTA=1)*(COUNTIF(CONFIG_ASIGNATURAS!$B$7:$B$27,nASIG)&gt;0)*(nNOTA))/SUMPRODUCT((nNIA=S257)*(nCUENTA=1)*(COUNTIF(CONFIG_ASIGNATURAS!$B$7:$B$27,nASIG)&gt;0)*1),"")))</f>
        <v/>
      </c>
      <c r="Z257" t="str">
        <f>IF(Y257="","",IF(Y257="[FÓRMULA MANUAL]","",IFERROR(AVERAGEIFS(nNOTA,nNIA,Y257,nCUENTA,1,nASIG,"Análisis"),"")))</f>
        <v/>
      </c>
      <c r="AA257" t="str">
        <f>IF(Y257="","",IF(Y257="[FÓRMULA MANUAL]","",IFERROR(AVERAGEIFS(nNOTA,nNIA,Y257,nCUENTA,1,nASIG,"Orquesta/Banda/Conjunto"),"")))</f>
        <v/>
      </c>
      <c r="AB257" t="str">
        <f>IF(Y257="","",IF(Y257="[FÓRMULA MANUAL]","",IFERROR(AVERAGEIFS(nNOTA,nNIA,Y257,nCUENTA,1,nASIG,"Música de Cámara"),"")))</f>
        <v/>
      </c>
      <c r="AC257" t="str">
        <f>IF(Y257="","",IF(Y257="[FÓRMULA MANUAL]","",IFERROR(SUMPRODUCT((nNIA=Y257)*(nCUENTA=1)*(COUNTIF(CONFIG_ASIGNATURAS!$B$7:$B$27,nASIG)&gt;0)*(nNOTA))/SUMPRODUCT((nNIA=Y257)*(nCUENTA=1)*(COUNTIF(CONFIG_ASIGNATURAS!$B$7:$B$27,nASIG)&gt;0)*1),"")))</f>
        <v/>
      </c>
      <c r="AF257" t="str">
        <f>IF(AE257="","",IF(AE257="[FÓRMULA MANUAL]","",IFERROR(AVERAGEIFS(nNOTA,nNIA,AE257,nCUENTA,1,nASIG,"Análisis"),"")))</f>
        <v/>
      </c>
      <c r="AG257" t="str">
        <f>IF(AE257="","",IF(AE257="[FÓRMULA MANUAL]","",IFERROR(AVERAGEIFS(nNOTA,nNIA,AE257,nCUENTA,1,nASIG,"Orquesta/Banda/Conjunto"),"")))</f>
        <v/>
      </c>
      <c r="AH257" t="str">
        <f>IF(AE257="","",IF(AE257="[FÓRMULA MANUAL]","",IFERROR(AVERAGEIFS(nNOTA,nNIA,AE257,nCUENTA,1,nASIG,"Música de Cámara"),"")))</f>
        <v/>
      </c>
      <c r="AI257" t="str">
        <f>IF(AE257="","",IF(AE257="[FÓRMULA MANUAL]","",IFERROR(SUMPRODUCT((nNIA=AE257)*(nCUENTA=1)*(COUNTIF(CONFIG_ASIGNATURAS!$B$7:$B$27,nASIG)&gt;0)*(nNOTA))/SUMPRODUCT((nNIA=AE257)*(nCUENTA=1)*(COUNTIF(CONFIG_ASIGNATURAS!$B$7:$B$27,nASIG)&gt;0)*1),"")))</f>
        <v/>
      </c>
    </row>
    <row r="258" spans="2:35" x14ac:dyDescent="0.2">
      <c r="B258" t="str">
        <f>IF(A258="","",IF(A258="[FÓRMULA MANUAL]","",IFERROR(AVERAGEIFS(nNOTA,nNIA,A258,nCUENTA,1,nASIG,"Lenguaje Musical"),"")))</f>
        <v/>
      </c>
      <c r="C258" t="str">
        <f>IF(A258="","",IF(A258="[FÓRMULA MANUAL]","",IFERROR(AVERAGEIFS(nNOTA,nNIA,A258,nCUENTA,1,nASIG,"Orquesta/Banda/Conjunto"),"")))</f>
        <v/>
      </c>
      <c r="D258" t="str">
        <f>IF(A258="","",IF(A258="[FÓRMULA MANUAL]","",IFERROR(AVERAGEIFS(nNOTA,nNIA,A258,nCUENTA,1,nASIG,"Conjunto"),"")))</f>
        <v/>
      </c>
      <c r="E258" t="str">
        <f>IF(A258="","",IF(A258="[FÓRMULA MANUAL]","",IFERROR(SUMPRODUCT((nNIA=A258)*(nCUENTA=1)*(COUNTIF(CONFIG_ASIGNATURAS!$B$7:$B$27,nASIG)&gt;0)*(nNOTA))/SUMPRODUCT((nNIA=A258)*(nCUENTA=1)*(COUNTIF(CONFIG_ASIGNATURAS!$B$7:$B$27,nASIG)&gt;0)*1),"")))</f>
        <v/>
      </c>
      <c r="H258" t="str">
        <f>IF(G258="","",IF(G258="[FÓRMULA MANUAL]","",IFERROR(AVERAGEIFS(nNOTA,nNIA,G258,nCUENTA,1,nASIG,"Lenguaje Musical"),"")))</f>
        <v/>
      </c>
      <c r="I258" t="str">
        <f>IF(G258="","",IF(G258="[FÓRMULA MANUAL]","",IFERROR(AVERAGEIFS(nNOTA,nNIA,G258,nCUENTA,1,nASIG,"Orquesta/Banda/Conjunto"),"")))</f>
        <v/>
      </c>
      <c r="J258" t="str">
        <f>IF(G258="","",IF(G258="[FÓRMULA MANUAL]","",IFERROR(AVERAGEIFS(nNOTA,nNIA,G258,nCUENTA,1,nASIG,"Conjunto"),"")))</f>
        <v/>
      </c>
      <c r="K258" t="str">
        <f>IF(G258="","",IF(G258="[FÓRMULA MANUAL]","",IFERROR(SUMPRODUCT((nNIA=G258)*(nCUENTA=1)*(COUNTIF(CONFIG_ASIGNATURAS!$B$7:$B$27,nASIG)&gt;0)*(nNOTA))/SUMPRODUCT((nNIA=G258)*(nCUENTA=1)*(COUNTIF(CONFIG_ASIGNATURAS!$B$7:$B$27,nASIG)&gt;0)*1),"")))</f>
        <v/>
      </c>
      <c r="N258" t="str">
        <f>IF(M258="","",IF(M258="[FÓRMULA MANUAL]","",IFERROR(AVERAGEIFS(nNOTA,nNIA,M258,nCUENTA,1,nASIG,"Armonía"),"")))</f>
        <v/>
      </c>
      <c r="O258" t="str">
        <f>IF(M258="","",IF(M258="[FÓRMULA MANUAL]","",IFERROR(AVERAGEIFS(nNOTA,nNIA,M258,nCUENTA,1,nASIG,"Orquesta/Banda/Conjunto"),"")))</f>
        <v/>
      </c>
      <c r="P258" t="str">
        <f>IF(M258="","",IF(M258="[FÓRMULA MANUAL]","",IFERROR(AVERAGEIFS(nNOTA,nNIA,M258,nCUENTA,1,nASIG,"Música de Cámara"),"")))</f>
        <v/>
      </c>
      <c r="Q258" t="str">
        <f>IF(M258="","",IF(M258="[FÓRMULA MANUAL]","",IFERROR(SUMPRODUCT((nNIA=M258)*(nCUENTA=1)*(COUNTIF(CONFIG_ASIGNATURAS!$B$7:$B$27,nASIG)&gt;0)*(nNOTA))/SUMPRODUCT((nNIA=M258)*(nCUENTA=1)*(COUNTIF(CONFIG_ASIGNATURAS!$B$7:$B$27,nASIG)&gt;0)*1),"")))</f>
        <v/>
      </c>
      <c r="T258" t="str">
        <f>IF(S258="","",IF(S258="[FÓRMULA MANUAL]","",IFERROR(AVERAGEIFS(nNOTA,nNIA,S258,nCUENTA,1,nASIG,"Armonía"),"")))</f>
        <v/>
      </c>
      <c r="U258" t="str">
        <f>IF(S258="","",IF(S258="[FÓRMULA MANUAL]","",IFERROR(AVERAGEIFS(nNOTA,nNIA,S258,nCUENTA,1,nASIG,"Orquesta/Banda/Conjunto"),"")))</f>
        <v/>
      </c>
      <c r="V258" t="str">
        <f>IF(S258="","",IF(S258="[FÓRMULA MANUAL]","",IFERROR(AVERAGEIFS(nNOTA,nNIA,S258,nCUENTA,1,nASIG,"Música de Cámara"),"")))</f>
        <v/>
      </c>
      <c r="W258" t="str">
        <f>IF(S258="","",IF(S258="[FÓRMULA MANUAL]","",IFERROR(SUMPRODUCT((nNIA=S258)*(nCUENTA=1)*(COUNTIF(CONFIG_ASIGNATURAS!$B$7:$B$27,nASIG)&gt;0)*(nNOTA))/SUMPRODUCT((nNIA=S258)*(nCUENTA=1)*(COUNTIF(CONFIG_ASIGNATURAS!$B$7:$B$27,nASIG)&gt;0)*1),"")))</f>
        <v/>
      </c>
      <c r="Z258" t="str">
        <f>IF(Y258="","",IF(Y258="[FÓRMULA MANUAL]","",IFERROR(AVERAGEIFS(nNOTA,nNIA,Y258,nCUENTA,1,nASIG,"Análisis"),"")))</f>
        <v/>
      </c>
      <c r="AA258" t="str">
        <f>IF(Y258="","",IF(Y258="[FÓRMULA MANUAL]","",IFERROR(AVERAGEIFS(nNOTA,nNIA,Y258,nCUENTA,1,nASIG,"Orquesta/Banda/Conjunto"),"")))</f>
        <v/>
      </c>
      <c r="AB258" t="str">
        <f>IF(Y258="","",IF(Y258="[FÓRMULA MANUAL]","",IFERROR(AVERAGEIFS(nNOTA,nNIA,Y258,nCUENTA,1,nASIG,"Música de Cámara"),"")))</f>
        <v/>
      </c>
      <c r="AC258" t="str">
        <f>IF(Y258="","",IF(Y258="[FÓRMULA MANUAL]","",IFERROR(SUMPRODUCT((nNIA=Y258)*(nCUENTA=1)*(COUNTIF(CONFIG_ASIGNATURAS!$B$7:$B$27,nASIG)&gt;0)*(nNOTA))/SUMPRODUCT((nNIA=Y258)*(nCUENTA=1)*(COUNTIF(CONFIG_ASIGNATURAS!$B$7:$B$27,nASIG)&gt;0)*1),"")))</f>
        <v/>
      </c>
      <c r="AF258" t="str">
        <f>IF(AE258="","",IF(AE258="[FÓRMULA MANUAL]","",IFERROR(AVERAGEIFS(nNOTA,nNIA,AE258,nCUENTA,1,nASIG,"Análisis"),"")))</f>
        <v/>
      </c>
      <c r="AG258" t="str">
        <f>IF(AE258="","",IF(AE258="[FÓRMULA MANUAL]","",IFERROR(AVERAGEIFS(nNOTA,nNIA,AE258,nCUENTA,1,nASIG,"Orquesta/Banda/Conjunto"),"")))</f>
        <v/>
      </c>
      <c r="AH258" t="str">
        <f>IF(AE258="","",IF(AE258="[FÓRMULA MANUAL]","",IFERROR(AVERAGEIFS(nNOTA,nNIA,AE258,nCUENTA,1,nASIG,"Música de Cámara"),"")))</f>
        <v/>
      </c>
      <c r="AI258" t="str">
        <f>IF(AE258="","",IF(AE258="[FÓRMULA MANUAL]","",IFERROR(SUMPRODUCT((nNIA=AE258)*(nCUENTA=1)*(COUNTIF(CONFIG_ASIGNATURAS!$B$7:$B$27,nASIG)&gt;0)*(nNOTA))/SUMPRODUCT((nNIA=AE258)*(nCUENTA=1)*(COUNTIF(CONFIG_ASIGNATURAS!$B$7:$B$27,nASIG)&gt;0)*1),"")))</f>
        <v/>
      </c>
    </row>
    <row r="259" spans="2:35" x14ac:dyDescent="0.2">
      <c r="B259" t="str">
        <f>IF(A259="","",IF(A259="[FÓRMULA MANUAL]","",IFERROR(AVERAGEIFS(nNOTA,nNIA,A259,nCUENTA,1,nASIG,"Lenguaje Musical"),"")))</f>
        <v/>
      </c>
      <c r="C259" t="str">
        <f>IF(A259="","",IF(A259="[FÓRMULA MANUAL]","",IFERROR(AVERAGEIFS(nNOTA,nNIA,A259,nCUENTA,1,nASIG,"Orquesta/Banda/Conjunto"),"")))</f>
        <v/>
      </c>
      <c r="D259" t="str">
        <f>IF(A259="","",IF(A259="[FÓRMULA MANUAL]","",IFERROR(AVERAGEIFS(nNOTA,nNIA,A259,nCUENTA,1,nASIG,"Conjunto"),"")))</f>
        <v/>
      </c>
      <c r="E259" t="str">
        <f>IF(A259="","",IF(A259="[FÓRMULA MANUAL]","",IFERROR(SUMPRODUCT((nNIA=A259)*(nCUENTA=1)*(COUNTIF(CONFIG_ASIGNATURAS!$B$7:$B$27,nASIG)&gt;0)*(nNOTA))/SUMPRODUCT((nNIA=A259)*(nCUENTA=1)*(COUNTIF(CONFIG_ASIGNATURAS!$B$7:$B$27,nASIG)&gt;0)*1),"")))</f>
        <v/>
      </c>
      <c r="H259" t="str">
        <f>IF(G259="","",IF(G259="[FÓRMULA MANUAL]","",IFERROR(AVERAGEIFS(nNOTA,nNIA,G259,nCUENTA,1,nASIG,"Lenguaje Musical"),"")))</f>
        <v/>
      </c>
      <c r="I259" t="str">
        <f>IF(G259="","",IF(G259="[FÓRMULA MANUAL]","",IFERROR(AVERAGEIFS(nNOTA,nNIA,G259,nCUENTA,1,nASIG,"Orquesta/Banda/Conjunto"),"")))</f>
        <v/>
      </c>
      <c r="J259" t="str">
        <f>IF(G259="","",IF(G259="[FÓRMULA MANUAL]","",IFERROR(AVERAGEIFS(nNOTA,nNIA,G259,nCUENTA,1,nASIG,"Conjunto"),"")))</f>
        <v/>
      </c>
      <c r="K259" t="str">
        <f>IF(G259="","",IF(G259="[FÓRMULA MANUAL]","",IFERROR(SUMPRODUCT((nNIA=G259)*(nCUENTA=1)*(COUNTIF(CONFIG_ASIGNATURAS!$B$7:$B$27,nASIG)&gt;0)*(nNOTA))/SUMPRODUCT((nNIA=G259)*(nCUENTA=1)*(COUNTIF(CONFIG_ASIGNATURAS!$B$7:$B$27,nASIG)&gt;0)*1),"")))</f>
        <v/>
      </c>
      <c r="N259" t="str">
        <f>IF(M259="","",IF(M259="[FÓRMULA MANUAL]","",IFERROR(AVERAGEIFS(nNOTA,nNIA,M259,nCUENTA,1,nASIG,"Armonía"),"")))</f>
        <v/>
      </c>
      <c r="O259" t="str">
        <f>IF(M259="","",IF(M259="[FÓRMULA MANUAL]","",IFERROR(AVERAGEIFS(nNOTA,nNIA,M259,nCUENTA,1,nASIG,"Orquesta/Banda/Conjunto"),"")))</f>
        <v/>
      </c>
      <c r="P259" t="str">
        <f>IF(M259="","",IF(M259="[FÓRMULA MANUAL]","",IFERROR(AVERAGEIFS(nNOTA,nNIA,M259,nCUENTA,1,nASIG,"Música de Cámara"),"")))</f>
        <v/>
      </c>
      <c r="Q259" t="str">
        <f>IF(M259="","",IF(M259="[FÓRMULA MANUAL]","",IFERROR(SUMPRODUCT((nNIA=M259)*(nCUENTA=1)*(COUNTIF(CONFIG_ASIGNATURAS!$B$7:$B$27,nASIG)&gt;0)*(nNOTA))/SUMPRODUCT((nNIA=M259)*(nCUENTA=1)*(COUNTIF(CONFIG_ASIGNATURAS!$B$7:$B$27,nASIG)&gt;0)*1),"")))</f>
        <v/>
      </c>
      <c r="T259" t="str">
        <f>IF(S259="","",IF(S259="[FÓRMULA MANUAL]","",IFERROR(AVERAGEIFS(nNOTA,nNIA,S259,nCUENTA,1,nASIG,"Armonía"),"")))</f>
        <v/>
      </c>
      <c r="U259" t="str">
        <f>IF(S259="","",IF(S259="[FÓRMULA MANUAL]","",IFERROR(AVERAGEIFS(nNOTA,nNIA,S259,nCUENTA,1,nASIG,"Orquesta/Banda/Conjunto"),"")))</f>
        <v/>
      </c>
      <c r="V259" t="str">
        <f>IF(S259="","",IF(S259="[FÓRMULA MANUAL]","",IFERROR(AVERAGEIFS(nNOTA,nNIA,S259,nCUENTA,1,nASIG,"Música de Cámara"),"")))</f>
        <v/>
      </c>
      <c r="W259" t="str">
        <f>IF(S259="","",IF(S259="[FÓRMULA MANUAL]","",IFERROR(SUMPRODUCT((nNIA=S259)*(nCUENTA=1)*(COUNTIF(CONFIG_ASIGNATURAS!$B$7:$B$27,nASIG)&gt;0)*(nNOTA))/SUMPRODUCT((nNIA=S259)*(nCUENTA=1)*(COUNTIF(CONFIG_ASIGNATURAS!$B$7:$B$27,nASIG)&gt;0)*1),"")))</f>
        <v/>
      </c>
      <c r="Z259" t="str">
        <f>IF(Y259="","",IF(Y259="[FÓRMULA MANUAL]","",IFERROR(AVERAGEIFS(nNOTA,nNIA,Y259,nCUENTA,1,nASIG,"Análisis"),"")))</f>
        <v/>
      </c>
      <c r="AA259" t="str">
        <f>IF(Y259="","",IF(Y259="[FÓRMULA MANUAL]","",IFERROR(AVERAGEIFS(nNOTA,nNIA,Y259,nCUENTA,1,nASIG,"Orquesta/Banda/Conjunto"),"")))</f>
        <v/>
      </c>
      <c r="AB259" t="str">
        <f>IF(Y259="","",IF(Y259="[FÓRMULA MANUAL]","",IFERROR(AVERAGEIFS(nNOTA,nNIA,Y259,nCUENTA,1,nASIG,"Música de Cámara"),"")))</f>
        <v/>
      </c>
      <c r="AC259" t="str">
        <f>IF(Y259="","",IF(Y259="[FÓRMULA MANUAL]","",IFERROR(SUMPRODUCT((nNIA=Y259)*(nCUENTA=1)*(COUNTIF(CONFIG_ASIGNATURAS!$B$7:$B$27,nASIG)&gt;0)*(nNOTA))/SUMPRODUCT((nNIA=Y259)*(nCUENTA=1)*(COUNTIF(CONFIG_ASIGNATURAS!$B$7:$B$27,nASIG)&gt;0)*1),"")))</f>
        <v/>
      </c>
      <c r="AF259" t="str">
        <f>IF(AE259="","",IF(AE259="[FÓRMULA MANUAL]","",IFERROR(AVERAGEIFS(nNOTA,nNIA,AE259,nCUENTA,1,nASIG,"Análisis"),"")))</f>
        <v/>
      </c>
      <c r="AG259" t="str">
        <f>IF(AE259="","",IF(AE259="[FÓRMULA MANUAL]","",IFERROR(AVERAGEIFS(nNOTA,nNIA,AE259,nCUENTA,1,nASIG,"Orquesta/Banda/Conjunto"),"")))</f>
        <v/>
      </c>
      <c r="AH259" t="str">
        <f>IF(AE259="","",IF(AE259="[FÓRMULA MANUAL]","",IFERROR(AVERAGEIFS(nNOTA,nNIA,AE259,nCUENTA,1,nASIG,"Música de Cámara"),"")))</f>
        <v/>
      </c>
      <c r="AI259" t="str">
        <f>IF(AE259="","",IF(AE259="[FÓRMULA MANUAL]","",IFERROR(SUMPRODUCT((nNIA=AE259)*(nCUENTA=1)*(COUNTIF(CONFIG_ASIGNATURAS!$B$7:$B$27,nASIG)&gt;0)*(nNOTA))/SUMPRODUCT((nNIA=AE259)*(nCUENTA=1)*(COUNTIF(CONFIG_ASIGNATURAS!$B$7:$B$27,nASIG)&gt;0)*1),"")))</f>
        <v/>
      </c>
    </row>
    <row r="260" spans="2:35" x14ac:dyDescent="0.2">
      <c r="B260" t="str">
        <f>IF(A260="","",IF(A260="[FÓRMULA MANUAL]","",IFERROR(AVERAGEIFS(nNOTA,nNIA,A260,nCUENTA,1,nASIG,"Lenguaje Musical"),"")))</f>
        <v/>
      </c>
      <c r="C260" t="str">
        <f>IF(A260="","",IF(A260="[FÓRMULA MANUAL]","",IFERROR(AVERAGEIFS(nNOTA,nNIA,A260,nCUENTA,1,nASIG,"Orquesta/Banda/Conjunto"),"")))</f>
        <v/>
      </c>
      <c r="D260" t="str">
        <f>IF(A260="","",IF(A260="[FÓRMULA MANUAL]","",IFERROR(AVERAGEIFS(nNOTA,nNIA,A260,nCUENTA,1,nASIG,"Conjunto"),"")))</f>
        <v/>
      </c>
      <c r="E260" t="str">
        <f>IF(A260="","",IF(A260="[FÓRMULA MANUAL]","",IFERROR(SUMPRODUCT((nNIA=A260)*(nCUENTA=1)*(COUNTIF(CONFIG_ASIGNATURAS!$B$7:$B$27,nASIG)&gt;0)*(nNOTA))/SUMPRODUCT((nNIA=A260)*(nCUENTA=1)*(COUNTIF(CONFIG_ASIGNATURAS!$B$7:$B$27,nASIG)&gt;0)*1),"")))</f>
        <v/>
      </c>
      <c r="H260" t="str">
        <f>IF(G260="","",IF(G260="[FÓRMULA MANUAL]","",IFERROR(AVERAGEIFS(nNOTA,nNIA,G260,nCUENTA,1,nASIG,"Lenguaje Musical"),"")))</f>
        <v/>
      </c>
      <c r="I260" t="str">
        <f>IF(G260="","",IF(G260="[FÓRMULA MANUAL]","",IFERROR(AVERAGEIFS(nNOTA,nNIA,G260,nCUENTA,1,nASIG,"Orquesta/Banda/Conjunto"),"")))</f>
        <v/>
      </c>
      <c r="J260" t="str">
        <f>IF(G260="","",IF(G260="[FÓRMULA MANUAL]","",IFERROR(AVERAGEIFS(nNOTA,nNIA,G260,nCUENTA,1,nASIG,"Conjunto"),"")))</f>
        <v/>
      </c>
      <c r="K260" t="str">
        <f>IF(G260="","",IF(G260="[FÓRMULA MANUAL]","",IFERROR(SUMPRODUCT((nNIA=G260)*(nCUENTA=1)*(COUNTIF(CONFIG_ASIGNATURAS!$B$7:$B$27,nASIG)&gt;0)*(nNOTA))/SUMPRODUCT((nNIA=G260)*(nCUENTA=1)*(COUNTIF(CONFIG_ASIGNATURAS!$B$7:$B$27,nASIG)&gt;0)*1),"")))</f>
        <v/>
      </c>
      <c r="N260" t="str">
        <f>IF(M260="","",IF(M260="[FÓRMULA MANUAL]","",IFERROR(AVERAGEIFS(nNOTA,nNIA,M260,nCUENTA,1,nASIG,"Armonía"),"")))</f>
        <v/>
      </c>
      <c r="O260" t="str">
        <f>IF(M260="","",IF(M260="[FÓRMULA MANUAL]","",IFERROR(AVERAGEIFS(nNOTA,nNIA,M260,nCUENTA,1,nASIG,"Orquesta/Banda/Conjunto"),"")))</f>
        <v/>
      </c>
      <c r="P260" t="str">
        <f>IF(M260="","",IF(M260="[FÓRMULA MANUAL]","",IFERROR(AVERAGEIFS(nNOTA,nNIA,M260,nCUENTA,1,nASIG,"Música de Cámara"),"")))</f>
        <v/>
      </c>
      <c r="Q260" t="str">
        <f>IF(M260="","",IF(M260="[FÓRMULA MANUAL]","",IFERROR(SUMPRODUCT((nNIA=M260)*(nCUENTA=1)*(COUNTIF(CONFIG_ASIGNATURAS!$B$7:$B$27,nASIG)&gt;0)*(nNOTA))/SUMPRODUCT((nNIA=M260)*(nCUENTA=1)*(COUNTIF(CONFIG_ASIGNATURAS!$B$7:$B$27,nASIG)&gt;0)*1),"")))</f>
        <v/>
      </c>
      <c r="T260" t="str">
        <f>IF(S260="","",IF(S260="[FÓRMULA MANUAL]","",IFERROR(AVERAGEIFS(nNOTA,nNIA,S260,nCUENTA,1,nASIG,"Armonía"),"")))</f>
        <v/>
      </c>
      <c r="U260" t="str">
        <f>IF(S260="","",IF(S260="[FÓRMULA MANUAL]","",IFERROR(AVERAGEIFS(nNOTA,nNIA,S260,nCUENTA,1,nASIG,"Orquesta/Banda/Conjunto"),"")))</f>
        <v/>
      </c>
      <c r="V260" t="str">
        <f>IF(S260="","",IF(S260="[FÓRMULA MANUAL]","",IFERROR(AVERAGEIFS(nNOTA,nNIA,S260,nCUENTA,1,nASIG,"Música de Cámara"),"")))</f>
        <v/>
      </c>
      <c r="W260" t="str">
        <f>IF(S260="","",IF(S260="[FÓRMULA MANUAL]","",IFERROR(SUMPRODUCT((nNIA=S260)*(nCUENTA=1)*(COUNTIF(CONFIG_ASIGNATURAS!$B$7:$B$27,nASIG)&gt;0)*(nNOTA))/SUMPRODUCT((nNIA=S260)*(nCUENTA=1)*(COUNTIF(CONFIG_ASIGNATURAS!$B$7:$B$27,nASIG)&gt;0)*1),"")))</f>
        <v/>
      </c>
      <c r="Z260" t="str">
        <f>IF(Y260="","",IF(Y260="[FÓRMULA MANUAL]","",IFERROR(AVERAGEIFS(nNOTA,nNIA,Y260,nCUENTA,1,nASIG,"Análisis"),"")))</f>
        <v/>
      </c>
      <c r="AA260" t="str">
        <f>IF(Y260="","",IF(Y260="[FÓRMULA MANUAL]","",IFERROR(AVERAGEIFS(nNOTA,nNIA,Y260,nCUENTA,1,nASIG,"Orquesta/Banda/Conjunto"),"")))</f>
        <v/>
      </c>
      <c r="AB260" t="str">
        <f>IF(Y260="","",IF(Y260="[FÓRMULA MANUAL]","",IFERROR(AVERAGEIFS(nNOTA,nNIA,Y260,nCUENTA,1,nASIG,"Música de Cámara"),"")))</f>
        <v/>
      </c>
      <c r="AC260" t="str">
        <f>IF(Y260="","",IF(Y260="[FÓRMULA MANUAL]","",IFERROR(SUMPRODUCT((nNIA=Y260)*(nCUENTA=1)*(COUNTIF(CONFIG_ASIGNATURAS!$B$7:$B$27,nASIG)&gt;0)*(nNOTA))/SUMPRODUCT((nNIA=Y260)*(nCUENTA=1)*(COUNTIF(CONFIG_ASIGNATURAS!$B$7:$B$27,nASIG)&gt;0)*1),"")))</f>
        <v/>
      </c>
      <c r="AF260" t="str">
        <f>IF(AE260="","",IF(AE260="[FÓRMULA MANUAL]","",IFERROR(AVERAGEIFS(nNOTA,nNIA,AE260,nCUENTA,1,nASIG,"Análisis"),"")))</f>
        <v/>
      </c>
      <c r="AG260" t="str">
        <f>IF(AE260="","",IF(AE260="[FÓRMULA MANUAL]","",IFERROR(AVERAGEIFS(nNOTA,nNIA,AE260,nCUENTA,1,nASIG,"Orquesta/Banda/Conjunto"),"")))</f>
        <v/>
      </c>
      <c r="AH260" t="str">
        <f>IF(AE260="","",IF(AE260="[FÓRMULA MANUAL]","",IFERROR(AVERAGEIFS(nNOTA,nNIA,AE260,nCUENTA,1,nASIG,"Música de Cámara"),"")))</f>
        <v/>
      </c>
      <c r="AI260" t="str">
        <f>IF(AE260="","",IF(AE260="[FÓRMULA MANUAL]","",IFERROR(SUMPRODUCT((nNIA=AE260)*(nCUENTA=1)*(COUNTIF(CONFIG_ASIGNATURAS!$B$7:$B$27,nASIG)&gt;0)*(nNOTA))/SUMPRODUCT((nNIA=AE260)*(nCUENTA=1)*(COUNTIF(CONFIG_ASIGNATURAS!$B$7:$B$27,nASIG)&gt;0)*1),"")))</f>
        <v/>
      </c>
    </row>
    <row r="261" spans="2:35" x14ac:dyDescent="0.2">
      <c r="B261" t="str">
        <f>IF(A261="","",IF(A261="[FÓRMULA MANUAL]","",IFERROR(AVERAGEIFS(nNOTA,nNIA,A261,nCUENTA,1,nASIG,"Lenguaje Musical"),"")))</f>
        <v/>
      </c>
      <c r="C261" t="str">
        <f>IF(A261="","",IF(A261="[FÓRMULA MANUAL]","",IFERROR(AVERAGEIFS(nNOTA,nNIA,A261,nCUENTA,1,nASIG,"Orquesta/Banda/Conjunto"),"")))</f>
        <v/>
      </c>
      <c r="D261" t="str">
        <f>IF(A261="","",IF(A261="[FÓRMULA MANUAL]","",IFERROR(AVERAGEIFS(nNOTA,nNIA,A261,nCUENTA,1,nASIG,"Conjunto"),"")))</f>
        <v/>
      </c>
      <c r="E261" t="str">
        <f>IF(A261="","",IF(A261="[FÓRMULA MANUAL]","",IFERROR(SUMPRODUCT((nNIA=A261)*(nCUENTA=1)*(COUNTIF(CONFIG_ASIGNATURAS!$B$7:$B$27,nASIG)&gt;0)*(nNOTA))/SUMPRODUCT((nNIA=A261)*(nCUENTA=1)*(COUNTIF(CONFIG_ASIGNATURAS!$B$7:$B$27,nASIG)&gt;0)*1),"")))</f>
        <v/>
      </c>
      <c r="H261" t="str">
        <f>IF(G261="","",IF(G261="[FÓRMULA MANUAL]","",IFERROR(AVERAGEIFS(nNOTA,nNIA,G261,nCUENTA,1,nASIG,"Lenguaje Musical"),"")))</f>
        <v/>
      </c>
      <c r="I261" t="str">
        <f>IF(G261="","",IF(G261="[FÓRMULA MANUAL]","",IFERROR(AVERAGEIFS(nNOTA,nNIA,G261,nCUENTA,1,nASIG,"Orquesta/Banda/Conjunto"),"")))</f>
        <v/>
      </c>
      <c r="J261" t="str">
        <f>IF(G261="","",IF(G261="[FÓRMULA MANUAL]","",IFERROR(AVERAGEIFS(nNOTA,nNIA,G261,nCUENTA,1,nASIG,"Conjunto"),"")))</f>
        <v/>
      </c>
      <c r="K261" t="str">
        <f>IF(G261="","",IF(G261="[FÓRMULA MANUAL]","",IFERROR(SUMPRODUCT((nNIA=G261)*(nCUENTA=1)*(COUNTIF(CONFIG_ASIGNATURAS!$B$7:$B$27,nASIG)&gt;0)*(nNOTA))/SUMPRODUCT((nNIA=G261)*(nCUENTA=1)*(COUNTIF(CONFIG_ASIGNATURAS!$B$7:$B$27,nASIG)&gt;0)*1),"")))</f>
        <v/>
      </c>
      <c r="N261" t="str">
        <f>IF(M261="","",IF(M261="[FÓRMULA MANUAL]","",IFERROR(AVERAGEIFS(nNOTA,nNIA,M261,nCUENTA,1,nASIG,"Armonía"),"")))</f>
        <v/>
      </c>
      <c r="O261" t="str">
        <f>IF(M261="","",IF(M261="[FÓRMULA MANUAL]","",IFERROR(AVERAGEIFS(nNOTA,nNIA,M261,nCUENTA,1,nASIG,"Orquesta/Banda/Conjunto"),"")))</f>
        <v/>
      </c>
      <c r="P261" t="str">
        <f>IF(M261="","",IF(M261="[FÓRMULA MANUAL]","",IFERROR(AVERAGEIFS(nNOTA,nNIA,M261,nCUENTA,1,nASIG,"Música de Cámara"),"")))</f>
        <v/>
      </c>
      <c r="Q261" t="str">
        <f>IF(M261="","",IF(M261="[FÓRMULA MANUAL]","",IFERROR(SUMPRODUCT((nNIA=M261)*(nCUENTA=1)*(COUNTIF(CONFIG_ASIGNATURAS!$B$7:$B$27,nASIG)&gt;0)*(nNOTA))/SUMPRODUCT((nNIA=M261)*(nCUENTA=1)*(COUNTIF(CONFIG_ASIGNATURAS!$B$7:$B$27,nASIG)&gt;0)*1),"")))</f>
        <v/>
      </c>
      <c r="T261" t="str">
        <f>IF(S261="","",IF(S261="[FÓRMULA MANUAL]","",IFERROR(AVERAGEIFS(nNOTA,nNIA,S261,nCUENTA,1,nASIG,"Armonía"),"")))</f>
        <v/>
      </c>
      <c r="U261" t="str">
        <f>IF(S261="","",IF(S261="[FÓRMULA MANUAL]","",IFERROR(AVERAGEIFS(nNOTA,nNIA,S261,nCUENTA,1,nASIG,"Orquesta/Banda/Conjunto"),"")))</f>
        <v/>
      </c>
      <c r="V261" t="str">
        <f>IF(S261="","",IF(S261="[FÓRMULA MANUAL]","",IFERROR(AVERAGEIFS(nNOTA,nNIA,S261,nCUENTA,1,nASIG,"Música de Cámara"),"")))</f>
        <v/>
      </c>
      <c r="W261" t="str">
        <f>IF(S261="","",IF(S261="[FÓRMULA MANUAL]","",IFERROR(SUMPRODUCT((nNIA=S261)*(nCUENTA=1)*(COUNTIF(CONFIG_ASIGNATURAS!$B$7:$B$27,nASIG)&gt;0)*(nNOTA))/SUMPRODUCT((nNIA=S261)*(nCUENTA=1)*(COUNTIF(CONFIG_ASIGNATURAS!$B$7:$B$27,nASIG)&gt;0)*1),"")))</f>
        <v/>
      </c>
      <c r="Z261" t="str">
        <f>IF(Y261="","",IF(Y261="[FÓRMULA MANUAL]","",IFERROR(AVERAGEIFS(nNOTA,nNIA,Y261,nCUENTA,1,nASIG,"Análisis"),"")))</f>
        <v/>
      </c>
      <c r="AA261" t="str">
        <f>IF(Y261="","",IF(Y261="[FÓRMULA MANUAL]","",IFERROR(AVERAGEIFS(nNOTA,nNIA,Y261,nCUENTA,1,nASIG,"Orquesta/Banda/Conjunto"),"")))</f>
        <v/>
      </c>
      <c r="AB261" t="str">
        <f>IF(Y261="","",IF(Y261="[FÓRMULA MANUAL]","",IFERROR(AVERAGEIFS(nNOTA,nNIA,Y261,nCUENTA,1,nASIG,"Música de Cámara"),"")))</f>
        <v/>
      </c>
      <c r="AC261" t="str">
        <f>IF(Y261="","",IF(Y261="[FÓRMULA MANUAL]","",IFERROR(SUMPRODUCT((nNIA=Y261)*(nCUENTA=1)*(COUNTIF(CONFIG_ASIGNATURAS!$B$7:$B$27,nASIG)&gt;0)*(nNOTA))/SUMPRODUCT((nNIA=Y261)*(nCUENTA=1)*(COUNTIF(CONFIG_ASIGNATURAS!$B$7:$B$27,nASIG)&gt;0)*1),"")))</f>
        <v/>
      </c>
      <c r="AF261" t="str">
        <f>IF(AE261="","",IF(AE261="[FÓRMULA MANUAL]","",IFERROR(AVERAGEIFS(nNOTA,nNIA,AE261,nCUENTA,1,nASIG,"Análisis"),"")))</f>
        <v/>
      </c>
      <c r="AG261" t="str">
        <f>IF(AE261="","",IF(AE261="[FÓRMULA MANUAL]","",IFERROR(AVERAGEIFS(nNOTA,nNIA,AE261,nCUENTA,1,nASIG,"Orquesta/Banda/Conjunto"),"")))</f>
        <v/>
      </c>
      <c r="AH261" t="str">
        <f>IF(AE261="","",IF(AE261="[FÓRMULA MANUAL]","",IFERROR(AVERAGEIFS(nNOTA,nNIA,AE261,nCUENTA,1,nASIG,"Música de Cámara"),"")))</f>
        <v/>
      </c>
      <c r="AI261" t="str">
        <f>IF(AE261="","",IF(AE261="[FÓRMULA MANUAL]","",IFERROR(SUMPRODUCT((nNIA=AE261)*(nCUENTA=1)*(COUNTIF(CONFIG_ASIGNATURAS!$B$7:$B$27,nASIG)&gt;0)*(nNOTA))/SUMPRODUCT((nNIA=AE261)*(nCUENTA=1)*(COUNTIF(CONFIG_ASIGNATURAS!$B$7:$B$27,nASIG)&gt;0)*1),"")))</f>
        <v/>
      </c>
    </row>
    <row r="262" spans="2:35" x14ac:dyDescent="0.2">
      <c r="B262" t="str">
        <f>IF(A262="","",IF(A262="[FÓRMULA MANUAL]","",IFERROR(AVERAGEIFS(nNOTA,nNIA,A262,nCUENTA,1,nASIG,"Lenguaje Musical"),"")))</f>
        <v/>
      </c>
      <c r="C262" t="str">
        <f>IF(A262="","",IF(A262="[FÓRMULA MANUAL]","",IFERROR(AVERAGEIFS(nNOTA,nNIA,A262,nCUENTA,1,nASIG,"Orquesta/Banda/Conjunto"),"")))</f>
        <v/>
      </c>
      <c r="D262" t="str">
        <f>IF(A262="","",IF(A262="[FÓRMULA MANUAL]","",IFERROR(AVERAGEIFS(nNOTA,nNIA,A262,nCUENTA,1,nASIG,"Conjunto"),"")))</f>
        <v/>
      </c>
      <c r="E262" t="str">
        <f>IF(A262="","",IF(A262="[FÓRMULA MANUAL]","",IFERROR(SUMPRODUCT((nNIA=A262)*(nCUENTA=1)*(COUNTIF(CONFIG_ASIGNATURAS!$B$7:$B$27,nASIG)&gt;0)*(nNOTA))/SUMPRODUCT((nNIA=A262)*(nCUENTA=1)*(COUNTIF(CONFIG_ASIGNATURAS!$B$7:$B$27,nASIG)&gt;0)*1),"")))</f>
        <v/>
      </c>
      <c r="H262" t="str">
        <f>IF(G262="","",IF(G262="[FÓRMULA MANUAL]","",IFERROR(AVERAGEIFS(nNOTA,nNIA,G262,nCUENTA,1,nASIG,"Lenguaje Musical"),"")))</f>
        <v/>
      </c>
      <c r="I262" t="str">
        <f>IF(G262="","",IF(G262="[FÓRMULA MANUAL]","",IFERROR(AVERAGEIFS(nNOTA,nNIA,G262,nCUENTA,1,nASIG,"Orquesta/Banda/Conjunto"),"")))</f>
        <v/>
      </c>
      <c r="J262" t="str">
        <f>IF(G262="","",IF(G262="[FÓRMULA MANUAL]","",IFERROR(AVERAGEIFS(nNOTA,nNIA,G262,nCUENTA,1,nASIG,"Conjunto"),"")))</f>
        <v/>
      </c>
      <c r="K262" t="str">
        <f>IF(G262="","",IF(G262="[FÓRMULA MANUAL]","",IFERROR(SUMPRODUCT((nNIA=G262)*(nCUENTA=1)*(COUNTIF(CONFIG_ASIGNATURAS!$B$7:$B$27,nASIG)&gt;0)*(nNOTA))/SUMPRODUCT((nNIA=G262)*(nCUENTA=1)*(COUNTIF(CONFIG_ASIGNATURAS!$B$7:$B$27,nASIG)&gt;0)*1),"")))</f>
        <v/>
      </c>
      <c r="N262" t="str">
        <f>IF(M262="","",IF(M262="[FÓRMULA MANUAL]","",IFERROR(AVERAGEIFS(nNOTA,nNIA,M262,nCUENTA,1,nASIG,"Armonía"),"")))</f>
        <v/>
      </c>
      <c r="O262" t="str">
        <f>IF(M262="","",IF(M262="[FÓRMULA MANUAL]","",IFERROR(AVERAGEIFS(nNOTA,nNIA,M262,nCUENTA,1,nASIG,"Orquesta/Banda/Conjunto"),"")))</f>
        <v/>
      </c>
      <c r="P262" t="str">
        <f>IF(M262="","",IF(M262="[FÓRMULA MANUAL]","",IFERROR(AVERAGEIFS(nNOTA,nNIA,M262,nCUENTA,1,nASIG,"Música de Cámara"),"")))</f>
        <v/>
      </c>
      <c r="Q262" t="str">
        <f>IF(M262="","",IF(M262="[FÓRMULA MANUAL]","",IFERROR(SUMPRODUCT((nNIA=M262)*(nCUENTA=1)*(COUNTIF(CONFIG_ASIGNATURAS!$B$7:$B$27,nASIG)&gt;0)*(nNOTA))/SUMPRODUCT((nNIA=M262)*(nCUENTA=1)*(COUNTIF(CONFIG_ASIGNATURAS!$B$7:$B$27,nASIG)&gt;0)*1),"")))</f>
        <v/>
      </c>
      <c r="T262" t="str">
        <f>IF(S262="","",IF(S262="[FÓRMULA MANUAL]","",IFERROR(AVERAGEIFS(nNOTA,nNIA,S262,nCUENTA,1,nASIG,"Armonía"),"")))</f>
        <v/>
      </c>
      <c r="U262" t="str">
        <f>IF(S262="","",IF(S262="[FÓRMULA MANUAL]","",IFERROR(AVERAGEIFS(nNOTA,nNIA,S262,nCUENTA,1,nASIG,"Orquesta/Banda/Conjunto"),"")))</f>
        <v/>
      </c>
      <c r="V262" t="str">
        <f>IF(S262="","",IF(S262="[FÓRMULA MANUAL]","",IFERROR(AVERAGEIFS(nNOTA,nNIA,S262,nCUENTA,1,nASIG,"Música de Cámara"),"")))</f>
        <v/>
      </c>
      <c r="W262" t="str">
        <f>IF(S262="","",IF(S262="[FÓRMULA MANUAL]","",IFERROR(SUMPRODUCT((nNIA=S262)*(nCUENTA=1)*(COUNTIF(CONFIG_ASIGNATURAS!$B$7:$B$27,nASIG)&gt;0)*(nNOTA))/SUMPRODUCT((nNIA=S262)*(nCUENTA=1)*(COUNTIF(CONFIG_ASIGNATURAS!$B$7:$B$27,nASIG)&gt;0)*1),"")))</f>
        <v/>
      </c>
      <c r="Z262" t="str">
        <f>IF(Y262="","",IF(Y262="[FÓRMULA MANUAL]","",IFERROR(AVERAGEIFS(nNOTA,nNIA,Y262,nCUENTA,1,nASIG,"Análisis"),"")))</f>
        <v/>
      </c>
      <c r="AA262" t="str">
        <f>IF(Y262="","",IF(Y262="[FÓRMULA MANUAL]","",IFERROR(AVERAGEIFS(nNOTA,nNIA,Y262,nCUENTA,1,nASIG,"Orquesta/Banda/Conjunto"),"")))</f>
        <v/>
      </c>
      <c r="AB262" t="str">
        <f>IF(Y262="","",IF(Y262="[FÓRMULA MANUAL]","",IFERROR(AVERAGEIFS(nNOTA,nNIA,Y262,nCUENTA,1,nASIG,"Música de Cámara"),"")))</f>
        <v/>
      </c>
      <c r="AC262" t="str">
        <f>IF(Y262="","",IF(Y262="[FÓRMULA MANUAL]","",IFERROR(SUMPRODUCT((nNIA=Y262)*(nCUENTA=1)*(COUNTIF(CONFIG_ASIGNATURAS!$B$7:$B$27,nASIG)&gt;0)*(nNOTA))/SUMPRODUCT((nNIA=Y262)*(nCUENTA=1)*(COUNTIF(CONFIG_ASIGNATURAS!$B$7:$B$27,nASIG)&gt;0)*1),"")))</f>
        <v/>
      </c>
      <c r="AF262" t="str">
        <f>IF(AE262="","",IF(AE262="[FÓRMULA MANUAL]","",IFERROR(AVERAGEIFS(nNOTA,nNIA,AE262,nCUENTA,1,nASIG,"Análisis"),"")))</f>
        <v/>
      </c>
      <c r="AG262" t="str">
        <f>IF(AE262="","",IF(AE262="[FÓRMULA MANUAL]","",IFERROR(AVERAGEIFS(nNOTA,nNIA,AE262,nCUENTA,1,nASIG,"Orquesta/Banda/Conjunto"),"")))</f>
        <v/>
      </c>
      <c r="AH262" t="str">
        <f>IF(AE262="","",IF(AE262="[FÓRMULA MANUAL]","",IFERROR(AVERAGEIFS(nNOTA,nNIA,AE262,nCUENTA,1,nASIG,"Música de Cámara"),"")))</f>
        <v/>
      </c>
      <c r="AI262" t="str">
        <f>IF(AE262="","",IF(AE262="[FÓRMULA MANUAL]","",IFERROR(SUMPRODUCT((nNIA=AE262)*(nCUENTA=1)*(COUNTIF(CONFIG_ASIGNATURAS!$B$7:$B$27,nASIG)&gt;0)*(nNOTA))/SUMPRODUCT((nNIA=AE262)*(nCUENTA=1)*(COUNTIF(CONFIG_ASIGNATURAS!$B$7:$B$27,nASIG)&gt;0)*1),"")))</f>
        <v/>
      </c>
    </row>
    <row r="263" spans="2:35" x14ac:dyDescent="0.2">
      <c r="B263" t="str">
        <f>IF(A263="","",IF(A263="[FÓRMULA MANUAL]","",IFERROR(AVERAGEIFS(nNOTA,nNIA,A263,nCUENTA,1,nASIG,"Lenguaje Musical"),"")))</f>
        <v/>
      </c>
      <c r="C263" t="str">
        <f>IF(A263="","",IF(A263="[FÓRMULA MANUAL]","",IFERROR(AVERAGEIFS(nNOTA,nNIA,A263,nCUENTA,1,nASIG,"Orquesta/Banda/Conjunto"),"")))</f>
        <v/>
      </c>
      <c r="D263" t="str">
        <f>IF(A263="","",IF(A263="[FÓRMULA MANUAL]","",IFERROR(AVERAGEIFS(nNOTA,nNIA,A263,nCUENTA,1,nASIG,"Conjunto"),"")))</f>
        <v/>
      </c>
      <c r="E263" t="str">
        <f>IF(A263="","",IF(A263="[FÓRMULA MANUAL]","",IFERROR(SUMPRODUCT((nNIA=A263)*(nCUENTA=1)*(COUNTIF(CONFIG_ASIGNATURAS!$B$7:$B$27,nASIG)&gt;0)*(nNOTA))/SUMPRODUCT((nNIA=A263)*(nCUENTA=1)*(COUNTIF(CONFIG_ASIGNATURAS!$B$7:$B$27,nASIG)&gt;0)*1),"")))</f>
        <v/>
      </c>
      <c r="H263" t="str">
        <f>IF(G263="","",IF(G263="[FÓRMULA MANUAL]","",IFERROR(AVERAGEIFS(nNOTA,nNIA,G263,nCUENTA,1,nASIG,"Lenguaje Musical"),"")))</f>
        <v/>
      </c>
      <c r="I263" t="str">
        <f>IF(G263="","",IF(G263="[FÓRMULA MANUAL]","",IFERROR(AVERAGEIFS(nNOTA,nNIA,G263,nCUENTA,1,nASIG,"Orquesta/Banda/Conjunto"),"")))</f>
        <v/>
      </c>
      <c r="J263" t="str">
        <f>IF(G263="","",IF(G263="[FÓRMULA MANUAL]","",IFERROR(AVERAGEIFS(nNOTA,nNIA,G263,nCUENTA,1,nASIG,"Conjunto"),"")))</f>
        <v/>
      </c>
      <c r="K263" t="str">
        <f>IF(G263="","",IF(G263="[FÓRMULA MANUAL]","",IFERROR(SUMPRODUCT((nNIA=G263)*(nCUENTA=1)*(COUNTIF(CONFIG_ASIGNATURAS!$B$7:$B$27,nASIG)&gt;0)*(nNOTA))/SUMPRODUCT((nNIA=G263)*(nCUENTA=1)*(COUNTIF(CONFIG_ASIGNATURAS!$B$7:$B$27,nASIG)&gt;0)*1),"")))</f>
        <v/>
      </c>
      <c r="N263" t="str">
        <f>IF(M263="","",IF(M263="[FÓRMULA MANUAL]","",IFERROR(AVERAGEIFS(nNOTA,nNIA,M263,nCUENTA,1,nASIG,"Armonía"),"")))</f>
        <v/>
      </c>
      <c r="O263" t="str">
        <f>IF(M263="","",IF(M263="[FÓRMULA MANUAL]","",IFERROR(AVERAGEIFS(nNOTA,nNIA,M263,nCUENTA,1,nASIG,"Orquesta/Banda/Conjunto"),"")))</f>
        <v/>
      </c>
      <c r="P263" t="str">
        <f>IF(M263="","",IF(M263="[FÓRMULA MANUAL]","",IFERROR(AVERAGEIFS(nNOTA,nNIA,M263,nCUENTA,1,nASIG,"Música de Cámara"),"")))</f>
        <v/>
      </c>
      <c r="Q263" t="str">
        <f>IF(M263="","",IF(M263="[FÓRMULA MANUAL]","",IFERROR(SUMPRODUCT((nNIA=M263)*(nCUENTA=1)*(COUNTIF(CONFIG_ASIGNATURAS!$B$7:$B$27,nASIG)&gt;0)*(nNOTA))/SUMPRODUCT((nNIA=M263)*(nCUENTA=1)*(COUNTIF(CONFIG_ASIGNATURAS!$B$7:$B$27,nASIG)&gt;0)*1),"")))</f>
        <v/>
      </c>
      <c r="T263" t="str">
        <f>IF(S263="","",IF(S263="[FÓRMULA MANUAL]","",IFERROR(AVERAGEIFS(nNOTA,nNIA,S263,nCUENTA,1,nASIG,"Armonía"),"")))</f>
        <v/>
      </c>
      <c r="U263" t="str">
        <f>IF(S263="","",IF(S263="[FÓRMULA MANUAL]","",IFERROR(AVERAGEIFS(nNOTA,nNIA,S263,nCUENTA,1,nASIG,"Orquesta/Banda/Conjunto"),"")))</f>
        <v/>
      </c>
      <c r="V263" t="str">
        <f>IF(S263="","",IF(S263="[FÓRMULA MANUAL]","",IFERROR(AVERAGEIFS(nNOTA,nNIA,S263,nCUENTA,1,nASIG,"Música de Cámara"),"")))</f>
        <v/>
      </c>
      <c r="W263" t="str">
        <f>IF(S263="","",IF(S263="[FÓRMULA MANUAL]","",IFERROR(SUMPRODUCT((nNIA=S263)*(nCUENTA=1)*(COUNTIF(CONFIG_ASIGNATURAS!$B$7:$B$27,nASIG)&gt;0)*(nNOTA))/SUMPRODUCT((nNIA=S263)*(nCUENTA=1)*(COUNTIF(CONFIG_ASIGNATURAS!$B$7:$B$27,nASIG)&gt;0)*1),"")))</f>
        <v/>
      </c>
      <c r="Z263" t="str">
        <f>IF(Y263="","",IF(Y263="[FÓRMULA MANUAL]","",IFERROR(AVERAGEIFS(nNOTA,nNIA,Y263,nCUENTA,1,nASIG,"Análisis"),"")))</f>
        <v/>
      </c>
      <c r="AA263" t="str">
        <f>IF(Y263="","",IF(Y263="[FÓRMULA MANUAL]","",IFERROR(AVERAGEIFS(nNOTA,nNIA,Y263,nCUENTA,1,nASIG,"Orquesta/Banda/Conjunto"),"")))</f>
        <v/>
      </c>
      <c r="AB263" t="str">
        <f>IF(Y263="","",IF(Y263="[FÓRMULA MANUAL]","",IFERROR(AVERAGEIFS(nNOTA,nNIA,Y263,nCUENTA,1,nASIG,"Música de Cámara"),"")))</f>
        <v/>
      </c>
      <c r="AC263" t="str">
        <f>IF(Y263="","",IF(Y263="[FÓRMULA MANUAL]","",IFERROR(SUMPRODUCT((nNIA=Y263)*(nCUENTA=1)*(COUNTIF(CONFIG_ASIGNATURAS!$B$7:$B$27,nASIG)&gt;0)*(nNOTA))/SUMPRODUCT((nNIA=Y263)*(nCUENTA=1)*(COUNTIF(CONFIG_ASIGNATURAS!$B$7:$B$27,nASIG)&gt;0)*1),"")))</f>
        <v/>
      </c>
      <c r="AF263" t="str">
        <f>IF(AE263="","",IF(AE263="[FÓRMULA MANUAL]","",IFERROR(AVERAGEIFS(nNOTA,nNIA,AE263,nCUENTA,1,nASIG,"Análisis"),"")))</f>
        <v/>
      </c>
      <c r="AG263" t="str">
        <f>IF(AE263="","",IF(AE263="[FÓRMULA MANUAL]","",IFERROR(AVERAGEIFS(nNOTA,nNIA,AE263,nCUENTA,1,nASIG,"Orquesta/Banda/Conjunto"),"")))</f>
        <v/>
      </c>
      <c r="AH263" t="str">
        <f>IF(AE263="","",IF(AE263="[FÓRMULA MANUAL]","",IFERROR(AVERAGEIFS(nNOTA,nNIA,AE263,nCUENTA,1,nASIG,"Música de Cámara"),"")))</f>
        <v/>
      </c>
      <c r="AI263" t="str">
        <f>IF(AE263="","",IF(AE263="[FÓRMULA MANUAL]","",IFERROR(SUMPRODUCT((nNIA=AE263)*(nCUENTA=1)*(COUNTIF(CONFIG_ASIGNATURAS!$B$7:$B$27,nASIG)&gt;0)*(nNOTA))/SUMPRODUCT((nNIA=AE263)*(nCUENTA=1)*(COUNTIF(CONFIG_ASIGNATURAS!$B$7:$B$27,nASIG)&gt;0)*1),"")))</f>
        <v/>
      </c>
    </row>
    <row r="264" spans="2:35" x14ac:dyDescent="0.2">
      <c r="B264" t="str">
        <f>IF(A264="","",IF(A264="[FÓRMULA MANUAL]","",IFERROR(AVERAGEIFS(nNOTA,nNIA,A264,nCUENTA,1,nASIG,"Lenguaje Musical"),"")))</f>
        <v/>
      </c>
      <c r="C264" t="str">
        <f>IF(A264="","",IF(A264="[FÓRMULA MANUAL]","",IFERROR(AVERAGEIFS(nNOTA,nNIA,A264,nCUENTA,1,nASIG,"Orquesta/Banda/Conjunto"),"")))</f>
        <v/>
      </c>
      <c r="D264" t="str">
        <f>IF(A264="","",IF(A264="[FÓRMULA MANUAL]","",IFERROR(AVERAGEIFS(nNOTA,nNIA,A264,nCUENTA,1,nASIG,"Conjunto"),"")))</f>
        <v/>
      </c>
      <c r="E264" t="str">
        <f>IF(A264="","",IF(A264="[FÓRMULA MANUAL]","",IFERROR(SUMPRODUCT((nNIA=A264)*(nCUENTA=1)*(COUNTIF(CONFIG_ASIGNATURAS!$B$7:$B$27,nASIG)&gt;0)*(nNOTA))/SUMPRODUCT((nNIA=A264)*(nCUENTA=1)*(COUNTIF(CONFIG_ASIGNATURAS!$B$7:$B$27,nASIG)&gt;0)*1),"")))</f>
        <v/>
      </c>
      <c r="H264" t="str">
        <f>IF(G264="","",IF(G264="[FÓRMULA MANUAL]","",IFERROR(AVERAGEIFS(nNOTA,nNIA,G264,nCUENTA,1,nASIG,"Lenguaje Musical"),"")))</f>
        <v/>
      </c>
      <c r="I264" t="str">
        <f>IF(G264="","",IF(G264="[FÓRMULA MANUAL]","",IFERROR(AVERAGEIFS(nNOTA,nNIA,G264,nCUENTA,1,nASIG,"Orquesta/Banda/Conjunto"),"")))</f>
        <v/>
      </c>
      <c r="J264" t="str">
        <f>IF(G264="","",IF(G264="[FÓRMULA MANUAL]","",IFERROR(AVERAGEIFS(nNOTA,nNIA,G264,nCUENTA,1,nASIG,"Conjunto"),"")))</f>
        <v/>
      </c>
      <c r="K264" t="str">
        <f>IF(G264="","",IF(G264="[FÓRMULA MANUAL]","",IFERROR(SUMPRODUCT((nNIA=G264)*(nCUENTA=1)*(COUNTIF(CONFIG_ASIGNATURAS!$B$7:$B$27,nASIG)&gt;0)*(nNOTA))/SUMPRODUCT((nNIA=G264)*(nCUENTA=1)*(COUNTIF(CONFIG_ASIGNATURAS!$B$7:$B$27,nASIG)&gt;0)*1),"")))</f>
        <v/>
      </c>
      <c r="N264" t="str">
        <f>IF(M264="","",IF(M264="[FÓRMULA MANUAL]","",IFERROR(AVERAGEIFS(nNOTA,nNIA,M264,nCUENTA,1,nASIG,"Armonía"),"")))</f>
        <v/>
      </c>
      <c r="O264" t="str">
        <f>IF(M264="","",IF(M264="[FÓRMULA MANUAL]","",IFERROR(AVERAGEIFS(nNOTA,nNIA,M264,nCUENTA,1,nASIG,"Orquesta/Banda/Conjunto"),"")))</f>
        <v/>
      </c>
      <c r="P264" t="str">
        <f>IF(M264="","",IF(M264="[FÓRMULA MANUAL]","",IFERROR(AVERAGEIFS(nNOTA,nNIA,M264,nCUENTA,1,nASIG,"Música de Cámara"),"")))</f>
        <v/>
      </c>
      <c r="Q264" t="str">
        <f>IF(M264="","",IF(M264="[FÓRMULA MANUAL]","",IFERROR(SUMPRODUCT((nNIA=M264)*(nCUENTA=1)*(COUNTIF(CONFIG_ASIGNATURAS!$B$7:$B$27,nASIG)&gt;0)*(nNOTA))/SUMPRODUCT((nNIA=M264)*(nCUENTA=1)*(COUNTIF(CONFIG_ASIGNATURAS!$B$7:$B$27,nASIG)&gt;0)*1),"")))</f>
        <v/>
      </c>
      <c r="T264" t="str">
        <f>IF(S264="","",IF(S264="[FÓRMULA MANUAL]","",IFERROR(AVERAGEIFS(nNOTA,nNIA,S264,nCUENTA,1,nASIG,"Armonía"),"")))</f>
        <v/>
      </c>
      <c r="U264" t="str">
        <f>IF(S264="","",IF(S264="[FÓRMULA MANUAL]","",IFERROR(AVERAGEIFS(nNOTA,nNIA,S264,nCUENTA,1,nASIG,"Orquesta/Banda/Conjunto"),"")))</f>
        <v/>
      </c>
      <c r="V264" t="str">
        <f>IF(S264="","",IF(S264="[FÓRMULA MANUAL]","",IFERROR(AVERAGEIFS(nNOTA,nNIA,S264,nCUENTA,1,nASIG,"Música de Cámara"),"")))</f>
        <v/>
      </c>
      <c r="W264" t="str">
        <f>IF(S264="","",IF(S264="[FÓRMULA MANUAL]","",IFERROR(SUMPRODUCT((nNIA=S264)*(nCUENTA=1)*(COUNTIF(CONFIG_ASIGNATURAS!$B$7:$B$27,nASIG)&gt;0)*(nNOTA))/SUMPRODUCT((nNIA=S264)*(nCUENTA=1)*(COUNTIF(CONFIG_ASIGNATURAS!$B$7:$B$27,nASIG)&gt;0)*1),"")))</f>
        <v/>
      </c>
      <c r="Z264" t="str">
        <f>IF(Y264="","",IF(Y264="[FÓRMULA MANUAL]","",IFERROR(AVERAGEIFS(nNOTA,nNIA,Y264,nCUENTA,1,nASIG,"Análisis"),"")))</f>
        <v/>
      </c>
      <c r="AA264" t="str">
        <f>IF(Y264="","",IF(Y264="[FÓRMULA MANUAL]","",IFERROR(AVERAGEIFS(nNOTA,nNIA,Y264,nCUENTA,1,nASIG,"Orquesta/Banda/Conjunto"),"")))</f>
        <v/>
      </c>
      <c r="AB264" t="str">
        <f>IF(Y264="","",IF(Y264="[FÓRMULA MANUAL]","",IFERROR(AVERAGEIFS(nNOTA,nNIA,Y264,nCUENTA,1,nASIG,"Música de Cámara"),"")))</f>
        <v/>
      </c>
      <c r="AC264" t="str">
        <f>IF(Y264="","",IF(Y264="[FÓRMULA MANUAL]","",IFERROR(SUMPRODUCT((nNIA=Y264)*(nCUENTA=1)*(COUNTIF(CONFIG_ASIGNATURAS!$B$7:$B$27,nASIG)&gt;0)*(nNOTA))/SUMPRODUCT((nNIA=Y264)*(nCUENTA=1)*(COUNTIF(CONFIG_ASIGNATURAS!$B$7:$B$27,nASIG)&gt;0)*1),"")))</f>
        <v/>
      </c>
      <c r="AF264" t="str">
        <f>IF(AE264="","",IF(AE264="[FÓRMULA MANUAL]","",IFERROR(AVERAGEIFS(nNOTA,nNIA,AE264,nCUENTA,1,nASIG,"Análisis"),"")))</f>
        <v/>
      </c>
      <c r="AG264" t="str">
        <f>IF(AE264="","",IF(AE264="[FÓRMULA MANUAL]","",IFERROR(AVERAGEIFS(nNOTA,nNIA,AE264,nCUENTA,1,nASIG,"Orquesta/Banda/Conjunto"),"")))</f>
        <v/>
      </c>
      <c r="AH264" t="str">
        <f>IF(AE264="","",IF(AE264="[FÓRMULA MANUAL]","",IFERROR(AVERAGEIFS(nNOTA,nNIA,AE264,nCUENTA,1,nASIG,"Música de Cámara"),"")))</f>
        <v/>
      </c>
      <c r="AI264" t="str">
        <f>IF(AE264="","",IF(AE264="[FÓRMULA MANUAL]","",IFERROR(SUMPRODUCT((nNIA=AE264)*(nCUENTA=1)*(COUNTIF(CONFIG_ASIGNATURAS!$B$7:$B$27,nASIG)&gt;0)*(nNOTA))/SUMPRODUCT((nNIA=AE264)*(nCUENTA=1)*(COUNTIF(CONFIG_ASIGNATURAS!$B$7:$B$27,nASIG)&gt;0)*1),"")))</f>
        <v/>
      </c>
    </row>
    <row r="265" spans="2:35" x14ac:dyDescent="0.2">
      <c r="B265" t="str">
        <f>IF(A265="","",IF(A265="[FÓRMULA MANUAL]","",IFERROR(AVERAGEIFS(nNOTA,nNIA,A265,nCUENTA,1,nASIG,"Lenguaje Musical"),"")))</f>
        <v/>
      </c>
      <c r="C265" t="str">
        <f>IF(A265="","",IF(A265="[FÓRMULA MANUAL]","",IFERROR(AVERAGEIFS(nNOTA,nNIA,A265,nCUENTA,1,nASIG,"Orquesta/Banda/Conjunto"),"")))</f>
        <v/>
      </c>
      <c r="D265" t="str">
        <f>IF(A265="","",IF(A265="[FÓRMULA MANUAL]","",IFERROR(AVERAGEIFS(nNOTA,nNIA,A265,nCUENTA,1,nASIG,"Conjunto"),"")))</f>
        <v/>
      </c>
      <c r="E265" t="str">
        <f>IF(A265="","",IF(A265="[FÓRMULA MANUAL]","",IFERROR(SUMPRODUCT((nNIA=A265)*(nCUENTA=1)*(COUNTIF(CONFIG_ASIGNATURAS!$B$7:$B$27,nASIG)&gt;0)*(nNOTA))/SUMPRODUCT((nNIA=A265)*(nCUENTA=1)*(COUNTIF(CONFIG_ASIGNATURAS!$B$7:$B$27,nASIG)&gt;0)*1),"")))</f>
        <v/>
      </c>
      <c r="H265" t="str">
        <f>IF(G265="","",IF(G265="[FÓRMULA MANUAL]","",IFERROR(AVERAGEIFS(nNOTA,nNIA,G265,nCUENTA,1,nASIG,"Lenguaje Musical"),"")))</f>
        <v/>
      </c>
      <c r="I265" t="str">
        <f>IF(G265="","",IF(G265="[FÓRMULA MANUAL]","",IFERROR(AVERAGEIFS(nNOTA,nNIA,G265,nCUENTA,1,nASIG,"Orquesta/Banda/Conjunto"),"")))</f>
        <v/>
      </c>
      <c r="J265" t="str">
        <f>IF(G265="","",IF(G265="[FÓRMULA MANUAL]","",IFERROR(AVERAGEIFS(nNOTA,nNIA,G265,nCUENTA,1,nASIG,"Conjunto"),"")))</f>
        <v/>
      </c>
      <c r="K265" t="str">
        <f>IF(G265="","",IF(G265="[FÓRMULA MANUAL]","",IFERROR(SUMPRODUCT((nNIA=G265)*(nCUENTA=1)*(COUNTIF(CONFIG_ASIGNATURAS!$B$7:$B$27,nASIG)&gt;0)*(nNOTA))/SUMPRODUCT((nNIA=G265)*(nCUENTA=1)*(COUNTIF(CONFIG_ASIGNATURAS!$B$7:$B$27,nASIG)&gt;0)*1),"")))</f>
        <v/>
      </c>
      <c r="N265" t="str">
        <f>IF(M265="","",IF(M265="[FÓRMULA MANUAL]","",IFERROR(AVERAGEIFS(nNOTA,nNIA,M265,nCUENTA,1,nASIG,"Armonía"),"")))</f>
        <v/>
      </c>
      <c r="O265" t="str">
        <f>IF(M265="","",IF(M265="[FÓRMULA MANUAL]","",IFERROR(AVERAGEIFS(nNOTA,nNIA,M265,nCUENTA,1,nASIG,"Orquesta/Banda/Conjunto"),"")))</f>
        <v/>
      </c>
      <c r="P265" t="str">
        <f>IF(M265="","",IF(M265="[FÓRMULA MANUAL]","",IFERROR(AVERAGEIFS(nNOTA,nNIA,M265,nCUENTA,1,nASIG,"Música de Cámara"),"")))</f>
        <v/>
      </c>
      <c r="Q265" t="str">
        <f>IF(M265="","",IF(M265="[FÓRMULA MANUAL]","",IFERROR(SUMPRODUCT((nNIA=M265)*(nCUENTA=1)*(COUNTIF(CONFIG_ASIGNATURAS!$B$7:$B$27,nASIG)&gt;0)*(nNOTA))/SUMPRODUCT((nNIA=M265)*(nCUENTA=1)*(COUNTIF(CONFIG_ASIGNATURAS!$B$7:$B$27,nASIG)&gt;0)*1),"")))</f>
        <v/>
      </c>
      <c r="T265" t="str">
        <f>IF(S265="","",IF(S265="[FÓRMULA MANUAL]","",IFERROR(AVERAGEIFS(nNOTA,nNIA,S265,nCUENTA,1,nASIG,"Armonía"),"")))</f>
        <v/>
      </c>
      <c r="U265" t="str">
        <f>IF(S265="","",IF(S265="[FÓRMULA MANUAL]","",IFERROR(AVERAGEIFS(nNOTA,nNIA,S265,nCUENTA,1,nASIG,"Orquesta/Banda/Conjunto"),"")))</f>
        <v/>
      </c>
      <c r="V265" t="str">
        <f>IF(S265="","",IF(S265="[FÓRMULA MANUAL]","",IFERROR(AVERAGEIFS(nNOTA,nNIA,S265,nCUENTA,1,nASIG,"Música de Cámara"),"")))</f>
        <v/>
      </c>
      <c r="W265" t="str">
        <f>IF(S265="","",IF(S265="[FÓRMULA MANUAL]","",IFERROR(SUMPRODUCT((nNIA=S265)*(nCUENTA=1)*(COUNTIF(CONFIG_ASIGNATURAS!$B$7:$B$27,nASIG)&gt;0)*(nNOTA))/SUMPRODUCT((nNIA=S265)*(nCUENTA=1)*(COUNTIF(CONFIG_ASIGNATURAS!$B$7:$B$27,nASIG)&gt;0)*1),"")))</f>
        <v/>
      </c>
      <c r="Z265" t="str">
        <f>IF(Y265="","",IF(Y265="[FÓRMULA MANUAL]","",IFERROR(AVERAGEIFS(nNOTA,nNIA,Y265,nCUENTA,1,nASIG,"Análisis"),"")))</f>
        <v/>
      </c>
      <c r="AA265" t="str">
        <f>IF(Y265="","",IF(Y265="[FÓRMULA MANUAL]","",IFERROR(AVERAGEIFS(nNOTA,nNIA,Y265,nCUENTA,1,nASIG,"Orquesta/Banda/Conjunto"),"")))</f>
        <v/>
      </c>
      <c r="AB265" t="str">
        <f>IF(Y265="","",IF(Y265="[FÓRMULA MANUAL]","",IFERROR(AVERAGEIFS(nNOTA,nNIA,Y265,nCUENTA,1,nASIG,"Música de Cámara"),"")))</f>
        <v/>
      </c>
      <c r="AC265" t="str">
        <f>IF(Y265="","",IF(Y265="[FÓRMULA MANUAL]","",IFERROR(SUMPRODUCT((nNIA=Y265)*(nCUENTA=1)*(COUNTIF(CONFIG_ASIGNATURAS!$B$7:$B$27,nASIG)&gt;0)*(nNOTA))/SUMPRODUCT((nNIA=Y265)*(nCUENTA=1)*(COUNTIF(CONFIG_ASIGNATURAS!$B$7:$B$27,nASIG)&gt;0)*1),"")))</f>
        <v/>
      </c>
      <c r="AF265" t="str">
        <f>IF(AE265="","",IF(AE265="[FÓRMULA MANUAL]","",IFERROR(AVERAGEIFS(nNOTA,nNIA,AE265,nCUENTA,1,nASIG,"Análisis"),"")))</f>
        <v/>
      </c>
      <c r="AG265" t="str">
        <f>IF(AE265="","",IF(AE265="[FÓRMULA MANUAL]","",IFERROR(AVERAGEIFS(nNOTA,nNIA,AE265,nCUENTA,1,nASIG,"Orquesta/Banda/Conjunto"),"")))</f>
        <v/>
      </c>
      <c r="AH265" t="str">
        <f>IF(AE265="","",IF(AE265="[FÓRMULA MANUAL]","",IFERROR(AVERAGEIFS(nNOTA,nNIA,AE265,nCUENTA,1,nASIG,"Música de Cámara"),"")))</f>
        <v/>
      </c>
      <c r="AI265" t="str">
        <f>IF(AE265="","",IF(AE265="[FÓRMULA MANUAL]","",IFERROR(SUMPRODUCT((nNIA=AE265)*(nCUENTA=1)*(COUNTIF(CONFIG_ASIGNATURAS!$B$7:$B$27,nASIG)&gt;0)*(nNOTA))/SUMPRODUCT((nNIA=AE265)*(nCUENTA=1)*(COUNTIF(CONFIG_ASIGNATURAS!$B$7:$B$27,nASIG)&gt;0)*1),"")))</f>
        <v/>
      </c>
    </row>
    <row r="266" spans="2:35" x14ac:dyDescent="0.2">
      <c r="B266" t="str">
        <f>IF(A266="","",IF(A266="[FÓRMULA MANUAL]","",IFERROR(AVERAGEIFS(nNOTA,nNIA,A266,nCUENTA,1,nASIG,"Lenguaje Musical"),"")))</f>
        <v/>
      </c>
      <c r="C266" t="str">
        <f>IF(A266="","",IF(A266="[FÓRMULA MANUAL]","",IFERROR(AVERAGEIFS(nNOTA,nNIA,A266,nCUENTA,1,nASIG,"Orquesta/Banda/Conjunto"),"")))</f>
        <v/>
      </c>
      <c r="D266" t="str">
        <f>IF(A266="","",IF(A266="[FÓRMULA MANUAL]","",IFERROR(AVERAGEIFS(nNOTA,nNIA,A266,nCUENTA,1,nASIG,"Conjunto"),"")))</f>
        <v/>
      </c>
      <c r="E266" t="str">
        <f>IF(A266="","",IF(A266="[FÓRMULA MANUAL]","",IFERROR(SUMPRODUCT((nNIA=A266)*(nCUENTA=1)*(COUNTIF(CONFIG_ASIGNATURAS!$B$7:$B$27,nASIG)&gt;0)*(nNOTA))/SUMPRODUCT((nNIA=A266)*(nCUENTA=1)*(COUNTIF(CONFIG_ASIGNATURAS!$B$7:$B$27,nASIG)&gt;0)*1),"")))</f>
        <v/>
      </c>
      <c r="H266" t="str">
        <f>IF(G266="","",IF(G266="[FÓRMULA MANUAL]","",IFERROR(AVERAGEIFS(nNOTA,nNIA,G266,nCUENTA,1,nASIG,"Lenguaje Musical"),"")))</f>
        <v/>
      </c>
      <c r="I266" t="str">
        <f>IF(G266="","",IF(G266="[FÓRMULA MANUAL]","",IFERROR(AVERAGEIFS(nNOTA,nNIA,G266,nCUENTA,1,nASIG,"Orquesta/Banda/Conjunto"),"")))</f>
        <v/>
      </c>
      <c r="J266" t="str">
        <f>IF(G266="","",IF(G266="[FÓRMULA MANUAL]","",IFERROR(AVERAGEIFS(nNOTA,nNIA,G266,nCUENTA,1,nASIG,"Conjunto"),"")))</f>
        <v/>
      </c>
      <c r="K266" t="str">
        <f>IF(G266="","",IF(G266="[FÓRMULA MANUAL]","",IFERROR(SUMPRODUCT((nNIA=G266)*(nCUENTA=1)*(COUNTIF(CONFIG_ASIGNATURAS!$B$7:$B$27,nASIG)&gt;0)*(nNOTA))/SUMPRODUCT((nNIA=G266)*(nCUENTA=1)*(COUNTIF(CONFIG_ASIGNATURAS!$B$7:$B$27,nASIG)&gt;0)*1),"")))</f>
        <v/>
      </c>
      <c r="N266" t="str">
        <f>IF(M266="","",IF(M266="[FÓRMULA MANUAL]","",IFERROR(AVERAGEIFS(nNOTA,nNIA,M266,nCUENTA,1,nASIG,"Armonía"),"")))</f>
        <v/>
      </c>
      <c r="O266" t="str">
        <f>IF(M266="","",IF(M266="[FÓRMULA MANUAL]","",IFERROR(AVERAGEIFS(nNOTA,nNIA,M266,nCUENTA,1,nASIG,"Orquesta/Banda/Conjunto"),"")))</f>
        <v/>
      </c>
      <c r="P266" t="str">
        <f>IF(M266="","",IF(M266="[FÓRMULA MANUAL]","",IFERROR(AVERAGEIFS(nNOTA,nNIA,M266,nCUENTA,1,nASIG,"Música de Cámara"),"")))</f>
        <v/>
      </c>
      <c r="Q266" t="str">
        <f>IF(M266="","",IF(M266="[FÓRMULA MANUAL]","",IFERROR(SUMPRODUCT((nNIA=M266)*(nCUENTA=1)*(COUNTIF(CONFIG_ASIGNATURAS!$B$7:$B$27,nASIG)&gt;0)*(nNOTA))/SUMPRODUCT((nNIA=M266)*(nCUENTA=1)*(COUNTIF(CONFIG_ASIGNATURAS!$B$7:$B$27,nASIG)&gt;0)*1),"")))</f>
        <v/>
      </c>
      <c r="T266" t="str">
        <f>IF(S266="","",IF(S266="[FÓRMULA MANUAL]","",IFERROR(AVERAGEIFS(nNOTA,nNIA,S266,nCUENTA,1,nASIG,"Armonía"),"")))</f>
        <v/>
      </c>
      <c r="U266" t="str">
        <f>IF(S266="","",IF(S266="[FÓRMULA MANUAL]","",IFERROR(AVERAGEIFS(nNOTA,nNIA,S266,nCUENTA,1,nASIG,"Orquesta/Banda/Conjunto"),"")))</f>
        <v/>
      </c>
      <c r="V266" t="str">
        <f>IF(S266="","",IF(S266="[FÓRMULA MANUAL]","",IFERROR(AVERAGEIFS(nNOTA,nNIA,S266,nCUENTA,1,nASIG,"Música de Cámara"),"")))</f>
        <v/>
      </c>
      <c r="W266" t="str">
        <f>IF(S266="","",IF(S266="[FÓRMULA MANUAL]","",IFERROR(SUMPRODUCT((nNIA=S266)*(nCUENTA=1)*(COUNTIF(CONFIG_ASIGNATURAS!$B$7:$B$27,nASIG)&gt;0)*(nNOTA))/SUMPRODUCT((nNIA=S266)*(nCUENTA=1)*(COUNTIF(CONFIG_ASIGNATURAS!$B$7:$B$27,nASIG)&gt;0)*1),"")))</f>
        <v/>
      </c>
      <c r="Z266" t="str">
        <f>IF(Y266="","",IF(Y266="[FÓRMULA MANUAL]","",IFERROR(AVERAGEIFS(nNOTA,nNIA,Y266,nCUENTA,1,nASIG,"Análisis"),"")))</f>
        <v/>
      </c>
      <c r="AA266" t="str">
        <f>IF(Y266="","",IF(Y266="[FÓRMULA MANUAL]","",IFERROR(AVERAGEIFS(nNOTA,nNIA,Y266,nCUENTA,1,nASIG,"Orquesta/Banda/Conjunto"),"")))</f>
        <v/>
      </c>
      <c r="AB266" t="str">
        <f>IF(Y266="","",IF(Y266="[FÓRMULA MANUAL]","",IFERROR(AVERAGEIFS(nNOTA,nNIA,Y266,nCUENTA,1,nASIG,"Música de Cámara"),"")))</f>
        <v/>
      </c>
      <c r="AC266" t="str">
        <f>IF(Y266="","",IF(Y266="[FÓRMULA MANUAL]","",IFERROR(SUMPRODUCT((nNIA=Y266)*(nCUENTA=1)*(COUNTIF(CONFIG_ASIGNATURAS!$B$7:$B$27,nASIG)&gt;0)*(nNOTA))/SUMPRODUCT((nNIA=Y266)*(nCUENTA=1)*(COUNTIF(CONFIG_ASIGNATURAS!$B$7:$B$27,nASIG)&gt;0)*1),"")))</f>
        <v/>
      </c>
      <c r="AF266" t="str">
        <f>IF(AE266="","",IF(AE266="[FÓRMULA MANUAL]","",IFERROR(AVERAGEIFS(nNOTA,nNIA,AE266,nCUENTA,1,nASIG,"Análisis"),"")))</f>
        <v/>
      </c>
      <c r="AG266" t="str">
        <f>IF(AE266="","",IF(AE266="[FÓRMULA MANUAL]","",IFERROR(AVERAGEIFS(nNOTA,nNIA,AE266,nCUENTA,1,nASIG,"Orquesta/Banda/Conjunto"),"")))</f>
        <v/>
      </c>
      <c r="AH266" t="str">
        <f>IF(AE266="","",IF(AE266="[FÓRMULA MANUAL]","",IFERROR(AVERAGEIFS(nNOTA,nNIA,AE266,nCUENTA,1,nASIG,"Música de Cámara"),"")))</f>
        <v/>
      </c>
      <c r="AI266" t="str">
        <f>IF(AE266="","",IF(AE266="[FÓRMULA MANUAL]","",IFERROR(SUMPRODUCT((nNIA=AE266)*(nCUENTA=1)*(COUNTIF(CONFIG_ASIGNATURAS!$B$7:$B$27,nASIG)&gt;0)*(nNOTA))/SUMPRODUCT((nNIA=AE266)*(nCUENTA=1)*(COUNTIF(CONFIG_ASIGNATURAS!$B$7:$B$27,nASIG)&gt;0)*1),"")))</f>
        <v/>
      </c>
    </row>
    <row r="267" spans="2:35" x14ac:dyDescent="0.2">
      <c r="B267" t="str">
        <f>IF(A267="","",IF(A267="[FÓRMULA MANUAL]","",IFERROR(AVERAGEIFS(nNOTA,nNIA,A267,nCUENTA,1,nASIG,"Lenguaje Musical"),"")))</f>
        <v/>
      </c>
      <c r="C267" t="str">
        <f>IF(A267="","",IF(A267="[FÓRMULA MANUAL]","",IFERROR(AVERAGEIFS(nNOTA,nNIA,A267,nCUENTA,1,nASIG,"Orquesta/Banda/Conjunto"),"")))</f>
        <v/>
      </c>
      <c r="D267" t="str">
        <f>IF(A267="","",IF(A267="[FÓRMULA MANUAL]","",IFERROR(AVERAGEIFS(nNOTA,nNIA,A267,nCUENTA,1,nASIG,"Conjunto"),"")))</f>
        <v/>
      </c>
      <c r="E267" t="str">
        <f>IF(A267="","",IF(A267="[FÓRMULA MANUAL]","",IFERROR(SUMPRODUCT((nNIA=A267)*(nCUENTA=1)*(COUNTIF(CONFIG_ASIGNATURAS!$B$7:$B$27,nASIG)&gt;0)*(nNOTA))/SUMPRODUCT((nNIA=A267)*(nCUENTA=1)*(COUNTIF(CONFIG_ASIGNATURAS!$B$7:$B$27,nASIG)&gt;0)*1),"")))</f>
        <v/>
      </c>
      <c r="H267" t="str">
        <f>IF(G267="","",IF(G267="[FÓRMULA MANUAL]","",IFERROR(AVERAGEIFS(nNOTA,nNIA,G267,nCUENTA,1,nASIG,"Lenguaje Musical"),"")))</f>
        <v/>
      </c>
      <c r="I267" t="str">
        <f>IF(G267="","",IF(G267="[FÓRMULA MANUAL]","",IFERROR(AVERAGEIFS(nNOTA,nNIA,G267,nCUENTA,1,nASIG,"Orquesta/Banda/Conjunto"),"")))</f>
        <v/>
      </c>
      <c r="J267" t="str">
        <f>IF(G267="","",IF(G267="[FÓRMULA MANUAL]","",IFERROR(AVERAGEIFS(nNOTA,nNIA,G267,nCUENTA,1,nASIG,"Conjunto"),"")))</f>
        <v/>
      </c>
      <c r="K267" t="str">
        <f>IF(G267="","",IF(G267="[FÓRMULA MANUAL]","",IFERROR(SUMPRODUCT((nNIA=G267)*(nCUENTA=1)*(COUNTIF(CONFIG_ASIGNATURAS!$B$7:$B$27,nASIG)&gt;0)*(nNOTA))/SUMPRODUCT((nNIA=G267)*(nCUENTA=1)*(COUNTIF(CONFIG_ASIGNATURAS!$B$7:$B$27,nASIG)&gt;0)*1),"")))</f>
        <v/>
      </c>
      <c r="N267" t="str">
        <f>IF(M267="","",IF(M267="[FÓRMULA MANUAL]","",IFERROR(AVERAGEIFS(nNOTA,nNIA,M267,nCUENTA,1,nASIG,"Armonía"),"")))</f>
        <v/>
      </c>
      <c r="O267" t="str">
        <f>IF(M267="","",IF(M267="[FÓRMULA MANUAL]","",IFERROR(AVERAGEIFS(nNOTA,nNIA,M267,nCUENTA,1,nASIG,"Orquesta/Banda/Conjunto"),"")))</f>
        <v/>
      </c>
      <c r="P267" t="str">
        <f>IF(M267="","",IF(M267="[FÓRMULA MANUAL]","",IFERROR(AVERAGEIFS(nNOTA,nNIA,M267,nCUENTA,1,nASIG,"Música de Cámara"),"")))</f>
        <v/>
      </c>
      <c r="Q267" t="str">
        <f>IF(M267="","",IF(M267="[FÓRMULA MANUAL]","",IFERROR(SUMPRODUCT((nNIA=M267)*(nCUENTA=1)*(COUNTIF(CONFIG_ASIGNATURAS!$B$7:$B$27,nASIG)&gt;0)*(nNOTA))/SUMPRODUCT((nNIA=M267)*(nCUENTA=1)*(COUNTIF(CONFIG_ASIGNATURAS!$B$7:$B$27,nASIG)&gt;0)*1),"")))</f>
        <v/>
      </c>
      <c r="T267" t="str">
        <f>IF(S267="","",IF(S267="[FÓRMULA MANUAL]","",IFERROR(AVERAGEIFS(nNOTA,nNIA,S267,nCUENTA,1,nASIG,"Armonía"),"")))</f>
        <v/>
      </c>
      <c r="U267" t="str">
        <f>IF(S267="","",IF(S267="[FÓRMULA MANUAL]","",IFERROR(AVERAGEIFS(nNOTA,nNIA,S267,nCUENTA,1,nASIG,"Orquesta/Banda/Conjunto"),"")))</f>
        <v/>
      </c>
      <c r="V267" t="str">
        <f>IF(S267="","",IF(S267="[FÓRMULA MANUAL]","",IFERROR(AVERAGEIFS(nNOTA,nNIA,S267,nCUENTA,1,nASIG,"Música de Cámara"),"")))</f>
        <v/>
      </c>
      <c r="W267" t="str">
        <f>IF(S267="","",IF(S267="[FÓRMULA MANUAL]","",IFERROR(SUMPRODUCT((nNIA=S267)*(nCUENTA=1)*(COUNTIF(CONFIG_ASIGNATURAS!$B$7:$B$27,nASIG)&gt;0)*(nNOTA))/SUMPRODUCT((nNIA=S267)*(nCUENTA=1)*(COUNTIF(CONFIG_ASIGNATURAS!$B$7:$B$27,nASIG)&gt;0)*1),"")))</f>
        <v/>
      </c>
      <c r="Z267" t="str">
        <f>IF(Y267="","",IF(Y267="[FÓRMULA MANUAL]","",IFERROR(AVERAGEIFS(nNOTA,nNIA,Y267,nCUENTA,1,nASIG,"Análisis"),"")))</f>
        <v/>
      </c>
      <c r="AA267" t="str">
        <f>IF(Y267="","",IF(Y267="[FÓRMULA MANUAL]","",IFERROR(AVERAGEIFS(nNOTA,nNIA,Y267,nCUENTA,1,nASIG,"Orquesta/Banda/Conjunto"),"")))</f>
        <v/>
      </c>
      <c r="AB267" t="str">
        <f>IF(Y267="","",IF(Y267="[FÓRMULA MANUAL]","",IFERROR(AVERAGEIFS(nNOTA,nNIA,Y267,nCUENTA,1,nASIG,"Música de Cámara"),"")))</f>
        <v/>
      </c>
      <c r="AC267" t="str">
        <f>IF(Y267="","",IF(Y267="[FÓRMULA MANUAL]","",IFERROR(SUMPRODUCT((nNIA=Y267)*(nCUENTA=1)*(COUNTIF(CONFIG_ASIGNATURAS!$B$7:$B$27,nASIG)&gt;0)*(nNOTA))/SUMPRODUCT((nNIA=Y267)*(nCUENTA=1)*(COUNTIF(CONFIG_ASIGNATURAS!$B$7:$B$27,nASIG)&gt;0)*1),"")))</f>
        <v/>
      </c>
      <c r="AF267" t="str">
        <f>IF(AE267="","",IF(AE267="[FÓRMULA MANUAL]","",IFERROR(AVERAGEIFS(nNOTA,nNIA,AE267,nCUENTA,1,nASIG,"Análisis"),"")))</f>
        <v/>
      </c>
      <c r="AG267" t="str">
        <f>IF(AE267="","",IF(AE267="[FÓRMULA MANUAL]","",IFERROR(AVERAGEIFS(nNOTA,nNIA,AE267,nCUENTA,1,nASIG,"Orquesta/Banda/Conjunto"),"")))</f>
        <v/>
      </c>
      <c r="AH267" t="str">
        <f>IF(AE267="","",IF(AE267="[FÓRMULA MANUAL]","",IFERROR(AVERAGEIFS(nNOTA,nNIA,AE267,nCUENTA,1,nASIG,"Música de Cámara"),"")))</f>
        <v/>
      </c>
      <c r="AI267" t="str">
        <f>IF(AE267="","",IF(AE267="[FÓRMULA MANUAL]","",IFERROR(SUMPRODUCT((nNIA=AE267)*(nCUENTA=1)*(COUNTIF(CONFIG_ASIGNATURAS!$B$7:$B$27,nASIG)&gt;0)*(nNOTA))/SUMPRODUCT((nNIA=AE267)*(nCUENTA=1)*(COUNTIF(CONFIG_ASIGNATURAS!$B$7:$B$27,nASIG)&gt;0)*1),"")))</f>
        <v/>
      </c>
    </row>
    <row r="268" spans="2:35" x14ac:dyDescent="0.2">
      <c r="B268" t="str">
        <f>IF(A268="","",IF(A268="[FÓRMULA MANUAL]","",IFERROR(AVERAGEIFS(nNOTA,nNIA,A268,nCUENTA,1,nASIG,"Lenguaje Musical"),"")))</f>
        <v/>
      </c>
      <c r="C268" t="str">
        <f>IF(A268="","",IF(A268="[FÓRMULA MANUAL]","",IFERROR(AVERAGEIFS(nNOTA,nNIA,A268,nCUENTA,1,nASIG,"Orquesta/Banda/Conjunto"),"")))</f>
        <v/>
      </c>
      <c r="D268" t="str">
        <f>IF(A268="","",IF(A268="[FÓRMULA MANUAL]","",IFERROR(AVERAGEIFS(nNOTA,nNIA,A268,nCUENTA,1,nASIG,"Conjunto"),"")))</f>
        <v/>
      </c>
      <c r="E268" t="str">
        <f>IF(A268="","",IF(A268="[FÓRMULA MANUAL]","",IFERROR(SUMPRODUCT((nNIA=A268)*(nCUENTA=1)*(COUNTIF(CONFIG_ASIGNATURAS!$B$7:$B$27,nASIG)&gt;0)*(nNOTA))/SUMPRODUCT((nNIA=A268)*(nCUENTA=1)*(COUNTIF(CONFIG_ASIGNATURAS!$B$7:$B$27,nASIG)&gt;0)*1),"")))</f>
        <v/>
      </c>
      <c r="H268" t="str">
        <f>IF(G268="","",IF(G268="[FÓRMULA MANUAL]","",IFERROR(AVERAGEIFS(nNOTA,nNIA,G268,nCUENTA,1,nASIG,"Lenguaje Musical"),"")))</f>
        <v/>
      </c>
      <c r="I268" t="str">
        <f>IF(G268="","",IF(G268="[FÓRMULA MANUAL]","",IFERROR(AVERAGEIFS(nNOTA,nNIA,G268,nCUENTA,1,nASIG,"Orquesta/Banda/Conjunto"),"")))</f>
        <v/>
      </c>
      <c r="J268" t="str">
        <f>IF(G268="","",IF(G268="[FÓRMULA MANUAL]","",IFERROR(AVERAGEIFS(nNOTA,nNIA,G268,nCUENTA,1,nASIG,"Conjunto"),"")))</f>
        <v/>
      </c>
      <c r="K268" t="str">
        <f>IF(G268="","",IF(G268="[FÓRMULA MANUAL]","",IFERROR(SUMPRODUCT((nNIA=G268)*(nCUENTA=1)*(COUNTIF(CONFIG_ASIGNATURAS!$B$7:$B$27,nASIG)&gt;0)*(nNOTA))/SUMPRODUCT((nNIA=G268)*(nCUENTA=1)*(COUNTIF(CONFIG_ASIGNATURAS!$B$7:$B$27,nASIG)&gt;0)*1),"")))</f>
        <v/>
      </c>
      <c r="N268" t="str">
        <f>IF(M268="","",IF(M268="[FÓRMULA MANUAL]","",IFERROR(AVERAGEIFS(nNOTA,nNIA,M268,nCUENTA,1,nASIG,"Armonía"),"")))</f>
        <v/>
      </c>
      <c r="O268" t="str">
        <f>IF(M268="","",IF(M268="[FÓRMULA MANUAL]","",IFERROR(AVERAGEIFS(nNOTA,nNIA,M268,nCUENTA,1,nASIG,"Orquesta/Banda/Conjunto"),"")))</f>
        <v/>
      </c>
      <c r="P268" t="str">
        <f>IF(M268="","",IF(M268="[FÓRMULA MANUAL]","",IFERROR(AVERAGEIFS(nNOTA,nNIA,M268,nCUENTA,1,nASIG,"Música de Cámara"),"")))</f>
        <v/>
      </c>
      <c r="Q268" t="str">
        <f>IF(M268="","",IF(M268="[FÓRMULA MANUAL]","",IFERROR(SUMPRODUCT((nNIA=M268)*(nCUENTA=1)*(COUNTIF(CONFIG_ASIGNATURAS!$B$7:$B$27,nASIG)&gt;0)*(nNOTA))/SUMPRODUCT((nNIA=M268)*(nCUENTA=1)*(COUNTIF(CONFIG_ASIGNATURAS!$B$7:$B$27,nASIG)&gt;0)*1),"")))</f>
        <v/>
      </c>
      <c r="T268" t="str">
        <f>IF(S268="","",IF(S268="[FÓRMULA MANUAL]","",IFERROR(AVERAGEIFS(nNOTA,nNIA,S268,nCUENTA,1,nASIG,"Armonía"),"")))</f>
        <v/>
      </c>
      <c r="U268" t="str">
        <f>IF(S268="","",IF(S268="[FÓRMULA MANUAL]","",IFERROR(AVERAGEIFS(nNOTA,nNIA,S268,nCUENTA,1,nASIG,"Orquesta/Banda/Conjunto"),"")))</f>
        <v/>
      </c>
      <c r="V268" t="str">
        <f>IF(S268="","",IF(S268="[FÓRMULA MANUAL]","",IFERROR(AVERAGEIFS(nNOTA,nNIA,S268,nCUENTA,1,nASIG,"Música de Cámara"),"")))</f>
        <v/>
      </c>
      <c r="W268" t="str">
        <f>IF(S268="","",IF(S268="[FÓRMULA MANUAL]","",IFERROR(SUMPRODUCT((nNIA=S268)*(nCUENTA=1)*(COUNTIF(CONFIG_ASIGNATURAS!$B$7:$B$27,nASIG)&gt;0)*(nNOTA))/SUMPRODUCT((nNIA=S268)*(nCUENTA=1)*(COUNTIF(CONFIG_ASIGNATURAS!$B$7:$B$27,nASIG)&gt;0)*1),"")))</f>
        <v/>
      </c>
      <c r="Z268" t="str">
        <f>IF(Y268="","",IF(Y268="[FÓRMULA MANUAL]","",IFERROR(AVERAGEIFS(nNOTA,nNIA,Y268,nCUENTA,1,nASIG,"Análisis"),"")))</f>
        <v/>
      </c>
      <c r="AA268" t="str">
        <f>IF(Y268="","",IF(Y268="[FÓRMULA MANUAL]","",IFERROR(AVERAGEIFS(nNOTA,nNIA,Y268,nCUENTA,1,nASIG,"Orquesta/Banda/Conjunto"),"")))</f>
        <v/>
      </c>
      <c r="AB268" t="str">
        <f>IF(Y268="","",IF(Y268="[FÓRMULA MANUAL]","",IFERROR(AVERAGEIFS(nNOTA,nNIA,Y268,nCUENTA,1,nASIG,"Música de Cámara"),"")))</f>
        <v/>
      </c>
      <c r="AC268" t="str">
        <f>IF(Y268="","",IF(Y268="[FÓRMULA MANUAL]","",IFERROR(SUMPRODUCT((nNIA=Y268)*(nCUENTA=1)*(COUNTIF(CONFIG_ASIGNATURAS!$B$7:$B$27,nASIG)&gt;0)*(nNOTA))/SUMPRODUCT((nNIA=Y268)*(nCUENTA=1)*(COUNTIF(CONFIG_ASIGNATURAS!$B$7:$B$27,nASIG)&gt;0)*1),"")))</f>
        <v/>
      </c>
      <c r="AF268" t="str">
        <f>IF(AE268="","",IF(AE268="[FÓRMULA MANUAL]","",IFERROR(AVERAGEIFS(nNOTA,nNIA,AE268,nCUENTA,1,nASIG,"Análisis"),"")))</f>
        <v/>
      </c>
      <c r="AG268" t="str">
        <f>IF(AE268="","",IF(AE268="[FÓRMULA MANUAL]","",IFERROR(AVERAGEIFS(nNOTA,nNIA,AE268,nCUENTA,1,nASIG,"Orquesta/Banda/Conjunto"),"")))</f>
        <v/>
      </c>
      <c r="AH268" t="str">
        <f>IF(AE268="","",IF(AE268="[FÓRMULA MANUAL]","",IFERROR(AVERAGEIFS(nNOTA,nNIA,AE268,nCUENTA,1,nASIG,"Música de Cámara"),"")))</f>
        <v/>
      </c>
      <c r="AI268" t="str">
        <f>IF(AE268="","",IF(AE268="[FÓRMULA MANUAL]","",IFERROR(SUMPRODUCT((nNIA=AE268)*(nCUENTA=1)*(COUNTIF(CONFIG_ASIGNATURAS!$B$7:$B$27,nASIG)&gt;0)*(nNOTA))/SUMPRODUCT((nNIA=AE268)*(nCUENTA=1)*(COUNTIF(CONFIG_ASIGNATURAS!$B$7:$B$27,nASIG)&gt;0)*1),"")))</f>
        <v/>
      </c>
    </row>
    <row r="269" spans="2:35" x14ac:dyDescent="0.2">
      <c r="B269" t="str">
        <f>IF(A269="","",IF(A269="[FÓRMULA MANUAL]","",IFERROR(AVERAGEIFS(nNOTA,nNIA,A269,nCUENTA,1,nASIG,"Lenguaje Musical"),"")))</f>
        <v/>
      </c>
      <c r="C269" t="str">
        <f>IF(A269="","",IF(A269="[FÓRMULA MANUAL]","",IFERROR(AVERAGEIFS(nNOTA,nNIA,A269,nCUENTA,1,nASIG,"Orquesta/Banda/Conjunto"),"")))</f>
        <v/>
      </c>
      <c r="D269" t="str">
        <f>IF(A269="","",IF(A269="[FÓRMULA MANUAL]","",IFERROR(AVERAGEIFS(nNOTA,nNIA,A269,nCUENTA,1,nASIG,"Conjunto"),"")))</f>
        <v/>
      </c>
      <c r="E269" t="str">
        <f>IF(A269="","",IF(A269="[FÓRMULA MANUAL]","",IFERROR(SUMPRODUCT((nNIA=A269)*(nCUENTA=1)*(COUNTIF(CONFIG_ASIGNATURAS!$B$7:$B$27,nASIG)&gt;0)*(nNOTA))/SUMPRODUCT((nNIA=A269)*(nCUENTA=1)*(COUNTIF(CONFIG_ASIGNATURAS!$B$7:$B$27,nASIG)&gt;0)*1),"")))</f>
        <v/>
      </c>
      <c r="H269" t="str">
        <f>IF(G269="","",IF(G269="[FÓRMULA MANUAL]","",IFERROR(AVERAGEIFS(nNOTA,nNIA,G269,nCUENTA,1,nASIG,"Lenguaje Musical"),"")))</f>
        <v/>
      </c>
      <c r="I269" t="str">
        <f>IF(G269="","",IF(G269="[FÓRMULA MANUAL]","",IFERROR(AVERAGEIFS(nNOTA,nNIA,G269,nCUENTA,1,nASIG,"Orquesta/Banda/Conjunto"),"")))</f>
        <v/>
      </c>
      <c r="J269" t="str">
        <f>IF(G269="","",IF(G269="[FÓRMULA MANUAL]","",IFERROR(AVERAGEIFS(nNOTA,nNIA,G269,nCUENTA,1,nASIG,"Conjunto"),"")))</f>
        <v/>
      </c>
      <c r="K269" t="str">
        <f>IF(G269="","",IF(G269="[FÓRMULA MANUAL]","",IFERROR(SUMPRODUCT((nNIA=G269)*(nCUENTA=1)*(COUNTIF(CONFIG_ASIGNATURAS!$B$7:$B$27,nASIG)&gt;0)*(nNOTA))/SUMPRODUCT((nNIA=G269)*(nCUENTA=1)*(COUNTIF(CONFIG_ASIGNATURAS!$B$7:$B$27,nASIG)&gt;0)*1),"")))</f>
        <v/>
      </c>
      <c r="N269" t="str">
        <f>IF(M269="","",IF(M269="[FÓRMULA MANUAL]","",IFERROR(AVERAGEIFS(nNOTA,nNIA,M269,nCUENTA,1,nASIG,"Armonía"),"")))</f>
        <v/>
      </c>
      <c r="O269" t="str">
        <f>IF(M269="","",IF(M269="[FÓRMULA MANUAL]","",IFERROR(AVERAGEIFS(nNOTA,nNIA,M269,nCUENTA,1,nASIG,"Orquesta/Banda/Conjunto"),"")))</f>
        <v/>
      </c>
      <c r="P269" t="str">
        <f>IF(M269="","",IF(M269="[FÓRMULA MANUAL]","",IFERROR(AVERAGEIFS(nNOTA,nNIA,M269,nCUENTA,1,nASIG,"Música de Cámara"),"")))</f>
        <v/>
      </c>
      <c r="Q269" t="str">
        <f>IF(M269="","",IF(M269="[FÓRMULA MANUAL]","",IFERROR(SUMPRODUCT((nNIA=M269)*(nCUENTA=1)*(COUNTIF(CONFIG_ASIGNATURAS!$B$7:$B$27,nASIG)&gt;0)*(nNOTA))/SUMPRODUCT((nNIA=M269)*(nCUENTA=1)*(COUNTIF(CONFIG_ASIGNATURAS!$B$7:$B$27,nASIG)&gt;0)*1),"")))</f>
        <v/>
      </c>
      <c r="T269" t="str">
        <f>IF(S269="","",IF(S269="[FÓRMULA MANUAL]","",IFERROR(AVERAGEIFS(nNOTA,nNIA,S269,nCUENTA,1,nASIG,"Armonía"),"")))</f>
        <v/>
      </c>
      <c r="U269" t="str">
        <f>IF(S269="","",IF(S269="[FÓRMULA MANUAL]","",IFERROR(AVERAGEIFS(nNOTA,nNIA,S269,nCUENTA,1,nASIG,"Orquesta/Banda/Conjunto"),"")))</f>
        <v/>
      </c>
      <c r="V269" t="str">
        <f>IF(S269="","",IF(S269="[FÓRMULA MANUAL]","",IFERROR(AVERAGEIFS(nNOTA,nNIA,S269,nCUENTA,1,nASIG,"Música de Cámara"),"")))</f>
        <v/>
      </c>
      <c r="W269" t="str">
        <f>IF(S269="","",IF(S269="[FÓRMULA MANUAL]","",IFERROR(SUMPRODUCT((nNIA=S269)*(nCUENTA=1)*(COUNTIF(CONFIG_ASIGNATURAS!$B$7:$B$27,nASIG)&gt;0)*(nNOTA))/SUMPRODUCT((nNIA=S269)*(nCUENTA=1)*(COUNTIF(CONFIG_ASIGNATURAS!$B$7:$B$27,nASIG)&gt;0)*1),"")))</f>
        <v/>
      </c>
      <c r="Z269" t="str">
        <f>IF(Y269="","",IF(Y269="[FÓRMULA MANUAL]","",IFERROR(AVERAGEIFS(nNOTA,nNIA,Y269,nCUENTA,1,nASIG,"Análisis"),"")))</f>
        <v/>
      </c>
      <c r="AA269" t="str">
        <f>IF(Y269="","",IF(Y269="[FÓRMULA MANUAL]","",IFERROR(AVERAGEIFS(nNOTA,nNIA,Y269,nCUENTA,1,nASIG,"Orquesta/Banda/Conjunto"),"")))</f>
        <v/>
      </c>
      <c r="AB269" t="str">
        <f>IF(Y269="","",IF(Y269="[FÓRMULA MANUAL]","",IFERROR(AVERAGEIFS(nNOTA,nNIA,Y269,nCUENTA,1,nASIG,"Música de Cámara"),"")))</f>
        <v/>
      </c>
      <c r="AC269" t="str">
        <f>IF(Y269="","",IF(Y269="[FÓRMULA MANUAL]","",IFERROR(SUMPRODUCT((nNIA=Y269)*(nCUENTA=1)*(COUNTIF(CONFIG_ASIGNATURAS!$B$7:$B$27,nASIG)&gt;0)*(nNOTA))/SUMPRODUCT((nNIA=Y269)*(nCUENTA=1)*(COUNTIF(CONFIG_ASIGNATURAS!$B$7:$B$27,nASIG)&gt;0)*1),"")))</f>
        <v/>
      </c>
      <c r="AF269" t="str">
        <f>IF(AE269="","",IF(AE269="[FÓRMULA MANUAL]","",IFERROR(AVERAGEIFS(nNOTA,nNIA,AE269,nCUENTA,1,nASIG,"Análisis"),"")))</f>
        <v/>
      </c>
      <c r="AG269" t="str">
        <f>IF(AE269="","",IF(AE269="[FÓRMULA MANUAL]","",IFERROR(AVERAGEIFS(nNOTA,nNIA,AE269,nCUENTA,1,nASIG,"Orquesta/Banda/Conjunto"),"")))</f>
        <v/>
      </c>
      <c r="AH269" t="str">
        <f>IF(AE269="","",IF(AE269="[FÓRMULA MANUAL]","",IFERROR(AVERAGEIFS(nNOTA,nNIA,AE269,nCUENTA,1,nASIG,"Música de Cámara"),"")))</f>
        <v/>
      </c>
      <c r="AI269" t="str">
        <f>IF(AE269="","",IF(AE269="[FÓRMULA MANUAL]","",IFERROR(SUMPRODUCT((nNIA=AE269)*(nCUENTA=1)*(COUNTIF(CONFIG_ASIGNATURAS!$B$7:$B$27,nASIG)&gt;0)*(nNOTA))/SUMPRODUCT((nNIA=AE269)*(nCUENTA=1)*(COUNTIF(CONFIG_ASIGNATURAS!$B$7:$B$27,nASIG)&gt;0)*1),"")))</f>
        <v/>
      </c>
    </row>
    <row r="270" spans="2:35" x14ac:dyDescent="0.2">
      <c r="B270" t="str">
        <f>IF(A270="","",IF(A270="[FÓRMULA MANUAL]","",IFERROR(AVERAGEIFS(nNOTA,nNIA,A270,nCUENTA,1,nASIG,"Lenguaje Musical"),"")))</f>
        <v/>
      </c>
      <c r="C270" t="str">
        <f>IF(A270="","",IF(A270="[FÓRMULA MANUAL]","",IFERROR(AVERAGEIFS(nNOTA,nNIA,A270,nCUENTA,1,nASIG,"Orquesta/Banda/Conjunto"),"")))</f>
        <v/>
      </c>
      <c r="D270" t="str">
        <f>IF(A270="","",IF(A270="[FÓRMULA MANUAL]","",IFERROR(AVERAGEIFS(nNOTA,nNIA,A270,nCUENTA,1,nASIG,"Conjunto"),"")))</f>
        <v/>
      </c>
      <c r="E270" t="str">
        <f>IF(A270="","",IF(A270="[FÓRMULA MANUAL]","",IFERROR(SUMPRODUCT((nNIA=A270)*(nCUENTA=1)*(COUNTIF(CONFIG_ASIGNATURAS!$B$7:$B$27,nASIG)&gt;0)*(nNOTA))/SUMPRODUCT((nNIA=A270)*(nCUENTA=1)*(COUNTIF(CONFIG_ASIGNATURAS!$B$7:$B$27,nASIG)&gt;0)*1),"")))</f>
        <v/>
      </c>
      <c r="H270" t="str">
        <f>IF(G270="","",IF(G270="[FÓRMULA MANUAL]","",IFERROR(AVERAGEIFS(nNOTA,nNIA,G270,nCUENTA,1,nASIG,"Lenguaje Musical"),"")))</f>
        <v/>
      </c>
      <c r="I270" t="str">
        <f>IF(G270="","",IF(G270="[FÓRMULA MANUAL]","",IFERROR(AVERAGEIFS(nNOTA,nNIA,G270,nCUENTA,1,nASIG,"Orquesta/Banda/Conjunto"),"")))</f>
        <v/>
      </c>
      <c r="J270" t="str">
        <f>IF(G270="","",IF(G270="[FÓRMULA MANUAL]","",IFERROR(AVERAGEIFS(nNOTA,nNIA,G270,nCUENTA,1,nASIG,"Conjunto"),"")))</f>
        <v/>
      </c>
      <c r="K270" t="str">
        <f>IF(G270="","",IF(G270="[FÓRMULA MANUAL]","",IFERROR(SUMPRODUCT((nNIA=G270)*(nCUENTA=1)*(COUNTIF(CONFIG_ASIGNATURAS!$B$7:$B$27,nASIG)&gt;0)*(nNOTA))/SUMPRODUCT((nNIA=G270)*(nCUENTA=1)*(COUNTIF(CONFIG_ASIGNATURAS!$B$7:$B$27,nASIG)&gt;0)*1),"")))</f>
        <v/>
      </c>
      <c r="N270" t="str">
        <f>IF(M270="","",IF(M270="[FÓRMULA MANUAL]","",IFERROR(AVERAGEIFS(nNOTA,nNIA,M270,nCUENTA,1,nASIG,"Armonía"),"")))</f>
        <v/>
      </c>
      <c r="O270" t="str">
        <f>IF(M270="","",IF(M270="[FÓRMULA MANUAL]","",IFERROR(AVERAGEIFS(nNOTA,nNIA,M270,nCUENTA,1,nASIG,"Orquesta/Banda/Conjunto"),"")))</f>
        <v/>
      </c>
      <c r="P270" t="str">
        <f>IF(M270="","",IF(M270="[FÓRMULA MANUAL]","",IFERROR(AVERAGEIFS(nNOTA,nNIA,M270,nCUENTA,1,nASIG,"Música de Cámara"),"")))</f>
        <v/>
      </c>
      <c r="Q270" t="str">
        <f>IF(M270="","",IF(M270="[FÓRMULA MANUAL]","",IFERROR(SUMPRODUCT((nNIA=M270)*(nCUENTA=1)*(COUNTIF(CONFIG_ASIGNATURAS!$B$7:$B$27,nASIG)&gt;0)*(nNOTA))/SUMPRODUCT((nNIA=M270)*(nCUENTA=1)*(COUNTIF(CONFIG_ASIGNATURAS!$B$7:$B$27,nASIG)&gt;0)*1),"")))</f>
        <v/>
      </c>
      <c r="T270" t="str">
        <f>IF(S270="","",IF(S270="[FÓRMULA MANUAL]","",IFERROR(AVERAGEIFS(nNOTA,nNIA,S270,nCUENTA,1,nASIG,"Armonía"),"")))</f>
        <v/>
      </c>
      <c r="U270" t="str">
        <f>IF(S270="","",IF(S270="[FÓRMULA MANUAL]","",IFERROR(AVERAGEIFS(nNOTA,nNIA,S270,nCUENTA,1,nASIG,"Orquesta/Banda/Conjunto"),"")))</f>
        <v/>
      </c>
      <c r="V270" t="str">
        <f>IF(S270="","",IF(S270="[FÓRMULA MANUAL]","",IFERROR(AVERAGEIFS(nNOTA,nNIA,S270,nCUENTA,1,nASIG,"Música de Cámara"),"")))</f>
        <v/>
      </c>
      <c r="W270" t="str">
        <f>IF(S270="","",IF(S270="[FÓRMULA MANUAL]","",IFERROR(SUMPRODUCT((nNIA=S270)*(nCUENTA=1)*(COUNTIF(CONFIG_ASIGNATURAS!$B$7:$B$27,nASIG)&gt;0)*(nNOTA))/SUMPRODUCT((nNIA=S270)*(nCUENTA=1)*(COUNTIF(CONFIG_ASIGNATURAS!$B$7:$B$27,nASIG)&gt;0)*1),"")))</f>
        <v/>
      </c>
      <c r="Z270" t="str">
        <f>IF(Y270="","",IF(Y270="[FÓRMULA MANUAL]","",IFERROR(AVERAGEIFS(nNOTA,nNIA,Y270,nCUENTA,1,nASIG,"Análisis"),"")))</f>
        <v/>
      </c>
      <c r="AA270" t="str">
        <f>IF(Y270="","",IF(Y270="[FÓRMULA MANUAL]","",IFERROR(AVERAGEIFS(nNOTA,nNIA,Y270,nCUENTA,1,nASIG,"Orquesta/Banda/Conjunto"),"")))</f>
        <v/>
      </c>
      <c r="AB270" t="str">
        <f>IF(Y270="","",IF(Y270="[FÓRMULA MANUAL]","",IFERROR(AVERAGEIFS(nNOTA,nNIA,Y270,nCUENTA,1,nASIG,"Música de Cámara"),"")))</f>
        <v/>
      </c>
      <c r="AC270" t="str">
        <f>IF(Y270="","",IF(Y270="[FÓRMULA MANUAL]","",IFERROR(SUMPRODUCT((nNIA=Y270)*(nCUENTA=1)*(COUNTIF(CONFIG_ASIGNATURAS!$B$7:$B$27,nASIG)&gt;0)*(nNOTA))/SUMPRODUCT((nNIA=Y270)*(nCUENTA=1)*(COUNTIF(CONFIG_ASIGNATURAS!$B$7:$B$27,nASIG)&gt;0)*1),"")))</f>
        <v/>
      </c>
      <c r="AF270" t="str">
        <f>IF(AE270="","",IF(AE270="[FÓRMULA MANUAL]","",IFERROR(AVERAGEIFS(nNOTA,nNIA,AE270,nCUENTA,1,nASIG,"Análisis"),"")))</f>
        <v/>
      </c>
      <c r="AG270" t="str">
        <f>IF(AE270="","",IF(AE270="[FÓRMULA MANUAL]","",IFERROR(AVERAGEIFS(nNOTA,nNIA,AE270,nCUENTA,1,nASIG,"Orquesta/Banda/Conjunto"),"")))</f>
        <v/>
      </c>
      <c r="AH270" t="str">
        <f>IF(AE270="","",IF(AE270="[FÓRMULA MANUAL]","",IFERROR(AVERAGEIFS(nNOTA,nNIA,AE270,nCUENTA,1,nASIG,"Música de Cámara"),"")))</f>
        <v/>
      </c>
      <c r="AI270" t="str">
        <f>IF(AE270="","",IF(AE270="[FÓRMULA MANUAL]","",IFERROR(SUMPRODUCT((nNIA=AE270)*(nCUENTA=1)*(COUNTIF(CONFIG_ASIGNATURAS!$B$7:$B$27,nASIG)&gt;0)*(nNOTA))/SUMPRODUCT((nNIA=AE270)*(nCUENTA=1)*(COUNTIF(CONFIG_ASIGNATURAS!$B$7:$B$27,nASIG)&gt;0)*1),"")))</f>
        <v/>
      </c>
    </row>
    <row r="271" spans="2:35" x14ac:dyDescent="0.2">
      <c r="B271" t="str">
        <f>IF(A271="","",IF(A271="[FÓRMULA MANUAL]","",IFERROR(AVERAGEIFS(nNOTA,nNIA,A271,nCUENTA,1,nASIG,"Lenguaje Musical"),"")))</f>
        <v/>
      </c>
      <c r="C271" t="str">
        <f>IF(A271="","",IF(A271="[FÓRMULA MANUAL]","",IFERROR(AVERAGEIFS(nNOTA,nNIA,A271,nCUENTA,1,nASIG,"Orquesta/Banda/Conjunto"),"")))</f>
        <v/>
      </c>
      <c r="D271" t="str">
        <f>IF(A271="","",IF(A271="[FÓRMULA MANUAL]","",IFERROR(AVERAGEIFS(nNOTA,nNIA,A271,nCUENTA,1,nASIG,"Conjunto"),"")))</f>
        <v/>
      </c>
      <c r="E271" t="str">
        <f>IF(A271="","",IF(A271="[FÓRMULA MANUAL]","",IFERROR(SUMPRODUCT((nNIA=A271)*(nCUENTA=1)*(COUNTIF(CONFIG_ASIGNATURAS!$B$7:$B$27,nASIG)&gt;0)*(nNOTA))/SUMPRODUCT((nNIA=A271)*(nCUENTA=1)*(COUNTIF(CONFIG_ASIGNATURAS!$B$7:$B$27,nASIG)&gt;0)*1),"")))</f>
        <v/>
      </c>
      <c r="H271" t="str">
        <f>IF(G271="","",IF(G271="[FÓRMULA MANUAL]","",IFERROR(AVERAGEIFS(nNOTA,nNIA,G271,nCUENTA,1,nASIG,"Lenguaje Musical"),"")))</f>
        <v/>
      </c>
      <c r="I271" t="str">
        <f>IF(G271="","",IF(G271="[FÓRMULA MANUAL]","",IFERROR(AVERAGEIFS(nNOTA,nNIA,G271,nCUENTA,1,nASIG,"Orquesta/Banda/Conjunto"),"")))</f>
        <v/>
      </c>
      <c r="J271" t="str">
        <f>IF(G271="","",IF(G271="[FÓRMULA MANUAL]","",IFERROR(AVERAGEIFS(nNOTA,nNIA,G271,nCUENTA,1,nASIG,"Conjunto"),"")))</f>
        <v/>
      </c>
      <c r="K271" t="str">
        <f>IF(G271="","",IF(G271="[FÓRMULA MANUAL]","",IFERROR(SUMPRODUCT((nNIA=G271)*(nCUENTA=1)*(COUNTIF(CONFIG_ASIGNATURAS!$B$7:$B$27,nASIG)&gt;0)*(nNOTA))/SUMPRODUCT((nNIA=G271)*(nCUENTA=1)*(COUNTIF(CONFIG_ASIGNATURAS!$B$7:$B$27,nASIG)&gt;0)*1),"")))</f>
        <v/>
      </c>
      <c r="N271" t="str">
        <f>IF(M271="","",IF(M271="[FÓRMULA MANUAL]","",IFERROR(AVERAGEIFS(nNOTA,nNIA,M271,nCUENTA,1,nASIG,"Armonía"),"")))</f>
        <v/>
      </c>
      <c r="O271" t="str">
        <f>IF(M271="","",IF(M271="[FÓRMULA MANUAL]","",IFERROR(AVERAGEIFS(nNOTA,nNIA,M271,nCUENTA,1,nASIG,"Orquesta/Banda/Conjunto"),"")))</f>
        <v/>
      </c>
      <c r="P271" t="str">
        <f>IF(M271="","",IF(M271="[FÓRMULA MANUAL]","",IFERROR(AVERAGEIFS(nNOTA,nNIA,M271,nCUENTA,1,nASIG,"Música de Cámara"),"")))</f>
        <v/>
      </c>
      <c r="Q271" t="str">
        <f>IF(M271="","",IF(M271="[FÓRMULA MANUAL]","",IFERROR(SUMPRODUCT((nNIA=M271)*(nCUENTA=1)*(COUNTIF(CONFIG_ASIGNATURAS!$B$7:$B$27,nASIG)&gt;0)*(nNOTA))/SUMPRODUCT((nNIA=M271)*(nCUENTA=1)*(COUNTIF(CONFIG_ASIGNATURAS!$B$7:$B$27,nASIG)&gt;0)*1),"")))</f>
        <v/>
      </c>
      <c r="T271" t="str">
        <f>IF(S271="","",IF(S271="[FÓRMULA MANUAL]","",IFERROR(AVERAGEIFS(nNOTA,nNIA,S271,nCUENTA,1,nASIG,"Armonía"),"")))</f>
        <v/>
      </c>
      <c r="U271" t="str">
        <f>IF(S271="","",IF(S271="[FÓRMULA MANUAL]","",IFERROR(AVERAGEIFS(nNOTA,nNIA,S271,nCUENTA,1,nASIG,"Orquesta/Banda/Conjunto"),"")))</f>
        <v/>
      </c>
      <c r="V271" t="str">
        <f>IF(S271="","",IF(S271="[FÓRMULA MANUAL]","",IFERROR(AVERAGEIFS(nNOTA,nNIA,S271,nCUENTA,1,nASIG,"Música de Cámara"),"")))</f>
        <v/>
      </c>
      <c r="W271" t="str">
        <f>IF(S271="","",IF(S271="[FÓRMULA MANUAL]","",IFERROR(SUMPRODUCT((nNIA=S271)*(nCUENTA=1)*(COUNTIF(CONFIG_ASIGNATURAS!$B$7:$B$27,nASIG)&gt;0)*(nNOTA))/SUMPRODUCT((nNIA=S271)*(nCUENTA=1)*(COUNTIF(CONFIG_ASIGNATURAS!$B$7:$B$27,nASIG)&gt;0)*1),"")))</f>
        <v/>
      </c>
      <c r="Z271" t="str">
        <f>IF(Y271="","",IF(Y271="[FÓRMULA MANUAL]","",IFERROR(AVERAGEIFS(nNOTA,nNIA,Y271,nCUENTA,1,nASIG,"Análisis"),"")))</f>
        <v/>
      </c>
      <c r="AA271" t="str">
        <f>IF(Y271="","",IF(Y271="[FÓRMULA MANUAL]","",IFERROR(AVERAGEIFS(nNOTA,nNIA,Y271,nCUENTA,1,nASIG,"Orquesta/Banda/Conjunto"),"")))</f>
        <v/>
      </c>
      <c r="AB271" t="str">
        <f>IF(Y271="","",IF(Y271="[FÓRMULA MANUAL]","",IFERROR(AVERAGEIFS(nNOTA,nNIA,Y271,nCUENTA,1,nASIG,"Música de Cámara"),"")))</f>
        <v/>
      </c>
      <c r="AC271" t="str">
        <f>IF(Y271="","",IF(Y271="[FÓRMULA MANUAL]","",IFERROR(SUMPRODUCT((nNIA=Y271)*(nCUENTA=1)*(COUNTIF(CONFIG_ASIGNATURAS!$B$7:$B$27,nASIG)&gt;0)*(nNOTA))/SUMPRODUCT((nNIA=Y271)*(nCUENTA=1)*(COUNTIF(CONFIG_ASIGNATURAS!$B$7:$B$27,nASIG)&gt;0)*1),"")))</f>
        <v/>
      </c>
      <c r="AF271" t="str">
        <f>IF(AE271="","",IF(AE271="[FÓRMULA MANUAL]","",IFERROR(AVERAGEIFS(nNOTA,nNIA,AE271,nCUENTA,1,nASIG,"Análisis"),"")))</f>
        <v/>
      </c>
      <c r="AG271" t="str">
        <f>IF(AE271="","",IF(AE271="[FÓRMULA MANUAL]","",IFERROR(AVERAGEIFS(nNOTA,nNIA,AE271,nCUENTA,1,nASIG,"Orquesta/Banda/Conjunto"),"")))</f>
        <v/>
      </c>
      <c r="AH271" t="str">
        <f>IF(AE271="","",IF(AE271="[FÓRMULA MANUAL]","",IFERROR(AVERAGEIFS(nNOTA,nNIA,AE271,nCUENTA,1,nASIG,"Música de Cámara"),"")))</f>
        <v/>
      </c>
      <c r="AI271" t="str">
        <f>IF(AE271="","",IF(AE271="[FÓRMULA MANUAL]","",IFERROR(SUMPRODUCT((nNIA=AE271)*(nCUENTA=1)*(COUNTIF(CONFIG_ASIGNATURAS!$B$7:$B$27,nASIG)&gt;0)*(nNOTA))/SUMPRODUCT((nNIA=AE271)*(nCUENTA=1)*(COUNTIF(CONFIG_ASIGNATURAS!$B$7:$B$27,nASIG)&gt;0)*1),"")))</f>
        <v/>
      </c>
    </row>
    <row r="272" spans="2:35" x14ac:dyDescent="0.2">
      <c r="B272" t="str">
        <f>IF(A272="","",IF(A272="[FÓRMULA MANUAL]","",IFERROR(AVERAGEIFS(nNOTA,nNIA,A272,nCUENTA,1,nASIG,"Lenguaje Musical"),"")))</f>
        <v/>
      </c>
      <c r="C272" t="str">
        <f>IF(A272="","",IF(A272="[FÓRMULA MANUAL]","",IFERROR(AVERAGEIFS(nNOTA,nNIA,A272,nCUENTA,1,nASIG,"Orquesta/Banda/Conjunto"),"")))</f>
        <v/>
      </c>
      <c r="D272" t="str">
        <f>IF(A272="","",IF(A272="[FÓRMULA MANUAL]","",IFERROR(AVERAGEIFS(nNOTA,nNIA,A272,nCUENTA,1,nASIG,"Conjunto"),"")))</f>
        <v/>
      </c>
      <c r="E272" t="str">
        <f>IF(A272="","",IF(A272="[FÓRMULA MANUAL]","",IFERROR(SUMPRODUCT((nNIA=A272)*(nCUENTA=1)*(COUNTIF(CONFIG_ASIGNATURAS!$B$7:$B$27,nASIG)&gt;0)*(nNOTA))/SUMPRODUCT((nNIA=A272)*(nCUENTA=1)*(COUNTIF(CONFIG_ASIGNATURAS!$B$7:$B$27,nASIG)&gt;0)*1),"")))</f>
        <v/>
      </c>
      <c r="H272" t="str">
        <f>IF(G272="","",IF(G272="[FÓRMULA MANUAL]","",IFERROR(AVERAGEIFS(nNOTA,nNIA,G272,nCUENTA,1,nASIG,"Lenguaje Musical"),"")))</f>
        <v/>
      </c>
      <c r="I272" t="str">
        <f>IF(G272="","",IF(G272="[FÓRMULA MANUAL]","",IFERROR(AVERAGEIFS(nNOTA,nNIA,G272,nCUENTA,1,nASIG,"Orquesta/Banda/Conjunto"),"")))</f>
        <v/>
      </c>
      <c r="J272" t="str">
        <f>IF(G272="","",IF(G272="[FÓRMULA MANUAL]","",IFERROR(AVERAGEIFS(nNOTA,nNIA,G272,nCUENTA,1,nASIG,"Conjunto"),"")))</f>
        <v/>
      </c>
      <c r="K272" t="str">
        <f>IF(G272="","",IF(G272="[FÓRMULA MANUAL]","",IFERROR(SUMPRODUCT((nNIA=G272)*(nCUENTA=1)*(COUNTIF(CONFIG_ASIGNATURAS!$B$7:$B$27,nASIG)&gt;0)*(nNOTA))/SUMPRODUCT((nNIA=G272)*(nCUENTA=1)*(COUNTIF(CONFIG_ASIGNATURAS!$B$7:$B$27,nASIG)&gt;0)*1),"")))</f>
        <v/>
      </c>
      <c r="N272" t="str">
        <f>IF(M272="","",IF(M272="[FÓRMULA MANUAL]","",IFERROR(AVERAGEIFS(nNOTA,nNIA,M272,nCUENTA,1,nASIG,"Armonía"),"")))</f>
        <v/>
      </c>
      <c r="O272" t="str">
        <f>IF(M272="","",IF(M272="[FÓRMULA MANUAL]","",IFERROR(AVERAGEIFS(nNOTA,nNIA,M272,nCUENTA,1,nASIG,"Orquesta/Banda/Conjunto"),"")))</f>
        <v/>
      </c>
      <c r="P272" t="str">
        <f>IF(M272="","",IF(M272="[FÓRMULA MANUAL]","",IFERROR(AVERAGEIFS(nNOTA,nNIA,M272,nCUENTA,1,nASIG,"Música de Cámara"),"")))</f>
        <v/>
      </c>
      <c r="Q272" t="str">
        <f>IF(M272="","",IF(M272="[FÓRMULA MANUAL]","",IFERROR(SUMPRODUCT((nNIA=M272)*(nCUENTA=1)*(COUNTIF(CONFIG_ASIGNATURAS!$B$7:$B$27,nASIG)&gt;0)*(nNOTA))/SUMPRODUCT((nNIA=M272)*(nCUENTA=1)*(COUNTIF(CONFIG_ASIGNATURAS!$B$7:$B$27,nASIG)&gt;0)*1),"")))</f>
        <v/>
      </c>
      <c r="T272" t="str">
        <f>IF(S272="","",IF(S272="[FÓRMULA MANUAL]","",IFERROR(AVERAGEIFS(nNOTA,nNIA,S272,nCUENTA,1,nASIG,"Armonía"),"")))</f>
        <v/>
      </c>
      <c r="U272" t="str">
        <f>IF(S272="","",IF(S272="[FÓRMULA MANUAL]","",IFERROR(AVERAGEIFS(nNOTA,nNIA,S272,nCUENTA,1,nASIG,"Orquesta/Banda/Conjunto"),"")))</f>
        <v/>
      </c>
      <c r="V272" t="str">
        <f>IF(S272="","",IF(S272="[FÓRMULA MANUAL]","",IFERROR(AVERAGEIFS(nNOTA,nNIA,S272,nCUENTA,1,nASIG,"Música de Cámara"),"")))</f>
        <v/>
      </c>
      <c r="W272" t="str">
        <f>IF(S272="","",IF(S272="[FÓRMULA MANUAL]","",IFERROR(SUMPRODUCT((nNIA=S272)*(nCUENTA=1)*(COUNTIF(CONFIG_ASIGNATURAS!$B$7:$B$27,nASIG)&gt;0)*(nNOTA))/SUMPRODUCT((nNIA=S272)*(nCUENTA=1)*(COUNTIF(CONFIG_ASIGNATURAS!$B$7:$B$27,nASIG)&gt;0)*1),"")))</f>
        <v/>
      </c>
      <c r="Z272" t="str">
        <f>IF(Y272="","",IF(Y272="[FÓRMULA MANUAL]","",IFERROR(AVERAGEIFS(nNOTA,nNIA,Y272,nCUENTA,1,nASIG,"Análisis"),"")))</f>
        <v/>
      </c>
      <c r="AA272" t="str">
        <f>IF(Y272="","",IF(Y272="[FÓRMULA MANUAL]","",IFERROR(AVERAGEIFS(nNOTA,nNIA,Y272,nCUENTA,1,nASIG,"Orquesta/Banda/Conjunto"),"")))</f>
        <v/>
      </c>
      <c r="AB272" t="str">
        <f>IF(Y272="","",IF(Y272="[FÓRMULA MANUAL]","",IFERROR(AVERAGEIFS(nNOTA,nNIA,Y272,nCUENTA,1,nASIG,"Música de Cámara"),"")))</f>
        <v/>
      </c>
      <c r="AC272" t="str">
        <f>IF(Y272="","",IF(Y272="[FÓRMULA MANUAL]","",IFERROR(SUMPRODUCT((nNIA=Y272)*(nCUENTA=1)*(COUNTIF(CONFIG_ASIGNATURAS!$B$7:$B$27,nASIG)&gt;0)*(nNOTA))/SUMPRODUCT((nNIA=Y272)*(nCUENTA=1)*(COUNTIF(CONFIG_ASIGNATURAS!$B$7:$B$27,nASIG)&gt;0)*1),"")))</f>
        <v/>
      </c>
      <c r="AF272" t="str">
        <f>IF(AE272="","",IF(AE272="[FÓRMULA MANUAL]","",IFERROR(AVERAGEIFS(nNOTA,nNIA,AE272,nCUENTA,1,nASIG,"Análisis"),"")))</f>
        <v/>
      </c>
      <c r="AG272" t="str">
        <f>IF(AE272="","",IF(AE272="[FÓRMULA MANUAL]","",IFERROR(AVERAGEIFS(nNOTA,nNIA,AE272,nCUENTA,1,nASIG,"Orquesta/Banda/Conjunto"),"")))</f>
        <v/>
      </c>
      <c r="AH272" t="str">
        <f>IF(AE272="","",IF(AE272="[FÓRMULA MANUAL]","",IFERROR(AVERAGEIFS(nNOTA,nNIA,AE272,nCUENTA,1,nASIG,"Música de Cámara"),"")))</f>
        <v/>
      </c>
      <c r="AI272" t="str">
        <f>IF(AE272="","",IF(AE272="[FÓRMULA MANUAL]","",IFERROR(SUMPRODUCT((nNIA=AE272)*(nCUENTA=1)*(COUNTIF(CONFIG_ASIGNATURAS!$B$7:$B$27,nASIG)&gt;0)*(nNOTA))/SUMPRODUCT((nNIA=AE272)*(nCUENTA=1)*(COUNTIF(CONFIG_ASIGNATURAS!$B$7:$B$27,nASIG)&gt;0)*1),"")))</f>
        <v/>
      </c>
    </row>
    <row r="273" spans="2:35" x14ac:dyDescent="0.2">
      <c r="B273" t="str">
        <f>IF(A273="","",IF(A273="[FÓRMULA MANUAL]","",IFERROR(AVERAGEIFS(nNOTA,nNIA,A273,nCUENTA,1,nASIG,"Lenguaje Musical"),"")))</f>
        <v/>
      </c>
      <c r="C273" t="str">
        <f>IF(A273="","",IF(A273="[FÓRMULA MANUAL]","",IFERROR(AVERAGEIFS(nNOTA,nNIA,A273,nCUENTA,1,nASIG,"Orquesta/Banda/Conjunto"),"")))</f>
        <v/>
      </c>
      <c r="D273" t="str">
        <f>IF(A273="","",IF(A273="[FÓRMULA MANUAL]","",IFERROR(AVERAGEIFS(nNOTA,nNIA,A273,nCUENTA,1,nASIG,"Conjunto"),"")))</f>
        <v/>
      </c>
      <c r="E273" t="str">
        <f>IF(A273="","",IF(A273="[FÓRMULA MANUAL]","",IFERROR(SUMPRODUCT((nNIA=A273)*(nCUENTA=1)*(COUNTIF(CONFIG_ASIGNATURAS!$B$7:$B$27,nASIG)&gt;0)*(nNOTA))/SUMPRODUCT((nNIA=A273)*(nCUENTA=1)*(COUNTIF(CONFIG_ASIGNATURAS!$B$7:$B$27,nASIG)&gt;0)*1),"")))</f>
        <v/>
      </c>
      <c r="H273" t="str">
        <f>IF(G273="","",IF(G273="[FÓRMULA MANUAL]","",IFERROR(AVERAGEIFS(nNOTA,nNIA,G273,nCUENTA,1,nASIG,"Lenguaje Musical"),"")))</f>
        <v/>
      </c>
      <c r="I273" t="str">
        <f>IF(G273="","",IF(G273="[FÓRMULA MANUAL]","",IFERROR(AVERAGEIFS(nNOTA,nNIA,G273,nCUENTA,1,nASIG,"Orquesta/Banda/Conjunto"),"")))</f>
        <v/>
      </c>
      <c r="J273" t="str">
        <f>IF(G273="","",IF(G273="[FÓRMULA MANUAL]","",IFERROR(AVERAGEIFS(nNOTA,nNIA,G273,nCUENTA,1,nASIG,"Conjunto"),"")))</f>
        <v/>
      </c>
      <c r="K273" t="str">
        <f>IF(G273="","",IF(G273="[FÓRMULA MANUAL]","",IFERROR(SUMPRODUCT((nNIA=G273)*(nCUENTA=1)*(COUNTIF(CONFIG_ASIGNATURAS!$B$7:$B$27,nASIG)&gt;0)*(nNOTA))/SUMPRODUCT((nNIA=G273)*(nCUENTA=1)*(COUNTIF(CONFIG_ASIGNATURAS!$B$7:$B$27,nASIG)&gt;0)*1),"")))</f>
        <v/>
      </c>
      <c r="N273" t="str">
        <f>IF(M273="","",IF(M273="[FÓRMULA MANUAL]","",IFERROR(AVERAGEIFS(nNOTA,nNIA,M273,nCUENTA,1,nASIG,"Armonía"),"")))</f>
        <v/>
      </c>
      <c r="O273" t="str">
        <f>IF(M273="","",IF(M273="[FÓRMULA MANUAL]","",IFERROR(AVERAGEIFS(nNOTA,nNIA,M273,nCUENTA,1,nASIG,"Orquesta/Banda/Conjunto"),"")))</f>
        <v/>
      </c>
      <c r="P273" t="str">
        <f>IF(M273="","",IF(M273="[FÓRMULA MANUAL]","",IFERROR(AVERAGEIFS(nNOTA,nNIA,M273,nCUENTA,1,nASIG,"Música de Cámara"),"")))</f>
        <v/>
      </c>
      <c r="Q273" t="str">
        <f>IF(M273="","",IF(M273="[FÓRMULA MANUAL]","",IFERROR(SUMPRODUCT((nNIA=M273)*(nCUENTA=1)*(COUNTIF(CONFIG_ASIGNATURAS!$B$7:$B$27,nASIG)&gt;0)*(nNOTA))/SUMPRODUCT((nNIA=M273)*(nCUENTA=1)*(COUNTIF(CONFIG_ASIGNATURAS!$B$7:$B$27,nASIG)&gt;0)*1),"")))</f>
        <v/>
      </c>
      <c r="T273" t="str">
        <f>IF(S273="","",IF(S273="[FÓRMULA MANUAL]","",IFERROR(AVERAGEIFS(nNOTA,nNIA,S273,nCUENTA,1,nASIG,"Armonía"),"")))</f>
        <v/>
      </c>
      <c r="U273" t="str">
        <f>IF(S273="","",IF(S273="[FÓRMULA MANUAL]","",IFERROR(AVERAGEIFS(nNOTA,nNIA,S273,nCUENTA,1,nASIG,"Orquesta/Banda/Conjunto"),"")))</f>
        <v/>
      </c>
      <c r="V273" t="str">
        <f>IF(S273="","",IF(S273="[FÓRMULA MANUAL]","",IFERROR(AVERAGEIFS(nNOTA,nNIA,S273,nCUENTA,1,nASIG,"Música de Cámara"),"")))</f>
        <v/>
      </c>
      <c r="W273" t="str">
        <f>IF(S273="","",IF(S273="[FÓRMULA MANUAL]","",IFERROR(SUMPRODUCT((nNIA=S273)*(nCUENTA=1)*(COUNTIF(CONFIG_ASIGNATURAS!$B$7:$B$27,nASIG)&gt;0)*(nNOTA))/SUMPRODUCT((nNIA=S273)*(nCUENTA=1)*(COUNTIF(CONFIG_ASIGNATURAS!$B$7:$B$27,nASIG)&gt;0)*1),"")))</f>
        <v/>
      </c>
      <c r="Z273" t="str">
        <f>IF(Y273="","",IF(Y273="[FÓRMULA MANUAL]","",IFERROR(AVERAGEIFS(nNOTA,nNIA,Y273,nCUENTA,1,nASIG,"Análisis"),"")))</f>
        <v/>
      </c>
      <c r="AA273" t="str">
        <f>IF(Y273="","",IF(Y273="[FÓRMULA MANUAL]","",IFERROR(AVERAGEIFS(nNOTA,nNIA,Y273,nCUENTA,1,nASIG,"Orquesta/Banda/Conjunto"),"")))</f>
        <v/>
      </c>
      <c r="AB273" t="str">
        <f>IF(Y273="","",IF(Y273="[FÓRMULA MANUAL]","",IFERROR(AVERAGEIFS(nNOTA,nNIA,Y273,nCUENTA,1,nASIG,"Música de Cámara"),"")))</f>
        <v/>
      </c>
      <c r="AC273" t="str">
        <f>IF(Y273="","",IF(Y273="[FÓRMULA MANUAL]","",IFERROR(SUMPRODUCT((nNIA=Y273)*(nCUENTA=1)*(COUNTIF(CONFIG_ASIGNATURAS!$B$7:$B$27,nASIG)&gt;0)*(nNOTA))/SUMPRODUCT((nNIA=Y273)*(nCUENTA=1)*(COUNTIF(CONFIG_ASIGNATURAS!$B$7:$B$27,nASIG)&gt;0)*1),"")))</f>
        <v/>
      </c>
      <c r="AF273" t="str">
        <f>IF(AE273="","",IF(AE273="[FÓRMULA MANUAL]","",IFERROR(AVERAGEIFS(nNOTA,nNIA,AE273,nCUENTA,1,nASIG,"Análisis"),"")))</f>
        <v/>
      </c>
      <c r="AG273" t="str">
        <f>IF(AE273="","",IF(AE273="[FÓRMULA MANUAL]","",IFERROR(AVERAGEIFS(nNOTA,nNIA,AE273,nCUENTA,1,nASIG,"Orquesta/Banda/Conjunto"),"")))</f>
        <v/>
      </c>
      <c r="AH273" t="str">
        <f>IF(AE273="","",IF(AE273="[FÓRMULA MANUAL]","",IFERROR(AVERAGEIFS(nNOTA,nNIA,AE273,nCUENTA,1,nASIG,"Música de Cámara"),"")))</f>
        <v/>
      </c>
      <c r="AI273" t="str">
        <f>IF(AE273="","",IF(AE273="[FÓRMULA MANUAL]","",IFERROR(SUMPRODUCT((nNIA=AE273)*(nCUENTA=1)*(COUNTIF(CONFIG_ASIGNATURAS!$B$7:$B$27,nASIG)&gt;0)*(nNOTA))/SUMPRODUCT((nNIA=AE273)*(nCUENTA=1)*(COUNTIF(CONFIG_ASIGNATURAS!$B$7:$B$27,nASIG)&gt;0)*1),"")))</f>
        <v/>
      </c>
    </row>
    <row r="274" spans="2:35" x14ac:dyDescent="0.2">
      <c r="B274" t="str">
        <f>IF(A274="","",IF(A274="[FÓRMULA MANUAL]","",IFERROR(AVERAGEIFS(nNOTA,nNIA,A274,nCUENTA,1,nASIG,"Lenguaje Musical"),"")))</f>
        <v/>
      </c>
      <c r="C274" t="str">
        <f>IF(A274="","",IF(A274="[FÓRMULA MANUAL]","",IFERROR(AVERAGEIFS(nNOTA,nNIA,A274,nCUENTA,1,nASIG,"Orquesta/Banda/Conjunto"),"")))</f>
        <v/>
      </c>
      <c r="D274" t="str">
        <f>IF(A274="","",IF(A274="[FÓRMULA MANUAL]","",IFERROR(AVERAGEIFS(nNOTA,nNIA,A274,nCUENTA,1,nASIG,"Conjunto"),"")))</f>
        <v/>
      </c>
      <c r="E274" t="str">
        <f>IF(A274="","",IF(A274="[FÓRMULA MANUAL]","",IFERROR(SUMPRODUCT((nNIA=A274)*(nCUENTA=1)*(COUNTIF(CONFIG_ASIGNATURAS!$B$7:$B$27,nASIG)&gt;0)*(nNOTA))/SUMPRODUCT((nNIA=A274)*(nCUENTA=1)*(COUNTIF(CONFIG_ASIGNATURAS!$B$7:$B$27,nASIG)&gt;0)*1),"")))</f>
        <v/>
      </c>
      <c r="H274" t="str">
        <f>IF(G274="","",IF(G274="[FÓRMULA MANUAL]","",IFERROR(AVERAGEIFS(nNOTA,nNIA,G274,nCUENTA,1,nASIG,"Lenguaje Musical"),"")))</f>
        <v/>
      </c>
      <c r="I274" t="str">
        <f>IF(G274="","",IF(G274="[FÓRMULA MANUAL]","",IFERROR(AVERAGEIFS(nNOTA,nNIA,G274,nCUENTA,1,nASIG,"Orquesta/Banda/Conjunto"),"")))</f>
        <v/>
      </c>
      <c r="J274" t="str">
        <f>IF(G274="","",IF(G274="[FÓRMULA MANUAL]","",IFERROR(AVERAGEIFS(nNOTA,nNIA,G274,nCUENTA,1,nASIG,"Conjunto"),"")))</f>
        <v/>
      </c>
      <c r="K274" t="str">
        <f>IF(G274="","",IF(G274="[FÓRMULA MANUAL]","",IFERROR(SUMPRODUCT((nNIA=G274)*(nCUENTA=1)*(COUNTIF(CONFIG_ASIGNATURAS!$B$7:$B$27,nASIG)&gt;0)*(nNOTA))/SUMPRODUCT((nNIA=G274)*(nCUENTA=1)*(COUNTIF(CONFIG_ASIGNATURAS!$B$7:$B$27,nASIG)&gt;0)*1),"")))</f>
        <v/>
      </c>
      <c r="N274" t="str">
        <f>IF(M274="","",IF(M274="[FÓRMULA MANUAL]","",IFERROR(AVERAGEIFS(nNOTA,nNIA,M274,nCUENTA,1,nASIG,"Armonía"),"")))</f>
        <v/>
      </c>
      <c r="O274" t="str">
        <f>IF(M274="","",IF(M274="[FÓRMULA MANUAL]","",IFERROR(AVERAGEIFS(nNOTA,nNIA,M274,nCUENTA,1,nASIG,"Orquesta/Banda/Conjunto"),"")))</f>
        <v/>
      </c>
      <c r="P274" t="str">
        <f>IF(M274="","",IF(M274="[FÓRMULA MANUAL]","",IFERROR(AVERAGEIFS(nNOTA,nNIA,M274,nCUENTA,1,nASIG,"Música de Cámara"),"")))</f>
        <v/>
      </c>
      <c r="Q274" t="str">
        <f>IF(M274="","",IF(M274="[FÓRMULA MANUAL]","",IFERROR(SUMPRODUCT((nNIA=M274)*(nCUENTA=1)*(COUNTIF(CONFIG_ASIGNATURAS!$B$7:$B$27,nASIG)&gt;0)*(nNOTA))/SUMPRODUCT((nNIA=M274)*(nCUENTA=1)*(COUNTIF(CONFIG_ASIGNATURAS!$B$7:$B$27,nASIG)&gt;0)*1),"")))</f>
        <v/>
      </c>
      <c r="T274" t="str">
        <f>IF(S274="","",IF(S274="[FÓRMULA MANUAL]","",IFERROR(AVERAGEIFS(nNOTA,nNIA,S274,nCUENTA,1,nASIG,"Armonía"),"")))</f>
        <v/>
      </c>
      <c r="U274" t="str">
        <f>IF(S274="","",IF(S274="[FÓRMULA MANUAL]","",IFERROR(AVERAGEIFS(nNOTA,nNIA,S274,nCUENTA,1,nASIG,"Orquesta/Banda/Conjunto"),"")))</f>
        <v/>
      </c>
      <c r="V274" t="str">
        <f>IF(S274="","",IF(S274="[FÓRMULA MANUAL]","",IFERROR(AVERAGEIFS(nNOTA,nNIA,S274,nCUENTA,1,nASIG,"Música de Cámara"),"")))</f>
        <v/>
      </c>
      <c r="W274" t="str">
        <f>IF(S274="","",IF(S274="[FÓRMULA MANUAL]","",IFERROR(SUMPRODUCT((nNIA=S274)*(nCUENTA=1)*(COUNTIF(CONFIG_ASIGNATURAS!$B$7:$B$27,nASIG)&gt;0)*(nNOTA))/SUMPRODUCT((nNIA=S274)*(nCUENTA=1)*(COUNTIF(CONFIG_ASIGNATURAS!$B$7:$B$27,nASIG)&gt;0)*1),"")))</f>
        <v/>
      </c>
      <c r="Z274" t="str">
        <f>IF(Y274="","",IF(Y274="[FÓRMULA MANUAL]","",IFERROR(AVERAGEIFS(nNOTA,nNIA,Y274,nCUENTA,1,nASIG,"Análisis"),"")))</f>
        <v/>
      </c>
      <c r="AA274" t="str">
        <f>IF(Y274="","",IF(Y274="[FÓRMULA MANUAL]","",IFERROR(AVERAGEIFS(nNOTA,nNIA,Y274,nCUENTA,1,nASIG,"Orquesta/Banda/Conjunto"),"")))</f>
        <v/>
      </c>
      <c r="AB274" t="str">
        <f>IF(Y274="","",IF(Y274="[FÓRMULA MANUAL]","",IFERROR(AVERAGEIFS(nNOTA,nNIA,Y274,nCUENTA,1,nASIG,"Música de Cámara"),"")))</f>
        <v/>
      </c>
      <c r="AC274" t="str">
        <f>IF(Y274="","",IF(Y274="[FÓRMULA MANUAL]","",IFERROR(SUMPRODUCT((nNIA=Y274)*(nCUENTA=1)*(COUNTIF(CONFIG_ASIGNATURAS!$B$7:$B$27,nASIG)&gt;0)*(nNOTA))/SUMPRODUCT((nNIA=Y274)*(nCUENTA=1)*(COUNTIF(CONFIG_ASIGNATURAS!$B$7:$B$27,nASIG)&gt;0)*1),"")))</f>
        <v/>
      </c>
      <c r="AF274" t="str">
        <f>IF(AE274="","",IF(AE274="[FÓRMULA MANUAL]","",IFERROR(AVERAGEIFS(nNOTA,nNIA,AE274,nCUENTA,1,nASIG,"Análisis"),"")))</f>
        <v/>
      </c>
      <c r="AG274" t="str">
        <f>IF(AE274="","",IF(AE274="[FÓRMULA MANUAL]","",IFERROR(AVERAGEIFS(nNOTA,nNIA,AE274,nCUENTA,1,nASIG,"Orquesta/Banda/Conjunto"),"")))</f>
        <v/>
      </c>
      <c r="AH274" t="str">
        <f>IF(AE274="","",IF(AE274="[FÓRMULA MANUAL]","",IFERROR(AVERAGEIFS(nNOTA,nNIA,AE274,nCUENTA,1,nASIG,"Música de Cámara"),"")))</f>
        <v/>
      </c>
      <c r="AI274" t="str">
        <f>IF(AE274="","",IF(AE274="[FÓRMULA MANUAL]","",IFERROR(SUMPRODUCT((nNIA=AE274)*(nCUENTA=1)*(COUNTIF(CONFIG_ASIGNATURAS!$B$7:$B$27,nASIG)&gt;0)*(nNOTA))/SUMPRODUCT((nNIA=AE274)*(nCUENTA=1)*(COUNTIF(CONFIG_ASIGNATURAS!$B$7:$B$27,nASIG)&gt;0)*1),"")))</f>
        <v/>
      </c>
    </row>
    <row r="275" spans="2:35" x14ac:dyDescent="0.2">
      <c r="B275" t="str">
        <f>IF(A275="","",IF(A275="[FÓRMULA MANUAL]","",IFERROR(AVERAGEIFS(nNOTA,nNIA,A275,nCUENTA,1,nASIG,"Lenguaje Musical"),"")))</f>
        <v/>
      </c>
      <c r="C275" t="str">
        <f>IF(A275="","",IF(A275="[FÓRMULA MANUAL]","",IFERROR(AVERAGEIFS(nNOTA,nNIA,A275,nCUENTA,1,nASIG,"Orquesta/Banda/Conjunto"),"")))</f>
        <v/>
      </c>
      <c r="D275" t="str">
        <f>IF(A275="","",IF(A275="[FÓRMULA MANUAL]","",IFERROR(AVERAGEIFS(nNOTA,nNIA,A275,nCUENTA,1,nASIG,"Conjunto"),"")))</f>
        <v/>
      </c>
      <c r="E275" t="str">
        <f>IF(A275="","",IF(A275="[FÓRMULA MANUAL]","",IFERROR(SUMPRODUCT((nNIA=A275)*(nCUENTA=1)*(COUNTIF(CONFIG_ASIGNATURAS!$B$7:$B$27,nASIG)&gt;0)*(nNOTA))/SUMPRODUCT((nNIA=A275)*(nCUENTA=1)*(COUNTIF(CONFIG_ASIGNATURAS!$B$7:$B$27,nASIG)&gt;0)*1),"")))</f>
        <v/>
      </c>
      <c r="H275" t="str">
        <f>IF(G275="","",IF(G275="[FÓRMULA MANUAL]","",IFERROR(AVERAGEIFS(nNOTA,nNIA,G275,nCUENTA,1,nASIG,"Lenguaje Musical"),"")))</f>
        <v/>
      </c>
      <c r="I275" t="str">
        <f>IF(G275="","",IF(G275="[FÓRMULA MANUAL]","",IFERROR(AVERAGEIFS(nNOTA,nNIA,G275,nCUENTA,1,nASIG,"Orquesta/Banda/Conjunto"),"")))</f>
        <v/>
      </c>
      <c r="J275" t="str">
        <f>IF(G275="","",IF(G275="[FÓRMULA MANUAL]","",IFERROR(AVERAGEIFS(nNOTA,nNIA,G275,nCUENTA,1,nASIG,"Conjunto"),"")))</f>
        <v/>
      </c>
      <c r="K275" t="str">
        <f>IF(G275="","",IF(G275="[FÓRMULA MANUAL]","",IFERROR(SUMPRODUCT((nNIA=G275)*(nCUENTA=1)*(COUNTIF(CONFIG_ASIGNATURAS!$B$7:$B$27,nASIG)&gt;0)*(nNOTA))/SUMPRODUCT((nNIA=G275)*(nCUENTA=1)*(COUNTIF(CONFIG_ASIGNATURAS!$B$7:$B$27,nASIG)&gt;0)*1),"")))</f>
        <v/>
      </c>
      <c r="N275" t="str">
        <f>IF(M275="","",IF(M275="[FÓRMULA MANUAL]","",IFERROR(AVERAGEIFS(nNOTA,nNIA,M275,nCUENTA,1,nASIG,"Armonía"),"")))</f>
        <v/>
      </c>
      <c r="O275" t="str">
        <f>IF(M275="","",IF(M275="[FÓRMULA MANUAL]","",IFERROR(AVERAGEIFS(nNOTA,nNIA,M275,nCUENTA,1,nASIG,"Orquesta/Banda/Conjunto"),"")))</f>
        <v/>
      </c>
      <c r="P275" t="str">
        <f>IF(M275="","",IF(M275="[FÓRMULA MANUAL]","",IFERROR(AVERAGEIFS(nNOTA,nNIA,M275,nCUENTA,1,nASIG,"Música de Cámara"),"")))</f>
        <v/>
      </c>
      <c r="Q275" t="str">
        <f>IF(M275="","",IF(M275="[FÓRMULA MANUAL]","",IFERROR(SUMPRODUCT((nNIA=M275)*(nCUENTA=1)*(COUNTIF(CONFIG_ASIGNATURAS!$B$7:$B$27,nASIG)&gt;0)*(nNOTA))/SUMPRODUCT((nNIA=M275)*(nCUENTA=1)*(COUNTIF(CONFIG_ASIGNATURAS!$B$7:$B$27,nASIG)&gt;0)*1),"")))</f>
        <v/>
      </c>
      <c r="T275" t="str">
        <f>IF(S275="","",IF(S275="[FÓRMULA MANUAL]","",IFERROR(AVERAGEIFS(nNOTA,nNIA,S275,nCUENTA,1,nASIG,"Armonía"),"")))</f>
        <v/>
      </c>
      <c r="U275" t="str">
        <f>IF(S275="","",IF(S275="[FÓRMULA MANUAL]","",IFERROR(AVERAGEIFS(nNOTA,nNIA,S275,nCUENTA,1,nASIG,"Orquesta/Banda/Conjunto"),"")))</f>
        <v/>
      </c>
      <c r="V275" t="str">
        <f>IF(S275="","",IF(S275="[FÓRMULA MANUAL]","",IFERROR(AVERAGEIFS(nNOTA,nNIA,S275,nCUENTA,1,nASIG,"Música de Cámara"),"")))</f>
        <v/>
      </c>
      <c r="W275" t="str">
        <f>IF(S275="","",IF(S275="[FÓRMULA MANUAL]","",IFERROR(SUMPRODUCT((nNIA=S275)*(nCUENTA=1)*(COUNTIF(CONFIG_ASIGNATURAS!$B$7:$B$27,nASIG)&gt;0)*(nNOTA))/SUMPRODUCT((nNIA=S275)*(nCUENTA=1)*(COUNTIF(CONFIG_ASIGNATURAS!$B$7:$B$27,nASIG)&gt;0)*1),"")))</f>
        <v/>
      </c>
      <c r="Z275" t="str">
        <f>IF(Y275="","",IF(Y275="[FÓRMULA MANUAL]","",IFERROR(AVERAGEIFS(nNOTA,nNIA,Y275,nCUENTA,1,nASIG,"Análisis"),"")))</f>
        <v/>
      </c>
      <c r="AA275" t="str">
        <f>IF(Y275="","",IF(Y275="[FÓRMULA MANUAL]","",IFERROR(AVERAGEIFS(nNOTA,nNIA,Y275,nCUENTA,1,nASIG,"Orquesta/Banda/Conjunto"),"")))</f>
        <v/>
      </c>
      <c r="AB275" t="str">
        <f>IF(Y275="","",IF(Y275="[FÓRMULA MANUAL]","",IFERROR(AVERAGEIFS(nNOTA,nNIA,Y275,nCUENTA,1,nASIG,"Música de Cámara"),"")))</f>
        <v/>
      </c>
      <c r="AC275" t="str">
        <f>IF(Y275="","",IF(Y275="[FÓRMULA MANUAL]","",IFERROR(SUMPRODUCT((nNIA=Y275)*(nCUENTA=1)*(COUNTIF(CONFIG_ASIGNATURAS!$B$7:$B$27,nASIG)&gt;0)*(nNOTA))/SUMPRODUCT((nNIA=Y275)*(nCUENTA=1)*(COUNTIF(CONFIG_ASIGNATURAS!$B$7:$B$27,nASIG)&gt;0)*1),"")))</f>
        <v/>
      </c>
      <c r="AF275" t="str">
        <f>IF(AE275="","",IF(AE275="[FÓRMULA MANUAL]","",IFERROR(AVERAGEIFS(nNOTA,nNIA,AE275,nCUENTA,1,nASIG,"Análisis"),"")))</f>
        <v/>
      </c>
      <c r="AG275" t="str">
        <f>IF(AE275="","",IF(AE275="[FÓRMULA MANUAL]","",IFERROR(AVERAGEIFS(nNOTA,nNIA,AE275,nCUENTA,1,nASIG,"Orquesta/Banda/Conjunto"),"")))</f>
        <v/>
      </c>
      <c r="AH275" t="str">
        <f>IF(AE275="","",IF(AE275="[FÓRMULA MANUAL]","",IFERROR(AVERAGEIFS(nNOTA,nNIA,AE275,nCUENTA,1,nASIG,"Música de Cámara"),"")))</f>
        <v/>
      </c>
      <c r="AI275" t="str">
        <f>IF(AE275="","",IF(AE275="[FÓRMULA MANUAL]","",IFERROR(SUMPRODUCT((nNIA=AE275)*(nCUENTA=1)*(COUNTIF(CONFIG_ASIGNATURAS!$B$7:$B$27,nASIG)&gt;0)*(nNOTA))/SUMPRODUCT((nNIA=AE275)*(nCUENTA=1)*(COUNTIF(CONFIG_ASIGNATURAS!$B$7:$B$27,nASIG)&gt;0)*1),"")))</f>
        <v/>
      </c>
    </row>
    <row r="276" spans="2:35" x14ac:dyDescent="0.2">
      <c r="B276" t="str">
        <f>IF(A276="","",IF(A276="[FÓRMULA MANUAL]","",IFERROR(AVERAGEIFS(nNOTA,nNIA,A276,nCUENTA,1,nASIG,"Lenguaje Musical"),"")))</f>
        <v/>
      </c>
      <c r="C276" t="str">
        <f>IF(A276="","",IF(A276="[FÓRMULA MANUAL]","",IFERROR(AVERAGEIFS(nNOTA,nNIA,A276,nCUENTA,1,nASIG,"Orquesta/Banda/Conjunto"),"")))</f>
        <v/>
      </c>
      <c r="D276" t="str">
        <f>IF(A276="","",IF(A276="[FÓRMULA MANUAL]","",IFERROR(AVERAGEIFS(nNOTA,nNIA,A276,nCUENTA,1,nASIG,"Conjunto"),"")))</f>
        <v/>
      </c>
      <c r="E276" t="str">
        <f>IF(A276="","",IF(A276="[FÓRMULA MANUAL]","",IFERROR(SUMPRODUCT((nNIA=A276)*(nCUENTA=1)*(COUNTIF(CONFIG_ASIGNATURAS!$B$7:$B$27,nASIG)&gt;0)*(nNOTA))/SUMPRODUCT((nNIA=A276)*(nCUENTA=1)*(COUNTIF(CONFIG_ASIGNATURAS!$B$7:$B$27,nASIG)&gt;0)*1),"")))</f>
        <v/>
      </c>
      <c r="H276" t="str">
        <f>IF(G276="","",IF(G276="[FÓRMULA MANUAL]","",IFERROR(AVERAGEIFS(nNOTA,nNIA,G276,nCUENTA,1,nASIG,"Lenguaje Musical"),"")))</f>
        <v/>
      </c>
      <c r="I276" t="str">
        <f>IF(G276="","",IF(G276="[FÓRMULA MANUAL]","",IFERROR(AVERAGEIFS(nNOTA,nNIA,G276,nCUENTA,1,nASIG,"Orquesta/Banda/Conjunto"),"")))</f>
        <v/>
      </c>
      <c r="J276" t="str">
        <f>IF(G276="","",IF(G276="[FÓRMULA MANUAL]","",IFERROR(AVERAGEIFS(nNOTA,nNIA,G276,nCUENTA,1,nASIG,"Conjunto"),"")))</f>
        <v/>
      </c>
      <c r="K276" t="str">
        <f>IF(G276="","",IF(G276="[FÓRMULA MANUAL]","",IFERROR(SUMPRODUCT((nNIA=G276)*(nCUENTA=1)*(COUNTIF(CONFIG_ASIGNATURAS!$B$7:$B$27,nASIG)&gt;0)*(nNOTA))/SUMPRODUCT((nNIA=G276)*(nCUENTA=1)*(COUNTIF(CONFIG_ASIGNATURAS!$B$7:$B$27,nASIG)&gt;0)*1),"")))</f>
        <v/>
      </c>
      <c r="N276" t="str">
        <f>IF(M276="","",IF(M276="[FÓRMULA MANUAL]","",IFERROR(AVERAGEIFS(nNOTA,nNIA,M276,nCUENTA,1,nASIG,"Armonía"),"")))</f>
        <v/>
      </c>
      <c r="O276" t="str">
        <f>IF(M276="","",IF(M276="[FÓRMULA MANUAL]","",IFERROR(AVERAGEIFS(nNOTA,nNIA,M276,nCUENTA,1,nASIG,"Orquesta/Banda/Conjunto"),"")))</f>
        <v/>
      </c>
      <c r="P276" t="str">
        <f>IF(M276="","",IF(M276="[FÓRMULA MANUAL]","",IFERROR(AVERAGEIFS(nNOTA,nNIA,M276,nCUENTA,1,nASIG,"Música de Cámara"),"")))</f>
        <v/>
      </c>
      <c r="Q276" t="str">
        <f>IF(M276="","",IF(M276="[FÓRMULA MANUAL]","",IFERROR(SUMPRODUCT((nNIA=M276)*(nCUENTA=1)*(COUNTIF(CONFIG_ASIGNATURAS!$B$7:$B$27,nASIG)&gt;0)*(nNOTA))/SUMPRODUCT((nNIA=M276)*(nCUENTA=1)*(COUNTIF(CONFIG_ASIGNATURAS!$B$7:$B$27,nASIG)&gt;0)*1),"")))</f>
        <v/>
      </c>
      <c r="T276" t="str">
        <f>IF(S276="","",IF(S276="[FÓRMULA MANUAL]","",IFERROR(AVERAGEIFS(nNOTA,nNIA,S276,nCUENTA,1,nASIG,"Armonía"),"")))</f>
        <v/>
      </c>
      <c r="U276" t="str">
        <f>IF(S276="","",IF(S276="[FÓRMULA MANUAL]","",IFERROR(AVERAGEIFS(nNOTA,nNIA,S276,nCUENTA,1,nASIG,"Orquesta/Banda/Conjunto"),"")))</f>
        <v/>
      </c>
      <c r="V276" t="str">
        <f>IF(S276="","",IF(S276="[FÓRMULA MANUAL]","",IFERROR(AVERAGEIFS(nNOTA,nNIA,S276,nCUENTA,1,nASIG,"Música de Cámara"),"")))</f>
        <v/>
      </c>
      <c r="W276" t="str">
        <f>IF(S276="","",IF(S276="[FÓRMULA MANUAL]","",IFERROR(SUMPRODUCT((nNIA=S276)*(nCUENTA=1)*(COUNTIF(CONFIG_ASIGNATURAS!$B$7:$B$27,nASIG)&gt;0)*(nNOTA))/SUMPRODUCT((nNIA=S276)*(nCUENTA=1)*(COUNTIF(CONFIG_ASIGNATURAS!$B$7:$B$27,nASIG)&gt;0)*1),"")))</f>
        <v/>
      </c>
      <c r="Z276" t="str">
        <f>IF(Y276="","",IF(Y276="[FÓRMULA MANUAL]","",IFERROR(AVERAGEIFS(nNOTA,nNIA,Y276,nCUENTA,1,nASIG,"Análisis"),"")))</f>
        <v/>
      </c>
      <c r="AA276" t="str">
        <f>IF(Y276="","",IF(Y276="[FÓRMULA MANUAL]","",IFERROR(AVERAGEIFS(nNOTA,nNIA,Y276,nCUENTA,1,nASIG,"Orquesta/Banda/Conjunto"),"")))</f>
        <v/>
      </c>
      <c r="AB276" t="str">
        <f>IF(Y276="","",IF(Y276="[FÓRMULA MANUAL]","",IFERROR(AVERAGEIFS(nNOTA,nNIA,Y276,nCUENTA,1,nASIG,"Música de Cámara"),"")))</f>
        <v/>
      </c>
      <c r="AC276" t="str">
        <f>IF(Y276="","",IF(Y276="[FÓRMULA MANUAL]","",IFERROR(SUMPRODUCT((nNIA=Y276)*(nCUENTA=1)*(COUNTIF(CONFIG_ASIGNATURAS!$B$7:$B$27,nASIG)&gt;0)*(nNOTA))/SUMPRODUCT((nNIA=Y276)*(nCUENTA=1)*(COUNTIF(CONFIG_ASIGNATURAS!$B$7:$B$27,nASIG)&gt;0)*1),"")))</f>
        <v/>
      </c>
      <c r="AF276" t="str">
        <f>IF(AE276="","",IF(AE276="[FÓRMULA MANUAL]","",IFERROR(AVERAGEIFS(nNOTA,nNIA,AE276,nCUENTA,1,nASIG,"Análisis"),"")))</f>
        <v/>
      </c>
      <c r="AG276" t="str">
        <f>IF(AE276="","",IF(AE276="[FÓRMULA MANUAL]","",IFERROR(AVERAGEIFS(nNOTA,nNIA,AE276,nCUENTA,1,nASIG,"Orquesta/Banda/Conjunto"),"")))</f>
        <v/>
      </c>
      <c r="AH276" t="str">
        <f>IF(AE276="","",IF(AE276="[FÓRMULA MANUAL]","",IFERROR(AVERAGEIFS(nNOTA,nNIA,AE276,nCUENTA,1,nASIG,"Música de Cámara"),"")))</f>
        <v/>
      </c>
      <c r="AI276" t="str">
        <f>IF(AE276="","",IF(AE276="[FÓRMULA MANUAL]","",IFERROR(SUMPRODUCT((nNIA=AE276)*(nCUENTA=1)*(COUNTIF(CONFIG_ASIGNATURAS!$B$7:$B$27,nASIG)&gt;0)*(nNOTA))/SUMPRODUCT((nNIA=AE276)*(nCUENTA=1)*(COUNTIF(CONFIG_ASIGNATURAS!$B$7:$B$27,nASIG)&gt;0)*1),"")))</f>
        <v/>
      </c>
    </row>
    <row r="277" spans="2:35" x14ac:dyDescent="0.2">
      <c r="B277" t="str">
        <f>IF(A277="","",IF(A277="[FÓRMULA MANUAL]","",IFERROR(AVERAGEIFS(nNOTA,nNIA,A277,nCUENTA,1,nASIG,"Lenguaje Musical"),"")))</f>
        <v/>
      </c>
      <c r="C277" t="str">
        <f>IF(A277="","",IF(A277="[FÓRMULA MANUAL]","",IFERROR(AVERAGEIFS(nNOTA,nNIA,A277,nCUENTA,1,nASIG,"Orquesta/Banda/Conjunto"),"")))</f>
        <v/>
      </c>
      <c r="D277" t="str">
        <f>IF(A277="","",IF(A277="[FÓRMULA MANUAL]","",IFERROR(AVERAGEIFS(nNOTA,nNIA,A277,nCUENTA,1,nASIG,"Conjunto"),"")))</f>
        <v/>
      </c>
      <c r="E277" t="str">
        <f>IF(A277="","",IF(A277="[FÓRMULA MANUAL]","",IFERROR(SUMPRODUCT((nNIA=A277)*(nCUENTA=1)*(COUNTIF(CONFIG_ASIGNATURAS!$B$7:$B$27,nASIG)&gt;0)*(nNOTA))/SUMPRODUCT((nNIA=A277)*(nCUENTA=1)*(COUNTIF(CONFIG_ASIGNATURAS!$B$7:$B$27,nASIG)&gt;0)*1),"")))</f>
        <v/>
      </c>
      <c r="H277" t="str">
        <f>IF(G277="","",IF(G277="[FÓRMULA MANUAL]","",IFERROR(AVERAGEIFS(nNOTA,nNIA,G277,nCUENTA,1,nASIG,"Lenguaje Musical"),"")))</f>
        <v/>
      </c>
      <c r="I277" t="str">
        <f>IF(G277="","",IF(G277="[FÓRMULA MANUAL]","",IFERROR(AVERAGEIFS(nNOTA,nNIA,G277,nCUENTA,1,nASIG,"Orquesta/Banda/Conjunto"),"")))</f>
        <v/>
      </c>
      <c r="J277" t="str">
        <f>IF(G277="","",IF(G277="[FÓRMULA MANUAL]","",IFERROR(AVERAGEIFS(nNOTA,nNIA,G277,nCUENTA,1,nASIG,"Conjunto"),"")))</f>
        <v/>
      </c>
      <c r="K277" t="str">
        <f>IF(G277="","",IF(G277="[FÓRMULA MANUAL]","",IFERROR(SUMPRODUCT((nNIA=G277)*(nCUENTA=1)*(COUNTIF(CONFIG_ASIGNATURAS!$B$7:$B$27,nASIG)&gt;0)*(nNOTA))/SUMPRODUCT((nNIA=G277)*(nCUENTA=1)*(COUNTIF(CONFIG_ASIGNATURAS!$B$7:$B$27,nASIG)&gt;0)*1),"")))</f>
        <v/>
      </c>
      <c r="N277" t="str">
        <f>IF(M277="","",IF(M277="[FÓRMULA MANUAL]","",IFERROR(AVERAGEIFS(nNOTA,nNIA,M277,nCUENTA,1,nASIG,"Armonía"),"")))</f>
        <v/>
      </c>
      <c r="O277" t="str">
        <f>IF(M277="","",IF(M277="[FÓRMULA MANUAL]","",IFERROR(AVERAGEIFS(nNOTA,nNIA,M277,nCUENTA,1,nASIG,"Orquesta/Banda/Conjunto"),"")))</f>
        <v/>
      </c>
      <c r="P277" t="str">
        <f>IF(M277="","",IF(M277="[FÓRMULA MANUAL]","",IFERROR(AVERAGEIFS(nNOTA,nNIA,M277,nCUENTA,1,nASIG,"Música de Cámara"),"")))</f>
        <v/>
      </c>
      <c r="Q277" t="str">
        <f>IF(M277="","",IF(M277="[FÓRMULA MANUAL]","",IFERROR(SUMPRODUCT((nNIA=M277)*(nCUENTA=1)*(COUNTIF(CONFIG_ASIGNATURAS!$B$7:$B$27,nASIG)&gt;0)*(nNOTA))/SUMPRODUCT((nNIA=M277)*(nCUENTA=1)*(COUNTIF(CONFIG_ASIGNATURAS!$B$7:$B$27,nASIG)&gt;0)*1),"")))</f>
        <v/>
      </c>
      <c r="T277" t="str">
        <f>IF(S277="","",IF(S277="[FÓRMULA MANUAL]","",IFERROR(AVERAGEIFS(nNOTA,nNIA,S277,nCUENTA,1,nASIG,"Armonía"),"")))</f>
        <v/>
      </c>
      <c r="U277" t="str">
        <f>IF(S277="","",IF(S277="[FÓRMULA MANUAL]","",IFERROR(AVERAGEIFS(nNOTA,nNIA,S277,nCUENTA,1,nASIG,"Orquesta/Banda/Conjunto"),"")))</f>
        <v/>
      </c>
      <c r="V277" t="str">
        <f>IF(S277="","",IF(S277="[FÓRMULA MANUAL]","",IFERROR(AVERAGEIFS(nNOTA,nNIA,S277,nCUENTA,1,nASIG,"Música de Cámara"),"")))</f>
        <v/>
      </c>
      <c r="W277" t="str">
        <f>IF(S277="","",IF(S277="[FÓRMULA MANUAL]","",IFERROR(SUMPRODUCT((nNIA=S277)*(nCUENTA=1)*(COUNTIF(CONFIG_ASIGNATURAS!$B$7:$B$27,nASIG)&gt;0)*(nNOTA))/SUMPRODUCT((nNIA=S277)*(nCUENTA=1)*(COUNTIF(CONFIG_ASIGNATURAS!$B$7:$B$27,nASIG)&gt;0)*1),"")))</f>
        <v/>
      </c>
      <c r="Z277" t="str">
        <f>IF(Y277="","",IF(Y277="[FÓRMULA MANUAL]","",IFERROR(AVERAGEIFS(nNOTA,nNIA,Y277,nCUENTA,1,nASIG,"Análisis"),"")))</f>
        <v/>
      </c>
      <c r="AA277" t="str">
        <f>IF(Y277="","",IF(Y277="[FÓRMULA MANUAL]","",IFERROR(AVERAGEIFS(nNOTA,nNIA,Y277,nCUENTA,1,nASIG,"Orquesta/Banda/Conjunto"),"")))</f>
        <v/>
      </c>
      <c r="AB277" t="str">
        <f>IF(Y277="","",IF(Y277="[FÓRMULA MANUAL]","",IFERROR(AVERAGEIFS(nNOTA,nNIA,Y277,nCUENTA,1,nASIG,"Música de Cámara"),"")))</f>
        <v/>
      </c>
      <c r="AC277" t="str">
        <f>IF(Y277="","",IF(Y277="[FÓRMULA MANUAL]","",IFERROR(SUMPRODUCT((nNIA=Y277)*(nCUENTA=1)*(COUNTIF(CONFIG_ASIGNATURAS!$B$7:$B$27,nASIG)&gt;0)*(nNOTA))/SUMPRODUCT((nNIA=Y277)*(nCUENTA=1)*(COUNTIF(CONFIG_ASIGNATURAS!$B$7:$B$27,nASIG)&gt;0)*1),"")))</f>
        <v/>
      </c>
      <c r="AF277" t="str">
        <f>IF(AE277="","",IF(AE277="[FÓRMULA MANUAL]","",IFERROR(AVERAGEIFS(nNOTA,nNIA,AE277,nCUENTA,1,nASIG,"Análisis"),"")))</f>
        <v/>
      </c>
      <c r="AG277" t="str">
        <f>IF(AE277="","",IF(AE277="[FÓRMULA MANUAL]","",IFERROR(AVERAGEIFS(nNOTA,nNIA,AE277,nCUENTA,1,nASIG,"Orquesta/Banda/Conjunto"),"")))</f>
        <v/>
      </c>
      <c r="AH277" t="str">
        <f>IF(AE277="","",IF(AE277="[FÓRMULA MANUAL]","",IFERROR(AVERAGEIFS(nNOTA,nNIA,AE277,nCUENTA,1,nASIG,"Música de Cámara"),"")))</f>
        <v/>
      </c>
      <c r="AI277" t="str">
        <f>IF(AE277="","",IF(AE277="[FÓRMULA MANUAL]","",IFERROR(SUMPRODUCT((nNIA=AE277)*(nCUENTA=1)*(COUNTIF(CONFIG_ASIGNATURAS!$B$7:$B$27,nASIG)&gt;0)*(nNOTA))/SUMPRODUCT((nNIA=AE277)*(nCUENTA=1)*(COUNTIF(CONFIG_ASIGNATURAS!$B$7:$B$27,nASIG)&gt;0)*1),"")))</f>
        <v/>
      </c>
    </row>
    <row r="278" spans="2:35" x14ac:dyDescent="0.2">
      <c r="B278" t="str">
        <f>IF(A278="","",IF(A278="[FÓRMULA MANUAL]","",IFERROR(AVERAGEIFS(nNOTA,nNIA,A278,nCUENTA,1,nASIG,"Lenguaje Musical"),"")))</f>
        <v/>
      </c>
      <c r="C278" t="str">
        <f>IF(A278="","",IF(A278="[FÓRMULA MANUAL]","",IFERROR(AVERAGEIFS(nNOTA,nNIA,A278,nCUENTA,1,nASIG,"Orquesta/Banda/Conjunto"),"")))</f>
        <v/>
      </c>
      <c r="D278" t="str">
        <f>IF(A278="","",IF(A278="[FÓRMULA MANUAL]","",IFERROR(AVERAGEIFS(nNOTA,nNIA,A278,nCUENTA,1,nASIG,"Conjunto"),"")))</f>
        <v/>
      </c>
      <c r="E278" t="str">
        <f>IF(A278="","",IF(A278="[FÓRMULA MANUAL]","",IFERROR(SUMPRODUCT((nNIA=A278)*(nCUENTA=1)*(COUNTIF(CONFIG_ASIGNATURAS!$B$7:$B$27,nASIG)&gt;0)*(nNOTA))/SUMPRODUCT((nNIA=A278)*(nCUENTA=1)*(COUNTIF(CONFIG_ASIGNATURAS!$B$7:$B$27,nASIG)&gt;0)*1),"")))</f>
        <v/>
      </c>
      <c r="H278" t="str">
        <f>IF(G278="","",IF(G278="[FÓRMULA MANUAL]","",IFERROR(AVERAGEIFS(nNOTA,nNIA,G278,nCUENTA,1,nASIG,"Lenguaje Musical"),"")))</f>
        <v/>
      </c>
      <c r="I278" t="str">
        <f>IF(G278="","",IF(G278="[FÓRMULA MANUAL]","",IFERROR(AVERAGEIFS(nNOTA,nNIA,G278,nCUENTA,1,nASIG,"Orquesta/Banda/Conjunto"),"")))</f>
        <v/>
      </c>
      <c r="J278" t="str">
        <f>IF(G278="","",IF(G278="[FÓRMULA MANUAL]","",IFERROR(AVERAGEIFS(nNOTA,nNIA,G278,nCUENTA,1,nASIG,"Conjunto"),"")))</f>
        <v/>
      </c>
      <c r="K278" t="str">
        <f>IF(G278="","",IF(G278="[FÓRMULA MANUAL]","",IFERROR(SUMPRODUCT((nNIA=G278)*(nCUENTA=1)*(COUNTIF(CONFIG_ASIGNATURAS!$B$7:$B$27,nASIG)&gt;0)*(nNOTA))/SUMPRODUCT((nNIA=G278)*(nCUENTA=1)*(COUNTIF(CONFIG_ASIGNATURAS!$B$7:$B$27,nASIG)&gt;0)*1),"")))</f>
        <v/>
      </c>
      <c r="N278" t="str">
        <f>IF(M278="","",IF(M278="[FÓRMULA MANUAL]","",IFERROR(AVERAGEIFS(nNOTA,nNIA,M278,nCUENTA,1,nASIG,"Armonía"),"")))</f>
        <v/>
      </c>
      <c r="O278" t="str">
        <f>IF(M278="","",IF(M278="[FÓRMULA MANUAL]","",IFERROR(AVERAGEIFS(nNOTA,nNIA,M278,nCUENTA,1,nASIG,"Orquesta/Banda/Conjunto"),"")))</f>
        <v/>
      </c>
      <c r="P278" t="str">
        <f>IF(M278="","",IF(M278="[FÓRMULA MANUAL]","",IFERROR(AVERAGEIFS(nNOTA,nNIA,M278,nCUENTA,1,nASIG,"Música de Cámara"),"")))</f>
        <v/>
      </c>
      <c r="Q278" t="str">
        <f>IF(M278="","",IF(M278="[FÓRMULA MANUAL]","",IFERROR(SUMPRODUCT((nNIA=M278)*(nCUENTA=1)*(COUNTIF(CONFIG_ASIGNATURAS!$B$7:$B$27,nASIG)&gt;0)*(nNOTA))/SUMPRODUCT((nNIA=M278)*(nCUENTA=1)*(COUNTIF(CONFIG_ASIGNATURAS!$B$7:$B$27,nASIG)&gt;0)*1),"")))</f>
        <v/>
      </c>
      <c r="T278" t="str">
        <f>IF(S278="","",IF(S278="[FÓRMULA MANUAL]","",IFERROR(AVERAGEIFS(nNOTA,nNIA,S278,nCUENTA,1,nASIG,"Armonía"),"")))</f>
        <v/>
      </c>
      <c r="U278" t="str">
        <f>IF(S278="","",IF(S278="[FÓRMULA MANUAL]","",IFERROR(AVERAGEIFS(nNOTA,nNIA,S278,nCUENTA,1,nASIG,"Orquesta/Banda/Conjunto"),"")))</f>
        <v/>
      </c>
      <c r="V278" t="str">
        <f>IF(S278="","",IF(S278="[FÓRMULA MANUAL]","",IFERROR(AVERAGEIFS(nNOTA,nNIA,S278,nCUENTA,1,nASIG,"Música de Cámara"),"")))</f>
        <v/>
      </c>
      <c r="W278" t="str">
        <f>IF(S278="","",IF(S278="[FÓRMULA MANUAL]","",IFERROR(SUMPRODUCT((nNIA=S278)*(nCUENTA=1)*(COUNTIF(CONFIG_ASIGNATURAS!$B$7:$B$27,nASIG)&gt;0)*(nNOTA))/SUMPRODUCT((nNIA=S278)*(nCUENTA=1)*(COUNTIF(CONFIG_ASIGNATURAS!$B$7:$B$27,nASIG)&gt;0)*1),"")))</f>
        <v/>
      </c>
      <c r="Z278" t="str">
        <f>IF(Y278="","",IF(Y278="[FÓRMULA MANUAL]","",IFERROR(AVERAGEIFS(nNOTA,nNIA,Y278,nCUENTA,1,nASIG,"Análisis"),"")))</f>
        <v/>
      </c>
      <c r="AA278" t="str">
        <f>IF(Y278="","",IF(Y278="[FÓRMULA MANUAL]","",IFERROR(AVERAGEIFS(nNOTA,nNIA,Y278,nCUENTA,1,nASIG,"Orquesta/Banda/Conjunto"),"")))</f>
        <v/>
      </c>
      <c r="AB278" t="str">
        <f>IF(Y278="","",IF(Y278="[FÓRMULA MANUAL]","",IFERROR(AVERAGEIFS(nNOTA,nNIA,Y278,nCUENTA,1,nASIG,"Música de Cámara"),"")))</f>
        <v/>
      </c>
      <c r="AC278" t="str">
        <f>IF(Y278="","",IF(Y278="[FÓRMULA MANUAL]","",IFERROR(SUMPRODUCT((nNIA=Y278)*(nCUENTA=1)*(COUNTIF(CONFIG_ASIGNATURAS!$B$7:$B$27,nASIG)&gt;0)*(nNOTA))/SUMPRODUCT((nNIA=Y278)*(nCUENTA=1)*(COUNTIF(CONFIG_ASIGNATURAS!$B$7:$B$27,nASIG)&gt;0)*1),"")))</f>
        <v/>
      </c>
      <c r="AF278" t="str">
        <f>IF(AE278="","",IF(AE278="[FÓRMULA MANUAL]","",IFERROR(AVERAGEIFS(nNOTA,nNIA,AE278,nCUENTA,1,nASIG,"Análisis"),"")))</f>
        <v/>
      </c>
      <c r="AG278" t="str">
        <f>IF(AE278="","",IF(AE278="[FÓRMULA MANUAL]","",IFERROR(AVERAGEIFS(nNOTA,nNIA,AE278,nCUENTA,1,nASIG,"Orquesta/Banda/Conjunto"),"")))</f>
        <v/>
      </c>
      <c r="AH278" t="str">
        <f>IF(AE278="","",IF(AE278="[FÓRMULA MANUAL]","",IFERROR(AVERAGEIFS(nNOTA,nNIA,AE278,nCUENTA,1,nASIG,"Música de Cámara"),"")))</f>
        <v/>
      </c>
      <c r="AI278" t="str">
        <f>IF(AE278="","",IF(AE278="[FÓRMULA MANUAL]","",IFERROR(SUMPRODUCT((nNIA=AE278)*(nCUENTA=1)*(COUNTIF(CONFIG_ASIGNATURAS!$B$7:$B$27,nASIG)&gt;0)*(nNOTA))/SUMPRODUCT((nNIA=AE278)*(nCUENTA=1)*(COUNTIF(CONFIG_ASIGNATURAS!$B$7:$B$27,nASIG)&gt;0)*1),"")))</f>
        <v/>
      </c>
    </row>
    <row r="279" spans="2:35" x14ac:dyDescent="0.2">
      <c r="B279" t="str">
        <f>IF(A279="","",IF(A279="[FÓRMULA MANUAL]","",IFERROR(AVERAGEIFS(nNOTA,nNIA,A279,nCUENTA,1,nASIG,"Lenguaje Musical"),"")))</f>
        <v/>
      </c>
      <c r="C279" t="str">
        <f>IF(A279="","",IF(A279="[FÓRMULA MANUAL]","",IFERROR(AVERAGEIFS(nNOTA,nNIA,A279,nCUENTA,1,nASIG,"Orquesta/Banda/Conjunto"),"")))</f>
        <v/>
      </c>
      <c r="D279" t="str">
        <f>IF(A279="","",IF(A279="[FÓRMULA MANUAL]","",IFERROR(AVERAGEIFS(nNOTA,nNIA,A279,nCUENTA,1,nASIG,"Conjunto"),"")))</f>
        <v/>
      </c>
      <c r="E279" t="str">
        <f>IF(A279="","",IF(A279="[FÓRMULA MANUAL]","",IFERROR(SUMPRODUCT((nNIA=A279)*(nCUENTA=1)*(COUNTIF(CONFIG_ASIGNATURAS!$B$7:$B$27,nASIG)&gt;0)*(nNOTA))/SUMPRODUCT((nNIA=A279)*(nCUENTA=1)*(COUNTIF(CONFIG_ASIGNATURAS!$B$7:$B$27,nASIG)&gt;0)*1),"")))</f>
        <v/>
      </c>
      <c r="H279" t="str">
        <f>IF(G279="","",IF(G279="[FÓRMULA MANUAL]","",IFERROR(AVERAGEIFS(nNOTA,nNIA,G279,nCUENTA,1,nASIG,"Lenguaje Musical"),"")))</f>
        <v/>
      </c>
      <c r="I279" t="str">
        <f>IF(G279="","",IF(G279="[FÓRMULA MANUAL]","",IFERROR(AVERAGEIFS(nNOTA,nNIA,G279,nCUENTA,1,nASIG,"Orquesta/Banda/Conjunto"),"")))</f>
        <v/>
      </c>
      <c r="J279" t="str">
        <f>IF(G279="","",IF(G279="[FÓRMULA MANUAL]","",IFERROR(AVERAGEIFS(nNOTA,nNIA,G279,nCUENTA,1,nASIG,"Conjunto"),"")))</f>
        <v/>
      </c>
      <c r="K279" t="str">
        <f>IF(G279="","",IF(G279="[FÓRMULA MANUAL]","",IFERROR(SUMPRODUCT((nNIA=G279)*(nCUENTA=1)*(COUNTIF(CONFIG_ASIGNATURAS!$B$7:$B$27,nASIG)&gt;0)*(nNOTA))/SUMPRODUCT((nNIA=G279)*(nCUENTA=1)*(COUNTIF(CONFIG_ASIGNATURAS!$B$7:$B$27,nASIG)&gt;0)*1),"")))</f>
        <v/>
      </c>
      <c r="N279" t="str">
        <f>IF(M279="","",IF(M279="[FÓRMULA MANUAL]","",IFERROR(AVERAGEIFS(nNOTA,nNIA,M279,nCUENTA,1,nASIG,"Armonía"),"")))</f>
        <v/>
      </c>
      <c r="O279" t="str">
        <f>IF(M279="","",IF(M279="[FÓRMULA MANUAL]","",IFERROR(AVERAGEIFS(nNOTA,nNIA,M279,nCUENTA,1,nASIG,"Orquesta/Banda/Conjunto"),"")))</f>
        <v/>
      </c>
      <c r="P279" t="str">
        <f>IF(M279="","",IF(M279="[FÓRMULA MANUAL]","",IFERROR(AVERAGEIFS(nNOTA,nNIA,M279,nCUENTA,1,nASIG,"Música de Cámara"),"")))</f>
        <v/>
      </c>
      <c r="Q279" t="str">
        <f>IF(M279="","",IF(M279="[FÓRMULA MANUAL]","",IFERROR(SUMPRODUCT((nNIA=M279)*(nCUENTA=1)*(COUNTIF(CONFIG_ASIGNATURAS!$B$7:$B$27,nASIG)&gt;0)*(nNOTA))/SUMPRODUCT((nNIA=M279)*(nCUENTA=1)*(COUNTIF(CONFIG_ASIGNATURAS!$B$7:$B$27,nASIG)&gt;0)*1),"")))</f>
        <v/>
      </c>
      <c r="T279" t="str">
        <f>IF(S279="","",IF(S279="[FÓRMULA MANUAL]","",IFERROR(AVERAGEIFS(nNOTA,nNIA,S279,nCUENTA,1,nASIG,"Armonía"),"")))</f>
        <v/>
      </c>
      <c r="U279" t="str">
        <f>IF(S279="","",IF(S279="[FÓRMULA MANUAL]","",IFERROR(AVERAGEIFS(nNOTA,nNIA,S279,nCUENTA,1,nASIG,"Orquesta/Banda/Conjunto"),"")))</f>
        <v/>
      </c>
      <c r="V279" t="str">
        <f>IF(S279="","",IF(S279="[FÓRMULA MANUAL]","",IFERROR(AVERAGEIFS(nNOTA,nNIA,S279,nCUENTA,1,nASIG,"Música de Cámara"),"")))</f>
        <v/>
      </c>
      <c r="W279" t="str">
        <f>IF(S279="","",IF(S279="[FÓRMULA MANUAL]","",IFERROR(SUMPRODUCT((nNIA=S279)*(nCUENTA=1)*(COUNTIF(CONFIG_ASIGNATURAS!$B$7:$B$27,nASIG)&gt;0)*(nNOTA))/SUMPRODUCT((nNIA=S279)*(nCUENTA=1)*(COUNTIF(CONFIG_ASIGNATURAS!$B$7:$B$27,nASIG)&gt;0)*1),"")))</f>
        <v/>
      </c>
      <c r="Z279" t="str">
        <f>IF(Y279="","",IF(Y279="[FÓRMULA MANUAL]","",IFERROR(AVERAGEIFS(nNOTA,nNIA,Y279,nCUENTA,1,nASIG,"Análisis"),"")))</f>
        <v/>
      </c>
      <c r="AA279" t="str">
        <f>IF(Y279="","",IF(Y279="[FÓRMULA MANUAL]","",IFERROR(AVERAGEIFS(nNOTA,nNIA,Y279,nCUENTA,1,nASIG,"Orquesta/Banda/Conjunto"),"")))</f>
        <v/>
      </c>
      <c r="AB279" t="str">
        <f>IF(Y279="","",IF(Y279="[FÓRMULA MANUAL]","",IFERROR(AVERAGEIFS(nNOTA,nNIA,Y279,nCUENTA,1,nASIG,"Música de Cámara"),"")))</f>
        <v/>
      </c>
      <c r="AC279" t="str">
        <f>IF(Y279="","",IF(Y279="[FÓRMULA MANUAL]","",IFERROR(SUMPRODUCT((nNIA=Y279)*(nCUENTA=1)*(COUNTIF(CONFIG_ASIGNATURAS!$B$7:$B$27,nASIG)&gt;0)*(nNOTA))/SUMPRODUCT((nNIA=Y279)*(nCUENTA=1)*(COUNTIF(CONFIG_ASIGNATURAS!$B$7:$B$27,nASIG)&gt;0)*1),"")))</f>
        <v/>
      </c>
      <c r="AF279" t="str">
        <f>IF(AE279="","",IF(AE279="[FÓRMULA MANUAL]","",IFERROR(AVERAGEIFS(nNOTA,nNIA,AE279,nCUENTA,1,nASIG,"Análisis"),"")))</f>
        <v/>
      </c>
      <c r="AG279" t="str">
        <f>IF(AE279="","",IF(AE279="[FÓRMULA MANUAL]","",IFERROR(AVERAGEIFS(nNOTA,nNIA,AE279,nCUENTA,1,nASIG,"Orquesta/Banda/Conjunto"),"")))</f>
        <v/>
      </c>
      <c r="AH279" t="str">
        <f>IF(AE279="","",IF(AE279="[FÓRMULA MANUAL]","",IFERROR(AVERAGEIFS(nNOTA,nNIA,AE279,nCUENTA,1,nASIG,"Música de Cámara"),"")))</f>
        <v/>
      </c>
      <c r="AI279" t="str">
        <f>IF(AE279="","",IF(AE279="[FÓRMULA MANUAL]","",IFERROR(SUMPRODUCT((nNIA=AE279)*(nCUENTA=1)*(COUNTIF(CONFIG_ASIGNATURAS!$B$7:$B$27,nASIG)&gt;0)*(nNOTA))/SUMPRODUCT((nNIA=AE279)*(nCUENTA=1)*(COUNTIF(CONFIG_ASIGNATURAS!$B$7:$B$27,nASIG)&gt;0)*1),"")))</f>
        <v/>
      </c>
    </row>
    <row r="280" spans="2:35" x14ac:dyDescent="0.2">
      <c r="B280" t="str">
        <f>IF(A280="","",IF(A280="[FÓRMULA MANUAL]","",IFERROR(AVERAGEIFS(nNOTA,nNIA,A280,nCUENTA,1,nASIG,"Lenguaje Musical"),"")))</f>
        <v/>
      </c>
      <c r="C280" t="str">
        <f>IF(A280="","",IF(A280="[FÓRMULA MANUAL]","",IFERROR(AVERAGEIFS(nNOTA,nNIA,A280,nCUENTA,1,nASIG,"Orquesta/Banda/Conjunto"),"")))</f>
        <v/>
      </c>
      <c r="D280" t="str">
        <f>IF(A280="","",IF(A280="[FÓRMULA MANUAL]","",IFERROR(AVERAGEIFS(nNOTA,nNIA,A280,nCUENTA,1,nASIG,"Conjunto"),"")))</f>
        <v/>
      </c>
      <c r="E280" t="str">
        <f>IF(A280="","",IF(A280="[FÓRMULA MANUAL]","",IFERROR(SUMPRODUCT((nNIA=A280)*(nCUENTA=1)*(COUNTIF(CONFIG_ASIGNATURAS!$B$7:$B$27,nASIG)&gt;0)*(nNOTA))/SUMPRODUCT((nNIA=A280)*(nCUENTA=1)*(COUNTIF(CONFIG_ASIGNATURAS!$B$7:$B$27,nASIG)&gt;0)*1),"")))</f>
        <v/>
      </c>
      <c r="H280" t="str">
        <f>IF(G280="","",IF(G280="[FÓRMULA MANUAL]","",IFERROR(AVERAGEIFS(nNOTA,nNIA,G280,nCUENTA,1,nASIG,"Lenguaje Musical"),"")))</f>
        <v/>
      </c>
      <c r="I280" t="str">
        <f>IF(G280="","",IF(G280="[FÓRMULA MANUAL]","",IFERROR(AVERAGEIFS(nNOTA,nNIA,G280,nCUENTA,1,nASIG,"Orquesta/Banda/Conjunto"),"")))</f>
        <v/>
      </c>
      <c r="J280" t="str">
        <f>IF(G280="","",IF(G280="[FÓRMULA MANUAL]","",IFERROR(AVERAGEIFS(nNOTA,nNIA,G280,nCUENTA,1,nASIG,"Conjunto"),"")))</f>
        <v/>
      </c>
      <c r="K280" t="str">
        <f>IF(G280="","",IF(G280="[FÓRMULA MANUAL]","",IFERROR(SUMPRODUCT((nNIA=G280)*(nCUENTA=1)*(COUNTIF(CONFIG_ASIGNATURAS!$B$7:$B$27,nASIG)&gt;0)*(nNOTA))/SUMPRODUCT((nNIA=G280)*(nCUENTA=1)*(COUNTIF(CONFIG_ASIGNATURAS!$B$7:$B$27,nASIG)&gt;0)*1),"")))</f>
        <v/>
      </c>
      <c r="N280" t="str">
        <f>IF(M280="","",IF(M280="[FÓRMULA MANUAL]","",IFERROR(AVERAGEIFS(nNOTA,nNIA,M280,nCUENTA,1,nASIG,"Armonía"),"")))</f>
        <v/>
      </c>
      <c r="O280" t="str">
        <f>IF(M280="","",IF(M280="[FÓRMULA MANUAL]","",IFERROR(AVERAGEIFS(nNOTA,nNIA,M280,nCUENTA,1,nASIG,"Orquesta/Banda/Conjunto"),"")))</f>
        <v/>
      </c>
      <c r="P280" t="str">
        <f>IF(M280="","",IF(M280="[FÓRMULA MANUAL]","",IFERROR(AVERAGEIFS(nNOTA,nNIA,M280,nCUENTA,1,nASIG,"Música de Cámara"),"")))</f>
        <v/>
      </c>
      <c r="Q280" t="str">
        <f>IF(M280="","",IF(M280="[FÓRMULA MANUAL]","",IFERROR(SUMPRODUCT((nNIA=M280)*(nCUENTA=1)*(COUNTIF(CONFIG_ASIGNATURAS!$B$7:$B$27,nASIG)&gt;0)*(nNOTA))/SUMPRODUCT((nNIA=M280)*(nCUENTA=1)*(COUNTIF(CONFIG_ASIGNATURAS!$B$7:$B$27,nASIG)&gt;0)*1),"")))</f>
        <v/>
      </c>
      <c r="T280" t="str">
        <f>IF(S280="","",IF(S280="[FÓRMULA MANUAL]","",IFERROR(AVERAGEIFS(nNOTA,nNIA,S280,nCUENTA,1,nASIG,"Armonía"),"")))</f>
        <v/>
      </c>
      <c r="U280" t="str">
        <f>IF(S280="","",IF(S280="[FÓRMULA MANUAL]","",IFERROR(AVERAGEIFS(nNOTA,nNIA,S280,nCUENTA,1,nASIG,"Orquesta/Banda/Conjunto"),"")))</f>
        <v/>
      </c>
      <c r="V280" t="str">
        <f>IF(S280="","",IF(S280="[FÓRMULA MANUAL]","",IFERROR(AVERAGEIFS(nNOTA,nNIA,S280,nCUENTA,1,nASIG,"Música de Cámara"),"")))</f>
        <v/>
      </c>
      <c r="W280" t="str">
        <f>IF(S280="","",IF(S280="[FÓRMULA MANUAL]","",IFERROR(SUMPRODUCT((nNIA=S280)*(nCUENTA=1)*(COUNTIF(CONFIG_ASIGNATURAS!$B$7:$B$27,nASIG)&gt;0)*(nNOTA))/SUMPRODUCT((nNIA=S280)*(nCUENTA=1)*(COUNTIF(CONFIG_ASIGNATURAS!$B$7:$B$27,nASIG)&gt;0)*1),"")))</f>
        <v/>
      </c>
      <c r="Z280" t="str">
        <f>IF(Y280="","",IF(Y280="[FÓRMULA MANUAL]","",IFERROR(AVERAGEIFS(nNOTA,nNIA,Y280,nCUENTA,1,nASIG,"Análisis"),"")))</f>
        <v/>
      </c>
      <c r="AA280" t="str">
        <f>IF(Y280="","",IF(Y280="[FÓRMULA MANUAL]","",IFERROR(AVERAGEIFS(nNOTA,nNIA,Y280,nCUENTA,1,nASIG,"Orquesta/Banda/Conjunto"),"")))</f>
        <v/>
      </c>
      <c r="AB280" t="str">
        <f>IF(Y280="","",IF(Y280="[FÓRMULA MANUAL]","",IFERROR(AVERAGEIFS(nNOTA,nNIA,Y280,nCUENTA,1,nASIG,"Música de Cámara"),"")))</f>
        <v/>
      </c>
      <c r="AC280" t="str">
        <f>IF(Y280="","",IF(Y280="[FÓRMULA MANUAL]","",IFERROR(SUMPRODUCT((nNIA=Y280)*(nCUENTA=1)*(COUNTIF(CONFIG_ASIGNATURAS!$B$7:$B$27,nASIG)&gt;0)*(nNOTA))/SUMPRODUCT((nNIA=Y280)*(nCUENTA=1)*(COUNTIF(CONFIG_ASIGNATURAS!$B$7:$B$27,nASIG)&gt;0)*1),"")))</f>
        <v/>
      </c>
      <c r="AF280" t="str">
        <f>IF(AE280="","",IF(AE280="[FÓRMULA MANUAL]","",IFERROR(AVERAGEIFS(nNOTA,nNIA,AE280,nCUENTA,1,nASIG,"Análisis"),"")))</f>
        <v/>
      </c>
      <c r="AG280" t="str">
        <f>IF(AE280="","",IF(AE280="[FÓRMULA MANUAL]","",IFERROR(AVERAGEIFS(nNOTA,nNIA,AE280,nCUENTA,1,nASIG,"Orquesta/Banda/Conjunto"),"")))</f>
        <v/>
      </c>
      <c r="AH280" t="str">
        <f>IF(AE280="","",IF(AE280="[FÓRMULA MANUAL]","",IFERROR(AVERAGEIFS(nNOTA,nNIA,AE280,nCUENTA,1,nASIG,"Música de Cámara"),"")))</f>
        <v/>
      </c>
      <c r="AI280" t="str">
        <f>IF(AE280="","",IF(AE280="[FÓRMULA MANUAL]","",IFERROR(SUMPRODUCT((nNIA=AE280)*(nCUENTA=1)*(COUNTIF(CONFIG_ASIGNATURAS!$B$7:$B$27,nASIG)&gt;0)*(nNOTA))/SUMPRODUCT((nNIA=AE280)*(nCUENTA=1)*(COUNTIF(CONFIG_ASIGNATURAS!$B$7:$B$27,nASIG)&gt;0)*1),"")))</f>
        <v/>
      </c>
    </row>
    <row r="281" spans="2:35" x14ac:dyDescent="0.2">
      <c r="B281" t="str">
        <f>IF(A281="","",IF(A281="[FÓRMULA MANUAL]","",IFERROR(AVERAGEIFS(nNOTA,nNIA,A281,nCUENTA,1,nASIG,"Lenguaje Musical"),"")))</f>
        <v/>
      </c>
      <c r="C281" t="str">
        <f>IF(A281="","",IF(A281="[FÓRMULA MANUAL]","",IFERROR(AVERAGEIFS(nNOTA,nNIA,A281,nCUENTA,1,nASIG,"Orquesta/Banda/Conjunto"),"")))</f>
        <v/>
      </c>
      <c r="D281" t="str">
        <f>IF(A281="","",IF(A281="[FÓRMULA MANUAL]","",IFERROR(AVERAGEIFS(nNOTA,nNIA,A281,nCUENTA,1,nASIG,"Conjunto"),"")))</f>
        <v/>
      </c>
      <c r="E281" t="str">
        <f>IF(A281="","",IF(A281="[FÓRMULA MANUAL]","",IFERROR(SUMPRODUCT((nNIA=A281)*(nCUENTA=1)*(COUNTIF(CONFIG_ASIGNATURAS!$B$7:$B$27,nASIG)&gt;0)*(nNOTA))/SUMPRODUCT((nNIA=A281)*(nCUENTA=1)*(COUNTIF(CONFIG_ASIGNATURAS!$B$7:$B$27,nASIG)&gt;0)*1),"")))</f>
        <v/>
      </c>
      <c r="H281" t="str">
        <f>IF(G281="","",IF(G281="[FÓRMULA MANUAL]","",IFERROR(AVERAGEIFS(nNOTA,nNIA,G281,nCUENTA,1,nASIG,"Lenguaje Musical"),"")))</f>
        <v/>
      </c>
      <c r="I281" t="str">
        <f>IF(G281="","",IF(G281="[FÓRMULA MANUAL]","",IFERROR(AVERAGEIFS(nNOTA,nNIA,G281,nCUENTA,1,nASIG,"Orquesta/Banda/Conjunto"),"")))</f>
        <v/>
      </c>
      <c r="J281" t="str">
        <f>IF(G281="","",IF(G281="[FÓRMULA MANUAL]","",IFERROR(AVERAGEIFS(nNOTA,nNIA,G281,nCUENTA,1,nASIG,"Conjunto"),"")))</f>
        <v/>
      </c>
      <c r="K281" t="str">
        <f>IF(G281="","",IF(G281="[FÓRMULA MANUAL]","",IFERROR(SUMPRODUCT((nNIA=G281)*(nCUENTA=1)*(COUNTIF(CONFIG_ASIGNATURAS!$B$7:$B$27,nASIG)&gt;0)*(nNOTA))/SUMPRODUCT((nNIA=G281)*(nCUENTA=1)*(COUNTIF(CONFIG_ASIGNATURAS!$B$7:$B$27,nASIG)&gt;0)*1),"")))</f>
        <v/>
      </c>
      <c r="N281" t="str">
        <f>IF(M281="","",IF(M281="[FÓRMULA MANUAL]","",IFERROR(AVERAGEIFS(nNOTA,nNIA,M281,nCUENTA,1,nASIG,"Armonía"),"")))</f>
        <v/>
      </c>
      <c r="O281" t="str">
        <f>IF(M281="","",IF(M281="[FÓRMULA MANUAL]","",IFERROR(AVERAGEIFS(nNOTA,nNIA,M281,nCUENTA,1,nASIG,"Orquesta/Banda/Conjunto"),"")))</f>
        <v/>
      </c>
      <c r="P281" t="str">
        <f>IF(M281="","",IF(M281="[FÓRMULA MANUAL]","",IFERROR(AVERAGEIFS(nNOTA,nNIA,M281,nCUENTA,1,nASIG,"Música de Cámara"),"")))</f>
        <v/>
      </c>
      <c r="Q281" t="str">
        <f>IF(M281="","",IF(M281="[FÓRMULA MANUAL]","",IFERROR(SUMPRODUCT((nNIA=M281)*(nCUENTA=1)*(COUNTIF(CONFIG_ASIGNATURAS!$B$7:$B$27,nASIG)&gt;0)*(nNOTA))/SUMPRODUCT((nNIA=M281)*(nCUENTA=1)*(COUNTIF(CONFIG_ASIGNATURAS!$B$7:$B$27,nASIG)&gt;0)*1),"")))</f>
        <v/>
      </c>
      <c r="T281" t="str">
        <f>IF(S281="","",IF(S281="[FÓRMULA MANUAL]","",IFERROR(AVERAGEIFS(nNOTA,nNIA,S281,nCUENTA,1,nASIG,"Armonía"),"")))</f>
        <v/>
      </c>
      <c r="U281" t="str">
        <f>IF(S281="","",IF(S281="[FÓRMULA MANUAL]","",IFERROR(AVERAGEIFS(nNOTA,nNIA,S281,nCUENTA,1,nASIG,"Orquesta/Banda/Conjunto"),"")))</f>
        <v/>
      </c>
      <c r="V281" t="str">
        <f>IF(S281="","",IF(S281="[FÓRMULA MANUAL]","",IFERROR(AVERAGEIFS(nNOTA,nNIA,S281,nCUENTA,1,nASIG,"Música de Cámara"),"")))</f>
        <v/>
      </c>
      <c r="W281" t="str">
        <f>IF(S281="","",IF(S281="[FÓRMULA MANUAL]","",IFERROR(SUMPRODUCT((nNIA=S281)*(nCUENTA=1)*(COUNTIF(CONFIG_ASIGNATURAS!$B$7:$B$27,nASIG)&gt;0)*(nNOTA))/SUMPRODUCT((nNIA=S281)*(nCUENTA=1)*(COUNTIF(CONFIG_ASIGNATURAS!$B$7:$B$27,nASIG)&gt;0)*1),"")))</f>
        <v/>
      </c>
      <c r="Z281" t="str">
        <f>IF(Y281="","",IF(Y281="[FÓRMULA MANUAL]","",IFERROR(AVERAGEIFS(nNOTA,nNIA,Y281,nCUENTA,1,nASIG,"Análisis"),"")))</f>
        <v/>
      </c>
      <c r="AA281" t="str">
        <f>IF(Y281="","",IF(Y281="[FÓRMULA MANUAL]","",IFERROR(AVERAGEIFS(nNOTA,nNIA,Y281,nCUENTA,1,nASIG,"Orquesta/Banda/Conjunto"),"")))</f>
        <v/>
      </c>
      <c r="AB281" t="str">
        <f>IF(Y281="","",IF(Y281="[FÓRMULA MANUAL]","",IFERROR(AVERAGEIFS(nNOTA,nNIA,Y281,nCUENTA,1,nASIG,"Música de Cámara"),"")))</f>
        <v/>
      </c>
      <c r="AC281" t="str">
        <f>IF(Y281="","",IF(Y281="[FÓRMULA MANUAL]","",IFERROR(SUMPRODUCT((nNIA=Y281)*(nCUENTA=1)*(COUNTIF(CONFIG_ASIGNATURAS!$B$7:$B$27,nASIG)&gt;0)*(nNOTA))/SUMPRODUCT((nNIA=Y281)*(nCUENTA=1)*(COUNTIF(CONFIG_ASIGNATURAS!$B$7:$B$27,nASIG)&gt;0)*1),"")))</f>
        <v/>
      </c>
      <c r="AF281" t="str">
        <f>IF(AE281="","",IF(AE281="[FÓRMULA MANUAL]","",IFERROR(AVERAGEIFS(nNOTA,nNIA,AE281,nCUENTA,1,nASIG,"Análisis"),"")))</f>
        <v/>
      </c>
      <c r="AG281" t="str">
        <f>IF(AE281="","",IF(AE281="[FÓRMULA MANUAL]","",IFERROR(AVERAGEIFS(nNOTA,nNIA,AE281,nCUENTA,1,nASIG,"Orquesta/Banda/Conjunto"),"")))</f>
        <v/>
      </c>
      <c r="AH281" t="str">
        <f>IF(AE281="","",IF(AE281="[FÓRMULA MANUAL]","",IFERROR(AVERAGEIFS(nNOTA,nNIA,AE281,nCUENTA,1,nASIG,"Música de Cámara"),"")))</f>
        <v/>
      </c>
      <c r="AI281" t="str">
        <f>IF(AE281="","",IF(AE281="[FÓRMULA MANUAL]","",IFERROR(SUMPRODUCT((nNIA=AE281)*(nCUENTA=1)*(COUNTIF(CONFIG_ASIGNATURAS!$B$7:$B$27,nASIG)&gt;0)*(nNOTA))/SUMPRODUCT((nNIA=AE281)*(nCUENTA=1)*(COUNTIF(CONFIG_ASIGNATURAS!$B$7:$B$27,nASIG)&gt;0)*1),"")))</f>
        <v/>
      </c>
    </row>
    <row r="282" spans="2:35" x14ac:dyDescent="0.2">
      <c r="B282" t="str">
        <f>IF(A282="","",IF(A282="[FÓRMULA MANUAL]","",IFERROR(AVERAGEIFS(nNOTA,nNIA,A282,nCUENTA,1,nASIG,"Lenguaje Musical"),"")))</f>
        <v/>
      </c>
      <c r="C282" t="str">
        <f>IF(A282="","",IF(A282="[FÓRMULA MANUAL]","",IFERROR(AVERAGEIFS(nNOTA,nNIA,A282,nCUENTA,1,nASIG,"Orquesta/Banda/Conjunto"),"")))</f>
        <v/>
      </c>
      <c r="D282" t="str">
        <f>IF(A282="","",IF(A282="[FÓRMULA MANUAL]","",IFERROR(AVERAGEIFS(nNOTA,nNIA,A282,nCUENTA,1,nASIG,"Conjunto"),"")))</f>
        <v/>
      </c>
      <c r="E282" t="str">
        <f>IF(A282="","",IF(A282="[FÓRMULA MANUAL]","",IFERROR(SUMPRODUCT((nNIA=A282)*(nCUENTA=1)*(COUNTIF(CONFIG_ASIGNATURAS!$B$7:$B$27,nASIG)&gt;0)*(nNOTA))/SUMPRODUCT((nNIA=A282)*(nCUENTA=1)*(COUNTIF(CONFIG_ASIGNATURAS!$B$7:$B$27,nASIG)&gt;0)*1),"")))</f>
        <v/>
      </c>
      <c r="H282" t="str">
        <f>IF(G282="","",IF(G282="[FÓRMULA MANUAL]","",IFERROR(AVERAGEIFS(nNOTA,nNIA,G282,nCUENTA,1,nASIG,"Lenguaje Musical"),"")))</f>
        <v/>
      </c>
      <c r="I282" t="str">
        <f>IF(G282="","",IF(G282="[FÓRMULA MANUAL]","",IFERROR(AVERAGEIFS(nNOTA,nNIA,G282,nCUENTA,1,nASIG,"Orquesta/Banda/Conjunto"),"")))</f>
        <v/>
      </c>
      <c r="J282" t="str">
        <f>IF(G282="","",IF(G282="[FÓRMULA MANUAL]","",IFERROR(AVERAGEIFS(nNOTA,nNIA,G282,nCUENTA,1,nASIG,"Conjunto"),"")))</f>
        <v/>
      </c>
      <c r="K282" t="str">
        <f>IF(G282="","",IF(G282="[FÓRMULA MANUAL]","",IFERROR(SUMPRODUCT((nNIA=G282)*(nCUENTA=1)*(COUNTIF(CONFIG_ASIGNATURAS!$B$7:$B$27,nASIG)&gt;0)*(nNOTA))/SUMPRODUCT((nNIA=G282)*(nCUENTA=1)*(COUNTIF(CONFIG_ASIGNATURAS!$B$7:$B$27,nASIG)&gt;0)*1),"")))</f>
        <v/>
      </c>
      <c r="N282" t="str">
        <f>IF(M282="","",IF(M282="[FÓRMULA MANUAL]","",IFERROR(AVERAGEIFS(nNOTA,nNIA,M282,nCUENTA,1,nASIG,"Armonía"),"")))</f>
        <v/>
      </c>
      <c r="O282" t="str">
        <f>IF(M282="","",IF(M282="[FÓRMULA MANUAL]","",IFERROR(AVERAGEIFS(nNOTA,nNIA,M282,nCUENTA,1,nASIG,"Orquesta/Banda/Conjunto"),"")))</f>
        <v/>
      </c>
      <c r="P282" t="str">
        <f>IF(M282="","",IF(M282="[FÓRMULA MANUAL]","",IFERROR(AVERAGEIFS(nNOTA,nNIA,M282,nCUENTA,1,nASIG,"Música de Cámara"),"")))</f>
        <v/>
      </c>
      <c r="Q282" t="str">
        <f>IF(M282="","",IF(M282="[FÓRMULA MANUAL]","",IFERROR(SUMPRODUCT((nNIA=M282)*(nCUENTA=1)*(COUNTIF(CONFIG_ASIGNATURAS!$B$7:$B$27,nASIG)&gt;0)*(nNOTA))/SUMPRODUCT((nNIA=M282)*(nCUENTA=1)*(COUNTIF(CONFIG_ASIGNATURAS!$B$7:$B$27,nASIG)&gt;0)*1),"")))</f>
        <v/>
      </c>
      <c r="T282" t="str">
        <f>IF(S282="","",IF(S282="[FÓRMULA MANUAL]","",IFERROR(AVERAGEIFS(nNOTA,nNIA,S282,nCUENTA,1,nASIG,"Armonía"),"")))</f>
        <v/>
      </c>
      <c r="U282" t="str">
        <f>IF(S282="","",IF(S282="[FÓRMULA MANUAL]","",IFERROR(AVERAGEIFS(nNOTA,nNIA,S282,nCUENTA,1,nASIG,"Orquesta/Banda/Conjunto"),"")))</f>
        <v/>
      </c>
      <c r="V282" t="str">
        <f>IF(S282="","",IF(S282="[FÓRMULA MANUAL]","",IFERROR(AVERAGEIFS(nNOTA,nNIA,S282,nCUENTA,1,nASIG,"Música de Cámara"),"")))</f>
        <v/>
      </c>
      <c r="W282" t="str">
        <f>IF(S282="","",IF(S282="[FÓRMULA MANUAL]","",IFERROR(SUMPRODUCT((nNIA=S282)*(nCUENTA=1)*(COUNTIF(CONFIG_ASIGNATURAS!$B$7:$B$27,nASIG)&gt;0)*(nNOTA))/SUMPRODUCT((nNIA=S282)*(nCUENTA=1)*(COUNTIF(CONFIG_ASIGNATURAS!$B$7:$B$27,nASIG)&gt;0)*1),"")))</f>
        <v/>
      </c>
      <c r="Z282" t="str">
        <f>IF(Y282="","",IF(Y282="[FÓRMULA MANUAL]","",IFERROR(AVERAGEIFS(nNOTA,nNIA,Y282,nCUENTA,1,nASIG,"Análisis"),"")))</f>
        <v/>
      </c>
      <c r="AA282" t="str">
        <f>IF(Y282="","",IF(Y282="[FÓRMULA MANUAL]","",IFERROR(AVERAGEIFS(nNOTA,nNIA,Y282,nCUENTA,1,nASIG,"Orquesta/Banda/Conjunto"),"")))</f>
        <v/>
      </c>
      <c r="AB282" t="str">
        <f>IF(Y282="","",IF(Y282="[FÓRMULA MANUAL]","",IFERROR(AVERAGEIFS(nNOTA,nNIA,Y282,nCUENTA,1,nASIG,"Música de Cámara"),"")))</f>
        <v/>
      </c>
      <c r="AC282" t="str">
        <f>IF(Y282="","",IF(Y282="[FÓRMULA MANUAL]","",IFERROR(SUMPRODUCT((nNIA=Y282)*(nCUENTA=1)*(COUNTIF(CONFIG_ASIGNATURAS!$B$7:$B$27,nASIG)&gt;0)*(nNOTA))/SUMPRODUCT((nNIA=Y282)*(nCUENTA=1)*(COUNTIF(CONFIG_ASIGNATURAS!$B$7:$B$27,nASIG)&gt;0)*1),"")))</f>
        <v/>
      </c>
      <c r="AF282" t="str">
        <f>IF(AE282="","",IF(AE282="[FÓRMULA MANUAL]","",IFERROR(AVERAGEIFS(nNOTA,nNIA,AE282,nCUENTA,1,nASIG,"Análisis"),"")))</f>
        <v/>
      </c>
      <c r="AG282" t="str">
        <f>IF(AE282="","",IF(AE282="[FÓRMULA MANUAL]","",IFERROR(AVERAGEIFS(nNOTA,nNIA,AE282,nCUENTA,1,nASIG,"Orquesta/Banda/Conjunto"),"")))</f>
        <v/>
      </c>
      <c r="AH282" t="str">
        <f>IF(AE282="","",IF(AE282="[FÓRMULA MANUAL]","",IFERROR(AVERAGEIFS(nNOTA,nNIA,AE282,nCUENTA,1,nASIG,"Música de Cámara"),"")))</f>
        <v/>
      </c>
      <c r="AI282" t="str">
        <f>IF(AE282="","",IF(AE282="[FÓRMULA MANUAL]","",IFERROR(SUMPRODUCT((nNIA=AE282)*(nCUENTA=1)*(COUNTIF(CONFIG_ASIGNATURAS!$B$7:$B$27,nASIG)&gt;0)*(nNOTA))/SUMPRODUCT((nNIA=AE282)*(nCUENTA=1)*(COUNTIF(CONFIG_ASIGNATURAS!$B$7:$B$27,nASIG)&gt;0)*1),"")))</f>
        <v/>
      </c>
    </row>
    <row r="283" spans="2:35" x14ac:dyDescent="0.2">
      <c r="B283" t="str">
        <f>IF(A283="","",IF(A283="[FÓRMULA MANUAL]","",IFERROR(AVERAGEIFS(nNOTA,nNIA,A283,nCUENTA,1,nASIG,"Lenguaje Musical"),"")))</f>
        <v/>
      </c>
      <c r="C283" t="str">
        <f>IF(A283="","",IF(A283="[FÓRMULA MANUAL]","",IFERROR(AVERAGEIFS(nNOTA,nNIA,A283,nCUENTA,1,nASIG,"Orquesta/Banda/Conjunto"),"")))</f>
        <v/>
      </c>
      <c r="D283" t="str">
        <f>IF(A283="","",IF(A283="[FÓRMULA MANUAL]","",IFERROR(AVERAGEIFS(nNOTA,nNIA,A283,nCUENTA,1,nASIG,"Conjunto"),"")))</f>
        <v/>
      </c>
      <c r="E283" t="str">
        <f>IF(A283="","",IF(A283="[FÓRMULA MANUAL]","",IFERROR(SUMPRODUCT((nNIA=A283)*(nCUENTA=1)*(COUNTIF(CONFIG_ASIGNATURAS!$B$7:$B$27,nASIG)&gt;0)*(nNOTA))/SUMPRODUCT((nNIA=A283)*(nCUENTA=1)*(COUNTIF(CONFIG_ASIGNATURAS!$B$7:$B$27,nASIG)&gt;0)*1),"")))</f>
        <v/>
      </c>
      <c r="H283" t="str">
        <f>IF(G283="","",IF(G283="[FÓRMULA MANUAL]","",IFERROR(AVERAGEIFS(nNOTA,nNIA,G283,nCUENTA,1,nASIG,"Lenguaje Musical"),"")))</f>
        <v/>
      </c>
      <c r="I283" t="str">
        <f>IF(G283="","",IF(G283="[FÓRMULA MANUAL]","",IFERROR(AVERAGEIFS(nNOTA,nNIA,G283,nCUENTA,1,nASIG,"Orquesta/Banda/Conjunto"),"")))</f>
        <v/>
      </c>
      <c r="J283" t="str">
        <f>IF(G283="","",IF(G283="[FÓRMULA MANUAL]","",IFERROR(AVERAGEIFS(nNOTA,nNIA,G283,nCUENTA,1,nASIG,"Conjunto"),"")))</f>
        <v/>
      </c>
      <c r="K283" t="str">
        <f>IF(G283="","",IF(G283="[FÓRMULA MANUAL]","",IFERROR(SUMPRODUCT((nNIA=G283)*(nCUENTA=1)*(COUNTIF(CONFIG_ASIGNATURAS!$B$7:$B$27,nASIG)&gt;0)*(nNOTA))/SUMPRODUCT((nNIA=G283)*(nCUENTA=1)*(COUNTIF(CONFIG_ASIGNATURAS!$B$7:$B$27,nASIG)&gt;0)*1),"")))</f>
        <v/>
      </c>
      <c r="N283" t="str">
        <f>IF(M283="","",IF(M283="[FÓRMULA MANUAL]","",IFERROR(AVERAGEIFS(nNOTA,nNIA,M283,nCUENTA,1,nASIG,"Armonía"),"")))</f>
        <v/>
      </c>
      <c r="O283" t="str">
        <f>IF(M283="","",IF(M283="[FÓRMULA MANUAL]","",IFERROR(AVERAGEIFS(nNOTA,nNIA,M283,nCUENTA,1,nASIG,"Orquesta/Banda/Conjunto"),"")))</f>
        <v/>
      </c>
      <c r="P283" t="str">
        <f>IF(M283="","",IF(M283="[FÓRMULA MANUAL]","",IFERROR(AVERAGEIFS(nNOTA,nNIA,M283,nCUENTA,1,nASIG,"Música de Cámara"),"")))</f>
        <v/>
      </c>
      <c r="Q283" t="str">
        <f>IF(M283="","",IF(M283="[FÓRMULA MANUAL]","",IFERROR(SUMPRODUCT((nNIA=M283)*(nCUENTA=1)*(COUNTIF(CONFIG_ASIGNATURAS!$B$7:$B$27,nASIG)&gt;0)*(nNOTA))/SUMPRODUCT((nNIA=M283)*(nCUENTA=1)*(COUNTIF(CONFIG_ASIGNATURAS!$B$7:$B$27,nASIG)&gt;0)*1),"")))</f>
        <v/>
      </c>
      <c r="T283" t="str">
        <f>IF(S283="","",IF(S283="[FÓRMULA MANUAL]","",IFERROR(AVERAGEIFS(nNOTA,nNIA,S283,nCUENTA,1,nASIG,"Armonía"),"")))</f>
        <v/>
      </c>
      <c r="U283" t="str">
        <f>IF(S283="","",IF(S283="[FÓRMULA MANUAL]","",IFERROR(AVERAGEIFS(nNOTA,nNIA,S283,nCUENTA,1,nASIG,"Orquesta/Banda/Conjunto"),"")))</f>
        <v/>
      </c>
      <c r="V283" t="str">
        <f>IF(S283="","",IF(S283="[FÓRMULA MANUAL]","",IFERROR(AVERAGEIFS(nNOTA,nNIA,S283,nCUENTA,1,nASIG,"Música de Cámara"),"")))</f>
        <v/>
      </c>
      <c r="W283" t="str">
        <f>IF(S283="","",IF(S283="[FÓRMULA MANUAL]","",IFERROR(SUMPRODUCT((nNIA=S283)*(nCUENTA=1)*(COUNTIF(CONFIG_ASIGNATURAS!$B$7:$B$27,nASIG)&gt;0)*(nNOTA))/SUMPRODUCT((nNIA=S283)*(nCUENTA=1)*(COUNTIF(CONFIG_ASIGNATURAS!$B$7:$B$27,nASIG)&gt;0)*1),"")))</f>
        <v/>
      </c>
      <c r="Z283" t="str">
        <f>IF(Y283="","",IF(Y283="[FÓRMULA MANUAL]","",IFERROR(AVERAGEIFS(nNOTA,nNIA,Y283,nCUENTA,1,nASIG,"Análisis"),"")))</f>
        <v/>
      </c>
      <c r="AA283" t="str">
        <f>IF(Y283="","",IF(Y283="[FÓRMULA MANUAL]","",IFERROR(AVERAGEIFS(nNOTA,nNIA,Y283,nCUENTA,1,nASIG,"Orquesta/Banda/Conjunto"),"")))</f>
        <v/>
      </c>
      <c r="AB283" t="str">
        <f>IF(Y283="","",IF(Y283="[FÓRMULA MANUAL]","",IFERROR(AVERAGEIFS(nNOTA,nNIA,Y283,nCUENTA,1,nASIG,"Música de Cámara"),"")))</f>
        <v/>
      </c>
      <c r="AC283" t="str">
        <f>IF(Y283="","",IF(Y283="[FÓRMULA MANUAL]","",IFERROR(SUMPRODUCT((nNIA=Y283)*(nCUENTA=1)*(COUNTIF(CONFIG_ASIGNATURAS!$B$7:$B$27,nASIG)&gt;0)*(nNOTA))/SUMPRODUCT((nNIA=Y283)*(nCUENTA=1)*(COUNTIF(CONFIG_ASIGNATURAS!$B$7:$B$27,nASIG)&gt;0)*1),"")))</f>
        <v/>
      </c>
      <c r="AF283" t="str">
        <f>IF(AE283="","",IF(AE283="[FÓRMULA MANUAL]","",IFERROR(AVERAGEIFS(nNOTA,nNIA,AE283,nCUENTA,1,nASIG,"Análisis"),"")))</f>
        <v/>
      </c>
      <c r="AG283" t="str">
        <f>IF(AE283="","",IF(AE283="[FÓRMULA MANUAL]","",IFERROR(AVERAGEIFS(nNOTA,nNIA,AE283,nCUENTA,1,nASIG,"Orquesta/Banda/Conjunto"),"")))</f>
        <v/>
      </c>
      <c r="AH283" t="str">
        <f>IF(AE283="","",IF(AE283="[FÓRMULA MANUAL]","",IFERROR(AVERAGEIFS(nNOTA,nNIA,AE283,nCUENTA,1,nASIG,"Música de Cámara"),"")))</f>
        <v/>
      </c>
      <c r="AI283" t="str">
        <f>IF(AE283="","",IF(AE283="[FÓRMULA MANUAL]","",IFERROR(SUMPRODUCT((nNIA=AE283)*(nCUENTA=1)*(COUNTIF(CONFIG_ASIGNATURAS!$B$7:$B$27,nASIG)&gt;0)*(nNOTA))/SUMPRODUCT((nNIA=AE283)*(nCUENTA=1)*(COUNTIF(CONFIG_ASIGNATURAS!$B$7:$B$27,nASIG)&gt;0)*1),"")))</f>
        <v/>
      </c>
    </row>
    <row r="284" spans="2:35" x14ac:dyDescent="0.2">
      <c r="B284" t="str">
        <f>IF(A284="","",IF(A284="[FÓRMULA MANUAL]","",IFERROR(AVERAGEIFS(nNOTA,nNIA,A284,nCUENTA,1,nASIG,"Lenguaje Musical"),"")))</f>
        <v/>
      </c>
      <c r="C284" t="str">
        <f>IF(A284="","",IF(A284="[FÓRMULA MANUAL]","",IFERROR(AVERAGEIFS(nNOTA,nNIA,A284,nCUENTA,1,nASIG,"Orquesta/Banda/Conjunto"),"")))</f>
        <v/>
      </c>
      <c r="D284" t="str">
        <f>IF(A284="","",IF(A284="[FÓRMULA MANUAL]","",IFERROR(AVERAGEIFS(nNOTA,nNIA,A284,nCUENTA,1,nASIG,"Conjunto"),"")))</f>
        <v/>
      </c>
      <c r="E284" t="str">
        <f>IF(A284="","",IF(A284="[FÓRMULA MANUAL]","",IFERROR(SUMPRODUCT((nNIA=A284)*(nCUENTA=1)*(COUNTIF(CONFIG_ASIGNATURAS!$B$7:$B$27,nASIG)&gt;0)*(nNOTA))/SUMPRODUCT((nNIA=A284)*(nCUENTA=1)*(COUNTIF(CONFIG_ASIGNATURAS!$B$7:$B$27,nASIG)&gt;0)*1),"")))</f>
        <v/>
      </c>
      <c r="H284" t="str">
        <f>IF(G284="","",IF(G284="[FÓRMULA MANUAL]","",IFERROR(AVERAGEIFS(nNOTA,nNIA,G284,nCUENTA,1,nASIG,"Lenguaje Musical"),"")))</f>
        <v/>
      </c>
      <c r="I284" t="str">
        <f>IF(G284="","",IF(G284="[FÓRMULA MANUAL]","",IFERROR(AVERAGEIFS(nNOTA,nNIA,G284,nCUENTA,1,nASIG,"Orquesta/Banda/Conjunto"),"")))</f>
        <v/>
      </c>
      <c r="J284" t="str">
        <f>IF(G284="","",IF(G284="[FÓRMULA MANUAL]","",IFERROR(AVERAGEIFS(nNOTA,nNIA,G284,nCUENTA,1,nASIG,"Conjunto"),"")))</f>
        <v/>
      </c>
      <c r="K284" t="str">
        <f>IF(G284="","",IF(G284="[FÓRMULA MANUAL]","",IFERROR(SUMPRODUCT((nNIA=G284)*(nCUENTA=1)*(COUNTIF(CONFIG_ASIGNATURAS!$B$7:$B$27,nASIG)&gt;0)*(nNOTA))/SUMPRODUCT((nNIA=G284)*(nCUENTA=1)*(COUNTIF(CONFIG_ASIGNATURAS!$B$7:$B$27,nASIG)&gt;0)*1),"")))</f>
        <v/>
      </c>
      <c r="N284" t="str">
        <f>IF(M284="","",IF(M284="[FÓRMULA MANUAL]","",IFERROR(AVERAGEIFS(nNOTA,nNIA,M284,nCUENTA,1,nASIG,"Armonía"),"")))</f>
        <v/>
      </c>
      <c r="O284" t="str">
        <f>IF(M284="","",IF(M284="[FÓRMULA MANUAL]","",IFERROR(AVERAGEIFS(nNOTA,nNIA,M284,nCUENTA,1,nASIG,"Orquesta/Banda/Conjunto"),"")))</f>
        <v/>
      </c>
      <c r="P284" t="str">
        <f>IF(M284="","",IF(M284="[FÓRMULA MANUAL]","",IFERROR(AVERAGEIFS(nNOTA,nNIA,M284,nCUENTA,1,nASIG,"Música de Cámara"),"")))</f>
        <v/>
      </c>
      <c r="Q284" t="str">
        <f>IF(M284="","",IF(M284="[FÓRMULA MANUAL]","",IFERROR(SUMPRODUCT((nNIA=M284)*(nCUENTA=1)*(COUNTIF(CONFIG_ASIGNATURAS!$B$7:$B$27,nASIG)&gt;0)*(nNOTA))/SUMPRODUCT((nNIA=M284)*(nCUENTA=1)*(COUNTIF(CONFIG_ASIGNATURAS!$B$7:$B$27,nASIG)&gt;0)*1),"")))</f>
        <v/>
      </c>
      <c r="T284" t="str">
        <f>IF(S284="","",IF(S284="[FÓRMULA MANUAL]","",IFERROR(AVERAGEIFS(nNOTA,nNIA,S284,nCUENTA,1,nASIG,"Armonía"),"")))</f>
        <v/>
      </c>
      <c r="U284" t="str">
        <f>IF(S284="","",IF(S284="[FÓRMULA MANUAL]","",IFERROR(AVERAGEIFS(nNOTA,nNIA,S284,nCUENTA,1,nASIG,"Orquesta/Banda/Conjunto"),"")))</f>
        <v/>
      </c>
      <c r="V284" t="str">
        <f>IF(S284="","",IF(S284="[FÓRMULA MANUAL]","",IFERROR(AVERAGEIFS(nNOTA,nNIA,S284,nCUENTA,1,nASIG,"Música de Cámara"),"")))</f>
        <v/>
      </c>
      <c r="W284" t="str">
        <f>IF(S284="","",IF(S284="[FÓRMULA MANUAL]","",IFERROR(SUMPRODUCT((nNIA=S284)*(nCUENTA=1)*(COUNTIF(CONFIG_ASIGNATURAS!$B$7:$B$27,nASIG)&gt;0)*(nNOTA))/SUMPRODUCT((nNIA=S284)*(nCUENTA=1)*(COUNTIF(CONFIG_ASIGNATURAS!$B$7:$B$27,nASIG)&gt;0)*1),"")))</f>
        <v/>
      </c>
      <c r="Z284" t="str">
        <f>IF(Y284="","",IF(Y284="[FÓRMULA MANUAL]","",IFERROR(AVERAGEIFS(nNOTA,nNIA,Y284,nCUENTA,1,nASIG,"Análisis"),"")))</f>
        <v/>
      </c>
      <c r="AA284" t="str">
        <f>IF(Y284="","",IF(Y284="[FÓRMULA MANUAL]","",IFERROR(AVERAGEIFS(nNOTA,nNIA,Y284,nCUENTA,1,nASIG,"Orquesta/Banda/Conjunto"),"")))</f>
        <v/>
      </c>
      <c r="AB284" t="str">
        <f>IF(Y284="","",IF(Y284="[FÓRMULA MANUAL]","",IFERROR(AVERAGEIFS(nNOTA,nNIA,Y284,nCUENTA,1,nASIG,"Música de Cámara"),"")))</f>
        <v/>
      </c>
      <c r="AC284" t="str">
        <f>IF(Y284="","",IF(Y284="[FÓRMULA MANUAL]","",IFERROR(SUMPRODUCT((nNIA=Y284)*(nCUENTA=1)*(COUNTIF(CONFIG_ASIGNATURAS!$B$7:$B$27,nASIG)&gt;0)*(nNOTA))/SUMPRODUCT((nNIA=Y284)*(nCUENTA=1)*(COUNTIF(CONFIG_ASIGNATURAS!$B$7:$B$27,nASIG)&gt;0)*1),"")))</f>
        <v/>
      </c>
      <c r="AF284" t="str">
        <f>IF(AE284="","",IF(AE284="[FÓRMULA MANUAL]","",IFERROR(AVERAGEIFS(nNOTA,nNIA,AE284,nCUENTA,1,nASIG,"Análisis"),"")))</f>
        <v/>
      </c>
      <c r="AG284" t="str">
        <f>IF(AE284="","",IF(AE284="[FÓRMULA MANUAL]","",IFERROR(AVERAGEIFS(nNOTA,nNIA,AE284,nCUENTA,1,nASIG,"Orquesta/Banda/Conjunto"),"")))</f>
        <v/>
      </c>
      <c r="AH284" t="str">
        <f>IF(AE284="","",IF(AE284="[FÓRMULA MANUAL]","",IFERROR(AVERAGEIFS(nNOTA,nNIA,AE284,nCUENTA,1,nASIG,"Música de Cámara"),"")))</f>
        <v/>
      </c>
      <c r="AI284" t="str">
        <f>IF(AE284="","",IF(AE284="[FÓRMULA MANUAL]","",IFERROR(SUMPRODUCT((nNIA=AE284)*(nCUENTA=1)*(COUNTIF(CONFIG_ASIGNATURAS!$B$7:$B$27,nASIG)&gt;0)*(nNOTA))/SUMPRODUCT((nNIA=AE284)*(nCUENTA=1)*(COUNTIF(CONFIG_ASIGNATURAS!$B$7:$B$27,nASIG)&gt;0)*1),"")))</f>
        <v/>
      </c>
    </row>
    <row r="285" spans="2:35" x14ac:dyDescent="0.2">
      <c r="B285" t="str">
        <f>IF(A285="","",IF(A285="[FÓRMULA MANUAL]","",IFERROR(AVERAGEIFS(nNOTA,nNIA,A285,nCUENTA,1,nASIG,"Lenguaje Musical"),"")))</f>
        <v/>
      </c>
      <c r="C285" t="str">
        <f>IF(A285="","",IF(A285="[FÓRMULA MANUAL]","",IFERROR(AVERAGEIFS(nNOTA,nNIA,A285,nCUENTA,1,nASIG,"Orquesta/Banda/Conjunto"),"")))</f>
        <v/>
      </c>
      <c r="D285" t="str">
        <f>IF(A285="","",IF(A285="[FÓRMULA MANUAL]","",IFERROR(AVERAGEIFS(nNOTA,nNIA,A285,nCUENTA,1,nASIG,"Conjunto"),"")))</f>
        <v/>
      </c>
      <c r="E285" t="str">
        <f>IF(A285="","",IF(A285="[FÓRMULA MANUAL]","",IFERROR(SUMPRODUCT((nNIA=A285)*(nCUENTA=1)*(COUNTIF(CONFIG_ASIGNATURAS!$B$7:$B$27,nASIG)&gt;0)*(nNOTA))/SUMPRODUCT((nNIA=A285)*(nCUENTA=1)*(COUNTIF(CONFIG_ASIGNATURAS!$B$7:$B$27,nASIG)&gt;0)*1),"")))</f>
        <v/>
      </c>
      <c r="H285" t="str">
        <f>IF(G285="","",IF(G285="[FÓRMULA MANUAL]","",IFERROR(AVERAGEIFS(nNOTA,nNIA,G285,nCUENTA,1,nASIG,"Lenguaje Musical"),"")))</f>
        <v/>
      </c>
      <c r="I285" t="str">
        <f>IF(G285="","",IF(G285="[FÓRMULA MANUAL]","",IFERROR(AVERAGEIFS(nNOTA,nNIA,G285,nCUENTA,1,nASIG,"Orquesta/Banda/Conjunto"),"")))</f>
        <v/>
      </c>
      <c r="J285" t="str">
        <f>IF(G285="","",IF(G285="[FÓRMULA MANUAL]","",IFERROR(AVERAGEIFS(nNOTA,nNIA,G285,nCUENTA,1,nASIG,"Conjunto"),"")))</f>
        <v/>
      </c>
      <c r="K285" t="str">
        <f>IF(G285="","",IF(G285="[FÓRMULA MANUAL]","",IFERROR(SUMPRODUCT((nNIA=G285)*(nCUENTA=1)*(COUNTIF(CONFIG_ASIGNATURAS!$B$7:$B$27,nASIG)&gt;0)*(nNOTA))/SUMPRODUCT((nNIA=G285)*(nCUENTA=1)*(COUNTIF(CONFIG_ASIGNATURAS!$B$7:$B$27,nASIG)&gt;0)*1),"")))</f>
        <v/>
      </c>
      <c r="N285" t="str">
        <f>IF(M285="","",IF(M285="[FÓRMULA MANUAL]","",IFERROR(AVERAGEIFS(nNOTA,nNIA,M285,nCUENTA,1,nASIG,"Armonía"),"")))</f>
        <v/>
      </c>
      <c r="O285" t="str">
        <f>IF(M285="","",IF(M285="[FÓRMULA MANUAL]","",IFERROR(AVERAGEIFS(nNOTA,nNIA,M285,nCUENTA,1,nASIG,"Orquesta/Banda/Conjunto"),"")))</f>
        <v/>
      </c>
      <c r="P285" t="str">
        <f>IF(M285="","",IF(M285="[FÓRMULA MANUAL]","",IFERROR(AVERAGEIFS(nNOTA,nNIA,M285,nCUENTA,1,nASIG,"Música de Cámara"),"")))</f>
        <v/>
      </c>
      <c r="Q285" t="str">
        <f>IF(M285="","",IF(M285="[FÓRMULA MANUAL]","",IFERROR(SUMPRODUCT((nNIA=M285)*(nCUENTA=1)*(COUNTIF(CONFIG_ASIGNATURAS!$B$7:$B$27,nASIG)&gt;0)*(nNOTA))/SUMPRODUCT((nNIA=M285)*(nCUENTA=1)*(COUNTIF(CONFIG_ASIGNATURAS!$B$7:$B$27,nASIG)&gt;0)*1),"")))</f>
        <v/>
      </c>
      <c r="T285" t="str">
        <f>IF(S285="","",IF(S285="[FÓRMULA MANUAL]","",IFERROR(AVERAGEIFS(nNOTA,nNIA,S285,nCUENTA,1,nASIG,"Armonía"),"")))</f>
        <v/>
      </c>
      <c r="U285" t="str">
        <f>IF(S285="","",IF(S285="[FÓRMULA MANUAL]","",IFERROR(AVERAGEIFS(nNOTA,nNIA,S285,nCUENTA,1,nASIG,"Orquesta/Banda/Conjunto"),"")))</f>
        <v/>
      </c>
      <c r="V285" t="str">
        <f>IF(S285="","",IF(S285="[FÓRMULA MANUAL]","",IFERROR(AVERAGEIFS(nNOTA,nNIA,S285,nCUENTA,1,nASIG,"Música de Cámara"),"")))</f>
        <v/>
      </c>
      <c r="W285" t="str">
        <f>IF(S285="","",IF(S285="[FÓRMULA MANUAL]","",IFERROR(SUMPRODUCT((nNIA=S285)*(nCUENTA=1)*(COUNTIF(CONFIG_ASIGNATURAS!$B$7:$B$27,nASIG)&gt;0)*(nNOTA))/SUMPRODUCT((nNIA=S285)*(nCUENTA=1)*(COUNTIF(CONFIG_ASIGNATURAS!$B$7:$B$27,nASIG)&gt;0)*1),"")))</f>
        <v/>
      </c>
      <c r="Z285" t="str">
        <f>IF(Y285="","",IF(Y285="[FÓRMULA MANUAL]","",IFERROR(AVERAGEIFS(nNOTA,nNIA,Y285,nCUENTA,1,nASIG,"Análisis"),"")))</f>
        <v/>
      </c>
      <c r="AA285" t="str">
        <f>IF(Y285="","",IF(Y285="[FÓRMULA MANUAL]","",IFERROR(AVERAGEIFS(nNOTA,nNIA,Y285,nCUENTA,1,nASIG,"Orquesta/Banda/Conjunto"),"")))</f>
        <v/>
      </c>
      <c r="AB285" t="str">
        <f>IF(Y285="","",IF(Y285="[FÓRMULA MANUAL]","",IFERROR(AVERAGEIFS(nNOTA,nNIA,Y285,nCUENTA,1,nASIG,"Música de Cámara"),"")))</f>
        <v/>
      </c>
      <c r="AC285" t="str">
        <f>IF(Y285="","",IF(Y285="[FÓRMULA MANUAL]","",IFERROR(SUMPRODUCT((nNIA=Y285)*(nCUENTA=1)*(COUNTIF(CONFIG_ASIGNATURAS!$B$7:$B$27,nASIG)&gt;0)*(nNOTA))/SUMPRODUCT((nNIA=Y285)*(nCUENTA=1)*(COUNTIF(CONFIG_ASIGNATURAS!$B$7:$B$27,nASIG)&gt;0)*1),"")))</f>
        <v/>
      </c>
      <c r="AF285" t="str">
        <f>IF(AE285="","",IF(AE285="[FÓRMULA MANUAL]","",IFERROR(AVERAGEIFS(nNOTA,nNIA,AE285,nCUENTA,1,nASIG,"Análisis"),"")))</f>
        <v/>
      </c>
      <c r="AG285" t="str">
        <f>IF(AE285="","",IF(AE285="[FÓRMULA MANUAL]","",IFERROR(AVERAGEIFS(nNOTA,nNIA,AE285,nCUENTA,1,nASIG,"Orquesta/Banda/Conjunto"),"")))</f>
        <v/>
      </c>
      <c r="AH285" t="str">
        <f>IF(AE285="","",IF(AE285="[FÓRMULA MANUAL]","",IFERROR(AVERAGEIFS(nNOTA,nNIA,AE285,nCUENTA,1,nASIG,"Música de Cámara"),"")))</f>
        <v/>
      </c>
      <c r="AI285" t="str">
        <f>IF(AE285="","",IF(AE285="[FÓRMULA MANUAL]","",IFERROR(SUMPRODUCT((nNIA=AE285)*(nCUENTA=1)*(COUNTIF(CONFIG_ASIGNATURAS!$B$7:$B$27,nASIG)&gt;0)*(nNOTA))/SUMPRODUCT((nNIA=AE285)*(nCUENTA=1)*(COUNTIF(CONFIG_ASIGNATURAS!$B$7:$B$27,nASIG)&gt;0)*1),"")))</f>
        <v/>
      </c>
    </row>
    <row r="286" spans="2:35" x14ac:dyDescent="0.2">
      <c r="B286" t="str">
        <f>IF(A286="","",IF(A286="[FÓRMULA MANUAL]","",IFERROR(AVERAGEIFS(nNOTA,nNIA,A286,nCUENTA,1,nASIG,"Lenguaje Musical"),"")))</f>
        <v/>
      </c>
      <c r="C286" t="str">
        <f>IF(A286="","",IF(A286="[FÓRMULA MANUAL]","",IFERROR(AVERAGEIFS(nNOTA,nNIA,A286,nCUENTA,1,nASIG,"Orquesta/Banda/Conjunto"),"")))</f>
        <v/>
      </c>
      <c r="D286" t="str">
        <f>IF(A286="","",IF(A286="[FÓRMULA MANUAL]","",IFERROR(AVERAGEIFS(nNOTA,nNIA,A286,nCUENTA,1,nASIG,"Conjunto"),"")))</f>
        <v/>
      </c>
      <c r="E286" t="str">
        <f>IF(A286="","",IF(A286="[FÓRMULA MANUAL]","",IFERROR(SUMPRODUCT((nNIA=A286)*(nCUENTA=1)*(COUNTIF(CONFIG_ASIGNATURAS!$B$7:$B$27,nASIG)&gt;0)*(nNOTA))/SUMPRODUCT((nNIA=A286)*(nCUENTA=1)*(COUNTIF(CONFIG_ASIGNATURAS!$B$7:$B$27,nASIG)&gt;0)*1),"")))</f>
        <v/>
      </c>
      <c r="H286" t="str">
        <f>IF(G286="","",IF(G286="[FÓRMULA MANUAL]","",IFERROR(AVERAGEIFS(nNOTA,nNIA,G286,nCUENTA,1,nASIG,"Lenguaje Musical"),"")))</f>
        <v/>
      </c>
      <c r="I286" t="str">
        <f>IF(G286="","",IF(G286="[FÓRMULA MANUAL]","",IFERROR(AVERAGEIFS(nNOTA,nNIA,G286,nCUENTA,1,nASIG,"Orquesta/Banda/Conjunto"),"")))</f>
        <v/>
      </c>
      <c r="J286" t="str">
        <f>IF(G286="","",IF(G286="[FÓRMULA MANUAL]","",IFERROR(AVERAGEIFS(nNOTA,nNIA,G286,nCUENTA,1,nASIG,"Conjunto"),"")))</f>
        <v/>
      </c>
      <c r="K286" t="str">
        <f>IF(G286="","",IF(G286="[FÓRMULA MANUAL]","",IFERROR(SUMPRODUCT((nNIA=G286)*(nCUENTA=1)*(COUNTIF(CONFIG_ASIGNATURAS!$B$7:$B$27,nASIG)&gt;0)*(nNOTA))/SUMPRODUCT((nNIA=G286)*(nCUENTA=1)*(COUNTIF(CONFIG_ASIGNATURAS!$B$7:$B$27,nASIG)&gt;0)*1),"")))</f>
        <v/>
      </c>
      <c r="N286" t="str">
        <f>IF(M286="","",IF(M286="[FÓRMULA MANUAL]","",IFERROR(AVERAGEIFS(nNOTA,nNIA,M286,nCUENTA,1,nASIG,"Armonía"),"")))</f>
        <v/>
      </c>
      <c r="O286" t="str">
        <f>IF(M286="","",IF(M286="[FÓRMULA MANUAL]","",IFERROR(AVERAGEIFS(nNOTA,nNIA,M286,nCUENTA,1,nASIG,"Orquesta/Banda/Conjunto"),"")))</f>
        <v/>
      </c>
      <c r="P286" t="str">
        <f>IF(M286="","",IF(M286="[FÓRMULA MANUAL]","",IFERROR(AVERAGEIFS(nNOTA,nNIA,M286,nCUENTA,1,nASIG,"Música de Cámara"),"")))</f>
        <v/>
      </c>
      <c r="Q286" t="str">
        <f>IF(M286="","",IF(M286="[FÓRMULA MANUAL]","",IFERROR(SUMPRODUCT((nNIA=M286)*(nCUENTA=1)*(COUNTIF(CONFIG_ASIGNATURAS!$B$7:$B$27,nASIG)&gt;0)*(nNOTA))/SUMPRODUCT((nNIA=M286)*(nCUENTA=1)*(COUNTIF(CONFIG_ASIGNATURAS!$B$7:$B$27,nASIG)&gt;0)*1),"")))</f>
        <v/>
      </c>
      <c r="T286" t="str">
        <f>IF(S286="","",IF(S286="[FÓRMULA MANUAL]","",IFERROR(AVERAGEIFS(nNOTA,nNIA,S286,nCUENTA,1,nASIG,"Armonía"),"")))</f>
        <v/>
      </c>
      <c r="U286" t="str">
        <f>IF(S286="","",IF(S286="[FÓRMULA MANUAL]","",IFERROR(AVERAGEIFS(nNOTA,nNIA,S286,nCUENTA,1,nASIG,"Orquesta/Banda/Conjunto"),"")))</f>
        <v/>
      </c>
      <c r="V286" t="str">
        <f>IF(S286="","",IF(S286="[FÓRMULA MANUAL]","",IFERROR(AVERAGEIFS(nNOTA,nNIA,S286,nCUENTA,1,nASIG,"Música de Cámara"),"")))</f>
        <v/>
      </c>
      <c r="W286" t="str">
        <f>IF(S286="","",IF(S286="[FÓRMULA MANUAL]","",IFERROR(SUMPRODUCT((nNIA=S286)*(nCUENTA=1)*(COUNTIF(CONFIG_ASIGNATURAS!$B$7:$B$27,nASIG)&gt;0)*(nNOTA))/SUMPRODUCT((nNIA=S286)*(nCUENTA=1)*(COUNTIF(CONFIG_ASIGNATURAS!$B$7:$B$27,nASIG)&gt;0)*1),"")))</f>
        <v/>
      </c>
      <c r="Z286" t="str">
        <f>IF(Y286="","",IF(Y286="[FÓRMULA MANUAL]","",IFERROR(AVERAGEIFS(nNOTA,nNIA,Y286,nCUENTA,1,nASIG,"Análisis"),"")))</f>
        <v/>
      </c>
      <c r="AA286" t="str">
        <f>IF(Y286="","",IF(Y286="[FÓRMULA MANUAL]","",IFERROR(AVERAGEIFS(nNOTA,nNIA,Y286,nCUENTA,1,nASIG,"Orquesta/Banda/Conjunto"),"")))</f>
        <v/>
      </c>
      <c r="AB286" t="str">
        <f>IF(Y286="","",IF(Y286="[FÓRMULA MANUAL]","",IFERROR(AVERAGEIFS(nNOTA,nNIA,Y286,nCUENTA,1,nASIG,"Música de Cámara"),"")))</f>
        <v/>
      </c>
      <c r="AC286" t="str">
        <f>IF(Y286="","",IF(Y286="[FÓRMULA MANUAL]","",IFERROR(SUMPRODUCT((nNIA=Y286)*(nCUENTA=1)*(COUNTIF(CONFIG_ASIGNATURAS!$B$7:$B$27,nASIG)&gt;0)*(nNOTA))/SUMPRODUCT((nNIA=Y286)*(nCUENTA=1)*(COUNTIF(CONFIG_ASIGNATURAS!$B$7:$B$27,nASIG)&gt;0)*1),"")))</f>
        <v/>
      </c>
      <c r="AF286" t="str">
        <f>IF(AE286="","",IF(AE286="[FÓRMULA MANUAL]","",IFERROR(AVERAGEIFS(nNOTA,nNIA,AE286,nCUENTA,1,nASIG,"Análisis"),"")))</f>
        <v/>
      </c>
      <c r="AG286" t="str">
        <f>IF(AE286="","",IF(AE286="[FÓRMULA MANUAL]","",IFERROR(AVERAGEIFS(nNOTA,nNIA,AE286,nCUENTA,1,nASIG,"Orquesta/Banda/Conjunto"),"")))</f>
        <v/>
      </c>
      <c r="AH286" t="str">
        <f>IF(AE286="","",IF(AE286="[FÓRMULA MANUAL]","",IFERROR(AVERAGEIFS(nNOTA,nNIA,AE286,nCUENTA,1,nASIG,"Música de Cámara"),"")))</f>
        <v/>
      </c>
      <c r="AI286" t="str">
        <f>IF(AE286="","",IF(AE286="[FÓRMULA MANUAL]","",IFERROR(SUMPRODUCT((nNIA=AE286)*(nCUENTA=1)*(COUNTIF(CONFIG_ASIGNATURAS!$B$7:$B$27,nASIG)&gt;0)*(nNOTA))/SUMPRODUCT((nNIA=AE286)*(nCUENTA=1)*(COUNTIF(CONFIG_ASIGNATURAS!$B$7:$B$27,nASIG)&gt;0)*1),"")))</f>
        <v/>
      </c>
    </row>
    <row r="287" spans="2:35" x14ac:dyDescent="0.2">
      <c r="B287" t="str">
        <f>IF(A287="","",IF(A287="[FÓRMULA MANUAL]","",IFERROR(AVERAGEIFS(nNOTA,nNIA,A287,nCUENTA,1,nASIG,"Lenguaje Musical"),"")))</f>
        <v/>
      </c>
      <c r="C287" t="str">
        <f>IF(A287="","",IF(A287="[FÓRMULA MANUAL]","",IFERROR(AVERAGEIFS(nNOTA,nNIA,A287,nCUENTA,1,nASIG,"Orquesta/Banda/Conjunto"),"")))</f>
        <v/>
      </c>
      <c r="D287" t="str">
        <f>IF(A287="","",IF(A287="[FÓRMULA MANUAL]","",IFERROR(AVERAGEIFS(nNOTA,nNIA,A287,nCUENTA,1,nASIG,"Conjunto"),"")))</f>
        <v/>
      </c>
      <c r="E287" t="str">
        <f>IF(A287="","",IF(A287="[FÓRMULA MANUAL]","",IFERROR(SUMPRODUCT((nNIA=A287)*(nCUENTA=1)*(COUNTIF(CONFIG_ASIGNATURAS!$B$7:$B$27,nASIG)&gt;0)*(nNOTA))/SUMPRODUCT((nNIA=A287)*(nCUENTA=1)*(COUNTIF(CONFIG_ASIGNATURAS!$B$7:$B$27,nASIG)&gt;0)*1),"")))</f>
        <v/>
      </c>
      <c r="H287" t="str">
        <f>IF(G287="","",IF(G287="[FÓRMULA MANUAL]","",IFERROR(AVERAGEIFS(nNOTA,nNIA,G287,nCUENTA,1,nASIG,"Lenguaje Musical"),"")))</f>
        <v/>
      </c>
      <c r="I287" t="str">
        <f>IF(G287="","",IF(G287="[FÓRMULA MANUAL]","",IFERROR(AVERAGEIFS(nNOTA,nNIA,G287,nCUENTA,1,nASIG,"Orquesta/Banda/Conjunto"),"")))</f>
        <v/>
      </c>
      <c r="J287" t="str">
        <f>IF(G287="","",IF(G287="[FÓRMULA MANUAL]","",IFERROR(AVERAGEIFS(nNOTA,nNIA,G287,nCUENTA,1,nASIG,"Conjunto"),"")))</f>
        <v/>
      </c>
      <c r="K287" t="str">
        <f>IF(G287="","",IF(G287="[FÓRMULA MANUAL]","",IFERROR(SUMPRODUCT((nNIA=G287)*(nCUENTA=1)*(COUNTIF(CONFIG_ASIGNATURAS!$B$7:$B$27,nASIG)&gt;0)*(nNOTA))/SUMPRODUCT((nNIA=G287)*(nCUENTA=1)*(COUNTIF(CONFIG_ASIGNATURAS!$B$7:$B$27,nASIG)&gt;0)*1),"")))</f>
        <v/>
      </c>
      <c r="N287" t="str">
        <f>IF(M287="","",IF(M287="[FÓRMULA MANUAL]","",IFERROR(AVERAGEIFS(nNOTA,nNIA,M287,nCUENTA,1,nASIG,"Armonía"),"")))</f>
        <v/>
      </c>
      <c r="O287" t="str">
        <f>IF(M287="","",IF(M287="[FÓRMULA MANUAL]","",IFERROR(AVERAGEIFS(nNOTA,nNIA,M287,nCUENTA,1,nASIG,"Orquesta/Banda/Conjunto"),"")))</f>
        <v/>
      </c>
      <c r="P287" t="str">
        <f>IF(M287="","",IF(M287="[FÓRMULA MANUAL]","",IFERROR(AVERAGEIFS(nNOTA,nNIA,M287,nCUENTA,1,nASIG,"Música de Cámara"),"")))</f>
        <v/>
      </c>
      <c r="Q287" t="str">
        <f>IF(M287="","",IF(M287="[FÓRMULA MANUAL]","",IFERROR(SUMPRODUCT((nNIA=M287)*(nCUENTA=1)*(COUNTIF(CONFIG_ASIGNATURAS!$B$7:$B$27,nASIG)&gt;0)*(nNOTA))/SUMPRODUCT((nNIA=M287)*(nCUENTA=1)*(COUNTIF(CONFIG_ASIGNATURAS!$B$7:$B$27,nASIG)&gt;0)*1),"")))</f>
        <v/>
      </c>
      <c r="T287" t="str">
        <f>IF(S287="","",IF(S287="[FÓRMULA MANUAL]","",IFERROR(AVERAGEIFS(nNOTA,nNIA,S287,nCUENTA,1,nASIG,"Armonía"),"")))</f>
        <v/>
      </c>
      <c r="U287" t="str">
        <f>IF(S287="","",IF(S287="[FÓRMULA MANUAL]","",IFERROR(AVERAGEIFS(nNOTA,nNIA,S287,nCUENTA,1,nASIG,"Orquesta/Banda/Conjunto"),"")))</f>
        <v/>
      </c>
      <c r="V287" t="str">
        <f>IF(S287="","",IF(S287="[FÓRMULA MANUAL]","",IFERROR(AVERAGEIFS(nNOTA,nNIA,S287,nCUENTA,1,nASIG,"Música de Cámara"),"")))</f>
        <v/>
      </c>
      <c r="W287" t="str">
        <f>IF(S287="","",IF(S287="[FÓRMULA MANUAL]","",IFERROR(SUMPRODUCT((nNIA=S287)*(nCUENTA=1)*(COUNTIF(CONFIG_ASIGNATURAS!$B$7:$B$27,nASIG)&gt;0)*(nNOTA))/SUMPRODUCT((nNIA=S287)*(nCUENTA=1)*(COUNTIF(CONFIG_ASIGNATURAS!$B$7:$B$27,nASIG)&gt;0)*1),"")))</f>
        <v/>
      </c>
      <c r="Z287" t="str">
        <f>IF(Y287="","",IF(Y287="[FÓRMULA MANUAL]","",IFERROR(AVERAGEIFS(nNOTA,nNIA,Y287,nCUENTA,1,nASIG,"Análisis"),"")))</f>
        <v/>
      </c>
      <c r="AA287" t="str">
        <f>IF(Y287="","",IF(Y287="[FÓRMULA MANUAL]","",IFERROR(AVERAGEIFS(nNOTA,nNIA,Y287,nCUENTA,1,nASIG,"Orquesta/Banda/Conjunto"),"")))</f>
        <v/>
      </c>
      <c r="AB287" t="str">
        <f>IF(Y287="","",IF(Y287="[FÓRMULA MANUAL]","",IFERROR(AVERAGEIFS(nNOTA,nNIA,Y287,nCUENTA,1,nASIG,"Música de Cámara"),"")))</f>
        <v/>
      </c>
      <c r="AC287" t="str">
        <f>IF(Y287="","",IF(Y287="[FÓRMULA MANUAL]","",IFERROR(SUMPRODUCT((nNIA=Y287)*(nCUENTA=1)*(COUNTIF(CONFIG_ASIGNATURAS!$B$7:$B$27,nASIG)&gt;0)*(nNOTA))/SUMPRODUCT((nNIA=Y287)*(nCUENTA=1)*(COUNTIF(CONFIG_ASIGNATURAS!$B$7:$B$27,nASIG)&gt;0)*1),"")))</f>
        <v/>
      </c>
      <c r="AF287" t="str">
        <f>IF(AE287="","",IF(AE287="[FÓRMULA MANUAL]","",IFERROR(AVERAGEIFS(nNOTA,nNIA,AE287,nCUENTA,1,nASIG,"Análisis"),"")))</f>
        <v/>
      </c>
      <c r="AG287" t="str">
        <f>IF(AE287="","",IF(AE287="[FÓRMULA MANUAL]","",IFERROR(AVERAGEIFS(nNOTA,nNIA,AE287,nCUENTA,1,nASIG,"Orquesta/Banda/Conjunto"),"")))</f>
        <v/>
      </c>
      <c r="AH287" t="str">
        <f>IF(AE287="","",IF(AE287="[FÓRMULA MANUAL]","",IFERROR(AVERAGEIFS(nNOTA,nNIA,AE287,nCUENTA,1,nASIG,"Música de Cámara"),"")))</f>
        <v/>
      </c>
      <c r="AI287" t="str">
        <f>IF(AE287="","",IF(AE287="[FÓRMULA MANUAL]","",IFERROR(SUMPRODUCT((nNIA=AE287)*(nCUENTA=1)*(COUNTIF(CONFIG_ASIGNATURAS!$B$7:$B$27,nASIG)&gt;0)*(nNOTA))/SUMPRODUCT((nNIA=AE287)*(nCUENTA=1)*(COUNTIF(CONFIG_ASIGNATURAS!$B$7:$B$27,nASIG)&gt;0)*1),"")))</f>
        <v/>
      </c>
    </row>
    <row r="288" spans="2:35" x14ac:dyDescent="0.2">
      <c r="B288" t="str">
        <f>IF(A288="","",IF(A288="[FÓRMULA MANUAL]","",IFERROR(AVERAGEIFS(nNOTA,nNIA,A288,nCUENTA,1,nASIG,"Lenguaje Musical"),"")))</f>
        <v/>
      </c>
      <c r="C288" t="str">
        <f>IF(A288="","",IF(A288="[FÓRMULA MANUAL]","",IFERROR(AVERAGEIFS(nNOTA,nNIA,A288,nCUENTA,1,nASIG,"Orquesta/Banda/Conjunto"),"")))</f>
        <v/>
      </c>
      <c r="D288" t="str">
        <f>IF(A288="","",IF(A288="[FÓRMULA MANUAL]","",IFERROR(AVERAGEIFS(nNOTA,nNIA,A288,nCUENTA,1,nASIG,"Conjunto"),"")))</f>
        <v/>
      </c>
      <c r="E288" t="str">
        <f>IF(A288="","",IF(A288="[FÓRMULA MANUAL]","",IFERROR(SUMPRODUCT((nNIA=A288)*(nCUENTA=1)*(COUNTIF(CONFIG_ASIGNATURAS!$B$7:$B$27,nASIG)&gt;0)*(nNOTA))/SUMPRODUCT((nNIA=A288)*(nCUENTA=1)*(COUNTIF(CONFIG_ASIGNATURAS!$B$7:$B$27,nASIG)&gt;0)*1),"")))</f>
        <v/>
      </c>
      <c r="H288" t="str">
        <f>IF(G288="","",IF(G288="[FÓRMULA MANUAL]","",IFERROR(AVERAGEIFS(nNOTA,nNIA,G288,nCUENTA,1,nASIG,"Lenguaje Musical"),"")))</f>
        <v/>
      </c>
      <c r="I288" t="str">
        <f>IF(G288="","",IF(G288="[FÓRMULA MANUAL]","",IFERROR(AVERAGEIFS(nNOTA,nNIA,G288,nCUENTA,1,nASIG,"Orquesta/Banda/Conjunto"),"")))</f>
        <v/>
      </c>
      <c r="J288" t="str">
        <f>IF(G288="","",IF(G288="[FÓRMULA MANUAL]","",IFERROR(AVERAGEIFS(nNOTA,nNIA,G288,nCUENTA,1,nASIG,"Conjunto"),"")))</f>
        <v/>
      </c>
      <c r="K288" t="str">
        <f>IF(G288="","",IF(G288="[FÓRMULA MANUAL]","",IFERROR(SUMPRODUCT((nNIA=G288)*(nCUENTA=1)*(COUNTIF(CONFIG_ASIGNATURAS!$B$7:$B$27,nASIG)&gt;0)*(nNOTA))/SUMPRODUCT((nNIA=G288)*(nCUENTA=1)*(COUNTIF(CONFIG_ASIGNATURAS!$B$7:$B$27,nASIG)&gt;0)*1),"")))</f>
        <v/>
      </c>
      <c r="N288" t="str">
        <f>IF(M288="","",IF(M288="[FÓRMULA MANUAL]","",IFERROR(AVERAGEIFS(nNOTA,nNIA,M288,nCUENTA,1,nASIG,"Armonía"),"")))</f>
        <v/>
      </c>
      <c r="O288" t="str">
        <f>IF(M288="","",IF(M288="[FÓRMULA MANUAL]","",IFERROR(AVERAGEIFS(nNOTA,nNIA,M288,nCUENTA,1,nASIG,"Orquesta/Banda/Conjunto"),"")))</f>
        <v/>
      </c>
      <c r="P288" t="str">
        <f>IF(M288="","",IF(M288="[FÓRMULA MANUAL]","",IFERROR(AVERAGEIFS(nNOTA,nNIA,M288,nCUENTA,1,nASIG,"Música de Cámara"),"")))</f>
        <v/>
      </c>
      <c r="Q288" t="str">
        <f>IF(M288="","",IF(M288="[FÓRMULA MANUAL]","",IFERROR(SUMPRODUCT((nNIA=M288)*(nCUENTA=1)*(COUNTIF(CONFIG_ASIGNATURAS!$B$7:$B$27,nASIG)&gt;0)*(nNOTA))/SUMPRODUCT((nNIA=M288)*(nCUENTA=1)*(COUNTIF(CONFIG_ASIGNATURAS!$B$7:$B$27,nASIG)&gt;0)*1),"")))</f>
        <v/>
      </c>
      <c r="T288" t="str">
        <f>IF(S288="","",IF(S288="[FÓRMULA MANUAL]","",IFERROR(AVERAGEIFS(nNOTA,nNIA,S288,nCUENTA,1,nASIG,"Armonía"),"")))</f>
        <v/>
      </c>
      <c r="U288" t="str">
        <f>IF(S288="","",IF(S288="[FÓRMULA MANUAL]","",IFERROR(AVERAGEIFS(nNOTA,nNIA,S288,nCUENTA,1,nASIG,"Orquesta/Banda/Conjunto"),"")))</f>
        <v/>
      </c>
      <c r="V288" t="str">
        <f>IF(S288="","",IF(S288="[FÓRMULA MANUAL]","",IFERROR(AVERAGEIFS(nNOTA,nNIA,S288,nCUENTA,1,nASIG,"Música de Cámara"),"")))</f>
        <v/>
      </c>
      <c r="W288" t="str">
        <f>IF(S288="","",IF(S288="[FÓRMULA MANUAL]","",IFERROR(SUMPRODUCT((nNIA=S288)*(nCUENTA=1)*(COUNTIF(CONFIG_ASIGNATURAS!$B$7:$B$27,nASIG)&gt;0)*(nNOTA))/SUMPRODUCT((nNIA=S288)*(nCUENTA=1)*(COUNTIF(CONFIG_ASIGNATURAS!$B$7:$B$27,nASIG)&gt;0)*1),"")))</f>
        <v/>
      </c>
      <c r="Z288" t="str">
        <f>IF(Y288="","",IF(Y288="[FÓRMULA MANUAL]","",IFERROR(AVERAGEIFS(nNOTA,nNIA,Y288,nCUENTA,1,nASIG,"Análisis"),"")))</f>
        <v/>
      </c>
      <c r="AA288" t="str">
        <f>IF(Y288="","",IF(Y288="[FÓRMULA MANUAL]","",IFERROR(AVERAGEIFS(nNOTA,nNIA,Y288,nCUENTA,1,nASIG,"Orquesta/Banda/Conjunto"),"")))</f>
        <v/>
      </c>
      <c r="AB288" t="str">
        <f>IF(Y288="","",IF(Y288="[FÓRMULA MANUAL]","",IFERROR(AVERAGEIFS(nNOTA,nNIA,Y288,nCUENTA,1,nASIG,"Música de Cámara"),"")))</f>
        <v/>
      </c>
      <c r="AC288" t="str">
        <f>IF(Y288="","",IF(Y288="[FÓRMULA MANUAL]","",IFERROR(SUMPRODUCT((nNIA=Y288)*(nCUENTA=1)*(COUNTIF(CONFIG_ASIGNATURAS!$B$7:$B$27,nASIG)&gt;0)*(nNOTA))/SUMPRODUCT((nNIA=Y288)*(nCUENTA=1)*(COUNTIF(CONFIG_ASIGNATURAS!$B$7:$B$27,nASIG)&gt;0)*1),"")))</f>
        <v/>
      </c>
      <c r="AF288" t="str">
        <f>IF(AE288="","",IF(AE288="[FÓRMULA MANUAL]","",IFERROR(AVERAGEIFS(nNOTA,nNIA,AE288,nCUENTA,1,nASIG,"Análisis"),"")))</f>
        <v/>
      </c>
      <c r="AG288" t="str">
        <f>IF(AE288="","",IF(AE288="[FÓRMULA MANUAL]","",IFERROR(AVERAGEIFS(nNOTA,nNIA,AE288,nCUENTA,1,nASIG,"Orquesta/Banda/Conjunto"),"")))</f>
        <v/>
      </c>
      <c r="AH288" t="str">
        <f>IF(AE288="","",IF(AE288="[FÓRMULA MANUAL]","",IFERROR(AVERAGEIFS(nNOTA,nNIA,AE288,nCUENTA,1,nASIG,"Música de Cámara"),"")))</f>
        <v/>
      </c>
      <c r="AI288" t="str">
        <f>IF(AE288="","",IF(AE288="[FÓRMULA MANUAL]","",IFERROR(SUMPRODUCT((nNIA=AE288)*(nCUENTA=1)*(COUNTIF(CONFIG_ASIGNATURAS!$B$7:$B$27,nASIG)&gt;0)*(nNOTA))/SUMPRODUCT((nNIA=AE288)*(nCUENTA=1)*(COUNTIF(CONFIG_ASIGNATURAS!$B$7:$B$27,nASIG)&gt;0)*1),"")))</f>
        <v/>
      </c>
    </row>
    <row r="289" spans="2:35" x14ac:dyDescent="0.2">
      <c r="B289" t="str">
        <f>IF(A289="","",IF(A289="[FÓRMULA MANUAL]","",IFERROR(AVERAGEIFS(nNOTA,nNIA,A289,nCUENTA,1,nASIG,"Lenguaje Musical"),"")))</f>
        <v/>
      </c>
      <c r="C289" t="str">
        <f>IF(A289="","",IF(A289="[FÓRMULA MANUAL]","",IFERROR(AVERAGEIFS(nNOTA,nNIA,A289,nCUENTA,1,nASIG,"Orquesta/Banda/Conjunto"),"")))</f>
        <v/>
      </c>
      <c r="D289" t="str">
        <f>IF(A289="","",IF(A289="[FÓRMULA MANUAL]","",IFERROR(AVERAGEIFS(nNOTA,nNIA,A289,nCUENTA,1,nASIG,"Conjunto"),"")))</f>
        <v/>
      </c>
      <c r="E289" t="str">
        <f>IF(A289="","",IF(A289="[FÓRMULA MANUAL]","",IFERROR(SUMPRODUCT((nNIA=A289)*(nCUENTA=1)*(COUNTIF(CONFIG_ASIGNATURAS!$B$7:$B$27,nASIG)&gt;0)*(nNOTA))/SUMPRODUCT((nNIA=A289)*(nCUENTA=1)*(COUNTIF(CONFIG_ASIGNATURAS!$B$7:$B$27,nASIG)&gt;0)*1),"")))</f>
        <v/>
      </c>
      <c r="H289" t="str">
        <f>IF(G289="","",IF(G289="[FÓRMULA MANUAL]","",IFERROR(AVERAGEIFS(nNOTA,nNIA,G289,nCUENTA,1,nASIG,"Lenguaje Musical"),"")))</f>
        <v/>
      </c>
      <c r="I289" t="str">
        <f>IF(G289="","",IF(G289="[FÓRMULA MANUAL]","",IFERROR(AVERAGEIFS(nNOTA,nNIA,G289,nCUENTA,1,nASIG,"Orquesta/Banda/Conjunto"),"")))</f>
        <v/>
      </c>
      <c r="J289" t="str">
        <f>IF(G289="","",IF(G289="[FÓRMULA MANUAL]","",IFERROR(AVERAGEIFS(nNOTA,nNIA,G289,nCUENTA,1,nASIG,"Conjunto"),"")))</f>
        <v/>
      </c>
      <c r="K289" t="str">
        <f>IF(G289="","",IF(G289="[FÓRMULA MANUAL]","",IFERROR(SUMPRODUCT((nNIA=G289)*(nCUENTA=1)*(COUNTIF(CONFIG_ASIGNATURAS!$B$7:$B$27,nASIG)&gt;0)*(nNOTA))/SUMPRODUCT((nNIA=G289)*(nCUENTA=1)*(COUNTIF(CONFIG_ASIGNATURAS!$B$7:$B$27,nASIG)&gt;0)*1),"")))</f>
        <v/>
      </c>
      <c r="N289" t="str">
        <f>IF(M289="","",IF(M289="[FÓRMULA MANUAL]","",IFERROR(AVERAGEIFS(nNOTA,nNIA,M289,nCUENTA,1,nASIG,"Armonía"),"")))</f>
        <v/>
      </c>
      <c r="O289" t="str">
        <f>IF(M289="","",IF(M289="[FÓRMULA MANUAL]","",IFERROR(AVERAGEIFS(nNOTA,nNIA,M289,nCUENTA,1,nASIG,"Orquesta/Banda/Conjunto"),"")))</f>
        <v/>
      </c>
      <c r="P289" t="str">
        <f>IF(M289="","",IF(M289="[FÓRMULA MANUAL]","",IFERROR(AVERAGEIFS(nNOTA,nNIA,M289,nCUENTA,1,nASIG,"Música de Cámara"),"")))</f>
        <v/>
      </c>
      <c r="Q289" t="str">
        <f>IF(M289="","",IF(M289="[FÓRMULA MANUAL]","",IFERROR(SUMPRODUCT((nNIA=M289)*(nCUENTA=1)*(COUNTIF(CONFIG_ASIGNATURAS!$B$7:$B$27,nASIG)&gt;0)*(nNOTA))/SUMPRODUCT((nNIA=M289)*(nCUENTA=1)*(COUNTIF(CONFIG_ASIGNATURAS!$B$7:$B$27,nASIG)&gt;0)*1),"")))</f>
        <v/>
      </c>
      <c r="T289" t="str">
        <f>IF(S289="","",IF(S289="[FÓRMULA MANUAL]","",IFERROR(AVERAGEIFS(nNOTA,nNIA,S289,nCUENTA,1,nASIG,"Armonía"),"")))</f>
        <v/>
      </c>
      <c r="U289" t="str">
        <f>IF(S289="","",IF(S289="[FÓRMULA MANUAL]","",IFERROR(AVERAGEIFS(nNOTA,nNIA,S289,nCUENTA,1,nASIG,"Orquesta/Banda/Conjunto"),"")))</f>
        <v/>
      </c>
      <c r="V289" t="str">
        <f>IF(S289="","",IF(S289="[FÓRMULA MANUAL]","",IFERROR(AVERAGEIFS(nNOTA,nNIA,S289,nCUENTA,1,nASIG,"Música de Cámara"),"")))</f>
        <v/>
      </c>
      <c r="W289" t="str">
        <f>IF(S289="","",IF(S289="[FÓRMULA MANUAL]","",IFERROR(SUMPRODUCT((nNIA=S289)*(nCUENTA=1)*(COUNTIF(CONFIG_ASIGNATURAS!$B$7:$B$27,nASIG)&gt;0)*(nNOTA))/SUMPRODUCT((nNIA=S289)*(nCUENTA=1)*(COUNTIF(CONFIG_ASIGNATURAS!$B$7:$B$27,nASIG)&gt;0)*1),"")))</f>
        <v/>
      </c>
      <c r="Z289" t="str">
        <f>IF(Y289="","",IF(Y289="[FÓRMULA MANUAL]","",IFERROR(AVERAGEIFS(nNOTA,nNIA,Y289,nCUENTA,1,nASIG,"Análisis"),"")))</f>
        <v/>
      </c>
      <c r="AA289" t="str">
        <f>IF(Y289="","",IF(Y289="[FÓRMULA MANUAL]","",IFERROR(AVERAGEIFS(nNOTA,nNIA,Y289,nCUENTA,1,nASIG,"Orquesta/Banda/Conjunto"),"")))</f>
        <v/>
      </c>
      <c r="AB289" t="str">
        <f>IF(Y289="","",IF(Y289="[FÓRMULA MANUAL]","",IFERROR(AVERAGEIFS(nNOTA,nNIA,Y289,nCUENTA,1,nASIG,"Música de Cámara"),"")))</f>
        <v/>
      </c>
      <c r="AC289" t="str">
        <f>IF(Y289="","",IF(Y289="[FÓRMULA MANUAL]","",IFERROR(SUMPRODUCT((nNIA=Y289)*(nCUENTA=1)*(COUNTIF(CONFIG_ASIGNATURAS!$B$7:$B$27,nASIG)&gt;0)*(nNOTA))/SUMPRODUCT((nNIA=Y289)*(nCUENTA=1)*(COUNTIF(CONFIG_ASIGNATURAS!$B$7:$B$27,nASIG)&gt;0)*1),"")))</f>
        <v/>
      </c>
      <c r="AF289" t="str">
        <f>IF(AE289="","",IF(AE289="[FÓRMULA MANUAL]","",IFERROR(AVERAGEIFS(nNOTA,nNIA,AE289,nCUENTA,1,nASIG,"Análisis"),"")))</f>
        <v/>
      </c>
      <c r="AG289" t="str">
        <f>IF(AE289="","",IF(AE289="[FÓRMULA MANUAL]","",IFERROR(AVERAGEIFS(nNOTA,nNIA,AE289,nCUENTA,1,nASIG,"Orquesta/Banda/Conjunto"),"")))</f>
        <v/>
      </c>
      <c r="AH289" t="str">
        <f>IF(AE289="","",IF(AE289="[FÓRMULA MANUAL]","",IFERROR(AVERAGEIFS(nNOTA,nNIA,AE289,nCUENTA,1,nASIG,"Música de Cámara"),"")))</f>
        <v/>
      </c>
      <c r="AI289" t="str">
        <f>IF(AE289="","",IF(AE289="[FÓRMULA MANUAL]","",IFERROR(SUMPRODUCT((nNIA=AE289)*(nCUENTA=1)*(COUNTIF(CONFIG_ASIGNATURAS!$B$7:$B$27,nASIG)&gt;0)*(nNOTA))/SUMPRODUCT((nNIA=AE289)*(nCUENTA=1)*(COUNTIF(CONFIG_ASIGNATURAS!$B$7:$B$27,nASIG)&gt;0)*1),"")))</f>
        <v/>
      </c>
    </row>
    <row r="290" spans="2:35" x14ac:dyDescent="0.2">
      <c r="B290" t="str">
        <f>IF(A290="","",IF(A290="[FÓRMULA MANUAL]","",IFERROR(AVERAGEIFS(nNOTA,nNIA,A290,nCUENTA,1,nASIG,"Lenguaje Musical"),"")))</f>
        <v/>
      </c>
      <c r="C290" t="str">
        <f>IF(A290="","",IF(A290="[FÓRMULA MANUAL]","",IFERROR(AVERAGEIFS(nNOTA,nNIA,A290,nCUENTA,1,nASIG,"Orquesta/Banda/Conjunto"),"")))</f>
        <v/>
      </c>
      <c r="D290" t="str">
        <f>IF(A290="","",IF(A290="[FÓRMULA MANUAL]","",IFERROR(AVERAGEIFS(nNOTA,nNIA,A290,nCUENTA,1,nASIG,"Conjunto"),"")))</f>
        <v/>
      </c>
      <c r="E290" t="str">
        <f>IF(A290="","",IF(A290="[FÓRMULA MANUAL]","",IFERROR(SUMPRODUCT((nNIA=A290)*(nCUENTA=1)*(COUNTIF(CONFIG_ASIGNATURAS!$B$7:$B$27,nASIG)&gt;0)*(nNOTA))/SUMPRODUCT((nNIA=A290)*(nCUENTA=1)*(COUNTIF(CONFIG_ASIGNATURAS!$B$7:$B$27,nASIG)&gt;0)*1),"")))</f>
        <v/>
      </c>
      <c r="H290" t="str">
        <f>IF(G290="","",IF(G290="[FÓRMULA MANUAL]","",IFERROR(AVERAGEIFS(nNOTA,nNIA,G290,nCUENTA,1,nASIG,"Lenguaje Musical"),"")))</f>
        <v/>
      </c>
      <c r="I290" t="str">
        <f>IF(G290="","",IF(G290="[FÓRMULA MANUAL]","",IFERROR(AVERAGEIFS(nNOTA,nNIA,G290,nCUENTA,1,nASIG,"Orquesta/Banda/Conjunto"),"")))</f>
        <v/>
      </c>
      <c r="J290" t="str">
        <f>IF(G290="","",IF(G290="[FÓRMULA MANUAL]","",IFERROR(AVERAGEIFS(nNOTA,nNIA,G290,nCUENTA,1,nASIG,"Conjunto"),"")))</f>
        <v/>
      </c>
      <c r="K290" t="str">
        <f>IF(G290="","",IF(G290="[FÓRMULA MANUAL]","",IFERROR(SUMPRODUCT((nNIA=G290)*(nCUENTA=1)*(COUNTIF(CONFIG_ASIGNATURAS!$B$7:$B$27,nASIG)&gt;0)*(nNOTA))/SUMPRODUCT((nNIA=G290)*(nCUENTA=1)*(COUNTIF(CONFIG_ASIGNATURAS!$B$7:$B$27,nASIG)&gt;0)*1),"")))</f>
        <v/>
      </c>
      <c r="N290" t="str">
        <f>IF(M290="","",IF(M290="[FÓRMULA MANUAL]","",IFERROR(AVERAGEIFS(nNOTA,nNIA,M290,nCUENTA,1,nASIG,"Armonía"),"")))</f>
        <v/>
      </c>
      <c r="O290" t="str">
        <f>IF(M290="","",IF(M290="[FÓRMULA MANUAL]","",IFERROR(AVERAGEIFS(nNOTA,nNIA,M290,nCUENTA,1,nASIG,"Orquesta/Banda/Conjunto"),"")))</f>
        <v/>
      </c>
      <c r="P290" t="str">
        <f>IF(M290="","",IF(M290="[FÓRMULA MANUAL]","",IFERROR(AVERAGEIFS(nNOTA,nNIA,M290,nCUENTA,1,nASIG,"Música de Cámara"),"")))</f>
        <v/>
      </c>
      <c r="Q290" t="str">
        <f>IF(M290="","",IF(M290="[FÓRMULA MANUAL]","",IFERROR(SUMPRODUCT((nNIA=M290)*(nCUENTA=1)*(COUNTIF(CONFIG_ASIGNATURAS!$B$7:$B$27,nASIG)&gt;0)*(nNOTA))/SUMPRODUCT((nNIA=M290)*(nCUENTA=1)*(COUNTIF(CONFIG_ASIGNATURAS!$B$7:$B$27,nASIG)&gt;0)*1),"")))</f>
        <v/>
      </c>
      <c r="T290" t="str">
        <f>IF(S290="","",IF(S290="[FÓRMULA MANUAL]","",IFERROR(AVERAGEIFS(nNOTA,nNIA,S290,nCUENTA,1,nASIG,"Armonía"),"")))</f>
        <v/>
      </c>
      <c r="U290" t="str">
        <f>IF(S290="","",IF(S290="[FÓRMULA MANUAL]","",IFERROR(AVERAGEIFS(nNOTA,nNIA,S290,nCUENTA,1,nASIG,"Orquesta/Banda/Conjunto"),"")))</f>
        <v/>
      </c>
      <c r="V290" t="str">
        <f>IF(S290="","",IF(S290="[FÓRMULA MANUAL]","",IFERROR(AVERAGEIFS(nNOTA,nNIA,S290,nCUENTA,1,nASIG,"Música de Cámara"),"")))</f>
        <v/>
      </c>
      <c r="W290" t="str">
        <f>IF(S290="","",IF(S290="[FÓRMULA MANUAL]","",IFERROR(SUMPRODUCT((nNIA=S290)*(nCUENTA=1)*(COUNTIF(CONFIG_ASIGNATURAS!$B$7:$B$27,nASIG)&gt;0)*(nNOTA))/SUMPRODUCT((nNIA=S290)*(nCUENTA=1)*(COUNTIF(CONFIG_ASIGNATURAS!$B$7:$B$27,nASIG)&gt;0)*1),"")))</f>
        <v/>
      </c>
      <c r="Z290" t="str">
        <f>IF(Y290="","",IF(Y290="[FÓRMULA MANUAL]","",IFERROR(AVERAGEIFS(nNOTA,nNIA,Y290,nCUENTA,1,nASIG,"Análisis"),"")))</f>
        <v/>
      </c>
      <c r="AA290" t="str">
        <f>IF(Y290="","",IF(Y290="[FÓRMULA MANUAL]","",IFERROR(AVERAGEIFS(nNOTA,nNIA,Y290,nCUENTA,1,nASIG,"Orquesta/Banda/Conjunto"),"")))</f>
        <v/>
      </c>
      <c r="AB290" t="str">
        <f>IF(Y290="","",IF(Y290="[FÓRMULA MANUAL]","",IFERROR(AVERAGEIFS(nNOTA,nNIA,Y290,nCUENTA,1,nASIG,"Música de Cámara"),"")))</f>
        <v/>
      </c>
      <c r="AC290" t="str">
        <f>IF(Y290="","",IF(Y290="[FÓRMULA MANUAL]","",IFERROR(SUMPRODUCT((nNIA=Y290)*(nCUENTA=1)*(COUNTIF(CONFIG_ASIGNATURAS!$B$7:$B$27,nASIG)&gt;0)*(nNOTA))/SUMPRODUCT((nNIA=Y290)*(nCUENTA=1)*(COUNTIF(CONFIG_ASIGNATURAS!$B$7:$B$27,nASIG)&gt;0)*1),"")))</f>
        <v/>
      </c>
      <c r="AF290" t="str">
        <f>IF(AE290="","",IF(AE290="[FÓRMULA MANUAL]","",IFERROR(AVERAGEIFS(nNOTA,nNIA,AE290,nCUENTA,1,nASIG,"Análisis"),"")))</f>
        <v/>
      </c>
      <c r="AG290" t="str">
        <f>IF(AE290="","",IF(AE290="[FÓRMULA MANUAL]","",IFERROR(AVERAGEIFS(nNOTA,nNIA,AE290,nCUENTA,1,nASIG,"Orquesta/Banda/Conjunto"),"")))</f>
        <v/>
      </c>
      <c r="AH290" t="str">
        <f>IF(AE290="","",IF(AE290="[FÓRMULA MANUAL]","",IFERROR(AVERAGEIFS(nNOTA,nNIA,AE290,nCUENTA,1,nASIG,"Música de Cámara"),"")))</f>
        <v/>
      </c>
      <c r="AI290" t="str">
        <f>IF(AE290="","",IF(AE290="[FÓRMULA MANUAL]","",IFERROR(SUMPRODUCT((nNIA=AE290)*(nCUENTA=1)*(COUNTIF(CONFIG_ASIGNATURAS!$B$7:$B$27,nASIG)&gt;0)*(nNOTA))/SUMPRODUCT((nNIA=AE290)*(nCUENTA=1)*(COUNTIF(CONFIG_ASIGNATURAS!$B$7:$B$27,nASIG)&gt;0)*1),"")))</f>
        <v/>
      </c>
    </row>
    <row r="291" spans="2:35" x14ac:dyDescent="0.2">
      <c r="B291" t="str">
        <f>IF(A291="","",IF(A291="[FÓRMULA MANUAL]","",IFERROR(AVERAGEIFS(nNOTA,nNIA,A291,nCUENTA,1,nASIG,"Lenguaje Musical"),"")))</f>
        <v/>
      </c>
      <c r="C291" t="str">
        <f>IF(A291="","",IF(A291="[FÓRMULA MANUAL]","",IFERROR(AVERAGEIFS(nNOTA,nNIA,A291,nCUENTA,1,nASIG,"Orquesta/Banda/Conjunto"),"")))</f>
        <v/>
      </c>
      <c r="D291" t="str">
        <f>IF(A291="","",IF(A291="[FÓRMULA MANUAL]","",IFERROR(AVERAGEIFS(nNOTA,nNIA,A291,nCUENTA,1,nASIG,"Conjunto"),"")))</f>
        <v/>
      </c>
      <c r="E291" t="str">
        <f>IF(A291="","",IF(A291="[FÓRMULA MANUAL]","",IFERROR(SUMPRODUCT((nNIA=A291)*(nCUENTA=1)*(COUNTIF(CONFIG_ASIGNATURAS!$B$7:$B$27,nASIG)&gt;0)*(nNOTA))/SUMPRODUCT((nNIA=A291)*(nCUENTA=1)*(COUNTIF(CONFIG_ASIGNATURAS!$B$7:$B$27,nASIG)&gt;0)*1),"")))</f>
        <v/>
      </c>
      <c r="H291" t="str">
        <f>IF(G291="","",IF(G291="[FÓRMULA MANUAL]","",IFERROR(AVERAGEIFS(nNOTA,nNIA,G291,nCUENTA,1,nASIG,"Lenguaje Musical"),"")))</f>
        <v/>
      </c>
      <c r="I291" t="str">
        <f>IF(G291="","",IF(G291="[FÓRMULA MANUAL]","",IFERROR(AVERAGEIFS(nNOTA,nNIA,G291,nCUENTA,1,nASIG,"Orquesta/Banda/Conjunto"),"")))</f>
        <v/>
      </c>
      <c r="J291" t="str">
        <f>IF(G291="","",IF(G291="[FÓRMULA MANUAL]","",IFERROR(AVERAGEIFS(nNOTA,nNIA,G291,nCUENTA,1,nASIG,"Conjunto"),"")))</f>
        <v/>
      </c>
      <c r="K291" t="str">
        <f>IF(G291="","",IF(G291="[FÓRMULA MANUAL]","",IFERROR(SUMPRODUCT((nNIA=G291)*(nCUENTA=1)*(COUNTIF(CONFIG_ASIGNATURAS!$B$7:$B$27,nASIG)&gt;0)*(nNOTA))/SUMPRODUCT((nNIA=G291)*(nCUENTA=1)*(COUNTIF(CONFIG_ASIGNATURAS!$B$7:$B$27,nASIG)&gt;0)*1),"")))</f>
        <v/>
      </c>
      <c r="N291" t="str">
        <f>IF(M291="","",IF(M291="[FÓRMULA MANUAL]","",IFERROR(AVERAGEIFS(nNOTA,nNIA,M291,nCUENTA,1,nASIG,"Armonía"),"")))</f>
        <v/>
      </c>
      <c r="O291" t="str">
        <f>IF(M291="","",IF(M291="[FÓRMULA MANUAL]","",IFERROR(AVERAGEIFS(nNOTA,nNIA,M291,nCUENTA,1,nASIG,"Orquesta/Banda/Conjunto"),"")))</f>
        <v/>
      </c>
      <c r="P291" t="str">
        <f>IF(M291="","",IF(M291="[FÓRMULA MANUAL]","",IFERROR(AVERAGEIFS(nNOTA,nNIA,M291,nCUENTA,1,nASIG,"Música de Cámara"),"")))</f>
        <v/>
      </c>
      <c r="Q291" t="str">
        <f>IF(M291="","",IF(M291="[FÓRMULA MANUAL]","",IFERROR(SUMPRODUCT((nNIA=M291)*(nCUENTA=1)*(COUNTIF(CONFIG_ASIGNATURAS!$B$7:$B$27,nASIG)&gt;0)*(nNOTA))/SUMPRODUCT((nNIA=M291)*(nCUENTA=1)*(COUNTIF(CONFIG_ASIGNATURAS!$B$7:$B$27,nASIG)&gt;0)*1),"")))</f>
        <v/>
      </c>
      <c r="T291" t="str">
        <f>IF(S291="","",IF(S291="[FÓRMULA MANUAL]","",IFERROR(AVERAGEIFS(nNOTA,nNIA,S291,nCUENTA,1,nASIG,"Armonía"),"")))</f>
        <v/>
      </c>
      <c r="U291" t="str">
        <f>IF(S291="","",IF(S291="[FÓRMULA MANUAL]","",IFERROR(AVERAGEIFS(nNOTA,nNIA,S291,nCUENTA,1,nASIG,"Orquesta/Banda/Conjunto"),"")))</f>
        <v/>
      </c>
      <c r="V291" t="str">
        <f>IF(S291="","",IF(S291="[FÓRMULA MANUAL]","",IFERROR(AVERAGEIFS(nNOTA,nNIA,S291,nCUENTA,1,nASIG,"Música de Cámara"),"")))</f>
        <v/>
      </c>
      <c r="W291" t="str">
        <f>IF(S291="","",IF(S291="[FÓRMULA MANUAL]","",IFERROR(SUMPRODUCT((nNIA=S291)*(nCUENTA=1)*(COUNTIF(CONFIG_ASIGNATURAS!$B$7:$B$27,nASIG)&gt;0)*(nNOTA))/SUMPRODUCT((nNIA=S291)*(nCUENTA=1)*(COUNTIF(CONFIG_ASIGNATURAS!$B$7:$B$27,nASIG)&gt;0)*1),"")))</f>
        <v/>
      </c>
      <c r="Z291" t="str">
        <f>IF(Y291="","",IF(Y291="[FÓRMULA MANUAL]","",IFERROR(AVERAGEIFS(nNOTA,nNIA,Y291,nCUENTA,1,nASIG,"Análisis"),"")))</f>
        <v/>
      </c>
      <c r="AA291" t="str">
        <f>IF(Y291="","",IF(Y291="[FÓRMULA MANUAL]","",IFERROR(AVERAGEIFS(nNOTA,nNIA,Y291,nCUENTA,1,nASIG,"Orquesta/Banda/Conjunto"),"")))</f>
        <v/>
      </c>
      <c r="AB291" t="str">
        <f>IF(Y291="","",IF(Y291="[FÓRMULA MANUAL]","",IFERROR(AVERAGEIFS(nNOTA,nNIA,Y291,nCUENTA,1,nASIG,"Música de Cámara"),"")))</f>
        <v/>
      </c>
      <c r="AC291" t="str">
        <f>IF(Y291="","",IF(Y291="[FÓRMULA MANUAL]","",IFERROR(SUMPRODUCT((nNIA=Y291)*(nCUENTA=1)*(COUNTIF(CONFIG_ASIGNATURAS!$B$7:$B$27,nASIG)&gt;0)*(nNOTA))/SUMPRODUCT((nNIA=Y291)*(nCUENTA=1)*(COUNTIF(CONFIG_ASIGNATURAS!$B$7:$B$27,nASIG)&gt;0)*1),"")))</f>
        <v/>
      </c>
      <c r="AF291" t="str">
        <f>IF(AE291="","",IF(AE291="[FÓRMULA MANUAL]","",IFERROR(AVERAGEIFS(nNOTA,nNIA,AE291,nCUENTA,1,nASIG,"Análisis"),"")))</f>
        <v/>
      </c>
      <c r="AG291" t="str">
        <f>IF(AE291="","",IF(AE291="[FÓRMULA MANUAL]","",IFERROR(AVERAGEIFS(nNOTA,nNIA,AE291,nCUENTA,1,nASIG,"Orquesta/Banda/Conjunto"),"")))</f>
        <v/>
      </c>
      <c r="AH291" t="str">
        <f>IF(AE291="","",IF(AE291="[FÓRMULA MANUAL]","",IFERROR(AVERAGEIFS(nNOTA,nNIA,AE291,nCUENTA,1,nASIG,"Música de Cámara"),"")))</f>
        <v/>
      </c>
      <c r="AI291" t="str">
        <f>IF(AE291="","",IF(AE291="[FÓRMULA MANUAL]","",IFERROR(SUMPRODUCT((nNIA=AE291)*(nCUENTA=1)*(COUNTIF(CONFIG_ASIGNATURAS!$B$7:$B$27,nASIG)&gt;0)*(nNOTA))/SUMPRODUCT((nNIA=AE291)*(nCUENTA=1)*(COUNTIF(CONFIG_ASIGNATURAS!$B$7:$B$27,nASIG)&gt;0)*1),"")))</f>
        <v/>
      </c>
    </row>
    <row r="292" spans="2:35" x14ac:dyDescent="0.2">
      <c r="B292" t="str">
        <f>IF(A292="","",IF(A292="[FÓRMULA MANUAL]","",IFERROR(AVERAGEIFS(nNOTA,nNIA,A292,nCUENTA,1,nASIG,"Lenguaje Musical"),"")))</f>
        <v/>
      </c>
      <c r="C292" t="str">
        <f>IF(A292="","",IF(A292="[FÓRMULA MANUAL]","",IFERROR(AVERAGEIFS(nNOTA,nNIA,A292,nCUENTA,1,nASIG,"Orquesta/Banda/Conjunto"),"")))</f>
        <v/>
      </c>
      <c r="D292" t="str">
        <f>IF(A292="","",IF(A292="[FÓRMULA MANUAL]","",IFERROR(AVERAGEIFS(nNOTA,nNIA,A292,nCUENTA,1,nASIG,"Conjunto"),"")))</f>
        <v/>
      </c>
      <c r="E292" t="str">
        <f>IF(A292="","",IF(A292="[FÓRMULA MANUAL]","",IFERROR(SUMPRODUCT((nNIA=A292)*(nCUENTA=1)*(COUNTIF(CONFIG_ASIGNATURAS!$B$7:$B$27,nASIG)&gt;0)*(nNOTA))/SUMPRODUCT((nNIA=A292)*(nCUENTA=1)*(COUNTIF(CONFIG_ASIGNATURAS!$B$7:$B$27,nASIG)&gt;0)*1),"")))</f>
        <v/>
      </c>
      <c r="H292" t="str">
        <f>IF(G292="","",IF(G292="[FÓRMULA MANUAL]","",IFERROR(AVERAGEIFS(nNOTA,nNIA,G292,nCUENTA,1,nASIG,"Lenguaje Musical"),"")))</f>
        <v/>
      </c>
      <c r="I292" t="str">
        <f>IF(G292="","",IF(G292="[FÓRMULA MANUAL]","",IFERROR(AVERAGEIFS(nNOTA,nNIA,G292,nCUENTA,1,nASIG,"Orquesta/Banda/Conjunto"),"")))</f>
        <v/>
      </c>
      <c r="J292" t="str">
        <f>IF(G292="","",IF(G292="[FÓRMULA MANUAL]","",IFERROR(AVERAGEIFS(nNOTA,nNIA,G292,nCUENTA,1,nASIG,"Conjunto"),"")))</f>
        <v/>
      </c>
      <c r="K292" t="str">
        <f>IF(G292="","",IF(G292="[FÓRMULA MANUAL]","",IFERROR(SUMPRODUCT((nNIA=G292)*(nCUENTA=1)*(COUNTIF(CONFIG_ASIGNATURAS!$B$7:$B$27,nASIG)&gt;0)*(nNOTA))/SUMPRODUCT((nNIA=G292)*(nCUENTA=1)*(COUNTIF(CONFIG_ASIGNATURAS!$B$7:$B$27,nASIG)&gt;0)*1),"")))</f>
        <v/>
      </c>
      <c r="N292" t="str">
        <f>IF(M292="","",IF(M292="[FÓRMULA MANUAL]","",IFERROR(AVERAGEIFS(nNOTA,nNIA,M292,nCUENTA,1,nASIG,"Armonía"),"")))</f>
        <v/>
      </c>
      <c r="O292" t="str">
        <f>IF(M292="","",IF(M292="[FÓRMULA MANUAL]","",IFERROR(AVERAGEIFS(nNOTA,nNIA,M292,nCUENTA,1,nASIG,"Orquesta/Banda/Conjunto"),"")))</f>
        <v/>
      </c>
      <c r="P292" t="str">
        <f>IF(M292="","",IF(M292="[FÓRMULA MANUAL]","",IFERROR(AVERAGEIFS(nNOTA,nNIA,M292,nCUENTA,1,nASIG,"Música de Cámara"),"")))</f>
        <v/>
      </c>
      <c r="Q292" t="str">
        <f>IF(M292="","",IF(M292="[FÓRMULA MANUAL]","",IFERROR(SUMPRODUCT((nNIA=M292)*(nCUENTA=1)*(COUNTIF(CONFIG_ASIGNATURAS!$B$7:$B$27,nASIG)&gt;0)*(nNOTA))/SUMPRODUCT((nNIA=M292)*(nCUENTA=1)*(COUNTIF(CONFIG_ASIGNATURAS!$B$7:$B$27,nASIG)&gt;0)*1),"")))</f>
        <v/>
      </c>
      <c r="T292" t="str">
        <f>IF(S292="","",IF(S292="[FÓRMULA MANUAL]","",IFERROR(AVERAGEIFS(nNOTA,nNIA,S292,nCUENTA,1,nASIG,"Armonía"),"")))</f>
        <v/>
      </c>
      <c r="U292" t="str">
        <f>IF(S292="","",IF(S292="[FÓRMULA MANUAL]","",IFERROR(AVERAGEIFS(nNOTA,nNIA,S292,nCUENTA,1,nASIG,"Orquesta/Banda/Conjunto"),"")))</f>
        <v/>
      </c>
      <c r="V292" t="str">
        <f>IF(S292="","",IF(S292="[FÓRMULA MANUAL]","",IFERROR(AVERAGEIFS(nNOTA,nNIA,S292,nCUENTA,1,nASIG,"Música de Cámara"),"")))</f>
        <v/>
      </c>
      <c r="W292" t="str">
        <f>IF(S292="","",IF(S292="[FÓRMULA MANUAL]","",IFERROR(SUMPRODUCT((nNIA=S292)*(nCUENTA=1)*(COUNTIF(CONFIG_ASIGNATURAS!$B$7:$B$27,nASIG)&gt;0)*(nNOTA))/SUMPRODUCT((nNIA=S292)*(nCUENTA=1)*(COUNTIF(CONFIG_ASIGNATURAS!$B$7:$B$27,nASIG)&gt;0)*1),"")))</f>
        <v/>
      </c>
      <c r="Z292" t="str">
        <f>IF(Y292="","",IF(Y292="[FÓRMULA MANUAL]","",IFERROR(AVERAGEIFS(nNOTA,nNIA,Y292,nCUENTA,1,nASIG,"Análisis"),"")))</f>
        <v/>
      </c>
      <c r="AA292" t="str">
        <f>IF(Y292="","",IF(Y292="[FÓRMULA MANUAL]","",IFERROR(AVERAGEIFS(nNOTA,nNIA,Y292,nCUENTA,1,nASIG,"Orquesta/Banda/Conjunto"),"")))</f>
        <v/>
      </c>
      <c r="AB292" t="str">
        <f>IF(Y292="","",IF(Y292="[FÓRMULA MANUAL]","",IFERROR(AVERAGEIFS(nNOTA,nNIA,Y292,nCUENTA,1,nASIG,"Música de Cámara"),"")))</f>
        <v/>
      </c>
      <c r="AC292" t="str">
        <f>IF(Y292="","",IF(Y292="[FÓRMULA MANUAL]","",IFERROR(SUMPRODUCT((nNIA=Y292)*(nCUENTA=1)*(COUNTIF(CONFIG_ASIGNATURAS!$B$7:$B$27,nASIG)&gt;0)*(nNOTA))/SUMPRODUCT((nNIA=Y292)*(nCUENTA=1)*(COUNTIF(CONFIG_ASIGNATURAS!$B$7:$B$27,nASIG)&gt;0)*1),"")))</f>
        <v/>
      </c>
      <c r="AF292" t="str">
        <f>IF(AE292="","",IF(AE292="[FÓRMULA MANUAL]","",IFERROR(AVERAGEIFS(nNOTA,nNIA,AE292,nCUENTA,1,nASIG,"Análisis"),"")))</f>
        <v/>
      </c>
      <c r="AG292" t="str">
        <f>IF(AE292="","",IF(AE292="[FÓRMULA MANUAL]","",IFERROR(AVERAGEIFS(nNOTA,nNIA,AE292,nCUENTA,1,nASIG,"Orquesta/Banda/Conjunto"),"")))</f>
        <v/>
      </c>
      <c r="AH292" t="str">
        <f>IF(AE292="","",IF(AE292="[FÓRMULA MANUAL]","",IFERROR(AVERAGEIFS(nNOTA,nNIA,AE292,nCUENTA,1,nASIG,"Música de Cámara"),"")))</f>
        <v/>
      </c>
      <c r="AI292" t="str">
        <f>IF(AE292="","",IF(AE292="[FÓRMULA MANUAL]","",IFERROR(SUMPRODUCT((nNIA=AE292)*(nCUENTA=1)*(COUNTIF(CONFIG_ASIGNATURAS!$B$7:$B$27,nASIG)&gt;0)*(nNOTA))/SUMPRODUCT((nNIA=AE292)*(nCUENTA=1)*(COUNTIF(CONFIG_ASIGNATURAS!$B$7:$B$27,nASIG)&gt;0)*1),"")))</f>
        <v/>
      </c>
    </row>
    <row r="293" spans="2:35" x14ac:dyDescent="0.2">
      <c r="B293" t="str">
        <f>IF(A293="","",IF(A293="[FÓRMULA MANUAL]","",IFERROR(AVERAGEIFS(nNOTA,nNIA,A293,nCUENTA,1,nASIG,"Lenguaje Musical"),"")))</f>
        <v/>
      </c>
      <c r="C293" t="str">
        <f>IF(A293="","",IF(A293="[FÓRMULA MANUAL]","",IFERROR(AVERAGEIFS(nNOTA,nNIA,A293,nCUENTA,1,nASIG,"Orquesta/Banda/Conjunto"),"")))</f>
        <v/>
      </c>
      <c r="D293" t="str">
        <f>IF(A293="","",IF(A293="[FÓRMULA MANUAL]","",IFERROR(AVERAGEIFS(nNOTA,nNIA,A293,nCUENTA,1,nASIG,"Conjunto"),"")))</f>
        <v/>
      </c>
      <c r="E293" t="str">
        <f>IF(A293="","",IF(A293="[FÓRMULA MANUAL]","",IFERROR(SUMPRODUCT((nNIA=A293)*(nCUENTA=1)*(COUNTIF(CONFIG_ASIGNATURAS!$B$7:$B$27,nASIG)&gt;0)*(nNOTA))/SUMPRODUCT((nNIA=A293)*(nCUENTA=1)*(COUNTIF(CONFIG_ASIGNATURAS!$B$7:$B$27,nASIG)&gt;0)*1),"")))</f>
        <v/>
      </c>
      <c r="H293" t="str">
        <f>IF(G293="","",IF(G293="[FÓRMULA MANUAL]","",IFERROR(AVERAGEIFS(nNOTA,nNIA,G293,nCUENTA,1,nASIG,"Lenguaje Musical"),"")))</f>
        <v/>
      </c>
      <c r="I293" t="str">
        <f>IF(G293="","",IF(G293="[FÓRMULA MANUAL]","",IFERROR(AVERAGEIFS(nNOTA,nNIA,G293,nCUENTA,1,nASIG,"Orquesta/Banda/Conjunto"),"")))</f>
        <v/>
      </c>
      <c r="J293" t="str">
        <f>IF(G293="","",IF(G293="[FÓRMULA MANUAL]","",IFERROR(AVERAGEIFS(nNOTA,nNIA,G293,nCUENTA,1,nASIG,"Conjunto"),"")))</f>
        <v/>
      </c>
      <c r="K293" t="str">
        <f>IF(G293="","",IF(G293="[FÓRMULA MANUAL]","",IFERROR(SUMPRODUCT((nNIA=G293)*(nCUENTA=1)*(COUNTIF(CONFIG_ASIGNATURAS!$B$7:$B$27,nASIG)&gt;0)*(nNOTA))/SUMPRODUCT((nNIA=G293)*(nCUENTA=1)*(COUNTIF(CONFIG_ASIGNATURAS!$B$7:$B$27,nASIG)&gt;0)*1),"")))</f>
        <v/>
      </c>
      <c r="N293" t="str">
        <f>IF(M293="","",IF(M293="[FÓRMULA MANUAL]","",IFERROR(AVERAGEIFS(nNOTA,nNIA,M293,nCUENTA,1,nASIG,"Armonía"),"")))</f>
        <v/>
      </c>
      <c r="O293" t="str">
        <f>IF(M293="","",IF(M293="[FÓRMULA MANUAL]","",IFERROR(AVERAGEIFS(nNOTA,nNIA,M293,nCUENTA,1,nASIG,"Orquesta/Banda/Conjunto"),"")))</f>
        <v/>
      </c>
      <c r="P293" t="str">
        <f>IF(M293="","",IF(M293="[FÓRMULA MANUAL]","",IFERROR(AVERAGEIFS(nNOTA,nNIA,M293,nCUENTA,1,nASIG,"Música de Cámara"),"")))</f>
        <v/>
      </c>
      <c r="Q293" t="str">
        <f>IF(M293="","",IF(M293="[FÓRMULA MANUAL]","",IFERROR(SUMPRODUCT((nNIA=M293)*(nCUENTA=1)*(COUNTIF(CONFIG_ASIGNATURAS!$B$7:$B$27,nASIG)&gt;0)*(nNOTA))/SUMPRODUCT((nNIA=M293)*(nCUENTA=1)*(COUNTIF(CONFIG_ASIGNATURAS!$B$7:$B$27,nASIG)&gt;0)*1),"")))</f>
        <v/>
      </c>
      <c r="T293" t="str">
        <f>IF(S293="","",IF(S293="[FÓRMULA MANUAL]","",IFERROR(AVERAGEIFS(nNOTA,nNIA,S293,nCUENTA,1,nASIG,"Armonía"),"")))</f>
        <v/>
      </c>
      <c r="U293" t="str">
        <f>IF(S293="","",IF(S293="[FÓRMULA MANUAL]","",IFERROR(AVERAGEIFS(nNOTA,nNIA,S293,nCUENTA,1,nASIG,"Orquesta/Banda/Conjunto"),"")))</f>
        <v/>
      </c>
      <c r="V293" t="str">
        <f>IF(S293="","",IF(S293="[FÓRMULA MANUAL]","",IFERROR(AVERAGEIFS(nNOTA,nNIA,S293,nCUENTA,1,nASIG,"Música de Cámara"),"")))</f>
        <v/>
      </c>
      <c r="W293" t="str">
        <f>IF(S293="","",IF(S293="[FÓRMULA MANUAL]","",IFERROR(SUMPRODUCT((nNIA=S293)*(nCUENTA=1)*(COUNTIF(CONFIG_ASIGNATURAS!$B$7:$B$27,nASIG)&gt;0)*(nNOTA))/SUMPRODUCT((nNIA=S293)*(nCUENTA=1)*(COUNTIF(CONFIG_ASIGNATURAS!$B$7:$B$27,nASIG)&gt;0)*1),"")))</f>
        <v/>
      </c>
      <c r="Z293" t="str">
        <f>IF(Y293="","",IF(Y293="[FÓRMULA MANUAL]","",IFERROR(AVERAGEIFS(nNOTA,nNIA,Y293,nCUENTA,1,nASIG,"Análisis"),"")))</f>
        <v/>
      </c>
      <c r="AA293" t="str">
        <f>IF(Y293="","",IF(Y293="[FÓRMULA MANUAL]","",IFERROR(AVERAGEIFS(nNOTA,nNIA,Y293,nCUENTA,1,nASIG,"Orquesta/Banda/Conjunto"),"")))</f>
        <v/>
      </c>
      <c r="AB293" t="str">
        <f>IF(Y293="","",IF(Y293="[FÓRMULA MANUAL]","",IFERROR(AVERAGEIFS(nNOTA,nNIA,Y293,nCUENTA,1,nASIG,"Música de Cámara"),"")))</f>
        <v/>
      </c>
      <c r="AC293" t="str">
        <f>IF(Y293="","",IF(Y293="[FÓRMULA MANUAL]","",IFERROR(SUMPRODUCT((nNIA=Y293)*(nCUENTA=1)*(COUNTIF(CONFIG_ASIGNATURAS!$B$7:$B$27,nASIG)&gt;0)*(nNOTA))/SUMPRODUCT((nNIA=Y293)*(nCUENTA=1)*(COUNTIF(CONFIG_ASIGNATURAS!$B$7:$B$27,nASIG)&gt;0)*1),"")))</f>
        <v/>
      </c>
      <c r="AF293" t="str">
        <f>IF(AE293="","",IF(AE293="[FÓRMULA MANUAL]","",IFERROR(AVERAGEIFS(nNOTA,nNIA,AE293,nCUENTA,1,nASIG,"Análisis"),"")))</f>
        <v/>
      </c>
      <c r="AG293" t="str">
        <f>IF(AE293="","",IF(AE293="[FÓRMULA MANUAL]","",IFERROR(AVERAGEIFS(nNOTA,nNIA,AE293,nCUENTA,1,nASIG,"Orquesta/Banda/Conjunto"),"")))</f>
        <v/>
      </c>
      <c r="AH293" t="str">
        <f>IF(AE293="","",IF(AE293="[FÓRMULA MANUAL]","",IFERROR(AVERAGEIFS(nNOTA,nNIA,AE293,nCUENTA,1,nASIG,"Música de Cámara"),"")))</f>
        <v/>
      </c>
      <c r="AI293" t="str">
        <f>IF(AE293="","",IF(AE293="[FÓRMULA MANUAL]","",IFERROR(SUMPRODUCT((nNIA=AE293)*(nCUENTA=1)*(COUNTIF(CONFIG_ASIGNATURAS!$B$7:$B$27,nASIG)&gt;0)*(nNOTA))/SUMPRODUCT((nNIA=AE293)*(nCUENTA=1)*(COUNTIF(CONFIG_ASIGNATURAS!$B$7:$B$27,nASIG)&gt;0)*1),"")))</f>
        <v/>
      </c>
    </row>
    <row r="294" spans="2:35" x14ac:dyDescent="0.2">
      <c r="B294" t="str">
        <f>IF(A294="","",IF(A294="[FÓRMULA MANUAL]","",IFERROR(AVERAGEIFS(nNOTA,nNIA,A294,nCUENTA,1,nASIG,"Lenguaje Musical"),"")))</f>
        <v/>
      </c>
      <c r="C294" t="str">
        <f>IF(A294="","",IF(A294="[FÓRMULA MANUAL]","",IFERROR(AVERAGEIFS(nNOTA,nNIA,A294,nCUENTA,1,nASIG,"Orquesta/Banda/Conjunto"),"")))</f>
        <v/>
      </c>
      <c r="D294" t="str">
        <f>IF(A294="","",IF(A294="[FÓRMULA MANUAL]","",IFERROR(AVERAGEIFS(nNOTA,nNIA,A294,nCUENTA,1,nASIG,"Conjunto"),"")))</f>
        <v/>
      </c>
      <c r="E294" t="str">
        <f>IF(A294="","",IF(A294="[FÓRMULA MANUAL]","",IFERROR(SUMPRODUCT((nNIA=A294)*(nCUENTA=1)*(COUNTIF(CONFIG_ASIGNATURAS!$B$7:$B$27,nASIG)&gt;0)*(nNOTA))/SUMPRODUCT((nNIA=A294)*(nCUENTA=1)*(COUNTIF(CONFIG_ASIGNATURAS!$B$7:$B$27,nASIG)&gt;0)*1),"")))</f>
        <v/>
      </c>
      <c r="H294" t="str">
        <f>IF(G294="","",IF(G294="[FÓRMULA MANUAL]","",IFERROR(AVERAGEIFS(nNOTA,nNIA,G294,nCUENTA,1,nASIG,"Lenguaje Musical"),"")))</f>
        <v/>
      </c>
      <c r="I294" t="str">
        <f>IF(G294="","",IF(G294="[FÓRMULA MANUAL]","",IFERROR(AVERAGEIFS(nNOTA,nNIA,G294,nCUENTA,1,nASIG,"Orquesta/Banda/Conjunto"),"")))</f>
        <v/>
      </c>
      <c r="J294" t="str">
        <f>IF(G294="","",IF(G294="[FÓRMULA MANUAL]","",IFERROR(AVERAGEIFS(nNOTA,nNIA,G294,nCUENTA,1,nASIG,"Conjunto"),"")))</f>
        <v/>
      </c>
      <c r="K294" t="str">
        <f>IF(G294="","",IF(G294="[FÓRMULA MANUAL]","",IFERROR(SUMPRODUCT((nNIA=G294)*(nCUENTA=1)*(COUNTIF(CONFIG_ASIGNATURAS!$B$7:$B$27,nASIG)&gt;0)*(nNOTA))/SUMPRODUCT((nNIA=G294)*(nCUENTA=1)*(COUNTIF(CONFIG_ASIGNATURAS!$B$7:$B$27,nASIG)&gt;0)*1),"")))</f>
        <v/>
      </c>
      <c r="N294" t="str">
        <f>IF(M294="","",IF(M294="[FÓRMULA MANUAL]","",IFERROR(AVERAGEIFS(nNOTA,nNIA,M294,nCUENTA,1,nASIG,"Armonía"),"")))</f>
        <v/>
      </c>
      <c r="O294" t="str">
        <f>IF(M294="","",IF(M294="[FÓRMULA MANUAL]","",IFERROR(AVERAGEIFS(nNOTA,nNIA,M294,nCUENTA,1,nASIG,"Orquesta/Banda/Conjunto"),"")))</f>
        <v/>
      </c>
      <c r="P294" t="str">
        <f>IF(M294="","",IF(M294="[FÓRMULA MANUAL]","",IFERROR(AVERAGEIFS(nNOTA,nNIA,M294,nCUENTA,1,nASIG,"Música de Cámara"),"")))</f>
        <v/>
      </c>
      <c r="Q294" t="str">
        <f>IF(M294="","",IF(M294="[FÓRMULA MANUAL]","",IFERROR(SUMPRODUCT((nNIA=M294)*(nCUENTA=1)*(COUNTIF(CONFIG_ASIGNATURAS!$B$7:$B$27,nASIG)&gt;0)*(nNOTA))/SUMPRODUCT((nNIA=M294)*(nCUENTA=1)*(COUNTIF(CONFIG_ASIGNATURAS!$B$7:$B$27,nASIG)&gt;0)*1),"")))</f>
        <v/>
      </c>
      <c r="T294" t="str">
        <f>IF(S294="","",IF(S294="[FÓRMULA MANUAL]","",IFERROR(AVERAGEIFS(nNOTA,nNIA,S294,nCUENTA,1,nASIG,"Armonía"),"")))</f>
        <v/>
      </c>
      <c r="U294" t="str">
        <f>IF(S294="","",IF(S294="[FÓRMULA MANUAL]","",IFERROR(AVERAGEIFS(nNOTA,nNIA,S294,nCUENTA,1,nASIG,"Orquesta/Banda/Conjunto"),"")))</f>
        <v/>
      </c>
      <c r="V294" t="str">
        <f>IF(S294="","",IF(S294="[FÓRMULA MANUAL]","",IFERROR(AVERAGEIFS(nNOTA,nNIA,S294,nCUENTA,1,nASIG,"Música de Cámara"),"")))</f>
        <v/>
      </c>
      <c r="W294" t="str">
        <f>IF(S294="","",IF(S294="[FÓRMULA MANUAL]","",IFERROR(SUMPRODUCT((nNIA=S294)*(nCUENTA=1)*(COUNTIF(CONFIG_ASIGNATURAS!$B$7:$B$27,nASIG)&gt;0)*(nNOTA))/SUMPRODUCT((nNIA=S294)*(nCUENTA=1)*(COUNTIF(CONFIG_ASIGNATURAS!$B$7:$B$27,nASIG)&gt;0)*1),"")))</f>
        <v/>
      </c>
      <c r="Z294" t="str">
        <f>IF(Y294="","",IF(Y294="[FÓRMULA MANUAL]","",IFERROR(AVERAGEIFS(nNOTA,nNIA,Y294,nCUENTA,1,nASIG,"Análisis"),"")))</f>
        <v/>
      </c>
      <c r="AA294" t="str">
        <f>IF(Y294="","",IF(Y294="[FÓRMULA MANUAL]","",IFERROR(AVERAGEIFS(nNOTA,nNIA,Y294,nCUENTA,1,nASIG,"Orquesta/Banda/Conjunto"),"")))</f>
        <v/>
      </c>
      <c r="AB294" t="str">
        <f>IF(Y294="","",IF(Y294="[FÓRMULA MANUAL]","",IFERROR(AVERAGEIFS(nNOTA,nNIA,Y294,nCUENTA,1,nASIG,"Música de Cámara"),"")))</f>
        <v/>
      </c>
      <c r="AC294" t="str">
        <f>IF(Y294="","",IF(Y294="[FÓRMULA MANUAL]","",IFERROR(SUMPRODUCT((nNIA=Y294)*(nCUENTA=1)*(COUNTIF(CONFIG_ASIGNATURAS!$B$7:$B$27,nASIG)&gt;0)*(nNOTA))/SUMPRODUCT((nNIA=Y294)*(nCUENTA=1)*(COUNTIF(CONFIG_ASIGNATURAS!$B$7:$B$27,nASIG)&gt;0)*1),"")))</f>
        <v/>
      </c>
      <c r="AF294" t="str">
        <f>IF(AE294="","",IF(AE294="[FÓRMULA MANUAL]","",IFERROR(AVERAGEIFS(nNOTA,nNIA,AE294,nCUENTA,1,nASIG,"Análisis"),"")))</f>
        <v/>
      </c>
      <c r="AG294" t="str">
        <f>IF(AE294="","",IF(AE294="[FÓRMULA MANUAL]","",IFERROR(AVERAGEIFS(nNOTA,nNIA,AE294,nCUENTA,1,nASIG,"Orquesta/Banda/Conjunto"),"")))</f>
        <v/>
      </c>
      <c r="AH294" t="str">
        <f>IF(AE294="","",IF(AE294="[FÓRMULA MANUAL]","",IFERROR(AVERAGEIFS(nNOTA,nNIA,AE294,nCUENTA,1,nASIG,"Música de Cámara"),"")))</f>
        <v/>
      </c>
      <c r="AI294" t="str">
        <f>IF(AE294="","",IF(AE294="[FÓRMULA MANUAL]","",IFERROR(SUMPRODUCT((nNIA=AE294)*(nCUENTA=1)*(COUNTIF(CONFIG_ASIGNATURAS!$B$7:$B$27,nASIG)&gt;0)*(nNOTA))/SUMPRODUCT((nNIA=AE294)*(nCUENTA=1)*(COUNTIF(CONFIG_ASIGNATURAS!$B$7:$B$27,nASIG)&gt;0)*1),"")))</f>
        <v/>
      </c>
    </row>
    <row r="295" spans="2:35" x14ac:dyDescent="0.2">
      <c r="B295" t="str">
        <f>IF(A295="","",IF(A295="[FÓRMULA MANUAL]","",IFERROR(AVERAGEIFS(nNOTA,nNIA,A295,nCUENTA,1,nASIG,"Lenguaje Musical"),"")))</f>
        <v/>
      </c>
      <c r="C295" t="str">
        <f>IF(A295="","",IF(A295="[FÓRMULA MANUAL]","",IFERROR(AVERAGEIFS(nNOTA,nNIA,A295,nCUENTA,1,nASIG,"Orquesta/Banda/Conjunto"),"")))</f>
        <v/>
      </c>
      <c r="D295" t="str">
        <f>IF(A295="","",IF(A295="[FÓRMULA MANUAL]","",IFERROR(AVERAGEIFS(nNOTA,nNIA,A295,nCUENTA,1,nASIG,"Conjunto"),"")))</f>
        <v/>
      </c>
      <c r="E295" t="str">
        <f>IF(A295="","",IF(A295="[FÓRMULA MANUAL]","",IFERROR(SUMPRODUCT((nNIA=A295)*(nCUENTA=1)*(COUNTIF(CONFIG_ASIGNATURAS!$B$7:$B$27,nASIG)&gt;0)*(nNOTA))/SUMPRODUCT((nNIA=A295)*(nCUENTA=1)*(COUNTIF(CONFIG_ASIGNATURAS!$B$7:$B$27,nASIG)&gt;0)*1),"")))</f>
        <v/>
      </c>
      <c r="H295" t="str">
        <f>IF(G295="","",IF(G295="[FÓRMULA MANUAL]","",IFERROR(AVERAGEIFS(nNOTA,nNIA,G295,nCUENTA,1,nASIG,"Lenguaje Musical"),"")))</f>
        <v/>
      </c>
      <c r="I295" t="str">
        <f>IF(G295="","",IF(G295="[FÓRMULA MANUAL]","",IFERROR(AVERAGEIFS(nNOTA,nNIA,G295,nCUENTA,1,nASIG,"Orquesta/Banda/Conjunto"),"")))</f>
        <v/>
      </c>
      <c r="J295" t="str">
        <f>IF(G295="","",IF(G295="[FÓRMULA MANUAL]","",IFERROR(AVERAGEIFS(nNOTA,nNIA,G295,nCUENTA,1,nASIG,"Conjunto"),"")))</f>
        <v/>
      </c>
      <c r="K295" t="str">
        <f>IF(G295="","",IF(G295="[FÓRMULA MANUAL]","",IFERROR(SUMPRODUCT((nNIA=G295)*(nCUENTA=1)*(COUNTIF(CONFIG_ASIGNATURAS!$B$7:$B$27,nASIG)&gt;0)*(nNOTA))/SUMPRODUCT((nNIA=G295)*(nCUENTA=1)*(COUNTIF(CONFIG_ASIGNATURAS!$B$7:$B$27,nASIG)&gt;0)*1),"")))</f>
        <v/>
      </c>
      <c r="N295" t="str">
        <f>IF(M295="","",IF(M295="[FÓRMULA MANUAL]","",IFERROR(AVERAGEIFS(nNOTA,nNIA,M295,nCUENTA,1,nASIG,"Armonía"),"")))</f>
        <v/>
      </c>
      <c r="O295" t="str">
        <f>IF(M295="","",IF(M295="[FÓRMULA MANUAL]","",IFERROR(AVERAGEIFS(nNOTA,nNIA,M295,nCUENTA,1,nASIG,"Orquesta/Banda/Conjunto"),"")))</f>
        <v/>
      </c>
      <c r="P295" t="str">
        <f>IF(M295="","",IF(M295="[FÓRMULA MANUAL]","",IFERROR(AVERAGEIFS(nNOTA,nNIA,M295,nCUENTA,1,nASIG,"Música de Cámara"),"")))</f>
        <v/>
      </c>
      <c r="Q295" t="str">
        <f>IF(M295="","",IF(M295="[FÓRMULA MANUAL]","",IFERROR(SUMPRODUCT((nNIA=M295)*(nCUENTA=1)*(COUNTIF(CONFIG_ASIGNATURAS!$B$7:$B$27,nASIG)&gt;0)*(nNOTA))/SUMPRODUCT((nNIA=M295)*(nCUENTA=1)*(COUNTIF(CONFIG_ASIGNATURAS!$B$7:$B$27,nASIG)&gt;0)*1),"")))</f>
        <v/>
      </c>
      <c r="T295" t="str">
        <f>IF(S295="","",IF(S295="[FÓRMULA MANUAL]","",IFERROR(AVERAGEIFS(nNOTA,nNIA,S295,nCUENTA,1,nASIG,"Armonía"),"")))</f>
        <v/>
      </c>
      <c r="U295" t="str">
        <f>IF(S295="","",IF(S295="[FÓRMULA MANUAL]","",IFERROR(AVERAGEIFS(nNOTA,nNIA,S295,nCUENTA,1,nASIG,"Orquesta/Banda/Conjunto"),"")))</f>
        <v/>
      </c>
      <c r="V295" t="str">
        <f>IF(S295="","",IF(S295="[FÓRMULA MANUAL]","",IFERROR(AVERAGEIFS(nNOTA,nNIA,S295,nCUENTA,1,nASIG,"Música de Cámara"),"")))</f>
        <v/>
      </c>
      <c r="W295" t="str">
        <f>IF(S295="","",IF(S295="[FÓRMULA MANUAL]","",IFERROR(SUMPRODUCT((nNIA=S295)*(nCUENTA=1)*(COUNTIF(CONFIG_ASIGNATURAS!$B$7:$B$27,nASIG)&gt;0)*(nNOTA))/SUMPRODUCT((nNIA=S295)*(nCUENTA=1)*(COUNTIF(CONFIG_ASIGNATURAS!$B$7:$B$27,nASIG)&gt;0)*1),"")))</f>
        <v/>
      </c>
      <c r="Z295" t="str">
        <f>IF(Y295="","",IF(Y295="[FÓRMULA MANUAL]","",IFERROR(AVERAGEIFS(nNOTA,nNIA,Y295,nCUENTA,1,nASIG,"Análisis"),"")))</f>
        <v/>
      </c>
      <c r="AA295" t="str">
        <f>IF(Y295="","",IF(Y295="[FÓRMULA MANUAL]","",IFERROR(AVERAGEIFS(nNOTA,nNIA,Y295,nCUENTA,1,nASIG,"Orquesta/Banda/Conjunto"),"")))</f>
        <v/>
      </c>
      <c r="AB295" t="str">
        <f>IF(Y295="","",IF(Y295="[FÓRMULA MANUAL]","",IFERROR(AVERAGEIFS(nNOTA,nNIA,Y295,nCUENTA,1,nASIG,"Música de Cámara"),"")))</f>
        <v/>
      </c>
      <c r="AC295" t="str">
        <f>IF(Y295="","",IF(Y295="[FÓRMULA MANUAL]","",IFERROR(SUMPRODUCT((nNIA=Y295)*(nCUENTA=1)*(COUNTIF(CONFIG_ASIGNATURAS!$B$7:$B$27,nASIG)&gt;0)*(nNOTA))/SUMPRODUCT((nNIA=Y295)*(nCUENTA=1)*(COUNTIF(CONFIG_ASIGNATURAS!$B$7:$B$27,nASIG)&gt;0)*1),"")))</f>
        <v/>
      </c>
      <c r="AF295" t="str">
        <f>IF(AE295="","",IF(AE295="[FÓRMULA MANUAL]","",IFERROR(AVERAGEIFS(nNOTA,nNIA,AE295,nCUENTA,1,nASIG,"Análisis"),"")))</f>
        <v/>
      </c>
      <c r="AG295" t="str">
        <f>IF(AE295="","",IF(AE295="[FÓRMULA MANUAL]","",IFERROR(AVERAGEIFS(nNOTA,nNIA,AE295,nCUENTA,1,nASIG,"Orquesta/Banda/Conjunto"),"")))</f>
        <v/>
      </c>
      <c r="AH295" t="str">
        <f>IF(AE295="","",IF(AE295="[FÓRMULA MANUAL]","",IFERROR(AVERAGEIFS(nNOTA,nNIA,AE295,nCUENTA,1,nASIG,"Música de Cámara"),"")))</f>
        <v/>
      </c>
      <c r="AI295" t="str">
        <f>IF(AE295="","",IF(AE295="[FÓRMULA MANUAL]","",IFERROR(SUMPRODUCT((nNIA=AE295)*(nCUENTA=1)*(COUNTIF(CONFIG_ASIGNATURAS!$B$7:$B$27,nASIG)&gt;0)*(nNOTA))/SUMPRODUCT((nNIA=AE295)*(nCUENTA=1)*(COUNTIF(CONFIG_ASIGNATURAS!$B$7:$B$27,nASIG)&gt;0)*1),"")))</f>
        <v/>
      </c>
    </row>
    <row r="296" spans="2:35" x14ac:dyDescent="0.2">
      <c r="B296" t="str">
        <f>IF(A296="","",IF(A296="[FÓRMULA MANUAL]","",IFERROR(AVERAGEIFS(nNOTA,nNIA,A296,nCUENTA,1,nASIG,"Lenguaje Musical"),"")))</f>
        <v/>
      </c>
      <c r="C296" t="str">
        <f>IF(A296="","",IF(A296="[FÓRMULA MANUAL]","",IFERROR(AVERAGEIFS(nNOTA,nNIA,A296,nCUENTA,1,nASIG,"Orquesta/Banda/Conjunto"),"")))</f>
        <v/>
      </c>
      <c r="D296" t="str">
        <f>IF(A296="","",IF(A296="[FÓRMULA MANUAL]","",IFERROR(AVERAGEIFS(nNOTA,nNIA,A296,nCUENTA,1,nASIG,"Conjunto"),"")))</f>
        <v/>
      </c>
      <c r="E296" t="str">
        <f>IF(A296="","",IF(A296="[FÓRMULA MANUAL]","",IFERROR(SUMPRODUCT((nNIA=A296)*(nCUENTA=1)*(COUNTIF(CONFIG_ASIGNATURAS!$B$7:$B$27,nASIG)&gt;0)*(nNOTA))/SUMPRODUCT((nNIA=A296)*(nCUENTA=1)*(COUNTIF(CONFIG_ASIGNATURAS!$B$7:$B$27,nASIG)&gt;0)*1),"")))</f>
        <v/>
      </c>
      <c r="H296" t="str">
        <f>IF(G296="","",IF(G296="[FÓRMULA MANUAL]","",IFERROR(AVERAGEIFS(nNOTA,nNIA,G296,nCUENTA,1,nASIG,"Lenguaje Musical"),"")))</f>
        <v/>
      </c>
      <c r="I296" t="str">
        <f>IF(G296="","",IF(G296="[FÓRMULA MANUAL]","",IFERROR(AVERAGEIFS(nNOTA,nNIA,G296,nCUENTA,1,nASIG,"Orquesta/Banda/Conjunto"),"")))</f>
        <v/>
      </c>
      <c r="J296" t="str">
        <f>IF(G296="","",IF(G296="[FÓRMULA MANUAL]","",IFERROR(AVERAGEIFS(nNOTA,nNIA,G296,nCUENTA,1,nASIG,"Conjunto"),"")))</f>
        <v/>
      </c>
      <c r="K296" t="str">
        <f>IF(G296="","",IF(G296="[FÓRMULA MANUAL]","",IFERROR(SUMPRODUCT((nNIA=G296)*(nCUENTA=1)*(COUNTIF(CONFIG_ASIGNATURAS!$B$7:$B$27,nASIG)&gt;0)*(nNOTA))/SUMPRODUCT((nNIA=G296)*(nCUENTA=1)*(COUNTIF(CONFIG_ASIGNATURAS!$B$7:$B$27,nASIG)&gt;0)*1),"")))</f>
        <v/>
      </c>
      <c r="N296" t="str">
        <f>IF(M296="","",IF(M296="[FÓRMULA MANUAL]","",IFERROR(AVERAGEIFS(nNOTA,nNIA,M296,nCUENTA,1,nASIG,"Armonía"),"")))</f>
        <v/>
      </c>
      <c r="O296" t="str">
        <f>IF(M296="","",IF(M296="[FÓRMULA MANUAL]","",IFERROR(AVERAGEIFS(nNOTA,nNIA,M296,nCUENTA,1,nASIG,"Orquesta/Banda/Conjunto"),"")))</f>
        <v/>
      </c>
      <c r="P296" t="str">
        <f>IF(M296="","",IF(M296="[FÓRMULA MANUAL]","",IFERROR(AVERAGEIFS(nNOTA,nNIA,M296,nCUENTA,1,nASIG,"Música de Cámara"),"")))</f>
        <v/>
      </c>
      <c r="Q296" t="str">
        <f>IF(M296="","",IF(M296="[FÓRMULA MANUAL]","",IFERROR(SUMPRODUCT((nNIA=M296)*(nCUENTA=1)*(COUNTIF(CONFIG_ASIGNATURAS!$B$7:$B$27,nASIG)&gt;0)*(nNOTA))/SUMPRODUCT((nNIA=M296)*(nCUENTA=1)*(COUNTIF(CONFIG_ASIGNATURAS!$B$7:$B$27,nASIG)&gt;0)*1),"")))</f>
        <v/>
      </c>
      <c r="T296" t="str">
        <f>IF(S296="","",IF(S296="[FÓRMULA MANUAL]","",IFERROR(AVERAGEIFS(nNOTA,nNIA,S296,nCUENTA,1,nASIG,"Armonía"),"")))</f>
        <v/>
      </c>
      <c r="U296" t="str">
        <f>IF(S296="","",IF(S296="[FÓRMULA MANUAL]","",IFERROR(AVERAGEIFS(nNOTA,nNIA,S296,nCUENTA,1,nASIG,"Orquesta/Banda/Conjunto"),"")))</f>
        <v/>
      </c>
      <c r="V296" t="str">
        <f>IF(S296="","",IF(S296="[FÓRMULA MANUAL]","",IFERROR(AVERAGEIFS(nNOTA,nNIA,S296,nCUENTA,1,nASIG,"Música de Cámara"),"")))</f>
        <v/>
      </c>
      <c r="W296" t="str">
        <f>IF(S296="","",IF(S296="[FÓRMULA MANUAL]","",IFERROR(SUMPRODUCT((nNIA=S296)*(nCUENTA=1)*(COUNTIF(CONFIG_ASIGNATURAS!$B$7:$B$27,nASIG)&gt;0)*(nNOTA))/SUMPRODUCT((nNIA=S296)*(nCUENTA=1)*(COUNTIF(CONFIG_ASIGNATURAS!$B$7:$B$27,nASIG)&gt;0)*1),"")))</f>
        <v/>
      </c>
      <c r="Z296" t="str">
        <f>IF(Y296="","",IF(Y296="[FÓRMULA MANUAL]","",IFERROR(AVERAGEIFS(nNOTA,nNIA,Y296,nCUENTA,1,nASIG,"Análisis"),"")))</f>
        <v/>
      </c>
      <c r="AA296" t="str">
        <f>IF(Y296="","",IF(Y296="[FÓRMULA MANUAL]","",IFERROR(AVERAGEIFS(nNOTA,nNIA,Y296,nCUENTA,1,nASIG,"Orquesta/Banda/Conjunto"),"")))</f>
        <v/>
      </c>
      <c r="AB296" t="str">
        <f>IF(Y296="","",IF(Y296="[FÓRMULA MANUAL]","",IFERROR(AVERAGEIFS(nNOTA,nNIA,Y296,nCUENTA,1,nASIG,"Música de Cámara"),"")))</f>
        <v/>
      </c>
      <c r="AC296" t="str">
        <f>IF(Y296="","",IF(Y296="[FÓRMULA MANUAL]","",IFERROR(SUMPRODUCT((nNIA=Y296)*(nCUENTA=1)*(COUNTIF(CONFIG_ASIGNATURAS!$B$7:$B$27,nASIG)&gt;0)*(nNOTA))/SUMPRODUCT((nNIA=Y296)*(nCUENTA=1)*(COUNTIF(CONFIG_ASIGNATURAS!$B$7:$B$27,nASIG)&gt;0)*1),"")))</f>
        <v/>
      </c>
      <c r="AF296" t="str">
        <f>IF(AE296="","",IF(AE296="[FÓRMULA MANUAL]","",IFERROR(AVERAGEIFS(nNOTA,nNIA,AE296,nCUENTA,1,nASIG,"Análisis"),"")))</f>
        <v/>
      </c>
      <c r="AG296" t="str">
        <f>IF(AE296="","",IF(AE296="[FÓRMULA MANUAL]","",IFERROR(AVERAGEIFS(nNOTA,nNIA,AE296,nCUENTA,1,nASIG,"Orquesta/Banda/Conjunto"),"")))</f>
        <v/>
      </c>
      <c r="AH296" t="str">
        <f>IF(AE296="","",IF(AE296="[FÓRMULA MANUAL]","",IFERROR(AVERAGEIFS(nNOTA,nNIA,AE296,nCUENTA,1,nASIG,"Música de Cámara"),"")))</f>
        <v/>
      </c>
      <c r="AI296" t="str">
        <f>IF(AE296="","",IF(AE296="[FÓRMULA MANUAL]","",IFERROR(SUMPRODUCT((nNIA=AE296)*(nCUENTA=1)*(COUNTIF(CONFIG_ASIGNATURAS!$B$7:$B$27,nASIG)&gt;0)*(nNOTA))/SUMPRODUCT((nNIA=AE296)*(nCUENTA=1)*(COUNTIF(CONFIG_ASIGNATURAS!$B$7:$B$27,nASIG)&gt;0)*1),"")))</f>
        <v/>
      </c>
    </row>
    <row r="297" spans="2:35" x14ac:dyDescent="0.2">
      <c r="B297" t="str">
        <f>IF(A297="","",IF(A297="[FÓRMULA MANUAL]","",IFERROR(AVERAGEIFS(nNOTA,nNIA,A297,nCUENTA,1,nASIG,"Lenguaje Musical"),"")))</f>
        <v/>
      </c>
      <c r="C297" t="str">
        <f>IF(A297="","",IF(A297="[FÓRMULA MANUAL]","",IFERROR(AVERAGEIFS(nNOTA,nNIA,A297,nCUENTA,1,nASIG,"Orquesta/Banda/Conjunto"),"")))</f>
        <v/>
      </c>
      <c r="D297" t="str">
        <f>IF(A297="","",IF(A297="[FÓRMULA MANUAL]","",IFERROR(AVERAGEIFS(nNOTA,nNIA,A297,nCUENTA,1,nASIG,"Conjunto"),"")))</f>
        <v/>
      </c>
      <c r="E297" t="str">
        <f>IF(A297="","",IF(A297="[FÓRMULA MANUAL]","",IFERROR(SUMPRODUCT((nNIA=A297)*(nCUENTA=1)*(COUNTIF(CONFIG_ASIGNATURAS!$B$7:$B$27,nASIG)&gt;0)*(nNOTA))/SUMPRODUCT((nNIA=A297)*(nCUENTA=1)*(COUNTIF(CONFIG_ASIGNATURAS!$B$7:$B$27,nASIG)&gt;0)*1),"")))</f>
        <v/>
      </c>
      <c r="H297" t="str">
        <f>IF(G297="","",IF(G297="[FÓRMULA MANUAL]","",IFERROR(AVERAGEIFS(nNOTA,nNIA,G297,nCUENTA,1,nASIG,"Lenguaje Musical"),"")))</f>
        <v/>
      </c>
      <c r="I297" t="str">
        <f>IF(G297="","",IF(G297="[FÓRMULA MANUAL]","",IFERROR(AVERAGEIFS(nNOTA,nNIA,G297,nCUENTA,1,nASIG,"Orquesta/Banda/Conjunto"),"")))</f>
        <v/>
      </c>
      <c r="J297" t="str">
        <f>IF(G297="","",IF(G297="[FÓRMULA MANUAL]","",IFERROR(AVERAGEIFS(nNOTA,nNIA,G297,nCUENTA,1,nASIG,"Conjunto"),"")))</f>
        <v/>
      </c>
      <c r="K297" t="str">
        <f>IF(G297="","",IF(G297="[FÓRMULA MANUAL]","",IFERROR(SUMPRODUCT((nNIA=G297)*(nCUENTA=1)*(COUNTIF(CONFIG_ASIGNATURAS!$B$7:$B$27,nASIG)&gt;0)*(nNOTA))/SUMPRODUCT((nNIA=G297)*(nCUENTA=1)*(COUNTIF(CONFIG_ASIGNATURAS!$B$7:$B$27,nASIG)&gt;0)*1),"")))</f>
        <v/>
      </c>
      <c r="N297" t="str">
        <f>IF(M297="","",IF(M297="[FÓRMULA MANUAL]","",IFERROR(AVERAGEIFS(nNOTA,nNIA,M297,nCUENTA,1,nASIG,"Armonía"),"")))</f>
        <v/>
      </c>
      <c r="O297" t="str">
        <f>IF(M297="","",IF(M297="[FÓRMULA MANUAL]","",IFERROR(AVERAGEIFS(nNOTA,nNIA,M297,nCUENTA,1,nASIG,"Orquesta/Banda/Conjunto"),"")))</f>
        <v/>
      </c>
      <c r="P297" t="str">
        <f>IF(M297="","",IF(M297="[FÓRMULA MANUAL]","",IFERROR(AVERAGEIFS(nNOTA,nNIA,M297,nCUENTA,1,nASIG,"Música de Cámara"),"")))</f>
        <v/>
      </c>
      <c r="Q297" t="str">
        <f>IF(M297="","",IF(M297="[FÓRMULA MANUAL]","",IFERROR(SUMPRODUCT((nNIA=M297)*(nCUENTA=1)*(COUNTIF(CONFIG_ASIGNATURAS!$B$7:$B$27,nASIG)&gt;0)*(nNOTA))/SUMPRODUCT((nNIA=M297)*(nCUENTA=1)*(COUNTIF(CONFIG_ASIGNATURAS!$B$7:$B$27,nASIG)&gt;0)*1),"")))</f>
        <v/>
      </c>
      <c r="T297" t="str">
        <f>IF(S297="","",IF(S297="[FÓRMULA MANUAL]","",IFERROR(AVERAGEIFS(nNOTA,nNIA,S297,nCUENTA,1,nASIG,"Armonía"),"")))</f>
        <v/>
      </c>
      <c r="U297" t="str">
        <f>IF(S297="","",IF(S297="[FÓRMULA MANUAL]","",IFERROR(AVERAGEIFS(nNOTA,nNIA,S297,nCUENTA,1,nASIG,"Orquesta/Banda/Conjunto"),"")))</f>
        <v/>
      </c>
      <c r="V297" t="str">
        <f>IF(S297="","",IF(S297="[FÓRMULA MANUAL]","",IFERROR(AVERAGEIFS(nNOTA,nNIA,S297,nCUENTA,1,nASIG,"Música de Cámara"),"")))</f>
        <v/>
      </c>
      <c r="W297" t="str">
        <f>IF(S297="","",IF(S297="[FÓRMULA MANUAL]","",IFERROR(SUMPRODUCT((nNIA=S297)*(nCUENTA=1)*(COUNTIF(CONFIG_ASIGNATURAS!$B$7:$B$27,nASIG)&gt;0)*(nNOTA))/SUMPRODUCT((nNIA=S297)*(nCUENTA=1)*(COUNTIF(CONFIG_ASIGNATURAS!$B$7:$B$27,nASIG)&gt;0)*1),"")))</f>
        <v/>
      </c>
      <c r="Z297" t="str">
        <f>IF(Y297="","",IF(Y297="[FÓRMULA MANUAL]","",IFERROR(AVERAGEIFS(nNOTA,nNIA,Y297,nCUENTA,1,nASIG,"Análisis"),"")))</f>
        <v/>
      </c>
      <c r="AA297" t="str">
        <f>IF(Y297="","",IF(Y297="[FÓRMULA MANUAL]","",IFERROR(AVERAGEIFS(nNOTA,nNIA,Y297,nCUENTA,1,nASIG,"Orquesta/Banda/Conjunto"),"")))</f>
        <v/>
      </c>
      <c r="AB297" t="str">
        <f>IF(Y297="","",IF(Y297="[FÓRMULA MANUAL]","",IFERROR(AVERAGEIFS(nNOTA,nNIA,Y297,nCUENTA,1,nASIG,"Música de Cámara"),"")))</f>
        <v/>
      </c>
      <c r="AC297" t="str">
        <f>IF(Y297="","",IF(Y297="[FÓRMULA MANUAL]","",IFERROR(SUMPRODUCT((nNIA=Y297)*(nCUENTA=1)*(COUNTIF(CONFIG_ASIGNATURAS!$B$7:$B$27,nASIG)&gt;0)*(nNOTA))/SUMPRODUCT((nNIA=Y297)*(nCUENTA=1)*(COUNTIF(CONFIG_ASIGNATURAS!$B$7:$B$27,nASIG)&gt;0)*1),"")))</f>
        <v/>
      </c>
      <c r="AF297" t="str">
        <f>IF(AE297="","",IF(AE297="[FÓRMULA MANUAL]","",IFERROR(AVERAGEIFS(nNOTA,nNIA,AE297,nCUENTA,1,nASIG,"Análisis"),"")))</f>
        <v/>
      </c>
      <c r="AG297" t="str">
        <f>IF(AE297="","",IF(AE297="[FÓRMULA MANUAL]","",IFERROR(AVERAGEIFS(nNOTA,nNIA,AE297,nCUENTA,1,nASIG,"Orquesta/Banda/Conjunto"),"")))</f>
        <v/>
      </c>
      <c r="AH297" t="str">
        <f>IF(AE297="","",IF(AE297="[FÓRMULA MANUAL]","",IFERROR(AVERAGEIFS(nNOTA,nNIA,AE297,nCUENTA,1,nASIG,"Música de Cámara"),"")))</f>
        <v/>
      </c>
      <c r="AI297" t="str">
        <f>IF(AE297="","",IF(AE297="[FÓRMULA MANUAL]","",IFERROR(SUMPRODUCT((nNIA=AE297)*(nCUENTA=1)*(COUNTIF(CONFIG_ASIGNATURAS!$B$7:$B$27,nASIG)&gt;0)*(nNOTA))/SUMPRODUCT((nNIA=AE297)*(nCUENTA=1)*(COUNTIF(CONFIG_ASIGNATURAS!$B$7:$B$27,nASIG)&gt;0)*1),"")))</f>
        <v/>
      </c>
    </row>
    <row r="298" spans="2:35" x14ac:dyDescent="0.2">
      <c r="B298" t="str">
        <f>IF(A298="","",IF(A298="[FÓRMULA MANUAL]","",IFERROR(AVERAGEIFS(nNOTA,nNIA,A298,nCUENTA,1,nASIG,"Lenguaje Musical"),"")))</f>
        <v/>
      </c>
      <c r="C298" t="str">
        <f>IF(A298="","",IF(A298="[FÓRMULA MANUAL]","",IFERROR(AVERAGEIFS(nNOTA,nNIA,A298,nCUENTA,1,nASIG,"Orquesta/Banda/Conjunto"),"")))</f>
        <v/>
      </c>
      <c r="D298" t="str">
        <f>IF(A298="","",IF(A298="[FÓRMULA MANUAL]","",IFERROR(AVERAGEIFS(nNOTA,nNIA,A298,nCUENTA,1,nASIG,"Conjunto"),"")))</f>
        <v/>
      </c>
      <c r="E298" t="str">
        <f>IF(A298="","",IF(A298="[FÓRMULA MANUAL]","",IFERROR(SUMPRODUCT((nNIA=A298)*(nCUENTA=1)*(COUNTIF(CONFIG_ASIGNATURAS!$B$7:$B$27,nASIG)&gt;0)*(nNOTA))/SUMPRODUCT((nNIA=A298)*(nCUENTA=1)*(COUNTIF(CONFIG_ASIGNATURAS!$B$7:$B$27,nASIG)&gt;0)*1),"")))</f>
        <v/>
      </c>
      <c r="H298" t="str">
        <f>IF(G298="","",IF(G298="[FÓRMULA MANUAL]","",IFERROR(AVERAGEIFS(nNOTA,nNIA,G298,nCUENTA,1,nASIG,"Lenguaje Musical"),"")))</f>
        <v/>
      </c>
      <c r="I298" t="str">
        <f>IF(G298="","",IF(G298="[FÓRMULA MANUAL]","",IFERROR(AVERAGEIFS(nNOTA,nNIA,G298,nCUENTA,1,nASIG,"Orquesta/Banda/Conjunto"),"")))</f>
        <v/>
      </c>
      <c r="J298" t="str">
        <f>IF(G298="","",IF(G298="[FÓRMULA MANUAL]","",IFERROR(AVERAGEIFS(nNOTA,nNIA,G298,nCUENTA,1,nASIG,"Conjunto"),"")))</f>
        <v/>
      </c>
      <c r="K298" t="str">
        <f>IF(G298="","",IF(G298="[FÓRMULA MANUAL]","",IFERROR(SUMPRODUCT((nNIA=G298)*(nCUENTA=1)*(COUNTIF(CONFIG_ASIGNATURAS!$B$7:$B$27,nASIG)&gt;0)*(nNOTA))/SUMPRODUCT((nNIA=G298)*(nCUENTA=1)*(COUNTIF(CONFIG_ASIGNATURAS!$B$7:$B$27,nASIG)&gt;0)*1),"")))</f>
        <v/>
      </c>
      <c r="N298" t="str">
        <f>IF(M298="","",IF(M298="[FÓRMULA MANUAL]","",IFERROR(AVERAGEIFS(nNOTA,nNIA,M298,nCUENTA,1,nASIG,"Armonía"),"")))</f>
        <v/>
      </c>
      <c r="O298" t="str">
        <f>IF(M298="","",IF(M298="[FÓRMULA MANUAL]","",IFERROR(AVERAGEIFS(nNOTA,nNIA,M298,nCUENTA,1,nASIG,"Orquesta/Banda/Conjunto"),"")))</f>
        <v/>
      </c>
      <c r="P298" t="str">
        <f>IF(M298="","",IF(M298="[FÓRMULA MANUAL]","",IFERROR(AVERAGEIFS(nNOTA,nNIA,M298,nCUENTA,1,nASIG,"Música de Cámara"),"")))</f>
        <v/>
      </c>
      <c r="Q298" t="str">
        <f>IF(M298="","",IF(M298="[FÓRMULA MANUAL]","",IFERROR(SUMPRODUCT((nNIA=M298)*(nCUENTA=1)*(COUNTIF(CONFIG_ASIGNATURAS!$B$7:$B$27,nASIG)&gt;0)*(nNOTA))/SUMPRODUCT((nNIA=M298)*(nCUENTA=1)*(COUNTIF(CONFIG_ASIGNATURAS!$B$7:$B$27,nASIG)&gt;0)*1),"")))</f>
        <v/>
      </c>
      <c r="T298" t="str">
        <f>IF(S298="","",IF(S298="[FÓRMULA MANUAL]","",IFERROR(AVERAGEIFS(nNOTA,nNIA,S298,nCUENTA,1,nASIG,"Armonía"),"")))</f>
        <v/>
      </c>
      <c r="U298" t="str">
        <f>IF(S298="","",IF(S298="[FÓRMULA MANUAL]","",IFERROR(AVERAGEIFS(nNOTA,nNIA,S298,nCUENTA,1,nASIG,"Orquesta/Banda/Conjunto"),"")))</f>
        <v/>
      </c>
      <c r="V298" t="str">
        <f>IF(S298="","",IF(S298="[FÓRMULA MANUAL]","",IFERROR(AVERAGEIFS(nNOTA,nNIA,S298,nCUENTA,1,nASIG,"Música de Cámara"),"")))</f>
        <v/>
      </c>
      <c r="W298" t="str">
        <f>IF(S298="","",IF(S298="[FÓRMULA MANUAL]","",IFERROR(SUMPRODUCT((nNIA=S298)*(nCUENTA=1)*(COUNTIF(CONFIG_ASIGNATURAS!$B$7:$B$27,nASIG)&gt;0)*(nNOTA))/SUMPRODUCT((nNIA=S298)*(nCUENTA=1)*(COUNTIF(CONFIG_ASIGNATURAS!$B$7:$B$27,nASIG)&gt;0)*1),"")))</f>
        <v/>
      </c>
      <c r="Z298" t="str">
        <f>IF(Y298="","",IF(Y298="[FÓRMULA MANUAL]","",IFERROR(AVERAGEIFS(nNOTA,nNIA,Y298,nCUENTA,1,nASIG,"Análisis"),"")))</f>
        <v/>
      </c>
      <c r="AA298" t="str">
        <f>IF(Y298="","",IF(Y298="[FÓRMULA MANUAL]","",IFERROR(AVERAGEIFS(nNOTA,nNIA,Y298,nCUENTA,1,nASIG,"Orquesta/Banda/Conjunto"),"")))</f>
        <v/>
      </c>
      <c r="AB298" t="str">
        <f>IF(Y298="","",IF(Y298="[FÓRMULA MANUAL]","",IFERROR(AVERAGEIFS(nNOTA,nNIA,Y298,nCUENTA,1,nASIG,"Música de Cámara"),"")))</f>
        <v/>
      </c>
      <c r="AC298" t="str">
        <f>IF(Y298="","",IF(Y298="[FÓRMULA MANUAL]","",IFERROR(SUMPRODUCT((nNIA=Y298)*(nCUENTA=1)*(COUNTIF(CONFIG_ASIGNATURAS!$B$7:$B$27,nASIG)&gt;0)*(nNOTA))/SUMPRODUCT((nNIA=Y298)*(nCUENTA=1)*(COUNTIF(CONFIG_ASIGNATURAS!$B$7:$B$27,nASIG)&gt;0)*1),"")))</f>
        <v/>
      </c>
      <c r="AF298" t="str">
        <f>IF(AE298="","",IF(AE298="[FÓRMULA MANUAL]","",IFERROR(AVERAGEIFS(nNOTA,nNIA,AE298,nCUENTA,1,nASIG,"Análisis"),"")))</f>
        <v/>
      </c>
      <c r="AG298" t="str">
        <f>IF(AE298="","",IF(AE298="[FÓRMULA MANUAL]","",IFERROR(AVERAGEIFS(nNOTA,nNIA,AE298,nCUENTA,1,nASIG,"Orquesta/Banda/Conjunto"),"")))</f>
        <v/>
      </c>
      <c r="AH298" t="str">
        <f>IF(AE298="","",IF(AE298="[FÓRMULA MANUAL]","",IFERROR(AVERAGEIFS(nNOTA,nNIA,AE298,nCUENTA,1,nASIG,"Música de Cámara"),"")))</f>
        <v/>
      </c>
      <c r="AI298" t="str">
        <f>IF(AE298="","",IF(AE298="[FÓRMULA MANUAL]","",IFERROR(SUMPRODUCT((nNIA=AE298)*(nCUENTA=1)*(COUNTIF(CONFIG_ASIGNATURAS!$B$7:$B$27,nASIG)&gt;0)*(nNOTA))/SUMPRODUCT((nNIA=AE298)*(nCUENTA=1)*(COUNTIF(CONFIG_ASIGNATURAS!$B$7:$B$27,nASIG)&gt;0)*1),"")))</f>
        <v/>
      </c>
    </row>
    <row r="299" spans="2:35" x14ac:dyDescent="0.2">
      <c r="B299" t="str">
        <f>IF(A299="","",IF(A299="[FÓRMULA MANUAL]","",IFERROR(AVERAGEIFS(nNOTA,nNIA,A299,nCUENTA,1,nASIG,"Lenguaje Musical"),"")))</f>
        <v/>
      </c>
      <c r="C299" t="str">
        <f>IF(A299="","",IF(A299="[FÓRMULA MANUAL]","",IFERROR(AVERAGEIFS(nNOTA,nNIA,A299,nCUENTA,1,nASIG,"Orquesta/Banda/Conjunto"),"")))</f>
        <v/>
      </c>
      <c r="D299" t="str">
        <f>IF(A299="","",IF(A299="[FÓRMULA MANUAL]","",IFERROR(AVERAGEIFS(nNOTA,nNIA,A299,nCUENTA,1,nASIG,"Conjunto"),"")))</f>
        <v/>
      </c>
      <c r="E299" t="str">
        <f>IF(A299="","",IF(A299="[FÓRMULA MANUAL]","",IFERROR(SUMPRODUCT((nNIA=A299)*(nCUENTA=1)*(COUNTIF(CONFIG_ASIGNATURAS!$B$7:$B$27,nASIG)&gt;0)*(nNOTA))/SUMPRODUCT((nNIA=A299)*(nCUENTA=1)*(COUNTIF(CONFIG_ASIGNATURAS!$B$7:$B$27,nASIG)&gt;0)*1),"")))</f>
        <v/>
      </c>
      <c r="H299" t="str">
        <f>IF(G299="","",IF(G299="[FÓRMULA MANUAL]","",IFERROR(AVERAGEIFS(nNOTA,nNIA,G299,nCUENTA,1,nASIG,"Lenguaje Musical"),"")))</f>
        <v/>
      </c>
      <c r="I299" t="str">
        <f>IF(G299="","",IF(G299="[FÓRMULA MANUAL]","",IFERROR(AVERAGEIFS(nNOTA,nNIA,G299,nCUENTA,1,nASIG,"Orquesta/Banda/Conjunto"),"")))</f>
        <v/>
      </c>
      <c r="J299" t="str">
        <f>IF(G299="","",IF(G299="[FÓRMULA MANUAL]","",IFERROR(AVERAGEIFS(nNOTA,nNIA,G299,nCUENTA,1,nASIG,"Conjunto"),"")))</f>
        <v/>
      </c>
      <c r="K299" t="str">
        <f>IF(G299="","",IF(G299="[FÓRMULA MANUAL]","",IFERROR(SUMPRODUCT((nNIA=G299)*(nCUENTA=1)*(COUNTIF(CONFIG_ASIGNATURAS!$B$7:$B$27,nASIG)&gt;0)*(nNOTA))/SUMPRODUCT((nNIA=G299)*(nCUENTA=1)*(COUNTIF(CONFIG_ASIGNATURAS!$B$7:$B$27,nASIG)&gt;0)*1),"")))</f>
        <v/>
      </c>
      <c r="N299" t="str">
        <f>IF(M299="","",IF(M299="[FÓRMULA MANUAL]","",IFERROR(AVERAGEIFS(nNOTA,nNIA,M299,nCUENTA,1,nASIG,"Armonía"),"")))</f>
        <v/>
      </c>
      <c r="O299" t="str">
        <f>IF(M299="","",IF(M299="[FÓRMULA MANUAL]","",IFERROR(AVERAGEIFS(nNOTA,nNIA,M299,nCUENTA,1,nASIG,"Orquesta/Banda/Conjunto"),"")))</f>
        <v/>
      </c>
      <c r="P299" t="str">
        <f>IF(M299="","",IF(M299="[FÓRMULA MANUAL]","",IFERROR(AVERAGEIFS(nNOTA,nNIA,M299,nCUENTA,1,nASIG,"Música de Cámara"),"")))</f>
        <v/>
      </c>
      <c r="Q299" t="str">
        <f>IF(M299="","",IF(M299="[FÓRMULA MANUAL]","",IFERROR(SUMPRODUCT((nNIA=M299)*(nCUENTA=1)*(COUNTIF(CONFIG_ASIGNATURAS!$B$7:$B$27,nASIG)&gt;0)*(nNOTA))/SUMPRODUCT((nNIA=M299)*(nCUENTA=1)*(COUNTIF(CONFIG_ASIGNATURAS!$B$7:$B$27,nASIG)&gt;0)*1),"")))</f>
        <v/>
      </c>
      <c r="T299" t="str">
        <f>IF(S299="","",IF(S299="[FÓRMULA MANUAL]","",IFERROR(AVERAGEIFS(nNOTA,nNIA,S299,nCUENTA,1,nASIG,"Armonía"),"")))</f>
        <v/>
      </c>
      <c r="U299" t="str">
        <f>IF(S299="","",IF(S299="[FÓRMULA MANUAL]","",IFERROR(AVERAGEIFS(nNOTA,nNIA,S299,nCUENTA,1,nASIG,"Orquesta/Banda/Conjunto"),"")))</f>
        <v/>
      </c>
      <c r="V299" t="str">
        <f>IF(S299="","",IF(S299="[FÓRMULA MANUAL]","",IFERROR(AVERAGEIFS(nNOTA,nNIA,S299,nCUENTA,1,nASIG,"Música de Cámara"),"")))</f>
        <v/>
      </c>
      <c r="W299" t="str">
        <f>IF(S299="","",IF(S299="[FÓRMULA MANUAL]","",IFERROR(SUMPRODUCT((nNIA=S299)*(nCUENTA=1)*(COUNTIF(CONFIG_ASIGNATURAS!$B$7:$B$27,nASIG)&gt;0)*(nNOTA))/SUMPRODUCT((nNIA=S299)*(nCUENTA=1)*(COUNTIF(CONFIG_ASIGNATURAS!$B$7:$B$27,nASIG)&gt;0)*1),"")))</f>
        <v/>
      </c>
      <c r="Z299" t="str">
        <f>IF(Y299="","",IF(Y299="[FÓRMULA MANUAL]","",IFERROR(AVERAGEIFS(nNOTA,nNIA,Y299,nCUENTA,1,nASIG,"Análisis"),"")))</f>
        <v/>
      </c>
      <c r="AA299" t="str">
        <f>IF(Y299="","",IF(Y299="[FÓRMULA MANUAL]","",IFERROR(AVERAGEIFS(nNOTA,nNIA,Y299,nCUENTA,1,nASIG,"Orquesta/Banda/Conjunto"),"")))</f>
        <v/>
      </c>
      <c r="AB299" t="str">
        <f>IF(Y299="","",IF(Y299="[FÓRMULA MANUAL]","",IFERROR(AVERAGEIFS(nNOTA,nNIA,Y299,nCUENTA,1,nASIG,"Música de Cámara"),"")))</f>
        <v/>
      </c>
      <c r="AC299" t="str">
        <f>IF(Y299="","",IF(Y299="[FÓRMULA MANUAL]","",IFERROR(SUMPRODUCT((nNIA=Y299)*(nCUENTA=1)*(COUNTIF(CONFIG_ASIGNATURAS!$B$7:$B$27,nASIG)&gt;0)*(nNOTA))/SUMPRODUCT((nNIA=Y299)*(nCUENTA=1)*(COUNTIF(CONFIG_ASIGNATURAS!$B$7:$B$27,nASIG)&gt;0)*1),"")))</f>
        <v/>
      </c>
      <c r="AF299" t="str">
        <f>IF(AE299="","",IF(AE299="[FÓRMULA MANUAL]","",IFERROR(AVERAGEIFS(nNOTA,nNIA,AE299,nCUENTA,1,nASIG,"Análisis"),"")))</f>
        <v/>
      </c>
      <c r="AG299" t="str">
        <f>IF(AE299="","",IF(AE299="[FÓRMULA MANUAL]","",IFERROR(AVERAGEIFS(nNOTA,nNIA,AE299,nCUENTA,1,nASIG,"Orquesta/Banda/Conjunto"),"")))</f>
        <v/>
      </c>
      <c r="AH299" t="str">
        <f>IF(AE299="","",IF(AE299="[FÓRMULA MANUAL]","",IFERROR(AVERAGEIFS(nNOTA,nNIA,AE299,nCUENTA,1,nASIG,"Música de Cámara"),"")))</f>
        <v/>
      </c>
      <c r="AI299" t="str">
        <f>IF(AE299="","",IF(AE299="[FÓRMULA MANUAL]","",IFERROR(SUMPRODUCT((nNIA=AE299)*(nCUENTA=1)*(COUNTIF(CONFIG_ASIGNATURAS!$B$7:$B$27,nASIG)&gt;0)*(nNOTA))/SUMPRODUCT((nNIA=AE299)*(nCUENTA=1)*(COUNTIF(CONFIG_ASIGNATURAS!$B$7:$B$27,nASIG)&gt;0)*1),"")))</f>
        <v/>
      </c>
    </row>
    <row r="300" spans="2:35" x14ac:dyDescent="0.2">
      <c r="B300" t="str">
        <f>IF(A300="","",IF(A300="[FÓRMULA MANUAL]","",IFERROR(AVERAGEIFS(nNOTA,nNIA,A300,nCUENTA,1,nASIG,"Lenguaje Musical"),"")))</f>
        <v/>
      </c>
      <c r="C300" t="str">
        <f>IF(A300="","",IF(A300="[FÓRMULA MANUAL]","",IFERROR(AVERAGEIFS(nNOTA,nNIA,A300,nCUENTA,1,nASIG,"Orquesta/Banda/Conjunto"),"")))</f>
        <v/>
      </c>
      <c r="D300" t="str">
        <f>IF(A300="","",IF(A300="[FÓRMULA MANUAL]","",IFERROR(AVERAGEIFS(nNOTA,nNIA,A300,nCUENTA,1,nASIG,"Conjunto"),"")))</f>
        <v/>
      </c>
      <c r="E300" t="str">
        <f>IF(A300="","",IF(A300="[FÓRMULA MANUAL]","",IFERROR(SUMPRODUCT((nNIA=A300)*(nCUENTA=1)*(COUNTIF(CONFIG_ASIGNATURAS!$B$7:$B$27,nASIG)&gt;0)*(nNOTA))/SUMPRODUCT((nNIA=A300)*(nCUENTA=1)*(COUNTIF(CONFIG_ASIGNATURAS!$B$7:$B$27,nASIG)&gt;0)*1),"")))</f>
        <v/>
      </c>
      <c r="H300" t="str">
        <f>IF(G300="","",IF(G300="[FÓRMULA MANUAL]","",IFERROR(AVERAGEIFS(nNOTA,nNIA,G300,nCUENTA,1,nASIG,"Lenguaje Musical"),"")))</f>
        <v/>
      </c>
      <c r="I300" t="str">
        <f>IF(G300="","",IF(G300="[FÓRMULA MANUAL]","",IFERROR(AVERAGEIFS(nNOTA,nNIA,G300,nCUENTA,1,nASIG,"Orquesta/Banda/Conjunto"),"")))</f>
        <v/>
      </c>
      <c r="J300" t="str">
        <f>IF(G300="","",IF(G300="[FÓRMULA MANUAL]","",IFERROR(AVERAGEIFS(nNOTA,nNIA,G300,nCUENTA,1,nASIG,"Conjunto"),"")))</f>
        <v/>
      </c>
      <c r="K300" t="str">
        <f>IF(G300="","",IF(G300="[FÓRMULA MANUAL]","",IFERROR(SUMPRODUCT((nNIA=G300)*(nCUENTA=1)*(COUNTIF(CONFIG_ASIGNATURAS!$B$7:$B$27,nASIG)&gt;0)*(nNOTA))/SUMPRODUCT((nNIA=G300)*(nCUENTA=1)*(COUNTIF(CONFIG_ASIGNATURAS!$B$7:$B$27,nASIG)&gt;0)*1),"")))</f>
        <v/>
      </c>
      <c r="N300" t="str">
        <f>IF(M300="","",IF(M300="[FÓRMULA MANUAL]","",IFERROR(AVERAGEIFS(nNOTA,nNIA,M300,nCUENTA,1,nASIG,"Armonía"),"")))</f>
        <v/>
      </c>
      <c r="O300" t="str">
        <f>IF(M300="","",IF(M300="[FÓRMULA MANUAL]","",IFERROR(AVERAGEIFS(nNOTA,nNIA,M300,nCUENTA,1,nASIG,"Orquesta/Banda/Conjunto"),"")))</f>
        <v/>
      </c>
      <c r="P300" t="str">
        <f>IF(M300="","",IF(M300="[FÓRMULA MANUAL]","",IFERROR(AVERAGEIFS(nNOTA,nNIA,M300,nCUENTA,1,nASIG,"Música de Cámara"),"")))</f>
        <v/>
      </c>
      <c r="Q300" t="str">
        <f>IF(M300="","",IF(M300="[FÓRMULA MANUAL]","",IFERROR(SUMPRODUCT((nNIA=M300)*(nCUENTA=1)*(COUNTIF(CONFIG_ASIGNATURAS!$B$7:$B$27,nASIG)&gt;0)*(nNOTA))/SUMPRODUCT((nNIA=M300)*(nCUENTA=1)*(COUNTIF(CONFIG_ASIGNATURAS!$B$7:$B$27,nASIG)&gt;0)*1),"")))</f>
        <v/>
      </c>
      <c r="T300" t="str">
        <f>IF(S300="","",IF(S300="[FÓRMULA MANUAL]","",IFERROR(AVERAGEIFS(nNOTA,nNIA,S300,nCUENTA,1,nASIG,"Armonía"),"")))</f>
        <v/>
      </c>
      <c r="U300" t="str">
        <f>IF(S300="","",IF(S300="[FÓRMULA MANUAL]","",IFERROR(AVERAGEIFS(nNOTA,nNIA,S300,nCUENTA,1,nASIG,"Orquesta/Banda/Conjunto"),"")))</f>
        <v/>
      </c>
      <c r="V300" t="str">
        <f>IF(S300="","",IF(S300="[FÓRMULA MANUAL]","",IFERROR(AVERAGEIFS(nNOTA,nNIA,S300,nCUENTA,1,nASIG,"Música de Cámara"),"")))</f>
        <v/>
      </c>
      <c r="W300" t="str">
        <f>IF(S300="","",IF(S300="[FÓRMULA MANUAL]","",IFERROR(SUMPRODUCT((nNIA=S300)*(nCUENTA=1)*(COUNTIF(CONFIG_ASIGNATURAS!$B$7:$B$27,nASIG)&gt;0)*(nNOTA))/SUMPRODUCT((nNIA=S300)*(nCUENTA=1)*(COUNTIF(CONFIG_ASIGNATURAS!$B$7:$B$27,nASIG)&gt;0)*1),"")))</f>
        <v/>
      </c>
      <c r="Z300" t="str">
        <f>IF(Y300="","",IF(Y300="[FÓRMULA MANUAL]","",IFERROR(AVERAGEIFS(nNOTA,nNIA,Y300,nCUENTA,1,nASIG,"Análisis"),"")))</f>
        <v/>
      </c>
      <c r="AA300" t="str">
        <f>IF(Y300="","",IF(Y300="[FÓRMULA MANUAL]","",IFERROR(AVERAGEIFS(nNOTA,nNIA,Y300,nCUENTA,1,nASIG,"Orquesta/Banda/Conjunto"),"")))</f>
        <v/>
      </c>
      <c r="AB300" t="str">
        <f>IF(Y300="","",IF(Y300="[FÓRMULA MANUAL]","",IFERROR(AVERAGEIFS(nNOTA,nNIA,Y300,nCUENTA,1,nASIG,"Música de Cámara"),"")))</f>
        <v/>
      </c>
      <c r="AC300" t="str">
        <f>IF(Y300="","",IF(Y300="[FÓRMULA MANUAL]","",IFERROR(SUMPRODUCT((nNIA=Y300)*(nCUENTA=1)*(COUNTIF(CONFIG_ASIGNATURAS!$B$7:$B$27,nASIG)&gt;0)*(nNOTA))/SUMPRODUCT((nNIA=Y300)*(nCUENTA=1)*(COUNTIF(CONFIG_ASIGNATURAS!$B$7:$B$27,nASIG)&gt;0)*1),"")))</f>
        <v/>
      </c>
      <c r="AF300" t="str">
        <f>IF(AE300="","",IF(AE300="[FÓRMULA MANUAL]","",IFERROR(AVERAGEIFS(nNOTA,nNIA,AE300,nCUENTA,1,nASIG,"Análisis"),"")))</f>
        <v/>
      </c>
      <c r="AG300" t="str">
        <f>IF(AE300="","",IF(AE300="[FÓRMULA MANUAL]","",IFERROR(AVERAGEIFS(nNOTA,nNIA,AE300,nCUENTA,1,nASIG,"Orquesta/Banda/Conjunto"),"")))</f>
        <v/>
      </c>
      <c r="AH300" t="str">
        <f>IF(AE300="","",IF(AE300="[FÓRMULA MANUAL]","",IFERROR(AVERAGEIFS(nNOTA,nNIA,AE300,nCUENTA,1,nASIG,"Música de Cámara"),"")))</f>
        <v/>
      </c>
      <c r="AI300" t="str">
        <f>IF(AE300="","",IF(AE300="[FÓRMULA MANUAL]","",IFERROR(SUMPRODUCT((nNIA=AE300)*(nCUENTA=1)*(COUNTIF(CONFIG_ASIGNATURAS!$B$7:$B$27,nASIG)&gt;0)*(nNOTA))/SUMPRODUCT((nNIA=AE300)*(nCUENTA=1)*(COUNTIF(CONFIG_ASIGNATURAS!$B$7:$B$27,nASIG)&gt;0)*1),"")))</f>
        <v/>
      </c>
    </row>
    <row r="301" spans="2:35" x14ac:dyDescent="0.2">
      <c r="B301" t="str">
        <f>IF(A301="","",IF(A301="[FÓRMULA MANUAL]","",IFERROR(AVERAGEIFS(nNOTA,nNIA,A301,nCUENTA,1,nASIG,"Lenguaje Musical"),"")))</f>
        <v/>
      </c>
      <c r="C301" t="str">
        <f>IF(A301="","",IF(A301="[FÓRMULA MANUAL]","",IFERROR(AVERAGEIFS(nNOTA,nNIA,A301,nCUENTA,1,nASIG,"Orquesta/Banda/Conjunto"),"")))</f>
        <v/>
      </c>
      <c r="D301" t="str">
        <f>IF(A301="","",IF(A301="[FÓRMULA MANUAL]","",IFERROR(AVERAGEIFS(nNOTA,nNIA,A301,nCUENTA,1,nASIG,"Conjunto"),"")))</f>
        <v/>
      </c>
      <c r="E301" t="str">
        <f>IF(A301="","",IF(A301="[FÓRMULA MANUAL]","",IFERROR(SUMPRODUCT((nNIA=A301)*(nCUENTA=1)*(COUNTIF(CONFIG_ASIGNATURAS!$B$7:$B$27,nASIG)&gt;0)*(nNOTA))/SUMPRODUCT((nNIA=A301)*(nCUENTA=1)*(COUNTIF(CONFIG_ASIGNATURAS!$B$7:$B$27,nASIG)&gt;0)*1),"")))</f>
        <v/>
      </c>
      <c r="H301" t="str">
        <f>IF(G301="","",IF(G301="[FÓRMULA MANUAL]","",IFERROR(AVERAGEIFS(nNOTA,nNIA,G301,nCUENTA,1,nASIG,"Lenguaje Musical"),"")))</f>
        <v/>
      </c>
      <c r="I301" t="str">
        <f>IF(G301="","",IF(G301="[FÓRMULA MANUAL]","",IFERROR(AVERAGEIFS(nNOTA,nNIA,G301,nCUENTA,1,nASIG,"Orquesta/Banda/Conjunto"),"")))</f>
        <v/>
      </c>
      <c r="J301" t="str">
        <f>IF(G301="","",IF(G301="[FÓRMULA MANUAL]","",IFERROR(AVERAGEIFS(nNOTA,nNIA,G301,nCUENTA,1,nASIG,"Conjunto"),"")))</f>
        <v/>
      </c>
      <c r="K301" t="str">
        <f>IF(G301="","",IF(G301="[FÓRMULA MANUAL]","",IFERROR(SUMPRODUCT((nNIA=G301)*(nCUENTA=1)*(COUNTIF(CONFIG_ASIGNATURAS!$B$7:$B$27,nASIG)&gt;0)*(nNOTA))/SUMPRODUCT((nNIA=G301)*(nCUENTA=1)*(COUNTIF(CONFIG_ASIGNATURAS!$B$7:$B$27,nASIG)&gt;0)*1),"")))</f>
        <v/>
      </c>
      <c r="N301" t="str">
        <f>IF(M301="","",IF(M301="[FÓRMULA MANUAL]","",IFERROR(AVERAGEIFS(nNOTA,nNIA,M301,nCUENTA,1,nASIG,"Armonía"),"")))</f>
        <v/>
      </c>
      <c r="O301" t="str">
        <f>IF(M301="","",IF(M301="[FÓRMULA MANUAL]","",IFERROR(AVERAGEIFS(nNOTA,nNIA,M301,nCUENTA,1,nASIG,"Orquesta/Banda/Conjunto"),"")))</f>
        <v/>
      </c>
      <c r="P301" t="str">
        <f>IF(M301="","",IF(M301="[FÓRMULA MANUAL]","",IFERROR(AVERAGEIFS(nNOTA,nNIA,M301,nCUENTA,1,nASIG,"Música de Cámara"),"")))</f>
        <v/>
      </c>
      <c r="Q301" t="str">
        <f>IF(M301="","",IF(M301="[FÓRMULA MANUAL]","",IFERROR(SUMPRODUCT((nNIA=M301)*(nCUENTA=1)*(COUNTIF(CONFIG_ASIGNATURAS!$B$7:$B$27,nASIG)&gt;0)*(nNOTA))/SUMPRODUCT((nNIA=M301)*(nCUENTA=1)*(COUNTIF(CONFIG_ASIGNATURAS!$B$7:$B$27,nASIG)&gt;0)*1),"")))</f>
        <v/>
      </c>
      <c r="T301" t="str">
        <f>IF(S301="","",IF(S301="[FÓRMULA MANUAL]","",IFERROR(AVERAGEIFS(nNOTA,nNIA,S301,nCUENTA,1,nASIG,"Armonía"),"")))</f>
        <v/>
      </c>
      <c r="U301" t="str">
        <f>IF(S301="","",IF(S301="[FÓRMULA MANUAL]","",IFERROR(AVERAGEIFS(nNOTA,nNIA,S301,nCUENTA,1,nASIG,"Orquesta/Banda/Conjunto"),"")))</f>
        <v/>
      </c>
      <c r="V301" t="str">
        <f>IF(S301="","",IF(S301="[FÓRMULA MANUAL]","",IFERROR(AVERAGEIFS(nNOTA,nNIA,S301,nCUENTA,1,nASIG,"Música de Cámara"),"")))</f>
        <v/>
      </c>
      <c r="W301" t="str">
        <f>IF(S301="","",IF(S301="[FÓRMULA MANUAL]","",IFERROR(SUMPRODUCT((nNIA=S301)*(nCUENTA=1)*(COUNTIF(CONFIG_ASIGNATURAS!$B$7:$B$27,nASIG)&gt;0)*(nNOTA))/SUMPRODUCT((nNIA=S301)*(nCUENTA=1)*(COUNTIF(CONFIG_ASIGNATURAS!$B$7:$B$27,nASIG)&gt;0)*1),"")))</f>
        <v/>
      </c>
      <c r="Z301" t="str">
        <f>IF(Y301="","",IF(Y301="[FÓRMULA MANUAL]","",IFERROR(AVERAGEIFS(nNOTA,nNIA,Y301,nCUENTA,1,nASIG,"Análisis"),"")))</f>
        <v/>
      </c>
      <c r="AA301" t="str">
        <f>IF(Y301="","",IF(Y301="[FÓRMULA MANUAL]","",IFERROR(AVERAGEIFS(nNOTA,nNIA,Y301,nCUENTA,1,nASIG,"Orquesta/Banda/Conjunto"),"")))</f>
        <v/>
      </c>
      <c r="AB301" t="str">
        <f>IF(Y301="","",IF(Y301="[FÓRMULA MANUAL]","",IFERROR(AVERAGEIFS(nNOTA,nNIA,Y301,nCUENTA,1,nASIG,"Música de Cámara"),"")))</f>
        <v/>
      </c>
      <c r="AC301" t="str">
        <f>IF(Y301="","",IF(Y301="[FÓRMULA MANUAL]","",IFERROR(SUMPRODUCT((nNIA=Y301)*(nCUENTA=1)*(COUNTIF(CONFIG_ASIGNATURAS!$B$7:$B$27,nASIG)&gt;0)*(nNOTA))/SUMPRODUCT((nNIA=Y301)*(nCUENTA=1)*(COUNTIF(CONFIG_ASIGNATURAS!$B$7:$B$27,nASIG)&gt;0)*1),"")))</f>
        <v/>
      </c>
      <c r="AF301" t="str">
        <f>IF(AE301="","",IF(AE301="[FÓRMULA MANUAL]","",IFERROR(AVERAGEIFS(nNOTA,nNIA,AE301,nCUENTA,1,nASIG,"Análisis"),"")))</f>
        <v/>
      </c>
      <c r="AG301" t="str">
        <f>IF(AE301="","",IF(AE301="[FÓRMULA MANUAL]","",IFERROR(AVERAGEIFS(nNOTA,nNIA,AE301,nCUENTA,1,nASIG,"Orquesta/Banda/Conjunto"),"")))</f>
        <v/>
      </c>
      <c r="AH301" t="str">
        <f>IF(AE301="","",IF(AE301="[FÓRMULA MANUAL]","",IFERROR(AVERAGEIFS(nNOTA,nNIA,AE301,nCUENTA,1,nASIG,"Música de Cámara"),"")))</f>
        <v/>
      </c>
      <c r="AI301" t="str">
        <f>IF(AE301="","",IF(AE301="[FÓRMULA MANUAL]","",IFERROR(SUMPRODUCT((nNIA=AE301)*(nCUENTA=1)*(COUNTIF(CONFIG_ASIGNATURAS!$B$7:$B$27,nASIG)&gt;0)*(nNOTA))/SUMPRODUCT((nNIA=AE301)*(nCUENTA=1)*(COUNTIF(CONFIG_ASIGNATURAS!$B$7:$B$27,nASIG)&gt;0)*1),"")))</f>
        <v/>
      </c>
    </row>
    <row r="302" spans="2:35" x14ac:dyDescent="0.2">
      <c r="B302" t="str">
        <f>IF(A302="","",IF(A302="[FÓRMULA MANUAL]","",IFERROR(AVERAGEIFS(nNOTA,nNIA,A302,nCUENTA,1,nASIG,"Lenguaje Musical"),"")))</f>
        <v/>
      </c>
      <c r="C302" t="str">
        <f>IF(A302="","",IF(A302="[FÓRMULA MANUAL]","",IFERROR(AVERAGEIFS(nNOTA,nNIA,A302,nCUENTA,1,nASIG,"Orquesta/Banda/Conjunto"),"")))</f>
        <v/>
      </c>
      <c r="D302" t="str">
        <f>IF(A302="","",IF(A302="[FÓRMULA MANUAL]","",IFERROR(AVERAGEIFS(nNOTA,nNIA,A302,nCUENTA,1,nASIG,"Conjunto"),"")))</f>
        <v/>
      </c>
      <c r="E302" t="str">
        <f>IF(A302="","",IF(A302="[FÓRMULA MANUAL]","",IFERROR(SUMPRODUCT((nNIA=A302)*(nCUENTA=1)*(COUNTIF(CONFIG_ASIGNATURAS!$B$7:$B$27,nASIG)&gt;0)*(nNOTA))/SUMPRODUCT((nNIA=A302)*(nCUENTA=1)*(COUNTIF(CONFIG_ASIGNATURAS!$B$7:$B$27,nASIG)&gt;0)*1),"")))</f>
        <v/>
      </c>
      <c r="H302" t="str">
        <f>IF(G302="","",IF(G302="[FÓRMULA MANUAL]","",IFERROR(AVERAGEIFS(nNOTA,nNIA,G302,nCUENTA,1,nASIG,"Lenguaje Musical"),"")))</f>
        <v/>
      </c>
      <c r="I302" t="str">
        <f>IF(G302="","",IF(G302="[FÓRMULA MANUAL]","",IFERROR(AVERAGEIFS(nNOTA,nNIA,G302,nCUENTA,1,nASIG,"Orquesta/Banda/Conjunto"),"")))</f>
        <v/>
      </c>
      <c r="J302" t="str">
        <f>IF(G302="","",IF(G302="[FÓRMULA MANUAL]","",IFERROR(AVERAGEIFS(nNOTA,nNIA,G302,nCUENTA,1,nASIG,"Conjunto"),"")))</f>
        <v/>
      </c>
      <c r="K302" t="str">
        <f>IF(G302="","",IF(G302="[FÓRMULA MANUAL]","",IFERROR(SUMPRODUCT((nNIA=G302)*(nCUENTA=1)*(COUNTIF(CONFIG_ASIGNATURAS!$B$7:$B$27,nASIG)&gt;0)*(nNOTA))/SUMPRODUCT((nNIA=G302)*(nCUENTA=1)*(COUNTIF(CONFIG_ASIGNATURAS!$B$7:$B$27,nASIG)&gt;0)*1),"")))</f>
        <v/>
      </c>
      <c r="N302" t="str">
        <f>IF(M302="","",IF(M302="[FÓRMULA MANUAL]","",IFERROR(AVERAGEIFS(nNOTA,nNIA,M302,nCUENTA,1,nASIG,"Armonía"),"")))</f>
        <v/>
      </c>
      <c r="O302" t="str">
        <f>IF(M302="","",IF(M302="[FÓRMULA MANUAL]","",IFERROR(AVERAGEIFS(nNOTA,nNIA,M302,nCUENTA,1,nASIG,"Orquesta/Banda/Conjunto"),"")))</f>
        <v/>
      </c>
      <c r="P302" t="str">
        <f>IF(M302="","",IF(M302="[FÓRMULA MANUAL]","",IFERROR(AVERAGEIFS(nNOTA,nNIA,M302,nCUENTA,1,nASIG,"Música de Cámara"),"")))</f>
        <v/>
      </c>
      <c r="Q302" t="str">
        <f>IF(M302="","",IF(M302="[FÓRMULA MANUAL]","",IFERROR(SUMPRODUCT((nNIA=M302)*(nCUENTA=1)*(COUNTIF(CONFIG_ASIGNATURAS!$B$7:$B$27,nASIG)&gt;0)*(nNOTA))/SUMPRODUCT((nNIA=M302)*(nCUENTA=1)*(COUNTIF(CONFIG_ASIGNATURAS!$B$7:$B$27,nASIG)&gt;0)*1),"")))</f>
        <v/>
      </c>
      <c r="T302" t="str">
        <f>IF(S302="","",IF(S302="[FÓRMULA MANUAL]","",IFERROR(AVERAGEIFS(nNOTA,nNIA,S302,nCUENTA,1,nASIG,"Armonía"),"")))</f>
        <v/>
      </c>
      <c r="U302" t="str">
        <f>IF(S302="","",IF(S302="[FÓRMULA MANUAL]","",IFERROR(AVERAGEIFS(nNOTA,nNIA,S302,nCUENTA,1,nASIG,"Orquesta/Banda/Conjunto"),"")))</f>
        <v/>
      </c>
      <c r="V302" t="str">
        <f>IF(S302="","",IF(S302="[FÓRMULA MANUAL]","",IFERROR(AVERAGEIFS(nNOTA,nNIA,S302,nCUENTA,1,nASIG,"Música de Cámara"),"")))</f>
        <v/>
      </c>
      <c r="W302" t="str">
        <f>IF(S302="","",IF(S302="[FÓRMULA MANUAL]","",IFERROR(SUMPRODUCT((nNIA=S302)*(nCUENTA=1)*(COUNTIF(CONFIG_ASIGNATURAS!$B$7:$B$27,nASIG)&gt;0)*(nNOTA))/SUMPRODUCT((nNIA=S302)*(nCUENTA=1)*(COUNTIF(CONFIG_ASIGNATURAS!$B$7:$B$27,nASIG)&gt;0)*1),"")))</f>
        <v/>
      </c>
      <c r="Z302" t="str">
        <f>IF(Y302="","",IF(Y302="[FÓRMULA MANUAL]","",IFERROR(AVERAGEIFS(nNOTA,nNIA,Y302,nCUENTA,1,nASIG,"Análisis"),"")))</f>
        <v/>
      </c>
      <c r="AA302" t="str">
        <f>IF(Y302="","",IF(Y302="[FÓRMULA MANUAL]","",IFERROR(AVERAGEIFS(nNOTA,nNIA,Y302,nCUENTA,1,nASIG,"Orquesta/Banda/Conjunto"),"")))</f>
        <v/>
      </c>
      <c r="AB302" t="str">
        <f>IF(Y302="","",IF(Y302="[FÓRMULA MANUAL]","",IFERROR(AVERAGEIFS(nNOTA,nNIA,Y302,nCUENTA,1,nASIG,"Música de Cámara"),"")))</f>
        <v/>
      </c>
      <c r="AC302" t="str">
        <f>IF(Y302="","",IF(Y302="[FÓRMULA MANUAL]","",IFERROR(SUMPRODUCT((nNIA=Y302)*(nCUENTA=1)*(COUNTIF(CONFIG_ASIGNATURAS!$B$7:$B$27,nASIG)&gt;0)*(nNOTA))/SUMPRODUCT((nNIA=Y302)*(nCUENTA=1)*(COUNTIF(CONFIG_ASIGNATURAS!$B$7:$B$27,nASIG)&gt;0)*1),"")))</f>
        <v/>
      </c>
      <c r="AF302" t="str">
        <f>IF(AE302="","",IF(AE302="[FÓRMULA MANUAL]","",IFERROR(AVERAGEIFS(nNOTA,nNIA,AE302,nCUENTA,1,nASIG,"Análisis"),"")))</f>
        <v/>
      </c>
      <c r="AG302" t="str">
        <f>IF(AE302="","",IF(AE302="[FÓRMULA MANUAL]","",IFERROR(AVERAGEIFS(nNOTA,nNIA,AE302,nCUENTA,1,nASIG,"Orquesta/Banda/Conjunto"),"")))</f>
        <v/>
      </c>
      <c r="AH302" t="str">
        <f>IF(AE302="","",IF(AE302="[FÓRMULA MANUAL]","",IFERROR(AVERAGEIFS(nNOTA,nNIA,AE302,nCUENTA,1,nASIG,"Música de Cámara"),"")))</f>
        <v/>
      </c>
      <c r="AI302" t="str">
        <f>IF(AE302="","",IF(AE302="[FÓRMULA MANUAL]","",IFERROR(SUMPRODUCT((nNIA=AE302)*(nCUENTA=1)*(COUNTIF(CONFIG_ASIGNATURAS!$B$7:$B$27,nASIG)&gt;0)*(nNOTA))/SUMPRODUCT((nNIA=AE302)*(nCUENTA=1)*(COUNTIF(CONFIG_ASIGNATURAS!$B$7:$B$27,nASIG)&gt;0)*1),"")))</f>
        <v/>
      </c>
    </row>
    <row r="303" spans="2:35" x14ac:dyDescent="0.2">
      <c r="B303" t="str">
        <f>IF(A303="","",IF(A303="[FÓRMULA MANUAL]","",IFERROR(AVERAGEIFS(nNOTA,nNIA,A303,nCUENTA,1,nASIG,"Lenguaje Musical"),"")))</f>
        <v/>
      </c>
      <c r="C303" t="str">
        <f>IF(A303="","",IF(A303="[FÓRMULA MANUAL]","",IFERROR(AVERAGEIFS(nNOTA,nNIA,A303,nCUENTA,1,nASIG,"Orquesta/Banda/Conjunto"),"")))</f>
        <v/>
      </c>
      <c r="D303" t="str">
        <f>IF(A303="","",IF(A303="[FÓRMULA MANUAL]","",IFERROR(AVERAGEIFS(nNOTA,nNIA,A303,nCUENTA,1,nASIG,"Conjunto"),"")))</f>
        <v/>
      </c>
      <c r="E303" t="str">
        <f>IF(A303="","",IF(A303="[FÓRMULA MANUAL]","",IFERROR(SUMPRODUCT((nNIA=A303)*(nCUENTA=1)*(COUNTIF(CONFIG_ASIGNATURAS!$B$7:$B$27,nASIG)&gt;0)*(nNOTA))/SUMPRODUCT((nNIA=A303)*(nCUENTA=1)*(COUNTIF(CONFIG_ASIGNATURAS!$B$7:$B$27,nASIG)&gt;0)*1),"")))</f>
        <v/>
      </c>
      <c r="H303" t="str">
        <f>IF(G303="","",IF(G303="[FÓRMULA MANUAL]","",IFERROR(AVERAGEIFS(nNOTA,nNIA,G303,nCUENTA,1,nASIG,"Lenguaje Musical"),"")))</f>
        <v/>
      </c>
      <c r="I303" t="str">
        <f>IF(G303="","",IF(G303="[FÓRMULA MANUAL]","",IFERROR(AVERAGEIFS(nNOTA,nNIA,G303,nCUENTA,1,nASIG,"Orquesta/Banda/Conjunto"),"")))</f>
        <v/>
      </c>
      <c r="J303" t="str">
        <f>IF(G303="","",IF(G303="[FÓRMULA MANUAL]","",IFERROR(AVERAGEIFS(nNOTA,nNIA,G303,nCUENTA,1,nASIG,"Conjunto"),"")))</f>
        <v/>
      </c>
      <c r="K303" t="str">
        <f>IF(G303="","",IF(G303="[FÓRMULA MANUAL]","",IFERROR(SUMPRODUCT((nNIA=G303)*(nCUENTA=1)*(COUNTIF(CONFIG_ASIGNATURAS!$B$7:$B$27,nASIG)&gt;0)*(nNOTA))/SUMPRODUCT((nNIA=G303)*(nCUENTA=1)*(COUNTIF(CONFIG_ASIGNATURAS!$B$7:$B$27,nASIG)&gt;0)*1),"")))</f>
        <v/>
      </c>
      <c r="N303" t="str">
        <f>IF(M303="","",IF(M303="[FÓRMULA MANUAL]","",IFERROR(AVERAGEIFS(nNOTA,nNIA,M303,nCUENTA,1,nASIG,"Armonía"),"")))</f>
        <v/>
      </c>
      <c r="O303" t="str">
        <f>IF(M303="","",IF(M303="[FÓRMULA MANUAL]","",IFERROR(AVERAGEIFS(nNOTA,nNIA,M303,nCUENTA,1,nASIG,"Orquesta/Banda/Conjunto"),"")))</f>
        <v/>
      </c>
      <c r="P303" t="str">
        <f>IF(M303="","",IF(M303="[FÓRMULA MANUAL]","",IFERROR(AVERAGEIFS(nNOTA,nNIA,M303,nCUENTA,1,nASIG,"Música de Cámara"),"")))</f>
        <v/>
      </c>
      <c r="Q303" t="str">
        <f>IF(M303="","",IF(M303="[FÓRMULA MANUAL]","",IFERROR(SUMPRODUCT((nNIA=M303)*(nCUENTA=1)*(COUNTIF(CONFIG_ASIGNATURAS!$B$7:$B$27,nASIG)&gt;0)*(nNOTA))/SUMPRODUCT((nNIA=M303)*(nCUENTA=1)*(COUNTIF(CONFIG_ASIGNATURAS!$B$7:$B$27,nASIG)&gt;0)*1),"")))</f>
        <v/>
      </c>
      <c r="T303" t="str">
        <f>IF(S303="","",IF(S303="[FÓRMULA MANUAL]","",IFERROR(AVERAGEIFS(nNOTA,nNIA,S303,nCUENTA,1,nASIG,"Armonía"),"")))</f>
        <v/>
      </c>
      <c r="U303" t="str">
        <f>IF(S303="","",IF(S303="[FÓRMULA MANUAL]","",IFERROR(AVERAGEIFS(nNOTA,nNIA,S303,nCUENTA,1,nASIG,"Orquesta/Banda/Conjunto"),"")))</f>
        <v/>
      </c>
      <c r="V303" t="str">
        <f>IF(S303="","",IF(S303="[FÓRMULA MANUAL]","",IFERROR(AVERAGEIFS(nNOTA,nNIA,S303,nCUENTA,1,nASIG,"Música de Cámara"),"")))</f>
        <v/>
      </c>
      <c r="W303" t="str">
        <f>IF(S303="","",IF(S303="[FÓRMULA MANUAL]","",IFERROR(SUMPRODUCT((nNIA=S303)*(nCUENTA=1)*(COUNTIF(CONFIG_ASIGNATURAS!$B$7:$B$27,nASIG)&gt;0)*(nNOTA))/SUMPRODUCT((nNIA=S303)*(nCUENTA=1)*(COUNTIF(CONFIG_ASIGNATURAS!$B$7:$B$27,nASIG)&gt;0)*1),"")))</f>
        <v/>
      </c>
      <c r="Z303" t="str">
        <f>IF(Y303="","",IF(Y303="[FÓRMULA MANUAL]","",IFERROR(AVERAGEIFS(nNOTA,nNIA,Y303,nCUENTA,1,nASIG,"Análisis"),"")))</f>
        <v/>
      </c>
      <c r="AA303" t="str">
        <f>IF(Y303="","",IF(Y303="[FÓRMULA MANUAL]","",IFERROR(AVERAGEIFS(nNOTA,nNIA,Y303,nCUENTA,1,nASIG,"Orquesta/Banda/Conjunto"),"")))</f>
        <v/>
      </c>
      <c r="AB303" t="str">
        <f>IF(Y303="","",IF(Y303="[FÓRMULA MANUAL]","",IFERROR(AVERAGEIFS(nNOTA,nNIA,Y303,nCUENTA,1,nASIG,"Música de Cámara"),"")))</f>
        <v/>
      </c>
      <c r="AC303" t="str">
        <f>IF(Y303="","",IF(Y303="[FÓRMULA MANUAL]","",IFERROR(SUMPRODUCT((nNIA=Y303)*(nCUENTA=1)*(COUNTIF(CONFIG_ASIGNATURAS!$B$7:$B$27,nASIG)&gt;0)*(nNOTA))/SUMPRODUCT((nNIA=Y303)*(nCUENTA=1)*(COUNTIF(CONFIG_ASIGNATURAS!$B$7:$B$27,nASIG)&gt;0)*1),"")))</f>
        <v/>
      </c>
      <c r="AF303" t="str">
        <f>IF(AE303="","",IF(AE303="[FÓRMULA MANUAL]","",IFERROR(AVERAGEIFS(nNOTA,nNIA,AE303,nCUENTA,1,nASIG,"Análisis"),"")))</f>
        <v/>
      </c>
      <c r="AG303" t="str">
        <f>IF(AE303="","",IF(AE303="[FÓRMULA MANUAL]","",IFERROR(AVERAGEIFS(nNOTA,nNIA,AE303,nCUENTA,1,nASIG,"Orquesta/Banda/Conjunto"),"")))</f>
        <v/>
      </c>
      <c r="AH303" t="str">
        <f>IF(AE303="","",IF(AE303="[FÓRMULA MANUAL]","",IFERROR(AVERAGEIFS(nNOTA,nNIA,AE303,nCUENTA,1,nASIG,"Música de Cámara"),"")))</f>
        <v/>
      </c>
      <c r="AI303" t="str">
        <f>IF(AE303="","",IF(AE303="[FÓRMULA MANUAL]","",IFERROR(SUMPRODUCT((nNIA=AE303)*(nCUENTA=1)*(COUNTIF(CONFIG_ASIGNATURAS!$B$7:$B$27,nASIG)&gt;0)*(nNOTA))/SUMPRODUCT((nNIA=AE303)*(nCUENTA=1)*(COUNTIF(CONFIG_ASIGNATURAS!$B$7:$B$27,nASIG)&gt;0)*1),"")))</f>
        <v/>
      </c>
    </row>
    <row r="304" spans="2:35" x14ac:dyDescent="0.2">
      <c r="B304" t="str">
        <f>IF(A304="","",IF(A304="[FÓRMULA MANUAL]","",IFERROR(AVERAGEIFS(nNOTA,nNIA,A304,nCUENTA,1,nASIG,"Lenguaje Musical"),"")))</f>
        <v/>
      </c>
      <c r="C304" t="str">
        <f>IF(A304="","",IF(A304="[FÓRMULA MANUAL]","",IFERROR(AVERAGEIFS(nNOTA,nNIA,A304,nCUENTA,1,nASIG,"Orquesta/Banda/Conjunto"),"")))</f>
        <v/>
      </c>
      <c r="D304" t="str">
        <f>IF(A304="","",IF(A304="[FÓRMULA MANUAL]","",IFERROR(AVERAGEIFS(nNOTA,nNIA,A304,nCUENTA,1,nASIG,"Conjunto"),"")))</f>
        <v/>
      </c>
      <c r="E304" t="str">
        <f>IF(A304="","",IF(A304="[FÓRMULA MANUAL]","",IFERROR(SUMPRODUCT((nNIA=A304)*(nCUENTA=1)*(COUNTIF(CONFIG_ASIGNATURAS!$B$7:$B$27,nASIG)&gt;0)*(nNOTA))/SUMPRODUCT((nNIA=A304)*(nCUENTA=1)*(COUNTIF(CONFIG_ASIGNATURAS!$B$7:$B$27,nASIG)&gt;0)*1),"")))</f>
        <v/>
      </c>
      <c r="H304" t="str">
        <f>IF(G304="","",IF(G304="[FÓRMULA MANUAL]","",IFERROR(AVERAGEIFS(nNOTA,nNIA,G304,nCUENTA,1,nASIG,"Lenguaje Musical"),"")))</f>
        <v/>
      </c>
      <c r="I304" t="str">
        <f>IF(G304="","",IF(G304="[FÓRMULA MANUAL]","",IFERROR(AVERAGEIFS(nNOTA,nNIA,G304,nCUENTA,1,nASIG,"Orquesta/Banda/Conjunto"),"")))</f>
        <v/>
      </c>
      <c r="J304" t="str">
        <f>IF(G304="","",IF(G304="[FÓRMULA MANUAL]","",IFERROR(AVERAGEIFS(nNOTA,nNIA,G304,nCUENTA,1,nASIG,"Conjunto"),"")))</f>
        <v/>
      </c>
      <c r="K304" t="str">
        <f>IF(G304="","",IF(G304="[FÓRMULA MANUAL]","",IFERROR(SUMPRODUCT((nNIA=G304)*(nCUENTA=1)*(COUNTIF(CONFIG_ASIGNATURAS!$B$7:$B$27,nASIG)&gt;0)*(nNOTA))/SUMPRODUCT((nNIA=G304)*(nCUENTA=1)*(COUNTIF(CONFIG_ASIGNATURAS!$B$7:$B$27,nASIG)&gt;0)*1),"")))</f>
        <v/>
      </c>
      <c r="N304" t="str">
        <f>IF(M304="","",IF(M304="[FÓRMULA MANUAL]","",IFERROR(AVERAGEIFS(nNOTA,nNIA,M304,nCUENTA,1,nASIG,"Armonía"),"")))</f>
        <v/>
      </c>
      <c r="O304" t="str">
        <f>IF(M304="","",IF(M304="[FÓRMULA MANUAL]","",IFERROR(AVERAGEIFS(nNOTA,nNIA,M304,nCUENTA,1,nASIG,"Orquesta/Banda/Conjunto"),"")))</f>
        <v/>
      </c>
      <c r="P304" t="str">
        <f>IF(M304="","",IF(M304="[FÓRMULA MANUAL]","",IFERROR(AVERAGEIFS(nNOTA,nNIA,M304,nCUENTA,1,nASIG,"Música de Cámara"),"")))</f>
        <v/>
      </c>
      <c r="Q304" t="str">
        <f>IF(M304="","",IF(M304="[FÓRMULA MANUAL]","",IFERROR(SUMPRODUCT((nNIA=M304)*(nCUENTA=1)*(COUNTIF(CONFIG_ASIGNATURAS!$B$7:$B$27,nASIG)&gt;0)*(nNOTA))/SUMPRODUCT((nNIA=M304)*(nCUENTA=1)*(COUNTIF(CONFIG_ASIGNATURAS!$B$7:$B$27,nASIG)&gt;0)*1),"")))</f>
        <v/>
      </c>
      <c r="T304" t="str">
        <f>IF(S304="","",IF(S304="[FÓRMULA MANUAL]","",IFERROR(AVERAGEIFS(nNOTA,nNIA,S304,nCUENTA,1,nASIG,"Armonía"),"")))</f>
        <v/>
      </c>
      <c r="U304" t="str">
        <f>IF(S304="","",IF(S304="[FÓRMULA MANUAL]","",IFERROR(AVERAGEIFS(nNOTA,nNIA,S304,nCUENTA,1,nASIG,"Orquesta/Banda/Conjunto"),"")))</f>
        <v/>
      </c>
      <c r="V304" t="str">
        <f>IF(S304="","",IF(S304="[FÓRMULA MANUAL]","",IFERROR(AVERAGEIFS(nNOTA,nNIA,S304,nCUENTA,1,nASIG,"Música de Cámara"),"")))</f>
        <v/>
      </c>
      <c r="W304" t="str">
        <f>IF(S304="","",IF(S304="[FÓRMULA MANUAL]","",IFERROR(SUMPRODUCT((nNIA=S304)*(nCUENTA=1)*(COUNTIF(CONFIG_ASIGNATURAS!$B$7:$B$27,nASIG)&gt;0)*(nNOTA))/SUMPRODUCT((nNIA=S304)*(nCUENTA=1)*(COUNTIF(CONFIG_ASIGNATURAS!$B$7:$B$27,nASIG)&gt;0)*1),"")))</f>
        <v/>
      </c>
      <c r="Z304" t="str">
        <f>IF(Y304="","",IF(Y304="[FÓRMULA MANUAL]","",IFERROR(AVERAGEIFS(nNOTA,nNIA,Y304,nCUENTA,1,nASIG,"Análisis"),"")))</f>
        <v/>
      </c>
      <c r="AA304" t="str">
        <f>IF(Y304="","",IF(Y304="[FÓRMULA MANUAL]","",IFERROR(AVERAGEIFS(nNOTA,nNIA,Y304,nCUENTA,1,nASIG,"Orquesta/Banda/Conjunto"),"")))</f>
        <v/>
      </c>
      <c r="AB304" t="str">
        <f>IF(Y304="","",IF(Y304="[FÓRMULA MANUAL]","",IFERROR(AVERAGEIFS(nNOTA,nNIA,Y304,nCUENTA,1,nASIG,"Música de Cámara"),"")))</f>
        <v/>
      </c>
      <c r="AC304" t="str">
        <f>IF(Y304="","",IF(Y304="[FÓRMULA MANUAL]","",IFERROR(SUMPRODUCT((nNIA=Y304)*(nCUENTA=1)*(COUNTIF(CONFIG_ASIGNATURAS!$B$7:$B$27,nASIG)&gt;0)*(nNOTA))/SUMPRODUCT((nNIA=Y304)*(nCUENTA=1)*(COUNTIF(CONFIG_ASIGNATURAS!$B$7:$B$27,nASIG)&gt;0)*1),"")))</f>
        <v/>
      </c>
      <c r="AF304" t="str">
        <f>IF(AE304="","",IF(AE304="[FÓRMULA MANUAL]","",IFERROR(AVERAGEIFS(nNOTA,nNIA,AE304,nCUENTA,1,nASIG,"Análisis"),"")))</f>
        <v/>
      </c>
      <c r="AG304" t="str">
        <f>IF(AE304="","",IF(AE304="[FÓRMULA MANUAL]","",IFERROR(AVERAGEIFS(nNOTA,nNIA,AE304,nCUENTA,1,nASIG,"Orquesta/Banda/Conjunto"),"")))</f>
        <v/>
      </c>
      <c r="AH304" t="str">
        <f>IF(AE304="","",IF(AE304="[FÓRMULA MANUAL]","",IFERROR(AVERAGEIFS(nNOTA,nNIA,AE304,nCUENTA,1,nASIG,"Música de Cámara"),"")))</f>
        <v/>
      </c>
      <c r="AI304" t="str">
        <f>IF(AE304="","",IF(AE304="[FÓRMULA MANUAL]","",IFERROR(SUMPRODUCT((nNIA=AE304)*(nCUENTA=1)*(COUNTIF(CONFIG_ASIGNATURAS!$B$7:$B$27,nASIG)&gt;0)*(nNOTA))/SUMPRODUCT((nNIA=AE304)*(nCUENTA=1)*(COUNTIF(CONFIG_ASIGNATURAS!$B$7:$B$27,nASIG)&gt;0)*1),"")))</f>
        <v/>
      </c>
    </row>
    <row r="305" spans="2:35" x14ac:dyDescent="0.2">
      <c r="B305" t="str">
        <f>IF(A305="","",IF(A305="[FÓRMULA MANUAL]","",IFERROR(AVERAGEIFS(nNOTA,nNIA,A305,nCUENTA,1,nASIG,"Lenguaje Musical"),"")))</f>
        <v/>
      </c>
      <c r="C305" t="str">
        <f>IF(A305="","",IF(A305="[FÓRMULA MANUAL]","",IFERROR(AVERAGEIFS(nNOTA,nNIA,A305,nCUENTA,1,nASIG,"Orquesta/Banda/Conjunto"),"")))</f>
        <v/>
      </c>
      <c r="D305" t="str">
        <f>IF(A305="","",IF(A305="[FÓRMULA MANUAL]","",IFERROR(AVERAGEIFS(nNOTA,nNIA,A305,nCUENTA,1,nASIG,"Conjunto"),"")))</f>
        <v/>
      </c>
      <c r="E305" t="str">
        <f>IF(A305="","",IF(A305="[FÓRMULA MANUAL]","",IFERROR(SUMPRODUCT((nNIA=A305)*(nCUENTA=1)*(COUNTIF(CONFIG_ASIGNATURAS!$B$7:$B$27,nASIG)&gt;0)*(nNOTA))/SUMPRODUCT((nNIA=A305)*(nCUENTA=1)*(COUNTIF(CONFIG_ASIGNATURAS!$B$7:$B$27,nASIG)&gt;0)*1),"")))</f>
        <v/>
      </c>
      <c r="H305" t="str">
        <f>IF(G305="","",IF(G305="[FÓRMULA MANUAL]","",IFERROR(AVERAGEIFS(nNOTA,nNIA,G305,nCUENTA,1,nASIG,"Lenguaje Musical"),"")))</f>
        <v/>
      </c>
      <c r="I305" t="str">
        <f>IF(G305="","",IF(G305="[FÓRMULA MANUAL]","",IFERROR(AVERAGEIFS(nNOTA,nNIA,G305,nCUENTA,1,nASIG,"Orquesta/Banda/Conjunto"),"")))</f>
        <v/>
      </c>
      <c r="J305" t="str">
        <f>IF(G305="","",IF(G305="[FÓRMULA MANUAL]","",IFERROR(AVERAGEIFS(nNOTA,nNIA,G305,nCUENTA,1,nASIG,"Conjunto"),"")))</f>
        <v/>
      </c>
      <c r="K305" t="str">
        <f>IF(G305="","",IF(G305="[FÓRMULA MANUAL]","",IFERROR(SUMPRODUCT((nNIA=G305)*(nCUENTA=1)*(COUNTIF(CONFIG_ASIGNATURAS!$B$7:$B$27,nASIG)&gt;0)*(nNOTA))/SUMPRODUCT((nNIA=G305)*(nCUENTA=1)*(COUNTIF(CONFIG_ASIGNATURAS!$B$7:$B$27,nASIG)&gt;0)*1),"")))</f>
        <v/>
      </c>
      <c r="N305" t="str">
        <f>IF(M305="","",IF(M305="[FÓRMULA MANUAL]","",IFERROR(AVERAGEIFS(nNOTA,nNIA,M305,nCUENTA,1,nASIG,"Armonía"),"")))</f>
        <v/>
      </c>
      <c r="O305" t="str">
        <f>IF(M305="","",IF(M305="[FÓRMULA MANUAL]","",IFERROR(AVERAGEIFS(nNOTA,nNIA,M305,nCUENTA,1,nASIG,"Orquesta/Banda/Conjunto"),"")))</f>
        <v/>
      </c>
      <c r="P305" t="str">
        <f>IF(M305="","",IF(M305="[FÓRMULA MANUAL]","",IFERROR(AVERAGEIFS(nNOTA,nNIA,M305,nCUENTA,1,nASIG,"Música de Cámara"),"")))</f>
        <v/>
      </c>
      <c r="Q305" t="str">
        <f>IF(M305="","",IF(M305="[FÓRMULA MANUAL]","",IFERROR(SUMPRODUCT((nNIA=M305)*(nCUENTA=1)*(COUNTIF(CONFIG_ASIGNATURAS!$B$7:$B$27,nASIG)&gt;0)*(nNOTA))/SUMPRODUCT((nNIA=M305)*(nCUENTA=1)*(COUNTIF(CONFIG_ASIGNATURAS!$B$7:$B$27,nASIG)&gt;0)*1),"")))</f>
        <v/>
      </c>
      <c r="T305" t="str">
        <f>IF(S305="","",IF(S305="[FÓRMULA MANUAL]","",IFERROR(AVERAGEIFS(nNOTA,nNIA,S305,nCUENTA,1,nASIG,"Armonía"),"")))</f>
        <v/>
      </c>
      <c r="U305" t="str">
        <f>IF(S305="","",IF(S305="[FÓRMULA MANUAL]","",IFERROR(AVERAGEIFS(nNOTA,nNIA,S305,nCUENTA,1,nASIG,"Orquesta/Banda/Conjunto"),"")))</f>
        <v/>
      </c>
      <c r="V305" t="str">
        <f>IF(S305="","",IF(S305="[FÓRMULA MANUAL]","",IFERROR(AVERAGEIFS(nNOTA,nNIA,S305,nCUENTA,1,nASIG,"Música de Cámara"),"")))</f>
        <v/>
      </c>
      <c r="W305" t="str">
        <f>IF(S305="","",IF(S305="[FÓRMULA MANUAL]","",IFERROR(SUMPRODUCT((nNIA=S305)*(nCUENTA=1)*(COUNTIF(CONFIG_ASIGNATURAS!$B$7:$B$27,nASIG)&gt;0)*(nNOTA))/SUMPRODUCT((nNIA=S305)*(nCUENTA=1)*(COUNTIF(CONFIG_ASIGNATURAS!$B$7:$B$27,nASIG)&gt;0)*1),"")))</f>
        <v/>
      </c>
      <c r="Z305" t="str">
        <f>IF(Y305="","",IF(Y305="[FÓRMULA MANUAL]","",IFERROR(AVERAGEIFS(nNOTA,nNIA,Y305,nCUENTA,1,nASIG,"Análisis"),"")))</f>
        <v/>
      </c>
      <c r="AA305" t="str">
        <f>IF(Y305="","",IF(Y305="[FÓRMULA MANUAL]","",IFERROR(AVERAGEIFS(nNOTA,nNIA,Y305,nCUENTA,1,nASIG,"Orquesta/Banda/Conjunto"),"")))</f>
        <v/>
      </c>
      <c r="AB305" t="str">
        <f>IF(Y305="","",IF(Y305="[FÓRMULA MANUAL]","",IFERROR(AVERAGEIFS(nNOTA,nNIA,Y305,nCUENTA,1,nASIG,"Música de Cámara"),"")))</f>
        <v/>
      </c>
      <c r="AC305" t="str">
        <f>IF(Y305="","",IF(Y305="[FÓRMULA MANUAL]","",IFERROR(SUMPRODUCT((nNIA=Y305)*(nCUENTA=1)*(COUNTIF(CONFIG_ASIGNATURAS!$B$7:$B$27,nASIG)&gt;0)*(nNOTA))/SUMPRODUCT((nNIA=Y305)*(nCUENTA=1)*(COUNTIF(CONFIG_ASIGNATURAS!$B$7:$B$27,nASIG)&gt;0)*1),"")))</f>
        <v/>
      </c>
      <c r="AF305" t="str">
        <f>IF(AE305="","",IF(AE305="[FÓRMULA MANUAL]","",IFERROR(AVERAGEIFS(nNOTA,nNIA,AE305,nCUENTA,1,nASIG,"Análisis"),"")))</f>
        <v/>
      </c>
      <c r="AG305" t="str">
        <f>IF(AE305="","",IF(AE305="[FÓRMULA MANUAL]","",IFERROR(AVERAGEIFS(nNOTA,nNIA,AE305,nCUENTA,1,nASIG,"Orquesta/Banda/Conjunto"),"")))</f>
        <v/>
      </c>
      <c r="AH305" t="str">
        <f>IF(AE305="","",IF(AE305="[FÓRMULA MANUAL]","",IFERROR(AVERAGEIFS(nNOTA,nNIA,AE305,nCUENTA,1,nASIG,"Música de Cámara"),"")))</f>
        <v/>
      </c>
      <c r="AI305" t="str">
        <f>IF(AE305="","",IF(AE305="[FÓRMULA MANUAL]","",IFERROR(SUMPRODUCT((nNIA=AE305)*(nCUENTA=1)*(COUNTIF(CONFIG_ASIGNATURAS!$B$7:$B$27,nASIG)&gt;0)*(nNOTA))/SUMPRODUCT((nNIA=AE305)*(nCUENTA=1)*(COUNTIF(CONFIG_ASIGNATURAS!$B$7:$B$27,nASIG)&gt;0)*1),"")))</f>
        <v/>
      </c>
    </row>
    <row r="306" spans="2:35" x14ac:dyDescent="0.2">
      <c r="B306" t="str">
        <f>IF(A306="","",IF(A306="[FÓRMULA MANUAL]","",IFERROR(AVERAGEIFS(nNOTA,nNIA,A306,nCUENTA,1,nASIG,"Lenguaje Musical"),"")))</f>
        <v/>
      </c>
      <c r="C306" t="str">
        <f>IF(A306="","",IF(A306="[FÓRMULA MANUAL]","",IFERROR(AVERAGEIFS(nNOTA,nNIA,A306,nCUENTA,1,nASIG,"Orquesta/Banda/Conjunto"),"")))</f>
        <v/>
      </c>
      <c r="D306" t="str">
        <f>IF(A306="","",IF(A306="[FÓRMULA MANUAL]","",IFERROR(AVERAGEIFS(nNOTA,nNIA,A306,nCUENTA,1,nASIG,"Conjunto"),"")))</f>
        <v/>
      </c>
      <c r="E306" t="str">
        <f>IF(A306="","",IF(A306="[FÓRMULA MANUAL]","",IFERROR(SUMPRODUCT((nNIA=A306)*(nCUENTA=1)*(COUNTIF(CONFIG_ASIGNATURAS!$B$7:$B$27,nASIG)&gt;0)*(nNOTA))/SUMPRODUCT((nNIA=A306)*(nCUENTA=1)*(COUNTIF(CONFIG_ASIGNATURAS!$B$7:$B$27,nASIG)&gt;0)*1),"")))</f>
        <v/>
      </c>
      <c r="H306" t="str">
        <f>IF(G306="","",IF(G306="[FÓRMULA MANUAL]","",IFERROR(AVERAGEIFS(nNOTA,nNIA,G306,nCUENTA,1,nASIG,"Lenguaje Musical"),"")))</f>
        <v/>
      </c>
      <c r="I306" t="str">
        <f>IF(G306="","",IF(G306="[FÓRMULA MANUAL]","",IFERROR(AVERAGEIFS(nNOTA,nNIA,G306,nCUENTA,1,nASIG,"Orquesta/Banda/Conjunto"),"")))</f>
        <v/>
      </c>
      <c r="J306" t="str">
        <f>IF(G306="","",IF(G306="[FÓRMULA MANUAL]","",IFERROR(AVERAGEIFS(nNOTA,nNIA,G306,nCUENTA,1,nASIG,"Conjunto"),"")))</f>
        <v/>
      </c>
      <c r="K306" t="str">
        <f>IF(G306="","",IF(G306="[FÓRMULA MANUAL]","",IFERROR(SUMPRODUCT((nNIA=G306)*(nCUENTA=1)*(COUNTIF(CONFIG_ASIGNATURAS!$B$7:$B$27,nASIG)&gt;0)*(nNOTA))/SUMPRODUCT((nNIA=G306)*(nCUENTA=1)*(COUNTIF(CONFIG_ASIGNATURAS!$B$7:$B$27,nASIG)&gt;0)*1),"")))</f>
        <v/>
      </c>
      <c r="N306" t="str">
        <f>IF(M306="","",IF(M306="[FÓRMULA MANUAL]","",IFERROR(AVERAGEIFS(nNOTA,nNIA,M306,nCUENTA,1,nASIG,"Armonía"),"")))</f>
        <v/>
      </c>
      <c r="O306" t="str">
        <f>IF(M306="","",IF(M306="[FÓRMULA MANUAL]","",IFERROR(AVERAGEIFS(nNOTA,nNIA,M306,nCUENTA,1,nASIG,"Orquesta/Banda/Conjunto"),"")))</f>
        <v/>
      </c>
      <c r="P306" t="str">
        <f>IF(M306="","",IF(M306="[FÓRMULA MANUAL]","",IFERROR(AVERAGEIFS(nNOTA,nNIA,M306,nCUENTA,1,nASIG,"Música de Cámara"),"")))</f>
        <v/>
      </c>
      <c r="Q306" t="str">
        <f>IF(M306="","",IF(M306="[FÓRMULA MANUAL]","",IFERROR(SUMPRODUCT((nNIA=M306)*(nCUENTA=1)*(COUNTIF(CONFIG_ASIGNATURAS!$B$7:$B$27,nASIG)&gt;0)*(nNOTA))/SUMPRODUCT((nNIA=M306)*(nCUENTA=1)*(COUNTIF(CONFIG_ASIGNATURAS!$B$7:$B$27,nASIG)&gt;0)*1),"")))</f>
        <v/>
      </c>
      <c r="T306" t="str">
        <f>IF(S306="","",IF(S306="[FÓRMULA MANUAL]","",IFERROR(AVERAGEIFS(nNOTA,nNIA,S306,nCUENTA,1,nASIG,"Armonía"),"")))</f>
        <v/>
      </c>
      <c r="U306" t="str">
        <f>IF(S306="","",IF(S306="[FÓRMULA MANUAL]","",IFERROR(AVERAGEIFS(nNOTA,nNIA,S306,nCUENTA,1,nASIG,"Orquesta/Banda/Conjunto"),"")))</f>
        <v/>
      </c>
      <c r="V306" t="str">
        <f>IF(S306="","",IF(S306="[FÓRMULA MANUAL]","",IFERROR(AVERAGEIFS(nNOTA,nNIA,S306,nCUENTA,1,nASIG,"Música de Cámara"),"")))</f>
        <v/>
      </c>
      <c r="W306" t="str">
        <f>IF(S306="","",IF(S306="[FÓRMULA MANUAL]","",IFERROR(SUMPRODUCT((nNIA=S306)*(nCUENTA=1)*(COUNTIF(CONFIG_ASIGNATURAS!$B$7:$B$27,nASIG)&gt;0)*(nNOTA))/SUMPRODUCT((nNIA=S306)*(nCUENTA=1)*(COUNTIF(CONFIG_ASIGNATURAS!$B$7:$B$27,nASIG)&gt;0)*1),"")))</f>
        <v/>
      </c>
      <c r="Z306" t="str">
        <f>IF(Y306="","",IF(Y306="[FÓRMULA MANUAL]","",IFERROR(AVERAGEIFS(nNOTA,nNIA,Y306,nCUENTA,1,nASIG,"Análisis"),"")))</f>
        <v/>
      </c>
      <c r="AA306" t="str">
        <f>IF(Y306="","",IF(Y306="[FÓRMULA MANUAL]","",IFERROR(AVERAGEIFS(nNOTA,nNIA,Y306,nCUENTA,1,nASIG,"Orquesta/Banda/Conjunto"),"")))</f>
        <v/>
      </c>
      <c r="AB306" t="str">
        <f>IF(Y306="","",IF(Y306="[FÓRMULA MANUAL]","",IFERROR(AVERAGEIFS(nNOTA,nNIA,Y306,nCUENTA,1,nASIG,"Música de Cámara"),"")))</f>
        <v/>
      </c>
      <c r="AC306" t="str">
        <f>IF(Y306="","",IF(Y306="[FÓRMULA MANUAL]","",IFERROR(SUMPRODUCT((nNIA=Y306)*(nCUENTA=1)*(COUNTIF(CONFIG_ASIGNATURAS!$B$7:$B$27,nASIG)&gt;0)*(nNOTA))/SUMPRODUCT((nNIA=Y306)*(nCUENTA=1)*(COUNTIF(CONFIG_ASIGNATURAS!$B$7:$B$27,nASIG)&gt;0)*1),"")))</f>
        <v/>
      </c>
      <c r="AF306" t="str">
        <f>IF(AE306="","",IF(AE306="[FÓRMULA MANUAL]","",IFERROR(AVERAGEIFS(nNOTA,nNIA,AE306,nCUENTA,1,nASIG,"Análisis"),"")))</f>
        <v/>
      </c>
      <c r="AG306" t="str">
        <f>IF(AE306="","",IF(AE306="[FÓRMULA MANUAL]","",IFERROR(AVERAGEIFS(nNOTA,nNIA,AE306,nCUENTA,1,nASIG,"Orquesta/Banda/Conjunto"),"")))</f>
        <v/>
      </c>
      <c r="AH306" t="str">
        <f>IF(AE306="","",IF(AE306="[FÓRMULA MANUAL]","",IFERROR(AVERAGEIFS(nNOTA,nNIA,AE306,nCUENTA,1,nASIG,"Música de Cámara"),"")))</f>
        <v/>
      </c>
      <c r="AI306" t="str">
        <f>IF(AE306="","",IF(AE306="[FÓRMULA MANUAL]","",IFERROR(SUMPRODUCT((nNIA=AE306)*(nCUENTA=1)*(COUNTIF(CONFIG_ASIGNATURAS!$B$7:$B$27,nASIG)&gt;0)*(nNOTA))/SUMPRODUCT((nNIA=AE306)*(nCUENTA=1)*(COUNTIF(CONFIG_ASIGNATURAS!$B$7:$B$27,nASIG)&gt;0)*1),"")))</f>
        <v/>
      </c>
    </row>
    <row r="307" spans="2:35" x14ac:dyDescent="0.2">
      <c r="B307" t="str">
        <f>IF(A307="","",IF(A307="[FÓRMULA MANUAL]","",IFERROR(AVERAGEIFS(nNOTA,nNIA,A307,nCUENTA,1,nASIG,"Lenguaje Musical"),"")))</f>
        <v/>
      </c>
      <c r="C307" t="str">
        <f>IF(A307="","",IF(A307="[FÓRMULA MANUAL]","",IFERROR(AVERAGEIFS(nNOTA,nNIA,A307,nCUENTA,1,nASIG,"Orquesta/Banda/Conjunto"),"")))</f>
        <v/>
      </c>
      <c r="D307" t="str">
        <f>IF(A307="","",IF(A307="[FÓRMULA MANUAL]","",IFERROR(AVERAGEIFS(nNOTA,nNIA,A307,nCUENTA,1,nASIG,"Conjunto"),"")))</f>
        <v/>
      </c>
      <c r="E307" t="str">
        <f>IF(A307="","",IF(A307="[FÓRMULA MANUAL]","",IFERROR(SUMPRODUCT((nNIA=A307)*(nCUENTA=1)*(COUNTIF(CONFIG_ASIGNATURAS!$B$7:$B$27,nASIG)&gt;0)*(nNOTA))/SUMPRODUCT((nNIA=A307)*(nCUENTA=1)*(COUNTIF(CONFIG_ASIGNATURAS!$B$7:$B$27,nASIG)&gt;0)*1),"")))</f>
        <v/>
      </c>
      <c r="H307" t="str">
        <f>IF(G307="","",IF(G307="[FÓRMULA MANUAL]","",IFERROR(AVERAGEIFS(nNOTA,nNIA,G307,nCUENTA,1,nASIG,"Lenguaje Musical"),"")))</f>
        <v/>
      </c>
      <c r="I307" t="str">
        <f>IF(G307="","",IF(G307="[FÓRMULA MANUAL]","",IFERROR(AVERAGEIFS(nNOTA,nNIA,G307,nCUENTA,1,nASIG,"Orquesta/Banda/Conjunto"),"")))</f>
        <v/>
      </c>
      <c r="J307" t="str">
        <f>IF(G307="","",IF(G307="[FÓRMULA MANUAL]","",IFERROR(AVERAGEIFS(nNOTA,nNIA,G307,nCUENTA,1,nASIG,"Conjunto"),"")))</f>
        <v/>
      </c>
      <c r="K307" t="str">
        <f>IF(G307="","",IF(G307="[FÓRMULA MANUAL]","",IFERROR(SUMPRODUCT((nNIA=G307)*(nCUENTA=1)*(COUNTIF(CONFIG_ASIGNATURAS!$B$7:$B$27,nASIG)&gt;0)*(nNOTA))/SUMPRODUCT((nNIA=G307)*(nCUENTA=1)*(COUNTIF(CONFIG_ASIGNATURAS!$B$7:$B$27,nASIG)&gt;0)*1),"")))</f>
        <v/>
      </c>
      <c r="N307" t="str">
        <f>IF(M307="","",IF(M307="[FÓRMULA MANUAL]","",IFERROR(AVERAGEIFS(nNOTA,nNIA,M307,nCUENTA,1,nASIG,"Armonía"),"")))</f>
        <v/>
      </c>
      <c r="O307" t="str">
        <f>IF(M307="","",IF(M307="[FÓRMULA MANUAL]","",IFERROR(AVERAGEIFS(nNOTA,nNIA,M307,nCUENTA,1,nASIG,"Orquesta/Banda/Conjunto"),"")))</f>
        <v/>
      </c>
      <c r="P307" t="str">
        <f>IF(M307="","",IF(M307="[FÓRMULA MANUAL]","",IFERROR(AVERAGEIFS(nNOTA,nNIA,M307,nCUENTA,1,nASIG,"Música de Cámara"),"")))</f>
        <v/>
      </c>
      <c r="Q307" t="str">
        <f>IF(M307="","",IF(M307="[FÓRMULA MANUAL]","",IFERROR(SUMPRODUCT((nNIA=M307)*(nCUENTA=1)*(COUNTIF(CONFIG_ASIGNATURAS!$B$7:$B$27,nASIG)&gt;0)*(nNOTA))/SUMPRODUCT((nNIA=M307)*(nCUENTA=1)*(COUNTIF(CONFIG_ASIGNATURAS!$B$7:$B$27,nASIG)&gt;0)*1),"")))</f>
        <v/>
      </c>
      <c r="T307" t="str">
        <f>IF(S307="","",IF(S307="[FÓRMULA MANUAL]","",IFERROR(AVERAGEIFS(nNOTA,nNIA,S307,nCUENTA,1,nASIG,"Armonía"),"")))</f>
        <v/>
      </c>
      <c r="U307" t="str">
        <f>IF(S307="","",IF(S307="[FÓRMULA MANUAL]","",IFERROR(AVERAGEIFS(nNOTA,nNIA,S307,nCUENTA,1,nASIG,"Orquesta/Banda/Conjunto"),"")))</f>
        <v/>
      </c>
      <c r="V307" t="str">
        <f>IF(S307="","",IF(S307="[FÓRMULA MANUAL]","",IFERROR(AVERAGEIFS(nNOTA,nNIA,S307,nCUENTA,1,nASIG,"Música de Cámara"),"")))</f>
        <v/>
      </c>
      <c r="W307" t="str">
        <f>IF(S307="","",IF(S307="[FÓRMULA MANUAL]","",IFERROR(SUMPRODUCT((nNIA=S307)*(nCUENTA=1)*(COUNTIF(CONFIG_ASIGNATURAS!$B$7:$B$27,nASIG)&gt;0)*(nNOTA))/SUMPRODUCT((nNIA=S307)*(nCUENTA=1)*(COUNTIF(CONFIG_ASIGNATURAS!$B$7:$B$27,nASIG)&gt;0)*1),"")))</f>
        <v/>
      </c>
      <c r="Z307" t="str">
        <f>IF(Y307="","",IF(Y307="[FÓRMULA MANUAL]","",IFERROR(AVERAGEIFS(nNOTA,nNIA,Y307,nCUENTA,1,nASIG,"Análisis"),"")))</f>
        <v/>
      </c>
      <c r="AA307" t="str">
        <f>IF(Y307="","",IF(Y307="[FÓRMULA MANUAL]","",IFERROR(AVERAGEIFS(nNOTA,nNIA,Y307,nCUENTA,1,nASIG,"Orquesta/Banda/Conjunto"),"")))</f>
        <v/>
      </c>
      <c r="AB307" t="str">
        <f>IF(Y307="","",IF(Y307="[FÓRMULA MANUAL]","",IFERROR(AVERAGEIFS(nNOTA,nNIA,Y307,nCUENTA,1,nASIG,"Música de Cámara"),"")))</f>
        <v/>
      </c>
      <c r="AC307" t="str">
        <f>IF(Y307="","",IF(Y307="[FÓRMULA MANUAL]","",IFERROR(SUMPRODUCT((nNIA=Y307)*(nCUENTA=1)*(COUNTIF(CONFIG_ASIGNATURAS!$B$7:$B$27,nASIG)&gt;0)*(nNOTA))/SUMPRODUCT((nNIA=Y307)*(nCUENTA=1)*(COUNTIF(CONFIG_ASIGNATURAS!$B$7:$B$27,nASIG)&gt;0)*1),"")))</f>
        <v/>
      </c>
      <c r="AF307" t="str">
        <f>IF(AE307="","",IF(AE307="[FÓRMULA MANUAL]","",IFERROR(AVERAGEIFS(nNOTA,nNIA,AE307,nCUENTA,1,nASIG,"Análisis"),"")))</f>
        <v/>
      </c>
      <c r="AG307" t="str">
        <f>IF(AE307="","",IF(AE307="[FÓRMULA MANUAL]","",IFERROR(AVERAGEIFS(nNOTA,nNIA,AE307,nCUENTA,1,nASIG,"Orquesta/Banda/Conjunto"),"")))</f>
        <v/>
      </c>
      <c r="AH307" t="str">
        <f>IF(AE307="","",IF(AE307="[FÓRMULA MANUAL]","",IFERROR(AVERAGEIFS(nNOTA,nNIA,AE307,nCUENTA,1,nASIG,"Música de Cámara"),"")))</f>
        <v/>
      </c>
      <c r="AI307" t="str">
        <f>IF(AE307="","",IF(AE307="[FÓRMULA MANUAL]","",IFERROR(SUMPRODUCT((nNIA=AE307)*(nCUENTA=1)*(COUNTIF(CONFIG_ASIGNATURAS!$B$7:$B$27,nASIG)&gt;0)*(nNOTA))/SUMPRODUCT((nNIA=AE307)*(nCUENTA=1)*(COUNTIF(CONFIG_ASIGNATURAS!$B$7:$B$27,nASIG)&gt;0)*1),"")))</f>
        <v/>
      </c>
    </row>
    <row r="308" spans="2:35" x14ac:dyDescent="0.2">
      <c r="B308" t="str">
        <f>IF(A308="","",IF(A308="[FÓRMULA MANUAL]","",IFERROR(AVERAGEIFS(nNOTA,nNIA,A308,nCUENTA,1,nASIG,"Lenguaje Musical"),"")))</f>
        <v/>
      </c>
      <c r="C308" t="str">
        <f>IF(A308="","",IF(A308="[FÓRMULA MANUAL]","",IFERROR(AVERAGEIFS(nNOTA,nNIA,A308,nCUENTA,1,nASIG,"Orquesta/Banda/Conjunto"),"")))</f>
        <v/>
      </c>
      <c r="D308" t="str">
        <f>IF(A308="","",IF(A308="[FÓRMULA MANUAL]","",IFERROR(AVERAGEIFS(nNOTA,nNIA,A308,nCUENTA,1,nASIG,"Conjunto"),"")))</f>
        <v/>
      </c>
      <c r="E308" t="str">
        <f>IF(A308="","",IF(A308="[FÓRMULA MANUAL]","",IFERROR(SUMPRODUCT((nNIA=A308)*(nCUENTA=1)*(COUNTIF(CONFIG_ASIGNATURAS!$B$7:$B$27,nASIG)&gt;0)*(nNOTA))/SUMPRODUCT((nNIA=A308)*(nCUENTA=1)*(COUNTIF(CONFIG_ASIGNATURAS!$B$7:$B$27,nASIG)&gt;0)*1),"")))</f>
        <v/>
      </c>
      <c r="H308" t="str">
        <f>IF(G308="","",IF(G308="[FÓRMULA MANUAL]","",IFERROR(AVERAGEIFS(nNOTA,nNIA,G308,nCUENTA,1,nASIG,"Lenguaje Musical"),"")))</f>
        <v/>
      </c>
      <c r="I308" t="str">
        <f>IF(G308="","",IF(G308="[FÓRMULA MANUAL]","",IFERROR(AVERAGEIFS(nNOTA,nNIA,G308,nCUENTA,1,nASIG,"Orquesta/Banda/Conjunto"),"")))</f>
        <v/>
      </c>
      <c r="J308" t="str">
        <f>IF(G308="","",IF(G308="[FÓRMULA MANUAL]","",IFERROR(AVERAGEIFS(nNOTA,nNIA,G308,nCUENTA,1,nASIG,"Conjunto"),"")))</f>
        <v/>
      </c>
      <c r="K308" t="str">
        <f>IF(G308="","",IF(G308="[FÓRMULA MANUAL]","",IFERROR(SUMPRODUCT((nNIA=G308)*(nCUENTA=1)*(COUNTIF(CONFIG_ASIGNATURAS!$B$7:$B$27,nASIG)&gt;0)*(nNOTA))/SUMPRODUCT((nNIA=G308)*(nCUENTA=1)*(COUNTIF(CONFIG_ASIGNATURAS!$B$7:$B$27,nASIG)&gt;0)*1),"")))</f>
        <v/>
      </c>
      <c r="N308" t="str">
        <f>IF(M308="","",IF(M308="[FÓRMULA MANUAL]","",IFERROR(AVERAGEIFS(nNOTA,nNIA,M308,nCUENTA,1,nASIG,"Armonía"),"")))</f>
        <v/>
      </c>
      <c r="O308" t="str">
        <f>IF(M308="","",IF(M308="[FÓRMULA MANUAL]","",IFERROR(AVERAGEIFS(nNOTA,nNIA,M308,nCUENTA,1,nASIG,"Orquesta/Banda/Conjunto"),"")))</f>
        <v/>
      </c>
      <c r="P308" t="str">
        <f>IF(M308="","",IF(M308="[FÓRMULA MANUAL]","",IFERROR(AVERAGEIFS(nNOTA,nNIA,M308,nCUENTA,1,nASIG,"Música de Cámara"),"")))</f>
        <v/>
      </c>
      <c r="Q308" t="str">
        <f>IF(M308="","",IF(M308="[FÓRMULA MANUAL]","",IFERROR(SUMPRODUCT((nNIA=M308)*(nCUENTA=1)*(COUNTIF(CONFIG_ASIGNATURAS!$B$7:$B$27,nASIG)&gt;0)*(nNOTA))/SUMPRODUCT((nNIA=M308)*(nCUENTA=1)*(COUNTIF(CONFIG_ASIGNATURAS!$B$7:$B$27,nASIG)&gt;0)*1),"")))</f>
        <v/>
      </c>
      <c r="T308" t="str">
        <f>IF(S308="","",IF(S308="[FÓRMULA MANUAL]","",IFERROR(AVERAGEIFS(nNOTA,nNIA,S308,nCUENTA,1,nASIG,"Armonía"),"")))</f>
        <v/>
      </c>
      <c r="U308" t="str">
        <f>IF(S308="","",IF(S308="[FÓRMULA MANUAL]","",IFERROR(AVERAGEIFS(nNOTA,nNIA,S308,nCUENTA,1,nASIG,"Orquesta/Banda/Conjunto"),"")))</f>
        <v/>
      </c>
      <c r="V308" t="str">
        <f>IF(S308="","",IF(S308="[FÓRMULA MANUAL]","",IFERROR(AVERAGEIFS(nNOTA,nNIA,S308,nCUENTA,1,nASIG,"Música de Cámara"),"")))</f>
        <v/>
      </c>
      <c r="W308" t="str">
        <f>IF(S308="","",IF(S308="[FÓRMULA MANUAL]","",IFERROR(SUMPRODUCT((nNIA=S308)*(nCUENTA=1)*(COUNTIF(CONFIG_ASIGNATURAS!$B$7:$B$27,nASIG)&gt;0)*(nNOTA))/SUMPRODUCT((nNIA=S308)*(nCUENTA=1)*(COUNTIF(CONFIG_ASIGNATURAS!$B$7:$B$27,nASIG)&gt;0)*1),"")))</f>
        <v/>
      </c>
      <c r="Z308" t="str">
        <f>IF(Y308="","",IF(Y308="[FÓRMULA MANUAL]","",IFERROR(AVERAGEIFS(nNOTA,nNIA,Y308,nCUENTA,1,nASIG,"Análisis"),"")))</f>
        <v/>
      </c>
      <c r="AA308" t="str">
        <f>IF(Y308="","",IF(Y308="[FÓRMULA MANUAL]","",IFERROR(AVERAGEIFS(nNOTA,nNIA,Y308,nCUENTA,1,nASIG,"Orquesta/Banda/Conjunto"),"")))</f>
        <v/>
      </c>
      <c r="AB308" t="str">
        <f>IF(Y308="","",IF(Y308="[FÓRMULA MANUAL]","",IFERROR(AVERAGEIFS(nNOTA,nNIA,Y308,nCUENTA,1,nASIG,"Música de Cámara"),"")))</f>
        <v/>
      </c>
      <c r="AC308" t="str">
        <f>IF(Y308="","",IF(Y308="[FÓRMULA MANUAL]","",IFERROR(SUMPRODUCT((nNIA=Y308)*(nCUENTA=1)*(COUNTIF(CONFIG_ASIGNATURAS!$B$7:$B$27,nASIG)&gt;0)*(nNOTA))/SUMPRODUCT((nNIA=Y308)*(nCUENTA=1)*(COUNTIF(CONFIG_ASIGNATURAS!$B$7:$B$27,nASIG)&gt;0)*1),"")))</f>
        <v/>
      </c>
      <c r="AF308" t="str">
        <f>IF(AE308="","",IF(AE308="[FÓRMULA MANUAL]","",IFERROR(AVERAGEIFS(nNOTA,nNIA,AE308,nCUENTA,1,nASIG,"Análisis"),"")))</f>
        <v/>
      </c>
      <c r="AG308" t="str">
        <f>IF(AE308="","",IF(AE308="[FÓRMULA MANUAL]","",IFERROR(AVERAGEIFS(nNOTA,nNIA,AE308,nCUENTA,1,nASIG,"Orquesta/Banda/Conjunto"),"")))</f>
        <v/>
      </c>
      <c r="AH308" t="str">
        <f>IF(AE308="","",IF(AE308="[FÓRMULA MANUAL]","",IFERROR(AVERAGEIFS(nNOTA,nNIA,AE308,nCUENTA,1,nASIG,"Música de Cámara"),"")))</f>
        <v/>
      </c>
      <c r="AI308" t="str">
        <f>IF(AE308="","",IF(AE308="[FÓRMULA MANUAL]","",IFERROR(SUMPRODUCT((nNIA=AE308)*(nCUENTA=1)*(COUNTIF(CONFIG_ASIGNATURAS!$B$7:$B$27,nASIG)&gt;0)*(nNOTA))/SUMPRODUCT((nNIA=AE308)*(nCUENTA=1)*(COUNTIF(CONFIG_ASIGNATURAS!$B$7:$B$27,nASIG)&gt;0)*1),"")))</f>
        <v/>
      </c>
    </row>
    <row r="309" spans="2:35" x14ac:dyDescent="0.2">
      <c r="B309" t="str">
        <f>IF(A309="","",IF(A309="[FÓRMULA MANUAL]","",IFERROR(AVERAGEIFS(nNOTA,nNIA,A309,nCUENTA,1,nASIG,"Lenguaje Musical"),"")))</f>
        <v/>
      </c>
      <c r="C309" t="str">
        <f>IF(A309="","",IF(A309="[FÓRMULA MANUAL]","",IFERROR(AVERAGEIFS(nNOTA,nNIA,A309,nCUENTA,1,nASIG,"Orquesta/Banda/Conjunto"),"")))</f>
        <v/>
      </c>
      <c r="D309" t="str">
        <f>IF(A309="","",IF(A309="[FÓRMULA MANUAL]","",IFERROR(AVERAGEIFS(nNOTA,nNIA,A309,nCUENTA,1,nASIG,"Conjunto"),"")))</f>
        <v/>
      </c>
      <c r="E309" t="str">
        <f>IF(A309="","",IF(A309="[FÓRMULA MANUAL]","",IFERROR(SUMPRODUCT((nNIA=A309)*(nCUENTA=1)*(COUNTIF(CONFIG_ASIGNATURAS!$B$7:$B$27,nASIG)&gt;0)*(nNOTA))/SUMPRODUCT((nNIA=A309)*(nCUENTA=1)*(COUNTIF(CONFIG_ASIGNATURAS!$B$7:$B$27,nASIG)&gt;0)*1),"")))</f>
        <v/>
      </c>
      <c r="H309" t="str">
        <f>IF(G309="","",IF(G309="[FÓRMULA MANUAL]","",IFERROR(AVERAGEIFS(nNOTA,nNIA,G309,nCUENTA,1,nASIG,"Lenguaje Musical"),"")))</f>
        <v/>
      </c>
      <c r="I309" t="str">
        <f>IF(G309="","",IF(G309="[FÓRMULA MANUAL]","",IFERROR(AVERAGEIFS(nNOTA,nNIA,G309,nCUENTA,1,nASIG,"Orquesta/Banda/Conjunto"),"")))</f>
        <v/>
      </c>
      <c r="J309" t="str">
        <f>IF(G309="","",IF(G309="[FÓRMULA MANUAL]","",IFERROR(AVERAGEIFS(nNOTA,nNIA,G309,nCUENTA,1,nASIG,"Conjunto"),"")))</f>
        <v/>
      </c>
      <c r="K309" t="str">
        <f>IF(G309="","",IF(G309="[FÓRMULA MANUAL]","",IFERROR(SUMPRODUCT((nNIA=G309)*(nCUENTA=1)*(COUNTIF(CONFIG_ASIGNATURAS!$B$7:$B$27,nASIG)&gt;0)*(nNOTA))/SUMPRODUCT((nNIA=G309)*(nCUENTA=1)*(COUNTIF(CONFIG_ASIGNATURAS!$B$7:$B$27,nASIG)&gt;0)*1),"")))</f>
        <v/>
      </c>
      <c r="N309" t="str">
        <f>IF(M309="","",IF(M309="[FÓRMULA MANUAL]","",IFERROR(AVERAGEIFS(nNOTA,nNIA,M309,nCUENTA,1,nASIG,"Armonía"),"")))</f>
        <v/>
      </c>
      <c r="O309" t="str">
        <f>IF(M309="","",IF(M309="[FÓRMULA MANUAL]","",IFERROR(AVERAGEIFS(nNOTA,nNIA,M309,nCUENTA,1,nASIG,"Orquesta/Banda/Conjunto"),"")))</f>
        <v/>
      </c>
      <c r="P309" t="str">
        <f>IF(M309="","",IF(M309="[FÓRMULA MANUAL]","",IFERROR(AVERAGEIFS(nNOTA,nNIA,M309,nCUENTA,1,nASIG,"Música de Cámara"),"")))</f>
        <v/>
      </c>
      <c r="Q309" t="str">
        <f>IF(M309="","",IF(M309="[FÓRMULA MANUAL]","",IFERROR(SUMPRODUCT((nNIA=M309)*(nCUENTA=1)*(COUNTIF(CONFIG_ASIGNATURAS!$B$7:$B$27,nASIG)&gt;0)*(nNOTA))/SUMPRODUCT((nNIA=M309)*(nCUENTA=1)*(COUNTIF(CONFIG_ASIGNATURAS!$B$7:$B$27,nASIG)&gt;0)*1),"")))</f>
        <v/>
      </c>
      <c r="T309" t="str">
        <f>IF(S309="","",IF(S309="[FÓRMULA MANUAL]","",IFERROR(AVERAGEIFS(nNOTA,nNIA,S309,nCUENTA,1,nASIG,"Armonía"),"")))</f>
        <v/>
      </c>
      <c r="U309" t="str">
        <f>IF(S309="","",IF(S309="[FÓRMULA MANUAL]","",IFERROR(AVERAGEIFS(nNOTA,nNIA,S309,nCUENTA,1,nASIG,"Orquesta/Banda/Conjunto"),"")))</f>
        <v/>
      </c>
      <c r="V309" t="str">
        <f>IF(S309="","",IF(S309="[FÓRMULA MANUAL]","",IFERROR(AVERAGEIFS(nNOTA,nNIA,S309,nCUENTA,1,nASIG,"Música de Cámara"),"")))</f>
        <v/>
      </c>
      <c r="W309" t="str">
        <f>IF(S309="","",IF(S309="[FÓRMULA MANUAL]","",IFERROR(SUMPRODUCT((nNIA=S309)*(nCUENTA=1)*(COUNTIF(CONFIG_ASIGNATURAS!$B$7:$B$27,nASIG)&gt;0)*(nNOTA))/SUMPRODUCT((nNIA=S309)*(nCUENTA=1)*(COUNTIF(CONFIG_ASIGNATURAS!$B$7:$B$27,nASIG)&gt;0)*1),"")))</f>
        <v/>
      </c>
      <c r="Z309" t="str">
        <f>IF(Y309="","",IF(Y309="[FÓRMULA MANUAL]","",IFERROR(AVERAGEIFS(nNOTA,nNIA,Y309,nCUENTA,1,nASIG,"Análisis"),"")))</f>
        <v/>
      </c>
      <c r="AA309" t="str">
        <f>IF(Y309="","",IF(Y309="[FÓRMULA MANUAL]","",IFERROR(AVERAGEIFS(nNOTA,nNIA,Y309,nCUENTA,1,nASIG,"Orquesta/Banda/Conjunto"),"")))</f>
        <v/>
      </c>
      <c r="AB309" t="str">
        <f>IF(Y309="","",IF(Y309="[FÓRMULA MANUAL]","",IFERROR(AVERAGEIFS(nNOTA,nNIA,Y309,nCUENTA,1,nASIG,"Música de Cámara"),"")))</f>
        <v/>
      </c>
      <c r="AC309" t="str">
        <f>IF(Y309="","",IF(Y309="[FÓRMULA MANUAL]","",IFERROR(SUMPRODUCT((nNIA=Y309)*(nCUENTA=1)*(COUNTIF(CONFIG_ASIGNATURAS!$B$7:$B$27,nASIG)&gt;0)*(nNOTA))/SUMPRODUCT((nNIA=Y309)*(nCUENTA=1)*(COUNTIF(CONFIG_ASIGNATURAS!$B$7:$B$27,nASIG)&gt;0)*1),"")))</f>
        <v/>
      </c>
      <c r="AF309" t="str">
        <f>IF(AE309="","",IF(AE309="[FÓRMULA MANUAL]","",IFERROR(AVERAGEIFS(nNOTA,nNIA,AE309,nCUENTA,1,nASIG,"Análisis"),"")))</f>
        <v/>
      </c>
      <c r="AG309" t="str">
        <f>IF(AE309="","",IF(AE309="[FÓRMULA MANUAL]","",IFERROR(AVERAGEIFS(nNOTA,nNIA,AE309,nCUENTA,1,nASIG,"Orquesta/Banda/Conjunto"),"")))</f>
        <v/>
      </c>
      <c r="AH309" t="str">
        <f>IF(AE309="","",IF(AE309="[FÓRMULA MANUAL]","",IFERROR(AVERAGEIFS(nNOTA,nNIA,AE309,nCUENTA,1,nASIG,"Música de Cámara"),"")))</f>
        <v/>
      </c>
      <c r="AI309" t="str">
        <f>IF(AE309="","",IF(AE309="[FÓRMULA MANUAL]","",IFERROR(SUMPRODUCT((nNIA=AE309)*(nCUENTA=1)*(COUNTIF(CONFIG_ASIGNATURAS!$B$7:$B$27,nASIG)&gt;0)*(nNOTA))/SUMPRODUCT((nNIA=AE309)*(nCUENTA=1)*(COUNTIF(CONFIG_ASIGNATURAS!$B$7:$B$27,nASIG)&gt;0)*1),"")))</f>
        <v/>
      </c>
    </row>
    <row r="310" spans="2:35" x14ac:dyDescent="0.2">
      <c r="B310" t="str">
        <f>IF(A310="","",IF(A310="[FÓRMULA MANUAL]","",IFERROR(AVERAGEIFS(nNOTA,nNIA,A310,nCUENTA,1,nASIG,"Lenguaje Musical"),"")))</f>
        <v/>
      </c>
      <c r="C310" t="str">
        <f>IF(A310="","",IF(A310="[FÓRMULA MANUAL]","",IFERROR(AVERAGEIFS(nNOTA,nNIA,A310,nCUENTA,1,nASIG,"Orquesta/Banda/Conjunto"),"")))</f>
        <v/>
      </c>
      <c r="D310" t="str">
        <f>IF(A310="","",IF(A310="[FÓRMULA MANUAL]","",IFERROR(AVERAGEIFS(nNOTA,nNIA,A310,nCUENTA,1,nASIG,"Conjunto"),"")))</f>
        <v/>
      </c>
      <c r="E310" t="str">
        <f>IF(A310="","",IF(A310="[FÓRMULA MANUAL]","",IFERROR(SUMPRODUCT((nNIA=A310)*(nCUENTA=1)*(COUNTIF(CONFIG_ASIGNATURAS!$B$7:$B$27,nASIG)&gt;0)*(nNOTA))/SUMPRODUCT((nNIA=A310)*(nCUENTA=1)*(COUNTIF(CONFIG_ASIGNATURAS!$B$7:$B$27,nASIG)&gt;0)*1),"")))</f>
        <v/>
      </c>
      <c r="H310" t="str">
        <f>IF(G310="","",IF(G310="[FÓRMULA MANUAL]","",IFERROR(AVERAGEIFS(nNOTA,nNIA,G310,nCUENTA,1,nASIG,"Lenguaje Musical"),"")))</f>
        <v/>
      </c>
      <c r="I310" t="str">
        <f>IF(G310="","",IF(G310="[FÓRMULA MANUAL]","",IFERROR(AVERAGEIFS(nNOTA,nNIA,G310,nCUENTA,1,nASIG,"Orquesta/Banda/Conjunto"),"")))</f>
        <v/>
      </c>
      <c r="J310" t="str">
        <f>IF(G310="","",IF(G310="[FÓRMULA MANUAL]","",IFERROR(AVERAGEIFS(nNOTA,nNIA,G310,nCUENTA,1,nASIG,"Conjunto"),"")))</f>
        <v/>
      </c>
      <c r="K310" t="str">
        <f>IF(G310="","",IF(G310="[FÓRMULA MANUAL]","",IFERROR(SUMPRODUCT((nNIA=G310)*(nCUENTA=1)*(COUNTIF(CONFIG_ASIGNATURAS!$B$7:$B$27,nASIG)&gt;0)*(nNOTA))/SUMPRODUCT((nNIA=G310)*(nCUENTA=1)*(COUNTIF(CONFIG_ASIGNATURAS!$B$7:$B$27,nASIG)&gt;0)*1),"")))</f>
        <v/>
      </c>
      <c r="N310" t="str">
        <f>IF(M310="","",IF(M310="[FÓRMULA MANUAL]","",IFERROR(AVERAGEIFS(nNOTA,nNIA,M310,nCUENTA,1,nASIG,"Armonía"),"")))</f>
        <v/>
      </c>
      <c r="O310" t="str">
        <f>IF(M310="","",IF(M310="[FÓRMULA MANUAL]","",IFERROR(AVERAGEIFS(nNOTA,nNIA,M310,nCUENTA,1,nASIG,"Orquesta/Banda/Conjunto"),"")))</f>
        <v/>
      </c>
      <c r="P310" t="str">
        <f>IF(M310="","",IF(M310="[FÓRMULA MANUAL]","",IFERROR(AVERAGEIFS(nNOTA,nNIA,M310,nCUENTA,1,nASIG,"Música de Cámara"),"")))</f>
        <v/>
      </c>
      <c r="Q310" t="str">
        <f>IF(M310="","",IF(M310="[FÓRMULA MANUAL]","",IFERROR(SUMPRODUCT((nNIA=M310)*(nCUENTA=1)*(COUNTIF(CONFIG_ASIGNATURAS!$B$7:$B$27,nASIG)&gt;0)*(nNOTA))/SUMPRODUCT((nNIA=M310)*(nCUENTA=1)*(COUNTIF(CONFIG_ASIGNATURAS!$B$7:$B$27,nASIG)&gt;0)*1),"")))</f>
        <v/>
      </c>
      <c r="T310" t="str">
        <f>IF(S310="","",IF(S310="[FÓRMULA MANUAL]","",IFERROR(AVERAGEIFS(nNOTA,nNIA,S310,nCUENTA,1,nASIG,"Armonía"),"")))</f>
        <v/>
      </c>
      <c r="U310" t="str">
        <f>IF(S310="","",IF(S310="[FÓRMULA MANUAL]","",IFERROR(AVERAGEIFS(nNOTA,nNIA,S310,nCUENTA,1,nASIG,"Orquesta/Banda/Conjunto"),"")))</f>
        <v/>
      </c>
      <c r="V310" t="str">
        <f>IF(S310="","",IF(S310="[FÓRMULA MANUAL]","",IFERROR(AVERAGEIFS(nNOTA,nNIA,S310,nCUENTA,1,nASIG,"Música de Cámara"),"")))</f>
        <v/>
      </c>
      <c r="W310" t="str">
        <f>IF(S310="","",IF(S310="[FÓRMULA MANUAL]","",IFERROR(SUMPRODUCT((nNIA=S310)*(nCUENTA=1)*(COUNTIF(CONFIG_ASIGNATURAS!$B$7:$B$27,nASIG)&gt;0)*(nNOTA))/SUMPRODUCT((nNIA=S310)*(nCUENTA=1)*(COUNTIF(CONFIG_ASIGNATURAS!$B$7:$B$27,nASIG)&gt;0)*1),"")))</f>
        <v/>
      </c>
      <c r="Z310" t="str">
        <f>IF(Y310="","",IF(Y310="[FÓRMULA MANUAL]","",IFERROR(AVERAGEIFS(nNOTA,nNIA,Y310,nCUENTA,1,nASIG,"Análisis"),"")))</f>
        <v/>
      </c>
      <c r="AA310" t="str">
        <f>IF(Y310="","",IF(Y310="[FÓRMULA MANUAL]","",IFERROR(AVERAGEIFS(nNOTA,nNIA,Y310,nCUENTA,1,nASIG,"Orquesta/Banda/Conjunto"),"")))</f>
        <v/>
      </c>
      <c r="AB310" t="str">
        <f>IF(Y310="","",IF(Y310="[FÓRMULA MANUAL]","",IFERROR(AVERAGEIFS(nNOTA,nNIA,Y310,nCUENTA,1,nASIG,"Música de Cámara"),"")))</f>
        <v/>
      </c>
      <c r="AC310" t="str">
        <f>IF(Y310="","",IF(Y310="[FÓRMULA MANUAL]","",IFERROR(SUMPRODUCT((nNIA=Y310)*(nCUENTA=1)*(COUNTIF(CONFIG_ASIGNATURAS!$B$7:$B$27,nASIG)&gt;0)*(nNOTA))/SUMPRODUCT((nNIA=Y310)*(nCUENTA=1)*(COUNTIF(CONFIG_ASIGNATURAS!$B$7:$B$27,nASIG)&gt;0)*1),"")))</f>
        <v/>
      </c>
      <c r="AF310" t="str">
        <f>IF(AE310="","",IF(AE310="[FÓRMULA MANUAL]","",IFERROR(AVERAGEIFS(nNOTA,nNIA,AE310,nCUENTA,1,nASIG,"Análisis"),"")))</f>
        <v/>
      </c>
      <c r="AG310" t="str">
        <f>IF(AE310="","",IF(AE310="[FÓRMULA MANUAL]","",IFERROR(AVERAGEIFS(nNOTA,nNIA,AE310,nCUENTA,1,nASIG,"Orquesta/Banda/Conjunto"),"")))</f>
        <v/>
      </c>
      <c r="AH310" t="str">
        <f>IF(AE310="","",IF(AE310="[FÓRMULA MANUAL]","",IFERROR(AVERAGEIFS(nNOTA,nNIA,AE310,nCUENTA,1,nASIG,"Música de Cámara"),"")))</f>
        <v/>
      </c>
      <c r="AI310" t="str">
        <f>IF(AE310="","",IF(AE310="[FÓRMULA MANUAL]","",IFERROR(SUMPRODUCT((nNIA=AE310)*(nCUENTA=1)*(COUNTIF(CONFIG_ASIGNATURAS!$B$7:$B$27,nASIG)&gt;0)*(nNOTA))/SUMPRODUCT((nNIA=AE310)*(nCUENTA=1)*(COUNTIF(CONFIG_ASIGNATURAS!$B$7:$B$27,nASIG)&gt;0)*1),"")))</f>
        <v/>
      </c>
    </row>
    <row r="311" spans="2:35" x14ac:dyDescent="0.2">
      <c r="B311" t="str">
        <f>IF(A311="","",IF(A311="[FÓRMULA MANUAL]","",IFERROR(AVERAGEIFS(nNOTA,nNIA,A311,nCUENTA,1,nASIG,"Lenguaje Musical"),"")))</f>
        <v/>
      </c>
      <c r="C311" t="str">
        <f>IF(A311="","",IF(A311="[FÓRMULA MANUAL]","",IFERROR(AVERAGEIFS(nNOTA,nNIA,A311,nCUENTA,1,nASIG,"Orquesta/Banda/Conjunto"),"")))</f>
        <v/>
      </c>
      <c r="D311" t="str">
        <f>IF(A311="","",IF(A311="[FÓRMULA MANUAL]","",IFERROR(AVERAGEIFS(nNOTA,nNIA,A311,nCUENTA,1,nASIG,"Conjunto"),"")))</f>
        <v/>
      </c>
      <c r="E311" t="str">
        <f>IF(A311="","",IF(A311="[FÓRMULA MANUAL]","",IFERROR(SUMPRODUCT((nNIA=A311)*(nCUENTA=1)*(COUNTIF(CONFIG_ASIGNATURAS!$B$7:$B$27,nASIG)&gt;0)*(nNOTA))/SUMPRODUCT((nNIA=A311)*(nCUENTA=1)*(COUNTIF(CONFIG_ASIGNATURAS!$B$7:$B$27,nASIG)&gt;0)*1),"")))</f>
        <v/>
      </c>
      <c r="H311" t="str">
        <f>IF(G311="","",IF(G311="[FÓRMULA MANUAL]","",IFERROR(AVERAGEIFS(nNOTA,nNIA,G311,nCUENTA,1,nASIG,"Lenguaje Musical"),"")))</f>
        <v/>
      </c>
      <c r="I311" t="str">
        <f>IF(G311="","",IF(G311="[FÓRMULA MANUAL]","",IFERROR(AVERAGEIFS(nNOTA,nNIA,G311,nCUENTA,1,nASIG,"Orquesta/Banda/Conjunto"),"")))</f>
        <v/>
      </c>
      <c r="J311" t="str">
        <f>IF(G311="","",IF(G311="[FÓRMULA MANUAL]","",IFERROR(AVERAGEIFS(nNOTA,nNIA,G311,nCUENTA,1,nASIG,"Conjunto"),"")))</f>
        <v/>
      </c>
      <c r="K311" t="str">
        <f>IF(G311="","",IF(G311="[FÓRMULA MANUAL]","",IFERROR(SUMPRODUCT((nNIA=G311)*(nCUENTA=1)*(COUNTIF(CONFIG_ASIGNATURAS!$B$7:$B$27,nASIG)&gt;0)*(nNOTA))/SUMPRODUCT((nNIA=G311)*(nCUENTA=1)*(COUNTIF(CONFIG_ASIGNATURAS!$B$7:$B$27,nASIG)&gt;0)*1),"")))</f>
        <v/>
      </c>
      <c r="N311" t="str">
        <f>IF(M311="","",IF(M311="[FÓRMULA MANUAL]","",IFERROR(AVERAGEIFS(nNOTA,nNIA,M311,nCUENTA,1,nASIG,"Armonía"),"")))</f>
        <v/>
      </c>
      <c r="O311" t="str">
        <f>IF(M311="","",IF(M311="[FÓRMULA MANUAL]","",IFERROR(AVERAGEIFS(nNOTA,nNIA,M311,nCUENTA,1,nASIG,"Orquesta/Banda/Conjunto"),"")))</f>
        <v/>
      </c>
      <c r="P311" t="str">
        <f>IF(M311="","",IF(M311="[FÓRMULA MANUAL]","",IFERROR(AVERAGEIFS(nNOTA,nNIA,M311,nCUENTA,1,nASIG,"Música de Cámara"),"")))</f>
        <v/>
      </c>
      <c r="Q311" t="str">
        <f>IF(M311="","",IF(M311="[FÓRMULA MANUAL]","",IFERROR(SUMPRODUCT((nNIA=M311)*(nCUENTA=1)*(COUNTIF(CONFIG_ASIGNATURAS!$B$7:$B$27,nASIG)&gt;0)*(nNOTA))/SUMPRODUCT((nNIA=M311)*(nCUENTA=1)*(COUNTIF(CONFIG_ASIGNATURAS!$B$7:$B$27,nASIG)&gt;0)*1),"")))</f>
        <v/>
      </c>
      <c r="T311" t="str">
        <f>IF(S311="","",IF(S311="[FÓRMULA MANUAL]","",IFERROR(AVERAGEIFS(nNOTA,nNIA,S311,nCUENTA,1,nASIG,"Armonía"),"")))</f>
        <v/>
      </c>
      <c r="U311" t="str">
        <f>IF(S311="","",IF(S311="[FÓRMULA MANUAL]","",IFERROR(AVERAGEIFS(nNOTA,nNIA,S311,nCUENTA,1,nASIG,"Orquesta/Banda/Conjunto"),"")))</f>
        <v/>
      </c>
      <c r="V311" t="str">
        <f>IF(S311="","",IF(S311="[FÓRMULA MANUAL]","",IFERROR(AVERAGEIFS(nNOTA,nNIA,S311,nCUENTA,1,nASIG,"Música de Cámara"),"")))</f>
        <v/>
      </c>
      <c r="W311" t="str">
        <f>IF(S311="","",IF(S311="[FÓRMULA MANUAL]","",IFERROR(SUMPRODUCT((nNIA=S311)*(nCUENTA=1)*(COUNTIF(CONFIG_ASIGNATURAS!$B$7:$B$27,nASIG)&gt;0)*(nNOTA))/SUMPRODUCT((nNIA=S311)*(nCUENTA=1)*(COUNTIF(CONFIG_ASIGNATURAS!$B$7:$B$27,nASIG)&gt;0)*1),"")))</f>
        <v/>
      </c>
      <c r="Z311" t="str">
        <f>IF(Y311="","",IF(Y311="[FÓRMULA MANUAL]","",IFERROR(AVERAGEIFS(nNOTA,nNIA,Y311,nCUENTA,1,nASIG,"Análisis"),"")))</f>
        <v/>
      </c>
      <c r="AA311" t="str">
        <f>IF(Y311="","",IF(Y311="[FÓRMULA MANUAL]","",IFERROR(AVERAGEIFS(nNOTA,nNIA,Y311,nCUENTA,1,nASIG,"Orquesta/Banda/Conjunto"),"")))</f>
        <v/>
      </c>
      <c r="AB311" t="str">
        <f>IF(Y311="","",IF(Y311="[FÓRMULA MANUAL]","",IFERROR(AVERAGEIFS(nNOTA,nNIA,Y311,nCUENTA,1,nASIG,"Música de Cámara"),"")))</f>
        <v/>
      </c>
      <c r="AC311" t="str">
        <f>IF(Y311="","",IF(Y311="[FÓRMULA MANUAL]","",IFERROR(SUMPRODUCT((nNIA=Y311)*(nCUENTA=1)*(COUNTIF(CONFIG_ASIGNATURAS!$B$7:$B$27,nASIG)&gt;0)*(nNOTA))/SUMPRODUCT((nNIA=Y311)*(nCUENTA=1)*(COUNTIF(CONFIG_ASIGNATURAS!$B$7:$B$27,nASIG)&gt;0)*1),"")))</f>
        <v/>
      </c>
      <c r="AF311" t="str">
        <f>IF(AE311="","",IF(AE311="[FÓRMULA MANUAL]","",IFERROR(AVERAGEIFS(nNOTA,nNIA,AE311,nCUENTA,1,nASIG,"Análisis"),"")))</f>
        <v/>
      </c>
      <c r="AG311" t="str">
        <f>IF(AE311="","",IF(AE311="[FÓRMULA MANUAL]","",IFERROR(AVERAGEIFS(nNOTA,nNIA,AE311,nCUENTA,1,nASIG,"Orquesta/Banda/Conjunto"),"")))</f>
        <v/>
      </c>
      <c r="AH311" t="str">
        <f>IF(AE311="","",IF(AE311="[FÓRMULA MANUAL]","",IFERROR(AVERAGEIFS(nNOTA,nNIA,AE311,nCUENTA,1,nASIG,"Música de Cámara"),"")))</f>
        <v/>
      </c>
      <c r="AI311" t="str">
        <f>IF(AE311="","",IF(AE311="[FÓRMULA MANUAL]","",IFERROR(SUMPRODUCT((nNIA=AE311)*(nCUENTA=1)*(COUNTIF(CONFIG_ASIGNATURAS!$B$7:$B$27,nASIG)&gt;0)*(nNOTA))/SUMPRODUCT((nNIA=AE311)*(nCUENTA=1)*(COUNTIF(CONFIG_ASIGNATURAS!$B$7:$B$27,nASIG)&gt;0)*1),"")))</f>
        <v/>
      </c>
    </row>
    <row r="312" spans="2:35" x14ac:dyDescent="0.2">
      <c r="B312" t="str">
        <f>IF(A312="","",IF(A312="[FÓRMULA MANUAL]","",IFERROR(AVERAGEIFS(nNOTA,nNIA,A312,nCUENTA,1,nASIG,"Lenguaje Musical"),"")))</f>
        <v/>
      </c>
      <c r="C312" t="str">
        <f>IF(A312="","",IF(A312="[FÓRMULA MANUAL]","",IFERROR(AVERAGEIFS(nNOTA,nNIA,A312,nCUENTA,1,nASIG,"Orquesta/Banda/Conjunto"),"")))</f>
        <v/>
      </c>
      <c r="D312" t="str">
        <f>IF(A312="","",IF(A312="[FÓRMULA MANUAL]","",IFERROR(AVERAGEIFS(nNOTA,nNIA,A312,nCUENTA,1,nASIG,"Conjunto"),"")))</f>
        <v/>
      </c>
      <c r="E312" t="str">
        <f>IF(A312="","",IF(A312="[FÓRMULA MANUAL]","",IFERROR(SUMPRODUCT((nNIA=A312)*(nCUENTA=1)*(COUNTIF(CONFIG_ASIGNATURAS!$B$7:$B$27,nASIG)&gt;0)*(nNOTA))/SUMPRODUCT((nNIA=A312)*(nCUENTA=1)*(COUNTIF(CONFIG_ASIGNATURAS!$B$7:$B$27,nASIG)&gt;0)*1),"")))</f>
        <v/>
      </c>
      <c r="H312" t="str">
        <f>IF(G312="","",IF(G312="[FÓRMULA MANUAL]","",IFERROR(AVERAGEIFS(nNOTA,nNIA,G312,nCUENTA,1,nASIG,"Lenguaje Musical"),"")))</f>
        <v/>
      </c>
      <c r="I312" t="str">
        <f>IF(G312="","",IF(G312="[FÓRMULA MANUAL]","",IFERROR(AVERAGEIFS(nNOTA,nNIA,G312,nCUENTA,1,nASIG,"Orquesta/Banda/Conjunto"),"")))</f>
        <v/>
      </c>
      <c r="J312" t="str">
        <f>IF(G312="","",IF(G312="[FÓRMULA MANUAL]","",IFERROR(AVERAGEIFS(nNOTA,nNIA,G312,nCUENTA,1,nASIG,"Conjunto"),"")))</f>
        <v/>
      </c>
      <c r="K312" t="str">
        <f>IF(G312="","",IF(G312="[FÓRMULA MANUAL]","",IFERROR(SUMPRODUCT((nNIA=G312)*(nCUENTA=1)*(COUNTIF(CONFIG_ASIGNATURAS!$B$7:$B$27,nASIG)&gt;0)*(nNOTA))/SUMPRODUCT((nNIA=G312)*(nCUENTA=1)*(COUNTIF(CONFIG_ASIGNATURAS!$B$7:$B$27,nASIG)&gt;0)*1),"")))</f>
        <v/>
      </c>
      <c r="N312" t="str">
        <f>IF(M312="","",IF(M312="[FÓRMULA MANUAL]","",IFERROR(AVERAGEIFS(nNOTA,nNIA,M312,nCUENTA,1,nASIG,"Armonía"),"")))</f>
        <v/>
      </c>
      <c r="O312" t="str">
        <f>IF(M312="","",IF(M312="[FÓRMULA MANUAL]","",IFERROR(AVERAGEIFS(nNOTA,nNIA,M312,nCUENTA,1,nASIG,"Orquesta/Banda/Conjunto"),"")))</f>
        <v/>
      </c>
      <c r="P312" t="str">
        <f>IF(M312="","",IF(M312="[FÓRMULA MANUAL]","",IFERROR(AVERAGEIFS(nNOTA,nNIA,M312,nCUENTA,1,nASIG,"Música de Cámara"),"")))</f>
        <v/>
      </c>
      <c r="Q312" t="str">
        <f>IF(M312="","",IF(M312="[FÓRMULA MANUAL]","",IFERROR(SUMPRODUCT((nNIA=M312)*(nCUENTA=1)*(COUNTIF(CONFIG_ASIGNATURAS!$B$7:$B$27,nASIG)&gt;0)*(nNOTA))/SUMPRODUCT((nNIA=M312)*(nCUENTA=1)*(COUNTIF(CONFIG_ASIGNATURAS!$B$7:$B$27,nASIG)&gt;0)*1),"")))</f>
        <v/>
      </c>
      <c r="T312" t="str">
        <f>IF(S312="","",IF(S312="[FÓRMULA MANUAL]","",IFERROR(AVERAGEIFS(nNOTA,nNIA,S312,nCUENTA,1,nASIG,"Armonía"),"")))</f>
        <v/>
      </c>
      <c r="U312" t="str">
        <f>IF(S312="","",IF(S312="[FÓRMULA MANUAL]","",IFERROR(AVERAGEIFS(nNOTA,nNIA,S312,nCUENTA,1,nASIG,"Orquesta/Banda/Conjunto"),"")))</f>
        <v/>
      </c>
      <c r="V312" t="str">
        <f>IF(S312="","",IF(S312="[FÓRMULA MANUAL]","",IFERROR(AVERAGEIFS(nNOTA,nNIA,S312,nCUENTA,1,nASIG,"Música de Cámara"),"")))</f>
        <v/>
      </c>
      <c r="W312" t="str">
        <f>IF(S312="","",IF(S312="[FÓRMULA MANUAL]","",IFERROR(SUMPRODUCT((nNIA=S312)*(nCUENTA=1)*(COUNTIF(CONFIG_ASIGNATURAS!$B$7:$B$27,nASIG)&gt;0)*(nNOTA))/SUMPRODUCT((nNIA=S312)*(nCUENTA=1)*(COUNTIF(CONFIG_ASIGNATURAS!$B$7:$B$27,nASIG)&gt;0)*1),"")))</f>
        <v/>
      </c>
      <c r="Z312" t="str">
        <f>IF(Y312="","",IF(Y312="[FÓRMULA MANUAL]","",IFERROR(AVERAGEIFS(nNOTA,nNIA,Y312,nCUENTA,1,nASIG,"Análisis"),"")))</f>
        <v/>
      </c>
      <c r="AA312" t="str">
        <f>IF(Y312="","",IF(Y312="[FÓRMULA MANUAL]","",IFERROR(AVERAGEIFS(nNOTA,nNIA,Y312,nCUENTA,1,nASIG,"Orquesta/Banda/Conjunto"),"")))</f>
        <v/>
      </c>
      <c r="AB312" t="str">
        <f>IF(Y312="","",IF(Y312="[FÓRMULA MANUAL]","",IFERROR(AVERAGEIFS(nNOTA,nNIA,Y312,nCUENTA,1,nASIG,"Música de Cámara"),"")))</f>
        <v/>
      </c>
      <c r="AC312" t="str">
        <f>IF(Y312="","",IF(Y312="[FÓRMULA MANUAL]","",IFERROR(SUMPRODUCT((nNIA=Y312)*(nCUENTA=1)*(COUNTIF(CONFIG_ASIGNATURAS!$B$7:$B$27,nASIG)&gt;0)*(nNOTA))/SUMPRODUCT((nNIA=Y312)*(nCUENTA=1)*(COUNTIF(CONFIG_ASIGNATURAS!$B$7:$B$27,nASIG)&gt;0)*1),"")))</f>
        <v/>
      </c>
      <c r="AF312" t="str">
        <f>IF(AE312="","",IF(AE312="[FÓRMULA MANUAL]","",IFERROR(AVERAGEIFS(nNOTA,nNIA,AE312,nCUENTA,1,nASIG,"Análisis"),"")))</f>
        <v/>
      </c>
      <c r="AG312" t="str">
        <f>IF(AE312="","",IF(AE312="[FÓRMULA MANUAL]","",IFERROR(AVERAGEIFS(nNOTA,nNIA,AE312,nCUENTA,1,nASIG,"Orquesta/Banda/Conjunto"),"")))</f>
        <v/>
      </c>
      <c r="AH312" t="str">
        <f>IF(AE312="","",IF(AE312="[FÓRMULA MANUAL]","",IFERROR(AVERAGEIFS(nNOTA,nNIA,AE312,nCUENTA,1,nASIG,"Música de Cámara"),"")))</f>
        <v/>
      </c>
      <c r="AI312" t="str">
        <f>IF(AE312="","",IF(AE312="[FÓRMULA MANUAL]","",IFERROR(SUMPRODUCT((nNIA=AE312)*(nCUENTA=1)*(COUNTIF(CONFIG_ASIGNATURAS!$B$7:$B$27,nASIG)&gt;0)*(nNOTA))/SUMPRODUCT((nNIA=AE312)*(nCUENTA=1)*(COUNTIF(CONFIG_ASIGNATURAS!$B$7:$B$27,nASIG)&gt;0)*1),"")))</f>
        <v/>
      </c>
    </row>
    <row r="313" spans="2:35" x14ac:dyDescent="0.2">
      <c r="B313" t="str">
        <f>IF(A313="","",IF(A313="[FÓRMULA MANUAL]","",IFERROR(AVERAGEIFS(nNOTA,nNIA,A313,nCUENTA,1,nASIG,"Lenguaje Musical"),"")))</f>
        <v/>
      </c>
      <c r="C313" t="str">
        <f>IF(A313="","",IF(A313="[FÓRMULA MANUAL]","",IFERROR(AVERAGEIFS(nNOTA,nNIA,A313,nCUENTA,1,nASIG,"Orquesta/Banda/Conjunto"),"")))</f>
        <v/>
      </c>
      <c r="D313" t="str">
        <f>IF(A313="","",IF(A313="[FÓRMULA MANUAL]","",IFERROR(AVERAGEIFS(nNOTA,nNIA,A313,nCUENTA,1,nASIG,"Conjunto"),"")))</f>
        <v/>
      </c>
      <c r="E313" t="str">
        <f>IF(A313="","",IF(A313="[FÓRMULA MANUAL]","",IFERROR(SUMPRODUCT((nNIA=A313)*(nCUENTA=1)*(COUNTIF(CONFIG_ASIGNATURAS!$B$7:$B$27,nASIG)&gt;0)*(nNOTA))/SUMPRODUCT((nNIA=A313)*(nCUENTA=1)*(COUNTIF(CONFIG_ASIGNATURAS!$B$7:$B$27,nASIG)&gt;0)*1),"")))</f>
        <v/>
      </c>
      <c r="H313" t="str">
        <f>IF(G313="","",IF(G313="[FÓRMULA MANUAL]","",IFERROR(AVERAGEIFS(nNOTA,nNIA,G313,nCUENTA,1,nASIG,"Lenguaje Musical"),"")))</f>
        <v/>
      </c>
      <c r="I313" t="str">
        <f>IF(G313="","",IF(G313="[FÓRMULA MANUAL]","",IFERROR(AVERAGEIFS(nNOTA,nNIA,G313,nCUENTA,1,nASIG,"Orquesta/Banda/Conjunto"),"")))</f>
        <v/>
      </c>
      <c r="J313" t="str">
        <f>IF(G313="","",IF(G313="[FÓRMULA MANUAL]","",IFERROR(AVERAGEIFS(nNOTA,nNIA,G313,nCUENTA,1,nASIG,"Conjunto"),"")))</f>
        <v/>
      </c>
      <c r="K313" t="str">
        <f>IF(G313="","",IF(G313="[FÓRMULA MANUAL]","",IFERROR(SUMPRODUCT((nNIA=G313)*(nCUENTA=1)*(COUNTIF(CONFIG_ASIGNATURAS!$B$7:$B$27,nASIG)&gt;0)*(nNOTA))/SUMPRODUCT((nNIA=G313)*(nCUENTA=1)*(COUNTIF(CONFIG_ASIGNATURAS!$B$7:$B$27,nASIG)&gt;0)*1),"")))</f>
        <v/>
      </c>
      <c r="N313" t="str">
        <f>IF(M313="","",IF(M313="[FÓRMULA MANUAL]","",IFERROR(AVERAGEIFS(nNOTA,nNIA,M313,nCUENTA,1,nASIG,"Armonía"),"")))</f>
        <v/>
      </c>
      <c r="O313" t="str">
        <f>IF(M313="","",IF(M313="[FÓRMULA MANUAL]","",IFERROR(AVERAGEIFS(nNOTA,nNIA,M313,nCUENTA,1,nASIG,"Orquesta/Banda/Conjunto"),"")))</f>
        <v/>
      </c>
      <c r="P313" t="str">
        <f>IF(M313="","",IF(M313="[FÓRMULA MANUAL]","",IFERROR(AVERAGEIFS(nNOTA,nNIA,M313,nCUENTA,1,nASIG,"Música de Cámara"),"")))</f>
        <v/>
      </c>
      <c r="Q313" t="str">
        <f>IF(M313="","",IF(M313="[FÓRMULA MANUAL]","",IFERROR(SUMPRODUCT((nNIA=M313)*(nCUENTA=1)*(COUNTIF(CONFIG_ASIGNATURAS!$B$7:$B$27,nASIG)&gt;0)*(nNOTA))/SUMPRODUCT((nNIA=M313)*(nCUENTA=1)*(COUNTIF(CONFIG_ASIGNATURAS!$B$7:$B$27,nASIG)&gt;0)*1),"")))</f>
        <v/>
      </c>
      <c r="T313" t="str">
        <f>IF(S313="","",IF(S313="[FÓRMULA MANUAL]","",IFERROR(AVERAGEIFS(nNOTA,nNIA,S313,nCUENTA,1,nASIG,"Armonía"),"")))</f>
        <v/>
      </c>
      <c r="U313" t="str">
        <f>IF(S313="","",IF(S313="[FÓRMULA MANUAL]","",IFERROR(AVERAGEIFS(nNOTA,nNIA,S313,nCUENTA,1,nASIG,"Orquesta/Banda/Conjunto"),"")))</f>
        <v/>
      </c>
      <c r="V313" t="str">
        <f>IF(S313="","",IF(S313="[FÓRMULA MANUAL]","",IFERROR(AVERAGEIFS(nNOTA,nNIA,S313,nCUENTA,1,nASIG,"Música de Cámara"),"")))</f>
        <v/>
      </c>
      <c r="W313" t="str">
        <f>IF(S313="","",IF(S313="[FÓRMULA MANUAL]","",IFERROR(SUMPRODUCT((nNIA=S313)*(nCUENTA=1)*(COUNTIF(CONFIG_ASIGNATURAS!$B$7:$B$27,nASIG)&gt;0)*(nNOTA))/SUMPRODUCT((nNIA=S313)*(nCUENTA=1)*(COUNTIF(CONFIG_ASIGNATURAS!$B$7:$B$27,nASIG)&gt;0)*1),"")))</f>
        <v/>
      </c>
      <c r="Z313" t="str">
        <f>IF(Y313="","",IF(Y313="[FÓRMULA MANUAL]","",IFERROR(AVERAGEIFS(nNOTA,nNIA,Y313,nCUENTA,1,nASIG,"Análisis"),"")))</f>
        <v/>
      </c>
      <c r="AA313" t="str">
        <f>IF(Y313="","",IF(Y313="[FÓRMULA MANUAL]","",IFERROR(AVERAGEIFS(nNOTA,nNIA,Y313,nCUENTA,1,nASIG,"Orquesta/Banda/Conjunto"),"")))</f>
        <v/>
      </c>
      <c r="AB313" t="str">
        <f>IF(Y313="","",IF(Y313="[FÓRMULA MANUAL]","",IFERROR(AVERAGEIFS(nNOTA,nNIA,Y313,nCUENTA,1,nASIG,"Música de Cámara"),"")))</f>
        <v/>
      </c>
      <c r="AC313" t="str">
        <f>IF(Y313="","",IF(Y313="[FÓRMULA MANUAL]","",IFERROR(SUMPRODUCT((nNIA=Y313)*(nCUENTA=1)*(COUNTIF(CONFIG_ASIGNATURAS!$B$7:$B$27,nASIG)&gt;0)*(nNOTA))/SUMPRODUCT((nNIA=Y313)*(nCUENTA=1)*(COUNTIF(CONFIG_ASIGNATURAS!$B$7:$B$27,nASIG)&gt;0)*1),"")))</f>
        <v/>
      </c>
      <c r="AF313" t="str">
        <f>IF(AE313="","",IF(AE313="[FÓRMULA MANUAL]","",IFERROR(AVERAGEIFS(nNOTA,nNIA,AE313,nCUENTA,1,nASIG,"Análisis"),"")))</f>
        <v/>
      </c>
      <c r="AG313" t="str">
        <f>IF(AE313="","",IF(AE313="[FÓRMULA MANUAL]","",IFERROR(AVERAGEIFS(nNOTA,nNIA,AE313,nCUENTA,1,nASIG,"Orquesta/Banda/Conjunto"),"")))</f>
        <v/>
      </c>
      <c r="AH313" t="str">
        <f>IF(AE313="","",IF(AE313="[FÓRMULA MANUAL]","",IFERROR(AVERAGEIFS(nNOTA,nNIA,AE313,nCUENTA,1,nASIG,"Música de Cámara"),"")))</f>
        <v/>
      </c>
      <c r="AI313" t="str">
        <f>IF(AE313="","",IF(AE313="[FÓRMULA MANUAL]","",IFERROR(SUMPRODUCT((nNIA=AE313)*(nCUENTA=1)*(COUNTIF(CONFIG_ASIGNATURAS!$B$7:$B$27,nASIG)&gt;0)*(nNOTA))/SUMPRODUCT((nNIA=AE313)*(nCUENTA=1)*(COUNTIF(CONFIG_ASIGNATURAS!$B$7:$B$27,nASIG)&gt;0)*1),"")))</f>
        <v/>
      </c>
    </row>
    <row r="314" spans="2:35" x14ac:dyDescent="0.2">
      <c r="B314" t="str">
        <f>IF(A314="","",IF(A314="[FÓRMULA MANUAL]","",IFERROR(AVERAGEIFS(nNOTA,nNIA,A314,nCUENTA,1,nASIG,"Lenguaje Musical"),"")))</f>
        <v/>
      </c>
      <c r="C314" t="str">
        <f>IF(A314="","",IF(A314="[FÓRMULA MANUAL]","",IFERROR(AVERAGEIFS(nNOTA,nNIA,A314,nCUENTA,1,nASIG,"Orquesta/Banda/Conjunto"),"")))</f>
        <v/>
      </c>
      <c r="D314" t="str">
        <f>IF(A314="","",IF(A314="[FÓRMULA MANUAL]","",IFERROR(AVERAGEIFS(nNOTA,nNIA,A314,nCUENTA,1,nASIG,"Conjunto"),"")))</f>
        <v/>
      </c>
      <c r="E314" t="str">
        <f>IF(A314="","",IF(A314="[FÓRMULA MANUAL]","",IFERROR(SUMPRODUCT((nNIA=A314)*(nCUENTA=1)*(COUNTIF(CONFIG_ASIGNATURAS!$B$7:$B$27,nASIG)&gt;0)*(nNOTA))/SUMPRODUCT((nNIA=A314)*(nCUENTA=1)*(COUNTIF(CONFIG_ASIGNATURAS!$B$7:$B$27,nASIG)&gt;0)*1),"")))</f>
        <v/>
      </c>
      <c r="H314" t="str">
        <f>IF(G314="","",IF(G314="[FÓRMULA MANUAL]","",IFERROR(AVERAGEIFS(nNOTA,nNIA,G314,nCUENTA,1,nASIG,"Lenguaje Musical"),"")))</f>
        <v/>
      </c>
      <c r="I314" t="str">
        <f>IF(G314="","",IF(G314="[FÓRMULA MANUAL]","",IFERROR(AVERAGEIFS(nNOTA,nNIA,G314,nCUENTA,1,nASIG,"Orquesta/Banda/Conjunto"),"")))</f>
        <v/>
      </c>
      <c r="J314" t="str">
        <f>IF(G314="","",IF(G314="[FÓRMULA MANUAL]","",IFERROR(AVERAGEIFS(nNOTA,nNIA,G314,nCUENTA,1,nASIG,"Conjunto"),"")))</f>
        <v/>
      </c>
      <c r="K314" t="str">
        <f>IF(G314="","",IF(G314="[FÓRMULA MANUAL]","",IFERROR(SUMPRODUCT((nNIA=G314)*(nCUENTA=1)*(COUNTIF(CONFIG_ASIGNATURAS!$B$7:$B$27,nASIG)&gt;0)*(nNOTA))/SUMPRODUCT((nNIA=G314)*(nCUENTA=1)*(COUNTIF(CONFIG_ASIGNATURAS!$B$7:$B$27,nASIG)&gt;0)*1),"")))</f>
        <v/>
      </c>
      <c r="N314" t="str">
        <f>IF(M314="","",IF(M314="[FÓRMULA MANUAL]","",IFERROR(AVERAGEIFS(nNOTA,nNIA,M314,nCUENTA,1,nASIG,"Armonía"),"")))</f>
        <v/>
      </c>
      <c r="O314" t="str">
        <f>IF(M314="","",IF(M314="[FÓRMULA MANUAL]","",IFERROR(AVERAGEIFS(nNOTA,nNIA,M314,nCUENTA,1,nASIG,"Orquesta/Banda/Conjunto"),"")))</f>
        <v/>
      </c>
      <c r="P314" t="str">
        <f>IF(M314="","",IF(M314="[FÓRMULA MANUAL]","",IFERROR(AVERAGEIFS(nNOTA,nNIA,M314,nCUENTA,1,nASIG,"Música de Cámara"),"")))</f>
        <v/>
      </c>
      <c r="Q314" t="str">
        <f>IF(M314="","",IF(M314="[FÓRMULA MANUAL]","",IFERROR(SUMPRODUCT((nNIA=M314)*(nCUENTA=1)*(COUNTIF(CONFIG_ASIGNATURAS!$B$7:$B$27,nASIG)&gt;0)*(nNOTA))/SUMPRODUCT((nNIA=M314)*(nCUENTA=1)*(COUNTIF(CONFIG_ASIGNATURAS!$B$7:$B$27,nASIG)&gt;0)*1),"")))</f>
        <v/>
      </c>
      <c r="T314" t="str">
        <f>IF(S314="","",IF(S314="[FÓRMULA MANUAL]","",IFERROR(AVERAGEIFS(nNOTA,nNIA,S314,nCUENTA,1,nASIG,"Armonía"),"")))</f>
        <v/>
      </c>
      <c r="U314" t="str">
        <f>IF(S314="","",IF(S314="[FÓRMULA MANUAL]","",IFERROR(AVERAGEIFS(nNOTA,nNIA,S314,nCUENTA,1,nASIG,"Orquesta/Banda/Conjunto"),"")))</f>
        <v/>
      </c>
      <c r="V314" t="str">
        <f>IF(S314="","",IF(S314="[FÓRMULA MANUAL]","",IFERROR(AVERAGEIFS(nNOTA,nNIA,S314,nCUENTA,1,nASIG,"Música de Cámara"),"")))</f>
        <v/>
      </c>
      <c r="W314" t="str">
        <f>IF(S314="","",IF(S314="[FÓRMULA MANUAL]","",IFERROR(SUMPRODUCT((nNIA=S314)*(nCUENTA=1)*(COUNTIF(CONFIG_ASIGNATURAS!$B$7:$B$27,nASIG)&gt;0)*(nNOTA))/SUMPRODUCT((nNIA=S314)*(nCUENTA=1)*(COUNTIF(CONFIG_ASIGNATURAS!$B$7:$B$27,nASIG)&gt;0)*1),"")))</f>
        <v/>
      </c>
      <c r="Z314" t="str">
        <f>IF(Y314="","",IF(Y314="[FÓRMULA MANUAL]","",IFERROR(AVERAGEIFS(nNOTA,nNIA,Y314,nCUENTA,1,nASIG,"Análisis"),"")))</f>
        <v/>
      </c>
      <c r="AA314" t="str">
        <f>IF(Y314="","",IF(Y314="[FÓRMULA MANUAL]","",IFERROR(AVERAGEIFS(nNOTA,nNIA,Y314,nCUENTA,1,nASIG,"Orquesta/Banda/Conjunto"),"")))</f>
        <v/>
      </c>
      <c r="AB314" t="str">
        <f>IF(Y314="","",IF(Y314="[FÓRMULA MANUAL]","",IFERROR(AVERAGEIFS(nNOTA,nNIA,Y314,nCUENTA,1,nASIG,"Música de Cámara"),"")))</f>
        <v/>
      </c>
      <c r="AC314" t="str">
        <f>IF(Y314="","",IF(Y314="[FÓRMULA MANUAL]","",IFERROR(SUMPRODUCT((nNIA=Y314)*(nCUENTA=1)*(COUNTIF(CONFIG_ASIGNATURAS!$B$7:$B$27,nASIG)&gt;0)*(nNOTA))/SUMPRODUCT((nNIA=Y314)*(nCUENTA=1)*(COUNTIF(CONFIG_ASIGNATURAS!$B$7:$B$27,nASIG)&gt;0)*1),"")))</f>
        <v/>
      </c>
      <c r="AF314" t="str">
        <f>IF(AE314="","",IF(AE314="[FÓRMULA MANUAL]","",IFERROR(AVERAGEIFS(nNOTA,nNIA,AE314,nCUENTA,1,nASIG,"Análisis"),"")))</f>
        <v/>
      </c>
      <c r="AG314" t="str">
        <f>IF(AE314="","",IF(AE314="[FÓRMULA MANUAL]","",IFERROR(AVERAGEIFS(nNOTA,nNIA,AE314,nCUENTA,1,nASIG,"Orquesta/Banda/Conjunto"),"")))</f>
        <v/>
      </c>
      <c r="AH314" t="str">
        <f>IF(AE314="","",IF(AE314="[FÓRMULA MANUAL]","",IFERROR(AVERAGEIFS(nNOTA,nNIA,AE314,nCUENTA,1,nASIG,"Música de Cámara"),"")))</f>
        <v/>
      </c>
      <c r="AI314" t="str">
        <f>IF(AE314="","",IF(AE314="[FÓRMULA MANUAL]","",IFERROR(SUMPRODUCT((nNIA=AE314)*(nCUENTA=1)*(COUNTIF(CONFIG_ASIGNATURAS!$B$7:$B$27,nASIG)&gt;0)*(nNOTA))/SUMPRODUCT((nNIA=AE314)*(nCUENTA=1)*(COUNTIF(CONFIG_ASIGNATURAS!$B$7:$B$27,nASIG)&gt;0)*1),"")))</f>
        <v/>
      </c>
    </row>
    <row r="315" spans="2:35" x14ac:dyDescent="0.2">
      <c r="B315" t="str">
        <f>IF(A315="","",IF(A315="[FÓRMULA MANUAL]","",IFERROR(AVERAGEIFS(nNOTA,nNIA,A315,nCUENTA,1,nASIG,"Lenguaje Musical"),"")))</f>
        <v/>
      </c>
      <c r="C315" t="str">
        <f>IF(A315="","",IF(A315="[FÓRMULA MANUAL]","",IFERROR(AVERAGEIFS(nNOTA,nNIA,A315,nCUENTA,1,nASIG,"Orquesta/Banda/Conjunto"),"")))</f>
        <v/>
      </c>
      <c r="D315" t="str">
        <f>IF(A315="","",IF(A315="[FÓRMULA MANUAL]","",IFERROR(AVERAGEIFS(nNOTA,nNIA,A315,nCUENTA,1,nASIG,"Conjunto"),"")))</f>
        <v/>
      </c>
      <c r="E315" t="str">
        <f>IF(A315="","",IF(A315="[FÓRMULA MANUAL]","",IFERROR(SUMPRODUCT((nNIA=A315)*(nCUENTA=1)*(COUNTIF(CONFIG_ASIGNATURAS!$B$7:$B$27,nASIG)&gt;0)*(nNOTA))/SUMPRODUCT((nNIA=A315)*(nCUENTA=1)*(COUNTIF(CONFIG_ASIGNATURAS!$B$7:$B$27,nASIG)&gt;0)*1),"")))</f>
        <v/>
      </c>
      <c r="H315" t="str">
        <f>IF(G315="","",IF(G315="[FÓRMULA MANUAL]","",IFERROR(AVERAGEIFS(nNOTA,nNIA,G315,nCUENTA,1,nASIG,"Lenguaje Musical"),"")))</f>
        <v/>
      </c>
      <c r="I315" t="str">
        <f>IF(G315="","",IF(G315="[FÓRMULA MANUAL]","",IFERROR(AVERAGEIFS(nNOTA,nNIA,G315,nCUENTA,1,nASIG,"Orquesta/Banda/Conjunto"),"")))</f>
        <v/>
      </c>
      <c r="J315" t="str">
        <f>IF(G315="","",IF(G315="[FÓRMULA MANUAL]","",IFERROR(AVERAGEIFS(nNOTA,nNIA,G315,nCUENTA,1,nASIG,"Conjunto"),"")))</f>
        <v/>
      </c>
      <c r="K315" t="str">
        <f>IF(G315="","",IF(G315="[FÓRMULA MANUAL]","",IFERROR(SUMPRODUCT((nNIA=G315)*(nCUENTA=1)*(COUNTIF(CONFIG_ASIGNATURAS!$B$7:$B$27,nASIG)&gt;0)*(nNOTA))/SUMPRODUCT((nNIA=G315)*(nCUENTA=1)*(COUNTIF(CONFIG_ASIGNATURAS!$B$7:$B$27,nASIG)&gt;0)*1),"")))</f>
        <v/>
      </c>
      <c r="N315" t="str">
        <f>IF(M315="","",IF(M315="[FÓRMULA MANUAL]","",IFERROR(AVERAGEIFS(nNOTA,nNIA,M315,nCUENTA,1,nASIG,"Armonía"),"")))</f>
        <v/>
      </c>
      <c r="O315" t="str">
        <f>IF(M315="","",IF(M315="[FÓRMULA MANUAL]","",IFERROR(AVERAGEIFS(nNOTA,nNIA,M315,nCUENTA,1,nASIG,"Orquesta/Banda/Conjunto"),"")))</f>
        <v/>
      </c>
      <c r="P315" t="str">
        <f>IF(M315="","",IF(M315="[FÓRMULA MANUAL]","",IFERROR(AVERAGEIFS(nNOTA,nNIA,M315,nCUENTA,1,nASIG,"Música de Cámara"),"")))</f>
        <v/>
      </c>
      <c r="Q315" t="str">
        <f>IF(M315="","",IF(M315="[FÓRMULA MANUAL]","",IFERROR(SUMPRODUCT((nNIA=M315)*(nCUENTA=1)*(COUNTIF(CONFIG_ASIGNATURAS!$B$7:$B$27,nASIG)&gt;0)*(nNOTA))/SUMPRODUCT((nNIA=M315)*(nCUENTA=1)*(COUNTIF(CONFIG_ASIGNATURAS!$B$7:$B$27,nASIG)&gt;0)*1),"")))</f>
        <v/>
      </c>
      <c r="T315" t="str">
        <f>IF(S315="","",IF(S315="[FÓRMULA MANUAL]","",IFERROR(AVERAGEIFS(nNOTA,nNIA,S315,nCUENTA,1,nASIG,"Armonía"),"")))</f>
        <v/>
      </c>
      <c r="U315" t="str">
        <f>IF(S315="","",IF(S315="[FÓRMULA MANUAL]","",IFERROR(AVERAGEIFS(nNOTA,nNIA,S315,nCUENTA,1,nASIG,"Orquesta/Banda/Conjunto"),"")))</f>
        <v/>
      </c>
      <c r="V315" t="str">
        <f>IF(S315="","",IF(S315="[FÓRMULA MANUAL]","",IFERROR(AVERAGEIFS(nNOTA,nNIA,S315,nCUENTA,1,nASIG,"Música de Cámara"),"")))</f>
        <v/>
      </c>
      <c r="W315" t="str">
        <f>IF(S315="","",IF(S315="[FÓRMULA MANUAL]","",IFERROR(SUMPRODUCT((nNIA=S315)*(nCUENTA=1)*(COUNTIF(CONFIG_ASIGNATURAS!$B$7:$B$27,nASIG)&gt;0)*(nNOTA))/SUMPRODUCT((nNIA=S315)*(nCUENTA=1)*(COUNTIF(CONFIG_ASIGNATURAS!$B$7:$B$27,nASIG)&gt;0)*1),"")))</f>
        <v/>
      </c>
      <c r="Z315" t="str">
        <f>IF(Y315="","",IF(Y315="[FÓRMULA MANUAL]","",IFERROR(AVERAGEIFS(nNOTA,nNIA,Y315,nCUENTA,1,nASIG,"Análisis"),"")))</f>
        <v/>
      </c>
      <c r="AA315" t="str">
        <f>IF(Y315="","",IF(Y315="[FÓRMULA MANUAL]","",IFERROR(AVERAGEIFS(nNOTA,nNIA,Y315,nCUENTA,1,nASIG,"Orquesta/Banda/Conjunto"),"")))</f>
        <v/>
      </c>
      <c r="AB315" t="str">
        <f>IF(Y315="","",IF(Y315="[FÓRMULA MANUAL]","",IFERROR(AVERAGEIFS(nNOTA,nNIA,Y315,nCUENTA,1,nASIG,"Música de Cámara"),"")))</f>
        <v/>
      </c>
      <c r="AC315" t="str">
        <f>IF(Y315="","",IF(Y315="[FÓRMULA MANUAL]","",IFERROR(SUMPRODUCT((nNIA=Y315)*(nCUENTA=1)*(COUNTIF(CONFIG_ASIGNATURAS!$B$7:$B$27,nASIG)&gt;0)*(nNOTA))/SUMPRODUCT((nNIA=Y315)*(nCUENTA=1)*(COUNTIF(CONFIG_ASIGNATURAS!$B$7:$B$27,nASIG)&gt;0)*1),"")))</f>
        <v/>
      </c>
      <c r="AF315" t="str">
        <f>IF(AE315="","",IF(AE315="[FÓRMULA MANUAL]","",IFERROR(AVERAGEIFS(nNOTA,nNIA,AE315,nCUENTA,1,nASIG,"Análisis"),"")))</f>
        <v/>
      </c>
      <c r="AG315" t="str">
        <f>IF(AE315="","",IF(AE315="[FÓRMULA MANUAL]","",IFERROR(AVERAGEIFS(nNOTA,nNIA,AE315,nCUENTA,1,nASIG,"Orquesta/Banda/Conjunto"),"")))</f>
        <v/>
      </c>
      <c r="AH315" t="str">
        <f>IF(AE315="","",IF(AE315="[FÓRMULA MANUAL]","",IFERROR(AVERAGEIFS(nNOTA,nNIA,AE315,nCUENTA,1,nASIG,"Música de Cámara"),"")))</f>
        <v/>
      </c>
      <c r="AI315" t="str">
        <f>IF(AE315="","",IF(AE315="[FÓRMULA MANUAL]","",IFERROR(SUMPRODUCT((nNIA=AE315)*(nCUENTA=1)*(COUNTIF(CONFIG_ASIGNATURAS!$B$7:$B$27,nASIG)&gt;0)*(nNOTA))/SUMPRODUCT((nNIA=AE315)*(nCUENTA=1)*(COUNTIF(CONFIG_ASIGNATURAS!$B$7:$B$27,nASIG)&gt;0)*1),"")))</f>
        <v/>
      </c>
    </row>
    <row r="316" spans="2:35" x14ac:dyDescent="0.2">
      <c r="B316" t="str">
        <f>IF(A316="","",IF(A316="[FÓRMULA MANUAL]","",IFERROR(AVERAGEIFS(nNOTA,nNIA,A316,nCUENTA,1,nASIG,"Lenguaje Musical"),"")))</f>
        <v/>
      </c>
      <c r="C316" t="str">
        <f>IF(A316="","",IF(A316="[FÓRMULA MANUAL]","",IFERROR(AVERAGEIFS(nNOTA,nNIA,A316,nCUENTA,1,nASIG,"Orquesta/Banda/Conjunto"),"")))</f>
        <v/>
      </c>
      <c r="D316" t="str">
        <f>IF(A316="","",IF(A316="[FÓRMULA MANUAL]","",IFERROR(AVERAGEIFS(nNOTA,nNIA,A316,nCUENTA,1,nASIG,"Conjunto"),"")))</f>
        <v/>
      </c>
      <c r="E316" t="str">
        <f>IF(A316="","",IF(A316="[FÓRMULA MANUAL]","",IFERROR(SUMPRODUCT((nNIA=A316)*(nCUENTA=1)*(COUNTIF(CONFIG_ASIGNATURAS!$B$7:$B$27,nASIG)&gt;0)*(nNOTA))/SUMPRODUCT((nNIA=A316)*(nCUENTA=1)*(COUNTIF(CONFIG_ASIGNATURAS!$B$7:$B$27,nASIG)&gt;0)*1),"")))</f>
        <v/>
      </c>
      <c r="H316" t="str">
        <f>IF(G316="","",IF(G316="[FÓRMULA MANUAL]","",IFERROR(AVERAGEIFS(nNOTA,nNIA,G316,nCUENTA,1,nASIG,"Lenguaje Musical"),"")))</f>
        <v/>
      </c>
      <c r="I316" t="str">
        <f>IF(G316="","",IF(G316="[FÓRMULA MANUAL]","",IFERROR(AVERAGEIFS(nNOTA,nNIA,G316,nCUENTA,1,nASIG,"Orquesta/Banda/Conjunto"),"")))</f>
        <v/>
      </c>
      <c r="J316" t="str">
        <f>IF(G316="","",IF(G316="[FÓRMULA MANUAL]","",IFERROR(AVERAGEIFS(nNOTA,nNIA,G316,nCUENTA,1,nASIG,"Conjunto"),"")))</f>
        <v/>
      </c>
      <c r="K316" t="str">
        <f>IF(G316="","",IF(G316="[FÓRMULA MANUAL]","",IFERROR(SUMPRODUCT((nNIA=G316)*(nCUENTA=1)*(COUNTIF(CONFIG_ASIGNATURAS!$B$7:$B$27,nASIG)&gt;0)*(nNOTA))/SUMPRODUCT((nNIA=G316)*(nCUENTA=1)*(COUNTIF(CONFIG_ASIGNATURAS!$B$7:$B$27,nASIG)&gt;0)*1),"")))</f>
        <v/>
      </c>
      <c r="N316" t="str">
        <f>IF(M316="","",IF(M316="[FÓRMULA MANUAL]","",IFERROR(AVERAGEIFS(nNOTA,nNIA,M316,nCUENTA,1,nASIG,"Armonía"),"")))</f>
        <v/>
      </c>
      <c r="O316" t="str">
        <f>IF(M316="","",IF(M316="[FÓRMULA MANUAL]","",IFERROR(AVERAGEIFS(nNOTA,nNIA,M316,nCUENTA,1,nASIG,"Orquesta/Banda/Conjunto"),"")))</f>
        <v/>
      </c>
      <c r="P316" t="str">
        <f>IF(M316="","",IF(M316="[FÓRMULA MANUAL]","",IFERROR(AVERAGEIFS(nNOTA,nNIA,M316,nCUENTA,1,nASIG,"Música de Cámara"),"")))</f>
        <v/>
      </c>
      <c r="Q316" t="str">
        <f>IF(M316="","",IF(M316="[FÓRMULA MANUAL]","",IFERROR(SUMPRODUCT((nNIA=M316)*(nCUENTA=1)*(COUNTIF(CONFIG_ASIGNATURAS!$B$7:$B$27,nASIG)&gt;0)*(nNOTA))/SUMPRODUCT((nNIA=M316)*(nCUENTA=1)*(COUNTIF(CONFIG_ASIGNATURAS!$B$7:$B$27,nASIG)&gt;0)*1),"")))</f>
        <v/>
      </c>
      <c r="T316" t="str">
        <f>IF(S316="","",IF(S316="[FÓRMULA MANUAL]","",IFERROR(AVERAGEIFS(nNOTA,nNIA,S316,nCUENTA,1,nASIG,"Armonía"),"")))</f>
        <v/>
      </c>
      <c r="U316" t="str">
        <f>IF(S316="","",IF(S316="[FÓRMULA MANUAL]","",IFERROR(AVERAGEIFS(nNOTA,nNIA,S316,nCUENTA,1,nASIG,"Orquesta/Banda/Conjunto"),"")))</f>
        <v/>
      </c>
      <c r="V316" t="str">
        <f>IF(S316="","",IF(S316="[FÓRMULA MANUAL]","",IFERROR(AVERAGEIFS(nNOTA,nNIA,S316,nCUENTA,1,nASIG,"Música de Cámara"),"")))</f>
        <v/>
      </c>
      <c r="W316" t="str">
        <f>IF(S316="","",IF(S316="[FÓRMULA MANUAL]","",IFERROR(SUMPRODUCT((nNIA=S316)*(nCUENTA=1)*(COUNTIF(CONFIG_ASIGNATURAS!$B$7:$B$27,nASIG)&gt;0)*(nNOTA))/SUMPRODUCT((nNIA=S316)*(nCUENTA=1)*(COUNTIF(CONFIG_ASIGNATURAS!$B$7:$B$27,nASIG)&gt;0)*1),"")))</f>
        <v/>
      </c>
      <c r="Z316" t="str">
        <f>IF(Y316="","",IF(Y316="[FÓRMULA MANUAL]","",IFERROR(AVERAGEIFS(nNOTA,nNIA,Y316,nCUENTA,1,nASIG,"Análisis"),"")))</f>
        <v/>
      </c>
      <c r="AA316" t="str">
        <f>IF(Y316="","",IF(Y316="[FÓRMULA MANUAL]","",IFERROR(AVERAGEIFS(nNOTA,nNIA,Y316,nCUENTA,1,nASIG,"Orquesta/Banda/Conjunto"),"")))</f>
        <v/>
      </c>
      <c r="AB316" t="str">
        <f>IF(Y316="","",IF(Y316="[FÓRMULA MANUAL]","",IFERROR(AVERAGEIFS(nNOTA,nNIA,Y316,nCUENTA,1,nASIG,"Música de Cámara"),"")))</f>
        <v/>
      </c>
      <c r="AC316" t="str">
        <f>IF(Y316="","",IF(Y316="[FÓRMULA MANUAL]","",IFERROR(SUMPRODUCT((nNIA=Y316)*(nCUENTA=1)*(COUNTIF(CONFIG_ASIGNATURAS!$B$7:$B$27,nASIG)&gt;0)*(nNOTA))/SUMPRODUCT((nNIA=Y316)*(nCUENTA=1)*(COUNTIF(CONFIG_ASIGNATURAS!$B$7:$B$27,nASIG)&gt;0)*1),"")))</f>
        <v/>
      </c>
      <c r="AF316" t="str">
        <f>IF(AE316="","",IF(AE316="[FÓRMULA MANUAL]","",IFERROR(AVERAGEIFS(nNOTA,nNIA,AE316,nCUENTA,1,nASIG,"Análisis"),"")))</f>
        <v/>
      </c>
      <c r="AG316" t="str">
        <f>IF(AE316="","",IF(AE316="[FÓRMULA MANUAL]","",IFERROR(AVERAGEIFS(nNOTA,nNIA,AE316,nCUENTA,1,nASIG,"Orquesta/Banda/Conjunto"),"")))</f>
        <v/>
      </c>
      <c r="AH316" t="str">
        <f>IF(AE316="","",IF(AE316="[FÓRMULA MANUAL]","",IFERROR(AVERAGEIFS(nNOTA,nNIA,AE316,nCUENTA,1,nASIG,"Música de Cámara"),"")))</f>
        <v/>
      </c>
      <c r="AI316" t="str">
        <f>IF(AE316="","",IF(AE316="[FÓRMULA MANUAL]","",IFERROR(SUMPRODUCT((nNIA=AE316)*(nCUENTA=1)*(COUNTIF(CONFIG_ASIGNATURAS!$B$7:$B$27,nASIG)&gt;0)*(nNOTA))/SUMPRODUCT((nNIA=AE316)*(nCUENTA=1)*(COUNTIF(CONFIG_ASIGNATURAS!$B$7:$B$27,nASIG)&gt;0)*1),"")))</f>
        <v/>
      </c>
    </row>
    <row r="317" spans="2:35" x14ac:dyDescent="0.2">
      <c r="B317" t="str">
        <f>IF(A317="","",IF(A317="[FÓRMULA MANUAL]","",IFERROR(AVERAGEIFS(nNOTA,nNIA,A317,nCUENTA,1,nASIG,"Lenguaje Musical"),"")))</f>
        <v/>
      </c>
      <c r="C317" t="str">
        <f>IF(A317="","",IF(A317="[FÓRMULA MANUAL]","",IFERROR(AVERAGEIFS(nNOTA,nNIA,A317,nCUENTA,1,nASIG,"Orquesta/Banda/Conjunto"),"")))</f>
        <v/>
      </c>
      <c r="D317" t="str">
        <f>IF(A317="","",IF(A317="[FÓRMULA MANUAL]","",IFERROR(AVERAGEIFS(nNOTA,nNIA,A317,nCUENTA,1,nASIG,"Conjunto"),"")))</f>
        <v/>
      </c>
      <c r="E317" t="str">
        <f>IF(A317="","",IF(A317="[FÓRMULA MANUAL]","",IFERROR(SUMPRODUCT((nNIA=A317)*(nCUENTA=1)*(COUNTIF(CONFIG_ASIGNATURAS!$B$7:$B$27,nASIG)&gt;0)*(nNOTA))/SUMPRODUCT((nNIA=A317)*(nCUENTA=1)*(COUNTIF(CONFIG_ASIGNATURAS!$B$7:$B$27,nASIG)&gt;0)*1),"")))</f>
        <v/>
      </c>
      <c r="H317" t="str">
        <f>IF(G317="","",IF(G317="[FÓRMULA MANUAL]","",IFERROR(AVERAGEIFS(nNOTA,nNIA,G317,nCUENTA,1,nASIG,"Lenguaje Musical"),"")))</f>
        <v/>
      </c>
      <c r="I317" t="str">
        <f>IF(G317="","",IF(G317="[FÓRMULA MANUAL]","",IFERROR(AVERAGEIFS(nNOTA,nNIA,G317,nCUENTA,1,nASIG,"Orquesta/Banda/Conjunto"),"")))</f>
        <v/>
      </c>
      <c r="J317" t="str">
        <f>IF(G317="","",IF(G317="[FÓRMULA MANUAL]","",IFERROR(AVERAGEIFS(nNOTA,nNIA,G317,nCUENTA,1,nASIG,"Conjunto"),"")))</f>
        <v/>
      </c>
      <c r="K317" t="str">
        <f>IF(G317="","",IF(G317="[FÓRMULA MANUAL]","",IFERROR(SUMPRODUCT((nNIA=G317)*(nCUENTA=1)*(COUNTIF(CONFIG_ASIGNATURAS!$B$7:$B$27,nASIG)&gt;0)*(nNOTA))/SUMPRODUCT((nNIA=G317)*(nCUENTA=1)*(COUNTIF(CONFIG_ASIGNATURAS!$B$7:$B$27,nASIG)&gt;0)*1),"")))</f>
        <v/>
      </c>
      <c r="N317" t="str">
        <f>IF(M317="","",IF(M317="[FÓRMULA MANUAL]","",IFERROR(AVERAGEIFS(nNOTA,nNIA,M317,nCUENTA,1,nASIG,"Armonía"),"")))</f>
        <v/>
      </c>
      <c r="O317" t="str">
        <f>IF(M317="","",IF(M317="[FÓRMULA MANUAL]","",IFERROR(AVERAGEIFS(nNOTA,nNIA,M317,nCUENTA,1,nASIG,"Orquesta/Banda/Conjunto"),"")))</f>
        <v/>
      </c>
      <c r="P317" t="str">
        <f>IF(M317="","",IF(M317="[FÓRMULA MANUAL]","",IFERROR(AVERAGEIFS(nNOTA,nNIA,M317,nCUENTA,1,nASIG,"Música de Cámara"),"")))</f>
        <v/>
      </c>
      <c r="Q317" t="str">
        <f>IF(M317="","",IF(M317="[FÓRMULA MANUAL]","",IFERROR(SUMPRODUCT((nNIA=M317)*(nCUENTA=1)*(COUNTIF(CONFIG_ASIGNATURAS!$B$7:$B$27,nASIG)&gt;0)*(nNOTA))/SUMPRODUCT((nNIA=M317)*(nCUENTA=1)*(COUNTIF(CONFIG_ASIGNATURAS!$B$7:$B$27,nASIG)&gt;0)*1),"")))</f>
        <v/>
      </c>
      <c r="T317" t="str">
        <f>IF(S317="","",IF(S317="[FÓRMULA MANUAL]","",IFERROR(AVERAGEIFS(nNOTA,nNIA,S317,nCUENTA,1,nASIG,"Armonía"),"")))</f>
        <v/>
      </c>
      <c r="U317" t="str">
        <f>IF(S317="","",IF(S317="[FÓRMULA MANUAL]","",IFERROR(AVERAGEIFS(nNOTA,nNIA,S317,nCUENTA,1,nASIG,"Orquesta/Banda/Conjunto"),"")))</f>
        <v/>
      </c>
      <c r="V317" t="str">
        <f>IF(S317="","",IF(S317="[FÓRMULA MANUAL]","",IFERROR(AVERAGEIFS(nNOTA,nNIA,S317,nCUENTA,1,nASIG,"Música de Cámara"),"")))</f>
        <v/>
      </c>
      <c r="W317" t="str">
        <f>IF(S317="","",IF(S317="[FÓRMULA MANUAL]","",IFERROR(SUMPRODUCT((nNIA=S317)*(nCUENTA=1)*(COUNTIF(CONFIG_ASIGNATURAS!$B$7:$B$27,nASIG)&gt;0)*(nNOTA))/SUMPRODUCT((nNIA=S317)*(nCUENTA=1)*(COUNTIF(CONFIG_ASIGNATURAS!$B$7:$B$27,nASIG)&gt;0)*1),"")))</f>
        <v/>
      </c>
      <c r="Z317" t="str">
        <f>IF(Y317="","",IF(Y317="[FÓRMULA MANUAL]","",IFERROR(AVERAGEIFS(nNOTA,nNIA,Y317,nCUENTA,1,nASIG,"Análisis"),"")))</f>
        <v/>
      </c>
      <c r="AA317" t="str">
        <f>IF(Y317="","",IF(Y317="[FÓRMULA MANUAL]","",IFERROR(AVERAGEIFS(nNOTA,nNIA,Y317,nCUENTA,1,nASIG,"Orquesta/Banda/Conjunto"),"")))</f>
        <v/>
      </c>
      <c r="AB317" t="str">
        <f>IF(Y317="","",IF(Y317="[FÓRMULA MANUAL]","",IFERROR(AVERAGEIFS(nNOTA,nNIA,Y317,nCUENTA,1,nASIG,"Música de Cámara"),"")))</f>
        <v/>
      </c>
      <c r="AC317" t="str">
        <f>IF(Y317="","",IF(Y317="[FÓRMULA MANUAL]","",IFERROR(SUMPRODUCT((nNIA=Y317)*(nCUENTA=1)*(COUNTIF(CONFIG_ASIGNATURAS!$B$7:$B$27,nASIG)&gt;0)*(nNOTA))/SUMPRODUCT((nNIA=Y317)*(nCUENTA=1)*(COUNTIF(CONFIG_ASIGNATURAS!$B$7:$B$27,nASIG)&gt;0)*1),"")))</f>
        <v/>
      </c>
      <c r="AF317" t="str">
        <f>IF(AE317="","",IF(AE317="[FÓRMULA MANUAL]","",IFERROR(AVERAGEIFS(nNOTA,nNIA,AE317,nCUENTA,1,nASIG,"Análisis"),"")))</f>
        <v/>
      </c>
      <c r="AG317" t="str">
        <f>IF(AE317="","",IF(AE317="[FÓRMULA MANUAL]","",IFERROR(AVERAGEIFS(nNOTA,nNIA,AE317,nCUENTA,1,nASIG,"Orquesta/Banda/Conjunto"),"")))</f>
        <v/>
      </c>
      <c r="AH317" t="str">
        <f>IF(AE317="","",IF(AE317="[FÓRMULA MANUAL]","",IFERROR(AVERAGEIFS(nNOTA,nNIA,AE317,nCUENTA,1,nASIG,"Música de Cámara"),"")))</f>
        <v/>
      </c>
      <c r="AI317" t="str">
        <f>IF(AE317="","",IF(AE317="[FÓRMULA MANUAL]","",IFERROR(SUMPRODUCT((nNIA=AE317)*(nCUENTA=1)*(COUNTIF(CONFIG_ASIGNATURAS!$B$7:$B$27,nASIG)&gt;0)*(nNOTA))/SUMPRODUCT((nNIA=AE317)*(nCUENTA=1)*(COUNTIF(CONFIG_ASIGNATURAS!$B$7:$B$27,nASIG)&gt;0)*1),"")))</f>
        <v/>
      </c>
    </row>
    <row r="318" spans="2:35" x14ac:dyDescent="0.2">
      <c r="B318" t="str">
        <f>IF(A318="","",IF(A318="[FÓRMULA MANUAL]","",IFERROR(AVERAGEIFS(nNOTA,nNIA,A318,nCUENTA,1,nASIG,"Lenguaje Musical"),"")))</f>
        <v/>
      </c>
      <c r="C318" t="str">
        <f>IF(A318="","",IF(A318="[FÓRMULA MANUAL]","",IFERROR(AVERAGEIFS(nNOTA,nNIA,A318,nCUENTA,1,nASIG,"Orquesta/Banda/Conjunto"),"")))</f>
        <v/>
      </c>
      <c r="D318" t="str">
        <f>IF(A318="","",IF(A318="[FÓRMULA MANUAL]","",IFERROR(AVERAGEIFS(nNOTA,nNIA,A318,nCUENTA,1,nASIG,"Conjunto"),"")))</f>
        <v/>
      </c>
      <c r="E318" t="str">
        <f>IF(A318="","",IF(A318="[FÓRMULA MANUAL]","",IFERROR(SUMPRODUCT((nNIA=A318)*(nCUENTA=1)*(COUNTIF(CONFIG_ASIGNATURAS!$B$7:$B$27,nASIG)&gt;0)*(nNOTA))/SUMPRODUCT((nNIA=A318)*(nCUENTA=1)*(COUNTIF(CONFIG_ASIGNATURAS!$B$7:$B$27,nASIG)&gt;0)*1),"")))</f>
        <v/>
      </c>
      <c r="H318" t="str">
        <f>IF(G318="","",IF(G318="[FÓRMULA MANUAL]","",IFERROR(AVERAGEIFS(nNOTA,nNIA,G318,nCUENTA,1,nASIG,"Lenguaje Musical"),"")))</f>
        <v/>
      </c>
      <c r="I318" t="str">
        <f>IF(G318="","",IF(G318="[FÓRMULA MANUAL]","",IFERROR(AVERAGEIFS(nNOTA,nNIA,G318,nCUENTA,1,nASIG,"Orquesta/Banda/Conjunto"),"")))</f>
        <v/>
      </c>
      <c r="J318" t="str">
        <f>IF(G318="","",IF(G318="[FÓRMULA MANUAL]","",IFERROR(AVERAGEIFS(nNOTA,nNIA,G318,nCUENTA,1,nASIG,"Conjunto"),"")))</f>
        <v/>
      </c>
      <c r="K318" t="str">
        <f>IF(G318="","",IF(G318="[FÓRMULA MANUAL]","",IFERROR(SUMPRODUCT((nNIA=G318)*(nCUENTA=1)*(COUNTIF(CONFIG_ASIGNATURAS!$B$7:$B$27,nASIG)&gt;0)*(nNOTA))/SUMPRODUCT((nNIA=G318)*(nCUENTA=1)*(COUNTIF(CONFIG_ASIGNATURAS!$B$7:$B$27,nASIG)&gt;0)*1),"")))</f>
        <v/>
      </c>
      <c r="N318" t="str">
        <f>IF(M318="","",IF(M318="[FÓRMULA MANUAL]","",IFERROR(AVERAGEIFS(nNOTA,nNIA,M318,nCUENTA,1,nASIG,"Armonía"),"")))</f>
        <v/>
      </c>
      <c r="O318" t="str">
        <f>IF(M318="","",IF(M318="[FÓRMULA MANUAL]","",IFERROR(AVERAGEIFS(nNOTA,nNIA,M318,nCUENTA,1,nASIG,"Orquesta/Banda/Conjunto"),"")))</f>
        <v/>
      </c>
      <c r="P318" t="str">
        <f>IF(M318="","",IF(M318="[FÓRMULA MANUAL]","",IFERROR(AVERAGEIFS(nNOTA,nNIA,M318,nCUENTA,1,nASIG,"Música de Cámara"),"")))</f>
        <v/>
      </c>
      <c r="Q318" t="str">
        <f>IF(M318="","",IF(M318="[FÓRMULA MANUAL]","",IFERROR(SUMPRODUCT((nNIA=M318)*(nCUENTA=1)*(COUNTIF(CONFIG_ASIGNATURAS!$B$7:$B$27,nASIG)&gt;0)*(nNOTA))/SUMPRODUCT((nNIA=M318)*(nCUENTA=1)*(COUNTIF(CONFIG_ASIGNATURAS!$B$7:$B$27,nASIG)&gt;0)*1),"")))</f>
        <v/>
      </c>
      <c r="T318" t="str">
        <f>IF(S318="","",IF(S318="[FÓRMULA MANUAL]","",IFERROR(AVERAGEIFS(nNOTA,nNIA,S318,nCUENTA,1,nASIG,"Armonía"),"")))</f>
        <v/>
      </c>
      <c r="U318" t="str">
        <f>IF(S318="","",IF(S318="[FÓRMULA MANUAL]","",IFERROR(AVERAGEIFS(nNOTA,nNIA,S318,nCUENTA,1,nASIG,"Orquesta/Banda/Conjunto"),"")))</f>
        <v/>
      </c>
      <c r="V318" t="str">
        <f>IF(S318="","",IF(S318="[FÓRMULA MANUAL]","",IFERROR(AVERAGEIFS(nNOTA,nNIA,S318,nCUENTA,1,nASIG,"Música de Cámara"),"")))</f>
        <v/>
      </c>
      <c r="W318" t="str">
        <f>IF(S318="","",IF(S318="[FÓRMULA MANUAL]","",IFERROR(SUMPRODUCT((nNIA=S318)*(nCUENTA=1)*(COUNTIF(CONFIG_ASIGNATURAS!$B$7:$B$27,nASIG)&gt;0)*(nNOTA))/SUMPRODUCT((nNIA=S318)*(nCUENTA=1)*(COUNTIF(CONFIG_ASIGNATURAS!$B$7:$B$27,nASIG)&gt;0)*1),"")))</f>
        <v/>
      </c>
      <c r="Z318" t="str">
        <f>IF(Y318="","",IF(Y318="[FÓRMULA MANUAL]","",IFERROR(AVERAGEIFS(nNOTA,nNIA,Y318,nCUENTA,1,nASIG,"Análisis"),"")))</f>
        <v/>
      </c>
      <c r="AA318" t="str">
        <f>IF(Y318="","",IF(Y318="[FÓRMULA MANUAL]","",IFERROR(AVERAGEIFS(nNOTA,nNIA,Y318,nCUENTA,1,nASIG,"Orquesta/Banda/Conjunto"),"")))</f>
        <v/>
      </c>
      <c r="AB318" t="str">
        <f>IF(Y318="","",IF(Y318="[FÓRMULA MANUAL]","",IFERROR(AVERAGEIFS(nNOTA,nNIA,Y318,nCUENTA,1,nASIG,"Música de Cámara"),"")))</f>
        <v/>
      </c>
      <c r="AC318" t="str">
        <f>IF(Y318="","",IF(Y318="[FÓRMULA MANUAL]","",IFERROR(SUMPRODUCT((nNIA=Y318)*(nCUENTA=1)*(COUNTIF(CONFIG_ASIGNATURAS!$B$7:$B$27,nASIG)&gt;0)*(nNOTA))/SUMPRODUCT((nNIA=Y318)*(nCUENTA=1)*(COUNTIF(CONFIG_ASIGNATURAS!$B$7:$B$27,nASIG)&gt;0)*1),"")))</f>
        <v/>
      </c>
      <c r="AF318" t="str">
        <f>IF(AE318="","",IF(AE318="[FÓRMULA MANUAL]","",IFERROR(AVERAGEIFS(nNOTA,nNIA,AE318,nCUENTA,1,nASIG,"Análisis"),"")))</f>
        <v/>
      </c>
      <c r="AG318" t="str">
        <f>IF(AE318="","",IF(AE318="[FÓRMULA MANUAL]","",IFERROR(AVERAGEIFS(nNOTA,nNIA,AE318,nCUENTA,1,nASIG,"Orquesta/Banda/Conjunto"),"")))</f>
        <v/>
      </c>
      <c r="AH318" t="str">
        <f>IF(AE318="","",IF(AE318="[FÓRMULA MANUAL]","",IFERROR(AVERAGEIFS(nNOTA,nNIA,AE318,nCUENTA,1,nASIG,"Música de Cámara"),"")))</f>
        <v/>
      </c>
      <c r="AI318" t="str">
        <f>IF(AE318="","",IF(AE318="[FÓRMULA MANUAL]","",IFERROR(SUMPRODUCT((nNIA=AE318)*(nCUENTA=1)*(COUNTIF(CONFIG_ASIGNATURAS!$B$7:$B$27,nASIG)&gt;0)*(nNOTA))/SUMPRODUCT((nNIA=AE318)*(nCUENTA=1)*(COUNTIF(CONFIG_ASIGNATURAS!$B$7:$B$27,nASIG)&gt;0)*1),"")))</f>
        <v/>
      </c>
    </row>
    <row r="319" spans="2:35" x14ac:dyDescent="0.2">
      <c r="B319" t="str">
        <f>IF(A319="","",IF(A319="[FÓRMULA MANUAL]","",IFERROR(AVERAGEIFS(nNOTA,nNIA,A319,nCUENTA,1,nASIG,"Lenguaje Musical"),"")))</f>
        <v/>
      </c>
      <c r="C319" t="str">
        <f>IF(A319="","",IF(A319="[FÓRMULA MANUAL]","",IFERROR(AVERAGEIFS(nNOTA,nNIA,A319,nCUENTA,1,nASIG,"Orquesta/Banda/Conjunto"),"")))</f>
        <v/>
      </c>
      <c r="D319" t="str">
        <f>IF(A319="","",IF(A319="[FÓRMULA MANUAL]","",IFERROR(AVERAGEIFS(nNOTA,nNIA,A319,nCUENTA,1,nASIG,"Conjunto"),"")))</f>
        <v/>
      </c>
      <c r="E319" t="str">
        <f>IF(A319="","",IF(A319="[FÓRMULA MANUAL]","",IFERROR(SUMPRODUCT((nNIA=A319)*(nCUENTA=1)*(COUNTIF(CONFIG_ASIGNATURAS!$B$7:$B$27,nASIG)&gt;0)*(nNOTA))/SUMPRODUCT((nNIA=A319)*(nCUENTA=1)*(COUNTIF(CONFIG_ASIGNATURAS!$B$7:$B$27,nASIG)&gt;0)*1),"")))</f>
        <v/>
      </c>
      <c r="H319" t="str">
        <f>IF(G319="","",IF(G319="[FÓRMULA MANUAL]","",IFERROR(AVERAGEIFS(nNOTA,nNIA,G319,nCUENTA,1,nASIG,"Lenguaje Musical"),"")))</f>
        <v/>
      </c>
      <c r="I319" t="str">
        <f>IF(G319="","",IF(G319="[FÓRMULA MANUAL]","",IFERROR(AVERAGEIFS(nNOTA,nNIA,G319,nCUENTA,1,nASIG,"Orquesta/Banda/Conjunto"),"")))</f>
        <v/>
      </c>
      <c r="J319" t="str">
        <f>IF(G319="","",IF(G319="[FÓRMULA MANUAL]","",IFERROR(AVERAGEIFS(nNOTA,nNIA,G319,nCUENTA,1,nASIG,"Conjunto"),"")))</f>
        <v/>
      </c>
      <c r="K319" t="str">
        <f>IF(G319="","",IF(G319="[FÓRMULA MANUAL]","",IFERROR(SUMPRODUCT((nNIA=G319)*(nCUENTA=1)*(COUNTIF(CONFIG_ASIGNATURAS!$B$7:$B$27,nASIG)&gt;0)*(nNOTA))/SUMPRODUCT((nNIA=G319)*(nCUENTA=1)*(COUNTIF(CONFIG_ASIGNATURAS!$B$7:$B$27,nASIG)&gt;0)*1),"")))</f>
        <v/>
      </c>
      <c r="N319" t="str">
        <f>IF(M319="","",IF(M319="[FÓRMULA MANUAL]","",IFERROR(AVERAGEIFS(nNOTA,nNIA,M319,nCUENTA,1,nASIG,"Armonía"),"")))</f>
        <v/>
      </c>
      <c r="O319" t="str">
        <f>IF(M319="","",IF(M319="[FÓRMULA MANUAL]","",IFERROR(AVERAGEIFS(nNOTA,nNIA,M319,nCUENTA,1,nASIG,"Orquesta/Banda/Conjunto"),"")))</f>
        <v/>
      </c>
      <c r="P319" t="str">
        <f>IF(M319="","",IF(M319="[FÓRMULA MANUAL]","",IFERROR(AVERAGEIFS(nNOTA,nNIA,M319,nCUENTA,1,nASIG,"Música de Cámara"),"")))</f>
        <v/>
      </c>
      <c r="Q319" t="str">
        <f>IF(M319="","",IF(M319="[FÓRMULA MANUAL]","",IFERROR(SUMPRODUCT((nNIA=M319)*(nCUENTA=1)*(COUNTIF(CONFIG_ASIGNATURAS!$B$7:$B$27,nASIG)&gt;0)*(nNOTA))/SUMPRODUCT((nNIA=M319)*(nCUENTA=1)*(COUNTIF(CONFIG_ASIGNATURAS!$B$7:$B$27,nASIG)&gt;0)*1),"")))</f>
        <v/>
      </c>
      <c r="T319" t="str">
        <f>IF(S319="","",IF(S319="[FÓRMULA MANUAL]","",IFERROR(AVERAGEIFS(nNOTA,nNIA,S319,nCUENTA,1,nASIG,"Armonía"),"")))</f>
        <v/>
      </c>
      <c r="U319" t="str">
        <f>IF(S319="","",IF(S319="[FÓRMULA MANUAL]","",IFERROR(AVERAGEIFS(nNOTA,nNIA,S319,nCUENTA,1,nASIG,"Orquesta/Banda/Conjunto"),"")))</f>
        <v/>
      </c>
      <c r="V319" t="str">
        <f>IF(S319="","",IF(S319="[FÓRMULA MANUAL]","",IFERROR(AVERAGEIFS(nNOTA,nNIA,S319,nCUENTA,1,nASIG,"Música de Cámara"),"")))</f>
        <v/>
      </c>
      <c r="W319" t="str">
        <f>IF(S319="","",IF(S319="[FÓRMULA MANUAL]","",IFERROR(SUMPRODUCT((nNIA=S319)*(nCUENTA=1)*(COUNTIF(CONFIG_ASIGNATURAS!$B$7:$B$27,nASIG)&gt;0)*(nNOTA))/SUMPRODUCT((nNIA=S319)*(nCUENTA=1)*(COUNTIF(CONFIG_ASIGNATURAS!$B$7:$B$27,nASIG)&gt;0)*1),"")))</f>
        <v/>
      </c>
      <c r="Z319" t="str">
        <f>IF(Y319="","",IF(Y319="[FÓRMULA MANUAL]","",IFERROR(AVERAGEIFS(nNOTA,nNIA,Y319,nCUENTA,1,nASIG,"Análisis"),"")))</f>
        <v/>
      </c>
      <c r="AA319" t="str">
        <f>IF(Y319="","",IF(Y319="[FÓRMULA MANUAL]","",IFERROR(AVERAGEIFS(nNOTA,nNIA,Y319,nCUENTA,1,nASIG,"Orquesta/Banda/Conjunto"),"")))</f>
        <v/>
      </c>
      <c r="AB319" t="str">
        <f>IF(Y319="","",IF(Y319="[FÓRMULA MANUAL]","",IFERROR(AVERAGEIFS(nNOTA,nNIA,Y319,nCUENTA,1,nASIG,"Música de Cámara"),"")))</f>
        <v/>
      </c>
      <c r="AC319" t="str">
        <f>IF(Y319="","",IF(Y319="[FÓRMULA MANUAL]","",IFERROR(SUMPRODUCT((nNIA=Y319)*(nCUENTA=1)*(COUNTIF(CONFIG_ASIGNATURAS!$B$7:$B$27,nASIG)&gt;0)*(nNOTA))/SUMPRODUCT((nNIA=Y319)*(nCUENTA=1)*(COUNTIF(CONFIG_ASIGNATURAS!$B$7:$B$27,nASIG)&gt;0)*1),"")))</f>
        <v/>
      </c>
      <c r="AF319" t="str">
        <f>IF(AE319="","",IF(AE319="[FÓRMULA MANUAL]","",IFERROR(AVERAGEIFS(nNOTA,nNIA,AE319,nCUENTA,1,nASIG,"Análisis"),"")))</f>
        <v/>
      </c>
      <c r="AG319" t="str">
        <f>IF(AE319="","",IF(AE319="[FÓRMULA MANUAL]","",IFERROR(AVERAGEIFS(nNOTA,nNIA,AE319,nCUENTA,1,nASIG,"Orquesta/Banda/Conjunto"),"")))</f>
        <v/>
      </c>
      <c r="AH319" t="str">
        <f>IF(AE319="","",IF(AE319="[FÓRMULA MANUAL]","",IFERROR(AVERAGEIFS(nNOTA,nNIA,AE319,nCUENTA,1,nASIG,"Música de Cámara"),"")))</f>
        <v/>
      </c>
      <c r="AI319" t="str">
        <f>IF(AE319="","",IF(AE319="[FÓRMULA MANUAL]","",IFERROR(SUMPRODUCT((nNIA=AE319)*(nCUENTA=1)*(COUNTIF(CONFIG_ASIGNATURAS!$B$7:$B$27,nASIG)&gt;0)*(nNOTA))/SUMPRODUCT((nNIA=AE319)*(nCUENTA=1)*(COUNTIF(CONFIG_ASIGNATURAS!$B$7:$B$27,nASIG)&gt;0)*1),"")))</f>
        <v/>
      </c>
    </row>
    <row r="320" spans="2:35" x14ac:dyDescent="0.2">
      <c r="B320" t="str">
        <f>IF(A320="","",IF(A320="[FÓRMULA MANUAL]","",IFERROR(AVERAGEIFS(nNOTA,nNIA,A320,nCUENTA,1,nASIG,"Lenguaje Musical"),"")))</f>
        <v/>
      </c>
      <c r="C320" t="str">
        <f>IF(A320="","",IF(A320="[FÓRMULA MANUAL]","",IFERROR(AVERAGEIFS(nNOTA,nNIA,A320,nCUENTA,1,nASIG,"Orquesta/Banda/Conjunto"),"")))</f>
        <v/>
      </c>
      <c r="D320" t="str">
        <f>IF(A320="","",IF(A320="[FÓRMULA MANUAL]","",IFERROR(AVERAGEIFS(nNOTA,nNIA,A320,nCUENTA,1,nASIG,"Conjunto"),"")))</f>
        <v/>
      </c>
      <c r="E320" t="str">
        <f>IF(A320="","",IF(A320="[FÓRMULA MANUAL]","",IFERROR(SUMPRODUCT((nNIA=A320)*(nCUENTA=1)*(COUNTIF(CONFIG_ASIGNATURAS!$B$7:$B$27,nASIG)&gt;0)*(nNOTA))/SUMPRODUCT((nNIA=A320)*(nCUENTA=1)*(COUNTIF(CONFIG_ASIGNATURAS!$B$7:$B$27,nASIG)&gt;0)*1),"")))</f>
        <v/>
      </c>
      <c r="H320" t="str">
        <f>IF(G320="","",IF(G320="[FÓRMULA MANUAL]","",IFERROR(AVERAGEIFS(nNOTA,nNIA,G320,nCUENTA,1,nASIG,"Lenguaje Musical"),"")))</f>
        <v/>
      </c>
      <c r="I320" t="str">
        <f>IF(G320="","",IF(G320="[FÓRMULA MANUAL]","",IFERROR(AVERAGEIFS(nNOTA,nNIA,G320,nCUENTA,1,nASIG,"Orquesta/Banda/Conjunto"),"")))</f>
        <v/>
      </c>
      <c r="J320" t="str">
        <f>IF(G320="","",IF(G320="[FÓRMULA MANUAL]","",IFERROR(AVERAGEIFS(nNOTA,nNIA,G320,nCUENTA,1,nASIG,"Conjunto"),"")))</f>
        <v/>
      </c>
      <c r="K320" t="str">
        <f>IF(G320="","",IF(G320="[FÓRMULA MANUAL]","",IFERROR(SUMPRODUCT((nNIA=G320)*(nCUENTA=1)*(COUNTIF(CONFIG_ASIGNATURAS!$B$7:$B$27,nASIG)&gt;0)*(nNOTA))/SUMPRODUCT((nNIA=G320)*(nCUENTA=1)*(COUNTIF(CONFIG_ASIGNATURAS!$B$7:$B$27,nASIG)&gt;0)*1),"")))</f>
        <v/>
      </c>
      <c r="N320" t="str">
        <f>IF(M320="","",IF(M320="[FÓRMULA MANUAL]","",IFERROR(AVERAGEIFS(nNOTA,nNIA,M320,nCUENTA,1,nASIG,"Armonía"),"")))</f>
        <v/>
      </c>
      <c r="O320" t="str">
        <f>IF(M320="","",IF(M320="[FÓRMULA MANUAL]","",IFERROR(AVERAGEIFS(nNOTA,nNIA,M320,nCUENTA,1,nASIG,"Orquesta/Banda/Conjunto"),"")))</f>
        <v/>
      </c>
      <c r="P320" t="str">
        <f>IF(M320="","",IF(M320="[FÓRMULA MANUAL]","",IFERROR(AVERAGEIFS(nNOTA,nNIA,M320,nCUENTA,1,nASIG,"Música de Cámara"),"")))</f>
        <v/>
      </c>
      <c r="Q320" t="str">
        <f>IF(M320="","",IF(M320="[FÓRMULA MANUAL]","",IFERROR(SUMPRODUCT((nNIA=M320)*(nCUENTA=1)*(COUNTIF(CONFIG_ASIGNATURAS!$B$7:$B$27,nASIG)&gt;0)*(nNOTA))/SUMPRODUCT((nNIA=M320)*(nCUENTA=1)*(COUNTIF(CONFIG_ASIGNATURAS!$B$7:$B$27,nASIG)&gt;0)*1),"")))</f>
        <v/>
      </c>
      <c r="T320" t="str">
        <f>IF(S320="","",IF(S320="[FÓRMULA MANUAL]","",IFERROR(AVERAGEIFS(nNOTA,nNIA,S320,nCUENTA,1,nASIG,"Armonía"),"")))</f>
        <v/>
      </c>
      <c r="U320" t="str">
        <f>IF(S320="","",IF(S320="[FÓRMULA MANUAL]","",IFERROR(AVERAGEIFS(nNOTA,nNIA,S320,nCUENTA,1,nASIG,"Orquesta/Banda/Conjunto"),"")))</f>
        <v/>
      </c>
      <c r="V320" t="str">
        <f>IF(S320="","",IF(S320="[FÓRMULA MANUAL]","",IFERROR(AVERAGEIFS(nNOTA,nNIA,S320,nCUENTA,1,nASIG,"Música de Cámara"),"")))</f>
        <v/>
      </c>
      <c r="W320" t="str">
        <f>IF(S320="","",IF(S320="[FÓRMULA MANUAL]","",IFERROR(SUMPRODUCT((nNIA=S320)*(nCUENTA=1)*(COUNTIF(CONFIG_ASIGNATURAS!$B$7:$B$27,nASIG)&gt;0)*(nNOTA))/SUMPRODUCT((nNIA=S320)*(nCUENTA=1)*(COUNTIF(CONFIG_ASIGNATURAS!$B$7:$B$27,nASIG)&gt;0)*1),"")))</f>
        <v/>
      </c>
      <c r="Z320" t="str">
        <f>IF(Y320="","",IF(Y320="[FÓRMULA MANUAL]","",IFERROR(AVERAGEIFS(nNOTA,nNIA,Y320,nCUENTA,1,nASIG,"Análisis"),"")))</f>
        <v/>
      </c>
      <c r="AA320" t="str">
        <f>IF(Y320="","",IF(Y320="[FÓRMULA MANUAL]","",IFERROR(AVERAGEIFS(nNOTA,nNIA,Y320,nCUENTA,1,nASIG,"Orquesta/Banda/Conjunto"),"")))</f>
        <v/>
      </c>
      <c r="AB320" t="str">
        <f>IF(Y320="","",IF(Y320="[FÓRMULA MANUAL]","",IFERROR(AVERAGEIFS(nNOTA,nNIA,Y320,nCUENTA,1,nASIG,"Música de Cámara"),"")))</f>
        <v/>
      </c>
      <c r="AC320" t="str">
        <f>IF(Y320="","",IF(Y320="[FÓRMULA MANUAL]","",IFERROR(SUMPRODUCT((nNIA=Y320)*(nCUENTA=1)*(COUNTIF(CONFIG_ASIGNATURAS!$B$7:$B$27,nASIG)&gt;0)*(nNOTA))/SUMPRODUCT((nNIA=Y320)*(nCUENTA=1)*(COUNTIF(CONFIG_ASIGNATURAS!$B$7:$B$27,nASIG)&gt;0)*1),"")))</f>
        <v/>
      </c>
      <c r="AF320" t="str">
        <f>IF(AE320="","",IF(AE320="[FÓRMULA MANUAL]","",IFERROR(AVERAGEIFS(nNOTA,nNIA,AE320,nCUENTA,1,nASIG,"Análisis"),"")))</f>
        <v/>
      </c>
      <c r="AG320" t="str">
        <f>IF(AE320="","",IF(AE320="[FÓRMULA MANUAL]","",IFERROR(AVERAGEIFS(nNOTA,nNIA,AE320,nCUENTA,1,nASIG,"Orquesta/Banda/Conjunto"),"")))</f>
        <v/>
      </c>
      <c r="AH320" t="str">
        <f>IF(AE320="","",IF(AE320="[FÓRMULA MANUAL]","",IFERROR(AVERAGEIFS(nNOTA,nNIA,AE320,nCUENTA,1,nASIG,"Música de Cámara"),"")))</f>
        <v/>
      </c>
      <c r="AI320" t="str">
        <f>IF(AE320="","",IF(AE320="[FÓRMULA MANUAL]","",IFERROR(SUMPRODUCT((nNIA=AE320)*(nCUENTA=1)*(COUNTIF(CONFIG_ASIGNATURAS!$B$7:$B$27,nASIG)&gt;0)*(nNOTA))/SUMPRODUCT((nNIA=AE320)*(nCUENTA=1)*(COUNTIF(CONFIG_ASIGNATURAS!$B$7:$B$27,nASIG)&gt;0)*1),"")))</f>
        <v/>
      </c>
    </row>
    <row r="321" spans="2:35" x14ac:dyDescent="0.2">
      <c r="B321" t="str">
        <f>IF(A321="","",IF(A321="[FÓRMULA MANUAL]","",IFERROR(AVERAGEIFS(nNOTA,nNIA,A321,nCUENTA,1,nASIG,"Lenguaje Musical"),"")))</f>
        <v/>
      </c>
      <c r="C321" t="str">
        <f>IF(A321="","",IF(A321="[FÓRMULA MANUAL]","",IFERROR(AVERAGEIFS(nNOTA,nNIA,A321,nCUENTA,1,nASIG,"Orquesta/Banda/Conjunto"),"")))</f>
        <v/>
      </c>
      <c r="D321" t="str">
        <f>IF(A321="","",IF(A321="[FÓRMULA MANUAL]","",IFERROR(AVERAGEIFS(nNOTA,nNIA,A321,nCUENTA,1,nASIG,"Conjunto"),"")))</f>
        <v/>
      </c>
      <c r="E321" t="str">
        <f>IF(A321="","",IF(A321="[FÓRMULA MANUAL]","",IFERROR(SUMPRODUCT((nNIA=A321)*(nCUENTA=1)*(COUNTIF(CONFIG_ASIGNATURAS!$B$7:$B$27,nASIG)&gt;0)*(nNOTA))/SUMPRODUCT((nNIA=A321)*(nCUENTA=1)*(COUNTIF(CONFIG_ASIGNATURAS!$B$7:$B$27,nASIG)&gt;0)*1),"")))</f>
        <v/>
      </c>
      <c r="H321" t="str">
        <f>IF(G321="","",IF(G321="[FÓRMULA MANUAL]","",IFERROR(AVERAGEIFS(nNOTA,nNIA,G321,nCUENTA,1,nASIG,"Lenguaje Musical"),"")))</f>
        <v/>
      </c>
      <c r="I321" t="str">
        <f>IF(G321="","",IF(G321="[FÓRMULA MANUAL]","",IFERROR(AVERAGEIFS(nNOTA,nNIA,G321,nCUENTA,1,nASIG,"Orquesta/Banda/Conjunto"),"")))</f>
        <v/>
      </c>
      <c r="J321" t="str">
        <f>IF(G321="","",IF(G321="[FÓRMULA MANUAL]","",IFERROR(AVERAGEIFS(nNOTA,nNIA,G321,nCUENTA,1,nASIG,"Conjunto"),"")))</f>
        <v/>
      </c>
      <c r="K321" t="str">
        <f>IF(G321="","",IF(G321="[FÓRMULA MANUAL]","",IFERROR(SUMPRODUCT((nNIA=G321)*(nCUENTA=1)*(COUNTIF(CONFIG_ASIGNATURAS!$B$7:$B$27,nASIG)&gt;0)*(nNOTA))/SUMPRODUCT((nNIA=G321)*(nCUENTA=1)*(COUNTIF(CONFIG_ASIGNATURAS!$B$7:$B$27,nASIG)&gt;0)*1),"")))</f>
        <v/>
      </c>
      <c r="N321" t="str">
        <f>IF(M321="","",IF(M321="[FÓRMULA MANUAL]","",IFERROR(AVERAGEIFS(nNOTA,nNIA,M321,nCUENTA,1,nASIG,"Armonía"),"")))</f>
        <v/>
      </c>
      <c r="O321" t="str">
        <f>IF(M321="","",IF(M321="[FÓRMULA MANUAL]","",IFERROR(AVERAGEIFS(nNOTA,nNIA,M321,nCUENTA,1,nASIG,"Orquesta/Banda/Conjunto"),"")))</f>
        <v/>
      </c>
      <c r="P321" t="str">
        <f>IF(M321="","",IF(M321="[FÓRMULA MANUAL]","",IFERROR(AVERAGEIFS(nNOTA,nNIA,M321,nCUENTA,1,nASIG,"Música de Cámara"),"")))</f>
        <v/>
      </c>
      <c r="Q321" t="str">
        <f>IF(M321="","",IF(M321="[FÓRMULA MANUAL]","",IFERROR(SUMPRODUCT((nNIA=M321)*(nCUENTA=1)*(COUNTIF(CONFIG_ASIGNATURAS!$B$7:$B$27,nASIG)&gt;0)*(nNOTA))/SUMPRODUCT((nNIA=M321)*(nCUENTA=1)*(COUNTIF(CONFIG_ASIGNATURAS!$B$7:$B$27,nASIG)&gt;0)*1),"")))</f>
        <v/>
      </c>
      <c r="T321" t="str">
        <f>IF(S321="","",IF(S321="[FÓRMULA MANUAL]","",IFERROR(AVERAGEIFS(nNOTA,nNIA,S321,nCUENTA,1,nASIG,"Armonía"),"")))</f>
        <v/>
      </c>
      <c r="U321" t="str">
        <f>IF(S321="","",IF(S321="[FÓRMULA MANUAL]","",IFERROR(AVERAGEIFS(nNOTA,nNIA,S321,nCUENTA,1,nASIG,"Orquesta/Banda/Conjunto"),"")))</f>
        <v/>
      </c>
      <c r="V321" t="str">
        <f>IF(S321="","",IF(S321="[FÓRMULA MANUAL]","",IFERROR(AVERAGEIFS(nNOTA,nNIA,S321,nCUENTA,1,nASIG,"Música de Cámara"),"")))</f>
        <v/>
      </c>
      <c r="W321" t="str">
        <f>IF(S321="","",IF(S321="[FÓRMULA MANUAL]","",IFERROR(SUMPRODUCT((nNIA=S321)*(nCUENTA=1)*(COUNTIF(CONFIG_ASIGNATURAS!$B$7:$B$27,nASIG)&gt;0)*(nNOTA))/SUMPRODUCT((nNIA=S321)*(nCUENTA=1)*(COUNTIF(CONFIG_ASIGNATURAS!$B$7:$B$27,nASIG)&gt;0)*1),"")))</f>
        <v/>
      </c>
      <c r="Z321" t="str">
        <f>IF(Y321="","",IF(Y321="[FÓRMULA MANUAL]","",IFERROR(AVERAGEIFS(nNOTA,nNIA,Y321,nCUENTA,1,nASIG,"Análisis"),"")))</f>
        <v/>
      </c>
      <c r="AA321" t="str">
        <f>IF(Y321="","",IF(Y321="[FÓRMULA MANUAL]","",IFERROR(AVERAGEIFS(nNOTA,nNIA,Y321,nCUENTA,1,nASIG,"Orquesta/Banda/Conjunto"),"")))</f>
        <v/>
      </c>
      <c r="AB321" t="str">
        <f>IF(Y321="","",IF(Y321="[FÓRMULA MANUAL]","",IFERROR(AVERAGEIFS(nNOTA,nNIA,Y321,nCUENTA,1,nASIG,"Música de Cámara"),"")))</f>
        <v/>
      </c>
      <c r="AC321" t="str">
        <f>IF(Y321="","",IF(Y321="[FÓRMULA MANUAL]","",IFERROR(SUMPRODUCT((nNIA=Y321)*(nCUENTA=1)*(COUNTIF(CONFIG_ASIGNATURAS!$B$7:$B$27,nASIG)&gt;0)*(nNOTA))/SUMPRODUCT((nNIA=Y321)*(nCUENTA=1)*(COUNTIF(CONFIG_ASIGNATURAS!$B$7:$B$27,nASIG)&gt;0)*1),"")))</f>
        <v/>
      </c>
      <c r="AF321" t="str">
        <f>IF(AE321="","",IF(AE321="[FÓRMULA MANUAL]","",IFERROR(AVERAGEIFS(nNOTA,nNIA,AE321,nCUENTA,1,nASIG,"Análisis"),"")))</f>
        <v/>
      </c>
      <c r="AG321" t="str">
        <f>IF(AE321="","",IF(AE321="[FÓRMULA MANUAL]","",IFERROR(AVERAGEIFS(nNOTA,nNIA,AE321,nCUENTA,1,nASIG,"Orquesta/Banda/Conjunto"),"")))</f>
        <v/>
      </c>
      <c r="AH321" t="str">
        <f>IF(AE321="","",IF(AE321="[FÓRMULA MANUAL]","",IFERROR(AVERAGEIFS(nNOTA,nNIA,AE321,nCUENTA,1,nASIG,"Música de Cámara"),"")))</f>
        <v/>
      </c>
      <c r="AI321" t="str">
        <f>IF(AE321="","",IF(AE321="[FÓRMULA MANUAL]","",IFERROR(SUMPRODUCT((nNIA=AE321)*(nCUENTA=1)*(COUNTIF(CONFIG_ASIGNATURAS!$B$7:$B$27,nASIG)&gt;0)*(nNOTA))/SUMPRODUCT((nNIA=AE321)*(nCUENTA=1)*(COUNTIF(CONFIG_ASIGNATURAS!$B$7:$B$27,nASIG)&gt;0)*1),"")))</f>
        <v/>
      </c>
    </row>
    <row r="322" spans="2:35" x14ac:dyDescent="0.2">
      <c r="B322" t="str">
        <f>IF(A322="","",IF(A322="[FÓRMULA MANUAL]","",IFERROR(AVERAGEIFS(nNOTA,nNIA,A322,nCUENTA,1,nASIG,"Lenguaje Musical"),"")))</f>
        <v/>
      </c>
      <c r="C322" t="str">
        <f>IF(A322="","",IF(A322="[FÓRMULA MANUAL]","",IFERROR(AVERAGEIFS(nNOTA,nNIA,A322,nCUENTA,1,nASIG,"Orquesta/Banda/Conjunto"),"")))</f>
        <v/>
      </c>
      <c r="D322" t="str">
        <f>IF(A322="","",IF(A322="[FÓRMULA MANUAL]","",IFERROR(AVERAGEIFS(nNOTA,nNIA,A322,nCUENTA,1,nASIG,"Conjunto"),"")))</f>
        <v/>
      </c>
      <c r="E322" t="str">
        <f>IF(A322="","",IF(A322="[FÓRMULA MANUAL]","",IFERROR(SUMPRODUCT((nNIA=A322)*(nCUENTA=1)*(COUNTIF(CONFIG_ASIGNATURAS!$B$7:$B$27,nASIG)&gt;0)*(nNOTA))/SUMPRODUCT((nNIA=A322)*(nCUENTA=1)*(COUNTIF(CONFIG_ASIGNATURAS!$B$7:$B$27,nASIG)&gt;0)*1),"")))</f>
        <v/>
      </c>
      <c r="H322" t="str">
        <f>IF(G322="","",IF(G322="[FÓRMULA MANUAL]","",IFERROR(AVERAGEIFS(nNOTA,nNIA,G322,nCUENTA,1,nASIG,"Lenguaje Musical"),"")))</f>
        <v/>
      </c>
      <c r="I322" t="str">
        <f>IF(G322="","",IF(G322="[FÓRMULA MANUAL]","",IFERROR(AVERAGEIFS(nNOTA,nNIA,G322,nCUENTA,1,nASIG,"Orquesta/Banda/Conjunto"),"")))</f>
        <v/>
      </c>
      <c r="J322" t="str">
        <f>IF(G322="","",IF(G322="[FÓRMULA MANUAL]","",IFERROR(AVERAGEIFS(nNOTA,nNIA,G322,nCUENTA,1,nASIG,"Conjunto"),"")))</f>
        <v/>
      </c>
      <c r="K322" t="str">
        <f>IF(G322="","",IF(G322="[FÓRMULA MANUAL]","",IFERROR(SUMPRODUCT((nNIA=G322)*(nCUENTA=1)*(COUNTIF(CONFIG_ASIGNATURAS!$B$7:$B$27,nASIG)&gt;0)*(nNOTA))/SUMPRODUCT((nNIA=G322)*(nCUENTA=1)*(COUNTIF(CONFIG_ASIGNATURAS!$B$7:$B$27,nASIG)&gt;0)*1),"")))</f>
        <v/>
      </c>
      <c r="N322" t="str">
        <f>IF(M322="","",IF(M322="[FÓRMULA MANUAL]","",IFERROR(AVERAGEIFS(nNOTA,nNIA,M322,nCUENTA,1,nASIG,"Armonía"),"")))</f>
        <v/>
      </c>
      <c r="O322" t="str">
        <f>IF(M322="","",IF(M322="[FÓRMULA MANUAL]","",IFERROR(AVERAGEIFS(nNOTA,nNIA,M322,nCUENTA,1,nASIG,"Orquesta/Banda/Conjunto"),"")))</f>
        <v/>
      </c>
      <c r="P322" t="str">
        <f>IF(M322="","",IF(M322="[FÓRMULA MANUAL]","",IFERROR(AVERAGEIFS(nNOTA,nNIA,M322,nCUENTA,1,nASIG,"Música de Cámara"),"")))</f>
        <v/>
      </c>
      <c r="Q322" t="str">
        <f>IF(M322="","",IF(M322="[FÓRMULA MANUAL]","",IFERROR(SUMPRODUCT((nNIA=M322)*(nCUENTA=1)*(COUNTIF(CONFIG_ASIGNATURAS!$B$7:$B$27,nASIG)&gt;0)*(nNOTA))/SUMPRODUCT((nNIA=M322)*(nCUENTA=1)*(COUNTIF(CONFIG_ASIGNATURAS!$B$7:$B$27,nASIG)&gt;0)*1),"")))</f>
        <v/>
      </c>
      <c r="T322" t="str">
        <f>IF(S322="","",IF(S322="[FÓRMULA MANUAL]","",IFERROR(AVERAGEIFS(nNOTA,nNIA,S322,nCUENTA,1,nASIG,"Armonía"),"")))</f>
        <v/>
      </c>
      <c r="U322" t="str">
        <f>IF(S322="","",IF(S322="[FÓRMULA MANUAL]","",IFERROR(AVERAGEIFS(nNOTA,nNIA,S322,nCUENTA,1,nASIG,"Orquesta/Banda/Conjunto"),"")))</f>
        <v/>
      </c>
      <c r="V322" t="str">
        <f>IF(S322="","",IF(S322="[FÓRMULA MANUAL]","",IFERROR(AVERAGEIFS(nNOTA,nNIA,S322,nCUENTA,1,nASIG,"Música de Cámara"),"")))</f>
        <v/>
      </c>
      <c r="W322" t="str">
        <f>IF(S322="","",IF(S322="[FÓRMULA MANUAL]","",IFERROR(SUMPRODUCT((nNIA=S322)*(nCUENTA=1)*(COUNTIF(CONFIG_ASIGNATURAS!$B$7:$B$27,nASIG)&gt;0)*(nNOTA))/SUMPRODUCT((nNIA=S322)*(nCUENTA=1)*(COUNTIF(CONFIG_ASIGNATURAS!$B$7:$B$27,nASIG)&gt;0)*1),"")))</f>
        <v/>
      </c>
      <c r="Z322" t="str">
        <f>IF(Y322="","",IF(Y322="[FÓRMULA MANUAL]","",IFERROR(AVERAGEIFS(nNOTA,nNIA,Y322,nCUENTA,1,nASIG,"Análisis"),"")))</f>
        <v/>
      </c>
      <c r="AA322" t="str">
        <f>IF(Y322="","",IF(Y322="[FÓRMULA MANUAL]","",IFERROR(AVERAGEIFS(nNOTA,nNIA,Y322,nCUENTA,1,nASIG,"Orquesta/Banda/Conjunto"),"")))</f>
        <v/>
      </c>
      <c r="AB322" t="str">
        <f>IF(Y322="","",IF(Y322="[FÓRMULA MANUAL]","",IFERROR(AVERAGEIFS(nNOTA,nNIA,Y322,nCUENTA,1,nASIG,"Música de Cámara"),"")))</f>
        <v/>
      </c>
      <c r="AC322" t="str">
        <f>IF(Y322="","",IF(Y322="[FÓRMULA MANUAL]","",IFERROR(SUMPRODUCT((nNIA=Y322)*(nCUENTA=1)*(COUNTIF(CONFIG_ASIGNATURAS!$B$7:$B$27,nASIG)&gt;0)*(nNOTA))/SUMPRODUCT((nNIA=Y322)*(nCUENTA=1)*(COUNTIF(CONFIG_ASIGNATURAS!$B$7:$B$27,nASIG)&gt;0)*1),"")))</f>
        <v/>
      </c>
      <c r="AF322" t="str">
        <f>IF(AE322="","",IF(AE322="[FÓRMULA MANUAL]","",IFERROR(AVERAGEIFS(nNOTA,nNIA,AE322,nCUENTA,1,nASIG,"Análisis"),"")))</f>
        <v/>
      </c>
      <c r="AG322" t="str">
        <f>IF(AE322="","",IF(AE322="[FÓRMULA MANUAL]","",IFERROR(AVERAGEIFS(nNOTA,nNIA,AE322,nCUENTA,1,nASIG,"Orquesta/Banda/Conjunto"),"")))</f>
        <v/>
      </c>
      <c r="AH322" t="str">
        <f>IF(AE322="","",IF(AE322="[FÓRMULA MANUAL]","",IFERROR(AVERAGEIFS(nNOTA,nNIA,AE322,nCUENTA,1,nASIG,"Música de Cámara"),"")))</f>
        <v/>
      </c>
      <c r="AI322" t="str">
        <f>IF(AE322="","",IF(AE322="[FÓRMULA MANUAL]","",IFERROR(SUMPRODUCT((nNIA=AE322)*(nCUENTA=1)*(COUNTIF(CONFIG_ASIGNATURAS!$B$7:$B$27,nASIG)&gt;0)*(nNOTA))/SUMPRODUCT((nNIA=AE322)*(nCUENTA=1)*(COUNTIF(CONFIG_ASIGNATURAS!$B$7:$B$27,nASIG)&gt;0)*1),"")))</f>
        <v/>
      </c>
    </row>
    <row r="323" spans="2:35" x14ac:dyDescent="0.2">
      <c r="B323" t="str">
        <f>IF(A323="","",IF(A323="[FÓRMULA MANUAL]","",IFERROR(AVERAGEIFS(nNOTA,nNIA,A323,nCUENTA,1,nASIG,"Lenguaje Musical"),"")))</f>
        <v/>
      </c>
      <c r="C323" t="str">
        <f>IF(A323="","",IF(A323="[FÓRMULA MANUAL]","",IFERROR(AVERAGEIFS(nNOTA,nNIA,A323,nCUENTA,1,nASIG,"Orquesta/Banda/Conjunto"),"")))</f>
        <v/>
      </c>
      <c r="D323" t="str">
        <f>IF(A323="","",IF(A323="[FÓRMULA MANUAL]","",IFERROR(AVERAGEIFS(nNOTA,nNIA,A323,nCUENTA,1,nASIG,"Conjunto"),"")))</f>
        <v/>
      </c>
      <c r="E323" t="str">
        <f>IF(A323="","",IF(A323="[FÓRMULA MANUAL]","",IFERROR(SUMPRODUCT((nNIA=A323)*(nCUENTA=1)*(COUNTIF(CONFIG_ASIGNATURAS!$B$7:$B$27,nASIG)&gt;0)*(nNOTA))/SUMPRODUCT((nNIA=A323)*(nCUENTA=1)*(COUNTIF(CONFIG_ASIGNATURAS!$B$7:$B$27,nASIG)&gt;0)*1),"")))</f>
        <v/>
      </c>
      <c r="H323" t="str">
        <f>IF(G323="","",IF(G323="[FÓRMULA MANUAL]","",IFERROR(AVERAGEIFS(nNOTA,nNIA,G323,nCUENTA,1,nASIG,"Lenguaje Musical"),"")))</f>
        <v/>
      </c>
      <c r="I323" t="str">
        <f>IF(G323="","",IF(G323="[FÓRMULA MANUAL]","",IFERROR(AVERAGEIFS(nNOTA,nNIA,G323,nCUENTA,1,nASIG,"Orquesta/Banda/Conjunto"),"")))</f>
        <v/>
      </c>
      <c r="J323" t="str">
        <f>IF(G323="","",IF(G323="[FÓRMULA MANUAL]","",IFERROR(AVERAGEIFS(nNOTA,nNIA,G323,nCUENTA,1,nASIG,"Conjunto"),"")))</f>
        <v/>
      </c>
      <c r="K323" t="str">
        <f>IF(G323="","",IF(G323="[FÓRMULA MANUAL]","",IFERROR(SUMPRODUCT((nNIA=G323)*(nCUENTA=1)*(COUNTIF(CONFIG_ASIGNATURAS!$B$7:$B$27,nASIG)&gt;0)*(nNOTA))/SUMPRODUCT((nNIA=G323)*(nCUENTA=1)*(COUNTIF(CONFIG_ASIGNATURAS!$B$7:$B$27,nASIG)&gt;0)*1),"")))</f>
        <v/>
      </c>
      <c r="N323" t="str">
        <f>IF(M323="","",IF(M323="[FÓRMULA MANUAL]","",IFERROR(AVERAGEIFS(nNOTA,nNIA,M323,nCUENTA,1,nASIG,"Armonía"),"")))</f>
        <v/>
      </c>
      <c r="O323" t="str">
        <f>IF(M323="","",IF(M323="[FÓRMULA MANUAL]","",IFERROR(AVERAGEIFS(nNOTA,nNIA,M323,nCUENTA,1,nASIG,"Orquesta/Banda/Conjunto"),"")))</f>
        <v/>
      </c>
      <c r="P323" t="str">
        <f>IF(M323="","",IF(M323="[FÓRMULA MANUAL]","",IFERROR(AVERAGEIFS(nNOTA,nNIA,M323,nCUENTA,1,nASIG,"Música de Cámara"),"")))</f>
        <v/>
      </c>
      <c r="Q323" t="str">
        <f>IF(M323="","",IF(M323="[FÓRMULA MANUAL]","",IFERROR(SUMPRODUCT((nNIA=M323)*(nCUENTA=1)*(COUNTIF(CONFIG_ASIGNATURAS!$B$7:$B$27,nASIG)&gt;0)*(nNOTA))/SUMPRODUCT((nNIA=M323)*(nCUENTA=1)*(COUNTIF(CONFIG_ASIGNATURAS!$B$7:$B$27,nASIG)&gt;0)*1),"")))</f>
        <v/>
      </c>
      <c r="T323" t="str">
        <f>IF(S323="","",IF(S323="[FÓRMULA MANUAL]","",IFERROR(AVERAGEIFS(nNOTA,nNIA,S323,nCUENTA,1,nASIG,"Armonía"),"")))</f>
        <v/>
      </c>
      <c r="U323" t="str">
        <f>IF(S323="","",IF(S323="[FÓRMULA MANUAL]","",IFERROR(AVERAGEIFS(nNOTA,nNIA,S323,nCUENTA,1,nASIG,"Orquesta/Banda/Conjunto"),"")))</f>
        <v/>
      </c>
      <c r="V323" t="str">
        <f>IF(S323="","",IF(S323="[FÓRMULA MANUAL]","",IFERROR(AVERAGEIFS(nNOTA,nNIA,S323,nCUENTA,1,nASIG,"Música de Cámara"),"")))</f>
        <v/>
      </c>
      <c r="W323" t="str">
        <f>IF(S323="","",IF(S323="[FÓRMULA MANUAL]","",IFERROR(SUMPRODUCT((nNIA=S323)*(nCUENTA=1)*(COUNTIF(CONFIG_ASIGNATURAS!$B$7:$B$27,nASIG)&gt;0)*(nNOTA))/SUMPRODUCT((nNIA=S323)*(nCUENTA=1)*(COUNTIF(CONFIG_ASIGNATURAS!$B$7:$B$27,nASIG)&gt;0)*1),"")))</f>
        <v/>
      </c>
      <c r="Z323" t="str">
        <f>IF(Y323="","",IF(Y323="[FÓRMULA MANUAL]","",IFERROR(AVERAGEIFS(nNOTA,nNIA,Y323,nCUENTA,1,nASIG,"Análisis"),"")))</f>
        <v/>
      </c>
      <c r="AA323" t="str">
        <f>IF(Y323="","",IF(Y323="[FÓRMULA MANUAL]","",IFERROR(AVERAGEIFS(nNOTA,nNIA,Y323,nCUENTA,1,nASIG,"Orquesta/Banda/Conjunto"),"")))</f>
        <v/>
      </c>
      <c r="AB323" t="str">
        <f>IF(Y323="","",IF(Y323="[FÓRMULA MANUAL]","",IFERROR(AVERAGEIFS(nNOTA,nNIA,Y323,nCUENTA,1,nASIG,"Música de Cámara"),"")))</f>
        <v/>
      </c>
      <c r="AC323" t="str">
        <f>IF(Y323="","",IF(Y323="[FÓRMULA MANUAL]","",IFERROR(SUMPRODUCT((nNIA=Y323)*(nCUENTA=1)*(COUNTIF(CONFIG_ASIGNATURAS!$B$7:$B$27,nASIG)&gt;0)*(nNOTA))/SUMPRODUCT((nNIA=Y323)*(nCUENTA=1)*(COUNTIF(CONFIG_ASIGNATURAS!$B$7:$B$27,nASIG)&gt;0)*1),"")))</f>
        <v/>
      </c>
      <c r="AF323" t="str">
        <f>IF(AE323="","",IF(AE323="[FÓRMULA MANUAL]","",IFERROR(AVERAGEIFS(nNOTA,nNIA,AE323,nCUENTA,1,nASIG,"Análisis"),"")))</f>
        <v/>
      </c>
      <c r="AG323" t="str">
        <f>IF(AE323="","",IF(AE323="[FÓRMULA MANUAL]","",IFERROR(AVERAGEIFS(nNOTA,nNIA,AE323,nCUENTA,1,nASIG,"Orquesta/Banda/Conjunto"),"")))</f>
        <v/>
      </c>
      <c r="AH323" t="str">
        <f>IF(AE323="","",IF(AE323="[FÓRMULA MANUAL]","",IFERROR(AVERAGEIFS(nNOTA,nNIA,AE323,nCUENTA,1,nASIG,"Música de Cámara"),"")))</f>
        <v/>
      </c>
      <c r="AI323" t="str">
        <f>IF(AE323="","",IF(AE323="[FÓRMULA MANUAL]","",IFERROR(SUMPRODUCT((nNIA=AE323)*(nCUENTA=1)*(COUNTIF(CONFIG_ASIGNATURAS!$B$7:$B$27,nASIG)&gt;0)*(nNOTA))/SUMPRODUCT((nNIA=AE323)*(nCUENTA=1)*(COUNTIF(CONFIG_ASIGNATURAS!$B$7:$B$27,nASIG)&gt;0)*1),"")))</f>
        <v/>
      </c>
    </row>
    <row r="324" spans="2:35" x14ac:dyDescent="0.2">
      <c r="B324" t="str">
        <f>IF(A324="","",IF(A324="[FÓRMULA MANUAL]","",IFERROR(AVERAGEIFS(nNOTA,nNIA,A324,nCUENTA,1,nASIG,"Lenguaje Musical"),"")))</f>
        <v/>
      </c>
      <c r="C324" t="str">
        <f>IF(A324="","",IF(A324="[FÓRMULA MANUAL]","",IFERROR(AVERAGEIFS(nNOTA,nNIA,A324,nCUENTA,1,nASIG,"Orquesta/Banda/Conjunto"),"")))</f>
        <v/>
      </c>
      <c r="D324" t="str">
        <f>IF(A324="","",IF(A324="[FÓRMULA MANUAL]","",IFERROR(AVERAGEIFS(nNOTA,nNIA,A324,nCUENTA,1,nASIG,"Conjunto"),"")))</f>
        <v/>
      </c>
      <c r="E324" t="str">
        <f>IF(A324="","",IF(A324="[FÓRMULA MANUAL]","",IFERROR(SUMPRODUCT((nNIA=A324)*(nCUENTA=1)*(COUNTIF(CONFIG_ASIGNATURAS!$B$7:$B$27,nASIG)&gt;0)*(nNOTA))/SUMPRODUCT((nNIA=A324)*(nCUENTA=1)*(COUNTIF(CONFIG_ASIGNATURAS!$B$7:$B$27,nASIG)&gt;0)*1),"")))</f>
        <v/>
      </c>
      <c r="H324" t="str">
        <f>IF(G324="","",IF(G324="[FÓRMULA MANUAL]","",IFERROR(AVERAGEIFS(nNOTA,nNIA,G324,nCUENTA,1,nASIG,"Lenguaje Musical"),"")))</f>
        <v/>
      </c>
      <c r="I324" t="str">
        <f>IF(G324="","",IF(G324="[FÓRMULA MANUAL]","",IFERROR(AVERAGEIFS(nNOTA,nNIA,G324,nCUENTA,1,nASIG,"Orquesta/Banda/Conjunto"),"")))</f>
        <v/>
      </c>
      <c r="J324" t="str">
        <f>IF(G324="","",IF(G324="[FÓRMULA MANUAL]","",IFERROR(AVERAGEIFS(nNOTA,nNIA,G324,nCUENTA,1,nASIG,"Conjunto"),"")))</f>
        <v/>
      </c>
      <c r="K324" t="str">
        <f>IF(G324="","",IF(G324="[FÓRMULA MANUAL]","",IFERROR(SUMPRODUCT((nNIA=G324)*(nCUENTA=1)*(COUNTIF(CONFIG_ASIGNATURAS!$B$7:$B$27,nASIG)&gt;0)*(nNOTA))/SUMPRODUCT((nNIA=G324)*(nCUENTA=1)*(COUNTIF(CONFIG_ASIGNATURAS!$B$7:$B$27,nASIG)&gt;0)*1),"")))</f>
        <v/>
      </c>
      <c r="N324" t="str">
        <f>IF(M324="","",IF(M324="[FÓRMULA MANUAL]","",IFERROR(AVERAGEIFS(nNOTA,nNIA,M324,nCUENTA,1,nASIG,"Armonía"),"")))</f>
        <v/>
      </c>
      <c r="O324" t="str">
        <f>IF(M324="","",IF(M324="[FÓRMULA MANUAL]","",IFERROR(AVERAGEIFS(nNOTA,nNIA,M324,nCUENTA,1,nASIG,"Orquesta/Banda/Conjunto"),"")))</f>
        <v/>
      </c>
      <c r="P324" t="str">
        <f>IF(M324="","",IF(M324="[FÓRMULA MANUAL]","",IFERROR(AVERAGEIFS(nNOTA,nNIA,M324,nCUENTA,1,nASIG,"Música de Cámara"),"")))</f>
        <v/>
      </c>
      <c r="Q324" t="str">
        <f>IF(M324="","",IF(M324="[FÓRMULA MANUAL]","",IFERROR(SUMPRODUCT((nNIA=M324)*(nCUENTA=1)*(COUNTIF(CONFIG_ASIGNATURAS!$B$7:$B$27,nASIG)&gt;0)*(nNOTA))/SUMPRODUCT((nNIA=M324)*(nCUENTA=1)*(COUNTIF(CONFIG_ASIGNATURAS!$B$7:$B$27,nASIG)&gt;0)*1),"")))</f>
        <v/>
      </c>
      <c r="T324" t="str">
        <f>IF(S324="","",IF(S324="[FÓRMULA MANUAL]","",IFERROR(AVERAGEIFS(nNOTA,nNIA,S324,nCUENTA,1,nASIG,"Armonía"),"")))</f>
        <v/>
      </c>
      <c r="U324" t="str">
        <f>IF(S324="","",IF(S324="[FÓRMULA MANUAL]","",IFERROR(AVERAGEIFS(nNOTA,nNIA,S324,nCUENTA,1,nASIG,"Orquesta/Banda/Conjunto"),"")))</f>
        <v/>
      </c>
      <c r="V324" t="str">
        <f>IF(S324="","",IF(S324="[FÓRMULA MANUAL]","",IFERROR(AVERAGEIFS(nNOTA,nNIA,S324,nCUENTA,1,nASIG,"Música de Cámara"),"")))</f>
        <v/>
      </c>
      <c r="W324" t="str">
        <f>IF(S324="","",IF(S324="[FÓRMULA MANUAL]","",IFERROR(SUMPRODUCT((nNIA=S324)*(nCUENTA=1)*(COUNTIF(CONFIG_ASIGNATURAS!$B$7:$B$27,nASIG)&gt;0)*(nNOTA))/SUMPRODUCT((nNIA=S324)*(nCUENTA=1)*(COUNTIF(CONFIG_ASIGNATURAS!$B$7:$B$27,nASIG)&gt;0)*1),"")))</f>
        <v/>
      </c>
      <c r="Z324" t="str">
        <f>IF(Y324="","",IF(Y324="[FÓRMULA MANUAL]","",IFERROR(AVERAGEIFS(nNOTA,nNIA,Y324,nCUENTA,1,nASIG,"Análisis"),"")))</f>
        <v/>
      </c>
      <c r="AA324" t="str">
        <f>IF(Y324="","",IF(Y324="[FÓRMULA MANUAL]","",IFERROR(AVERAGEIFS(nNOTA,nNIA,Y324,nCUENTA,1,nASIG,"Orquesta/Banda/Conjunto"),"")))</f>
        <v/>
      </c>
      <c r="AB324" t="str">
        <f>IF(Y324="","",IF(Y324="[FÓRMULA MANUAL]","",IFERROR(AVERAGEIFS(nNOTA,nNIA,Y324,nCUENTA,1,nASIG,"Música de Cámara"),"")))</f>
        <v/>
      </c>
      <c r="AC324" t="str">
        <f>IF(Y324="","",IF(Y324="[FÓRMULA MANUAL]","",IFERROR(SUMPRODUCT((nNIA=Y324)*(nCUENTA=1)*(COUNTIF(CONFIG_ASIGNATURAS!$B$7:$B$27,nASIG)&gt;0)*(nNOTA))/SUMPRODUCT((nNIA=Y324)*(nCUENTA=1)*(COUNTIF(CONFIG_ASIGNATURAS!$B$7:$B$27,nASIG)&gt;0)*1),"")))</f>
        <v/>
      </c>
      <c r="AF324" t="str">
        <f>IF(AE324="","",IF(AE324="[FÓRMULA MANUAL]","",IFERROR(AVERAGEIFS(nNOTA,nNIA,AE324,nCUENTA,1,nASIG,"Análisis"),"")))</f>
        <v/>
      </c>
      <c r="AG324" t="str">
        <f>IF(AE324="","",IF(AE324="[FÓRMULA MANUAL]","",IFERROR(AVERAGEIFS(nNOTA,nNIA,AE324,nCUENTA,1,nASIG,"Orquesta/Banda/Conjunto"),"")))</f>
        <v/>
      </c>
      <c r="AH324" t="str">
        <f>IF(AE324="","",IF(AE324="[FÓRMULA MANUAL]","",IFERROR(AVERAGEIFS(nNOTA,nNIA,AE324,nCUENTA,1,nASIG,"Música de Cámara"),"")))</f>
        <v/>
      </c>
      <c r="AI324" t="str">
        <f>IF(AE324="","",IF(AE324="[FÓRMULA MANUAL]","",IFERROR(SUMPRODUCT((nNIA=AE324)*(nCUENTA=1)*(COUNTIF(CONFIG_ASIGNATURAS!$B$7:$B$27,nASIG)&gt;0)*(nNOTA))/SUMPRODUCT((nNIA=AE324)*(nCUENTA=1)*(COUNTIF(CONFIG_ASIGNATURAS!$B$7:$B$27,nASIG)&gt;0)*1),"")))</f>
        <v/>
      </c>
    </row>
    <row r="325" spans="2:35" x14ac:dyDescent="0.2">
      <c r="B325" t="str">
        <f>IF(A325="","",IF(A325="[FÓRMULA MANUAL]","",IFERROR(AVERAGEIFS(nNOTA,nNIA,A325,nCUENTA,1,nASIG,"Lenguaje Musical"),"")))</f>
        <v/>
      </c>
      <c r="C325" t="str">
        <f>IF(A325="","",IF(A325="[FÓRMULA MANUAL]","",IFERROR(AVERAGEIFS(nNOTA,nNIA,A325,nCUENTA,1,nASIG,"Orquesta/Banda/Conjunto"),"")))</f>
        <v/>
      </c>
      <c r="D325" t="str">
        <f>IF(A325="","",IF(A325="[FÓRMULA MANUAL]","",IFERROR(AVERAGEIFS(nNOTA,nNIA,A325,nCUENTA,1,nASIG,"Conjunto"),"")))</f>
        <v/>
      </c>
      <c r="E325" t="str">
        <f>IF(A325="","",IF(A325="[FÓRMULA MANUAL]","",IFERROR(SUMPRODUCT((nNIA=A325)*(nCUENTA=1)*(COUNTIF(CONFIG_ASIGNATURAS!$B$7:$B$27,nASIG)&gt;0)*(nNOTA))/SUMPRODUCT((nNIA=A325)*(nCUENTA=1)*(COUNTIF(CONFIG_ASIGNATURAS!$B$7:$B$27,nASIG)&gt;0)*1),"")))</f>
        <v/>
      </c>
      <c r="H325" t="str">
        <f>IF(G325="","",IF(G325="[FÓRMULA MANUAL]","",IFERROR(AVERAGEIFS(nNOTA,nNIA,G325,nCUENTA,1,nASIG,"Lenguaje Musical"),"")))</f>
        <v/>
      </c>
      <c r="I325" t="str">
        <f>IF(G325="","",IF(G325="[FÓRMULA MANUAL]","",IFERROR(AVERAGEIFS(nNOTA,nNIA,G325,nCUENTA,1,nASIG,"Orquesta/Banda/Conjunto"),"")))</f>
        <v/>
      </c>
      <c r="J325" t="str">
        <f>IF(G325="","",IF(G325="[FÓRMULA MANUAL]","",IFERROR(AVERAGEIFS(nNOTA,nNIA,G325,nCUENTA,1,nASIG,"Conjunto"),"")))</f>
        <v/>
      </c>
      <c r="K325" t="str">
        <f>IF(G325="","",IF(G325="[FÓRMULA MANUAL]","",IFERROR(SUMPRODUCT((nNIA=G325)*(nCUENTA=1)*(COUNTIF(CONFIG_ASIGNATURAS!$B$7:$B$27,nASIG)&gt;0)*(nNOTA))/SUMPRODUCT((nNIA=G325)*(nCUENTA=1)*(COUNTIF(CONFIG_ASIGNATURAS!$B$7:$B$27,nASIG)&gt;0)*1),"")))</f>
        <v/>
      </c>
      <c r="N325" t="str">
        <f>IF(M325="","",IF(M325="[FÓRMULA MANUAL]","",IFERROR(AVERAGEIFS(nNOTA,nNIA,M325,nCUENTA,1,nASIG,"Armonía"),"")))</f>
        <v/>
      </c>
      <c r="O325" t="str">
        <f>IF(M325="","",IF(M325="[FÓRMULA MANUAL]","",IFERROR(AVERAGEIFS(nNOTA,nNIA,M325,nCUENTA,1,nASIG,"Orquesta/Banda/Conjunto"),"")))</f>
        <v/>
      </c>
      <c r="P325" t="str">
        <f>IF(M325="","",IF(M325="[FÓRMULA MANUAL]","",IFERROR(AVERAGEIFS(nNOTA,nNIA,M325,nCUENTA,1,nASIG,"Música de Cámara"),"")))</f>
        <v/>
      </c>
      <c r="Q325" t="str">
        <f>IF(M325="","",IF(M325="[FÓRMULA MANUAL]","",IFERROR(SUMPRODUCT((nNIA=M325)*(nCUENTA=1)*(COUNTIF(CONFIG_ASIGNATURAS!$B$7:$B$27,nASIG)&gt;0)*(nNOTA))/SUMPRODUCT((nNIA=M325)*(nCUENTA=1)*(COUNTIF(CONFIG_ASIGNATURAS!$B$7:$B$27,nASIG)&gt;0)*1),"")))</f>
        <v/>
      </c>
      <c r="T325" t="str">
        <f>IF(S325="","",IF(S325="[FÓRMULA MANUAL]","",IFERROR(AVERAGEIFS(nNOTA,nNIA,S325,nCUENTA,1,nASIG,"Armonía"),"")))</f>
        <v/>
      </c>
      <c r="U325" t="str">
        <f>IF(S325="","",IF(S325="[FÓRMULA MANUAL]","",IFERROR(AVERAGEIFS(nNOTA,nNIA,S325,nCUENTA,1,nASIG,"Orquesta/Banda/Conjunto"),"")))</f>
        <v/>
      </c>
      <c r="V325" t="str">
        <f>IF(S325="","",IF(S325="[FÓRMULA MANUAL]","",IFERROR(AVERAGEIFS(nNOTA,nNIA,S325,nCUENTA,1,nASIG,"Música de Cámara"),"")))</f>
        <v/>
      </c>
      <c r="W325" t="str">
        <f>IF(S325="","",IF(S325="[FÓRMULA MANUAL]","",IFERROR(SUMPRODUCT((nNIA=S325)*(nCUENTA=1)*(COUNTIF(CONFIG_ASIGNATURAS!$B$7:$B$27,nASIG)&gt;0)*(nNOTA))/SUMPRODUCT((nNIA=S325)*(nCUENTA=1)*(COUNTIF(CONFIG_ASIGNATURAS!$B$7:$B$27,nASIG)&gt;0)*1),"")))</f>
        <v/>
      </c>
      <c r="Z325" t="str">
        <f>IF(Y325="","",IF(Y325="[FÓRMULA MANUAL]","",IFERROR(AVERAGEIFS(nNOTA,nNIA,Y325,nCUENTA,1,nASIG,"Análisis"),"")))</f>
        <v/>
      </c>
      <c r="AA325" t="str">
        <f>IF(Y325="","",IF(Y325="[FÓRMULA MANUAL]","",IFERROR(AVERAGEIFS(nNOTA,nNIA,Y325,nCUENTA,1,nASIG,"Orquesta/Banda/Conjunto"),"")))</f>
        <v/>
      </c>
      <c r="AB325" t="str">
        <f>IF(Y325="","",IF(Y325="[FÓRMULA MANUAL]","",IFERROR(AVERAGEIFS(nNOTA,nNIA,Y325,nCUENTA,1,nASIG,"Música de Cámara"),"")))</f>
        <v/>
      </c>
      <c r="AC325" t="str">
        <f>IF(Y325="","",IF(Y325="[FÓRMULA MANUAL]","",IFERROR(SUMPRODUCT((nNIA=Y325)*(nCUENTA=1)*(COUNTIF(CONFIG_ASIGNATURAS!$B$7:$B$27,nASIG)&gt;0)*(nNOTA))/SUMPRODUCT((nNIA=Y325)*(nCUENTA=1)*(COUNTIF(CONFIG_ASIGNATURAS!$B$7:$B$27,nASIG)&gt;0)*1),"")))</f>
        <v/>
      </c>
      <c r="AF325" t="str">
        <f>IF(AE325="","",IF(AE325="[FÓRMULA MANUAL]","",IFERROR(AVERAGEIFS(nNOTA,nNIA,AE325,nCUENTA,1,nASIG,"Análisis"),"")))</f>
        <v/>
      </c>
      <c r="AG325" t="str">
        <f>IF(AE325="","",IF(AE325="[FÓRMULA MANUAL]","",IFERROR(AVERAGEIFS(nNOTA,nNIA,AE325,nCUENTA,1,nASIG,"Orquesta/Banda/Conjunto"),"")))</f>
        <v/>
      </c>
      <c r="AH325" t="str">
        <f>IF(AE325="","",IF(AE325="[FÓRMULA MANUAL]","",IFERROR(AVERAGEIFS(nNOTA,nNIA,AE325,nCUENTA,1,nASIG,"Música de Cámara"),"")))</f>
        <v/>
      </c>
      <c r="AI325" t="str">
        <f>IF(AE325="","",IF(AE325="[FÓRMULA MANUAL]","",IFERROR(SUMPRODUCT((nNIA=AE325)*(nCUENTA=1)*(COUNTIF(CONFIG_ASIGNATURAS!$B$7:$B$27,nASIG)&gt;0)*(nNOTA))/SUMPRODUCT((nNIA=AE325)*(nCUENTA=1)*(COUNTIF(CONFIG_ASIGNATURAS!$B$7:$B$27,nASIG)&gt;0)*1),"")))</f>
        <v/>
      </c>
    </row>
    <row r="326" spans="2:35" x14ac:dyDescent="0.2">
      <c r="B326" t="str">
        <f>IF(A326="","",IF(A326="[FÓRMULA MANUAL]","",IFERROR(AVERAGEIFS(nNOTA,nNIA,A326,nCUENTA,1,nASIG,"Lenguaje Musical"),"")))</f>
        <v/>
      </c>
      <c r="C326" t="str">
        <f>IF(A326="","",IF(A326="[FÓRMULA MANUAL]","",IFERROR(AVERAGEIFS(nNOTA,nNIA,A326,nCUENTA,1,nASIG,"Orquesta/Banda/Conjunto"),"")))</f>
        <v/>
      </c>
      <c r="D326" t="str">
        <f>IF(A326="","",IF(A326="[FÓRMULA MANUAL]","",IFERROR(AVERAGEIFS(nNOTA,nNIA,A326,nCUENTA,1,nASIG,"Conjunto"),"")))</f>
        <v/>
      </c>
      <c r="E326" t="str">
        <f>IF(A326="","",IF(A326="[FÓRMULA MANUAL]","",IFERROR(SUMPRODUCT((nNIA=A326)*(nCUENTA=1)*(COUNTIF(CONFIG_ASIGNATURAS!$B$7:$B$27,nASIG)&gt;0)*(nNOTA))/SUMPRODUCT((nNIA=A326)*(nCUENTA=1)*(COUNTIF(CONFIG_ASIGNATURAS!$B$7:$B$27,nASIG)&gt;0)*1),"")))</f>
        <v/>
      </c>
      <c r="H326" t="str">
        <f>IF(G326="","",IF(G326="[FÓRMULA MANUAL]","",IFERROR(AVERAGEIFS(nNOTA,nNIA,G326,nCUENTA,1,nASIG,"Lenguaje Musical"),"")))</f>
        <v/>
      </c>
      <c r="I326" t="str">
        <f>IF(G326="","",IF(G326="[FÓRMULA MANUAL]","",IFERROR(AVERAGEIFS(nNOTA,nNIA,G326,nCUENTA,1,nASIG,"Orquesta/Banda/Conjunto"),"")))</f>
        <v/>
      </c>
      <c r="J326" t="str">
        <f>IF(G326="","",IF(G326="[FÓRMULA MANUAL]","",IFERROR(AVERAGEIFS(nNOTA,nNIA,G326,nCUENTA,1,nASIG,"Conjunto"),"")))</f>
        <v/>
      </c>
      <c r="K326" t="str">
        <f>IF(G326="","",IF(G326="[FÓRMULA MANUAL]","",IFERROR(SUMPRODUCT((nNIA=G326)*(nCUENTA=1)*(COUNTIF(CONFIG_ASIGNATURAS!$B$7:$B$27,nASIG)&gt;0)*(nNOTA))/SUMPRODUCT((nNIA=G326)*(nCUENTA=1)*(COUNTIF(CONFIG_ASIGNATURAS!$B$7:$B$27,nASIG)&gt;0)*1),"")))</f>
        <v/>
      </c>
      <c r="N326" t="str">
        <f>IF(M326="","",IF(M326="[FÓRMULA MANUAL]","",IFERROR(AVERAGEIFS(nNOTA,nNIA,M326,nCUENTA,1,nASIG,"Armonía"),"")))</f>
        <v/>
      </c>
      <c r="O326" t="str">
        <f>IF(M326="","",IF(M326="[FÓRMULA MANUAL]","",IFERROR(AVERAGEIFS(nNOTA,nNIA,M326,nCUENTA,1,nASIG,"Orquesta/Banda/Conjunto"),"")))</f>
        <v/>
      </c>
      <c r="P326" t="str">
        <f>IF(M326="","",IF(M326="[FÓRMULA MANUAL]","",IFERROR(AVERAGEIFS(nNOTA,nNIA,M326,nCUENTA,1,nASIG,"Música de Cámara"),"")))</f>
        <v/>
      </c>
      <c r="Q326" t="str">
        <f>IF(M326="","",IF(M326="[FÓRMULA MANUAL]","",IFERROR(SUMPRODUCT((nNIA=M326)*(nCUENTA=1)*(COUNTIF(CONFIG_ASIGNATURAS!$B$7:$B$27,nASIG)&gt;0)*(nNOTA))/SUMPRODUCT((nNIA=M326)*(nCUENTA=1)*(COUNTIF(CONFIG_ASIGNATURAS!$B$7:$B$27,nASIG)&gt;0)*1),"")))</f>
        <v/>
      </c>
      <c r="T326" t="str">
        <f>IF(S326="","",IF(S326="[FÓRMULA MANUAL]","",IFERROR(AVERAGEIFS(nNOTA,nNIA,S326,nCUENTA,1,nASIG,"Armonía"),"")))</f>
        <v/>
      </c>
      <c r="U326" t="str">
        <f>IF(S326="","",IF(S326="[FÓRMULA MANUAL]","",IFERROR(AVERAGEIFS(nNOTA,nNIA,S326,nCUENTA,1,nASIG,"Orquesta/Banda/Conjunto"),"")))</f>
        <v/>
      </c>
      <c r="V326" t="str">
        <f>IF(S326="","",IF(S326="[FÓRMULA MANUAL]","",IFERROR(AVERAGEIFS(nNOTA,nNIA,S326,nCUENTA,1,nASIG,"Música de Cámara"),"")))</f>
        <v/>
      </c>
      <c r="W326" t="str">
        <f>IF(S326="","",IF(S326="[FÓRMULA MANUAL]","",IFERROR(SUMPRODUCT((nNIA=S326)*(nCUENTA=1)*(COUNTIF(CONFIG_ASIGNATURAS!$B$7:$B$27,nASIG)&gt;0)*(nNOTA))/SUMPRODUCT((nNIA=S326)*(nCUENTA=1)*(COUNTIF(CONFIG_ASIGNATURAS!$B$7:$B$27,nASIG)&gt;0)*1),"")))</f>
        <v/>
      </c>
      <c r="Z326" t="str">
        <f>IF(Y326="","",IF(Y326="[FÓRMULA MANUAL]","",IFERROR(AVERAGEIFS(nNOTA,nNIA,Y326,nCUENTA,1,nASIG,"Análisis"),"")))</f>
        <v/>
      </c>
      <c r="AA326" t="str">
        <f>IF(Y326="","",IF(Y326="[FÓRMULA MANUAL]","",IFERROR(AVERAGEIFS(nNOTA,nNIA,Y326,nCUENTA,1,nASIG,"Orquesta/Banda/Conjunto"),"")))</f>
        <v/>
      </c>
      <c r="AB326" t="str">
        <f>IF(Y326="","",IF(Y326="[FÓRMULA MANUAL]","",IFERROR(AVERAGEIFS(nNOTA,nNIA,Y326,nCUENTA,1,nASIG,"Música de Cámara"),"")))</f>
        <v/>
      </c>
      <c r="AC326" t="str">
        <f>IF(Y326="","",IF(Y326="[FÓRMULA MANUAL]","",IFERROR(SUMPRODUCT((nNIA=Y326)*(nCUENTA=1)*(COUNTIF(CONFIG_ASIGNATURAS!$B$7:$B$27,nASIG)&gt;0)*(nNOTA))/SUMPRODUCT((nNIA=Y326)*(nCUENTA=1)*(COUNTIF(CONFIG_ASIGNATURAS!$B$7:$B$27,nASIG)&gt;0)*1),"")))</f>
        <v/>
      </c>
      <c r="AF326" t="str">
        <f>IF(AE326="","",IF(AE326="[FÓRMULA MANUAL]","",IFERROR(AVERAGEIFS(nNOTA,nNIA,AE326,nCUENTA,1,nASIG,"Análisis"),"")))</f>
        <v/>
      </c>
      <c r="AG326" t="str">
        <f>IF(AE326="","",IF(AE326="[FÓRMULA MANUAL]","",IFERROR(AVERAGEIFS(nNOTA,nNIA,AE326,nCUENTA,1,nASIG,"Orquesta/Banda/Conjunto"),"")))</f>
        <v/>
      </c>
      <c r="AH326" t="str">
        <f>IF(AE326="","",IF(AE326="[FÓRMULA MANUAL]","",IFERROR(AVERAGEIFS(nNOTA,nNIA,AE326,nCUENTA,1,nASIG,"Música de Cámara"),"")))</f>
        <v/>
      </c>
      <c r="AI326" t="str">
        <f>IF(AE326="","",IF(AE326="[FÓRMULA MANUAL]","",IFERROR(SUMPRODUCT((nNIA=AE326)*(nCUENTA=1)*(COUNTIF(CONFIG_ASIGNATURAS!$B$7:$B$27,nASIG)&gt;0)*(nNOTA))/SUMPRODUCT((nNIA=AE326)*(nCUENTA=1)*(COUNTIF(CONFIG_ASIGNATURAS!$B$7:$B$27,nASIG)&gt;0)*1),"")))</f>
        <v/>
      </c>
    </row>
    <row r="327" spans="2:35" x14ac:dyDescent="0.2">
      <c r="B327" t="str">
        <f>IF(A327="","",IF(A327="[FÓRMULA MANUAL]","",IFERROR(AVERAGEIFS(nNOTA,nNIA,A327,nCUENTA,1,nASIG,"Lenguaje Musical"),"")))</f>
        <v/>
      </c>
      <c r="C327" t="str">
        <f>IF(A327="","",IF(A327="[FÓRMULA MANUAL]","",IFERROR(AVERAGEIFS(nNOTA,nNIA,A327,nCUENTA,1,nASIG,"Orquesta/Banda/Conjunto"),"")))</f>
        <v/>
      </c>
      <c r="D327" t="str">
        <f>IF(A327="","",IF(A327="[FÓRMULA MANUAL]","",IFERROR(AVERAGEIFS(nNOTA,nNIA,A327,nCUENTA,1,nASIG,"Conjunto"),"")))</f>
        <v/>
      </c>
      <c r="E327" t="str">
        <f>IF(A327="","",IF(A327="[FÓRMULA MANUAL]","",IFERROR(SUMPRODUCT((nNIA=A327)*(nCUENTA=1)*(COUNTIF(CONFIG_ASIGNATURAS!$B$7:$B$27,nASIG)&gt;0)*(nNOTA))/SUMPRODUCT((nNIA=A327)*(nCUENTA=1)*(COUNTIF(CONFIG_ASIGNATURAS!$B$7:$B$27,nASIG)&gt;0)*1),"")))</f>
        <v/>
      </c>
      <c r="H327" t="str">
        <f>IF(G327="","",IF(G327="[FÓRMULA MANUAL]","",IFERROR(AVERAGEIFS(nNOTA,nNIA,G327,nCUENTA,1,nASIG,"Lenguaje Musical"),"")))</f>
        <v/>
      </c>
      <c r="I327" t="str">
        <f>IF(G327="","",IF(G327="[FÓRMULA MANUAL]","",IFERROR(AVERAGEIFS(nNOTA,nNIA,G327,nCUENTA,1,nASIG,"Orquesta/Banda/Conjunto"),"")))</f>
        <v/>
      </c>
      <c r="J327" t="str">
        <f>IF(G327="","",IF(G327="[FÓRMULA MANUAL]","",IFERROR(AVERAGEIFS(nNOTA,nNIA,G327,nCUENTA,1,nASIG,"Conjunto"),"")))</f>
        <v/>
      </c>
      <c r="K327" t="str">
        <f>IF(G327="","",IF(G327="[FÓRMULA MANUAL]","",IFERROR(SUMPRODUCT((nNIA=G327)*(nCUENTA=1)*(COUNTIF(CONFIG_ASIGNATURAS!$B$7:$B$27,nASIG)&gt;0)*(nNOTA))/SUMPRODUCT((nNIA=G327)*(nCUENTA=1)*(COUNTIF(CONFIG_ASIGNATURAS!$B$7:$B$27,nASIG)&gt;0)*1),"")))</f>
        <v/>
      </c>
      <c r="N327" t="str">
        <f>IF(M327="","",IF(M327="[FÓRMULA MANUAL]","",IFERROR(AVERAGEIFS(nNOTA,nNIA,M327,nCUENTA,1,nASIG,"Armonía"),"")))</f>
        <v/>
      </c>
      <c r="O327" t="str">
        <f>IF(M327="","",IF(M327="[FÓRMULA MANUAL]","",IFERROR(AVERAGEIFS(nNOTA,nNIA,M327,nCUENTA,1,nASIG,"Orquesta/Banda/Conjunto"),"")))</f>
        <v/>
      </c>
      <c r="P327" t="str">
        <f>IF(M327="","",IF(M327="[FÓRMULA MANUAL]","",IFERROR(AVERAGEIFS(nNOTA,nNIA,M327,nCUENTA,1,nASIG,"Música de Cámara"),"")))</f>
        <v/>
      </c>
      <c r="Q327" t="str">
        <f>IF(M327="","",IF(M327="[FÓRMULA MANUAL]","",IFERROR(SUMPRODUCT((nNIA=M327)*(nCUENTA=1)*(COUNTIF(CONFIG_ASIGNATURAS!$B$7:$B$27,nASIG)&gt;0)*(nNOTA))/SUMPRODUCT((nNIA=M327)*(nCUENTA=1)*(COUNTIF(CONFIG_ASIGNATURAS!$B$7:$B$27,nASIG)&gt;0)*1),"")))</f>
        <v/>
      </c>
      <c r="T327" t="str">
        <f>IF(S327="","",IF(S327="[FÓRMULA MANUAL]","",IFERROR(AVERAGEIFS(nNOTA,nNIA,S327,nCUENTA,1,nASIG,"Armonía"),"")))</f>
        <v/>
      </c>
      <c r="U327" t="str">
        <f>IF(S327="","",IF(S327="[FÓRMULA MANUAL]","",IFERROR(AVERAGEIFS(nNOTA,nNIA,S327,nCUENTA,1,nASIG,"Orquesta/Banda/Conjunto"),"")))</f>
        <v/>
      </c>
      <c r="V327" t="str">
        <f>IF(S327="","",IF(S327="[FÓRMULA MANUAL]","",IFERROR(AVERAGEIFS(nNOTA,nNIA,S327,nCUENTA,1,nASIG,"Música de Cámara"),"")))</f>
        <v/>
      </c>
      <c r="W327" t="str">
        <f>IF(S327="","",IF(S327="[FÓRMULA MANUAL]","",IFERROR(SUMPRODUCT((nNIA=S327)*(nCUENTA=1)*(COUNTIF(CONFIG_ASIGNATURAS!$B$7:$B$27,nASIG)&gt;0)*(nNOTA))/SUMPRODUCT((nNIA=S327)*(nCUENTA=1)*(COUNTIF(CONFIG_ASIGNATURAS!$B$7:$B$27,nASIG)&gt;0)*1),"")))</f>
        <v/>
      </c>
      <c r="Z327" t="str">
        <f>IF(Y327="","",IF(Y327="[FÓRMULA MANUAL]","",IFERROR(AVERAGEIFS(nNOTA,nNIA,Y327,nCUENTA,1,nASIG,"Análisis"),"")))</f>
        <v/>
      </c>
      <c r="AA327" t="str">
        <f>IF(Y327="","",IF(Y327="[FÓRMULA MANUAL]","",IFERROR(AVERAGEIFS(nNOTA,nNIA,Y327,nCUENTA,1,nASIG,"Orquesta/Banda/Conjunto"),"")))</f>
        <v/>
      </c>
      <c r="AB327" t="str">
        <f>IF(Y327="","",IF(Y327="[FÓRMULA MANUAL]","",IFERROR(AVERAGEIFS(nNOTA,nNIA,Y327,nCUENTA,1,nASIG,"Música de Cámara"),"")))</f>
        <v/>
      </c>
      <c r="AC327" t="str">
        <f>IF(Y327="","",IF(Y327="[FÓRMULA MANUAL]","",IFERROR(SUMPRODUCT((nNIA=Y327)*(nCUENTA=1)*(COUNTIF(CONFIG_ASIGNATURAS!$B$7:$B$27,nASIG)&gt;0)*(nNOTA))/SUMPRODUCT((nNIA=Y327)*(nCUENTA=1)*(COUNTIF(CONFIG_ASIGNATURAS!$B$7:$B$27,nASIG)&gt;0)*1),"")))</f>
        <v/>
      </c>
      <c r="AF327" t="str">
        <f>IF(AE327="","",IF(AE327="[FÓRMULA MANUAL]","",IFERROR(AVERAGEIFS(nNOTA,nNIA,AE327,nCUENTA,1,nASIG,"Análisis"),"")))</f>
        <v/>
      </c>
      <c r="AG327" t="str">
        <f>IF(AE327="","",IF(AE327="[FÓRMULA MANUAL]","",IFERROR(AVERAGEIFS(nNOTA,nNIA,AE327,nCUENTA,1,nASIG,"Orquesta/Banda/Conjunto"),"")))</f>
        <v/>
      </c>
      <c r="AH327" t="str">
        <f>IF(AE327="","",IF(AE327="[FÓRMULA MANUAL]","",IFERROR(AVERAGEIFS(nNOTA,nNIA,AE327,nCUENTA,1,nASIG,"Música de Cámara"),"")))</f>
        <v/>
      </c>
      <c r="AI327" t="str">
        <f>IF(AE327="","",IF(AE327="[FÓRMULA MANUAL]","",IFERROR(SUMPRODUCT((nNIA=AE327)*(nCUENTA=1)*(COUNTIF(CONFIG_ASIGNATURAS!$B$7:$B$27,nASIG)&gt;0)*(nNOTA))/SUMPRODUCT((nNIA=AE327)*(nCUENTA=1)*(COUNTIF(CONFIG_ASIGNATURAS!$B$7:$B$27,nASIG)&gt;0)*1),"")))</f>
        <v/>
      </c>
    </row>
    <row r="328" spans="2:35" x14ac:dyDescent="0.2">
      <c r="B328" t="str">
        <f>IF(A328="","",IF(A328="[FÓRMULA MANUAL]","",IFERROR(AVERAGEIFS(nNOTA,nNIA,A328,nCUENTA,1,nASIG,"Lenguaje Musical"),"")))</f>
        <v/>
      </c>
      <c r="C328" t="str">
        <f>IF(A328="","",IF(A328="[FÓRMULA MANUAL]","",IFERROR(AVERAGEIFS(nNOTA,nNIA,A328,nCUENTA,1,nASIG,"Orquesta/Banda/Conjunto"),"")))</f>
        <v/>
      </c>
      <c r="D328" t="str">
        <f>IF(A328="","",IF(A328="[FÓRMULA MANUAL]","",IFERROR(AVERAGEIFS(nNOTA,nNIA,A328,nCUENTA,1,nASIG,"Conjunto"),"")))</f>
        <v/>
      </c>
      <c r="E328" t="str">
        <f>IF(A328="","",IF(A328="[FÓRMULA MANUAL]","",IFERROR(SUMPRODUCT((nNIA=A328)*(nCUENTA=1)*(COUNTIF(CONFIG_ASIGNATURAS!$B$7:$B$27,nASIG)&gt;0)*(nNOTA))/SUMPRODUCT((nNIA=A328)*(nCUENTA=1)*(COUNTIF(CONFIG_ASIGNATURAS!$B$7:$B$27,nASIG)&gt;0)*1),"")))</f>
        <v/>
      </c>
      <c r="H328" t="str">
        <f>IF(G328="","",IF(G328="[FÓRMULA MANUAL]","",IFERROR(AVERAGEIFS(nNOTA,nNIA,G328,nCUENTA,1,nASIG,"Lenguaje Musical"),"")))</f>
        <v/>
      </c>
      <c r="I328" t="str">
        <f>IF(G328="","",IF(G328="[FÓRMULA MANUAL]","",IFERROR(AVERAGEIFS(nNOTA,nNIA,G328,nCUENTA,1,nASIG,"Orquesta/Banda/Conjunto"),"")))</f>
        <v/>
      </c>
      <c r="J328" t="str">
        <f>IF(G328="","",IF(G328="[FÓRMULA MANUAL]","",IFERROR(AVERAGEIFS(nNOTA,nNIA,G328,nCUENTA,1,nASIG,"Conjunto"),"")))</f>
        <v/>
      </c>
      <c r="K328" t="str">
        <f>IF(G328="","",IF(G328="[FÓRMULA MANUAL]","",IFERROR(SUMPRODUCT((nNIA=G328)*(nCUENTA=1)*(COUNTIF(CONFIG_ASIGNATURAS!$B$7:$B$27,nASIG)&gt;0)*(nNOTA))/SUMPRODUCT((nNIA=G328)*(nCUENTA=1)*(COUNTIF(CONFIG_ASIGNATURAS!$B$7:$B$27,nASIG)&gt;0)*1),"")))</f>
        <v/>
      </c>
      <c r="N328" t="str">
        <f>IF(M328="","",IF(M328="[FÓRMULA MANUAL]","",IFERROR(AVERAGEIFS(nNOTA,nNIA,M328,nCUENTA,1,nASIG,"Armonía"),"")))</f>
        <v/>
      </c>
      <c r="O328" t="str">
        <f>IF(M328="","",IF(M328="[FÓRMULA MANUAL]","",IFERROR(AVERAGEIFS(nNOTA,nNIA,M328,nCUENTA,1,nASIG,"Orquesta/Banda/Conjunto"),"")))</f>
        <v/>
      </c>
      <c r="P328" t="str">
        <f>IF(M328="","",IF(M328="[FÓRMULA MANUAL]","",IFERROR(AVERAGEIFS(nNOTA,nNIA,M328,nCUENTA,1,nASIG,"Música de Cámara"),"")))</f>
        <v/>
      </c>
      <c r="Q328" t="str">
        <f>IF(M328="","",IF(M328="[FÓRMULA MANUAL]","",IFERROR(SUMPRODUCT((nNIA=M328)*(nCUENTA=1)*(COUNTIF(CONFIG_ASIGNATURAS!$B$7:$B$27,nASIG)&gt;0)*(nNOTA))/SUMPRODUCT((nNIA=M328)*(nCUENTA=1)*(COUNTIF(CONFIG_ASIGNATURAS!$B$7:$B$27,nASIG)&gt;0)*1),"")))</f>
        <v/>
      </c>
      <c r="T328" t="str">
        <f>IF(S328="","",IF(S328="[FÓRMULA MANUAL]","",IFERROR(AVERAGEIFS(nNOTA,nNIA,S328,nCUENTA,1,nASIG,"Armonía"),"")))</f>
        <v/>
      </c>
      <c r="U328" t="str">
        <f>IF(S328="","",IF(S328="[FÓRMULA MANUAL]","",IFERROR(AVERAGEIFS(nNOTA,nNIA,S328,nCUENTA,1,nASIG,"Orquesta/Banda/Conjunto"),"")))</f>
        <v/>
      </c>
      <c r="V328" t="str">
        <f>IF(S328="","",IF(S328="[FÓRMULA MANUAL]","",IFERROR(AVERAGEIFS(nNOTA,nNIA,S328,nCUENTA,1,nASIG,"Música de Cámara"),"")))</f>
        <v/>
      </c>
      <c r="W328" t="str">
        <f>IF(S328="","",IF(S328="[FÓRMULA MANUAL]","",IFERROR(SUMPRODUCT((nNIA=S328)*(nCUENTA=1)*(COUNTIF(CONFIG_ASIGNATURAS!$B$7:$B$27,nASIG)&gt;0)*(nNOTA))/SUMPRODUCT((nNIA=S328)*(nCUENTA=1)*(COUNTIF(CONFIG_ASIGNATURAS!$B$7:$B$27,nASIG)&gt;0)*1),"")))</f>
        <v/>
      </c>
      <c r="Z328" t="str">
        <f>IF(Y328="","",IF(Y328="[FÓRMULA MANUAL]","",IFERROR(AVERAGEIFS(nNOTA,nNIA,Y328,nCUENTA,1,nASIG,"Análisis"),"")))</f>
        <v/>
      </c>
      <c r="AA328" t="str">
        <f>IF(Y328="","",IF(Y328="[FÓRMULA MANUAL]","",IFERROR(AVERAGEIFS(nNOTA,nNIA,Y328,nCUENTA,1,nASIG,"Orquesta/Banda/Conjunto"),"")))</f>
        <v/>
      </c>
      <c r="AB328" t="str">
        <f>IF(Y328="","",IF(Y328="[FÓRMULA MANUAL]","",IFERROR(AVERAGEIFS(nNOTA,nNIA,Y328,nCUENTA,1,nASIG,"Música de Cámara"),"")))</f>
        <v/>
      </c>
      <c r="AC328" t="str">
        <f>IF(Y328="","",IF(Y328="[FÓRMULA MANUAL]","",IFERROR(SUMPRODUCT((nNIA=Y328)*(nCUENTA=1)*(COUNTIF(CONFIG_ASIGNATURAS!$B$7:$B$27,nASIG)&gt;0)*(nNOTA))/SUMPRODUCT((nNIA=Y328)*(nCUENTA=1)*(COUNTIF(CONFIG_ASIGNATURAS!$B$7:$B$27,nASIG)&gt;0)*1),"")))</f>
        <v/>
      </c>
      <c r="AF328" t="str">
        <f>IF(AE328="","",IF(AE328="[FÓRMULA MANUAL]","",IFERROR(AVERAGEIFS(nNOTA,nNIA,AE328,nCUENTA,1,nASIG,"Análisis"),"")))</f>
        <v/>
      </c>
      <c r="AG328" t="str">
        <f>IF(AE328="","",IF(AE328="[FÓRMULA MANUAL]","",IFERROR(AVERAGEIFS(nNOTA,nNIA,AE328,nCUENTA,1,nASIG,"Orquesta/Banda/Conjunto"),"")))</f>
        <v/>
      </c>
      <c r="AH328" t="str">
        <f>IF(AE328="","",IF(AE328="[FÓRMULA MANUAL]","",IFERROR(AVERAGEIFS(nNOTA,nNIA,AE328,nCUENTA,1,nASIG,"Música de Cámara"),"")))</f>
        <v/>
      </c>
      <c r="AI328" t="str">
        <f>IF(AE328="","",IF(AE328="[FÓRMULA MANUAL]","",IFERROR(SUMPRODUCT((nNIA=AE328)*(nCUENTA=1)*(COUNTIF(CONFIG_ASIGNATURAS!$B$7:$B$27,nASIG)&gt;0)*(nNOTA))/SUMPRODUCT((nNIA=AE328)*(nCUENTA=1)*(COUNTIF(CONFIG_ASIGNATURAS!$B$7:$B$27,nASIG)&gt;0)*1),"")))</f>
        <v/>
      </c>
    </row>
    <row r="329" spans="2:35" x14ac:dyDescent="0.2">
      <c r="B329" t="str">
        <f>IF(A329="","",IF(A329="[FÓRMULA MANUAL]","",IFERROR(AVERAGEIFS(nNOTA,nNIA,A329,nCUENTA,1,nASIG,"Lenguaje Musical"),"")))</f>
        <v/>
      </c>
      <c r="C329" t="str">
        <f>IF(A329="","",IF(A329="[FÓRMULA MANUAL]","",IFERROR(AVERAGEIFS(nNOTA,nNIA,A329,nCUENTA,1,nASIG,"Orquesta/Banda/Conjunto"),"")))</f>
        <v/>
      </c>
      <c r="D329" t="str">
        <f>IF(A329="","",IF(A329="[FÓRMULA MANUAL]","",IFERROR(AVERAGEIFS(nNOTA,nNIA,A329,nCUENTA,1,nASIG,"Conjunto"),"")))</f>
        <v/>
      </c>
      <c r="E329" t="str">
        <f>IF(A329="","",IF(A329="[FÓRMULA MANUAL]","",IFERROR(SUMPRODUCT((nNIA=A329)*(nCUENTA=1)*(COUNTIF(CONFIG_ASIGNATURAS!$B$7:$B$27,nASIG)&gt;0)*(nNOTA))/SUMPRODUCT((nNIA=A329)*(nCUENTA=1)*(COUNTIF(CONFIG_ASIGNATURAS!$B$7:$B$27,nASIG)&gt;0)*1),"")))</f>
        <v/>
      </c>
      <c r="H329" t="str">
        <f>IF(G329="","",IF(G329="[FÓRMULA MANUAL]","",IFERROR(AVERAGEIFS(nNOTA,nNIA,G329,nCUENTA,1,nASIG,"Lenguaje Musical"),"")))</f>
        <v/>
      </c>
      <c r="I329" t="str">
        <f>IF(G329="","",IF(G329="[FÓRMULA MANUAL]","",IFERROR(AVERAGEIFS(nNOTA,nNIA,G329,nCUENTA,1,nASIG,"Orquesta/Banda/Conjunto"),"")))</f>
        <v/>
      </c>
      <c r="J329" t="str">
        <f>IF(G329="","",IF(G329="[FÓRMULA MANUAL]","",IFERROR(AVERAGEIFS(nNOTA,nNIA,G329,nCUENTA,1,nASIG,"Conjunto"),"")))</f>
        <v/>
      </c>
      <c r="K329" t="str">
        <f>IF(G329="","",IF(G329="[FÓRMULA MANUAL]","",IFERROR(SUMPRODUCT((nNIA=G329)*(nCUENTA=1)*(COUNTIF(CONFIG_ASIGNATURAS!$B$7:$B$27,nASIG)&gt;0)*(nNOTA))/SUMPRODUCT((nNIA=G329)*(nCUENTA=1)*(COUNTIF(CONFIG_ASIGNATURAS!$B$7:$B$27,nASIG)&gt;0)*1),"")))</f>
        <v/>
      </c>
      <c r="N329" t="str">
        <f>IF(M329="","",IF(M329="[FÓRMULA MANUAL]","",IFERROR(AVERAGEIFS(nNOTA,nNIA,M329,nCUENTA,1,nASIG,"Armonía"),"")))</f>
        <v/>
      </c>
      <c r="O329" t="str">
        <f>IF(M329="","",IF(M329="[FÓRMULA MANUAL]","",IFERROR(AVERAGEIFS(nNOTA,nNIA,M329,nCUENTA,1,nASIG,"Orquesta/Banda/Conjunto"),"")))</f>
        <v/>
      </c>
      <c r="P329" t="str">
        <f>IF(M329="","",IF(M329="[FÓRMULA MANUAL]","",IFERROR(AVERAGEIFS(nNOTA,nNIA,M329,nCUENTA,1,nASIG,"Música de Cámara"),"")))</f>
        <v/>
      </c>
      <c r="Q329" t="str">
        <f>IF(M329="","",IF(M329="[FÓRMULA MANUAL]","",IFERROR(SUMPRODUCT((nNIA=M329)*(nCUENTA=1)*(COUNTIF(CONFIG_ASIGNATURAS!$B$7:$B$27,nASIG)&gt;0)*(nNOTA))/SUMPRODUCT((nNIA=M329)*(nCUENTA=1)*(COUNTIF(CONFIG_ASIGNATURAS!$B$7:$B$27,nASIG)&gt;0)*1),"")))</f>
        <v/>
      </c>
      <c r="T329" t="str">
        <f>IF(S329="","",IF(S329="[FÓRMULA MANUAL]","",IFERROR(AVERAGEIFS(nNOTA,nNIA,S329,nCUENTA,1,nASIG,"Armonía"),"")))</f>
        <v/>
      </c>
      <c r="U329" t="str">
        <f>IF(S329="","",IF(S329="[FÓRMULA MANUAL]","",IFERROR(AVERAGEIFS(nNOTA,nNIA,S329,nCUENTA,1,nASIG,"Orquesta/Banda/Conjunto"),"")))</f>
        <v/>
      </c>
      <c r="V329" t="str">
        <f>IF(S329="","",IF(S329="[FÓRMULA MANUAL]","",IFERROR(AVERAGEIFS(nNOTA,nNIA,S329,nCUENTA,1,nASIG,"Música de Cámara"),"")))</f>
        <v/>
      </c>
      <c r="W329" t="str">
        <f>IF(S329="","",IF(S329="[FÓRMULA MANUAL]","",IFERROR(SUMPRODUCT((nNIA=S329)*(nCUENTA=1)*(COUNTIF(CONFIG_ASIGNATURAS!$B$7:$B$27,nASIG)&gt;0)*(nNOTA))/SUMPRODUCT((nNIA=S329)*(nCUENTA=1)*(COUNTIF(CONFIG_ASIGNATURAS!$B$7:$B$27,nASIG)&gt;0)*1),"")))</f>
        <v/>
      </c>
      <c r="Z329" t="str">
        <f>IF(Y329="","",IF(Y329="[FÓRMULA MANUAL]","",IFERROR(AVERAGEIFS(nNOTA,nNIA,Y329,nCUENTA,1,nASIG,"Análisis"),"")))</f>
        <v/>
      </c>
      <c r="AA329" t="str">
        <f>IF(Y329="","",IF(Y329="[FÓRMULA MANUAL]","",IFERROR(AVERAGEIFS(nNOTA,nNIA,Y329,nCUENTA,1,nASIG,"Orquesta/Banda/Conjunto"),"")))</f>
        <v/>
      </c>
      <c r="AB329" t="str">
        <f>IF(Y329="","",IF(Y329="[FÓRMULA MANUAL]","",IFERROR(AVERAGEIFS(nNOTA,nNIA,Y329,nCUENTA,1,nASIG,"Música de Cámara"),"")))</f>
        <v/>
      </c>
      <c r="AC329" t="str">
        <f>IF(Y329="","",IF(Y329="[FÓRMULA MANUAL]","",IFERROR(SUMPRODUCT((nNIA=Y329)*(nCUENTA=1)*(COUNTIF(CONFIG_ASIGNATURAS!$B$7:$B$27,nASIG)&gt;0)*(nNOTA))/SUMPRODUCT((nNIA=Y329)*(nCUENTA=1)*(COUNTIF(CONFIG_ASIGNATURAS!$B$7:$B$27,nASIG)&gt;0)*1),"")))</f>
        <v/>
      </c>
      <c r="AF329" t="str">
        <f>IF(AE329="","",IF(AE329="[FÓRMULA MANUAL]","",IFERROR(AVERAGEIFS(nNOTA,nNIA,AE329,nCUENTA,1,nASIG,"Análisis"),"")))</f>
        <v/>
      </c>
      <c r="AG329" t="str">
        <f>IF(AE329="","",IF(AE329="[FÓRMULA MANUAL]","",IFERROR(AVERAGEIFS(nNOTA,nNIA,AE329,nCUENTA,1,nASIG,"Orquesta/Banda/Conjunto"),"")))</f>
        <v/>
      </c>
      <c r="AH329" t="str">
        <f>IF(AE329="","",IF(AE329="[FÓRMULA MANUAL]","",IFERROR(AVERAGEIFS(nNOTA,nNIA,AE329,nCUENTA,1,nASIG,"Música de Cámara"),"")))</f>
        <v/>
      </c>
      <c r="AI329" t="str">
        <f>IF(AE329="","",IF(AE329="[FÓRMULA MANUAL]","",IFERROR(SUMPRODUCT((nNIA=AE329)*(nCUENTA=1)*(COUNTIF(CONFIG_ASIGNATURAS!$B$7:$B$27,nASIG)&gt;0)*(nNOTA))/SUMPRODUCT((nNIA=AE329)*(nCUENTA=1)*(COUNTIF(CONFIG_ASIGNATURAS!$B$7:$B$27,nASIG)&gt;0)*1),"")))</f>
        <v/>
      </c>
    </row>
    <row r="330" spans="2:35" x14ac:dyDescent="0.2">
      <c r="B330" t="str">
        <f>IF(A330="","",IF(A330="[FÓRMULA MANUAL]","",IFERROR(AVERAGEIFS(nNOTA,nNIA,A330,nCUENTA,1,nASIG,"Lenguaje Musical"),"")))</f>
        <v/>
      </c>
      <c r="C330" t="str">
        <f>IF(A330="","",IF(A330="[FÓRMULA MANUAL]","",IFERROR(AVERAGEIFS(nNOTA,nNIA,A330,nCUENTA,1,nASIG,"Orquesta/Banda/Conjunto"),"")))</f>
        <v/>
      </c>
      <c r="D330" t="str">
        <f>IF(A330="","",IF(A330="[FÓRMULA MANUAL]","",IFERROR(AVERAGEIFS(nNOTA,nNIA,A330,nCUENTA,1,nASIG,"Conjunto"),"")))</f>
        <v/>
      </c>
      <c r="E330" t="str">
        <f>IF(A330="","",IF(A330="[FÓRMULA MANUAL]","",IFERROR(SUMPRODUCT((nNIA=A330)*(nCUENTA=1)*(COUNTIF(CONFIG_ASIGNATURAS!$B$7:$B$27,nASIG)&gt;0)*(nNOTA))/SUMPRODUCT((nNIA=A330)*(nCUENTA=1)*(COUNTIF(CONFIG_ASIGNATURAS!$B$7:$B$27,nASIG)&gt;0)*1),"")))</f>
        <v/>
      </c>
      <c r="H330" t="str">
        <f>IF(G330="","",IF(G330="[FÓRMULA MANUAL]","",IFERROR(AVERAGEIFS(nNOTA,nNIA,G330,nCUENTA,1,nASIG,"Lenguaje Musical"),"")))</f>
        <v/>
      </c>
      <c r="I330" t="str">
        <f>IF(G330="","",IF(G330="[FÓRMULA MANUAL]","",IFERROR(AVERAGEIFS(nNOTA,nNIA,G330,nCUENTA,1,nASIG,"Orquesta/Banda/Conjunto"),"")))</f>
        <v/>
      </c>
      <c r="J330" t="str">
        <f>IF(G330="","",IF(G330="[FÓRMULA MANUAL]","",IFERROR(AVERAGEIFS(nNOTA,nNIA,G330,nCUENTA,1,nASIG,"Conjunto"),"")))</f>
        <v/>
      </c>
      <c r="K330" t="str">
        <f>IF(G330="","",IF(G330="[FÓRMULA MANUAL]","",IFERROR(SUMPRODUCT((nNIA=G330)*(nCUENTA=1)*(COUNTIF(CONFIG_ASIGNATURAS!$B$7:$B$27,nASIG)&gt;0)*(nNOTA))/SUMPRODUCT((nNIA=G330)*(nCUENTA=1)*(COUNTIF(CONFIG_ASIGNATURAS!$B$7:$B$27,nASIG)&gt;0)*1),"")))</f>
        <v/>
      </c>
      <c r="N330" t="str">
        <f>IF(M330="","",IF(M330="[FÓRMULA MANUAL]","",IFERROR(AVERAGEIFS(nNOTA,nNIA,M330,nCUENTA,1,nASIG,"Armonía"),"")))</f>
        <v/>
      </c>
      <c r="O330" t="str">
        <f>IF(M330="","",IF(M330="[FÓRMULA MANUAL]","",IFERROR(AVERAGEIFS(nNOTA,nNIA,M330,nCUENTA,1,nASIG,"Orquesta/Banda/Conjunto"),"")))</f>
        <v/>
      </c>
      <c r="P330" t="str">
        <f>IF(M330="","",IF(M330="[FÓRMULA MANUAL]","",IFERROR(AVERAGEIFS(nNOTA,nNIA,M330,nCUENTA,1,nASIG,"Música de Cámara"),"")))</f>
        <v/>
      </c>
      <c r="Q330" t="str">
        <f>IF(M330="","",IF(M330="[FÓRMULA MANUAL]","",IFERROR(SUMPRODUCT((nNIA=M330)*(nCUENTA=1)*(COUNTIF(CONFIG_ASIGNATURAS!$B$7:$B$27,nASIG)&gt;0)*(nNOTA))/SUMPRODUCT((nNIA=M330)*(nCUENTA=1)*(COUNTIF(CONFIG_ASIGNATURAS!$B$7:$B$27,nASIG)&gt;0)*1),"")))</f>
        <v/>
      </c>
      <c r="T330" t="str">
        <f>IF(S330="","",IF(S330="[FÓRMULA MANUAL]","",IFERROR(AVERAGEIFS(nNOTA,nNIA,S330,nCUENTA,1,nASIG,"Armonía"),"")))</f>
        <v/>
      </c>
      <c r="U330" t="str">
        <f>IF(S330="","",IF(S330="[FÓRMULA MANUAL]","",IFERROR(AVERAGEIFS(nNOTA,nNIA,S330,nCUENTA,1,nASIG,"Orquesta/Banda/Conjunto"),"")))</f>
        <v/>
      </c>
      <c r="V330" t="str">
        <f>IF(S330="","",IF(S330="[FÓRMULA MANUAL]","",IFERROR(AVERAGEIFS(nNOTA,nNIA,S330,nCUENTA,1,nASIG,"Música de Cámara"),"")))</f>
        <v/>
      </c>
      <c r="W330" t="str">
        <f>IF(S330="","",IF(S330="[FÓRMULA MANUAL]","",IFERROR(SUMPRODUCT((nNIA=S330)*(nCUENTA=1)*(COUNTIF(CONFIG_ASIGNATURAS!$B$7:$B$27,nASIG)&gt;0)*(nNOTA))/SUMPRODUCT((nNIA=S330)*(nCUENTA=1)*(COUNTIF(CONFIG_ASIGNATURAS!$B$7:$B$27,nASIG)&gt;0)*1),"")))</f>
        <v/>
      </c>
      <c r="Z330" t="str">
        <f>IF(Y330="","",IF(Y330="[FÓRMULA MANUAL]","",IFERROR(AVERAGEIFS(nNOTA,nNIA,Y330,nCUENTA,1,nASIG,"Análisis"),"")))</f>
        <v/>
      </c>
      <c r="AA330" t="str">
        <f>IF(Y330="","",IF(Y330="[FÓRMULA MANUAL]","",IFERROR(AVERAGEIFS(nNOTA,nNIA,Y330,nCUENTA,1,nASIG,"Orquesta/Banda/Conjunto"),"")))</f>
        <v/>
      </c>
      <c r="AB330" t="str">
        <f>IF(Y330="","",IF(Y330="[FÓRMULA MANUAL]","",IFERROR(AVERAGEIFS(nNOTA,nNIA,Y330,nCUENTA,1,nASIG,"Música de Cámara"),"")))</f>
        <v/>
      </c>
      <c r="AC330" t="str">
        <f>IF(Y330="","",IF(Y330="[FÓRMULA MANUAL]","",IFERROR(SUMPRODUCT((nNIA=Y330)*(nCUENTA=1)*(COUNTIF(CONFIG_ASIGNATURAS!$B$7:$B$27,nASIG)&gt;0)*(nNOTA))/SUMPRODUCT((nNIA=Y330)*(nCUENTA=1)*(COUNTIF(CONFIG_ASIGNATURAS!$B$7:$B$27,nASIG)&gt;0)*1),"")))</f>
        <v/>
      </c>
      <c r="AF330" t="str">
        <f>IF(AE330="","",IF(AE330="[FÓRMULA MANUAL]","",IFERROR(AVERAGEIFS(nNOTA,nNIA,AE330,nCUENTA,1,nASIG,"Análisis"),"")))</f>
        <v/>
      </c>
      <c r="AG330" t="str">
        <f>IF(AE330="","",IF(AE330="[FÓRMULA MANUAL]","",IFERROR(AVERAGEIFS(nNOTA,nNIA,AE330,nCUENTA,1,nASIG,"Orquesta/Banda/Conjunto"),"")))</f>
        <v/>
      </c>
      <c r="AH330" t="str">
        <f>IF(AE330="","",IF(AE330="[FÓRMULA MANUAL]","",IFERROR(AVERAGEIFS(nNOTA,nNIA,AE330,nCUENTA,1,nASIG,"Música de Cámara"),"")))</f>
        <v/>
      </c>
      <c r="AI330" t="str">
        <f>IF(AE330="","",IF(AE330="[FÓRMULA MANUAL]","",IFERROR(SUMPRODUCT((nNIA=AE330)*(nCUENTA=1)*(COUNTIF(CONFIG_ASIGNATURAS!$B$7:$B$27,nASIG)&gt;0)*(nNOTA))/SUMPRODUCT((nNIA=AE330)*(nCUENTA=1)*(COUNTIF(CONFIG_ASIGNATURAS!$B$7:$B$27,nASIG)&gt;0)*1),"")))</f>
        <v/>
      </c>
    </row>
    <row r="331" spans="2:35" x14ac:dyDescent="0.2">
      <c r="B331" t="str">
        <f>IF(A331="","",IF(A331="[FÓRMULA MANUAL]","",IFERROR(AVERAGEIFS(nNOTA,nNIA,A331,nCUENTA,1,nASIG,"Lenguaje Musical"),"")))</f>
        <v/>
      </c>
      <c r="C331" t="str">
        <f>IF(A331="","",IF(A331="[FÓRMULA MANUAL]","",IFERROR(AVERAGEIFS(nNOTA,nNIA,A331,nCUENTA,1,nASIG,"Orquesta/Banda/Conjunto"),"")))</f>
        <v/>
      </c>
      <c r="D331" t="str">
        <f>IF(A331="","",IF(A331="[FÓRMULA MANUAL]","",IFERROR(AVERAGEIFS(nNOTA,nNIA,A331,nCUENTA,1,nASIG,"Conjunto"),"")))</f>
        <v/>
      </c>
      <c r="E331" t="str">
        <f>IF(A331="","",IF(A331="[FÓRMULA MANUAL]","",IFERROR(SUMPRODUCT((nNIA=A331)*(nCUENTA=1)*(COUNTIF(CONFIG_ASIGNATURAS!$B$7:$B$27,nASIG)&gt;0)*(nNOTA))/SUMPRODUCT((nNIA=A331)*(nCUENTA=1)*(COUNTIF(CONFIG_ASIGNATURAS!$B$7:$B$27,nASIG)&gt;0)*1),"")))</f>
        <v/>
      </c>
      <c r="H331" t="str">
        <f>IF(G331="","",IF(G331="[FÓRMULA MANUAL]","",IFERROR(AVERAGEIFS(nNOTA,nNIA,G331,nCUENTA,1,nASIG,"Lenguaje Musical"),"")))</f>
        <v/>
      </c>
      <c r="I331" t="str">
        <f>IF(G331="","",IF(G331="[FÓRMULA MANUAL]","",IFERROR(AVERAGEIFS(nNOTA,nNIA,G331,nCUENTA,1,nASIG,"Orquesta/Banda/Conjunto"),"")))</f>
        <v/>
      </c>
      <c r="J331" t="str">
        <f>IF(G331="","",IF(G331="[FÓRMULA MANUAL]","",IFERROR(AVERAGEIFS(nNOTA,nNIA,G331,nCUENTA,1,nASIG,"Conjunto"),"")))</f>
        <v/>
      </c>
      <c r="K331" t="str">
        <f>IF(G331="","",IF(G331="[FÓRMULA MANUAL]","",IFERROR(SUMPRODUCT((nNIA=G331)*(nCUENTA=1)*(COUNTIF(CONFIG_ASIGNATURAS!$B$7:$B$27,nASIG)&gt;0)*(nNOTA))/SUMPRODUCT((nNIA=G331)*(nCUENTA=1)*(COUNTIF(CONFIG_ASIGNATURAS!$B$7:$B$27,nASIG)&gt;0)*1),"")))</f>
        <v/>
      </c>
      <c r="N331" t="str">
        <f>IF(M331="","",IF(M331="[FÓRMULA MANUAL]","",IFERROR(AVERAGEIFS(nNOTA,nNIA,M331,nCUENTA,1,nASIG,"Armonía"),"")))</f>
        <v/>
      </c>
      <c r="O331" t="str">
        <f>IF(M331="","",IF(M331="[FÓRMULA MANUAL]","",IFERROR(AVERAGEIFS(nNOTA,nNIA,M331,nCUENTA,1,nASIG,"Orquesta/Banda/Conjunto"),"")))</f>
        <v/>
      </c>
      <c r="P331" t="str">
        <f>IF(M331="","",IF(M331="[FÓRMULA MANUAL]","",IFERROR(AVERAGEIFS(nNOTA,nNIA,M331,nCUENTA,1,nASIG,"Música de Cámara"),"")))</f>
        <v/>
      </c>
      <c r="Q331" t="str">
        <f>IF(M331="","",IF(M331="[FÓRMULA MANUAL]","",IFERROR(SUMPRODUCT((nNIA=M331)*(nCUENTA=1)*(COUNTIF(CONFIG_ASIGNATURAS!$B$7:$B$27,nASIG)&gt;0)*(nNOTA))/SUMPRODUCT((nNIA=M331)*(nCUENTA=1)*(COUNTIF(CONFIG_ASIGNATURAS!$B$7:$B$27,nASIG)&gt;0)*1),"")))</f>
        <v/>
      </c>
      <c r="T331" t="str">
        <f>IF(S331="","",IF(S331="[FÓRMULA MANUAL]","",IFERROR(AVERAGEIFS(nNOTA,nNIA,S331,nCUENTA,1,nASIG,"Armonía"),"")))</f>
        <v/>
      </c>
      <c r="U331" t="str">
        <f>IF(S331="","",IF(S331="[FÓRMULA MANUAL]","",IFERROR(AVERAGEIFS(nNOTA,nNIA,S331,nCUENTA,1,nASIG,"Orquesta/Banda/Conjunto"),"")))</f>
        <v/>
      </c>
      <c r="V331" t="str">
        <f>IF(S331="","",IF(S331="[FÓRMULA MANUAL]","",IFERROR(AVERAGEIFS(nNOTA,nNIA,S331,nCUENTA,1,nASIG,"Música de Cámara"),"")))</f>
        <v/>
      </c>
      <c r="W331" t="str">
        <f>IF(S331="","",IF(S331="[FÓRMULA MANUAL]","",IFERROR(SUMPRODUCT((nNIA=S331)*(nCUENTA=1)*(COUNTIF(CONFIG_ASIGNATURAS!$B$7:$B$27,nASIG)&gt;0)*(nNOTA))/SUMPRODUCT((nNIA=S331)*(nCUENTA=1)*(COUNTIF(CONFIG_ASIGNATURAS!$B$7:$B$27,nASIG)&gt;0)*1),"")))</f>
        <v/>
      </c>
      <c r="Z331" t="str">
        <f>IF(Y331="","",IF(Y331="[FÓRMULA MANUAL]","",IFERROR(AVERAGEIFS(nNOTA,nNIA,Y331,nCUENTA,1,nASIG,"Análisis"),"")))</f>
        <v/>
      </c>
      <c r="AA331" t="str">
        <f>IF(Y331="","",IF(Y331="[FÓRMULA MANUAL]","",IFERROR(AVERAGEIFS(nNOTA,nNIA,Y331,nCUENTA,1,nASIG,"Orquesta/Banda/Conjunto"),"")))</f>
        <v/>
      </c>
      <c r="AB331" t="str">
        <f>IF(Y331="","",IF(Y331="[FÓRMULA MANUAL]","",IFERROR(AVERAGEIFS(nNOTA,nNIA,Y331,nCUENTA,1,nASIG,"Música de Cámara"),"")))</f>
        <v/>
      </c>
      <c r="AC331" t="str">
        <f>IF(Y331="","",IF(Y331="[FÓRMULA MANUAL]","",IFERROR(SUMPRODUCT((nNIA=Y331)*(nCUENTA=1)*(COUNTIF(CONFIG_ASIGNATURAS!$B$7:$B$27,nASIG)&gt;0)*(nNOTA))/SUMPRODUCT((nNIA=Y331)*(nCUENTA=1)*(COUNTIF(CONFIG_ASIGNATURAS!$B$7:$B$27,nASIG)&gt;0)*1),"")))</f>
        <v/>
      </c>
      <c r="AF331" t="str">
        <f>IF(AE331="","",IF(AE331="[FÓRMULA MANUAL]","",IFERROR(AVERAGEIFS(nNOTA,nNIA,AE331,nCUENTA,1,nASIG,"Análisis"),"")))</f>
        <v/>
      </c>
      <c r="AG331" t="str">
        <f>IF(AE331="","",IF(AE331="[FÓRMULA MANUAL]","",IFERROR(AVERAGEIFS(nNOTA,nNIA,AE331,nCUENTA,1,nASIG,"Orquesta/Banda/Conjunto"),"")))</f>
        <v/>
      </c>
      <c r="AH331" t="str">
        <f>IF(AE331="","",IF(AE331="[FÓRMULA MANUAL]","",IFERROR(AVERAGEIFS(nNOTA,nNIA,AE331,nCUENTA,1,nASIG,"Música de Cámara"),"")))</f>
        <v/>
      </c>
      <c r="AI331" t="str">
        <f>IF(AE331="","",IF(AE331="[FÓRMULA MANUAL]","",IFERROR(SUMPRODUCT((nNIA=AE331)*(nCUENTA=1)*(COUNTIF(CONFIG_ASIGNATURAS!$B$7:$B$27,nASIG)&gt;0)*(nNOTA))/SUMPRODUCT((nNIA=AE331)*(nCUENTA=1)*(COUNTIF(CONFIG_ASIGNATURAS!$B$7:$B$27,nASIG)&gt;0)*1),"")))</f>
        <v/>
      </c>
    </row>
    <row r="332" spans="2:35" x14ac:dyDescent="0.2">
      <c r="B332" t="str">
        <f>IF(A332="","",IF(A332="[FÓRMULA MANUAL]","",IFERROR(AVERAGEIFS(nNOTA,nNIA,A332,nCUENTA,1,nASIG,"Lenguaje Musical"),"")))</f>
        <v/>
      </c>
      <c r="C332" t="str">
        <f>IF(A332="","",IF(A332="[FÓRMULA MANUAL]","",IFERROR(AVERAGEIFS(nNOTA,nNIA,A332,nCUENTA,1,nASIG,"Orquesta/Banda/Conjunto"),"")))</f>
        <v/>
      </c>
      <c r="D332" t="str">
        <f>IF(A332="","",IF(A332="[FÓRMULA MANUAL]","",IFERROR(AVERAGEIFS(nNOTA,nNIA,A332,nCUENTA,1,nASIG,"Conjunto"),"")))</f>
        <v/>
      </c>
      <c r="E332" t="str">
        <f>IF(A332="","",IF(A332="[FÓRMULA MANUAL]","",IFERROR(SUMPRODUCT((nNIA=A332)*(nCUENTA=1)*(COUNTIF(CONFIG_ASIGNATURAS!$B$7:$B$27,nASIG)&gt;0)*(nNOTA))/SUMPRODUCT((nNIA=A332)*(nCUENTA=1)*(COUNTIF(CONFIG_ASIGNATURAS!$B$7:$B$27,nASIG)&gt;0)*1),"")))</f>
        <v/>
      </c>
      <c r="H332" t="str">
        <f>IF(G332="","",IF(G332="[FÓRMULA MANUAL]","",IFERROR(AVERAGEIFS(nNOTA,nNIA,G332,nCUENTA,1,nASIG,"Lenguaje Musical"),"")))</f>
        <v/>
      </c>
      <c r="I332" t="str">
        <f>IF(G332="","",IF(G332="[FÓRMULA MANUAL]","",IFERROR(AVERAGEIFS(nNOTA,nNIA,G332,nCUENTA,1,nASIG,"Orquesta/Banda/Conjunto"),"")))</f>
        <v/>
      </c>
      <c r="J332" t="str">
        <f>IF(G332="","",IF(G332="[FÓRMULA MANUAL]","",IFERROR(AVERAGEIFS(nNOTA,nNIA,G332,nCUENTA,1,nASIG,"Conjunto"),"")))</f>
        <v/>
      </c>
      <c r="K332" t="str">
        <f>IF(G332="","",IF(G332="[FÓRMULA MANUAL]","",IFERROR(SUMPRODUCT((nNIA=G332)*(nCUENTA=1)*(COUNTIF(CONFIG_ASIGNATURAS!$B$7:$B$27,nASIG)&gt;0)*(nNOTA))/SUMPRODUCT((nNIA=G332)*(nCUENTA=1)*(COUNTIF(CONFIG_ASIGNATURAS!$B$7:$B$27,nASIG)&gt;0)*1),"")))</f>
        <v/>
      </c>
      <c r="N332" t="str">
        <f>IF(M332="","",IF(M332="[FÓRMULA MANUAL]","",IFERROR(AVERAGEIFS(nNOTA,nNIA,M332,nCUENTA,1,nASIG,"Armonía"),"")))</f>
        <v/>
      </c>
      <c r="O332" t="str">
        <f>IF(M332="","",IF(M332="[FÓRMULA MANUAL]","",IFERROR(AVERAGEIFS(nNOTA,nNIA,M332,nCUENTA,1,nASIG,"Orquesta/Banda/Conjunto"),"")))</f>
        <v/>
      </c>
      <c r="P332" t="str">
        <f>IF(M332="","",IF(M332="[FÓRMULA MANUAL]","",IFERROR(AVERAGEIFS(nNOTA,nNIA,M332,nCUENTA,1,nASIG,"Música de Cámara"),"")))</f>
        <v/>
      </c>
      <c r="Q332" t="str">
        <f>IF(M332="","",IF(M332="[FÓRMULA MANUAL]","",IFERROR(SUMPRODUCT((nNIA=M332)*(nCUENTA=1)*(COUNTIF(CONFIG_ASIGNATURAS!$B$7:$B$27,nASIG)&gt;0)*(nNOTA))/SUMPRODUCT((nNIA=M332)*(nCUENTA=1)*(COUNTIF(CONFIG_ASIGNATURAS!$B$7:$B$27,nASIG)&gt;0)*1),"")))</f>
        <v/>
      </c>
      <c r="T332" t="str">
        <f>IF(S332="","",IF(S332="[FÓRMULA MANUAL]","",IFERROR(AVERAGEIFS(nNOTA,nNIA,S332,nCUENTA,1,nASIG,"Armonía"),"")))</f>
        <v/>
      </c>
      <c r="U332" t="str">
        <f>IF(S332="","",IF(S332="[FÓRMULA MANUAL]","",IFERROR(AVERAGEIFS(nNOTA,nNIA,S332,nCUENTA,1,nASIG,"Orquesta/Banda/Conjunto"),"")))</f>
        <v/>
      </c>
      <c r="V332" t="str">
        <f>IF(S332="","",IF(S332="[FÓRMULA MANUAL]","",IFERROR(AVERAGEIFS(nNOTA,nNIA,S332,nCUENTA,1,nASIG,"Música de Cámara"),"")))</f>
        <v/>
      </c>
      <c r="W332" t="str">
        <f>IF(S332="","",IF(S332="[FÓRMULA MANUAL]","",IFERROR(SUMPRODUCT((nNIA=S332)*(nCUENTA=1)*(COUNTIF(CONFIG_ASIGNATURAS!$B$7:$B$27,nASIG)&gt;0)*(nNOTA))/SUMPRODUCT((nNIA=S332)*(nCUENTA=1)*(COUNTIF(CONFIG_ASIGNATURAS!$B$7:$B$27,nASIG)&gt;0)*1),"")))</f>
        <v/>
      </c>
      <c r="Z332" t="str">
        <f>IF(Y332="","",IF(Y332="[FÓRMULA MANUAL]","",IFERROR(AVERAGEIFS(nNOTA,nNIA,Y332,nCUENTA,1,nASIG,"Análisis"),"")))</f>
        <v/>
      </c>
      <c r="AA332" t="str">
        <f>IF(Y332="","",IF(Y332="[FÓRMULA MANUAL]","",IFERROR(AVERAGEIFS(nNOTA,nNIA,Y332,nCUENTA,1,nASIG,"Orquesta/Banda/Conjunto"),"")))</f>
        <v/>
      </c>
      <c r="AB332" t="str">
        <f>IF(Y332="","",IF(Y332="[FÓRMULA MANUAL]","",IFERROR(AVERAGEIFS(nNOTA,nNIA,Y332,nCUENTA,1,nASIG,"Música de Cámara"),"")))</f>
        <v/>
      </c>
      <c r="AC332" t="str">
        <f>IF(Y332="","",IF(Y332="[FÓRMULA MANUAL]","",IFERROR(SUMPRODUCT((nNIA=Y332)*(nCUENTA=1)*(COUNTIF(CONFIG_ASIGNATURAS!$B$7:$B$27,nASIG)&gt;0)*(nNOTA))/SUMPRODUCT((nNIA=Y332)*(nCUENTA=1)*(COUNTIF(CONFIG_ASIGNATURAS!$B$7:$B$27,nASIG)&gt;0)*1),"")))</f>
        <v/>
      </c>
      <c r="AF332" t="str">
        <f>IF(AE332="","",IF(AE332="[FÓRMULA MANUAL]","",IFERROR(AVERAGEIFS(nNOTA,nNIA,AE332,nCUENTA,1,nASIG,"Análisis"),"")))</f>
        <v/>
      </c>
      <c r="AG332" t="str">
        <f>IF(AE332="","",IF(AE332="[FÓRMULA MANUAL]","",IFERROR(AVERAGEIFS(nNOTA,nNIA,AE332,nCUENTA,1,nASIG,"Orquesta/Banda/Conjunto"),"")))</f>
        <v/>
      </c>
      <c r="AH332" t="str">
        <f>IF(AE332="","",IF(AE332="[FÓRMULA MANUAL]","",IFERROR(AVERAGEIFS(nNOTA,nNIA,AE332,nCUENTA,1,nASIG,"Música de Cámara"),"")))</f>
        <v/>
      </c>
      <c r="AI332" t="str">
        <f>IF(AE332="","",IF(AE332="[FÓRMULA MANUAL]","",IFERROR(SUMPRODUCT((nNIA=AE332)*(nCUENTA=1)*(COUNTIF(CONFIG_ASIGNATURAS!$B$7:$B$27,nASIG)&gt;0)*(nNOTA))/SUMPRODUCT((nNIA=AE332)*(nCUENTA=1)*(COUNTIF(CONFIG_ASIGNATURAS!$B$7:$B$27,nASIG)&gt;0)*1),"")))</f>
        <v/>
      </c>
    </row>
    <row r="333" spans="2:35" x14ac:dyDescent="0.2">
      <c r="B333" t="str">
        <f>IF(A333="","",IF(A333="[FÓRMULA MANUAL]","",IFERROR(AVERAGEIFS(nNOTA,nNIA,A333,nCUENTA,1,nASIG,"Lenguaje Musical"),"")))</f>
        <v/>
      </c>
      <c r="C333" t="str">
        <f>IF(A333="","",IF(A333="[FÓRMULA MANUAL]","",IFERROR(AVERAGEIFS(nNOTA,nNIA,A333,nCUENTA,1,nASIG,"Orquesta/Banda/Conjunto"),"")))</f>
        <v/>
      </c>
      <c r="D333" t="str">
        <f>IF(A333="","",IF(A333="[FÓRMULA MANUAL]","",IFERROR(AVERAGEIFS(nNOTA,nNIA,A333,nCUENTA,1,nASIG,"Conjunto"),"")))</f>
        <v/>
      </c>
      <c r="E333" t="str">
        <f>IF(A333="","",IF(A333="[FÓRMULA MANUAL]","",IFERROR(SUMPRODUCT((nNIA=A333)*(nCUENTA=1)*(COUNTIF(CONFIG_ASIGNATURAS!$B$7:$B$27,nASIG)&gt;0)*(nNOTA))/SUMPRODUCT((nNIA=A333)*(nCUENTA=1)*(COUNTIF(CONFIG_ASIGNATURAS!$B$7:$B$27,nASIG)&gt;0)*1),"")))</f>
        <v/>
      </c>
      <c r="H333" t="str">
        <f>IF(G333="","",IF(G333="[FÓRMULA MANUAL]","",IFERROR(AVERAGEIFS(nNOTA,nNIA,G333,nCUENTA,1,nASIG,"Lenguaje Musical"),"")))</f>
        <v/>
      </c>
      <c r="I333" t="str">
        <f>IF(G333="","",IF(G333="[FÓRMULA MANUAL]","",IFERROR(AVERAGEIFS(nNOTA,nNIA,G333,nCUENTA,1,nASIG,"Orquesta/Banda/Conjunto"),"")))</f>
        <v/>
      </c>
      <c r="J333" t="str">
        <f>IF(G333="","",IF(G333="[FÓRMULA MANUAL]","",IFERROR(AVERAGEIFS(nNOTA,nNIA,G333,nCUENTA,1,nASIG,"Conjunto"),"")))</f>
        <v/>
      </c>
      <c r="K333" t="str">
        <f>IF(G333="","",IF(G333="[FÓRMULA MANUAL]","",IFERROR(SUMPRODUCT((nNIA=G333)*(nCUENTA=1)*(COUNTIF(CONFIG_ASIGNATURAS!$B$7:$B$27,nASIG)&gt;0)*(nNOTA))/SUMPRODUCT((nNIA=G333)*(nCUENTA=1)*(COUNTIF(CONFIG_ASIGNATURAS!$B$7:$B$27,nASIG)&gt;0)*1),"")))</f>
        <v/>
      </c>
      <c r="N333" t="str">
        <f>IF(M333="","",IF(M333="[FÓRMULA MANUAL]","",IFERROR(AVERAGEIFS(nNOTA,nNIA,M333,nCUENTA,1,nASIG,"Armonía"),"")))</f>
        <v/>
      </c>
      <c r="O333" t="str">
        <f>IF(M333="","",IF(M333="[FÓRMULA MANUAL]","",IFERROR(AVERAGEIFS(nNOTA,nNIA,M333,nCUENTA,1,nASIG,"Orquesta/Banda/Conjunto"),"")))</f>
        <v/>
      </c>
      <c r="P333" t="str">
        <f>IF(M333="","",IF(M333="[FÓRMULA MANUAL]","",IFERROR(AVERAGEIFS(nNOTA,nNIA,M333,nCUENTA,1,nASIG,"Música de Cámara"),"")))</f>
        <v/>
      </c>
      <c r="Q333" t="str">
        <f>IF(M333="","",IF(M333="[FÓRMULA MANUAL]","",IFERROR(SUMPRODUCT((nNIA=M333)*(nCUENTA=1)*(COUNTIF(CONFIG_ASIGNATURAS!$B$7:$B$27,nASIG)&gt;0)*(nNOTA))/SUMPRODUCT((nNIA=M333)*(nCUENTA=1)*(COUNTIF(CONFIG_ASIGNATURAS!$B$7:$B$27,nASIG)&gt;0)*1),"")))</f>
        <v/>
      </c>
      <c r="T333" t="str">
        <f>IF(S333="","",IF(S333="[FÓRMULA MANUAL]","",IFERROR(AVERAGEIFS(nNOTA,nNIA,S333,nCUENTA,1,nASIG,"Armonía"),"")))</f>
        <v/>
      </c>
      <c r="U333" t="str">
        <f>IF(S333="","",IF(S333="[FÓRMULA MANUAL]","",IFERROR(AVERAGEIFS(nNOTA,nNIA,S333,nCUENTA,1,nASIG,"Orquesta/Banda/Conjunto"),"")))</f>
        <v/>
      </c>
      <c r="V333" t="str">
        <f>IF(S333="","",IF(S333="[FÓRMULA MANUAL]","",IFERROR(AVERAGEIFS(nNOTA,nNIA,S333,nCUENTA,1,nASIG,"Música de Cámara"),"")))</f>
        <v/>
      </c>
      <c r="W333" t="str">
        <f>IF(S333="","",IF(S333="[FÓRMULA MANUAL]","",IFERROR(SUMPRODUCT((nNIA=S333)*(nCUENTA=1)*(COUNTIF(CONFIG_ASIGNATURAS!$B$7:$B$27,nASIG)&gt;0)*(nNOTA))/SUMPRODUCT((nNIA=S333)*(nCUENTA=1)*(COUNTIF(CONFIG_ASIGNATURAS!$B$7:$B$27,nASIG)&gt;0)*1),"")))</f>
        <v/>
      </c>
      <c r="Z333" t="str">
        <f>IF(Y333="","",IF(Y333="[FÓRMULA MANUAL]","",IFERROR(AVERAGEIFS(nNOTA,nNIA,Y333,nCUENTA,1,nASIG,"Análisis"),"")))</f>
        <v/>
      </c>
      <c r="AA333" t="str">
        <f>IF(Y333="","",IF(Y333="[FÓRMULA MANUAL]","",IFERROR(AVERAGEIFS(nNOTA,nNIA,Y333,nCUENTA,1,nASIG,"Orquesta/Banda/Conjunto"),"")))</f>
        <v/>
      </c>
      <c r="AB333" t="str">
        <f>IF(Y333="","",IF(Y333="[FÓRMULA MANUAL]","",IFERROR(AVERAGEIFS(nNOTA,nNIA,Y333,nCUENTA,1,nASIG,"Música de Cámara"),"")))</f>
        <v/>
      </c>
      <c r="AC333" t="str">
        <f>IF(Y333="","",IF(Y333="[FÓRMULA MANUAL]","",IFERROR(SUMPRODUCT((nNIA=Y333)*(nCUENTA=1)*(COUNTIF(CONFIG_ASIGNATURAS!$B$7:$B$27,nASIG)&gt;0)*(nNOTA))/SUMPRODUCT((nNIA=Y333)*(nCUENTA=1)*(COUNTIF(CONFIG_ASIGNATURAS!$B$7:$B$27,nASIG)&gt;0)*1),"")))</f>
        <v/>
      </c>
      <c r="AF333" t="str">
        <f>IF(AE333="","",IF(AE333="[FÓRMULA MANUAL]","",IFERROR(AVERAGEIFS(nNOTA,nNIA,AE333,nCUENTA,1,nASIG,"Análisis"),"")))</f>
        <v/>
      </c>
      <c r="AG333" t="str">
        <f>IF(AE333="","",IF(AE333="[FÓRMULA MANUAL]","",IFERROR(AVERAGEIFS(nNOTA,nNIA,AE333,nCUENTA,1,nASIG,"Orquesta/Banda/Conjunto"),"")))</f>
        <v/>
      </c>
      <c r="AH333" t="str">
        <f>IF(AE333="","",IF(AE333="[FÓRMULA MANUAL]","",IFERROR(AVERAGEIFS(nNOTA,nNIA,AE333,nCUENTA,1,nASIG,"Música de Cámara"),"")))</f>
        <v/>
      </c>
      <c r="AI333" t="str">
        <f>IF(AE333="","",IF(AE333="[FÓRMULA MANUAL]","",IFERROR(SUMPRODUCT((nNIA=AE333)*(nCUENTA=1)*(COUNTIF(CONFIG_ASIGNATURAS!$B$7:$B$27,nASIG)&gt;0)*(nNOTA))/SUMPRODUCT((nNIA=AE333)*(nCUENTA=1)*(COUNTIF(CONFIG_ASIGNATURAS!$B$7:$B$27,nASIG)&gt;0)*1),"")))</f>
        <v/>
      </c>
    </row>
    <row r="334" spans="2:35" x14ac:dyDescent="0.2">
      <c r="B334" t="str">
        <f>IF(A334="","",IF(A334="[FÓRMULA MANUAL]","",IFERROR(AVERAGEIFS(nNOTA,nNIA,A334,nCUENTA,1,nASIG,"Lenguaje Musical"),"")))</f>
        <v/>
      </c>
      <c r="C334" t="str">
        <f>IF(A334="","",IF(A334="[FÓRMULA MANUAL]","",IFERROR(AVERAGEIFS(nNOTA,nNIA,A334,nCUENTA,1,nASIG,"Orquesta/Banda/Conjunto"),"")))</f>
        <v/>
      </c>
      <c r="D334" t="str">
        <f>IF(A334="","",IF(A334="[FÓRMULA MANUAL]","",IFERROR(AVERAGEIFS(nNOTA,nNIA,A334,nCUENTA,1,nASIG,"Conjunto"),"")))</f>
        <v/>
      </c>
      <c r="E334" t="str">
        <f>IF(A334="","",IF(A334="[FÓRMULA MANUAL]","",IFERROR(SUMPRODUCT((nNIA=A334)*(nCUENTA=1)*(COUNTIF(CONFIG_ASIGNATURAS!$B$7:$B$27,nASIG)&gt;0)*(nNOTA))/SUMPRODUCT((nNIA=A334)*(nCUENTA=1)*(COUNTIF(CONFIG_ASIGNATURAS!$B$7:$B$27,nASIG)&gt;0)*1),"")))</f>
        <v/>
      </c>
      <c r="H334" t="str">
        <f>IF(G334="","",IF(G334="[FÓRMULA MANUAL]","",IFERROR(AVERAGEIFS(nNOTA,nNIA,G334,nCUENTA,1,nASIG,"Lenguaje Musical"),"")))</f>
        <v/>
      </c>
      <c r="I334" t="str">
        <f>IF(G334="","",IF(G334="[FÓRMULA MANUAL]","",IFERROR(AVERAGEIFS(nNOTA,nNIA,G334,nCUENTA,1,nASIG,"Orquesta/Banda/Conjunto"),"")))</f>
        <v/>
      </c>
      <c r="J334" t="str">
        <f>IF(G334="","",IF(G334="[FÓRMULA MANUAL]","",IFERROR(AVERAGEIFS(nNOTA,nNIA,G334,nCUENTA,1,nASIG,"Conjunto"),"")))</f>
        <v/>
      </c>
      <c r="K334" t="str">
        <f>IF(G334="","",IF(G334="[FÓRMULA MANUAL]","",IFERROR(SUMPRODUCT((nNIA=G334)*(nCUENTA=1)*(COUNTIF(CONFIG_ASIGNATURAS!$B$7:$B$27,nASIG)&gt;0)*(nNOTA))/SUMPRODUCT((nNIA=G334)*(nCUENTA=1)*(COUNTIF(CONFIG_ASIGNATURAS!$B$7:$B$27,nASIG)&gt;0)*1),"")))</f>
        <v/>
      </c>
      <c r="N334" t="str">
        <f>IF(M334="","",IF(M334="[FÓRMULA MANUAL]","",IFERROR(AVERAGEIFS(nNOTA,nNIA,M334,nCUENTA,1,nASIG,"Armonía"),"")))</f>
        <v/>
      </c>
      <c r="O334" t="str">
        <f>IF(M334="","",IF(M334="[FÓRMULA MANUAL]","",IFERROR(AVERAGEIFS(nNOTA,nNIA,M334,nCUENTA,1,nASIG,"Orquesta/Banda/Conjunto"),"")))</f>
        <v/>
      </c>
      <c r="P334" t="str">
        <f>IF(M334="","",IF(M334="[FÓRMULA MANUAL]","",IFERROR(AVERAGEIFS(nNOTA,nNIA,M334,nCUENTA,1,nASIG,"Música de Cámara"),"")))</f>
        <v/>
      </c>
      <c r="Q334" t="str">
        <f>IF(M334="","",IF(M334="[FÓRMULA MANUAL]","",IFERROR(SUMPRODUCT((nNIA=M334)*(nCUENTA=1)*(COUNTIF(CONFIG_ASIGNATURAS!$B$7:$B$27,nASIG)&gt;0)*(nNOTA))/SUMPRODUCT((nNIA=M334)*(nCUENTA=1)*(COUNTIF(CONFIG_ASIGNATURAS!$B$7:$B$27,nASIG)&gt;0)*1),"")))</f>
        <v/>
      </c>
      <c r="T334" t="str">
        <f>IF(S334="","",IF(S334="[FÓRMULA MANUAL]","",IFERROR(AVERAGEIFS(nNOTA,nNIA,S334,nCUENTA,1,nASIG,"Armonía"),"")))</f>
        <v/>
      </c>
      <c r="U334" t="str">
        <f>IF(S334="","",IF(S334="[FÓRMULA MANUAL]","",IFERROR(AVERAGEIFS(nNOTA,nNIA,S334,nCUENTA,1,nASIG,"Orquesta/Banda/Conjunto"),"")))</f>
        <v/>
      </c>
      <c r="V334" t="str">
        <f>IF(S334="","",IF(S334="[FÓRMULA MANUAL]","",IFERROR(AVERAGEIFS(nNOTA,nNIA,S334,nCUENTA,1,nASIG,"Música de Cámara"),"")))</f>
        <v/>
      </c>
      <c r="W334" t="str">
        <f>IF(S334="","",IF(S334="[FÓRMULA MANUAL]","",IFERROR(SUMPRODUCT((nNIA=S334)*(nCUENTA=1)*(COUNTIF(CONFIG_ASIGNATURAS!$B$7:$B$27,nASIG)&gt;0)*(nNOTA))/SUMPRODUCT((nNIA=S334)*(nCUENTA=1)*(COUNTIF(CONFIG_ASIGNATURAS!$B$7:$B$27,nASIG)&gt;0)*1),"")))</f>
        <v/>
      </c>
      <c r="Z334" t="str">
        <f>IF(Y334="","",IF(Y334="[FÓRMULA MANUAL]","",IFERROR(AVERAGEIFS(nNOTA,nNIA,Y334,nCUENTA,1,nASIG,"Análisis"),"")))</f>
        <v/>
      </c>
      <c r="AA334" t="str">
        <f>IF(Y334="","",IF(Y334="[FÓRMULA MANUAL]","",IFERROR(AVERAGEIFS(nNOTA,nNIA,Y334,nCUENTA,1,nASIG,"Orquesta/Banda/Conjunto"),"")))</f>
        <v/>
      </c>
      <c r="AB334" t="str">
        <f>IF(Y334="","",IF(Y334="[FÓRMULA MANUAL]","",IFERROR(AVERAGEIFS(nNOTA,nNIA,Y334,nCUENTA,1,nASIG,"Música de Cámara"),"")))</f>
        <v/>
      </c>
      <c r="AC334" t="str">
        <f>IF(Y334="","",IF(Y334="[FÓRMULA MANUAL]","",IFERROR(SUMPRODUCT((nNIA=Y334)*(nCUENTA=1)*(COUNTIF(CONFIG_ASIGNATURAS!$B$7:$B$27,nASIG)&gt;0)*(nNOTA))/SUMPRODUCT((nNIA=Y334)*(nCUENTA=1)*(COUNTIF(CONFIG_ASIGNATURAS!$B$7:$B$27,nASIG)&gt;0)*1),"")))</f>
        <v/>
      </c>
      <c r="AF334" t="str">
        <f>IF(AE334="","",IF(AE334="[FÓRMULA MANUAL]","",IFERROR(AVERAGEIFS(nNOTA,nNIA,AE334,nCUENTA,1,nASIG,"Análisis"),"")))</f>
        <v/>
      </c>
      <c r="AG334" t="str">
        <f>IF(AE334="","",IF(AE334="[FÓRMULA MANUAL]","",IFERROR(AVERAGEIFS(nNOTA,nNIA,AE334,nCUENTA,1,nASIG,"Orquesta/Banda/Conjunto"),"")))</f>
        <v/>
      </c>
      <c r="AH334" t="str">
        <f>IF(AE334="","",IF(AE334="[FÓRMULA MANUAL]","",IFERROR(AVERAGEIFS(nNOTA,nNIA,AE334,nCUENTA,1,nASIG,"Música de Cámara"),"")))</f>
        <v/>
      </c>
      <c r="AI334" t="str">
        <f>IF(AE334="","",IF(AE334="[FÓRMULA MANUAL]","",IFERROR(SUMPRODUCT((nNIA=AE334)*(nCUENTA=1)*(COUNTIF(CONFIG_ASIGNATURAS!$B$7:$B$27,nASIG)&gt;0)*(nNOTA))/SUMPRODUCT((nNIA=AE334)*(nCUENTA=1)*(COUNTIF(CONFIG_ASIGNATURAS!$B$7:$B$27,nASIG)&gt;0)*1),"")))</f>
        <v/>
      </c>
    </row>
    <row r="335" spans="2:35" x14ac:dyDescent="0.2">
      <c r="B335" t="str">
        <f>IF(A335="","",IF(A335="[FÓRMULA MANUAL]","",IFERROR(AVERAGEIFS(nNOTA,nNIA,A335,nCUENTA,1,nASIG,"Lenguaje Musical"),"")))</f>
        <v/>
      </c>
      <c r="C335" t="str">
        <f>IF(A335="","",IF(A335="[FÓRMULA MANUAL]","",IFERROR(AVERAGEIFS(nNOTA,nNIA,A335,nCUENTA,1,nASIG,"Orquesta/Banda/Conjunto"),"")))</f>
        <v/>
      </c>
      <c r="D335" t="str">
        <f>IF(A335="","",IF(A335="[FÓRMULA MANUAL]","",IFERROR(AVERAGEIFS(nNOTA,nNIA,A335,nCUENTA,1,nASIG,"Conjunto"),"")))</f>
        <v/>
      </c>
      <c r="E335" t="str">
        <f>IF(A335="","",IF(A335="[FÓRMULA MANUAL]","",IFERROR(SUMPRODUCT((nNIA=A335)*(nCUENTA=1)*(COUNTIF(CONFIG_ASIGNATURAS!$B$7:$B$27,nASIG)&gt;0)*(nNOTA))/SUMPRODUCT((nNIA=A335)*(nCUENTA=1)*(COUNTIF(CONFIG_ASIGNATURAS!$B$7:$B$27,nASIG)&gt;0)*1),"")))</f>
        <v/>
      </c>
      <c r="H335" t="str">
        <f>IF(G335="","",IF(G335="[FÓRMULA MANUAL]","",IFERROR(AVERAGEIFS(nNOTA,nNIA,G335,nCUENTA,1,nASIG,"Lenguaje Musical"),"")))</f>
        <v/>
      </c>
      <c r="I335" t="str">
        <f>IF(G335="","",IF(G335="[FÓRMULA MANUAL]","",IFERROR(AVERAGEIFS(nNOTA,nNIA,G335,nCUENTA,1,nASIG,"Orquesta/Banda/Conjunto"),"")))</f>
        <v/>
      </c>
      <c r="J335" t="str">
        <f>IF(G335="","",IF(G335="[FÓRMULA MANUAL]","",IFERROR(AVERAGEIFS(nNOTA,nNIA,G335,nCUENTA,1,nASIG,"Conjunto"),"")))</f>
        <v/>
      </c>
      <c r="K335" t="str">
        <f>IF(G335="","",IF(G335="[FÓRMULA MANUAL]","",IFERROR(SUMPRODUCT((nNIA=G335)*(nCUENTA=1)*(COUNTIF(CONFIG_ASIGNATURAS!$B$7:$B$27,nASIG)&gt;0)*(nNOTA))/SUMPRODUCT((nNIA=G335)*(nCUENTA=1)*(COUNTIF(CONFIG_ASIGNATURAS!$B$7:$B$27,nASIG)&gt;0)*1),"")))</f>
        <v/>
      </c>
      <c r="N335" t="str">
        <f>IF(M335="","",IF(M335="[FÓRMULA MANUAL]","",IFERROR(AVERAGEIFS(nNOTA,nNIA,M335,nCUENTA,1,nASIG,"Armonía"),"")))</f>
        <v/>
      </c>
      <c r="O335" t="str">
        <f>IF(M335="","",IF(M335="[FÓRMULA MANUAL]","",IFERROR(AVERAGEIFS(nNOTA,nNIA,M335,nCUENTA,1,nASIG,"Orquesta/Banda/Conjunto"),"")))</f>
        <v/>
      </c>
      <c r="P335" t="str">
        <f>IF(M335="","",IF(M335="[FÓRMULA MANUAL]","",IFERROR(AVERAGEIFS(nNOTA,nNIA,M335,nCUENTA,1,nASIG,"Música de Cámara"),"")))</f>
        <v/>
      </c>
      <c r="Q335" t="str">
        <f>IF(M335="","",IF(M335="[FÓRMULA MANUAL]","",IFERROR(SUMPRODUCT((nNIA=M335)*(nCUENTA=1)*(COUNTIF(CONFIG_ASIGNATURAS!$B$7:$B$27,nASIG)&gt;0)*(nNOTA))/SUMPRODUCT((nNIA=M335)*(nCUENTA=1)*(COUNTIF(CONFIG_ASIGNATURAS!$B$7:$B$27,nASIG)&gt;0)*1),"")))</f>
        <v/>
      </c>
      <c r="T335" t="str">
        <f>IF(S335="","",IF(S335="[FÓRMULA MANUAL]","",IFERROR(AVERAGEIFS(nNOTA,nNIA,S335,nCUENTA,1,nASIG,"Armonía"),"")))</f>
        <v/>
      </c>
      <c r="U335" t="str">
        <f>IF(S335="","",IF(S335="[FÓRMULA MANUAL]","",IFERROR(AVERAGEIFS(nNOTA,nNIA,S335,nCUENTA,1,nASIG,"Orquesta/Banda/Conjunto"),"")))</f>
        <v/>
      </c>
      <c r="V335" t="str">
        <f>IF(S335="","",IF(S335="[FÓRMULA MANUAL]","",IFERROR(AVERAGEIFS(nNOTA,nNIA,S335,nCUENTA,1,nASIG,"Música de Cámara"),"")))</f>
        <v/>
      </c>
      <c r="W335" t="str">
        <f>IF(S335="","",IF(S335="[FÓRMULA MANUAL]","",IFERROR(SUMPRODUCT((nNIA=S335)*(nCUENTA=1)*(COUNTIF(CONFIG_ASIGNATURAS!$B$7:$B$27,nASIG)&gt;0)*(nNOTA))/SUMPRODUCT((nNIA=S335)*(nCUENTA=1)*(COUNTIF(CONFIG_ASIGNATURAS!$B$7:$B$27,nASIG)&gt;0)*1),"")))</f>
        <v/>
      </c>
      <c r="Z335" t="str">
        <f>IF(Y335="","",IF(Y335="[FÓRMULA MANUAL]","",IFERROR(AVERAGEIFS(nNOTA,nNIA,Y335,nCUENTA,1,nASIG,"Análisis"),"")))</f>
        <v/>
      </c>
      <c r="AA335" t="str">
        <f>IF(Y335="","",IF(Y335="[FÓRMULA MANUAL]","",IFERROR(AVERAGEIFS(nNOTA,nNIA,Y335,nCUENTA,1,nASIG,"Orquesta/Banda/Conjunto"),"")))</f>
        <v/>
      </c>
      <c r="AB335" t="str">
        <f>IF(Y335="","",IF(Y335="[FÓRMULA MANUAL]","",IFERROR(AVERAGEIFS(nNOTA,nNIA,Y335,nCUENTA,1,nASIG,"Música de Cámara"),"")))</f>
        <v/>
      </c>
      <c r="AC335" t="str">
        <f>IF(Y335="","",IF(Y335="[FÓRMULA MANUAL]","",IFERROR(SUMPRODUCT((nNIA=Y335)*(nCUENTA=1)*(COUNTIF(CONFIG_ASIGNATURAS!$B$7:$B$27,nASIG)&gt;0)*(nNOTA))/SUMPRODUCT((nNIA=Y335)*(nCUENTA=1)*(COUNTIF(CONFIG_ASIGNATURAS!$B$7:$B$27,nASIG)&gt;0)*1),"")))</f>
        <v/>
      </c>
      <c r="AF335" t="str">
        <f>IF(AE335="","",IF(AE335="[FÓRMULA MANUAL]","",IFERROR(AVERAGEIFS(nNOTA,nNIA,AE335,nCUENTA,1,nASIG,"Análisis"),"")))</f>
        <v/>
      </c>
      <c r="AG335" t="str">
        <f>IF(AE335="","",IF(AE335="[FÓRMULA MANUAL]","",IFERROR(AVERAGEIFS(nNOTA,nNIA,AE335,nCUENTA,1,nASIG,"Orquesta/Banda/Conjunto"),"")))</f>
        <v/>
      </c>
      <c r="AH335" t="str">
        <f>IF(AE335="","",IF(AE335="[FÓRMULA MANUAL]","",IFERROR(AVERAGEIFS(nNOTA,nNIA,AE335,nCUENTA,1,nASIG,"Música de Cámara"),"")))</f>
        <v/>
      </c>
      <c r="AI335" t="str">
        <f>IF(AE335="","",IF(AE335="[FÓRMULA MANUAL]","",IFERROR(SUMPRODUCT((nNIA=AE335)*(nCUENTA=1)*(COUNTIF(CONFIG_ASIGNATURAS!$B$7:$B$27,nASIG)&gt;0)*(nNOTA))/SUMPRODUCT((nNIA=AE335)*(nCUENTA=1)*(COUNTIF(CONFIG_ASIGNATURAS!$B$7:$B$27,nASIG)&gt;0)*1),"")))</f>
        <v/>
      </c>
    </row>
    <row r="336" spans="2:35" x14ac:dyDescent="0.2">
      <c r="B336" t="str">
        <f>IF(A336="","",IF(A336="[FÓRMULA MANUAL]","",IFERROR(AVERAGEIFS(nNOTA,nNIA,A336,nCUENTA,1,nASIG,"Lenguaje Musical"),"")))</f>
        <v/>
      </c>
      <c r="C336" t="str">
        <f>IF(A336="","",IF(A336="[FÓRMULA MANUAL]","",IFERROR(AVERAGEIFS(nNOTA,nNIA,A336,nCUENTA,1,nASIG,"Orquesta/Banda/Conjunto"),"")))</f>
        <v/>
      </c>
      <c r="D336" t="str">
        <f>IF(A336="","",IF(A336="[FÓRMULA MANUAL]","",IFERROR(AVERAGEIFS(nNOTA,nNIA,A336,nCUENTA,1,nASIG,"Conjunto"),"")))</f>
        <v/>
      </c>
      <c r="E336" t="str">
        <f>IF(A336="","",IF(A336="[FÓRMULA MANUAL]","",IFERROR(SUMPRODUCT((nNIA=A336)*(nCUENTA=1)*(COUNTIF(CONFIG_ASIGNATURAS!$B$7:$B$27,nASIG)&gt;0)*(nNOTA))/SUMPRODUCT((nNIA=A336)*(nCUENTA=1)*(COUNTIF(CONFIG_ASIGNATURAS!$B$7:$B$27,nASIG)&gt;0)*1),"")))</f>
        <v/>
      </c>
      <c r="H336" t="str">
        <f>IF(G336="","",IF(G336="[FÓRMULA MANUAL]","",IFERROR(AVERAGEIFS(nNOTA,nNIA,G336,nCUENTA,1,nASIG,"Lenguaje Musical"),"")))</f>
        <v/>
      </c>
      <c r="I336" t="str">
        <f>IF(G336="","",IF(G336="[FÓRMULA MANUAL]","",IFERROR(AVERAGEIFS(nNOTA,nNIA,G336,nCUENTA,1,nASIG,"Orquesta/Banda/Conjunto"),"")))</f>
        <v/>
      </c>
      <c r="J336" t="str">
        <f>IF(G336="","",IF(G336="[FÓRMULA MANUAL]","",IFERROR(AVERAGEIFS(nNOTA,nNIA,G336,nCUENTA,1,nASIG,"Conjunto"),"")))</f>
        <v/>
      </c>
      <c r="K336" t="str">
        <f>IF(G336="","",IF(G336="[FÓRMULA MANUAL]","",IFERROR(SUMPRODUCT((nNIA=G336)*(nCUENTA=1)*(COUNTIF(CONFIG_ASIGNATURAS!$B$7:$B$27,nASIG)&gt;0)*(nNOTA))/SUMPRODUCT((nNIA=G336)*(nCUENTA=1)*(COUNTIF(CONFIG_ASIGNATURAS!$B$7:$B$27,nASIG)&gt;0)*1),"")))</f>
        <v/>
      </c>
      <c r="N336" t="str">
        <f>IF(M336="","",IF(M336="[FÓRMULA MANUAL]","",IFERROR(AVERAGEIFS(nNOTA,nNIA,M336,nCUENTA,1,nASIG,"Armonía"),"")))</f>
        <v/>
      </c>
      <c r="O336" t="str">
        <f>IF(M336="","",IF(M336="[FÓRMULA MANUAL]","",IFERROR(AVERAGEIFS(nNOTA,nNIA,M336,nCUENTA,1,nASIG,"Orquesta/Banda/Conjunto"),"")))</f>
        <v/>
      </c>
      <c r="P336" t="str">
        <f>IF(M336="","",IF(M336="[FÓRMULA MANUAL]","",IFERROR(AVERAGEIFS(nNOTA,nNIA,M336,nCUENTA,1,nASIG,"Música de Cámara"),"")))</f>
        <v/>
      </c>
      <c r="Q336" t="str">
        <f>IF(M336="","",IF(M336="[FÓRMULA MANUAL]","",IFERROR(SUMPRODUCT((nNIA=M336)*(nCUENTA=1)*(COUNTIF(CONFIG_ASIGNATURAS!$B$7:$B$27,nASIG)&gt;0)*(nNOTA))/SUMPRODUCT((nNIA=M336)*(nCUENTA=1)*(COUNTIF(CONFIG_ASIGNATURAS!$B$7:$B$27,nASIG)&gt;0)*1),"")))</f>
        <v/>
      </c>
      <c r="T336" t="str">
        <f>IF(S336="","",IF(S336="[FÓRMULA MANUAL]","",IFERROR(AVERAGEIFS(nNOTA,nNIA,S336,nCUENTA,1,nASIG,"Armonía"),"")))</f>
        <v/>
      </c>
      <c r="U336" t="str">
        <f>IF(S336="","",IF(S336="[FÓRMULA MANUAL]","",IFERROR(AVERAGEIFS(nNOTA,nNIA,S336,nCUENTA,1,nASIG,"Orquesta/Banda/Conjunto"),"")))</f>
        <v/>
      </c>
      <c r="V336" t="str">
        <f>IF(S336="","",IF(S336="[FÓRMULA MANUAL]","",IFERROR(AVERAGEIFS(nNOTA,nNIA,S336,nCUENTA,1,nASIG,"Música de Cámara"),"")))</f>
        <v/>
      </c>
      <c r="W336" t="str">
        <f>IF(S336="","",IF(S336="[FÓRMULA MANUAL]","",IFERROR(SUMPRODUCT((nNIA=S336)*(nCUENTA=1)*(COUNTIF(CONFIG_ASIGNATURAS!$B$7:$B$27,nASIG)&gt;0)*(nNOTA))/SUMPRODUCT((nNIA=S336)*(nCUENTA=1)*(COUNTIF(CONFIG_ASIGNATURAS!$B$7:$B$27,nASIG)&gt;0)*1),"")))</f>
        <v/>
      </c>
      <c r="Z336" t="str">
        <f>IF(Y336="","",IF(Y336="[FÓRMULA MANUAL]","",IFERROR(AVERAGEIFS(nNOTA,nNIA,Y336,nCUENTA,1,nASIG,"Análisis"),"")))</f>
        <v/>
      </c>
      <c r="AA336" t="str">
        <f>IF(Y336="","",IF(Y336="[FÓRMULA MANUAL]","",IFERROR(AVERAGEIFS(nNOTA,nNIA,Y336,nCUENTA,1,nASIG,"Orquesta/Banda/Conjunto"),"")))</f>
        <v/>
      </c>
      <c r="AB336" t="str">
        <f>IF(Y336="","",IF(Y336="[FÓRMULA MANUAL]","",IFERROR(AVERAGEIFS(nNOTA,nNIA,Y336,nCUENTA,1,nASIG,"Música de Cámara"),"")))</f>
        <v/>
      </c>
      <c r="AC336" t="str">
        <f>IF(Y336="","",IF(Y336="[FÓRMULA MANUAL]","",IFERROR(SUMPRODUCT((nNIA=Y336)*(nCUENTA=1)*(COUNTIF(CONFIG_ASIGNATURAS!$B$7:$B$27,nASIG)&gt;0)*(nNOTA))/SUMPRODUCT((nNIA=Y336)*(nCUENTA=1)*(COUNTIF(CONFIG_ASIGNATURAS!$B$7:$B$27,nASIG)&gt;0)*1),"")))</f>
        <v/>
      </c>
      <c r="AF336" t="str">
        <f>IF(AE336="","",IF(AE336="[FÓRMULA MANUAL]","",IFERROR(AVERAGEIFS(nNOTA,nNIA,AE336,nCUENTA,1,nASIG,"Análisis"),"")))</f>
        <v/>
      </c>
      <c r="AG336" t="str">
        <f>IF(AE336="","",IF(AE336="[FÓRMULA MANUAL]","",IFERROR(AVERAGEIFS(nNOTA,nNIA,AE336,nCUENTA,1,nASIG,"Orquesta/Banda/Conjunto"),"")))</f>
        <v/>
      </c>
      <c r="AH336" t="str">
        <f>IF(AE336="","",IF(AE336="[FÓRMULA MANUAL]","",IFERROR(AVERAGEIFS(nNOTA,nNIA,AE336,nCUENTA,1,nASIG,"Música de Cámara"),"")))</f>
        <v/>
      </c>
      <c r="AI336" t="str">
        <f>IF(AE336="","",IF(AE336="[FÓRMULA MANUAL]","",IFERROR(SUMPRODUCT((nNIA=AE336)*(nCUENTA=1)*(COUNTIF(CONFIG_ASIGNATURAS!$B$7:$B$27,nASIG)&gt;0)*(nNOTA))/SUMPRODUCT((nNIA=AE336)*(nCUENTA=1)*(COUNTIF(CONFIG_ASIGNATURAS!$B$7:$B$27,nASIG)&gt;0)*1),"")))</f>
        <v/>
      </c>
    </row>
    <row r="337" spans="2:35" x14ac:dyDescent="0.2">
      <c r="B337" t="str">
        <f>IF(A337="","",IF(A337="[FÓRMULA MANUAL]","",IFERROR(AVERAGEIFS(nNOTA,nNIA,A337,nCUENTA,1,nASIG,"Lenguaje Musical"),"")))</f>
        <v/>
      </c>
      <c r="C337" t="str">
        <f>IF(A337="","",IF(A337="[FÓRMULA MANUAL]","",IFERROR(AVERAGEIFS(nNOTA,nNIA,A337,nCUENTA,1,nASIG,"Orquesta/Banda/Conjunto"),"")))</f>
        <v/>
      </c>
      <c r="D337" t="str">
        <f>IF(A337="","",IF(A337="[FÓRMULA MANUAL]","",IFERROR(AVERAGEIFS(nNOTA,nNIA,A337,nCUENTA,1,nASIG,"Conjunto"),"")))</f>
        <v/>
      </c>
      <c r="E337" t="str">
        <f>IF(A337="","",IF(A337="[FÓRMULA MANUAL]","",IFERROR(SUMPRODUCT((nNIA=A337)*(nCUENTA=1)*(COUNTIF(CONFIG_ASIGNATURAS!$B$7:$B$27,nASIG)&gt;0)*(nNOTA))/SUMPRODUCT((nNIA=A337)*(nCUENTA=1)*(COUNTIF(CONFIG_ASIGNATURAS!$B$7:$B$27,nASIG)&gt;0)*1),"")))</f>
        <v/>
      </c>
      <c r="H337" t="str">
        <f>IF(G337="","",IF(G337="[FÓRMULA MANUAL]","",IFERROR(AVERAGEIFS(nNOTA,nNIA,G337,nCUENTA,1,nASIG,"Lenguaje Musical"),"")))</f>
        <v/>
      </c>
      <c r="I337" t="str">
        <f>IF(G337="","",IF(G337="[FÓRMULA MANUAL]","",IFERROR(AVERAGEIFS(nNOTA,nNIA,G337,nCUENTA,1,nASIG,"Orquesta/Banda/Conjunto"),"")))</f>
        <v/>
      </c>
      <c r="J337" t="str">
        <f>IF(G337="","",IF(G337="[FÓRMULA MANUAL]","",IFERROR(AVERAGEIFS(nNOTA,nNIA,G337,nCUENTA,1,nASIG,"Conjunto"),"")))</f>
        <v/>
      </c>
      <c r="K337" t="str">
        <f>IF(G337="","",IF(G337="[FÓRMULA MANUAL]","",IFERROR(SUMPRODUCT((nNIA=G337)*(nCUENTA=1)*(COUNTIF(CONFIG_ASIGNATURAS!$B$7:$B$27,nASIG)&gt;0)*(nNOTA))/SUMPRODUCT((nNIA=G337)*(nCUENTA=1)*(COUNTIF(CONFIG_ASIGNATURAS!$B$7:$B$27,nASIG)&gt;0)*1),"")))</f>
        <v/>
      </c>
      <c r="N337" t="str">
        <f>IF(M337="","",IF(M337="[FÓRMULA MANUAL]","",IFERROR(AVERAGEIFS(nNOTA,nNIA,M337,nCUENTA,1,nASIG,"Armonía"),"")))</f>
        <v/>
      </c>
      <c r="O337" t="str">
        <f>IF(M337="","",IF(M337="[FÓRMULA MANUAL]","",IFERROR(AVERAGEIFS(nNOTA,nNIA,M337,nCUENTA,1,nASIG,"Orquesta/Banda/Conjunto"),"")))</f>
        <v/>
      </c>
      <c r="P337" t="str">
        <f>IF(M337="","",IF(M337="[FÓRMULA MANUAL]","",IFERROR(AVERAGEIFS(nNOTA,nNIA,M337,nCUENTA,1,nASIG,"Música de Cámara"),"")))</f>
        <v/>
      </c>
      <c r="Q337" t="str">
        <f>IF(M337="","",IF(M337="[FÓRMULA MANUAL]","",IFERROR(SUMPRODUCT((nNIA=M337)*(nCUENTA=1)*(COUNTIF(CONFIG_ASIGNATURAS!$B$7:$B$27,nASIG)&gt;0)*(nNOTA))/SUMPRODUCT((nNIA=M337)*(nCUENTA=1)*(COUNTIF(CONFIG_ASIGNATURAS!$B$7:$B$27,nASIG)&gt;0)*1),"")))</f>
        <v/>
      </c>
      <c r="T337" t="str">
        <f>IF(S337="","",IF(S337="[FÓRMULA MANUAL]","",IFERROR(AVERAGEIFS(nNOTA,nNIA,S337,nCUENTA,1,nASIG,"Armonía"),"")))</f>
        <v/>
      </c>
      <c r="U337" t="str">
        <f>IF(S337="","",IF(S337="[FÓRMULA MANUAL]","",IFERROR(AVERAGEIFS(nNOTA,nNIA,S337,nCUENTA,1,nASIG,"Orquesta/Banda/Conjunto"),"")))</f>
        <v/>
      </c>
      <c r="V337" t="str">
        <f>IF(S337="","",IF(S337="[FÓRMULA MANUAL]","",IFERROR(AVERAGEIFS(nNOTA,nNIA,S337,nCUENTA,1,nASIG,"Música de Cámara"),"")))</f>
        <v/>
      </c>
      <c r="W337" t="str">
        <f>IF(S337="","",IF(S337="[FÓRMULA MANUAL]","",IFERROR(SUMPRODUCT((nNIA=S337)*(nCUENTA=1)*(COUNTIF(CONFIG_ASIGNATURAS!$B$7:$B$27,nASIG)&gt;0)*(nNOTA))/SUMPRODUCT((nNIA=S337)*(nCUENTA=1)*(COUNTIF(CONFIG_ASIGNATURAS!$B$7:$B$27,nASIG)&gt;0)*1),"")))</f>
        <v/>
      </c>
      <c r="Z337" t="str">
        <f>IF(Y337="","",IF(Y337="[FÓRMULA MANUAL]","",IFERROR(AVERAGEIFS(nNOTA,nNIA,Y337,nCUENTA,1,nASIG,"Análisis"),"")))</f>
        <v/>
      </c>
      <c r="AA337" t="str">
        <f>IF(Y337="","",IF(Y337="[FÓRMULA MANUAL]","",IFERROR(AVERAGEIFS(nNOTA,nNIA,Y337,nCUENTA,1,nASIG,"Orquesta/Banda/Conjunto"),"")))</f>
        <v/>
      </c>
      <c r="AB337" t="str">
        <f>IF(Y337="","",IF(Y337="[FÓRMULA MANUAL]","",IFERROR(AVERAGEIFS(nNOTA,nNIA,Y337,nCUENTA,1,nASIG,"Música de Cámara"),"")))</f>
        <v/>
      </c>
      <c r="AC337" t="str">
        <f>IF(Y337="","",IF(Y337="[FÓRMULA MANUAL]","",IFERROR(SUMPRODUCT((nNIA=Y337)*(nCUENTA=1)*(COUNTIF(CONFIG_ASIGNATURAS!$B$7:$B$27,nASIG)&gt;0)*(nNOTA))/SUMPRODUCT((nNIA=Y337)*(nCUENTA=1)*(COUNTIF(CONFIG_ASIGNATURAS!$B$7:$B$27,nASIG)&gt;0)*1),"")))</f>
        <v/>
      </c>
      <c r="AF337" t="str">
        <f>IF(AE337="","",IF(AE337="[FÓRMULA MANUAL]","",IFERROR(AVERAGEIFS(nNOTA,nNIA,AE337,nCUENTA,1,nASIG,"Análisis"),"")))</f>
        <v/>
      </c>
      <c r="AG337" t="str">
        <f>IF(AE337="","",IF(AE337="[FÓRMULA MANUAL]","",IFERROR(AVERAGEIFS(nNOTA,nNIA,AE337,nCUENTA,1,nASIG,"Orquesta/Banda/Conjunto"),"")))</f>
        <v/>
      </c>
      <c r="AH337" t="str">
        <f>IF(AE337="","",IF(AE337="[FÓRMULA MANUAL]","",IFERROR(AVERAGEIFS(nNOTA,nNIA,AE337,nCUENTA,1,nASIG,"Música de Cámara"),"")))</f>
        <v/>
      </c>
      <c r="AI337" t="str">
        <f>IF(AE337="","",IF(AE337="[FÓRMULA MANUAL]","",IFERROR(SUMPRODUCT((nNIA=AE337)*(nCUENTA=1)*(COUNTIF(CONFIG_ASIGNATURAS!$B$7:$B$27,nASIG)&gt;0)*(nNOTA))/SUMPRODUCT((nNIA=AE337)*(nCUENTA=1)*(COUNTIF(CONFIG_ASIGNATURAS!$B$7:$B$27,nASIG)&gt;0)*1),"")))</f>
        <v/>
      </c>
    </row>
    <row r="338" spans="2:35" x14ac:dyDescent="0.2">
      <c r="B338" t="str">
        <f>IF(A338="","",IF(A338="[FÓRMULA MANUAL]","",IFERROR(AVERAGEIFS(nNOTA,nNIA,A338,nCUENTA,1,nASIG,"Lenguaje Musical"),"")))</f>
        <v/>
      </c>
      <c r="C338" t="str">
        <f>IF(A338="","",IF(A338="[FÓRMULA MANUAL]","",IFERROR(AVERAGEIFS(nNOTA,nNIA,A338,nCUENTA,1,nASIG,"Orquesta/Banda/Conjunto"),"")))</f>
        <v/>
      </c>
      <c r="D338" t="str">
        <f>IF(A338="","",IF(A338="[FÓRMULA MANUAL]","",IFERROR(AVERAGEIFS(nNOTA,nNIA,A338,nCUENTA,1,nASIG,"Conjunto"),"")))</f>
        <v/>
      </c>
      <c r="E338" t="str">
        <f>IF(A338="","",IF(A338="[FÓRMULA MANUAL]","",IFERROR(SUMPRODUCT((nNIA=A338)*(nCUENTA=1)*(COUNTIF(CONFIG_ASIGNATURAS!$B$7:$B$27,nASIG)&gt;0)*(nNOTA))/SUMPRODUCT((nNIA=A338)*(nCUENTA=1)*(COUNTIF(CONFIG_ASIGNATURAS!$B$7:$B$27,nASIG)&gt;0)*1),"")))</f>
        <v/>
      </c>
      <c r="H338" t="str">
        <f>IF(G338="","",IF(G338="[FÓRMULA MANUAL]","",IFERROR(AVERAGEIFS(nNOTA,nNIA,G338,nCUENTA,1,nASIG,"Lenguaje Musical"),"")))</f>
        <v/>
      </c>
      <c r="I338" t="str">
        <f>IF(G338="","",IF(G338="[FÓRMULA MANUAL]","",IFERROR(AVERAGEIFS(nNOTA,nNIA,G338,nCUENTA,1,nASIG,"Orquesta/Banda/Conjunto"),"")))</f>
        <v/>
      </c>
      <c r="J338" t="str">
        <f>IF(G338="","",IF(G338="[FÓRMULA MANUAL]","",IFERROR(AVERAGEIFS(nNOTA,nNIA,G338,nCUENTA,1,nASIG,"Conjunto"),"")))</f>
        <v/>
      </c>
      <c r="K338" t="str">
        <f>IF(G338="","",IF(G338="[FÓRMULA MANUAL]","",IFERROR(SUMPRODUCT((nNIA=G338)*(nCUENTA=1)*(COUNTIF(CONFIG_ASIGNATURAS!$B$7:$B$27,nASIG)&gt;0)*(nNOTA))/SUMPRODUCT((nNIA=G338)*(nCUENTA=1)*(COUNTIF(CONFIG_ASIGNATURAS!$B$7:$B$27,nASIG)&gt;0)*1),"")))</f>
        <v/>
      </c>
      <c r="N338" t="str">
        <f>IF(M338="","",IF(M338="[FÓRMULA MANUAL]","",IFERROR(AVERAGEIFS(nNOTA,nNIA,M338,nCUENTA,1,nASIG,"Armonía"),"")))</f>
        <v/>
      </c>
      <c r="O338" t="str">
        <f>IF(M338="","",IF(M338="[FÓRMULA MANUAL]","",IFERROR(AVERAGEIFS(nNOTA,nNIA,M338,nCUENTA,1,nASIG,"Orquesta/Banda/Conjunto"),"")))</f>
        <v/>
      </c>
      <c r="P338" t="str">
        <f>IF(M338="","",IF(M338="[FÓRMULA MANUAL]","",IFERROR(AVERAGEIFS(nNOTA,nNIA,M338,nCUENTA,1,nASIG,"Música de Cámara"),"")))</f>
        <v/>
      </c>
      <c r="Q338" t="str">
        <f>IF(M338="","",IF(M338="[FÓRMULA MANUAL]","",IFERROR(SUMPRODUCT((nNIA=M338)*(nCUENTA=1)*(COUNTIF(CONFIG_ASIGNATURAS!$B$7:$B$27,nASIG)&gt;0)*(nNOTA))/SUMPRODUCT((nNIA=M338)*(nCUENTA=1)*(COUNTIF(CONFIG_ASIGNATURAS!$B$7:$B$27,nASIG)&gt;0)*1),"")))</f>
        <v/>
      </c>
      <c r="T338" t="str">
        <f>IF(S338="","",IF(S338="[FÓRMULA MANUAL]","",IFERROR(AVERAGEIFS(nNOTA,nNIA,S338,nCUENTA,1,nASIG,"Armonía"),"")))</f>
        <v/>
      </c>
      <c r="U338" t="str">
        <f>IF(S338="","",IF(S338="[FÓRMULA MANUAL]","",IFERROR(AVERAGEIFS(nNOTA,nNIA,S338,nCUENTA,1,nASIG,"Orquesta/Banda/Conjunto"),"")))</f>
        <v/>
      </c>
      <c r="V338" t="str">
        <f>IF(S338="","",IF(S338="[FÓRMULA MANUAL]","",IFERROR(AVERAGEIFS(nNOTA,nNIA,S338,nCUENTA,1,nASIG,"Música de Cámara"),"")))</f>
        <v/>
      </c>
      <c r="W338" t="str">
        <f>IF(S338="","",IF(S338="[FÓRMULA MANUAL]","",IFERROR(SUMPRODUCT((nNIA=S338)*(nCUENTA=1)*(COUNTIF(CONFIG_ASIGNATURAS!$B$7:$B$27,nASIG)&gt;0)*(nNOTA))/SUMPRODUCT((nNIA=S338)*(nCUENTA=1)*(COUNTIF(CONFIG_ASIGNATURAS!$B$7:$B$27,nASIG)&gt;0)*1),"")))</f>
        <v/>
      </c>
      <c r="Z338" t="str">
        <f>IF(Y338="","",IF(Y338="[FÓRMULA MANUAL]","",IFERROR(AVERAGEIFS(nNOTA,nNIA,Y338,nCUENTA,1,nASIG,"Análisis"),"")))</f>
        <v/>
      </c>
      <c r="AA338" t="str">
        <f>IF(Y338="","",IF(Y338="[FÓRMULA MANUAL]","",IFERROR(AVERAGEIFS(nNOTA,nNIA,Y338,nCUENTA,1,nASIG,"Orquesta/Banda/Conjunto"),"")))</f>
        <v/>
      </c>
      <c r="AB338" t="str">
        <f>IF(Y338="","",IF(Y338="[FÓRMULA MANUAL]","",IFERROR(AVERAGEIFS(nNOTA,nNIA,Y338,nCUENTA,1,nASIG,"Música de Cámara"),"")))</f>
        <v/>
      </c>
      <c r="AC338" t="str">
        <f>IF(Y338="","",IF(Y338="[FÓRMULA MANUAL]","",IFERROR(SUMPRODUCT((nNIA=Y338)*(nCUENTA=1)*(COUNTIF(CONFIG_ASIGNATURAS!$B$7:$B$27,nASIG)&gt;0)*(nNOTA))/SUMPRODUCT((nNIA=Y338)*(nCUENTA=1)*(COUNTIF(CONFIG_ASIGNATURAS!$B$7:$B$27,nASIG)&gt;0)*1),"")))</f>
        <v/>
      </c>
      <c r="AF338" t="str">
        <f>IF(AE338="","",IF(AE338="[FÓRMULA MANUAL]","",IFERROR(AVERAGEIFS(nNOTA,nNIA,AE338,nCUENTA,1,nASIG,"Análisis"),"")))</f>
        <v/>
      </c>
      <c r="AG338" t="str">
        <f>IF(AE338="","",IF(AE338="[FÓRMULA MANUAL]","",IFERROR(AVERAGEIFS(nNOTA,nNIA,AE338,nCUENTA,1,nASIG,"Orquesta/Banda/Conjunto"),"")))</f>
        <v/>
      </c>
      <c r="AH338" t="str">
        <f>IF(AE338="","",IF(AE338="[FÓRMULA MANUAL]","",IFERROR(AVERAGEIFS(nNOTA,nNIA,AE338,nCUENTA,1,nASIG,"Música de Cámara"),"")))</f>
        <v/>
      </c>
      <c r="AI338" t="str">
        <f>IF(AE338="","",IF(AE338="[FÓRMULA MANUAL]","",IFERROR(SUMPRODUCT((nNIA=AE338)*(nCUENTA=1)*(COUNTIF(CONFIG_ASIGNATURAS!$B$7:$B$27,nASIG)&gt;0)*(nNOTA))/SUMPRODUCT((nNIA=AE338)*(nCUENTA=1)*(COUNTIF(CONFIG_ASIGNATURAS!$B$7:$B$27,nASIG)&gt;0)*1),"")))</f>
        <v/>
      </c>
    </row>
    <row r="339" spans="2:35" x14ac:dyDescent="0.2">
      <c r="B339" t="str">
        <f>IF(A339="","",IF(A339="[FÓRMULA MANUAL]","",IFERROR(AVERAGEIFS(nNOTA,nNIA,A339,nCUENTA,1,nASIG,"Lenguaje Musical"),"")))</f>
        <v/>
      </c>
      <c r="C339" t="str">
        <f>IF(A339="","",IF(A339="[FÓRMULA MANUAL]","",IFERROR(AVERAGEIFS(nNOTA,nNIA,A339,nCUENTA,1,nASIG,"Orquesta/Banda/Conjunto"),"")))</f>
        <v/>
      </c>
      <c r="D339" t="str">
        <f>IF(A339="","",IF(A339="[FÓRMULA MANUAL]","",IFERROR(AVERAGEIFS(nNOTA,nNIA,A339,nCUENTA,1,nASIG,"Conjunto"),"")))</f>
        <v/>
      </c>
      <c r="E339" t="str">
        <f>IF(A339="","",IF(A339="[FÓRMULA MANUAL]","",IFERROR(SUMPRODUCT((nNIA=A339)*(nCUENTA=1)*(COUNTIF(CONFIG_ASIGNATURAS!$B$7:$B$27,nASIG)&gt;0)*(nNOTA))/SUMPRODUCT((nNIA=A339)*(nCUENTA=1)*(COUNTIF(CONFIG_ASIGNATURAS!$B$7:$B$27,nASIG)&gt;0)*1),"")))</f>
        <v/>
      </c>
      <c r="H339" t="str">
        <f>IF(G339="","",IF(G339="[FÓRMULA MANUAL]","",IFERROR(AVERAGEIFS(nNOTA,nNIA,G339,nCUENTA,1,nASIG,"Lenguaje Musical"),"")))</f>
        <v/>
      </c>
      <c r="I339" t="str">
        <f>IF(G339="","",IF(G339="[FÓRMULA MANUAL]","",IFERROR(AVERAGEIFS(nNOTA,nNIA,G339,nCUENTA,1,nASIG,"Orquesta/Banda/Conjunto"),"")))</f>
        <v/>
      </c>
      <c r="J339" t="str">
        <f>IF(G339="","",IF(G339="[FÓRMULA MANUAL]","",IFERROR(AVERAGEIFS(nNOTA,nNIA,G339,nCUENTA,1,nASIG,"Conjunto"),"")))</f>
        <v/>
      </c>
      <c r="K339" t="str">
        <f>IF(G339="","",IF(G339="[FÓRMULA MANUAL]","",IFERROR(SUMPRODUCT((nNIA=G339)*(nCUENTA=1)*(COUNTIF(CONFIG_ASIGNATURAS!$B$7:$B$27,nASIG)&gt;0)*(nNOTA))/SUMPRODUCT((nNIA=G339)*(nCUENTA=1)*(COUNTIF(CONFIG_ASIGNATURAS!$B$7:$B$27,nASIG)&gt;0)*1),"")))</f>
        <v/>
      </c>
      <c r="N339" t="str">
        <f>IF(M339="","",IF(M339="[FÓRMULA MANUAL]","",IFERROR(AVERAGEIFS(nNOTA,nNIA,M339,nCUENTA,1,nASIG,"Armonía"),"")))</f>
        <v/>
      </c>
      <c r="O339" t="str">
        <f>IF(M339="","",IF(M339="[FÓRMULA MANUAL]","",IFERROR(AVERAGEIFS(nNOTA,nNIA,M339,nCUENTA,1,nASIG,"Orquesta/Banda/Conjunto"),"")))</f>
        <v/>
      </c>
      <c r="P339" t="str">
        <f>IF(M339="","",IF(M339="[FÓRMULA MANUAL]","",IFERROR(AVERAGEIFS(nNOTA,nNIA,M339,nCUENTA,1,nASIG,"Música de Cámara"),"")))</f>
        <v/>
      </c>
      <c r="Q339" t="str">
        <f>IF(M339="","",IF(M339="[FÓRMULA MANUAL]","",IFERROR(SUMPRODUCT((nNIA=M339)*(nCUENTA=1)*(COUNTIF(CONFIG_ASIGNATURAS!$B$7:$B$27,nASIG)&gt;0)*(nNOTA))/SUMPRODUCT((nNIA=M339)*(nCUENTA=1)*(COUNTIF(CONFIG_ASIGNATURAS!$B$7:$B$27,nASIG)&gt;0)*1),"")))</f>
        <v/>
      </c>
      <c r="T339" t="str">
        <f>IF(S339="","",IF(S339="[FÓRMULA MANUAL]","",IFERROR(AVERAGEIFS(nNOTA,nNIA,S339,nCUENTA,1,nASIG,"Armonía"),"")))</f>
        <v/>
      </c>
      <c r="U339" t="str">
        <f>IF(S339="","",IF(S339="[FÓRMULA MANUAL]","",IFERROR(AVERAGEIFS(nNOTA,nNIA,S339,nCUENTA,1,nASIG,"Orquesta/Banda/Conjunto"),"")))</f>
        <v/>
      </c>
      <c r="V339" t="str">
        <f>IF(S339="","",IF(S339="[FÓRMULA MANUAL]","",IFERROR(AVERAGEIFS(nNOTA,nNIA,S339,nCUENTA,1,nASIG,"Música de Cámara"),"")))</f>
        <v/>
      </c>
      <c r="W339" t="str">
        <f>IF(S339="","",IF(S339="[FÓRMULA MANUAL]","",IFERROR(SUMPRODUCT((nNIA=S339)*(nCUENTA=1)*(COUNTIF(CONFIG_ASIGNATURAS!$B$7:$B$27,nASIG)&gt;0)*(nNOTA))/SUMPRODUCT((nNIA=S339)*(nCUENTA=1)*(COUNTIF(CONFIG_ASIGNATURAS!$B$7:$B$27,nASIG)&gt;0)*1),"")))</f>
        <v/>
      </c>
      <c r="Z339" t="str">
        <f>IF(Y339="","",IF(Y339="[FÓRMULA MANUAL]","",IFERROR(AVERAGEIFS(nNOTA,nNIA,Y339,nCUENTA,1,nASIG,"Análisis"),"")))</f>
        <v/>
      </c>
      <c r="AA339" t="str">
        <f>IF(Y339="","",IF(Y339="[FÓRMULA MANUAL]","",IFERROR(AVERAGEIFS(nNOTA,nNIA,Y339,nCUENTA,1,nASIG,"Orquesta/Banda/Conjunto"),"")))</f>
        <v/>
      </c>
      <c r="AB339" t="str">
        <f>IF(Y339="","",IF(Y339="[FÓRMULA MANUAL]","",IFERROR(AVERAGEIFS(nNOTA,nNIA,Y339,nCUENTA,1,nASIG,"Música de Cámara"),"")))</f>
        <v/>
      </c>
      <c r="AC339" t="str">
        <f>IF(Y339="","",IF(Y339="[FÓRMULA MANUAL]","",IFERROR(SUMPRODUCT((nNIA=Y339)*(nCUENTA=1)*(COUNTIF(CONFIG_ASIGNATURAS!$B$7:$B$27,nASIG)&gt;0)*(nNOTA))/SUMPRODUCT((nNIA=Y339)*(nCUENTA=1)*(COUNTIF(CONFIG_ASIGNATURAS!$B$7:$B$27,nASIG)&gt;0)*1),"")))</f>
        <v/>
      </c>
      <c r="AF339" t="str">
        <f>IF(AE339="","",IF(AE339="[FÓRMULA MANUAL]","",IFERROR(AVERAGEIFS(nNOTA,nNIA,AE339,nCUENTA,1,nASIG,"Análisis"),"")))</f>
        <v/>
      </c>
      <c r="AG339" t="str">
        <f>IF(AE339="","",IF(AE339="[FÓRMULA MANUAL]","",IFERROR(AVERAGEIFS(nNOTA,nNIA,AE339,nCUENTA,1,nASIG,"Orquesta/Banda/Conjunto"),"")))</f>
        <v/>
      </c>
      <c r="AH339" t="str">
        <f>IF(AE339="","",IF(AE339="[FÓRMULA MANUAL]","",IFERROR(AVERAGEIFS(nNOTA,nNIA,AE339,nCUENTA,1,nASIG,"Música de Cámara"),"")))</f>
        <v/>
      </c>
      <c r="AI339" t="str">
        <f>IF(AE339="","",IF(AE339="[FÓRMULA MANUAL]","",IFERROR(SUMPRODUCT((nNIA=AE339)*(nCUENTA=1)*(COUNTIF(CONFIG_ASIGNATURAS!$B$7:$B$27,nASIG)&gt;0)*(nNOTA))/SUMPRODUCT((nNIA=AE339)*(nCUENTA=1)*(COUNTIF(CONFIG_ASIGNATURAS!$B$7:$B$27,nASIG)&gt;0)*1),"")))</f>
        <v/>
      </c>
    </row>
    <row r="340" spans="2:35" x14ac:dyDescent="0.2">
      <c r="B340" t="str">
        <f>IF(A340="","",IF(A340="[FÓRMULA MANUAL]","",IFERROR(AVERAGEIFS(nNOTA,nNIA,A340,nCUENTA,1,nASIG,"Lenguaje Musical"),"")))</f>
        <v/>
      </c>
      <c r="C340" t="str">
        <f>IF(A340="","",IF(A340="[FÓRMULA MANUAL]","",IFERROR(AVERAGEIFS(nNOTA,nNIA,A340,nCUENTA,1,nASIG,"Orquesta/Banda/Conjunto"),"")))</f>
        <v/>
      </c>
      <c r="D340" t="str">
        <f>IF(A340="","",IF(A340="[FÓRMULA MANUAL]","",IFERROR(AVERAGEIFS(nNOTA,nNIA,A340,nCUENTA,1,nASIG,"Conjunto"),"")))</f>
        <v/>
      </c>
      <c r="E340" t="str">
        <f>IF(A340="","",IF(A340="[FÓRMULA MANUAL]","",IFERROR(SUMPRODUCT((nNIA=A340)*(nCUENTA=1)*(COUNTIF(CONFIG_ASIGNATURAS!$B$7:$B$27,nASIG)&gt;0)*(nNOTA))/SUMPRODUCT((nNIA=A340)*(nCUENTA=1)*(COUNTIF(CONFIG_ASIGNATURAS!$B$7:$B$27,nASIG)&gt;0)*1),"")))</f>
        <v/>
      </c>
      <c r="H340" t="str">
        <f>IF(G340="","",IF(G340="[FÓRMULA MANUAL]","",IFERROR(AVERAGEIFS(nNOTA,nNIA,G340,nCUENTA,1,nASIG,"Lenguaje Musical"),"")))</f>
        <v/>
      </c>
      <c r="I340" t="str">
        <f>IF(G340="","",IF(G340="[FÓRMULA MANUAL]","",IFERROR(AVERAGEIFS(nNOTA,nNIA,G340,nCUENTA,1,nASIG,"Orquesta/Banda/Conjunto"),"")))</f>
        <v/>
      </c>
      <c r="J340" t="str">
        <f>IF(G340="","",IF(G340="[FÓRMULA MANUAL]","",IFERROR(AVERAGEIFS(nNOTA,nNIA,G340,nCUENTA,1,nASIG,"Conjunto"),"")))</f>
        <v/>
      </c>
      <c r="K340" t="str">
        <f>IF(G340="","",IF(G340="[FÓRMULA MANUAL]","",IFERROR(SUMPRODUCT((nNIA=G340)*(nCUENTA=1)*(COUNTIF(CONFIG_ASIGNATURAS!$B$7:$B$27,nASIG)&gt;0)*(nNOTA))/SUMPRODUCT((nNIA=G340)*(nCUENTA=1)*(COUNTIF(CONFIG_ASIGNATURAS!$B$7:$B$27,nASIG)&gt;0)*1),"")))</f>
        <v/>
      </c>
      <c r="N340" t="str">
        <f>IF(M340="","",IF(M340="[FÓRMULA MANUAL]","",IFERROR(AVERAGEIFS(nNOTA,nNIA,M340,nCUENTA,1,nASIG,"Armonía"),"")))</f>
        <v/>
      </c>
      <c r="O340" t="str">
        <f>IF(M340="","",IF(M340="[FÓRMULA MANUAL]","",IFERROR(AVERAGEIFS(nNOTA,nNIA,M340,nCUENTA,1,nASIG,"Orquesta/Banda/Conjunto"),"")))</f>
        <v/>
      </c>
      <c r="P340" t="str">
        <f>IF(M340="","",IF(M340="[FÓRMULA MANUAL]","",IFERROR(AVERAGEIFS(nNOTA,nNIA,M340,nCUENTA,1,nASIG,"Música de Cámara"),"")))</f>
        <v/>
      </c>
      <c r="Q340" t="str">
        <f>IF(M340="","",IF(M340="[FÓRMULA MANUAL]","",IFERROR(SUMPRODUCT((nNIA=M340)*(nCUENTA=1)*(COUNTIF(CONFIG_ASIGNATURAS!$B$7:$B$27,nASIG)&gt;0)*(nNOTA))/SUMPRODUCT((nNIA=M340)*(nCUENTA=1)*(COUNTIF(CONFIG_ASIGNATURAS!$B$7:$B$27,nASIG)&gt;0)*1),"")))</f>
        <v/>
      </c>
      <c r="T340" t="str">
        <f>IF(S340="","",IF(S340="[FÓRMULA MANUAL]","",IFERROR(AVERAGEIFS(nNOTA,nNIA,S340,nCUENTA,1,nASIG,"Armonía"),"")))</f>
        <v/>
      </c>
      <c r="U340" t="str">
        <f>IF(S340="","",IF(S340="[FÓRMULA MANUAL]","",IFERROR(AVERAGEIFS(nNOTA,nNIA,S340,nCUENTA,1,nASIG,"Orquesta/Banda/Conjunto"),"")))</f>
        <v/>
      </c>
      <c r="V340" t="str">
        <f>IF(S340="","",IF(S340="[FÓRMULA MANUAL]","",IFERROR(AVERAGEIFS(nNOTA,nNIA,S340,nCUENTA,1,nASIG,"Música de Cámara"),"")))</f>
        <v/>
      </c>
      <c r="W340" t="str">
        <f>IF(S340="","",IF(S340="[FÓRMULA MANUAL]","",IFERROR(SUMPRODUCT((nNIA=S340)*(nCUENTA=1)*(COUNTIF(CONFIG_ASIGNATURAS!$B$7:$B$27,nASIG)&gt;0)*(nNOTA))/SUMPRODUCT((nNIA=S340)*(nCUENTA=1)*(COUNTIF(CONFIG_ASIGNATURAS!$B$7:$B$27,nASIG)&gt;0)*1),"")))</f>
        <v/>
      </c>
      <c r="Z340" t="str">
        <f>IF(Y340="","",IF(Y340="[FÓRMULA MANUAL]","",IFERROR(AVERAGEIFS(nNOTA,nNIA,Y340,nCUENTA,1,nASIG,"Análisis"),"")))</f>
        <v/>
      </c>
      <c r="AA340" t="str">
        <f>IF(Y340="","",IF(Y340="[FÓRMULA MANUAL]","",IFERROR(AVERAGEIFS(nNOTA,nNIA,Y340,nCUENTA,1,nASIG,"Orquesta/Banda/Conjunto"),"")))</f>
        <v/>
      </c>
      <c r="AB340" t="str">
        <f>IF(Y340="","",IF(Y340="[FÓRMULA MANUAL]","",IFERROR(AVERAGEIFS(nNOTA,nNIA,Y340,nCUENTA,1,nASIG,"Música de Cámara"),"")))</f>
        <v/>
      </c>
      <c r="AC340" t="str">
        <f>IF(Y340="","",IF(Y340="[FÓRMULA MANUAL]","",IFERROR(SUMPRODUCT((nNIA=Y340)*(nCUENTA=1)*(COUNTIF(CONFIG_ASIGNATURAS!$B$7:$B$27,nASIG)&gt;0)*(nNOTA))/SUMPRODUCT((nNIA=Y340)*(nCUENTA=1)*(COUNTIF(CONFIG_ASIGNATURAS!$B$7:$B$27,nASIG)&gt;0)*1),"")))</f>
        <v/>
      </c>
      <c r="AF340" t="str">
        <f>IF(AE340="","",IF(AE340="[FÓRMULA MANUAL]","",IFERROR(AVERAGEIFS(nNOTA,nNIA,AE340,nCUENTA,1,nASIG,"Análisis"),"")))</f>
        <v/>
      </c>
      <c r="AG340" t="str">
        <f>IF(AE340="","",IF(AE340="[FÓRMULA MANUAL]","",IFERROR(AVERAGEIFS(nNOTA,nNIA,AE340,nCUENTA,1,nASIG,"Orquesta/Banda/Conjunto"),"")))</f>
        <v/>
      </c>
      <c r="AH340" t="str">
        <f>IF(AE340="","",IF(AE340="[FÓRMULA MANUAL]","",IFERROR(AVERAGEIFS(nNOTA,nNIA,AE340,nCUENTA,1,nASIG,"Música de Cámara"),"")))</f>
        <v/>
      </c>
      <c r="AI340" t="str">
        <f>IF(AE340="","",IF(AE340="[FÓRMULA MANUAL]","",IFERROR(SUMPRODUCT((nNIA=AE340)*(nCUENTA=1)*(COUNTIF(CONFIG_ASIGNATURAS!$B$7:$B$27,nASIG)&gt;0)*(nNOTA))/SUMPRODUCT((nNIA=AE340)*(nCUENTA=1)*(COUNTIF(CONFIG_ASIGNATURAS!$B$7:$B$27,nASIG)&gt;0)*1),"")))</f>
        <v/>
      </c>
    </row>
    <row r="341" spans="2:35" x14ac:dyDescent="0.2">
      <c r="B341" t="str">
        <f>IF(A341="","",IF(A341="[FÓRMULA MANUAL]","",IFERROR(AVERAGEIFS(nNOTA,nNIA,A341,nCUENTA,1,nASIG,"Lenguaje Musical"),"")))</f>
        <v/>
      </c>
      <c r="C341" t="str">
        <f>IF(A341="","",IF(A341="[FÓRMULA MANUAL]","",IFERROR(AVERAGEIFS(nNOTA,nNIA,A341,nCUENTA,1,nASIG,"Orquesta/Banda/Conjunto"),"")))</f>
        <v/>
      </c>
      <c r="D341" t="str">
        <f>IF(A341="","",IF(A341="[FÓRMULA MANUAL]","",IFERROR(AVERAGEIFS(nNOTA,nNIA,A341,nCUENTA,1,nASIG,"Conjunto"),"")))</f>
        <v/>
      </c>
      <c r="E341" t="str">
        <f>IF(A341="","",IF(A341="[FÓRMULA MANUAL]","",IFERROR(SUMPRODUCT((nNIA=A341)*(nCUENTA=1)*(COUNTIF(CONFIG_ASIGNATURAS!$B$7:$B$27,nASIG)&gt;0)*(nNOTA))/SUMPRODUCT((nNIA=A341)*(nCUENTA=1)*(COUNTIF(CONFIG_ASIGNATURAS!$B$7:$B$27,nASIG)&gt;0)*1),"")))</f>
        <v/>
      </c>
      <c r="H341" t="str">
        <f>IF(G341="","",IF(G341="[FÓRMULA MANUAL]","",IFERROR(AVERAGEIFS(nNOTA,nNIA,G341,nCUENTA,1,nASIG,"Lenguaje Musical"),"")))</f>
        <v/>
      </c>
      <c r="I341" t="str">
        <f>IF(G341="","",IF(G341="[FÓRMULA MANUAL]","",IFERROR(AVERAGEIFS(nNOTA,nNIA,G341,nCUENTA,1,nASIG,"Orquesta/Banda/Conjunto"),"")))</f>
        <v/>
      </c>
      <c r="J341" t="str">
        <f>IF(G341="","",IF(G341="[FÓRMULA MANUAL]","",IFERROR(AVERAGEIFS(nNOTA,nNIA,G341,nCUENTA,1,nASIG,"Conjunto"),"")))</f>
        <v/>
      </c>
      <c r="K341" t="str">
        <f>IF(G341="","",IF(G341="[FÓRMULA MANUAL]","",IFERROR(SUMPRODUCT((nNIA=G341)*(nCUENTA=1)*(COUNTIF(CONFIG_ASIGNATURAS!$B$7:$B$27,nASIG)&gt;0)*(nNOTA))/SUMPRODUCT((nNIA=G341)*(nCUENTA=1)*(COUNTIF(CONFIG_ASIGNATURAS!$B$7:$B$27,nASIG)&gt;0)*1),"")))</f>
        <v/>
      </c>
      <c r="N341" t="str">
        <f>IF(M341="","",IF(M341="[FÓRMULA MANUAL]","",IFERROR(AVERAGEIFS(nNOTA,nNIA,M341,nCUENTA,1,nASIG,"Armonía"),"")))</f>
        <v/>
      </c>
      <c r="O341" t="str">
        <f>IF(M341="","",IF(M341="[FÓRMULA MANUAL]","",IFERROR(AVERAGEIFS(nNOTA,nNIA,M341,nCUENTA,1,nASIG,"Orquesta/Banda/Conjunto"),"")))</f>
        <v/>
      </c>
      <c r="P341" t="str">
        <f>IF(M341="","",IF(M341="[FÓRMULA MANUAL]","",IFERROR(AVERAGEIFS(nNOTA,nNIA,M341,nCUENTA,1,nASIG,"Música de Cámara"),"")))</f>
        <v/>
      </c>
      <c r="Q341" t="str">
        <f>IF(M341="","",IF(M341="[FÓRMULA MANUAL]","",IFERROR(SUMPRODUCT((nNIA=M341)*(nCUENTA=1)*(COUNTIF(CONFIG_ASIGNATURAS!$B$7:$B$27,nASIG)&gt;0)*(nNOTA))/SUMPRODUCT((nNIA=M341)*(nCUENTA=1)*(COUNTIF(CONFIG_ASIGNATURAS!$B$7:$B$27,nASIG)&gt;0)*1),"")))</f>
        <v/>
      </c>
      <c r="T341" t="str">
        <f>IF(S341="","",IF(S341="[FÓRMULA MANUAL]","",IFERROR(AVERAGEIFS(nNOTA,nNIA,S341,nCUENTA,1,nASIG,"Armonía"),"")))</f>
        <v/>
      </c>
      <c r="U341" t="str">
        <f>IF(S341="","",IF(S341="[FÓRMULA MANUAL]","",IFERROR(AVERAGEIFS(nNOTA,nNIA,S341,nCUENTA,1,nASIG,"Orquesta/Banda/Conjunto"),"")))</f>
        <v/>
      </c>
      <c r="V341" t="str">
        <f>IF(S341="","",IF(S341="[FÓRMULA MANUAL]","",IFERROR(AVERAGEIFS(nNOTA,nNIA,S341,nCUENTA,1,nASIG,"Música de Cámara"),"")))</f>
        <v/>
      </c>
      <c r="W341" t="str">
        <f>IF(S341="","",IF(S341="[FÓRMULA MANUAL]","",IFERROR(SUMPRODUCT((nNIA=S341)*(nCUENTA=1)*(COUNTIF(CONFIG_ASIGNATURAS!$B$7:$B$27,nASIG)&gt;0)*(nNOTA))/SUMPRODUCT((nNIA=S341)*(nCUENTA=1)*(COUNTIF(CONFIG_ASIGNATURAS!$B$7:$B$27,nASIG)&gt;0)*1),"")))</f>
        <v/>
      </c>
      <c r="Z341" t="str">
        <f>IF(Y341="","",IF(Y341="[FÓRMULA MANUAL]","",IFERROR(AVERAGEIFS(nNOTA,nNIA,Y341,nCUENTA,1,nASIG,"Análisis"),"")))</f>
        <v/>
      </c>
      <c r="AA341" t="str">
        <f>IF(Y341="","",IF(Y341="[FÓRMULA MANUAL]","",IFERROR(AVERAGEIFS(nNOTA,nNIA,Y341,nCUENTA,1,nASIG,"Orquesta/Banda/Conjunto"),"")))</f>
        <v/>
      </c>
      <c r="AB341" t="str">
        <f>IF(Y341="","",IF(Y341="[FÓRMULA MANUAL]","",IFERROR(AVERAGEIFS(nNOTA,nNIA,Y341,nCUENTA,1,nASIG,"Música de Cámara"),"")))</f>
        <v/>
      </c>
      <c r="AC341" t="str">
        <f>IF(Y341="","",IF(Y341="[FÓRMULA MANUAL]","",IFERROR(SUMPRODUCT((nNIA=Y341)*(nCUENTA=1)*(COUNTIF(CONFIG_ASIGNATURAS!$B$7:$B$27,nASIG)&gt;0)*(nNOTA))/SUMPRODUCT((nNIA=Y341)*(nCUENTA=1)*(COUNTIF(CONFIG_ASIGNATURAS!$B$7:$B$27,nASIG)&gt;0)*1),"")))</f>
        <v/>
      </c>
      <c r="AF341" t="str">
        <f>IF(AE341="","",IF(AE341="[FÓRMULA MANUAL]","",IFERROR(AVERAGEIFS(nNOTA,nNIA,AE341,nCUENTA,1,nASIG,"Análisis"),"")))</f>
        <v/>
      </c>
      <c r="AG341" t="str">
        <f>IF(AE341="","",IF(AE341="[FÓRMULA MANUAL]","",IFERROR(AVERAGEIFS(nNOTA,nNIA,AE341,nCUENTA,1,nASIG,"Orquesta/Banda/Conjunto"),"")))</f>
        <v/>
      </c>
      <c r="AH341" t="str">
        <f>IF(AE341="","",IF(AE341="[FÓRMULA MANUAL]","",IFERROR(AVERAGEIFS(nNOTA,nNIA,AE341,nCUENTA,1,nASIG,"Música de Cámara"),"")))</f>
        <v/>
      </c>
      <c r="AI341" t="str">
        <f>IF(AE341="","",IF(AE341="[FÓRMULA MANUAL]","",IFERROR(SUMPRODUCT((nNIA=AE341)*(nCUENTA=1)*(COUNTIF(CONFIG_ASIGNATURAS!$B$7:$B$27,nASIG)&gt;0)*(nNOTA))/SUMPRODUCT((nNIA=AE341)*(nCUENTA=1)*(COUNTIF(CONFIG_ASIGNATURAS!$B$7:$B$27,nASIG)&gt;0)*1),"")))</f>
        <v/>
      </c>
    </row>
    <row r="342" spans="2:35" x14ac:dyDescent="0.2">
      <c r="B342" t="str">
        <f>IF(A342="","",IF(A342="[FÓRMULA MANUAL]","",IFERROR(AVERAGEIFS(nNOTA,nNIA,A342,nCUENTA,1,nASIG,"Lenguaje Musical"),"")))</f>
        <v/>
      </c>
      <c r="C342" t="str">
        <f>IF(A342="","",IF(A342="[FÓRMULA MANUAL]","",IFERROR(AVERAGEIFS(nNOTA,nNIA,A342,nCUENTA,1,nASIG,"Orquesta/Banda/Conjunto"),"")))</f>
        <v/>
      </c>
      <c r="D342" t="str">
        <f>IF(A342="","",IF(A342="[FÓRMULA MANUAL]","",IFERROR(AVERAGEIFS(nNOTA,nNIA,A342,nCUENTA,1,nASIG,"Conjunto"),"")))</f>
        <v/>
      </c>
      <c r="E342" t="str">
        <f>IF(A342="","",IF(A342="[FÓRMULA MANUAL]","",IFERROR(SUMPRODUCT((nNIA=A342)*(nCUENTA=1)*(COUNTIF(CONFIG_ASIGNATURAS!$B$7:$B$27,nASIG)&gt;0)*(nNOTA))/SUMPRODUCT((nNIA=A342)*(nCUENTA=1)*(COUNTIF(CONFIG_ASIGNATURAS!$B$7:$B$27,nASIG)&gt;0)*1),"")))</f>
        <v/>
      </c>
      <c r="H342" t="str">
        <f>IF(G342="","",IF(G342="[FÓRMULA MANUAL]","",IFERROR(AVERAGEIFS(nNOTA,nNIA,G342,nCUENTA,1,nASIG,"Lenguaje Musical"),"")))</f>
        <v/>
      </c>
      <c r="I342" t="str">
        <f>IF(G342="","",IF(G342="[FÓRMULA MANUAL]","",IFERROR(AVERAGEIFS(nNOTA,nNIA,G342,nCUENTA,1,nASIG,"Orquesta/Banda/Conjunto"),"")))</f>
        <v/>
      </c>
      <c r="J342" t="str">
        <f>IF(G342="","",IF(G342="[FÓRMULA MANUAL]","",IFERROR(AVERAGEIFS(nNOTA,nNIA,G342,nCUENTA,1,nASIG,"Conjunto"),"")))</f>
        <v/>
      </c>
      <c r="K342" t="str">
        <f>IF(G342="","",IF(G342="[FÓRMULA MANUAL]","",IFERROR(SUMPRODUCT((nNIA=G342)*(nCUENTA=1)*(COUNTIF(CONFIG_ASIGNATURAS!$B$7:$B$27,nASIG)&gt;0)*(nNOTA))/SUMPRODUCT((nNIA=G342)*(nCUENTA=1)*(COUNTIF(CONFIG_ASIGNATURAS!$B$7:$B$27,nASIG)&gt;0)*1),"")))</f>
        <v/>
      </c>
      <c r="N342" t="str">
        <f>IF(M342="","",IF(M342="[FÓRMULA MANUAL]","",IFERROR(AVERAGEIFS(nNOTA,nNIA,M342,nCUENTA,1,nASIG,"Armonía"),"")))</f>
        <v/>
      </c>
      <c r="O342" t="str">
        <f>IF(M342="","",IF(M342="[FÓRMULA MANUAL]","",IFERROR(AVERAGEIFS(nNOTA,nNIA,M342,nCUENTA,1,nASIG,"Orquesta/Banda/Conjunto"),"")))</f>
        <v/>
      </c>
      <c r="P342" t="str">
        <f>IF(M342="","",IF(M342="[FÓRMULA MANUAL]","",IFERROR(AVERAGEIFS(nNOTA,nNIA,M342,nCUENTA,1,nASIG,"Música de Cámara"),"")))</f>
        <v/>
      </c>
      <c r="Q342" t="str">
        <f>IF(M342="","",IF(M342="[FÓRMULA MANUAL]","",IFERROR(SUMPRODUCT((nNIA=M342)*(nCUENTA=1)*(COUNTIF(CONFIG_ASIGNATURAS!$B$7:$B$27,nASIG)&gt;0)*(nNOTA))/SUMPRODUCT((nNIA=M342)*(nCUENTA=1)*(COUNTIF(CONFIG_ASIGNATURAS!$B$7:$B$27,nASIG)&gt;0)*1),"")))</f>
        <v/>
      </c>
      <c r="T342" t="str">
        <f>IF(S342="","",IF(S342="[FÓRMULA MANUAL]","",IFERROR(AVERAGEIFS(nNOTA,nNIA,S342,nCUENTA,1,nASIG,"Armonía"),"")))</f>
        <v/>
      </c>
      <c r="U342" t="str">
        <f>IF(S342="","",IF(S342="[FÓRMULA MANUAL]","",IFERROR(AVERAGEIFS(nNOTA,nNIA,S342,nCUENTA,1,nASIG,"Orquesta/Banda/Conjunto"),"")))</f>
        <v/>
      </c>
      <c r="V342" t="str">
        <f>IF(S342="","",IF(S342="[FÓRMULA MANUAL]","",IFERROR(AVERAGEIFS(nNOTA,nNIA,S342,nCUENTA,1,nASIG,"Música de Cámara"),"")))</f>
        <v/>
      </c>
      <c r="W342" t="str">
        <f>IF(S342="","",IF(S342="[FÓRMULA MANUAL]","",IFERROR(SUMPRODUCT((nNIA=S342)*(nCUENTA=1)*(COUNTIF(CONFIG_ASIGNATURAS!$B$7:$B$27,nASIG)&gt;0)*(nNOTA))/SUMPRODUCT((nNIA=S342)*(nCUENTA=1)*(COUNTIF(CONFIG_ASIGNATURAS!$B$7:$B$27,nASIG)&gt;0)*1),"")))</f>
        <v/>
      </c>
      <c r="Z342" t="str">
        <f>IF(Y342="","",IF(Y342="[FÓRMULA MANUAL]","",IFERROR(AVERAGEIFS(nNOTA,nNIA,Y342,nCUENTA,1,nASIG,"Análisis"),"")))</f>
        <v/>
      </c>
      <c r="AA342" t="str">
        <f>IF(Y342="","",IF(Y342="[FÓRMULA MANUAL]","",IFERROR(AVERAGEIFS(nNOTA,nNIA,Y342,nCUENTA,1,nASIG,"Orquesta/Banda/Conjunto"),"")))</f>
        <v/>
      </c>
      <c r="AB342" t="str">
        <f>IF(Y342="","",IF(Y342="[FÓRMULA MANUAL]","",IFERROR(AVERAGEIFS(nNOTA,nNIA,Y342,nCUENTA,1,nASIG,"Música de Cámara"),"")))</f>
        <v/>
      </c>
      <c r="AC342" t="str">
        <f>IF(Y342="","",IF(Y342="[FÓRMULA MANUAL]","",IFERROR(SUMPRODUCT((nNIA=Y342)*(nCUENTA=1)*(COUNTIF(CONFIG_ASIGNATURAS!$B$7:$B$27,nASIG)&gt;0)*(nNOTA))/SUMPRODUCT((nNIA=Y342)*(nCUENTA=1)*(COUNTIF(CONFIG_ASIGNATURAS!$B$7:$B$27,nASIG)&gt;0)*1),"")))</f>
        <v/>
      </c>
      <c r="AF342" t="str">
        <f>IF(AE342="","",IF(AE342="[FÓRMULA MANUAL]","",IFERROR(AVERAGEIFS(nNOTA,nNIA,AE342,nCUENTA,1,nASIG,"Análisis"),"")))</f>
        <v/>
      </c>
      <c r="AG342" t="str">
        <f>IF(AE342="","",IF(AE342="[FÓRMULA MANUAL]","",IFERROR(AVERAGEIFS(nNOTA,nNIA,AE342,nCUENTA,1,nASIG,"Orquesta/Banda/Conjunto"),"")))</f>
        <v/>
      </c>
      <c r="AH342" t="str">
        <f>IF(AE342="","",IF(AE342="[FÓRMULA MANUAL]","",IFERROR(AVERAGEIFS(nNOTA,nNIA,AE342,nCUENTA,1,nASIG,"Música de Cámara"),"")))</f>
        <v/>
      </c>
      <c r="AI342" t="str">
        <f>IF(AE342="","",IF(AE342="[FÓRMULA MANUAL]","",IFERROR(SUMPRODUCT((nNIA=AE342)*(nCUENTA=1)*(COUNTIF(CONFIG_ASIGNATURAS!$B$7:$B$27,nASIG)&gt;0)*(nNOTA))/SUMPRODUCT((nNIA=AE342)*(nCUENTA=1)*(COUNTIF(CONFIG_ASIGNATURAS!$B$7:$B$27,nASIG)&gt;0)*1),"")))</f>
        <v/>
      </c>
    </row>
    <row r="343" spans="2:35" x14ac:dyDescent="0.2">
      <c r="B343" t="str">
        <f>IF(A343="","",IF(A343="[FÓRMULA MANUAL]","",IFERROR(AVERAGEIFS(nNOTA,nNIA,A343,nCUENTA,1,nASIG,"Lenguaje Musical"),"")))</f>
        <v/>
      </c>
      <c r="C343" t="str">
        <f>IF(A343="","",IF(A343="[FÓRMULA MANUAL]","",IFERROR(AVERAGEIFS(nNOTA,nNIA,A343,nCUENTA,1,nASIG,"Orquesta/Banda/Conjunto"),"")))</f>
        <v/>
      </c>
      <c r="D343" t="str">
        <f>IF(A343="","",IF(A343="[FÓRMULA MANUAL]","",IFERROR(AVERAGEIFS(nNOTA,nNIA,A343,nCUENTA,1,nASIG,"Conjunto"),"")))</f>
        <v/>
      </c>
      <c r="E343" t="str">
        <f>IF(A343="","",IF(A343="[FÓRMULA MANUAL]","",IFERROR(SUMPRODUCT((nNIA=A343)*(nCUENTA=1)*(COUNTIF(CONFIG_ASIGNATURAS!$B$7:$B$27,nASIG)&gt;0)*(nNOTA))/SUMPRODUCT((nNIA=A343)*(nCUENTA=1)*(COUNTIF(CONFIG_ASIGNATURAS!$B$7:$B$27,nASIG)&gt;0)*1),"")))</f>
        <v/>
      </c>
      <c r="H343" t="str">
        <f>IF(G343="","",IF(G343="[FÓRMULA MANUAL]","",IFERROR(AVERAGEIFS(nNOTA,nNIA,G343,nCUENTA,1,nASIG,"Lenguaje Musical"),"")))</f>
        <v/>
      </c>
      <c r="I343" t="str">
        <f>IF(G343="","",IF(G343="[FÓRMULA MANUAL]","",IFERROR(AVERAGEIFS(nNOTA,nNIA,G343,nCUENTA,1,nASIG,"Orquesta/Banda/Conjunto"),"")))</f>
        <v/>
      </c>
      <c r="J343" t="str">
        <f>IF(G343="","",IF(G343="[FÓRMULA MANUAL]","",IFERROR(AVERAGEIFS(nNOTA,nNIA,G343,nCUENTA,1,nASIG,"Conjunto"),"")))</f>
        <v/>
      </c>
      <c r="K343" t="str">
        <f>IF(G343="","",IF(G343="[FÓRMULA MANUAL]","",IFERROR(SUMPRODUCT((nNIA=G343)*(nCUENTA=1)*(COUNTIF(CONFIG_ASIGNATURAS!$B$7:$B$27,nASIG)&gt;0)*(nNOTA))/SUMPRODUCT((nNIA=G343)*(nCUENTA=1)*(COUNTIF(CONFIG_ASIGNATURAS!$B$7:$B$27,nASIG)&gt;0)*1),"")))</f>
        <v/>
      </c>
      <c r="N343" t="str">
        <f>IF(M343="","",IF(M343="[FÓRMULA MANUAL]","",IFERROR(AVERAGEIFS(nNOTA,nNIA,M343,nCUENTA,1,nASIG,"Armonía"),"")))</f>
        <v/>
      </c>
      <c r="O343" t="str">
        <f>IF(M343="","",IF(M343="[FÓRMULA MANUAL]","",IFERROR(AVERAGEIFS(nNOTA,nNIA,M343,nCUENTA,1,nASIG,"Orquesta/Banda/Conjunto"),"")))</f>
        <v/>
      </c>
      <c r="P343" t="str">
        <f>IF(M343="","",IF(M343="[FÓRMULA MANUAL]","",IFERROR(AVERAGEIFS(nNOTA,nNIA,M343,nCUENTA,1,nASIG,"Música de Cámara"),"")))</f>
        <v/>
      </c>
      <c r="Q343" t="str">
        <f>IF(M343="","",IF(M343="[FÓRMULA MANUAL]","",IFERROR(SUMPRODUCT((nNIA=M343)*(nCUENTA=1)*(COUNTIF(CONFIG_ASIGNATURAS!$B$7:$B$27,nASIG)&gt;0)*(nNOTA))/SUMPRODUCT((nNIA=M343)*(nCUENTA=1)*(COUNTIF(CONFIG_ASIGNATURAS!$B$7:$B$27,nASIG)&gt;0)*1),"")))</f>
        <v/>
      </c>
      <c r="T343" t="str">
        <f>IF(S343="","",IF(S343="[FÓRMULA MANUAL]","",IFERROR(AVERAGEIFS(nNOTA,nNIA,S343,nCUENTA,1,nASIG,"Armonía"),"")))</f>
        <v/>
      </c>
      <c r="U343" t="str">
        <f>IF(S343="","",IF(S343="[FÓRMULA MANUAL]","",IFERROR(AVERAGEIFS(nNOTA,nNIA,S343,nCUENTA,1,nASIG,"Orquesta/Banda/Conjunto"),"")))</f>
        <v/>
      </c>
      <c r="V343" t="str">
        <f>IF(S343="","",IF(S343="[FÓRMULA MANUAL]","",IFERROR(AVERAGEIFS(nNOTA,nNIA,S343,nCUENTA,1,nASIG,"Música de Cámara"),"")))</f>
        <v/>
      </c>
      <c r="W343" t="str">
        <f>IF(S343="","",IF(S343="[FÓRMULA MANUAL]","",IFERROR(SUMPRODUCT((nNIA=S343)*(nCUENTA=1)*(COUNTIF(CONFIG_ASIGNATURAS!$B$7:$B$27,nASIG)&gt;0)*(nNOTA))/SUMPRODUCT((nNIA=S343)*(nCUENTA=1)*(COUNTIF(CONFIG_ASIGNATURAS!$B$7:$B$27,nASIG)&gt;0)*1),"")))</f>
        <v/>
      </c>
      <c r="Z343" t="str">
        <f>IF(Y343="","",IF(Y343="[FÓRMULA MANUAL]","",IFERROR(AVERAGEIFS(nNOTA,nNIA,Y343,nCUENTA,1,nASIG,"Análisis"),"")))</f>
        <v/>
      </c>
      <c r="AA343" t="str">
        <f>IF(Y343="","",IF(Y343="[FÓRMULA MANUAL]","",IFERROR(AVERAGEIFS(nNOTA,nNIA,Y343,nCUENTA,1,nASIG,"Orquesta/Banda/Conjunto"),"")))</f>
        <v/>
      </c>
      <c r="AB343" t="str">
        <f>IF(Y343="","",IF(Y343="[FÓRMULA MANUAL]","",IFERROR(AVERAGEIFS(nNOTA,nNIA,Y343,nCUENTA,1,nASIG,"Música de Cámara"),"")))</f>
        <v/>
      </c>
      <c r="AC343" t="str">
        <f>IF(Y343="","",IF(Y343="[FÓRMULA MANUAL]","",IFERROR(SUMPRODUCT((nNIA=Y343)*(nCUENTA=1)*(COUNTIF(CONFIG_ASIGNATURAS!$B$7:$B$27,nASIG)&gt;0)*(nNOTA))/SUMPRODUCT((nNIA=Y343)*(nCUENTA=1)*(COUNTIF(CONFIG_ASIGNATURAS!$B$7:$B$27,nASIG)&gt;0)*1),"")))</f>
        <v/>
      </c>
      <c r="AF343" t="str">
        <f>IF(AE343="","",IF(AE343="[FÓRMULA MANUAL]","",IFERROR(AVERAGEIFS(nNOTA,nNIA,AE343,nCUENTA,1,nASIG,"Análisis"),"")))</f>
        <v/>
      </c>
      <c r="AG343" t="str">
        <f>IF(AE343="","",IF(AE343="[FÓRMULA MANUAL]","",IFERROR(AVERAGEIFS(nNOTA,nNIA,AE343,nCUENTA,1,nASIG,"Orquesta/Banda/Conjunto"),"")))</f>
        <v/>
      </c>
      <c r="AH343" t="str">
        <f>IF(AE343="","",IF(AE343="[FÓRMULA MANUAL]","",IFERROR(AVERAGEIFS(nNOTA,nNIA,AE343,nCUENTA,1,nASIG,"Música de Cámara"),"")))</f>
        <v/>
      </c>
      <c r="AI343" t="str">
        <f>IF(AE343="","",IF(AE343="[FÓRMULA MANUAL]","",IFERROR(SUMPRODUCT((nNIA=AE343)*(nCUENTA=1)*(COUNTIF(CONFIG_ASIGNATURAS!$B$7:$B$27,nASIG)&gt;0)*(nNOTA))/SUMPRODUCT((nNIA=AE343)*(nCUENTA=1)*(COUNTIF(CONFIG_ASIGNATURAS!$B$7:$B$27,nASIG)&gt;0)*1),"")))</f>
        <v/>
      </c>
    </row>
    <row r="344" spans="2:35" x14ac:dyDescent="0.2">
      <c r="B344" t="str">
        <f>IF(A344="","",IF(A344="[FÓRMULA MANUAL]","",IFERROR(AVERAGEIFS(nNOTA,nNIA,A344,nCUENTA,1,nASIG,"Lenguaje Musical"),"")))</f>
        <v/>
      </c>
      <c r="C344" t="str">
        <f>IF(A344="","",IF(A344="[FÓRMULA MANUAL]","",IFERROR(AVERAGEIFS(nNOTA,nNIA,A344,nCUENTA,1,nASIG,"Orquesta/Banda/Conjunto"),"")))</f>
        <v/>
      </c>
      <c r="D344" t="str">
        <f>IF(A344="","",IF(A344="[FÓRMULA MANUAL]","",IFERROR(AVERAGEIFS(nNOTA,nNIA,A344,nCUENTA,1,nASIG,"Conjunto"),"")))</f>
        <v/>
      </c>
      <c r="E344" t="str">
        <f>IF(A344="","",IF(A344="[FÓRMULA MANUAL]","",IFERROR(SUMPRODUCT((nNIA=A344)*(nCUENTA=1)*(COUNTIF(CONFIG_ASIGNATURAS!$B$7:$B$27,nASIG)&gt;0)*(nNOTA))/SUMPRODUCT((nNIA=A344)*(nCUENTA=1)*(COUNTIF(CONFIG_ASIGNATURAS!$B$7:$B$27,nASIG)&gt;0)*1),"")))</f>
        <v/>
      </c>
      <c r="H344" t="str">
        <f>IF(G344="","",IF(G344="[FÓRMULA MANUAL]","",IFERROR(AVERAGEIFS(nNOTA,nNIA,G344,nCUENTA,1,nASIG,"Lenguaje Musical"),"")))</f>
        <v/>
      </c>
      <c r="I344" t="str">
        <f>IF(G344="","",IF(G344="[FÓRMULA MANUAL]","",IFERROR(AVERAGEIFS(nNOTA,nNIA,G344,nCUENTA,1,nASIG,"Orquesta/Banda/Conjunto"),"")))</f>
        <v/>
      </c>
      <c r="J344" t="str">
        <f>IF(G344="","",IF(G344="[FÓRMULA MANUAL]","",IFERROR(AVERAGEIFS(nNOTA,nNIA,G344,nCUENTA,1,nASIG,"Conjunto"),"")))</f>
        <v/>
      </c>
      <c r="K344" t="str">
        <f>IF(G344="","",IF(G344="[FÓRMULA MANUAL]","",IFERROR(SUMPRODUCT((nNIA=G344)*(nCUENTA=1)*(COUNTIF(CONFIG_ASIGNATURAS!$B$7:$B$27,nASIG)&gt;0)*(nNOTA))/SUMPRODUCT((nNIA=G344)*(nCUENTA=1)*(COUNTIF(CONFIG_ASIGNATURAS!$B$7:$B$27,nASIG)&gt;0)*1),"")))</f>
        <v/>
      </c>
      <c r="N344" t="str">
        <f>IF(M344="","",IF(M344="[FÓRMULA MANUAL]","",IFERROR(AVERAGEIFS(nNOTA,nNIA,M344,nCUENTA,1,nASIG,"Armonía"),"")))</f>
        <v/>
      </c>
      <c r="O344" t="str">
        <f>IF(M344="","",IF(M344="[FÓRMULA MANUAL]","",IFERROR(AVERAGEIFS(nNOTA,nNIA,M344,nCUENTA,1,nASIG,"Orquesta/Banda/Conjunto"),"")))</f>
        <v/>
      </c>
      <c r="P344" t="str">
        <f>IF(M344="","",IF(M344="[FÓRMULA MANUAL]","",IFERROR(AVERAGEIFS(nNOTA,nNIA,M344,nCUENTA,1,nASIG,"Música de Cámara"),"")))</f>
        <v/>
      </c>
      <c r="Q344" t="str">
        <f>IF(M344="","",IF(M344="[FÓRMULA MANUAL]","",IFERROR(SUMPRODUCT((nNIA=M344)*(nCUENTA=1)*(COUNTIF(CONFIG_ASIGNATURAS!$B$7:$B$27,nASIG)&gt;0)*(nNOTA))/SUMPRODUCT((nNIA=M344)*(nCUENTA=1)*(COUNTIF(CONFIG_ASIGNATURAS!$B$7:$B$27,nASIG)&gt;0)*1),"")))</f>
        <v/>
      </c>
      <c r="T344" t="str">
        <f>IF(S344="","",IF(S344="[FÓRMULA MANUAL]","",IFERROR(AVERAGEIFS(nNOTA,nNIA,S344,nCUENTA,1,nASIG,"Armonía"),"")))</f>
        <v/>
      </c>
      <c r="U344" t="str">
        <f>IF(S344="","",IF(S344="[FÓRMULA MANUAL]","",IFERROR(AVERAGEIFS(nNOTA,nNIA,S344,nCUENTA,1,nASIG,"Orquesta/Banda/Conjunto"),"")))</f>
        <v/>
      </c>
      <c r="V344" t="str">
        <f>IF(S344="","",IF(S344="[FÓRMULA MANUAL]","",IFERROR(AVERAGEIFS(nNOTA,nNIA,S344,nCUENTA,1,nASIG,"Música de Cámara"),"")))</f>
        <v/>
      </c>
      <c r="W344" t="str">
        <f>IF(S344="","",IF(S344="[FÓRMULA MANUAL]","",IFERROR(SUMPRODUCT((nNIA=S344)*(nCUENTA=1)*(COUNTIF(CONFIG_ASIGNATURAS!$B$7:$B$27,nASIG)&gt;0)*(nNOTA))/SUMPRODUCT((nNIA=S344)*(nCUENTA=1)*(COUNTIF(CONFIG_ASIGNATURAS!$B$7:$B$27,nASIG)&gt;0)*1),"")))</f>
        <v/>
      </c>
      <c r="Z344" t="str">
        <f>IF(Y344="","",IF(Y344="[FÓRMULA MANUAL]","",IFERROR(AVERAGEIFS(nNOTA,nNIA,Y344,nCUENTA,1,nASIG,"Análisis"),"")))</f>
        <v/>
      </c>
      <c r="AA344" t="str">
        <f>IF(Y344="","",IF(Y344="[FÓRMULA MANUAL]","",IFERROR(AVERAGEIFS(nNOTA,nNIA,Y344,nCUENTA,1,nASIG,"Orquesta/Banda/Conjunto"),"")))</f>
        <v/>
      </c>
      <c r="AB344" t="str">
        <f>IF(Y344="","",IF(Y344="[FÓRMULA MANUAL]","",IFERROR(AVERAGEIFS(nNOTA,nNIA,Y344,nCUENTA,1,nASIG,"Música de Cámara"),"")))</f>
        <v/>
      </c>
      <c r="AC344" t="str">
        <f>IF(Y344="","",IF(Y344="[FÓRMULA MANUAL]","",IFERROR(SUMPRODUCT((nNIA=Y344)*(nCUENTA=1)*(COUNTIF(CONFIG_ASIGNATURAS!$B$7:$B$27,nASIG)&gt;0)*(nNOTA))/SUMPRODUCT((nNIA=Y344)*(nCUENTA=1)*(COUNTIF(CONFIG_ASIGNATURAS!$B$7:$B$27,nASIG)&gt;0)*1),"")))</f>
        <v/>
      </c>
      <c r="AF344" t="str">
        <f>IF(AE344="","",IF(AE344="[FÓRMULA MANUAL]","",IFERROR(AVERAGEIFS(nNOTA,nNIA,AE344,nCUENTA,1,nASIG,"Análisis"),"")))</f>
        <v/>
      </c>
      <c r="AG344" t="str">
        <f>IF(AE344="","",IF(AE344="[FÓRMULA MANUAL]","",IFERROR(AVERAGEIFS(nNOTA,nNIA,AE344,nCUENTA,1,nASIG,"Orquesta/Banda/Conjunto"),"")))</f>
        <v/>
      </c>
      <c r="AH344" t="str">
        <f>IF(AE344="","",IF(AE344="[FÓRMULA MANUAL]","",IFERROR(AVERAGEIFS(nNOTA,nNIA,AE344,nCUENTA,1,nASIG,"Música de Cámara"),"")))</f>
        <v/>
      </c>
      <c r="AI344" t="str">
        <f>IF(AE344="","",IF(AE344="[FÓRMULA MANUAL]","",IFERROR(SUMPRODUCT((nNIA=AE344)*(nCUENTA=1)*(COUNTIF(CONFIG_ASIGNATURAS!$B$7:$B$27,nASIG)&gt;0)*(nNOTA))/SUMPRODUCT((nNIA=AE344)*(nCUENTA=1)*(COUNTIF(CONFIG_ASIGNATURAS!$B$7:$B$27,nASIG)&gt;0)*1),"")))</f>
        <v/>
      </c>
    </row>
    <row r="345" spans="2:35" x14ac:dyDescent="0.2">
      <c r="B345" t="str">
        <f>IF(A345="","",IF(A345="[FÓRMULA MANUAL]","",IFERROR(AVERAGEIFS(nNOTA,nNIA,A345,nCUENTA,1,nASIG,"Lenguaje Musical"),"")))</f>
        <v/>
      </c>
      <c r="C345" t="str">
        <f>IF(A345="","",IF(A345="[FÓRMULA MANUAL]","",IFERROR(AVERAGEIFS(nNOTA,nNIA,A345,nCUENTA,1,nASIG,"Orquesta/Banda/Conjunto"),"")))</f>
        <v/>
      </c>
      <c r="D345" t="str">
        <f>IF(A345="","",IF(A345="[FÓRMULA MANUAL]","",IFERROR(AVERAGEIFS(nNOTA,nNIA,A345,nCUENTA,1,nASIG,"Conjunto"),"")))</f>
        <v/>
      </c>
      <c r="E345" t="str">
        <f>IF(A345="","",IF(A345="[FÓRMULA MANUAL]","",IFERROR(SUMPRODUCT((nNIA=A345)*(nCUENTA=1)*(COUNTIF(CONFIG_ASIGNATURAS!$B$7:$B$27,nASIG)&gt;0)*(nNOTA))/SUMPRODUCT((nNIA=A345)*(nCUENTA=1)*(COUNTIF(CONFIG_ASIGNATURAS!$B$7:$B$27,nASIG)&gt;0)*1),"")))</f>
        <v/>
      </c>
      <c r="H345" t="str">
        <f>IF(G345="","",IF(G345="[FÓRMULA MANUAL]","",IFERROR(AVERAGEIFS(nNOTA,nNIA,G345,nCUENTA,1,nASIG,"Lenguaje Musical"),"")))</f>
        <v/>
      </c>
      <c r="I345" t="str">
        <f>IF(G345="","",IF(G345="[FÓRMULA MANUAL]","",IFERROR(AVERAGEIFS(nNOTA,nNIA,G345,nCUENTA,1,nASIG,"Orquesta/Banda/Conjunto"),"")))</f>
        <v/>
      </c>
      <c r="J345" t="str">
        <f>IF(G345="","",IF(G345="[FÓRMULA MANUAL]","",IFERROR(AVERAGEIFS(nNOTA,nNIA,G345,nCUENTA,1,nASIG,"Conjunto"),"")))</f>
        <v/>
      </c>
      <c r="K345" t="str">
        <f>IF(G345="","",IF(G345="[FÓRMULA MANUAL]","",IFERROR(SUMPRODUCT((nNIA=G345)*(nCUENTA=1)*(COUNTIF(CONFIG_ASIGNATURAS!$B$7:$B$27,nASIG)&gt;0)*(nNOTA))/SUMPRODUCT((nNIA=G345)*(nCUENTA=1)*(COUNTIF(CONFIG_ASIGNATURAS!$B$7:$B$27,nASIG)&gt;0)*1),"")))</f>
        <v/>
      </c>
      <c r="N345" t="str">
        <f>IF(M345="","",IF(M345="[FÓRMULA MANUAL]","",IFERROR(AVERAGEIFS(nNOTA,nNIA,M345,nCUENTA,1,nASIG,"Armonía"),"")))</f>
        <v/>
      </c>
      <c r="O345" t="str">
        <f>IF(M345="","",IF(M345="[FÓRMULA MANUAL]","",IFERROR(AVERAGEIFS(nNOTA,nNIA,M345,nCUENTA,1,nASIG,"Orquesta/Banda/Conjunto"),"")))</f>
        <v/>
      </c>
      <c r="P345" t="str">
        <f>IF(M345="","",IF(M345="[FÓRMULA MANUAL]","",IFERROR(AVERAGEIFS(nNOTA,nNIA,M345,nCUENTA,1,nASIG,"Música de Cámara"),"")))</f>
        <v/>
      </c>
      <c r="Q345" t="str">
        <f>IF(M345="","",IF(M345="[FÓRMULA MANUAL]","",IFERROR(SUMPRODUCT((nNIA=M345)*(nCUENTA=1)*(COUNTIF(CONFIG_ASIGNATURAS!$B$7:$B$27,nASIG)&gt;0)*(nNOTA))/SUMPRODUCT((nNIA=M345)*(nCUENTA=1)*(COUNTIF(CONFIG_ASIGNATURAS!$B$7:$B$27,nASIG)&gt;0)*1),"")))</f>
        <v/>
      </c>
      <c r="T345" t="str">
        <f>IF(S345="","",IF(S345="[FÓRMULA MANUAL]","",IFERROR(AVERAGEIFS(nNOTA,nNIA,S345,nCUENTA,1,nASIG,"Armonía"),"")))</f>
        <v/>
      </c>
      <c r="U345" t="str">
        <f>IF(S345="","",IF(S345="[FÓRMULA MANUAL]","",IFERROR(AVERAGEIFS(nNOTA,nNIA,S345,nCUENTA,1,nASIG,"Orquesta/Banda/Conjunto"),"")))</f>
        <v/>
      </c>
      <c r="V345" t="str">
        <f>IF(S345="","",IF(S345="[FÓRMULA MANUAL]","",IFERROR(AVERAGEIFS(nNOTA,nNIA,S345,nCUENTA,1,nASIG,"Música de Cámara"),"")))</f>
        <v/>
      </c>
      <c r="W345" t="str">
        <f>IF(S345="","",IF(S345="[FÓRMULA MANUAL]","",IFERROR(SUMPRODUCT((nNIA=S345)*(nCUENTA=1)*(COUNTIF(CONFIG_ASIGNATURAS!$B$7:$B$27,nASIG)&gt;0)*(nNOTA))/SUMPRODUCT((nNIA=S345)*(nCUENTA=1)*(COUNTIF(CONFIG_ASIGNATURAS!$B$7:$B$27,nASIG)&gt;0)*1),"")))</f>
        <v/>
      </c>
      <c r="Z345" t="str">
        <f>IF(Y345="","",IF(Y345="[FÓRMULA MANUAL]","",IFERROR(AVERAGEIFS(nNOTA,nNIA,Y345,nCUENTA,1,nASIG,"Análisis"),"")))</f>
        <v/>
      </c>
      <c r="AA345" t="str">
        <f>IF(Y345="","",IF(Y345="[FÓRMULA MANUAL]","",IFERROR(AVERAGEIFS(nNOTA,nNIA,Y345,nCUENTA,1,nASIG,"Orquesta/Banda/Conjunto"),"")))</f>
        <v/>
      </c>
      <c r="AB345" t="str">
        <f>IF(Y345="","",IF(Y345="[FÓRMULA MANUAL]","",IFERROR(AVERAGEIFS(nNOTA,nNIA,Y345,nCUENTA,1,nASIG,"Música de Cámara"),"")))</f>
        <v/>
      </c>
      <c r="AC345" t="str">
        <f>IF(Y345="","",IF(Y345="[FÓRMULA MANUAL]","",IFERROR(SUMPRODUCT((nNIA=Y345)*(nCUENTA=1)*(COUNTIF(CONFIG_ASIGNATURAS!$B$7:$B$27,nASIG)&gt;0)*(nNOTA))/SUMPRODUCT((nNIA=Y345)*(nCUENTA=1)*(COUNTIF(CONFIG_ASIGNATURAS!$B$7:$B$27,nASIG)&gt;0)*1),"")))</f>
        <v/>
      </c>
      <c r="AF345" t="str">
        <f>IF(AE345="","",IF(AE345="[FÓRMULA MANUAL]","",IFERROR(AVERAGEIFS(nNOTA,nNIA,AE345,nCUENTA,1,nASIG,"Análisis"),"")))</f>
        <v/>
      </c>
      <c r="AG345" t="str">
        <f>IF(AE345="","",IF(AE345="[FÓRMULA MANUAL]","",IFERROR(AVERAGEIFS(nNOTA,nNIA,AE345,nCUENTA,1,nASIG,"Orquesta/Banda/Conjunto"),"")))</f>
        <v/>
      </c>
      <c r="AH345" t="str">
        <f>IF(AE345="","",IF(AE345="[FÓRMULA MANUAL]","",IFERROR(AVERAGEIFS(nNOTA,nNIA,AE345,nCUENTA,1,nASIG,"Música de Cámara"),"")))</f>
        <v/>
      </c>
      <c r="AI345" t="str">
        <f>IF(AE345="","",IF(AE345="[FÓRMULA MANUAL]","",IFERROR(SUMPRODUCT((nNIA=AE345)*(nCUENTA=1)*(COUNTIF(CONFIG_ASIGNATURAS!$B$7:$B$27,nASIG)&gt;0)*(nNOTA))/SUMPRODUCT((nNIA=AE345)*(nCUENTA=1)*(COUNTIF(CONFIG_ASIGNATURAS!$B$7:$B$27,nASIG)&gt;0)*1),"")))</f>
        <v/>
      </c>
    </row>
    <row r="346" spans="2:35" x14ac:dyDescent="0.2">
      <c r="B346" t="str">
        <f>IF(A346="","",IF(A346="[FÓRMULA MANUAL]","",IFERROR(AVERAGEIFS(nNOTA,nNIA,A346,nCUENTA,1,nASIG,"Lenguaje Musical"),"")))</f>
        <v/>
      </c>
      <c r="C346" t="str">
        <f>IF(A346="","",IF(A346="[FÓRMULA MANUAL]","",IFERROR(AVERAGEIFS(nNOTA,nNIA,A346,nCUENTA,1,nASIG,"Orquesta/Banda/Conjunto"),"")))</f>
        <v/>
      </c>
      <c r="D346" t="str">
        <f>IF(A346="","",IF(A346="[FÓRMULA MANUAL]","",IFERROR(AVERAGEIFS(nNOTA,nNIA,A346,nCUENTA,1,nASIG,"Conjunto"),"")))</f>
        <v/>
      </c>
      <c r="E346" t="str">
        <f>IF(A346="","",IF(A346="[FÓRMULA MANUAL]","",IFERROR(SUMPRODUCT((nNIA=A346)*(nCUENTA=1)*(COUNTIF(CONFIG_ASIGNATURAS!$B$7:$B$27,nASIG)&gt;0)*(nNOTA))/SUMPRODUCT((nNIA=A346)*(nCUENTA=1)*(COUNTIF(CONFIG_ASIGNATURAS!$B$7:$B$27,nASIG)&gt;0)*1),"")))</f>
        <v/>
      </c>
      <c r="H346" t="str">
        <f>IF(G346="","",IF(G346="[FÓRMULA MANUAL]","",IFERROR(AVERAGEIFS(nNOTA,nNIA,G346,nCUENTA,1,nASIG,"Lenguaje Musical"),"")))</f>
        <v/>
      </c>
      <c r="I346" t="str">
        <f>IF(G346="","",IF(G346="[FÓRMULA MANUAL]","",IFERROR(AVERAGEIFS(nNOTA,nNIA,G346,nCUENTA,1,nASIG,"Orquesta/Banda/Conjunto"),"")))</f>
        <v/>
      </c>
      <c r="J346" t="str">
        <f>IF(G346="","",IF(G346="[FÓRMULA MANUAL]","",IFERROR(AVERAGEIFS(nNOTA,nNIA,G346,nCUENTA,1,nASIG,"Conjunto"),"")))</f>
        <v/>
      </c>
      <c r="K346" t="str">
        <f>IF(G346="","",IF(G346="[FÓRMULA MANUAL]","",IFERROR(SUMPRODUCT((nNIA=G346)*(nCUENTA=1)*(COUNTIF(CONFIG_ASIGNATURAS!$B$7:$B$27,nASIG)&gt;0)*(nNOTA))/SUMPRODUCT((nNIA=G346)*(nCUENTA=1)*(COUNTIF(CONFIG_ASIGNATURAS!$B$7:$B$27,nASIG)&gt;0)*1),"")))</f>
        <v/>
      </c>
      <c r="N346" t="str">
        <f>IF(M346="","",IF(M346="[FÓRMULA MANUAL]","",IFERROR(AVERAGEIFS(nNOTA,nNIA,M346,nCUENTA,1,nASIG,"Armonía"),"")))</f>
        <v/>
      </c>
      <c r="O346" t="str">
        <f>IF(M346="","",IF(M346="[FÓRMULA MANUAL]","",IFERROR(AVERAGEIFS(nNOTA,nNIA,M346,nCUENTA,1,nASIG,"Orquesta/Banda/Conjunto"),"")))</f>
        <v/>
      </c>
      <c r="P346" t="str">
        <f>IF(M346="","",IF(M346="[FÓRMULA MANUAL]","",IFERROR(AVERAGEIFS(nNOTA,nNIA,M346,nCUENTA,1,nASIG,"Música de Cámara"),"")))</f>
        <v/>
      </c>
      <c r="Q346" t="str">
        <f>IF(M346="","",IF(M346="[FÓRMULA MANUAL]","",IFERROR(SUMPRODUCT((nNIA=M346)*(nCUENTA=1)*(COUNTIF(CONFIG_ASIGNATURAS!$B$7:$B$27,nASIG)&gt;0)*(nNOTA))/SUMPRODUCT((nNIA=M346)*(nCUENTA=1)*(COUNTIF(CONFIG_ASIGNATURAS!$B$7:$B$27,nASIG)&gt;0)*1),"")))</f>
        <v/>
      </c>
      <c r="T346" t="str">
        <f>IF(S346="","",IF(S346="[FÓRMULA MANUAL]","",IFERROR(AVERAGEIFS(nNOTA,nNIA,S346,nCUENTA,1,nASIG,"Armonía"),"")))</f>
        <v/>
      </c>
      <c r="U346" t="str">
        <f>IF(S346="","",IF(S346="[FÓRMULA MANUAL]","",IFERROR(AVERAGEIFS(nNOTA,nNIA,S346,nCUENTA,1,nASIG,"Orquesta/Banda/Conjunto"),"")))</f>
        <v/>
      </c>
      <c r="V346" t="str">
        <f>IF(S346="","",IF(S346="[FÓRMULA MANUAL]","",IFERROR(AVERAGEIFS(nNOTA,nNIA,S346,nCUENTA,1,nASIG,"Música de Cámara"),"")))</f>
        <v/>
      </c>
      <c r="W346" t="str">
        <f>IF(S346="","",IF(S346="[FÓRMULA MANUAL]","",IFERROR(SUMPRODUCT((nNIA=S346)*(nCUENTA=1)*(COUNTIF(CONFIG_ASIGNATURAS!$B$7:$B$27,nASIG)&gt;0)*(nNOTA))/SUMPRODUCT((nNIA=S346)*(nCUENTA=1)*(COUNTIF(CONFIG_ASIGNATURAS!$B$7:$B$27,nASIG)&gt;0)*1),"")))</f>
        <v/>
      </c>
      <c r="Z346" t="str">
        <f>IF(Y346="","",IF(Y346="[FÓRMULA MANUAL]","",IFERROR(AVERAGEIFS(nNOTA,nNIA,Y346,nCUENTA,1,nASIG,"Análisis"),"")))</f>
        <v/>
      </c>
      <c r="AA346" t="str">
        <f>IF(Y346="","",IF(Y346="[FÓRMULA MANUAL]","",IFERROR(AVERAGEIFS(nNOTA,nNIA,Y346,nCUENTA,1,nASIG,"Orquesta/Banda/Conjunto"),"")))</f>
        <v/>
      </c>
      <c r="AB346" t="str">
        <f>IF(Y346="","",IF(Y346="[FÓRMULA MANUAL]","",IFERROR(AVERAGEIFS(nNOTA,nNIA,Y346,nCUENTA,1,nASIG,"Música de Cámara"),"")))</f>
        <v/>
      </c>
      <c r="AC346" t="str">
        <f>IF(Y346="","",IF(Y346="[FÓRMULA MANUAL]","",IFERROR(SUMPRODUCT((nNIA=Y346)*(nCUENTA=1)*(COUNTIF(CONFIG_ASIGNATURAS!$B$7:$B$27,nASIG)&gt;0)*(nNOTA))/SUMPRODUCT((nNIA=Y346)*(nCUENTA=1)*(COUNTIF(CONFIG_ASIGNATURAS!$B$7:$B$27,nASIG)&gt;0)*1),"")))</f>
        <v/>
      </c>
      <c r="AF346" t="str">
        <f>IF(AE346="","",IF(AE346="[FÓRMULA MANUAL]","",IFERROR(AVERAGEIFS(nNOTA,nNIA,AE346,nCUENTA,1,nASIG,"Análisis"),"")))</f>
        <v/>
      </c>
      <c r="AG346" t="str">
        <f>IF(AE346="","",IF(AE346="[FÓRMULA MANUAL]","",IFERROR(AVERAGEIFS(nNOTA,nNIA,AE346,nCUENTA,1,nASIG,"Orquesta/Banda/Conjunto"),"")))</f>
        <v/>
      </c>
      <c r="AH346" t="str">
        <f>IF(AE346="","",IF(AE346="[FÓRMULA MANUAL]","",IFERROR(AVERAGEIFS(nNOTA,nNIA,AE346,nCUENTA,1,nASIG,"Música de Cámara"),"")))</f>
        <v/>
      </c>
      <c r="AI346" t="str">
        <f>IF(AE346="","",IF(AE346="[FÓRMULA MANUAL]","",IFERROR(SUMPRODUCT((nNIA=AE346)*(nCUENTA=1)*(COUNTIF(CONFIG_ASIGNATURAS!$B$7:$B$27,nASIG)&gt;0)*(nNOTA))/SUMPRODUCT((nNIA=AE346)*(nCUENTA=1)*(COUNTIF(CONFIG_ASIGNATURAS!$B$7:$B$27,nASIG)&gt;0)*1),"")))</f>
        <v/>
      </c>
    </row>
    <row r="347" spans="2:35" x14ac:dyDescent="0.2">
      <c r="B347" t="str">
        <f>IF(A347="","",IF(A347="[FÓRMULA MANUAL]","",IFERROR(AVERAGEIFS(nNOTA,nNIA,A347,nCUENTA,1,nASIG,"Lenguaje Musical"),"")))</f>
        <v/>
      </c>
      <c r="C347" t="str">
        <f>IF(A347="","",IF(A347="[FÓRMULA MANUAL]","",IFERROR(AVERAGEIFS(nNOTA,nNIA,A347,nCUENTA,1,nASIG,"Orquesta/Banda/Conjunto"),"")))</f>
        <v/>
      </c>
      <c r="D347" t="str">
        <f>IF(A347="","",IF(A347="[FÓRMULA MANUAL]","",IFERROR(AVERAGEIFS(nNOTA,nNIA,A347,nCUENTA,1,nASIG,"Conjunto"),"")))</f>
        <v/>
      </c>
      <c r="E347" t="str">
        <f>IF(A347="","",IF(A347="[FÓRMULA MANUAL]","",IFERROR(SUMPRODUCT((nNIA=A347)*(nCUENTA=1)*(COUNTIF(CONFIG_ASIGNATURAS!$B$7:$B$27,nASIG)&gt;0)*(nNOTA))/SUMPRODUCT((nNIA=A347)*(nCUENTA=1)*(COUNTIF(CONFIG_ASIGNATURAS!$B$7:$B$27,nASIG)&gt;0)*1),"")))</f>
        <v/>
      </c>
      <c r="H347" t="str">
        <f>IF(G347="","",IF(G347="[FÓRMULA MANUAL]","",IFERROR(AVERAGEIFS(nNOTA,nNIA,G347,nCUENTA,1,nASIG,"Lenguaje Musical"),"")))</f>
        <v/>
      </c>
      <c r="I347" t="str">
        <f>IF(G347="","",IF(G347="[FÓRMULA MANUAL]","",IFERROR(AVERAGEIFS(nNOTA,nNIA,G347,nCUENTA,1,nASIG,"Orquesta/Banda/Conjunto"),"")))</f>
        <v/>
      </c>
      <c r="J347" t="str">
        <f>IF(G347="","",IF(G347="[FÓRMULA MANUAL]","",IFERROR(AVERAGEIFS(nNOTA,nNIA,G347,nCUENTA,1,nASIG,"Conjunto"),"")))</f>
        <v/>
      </c>
      <c r="K347" t="str">
        <f>IF(G347="","",IF(G347="[FÓRMULA MANUAL]","",IFERROR(SUMPRODUCT((nNIA=G347)*(nCUENTA=1)*(COUNTIF(CONFIG_ASIGNATURAS!$B$7:$B$27,nASIG)&gt;0)*(nNOTA))/SUMPRODUCT((nNIA=G347)*(nCUENTA=1)*(COUNTIF(CONFIG_ASIGNATURAS!$B$7:$B$27,nASIG)&gt;0)*1),"")))</f>
        <v/>
      </c>
      <c r="N347" t="str">
        <f>IF(M347="","",IF(M347="[FÓRMULA MANUAL]","",IFERROR(AVERAGEIFS(nNOTA,nNIA,M347,nCUENTA,1,nASIG,"Armonía"),"")))</f>
        <v/>
      </c>
      <c r="O347" t="str">
        <f>IF(M347="","",IF(M347="[FÓRMULA MANUAL]","",IFERROR(AVERAGEIFS(nNOTA,nNIA,M347,nCUENTA,1,nASIG,"Orquesta/Banda/Conjunto"),"")))</f>
        <v/>
      </c>
      <c r="P347" t="str">
        <f>IF(M347="","",IF(M347="[FÓRMULA MANUAL]","",IFERROR(AVERAGEIFS(nNOTA,nNIA,M347,nCUENTA,1,nASIG,"Música de Cámara"),"")))</f>
        <v/>
      </c>
      <c r="Q347" t="str">
        <f>IF(M347="","",IF(M347="[FÓRMULA MANUAL]","",IFERROR(SUMPRODUCT((nNIA=M347)*(nCUENTA=1)*(COUNTIF(CONFIG_ASIGNATURAS!$B$7:$B$27,nASIG)&gt;0)*(nNOTA))/SUMPRODUCT((nNIA=M347)*(nCUENTA=1)*(COUNTIF(CONFIG_ASIGNATURAS!$B$7:$B$27,nASIG)&gt;0)*1),"")))</f>
        <v/>
      </c>
      <c r="T347" t="str">
        <f>IF(S347="","",IF(S347="[FÓRMULA MANUAL]","",IFERROR(AVERAGEIFS(nNOTA,nNIA,S347,nCUENTA,1,nASIG,"Armonía"),"")))</f>
        <v/>
      </c>
      <c r="U347" t="str">
        <f>IF(S347="","",IF(S347="[FÓRMULA MANUAL]","",IFERROR(AVERAGEIFS(nNOTA,nNIA,S347,nCUENTA,1,nASIG,"Orquesta/Banda/Conjunto"),"")))</f>
        <v/>
      </c>
      <c r="V347" t="str">
        <f>IF(S347="","",IF(S347="[FÓRMULA MANUAL]","",IFERROR(AVERAGEIFS(nNOTA,nNIA,S347,nCUENTA,1,nASIG,"Música de Cámara"),"")))</f>
        <v/>
      </c>
      <c r="W347" t="str">
        <f>IF(S347="","",IF(S347="[FÓRMULA MANUAL]","",IFERROR(SUMPRODUCT((nNIA=S347)*(nCUENTA=1)*(COUNTIF(CONFIG_ASIGNATURAS!$B$7:$B$27,nASIG)&gt;0)*(nNOTA))/SUMPRODUCT((nNIA=S347)*(nCUENTA=1)*(COUNTIF(CONFIG_ASIGNATURAS!$B$7:$B$27,nASIG)&gt;0)*1),"")))</f>
        <v/>
      </c>
      <c r="Z347" t="str">
        <f>IF(Y347="","",IF(Y347="[FÓRMULA MANUAL]","",IFERROR(AVERAGEIFS(nNOTA,nNIA,Y347,nCUENTA,1,nASIG,"Análisis"),"")))</f>
        <v/>
      </c>
      <c r="AA347" t="str">
        <f>IF(Y347="","",IF(Y347="[FÓRMULA MANUAL]","",IFERROR(AVERAGEIFS(nNOTA,nNIA,Y347,nCUENTA,1,nASIG,"Orquesta/Banda/Conjunto"),"")))</f>
        <v/>
      </c>
      <c r="AB347" t="str">
        <f>IF(Y347="","",IF(Y347="[FÓRMULA MANUAL]","",IFERROR(AVERAGEIFS(nNOTA,nNIA,Y347,nCUENTA,1,nASIG,"Música de Cámara"),"")))</f>
        <v/>
      </c>
      <c r="AC347" t="str">
        <f>IF(Y347="","",IF(Y347="[FÓRMULA MANUAL]","",IFERROR(SUMPRODUCT((nNIA=Y347)*(nCUENTA=1)*(COUNTIF(CONFIG_ASIGNATURAS!$B$7:$B$27,nASIG)&gt;0)*(nNOTA))/SUMPRODUCT((nNIA=Y347)*(nCUENTA=1)*(COUNTIF(CONFIG_ASIGNATURAS!$B$7:$B$27,nASIG)&gt;0)*1),"")))</f>
        <v/>
      </c>
      <c r="AF347" t="str">
        <f>IF(AE347="","",IF(AE347="[FÓRMULA MANUAL]","",IFERROR(AVERAGEIFS(nNOTA,nNIA,AE347,nCUENTA,1,nASIG,"Análisis"),"")))</f>
        <v/>
      </c>
      <c r="AG347" t="str">
        <f>IF(AE347="","",IF(AE347="[FÓRMULA MANUAL]","",IFERROR(AVERAGEIFS(nNOTA,nNIA,AE347,nCUENTA,1,nASIG,"Orquesta/Banda/Conjunto"),"")))</f>
        <v/>
      </c>
      <c r="AH347" t="str">
        <f>IF(AE347="","",IF(AE347="[FÓRMULA MANUAL]","",IFERROR(AVERAGEIFS(nNOTA,nNIA,AE347,nCUENTA,1,nASIG,"Música de Cámara"),"")))</f>
        <v/>
      </c>
      <c r="AI347" t="str">
        <f>IF(AE347="","",IF(AE347="[FÓRMULA MANUAL]","",IFERROR(SUMPRODUCT((nNIA=AE347)*(nCUENTA=1)*(COUNTIF(CONFIG_ASIGNATURAS!$B$7:$B$27,nASIG)&gt;0)*(nNOTA))/SUMPRODUCT((nNIA=AE347)*(nCUENTA=1)*(COUNTIF(CONFIG_ASIGNATURAS!$B$7:$B$27,nASIG)&gt;0)*1),"")))</f>
        <v/>
      </c>
    </row>
    <row r="348" spans="2:35" x14ac:dyDescent="0.2">
      <c r="B348" t="str">
        <f>IF(A348="","",IF(A348="[FÓRMULA MANUAL]","",IFERROR(AVERAGEIFS(nNOTA,nNIA,A348,nCUENTA,1,nASIG,"Lenguaje Musical"),"")))</f>
        <v/>
      </c>
      <c r="C348" t="str">
        <f>IF(A348="","",IF(A348="[FÓRMULA MANUAL]","",IFERROR(AVERAGEIFS(nNOTA,nNIA,A348,nCUENTA,1,nASIG,"Orquesta/Banda/Conjunto"),"")))</f>
        <v/>
      </c>
      <c r="D348" t="str">
        <f>IF(A348="","",IF(A348="[FÓRMULA MANUAL]","",IFERROR(AVERAGEIFS(nNOTA,nNIA,A348,nCUENTA,1,nASIG,"Conjunto"),"")))</f>
        <v/>
      </c>
      <c r="E348" t="str">
        <f>IF(A348="","",IF(A348="[FÓRMULA MANUAL]","",IFERROR(SUMPRODUCT((nNIA=A348)*(nCUENTA=1)*(COUNTIF(CONFIG_ASIGNATURAS!$B$7:$B$27,nASIG)&gt;0)*(nNOTA))/SUMPRODUCT((nNIA=A348)*(nCUENTA=1)*(COUNTIF(CONFIG_ASIGNATURAS!$B$7:$B$27,nASIG)&gt;0)*1),"")))</f>
        <v/>
      </c>
      <c r="H348" t="str">
        <f>IF(G348="","",IF(G348="[FÓRMULA MANUAL]","",IFERROR(AVERAGEIFS(nNOTA,nNIA,G348,nCUENTA,1,nASIG,"Lenguaje Musical"),"")))</f>
        <v/>
      </c>
      <c r="I348" t="str">
        <f>IF(G348="","",IF(G348="[FÓRMULA MANUAL]","",IFERROR(AVERAGEIFS(nNOTA,nNIA,G348,nCUENTA,1,nASIG,"Orquesta/Banda/Conjunto"),"")))</f>
        <v/>
      </c>
      <c r="J348" t="str">
        <f>IF(G348="","",IF(G348="[FÓRMULA MANUAL]","",IFERROR(AVERAGEIFS(nNOTA,nNIA,G348,nCUENTA,1,nASIG,"Conjunto"),"")))</f>
        <v/>
      </c>
      <c r="K348" t="str">
        <f>IF(G348="","",IF(G348="[FÓRMULA MANUAL]","",IFERROR(SUMPRODUCT((nNIA=G348)*(nCUENTA=1)*(COUNTIF(CONFIG_ASIGNATURAS!$B$7:$B$27,nASIG)&gt;0)*(nNOTA))/SUMPRODUCT((nNIA=G348)*(nCUENTA=1)*(COUNTIF(CONFIG_ASIGNATURAS!$B$7:$B$27,nASIG)&gt;0)*1),"")))</f>
        <v/>
      </c>
      <c r="N348" t="str">
        <f>IF(M348="","",IF(M348="[FÓRMULA MANUAL]","",IFERROR(AVERAGEIFS(nNOTA,nNIA,M348,nCUENTA,1,nASIG,"Armonía"),"")))</f>
        <v/>
      </c>
      <c r="O348" t="str">
        <f>IF(M348="","",IF(M348="[FÓRMULA MANUAL]","",IFERROR(AVERAGEIFS(nNOTA,nNIA,M348,nCUENTA,1,nASIG,"Orquesta/Banda/Conjunto"),"")))</f>
        <v/>
      </c>
      <c r="P348" t="str">
        <f>IF(M348="","",IF(M348="[FÓRMULA MANUAL]","",IFERROR(AVERAGEIFS(nNOTA,nNIA,M348,nCUENTA,1,nASIG,"Música de Cámara"),"")))</f>
        <v/>
      </c>
      <c r="Q348" t="str">
        <f>IF(M348="","",IF(M348="[FÓRMULA MANUAL]","",IFERROR(SUMPRODUCT((nNIA=M348)*(nCUENTA=1)*(COUNTIF(CONFIG_ASIGNATURAS!$B$7:$B$27,nASIG)&gt;0)*(nNOTA))/SUMPRODUCT((nNIA=M348)*(nCUENTA=1)*(COUNTIF(CONFIG_ASIGNATURAS!$B$7:$B$27,nASIG)&gt;0)*1),"")))</f>
        <v/>
      </c>
      <c r="T348" t="str">
        <f>IF(S348="","",IF(S348="[FÓRMULA MANUAL]","",IFERROR(AVERAGEIFS(nNOTA,nNIA,S348,nCUENTA,1,nASIG,"Armonía"),"")))</f>
        <v/>
      </c>
      <c r="U348" t="str">
        <f>IF(S348="","",IF(S348="[FÓRMULA MANUAL]","",IFERROR(AVERAGEIFS(nNOTA,nNIA,S348,nCUENTA,1,nASIG,"Orquesta/Banda/Conjunto"),"")))</f>
        <v/>
      </c>
      <c r="V348" t="str">
        <f>IF(S348="","",IF(S348="[FÓRMULA MANUAL]","",IFERROR(AVERAGEIFS(nNOTA,nNIA,S348,nCUENTA,1,nASIG,"Música de Cámara"),"")))</f>
        <v/>
      </c>
      <c r="W348" t="str">
        <f>IF(S348="","",IF(S348="[FÓRMULA MANUAL]","",IFERROR(SUMPRODUCT((nNIA=S348)*(nCUENTA=1)*(COUNTIF(CONFIG_ASIGNATURAS!$B$7:$B$27,nASIG)&gt;0)*(nNOTA))/SUMPRODUCT((nNIA=S348)*(nCUENTA=1)*(COUNTIF(CONFIG_ASIGNATURAS!$B$7:$B$27,nASIG)&gt;0)*1),"")))</f>
        <v/>
      </c>
      <c r="Z348" t="str">
        <f>IF(Y348="","",IF(Y348="[FÓRMULA MANUAL]","",IFERROR(AVERAGEIFS(nNOTA,nNIA,Y348,nCUENTA,1,nASIG,"Análisis"),"")))</f>
        <v/>
      </c>
      <c r="AA348" t="str">
        <f>IF(Y348="","",IF(Y348="[FÓRMULA MANUAL]","",IFERROR(AVERAGEIFS(nNOTA,nNIA,Y348,nCUENTA,1,nASIG,"Orquesta/Banda/Conjunto"),"")))</f>
        <v/>
      </c>
      <c r="AB348" t="str">
        <f>IF(Y348="","",IF(Y348="[FÓRMULA MANUAL]","",IFERROR(AVERAGEIFS(nNOTA,nNIA,Y348,nCUENTA,1,nASIG,"Música de Cámara"),"")))</f>
        <v/>
      </c>
      <c r="AC348" t="str">
        <f>IF(Y348="","",IF(Y348="[FÓRMULA MANUAL]","",IFERROR(SUMPRODUCT((nNIA=Y348)*(nCUENTA=1)*(COUNTIF(CONFIG_ASIGNATURAS!$B$7:$B$27,nASIG)&gt;0)*(nNOTA))/SUMPRODUCT((nNIA=Y348)*(nCUENTA=1)*(COUNTIF(CONFIG_ASIGNATURAS!$B$7:$B$27,nASIG)&gt;0)*1),"")))</f>
        <v/>
      </c>
      <c r="AF348" t="str">
        <f>IF(AE348="","",IF(AE348="[FÓRMULA MANUAL]","",IFERROR(AVERAGEIFS(nNOTA,nNIA,AE348,nCUENTA,1,nASIG,"Análisis"),"")))</f>
        <v/>
      </c>
      <c r="AG348" t="str">
        <f>IF(AE348="","",IF(AE348="[FÓRMULA MANUAL]","",IFERROR(AVERAGEIFS(nNOTA,nNIA,AE348,nCUENTA,1,nASIG,"Orquesta/Banda/Conjunto"),"")))</f>
        <v/>
      </c>
      <c r="AH348" t="str">
        <f>IF(AE348="","",IF(AE348="[FÓRMULA MANUAL]","",IFERROR(AVERAGEIFS(nNOTA,nNIA,AE348,nCUENTA,1,nASIG,"Música de Cámara"),"")))</f>
        <v/>
      </c>
      <c r="AI348" t="str">
        <f>IF(AE348="","",IF(AE348="[FÓRMULA MANUAL]","",IFERROR(SUMPRODUCT((nNIA=AE348)*(nCUENTA=1)*(COUNTIF(CONFIG_ASIGNATURAS!$B$7:$B$27,nASIG)&gt;0)*(nNOTA))/SUMPRODUCT((nNIA=AE348)*(nCUENTA=1)*(COUNTIF(CONFIG_ASIGNATURAS!$B$7:$B$27,nASIG)&gt;0)*1),"")))</f>
        <v/>
      </c>
    </row>
    <row r="349" spans="2:35" x14ac:dyDescent="0.2">
      <c r="B349" t="str">
        <f>IF(A349="","",IF(A349="[FÓRMULA MANUAL]","",IFERROR(AVERAGEIFS(nNOTA,nNIA,A349,nCUENTA,1,nASIG,"Lenguaje Musical"),"")))</f>
        <v/>
      </c>
      <c r="C349" t="str">
        <f>IF(A349="","",IF(A349="[FÓRMULA MANUAL]","",IFERROR(AVERAGEIFS(nNOTA,nNIA,A349,nCUENTA,1,nASIG,"Orquesta/Banda/Conjunto"),"")))</f>
        <v/>
      </c>
      <c r="D349" t="str">
        <f>IF(A349="","",IF(A349="[FÓRMULA MANUAL]","",IFERROR(AVERAGEIFS(nNOTA,nNIA,A349,nCUENTA,1,nASIG,"Conjunto"),"")))</f>
        <v/>
      </c>
      <c r="E349" t="str">
        <f>IF(A349="","",IF(A349="[FÓRMULA MANUAL]","",IFERROR(SUMPRODUCT((nNIA=A349)*(nCUENTA=1)*(COUNTIF(CONFIG_ASIGNATURAS!$B$7:$B$27,nASIG)&gt;0)*(nNOTA))/SUMPRODUCT((nNIA=A349)*(nCUENTA=1)*(COUNTIF(CONFIG_ASIGNATURAS!$B$7:$B$27,nASIG)&gt;0)*1),"")))</f>
        <v/>
      </c>
      <c r="H349" t="str">
        <f>IF(G349="","",IF(G349="[FÓRMULA MANUAL]","",IFERROR(AVERAGEIFS(nNOTA,nNIA,G349,nCUENTA,1,nASIG,"Lenguaje Musical"),"")))</f>
        <v/>
      </c>
      <c r="I349" t="str">
        <f>IF(G349="","",IF(G349="[FÓRMULA MANUAL]","",IFERROR(AVERAGEIFS(nNOTA,nNIA,G349,nCUENTA,1,nASIG,"Orquesta/Banda/Conjunto"),"")))</f>
        <v/>
      </c>
      <c r="J349" t="str">
        <f>IF(G349="","",IF(G349="[FÓRMULA MANUAL]","",IFERROR(AVERAGEIFS(nNOTA,nNIA,G349,nCUENTA,1,nASIG,"Conjunto"),"")))</f>
        <v/>
      </c>
      <c r="K349" t="str">
        <f>IF(G349="","",IF(G349="[FÓRMULA MANUAL]","",IFERROR(SUMPRODUCT((nNIA=G349)*(nCUENTA=1)*(COUNTIF(CONFIG_ASIGNATURAS!$B$7:$B$27,nASIG)&gt;0)*(nNOTA))/SUMPRODUCT((nNIA=G349)*(nCUENTA=1)*(COUNTIF(CONFIG_ASIGNATURAS!$B$7:$B$27,nASIG)&gt;0)*1),"")))</f>
        <v/>
      </c>
      <c r="N349" t="str">
        <f>IF(M349="","",IF(M349="[FÓRMULA MANUAL]","",IFERROR(AVERAGEIFS(nNOTA,nNIA,M349,nCUENTA,1,nASIG,"Armonía"),"")))</f>
        <v/>
      </c>
      <c r="O349" t="str">
        <f>IF(M349="","",IF(M349="[FÓRMULA MANUAL]","",IFERROR(AVERAGEIFS(nNOTA,nNIA,M349,nCUENTA,1,nASIG,"Orquesta/Banda/Conjunto"),"")))</f>
        <v/>
      </c>
      <c r="P349" t="str">
        <f>IF(M349="","",IF(M349="[FÓRMULA MANUAL]","",IFERROR(AVERAGEIFS(nNOTA,nNIA,M349,nCUENTA,1,nASIG,"Música de Cámara"),"")))</f>
        <v/>
      </c>
      <c r="Q349" t="str">
        <f>IF(M349="","",IF(M349="[FÓRMULA MANUAL]","",IFERROR(SUMPRODUCT((nNIA=M349)*(nCUENTA=1)*(COUNTIF(CONFIG_ASIGNATURAS!$B$7:$B$27,nASIG)&gt;0)*(nNOTA))/SUMPRODUCT((nNIA=M349)*(nCUENTA=1)*(COUNTIF(CONFIG_ASIGNATURAS!$B$7:$B$27,nASIG)&gt;0)*1),"")))</f>
        <v/>
      </c>
      <c r="T349" t="str">
        <f>IF(S349="","",IF(S349="[FÓRMULA MANUAL]","",IFERROR(AVERAGEIFS(nNOTA,nNIA,S349,nCUENTA,1,nASIG,"Armonía"),"")))</f>
        <v/>
      </c>
      <c r="U349" t="str">
        <f>IF(S349="","",IF(S349="[FÓRMULA MANUAL]","",IFERROR(AVERAGEIFS(nNOTA,nNIA,S349,nCUENTA,1,nASIG,"Orquesta/Banda/Conjunto"),"")))</f>
        <v/>
      </c>
      <c r="V349" t="str">
        <f>IF(S349="","",IF(S349="[FÓRMULA MANUAL]","",IFERROR(AVERAGEIFS(nNOTA,nNIA,S349,nCUENTA,1,nASIG,"Música de Cámara"),"")))</f>
        <v/>
      </c>
      <c r="W349" t="str">
        <f>IF(S349="","",IF(S349="[FÓRMULA MANUAL]","",IFERROR(SUMPRODUCT((nNIA=S349)*(nCUENTA=1)*(COUNTIF(CONFIG_ASIGNATURAS!$B$7:$B$27,nASIG)&gt;0)*(nNOTA))/SUMPRODUCT((nNIA=S349)*(nCUENTA=1)*(COUNTIF(CONFIG_ASIGNATURAS!$B$7:$B$27,nASIG)&gt;0)*1),"")))</f>
        <v/>
      </c>
      <c r="Z349" t="str">
        <f>IF(Y349="","",IF(Y349="[FÓRMULA MANUAL]","",IFERROR(AVERAGEIFS(nNOTA,nNIA,Y349,nCUENTA,1,nASIG,"Análisis"),"")))</f>
        <v/>
      </c>
      <c r="AA349" t="str">
        <f>IF(Y349="","",IF(Y349="[FÓRMULA MANUAL]","",IFERROR(AVERAGEIFS(nNOTA,nNIA,Y349,nCUENTA,1,nASIG,"Orquesta/Banda/Conjunto"),"")))</f>
        <v/>
      </c>
      <c r="AB349" t="str">
        <f>IF(Y349="","",IF(Y349="[FÓRMULA MANUAL]","",IFERROR(AVERAGEIFS(nNOTA,nNIA,Y349,nCUENTA,1,nASIG,"Música de Cámara"),"")))</f>
        <v/>
      </c>
      <c r="AC349" t="str">
        <f>IF(Y349="","",IF(Y349="[FÓRMULA MANUAL]","",IFERROR(SUMPRODUCT((nNIA=Y349)*(nCUENTA=1)*(COUNTIF(CONFIG_ASIGNATURAS!$B$7:$B$27,nASIG)&gt;0)*(nNOTA))/SUMPRODUCT((nNIA=Y349)*(nCUENTA=1)*(COUNTIF(CONFIG_ASIGNATURAS!$B$7:$B$27,nASIG)&gt;0)*1),"")))</f>
        <v/>
      </c>
      <c r="AF349" t="str">
        <f>IF(AE349="","",IF(AE349="[FÓRMULA MANUAL]","",IFERROR(AVERAGEIFS(nNOTA,nNIA,AE349,nCUENTA,1,nASIG,"Análisis"),"")))</f>
        <v/>
      </c>
      <c r="AG349" t="str">
        <f>IF(AE349="","",IF(AE349="[FÓRMULA MANUAL]","",IFERROR(AVERAGEIFS(nNOTA,nNIA,AE349,nCUENTA,1,nASIG,"Orquesta/Banda/Conjunto"),"")))</f>
        <v/>
      </c>
      <c r="AH349" t="str">
        <f>IF(AE349="","",IF(AE349="[FÓRMULA MANUAL]","",IFERROR(AVERAGEIFS(nNOTA,nNIA,AE349,nCUENTA,1,nASIG,"Música de Cámara"),"")))</f>
        <v/>
      </c>
      <c r="AI349" t="str">
        <f>IF(AE349="","",IF(AE349="[FÓRMULA MANUAL]","",IFERROR(SUMPRODUCT((nNIA=AE349)*(nCUENTA=1)*(COUNTIF(CONFIG_ASIGNATURAS!$B$7:$B$27,nASIG)&gt;0)*(nNOTA))/SUMPRODUCT((nNIA=AE349)*(nCUENTA=1)*(COUNTIF(CONFIG_ASIGNATURAS!$B$7:$B$27,nASIG)&gt;0)*1),"")))</f>
        <v/>
      </c>
    </row>
    <row r="350" spans="2:35" x14ac:dyDescent="0.2">
      <c r="B350" t="str">
        <f>IF(A350="","",IF(A350="[FÓRMULA MANUAL]","",IFERROR(AVERAGEIFS(nNOTA,nNIA,A350,nCUENTA,1,nASIG,"Lenguaje Musical"),"")))</f>
        <v/>
      </c>
      <c r="C350" t="str">
        <f>IF(A350="","",IF(A350="[FÓRMULA MANUAL]","",IFERROR(AVERAGEIFS(nNOTA,nNIA,A350,nCUENTA,1,nASIG,"Orquesta/Banda/Conjunto"),"")))</f>
        <v/>
      </c>
      <c r="D350" t="str">
        <f>IF(A350="","",IF(A350="[FÓRMULA MANUAL]","",IFERROR(AVERAGEIFS(nNOTA,nNIA,A350,nCUENTA,1,nASIG,"Conjunto"),"")))</f>
        <v/>
      </c>
      <c r="E350" t="str">
        <f>IF(A350="","",IF(A350="[FÓRMULA MANUAL]","",IFERROR(SUMPRODUCT((nNIA=A350)*(nCUENTA=1)*(COUNTIF(CONFIG_ASIGNATURAS!$B$7:$B$27,nASIG)&gt;0)*(nNOTA))/SUMPRODUCT((nNIA=A350)*(nCUENTA=1)*(COUNTIF(CONFIG_ASIGNATURAS!$B$7:$B$27,nASIG)&gt;0)*1),"")))</f>
        <v/>
      </c>
      <c r="H350" t="str">
        <f>IF(G350="","",IF(G350="[FÓRMULA MANUAL]","",IFERROR(AVERAGEIFS(nNOTA,nNIA,G350,nCUENTA,1,nASIG,"Lenguaje Musical"),"")))</f>
        <v/>
      </c>
      <c r="I350" t="str">
        <f>IF(G350="","",IF(G350="[FÓRMULA MANUAL]","",IFERROR(AVERAGEIFS(nNOTA,nNIA,G350,nCUENTA,1,nASIG,"Orquesta/Banda/Conjunto"),"")))</f>
        <v/>
      </c>
      <c r="J350" t="str">
        <f>IF(G350="","",IF(G350="[FÓRMULA MANUAL]","",IFERROR(AVERAGEIFS(nNOTA,nNIA,G350,nCUENTA,1,nASIG,"Conjunto"),"")))</f>
        <v/>
      </c>
      <c r="K350" t="str">
        <f>IF(G350="","",IF(G350="[FÓRMULA MANUAL]","",IFERROR(SUMPRODUCT((nNIA=G350)*(nCUENTA=1)*(COUNTIF(CONFIG_ASIGNATURAS!$B$7:$B$27,nASIG)&gt;0)*(nNOTA))/SUMPRODUCT((nNIA=G350)*(nCUENTA=1)*(COUNTIF(CONFIG_ASIGNATURAS!$B$7:$B$27,nASIG)&gt;0)*1),"")))</f>
        <v/>
      </c>
      <c r="N350" t="str">
        <f>IF(M350="","",IF(M350="[FÓRMULA MANUAL]","",IFERROR(AVERAGEIFS(nNOTA,nNIA,M350,nCUENTA,1,nASIG,"Armonía"),"")))</f>
        <v/>
      </c>
      <c r="O350" t="str">
        <f>IF(M350="","",IF(M350="[FÓRMULA MANUAL]","",IFERROR(AVERAGEIFS(nNOTA,nNIA,M350,nCUENTA,1,nASIG,"Orquesta/Banda/Conjunto"),"")))</f>
        <v/>
      </c>
      <c r="P350" t="str">
        <f>IF(M350="","",IF(M350="[FÓRMULA MANUAL]","",IFERROR(AVERAGEIFS(nNOTA,nNIA,M350,nCUENTA,1,nASIG,"Música de Cámara"),"")))</f>
        <v/>
      </c>
      <c r="Q350" t="str">
        <f>IF(M350="","",IF(M350="[FÓRMULA MANUAL]","",IFERROR(SUMPRODUCT((nNIA=M350)*(nCUENTA=1)*(COUNTIF(CONFIG_ASIGNATURAS!$B$7:$B$27,nASIG)&gt;0)*(nNOTA))/SUMPRODUCT((nNIA=M350)*(nCUENTA=1)*(COUNTIF(CONFIG_ASIGNATURAS!$B$7:$B$27,nASIG)&gt;0)*1),"")))</f>
        <v/>
      </c>
      <c r="T350" t="str">
        <f>IF(S350="","",IF(S350="[FÓRMULA MANUAL]","",IFERROR(AVERAGEIFS(nNOTA,nNIA,S350,nCUENTA,1,nASIG,"Armonía"),"")))</f>
        <v/>
      </c>
      <c r="U350" t="str">
        <f>IF(S350="","",IF(S350="[FÓRMULA MANUAL]","",IFERROR(AVERAGEIFS(nNOTA,nNIA,S350,nCUENTA,1,nASIG,"Orquesta/Banda/Conjunto"),"")))</f>
        <v/>
      </c>
      <c r="V350" t="str">
        <f>IF(S350="","",IF(S350="[FÓRMULA MANUAL]","",IFERROR(AVERAGEIFS(nNOTA,nNIA,S350,nCUENTA,1,nASIG,"Música de Cámara"),"")))</f>
        <v/>
      </c>
      <c r="W350" t="str">
        <f>IF(S350="","",IF(S350="[FÓRMULA MANUAL]","",IFERROR(SUMPRODUCT((nNIA=S350)*(nCUENTA=1)*(COUNTIF(CONFIG_ASIGNATURAS!$B$7:$B$27,nASIG)&gt;0)*(nNOTA))/SUMPRODUCT((nNIA=S350)*(nCUENTA=1)*(COUNTIF(CONFIG_ASIGNATURAS!$B$7:$B$27,nASIG)&gt;0)*1),"")))</f>
        <v/>
      </c>
      <c r="Z350" t="str">
        <f>IF(Y350="","",IF(Y350="[FÓRMULA MANUAL]","",IFERROR(AVERAGEIFS(nNOTA,nNIA,Y350,nCUENTA,1,nASIG,"Análisis"),"")))</f>
        <v/>
      </c>
      <c r="AA350" t="str">
        <f>IF(Y350="","",IF(Y350="[FÓRMULA MANUAL]","",IFERROR(AVERAGEIFS(nNOTA,nNIA,Y350,nCUENTA,1,nASIG,"Orquesta/Banda/Conjunto"),"")))</f>
        <v/>
      </c>
      <c r="AB350" t="str">
        <f>IF(Y350="","",IF(Y350="[FÓRMULA MANUAL]","",IFERROR(AVERAGEIFS(nNOTA,nNIA,Y350,nCUENTA,1,nASIG,"Música de Cámara"),"")))</f>
        <v/>
      </c>
      <c r="AC350" t="str">
        <f>IF(Y350="","",IF(Y350="[FÓRMULA MANUAL]","",IFERROR(SUMPRODUCT((nNIA=Y350)*(nCUENTA=1)*(COUNTIF(CONFIG_ASIGNATURAS!$B$7:$B$27,nASIG)&gt;0)*(nNOTA))/SUMPRODUCT((nNIA=Y350)*(nCUENTA=1)*(COUNTIF(CONFIG_ASIGNATURAS!$B$7:$B$27,nASIG)&gt;0)*1),"")))</f>
        <v/>
      </c>
      <c r="AF350" t="str">
        <f>IF(AE350="","",IF(AE350="[FÓRMULA MANUAL]","",IFERROR(AVERAGEIFS(nNOTA,nNIA,AE350,nCUENTA,1,nASIG,"Análisis"),"")))</f>
        <v/>
      </c>
      <c r="AG350" t="str">
        <f>IF(AE350="","",IF(AE350="[FÓRMULA MANUAL]","",IFERROR(AVERAGEIFS(nNOTA,nNIA,AE350,nCUENTA,1,nASIG,"Orquesta/Banda/Conjunto"),"")))</f>
        <v/>
      </c>
      <c r="AH350" t="str">
        <f>IF(AE350="","",IF(AE350="[FÓRMULA MANUAL]","",IFERROR(AVERAGEIFS(nNOTA,nNIA,AE350,nCUENTA,1,nASIG,"Música de Cámara"),"")))</f>
        <v/>
      </c>
      <c r="AI350" t="str">
        <f>IF(AE350="","",IF(AE350="[FÓRMULA MANUAL]","",IFERROR(SUMPRODUCT((nNIA=AE350)*(nCUENTA=1)*(COUNTIF(CONFIG_ASIGNATURAS!$B$7:$B$27,nASIG)&gt;0)*(nNOTA))/SUMPRODUCT((nNIA=AE350)*(nCUENTA=1)*(COUNTIF(CONFIG_ASIGNATURAS!$B$7:$B$27,nASIG)&gt;0)*1),"")))</f>
        <v/>
      </c>
    </row>
    <row r="351" spans="2:35" x14ac:dyDescent="0.2">
      <c r="B351" t="str">
        <f>IF(A351="","",IF(A351="[FÓRMULA MANUAL]","",IFERROR(AVERAGEIFS(nNOTA,nNIA,A351,nCUENTA,1,nASIG,"Lenguaje Musical"),"")))</f>
        <v/>
      </c>
      <c r="C351" t="str">
        <f>IF(A351="","",IF(A351="[FÓRMULA MANUAL]","",IFERROR(AVERAGEIFS(nNOTA,nNIA,A351,nCUENTA,1,nASIG,"Orquesta/Banda/Conjunto"),"")))</f>
        <v/>
      </c>
      <c r="D351" t="str">
        <f>IF(A351="","",IF(A351="[FÓRMULA MANUAL]","",IFERROR(AVERAGEIFS(nNOTA,nNIA,A351,nCUENTA,1,nASIG,"Conjunto"),"")))</f>
        <v/>
      </c>
      <c r="E351" t="str">
        <f>IF(A351="","",IF(A351="[FÓRMULA MANUAL]","",IFERROR(SUMPRODUCT((nNIA=A351)*(nCUENTA=1)*(COUNTIF(CONFIG_ASIGNATURAS!$B$7:$B$27,nASIG)&gt;0)*(nNOTA))/SUMPRODUCT((nNIA=A351)*(nCUENTA=1)*(COUNTIF(CONFIG_ASIGNATURAS!$B$7:$B$27,nASIG)&gt;0)*1),"")))</f>
        <v/>
      </c>
      <c r="H351" t="str">
        <f>IF(G351="","",IF(G351="[FÓRMULA MANUAL]","",IFERROR(AVERAGEIFS(nNOTA,nNIA,G351,nCUENTA,1,nASIG,"Lenguaje Musical"),"")))</f>
        <v/>
      </c>
      <c r="I351" t="str">
        <f>IF(G351="","",IF(G351="[FÓRMULA MANUAL]","",IFERROR(AVERAGEIFS(nNOTA,nNIA,G351,nCUENTA,1,nASIG,"Orquesta/Banda/Conjunto"),"")))</f>
        <v/>
      </c>
      <c r="J351" t="str">
        <f>IF(G351="","",IF(G351="[FÓRMULA MANUAL]","",IFERROR(AVERAGEIFS(nNOTA,nNIA,G351,nCUENTA,1,nASIG,"Conjunto"),"")))</f>
        <v/>
      </c>
      <c r="K351" t="str">
        <f>IF(G351="","",IF(G351="[FÓRMULA MANUAL]","",IFERROR(SUMPRODUCT((nNIA=G351)*(nCUENTA=1)*(COUNTIF(CONFIG_ASIGNATURAS!$B$7:$B$27,nASIG)&gt;0)*(nNOTA))/SUMPRODUCT((nNIA=G351)*(nCUENTA=1)*(COUNTIF(CONFIG_ASIGNATURAS!$B$7:$B$27,nASIG)&gt;0)*1),"")))</f>
        <v/>
      </c>
      <c r="N351" t="str">
        <f>IF(M351="","",IF(M351="[FÓRMULA MANUAL]","",IFERROR(AVERAGEIFS(nNOTA,nNIA,M351,nCUENTA,1,nASIG,"Armonía"),"")))</f>
        <v/>
      </c>
      <c r="O351" t="str">
        <f>IF(M351="","",IF(M351="[FÓRMULA MANUAL]","",IFERROR(AVERAGEIFS(nNOTA,nNIA,M351,nCUENTA,1,nASIG,"Orquesta/Banda/Conjunto"),"")))</f>
        <v/>
      </c>
      <c r="P351" t="str">
        <f>IF(M351="","",IF(M351="[FÓRMULA MANUAL]","",IFERROR(AVERAGEIFS(nNOTA,nNIA,M351,nCUENTA,1,nASIG,"Música de Cámara"),"")))</f>
        <v/>
      </c>
      <c r="Q351" t="str">
        <f>IF(M351="","",IF(M351="[FÓRMULA MANUAL]","",IFERROR(SUMPRODUCT((nNIA=M351)*(nCUENTA=1)*(COUNTIF(CONFIG_ASIGNATURAS!$B$7:$B$27,nASIG)&gt;0)*(nNOTA))/SUMPRODUCT((nNIA=M351)*(nCUENTA=1)*(COUNTIF(CONFIG_ASIGNATURAS!$B$7:$B$27,nASIG)&gt;0)*1),"")))</f>
        <v/>
      </c>
      <c r="T351" t="str">
        <f>IF(S351="","",IF(S351="[FÓRMULA MANUAL]","",IFERROR(AVERAGEIFS(nNOTA,nNIA,S351,nCUENTA,1,nASIG,"Armonía"),"")))</f>
        <v/>
      </c>
      <c r="U351" t="str">
        <f>IF(S351="","",IF(S351="[FÓRMULA MANUAL]","",IFERROR(AVERAGEIFS(nNOTA,nNIA,S351,nCUENTA,1,nASIG,"Orquesta/Banda/Conjunto"),"")))</f>
        <v/>
      </c>
      <c r="V351" t="str">
        <f>IF(S351="","",IF(S351="[FÓRMULA MANUAL]","",IFERROR(AVERAGEIFS(nNOTA,nNIA,S351,nCUENTA,1,nASIG,"Música de Cámara"),"")))</f>
        <v/>
      </c>
      <c r="W351" t="str">
        <f>IF(S351="","",IF(S351="[FÓRMULA MANUAL]","",IFERROR(SUMPRODUCT((nNIA=S351)*(nCUENTA=1)*(COUNTIF(CONFIG_ASIGNATURAS!$B$7:$B$27,nASIG)&gt;0)*(nNOTA))/SUMPRODUCT((nNIA=S351)*(nCUENTA=1)*(COUNTIF(CONFIG_ASIGNATURAS!$B$7:$B$27,nASIG)&gt;0)*1),"")))</f>
        <v/>
      </c>
      <c r="Z351" t="str">
        <f>IF(Y351="","",IF(Y351="[FÓRMULA MANUAL]","",IFERROR(AVERAGEIFS(nNOTA,nNIA,Y351,nCUENTA,1,nASIG,"Análisis"),"")))</f>
        <v/>
      </c>
      <c r="AA351" t="str">
        <f>IF(Y351="","",IF(Y351="[FÓRMULA MANUAL]","",IFERROR(AVERAGEIFS(nNOTA,nNIA,Y351,nCUENTA,1,nASIG,"Orquesta/Banda/Conjunto"),"")))</f>
        <v/>
      </c>
      <c r="AB351" t="str">
        <f>IF(Y351="","",IF(Y351="[FÓRMULA MANUAL]","",IFERROR(AVERAGEIFS(nNOTA,nNIA,Y351,nCUENTA,1,nASIG,"Música de Cámara"),"")))</f>
        <v/>
      </c>
      <c r="AC351" t="str">
        <f>IF(Y351="","",IF(Y351="[FÓRMULA MANUAL]","",IFERROR(SUMPRODUCT((nNIA=Y351)*(nCUENTA=1)*(COUNTIF(CONFIG_ASIGNATURAS!$B$7:$B$27,nASIG)&gt;0)*(nNOTA))/SUMPRODUCT((nNIA=Y351)*(nCUENTA=1)*(COUNTIF(CONFIG_ASIGNATURAS!$B$7:$B$27,nASIG)&gt;0)*1),"")))</f>
        <v/>
      </c>
      <c r="AF351" t="str">
        <f>IF(AE351="","",IF(AE351="[FÓRMULA MANUAL]","",IFERROR(AVERAGEIFS(nNOTA,nNIA,AE351,nCUENTA,1,nASIG,"Análisis"),"")))</f>
        <v/>
      </c>
      <c r="AG351" t="str">
        <f>IF(AE351="","",IF(AE351="[FÓRMULA MANUAL]","",IFERROR(AVERAGEIFS(nNOTA,nNIA,AE351,nCUENTA,1,nASIG,"Orquesta/Banda/Conjunto"),"")))</f>
        <v/>
      </c>
      <c r="AH351" t="str">
        <f>IF(AE351="","",IF(AE351="[FÓRMULA MANUAL]","",IFERROR(AVERAGEIFS(nNOTA,nNIA,AE351,nCUENTA,1,nASIG,"Música de Cámara"),"")))</f>
        <v/>
      </c>
      <c r="AI351" t="str">
        <f>IF(AE351="","",IF(AE351="[FÓRMULA MANUAL]","",IFERROR(SUMPRODUCT((nNIA=AE351)*(nCUENTA=1)*(COUNTIF(CONFIG_ASIGNATURAS!$B$7:$B$27,nASIG)&gt;0)*(nNOTA))/SUMPRODUCT((nNIA=AE351)*(nCUENTA=1)*(COUNTIF(CONFIG_ASIGNATURAS!$B$7:$B$27,nASIG)&gt;0)*1),"")))</f>
        <v/>
      </c>
    </row>
    <row r="352" spans="2:35" x14ac:dyDescent="0.2">
      <c r="B352" t="str">
        <f>IF(A352="","",IF(A352="[FÓRMULA MANUAL]","",IFERROR(AVERAGEIFS(nNOTA,nNIA,A352,nCUENTA,1,nASIG,"Lenguaje Musical"),"")))</f>
        <v/>
      </c>
      <c r="C352" t="str">
        <f>IF(A352="","",IF(A352="[FÓRMULA MANUAL]","",IFERROR(AVERAGEIFS(nNOTA,nNIA,A352,nCUENTA,1,nASIG,"Orquesta/Banda/Conjunto"),"")))</f>
        <v/>
      </c>
      <c r="D352" t="str">
        <f>IF(A352="","",IF(A352="[FÓRMULA MANUAL]","",IFERROR(AVERAGEIFS(nNOTA,nNIA,A352,nCUENTA,1,nASIG,"Conjunto"),"")))</f>
        <v/>
      </c>
      <c r="E352" t="str">
        <f>IF(A352="","",IF(A352="[FÓRMULA MANUAL]","",IFERROR(SUMPRODUCT((nNIA=A352)*(nCUENTA=1)*(COUNTIF(CONFIG_ASIGNATURAS!$B$7:$B$27,nASIG)&gt;0)*(nNOTA))/SUMPRODUCT((nNIA=A352)*(nCUENTA=1)*(COUNTIF(CONFIG_ASIGNATURAS!$B$7:$B$27,nASIG)&gt;0)*1),"")))</f>
        <v/>
      </c>
      <c r="H352" t="str">
        <f>IF(G352="","",IF(G352="[FÓRMULA MANUAL]","",IFERROR(AVERAGEIFS(nNOTA,nNIA,G352,nCUENTA,1,nASIG,"Lenguaje Musical"),"")))</f>
        <v/>
      </c>
      <c r="I352" t="str">
        <f>IF(G352="","",IF(G352="[FÓRMULA MANUAL]","",IFERROR(AVERAGEIFS(nNOTA,nNIA,G352,nCUENTA,1,nASIG,"Orquesta/Banda/Conjunto"),"")))</f>
        <v/>
      </c>
      <c r="J352" t="str">
        <f>IF(G352="","",IF(G352="[FÓRMULA MANUAL]","",IFERROR(AVERAGEIFS(nNOTA,nNIA,G352,nCUENTA,1,nASIG,"Conjunto"),"")))</f>
        <v/>
      </c>
      <c r="K352" t="str">
        <f>IF(G352="","",IF(G352="[FÓRMULA MANUAL]","",IFERROR(SUMPRODUCT((nNIA=G352)*(nCUENTA=1)*(COUNTIF(CONFIG_ASIGNATURAS!$B$7:$B$27,nASIG)&gt;0)*(nNOTA))/SUMPRODUCT((nNIA=G352)*(nCUENTA=1)*(COUNTIF(CONFIG_ASIGNATURAS!$B$7:$B$27,nASIG)&gt;0)*1),"")))</f>
        <v/>
      </c>
      <c r="N352" t="str">
        <f>IF(M352="","",IF(M352="[FÓRMULA MANUAL]","",IFERROR(AVERAGEIFS(nNOTA,nNIA,M352,nCUENTA,1,nASIG,"Armonía"),"")))</f>
        <v/>
      </c>
      <c r="O352" t="str">
        <f>IF(M352="","",IF(M352="[FÓRMULA MANUAL]","",IFERROR(AVERAGEIFS(nNOTA,nNIA,M352,nCUENTA,1,nASIG,"Orquesta/Banda/Conjunto"),"")))</f>
        <v/>
      </c>
      <c r="P352" t="str">
        <f>IF(M352="","",IF(M352="[FÓRMULA MANUAL]","",IFERROR(AVERAGEIFS(nNOTA,nNIA,M352,nCUENTA,1,nASIG,"Música de Cámara"),"")))</f>
        <v/>
      </c>
      <c r="Q352" t="str">
        <f>IF(M352="","",IF(M352="[FÓRMULA MANUAL]","",IFERROR(SUMPRODUCT((nNIA=M352)*(nCUENTA=1)*(COUNTIF(CONFIG_ASIGNATURAS!$B$7:$B$27,nASIG)&gt;0)*(nNOTA))/SUMPRODUCT((nNIA=M352)*(nCUENTA=1)*(COUNTIF(CONFIG_ASIGNATURAS!$B$7:$B$27,nASIG)&gt;0)*1),"")))</f>
        <v/>
      </c>
      <c r="T352" t="str">
        <f>IF(S352="","",IF(S352="[FÓRMULA MANUAL]","",IFERROR(AVERAGEIFS(nNOTA,nNIA,S352,nCUENTA,1,nASIG,"Armonía"),"")))</f>
        <v/>
      </c>
      <c r="U352" t="str">
        <f>IF(S352="","",IF(S352="[FÓRMULA MANUAL]","",IFERROR(AVERAGEIFS(nNOTA,nNIA,S352,nCUENTA,1,nASIG,"Orquesta/Banda/Conjunto"),"")))</f>
        <v/>
      </c>
      <c r="V352" t="str">
        <f>IF(S352="","",IF(S352="[FÓRMULA MANUAL]","",IFERROR(AVERAGEIFS(nNOTA,nNIA,S352,nCUENTA,1,nASIG,"Música de Cámara"),"")))</f>
        <v/>
      </c>
      <c r="W352" t="str">
        <f>IF(S352="","",IF(S352="[FÓRMULA MANUAL]","",IFERROR(SUMPRODUCT((nNIA=S352)*(nCUENTA=1)*(COUNTIF(CONFIG_ASIGNATURAS!$B$7:$B$27,nASIG)&gt;0)*(nNOTA))/SUMPRODUCT((nNIA=S352)*(nCUENTA=1)*(COUNTIF(CONFIG_ASIGNATURAS!$B$7:$B$27,nASIG)&gt;0)*1),"")))</f>
        <v/>
      </c>
      <c r="Z352" t="str">
        <f>IF(Y352="","",IF(Y352="[FÓRMULA MANUAL]","",IFERROR(AVERAGEIFS(nNOTA,nNIA,Y352,nCUENTA,1,nASIG,"Análisis"),"")))</f>
        <v/>
      </c>
      <c r="AA352" t="str">
        <f>IF(Y352="","",IF(Y352="[FÓRMULA MANUAL]","",IFERROR(AVERAGEIFS(nNOTA,nNIA,Y352,nCUENTA,1,nASIG,"Orquesta/Banda/Conjunto"),"")))</f>
        <v/>
      </c>
      <c r="AB352" t="str">
        <f>IF(Y352="","",IF(Y352="[FÓRMULA MANUAL]","",IFERROR(AVERAGEIFS(nNOTA,nNIA,Y352,nCUENTA,1,nASIG,"Música de Cámara"),"")))</f>
        <v/>
      </c>
      <c r="AC352" t="str">
        <f>IF(Y352="","",IF(Y352="[FÓRMULA MANUAL]","",IFERROR(SUMPRODUCT((nNIA=Y352)*(nCUENTA=1)*(COUNTIF(CONFIG_ASIGNATURAS!$B$7:$B$27,nASIG)&gt;0)*(nNOTA))/SUMPRODUCT((nNIA=Y352)*(nCUENTA=1)*(COUNTIF(CONFIG_ASIGNATURAS!$B$7:$B$27,nASIG)&gt;0)*1),"")))</f>
        <v/>
      </c>
      <c r="AF352" t="str">
        <f>IF(AE352="","",IF(AE352="[FÓRMULA MANUAL]","",IFERROR(AVERAGEIFS(nNOTA,nNIA,AE352,nCUENTA,1,nASIG,"Análisis"),"")))</f>
        <v/>
      </c>
      <c r="AG352" t="str">
        <f>IF(AE352="","",IF(AE352="[FÓRMULA MANUAL]","",IFERROR(AVERAGEIFS(nNOTA,nNIA,AE352,nCUENTA,1,nASIG,"Orquesta/Banda/Conjunto"),"")))</f>
        <v/>
      </c>
      <c r="AH352" t="str">
        <f>IF(AE352="","",IF(AE352="[FÓRMULA MANUAL]","",IFERROR(AVERAGEIFS(nNOTA,nNIA,AE352,nCUENTA,1,nASIG,"Música de Cámara"),"")))</f>
        <v/>
      </c>
      <c r="AI352" t="str">
        <f>IF(AE352="","",IF(AE352="[FÓRMULA MANUAL]","",IFERROR(SUMPRODUCT((nNIA=AE352)*(nCUENTA=1)*(COUNTIF(CONFIG_ASIGNATURAS!$B$7:$B$27,nASIG)&gt;0)*(nNOTA))/SUMPRODUCT((nNIA=AE352)*(nCUENTA=1)*(COUNTIF(CONFIG_ASIGNATURAS!$B$7:$B$27,nASIG)&gt;0)*1),"")))</f>
        <v/>
      </c>
    </row>
    <row r="353" spans="2:35" x14ac:dyDescent="0.2">
      <c r="B353" t="str">
        <f>IF(A353="","",IF(A353="[FÓRMULA MANUAL]","",IFERROR(AVERAGEIFS(nNOTA,nNIA,A353,nCUENTA,1,nASIG,"Lenguaje Musical"),"")))</f>
        <v/>
      </c>
      <c r="C353" t="str">
        <f>IF(A353="","",IF(A353="[FÓRMULA MANUAL]","",IFERROR(AVERAGEIFS(nNOTA,nNIA,A353,nCUENTA,1,nASIG,"Orquesta/Banda/Conjunto"),"")))</f>
        <v/>
      </c>
      <c r="D353" t="str">
        <f>IF(A353="","",IF(A353="[FÓRMULA MANUAL]","",IFERROR(AVERAGEIFS(nNOTA,nNIA,A353,nCUENTA,1,nASIG,"Conjunto"),"")))</f>
        <v/>
      </c>
      <c r="E353" t="str">
        <f>IF(A353="","",IF(A353="[FÓRMULA MANUAL]","",IFERROR(SUMPRODUCT((nNIA=A353)*(nCUENTA=1)*(COUNTIF(CONFIG_ASIGNATURAS!$B$7:$B$27,nASIG)&gt;0)*(nNOTA))/SUMPRODUCT((nNIA=A353)*(nCUENTA=1)*(COUNTIF(CONFIG_ASIGNATURAS!$B$7:$B$27,nASIG)&gt;0)*1),"")))</f>
        <v/>
      </c>
      <c r="H353" t="str">
        <f>IF(G353="","",IF(G353="[FÓRMULA MANUAL]","",IFERROR(AVERAGEIFS(nNOTA,nNIA,G353,nCUENTA,1,nASIG,"Lenguaje Musical"),"")))</f>
        <v/>
      </c>
      <c r="I353" t="str">
        <f>IF(G353="","",IF(G353="[FÓRMULA MANUAL]","",IFERROR(AVERAGEIFS(nNOTA,nNIA,G353,nCUENTA,1,nASIG,"Orquesta/Banda/Conjunto"),"")))</f>
        <v/>
      </c>
      <c r="J353" t="str">
        <f>IF(G353="","",IF(G353="[FÓRMULA MANUAL]","",IFERROR(AVERAGEIFS(nNOTA,nNIA,G353,nCUENTA,1,nASIG,"Conjunto"),"")))</f>
        <v/>
      </c>
      <c r="K353" t="str">
        <f>IF(G353="","",IF(G353="[FÓRMULA MANUAL]","",IFERROR(SUMPRODUCT((nNIA=G353)*(nCUENTA=1)*(COUNTIF(CONFIG_ASIGNATURAS!$B$7:$B$27,nASIG)&gt;0)*(nNOTA))/SUMPRODUCT((nNIA=G353)*(nCUENTA=1)*(COUNTIF(CONFIG_ASIGNATURAS!$B$7:$B$27,nASIG)&gt;0)*1),"")))</f>
        <v/>
      </c>
      <c r="N353" t="str">
        <f>IF(M353="","",IF(M353="[FÓRMULA MANUAL]","",IFERROR(AVERAGEIFS(nNOTA,nNIA,M353,nCUENTA,1,nASIG,"Armonía"),"")))</f>
        <v/>
      </c>
      <c r="O353" t="str">
        <f>IF(M353="","",IF(M353="[FÓRMULA MANUAL]","",IFERROR(AVERAGEIFS(nNOTA,nNIA,M353,nCUENTA,1,nASIG,"Orquesta/Banda/Conjunto"),"")))</f>
        <v/>
      </c>
      <c r="P353" t="str">
        <f>IF(M353="","",IF(M353="[FÓRMULA MANUAL]","",IFERROR(AVERAGEIFS(nNOTA,nNIA,M353,nCUENTA,1,nASIG,"Música de Cámara"),"")))</f>
        <v/>
      </c>
      <c r="Q353" t="str">
        <f>IF(M353="","",IF(M353="[FÓRMULA MANUAL]","",IFERROR(SUMPRODUCT((nNIA=M353)*(nCUENTA=1)*(COUNTIF(CONFIG_ASIGNATURAS!$B$7:$B$27,nASIG)&gt;0)*(nNOTA))/SUMPRODUCT((nNIA=M353)*(nCUENTA=1)*(COUNTIF(CONFIG_ASIGNATURAS!$B$7:$B$27,nASIG)&gt;0)*1),"")))</f>
        <v/>
      </c>
      <c r="T353" t="str">
        <f>IF(S353="","",IF(S353="[FÓRMULA MANUAL]","",IFERROR(AVERAGEIFS(nNOTA,nNIA,S353,nCUENTA,1,nASIG,"Armonía"),"")))</f>
        <v/>
      </c>
      <c r="U353" t="str">
        <f>IF(S353="","",IF(S353="[FÓRMULA MANUAL]","",IFERROR(AVERAGEIFS(nNOTA,nNIA,S353,nCUENTA,1,nASIG,"Orquesta/Banda/Conjunto"),"")))</f>
        <v/>
      </c>
      <c r="V353" t="str">
        <f>IF(S353="","",IF(S353="[FÓRMULA MANUAL]","",IFERROR(AVERAGEIFS(nNOTA,nNIA,S353,nCUENTA,1,nASIG,"Música de Cámara"),"")))</f>
        <v/>
      </c>
      <c r="W353" t="str">
        <f>IF(S353="","",IF(S353="[FÓRMULA MANUAL]","",IFERROR(SUMPRODUCT((nNIA=S353)*(nCUENTA=1)*(COUNTIF(CONFIG_ASIGNATURAS!$B$7:$B$27,nASIG)&gt;0)*(nNOTA))/SUMPRODUCT((nNIA=S353)*(nCUENTA=1)*(COUNTIF(CONFIG_ASIGNATURAS!$B$7:$B$27,nASIG)&gt;0)*1),"")))</f>
        <v/>
      </c>
      <c r="Z353" t="str">
        <f>IF(Y353="","",IF(Y353="[FÓRMULA MANUAL]","",IFERROR(AVERAGEIFS(nNOTA,nNIA,Y353,nCUENTA,1,nASIG,"Análisis"),"")))</f>
        <v/>
      </c>
      <c r="AA353" t="str">
        <f>IF(Y353="","",IF(Y353="[FÓRMULA MANUAL]","",IFERROR(AVERAGEIFS(nNOTA,nNIA,Y353,nCUENTA,1,nASIG,"Orquesta/Banda/Conjunto"),"")))</f>
        <v/>
      </c>
      <c r="AB353" t="str">
        <f>IF(Y353="","",IF(Y353="[FÓRMULA MANUAL]","",IFERROR(AVERAGEIFS(nNOTA,nNIA,Y353,nCUENTA,1,nASIG,"Música de Cámara"),"")))</f>
        <v/>
      </c>
      <c r="AC353" t="str">
        <f>IF(Y353="","",IF(Y353="[FÓRMULA MANUAL]","",IFERROR(SUMPRODUCT((nNIA=Y353)*(nCUENTA=1)*(COUNTIF(CONFIG_ASIGNATURAS!$B$7:$B$27,nASIG)&gt;0)*(nNOTA))/SUMPRODUCT((nNIA=Y353)*(nCUENTA=1)*(COUNTIF(CONFIG_ASIGNATURAS!$B$7:$B$27,nASIG)&gt;0)*1),"")))</f>
        <v/>
      </c>
      <c r="AF353" t="str">
        <f>IF(AE353="","",IF(AE353="[FÓRMULA MANUAL]","",IFERROR(AVERAGEIFS(nNOTA,nNIA,AE353,nCUENTA,1,nASIG,"Análisis"),"")))</f>
        <v/>
      </c>
      <c r="AG353" t="str">
        <f>IF(AE353="","",IF(AE353="[FÓRMULA MANUAL]","",IFERROR(AVERAGEIFS(nNOTA,nNIA,AE353,nCUENTA,1,nASIG,"Orquesta/Banda/Conjunto"),"")))</f>
        <v/>
      </c>
      <c r="AH353" t="str">
        <f>IF(AE353="","",IF(AE353="[FÓRMULA MANUAL]","",IFERROR(AVERAGEIFS(nNOTA,nNIA,AE353,nCUENTA,1,nASIG,"Música de Cámara"),"")))</f>
        <v/>
      </c>
      <c r="AI353" t="str">
        <f>IF(AE353="","",IF(AE353="[FÓRMULA MANUAL]","",IFERROR(SUMPRODUCT((nNIA=AE353)*(nCUENTA=1)*(COUNTIF(CONFIG_ASIGNATURAS!$B$7:$B$27,nASIG)&gt;0)*(nNOTA))/SUMPRODUCT((nNIA=AE353)*(nCUENTA=1)*(COUNTIF(CONFIG_ASIGNATURAS!$B$7:$B$27,nASIG)&gt;0)*1),"")))</f>
        <v/>
      </c>
    </row>
    <row r="354" spans="2:35" x14ac:dyDescent="0.2">
      <c r="B354" t="str">
        <f>IF(A354="","",IF(A354="[FÓRMULA MANUAL]","",IFERROR(AVERAGEIFS(nNOTA,nNIA,A354,nCUENTA,1,nASIG,"Lenguaje Musical"),"")))</f>
        <v/>
      </c>
      <c r="C354" t="str">
        <f>IF(A354="","",IF(A354="[FÓRMULA MANUAL]","",IFERROR(AVERAGEIFS(nNOTA,nNIA,A354,nCUENTA,1,nASIG,"Orquesta/Banda/Conjunto"),"")))</f>
        <v/>
      </c>
      <c r="D354" t="str">
        <f>IF(A354="","",IF(A354="[FÓRMULA MANUAL]","",IFERROR(AVERAGEIFS(nNOTA,nNIA,A354,nCUENTA,1,nASIG,"Conjunto"),"")))</f>
        <v/>
      </c>
      <c r="E354" t="str">
        <f>IF(A354="","",IF(A354="[FÓRMULA MANUAL]","",IFERROR(SUMPRODUCT((nNIA=A354)*(nCUENTA=1)*(COUNTIF(CONFIG_ASIGNATURAS!$B$7:$B$27,nASIG)&gt;0)*(nNOTA))/SUMPRODUCT((nNIA=A354)*(nCUENTA=1)*(COUNTIF(CONFIG_ASIGNATURAS!$B$7:$B$27,nASIG)&gt;0)*1),"")))</f>
        <v/>
      </c>
      <c r="H354" t="str">
        <f>IF(G354="","",IF(G354="[FÓRMULA MANUAL]","",IFERROR(AVERAGEIFS(nNOTA,nNIA,G354,nCUENTA,1,nASIG,"Lenguaje Musical"),"")))</f>
        <v/>
      </c>
      <c r="I354" t="str">
        <f>IF(G354="","",IF(G354="[FÓRMULA MANUAL]","",IFERROR(AVERAGEIFS(nNOTA,nNIA,G354,nCUENTA,1,nASIG,"Orquesta/Banda/Conjunto"),"")))</f>
        <v/>
      </c>
      <c r="J354" t="str">
        <f>IF(G354="","",IF(G354="[FÓRMULA MANUAL]","",IFERROR(AVERAGEIFS(nNOTA,nNIA,G354,nCUENTA,1,nASIG,"Conjunto"),"")))</f>
        <v/>
      </c>
      <c r="K354" t="str">
        <f>IF(G354="","",IF(G354="[FÓRMULA MANUAL]","",IFERROR(SUMPRODUCT((nNIA=G354)*(nCUENTA=1)*(COUNTIF(CONFIG_ASIGNATURAS!$B$7:$B$27,nASIG)&gt;0)*(nNOTA))/SUMPRODUCT((nNIA=G354)*(nCUENTA=1)*(COUNTIF(CONFIG_ASIGNATURAS!$B$7:$B$27,nASIG)&gt;0)*1),"")))</f>
        <v/>
      </c>
      <c r="N354" t="str">
        <f>IF(M354="","",IF(M354="[FÓRMULA MANUAL]","",IFERROR(AVERAGEIFS(nNOTA,nNIA,M354,nCUENTA,1,nASIG,"Armonía"),"")))</f>
        <v/>
      </c>
      <c r="O354" t="str">
        <f>IF(M354="","",IF(M354="[FÓRMULA MANUAL]","",IFERROR(AVERAGEIFS(nNOTA,nNIA,M354,nCUENTA,1,nASIG,"Orquesta/Banda/Conjunto"),"")))</f>
        <v/>
      </c>
      <c r="P354" t="str">
        <f>IF(M354="","",IF(M354="[FÓRMULA MANUAL]","",IFERROR(AVERAGEIFS(nNOTA,nNIA,M354,nCUENTA,1,nASIG,"Música de Cámara"),"")))</f>
        <v/>
      </c>
      <c r="Q354" t="str">
        <f>IF(M354="","",IF(M354="[FÓRMULA MANUAL]","",IFERROR(SUMPRODUCT((nNIA=M354)*(nCUENTA=1)*(COUNTIF(CONFIG_ASIGNATURAS!$B$7:$B$27,nASIG)&gt;0)*(nNOTA))/SUMPRODUCT((nNIA=M354)*(nCUENTA=1)*(COUNTIF(CONFIG_ASIGNATURAS!$B$7:$B$27,nASIG)&gt;0)*1),"")))</f>
        <v/>
      </c>
      <c r="T354" t="str">
        <f>IF(S354="","",IF(S354="[FÓRMULA MANUAL]","",IFERROR(AVERAGEIFS(nNOTA,nNIA,S354,nCUENTA,1,nASIG,"Armonía"),"")))</f>
        <v/>
      </c>
      <c r="U354" t="str">
        <f>IF(S354="","",IF(S354="[FÓRMULA MANUAL]","",IFERROR(AVERAGEIFS(nNOTA,nNIA,S354,nCUENTA,1,nASIG,"Orquesta/Banda/Conjunto"),"")))</f>
        <v/>
      </c>
      <c r="V354" t="str">
        <f>IF(S354="","",IF(S354="[FÓRMULA MANUAL]","",IFERROR(AVERAGEIFS(nNOTA,nNIA,S354,nCUENTA,1,nASIG,"Música de Cámara"),"")))</f>
        <v/>
      </c>
      <c r="W354" t="str">
        <f>IF(S354="","",IF(S354="[FÓRMULA MANUAL]","",IFERROR(SUMPRODUCT((nNIA=S354)*(nCUENTA=1)*(COUNTIF(CONFIG_ASIGNATURAS!$B$7:$B$27,nASIG)&gt;0)*(nNOTA))/SUMPRODUCT((nNIA=S354)*(nCUENTA=1)*(COUNTIF(CONFIG_ASIGNATURAS!$B$7:$B$27,nASIG)&gt;0)*1),"")))</f>
        <v/>
      </c>
      <c r="Z354" t="str">
        <f>IF(Y354="","",IF(Y354="[FÓRMULA MANUAL]","",IFERROR(AVERAGEIFS(nNOTA,nNIA,Y354,nCUENTA,1,nASIG,"Análisis"),"")))</f>
        <v/>
      </c>
      <c r="AA354" t="str">
        <f>IF(Y354="","",IF(Y354="[FÓRMULA MANUAL]","",IFERROR(AVERAGEIFS(nNOTA,nNIA,Y354,nCUENTA,1,nASIG,"Orquesta/Banda/Conjunto"),"")))</f>
        <v/>
      </c>
      <c r="AB354" t="str">
        <f>IF(Y354="","",IF(Y354="[FÓRMULA MANUAL]","",IFERROR(AVERAGEIFS(nNOTA,nNIA,Y354,nCUENTA,1,nASIG,"Música de Cámara"),"")))</f>
        <v/>
      </c>
      <c r="AC354" t="str">
        <f>IF(Y354="","",IF(Y354="[FÓRMULA MANUAL]","",IFERROR(SUMPRODUCT((nNIA=Y354)*(nCUENTA=1)*(COUNTIF(CONFIG_ASIGNATURAS!$B$7:$B$27,nASIG)&gt;0)*(nNOTA))/SUMPRODUCT((nNIA=Y354)*(nCUENTA=1)*(COUNTIF(CONFIG_ASIGNATURAS!$B$7:$B$27,nASIG)&gt;0)*1),"")))</f>
        <v/>
      </c>
      <c r="AF354" t="str">
        <f>IF(AE354="","",IF(AE354="[FÓRMULA MANUAL]","",IFERROR(AVERAGEIFS(nNOTA,nNIA,AE354,nCUENTA,1,nASIG,"Análisis"),"")))</f>
        <v/>
      </c>
      <c r="AG354" t="str">
        <f>IF(AE354="","",IF(AE354="[FÓRMULA MANUAL]","",IFERROR(AVERAGEIFS(nNOTA,nNIA,AE354,nCUENTA,1,nASIG,"Orquesta/Banda/Conjunto"),"")))</f>
        <v/>
      </c>
      <c r="AH354" t="str">
        <f>IF(AE354="","",IF(AE354="[FÓRMULA MANUAL]","",IFERROR(AVERAGEIFS(nNOTA,nNIA,AE354,nCUENTA,1,nASIG,"Música de Cámara"),"")))</f>
        <v/>
      </c>
      <c r="AI354" t="str">
        <f>IF(AE354="","",IF(AE354="[FÓRMULA MANUAL]","",IFERROR(SUMPRODUCT((nNIA=AE354)*(nCUENTA=1)*(COUNTIF(CONFIG_ASIGNATURAS!$B$7:$B$27,nASIG)&gt;0)*(nNOTA))/SUMPRODUCT((nNIA=AE354)*(nCUENTA=1)*(COUNTIF(CONFIG_ASIGNATURAS!$B$7:$B$27,nASIG)&gt;0)*1),"")))</f>
        <v/>
      </c>
    </row>
    <row r="355" spans="2:35" x14ac:dyDescent="0.2">
      <c r="B355" t="str">
        <f>IF(A355="","",IF(A355="[FÓRMULA MANUAL]","",IFERROR(AVERAGEIFS(nNOTA,nNIA,A355,nCUENTA,1,nASIG,"Lenguaje Musical"),"")))</f>
        <v/>
      </c>
      <c r="C355" t="str">
        <f>IF(A355="","",IF(A355="[FÓRMULA MANUAL]","",IFERROR(AVERAGEIFS(nNOTA,nNIA,A355,nCUENTA,1,nASIG,"Orquesta/Banda/Conjunto"),"")))</f>
        <v/>
      </c>
      <c r="D355" t="str">
        <f>IF(A355="","",IF(A355="[FÓRMULA MANUAL]","",IFERROR(AVERAGEIFS(nNOTA,nNIA,A355,nCUENTA,1,nASIG,"Conjunto"),"")))</f>
        <v/>
      </c>
      <c r="E355" t="str">
        <f>IF(A355="","",IF(A355="[FÓRMULA MANUAL]","",IFERROR(SUMPRODUCT((nNIA=A355)*(nCUENTA=1)*(COUNTIF(CONFIG_ASIGNATURAS!$B$7:$B$27,nASIG)&gt;0)*(nNOTA))/SUMPRODUCT((nNIA=A355)*(nCUENTA=1)*(COUNTIF(CONFIG_ASIGNATURAS!$B$7:$B$27,nASIG)&gt;0)*1),"")))</f>
        <v/>
      </c>
      <c r="H355" t="str">
        <f>IF(G355="","",IF(G355="[FÓRMULA MANUAL]","",IFERROR(AVERAGEIFS(nNOTA,nNIA,G355,nCUENTA,1,nASIG,"Lenguaje Musical"),"")))</f>
        <v/>
      </c>
      <c r="I355" t="str">
        <f>IF(G355="","",IF(G355="[FÓRMULA MANUAL]","",IFERROR(AVERAGEIFS(nNOTA,nNIA,G355,nCUENTA,1,nASIG,"Orquesta/Banda/Conjunto"),"")))</f>
        <v/>
      </c>
      <c r="J355" t="str">
        <f>IF(G355="","",IF(G355="[FÓRMULA MANUAL]","",IFERROR(AVERAGEIFS(nNOTA,nNIA,G355,nCUENTA,1,nASIG,"Conjunto"),"")))</f>
        <v/>
      </c>
      <c r="K355" t="str">
        <f>IF(G355="","",IF(G355="[FÓRMULA MANUAL]","",IFERROR(SUMPRODUCT((nNIA=G355)*(nCUENTA=1)*(COUNTIF(CONFIG_ASIGNATURAS!$B$7:$B$27,nASIG)&gt;0)*(nNOTA))/SUMPRODUCT((nNIA=G355)*(nCUENTA=1)*(COUNTIF(CONFIG_ASIGNATURAS!$B$7:$B$27,nASIG)&gt;0)*1),"")))</f>
        <v/>
      </c>
      <c r="N355" t="str">
        <f>IF(M355="","",IF(M355="[FÓRMULA MANUAL]","",IFERROR(AVERAGEIFS(nNOTA,nNIA,M355,nCUENTA,1,nASIG,"Armonía"),"")))</f>
        <v/>
      </c>
      <c r="O355" t="str">
        <f>IF(M355="","",IF(M355="[FÓRMULA MANUAL]","",IFERROR(AVERAGEIFS(nNOTA,nNIA,M355,nCUENTA,1,nASIG,"Orquesta/Banda/Conjunto"),"")))</f>
        <v/>
      </c>
      <c r="P355" t="str">
        <f>IF(M355="","",IF(M355="[FÓRMULA MANUAL]","",IFERROR(AVERAGEIFS(nNOTA,nNIA,M355,nCUENTA,1,nASIG,"Música de Cámara"),"")))</f>
        <v/>
      </c>
      <c r="Q355" t="str">
        <f>IF(M355="","",IF(M355="[FÓRMULA MANUAL]","",IFERROR(SUMPRODUCT((nNIA=M355)*(nCUENTA=1)*(COUNTIF(CONFIG_ASIGNATURAS!$B$7:$B$27,nASIG)&gt;0)*(nNOTA))/SUMPRODUCT((nNIA=M355)*(nCUENTA=1)*(COUNTIF(CONFIG_ASIGNATURAS!$B$7:$B$27,nASIG)&gt;0)*1),"")))</f>
        <v/>
      </c>
      <c r="T355" t="str">
        <f>IF(S355="","",IF(S355="[FÓRMULA MANUAL]","",IFERROR(AVERAGEIFS(nNOTA,nNIA,S355,nCUENTA,1,nASIG,"Armonía"),"")))</f>
        <v/>
      </c>
      <c r="U355" t="str">
        <f>IF(S355="","",IF(S355="[FÓRMULA MANUAL]","",IFERROR(AVERAGEIFS(nNOTA,nNIA,S355,nCUENTA,1,nASIG,"Orquesta/Banda/Conjunto"),"")))</f>
        <v/>
      </c>
      <c r="V355" t="str">
        <f>IF(S355="","",IF(S355="[FÓRMULA MANUAL]","",IFERROR(AVERAGEIFS(nNOTA,nNIA,S355,nCUENTA,1,nASIG,"Música de Cámara"),"")))</f>
        <v/>
      </c>
      <c r="W355" t="str">
        <f>IF(S355="","",IF(S355="[FÓRMULA MANUAL]","",IFERROR(SUMPRODUCT((nNIA=S355)*(nCUENTA=1)*(COUNTIF(CONFIG_ASIGNATURAS!$B$7:$B$27,nASIG)&gt;0)*(nNOTA))/SUMPRODUCT((nNIA=S355)*(nCUENTA=1)*(COUNTIF(CONFIG_ASIGNATURAS!$B$7:$B$27,nASIG)&gt;0)*1),"")))</f>
        <v/>
      </c>
      <c r="Z355" t="str">
        <f>IF(Y355="","",IF(Y355="[FÓRMULA MANUAL]","",IFERROR(AVERAGEIFS(nNOTA,nNIA,Y355,nCUENTA,1,nASIG,"Análisis"),"")))</f>
        <v/>
      </c>
      <c r="AA355" t="str">
        <f>IF(Y355="","",IF(Y355="[FÓRMULA MANUAL]","",IFERROR(AVERAGEIFS(nNOTA,nNIA,Y355,nCUENTA,1,nASIG,"Orquesta/Banda/Conjunto"),"")))</f>
        <v/>
      </c>
      <c r="AB355" t="str">
        <f>IF(Y355="","",IF(Y355="[FÓRMULA MANUAL]","",IFERROR(AVERAGEIFS(nNOTA,nNIA,Y355,nCUENTA,1,nASIG,"Música de Cámara"),"")))</f>
        <v/>
      </c>
      <c r="AC355" t="str">
        <f>IF(Y355="","",IF(Y355="[FÓRMULA MANUAL]","",IFERROR(SUMPRODUCT((nNIA=Y355)*(nCUENTA=1)*(COUNTIF(CONFIG_ASIGNATURAS!$B$7:$B$27,nASIG)&gt;0)*(nNOTA))/SUMPRODUCT((nNIA=Y355)*(nCUENTA=1)*(COUNTIF(CONFIG_ASIGNATURAS!$B$7:$B$27,nASIG)&gt;0)*1),"")))</f>
        <v/>
      </c>
      <c r="AF355" t="str">
        <f>IF(AE355="","",IF(AE355="[FÓRMULA MANUAL]","",IFERROR(AVERAGEIFS(nNOTA,nNIA,AE355,nCUENTA,1,nASIG,"Análisis"),"")))</f>
        <v/>
      </c>
      <c r="AG355" t="str">
        <f>IF(AE355="","",IF(AE355="[FÓRMULA MANUAL]","",IFERROR(AVERAGEIFS(nNOTA,nNIA,AE355,nCUENTA,1,nASIG,"Orquesta/Banda/Conjunto"),"")))</f>
        <v/>
      </c>
      <c r="AH355" t="str">
        <f>IF(AE355="","",IF(AE355="[FÓRMULA MANUAL]","",IFERROR(AVERAGEIFS(nNOTA,nNIA,AE355,nCUENTA,1,nASIG,"Música de Cámara"),"")))</f>
        <v/>
      </c>
      <c r="AI355" t="str">
        <f>IF(AE355="","",IF(AE355="[FÓRMULA MANUAL]","",IFERROR(SUMPRODUCT((nNIA=AE355)*(nCUENTA=1)*(COUNTIF(CONFIG_ASIGNATURAS!$B$7:$B$27,nASIG)&gt;0)*(nNOTA))/SUMPRODUCT((nNIA=AE355)*(nCUENTA=1)*(COUNTIF(CONFIG_ASIGNATURAS!$B$7:$B$27,nASIG)&gt;0)*1),"")))</f>
        <v/>
      </c>
    </row>
    <row r="356" spans="2:35" x14ac:dyDescent="0.2">
      <c r="B356" t="str">
        <f>IF(A356="","",IF(A356="[FÓRMULA MANUAL]","",IFERROR(AVERAGEIFS(nNOTA,nNIA,A356,nCUENTA,1,nASIG,"Lenguaje Musical"),"")))</f>
        <v/>
      </c>
      <c r="C356" t="str">
        <f>IF(A356="","",IF(A356="[FÓRMULA MANUAL]","",IFERROR(AVERAGEIFS(nNOTA,nNIA,A356,nCUENTA,1,nASIG,"Orquesta/Banda/Conjunto"),"")))</f>
        <v/>
      </c>
      <c r="D356" t="str">
        <f>IF(A356="","",IF(A356="[FÓRMULA MANUAL]","",IFERROR(AVERAGEIFS(nNOTA,nNIA,A356,nCUENTA,1,nASIG,"Conjunto"),"")))</f>
        <v/>
      </c>
      <c r="E356" t="str">
        <f>IF(A356="","",IF(A356="[FÓRMULA MANUAL]","",IFERROR(SUMPRODUCT((nNIA=A356)*(nCUENTA=1)*(COUNTIF(CONFIG_ASIGNATURAS!$B$7:$B$27,nASIG)&gt;0)*(nNOTA))/SUMPRODUCT((nNIA=A356)*(nCUENTA=1)*(COUNTIF(CONFIG_ASIGNATURAS!$B$7:$B$27,nASIG)&gt;0)*1),"")))</f>
        <v/>
      </c>
      <c r="H356" t="str">
        <f>IF(G356="","",IF(G356="[FÓRMULA MANUAL]","",IFERROR(AVERAGEIFS(nNOTA,nNIA,G356,nCUENTA,1,nASIG,"Lenguaje Musical"),"")))</f>
        <v/>
      </c>
      <c r="I356" t="str">
        <f>IF(G356="","",IF(G356="[FÓRMULA MANUAL]","",IFERROR(AVERAGEIFS(nNOTA,nNIA,G356,nCUENTA,1,nASIG,"Orquesta/Banda/Conjunto"),"")))</f>
        <v/>
      </c>
      <c r="J356" t="str">
        <f>IF(G356="","",IF(G356="[FÓRMULA MANUAL]","",IFERROR(AVERAGEIFS(nNOTA,nNIA,G356,nCUENTA,1,nASIG,"Conjunto"),"")))</f>
        <v/>
      </c>
      <c r="K356" t="str">
        <f>IF(G356="","",IF(G356="[FÓRMULA MANUAL]","",IFERROR(SUMPRODUCT((nNIA=G356)*(nCUENTA=1)*(COUNTIF(CONFIG_ASIGNATURAS!$B$7:$B$27,nASIG)&gt;0)*(nNOTA))/SUMPRODUCT((nNIA=G356)*(nCUENTA=1)*(COUNTIF(CONFIG_ASIGNATURAS!$B$7:$B$27,nASIG)&gt;0)*1),"")))</f>
        <v/>
      </c>
      <c r="N356" t="str">
        <f>IF(M356="","",IF(M356="[FÓRMULA MANUAL]","",IFERROR(AVERAGEIFS(nNOTA,nNIA,M356,nCUENTA,1,nASIG,"Armonía"),"")))</f>
        <v/>
      </c>
      <c r="O356" t="str">
        <f>IF(M356="","",IF(M356="[FÓRMULA MANUAL]","",IFERROR(AVERAGEIFS(nNOTA,nNIA,M356,nCUENTA,1,nASIG,"Orquesta/Banda/Conjunto"),"")))</f>
        <v/>
      </c>
      <c r="P356" t="str">
        <f>IF(M356="","",IF(M356="[FÓRMULA MANUAL]","",IFERROR(AVERAGEIFS(nNOTA,nNIA,M356,nCUENTA,1,nASIG,"Música de Cámara"),"")))</f>
        <v/>
      </c>
      <c r="Q356" t="str">
        <f>IF(M356="","",IF(M356="[FÓRMULA MANUAL]","",IFERROR(SUMPRODUCT((nNIA=M356)*(nCUENTA=1)*(COUNTIF(CONFIG_ASIGNATURAS!$B$7:$B$27,nASIG)&gt;0)*(nNOTA))/SUMPRODUCT((nNIA=M356)*(nCUENTA=1)*(COUNTIF(CONFIG_ASIGNATURAS!$B$7:$B$27,nASIG)&gt;0)*1),"")))</f>
        <v/>
      </c>
      <c r="T356" t="str">
        <f>IF(S356="","",IF(S356="[FÓRMULA MANUAL]","",IFERROR(AVERAGEIFS(nNOTA,nNIA,S356,nCUENTA,1,nASIG,"Armonía"),"")))</f>
        <v/>
      </c>
      <c r="U356" t="str">
        <f>IF(S356="","",IF(S356="[FÓRMULA MANUAL]","",IFERROR(AVERAGEIFS(nNOTA,nNIA,S356,nCUENTA,1,nASIG,"Orquesta/Banda/Conjunto"),"")))</f>
        <v/>
      </c>
      <c r="V356" t="str">
        <f>IF(S356="","",IF(S356="[FÓRMULA MANUAL]","",IFERROR(AVERAGEIFS(nNOTA,nNIA,S356,nCUENTA,1,nASIG,"Música de Cámara"),"")))</f>
        <v/>
      </c>
      <c r="W356" t="str">
        <f>IF(S356="","",IF(S356="[FÓRMULA MANUAL]","",IFERROR(SUMPRODUCT((nNIA=S356)*(nCUENTA=1)*(COUNTIF(CONFIG_ASIGNATURAS!$B$7:$B$27,nASIG)&gt;0)*(nNOTA))/SUMPRODUCT((nNIA=S356)*(nCUENTA=1)*(COUNTIF(CONFIG_ASIGNATURAS!$B$7:$B$27,nASIG)&gt;0)*1),"")))</f>
        <v/>
      </c>
      <c r="Z356" t="str">
        <f>IF(Y356="","",IF(Y356="[FÓRMULA MANUAL]","",IFERROR(AVERAGEIFS(nNOTA,nNIA,Y356,nCUENTA,1,nASIG,"Análisis"),"")))</f>
        <v/>
      </c>
      <c r="AA356" t="str">
        <f>IF(Y356="","",IF(Y356="[FÓRMULA MANUAL]","",IFERROR(AVERAGEIFS(nNOTA,nNIA,Y356,nCUENTA,1,nASIG,"Orquesta/Banda/Conjunto"),"")))</f>
        <v/>
      </c>
      <c r="AB356" t="str">
        <f>IF(Y356="","",IF(Y356="[FÓRMULA MANUAL]","",IFERROR(AVERAGEIFS(nNOTA,nNIA,Y356,nCUENTA,1,nASIG,"Música de Cámara"),"")))</f>
        <v/>
      </c>
      <c r="AC356" t="str">
        <f>IF(Y356="","",IF(Y356="[FÓRMULA MANUAL]","",IFERROR(SUMPRODUCT((nNIA=Y356)*(nCUENTA=1)*(COUNTIF(CONFIG_ASIGNATURAS!$B$7:$B$27,nASIG)&gt;0)*(nNOTA))/SUMPRODUCT((nNIA=Y356)*(nCUENTA=1)*(COUNTIF(CONFIG_ASIGNATURAS!$B$7:$B$27,nASIG)&gt;0)*1),"")))</f>
        <v/>
      </c>
      <c r="AF356" t="str">
        <f>IF(AE356="","",IF(AE356="[FÓRMULA MANUAL]","",IFERROR(AVERAGEIFS(nNOTA,nNIA,AE356,nCUENTA,1,nASIG,"Análisis"),"")))</f>
        <v/>
      </c>
      <c r="AG356" t="str">
        <f>IF(AE356="","",IF(AE356="[FÓRMULA MANUAL]","",IFERROR(AVERAGEIFS(nNOTA,nNIA,AE356,nCUENTA,1,nASIG,"Orquesta/Banda/Conjunto"),"")))</f>
        <v/>
      </c>
      <c r="AH356" t="str">
        <f>IF(AE356="","",IF(AE356="[FÓRMULA MANUAL]","",IFERROR(AVERAGEIFS(nNOTA,nNIA,AE356,nCUENTA,1,nASIG,"Música de Cámara"),"")))</f>
        <v/>
      </c>
      <c r="AI356" t="str">
        <f>IF(AE356="","",IF(AE356="[FÓRMULA MANUAL]","",IFERROR(SUMPRODUCT((nNIA=AE356)*(nCUENTA=1)*(COUNTIF(CONFIG_ASIGNATURAS!$B$7:$B$27,nASIG)&gt;0)*(nNOTA))/SUMPRODUCT((nNIA=AE356)*(nCUENTA=1)*(COUNTIF(CONFIG_ASIGNATURAS!$B$7:$B$27,nASIG)&gt;0)*1),"")))</f>
        <v/>
      </c>
    </row>
    <row r="357" spans="2:35" x14ac:dyDescent="0.2">
      <c r="B357" t="str">
        <f>IF(A357="","",IF(A357="[FÓRMULA MANUAL]","",IFERROR(AVERAGEIFS(nNOTA,nNIA,A357,nCUENTA,1,nASIG,"Lenguaje Musical"),"")))</f>
        <v/>
      </c>
      <c r="C357" t="str">
        <f>IF(A357="","",IF(A357="[FÓRMULA MANUAL]","",IFERROR(AVERAGEIFS(nNOTA,nNIA,A357,nCUENTA,1,nASIG,"Orquesta/Banda/Conjunto"),"")))</f>
        <v/>
      </c>
      <c r="D357" t="str">
        <f>IF(A357="","",IF(A357="[FÓRMULA MANUAL]","",IFERROR(AVERAGEIFS(nNOTA,nNIA,A357,nCUENTA,1,nASIG,"Conjunto"),"")))</f>
        <v/>
      </c>
      <c r="E357" t="str">
        <f>IF(A357="","",IF(A357="[FÓRMULA MANUAL]","",IFERROR(SUMPRODUCT((nNIA=A357)*(nCUENTA=1)*(COUNTIF(CONFIG_ASIGNATURAS!$B$7:$B$27,nASIG)&gt;0)*(nNOTA))/SUMPRODUCT((nNIA=A357)*(nCUENTA=1)*(COUNTIF(CONFIG_ASIGNATURAS!$B$7:$B$27,nASIG)&gt;0)*1),"")))</f>
        <v/>
      </c>
      <c r="H357" t="str">
        <f>IF(G357="","",IF(G357="[FÓRMULA MANUAL]","",IFERROR(AVERAGEIFS(nNOTA,nNIA,G357,nCUENTA,1,nASIG,"Lenguaje Musical"),"")))</f>
        <v/>
      </c>
      <c r="I357" t="str">
        <f>IF(G357="","",IF(G357="[FÓRMULA MANUAL]","",IFERROR(AVERAGEIFS(nNOTA,nNIA,G357,nCUENTA,1,nASIG,"Orquesta/Banda/Conjunto"),"")))</f>
        <v/>
      </c>
      <c r="J357" t="str">
        <f>IF(G357="","",IF(G357="[FÓRMULA MANUAL]","",IFERROR(AVERAGEIFS(nNOTA,nNIA,G357,nCUENTA,1,nASIG,"Conjunto"),"")))</f>
        <v/>
      </c>
      <c r="K357" t="str">
        <f>IF(G357="","",IF(G357="[FÓRMULA MANUAL]","",IFERROR(SUMPRODUCT((nNIA=G357)*(nCUENTA=1)*(COUNTIF(CONFIG_ASIGNATURAS!$B$7:$B$27,nASIG)&gt;0)*(nNOTA))/SUMPRODUCT((nNIA=G357)*(nCUENTA=1)*(COUNTIF(CONFIG_ASIGNATURAS!$B$7:$B$27,nASIG)&gt;0)*1),"")))</f>
        <v/>
      </c>
      <c r="N357" t="str">
        <f>IF(M357="","",IF(M357="[FÓRMULA MANUAL]","",IFERROR(AVERAGEIFS(nNOTA,nNIA,M357,nCUENTA,1,nASIG,"Armonía"),"")))</f>
        <v/>
      </c>
      <c r="O357" t="str">
        <f>IF(M357="","",IF(M357="[FÓRMULA MANUAL]","",IFERROR(AVERAGEIFS(nNOTA,nNIA,M357,nCUENTA,1,nASIG,"Orquesta/Banda/Conjunto"),"")))</f>
        <v/>
      </c>
      <c r="P357" t="str">
        <f>IF(M357="","",IF(M357="[FÓRMULA MANUAL]","",IFERROR(AVERAGEIFS(nNOTA,nNIA,M357,nCUENTA,1,nASIG,"Música de Cámara"),"")))</f>
        <v/>
      </c>
      <c r="Q357" t="str">
        <f>IF(M357="","",IF(M357="[FÓRMULA MANUAL]","",IFERROR(SUMPRODUCT((nNIA=M357)*(nCUENTA=1)*(COUNTIF(CONFIG_ASIGNATURAS!$B$7:$B$27,nASIG)&gt;0)*(nNOTA))/SUMPRODUCT((nNIA=M357)*(nCUENTA=1)*(COUNTIF(CONFIG_ASIGNATURAS!$B$7:$B$27,nASIG)&gt;0)*1),"")))</f>
        <v/>
      </c>
      <c r="T357" t="str">
        <f>IF(S357="","",IF(S357="[FÓRMULA MANUAL]","",IFERROR(AVERAGEIFS(nNOTA,nNIA,S357,nCUENTA,1,nASIG,"Armonía"),"")))</f>
        <v/>
      </c>
      <c r="U357" t="str">
        <f>IF(S357="","",IF(S357="[FÓRMULA MANUAL]","",IFERROR(AVERAGEIFS(nNOTA,nNIA,S357,nCUENTA,1,nASIG,"Orquesta/Banda/Conjunto"),"")))</f>
        <v/>
      </c>
      <c r="V357" t="str">
        <f>IF(S357="","",IF(S357="[FÓRMULA MANUAL]","",IFERROR(AVERAGEIFS(nNOTA,nNIA,S357,nCUENTA,1,nASIG,"Música de Cámara"),"")))</f>
        <v/>
      </c>
      <c r="W357" t="str">
        <f>IF(S357="","",IF(S357="[FÓRMULA MANUAL]","",IFERROR(SUMPRODUCT((nNIA=S357)*(nCUENTA=1)*(COUNTIF(CONFIG_ASIGNATURAS!$B$7:$B$27,nASIG)&gt;0)*(nNOTA))/SUMPRODUCT((nNIA=S357)*(nCUENTA=1)*(COUNTIF(CONFIG_ASIGNATURAS!$B$7:$B$27,nASIG)&gt;0)*1),"")))</f>
        <v/>
      </c>
      <c r="Z357" t="str">
        <f>IF(Y357="","",IF(Y357="[FÓRMULA MANUAL]","",IFERROR(AVERAGEIFS(nNOTA,nNIA,Y357,nCUENTA,1,nASIG,"Análisis"),"")))</f>
        <v/>
      </c>
      <c r="AA357" t="str">
        <f>IF(Y357="","",IF(Y357="[FÓRMULA MANUAL]","",IFERROR(AVERAGEIFS(nNOTA,nNIA,Y357,nCUENTA,1,nASIG,"Orquesta/Banda/Conjunto"),"")))</f>
        <v/>
      </c>
      <c r="AB357" t="str">
        <f>IF(Y357="","",IF(Y357="[FÓRMULA MANUAL]","",IFERROR(AVERAGEIFS(nNOTA,nNIA,Y357,nCUENTA,1,nASIG,"Música de Cámara"),"")))</f>
        <v/>
      </c>
      <c r="AC357" t="str">
        <f>IF(Y357="","",IF(Y357="[FÓRMULA MANUAL]","",IFERROR(SUMPRODUCT((nNIA=Y357)*(nCUENTA=1)*(COUNTIF(CONFIG_ASIGNATURAS!$B$7:$B$27,nASIG)&gt;0)*(nNOTA))/SUMPRODUCT((nNIA=Y357)*(nCUENTA=1)*(COUNTIF(CONFIG_ASIGNATURAS!$B$7:$B$27,nASIG)&gt;0)*1),"")))</f>
        <v/>
      </c>
      <c r="AF357" t="str">
        <f>IF(AE357="","",IF(AE357="[FÓRMULA MANUAL]","",IFERROR(AVERAGEIFS(nNOTA,nNIA,AE357,nCUENTA,1,nASIG,"Análisis"),"")))</f>
        <v/>
      </c>
      <c r="AG357" t="str">
        <f>IF(AE357="","",IF(AE357="[FÓRMULA MANUAL]","",IFERROR(AVERAGEIFS(nNOTA,nNIA,AE357,nCUENTA,1,nASIG,"Orquesta/Banda/Conjunto"),"")))</f>
        <v/>
      </c>
      <c r="AH357" t="str">
        <f>IF(AE357="","",IF(AE357="[FÓRMULA MANUAL]","",IFERROR(AVERAGEIFS(nNOTA,nNIA,AE357,nCUENTA,1,nASIG,"Música de Cámara"),"")))</f>
        <v/>
      </c>
      <c r="AI357" t="str">
        <f>IF(AE357="","",IF(AE357="[FÓRMULA MANUAL]","",IFERROR(SUMPRODUCT((nNIA=AE357)*(nCUENTA=1)*(COUNTIF(CONFIG_ASIGNATURAS!$B$7:$B$27,nASIG)&gt;0)*(nNOTA))/SUMPRODUCT((nNIA=AE357)*(nCUENTA=1)*(COUNTIF(CONFIG_ASIGNATURAS!$B$7:$B$27,nASIG)&gt;0)*1),"")))</f>
        <v/>
      </c>
    </row>
    <row r="358" spans="2:35" x14ac:dyDescent="0.2">
      <c r="B358" t="str">
        <f>IF(A358="","",IF(A358="[FÓRMULA MANUAL]","",IFERROR(AVERAGEIFS(nNOTA,nNIA,A358,nCUENTA,1,nASIG,"Lenguaje Musical"),"")))</f>
        <v/>
      </c>
      <c r="C358" t="str">
        <f>IF(A358="","",IF(A358="[FÓRMULA MANUAL]","",IFERROR(AVERAGEIFS(nNOTA,nNIA,A358,nCUENTA,1,nASIG,"Orquesta/Banda/Conjunto"),"")))</f>
        <v/>
      </c>
      <c r="D358" t="str">
        <f>IF(A358="","",IF(A358="[FÓRMULA MANUAL]","",IFERROR(AVERAGEIFS(nNOTA,nNIA,A358,nCUENTA,1,nASIG,"Conjunto"),"")))</f>
        <v/>
      </c>
      <c r="E358" t="str">
        <f>IF(A358="","",IF(A358="[FÓRMULA MANUAL]","",IFERROR(SUMPRODUCT((nNIA=A358)*(nCUENTA=1)*(COUNTIF(CONFIG_ASIGNATURAS!$B$7:$B$27,nASIG)&gt;0)*(nNOTA))/SUMPRODUCT((nNIA=A358)*(nCUENTA=1)*(COUNTIF(CONFIG_ASIGNATURAS!$B$7:$B$27,nASIG)&gt;0)*1),"")))</f>
        <v/>
      </c>
      <c r="H358" t="str">
        <f>IF(G358="","",IF(G358="[FÓRMULA MANUAL]","",IFERROR(AVERAGEIFS(nNOTA,nNIA,G358,nCUENTA,1,nASIG,"Lenguaje Musical"),"")))</f>
        <v/>
      </c>
      <c r="I358" t="str">
        <f>IF(G358="","",IF(G358="[FÓRMULA MANUAL]","",IFERROR(AVERAGEIFS(nNOTA,nNIA,G358,nCUENTA,1,nASIG,"Orquesta/Banda/Conjunto"),"")))</f>
        <v/>
      </c>
      <c r="J358" t="str">
        <f>IF(G358="","",IF(G358="[FÓRMULA MANUAL]","",IFERROR(AVERAGEIFS(nNOTA,nNIA,G358,nCUENTA,1,nASIG,"Conjunto"),"")))</f>
        <v/>
      </c>
      <c r="K358" t="str">
        <f>IF(G358="","",IF(G358="[FÓRMULA MANUAL]","",IFERROR(SUMPRODUCT((nNIA=G358)*(nCUENTA=1)*(COUNTIF(CONFIG_ASIGNATURAS!$B$7:$B$27,nASIG)&gt;0)*(nNOTA))/SUMPRODUCT((nNIA=G358)*(nCUENTA=1)*(COUNTIF(CONFIG_ASIGNATURAS!$B$7:$B$27,nASIG)&gt;0)*1),"")))</f>
        <v/>
      </c>
      <c r="N358" t="str">
        <f>IF(M358="","",IF(M358="[FÓRMULA MANUAL]","",IFERROR(AVERAGEIFS(nNOTA,nNIA,M358,nCUENTA,1,nASIG,"Armonía"),"")))</f>
        <v/>
      </c>
      <c r="O358" t="str">
        <f>IF(M358="","",IF(M358="[FÓRMULA MANUAL]","",IFERROR(AVERAGEIFS(nNOTA,nNIA,M358,nCUENTA,1,nASIG,"Orquesta/Banda/Conjunto"),"")))</f>
        <v/>
      </c>
      <c r="P358" t="str">
        <f>IF(M358="","",IF(M358="[FÓRMULA MANUAL]","",IFERROR(AVERAGEIFS(nNOTA,nNIA,M358,nCUENTA,1,nASIG,"Música de Cámara"),"")))</f>
        <v/>
      </c>
      <c r="Q358" t="str">
        <f>IF(M358="","",IF(M358="[FÓRMULA MANUAL]","",IFERROR(SUMPRODUCT((nNIA=M358)*(nCUENTA=1)*(COUNTIF(CONFIG_ASIGNATURAS!$B$7:$B$27,nASIG)&gt;0)*(nNOTA))/SUMPRODUCT((nNIA=M358)*(nCUENTA=1)*(COUNTIF(CONFIG_ASIGNATURAS!$B$7:$B$27,nASIG)&gt;0)*1),"")))</f>
        <v/>
      </c>
      <c r="T358" t="str">
        <f>IF(S358="","",IF(S358="[FÓRMULA MANUAL]","",IFERROR(AVERAGEIFS(nNOTA,nNIA,S358,nCUENTA,1,nASIG,"Armonía"),"")))</f>
        <v/>
      </c>
      <c r="U358" t="str">
        <f>IF(S358="","",IF(S358="[FÓRMULA MANUAL]","",IFERROR(AVERAGEIFS(nNOTA,nNIA,S358,nCUENTA,1,nASIG,"Orquesta/Banda/Conjunto"),"")))</f>
        <v/>
      </c>
      <c r="V358" t="str">
        <f>IF(S358="","",IF(S358="[FÓRMULA MANUAL]","",IFERROR(AVERAGEIFS(nNOTA,nNIA,S358,nCUENTA,1,nASIG,"Música de Cámara"),"")))</f>
        <v/>
      </c>
      <c r="W358" t="str">
        <f>IF(S358="","",IF(S358="[FÓRMULA MANUAL]","",IFERROR(SUMPRODUCT((nNIA=S358)*(nCUENTA=1)*(COUNTIF(CONFIG_ASIGNATURAS!$B$7:$B$27,nASIG)&gt;0)*(nNOTA))/SUMPRODUCT((nNIA=S358)*(nCUENTA=1)*(COUNTIF(CONFIG_ASIGNATURAS!$B$7:$B$27,nASIG)&gt;0)*1),"")))</f>
        <v/>
      </c>
      <c r="Z358" t="str">
        <f>IF(Y358="","",IF(Y358="[FÓRMULA MANUAL]","",IFERROR(AVERAGEIFS(nNOTA,nNIA,Y358,nCUENTA,1,nASIG,"Análisis"),"")))</f>
        <v/>
      </c>
      <c r="AA358" t="str">
        <f>IF(Y358="","",IF(Y358="[FÓRMULA MANUAL]","",IFERROR(AVERAGEIFS(nNOTA,nNIA,Y358,nCUENTA,1,nASIG,"Orquesta/Banda/Conjunto"),"")))</f>
        <v/>
      </c>
      <c r="AB358" t="str">
        <f>IF(Y358="","",IF(Y358="[FÓRMULA MANUAL]","",IFERROR(AVERAGEIFS(nNOTA,nNIA,Y358,nCUENTA,1,nASIG,"Música de Cámara"),"")))</f>
        <v/>
      </c>
      <c r="AC358" t="str">
        <f>IF(Y358="","",IF(Y358="[FÓRMULA MANUAL]","",IFERROR(SUMPRODUCT((nNIA=Y358)*(nCUENTA=1)*(COUNTIF(CONFIG_ASIGNATURAS!$B$7:$B$27,nASIG)&gt;0)*(nNOTA))/SUMPRODUCT((nNIA=Y358)*(nCUENTA=1)*(COUNTIF(CONFIG_ASIGNATURAS!$B$7:$B$27,nASIG)&gt;0)*1),"")))</f>
        <v/>
      </c>
      <c r="AF358" t="str">
        <f>IF(AE358="","",IF(AE358="[FÓRMULA MANUAL]","",IFERROR(AVERAGEIFS(nNOTA,nNIA,AE358,nCUENTA,1,nASIG,"Análisis"),"")))</f>
        <v/>
      </c>
      <c r="AG358" t="str">
        <f>IF(AE358="","",IF(AE358="[FÓRMULA MANUAL]","",IFERROR(AVERAGEIFS(nNOTA,nNIA,AE358,nCUENTA,1,nASIG,"Orquesta/Banda/Conjunto"),"")))</f>
        <v/>
      </c>
      <c r="AH358" t="str">
        <f>IF(AE358="","",IF(AE358="[FÓRMULA MANUAL]","",IFERROR(AVERAGEIFS(nNOTA,nNIA,AE358,nCUENTA,1,nASIG,"Música de Cámara"),"")))</f>
        <v/>
      </c>
      <c r="AI358" t="str">
        <f>IF(AE358="","",IF(AE358="[FÓRMULA MANUAL]","",IFERROR(SUMPRODUCT((nNIA=AE358)*(nCUENTA=1)*(COUNTIF(CONFIG_ASIGNATURAS!$B$7:$B$27,nASIG)&gt;0)*(nNOTA))/SUMPRODUCT((nNIA=AE358)*(nCUENTA=1)*(COUNTIF(CONFIG_ASIGNATURAS!$B$7:$B$27,nASIG)&gt;0)*1),"")))</f>
        <v/>
      </c>
    </row>
    <row r="359" spans="2:35" x14ac:dyDescent="0.2">
      <c r="B359" t="str">
        <f>IF(A359="","",IF(A359="[FÓRMULA MANUAL]","",IFERROR(AVERAGEIFS(nNOTA,nNIA,A359,nCUENTA,1,nASIG,"Lenguaje Musical"),"")))</f>
        <v/>
      </c>
      <c r="C359" t="str">
        <f>IF(A359="","",IF(A359="[FÓRMULA MANUAL]","",IFERROR(AVERAGEIFS(nNOTA,nNIA,A359,nCUENTA,1,nASIG,"Orquesta/Banda/Conjunto"),"")))</f>
        <v/>
      </c>
      <c r="D359" t="str">
        <f>IF(A359="","",IF(A359="[FÓRMULA MANUAL]","",IFERROR(AVERAGEIFS(nNOTA,nNIA,A359,nCUENTA,1,nASIG,"Conjunto"),"")))</f>
        <v/>
      </c>
      <c r="E359" t="str">
        <f>IF(A359="","",IF(A359="[FÓRMULA MANUAL]","",IFERROR(SUMPRODUCT((nNIA=A359)*(nCUENTA=1)*(COUNTIF(CONFIG_ASIGNATURAS!$B$7:$B$27,nASIG)&gt;0)*(nNOTA))/SUMPRODUCT((nNIA=A359)*(nCUENTA=1)*(COUNTIF(CONFIG_ASIGNATURAS!$B$7:$B$27,nASIG)&gt;0)*1),"")))</f>
        <v/>
      </c>
      <c r="H359" t="str">
        <f>IF(G359="","",IF(G359="[FÓRMULA MANUAL]","",IFERROR(AVERAGEIFS(nNOTA,nNIA,G359,nCUENTA,1,nASIG,"Lenguaje Musical"),"")))</f>
        <v/>
      </c>
      <c r="I359" t="str">
        <f>IF(G359="","",IF(G359="[FÓRMULA MANUAL]","",IFERROR(AVERAGEIFS(nNOTA,nNIA,G359,nCUENTA,1,nASIG,"Orquesta/Banda/Conjunto"),"")))</f>
        <v/>
      </c>
      <c r="J359" t="str">
        <f>IF(G359="","",IF(G359="[FÓRMULA MANUAL]","",IFERROR(AVERAGEIFS(nNOTA,nNIA,G359,nCUENTA,1,nASIG,"Conjunto"),"")))</f>
        <v/>
      </c>
      <c r="K359" t="str">
        <f>IF(G359="","",IF(G359="[FÓRMULA MANUAL]","",IFERROR(SUMPRODUCT((nNIA=G359)*(nCUENTA=1)*(COUNTIF(CONFIG_ASIGNATURAS!$B$7:$B$27,nASIG)&gt;0)*(nNOTA))/SUMPRODUCT((nNIA=G359)*(nCUENTA=1)*(COUNTIF(CONFIG_ASIGNATURAS!$B$7:$B$27,nASIG)&gt;0)*1),"")))</f>
        <v/>
      </c>
      <c r="N359" t="str">
        <f>IF(M359="","",IF(M359="[FÓRMULA MANUAL]","",IFERROR(AVERAGEIFS(nNOTA,nNIA,M359,nCUENTA,1,nASIG,"Armonía"),"")))</f>
        <v/>
      </c>
      <c r="O359" t="str">
        <f>IF(M359="","",IF(M359="[FÓRMULA MANUAL]","",IFERROR(AVERAGEIFS(nNOTA,nNIA,M359,nCUENTA,1,nASIG,"Orquesta/Banda/Conjunto"),"")))</f>
        <v/>
      </c>
      <c r="P359" t="str">
        <f>IF(M359="","",IF(M359="[FÓRMULA MANUAL]","",IFERROR(AVERAGEIFS(nNOTA,nNIA,M359,nCUENTA,1,nASIG,"Música de Cámara"),"")))</f>
        <v/>
      </c>
      <c r="Q359" t="str">
        <f>IF(M359="","",IF(M359="[FÓRMULA MANUAL]","",IFERROR(SUMPRODUCT((nNIA=M359)*(nCUENTA=1)*(COUNTIF(CONFIG_ASIGNATURAS!$B$7:$B$27,nASIG)&gt;0)*(nNOTA))/SUMPRODUCT((nNIA=M359)*(nCUENTA=1)*(COUNTIF(CONFIG_ASIGNATURAS!$B$7:$B$27,nASIG)&gt;0)*1),"")))</f>
        <v/>
      </c>
      <c r="T359" t="str">
        <f>IF(S359="","",IF(S359="[FÓRMULA MANUAL]","",IFERROR(AVERAGEIFS(nNOTA,nNIA,S359,nCUENTA,1,nASIG,"Armonía"),"")))</f>
        <v/>
      </c>
      <c r="U359" t="str">
        <f>IF(S359="","",IF(S359="[FÓRMULA MANUAL]","",IFERROR(AVERAGEIFS(nNOTA,nNIA,S359,nCUENTA,1,nASIG,"Orquesta/Banda/Conjunto"),"")))</f>
        <v/>
      </c>
      <c r="V359" t="str">
        <f>IF(S359="","",IF(S359="[FÓRMULA MANUAL]","",IFERROR(AVERAGEIFS(nNOTA,nNIA,S359,nCUENTA,1,nASIG,"Música de Cámara"),"")))</f>
        <v/>
      </c>
      <c r="W359" t="str">
        <f>IF(S359="","",IF(S359="[FÓRMULA MANUAL]","",IFERROR(SUMPRODUCT((nNIA=S359)*(nCUENTA=1)*(COUNTIF(CONFIG_ASIGNATURAS!$B$7:$B$27,nASIG)&gt;0)*(nNOTA))/SUMPRODUCT((nNIA=S359)*(nCUENTA=1)*(COUNTIF(CONFIG_ASIGNATURAS!$B$7:$B$27,nASIG)&gt;0)*1),"")))</f>
        <v/>
      </c>
      <c r="Z359" t="str">
        <f>IF(Y359="","",IF(Y359="[FÓRMULA MANUAL]","",IFERROR(AVERAGEIFS(nNOTA,nNIA,Y359,nCUENTA,1,nASIG,"Análisis"),"")))</f>
        <v/>
      </c>
      <c r="AA359" t="str">
        <f>IF(Y359="","",IF(Y359="[FÓRMULA MANUAL]","",IFERROR(AVERAGEIFS(nNOTA,nNIA,Y359,nCUENTA,1,nASIG,"Orquesta/Banda/Conjunto"),"")))</f>
        <v/>
      </c>
      <c r="AB359" t="str">
        <f>IF(Y359="","",IF(Y359="[FÓRMULA MANUAL]","",IFERROR(AVERAGEIFS(nNOTA,nNIA,Y359,nCUENTA,1,nASIG,"Música de Cámara"),"")))</f>
        <v/>
      </c>
      <c r="AC359" t="str">
        <f>IF(Y359="","",IF(Y359="[FÓRMULA MANUAL]","",IFERROR(SUMPRODUCT((nNIA=Y359)*(nCUENTA=1)*(COUNTIF(CONFIG_ASIGNATURAS!$B$7:$B$27,nASIG)&gt;0)*(nNOTA))/SUMPRODUCT((nNIA=Y359)*(nCUENTA=1)*(COUNTIF(CONFIG_ASIGNATURAS!$B$7:$B$27,nASIG)&gt;0)*1),"")))</f>
        <v/>
      </c>
      <c r="AF359" t="str">
        <f>IF(AE359="","",IF(AE359="[FÓRMULA MANUAL]","",IFERROR(AVERAGEIFS(nNOTA,nNIA,AE359,nCUENTA,1,nASIG,"Análisis"),"")))</f>
        <v/>
      </c>
      <c r="AG359" t="str">
        <f>IF(AE359="","",IF(AE359="[FÓRMULA MANUAL]","",IFERROR(AVERAGEIFS(nNOTA,nNIA,AE359,nCUENTA,1,nASIG,"Orquesta/Banda/Conjunto"),"")))</f>
        <v/>
      </c>
      <c r="AH359" t="str">
        <f>IF(AE359="","",IF(AE359="[FÓRMULA MANUAL]","",IFERROR(AVERAGEIFS(nNOTA,nNIA,AE359,nCUENTA,1,nASIG,"Música de Cámara"),"")))</f>
        <v/>
      </c>
      <c r="AI359" t="str">
        <f>IF(AE359="","",IF(AE359="[FÓRMULA MANUAL]","",IFERROR(SUMPRODUCT((nNIA=AE359)*(nCUENTA=1)*(COUNTIF(CONFIG_ASIGNATURAS!$B$7:$B$27,nASIG)&gt;0)*(nNOTA))/SUMPRODUCT((nNIA=AE359)*(nCUENTA=1)*(COUNTIF(CONFIG_ASIGNATURAS!$B$7:$B$27,nASIG)&gt;0)*1),"")))</f>
        <v/>
      </c>
    </row>
    <row r="360" spans="2:35" x14ac:dyDescent="0.2">
      <c r="B360" t="str">
        <f>IF(A360="","",IF(A360="[FÓRMULA MANUAL]","",IFERROR(AVERAGEIFS(nNOTA,nNIA,A360,nCUENTA,1,nASIG,"Lenguaje Musical"),"")))</f>
        <v/>
      </c>
      <c r="C360" t="str">
        <f>IF(A360="","",IF(A360="[FÓRMULA MANUAL]","",IFERROR(AVERAGEIFS(nNOTA,nNIA,A360,nCUENTA,1,nASIG,"Orquesta/Banda/Conjunto"),"")))</f>
        <v/>
      </c>
      <c r="D360" t="str">
        <f>IF(A360="","",IF(A360="[FÓRMULA MANUAL]","",IFERROR(AVERAGEIFS(nNOTA,nNIA,A360,nCUENTA,1,nASIG,"Conjunto"),"")))</f>
        <v/>
      </c>
      <c r="E360" t="str">
        <f>IF(A360="","",IF(A360="[FÓRMULA MANUAL]","",IFERROR(SUMPRODUCT((nNIA=A360)*(nCUENTA=1)*(COUNTIF(CONFIG_ASIGNATURAS!$B$7:$B$27,nASIG)&gt;0)*(nNOTA))/SUMPRODUCT((nNIA=A360)*(nCUENTA=1)*(COUNTIF(CONFIG_ASIGNATURAS!$B$7:$B$27,nASIG)&gt;0)*1),"")))</f>
        <v/>
      </c>
      <c r="H360" t="str">
        <f>IF(G360="","",IF(G360="[FÓRMULA MANUAL]","",IFERROR(AVERAGEIFS(nNOTA,nNIA,G360,nCUENTA,1,nASIG,"Lenguaje Musical"),"")))</f>
        <v/>
      </c>
      <c r="I360" t="str">
        <f>IF(G360="","",IF(G360="[FÓRMULA MANUAL]","",IFERROR(AVERAGEIFS(nNOTA,nNIA,G360,nCUENTA,1,nASIG,"Orquesta/Banda/Conjunto"),"")))</f>
        <v/>
      </c>
      <c r="J360" t="str">
        <f>IF(G360="","",IF(G360="[FÓRMULA MANUAL]","",IFERROR(AVERAGEIFS(nNOTA,nNIA,G360,nCUENTA,1,nASIG,"Conjunto"),"")))</f>
        <v/>
      </c>
      <c r="K360" t="str">
        <f>IF(G360="","",IF(G360="[FÓRMULA MANUAL]","",IFERROR(SUMPRODUCT((nNIA=G360)*(nCUENTA=1)*(COUNTIF(CONFIG_ASIGNATURAS!$B$7:$B$27,nASIG)&gt;0)*(nNOTA))/SUMPRODUCT((nNIA=G360)*(nCUENTA=1)*(COUNTIF(CONFIG_ASIGNATURAS!$B$7:$B$27,nASIG)&gt;0)*1),"")))</f>
        <v/>
      </c>
      <c r="N360" t="str">
        <f>IF(M360="","",IF(M360="[FÓRMULA MANUAL]","",IFERROR(AVERAGEIFS(nNOTA,nNIA,M360,nCUENTA,1,nASIG,"Armonía"),"")))</f>
        <v/>
      </c>
      <c r="O360" t="str">
        <f>IF(M360="","",IF(M360="[FÓRMULA MANUAL]","",IFERROR(AVERAGEIFS(nNOTA,nNIA,M360,nCUENTA,1,nASIG,"Orquesta/Banda/Conjunto"),"")))</f>
        <v/>
      </c>
      <c r="P360" t="str">
        <f>IF(M360="","",IF(M360="[FÓRMULA MANUAL]","",IFERROR(AVERAGEIFS(nNOTA,nNIA,M360,nCUENTA,1,nASIG,"Música de Cámara"),"")))</f>
        <v/>
      </c>
      <c r="Q360" t="str">
        <f>IF(M360="","",IF(M360="[FÓRMULA MANUAL]","",IFERROR(SUMPRODUCT((nNIA=M360)*(nCUENTA=1)*(COUNTIF(CONFIG_ASIGNATURAS!$B$7:$B$27,nASIG)&gt;0)*(nNOTA))/SUMPRODUCT((nNIA=M360)*(nCUENTA=1)*(COUNTIF(CONFIG_ASIGNATURAS!$B$7:$B$27,nASIG)&gt;0)*1),"")))</f>
        <v/>
      </c>
      <c r="T360" t="str">
        <f>IF(S360="","",IF(S360="[FÓRMULA MANUAL]","",IFERROR(AVERAGEIFS(nNOTA,nNIA,S360,nCUENTA,1,nASIG,"Armonía"),"")))</f>
        <v/>
      </c>
      <c r="U360" t="str">
        <f>IF(S360="","",IF(S360="[FÓRMULA MANUAL]","",IFERROR(AVERAGEIFS(nNOTA,nNIA,S360,nCUENTA,1,nASIG,"Orquesta/Banda/Conjunto"),"")))</f>
        <v/>
      </c>
      <c r="V360" t="str">
        <f>IF(S360="","",IF(S360="[FÓRMULA MANUAL]","",IFERROR(AVERAGEIFS(nNOTA,nNIA,S360,nCUENTA,1,nASIG,"Música de Cámara"),"")))</f>
        <v/>
      </c>
      <c r="W360" t="str">
        <f>IF(S360="","",IF(S360="[FÓRMULA MANUAL]","",IFERROR(SUMPRODUCT((nNIA=S360)*(nCUENTA=1)*(COUNTIF(CONFIG_ASIGNATURAS!$B$7:$B$27,nASIG)&gt;0)*(nNOTA))/SUMPRODUCT((nNIA=S360)*(nCUENTA=1)*(COUNTIF(CONFIG_ASIGNATURAS!$B$7:$B$27,nASIG)&gt;0)*1),"")))</f>
        <v/>
      </c>
      <c r="Z360" t="str">
        <f>IF(Y360="","",IF(Y360="[FÓRMULA MANUAL]","",IFERROR(AVERAGEIFS(nNOTA,nNIA,Y360,nCUENTA,1,nASIG,"Análisis"),"")))</f>
        <v/>
      </c>
      <c r="AA360" t="str">
        <f>IF(Y360="","",IF(Y360="[FÓRMULA MANUAL]","",IFERROR(AVERAGEIFS(nNOTA,nNIA,Y360,nCUENTA,1,nASIG,"Orquesta/Banda/Conjunto"),"")))</f>
        <v/>
      </c>
      <c r="AB360" t="str">
        <f>IF(Y360="","",IF(Y360="[FÓRMULA MANUAL]","",IFERROR(AVERAGEIFS(nNOTA,nNIA,Y360,nCUENTA,1,nASIG,"Música de Cámara"),"")))</f>
        <v/>
      </c>
      <c r="AC360" t="str">
        <f>IF(Y360="","",IF(Y360="[FÓRMULA MANUAL]","",IFERROR(SUMPRODUCT((nNIA=Y360)*(nCUENTA=1)*(COUNTIF(CONFIG_ASIGNATURAS!$B$7:$B$27,nASIG)&gt;0)*(nNOTA))/SUMPRODUCT((nNIA=Y360)*(nCUENTA=1)*(COUNTIF(CONFIG_ASIGNATURAS!$B$7:$B$27,nASIG)&gt;0)*1),"")))</f>
        <v/>
      </c>
      <c r="AF360" t="str">
        <f>IF(AE360="","",IF(AE360="[FÓRMULA MANUAL]","",IFERROR(AVERAGEIFS(nNOTA,nNIA,AE360,nCUENTA,1,nASIG,"Análisis"),"")))</f>
        <v/>
      </c>
      <c r="AG360" t="str">
        <f>IF(AE360="","",IF(AE360="[FÓRMULA MANUAL]","",IFERROR(AVERAGEIFS(nNOTA,nNIA,AE360,nCUENTA,1,nASIG,"Orquesta/Banda/Conjunto"),"")))</f>
        <v/>
      </c>
      <c r="AH360" t="str">
        <f>IF(AE360="","",IF(AE360="[FÓRMULA MANUAL]","",IFERROR(AVERAGEIFS(nNOTA,nNIA,AE360,nCUENTA,1,nASIG,"Música de Cámara"),"")))</f>
        <v/>
      </c>
      <c r="AI360" t="str">
        <f>IF(AE360="","",IF(AE360="[FÓRMULA MANUAL]","",IFERROR(SUMPRODUCT((nNIA=AE360)*(nCUENTA=1)*(COUNTIF(CONFIG_ASIGNATURAS!$B$7:$B$27,nASIG)&gt;0)*(nNOTA))/SUMPRODUCT((nNIA=AE360)*(nCUENTA=1)*(COUNTIF(CONFIG_ASIGNATURAS!$B$7:$B$27,nASIG)&gt;0)*1),"")))</f>
        <v/>
      </c>
    </row>
    <row r="361" spans="2:35" x14ac:dyDescent="0.2">
      <c r="B361" t="str">
        <f>IF(A361="","",IF(A361="[FÓRMULA MANUAL]","",IFERROR(AVERAGEIFS(nNOTA,nNIA,A361,nCUENTA,1,nASIG,"Lenguaje Musical"),"")))</f>
        <v/>
      </c>
      <c r="C361" t="str">
        <f>IF(A361="","",IF(A361="[FÓRMULA MANUAL]","",IFERROR(AVERAGEIFS(nNOTA,nNIA,A361,nCUENTA,1,nASIG,"Orquesta/Banda/Conjunto"),"")))</f>
        <v/>
      </c>
      <c r="D361" t="str">
        <f>IF(A361="","",IF(A361="[FÓRMULA MANUAL]","",IFERROR(AVERAGEIFS(nNOTA,nNIA,A361,nCUENTA,1,nASIG,"Conjunto"),"")))</f>
        <v/>
      </c>
      <c r="E361" t="str">
        <f>IF(A361="","",IF(A361="[FÓRMULA MANUAL]","",IFERROR(SUMPRODUCT((nNIA=A361)*(nCUENTA=1)*(COUNTIF(CONFIG_ASIGNATURAS!$B$7:$B$27,nASIG)&gt;0)*(nNOTA))/SUMPRODUCT((nNIA=A361)*(nCUENTA=1)*(COUNTIF(CONFIG_ASIGNATURAS!$B$7:$B$27,nASIG)&gt;0)*1),"")))</f>
        <v/>
      </c>
      <c r="H361" t="str">
        <f>IF(G361="","",IF(G361="[FÓRMULA MANUAL]","",IFERROR(AVERAGEIFS(nNOTA,nNIA,G361,nCUENTA,1,nASIG,"Lenguaje Musical"),"")))</f>
        <v/>
      </c>
      <c r="I361" t="str">
        <f>IF(G361="","",IF(G361="[FÓRMULA MANUAL]","",IFERROR(AVERAGEIFS(nNOTA,nNIA,G361,nCUENTA,1,nASIG,"Orquesta/Banda/Conjunto"),"")))</f>
        <v/>
      </c>
      <c r="J361" t="str">
        <f>IF(G361="","",IF(G361="[FÓRMULA MANUAL]","",IFERROR(AVERAGEIFS(nNOTA,nNIA,G361,nCUENTA,1,nASIG,"Conjunto"),"")))</f>
        <v/>
      </c>
      <c r="K361" t="str">
        <f>IF(G361="","",IF(G361="[FÓRMULA MANUAL]","",IFERROR(SUMPRODUCT((nNIA=G361)*(nCUENTA=1)*(COUNTIF(CONFIG_ASIGNATURAS!$B$7:$B$27,nASIG)&gt;0)*(nNOTA))/SUMPRODUCT((nNIA=G361)*(nCUENTA=1)*(COUNTIF(CONFIG_ASIGNATURAS!$B$7:$B$27,nASIG)&gt;0)*1),"")))</f>
        <v/>
      </c>
      <c r="N361" t="str">
        <f>IF(M361="","",IF(M361="[FÓRMULA MANUAL]","",IFERROR(AVERAGEIFS(nNOTA,nNIA,M361,nCUENTA,1,nASIG,"Armonía"),"")))</f>
        <v/>
      </c>
      <c r="O361" t="str">
        <f>IF(M361="","",IF(M361="[FÓRMULA MANUAL]","",IFERROR(AVERAGEIFS(nNOTA,nNIA,M361,nCUENTA,1,nASIG,"Orquesta/Banda/Conjunto"),"")))</f>
        <v/>
      </c>
      <c r="P361" t="str">
        <f>IF(M361="","",IF(M361="[FÓRMULA MANUAL]","",IFERROR(AVERAGEIFS(nNOTA,nNIA,M361,nCUENTA,1,nASIG,"Música de Cámara"),"")))</f>
        <v/>
      </c>
      <c r="Q361" t="str">
        <f>IF(M361="","",IF(M361="[FÓRMULA MANUAL]","",IFERROR(SUMPRODUCT((nNIA=M361)*(nCUENTA=1)*(COUNTIF(CONFIG_ASIGNATURAS!$B$7:$B$27,nASIG)&gt;0)*(nNOTA))/SUMPRODUCT((nNIA=M361)*(nCUENTA=1)*(COUNTIF(CONFIG_ASIGNATURAS!$B$7:$B$27,nASIG)&gt;0)*1),"")))</f>
        <v/>
      </c>
      <c r="T361" t="str">
        <f>IF(S361="","",IF(S361="[FÓRMULA MANUAL]","",IFERROR(AVERAGEIFS(nNOTA,nNIA,S361,nCUENTA,1,nASIG,"Armonía"),"")))</f>
        <v/>
      </c>
      <c r="U361" t="str">
        <f>IF(S361="","",IF(S361="[FÓRMULA MANUAL]","",IFERROR(AVERAGEIFS(nNOTA,nNIA,S361,nCUENTA,1,nASIG,"Orquesta/Banda/Conjunto"),"")))</f>
        <v/>
      </c>
      <c r="V361" t="str">
        <f>IF(S361="","",IF(S361="[FÓRMULA MANUAL]","",IFERROR(AVERAGEIFS(nNOTA,nNIA,S361,nCUENTA,1,nASIG,"Música de Cámara"),"")))</f>
        <v/>
      </c>
      <c r="W361" t="str">
        <f>IF(S361="","",IF(S361="[FÓRMULA MANUAL]","",IFERROR(SUMPRODUCT((nNIA=S361)*(nCUENTA=1)*(COUNTIF(CONFIG_ASIGNATURAS!$B$7:$B$27,nASIG)&gt;0)*(nNOTA))/SUMPRODUCT((nNIA=S361)*(nCUENTA=1)*(COUNTIF(CONFIG_ASIGNATURAS!$B$7:$B$27,nASIG)&gt;0)*1),"")))</f>
        <v/>
      </c>
      <c r="Z361" t="str">
        <f>IF(Y361="","",IF(Y361="[FÓRMULA MANUAL]","",IFERROR(AVERAGEIFS(nNOTA,nNIA,Y361,nCUENTA,1,nASIG,"Análisis"),"")))</f>
        <v/>
      </c>
      <c r="AA361" t="str">
        <f>IF(Y361="","",IF(Y361="[FÓRMULA MANUAL]","",IFERROR(AVERAGEIFS(nNOTA,nNIA,Y361,nCUENTA,1,nASIG,"Orquesta/Banda/Conjunto"),"")))</f>
        <v/>
      </c>
      <c r="AB361" t="str">
        <f>IF(Y361="","",IF(Y361="[FÓRMULA MANUAL]","",IFERROR(AVERAGEIFS(nNOTA,nNIA,Y361,nCUENTA,1,nASIG,"Música de Cámara"),"")))</f>
        <v/>
      </c>
      <c r="AC361" t="str">
        <f>IF(Y361="","",IF(Y361="[FÓRMULA MANUAL]","",IFERROR(SUMPRODUCT((nNIA=Y361)*(nCUENTA=1)*(COUNTIF(CONFIG_ASIGNATURAS!$B$7:$B$27,nASIG)&gt;0)*(nNOTA))/SUMPRODUCT((nNIA=Y361)*(nCUENTA=1)*(COUNTIF(CONFIG_ASIGNATURAS!$B$7:$B$27,nASIG)&gt;0)*1),"")))</f>
        <v/>
      </c>
      <c r="AF361" t="str">
        <f>IF(AE361="","",IF(AE361="[FÓRMULA MANUAL]","",IFERROR(AVERAGEIFS(nNOTA,nNIA,AE361,nCUENTA,1,nASIG,"Análisis"),"")))</f>
        <v/>
      </c>
      <c r="AG361" t="str">
        <f>IF(AE361="","",IF(AE361="[FÓRMULA MANUAL]","",IFERROR(AVERAGEIFS(nNOTA,nNIA,AE361,nCUENTA,1,nASIG,"Orquesta/Banda/Conjunto"),"")))</f>
        <v/>
      </c>
      <c r="AH361" t="str">
        <f>IF(AE361="","",IF(AE361="[FÓRMULA MANUAL]","",IFERROR(AVERAGEIFS(nNOTA,nNIA,AE361,nCUENTA,1,nASIG,"Música de Cámara"),"")))</f>
        <v/>
      </c>
      <c r="AI361" t="str">
        <f>IF(AE361="","",IF(AE361="[FÓRMULA MANUAL]","",IFERROR(SUMPRODUCT((nNIA=AE361)*(nCUENTA=1)*(COUNTIF(CONFIG_ASIGNATURAS!$B$7:$B$27,nASIG)&gt;0)*(nNOTA))/SUMPRODUCT((nNIA=AE361)*(nCUENTA=1)*(COUNTIF(CONFIG_ASIGNATURAS!$B$7:$B$27,nASIG)&gt;0)*1),"")))</f>
        <v/>
      </c>
    </row>
    <row r="362" spans="2:35" x14ac:dyDescent="0.2">
      <c r="B362" t="str">
        <f>IF(A362="","",IF(A362="[FÓRMULA MANUAL]","",IFERROR(AVERAGEIFS(nNOTA,nNIA,A362,nCUENTA,1,nASIG,"Lenguaje Musical"),"")))</f>
        <v/>
      </c>
      <c r="C362" t="str">
        <f>IF(A362="","",IF(A362="[FÓRMULA MANUAL]","",IFERROR(AVERAGEIFS(nNOTA,nNIA,A362,nCUENTA,1,nASIG,"Orquesta/Banda/Conjunto"),"")))</f>
        <v/>
      </c>
      <c r="D362" t="str">
        <f>IF(A362="","",IF(A362="[FÓRMULA MANUAL]","",IFERROR(AVERAGEIFS(nNOTA,nNIA,A362,nCUENTA,1,nASIG,"Conjunto"),"")))</f>
        <v/>
      </c>
      <c r="E362" t="str">
        <f>IF(A362="","",IF(A362="[FÓRMULA MANUAL]","",IFERROR(SUMPRODUCT((nNIA=A362)*(nCUENTA=1)*(COUNTIF(CONFIG_ASIGNATURAS!$B$7:$B$27,nASIG)&gt;0)*(nNOTA))/SUMPRODUCT((nNIA=A362)*(nCUENTA=1)*(COUNTIF(CONFIG_ASIGNATURAS!$B$7:$B$27,nASIG)&gt;0)*1),"")))</f>
        <v/>
      </c>
      <c r="H362" t="str">
        <f>IF(G362="","",IF(G362="[FÓRMULA MANUAL]","",IFERROR(AVERAGEIFS(nNOTA,nNIA,G362,nCUENTA,1,nASIG,"Lenguaje Musical"),"")))</f>
        <v/>
      </c>
      <c r="I362" t="str">
        <f>IF(G362="","",IF(G362="[FÓRMULA MANUAL]","",IFERROR(AVERAGEIFS(nNOTA,nNIA,G362,nCUENTA,1,nASIG,"Orquesta/Banda/Conjunto"),"")))</f>
        <v/>
      </c>
      <c r="J362" t="str">
        <f>IF(G362="","",IF(G362="[FÓRMULA MANUAL]","",IFERROR(AVERAGEIFS(nNOTA,nNIA,G362,nCUENTA,1,nASIG,"Conjunto"),"")))</f>
        <v/>
      </c>
      <c r="K362" t="str">
        <f>IF(G362="","",IF(G362="[FÓRMULA MANUAL]","",IFERROR(SUMPRODUCT((nNIA=G362)*(nCUENTA=1)*(COUNTIF(CONFIG_ASIGNATURAS!$B$7:$B$27,nASIG)&gt;0)*(nNOTA))/SUMPRODUCT((nNIA=G362)*(nCUENTA=1)*(COUNTIF(CONFIG_ASIGNATURAS!$B$7:$B$27,nASIG)&gt;0)*1),"")))</f>
        <v/>
      </c>
      <c r="N362" t="str">
        <f>IF(M362="","",IF(M362="[FÓRMULA MANUAL]","",IFERROR(AVERAGEIFS(nNOTA,nNIA,M362,nCUENTA,1,nASIG,"Armonía"),"")))</f>
        <v/>
      </c>
      <c r="O362" t="str">
        <f>IF(M362="","",IF(M362="[FÓRMULA MANUAL]","",IFERROR(AVERAGEIFS(nNOTA,nNIA,M362,nCUENTA,1,nASIG,"Orquesta/Banda/Conjunto"),"")))</f>
        <v/>
      </c>
      <c r="P362" t="str">
        <f>IF(M362="","",IF(M362="[FÓRMULA MANUAL]","",IFERROR(AVERAGEIFS(nNOTA,nNIA,M362,nCUENTA,1,nASIG,"Música de Cámara"),"")))</f>
        <v/>
      </c>
      <c r="Q362" t="str">
        <f>IF(M362="","",IF(M362="[FÓRMULA MANUAL]","",IFERROR(SUMPRODUCT((nNIA=M362)*(nCUENTA=1)*(COUNTIF(CONFIG_ASIGNATURAS!$B$7:$B$27,nASIG)&gt;0)*(nNOTA))/SUMPRODUCT((nNIA=M362)*(nCUENTA=1)*(COUNTIF(CONFIG_ASIGNATURAS!$B$7:$B$27,nASIG)&gt;0)*1),"")))</f>
        <v/>
      </c>
      <c r="T362" t="str">
        <f>IF(S362="","",IF(S362="[FÓRMULA MANUAL]","",IFERROR(AVERAGEIFS(nNOTA,nNIA,S362,nCUENTA,1,nASIG,"Armonía"),"")))</f>
        <v/>
      </c>
      <c r="U362" t="str">
        <f>IF(S362="","",IF(S362="[FÓRMULA MANUAL]","",IFERROR(AVERAGEIFS(nNOTA,nNIA,S362,nCUENTA,1,nASIG,"Orquesta/Banda/Conjunto"),"")))</f>
        <v/>
      </c>
      <c r="V362" t="str">
        <f>IF(S362="","",IF(S362="[FÓRMULA MANUAL]","",IFERROR(AVERAGEIFS(nNOTA,nNIA,S362,nCUENTA,1,nASIG,"Música de Cámara"),"")))</f>
        <v/>
      </c>
      <c r="W362" t="str">
        <f>IF(S362="","",IF(S362="[FÓRMULA MANUAL]","",IFERROR(SUMPRODUCT((nNIA=S362)*(nCUENTA=1)*(COUNTIF(CONFIG_ASIGNATURAS!$B$7:$B$27,nASIG)&gt;0)*(nNOTA))/SUMPRODUCT((nNIA=S362)*(nCUENTA=1)*(COUNTIF(CONFIG_ASIGNATURAS!$B$7:$B$27,nASIG)&gt;0)*1),"")))</f>
        <v/>
      </c>
      <c r="Z362" t="str">
        <f>IF(Y362="","",IF(Y362="[FÓRMULA MANUAL]","",IFERROR(AVERAGEIFS(nNOTA,nNIA,Y362,nCUENTA,1,nASIG,"Análisis"),"")))</f>
        <v/>
      </c>
      <c r="AA362" t="str">
        <f>IF(Y362="","",IF(Y362="[FÓRMULA MANUAL]","",IFERROR(AVERAGEIFS(nNOTA,nNIA,Y362,nCUENTA,1,nASIG,"Orquesta/Banda/Conjunto"),"")))</f>
        <v/>
      </c>
      <c r="AB362" t="str">
        <f>IF(Y362="","",IF(Y362="[FÓRMULA MANUAL]","",IFERROR(AVERAGEIFS(nNOTA,nNIA,Y362,nCUENTA,1,nASIG,"Música de Cámara"),"")))</f>
        <v/>
      </c>
      <c r="AC362" t="str">
        <f>IF(Y362="","",IF(Y362="[FÓRMULA MANUAL]","",IFERROR(SUMPRODUCT((nNIA=Y362)*(nCUENTA=1)*(COUNTIF(CONFIG_ASIGNATURAS!$B$7:$B$27,nASIG)&gt;0)*(nNOTA))/SUMPRODUCT((nNIA=Y362)*(nCUENTA=1)*(COUNTIF(CONFIG_ASIGNATURAS!$B$7:$B$27,nASIG)&gt;0)*1),"")))</f>
        <v/>
      </c>
      <c r="AF362" t="str">
        <f>IF(AE362="","",IF(AE362="[FÓRMULA MANUAL]","",IFERROR(AVERAGEIFS(nNOTA,nNIA,AE362,nCUENTA,1,nASIG,"Análisis"),"")))</f>
        <v/>
      </c>
      <c r="AG362" t="str">
        <f>IF(AE362="","",IF(AE362="[FÓRMULA MANUAL]","",IFERROR(AVERAGEIFS(nNOTA,nNIA,AE362,nCUENTA,1,nASIG,"Orquesta/Banda/Conjunto"),"")))</f>
        <v/>
      </c>
      <c r="AH362" t="str">
        <f>IF(AE362="","",IF(AE362="[FÓRMULA MANUAL]","",IFERROR(AVERAGEIFS(nNOTA,nNIA,AE362,nCUENTA,1,nASIG,"Música de Cámara"),"")))</f>
        <v/>
      </c>
      <c r="AI362" t="str">
        <f>IF(AE362="","",IF(AE362="[FÓRMULA MANUAL]","",IFERROR(SUMPRODUCT((nNIA=AE362)*(nCUENTA=1)*(COUNTIF(CONFIG_ASIGNATURAS!$B$7:$B$27,nASIG)&gt;0)*(nNOTA))/SUMPRODUCT((nNIA=AE362)*(nCUENTA=1)*(COUNTIF(CONFIG_ASIGNATURAS!$B$7:$B$27,nASIG)&gt;0)*1),"")))</f>
        <v/>
      </c>
    </row>
    <row r="363" spans="2:35" x14ac:dyDescent="0.2">
      <c r="B363" t="str">
        <f>IF(A363="","",IF(A363="[FÓRMULA MANUAL]","",IFERROR(AVERAGEIFS(nNOTA,nNIA,A363,nCUENTA,1,nASIG,"Lenguaje Musical"),"")))</f>
        <v/>
      </c>
      <c r="C363" t="str">
        <f>IF(A363="","",IF(A363="[FÓRMULA MANUAL]","",IFERROR(AVERAGEIFS(nNOTA,nNIA,A363,nCUENTA,1,nASIG,"Orquesta/Banda/Conjunto"),"")))</f>
        <v/>
      </c>
      <c r="D363" t="str">
        <f>IF(A363="","",IF(A363="[FÓRMULA MANUAL]","",IFERROR(AVERAGEIFS(nNOTA,nNIA,A363,nCUENTA,1,nASIG,"Conjunto"),"")))</f>
        <v/>
      </c>
      <c r="E363" t="str">
        <f>IF(A363="","",IF(A363="[FÓRMULA MANUAL]","",IFERROR(SUMPRODUCT((nNIA=A363)*(nCUENTA=1)*(COUNTIF(CONFIG_ASIGNATURAS!$B$7:$B$27,nASIG)&gt;0)*(nNOTA))/SUMPRODUCT((nNIA=A363)*(nCUENTA=1)*(COUNTIF(CONFIG_ASIGNATURAS!$B$7:$B$27,nASIG)&gt;0)*1),"")))</f>
        <v/>
      </c>
      <c r="H363" t="str">
        <f>IF(G363="","",IF(G363="[FÓRMULA MANUAL]","",IFERROR(AVERAGEIFS(nNOTA,nNIA,G363,nCUENTA,1,nASIG,"Lenguaje Musical"),"")))</f>
        <v/>
      </c>
      <c r="I363" t="str">
        <f>IF(G363="","",IF(G363="[FÓRMULA MANUAL]","",IFERROR(AVERAGEIFS(nNOTA,nNIA,G363,nCUENTA,1,nASIG,"Orquesta/Banda/Conjunto"),"")))</f>
        <v/>
      </c>
      <c r="J363" t="str">
        <f>IF(G363="","",IF(G363="[FÓRMULA MANUAL]","",IFERROR(AVERAGEIFS(nNOTA,nNIA,G363,nCUENTA,1,nASIG,"Conjunto"),"")))</f>
        <v/>
      </c>
      <c r="K363" t="str">
        <f>IF(G363="","",IF(G363="[FÓRMULA MANUAL]","",IFERROR(SUMPRODUCT((nNIA=G363)*(nCUENTA=1)*(COUNTIF(CONFIG_ASIGNATURAS!$B$7:$B$27,nASIG)&gt;0)*(nNOTA))/SUMPRODUCT((nNIA=G363)*(nCUENTA=1)*(COUNTIF(CONFIG_ASIGNATURAS!$B$7:$B$27,nASIG)&gt;0)*1),"")))</f>
        <v/>
      </c>
      <c r="N363" t="str">
        <f>IF(M363="","",IF(M363="[FÓRMULA MANUAL]","",IFERROR(AVERAGEIFS(nNOTA,nNIA,M363,nCUENTA,1,nASIG,"Armonía"),"")))</f>
        <v/>
      </c>
      <c r="O363" t="str">
        <f>IF(M363="","",IF(M363="[FÓRMULA MANUAL]","",IFERROR(AVERAGEIFS(nNOTA,nNIA,M363,nCUENTA,1,nASIG,"Orquesta/Banda/Conjunto"),"")))</f>
        <v/>
      </c>
      <c r="P363" t="str">
        <f>IF(M363="","",IF(M363="[FÓRMULA MANUAL]","",IFERROR(AVERAGEIFS(nNOTA,nNIA,M363,nCUENTA,1,nASIG,"Música de Cámara"),"")))</f>
        <v/>
      </c>
      <c r="Q363" t="str">
        <f>IF(M363="","",IF(M363="[FÓRMULA MANUAL]","",IFERROR(SUMPRODUCT((nNIA=M363)*(nCUENTA=1)*(COUNTIF(CONFIG_ASIGNATURAS!$B$7:$B$27,nASIG)&gt;0)*(nNOTA))/SUMPRODUCT((nNIA=M363)*(nCUENTA=1)*(COUNTIF(CONFIG_ASIGNATURAS!$B$7:$B$27,nASIG)&gt;0)*1),"")))</f>
        <v/>
      </c>
      <c r="T363" t="str">
        <f>IF(S363="","",IF(S363="[FÓRMULA MANUAL]","",IFERROR(AVERAGEIFS(nNOTA,nNIA,S363,nCUENTA,1,nASIG,"Armonía"),"")))</f>
        <v/>
      </c>
      <c r="U363" t="str">
        <f>IF(S363="","",IF(S363="[FÓRMULA MANUAL]","",IFERROR(AVERAGEIFS(nNOTA,nNIA,S363,nCUENTA,1,nASIG,"Orquesta/Banda/Conjunto"),"")))</f>
        <v/>
      </c>
      <c r="V363" t="str">
        <f>IF(S363="","",IF(S363="[FÓRMULA MANUAL]","",IFERROR(AVERAGEIFS(nNOTA,nNIA,S363,nCUENTA,1,nASIG,"Música de Cámara"),"")))</f>
        <v/>
      </c>
      <c r="W363" t="str">
        <f>IF(S363="","",IF(S363="[FÓRMULA MANUAL]","",IFERROR(SUMPRODUCT((nNIA=S363)*(nCUENTA=1)*(COUNTIF(CONFIG_ASIGNATURAS!$B$7:$B$27,nASIG)&gt;0)*(nNOTA))/SUMPRODUCT((nNIA=S363)*(nCUENTA=1)*(COUNTIF(CONFIG_ASIGNATURAS!$B$7:$B$27,nASIG)&gt;0)*1),"")))</f>
        <v/>
      </c>
      <c r="Z363" t="str">
        <f>IF(Y363="","",IF(Y363="[FÓRMULA MANUAL]","",IFERROR(AVERAGEIFS(nNOTA,nNIA,Y363,nCUENTA,1,nASIG,"Análisis"),"")))</f>
        <v/>
      </c>
      <c r="AA363" t="str">
        <f>IF(Y363="","",IF(Y363="[FÓRMULA MANUAL]","",IFERROR(AVERAGEIFS(nNOTA,nNIA,Y363,nCUENTA,1,nASIG,"Orquesta/Banda/Conjunto"),"")))</f>
        <v/>
      </c>
      <c r="AB363" t="str">
        <f>IF(Y363="","",IF(Y363="[FÓRMULA MANUAL]","",IFERROR(AVERAGEIFS(nNOTA,nNIA,Y363,nCUENTA,1,nASIG,"Música de Cámara"),"")))</f>
        <v/>
      </c>
      <c r="AC363" t="str">
        <f>IF(Y363="","",IF(Y363="[FÓRMULA MANUAL]","",IFERROR(SUMPRODUCT((nNIA=Y363)*(nCUENTA=1)*(COUNTIF(CONFIG_ASIGNATURAS!$B$7:$B$27,nASIG)&gt;0)*(nNOTA))/SUMPRODUCT((nNIA=Y363)*(nCUENTA=1)*(COUNTIF(CONFIG_ASIGNATURAS!$B$7:$B$27,nASIG)&gt;0)*1),"")))</f>
        <v/>
      </c>
      <c r="AF363" t="str">
        <f>IF(AE363="","",IF(AE363="[FÓRMULA MANUAL]","",IFERROR(AVERAGEIFS(nNOTA,nNIA,AE363,nCUENTA,1,nASIG,"Análisis"),"")))</f>
        <v/>
      </c>
      <c r="AG363" t="str">
        <f>IF(AE363="","",IF(AE363="[FÓRMULA MANUAL]","",IFERROR(AVERAGEIFS(nNOTA,nNIA,AE363,nCUENTA,1,nASIG,"Orquesta/Banda/Conjunto"),"")))</f>
        <v/>
      </c>
      <c r="AH363" t="str">
        <f>IF(AE363="","",IF(AE363="[FÓRMULA MANUAL]","",IFERROR(AVERAGEIFS(nNOTA,nNIA,AE363,nCUENTA,1,nASIG,"Música de Cámara"),"")))</f>
        <v/>
      </c>
      <c r="AI363" t="str">
        <f>IF(AE363="","",IF(AE363="[FÓRMULA MANUAL]","",IFERROR(SUMPRODUCT((nNIA=AE363)*(nCUENTA=1)*(COUNTIF(CONFIG_ASIGNATURAS!$B$7:$B$27,nASIG)&gt;0)*(nNOTA))/SUMPRODUCT((nNIA=AE363)*(nCUENTA=1)*(COUNTIF(CONFIG_ASIGNATURAS!$B$7:$B$27,nASIG)&gt;0)*1),"")))</f>
        <v/>
      </c>
    </row>
    <row r="364" spans="2:35" x14ac:dyDescent="0.2">
      <c r="B364" t="str">
        <f>IF(A364="","",IF(A364="[FÓRMULA MANUAL]","",IFERROR(AVERAGEIFS(nNOTA,nNIA,A364,nCUENTA,1,nASIG,"Lenguaje Musical"),"")))</f>
        <v/>
      </c>
      <c r="C364" t="str">
        <f>IF(A364="","",IF(A364="[FÓRMULA MANUAL]","",IFERROR(AVERAGEIFS(nNOTA,nNIA,A364,nCUENTA,1,nASIG,"Orquesta/Banda/Conjunto"),"")))</f>
        <v/>
      </c>
      <c r="D364" t="str">
        <f>IF(A364="","",IF(A364="[FÓRMULA MANUAL]","",IFERROR(AVERAGEIFS(nNOTA,nNIA,A364,nCUENTA,1,nASIG,"Conjunto"),"")))</f>
        <v/>
      </c>
      <c r="E364" t="str">
        <f>IF(A364="","",IF(A364="[FÓRMULA MANUAL]","",IFERROR(SUMPRODUCT((nNIA=A364)*(nCUENTA=1)*(COUNTIF(CONFIG_ASIGNATURAS!$B$7:$B$27,nASIG)&gt;0)*(nNOTA))/SUMPRODUCT((nNIA=A364)*(nCUENTA=1)*(COUNTIF(CONFIG_ASIGNATURAS!$B$7:$B$27,nASIG)&gt;0)*1),"")))</f>
        <v/>
      </c>
      <c r="H364" t="str">
        <f>IF(G364="","",IF(G364="[FÓRMULA MANUAL]","",IFERROR(AVERAGEIFS(nNOTA,nNIA,G364,nCUENTA,1,nASIG,"Lenguaje Musical"),"")))</f>
        <v/>
      </c>
      <c r="I364" t="str">
        <f>IF(G364="","",IF(G364="[FÓRMULA MANUAL]","",IFERROR(AVERAGEIFS(nNOTA,nNIA,G364,nCUENTA,1,nASIG,"Orquesta/Banda/Conjunto"),"")))</f>
        <v/>
      </c>
      <c r="J364" t="str">
        <f>IF(G364="","",IF(G364="[FÓRMULA MANUAL]","",IFERROR(AVERAGEIFS(nNOTA,nNIA,G364,nCUENTA,1,nASIG,"Conjunto"),"")))</f>
        <v/>
      </c>
      <c r="K364" t="str">
        <f>IF(G364="","",IF(G364="[FÓRMULA MANUAL]","",IFERROR(SUMPRODUCT((nNIA=G364)*(nCUENTA=1)*(COUNTIF(CONFIG_ASIGNATURAS!$B$7:$B$27,nASIG)&gt;0)*(nNOTA))/SUMPRODUCT((nNIA=G364)*(nCUENTA=1)*(COUNTIF(CONFIG_ASIGNATURAS!$B$7:$B$27,nASIG)&gt;0)*1),"")))</f>
        <v/>
      </c>
      <c r="N364" t="str">
        <f>IF(M364="","",IF(M364="[FÓRMULA MANUAL]","",IFERROR(AVERAGEIFS(nNOTA,nNIA,M364,nCUENTA,1,nASIG,"Armonía"),"")))</f>
        <v/>
      </c>
      <c r="O364" t="str">
        <f>IF(M364="","",IF(M364="[FÓRMULA MANUAL]","",IFERROR(AVERAGEIFS(nNOTA,nNIA,M364,nCUENTA,1,nASIG,"Orquesta/Banda/Conjunto"),"")))</f>
        <v/>
      </c>
      <c r="P364" t="str">
        <f>IF(M364="","",IF(M364="[FÓRMULA MANUAL]","",IFERROR(AVERAGEIFS(nNOTA,nNIA,M364,nCUENTA,1,nASIG,"Música de Cámara"),"")))</f>
        <v/>
      </c>
      <c r="Q364" t="str">
        <f>IF(M364="","",IF(M364="[FÓRMULA MANUAL]","",IFERROR(SUMPRODUCT((nNIA=M364)*(nCUENTA=1)*(COUNTIF(CONFIG_ASIGNATURAS!$B$7:$B$27,nASIG)&gt;0)*(nNOTA))/SUMPRODUCT((nNIA=M364)*(nCUENTA=1)*(COUNTIF(CONFIG_ASIGNATURAS!$B$7:$B$27,nASIG)&gt;0)*1),"")))</f>
        <v/>
      </c>
      <c r="T364" t="str">
        <f>IF(S364="","",IF(S364="[FÓRMULA MANUAL]","",IFERROR(AVERAGEIFS(nNOTA,nNIA,S364,nCUENTA,1,nASIG,"Armonía"),"")))</f>
        <v/>
      </c>
      <c r="U364" t="str">
        <f>IF(S364="","",IF(S364="[FÓRMULA MANUAL]","",IFERROR(AVERAGEIFS(nNOTA,nNIA,S364,nCUENTA,1,nASIG,"Orquesta/Banda/Conjunto"),"")))</f>
        <v/>
      </c>
      <c r="V364" t="str">
        <f>IF(S364="","",IF(S364="[FÓRMULA MANUAL]","",IFERROR(AVERAGEIFS(nNOTA,nNIA,S364,nCUENTA,1,nASIG,"Música de Cámara"),"")))</f>
        <v/>
      </c>
      <c r="W364" t="str">
        <f>IF(S364="","",IF(S364="[FÓRMULA MANUAL]","",IFERROR(SUMPRODUCT((nNIA=S364)*(nCUENTA=1)*(COUNTIF(CONFIG_ASIGNATURAS!$B$7:$B$27,nASIG)&gt;0)*(nNOTA))/SUMPRODUCT((nNIA=S364)*(nCUENTA=1)*(COUNTIF(CONFIG_ASIGNATURAS!$B$7:$B$27,nASIG)&gt;0)*1),"")))</f>
        <v/>
      </c>
      <c r="Z364" t="str">
        <f>IF(Y364="","",IF(Y364="[FÓRMULA MANUAL]","",IFERROR(AVERAGEIFS(nNOTA,nNIA,Y364,nCUENTA,1,nASIG,"Análisis"),"")))</f>
        <v/>
      </c>
      <c r="AA364" t="str">
        <f>IF(Y364="","",IF(Y364="[FÓRMULA MANUAL]","",IFERROR(AVERAGEIFS(nNOTA,nNIA,Y364,nCUENTA,1,nASIG,"Orquesta/Banda/Conjunto"),"")))</f>
        <v/>
      </c>
      <c r="AB364" t="str">
        <f>IF(Y364="","",IF(Y364="[FÓRMULA MANUAL]","",IFERROR(AVERAGEIFS(nNOTA,nNIA,Y364,nCUENTA,1,nASIG,"Música de Cámara"),"")))</f>
        <v/>
      </c>
      <c r="AC364" t="str">
        <f>IF(Y364="","",IF(Y364="[FÓRMULA MANUAL]","",IFERROR(SUMPRODUCT((nNIA=Y364)*(nCUENTA=1)*(COUNTIF(CONFIG_ASIGNATURAS!$B$7:$B$27,nASIG)&gt;0)*(nNOTA))/SUMPRODUCT((nNIA=Y364)*(nCUENTA=1)*(COUNTIF(CONFIG_ASIGNATURAS!$B$7:$B$27,nASIG)&gt;0)*1),"")))</f>
        <v/>
      </c>
      <c r="AF364" t="str">
        <f>IF(AE364="","",IF(AE364="[FÓRMULA MANUAL]","",IFERROR(AVERAGEIFS(nNOTA,nNIA,AE364,nCUENTA,1,nASIG,"Análisis"),"")))</f>
        <v/>
      </c>
      <c r="AG364" t="str">
        <f>IF(AE364="","",IF(AE364="[FÓRMULA MANUAL]","",IFERROR(AVERAGEIFS(nNOTA,nNIA,AE364,nCUENTA,1,nASIG,"Orquesta/Banda/Conjunto"),"")))</f>
        <v/>
      </c>
      <c r="AH364" t="str">
        <f>IF(AE364="","",IF(AE364="[FÓRMULA MANUAL]","",IFERROR(AVERAGEIFS(nNOTA,nNIA,AE364,nCUENTA,1,nASIG,"Música de Cámara"),"")))</f>
        <v/>
      </c>
      <c r="AI364" t="str">
        <f>IF(AE364="","",IF(AE364="[FÓRMULA MANUAL]","",IFERROR(SUMPRODUCT((nNIA=AE364)*(nCUENTA=1)*(COUNTIF(CONFIG_ASIGNATURAS!$B$7:$B$27,nASIG)&gt;0)*(nNOTA))/SUMPRODUCT((nNIA=AE364)*(nCUENTA=1)*(COUNTIF(CONFIG_ASIGNATURAS!$B$7:$B$27,nASIG)&gt;0)*1),"")))</f>
        <v/>
      </c>
    </row>
    <row r="365" spans="2:35" x14ac:dyDescent="0.2">
      <c r="B365" t="str">
        <f>IF(A365="","",IF(A365="[FÓRMULA MANUAL]","",IFERROR(AVERAGEIFS(nNOTA,nNIA,A365,nCUENTA,1,nASIG,"Lenguaje Musical"),"")))</f>
        <v/>
      </c>
      <c r="C365" t="str">
        <f>IF(A365="","",IF(A365="[FÓRMULA MANUAL]","",IFERROR(AVERAGEIFS(nNOTA,nNIA,A365,nCUENTA,1,nASIG,"Orquesta/Banda/Conjunto"),"")))</f>
        <v/>
      </c>
      <c r="D365" t="str">
        <f>IF(A365="","",IF(A365="[FÓRMULA MANUAL]","",IFERROR(AVERAGEIFS(nNOTA,nNIA,A365,nCUENTA,1,nASIG,"Conjunto"),"")))</f>
        <v/>
      </c>
      <c r="E365" t="str">
        <f>IF(A365="","",IF(A365="[FÓRMULA MANUAL]","",IFERROR(SUMPRODUCT((nNIA=A365)*(nCUENTA=1)*(COUNTIF(CONFIG_ASIGNATURAS!$B$7:$B$27,nASIG)&gt;0)*(nNOTA))/SUMPRODUCT((nNIA=A365)*(nCUENTA=1)*(COUNTIF(CONFIG_ASIGNATURAS!$B$7:$B$27,nASIG)&gt;0)*1),"")))</f>
        <v/>
      </c>
      <c r="H365" t="str">
        <f>IF(G365="","",IF(G365="[FÓRMULA MANUAL]","",IFERROR(AVERAGEIFS(nNOTA,nNIA,G365,nCUENTA,1,nASIG,"Lenguaje Musical"),"")))</f>
        <v/>
      </c>
      <c r="I365" t="str">
        <f>IF(G365="","",IF(G365="[FÓRMULA MANUAL]","",IFERROR(AVERAGEIFS(nNOTA,nNIA,G365,nCUENTA,1,nASIG,"Orquesta/Banda/Conjunto"),"")))</f>
        <v/>
      </c>
      <c r="J365" t="str">
        <f>IF(G365="","",IF(G365="[FÓRMULA MANUAL]","",IFERROR(AVERAGEIFS(nNOTA,nNIA,G365,nCUENTA,1,nASIG,"Conjunto"),"")))</f>
        <v/>
      </c>
      <c r="K365" t="str">
        <f>IF(G365="","",IF(G365="[FÓRMULA MANUAL]","",IFERROR(SUMPRODUCT((nNIA=G365)*(nCUENTA=1)*(COUNTIF(CONFIG_ASIGNATURAS!$B$7:$B$27,nASIG)&gt;0)*(nNOTA))/SUMPRODUCT((nNIA=G365)*(nCUENTA=1)*(COUNTIF(CONFIG_ASIGNATURAS!$B$7:$B$27,nASIG)&gt;0)*1),"")))</f>
        <v/>
      </c>
      <c r="N365" t="str">
        <f>IF(M365="","",IF(M365="[FÓRMULA MANUAL]","",IFERROR(AVERAGEIFS(nNOTA,nNIA,M365,nCUENTA,1,nASIG,"Armonía"),"")))</f>
        <v/>
      </c>
      <c r="O365" t="str">
        <f>IF(M365="","",IF(M365="[FÓRMULA MANUAL]","",IFERROR(AVERAGEIFS(nNOTA,nNIA,M365,nCUENTA,1,nASIG,"Orquesta/Banda/Conjunto"),"")))</f>
        <v/>
      </c>
      <c r="P365" t="str">
        <f>IF(M365="","",IF(M365="[FÓRMULA MANUAL]","",IFERROR(AVERAGEIFS(nNOTA,nNIA,M365,nCUENTA,1,nASIG,"Música de Cámara"),"")))</f>
        <v/>
      </c>
      <c r="Q365" t="str">
        <f>IF(M365="","",IF(M365="[FÓRMULA MANUAL]","",IFERROR(SUMPRODUCT((nNIA=M365)*(nCUENTA=1)*(COUNTIF(CONFIG_ASIGNATURAS!$B$7:$B$27,nASIG)&gt;0)*(nNOTA))/SUMPRODUCT((nNIA=M365)*(nCUENTA=1)*(COUNTIF(CONFIG_ASIGNATURAS!$B$7:$B$27,nASIG)&gt;0)*1),"")))</f>
        <v/>
      </c>
      <c r="T365" t="str">
        <f>IF(S365="","",IF(S365="[FÓRMULA MANUAL]","",IFERROR(AVERAGEIFS(nNOTA,nNIA,S365,nCUENTA,1,nASIG,"Armonía"),"")))</f>
        <v/>
      </c>
      <c r="U365" t="str">
        <f>IF(S365="","",IF(S365="[FÓRMULA MANUAL]","",IFERROR(AVERAGEIFS(nNOTA,nNIA,S365,nCUENTA,1,nASIG,"Orquesta/Banda/Conjunto"),"")))</f>
        <v/>
      </c>
      <c r="V365" t="str">
        <f>IF(S365="","",IF(S365="[FÓRMULA MANUAL]","",IFERROR(AVERAGEIFS(nNOTA,nNIA,S365,nCUENTA,1,nASIG,"Música de Cámara"),"")))</f>
        <v/>
      </c>
      <c r="W365" t="str">
        <f>IF(S365="","",IF(S365="[FÓRMULA MANUAL]","",IFERROR(SUMPRODUCT((nNIA=S365)*(nCUENTA=1)*(COUNTIF(CONFIG_ASIGNATURAS!$B$7:$B$27,nASIG)&gt;0)*(nNOTA))/SUMPRODUCT((nNIA=S365)*(nCUENTA=1)*(COUNTIF(CONFIG_ASIGNATURAS!$B$7:$B$27,nASIG)&gt;0)*1),"")))</f>
        <v/>
      </c>
      <c r="Z365" t="str">
        <f>IF(Y365="","",IF(Y365="[FÓRMULA MANUAL]","",IFERROR(AVERAGEIFS(nNOTA,nNIA,Y365,nCUENTA,1,nASIG,"Análisis"),"")))</f>
        <v/>
      </c>
      <c r="AA365" t="str">
        <f>IF(Y365="","",IF(Y365="[FÓRMULA MANUAL]","",IFERROR(AVERAGEIFS(nNOTA,nNIA,Y365,nCUENTA,1,nASIG,"Orquesta/Banda/Conjunto"),"")))</f>
        <v/>
      </c>
      <c r="AB365" t="str">
        <f>IF(Y365="","",IF(Y365="[FÓRMULA MANUAL]","",IFERROR(AVERAGEIFS(nNOTA,nNIA,Y365,nCUENTA,1,nASIG,"Música de Cámara"),"")))</f>
        <v/>
      </c>
      <c r="AC365" t="str">
        <f>IF(Y365="","",IF(Y365="[FÓRMULA MANUAL]","",IFERROR(SUMPRODUCT((nNIA=Y365)*(nCUENTA=1)*(COUNTIF(CONFIG_ASIGNATURAS!$B$7:$B$27,nASIG)&gt;0)*(nNOTA))/SUMPRODUCT((nNIA=Y365)*(nCUENTA=1)*(COUNTIF(CONFIG_ASIGNATURAS!$B$7:$B$27,nASIG)&gt;0)*1),"")))</f>
        <v/>
      </c>
      <c r="AF365" t="str">
        <f>IF(AE365="","",IF(AE365="[FÓRMULA MANUAL]","",IFERROR(AVERAGEIFS(nNOTA,nNIA,AE365,nCUENTA,1,nASIG,"Análisis"),"")))</f>
        <v/>
      </c>
      <c r="AG365" t="str">
        <f>IF(AE365="","",IF(AE365="[FÓRMULA MANUAL]","",IFERROR(AVERAGEIFS(nNOTA,nNIA,AE365,nCUENTA,1,nASIG,"Orquesta/Banda/Conjunto"),"")))</f>
        <v/>
      </c>
      <c r="AH365" t="str">
        <f>IF(AE365="","",IF(AE365="[FÓRMULA MANUAL]","",IFERROR(AVERAGEIFS(nNOTA,nNIA,AE365,nCUENTA,1,nASIG,"Música de Cámara"),"")))</f>
        <v/>
      </c>
      <c r="AI365" t="str">
        <f>IF(AE365="","",IF(AE365="[FÓRMULA MANUAL]","",IFERROR(SUMPRODUCT((nNIA=AE365)*(nCUENTA=1)*(COUNTIF(CONFIG_ASIGNATURAS!$B$7:$B$27,nASIG)&gt;0)*(nNOTA))/SUMPRODUCT((nNIA=AE365)*(nCUENTA=1)*(COUNTIF(CONFIG_ASIGNATURAS!$B$7:$B$27,nASIG)&gt;0)*1),"")))</f>
        <v/>
      </c>
    </row>
    <row r="366" spans="2:35" x14ac:dyDescent="0.2">
      <c r="B366" t="str">
        <f>IF(A366="","",IF(A366="[FÓRMULA MANUAL]","",IFERROR(AVERAGEIFS(nNOTA,nNIA,A366,nCUENTA,1,nASIG,"Lenguaje Musical"),"")))</f>
        <v/>
      </c>
      <c r="C366" t="str">
        <f>IF(A366="","",IF(A366="[FÓRMULA MANUAL]","",IFERROR(AVERAGEIFS(nNOTA,nNIA,A366,nCUENTA,1,nASIG,"Orquesta/Banda/Conjunto"),"")))</f>
        <v/>
      </c>
      <c r="D366" t="str">
        <f>IF(A366="","",IF(A366="[FÓRMULA MANUAL]","",IFERROR(AVERAGEIFS(nNOTA,nNIA,A366,nCUENTA,1,nASIG,"Conjunto"),"")))</f>
        <v/>
      </c>
      <c r="E366" t="str">
        <f>IF(A366="","",IF(A366="[FÓRMULA MANUAL]","",IFERROR(SUMPRODUCT((nNIA=A366)*(nCUENTA=1)*(COUNTIF(CONFIG_ASIGNATURAS!$B$7:$B$27,nASIG)&gt;0)*(nNOTA))/SUMPRODUCT((nNIA=A366)*(nCUENTA=1)*(COUNTIF(CONFIG_ASIGNATURAS!$B$7:$B$27,nASIG)&gt;0)*1),"")))</f>
        <v/>
      </c>
      <c r="H366" t="str">
        <f>IF(G366="","",IF(G366="[FÓRMULA MANUAL]","",IFERROR(AVERAGEIFS(nNOTA,nNIA,G366,nCUENTA,1,nASIG,"Lenguaje Musical"),"")))</f>
        <v/>
      </c>
      <c r="I366" t="str">
        <f>IF(G366="","",IF(G366="[FÓRMULA MANUAL]","",IFERROR(AVERAGEIFS(nNOTA,nNIA,G366,nCUENTA,1,nASIG,"Orquesta/Banda/Conjunto"),"")))</f>
        <v/>
      </c>
      <c r="J366" t="str">
        <f>IF(G366="","",IF(G366="[FÓRMULA MANUAL]","",IFERROR(AVERAGEIFS(nNOTA,nNIA,G366,nCUENTA,1,nASIG,"Conjunto"),"")))</f>
        <v/>
      </c>
      <c r="K366" t="str">
        <f>IF(G366="","",IF(G366="[FÓRMULA MANUAL]","",IFERROR(SUMPRODUCT((nNIA=G366)*(nCUENTA=1)*(COUNTIF(CONFIG_ASIGNATURAS!$B$7:$B$27,nASIG)&gt;0)*(nNOTA))/SUMPRODUCT((nNIA=G366)*(nCUENTA=1)*(COUNTIF(CONFIG_ASIGNATURAS!$B$7:$B$27,nASIG)&gt;0)*1),"")))</f>
        <v/>
      </c>
      <c r="N366" t="str">
        <f>IF(M366="","",IF(M366="[FÓRMULA MANUAL]","",IFERROR(AVERAGEIFS(nNOTA,nNIA,M366,nCUENTA,1,nASIG,"Armonía"),"")))</f>
        <v/>
      </c>
      <c r="O366" t="str">
        <f>IF(M366="","",IF(M366="[FÓRMULA MANUAL]","",IFERROR(AVERAGEIFS(nNOTA,nNIA,M366,nCUENTA,1,nASIG,"Orquesta/Banda/Conjunto"),"")))</f>
        <v/>
      </c>
      <c r="P366" t="str">
        <f>IF(M366="","",IF(M366="[FÓRMULA MANUAL]","",IFERROR(AVERAGEIFS(nNOTA,nNIA,M366,nCUENTA,1,nASIG,"Música de Cámara"),"")))</f>
        <v/>
      </c>
      <c r="Q366" t="str">
        <f>IF(M366="","",IF(M366="[FÓRMULA MANUAL]","",IFERROR(SUMPRODUCT((nNIA=M366)*(nCUENTA=1)*(COUNTIF(CONFIG_ASIGNATURAS!$B$7:$B$27,nASIG)&gt;0)*(nNOTA))/SUMPRODUCT((nNIA=M366)*(nCUENTA=1)*(COUNTIF(CONFIG_ASIGNATURAS!$B$7:$B$27,nASIG)&gt;0)*1),"")))</f>
        <v/>
      </c>
      <c r="T366" t="str">
        <f>IF(S366="","",IF(S366="[FÓRMULA MANUAL]","",IFERROR(AVERAGEIFS(nNOTA,nNIA,S366,nCUENTA,1,nASIG,"Armonía"),"")))</f>
        <v/>
      </c>
      <c r="U366" t="str">
        <f>IF(S366="","",IF(S366="[FÓRMULA MANUAL]","",IFERROR(AVERAGEIFS(nNOTA,nNIA,S366,nCUENTA,1,nASIG,"Orquesta/Banda/Conjunto"),"")))</f>
        <v/>
      </c>
      <c r="V366" t="str">
        <f>IF(S366="","",IF(S366="[FÓRMULA MANUAL]","",IFERROR(AVERAGEIFS(nNOTA,nNIA,S366,nCUENTA,1,nASIG,"Música de Cámara"),"")))</f>
        <v/>
      </c>
      <c r="W366" t="str">
        <f>IF(S366="","",IF(S366="[FÓRMULA MANUAL]","",IFERROR(SUMPRODUCT((nNIA=S366)*(nCUENTA=1)*(COUNTIF(CONFIG_ASIGNATURAS!$B$7:$B$27,nASIG)&gt;0)*(nNOTA))/SUMPRODUCT((nNIA=S366)*(nCUENTA=1)*(COUNTIF(CONFIG_ASIGNATURAS!$B$7:$B$27,nASIG)&gt;0)*1),"")))</f>
        <v/>
      </c>
      <c r="Z366" t="str">
        <f>IF(Y366="","",IF(Y366="[FÓRMULA MANUAL]","",IFERROR(AVERAGEIFS(nNOTA,nNIA,Y366,nCUENTA,1,nASIG,"Análisis"),"")))</f>
        <v/>
      </c>
      <c r="AA366" t="str">
        <f>IF(Y366="","",IF(Y366="[FÓRMULA MANUAL]","",IFERROR(AVERAGEIFS(nNOTA,nNIA,Y366,nCUENTA,1,nASIG,"Orquesta/Banda/Conjunto"),"")))</f>
        <v/>
      </c>
      <c r="AB366" t="str">
        <f>IF(Y366="","",IF(Y366="[FÓRMULA MANUAL]","",IFERROR(AVERAGEIFS(nNOTA,nNIA,Y366,nCUENTA,1,nASIG,"Música de Cámara"),"")))</f>
        <v/>
      </c>
      <c r="AC366" t="str">
        <f>IF(Y366="","",IF(Y366="[FÓRMULA MANUAL]","",IFERROR(SUMPRODUCT((nNIA=Y366)*(nCUENTA=1)*(COUNTIF(CONFIG_ASIGNATURAS!$B$7:$B$27,nASIG)&gt;0)*(nNOTA))/SUMPRODUCT((nNIA=Y366)*(nCUENTA=1)*(COUNTIF(CONFIG_ASIGNATURAS!$B$7:$B$27,nASIG)&gt;0)*1),"")))</f>
        <v/>
      </c>
      <c r="AF366" t="str">
        <f>IF(AE366="","",IF(AE366="[FÓRMULA MANUAL]","",IFERROR(AVERAGEIFS(nNOTA,nNIA,AE366,nCUENTA,1,nASIG,"Análisis"),"")))</f>
        <v/>
      </c>
      <c r="AG366" t="str">
        <f>IF(AE366="","",IF(AE366="[FÓRMULA MANUAL]","",IFERROR(AVERAGEIFS(nNOTA,nNIA,AE366,nCUENTA,1,nASIG,"Orquesta/Banda/Conjunto"),"")))</f>
        <v/>
      </c>
      <c r="AH366" t="str">
        <f>IF(AE366="","",IF(AE366="[FÓRMULA MANUAL]","",IFERROR(AVERAGEIFS(nNOTA,nNIA,AE366,nCUENTA,1,nASIG,"Música de Cámara"),"")))</f>
        <v/>
      </c>
      <c r="AI366" t="str">
        <f>IF(AE366="","",IF(AE366="[FÓRMULA MANUAL]","",IFERROR(SUMPRODUCT((nNIA=AE366)*(nCUENTA=1)*(COUNTIF(CONFIG_ASIGNATURAS!$B$7:$B$27,nASIG)&gt;0)*(nNOTA))/SUMPRODUCT((nNIA=AE366)*(nCUENTA=1)*(COUNTIF(CONFIG_ASIGNATURAS!$B$7:$B$27,nASIG)&gt;0)*1),"")))</f>
        <v/>
      </c>
    </row>
    <row r="367" spans="2:35" x14ac:dyDescent="0.2">
      <c r="B367" t="str">
        <f>IF(A367="","",IF(A367="[FÓRMULA MANUAL]","",IFERROR(AVERAGEIFS(nNOTA,nNIA,A367,nCUENTA,1,nASIG,"Lenguaje Musical"),"")))</f>
        <v/>
      </c>
      <c r="C367" t="str">
        <f>IF(A367="","",IF(A367="[FÓRMULA MANUAL]","",IFERROR(AVERAGEIFS(nNOTA,nNIA,A367,nCUENTA,1,nASIG,"Orquesta/Banda/Conjunto"),"")))</f>
        <v/>
      </c>
      <c r="D367" t="str">
        <f>IF(A367="","",IF(A367="[FÓRMULA MANUAL]","",IFERROR(AVERAGEIFS(nNOTA,nNIA,A367,nCUENTA,1,nASIG,"Conjunto"),"")))</f>
        <v/>
      </c>
      <c r="E367" t="str">
        <f>IF(A367="","",IF(A367="[FÓRMULA MANUAL]","",IFERROR(SUMPRODUCT((nNIA=A367)*(nCUENTA=1)*(COUNTIF(CONFIG_ASIGNATURAS!$B$7:$B$27,nASIG)&gt;0)*(nNOTA))/SUMPRODUCT((nNIA=A367)*(nCUENTA=1)*(COUNTIF(CONFIG_ASIGNATURAS!$B$7:$B$27,nASIG)&gt;0)*1),"")))</f>
        <v/>
      </c>
      <c r="H367" t="str">
        <f>IF(G367="","",IF(G367="[FÓRMULA MANUAL]","",IFERROR(AVERAGEIFS(nNOTA,nNIA,G367,nCUENTA,1,nASIG,"Lenguaje Musical"),"")))</f>
        <v/>
      </c>
      <c r="I367" t="str">
        <f>IF(G367="","",IF(G367="[FÓRMULA MANUAL]","",IFERROR(AVERAGEIFS(nNOTA,nNIA,G367,nCUENTA,1,nASIG,"Orquesta/Banda/Conjunto"),"")))</f>
        <v/>
      </c>
      <c r="J367" t="str">
        <f>IF(G367="","",IF(G367="[FÓRMULA MANUAL]","",IFERROR(AVERAGEIFS(nNOTA,nNIA,G367,nCUENTA,1,nASIG,"Conjunto"),"")))</f>
        <v/>
      </c>
      <c r="K367" t="str">
        <f>IF(G367="","",IF(G367="[FÓRMULA MANUAL]","",IFERROR(SUMPRODUCT((nNIA=G367)*(nCUENTA=1)*(COUNTIF(CONFIG_ASIGNATURAS!$B$7:$B$27,nASIG)&gt;0)*(nNOTA))/SUMPRODUCT((nNIA=G367)*(nCUENTA=1)*(COUNTIF(CONFIG_ASIGNATURAS!$B$7:$B$27,nASIG)&gt;0)*1),"")))</f>
        <v/>
      </c>
      <c r="N367" t="str">
        <f>IF(M367="","",IF(M367="[FÓRMULA MANUAL]","",IFERROR(AVERAGEIFS(nNOTA,nNIA,M367,nCUENTA,1,nASIG,"Armonía"),"")))</f>
        <v/>
      </c>
      <c r="O367" t="str">
        <f>IF(M367="","",IF(M367="[FÓRMULA MANUAL]","",IFERROR(AVERAGEIFS(nNOTA,nNIA,M367,nCUENTA,1,nASIG,"Orquesta/Banda/Conjunto"),"")))</f>
        <v/>
      </c>
      <c r="P367" t="str">
        <f>IF(M367="","",IF(M367="[FÓRMULA MANUAL]","",IFERROR(AVERAGEIFS(nNOTA,nNIA,M367,nCUENTA,1,nASIG,"Música de Cámara"),"")))</f>
        <v/>
      </c>
      <c r="Q367" t="str">
        <f>IF(M367="","",IF(M367="[FÓRMULA MANUAL]","",IFERROR(SUMPRODUCT((nNIA=M367)*(nCUENTA=1)*(COUNTIF(CONFIG_ASIGNATURAS!$B$7:$B$27,nASIG)&gt;0)*(nNOTA))/SUMPRODUCT((nNIA=M367)*(nCUENTA=1)*(COUNTIF(CONFIG_ASIGNATURAS!$B$7:$B$27,nASIG)&gt;0)*1),"")))</f>
        <v/>
      </c>
      <c r="T367" t="str">
        <f>IF(S367="","",IF(S367="[FÓRMULA MANUAL]","",IFERROR(AVERAGEIFS(nNOTA,nNIA,S367,nCUENTA,1,nASIG,"Armonía"),"")))</f>
        <v/>
      </c>
      <c r="U367" t="str">
        <f>IF(S367="","",IF(S367="[FÓRMULA MANUAL]","",IFERROR(AVERAGEIFS(nNOTA,nNIA,S367,nCUENTA,1,nASIG,"Orquesta/Banda/Conjunto"),"")))</f>
        <v/>
      </c>
      <c r="V367" t="str">
        <f>IF(S367="","",IF(S367="[FÓRMULA MANUAL]","",IFERROR(AVERAGEIFS(nNOTA,nNIA,S367,nCUENTA,1,nASIG,"Música de Cámara"),"")))</f>
        <v/>
      </c>
      <c r="W367" t="str">
        <f>IF(S367="","",IF(S367="[FÓRMULA MANUAL]","",IFERROR(SUMPRODUCT((nNIA=S367)*(nCUENTA=1)*(COUNTIF(CONFIG_ASIGNATURAS!$B$7:$B$27,nASIG)&gt;0)*(nNOTA))/SUMPRODUCT((nNIA=S367)*(nCUENTA=1)*(COUNTIF(CONFIG_ASIGNATURAS!$B$7:$B$27,nASIG)&gt;0)*1),"")))</f>
        <v/>
      </c>
      <c r="Z367" t="str">
        <f>IF(Y367="","",IF(Y367="[FÓRMULA MANUAL]","",IFERROR(AVERAGEIFS(nNOTA,nNIA,Y367,nCUENTA,1,nASIG,"Análisis"),"")))</f>
        <v/>
      </c>
      <c r="AA367" t="str">
        <f>IF(Y367="","",IF(Y367="[FÓRMULA MANUAL]","",IFERROR(AVERAGEIFS(nNOTA,nNIA,Y367,nCUENTA,1,nASIG,"Orquesta/Banda/Conjunto"),"")))</f>
        <v/>
      </c>
      <c r="AB367" t="str">
        <f>IF(Y367="","",IF(Y367="[FÓRMULA MANUAL]","",IFERROR(AVERAGEIFS(nNOTA,nNIA,Y367,nCUENTA,1,nASIG,"Música de Cámara"),"")))</f>
        <v/>
      </c>
      <c r="AC367" t="str">
        <f>IF(Y367="","",IF(Y367="[FÓRMULA MANUAL]","",IFERROR(SUMPRODUCT((nNIA=Y367)*(nCUENTA=1)*(COUNTIF(CONFIG_ASIGNATURAS!$B$7:$B$27,nASIG)&gt;0)*(nNOTA))/SUMPRODUCT((nNIA=Y367)*(nCUENTA=1)*(COUNTIF(CONFIG_ASIGNATURAS!$B$7:$B$27,nASIG)&gt;0)*1),"")))</f>
        <v/>
      </c>
      <c r="AF367" t="str">
        <f>IF(AE367="","",IF(AE367="[FÓRMULA MANUAL]","",IFERROR(AVERAGEIFS(nNOTA,nNIA,AE367,nCUENTA,1,nASIG,"Análisis"),"")))</f>
        <v/>
      </c>
      <c r="AG367" t="str">
        <f>IF(AE367="","",IF(AE367="[FÓRMULA MANUAL]","",IFERROR(AVERAGEIFS(nNOTA,nNIA,AE367,nCUENTA,1,nASIG,"Orquesta/Banda/Conjunto"),"")))</f>
        <v/>
      </c>
      <c r="AH367" t="str">
        <f>IF(AE367="","",IF(AE367="[FÓRMULA MANUAL]","",IFERROR(AVERAGEIFS(nNOTA,nNIA,AE367,nCUENTA,1,nASIG,"Música de Cámara"),"")))</f>
        <v/>
      </c>
      <c r="AI367" t="str">
        <f>IF(AE367="","",IF(AE367="[FÓRMULA MANUAL]","",IFERROR(SUMPRODUCT((nNIA=AE367)*(nCUENTA=1)*(COUNTIF(CONFIG_ASIGNATURAS!$B$7:$B$27,nASIG)&gt;0)*(nNOTA))/SUMPRODUCT((nNIA=AE367)*(nCUENTA=1)*(COUNTIF(CONFIG_ASIGNATURAS!$B$7:$B$27,nASIG)&gt;0)*1),"")))</f>
        <v/>
      </c>
    </row>
    <row r="368" spans="2:35" x14ac:dyDescent="0.2">
      <c r="B368" t="str">
        <f>IF(A368="","",IF(A368="[FÓRMULA MANUAL]","",IFERROR(AVERAGEIFS(nNOTA,nNIA,A368,nCUENTA,1,nASIG,"Lenguaje Musical"),"")))</f>
        <v/>
      </c>
      <c r="C368" t="str">
        <f>IF(A368="","",IF(A368="[FÓRMULA MANUAL]","",IFERROR(AVERAGEIFS(nNOTA,nNIA,A368,nCUENTA,1,nASIG,"Orquesta/Banda/Conjunto"),"")))</f>
        <v/>
      </c>
      <c r="D368" t="str">
        <f>IF(A368="","",IF(A368="[FÓRMULA MANUAL]","",IFERROR(AVERAGEIFS(nNOTA,nNIA,A368,nCUENTA,1,nASIG,"Conjunto"),"")))</f>
        <v/>
      </c>
      <c r="E368" t="str">
        <f>IF(A368="","",IF(A368="[FÓRMULA MANUAL]","",IFERROR(SUMPRODUCT((nNIA=A368)*(nCUENTA=1)*(COUNTIF(CONFIG_ASIGNATURAS!$B$7:$B$27,nASIG)&gt;0)*(nNOTA))/SUMPRODUCT((nNIA=A368)*(nCUENTA=1)*(COUNTIF(CONFIG_ASIGNATURAS!$B$7:$B$27,nASIG)&gt;0)*1),"")))</f>
        <v/>
      </c>
      <c r="H368" t="str">
        <f>IF(G368="","",IF(G368="[FÓRMULA MANUAL]","",IFERROR(AVERAGEIFS(nNOTA,nNIA,G368,nCUENTA,1,nASIG,"Lenguaje Musical"),"")))</f>
        <v/>
      </c>
      <c r="I368" t="str">
        <f>IF(G368="","",IF(G368="[FÓRMULA MANUAL]","",IFERROR(AVERAGEIFS(nNOTA,nNIA,G368,nCUENTA,1,nASIG,"Orquesta/Banda/Conjunto"),"")))</f>
        <v/>
      </c>
      <c r="J368" t="str">
        <f>IF(G368="","",IF(G368="[FÓRMULA MANUAL]","",IFERROR(AVERAGEIFS(nNOTA,nNIA,G368,nCUENTA,1,nASIG,"Conjunto"),"")))</f>
        <v/>
      </c>
      <c r="K368" t="str">
        <f>IF(G368="","",IF(G368="[FÓRMULA MANUAL]","",IFERROR(SUMPRODUCT((nNIA=G368)*(nCUENTA=1)*(COUNTIF(CONFIG_ASIGNATURAS!$B$7:$B$27,nASIG)&gt;0)*(nNOTA))/SUMPRODUCT((nNIA=G368)*(nCUENTA=1)*(COUNTIF(CONFIG_ASIGNATURAS!$B$7:$B$27,nASIG)&gt;0)*1),"")))</f>
        <v/>
      </c>
      <c r="N368" t="str">
        <f>IF(M368="","",IF(M368="[FÓRMULA MANUAL]","",IFERROR(AVERAGEIFS(nNOTA,nNIA,M368,nCUENTA,1,nASIG,"Armonía"),"")))</f>
        <v/>
      </c>
      <c r="O368" t="str">
        <f>IF(M368="","",IF(M368="[FÓRMULA MANUAL]","",IFERROR(AVERAGEIFS(nNOTA,nNIA,M368,nCUENTA,1,nASIG,"Orquesta/Banda/Conjunto"),"")))</f>
        <v/>
      </c>
      <c r="P368" t="str">
        <f>IF(M368="","",IF(M368="[FÓRMULA MANUAL]","",IFERROR(AVERAGEIFS(nNOTA,nNIA,M368,nCUENTA,1,nASIG,"Música de Cámara"),"")))</f>
        <v/>
      </c>
      <c r="Q368" t="str">
        <f>IF(M368="","",IF(M368="[FÓRMULA MANUAL]","",IFERROR(SUMPRODUCT((nNIA=M368)*(nCUENTA=1)*(COUNTIF(CONFIG_ASIGNATURAS!$B$7:$B$27,nASIG)&gt;0)*(nNOTA))/SUMPRODUCT((nNIA=M368)*(nCUENTA=1)*(COUNTIF(CONFIG_ASIGNATURAS!$B$7:$B$27,nASIG)&gt;0)*1),"")))</f>
        <v/>
      </c>
      <c r="T368" t="str">
        <f>IF(S368="","",IF(S368="[FÓRMULA MANUAL]","",IFERROR(AVERAGEIFS(nNOTA,nNIA,S368,nCUENTA,1,nASIG,"Armonía"),"")))</f>
        <v/>
      </c>
      <c r="U368" t="str">
        <f>IF(S368="","",IF(S368="[FÓRMULA MANUAL]","",IFERROR(AVERAGEIFS(nNOTA,nNIA,S368,nCUENTA,1,nASIG,"Orquesta/Banda/Conjunto"),"")))</f>
        <v/>
      </c>
      <c r="V368" t="str">
        <f>IF(S368="","",IF(S368="[FÓRMULA MANUAL]","",IFERROR(AVERAGEIFS(nNOTA,nNIA,S368,nCUENTA,1,nASIG,"Música de Cámara"),"")))</f>
        <v/>
      </c>
      <c r="W368" t="str">
        <f>IF(S368="","",IF(S368="[FÓRMULA MANUAL]","",IFERROR(SUMPRODUCT((nNIA=S368)*(nCUENTA=1)*(COUNTIF(CONFIG_ASIGNATURAS!$B$7:$B$27,nASIG)&gt;0)*(nNOTA))/SUMPRODUCT((nNIA=S368)*(nCUENTA=1)*(COUNTIF(CONFIG_ASIGNATURAS!$B$7:$B$27,nASIG)&gt;0)*1),"")))</f>
        <v/>
      </c>
      <c r="Z368" t="str">
        <f>IF(Y368="","",IF(Y368="[FÓRMULA MANUAL]","",IFERROR(AVERAGEIFS(nNOTA,nNIA,Y368,nCUENTA,1,nASIG,"Análisis"),"")))</f>
        <v/>
      </c>
      <c r="AA368" t="str">
        <f>IF(Y368="","",IF(Y368="[FÓRMULA MANUAL]","",IFERROR(AVERAGEIFS(nNOTA,nNIA,Y368,nCUENTA,1,nASIG,"Orquesta/Banda/Conjunto"),"")))</f>
        <v/>
      </c>
      <c r="AB368" t="str">
        <f>IF(Y368="","",IF(Y368="[FÓRMULA MANUAL]","",IFERROR(AVERAGEIFS(nNOTA,nNIA,Y368,nCUENTA,1,nASIG,"Música de Cámara"),"")))</f>
        <v/>
      </c>
      <c r="AC368" t="str">
        <f>IF(Y368="","",IF(Y368="[FÓRMULA MANUAL]","",IFERROR(SUMPRODUCT((nNIA=Y368)*(nCUENTA=1)*(COUNTIF(CONFIG_ASIGNATURAS!$B$7:$B$27,nASIG)&gt;0)*(nNOTA))/SUMPRODUCT((nNIA=Y368)*(nCUENTA=1)*(COUNTIF(CONFIG_ASIGNATURAS!$B$7:$B$27,nASIG)&gt;0)*1),"")))</f>
        <v/>
      </c>
      <c r="AF368" t="str">
        <f>IF(AE368="","",IF(AE368="[FÓRMULA MANUAL]","",IFERROR(AVERAGEIFS(nNOTA,nNIA,AE368,nCUENTA,1,nASIG,"Análisis"),"")))</f>
        <v/>
      </c>
      <c r="AG368" t="str">
        <f>IF(AE368="","",IF(AE368="[FÓRMULA MANUAL]","",IFERROR(AVERAGEIFS(nNOTA,nNIA,AE368,nCUENTA,1,nASIG,"Orquesta/Banda/Conjunto"),"")))</f>
        <v/>
      </c>
      <c r="AH368" t="str">
        <f>IF(AE368="","",IF(AE368="[FÓRMULA MANUAL]","",IFERROR(AVERAGEIFS(nNOTA,nNIA,AE368,nCUENTA,1,nASIG,"Música de Cámara"),"")))</f>
        <v/>
      </c>
      <c r="AI368" t="str">
        <f>IF(AE368="","",IF(AE368="[FÓRMULA MANUAL]","",IFERROR(SUMPRODUCT((nNIA=AE368)*(nCUENTA=1)*(COUNTIF(CONFIG_ASIGNATURAS!$B$7:$B$27,nASIG)&gt;0)*(nNOTA))/SUMPRODUCT((nNIA=AE368)*(nCUENTA=1)*(COUNTIF(CONFIG_ASIGNATURAS!$B$7:$B$27,nASIG)&gt;0)*1),"")))</f>
        <v/>
      </c>
    </row>
    <row r="369" spans="2:35" x14ac:dyDescent="0.2">
      <c r="B369" t="str">
        <f>IF(A369="","",IF(A369="[FÓRMULA MANUAL]","",IFERROR(AVERAGEIFS(nNOTA,nNIA,A369,nCUENTA,1,nASIG,"Lenguaje Musical"),"")))</f>
        <v/>
      </c>
      <c r="C369" t="str">
        <f>IF(A369="","",IF(A369="[FÓRMULA MANUAL]","",IFERROR(AVERAGEIFS(nNOTA,nNIA,A369,nCUENTA,1,nASIG,"Orquesta/Banda/Conjunto"),"")))</f>
        <v/>
      </c>
      <c r="D369" t="str">
        <f>IF(A369="","",IF(A369="[FÓRMULA MANUAL]","",IFERROR(AVERAGEIFS(nNOTA,nNIA,A369,nCUENTA,1,nASIG,"Conjunto"),"")))</f>
        <v/>
      </c>
      <c r="E369" t="str">
        <f>IF(A369="","",IF(A369="[FÓRMULA MANUAL]","",IFERROR(SUMPRODUCT((nNIA=A369)*(nCUENTA=1)*(COUNTIF(CONFIG_ASIGNATURAS!$B$7:$B$27,nASIG)&gt;0)*(nNOTA))/SUMPRODUCT((nNIA=A369)*(nCUENTA=1)*(COUNTIF(CONFIG_ASIGNATURAS!$B$7:$B$27,nASIG)&gt;0)*1),"")))</f>
        <v/>
      </c>
      <c r="H369" t="str">
        <f>IF(G369="","",IF(G369="[FÓRMULA MANUAL]","",IFERROR(AVERAGEIFS(nNOTA,nNIA,G369,nCUENTA,1,nASIG,"Lenguaje Musical"),"")))</f>
        <v/>
      </c>
      <c r="I369" t="str">
        <f>IF(G369="","",IF(G369="[FÓRMULA MANUAL]","",IFERROR(AVERAGEIFS(nNOTA,nNIA,G369,nCUENTA,1,nASIG,"Orquesta/Banda/Conjunto"),"")))</f>
        <v/>
      </c>
      <c r="J369" t="str">
        <f>IF(G369="","",IF(G369="[FÓRMULA MANUAL]","",IFERROR(AVERAGEIFS(nNOTA,nNIA,G369,nCUENTA,1,nASIG,"Conjunto"),"")))</f>
        <v/>
      </c>
      <c r="K369" t="str">
        <f>IF(G369="","",IF(G369="[FÓRMULA MANUAL]","",IFERROR(SUMPRODUCT((nNIA=G369)*(nCUENTA=1)*(COUNTIF(CONFIG_ASIGNATURAS!$B$7:$B$27,nASIG)&gt;0)*(nNOTA))/SUMPRODUCT((nNIA=G369)*(nCUENTA=1)*(COUNTIF(CONFIG_ASIGNATURAS!$B$7:$B$27,nASIG)&gt;0)*1),"")))</f>
        <v/>
      </c>
      <c r="N369" t="str">
        <f>IF(M369="","",IF(M369="[FÓRMULA MANUAL]","",IFERROR(AVERAGEIFS(nNOTA,nNIA,M369,nCUENTA,1,nASIG,"Armonía"),"")))</f>
        <v/>
      </c>
      <c r="O369" t="str">
        <f>IF(M369="","",IF(M369="[FÓRMULA MANUAL]","",IFERROR(AVERAGEIFS(nNOTA,nNIA,M369,nCUENTA,1,nASIG,"Orquesta/Banda/Conjunto"),"")))</f>
        <v/>
      </c>
      <c r="P369" t="str">
        <f>IF(M369="","",IF(M369="[FÓRMULA MANUAL]","",IFERROR(AVERAGEIFS(nNOTA,nNIA,M369,nCUENTA,1,nASIG,"Música de Cámara"),"")))</f>
        <v/>
      </c>
      <c r="Q369" t="str">
        <f>IF(M369="","",IF(M369="[FÓRMULA MANUAL]","",IFERROR(SUMPRODUCT((nNIA=M369)*(nCUENTA=1)*(COUNTIF(CONFIG_ASIGNATURAS!$B$7:$B$27,nASIG)&gt;0)*(nNOTA))/SUMPRODUCT((nNIA=M369)*(nCUENTA=1)*(COUNTIF(CONFIG_ASIGNATURAS!$B$7:$B$27,nASIG)&gt;0)*1),"")))</f>
        <v/>
      </c>
      <c r="T369" t="str">
        <f>IF(S369="","",IF(S369="[FÓRMULA MANUAL]","",IFERROR(AVERAGEIFS(nNOTA,nNIA,S369,nCUENTA,1,nASIG,"Armonía"),"")))</f>
        <v/>
      </c>
      <c r="U369" t="str">
        <f>IF(S369="","",IF(S369="[FÓRMULA MANUAL]","",IFERROR(AVERAGEIFS(nNOTA,nNIA,S369,nCUENTA,1,nASIG,"Orquesta/Banda/Conjunto"),"")))</f>
        <v/>
      </c>
      <c r="V369" t="str">
        <f>IF(S369="","",IF(S369="[FÓRMULA MANUAL]","",IFERROR(AVERAGEIFS(nNOTA,nNIA,S369,nCUENTA,1,nASIG,"Música de Cámara"),"")))</f>
        <v/>
      </c>
      <c r="W369" t="str">
        <f>IF(S369="","",IF(S369="[FÓRMULA MANUAL]","",IFERROR(SUMPRODUCT((nNIA=S369)*(nCUENTA=1)*(COUNTIF(CONFIG_ASIGNATURAS!$B$7:$B$27,nASIG)&gt;0)*(nNOTA))/SUMPRODUCT((nNIA=S369)*(nCUENTA=1)*(COUNTIF(CONFIG_ASIGNATURAS!$B$7:$B$27,nASIG)&gt;0)*1),"")))</f>
        <v/>
      </c>
      <c r="Z369" t="str">
        <f>IF(Y369="","",IF(Y369="[FÓRMULA MANUAL]","",IFERROR(AVERAGEIFS(nNOTA,nNIA,Y369,nCUENTA,1,nASIG,"Análisis"),"")))</f>
        <v/>
      </c>
      <c r="AA369" t="str">
        <f>IF(Y369="","",IF(Y369="[FÓRMULA MANUAL]","",IFERROR(AVERAGEIFS(nNOTA,nNIA,Y369,nCUENTA,1,nASIG,"Orquesta/Banda/Conjunto"),"")))</f>
        <v/>
      </c>
      <c r="AB369" t="str">
        <f>IF(Y369="","",IF(Y369="[FÓRMULA MANUAL]","",IFERROR(AVERAGEIFS(nNOTA,nNIA,Y369,nCUENTA,1,nASIG,"Música de Cámara"),"")))</f>
        <v/>
      </c>
      <c r="AC369" t="str">
        <f>IF(Y369="","",IF(Y369="[FÓRMULA MANUAL]","",IFERROR(SUMPRODUCT((nNIA=Y369)*(nCUENTA=1)*(COUNTIF(CONFIG_ASIGNATURAS!$B$7:$B$27,nASIG)&gt;0)*(nNOTA))/SUMPRODUCT((nNIA=Y369)*(nCUENTA=1)*(COUNTIF(CONFIG_ASIGNATURAS!$B$7:$B$27,nASIG)&gt;0)*1),"")))</f>
        <v/>
      </c>
      <c r="AF369" t="str">
        <f>IF(AE369="","",IF(AE369="[FÓRMULA MANUAL]","",IFERROR(AVERAGEIFS(nNOTA,nNIA,AE369,nCUENTA,1,nASIG,"Análisis"),"")))</f>
        <v/>
      </c>
      <c r="AG369" t="str">
        <f>IF(AE369="","",IF(AE369="[FÓRMULA MANUAL]","",IFERROR(AVERAGEIFS(nNOTA,nNIA,AE369,nCUENTA,1,nASIG,"Orquesta/Banda/Conjunto"),"")))</f>
        <v/>
      </c>
      <c r="AH369" t="str">
        <f>IF(AE369="","",IF(AE369="[FÓRMULA MANUAL]","",IFERROR(AVERAGEIFS(nNOTA,nNIA,AE369,nCUENTA,1,nASIG,"Música de Cámara"),"")))</f>
        <v/>
      </c>
      <c r="AI369" t="str">
        <f>IF(AE369="","",IF(AE369="[FÓRMULA MANUAL]","",IFERROR(SUMPRODUCT((nNIA=AE369)*(nCUENTA=1)*(COUNTIF(CONFIG_ASIGNATURAS!$B$7:$B$27,nASIG)&gt;0)*(nNOTA))/SUMPRODUCT((nNIA=AE369)*(nCUENTA=1)*(COUNTIF(CONFIG_ASIGNATURAS!$B$7:$B$27,nASIG)&gt;0)*1),"")))</f>
        <v/>
      </c>
    </row>
    <row r="370" spans="2:35" x14ac:dyDescent="0.2">
      <c r="B370" t="str">
        <f>IF(A370="","",IF(A370="[FÓRMULA MANUAL]","",IFERROR(AVERAGEIFS(nNOTA,nNIA,A370,nCUENTA,1,nASIG,"Lenguaje Musical"),"")))</f>
        <v/>
      </c>
      <c r="C370" t="str">
        <f>IF(A370="","",IF(A370="[FÓRMULA MANUAL]","",IFERROR(AVERAGEIFS(nNOTA,nNIA,A370,nCUENTA,1,nASIG,"Orquesta/Banda/Conjunto"),"")))</f>
        <v/>
      </c>
      <c r="D370" t="str">
        <f>IF(A370="","",IF(A370="[FÓRMULA MANUAL]","",IFERROR(AVERAGEIFS(nNOTA,nNIA,A370,nCUENTA,1,nASIG,"Conjunto"),"")))</f>
        <v/>
      </c>
      <c r="E370" t="str">
        <f>IF(A370="","",IF(A370="[FÓRMULA MANUAL]","",IFERROR(SUMPRODUCT((nNIA=A370)*(nCUENTA=1)*(COUNTIF(CONFIG_ASIGNATURAS!$B$7:$B$27,nASIG)&gt;0)*(nNOTA))/SUMPRODUCT((nNIA=A370)*(nCUENTA=1)*(COUNTIF(CONFIG_ASIGNATURAS!$B$7:$B$27,nASIG)&gt;0)*1),"")))</f>
        <v/>
      </c>
      <c r="H370" t="str">
        <f>IF(G370="","",IF(G370="[FÓRMULA MANUAL]","",IFERROR(AVERAGEIFS(nNOTA,nNIA,G370,nCUENTA,1,nASIG,"Lenguaje Musical"),"")))</f>
        <v/>
      </c>
      <c r="I370" t="str">
        <f>IF(G370="","",IF(G370="[FÓRMULA MANUAL]","",IFERROR(AVERAGEIFS(nNOTA,nNIA,G370,nCUENTA,1,nASIG,"Orquesta/Banda/Conjunto"),"")))</f>
        <v/>
      </c>
      <c r="J370" t="str">
        <f>IF(G370="","",IF(G370="[FÓRMULA MANUAL]","",IFERROR(AVERAGEIFS(nNOTA,nNIA,G370,nCUENTA,1,nASIG,"Conjunto"),"")))</f>
        <v/>
      </c>
      <c r="K370" t="str">
        <f>IF(G370="","",IF(G370="[FÓRMULA MANUAL]","",IFERROR(SUMPRODUCT((nNIA=G370)*(nCUENTA=1)*(COUNTIF(CONFIG_ASIGNATURAS!$B$7:$B$27,nASIG)&gt;0)*(nNOTA))/SUMPRODUCT((nNIA=G370)*(nCUENTA=1)*(COUNTIF(CONFIG_ASIGNATURAS!$B$7:$B$27,nASIG)&gt;0)*1),"")))</f>
        <v/>
      </c>
      <c r="N370" t="str">
        <f>IF(M370="","",IF(M370="[FÓRMULA MANUAL]","",IFERROR(AVERAGEIFS(nNOTA,nNIA,M370,nCUENTA,1,nASIG,"Armonía"),"")))</f>
        <v/>
      </c>
      <c r="O370" t="str">
        <f>IF(M370="","",IF(M370="[FÓRMULA MANUAL]","",IFERROR(AVERAGEIFS(nNOTA,nNIA,M370,nCUENTA,1,nASIG,"Orquesta/Banda/Conjunto"),"")))</f>
        <v/>
      </c>
      <c r="P370" t="str">
        <f>IF(M370="","",IF(M370="[FÓRMULA MANUAL]","",IFERROR(AVERAGEIFS(nNOTA,nNIA,M370,nCUENTA,1,nASIG,"Música de Cámara"),"")))</f>
        <v/>
      </c>
      <c r="Q370" t="str">
        <f>IF(M370="","",IF(M370="[FÓRMULA MANUAL]","",IFERROR(SUMPRODUCT((nNIA=M370)*(nCUENTA=1)*(COUNTIF(CONFIG_ASIGNATURAS!$B$7:$B$27,nASIG)&gt;0)*(nNOTA))/SUMPRODUCT((nNIA=M370)*(nCUENTA=1)*(COUNTIF(CONFIG_ASIGNATURAS!$B$7:$B$27,nASIG)&gt;0)*1),"")))</f>
        <v/>
      </c>
      <c r="T370" t="str">
        <f>IF(S370="","",IF(S370="[FÓRMULA MANUAL]","",IFERROR(AVERAGEIFS(nNOTA,nNIA,S370,nCUENTA,1,nASIG,"Armonía"),"")))</f>
        <v/>
      </c>
      <c r="U370" t="str">
        <f>IF(S370="","",IF(S370="[FÓRMULA MANUAL]","",IFERROR(AVERAGEIFS(nNOTA,nNIA,S370,nCUENTA,1,nASIG,"Orquesta/Banda/Conjunto"),"")))</f>
        <v/>
      </c>
      <c r="V370" t="str">
        <f>IF(S370="","",IF(S370="[FÓRMULA MANUAL]","",IFERROR(AVERAGEIFS(nNOTA,nNIA,S370,nCUENTA,1,nASIG,"Música de Cámara"),"")))</f>
        <v/>
      </c>
      <c r="W370" t="str">
        <f>IF(S370="","",IF(S370="[FÓRMULA MANUAL]","",IFERROR(SUMPRODUCT((nNIA=S370)*(nCUENTA=1)*(COUNTIF(CONFIG_ASIGNATURAS!$B$7:$B$27,nASIG)&gt;0)*(nNOTA))/SUMPRODUCT((nNIA=S370)*(nCUENTA=1)*(COUNTIF(CONFIG_ASIGNATURAS!$B$7:$B$27,nASIG)&gt;0)*1),"")))</f>
        <v/>
      </c>
      <c r="Z370" t="str">
        <f>IF(Y370="","",IF(Y370="[FÓRMULA MANUAL]","",IFERROR(AVERAGEIFS(nNOTA,nNIA,Y370,nCUENTA,1,nASIG,"Análisis"),"")))</f>
        <v/>
      </c>
      <c r="AA370" t="str">
        <f>IF(Y370="","",IF(Y370="[FÓRMULA MANUAL]","",IFERROR(AVERAGEIFS(nNOTA,nNIA,Y370,nCUENTA,1,nASIG,"Orquesta/Banda/Conjunto"),"")))</f>
        <v/>
      </c>
      <c r="AB370" t="str">
        <f>IF(Y370="","",IF(Y370="[FÓRMULA MANUAL]","",IFERROR(AVERAGEIFS(nNOTA,nNIA,Y370,nCUENTA,1,nASIG,"Música de Cámara"),"")))</f>
        <v/>
      </c>
      <c r="AC370" t="str">
        <f>IF(Y370="","",IF(Y370="[FÓRMULA MANUAL]","",IFERROR(SUMPRODUCT((nNIA=Y370)*(nCUENTA=1)*(COUNTIF(CONFIG_ASIGNATURAS!$B$7:$B$27,nASIG)&gt;0)*(nNOTA))/SUMPRODUCT((nNIA=Y370)*(nCUENTA=1)*(COUNTIF(CONFIG_ASIGNATURAS!$B$7:$B$27,nASIG)&gt;0)*1),"")))</f>
        <v/>
      </c>
      <c r="AF370" t="str">
        <f>IF(AE370="","",IF(AE370="[FÓRMULA MANUAL]","",IFERROR(AVERAGEIFS(nNOTA,nNIA,AE370,nCUENTA,1,nASIG,"Análisis"),"")))</f>
        <v/>
      </c>
      <c r="AG370" t="str">
        <f>IF(AE370="","",IF(AE370="[FÓRMULA MANUAL]","",IFERROR(AVERAGEIFS(nNOTA,nNIA,AE370,nCUENTA,1,nASIG,"Orquesta/Banda/Conjunto"),"")))</f>
        <v/>
      </c>
      <c r="AH370" t="str">
        <f>IF(AE370="","",IF(AE370="[FÓRMULA MANUAL]","",IFERROR(AVERAGEIFS(nNOTA,nNIA,AE370,nCUENTA,1,nASIG,"Música de Cámara"),"")))</f>
        <v/>
      </c>
      <c r="AI370" t="str">
        <f>IF(AE370="","",IF(AE370="[FÓRMULA MANUAL]","",IFERROR(SUMPRODUCT((nNIA=AE370)*(nCUENTA=1)*(COUNTIF(CONFIG_ASIGNATURAS!$B$7:$B$27,nASIG)&gt;0)*(nNOTA))/SUMPRODUCT((nNIA=AE370)*(nCUENTA=1)*(COUNTIF(CONFIG_ASIGNATURAS!$B$7:$B$27,nASIG)&gt;0)*1),"")))</f>
        <v/>
      </c>
    </row>
    <row r="371" spans="2:35" x14ac:dyDescent="0.2">
      <c r="B371" t="str">
        <f>IF(A371="","",IF(A371="[FÓRMULA MANUAL]","",IFERROR(AVERAGEIFS(nNOTA,nNIA,A371,nCUENTA,1,nASIG,"Lenguaje Musical"),"")))</f>
        <v/>
      </c>
      <c r="C371" t="str">
        <f>IF(A371="","",IF(A371="[FÓRMULA MANUAL]","",IFERROR(AVERAGEIFS(nNOTA,nNIA,A371,nCUENTA,1,nASIG,"Orquesta/Banda/Conjunto"),"")))</f>
        <v/>
      </c>
      <c r="D371" t="str">
        <f>IF(A371="","",IF(A371="[FÓRMULA MANUAL]","",IFERROR(AVERAGEIFS(nNOTA,nNIA,A371,nCUENTA,1,nASIG,"Conjunto"),"")))</f>
        <v/>
      </c>
      <c r="E371" t="str">
        <f>IF(A371="","",IF(A371="[FÓRMULA MANUAL]","",IFERROR(SUMPRODUCT((nNIA=A371)*(nCUENTA=1)*(COUNTIF(CONFIG_ASIGNATURAS!$B$7:$B$27,nASIG)&gt;0)*(nNOTA))/SUMPRODUCT((nNIA=A371)*(nCUENTA=1)*(COUNTIF(CONFIG_ASIGNATURAS!$B$7:$B$27,nASIG)&gt;0)*1),"")))</f>
        <v/>
      </c>
      <c r="H371" t="str">
        <f>IF(G371="","",IF(G371="[FÓRMULA MANUAL]","",IFERROR(AVERAGEIFS(nNOTA,nNIA,G371,nCUENTA,1,nASIG,"Lenguaje Musical"),"")))</f>
        <v/>
      </c>
      <c r="I371" t="str">
        <f>IF(G371="","",IF(G371="[FÓRMULA MANUAL]","",IFERROR(AVERAGEIFS(nNOTA,nNIA,G371,nCUENTA,1,nASIG,"Orquesta/Banda/Conjunto"),"")))</f>
        <v/>
      </c>
      <c r="J371" t="str">
        <f>IF(G371="","",IF(G371="[FÓRMULA MANUAL]","",IFERROR(AVERAGEIFS(nNOTA,nNIA,G371,nCUENTA,1,nASIG,"Conjunto"),"")))</f>
        <v/>
      </c>
      <c r="K371" t="str">
        <f>IF(G371="","",IF(G371="[FÓRMULA MANUAL]","",IFERROR(SUMPRODUCT((nNIA=G371)*(nCUENTA=1)*(COUNTIF(CONFIG_ASIGNATURAS!$B$7:$B$27,nASIG)&gt;0)*(nNOTA))/SUMPRODUCT((nNIA=G371)*(nCUENTA=1)*(COUNTIF(CONFIG_ASIGNATURAS!$B$7:$B$27,nASIG)&gt;0)*1),"")))</f>
        <v/>
      </c>
      <c r="N371" t="str">
        <f>IF(M371="","",IF(M371="[FÓRMULA MANUAL]","",IFERROR(AVERAGEIFS(nNOTA,nNIA,M371,nCUENTA,1,nASIG,"Armonía"),"")))</f>
        <v/>
      </c>
      <c r="O371" t="str">
        <f>IF(M371="","",IF(M371="[FÓRMULA MANUAL]","",IFERROR(AVERAGEIFS(nNOTA,nNIA,M371,nCUENTA,1,nASIG,"Orquesta/Banda/Conjunto"),"")))</f>
        <v/>
      </c>
      <c r="P371" t="str">
        <f>IF(M371="","",IF(M371="[FÓRMULA MANUAL]","",IFERROR(AVERAGEIFS(nNOTA,nNIA,M371,nCUENTA,1,nASIG,"Música de Cámara"),"")))</f>
        <v/>
      </c>
      <c r="Q371" t="str">
        <f>IF(M371="","",IF(M371="[FÓRMULA MANUAL]","",IFERROR(SUMPRODUCT((nNIA=M371)*(nCUENTA=1)*(COUNTIF(CONFIG_ASIGNATURAS!$B$7:$B$27,nASIG)&gt;0)*(nNOTA))/SUMPRODUCT((nNIA=M371)*(nCUENTA=1)*(COUNTIF(CONFIG_ASIGNATURAS!$B$7:$B$27,nASIG)&gt;0)*1),"")))</f>
        <v/>
      </c>
      <c r="T371" t="str">
        <f>IF(S371="","",IF(S371="[FÓRMULA MANUAL]","",IFERROR(AVERAGEIFS(nNOTA,nNIA,S371,nCUENTA,1,nASIG,"Armonía"),"")))</f>
        <v/>
      </c>
      <c r="U371" t="str">
        <f>IF(S371="","",IF(S371="[FÓRMULA MANUAL]","",IFERROR(AVERAGEIFS(nNOTA,nNIA,S371,nCUENTA,1,nASIG,"Orquesta/Banda/Conjunto"),"")))</f>
        <v/>
      </c>
      <c r="V371" t="str">
        <f>IF(S371="","",IF(S371="[FÓRMULA MANUAL]","",IFERROR(AVERAGEIFS(nNOTA,nNIA,S371,nCUENTA,1,nASIG,"Música de Cámara"),"")))</f>
        <v/>
      </c>
      <c r="W371" t="str">
        <f>IF(S371="","",IF(S371="[FÓRMULA MANUAL]","",IFERROR(SUMPRODUCT((nNIA=S371)*(nCUENTA=1)*(COUNTIF(CONFIG_ASIGNATURAS!$B$7:$B$27,nASIG)&gt;0)*(nNOTA))/SUMPRODUCT((nNIA=S371)*(nCUENTA=1)*(COUNTIF(CONFIG_ASIGNATURAS!$B$7:$B$27,nASIG)&gt;0)*1),"")))</f>
        <v/>
      </c>
      <c r="Z371" t="str">
        <f>IF(Y371="","",IF(Y371="[FÓRMULA MANUAL]","",IFERROR(AVERAGEIFS(nNOTA,nNIA,Y371,nCUENTA,1,nASIG,"Análisis"),"")))</f>
        <v/>
      </c>
      <c r="AA371" t="str">
        <f>IF(Y371="","",IF(Y371="[FÓRMULA MANUAL]","",IFERROR(AVERAGEIFS(nNOTA,nNIA,Y371,nCUENTA,1,nASIG,"Orquesta/Banda/Conjunto"),"")))</f>
        <v/>
      </c>
      <c r="AB371" t="str">
        <f>IF(Y371="","",IF(Y371="[FÓRMULA MANUAL]","",IFERROR(AVERAGEIFS(nNOTA,nNIA,Y371,nCUENTA,1,nASIG,"Música de Cámara"),"")))</f>
        <v/>
      </c>
      <c r="AC371" t="str">
        <f>IF(Y371="","",IF(Y371="[FÓRMULA MANUAL]","",IFERROR(SUMPRODUCT((nNIA=Y371)*(nCUENTA=1)*(COUNTIF(CONFIG_ASIGNATURAS!$B$7:$B$27,nASIG)&gt;0)*(nNOTA))/SUMPRODUCT((nNIA=Y371)*(nCUENTA=1)*(COUNTIF(CONFIG_ASIGNATURAS!$B$7:$B$27,nASIG)&gt;0)*1),"")))</f>
        <v/>
      </c>
      <c r="AF371" t="str">
        <f>IF(AE371="","",IF(AE371="[FÓRMULA MANUAL]","",IFERROR(AVERAGEIFS(nNOTA,nNIA,AE371,nCUENTA,1,nASIG,"Análisis"),"")))</f>
        <v/>
      </c>
      <c r="AG371" t="str">
        <f>IF(AE371="","",IF(AE371="[FÓRMULA MANUAL]","",IFERROR(AVERAGEIFS(nNOTA,nNIA,AE371,nCUENTA,1,nASIG,"Orquesta/Banda/Conjunto"),"")))</f>
        <v/>
      </c>
      <c r="AH371" t="str">
        <f>IF(AE371="","",IF(AE371="[FÓRMULA MANUAL]","",IFERROR(AVERAGEIFS(nNOTA,nNIA,AE371,nCUENTA,1,nASIG,"Música de Cámara"),"")))</f>
        <v/>
      </c>
      <c r="AI371" t="str">
        <f>IF(AE371="","",IF(AE371="[FÓRMULA MANUAL]","",IFERROR(SUMPRODUCT((nNIA=AE371)*(nCUENTA=1)*(COUNTIF(CONFIG_ASIGNATURAS!$B$7:$B$27,nASIG)&gt;0)*(nNOTA))/SUMPRODUCT((nNIA=AE371)*(nCUENTA=1)*(COUNTIF(CONFIG_ASIGNATURAS!$B$7:$B$27,nASIG)&gt;0)*1),"")))</f>
        <v/>
      </c>
    </row>
    <row r="372" spans="2:35" x14ac:dyDescent="0.2">
      <c r="B372" t="str">
        <f>IF(A372="","",IF(A372="[FÓRMULA MANUAL]","",IFERROR(AVERAGEIFS(nNOTA,nNIA,A372,nCUENTA,1,nASIG,"Lenguaje Musical"),"")))</f>
        <v/>
      </c>
      <c r="C372" t="str">
        <f>IF(A372="","",IF(A372="[FÓRMULA MANUAL]","",IFERROR(AVERAGEIFS(nNOTA,nNIA,A372,nCUENTA,1,nASIG,"Orquesta/Banda/Conjunto"),"")))</f>
        <v/>
      </c>
      <c r="D372" t="str">
        <f>IF(A372="","",IF(A372="[FÓRMULA MANUAL]","",IFERROR(AVERAGEIFS(nNOTA,nNIA,A372,nCUENTA,1,nASIG,"Conjunto"),"")))</f>
        <v/>
      </c>
      <c r="E372" t="str">
        <f>IF(A372="","",IF(A372="[FÓRMULA MANUAL]","",IFERROR(SUMPRODUCT((nNIA=A372)*(nCUENTA=1)*(COUNTIF(CONFIG_ASIGNATURAS!$B$7:$B$27,nASIG)&gt;0)*(nNOTA))/SUMPRODUCT((nNIA=A372)*(nCUENTA=1)*(COUNTIF(CONFIG_ASIGNATURAS!$B$7:$B$27,nASIG)&gt;0)*1),"")))</f>
        <v/>
      </c>
      <c r="H372" t="str">
        <f>IF(G372="","",IF(G372="[FÓRMULA MANUAL]","",IFERROR(AVERAGEIFS(nNOTA,nNIA,G372,nCUENTA,1,nASIG,"Lenguaje Musical"),"")))</f>
        <v/>
      </c>
      <c r="I372" t="str">
        <f>IF(G372="","",IF(G372="[FÓRMULA MANUAL]","",IFERROR(AVERAGEIFS(nNOTA,nNIA,G372,nCUENTA,1,nASIG,"Orquesta/Banda/Conjunto"),"")))</f>
        <v/>
      </c>
      <c r="J372" t="str">
        <f>IF(G372="","",IF(G372="[FÓRMULA MANUAL]","",IFERROR(AVERAGEIFS(nNOTA,nNIA,G372,nCUENTA,1,nASIG,"Conjunto"),"")))</f>
        <v/>
      </c>
      <c r="K372" t="str">
        <f>IF(G372="","",IF(G372="[FÓRMULA MANUAL]","",IFERROR(SUMPRODUCT((nNIA=G372)*(nCUENTA=1)*(COUNTIF(CONFIG_ASIGNATURAS!$B$7:$B$27,nASIG)&gt;0)*(nNOTA))/SUMPRODUCT((nNIA=G372)*(nCUENTA=1)*(COUNTIF(CONFIG_ASIGNATURAS!$B$7:$B$27,nASIG)&gt;0)*1),"")))</f>
        <v/>
      </c>
      <c r="N372" t="str">
        <f>IF(M372="","",IF(M372="[FÓRMULA MANUAL]","",IFERROR(AVERAGEIFS(nNOTA,nNIA,M372,nCUENTA,1,nASIG,"Armonía"),"")))</f>
        <v/>
      </c>
      <c r="O372" t="str">
        <f>IF(M372="","",IF(M372="[FÓRMULA MANUAL]","",IFERROR(AVERAGEIFS(nNOTA,nNIA,M372,nCUENTA,1,nASIG,"Orquesta/Banda/Conjunto"),"")))</f>
        <v/>
      </c>
      <c r="P372" t="str">
        <f>IF(M372="","",IF(M372="[FÓRMULA MANUAL]","",IFERROR(AVERAGEIFS(nNOTA,nNIA,M372,nCUENTA,1,nASIG,"Música de Cámara"),"")))</f>
        <v/>
      </c>
      <c r="Q372" t="str">
        <f>IF(M372="","",IF(M372="[FÓRMULA MANUAL]","",IFERROR(SUMPRODUCT((nNIA=M372)*(nCUENTA=1)*(COUNTIF(CONFIG_ASIGNATURAS!$B$7:$B$27,nASIG)&gt;0)*(nNOTA))/SUMPRODUCT((nNIA=M372)*(nCUENTA=1)*(COUNTIF(CONFIG_ASIGNATURAS!$B$7:$B$27,nASIG)&gt;0)*1),"")))</f>
        <v/>
      </c>
      <c r="T372" t="str">
        <f>IF(S372="","",IF(S372="[FÓRMULA MANUAL]","",IFERROR(AVERAGEIFS(nNOTA,nNIA,S372,nCUENTA,1,nASIG,"Armonía"),"")))</f>
        <v/>
      </c>
      <c r="U372" t="str">
        <f>IF(S372="","",IF(S372="[FÓRMULA MANUAL]","",IFERROR(AVERAGEIFS(nNOTA,nNIA,S372,nCUENTA,1,nASIG,"Orquesta/Banda/Conjunto"),"")))</f>
        <v/>
      </c>
      <c r="V372" t="str">
        <f>IF(S372="","",IF(S372="[FÓRMULA MANUAL]","",IFERROR(AVERAGEIFS(nNOTA,nNIA,S372,nCUENTA,1,nASIG,"Música de Cámara"),"")))</f>
        <v/>
      </c>
      <c r="W372" t="str">
        <f>IF(S372="","",IF(S372="[FÓRMULA MANUAL]","",IFERROR(SUMPRODUCT((nNIA=S372)*(nCUENTA=1)*(COUNTIF(CONFIG_ASIGNATURAS!$B$7:$B$27,nASIG)&gt;0)*(nNOTA))/SUMPRODUCT((nNIA=S372)*(nCUENTA=1)*(COUNTIF(CONFIG_ASIGNATURAS!$B$7:$B$27,nASIG)&gt;0)*1),"")))</f>
        <v/>
      </c>
      <c r="Z372" t="str">
        <f>IF(Y372="","",IF(Y372="[FÓRMULA MANUAL]","",IFERROR(AVERAGEIFS(nNOTA,nNIA,Y372,nCUENTA,1,nASIG,"Análisis"),"")))</f>
        <v/>
      </c>
      <c r="AA372" t="str">
        <f>IF(Y372="","",IF(Y372="[FÓRMULA MANUAL]","",IFERROR(AVERAGEIFS(nNOTA,nNIA,Y372,nCUENTA,1,nASIG,"Orquesta/Banda/Conjunto"),"")))</f>
        <v/>
      </c>
      <c r="AB372" t="str">
        <f>IF(Y372="","",IF(Y372="[FÓRMULA MANUAL]","",IFERROR(AVERAGEIFS(nNOTA,nNIA,Y372,nCUENTA,1,nASIG,"Música de Cámara"),"")))</f>
        <v/>
      </c>
      <c r="AC372" t="str">
        <f>IF(Y372="","",IF(Y372="[FÓRMULA MANUAL]","",IFERROR(SUMPRODUCT((nNIA=Y372)*(nCUENTA=1)*(COUNTIF(CONFIG_ASIGNATURAS!$B$7:$B$27,nASIG)&gt;0)*(nNOTA))/SUMPRODUCT((nNIA=Y372)*(nCUENTA=1)*(COUNTIF(CONFIG_ASIGNATURAS!$B$7:$B$27,nASIG)&gt;0)*1),"")))</f>
        <v/>
      </c>
      <c r="AF372" t="str">
        <f>IF(AE372="","",IF(AE372="[FÓRMULA MANUAL]","",IFERROR(AVERAGEIFS(nNOTA,nNIA,AE372,nCUENTA,1,nASIG,"Análisis"),"")))</f>
        <v/>
      </c>
      <c r="AG372" t="str">
        <f>IF(AE372="","",IF(AE372="[FÓRMULA MANUAL]","",IFERROR(AVERAGEIFS(nNOTA,nNIA,AE372,nCUENTA,1,nASIG,"Orquesta/Banda/Conjunto"),"")))</f>
        <v/>
      </c>
      <c r="AH372" t="str">
        <f>IF(AE372="","",IF(AE372="[FÓRMULA MANUAL]","",IFERROR(AVERAGEIFS(nNOTA,nNIA,AE372,nCUENTA,1,nASIG,"Música de Cámara"),"")))</f>
        <v/>
      </c>
      <c r="AI372" t="str">
        <f>IF(AE372="","",IF(AE372="[FÓRMULA MANUAL]","",IFERROR(SUMPRODUCT((nNIA=AE372)*(nCUENTA=1)*(COUNTIF(CONFIG_ASIGNATURAS!$B$7:$B$27,nASIG)&gt;0)*(nNOTA))/SUMPRODUCT((nNIA=AE372)*(nCUENTA=1)*(COUNTIF(CONFIG_ASIGNATURAS!$B$7:$B$27,nASIG)&gt;0)*1),"")))</f>
        <v/>
      </c>
    </row>
    <row r="373" spans="2:35" x14ac:dyDescent="0.2">
      <c r="B373" t="str">
        <f>IF(A373="","",IF(A373="[FÓRMULA MANUAL]","",IFERROR(AVERAGEIFS(nNOTA,nNIA,A373,nCUENTA,1,nASIG,"Lenguaje Musical"),"")))</f>
        <v/>
      </c>
      <c r="C373" t="str">
        <f>IF(A373="","",IF(A373="[FÓRMULA MANUAL]","",IFERROR(AVERAGEIFS(nNOTA,nNIA,A373,nCUENTA,1,nASIG,"Orquesta/Banda/Conjunto"),"")))</f>
        <v/>
      </c>
      <c r="D373" t="str">
        <f>IF(A373="","",IF(A373="[FÓRMULA MANUAL]","",IFERROR(AVERAGEIFS(nNOTA,nNIA,A373,nCUENTA,1,nASIG,"Conjunto"),"")))</f>
        <v/>
      </c>
      <c r="E373" t="str">
        <f>IF(A373="","",IF(A373="[FÓRMULA MANUAL]","",IFERROR(SUMPRODUCT((nNIA=A373)*(nCUENTA=1)*(COUNTIF(CONFIG_ASIGNATURAS!$B$7:$B$27,nASIG)&gt;0)*(nNOTA))/SUMPRODUCT((nNIA=A373)*(nCUENTA=1)*(COUNTIF(CONFIG_ASIGNATURAS!$B$7:$B$27,nASIG)&gt;0)*1),"")))</f>
        <v/>
      </c>
      <c r="H373" t="str">
        <f>IF(G373="","",IF(G373="[FÓRMULA MANUAL]","",IFERROR(AVERAGEIFS(nNOTA,nNIA,G373,nCUENTA,1,nASIG,"Lenguaje Musical"),"")))</f>
        <v/>
      </c>
      <c r="I373" t="str">
        <f>IF(G373="","",IF(G373="[FÓRMULA MANUAL]","",IFERROR(AVERAGEIFS(nNOTA,nNIA,G373,nCUENTA,1,nASIG,"Orquesta/Banda/Conjunto"),"")))</f>
        <v/>
      </c>
      <c r="J373" t="str">
        <f>IF(G373="","",IF(G373="[FÓRMULA MANUAL]","",IFERROR(AVERAGEIFS(nNOTA,nNIA,G373,nCUENTA,1,nASIG,"Conjunto"),"")))</f>
        <v/>
      </c>
      <c r="K373" t="str">
        <f>IF(G373="","",IF(G373="[FÓRMULA MANUAL]","",IFERROR(SUMPRODUCT((nNIA=G373)*(nCUENTA=1)*(COUNTIF(CONFIG_ASIGNATURAS!$B$7:$B$27,nASIG)&gt;0)*(nNOTA))/SUMPRODUCT((nNIA=G373)*(nCUENTA=1)*(COUNTIF(CONFIG_ASIGNATURAS!$B$7:$B$27,nASIG)&gt;0)*1),"")))</f>
        <v/>
      </c>
      <c r="N373" t="str">
        <f>IF(M373="","",IF(M373="[FÓRMULA MANUAL]","",IFERROR(AVERAGEIFS(nNOTA,nNIA,M373,nCUENTA,1,nASIG,"Armonía"),"")))</f>
        <v/>
      </c>
      <c r="O373" t="str">
        <f>IF(M373="","",IF(M373="[FÓRMULA MANUAL]","",IFERROR(AVERAGEIFS(nNOTA,nNIA,M373,nCUENTA,1,nASIG,"Orquesta/Banda/Conjunto"),"")))</f>
        <v/>
      </c>
      <c r="P373" t="str">
        <f>IF(M373="","",IF(M373="[FÓRMULA MANUAL]","",IFERROR(AVERAGEIFS(nNOTA,nNIA,M373,nCUENTA,1,nASIG,"Música de Cámara"),"")))</f>
        <v/>
      </c>
      <c r="Q373" t="str">
        <f>IF(M373="","",IF(M373="[FÓRMULA MANUAL]","",IFERROR(SUMPRODUCT((nNIA=M373)*(nCUENTA=1)*(COUNTIF(CONFIG_ASIGNATURAS!$B$7:$B$27,nASIG)&gt;0)*(nNOTA))/SUMPRODUCT((nNIA=M373)*(nCUENTA=1)*(COUNTIF(CONFIG_ASIGNATURAS!$B$7:$B$27,nASIG)&gt;0)*1),"")))</f>
        <v/>
      </c>
      <c r="T373" t="str">
        <f>IF(S373="","",IF(S373="[FÓRMULA MANUAL]","",IFERROR(AVERAGEIFS(nNOTA,nNIA,S373,nCUENTA,1,nASIG,"Armonía"),"")))</f>
        <v/>
      </c>
      <c r="U373" t="str">
        <f>IF(S373="","",IF(S373="[FÓRMULA MANUAL]","",IFERROR(AVERAGEIFS(nNOTA,nNIA,S373,nCUENTA,1,nASIG,"Orquesta/Banda/Conjunto"),"")))</f>
        <v/>
      </c>
      <c r="V373" t="str">
        <f>IF(S373="","",IF(S373="[FÓRMULA MANUAL]","",IFERROR(AVERAGEIFS(nNOTA,nNIA,S373,nCUENTA,1,nASIG,"Música de Cámara"),"")))</f>
        <v/>
      </c>
      <c r="W373" t="str">
        <f>IF(S373="","",IF(S373="[FÓRMULA MANUAL]","",IFERROR(SUMPRODUCT((nNIA=S373)*(nCUENTA=1)*(COUNTIF(CONFIG_ASIGNATURAS!$B$7:$B$27,nASIG)&gt;0)*(nNOTA))/SUMPRODUCT((nNIA=S373)*(nCUENTA=1)*(COUNTIF(CONFIG_ASIGNATURAS!$B$7:$B$27,nASIG)&gt;0)*1),"")))</f>
        <v/>
      </c>
      <c r="Z373" t="str">
        <f>IF(Y373="","",IF(Y373="[FÓRMULA MANUAL]","",IFERROR(AVERAGEIFS(nNOTA,nNIA,Y373,nCUENTA,1,nASIG,"Análisis"),"")))</f>
        <v/>
      </c>
      <c r="AA373" t="str">
        <f>IF(Y373="","",IF(Y373="[FÓRMULA MANUAL]","",IFERROR(AVERAGEIFS(nNOTA,nNIA,Y373,nCUENTA,1,nASIG,"Orquesta/Banda/Conjunto"),"")))</f>
        <v/>
      </c>
      <c r="AB373" t="str">
        <f>IF(Y373="","",IF(Y373="[FÓRMULA MANUAL]","",IFERROR(AVERAGEIFS(nNOTA,nNIA,Y373,nCUENTA,1,nASIG,"Música de Cámara"),"")))</f>
        <v/>
      </c>
      <c r="AC373" t="str">
        <f>IF(Y373="","",IF(Y373="[FÓRMULA MANUAL]","",IFERROR(SUMPRODUCT((nNIA=Y373)*(nCUENTA=1)*(COUNTIF(CONFIG_ASIGNATURAS!$B$7:$B$27,nASIG)&gt;0)*(nNOTA))/SUMPRODUCT((nNIA=Y373)*(nCUENTA=1)*(COUNTIF(CONFIG_ASIGNATURAS!$B$7:$B$27,nASIG)&gt;0)*1),"")))</f>
        <v/>
      </c>
      <c r="AF373" t="str">
        <f>IF(AE373="","",IF(AE373="[FÓRMULA MANUAL]","",IFERROR(AVERAGEIFS(nNOTA,nNIA,AE373,nCUENTA,1,nASIG,"Análisis"),"")))</f>
        <v/>
      </c>
      <c r="AG373" t="str">
        <f>IF(AE373="","",IF(AE373="[FÓRMULA MANUAL]","",IFERROR(AVERAGEIFS(nNOTA,nNIA,AE373,nCUENTA,1,nASIG,"Orquesta/Banda/Conjunto"),"")))</f>
        <v/>
      </c>
      <c r="AH373" t="str">
        <f>IF(AE373="","",IF(AE373="[FÓRMULA MANUAL]","",IFERROR(AVERAGEIFS(nNOTA,nNIA,AE373,nCUENTA,1,nASIG,"Música de Cámara"),"")))</f>
        <v/>
      </c>
      <c r="AI373" t="str">
        <f>IF(AE373="","",IF(AE373="[FÓRMULA MANUAL]","",IFERROR(SUMPRODUCT((nNIA=AE373)*(nCUENTA=1)*(COUNTIF(CONFIG_ASIGNATURAS!$B$7:$B$27,nASIG)&gt;0)*(nNOTA))/SUMPRODUCT((nNIA=AE373)*(nCUENTA=1)*(COUNTIF(CONFIG_ASIGNATURAS!$B$7:$B$27,nASIG)&gt;0)*1),"")))</f>
        <v/>
      </c>
    </row>
    <row r="374" spans="2:35" x14ac:dyDescent="0.2">
      <c r="B374" t="str">
        <f>IF(A374="","",IF(A374="[FÓRMULA MANUAL]","",IFERROR(AVERAGEIFS(nNOTA,nNIA,A374,nCUENTA,1,nASIG,"Lenguaje Musical"),"")))</f>
        <v/>
      </c>
      <c r="C374" t="str">
        <f>IF(A374="","",IF(A374="[FÓRMULA MANUAL]","",IFERROR(AVERAGEIFS(nNOTA,nNIA,A374,nCUENTA,1,nASIG,"Orquesta/Banda/Conjunto"),"")))</f>
        <v/>
      </c>
      <c r="D374" t="str">
        <f>IF(A374="","",IF(A374="[FÓRMULA MANUAL]","",IFERROR(AVERAGEIFS(nNOTA,nNIA,A374,nCUENTA,1,nASIG,"Conjunto"),"")))</f>
        <v/>
      </c>
      <c r="E374" t="str">
        <f>IF(A374="","",IF(A374="[FÓRMULA MANUAL]","",IFERROR(SUMPRODUCT((nNIA=A374)*(nCUENTA=1)*(COUNTIF(CONFIG_ASIGNATURAS!$B$7:$B$27,nASIG)&gt;0)*(nNOTA))/SUMPRODUCT((nNIA=A374)*(nCUENTA=1)*(COUNTIF(CONFIG_ASIGNATURAS!$B$7:$B$27,nASIG)&gt;0)*1),"")))</f>
        <v/>
      </c>
      <c r="H374" t="str">
        <f>IF(G374="","",IF(G374="[FÓRMULA MANUAL]","",IFERROR(AVERAGEIFS(nNOTA,nNIA,G374,nCUENTA,1,nASIG,"Lenguaje Musical"),"")))</f>
        <v/>
      </c>
      <c r="I374" t="str">
        <f>IF(G374="","",IF(G374="[FÓRMULA MANUAL]","",IFERROR(AVERAGEIFS(nNOTA,nNIA,G374,nCUENTA,1,nASIG,"Orquesta/Banda/Conjunto"),"")))</f>
        <v/>
      </c>
      <c r="J374" t="str">
        <f>IF(G374="","",IF(G374="[FÓRMULA MANUAL]","",IFERROR(AVERAGEIFS(nNOTA,nNIA,G374,nCUENTA,1,nASIG,"Conjunto"),"")))</f>
        <v/>
      </c>
      <c r="K374" t="str">
        <f>IF(G374="","",IF(G374="[FÓRMULA MANUAL]","",IFERROR(SUMPRODUCT((nNIA=G374)*(nCUENTA=1)*(COUNTIF(CONFIG_ASIGNATURAS!$B$7:$B$27,nASIG)&gt;0)*(nNOTA))/SUMPRODUCT((nNIA=G374)*(nCUENTA=1)*(COUNTIF(CONFIG_ASIGNATURAS!$B$7:$B$27,nASIG)&gt;0)*1),"")))</f>
        <v/>
      </c>
      <c r="N374" t="str">
        <f>IF(M374="","",IF(M374="[FÓRMULA MANUAL]","",IFERROR(AVERAGEIFS(nNOTA,nNIA,M374,nCUENTA,1,nASIG,"Armonía"),"")))</f>
        <v/>
      </c>
      <c r="O374" t="str">
        <f>IF(M374="","",IF(M374="[FÓRMULA MANUAL]","",IFERROR(AVERAGEIFS(nNOTA,nNIA,M374,nCUENTA,1,nASIG,"Orquesta/Banda/Conjunto"),"")))</f>
        <v/>
      </c>
      <c r="P374" t="str">
        <f>IF(M374="","",IF(M374="[FÓRMULA MANUAL]","",IFERROR(AVERAGEIFS(nNOTA,nNIA,M374,nCUENTA,1,nASIG,"Música de Cámara"),"")))</f>
        <v/>
      </c>
      <c r="Q374" t="str">
        <f>IF(M374="","",IF(M374="[FÓRMULA MANUAL]","",IFERROR(SUMPRODUCT((nNIA=M374)*(nCUENTA=1)*(COUNTIF(CONFIG_ASIGNATURAS!$B$7:$B$27,nASIG)&gt;0)*(nNOTA))/SUMPRODUCT((nNIA=M374)*(nCUENTA=1)*(COUNTIF(CONFIG_ASIGNATURAS!$B$7:$B$27,nASIG)&gt;0)*1),"")))</f>
        <v/>
      </c>
      <c r="T374" t="str">
        <f>IF(S374="","",IF(S374="[FÓRMULA MANUAL]","",IFERROR(AVERAGEIFS(nNOTA,nNIA,S374,nCUENTA,1,nASIG,"Armonía"),"")))</f>
        <v/>
      </c>
      <c r="U374" t="str">
        <f>IF(S374="","",IF(S374="[FÓRMULA MANUAL]","",IFERROR(AVERAGEIFS(nNOTA,nNIA,S374,nCUENTA,1,nASIG,"Orquesta/Banda/Conjunto"),"")))</f>
        <v/>
      </c>
      <c r="V374" t="str">
        <f>IF(S374="","",IF(S374="[FÓRMULA MANUAL]","",IFERROR(AVERAGEIFS(nNOTA,nNIA,S374,nCUENTA,1,nASIG,"Música de Cámara"),"")))</f>
        <v/>
      </c>
      <c r="W374" t="str">
        <f>IF(S374="","",IF(S374="[FÓRMULA MANUAL]","",IFERROR(SUMPRODUCT((nNIA=S374)*(nCUENTA=1)*(COUNTIF(CONFIG_ASIGNATURAS!$B$7:$B$27,nASIG)&gt;0)*(nNOTA))/SUMPRODUCT((nNIA=S374)*(nCUENTA=1)*(COUNTIF(CONFIG_ASIGNATURAS!$B$7:$B$27,nASIG)&gt;0)*1),"")))</f>
        <v/>
      </c>
      <c r="Z374" t="str">
        <f>IF(Y374="","",IF(Y374="[FÓRMULA MANUAL]","",IFERROR(AVERAGEIFS(nNOTA,nNIA,Y374,nCUENTA,1,nASIG,"Análisis"),"")))</f>
        <v/>
      </c>
      <c r="AA374" t="str">
        <f>IF(Y374="","",IF(Y374="[FÓRMULA MANUAL]","",IFERROR(AVERAGEIFS(nNOTA,nNIA,Y374,nCUENTA,1,nASIG,"Orquesta/Banda/Conjunto"),"")))</f>
        <v/>
      </c>
      <c r="AB374" t="str">
        <f>IF(Y374="","",IF(Y374="[FÓRMULA MANUAL]","",IFERROR(AVERAGEIFS(nNOTA,nNIA,Y374,nCUENTA,1,nASIG,"Música de Cámara"),"")))</f>
        <v/>
      </c>
      <c r="AC374" t="str">
        <f>IF(Y374="","",IF(Y374="[FÓRMULA MANUAL]","",IFERROR(SUMPRODUCT((nNIA=Y374)*(nCUENTA=1)*(COUNTIF(CONFIG_ASIGNATURAS!$B$7:$B$27,nASIG)&gt;0)*(nNOTA))/SUMPRODUCT((nNIA=Y374)*(nCUENTA=1)*(COUNTIF(CONFIG_ASIGNATURAS!$B$7:$B$27,nASIG)&gt;0)*1),"")))</f>
        <v/>
      </c>
      <c r="AF374" t="str">
        <f>IF(AE374="","",IF(AE374="[FÓRMULA MANUAL]","",IFERROR(AVERAGEIFS(nNOTA,nNIA,AE374,nCUENTA,1,nASIG,"Análisis"),"")))</f>
        <v/>
      </c>
      <c r="AG374" t="str">
        <f>IF(AE374="","",IF(AE374="[FÓRMULA MANUAL]","",IFERROR(AVERAGEIFS(nNOTA,nNIA,AE374,nCUENTA,1,nASIG,"Orquesta/Banda/Conjunto"),"")))</f>
        <v/>
      </c>
      <c r="AH374" t="str">
        <f>IF(AE374="","",IF(AE374="[FÓRMULA MANUAL]","",IFERROR(AVERAGEIFS(nNOTA,nNIA,AE374,nCUENTA,1,nASIG,"Música de Cámara"),"")))</f>
        <v/>
      </c>
      <c r="AI374" t="str">
        <f>IF(AE374="","",IF(AE374="[FÓRMULA MANUAL]","",IFERROR(SUMPRODUCT((nNIA=AE374)*(nCUENTA=1)*(COUNTIF(CONFIG_ASIGNATURAS!$B$7:$B$27,nASIG)&gt;0)*(nNOTA))/SUMPRODUCT((nNIA=AE374)*(nCUENTA=1)*(COUNTIF(CONFIG_ASIGNATURAS!$B$7:$B$27,nASIG)&gt;0)*1),"")))</f>
        <v/>
      </c>
    </row>
    <row r="375" spans="2:35" x14ac:dyDescent="0.2">
      <c r="B375" t="str">
        <f>IF(A375="","",IF(A375="[FÓRMULA MANUAL]","",IFERROR(AVERAGEIFS(nNOTA,nNIA,A375,nCUENTA,1,nASIG,"Lenguaje Musical"),"")))</f>
        <v/>
      </c>
      <c r="C375" t="str">
        <f>IF(A375="","",IF(A375="[FÓRMULA MANUAL]","",IFERROR(AVERAGEIFS(nNOTA,nNIA,A375,nCUENTA,1,nASIG,"Orquesta/Banda/Conjunto"),"")))</f>
        <v/>
      </c>
      <c r="D375" t="str">
        <f>IF(A375="","",IF(A375="[FÓRMULA MANUAL]","",IFERROR(AVERAGEIFS(nNOTA,nNIA,A375,nCUENTA,1,nASIG,"Conjunto"),"")))</f>
        <v/>
      </c>
      <c r="E375" t="str">
        <f>IF(A375="","",IF(A375="[FÓRMULA MANUAL]","",IFERROR(SUMPRODUCT((nNIA=A375)*(nCUENTA=1)*(COUNTIF(CONFIG_ASIGNATURAS!$B$7:$B$27,nASIG)&gt;0)*(nNOTA))/SUMPRODUCT((nNIA=A375)*(nCUENTA=1)*(COUNTIF(CONFIG_ASIGNATURAS!$B$7:$B$27,nASIG)&gt;0)*1),"")))</f>
        <v/>
      </c>
      <c r="H375" t="str">
        <f>IF(G375="","",IF(G375="[FÓRMULA MANUAL]","",IFERROR(AVERAGEIFS(nNOTA,nNIA,G375,nCUENTA,1,nASIG,"Lenguaje Musical"),"")))</f>
        <v/>
      </c>
      <c r="I375" t="str">
        <f>IF(G375="","",IF(G375="[FÓRMULA MANUAL]","",IFERROR(AVERAGEIFS(nNOTA,nNIA,G375,nCUENTA,1,nASIG,"Orquesta/Banda/Conjunto"),"")))</f>
        <v/>
      </c>
      <c r="J375" t="str">
        <f>IF(G375="","",IF(G375="[FÓRMULA MANUAL]","",IFERROR(AVERAGEIFS(nNOTA,nNIA,G375,nCUENTA,1,nASIG,"Conjunto"),"")))</f>
        <v/>
      </c>
      <c r="K375" t="str">
        <f>IF(G375="","",IF(G375="[FÓRMULA MANUAL]","",IFERROR(SUMPRODUCT((nNIA=G375)*(nCUENTA=1)*(COUNTIF(CONFIG_ASIGNATURAS!$B$7:$B$27,nASIG)&gt;0)*(nNOTA))/SUMPRODUCT((nNIA=G375)*(nCUENTA=1)*(COUNTIF(CONFIG_ASIGNATURAS!$B$7:$B$27,nASIG)&gt;0)*1),"")))</f>
        <v/>
      </c>
      <c r="N375" t="str">
        <f>IF(M375="","",IF(M375="[FÓRMULA MANUAL]","",IFERROR(AVERAGEIFS(nNOTA,nNIA,M375,nCUENTA,1,nASIG,"Armonía"),"")))</f>
        <v/>
      </c>
      <c r="O375" t="str">
        <f>IF(M375="","",IF(M375="[FÓRMULA MANUAL]","",IFERROR(AVERAGEIFS(nNOTA,nNIA,M375,nCUENTA,1,nASIG,"Orquesta/Banda/Conjunto"),"")))</f>
        <v/>
      </c>
      <c r="P375" t="str">
        <f>IF(M375="","",IF(M375="[FÓRMULA MANUAL]","",IFERROR(AVERAGEIFS(nNOTA,nNIA,M375,nCUENTA,1,nASIG,"Música de Cámara"),"")))</f>
        <v/>
      </c>
      <c r="Q375" t="str">
        <f>IF(M375="","",IF(M375="[FÓRMULA MANUAL]","",IFERROR(SUMPRODUCT((nNIA=M375)*(nCUENTA=1)*(COUNTIF(CONFIG_ASIGNATURAS!$B$7:$B$27,nASIG)&gt;0)*(nNOTA))/SUMPRODUCT((nNIA=M375)*(nCUENTA=1)*(COUNTIF(CONFIG_ASIGNATURAS!$B$7:$B$27,nASIG)&gt;0)*1),"")))</f>
        <v/>
      </c>
      <c r="T375" t="str">
        <f>IF(S375="","",IF(S375="[FÓRMULA MANUAL]","",IFERROR(AVERAGEIFS(nNOTA,nNIA,S375,nCUENTA,1,nASIG,"Armonía"),"")))</f>
        <v/>
      </c>
      <c r="U375" t="str">
        <f>IF(S375="","",IF(S375="[FÓRMULA MANUAL]","",IFERROR(AVERAGEIFS(nNOTA,nNIA,S375,nCUENTA,1,nASIG,"Orquesta/Banda/Conjunto"),"")))</f>
        <v/>
      </c>
      <c r="V375" t="str">
        <f>IF(S375="","",IF(S375="[FÓRMULA MANUAL]","",IFERROR(AVERAGEIFS(nNOTA,nNIA,S375,nCUENTA,1,nASIG,"Música de Cámara"),"")))</f>
        <v/>
      </c>
      <c r="W375" t="str">
        <f>IF(S375="","",IF(S375="[FÓRMULA MANUAL]","",IFERROR(SUMPRODUCT((nNIA=S375)*(nCUENTA=1)*(COUNTIF(CONFIG_ASIGNATURAS!$B$7:$B$27,nASIG)&gt;0)*(nNOTA))/SUMPRODUCT((nNIA=S375)*(nCUENTA=1)*(COUNTIF(CONFIG_ASIGNATURAS!$B$7:$B$27,nASIG)&gt;0)*1),"")))</f>
        <v/>
      </c>
      <c r="Z375" t="str">
        <f>IF(Y375="","",IF(Y375="[FÓRMULA MANUAL]","",IFERROR(AVERAGEIFS(nNOTA,nNIA,Y375,nCUENTA,1,nASIG,"Análisis"),"")))</f>
        <v/>
      </c>
      <c r="AA375" t="str">
        <f>IF(Y375="","",IF(Y375="[FÓRMULA MANUAL]","",IFERROR(AVERAGEIFS(nNOTA,nNIA,Y375,nCUENTA,1,nASIG,"Orquesta/Banda/Conjunto"),"")))</f>
        <v/>
      </c>
      <c r="AB375" t="str">
        <f>IF(Y375="","",IF(Y375="[FÓRMULA MANUAL]","",IFERROR(AVERAGEIFS(nNOTA,nNIA,Y375,nCUENTA,1,nASIG,"Música de Cámara"),"")))</f>
        <v/>
      </c>
      <c r="AC375" t="str">
        <f>IF(Y375="","",IF(Y375="[FÓRMULA MANUAL]","",IFERROR(SUMPRODUCT((nNIA=Y375)*(nCUENTA=1)*(COUNTIF(CONFIG_ASIGNATURAS!$B$7:$B$27,nASIG)&gt;0)*(nNOTA))/SUMPRODUCT((nNIA=Y375)*(nCUENTA=1)*(COUNTIF(CONFIG_ASIGNATURAS!$B$7:$B$27,nASIG)&gt;0)*1),"")))</f>
        <v/>
      </c>
      <c r="AF375" t="str">
        <f>IF(AE375="","",IF(AE375="[FÓRMULA MANUAL]","",IFERROR(AVERAGEIFS(nNOTA,nNIA,AE375,nCUENTA,1,nASIG,"Análisis"),"")))</f>
        <v/>
      </c>
      <c r="AG375" t="str">
        <f>IF(AE375="","",IF(AE375="[FÓRMULA MANUAL]","",IFERROR(AVERAGEIFS(nNOTA,nNIA,AE375,nCUENTA,1,nASIG,"Orquesta/Banda/Conjunto"),"")))</f>
        <v/>
      </c>
      <c r="AH375" t="str">
        <f>IF(AE375="","",IF(AE375="[FÓRMULA MANUAL]","",IFERROR(AVERAGEIFS(nNOTA,nNIA,AE375,nCUENTA,1,nASIG,"Música de Cámara"),"")))</f>
        <v/>
      </c>
      <c r="AI375" t="str">
        <f>IF(AE375="","",IF(AE375="[FÓRMULA MANUAL]","",IFERROR(SUMPRODUCT((nNIA=AE375)*(nCUENTA=1)*(COUNTIF(CONFIG_ASIGNATURAS!$B$7:$B$27,nASIG)&gt;0)*(nNOTA))/SUMPRODUCT((nNIA=AE375)*(nCUENTA=1)*(COUNTIF(CONFIG_ASIGNATURAS!$B$7:$B$27,nASIG)&gt;0)*1),"")))</f>
        <v/>
      </c>
    </row>
    <row r="376" spans="2:35" x14ac:dyDescent="0.2">
      <c r="B376" t="str">
        <f>IF(A376="","",IF(A376="[FÓRMULA MANUAL]","",IFERROR(AVERAGEIFS(nNOTA,nNIA,A376,nCUENTA,1,nASIG,"Lenguaje Musical"),"")))</f>
        <v/>
      </c>
      <c r="C376" t="str">
        <f>IF(A376="","",IF(A376="[FÓRMULA MANUAL]","",IFERROR(AVERAGEIFS(nNOTA,nNIA,A376,nCUENTA,1,nASIG,"Orquesta/Banda/Conjunto"),"")))</f>
        <v/>
      </c>
      <c r="D376" t="str">
        <f>IF(A376="","",IF(A376="[FÓRMULA MANUAL]","",IFERROR(AVERAGEIFS(nNOTA,nNIA,A376,nCUENTA,1,nASIG,"Conjunto"),"")))</f>
        <v/>
      </c>
      <c r="E376" t="str">
        <f>IF(A376="","",IF(A376="[FÓRMULA MANUAL]","",IFERROR(SUMPRODUCT((nNIA=A376)*(nCUENTA=1)*(COUNTIF(CONFIG_ASIGNATURAS!$B$7:$B$27,nASIG)&gt;0)*(nNOTA))/SUMPRODUCT((nNIA=A376)*(nCUENTA=1)*(COUNTIF(CONFIG_ASIGNATURAS!$B$7:$B$27,nASIG)&gt;0)*1),"")))</f>
        <v/>
      </c>
      <c r="H376" t="str">
        <f>IF(G376="","",IF(G376="[FÓRMULA MANUAL]","",IFERROR(AVERAGEIFS(nNOTA,nNIA,G376,nCUENTA,1,nASIG,"Lenguaje Musical"),"")))</f>
        <v/>
      </c>
      <c r="I376" t="str">
        <f>IF(G376="","",IF(G376="[FÓRMULA MANUAL]","",IFERROR(AVERAGEIFS(nNOTA,nNIA,G376,nCUENTA,1,nASIG,"Orquesta/Banda/Conjunto"),"")))</f>
        <v/>
      </c>
      <c r="J376" t="str">
        <f>IF(G376="","",IF(G376="[FÓRMULA MANUAL]","",IFERROR(AVERAGEIFS(nNOTA,nNIA,G376,nCUENTA,1,nASIG,"Conjunto"),"")))</f>
        <v/>
      </c>
      <c r="K376" t="str">
        <f>IF(G376="","",IF(G376="[FÓRMULA MANUAL]","",IFERROR(SUMPRODUCT((nNIA=G376)*(nCUENTA=1)*(COUNTIF(CONFIG_ASIGNATURAS!$B$7:$B$27,nASIG)&gt;0)*(nNOTA))/SUMPRODUCT((nNIA=G376)*(nCUENTA=1)*(COUNTIF(CONFIG_ASIGNATURAS!$B$7:$B$27,nASIG)&gt;0)*1),"")))</f>
        <v/>
      </c>
      <c r="N376" t="str">
        <f>IF(M376="","",IF(M376="[FÓRMULA MANUAL]","",IFERROR(AVERAGEIFS(nNOTA,nNIA,M376,nCUENTA,1,nASIG,"Armonía"),"")))</f>
        <v/>
      </c>
      <c r="O376" t="str">
        <f>IF(M376="","",IF(M376="[FÓRMULA MANUAL]","",IFERROR(AVERAGEIFS(nNOTA,nNIA,M376,nCUENTA,1,nASIG,"Orquesta/Banda/Conjunto"),"")))</f>
        <v/>
      </c>
      <c r="P376" t="str">
        <f>IF(M376="","",IF(M376="[FÓRMULA MANUAL]","",IFERROR(AVERAGEIFS(nNOTA,nNIA,M376,nCUENTA,1,nASIG,"Música de Cámara"),"")))</f>
        <v/>
      </c>
      <c r="Q376" t="str">
        <f>IF(M376="","",IF(M376="[FÓRMULA MANUAL]","",IFERROR(SUMPRODUCT((nNIA=M376)*(nCUENTA=1)*(COUNTIF(CONFIG_ASIGNATURAS!$B$7:$B$27,nASIG)&gt;0)*(nNOTA))/SUMPRODUCT((nNIA=M376)*(nCUENTA=1)*(COUNTIF(CONFIG_ASIGNATURAS!$B$7:$B$27,nASIG)&gt;0)*1),"")))</f>
        <v/>
      </c>
      <c r="T376" t="str">
        <f>IF(S376="","",IF(S376="[FÓRMULA MANUAL]","",IFERROR(AVERAGEIFS(nNOTA,nNIA,S376,nCUENTA,1,nASIG,"Armonía"),"")))</f>
        <v/>
      </c>
      <c r="U376" t="str">
        <f>IF(S376="","",IF(S376="[FÓRMULA MANUAL]","",IFERROR(AVERAGEIFS(nNOTA,nNIA,S376,nCUENTA,1,nASIG,"Orquesta/Banda/Conjunto"),"")))</f>
        <v/>
      </c>
      <c r="V376" t="str">
        <f>IF(S376="","",IF(S376="[FÓRMULA MANUAL]","",IFERROR(AVERAGEIFS(nNOTA,nNIA,S376,nCUENTA,1,nASIG,"Música de Cámara"),"")))</f>
        <v/>
      </c>
      <c r="W376" t="str">
        <f>IF(S376="","",IF(S376="[FÓRMULA MANUAL]","",IFERROR(SUMPRODUCT((nNIA=S376)*(nCUENTA=1)*(COUNTIF(CONFIG_ASIGNATURAS!$B$7:$B$27,nASIG)&gt;0)*(nNOTA))/SUMPRODUCT((nNIA=S376)*(nCUENTA=1)*(COUNTIF(CONFIG_ASIGNATURAS!$B$7:$B$27,nASIG)&gt;0)*1),"")))</f>
        <v/>
      </c>
      <c r="Z376" t="str">
        <f>IF(Y376="","",IF(Y376="[FÓRMULA MANUAL]","",IFERROR(AVERAGEIFS(nNOTA,nNIA,Y376,nCUENTA,1,nASIG,"Análisis"),"")))</f>
        <v/>
      </c>
      <c r="AA376" t="str">
        <f>IF(Y376="","",IF(Y376="[FÓRMULA MANUAL]","",IFERROR(AVERAGEIFS(nNOTA,nNIA,Y376,nCUENTA,1,nASIG,"Orquesta/Banda/Conjunto"),"")))</f>
        <v/>
      </c>
      <c r="AB376" t="str">
        <f>IF(Y376="","",IF(Y376="[FÓRMULA MANUAL]","",IFERROR(AVERAGEIFS(nNOTA,nNIA,Y376,nCUENTA,1,nASIG,"Música de Cámara"),"")))</f>
        <v/>
      </c>
      <c r="AC376" t="str">
        <f>IF(Y376="","",IF(Y376="[FÓRMULA MANUAL]","",IFERROR(SUMPRODUCT((nNIA=Y376)*(nCUENTA=1)*(COUNTIF(CONFIG_ASIGNATURAS!$B$7:$B$27,nASIG)&gt;0)*(nNOTA))/SUMPRODUCT((nNIA=Y376)*(nCUENTA=1)*(COUNTIF(CONFIG_ASIGNATURAS!$B$7:$B$27,nASIG)&gt;0)*1),"")))</f>
        <v/>
      </c>
      <c r="AF376" t="str">
        <f>IF(AE376="","",IF(AE376="[FÓRMULA MANUAL]","",IFERROR(AVERAGEIFS(nNOTA,nNIA,AE376,nCUENTA,1,nASIG,"Análisis"),"")))</f>
        <v/>
      </c>
      <c r="AG376" t="str">
        <f>IF(AE376="","",IF(AE376="[FÓRMULA MANUAL]","",IFERROR(AVERAGEIFS(nNOTA,nNIA,AE376,nCUENTA,1,nASIG,"Orquesta/Banda/Conjunto"),"")))</f>
        <v/>
      </c>
      <c r="AH376" t="str">
        <f>IF(AE376="","",IF(AE376="[FÓRMULA MANUAL]","",IFERROR(AVERAGEIFS(nNOTA,nNIA,AE376,nCUENTA,1,nASIG,"Música de Cámara"),"")))</f>
        <v/>
      </c>
      <c r="AI376" t="str">
        <f>IF(AE376="","",IF(AE376="[FÓRMULA MANUAL]","",IFERROR(SUMPRODUCT((nNIA=AE376)*(nCUENTA=1)*(COUNTIF(CONFIG_ASIGNATURAS!$B$7:$B$27,nASIG)&gt;0)*(nNOTA))/SUMPRODUCT((nNIA=AE376)*(nCUENTA=1)*(COUNTIF(CONFIG_ASIGNATURAS!$B$7:$B$27,nASIG)&gt;0)*1),"")))</f>
        <v/>
      </c>
    </row>
    <row r="377" spans="2:35" x14ac:dyDescent="0.2">
      <c r="B377" t="str">
        <f>IF(A377="","",IF(A377="[FÓRMULA MANUAL]","",IFERROR(AVERAGEIFS(nNOTA,nNIA,A377,nCUENTA,1,nASIG,"Lenguaje Musical"),"")))</f>
        <v/>
      </c>
      <c r="C377" t="str">
        <f>IF(A377="","",IF(A377="[FÓRMULA MANUAL]","",IFERROR(AVERAGEIFS(nNOTA,nNIA,A377,nCUENTA,1,nASIG,"Orquesta/Banda/Conjunto"),"")))</f>
        <v/>
      </c>
      <c r="D377" t="str">
        <f>IF(A377="","",IF(A377="[FÓRMULA MANUAL]","",IFERROR(AVERAGEIFS(nNOTA,nNIA,A377,nCUENTA,1,nASIG,"Conjunto"),"")))</f>
        <v/>
      </c>
      <c r="E377" t="str">
        <f>IF(A377="","",IF(A377="[FÓRMULA MANUAL]","",IFERROR(SUMPRODUCT((nNIA=A377)*(nCUENTA=1)*(COUNTIF(CONFIG_ASIGNATURAS!$B$7:$B$27,nASIG)&gt;0)*(nNOTA))/SUMPRODUCT((nNIA=A377)*(nCUENTA=1)*(COUNTIF(CONFIG_ASIGNATURAS!$B$7:$B$27,nASIG)&gt;0)*1),"")))</f>
        <v/>
      </c>
      <c r="H377" t="str">
        <f>IF(G377="","",IF(G377="[FÓRMULA MANUAL]","",IFERROR(AVERAGEIFS(nNOTA,nNIA,G377,nCUENTA,1,nASIG,"Lenguaje Musical"),"")))</f>
        <v/>
      </c>
      <c r="I377" t="str">
        <f>IF(G377="","",IF(G377="[FÓRMULA MANUAL]","",IFERROR(AVERAGEIFS(nNOTA,nNIA,G377,nCUENTA,1,nASIG,"Orquesta/Banda/Conjunto"),"")))</f>
        <v/>
      </c>
      <c r="J377" t="str">
        <f>IF(G377="","",IF(G377="[FÓRMULA MANUAL]","",IFERROR(AVERAGEIFS(nNOTA,nNIA,G377,nCUENTA,1,nASIG,"Conjunto"),"")))</f>
        <v/>
      </c>
      <c r="K377" t="str">
        <f>IF(G377="","",IF(G377="[FÓRMULA MANUAL]","",IFERROR(SUMPRODUCT((nNIA=G377)*(nCUENTA=1)*(COUNTIF(CONFIG_ASIGNATURAS!$B$7:$B$27,nASIG)&gt;0)*(nNOTA))/SUMPRODUCT((nNIA=G377)*(nCUENTA=1)*(COUNTIF(CONFIG_ASIGNATURAS!$B$7:$B$27,nASIG)&gt;0)*1),"")))</f>
        <v/>
      </c>
      <c r="N377" t="str">
        <f>IF(M377="","",IF(M377="[FÓRMULA MANUAL]","",IFERROR(AVERAGEIFS(nNOTA,nNIA,M377,nCUENTA,1,nASIG,"Armonía"),"")))</f>
        <v/>
      </c>
      <c r="O377" t="str">
        <f>IF(M377="","",IF(M377="[FÓRMULA MANUAL]","",IFERROR(AVERAGEIFS(nNOTA,nNIA,M377,nCUENTA,1,nASIG,"Orquesta/Banda/Conjunto"),"")))</f>
        <v/>
      </c>
      <c r="P377" t="str">
        <f>IF(M377="","",IF(M377="[FÓRMULA MANUAL]","",IFERROR(AVERAGEIFS(nNOTA,nNIA,M377,nCUENTA,1,nASIG,"Música de Cámara"),"")))</f>
        <v/>
      </c>
      <c r="Q377" t="str">
        <f>IF(M377="","",IF(M377="[FÓRMULA MANUAL]","",IFERROR(SUMPRODUCT((nNIA=M377)*(nCUENTA=1)*(COUNTIF(CONFIG_ASIGNATURAS!$B$7:$B$27,nASIG)&gt;0)*(nNOTA))/SUMPRODUCT((nNIA=M377)*(nCUENTA=1)*(COUNTIF(CONFIG_ASIGNATURAS!$B$7:$B$27,nASIG)&gt;0)*1),"")))</f>
        <v/>
      </c>
      <c r="T377" t="str">
        <f>IF(S377="","",IF(S377="[FÓRMULA MANUAL]","",IFERROR(AVERAGEIFS(nNOTA,nNIA,S377,nCUENTA,1,nASIG,"Armonía"),"")))</f>
        <v/>
      </c>
      <c r="U377" t="str">
        <f>IF(S377="","",IF(S377="[FÓRMULA MANUAL]","",IFERROR(AVERAGEIFS(nNOTA,nNIA,S377,nCUENTA,1,nASIG,"Orquesta/Banda/Conjunto"),"")))</f>
        <v/>
      </c>
      <c r="V377" t="str">
        <f>IF(S377="","",IF(S377="[FÓRMULA MANUAL]","",IFERROR(AVERAGEIFS(nNOTA,nNIA,S377,nCUENTA,1,nASIG,"Música de Cámara"),"")))</f>
        <v/>
      </c>
      <c r="W377" t="str">
        <f>IF(S377="","",IF(S377="[FÓRMULA MANUAL]","",IFERROR(SUMPRODUCT((nNIA=S377)*(nCUENTA=1)*(COUNTIF(CONFIG_ASIGNATURAS!$B$7:$B$27,nASIG)&gt;0)*(nNOTA))/SUMPRODUCT((nNIA=S377)*(nCUENTA=1)*(COUNTIF(CONFIG_ASIGNATURAS!$B$7:$B$27,nASIG)&gt;0)*1),"")))</f>
        <v/>
      </c>
      <c r="Z377" t="str">
        <f>IF(Y377="","",IF(Y377="[FÓRMULA MANUAL]","",IFERROR(AVERAGEIFS(nNOTA,nNIA,Y377,nCUENTA,1,nASIG,"Análisis"),"")))</f>
        <v/>
      </c>
      <c r="AA377" t="str">
        <f>IF(Y377="","",IF(Y377="[FÓRMULA MANUAL]","",IFERROR(AVERAGEIFS(nNOTA,nNIA,Y377,nCUENTA,1,nASIG,"Orquesta/Banda/Conjunto"),"")))</f>
        <v/>
      </c>
      <c r="AB377" t="str">
        <f>IF(Y377="","",IF(Y377="[FÓRMULA MANUAL]","",IFERROR(AVERAGEIFS(nNOTA,nNIA,Y377,nCUENTA,1,nASIG,"Música de Cámara"),"")))</f>
        <v/>
      </c>
      <c r="AC377" t="str">
        <f>IF(Y377="","",IF(Y377="[FÓRMULA MANUAL]","",IFERROR(SUMPRODUCT((nNIA=Y377)*(nCUENTA=1)*(COUNTIF(CONFIG_ASIGNATURAS!$B$7:$B$27,nASIG)&gt;0)*(nNOTA))/SUMPRODUCT((nNIA=Y377)*(nCUENTA=1)*(COUNTIF(CONFIG_ASIGNATURAS!$B$7:$B$27,nASIG)&gt;0)*1),"")))</f>
        <v/>
      </c>
      <c r="AF377" t="str">
        <f>IF(AE377="","",IF(AE377="[FÓRMULA MANUAL]","",IFERROR(AVERAGEIFS(nNOTA,nNIA,AE377,nCUENTA,1,nASIG,"Análisis"),"")))</f>
        <v/>
      </c>
      <c r="AG377" t="str">
        <f>IF(AE377="","",IF(AE377="[FÓRMULA MANUAL]","",IFERROR(AVERAGEIFS(nNOTA,nNIA,AE377,nCUENTA,1,nASIG,"Orquesta/Banda/Conjunto"),"")))</f>
        <v/>
      </c>
      <c r="AH377" t="str">
        <f>IF(AE377="","",IF(AE377="[FÓRMULA MANUAL]","",IFERROR(AVERAGEIFS(nNOTA,nNIA,AE377,nCUENTA,1,nASIG,"Música de Cámara"),"")))</f>
        <v/>
      </c>
      <c r="AI377" t="str">
        <f>IF(AE377="","",IF(AE377="[FÓRMULA MANUAL]","",IFERROR(SUMPRODUCT((nNIA=AE377)*(nCUENTA=1)*(COUNTIF(CONFIG_ASIGNATURAS!$B$7:$B$27,nASIG)&gt;0)*(nNOTA))/SUMPRODUCT((nNIA=AE377)*(nCUENTA=1)*(COUNTIF(CONFIG_ASIGNATURAS!$B$7:$B$27,nASIG)&gt;0)*1),"")))</f>
        <v/>
      </c>
    </row>
    <row r="378" spans="2:35" x14ac:dyDescent="0.2">
      <c r="B378" t="str">
        <f>IF(A378="","",IF(A378="[FÓRMULA MANUAL]","",IFERROR(AVERAGEIFS(nNOTA,nNIA,A378,nCUENTA,1,nASIG,"Lenguaje Musical"),"")))</f>
        <v/>
      </c>
      <c r="C378" t="str">
        <f>IF(A378="","",IF(A378="[FÓRMULA MANUAL]","",IFERROR(AVERAGEIFS(nNOTA,nNIA,A378,nCUENTA,1,nASIG,"Orquesta/Banda/Conjunto"),"")))</f>
        <v/>
      </c>
      <c r="D378" t="str">
        <f>IF(A378="","",IF(A378="[FÓRMULA MANUAL]","",IFERROR(AVERAGEIFS(nNOTA,nNIA,A378,nCUENTA,1,nASIG,"Conjunto"),"")))</f>
        <v/>
      </c>
      <c r="E378" t="str">
        <f>IF(A378="","",IF(A378="[FÓRMULA MANUAL]","",IFERROR(SUMPRODUCT((nNIA=A378)*(nCUENTA=1)*(COUNTIF(CONFIG_ASIGNATURAS!$B$7:$B$27,nASIG)&gt;0)*(nNOTA))/SUMPRODUCT((nNIA=A378)*(nCUENTA=1)*(COUNTIF(CONFIG_ASIGNATURAS!$B$7:$B$27,nASIG)&gt;0)*1),"")))</f>
        <v/>
      </c>
      <c r="H378" t="str">
        <f>IF(G378="","",IF(G378="[FÓRMULA MANUAL]","",IFERROR(AVERAGEIFS(nNOTA,nNIA,G378,nCUENTA,1,nASIG,"Lenguaje Musical"),"")))</f>
        <v/>
      </c>
      <c r="I378" t="str">
        <f>IF(G378="","",IF(G378="[FÓRMULA MANUAL]","",IFERROR(AVERAGEIFS(nNOTA,nNIA,G378,nCUENTA,1,nASIG,"Orquesta/Banda/Conjunto"),"")))</f>
        <v/>
      </c>
      <c r="J378" t="str">
        <f>IF(G378="","",IF(G378="[FÓRMULA MANUAL]","",IFERROR(AVERAGEIFS(nNOTA,nNIA,G378,nCUENTA,1,nASIG,"Conjunto"),"")))</f>
        <v/>
      </c>
      <c r="K378" t="str">
        <f>IF(G378="","",IF(G378="[FÓRMULA MANUAL]","",IFERROR(SUMPRODUCT((nNIA=G378)*(nCUENTA=1)*(COUNTIF(CONFIG_ASIGNATURAS!$B$7:$B$27,nASIG)&gt;0)*(nNOTA))/SUMPRODUCT((nNIA=G378)*(nCUENTA=1)*(COUNTIF(CONFIG_ASIGNATURAS!$B$7:$B$27,nASIG)&gt;0)*1),"")))</f>
        <v/>
      </c>
      <c r="N378" t="str">
        <f>IF(M378="","",IF(M378="[FÓRMULA MANUAL]","",IFERROR(AVERAGEIFS(nNOTA,nNIA,M378,nCUENTA,1,nASIG,"Armonía"),"")))</f>
        <v/>
      </c>
      <c r="O378" t="str">
        <f>IF(M378="","",IF(M378="[FÓRMULA MANUAL]","",IFERROR(AVERAGEIFS(nNOTA,nNIA,M378,nCUENTA,1,nASIG,"Orquesta/Banda/Conjunto"),"")))</f>
        <v/>
      </c>
      <c r="P378" t="str">
        <f>IF(M378="","",IF(M378="[FÓRMULA MANUAL]","",IFERROR(AVERAGEIFS(nNOTA,nNIA,M378,nCUENTA,1,nASIG,"Música de Cámara"),"")))</f>
        <v/>
      </c>
      <c r="Q378" t="str">
        <f>IF(M378="","",IF(M378="[FÓRMULA MANUAL]","",IFERROR(SUMPRODUCT((nNIA=M378)*(nCUENTA=1)*(COUNTIF(CONFIG_ASIGNATURAS!$B$7:$B$27,nASIG)&gt;0)*(nNOTA))/SUMPRODUCT((nNIA=M378)*(nCUENTA=1)*(COUNTIF(CONFIG_ASIGNATURAS!$B$7:$B$27,nASIG)&gt;0)*1),"")))</f>
        <v/>
      </c>
      <c r="T378" t="str">
        <f>IF(S378="","",IF(S378="[FÓRMULA MANUAL]","",IFERROR(AVERAGEIFS(nNOTA,nNIA,S378,nCUENTA,1,nASIG,"Armonía"),"")))</f>
        <v/>
      </c>
      <c r="U378" t="str">
        <f>IF(S378="","",IF(S378="[FÓRMULA MANUAL]","",IFERROR(AVERAGEIFS(nNOTA,nNIA,S378,nCUENTA,1,nASIG,"Orquesta/Banda/Conjunto"),"")))</f>
        <v/>
      </c>
      <c r="V378" t="str">
        <f>IF(S378="","",IF(S378="[FÓRMULA MANUAL]","",IFERROR(AVERAGEIFS(nNOTA,nNIA,S378,nCUENTA,1,nASIG,"Música de Cámara"),"")))</f>
        <v/>
      </c>
      <c r="W378" t="str">
        <f>IF(S378="","",IF(S378="[FÓRMULA MANUAL]","",IFERROR(SUMPRODUCT((nNIA=S378)*(nCUENTA=1)*(COUNTIF(CONFIG_ASIGNATURAS!$B$7:$B$27,nASIG)&gt;0)*(nNOTA))/SUMPRODUCT((nNIA=S378)*(nCUENTA=1)*(COUNTIF(CONFIG_ASIGNATURAS!$B$7:$B$27,nASIG)&gt;0)*1),"")))</f>
        <v/>
      </c>
      <c r="Z378" t="str">
        <f>IF(Y378="","",IF(Y378="[FÓRMULA MANUAL]","",IFERROR(AVERAGEIFS(nNOTA,nNIA,Y378,nCUENTA,1,nASIG,"Análisis"),"")))</f>
        <v/>
      </c>
      <c r="AA378" t="str">
        <f>IF(Y378="","",IF(Y378="[FÓRMULA MANUAL]","",IFERROR(AVERAGEIFS(nNOTA,nNIA,Y378,nCUENTA,1,nASIG,"Orquesta/Banda/Conjunto"),"")))</f>
        <v/>
      </c>
      <c r="AB378" t="str">
        <f>IF(Y378="","",IF(Y378="[FÓRMULA MANUAL]","",IFERROR(AVERAGEIFS(nNOTA,nNIA,Y378,nCUENTA,1,nASIG,"Música de Cámara"),"")))</f>
        <v/>
      </c>
      <c r="AC378" t="str">
        <f>IF(Y378="","",IF(Y378="[FÓRMULA MANUAL]","",IFERROR(SUMPRODUCT((nNIA=Y378)*(nCUENTA=1)*(COUNTIF(CONFIG_ASIGNATURAS!$B$7:$B$27,nASIG)&gt;0)*(nNOTA))/SUMPRODUCT((nNIA=Y378)*(nCUENTA=1)*(COUNTIF(CONFIG_ASIGNATURAS!$B$7:$B$27,nASIG)&gt;0)*1),"")))</f>
        <v/>
      </c>
      <c r="AF378" t="str">
        <f>IF(AE378="","",IF(AE378="[FÓRMULA MANUAL]","",IFERROR(AVERAGEIFS(nNOTA,nNIA,AE378,nCUENTA,1,nASIG,"Análisis"),"")))</f>
        <v/>
      </c>
      <c r="AG378" t="str">
        <f>IF(AE378="","",IF(AE378="[FÓRMULA MANUAL]","",IFERROR(AVERAGEIFS(nNOTA,nNIA,AE378,nCUENTA,1,nASIG,"Orquesta/Banda/Conjunto"),"")))</f>
        <v/>
      </c>
      <c r="AH378" t="str">
        <f>IF(AE378="","",IF(AE378="[FÓRMULA MANUAL]","",IFERROR(AVERAGEIFS(nNOTA,nNIA,AE378,nCUENTA,1,nASIG,"Música de Cámara"),"")))</f>
        <v/>
      </c>
      <c r="AI378" t="str">
        <f>IF(AE378="","",IF(AE378="[FÓRMULA MANUAL]","",IFERROR(SUMPRODUCT((nNIA=AE378)*(nCUENTA=1)*(COUNTIF(CONFIG_ASIGNATURAS!$B$7:$B$27,nASIG)&gt;0)*(nNOTA))/SUMPRODUCT((nNIA=AE378)*(nCUENTA=1)*(COUNTIF(CONFIG_ASIGNATURAS!$B$7:$B$27,nASIG)&gt;0)*1),"")))</f>
        <v/>
      </c>
    </row>
    <row r="379" spans="2:35" x14ac:dyDescent="0.2">
      <c r="B379" t="str">
        <f>IF(A379="","",IF(A379="[FÓRMULA MANUAL]","",IFERROR(AVERAGEIFS(nNOTA,nNIA,A379,nCUENTA,1,nASIG,"Lenguaje Musical"),"")))</f>
        <v/>
      </c>
      <c r="C379" t="str">
        <f>IF(A379="","",IF(A379="[FÓRMULA MANUAL]","",IFERROR(AVERAGEIFS(nNOTA,nNIA,A379,nCUENTA,1,nASIG,"Orquesta/Banda/Conjunto"),"")))</f>
        <v/>
      </c>
      <c r="D379" t="str">
        <f>IF(A379="","",IF(A379="[FÓRMULA MANUAL]","",IFERROR(AVERAGEIFS(nNOTA,nNIA,A379,nCUENTA,1,nASIG,"Conjunto"),"")))</f>
        <v/>
      </c>
      <c r="E379" t="str">
        <f>IF(A379="","",IF(A379="[FÓRMULA MANUAL]","",IFERROR(SUMPRODUCT((nNIA=A379)*(nCUENTA=1)*(COUNTIF(CONFIG_ASIGNATURAS!$B$7:$B$27,nASIG)&gt;0)*(nNOTA))/SUMPRODUCT((nNIA=A379)*(nCUENTA=1)*(COUNTIF(CONFIG_ASIGNATURAS!$B$7:$B$27,nASIG)&gt;0)*1),"")))</f>
        <v/>
      </c>
      <c r="H379" t="str">
        <f>IF(G379="","",IF(G379="[FÓRMULA MANUAL]","",IFERROR(AVERAGEIFS(nNOTA,nNIA,G379,nCUENTA,1,nASIG,"Lenguaje Musical"),"")))</f>
        <v/>
      </c>
      <c r="I379" t="str">
        <f>IF(G379="","",IF(G379="[FÓRMULA MANUAL]","",IFERROR(AVERAGEIFS(nNOTA,nNIA,G379,nCUENTA,1,nASIG,"Orquesta/Banda/Conjunto"),"")))</f>
        <v/>
      </c>
      <c r="J379" t="str">
        <f>IF(G379="","",IF(G379="[FÓRMULA MANUAL]","",IFERROR(AVERAGEIFS(nNOTA,nNIA,G379,nCUENTA,1,nASIG,"Conjunto"),"")))</f>
        <v/>
      </c>
      <c r="K379" t="str">
        <f>IF(G379="","",IF(G379="[FÓRMULA MANUAL]","",IFERROR(SUMPRODUCT((nNIA=G379)*(nCUENTA=1)*(COUNTIF(CONFIG_ASIGNATURAS!$B$7:$B$27,nASIG)&gt;0)*(nNOTA))/SUMPRODUCT((nNIA=G379)*(nCUENTA=1)*(COUNTIF(CONFIG_ASIGNATURAS!$B$7:$B$27,nASIG)&gt;0)*1),"")))</f>
        <v/>
      </c>
      <c r="N379" t="str">
        <f>IF(M379="","",IF(M379="[FÓRMULA MANUAL]","",IFERROR(AVERAGEIFS(nNOTA,nNIA,M379,nCUENTA,1,nASIG,"Armonía"),"")))</f>
        <v/>
      </c>
      <c r="O379" t="str">
        <f>IF(M379="","",IF(M379="[FÓRMULA MANUAL]","",IFERROR(AVERAGEIFS(nNOTA,nNIA,M379,nCUENTA,1,nASIG,"Orquesta/Banda/Conjunto"),"")))</f>
        <v/>
      </c>
      <c r="P379" t="str">
        <f>IF(M379="","",IF(M379="[FÓRMULA MANUAL]","",IFERROR(AVERAGEIFS(nNOTA,nNIA,M379,nCUENTA,1,nASIG,"Música de Cámara"),"")))</f>
        <v/>
      </c>
      <c r="Q379" t="str">
        <f>IF(M379="","",IF(M379="[FÓRMULA MANUAL]","",IFERROR(SUMPRODUCT((nNIA=M379)*(nCUENTA=1)*(COUNTIF(CONFIG_ASIGNATURAS!$B$7:$B$27,nASIG)&gt;0)*(nNOTA))/SUMPRODUCT((nNIA=M379)*(nCUENTA=1)*(COUNTIF(CONFIG_ASIGNATURAS!$B$7:$B$27,nASIG)&gt;0)*1),"")))</f>
        <v/>
      </c>
      <c r="T379" t="str">
        <f>IF(S379="","",IF(S379="[FÓRMULA MANUAL]","",IFERROR(AVERAGEIFS(nNOTA,nNIA,S379,nCUENTA,1,nASIG,"Armonía"),"")))</f>
        <v/>
      </c>
      <c r="U379" t="str">
        <f>IF(S379="","",IF(S379="[FÓRMULA MANUAL]","",IFERROR(AVERAGEIFS(nNOTA,nNIA,S379,nCUENTA,1,nASIG,"Orquesta/Banda/Conjunto"),"")))</f>
        <v/>
      </c>
      <c r="V379" t="str">
        <f>IF(S379="","",IF(S379="[FÓRMULA MANUAL]","",IFERROR(AVERAGEIFS(nNOTA,nNIA,S379,nCUENTA,1,nASIG,"Música de Cámara"),"")))</f>
        <v/>
      </c>
      <c r="W379" t="str">
        <f>IF(S379="","",IF(S379="[FÓRMULA MANUAL]","",IFERROR(SUMPRODUCT((nNIA=S379)*(nCUENTA=1)*(COUNTIF(CONFIG_ASIGNATURAS!$B$7:$B$27,nASIG)&gt;0)*(nNOTA))/SUMPRODUCT((nNIA=S379)*(nCUENTA=1)*(COUNTIF(CONFIG_ASIGNATURAS!$B$7:$B$27,nASIG)&gt;0)*1),"")))</f>
        <v/>
      </c>
      <c r="Z379" t="str">
        <f>IF(Y379="","",IF(Y379="[FÓRMULA MANUAL]","",IFERROR(AVERAGEIFS(nNOTA,nNIA,Y379,nCUENTA,1,nASIG,"Análisis"),"")))</f>
        <v/>
      </c>
      <c r="AA379" t="str">
        <f>IF(Y379="","",IF(Y379="[FÓRMULA MANUAL]","",IFERROR(AVERAGEIFS(nNOTA,nNIA,Y379,nCUENTA,1,nASIG,"Orquesta/Banda/Conjunto"),"")))</f>
        <v/>
      </c>
      <c r="AB379" t="str">
        <f>IF(Y379="","",IF(Y379="[FÓRMULA MANUAL]","",IFERROR(AVERAGEIFS(nNOTA,nNIA,Y379,nCUENTA,1,nASIG,"Música de Cámara"),"")))</f>
        <v/>
      </c>
      <c r="AC379" t="str">
        <f>IF(Y379="","",IF(Y379="[FÓRMULA MANUAL]","",IFERROR(SUMPRODUCT((nNIA=Y379)*(nCUENTA=1)*(COUNTIF(CONFIG_ASIGNATURAS!$B$7:$B$27,nASIG)&gt;0)*(nNOTA))/SUMPRODUCT((nNIA=Y379)*(nCUENTA=1)*(COUNTIF(CONFIG_ASIGNATURAS!$B$7:$B$27,nASIG)&gt;0)*1),"")))</f>
        <v/>
      </c>
      <c r="AF379" t="str">
        <f>IF(AE379="","",IF(AE379="[FÓRMULA MANUAL]","",IFERROR(AVERAGEIFS(nNOTA,nNIA,AE379,nCUENTA,1,nASIG,"Análisis"),"")))</f>
        <v/>
      </c>
      <c r="AG379" t="str">
        <f>IF(AE379="","",IF(AE379="[FÓRMULA MANUAL]","",IFERROR(AVERAGEIFS(nNOTA,nNIA,AE379,nCUENTA,1,nASIG,"Orquesta/Banda/Conjunto"),"")))</f>
        <v/>
      </c>
      <c r="AH379" t="str">
        <f>IF(AE379="","",IF(AE379="[FÓRMULA MANUAL]","",IFERROR(AVERAGEIFS(nNOTA,nNIA,AE379,nCUENTA,1,nASIG,"Música de Cámara"),"")))</f>
        <v/>
      </c>
      <c r="AI379" t="str">
        <f>IF(AE379="","",IF(AE379="[FÓRMULA MANUAL]","",IFERROR(SUMPRODUCT((nNIA=AE379)*(nCUENTA=1)*(COUNTIF(CONFIG_ASIGNATURAS!$B$7:$B$27,nASIG)&gt;0)*(nNOTA))/SUMPRODUCT((nNIA=AE379)*(nCUENTA=1)*(COUNTIF(CONFIG_ASIGNATURAS!$B$7:$B$27,nASIG)&gt;0)*1),"")))</f>
        <v/>
      </c>
    </row>
    <row r="380" spans="2:35" x14ac:dyDescent="0.2">
      <c r="B380" t="str">
        <f>IF(A380="","",IF(A380="[FÓRMULA MANUAL]","",IFERROR(AVERAGEIFS(nNOTA,nNIA,A380,nCUENTA,1,nASIG,"Lenguaje Musical"),"")))</f>
        <v/>
      </c>
      <c r="C380" t="str">
        <f>IF(A380="","",IF(A380="[FÓRMULA MANUAL]","",IFERROR(AVERAGEIFS(nNOTA,nNIA,A380,nCUENTA,1,nASIG,"Orquesta/Banda/Conjunto"),"")))</f>
        <v/>
      </c>
      <c r="D380" t="str">
        <f>IF(A380="","",IF(A380="[FÓRMULA MANUAL]","",IFERROR(AVERAGEIFS(nNOTA,nNIA,A380,nCUENTA,1,nASIG,"Conjunto"),"")))</f>
        <v/>
      </c>
      <c r="E380" t="str">
        <f>IF(A380="","",IF(A380="[FÓRMULA MANUAL]","",IFERROR(SUMPRODUCT((nNIA=A380)*(nCUENTA=1)*(COUNTIF(CONFIG_ASIGNATURAS!$B$7:$B$27,nASIG)&gt;0)*(nNOTA))/SUMPRODUCT((nNIA=A380)*(nCUENTA=1)*(COUNTIF(CONFIG_ASIGNATURAS!$B$7:$B$27,nASIG)&gt;0)*1),"")))</f>
        <v/>
      </c>
      <c r="H380" t="str">
        <f>IF(G380="","",IF(G380="[FÓRMULA MANUAL]","",IFERROR(AVERAGEIFS(nNOTA,nNIA,G380,nCUENTA,1,nASIG,"Lenguaje Musical"),"")))</f>
        <v/>
      </c>
      <c r="I380" t="str">
        <f>IF(G380="","",IF(G380="[FÓRMULA MANUAL]","",IFERROR(AVERAGEIFS(nNOTA,nNIA,G380,nCUENTA,1,nASIG,"Orquesta/Banda/Conjunto"),"")))</f>
        <v/>
      </c>
      <c r="J380" t="str">
        <f>IF(G380="","",IF(G380="[FÓRMULA MANUAL]","",IFERROR(AVERAGEIFS(nNOTA,nNIA,G380,nCUENTA,1,nASIG,"Conjunto"),"")))</f>
        <v/>
      </c>
      <c r="K380" t="str">
        <f>IF(G380="","",IF(G380="[FÓRMULA MANUAL]","",IFERROR(SUMPRODUCT((nNIA=G380)*(nCUENTA=1)*(COUNTIF(CONFIG_ASIGNATURAS!$B$7:$B$27,nASIG)&gt;0)*(nNOTA))/SUMPRODUCT((nNIA=G380)*(nCUENTA=1)*(COUNTIF(CONFIG_ASIGNATURAS!$B$7:$B$27,nASIG)&gt;0)*1),"")))</f>
        <v/>
      </c>
      <c r="N380" t="str">
        <f>IF(M380="","",IF(M380="[FÓRMULA MANUAL]","",IFERROR(AVERAGEIFS(nNOTA,nNIA,M380,nCUENTA,1,nASIG,"Armonía"),"")))</f>
        <v/>
      </c>
      <c r="O380" t="str">
        <f>IF(M380="","",IF(M380="[FÓRMULA MANUAL]","",IFERROR(AVERAGEIFS(nNOTA,nNIA,M380,nCUENTA,1,nASIG,"Orquesta/Banda/Conjunto"),"")))</f>
        <v/>
      </c>
      <c r="P380" t="str">
        <f>IF(M380="","",IF(M380="[FÓRMULA MANUAL]","",IFERROR(AVERAGEIFS(nNOTA,nNIA,M380,nCUENTA,1,nASIG,"Música de Cámara"),"")))</f>
        <v/>
      </c>
      <c r="Q380" t="str">
        <f>IF(M380="","",IF(M380="[FÓRMULA MANUAL]","",IFERROR(SUMPRODUCT((nNIA=M380)*(nCUENTA=1)*(COUNTIF(CONFIG_ASIGNATURAS!$B$7:$B$27,nASIG)&gt;0)*(nNOTA))/SUMPRODUCT((nNIA=M380)*(nCUENTA=1)*(COUNTIF(CONFIG_ASIGNATURAS!$B$7:$B$27,nASIG)&gt;0)*1),"")))</f>
        <v/>
      </c>
      <c r="T380" t="str">
        <f>IF(S380="","",IF(S380="[FÓRMULA MANUAL]","",IFERROR(AVERAGEIFS(nNOTA,nNIA,S380,nCUENTA,1,nASIG,"Armonía"),"")))</f>
        <v/>
      </c>
      <c r="U380" t="str">
        <f>IF(S380="","",IF(S380="[FÓRMULA MANUAL]","",IFERROR(AVERAGEIFS(nNOTA,nNIA,S380,nCUENTA,1,nASIG,"Orquesta/Banda/Conjunto"),"")))</f>
        <v/>
      </c>
      <c r="V380" t="str">
        <f>IF(S380="","",IF(S380="[FÓRMULA MANUAL]","",IFERROR(AVERAGEIFS(nNOTA,nNIA,S380,nCUENTA,1,nASIG,"Música de Cámara"),"")))</f>
        <v/>
      </c>
      <c r="W380" t="str">
        <f>IF(S380="","",IF(S380="[FÓRMULA MANUAL]","",IFERROR(SUMPRODUCT((nNIA=S380)*(nCUENTA=1)*(COUNTIF(CONFIG_ASIGNATURAS!$B$7:$B$27,nASIG)&gt;0)*(nNOTA))/SUMPRODUCT((nNIA=S380)*(nCUENTA=1)*(COUNTIF(CONFIG_ASIGNATURAS!$B$7:$B$27,nASIG)&gt;0)*1),"")))</f>
        <v/>
      </c>
      <c r="Z380" t="str">
        <f>IF(Y380="","",IF(Y380="[FÓRMULA MANUAL]","",IFERROR(AVERAGEIFS(nNOTA,nNIA,Y380,nCUENTA,1,nASIG,"Análisis"),"")))</f>
        <v/>
      </c>
      <c r="AA380" t="str">
        <f>IF(Y380="","",IF(Y380="[FÓRMULA MANUAL]","",IFERROR(AVERAGEIFS(nNOTA,nNIA,Y380,nCUENTA,1,nASIG,"Orquesta/Banda/Conjunto"),"")))</f>
        <v/>
      </c>
      <c r="AB380" t="str">
        <f>IF(Y380="","",IF(Y380="[FÓRMULA MANUAL]","",IFERROR(AVERAGEIFS(nNOTA,nNIA,Y380,nCUENTA,1,nASIG,"Música de Cámara"),"")))</f>
        <v/>
      </c>
      <c r="AC380" t="str">
        <f>IF(Y380="","",IF(Y380="[FÓRMULA MANUAL]","",IFERROR(SUMPRODUCT((nNIA=Y380)*(nCUENTA=1)*(COUNTIF(CONFIG_ASIGNATURAS!$B$7:$B$27,nASIG)&gt;0)*(nNOTA))/SUMPRODUCT((nNIA=Y380)*(nCUENTA=1)*(COUNTIF(CONFIG_ASIGNATURAS!$B$7:$B$27,nASIG)&gt;0)*1),"")))</f>
        <v/>
      </c>
      <c r="AF380" t="str">
        <f>IF(AE380="","",IF(AE380="[FÓRMULA MANUAL]","",IFERROR(AVERAGEIFS(nNOTA,nNIA,AE380,nCUENTA,1,nASIG,"Análisis"),"")))</f>
        <v/>
      </c>
      <c r="AG380" t="str">
        <f>IF(AE380="","",IF(AE380="[FÓRMULA MANUAL]","",IFERROR(AVERAGEIFS(nNOTA,nNIA,AE380,nCUENTA,1,nASIG,"Orquesta/Banda/Conjunto"),"")))</f>
        <v/>
      </c>
      <c r="AH380" t="str">
        <f>IF(AE380="","",IF(AE380="[FÓRMULA MANUAL]","",IFERROR(AVERAGEIFS(nNOTA,nNIA,AE380,nCUENTA,1,nASIG,"Música de Cámara"),"")))</f>
        <v/>
      </c>
      <c r="AI380" t="str">
        <f>IF(AE380="","",IF(AE380="[FÓRMULA MANUAL]","",IFERROR(SUMPRODUCT((nNIA=AE380)*(nCUENTA=1)*(COUNTIF(CONFIG_ASIGNATURAS!$B$7:$B$27,nASIG)&gt;0)*(nNOTA))/SUMPRODUCT((nNIA=AE380)*(nCUENTA=1)*(COUNTIF(CONFIG_ASIGNATURAS!$B$7:$B$27,nASIG)&gt;0)*1),"")))</f>
        <v/>
      </c>
    </row>
    <row r="381" spans="2:35" x14ac:dyDescent="0.2">
      <c r="B381" t="str">
        <f>IF(A381="","",IF(A381="[FÓRMULA MANUAL]","",IFERROR(AVERAGEIFS(nNOTA,nNIA,A381,nCUENTA,1,nASIG,"Lenguaje Musical"),"")))</f>
        <v/>
      </c>
      <c r="C381" t="str">
        <f>IF(A381="","",IF(A381="[FÓRMULA MANUAL]","",IFERROR(AVERAGEIFS(nNOTA,nNIA,A381,nCUENTA,1,nASIG,"Orquesta/Banda/Conjunto"),"")))</f>
        <v/>
      </c>
      <c r="D381" t="str">
        <f>IF(A381="","",IF(A381="[FÓRMULA MANUAL]","",IFERROR(AVERAGEIFS(nNOTA,nNIA,A381,nCUENTA,1,nASIG,"Conjunto"),"")))</f>
        <v/>
      </c>
      <c r="E381" t="str">
        <f>IF(A381="","",IF(A381="[FÓRMULA MANUAL]","",IFERROR(SUMPRODUCT((nNIA=A381)*(nCUENTA=1)*(COUNTIF(CONFIG_ASIGNATURAS!$B$7:$B$27,nASIG)&gt;0)*(nNOTA))/SUMPRODUCT((nNIA=A381)*(nCUENTA=1)*(COUNTIF(CONFIG_ASIGNATURAS!$B$7:$B$27,nASIG)&gt;0)*1),"")))</f>
        <v/>
      </c>
      <c r="H381" t="str">
        <f>IF(G381="","",IF(G381="[FÓRMULA MANUAL]","",IFERROR(AVERAGEIFS(nNOTA,nNIA,G381,nCUENTA,1,nASIG,"Lenguaje Musical"),"")))</f>
        <v/>
      </c>
      <c r="I381" t="str">
        <f>IF(G381="","",IF(G381="[FÓRMULA MANUAL]","",IFERROR(AVERAGEIFS(nNOTA,nNIA,G381,nCUENTA,1,nASIG,"Orquesta/Banda/Conjunto"),"")))</f>
        <v/>
      </c>
      <c r="J381" t="str">
        <f>IF(G381="","",IF(G381="[FÓRMULA MANUAL]","",IFERROR(AVERAGEIFS(nNOTA,nNIA,G381,nCUENTA,1,nASIG,"Conjunto"),"")))</f>
        <v/>
      </c>
      <c r="K381" t="str">
        <f>IF(G381="","",IF(G381="[FÓRMULA MANUAL]","",IFERROR(SUMPRODUCT((nNIA=G381)*(nCUENTA=1)*(COUNTIF(CONFIG_ASIGNATURAS!$B$7:$B$27,nASIG)&gt;0)*(nNOTA))/SUMPRODUCT((nNIA=G381)*(nCUENTA=1)*(COUNTIF(CONFIG_ASIGNATURAS!$B$7:$B$27,nASIG)&gt;0)*1),"")))</f>
        <v/>
      </c>
      <c r="N381" t="str">
        <f>IF(M381="","",IF(M381="[FÓRMULA MANUAL]","",IFERROR(AVERAGEIFS(nNOTA,nNIA,M381,nCUENTA,1,nASIG,"Armonía"),"")))</f>
        <v/>
      </c>
      <c r="O381" t="str">
        <f>IF(M381="","",IF(M381="[FÓRMULA MANUAL]","",IFERROR(AVERAGEIFS(nNOTA,nNIA,M381,nCUENTA,1,nASIG,"Orquesta/Banda/Conjunto"),"")))</f>
        <v/>
      </c>
      <c r="P381" t="str">
        <f>IF(M381="","",IF(M381="[FÓRMULA MANUAL]","",IFERROR(AVERAGEIFS(nNOTA,nNIA,M381,nCUENTA,1,nASIG,"Música de Cámara"),"")))</f>
        <v/>
      </c>
      <c r="Q381" t="str">
        <f>IF(M381="","",IF(M381="[FÓRMULA MANUAL]","",IFERROR(SUMPRODUCT((nNIA=M381)*(nCUENTA=1)*(COUNTIF(CONFIG_ASIGNATURAS!$B$7:$B$27,nASIG)&gt;0)*(nNOTA))/SUMPRODUCT((nNIA=M381)*(nCUENTA=1)*(COUNTIF(CONFIG_ASIGNATURAS!$B$7:$B$27,nASIG)&gt;0)*1),"")))</f>
        <v/>
      </c>
      <c r="T381" t="str">
        <f>IF(S381="","",IF(S381="[FÓRMULA MANUAL]","",IFERROR(AVERAGEIFS(nNOTA,nNIA,S381,nCUENTA,1,nASIG,"Armonía"),"")))</f>
        <v/>
      </c>
      <c r="U381" t="str">
        <f>IF(S381="","",IF(S381="[FÓRMULA MANUAL]","",IFERROR(AVERAGEIFS(nNOTA,nNIA,S381,nCUENTA,1,nASIG,"Orquesta/Banda/Conjunto"),"")))</f>
        <v/>
      </c>
      <c r="V381" t="str">
        <f>IF(S381="","",IF(S381="[FÓRMULA MANUAL]","",IFERROR(AVERAGEIFS(nNOTA,nNIA,S381,nCUENTA,1,nASIG,"Música de Cámara"),"")))</f>
        <v/>
      </c>
      <c r="W381" t="str">
        <f>IF(S381="","",IF(S381="[FÓRMULA MANUAL]","",IFERROR(SUMPRODUCT((nNIA=S381)*(nCUENTA=1)*(COUNTIF(CONFIG_ASIGNATURAS!$B$7:$B$27,nASIG)&gt;0)*(nNOTA))/SUMPRODUCT((nNIA=S381)*(nCUENTA=1)*(COUNTIF(CONFIG_ASIGNATURAS!$B$7:$B$27,nASIG)&gt;0)*1),"")))</f>
        <v/>
      </c>
      <c r="Z381" t="str">
        <f>IF(Y381="","",IF(Y381="[FÓRMULA MANUAL]","",IFERROR(AVERAGEIFS(nNOTA,nNIA,Y381,nCUENTA,1,nASIG,"Análisis"),"")))</f>
        <v/>
      </c>
      <c r="AA381" t="str">
        <f>IF(Y381="","",IF(Y381="[FÓRMULA MANUAL]","",IFERROR(AVERAGEIFS(nNOTA,nNIA,Y381,nCUENTA,1,nASIG,"Orquesta/Banda/Conjunto"),"")))</f>
        <v/>
      </c>
      <c r="AB381" t="str">
        <f>IF(Y381="","",IF(Y381="[FÓRMULA MANUAL]","",IFERROR(AVERAGEIFS(nNOTA,nNIA,Y381,nCUENTA,1,nASIG,"Música de Cámara"),"")))</f>
        <v/>
      </c>
      <c r="AC381" t="str">
        <f>IF(Y381="","",IF(Y381="[FÓRMULA MANUAL]","",IFERROR(SUMPRODUCT((nNIA=Y381)*(nCUENTA=1)*(COUNTIF(CONFIG_ASIGNATURAS!$B$7:$B$27,nASIG)&gt;0)*(nNOTA))/SUMPRODUCT((nNIA=Y381)*(nCUENTA=1)*(COUNTIF(CONFIG_ASIGNATURAS!$B$7:$B$27,nASIG)&gt;0)*1),"")))</f>
        <v/>
      </c>
      <c r="AF381" t="str">
        <f>IF(AE381="","",IF(AE381="[FÓRMULA MANUAL]","",IFERROR(AVERAGEIFS(nNOTA,nNIA,AE381,nCUENTA,1,nASIG,"Análisis"),"")))</f>
        <v/>
      </c>
      <c r="AG381" t="str">
        <f>IF(AE381="","",IF(AE381="[FÓRMULA MANUAL]","",IFERROR(AVERAGEIFS(nNOTA,nNIA,AE381,nCUENTA,1,nASIG,"Orquesta/Banda/Conjunto"),"")))</f>
        <v/>
      </c>
      <c r="AH381" t="str">
        <f>IF(AE381="","",IF(AE381="[FÓRMULA MANUAL]","",IFERROR(AVERAGEIFS(nNOTA,nNIA,AE381,nCUENTA,1,nASIG,"Música de Cámara"),"")))</f>
        <v/>
      </c>
      <c r="AI381" t="str">
        <f>IF(AE381="","",IF(AE381="[FÓRMULA MANUAL]","",IFERROR(SUMPRODUCT((nNIA=AE381)*(nCUENTA=1)*(COUNTIF(CONFIG_ASIGNATURAS!$B$7:$B$27,nASIG)&gt;0)*(nNOTA))/SUMPRODUCT((nNIA=AE381)*(nCUENTA=1)*(COUNTIF(CONFIG_ASIGNATURAS!$B$7:$B$27,nASIG)&gt;0)*1),"")))</f>
        <v/>
      </c>
    </row>
    <row r="382" spans="2:35" x14ac:dyDescent="0.2">
      <c r="B382" t="str">
        <f>IF(A382="","",IF(A382="[FÓRMULA MANUAL]","",IFERROR(AVERAGEIFS(nNOTA,nNIA,A382,nCUENTA,1,nASIG,"Lenguaje Musical"),"")))</f>
        <v/>
      </c>
      <c r="C382" t="str">
        <f>IF(A382="","",IF(A382="[FÓRMULA MANUAL]","",IFERROR(AVERAGEIFS(nNOTA,nNIA,A382,nCUENTA,1,nASIG,"Orquesta/Banda/Conjunto"),"")))</f>
        <v/>
      </c>
      <c r="D382" t="str">
        <f>IF(A382="","",IF(A382="[FÓRMULA MANUAL]","",IFERROR(AVERAGEIFS(nNOTA,nNIA,A382,nCUENTA,1,nASIG,"Conjunto"),"")))</f>
        <v/>
      </c>
      <c r="E382" t="str">
        <f>IF(A382="","",IF(A382="[FÓRMULA MANUAL]","",IFERROR(SUMPRODUCT((nNIA=A382)*(nCUENTA=1)*(COUNTIF(CONFIG_ASIGNATURAS!$B$7:$B$27,nASIG)&gt;0)*(nNOTA))/SUMPRODUCT((nNIA=A382)*(nCUENTA=1)*(COUNTIF(CONFIG_ASIGNATURAS!$B$7:$B$27,nASIG)&gt;0)*1),"")))</f>
        <v/>
      </c>
      <c r="H382" t="str">
        <f>IF(G382="","",IF(G382="[FÓRMULA MANUAL]","",IFERROR(AVERAGEIFS(nNOTA,nNIA,G382,nCUENTA,1,nASIG,"Lenguaje Musical"),"")))</f>
        <v/>
      </c>
      <c r="I382" t="str">
        <f>IF(G382="","",IF(G382="[FÓRMULA MANUAL]","",IFERROR(AVERAGEIFS(nNOTA,nNIA,G382,nCUENTA,1,nASIG,"Orquesta/Banda/Conjunto"),"")))</f>
        <v/>
      </c>
      <c r="J382" t="str">
        <f>IF(G382="","",IF(G382="[FÓRMULA MANUAL]","",IFERROR(AVERAGEIFS(nNOTA,nNIA,G382,nCUENTA,1,nASIG,"Conjunto"),"")))</f>
        <v/>
      </c>
      <c r="K382" t="str">
        <f>IF(G382="","",IF(G382="[FÓRMULA MANUAL]","",IFERROR(SUMPRODUCT((nNIA=G382)*(nCUENTA=1)*(COUNTIF(CONFIG_ASIGNATURAS!$B$7:$B$27,nASIG)&gt;0)*(nNOTA))/SUMPRODUCT((nNIA=G382)*(nCUENTA=1)*(COUNTIF(CONFIG_ASIGNATURAS!$B$7:$B$27,nASIG)&gt;0)*1),"")))</f>
        <v/>
      </c>
      <c r="N382" t="str">
        <f>IF(M382="","",IF(M382="[FÓRMULA MANUAL]","",IFERROR(AVERAGEIFS(nNOTA,nNIA,M382,nCUENTA,1,nASIG,"Armonía"),"")))</f>
        <v/>
      </c>
      <c r="O382" t="str">
        <f>IF(M382="","",IF(M382="[FÓRMULA MANUAL]","",IFERROR(AVERAGEIFS(nNOTA,nNIA,M382,nCUENTA,1,nASIG,"Orquesta/Banda/Conjunto"),"")))</f>
        <v/>
      </c>
      <c r="P382" t="str">
        <f>IF(M382="","",IF(M382="[FÓRMULA MANUAL]","",IFERROR(AVERAGEIFS(nNOTA,nNIA,M382,nCUENTA,1,nASIG,"Música de Cámara"),"")))</f>
        <v/>
      </c>
      <c r="Q382" t="str">
        <f>IF(M382="","",IF(M382="[FÓRMULA MANUAL]","",IFERROR(SUMPRODUCT((nNIA=M382)*(nCUENTA=1)*(COUNTIF(CONFIG_ASIGNATURAS!$B$7:$B$27,nASIG)&gt;0)*(nNOTA))/SUMPRODUCT((nNIA=M382)*(nCUENTA=1)*(COUNTIF(CONFIG_ASIGNATURAS!$B$7:$B$27,nASIG)&gt;0)*1),"")))</f>
        <v/>
      </c>
      <c r="T382" t="str">
        <f>IF(S382="","",IF(S382="[FÓRMULA MANUAL]","",IFERROR(AVERAGEIFS(nNOTA,nNIA,S382,nCUENTA,1,nASIG,"Armonía"),"")))</f>
        <v/>
      </c>
      <c r="U382" t="str">
        <f>IF(S382="","",IF(S382="[FÓRMULA MANUAL]","",IFERROR(AVERAGEIFS(nNOTA,nNIA,S382,nCUENTA,1,nASIG,"Orquesta/Banda/Conjunto"),"")))</f>
        <v/>
      </c>
      <c r="V382" t="str">
        <f>IF(S382="","",IF(S382="[FÓRMULA MANUAL]","",IFERROR(AVERAGEIFS(nNOTA,nNIA,S382,nCUENTA,1,nASIG,"Música de Cámara"),"")))</f>
        <v/>
      </c>
      <c r="W382" t="str">
        <f>IF(S382="","",IF(S382="[FÓRMULA MANUAL]","",IFERROR(SUMPRODUCT((nNIA=S382)*(nCUENTA=1)*(COUNTIF(CONFIG_ASIGNATURAS!$B$7:$B$27,nASIG)&gt;0)*(nNOTA))/SUMPRODUCT((nNIA=S382)*(nCUENTA=1)*(COUNTIF(CONFIG_ASIGNATURAS!$B$7:$B$27,nASIG)&gt;0)*1),"")))</f>
        <v/>
      </c>
      <c r="Z382" t="str">
        <f>IF(Y382="","",IF(Y382="[FÓRMULA MANUAL]","",IFERROR(AVERAGEIFS(nNOTA,nNIA,Y382,nCUENTA,1,nASIG,"Análisis"),"")))</f>
        <v/>
      </c>
      <c r="AA382" t="str">
        <f>IF(Y382="","",IF(Y382="[FÓRMULA MANUAL]","",IFERROR(AVERAGEIFS(nNOTA,nNIA,Y382,nCUENTA,1,nASIG,"Orquesta/Banda/Conjunto"),"")))</f>
        <v/>
      </c>
      <c r="AB382" t="str">
        <f>IF(Y382="","",IF(Y382="[FÓRMULA MANUAL]","",IFERROR(AVERAGEIFS(nNOTA,nNIA,Y382,nCUENTA,1,nASIG,"Música de Cámara"),"")))</f>
        <v/>
      </c>
      <c r="AC382" t="str">
        <f>IF(Y382="","",IF(Y382="[FÓRMULA MANUAL]","",IFERROR(SUMPRODUCT((nNIA=Y382)*(nCUENTA=1)*(COUNTIF(CONFIG_ASIGNATURAS!$B$7:$B$27,nASIG)&gt;0)*(nNOTA))/SUMPRODUCT((nNIA=Y382)*(nCUENTA=1)*(COUNTIF(CONFIG_ASIGNATURAS!$B$7:$B$27,nASIG)&gt;0)*1),"")))</f>
        <v/>
      </c>
      <c r="AF382" t="str">
        <f>IF(AE382="","",IF(AE382="[FÓRMULA MANUAL]","",IFERROR(AVERAGEIFS(nNOTA,nNIA,AE382,nCUENTA,1,nASIG,"Análisis"),"")))</f>
        <v/>
      </c>
      <c r="AG382" t="str">
        <f>IF(AE382="","",IF(AE382="[FÓRMULA MANUAL]","",IFERROR(AVERAGEIFS(nNOTA,nNIA,AE382,nCUENTA,1,nASIG,"Orquesta/Banda/Conjunto"),"")))</f>
        <v/>
      </c>
      <c r="AH382" t="str">
        <f>IF(AE382="","",IF(AE382="[FÓRMULA MANUAL]","",IFERROR(AVERAGEIFS(nNOTA,nNIA,AE382,nCUENTA,1,nASIG,"Música de Cámara"),"")))</f>
        <v/>
      </c>
      <c r="AI382" t="str">
        <f>IF(AE382="","",IF(AE382="[FÓRMULA MANUAL]","",IFERROR(SUMPRODUCT((nNIA=AE382)*(nCUENTA=1)*(COUNTIF(CONFIG_ASIGNATURAS!$B$7:$B$27,nASIG)&gt;0)*(nNOTA))/SUMPRODUCT((nNIA=AE382)*(nCUENTA=1)*(COUNTIF(CONFIG_ASIGNATURAS!$B$7:$B$27,nASIG)&gt;0)*1),"")))</f>
        <v/>
      </c>
    </row>
    <row r="383" spans="2:35" x14ac:dyDescent="0.2">
      <c r="B383" t="str">
        <f>IF(A383="","",IF(A383="[FÓRMULA MANUAL]","",IFERROR(AVERAGEIFS(nNOTA,nNIA,A383,nCUENTA,1,nASIG,"Lenguaje Musical"),"")))</f>
        <v/>
      </c>
      <c r="C383" t="str">
        <f>IF(A383="","",IF(A383="[FÓRMULA MANUAL]","",IFERROR(AVERAGEIFS(nNOTA,nNIA,A383,nCUENTA,1,nASIG,"Orquesta/Banda/Conjunto"),"")))</f>
        <v/>
      </c>
      <c r="D383" t="str">
        <f>IF(A383="","",IF(A383="[FÓRMULA MANUAL]","",IFERROR(AVERAGEIFS(nNOTA,nNIA,A383,nCUENTA,1,nASIG,"Conjunto"),"")))</f>
        <v/>
      </c>
      <c r="E383" t="str">
        <f>IF(A383="","",IF(A383="[FÓRMULA MANUAL]","",IFERROR(SUMPRODUCT((nNIA=A383)*(nCUENTA=1)*(COUNTIF(CONFIG_ASIGNATURAS!$B$7:$B$27,nASIG)&gt;0)*(nNOTA))/SUMPRODUCT((nNIA=A383)*(nCUENTA=1)*(COUNTIF(CONFIG_ASIGNATURAS!$B$7:$B$27,nASIG)&gt;0)*1),"")))</f>
        <v/>
      </c>
      <c r="H383" t="str">
        <f>IF(G383="","",IF(G383="[FÓRMULA MANUAL]","",IFERROR(AVERAGEIFS(nNOTA,nNIA,G383,nCUENTA,1,nASIG,"Lenguaje Musical"),"")))</f>
        <v/>
      </c>
      <c r="I383" t="str">
        <f>IF(G383="","",IF(G383="[FÓRMULA MANUAL]","",IFERROR(AVERAGEIFS(nNOTA,nNIA,G383,nCUENTA,1,nASIG,"Orquesta/Banda/Conjunto"),"")))</f>
        <v/>
      </c>
      <c r="J383" t="str">
        <f>IF(G383="","",IF(G383="[FÓRMULA MANUAL]","",IFERROR(AVERAGEIFS(nNOTA,nNIA,G383,nCUENTA,1,nASIG,"Conjunto"),"")))</f>
        <v/>
      </c>
      <c r="K383" t="str">
        <f>IF(G383="","",IF(G383="[FÓRMULA MANUAL]","",IFERROR(SUMPRODUCT((nNIA=G383)*(nCUENTA=1)*(COUNTIF(CONFIG_ASIGNATURAS!$B$7:$B$27,nASIG)&gt;0)*(nNOTA))/SUMPRODUCT((nNIA=G383)*(nCUENTA=1)*(COUNTIF(CONFIG_ASIGNATURAS!$B$7:$B$27,nASIG)&gt;0)*1),"")))</f>
        <v/>
      </c>
      <c r="N383" t="str">
        <f>IF(M383="","",IF(M383="[FÓRMULA MANUAL]","",IFERROR(AVERAGEIFS(nNOTA,nNIA,M383,nCUENTA,1,nASIG,"Armonía"),"")))</f>
        <v/>
      </c>
      <c r="O383" t="str">
        <f>IF(M383="","",IF(M383="[FÓRMULA MANUAL]","",IFERROR(AVERAGEIFS(nNOTA,nNIA,M383,nCUENTA,1,nASIG,"Orquesta/Banda/Conjunto"),"")))</f>
        <v/>
      </c>
      <c r="P383" t="str">
        <f>IF(M383="","",IF(M383="[FÓRMULA MANUAL]","",IFERROR(AVERAGEIFS(nNOTA,nNIA,M383,nCUENTA,1,nASIG,"Música de Cámara"),"")))</f>
        <v/>
      </c>
      <c r="Q383" t="str">
        <f>IF(M383="","",IF(M383="[FÓRMULA MANUAL]","",IFERROR(SUMPRODUCT((nNIA=M383)*(nCUENTA=1)*(COUNTIF(CONFIG_ASIGNATURAS!$B$7:$B$27,nASIG)&gt;0)*(nNOTA))/SUMPRODUCT((nNIA=M383)*(nCUENTA=1)*(COUNTIF(CONFIG_ASIGNATURAS!$B$7:$B$27,nASIG)&gt;0)*1),"")))</f>
        <v/>
      </c>
      <c r="T383" t="str">
        <f>IF(S383="","",IF(S383="[FÓRMULA MANUAL]","",IFERROR(AVERAGEIFS(nNOTA,nNIA,S383,nCUENTA,1,nASIG,"Armonía"),"")))</f>
        <v/>
      </c>
      <c r="U383" t="str">
        <f>IF(S383="","",IF(S383="[FÓRMULA MANUAL]","",IFERROR(AVERAGEIFS(nNOTA,nNIA,S383,nCUENTA,1,nASIG,"Orquesta/Banda/Conjunto"),"")))</f>
        <v/>
      </c>
      <c r="V383" t="str">
        <f>IF(S383="","",IF(S383="[FÓRMULA MANUAL]","",IFERROR(AVERAGEIFS(nNOTA,nNIA,S383,nCUENTA,1,nASIG,"Música de Cámara"),"")))</f>
        <v/>
      </c>
      <c r="W383" t="str">
        <f>IF(S383="","",IF(S383="[FÓRMULA MANUAL]","",IFERROR(SUMPRODUCT((nNIA=S383)*(nCUENTA=1)*(COUNTIF(CONFIG_ASIGNATURAS!$B$7:$B$27,nASIG)&gt;0)*(nNOTA))/SUMPRODUCT((nNIA=S383)*(nCUENTA=1)*(COUNTIF(CONFIG_ASIGNATURAS!$B$7:$B$27,nASIG)&gt;0)*1),"")))</f>
        <v/>
      </c>
      <c r="Z383" t="str">
        <f>IF(Y383="","",IF(Y383="[FÓRMULA MANUAL]","",IFERROR(AVERAGEIFS(nNOTA,nNIA,Y383,nCUENTA,1,nASIG,"Análisis"),"")))</f>
        <v/>
      </c>
      <c r="AA383" t="str">
        <f>IF(Y383="","",IF(Y383="[FÓRMULA MANUAL]","",IFERROR(AVERAGEIFS(nNOTA,nNIA,Y383,nCUENTA,1,nASIG,"Orquesta/Banda/Conjunto"),"")))</f>
        <v/>
      </c>
      <c r="AB383" t="str">
        <f>IF(Y383="","",IF(Y383="[FÓRMULA MANUAL]","",IFERROR(AVERAGEIFS(nNOTA,nNIA,Y383,nCUENTA,1,nASIG,"Música de Cámara"),"")))</f>
        <v/>
      </c>
      <c r="AC383" t="str">
        <f>IF(Y383="","",IF(Y383="[FÓRMULA MANUAL]","",IFERROR(SUMPRODUCT((nNIA=Y383)*(nCUENTA=1)*(COUNTIF(CONFIG_ASIGNATURAS!$B$7:$B$27,nASIG)&gt;0)*(nNOTA))/SUMPRODUCT((nNIA=Y383)*(nCUENTA=1)*(COUNTIF(CONFIG_ASIGNATURAS!$B$7:$B$27,nASIG)&gt;0)*1),"")))</f>
        <v/>
      </c>
      <c r="AF383" t="str">
        <f>IF(AE383="","",IF(AE383="[FÓRMULA MANUAL]","",IFERROR(AVERAGEIFS(nNOTA,nNIA,AE383,nCUENTA,1,nASIG,"Análisis"),"")))</f>
        <v/>
      </c>
      <c r="AG383" t="str">
        <f>IF(AE383="","",IF(AE383="[FÓRMULA MANUAL]","",IFERROR(AVERAGEIFS(nNOTA,nNIA,AE383,nCUENTA,1,nASIG,"Orquesta/Banda/Conjunto"),"")))</f>
        <v/>
      </c>
      <c r="AH383" t="str">
        <f>IF(AE383="","",IF(AE383="[FÓRMULA MANUAL]","",IFERROR(AVERAGEIFS(nNOTA,nNIA,AE383,nCUENTA,1,nASIG,"Música de Cámara"),"")))</f>
        <v/>
      </c>
      <c r="AI383" t="str">
        <f>IF(AE383="","",IF(AE383="[FÓRMULA MANUAL]","",IFERROR(SUMPRODUCT((nNIA=AE383)*(nCUENTA=1)*(COUNTIF(CONFIG_ASIGNATURAS!$B$7:$B$27,nASIG)&gt;0)*(nNOTA))/SUMPRODUCT((nNIA=AE383)*(nCUENTA=1)*(COUNTIF(CONFIG_ASIGNATURAS!$B$7:$B$27,nASIG)&gt;0)*1),"")))</f>
        <v/>
      </c>
    </row>
    <row r="384" spans="2:35" x14ac:dyDescent="0.2">
      <c r="B384" t="str">
        <f>IF(A384="","",IF(A384="[FÓRMULA MANUAL]","",IFERROR(AVERAGEIFS(nNOTA,nNIA,A384,nCUENTA,1,nASIG,"Lenguaje Musical"),"")))</f>
        <v/>
      </c>
      <c r="C384" t="str">
        <f>IF(A384="","",IF(A384="[FÓRMULA MANUAL]","",IFERROR(AVERAGEIFS(nNOTA,nNIA,A384,nCUENTA,1,nASIG,"Orquesta/Banda/Conjunto"),"")))</f>
        <v/>
      </c>
      <c r="D384" t="str">
        <f>IF(A384="","",IF(A384="[FÓRMULA MANUAL]","",IFERROR(AVERAGEIFS(nNOTA,nNIA,A384,nCUENTA,1,nASIG,"Conjunto"),"")))</f>
        <v/>
      </c>
      <c r="E384" t="str">
        <f>IF(A384="","",IF(A384="[FÓRMULA MANUAL]","",IFERROR(SUMPRODUCT((nNIA=A384)*(nCUENTA=1)*(COUNTIF(CONFIG_ASIGNATURAS!$B$7:$B$27,nASIG)&gt;0)*(nNOTA))/SUMPRODUCT((nNIA=A384)*(nCUENTA=1)*(COUNTIF(CONFIG_ASIGNATURAS!$B$7:$B$27,nASIG)&gt;0)*1),"")))</f>
        <v/>
      </c>
      <c r="H384" t="str">
        <f>IF(G384="","",IF(G384="[FÓRMULA MANUAL]","",IFERROR(AVERAGEIFS(nNOTA,nNIA,G384,nCUENTA,1,nASIG,"Lenguaje Musical"),"")))</f>
        <v/>
      </c>
      <c r="I384" t="str">
        <f>IF(G384="","",IF(G384="[FÓRMULA MANUAL]","",IFERROR(AVERAGEIFS(nNOTA,nNIA,G384,nCUENTA,1,nASIG,"Orquesta/Banda/Conjunto"),"")))</f>
        <v/>
      </c>
      <c r="J384" t="str">
        <f>IF(G384="","",IF(G384="[FÓRMULA MANUAL]","",IFERROR(AVERAGEIFS(nNOTA,nNIA,G384,nCUENTA,1,nASIG,"Conjunto"),"")))</f>
        <v/>
      </c>
      <c r="K384" t="str">
        <f>IF(G384="","",IF(G384="[FÓRMULA MANUAL]","",IFERROR(SUMPRODUCT((nNIA=G384)*(nCUENTA=1)*(COUNTIF(CONFIG_ASIGNATURAS!$B$7:$B$27,nASIG)&gt;0)*(nNOTA))/SUMPRODUCT((nNIA=G384)*(nCUENTA=1)*(COUNTIF(CONFIG_ASIGNATURAS!$B$7:$B$27,nASIG)&gt;0)*1),"")))</f>
        <v/>
      </c>
      <c r="N384" t="str">
        <f>IF(M384="","",IF(M384="[FÓRMULA MANUAL]","",IFERROR(AVERAGEIFS(nNOTA,nNIA,M384,nCUENTA,1,nASIG,"Armonía"),"")))</f>
        <v/>
      </c>
      <c r="O384" t="str">
        <f>IF(M384="","",IF(M384="[FÓRMULA MANUAL]","",IFERROR(AVERAGEIFS(nNOTA,nNIA,M384,nCUENTA,1,nASIG,"Orquesta/Banda/Conjunto"),"")))</f>
        <v/>
      </c>
      <c r="P384" t="str">
        <f>IF(M384="","",IF(M384="[FÓRMULA MANUAL]","",IFERROR(AVERAGEIFS(nNOTA,nNIA,M384,nCUENTA,1,nASIG,"Música de Cámara"),"")))</f>
        <v/>
      </c>
      <c r="Q384" t="str">
        <f>IF(M384="","",IF(M384="[FÓRMULA MANUAL]","",IFERROR(SUMPRODUCT((nNIA=M384)*(nCUENTA=1)*(COUNTIF(CONFIG_ASIGNATURAS!$B$7:$B$27,nASIG)&gt;0)*(nNOTA))/SUMPRODUCT((nNIA=M384)*(nCUENTA=1)*(COUNTIF(CONFIG_ASIGNATURAS!$B$7:$B$27,nASIG)&gt;0)*1),"")))</f>
        <v/>
      </c>
      <c r="T384" t="str">
        <f>IF(S384="","",IF(S384="[FÓRMULA MANUAL]","",IFERROR(AVERAGEIFS(nNOTA,nNIA,S384,nCUENTA,1,nASIG,"Armonía"),"")))</f>
        <v/>
      </c>
      <c r="U384" t="str">
        <f>IF(S384="","",IF(S384="[FÓRMULA MANUAL]","",IFERROR(AVERAGEIFS(nNOTA,nNIA,S384,nCUENTA,1,nASIG,"Orquesta/Banda/Conjunto"),"")))</f>
        <v/>
      </c>
      <c r="V384" t="str">
        <f>IF(S384="","",IF(S384="[FÓRMULA MANUAL]","",IFERROR(AVERAGEIFS(nNOTA,nNIA,S384,nCUENTA,1,nASIG,"Música de Cámara"),"")))</f>
        <v/>
      </c>
      <c r="W384" t="str">
        <f>IF(S384="","",IF(S384="[FÓRMULA MANUAL]","",IFERROR(SUMPRODUCT((nNIA=S384)*(nCUENTA=1)*(COUNTIF(CONFIG_ASIGNATURAS!$B$7:$B$27,nASIG)&gt;0)*(nNOTA))/SUMPRODUCT((nNIA=S384)*(nCUENTA=1)*(COUNTIF(CONFIG_ASIGNATURAS!$B$7:$B$27,nASIG)&gt;0)*1),"")))</f>
        <v/>
      </c>
      <c r="Z384" t="str">
        <f>IF(Y384="","",IF(Y384="[FÓRMULA MANUAL]","",IFERROR(AVERAGEIFS(nNOTA,nNIA,Y384,nCUENTA,1,nASIG,"Análisis"),"")))</f>
        <v/>
      </c>
      <c r="AA384" t="str">
        <f>IF(Y384="","",IF(Y384="[FÓRMULA MANUAL]","",IFERROR(AVERAGEIFS(nNOTA,nNIA,Y384,nCUENTA,1,nASIG,"Orquesta/Banda/Conjunto"),"")))</f>
        <v/>
      </c>
      <c r="AB384" t="str">
        <f>IF(Y384="","",IF(Y384="[FÓRMULA MANUAL]","",IFERROR(AVERAGEIFS(nNOTA,nNIA,Y384,nCUENTA,1,nASIG,"Música de Cámara"),"")))</f>
        <v/>
      </c>
      <c r="AC384" t="str">
        <f>IF(Y384="","",IF(Y384="[FÓRMULA MANUAL]","",IFERROR(SUMPRODUCT((nNIA=Y384)*(nCUENTA=1)*(COUNTIF(CONFIG_ASIGNATURAS!$B$7:$B$27,nASIG)&gt;0)*(nNOTA))/SUMPRODUCT((nNIA=Y384)*(nCUENTA=1)*(COUNTIF(CONFIG_ASIGNATURAS!$B$7:$B$27,nASIG)&gt;0)*1),"")))</f>
        <v/>
      </c>
      <c r="AF384" t="str">
        <f>IF(AE384="","",IF(AE384="[FÓRMULA MANUAL]","",IFERROR(AVERAGEIFS(nNOTA,nNIA,AE384,nCUENTA,1,nASIG,"Análisis"),"")))</f>
        <v/>
      </c>
      <c r="AG384" t="str">
        <f>IF(AE384="","",IF(AE384="[FÓRMULA MANUAL]","",IFERROR(AVERAGEIFS(nNOTA,nNIA,AE384,nCUENTA,1,nASIG,"Orquesta/Banda/Conjunto"),"")))</f>
        <v/>
      </c>
      <c r="AH384" t="str">
        <f>IF(AE384="","",IF(AE384="[FÓRMULA MANUAL]","",IFERROR(AVERAGEIFS(nNOTA,nNIA,AE384,nCUENTA,1,nASIG,"Música de Cámara"),"")))</f>
        <v/>
      </c>
      <c r="AI384" t="str">
        <f>IF(AE384="","",IF(AE384="[FÓRMULA MANUAL]","",IFERROR(SUMPRODUCT((nNIA=AE384)*(nCUENTA=1)*(COUNTIF(CONFIG_ASIGNATURAS!$B$7:$B$27,nASIG)&gt;0)*(nNOTA))/SUMPRODUCT((nNIA=AE384)*(nCUENTA=1)*(COUNTIF(CONFIG_ASIGNATURAS!$B$7:$B$27,nASIG)&gt;0)*1),"")))</f>
        <v/>
      </c>
    </row>
    <row r="385" spans="2:35" x14ac:dyDescent="0.2">
      <c r="B385" t="str">
        <f>IF(A385="","",IF(A385="[FÓRMULA MANUAL]","",IFERROR(AVERAGEIFS(nNOTA,nNIA,A385,nCUENTA,1,nASIG,"Lenguaje Musical"),"")))</f>
        <v/>
      </c>
      <c r="C385" t="str">
        <f>IF(A385="","",IF(A385="[FÓRMULA MANUAL]","",IFERROR(AVERAGEIFS(nNOTA,nNIA,A385,nCUENTA,1,nASIG,"Orquesta/Banda/Conjunto"),"")))</f>
        <v/>
      </c>
      <c r="D385" t="str">
        <f>IF(A385="","",IF(A385="[FÓRMULA MANUAL]","",IFERROR(AVERAGEIFS(nNOTA,nNIA,A385,nCUENTA,1,nASIG,"Conjunto"),"")))</f>
        <v/>
      </c>
      <c r="E385" t="str">
        <f>IF(A385="","",IF(A385="[FÓRMULA MANUAL]","",IFERROR(SUMPRODUCT((nNIA=A385)*(nCUENTA=1)*(COUNTIF(CONFIG_ASIGNATURAS!$B$7:$B$27,nASIG)&gt;0)*(nNOTA))/SUMPRODUCT((nNIA=A385)*(nCUENTA=1)*(COUNTIF(CONFIG_ASIGNATURAS!$B$7:$B$27,nASIG)&gt;0)*1),"")))</f>
        <v/>
      </c>
      <c r="H385" t="str">
        <f>IF(G385="","",IF(G385="[FÓRMULA MANUAL]","",IFERROR(AVERAGEIFS(nNOTA,nNIA,G385,nCUENTA,1,nASIG,"Lenguaje Musical"),"")))</f>
        <v/>
      </c>
      <c r="I385" t="str">
        <f>IF(G385="","",IF(G385="[FÓRMULA MANUAL]","",IFERROR(AVERAGEIFS(nNOTA,nNIA,G385,nCUENTA,1,nASIG,"Orquesta/Banda/Conjunto"),"")))</f>
        <v/>
      </c>
      <c r="J385" t="str">
        <f>IF(G385="","",IF(G385="[FÓRMULA MANUAL]","",IFERROR(AVERAGEIFS(nNOTA,nNIA,G385,nCUENTA,1,nASIG,"Conjunto"),"")))</f>
        <v/>
      </c>
      <c r="K385" t="str">
        <f>IF(G385="","",IF(G385="[FÓRMULA MANUAL]","",IFERROR(SUMPRODUCT((nNIA=G385)*(nCUENTA=1)*(COUNTIF(CONFIG_ASIGNATURAS!$B$7:$B$27,nASIG)&gt;0)*(nNOTA))/SUMPRODUCT((nNIA=G385)*(nCUENTA=1)*(COUNTIF(CONFIG_ASIGNATURAS!$B$7:$B$27,nASIG)&gt;0)*1),"")))</f>
        <v/>
      </c>
      <c r="N385" t="str">
        <f>IF(M385="","",IF(M385="[FÓRMULA MANUAL]","",IFERROR(AVERAGEIFS(nNOTA,nNIA,M385,nCUENTA,1,nASIG,"Armonía"),"")))</f>
        <v/>
      </c>
      <c r="O385" t="str">
        <f>IF(M385="","",IF(M385="[FÓRMULA MANUAL]","",IFERROR(AVERAGEIFS(nNOTA,nNIA,M385,nCUENTA,1,nASIG,"Orquesta/Banda/Conjunto"),"")))</f>
        <v/>
      </c>
      <c r="P385" t="str">
        <f>IF(M385="","",IF(M385="[FÓRMULA MANUAL]","",IFERROR(AVERAGEIFS(nNOTA,nNIA,M385,nCUENTA,1,nASIG,"Música de Cámara"),"")))</f>
        <v/>
      </c>
      <c r="Q385" t="str">
        <f>IF(M385="","",IF(M385="[FÓRMULA MANUAL]","",IFERROR(SUMPRODUCT((nNIA=M385)*(nCUENTA=1)*(COUNTIF(CONFIG_ASIGNATURAS!$B$7:$B$27,nASIG)&gt;0)*(nNOTA))/SUMPRODUCT((nNIA=M385)*(nCUENTA=1)*(COUNTIF(CONFIG_ASIGNATURAS!$B$7:$B$27,nASIG)&gt;0)*1),"")))</f>
        <v/>
      </c>
      <c r="T385" t="str">
        <f>IF(S385="","",IF(S385="[FÓRMULA MANUAL]","",IFERROR(AVERAGEIFS(nNOTA,nNIA,S385,nCUENTA,1,nASIG,"Armonía"),"")))</f>
        <v/>
      </c>
      <c r="U385" t="str">
        <f>IF(S385="","",IF(S385="[FÓRMULA MANUAL]","",IFERROR(AVERAGEIFS(nNOTA,nNIA,S385,nCUENTA,1,nASIG,"Orquesta/Banda/Conjunto"),"")))</f>
        <v/>
      </c>
      <c r="V385" t="str">
        <f>IF(S385="","",IF(S385="[FÓRMULA MANUAL]","",IFERROR(AVERAGEIFS(nNOTA,nNIA,S385,nCUENTA,1,nASIG,"Música de Cámara"),"")))</f>
        <v/>
      </c>
      <c r="W385" t="str">
        <f>IF(S385="","",IF(S385="[FÓRMULA MANUAL]","",IFERROR(SUMPRODUCT((nNIA=S385)*(nCUENTA=1)*(COUNTIF(CONFIG_ASIGNATURAS!$B$7:$B$27,nASIG)&gt;0)*(nNOTA))/SUMPRODUCT((nNIA=S385)*(nCUENTA=1)*(COUNTIF(CONFIG_ASIGNATURAS!$B$7:$B$27,nASIG)&gt;0)*1),"")))</f>
        <v/>
      </c>
      <c r="Z385" t="str">
        <f>IF(Y385="","",IF(Y385="[FÓRMULA MANUAL]","",IFERROR(AVERAGEIFS(nNOTA,nNIA,Y385,nCUENTA,1,nASIG,"Análisis"),"")))</f>
        <v/>
      </c>
      <c r="AA385" t="str">
        <f>IF(Y385="","",IF(Y385="[FÓRMULA MANUAL]","",IFERROR(AVERAGEIFS(nNOTA,nNIA,Y385,nCUENTA,1,nASIG,"Orquesta/Banda/Conjunto"),"")))</f>
        <v/>
      </c>
      <c r="AB385" t="str">
        <f>IF(Y385="","",IF(Y385="[FÓRMULA MANUAL]","",IFERROR(AVERAGEIFS(nNOTA,nNIA,Y385,nCUENTA,1,nASIG,"Música de Cámara"),"")))</f>
        <v/>
      </c>
      <c r="AC385" t="str">
        <f>IF(Y385="","",IF(Y385="[FÓRMULA MANUAL]","",IFERROR(SUMPRODUCT((nNIA=Y385)*(nCUENTA=1)*(COUNTIF(CONFIG_ASIGNATURAS!$B$7:$B$27,nASIG)&gt;0)*(nNOTA))/SUMPRODUCT((nNIA=Y385)*(nCUENTA=1)*(COUNTIF(CONFIG_ASIGNATURAS!$B$7:$B$27,nASIG)&gt;0)*1),"")))</f>
        <v/>
      </c>
      <c r="AF385" t="str">
        <f>IF(AE385="","",IF(AE385="[FÓRMULA MANUAL]","",IFERROR(AVERAGEIFS(nNOTA,nNIA,AE385,nCUENTA,1,nASIG,"Análisis"),"")))</f>
        <v/>
      </c>
      <c r="AG385" t="str">
        <f>IF(AE385="","",IF(AE385="[FÓRMULA MANUAL]","",IFERROR(AVERAGEIFS(nNOTA,nNIA,AE385,nCUENTA,1,nASIG,"Orquesta/Banda/Conjunto"),"")))</f>
        <v/>
      </c>
      <c r="AH385" t="str">
        <f>IF(AE385="","",IF(AE385="[FÓRMULA MANUAL]","",IFERROR(AVERAGEIFS(nNOTA,nNIA,AE385,nCUENTA,1,nASIG,"Música de Cámara"),"")))</f>
        <v/>
      </c>
      <c r="AI385" t="str">
        <f>IF(AE385="","",IF(AE385="[FÓRMULA MANUAL]","",IFERROR(SUMPRODUCT((nNIA=AE385)*(nCUENTA=1)*(COUNTIF(CONFIG_ASIGNATURAS!$B$7:$B$27,nASIG)&gt;0)*(nNOTA))/SUMPRODUCT((nNIA=AE385)*(nCUENTA=1)*(COUNTIF(CONFIG_ASIGNATURAS!$B$7:$B$27,nASIG)&gt;0)*1),"")))</f>
        <v/>
      </c>
    </row>
    <row r="386" spans="2:35" x14ac:dyDescent="0.2">
      <c r="B386" t="str">
        <f>IF(A386="","",IF(A386="[FÓRMULA MANUAL]","",IFERROR(AVERAGEIFS(nNOTA,nNIA,A386,nCUENTA,1,nASIG,"Lenguaje Musical"),"")))</f>
        <v/>
      </c>
      <c r="C386" t="str">
        <f>IF(A386="","",IF(A386="[FÓRMULA MANUAL]","",IFERROR(AVERAGEIFS(nNOTA,nNIA,A386,nCUENTA,1,nASIG,"Orquesta/Banda/Conjunto"),"")))</f>
        <v/>
      </c>
      <c r="D386" t="str">
        <f>IF(A386="","",IF(A386="[FÓRMULA MANUAL]","",IFERROR(AVERAGEIFS(nNOTA,nNIA,A386,nCUENTA,1,nASIG,"Conjunto"),"")))</f>
        <v/>
      </c>
      <c r="E386" t="str">
        <f>IF(A386="","",IF(A386="[FÓRMULA MANUAL]","",IFERROR(SUMPRODUCT((nNIA=A386)*(nCUENTA=1)*(COUNTIF(CONFIG_ASIGNATURAS!$B$7:$B$27,nASIG)&gt;0)*(nNOTA))/SUMPRODUCT((nNIA=A386)*(nCUENTA=1)*(COUNTIF(CONFIG_ASIGNATURAS!$B$7:$B$27,nASIG)&gt;0)*1),"")))</f>
        <v/>
      </c>
      <c r="H386" t="str">
        <f>IF(G386="","",IF(G386="[FÓRMULA MANUAL]","",IFERROR(AVERAGEIFS(nNOTA,nNIA,G386,nCUENTA,1,nASIG,"Lenguaje Musical"),"")))</f>
        <v/>
      </c>
      <c r="I386" t="str">
        <f>IF(G386="","",IF(G386="[FÓRMULA MANUAL]","",IFERROR(AVERAGEIFS(nNOTA,nNIA,G386,nCUENTA,1,nASIG,"Orquesta/Banda/Conjunto"),"")))</f>
        <v/>
      </c>
      <c r="J386" t="str">
        <f>IF(G386="","",IF(G386="[FÓRMULA MANUAL]","",IFERROR(AVERAGEIFS(nNOTA,nNIA,G386,nCUENTA,1,nASIG,"Conjunto"),"")))</f>
        <v/>
      </c>
      <c r="K386" t="str">
        <f>IF(G386="","",IF(G386="[FÓRMULA MANUAL]","",IFERROR(SUMPRODUCT((nNIA=G386)*(nCUENTA=1)*(COUNTIF(CONFIG_ASIGNATURAS!$B$7:$B$27,nASIG)&gt;0)*(nNOTA))/SUMPRODUCT((nNIA=G386)*(nCUENTA=1)*(COUNTIF(CONFIG_ASIGNATURAS!$B$7:$B$27,nASIG)&gt;0)*1),"")))</f>
        <v/>
      </c>
      <c r="N386" t="str">
        <f>IF(M386="","",IF(M386="[FÓRMULA MANUAL]","",IFERROR(AVERAGEIFS(nNOTA,nNIA,M386,nCUENTA,1,nASIG,"Armonía"),"")))</f>
        <v/>
      </c>
      <c r="O386" t="str">
        <f>IF(M386="","",IF(M386="[FÓRMULA MANUAL]","",IFERROR(AVERAGEIFS(nNOTA,nNIA,M386,nCUENTA,1,nASIG,"Orquesta/Banda/Conjunto"),"")))</f>
        <v/>
      </c>
      <c r="P386" t="str">
        <f>IF(M386="","",IF(M386="[FÓRMULA MANUAL]","",IFERROR(AVERAGEIFS(nNOTA,nNIA,M386,nCUENTA,1,nASIG,"Música de Cámara"),"")))</f>
        <v/>
      </c>
      <c r="Q386" t="str">
        <f>IF(M386="","",IF(M386="[FÓRMULA MANUAL]","",IFERROR(SUMPRODUCT((nNIA=M386)*(nCUENTA=1)*(COUNTIF(CONFIG_ASIGNATURAS!$B$7:$B$27,nASIG)&gt;0)*(nNOTA))/SUMPRODUCT((nNIA=M386)*(nCUENTA=1)*(COUNTIF(CONFIG_ASIGNATURAS!$B$7:$B$27,nASIG)&gt;0)*1),"")))</f>
        <v/>
      </c>
      <c r="T386" t="str">
        <f>IF(S386="","",IF(S386="[FÓRMULA MANUAL]","",IFERROR(AVERAGEIFS(nNOTA,nNIA,S386,nCUENTA,1,nASIG,"Armonía"),"")))</f>
        <v/>
      </c>
      <c r="U386" t="str">
        <f>IF(S386="","",IF(S386="[FÓRMULA MANUAL]","",IFERROR(AVERAGEIFS(nNOTA,nNIA,S386,nCUENTA,1,nASIG,"Orquesta/Banda/Conjunto"),"")))</f>
        <v/>
      </c>
      <c r="V386" t="str">
        <f>IF(S386="","",IF(S386="[FÓRMULA MANUAL]","",IFERROR(AVERAGEIFS(nNOTA,nNIA,S386,nCUENTA,1,nASIG,"Música de Cámara"),"")))</f>
        <v/>
      </c>
      <c r="W386" t="str">
        <f>IF(S386="","",IF(S386="[FÓRMULA MANUAL]","",IFERROR(SUMPRODUCT((nNIA=S386)*(nCUENTA=1)*(COUNTIF(CONFIG_ASIGNATURAS!$B$7:$B$27,nASIG)&gt;0)*(nNOTA))/SUMPRODUCT((nNIA=S386)*(nCUENTA=1)*(COUNTIF(CONFIG_ASIGNATURAS!$B$7:$B$27,nASIG)&gt;0)*1),"")))</f>
        <v/>
      </c>
      <c r="Z386" t="str">
        <f>IF(Y386="","",IF(Y386="[FÓRMULA MANUAL]","",IFERROR(AVERAGEIFS(nNOTA,nNIA,Y386,nCUENTA,1,nASIG,"Análisis"),"")))</f>
        <v/>
      </c>
      <c r="AA386" t="str">
        <f>IF(Y386="","",IF(Y386="[FÓRMULA MANUAL]","",IFERROR(AVERAGEIFS(nNOTA,nNIA,Y386,nCUENTA,1,nASIG,"Orquesta/Banda/Conjunto"),"")))</f>
        <v/>
      </c>
      <c r="AB386" t="str">
        <f>IF(Y386="","",IF(Y386="[FÓRMULA MANUAL]","",IFERROR(AVERAGEIFS(nNOTA,nNIA,Y386,nCUENTA,1,nASIG,"Música de Cámara"),"")))</f>
        <v/>
      </c>
      <c r="AC386" t="str">
        <f>IF(Y386="","",IF(Y386="[FÓRMULA MANUAL]","",IFERROR(SUMPRODUCT((nNIA=Y386)*(nCUENTA=1)*(COUNTIF(CONFIG_ASIGNATURAS!$B$7:$B$27,nASIG)&gt;0)*(nNOTA))/SUMPRODUCT((nNIA=Y386)*(nCUENTA=1)*(COUNTIF(CONFIG_ASIGNATURAS!$B$7:$B$27,nASIG)&gt;0)*1),"")))</f>
        <v/>
      </c>
      <c r="AF386" t="str">
        <f>IF(AE386="","",IF(AE386="[FÓRMULA MANUAL]","",IFERROR(AVERAGEIFS(nNOTA,nNIA,AE386,nCUENTA,1,nASIG,"Análisis"),"")))</f>
        <v/>
      </c>
      <c r="AG386" t="str">
        <f>IF(AE386="","",IF(AE386="[FÓRMULA MANUAL]","",IFERROR(AVERAGEIFS(nNOTA,nNIA,AE386,nCUENTA,1,nASIG,"Orquesta/Banda/Conjunto"),"")))</f>
        <v/>
      </c>
      <c r="AH386" t="str">
        <f>IF(AE386="","",IF(AE386="[FÓRMULA MANUAL]","",IFERROR(AVERAGEIFS(nNOTA,nNIA,AE386,nCUENTA,1,nASIG,"Música de Cámara"),"")))</f>
        <v/>
      </c>
      <c r="AI386" t="str">
        <f>IF(AE386="","",IF(AE386="[FÓRMULA MANUAL]","",IFERROR(SUMPRODUCT((nNIA=AE386)*(nCUENTA=1)*(COUNTIF(CONFIG_ASIGNATURAS!$B$7:$B$27,nASIG)&gt;0)*(nNOTA))/SUMPRODUCT((nNIA=AE386)*(nCUENTA=1)*(COUNTIF(CONFIG_ASIGNATURAS!$B$7:$B$27,nASIG)&gt;0)*1),"")))</f>
        <v/>
      </c>
    </row>
    <row r="387" spans="2:35" x14ac:dyDescent="0.2">
      <c r="B387" t="str">
        <f>IF(A387="","",IF(A387="[FÓRMULA MANUAL]","",IFERROR(AVERAGEIFS(nNOTA,nNIA,A387,nCUENTA,1,nASIG,"Lenguaje Musical"),"")))</f>
        <v/>
      </c>
      <c r="C387" t="str">
        <f>IF(A387="","",IF(A387="[FÓRMULA MANUAL]","",IFERROR(AVERAGEIFS(nNOTA,nNIA,A387,nCUENTA,1,nASIG,"Orquesta/Banda/Conjunto"),"")))</f>
        <v/>
      </c>
      <c r="D387" t="str">
        <f>IF(A387="","",IF(A387="[FÓRMULA MANUAL]","",IFERROR(AVERAGEIFS(nNOTA,nNIA,A387,nCUENTA,1,nASIG,"Conjunto"),"")))</f>
        <v/>
      </c>
      <c r="E387" t="str">
        <f>IF(A387="","",IF(A387="[FÓRMULA MANUAL]","",IFERROR(SUMPRODUCT((nNIA=A387)*(nCUENTA=1)*(COUNTIF(CONFIG_ASIGNATURAS!$B$7:$B$27,nASIG)&gt;0)*(nNOTA))/SUMPRODUCT((nNIA=A387)*(nCUENTA=1)*(COUNTIF(CONFIG_ASIGNATURAS!$B$7:$B$27,nASIG)&gt;0)*1),"")))</f>
        <v/>
      </c>
      <c r="H387" t="str">
        <f>IF(G387="","",IF(G387="[FÓRMULA MANUAL]","",IFERROR(AVERAGEIFS(nNOTA,nNIA,G387,nCUENTA,1,nASIG,"Lenguaje Musical"),"")))</f>
        <v/>
      </c>
      <c r="I387" t="str">
        <f>IF(G387="","",IF(G387="[FÓRMULA MANUAL]","",IFERROR(AVERAGEIFS(nNOTA,nNIA,G387,nCUENTA,1,nASIG,"Orquesta/Banda/Conjunto"),"")))</f>
        <v/>
      </c>
      <c r="J387" t="str">
        <f>IF(G387="","",IF(G387="[FÓRMULA MANUAL]","",IFERROR(AVERAGEIFS(nNOTA,nNIA,G387,nCUENTA,1,nASIG,"Conjunto"),"")))</f>
        <v/>
      </c>
      <c r="K387" t="str">
        <f>IF(G387="","",IF(G387="[FÓRMULA MANUAL]","",IFERROR(SUMPRODUCT((nNIA=G387)*(nCUENTA=1)*(COUNTIF(CONFIG_ASIGNATURAS!$B$7:$B$27,nASIG)&gt;0)*(nNOTA))/SUMPRODUCT((nNIA=G387)*(nCUENTA=1)*(COUNTIF(CONFIG_ASIGNATURAS!$B$7:$B$27,nASIG)&gt;0)*1),"")))</f>
        <v/>
      </c>
      <c r="N387" t="str">
        <f>IF(M387="","",IF(M387="[FÓRMULA MANUAL]","",IFERROR(AVERAGEIFS(nNOTA,nNIA,M387,nCUENTA,1,nASIG,"Armonía"),"")))</f>
        <v/>
      </c>
      <c r="O387" t="str">
        <f>IF(M387="","",IF(M387="[FÓRMULA MANUAL]","",IFERROR(AVERAGEIFS(nNOTA,nNIA,M387,nCUENTA,1,nASIG,"Orquesta/Banda/Conjunto"),"")))</f>
        <v/>
      </c>
      <c r="P387" t="str">
        <f>IF(M387="","",IF(M387="[FÓRMULA MANUAL]","",IFERROR(AVERAGEIFS(nNOTA,nNIA,M387,nCUENTA,1,nASIG,"Música de Cámara"),"")))</f>
        <v/>
      </c>
      <c r="Q387" t="str">
        <f>IF(M387="","",IF(M387="[FÓRMULA MANUAL]","",IFERROR(SUMPRODUCT((nNIA=M387)*(nCUENTA=1)*(COUNTIF(CONFIG_ASIGNATURAS!$B$7:$B$27,nASIG)&gt;0)*(nNOTA))/SUMPRODUCT((nNIA=M387)*(nCUENTA=1)*(COUNTIF(CONFIG_ASIGNATURAS!$B$7:$B$27,nASIG)&gt;0)*1),"")))</f>
        <v/>
      </c>
      <c r="T387" t="str">
        <f>IF(S387="","",IF(S387="[FÓRMULA MANUAL]","",IFERROR(AVERAGEIFS(nNOTA,nNIA,S387,nCUENTA,1,nASIG,"Armonía"),"")))</f>
        <v/>
      </c>
      <c r="U387" t="str">
        <f>IF(S387="","",IF(S387="[FÓRMULA MANUAL]","",IFERROR(AVERAGEIFS(nNOTA,nNIA,S387,nCUENTA,1,nASIG,"Orquesta/Banda/Conjunto"),"")))</f>
        <v/>
      </c>
      <c r="V387" t="str">
        <f>IF(S387="","",IF(S387="[FÓRMULA MANUAL]","",IFERROR(AVERAGEIFS(nNOTA,nNIA,S387,nCUENTA,1,nASIG,"Música de Cámara"),"")))</f>
        <v/>
      </c>
      <c r="W387" t="str">
        <f>IF(S387="","",IF(S387="[FÓRMULA MANUAL]","",IFERROR(SUMPRODUCT((nNIA=S387)*(nCUENTA=1)*(COUNTIF(CONFIG_ASIGNATURAS!$B$7:$B$27,nASIG)&gt;0)*(nNOTA))/SUMPRODUCT((nNIA=S387)*(nCUENTA=1)*(COUNTIF(CONFIG_ASIGNATURAS!$B$7:$B$27,nASIG)&gt;0)*1),"")))</f>
        <v/>
      </c>
      <c r="Z387" t="str">
        <f>IF(Y387="","",IF(Y387="[FÓRMULA MANUAL]","",IFERROR(AVERAGEIFS(nNOTA,nNIA,Y387,nCUENTA,1,nASIG,"Análisis"),"")))</f>
        <v/>
      </c>
      <c r="AA387" t="str">
        <f>IF(Y387="","",IF(Y387="[FÓRMULA MANUAL]","",IFERROR(AVERAGEIFS(nNOTA,nNIA,Y387,nCUENTA,1,nASIG,"Orquesta/Banda/Conjunto"),"")))</f>
        <v/>
      </c>
      <c r="AB387" t="str">
        <f>IF(Y387="","",IF(Y387="[FÓRMULA MANUAL]","",IFERROR(AVERAGEIFS(nNOTA,nNIA,Y387,nCUENTA,1,nASIG,"Música de Cámara"),"")))</f>
        <v/>
      </c>
      <c r="AC387" t="str">
        <f>IF(Y387="","",IF(Y387="[FÓRMULA MANUAL]","",IFERROR(SUMPRODUCT((nNIA=Y387)*(nCUENTA=1)*(COUNTIF(CONFIG_ASIGNATURAS!$B$7:$B$27,nASIG)&gt;0)*(nNOTA))/SUMPRODUCT((nNIA=Y387)*(nCUENTA=1)*(COUNTIF(CONFIG_ASIGNATURAS!$B$7:$B$27,nASIG)&gt;0)*1),"")))</f>
        <v/>
      </c>
      <c r="AF387" t="str">
        <f>IF(AE387="","",IF(AE387="[FÓRMULA MANUAL]","",IFERROR(AVERAGEIFS(nNOTA,nNIA,AE387,nCUENTA,1,nASIG,"Análisis"),"")))</f>
        <v/>
      </c>
      <c r="AG387" t="str">
        <f>IF(AE387="","",IF(AE387="[FÓRMULA MANUAL]","",IFERROR(AVERAGEIFS(nNOTA,nNIA,AE387,nCUENTA,1,nASIG,"Orquesta/Banda/Conjunto"),"")))</f>
        <v/>
      </c>
      <c r="AH387" t="str">
        <f>IF(AE387="","",IF(AE387="[FÓRMULA MANUAL]","",IFERROR(AVERAGEIFS(nNOTA,nNIA,AE387,nCUENTA,1,nASIG,"Música de Cámara"),"")))</f>
        <v/>
      </c>
      <c r="AI387" t="str">
        <f>IF(AE387="","",IF(AE387="[FÓRMULA MANUAL]","",IFERROR(SUMPRODUCT((nNIA=AE387)*(nCUENTA=1)*(COUNTIF(CONFIG_ASIGNATURAS!$B$7:$B$27,nASIG)&gt;0)*(nNOTA))/SUMPRODUCT((nNIA=AE387)*(nCUENTA=1)*(COUNTIF(CONFIG_ASIGNATURAS!$B$7:$B$27,nASIG)&gt;0)*1),"")))</f>
        <v/>
      </c>
    </row>
    <row r="388" spans="2:35" x14ac:dyDescent="0.2">
      <c r="B388" t="str">
        <f>IF(A388="","",IF(A388="[FÓRMULA MANUAL]","",IFERROR(AVERAGEIFS(nNOTA,nNIA,A388,nCUENTA,1,nASIG,"Lenguaje Musical"),"")))</f>
        <v/>
      </c>
      <c r="C388" t="str">
        <f>IF(A388="","",IF(A388="[FÓRMULA MANUAL]","",IFERROR(AVERAGEIFS(nNOTA,nNIA,A388,nCUENTA,1,nASIG,"Orquesta/Banda/Conjunto"),"")))</f>
        <v/>
      </c>
      <c r="D388" t="str">
        <f>IF(A388="","",IF(A388="[FÓRMULA MANUAL]","",IFERROR(AVERAGEIFS(nNOTA,nNIA,A388,nCUENTA,1,nASIG,"Conjunto"),"")))</f>
        <v/>
      </c>
      <c r="E388" t="str">
        <f>IF(A388="","",IF(A388="[FÓRMULA MANUAL]","",IFERROR(SUMPRODUCT((nNIA=A388)*(nCUENTA=1)*(COUNTIF(CONFIG_ASIGNATURAS!$B$7:$B$27,nASIG)&gt;0)*(nNOTA))/SUMPRODUCT((nNIA=A388)*(nCUENTA=1)*(COUNTIF(CONFIG_ASIGNATURAS!$B$7:$B$27,nASIG)&gt;0)*1),"")))</f>
        <v/>
      </c>
      <c r="H388" t="str">
        <f>IF(G388="","",IF(G388="[FÓRMULA MANUAL]","",IFERROR(AVERAGEIFS(nNOTA,nNIA,G388,nCUENTA,1,nASIG,"Lenguaje Musical"),"")))</f>
        <v/>
      </c>
      <c r="I388" t="str">
        <f>IF(G388="","",IF(G388="[FÓRMULA MANUAL]","",IFERROR(AVERAGEIFS(nNOTA,nNIA,G388,nCUENTA,1,nASIG,"Orquesta/Banda/Conjunto"),"")))</f>
        <v/>
      </c>
      <c r="J388" t="str">
        <f>IF(G388="","",IF(G388="[FÓRMULA MANUAL]","",IFERROR(AVERAGEIFS(nNOTA,nNIA,G388,nCUENTA,1,nASIG,"Conjunto"),"")))</f>
        <v/>
      </c>
      <c r="K388" t="str">
        <f>IF(G388="","",IF(G388="[FÓRMULA MANUAL]","",IFERROR(SUMPRODUCT((nNIA=G388)*(nCUENTA=1)*(COUNTIF(CONFIG_ASIGNATURAS!$B$7:$B$27,nASIG)&gt;0)*(nNOTA))/SUMPRODUCT((nNIA=G388)*(nCUENTA=1)*(COUNTIF(CONFIG_ASIGNATURAS!$B$7:$B$27,nASIG)&gt;0)*1),"")))</f>
        <v/>
      </c>
      <c r="N388" t="str">
        <f>IF(M388="","",IF(M388="[FÓRMULA MANUAL]","",IFERROR(AVERAGEIFS(nNOTA,nNIA,M388,nCUENTA,1,nASIG,"Armonía"),"")))</f>
        <v/>
      </c>
      <c r="O388" t="str">
        <f>IF(M388="","",IF(M388="[FÓRMULA MANUAL]","",IFERROR(AVERAGEIFS(nNOTA,nNIA,M388,nCUENTA,1,nASIG,"Orquesta/Banda/Conjunto"),"")))</f>
        <v/>
      </c>
      <c r="P388" t="str">
        <f>IF(M388="","",IF(M388="[FÓRMULA MANUAL]","",IFERROR(AVERAGEIFS(nNOTA,nNIA,M388,nCUENTA,1,nASIG,"Música de Cámara"),"")))</f>
        <v/>
      </c>
      <c r="Q388" t="str">
        <f>IF(M388="","",IF(M388="[FÓRMULA MANUAL]","",IFERROR(SUMPRODUCT((nNIA=M388)*(nCUENTA=1)*(COUNTIF(CONFIG_ASIGNATURAS!$B$7:$B$27,nASIG)&gt;0)*(nNOTA))/SUMPRODUCT((nNIA=M388)*(nCUENTA=1)*(COUNTIF(CONFIG_ASIGNATURAS!$B$7:$B$27,nASIG)&gt;0)*1),"")))</f>
        <v/>
      </c>
      <c r="T388" t="str">
        <f>IF(S388="","",IF(S388="[FÓRMULA MANUAL]","",IFERROR(AVERAGEIFS(nNOTA,nNIA,S388,nCUENTA,1,nASIG,"Armonía"),"")))</f>
        <v/>
      </c>
      <c r="U388" t="str">
        <f>IF(S388="","",IF(S388="[FÓRMULA MANUAL]","",IFERROR(AVERAGEIFS(nNOTA,nNIA,S388,nCUENTA,1,nASIG,"Orquesta/Banda/Conjunto"),"")))</f>
        <v/>
      </c>
      <c r="V388" t="str">
        <f>IF(S388="","",IF(S388="[FÓRMULA MANUAL]","",IFERROR(AVERAGEIFS(nNOTA,nNIA,S388,nCUENTA,1,nASIG,"Música de Cámara"),"")))</f>
        <v/>
      </c>
      <c r="W388" t="str">
        <f>IF(S388="","",IF(S388="[FÓRMULA MANUAL]","",IFERROR(SUMPRODUCT((nNIA=S388)*(nCUENTA=1)*(COUNTIF(CONFIG_ASIGNATURAS!$B$7:$B$27,nASIG)&gt;0)*(nNOTA))/SUMPRODUCT((nNIA=S388)*(nCUENTA=1)*(COUNTIF(CONFIG_ASIGNATURAS!$B$7:$B$27,nASIG)&gt;0)*1),"")))</f>
        <v/>
      </c>
      <c r="Z388" t="str">
        <f>IF(Y388="","",IF(Y388="[FÓRMULA MANUAL]","",IFERROR(AVERAGEIFS(nNOTA,nNIA,Y388,nCUENTA,1,nASIG,"Análisis"),"")))</f>
        <v/>
      </c>
      <c r="AA388" t="str">
        <f>IF(Y388="","",IF(Y388="[FÓRMULA MANUAL]","",IFERROR(AVERAGEIFS(nNOTA,nNIA,Y388,nCUENTA,1,nASIG,"Orquesta/Banda/Conjunto"),"")))</f>
        <v/>
      </c>
      <c r="AB388" t="str">
        <f>IF(Y388="","",IF(Y388="[FÓRMULA MANUAL]","",IFERROR(AVERAGEIFS(nNOTA,nNIA,Y388,nCUENTA,1,nASIG,"Música de Cámara"),"")))</f>
        <v/>
      </c>
      <c r="AC388" t="str">
        <f>IF(Y388="","",IF(Y388="[FÓRMULA MANUAL]","",IFERROR(SUMPRODUCT((nNIA=Y388)*(nCUENTA=1)*(COUNTIF(CONFIG_ASIGNATURAS!$B$7:$B$27,nASIG)&gt;0)*(nNOTA))/SUMPRODUCT((nNIA=Y388)*(nCUENTA=1)*(COUNTIF(CONFIG_ASIGNATURAS!$B$7:$B$27,nASIG)&gt;0)*1),"")))</f>
        <v/>
      </c>
      <c r="AF388" t="str">
        <f>IF(AE388="","",IF(AE388="[FÓRMULA MANUAL]","",IFERROR(AVERAGEIFS(nNOTA,nNIA,AE388,nCUENTA,1,nASIG,"Análisis"),"")))</f>
        <v/>
      </c>
      <c r="AG388" t="str">
        <f>IF(AE388="","",IF(AE388="[FÓRMULA MANUAL]","",IFERROR(AVERAGEIFS(nNOTA,nNIA,AE388,nCUENTA,1,nASIG,"Orquesta/Banda/Conjunto"),"")))</f>
        <v/>
      </c>
      <c r="AH388" t="str">
        <f>IF(AE388="","",IF(AE388="[FÓRMULA MANUAL]","",IFERROR(AVERAGEIFS(nNOTA,nNIA,AE388,nCUENTA,1,nASIG,"Música de Cámara"),"")))</f>
        <v/>
      </c>
      <c r="AI388" t="str">
        <f>IF(AE388="","",IF(AE388="[FÓRMULA MANUAL]","",IFERROR(SUMPRODUCT((nNIA=AE388)*(nCUENTA=1)*(COUNTIF(CONFIG_ASIGNATURAS!$B$7:$B$27,nASIG)&gt;0)*(nNOTA))/SUMPRODUCT((nNIA=AE388)*(nCUENTA=1)*(COUNTIF(CONFIG_ASIGNATURAS!$B$7:$B$27,nASIG)&gt;0)*1),"")))</f>
        <v/>
      </c>
    </row>
    <row r="389" spans="2:35" x14ac:dyDescent="0.2">
      <c r="B389" t="str">
        <f>IF(A389="","",IF(A389="[FÓRMULA MANUAL]","",IFERROR(AVERAGEIFS(nNOTA,nNIA,A389,nCUENTA,1,nASIG,"Lenguaje Musical"),"")))</f>
        <v/>
      </c>
      <c r="C389" t="str">
        <f>IF(A389="","",IF(A389="[FÓRMULA MANUAL]","",IFERROR(AVERAGEIFS(nNOTA,nNIA,A389,nCUENTA,1,nASIG,"Orquesta/Banda/Conjunto"),"")))</f>
        <v/>
      </c>
      <c r="D389" t="str">
        <f>IF(A389="","",IF(A389="[FÓRMULA MANUAL]","",IFERROR(AVERAGEIFS(nNOTA,nNIA,A389,nCUENTA,1,nASIG,"Conjunto"),"")))</f>
        <v/>
      </c>
      <c r="E389" t="str">
        <f>IF(A389="","",IF(A389="[FÓRMULA MANUAL]","",IFERROR(SUMPRODUCT((nNIA=A389)*(nCUENTA=1)*(COUNTIF(CONFIG_ASIGNATURAS!$B$7:$B$27,nASIG)&gt;0)*(nNOTA))/SUMPRODUCT((nNIA=A389)*(nCUENTA=1)*(COUNTIF(CONFIG_ASIGNATURAS!$B$7:$B$27,nASIG)&gt;0)*1),"")))</f>
        <v/>
      </c>
      <c r="H389" t="str">
        <f>IF(G389="","",IF(G389="[FÓRMULA MANUAL]","",IFERROR(AVERAGEIFS(nNOTA,nNIA,G389,nCUENTA,1,nASIG,"Lenguaje Musical"),"")))</f>
        <v/>
      </c>
      <c r="I389" t="str">
        <f>IF(G389="","",IF(G389="[FÓRMULA MANUAL]","",IFERROR(AVERAGEIFS(nNOTA,nNIA,G389,nCUENTA,1,nASIG,"Orquesta/Banda/Conjunto"),"")))</f>
        <v/>
      </c>
      <c r="J389" t="str">
        <f>IF(G389="","",IF(G389="[FÓRMULA MANUAL]","",IFERROR(AVERAGEIFS(nNOTA,nNIA,G389,nCUENTA,1,nASIG,"Conjunto"),"")))</f>
        <v/>
      </c>
      <c r="K389" t="str">
        <f>IF(G389="","",IF(G389="[FÓRMULA MANUAL]","",IFERROR(SUMPRODUCT((nNIA=G389)*(nCUENTA=1)*(COUNTIF(CONFIG_ASIGNATURAS!$B$7:$B$27,nASIG)&gt;0)*(nNOTA))/SUMPRODUCT((nNIA=G389)*(nCUENTA=1)*(COUNTIF(CONFIG_ASIGNATURAS!$B$7:$B$27,nASIG)&gt;0)*1),"")))</f>
        <v/>
      </c>
      <c r="N389" t="str">
        <f>IF(M389="","",IF(M389="[FÓRMULA MANUAL]","",IFERROR(AVERAGEIFS(nNOTA,nNIA,M389,nCUENTA,1,nASIG,"Armonía"),"")))</f>
        <v/>
      </c>
      <c r="O389" t="str">
        <f>IF(M389="","",IF(M389="[FÓRMULA MANUAL]","",IFERROR(AVERAGEIFS(nNOTA,nNIA,M389,nCUENTA,1,nASIG,"Orquesta/Banda/Conjunto"),"")))</f>
        <v/>
      </c>
      <c r="P389" t="str">
        <f>IF(M389="","",IF(M389="[FÓRMULA MANUAL]","",IFERROR(AVERAGEIFS(nNOTA,nNIA,M389,nCUENTA,1,nASIG,"Música de Cámara"),"")))</f>
        <v/>
      </c>
      <c r="Q389" t="str">
        <f>IF(M389="","",IF(M389="[FÓRMULA MANUAL]","",IFERROR(SUMPRODUCT((nNIA=M389)*(nCUENTA=1)*(COUNTIF(CONFIG_ASIGNATURAS!$B$7:$B$27,nASIG)&gt;0)*(nNOTA))/SUMPRODUCT((nNIA=M389)*(nCUENTA=1)*(COUNTIF(CONFIG_ASIGNATURAS!$B$7:$B$27,nASIG)&gt;0)*1),"")))</f>
        <v/>
      </c>
      <c r="T389" t="str">
        <f>IF(S389="","",IF(S389="[FÓRMULA MANUAL]","",IFERROR(AVERAGEIFS(nNOTA,nNIA,S389,nCUENTA,1,nASIG,"Armonía"),"")))</f>
        <v/>
      </c>
      <c r="U389" t="str">
        <f>IF(S389="","",IF(S389="[FÓRMULA MANUAL]","",IFERROR(AVERAGEIFS(nNOTA,nNIA,S389,nCUENTA,1,nASIG,"Orquesta/Banda/Conjunto"),"")))</f>
        <v/>
      </c>
      <c r="V389" t="str">
        <f>IF(S389="","",IF(S389="[FÓRMULA MANUAL]","",IFERROR(AVERAGEIFS(nNOTA,nNIA,S389,nCUENTA,1,nASIG,"Música de Cámara"),"")))</f>
        <v/>
      </c>
      <c r="W389" t="str">
        <f>IF(S389="","",IF(S389="[FÓRMULA MANUAL]","",IFERROR(SUMPRODUCT((nNIA=S389)*(nCUENTA=1)*(COUNTIF(CONFIG_ASIGNATURAS!$B$7:$B$27,nASIG)&gt;0)*(nNOTA))/SUMPRODUCT((nNIA=S389)*(nCUENTA=1)*(COUNTIF(CONFIG_ASIGNATURAS!$B$7:$B$27,nASIG)&gt;0)*1),"")))</f>
        <v/>
      </c>
      <c r="Z389" t="str">
        <f>IF(Y389="","",IF(Y389="[FÓRMULA MANUAL]","",IFERROR(AVERAGEIFS(nNOTA,nNIA,Y389,nCUENTA,1,nASIG,"Análisis"),"")))</f>
        <v/>
      </c>
      <c r="AA389" t="str">
        <f>IF(Y389="","",IF(Y389="[FÓRMULA MANUAL]","",IFERROR(AVERAGEIFS(nNOTA,nNIA,Y389,nCUENTA,1,nASIG,"Orquesta/Banda/Conjunto"),"")))</f>
        <v/>
      </c>
      <c r="AB389" t="str">
        <f>IF(Y389="","",IF(Y389="[FÓRMULA MANUAL]","",IFERROR(AVERAGEIFS(nNOTA,nNIA,Y389,nCUENTA,1,nASIG,"Música de Cámara"),"")))</f>
        <v/>
      </c>
      <c r="AC389" t="str">
        <f>IF(Y389="","",IF(Y389="[FÓRMULA MANUAL]","",IFERROR(SUMPRODUCT((nNIA=Y389)*(nCUENTA=1)*(COUNTIF(CONFIG_ASIGNATURAS!$B$7:$B$27,nASIG)&gt;0)*(nNOTA))/SUMPRODUCT((nNIA=Y389)*(nCUENTA=1)*(COUNTIF(CONFIG_ASIGNATURAS!$B$7:$B$27,nASIG)&gt;0)*1),"")))</f>
        <v/>
      </c>
      <c r="AF389" t="str">
        <f>IF(AE389="","",IF(AE389="[FÓRMULA MANUAL]","",IFERROR(AVERAGEIFS(nNOTA,nNIA,AE389,nCUENTA,1,nASIG,"Análisis"),"")))</f>
        <v/>
      </c>
      <c r="AG389" t="str">
        <f>IF(AE389="","",IF(AE389="[FÓRMULA MANUAL]","",IFERROR(AVERAGEIFS(nNOTA,nNIA,AE389,nCUENTA,1,nASIG,"Orquesta/Banda/Conjunto"),"")))</f>
        <v/>
      </c>
      <c r="AH389" t="str">
        <f>IF(AE389="","",IF(AE389="[FÓRMULA MANUAL]","",IFERROR(AVERAGEIFS(nNOTA,nNIA,AE389,nCUENTA,1,nASIG,"Música de Cámara"),"")))</f>
        <v/>
      </c>
      <c r="AI389" t="str">
        <f>IF(AE389="","",IF(AE389="[FÓRMULA MANUAL]","",IFERROR(SUMPRODUCT((nNIA=AE389)*(nCUENTA=1)*(COUNTIF(CONFIG_ASIGNATURAS!$B$7:$B$27,nASIG)&gt;0)*(nNOTA))/SUMPRODUCT((nNIA=AE389)*(nCUENTA=1)*(COUNTIF(CONFIG_ASIGNATURAS!$B$7:$B$27,nASIG)&gt;0)*1),"")))</f>
        <v/>
      </c>
    </row>
    <row r="390" spans="2:35" x14ac:dyDescent="0.2">
      <c r="B390" t="str">
        <f>IF(A390="","",IF(A390="[FÓRMULA MANUAL]","",IFERROR(AVERAGEIFS(nNOTA,nNIA,A390,nCUENTA,1,nASIG,"Lenguaje Musical"),"")))</f>
        <v/>
      </c>
      <c r="C390" t="str">
        <f>IF(A390="","",IF(A390="[FÓRMULA MANUAL]","",IFERROR(AVERAGEIFS(nNOTA,nNIA,A390,nCUENTA,1,nASIG,"Orquesta/Banda/Conjunto"),"")))</f>
        <v/>
      </c>
      <c r="D390" t="str">
        <f>IF(A390="","",IF(A390="[FÓRMULA MANUAL]","",IFERROR(AVERAGEIFS(nNOTA,nNIA,A390,nCUENTA,1,nASIG,"Conjunto"),"")))</f>
        <v/>
      </c>
      <c r="E390" t="str">
        <f>IF(A390="","",IF(A390="[FÓRMULA MANUAL]","",IFERROR(SUMPRODUCT((nNIA=A390)*(nCUENTA=1)*(COUNTIF(CONFIG_ASIGNATURAS!$B$7:$B$27,nASIG)&gt;0)*(nNOTA))/SUMPRODUCT((nNIA=A390)*(nCUENTA=1)*(COUNTIF(CONFIG_ASIGNATURAS!$B$7:$B$27,nASIG)&gt;0)*1),"")))</f>
        <v/>
      </c>
      <c r="H390" t="str">
        <f>IF(G390="","",IF(G390="[FÓRMULA MANUAL]","",IFERROR(AVERAGEIFS(nNOTA,nNIA,G390,nCUENTA,1,nASIG,"Lenguaje Musical"),"")))</f>
        <v/>
      </c>
      <c r="I390" t="str">
        <f>IF(G390="","",IF(G390="[FÓRMULA MANUAL]","",IFERROR(AVERAGEIFS(nNOTA,nNIA,G390,nCUENTA,1,nASIG,"Orquesta/Banda/Conjunto"),"")))</f>
        <v/>
      </c>
      <c r="J390" t="str">
        <f>IF(G390="","",IF(G390="[FÓRMULA MANUAL]","",IFERROR(AVERAGEIFS(nNOTA,nNIA,G390,nCUENTA,1,nASIG,"Conjunto"),"")))</f>
        <v/>
      </c>
      <c r="K390" t="str">
        <f>IF(G390="","",IF(G390="[FÓRMULA MANUAL]","",IFERROR(SUMPRODUCT((nNIA=G390)*(nCUENTA=1)*(COUNTIF(CONFIG_ASIGNATURAS!$B$7:$B$27,nASIG)&gt;0)*(nNOTA))/SUMPRODUCT((nNIA=G390)*(nCUENTA=1)*(COUNTIF(CONFIG_ASIGNATURAS!$B$7:$B$27,nASIG)&gt;0)*1),"")))</f>
        <v/>
      </c>
      <c r="N390" t="str">
        <f>IF(M390="","",IF(M390="[FÓRMULA MANUAL]","",IFERROR(AVERAGEIFS(nNOTA,nNIA,M390,nCUENTA,1,nASIG,"Armonía"),"")))</f>
        <v/>
      </c>
      <c r="O390" t="str">
        <f>IF(M390="","",IF(M390="[FÓRMULA MANUAL]","",IFERROR(AVERAGEIFS(nNOTA,nNIA,M390,nCUENTA,1,nASIG,"Orquesta/Banda/Conjunto"),"")))</f>
        <v/>
      </c>
      <c r="P390" t="str">
        <f>IF(M390="","",IF(M390="[FÓRMULA MANUAL]","",IFERROR(AVERAGEIFS(nNOTA,nNIA,M390,nCUENTA,1,nASIG,"Música de Cámara"),"")))</f>
        <v/>
      </c>
      <c r="Q390" t="str">
        <f>IF(M390="","",IF(M390="[FÓRMULA MANUAL]","",IFERROR(SUMPRODUCT((nNIA=M390)*(nCUENTA=1)*(COUNTIF(CONFIG_ASIGNATURAS!$B$7:$B$27,nASIG)&gt;0)*(nNOTA))/SUMPRODUCT((nNIA=M390)*(nCUENTA=1)*(COUNTIF(CONFIG_ASIGNATURAS!$B$7:$B$27,nASIG)&gt;0)*1),"")))</f>
        <v/>
      </c>
      <c r="T390" t="str">
        <f>IF(S390="","",IF(S390="[FÓRMULA MANUAL]","",IFERROR(AVERAGEIFS(nNOTA,nNIA,S390,nCUENTA,1,nASIG,"Armonía"),"")))</f>
        <v/>
      </c>
      <c r="U390" t="str">
        <f>IF(S390="","",IF(S390="[FÓRMULA MANUAL]","",IFERROR(AVERAGEIFS(nNOTA,nNIA,S390,nCUENTA,1,nASIG,"Orquesta/Banda/Conjunto"),"")))</f>
        <v/>
      </c>
      <c r="V390" t="str">
        <f>IF(S390="","",IF(S390="[FÓRMULA MANUAL]","",IFERROR(AVERAGEIFS(nNOTA,nNIA,S390,nCUENTA,1,nASIG,"Música de Cámara"),"")))</f>
        <v/>
      </c>
      <c r="W390" t="str">
        <f>IF(S390="","",IF(S390="[FÓRMULA MANUAL]","",IFERROR(SUMPRODUCT((nNIA=S390)*(nCUENTA=1)*(COUNTIF(CONFIG_ASIGNATURAS!$B$7:$B$27,nASIG)&gt;0)*(nNOTA))/SUMPRODUCT((nNIA=S390)*(nCUENTA=1)*(COUNTIF(CONFIG_ASIGNATURAS!$B$7:$B$27,nASIG)&gt;0)*1),"")))</f>
        <v/>
      </c>
      <c r="Z390" t="str">
        <f>IF(Y390="","",IF(Y390="[FÓRMULA MANUAL]","",IFERROR(AVERAGEIFS(nNOTA,nNIA,Y390,nCUENTA,1,nASIG,"Análisis"),"")))</f>
        <v/>
      </c>
      <c r="AA390" t="str">
        <f>IF(Y390="","",IF(Y390="[FÓRMULA MANUAL]","",IFERROR(AVERAGEIFS(nNOTA,nNIA,Y390,nCUENTA,1,nASIG,"Orquesta/Banda/Conjunto"),"")))</f>
        <v/>
      </c>
      <c r="AB390" t="str">
        <f>IF(Y390="","",IF(Y390="[FÓRMULA MANUAL]","",IFERROR(AVERAGEIFS(nNOTA,nNIA,Y390,nCUENTA,1,nASIG,"Música de Cámara"),"")))</f>
        <v/>
      </c>
      <c r="AC390" t="str">
        <f>IF(Y390="","",IF(Y390="[FÓRMULA MANUAL]","",IFERROR(SUMPRODUCT((nNIA=Y390)*(nCUENTA=1)*(COUNTIF(CONFIG_ASIGNATURAS!$B$7:$B$27,nASIG)&gt;0)*(nNOTA))/SUMPRODUCT((nNIA=Y390)*(nCUENTA=1)*(COUNTIF(CONFIG_ASIGNATURAS!$B$7:$B$27,nASIG)&gt;0)*1),"")))</f>
        <v/>
      </c>
      <c r="AF390" t="str">
        <f>IF(AE390="","",IF(AE390="[FÓRMULA MANUAL]","",IFERROR(AVERAGEIFS(nNOTA,nNIA,AE390,nCUENTA,1,nASIG,"Análisis"),"")))</f>
        <v/>
      </c>
      <c r="AG390" t="str">
        <f>IF(AE390="","",IF(AE390="[FÓRMULA MANUAL]","",IFERROR(AVERAGEIFS(nNOTA,nNIA,AE390,nCUENTA,1,nASIG,"Orquesta/Banda/Conjunto"),"")))</f>
        <v/>
      </c>
      <c r="AH390" t="str">
        <f>IF(AE390="","",IF(AE390="[FÓRMULA MANUAL]","",IFERROR(AVERAGEIFS(nNOTA,nNIA,AE390,nCUENTA,1,nASIG,"Música de Cámara"),"")))</f>
        <v/>
      </c>
      <c r="AI390" t="str">
        <f>IF(AE390="","",IF(AE390="[FÓRMULA MANUAL]","",IFERROR(SUMPRODUCT((nNIA=AE390)*(nCUENTA=1)*(COUNTIF(CONFIG_ASIGNATURAS!$B$7:$B$27,nASIG)&gt;0)*(nNOTA))/SUMPRODUCT((nNIA=AE390)*(nCUENTA=1)*(COUNTIF(CONFIG_ASIGNATURAS!$B$7:$B$27,nASIG)&gt;0)*1),"")))</f>
        <v/>
      </c>
    </row>
    <row r="391" spans="2:35" x14ac:dyDescent="0.2">
      <c r="B391" t="str">
        <f>IF(A391="","",IF(A391="[FÓRMULA MANUAL]","",IFERROR(AVERAGEIFS(nNOTA,nNIA,A391,nCUENTA,1,nASIG,"Lenguaje Musical"),"")))</f>
        <v/>
      </c>
      <c r="C391" t="str">
        <f>IF(A391="","",IF(A391="[FÓRMULA MANUAL]","",IFERROR(AVERAGEIFS(nNOTA,nNIA,A391,nCUENTA,1,nASIG,"Orquesta/Banda/Conjunto"),"")))</f>
        <v/>
      </c>
      <c r="D391" t="str">
        <f>IF(A391="","",IF(A391="[FÓRMULA MANUAL]","",IFERROR(AVERAGEIFS(nNOTA,nNIA,A391,nCUENTA,1,nASIG,"Conjunto"),"")))</f>
        <v/>
      </c>
      <c r="E391" t="str">
        <f>IF(A391="","",IF(A391="[FÓRMULA MANUAL]","",IFERROR(SUMPRODUCT((nNIA=A391)*(nCUENTA=1)*(COUNTIF(CONFIG_ASIGNATURAS!$B$7:$B$27,nASIG)&gt;0)*(nNOTA))/SUMPRODUCT((nNIA=A391)*(nCUENTA=1)*(COUNTIF(CONFIG_ASIGNATURAS!$B$7:$B$27,nASIG)&gt;0)*1),"")))</f>
        <v/>
      </c>
      <c r="H391" t="str">
        <f>IF(G391="","",IF(G391="[FÓRMULA MANUAL]","",IFERROR(AVERAGEIFS(nNOTA,nNIA,G391,nCUENTA,1,nASIG,"Lenguaje Musical"),"")))</f>
        <v/>
      </c>
      <c r="I391" t="str">
        <f>IF(G391="","",IF(G391="[FÓRMULA MANUAL]","",IFERROR(AVERAGEIFS(nNOTA,nNIA,G391,nCUENTA,1,nASIG,"Orquesta/Banda/Conjunto"),"")))</f>
        <v/>
      </c>
      <c r="J391" t="str">
        <f>IF(G391="","",IF(G391="[FÓRMULA MANUAL]","",IFERROR(AVERAGEIFS(nNOTA,nNIA,G391,nCUENTA,1,nASIG,"Conjunto"),"")))</f>
        <v/>
      </c>
      <c r="K391" t="str">
        <f>IF(G391="","",IF(G391="[FÓRMULA MANUAL]","",IFERROR(SUMPRODUCT((nNIA=G391)*(nCUENTA=1)*(COUNTIF(CONFIG_ASIGNATURAS!$B$7:$B$27,nASIG)&gt;0)*(nNOTA))/SUMPRODUCT((nNIA=G391)*(nCUENTA=1)*(COUNTIF(CONFIG_ASIGNATURAS!$B$7:$B$27,nASIG)&gt;0)*1),"")))</f>
        <v/>
      </c>
      <c r="N391" t="str">
        <f>IF(M391="","",IF(M391="[FÓRMULA MANUAL]","",IFERROR(AVERAGEIFS(nNOTA,nNIA,M391,nCUENTA,1,nASIG,"Armonía"),"")))</f>
        <v/>
      </c>
      <c r="O391" t="str">
        <f>IF(M391="","",IF(M391="[FÓRMULA MANUAL]","",IFERROR(AVERAGEIFS(nNOTA,nNIA,M391,nCUENTA,1,nASIG,"Orquesta/Banda/Conjunto"),"")))</f>
        <v/>
      </c>
      <c r="P391" t="str">
        <f>IF(M391="","",IF(M391="[FÓRMULA MANUAL]","",IFERROR(AVERAGEIFS(nNOTA,nNIA,M391,nCUENTA,1,nASIG,"Música de Cámara"),"")))</f>
        <v/>
      </c>
      <c r="Q391" t="str">
        <f>IF(M391="","",IF(M391="[FÓRMULA MANUAL]","",IFERROR(SUMPRODUCT((nNIA=M391)*(nCUENTA=1)*(COUNTIF(CONFIG_ASIGNATURAS!$B$7:$B$27,nASIG)&gt;0)*(nNOTA))/SUMPRODUCT((nNIA=M391)*(nCUENTA=1)*(COUNTIF(CONFIG_ASIGNATURAS!$B$7:$B$27,nASIG)&gt;0)*1),"")))</f>
        <v/>
      </c>
      <c r="T391" t="str">
        <f>IF(S391="","",IF(S391="[FÓRMULA MANUAL]","",IFERROR(AVERAGEIFS(nNOTA,nNIA,S391,nCUENTA,1,nASIG,"Armonía"),"")))</f>
        <v/>
      </c>
      <c r="U391" t="str">
        <f>IF(S391="","",IF(S391="[FÓRMULA MANUAL]","",IFERROR(AVERAGEIFS(nNOTA,nNIA,S391,nCUENTA,1,nASIG,"Orquesta/Banda/Conjunto"),"")))</f>
        <v/>
      </c>
      <c r="V391" t="str">
        <f>IF(S391="","",IF(S391="[FÓRMULA MANUAL]","",IFERROR(AVERAGEIFS(nNOTA,nNIA,S391,nCUENTA,1,nASIG,"Música de Cámara"),"")))</f>
        <v/>
      </c>
      <c r="W391" t="str">
        <f>IF(S391="","",IF(S391="[FÓRMULA MANUAL]","",IFERROR(SUMPRODUCT((nNIA=S391)*(nCUENTA=1)*(COUNTIF(CONFIG_ASIGNATURAS!$B$7:$B$27,nASIG)&gt;0)*(nNOTA))/SUMPRODUCT((nNIA=S391)*(nCUENTA=1)*(COUNTIF(CONFIG_ASIGNATURAS!$B$7:$B$27,nASIG)&gt;0)*1),"")))</f>
        <v/>
      </c>
      <c r="Z391" t="str">
        <f>IF(Y391="","",IF(Y391="[FÓRMULA MANUAL]","",IFERROR(AVERAGEIFS(nNOTA,nNIA,Y391,nCUENTA,1,nASIG,"Análisis"),"")))</f>
        <v/>
      </c>
      <c r="AA391" t="str">
        <f>IF(Y391="","",IF(Y391="[FÓRMULA MANUAL]","",IFERROR(AVERAGEIFS(nNOTA,nNIA,Y391,nCUENTA,1,nASIG,"Orquesta/Banda/Conjunto"),"")))</f>
        <v/>
      </c>
      <c r="AB391" t="str">
        <f>IF(Y391="","",IF(Y391="[FÓRMULA MANUAL]","",IFERROR(AVERAGEIFS(nNOTA,nNIA,Y391,nCUENTA,1,nASIG,"Música de Cámara"),"")))</f>
        <v/>
      </c>
      <c r="AC391" t="str">
        <f>IF(Y391="","",IF(Y391="[FÓRMULA MANUAL]","",IFERROR(SUMPRODUCT((nNIA=Y391)*(nCUENTA=1)*(COUNTIF(CONFIG_ASIGNATURAS!$B$7:$B$27,nASIG)&gt;0)*(nNOTA))/SUMPRODUCT((nNIA=Y391)*(nCUENTA=1)*(COUNTIF(CONFIG_ASIGNATURAS!$B$7:$B$27,nASIG)&gt;0)*1),"")))</f>
        <v/>
      </c>
      <c r="AF391" t="str">
        <f>IF(AE391="","",IF(AE391="[FÓRMULA MANUAL]","",IFERROR(AVERAGEIFS(nNOTA,nNIA,AE391,nCUENTA,1,nASIG,"Análisis"),"")))</f>
        <v/>
      </c>
      <c r="AG391" t="str">
        <f>IF(AE391="","",IF(AE391="[FÓRMULA MANUAL]","",IFERROR(AVERAGEIFS(nNOTA,nNIA,AE391,nCUENTA,1,nASIG,"Orquesta/Banda/Conjunto"),"")))</f>
        <v/>
      </c>
      <c r="AH391" t="str">
        <f>IF(AE391="","",IF(AE391="[FÓRMULA MANUAL]","",IFERROR(AVERAGEIFS(nNOTA,nNIA,AE391,nCUENTA,1,nASIG,"Música de Cámara"),"")))</f>
        <v/>
      </c>
      <c r="AI391" t="str">
        <f>IF(AE391="","",IF(AE391="[FÓRMULA MANUAL]","",IFERROR(SUMPRODUCT((nNIA=AE391)*(nCUENTA=1)*(COUNTIF(CONFIG_ASIGNATURAS!$B$7:$B$27,nASIG)&gt;0)*(nNOTA))/SUMPRODUCT((nNIA=AE391)*(nCUENTA=1)*(COUNTIF(CONFIG_ASIGNATURAS!$B$7:$B$27,nASIG)&gt;0)*1),"")))</f>
        <v/>
      </c>
    </row>
    <row r="392" spans="2:35" x14ac:dyDescent="0.2">
      <c r="B392" t="str">
        <f>IF(A392="","",IF(A392="[FÓRMULA MANUAL]","",IFERROR(AVERAGEIFS(nNOTA,nNIA,A392,nCUENTA,1,nASIG,"Lenguaje Musical"),"")))</f>
        <v/>
      </c>
      <c r="C392" t="str">
        <f>IF(A392="","",IF(A392="[FÓRMULA MANUAL]","",IFERROR(AVERAGEIFS(nNOTA,nNIA,A392,nCUENTA,1,nASIG,"Orquesta/Banda/Conjunto"),"")))</f>
        <v/>
      </c>
      <c r="D392" t="str">
        <f>IF(A392="","",IF(A392="[FÓRMULA MANUAL]","",IFERROR(AVERAGEIFS(nNOTA,nNIA,A392,nCUENTA,1,nASIG,"Conjunto"),"")))</f>
        <v/>
      </c>
      <c r="E392" t="str">
        <f>IF(A392="","",IF(A392="[FÓRMULA MANUAL]","",IFERROR(SUMPRODUCT((nNIA=A392)*(nCUENTA=1)*(COUNTIF(CONFIG_ASIGNATURAS!$B$7:$B$27,nASIG)&gt;0)*(nNOTA))/SUMPRODUCT((nNIA=A392)*(nCUENTA=1)*(COUNTIF(CONFIG_ASIGNATURAS!$B$7:$B$27,nASIG)&gt;0)*1),"")))</f>
        <v/>
      </c>
      <c r="H392" t="str">
        <f>IF(G392="","",IF(G392="[FÓRMULA MANUAL]","",IFERROR(AVERAGEIFS(nNOTA,nNIA,G392,nCUENTA,1,nASIG,"Lenguaje Musical"),"")))</f>
        <v/>
      </c>
      <c r="I392" t="str">
        <f>IF(G392="","",IF(G392="[FÓRMULA MANUAL]","",IFERROR(AVERAGEIFS(nNOTA,nNIA,G392,nCUENTA,1,nASIG,"Orquesta/Banda/Conjunto"),"")))</f>
        <v/>
      </c>
      <c r="J392" t="str">
        <f>IF(G392="","",IF(G392="[FÓRMULA MANUAL]","",IFERROR(AVERAGEIFS(nNOTA,nNIA,G392,nCUENTA,1,nASIG,"Conjunto"),"")))</f>
        <v/>
      </c>
      <c r="K392" t="str">
        <f>IF(G392="","",IF(G392="[FÓRMULA MANUAL]","",IFERROR(SUMPRODUCT((nNIA=G392)*(nCUENTA=1)*(COUNTIF(CONFIG_ASIGNATURAS!$B$7:$B$27,nASIG)&gt;0)*(nNOTA))/SUMPRODUCT((nNIA=G392)*(nCUENTA=1)*(COUNTIF(CONFIG_ASIGNATURAS!$B$7:$B$27,nASIG)&gt;0)*1),"")))</f>
        <v/>
      </c>
      <c r="N392" t="str">
        <f>IF(M392="","",IF(M392="[FÓRMULA MANUAL]","",IFERROR(AVERAGEIFS(nNOTA,nNIA,M392,nCUENTA,1,nASIG,"Armonía"),"")))</f>
        <v/>
      </c>
      <c r="O392" t="str">
        <f>IF(M392="","",IF(M392="[FÓRMULA MANUAL]","",IFERROR(AVERAGEIFS(nNOTA,nNIA,M392,nCUENTA,1,nASIG,"Orquesta/Banda/Conjunto"),"")))</f>
        <v/>
      </c>
      <c r="P392" t="str">
        <f>IF(M392="","",IF(M392="[FÓRMULA MANUAL]","",IFERROR(AVERAGEIFS(nNOTA,nNIA,M392,nCUENTA,1,nASIG,"Música de Cámara"),"")))</f>
        <v/>
      </c>
      <c r="Q392" t="str">
        <f>IF(M392="","",IF(M392="[FÓRMULA MANUAL]","",IFERROR(SUMPRODUCT((nNIA=M392)*(nCUENTA=1)*(COUNTIF(CONFIG_ASIGNATURAS!$B$7:$B$27,nASIG)&gt;0)*(nNOTA))/SUMPRODUCT((nNIA=M392)*(nCUENTA=1)*(COUNTIF(CONFIG_ASIGNATURAS!$B$7:$B$27,nASIG)&gt;0)*1),"")))</f>
        <v/>
      </c>
      <c r="T392" t="str">
        <f>IF(S392="","",IF(S392="[FÓRMULA MANUAL]","",IFERROR(AVERAGEIFS(nNOTA,nNIA,S392,nCUENTA,1,nASIG,"Armonía"),"")))</f>
        <v/>
      </c>
      <c r="U392" t="str">
        <f>IF(S392="","",IF(S392="[FÓRMULA MANUAL]","",IFERROR(AVERAGEIFS(nNOTA,nNIA,S392,nCUENTA,1,nASIG,"Orquesta/Banda/Conjunto"),"")))</f>
        <v/>
      </c>
      <c r="V392" t="str">
        <f>IF(S392="","",IF(S392="[FÓRMULA MANUAL]","",IFERROR(AVERAGEIFS(nNOTA,nNIA,S392,nCUENTA,1,nASIG,"Música de Cámara"),"")))</f>
        <v/>
      </c>
      <c r="W392" t="str">
        <f>IF(S392="","",IF(S392="[FÓRMULA MANUAL]","",IFERROR(SUMPRODUCT((nNIA=S392)*(nCUENTA=1)*(COUNTIF(CONFIG_ASIGNATURAS!$B$7:$B$27,nASIG)&gt;0)*(nNOTA))/SUMPRODUCT((nNIA=S392)*(nCUENTA=1)*(COUNTIF(CONFIG_ASIGNATURAS!$B$7:$B$27,nASIG)&gt;0)*1),"")))</f>
        <v/>
      </c>
      <c r="Z392" t="str">
        <f>IF(Y392="","",IF(Y392="[FÓRMULA MANUAL]","",IFERROR(AVERAGEIFS(nNOTA,nNIA,Y392,nCUENTA,1,nASIG,"Análisis"),"")))</f>
        <v/>
      </c>
      <c r="AA392" t="str">
        <f>IF(Y392="","",IF(Y392="[FÓRMULA MANUAL]","",IFERROR(AVERAGEIFS(nNOTA,nNIA,Y392,nCUENTA,1,nASIG,"Orquesta/Banda/Conjunto"),"")))</f>
        <v/>
      </c>
      <c r="AB392" t="str">
        <f>IF(Y392="","",IF(Y392="[FÓRMULA MANUAL]","",IFERROR(AVERAGEIFS(nNOTA,nNIA,Y392,nCUENTA,1,nASIG,"Música de Cámara"),"")))</f>
        <v/>
      </c>
      <c r="AC392" t="str">
        <f>IF(Y392="","",IF(Y392="[FÓRMULA MANUAL]","",IFERROR(SUMPRODUCT((nNIA=Y392)*(nCUENTA=1)*(COUNTIF(CONFIG_ASIGNATURAS!$B$7:$B$27,nASIG)&gt;0)*(nNOTA))/SUMPRODUCT((nNIA=Y392)*(nCUENTA=1)*(COUNTIF(CONFIG_ASIGNATURAS!$B$7:$B$27,nASIG)&gt;0)*1),"")))</f>
        <v/>
      </c>
      <c r="AF392" t="str">
        <f>IF(AE392="","",IF(AE392="[FÓRMULA MANUAL]","",IFERROR(AVERAGEIFS(nNOTA,nNIA,AE392,nCUENTA,1,nASIG,"Análisis"),"")))</f>
        <v/>
      </c>
      <c r="AG392" t="str">
        <f>IF(AE392="","",IF(AE392="[FÓRMULA MANUAL]","",IFERROR(AVERAGEIFS(nNOTA,nNIA,AE392,nCUENTA,1,nASIG,"Orquesta/Banda/Conjunto"),"")))</f>
        <v/>
      </c>
      <c r="AH392" t="str">
        <f>IF(AE392="","",IF(AE392="[FÓRMULA MANUAL]","",IFERROR(AVERAGEIFS(nNOTA,nNIA,AE392,nCUENTA,1,nASIG,"Música de Cámara"),"")))</f>
        <v/>
      </c>
      <c r="AI392" t="str">
        <f>IF(AE392="","",IF(AE392="[FÓRMULA MANUAL]","",IFERROR(SUMPRODUCT((nNIA=AE392)*(nCUENTA=1)*(COUNTIF(CONFIG_ASIGNATURAS!$B$7:$B$27,nASIG)&gt;0)*(nNOTA))/SUMPRODUCT((nNIA=AE392)*(nCUENTA=1)*(COUNTIF(CONFIG_ASIGNATURAS!$B$7:$B$27,nASIG)&gt;0)*1),"")))</f>
        <v/>
      </c>
    </row>
    <row r="393" spans="2:35" x14ac:dyDescent="0.2">
      <c r="B393" t="str">
        <f>IF(A393="","",IF(A393="[FÓRMULA MANUAL]","",IFERROR(AVERAGEIFS(nNOTA,nNIA,A393,nCUENTA,1,nASIG,"Lenguaje Musical"),"")))</f>
        <v/>
      </c>
      <c r="C393" t="str">
        <f>IF(A393="","",IF(A393="[FÓRMULA MANUAL]","",IFERROR(AVERAGEIFS(nNOTA,nNIA,A393,nCUENTA,1,nASIG,"Orquesta/Banda/Conjunto"),"")))</f>
        <v/>
      </c>
      <c r="D393" t="str">
        <f>IF(A393="","",IF(A393="[FÓRMULA MANUAL]","",IFERROR(AVERAGEIFS(nNOTA,nNIA,A393,nCUENTA,1,nASIG,"Conjunto"),"")))</f>
        <v/>
      </c>
      <c r="E393" t="str">
        <f>IF(A393="","",IF(A393="[FÓRMULA MANUAL]","",IFERROR(SUMPRODUCT((nNIA=A393)*(nCUENTA=1)*(COUNTIF(CONFIG_ASIGNATURAS!$B$7:$B$27,nASIG)&gt;0)*(nNOTA))/SUMPRODUCT((nNIA=A393)*(nCUENTA=1)*(COUNTIF(CONFIG_ASIGNATURAS!$B$7:$B$27,nASIG)&gt;0)*1),"")))</f>
        <v/>
      </c>
      <c r="H393" t="str">
        <f>IF(G393="","",IF(G393="[FÓRMULA MANUAL]","",IFERROR(AVERAGEIFS(nNOTA,nNIA,G393,nCUENTA,1,nASIG,"Lenguaje Musical"),"")))</f>
        <v/>
      </c>
      <c r="I393" t="str">
        <f>IF(G393="","",IF(G393="[FÓRMULA MANUAL]","",IFERROR(AVERAGEIFS(nNOTA,nNIA,G393,nCUENTA,1,nASIG,"Orquesta/Banda/Conjunto"),"")))</f>
        <v/>
      </c>
      <c r="J393" t="str">
        <f>IF(G393="","",IF(G393="[FÓRMULA MANUAL]","",IFERROR(AVERAGEIFS(nNOTA,nNIA,G393,nCUENTA,1,nASIG,"Conjunto"),"")))</f>
        <v/>
      </c>
      <c r="K393" t="str">
        <f>IF(G393="","",IF(G393="[FÓRMULA MANUAL]","",IFERROR(SUMPRODUCT((nNIA=G393)*(nCUENTA=1)*(COUNTIF(CONFIG_ASIGNATURAS!$B$7:$B$27,nASIG)&gt;0)*(nNOTA))/SUMPRODUCT((nNIA=G393)*(nCUENTA=1)*(COUNTIF(CONFIG_ASIGNATURAS!$B$7:$B$27,nASIG)&gt;0)*1),"")))</f>
        <v/>
      </c>
      <c r="N393" t="str">
        <f>IF(M393="","",IF(M393="[FÓRMULA MANUAL]","",IFERROR(AVERAGEIFS(nNOTA,nNIA,M393,nCUENTA,1,nASIG,"Armonía"),"")))</f>
        <v/>
      </c>
      <c r="O393" t="str">
        <f>IF(M393="","",IF(M393="[FÓRMULA MANUAL]","",IFERROR(AVERAGEIFS(nNOTA,nNIA,M393,nCUENTA,1,nASIG,"Orquesta/Banda/Conjunto"),"")))</f>
        <v/>
      </c>
      <c r="P393" t="str">
        <f>IF(M393="","",IF(M393="[FÓRMULA MANUAL]","",IFERROR(AVERAGEIFS(nNOTA,nNIA,M393,nCUENTA,1,nASIG,"Música de Cámara"),"")))</f>
        <v/>
      </c>
      <c r="Q393" t="str">
        <f>IF(M393="","",IF(M393="[FÓRMULA MANUAL]","",IFERROR(SUMPRODUCT((nNIA=M393)*(nCUENTA=1)*(COUNTIF(CONFIG_ASIGNATURAS!$B$7:$B$27,nASIG)&gt;0)*(nNOTA))/SUMPRODUCT((nNIA=M393)*(nCUENTA=1)*(COUNTIF(CONFIG_ASIGNATURAS!$B$7:$B$27,nASIG)&gt;0)*1),"")))</f>
        <v/>
      </c>
      <c r="T393" t="str">
        <f>IF(S393="","",IF(S393="[FÓRMULA MANUAL]","",IFERROR(AVERAGEIFS(nNOTA,nNIA,S393,nCUENTA,1,nASIG,"Armonía"),"")))</f>
        <v/>
      </c>
      <c r="U393" t="str">
        <f>IF(S393="","",IF(S393="[FÓRMULA MANUAL]","",IFERROR(AVERAGEIFS(nNOTA,nNIA,S393,nCUENTA,1,nASIG,"Orquesta/Banda/Conjunto"),"")))</f>
        <v/>
      </c>
      <c r="V393" t="str">
        <f>IF(S393="","",IF(S393="[FÓRMULA MANUAL]","",IFERROR(AVERAGEIFS(nNOTA,nNIA,S393,nCUENTA,1,nASIG,"Música de Cámara"),"")))</f>
        <v/>
      </c>
      <c r="W393" t="str">
        <f>IF(S393="","",IF(S393="[FÓRMULA MANUAL]","",IFERROR(SUMPRODUCT((nNIA=S393)*(nCUENTA=1)*(COUNTIF(CONFIG_ASIGNATURAS!$B$7:$B$27,nASIG)&gt;0)*(nNOTA))/SUMPRODUCT((nNIA=S393)*(nCUENTA=1)*(COUNTIF(CONFIG_ASIGNATURAS!$B$7:$B$27,nASIG)&gt;0)*1),"")))</f>
        <v/>
      </c>
      <c r="Z393" t="str">
        <f>IF(Y393="","",IF(Y393="[FÓRMULA MANUAL]","",IFERROR(AVERAGEIFS(nNOTA,nNIA,Y393,nCUENTA,1,nASIG,"Análisis"),"")))</f>
        <v/>
      </c>
      <c r="AA393" t="str">
        <f>IF(Y393="","",IF(Y393="[FÓRMULA MANUAL]","",IFERROR(AVERAGEIFS(nNOTA,nNIA,Y393,nCUENTA,1,nASIG,"Orquesta/Banda/Conjunto"),"")))</f>
        <v/>
      </c>
      <c r="AB393" t="str">
        <f>IF(Y393="","",IF(Y393="[FÓRMULA MANUAL]","",IFERROR(AVERAGEIFS(nNOTA,nNIA,Y393,nCUENTA,1,nASIG,"Música de Cámara"),"")))</f>
        <v/>
      </c>
      <c r="AC393" t="str">
        <f>IF(Y393="","",IF(Y393="[FÓRMULA MANUAL]","",IFERROR(SUMPRODUCT((nNIA=Y393)*(nCUENTA=1)*(COUNTIF(CONFIG_ASIGNATURAS!$B$7:$B$27,nASIG)&gt;0)*(nNOTA))/SUMPRODUCT((nNIA=Y393)*(nCUENTA=1)*(COUNTIF(CONFIG_ASIGNATURAS!$B$7:$B$27,nASIG)&gt;0)*1),"")))</f>
        <v/>
      </c>
      <c r="AF393" t="str">
        <f>IF(AE393="","",IF(AE393="[FÓRMULA MANUAL]","",IFERROR(AVERAGEIFS(nNOTA,nNIA,AE393,nCUENTA,1,nASIG,"Análisis"),"")))</f>
        <v/>
      </c>
      <c r="AG393" t="str">
        <f>IF(AE393="","",IF(AE393="[FÓRMULA MANUAL]","",IFERROR(AVERAGEIFS(nNOTA,nNIA,AE393,nCUENTA,1,nASIG,"Orquesta/Banda/Conjunto"),"")))</f>
        <v/>
      </c>
      <c r="AH393" t="str">
        <f>IF(AE393="","",IF(AE393="[FÓRMULA MANUAL]","",IFERROR(AVERAGEIFS(nNOTA,nNIA,AE393,nCUENTA,1,nASIG,"Música de Cámara"),"")))</f>
        <v/>
      </c>
      <c r="AI393" t="str">
        <f>IF(AE393="","",IF(AE393="[FÓRMULA MANUAL]","",IFERROR(SUMPRODUCT((nNIA=AE393)*(nCUENTA=1)*(COUNTIF(CONFIG_ASIGNATURAS!$B$7:$B$27,nASIG)&gt;0)*(nNOTA))/SUMPRODUCT((nNIA=AE393)*(nCUENTA=1)*(COUNTIF(CONFIG_ASIGNATURAS!$B$7:$B$27,nASIG)&gt;0)*1),"")))</f>
        <v/>
      </c>
    </row>
    <row r="394" spans="2:35" x14ac:dyDescent="0.2">
      <c r="B394" t="str">
        <f>IF(A394="","",IF(A394="[FÓRMULA MANUAL]","",IFERROR(AVERAGEIFS(nNOTA,nNIA,A394,nCUENTA,1,nASIG,"Lenguaje Musical"),"")))</f>
        <v/>
      </c>
      <c r="C394" t="str">
        <f>IF(A394="","",IF(A394="[FÓRMULA MANUAL]","",IFERROR(AVERAGEIFS(nNOTA,nNIA,A394,nCUENTA,1,nASIG,"Orquesta/Banda/Conjunto"),"")))</f>
        <v/>
      </c>
      <c r="D394" t="str">
        <f>IF(A394="","",IF(A394="[FÓRMULA MANUAL]","",IFERROR(AVERAGEIFS(nNOTA,nNIA,A394,nCUENTA,1,nASIG,"Conjunto"),"")))</f>
        <v/>
      </c>
      <c r="E394" t="str">
        <f>IF(A394="","",IF(A394="[FÓRMULA MANUAL]","",IFERROR(SUMPRODUCT((nNIA=A394)*(nCUENTA=1)*(COUNTIF(CONFIG_ASIGNATURAS!$B$7:$B$27,nASIG)&gt;0)*(nNOTA))/SUMPRODUCT((nNIA=A394)*(nCUENTA=1)*(COUNTIF(CONFIG_ASIGNATURAS!$B$7:$B$27,nASIG)&gt;0)*1),"")))</f>
        <v/>
      </c>
      <c r="H394" t="str">
        <f>IF(G394="","",IF(G394="[FÓRMULA MANUAL]","",IFERROR(AVERAGEIFS(nNOTA,nNIA,G394,nCUENTA,1,nASIG,"Lenguaje Musical"),"")))</f>
        <v/>
      </c>
      <c r="I394" t="str">
        <f>IF(G394="","",IF(G394="[FÓRMULA MANUAL]","",IFERROR(AVERAGEIFS(nNOTA,nNIA,G394,nCUENTA,1,nASIG,"Orquesta/Banda/Conjunto"),"")))</f>
        <v/>
      </c>
      <c r="J394" t="str">
        <f>IF(G394="","",IF(G394="[FÓRMULA MANUAL]","",IFERROR(AVERAGEIFS(nNOTA,nNIA,G394,nCUENTA,1,nASIG,"Conjunto"),"")))</f>
        <v/>
      </c>
      <c r="K394" t="str">
        <f>IF(G394="","",IF(G394="[FÓRMULA MANUAL]","",IFERROR(SUMPRODUCT((nNIA=G394)*(nCUENTA=1)*(COUNTIF(CONFIG_ASIGNATURAS!$B$7:$B$27,nASIG)&gt;0)*(nNOTA))/SUMPRODUCT((nNIA=G394)*(nCUENTA=1)*(COUNTIF(CONFIG_ASIGNATURAS!$B$7:$B$27,nASIG)&gt;0)*1),"")))</f>
        <v/>
      </c>
      <c r="N394" t="str">
        <f>IF(M394="","",IF(M394="[FÓRMULA MANUAL]","",IFERROR(AVERAGEIFS(nNOTA,nNIA,M394,nCUENTA,1,nASIG,"Armonía"),"")))</f>
        <v/>
      </c>
      <c r="O394" t="str">
        <f>IF(M394="","",IF(M394="[FÓRMULA MANUAL]","",IFERROR(AVERAGEIFS(nNOTA,nNIA,M394,nCUENTA,1,nASIG,"Orquesta/Banda/Conjunto"),"")))</f>
        <v/>
      </c>
      <c r="P394" t="str">
        <f>IF(M394="","",IF(M394="[FÓRMULA MANUAL]","",IFERROR(AVERAGEIFS(nNOTA,nNIA,M394,nCUENTA,1,nASIG,"Música de Cámara"),"")))</f>
        <v/>
      </c>
      <c r="Q394" t="str">
        <f>IF(M394="","",IF(M394="[FÓRMULA MANUAL]","",IFERROR(SUMPRODUCT((nNIA=M394)*(nCUENTA=1)*(COUNTIF(CONFIG_ASIGNATURAS!$B$7:$B$27,nASIG)&gt;0)*(nNOTA))/SUMPRODUCT((nNIA=M394)*(nCUENTA=1)*(COUNTIF(CONFIG_ASIGNATURAS!$B$7:$B$27,nASIG)&gt;0)*1),"")))</f>
        <v/>
      </c>
      <c r="T394" t="str">
        <f>IF(S394="","",IF(S394="[FÓRMULA MANUAL]","",IFERROR(AVERAGEIFS(nNOTA,nNIA,S394,nCUENTA,1,nASIG,"Armonía"),"")))</f>
        <v/>
      </c>
      <c r="U394" t="str">
        <f>IF(S394="","",IF(S394="[FÓRMULA MANUAL]","",IFERROR(AVERAGEIFS(nNOTA,nNIA,S394,nCUENTA,1,nASIG,"Orquesta/Banda/Conjunto"),"")))</f>
        <v/>
      </c>
      <c r="V394" t="str">
        <f>IF(S394="","",IF(S394="[FÓRMULA MANUAL]","",IFERROR(AVERAGEIFS(nNOTA,nNIA,S394,nCUENTA,1,nASIG,"Música de Cámara"),"")))</f>
        <v/>
      </c>
      <c r="W394" t="str">
        <f>IF(S394="","",IF(S394="[FÓRMULA MANUAL]","",IFERROR(SUMPRODUCT((nNIA=S394)*(nCUENTA=1)*(COUNTIF(CONFIG_ASIGNATURAS!$B$7:$B$27,nASIG)&gt;0)*(nNOTA))/SUMPRODUCT((nNIA=S394)*(nCUENTA=1)*(COUNTIF(CONFIG_ASIGNATURAS!$B$7:$B$27,nASIG)&gt;0)*1),"")))</f>
        <v/>
      </c>
      <c r="Z394" t="str">
        <f>IF(Y394="","",IF(Y394="[FÓRMULA MANUAL]","",IFERROR(AVERAGEIFS(nNOTA,nNIA,Y394,nCUENTA,1,nASIG,"Análisis"),"")))</f>
        <v/>
      </c>
      <c r="AA394" t="str">
        <f>IF(Y394="","",IF(Y394="[FÓRMULA MANUAL]","",IFERROR(AVERAGEIFS(nNOTA,nNIA,Y394,nCUENTA,1,nASIG,"Orquesta/Banda/Conjunto"),"")))</f>
        <v/>
      </c>
      <c r="AB394" t="str">
        <f>IF(Y394="","",IF(Y394="[FÓRMULA MANUAL]","",IFERROR(AVERAGEIFS(nNOTA,nNIA,Y394,nCUENTA,1,nASIG,"Música de Cámara"),"")))</f>
        <v/>
      </c>
      <c r="AC394" t="str">
        <f>IF(Y394="","",IF(Y394="[FÓRMULA MANUAL]","",IFERROR(SUMPRODUCT((nNIA=Y394)*(nCUENTA=1)*(COUNTIF(CONFIG_ASIGNATURAS!$B$7:$B$27,nASIG)&gt;0)*(nNOTA))/SUMPRODUCT((nNIA=Y394)*(nCUENTA=1)*(COUNTIF(CONFIG_ASIGNATURAS!$B$7:$B$27,nASIG)&gt;0)*1),"")))</f>
        <v/>
      </c>
      <c r="AF394" t="str">
        <f>IF(AE394="","",IF(AE394="[FÓRMULA MANUAL]","",IFERROR(AVERAGEIFS(nNOTA,nNIA,AE394,nCUENTA,1,nASIG,"Análisis"),"")))</f>
        <v/>
      </c>
      <c r="AG394" t="str">
        <f>IF(AE394="","",IF(AE394="[FÓRMULA MANUAL]","",IFERROR(AVERAGEIFS(nNOTA,nNIA,AE394,nCUENTA,1,nASIG,"Orquesta/Banda/Conjunto"),"")))</f>
        <v/>
      </c>
      <c r="AH394" t="str">
        <f>IF(AE394="","",IF(AE394="[FÓRMULA MANUAL]","",IFERROR(AVERAGEIFS(nNOTA,nNIA,AE394,nCUENTA,1,nASIG,"Música de Cámara"),"")))</f>
        <v/>
      </c>
      <c r="AI394" t="str">
        <f>IF(AE394="","",IF(AE394="[FÓRMULA MANUAL]","",IFERROR(SUMPRODUCT((nNIA=AE394)*(nCUENTA=1)*(COUNTIF(CONFIG_ASIGNATURAS!$B$7:$B$27,nASIG)&gt;0)*(nNOTA))/SUMPRODUCT((nNIA=AE394)*(nCUENTA=1)*(COUNTIF(CONFIG_ASIGNATURAS!$B$7:$B$27,nASIG)&gt;0)*1),"")))</f>
        <v/>
      </c>
    </row>
    <row r="395" spans="2:35" x14ac:dyDescent="0.2">
      <c r="B395" t="str">
        <f>IF(A395="","",IF(A395="[FÓRMULA MANUAL]","",IFERROR(AVERAGEIFS(nNOTA,nNIA,A395,nCUENTA,1,nASIG,"Lenguaje Musical"),"")))</f>
        <v/>
      </c>
      <c r="C395" t="str">
        <f>IF(A395="","",IF(A395="[FÓRMULA MANUAL]","",IFERROR(AVERAGEIFS(nNOTA,nNIA,A395,nCUENTA,1,nASIG,"Orquesta/Banda/Conjunto"),"")))</f>
        <v/>
      </c>
      <c r="D395" t="str">
        <f>IF(A395="","",IF(A395="[FÓRMULA MANUAL]","",IFERROR(AVERAGEIFS(nNOTA,nNIA,A395,nCUENTA,1,nASIG,"Conjunto"),"")))</f>
        <v/>
      </c>
      <c r="E395" t="str">
        <f>IF(A395="","",IF(A395="[FÓRMULA MANUAL]","",IFERROR(SUMPRODUCT((nNIA=A395)*(nCUENTA=1)*(COUNTIF(CONFIG_ASIGNATURAS!$B$7:$B$27,nASIG)&gt;0)*(nNOTA))/SUMPRODUCT((nNIA=A395)*(nCUENTA=1)*(COUNTIF(CONFIG_ASIGNATURAS!$B$7:$B$27,nASIG)&gt;0)*1),"")))</f>
        <v/>
      </c>
      <c r="H395" t="str">
        <f>IF(G395="","",IF(G395="[FÓRMULA MANUAL]","",IFERROR(AVERAGEIFS(nNOTA,nNIA,G395,nCUENTA,1,nASIG,"Lenguaje Musical"),"")))</f>
        <v/>
      </c>
      <c r="I395" t="str">
        <f>IF(G395="","",IF(G395="[FÓRMULA MANUAL]","",IFERROR(AVERAGEIFS(nNOTA,nNIA,G395,nCUENTA,1,nASIG,"Orquesta/Banda/Conjunto"),"")))</f>
        <v/>
      </c>
      <c r="J395" t="str">
        <f>IF(G395="","",IF(G395="[FÓRMULA MANUAL]","",IFERROR(AVERAGEIFS(nNOTA,nNIA,G395,nCUENTA,1,nASIG,"Conjunto"),"")))</f>
        <v/>
      </c>
      <c r="K395" t="str">
        <f>IF(G395="","",IF(G395="[FÓRMULA MANUAL]","",IFERROR(SUMPRODUCT((nNIA=G395)*(nCUENTA=1)*(COUNTIF(CONFIG_ASIGNATURAS!$B$7:$B$27,nASIG)&gt;0)*(nNOTA))/SUMPRODUCT((nNIA=G395)*(nCUENTA=1)*(COUNTIF(CONFIG_ASIGNATURAS!$B$7:$B$27,nASIG)&gt;0)*1),"")))</f>
        <v/>
      </c>
      <c r="N395" t="str">
        <f>IF(M395="","",IF(M395="[FÓRMULA MANUAL]","",IFERROR(AVERAGEIFS(nNOTA,nNIA,M395,nCUENTA,1,nASIG,"Armonía"),"")))</f>
        <v/>
      </c>
      <c r="O395" t="str">
        <f>IF(M395="","",IF(M395="[FÓRMULA MANUAL]","",IFERROR(AVERAGEIFS(nNOTA,nNIA,M395,nCUENTA,1,nASIG,"Orquesta/Banda/Conjunto"),"")))</f>
        <v/>
      </c>
      <c r="P395" t="str">
        <f>IF(M395="","",IF(M395="[FÓRMULA MANUAL]","",IFERROR(AVERAGEIFS(nNOTA,nNIA,M395,nCUENTA,1,nASIG,"Música de Cámara"),"")))</f>
        <v/>
      </c>
      <c r="Q395" t="str">
        <f>IF(M395="","",IF(M395="[FÓRMULA MANUAL]","",IFERROR(SUMPRODUCT((nNIA=M395)*(nCUENTA=1)*(COUNTIF(CONFIG_ASIGNATURAS!$B$7:$B$27,nASIG)&gt;0)*(nNOTA))/SUMPRODUCT((nNIA=M395)*(nCUENTA=1)*(COUNTIF(CONFIG_ASIGNATURAS!$B$7:$B$27,nASIG)&gt;0)*1),"")))</f>
        <v/>
      </c>
      <c r="T395" t="str">
        <f>IF(S395="","",IF(S395="[FÓRMULA MANUAL]","",IFERROR(AVERAGEIFS(nNOTA,nNIA,S395,nCUENTA,1,nASIG,"Armonía"),"")))</f>
        <v/>
      </c>
      <c r="U395" t="str">
        <f>IF(S395="","",IF(S395="[FÓRMULA MANUAL]","",IFERROR(AVERAGEIFS(nNOTA,nNIA,S395,nCUENTA,1,nASIG,"Orquesta/Banda/Conjunto"),"")))</f>
        <v/>
      </c>
      <c r="V395" t="str">
        <f>IF(S395="","",IF(S395="[FÓRMULA MANUAL]","",IFERROR(AVERAGEIFS(nNOTA,nNIA,S395,nCUENTA,1,nASIG,"Música de Cámara"),"")))</f>
        <v/>
      </c>
      <c r="W395" t="str">
        <f>IF(S395="","",IF(S395="[FÓRMULA MANUAL]","",IFERROR(SUMPRODUCT((nNIA=S395)*(nCUENTA=1)*(COUNTIF(CONFIG_ASIGNATURAS!$B$7:$B$27,nASIG)&gt;0)*(nNOTA))/SUMPRODUCT((nNIA=S395)*(nCUENTA=1)*(COUNTIF(CONFIG_ASIGNATURAS!$B$7:$B$27,nASIG)&gt;0)*1),"")))</f>
        <v/>
      </c>
      <c r="Z395" t="str">
        <f>IF(Y395="","",IF(Y395="[FÓRMULA MANUAL]","",IFERROR(AVERAGEIFS(nNOTA,nNIA,Y395,nCUENTA,1,nASIG,"Análisis"),"")))</f>
        <v/>
      </c>
      <c r="AA395" t="str">
        <f>IF(Y395="","",IF(Y395="[FÓRMULA MANUAL]","",IFERROR(AVERAGEIFS(nNOTA,nNIA,Y395,nCUENTA,1,nASIG,"Orquesta/Banda/Conjunto"),"")))</f>
        <v/>
      </c>
      <c r="AB395" t="str">
        <f>IF(Y395="","",IF(Y395="[FÓRMULA MANUAL]","",IFERROR(AVERAGEIFS(nNOTA,nNIA,Y395,nCUENTA,1,nASIG,"Música de Cámara"),"")))</f>
        <v/>
      </c>
      <c r="AC395" t="str">
        <f>IF(Y395="","",IF(Y395="[FÓRMULA MANUAL]","",IFERROR(SUMPRODUCT((nNIA=Y395)*(nCUENTA=1)*(COUNTIF(CONFIG_ASIGNATURAS!$B$7:$B$27,nASIG)&gt;0)*(nNOTA))/SUMPRODUCT((nNIA=Y395)*(nCUENTA=1)*(COUNTIF(CONFIG_ASIGNATURAS!$B$7:$B$27,nASIG)&gt;0)*1),"")))</f>
        <v/>
      </c>
      <c r="AF395" t="str">
        <f>IF(AE395="","",IF(AE395="[FÓRMULA MANUAL]","",IFERROR(AVERAGEIFS(nNOTA,nNIA,AE395,nCUENTA,1,nASIG,"Análisis"),"")))</f>
        <v/>
      </c>
      <c r="AG395" t="str">
        <f>IF(AE395="","",IF(AE395="[FÓRMULA MANUAL]","",IFERROR(AVERAGEIFS(nNOTA,nNIA,AE395,nCUENTA,1,nASIG,"Orquesta/Banda/Conjunto"),"")))</f>
        <v/>
      </c>
      <c r="AH395" t="str">
        <f>IF(AE395="","",IF(AE395="[FÓRMULA MANUAL]","",IFERROR(AVERAGEIFS(nNOTA,nNIA,AE395,nCUENTA,1,nASIG,"Música de Cámara"),"")))</f>
        <v/>
      </c>
      <c r="AI395" t="str">
        <f>IF(AE395="","",IF(AE395="[FÓRMULA MANUAL]","",IFERROR(SUMPRODUCT((nNIA=AE395)*(nCUENTA=1)*(COUNTIF(CONFIG_ASIGNATURAS!$B$7:$B$27,nASIG)&gt;0)*(nNOTA))/SUMPRODUCT((nNIA=AE395)*(nCUENTA=1)*(COUNTIF(CONFIG_ASIGNATURAS!$B$7:$B$27,nASIG)&gt;0)*1),"")))</f>
        <v/>
      </c>
    </row>
    <row r="396" spans="2:35" x14ac:dyDescent="0.2">
      <c r="B396" t="str">
        <f>IF(A396="","",IF(A396="[FÓRMULA MANUAL]","",IFERROR(AVERAGEIFS(nNOTA,nNIA,A396,nCUENTA,1,nASIG,"Lenguaje Musical"),"")))</f>
        <v/>
      </c>
      <c r="C396" t="str">
        <f>IF(A396="","",IF(A396="[FÓRMULA MANUAL]","",IFERROR(AVERAGEIFS(nNOTA,nNIA,A396,nCUENTA,1,nASIG,"Orquesta/Banda/Conjunto"),"")))</f>
        <v/>
      </c>
      <c r="D396" t="str">
        <f>IF(A396="","",IF(A396="[FÓRMULA MANUAL]","",IFERROR(AVERAGEIFS(nNOTA,nNIA,A396,nCUENTA,1,nASIG,"Conjunto"),"")))</f>
        <v/>
      </c>
      <c r="E396" t="str">
        <f>IF(A396="","",IF(A396="[FÓRMULA MANUAL]","",IFERROR(SUMPRODUCT((nNIA=A396)*(nCUENTA=1)*(COUNTIF(CONFIG_ASIGNATURAS!$B$7:$B$27,nASIG)&gt;0)*(nNOTA))/SUMPRODUCT((nNIA=A396)*(nCUENTA=1)*(COUNTIF(CONFIG_ASIGNATURAS!$B$7:$B$27,nASIG)&gt;0)*1),"")))</f>
        <v/>
      </c>
      <c r="H396" t="str">
        <f>IF(G396="","",IF(G396="[FÓRMULA MANUAL]","",IFERROR(AVERAGEIFS(nNOTA,nNIA,G396,nCUENTA,1,nASIG,"Lenguaje Musical"),"")))</f>
        <v/>
      </c>
      <c r="I396" t="str">
        <f>IF(G396="","",IF(G396="[FÓRMULA MANUAL]","",IFERROR(AVERAGEIFS(nNOTA,nNIA,G396,nCUENTA,1,nASIG,"Orquesta/Banda/Conjunto"),"")))</f>
        <v/>
      </c>
      <c r="J396" t="str">
        <f>IF(G396="","",IF(G396="[FÓRMULA MANUAL]","",IFERROR(AVERAGEIFS(nNOTA,nNIA,G396,nCUENTA,1,nASIG,"Conjunto"),"")))</f>
        <v/>
      </c>
      <c r="K396" t="str">
        <f>IF(G396="","",IF(G396="[FÓRMULA MANUAL]","",IFERROR(SUMPRODUCT((nNIA=G396)*(nCUENTA=1)*(COUNTIF(CONFIG_ASIGNATURAS!$B$7:$B$27,nASIG)&gt;0)*(nNOTA))/SUMPRODUCT((nNIA=G396)*(nCUENTA=1)*(COUNTIF(CONFIG_ASIGNATURAS!$B$7:$B$27,nASIG)&gt;0)*1),"")))</f>
        <v/>
      </c>
      <c r="N396" t="str">
        <f>IF(M396="","",IF(M396="[FÓRMULA MANUAL]","",IFERROR(AVERAGEIFS(nNOTA,nNIA,M396,nCUENTA,1,nASIG,"Armonía"),"")))</f>
        <v/>
      </c>
      <c r="O396" t="str">
        <f>IF(M396="","",IF(M396="[FÓRMULA MANUAL]","",IFERROR(AVERAGEIFS(nNOTA,nNIA,M396,nCUENTA,1,nASIG,"Orquesta/Banda/Conjunto"),"")))</f>
        <v/>
      </c>
      <c r="P396" t="str">
        <f>IF(M396="","",IF(M396="[FÓRMULA MANUAL]","",IFERROR(AVERAGEIFS(nNOTA,nNIA,M396,nCUENTA,1,nASIG,"Música de Cámara"),"")))</f>
        <v/>
      </c>
      <c r="Q396" t="str">
        <f>IF(M396="","",IF(M396="[FÓRMULA MANUAL]","",IFERROR(SUMPRODUCT((nNIA=M396)*(nCUENTA=1)*(COUNTIF(CONFIG_ASIGNATURAS!$B$7:$B$27,nASIG)&gt;0)*(nNOTA))/SUMPRODUCT((nNIA=M396)*(nCUENTA=1)*(COUNTIF(CONFIG_ASIGNATURAS!$B$7:$B$27,nASIG)&gt;0)*1),"")))</f>
        <v/>
      </c>
      <c r="T396" t="str">
        <f>IF(S396="","",IF(S396="[FÓRMULA MANUAL]","",IFERROR(AVERAGEIFS(nNOTA,nNIA,S396,nCUENTA,1,nASIG,"Armonía"),"")))</f>
        <v/>
      </c>
      <c r="U396" t="str">
        <f>IF(S396="","",IF(S396="[FÓRMULA MANUAL]","",IFERROR(AVERAGEIFS(nNOTA,nNIA,S396,nCUENTA,1,nASIG,"Orquesta/Banda/Conjunto"),"")))</f>
        <v/>
      </c>
      <c r="V396" t="str">
        <f>IF(S396="","",IF(S396="[FÓRMULA MANUAL]","",IFERROR(AVERAGEIFS(nNOTA,nNIA,S396,nCUENTA,1,nASIG,"Música de Cámara"),"")))</f>
        <v/>
      </c>
      <c r="W396" t="str">
        <f>IF(S396="","",IF(S396="[FÓRMULA MANUAL]","",IFERROR(SUMPRODUCT((nNIA=S396)*(nCUENTA=1)*(COUNTIF(CONFIG_ASIGNATURAS!$B$7:$B$27,nASIG)&gt;0)*(nNOTA))/SUMPRODUCT((nNIA=S396)*(nCUENTA=1)*(COUNTIF(CONFIG_ASIGNATURAS!$B$7:$B$27,nASIG)&gt;0)*1),"")))</f>
        <v/>
      </c>
      <c r="Z396" t="str">
        <f>IF(Y396="","",IF(Y396="[FÓRMULA MANUAL]","",IFERROR(AVERAGEIFS(nNOTA,nNIA,Y396,nCUENTA,1,nASIG,"Análisis"),"")))</f>
        <v/>
      </c>
      <c r="AA396" t="str">
        <f>IF(Y396="","",IF(Y396="[FÓRMULA MANUAL]","",IFERROR(AVERAGEIFS(nNOTA,nNIA,Y396,nCUENTA,1,nASIG,"Orquesta/Banda/Conjunto"),"")))</f>
        <v/>
      </c>
      <c r="AB396" t="str">
        <f>IF(Y396="","",IF(Y396="[FÓRMULA MANUAL]","",IFERROR(AVERAGEIFS(nNOTA,nNIA,Y396,nCUENTA,1,nASIG,"Música de Cámara"),"")))</f>
        <v/>
      </c>
      <c r="AC396" t="str">
        <f>IF(Y396="","",IF(Y396="[FÓRMULA MANUAL]","",IFERROR(SUMPRODUCT((nNIA=Y396)*(nCUENTA=1)*(COUNTIF(CONFIG_ASIGNATURAS!$B$7:$B$27,nASIG)&gt;0)*(nNOTA))/SUMPRODUCT((nNIA=Y396)*(nCUENTA=1)*(COUNTIF(CONFIG_ASIGNATURAS!$B$7:$B$27,nASIG)&gt;0)*1),"")))</f>
        <v/>
      </c>
      <c r="AF396" t="str">
        <f>IF(AE396="","",IF(AE396="[FÓRMULA MANUAL]","",IFERROR(AVERAGEIFS(nNOTA,nNIA,AE396,nCUENTA,1,nASIG,"Análisis"),"")))</f>
        <v/>
      </c>
      <c r="AG396" t="str">
        <f>IF(AE396="","",IF(AE396="[FÓRMULA MANUAL]","",IFERROR(AVERAGEIFS(nNOTA,nNIA,AE396,nCUENTA,1,nASIG,"Orquesta/Banda/Conjunto"),"")))</f>
        <v/>
      </c>
      <c r="AH396" t="str">
        <f>IF(AE396="","",IF(AE396="[FÓRMULA MANUAL]","",IFERROR(AVERAGEIFS(nNOTA,nNIA,AE396,nCUENTA,1,nASIG,"Música de Cámara"),"")))</f>
        <v/>
      </c>
      <c r="AI396" t="str">
        <f>IF(AE396="","",IF(AE396="[FÓRMULA MANUAL]","",IFERROR(SUMPRODUCT((nNIA=AE396)*(nCUENTA=1)*(COUNTIF(CONFIG_ASIGNATURAS!$B$7:$B$27,nASIG)&gt;0)*(nNOTA))/SUMPRODUCT((nNIA=AE396)*(nCUENTA=1)*(COUNTIF(CONFIG_ASIGNATURAS!$B$7:$B$27,nASIG)&gt;0)*1),"")))</f>
        <v/>
      </c>
    </row>
    <row r="397" spans="2:35" x14ac:dyDescent="0.2">
      <c r="B397" t="str">
        <f>IF(A397="","",IF(A397="[FÓRMULA MANUAL]","",IFERROR(AVERAGEIFS(nNOTA,nNIA,A397,nCUENTA,1,nASIG,"Lenguaje Musical"),"")))</f>
        <v/>
      </c>
      <c r="C397" t="str">
        <f>IF(A397="","",IF(A397="[FÓRMULA MANUAL]","",IFERROR(AVERAGEIFS(nNOTA,nNIA,A397,nCUENTA,1,nASIG,"Orquesta/Banda/Conjunto"),"")))</f>
        <v/>
      </c>
      <c r="D397" t="str">
        <f>IF(A397="","",IF(A397="[FÓRMULA MANUAL]","",IFERROR(AVERAGEIFS(nNOTA,nNIA,A397,nCUENTA,1,nASIG,"Conjunto"),"")))</f>
        <v/>
      </c>
      <c r="E397" t="str">
        <f>IF(A397="","",IF(A397="[FÓRMULA MANUAL]","",IFERROR(SUMPRODUCT((nNIA=A397)*(nCUENTA=1)*(COUNTIF(CONFIG_ASIGNATURAS!$B$7:$B$27,nASIG)&gt;0)*(nNOTA))/SUMPRODUCT((nNIA=A397)*(nCUENTA=1)*(COUNTIF(CONFIG_ASIGNATURAS!$B$7:$B$27,nASIG)&gt;0)*1),"")))</f>
        <v/>
      </c>
      <c r="H397" t="str">
        <f>IF(G397="","",IF(G397="[FÓRMULA MANUAL]","",IFERROR(AVERAGEIFS(nNOTA,nNIA,G397,nCUENTA,1,nASIG,"Lenguaje Musical"),"")))</f>
        <v/>
      </c>
      <c r="I397" t="str">
        <f>IF(G397="","",IF(G397="[FÓRMULA MANUAL]","",IFERROR(AVERAGEIFS(nNOTA,nNIA,G397,nCUENTA,1,nASIG,"Orquesta/Banda/Conjunto"),"")))</f>
        <v/>
      </c>
      <c r="J397" t="str">
        <f>IF(G397="","",IF(G397="[FÓRMULA MANUAL]","",IFERROR(AVERAGEIFS(nNOTA,nNIA,G397,nCUENTA,1,nASIG,"Conjunto"),"")))</f>
        <v/>
      </c>
      <c r="K397" t="str">
        <f>IF(G397="","",IF(G397="[FÓRMULA MANUAL]","",IFERROR(SUMPRODUCT((nNIA=G397)*(nCUENTA=1)*(COUNTIF(CONFIG_ASIGNATURAS!$B$7:$B$27,nASIG)&gt;0)*(nNOTA))/SUMPRODUCT((nNIA=G397)*(nCUENTA=1)*(COUNTIF(CONFIG_ASIGNATURAS!$B$7:$B$27,nASIG)&gt;0)*1),"")))</f>
        <v/>
      </c>
      <c r="N397" t="str">
        <f>IF(M397="","",IF(M397="[FÓRMULA MANUAL]","",IFERROR(AVERAGEIFS(nNOTA,nNIA,M397,nCUENTA,1,nASIG,"Armonía"),"")))</f>
        <v/>
      </c>
      <c r="O397" t="str">
        <f>IF(M397="","",IF(M397="[FÓRMULA MANUAL]","",IFERROR(AVERAGEIFS(nNOTA,nNIA,M397,nCUENTA,1,nASIG,"Orquesta/Banda/Conjunto"),"")))</f>
        <v/>
      </c>
      <c r="P397" t="str">
        <f>IF(M397="","",IF(M397="[FÓRMULA MANUAL]","",IFERROR(AVERAGEIFS(nNOTA,nNIA,M397,nCUENTA,1,nASIG,"Música de Cámara"),"")))</f>
        <v/>
      </c>
      <c r="Q397" t="str">
        <f>IF(M397="","",IF(M397="[FÓRMULA MANUAL]","",IFERROR(SUMPRODUCT((nNIA=M397)*(nCUENTA=1)*(COUNTIF(CONFIG_ASIGNATURAS!$B$7:$B$27,nASIG)&gt;0)*(nNOTA))/SUMPRODUCT((nNIA=M397)*(nCUENTA=1)*(COUNTIF(CONFIG_ASIGNATURAS!$B$7:$B$27,nASIG)&gt;0)*1),"")))</f>
        <v/>
      </c>
      <c r="T397" t="str">
        <f>IF(S397="","",IF(S397="[FÓRMULA MANUAL]","",IFERROR(AVERAGEIFS(nNOTA,nNIA,S397,nCUENTA,1,nASIG,"Armonía"),"")))</f>
        <v/>
      </c>
      <c r="U397" t="str">
        <f>IF(S397="","",IF(S397="[FÓRMULA MANUAL]","",IFERROR(AVERAGEIFS(nNOTA,nNIA,S397,nCUENTA,1,nASIG,"Orquesta/Banda/Conjunto"),"")))</f>
        <v/>
      </c>
      <c r="V397" t="str">
        <f>IF(S397="","",IF(S397="[FÓRMULA MANUAL]","",IFERROR(AVERAGEIFS(nNOTA,nNIA,S397,nCUENTA,1,nASIG,"Música de Cámara"),"")))</f>
        <v/>
      </c>
      <c r="W397" t="str">
        <f>IF(S397="","",IF(S397="[FÓRMULA MANUAL]","",IFERROR(SUMPRODUCT((nNIA=S397)*(nCUENTA=1)*(COUNTIF(CONFIG_ASIGNATURAS!$B$7:$B$27,nASIG)&gt;0)*(nNOTA))/SUMPRODUCT((nNIA=S397)*(nCUENTA=1)*(COUNTIF(CONFIG_ASIGNATURAS!$B$7:$B$27,nASIG)&gt;0)*1),"")))</f>
        <v/>
      </c>
      <c r="Z397" t="str">
        <f>IF(Y397="","",IF(Y397="[FÓRMULA MANUAL]","",IFERROR(AVERAGEIFS(nNOTA,nNIA,Y397,nCUENTA,1,nASIG,"Análisis"),"")))</f>
        <v/>
      </c>
      <c r="AA397" t="str">
        <f>IF(Y397="","",IF(Y397="[FÓRMULA MANUAL]","",IFERROR(AVERAGEIFS(nNOTA,nNIA,Y397,nCUENTA,1,nASIG,"Orquesta/Banda/Conjunto"),"")))</f>
        <v/>
      </c>
      <c r="AB397" t="str">
        <f>IF(Y397="","",IF(Y397="[FÓRMULA MANUAL]","",IFERROR(AVERAGEIFS(nNOTA,nNIA,Y397,nCUENTA,1,nASIG,"Música de Cámara"),"")))</f>
        <v/>
      </c>
      <c r="AC397" t="str">
        <f>IF(Y397="","",IF(Y397="[FÓRMULA MANUAL]","",IFERROR(SUMPRODUCT((nNIA=Y397)*(nCUENTA=1)*(COUNTIF(CONFIG_ASIGNATURAS!$B$7:$B$27,nASIG)&gt;0)*(nNOTA))/SUMPRODUCT((nNIA=Y397)*(nCUENTA=1)*(COUNTIF(CONFIG_ASIGNATURAS!$B$7:$B$27,nASIG)&gt;0)*1),"")))</f>
        <v/>
      </c>
      <c r="AF397" t="str">
        <f>IF(AE397="","",IF(AE397="[FÓRMULA MANUAL]","",IFERROR(AVERAGEIFS(nNOTA,nNIA,AE397,nCUENTA,1,nASIG,"Análisis"),"")))</f>
        <v/>
      </c>
      <c r="AG397" t="str">
        <f>IF(AE397="","",IF(AE397="[FÓRMULA MANUAL]","",IFERROR(AVERAGEIFS(nNOTA,nNIA,AE397,nCUENTA,1,nASIG,"Orquesta/Banda/Conjunto"),"")))</f>
        <v/>
      </c>
      <c r="AH397" t="str">
        <f>IF(AE397="","",IF(AE397="[FÓRMULA MANUAL]","",IFERROR(AVERAGEIFS(nNOTA,nNIA,AE397,nCUENTA,1,nASIG,"Música de Cámara"),"")))</f>
        <v/>
      </c>
      <c r="AI397" t="str">
        <f>IF(AE397="","",IF(AE397="[FÓRMULA MANUAL]","",IFERROR(SUMPRODUCT((nNIA=AE397)*(nCUENTA=1)*(COUNTIF(CONFIG_ASIGNATURAS!$B$7:$B$27,nASIG)&gt;0)*(nNOTA))/SUMPRODUCT((nNIA=AE397)*(nCUENTA=1)*(COUNTIF(CONFIG_ASIGNATURAS!$B$7:$B$27,nASIG)&gt;0)*1),"")))</f>
        <v/>
      </c>
    </row>
    <row r="398" spans="2:35" x14ac:dyDescent="0.2">
      <c r="B398" t="str">
        <f>IF(A398="","",IF(A398="[FÓRMULA MANUAL]","",IFERROR(AVERAGEIFS(nNOTA,nNIA,A398,nCUENTA,1,nASIG,"Lenguaje Musical"),"")))</f>
        <v/>
      </c>
      <c r="C398" t="str">
        <f>IF(A398="","",IF(A398="[FÓRMULA MANUAL]","",IFERROR(AVERAGEIFS(nNOTA,nNIA,A398,nCUENTA,1,nASIG,"Orquesta/Banda/Conjunto"),"")))</f>
        <v/>
      </c>
      <c r="D398" t="str">
        <f>IF(A398="","",IF(A398="[FÓRMULA MANUAL]","",IFERROR(AVERAGEIFS(nNOTA,nNIA,A398,nCUENTA,1,nASIG,"Conjunto"),"")))</f>
        <v/>
      </c>
      <c r="E398" t="str">
        <f>IF(A398="","",IF(A398="[FÓRMULA MANUAL]","",IFERROR(SUMPRODUCT((nNIA=A398)*(nCUENTA=1)*(COUNTIF(CONFIG_ASIGNATURAS!$B$7:$B$27,nASIG)&gt;0)*(nNOTA))/SUMPRODUCT((nNIA=A398)*(nCUENTA=1)*(COUNTIF(CONFIG_ASIGNATURAS!$B$7:$B$27,nASIG)&gt;0)*1),"")))</f>
        <v/>
      </c>
      <c r="H398" t="str">
        <f>IF(G398="","",IF(G398="[FÓRMULA MANUAL]","",IFERROR(AVERAGEIFS(nNOTA,nNIA,G398,nCUENTA,1,nASIG,"Lenguaje Musical"),"")))</f>
        <v/>
      </c>
      <c r="I398" t="str">
        <f>IF(G398="","",IF(G398="[FÓRMULA MANUAL]","",IFERROR(AVERAGEIFS(nNOTA,nNIA,G398,nCUENTA,1,nASIG,"Orquesta/Banda/Conjunto"),"")))</f>
        <v/>
      </c>
      <c r="J398" t="str">
        <f>IF(G398="","",IF(G398="[FÓRMULA MANUAL]","",IFERROR(AVERAGEIFS(nNOTA,nNIA,G398,nCUENTA,1,nASIG,"Conjunto"),"")))</f>
        <v/>
      </c>
      <c r="K398" t="str">
        <f>IF(G398="","",IF(G398="[FÓRMULA MANUAL]","",IFERROR(SUMPRODUCT((nNIA=G398)*(nCUENTA=1)*(COUNTIF(CONFIG_ASIGNATURAS!$B$7:$B$27,nASIG)&gt;0)*(nNOTA))/SUMPRODUCT((nNIA=G398)*(nCUENTA=1)*(COUNTIF(CONFIG_ASIGNATURAS!$B$7:$B$27,nASIG)&gt;0)*1),"")))</f>
        <v/>
      </c>
      <c r="N398" t="str">
        <f>IF(M398="","",IF(M398="[FÓRMULA MANUAL]","",IFERROR(AVERAGEIFS(nNOTA,nNIA,M398,nCUENTA,1,nASIG,"Armonía"),"")))</f>
        <v/>
      </c>
      <c r="O398" t="str">
        <f>IF(M398="","",IF(M398="[FÓRMULA MANUAL]","",IFERROR(AVERAGEIFS(nNOTA,nNIA,M398,nCUENTA,1,nASIG,"Orquesta/Banda/Conjunto"),"")))</f>
        <v/>
      </c>
      <c r="P398" t="str">
        <f>IF(M398="","",IF(M398="[FÓRMULA MANUAL]","",IFERROR(AVERAGEIFS(nNOTA,nNIA,M398,nCUENTA,1,nASIG,"Música de Cámara"),"")))</f>
        <v/>
      </c>
      <c r="Q398" t="str">
        <f>IF(M398="","",IF(M398="[FÓRMULA MANUAL]","",IFERROR(SUMPRODUCT((nNIA=M398)*(nCUENTA=1)*(COUNTIF(CONFIG_ASIGNATURAS!$B$7:$B$27,nASIG)&gt;0)*(nNOTA))/SUMPRODUCT((nNIA=M398)*(nCUENTA=1)*(COUNTIF(CONFIG_ASIGNATURAS!$B$7:$B$27,nASIG)&gt;0)*1),"")))</f>
        <v/>
      </c>
      <c r="T398" t="str">
        <f>IF(S398="","",IF(S398="[FÓRMULA MANUAL]","",IFERROR(AVERAGEIFS(nNOTA,nNIA,S398,nCUENTA,1,nASIG,"Armonía"),"")))</f>
        <v/>
      </c>
      <c r="U398" t="str">
        <f>IF(S398="","",IF(S398="[FÓRMULA MANUAL]","",IFERROR(AVERAGEIFS(nNOTA,nNIA,S398,nCUENTA,1,nASIG,"Orquesta/Banda/Conjunto"),"")))</f>
        <v/>
      </c>
      <c r="V398" t="str">
        <f>IF(S398="","",IF(S398="[FÓRMULA MANUAL]","",IFERROR(AVERAGEIFS(nNOTA,nNIA,S398,nCUENTA,1,nASIG,"Música de Cámara"),"")))</f>
        <v/>
      </c>
      <c r="W398" t="str">
        <f>IF(S398="","",IF(S398="[FÓRMULA MANUAL]","",IFERROR(SUMPRODUCT((nNIA=S398)*(nCUENTA=1)*(COUNTIF(CONFIG_ASIGNATURAS!$B$7:$B$27,nASIG)&gt;0)*(nNOTA))/SUMPRODUCT((nNIA=S398)*(nCUENTA=1)*(COUNTIF(CONFIG_ASIGNATURAS!$B$7:$B$27,nASIG)&gt;0)*1),"")))</f>
        <v/>
      </c>
      <c r="Z398" t="str">
        <f>IF(Y398="","",IF(Y398="[FÓRMULA MANUAL]","",IFERROR(AVERAGEIFS(nNOTA,nNIA,Y398,nCUENTA,1,nASIG,"Análisis"),"")))</f>
        <v/>
      </c>
      <c r="AA398" t="str">
        <f>IF(Y398="","",IF(Y398="[FÓRMULA MANUAL]","",IFERROR(AVERAGEIFS(nNOTA,nNIA,Y398,nCUENTA,1,nASIG,"Orquesta/Banda/Conjunto"),"")))</f>
        <v/>
      </c>
      <c r="AB398" t="str">
        <f>IF(Y398="","",IF(Y398="[FÓRMULA MANUAL]","",IFERROR(AVERAGEIFS(nNOTA,nNIA,Y398,nCUENTA,1,nASIG,"Música de Cámara"),"")))</f>
        <v/>
      </c>
      <c r="AC398" t="str">
        <f>IF(Y398="","",IF(Y398="[FÓRMULA MANUAL]","",IFERROR(SUMPRODUCT((nNIA=Y398)*(nCUENTA=1)*(COUNTIF(CONFIG_ASIGNATURAS!$B$7:$B$27,nASIG)&gt;0)*(nNOTA))/SUMPRODUCT((nNIA=Y398)*(nCUENTA=1)*(COUNTIF(CONFIG_ASIGNATURAS!$B$7:$B$27,nASIG)&gt;0)*1),"")))</f>
        <v/>
      </c>
      <c r="AF398" t="str">
        <f>IF(AE398="","",IF(AE398="[FÓRMULA MANUAL]","",IFERROR(AVERAGEIFS(nNOTA,nNIA,AE398,nCUENTA,1,nASIG,"Análisis"),"")))</f>
        <v/>
      </c>
      <c r="AG398" t="str">
        <f>IF(AE398="","",IF(AE398="[FÓRMULA MANUAL]","",IFERROR(AVERAGEIFS(nNOTA,nNIA,AE398,nCUENTA,1,nASIG,"Orquesta/Banda/Conjunto"),"")))</f>
        <v/>
      </c>
      <c r="AH398" t="str">
        <f>IF(AE398="","",IF(AE398="[FÓRMULA MANUAL]","",IFERROR(AVERAGEIFS(nNOTA,nNIA,AE398,nCUENTA,1,nASIG,"Música de Cámara"),"")))</f>
        <v/>
      </c>
      <c r="AI398" t="str">
        <f>IF(AE398="","",IF(AE398="[FÓRMULA MANUAL]","",IFERROR(SUMPRODUCT((nNIA=AE398)*(nCUENTA=1)*(COUNTIF(CONFIG_ASIGNATURAS!$B$7:$B$27,nASIG)&gt;0)*(nNOTA))/SUMPRODUCT((nNIA=AE398)*(nCUENTA=1)*(COUNTIF(CONFIG_ASIGNATURAS!$B$7:$B$27,nASIG)&gt;0)*1),"")))</f>
        <v/>
      </c>
    </row>
    <row r="399" spans="2:35" x14ac:dyDescent="0.2">
      <c r="B399" t="str">
        <f>IF(A399="","",IF(A399="[FÓRMULA MANUAL]","",IFERROR(AVERAGEIFS(nNOTA,nNIA,A399,nCUENTA,1,nASIG,"Lenguaje Musical"),"")))</f>
        <v/>
      </c>
      <c r="C399" t="str">
        <f>IF(A399="","",IF(A399="[FÓRMULA MANUAL]","",IFERROR(AVERAGEIFS(nNOTA,nNIA,A399,nCUENTA,1,nASIG,"Orquesta/Banda/Conjunto"),"")))</f>
        <v/>
      </c>
      <c r="D399" t="str">
        <f>IF(A399="","",IF(A399="[FÓRMULA MANUAL]","",IFERROR(AVERAGEIFS(nNOTA,nNIA,A399,nCUENTA,1,nASIG,"Conjunto"),"")))</f>
        <v/>
      </c>
      <c r="E399" t="str">
        <f>IF(A399="","",IF(A399="[FÓRMULA MANUAL]","",IFERROR(SUMPRODUCT((nNIA=A399)*(nCUENTA=1)*(COUNTIF(CONFIG_ASIGNATURAS!$B$7:$B$27,nASIG)&gt;0)*(nNOTA))/SUMPRODUCT((nNIA=A399)*(nCUENTA=1)*(COUNTIF(CONFIG_ASIGNATURAS!$B$7:$B$27,nASIG)&gt;0)*1),"")))</f>
        <v/>
      </c>
      <c r="H399" t="str">
        <f>IF(G399="","",IF(G399="[FÓRMULA MANUAL]","",IFERROR(AVERAGEIFS(nNOTA,nNIA,G399,nCUENTA,1,nASIG,"Lenguaje Musical"),"")))</f>
        <v/>
      </c>
      <c r="I399" t="str">
        <f>IF(G399="","",IF(G399="[FÓRMULA MANUAL]","",IFERROR(AVERAGEIFS(nNOTA,nNIA,G399,nCUENTA,1,nASIG,"Orquesta/Banda/Conjunto"),"")))</f>
        <v/>
      </c>
      <c r="J399" t="str">
        <f>IF(G399="","",IF(G399="[FÓRMULA MANUAL]","",IFERROR(AVERAGEIFS(nNOTA,nNIA,G399,nCUENTA,1,nASIG,"Conjunto"),"")))</f>
        <v/>
      </c>
      <c r="K399" t="str">
        <f>IF(G399="","",IF(G399="[FÓRMULA MANUAL]","",IFERROR(SUMPRODUCT((nNIA=G399)*(nCUENTA=1)*(COUNTIF(CONFIG_ASIGNATURAS!$B$7:$B$27,nASIG)&gt;0)*(nNOTA))/SUMPRODUCT((nNIA=G399)*(nCUENTA=1)*(COUNTIF(CONFIG_ASIGNATURAS!$B$7:$B$27,nASIG)&gt;0)*1),"")))</f>
        <v/>
      </c>
      <c r="N399" t="str">
        <f>IF(M399="","",IF(M399="[FÓRMULA MANUAL]","",IFERROR(AVERAGEIFS(nNOTA,nNIA,M399,nCUENTA,1,nASIG,"Armonía"),"")))</f>
        <v/>
      </c>
      <c r="O399" t="str">
        <f>IF(M399="","",IF(M399="[FÓRMULA MANUAL]","",IFERROR(AVERAGEIFS(nNOTA,nNIA,M399,nCUENTA,1,nASIG,"Orquesta/Banda/Conjunto"),"")))</f>
        <v/>
      </c>
      <c r="P399" t="str">
        <f>IF(M399="","",IF(M399="[FÓRMULA MANUAL]","",IFERROR(AVERAGEIFS(nNOTA,nNIA,M399,nCUENTA,1,nASIG,"Música de Cámara"),"")))</f>
        <v/>
      </c>
      <c r="Q399" t="str">
        <f>IF(M399="","",IF(M399="[FÓRMULA MANUAL]","",IFERROR(SUMPRODUCT((nNIA=M399)*(nCUENTA=1)*(COUNTIF(CONFIG_ASIGNATURAS!$B$7:$B$27,nASIG)&gt;0)*(nNOTA))/SUMPRODUCT((nNIA=M399)*(nCUENTA=1)*(COUNTIF(CONFIG_ASIGNATURAS!$B$7:$B$27,nASIG)&gt;0)*1),"")))</f>
        <v/>
      </c>
      <c r="T399" t="str">
        <f>IF(S399="","",IF(S399="[FÓRMULA MANUAL]","",IFERROR(AVERAGEIFS(nNOTA,nNIA,S399,nCUENTA,1,nASIG,"Armonía"),"")))</f>
        <v/>
      </c>
      <c r="U399" t="str">
        <f>IF(S399="","",IF(S399="[FÓRMULA MANUAL]","",IFERROR(AVERAGEIFS(nNOTA,nNIA,S399,nCUENTA,1,nASIG,"Orquesta/Banda/Conjunto"),"")))</f>
        <v/>
      </c>
      <c r="V399" t="str">
        <f>IF(S399="","",IF(S399="[FÓRMULA MANUAL]","",IFERROR(AVERAGEIFS(nNOTA,nNIA,S399,nCUENTA,1,nASIG,"Música de Cámara"),"")))</f>
        <v/>
      </c>
      <c r="W399" t="str">
        <f>IF(S399="","",IF(S399="[FÓRMULA MANUAL]","",IFERROR(SUMPRODUCT((nNIA=S399)*(nCUENTA=1)*(COUNTIF(CONFIG_ASIGNATURAS!$B$7:$B$27,nASIG)&gt;0)*(nNOTA))/SUMPRODUCT((nNIA=S399)*(nCUENTA=1)*(COUNTIF(CONFIG_ASIGNATURAS!$B$7:$B$27,nASIG)&gt;0)*1),"")))</f>
        <v/>
      </c>
      <c r="Z399" t="str">
        <f>IF(Y399="","",IF(Y399="[FÓRMULA MANUAL]","",IFERROR(AVERAGEIFS(nNOTA,nNIA,Y399,nCUENTA,1,nASIG,"Análisis"),"")))</f>
        <v/>
      </c>
      <c r="AA399" t="str">
        <f>IF(Y399="","",IF(Y399="[FÓRMULA MANUAL]","",IFERROR(AVERAGEIFS(nNOTA,nNIA,Y399,nCUENTA,1,nASIG,"Orquesta/Banda/Conjunto"),"")))</f>
        <v/>
      </c>
      <c r="AB399" t="str">
        <f>IF(Y399="","",IF(Y399="[FÓRMULA MANUAL]","",IFERROR(AVERAGEIFS(nNOTA,nNIA,Y399,nCUENTA,1,nASIG,"Música de Cámara"),"")))</f>
        <v/>
      </c>
      <c r="AC399" t="str">
        <f>IF(Y399="","",IF(Y399="[FÓRMULA MANUAL]","",IFERROR(SUMPRODUCT((nNIA=Y399)*(nCUENTA=1)*(COUNTIF(CONFIG_ASIGNATURAS!$B$7:$B$27,nASIG)&gt;0)*(nNOTA))/SUMPRODUCT((nNIA=Y399)*(nCUENTA=1)*(COUNTIF(CONFIG_ASIGNATURAS!$B$7:$B$27,nASIG)&gt;0)*1),"")))</f>
        <v/>
      </c>
      <c r="AF399" t="str">
        <f>IF(AE399="","",IF(AE399="[FÓRMULA MANUAL]","",IFERROR(AVERAGEIFS(nNOTA,nNIA,AE399,nCUENTA,1,nASIG,"Análisis"),"")))</f>
        <v/>
      </c>
      <c r="AG399" t="str">
        <f>IF(AE399="","",IF(AE399="[FÓRMULA MANUAL]","",IFERROR(AVERAGEIFS(nNOTA,nNIA,AE399,nCUENTA,1,nASIG,"Orquesta/Banda/Conjunto"),"")))</f>
        <v/>
      </c>
      <c r="AH399" t="str">
        <f>IF(AE399="","",IF(AE399="[FÓRMULA MANUAL]","",IFERROR(AVERAGEIFS(nNOTA,nNIA,AE399,nCUENTA,1,nASIG,"Música de Cámara"),"")))</f>
        <v/>
      </c>
      <c r="AI399" t="str">
        <f>IF(AE399="","",IF(AE399="[FÓRMULA MANUAL]","",IFERROR(SUMPRODUCT((nNIA=AE399)*(nCUENTA=1)*(COUNTIF(CONFIG_ASIGNATURAS!$B$7:$B$27,nASIG)&gt;0)*(nNOTA))/SUMPRODUCT((nNIA=AE399)*(nCUENTA=1)*(COUNTIF(CONFIG_ASIGNATURAS!$B$7:$B$27,nASIG)&gt;0)*1),"")))</f>
        <v/>
      </c>
    </row>
    <row r="400" spans="2:35" x14ac:dyDescent="0.2">
      <c r="B400" t="str">
        <f>IF(A400="","",IF(A400="[FÓRMULA MANUAL]","",IFERROR(AVERAGEIFS(nNOTA,nNIA,A400,nCUENTA,1,nASIG,"Lenguaje Musical"),"")))</f>
        <v/>
      </c>
      <c r="C400" t="str">
        <f>IF(A400="","",IF(A400="[FÓRMULA MANUAL]","",IFERROR(AVERAGEIFS(nNOTA,nNIA,A400,nCUENTA,1,nASIG,"Orquesta/Banda/Conjunto"),"")))</f>
        <v/>
      </c>
      <c r="D400" t="str">
        <f>IF(A400="","",IF(A400="[FÓRMULA MANUAL]","",IFERROR(AVERAGEIFS(nNOTA,nNIA,A400,nCUENTA,1,nASIG,"Conjunto"),"")))</f>
        <v/>
      </c>
      <c r="E400" t="str">
        <f>IF(A400="","",IF(A400="[FÓRMULA MANUAL]","",IFERROR(SUMPRODUCT((nNIA=A400)*(nCUENTA=1)*(COUNTIF(CONFIG_ASIGNATURAS!$B$7:$B$27,nASIG)&gt;0)*(nNOTA))/SUMPRODUCT((nNIA=A400)*(nCUENTA=1)*(COUNTIF(CONFIG_ASIGNATURAS!$B$7:$B$27,nASIG)&gt;0)*1),"")))</f>
        <v/>
      </c>
      <c r="H400" t="str">
        <f>IF(G400="","",IF(G400="[FÓRMULA MANUAL]","",IFERROR(AVERAGEIFS(nNOTA,nNIA,G400,nCUENTA,1,nASIG,"Lenguaje Musical"),"")))</f>
        <v/>
      </c>
      <c r="I400" t="str">
        <f>IF(G400="","",IF(G400="[FÓRMULA MANUAL]","",IFERROR(AVERAGEIFS(nNOTA,nNIA,G400,nCUENTA,1,nASIG,"Orquesta/Banda/Conjunto"),"")))</f>
        <v/>
      </c>
      <c r="J400" t="str">
        <f>IF(G400="","",IF(G400="[FÓRMULA MANUAL]","",IFERROR(AVERAGEIFS(nNOTA,nNIA,G400,nCUENTA,1,nASIG,"Conjunto"),"")))</f>
        <v/>
      </c>
      <c r="K400" t="str">
        <f>IF(G400="","",IF(G400="[FÓRMULA MANUAL]","",IFERROR(SUMPRODUCT((nNIA=G400)*(nCUENTA=1)*(COUNTIF(CONFIG_ASIGNATURAS!$B$7:$B$27,nASIG)&gt;0)*(nNOTA))/SUMPRODUCT((nNIA=G400)*(nCUENTA=1)*(COUNTIF(CONFIG_ASIGNATURAS!$B$7:$B$27,nASIG)&gt;0)*1),"")))</f>
        <v/>
      </c>
      <c r="N400" t="str">
        <f>IF(M400="","",IF(M400="[FÓRMULA MANUAL]","",IFERROR(AVERAGEIFS(nNOTA,nNIA,M400,nCUENTA,1,nASIG,"Armonía"),"")))</f>
        <v/>
      </c>
      <c r="O400" t="str">
        <f>IF(M400="","",IF(M400="[FÓRMULA MANUAL]","",IFERROR(AVERAGEIFS(nNOTA,nNIA,M400,nCUENTA,1,nASIG,"Orquesta/Banda/Conjunto"),"")))</f>
        <v/>
      </c>
      <c r="P400" t="str">
        <f>IF(M400="","",IF(M400="[FÓRMULA MANUAL]","",IFERROR(AVERAGEIFS(nNOTA,nNIA,M400,nCUENTA,1,nASIG,"Música de Cámara"),"")))</f>
        <v/>
      </c>
      <c r="Q400" t="str">
        <f>IF(M400="","",IF(M400="[FÓRMULA MANUAL]","",IFERROR(SUMPRODUCT((nNIA=M400)*(nCUENTA=1)*(COUNTIF(CONFIG_ASIGNATURAS!$B$7:$B$27,nASIG)&gt;0)*(nNOTA))/SUMPRODUCT((nNIA=M400)*(nCUENTA=1)*(COUNTIF(CONFIG_ASIGNATURAS!$B$7:$B$27,nASIG)&gt;0)*1),"")))</f>
        <v/>
      </c>
      <c r="T400" t="str">
        <f>IF(S400="","",IF(S400="[FÓRMULA MANUAL]","",IFERROR(AVERAGEIFS(nNOTA,nNIA,S400,nCUENTA,1,nASIG,"Armonía"),"")))</f>
        <v/>
      </c>
      <c r="U400" t="str">
        <f>IF(S400="","",IF(S400="[FÓRMULA MANUAL]","",IFERROR(AVERAGEIFS(nNOTA,nNIA,S400,nCUENTA,1,nASIG,"Orquesta/Banda/Conjunto"),"")))</f>
        <v/>
      </c>
      <c r="V400" t="str">
        <f>IF(S400="","",IF(S400="[FÓRMULA MANUAL]","",IFERROR(AVERAGEIFS(nNOTA,nNIA,S400,nCUENTA,1,nASIG,"Música de Cámara"),"")))</f>
        <v/>
      </c>
      <c r="W400" t="str">
        <f>IF(S400="","",IF(S400="[FÓRMULA MANUAL]","",IFERROR(SUMPRODUCT((nNIA=S400)*(nCUENTA=1)*(COUNTIF(CONFIG_ASIGNATURAS!$B$7:$B$27,nASIG)&gt;0)*(nNOTA))/SUMPRODUCT((nNIA=S400)*(nCUENTA=1)*(COUNTIF(CONFIG_ASIGNATURAS!$B$7:$B$27,nASIG)&gt;0)*1),"")))</f>
        <v/>
      </c>
      <c r="Z400" t="str">
        <f>IF(Y400="","",IF(Y400="[FÓRMULA MANUAL]","",IFERROR(AVERAGEIFS(nNOTA,nNIA,Y400,nCUENTA,1,nASIG,"Análisis"),"")))</f>
        <v/>
      </c>
      <c r="AA400" t="str">
        <f>IF(Y400="","",IF(Y400="[FÓRMULA MANUAL]","",IFERROR(AVERAGEIFS(nNOTA,nNIA,Y400,nCUENTA,1,nASIG,"Orquesta/Banda/Conjunto"),"")))</f>
        <v/>
      </c>
      <c r="AB400" t="str">
        <f>IF(Y400="","",IF(Y400="[FÓRMULA MANUAL]","",IFERROR(AVERAGEIFS(nNOTA,nNIA,Y400,nCUENTA,1,nASIG,"Música de Cámara"),"")))</f>
        <v/>
      </c>
      <c r="AC400" t="str">
        <f>IF(Y400="","",IF(Y400="[FÓRMULA MANUAL]","",IFERROR(SUMPRODUCT((nNIA=Y400)*(nCUENTA=1)*(COUNTIF(CONFIG_ASIGNATURAS!$B$7:$B$27,nASIG)&gt;0)*(nNOTA))/SUMPRODUCT((nNIA=Y400)*(nCUENTA=1)*(COUNTIF(CONFIG_ASIGNATURAS!$B$7:$B$27,nASIG)&gt;0)*1),"")))</f>
        <v/>
      </c>
      <c r="AF400" t="str">
        <f>IF(AE400="","",IF(AE400="[FÓRMULA MANUAL]","",IFERROR(AVERAGEIFS(nNOTA,nNIA,AE400,nCUENTA,1,nASIG,"Análisis"),"")))</f>
        <v/>
      </c>
      <c r="AG400" t="str">
        <f>IF(AE400="","",IF(AE400="[FÓRMULA MANUAL]","",IFERROR(AVERAGEIFS(nNOTA,nNIA,AE400,nCUENTA,1,nASIG,"Orquesta/Banda/Conjunto"),"")))</f>
        <v/>
      </c>
      <c r="AH400" t="str">
        <f>IF(AE400="","",IF(AE400="[FÓRMULA MANUAL]","",IFERROR(AVERAGEIFS(nNOTA,nNIA,AE400,nCUENTA,1,nASIG,"Música de Cámara"),"")))</f>
        <v/>
      </c>
      <c r="AI400" t="str">
        <f>IF(AE400="","",IF(AE400="[FÓRMULA MANUAL]","",IFERROR(SUMPRODUCT((nNIA=AE400)*(nCUENTA=1)*(COUNTIF(CONFIG_ASIGNATURAS!$B$7:$B$27,nASIG)&gt;0)*(nNOTA))/SUMPRODUCT((nNIA=AE400)*(nCUENTA=1)*(COUNTIF(CONFIG_ASIGNATURAS!$B$7:$B$27,nASIG)&gt;0)*1),"")))</f>
        <v/>
      </c>
    </row>
    <row r="401" spans="2:35" x14ac:dyDescent="0.2">
      <c r="B401" t="str">
        <f>IF(A401="","",IF(A401="[FÓRMULA MANUAL]","",IFERROR(AVERAGEIFS(nNOTA,nNIA,A401,nCUENTA,1,nASIG,"Lenguaje Musical"),"")))</f>
        <v/>
      </c>
      <c r="C401" t="str">
        <f>IF(A401="","",IF(A401="[FÓRMULA MANUAL]","",IFERROR(AVERAGEIFS(nNOTA,nNIA,A401,nCUENTA,1,nASIG,"Orquesta/Banda/Conjunto"),"")))</f>
        <v/>
      </c>
      <c r="D401" t="str">
        <f>IF(A401="","",IF(A401="[FÓRMULA MANUAL]","",IFERROR(AVERAGEIFS(nNOTA,nNIA,A401,nCUENTA,1,nASIG,"Conjunto"),"")))</f>
        <v/>
      </c>
      <c r="E401" t="str">
        <f>IF(A401="","",IF(A401="[FÓRMULA MANUAL]","",IFERROR(SUMPRODUCT((nNIA=A401)*(nCUENTA=1)*(COUNTIF(CONFIG_ASIGNATURAS!$B$7:$B$27,nASIG)&gt;0)*(nNOTA))/SUMPRODUCT((nNIA=A401)*(nCUENTA=1)*(COUNTIF(CONFIG_ASIGNATURAS!$B$7:$B$27,nASIG)&gt;0)*1),"")))</f>
        <v/>
      </c>
      <c r="H401" t="str">
        <f>IF(G401="","",IF(G401="[FÓRMULA MANUAL]","",IFERROR(AVERAGEIFS(nNOTA,nNIA,G401,nCUENTA,1,nASIG,"Lenguaje Musical"),"")))</f>
        <v/>
      </c>
      <c r="I401" t="str">
        <f>IF(G401="","",IF(G401="[FÓRMULA MANUAL]","",IFERROR(AVERAGEIFS(nNOTA,nNIA,G401,nCUENTA,1,nASIG,"Orquesta/Banda/Conjunto"),"")))</f>
        <v/>
      </c>
      <c r="J401" t="str">
        <f>IF(G401="","",IF(G401="[FÓRMULA MANUAL]","",IFERROR(AVERAGEIFS(nNOTA,nNIA,G401,nCUENTA,1,nASIG,"Conjunto"),"")))</f>
        <v/>
      </c>
      <c r="K401" t="str">
        <f>IF(G401="","",IF(G401="[FÓRMULA MANUAL]","",IFERROR(SUMPRODUCT((nNIA=G401)*(nCUENTA=1)*(COUNTIF(CONFIG_ASIGNATURAS!$B$7:$B$27,nASIG)&gt;0)*(nNOTA))/SUMPRODUCT((nNIA=G401)*(nCUENTA=1)*(COUNTIF(CONFIG_ASIGNATURAS!$B$7:$B$27,nASIG)&gt;0)*1),"")))</f>
        <v/>
      </c>
      <c r="N401" t="str">
        <f>IF(M401="","",IF(M401="[FÓRMULA MANUAL]","",IFERROR(AVERAGEIFS(nNOTA,nNIA,M401,nCUENTA,1,nASIG,"Armonía"),"")))</f>
        <v/>
      </c>
      <c r="O401" t="str">
        <f>IF(M401="","",IF(M401="[FÓRMULA MANUAL]","",IFERROR(AVERAGEIFS(nNOTA,nNIA,M401,nCUENTA,1,nASIG,"Orquesta/Banda/Conjunto"),"")))</f>
        <v/>
      </c>
      <c r="P401" t="str">
        <f>IF(M401="","",IF(M401="[FÓRMULA MANUAL]","",IFERROR(AVERAGEIFS(nNOTA,nNIA,M401,nCUENTA,1,nASIG,"Música de Cámara"),"")))</f>
        <v/>
      </c>
      <c r="Q401" t="str">
        <f>IF(M401="","",IF(M401="[FÓRMULA MANUAL]","",IFERROR(SUMPRODUCT((nNIA=M401)*(nCUENTA=1)*(COUNTIF(CONFIG_ASIGNATURAS!$B$7:$B$27,nASIG)&gt;0)*(nNOTA))/SUMPRODUCT((nNIA=M401)*(nCUENTA=1)*(COUNTIF(CONFIG_ASIGNATURAS!$B$7:$B$27,nASIG)&gt;0)*1),"")))</f>
        <v/>
      </c>
      <c r="T401" t="str">
        <f>IF(S401="","",IF(S401="[FÓRMULA MANUAL]","",IFERROR(AVERAGEIFS(nNOTA,nNIA,S401,nCUENTA,1,nASIG,"Armonía"),"")))</f>
        <v/>
      </c>
      <c r="U401" t="str">
        <f>IF(S401="","",IF(S401="[FÓRMULA MANUAL]","",IFERROR(AVERAGEIFS(nNOTA,nNIA,S401,nCUENTA,1,nASIG,"Orquesta/Banda/Conjunto"),"")))</f>
        <v/>
      </c>
      <c r="V401" t="str">
        <f>IF(S401="","",IF(S401="[FÓRMULA MANUAL]","",IFERROR(AVERAGEIFS(nNOTA,nNIA,S401,nCUENTA,1,nASIG,"Música de Cámara"),"")))</f>
        <v/>
      </c>
      <c r="W401" t="str">
        <f>IF(S401="","",IF(S401="[FÓRMULA MANUAL]","",IFERROR(SUMPRODUCT((nNIA=S401)*(nCUENTA=1)*(COUNTIF(CONFIG_ASIGNATURAS!$B$7:$B$27,nASIG)&gt;0)*(nNOTA))/SUMPRODUCT((nNIA=S401)*(nCUENTA=1)*(COUNTIF(CONFIG_ASIGNATURAS!$B$7:$B$27,nASIG)&gt;0)*1),"")))</f>
        <v/>
      </c>
      <c r="Z401" t="str">
        <f>IF(Y401="","",IF(Y401="[FÓRMULA MANUAL]","",IFERROR(AVERAGEIFS(nNOTA,nNIA,Y401,nCUENTA,1,nASIG,"Análisis"),"")))</f>
        <v/>
      </c>
      <c r="AA401" t="str">
        <f>IF(Y401="","",IF(Y401="[FÓRMULA MANUAL]","",IFERROR(AVERAGEIFS(nNOTA,nNIA,Y401,nCUENTA,1,nASIG,"Orquesta/Banda/Conjunto"),"")))</f>
        <v/>
      </c>
      <c r="AB401" t="str">
        <f>IF(Y401="","",IF(Y401="[FÓRMULA MANUAL]","",IFERROR(AVERAGEIFS(nNOTA,nNIA,Y401,nCUENTA,1,nASIG,"Música de Cámara"),"")))</f>
        <v/>
      </c>
      <c r="AC401" t="str">
        <f>IF(Y401="","",IF(Y401="[FÓRMULA MANUAL]","",IFERROR(SUMPRODUCT((nNIA=Y401)*(nCUENTA=1)*(COUNTIF(CONFIG_ASIGNATURAS!$B$7:$B$27,nASIG)&gt;0)*(nNOTA))/SUMPRODUCT((nNIA=Y401)*(nCUENTA=1)*(COUNTIF(CONFIG_ASIGNATURAS!$B$7:$B$27,nASIG)&gt;0)*1),"")))</f>
        <v/>
      </c>
      <c r="AF401" t="str">
        <f>IF(AE401="","",IF(AE401="[FÓRMULA MANUAL]","",IFERROR(AVERAGEIFS(nNOTA,nNIA,AE401,nCUENTA,1,nASIG,"Análisis"),"")))</f>
        <v/>
      </c>
      <c r="AG401" t="str">
        <f>IF(AE401="","",IF(AE401="[FÓRMULA MANUAL]","",IFERROR(AVERAGEIFS(nNOTA,nNIA,AE401,nCUENTA,1,nASIG,"Orquesta/Banda/Conjunto"),"")))</f>
        <v/>
      </c>
      <c r="AH401" t="str">
        <f>IF(AE401="","",IF(AE401="[FÓRMULA MANUAL]","",IFERROR(AVERAGEIFS(nNOTA,nNIA,AE401,nCUENTA,1,nASIG,"Música de Cámara"),"")))</f>
        <v/>
      </c>
      <c r="AI401" t="str">
        <f>IF(AE401="","",IF(AE401="[FÓRMULA MANUAL]","",IFERROR(SUMPRODUCT((nNIA=AE401)*(nCUENTA=1)*(COUNTIF(CONFIG_ASIGNATURAS!$B$7:$B$27,nASIG)&gt;0)*(nNOTA))/SUMPRODUCT((nNIA=AE401)*(nCUENTA=1)*(COUNTIF(CONFIG_ASIGNATURAS!$B$7:$B$27,nASIG)&gt;0)*1),"")))</f>
        <v/>
      </c>
    </row>
    <row r="402" spans="2:35" x14ac:dyDescent="0.2">
      <c r="B402" t="str">
        <f>IF(A402="","",IF(A402="[FÓRMULA MANUAL]","",IFERROR(AVERAGEIFS(nNOTA,nNIA,A402,nCUENTA,1,nASIG,"Lenguaje Musical"),"")))</f>
        <v/>
      </c>
      <c r="C402" t="str">
        <f>IF(A402="","",IF(A402="[FÓRMULA MANUAL]","",IFERROR(AVERAGEIFS(nNOTA,nNIA,A402,nCUENTA,1,nASIG,"Orquesta/Banda/Conjunto"),"")))</f>
        <v/>
      </c>
      <c r="D402" t="str">
        <f>IF(A402="","",IF(A402="[FÓRMULA MANUAL]","",IFERROR(AVERAGEIFS(nNOTA,nNIA,A402,nCUENTA,1,nASIG,"Conjunto"),"")))</f>
        <v/>
      </c>
      <c r="E402" t="str">
        <f>IF(A402="","",IF(A402="[FÓRMULA MANUAL]","",IFERROR(SUMPRODUCT((nNIA=A402)*(nCUENTA=1)*(COUNTIF(CONFIG_ASIGNATURAS!$B$7:$B$27,nASIG)&gt;0)*(nNOTA))/SUMPRODUCT((nNIA=A402)*(nCUENTA=1)*(COUNTIF(CONFIG_ASIGNATURAS!$B$7:$B$27,nASIG)&gt;0)*1),"")))</f>
        <v/>
      </c>
      <c r="H402" t="str">
        <f>IF(G402="","",IF(G402="[FÓRMULA MANUAL]","",IFERROR(AVERAGEIFS(nNOTA,nNIA,G402,nCUENTA,1,nASIG,"Lenguaje Musical"),"")))</f>
        <v/>
      </c>
      <c r="I402" t="str">
        <f>IF(G402="","",IF(G402="[FÓRMULA MANUAL]","",IFERROR(AVERAGEIFS(nNOTA,nNIA,G402,nCUENTA,1,nASIG,"Orquesta/Banda/Conjunto"),"")))</f>
        <v/>
      </c>
      <c r="J402" t="str">
        <f>IF(G402="","",IF(G402="[FÓRMULA MANUAL]","",IFERROR(AVERAGEIFS(nNOTA,nNIA,G402,nCUENTA,1,nASIG,"Conjunto"),"")))</f>
        <v/>
      </c>
      <c r="K402" t="str">
        <f>IF(G402="","",IF(G402="[FÓRMULA MANUAL]","",IFERROR(SUMPRODUCT((nNIA=G402)*(nCUENTA=1)*(COUNTIF(CONFIG_ASIGNATURAS!$B$7:$B$27,nASIG)&gt;0)*(nNOTA))/SUMPRODUCT((nNIA=G402)*(nCUENTA=1)*(COUNTIF(CONFIG_ASIGNATURAS!$B$7:$B$27,nASIG)&gt;0)*1),"")))</f>
        <v/>
      </c>
      <c r="N402" t="str">
        <f>IF(M402="","",IF(M402="[FÓRMULA MANUAL]","",IFERROR(AVERAGEIFS(nNOTA,nNIA,M402,nCUENTA,1,nASIG,"Armonía"),"")))</f>
        <v/>
      </c>
      <c r="O402" t="str">
        <f>IF(M402="","",IF(M402="[FÓRMULA MANUAL]","",IFERROR(AVERAGEIFS(nNOTA,nNIA,M402,nCUENTA,1,nASIG,"Orquesta/Banda/Conjunto"),"")))</f>
        <v/>
      </c>
      <c r="P402" t="str">
        <f>IF(M402="","",IF(M402="[FÓRMULA MANUAL]","",IFERROR(AVERAGEIFS(nNOTA,nNIA,M402,nCUENTA,1,nASIG,"Música de Cámara"),"")))</f>
        <v/>
      </c>
      <c r="Q402" t="str">
        <f>IF(M402="","",IF(M402="[FÓRMULA MANUAL]","",IFERROR(SUMPRODUCT((nNIA=M402)*(nCUENTA=1)*(COUNTIF(CONFIG_ASIGNATURAS!$B$7:$B$27,nASIG)&gt;0)*(nNOTA))/SUMPRODUCT((nNIA=M402)*(nCUENTA=1)*(COUNTIF(CONFIG_ASIGNATURAS!$B$7:$B$27,nASIG)&gt;0)*1),"")))</f>
        <v/>
      </c>
      <c r="T402" t="str">
        <f>IF(S402="","",IF(S402="[FÓRMULA MANUAL]","",IFERROR(AVERAGEIFS(nNOTA,nNIA,S402,nCUENTA,1,nASIG,"Armonía"),"")))</f>
        <v/>
      </c>
      <c r="U402" t="str">
        <f>IF(S402="","",IF(S402="[FÓRMULA MANUAL]","",IFERROR(AVERAGEIFS(nNOTA,nNIA,S402,nCUENTA,1,nASIG,"Orquesta/Banda/Conjunto"),"")))</f>
        <v/>
      </c>
      <c r="V402" t="str">
        <f>IF(S402="","",IF(S402="[FÓRMULA MANUAL]","",IFERROR(AVERAGEIFS(nNOTA,nNIA,S402,nCUENTA,1,nASIG,"Música de Cámara"),"")))</f>
        <v/>
      </c>
      <c r="W402" t="str">
        <f>IF(S402="","",IF(S402="[FÓRMULA MANUAL]","",IFERROR(SUMPRODUCT((nNIA=S402)*(nCUENTA=1)*(COUNTIF(CONFIG_ASIGNATURAS!$B$7:$B$27,nASIG)&gt;0)*(nNOTA))/SUMPRODUCT((nNIA=S402)*(nCUENTA=1)*(COUNTIF(CONFIG_ASIGNATURAS!$B$7:$B$27,nASIG)&gt;0)*1),"")))</f>
        <v/>
      </c>
      <c r="Z402" t="str">
        <f>IF(Y402="","",IF(Y402="[FÓRMULA MANUAL]","",IFERROR(AVERAGEIFS(nNOTA,nNIA,Y402,nCUENTA,1,nASIG,"Análisis"),"")))</f>
        <v/>
      </c>
      <c r="AA402" t="str">
        <f>IF(Y402="","",IF(Y402="[FÓRMULA MANUAL]","",IFERROR(AVERAGEIFS(nNOTA,nNIA,Y402,nCUENTA,1,nASIG,"Orquesta/Banda/Conjunto"),"")))</f>
        <v/>
      </c>
      <c r="AB402" t="str">
        <f>IF(Y402="","",IF(Y402="[FÓRMULA MANUAL]","",IFERROR(AVERAGEIFS(nNOTA,nNIA,Y402,nCUENTA,1,nASIG,"Música de Cámara"),"")))</f>
        <v/>
      </c>
      <c r="AC402" t="str">
        <f>IF(Y402="","",IF(Y402="[FÓRMULA MANUAL]","",IFERROR(SUMPRODUCT((nNIA=Y402)*(nCUENTA=1)*(COUNTIF(CONFIG_ASIGNATURAS!$B$7:$B$27,nASIG)&gt;0)*(nNOTA))/SUMPRODUCT((nNIA=Y402)*(nCUENTA=1)*(COUNTIF(CONFIG_ASIGNATURAS!$B$7:$B$27,nASIG)&gt;0)*1),"")))</f>
        <v/>
      </c>
      <c r="AF402" t="str">
        <f>IF(AE402="","",IF(AE402="[FÓRMULA MANUAL]","",IFERROR(AVERAGEIFS(nNOTA,nNIA,AE402,nCUENTA,1,nASIG,"Análisis"),"")))</f>
        <v/>
      </c>
      <c r="AG402" t="str">
        <f>IF(AE402="","",IF(AE402="[FÓRMULA MANUAL]","",IFERROR(AVERAGEIFS(nNOTA,nNIA,AE402,nCUENTA,1,nASIG,"Orquesta/Banda/Conjunto"),"")))</f>
        <v/>
      </c>
      <c r="AH402" t="str">
        <f>IF(AE402="","",IF(AE402="[FÓRMULA MANUAL]","",IFERROR(AVERAGEIFS(nNOTA,nNIA,AE402,nCUENTA,1,nASIG,"Música de Cámara"),"")))</f>
        <v/>
      </c>
      <c r="AI402" t="str">
        <f>IF(AE402="","",IF(AE402="[FÓRMULA MANUAL]","",IFERROR(SUMPRODUCT((nNIA=AE402)*(nCUENTA=1)*(COUNTIF(CONFIG_ASIGNATURAS!$B$7:$B$27,nASIG)&gt;0)*(nNOTA))/SUMPRODUCT((nNIA=AE402)*(nCUENTA=1)*(COUNTIF(CONFIG_ASIGNATURAS!$B$7:$B$27,nASIG)&gt;0)*1),"")))</f>
        <v/>
      </c>
    </row>
    <row r="403" spans="2:35" x14ac:dyDescent="0.2">
      <c r="B403" t="str">
        <f>IF(A403="","",IF(A403="[FÓRMULA MANUAL]","",IFERROR(AVERAGEIFS(nNOTA,nNIA,A403,nCUENTA,1,nASIG,"Lenguaje Musical"),"")))</f>
        <v/>
      </c>
      <c r="C403" t="str">
        <f>IF(A403="","",IF(A403="[FÓRMULA MANUAL]","",IFERROR(AVERAGEIFS(nNOTA,nNIA,A403,nCUENTA,1,nASIG,"Orquesta/Banda/Conjunto"),"")))</f>
        <v/>
      </c>
      <c r="D403" t="str">
        <f>IF(A403="","",IF(A403="[FÓRMULA MANUAL]","",IFERROR(AVERAGEIFS(nNOTA,nNIA,A403,nCUENTA,1,nASIG,"Conjunto"),"")))</f>
        <v/>
      </c>
      <c r="E403" t="str">
        <f>IF(A403="","",IF(A403="[FÓRMULA MANUAL]","",IFERROR(SUMPRODUCT((nNIA=A403)*(nCUENTA=1)*(COUNTIF(CONFIG_ASIGNATURAS!$B$7:$B$27,nASIG)&gt;0)*(nNOTA))/SUMPRODUCT((nNIA=A403)*(nCUENTA=1)*(COUNTIF(CONFIG_ASIGNATURAS!$B$7:$B$27,nASIG)&gt;0)*1),"")))</f>
        <v/>
      </c>
      <c r="H403" t="str">
        <f>IF(G403="","",IF(G403="[FÓRMULA MANUAL]","",IFERROR(AVERAGEIFS(nNOTA,nNIA,G403,nCUENTA,1,nASIG,"Lenguaje Musical"),"")))</f>
        <v/>
      </c>
      <c r="I403" t="str">
        <f>IF(G403="","",IF(G403="[FÓRMULA MANUAL]","",IFERROR(AVERAGEIFS(nNOTA,nNIA,G403,nCUENTA,1,nASIG,"Orquesta/Banda/Conjunto"),"")))</f>
        <v/>
      </c>
      <c r="J403" t="str">
        <f>IF(G403="","",IF(G403="[FÓRMULA MANUAL]","",IFERROR(AVERAGEIFS(nNOTA,nNIA,G403,nCUENTA,1,nASIG,"Conjunto"),"")))</f>
        <v/>
      </c>
      <c r="K403" t="str">
        <f>IF(G403="","",IF(G403="[FÓRMULA MANUAL]","",IFERROR(SUMPRODUCT((nNIA=G403)*(nCUENTA=1)*(COUNTIF(CONFIG_ASIGNATURAS!$B$7:$B$27,nASIG)&gt;0)*(nNOTA))/SUMPRODUCT((nNIA=G403)*(nCUENTA=1)*(COUNTIF(CONFIG_ASIGNATURAS!$B$7:$B$27,nASIG)&gt;0)*1),"")))</f>
        <v/>
      </c>
      <c r="N403" t="str">
        <f>IF(M403="","",IF(M403="[FÓRMULA MANUAL]","",IFERROR(AVERAGEIFS(nNOTA,nNIA,M403,nCUENTA,1,nASIG,"Armonía"),"")))</f>
        <v/>
      </c>
      <c r="O403" t="str">
        <f>IF(M403="","",IF(M403="[FÓRMULA MANUAL]","",IFERROR(AVERAGEIFS(nNOTA,nNIA,M403,nCUENTA,1,nASIG,"Orquesta/Banda/Conjunto"),"")))</f>
        <v/>
      </c>
      <c r="P403" t="str">
        <f>IF(M403="","",IF(M403="[FÓRMULA MANUAL]","",IFERROR(AVERAGEIFS(nNOTA,nNIA,M403,nCUENTA,1,nASIG,"Música de Cámara"),"")))</f>
        <v/>
      </c>
      <c r="Q403" t="str">
        <f>IF(M403="","",IF(M403="[FÓRMULA MANUAL]","",IFERROR(SUMPRODUCT((nNIA=M403)*(nCUENTA=1)*(COUNTIF(CONFIG_ASIGNATURAS!$B$7:$B$27,nASIG)&gt;0)*(nNOTA))/SUMPRODUCT((nNIA=M403)*(nCUENTA=1)*(COUNTIF(CONFIG_ASIGNATURAS!$B$7:$B$27,nASIG)&gt;0)*1),"")))</f>
        <v/>
      </c>
      <c r="T403" t="str">
        <f>IF(S403="","",IF(S403="[FÓRMULA MANUAL]","",IFERROR(AVERAGEIFS(nNOTA,nNIA,S403,nCUENTA,1,nASIG,"Armonía"),"")))</f>
        <v/>
      </c>
      <c r="U403" t="str">
        <f>IF(S403="","",IF(S403="[FÓRMULA MANUAL]","",IFERROR(AVERAGEIFS(nNOTA,nNIA,S403,nCUENTA,1,nASIG,"Orquesta/Banda/Conjunto"),"")))</f>
        <v/>
      </c>
      <c r="V403" t="str">
        <f>IF(S403="","",IF(S403="[FÓRMULA MANUAL]","",IFERROR(AVERAGEIFS(nNOTA,nNIA,S403,nCUENTA,1,nASIG,"Música de Cámara"),"")))</f>
        <v/>
      </c>
      <c r="W403" t="str">
        <f>IF(S403="","",IF(S403="[FÓRMULA MANUAL]","",IFERROR(SUMPRODUCT((nNIA=S403)*(nCUENTA=1)*(COUNTIF(CONFIG_ASIGNATURAS!$B$7:$B$27,nASIG)&gt;0)*(nNOTA))/SUMPRODUCT((nNIA=S403)*(nCUENTA=1)*(COUNTIF(CONFIG_ASIGNATURAS!$B$7:$B$27,nASIG)&gt;0)*1),"")))</f>
        <v/>
      </c>
      <c r="Z403" t="str">
        <f>IF(Y403="","",IF(Y403="[FÓRMULA MANUAL]","",IFERROR(AVERAGEIFS(nNOTA,nNIA,Y403,nCUENTA,1,nASIG,"Análisis"),"")))</f>
        <v/>
      </c>
      <c r="AA403" t="str">
        <f>IF(Y403="","",IF(Y403="[FÓRMULA MANUAL]","",IFERROR(AVERAGEIFS(nNOTA,nNIA,Y403,nCUENTA,1,nASIG,"Orquesta/Banda/Conjunto"),"")))</f>
        <v/>
      </c>
      <c r="AB403" t="str">
        <f>IF(Y403="","",IF(Y403="[FÓRMULA MANUAL]","",IFERROR(AVERAGEIFS(nNOTA,nNIA,Y403,nCUENTA,1,nASIG,"Música de Cámara"),"")))</f>
        <v/>
      </c>
      <c r="AC403" t="str">
        <f>IF(Y403="","",IF(Y403="[FÓRMULA MANUAL]","",IFERROR(SUMPRODUCT((nNIA=Y403)*(nCUENTA=1)*(COUNTIF(CONFIG_ASIGNATURAS!$B$7:$B$27,nASIG)&gt;0)*(nNOTA))/SUMPRODUCT((nNIA=Y403)*(nCUENTA=1)*(COUNTIF(CONFIG_ASIGNATURAS!$B$7:$B$27,nASIG)&gt;0)*1),"")))</f>
        <v/>
      </c>
      <c r="AF403" t="str">
        <f>IF(AE403="","",IF(AE403="[FÓRMULA MANUAL]","",IFERROR(AVERAGEIFS(nNOTA,nNIA,AE403,nCUENTA,1,nASIG,"Análisis"),"")))</f>
        <v/>
      </c>
      <c r="AG403" t="str">
        <f>IF(AE403="","",IF(AE403="[FÓRMULA MANUAL]","",IFERROR(AVERAGEIFS(nNOTA,nNIA,AE403,nCUENTA,1,nASIG,"Orquesta/Banda/Conjunto"),"")))</f>
        <v/>
      </c>
      <c r="AH403" t="str">
        <f>IF(AE403="","",IF(AE403="[FÓRMULA MANUAL]","",IFERROR(AVERAGEIFS(nNOTA,nNIA,AE403,nCUENTA,1,nASIG,"Música de Cámara"),"")))</f>
        <v/>
      </c>
      <c r="AI403" t="str">
        <f>IF(AE403="","",IF(AE403="[FÓRMULA MANUAL]","",IFERROR(SUMPRODUCT((nNIA=AE403)*(nCUENTA=1)*(COUNTIF(CONFIG_ASIGNATURAS!$B$7:$B$27,nASIG)&gt;0)*(nNOTA))/SUMPRODUCT((nNIA=AE403)*(nCUENTA=1)*(COUNTIF(CONFIG_ASIGNATURAS!$B$7:$B$27,nASIG)&gt;0)*1),"")))</f>
        <v/>
      </c>
    </row>
    <row r="404" spans="2:35" x14ac:dyDescent="0.2">
      <c r="B404" t="str">
        <f>IF(A404="","",IF(A404="[FÓRMULA MANUAL]","",IFERROR(AVERAGEIFS(nNOTA,nNIA,A404,nCUENTA,1,nASIG,"Lenguaje Musical"),"")))</f>
        <v/>
      </c>
      <c r="C404" t="str">
        <f>IF(A404="","",IF(A404="[FÓRMULA MANUAL]","",IFERROR(AVERAGEIFS(nNOTA,nNIA,A404,nCUENTA,1,nASIG,"Orquesta/Banda/Conjunto"),"")))</f>
        <v/>
      </c>
      <c r="D404" t="str">
        <f>IF(A404="","",IF(A404="[FÓRMULA MANUAL]","",IFERROR(AVERAGEIFS(nNOTA,nNIA,A404,nCUENTA,1,nASIG,"Conjunto"),"")))</f>
        <v/>
      </c>
      <c r="E404" t="str">
        <f>IF(A404="","",IF(A404="[FÓRMULA MANUAL]","",IFERROR(SUMPRODUCT((nNIA=A404)*(nCUENTA=1)*(COUNTIF(CONFIG_ASIGNATURAS!$B$7:$B$27,nASIG)&gt;0)*(nNOTA))/SUMPRODUCT((nNIA=A404)*(nCUENTA=1)*(COUNTIF(CONFIG_ASIGNATURAS!$B$7:$B$27,nASIG)&gt;0)*1),"")))</f>
        <v/>
      </c>
      <c r="H404" t="str">
        <f>IF(G404="","",IF(G404="[FÓRMULA MANUAL]","",IFERROR(AVERAGEIFS(nNOTA,nNIA,G404,nCUENTA,1,nASIG,"Lenguaje Musical"),"")))</f>
        <v/>
      </c>
      <c r="I404" t="str">
        <f>IF(G404="","",IF(G404="[FÓRMULA MANUAL]","",IFERROR(AVERAGEIFS(nNOTA,nNIA,G404,nCUENTA,1,nASIG,"Orquesta/Banda/Conjunto"),"")))</f>
        <v/>
      </c>
      <c r="J404" t="str">
        <f>IF(G404="","",IF(G404="[FÓRMULA MANUAL]","",IFERROR(AVERAGEIFS(nNOTA,nNIA,G404,nCUENTA,1,nASIG,"Conjunto"),"")))</f>
        <v/>
      </c>
      <c r="K404" t="str">
        <f>IF(G404="","",IF(G404="[FÓRMULA MANUAL]","",IFERROR(SUMPRODUCT((nNIA=G404)*(nCUENTA=1)*(COUNTIF(CONFIG_ASIGNATURAS!$B$7:$B$27,nASIG)&gt;0)*(nNOTA))/SUMPRODUCT((nNIA=G404)*(nCUENTA=1)*(COUNTIF(CONFIG_ASIGNATURAS!$B$7:$B$27,nASIG)&gt;0)*1),"")))</f>
        <v/>
      </c>
      <c r="N404" t="str">
        <f>IF(M404="","",IF(M404="[FÓRMULA MANUAL]","",IFERROR(AVERAGEIFS(nNOTA,nNIA,M404,nCUENTA,1,nASIG,"Armonía"),"")))</f>
        <v/>
      </c>
      <c r="O404" t="str">
        <f>IF(M404="","",IF(M404="[FÓRMULA MANUAL]","",IFERROR(AVERAGEIFS(nNOTA,nNIA,M404,nCUENTA,1,nASIG,"Orquesta/Banda/Conjunto"),"")))</f>
        <v/>
      </c>
      <c r="P404" t="str">
        <f>IF(M404="","",IF(M404="[FÓRMULA MANUAL]","",IFERROR(AVERAGEIFS(nNOTA,nNIA,M404,nCUENTA,1,nASIG,"Música de Cámara"),"")))</f>
        <v/>
      </c>
      <c r="Q404" t="str">
        <f>IF(M404="","",IF(M404="[FÓRMULA MANUAL]","",IFERROR(SUMPRODUCT((nNIA=M404)*(nCUENTA=1)*(COUNTIF(CONFIG_ASIGNATURAS!$B$7:$B$27,nASIG)&gt;0)*(nNOTA))/SUMPRODUCT((nNIA=M404)*(nCUENTA=1)*(COUNTIF(CONFIG_ASIGNATURAS!$B$7:$B$27,nASIG)&gt;0)*1),"")))</f>
        <v/>
      </c>
      <c r="T404" t="str">
        <f>IF(S404="","",IF(S404="[FÓRMULA MANUAL]","",IFERROR(AVERAGEIFS(nNOTA,nNIA,S404,nCUENTA,1,nASIG,"Armonía"),"")))</f>
        <v/>
      </c>
      <c r="U404" t="str">
        <f>IF(S404="","",IF(S404="[FÓRMULA MANUAL]","",IFERROR(AVERAGEIFS(nNOTA,nNIA,S404,nCUENTA,1,nASIG,"Orquesta/Banda/Conjunto"),"")))</f>
        <v/>
      </c>
      <c r="V404" t="str">
        <f>IF(S404="","",IF(S404="[FÓRMULA MANUAL]","",IFERROR(AVERAGEIFS(nNOTA,nNIA,S404,nCUENTA,1,nASIG,"Música de Cámara"),"")))</f>
        <v/>
      </c>
      <c r="W404" t="str">
        <f>IF(S404="","",IF(S404="[FÓRMULA MANUAL]","",IFERROR(SUMPRODUCT((nNIA=S404)*(nCUENTA=1)*(COUNTIF(CONFIG_ASIGNATURAS!$B$7:$B$27,nASIG)&gt;0)*(nNOTA))/SUMPRODUCT((nNIA=S404)*(nCUENTA=1)*(COUNTIF(CONFIG_ASIGNATURAS!$B$7:$B$27,nASIG)&gt;0)*1),"")))</f>
        <v/>
      </c>
      <c r="Z404" t="str">
        <f>IF(Y404="","",IF(Y404="[FÓRMULA MANUAL]","",IFERROR(AVERAGEIFS(nNOTA,nNIA,Y404,nCUENTA,1,nASIG,"Análisis"),"")))</f>
        <v/>
      </c>
      <c r="AA404" t="str">
        <f>IF(Y404="","",IF(Y404="[FÓRMULA MANUAL]","",IFERROR(AVERAGEIFS(nNOTA,nNIA,Y404,nCUENTA,1,nASIG,"Orquesta/Banda/Conjunto"),"")))</f>
        <v/>
      </c>
      <c r="AB404" t="str">
        <f>IF(Y404="","",IF(Y404="[FÓRMULA MANUAL]","",IFERROR(AVERAGEIFS(nNOTA,nNIA,Y404,nCUENTA,1,nASIG,"Música de Cámara"),"")))</f>
        <v/>
      </c>
      <c r="AC404" t="str">
        <f>IF(Y404="","",IF(Y404="[FÓRMULA MANUAL]","",IFERROR(SUMPRODUCT((nNIA=Y404)*(nCUENTA=1)*(COUNTIF(CONFIG_ASIGNATURAS!$B$7:$B$27,nASIG)&gt;0)*(nNOTA))/SUMPRODUCT((nNIA=Y404)*(nCUENTA=1)*(COUNTIF(CONFIG_ASIGNATURAS!$B$7:$B$27,nASIG)&gt;0)*1),"")))</f>
        <v/>
      </c>
      <c r="AF404" t="str">
        <f>IF(AE404="","",IF(AE404="[FÓRMULA MANUAL]","",IFERROR(AVERAGEIFS(nNOTA,nNIA,AE404,nCUENTA,1,nASIG,"Análisis"),"")))</f>
        <v/>
      </c>
      <c r="AG404" t="str">
        <f>IF(AE404="","",IF(AE404="[FÓRMULA MANUAL]","",IFERROR(AVERAGEIFS(nNOTA,nNIA,AE404,nCUENTA,1,nASIG,"Orquesta/Banda/Conjunto"),"")))</f>
        <v/>
      </c>
      <c r="AH404" t="str">
        <f>IF(AE404="","",IF(AE404="[FÓRMULA MANUAL]","",IFERROR(AVERAGEIFS(nNOTA,nNIA,AE404,nCUENTA,1,nASIG,"Música de Cámara"),"")))</f>
        <v/>
      </c>
      <c r="AI404" t="str">
        <f>IF(AE404="","",IF(AE404="[FÓRMULA MANUAL]","",IFERROR(SUMPRODUCT((nNIA=AE404)*(nCUENTA=1)*(COUNTIF(CONFIG_ASIGNATURAS!$B$7:$B$27,nASIG)&gt;0)*(nNOTA))/SUMPRODUCT((nNIA=AE404)*(nCUENTA=1)*(COUNTIF(CONFIG_ASIGNATURAS!$B$7:$B$27,nASIG)&gt;0)*1),"")))</f>
        <v/>
      </c>
    </row>
    <row r="405" spans="2:35" x14ac:dyDescent="0.2">
      <c r="B405" t="str">
        <f>IF(A405="","",IF(A405="[FÓRMULA MANUAL]","",IFERROR(AVERAGEIFS(nNOTA,nNIA,A405,nCUENTA,1,nASIG,"Lenguaje Musical"),"")))</f>
        <v/>
      </c>
      <c r="C405" t="str">
        <f>IF(A405="","",IF(A405="[FÓRMULA MANUAL]","",IFERROR(AVERAGEIFS(nNOTA,nNIA,A405,nCUENTA,1,nASIG,"Orquesta/Banda/Conjunto"),"")))</f>
        <v/>
      </c>
      <c r="D405" t="str">
        <f>IF(A405="","",IF(A405="[FÓRMULA MANUAL]","",IFERROR(AVERAGEIFS(nNOTA,nNIA,A405,nCUENTA,1,nASIG,"Conjunto"),"")))</f>
        <v/>
      </c>
      <c r="E405" t="str">
        <f>IF(A405="","",IF(A405="[FÓRMULA MANUAL]","",IFERROR(SUMPRODUCT((nNIA=A405)*(nCUENTA=1)*(COUNTIF(CONFIG_ASIGNATURAS!$B$7:$B$27,nASIG)&gt;0)*(nNOTA))/SUMPRODUCT((nNIA=A405)*(nCUENTA=1)*(COUNTIF(CONFIG_ASIGNATURAS!$B$7:$B$27,nASIG)&gt;0)*1),"")))</f>
        <v/>
      </c>
      <c r="H405" t="str">
        <f>IF(G405="","",IF(G405="[FÓRMULA MANUAL]","",IFERROR(AVERAGEIFS(nNOTA,nNIA,G405,nCUENTA,1,nASIG,"Lenguaje Musical"),"")))</f>
        <v/>
      </c>
      <c r="I405" t="str">
        <f>IF(G405="","",IF(G405="[FÓRMULA MANUAL]","",IFERROR(AVERAGEIFS(nNOTA,nNIA,G405,nCUENTA,1,nASIG,"Orquesta/Banda/Conjunto"),"")))</f>
        <v/>
      </c>
      <c r="J405" t="str">
        <f>IF(G405="","",IF(G405="[FÓRMULA MANUAL]","",IFERROR(AVERAGEIFS(nNOTA,nNIA,G405,nCUENTA,1,nASIG,"Conjunto"),"")))</f>
        <v/>
      </c>
      <c r="K405" t="str">
        <f>IF(G405="","",IF(G405="[FÓRMULA MANUAL]","",IFERROR(SUMPRODUCT((nNIA=G405)*(nCUENTA=1)*(COUNTIF(CONFIG_ASIGNATURAS!$B$7:$B$27,nASIG)&gt;0)*(nNOTA))/SUMPRODUCT((nNIA=G405)*(nCUENTA=1)*(COUNTIF(CONFIG_ASIGNATURAS!$B$7:$B$27,nASIG)&gt;0)*1),"")))</f>
        <v/>
      </c>
      <c r="N405" t="str">
        <f>IF(M405="","",IF(M405="[FÓRMULA MANUAL]","",IFERROR(AVERAGEIFS(nNOTA,nNIA,M405,nCUENTA,1,nASIG,"Armonía"),"")))</f>
        <v/>
      </c>
      <c r="O405" t="str">
        <f>IF(M405="","",IF(M405="[FÓRMULA MANUAL]","",IFERROR(AVERAGEIFS(nNOTA,nNIA,M405,nCUENTA,1,nASIG,"Orquesta/Banda/Conjunto"),"")))</f>
        <v/>
      </c>
      <c r="P405" t="str">
        <f>IF(M405="","",IF(M405="[FÓRMULA MANUAL]","",IFERROR(AVERAGEIFS(nNOTA,nNIA,M405,nCUENTA,1,nASIG,"Música de Cámara"),"")))</f>
        <v/>
      </c>
      <c r="Q405" t="str">
        <f>IF(M405="","",IF(M405="[FÓRMULA MANUAL]","",IFERROR(SUMPRODUCT((nNIA=M405)*(nCUENTA=1)*(COUNTIF(CONFIG_ASIGNATURAS!$B$7:$B$27,nASIG)&gt;0)*(nNOTA))/SUMPRODUCT((nNIA=M405)*(nCUENTA=1)*(COUNTIF(CONFIG_ASIGNATURAS!$B$7:$B$27,nASIG)&gt;0)*1),"")))</f>
        <v/>
      </c>
      <c r="T405" t="str">
        <f>IF(S405="","",IF(S405="[FÓRMULA MANUAL]","",IFERROR(AVERAGEIFS(nNOTA,nNIA,S405,nCUENTA,1,nASIG,"Armonía"),"")))</f>
        <v/>
      </c>
      <c r="U405" t="str">
        <f>IF(S405="","",IF(S405="[FÓRMULA MANUAL]","",IFERROR(AVERAGEIFS(nNOTA,nNIA,S405,nCUENTA,1,nASIG,"Orquesta/Banda/Conjunto"),"")))</f>
        <v/>
      </c>
      <c r="V405" t="str">
        <f>IF(S405="","",IF(S405="[FÓRMULA MANUAL]","",IFERROR(AVERAGEIFS(nNOTA,nNIA,S405,nCUENTA,1,nASIG,"Música de Cámara"),"")))</f>
        <v/>
      </c>
      <c r="W405" t="str">
        <f>IF(S405="","",IF(S405="[FÓRMULA MANUAL]","",IFERROR(SUMPRODUCT((nNIA=S405)*(nCUENTA=1)*(COUNTIF(CONFIG_ASIGNATURAS!$B$7:$B$27,nASIG)&gt;0)*(nNOTA))/SUMPRODUCT((nNIA=S405)*(nCUENTA=1)*(COUNTIF(CONFIG_ASIGNATURAS!$B$7:$B$27,nASIG)&gt;0)*1),"")))</f>
        <v/>
      </c>
      <c r="Z405" t="str">
        <f>IF(Y405="","",IF(Y405="[FÓRMULA MANUAL]","",IFERROR(AVERAGEIFS(nNOTA,nNIA,Y405,nCUENTA,1,nASIG,"Análisis"),"")))</f>
        <v/>
      </c>
      <c r="AA405" t="str">
        <f>IF(Y405="","",IF(Y405="[FÓRMULA MANUAL]","",IFERROR(AVERAGEIFS(nNOTA,nNIA,Y405,nCUENTA,1,nASIG,"Orquesta/Banda/Conjunto"),"")))</f>
        <v/>
      </c>
      <c r="AB405" t="str">
        <f>IF(Y405="","",IF(Y405="[FÓRMULA MANUAL]","",IFERROR(AVERAGEIFS(nNOTA,nNIA,Y405,nCUENTA,1,nASIG,"Música de Cámara"),"")))</f>
        <v/>
      </c>
      <c r="AC405" t="str">
        <f>IF(Y405="","",IF(Y405="[FÓRMULA MANUAL]","",IFERROR(SUMPRODUCT((nNIA=Y405)*(nCUENTA=1)*(COUNTIF(CONFIG_ASIGNATURAS!$B$7:$B$27,nASIG)&gt;0)*(nNOTA))/SUMPRODUCT((nNIA=Y405)*(nCUENTA=1)*(COUNTIF(CONFIG_ASIGNATURAS!$B$7:$B$27,nASIG)&gt;0)*1),"")))</f>
        <v/>
      </c>
      <c r="AF405" t="str">
        <f>IF(AE405="","",IF(AE405="[FÓRMULA MANUAL]","",IFERROR(AVERAGEIFS(nNOTA,nNIA,AE405,nCUENTA,1,nASIG,"Análisis"),"")))</f>
        <v/>
      </c>
      <c r="AG405" t="str">
        <f>IF(AE405="","",IF(AE405="[FÓRMULA MANUAL]","",IFERROR(AVERAGEIFS(nNOTA,nNIA,AE405,nCUENTA,1,nASIG,"Orquesta/Banda/Conjunto"),"")))</f>
        <v/>
      </c>
      <c r="AH405" t="str">
        <f>IF(AE405="","",IF(AE405="[FÓRMULA MANUAL]","",IFERROR(AVERAGEIFS(nNOTA,nNIA,AE405,nCUENTA,1,nASIG,"Música de Cámara"),"")))</f>
        <v/>
      </c>
      <c r="AI405" t="str">
        <f>IF(AE405="","",IF(AE405="[FÓRMULA MANUAL]","",IFERROR(SUMPRODUCT((nNIA=AE405)*(nCUENTA=1)*(COUNTIF(CONFIG_ASIGNATURAS!$B$7:$B$27,nASIG)&gt;0)*(nNOTA))/SUMPRODUCT((nNIA=AE405)*(nCUENTA=1)*(COUNTIF(CONFIG_ASIGNATURAS!$B$7:$B$27,nASIG)&gt;0)*1),"")))</f>
        <v/>
      </c>
    </row>
    <row r="406" spans="2:35" x14ac:dyDescent="0.2">
      <c r="B406" t="str">
        <f>IF(A406="","",IF(A406="[FÓRMULA MANUAL]","",IFERROR(AVERAGEIFS(nNOTA,nNIA,A406,nCUENTA,1,nASIG,"Lenguaje Musical"),"")))</f>
        <v/>
      </c>
      <c r="C406" t="str">
        <f>IF(A406="","",IF(A406="[FÓRMULA MANUAL]","",IFERROR(AVERAGEIFS(nNOTA,nNIA,A406,nCUENTA,1,nASIG,"Orquesta/Banda/Conjunto"),"")))</f>
        <v/>
      </c>
      <c r="D406" t="str">
        <f>IF(A406="","",IF(A406="[FÓRMULA MANUAL]","",IFERROR(AVERAGEIFS(nNOTA,nNIA,A406,nCUENTA,1,nASIG,"Conjunto"),"")))</f>
        <v/>
      </c>
      <c r="E406" t="str">
        <f>IF(A406="","",IF(A406="[FÓRMULA MANUAL]","",IFERROR(SUMPRODUCT((nNIA=A406)*(nCUENTA=1)*(COUNTIF(CONFIG_ASIGNATURAS!$B$7:$B$27,nASIG)&gt;0)*(nNOTA))/SUMPRODUCT((nNIA=A406)*(nCUENTA=1)*(COUNTIF(CONFIG_ASIGNATURAS!$B$7:$B$27,nASIG)&gt;0)*1),"")))</f>
        <v/>
      </c>
      <c r="H406" t="str">
        <f>IF(G406="","",IF(G406="[FÓRMULA MANUAL]","",IFERROR(AVERAGEIFS(nNOTA,nNIA,G406,nCUENTA,1,nASIG,"Lenguaje Musical"),"")))</f>
        <v/>
      </c>
      <c r="I406" t="str">
        <f>IF(G406="","",IF(G406="[FÓRMULA MANUAL]","",IFERROR(AVERAGEIFS(nNOTA,nNIA,G406,nCUENTA,1,nASIG,"Orquesta/Banda/Conjunto"),"")))</f>
        <v/>
      </c>
      <c r="J406" t="str">
        <f>IF(G406="","",IF(G406="[FÓRMULA MANUAL]","",IFERROR(AVERAGEIFS(nNOTA,nNIA,G406,nCUENTA,1,nASIG,"Conjunto"),"")))</f>
        <v/>
      </c>
      <c r="K406" t="str">
        <f>IF(G406="","",IF(G406="[FÓRMULA MANUAL]","",IFERROR(SUMPRODUCT((nNIA=G406)*(nCUENTA=1)*(COUNTIF(CONFIG_ASIGNATURAS!$B$7:$B$27,nASIG)&gt;0)*(nNOTA))/SUMPRODUCT((nNIA=G406)*(nCUENTA=1)*(COUNTIF(CONFIG_ASIGNATURAS!$B$7:$B$27,nASIG)&gt;0)*1),"")))</f>
        <v/>
      </c>
      <c r="N406" t="str">
        <f>IF(M406="","",IF(M406="[FÓRMULA MANUAL]","",IFERROR(AVERAGEIFS(nNOTA,nNIA,M406,nCUENTA,1,nASIG,"Armonía"),"")))</f>
        <v/>
      </c>
      <c r="O406" t="str">
        <f>IF(M406="","",IF(M406="[FÓRMULA MANUAL]","",IFERROR(AVERAGEIFS(nNOTA,nNIA,M406,nCUENTA,1,nASIG,"Orquesta/Banda/Conjunto"),"")))</f>
        <v/>
      </c>
      <c r="P406" t="str">
        <f>IF(M406="","",IF(M406="[FÓRMULA MANUAL]","",IFERROR(AVERAGEIFS(nNOTA,nNIA,M406,nCUENTA,1,nASIG,"Música de Cámara"),"")))</f>
        <v/>
      </c>
      <c r="Q406" t="str">
        <f>IF(M406="","",IF(M406="[FÓRMULA MANUAL]","",IFERROR(SUMPRODUCT((nNIA=M406)*(nCUENTA=1)*(COUNTIF(CONFIG_ASIGNATURAS!$B$7:$B$27,nASIG)&gt;0)*(nNOTA))/SUMPRODUCT((nNIA=M406)*(nCUENTA=1)*(COUNTIF(CONFIG_ASIGNATURAS!$B$7:$B$27,nASIG)&gt;0)*1),"")))</f>
        <v/>
      </c>
      <c r="T406" t="str">
        <f>IF(S406="","",IF(S406="[FÓRMULA MANUAL]","",IFERROR(AVERAGEIFS(nNOTA,nNIA,S406,nCUENTA,1,nASIG,"Armonía"),"")))</f>
        <v/>
      </c>
      <c r="U406" t="str">
        <f>IF(S406="","",IF(S406="[FÓRMULA MANUAL]","",IFERROR(AVERAGEIFS(nNOTA,nNIA,S406,nCUENTA,1,nASIG,"Orquesta/Banda/Conjunto"),"")))</f>
        <v/>
      </c>
      <c r="V406" t="str">
        <f>IF(S406="","",IF(S406="[FÓRMULA MANUAL]","",IFERROR(AVERAGEIFS(nNOTA,nNIA,S406,nCUENTA,1,nASIG,"Música de Cámara"),"")))</f>
        <v/>
      </c>
      <c r="W406" t="str">
        <f>IF(S406="","",IF(S406="[FÓRMULA MANUAL]","",IFERROR(SUMPRODUCT((nNIA=S406)*(nCUENTA=1)*(COUNTIF(CONFIG_ASIGNATURAS!$B$7:$B$27,nASIG)&gt;0)*(nNOTA))/SUMPRODUCT((nNIA=S406)*(nCUENTA=1)*(COUNTIF(CONFIG_ASIGNATURAS!$B$7:$B$27,nASIG)&gt;0)*1),"")))</f>
        <v/>
      </c>
      <c r="Z406" t="str">
        <f>IF(Y406="","",IF(Y406="[FÓRMULA MANUAL]","",IFERROR(AVERAGEIFS(nNOTA,nNIA,Y406,nCUENTA,1,nASIG,"Análisis"),"")))</f>
        <v/>
      </c>
      <c r="AA406" t="str">
        <f>IF(Y406="","",IF(Y406="[FÓRMULA MANUAL]","",IFERROR(AVERAGEIFS(nNOTA,nNIA,Y406,nCUENTA,1,nASIG,"Orquesta/Banda/Conjunto"),"")))</f>
        <v/>
      </c>
      <c r="AB406" t="str">
        <f>IF(Y406="","",IF(Y406="[FÓRMULA MANUAL]","",IFERROR(AVERAGEIFS(nNOTA,nNIA,Y406,nCUENTA,1,nASIG,"Música de Cámara"),"")))</f>
        <v/>
      </c>
      <c r="AC406" t="str">
        <f>IF(Y406="","",IF(Y406="[FÓRMULA MANUAL]","",IFERROR(SUMPRODUCT((nNIA=Y406)*(nCUENTA=1)*(COUNTIF(CONFIG_ASIGNATURAS!$B$7:$B$27,nASIG)&gt;0)*(nNOTA))/SUMPRODUCT((nNIA=Y406)*(nCUENTA=1)*(COUNTIF(CONFIG_ASIGNATURAS!$B$7:$B$27,nASIG)&gt;0)*1),"")))</f>
        <v/>
      </c>
      <c r="AF406" t="str">
        <f>IF(AE406="","",IF(AE406="[FÓRMULA MANUAL]","",IFERROR(AVERAGEIFS(nNOTA,nNIA,AE406,nCUENTA,1,nASIG,"Análisis"),"")))</f>
        <v/>
      </c>
      <c r="AG406" t="str">
        <f>IF(AE406="","",IF(AE406="[FÓRMULA MANUAL]","",IFERROR(AVERAGEIFS(nNOTA,nNIA,AE406,nCUENTA,1,nASIG,"Orquesta/Banda/Conjunto"),"")))</f>
        <v/>
      </c>
      <c r="AH406" t="str">
        <f>IF(AE406="","",IF(AE406="[FÓRMULA MANUAL]","",IFERROR(AVERAGEIFS(nNOTA,nNIA,AE406,nCUENTA,1,nASIG,"Música de Cámara"),"")))</f>
        <v/>
      </c>
      <c r="AI406" t="str">
        <f>IF(AE406="","",IF(AE406="[FÓRMULA MANUAL]","",IFERROR(SUMPRODUCT((nNIA=AE406)*(nCUENTA=1)*(COUNTIF(CONFIG_ASIGNATURAS!$B$7:$B$27,nASIG)&gt;0)*(nNOTA))/SUMPRODUCT((nNIA=AE406)*(nCUENTA=1)*(COUNTIF(CONFIG_ASIGNATURAS!$B$7:$B$27,nASIG)&gt;0)*1),"")))</f>
        <v/>
      </c>
    </row>
    <row r="407" spans="2:35" x14ac:dyDescent="0.2">
      <c r="B407" t="str">
        <f>IF(A407="","",IF(A407="[FÓRMULA MANUAL]","",IFERROR(AVERAGEIFS(nNOTA,nNIA,A407,nCUENTA,1,nASIG,"Lenguaje Musical"),"")))</f>
        <v/>
      </c>
      <c r="C407" t="str">
        <f>IF(A407="","",IF(A407="[FÓRMULA MANUAL]","",IFERROR(AVERAGEIFS(nNOTA,nNIA,A407,nCUENTA,1,nASIG,"Orquesta/Banda/Conjunto"),"")))</f>
        <v/>
      </c>
      <c r="D407" t="str">
        <f>IF(A407="","",IF(A407="[FÓRMULA MANUAL]","",IFERROR(AVERAGEIFS(nNOTA,nNIA,A407,nCUENTA,1,nASIG,"Conjunto"),"")))</f>
        <v/>
      </c>
      <c r="E407" t="str">
        <f>IF(A407="","",IF(A407="[FÓRMULA MANUAL]","",IFERROR(SUMPRODUCT((nNIA=A407)*(nCUENTA=1)*(COUNTIF(CONFIG_ASIGNATURAS!$B$7:$B$27,nASIG)&gt;0)*(nNOTA))/SUMPRODUCT((nNIA=A407)*(nCUENTA=1)*(COUNTIF(CONFIG_ASIGNATURAS!$B$7:$B$27,nASIG)&gt;0)*1),"")))</f>
        <v/>
      </c>
      <c r="H407" t="str">
        <f>IF(G407="","",IF(G407="[FÓRMULA MANUAL]","",IFERROR(AVERAGEIFS(nNOTA,nNIA,G407,nCUENTA,1,nASIG,"Lenguaje Musical"),"")))</f>
        <v/>
      </c>
      <c r="I407" t="str">
        <f>IF(G407="","",IF(G407="[FÓRMULA MANUAL]","",IFERROR(AVERAGEIFS(nNOTA,nNIA,G407,nCUENTA,1,nASIG,"Orquesta/Banda/Conjunto"),"")))</f>
        <v/>
      </c>
      <c r="J407" t="str">
        <f>IF(G407="","",IF(G407="[FÓRMULA MANUAL]","",IFERROR(AVERAGEIFS(nNOTA,nNIA,G407,nCUENTA,1,nASIG,"Conjunto"),"")))</f>
        <v/>
      </c>
      <c r="K407" t="str">
        <f>IF(G407="","",IF(G407="[FÓRMULA MANUAL]","",IFERROR(SUMPRODUCT((nNIA=G407)*(nCUENTA=1)*(COUNTIF(CONFIG_ASIGNATURAS!$B$7:$B$27,nASIG)&gt;0)*(nNOTA))/SUMPRODUCT((nNIA=G407)*(nCUENTA=1)*(COUNTIF(CONFIG_ASIGNATURAS!$B$7:$B$27,nASIG)&gt;0)*1),"")))</f>
        <v/>
      </c>
      <c r="N407" t="str">
        <f>IF(M407="","",IF(M407="[FÓRMULA MANUAL]","",IFERROR(AVERAGEIFS(nNOTA,nNIA,M407,nCUENTA,1,nASIG,"Armonía"),"")))</f>
        <v/>
      </c>
      <c r="O407" t="str">
        <f>IF(M407="","",IF(M407="[FÓRMULA MANUAL]","",IFERROR(AVERAGEIFS(nNOTA,nNIA,M407,nCUENTA,1,nASIG,"Orquesta/Banda/Conjunto"),"")))</f>
        <v/>
      </c>
      <c r="P407" t="str">
        <f>IF(M407="","",IF(M407="[FÓRMULA MANUAL]","",IFERROR(AVERAGEIFS(nNOTA,nNIA,M407,nCUENTA,1,nASIG,"Música de Cámara"),"")))</f>
        <v/>
      </c>
      <c r="Q407" t="str">
        <f>IF(M407="","",IF(M407="[FÓRMULA MANUAL]","",IFERROR(SUMPRODUCT((nNIA=M407)*(nCUENTA=1)*(COUNTIF(CONFIG_ASIGNATURAS!$B$7:$B$27,nASIG)&gt;0)*(nNOTA))/SUMPRODUCT((nNIA=M407)*(nCUENTA=1)*(COUNTIF(CONFIG_ASIGNATURAS!$B$7:$B$27,nASIG)&gt;0)*1),"")))</f>
        <v/>
      </c>
      <c r="T407" t="str">
        <f>IF(S407="","",IF(S407="[FÓRMULA MANUAL]","",IFERROR(AVERAGEIFS(nNOTA,nNIA,S407,nCUENTA,1,nASIG,"Armonía"),"")))</f>
        <v/>
      </c>
      <c r="U407" t="str">
        <f>IF(S407="","",IF(S407="[FÓRMULA MANUAL]","",IFERROR(AVERAGEIFS(nNOTA,nNIA,S407,nCUENTA,1,nASIG,"Orquesta/Banda/Conjunto"),"")))</f>
        <v/>
      </c>
      <c r="V407" t="str">
        <f>IF(S407="","",IF(S407="[FÓRMULA MANUAL]","",IFERROR(AVERAGEIFS(nNOTA,nNIA,S407,nCUENTA,1,nASIG,"Música de Cámara"),"")))</f>
        <v/>
      </c>
      <c r="W407" t="str">
        <f>IF(S407="","",IF(S407="[FÓRMULA MANUAL]","",IFERROR(SUMPRODUCT((nNIA=S407)*(nCUENTA=1)*(COUNTIF(CONFIG_ASIGNATURAS!$B$7:$B$27,nASIG)&gt;0)*(nNOTA))/SUMPRODUCT((nNIA=S407)*(nCUENTA=1)*(COUNTIF(CONFIG_ASIGNATURAS!$B$7:$B$27,nASIG)&gt;0)*1),"")))</f>
        <v/>
      </c>
      <c r="Z407" t="str">
        <f>IF(Y407="","",IF(Y407="[FÓRMULA MANUAL]","",IFERROR(AVERAGEIFS(nNOTA,nNIA,Y407,nCUENTA,1,nASIG,"Análisis"),"")))</f>
        <v/>
      </c>
      <c r="AA407" t="str">
        <f>IF(Y407="","",IF(Y407="[FÓRMULA MANUAL]","",IFERROR(AVERAGEIFS(nNOTA,nNIA,Y407,nCUENTA,1,nASIG,"Orquesta/Banda/Conjunto"),"")))</f>
        <v/>
      </c>
      <c r="AB407" t="str">
        <f>IF(Y407="","",IF(Y407="[FÓRMULA MANUAL]","",IFERROR(AVERAGEIFS(nNOTA,nNIA,Y407,nCUENTA,1,nASIG,"Música de Cámara"),"")))</f>
        <v/>
      </c>
      <c r="AC407" t="str">
        <f>IF(Y407="","",IF(Y407="[FÓRMULA MANUAL]","",IFERROR(SUMPRODUCT((nNIA=Y407)*(nCUENTA=1)*(COUNTIF(CONFIG_ASIGNATURAS!$B$7:$B$27,nASIG)&gt;0)*(nNOTA))/SUMPRODUCT((nNIA=Y407)*(nCUENTA=1)*(COUNTIF(CONFIG_ASIGNATURAS!$B$7:$B$27,nASIG)&gt;0)*1),"")))</f>
        <v/>
      </c>
      <c r="AF407" t="str">
        <f>IF(AE407="","",IF(AE407="[FÓRMULA MANUAL]","",IFERROR(AVERAGEIFS(nNOTA,nNIA,AE407,nCUENTA,1,nASIG,"Análisis"),"")))</f>
        <v/>
      </c>
      <c r="AG407" t="str">
        <f>IF(AE407="","",IF(AE407="[FÓRMULA MANUAL]","",IFERROR(AVERAGEIFS(nNOTA,nNIA,AE407,nCUENTA,1,nASIG,"Orquesta/Banda/Conjunto"),"")))</f>
        <v/>
      </c>
      <c r="AH407" t="str">
        <f>IF(AE407="","",IF(AE407="[FÓRMULA MANUAL]","",IFERROR(AVERAGEIFS(nNOTA,nNIA,AE407,nCUENTA,1,nASIG,"Música de Cámara"),"")))</f>
        <v/>
      </c>
      <c r="AI407" t="str">
        <f>IF(AE407="","",IF(AE407="[FÓRMULA MANUAL]","",IFERROR(SUMPRODUCT((nNIA=AE407)*(nCUENTA=1)*(COUNTIF(CONFIG_ASIGNATURAS!$B$7:$B$27,nASIG)&gt;0)*(nNOTA))/SUMPRODUCT((nNIA=AE407)*(nCUENTA=1)*(COUNTIF(CONFIG_ASIGNATURAS!$B$7:$B$27,nASIG)&gt;0)*1),"")))</f>
        <v/>
      </c>
    </row>
    <row r="408" spans="2:35" x14ac:dyDescent="0.2">
      <c r="B408" t="str">
        <f>IF(A408="","",IF(A408="[FÓRMULA MANUAL]","",IFERROR(AVERAGEIFS(nNOTA,nNIA,A408,nCUENTA,1,nASIG,"Lenguaje Musical"),"")))</f>
        <v/>
      </c>
      <c r="C408" t="str">
        <f>IF(A408="","",IF(A408="[FÓRMULA MANUAL]","",IFERROR(AVERAGEIFS(nNOTA,nNIA,A408,nCUENTA,1,nASIG,"Orquesta/Banda/Conjunto"),"")))</f>
        <v/>
      </c>
      <c r="D408" t="str">
        <f>IF(A408="","",IF(A408="[FÓRMULA MANUAL]","",IFERROR(AVERAGEIFS(nNOTA,nNIA,A408,nCUENTA,1,nASIG,"Conjunto"),"")))</f>
        <v/>
      </c>
      <c r="E408" t="str">
        <f>IF(A408="","",IF(A408="[FÓRMULA MANUAL]","",IFERROR(SUMPRODUCT((nNIA=A408)*(nCUENTA=1)*(COUNTIF(CONFIG_ASIGNATURAS!$B$7:$B$27,nASIG)&gt;0)*(nNOTA))/SUMPRODUCT((nNIA=A408)*(nCUENTA=1)*(COUNTIF(CONFIG_ASIGNATURAS!$B$7:$B$27,nASIG)&gt;0)*1),"")))</f>
        <v/>
      </c>
      <c r="H408" t="str">
        <f>IF(G408="","",IF(G408="[FÓRMULA MANUAL]","",IFERROR(AVERAGEIFS(nNOTA,nNIA,G408,nCUENTA,1,nASIG,"Lenguaje Musical"),"")))</f>
        <v/>
      </c>
      <c r="I408" t="str">
        <f>IF(G408="","",IF(G408="[FÓRMULA MANUAL]","",IFERROR(AVERAGEIFS(nNOTA,nNIA,G408,nCUENTA,1,nASIG,"Orquesta/Banda/Conjunto"),"")))</f>
        <v/>
      </c>
      <c r="J408" t="str">
        <f>IF(G408="","",IF(G408="[FÓRMULA MANUAL]","",IFERROR(AVERAGEIFS(nNOTA,nNIA,G408,nCUENTA,1,nASIG,"Conjunto"),"")))</f>
        <v/>
      </c>
      <c r="K408" t="str">
        <f>IF(G408="","",IF(G408="[FÓRMULA MANUAL]","",IFERROR(SUMPRODUCT((nNIA=G408)*(nCUENTA=1)*(COUNTIF(CONFIG_ASIGNATURAS!$B$7:$B$27,nASIG)&gt;0)*(nNOTA))/SUMPRODUCT((nNIA=G408)*(nCUENTA=1)*(COUNTIF(CONFIG_ASIGNATURAS!$B$7:$B$27,nASIG)&gt;0)*1),"")))</f>
        <v/>
      </c>
      <c r="N408" t="str">
        <f>IF(M408="","",IF(M408="[FÓRMULA MANUAL]","",IFERROR(AVERAGEIFS(nNOTA,nNIA,M408,nCUENTA,1,nASIG,"Armonía"),"")))</f>
        <v/>
      </c>
      <c r="O408" t="str">
        <f>IF(M408="","",IF(M408="[FÓRMULA MANUAL]","",IFERROR(AVERAGEIFS(nNOTA,nNIA,M408,nCUENTA,1,nASIG,"Orquesta/Banda/Conjunto"),"")))</f>
        <v/>
      </c>
      <c r="P408" t="str">
        <f>IF(M408="","",IF(M408="[FÓRMULA MANUAL]","",IFERROR(AVERAGEIFS(nNOTA,nNIA,M408,nCUENTA,1,nASIG,"Música de Cámara"),"")))</f>
        <v/>
      </c>
      <c r="Q408" t="str">
        <f>IF(M408="","",IF(M408="[FÓRMULA MANUAL]","",IFERROR(SUMPRODUCT((nNIA=M408)*(nCUENTA=1)*(COUNTIF(CONFIG_ASIGNATURAS!$B$7:$B$27,nASIG)&gt;0)*(nNOTA))/SUMPRODUCT((nNIA=M408)*(nCUENTA=1)*(COUNTIF(CONFIG_ASIGNATURAS!$B$7:$B$27,nASIG)&gt;0)*1),"")))</f>
        <v/>
      </c>
      <c r="T408" t="str">
        <f>IF(S408="","",IF(S408="[FÓRMULA MANUAL]","",IFERROR(AVERAGEIFS(nNOTA,nNIA,S408,nCUENTA,1,nASIG,"Armonía"),"")))</f>
        <v/>
      </c>
      <c r="U408" t="str">
        <f>IF(S408="","",IF(S408="[FÓRMULA MANUAL]","",IFERROR(AVERAGEIFS(nNOTA,nNIA,S408,nCUENTA,1,nASIG,"Orquesta/Banda/Conjunto"),"")))</f>
        <v/>
      </c>
      <c r="V408" t="str">
        <f>IF(S408="","",IF(S408="[FÓRMULA MANUAL]","",IFERROR(AVERAGEIFS(nNOTA,nNIA,S408,nCUENTA,1,nASIG,"Música de Cámara"),"")))</f>
        <v/>
      </c>
      <c r="W408" t="str">
        <f>IF(S408="","",IF(S408="[FÓRMULA MANUAL]","",IFERROR(SUMPRODUCT((nNIA=S408)*(nCUENTA=1)*(COUNTIF(CONFIG_ASIGNATURAS!$B$7:$B$27,nASIG)&gt;0)*(nNOTA))/SUMPRODUCT((nNIA=S408)*(nCUENTA=1)*(COUNTIF(CONFIG_ASIGNATURAS!$B$7:$B$27,nASIG)&gt;0)*1),"")))</f>
        <v/>
      </c>
      <c r="Z408" t="str">
        <f>IF(Y408="","",IF(Y408="[FÓRMULA MANUAL]","",IFERROR(AVERAGEIFS(nNOTA,nNIA,Y408,nCUENTA,1,nASIG,"Análisis"),"")))</f>
        <v/>
      </c>
      <c r="AA408" t="str">
        <f>IF(Y408="","",IF(Y408="[FÓRMULA MANUAL]","",IFERROR(AVERAGEIFS(nNOTA,nNIA,Y408,nCUENTA,1,nASIG,"Orquesta/Banda/Conjunto"),"")))</f>
        <v/>
      </c>
      <c r="AB408" t="str">
        <f>IF(Y408="","",IF(Y408="[FÓRMULA MANUAL]","",IFERROR(AVERAGEIFS(nNOTA,nNIA,Y408,nCUENTA,1,nASIG,"Música de Cámara"),"")))</f>
        <v/>
      </c>
      <c r="AC408" t="str">
        <f>IF(Y408="","",IF(Y408="[FÓRMULA MANUAL]","",IFERROR(SUMPRODUCT((nNIA=Y408)*(nCUENTA=1)*(COUNTIF(CONFIG_ASIGNATURAS!$B$7:$B$27,nASIG)&gt;0)*(nNOTA))/SUMPRODUCT((nNIA=Y408)*(nCUENTA=1)*(COUNTIF(CONFIG_ASIGNATURAS!$B$7:$B$27,nASIG)&gt;0)*1),"")))</f>
        <v/>
      </c>
      <c r="AF408" t="str">
        <f>IF(AE408="","",IF(AE408="[FÓRMULA MANUAL]","",IFERROR(AVERAGEIFS(nNOTA,nNIA,AE408,nCUENTA,1,nASIG,"Análisis"),"")))</f>
        <v/>
      </c>
      <c r="AG408" t="str">
        <f>IF(AE408="","",IF(AE408="[FÓRMULA MANUAL]","",IFERROR(AVERAGEIFS(nNOTA,nNIA,AE408,nCUENTA,1,nASIG,"Orquesta/Banda/Conjunto"),"")))</f>
        <v/>
      </c>
      <c r="AH408" t="str">
        <f>IF(AE408="","",IF(AE408="[FÓRMULA MANUAL]","",IFERROR(AVERAGEIFS(nNOTA,nNIA,AE408,nCUENTA,1,nASIG,"Música de Cámara"),"")))</f>
        <v/>
      </c>
      <c r="AI408" t="str">
        <f>IF(AE408="","",IF(AE408="[FÓRMULA MANUAL]","",IFERROR(SUMPRODUCT((nNIA=AE408)*(nCUENTA=1)*(COUNTIF(CONFIG_ASIGNATURAS!$B$7:$B$27,nASIG)&gt;0)*(nNOTA))/SUMPRODUCT((nNIA=AE408)*(nCUENTA=1)*(COUNTIF(CONFIG_ASIGNATURAS!$B$7:$B$27,nASIG)&gt;0)*1),"")))</f>
        <v/>
      </c>
    </row>
    <row r="409" spans="2:35" x14ac:dyDescent="0.2">
      <c r="B409" t="str">
        <f>IF(A409="","",IF(A409="[FÓRMULA MANUAL]","",IFERROR(AVERAGEIFS(nNOTA,nNIA,A409,nCUENTA,1,nASIG,"Lenguaje Musical"),"")))</f>
        <v/>
      </c>
      <c r="C409" t="str">
        <f>IF(A409="","",IF(A409="[FÓRMULA MANUAL]","",IFERROR(AVERAGEIFS(nNOTA,nNIA,A409,nCUENTA,1,nASIG,"Orquesta/Banda/Conjunto"),"")))</f>
        <v/>
      </c>
      <c r="D409" t="str">
        <f>IF(A409="","",IF(A409="[FÓRMULA MANUAL]","",IFERROR(AVERAGEIFS(nNOTA,nNIA,A409,nCUENTA,1,nASIG,"Conjunto"),"")))</f>
        <v/>
      </c>
      <c r="E409" t="str">
        <f>IF(A409="","",IF(A409="[FÓRMULA MANUAL]","",IFERROR(SUMPRODUCT((nNIA=A409)*(nCUENTA=1)*(COUNTIF(CONFIG_ASIGNATURAS!$B$7:$B$27,nASIG)&gt;0)*(nNOTA))/SUMPRODUCT((nNIA=A409)*(nCUENTA=1)*(COUNTIF(CONFIG_ASIGNATURAS!$B$7:$B$27,nASIG)&gt;0)*1),"")))</f>
        <v/>
      </c>
      <c r="H409" t="str">
        <f>IF(G409="","",IF(G409="[FÓRMULA MANUAL]","",IFERROR(AVERAGEIFS(nNOTA,nNIA,G409,nCUENTA,1,nASIG,"Lenguaje Musical"),"")))</f>
        <v/>
      </c>
      <c r="I409" t="str">
        <f>IF(G409="","",IF(G409="[FÓRMULA MANUAL]","",IFERROR(AVERAGEIFS(nNOTA,nNIA,G409,nCUENTA,1,nASIG,"Orquesta/Banda/Conjunto"),"")))</f>
        <v/>
      </c>
      <c r="J409" t="str">
        <f>IF(G409="","",IF(G409="[FÓRMULA MANUAL]","",IFERROR(AVERAGEIFS(nNOTA,nNIA,G409,nCUENTA,1,nASIG,"Conjunto"),"")))</f>
        <v/>
      </c>
      <c r="K409" t="str">
        <f>IF(G409="","",IF(G409="[FÓRMULA MANUAL]","",IFERROR(SUMPRODUCT((nNIA=G409)*(nCUENTA=1)*(COUNTIF(CONFIG_ASIGNATURAS!$B$7:$B$27,nASIG)&gt;0)*(nNOTA))/SUMPRODUCT((nNIA=G409)*(nCUENTA=1)*(COUNTIF(CONFIG_ASIGNATURAS!$B$7:$B$27,nASIG)&gt;0)*1),"")))</f>
        <v/>
      </c>
      <c r="N409" t="str">
        <f>IF(M409="","",IF(M409="[FÓRMULA MANUAL]","",IFERROR(AVERAGEIFS(nNOTA,nNIA,M409,nCUENTA,1,nASIG,"Armonía"),"")))</f>
        <v/>
      </c>
      <c r="O409" t="str">
        <f>IF(M409="","",IF(M409="[FÓRMULA MANUAL]","",IFERROR(AVERAGEIFS(nNOTA,nNIA,M409,nCUENTA,1,nASIG,"Orquesta/Banda/Conjunto"),"")))</f>
        <v/>
      </c>
      <c r="P409" t="str">
        <f>IF(M409="","",IF(M409="[FÓRMULA MANUAL]","",IFERROR(AVERAGEIFS(nNOTA,nNIA,M409,nCUENTA,1,nASIG,"Música de Cámara"),"")))</f>
        <v/>
      </c>
      <c r="Q409" t="str">
        <f>IF(M409="","",IF(M409="[FÓRMULA MANUAL]","",IFERROR(SUMPRODUCT((nNIA=M409)*(nCUENTA=1)*(COUNTIF(CONFIG_ASIGNATURAS!$B$7:$B$27,nASIG)&gt;0)*(nNOTA))/SUMPRODUCT((nNIA=M409)*(nCUENTA=1)*(COUNTIF(CONFIG_ASIGNATURAS!$B$7:$B$27,nASIG)&gt;0)*1),"")))</f>
        <v/>
      </c>
      <c r="T409" t="str">
        <f>IF(S409="","",IF(S409="[FÓRMULA MANUAL]","",IFERROR(AVERAGEIFS(nNOTA,nNIA,S409,nCUENTA,1,nASIG,"Armonía"),"")))</f>
        <v/>
      </c>
      <c r="U409" t="str">
        <f>IF(S409="","",IF(S409="[FÓRMULA MANUAL]","",IFERROR(AVERAGEIFS(nNOTA,nNIA,S409,nCUENTA,1,nASIG,"Orquesta/Banda/Conjunto"),"")))</f>
        <v/>
      </c>
      <c r="V409" t="str">
        <f>IF(S409="","",IF(S409="[FÓRMULA MANUAL]","",IFERROR(AVERAGEIFS(nNOTA,nNIA,S409,nCUENTA,1,nASIG,"Música de Cámara"),"")))</f>
        <v/>
      </c>
      <c r="W409" t="str">
        <f>IF(S409="","",IF(S409="[FÓRMULA MANUAL]","",IFERROR(SUMPRODUCT((nNIA=S409)*(nCUENTA=1)*(COUNTIF(CONFIG_ASIGNATURAS!$B$7:$B$27,nASIG)&gt;0)*(nNOTA))/SUMPRODUCT((nNIA=S409)*(nCUENTA=1)*(COUNTIF(CONFIG_ASIGNATURAS!$B$7:$B$27,nASIG)&gt;0)*1),"")))</f>
        <v/>
      </c>
      <c r="Z409" t="str">
        <f>IF(Y409="","",IF(Y409="[FÓRMULA MANUAL]","",IFERROR(AVERAGEIFS(nNOTA,nNIA,Y409,nCUENTA,1,nASIG,"Análisis"),"")))</f>
        <v/>
      </c>
      <c r="AA409" t="str">
        <f>IF(Y409="","",IF(Y409="[FÓRMULA MANUAL]","",IFERROR(AVERAGEIFS(nNOTA,nNIA,Y409,nCUENTA,1,nASIG,"Orquesta/Banda/Conjunto"),"")))</f>
        <v/>
      </c>
      <c r="AB409" t="str">
        <f>IF(Y409="","",IF(Y409="[FÓRMULA MANUAL]","",IFERROR(AVERAGEIFS(nNOTA,nNIA,Y409,nCUENTA,1,nASIG,"Música de Cámara"),"")))</f>
        <v/>
      </c>
      <c r="AC409" t="str">
        <f>IF(Y409="","",IF(Y409="[FÓRMULA MANUAL]","",IFERROR(SUMPRODUCT((nNIA=Y409)*(nCUENTA=1)*(COUNTIF(CONFIG_ASIGNATURAS!$B$7:$B$27,nASIG)&gt;0)*(nNOTA))/SUMPRODUCT((nNIA=Y409)*(nCUENTA=1)*(COUNTIF(CONFIG_ASIGNATURAS!$B$7:$B$27,nASIG)&gt;0)*1),"")))</f>
        <v/>
      </c>
      <c r="AF409" t="str">
        <f>IF(AE409="","",IF(AE409="[FÓRMULA MANUAL]","",IFERROR(AVERAGEIFS(nNOTA,nNIA,AE409,nCUENTA,1,nASIG,"Análisis"),"")))</f>
        <v/>
      </c>
      <c r="AG409" t="str">
        <f>IF(AE409="","",IF(AE409="[FÓRMULA MANUAL]","",IFERROR(AVERAGEIFS(nNOTA,nNIA,AE409,nCUENTA,1,nASIG,"Orquesta/Banda/Conjunto"),"")))</f>
        <v/>
      </c>
      <c r="AH409" t="str">
        <f>IF(AE409="","",IF(AE409="[FÓRMULA MANUAL]","",IFERROR(AVERAGEIFS(nNOTA,nNIA,AE409,nCUENTA,1,nASIG,"Música de Cámara"),"")))</f>
        <v/>
      </c>
      <c r="AI409" t="str">
        <f>IF(AE409="","",IF(AE409="[FÓRMULA MANUAL]","",IFERROR(SUMPRODUCT((nNIA=AE409)*(nCUENTA=1)*(COUNTIF(CONFIG_ASIGNATURAS!$B$7:$B$27,nASIG)&gt;0)*(nNOTA))/SUMPRODUCT((nNIA=AE409)*(nCUENTA=1)*(COUNTIF(CONFIG_ASIGNATURAS!$B$7:$B$27,nASIG)&gt;0)*1),"")))</f>
        <v/>
      </c>
    </row>
    <row r="410" spans="2:35" x14ac:dyDescent="0.2">
      <c r="B410" t="str">
        <f>IF(A410="","",IF(A410="[FÓRMULA MANUAL]","",IFERROR(AVERAGEIFS(nNOTA,nNIA,A410,nCUENTA,1,nASIG,"Lenguaje Musical"),"")))</f>
        <v/>
      </c>
      <c r="C410" t="str">
        <f>IF(A410="","",IF(A410="[FÓRMULA MANUAL]","",IFERROR(AVERAGEIFS(nNOTA,nNIA,A410,nCUENTA,1,nASIG,"Orquesta/Banda/Conjunto"),"")))</f>
        <v/>
      </c>
      <c r="D410" t="str">
        <f>IF(A410="","",IF(A410="[FÓRMULA MANUAL]","",IFERROR(AVERAGEIFS(nNOTA,nNIA,A410,nCUENTA,1,nASIG,"Conjunto"),"")))</f>
        <v/>
      </c>
      <c r="E410" t="str">
        <f>IF(A410="","",IF(A410="[FÓRMULA MANUAL]","",IFERROR(SUMPRODUCT((nNIA=A410)*(nCUENTA=1)*(COUNTIF(CONFIG_ASIGNATURAS!$B$7:$B$27,nASIG)&gt;0)*(nNOTA))/SUMPRODUCT((nNIA=A410)*(nCUENTA=1)*(COUNTIF(CONFIG_ASIGNATURAS!$B$7:$B$27,nASIG)&gt;0)*1),"")))</f>
        <v/>
      </c>
      <c r="H410" t="str">
        <f>IF(G410="","",IF(G410="[FÓRMULA MANUAL]","",IFERROR(AVERAGEIFS(nNOTA,nNIA,G410,nCUENTA,1,nASIG,"Lenguaje Musical"),"")))</f>
        <v/>
      </c>
      <c r="I410" t="str">
        <f>IF(G410="","",IF(G410="[FÓRMULA MANUAL]","",IFERROR(AVERAGEIFS(nNOTA,nNIA,G410,nCUENTA,1,nASIG,"Orquesta/Banda/Conjunto"),"")))</f>
        <v/>
      </c>
      <c r="J410" t="str">
        <f>IF(G410="","",IF(G410="[FÓRMULA MANUAL]","",IFERROR(AVERAGEIFS(nNOTA,nNIA,G410,nCUENTA,1,nASIG,"Conjunto"),"")))</f>
        <v/>
      </c>
      <c r="K410" t="str">
        <f>IF(G410="","",IF(G410="[FÓRMULA MANUAL]","",IFERROR(SUMPRODUCT((nNIA=G410)*(nCUENTA=1)*(COUNTIF(CONFIG_ASIGNATURAS!$B$7:$B$27,nASIG)&gt;0)*(nNOTA))/SUMPRODUCT((nNIA=G410)*(nCUENTA=1)*(COUNTIF(CONFIG_ASIGNATURAS!$B$7:$B$27,nASIG)&gt;0)*1),"")))</f>
        <v/>
      </c>
      <c r="N410" t="str">
        <f>IF(M410="","",IF(M410="[FÓRMULA MANUAL]","",IFERROR(AVERAGEIFS(nNOTA,nNIA,M410,nCUENTA,1,nASIG,"Armonía"),"")))</f>
        <v/>
      </c>
      <c r="O410" t="str">
        <f>IF(M410="","",IF(M410="[FÓRMULA MANUAL]","",IFERROR(AVERAGEIFS(nNOTA,nNIA,M410,nCUENTA,1,nASIG,"Orquesta/Banda/Conjunto"),"")))</f>
        <v/>
      </c>
      <c r="P410" t="str">
        <f>IF(M410="","",IF(M410="[FÓRMULA MANUAL]","",IFERROR(AVERAGEIFS(nNOTA,nNIA,M410,nCUENTA,1,nASIG,"Música de Cámara"),"")))</f>
        <v/>
      </c>
      <c r="Q410" t="str">
        <f>IF(M410="","",IF(M410="[FÓRMULA MANUAL]","",IFERROR(SUMPRODUCT((nNIA=M410)*(nCUENTA=1)*(COUNTIF(CONFIG_ASIGNATURAS!$B$7:$B$27,nASIG)&gt;0)*(nNOTA))/SUMPRODUCT((nNIA=M410)*(nCUENTA=1)*(COUNTIF(CONFIG_ASIGNATURAS!$B$7:$B$27,nASIG)&gt;0)*1),"")))</f>
        <v/>
      </c>
      <c r="T410" t="str">
        <f>IF(S410="","",IF(S410="[FÓRMULA MANUAL]","",IFERROR(AVERAGEIFS(nNOTA,nNIA,S410,nCUENTA,1,nASIG,"Armonía"),"")))</f>
        <v/>
      </c>
      <c r="U410" t="str">
        <f>IF(S410="","",IF(S410="[FÓRMULA MANUAL]","",IFERROR(AVERAGEIFS(nNOTA,nNIA,S410,nCUENTA,1,nASIG,"Orquesta/Banda/Conjunto"),"")))</f>
        <v/>
      </c>
      <c r="V410" t="str">
        <f>IF(S410="","",IF(S410="[FÓRMULA MANUAL]","",IFERROR(AVERAGEIFS(nNOTA,nNIA,S410,nCUENTA,1,nASIG,"Música de Cámara"),"")))</f>
        <v/>
      </c>
      <c r="W410" t="str">
        <f>IF(S410="","",IF(S410="[FÓRMULA MANUAL]","",IFERROR(SUMPRODUCT((nNIA=S410)*(nCUENTA=1)*(COUNTIF(CONFIG_ASIGNATURAS!$B$7:$B$27,nASIG)&gt;0)*(nNOTA))/SUMPRODUCT((nNIA=S410)*(nCUENTA=1)*(COUNTIF(CONFIG_ASIGNATURAS!$B$7:$B$27,nASIG)&gt;0)*1),"")))</f>
        <v/>
      </c>
      <c r="Z410" t="str">
        <f>IF(Y410="","",IF(Y410="[FÓRMULA MANUAL]","",IFERROR(AVERAGEIFS(nNOTA,nNIA,Y410,nCUENTA,1,nASIG,"Análisis"),"")))</f>
        <v/>
      </c>
      <c r="AA410" t="str">
        <f>IF(Y410="","",IF(Y410="[FÓRMULA MANUAL]","",IFERROR(AVERAGEIFS(nNOTA,nNIA,Y410,nCUENTA,1,nASIG,"Orquesta/Banda/Conjunto"),"")))</f>
        <v/>
      </c>
      <c r="AB410" t="str">
        <f>IF(Y410="","",IF(Y410="[FÓRMULA MANUAL]","",IFERROR(AVERAGEIFS(nNOTA,nNIA,Y410,nCUENTA,1,nASIG,"Música de Cámara"),"")))</f>
        <v/>
      </c>
      <c r="AC410" t="str">
        <f>IF(Y410="","",IF(Y410="[FÓRMULA MANUAL]","",IFERROR(SUMPRODUCT((nNIA=Y410)*(nCUENTA=1)*(COUNTIF(CONFIG_ASIGNATURAS!$B$7:$B$27,nASIG)&gt;0)*(nNOTA))/SUMPRODUCT((nNIA=Y410)*(nCUENTA=1)*(COUNTIF(CONFIG_ASIGNATURAS!$B$7:$B$27,nASIG)&gt;0)*1),"")))</f>
        <v/>
      </c>
      <c r="AF410" t="str">
        <f>IF(AE410="","",IF(AE410="[FÓRMULA MANUAL]","",IFERROR(AVERAGEIFS(nNOTA,nNIA,AE410,nCUENTA,1,nASIG,"Análisis"),"")))</f>
        <v/>
      </c>
      <c r="AG410" t="str">
        <f>IF(AE410="","",IF(AE410="[FÓRMULA MANUAL]","",IFERROR(AVERAGEIFS(nNOTA,nNIA,AE410,nCUENTA,1,nASIG,"Orquesta/Banda/Conjunto"),"")))</f>
        <v/>
      </c>
      <c r="AH410" t="str">
        <f>IF(AE410="","",IF(AE410="[FÓRMULA MANUAL]","",IFERROR(AVERAGEIFS(nNOTA,nNIA,AE410,nCUENTA,1,nASIG,"Música de Cámara"),"")))</f>
        <v/>
      </c>
      <c r="AI410" t="str">
        <f>IF(AE410="","",IF(AE410="[FÓRMULA MANUAL]","",IFERROR(SUMPRODUCT((nNIA=AE410)*(nCUENTA=1)*(COUNTIF(CONFIG_ASIGNATURAS!$B$7:$B$27,nASIG)&gt;0)*(nNOTA))/SUMPRODUCT((nNIA=AE410)*(nCUENTA=1)*(COUNTIF(CONFIG_ASIGNATURAS!$B$7:$B$27,nASIG)&gt;0)*1),"")))</f>
        <v/>
      </c>
    </row>
    <row r="411" spans="2:35" x14ac:dyDescent="0.2">
      <c r="B411" t="str">
        <f>IF(A411="","",IF(A411="[FÓRMULA MANUAL]","",IFERROR(AVERAGEIFS(nNOTA,nNIA,A411,nCUENTA,1,nASIG,"Lenguaje Musical"),"")))</f>
        <v/>
      </c>
      <c r="C411" t="str">
        <f>IF(A411="","",IF(A411="[FÓRMULA MANUAL]","",IFERROR(AVERAGEIFS(nNOTA,nNIA,A411,nCUENTA,1,nASIG,"Orquesta/Banda/Conjunto"),"")))</f>
        <v/>
      </c>
      <c r="D411" t="str">
        <f>IF(A411="","",IF(A411="[FÓRMULA MANUAL]","",IFERROR(AVERAGEIFS(nNOTA,nNIA,A411,nCUENTA,1,nASIG,"Conjunto"),"")))</f>
        <v/>
      </c>
      <c r="E411" t="str">
        <f>IF(A411="","",IF(A411="[FÓRMULA MANUAL]","",IFERROR(SUMPRODUCT((nNIA=A411)*(nCUENTA=1)*(COUNTIF(CONFIG_ASIGNATURAS!$B$7:$B$27,nASIG)&gt;0)*(nNOTA))/SUMPRODUCT((nNIA=A411)*(nCUENTA=1)*(COUNTIF(CONFIG_ASIGNATURAS!$B$7:$B$27,nASIG)&gt;0)*1),"")))</f>
        <v/>
      </c>
      <c r="H411" t="str">
        <f>IF(G411="","",IF(G411="[FÓRMULA MANUAL]","",IFERROR(AVERAGEIFS(nNOTA,nNIA,G411,nCUENTA,1,nASIG,"Lenguaje Musical"),"")))</f>
        <v/>
      </c>
      <c r="I411" t="str">
        <f>IF(G411="","",IF(G411="[FÓRMULA MANUAL]","",IFERROR(AVERAGEIFS(nNOTA,nNIA,G411,nCUENTA,1,nASIG,"Orquesta/Banda/Conjunto"),"")))</f>
        <v/>
      </c>
      <c r="J411" t="str">
        <f>IF(G411="","",IF(G411="[FÓRMULA MANUAL]","",IFERROR(AVERAGEIFS(nNOTA,nNIA,G411,nCUENTA,1,nASIG,"Conjunto"),"")))</f>
        <v/>
      </c>
      <c r="K411" t="str">
        <f>IF(G411="","",IF(G411="[FÓRMULA MANUAL]","",IFERROR(SUMPRODUCT((nNIA=G411)*(nCUENTA=1)*(COUNTIF(CONFIG_ASIGNATURAS!$B$7:$B$27,nASIG)&gt;0)*(nNOTA))/SUMPRODUCT((nNIA=G411)*(nCUENTA=1)*(COUNTIF(CONFIG_ASIGNATURAS!$B$7:$B$27,nASIG)&gt;0)*1),"")))</f>
        <v/>
      </c>
      <c r="N411" t="str">
        <f>IF(M411="","",IF(M411="[FÓRMULA MANUAL]","",IFERROR(AVERAGEIFS(nNOTA,nNIA,M411,nCUENTA,1,nASIG,"Armonía"),"")))</f>
        <v/>
      </c>
      <c r="O411" t="str">
        <f>IF(M411="","",IF(M411="[FÓRMULA MANUAL]","",IFERROR(AVERAGEIFS(nNOTA,nNIA,M411,nCUENTA,1,nASIG,"Orquesta/Banda/Conjunto"),"")))</f>
        <v/>
      </c>
      <c r="P411" t="str">
        <f>IF(M411="","",IF(M411="[FÓRMULA MANUAL]","",IFERROR(AVERAGEIFS(nNOTA,nNIA,M411,nCUENTA,1,nASIG,"Música de Cámara"),"")))</f>
        <v/>
      </c>
      <c r="Q411" t="str">
        <f>IF(M411="","",IF(M411="[FÓRMULA MANUAL]","",IFERROR(SUMPRODUCT((nNIA=M411)*(nCUENTA=1)*(COUNTIF(CONFIG_ASIGNATURAS!$B$7:$B$27,nASIG)&gt;0)*(nNOTA))/SUMPRODUCT((nNIA=M411)*(nCUENTA=1)*(COUNTIF(CONFIG_ASIGNATURAS!$B$7:$B$27,nASIG)&gt;0)*1),"")))</f>
        <v/>
      </c>
      <c r="T411" t="str">
        <f>IF(S411="","",IF(S411="[FÓRMULA MANUAL]","",IFERROR(AVERAGEIFS(nNOTA,nNIA,S411,nCUENTA,1,nASIG,"Armonía"),"")))</f>
        <v/>
      </c>
      <c r="U411" t="str">
        <f>IF(S411="","",IF(S411="[FÓRMULA MANUAL]","",IFERROR(AVERAGEIFS(nNOTA,nNIA,S411,nCUENTA,1,nASIG,"Orquesta/Banda/Conjunto"),"")))</f>
        <v/>
      </c>
      <c r="V411" t="str">
        <f>IF(S411="","",IF(S411="[FÓRMULA MANUAL]","",IFERROR(AVERAGEIFS(nNOTA,nNIA,S411,nCUENTA,1,nASIG,"Música de Cámara"),"")))</f>
        <v/>
      </c>
      <c r="W411" t="str">
        <f>IF(S411="","",IF(S411="[FÓRMULA MANUAL]","",IFERROR(SUMPRODUCT((nNIA=S411)*(nCUENTA=1)*(COUNTIF(CONFIG_ASIGNATURAS!$B$7:$B$27,nASIG)&gt;0)*(nNOTA))/SUMPRODUCT((nNIA=S411)*(nCUENTA=1)*(COUNTIF(CONFIG_ASIGNATURAS!$B$7:$B$27,nASIG)&gt;0)*1),"")))</f>
        <v/>
      </c>
      <c r="Z411" t="str">
        <f>IF(Y411="","",IF(Y411="[FÓRMULA MANUAL]","",IFERROR(AVERAGEIFS(nNOTA,nNIA,Y411,nCUENTA,1,nASIG,"Análisis"),"")))</f>
        <v/>
      </c>
      <c r="AA411" t="str">
        <f>IF(Y411="","",IF(Y411="[FÓRMULA MANUAL]","",IFERROR(AVERAGEIFS(nNOTA,nNIA,Y411,nCUENTA,1,nASIG,"Orquesta/Banda/Conjunto"),"")))</f>
        <v/>
      </c>
      <c r="AB411" t="str">
        <f>IF(Y411="","",IF(Y411="[FÓRMULA MANUAL]","",IFERROR(AVERAGEIFS(nNOTA,nNIA,Y411,nCUENTA,1,nASIG,"Música de Cámara"),"")))</f>
        <v/>
      </c>
      <c r="AC411" t="str">
        <f>IF(Y411="","",IF(Y411="[FÓRMULA MANUAL]","",IFERROR(SUMPRODUCT((nNIA=Y411)*(nCUENTA=1)*(COUNTIF(CONFIG_ASIGNATURAS!$B$7:$B$27,nASIG)&gt;0)*(nNOTA))/SUMPRODUCT((nNIA=Y411)*(nCUENTA=1)*(COUNTIF(CONFIG_ASIGNATURAS!$B$7:$B$27,nASIG)&gt;0)*1),"")))</f>
        <v/>
      </c>
      <c r="AF411" t="str">
        <f>IF(AE411="","",IF(AE411="[FÓRMULA MANUAL]","",IFERROR(AVERAGEIFS(nNOTA,nNIA,AE411,nCUENTA,1,nASIG,"Análisis"),"")))</f>
        <v/>
      </c>
      <c r="AG411" t="str">
        <f>IF(AE411="","",IF(AE411="[FÓRMULA MANUAL]","",IFERROR(AVERAGEIFS(nNOTA,nNIA,AE411,nCUENTA,1,nASIG,"Orquesta/Banda/Conjunto"),"")))</f>
        <v/>
      </c>
      <c r="AH411" t="str">
        <f>IF(AE411="","",IF(AE411="[FÓRMULA MANUAL]","",IFERROR(AVERAGEIFS(nNOTA,nNIA,AE411,nCUENTA,1,nASIG,"Música de Cámara"),"")))</f>
        <v/>
      </c>
      <c r="AI411" t="str">
        <f>IF(AE411="","",IF(AE411="[FÓRMULA MANUAL]","",IFERROR(SUMPRODUCT((nNIA=AE411)*(nCUENTA=1)*(COUNTIF(CONFIG_ASIGNATURAS!$B$7:$B$27,nASIG)&gt;0)*(nNOTA))/SUMPRODUCT((nNIA=AE411)*(nCUENTA=1)*(COUNTIF(CONFIG_ASIGNATURAS!$B$7:$B$27,nASIG)&gt;0)*1),"")))</f>
        <v/>
      </c>
    </row>
    <row r="412" spans="2:35" x14ac:dyDescent="0.2">
      <c r="B412" t="str">
        <f>IF(A412="","",IF(A412="[FÓRMULA MANUAL]","",IFERROR(AVERAGEIFS(nNOTA,nNIA,A412,nCUENTA,1,nASIG,"Lenguaje Musical"),"")))</f>
        <v/>
      </c>
      <c r="C412" t="str">
        <f>IF(A412="","",IF(A412="[FÓRMULA MANUAL]","",IFERROR(AVERAGEIFS(nNOTA,nNIA,A412,nCUENTA,1,nASIG,"Orquesta/Banda/Conjunto"),"")))</f>
        <v/>
      </c>
      <c r="D412" t="str">
        <f>IF(A412="","",IF(A412="[FÓRMULA MANUAL]","",IFERROR(AVERAGEIFS(nNOTA,nNIA,A412,nCUENTA,1,nASIG,"Conjunto"),"")))</f>
        <v/>
      </c>
      <c r="E412" t="str">
        <f>IF(A412="","",IF(A412="[FÓRMULA MANUAL]","",IFERROR(SUMPRODUCT((nNIA=A412)*(nCUENTA=1)*(COUNTIF(CONFIG_ASIGNATURAS!$B$7:$B$27,nASIG)&gt;0)*(nNOTA))/SUMPRODUCT((nNIA=A412)*(nCUENTA=1)*(COUNTIF(CONFIG_ASIGNATURAS!$B$7:$B$27,nASIG)&gt;0)*1),"")))</f>
        <v/>
      </c>
      <c r="H412" t="str">
        <f>IF(G412="","",IF(G412="[FÓRMULA MANUAL]","",IFERROR(AVERAGEIFS(nNOTA,nNIA,G412,nCUENTA,1,nASIG,"Lenguaje Musical"),"")))</f>
        <v/>
      </c>
      <c r="I412" t="str">
        <f>IF(G412="","",IF(G412="[FÓRMULA MANUAL]","",IFERROR(AVERAGEIFS(nNOTA,nNIA,G412,nCUENTA,1,nASIG,"Orquesta/Banda/Conjunto"),"")))</f>
        <v/>
      </c>
      <c r="J412" t="str">
        <f>IF(G412="","",IF(G412="[FÓRMULA MANUAL]","",IFERROR(AVERAGEIFS(nNOTA,nNIA,G412,nCUENTA,1,nASIG,"Conjunto"),"")))</f>
        <v/>
      </c>
      <c r="K412" t="str">
        <f>IF(G412="","",IF(G412="[FÓRMULA MANUAL]","",IFERROR(SUMPRODUCT((nNIA=G412)*(nCUENTA=1)*(COUNTIF(CONFIG_ASIGNATURAS!$B$7:$B$27,nASIG)&gt;0)*(nNOTA))/SUMPRODUCT((nNIA=G412)*(nCUENTA=1)*(COUNTIF(CONFIG_ASIGNATURAS!$B$7:$B$27,nASIG)&gt;0)*1),"")))</f>
        <v/>
      </c>
      <c r="N412" t="str">
        <f>IF(M412="","",IF(M412="[FÓRMULA MANUAL]","",IFERROR(AVERAGEIFS(nNOTA,nNIA,M412,nCUENTA,1,nASIG,"Armonía"),"")))</f>
        <v/>
      </c>
      <c r="O412" t="str">
        <f>IF(M412="","",IF(M412="[FÓRMULA MANUAL]","",IFERROR(AVERAGEIFS(nNOTA,nNIA,M412,nCUENTA,1,nASIG,"Orquesta/Banda/Conjunto"),"")))</f>
        <v/>
      </c>
      <c r="P412" t="str">
        <f>IF(M412="","",IF(M412="[FÓRMULA MANUAL]","",IFERROR(AVERAGEIFS(nNOTA,nNIA,M412,nCUENTA,1,nASIG,"Música de Cámara"),"")))</f>
        <v/>
      </c>
      <c r="Q412" t="str">
        <f>IF(M412="","",IF(M412="[FÓRMULA MANUAL]","",IFERROR(SUMPRODUCT((nNIA=M412)*(nCUENTA=1)*(COUNTIF(CONFIG_ASIGNATURAS!$B$7:$B$27,nASIG)&gt;0)*(nNOTA))/SUMPRODUCT((nNIA=M412)*(nCUENTA=1)*(COUNTIF(CONFIG_ASIGNATURAS!$B$7:$B$27,nASIG)&gt;0)*1),"")))</f>
        <v/>
      </c>
      <c r="T412" t="str">
        <f>IF(S412="","",IF(S412="[FÓRMULA MANUAL]","",IFERROR(AVERAGEIFS(nNOTA,nNIA,S412,nCUENTA,1,nASIG,"Armonía"),"")))</f>
        <v/>
      </c>
      <c r="U412" t="str">
        <f>IF(S412="","",IF(S412="[FÓRMULA MANUAL]","",IFERROR(AVERAGEIFS(nNOTA,nNIA,S412,nCUENTA,1,nASIG,"Orquesta/Banda/Conjunto"),"")))</f>
        <v/>
      </c>
      <c r="V412" t="str">
        <f>IF(S412="","",IF(S412="[FÓRMULA MANUAL]","",IFERROR(AVERAGEIFS(nNOTA,nNIA,S412,nCUENTA,1,nASIG,"Música de Cámara"),"")))</f>
        <v/>
      </c>
      <c r="W412" t="str">
        <f>IF(S412="","",IF(S412="[FÓRMULA MANUAL]","",IFERROR(SUMPRODUCT((nNIA=S412)*(nCUENTA=1)*(COUNTIF(CONFIG_ASIGNATURAS!$B$7:$B$27,nASIG)&gt;0)*(nNOTA))/SUMPRODUCT((nNIA=S412)*(nCUENTA=1)*(COUNTIF(CONFIG_ASIGNATURAS!$B$7:$B$27,nASIG)&gt;0)*1),"")))</f>
        <v/>
      </c>
      <c r="Z412" t="str">
        <f>IF(Y412="","",IF(Y412="[FÓRMULA MANUAL]","",IFERROR(AVERAGEIFS(nNOTA,nNIA,Y412,nCUENTA,1,nASIG,"Análisis"),"")))</f>
        <v/>
      </c>
      <c r="AA412" t="str">
        <f>IF(Y412="","",IF(Y412="[FÓRMULA MANUAL]","",IFERROR(AVERAGEIFS(nNOTA,nNIA,Y412,nCUENTA,1,nASIG,"Orquesta/Banda/Conjunto"),"")))</f>
        <v/>
      </c>
      <c r="AB412" t="str">
        <f>IF(Y412="","",IF(Y412="[FÓRMULA MANUAL]","",IFERROR(AVERAGEIFS(nNOTA,nNIA,Y412,nCUENTA,1,nASIG,"Música de Cámara"),"")))</f>
        <v/>
      </c>
      <c r="AC412" t="str">
        <f>IF(Y412="","",IF(Y412="[FÓRMULA MANUAL]","",IFERROR(SUMPRODUCT((nNIA=Y412)*(nCUENTA=1)*(COUNTIF(CONFIG_ASIGNATURAS!$B$7:$B$27,nASIG)&gt;0)*(nNOTA))/SUMPRODUCT((nNIA=Y412)*(nCUENTA=1)*(COUNTIF(CONFIG_ASIGNATURAS!$B$7:$B$27,nASIG)&gt;0)*1),"")))</f>
        <v/>
      </c>
      <c r="AF412" t="str">
        <f>IF(AE412="","",IF(AE412="[FÓRMULA MANUAL]","",IFERROR(AVERAGEIFS(nNOTA,nNIA,AE412,nCUENTA,1,nASIG,"Análisis"),"")))</f>
        <v/>
      </c>
      <c r="AG412" t="str">
        <f>IF(AE412="","",IF(AE412="[FÓRMULA MANUAL]","",IFERROR(AVERAGEIFS(nNOTA,nNIA,AE412,nCUENTA,1,nASIG,"Orquesta/Banda/Conjunto"),"")))</f>
        <v/>
      </c>
      <c r="AH412" t="str">
        <f>IF(AE412="","",IF(AE412="[FÓRMULA MANUAL]","",IFERROR(AVERAGEIFS(nNOTA,nNIA,AE412,nCUENTA,1,nASIG,"Música de Cámara"),"")))</f>
        <v/>
      </c>
      <c r="AI412" t="str">
        <f>IF(AE412="","",IF(AE412="[FÓRMULA MANUAL]","",IFERROR(SUMPRODUCT((nNIA=AE412)*(nCUENTA=1)*(COUNTIF(CONFIG_ASIGNATURAS!$B$7:$B$27,nASIG)&gt;0)*(nNOTA))/SUMPRODUCT((nNIA=AE412)*(nCUENTA=1)*(COUNTIF(CONFIG_ASIGNATURAS!$B$7:$B$27,nASIG)&gt;0)*1),"")))</f>
        <v/>
      </c>
    </row>
    <row r="413" spans="2:35" x14ac:dyDescent="0.2">
      <c r="B413" t="str">
        <f>IF(A413="","",IF(A413="[FÓRMULA MANUAL]","",IFERROR(AVERAGEIFS(nNOTA,nNIA,A413,nCUENTA,1,nASIG,"Lenguaje Musical"),"")))</f>
        <v/>
      </c>
      <c r="C413" t="str">
        <f>IF(A413="","",IF(A413="[FÓRMULA MANUAL]","",IFERROR(AVERAGEIFS(nNOTA,nNIA,A413,nCUENTA,1,nASIG,"Orquesta/Banda/Conjunto"),"")))</f>
        <v/>
      </c>
      <c r="D413" t="str">
        <f>IF(A413="","",IF(A413="[FÓRMULA MANUAL]","",IFERROR(AVERAGEIFS(nNOTA,nNIA,A413,nCUENTA,1,nASIG,"Conjunto"),"")))</f>
        <v/>
      </c>
      <c r="E413" t="str">
        <f>IF(A413="","",IF(A413="[FÓRMULA MANUAL]","",IFERROR(SUMPRODUCT((nNIA=A413)*(nCUENTA=1)*(COUNTIF(CONFIG_ASIGNATURAS!$B$7:$B$27,nASIG)&gt;0)*(nNOTA))/SUMPRODUCT((nNIA=A413)*(nCUENTA=1)*(COUNTIF(CONFIG_ASIGNATURAS!$B$7:$B$27,nASIG)&gt;0)*1),"")))</f>
        <v/>
      </c>
      <c r="H413" t="str">
        <f>IF(G413="","",IF(G413="[FÓRMULA MANUAL]","",IFERROR(AVERAGEIFS(nNOTA,nNIA,G413,nCUENTA,1,nASIG,"Lenguaje Musical"),"")))</f>
        <v/>
      </c>
      <c r="I413" t="str">
        <f>IF(G413="","",IF(G413="[FÓRMULA MANUAL]","",IFERROR(AVERAGEIFS(nNOTA,nNIA,G413,nCUENTA,1,nASIG,"Orquesta/Banda/Conjunto"),"")))</f>
        <v/>
      </c>
      <c r="J413" t="str">
        <f>IF(G413="","",IF(G413="[FÓRMULA MANUAL]","",IFERROR(AVERAGEIFS(nNOTA,nNIA,G413,nCUENTA,1,nASIG,"Conjunto"),"")))</f>
        <v/>
      </c>
      <c r="K413" t="str">
        <f>IF(G413="","",IF(G413="[FÓRMULA MANUAL]","",IFERROR(SUMPRODUCT((nNIA=G413)*(nCUENTA=1)*(COUNTIF(CONFIG_ASIGNATURAS!$B$7:$B$27,nASIG)&gt;0)*(nNOTA))/SUMPRODUCT((nNIA=G413)*(nCUENTA=1)*(COUNTIF(CONFIG_ASIGNATURAS!$B$7:$B$27,nASIG)&gt;0)*1),"")))</f>
        <v/>
      </c>
      <c r="N413" t="str">
        <f>IF(M413="","",IF(M413="[FÓRMULA MANUAL]","",IFERROR(AVERAGEIFS(nNOTA,nNIA,M413,nCUENTA,1,nASIG,"Armonía"),"")))</f>
        <v/>
      </c>
      <c r="O413" t="str">
        <f>IF(M413="","",IF(M413="[FÓRMULA MANUAL]","",IFERROR(AVERAGEIFS(nNOTA,nNIA,M413,nCUENTA,1,nASIG,"Orquesta/Banda/Conjunto"),"")))</f>
        <v/>
      </c>
      <c r="P413" t="str">
        <f>IF(M413="","",IF(M413="[FÓRMULA MANUAL]","",IFERROR(AVERAGEIFS(nNOTA,nNIA,M413,nCUENTA,1,nASIG,"Música de Cámara"),"")))</f>
        <v/>
      </c>
      <c r="Q413" t="str">
        <f>IF(M413="","",IF(M413="[FÓRMULA MANUAL]","",IFERROR(SUMPRODUCT((nNIA=M413)*(nCUENTA=1)*(COUNTIF(CONFIG_ASIGNATURAS!$B$7:$B$27,nASIG)&gt;0)*(nNOTA))/SUMPRODUCT((nNIA=M413)*(nCUENTA=1)*(COUNTIF(CONFIG_ASIGNATURAS!$B$7:$B$27,nASIG)&gt;0)*1),"")))</f>
        <v/>
      </c>
      <c r="T413" t="str">
        <f>IF(S413="","",IF(S413="[FÓRMULA MANUAL]","",IFERROR(AVERAGEIFS(nNOTA,nNIA,S413,nCUENTA,1,nASIG,"Armonía"),"")))</f>
        <v/>
      </c>
      <c r="U413" t="str">
        <f>IF(S413="","",IF(S413="[FÓRMULA MANUAL]","",IFERROR(AVERAGEIFS(nNOTA,nNIA,S413,nCUENTA,1,nASIG,"Orquesta/Banda/Conjunto"),"")))</f>
        <v/>
      </c>
      <c r="V413" t="str">
        <f>IF(S413="","",IF(S413="[FÓRMULA MANUAL]","",IFERROR(AVERAGEIFS(nNOTA,nNIA,S413,nCUENTA,1,nASIG,"Música de Cámara"),"")))</f>
        <v/>
      </c>
      <c r="W413" t="str">
        <f>IF(S413="","",IF(S413="[FÓRMULA MANUAL]","",IFERROR(SUMPRODUCT((nNIA=S413)*(nCUENTA=1)*(COUNTIF(CONFIG_ASIGNATURAS!$B$7:$B$27,nASIG)&gt;0)*(nNOTA))/SUMPRODUCT((nNIA=S413)*(nCUENTA=1)*(COUNTIF(CONFIG_ASIGNATURAS!$B$7:$B$27,nASIG)&gt;0)*1),"")))</f>
        <v/>
      </c>
      <c r="Z413" t="str">
        <f>IF(Y413="","",IF(Y413="[FÓRMULA MANUAL]","",IFERROR(AVERAGEIFS(nNOTA,nNIA,Y413,nCUENTA,1,nASIG,"Análisis"),"")))</f>
        <v/>
      </c>
      <c r="AA413" t="str">
        <f>IF(Y413="","",IF(Y413="[FÓRMULA MANUAL]","",IFERROR(AVERAGEIFS(nNOTA,nNIA,Y413,nCUENTA,1,nASIG,"Orquesta/Banda/Conjunto"),"")))</f>
        <v/>
      </c>
      <c r="AB413" t="str">
        <f>IF(Y413="","",IF(Y413="[FÓRMULA MANUAL]","",IFERROR(AVERAGEIFS(nNOTA,nNIA,Y413,nCUENTA,1,nASIG,"Música de Cámara"),"")))</f>
        <v/>
      </c>
      <c r="AC413" t="str">
        <f>IF(Y413="","",IF(Y413="[FÓRMULA MANUAL]","",IFERROR(SUMPRODUCT((nNIA=Y413)*(nCUENTA=1)*(COUNTIF(CONFIG_ASIGNATURAS!$B$7:$B$27,nASIG)&gt;0)*(nNOTA))/SUMPRODUCT((nNIA=Y413)*(nCUENTA=1)*(COUNTIF(CONFIG_ASIGNATURAS!$B$7:$B$27,nASIG)&gt;0)*1),"")))</f>
        <v/>
      </c>
      <c r="AF413" t="str">
        <f>IF(AE413="","",IF(AE413="[FÓRMULA MANUAL]","",IFERROR(AVERAGEIFS(nNOTA,nNIA,AE413,nCUENTA,1,nASIG,"Análisis"),"")))</f>
        <v/>
      </c>
      <c r="AG413" t="str">
        <f>IF(AE413="","",IF(AE413="[FÓRMULA MANUAL]","",IFERROR(AVERAGEIFS(nNOTA,nNIA,AE413,nCUENTA,1,nASIG,"Orquesta/Banda/Conjunto"),"")))</f>
        <v/>
      </c>
      <c r="AH413" t="str">
        <f>IF(AE413="","",IF(AE413="[FÓRMULA MANUAL]","",IFERROR(AVERAGEIFS(nNOTA,nNIA,AE413,nCUENTA,1,nASIG,"Música de Cámara"),"")))</f>
        <v/>
      </c>
      <c r="AI413" t="str">
        <f>IF(AE413="","",IF(AE413="[FÓRMULA MANUAL]","",IFERROR(SUMPRODUCT((nNIA=AE413)*(nCUENTA=1)*(COUNTIF(CONFIG_ASIGNATURAS!$B$7:$B$27,nASIG)&gt;0)*(nNOTA))/SUMPRODUCT((nNIA=AE413)*(nCUENTA=1)*(COUNTIF(CONFIG_ASIGNATURAS!$B$7:$B$27,nASIG)&gt;0)*1),"")))</f>
        <v/>
      </c>
    </row>
    <row r="414" spans="2:35" x14ac:dyDescent="0.2">
      <c r="B414" t="str">
        <f>IF(A414="","",IF(A414="[FÓRMULA MANUAL]","",IFERROR(AVERAGEIFS(nNOTA,nNIA,A414,nCUENTA,1,nASIG,"Lenguaje Musical"),"")))</f>
        <v/>
      </c>
      <c r="C414" t="str">
        <f>IF(A414="","",IF(A414="[FÓRMULA MANUAL]","",IFERROR(AVERAGEIFS(nNOTA,nNIA,A414,nCUENTA,1,nASIG,"Orquesta/Banda/Conjunto"),"")))</f>
        <v/>
      </c>
      <c r="D414" t="str">
        <f>IF(A414="","",IF(A414="[FÓRMULA MANUAL]","",IFERROR(AVERAGEIFS(nNOTA,nNIA,A414,nCUENTA,1,nASIG,"Conjunto"),"")))</f>
        <v/>
      </c>
      <c r="E414" t="str">
        <f>IF(A414="","",IF(A414="[FÓRMULA MANUAL]","",IFERROR(SUMPRODUCT((nNIA=A414)*(nCUENTA=1)*(COUNTIF(CONFIG_ASIGNATURAS!$B$7:$B$27,nASIG)&gt;0)*(nNOTA))/SUMPRODUCT((nNIA=A414)*(nCUENTA=1)*(COUNTIF(CONFIG_ASIGNATURAS!$B$7:$B$27,nASIG)&gt;0)*1),"")))</f>
        <v/>
      </c>
      <c r="H414" t="str">
        <f>IF(G414="","",IF(G414="[FÓRMULA MANUAL]","",IFERROR(AVERAGEIFS(nNOTA,nNIA,G414,nCUENTA,1,nASIG,"Lenguaje Musical"),"")))</f>
        <v/>
      </c>
      <c r="I414" t="str">
        <f>IF(G414="","",IF(G414="[FÓRMULA MANUAL]","",IFERROR(AVERAGEIFS(nNOTA,nNIA,G414,nCUENTA,1,nASIG,"Orquesta/Banda/Conjunto"),"")))</f>
        <v/>
      </c>
      <c r="J414" t="str">
        <f>IF(G414="","",IF(G414="[FÓRMULA MANUAL]","",IFERROR(AVERAGEIFS(nNOTA,nNIA,G414,nCUENTA,1,nASIG,"Conjunto"),"")))</f>
        <v/>
      </c>
      <c r="K414" t="str">
        <f>IF(G414="","",IF(G414="[FÓRMULA MANUAL]","",IFERROR(SUMPRODUCT((nNIA=G414)*(nCUENTA=1)*(COUNTIF(CONFIG_ASIGNATURAS!$B$7:$B$27,nASIG)&gt;0)*(nNOTA))/SUMPRODUCT((nNIA=G414)*(nCUENTA=1)*(COUNTIF(CONFIG_ASIGNATURAS!$B$7:$B$27,nASIG)&gt;0)*1),"")))</f>
        <v/>
      </c>
      <c r="N414" t="str">
        <f>IF(M414="","",IF(M414="[FÓRMULA MANUAL]","",IFERROR(AVERAGEIFS(nNOTA,nNIA,M414,nCUENTA,1,nASIG,"Armonía"),"")))</f>
        <v/>
      </c>
      <c r="O414" t="str">
        <f>IF(M414="","",IF(M414="[FÓRMULA MANUAL]","",IFERROR(AVERAGEIFS(nNOTA,nNIA,M414,nCUENTA,1,nASIG,"Orquesta/Banda/Conjunto"),"")))</f>
        <v/>
      </c>
      <c r="P414" t="str">
        <f>IF(M414="","",IF(M414="[FÓRMULA MANUAL]","",IFERROR(AVERAGEIFS(nNOTA,nNIA,M414,nCUENTA,1,nASIG,"Música de Cámara"),"")))</f>
        <v/>
      </c>
      <c r="Q414" t="str">
        <f>IF(M414="","",IF(M414="[FÓRMULA MANUAL]","",IFERROR(SUMPRODUCT((nNIA=M414)*(nCUENTA=1)*(COUNTIF(CONFIG_ASIGNATURAS!$B$7:$B$27,nASIG)&gt;0)*(nNOTA))/SUMPRODUCT((nNIA=M414)*(nCUENTA=1)*(COUNTIF(CONFIG_ASIGNATURAS!$B$7:$B$27,nASIG)&gt;0)*1),"")))</f>
        <v/>
      </c>
      <c r="T414" t="str">
        <f>IF(S414="","",IF(S414="[FÓRMULA MANUAL]","",IFERROR(AVERAGEIFS(nNOTA,nNIA,S414,nCUENTA,1,nASIG,"Armonía"),"")))</f>
        <v/>
      </c>
      <c r="U414" t="str">
        <f>IF(S414="","",IF(S414="[FÓRMULA MANUAL]","",IFERROR(AVERAGEIFS(nNOTA,nNIA,S414,nCUENTA,1,nASIG,"Orquesta/Banda/Conjunto"),"")))</f>
        <v/>
      </c>
      <c r="V414" t="str">
        <f>IF(S414="","",IF(S414="[FÓRMULA MANUAL]","",IFERROR(AVERAGEIFS(nNOTA,nNIA,S414,nCUENTA,1,nASIG,"Música de Cámara"),"")))</f>
        <v/>
      </c>
      <c r="W414" t="str">
        <f>IF(S414="","",IF(S414="[FÓRMULA MANUAL]","",IFERROR(SUMPRODUCT((nNIA=S414)*(nCUENTA=1)*(COUNTIF(CONFIG_ASIGNATURAS!$B$7:$B$27,nASIG)&gt;0)*(nNOTA))/SUMPRODUCT((nNIA=S414)*(nCUENTA=1)*(COUNTIF(CONFIG_ASIGNATURAS!$B$7:$B$27,nASIG)&gt;0)*1),"")))</f>
        <v/>
      </c>
      <c r="Z414" t="str">
        <f>IF(Y414="","",IF(Y414="[FÓRMULA MANUAL]","",IFERROR(AVERAGEIFS(nNOTA,nNIA,Y414,nCUENTA,1,nASIG,"Análisis"),"")))</f>
        <v/>
      </c>
      <c r="AA414" t="str">
        <f>IF(Y414="","",IF(Y414="[FÓRMULA MANUAL]","",IFERROR(AVERAGEIFS(nNOTA,nNIA,Y414,nCUENTA,1,nASIG,"Orquesta/Banda/Conjunto"),"")))</f>
        <v/>
      </c>
      <c r="AB414" t="str">
        <f>IF(Y414="","",IF(Y414="[FÓRMULA MANUAL]","",IFERROR(AVERAGEIFS(nNOTA,nNIA,Y414,nCUENTA,1,nASIG,"Música de Cámara"),"")))</f>
        <v/>
      </c>
      <c r="AC414" t="str">
        <f>IF(Y414="","",IF(Y414="[FÓRMULA MANUAL]","",IFERROR(SUMPRODUCT((nNIA=Y414)*(nCUENTA=1)*(COUNTIF(CONFIG_ASIGNATURAS!$B$7:$B$27,nASIG)&gt;0)*(nNOTA))/SUMPRODUCT((nNIA=Y414)*(nCUENTA=1)*(COUNTIF(CONFIG_ASIGNATURAS!$B$7:$B$27,nASIG)&gt;0)*1),"")))</f>
        <v/>
      </c>
      <c r="AF414" t="str">
        <f>IF(AE414="","",IF(AE414="[FÓRMULA MANUAL]","",IFERROR(AVERAGEIFS(nNOTA,nNIA,AE414,nCUENTA,1,nASIG,"Análisis"),"")))</f>
        <v/>
      </c>
      <c r="AG414" t="str">
        <f>IF(AE414="","",IF(AE414="[FÓRMULA MANUAL]","",IFERROR(AVERAGEIFS(nNOTA,nNIA,AE414,nCUENTA,1,nASIG,"Orquesta/Banda/Conjunto"),"")))</f>
        <v/>
      </c>
      <c r="AH414" t="str">
        <f>IF(AE414="","",IF(AE414="[FÓRMULA MANUAL]","",IFERROR(AVERAGEIFS(nNOTA,nNIA,AE414,nCUENTA,1,nASIG,"Música de Cámara"),"")))</f>
        <v/>
      </c>
      <c r="AI414" t="str">
        <f>IF(AE414="","",IF(AE414="[FÓRMULA MANUAL]","",IFERROR(SUMPRODUCT((nNIA=AE414)*(nCUENTA=1)*(COUNTIF(CONFIG_ASIGNATURAS!$B$7:$B$27,nASIG)&gt;0)*(nNOTA))/SUMPRODUCT((nNIA=AE414)*(nCUENTA=1)*(COUNTIF(CONFIG_ASIGNATURAS!$B$7:$B$27,nASIG)&gt;0)*1),"")))</f>
        <v/>
      </c>
    </row>
    <row r="415" spans="2:35" x14ac:dyDescent="0.2">
      <c r="B415" t="str">
        <f>IF(A415="","",IF(A415="[FÓRMULA MANUAL]","",IFERROR(AVERAGEIFS(nNOTA,nNIA,A415,nCUENTA,1,nASIG,"Lenguaje Musical"),"")))</f>
        <v/>
      </c>
      <c r="C415" t="str">
        <f>IF(A415="","",IF(A415="[FÓRMULA MANUAL]","",IFERROR(AVERAGEIFS(nNOTA,nNIA,A415,nCUENTA,1,nASIG,"Orquesta/Banda/Conjunto"),"")))</f>
        <v/>
      </c>
      <c r="D415" t="str">
        <f>IF(A415="","",IF(A415="[FÓRMULA MANUAL]","",IFERROR(AVERAGEIFS(nNOTA,nNIA,A415,nCUENTA,1,nASIG,"Conjunto"),"")))</f>
        <v/>
      </c>
      <c r="E415" t="str">
        <f>IF(A415="","",IF(A415="[FÓRMULA MANUAL]","",IFERROR(SUMPRODUCT((nNIA=A415)*(nCUENTA=1)*(COUNTIF(CONFIG_ASIGNATURAS!$B$7:$B$27,nASIG)&gt;0)*(nNOTA))/SUMPRODUCT((nNIA=A415)*(nCUENTA=1)*(COUNTIF(CONFIG_ASIGNATURAS!$B$7:$B$27,nASIG)&gt;0)*1),"")))</f>
        <v/>
      </c>
      <c r="H415" t="str">
        <f>IF(G415="","",IF(G415="[FÓRMULA MANUAL]","",IFERROR(AVERAGEIFS(nNOTA,nNIA,G415,nCUENTA,1,nASIG,"Lenguaje Musical"),"")))</f>
        <v/>
      </c>
      <c r="I415" t="str">
        <f>IF(G415="","",IF(G415="[FÓRMULA MANUAL]","",IFERROR(AVERAGEIFS(nNOTA,nNIA,G415,nCUENTA,1,nASIG,"Orquesta/Banda/Conjunto"),"")))</f>
        <v/>
      </c>
      <c r="J415" t="str">
        <f>IF(G415="","",IF(G415="[FÓRMULA MANUAL]","",IFERROR(AVERAGEIFS(nNOTA,nNIA,G415,nCUENTA,1,nASIG,"Conjunto"),"")))</f>
        <v/>
      </c>
      <c r="K415" t="str">
        <f>IF(G415="","",IF(G415="[FÓRMULA MANUAL]","",IFERROR(SUMPRODUCT((nNIA=G415)*(nCUENTA=1)*(COUNTIF(CONFIG_ASIGNATURAS!$B$7:$B$27,nASIG)&gt;0)*(nNOTA))/SUMPRODUCT((nNIA=G415)*(nCUENTA=1)*(COUNTIF(CONFIG_ASIGNATURAS!$B$7:$B$27,nASIG)&gt;0)*1),"")))</f>
        <v/>
      </c>
      <c r="N415" t="str">
        <f>IF(M415="","",IF(M415="[FÓRMULA MANUAL]","",IFERROR(AVERAGEIFS(nNOTA,nNIA,M415,nCUENTA,1,nASIG,"Armonía"),"")))</f>
        <v/>
      </c>
      <c r="O415" t="str">
        <f>IF(M415="","",IF(M415="[FÓRMULA MANUAL]","",IFERROR(AVERAGEIFS(nNOTA,nNIA,M415,nCUENTA,1,nASIG,"Orquesta/Banda/Conjunto"),"")))</f>
        <v/>
      </c>
      <c r="P415" t="str">
        <f>IF(M415="","",IF(M415="[FÓRMULA MANUAL]","",IFERROR(AVERAGEIFS(nNOTA,nNIA,M415,nCUENTA,1,nASIG,"Música de Cámara"),"")))</f>
        <v/>
      </c>
      <c r="Q415" t="str">
        <f>IF(M415="","",IF(M415="[FÓRMULA MANUAL]","",IFERROR(SUMPRODUCT((nNIA=M415)*(nCUENTA=1)*(COUNTIF(CONFIG_ASIGNATURAS!$B$7:$B$27,nASIG)&gt;0)*(nNOTA))/SUMPRODUCT((nNIA=M415)*(nCUENTA=1)*(COUNTIF(CONFIG_ASIGNATURAS!$B$7:$B$27,nASIG)&gt;0)*1),"")))</f>
        <v/>
      </c>
      <c r="T415" t="str">
        <f>IF(S415="","",IF(S415="[FÓRMULA MANUAL]","",IFERROR(AVERAGEIFS(nNOTA,nNIA,S415,nCUENTA,1,nASIG,"Armonía"),"")))</f>
        <v/>
      </c>
      <c r="U415" t="str">
        <f>IF(S415="","",IF(S415="[FÓRMULA MANUAL]","",IFERROR(AVERAGEIFS(nNOTA,nNIA,S415,nCUENTA,1,nASIG,"Orquesta/Banda/Conjunto"),"")))</f>
        <v/>
      </c>
      <c r="V415" t="str">
        <f>IF(S415="","",IF(S415="[FÓRMULA MANUAL]","",IFERROR(AVERAGEIFS(nNOTA,nNIA,S415,nCUENTA,1,nASIG,"Música de Cámara"),"")))</f>
        <v/>
      </c>
      <c r="W415" t="str">
        <f>IF(S415="","",IF(S415="[FÓRMULA MANUAL]","",IFERROR(SUMPRODUCT((nNIA=S415)*(nCUENTA=1)*(COUNTIF(CONFIG_ASIGNATURAS!$B$7:$B$27,nASIG)&gt;0)*(nNOTA))/SUMPRODUCT((nNIA=S415)*(nCUENTA=1)*(COUNTIF(CONFIG_ASIGNATURAS!$B$7:$B$27,nASIG)&gt;0)*1),"")))</f>
        <v/>
      </c>
      <c r="Z415" t="str">
        <f>IF(Y415="","",IF(Y415="[FÓRMULA MANUAL]","",IFERROR(AVERAGEIFS(nNOTA,nNIA,Y415,nCUENTA,1,nASIG,"Análisis"),"")))</f>
        <v/>
      </c>
      <c r="AA415" t="str">
        <f>IF(Y415="","",IF(Y415="[FÓRMULA MANUAL]","",IFERROR(AVERAGEIFS(nNOTA,nNIA,Y415,nCUENTA,1,nASIG,"Orquesta/Banda/Conjunto"),"")))</f>
        <v/>
      </c>
      <c r="AB415" t="str">
        <f>IF(Y415="","",IF(Y415="[FÓRMULA MANUAL]","",IFERROR(AVERAGEIFS(nNOTA,nNIA,Y415,nCUENTA,1,nASIG,"Música de Cámara"),"")))</f>
        <v/>
      </c>
      <c r="AC415" t="str">
        <f>IF(Y415="","",IF(Y415="[FÓRMULA MANUAL]","",IFERROR(SUMPRODUCT((nNIA=Y415)*(nCUENTA=1)*(COUNTIF(CONFIG_ASIGNATURAS!$B$7:$B$27,nASIG)&gt;0)*(nNOTA))/SUMPRODUCT((nNIA=Y415)*(nCUENTA=1)*(COUNTIF(CONFIG_ASIGNATURAS!$B$7:$B$27,nASIG)&gt;0)*1),"")))</f>
        <v/>
      </c>
      <c r="AF415" t="str">
        <f>IF(AE415="","",IF(AE415="[FÓRMULA MANUAL]","",IFERROR(AVERAGEIFS(nNOTA,nNIA,AE415,nCUENTA,1,nASIG,"Análisis"),"")))</f>
        <v/>
      </c>
      <c r="AG415" t="str">
        <f>IF(AE415="","",IF(AE415="[FÓRMULA MANUAL]","",IFERROR(AVERAGEIFS(nNOTA,nNIA,AE415,nCUENTA,1,nASIG,"Orquesta/Banda/Conjunto"),"")))</f>
        <v/>
      </c>
      <c r="AH415" t="str">
        <f>IF(AE415="","",IF(AE415="[FÓRMULA MANUAL]","",IFERROR(AVERAGEIFS(nNOTA,nNIA,AE415,nCUENTA,1,nASIG,"Música de Cámara"),"")))</f>
        <v/>
      </c>
      <c r="AI415" t="str">
        <f>IF(AE415="","",IF(AE415="[FÓRMULA MANUAL]","",IFERROR(SUMPRODUCT((nNIA=AE415)*(nCUENTA=1)*(COUNTIF(CONFIG_ASIGNATURAS!$B$7:$B$27,nASIG)&gt;0)*(nNOTA))/SUMPRODUCT((nNIA=AE415)*(nCUENTA=1)*(COUNTIF(CONFIG_ASIGNATURAS!$B$7:$B$27,nASIG)&gt;0)*1),"")))</f>
        <v/>
      </c>
    </row>
    <row r="416" spans="2:35" x14ac:dyDescent="0.2">
      <c r="B416" t="str">
        <f>IF(A416="","",IF(A416="[FÓRMULA MANUAL]","",IFERROR(AVERAGEIFS(nNOTA,nNIA,A416,nCUENTA,1,nASIG,"Lenguaje Musical"),"")))</f>
        <v/>
      </c>
      <c r="C416" t="str">
        <f>IF(A416="","",IF(A416="[FÓRMULA MANUAL]","",IFERROR(AVERAGEIFS(nNOTA,nNIA,A416,nCUENTA,1,nASIG,"Orquesta/Banda/Conjunto"),"")))</f>
        <v/>
      </c>
      <c r="D416" t="str">
        <f>IF(A416="","",IF(A416="[FÓRMULA MANUAL]","",IFERROR(AVERAGEIFS(nNOTA,nNIA,A416,nCUENTA,1,nASIG,"Conjunto"),"")))</f>
        <v/>
      </c>
      <c r="E416" t="str">
        <f>IF(A416="","",IF(A416="[FÓRMULA MANUAL]","",IFERROR(SUMPRODUCT((nNIA=A416)*(nCUENTA=1)*(COUNTIF(CONFIG_ASIGNATURAS!$B$7:$B$27,nASIG)&gt;0)*(nNOTA))/SUMPRODUCT((nNIA=A416)*(nCUENTA=1)*(COUNTIF(CONFIG_ASIGNATURAS!$B$7:$B$27,nASIG)&gt;0)*1),"")))</f>
        <v/>
      </c>
      <c r="H416" t="str">
        <f>IF(G416="","",IF(G416="[FÓRMULA MANUAL]","",IFERROR(AVERAGEIFS(nNOTA,nNIA,G416,nCUENTA,1,nASIG,"Lenguaje Musical"),"")))</f>
        <v/>
      </c>
      <c r="I416" t="str">
        <f>IF(G416="","",IF(G416="[FÓRMULA MANUAL]","",IFERROR(AVERAGEIFS(nNOTA,nNIA,G416,nCUENTA,1,nASIG,"Orquesta/Banda/Conjunto"),"")))</f>
        <v/>
      </c>
      <c r="J416" t="str">
        <f>IF(G416="","",IF(G416="[FÓRMULA MANUAL]","",IFERROR(AVERAGEIFS(nNOTA,nNIA,G416,nCUENTA,1,nASIG,"Conjunto"),"")))</f>
        <v/>
      </c>
      <c r="K416" t="str">
        <f>IF(G416="","",IF(G416="[FÓRMULA MANUAL]","",IFERROR(SUMPRODUCT((nNIA=G416)*(nCUENTA=1)*(COUNTIF(CONFIG_ASIGNATURAS!$B$7:$B$27,nASIG)&gt;0)*(nNOTA))/SUMPRODUCT((nNIA=G416)*(nCUENTA=1)*(COUNTIF(CONFIG_ASIGNATURAS!$B$7:$B$27,nASIG)&gt;0)*1),"")))</f>
        <v/>
      </c>
      <c r="N416" t="str">
        <f>IF(M416="","",IF(M416="[FÓRMULA MANUAL]","",IFERROR(AVERAGEIFS(nNOTA,nNIA,M416,nCUENTA,1,nASIG,"Armonía"),"")))</f>
        <v/>
      </c>
      <c r="O416" t="str">
        <f>IF(M416="","",IF(M416="[FÓRMULA MANUAL]","",IFERROR(AVERAGEIFS(nNOTA,nNIA,M416,nCUENTA,1,nASIG,"Orquesta/Banda/Conjunto"),"")))</f>
        <v/>
      </c>
      <c r="P416" t="str">
        <f>IF(M416="","",IF(M416="[FÓRMULA MANUAL]","",IFERROR(AVERAGEIFS(nNOTA,nNIA,M416,nCUENTA,1,nASIG,"Música de Cámara"),"")))</f>
        <v/>
      </c>
      <c r="Q416" t="str">
        <f>IF(M416="","",IF(M416="[FÓRMULA MANUAL]","",IFERROR(SUMPRODUCT((nNIA=M416)*(nCUENTA=1)*(COUNTIF(CONFIG_ASIGNATURAS!$B$7:$B$27,nASIG)&gt;0)*(nNOTA))/SUMPRODUCT((nNIA=M416)*(nCUENTA=1)*(COUNTIF(CONFIG_ASIGNATURAS!$B$7:$B$27,nASIG)&gt;0)*1),"")))</f>
        <v/>
      </c>
      <c r="T416" t="str">
        <f>IF(S416="","",IF(S416="[FÓRMULA MANUAL]","",IFERROR(AVERAGEIFS(nNOTA,nNIA,S416,nCUENTA,1,nASIG,"Armonía"),"")))</f>
        <v/>
      </c>
      <c r="U416" t="str">
        <f>IF(S416="","",IF(S416="[FÓRMULA MANUAL]","",IFERROR(AVERAGEIFS(nNOTA,nNIA,S416,nCUENTA,1,nASIG,"Orquesta/Banda/Conjunto"),"")))</f>
        <v/>
      </c>
      <c r="V416" t="str">
        <f>IF(S416="","",IF(S416="[FÓRMULA MANUAL]","",IFERROR(AVERAGEIFS(nNOTA,nNIA,S416,nCUENTA,1,nASIG,"Música de Cámara"),"")))</f>
        <v/>
      </c>
      <c r="W416" t="str">
        <f>IF(S416="","",IF(S416="[FÓRMULA MANUAL]","",IFERROR(SUMPRODUCT((nNIA=S416)*(nCUENTA=1)*(COUNTIF(CONFIG_ASIGNATURAS!$B$7:$B$27,nASIG)&gt;0)*(nNOTA))/SUMPRODUCT((nNIA=S416)*(nCUENTA=1)*(COUNTIF(CONFIG_ASIGNATURAS!$B$7:$B$27,nASIG)&gt;0)*1),"")))</f>
        <v/>
      </c>
      <c r="Z416" t="str">
        <f>IF(Y416="","",IF(Y416="[FÓRMULA MANUAL]","",IFERROR(AVERAGEIFS(nNOTA,nNIA,Y416,nCUENTA,1,nASIG,"Análisis"),"")))</f>
        <v/>
      </c>
      <c r="AA416" t="str">
        <f>IF(Y416="","",IF(Y416="[FÓRMULA MANUAL]","",IFERROR(AVERAGEIFS(nNOTA,nNIA,Y416,nCUENTA,1,nASIG,"Orquesta/Banda/Conjunto"),"")))</f>
        <v/>
      </c>
      <c r="AB416" t="str">
        <f>IF(Y416="","",IF(Y416="[FÓRMULA MANUAL]","",IFERROR(AVERAGEIFS(nNOTA,nNIA,Y416,nCUENTA,1,nASIG,"Música de Cámara"),"")))</f>
        <v/>
      </c>
      <c r="AC416" t="str">
        <f>IF(Y416="","",IF(Y416="[FÓRMULA MANUAL]","",IFERROR(SUMPRODUCT((nNIA=Y416)*(nCUENTA=1)*(COUNTIF(CONFIG_ASIGNATURAS!$B$7:$B$27,nASIG)&gt;0)*(nNOTA))/SUMPRODUCT((nNIA=Y416)*(nCUENTA=1)*(COUNTIF(CONFIG_ASIGNATURAS!$B$7:$B$27,nASIG)&gt;0)*1),"")))</f>
        <v/>
      </c>
      <c r="AF416" t="str">
        <f>IF(AE416="","",IF(AE416="[FÓRMULA MANUAL]","",IFERROR(AVERAGEIFS(nNOTA,nNIA,AE416,nCUENTA,1,nASIG,"Análisis"),"")))</f>
        <v/>
      </c>
      <c r="AG416" t="str">
        <f>IF(AE416="","",IF(AE416="[FÓRMULA MANUAL]","",IFERROR(AVERAGEIFS(nNOTA,nNIA,AE416,nCUENTA,1,nASIG,"Orquesta/Banda/Conjunto"),"")))</f>
        <v/>
      </c>
      <c r="AH416" t="str">
        <f>IF(AE416="","",IF(AE416="[FÓRMULA MANUAL]","",IFERROR(AVERAGEIFS(nNOTA,nNIA,AE416,nCUENTA,1,nASIG,"Música de Cámara"),"")))</f>
        <v/>
      </c>
      <c r="AI416" t="str">
        <f>IF(AE416="","",IF(AE416="[FÓRMULA MANUAL]","",IFERROR(SUMPRODUCT((nNIA=AE416)*(nCUENTA=1)*(COUNTIF(CONFIG_ASIGNATURAS!$B$7:$B$27,nASIG)&gt;0)*(nNOTA))/SUMPRODUCT((nNIA=AE416)*(nCUENTA=1)*(COUNTIF(CONFIG_ASIGNATURAS!$B$7:$B$27,nASIG)&gt;0)*1),"")))</f>
        <v/>
      </c>
    </row>
    <row r="417" spans="2:35" x14ac:dyDescent="0.2">
      <c r="B417" t="str">
        <f>IF(A417="","",IF(A417="[FÓRMULA MANUAL]","",IFERROR(AVERAGEIFS(nNOTA,nNIA,A417,nCUENTA,1,nASIG,"Lenguaje Musical"),"")))</f>
        <v/>
      </c>
      <c r="C417" t="str">
        <f>IF(A417="","",IF(A417="[FÓRMULA MANUAL]","",IFERROR(AVERAGEIFS(nNOTA,nNIA,A417,nCUENTA,1,nASIG,"Orquesta/Banda/Conjunto"),"")))</f>
        <v/>
      </c>
      <c r="D417" t="str">
        <f>IF(A417="","",IF(A417="[FÓRMULA MANUAL]","",IFERROR(AVERAGEIFS(nNOTA,nNIA,A417,nCUENTA,1,nASIG,"Conjunto"),"")))</f>
        <v/>
      </c>
      <c r="E417" t="str">
        <f>IF(A417="","",IF(A417="[FÓRMULA MANUAL]","",IFERROR(SUMPRODUCT((nNIA=A417)*(nCUENTA=1)*(COUNTIF(CONFIG_ASIGNATURAS!$B$7:$B$27,nASIG)&gt;0)*(nNOTA))/SUMPRODUCT((nNIA=A417)*(nCUENTA=1)*(COUNTIF(CONFIG_ASIGNATURAS!$B$7:$B$27,nASIG)&gt;0)*1),"")))</f>
        <v/>
      </c>
      <c r="H417" t="str">
        <f>IF(G417="","",IF(G417="[FÓRMULA MANUAL]","",IFERROR(AVERAGEIFS(nNOTA,nNIA,G417,nCUENTA,1,nASIG,"Lenguaje Musical"),"")))</f>
        <v/>
      </c>
      <c r="I417" t="str">
        <f>IF(G417="","",IF(G417="[FÓRMULA MANUAL]","",IFERROR(AVERAGEIFS(nNOTA,nNIA,G417,nCUENTA,1,nASIG,"Orquesta/Banda/Conjunto"),"")))</f>
        <v/>
      </c>
      <c r="J417" t="str">
        <f>IF(G417="","",IF(G417="[FÓRMULA MANUAL]","",IFERROR(AVERAGEIFS(nNOTA,nNIA,G417,nCUENTA,1,nASIG,"Conjunto"),"")))</f>
        <v/>
      </c>
      <c r="K417" t="str">
        <f>IF(G417="","",IF(G417="[FÓRMULA MANUAL]","",IFERROR(SUMPRODUCT((nNIA=G417)*(nCUENTA=1)*(COUNTIF(CONFIG_ASIGNATURAS!$B$7:$B$27,nASIG)&gt;0)*(nNOTA))/SUMPRODUCT((nNIA=G417)*(nCUENTA=1)*(COUNTIF(CONFIG_ASIGNATURAS!$B$7:$B$27,nASIG)&gt;0)*1),"")))</f>
        <v/>
      </c>
      <c r="N417" t="str">
        <f>IF(M417="","",IF(M417="[FÓRMULA MANUAL]","",IFERROR(AVERAGEIFS(nNOTA,nNIA,M417,nCUENTA,1,nASIG,"Armonía"),"")))</f>
        <v/>
      </c>
      <c r="O417" t="str">
        <f>IF(M417="","",IF(M417="[FÓRMULA MANUAL]","",IFERROR(AVERAGEIFS(nNOTA,nNIA,M417,nCUENTA,1,nASIG,"Orquesta/Banda/Conjunto"),"")))</f>
        <v/>
      </c>
      <c r="P417" t="str">
        <f>IF(M417="","",IF(M417="[FÓRMULA MANUAL]","",IFERROR(AVERAGEIFS(nNOTA,nNIA,M417,nCUENTA,1,nASIG,"Música de Cámara"),"")))</f>
        <v/>
      </c>
      <c r="Q417" t="str">
        <f>IF(M417="","",IF(M417="[FÓRMULA MANUAL]","",IFERROR(SUMPRODUCT((nNIA=M417)*(nCUENTA=1)*(COUNTIF(CONFIG_ASIGNATURAS!$B$7:$B$27,nASIG)&gt;0)*(nNOTA))/SUMPRODUCT((nNIA=M417)*(nCUENTA=1)*(COUNTIF(CONFIG_ASIGNATURAS!$B$7:$B$27,nASIG)&gt;0)*1),"")))</f>
        <v/>
      </c>
      <c r="T417" t="str">
        <f>IF(S417="","",IF(S417="[FÓRMULA MANUAL]","",IFERROR(AVERAGEIFS(nNOTA,nNIA,S417,nCUENTA,1,nASIG,"Armonía"),"")))</f>
        <v/>
      </c>
      <c r="U417" t="str">
        <f>IF(S417="","",IF(S417="[FÓRMULA MANUAL]","",IFERROR(AVERAGEIFS(nNOTA,nNIA,S417,nCUENTA,1,nASIG,"Orquesta/Banda/Conjunto"),"")))</f>
        <v/>
      </c>
      <c r="V417" t="str">
        <f>IF(S417="","",IF(S417="[FÓRMULA MANUAL]","",IFERROR(AVERAGEIFS(nNOTA,nNIA,S417,nCUENTA,1,nASIG,"Música de Cámara"),"")))</f>
        <v/>
      </c>
      <c r="W417" t="str">
        <f>IF(S417="","",IF(S417="[FÓRMULA MANUAL]","",IFERROR(SUMPRODUCT((nNIA=S417)*(nCUENTA=1)*(COUNTIF(CONFIG_ASIGNATURAS!$B$7:$B$27,nASIG)&gt;0)*(nNOTA))/SUMPRODUCT((nNIA=S417)*(nCUENTA=1)*(COUNTIF(CONFIG_ASIGNATURAS!$B$7:$B$27,nASIG)&gt;0)*1),"")))</f>
        <v/>
      </c>
      <c r="Z417" t="str">
        <f>IF(Y417="","",IF(Y417="[FÓRMULA MANUAL]","",IFERROR(AVERAGEIFS(nNOTA,nNIA,Y417,nCUENTA,1,nASIG,"Análisis"),"")))</f>
        <v/>
      </c>
      <c r="AA417" t="str">
        <f>IF(Y417="","",IF(Y417="[FÓRMULA MANUAL]","",IFERROR(AVERAGEIFS(nNOTA,nNIA,Y417,nCUENTA,1,nASIG,"Orquesta/Banda/Conjunto"),"")))</f>
        <v/>
      </c>
      <c r="AB417" t="str">
        <f>IF(Y417="","",IF(Y417="[FÓRMULA MANUAL]","",IFERROR(AVERAGEIFS(nNOTA,nNIA,Y417,nCUENTA,1,nASIG,"Música de Cámara"),"")))</f>
        <v/>
      </c>
      <c r="AC417" t="str">
        <f>IF(Y417="","",IF(Y417="[FÓRMULA MANUAL]","",IFERROR(SUMPRODUCT((nNIA=Y417)*(nCUENTA=1)*(COUNTIF(CONFIG_ASIGNATURAS!$B$7:$B$27,nASIG)&gt;0)*(nNOTA))/SUMPRODUCT((nNIA=Y417)*(nCUENTA=1)*(COUNTIF(CONFIG_ASIGNATURAS!$B$7:$B$27,nASIG)&gt;0)*1),"")))</f>
        <v/>
      </c>
      <c r="AF417" t="str">
        <f>IF(AE417="","",IF(AE417="[FÓRMULA MANUAL]","",IFERROR(AVERAGEIFS(nNOTA,nNIA,AE417,nCUENTA,1,nASIG,"Análisis"),"")))</f>
        <v/>
      </c>
      <c r="AG417" t="str">
        <f>IF(AE417="","",IF(AE417="[FÓRMULA MANUAL]","",IFERROR(AVERAGEIFS(nNOTA,nNIA,AE417,nCUENTA,1,nASIG,"Orquesta/Banda/Conjunto"),"")))</f>
        <v/>
      </c>
      <c r="AH417" t="str">
        <f>IF(AE417="","",IF(AE417="[FÓRMULA MANUAL]","",IFERROR(AVERAGEIFS(nNOTA,nNIA,AE417,nCUENTA,1,nASIG,"Música de Cámara"),"")))</f>
        <v/>
      </c>
      <c r="AI417" t="str">
        <f>IF(AE417="","",IF(AE417="[FÓRMULA MANUAL]","",IFERROR(SUMPRODUCT((nNIA=AE417)*(nCUENTA=1)*(COUNTIF(CONFIG_ASIGNATURAS!$B$7:$B$27,nASIG)&gt;0)*(nNOTA))/SUMPRODUCT((nNIA=AE417)*(nCUENTA=1)*(COUNTIF(CONFIG_ASIGNATURAS!$B$7:$B$27,nASIG)&gt;0)*1),"")))</f>
        <v/>
      </c>
    </row>
    <row r="418" spans="2:35" x14ac:dyDescent="0.2">
      <c r="B418" t="str">
        <f>IF(A418="","",IF(A418="[FÓRMULA MANUAL]","",IFERROR(AVERAGEIFS(nNOTA,nNIA,A418,nCUENTA,1,nASIG,"Lenguaje Musical"),"")))</f>
        <v/>
      </c>
      <c r="C418" t="str">
        <f>IF(A418="","",IF(A418="[FÓRMULA MANUAL]","",IFERROR(AVERAGEIFS(nNOTA,nNIA,A418,nCUENTA,1,nASIG,"Orquesta/Banda/Conjunto"),"")))</f>
        <v/>
      </c>
      <c r="D418" t="str">
        <f>IF(A418="","",IF(A418="[FÓRMULA MANUAL]","",IFERROR(AVERAGEIFS(nNOTA,nNIA,A418,nCUENTA,1,nASIG,"Conjunto"),"")))</f>
        <v/>
      </c>
      <c r="E418" t="str">
        <f>IF(A418="","",IF(A418="[FÓRMULA MANUAL]","",IFERROR(SUMPRODUCT((nNIA=A418)*(nCUENTA=1)*(COUNTIF(CONFIG_ASIGNATURAS!$B$7:$B$27,nASIG)&gt;0)*(nNOTA))/SUMPRODUCT((nNIA=A418)*(nCUENTA=1)*(COUNTIF(CONFIG_ASIGNATURAS!$B$7:$B$27,nASIG)&gt;0)*1),"")))</f>
        <v/>
      </c>
      <c r="H418" t="str">
        <f>IF(G418="","",IF(G418="[FÓRMULA MANUAL]","",IFERROR(AVERAGEIFS(nNOTA,nNIA,G418,nCUENTA,1,nASIG,"Lenguaje Musical"),"")))</f>
        <v/>
      </c>
      <c r="I418" t="str">
        <f>IF(G418="","",IF(G418="[FÓRMULA MANUAL]","",IFERROR(AVERAGEIFS(nNOTA,nNIA,G418,nCUENTA,1,nASIG,"Orquesta/Banda/Conjunto"),"")))</f>
        <v/>
      </c>
      <c r="J418" t="str">
        <f>IF(G418="","",IF(G418="[FÓRMULA MANUAL]","",IFERROR(AVERAGEIFS(nNOTA,nNIA,G418,nCUENTA,1,nASIG,"Conjunto"),"")))</f>
        <v/>
      </c>
      <c r="K418" t="str">
        <f>IF(G418="","",IF(G418="[FÓRMULA MANUAL]","",IFERROR(SUMPRODUCT((nNIA=G418)*(nCUENTA=1)*(COUNTIF(CONFIG_ASIGNATURAS!$B$7:$B$27,nASIG)&gt;0)*(nNOTA))/SUMPRODUCT((nNIA=G418)*(nCUENTA=1)*(COUNTIF(CONFIG_ASIGNATURAS!$B$7:$B$27,nASIG)&gt;0)*1),"")))</f>
        <v/>
      </c>
      <c r="N418" t="str">
        <f>IF(M418="","",IF(M418="[FÓRMULA MANUAL]","",IFERROR(AVERAGEIFS(nNOTA,nNIA,M418,nCUENTA,1,nASIG,"Armonía"),"")))</f>
        <v/>
      </c>
      <c r="O418" t="str">
        <f>IF(M418="","",IF(M418="[FÓRMULA MANUAL]","",IFERROR(AVERAGEIFS(nNOTA,nNIA,M418,nCUENTA,1,nASIG,"Orquesta/Banda/Conjunto"),"")))</f>
        <v/>
      </c>
      <c r="P418" t="str">
        <f>IF(M418="","",IF(M418="[FÓRMULA MANUAL]","",IFERROR(AVERAGEIFS(nNOTA,nNIA,M418,nCUENTA,1,nASIG,"Música de Cámara"),"")))</f>
        <v/>
      </c>
      <c r="Q418" t="str">
        <f>IF(M418="","",IF(M418="[FÓRMULA MANUAL]","",IFERROR(SUMPRODUCT((nNIA=M418)*(nCUENTA=1)*(COUNTIF(CONFIG_ASIGNATURAS!$B$7:$B$27,nASIG)&gt;0)*(nNOTA))/SUMPRODUCT((nNIA=M418)*(nCUENTA=1)*(COUNTIF(CONFIG_ASIGNATURAS!$B$7:$B$27,nASIG)&gt;0)*1),"")))</f>
        <v/>
      </c>
      <c r="T418" t="str">
        <f>IF(S418="","",IF(S418="[FÓRMULA MANUAL]","",IFERROR(AVERAGEIFS(nNOTA,nNIA,S418,nCUENTA,1,nASIG,"Armonía"),"")))</f>
        <v/>
      </c>
      <c r="U418" t="str">
        <f>IF(S418="","",IF(S418="[FÓRMULA MANUAL]","",IFERROR(AVERAGEIFS(nNOTA,nNIA,S418,nCUENTA,1,nASIG,"Orquesta/Banda/Conjunto"),"")))</f>
        <v/>
      </c>
      <c r="V418" t="str">
        <f>IF(S418="","",IF(S418="[FÓRMULA MANUAL]","",IFERROR(AVERAGEIFS(nNOTA,nNIA,S418,nCUENTA,1,nASIG,"Música de Cámara"),"")))</f>
        <v/>
      </c>
      <c r="W418" t="str">
        <f>IF(S418="","",IF(S418="[FÓRMULA MANUAL]","",IFERROR(SUMPRODUCT((nNIA=S418)*(nCUENTA=1)*(COUNTIF(CONFIG_ASIGNATURAS!$B$7:$B$27,nASIG)&gt;0)*(nNOTA))/SUMPRODUCT((nNIA=S418)*(nCUENTA=1)*(COUNTIF(CONFIG_ASIGNATURAS!$B$7:$B$27,nASIG)&gt;0)*1),"")))</f>
        <v/>
      </c>
      <c r="Z418" t="str">
        <f>IF(Y418="","",IF(Y418="[FÓRMULA MANUAL]","",IFERROR(AVERAGEIFS(nNOTA,nNIA,Y418,nCUENTA,1,nASIG,"Análisis"),"")))</f>
        <v/>
      </c>
      <c r="AA418" t="str">
        <f>IF(Y418="","",IF(Y418="[FÓRMULA MANUAL]","",IFERROR(AVERAGEIFS(nNOTA,nNIA,Y418,nCUENTA,1,nASIG,"Orquesta/Banda/Conjunto"),"")))</f>
        <v/>
      </c>
      <c r="AB418" t="str">
        <f>IF(Y418="","",IF(Y418="[FÓRMULA MANUAL]","",IFERROR(AVERAGEIFS(nNOTA,nNIA,Y418,nCUENTA,1,nASIG,"Música de Cámara"),"")))</f>
        <v/>
      </c>
      <c r="AC418" t="str">
        <f>IF(Y418="","",IF(Y418="[FÓRMULA MANUAL]","",IFERROR(SUMPRODUCT((nNIA=Y418)*(nCUENTA=1)*(COUNTIF(CONFIG_ASIGNATURAS!$B$7:$B$27,nASIG)&gt;0)*(nNOTA))/SUMPRODUCT((nNIA=Y418)*(nCUENTA=1)*(COUNTIF(CONFIG_ASIGNATURAS!$B$7:$B$27,nASIG)&gt;0)*1),"")))</f>
        <v/>
      </c>
      <c r="AF418" t="str">
        <f>IF(AE418="","",IF(AE418="[FÓRMULA MANUAL]","",IFERROR(AVERAGEIFS(nNOTA,nNIA,AE418,nCUENTA,1,nASIG,"Análisis"),"")))</f>
        <v/>
      </c>
      <c r="AG418" t="str">
        <f>IF(AE418="","",IF(AE418="[FÓRMULA MANUAL]","",IFERROR(AVERAGEIFS(nNOTA,nNIA,AE418,nCUENTA,1,nASIG,"Orquesta/Banda/Conjunto"),"")))</f>
        <v/>
      </c>
      <c r="AH418" t="str">
        <f>IF(AE418="","",IF(AE418="[FÓRMULA MANUAL]","",IFERROR(AVERAGEIFS(nNOTA,nNIA,AE418,nCUENTA,1,nASIG,"Música de Cámara"),"")))</f>
        <v/>
      </c>
      <c r="AI418" t="str">
        <f>IF(AE418="","",IF(AE418="[FÓRMULA MANUAL]","",IFERROR(SUMPRODUCT((nNIA=AE418)*(nCUENTA=1)*(COUNTIF(CONFIG_ASIGNATURAS!$B$7:$B$27,nASIG)&gt;0)*(nNOTA))/SUMPRODUCT((nNIA=AE418)*(nCUENTA=1)*(COUNTIF(CONFIG_ASIGNATURAS!$B$7:$B$27,nASIG)&gt;0)*1),"")))</f>
        <v/>
      </c>
    </row>
    <row r="419" spans="2:35" x14ac:dyDescent="0.2">
      <c r="B419" t="str">
        <f>IF(A419="","",IF(A419="[FÓRMULA MANUAL]","",IFERROR(AVERAGEIFS(nNOTA,nNIA,A419,nCUENTA,1,nASIG,"Lenguaje Musical"),"")))</f>
        <v/>
      </c>
      <c r="C419" t="str">
        <f>IF(A419="","",IF(A419="[FÓRMULA MANUAL]","",IFERROR(AVERAGEIFS(nNOTA,nNIA,A419,nCUENTA,1,nASIG,"Orquesta/Banda/Conjunto"),"")))</f>
        <v/>
      </c>
      <c r="D419" t="str">
        <f>IF(A419="","",IF(A419="[FÓRMULA MANUAL]","",IFERROR(AVERAGEIFS(nNOTA,nNIA,A419,nCUENTA,1,nASIG,"Conjunto"),"")))</f>
        <v/>
      </c>
      <c r="E419" t="str">
        <f>IF(A419="","",IF(A419="[FÓRMULA MANUAL]","",IFERROR(SUMPRODUCT((nNIA=A419)*(nCUENTA=1)*(COUNTIF(CONFIG_ASIGNATURAS!$B$7:$B$27,nASIG)&gt;0)*(nNOTA))/SUMPRODUCT((nNIA=A419)*(nCUENTA=1)*(COUNTIF(CONFIG_ASIGNATURAS!$B$7:$B$27,nASIG)&gt;0)*1),"")))</f>
        <v/>
      </c>
      <c r="H419" t="str">
        <f>IF(G419="","",IF(G419="[FÓRMULA MANUAL]","",IFERROR(AVERAGEIFS(nNOTA,nNIA,G419,nCUENTA,1,nASIG,"Lenguaje Musical"),"")))</f>
        <v/>
      </c>
      <c r="I419" t="str">
        <f>IF(G419="","",IF(G419="[FÓRMULA MANUAL]","",IFERROR(AVERAGEIFS(nNOTA,nNIA,G419,nCUENTA,1,nASIG,"Orquesta/Banda/Conjunto"),"")))</f>
        <v/>
      </c>
      <c r="J419" t="str">
        <f>IF(G419="","",IF(G419="[FÓRMULA MANUAL]","",IFERROR(AVERAGEIFS(nNOTA,nNIA,G419,nCUENTA,1,nASIG,"Conjunto"),"")))</f>
        <v/>
      </c>
      <c r="K419" t="str">
        <f>IF(G419="","",IF(G419="[FÓRMULA MANUAL]","",IFERROR(SUMPRODUCT((nNIA=G419)*(nCUENTA=1)*(COUNTIF(CONFIG_ASIGNATURAS!$B$7:$B$27,nASIG)&gt;0)*(nNOTA))/SUMPRODUCT((nNIA=G419)*(nCUENTA=1)*(COUNTIF(CONFIG_ASIGNATURAS!$B$7:$B$27,nASIG)&gt;0)*1),"")))</f>
        <v/>
      </c>
      <c r="N419" t="str">
        <f>IF(M419="","",IF(M419="[FÓRMULA MANUAL]","",IFERROR(AVERAGEIFS(nNOTA,nNIA,M419,nCUENTA,1,nASIG,"Armonía"),"")))</f>
        <v/>
      </c>
      <c r="O419" t="str">
        <f>IF(M419="","",IF(M419="[FÓRMULA MANUAL]","",IFERROR(AVERAGEIFS(nNOTA,nNIA,M419,nCUENTA,1,nASIG,"Orquesta/Banda/Conjunto"),"")))</f>
        <v/>
      </c>
      <c r="P419" t="str">
        <f>IF(M419="","",IF(M419="[FÓRMULA MANUAL]","",IFERROR(AVERAGEIFS(nNOTA,nNIA,M419,nCUENTA,1,nASIG,"Música de Cámara"),"")))</f>
        <v/>
      </c>
      <c r="Q419" t="str">
        <f>IF(M419="","",IF(M419="[FÓRMULA MANUAL]","",IFERROR(SUMPRODUCT((nNIA=M419)*(nCUENTA=1)*(COUNTIF(CONFIG_ASIGNATURAS!$B$7:$B$27,nASIG)&gt;0)*(nNOTA))/SUMPRODUCT((nNIA=M419)*(nCUENTA=1)*(COUNTIF(CONFIG_ASIGNATURAS!$B$7:$B$27,nASIG)&gt;0)*1),"")))</f>
        <v/>
      </c>
      <c r="T419" t="str">
        <f>IF(S419="","",IF(S419="[FÓRMULA MANUAL]","",IFERROR(AVERAGEIFS(nNOTA,nNIA,S419,nCUENTA,1,nASIG,"Armonía"),"")))</f>
        <v/>
      </c>
      <c r="U419" t="str">
        <f>IF(S419="","",IF(S419="[FÓRMULA MANUAL]","",IFERROR(AVERAGEIFS(nNOTA,nNIA,S419,nCUENTA,1,nASIG,"Orquesta/Banda/Conjunto"),"")))</f>
        <v/>
      </c>
      <c r="V419" t="str">
        <f>IF(S419="","",IF(S419="[FÓRMULA MANUAL]","",IFERROR(AVERAGEIFS(nNOTA,nNIA,S419,nCUENTA,1,nASIG,"Música de Cámara"),"")))</f>
        <v/>
      </c>
      <c r="W419" t="str">
        <f>IF(S419="","",IF(S419="[FÓRMULA MANUAL]","",IFERROR(SUMPRODUCT((nNIA=S419)*(nCUENTA=1)*(COUNTIF(CONFIG_ASIGNATURAS!$B$7:$B$27,nASIG)&gt;0)*(nNOTA))/SUMPRODUCT((nNIA=S419)*(nCUENTA=1)*(COUNTIF(CONFIG_ASIGNATURAS!$B$7:$B$27,nASIG)&gt;0)*1),"")))</f>
        <v/>
      </c>
      <c r="Z419" t="str">
        <f>IF(Y419="","",IF(Y419="[FÓRMULA MANUAL]","",IFERROR(AVERAGEIFS(nNOTA,nNIA,Y419,nCUENTA,1,nASIG,"Análisis"),"")))</f>
        <v/>
      </c>
      <c r="AA419" t="str">
        <f>IF(Y419="","",IF(Y419="[FÓRMULA MANUAL]","",IFERROR(AVERAGEIFS(nNOTA,nNIA,Y419,nCUENTA,1,nASIG,"Orquesta/Banda/Conjunto"),"")))</f>
        <v/>
      </c>
      <c r="AB419" t="str">
        <f>IF(Y419="","",IF(Y419="[FÓRMULA MANUAL]","",IFERROR(AVERAGEIFS(nNOTA,nNIA,Y419,nCUENTA,1,nASIG,"Música de Cámara"),"")))</f>
        <v/>
      </c>
      <c r="AC419" t="str">
        <f>IF(Y419="","",IF(Y419="[FÓRMULA MANUAL]","",IFERROR(SUMPRODUCT((nNIA=Y419)*(nCUENTA=1)*(COUNTIF(CONFIG_ASIGNATURAS!$B$7:$B$27,nASIG)&gt;0)*(nNOTA))/SUMPRODUCT((nNIA=Y419)*(nCUENTA=1)*(COUNTIF(CONFIG_ASIGNATURAS!$B$7:$B$27,nASIG)&gt;0)*1),"")))</f>
        <v/>
      </c>
      <c r="AF419" t="str">
        <f>IF(AE419="","",IF(AE419="[FÓRMULA MANUAL]","",IFERROR(AVERAGEIFS(nNOTA,nNIA,AE419,nCUENTA,1,nASIG,"Análisis"),"")))</f>
        <v/>
      </c>
      <c r="AG419" t="str">
        <f>IF(AE419="","",IF(AE419="[FÓRMULA MANUAL]","",IFERROR(AVERAGEIFS(nNOTA,nNIA,AE419,nCUENTA,1,nASIG,"Orquesta/Banda/Conjunto"),"")))</f>
        <v/>
      </c>
      <c r="AH419" t="str">
        <f>IF(AE419="","",IF(AE419="[FÓRMULA MANUAL]","",IFERROR(AVERAGEIFS(nNOTA,nNIA,AE419,nCUENTA,1,nASIG,"Música de Cámara"),"")))</f>
        <v/>
      </c>
      <c r="AI419" t="str">
        <f>IF(AE419="","",IF(AE419="[FÓRMULA MANUAL]","",IFERROR(SUMPRODUCT((nNIA=AE419)*(nCUENTA=1)*(COUNTIF(CONFIG_ASIGNATURAS!$B$7:$B$27,nASIG)&gt;0)*(nNOTA))/SUMPRODUCT((nNIA=AE419)*(nCUENTA=1)*(COUNTIF(CONFIG_ASIGNATURAS!$B$7:$B$27,nASIG)&gt;0)*1),"")))</f>
        <v/>
      </c>
    </row>
    <row r="420" spans="2:35" x14ac:dyDescent="0.2">
      <c r="B420" t="str">
        <f>IF(A420="","",IF(A420="[FÓRMULA MANUAL]","",IFERROR(AVERAGEIFS(nNOTA,nNIA,A420,nCUENTA,1,nASIG,"Lenguaje Musical"),"")))</f>
        <v/>
      </c>
      <c r="C420" t="str">
        <f>IF(A420="","",IF(A420="[FÓRMULA MANUAL]","",IFERROR(AVERAGEIFS(nNOTA,nNIA,A420,nCUENTA,1,nASIG,"Orquesta/Banda/Conjunto"),"")))</f>
        <v/>
      </c>
      <c r="D420" t="str">
        <f>IF(A420="","",IF(A420="[FÓRMULA MANUAL]","",IFERROR(AVERAGEIFS(nNOTA,nNIA,A420,nCUENTA,1,nASIG,"Conjunto"),"")))</f>
        <v/>
      </c>
      <c r="E420" t="str">
        <f>IF(A420="","",IF(A420="[FÓRMULA MANUAL]","",IFERROR(SUMPRODUCT((nNIA=A420)*(nCUENTA=1)*(COUNTIF(CONFIG_ASIGNATURAS!$B$7:$B$27,nASIG)&gt;0)*(nNOTA))/SUMPRODUCT((nNIA=A420)*(nCUENTA=1)*(COUNTIF(CONFIG_ASIGNATURAS!$B$7:$B$27,nASIG)&gt;0)*1),"")))</f>
        <v/>
      </c>
      <c r="H420" t="str">
        <f>IF(G420="","",IF(G420="[FÓRMULA MANUAL]","",IFERROR(AVERAGEIFS(nNOTA,nNIA,G420,nCUENTA,1,nASIG,"Lenguaje Musical"),"")))</f>
        <v/>
      </c>
      <c r="I420" t="str">
        <f>IF(G420="","",IF(G420="[FÓRMULA MANUAL]","",IFERROR(AVERAGEIFS(nNOTA,nNIA,G420,nCUENTA,1,nASIG,"Orquesta/Banda/Conjunto"),"")))</f>
        <v/>
      </c>
      <c r="J420" t="str">
        <f>IF(G420="","",IF(G420="[FÓRMULA MANUAL]","",IFERROR(AVERAGEIFS(nNOTA,nNIA,G420,nCUENTA,1,nASIG,"Conjunto"),"")))</f>
        <v/>
      </c>
      <c r="K420" t="str">
        <f>IF(G420="","",IF(G420="[FÓRMULA MANUAL]","",IFERROR(SUMPRODUCT((nNIA=G420)*(nCUENTA=1)*(COUNTIF(CONFIG_ASIGNATURAS!$B$7:$B$27,nASIG)&gt;0)*(nNOTA))/SUMPRODUCT((nNIA=G420)*(nCUENTA=1)*(COUNTIF(CONFIG_ASIGNATURAS!$B$7:$B$27,nASIG)&gt;0)*1),"")))</f>
        <v/>
      </c>
      <c r="N420" t="str">
        <f>IF(M420="","",IF(M420="[FÓRMULA MANUAL]","",IFERROR(AVERAGEIFS(nNOTA,nNIA,M420,nCUENTA,1,nASIG,"Armonía"),"")))</f>
        <v/>
      </c>
      <c r="O420" t="str">
        <f>IF(M420="","",IF(M420="[FÓRMULA MANUAL]","",IFERROR(AVERAGEIFS(nNOTA,nNIA,M420,nCUENTA,1,nASIG,"Orquesta/Banda/Conjunto"),"")))</f>
        <v/>
      </c>
      <c r="P420" t="str">
        <f>IF(M420="","",IF(M420="[FÓRMULA MANUAL]","",IFERROR(AVERAGEIFS(nNOTA,nNIA,M420,nCUENTA,1,nASIG,"Música de Cámara"),"")))</f>
        <v/>
      </c>
      <c r="Q420" t="str">
        <f>IF(M420="","",IF(M420="[FÓRMULA MANUAL]","",IFERROR(SUMPRODUCT((nNIA=M420)*(nCUENTA=1)*(COUNTIF(CONFIG_ASIGNATURAS!$B$7:$B$27,nASIG)&gt;0)*(nNOTA))/SUMPRODUCT((nNIA=M420)*(nCUENTA=1)*(COUNTIF(CONFIG_ASIGNATURAS!$B$7:$B$27,nASIG)&gt;0)*1),"")))</f>
        <v/>
      </c>
      <c r="T420" t="str">
        <f>IF(S420="","",IF(S420="[FÓRMULA MANUAL]","",IFERROR(AVERAGEIFS(nNOTA,nNIA,S420,nCUENTA,1,nASIG,"Armonía"),"")))</f>
        <v/>
      </c>
      <c r="U420" t="str">
        <f>IF(S420="","",IF(S420="[FÓRMULA MANUAL]","",IFERROR(AVERAGEIFS(nNOTA,nNIA,S420,nCUENTA,1,nASIG,"Orquesta/Banda/Conjunto"),"")))</f>
        <v/>
      </c>
      <c r="V420" t="str">
        <f>IF(S420="","",IF(S420="[FÓRMULA MANUAL]","",IFERROR(AVERAGEIFS(nNOTA,nNIA,S420,nCUENTA,1,nASIG,"Música de Cámara"),"")))</f>
        <v/>
      </c>
      <c r="W420" t="str">
        <f>IF(S420="","",IF(S420="[FÓRMULA MANUAL]","",IFERROR(SUMPRODUCT((nNIA=S420)*(nCUENTA=1)*(COUNTIF(CONFIG_ASIGNATURAS!$B$7:$B$27,nASIG)&gt;0)*(nNOTA))/SUMPRODUCT((nNIA=S420)*(nCUENTA=1)*(COUNTIF(CONFIG_ASIGNATURAS!$B$7:$B$27,nASIG)&gt;0)*1),"")))</f>
        <v/>
      </c>
      <c r="Z420" t="str">
        <f>IF(Y420="","",IF(Y420="[FÓRMULA MANUAL]","",IFERROR(AVERAGEIFS(nNOTA,nNIA,Y420,nCUENTA,1,nASIG,"Análisis"),"")))</f>
        <v/>
      </c>
      <c r="AA420" t="str">
        <f>IF(Y420="","",IF(Y420="[FÓRMULA MANUAL]","",IFERROR(AVERAGEIFS(nNOTA,nNIA,Y420,nCUENTA,1,nASIG,"Orquesta/Banda/Conjunto"),"")))</f>
        <v/>
      </c>
      <c r="AB420" t="str">
        <f>IF(Y420="","",IF(Y420="[FÓRMULA MANUAL]","",IFERROR(AVERAGEIFS(nNOTA,nNIA,Y420,nCUENTA,1,nASIG,"Música de Cámara"),"")))</f>
        <v/>
      </c>
      <c r="AC420" t="str">
        <f>IF(Y420="","",IF(Y420="[FÓRMULA MANUAL]","",IFERROR(SUMPRODUCT((nNIA=Y420)*(nCUENTA=1)*(COUNTIF(CONFIG_ASIGNATURAS!$B$7:$B$27,nASIG)&gt;0)*(nNOTA))/SUMPRODUCT((nNIA=Y420)*(nCUENTA=1)*(COUNTIF(CONFIG_ASIGNATURAS!$B$7:$B$27,nASIG)&gt;0)*1),"")))</f>
        <v/>
      </c>
      <c r="AF420" t="str">
        <f>IF(AE420="","",IF(AE420="[FÓRMULA MANUAL]","",IFERROR(AVERAGEIFS(nNOTA,nNIA,AE420,nCUENTA,1,nASIG,"Análisis"),"")))</f>
        <v/>
      </c>
      <c r="AG420" t="str">
        <f>IF(AE420="","",IF(AE420="[FÓRMULA MANUAL]","",IFERROR(AVERAGEIFS(nNOTA,nNIA,AE420,nCUENTA,1,nASIG,"Orquesta/Banda/Conjunto"),"")))</f>
        <v/>
      </c>
      <c r="AH420" t="str">
        <f>IF(AE420="","",IF(AE420="[FÓRMULA MANUAL]","",IFERROR(AVERAGEIFS(nNOTA,nNIA,AE420,nCUENTA,1,nASIG,"Música de Cámara"),"")))</f>
        <v/>
      </c>
      <c r="AI420" t="str">
        <f>IF(AE420="","",IF(AE420="[FÓRMULA MANUAL]","",IFERROR(SUMPRODUCT((nNIA=AE420)*(nCUENTA=1)*(COUNTIF(CONFIG_ASIGNATURAS!$B$7:$B$27,nASIG)&gt;0)*(nNOTA))/SUMPRODUCT((nNIA=AE420)*(nCUENTA=1)*(COUNTIF(CONFIG_ASIGNATURAS!$B$7:$B$27,nASIG)&gt;0)*1),"")))</f>
        <v/>
      </c>
    </row>
    <row r="421" spans="2:35" x14ac:dyDescent="0.2">
      <c r="B421" t="str">
        <f>IF(A421="","",IF(A421="[FÓRMULA MANUAL]","",IFERROR(AVERAGEIFS(nNOTA,nNIA,A421,nCUENTA,1,nASIG,"Lenguaje Musical"),"")))</f>
        <v/>
      </c>
      <c r="C421" t="str">
        <f>IF(A421="","",IF(A421="[FÓRMULA MANUAL]","",IFERROR(AVERAGEIFS(nNOTA,nNIA,A421,nCUENTA,1,nASIG,"Orquesta/Banda/Conjunto"),"")))</f>
        <v/>
      </c>
      <c r="D421" t="str">
        <f>IF(A421="","",IF(A421="[FÓRMULA MANUAL]","",IFERROR(AVERAGEIFS(nNOTA,nNIA,A421,nCUENTA,1,nASIG,"Conjunto"),"")))</f>
        <v/>
      </c>
      <c r="E421" t="str">
        <f>IF(A421="","",IF(A421="[FÓRMULA MANUAL]","",IFERROR(SUMPRODUCT((nNIA=A421)*(nCUENTA=1)*(COUNTIF(CONFIG_ASIGNATURAS!$B$7:$B$27,nASIG)&gt;0)*(nNOTA))/SUMPRODUCT((nNIA=A421)*(nCUENTA=1)*(COUNTIF(CONFIG_ASIGNATURAS!$B$7:$B$27,nASIG)&gt;0)*1),"")))</f>
        <v/>
      </c>
      <c r="H421" t="str">
        <f>IF(G421="","",IF(G421="[FÓRMULA MANUAL]","",IFERROR(AVERAGEIFS(nNOTA,nNIA,G421,nCUENTA,1,nASIG,"Lenguaje Musical"),"")))</f>
        <v/>
      </c>
      <c r="I421" t="str">
        <f>IF(G421="","",IF(G421="[FÓRMULA MANUAL]","",IFERROR(AVERAGEIFS(nNOTA,nNIA,G421,nCUENTA,1,nASIG,"Orquesta/Banda/Conjunto"),"")))</f>
        <v/>
      </c>
      <c r="J421" t="str">
        <f>IF(G421="","",IF(G421="[FÓRMULA MANUAL]","",IFERROR(AVERAGEIFS(nNOTA,nNIA,G421,nCUENTA,1,nASIG,"Conjunto"),"")))</f>
        <v/>
      </c>
      <c r="K421" t="str">
        <f>IF(G421="","",IF(G421="[FÓRMULA MANUAL]","",IFERROR(SUMPRODUCT((nNIA=G421)*(nCUENTA=1)*(COUNTIF(CONFIG_ASIGNATURAS!$B$7:$B$27,nASIG)&gt;0)*(nNOTA))/SUMPRODUCT((nNIA=G421)*(nCUENTA=1)*(COUNTIF(CONFIG_ASIGNATURAS!$B$7:$B$27,nASIG)&gt;0)*1),"")))</f>
        <v/>
      </c>
      <c r="N421" t="str">
        <f>IF(M421="","",IF(M421="[FÓRMULA MANUAL]","",IFERROR(AVERAGEIFS(nNOTA,nNIA,M421,nCUENTA,1,nASIG,"Armonía"),"")))</f>
        <v/>
      </c>
      <c r="O421" t="str">
        <f>IF(M421="","",IF(M421="[FÓRMULA MANUAL]","",IFERROR(AVERAGEIFS(nNOTA,nNIA,M421,nCUENTA,1,nASIG,"Orquesta/Banda/Conjunto"),"")))</f>
        <v/>
      </c>
      <c r="P421" t="str">
        <f>IF(M421="","",IF(M421="[FÓRMULA MANUAL]","",IFERROR(AVERAGEIFS(nNOTA,nNIA,M421,nCUENTA,1,nASIG,"Música de Cámara"),"")))</f>
        <v/>
      </c>
      <c r="Q421" t="str">
        <f>IF(M421="","",IF(M421="[FÓRMULA MANUAL]","",IFERROR(SUMPRODUCT((nNIA=M421)*(nCUENTA=1)*(COUNTIF(CONFIG_ASIGNATURAS!$B$7:$B$27,nASIG)&gt;0)*(nNOTA))/SUMPRODUCT((nNIA=M421)*(nCUENTA=1)*(COUNTIF(CONFIG_ASIGNATURAS!$B$7:$B$27,nASIG)&gt;0)*1),"")))</f>
        <v/>
      </c>
      <c r="T421" t="str">
        <f>IF(S421="","",IF(S421="[FÓRMULA MANUAL]","",IFERROR(AVERAGEIFS(nNOTA,nNIA,S421,nCUENTA,1,nASIG,"Armonía"),"")))</f>
        <v/>
      </c>
      <c r="U421" t="str">
        <f>IF(S421="","",IF(S421="[FÓRMULA MANUAL]","",IFERROR(AVERAGEIFS(nNOTA,nNIA,S421,nCUENTA,1,nASIG,"Orquesta/Banda/Conjunto"),"")))</f>
        <v/>
      </c>
      <c r="V421" t="str">
        <f>IF(S421="","",IF(S421="[FÓRMULA MANUAL]","",IFERROR(AVERAGEIFS(nNOTA,nNIA,S421,nCUENTA,1,nASIG,"Música de Cámara"),"")))</f>
        <v/>
      </c>
      <c r="W421" t="str">
        <f>IF(S421="","",IF(S421="[FÓRMULA MANUAL]","",IFERROR(SUMPRODUCT((nNIA=S421)*(nCUENTA=1)*(COUNTIF(CONFIG_ASIGNATURAS!$B$7:$B$27,nASIG)&gt;0)*(nNOTA))/SUMPRODUCT((nNIA=S421)*(nCUENTA=1)*(COUNTIF(CONFIG_ASIGNATURAS!$B$7:$B$27,nASIG)&gt;0)*1),"")))</f>
        <v/>
      </c>
      <c r="Z421" t="str">
        <f>IF(Y421="","",IF(Y421="[FÓRMULA MANUAL]","",IFERROR(AVERAGEIFS(nNOTA,nNIA,Y421,nCUENTA,1,nASIG,"Análisis"),"")))</f>
        <v/>
      </c>
      <c r="AA421" t="str">
        <f>IF(Y421="","",IF(Y421="[FÓRMULA MANUAL]","",IFERROR(AVERAGEIFS(nNOTA,nNIA,Y421,nCUENTA,1,nASIG,"Orquesta/Banda/Conjunto"),"")))</f>
        <v/>
      </c>
      <c r="AB421" t="str">
        <f>IF(Y421="","",IF(Y421="[FÓRMULA MANUAL]","",IFERROR(AVERAGEIFS(nNOTA,nNIA,Y421,nCUENTA,1,nASIG,"Música de Cámara"),"")))</f>
        <v/>
      </c>
      <c r="AC421" t="str">
        <f>IF(Y421="","",IF(Y421="[FÓRMULA MANUAL]","",IFERROR(SUMPRODUCT((nNIA=Y421)*(nCUENTA=1)*(COUNTIF(CONFIG_ASIGNATURAS!$B$7:$B$27,nASIG)&gt;0)*(nNOTA))/SUMPRODUCT((nNIA=Y421)*(nCUENTA=1)*(COUNTIF(CONFIG_ASIGNATURAS!$B$7:$B$27,nASIG)&gt;0)*1),"")))</f>
        <v/>
      </c>
      <c r="AF421" t="str">
        <f>IF(AE421="","",IF(AE421="[FÓRMULA MANUAL]","",IFERROR(AVERAGEIFS(nNOTA,nNIA,AE421,nCUENTA,1,nASIG,"Análisis"),"")))</f>
        <v/>
      </c>
      <c r="AG421" t="str">
        <f>IF(AE421="","",IF(AE421="[FÓRMULA MANUAL]","",IFERROR(AVERAGEIFS(nNOTA,nNIA,AE421,nCUENTA,1,nASIG,"Orquesta/Banda/Conjunto"),"")))</f>
        <v/>
      </c>
      <c r="AH421" t="str">
        <f>IF(AE421="","",IF(AE421="[FÓRMULA MANUAL]","",IFERROR(AVERAGEIFS(nNOTA,nNIA,AE421,nCUENTA,1,nASIG,"Música de Cámara"),"")))</f>
        <v/>
      </c>
      <c r="AI421" t="str">
        <f>IF(AE421="","",IF(AE421="[FÓRMULA MANUAL]","",IFERROR(SUMPRODUCT((nNIA=AE421)*(nCUENTA=1)*(COUNTIF(CONFIG_ASIGNATURAS!$B$7:$B$27,nASIG)&gt;0)*(nNOTA))/SUMPRODUCT((nNIA=AE421)*(nCUENTA=1)*(COUNTIF(CONFIG_ASIGNATURAS!$B$7:$B$27,nASIG)&gt;0)*1),"")))</f>
        <v/>
      </c>
    </row>
    <row r="422" spans="2:35" x14ac:dyDescent="0.2">
      <c r="B422" t="str">
        <f>IF(A422="","",IF(A422="[FÓRMULA MANUAL]","",IFERROR(AVERAGEIFS(nNOTA,nNIA,A422,nCUENTA,1,nASIG,"Lenguaje Musical"),"")))</f>
        <v/>
      </c>
      <c r="C422" t="str">
        <f>IF(A422="","",IF(A422="[FÓRMULA MANUAL]","",IFERROR(AVERAGEIFS(nNOTA,nNIA,A422,nCUENTA,1,nASIG,"Orquesta/Banda/Conjunto"),"")))</f>
        <v/>
      </c>
      <c r="D422" t="str">
        <f>IF(A422="","",IF(A422="[FÓRMULA MANUAL]","",IFERROR(AVERAGEIFS(nNOTA,nNIA,A422,nCUENTA,1,nASIG,"Conjunto"),"")))</f>
        <v/>
      </c>
      <c r="E422" t="str">
        <f>IF(A422="","",IF(A422="[FÓRMULA MANUAL]","",IFERROR(SUMPRODUCT((nNIA=A422)*(nCUENTA=1)*(COUNTIF(CONFIG_ASIGNATURAS!$B$7:$B$27,nASIG)&gt;0)*(nNOTA))/SUMPRODUCT((nNIA=A422)*(nCUENTA=1)*(COUNTIF(CONFIG_ASIGNATURAS!$B$7:$B$27,nASIG)&gt;0)*1),"")))</f>
        <v/>
      </c>
      <c r="H422" t="str">
        <f>IF(G422="","",IF(G422="[FÓRMULA MANUAL]","",IFERROR(AVERAGEIFS(nNOTA,nNIA,G422,nCUENTA,1,nASIG,"Lenguaje Musical"),"")))</f>
        <v/>
      </c>
      <c r="I422" t="str">
        <f>IF(G422="","",IF(G422="[FÓRMULA MANUAL]","",IFERROR(AVERAGEIFS(nNOTA,nNIA,G422,nCUENTA,1,nASIG,"Orquesta/Banda/Conjunto"),"")))</f>
        <v/>
      </c>
      <c r="J422" t="str">
        <f>IF(G422="","",IF(G422="[FÓRMULA MANUAL]","",IFERROR(AVERAGEIFS(nNOTA,nNIA,G422,nCUENTA,1,nASIG,"Conjunto"),"")))</f>
        <v/>
      </c>
      <c r="K422" t="str">
        <f>IF(G422="","",IF(G422="[FÓRMULA MANUAL]","",IFERROR(SUMPRODUCT((nNIA=G422)*(nCUENTA=1)*(COUNTIF(CONFIG_ASIGNATURAS!$B$7:$B$27,nASIG)&gt;0)*(nNOTA))/SUMPRODUCT((nNIA=G422)*(nCUENTA=1)*(COUNTIF(CONFIG_ASIGNATURAS!$B$7:$B$27,nASIG)&gt;0)*1),"")))</f>
        <v/>
      </c>
      <c r="N422" t="str">
        <f>IF(M422="","",IF(M422="[FÓRMULA MANUAL]","",IFERROR(AVERAGEIFS(nNOTA,nNIA,M422,nCUENTA,1,nASIG,"Armonía"),"")))</f>
        <v/>
      </c>
      <c r="O422" t="str">
        <f>IF(M422="","",IF(M422="[FÓRMULA MANUAL]","",IFERROR(AVERAGEIFS(nNOTA,nNIA,M422,nCUENTA,1,nASIG,"Orquesta/Banda/Conjunto"),"")))</f>
        <v/>
      </c>
      <c r="P422" t="str">
        <f>IF(M422="","",IF(M422="[FÓRMULA MANUAL]","",IFERROR(AVERAGEIFS(nNOTA,nNIA,M422,nCUENTA,1,nASIG,"Música de Cámara"),"")))</f>
        <v/>
      </c>
      <c r="Q422" t="str">
        <f>IF(M422="","",IF(M422="[FÓRMULA MANUAL]","",IFERROR(SUMPRODUCT((nNIA=M422)*(nCUENTA=1)*(COUNTIF(CONFIG_ASIGNATURAS!$B$7:$B$27,nASIG)&gt;0)*(nNOTA))/SUMPRODUCT((nNIA=M422)*(nCUENTA=1)*(COUNTIF(CONFIG_ASIGNATURAS!$B$7:$B$27,nASIG)&gt;0)*1),"")))</f>
        <v/>
      </c>
      <c r="T422" t="str">
        <f>IF(S422="","",IF(S422="[FÓRMULA MANUAL]","",IFERROR(AVERAGEIFS(nNOTA,nNIA,S422,nCUENTA,1,nASIG,"Armonía"),"")))</f>
        <v/>
      </c>
      <c r="U422" t="str">
        <f>IF(S422="","",IF(S422="[FÓRMULA MANUAL]","",IFERROR(AVERAGEIFS(nNOTA,nNIA,S422,nCUENTA,1,nASIG,"Orquesta/Banda/Conjunto"),"")))</f>
        <v/>
      </c>
      <c r="V422" t="str">
        <f>IF(S422="","",IF(S422="[FÓRMULA MANUAL]","",IFERROR(AVERAGEIFS(nNOTA,nNIA,S422,nCUENTA,1,nASIG,"Música de Cámara"),"")))</f>
        <v/>
      </c>
      <c r="W422" t="str">
        <f>IF(S422="","",IF(S422="[FÓRMULA MANUAL]","",IFERROR(SUMPRODUCT((nNIA=S422)*(nCUENTA=1)*(COUNTIF(CONFIG_ASIGNATURAS!$B$7:$B$27,nASIG)&gt;0)*(nNOTA))/SUMPRODUCT((nNIA=S422)*(nCUENTA=1)*(COUNTIF(CONFIG_ASIGNATURAS!$B$7:$B$27,nASIG)&gt;0)*1),"")))</f>
        <v/>
      </c>
      <c r="Z422" t="str">
        <f>IF(Y422="","",IF(Y422="[FÓRMULA MANUAL]","",IFERROR(AVERAGEIFS(nNOTA,nNIA,Y422,nCUENTA,1,nASIG,"Análisis"),"")))</f>
        <v/>
      </c>
      <c r="AA422" t="str">
        <f>IF(Y422="","",IF(Y422="[FÓRMULA MANUAL]","",IFERROR(AVERAGEIFS(nNOTA,nNIA,Y422,nCUENTA,1,nASIG,"Orquesta/Banda/Conjunto"),"")))</f>
        <v/>
      </c>
      <c r="AB422" t="str">
        <f>IF(Y422="","",IF(Y422="[FÓRMULA MANUAL]","",IFERROR(AVERAGEIFS(nNOTA,nNIA,Y422,nCUENTA,1,nASIG,"Música de Cámara"),"")))</f>
        <v/>
      </c>
      <c r="AC422" t="str">
        <f>IF(Y422="","",IF(Y422="[FÓRMULA MANUAL]","",IFERROR(SUMPRODUCT((nNIA=Y422)*(nCUENTA=1)*(COUNTIF(CONFIG_ASIGNATURAS!$B$7:$B$27,nASIG)&gt;0)*(nNOTA))/SUMPRODUCT((nNIA=Y422)*(nCUENTA=1)*(COUNTIF(CONFIG_ASIGNATURAS!$B$7:$B$27,nASIG)&gt;0)*1),"")))</f>
        <v/>
      </c>
      <c r="AF422" t="str">
        <f>IF(AE422="","",IF(AE422="[FÓRMULA MANUAL]","",IFERROR(AVERAGEIFS(nNOTA,nNIA,AE422,nCUENTA,1,nASIG,"Análisis"),"")))</f>
        <v/>
      </c>
      <c r="AG422" t="str">
        <f>IF(AE422="","",IF(AE422="[FÓRMULA MANUAL]","",IFERROR(AVERAGEIFS(nNOTA,nNIA,AE422,nCUENTA,1,nASIG,"Orquesta/Banda/Conjunto"),"")))</f>
        <v/>
      </c>
      <c r="AH422" t="str">
        <f>IF(AE422="","",IF(AE422="[FÓRMULA MANUAL]","",IFERROR(AVERAGEIFS(nNOTA,nNIA,AE422,nCUENTA,1,nASIG,"Música de Cámara"),"")))</f>
        <v/>
      </c>
      <c r="AI422" t="str">
        <f>IF(AE422="","",IF(AE422="[FÓRMULA MANUAL]","",IFERROR(SUMPRODUCT((nNIA=AE422)*(nCUENTA=1)*(COUNTIF(CONFIG_ASIGNATURAS!$B$7:$B$27,nASIG)&gt;0)*(nNOTA))/SUMPRODUCT((nNIA=AE422)*(nCUENTA=1)*(COUNTIF(CONFIG_ASIGNATURAS!$B$7:$B$27,nASIG)&gt;0)*1),"")))</f>
        <v/>
      </c>
    </row>
    <row r="423" spans="2:35" x14ac:dyDescent="0.2">
      <c r="B423" t="str">
        <f>IF(A423="","",IF(A423="[FÓRMULA MANUAL]","",IFERROR(AVERAGEIFS(nNOTA,nNIA,A423,nCUENTA,1,nASIG,"Lenguaje Musical"),"")))</f>
        <v/>
      </c>
      <c r="C423" t="str">
        <f>IF(A423="","",IF(A423="[FÓRMULA MANUAL]","",IFERROR(AVERAGEIFS(nNOTA,nNIA,A423,nCUENTA,1,nASIG,"Orquesta/Banda/Conjunto"),"")))</f>
        <v/>
      </c>
      <c r="D423" t="str">
        <f>IF(A423="","",IF(A423="[FÓRMULA MANUAL]","",IFERROR(AVERAGEIFS(nNOTA,nNIA,A423,nCUENTA,1,nASIG,"Conjunto"),"")))</f>
        <v/>
      </c>
      <c r="E423" t="str">
        <f>IF(A423="","",IF(A423="[FÓRMULA MANUAL]","",IFERROR(SUMPRODUCT((nNIA=A423)*(nCUENTA=1)*(COUNTIF(CONFIG_ASIGNATURAS!$B$7:$B$27,nASIG)&gt;0)*(nNOTA))/SUMPRODUCT((nNIA=A423)*(nCUENTA=1)*(COUNTIF(CONFIG_ASIGNATURAS!$B$7:$B$27,nASIG)&gt;0)*1),"")))</f>
        <v/>
      </c>
      <c r="H423" t="str">
        <f>IF(G423="","",IF(G423="[FÓRMULA MANUAL]","",IFERROR(AVERAGEIFS(nNOTA,nNIA,G423,nCUENTA,1,nASIG,"Lenguaje Musical"),"")))</f>
        <v/>
      </c>
      <c r="I423" t="str">
        <f>IF(G423="","",IF(G423="[FÓRMULA MANUAL]","",IFERROR(AVERAGEIFS(nNOTA,nNIA,G423,nCUENTA,1,nASIG,"Orquesta/Banda/Conjunto"),"")))</f>
        <v/>
      </c>
      <c r="J423" t="str">
        <f>IF(G423="","",IF(G423="[FÓRMULA MANUAL]","",IFERROR(AVERAGEIFS(nNOTA,nNIA,G423,nCUENTA,1,nASIG,"Conjunto"),"")))</f>
        <v/>
      </c>
      <c r="K423" t="str">
        <f>IF(G423="","",IF(G423="[FÓRMULA MANUAL]","",IFERROR(SUMPRODUCT((nNIA=G423)*(nCUENTA=1)*(COUNTIF(CONFIG_ASIGNATURAS!$B$7:$B$27,nASIG)&gt;0)*(nNOTA))/SUMPRODUCT((nNIA=G423)*(nCUENTA=1)*(COUNTIF(CONFIG_ASIGNATURAS!$B$7:$B$27,nASIG)&gt;0)*1),"")))</f>
        <v/>
      </c>
      <c r="N423" t="str">
        <f>IF(M423="","",IF(M423="[FÓRMULA MANUAL]","",IFERROR(AVERAGEIFS(nNOTA,nNIA,M423,nCUENTA,1,nASIG,"Armonía"),"")))</f>
        <v/>
      </c>
      <c r="O423" t="str">
        <f>IF(M423="","",IF(M423="[FÓRMULA MANUAL]","",IFERROR(AVERAGEIFS(nNOTA,nNIA,M423,nCUENTA,1,nASIG,"Orquesta/Banda/Conjunto"),"")))</f>
        <v/>
      </c>
      <c r="P423" t="str">
        <f>IF(M423="","",IF(M423="[FÓRMULA MANUAL]","",IFERROR(AVERAGEIFS(nNOTA,nNIA,M423,nCUENTA,1,nASIG,"Música de Cámara"),"")))</f>
        <v/>
      </c>
      <c r="Q423" t="str">
        <f>IF(M423="","",IF(M423="[FÓRMULA MANUAL]","",IFERROR(SUMPRODUCT((nNIA=M423)*(nCUENTA=1)*(COUNTIF(CONFIG_ASIGNATURAS!$B$7:$B$27,nASIG)&gt;0)*(nNOTA))/SUMPRODUCT((nNIA=M423)*(nCUENTA=1)*(COUNTIF(CONFIG_ASIGNATURAS!$B$7:$B$27,nASIG)&gt;0)*1),"")))</f>
        <v/>
      </c>
      <c r="T423" t="str">
        <f>IF(S423="","",IF(S423="[FÓRMULA MANUAL]","",IFERROR(AVERAGEIFS(nNOTA,nNIA,S423,nCUENTA,1,nASIG,"Armonía"),"")))</f>
        <v/>
      </c>
      <c r="U423" t="str">
        <f>IF(S423="","",IF(S423="[FÓRMULA MANUAL]","",IFERROR(AVERAGEIFS(nNOTA,nNIA,S423,nCUENTA,1,nASIG,"Orquesta/Banda/Conjunto"),"")))</f>
        <v/>
      </c>
      <c r="V423" t="str">
        <f>IF(S423="","",IF(S423="[FÓRMULA MANUAL]","",IFERROR(AVERAGEIFS(nNOTA,nNIA,S423,nCUENTA,1,nASIG,"Música de Cámara"),"")))</f>
        <v/>
      </c>
      <c r="W423" t="str">
        <f>IF(S423="","",IF(S423="[FÓRMULA MANUAL]","",IFERROR(SUMPRODUCT((nNIA=S423)*(nCUENTA=1)*(COUNTIF(CONFIG_ASIGNATURAS!$B$7:$B$27,nASIG)&gt;0)*(nNOTA))/SUMPRODUCT((nNIA=S423)*(nCUENTA=1)*(COUNTIF(CONFIG_ASIGNATURAS!$B$7:$B$27,nASIG)&gt;0)*1),"")))</f>
        <v/>
      </c>
      <c r="Z423" t="str">
        <f>IF(Y423="","",IF(Y423="[FÓRMULA MANUAL]","",IFERROR(AVERAGEIFS(nNOTA,nNIA,Y423,nCUENTA,1,nASIG,"Análisis"),"")))</f>
        <v/>
      </c>
      <c r="AA423" t="str">
        <f>IF(Y423="","",IF(Y423="[FÓRMULA MANUAL]","",IFERROR(AVERAGEIFS(nNOTA,nNIA,Y423,nCUENTA,1,nASIG,"Orquesta/Banda/Conjunto"),"")))</f>
        <v/>
      </c>
      <c r="AB423" t="str">
        <f>IF(Y423="","",IF(Y423="[FÓRMULA MANUAL]","",IFERROR(AVERAGEIFS(nNOTA,nNIA,Y423,nCUENTA,1,nASIG,"Música de Cámara"),"")))</f>
        <v/>
      </c>
      <c r="AC423" t="str">
        <f>IF(Y423="","",IF(Y423="[FÓRMULA MANUAL]","",IFERROR(SUMPRODUCT((nNIA=Y423)*(nCUENTA=1)*(COUNTIF(CONFIG_ASIGNATURAS!$B$7:$B$27,nASIG)&gt;0)*(nNOTA))/SUMPRODUCT((nNIA=Y423)*(nCUENTA=1)*(COUNTIF(CONFIG_ASIGNATURAS!$B$7:$B$27,nASIG)&gt;0)*1),"")))</f>
        <v/>
      </c>
      <c r="AF423" t="str">
        <f>IF(AE423="","",IF(AE423="[FÓRMULA MANUAL]","",IFERROR(AVERAGEIFS(nNOTA,nNIA,AE423,nCUENTA,1,nASIG,"Análisis"),"")))</f>
        <v/>
      </c>
      <c r="AG423" t="str">
        <f>IF(AE423="","",IF(AE423="[FÓRMULA MANUAL]","",IFERROR(AVERAGEIFS(nNOTA,nNIA,AE423,nCUENTA,1,nASIG,"Orquesta/Banda/Conjunto"),"")))</f>
        <v/>
      </c>
      <c r="AH423" t="str">
        <f>IF(AE423="","",IF(AE423="[FÓRMULA MANUAL]","",IFERROR(AVERAGEIFS(nNOTA,nNIA,AE423,nCUENTA,1,nASIG,"Música de Cámara"),"")))</f>
        <v/>
      </c>
      <c r="AI423" t="str">
        <f>IF(AE423="","",IF(AE423="[FÓRMULA MANUAL]","",IFERROR(SUMPRODUCT((nNIA=AE423)*(nCUENTA=1)*(COUNTIF(CONFIG_ASIGNATURAS!$B$7:$B$27,nASIG)&gt;0)*(nNOTA))/SUMPRODUCT((nNIA=AE423)*(nCUENTA=1)*(COUNTIF(CONFIG_ASIGNATURAS!$B$7:$B$27,nASIG)&gt;0)*1),"")))</f>
        <v/>
      </c>
    </row>
    <row r="424" spans="2:35" x14ac:dyDescent="0.2">
      <c r="B424" t="str">
        <f>IF(A424="","",IF(A424="[FÓRMULA MANUAL]","",IFERROR(AVERAGEIFS(nNOTA,nNIA,A424,nCUENTA,1,nASIG,"Lenguaje Musical"),"")))</f>
        <v/>
      </c>
      <c r="C424" t="str">
        <f>IF(A424="","",IF(A424="[FÓRMULA MANUAL]","",IFERROR(AVERAGEIFS(nNOTA,nNIA,A424,nCUENTA,1,nASIG,"Orquesta/Banda/Conjunto"),"")))</f>
        <v/>
      </c>
      <c r="D424" t="str">
        <f>IF(A424="","",IF(A424="[FÓRMULA MANUAL]","",IFERROR(AVERAGEIFS(nNOTA,nNIA,A424,nCUENTA,1,nASIG,"Conjunto"),"")))</f>
        <v/>
      </c>
      <c r="E424" t="str">
        <f>IF(A424="","",IF(A424="[FÓRMULA MANUAL]","",IFERROR(SUMPRODUCT((nNIA=A424)*(nCUENTA=1)*(COUNTIF(CONFIG_ASIGNATURAS!$B$7:$B$27,nASIG)&gt;0)*(nNOTA))/SUMPRODUCT((nNIA=A424)*(nCUENTA=1)*(COUNTIF(CONFIG_ASIGNATURAS!$B$7:$B$27,nASIG)&gt;0)*1),"")))</f>
        <v/>
      </c>
      <c r="H424" t="str">
        <f>IF(G424="","",IF(G424="[FÓRMULA MANUAL]","",IFERROR(AVERAGEIFS(nNOTA,nNIA,G424,nCUENTA,1,nASIG,"Lenguaje Musical"),"")))</f>
        <v/>
      </c>
      <c r="I424" t="str">
        <f>IF(G424="","",IF(G424="[FÓRMULA MANUAL]","",IFERROR(AVERAGEIFS(nNOTA,nNIA,G424,nCUENTA,1,nASIG,"Orquesta/Banda/Conjunto"),"")))</f>
        <v/>
      </c>
      <c r="J424" t="str">
        <f>IF(G424="","",IF(G424="[FÓRMULA MANUAL]","",IFERROR(AVERAGEIFS(nNOTA,nNIA,G424,nCUENTA,1,nASIG,"Conjunto"),"")))</f>
        <v/>
      </c>
      <c r="K424" t="str">
        <f>IF(G424="","",IF(G424="[FÓRMULA MANUAL]","",IFERROR(SUMPRODUCT((nNIA=G424)*(nCUENTA=1)*(COUNTIF(CONFIG_ASIGNATURAS!$B$7:$B$27,nASIG)&gt;0)*(nNOTA))/SUMPRODUCT((nNIA=G424)*(nCUENTA=1)*(COUNTIF(CONFIG_ASIGNATURAS!$B$7:$B$27,nASIG)&gt;0)*1),"")))</f>
        <v/>
      </c>
      <c r="N424" t="str">
        <f>IF(M424="","",IF(M424="[FÓRMULA MANUAL]","",IFERROR(AVERAGEIFS(nNOTA,nNIA,M424,nCUENTA,1,nASIG,"Armonía"),"")))</f>
        <v/>
      </c>
      <c r="O424" t="str">
        <f>IF(M424="","",IF(M424="[FÓRMULA MANUAL]","",IFERROR(AVERAGEIFS(nNOTA,nNIA,M424,nCUENTA,1,nASIG,"Orquesta/Banda/Conjunto"),"")))</f>
        <v/>
      </c>
      <c r="P424" t="str">
        <f>IF(M424="","",IF(M424="[FÓRMULA MANUAL]","",IFERROR(AVERAGEIFS(nNOTA,nNIA,M424,nCUENTA,1,nASIG,"Música de Cámara"),"")))</f>
        <v/>
      </c>
      <c r="Q424" t="str">
        <f>IF(M424="","",IF(M424="[FÓRMULA MANUAL]","",IFERROR(SUMPRODUCT((nNIA=M424)*(nCUENTA=1)*(COUNTIF(CONFIG_ASIGNATURAS!$B$7:$B$27,nASIG)&gt;0)*(nNOTA))/SUMPRODUCT((nNIA=M424)*(nCUENTA=1)*(COUNTIF(CONFIG_ASIGNATURAS!$B$7:$B$27,nASIG)&gt;0)*1),"")))</f>
        <v/>
      </c>
      <c r="T424" t="str">
        <f>IF(S424="","",IF(S424="[FÓRMULA MANUAL]","",IFERROR(AVERAGEIFS(nNOTA,nNIA,S424,nCUENTA,1,nASIG,"Armonía"),"")))</f>
        <v/>
      </c>
      <c r="U424" t="str">
        <f>IF(S424="","",IF(S424="[FÓRMULA MANUAL]","",IFERROR(AVERAGEIFS(nNOTA,nNIA,S424,nCUENTA,1,nASIG,"Orquesta/Banda/Conjunto"),"")))</f>
        <v/>
      </c>
      <c r="V424" t="str">
        <f>IF(S424="","",IF(S424="[FÓRMULA MANUAL]","",IFERROR(AVERAGEIFS(nNOTA,nNIA,S424,nCUENTA,1,nASIG,"Música de Cámara"),"")))</f>
        <v/>
      </c>
      <c r="W424" t="str">
        <f>IF(S424="","",IF(S424="[FÓRMULA MANUAL]","",IFERROR(SUMPRODUCT((nNIA=S424)*(nCUENTA=1)*(COUNTIF(CONFIG_ASIGNATURAS!$B$7:$B$27,nASIG)&gt;0)*(nNOTA))/SUMPRODUCT((nNIA=S424)*(nCUENTA=1)*(COUNTIF(CONFIG_ASIGNATURAS!$B$7:$B$27,nASIG)&gt;0)*1),"")))</f>
        <v/>
      </c>
      <c r="Z424" t="str">
        <f>IF(Y424="","",IF(Y424="[FÓRMULA MANUAL]","",IFERROR(AVERAGEIFS(nNOTA,nNIA,Y424,nCUENTA,1,nASIG,"Análisis"),"")))</f>
        <v/>
      </c>
      <c r="AA424" t="str">
        <f>IF(Y424="","",IF(Y424="[FÓRMULA MANUAL]","",IFERROR(AVERAGEIFS(nNOTA,nNIA,Y424,nCUENTA,1,nASIG,"Orquesta/Banda/Conjunto"),"")))</f>
        <v/>
      </c>
      <c r="AB424" t="str">
        <f>IF(Y424="","",IF(Y424="[FÓRMULA MANUAL]","",IFERROR(AVERAGEIFS(nNOTA,nNIA,Y424,nCUENTA,1,nASIG,"Música de Cámara"),"")))</f>
        <v/>
      </c>
      <c r="AC424" t="str">
        <f>IF(Y424="","",IF(Y424="[FÓRMULA MANUAL]","",IFERROR(SUMPRODUCT((nNIA=Y424)*(nCUENTA=1)*(COUNTIF(CONFIG_ASIGNATURAS!$B$7:$B$27,nASIG)&gt;0)*(nNOTA))/SUMPRODUCT((nNIA=Y424)*(nCUENTA=1)*(COUNTIF(CONFIG_ASIGNATURAS!$B$7:$B$27,nASIG)&gt;0)*1),"")))</f>
        <v/>
      </c>
      <c r="AF424" t="str">
        <f>IF(AE424="","",IF(AE424="[FÓRMULA MANUAL]","",IFERROR(AVERAGEIFS(nNOTA,nNIA,AE424,nCUENTA,1,nASIG,"Análisis"),"")))</f>
        <v/>
      </c>
      <c r="AG424" t="str">
        <f>IF(AE424="","",IF(AE424="[FÓRMULA MANUAL]","",IFERROR(AVERAGEIFS(nNOTA,nNIA,AE424,nCUENTA,1,nASIG,"Orquesta/Banda/Conjunto"),"")))</f>
        <v/>
      </c>
      <c r="AH424" t="str">
        <f>IF(AE424="","",IF(AE424="[FÓRMULA MANUAL]","",IFERROR(AVERAGEIFS(nNOTA,nNIA,AE424,nCUENTA,1,nASIG,"Música de Cámara"),"")))</f>
        <v/>
      </c>
      <c r="AI424" t="str">
        <f>IF(AE424="","",IF(AE424="[FÓRMULA MANUAL]","",IFERROR(SUMPRODUCT((nNIA=AE424)*(nCUENTA=1)*(COUNTIF(CONFIG_ASIGNATURAS!$B$7:$B$27,nASIG)&gt;0)*(nNOTA))/SUMPRODUCT((nNIA=AE424)*(nCUENTA=1)*(COUNTIF(CONFIG_ASIGNATURAS!$B$7:$B$27,nASIG)&gt;0)*1),"")))</f>
        <v/>
      </c>
    </row>
    <row r="425" spans="2:35" x14ac:dyDescent="0.2">
      <c r="B425" t="str">
        <f>IF(A425="","",IF(A425="[FÓRMULA MANUAL]","",IFERROR(AVERAGEIFS(nNOTA,nNIA,A425,nCUENTA,1,nASIG,"Lenguaje Musical"),"")))</f>
        <v/>
      </c>
      <c r="C425" t="str">
        <f>IF(A425="","",IF(A425="[FÓRMULA MANUAL]","",IFERROR(AVERAGEIFS(nNOTA,nNIA,A425,nCUENTA,1,nASIG,"Orquesta/Banda/Conjunto"),"")))</f>
        <v/>
      </c>
      <c r="D425" t="str">
        <f>IF(A425="","",IF(A425="[FÓRMULA MANUAL]","",IFERROR(AVERAGEIFS(nNOTA,nNIA,A425,nCUENTA,1,nASIG,"Conjunto"),"")))</f>
        <v/>
      </c>
      <c r="E425" t="str">
        <f>IF(A425="","",IF(A425="[FÓRMULA MANUAL]","",IFERROR(SUMPRODUCT((nNIA=A425)*(nCUENTA=1)*(COUNTIF(CONFIG_ASIGNATURAS!$B$7:$B$27,nASIG)&gt;0)*(nNOTA))/SUMPRODUCT((nNIA=A425)*(nCUENTA=1)*(COUNTIF(CONFIG_ASIGNATURAS!$B$7:$B$27,nASIG)&gt;0)*1),"")))</f>
        <v/>
      </c>
      <c r="H425" t="str">
        <f>IF(G425="","",IF(G425="[FÓRMULA MANUAL]","",IFERROR(AVERAGEIFS(nNOTA,nNIA,G425,nCUENTA,1,nASIG,"Lenguaje Musical"),"")))</f>
        <v/>
      </c>
      <c r="I425" t="str">
        <f>IF(G425="","",IF(G425="[FÓRMULA MANUAL]","",IFERROR(AVERAGEIFS(nNOTA,nNIA,G425,nCUENTA,1,nASIG,"Orquesta/Banda/Conjunto"),"")))</f>
        <v/>
      </c>
      <c r="J425" t="str">
        <f>IF(G425="","",IF(G425="[FÓRMULA MANUAL]","",IFERROR(AVERAGEIFS(nNOTA,nNIA,G425,nCUENTA,1,nASIG,"Conjunto"),"")))</f>
        <v/>
      </c>
      <c r="K425" t="str">
        <f>IF(G425="","",IF(G425="[FÓRMULA MANUAL]","",IFERROR(SUMPRODUCT((nNIA=G425)*(nCUENTA=1)*(COUNTIF(CONFIG_ASIGNATURAS!$B$7:$B$27,nASIG)&gt;0)*(nNOTA))/SUMPRODUCT((nNIA=G425)*(nCUENTA=1)*(COUNTIF(CONFIG_ASIGNATURAS!$B$7:$B$27,nASIG)&gt;0)*1),"")))</f>
        <v/>
      </c>
      <c r="N425" t="str">
        <f>IF(M425="","",IF(M425="[FÓRMULA MANUAL]","",IFERROR(AVERAGEIFS(nNOTA,nNIA,M425,nCUENTA,1,nASIG,"Armonía"),"")))</f>
        <v/>
      </c>
      <c r="O425" t="str">
        <f>IF(M425="","",IF(M425="[FÓRMULA MANUAL]","",IFERROR(AVERAGEIFS(nNOTA,nNIA,M425,nCUENTA,1,nASIG,"Orquesta/Banda/Conjunto"),"")))</f>
        <v/>
      </c>
      <c r="P425" t="str">
        <f>IF(M425="","",IF(M425="[FÓRMULA MANUAL]","",IFERROR(AVERAGEIFS(nNOTA,nNIA,M425,nCUENTA,1,nASIG,"Música de Cámara"),"")))</f>
        <v/>
      </c>
      <c r="Q425" t="str">
        <f>IF(M425="","",IF(M425="[FÓRMULA MANUAL]","",IFERROR(SUMPRODUCT((nNIA=M425)*(nCUENTA=1)*(COUNTIF(CONFIG_ASIGNATURAS!$B$7:$B$27,nASIG)&gt;0)*(nNOTA))/SUMPRODUCT((nNIA=M425)*(nCUENTA=1)*(COUNTIF(CONFIG_ASIGNATURAS!$B$7:$B$27,nASIG)&gt;0)*1),"")))</f>
        <v/>
      </c>
      <c r="T425" t="str">
        <f>IF(S425="","",IF(S425="[FÓRMULA MANUAL]","",IFERROR(AVERAGEIFS(nNOTA,nNIA,S425,nCUENTA,1,nASIG,"Armonía"),"")))</f>
        <v/>
      </c>
      <c r="U425" t="str">
        <f>IF(S425="","",IF(S425="[FÓRMULA MANUAL]","",IFERROR(AVERAGEIFS(nNOTA,nNIA,S425,nCUENTA,1,nASIG,"Orquesta/Banda/Conjunto"),"")))</f>
        <v/>
      </c>
      <c r="V425" t="str">
        <f>IF(S425="","",IF(S425="[FÓRMULA MANUAL]","",IFERROR(AVERAGEIFS(nNOTA,nNIA,S425,nCUENTA,1,nASIG,"Música de Cámara"),"")))</f>
        <v/>
      </c>
      <c r="W425" t="str">
        <f>IF(S425="","",IF(S425="[FÓRMULA MANUAL]","",IFERROR(SUMPRODUCT((nNIA=S425)*(nCUENTA=1)*(COUNTIF(CONFIG_ASIGNATURAS!$B$7:$B$27,nASIG)&gt;0)*(nNOTA))/SUMPRODUCT((nNIA=S425)*(nCUENTA=1)*(COUNTIF(CONFIG_ASIGNATURAS!$B$7:$B$27,nASIG)&gt;0)*1),"")))</f>
        <v/>
      </c>
      <c r="Z425" t="str">
        <f>IF(Y425="","",IF(Y425="[FÓRMULA MANUAL]","",IFERROR(AVERAGEIFS(nNOTA,nNIA,Y425,nCUENTA,1,nASIG,"Análisis"),"")))</f>
        <v/>
      </c>
      <c r="AA425" t="str">
        <f>IF(Y425="","",IF(Y425="[FÓRMULA MANUAL]","",IFERROR(AVERAGEIFS(nNOTA,nNIA,Y425,nCUENTA,1,nASIG,"Orquesta/Banda/Conjunto"),"")))</f>
        <v/>
      </c>
      <c r="AB425" t="str">
        <f>IF(Y425="","",IF(Y425="[FÓRMULA MANUAL]","",IFERROR(AVERAGEIFS(nNOTA,nNIA,Y425,nCUENTA,1,nASIG,"Música de Cámara"),"")))</f>
        <v/>
      </c>
      <c r="AC425" t="str">
        <f>IF(Y425="","",IF(Y425="[FÓRMULA MANUAL]","",IFERROR(SUMPRODUCT((nNIA=Y425)*(nCUENTA=1)*(COUNTIF(CONFIG_ASIGNATURAS!$B$7:$B$27,nASIG)&gt;0)*(nNOTA))/SUMPRODUCT((nNIA=Y425)*(nCUENTA=1)*(COUNTIF(CONFIG_ASIGNATURAS!$B$7:$B$27,nASIG)&gt;0)*1),"")))</f>
        <v/>
      </c>
      <c r="AF425" t="str">
        <f>IF(AE425="","",IF(AE425="[FÓRMULA MANUAL]","",IFERROR(AVERAGEIFS(nNOTA,nNIA,AE425,nCUENTA,1,nASIG,"Análisis"),"")))</f>
        <v/>
      </c>
      <c r="AG425" t="str">
        <f>IF(AE425="","",IF(AE425="[FÓRMULA MANUAL]","",IFERROR(AVERAGEIFS(nNOTA,nNIA,AE425,nCUENTA,1,nASIG,"Orquesta/Banda/Conjunto"),"")))</f>
        <v/>
      </c>
      <c r="AH425" t="str">
        <f>IF(AE425="","",IF(AE425="[FÓRMULA MANUAL]","",IFERROR(AVERAGEIFS(nNOTA,nNIA,AE425,nCUENTA,1,nASIG,"Música de Cámara"),"")))</f>
        <v/>
      </c>
      <c r="AI425" t="str">
        <f>IF(AE425="","",IF(AE425="[FÓRMULA MANUAL]","",IFERROR(SUMPRODUCT((nNIA=AE425)*(nCUENTA=1)*(COUNTIF(CONFIG_ASIGNATURAS!$B$7:$B$27,nASIG)&gt;0)*(nNOTA))/SUMPRODUCT((nNIA=AE425)*(nCUENTA=1)*(COUNTIF(CONFIG_ASIGNATURAS!$B$7:$B$27,nASIG)&gt;0)*1),"")))</f>
        <v/>
      </c>
    </row>
    <row r="426" spans="2:35" x14ac:dyDescent="0.2">
      <c r="B426" t="str">
        <f>IF(A426="","",IF(A426="[FÓRMULA MANUAL]","",IFERROR(AVERAGEIFS(nNOTA,nNIA,A426,nCUENTA,1,nASIG,"Lenguaje Musical"),"")))</f>
        <v/>
      </c>
      <c r="C426" t="str">
        <f>IF(A426="","",IF(A426="[FÓRMULA MANUAL]","",IFERROR(AVERAGEIFS(nNOTA,nNIA,A426,nCUENTA,1,nASIG,"Orquesta/Banda/Conjunto"),"")))</f>
        <v/>
      </c>
      <c r="D426" t="str">
        <f>IF(A426="","",IF(A426="[FÓRMULA MANUAL]","",IFERROR(AVERAGEIFS(nNOTA,nNIA,A426,nCUENTA,1,nASIG,"Conjunto"),"")))</f>
        <v/>
      </c>
      <c r="E426" t="str">
        <f>IF(A426="","",IF(A426="[FÓRMULA MANUAL]","",IFERROR(SUMPRODUCT((nNIA=A426)*(nCUENTA=1)*(COUNTIF(CONFIG_ASIGNATURAS!$B$7:$B$27,nASIG)&gt;0)*(nNOTA))/SUMPRODUCT((nNIA=A426)*(nCUENTA=1)*(COUNTIF(CONFIG_ASIGNATURAS!$B$7:$B$27,nASIG)&gt;0)*1),"")))</f>
        <v/>
      </c>
      <c r="H426" t="str">
        <f>IF(G426="","",IF(G426="[FÓRMULA MANUAL]","",IFERROR(AVERAGEIFS(nNOTA,nNIA,G426,nCUENTA,1,nASIG,"Lenguaje Musical"),"")))</f>
        <v/>
      </c>
      <c r="I426" t="str">
        <f>IF(G426="","",IF(G426="[FÓRMULA MANUAL]","",IFERROR(AVERAGEIFS(nNOTA,nNIA,G426,nCUENTA,1,nASIG,"Orquesta/Banda/Conjunto"),"")))</f>
        <v/>
      </c>
      <c r="J426" t="str">
        <f>IF(G426="","",IF(G426="[FÓRMULA MANUAL]","",IFERROR(AVERAGEIFS(nNOTA,nNIA,G426,nCUENTA,1,nASIG,"Conjunto"),"")))</f>
        <v/>
      </c>
      <c r="K426" t="str">
        <f>IF(G426="","",IF(G426="[FÓRMULA MANUAL]","",IFERROR(SUMPRODUCT((nNIA=G426)*(nCUENTA=1)*(COUNTIF(CONFIG_ASIGNATURAS!$B$7:$B$27,nASIG)&gt;0)*(nNOTA))/SUMPRODUCT((nNIA=G426)*(nCUENTA=1)*(COUNTIF(CONFIG_ASIGNATURAS!$B$7:$B$27,nASIG)&gt;0)*1),"")))</f>
        <v/>
      </c>
      <c r="N426" t="str">
        <f>IF(M426="","",IF(M426="[FÓRMULA MANUAL]","",IFERROR(AVERAGEIFS(nNOTA,nNIA,M426,nCUENTA,1,nASIG,"Armonía"),"")))</f>
        <v/>
      </c>
      <c r="O426" t="str">
        <f>IF(M426="","",IF(M426="[FÓRMULA MANUAL]","",IFERROR(AVERAGEIFS(nNOTA,nNIA,M426,nCUENTA,1,nASIG,"Orquesta/Banda/Conjunto"),"")))</f>
        <v/>
      </c>
      <c r="P426" t="str">
        <f>IF(M426="","",IF(M426="[FÓRMULA MANUAL]","",IFERROR(AVERAGEIFS(nNOTA,nNIA,M426,nCUENTA,1,nASIG,"Música de Cámara"),"")))</f>
        <v/>
      </c>
      <c r="Q426" t="str">
        <f>IF(M426="","",IF(M426="[FÓRMULA MANUAL]","",IFERROR(SUMPRODUCT((nNIA=M426)*(nCUENTA=1)*(COUNTIF(CONFIG_ASIGNATURAS!$B$7:$B$27,nASIG)&gt;0)*(nNOTA))/SUMPRODUCT((nNIA=M426)*(nCUENTA=1)*(COUNTIF(CONFIG_ASIGNATURAS!$B$7:$B$27,nASIG)&gt;0)*1),"")))</f>
        <v/>
      </c>
      <c r="T426" t="str">
        <f>IF(S426="","",IF(S426="[FÓRMULA MANUAL]","",IFERROR(AVERAGEIFS(nNOTA,nNIA,S426,nCUENTA,1,nASIG,"Armonía"),"")))</f>
        <v/>
      </c>
      <c r="U426" t="str">
        <f>IF(S426="","",IF(S426="[FÓRMULA MANUAL]","",IFERROR(AVERAGEIFS(nNOTA,nNIA,S426,nCUENTA,1,nASIG,"Orquesta/Banda/Conjunto"),"")))</f>
        <v/>
      </c>
      <c r="V426" t="str">
        <f>IF(S426="","",IF(S426="[FÓRMULA MANUAL]","",IFERROR(AVERAGEIFS(nNOTA,nNIA,S426,nCUENTA,1,nASIG,"Música de Cámara"),"")))</f>
        <v/>
      </c>
      <c r="W426" t="str">
        <f>IF(S426="","",IF(S426="[FÓRMULA MANUAL]","",IFERROR(SUMPRODUCT((nNIA=S426)*(nCUENTA=1)*(COUNTIF(CONFIG_ASIGNATURAS!$B$7:$B$27,nASIG)&gt;0)*(nNOTA))/SUMPRODUCT((nNIA=S426)*(nCUENTA=1)*(COUNTIF(CONFIG_ASIGNATURAS!$B$7:$B$27,nASIG)&gt;0)*1),"")))</f>
        <v/>
      </c>
      <c r="Z426" t="str">
        <f>IF(Y426="","",IF(Y426="[FÓRMULA MANUAL]","",IFERROR(AVERAGEIFS(nNOTA,nNIA,Y426,nCUENTA,1,nASIG,"Análisis"),"")))</f>
        <v/>
      </c>
      <c r="AA426" t="str">
        <f>IF(Y426="","",IF(Y426="[FÓRMULA MANUAL]","",IFERROR(AVERAGEIFS(nNOTA,nNIA,Y426,nCUENTA,1,nASIG,"Orquesta/Banda/Conjunto"),"")))</f>
        <v/>
      </c>
      <c r="AB426" t="str">
        <f>IF(Y426="","",IF(Y426="[FÓRMULA MANUAL]","",IFERROR(AVERAGEIFS(nNOTA,nNIA,Y426,nCUENTA,1,nASIG,"Música de Cámara"),"")))</f>
        <v/>
      </c>
      <c r="AC426" t="str">
        <f>IF(Y426="","",IF(Y426="[FÓRMULA MANUAL]","",IFERROR(SUMPRODUCT((nNIA=Y426)*(nCUENTA=1)*(COUNTIF(CONFIG_ASIGNATURAS!$B$7:$B$27,nASIG)&gt;0)*(nNOTA))/SUMPRODUCT((nNIA=Y426)*(nCUENTA=1)*(COUNTIF(CONFIG_ASIGNATURAS!$B$7:$B$27,nASIG)&gt;0)*1),"")))</f>
        <v/>
      </c>
      <c r="AF426" t="str">
        <f>IF(AE426="","",IF(AE426="[FÓRMULA MANUAL]","",IFERROR(AVERAGEIFS(nNOTA,nNIA,AE426,nCUENTA,1,nASIG,"Análisis"),"")))</f>
        <v/>
      </c>
      <c r="AG426" t="str">
        <f>IF(AE426="","",IF(AE426="[FÓRMULA MANUAL]","",IFERROR(AVERAGEIFS(nNOTA,nNIA,AE426,nCUENTA,1,nASIG,"Orquesta/Banda/Conjunto"),"")))</f>
        <v/>
      </c>
      <c r="AH426" t="str">
        <f>IF(AE426="","",IF(AE426="[FÓRMULA MANUAL]","",IFERROR(AVERAGEIFS(nNOTA,nNIA,AE426,nCUENTA,1,nASIG,"Música de Cámara"),"")))</f>
        <v/>
      </c>
      <c r="AI426" t="str">
        <f>IF(AE426="","",IF(AE426="[FÓRMULA MANUAL]","",IFERROR(SUMPRODUCT((nNIA=AE426)*(nCUENTA=1)*(COUNTIF(CONFIG_ASIGNATURAS!$B$7:$B$27,nASIG)&gt;0)*(nNOTA))/SUMPRODUCT((nNIA=AE426)*(nCUENTA=1)*(COUNTIF(CONFIG_ASIGNATURAS!$B$7:$B$27,nASIG)&gt;0)*1),"")))</f>
        <v/>
      </c>
    </row>
    <row r="427" spans="2:35" x14ac:dyDescent="0.2">
      <c r="B427" t="str">
        <f>IF(A427="","",IF(A427="[FÓRMULA MANUAL]","",IFERROR(AVERAGEIFS(nNOTA,nNIA,A427,nCUENTA,1,nASIG,"Lenguaje Musical"),"")))</f>
        <v/>
      </c>
      <c r="C427" t="str">
        <f>IF(A427="","",IF(A427="[FÓRMULA MANUAL]","",IFERROR(AVERAGEIFS(nNOTA,nNIA,A427,nCUENTA,1,nASIG,"Orquesta/Banda/Conjunto"),"")))</f>
        <v/>
      </c>
      <c r="D427" t="str">
        <f>IF(A427="","",IF(A427="[FÓRMULA MANUAL]","",IFERROR(AVERAGEIFS(nNOTA,nNIA,A427,nCUENTA,1,nASIG,"Conjunto"),"")))</f>
        <v/>
      </c>
      <c r="E427" t="str">
        <f>IF(A427="","",IF(A427="[FÓRMULA MANUAL]","",IFERROR(SUMPRODUCT((nNIA=A427)*(nCUENTA=1)*(COUNTIF(CONFIG_ASIGNATURAS!$B$7:$B$27,nASIG)&gt;0)*(nNOTA))/SUMPRODUCT((nNIA=A427)*(nCUENTA=1)*(COUNTIF(CONFIG_ASIGNATURAS!$B$7:$B$27,nASIG)&gt;0)*1),"")))</f>
        <v/>
      </c>
      <c r="H427" t="str">
        <f>IF(G427="","",IF(G427="[FÓRMULA MANUAL]","",IFERROR(AVERAGEIFS(nNOTA,nNIA,G427,nCUENTA,1,nASIG,"Lenguaje Musical"),"")))</f>
        <v/>
      </c>
      <c r="I427" t="str">
        <f>IF(G427="","",IF(G427="[FÓRMULA MANUAL]","",IFERROR(AVERAGEIFS(nNOTA,nNIA,G427,nCUENTA,1,nASIG,"Orquesta/Banda/Conjunto"),"")))</f>
        <v/>
      </c>
      <c r="J427" t="str">
        <f>IF(G427="","",IF(G427="[FÓRMULA MANUAL]","",IFERROR(AVERAGEIFS(nNOTA,nNIA,G427,nCUENTA,1,nASIG,"Conjunto"),"")))</f>
        <v/>
      </c>
      <c r="K427" t="str">
        <f>IF(G427="","",IF(G427="[FÓRMULA MANUAL]","",IFERROR(SUMPRODUCT((nNIA=G427)*(nCUENTA=1)*(COUNTIF(CONFIG_ASIGNATURAS!$B$7:$B$27,nASIG)&gt;0)*(nNOTA))/SUMPRODUCT((nNIA=G427)*(nCUENTA=1)*(COUNTIF(CONFIG_ASIGNATURAS!$B$7:$B$27,nASIG)&gt;0)*1),"")))</f>
        <v/>
      </c>
      <c r="N427" t="str">
        <f>IF(M427="","",IF(M427="[FÓRMULA MANUAL]","",IFERROR(AVERAGEIFS(nNOTA,nNIA,M427,nCUENTA,1,nASIG,"Armonía"),"")))</f>
        <v/>
      </c>
      <c r="O427" t="str">
        <f>IF(M427="","",IF(M427="[FÓRMULA MANUAL]","",IFERROR(AVERAGEIFS(nNOTA,nNIA,M427,nCUENTA,1,nASIG,"Orquesta/Banda/Conjunto"),"")))</f>
        <v/>
      </c>
      <c r="P427" t="str">
        <f>IF(M427="","",IF(M427="[FÓRMULA MANUAL]","",IFERROR(AVERAGEIFS(nNOTA,nNIA,M427,nCUENTA,1,nASIG,"Música de Cámara"),"")))</f>
        <v/>
      </c>
      <c r="Q427" t="str">
        <f>IF(M427="","",IF(M427="[FÓRMULA MANUAL]","",IFERROR(SUMPRODUCT((nNIA=M427)*(nCUENTA=1)*(COUNTIF(CONFIG_ASIGNATURAS!$B$7:$B$27,nASIG)&gt;0)*(nNOTA))/SUMPRODUCT((nNIA=M427)*(nCUENTA=1)*(COUNTIF(CONFIG_ASIGNATURAS!$B$7:$B$27,nASIG)&gt;0)*1),"")))</f>
        <v/>
      </c>
      <c r="T427" t="str">
        <f>IF(S427="","",IF(S427="[FÓRMULA MANUAL]","",IFERROR(AVERAGEIFS(nNOTA,nNIA,S427,nCUENTA,1,nASIG,"Armonía"),"")))</f>
        <v/>
      </c>
      <c r="U427" t="str">
        <f>IF(S427="","",IF(S427="[FÓRMULA MANUAL]","",IFERROR(AVERAGEIFS(nNOTA,nNIA,S427,nCUENTA,1,nASIG,"Orquesta/Banda/Conjunto"),"")))</f>
        <v/>
      </c>
      <c r="V427" t="str">
        <f>IF(S427="","",IF(S427="[FÓRMULA MANUAL]","",IFERROR(AVERAGEIFS(nNOTA,nNIA,S427,nCUENTA,1,nASIG,"Música de Cámara"),"")))</f>
        <v/>
      </c>
      <c r="W427" t="str">
        <f>IF(S427="","",IF(S427="[FÓRMULA MANUAL]","",IFERROR(SUMPRODUCT((nNIA=S427)*(nCUENTA=1)*(COUNTIF(CONFIG_ASIGNATURAS!$B$7:$B$27,nASIG)&gt;0)*(nNOTA))/SUMPRODUCT((nNIA=S427)*(nCUENTA=1)*(COUNTIF(CONFIG_ASIGNATURAS!$B$7:$B$27,nASIG)&gt;0)*1),"")))</f>
        <v/>
      </c>
      <c r="Z427" t="str">
        <f>IF(Y427="","",IF(Y427="[FÓRMULA MANUAL]","",IFERROR(AVERAGEIFS(nNOTA,nNIA,Y427,nCUENTA,1,nASIG,"Análisis"),"")))</f>
        <v/>
      </c>
      <c r="AA427" t="str">
        <f>IF(Y427="","",IF(Y427="[FÓRMULA MANUAL]","",IFERROR(AVERAGEIFS(nNOTA,nNIA,Y427,nCUENTA,1,nASIG,"Orquesta/Banda/Conjunto"),"")))</f>
        <v/>
      </c>
      <c r="AB427" t="str">
        <f>IF(Y427="","",IF(Y427="[FÓRMULA MANUAL]","",IFERROR(AVERAGEIFS(nNOTA,nNIA,Y427,nCUENTA,1,nASIG,"Música de Cámara"),"")))</f>
        <v/>
      </c>
      <c r="AC427" t="str">
        <f>IF(Y427="","",IF(Y427="[FÓRMULA MANUAL]","",IFERROR(SUMPRODUCT((nNIA=Y427)*(nCUENTA=1)*(COUNTIF(CONFIG_ASIGNATURAS!$B$7:$B$27,nASIG)&gt;0)*(nNOTA))/SUMPRODUCT((nNIA=Y427)*(nCUENTA=1)*(COUNTIF(CONFIG_ASIGNATURAS!$B$7:$B$27,nASIG)&gt;0)*1),"")))</f>
        <v/>
      </c>
      <c r="AF427" t="str">
        <f>IF(AE427="","",IF(AE427="[FÓRMULA MANUAL]","",IFERROR(AVERAGEIFS(nNOTA,nNIA,AE427,nCUENTA,1,nASIG,"Análisis"),"")))</f>
        <v/>
      </c>
      <c r="AG427" t="str">
        <f>IF(AE427="","",IF(AE427="[FÓRMULA MANUAL]","",IFERROR(AVERAGEIFS(nNOTA,nNIA,AE427,nCUENTA,1,nASIG,"Orquesta/Banda/Conjunto"),"")))</f>
        <v/>
      </c>
      <c r="AH427" t="str">
        <f>IF(AE427="","",IF(AE427="[FÓRMULA MANUAL]","",IFERROR(AVERAGEIFS(nNOTA,nNIA,AE427,nCUENTA,1,nASIG,"Música de Cámara"),"")))</f>
        <v/>
      </c>
      <c r="AI427" t="str">
        <f>IF(AE427="","",IF(AE427="[FÓRMULA MANUAL]","",IFERROR(SUMPRODUCT((nNIA=AE427)*(nCUENTA=1)*(COUNTIF(CONFIG_ASIGNATURAS!$B$7:$B$27,nASIG)&gt;0)*(nNOTA))/SUMPRODUCT((nNIA=AE427)*(nCUENTA=1)*(COUNTIF(CONFIG_ASIGNATURAS!$B$7:$B$27,nASIG)&gt;0)*1),"")))</f>
        <v/>
      </c>
    </row>
    <row r="428" spans="2:35" x14ac:dyDescent="0.2">
      <c r="B428" t="str">
        <f>IF(A428="","",IF(A428="[FÓRMULA MANUAL]","",IFERROR(AVERAGEIFS(nNOTA,nNIA,A428,nCUENTA,1,nASIG,"Lenguaje Musical"),"")))</f>
        <v/>
      </c>
      <c r="C428" t="str">
        <f>IF(A428="","",IF(A428="[FÓRMULA MANUAL]","",IFERROR(AVERAGEIFS(nNOTA,nNIA,A428,nCUENTA,1,nASIG,"Orquesta/Banda/Conjunto"),"")))</f>
        <v/>
      </c>
      <c r="D428" t="str">
        <f>IF(A428="","",IF(A428="[FÓRMULA MANUAL]","",IFERROR(AVERAGEIFS(nNOTA,nNIA,A428,nCUENTA,1,nASIG,"Conjunto"),"")))</f>
        <v/>
      </c>
      <c r="E428" t="str">
        <f>IF(A428="","",IF(A428="[FÓRMULA MANUAL]","",IFERROR(SUMPRODUCT((nNIA=A428)*(nCUENTA=1)*(COUNTIF(CONFIG_ASIGNATURAS!$B$7:$B$27,nASIG)&gt;0)*(nNOTA))/SUMPRODUCT((nNIA=A428)*(nCUENTA=1)*(COUNTIF(CONFIG_ASIGNATURAS!$B$7:$B$27,nASIG)&gt;0)*1),"")))</f>
        <v/>
      </c>
      <c r="H428" t="str">
        <f>IF(G428="","",IF(G428="[FÓRMULA MANUAL]","",IFERROR(AVERAGEIFS(nNOTA,nNIA,G428,nCUENTA,1,nASIG,"Lenguaje Musical"),"")))</f>
        <v/>
      </c>
      <c r="I428" t="str">
        <f>IF(G428="","",IF(G428="[FÓRMULA MANUAL]","",IFERROR(AVERAGEIFS(nNOTA,nNIA,G428,nCUENTA,1,nASIG,"Orquesta/Banda/Conjunto"),"")))</f>
        <v/>
      </c>
      <c r="J428" t="str">
        <f>IF(G428="","",IF(G428="[FÓRMULA MANUAL]","",IFERROR(AVERAGEIFS(nNOTA,nNIA,G428,nCUENTA,1,nASIG,"Conjunto"),"")))</f>
        <v/>
      </c>
      <c r="K428" t="str">
        <f>IF(G428="","",IF(G428="[FÓRMULA MANUAL]","",IFERROR(SUMPRODUCT((nNIA=G428)*(nCUENTA=1)*(COUNTIF(CONFIG_ASIGNATURAS!$B$7:$B$27,nASIG)&gt;0)*(nNOTA))/SUMPRODUCT((nNIA=G428)*(nCUENTA=1)*(COUNTIF(CONFIG_ASIGNATURAS!$B$7:$B$27,nASIG)&gt;0)*1),"")))</f>
        <v/>
      </c>
      <c r="N428" t="str">
        <f>IF(M428="","",IF(M428="[FÓRMULA MANUAL]","",IFERROR(AVERAGEIFS(nNOTA,nNIA,M428,nCUENTA,1,nASIG,"Armonía"),"")))</f>
        <v/>
      </c>
      <c r="O428" t="str">
        <f>IF(M428="","",IF(M428="[FÓRMULA MANUAL]","",IFERROR(AVERAGEIFS(nNOTA,nNIA,M428,nCUENTA,1,nASIG,"Orquesta/Banda/Conjunto"),"")))</f>
        <v/>
      </c>
      <c r="P428" t="str">
        <f>IF(M428="","",IF(M428="[FÓRMULA MANUAL]","",IFERROR(AVERAGEIFS(nNOTA,nNIA,M428,nCUENTA,1,nASIG,"Música de Cámara"),"")))</f>
        <v/>
      </c>
      <c r="Q428" t="str">
        <f>IF(M428="","",IF(M428="[FÓRMULA MANUAL]","",IFERROR(SUMPRODUCT((nNIA=M428)*(nCUENTA=1)*(COUNTIF(CONFIG_ASIGNATURAS!$B$7:$B$27,nASIG)&gt;0)*(nNOTA))/SUMPRODUCT((nNIA=M428)*(nCUENTA=1)*(COUNTIF(CONFIG_ASIGNATURAS!$B$7:$B$27,nASIG)&gt;0)*1),"")))</f>
        <v/>
      </c>
      <c r="T428" t="str">
        <f>IF(S428="","",IF(S428="[FÓRMULA MANUAL]","",IFERROR(AVERAGEIFS(nNOTA,nNIA,S428,nCUENTA,1,nASIG,"Armonía"),"")))</f>
        <v/>
      </c>
      <c r="U428" t="str">
        <f>IF(S428="","",IF(S428="[FÓRMULA MANUAL]","",IFERROR(AVERAGEIFS(nNOTA,nNIA,S428,nCUENTA,1,nASIG,"Orquesta/Banda/Conjunto"),"")))</f>
        <v/>
      </c>
      <c r="V428" t="str">
        <f>IF(S428="","",IF(S428="[FÓRMULA MANUAL]","",IFERROR(AVERAGEIFS(nNOTA,nNIA,S428,nCUENTA,1,nASIG,"Música de Cámara"),"")))</f>
        <v/>
      </c>
      <c r="W428" t="str">
        <f>IF(S428="","",IF(S428="[FÓRMULA MANUAL]","",IFERROR(SUMPRODUCT((nNIA=S428)*(nCUENTA=1)*(COUNTIF(CONFIG_ASIGNATURAS!$B$7:$B$27,nASIG)&gt;0)*(nNOTA))/SUMPRODUCT((nNIA=S428)*(nCUENTA=1)*(COUNTIF(CONFIG_ASIGNATURAS!$B$7:$B$27,nASIG)&gt;0)*1),"")))</f>
        <v/>
      </c>
      <c r="Z428" t="str">
        <f>IF(Y428="","",IF(Y428="[FÓRMULA MANUAL]","",IFERROR(AVERAGEIFS(nNOTA,nNIA,Y428,nCUENTA,1,nASIG,"Análisis"),"")))</f>
        <v/>
      </c>
      <c r="AA428" t="str">
        <f>IF(Y428="","",IF(Y428="[FÓRMULA MANUAL]","",IFERROR(AVERAGEIFS(nNOTA,nNIA,Y428,nCUENTA,1,nASIG,"Orquesta/Banda/Conjunto"),"")))</f>
        <v/>
      </c>
      <c r="AB428" t="str">
        <f>IF(Y428="","",IF(Y428="[FÓRMULA MANUAL]","",IFERROR(AVERAGEIFS(nNOTA,nNIA,Y428,nCUENTA,1,nASIG,"Música de Cámara"),"")))</f>
        <v/>
      </c>
      <c r="AC428" t="str">
        <f>IF(Y428="","",IF(Y428="[FÓRMULA MANUAL]","",IFERROR(SUMPRODUCT((nNIA=Y428)*(nCUENTA=1)*(COUNTIF(CONFIG_ASIGNATURAS!$B$7:$B$27,nASIG)&gt;0)*(nNOTA))/SUMPRODUCT((nNIA=Y428)*(nCUENTA=1)*(COUNTIF(CONFIG_ASIGNATURAS!$B$7:$B$27,nASIG)&gt;0)*1),"")))</f>
        <v/>
      </c>
      <c r="AF428" t="str">
        <f>IF(AE428="","",IF(AE428="[FÓRMULA MANUAL]","",IFERROR(AVERAGEIFS(nNOTA,nNIA,AE428,nCUENTA,1,nASIG,"Análisis"),"")))</f>
        <v/>
      </c>
      <c r="AG428" t="str">
        <f>IF(AE428="","",IF(AE428="[FÓRMULA MANUAL]","",IFERROR(AVERAGEIFS(nNOTA,nNIA,AE428,nCUENTA,1,nASIG,"Orquesta/Banda/Conjunto"),"")))</f>
        <v/>
      </c>
      <c r="AH428" t="str">
        <f>IF(AE428="","",IF(AE428="[FÓRMULA MANUAL]","",IFERROR(AVERAGEIFS(nNOTA,nNIA,AE428,nCUENTA,1,nASIG,"Música de Cámara"),"")))</f>
        <v/>
      </c>
      <c r="AI428" t="str">
        <f>IF(AE428="","",IF(AE428="[FÓRMULA MANUAL]","",IFERROR(SUMPRODUCT((nNIA=AE428)*(nCUENTA=1)*(COUNTIF(CONFIG_ASIGNATURAS!$B$7:$B$27,nASIG)&gt;0)*(nNOTA))/SUMPRODUCT((nNIA=AE428)*(nCUENTA=1)*(COUNTIF(CONFIG_ASIGNATURAS!$B$7:$B$27,nASIG)&gt;0)*1),"")))</f>
        <v/>
      </c>
    </row>
    <row r="429" spans="2:35" x14ac:dyDescent="0.2">
      <c r="B429" t="str">
        <f>IF(A429="","",IF(A429="[FÓRMULA MANUAL]","",IFERROR(AVERAGEIFS(nNOTA,nNIA,A429,nCUENTA,1,nASIG,"Lenguaje Musical"),"")))</f>
        <v/>
      </c>
      <c r="C429" t="str">
        <f>IF(A429="","",IF(A429="[FÓRMULA MANUAL]","",IFERROR(AVERAGEIFS(nNOTA,nNIA,A429,nCUENTA,1,nASIG,"Orquesta/Banda/Conjunto"),"")))</f>
        <v/>
      </c>
      <c r="D429" t="str">
        <f>IF(A429="","",IF(A429="[FÓRMULA MANUAL]","",IFERROR(AVERAGEIFS(nNOTA,nNIA,A429,nCUENTA,1,nASIG,"Conjunto"),"")))</f>
        <v/>
      </c>
      <c r="E429" t="str">
        <f>IF(A429="","",IF(A429="[FÓRMULA MANUAL]","",IFERROR(SUMPRODUCT((nNIA=A429)*(nCUENTA=1)*(COUNTIF(CONFIG_ASIGNATURAS!$B$7:$B$27,nASIG)&gt;0)*(nNOTA))/SUMPRODUCT((nNIA=A429)*(nCUENTA=1)*(COUNTIF(CONFIG_ASIGNATURAS!$B$7:$B$27,nASIG)&gt;0)*1),"")))</f>
        <v/>
      </c>
      <c r="H429" t="str">
        <f>IF(G429="","",IF(G429="[FÓRMULA MANUAL]","",IFERROR(AVERAGEIFS(nNOTA,nNIA,G429,nCUENTA,1,nASIG,"Lenguaje Musical"),"")))</f>
        <v/>
      </c>
      <c r="I429" t="str">
        <f>IF(G429="","",IF(G429="[FÓRMULA MANUAL]","",IFERROR(AVERAGEIFS(nNOTA,nNIA,G429,nCUENTA,1,nASIG,"Orquesta/Banda/Conjunto"),"")))</f>
        <v/>
      </c>
      <c r="J429" t="str">
        <f>IF(G429="","",IF(G429="[FÓRMULA MANUAL]","",IFERROR(AVERAGEIFS(nNOTA,nNIA,G429,nCUENTA,1,nASIG,"Conjunto"),"")))</f>
        <v/>
      </c>
      <c r="K429" t="str">
        <f>IF(G429="","",IF(G429="[FÓRMULA MANUAL]","",IFERROR(SUMPRODUCT((nNIA=G429)*(nCUENTA=1)*(COUNTIF(CONFIG_ASIGNATURAS!$B$7:$B$27,nASIG)&gt;0)*(nNOTA))/SUMPRODUCT((nNIA=G429)*(nCUENTA=1)*(COUNTIF(CONFIG_ASIGNATURAS!$B$7:$B$27,nASIG)&gt;0)*1),"")))</f>
        <v/>
      </c>
      <c r="N429" t="str">
        <f>IF(M429="","",IF(M429="[FÓRMULA MANUAL]","",IFERROR(AVERAGEIFS(nNOTA,nNIA,M429,nCUENTA,1,nASIG,"Armonía"),"")))</f>
        <v/>
      </c>
      <c r="O429" t="str">
        <f>IF(M429="","",IF(M429="[FÓRMULA MANUAL]","",IFERROR(AVERAGEIFS(nNOTA,nNIA,M429,nCUENTA,1,nASIG,"Orquesta/Banda/Conjunto"),"")))</f>
        <v/>
      </c>
      <c r="P429" t="str">
        <f>IF(M429="","",IF(M429="[FÓRMULA MANUAL]","",IFERROR(AVERAGEIFS(nNOTA,nNIA,M429,nCUENTA,1,nASIG,"Música de Cámara"),"")))</f>
        <v/>
      </c>
      <c r="Q429" t="str">
        <f>IF(M429="","",IF(M429="[FÓRMULA MANUAL]","",IFERROR(SUMPRODUCT((nNIA=M429)*(nCUENTA=1)*(COUNTIF(CONFIG_ASIGNATURAS!$B$7:$B$27,nASIG)&gt;0)*(nNOTA))/SUMPRODUCT((nNIA=M429)*(nCUENTA=1)*(COUNTIF(CONFIG_ASIGNATURAS!$B$7:$B$27,nASIG)&gt;0)*1),"")))</f>
        <v/>
      </c>
      <c r="T429" t="str">
        <f>IF(S429="","",IF(S429="[FÓRMULA MANUAL]","",IFERROR(AVERAGEIFS(nNOTA,nNIA,S429,nCUENTA,1,nASIG,"Armonía"),"")))</f>
        <v/>
      </c>
      <c r="U429" t="str">
        <f>IF(S429="","",IF(S429="[FÓRMULA MANUAL]","",IFERROR(AVERAGEIFS(nNOTA,nNIA,S429,nCUENTA,1,nASIG,"Orquesta/Banda/Conjunto"),"")))</f>
        <v/>
      </c>
      <c r="V429" t="str">
        <f>IF(S429="","",IF(S429="[FÓRMULA MANUAL]","",IFERROR(AVERAGEIFS(nNOTA,nNIA,S429,nCUENTA,1,nASIG,"Música de Cámara"),"")))</f>
        <v/>
      </c>
      <c r="W429" t="str">
        <f>IF(S429="","",IF(S429="[FÓRMULA MANUAL]","",IFERROR(SUMPRODUCT((nNIA=S429)*(nCUENTA=1)*(COUNTIF(CONFIG_ASIGNATURAS!$B$7:$B$27,nASIG)&gt;0)*(nNOTA))/SUMPRODUCT((nNIA=S429)*(nCUENTA=1)*(COUNTIF(CONFIG_ASIGNATURAS!$B$7:$B$27,nASIG)&gt;0)*1),"")))</f>
        <v/>
      </c>
      <c r="Z429" t="str">
        <f>IF(Y429="","",IF(Y429="[FÓRMULA MANUAL]","",IFERROR(AVERAGEIFS(nNOTA,nNIA,Y429,nCUENTA,1,nASIG,"Análisis"),"")))</f>
        <v/>
      </c>
      <c r="AA429" t="str">
        <f>IF(Y429="","",IF(Y429="[FÓRMULA MANUAL]","",IFERROR(AVERAGEIFS(nNOTA,nNIA,Y429,nCUENTA,1,nASIG,"Orquesta/Banda/Conjunto"),"")))</f>
        <v/>
      </c>
      <c r="AB429" t="str">
        <f>IF(Y429="","",IF(Y429="[FÓRMULA MANUAL]","",IFERROR(AVERAGEIFS(nNOTA,nNIA,Y429,nCUENTA,1,nASIG,"Música de Cámara"),"")))</f>
        <v/>
      </c>
      <c r="AC429" t="str">
        <f>IF(Y429="","",IF(Y429="[FÓRMULA MANUAL]","",IFERROR(SUMPRODUCT((nNIA=Y429)*(nCUENTA=1)*(COUNTIF(CONFIG_ASIGNATURAS!$B$7:$B$27,nASIG)&gt;0)*(nNOTA))/SUMPRODUCT((nNIA=Y429)*(nCUENTA=1)*(COUNTIF(CONFIG_ASIGNATURAS!$B$7:$B$27,nASIG)&gt;0)*1),"")))</f>
        <v/>
      </c>
      <c r="AF429" t="str">
        <f>IF(AE429="","",IF(AE429="[FÓRMULA MANUAL]","",IFERROR(AVERAGEIFS(nNOTA,nNIA,AE429,nCUENTA,1,nASIG,"Análisis"),"")))</f>
        <v/>
      </c>
      <c r="AG429" t="str">
        <f>IF(AE429="","",IF(AE429="[FÓRMULA MANUAL]","",IFERROR(AVERAGEIFS(nNOTA,nNIA,AE429,nCUENTA,1,nASIG,"Orquesta/Banda/Conjunto"),"")))</f>
        <v/>
      </c>
      <c r="AH429" t="str">
        <f>IF(AE429="","",IF(AE429="[FÓRMULA MANUAL]","",IFERROR(AVERAGEIFS(nNOTA,nNIA,AE429,nCUENTA,1,nASIG,"Música de Cámara"),"")))</f>
        <v/>
      </c>
      <c r="AI429" t="str">
        <f>IF(AE429="","",IF(AE429="[FÓRMULA MANUAL]","",IFERROR(SUMPRODUCT((nNIA=AE429)*(nCUENTA=1)*(COUNTIF(CONFIG_ASIGNATURAS!$B$7:$B$27,nASIG)&gt;0)*(nNOTA))/SUMPRODUCT((nNIA=AE429)*(nCUENTA=1)*(COUNTIF(CONFIG_ASIGNATURAS!$B$7:$B$27,nASIG)&gt;0)*1),"")))</f>
        <v/>
      </c>
    </row>
    <row r="430" spans="2:35" x14ac:dyDescent="0.2">
      <c r="B430" t="str">
        <f>IF(A430="","",IF(A430="[FÓRMULA MANUAL]","",IFERROR(AVERAGEIFS(nNOTA,nNIA,A430,nCUENTA,1,nASIG,"Lenguaje Musical"),"")))</f>
        <v/>
      </c>
      <c r="C430" t="str">
        <f>IF(A430="","",IF(A430="[FÓRMULA MANUAL]","",IFERROR(AVERAGEIFS(nNOTA,nNIA,A430,nCUENTA,1,nASIG,"Orquesta/Banda/Conjunto"),"")))</f>
        <v/>
      </c>
      <c r="D430" t="str">
        <f>IF(A430="","",IF(A430="[FÓRMULA MANUAL]","",IFERROR(AVERAGEIFS(nNOTA,nNIA,A430,nCUENTA,1,nASIG,"Conjunto"),"")))</f>
        <v/>
      </c>
      <c r="E430" t="str">
        <f>IF(A430="","",IF(A430="[FÓRMULA MANUAL]","",IFERROR(SUMPRODUCT((nNIA=A430)*(nCUENTA=1)*(COUNTIF(CONFIG_ASIGNATURAS!$B$7:$B$27,nASIG)&gt;0)*(nNOTA))/SUMPRODUCT((nNIA=A430)*(nCUENTA=1)*(COUNTIF(CONFIG_ASIGNATURAS!$B$7:$B$27,nASIG)&gt;0)*1),"")))</f>
        <v/>
      </c>
      <c r="H430" t="str">
        <f>IF(G430="","",IF(G430="[FÓRMULA MANUAL]","",IFERROR(AVERAGEIFS(nNOTA,nNIA,G430,nCUENTA,1,nASIG,"Lenguaje Musical"),"")))</f>
        <v/>
      </c>
      <c r="I430" t="str">
        <f>IF(G430="","",IF(G430="[FÓRMULA MANUAL]","",IFERROR(AVERAGEIFS(nNOTA,nNIA,G430,nCUENTA,1,nASIG,"Orquesta/Banda/Conjunto"),"")))</f>
        <v/>
      </c>
      <c r="J430" t="str">
        <f>IF(G430="","",IF(G430="[FÓRMULA MANUAL]","",IFERROR(AVERAGEIFS(nNOTA,nNIA,G430,nCUENTA,1,nASIG,"Conjunto"),"")))</f>
        <v/>
      </c>
      <c r="K430" t="str">
        <f>IF(G430="","",IF(G430="[FÓRMULA MANUAL]","",IFERROR(SUMPRODUCT((nNIA=G430)*(nCUENTA=1)*(COUNTIF(CONFIG_ASIGNATURAS!$B$7:$B$27,nASIG)&gt;0)*(nNOTA))/SUMPRODUCT((nNIA=G430)*(nCUENTA=1)*(COUNTIF(CONFIG_ASIGNATURAS!$B$7:$B$27,nASIG)&gt;0)*1),"")))</f>
        <v/>
      </c>
      <c r="N430" t="str">
        <f>IF(M430="","",IF(M430="[FÓRMULA MANUAL]","",IFERROR(AVERAGEIFS(nNOTA,nNIA,M430,nCUENTA,1,nASIG,"Armonía"),"")))</f>
        <v/>
      </c>
      <c r="O430" t="str">
        <f>IF(M430="","",IF(M430="[FÓRMULA MANUAL]","",IFERROR(AVERAGEIFS(nNOTA,nNIA,M430,nCUENTA,1,nASIG,"Orquesta/Banda/Conjunto"),"")))</f>
        <v/>
      </c>
      <c r="P430" t="str">
        <f>IF(M430="","",IF(M430="[FÓRMULA MANUAL]","",IFERROR(AVERAGEIFS(nNOTA,nNIA,M430,nCUENTA,1,nASIG,"Música de Cámara"),"")))</f>
        <v/>
      </c>
      <c r="Q430" t="str">
        <f>IF(M430="","",IF(M430="[FÓRMULA MANUAL]","",IFERROR(SUMPRODUCT((nNIA=M430)*(nCUENTA=1)*(COUNTIF(CONFIG_ASIGNATURAS!$B$7:$B$27,nASIG)&gt;0)*(nNOTA))/SUMPRODUCT((nNIA=M430)*(nCUENTA=1)*(COUNTIF(CONFIG_ASIGNATURAS!$B$7:$B$27,nASIG)&gt;0)*1),"")))</f>
        <v/>
      </c>
      <c r="T430" t="str">
        <f>IF(S430="","",IF(S430="[FÓRMULA MANUAL]","",IFERROR(AVERAGEIFS(nNOTA,nNIA,S430,nCUENTA,1,nASIG,"Armonía"),"")))</f>
        <v/>
      </c>
      <c r="U430" t="str">
        <f>IF(S430="","",IF(S430="[FÓRMULA MANUAL]","",IFERROR(AVERAGEIFS(nNOTA,nNIA,S430,nCUENTA,1,nASIG,"Orquesta/Banda/Conjunto"),"")))</f>
        <v/>
      </c>
      <c r="V430" t="str">
        <f>IF(S430="","",IF(S430="[FÓRMULA MANUAL]","",IFERROR(AVERAGEIFS(nNOTA,nNIA,S430,nCUENTA,1,nASIG,"Música de Cámara"),"")))</f>
        <v/>
      </c>
      <c r="W430" t="str">
        <f>IF(S430="","",IF(S430="[FÓRMULA MANUAL]","",IFERROR(SUMPRODUCT((nNIA=S430)*(nCUENTA=1)*(COUNTIF(CONFIG_ASIGNATURAS!$B$7:$B$27,nASIG)&gt;0)*(nNOTA))/SUMPRODUCT((nNIA=S430)*(nCUENTA=1)*(COUNTIF(CONFIG_ASIGNATURAS!$B$7:$B$27,nASIG)&gt;0)*1),"")))</f>
        <v/>
      </c>
      <c r="Z430" t="str">
        <f>IF(Y430="","",IF(Y430="[FÓRMULA MANUAL]","",IFERROR(AVERAGEIFS(nNOTA,nNIA,Y430,nCUENTA,1,nASIG,"Análisis"),"")))</f>
        <v/>
      </c>
      <c r="AA430" t="str">
        <f>IF(Y430="","",IF(Y430="[FÓRMULA MANUAL]","",IFERROR(AVERAGEIFS(nNOTA,nNIA,Y430,nCUENTA,1,nASIG,"Orquesta/Banda/Conjunto"),"")))</f>
        <v/>
      </c>
      <c r="AB430" t="str">
        <f>IF(Y430="","",IF(Y430="[FÓRMULA MANUAL]","",IFERROR(AVERAGEIFS(nNOTA,nNIA,Y430,nCUENTA,1,nASIG,"Música de Cámara"),"")))</f>
        <v/>
      </c>
      <c r="AC430" t="str">
        <f>IF(Y430="","",IF(Y430="[FÓRMULA MANUAL]","",IFERROR(SUMPRODUCT((nNIA=Y430)*(nCUENTA=1)*(COUNTIF(CONFIG_ASIGNATURAS!$B$7:$B$27,nASIG)&gt;0)*(nNOTA))/SUMPRODUCT((nNIA=Y430)*(nCUENTA=1)*(COUNTIF(CONFIG_ASIGNATURAS!$B$7:$B$27,nASIG)&gt;0)*1),"")))</f>
        <v/>
      </c>
      <c r="AF430" t="str">
        <f>IF(AE430="","",IF(AE430="[FÓRMULA MANUAL]","",IFERROR(AVERAGEIFS(nNOTA,nNIA,AE430,nCUENTA,1,nASIG,"Análisis"),"")))</f>
        <v/>
      </c>
      <c r="AG430" t="str">
        <f>IF(AE430="","",IF(AE430="[FÓRMULA MANUAL]","",IFERROR(AVERAGEIFS(nNOTA,nNIA,AE430,nCUENTA,1,nASIG,"Orquesta/Banda/Conjunto"),"")))</f>
        <v/>
      </c>
      <c r="AH430" t="str">
        <f>IF(AE430="","",IF(AE430="[FÓRMULA MANUAL]","",IFERROR(AVERAGEIFS(nNOTA,nNIA,AE430,nCUENTA,1,nASIG,"Música de Cámara"),"")))</f>
        <v/>
      </c>
      <c r="AI430" t="str">
        <f>IF(AE430="","",IF(AE430="[FÓRMULA MANUAL]","",IFERROR(SUMPRODUCT((nNIA=AE430)*(nCUENTA=1)*(COUNTIF(CONFIG_ASIGNATURAS!$B$7:$B$27,nASIG)&gt;0)*(nNOTA))/SUMPRODUCT((nNIA=AE430)*(nCUENTA=1)*(COUNTIF(CONFIG_ASIGNATURAS!$B$7:$B$27,nASIG)&gt;0)*1),"")))</f>
        <v/>
      </c>
    </row>
    <row r="431" spans="2:35" x14ac:dyDescent="0.2">
      <c r="B431" t="str">
        <f>IF(A431="","",IF(A431="[FÓRMULA MANUAL]","",IFERROR(AVERAGEIFS(nNOTA,nNIA,A431,nCUENTA,1,nASIG,"Lenguaje Musical"),"")))</f>
        <v/>
      </c>
      <c r="C431" t="str">
        <f>IF(A431="","",IF(A431="[FÓRMULA MANUAL]","",IFERROR(AVERAGEIFS(nNOTA,nNIA,A431,nCUENTA,1,nASIG,"Orquesta/Banda/Conjunto"),"")))</f>
        <v/>
      </c>
      <c r="D431" t="str">
        <f>IF(A431="","",IF(A431="[FÓRMULA MANUAL]","",IFERROR(AVERAGEIFS(nNOTA,nNIA,A431,nCUENTA,1,nASIG,"Conjunto"),"")))</f>
        <v/>
      </c>
      <c r="E431" t="str">
        <f>IF(A431="","",IF(A431="[FÓRMULA MANUAL]","",IFERROR(SUMPRODUCT((nNIA=A431)*(nCUENTA=1)*(COUNTIF(CONFIG_ASIGNATURAS!$B$7:$B$27,nASIG)&gt;0)*(nNOTA))/SUMPRODUCT((nNIA=A431)*(nCUENTA=1)*(COUNTIF(CONFIG_ASIGNATURAS!$B$7:$B$27,nASIG)&gt;0)*1),"")))</f>
        <v/>
      </c>
      <c r="H431" t="str">
        <f>IF(G431="","",IF(G431="[FÓRMULA MANUAL]","",IFERROR(AVERAGEIFS(nNOTA,nNIA,G431,nCUENTA,1,nASIG,"Lenguaje Musical"),"")))</f>
        <v/>
      </c>
      <c r="I431" t="str">
        <f>IF(G431="","",IF(G431="[FÓRMULA MANUAL]","",IFERROR(AVERAGEIFS(nNOTA,nNIA,G431,nCUENTA,1,nASIG,"Orquesta/Banda/Conjunto"),"")))</f>
        <v/>
      </c>
      <c r="J431" t="str">
        <f>IF(G431="","",IF(G431="[FÓRMULA MANUAL]","",IFERROR(AVERAGEIFS(nNOTA,nNIA,G431,nCUENTA,1,nASIG,"Conjunto"),"")))</f>
        <v/>
      </c>
      <c r="K431" t="str">
        <f>IF(G431="","",IF(G431="[FÓRMULA MANUAL]","",IFERROR(SUMPRODUCT((nNIA=G431)*(nCUENTA=1)*(COUNTIF(CONFIG_ASIGNATURAS!$B$7:$B$27,nASIG)&gt;0)*(nNOTA))/SUMPRODUCT((nNIA=G431)*(nCUENTA=1)*(COUNTIF(CONFIG_ASIGNATURAS!$B$7:$B$27,nASIG)&gt;0)*1),"")))</f>
        <v/>
      </c>
      <c r="N431" t="str">
        <f>IF(M431="","",IF(M431="[FÓRMULA MANUAL]","",IFERROR(AVERAGEIFS(nNOTA,nNIA,M431,nCUENTA,1,nASIG,"Armonía"),"")))</f>
        <v/>
      </c>
      <c r="O431" t="str">
        <f>IF(M431="","",IF(M431="[FÓRMULA MANUAL]","",IFERROR(AVERAGEIFS(nNOTA,nNIA,M431,nCUENTA,1,nASIG,"Orquesta/Banda/Conjunto"),"")))</f>
        <v/>
      </c>
      <c r="P431" t="str">
        <f>IF(M431="","",IF(M431="[FÓRMULA MANUAL]","",IFERROR(AVERAGEIFS(nNOTA,nNIA,M431,nCUENTA,1,nASIG,"Música de Cámara"),"")))</f>
        <v/>
      </c>
      <c r="Q431" t="str">
        <f>IF(M431="","",IF(M431="[FÓRMULA MANUAL]","",IFERROR(SUMPRODUCT((nNIA=M431)*(nCUENTA=1)*(COUNTIF(CONFIG_ASIGNATURAS!$B$7:$B$27,nASIG)&gt;0)*(nNOTA))/SUMPRODUCT((nNIA=M431)*(nCUENTA=1)*(COUNTIF(CONFIG_ASIGNATURAS!$B$7:$B$27,nASIG)&gt;0)*1),"")))</f>
        <v/>
      </c>
      <c r="T431" t="str">
        <f>IF(S431="","",IF(S431="[FÓRMULA MANUAL]","",IFERROR(AVERAGEIFS(nNOTA,nNIA,S431,nCUENTA,1,nASIG,"Armonía"),"")))</f>
        <v/>
      </c>
      <c r="U431" t="str">
        <f>IF(S431="","",IF(S431="[FÓRMULA MANUAL]","",IFERROR(AVERAGEIFS(nNOTA,nNIA,S431,nCUENTA,1,nASIG,"Orquesta/Banda/Conjunto"),"")))</f>
        <v/>
      </c>
      <c r="V431" t="str">
        <f>IF(S431="","",IF(S431="[FÓRMULA MANUAL]","",IFERROR(AVERAGEIFS(nNOTA,nNIA,S431,nCUENTA,1,nASIG,"Música de Cámara"),"")))</f>
        <v/>
      </c>
      <c r="W431" t="str">
        <f>IF(S431="","",IF(S431="[FÓRMULA MANUAL]","",IFERROR(SUMPRODUCT((nNIA=S431)*(nCUENTA=1)*(COUNTIF(CONFIG_ASIGNATURAS!$B$7:$B$27,nASIG)&gt;0)*(nNOTA))/SUMPRODUCT((nNIA=S431)*(nCUENTA=1)*(COUNTIF(CONFIG_ASIGNATURAS!$B$7:$B$27,nASIG)&gt;0)*1),"")))</f>
        <v/>
      </c>
      <c r="Z431" t="str">
        <f>IF(Y431="","",IF(Y431="[FÓRMULA MANUAL]","",IFERROR(AVERAGEIFS(nNOTA,nNIA,Y431,nCUENTA,1,nASIG,"Análisis"),"")))</f>
        <v/>
      </c>
      <c r="AA431" t="str">
        <f>IF(Y431="","",IF(Y431="[FÓRMULA MANUAL]","",IFERROR(AVERAGEIFS(nNOTA,nNIA,Y431,nCUENTA,1,nASIG,"Orquesta/Banda/Conjunto"),"")))</f>
        <v/>
      </c>
      <c r="AB431" t="str">
        <f>IF(Y431="","",IF(Y431="[FÓRMULA MANUAL]","",IFERROR(AVERAGEIFS(nNOTA,nNIA,Y431,nCUENTA,1,nASIG,"Música de Cámara"),"")))</f>
        <v/>
      </c>
      <c r="AC431" t="str">
        <f>IF(Y431="","",IF(Y431="[FÓRMULA MANUAL]","",IFERROR(SUMPRODUCT((nNIA=Y431)*(nCUENTA=1)*(COUNTIF(CONFIG_ASIGNATURAS!$B$7:$B$27,nASIG)&gt;0)*(nNOTA))/SUMPRODUCT((nNIA=Y431)*(nCUENTA=1)*(COUNTIF(CONFIG_ASIGNATURAS!$B$7:$B$27,nASIG)&gt;0)*1),"")))</f>
        <v/>
      </c>
      <c r="AF431" t="str">
        <f>IF(AE431="","",IF(AE431="[FÓRMULA MANUAL]","",IFERROR(AVERAGEIFS(nNOTA,nNIA,AE431,nCUENTA,1,nASIG,"Análisis"),"")))</f>
        <v/>
      </c>
      <c r="AG431" t="str">
        <f>IF(AE431="","",IF(AE431="[FÓRMULA MANUAL]","",IFERROR(AVERAGEIFS(nNOTA,nNIA,AE431,nCUENTA,1,nASIG,"Orquesta/Banda/Conjunto"),"")))</f>
        <v/>
      </c>
      <c r="AH431" t="str">
        <f>IF(AE431="","",IF(AE431="[FÓRMULA MANUAL]","",IFERROR(AVERAGEIFS(nNOTA,nNIA,AE431,nCUENTA,1,nASIG,"Música de Cámara"),"")))</f>
        <v/>
      </c>
      <c r="AI431" t="str">
        <f>IF(AE431="","",IF(AE431="[FÓRMULA MANUAL]","",IFERROR(SUMPRODUCT((nNIA=AE431)*(nCUENTA=1)*(COUNTIF(CONFIG_ASIGNATURAS!$B$7:$B$27,nASIG)&gt;0)*(nNOTA))/SUMPRODUCT((nNIA=AE431)*(nCUENTA=1)*(COUNTIF(CONFIG_ASIGNATURAS!$B$7:$B$27,nASIG)&gt;0)*1),"")))</f>
        <v/>
      </c>
    </row>
    <row r="432" spans="2:35" x14ac:dyDescent="0.2">
      <c r="B432" t="str">
        <f>IF(A432="","",IF(A432="[FÓRMULA MANUAL]","",IFERROR(AVERAGEIFS(nNOTA,nNIA,A432,nCUENTA,1,nASIG,"Lenguaje Musical"),"")))</f>
        <v/>
      </c>
      <c r="C432" t="str">
        <f>IF(A432="","",IF(A432="[FÓRMULA MANUAL]","",IFERROR(AVERAGEIFS(nNOTA,nNIA,A432,nCUENTA,1,nASIG,"Orquesta/Banda/Conjunto"),"")))</f>
        <v/>
      </c>
      <c r="D432" t="str">
        <f>IF(A432="","",IF(A432="[FÓRMULA MANUAL]","",IFERROR(AVERAGEIFS(nNOTA,nNIA,A432,nCUENTA,1,nASIG,"Conjunto"),"")))</f>
        <v/>
      </c>
      <c r="E432" t="str">
        <f>IF(A432="","",IF(A432="[FÓRMULA MANUAL]","",IFERROR(SUMPRODUCT((nNIA=A432)*(nCUENTA=1)*(COUNTIF(CONFIG_ASIGNATURAS!$B$7:$B$27,nASIG)&gt;0)*(nNOTA))/SUMPRODUCT((nNIA=A432)*(nCUENTA=1)*(COUNTIF(CONFIG_ASIGNATURAS!$B$7:$B$27,nASIG)&gt;0)*1),"")))</f>
        <v/>
      </c>
      <c r="H432" t="str">
        <f>IF(G432="","",IF(G432="[FÓRMULA MANUAL]","",IFERROR(AVERAGEIFS(nNOTA,nNIA,G432,nCUENTA,1,nASIG,"Lenguaje Musical"),"")))</f>
        <v/>
      </c>
      <c r="I432" t="str">
        <f>IF(G432="","",IF(G432="[FÓRMULA MANUAL]","",IFERROR(AVERAGEIFS(nNOTA,nNIA,G432,nCUENTA,1,nASIG,"Orquesta/Banda/Conjunto"),"")))</f>
        <v/>
      </c>
      <c r="J432" t="str">
        <f>IF(G432="","",IF(G432="[FÓRMULA MANUAL]","",IFERROR(AVERAGEIFS(nNOTA,nNIA,G432,nCUENTA,1,nASIG,"Conjunto"),"")))</f>
        <v/>
      </c>
      <c r="K432" t="str">
        <f>IF(G432="","",IF(G432="[FÓRMULA MANUAL]","",IFERROR(SUMPRODUCT((nNIA=G432)*(nCUENTA=1)*(COUNTIF(CONFIG_ASIGNATURAS!$B$7:$B$27,nASIG)&gt;0)*(nNOTA))/SUMPRODUCT((nNIA=G432)*(nCUENTA=1)*(COUNTIF(CONFIG_ASIGNATURAS!$B$7:$B$27,nASIG)&gt;0)*1),"")))</f>
        <v/>
      </c>
      <c r="N432" t="str">
        <f>IF(M432="","",IF(M432="[FÓRMULA MANUAL]","",IFERROR(AVERAGEIFS(nNOTA,nNIA,M432,nCUENTA,1,nASIG,"Armonía"),"")))</f>
        <v/>
      </c>
      <c r="O432" t="str">
        <f>IF(M432="","",IF(M432="[FÓRMULA MANUAL]","",IFERROR(AVERAGEIFS(nNOTA,nNIA,M432,nCUENTA,1,nASIG,"Orquesta/Banda/Conjunto"),"")))</f>
        <v/>
      </c>
      <c r="P432" t="str">
        <f>IF(M432="","",IF(M432="[FÓRMULA MANUAL]","",IFERROR(AVERAGEIFS(nNOTA,nNIA,M432,nCUENTA,1,nASIG,"Música de Cámara"),"")))</f>
        <v/>
      </c>
      <c r="Q432" t="str">
        <f>IF(M432="","",IF(M432="[FÓRMULA MANUAL]","",IFERROR(SUMPRODUCT((nNIA=M432)*(nCUENTA=1)*(COUNTIF(CONFIG_ASIGNATURAS!$B$7:$B$27,nASIG)&gt;0)*(nNOTA))/SUMPRODUCT((nNIA=M432)*(nCUENTA=1)*(COUNTIF(CONFIG_ASIGNATURAS!$B$7:$B$27,nASIG)&gt;0)*1),"")))</f>
        <v/>
      </c>
      <c r="T432" t="str">
        <f>IF(S432="","",IF(S432="[FÓRMULA MANUAL]","",IFERROR(AVERAGEIFS(nNOTA,nNIA,S432,nCUENTA,1,nASIG,"Armonía"),"")))</f>
        <v/>
      </c>
      <c r="U432" t="str">
        <f>IF(S432="","",IF(S432="[FÓRMULA MANUAL]","",IFERROR(AVERAGEIFS(nNOTA,nNIA,S432,nCUENTA,1,nASIG,"Orquesta/Banda/Conjunto"),"")))</f>
        <v/>
      </c>
      <c r="V432" t="str">
        <f>IF(S432="","",IF(S432="[FÓRMULA MANUAL]","",IFERROR(AVERAGEIFS(nNOTA,nNIA,S432,nCUENTA,1,nASIG,"Música de Cámara"),"")))</f>
        <v/>
      </c>
      <c r="W432" t="str">
        <f>IF(S432="","",IF(S432="[FÓRMULA MANUAL]","",IFERROR(SUMPRODUCT((nNIA=S432)*(nCUENTA=1)*(COUNTIF(CONFIG_ASIGNATURAS!$B$7:$B$27,nASIG)&gt;0)*(nNOTA))/SUMPRODUCT((nNIA=S432)*(nCUENTA=1)*(COUNTIF(CONFIG_ASIGNATURAS!$B$7:$B$27,nASIG)&gt;0)*1),"")))</f>
        <v/>
      </c>
      <c r="Z432" t="str">
        <f>IF(Y432="","",IF(Y432="[FÓRMULA MANUAL]","",IFERROR(AVERAGEIFS(nNOTA,nNIA,Y432,nCUENTA,1,nASIG,"Análisis"),"")))</f>
        <v/>
      </c>
      <c r="AA432" t="str">
        <f>IF(Y432="","",IF(Y432="[FÓRMULA MANUAL]","",IFERROR(AVERAGEIFS(nNOTA,nNIA,Y432,nCUENTA,1,nASIG,"Orquesta/Banda/Conjunto"),"")))</f>
        <v/>
      </c>
      <c r="AB432" t="str">
        <f>IF(Y432="","",IF(Y432="[FÓRMULA MANUAL]","",IFERROR(AVERAGEIFS(nNOTA,nNIA,Y432,nCUENTA,1,nASIG,"Música de Cámara"),"")))</f>
        <v/>
      </c>
      <c r="AC432" t="str">
        <f>IF(Y432="","",IF(Y432="[FÓRMULA MANUAL]","",IFERROR(SUMPRODUCT((nNIA=Y432)*(nCUENTA=1)*(COUNTIF(CONFIG_ASIGNATURAS!$B$7:$B$27,nASIG)&gt;0)*(nNOTA))/SUMPRODUCT((nNIA=Y432)*(nCUENTA=1)*(COUNTIF(CONFIG_ASIGNATURAS!$B$7:$B$27,nASIG)&gt;0)*1),"")))</f>
        <v/>
      </c>
      <c r="AF432" t="str">
        <f>IF(AE432="","",IF(AE432="[FÓRMULA MANUAL]","",IFERROR(AVERAGEIFS(nNOTA,nNIA,AE432,nCUENTA,1,nASIG,"Análisis"),"")))</f>
        <v/>
      </c>
      <c r="AG432" t="str">
        <f>IF(AE432="","",IF(AE432="[FÓRMULA MANUAL]","",IFERROR(AVERAGEIFS(nNOTA,nNIA,AE432,nCUENTA,1,nASIG,"Orquesta/Banda/Conjunto"),"")))</f>
        <v/>
      </c>
      <c r="AH432" t="str">
        <f>IF(AE432="","",IF(AE432="[FÓRMULA MANUAL]","",IFERROR(AVERAGEIFS(nNOTA,nNIA,AE432,nCUENTA,1,nASIG,"Música de Cámara"),"")))</f>
        <v/>
      </c>
      <c r="AI432" t="str">
        <f>IF(AE432="","",IF(AE432="[FÓRMULA MANUAL]","",IFERROR(SUMPRODUCT((nNIA=AE432)*(nCUENTA=1)*(COUNTIF(CONFIG_ASIGNATURAS!$B$7:$B$27,nASIG)&gt;0)*(nNOTA))/SUMPRODUCT((nNIA=AE432)*(nCUENTA=1)*(COUNTIF(CONFIG_ASIGNATURAS!$B$7:$B$27,nASIG)&gt;0)*1),"")))</f>
        <v/>
      </c>
    </row>
    <row r="433" spans="2:35" x14ac:dyDescent="0.2">
      <c r="B433" t="str">
        <f>IF(A433="","",IF(A433="[FÓRMULA MANUAL]","",IFERROR(AVERAGEIFS(nNOTA,nNIA,A433,nCUENTA,1,nASIG,"Lenguaje Musical"),"")))</f>
        <v/>
      </c>
      <c r="C433" t="str">
        <f>IF(A433="","",IF(A433="[FÓRMULA MANUAL]","",IFERROR(AVERAGEIFS(nNOTA,nNIA,A433,nCUENTA,1,nASIG,"Orquesta/Banda/Conjunto"),"")))</f>
        <v/>
      </c>
      <c r="D433" t="str">
        <f>IF(A433="","",IF(A433="[FÓRMULA MANUAL]","",IFERROR(AVERAGEIFS(nNOTA,nNIA,A433,nCUENTA,1,nASIG,"Conjunto"),"")))</f>
        <v/>
      </c>
      <c r="E433" t="str">
        <f>IF(A433="","",IF(A433="[FÓRMULA MANUAL]","",IFERROR(SUMPRODUCT((nNIA=A433)*(nCUENTA=1)*(COUNTIF(CONFIG_ASIGNATURAS!$B$7:$B$27,nASIG)&gt;0)*(nNOTA))/SUMPRODUCT((nNIA=A433)*(nCUENTA=1)*(COUNTIF(CONFIG_ASIGNATURAS!$B$7:$B$27,nASIG)&gt;0)*1),"")))</f>
        <v/>
      </c>
      <c r="H433" t="str">
        <f>IF(G433="","",IF(G433="[FÓRMULA MANUAL]","",IFERROR(AVERAGEIFS(nNOTA,nNIA,G433,nCUENTA,1,nASIG,"Lenguaje Musical"),"")))</f>
        <v/>
      </c>
      <c r="I433" t="str">
        <f>IF(G433="","",IF(G433="[FÓRMULA MANUAL]","",IFERROR(AVERAGEIFS(nNOTA,nNIA,G433,nCUENTA,1,nASIG,"Orquesta/Banda/Conjunto"),"")))</f>
        <v/>
      </c>
      <c r="J433" t="str">
        <f>IF(G433="","",IF(G433="[FÓRMULA MANUAL]","",IFERROR(AVERAGEIFS(nNOTA,nNIA,G433,nCUENTA,1,nASIG,"Conjunto"),"")))</f>
        <v/>
      </c>
      <c r="K433" t="str">
        <f>IF(G433="","",IF(G433="[FÓRMULA MANUAL]","",IFERROR(SUMPRODUCT((nNIA=G433)*(nCUENTA=1)*(COUNTIF(CONFIG_ASIGNATURAS!$B$7:$B$27,nASIG)&gt;0)*(nNOTA))/SUMPRODUCT((nNIA=G433)*(nCUENTA=1)*(COUNTIF(CONFIG_ASIGNATURAS!$B$7:$B$27,nASIG)&gt;0)*1),"")))</f>
        <v/>
      </c>
      <c r="N433" t="str">
        <f>IF(M433="","",IF(M433="[FÓRMULA MANUAL]","",IFERROR(AVERAGEIFS(nNOTA,nNIA,M433,nCUENTA,1,nASIG,"Armonía"),"")))</f>
        <v/>
      </c>
      <c r="O433" t="str">
        <f>IF(M433="","",IF(M433="[FÓRMULA MANUAL]","",IFERROR(AVERAGEIFS(nNOTA,nNIA,M433,nCUENTA,1,nASIG,"Orquesta/Banda/Conjunto"),"")))</f>
        <v/>
      </c>
      <c r="P433" t="str">
        <f>IF(M433="","",IF(M433="[FÓRMULA MANUAL]","",IFERROR(AVERAGEIFS(nNOTA,nNIA,M433,nCUENTA,1,nASIG,"Música de Cámara"),"")))</f>
        <v/>
      </c>
      <c r="Q433" t="str">
        <f>IF(M433="","",IF(M433="[FÓRMULA MANUAL]","",IFERROR(SUMPRODUCT((nNIA=M433)*(nCUENTA=1)*(COUNTIF(CONFIG_ASIGNATURAS!$B$7:$B$27,nASIG)&gt;0)*(nNOTA))/SUMPRODUCT((nNIA=M433)*(nCUENTA=1)*(COUNTIF(CONFIG_ASIGNATURAS!$B$7:$B$27,nASIG)&gt;0)*1),"")))</f>
        <v/>
      </c>
      <c r="T433" t="str">
        <f>IF(S433="","",IF(S433="[FÓRMULA MANUAL]","",IFERROR(AVERAGEIFS(nNOTA,nNIA,S433,nCUENTA,1,nASIG,"Armonía"),"")))</f>
        <v/>
      </c>
      <c r="U433" t="str">
        <f>IF(S433="","",IF(S433="[FÓRMULA MANUAL]","",IFERROR(AVERAGEIFS(nNOTA,nNIA,S433,nCUENTA,1,nASIG,"Orquesta/Banda/Conjunto"),"")))</f>
        <v/>
      </c>
      <c r="V433" t="str">
        <f>IF(S433="","",IF(S433="[FÓRMULA MANUAL]","",IFERROR(AVERAGEIFS(nNOTA,nNIA,S433,nCUENTA,1,nASIG,"Música de Cámara"),"")))</f>
        <v/>
      </c>
      <c r="W433" t="str">
        <f>IF(S433="","",IF(S433="[FÓRMULA MANUAL]","",IFERROR(SUMPRODUCT((nNIA=S433)*(nCUENTA=1)*(COUNTIF(CONFIG_ASIGNATURAS!$B$7:$B$27,nASIG)&gt;0)*(nNOTA))/SUMPRODUCT((nNIA=S433)*(nCUENTA=1)*(COUNTIF(CONFIG_ASIGNATURAS!$B$7:$B$27,nASIG)&gt;0)*1),"")))</f>
        <v/>
      </c>
      <c r="Z433" t="str">
        <f>IF(Y433="","",IF(Y433="[FÓRMULA MANUAL]","",IFERROR(AVERAGEIFS(nNOTA,nNIA,Y433,nCUENTA,1,nASIG,"Análisis"),"")))</f>
        <v/>
      </c>
      <c r="AA433" t="str">
        <f>IF(Y433="","",IF(Y433="[FÓRMULA MANUAL]","",IFERROR(AVERAGEIFS(nNOTA,nNIA,Y433,nCUENTA,1,nASIG,"Orquesta/Banda/Conjunto"),"")))</f>
        <v/>
      </c>
      <c r="AB433" t="str">
        <f>IF(Y433="","",IF(Y433="[FÓRMULA MANUAL]","",IFERROR(AVERAGEIFS(nNOTA,nNIA,Y433,nCUENTA,1,nASIG,"Música de Cámara"),"")))</f>
        <v/>
      </c>
      <c r="AC433" t="str">
        <f>IF(Y433="","",IF(Y433="[FÓRMULA MANUAL]","",IFERROR(SUMPRODUCT((nNIA=Y433)*(nCUENTA=1)*(COUNTIF(CONFIG_ASIGNATURAS!$B$7:$B$27,nASIG)&gt;0)*(nNOTA))/SUMPRODUCT((nNIA=Y433)*(nCUENTA=1)*(COUNTIF(CONFIG_ASIGNATURAS!$B$7:$B$27,nASIG)&gt;0)*1),"")))</f>
        <v/>
      </c>
      <c r="AF433" t="str">
        <f>IF(AE433="","",IF(AE433="[FÓRMULA MANUAL]","",IFERROR(AVERAGEIFS(nNOTA,nNIA,AE433,nCUENTA,1,nASIG,"Análisis"),"")))</f>
        <v/>
      </c>
      <c r="AG433" t="str">
        <f>IF(AE433="","",IF(AE433="[FÓRMULA MANUAL]","",IFERROR(AVERAGEIFS(nNOTA,nNIA,AE433,nCUENTA,1,nASIG,"Orquesta/Banda/Conjunto"),"")))</f>
        <v/>
      </c>
      <c r="AH433" t="str">
        <f>IF(AE433="","",IF(AE433="[FÓRMULA MANUAL]","",IFERROR(AVERAGEIFS(nNOTA,nNIA,AE433,nCUENTA,1,nASIG,"Música de Cámara"),"")))</f>
        <v/>
      </c>
      <c r="AI433" t="str">
        <f>IF(AE433="","",IF(AE433="[FÓRMULA MANUAL]","",IFERROR(SUMPRODUCT((nNIA=AE433)*(nCUENTA=1)*(COUNTIF(CONFIG_ASIGNATURAS!$B$7:$B$27,nASIG)&gt;0)*(nNOTA))/SUMPRODUCT((nNIA=AE433)*(nCUENTA=1)*(COUNTIF(CONFIG_ASIGNATURAS!$B$7:$B$27,nASIG)&gt;0)*1),"")))</f>
        <v/>
      </c>
    </row>
    <row r="434" spans="2:35" x14ac:dyDescent="0.2">
      <c r="B434" t="str">
        <f>IF(A434="","",IF(A434="[FÓRMULA MANUAL]","",IFERROR(AVERAGEIFS(nNOTA,nNIA,A434,nCUENTA,1,nASIG,"Lenguaje Musical"),"")))</f>
        <v/>
      </c>
      <c r="C434" t="str">
        <f>IF(A434="","",IF(A434="[FÓRMULA MANUAL]","",IFERROR(AVERAGEIFS(nNOTA,nNIA,A434,nCUENTA,1,nASIG,"Orquesta/Banda/Conjunto"),"")))</f>
        <v/>
      </c>
      <c r="D434" t="str">
        <f>IF(A434="","",IF(A434="[FÓRMULA MANUAL]","",IFERROR(AVERAGEIFS(nNOTA,nNIA,A434,nCUENTA,1,nASIG,"Conjunto"),"")))</f>
        <v/>
      </c>
      <c r="E434" t="str">
        <f>IF(A434="","",IF(A434="[FÓRMULA MANUAL]","",IFERROR(SUMPRODUCT((nNIA=A434)*(nCUENTA=1)*(COUNTIF(CONFIG_ASIGNATURAS!$B$7:$B$27,nASIG)&gt;0)*(nNOTA))/SUMPRODUCT((nNIA=A434)*(nCUENTA=1)*(COUNTIF(CONFIG_ASIGNATURAS!$B$7:$B$27,nASIG)&gt;0)*1),"")))</f>
        <v/>
      </c>
      <c r="H434" t="str">
        <f>IF(G434="","",IF(G434="[FÓRMULA MANUAL]","",IFERROR(AVERAGEIFS(nNOTA,nNIA,G434,nCUENTA,1,nASIG,"Lenguaje Musical"),"")))</f>
        <v/>
      </c>
      <c r="I434" t="str">
        <f>IF(G434="","",IF(G434="[FÓRMULA MANUAL]","",IFERROR(AVERAGEIFS(nNOTA,nNIA,G434,nCUENTA,1,nASIG,"Orquesta/Banda/Conjunto"),"")))</f>
        <v/>
      </c>
      <c r="J434" t="str">
        <f>IF(G434="","",IF(G434="[FÓRMULA MANUAL]","",IFERROR(AVERAGEIFS(nNOTA,nNIA,G434,nCUENTA,1,nASIG,"Conjunto"),"")))</f>
        <v/>
      </c>
      <c r="K434" t="str">
        <f>IF(G434="","",IF(G434="[FÓRMULA MANUAL]","",IFERROR(SUMPRODUCT((nNIA=G434)*(nCUENTA=1)*(COUNTIF(CONFIG_ASIGNATURAS!$B$7:$B$27,nASIG)&gt;0)*(nNOTA))/SUMPRODUCT((nNIA=G434)*(nCUENTA=1)*(COUNTIF(CONFIG_ASIGNATURAS!$B$7:$B$27,nASIG)&gt;0)*1),"")))</f>
        <v/>
      </c>
      <c r="N434" t="str">
        <f>IF(M434="","",IF(M434="[FÓRMULA MANUAL]","",IFERROR(AVERAGEIFS(nNOTA,nNIA,M434,nCUENTA,1,nASIG,"Armonía"),"")))</f>
        <v/>
      </c>
      <c r="O434" t="str">
        <f>IF(M434="","",IF(M434="[FÓRMULA MANUAL]","",IFERROR(AVERAGEIFS(nNOTA,nNIA,M434,nCUENTA,1,nASIG,"Orquesta/Banda/Conjunto"),"")))</f>
        <v/>
      </c>
      <c r="P434" t="str">
        <f>IF(M434="","",IF(M434="[FÓRMULA MANUAL]","",IFERROR(AVERAGEIFS(nNOTA,nNIA,M434,nCUENTA,1,nASIG,"Música de Cámara"),"")))</f>
        <v/>
      </c>
      <c r="Q434" t="str">
        <f>IF(M434="","",IF(M434="[FÓRMULA MANUAL]","",IFERROR(SUMPRODUCT((nNIA=M434)*(nCUENTA=1)*(COUNTIF(CONFIG_ASIGNATURAS!$B$7:$B$27,nASIG)&gt;0)*(nNOTA))/SUMPRODUCT((nNIA=M434)*(nCUENTA=1)*(COUNTIF(CONFIG_ASIGNATURAS!$B$7:$B$27,nASIG)&gt;0)*1),"")))</f>
        <v/>
      </c>
      <c r="T434" t="str">
        <f>IF(S434="","",IF(S434="[FÓRMULA MANUAL]","",IFERROR(AVERAGEIFS(nNOTA,nNIA,S434,nCUENTA,1,nASIG,"Armonía"),"")))</f>
        <v/>
      </c>
      <c r="U434" t="str">
        <f>IF(S434="","",IF(S434="[FÓRMULA MANUAL]","",IFERROR(AVERAGEIFS(nNOTA,nNIA,S434,nCUENTA,1,nASIG,"Orquesta/Banda/Conjunto"),"")))</f>
        <v/>
      </c>
      <c r="V434" t="str">
        <f>IF(S434="","",IF(S434="[FÓRMULA MANUAL]","",IFERROR(AVERAGEIFS(nNOTA,nNIA,S434,nCUENTA,1,nASIG,"Música de Cámara"),"")))</f>
        <v/>
      </c>
      <c r="W434" t="str">
        <f>IF(S434="","",IF(S434="[FÓRMULA MANUAL]","",IFERROR(SUMPRODUCT((nNIA=S434)*(nCUENTA=1)*(COUNTIF(CONFIG_ASIGNATURAS!$B$7:$B$27,nASIG)&gt;0)*(nNOTA))/SUMPRODUCT((nNIA=S434)*(nCUENTA=1)*(COUNTIF(CONFIG_ASIGNATURAS!$B$7:$B$27,nASIG)&gt;0)*1),"")))</f>
        <v/>
      </c>
      <c r="Z434" t="str">
        <f>IF(Y434="","",IF(Y434="[FÓRMULA MANUAL]","",IFERROR(AVERAGEIFS(nNOTA,nNIA,Y434,nCUENTA,1,nASIG,"Análisis"),"")))</f>
        <v/>
      </c>
      <c r="AA434" t="str">
        <f>IF(Y434="","",IF(Y434="[FÓRMULA MANUAL]","",IFERROR(AVERAGEIFS(nNOTA,nNIA,Y434,nCUENTA,1,nASIG,"Orquesta/Banda/Conjunto"),"")))</f>
        <v/>
      </c>
      <c r="AB434" t="str">
        <f>IF(Y434="","",IF(Y434="[FÓRMULA MANUAL]","",IFERROR(AVERAGEIFS(nNOTA,nNIA,Y434,nCUENTA,1,nASIG,"Música de Cámara"),"")))</f>
        <v/>
      </c>
      <c r="AC434" t="str">
        <f>IF(Y434="","",IF(Y434="[FÓRMULA MANUAL]","",IFERROR(SUMPRODUCT((nNIA=Y434)*(nCUENTA=1)*(COUNTIF(CONFIG_ASIGNATURAS!$B$7:$B$27,nASIG)&gt;0)*(nNOTA))/SUMPRODUCT((nNIA=Y434)*(nCUENTA=1)*(COUNTIF(CONFIG_ASIGNATURAS!$B$7:$B$27,nASIG)&gt;0)*1),"")))</f>
        <v/>
      </c>
      <c r="AF434" t="str">
        <f>IF(AE434="","",IF(AE434="[FÓRMULA MANUAL]","",IFERROR(AVERAGEIFS(nNOTA,nNIA,AE434,nCUENTA,1,nASIG,"Análisis"),"")))</f>
        <v/>
      </c>
      <c r="AG434" t="str">
        <f>IF(AE434="","",IF(AE434="[FÓRMULA MANUAL]","",IFERROR(AVERAGEIFS(nNOTA,nNIA,AE434,nCUENTA,1,nASIG,"Orquesta/Banda/Conjunto"),"")))</f>
        <v/>
      </c>
      <c r="AH434" t="str">
        <f>IF(AE434="","",IF(AE434="[FÓRMULA MANUAL]","",IFERROR(AVERAGEIFS(nNOTA,nNIA,AE434,nCUENTA,1,nASIG,"Música de Cámara"),"")))</f>
        <v/>
      </c>
      <c r="AI434" t="str">
        <f>IF(AE434="","",IF(AE434="[FÓRMULA MANUAL]","",IFERROR(SUMPRODUCT((nNIA=AE434)*(nCUENTA=1)*(COUNTIF(CONFIG_ASIGNATURAS!$B$7:$B$27,nASIG)&gt;0)*(nNOTA))/SUMPRODUCT((nNIA=AE434)*(nCUENTA=1)*(COUNTIF(CONFIG_ASIGNATURAS!$B$7:$B$27,nASIG)&gt;0)*1),"")))</f>
        <v/>
      </c>
    </row>
    <row r="435" spans="2:35" x14ac:dyDescent="0.2">
      <c r="B435" t="str">
        <f>IF(A435="","",IF(A435="[FÓRMULA MANUAL]","",IFERROR(AVERAGEIFS(nNOTA,nNIA,A435,nCUENTA,1,nASIG,"Lenguaje Musical"),"")))</f>
        <v/>
      </c>
      <c r="C435" t="str">
        <f>IF(A435="","",IF(A435="[FÓRMULA MANUAL]","",IFERROR(AVERAGEIFS(nNOTA,nNIA,A435,nCUENTA,1,nASIG,"Orquesta/Banda/Conjunto"),"")))</f>
        <v/>
      </c>
      <c r="D435" t="str">
        <f>IF(A435="","",IF(A435="[FÓRMULA MANUAL]","",IFERROR(AVERAGEIFS(nNOTA,nNIA,A435,nCUENTA,1,nASIG,"Conjunto"),"")))</f>
        <v/>
      </c>
      <c r="E435" t="str">
        <f>IF(A435="","",IF(A435="[FÓRMULA MANUAL]","",IFERROR(SUMPRODUCT((nNIA=A435)*(nCUENTA=1)*(COUNTIF(CONFIG_ASIGNATURAS!$B$7:$B$27,nASIG)&gt;0)*(nNOTA))/SUMPRODUCT((nNIA=A435)*(nCUENTA=1)*(COUNTIF(CONFIG_ASIGNATURAS!$B$7:$B$27,nASIG)&gt;0)*1),"")))</f>
        <v/>
      </c>
      <c r="H435" t="str">
        <f>IF(G435="","",IF(G435="[FÓRMULA MANUAL]","",IFERROR(AVERAGEIFS(nNOTA,nNIA,G435,nCUENTA,1,nASIG,"Lenguaje Musical"),"")))</f>
        <v/>
      </c>
      <c r="I435" t="str">
        <f>IF(G435="","",IF(G435="[FÓRMULA MANUAL]","",IFERROR(AVERAGEIFS(nNOTA,nNIA,G435,nCUENTA,1,nASIG,"Orquesta/Banda/Conjunto"),"")))</f>
        <v/>
      </c>
      <c r="J435" t="str">
        <f>IF(G435="","",IF(G435="[FÓRMULA MANUAL]","",IFERROR(AVERAGEIFS(nNOTA,nNIA,G435,nCUENTA,1,nASIG,"Conjunto"),"")))</f>
        <v/>
      </c>
      <c r="K435" t="str">
        <f>IF(G435="","",IF(G435="[FÓRMULA MANUAL]","",IFERROR(SUMPRODUCT((nNIA=G435)*(nCUENTA=1)*(COUNTIF(CONFIG_ASIGNATURAS!$B$7:$B$27,nASIG)&gt;0)*(nNOTA))/SUMPRODUCT((nNIA=G435)*(nCUENTA=1)*(COUNTIF(CONFIG_ASIGNATURAS!$B$7:$B$27,nASIG)&gt;0)*1),"")))</f>
        <v/>
      </c>
      <c r="N435" t="str">
        <f>IF(M435="","",IF(M435="[FÓRMULA MANUAL]","",IFERROR(AVERAGEIFS(nNOTA,nNIA,M435,nCUENTA,1,nASIG,"Armonía"),"")))</f>
        <v/>
      </c>
      <c r="O435" t="str">
        <f>IF(M435="","",IF(M435="[FÓRMULA MANUAL]","",IFERROR(AVERAGEIFS(nNOTA,nNIA,M435,nCUENTA,1,nASIG,"Orquesta/Banda/Conjunto"),"")))</f>
        <v/>
      </c>
      <c r="P435" t="str">
        <f>IF(M435="","",IF(M435="[FÓRMULA MANUAL]","",IFERROR(AVERAGEIFS(nNOTA,nNIA,M435,nCUENTA,1,nASIG,"Música de Cámara"),"")))</f>
        <v/>
      </c>
      <c r="Q435" t="str">
        <f>IF(M435="","",IF(M435="[FÓRMULA MANUAL]","",IFERROR(SUMPRODUCT((nNIA=M435)*(nCUENTA=1)*(COUNTIF(CONFIG_ASIGNATURAS!$B$7:$B$27,nASIG)&gt;0)*(nNOTA))/SUMPRODUCT((nNIA=M435)*(nCUENTA=1)*(COUNTIF(CONFIG_ASIGNATURAS!$B$7:$B$27,nASIG)&gt;0)*1),"")))</f>
        <v/>
      </c>
      <c r="T435" t="str">
        <f>IF(S435="","",IF(S435="[FÓRMULA MANUAL]","",IFERROR(AVERAGEIFS(nNOTA,nNIA,S435,nCUENTA,1,nASIG,"Armonía"),"")))</f>
        <v/>
      </c>
      <c r="U435" t="str">
        <f>IF(S435="","",IF(S435="[FÓRMULA MANUAL]","",IFERROR(AVERAGEIFS(nNOTA,nNIA,S435,nCUENTA,1,nASIG,"Orquesta/Banda/Conjunto"),"")))</f>
        <v/>
      </c>
      <c r="V435" t="str">
        <f>IF(S435="","",IF(S435="[FÓRMULA MANUAL]","",IFERROR(AVERAGEIFS(nNOTA,nNIA,S435,nCUENTA,1,nASIG,"Música de Cámara"),"")))</f>
        <v/>
      </c>
      <c r="W435" t="str">
        <f>IF(S435="","",IF(S435="[FÓRMULA MANUAL]","",IFERROR(SUMPRODUCT((nNIA=S435)*(nCUENTA=1)*(COUNTIF(CONFIG_ASIGNATURAS!$B$7:$B$27,nASIG)&gt;0)*(nNOTA))/SUMPRODUCT((nNIA=S435)*(nCUENTA=1)*(COUNTIF(CONFIG_ASIGNATURAS!$B$7:$B$27,nASIG)&gt;0)*1),"")))</f>
        <v/>
      </c>
      <c r="Z435" t="str">
        <f>IF(Y435="","",IF(Y435="[FÓRMULA MANUAL]","",IFERROR(AVERAGEIFS(nNOTA,nNIA,Y435,nCUENTA,1,nASIG,"Análisis"),"")))</f>
        <v/>
      </c>
      <c r="AA435" t="str">
        <f>IF(Y435="","",IF(Y435="[FÓRMULA MANUAL]","",IFERROR(AVERAGEIFS(nNOTA,nNIA,Y435,nCUENTA,1,nASIG,"Orquesta/Banda/Conjunto"),"")))</f>
        <v/>
      </c>
      <c r="AB435" t="str">
        <f>IF(Y435="","",IF(Y435="[FÓRMULA MANUAL]","",IFERROR(AVERAGEIFS(nNOTA,nNIA,Y435,nCUENTA,1,nASIG,"Música de Cámara"),"")))</f>
        <v/>
      </c>
      <c r="AC435" t="str">
        <f>IF(Y435="","",IF(Y435="[FÓRMULA MANUAL]","",IFERROR(SUMPRODUCT((nNIA=Y435)*(nCUENTA=1)*(COUNTIF(CONFIG_ASIGNATURAS!$B$7:$B$27,nASIG)&gt;0)*(nNOTA))/SUMPRODUCT((nNIA=Y435)*(nCUENTA=1)*(COUNTIF(CONFIG_ASIGNATURAS!$B$7:$B$27,nASIG)&gt;0)*1),"")))</f>
        <v/>
      </c>
      <c r="AF435" t="str">
        <f>IF(AE435="","",IF(AE435="[FÓRMULA MANUAL]","",IFERROR(AVERAGEIFS(nNOTA,nNIA,AE435,nCUENTA,1,nASIG,"Análisis"),"")))</f>
        <v/>
      </c>
      <c r="AG435" t="str">
        <f>IF(AE435="","",IF(AE435="[FÓRMULA MANUAL]","",IFERROR(AVERAGEIFS(nNOTA,nNIA,AE435,nCUENTA,1,nASIG,"Orquesta/Banda/Conjunto"),"")))</f>
        <v/>
      </c>
      <c r="AH435" t="str">
        <f>IF(AE435="","",IF(AE435="[FÓRMULA MANUAL]","",IFERROR(AVERAGEIFS(nNOTA,nNIA,AE435,nCUENTA,1,nASIG,"Música de Cámara"),"")))</f>
        <v/>
      </c>
      <c r="AI435" t="str">
        <f>IF(AE435="","",IF(AE435="[FÓRMULA MANUAL]","",IFERROR(SUMPRODUCT((nNIA=AE435)*(nCUENTA=1)*(COUNTIF(CONFIG_ASIGNATURAS!$B$7:$B$27,nASIG)&gt;0)*(nNOTA))/SUMPRODUCT((nNIA=AE435)*(nCUENTA=1)*(COUNTIF(CONFIG_ASIGNATURAS!$B$7:$B$27,nASIG)&gt;0)*1),"")))</f>
        <v/>
      </c>
    </row>
    <row r="436" spans="2:35" x14ac:dyDescent="0.2">
      <c r="B436" t="str">
        <f>IF(A436="","",IF(A436="[FÓRMULA MANUAL]","",IFERROR(AVERAGEIFS(nNOTA,nNIA,A436,nCUENTA,1,nASIG,"Lenguaje Musical"),"")))</f>
        <v/>
      </c>
      <c r="C436" t="str">
        <f>IF(A436="","",IF(A436="[FÓRMULA MANUAL]","",IFERROR(AVERAGEIFS(nNOTA,nNIA,A436,nCUENTA,1,nASIG,"Orquesta/Banda/Conjunto"),"")))</f>
        <v/>
      </c>
      <c r="D436" t="str">
        <f>IF(A436="","",IF(A436="[FÓRMULA MANUAL]","",IFERROR(AVERAGEIFS(nNOTA,nNIA,A436,nCUENTA,1,nASIG,"Conjunto"),"")))</f>
        <v/>
      </c>
      <c r="E436" t="str">
        <f>IF(A436="","",IF(A436="[FÓRMULA MANUAL]","",IFERROR(SUMPRODUCT((nNIA=A436)*(nCUENTA=1)*(COUNTIF(CONFIG_ASIGNATURAS!$B$7:$B$27,nASIG)&gt;0)*(nNOTA))/SUMPRODUCT((nNIA=A436)*(nCUENTA=1)*(COUNTIF(CONFIG_ASIGNATURAS!$B$7:$B$27,nASIG)&gt;0)*1),"")))</f>
        <v/>
      </c>
      <c r="H436" t="str">
        <f>IF(G436="","",IF(G436="[FÓRMULA MANUAL]","",IFERROR(AVERAGEIFS(nNOTA,nNIA,G436,nCUENTA,1,nASIG,"Lenguaje Musical"),"")))</f>
        <v/>
      </c>
      <c r="I436" t="str">
        <f>IF(G436="","",IF(G436="[FÓRMULA MANUAL]","",IFERROR(AVERAGEIFS(nNOTA,nNIA,G436,nCUENTA,1,nASIG,"Orquesta/Banda/Conjunto"),"")))</f>
        <v/>
      </c>
      <c r="J436" t="str">
        <f>IF(G436="","",IF(G436="[FÓRMULA MANUAL]","",IFERROR(AVERAGEIFS(nNOTA,nNIA,G436,nCUENTA,1,nASIG,"Conjunto"),"")))</f>
        <v/>
      </c>
      <c r="K436" t="str">
        <f>IF(G436="","",IF(G436="[FÓRMULA MANUAL]","",IFERROR(SUMPRODUCT((nNIA=G436)*(nCUENTA=1)*(COUNTIF(CONFIG_ASIGNATURAS!$B$7:$B$27,nASIG)&gt;0)*(nNOTA))/SUMPRODUCT((nNIA=G436)*(nCUENTA=1)*(COUNTIF(CONFIG_ASIGNATURAS!$B$7:$B$27,nASIG)&gt;0)*1),"")))</f>
        <v/>
      </c>
      <c r="N436" t="str">
        <f>IF(M436="","",IF(M436="[FÓRMULA MANUAL]","",IFERROR(AVERAGEIFS(nNOTA,nNIA,M436,nCUENTA,1,nASIG,"Armonía"),"")))</f>
        <v/>
      </c>
      <c r="O436" t="str">
        <f>IF(M436="","",IF(M436="[FÓRMULA MANUAL]","",IFERROR(AVERAGEIFS(nNOTA,nNIA,M436,nCUENTA,1,nASIG,"Orquesta/Banda/Conjunto"),"")))</f>
        <v/>
      </c>
      <c r="P436" t="str">
        <f>IF(M436="","",IF(M436="[FÓRMULA MANUAL]","",IFERROR(AVERAGEIFS(nNOTA,nNIA,M436,nCUENTA,1,nASIG,"Música de Cámara"),"")))</f>
        <v/>
      </c>
      <c r="Q436" t="str">
        <f>IF(M436="","",IF(M436="[FÓRMULA MANUAL]","",IFERROR(SUMPRODUCT((nNIA=M436)*(nCUENTA=1)*(COUNTIF(CONFIG_ASIGNATURAS!$B$7:$B$27,nASIG)&gt;0)*(nNOTA))/SUMPRODUCT((nNIA=M436)*(nCUENTA=1)*(COUNTIF(CONFIG_ASIGNATURAS!$B$7:$B$27,nASIG)&gt;0)*1),"")))</f>
        <v/>
      </c>
      <c r="T436" t="str">
        <f>IF(S436="","",IF(S436="[FÓRMULA MANUAL]","",IFERROR(AVERAGEIFS(nNOTA,nNIA,S436,nCUENTA,1,nASIG,"Armonía"),"")))</f>
        <v/>
      </c>
      <c r="U436" t="str">
        <f>IF(S436="","",IF(S436="[FÓRMULA MANUAL]","",IFERROR(AVERAGEIFS(nNOTA,nNIA,S436,nCUENTA,1,nASIG,"Orquesta/Banda/Conjunto"),"")))</f>
        <v/>
      </c>
      <c r="V436" t="str">
        <f>IF(S436="","",IF(S436="[FÓRMULA MANUAL]","",IFERROR(AVERAGEIFS(nNOTA,nNIA,S436,nCUENTA,1,nASIG,"Música de Cámara"),"")))</f>
        <v/>
      </c>
      <c r="W436" t="str">
        <f>IF(S436="","",IF(S436="[FÓRMULA MANUAL]","",IFERROR(SUMPRODUCT((nNIA=S436)*(nCUENTA=1)*(COUNTIF(CONFIG_ASIGNATURAS!$B$7:$B$27,nASIG)&gt;0)*(nNOTA))/SUMPRODUCT((nNIA=S436)*(nCUENTA=1)*(COUNTIF(CONFIG_ASIGNATURAS!$B$7:$B$27,nASIG)&gt;0)*1),"")))</f>
        <v/>
      </c>
      <c r="Z436" t="str">
        <f>IF(Y436="","",IF(Y436="[FÓRMULA MANUAL]","",IFERROR(AVERAGEIFS(nNOTA,nNIA,Y436,nCUENTA,1,nASIG,"Análisis"),"")))</f>
        <v/>
      </c>
      <c r="AA436" t="str">
        <f>IF(Y436="","",IF(Y436="[FÓRMULA MANUAL]","",IFERROR(AVERAGEIFS(nNOTA,nNIA,Y436,nCUENTA,1,nASIG,"Orquesta/Banda/Conjunto"),"")))</f>
        <v/>
      </c>
      <c r="AB436" t="str">
        <f>IF(Y436="","",IF(Y436="[FÓRMULA MANUAL]","",IFERROR(AVERAGEIFS(nNOTA,nNIA,Y436,nCUENTA,1,nASIG,"Música de Cámara"),"")))</f>
        <v/>
      </c>
      <c r="AC436" t="str">
        <f>IF(Y436="","",IF(Y436="[FÓRMULA MANUAL]","",IFERROR(SUMPRODUCT((nNIA=Y436)*(nCUENTA=1)*(COUNTIF(CONFIG_ASIGNATURAS!$B$7:$B$27,nASIG)&gt;0)*(nNOTA))/SUMPRODUCT((nNIA=Y436)*(nCUENTA=1)*(COUNTIF(CONFIG_ASIGNATURAS!$B$7:$B$27,nASIG)&gt;0)*1),"")))</f>
        <v/>
      </c>
      <c r="AF436" t="str">
        <f>IF(AE436="","",IF(AE436="[FÓRMULA MANUAL]","",IFERROR(AVERAGEIFS(nNOTA,nNIA,AE436,nCUENTA,1,nASIG,"Análisis"),"")))</f>
        <v/>
      </c>
      <c r="AG436" t="str">
        <f>IF(AE436="","",IF(AE436="[FÓRMULA MANUAL]","",IFERROR(AVERAGEIFS(nNOTA,nNIA,AE436,nCUENTA,1,nASIG,"Orquesta/Banda/Conjunto"),"")))</f>
        <v/>
      </c>
      <c r="AH436" t="str">
        <f>IF(AE436="","",IF(AE436="[FÓRMULA MANUAL]","",IFERROR(AVERAGEIFS(nNOTA,nNIA,AE436,nCUENTA,1,nASIG,"Música de Cámara"),"")))</f>
        <v/>
      </c>
      <c r="AI436" t="str">
        <f>IF(AE436="","",IF(AE436="[FÓRMULA MANUAL]","",IFERROR(SUMPRODUCT((nNIA=AE436)*(nCUENTA=1)*(COUNTIF(CONFIG_ASIGNATURAS!$B$7:$B$27,nASIG)&gt;0)*(nNOTA))/SUMPRODUCT((nNIA=AE436)*(nCUENTA=1)*(COUNTIF(CONFIG_ASIGNATURAS!$B$7:$B$27,nASIG)&gt;0)*1),"")))</f>
        <v/>
      </c>
    </row>
    <row r="437" spans="2:35" x14ac:dyDescent="0.2">
      <c r="B437" t="str">
        <f>IF(A437="","",IF(A437="[FÓRMULA MANUAL]","",IFERROR(AVERAGEIFS(nNOTA,nNIA,A437,nCUENTA,1,nASIG,"Lenguaje Musical"),"")))</f>
        <v/>
      </c>
      <c r="C437" t="str">
        <f>IF(A437="","",IF(A437="[FÓRMULA MANUAL]","",IFERROR(AVERAGEIFS(nNOTA,nNIA,A437,nCUENTA,1,nASIG,"Orquesta/Banda/Conjunto"),"")))</f>
        <v/>
      </c>
      <c r="D437" t="str">
        <f>IF(A437="","",IF(A437="[FÓRMULA MANUAL]","",IFERROR(AVERAGEIFS(nNOTA,nNIA,A437,nCUENTA,1,nASIG,"Conjunto"),"")))</f>
        <v/>
      </c>
      <c r="E437" t="str">
        <f>IF(A437="","",IF(A437="[FÓRMULA MANUAL]","",IFERROR(SUMPRODUCT((nNIA=A437)*(nCUENTA=1)*(COUNTIF(CONFIG_ASIGNATURAS!$B$7:$B$27,nASIG)&gt;0)*(nNOTA))/SUMPRODUCT((nNIA=A437)*(nCUENTA=1)*(COUNTIF(CONFIG_ASIGNATURAS!$B$7:$B$27,nASIG)&gt;0)*1),"")))</f>
        <v/>
      </c>
      <c r="H437" t="str">
        <f>IF(G437="","",IF(G437="[FÓRMULA MANUAL]","",IFERROR(AVERAGEIFS(nNOTA,nNIA,G437,nCUENTA,1,nASIG,"Lenguaje Musical"),"")))</f>
        <v/>
      </c>
      <c r="I437" t="str">
        <f>IF(G437="","",IF(G437="[FÓRMULA MANUAL]","",IFERROR(AVERAGEIFS(nNOTA,nNIA,G437,nCUENTA,1,nASIG,"Orquesta/Banda/Conjunto"),"")))</f>
        <v/>
      </c>
      <c r="J437" t="str">
        <f>IF(G437="","",IF(G437="[FÓRMULA MANUAL]","",IFERROR(AVERAGEIFS(nNOTA,nNIA,G437,nCUENTA,1,nASIG,"Conjunto"),"")))</f>
        <v/>
      </c>
      <c r="K437" t="str">
        <f>IF(G437="","",IF(G437="[FÓRMULA MANUAL]","",IFERROR(SUMPRODUCT((nNIA=G437)*(nCUENTA=1)*(COUNTIF(CONFIG_ASIGNATURAS!$B$7:$B$27,nASIG)&gt;0)*(nNOTA))/SUMPRODUCT((nNIA=G437)*(nCUENTA=1)*(COUNTIF(CONFIG_ASIGNATURAS!$B$7:$B$27,nASIG)&gt;0)*1),"")))</f>
        <v/>
      </c>
      <c r="N437" t="str">
        <f>IF(M437="","",IF(M437="[FÓRMULA MANUAL]","",IFERROR(AVERAGEIFS(nNOTA,nNIA,M437,nCUENTA,1,nASIG,"Armonía"),"")))</f>
        <v/>
      </c>
      <c r="O437" t="str">
        <f>IF(M437="","",IF(M437="[FÓRMULA MANUAL]","",IFERROR(AVERAGEIFS(nNOTA,nNIA,M437,nCUENTA,1,nASIG,"Orquesta/Banda/Conjunto"),"")))</f>
        <v/>
      </c>
      <c r="P437" t="str">
        <f>IF(M437="","",IF(M437="[FÓRMULA MANUAL]","",IFERROR(AVERAGEIFS(nNOTA,nNIA,M437,nCUENTA,1,nASIG,"Música de Cámara"),"")))</f>
        <v/>
      </c>
      <c r="Q437" t="str">
        <f>IF(M437="","",IF(M437="[FÓRMULA MANUAL]","",IFERROR(SUMPRODUCT((nNIA=M437)*(nCUENTA=1)*(COUNTIF(CONFIG_ASIGNATURAS!$B$7:$B$27,nASIG)&gt;0)*(nNOTA))/SUMPRODUCT((nNIA=M437)*(nCUENTA=1)*(COUNTIF(CONFIG_ASIGNATURAS!$B$7:$B$27,nASIG)&gt;0)*1),"")))</f>
        <v/>
      </c>
      <c r="T437" t="str">
        <f>IF(S437="","",IF(S437="[FÓRMULA MANUAL]","",IFERROR(AVERAGEIFS(nNOTA,nNIA,S437,nCUENTA,1,nASIG,"Armonía"),"")))</f>
        <v/>
      </c>
      <c r="U437" t="str">
        <f>IF(S437="","",IF(S437="[FÓRMULA MANUAL]","",IFERROR(AVERAGEIFS(nNOTA,nNIA,S437,nCUENTA,1,nASIG,"Orquesta/Banda/Conjunto"),"")))</f>
        <v/>
      </c>
      <c r="V437" t="str">
        <f>IF(S437="","",IF(S437="[FÓRMULA MANUAL]","",IFERROR(AVERAGEIFS(nNOTA,nNIA,S437,nCUENTA,1,nASIG,"Música de Cámara"),"")))</f>
        <v/>
      </c>
      <c r="W437" t="str">
        <f>IF(S437="","",IF(S437="[FÓRMULA MANUAL]","",IFERROR(SUMPRODUCT((nNIA=S437)*(nCUENTA=1)*(COUNTIF(CONFIG_ASIGNATURAS!$B$7:$B$27,nASIG)&gt;0)*(nNOTA))/SUMPRODUCT((nNIA=S437)*(nCUENTA=1)*(COUNTIF(CONFIG_ASIGNATURAS!$B$7:$B$27,nASIG)&gt;0)*1),"")))</f>
        <v/>
      </c>
      <c r="Z437" t="str">
        <f>IF(Y437="","",IF(Y437="[FÓRMULA MANUAL]","",IFERROR(AVERAGEIFS(nNOTA,nNIA,Y437,nCUENTA,1,nASIG,"Análisis"),"")))</f>
        <v/>
      </c>
      <c r="AA437" t="str">
        <f>IF(Y437="","",IF(Y437="[FÓRMULA MANUAL]","",IFERROR(AVERAGEIFS(nNOTA,nNIA,Y437,nCUENTA,1,nASIG,"Orquesta/Banda/Conjunto"),"")))</f>
        <v/>
      </c>
      <c r="AB437" t="str">
        <f>IF(Y437="","",IF(Y437="[FÓRMULA MANUAL]","",IFERROR(AVERAGEIFS(nNOTA,nNIA,Y437,nCUENTA,1,nASIG,"Música de Cámara"),"")))</f>
        <v/>
      </c>
      <c r="AC437" t="str">
        <f>IF(Y437="","",IF(Y437="[FÓRMULA MANUAL]","",IFERROR(SUMPRODUCT((nNIA=Y437)*(nCUENTA=1)*(COUNTIF(CONFIG_ASIGNATURAS!$B$7:$B$27,nASIG)&gt;0)*(nNOTA))/SUMPRODUCT((nNIA=Y437)*(nCUENTA=1)*(COUNTIF(CONFIG_ASIGNATURAS!$B$7:$B$27,nASIG)&gt;0)*1),"")))</f>
        <v/>
      </c>
      <c r="AF437" t="str">
        <f>IF(AE437="","",IF(AE437="[FÓRMULA MANUAL]","",IFERROR(AVERAGEIFS(nNOTA,nNIA,AE437,nCUENTA,1,nASIG,"Análisis"),"")))</f>
        <v/>
      </c>
      <c r="AG437" t="str">
        <f>IF(AE437="","",IF(AE437="[FÓRMULA MANUAL]","",IFERROR(AVERAGEIFS(nNOTA,nNIA,AE437,nCUENTA,1,nASIG,"Orquesta/Banda/Conjunto"),"")))</f>
        <v/>
      </c>
      <c r="AH437" t="str">
        <f>IF(AE437="","",IF(AE437="[FÓRMULA MANUAL]","",IFERROR(AVERAGEIFS(nNOTA,nNIA,AE437,nCUENTA,1,nASIG,"Música de Cámara"),"")))</f>
        <v/>
      </c>
      <c r="AI437" t="str">
        <f>IF(AE437="","",IF(AE437="[FÓRMULA MANUAL]","",IFERROR(SUMPRODUCT((nNIA=AE437)*(nCUENTA=1)*(COUNTIF(CONFIG_ASIGNATURAS!$B$7:$B$27,nASIG)&gt;0)*(nNOTA))/SUMPRODUCT((nNIA=AE437)*(nCUENTA=1)*(COUNTIF(CONFIG_ASIGNATURAS!$B$7:$B$27,nASIG)&gt;0)*1),"")))</f>
        <v/>
      </c>
    </row>
    <row r="438" spans="2:35" x14ac:dyDescent="0.2">
      <c r="B438" t="str">
        <f>IF(A438="","",IF(A438="[FÓRMULA MANUAL]","",IFERROR(AVERAGEIFS(nNOTA,nNIA,A438,nCUENTA,1,nASIG,"Lenguaje Musical"),"")))</f>
        <v/>
      </c>
      <c r="C438" t="str">
        <f>IF(A438="","",IF(A438="[FÓRMULA MANUAL]","",IFERROR(AVERAGEIFS(nNOTA,nNIA,A438,nCUENTA,1,nASIG,"Orquesta/Banda/Conjunto"),"")))</f>
        <v/>
      </c>
      <c r="D438" t="str">
        <f>IF(A438="","",IF(A438="[FÓRMULA MANUAL]","",IFERROR(AVERAGEIFS(nNOTA,nNIA,A438,nCUENTA,1,nASIG,"Conjunto"),"")))</f>
        <v/>
      </c>
      <c r="E438" t="str">
        <f>IF(A438="","",IF(A438="[FÓRMULA MANUAL]","",IFERROR(SUMPRODUCT((nNIA=A438)*(nCUENTA=1)*(COUNTIF(CONFIG_ASIGNATURAS!$B$7:$B$27,nASIG)&gt;0)*(nNOTA))/SUMPRODUCT((nNIA=A438)*(nCUENTA=1)*(COUNTIF(CONFIG_ASIGNATURAS!$B$7:$B$27,nASIG)&gt;0)*1),"")))</f>
        <v/>
      </c>
      <c r="H438" t="str">
        <f>IF(G438="","",IF(G438="[FÓRMULA MANUAL]","",IFERROR(AVERAGEIFS(nNOTA,nNIA,G438,nCUENTA,1,nASIG,"Lenguaje Musical"),"")))</f>
        <v/>
      </c>
      <c r="I438" t="str">
        <f>IF(G438="","",IF(G438="[FÓRMULA MANUAL]","",IFERROR(AVERAGEIFS(nNOTA,nNIA,G438,nCUENTA,1,nASIG,"Orquesta/Banda/Conjunto"),"")))</f>
        <v/>
      </c>
      <c r="J438" t="str">
        <f>IF(G438="","",IF(G438="[FÓRMULA MANUAL]","",IFERROR(AVERAGEIFS(nNOTA,nNIA,G438,nCUENTA,1,nASIG,"Conjunto"),"")))</f>
        <v/>
      </c>
      <c r="K438" t="str">
        <f>IF(G438="","",IF(G438="[FÓRMULA MANUAL]","",IFERROR(SUMPRODUCT((nNIA=G438)*(nCUENTA=1)*(COUNTIF(CONFIG_ASIGNATURAS!$B$7:$B$27,nASIG)&gt;0)*(nNOTA))/SUMPRODUCT((nNIA=G438)*(nCUENTA=1)*(COUNTIF(CONFIG_ASIGNATURAS!$B$7:$B$27,nASIG)&gt;0)*1),"")))</f>
        <v/>
      </c>
      <c r="N438" t="str">
        <f>IF(M438="","",IF(M438="[FÓRMULA MANUAL]","",IFERROR(AVERAGEIFS(nNOTA,nNIA,M438,nCUENTA,1,nASIG,"Armonía"),"")))</f>
        <v/>
      </c>
      <c r="O438" t="str">
        <f>IF(M438="","",IF(M438="[FÓRMULA MANUAL]","",IFERROR(AVERAGEIFS(nNOTA,nNIA,M438,nCUENTA,1,nASIG,"Orquesta/Banda/Conjunto"),"")))</f>
        <v/>
      </c>
      <c r="P438" t="str">
        <f>IF(M438="","",IF(M438="[FÓRMULA MANUAL]","",IFERROR(AVERAGEIFS(nNOTA,nNIA,M438,nCUENTA,1,nASIG,"Música de Cámara"),"")))</f>
        <v/>
      </c>
      <c r="Q438" t="str">
        <f>IF(M438="","",IF(M438="[FÓRMULA MANUAL]","",IFERROR(SUMPRODUCT((nNIA=M438)*(nCUENTA=1)*(COUNTIF(CONFIG_ASIGNATURAS!$B$7:$B$27,nASIG)&gt;0)*(nNOTA))/SUMPRODUCT((nNIA=M438)*(nCUENTA=1)*(COUNTIF(CONFIG_ASIGNATURAS!$B$7:$B$27,nASIG)&gt;0)*1),"")))</f>
        <v/>
      </c>
      <c r="T438" t="str">
        <f>IF(S438="","",IF(S438="[FÓRMULA MANUAL]","",IFERROR(AVERAGEIFS(nNOTA,nNIA,S438,nCUENTA,1,nASIG,"Armonía"),"")))</f>
        <v/>
      </c>
      <c r="U438" t="str">
        <f>IF(S438="","",IF(S438="[FÓRMULA MANUAL]","",IFERROR(AVERAGEIFS(nNOTA,nNIA,S438,nCUENTA,1,nASIG,"Orquesta/Banda/Conjunto"),"")))</f>
        <v/>
      </c>
      <c r="V438" t="str">
        <f>IF(S438="","",IF(S438="[FÓRMULA MANUAL]","",IFERROR(AVERAGEIFS(nNOTA,nNIA,S438,nCUENTA,1,nASIG,"Música de Cámara"),"")))</f>
        <v/>
      </c>
      <c r="W438" t="str">
        <f>IF(S438="","",IF(S438="[FÓRMULA MANUAL]","",IFERROR(SUMPRODUCT((nNIA=S438)*(nCUENTA=1)*(COUNTIF(CONFIG_ASIGNATURAS!$B$7:$B$27,nASIG)&gt;0)*(nNOTA))/SUMPRODUCT((nNIA=S438)*(nCUENTA=1)*(COUNTIF(CONFIG_ASIGNATURAS!$B$7:$B$27,nASIG)&gt;0)*1),"")))</f>
        <v/>
      </c>
      <c r="Z438" t="str">
        <f>IF(Y438="","",IF(Y438="[FÓRMULA MANUAL]","",IFERROR(AVERAGEIFS(nNOTA,nNIA,Y438,nCUENTA,1,nASIG,"Análisis"),"")))</f>
        <v/>
      </c>
      <c r="AA438" t="str">
        <f>IF(Y438="","",IF(Y438="[FÓRMULA MANUAL]","",IFERROR(AVERAGEIFS(nNOTA,nNIA,Y438,nCUENTA,1,nASIG,"Orquesta/Banda/Conjunto"),"")))</f>
        <v/>
      </c>
      <c r="AB438" t="str">
        <f>IF(Y438="","",IF(Y438="[FÓRMULA MANUAL]","",IFERROR(AVERAGEIFS(nNOTA,nNIA,Y438,nCUENTA,1,nASIG,"Música de Cámara"),"")))</f>
        <v/>
      </c>
      <c r="AC438" t="str">
        <f>IF(Y438="","",IF(Y438="[FÓRMULA MANUAL]","",IFERROR(SUMPRODUCT((nNIA=Y438)*(nCUENTA=1)*(COUNTIF(CONFIG_ASIGNATURAS!$B$7:$B$27,nASIG)&gt;0)*(nNOTA))/SUMPRODUCT((nNIA=Y438)*(nCUENTA=1)*(COUNTIF(CONFIG_ASIGNATURAS!$B$7:$B$27,nASIG)&gt;0)*1),"")))</f>
        <v/>
      </c>
      <c r="AF438" t="str">
        <f>IF(AE438="","",IF(AE438="[FÓRMULA MANUAL]","",IFERROR(AVERAGEIFS(nNOTA,nNIA,AE438,nCUENTA,1,nASIG,"Análisis"),"")))</f>
        <v/>
      </c>
      <c r="AG438" t="str">
        <f>IF(AE438="","",IF(AE438="[FÓRMULA MANUAL]","",IFERROR(AVERAGEIFS(nNOTA,nNIA,AE438,nCUENTA,1,nASIG,"Orquesta/Banda/Conjunto"),"")))</f>
        <v/>
      </c>
      <c r="AH438" t="str">
        <f>IF(AE438="","",IF(AE438="[FÓRMULA MANUAL]","",IFERROR(AVERAGEIFS(nNOTA,nNIA,AE438,nCUENTA,1,nASIG,"Música de Cámara"),"")))</f>
        <v/>
      </c>
      <c r="AI438" t="str">
        <f>IF(AE438="","",IF(AE438="[FÓRMULA MANUAL]","",IFERROR(SUMPRODUCT((nNIA=AE438)*(nCUENTA=1)*(COUNTIF(CONFIG_ASIGNATURAS!$B$7:$B$27,nASIG)&gt;0)*(nNOTA))/SUMPRODUCT((nNIA=AE438)*(nCUENTA=1)*(COUNTIF(CONFIG_ASIGNATURAS!$B$7:$B$27,nASIG)&gt;0)*1),"")))</f>
        <v/>
      </c>
    </row>
    <row r="439" spans="2:35" x14ac:dyDescent="0.2">
      <c r="B439" t="str">
        <f>IF(A439="","",IF(A439="[FÓRMULA MANUAL]","",IFERROR(AVERAGEIFS(nNOTA,nNIA,A439,nCUENTA,1,nASIG,"Lenguaje Musical"),"")))</f>
        <v/>
      </c>
      <c r="C439" t="str">
        <f>IF(A439="","",IF(A439="[FÓRMULA MANUAL]","",IFERROR(AVERAGEIFS(nNOTA,nNIA,A439,nCUENTA,1,nASIG,"Orquesta/Banda/Conjunto"),"")))</f>
        <v/>
      </c>
      <c r="D439" t="str">
        <f>IF(A439="","",IF(A439="[FÓRMULA MANUAL]","",IFERROR(AVERAGEIFS(nNOTA,nNIA,A439,nCUENTA,1,nASIG,"Conjunto"),"")))</f>
        <v/>
      </c>
      <c r="E439" t="str">
        <f>IF(A439="","",IF(A439="[FÓRMULA MANUAL]","",IFERROR(SUMPRODUCT((nNIA=A439)*(nCUENTA=1)*(COUNTIF(CONFIG_ASIGNATURAS!$B$7:$B$27,nASIG)&gt;0)*(nNOTA))/SUMPRODUCT((nNIA=A439)*(nCUENTA=1)*(COUNTIF(CONFIG_ASIGNATURAS!$B$7:$B$27,nASIG)&gt;0)*1),"")))</f>
        <v/>
      </c>
      <c r="H439" t="str">
        <f>IF(G439="","",IF(G439="[FÓRMULA MANUAL]","",IFERROR(AVERAGEIFS(nNOTA,nNIA,G439,nCUENTA,1,nASIG,"Lenguaje Musical"),"")))</f>
        <v/>
      </c>
      <c r="I439" t="str">
        <f>IF(G439="","",IF(G439="[FÓRMULA MANUAL]","",IFERROR(AVERAGEIFS(nNOTA,nNIA,G439,nCUENTA,1,nASIG,"Orquesta/Banda/Conjunto"),"")))</f>
        <v/>
      </c>
      <c r="J439" t="str">
        <f>IF(G439="","",IF(G439="[FÓRMULA MANUAL]","",IFERROR(AVERAGEIFS(nNOTA,nNIA,G439,nCUENTA,1,nASIG,"Conjunto"),"")))</f>
        <v/>
      </c>
      <c r="K439" t="str">
        <f>IF(G439="","",IF(G439="[FÓRMULA MANUAL]","",IFERROR(SUMPRODUCT((nNIA=G439)*(nCUENTA=1)*(COUNTIF(CONFIG_ASIGNATURAS!$B$7:$B$27,nASIG)&gt;0)*(nNOTA))/SUMPRODUCT((nNIA=G439)*(nCUENTA=1)*(COUNTIF(CONFIG_ASIGNATURAS!$B$7:$B$27,nASIG)&gt;0)*1),"")))</f>
        <v/>
      </c>
      <c r="N439" t="str">
        <f>IF(M439="","",IF(M439="[FÓRMULA MANUAL]","",IFERROR(AVERAGEIFS(nNOTA,nNIA,M439,nCUENTA,1,nASIG,"Armonía"),"")))</f>
        <v/>
      </c>
      <c r="O439" t="str">
        <f>IF(M439="","",IF(M439="[FÓRMULA MANUAL]","",IFERROR(AVERAGEIFS(nNOTA,nNIA,M439,nCUENTA,1,nASIG,"Orquesta/Banda/Conjunto"),"")))</f>
        <v/>
      </c>
      <c r="P439" t="str">
        <f>IF(M439="","",IF(M439="[FÓRMULA MANUAL]","",IFERROR(AVERAGEIFS(nNOTA,nNIA,M439,nCUENTA,1,nASIG,"Música de Cámara"),"")))</f>
        <v/>
      </c>
      <c r="Q439" t="str">
        <f>IF(M439="","",IF(M439="[FÓRMULA MANUAL]","",IFERROR(SUMPRODUCT((nNIA=M439)*(nCUENTA=1)*(COUNTIF(CONFIG_ASIGNATURAS!$B$7:$B$27,nASIG)&gt;0)*(nNOTA))/SUMPRODUCT((nNIA=M439)*(nCUENTA=1)*(COUNTIF(CONFIG_ASIGNATURAS!$B$7:$B$27,nASIG)&gt;0)*1),"")))</f>
        <v/>
      </c>
      <c r="T439" t="str">
        <f>IF(S439="","",IF(S439="[FÓRMULA MANUAL]","",IFERROR(AVERAGEIFS(nNOTA,nNIA,S439,nCUENTA,1,nASIG,"Armonía"),"")))</f>
        <v/>
      </c>
      <c r="U439" t="str">
        <f>IF(S439="","",IF(S439="[FÓRMULA MANUAL]","",IFERROR(AVERAGEIFS(nNOTA,nNIA,S439,nCUENTA,1,nASIG,"Orquesta/Banda/Conjunto"),"")))</f>
        <v/>
      </c>
      <c r="V439" t="str">
        <f>IF(S439="","",IF(S439="[FÓRMULA MANUAL]","",IFERROR(AVERAGEIFS(nNOTA,nNIA,S439,nCUENTA,1,nASIG,"Música de Cámara"),"")))</f>
        <v/>
      </c>
      <c r="W439" t="str">
        <f>IF(S439="","",IF(S439="[FÓRMULA MANUAL]","",IFERROR(SUMPRODUCT((nNIA=S439)*(nCUENTA=1)*(COUNTIF(CONFIG_ASIGNATURAS!$B$7:$B$27,nASIG)&gt;0)*(nNOTA))/SUMPRODUCT((nNIA=S439)*(nCUENTA=1)*(COUNTIF(CONFIG_ASIGNATURAS!$B$7:$B$27,nASIG)&gt;0)*1),"")))</f>
        <v/>
      </c>
      <c r="Z439" t="str">
        <f>IF(Y439="","",IF(Y439="[FÓRMULA MANUAL]","",IFERROR(AVERAGEIFS(nNOTA,nNIA,Y439,nCUENTA,1,nASIG,"Análisis"),"")))</f>
        <v/>
      </c>
      <c r="AA439" t="str">
        <f>IF(Y439="","",IF(Y439="[FÓRMULA MANUAL]","",IFERROR(AVERAGEIFS(nNOTA,nNIA,Y439,nCUENTA,1,nASIG,"Orquesta/Banda/Conjunto"),"")))</f>
        <v/>
      </c>
      <c r="AB439" t="str">
        <f>IF(Y439="","",IF(Y439="[FÓRMULA MANUAL]","",IFERROR(AVERAGEIFS(nNOTA,nNIA,Y439,nCUENTA,1,nASIG,"Música de Cámara"),"")))</f>
        <v/>
      </c>
      <c r="AC439" t="str">
        <f>IF(Y439="","",IF(Y439="[FÓRMULA MANUAL]","",IFERROR(SUMPRODUCT((nNIA=Y439)*(nCUENTA=1)*(COUNTIF(CONFIG_ASIGNATURAS!$B$7:$B$27,nASIG)&gt;0)*(nNOTA))/SUMPRODUCT((nNIA=Y439)*(nCUENTA=1)*(COUNTIF(CONFIG_ASIGNATURAS!$B$7:$B$27,nASIG)&gt;0)*1),"")))</f>
        <v/>
      </c>
      <c r="AF439" t="str">
        <f>IF(AE439="","",IF(AE439="[FÓRMULA MANUAL]","",IFERROR(AVERAGEIFS(nNOTA,nNIA,AE439,nCUENTA,1,nASIG,"Análisis"),"")))</f>
        <v/>
      </c>
      <c r="AG439" t="str">
        <f>IF(AE439="","",IF(AE439="[FÓRMULA MANUAL]","",IFERROR(AVERAGEIFS(nNOTA,nNIA,AE439,nCUENTA,1,nASIG,"Orquesta/Banda/Conjunto"),"")))</f>
        <v/>
      </c>
      <c r="AH439" t="str">
        <f>IF(AE439="","",IF(AE439="[FÓRMULA MANUAL]","",IFERROR(AVERAGEIFS(nNOTA,nNIA,AE439,nCUENTA,1,nASIG,"Música de Cámara"),"")))</f>
        <v/>
      </c>
      <c r="AI439" t="str">
        <f>IF(AE439="","",IF(AE439="[FÓRMULA MANUAL]","",IFERROR(SUMPRODUCT((nNIA=AE439)*(nCUENTA=1)*(COUNTIF(CONFIG_ASIGNATURAS!$B$7:$B$27,nASIG)&gt;0)*(nNOTA))/SUMPRODUCT((nNIA=AE439)*(nCUENTA=1)*(COUNTIF(CONFIG_ASIGNATURAS!$B$7:$B$27,nASIG)&gt;0)*1),"")))</f>
        <v/>
      </c>
    </row>
    <row r="440" spans="2:35" x14ac:dyDescent="0.2">
      <c r="B440" t="str">
        <f>IF(A440="","",IF(A440="[FÓRMULA MANUAL]","",IFERROR(AVERAGEIFS(nNOTA,nNIA,A440,nCUENTA,1,nASIG,"Lenguaje Musical"),"")))</f>
        <v/>
      </c>
      <c r="C440" t="str">
        <f>IF(A440="","",IF(A440="[FÓRMULA MANUAL]","",IFERROR(AVERAGEIFS(nNOTA,nNIA,A440,nCUENTA,1,nASIG,"Orquesta/Banda/Conjunto"),"")))</f>
        <v/>
      </c>
      <c r="D440" t="str">
        <f>IF(A440="","",IF(A440="[FÓRMULA MANUAL]","",IFERROR(AVERAGEIFS(nNOTA,nNIA,A440,nCUENTA,1,nASIG,"Conjunto"),"")))</f>
        <v/>
      </c>
      <c r="E440" t="str">
        <f>IF(A440="","",IF(A440="[FÓRMULA MANUAL]","",IFERROR(SUMPRODUCT((nNIA=A440)*(nCUENTA=1)*(COUNTIF(CONFIG_ASIGNATURAS!$B$7:$B$27,nASIG)&gt;0)*(nNOTA))/SUMPRODUCT((nNIA=A440)*(nCUENTA=1)*(COUNTIF(CONFIG_ASIGNATURAS!$B$7:$B$27,nASIG)&gt;0)*1),"")))</f>
        <v/>
      </c>
      <c r="H440" t="str">
        <f>IF(G440="","",IF(G440="[FÓRMULA MANUAL]","",IFERROR(AVERAGEIFS(nNOTA,nNIA,G440,nCUENTA,1,nASIG,"Lenguaje Musical"),"")))</f>
        <v/>
      </c>
      <c r="I440" t="str">
        <f>IF(G440="","",IF(G440="[FÓRMULA MANUAL]","",IFERROR(AVERAGEIFS(nNOTA,nNIA,G440,nCUENTA,1,nASIG,"Orquesta/Banda/Conjunto"),"")))</f>
        <v/>
      </c>
      <c r="J440" t="str">
        <f>IF(G440="","",IF(G440="[FÓRMULA MANUAL]","",IFERROR(AVERAGEIFS(nNOTA,nNIA,G440,nCUENTA,1,nASIG,"Conjunto"),"")))</f>
        <v/>
      </c>
      <c r="K440" t="str">
        <f>IF(G440="","",IF(G440="[FÓRMULA MANUAL]","",IFERROR(SUMPRODUCT((nNIA=G440)*(nCUENTA=1)*(COUNTIF(CONFIG_ASIGNATURAS!$B$7:$B$27,nASIG)&gt;0)*(nNOTA))/SUMPRODUCT((nNIA=G440)*(nCUENTA=1)*(COUNTIF(CONFIG_ASIGNATURAS!$B$7:$B$27,nASIG)&gt;0)*1),"")))</f>
        <v/>
      </c>
      <c r="N440" t="str">
        <f>IF(M440="","",IF(M440="[FÓRMULA MANUAL]","",IFERROR(AVERAGEIFS(nNOTA,nNIA,M440,nCUENTA,1,nASIG,"Armonía"),"")))</f>
        <v/>
      </c>
      <c r="O440" t="str">
        <f>IF(M440="","",IF(M440="[FÓRMULA MANUAL]","",IFERROR(AVERAGEIFS(nNOTA,nNIA,M440,nCUENTA,1,nASIG,"Orquesta/Banda/Conjunto"),"")))</f>
        <v/>
      </c>
      <c r="P440" t="str">
        <f>IF(M440="","",IF(M440="[FÓRMULA MANUAL]","",IFERROR(AVERAGEIFS(nNOTA,nNIA,M440,nCUENTA,1,nASIG,"Música de Cámara"),"")))</f>
        <v/>
      </c>
      <c r="Q440" t="str">
        <f>IF(M440="","",IF(M440="[FÓRMULA MANUAL]","",IFERROR(SUMPRODUCT((nNIA=M440)*(nCUENTA=1)*(COUNTIF(CONFIG_ASIGNATURAS!$B$7:$B$27,nASIG)&gt;0)*(nNOTA))/SUMPRODUCT((nNIA=M440)*(nCUENTA=1)*(COUNTIF(CONFIG_ASIGNATURAS!$B$7:$B$27,nASIG)&gt;0)*1),"")))</f>
        <v/>
      </c>
      <c r="T440" t="str">
        <f>IF(S440="","",IF(S440="[FÓRMULA MANUAL]","",IFERROR(AVERAGEIFS(nNOTA,nNIA,S440,nCUENTA,1,nASIG,"Armonía"),"")))</f>
        <v/>
      </c>
      <c r="U440" t="str">
        <f>IF(S440="","",IF(S440="[FÓRMULA MANUAL]","",IFERROR(AVERAGEIFS(nNOTA,nNIA,S440,nCUENTA,1,nASIG,"Orquesta/Banda/Conjunto"),"")))</f>
        <v/>
      </c>
      <c r="V440" t="str">
        <f>IF(S440="","",IF(S440="[FÓRMULA MANUAL]","",IFERROR(AVERAGEIFS(nNOTA,nNIA,S440,nCUENTA,1,nASIG,"Música de Cámara"),"")))</f>
        <v/>
      </c>
      <c r="W440" t="str">
        <f>IF(S440="","",IF(S440="[FÓRMULA MANUAL]","",IFERROR(SUMPRODUCT((nNIA=S440)*(nCUENTA=1)*(COUNTIF(CONFIG_ASIGNATURAS!$B$7:$B$27,nASIG)&gt;0)*(nNOTA))/SUMPRODUCT((nNIA=S440)*(nCUENTA=1)*(COUNTIF(CONFIG_ASIGNATURAS!$B$7:$B$27,nASIG)&gt;0)*1),"")))</f>
        <v/>
      </c>
      <c r="Z440" t="str">
        <f>IF(Y440="","",IF(Y440="[FÓRMULA MANUAL]","",IFERROR(AVERAGEIFS(nNOTA,nNIA,Y440,nCUENTA,1,nASIG,"Análisis"),"")))</f>
        <v/>
      </c>
      <c r="AA440" t="str">
        <f>IF(Y440="","",IF(Y440="[FÓRMULA MANUAL]","",IFERROR(AVERAGEIFS(nNOTA,nNIA,Y440,nCUENTA,1,nASIG,"Orquesta/Banda/Conjunto"),"")))</f>
        <v/>
      </c>
      <c r="AB440" t="str">
        <f>IF(Y440="","",IF(Y440="[FÓRMULA MANUAL]","",IFERROR(AVERAGEIFS(nNOTA,nNIA,Y440,nCUENTA,1,nASIG,"Música de Cámara"),"")))</f>
        <v/>
      </c>
      <c r="AC440" t="str">
        <f>IF(Y440="","",IF(Y440="[FÓRMULA MANUAL]","",IFERROR(SUMPRODUCT((nNIA=Y440)*(nCUENTA=1)*(COUNTIF(CONFIG_ASIGNATURAS!$B$7:$B$27,nASIG)&gt;0)*(nNOTA))/SUMPRODUCT((nNIA=Y440)*(nCUENTA=1)*(COUNTIF(CONFIG_ASIGNATURAS!$B$7:$B$27,nASIG)&gt;0)*1),"")))</f>
        <v/>
      </c>
      <c r="AF440" t="str">
        <f>IF(AE440="","",IF(AE440="[FÓRMULA MANUAL]","",IFERROR(AVERAGEIFS(nNOTA,nNIA,AE440,nCUENTA,1,nASIG,"Análisis"),"")))</f>
        <v/>
      </c>
      <c r="AG440" t="str">
        <f>IF(AE440="","",IF(AE440="[FÓRMULA MANUAL]","",IFERROR(AVERAGEIFS(nNOTA,nNIA,AE440,nCUENTA,1,nASIG,"Orquesta/Banda/Conjunto"),"")))</f>
        <v/>
      </c>
      <c r="AH440" t="str">
        <f>IF(AE440="","",IF(AE440="[FÓRMULA MANUAL]","",IFERROR(AVERAGEIFS(nNOTA,nNIA,AE440,nCUENTA,1,nASIG,"Música de Cámara"),"")))</f>
        <v/>
      </c>
      <c r="AI440" t="str">
        <f>IF(AE440="","",IF(AE440="[FÓRMULA MANUAL]","",IFERROR(SUMPRODUCT((nNIA=AE440)*(nCUENTA=1)*(COUNTIF(CONFIG_ASIGNATURAS!$B$7:$B$27,nASIG)&gt;0)*(nNOTA))/SUMPRODUCT((nNIA=AE440)*(nCUENTA=1)*(COUNTIF(CONFIG_ASIGNATURAS!$B$7:$B$27,nASIG)&gt;0)*1),"")))</f>
        <v/>
      </c>
    </row>
    <row r="441" spans="2:35" x14ac:dyDescent="0.2">
      <c r="B441" t="str">
        <f>IF(A441="","",IF(A441="[FÓRMULA MANUAL]","",IFERROR(AVERAGEIFS(nNOTA,nNIA,A441,nCUENTA,1,nASIG,"Lenguaje Musical"),"")))</f>
        <v/>
      </c>
      <c r="C441" t="str">
        <f>IF(A441="","",IF(A441="[FÓRMULA MANUAL]","",IFERROR(AVERAGEIFS(nNOTA,nNIA,A441,nCUENTA,1,nASIG,"Orquesta/Banda/Conjunto"),"")))</f>
        <v/>
      </c>
      <c r="D441" t="str">
        <f>IF(A441="","",IF(A441="[FÓRMULA MANUAL]","",IFERROR(AVERAGEIFS(nNOTA,nNIA,A441,nCUENTA,1,nASIG,"Conjunto"),"")))</f>
        <v/>
      </c>
      <c r="E441" t="str">
        <f>IF(A441="","",IF(A441="[FÓRMULA MANUAL]","",IFERROR(SUMPRODUCT((nNIA=A441)*(nCUENTA=1)*(COUNTIF(CONFIG_ASIGNATURAS!$B$7:$B$27,nASIG)&gt;0)*(nNOTA))/SUMPRODUCT((nNIA=A441)*(nCUENTA=1)*(COUNTIF(CONFIG_ASIGNATURAS!$B$7:$B$27,nASIG)&gt;0)*1),"")))</f>
        <v/>
      </c>
      <c r="H441" t="str">
        <f>IF(G441="","",IF(G441="[FÓRMULA MANUAL]","",IFERROR(AVERAGEIFS(nNOTA,nNIA,G441,nCUENTA,1,nASIG,"Lenguaje Musical"),"")))</f>
        <v/>
      </c>
      <c r="I441" t="str">
        <f>IF(G441="","",IF(G441="[FÓRMULA MANUAL]","",IFERROR(AVERAGEIFS(nNOTA,nNIA,G441,nCUENTA,1,nASIG,"Orquesta/Banda/Conjunto"),"")))</f>
        <v/>
      </c>
      <c r="J441" t="str">
        <f>IF(G441="","",IF(G441="[FÓRMULA MANUAL]","",IFERROR(AVERAGEIFS(nNOTA,nNIA,G441,nCUENTA,1,nASIG,"Conjunto"),"")))</f>
        <v/>
      </c>
      <c r="K441" t="str">
        <f>IF(G441="","",IF(G441="[FÓRMULA MANUAL]","",IFERROR(SUMPRODUCT((nNIA=G441)*(nCUENTA=1)*(COUNTIF(CONFIG_ASIGNATURAS!$B$7:$B$27,nASIG)&gt;0)*(nNOTA))/SUMPRODUCT((nNIA=G441)*(nCUENTA=1)*(COUNTIF(CONFIG_ASIGNATURAS!$B$7:$B$27,nASIG)&gt;0)*1),"")))</f>
        <v/>
      </c>
      <c r="N441" t="str">
        <f>IF(M441="","",IF(M441="[FÓRMULA MANUAL]","",IFERROR(AVERAGEIFS(nNOTA,nNIA,M441,nCUENTA,1,nASIG,"Armonía"),"")))</f>
        <v/>
      </c>
      <c r="O441" t="str">
        <f>IF(M441="","",IF(M441="[FÓRMULA MANUAL]","",IFERROR(AVERAGEIFS(nNOTA,nNIA,M441,nCUENTA,1,nASIG,"Orquesta/Banda/Conjunto"),"")))</f>
        <v/>
      </c>
      <c r="P441" t="str">
        <f>IF(M441="","",IF(M441="[FÓRMULA MANUAL]","",IFERROR(AVERAGEIFS(nNOTA,nNIA,M441,nCUENTA,1,nASIG,"Música de Cámara"),"")))</f>
        <v/>
      </c>
      <c r="Q441" t="str">
        <f>IF(M441="","",IF(M441="[FÓRMULA MANUAL]","",IFERROR(SUMPRODUCT((nNIA=M441)*(nCUENTA=1)*(COUNTIF(CONFIG_ASIGNATURAS!$B$7:$B$27,nASIG)&gt;0)*(nNOTA))/SUMPRODUCT((nNIA=M441)*(nCUENTA=1)*(COUNTIF(CONFIG_ASIGNATURAS!$B$7:$B$27,nASIG)&gt;0)*1),"")))</f>
        <v/>
      </c>
      <c r="T441" t="str">
        <f>IF(S441="","",IF(S441="[FÓRMULA MANUAL]","",IFERROR(AVERAGEIFS(nNOTA,nNIA,S441,nCUENTA,1,nASIG,"Armonía"),"")))</f>
        <v/>
      </c>
      <c r="U441" t="str">
        <f>IF(S441="","",IF(S441="[FÓRMULA MANUAL]","",IFERROR(AVERAGEIFS(nNOTA,nNIA,S441,nCUENTA,1,nASIG,"Orquesta/Banda/Conjunto"),"")))</f>
        <v/>
      </c>
      <c r="V441" t="str">
        <f>IF(S441="","",IF(S441="[FÓRMULA MANUAL]","",IFERROR(AVERAGEIFS(nNOTA,nNIA,S441,nCUENTA,1,nASIG,"Música de Cámara"),"")))</f>
        <v/>
      </c>
      <c r="W441" t="str">
        <f>IF(S441="","",IF(S441="[FÓRMULA MANUAL]","",IFERROR(SUMPRODUCT((nNIA=S441)*(nCUENTA=1)*(COUNTIF(CONFIG_ASIGNATURAS!$B$7:$B$27,nASIG)&gt;0)*(nNOTA))/SUMPRODUCT((nNIA=S441)*(nCUENTA=1)*(COUNTIF(CONFIG_ASIGNATURAS!$B$7:$B$27,nASIG)&gt;0)*1),"")))</f>
        <v/>
      </c>
      <c r="Z441" t="str">
        <f>IF(Y441="","",IF(Y441="[FÓRMULA MANUAL]","",IFERROR(AVERAGEIFS(nNOTA,nNIA,Y441,nCUENTA,1,nASIG,"Análisis"),"")))</f>
        <v/>
      </c>
      <c r="AA441" t="str">
        <f>IF(Y441="","",IF(Y441="[FÓRMULA MANUAL]","",IFERROR(AVERAGEIFS(nNOTA,nNIA,Y441,nCUENTA,1,nASIG,"Orquesta/Banda/Conjunto"),"")))</f>
        <v/>
      </c>
      <c r="AB441" t="str">
        <f>IF(Y441="","",IF(Y441="[FÓRMULA MANUAL]","",IFERROR(AVERAGEIFS(nNOTA,nNIA,Y441,nCUENTA,1,nASIG,"Música de Cámara"),"")))</f>
        <v/>
      </c>
      <c r="AC441" t="str">
        <f>IF(Y441="","",IF(Y441="[FÓRMULA MANUAL]","",IFERROR(SUMPRODUCT((nNIA=Y441)*(nCUENTA=1)*(COUNTIF(CONFIG_ASIGNATURAS!$B$7:$B$27,nASIG)&gt;0)*(nNOTA))/SUMPRODUCT((nNIA=Y441)*(nCUENTA=1)*(COUNTIF(CONFIG_ASIGNATURAS!$B$7:$B$27,nASIG)&gt;0)*1),"")))</f>
        <v/>
      </c>
      <c r="AF441" t="str">
        <f>IF(AE441="","",IF(AE441="[FÓRMULA MANUAL]","",IFERROR(AVERAGEIFS(nNOTA,nNIA,AE441,nCUENTA,1,nASIG,"Análisis"),"")))</f>
        <v/>
      </c>
      <c r="AG441" t="str">
        <f>IF(AE441="","",IF(AE441="[FÓRMULA MANUAL]","",IFERROR(AVERAGEIFS(nNOTA,nNIA,AE441,nCUENTA,1,nASIG,"Orquesta/Banda/Conjunto"),"")))</f>
        <v/>
      </c>
      <c r="AH441" t="str">
        <f>IF(AE441="","",IF(AE441="[FÓRMULA MANUAL]","",IFERROR(AVERAGEIFS(nNOTA,nNIA,AE441,nCUENTA,1,nASIG,"Música de Cámara"),"")))</f>
        <v/>
      </c>
      <c r="AI441" t="str">
        <f>IF(AE441="","",IF(AE441="[FÓRMULA MANUAL]","",IFERROR(SUMPRODUCT((nNIA=AE441)*(nCUENTA=1)*(COUNTIF(CONFIG_ASIGNATURAS!$B$7:$B$27,nASIG)&gt;0)*(nNOTA))/SUMPRODUCT((nNIA=AE441)*(nCUENTA=1)*(COUNTIF(CONFIG_ASIGNATURAS!$B$7:$B$27,nASIG)&gt;0)*1),"")))</f>
        <v/>
      </c>
    </row>
    <row r="442" spans="2:35" x14ac:dyDescent="0.2">
      <c r="B442" t="str">
        <f>IF(A442="","",IF(A442="[FÓRMULA MANUAL]","",IFERROR(AVERAGEIFS(nNOTA,nNIA,A442,nCUENTA,1,nASIG,"Lenguaje Musical"),"")))</f>
        <v/>
      </c>
      <c r="C442" t="str">
        <f>IF(A442="","",IF(A442="[FÓRMULA MANUAL]","",IFERROR(AVERAGEIFS(nNOTA,nNIA,A442,nCUENTA,1,nASIG,"Orquesta/Banda/Conjunto"),"")))</f>
        <v/>
      </c>
      <c r="D442" t="str">
        <f>IF(A442="","",IF(A442="[FÓRMULA MANUAL]","",IFERROR(AVERAGEIFS(nNOTA,nNIA,A442,nCUENTA,1,nASIG,"Conjunto"),"")))</f>
        <v/>
      </c>
      <c r="E442" t="str">
        <f>IF(A442="","",IF(A442="[FÓRMULA MANUAL]","",IFERROR(SUMPRODUCT((nNIA=A442)*(nCUENTA=1)*(COUNTIF(CONFIG_ASIGNATURAS!$B$7:$B$27,nASIG)&gt;0)*(nNOTA))/SUMPRODUCT((nNIA=A442)*(nCUENTA=1)*(COUNTIF(CONFIG_ASIGNATURAS!$B$7:$B$27,nASIG)&gt;0)*1),"")))</f>
        <v/>
      </c>
      <c r="H442" t="str">
        <f>IF(G442="","",IF(G442="[FÓRMULA MANUAL]","",IFERROR(AVERAGEIFS(nNOTA,nNIA,G442,nCUENTA,1,nASIG,"Lenguaje Musical"),"")))</f>
        <v/>
      </c>
      <c r="I442" t="str">
        <f>IF(G442="","",IF(G442="[FÓRMULA MANUAL]","",IFERROR(AVERAGEIFS(nNOTA,nNIA,G442,nCUENTA,1,nASIG,"Orquesta/Banda/Conjunto"),"")))</f>
        <v/>
      </c>
      <c r="J442" t="str">
        <f>IF(G442="","",IF(G442="[FÓRMULA MANUAL]","",IFERROR(AVERAGEIFS(nNOTA,nNIA,G442,nCUENTA,1,nASIG,"Conjunto"),"")))</f>
        <v/>
      </c>
      <c r="K442" t="str">
        <f>IF(G442="","",IF(G442="[FÓRMULA MANUAL]","",IFERROR(SUMPRODUCT((nNIA=G442)*(nCUENTA=1)*(COUNTIF(CONFIG_ASIGNATURAS!$B$7:$B$27,nASIG)&gt;0)*(nNOTA))/SUMPRODUCT((nNIA=G442)*(nCUENTA=1)*(COUNTIF(CONFIG_ASIGNATURAS!$B$7:$B$27,nASIG)&gt;0)*1),"")))</f>
        <v/>
      </c>
      <c r="N442" t="str">
        <f>IF(M442="","",IF(M442="[FÓRMULA MANUAL]","",IFERROR(AVERAGEIFS(nNOTA,nNIA,M442,nCUENTA,1,nASIG,"Armonía"),"")))</f>
        <v/>
      </c>
      <c r="O442" t="str">
        <f>IF(M442="","",IF(M442="[FÓRMULA MANUAL]","",IFERROR(AVERAGEIFS(nNOTA,nNIA,M442,nCUENTA,1,nASIG,"Orquesta/Banda/Conjunto"),"")))</f>
        <v/>
      </c>
      <c r="P442" t="str">
        <f>IF(M442="","",IF(M442="[FÓRMULA MANUAL]","",IFERROR(AVERAGEIFS(nNOTA,nNIA,M442,nCUENTA,1,nASIG,"Música de Cámara"),"")))</f>
        <v/>
      </c>
      <c r="Q442" t="str">
        <f>IF(M442="","",IF(M442="[FÓRMULA MANUAL]","",IFERROR(SUMPRODUCT((nNIA=M442)*(nCUENTA=1)*(COUNTIF(CONFIG_ASIGNATURAS!$B$7:$B$27,nASIG)&gt;0)*(nNOTA))/SUMPRODUCT((nNIA=M442)*(nCUENTA=1)*(COUNTIF(CONFIG_ASIGNATURAS!$B$7:$B$27,nASIG)&gt;0)*1),"")))</f>
        <v/>
      </c>
      <c r="T442" t="str">
        <f>IF(S442="","",IF(S442="[FÓRMULA MANUAL]","",IFERROR(AVERAGEIFS(nNOTA,nNIA,S442,nCUENTA,1,nASIG,"Armonía"),"")))</f>
        <v/>
      </c>
      <c r="U442" t="str">
        <f>IF(S442="","",IF(S442="[FÓRMULA MANUAL]","",IFERROR(AVERAGEIFS(nNOTA,nNIA,S442,nCUENTA,1,nASIG,"Orquesta/Banda/Conjunto"),"")))</f>
        <v/>
      </c>
      <c r="V442" t="str">
        <f>IF(S442="","",IF(S442="[FÓRMULA MANUAL]","",IFERROR(AVERAGEIFS(nNOTA,nNIA,S442,nCUENTA,1,nASIG,"Música de Cámara"),"")))</f>
        <v/>
      </c>
      <c r="W442" t="str">
        <f>IF(S442="","",IF(S442="[FÓRMULA MANUAL]","",IFERROR(SUMPRODUCT((nNIA=S442)*(nCUENTA=1)*(COUNTIF(CONFIG_ASIGNATURAS!$B$7:$B$27,nASIG)&gt;0)*(nNOTA))/SUMPRODUCT((nNIA=S442)*(nCUENTA=1)*(COUNTIF(CONFIG_ASIGNATURAS!$B$7:$B$27,nASIG)&gt;0)*1),"")))</f>
        <v/>
      </c>
      <c r="Z442" t="str">
        <f>IF(Y442="","",IF(Y442="[FÓRMULA MANUAL]","",IFERROR(AVERAGEIFS(nNOTA,nNIA,Y442,nCUENTA,1,nASIG,"Análisis"),"")))</f>
        <v/>
      </c>
      <c r="AA442" t="str">
        <f>IF(Y442="","",IF(Y442="[FÓRMULA MANUAL]","",IFERROR(AVERAGEIFS(nNOTA,nNIA,Y442,nCUENTA,1,nASIG,"Orquesta/Banda/Conjunto"),"")))</f>
        <v/>
      </c>
      <c r="AB442" t="str">
        <f>IF(Y442="","",IF(Y442="[FÓRMULA MANUAL]","",IFERROR(AVERAGEIFS(nNOTA,nNIA,Y442,nCUENTA,1,nASIG,"Música de Cámara"),"")))</f>
        <v/>
      </c>
      <c r="AC442" t="str">
        <f>IF(Y442="","",IF(Y442="[FÓRMULA MANUAL]","",IFERROR(SUMPRODUCT((nNIA=Y442)*(nCUENTA=1)*(COUNTIF(CONFIG_ASIGNATURAS!$B$7:$B$27,nASIG)&gt;0)*(nNOTA))/SUMPRODUCT((nNIA=Y442)*(nCUENTA=1)*(COUNTIF(CONFIG_ASIGNATURAS!$B$7:$B$27,nASIG)&gt;0)*1),"")))</f>
        <v/>
      </c>
      <c r="AF442" t="str">
        <f>IF(AE442="","",IF(AE442="[FÓRMULA MANUAL]","",IFERROR(AVERAGEIFS(nNOTA,nNIA,AE442,nCUENTA,1,nASIG,"Análisis"),"")))</f>
        <v/>
      </c>
      <c r="AG442" t="str">
        <f>IF(AE442="","",IF(AE442="[FÓRMULA MANUAL]","",IFERROR(AVERAGEIFS(nNOTA,nNIA,AE442,nCUENTA,1,nASIG,"Orquesta/Banda/Conjunto"),"")))</f>
        <v/>
      </c>
      <c r="AH442" t="str">
        <f>IF(AE442="","",IF(AE442="[FÓRMULA MANUAL]","",IFERROR(AVERAGEIFS(nNOTA,nNIA,AE442,nCUENTA,1,nASIG,"Música de Cámara"),"")))</f>
        <v/>
      </c>
      <c r="AI442" t="str">
        <f>IF(AE442="","",IF(AE442="[FÓRMULA MANUAL]","",IFERROR(SUMPRODUCT((nNIA=AE442)*(nCUENTA=1)*(COUNTIF(CONFIG_ASIGNATURAS!$B$7:$B$27,nASIG)&gt;0)*(nNOTA))/SUMPRODUCT((nNIA=AE442)*(nCUENTA=1)*(COUNTIF(CONFIG_ASIGNATURAS!$B$7:$B$27,nASIG)&gt;0)*1),"")))</f>
        <v/>
      </c>
    </row>
    <row r="443" spans="2:35" x14ac:dyDescent="0.2">
      <c r="B443" t="str">
        <f>IF(A443="","",IF(A443="[FÓRMULA MANUAL]","",IFERROR(AVERAGEIFS(nNOTA,nNIA,A443,nCUENTA,1,nASIG,"Lenguaje Musical"),"")))</f>
        <v/>
      </c>
      <c r="C443" t="str">
        <f>IF(A443="","",IF(A443="[FÓRMULA MANUAL]","",IFERROR(AVERAGEIFS(nNOTA,nNIA,A443,nCUENTA,1,nASIG,"Orquesta/Banda/Conjunto"),"")))</f>
        <v/>
      </c>
      <c r="D443" t="str">
        <f>IF(A443="","",IF(A443="[FÓRMULA MANUAL]","",IFERROR(AVERAGEIFS(nNOTA,nNIA,A443,nCUENTA,1,nASIG,"Conjunto"),"")))</f>
        <v/>
      </c>
      <c r="E443" t="str">
        <f>IF(A443="","",IF(A443="[FÓRMULA MANUAL]","",IFERROR(SUMPRODUCT((nNIA=A443)*(nCUENTA=1)*(COUNTIF(CONFIG_ASIGNATURAS!$B$7:$B$27,nASIG)&gt;0)*(nNOTA))/SUMPRODUCT((nNIA=A443)*(nCUENTA=1)*(COUNTIF(CONFIG_ASIGNATURAS!$B$7:$B$27,nASIG)&gt;0)*1),"")))</f>
        <v/>
      </c>
      <c r="H443" t="str">
        <f>IF(G443="","",IF(G443="[FÓRMULA MANUAL]","",IFERROR(AVERAGEIFS(nNOTA,nNIA,G443,nCUENTA,1,nASIG,"Lenguaje Musical"),"")))</f>
        <v/>
      </c>
      <c r="I443" t="str">
        <f>IF(G443="","",IF(G443="[FÓRMULA MANUAL]","",IFERROR(AVERAGEIFS(nNOTA,nNIA,G443,nCUENTA,1,nASIG,"Orquesta/Banda/Conjunto"),"")))</f>
        <v/>
      </c>
      <c r="J443" t="str">
        <f>IF(G443="","",IF(G443="[FÓRMULA MANUAL]","",IFERROR(AVERAGEIFS(nNOTA,nNIA,G443,nCUENTA,1,nASIG,"Conjunto"),"")))</f>
        <v/>
      </c>
      <c r="K443" t="str">
        <f>IF(G443="","",IF(G443="[FÓRMULA MANUAL]","",IFERROR(SUMPRODUCT((nNIA=G443)*(nCUENTA=1)*(COUNTIF(CONFIG_ASIGNATURAS!$B$7:$B$27,nASIG)&gt;0)*(nNOTA))/SUMPRODUCT((nNIA=G443)*(nCUENTA=1)*(COUNTIF(CONFIG_ASIGNATURAS!$B$7:$B$27,nASIG)&gt;0)*1),"")))</f>
        <v/>
      </c>
      <c r="N443" t="str">
        <f>IF(M443="","",IF(M443="[FÓRMULA MANUAL]","",IFERROR(AVERAGEIFS(nNOTA,nNIA,M443,nCUENTA,1,nASIG,"Armonía"),"")))</f>
        <v/>
      </c>
      <c r="O443" t="str">
        <f>IF(M443="","",IF(M443="[FÓRMULA MANUAL]","",IFERROR(AVERAGEIFS(nNOTA,nNIA,M443,nCUENTA,1,nASIG,"Orquesta/Banda/Conjunto"),"")))</f>
        <v/>
      </c>
      <c r="P443" t="str">
        <f>IF(M443="","",IF(M443="[FÓRMULA MANUAL]","",IFERROR(AVERAGEIFS(nNOTA,nNIA,M443,nCUENTA,1,nASIG,"Música de Cámara"),"")))</f>
        <v/>
      </c>
      <c r="Q443" t="str">
        <f>IF(M443="","",IF(M443="[FÓRMULA MANUAL]","",IFERROR(SUMPRODUCT((nNIA=M443)*(nCUENTA=1)*(COUNTIF(CONFIG_ASIGNATURAS!$B$7:$B$27,nASIG)&gt;0)*(nNOTA))/SUMPRODUCT((nNIA=M443)*(nCUENTA=1)*(COUNTIF(CONFIG_ASIGNATURAS!$B$7:$B$27,nASIG)&gt;0)*1),"")))</f>
        <v/>
      </c>
      <c r="T443" t="str">
        <f>IF(S443="","",IF(S443="[FÓRMULA MANUAL]","",IFERROR(AVERAGEIFS(nNOTA,nNIA,S443,nCUENTA,1,nASIG,"Armonía"),"")))</f>
        <v/>
      </c>
      <c r="U443" t="str">
        <f>IF(S443="","",IF(S443="[FÓRMULA MANUAL]","",IFERROR(AVERAGEIFS(nNOTA,nNIA,S443,nCUENTA,1,nASIG,"Orquesta/Banda/Conjunto"),"")))</f>
        <v/>
      </c>
      <c r="V443" t="str">
        <f>IF(S443="","",IF(S443="[FÓRMULA MANUAL]","",IFERROR(AVERAGEIFS(nNOTA,nNIA,S443,nCUENTA,1,nASIG,"Música de Cámara"),"")))</f>
        <v/>
      </c>
      <c r="W443" t="str">
        <f>IF(S443="","",IF(S443="[FÓRMULA MANUAL]","",IFERROR(SUMPRODUCT((nNIA=S443)*(nCUENTA=1)*(COUNTIF(CONFIG_ASIGNATURAS!$B$7:$B$27,nASIG)&gt;0)*(nNOTA))/SUMPRODUCT((nNIA=S443)*(nCUENTA=1)*(COUNTIF(CONFIG_ASIGNATURAS!$B$7:$B$27,nASIG)&gt;0)*1),"")))</f>
        <v/>
      </c>
      <c r="Z443" t="str">
        <f>IF(Y443="","",IF(Y443="[FÓRMULA MANUAL]","",IFERROR(AVERAGEIFS(nNOTA,nNIA,Y443,nCUENTA,1,nASIG,"Análisis"),"")))</f>
        <v/>
      </c>
      <c r="AA443" t="str">
        <f>IF(Y443="","",IF(Y443="[FÓRMULA MANUAL]","",IFERROR(AVERAGEIFS(nNOTA,nNIA,Y443,nCUENTA,1,nASIG,"Orquesta/Banda/Conjunto"),"")))</f>
        <v/>
      </c>
      <c r="AB443" t="str">
        <f>IF(Y443="","",IF(Y443="[FÓRMULA MANUAL]","",IFERROR(AVERAGEIFS(nNOTA,nNIA,Y443,nCUENTA,1,nASIG,"Música de Cámara"),"")))</f>
        <v/>
      </c>
      <c r="AC443" t="str">
        <f>IF(Y443="","",IF(Y443="[FÓRMULA MANUAL]","",IFERROR(SUMPRODUCT((nNIA=Y443)*(nCUENTA=1)*(COUNTIF(CONFIG_ASIGNATURAS!$B$7:$B$27,nASIG)&gt;0)*(nNOTA))/SUMPRODUCT((nNIA=Y443)*(nCUENTA=1)*(COUNTIF(CONFIG_ASIGNATURAS!$B$7:$B$27,nASIG)&gt;0)*1),"")))</f>
        <v/>
      </c>
      <c r="AF443" t="str">
        <f>IF(AE443="","",IF(AE443="[FÓRMULA MANUAL]","",IFERROR(AVERAGEIFS(nNOTA,nNIA,AE443,nCUENTA,1,nASIG,"Análisis"),"")))</f>
        <v/>
      </c>
      <c r="AG443" t="str">
        <f>IF(AE443="","",IF(AE443="[FÓRMULA MANUAL]","",IFERROR(AVERAGEIFS(nNOTA,nNIA,AE443,nCUENTA,1,nASIG,"Orquesta/Banda/Conjunto"),"")))</f>
        <v/>
      </c>
      <c r="AH443" t="str">
        <f>IF(AE443="","",IF(AE443="[FÓRMULA MANUAL]","",IFERROR(AVERAGEIFS(nNOTA,nNIA,AE443,nCUENTA,1,nASIG,"Música de Cámara"),"")))</f>
        <v/>
      </c>
      <c r="AI443" t="str">
        <f>IF(AE443="","",IF(AE443="[FÓRMULA MANUAL]","",IFERROR(SUMPRODUCT((nNIA=AE443)*(nCUENTA=1)*(COUNTIF(CONFIG_ASIGNATURAS!$B$7:$B$27,nASIG)&gt;0)*(nNOTA))/SUMPRODUCT((nNIA=AE443)*(nCUENTA=1)*(COUNTIF(CONFIG_ASIGNATURAS!$B$7:$B$27,nASIG)&gt;0)*1),"")))</f>
        <v/>
      </c>
    </row>
    <row r="444" spans="2:35" x14ac:dyDescent="0.2">
      <c r="B444" t="str">
        <f>IF(A444="","",IF(A444="[FÓRMULA MANUAL]","",IFERROR(AVERAGEIFS(nNOTA,nNIA,A444,nCUENTA,1,nASIG,"Lenguaje Musical"),"")))</f>
        <v/>
      </c>
      <c r="C444" t="str">
        <f>IF(A444="","",IF(A444="[FÓRMULA MANUAL]","",IFERROR(AVERAGEIFS(nNOTA,nNIA,A444,nCUENTA,1,nASIG,"Orquesta/Banda/Conjunto"),"")))</f>
        <v/>
      </c>
      <c r="D444" t="str">
        <f>IF(A444="","",IF(A444="[FÓRMULA MANUAL]","",IFERROR(AVERAGEIFS(nNOTA,nNIA,A444,nCUENTA,1,nASIG,"Conjunto"),"")))</f>
        <v/>
      </c>
      <c r="E444" t="str">
        <f>IF(A444="","",IF(A444="[FÓRMULA MANUAL]","",IFERROR(SUMPRODUCT((nNIA=A444)*(nCUENTA=1)*(COUNTIF(CONFIG_ASIGNATURAS!$B$7:$B$27,nASIG)&gt;0)*(nNOTA))/SUMPRODUCT((nNIA=A444)*(nCUENTA=1)*(COUNTIF(CONFIG_ASIGNATURAS!$B$7:$B$27,nASIG)&gt;0)*1),"")))</f>
        <v/>
      </c>
      <c r="H444" t="str">
        <f>IF(G444="","",IF(G444="[FÓRMULA MANUAL]","",IFERROR(AVERAGEIFS(nNOTA,nNIA,G444,nCUENTA,1,nASIG,"Lenguaje Musical"),"")))</f>
        <v/>
      </c>
      <c r="I444" t="str">
        <f>IF(G444="","",IF(G444="[FÓRMULA MANUAL]","",IFERROR(AVERAGEIFS(nNOTA,nNIA,G444,nCUENTA,1,nASIG,"Orquesta/Banda/Conjunto"),"")))</f>
        <v/>
      </c>
      <c r="J444" t="str">
        <f>IF(G444="","",IF(G444="[FÓRMULA MANUAL]","",IFERROR(AVERAGEIFS(nNOTA,nNIA,G444,nCUENTA,1,nASIG,"Conjunto"),"")))</f>
        <v/>
      </c>
      <c r="K444" t="str">
        <f>IF(G444="","",IF(G444="[FÓRMULA MANUAL]","",IFERROR(SUMPRODUCT((nNIA=G444)*(nCUENTA=1)*(COUNTIF(CONFIG_ASIGNATURAS!$B$7:$B$27,nASIG)&gt;0)*(nNOTA))/SUMPRODUCT((nNIA=G444)*(nCUENTA=1)*(COUNTIF(CONFIG_ASIGNATURAS!$B$7:$B$27,nASIG)&gt;0)*1),"")))</f>
        <v/>
      </c>
      <c r="N444" t="str">
        <f>IF(M444="","",IF(M444="[FÓRMULA MANUAL]","",IFERROR(AVERAGEIFS(nNOTA,nNIA,M444,nCUENTA,1,nASIG,"Armonía"),"")))</f>
        <v/>
      </c>
      <c r="O444" t="str">
        <f>IF(M444="","",IF(M444="[FÓRMULA MANUAL]","",IFERROR(AVERAGEIFS(nNOTA,nNIA,M444,nCUENTA,1,nASIG,"Orquesta/Banda/Conjunto"),"")))</f>
        <v/>
      </c>
      <c r="P444" t="str">
        <f>IF(M444="","",IF(M444="[FÓRMULA MANUAL]","",IFERROR(AVERAGEIFS(nNOTA,nNIA,M444,nCUENTA,1,nASIG,"Música de Cámara"),"")))</f>
        <v/>
      </c>
      <c r="Q444" t="str">
        <f>IF(M444="","",IF(M444="[FÓRMULA MANUAL]","",IFERROR(SUMPRODUCT((nNIA=M444)*(nCUENTA=1)*(COUNTIF(CONFIG_ASIGNATURAS!$B$7:$B$27,nASIG)&gt;0)*(nNOTA))/SUMPRODUCT((nNIA=M444)*(nCUENTA=1)*(COUNTIF(CONFIG_ASIGNATURAS!$B$7:$B$27,nASIG)&gt;0)*1),"")))</f>
        <v/>
      </c>
      <c r="T444" t="str">
        <f>IF(S444="","",IF(S444="[FÓRMULA MANUAL]","",IFERROR(AVERAGEIFS(nNOTA,nNIA,S444,nCUENTA,1,nASIG,"Armonía"),"")))</f>
        <v/>
      </c>
      <c r="U444" t="str">
        <f>IF(S444="","",IF(S444="[FÓRMULA MANUAL]","",IFERROR(AVERAGEIFS(nNOTA,nNIA,S444,nCUENTA,1,nASIG,"Orquesta/Banda/Conjunto"),"")))</f>
        <v/>
      </c>
      <c r="V444" t="str">
        <f>IF(S444="","",IF(S444="[FÓRMULA MANUAL]","",IFERROR(AVERAGEIFS(nNOTA,nNIA,S444,nCUENTA,1,nASIG,"Música de Cámara"),"")))</f>
        <v/>
      </c>
      <c r="W444" t="str">
        <f>IF(S444="","",IF(S444="[FÓRMULA MANUAL]","",IFERROR(SUMPRODUCT((nNIA=S444)*(nCUENTA=1)*(COUNTIF(CONFIG_ASIGNATURAS!$B$7:$B$27,nASIG)&gt;0)*(nNOTA))/SUMPRODUCT((nNIA=S444)*(nCUENTA=1)*(COUNTIF(CONFIG_ASIGNATURAS!$B$7:$B$27,nASIG)&gt;0)*1),"")))</f>
        <v/>
      </c>
      <c r="Z444" t="str">
        <f>IF(Y444="","",IF(Y444="[FÓRMULA MANUAL]","",IFERROR(AVERAGEIFS(nNOTA,nNIA,Y444,nCUENTA,1,nASIG,"Análisis"),"")))</f>
        <v/>
      </c>
      <c r="AA444" t="str">
        <f>IF(Y444="","",IF(Y444="[FÓRMULA MANUAL]","",IFERROR(AVERAGEIFS(nNOTA,nNIA,Y444,nCUENTA,1,nASIG,"Orquesta/Banda/Conjunto"),"")))</f>
        <v/>
      </c>
      <c r="AB444" t="str">
        <f>IF(Y444="","",IF(Y444="[FÓRMULA MANUAL]","",IFERROR(AVERAGEIFS(nNOTA,nNIA,Y444,nCUENTA,1,nASIG,"Música de Cámara"),"")))</f>
        <v/>
      </c>
      <c r="AC444" t="str">
        <f>IF(Y444="","",IF(Y444="[FÓRMULA MANUAL]","",IFERROR(SUMPRODUCT((nNIA=Y444)*(nCUENTA=1)*(COUNTIF(CONFIG_ASIGNATURAS!$B$7:$B$27,nASIG)&gt;0)*(nNOTA))/SUMPRODUCT((nNIA=Y444)*(nCUENTA=1)*(COUNTIF(CONFIG_ASIGNATURAS!$B$7:$B$27,nASIG)&gt;0)*1),"")))</f>
        <v/>
      </c>
      <c r="AF444" t="str">
        <f>IF(AE444="","",IF(AE444="[FÓRMULA MANUAL]","",IFERROR(AVERAGEIFS(nNOTA,nNIA,AE444,nCUENTA,1,nASIG,"Análisis"),"")))</f>
        <v/>
      </c>
      <c r="AG444" t="str">
        <f>IF(AE444="","",IF(AE444="[FÓRMULA MANUAL]","",IFERROR(AVERAGEIFS(nNOTA,nNIA,AE444,nCUENTA,1,nASIG,"Orquesta/Banda/Conjunto"),"")))</f>
        <v/>
      </c>
      <c r="AH444" t="str">
        <f>IF(AE444="","",IF(AE444="[FÓRMULA MANUAL]","",IFERROR(AVERAGEIFS(nNOTA,nNIA,AE444,nCUENTA,1,nASIG,"Música de Cámara"),"")))</f>
        <v/>
      </c>
      <c r="AI444" t="str">
        <f>IF(AE444="","",IF(AE444="[FÓRMULA MANUAL]","",IFERROR(SUMPRODUCT((nNIA=AE444)*(nCUENTA=1)*(COUNTIF(CONFIG_ASIGNATURAS!$B$7:$B$27,nASIG)&gt;0)*(nNOTA))/SUMPRODUCT((nNIA=AE444)*(nCUENTA=1)*(COUNTIF(CONFIG_ASIGNATURAS!$B$7:$B$27,nASIG)&gt;0)*1),"")))</f>
        <v/>
      </c>
    </row>
    <row r="445" spans="2:35" x14ac:dyDescent="0.2">
      <c r="B445" t="str">
        <f>IF(A445="","",IF(A445="[FÓRMULA MANUAL]","",IFERROR(AVERAGEIFS(nNOTA,nNIA,A445,nCUENTA,1,nASIG,"Lenguaje Musical"),"")))</f>
        <v/>
      </c>
      <c r="C445" t="str">
        <f>IF(A445="","",IF(A445="[FÓRMULA MANUAL]","",IFERROR(AVERAGEIFS(nNOTA,nNIA,A445,nCUENTA,1,nASIG,"Orquesta/Banda/Conjunto"),"")))</f>
        <v/>
      </c>
      <c r="D445" t="str">
        <f>IF(A445="","",IF(A445="[FÓRMULA MANUAL]","",IFERROR(AVERAGEIFS(nNOTA,nNIA,A445,nCUENTA,1,nASIG,"Conjunto"),"")))</f>
        <v/>
      </c>
      <c r="E445" t="str">
        <f>IF(A445="","",IF(A445="[FÓRMULA MANUAL]","",IFERROR(SUMPRODUCT((nNIA=A445)*(nCUENTA=1)*(COUNTIF(CONFIG_ASIGNATURAS!$B$7:$B$27,nASIG)&gt;0)*(nNOTA))/SUMPRODUCT((nNIA=A445)*(nCUENTA=1)*(COUNTIF(CONFIG_ASIGNATURAS!$B$7:$B$27,nASIG)&gt;0)*1),"")))</f>
        <v/>
      </c>
      <c r="H445" t="str">
        <f>IF(G445="","",IF(G445="[FÓRMULA MANUAL]","",IFERROR(AVERAGEIFS(nNOTA,nNIA,G445,nCUENTA,1,nASIG,"Lenguaje Musical"),"")))</f>
        <v/>
      </c>
      <c r="I445" t="str">
        <f>IF(G445="","",IF(G445="[FÓRMULA MANUAL]","",IFERROR(AVERAGEIFS(nNOTA,nNIA,G445,nCUENTA,1,nASIG,"Orquesta/Banda/Conjunto"),"")))</f>
        <v/>
      </c>
      <c r="J445" t="str">
        <f>IF(G445="","",IF(G445="[FÓRMULA MANUAL]","",IFERROR(AVERAGEIFS(nNOTA,nNIA,G445,nCUENTA,1,nASIG,"Conjunto"),"")))</f>
        <v/>
      </c>
      <c r="K445" t="str">
        <f>IF(G445="","",IF(G445="[FÓRMULA MANUAL]","",IFERROR(SUMPRODUCT((nNIA=G445)*(nCUENTA=1)*(COUNTIF(CONFIG_ASIGNATURAS!$B$7:$B$27,nASIG)&gt;0)*(nNOTA))/SUMPRODUCT((nNIA=G445)*(nCUENTA=1)*(COUNTIF(CONFIG_ASIGNATURAS!$B$7:$B$27,nASIG)&gt;0)*1),"")))</f>
        <v/>
      </c>
      <c r="N445" t="str">
        <f>IF(M445="","",IF(M445="[FÓRMULA MANUAL]","",IFERROR(AVERAGEIFS(nNOTA,nNIA,M445,nCUENTA,1,nASIG,"Armonía"),"")))</f>
        <v/>
      </c>
      <c r="O445" t="str">
        <f>IF(M445="","",IF(M445="[FÓRMULA MANUAL]","",IFERROR(AVERAGEIFS(nNOTA,nNIA,M445,nCUENTA,1,nASIG,"Orquesta/Banda/Conjunto"),"")))</f>
        <v/>
      </c>
      <c r="P445" t="str">
        <f>IF(M445="","",IF(M445="[FÓRMULA MANUAL]","",IFERROR(AVERAGEIFS(nNOTA,nNIA,M445,nCUENTA,1,nASIG,"Música de Cámara"),"")))</f>
        <v/>
      </c>
      <c r="Q445" t="str">
        <f>IF(M445="","",IF(M445="[FÓRMULA MANUAL]","",IFERROR(SUMPRODUCT((nNIA=M445)*(nCUENTA=1)*(COUNTIF(CONFIG_ASIGNATURAS!$B$7:$B$27,nASIG)&gt;0)*(nNOTA))/SUMPRODUCT((nNIA=M445)*(nCUENTA=1)*(COUNTIF(CONFIG_ASIGNATURAS!$B$7:$B$27,nASIG)&gt;0)*1),"")))</f>
        <v/>
      </c>
      <c r="T445" t="str">
        <f>IF(S445="","",IF(S445="[FÓRMULA MANUAL]","",IFERROR(AVERAGEIFS(nNOTA,nNIA,S445,nCUENTA,1,nASIG,"Armonía"),"")))</f>
        <v/>
      </c>
      <c r="U445" t="str">
        <f>IF(S445="","",IF(S445="[FÓRMULA MANUAL]","",IFERROR(AVERAGEIFS(nNOTA,nNIA,S445,nCUENTA,1,nASIG,"Orquesta/Banda/Conjunto"),"")))</f>
        <v/>
      </c>
      <c r="V445" t="str">
        <f>IF(S445="","",IF(S445="[FÓRMULA MANUAL]","",IFERROR(AVERAGEIFS(nNOTA,nNIA,S445,nCUENTA,1,nASIG,"Música de Cámara"),"")))</f>
        <v/>
      </c>
      <c r="W445" t="str">
        <f>IF(S445="","",IF(S445="[FÓRMULA MANUAL]","",IFERROR(SUMPRODUCT((nNIA=S445)*(nCUENTA=1)*(COUNTIF(CONFIG_ASIGNATURAS!$B$7:$B$27,nASIG)&gt;0)*(nNOTA))/SUMPRODUCT((nNIA=S445)*(nCUENTA=1)*(COUNTIF(CONFIG_ASIGNATURAS!$B$7:$B$27,nASIG)&gt;0)*1),"")))</f>
        <v/>
      </c>
      <c r="Z445" t="str">
        <f>IF(Y445="","",IF(Y445="[FÓRMULA MANUAL]","",IFERROR(AVERAGEIFS(nNOTA,nNIA,Y445,nCUENTA,1,nASIG,"Análisis"),"")))</f>
        <v/>
      </c>
      <c r="AA445" t="str">
        <f>IF(Y445="","",IF(Y445="[FÓRMULA MANUAL]","",IFERROR(AVERAGEIFS(nNOTA,nNIA,Y445,nCUENTA,1,nASIG,"Orquesta/Banda/Conjunto"),"")))</f>
        <v/>
      </c>
      <c r="AB445" t="str">
        <f>IF(Y445="","",IF(Y445="[FÓRMULA MANUAL]","",IFERROR(AVERAGEIFS(nNOTA,nNIA,Y445,nCUENTA,1,nASIG,"Música de Cámara"),"")))</f>
        <v/>
      </c>
      <c r="AC445" t="str">
        <f>IF(Y445="","",IF(Y445="[FÓRMULA MANUAL]","",IFERROR(SUMPRODUCT((nNIA=Y445)*(nCUENTA=1)*(COUNTIF(CONFIG_ASIGNATURAS!$B$7:$B$27,nASIG)&gt;0)*(nNOTA))/SUMPRODUCT((nNIA=Y445)*(nCUENTA=1)*(COUNTIF(CONFIG_ASIGNATURAS!$B$7:$B$27,nASIG)&gt;0)*1),"")))</f>
        <v/>
      </c>
      <c r="AF445" t="str">
        <f>IF(AE445="","",IF(AE445="[FÓRMULA MANUAL]","",IFERROR(AVERAGEIFS(nNOTA,nNIA,AE445,nCUENTA,1,nASIG,"Análisis"),"")))</f>
        <v/>
      </c>
      <c r="AG445" t="str">
        <f>IF(AE445="","",IF(AE445="[FÓRMULA MANUAL]","",IFERROR(AVERAGEIFS(nNOTA,nNIA,AE445,nCUENTA,1,nASIG,"Orquesta/Banda/Conjunto"),"")))</f>
        <v/>
      </c>
      <c r="AH445" t="str">
        <f>IF(AE445="","",IF(AE445="[FÓRMULA MANUAL]","",IFERROR(AVERAGEIFS(nNOTA,nNIA,AE445,nCUENTA,1,nASIG,"Música de Cámara"),"")))</f>
        <v/>
      </c>
      <c r="AI445" t="str">
        <f>IF(AE445="","",IF(AE445="[FÓRMULA MANUAL]","",IFERROR(SUMPRODUCT((nNIA=AE445)*(nCUENTA=1)*(COUNTIF(CONFIG_ASIGNATURAS!$B$7:$B$27,nASIG)&gt;0)*(nNOTA))/SUMPRODUCT((nNIA=AE445)*(nCUENTA=1)*(COUNTIF(CONFIG_ASIGNATURAS!$B$7:$B$27,nASIG)&gt;0)*1),"")))</f>
        <v/>
      </c>
    </row>
    <row r="446" spans="2:35" x14ac:dyDescent="0.2">
      <c r="B446" t="str">
        <f>IF(A446="","",IF(A446="[FÓRMULA MANUAL]","",IFERROR(AVERAGEIFS(nNOTA,nNIA,A446,nCUENTA,1,nASIG,"Lenguaje Musical"),"")))</f>
        <v/>
      </c>
      <c r="C446" t="str">
        <f>IF(A446="","",IF(A446="[FÓRMULA MANUAL]","",IFERROR(AVERAGEIFS(nNOTA,nNIA,A446,nCUENTA,1,nASIG,"Orquesta/Banda/Conjunto"),"")))</f>
        <v/>
      </c>
      <c r="D446" t="str">
        <f>IF(A446="","",IF(A446="[FÓRMULA MANUAL]","",IFERROR(AVERAGEIFS(nNOTA,nNIA,A446,nCUENTA,1,nASIG,"Conjunto"),"")))</f>
        <v/>
      </c>
      <c r="E446" t="str">
        <f>IF(A446="","",IF(A446="[FÓRMULA MANUAL]","",IFERROR(SUMPRODUCT((nNIA=A446)*(nCUENTA=1)*(COUNTIF(CONFIG_ASIGNATURAS!$B$7:$B$27,nASIG)&gt;0)*(nNOTA))/SUMPRODUCT((nNIA=A446)*(nCUENTA=1)*(COUNTIF(CONFIG_ASIGNATURAS!$B$7:$B$27,nASIG)&gt;0)*1),"")))</f>
        <v/>
      </c>
      <c r="H446" t="str">
        <f>IF(G446="","",IF(G446="[FÓRMULA MANUAL]","",IFERROR(AVERAGEIFS(nNOTA,nNIA,G446,nCUENTA,1,nASIG,"Lenguaje Musical"),"")))</f>
        <v/>
      </c>
      <c r="I446" t="str">
        <f>IF(G446="","",IF(G446="[FÓRMULA MANUAL]","",IFERROR(AVERAGEIFS(nNOTA,nNIA,G446,nCUENTA,1,nASIG,"Orquesta/Banda/Conjunto"),"")))</f>
        <v/>
      </c>
      <c r="J446" t="str">
        <f>IF(G446="","",IF(G446="[FÓRMULA MANUAL]","",IFERROR(AVERAGEIFS(nNOTA,nNIA,G446,nCUENTA,1,nASIG,"Conjunto"),"")))</f>
        <v/>
      </c>
      <c r="K446" t="str">
        <f>IF(G446="","",IF(G446="[FÓRMULA MANUAL]","",IFERROR(SUMPRODUCT((nNIA=G446)*(nCUENTA=1)*(COUNTIF(CONFIG_ASIGNATURAS!$B$7:$B$27,nASIG)&gt;0)*(nNOTA))/SUMPRODUCT((nNIA=G446)*(nCUENTA=1)*(COUNTIF(CONFIG_ASIGNATURAS!$B$7:$B$27,nASIG)&gt;0)*1),"")))</f>
        <v/>
      </c>
      <c r="N446" t="str">
        <f>IF(M446="","",IF(M446="[FÓRMULA MANUAL]","",IFERROR(AVERAGEIFS(nNOTA,nNIA,M446,nCUENTA,1,nASIG,"Armonía"),"")))</f>
        <v/>
      </c>
      <c r="O446" t="str">
        <f>IF(M446="","",IF(M446="[FÓRMULA MANUAL]","",IFERROR(AVERAGEIFS(nNOTA,nNIA,M446,nCUENTA,1,nASIG,"Orquesta/Banda/Conjunto"),"")))</f>
        <v/>
      </c>
      <c r="P446" t="str">
        <f>IF(M446="","",IF(M446="[FÓRMULA MANUAL]","",IFERROR(AVERAGEIFS(nNOTA,nNIA,M446,nCUENTA,1,nASIG,"Música de Cámara"),"")))</f>
        <v/>
      </c>
      <c r="Q446" t="str">
        <f>IF(M446="","",IF(M446="[FÓRMULA MANUAL]","",IFERROR(SUMPRODUCT((nNIA=M446)*(nCUENTA=1)*(COUNTIF(CONFIG_ASIGNATURAS!$B$7:$B$27,nASIG)&gt;0)*(nNOTA))/SUMPRODUCT((nNIA=M446)*(nCUENTA=1)*(COUNTIF(CONFIG_ASIGNATURAS!$B$7:$B$27,nASIG)&gt;0)*1),"")))</f>
        <v/>
      </c>
      <c r="T446" t="str">
        <f>IF(S446="","",IF(S446="[FÓRMULA MANUAL]","",IFERROR(AVERAGEIFS(nNOTA,nNIA,S446,nCUENTA,1,nASIG,"Armonía"),"")))</f>
        <v/>
      </c>
      <c r="U446" t="str">
        <f>IF(S446="","",IF(S446="[FÓRMULA MANUAL]","",IFERROR(AVERAGEIFS(nNOTA,nNIA,S446,nCUENTA,1,nASIG,"Orquesta/Banda/Conjunto"),"")))</f>
        <v/>
      </c>
      <c r="V446" t="str">
        <f>IF(S446="","",IF(S446="[FÓRMULA MANUAL]","",IFERROR(AVERAGEIFS(nNOTA,nNIA,S446,nCUENTA,1,nASIG,"Música de Cámara"),"")))</f>
        <v/>
      </c>
      <c r="W446" t="str">
        <f>IF(S446="","",IF(S446="[FÓRMULA MANUAL]","",IFERROR(SUMPRODUCT((nNIA=S446)*(nCUENTA=1)*(COUNTIF(CONFIG_ASIGNATURAS!$B$7:$B$27,nASIG)&gt;0)*(nNOTA))/SUMPRODUCT((nNIA=S446)*(nCUENTA=1)*(COUNTIF(CONFIG_ASIGNATURAS!$B$7:$B$27,nASIG)&gt;0)*1),"")))</f>
        <v/>
      </c>
      <c r="Z446" t="str">
        <f>IF(Y446="","",IF(Y446="[FÓRMULA MANUAL]","",IFERROR(AVERAGEIFS(nNOTA,nNIA,Y446,nCUENTA,1,nASIG,"Análisis"),"")))</f>
        <v/>
      </c>
      <c r="AA446" t="str">
        <f>IF(Y446="","",IF(Y446="[FÓRMULA MANUAL]","",IFERROR(AVERAGEIFS(nNOTA,nNIA,Y446,nCUENTA,1,nASIG,"Orquesta/Banda/Conjunto"),"")))</f>
        <v/>
      </c>
      <c r="AB446" t="str">
        <f>IF(Y446="","",IF(Y446="[FÓRMULA MANUAL]","",IFERROR(AVERAGEIFS(nNOTA,nNIA,Y446,nCUENTA,1,nASIG,"Música de Cámara"),"")))</f>
        <v/>
      </c>
      <c r="AC446" t="str">
        <f>IF(Y446="","",IF(Y446="[FÓRMULA MANUAL]","",IFERROR(SUMPRODUCT((nNIA=Y446)*(nCUENTA=1)*(COUNTIF(CONFIG_ASIGNATURAS!$B$7:$B$27,nASIG)&gt;0)*(nNOTA))/SUMPRODUCT((nNIA=Y446)*(nCUENTA=1)*(COUNTIF(CONFIG_ASIGNATURAS!$B$7:$B$27,nASIG)&gt;0)*1),"")))</f>
        <v/>
      </c>
      <c r="AF446" t="str">
        <f>IF(AE446="","",IF(AE446="[FÓRMULA MANUAL]","",IFERROR(AVERAGEIFS(nNOTA,nNIA,AE446,nCUENTA,1,nASIG,"Análisis"),"")))</f>
        <v/>
      </c>
      <c r="AG446" t="str">
        <f>IF(AE446="","",IF(AE446="[FÓRMULA MANUAL]","",IFERROR(AVERAGEIFS(nNOTA,nNIA,AE446,nCUENTA,1,nASIG,"Orquesta/Banda/Conjunto"),"")))</f>
        <v/>
      </c>
      <c r="AH446" t="str">
        <f>IF(AE446="","",IF(AE446="[FÓRMULA MANUAL]","",IFERROR(AVERAGEIFS(nNOTA,nNIA,AE446,nCUENTA,1,nASIG,"Música de Cámara"),"")))</f>
        <v/>
      </c>
      <c r="AI446" t="str">
        <f>IF(AE446="","",IF(AE446="[FÓRMULA MANUAL]","",IFERROR(SUMPRODUCT((nNIA=AE446)*(nCUENTA=1)*(COUNTIF(CONFIG_ASIGNATURAS!$B$7:$B$27,nASIG)&gt;0)*(nNOTA))/SUMPRODUCT((nNIA=AE446)*(nCUENTA=1)*(COUNTIF(CONFIG_ASIGNATURAS!$B$7:$B$27,nASIG)&gt;0)*1),"")))</f>
        <v/>
      </c>
    </row>
    <row r="447" spans="2:35" x14ac:dyDescent="0.2">
      <c r="B447" t="str">
        <f>IF(A447="","",IF(A447="[FÓRMULA MANUAL]","",IFERROR(AVERAGEIFS(nNOTA,nNIA,A447,nCUENTA,1,nASIG,"Lenguaje Musical"),"")))</f>
        <v/>
      </c>
      <c r="C447" t="str">
        <f>IF(A447="","",IF(A447="[FÓRMULA MANUAL]","",IFERROR(AVERAGEIFS(nNOTA,nNIA,A447,nCUENTA,1,nASIG,"Orquesta/Banda/Conjunto"),"")))</f>
        <v/>
      </c>
      <c r="D447" t="str">
        <f>IF(A447="","",IF(A447="[FÓRMULA MANUAL]","",IFERROR(AVERAGEIFS(nNOTA,nNIA,A447,nCUENTA,1,nASIG,"Conjunto"),"")))</f>
        <v/>
      </c>
      <c r="E447" t="str">
        <f>IF(A447="","",IF(A447="[FÓRMULA MANUAL]","",IFERROR(SUMPRODUCT((nNIA=A447)*(nCUENTA=1)*(COUNTIF(CONFIG_ASIGNATURAS!$B$7:$B$27,nASIG)&gt;0)*(nNOTA))/SUMPRODUCT((nNIA=A447)*(nCUENTA=1)*(COUNTIF(CONFIG_ASIGNATURAS!$B$7:$B$27,nASIG)&gt;0)*1),"")))</f>
        <v/>
      </c>
      <c r="H447" t="str">
        <f>IF(G447="","",IF(G447="[FÓRMULA MANUAL]","",IFERROR(AVERAGEIFS(nNOTA,nNIA,G447,nCUENTA,1,nASIG,"Lenguaje Musical"),"")))</f>
        <v/>
      </c>
      <c r="I447" t="str">
        <f>IF(G447="","",IF(G447="[FÓRMULA MANUAL]","",IFERROR(AVERAGEIFS(nNOTA,nNIA,G447,nCUENTA,1,nASIG,"Orquesta/Banda/Conjunto"),"")))</f>
        <v/>
      </c>
      <c r="J447" t="str">
        <f>IF(G447="","",IF(G447="[FÓRMULA MANUAL]","",IFERROR(AVERAGEIFS(nNOTA,nNIA,G447,nCUENTA,1,nASIG,"Conjunto"),"")))</f>
        <v/>
      </c>
      <c r="K447" t="str">
        <f>IF(G447="","",IF(G447="[FÓRMULA MANUAL]","",IFERROR(SUMPRODUCT((nNIA=G447)*(nCUENTA=1)*(COUNTIF(CONFIG_ASIGNATURAS!$B$7:$B$27,nASIG)&gt;0)*(nNOTA))/SUMPRODUCT((nNIA=G447)*(nCUENTA=1)*(COUNTIF(CONFIG_ASIGNATURAS!$B$7:$B$27,nASIG)&gt;0)*1),"")))</f>
        <v/>
      </c>
      <c r="N447" t="str">
        <f>IF(M447="","",IF(M447="[FÓRMULA MANUAL]","",IFERROR(AVERAGEIFS(nNOTA,nNIA,M447,nCUENTA,1,nASIG,"Armonía"),"")))</f>
        <v/>
      </c>
      <c r="O447" t="str">
        <f>IF(M447="","",IF(M447="[FÓRMULA MANUAL]","",IFERROR(AVERAGEIFS(nNOTA,nNIA,M447,nCUENTA,1,nASIG,"Orquesta/Banda/Conjunto"),"")))</f>
        <v/>
      </c>
      <c r="P447" t="str">
        <f>IF(M447="","",IF(M447="[FÓRMULA MANUAL]","",IFERROR(AVERAGEIFS(nNOTA,nNIA,M447,nCUENTA,1,nASIG,"Música de Cámara"),"")))</f>
        <v/>
      </c>
      <c r="Q447" t="str">
        <f>IF(M447="","",IF(M447="[FÓRMULA MANUAL]","",IFERROR(SUMPRODUCT((nNIA=M447)*(nCUENTA=1)*(COUNTIF(CONFIG_ASIGNATURAS!$B$7:$B$27,nASIG)&gt;0)*(nNOTA))/SUMPRODUCT((nNIA=M447)*(nCUENTA=1)*(COUNTIF(CONFIG_ASIGNATURAS!$B$7:$B$27,nASIG)&gt;0)*1),"")))</f>
        <v/>
      </c>
      <c r="T447" t="str">
        <f>IF(S447="","",IF(S447="[FÓRMULA MANUAL]","",IFERROR(AVERAGEIFS(nNOTA,nNIA,S447,nCUENTA,1,nASIG,"Armonía"),"")))</f>
        <v/>
      </c>
      <c r="U447" t="str">
        <f>IF(S447="","",IF(S447="[FÓRMULA MANUAL]","",IFERROR(AVERAGEIFS(nNOTA,nNIA,S447,nCUENTA,1,nASIG,"Orquesta/Banda/Conjunto"),"")))</f>
        <v/>
      </c>
      <c r="V447" t="str">
        <f>IF(S447="","",IF(S447="[FÓRMULA MANUAL]","",IFERROR(AVERAGEIFS(nNOTA,nNIA,S447,nCUENTA,1,nASIG,"Música de Cámara"),"")))</f>
        <v/>
      </c>
      <c r="W447" t="str">
        <f>IF(S447="","",IF(S447="[FÓRMULA MANUAL]","",IFERROR(SUMPRODUCT((nNIA=S447)*(nCUENTA=1)*(COUNTIF(CONFIG_ASIGNATURAS!$B$7:$B$27,nASIG)&gt;0)*(nNOTA))/SUMPRODUCT((nNIA=S447)*(nCUENTA=1)*(COUNTIF(CONFIG_ASIGNATURAS!$B$7:$B$27,nASIG)&gt;0)*1),"")))</f>
        <v/>
      </c>
      <c r="Z447" t="str">
        <f>IF(Y447="","",IF(Y447="[FÓRMULA MANUAL]","",IFERROR(AVERAGEIFS(nNOTA,nNIA,Y447,nCUENTA,1,nASIG,"Análisis"),"")))</f>
        <v/>
      </c>
      <c r="AA447" t="str">
        <f>IF(Y447="","",IF(Y447="[FÓRMULA MANUAL]","",IFERROR(AVERAGEIFS(nNOTA,nNIA,Y447,nCUENTA,1,nASIG,"Orquesta/Banda/Conjunto"),"")))</f>
        <v/>
      </c>
      <c r="AB447" t="str">
        <f>IF(Y447="","",IF(Y447="[FÓRMULA MANUAL]","",IFERROR(AVERAGEIFS(nNOTA,nNIA,Y447,nCUENTA,1,nASIG,"Música de Cámara"),"")))</f>
        <v/>
      </c>
      <c r="AC447" t="str">
        <f>IF(Y447="","",IF(Y447="[FÓRMULA MANUAL]","",IFERROR(SUMPRODUCT((nNIA=Y447)*(nCUENTA=1)*(COUNTIF(CONFIG_ASIGNATURAS!$B$7:$B$27,nASIG)&gt;0)*(nNOTA))/SUMPRODUCT((nNIA=Y447)*(nCUENTA=1)*(COUNTIF(CONFIG_ASIGNATURAS!$B$7:$B$27,nASIG)&gt;0)*1),"")))</f>
        <v/>
      </c>
      <c r="AF447" t="str">
        <f>IF(AE447="","",IF(AE447="[FÓRMULA MANUAL]","",IFERROR(AVERAGEIFS(nNOTA,nNIA,AE447,nCUENTA,1,nASIG,"Análisis"),"")))</f>
        <v/>
      </c>
      <c r="AG447" t="str">
        <f>IF(AE447="","",IF(AE447="[FÓRMULA MANUAL]","",IFERROR(AVERAGEIFS(nNOTA,nNIA,AE447,nCUENTA,1,nASIG,"Orquesta/Banda/Conjunto"),"")))</f>
        <v/>
      </c>
      <c r="AH447" t="str">
        <f>IF(AE447="","",IF(AE447="[FÓRMULA MANUAL]","",IFERROR(AVERAGEIFS(nNOTA,nNIA,AE447,nCUENTA,1,nASIG,"Música de Cámara"),"")))</f>
        <v/>
      </c>
      <c r="AI447" t="str">
        <f>IF(AE447="","",IF(AE447="[FÓRMULA MANUAL]","",IFERROR(SUMPRODUCT((nNIA=AE447)*(nCUENTA=1)*(COUNTIF(CONFIG_ASIGNATURAS!$B$7:$B$27,nASIG)&gt;0)*(nNOTA))/SUMPRODUCT((nNIA=AE447)*(nCUENTA=1)*(COUNTIF(CONFIG_ASIGNATURAS!$B$7:$B$27,nASIG)&gt;0)*1),"")))</f>
        <v/>
      </c>
    </row>
    <row r="448" spans="2:35" x14ac:dyDescent="0.2">
      <c r="B448" t="str">
        <f>IF(A448="","",IF(A448="[FÓRMULA MANUAL]","",IFERROR(AVERAGEIFS(nNOTA,nNIA,A448,nCUENTA,1,nASIG,"Lenguaje Musical"),"")))</f>
        <v/>
      </c>
      <c r="C448" t="str">
        <f>IF(A448="","",IF(A448="[FÓRMULA MANUAL]","",IFERROR(AVERAGEIFS(nNOTA,nNIA,A448,nCUENTA,1,nASIG,"Orquesta/Banda/Conjunto"),"")))</f>
        <v/>
      </c>
      <c r="D448" t="str">
        <f>IF(A448="","",IF(A448="[FÓRMULA MANUAL]","",IFERROR(AVERAGEIFS(nNOTA,nNIA,A448,nCUENTA,1,nASIG,"Conjunto"),"")))</f>
        <v/>
      </c>
      <c r="E448" t="str">
        <f>IF(A448="","",IF(A448="[FÓRMULA MANUAL]","",IFERROR(SUMPRODUCT((nNIA=A448)*(nCUENTA=1)*(COUNTIF(CONFIG_ASIGNATURAS!$B$7:$B$27,nASIG)&gt;0)*(nNOTA))/SUMPRODUCT((nNIA=A448)*(nCUENTA=1)*(COUNTIF(CONFIG_ASIGNATURAS!$B$7:$B$27,nASIG)&gt;0)*1),"")))</f>
        <v/>
      </c>
      <c r="H448" t="str">
        <f>IF(G448="","",IF(G448="[FÓRMULA MANUAL]","",IFERROR(AVERAGEIFS(nNOTA,nNIA,G448,nCUENTA,1,nASIG,"Lenguaje Musical"),"")))</f>
        <v/>
      </c>
      <c r="I448" t="str">
        <f>IF(G448="","",IF(G448="[FÓRMULA MANUAL]","",IFERROR(AVERAGEIFS(nNOTA,nNIA,G448,nCUENTA,1,nASIG,"Orquesta/Banda/Conjunto"),"")))</f>
        <v/>
      </c>
      <c r="J448" t="str">
        <f>IF(G448="","",IF(G448="[FÓRMULA MANUAL]","",IFERROR(AVERAGEIFS(nNOTA,nNIA,G448,nCUENTA,1,nASIG,"Conjunto"),"")))</f>
        <v/>
      </c>
      <c r="K448" t="str">
        <f>IF(G448="","",IF(G448="[FÓRMULA MANUAL]","",IFERROR(SUMPRODUCT((nNIA=G448)*(nCUENTA=1)*(COUNTIF(CONFIG_ASIGNATURAS!$B$7:$B$27,nASIG)&gt;0)*(nNOTA))/SUMPRODUCT((nNIA=G448)*(nCUENTA=1)*(COUNTIF(CONFIG_ASIGNATURAS!$B$7:$B$27,nASIG)&gt;0)*1),"")))</f>
        <v/>
      </c>
      <c r="N448" t="str">
        <f>IF(M448="","",IF(M448="[FÓRMULA MANUAL]","",IFERROR(AVERAGEIFS(nNOTA,nNIA,M448,nCUENTA,1,nASIG,"Armonía"),"")))</f>
        <v/>
      </c>
      <c r="O448" t="str">
        <f>IF(M448="","",IF(M448="[FÓRMULA MANUAL]","",IFERROR(AVERAGEIFS(nNOTA,nNIA,M448,nCUENTA,1,nASIG,"Orquesta/Banda/Conjunto"),"")))</f>
        <v/>
      </c>
      <c r="P448" t="str">
        <f>IF(M448="","",IF(M448="[FÓRMULA MANUAL]","",IFERROR(AVERAGEIFS(nNOTA,nNIA,M448,nCUENTA,1,nASIG,"Música de Cámara"),"")))</f>
        <v/>
      </c>
      <c r="Q448" t="str">
        <f>IF(M448="","",IF(M448="[FÓRMULA MANUAL]","",IFERROR(SUMPRODUCT((nNIA=M448)*(nCUENTA=1)*(COUNTIF(CONFIG_ASIGNATURAS!$B$7:$B$27,nASIG)&gt;0)*(nNOTA))/SUMPRODUCT((nNIA=M448)*(nCUENTA=1)*(COUNTIF(CONFIG_ASIGNATURAS!$B$7:$B$27,nASIG)&gt;0)*1),"")))</f>
        <v/>
      </c>
      <c r="T448" t="str">
        <f>IF(S448="","",IF(S448="[FÓRMULA MANUAL]","",IFERROR(AVERAGEIFS(nNOTA,nNIA,S448,nCUENTA,1,nASIG,"Armonía"),"")))</f>
        <v/>
      </c>
      <c r="U448" t="str">
        <f>IF(S448="","",IF(S448="[FÓRMULA MANUAL]","",IFERROR(AVERAGEIFS(nNOTA,nNIA,S448,nCUENTA,1,nASIG,"Orquesta/Banda/Conjunto"),"")))</f>
        <v/>
      </c>
      <c r="V448" t="str">
        <f>IF(S448="","",IF(S448="[FÓRMULA MANUAL]","",IFERROR(AVERAGEIFS(nNOTA,nNIA,S448,nCUENTA,1,nASIG,"Música de Cámara"),"")))</f>
        <v/>
      </c>
      <c r="W448" t="str">
        <f>IF(S448="","",IF(S448="[FÓRMULA MANUAL]","",IFERROR(SUMPRODUCT((nNIA=S448)*(nCUENTA=1)*(COUNTIF(CONFIG_ASIGNATURAS!$B$7:$B$27,nASIG)&gt;0)*(nNOTA))/SUMPRODUCT((nNIA=S448)*(nCUENTA=1)*(COUNTIF(CONFIG_ASIGNATURAS!$B$7:$B$27,nASIG)&gt;0)*1),"")))</f>
        <v/>
      </c>
      <c r="Z448" t="str">
        <f>IF(Y448="","",IF(Y448="[FÓRMULA MANUAL]","",IFERROR(AVERAGEIFS(nNOTA,nNIA,Y448,nCUENTA,1,nASIG,"Análisis"),"")))</f>
        <v/>
      </c>
      <c r="AA448" t="str">
        <f>IF(Y448="","",IF(Y448="[FÓRMULA MANUAL]","",IFERROR(AVERAGEIFS(nNOTA,nNIA,Y448,nCUENTA,1,nASIG,"Orquesta/Banda/Conjunto"),"")))</f>
        <v/>
      </c>
      <c r="AB448" t="str">
        <f>IF(Y448="","",IF(Y448="[FÓRMULA MANUAL]","",IFERROR(AVERAGEIFS(nNOTA,nNIA,Y448,nCUENTA,1,nASIG,"Música de Cámara"),"")))</f>
        <v/>
      </c>
      <c r="AC448" t="str">
        <f>IF(Y448="","",IF(Y448="[FÓRMULA MANUAL]","",IFERROR(SUMPRODUCT((nNIA=Y448)*(nCUENTA=1)*(COUNTIF(CONFIG_ASIGNATURAS!$B$7:$B$27,nASIG)&gt;0)*(nNOTA))/SUMPRODUCT((nNIA=Y448)*(nCUENTA=1)*(COUNTIF(CONFIG_ASIGNATURAS!$B$7:$B$27,nASIG)&gt;0)*1),"")))</f>
        <v/>
      </c>
      <c r="AF448" t="str">
        <f>IF(AE448="","",IF(AE448="[FÓRMULA MANUAL]","",IFERROR(AVERAGEIFS(nNOTA,nNIA,AE448,nCUENTA,1,nASIG,"Análisis"),"")))</f>
        <v/>
      </c>
      <c r="AG448" t="str">
        <f>IF(AE448="","",IF(AE448="[FÓRMULA MANUAL]","",IFERROR(AVERAGEIFS(nNOTA,nNIA,AE448,nCUENTA,1,nASIG,"Orquesta/Banda/Conjunto"),"")))</f>
        <v/>
      </c>
      <c r="AH448" t="str">
        <f>IF(AE448="","",IF(AE448="[FÓRMULA MANUAL]","",IFERROR(AVERAGEIFS(nNOTA,nNIA,AE448,nCUENTA,1,nASIG,"Música de Cámara"),"")))</f>
        <v/>
      </c>
      <c r="AI448" t="str">
        <f>IF(AE448="","",IF(AE448="[FÓRMULA MANUAL]","",IFERROR(SUMPRODUCT((nNIA=AE448)*(nCUENTA=1)*(COUNTIF(CONFIG_ASIGNATURAS!$B$7:$B$27,nASIG)&gt;0)*(nNOTA))/SUMPRODUCT((nNIA=AE448)*(nCUENTA=1)*(COUNTIF(CONFIG_ASIGNATURAS!$B$7:$B$27,nASIG)&gt;0)*1),"")))</f>
        <v/>
      </c>
    </row>
    <row r="449" spans="2:35" x14ac:dyDescent="0.2">
      <c r="B449" t="str">
        <f>IF(A449="","",IF(A449="[FÓRMULA MANUAL]","",IFERROR(AVERAGEIFS(nNOTA,nNIA,A449,nCUENTA,1,nASIG,"Lenguaje Musical"),"")))</f>
        <v/>
      </c>
      <c r="C449" t="str">
        <f>IF(A449="","",IF(A449="[FÓRMULA MANUAL]","",IFERROR(AVERAGEIFS(nNOTA,nNIA,A449,nCUENTA,1,nASIG,"Orquesta/Banda/Conjunto"),"")))</f>
        <v/>
      </c>
      <c r="D449" t="str">
        <f>IF(A449="","",IF(A449="[FÓRMULA MANUAL]","",IFERROR(AVERAGEIFS(nNOTA,nNIA,A449,nCUENTA,1,nASIG,"Conjunto"),"")))</f>
        <v/>
      </c>
      <c r="E449" t="str">
        <f>IF(A449="","",IF(A449="[FÓRMULA MANUAL]","",IFERROR(SUMPRODUCT((nNIA=A449)*(nCUENTA=1)*(COUNTIF(CONFIG_ASIGNATURAS!$B$7:$B$27,nASIG)&gt;0)*(nNOTA))/SUMPRODUCT((nNIA=A449)*(nCUENTA=1)*(COUNTIF(CONFIG_ASIGNATURAS!$B$7:$B$27,nASIG)&gt;0)*1),"")))</f>
        <v/>
      </c>
      <c r="H449" t="str">
        <f>IF(G449="","",IF(G449="[FÓRMULA MANUAL]","",IFERROR(AVERAGEIFS(nNOTA,nNIA,G449,nCUENTA,1,nASIG,"Lenguaje Musical"),"")))</f>
        <v/>
      </c>
      <c r="I449" t="str">
        <f>IF(G449="","",IF(G449="[FÓRMULA MANUAL]","",IFERROR(AVERAGEIFS(nNOTA,nNIA,G449,nCUENTA,1,nASIG,"Orquesta/Banda/Conjunto"),"")))</f>
        <v/>
      </c>
      <c r="J449" t="str">
        <f>IF(G449="","",IF(G449="[FÓRMULA MANUAL]","",IFERROR(AVERAGEIFS(nNOTA,nNIA,G449,nCUENTA,1,nASIG,"Conjunto"),"")))</f>
        <v/>
      </c>
      <c r="K449" t="str">
        <f>IF(G449="","",IF(G449="[FÓRMULA MANUAL]","",IFERROR(SUMPRODUCT((nNIA=G449)*(nCUENTA=1)*(COUNTIF(CONFIG_ASIGNATURAS!$B$7:$B$27,nASIG)&gt;0)*(nNOTA))/SUMPRODUCT((nNIA=G449)*(nCUENTA=1)*(COUNTIF(CONFIG_ASIGNATURAS!$B$7:$B$27,nASIG)&gt;0)*1),"")))</f>
        <v/>
      </c>
      <c r="N449" t="str">
        <f>IF(M449="","",IF(M449="[FÓRMULA MANUAL]","",IFERROR(AVERAGEIFS(nNOTA,nNIA,M449,nCUENTA,1,nASIG,"Armonía"),"")))</f>
        <v/>
      </c>
      <c r="O449" t="str">
        <f>IF(M449="","",IF(M449="[FÓRMULA MANUAL]","",IFERROR(AVERAGEIFS(nNOTA,nNIA,M449,nCUENTA,1,nASIG,"Orquesta/Banda/Conjunto"),"")))</f>
        <v/>
      </c>
      <c r="P449" t="str">
        <f>IF(M449="","",IF(M449="[FÓRMULA MANUAL]","",IFERROR(AVERAGEIFS(nNOTA,nNIA,M449,nCUENTA,1,nASIG,"Música de Cámara"),"")))</f>
        <v/>
      </c>
      <c r="Q449" t="str">
        <f>IF(M449="","",IF(M449="[FÓRMULA MANUAL]","",IFERROR(SUMPRODUCT((nNIA=M449)*(nCUENTA=1)*(COUNTIF(CONFIG_ASIGNATURAS!$B$7:$B$27,nASIG)&gt;0)*(nNOTA))/SUMPRODUCT((nNIA=M449)*(nCUENTA=1)*(COUNTIF(CONFIG_ASIGNATURAS!$B$7:$B$27,nASIG)&gt;0)*1),"")))</f>
        <v/>
      </c>
      <c r="T449" t="str">
        <f>IF(S449="","",IF(S449="[FÓRMULA MANUAL]","",IFERROR(AVERAGEIFS(nNOTA,nNIA,S449,nCUENTA,1,nASIG,"Armonía"),"")))</f>
        <v/>
      </c>
      <c r="U449" t="str">
        <f>IF(S449="","",IF(S449="[FÓRMULA MANUAL]","",IFERROR(AVERAGEIFS(nNOTA,nNIA,S449,nCUENTA,1,nASIG,"Orquesta/Banda/Conjunto"),"")))</f>
        <v/>
      </c>
      <c r="V449" t="str">
        <f>IF(S449="","",IF(S449="[FÓRMULA MANUAL]","",IFERROR(AVERAGEIFS(nNOTA,nNIA,S449,nCUENTA,1,nASIG,"Música de Cámara"),"")))</f>
        <v/>
      </c>
      <c r="W449" t="str">
        <f>IF(S449="","",IF(S449="[FÓRMULA MANUAL]","",IFERROR(SUMPRODUCT((nNIA=S449)*(nCUENTA=1)*(COUNTIF(CONFIG_ASIGNATURAS!$B$7:$B$27,nASIG)&gt;0)*(nNOTA))/SUMPRODUCT((nNIA=S449)*(nCUENTA=1)*(COUNTIF(CONFIG_ASIGNATURAS!$B$7:$B$27,nASIG)&gt;0)*1),"")))</f>
        <v/>
      </c>
      <c r="Z449" t="str">
        <f>IF(Y449="","",IF(Y449="[FÓRMULA MANUAL]","",IFERROR(AVERAGEIFS(nNOTA,nNIA,Y449,nCUENTA,1,nASIG,"Análisis"),"")))</f>
        <v/>
      </c>
      <c r="AA449" t="str">
        <f>IF(Y449="","",IF(Y449="[FÓRMULA MANUAL]","",IFERROR(AVERAGEIFS(nNOTA,nNIA,Y449,nCUENTA,1,nASIG,"Orquesta/Banda/Conjunto"),"")))</f>
        <v/>
      </c>
      <c r="AB449" t="str">
        <f>IF(Y449="","",IF(Y449="[FÓRMULA MANUAL]","",IFERROR(AVERAGEIFS(nNOTA,nNIA,Y449,nCUENTA,1,nASIG,"Música de Cámara"),"")))</f>
        <v/>
      </c>
      <c r="AC449" t="str">
        <f>IF(Y449="","",IF(Y449="[FÓRMULA MANUAL]","",IFERROR(SUMPRODUCT((nNIA=Y449)*(nCUENTA=1)*(COUNTIF(CONFIG_ASIGNATURAS!$B$7:$B$27,nASIG)&gt;0)*(nNOTA))/SUMPRODUCT((nNIA=Y449)*(nCUENTA=1)*(COUNTIF(CONFIG_ASIGNATURAS!$B$7:$B$27,nASIG)&gt;0)*1),"")))</f>
        <v/>
      </c>
      <c r="AF449" t="str">
        <f>IF(AE449="","",IF(AE449="[FÓRMULA MANUAL]","",IFERROR(AVERAGEIFS(nNOTA,nNIA,AE449,nCUENTA,1,nASIG,"Análisis"),"")))</f>
        <v/>
      </c>
      <c r="AG449" t="str">
        <f>IF(AE449="","",IF(AE449="[FÓRMULA MANUAL]","",IFERROR(AVERAGEIFS(nNOTA,nNIA,AE449,nCUENTA,1,nASIG,"Orquesta/Banda/Conjunto"),"")))</f>
        <v/>
      </c>
      <c r="AH449" t="str">
        <f>IF(AE449="","",IF(AE449="[FÓRMULA MANUAL]","",IFERROR(AVERAGEIFS(nNOTA,nNIA,AE449,nCUENTA,1,nASIG,"Música de Cámara"),"")))</f>
        <v/>
      </c>
      <c r="AI449" t="str">
        <f>IF(AE449="","",IF(AE449="[FÓRMULA MANUAL]","",IFERROR(SUMPRODUCT((nNIA=AE449)*(nCUENTA=1)*(COUNTIF(CONFIG_ASIGNATURAS!$B$7:$B$27,nASIG)&gt;0)*(nNOTA))/SUMPRODUCT((nNIA=AE449)*(nCUENTA=1)*(COUNTIF(CONFIG_ASIGNATURAS!$B$7:$B$27,nASIG)&gt;0)*1),"")))</f>
        <v/>
      </c>
    </row>
    <row r="450" spans="2:35" x14ac:dyDescent="0.2">
      <c r="B450" t="str">
        <f>IF(A450="","",IF(A450="[FÓRMULA MANUAL]","",IFERROR(AVERAGEIFS(nNOTA,nNIA,A450,nCUENTA,1,nASIG,"Lenguaje Musical"),"")))</f>
        <v/>
      </c>
      <c r="C450" t="str">
        <f>IF(A450="","",IF(A450="[FÓRMULA MANUAL]","",IFERROR(AVERAGEIFS(nNOTA,nNIA,A450,nCUENTA,1,nASIG,"Orquesta/Banda/Conjunto"),"")))</f>
        <v/>
      </c>
      <c r="D450" t="str">
        <f>IF(A450="","",IF(A450="[FÓRMULA MANUAL]","",IFERROR(AVERAGEIFS(nNOTA,nNIA,A450,nCUENTA,1,nASIG,"Conjunto"),"")))</f>
        <v/>
      </c>
      <c r="E450" t="str">
        <f>IF(A450="","",IF(A450="[FÓRMULA MANUAL]","",IFERROR(SUMPRODUCT((nNIA=A450)*(nCUENTA=1)*(COUNTIF(CONFIG_ASIGNATURAS!$B$7:$B$27,nASIG)&gt;0)*(nNOTA))/SUMPRODUCT((nNIA=A450)*(nCUENTA=1)*(COUNTIF(CONFIG_ASIGNATURAS!$B$7:$B$27,nASIG)&gt;0)*1),"")))</f>
        <v/>
      </c>
      <c r="H450" t="str">
        <f>IF(G450="","",IF(G450="[FÓRMULA MANUAL]","",IFERROR(AVERAGEIFS(nNOTA,nNIA,G450,nCUENTA,1,nASIG,"Lenguaje Musical"),"")))</f>
        <v/>
      </c>
      <c r="I450" t="str">
        <f>IF(G450="","",IF(G450="[FÓRMULA MANUAL]","",IFERROR(AVERAGEIFS(nNOTA,nNIA,G450,nCUENTA,1,nASIG,"Orquesta/Banda/Conjunto"),"")))</f>
        <v/>
      </c>
      <c r="J450" t="str">
        <f>IF(G450="","",IF(G450="[FÓRMULA MANUAL]","",IFERROR(AVERAGEIFS(nNOTA,nNIA,G450,nCUENTA,1,nASIG,"Conjunto"),"")))</f>
        <v/>
      </c>
      <c r="K450" t="str">
        <f>IF(G450="","",IF(G450="[FÓRMULA MANUAL]","",IFERROR(SUMPRODUCT((nNIA=G450)*(nCUENTA=1)*(COUNTIF(CONFIG_ASIGNATURAS!$B$7:$B$27,nASIG)&gt;0)*(nNOTA))/SUMPRODUCT((nNIA=G450)*(nCUENTA=1)*(COUNTIF(CONFIG_ASIGNATURAS!$B$7:$B$27,nASIG)&gt;0)*1),"")))</f>
        <v/>
      </c>
      <c r="N450" t="str">
        <f>IF(M450="","",IF(M450="[FÓRMULA MANUAL]","",IFERROR(AVERAGEIFS(nNOTA,nNIA,M450,nCUENTA,1,nASIG,"Armonía"),"")))</f>
        <v/>
      </c>
      <c r="O450" t="str">
        <f>IF(M450="","",IF(M450="[FÓRMULA MANUAL]","",IFERROR(AVERAGEIFS(nNOTA,nNIA,M450,nCUENTA,1,nASIG,"Orquesta/Banda/Conjunto"),"")))</f>
        <v/>
      </c>
      <c r="P450" t="str">
        <f>IF(M450="","",IF(M450="[FÓRMULA MANUAL]","",IFERROR(AVERAGEIFS(nNOTA,nNIA,M450,nCUENTA,1,nASIG,"Música de Cámara"),"")))</f>
        <v/>
      </c>
      <c r="Q450" t="str">
        <f>IF(M450="","",IF(M450="[FÓRMULA MANUAL]","",IFERROR(SUMPRODUCT((nNIA=M450)*(nCUENTA=1)*(COUNTIF(CONFIG_ASIGNATURAS!$B$7:$B$27,nASIG)&gt;0)*(nNOTA))/SUMPRODUCT((nNIA=M450)*(nCUENTA=1)*(COUNTIF(CONFIG_ASIGNATURAS!$B$7:$B$27,nASIG)&gt;0)*1),"")))</f>
        <v/>
      </c>
      <c r="T450" t="str">
        <f>IF(S450="","",IF(S450="[FÓRMULA MANUAL]","",IFERROR(AVERAGEIFS(nNOTA,nNIA,S450,nCUENTA,1,nASIG,"Armonía"),"")))</f>
        <v/>
      </c>
      <c r="U450" t="str">
        <f>IF(S450="","",IF(S450="[FÓRMULA MANUAL]","",IFERROR(AVERAGEIFS(nNOTA,nNIA,S450,nCUENTA,1,nASIG,"Orquesta/Banda/Conjunto"),"")))</f>
        <v/>
      </c>
      <c r="V450" t="str">
        <f>IF(S450="","",IF(S450="[FÓRMULA MANUAL]","",IFERROR(AVERAGEIFS(nNOTA,nNIA,S450,nCUENTA,1,nASIG,"Música de Cámara"),"")))</f>
        <v/>
      </c>
      <c r="W450" t="str">
        <f>IF(S450="","",IF(S450="[FÓRMULA MANUAL]","",IFERROR(SUMPRODUCT((nNIA=S450)*(nCUENTA=1)*(COUNTIF(CONFIG_ASIGNATURAS!$B$7:$B$27,nASIG)&gt;0)*(nNOTA))/SUMPRODUCT((nNIA=S450)*(nCUENTA=1)*(COUNTIF(CONFIG_ASIGNATURAS!$B$7:$B$27,nASIG)&gt;0)*1),"")))</f>
        <v/>
      </c>
      <c r="Z450" t="str">
        <f>IF(Y450="","",IF(Y450="[FÓRMULA MANUAL]","",IFERROR(AVERAGEIFS(nNOTA,nNIA,Y450,nCUENTA,1,nASIG,"Análisis"),"")))</f>
        <v/>
      </c>
      <c r="AA450" t="str">
        <f>IF(Y450="","",IF(Y450="[FÓRMULA MANUAL]","",IFERROR(AVERAGEIFS(nNOTA,nNIA,Y450,nCUENTA,1,nASIG,"Orquesta/Banda/Conjunto"),"")))</f>
        <v/>
      </c>
      <c r="AB450" t="str">
        <f>IF(Y450="","",IF(Y450="[FÓRMULA MANUAL]","",IFERROR(AVERAGEIFS(nNOTA,nNIA,Y450,nCUENTA,1,nASIG,"Música de Cámara"),"")))</f>
        <v/>
      </c>
      <c r="AC450" t="str">
        <f>IF(Y450="","",IF(Y450="[FÓRMULA MANUAL]","",IFERROR(SUMPRODUCT((nNIA=Y450)*(nCUENTA=1)*(COUNTIF(CONFIG_ASIGNATURAS!$B$7:$B$27,nASIG)&gt;0)*(nNOTA))/SUMPRODUCT((nNIA=Y450)*(nCUENTA=1)*(COUNTIF(CONFIG_ASIGNATURAS!$B$7:$B$27,nASIG)&gt;0)*1),"")))</f>
        <v/>
      </c>
      <c r="AF450" t="str">
        <f>IF(AE450="","",IF(AE450="[FÓRMULA MANUAL]","",IFERROR(AVERAGEIFS(nNOTA,nNIA,AE450,nCUENTA,1,nASIG,"Análisis"),"")))</f>
        <v/>
      </c>
      <c r="AG450" t="str">
        <f>IF(AE450="","",IF(AE450="[FÓRMULA MANUAL]","",IFERROR(AVERAGEIFS(nNOTA,nNIA,AE450,nCUENTA,1,nASIG,"Orquesta/Banda/Conjunto"),"")))</f>
        <v/>
      </c>
      <c r="AH450" t="str">
        <f>IF(AE450="","",IF(AE450="[FÓRMULA MANUAL]","",IFERROR(AVERAGEIFS(nNOTA,nNIA,AE450,nCUENTA,1,nASIG,"Música de Cámara"),"")))</f>
        <v/>
      </c>
      <c r="AI450" t="str">
        <f>IF(AE450="","",IF(AE450="[FÓRMULA MANUAL]","",IFERROR(SUMPRODUCT((nNIA=AE450)*(nCUENTA=1)*(COUNTIF(CONFIG_ASIGNATURAS!$B$7:$B$27,nASIG)&gt;0)*(nNOTA))/SUMPRODUCT((nNIA=AE450)*(nCUENTA=1)*(COUNTIF(CONFIG_ASIGNATURAS!$B$7:$B$27,nASIG)&gt;0)*1),"")))</f>
        <v/>
      </c>
    </row>
    <row r="451" spans="2:35" x14ac:dyDescent="0.2">
      <c r="B451" t="str">
        <f>IF(A451="","",IF(A451="[FÓRMULA MANUAL]","",IFERROR(AVERAGEIFS(nNOTA,nNIA,A451,nCUENTA,1,nASIG,"Lenguaje Musical"),"")))</f>
        <v/>
      </c>
      <c r="C451" t="str">
        <f>IF(A451="","",IF(A451="[FÓRMULA MANUAL]","",IFERROR(AVERAGEIFS(nNOTA,nNIA,A451,nCUENTA,1,nASIG,"Orquesta/Banda/Conjunto"),"")))</f>
        <v/>
      </c>
      <c r="D451" t="str">
        <f>IF(A451="","",IF(A451="[FÓRMULA MANUAL]","",IFERROR(AVERAGEIFS(nNOTA,nNIA,A451,nCUENTA,1,nASIG,"Conjunto"),"")))</f>
        <v/>
      </c>
      <c r="E451" t="str">
        <f>IF(A451="","",IF(A451="[FÓRMULA MANUAL]","",IFERROR(SUMPRODUCT((nNIA=A451)*(nCUENTA=1)*(COUNTIF(CONFIG_ASIGNATURAS!$B$7:$B$27,nASIG)&gt;0)*(nNOTA))/SUMPRODUCT((nNIA=A451)*(nCUENTA=1)*(COUNTIF(CONFIG_ASIGNATURAS!$B$7:$B$27,nASIG)&gt;0)*1),"")))</f>
        <v/>
      </c>
      <c r="H451" t="str">
        <f>IF(G451="","",IF(G451="[FÓRMULA MANUAL]","",IFERROR(AVERAGEIFS(nNOTA,nNIA,G451,nCUENTA,1,nASIG,"Lenguaje Musical"),"")))</f>
        <v/>
      </c>
      <c r="I451" t="str">
        <f>IF(G451="","",IF(G451="[FÓRMULA MANUAL]","",IFERROR(AVERAGEIFS(nNOTA,nNIA,G451,nCUENTA,1,nASIG,"Orquesta/Banda/Conjunto"),"")))</f>
        <v/>
      </c>
      <c r="J451" t="str">
        <f>IF(G451="","",IF(G451="[FÓRMULA MANUAL]","",IFERROR(AVERAGEIFS(nNOTA,nNIA,G451,nCUENTA,1,nASIG,"Conjunto"),"")))</f>
        <v/>
      </c>
      <c r="K451" t="str">
        <f>IF(G451="","",IF(G451="[FÓRMULA MANUAL]","",IFERROR(SUMPRODUCT((nNIA=G451)*(nCUENTA=1)*(COUNTIF(CONFIG_ASIGNATURAS!$B$7:$B$27,nASIG)&gt;0)*(nNOTA))/SUMPRODUCT((nNIA=G451)*(nCUENTA=1)*(COUNTIF(CONFIG_ASIGNATURAS!$B$7:$B$27,nASIG)&gt;0)*1),"")))</f>
        <v/>
      </c>
      <c r="N451" t="str">
        <f>IF(M451="","",IF(M451="[FÓRMULA MANUAL]","",IFERROR(AVERAGEIFS(nNOTA,nNIA,M451,nCUENTA,1,nASIG,"Armonía"),"")))</f>
        <v/>
      </c>
      <c r="O451" t="str">
        <f>IF(M451="","",IF(M451="[FÓRMULA MANUAL]","",IFERROR(AVERAGEIFS(nNOTA,nNIA,M451,nCUENTA,1,nASIG,"Orquesta/Banda/Conjunto"),"")))</f>
        <v/>
      </c>
      <c r="P451" t="str">
        <f>IF(M451="","",IF(M451="[FÓRMULA MANUAL]","",IFERROR(AVERAGEIFS(nNOTA,nNIA,M451,nCUENTA,1,nASIG,"Música de Cámara"),"")))</f>
        <v/>
      </c>
      <c r="Q451" t="str">
        <f>IF(M451="","",IF(M451="[FÓRMULA MANUAL]","",IFERROR(SUMPRODUCT((nNIA=M451)*(nCUENTA=1)*(COUNTIF(CONFIG_ASIGNATURAS!$B$7:$B$27,nASIG)&gt;0)*(nNOTA))/SUMPRODUCT((nNIA=M451)*(nCUENTA=1)*(COUNTIF(CONFIG_ASIGNATURAS!$B$7:$B$27,nASIG)&gt;0)*1),"")))</f>
        <v/>
      </c>
      <c r="T451" t="str">
        <f>IF(S451="","",IF(S451="[FÓRMULA MANUAL]","",IFERROR(AVERAGEIFS(nNOTA,nNIA,S451,nCUENTA,1,nASIG,"Armonía"),"")))</f>
        <v/>
      </c>
      <c r="U451" t="str">
        <f>IF(S451="","",IF(S451="[FÓRMULA MANUAL]","",IFERROR(AVERAGEIFS(nNOTA,nNIA,S451,nCUENTA,1,nASIG,"Orquesta/Banda/Conjunto"),"")))</f>
        <v/>
      </c>
      <c r="V451" t="str">
        <f>IF(S451="","",IF(S451="[FÓRMULA MANUAL]","",IFERROR(AVERAGEIFS(nNOTA,nNIA,S451,nCUENTA,1,nASIG,"Música de Cámara"),"")))</f>
        <v/>
      </c>
      <c r="W451" t="str">
        <f>IF(S451="","",IF(S451="[FÓRMULA MANUAL]","",IFERROR(SUMPRODUCT((nNIA=S451)*(nCUENTA=1)*(COUNTIF(CONFIG_ASIGNATURAS!$B$7:$B$27,nASIG)&gt;0)*(nNOTA))/SUMPRODUCT((nNIA=S451)*(nCUENTA=1)*(COUNTIF(CONFIG_ASIGNATURAS!$B$7:$B$27,nASIG)&gt;0)*1),"")))</f>
        <v/>
      </c>
      <c r="Z451" t="str">
        <f>IF(Y451="","",IF(Y451="[FÓRMULA MANUAL]","",IFERROR(AVERAGEIFS(nNOTA,nNIA,Y451,nCUENTA,1,nASIG,"Análisis"),"")))</f>
        <v/>
      </c>
      <c r="AA451" t="str">
        <f>IF(Y451="","",IF(Y451="[FÓRMULA MANUAL]","",IFERROR(AVERAGEIFS(nNOTA,nNIA,Y451,nCUENTA,1,nASIG,"Orquesta/Banda/Conjunto"),"")))</f>
        <v/>
      </c>
      <c r="AB451" t="str">
        <f>IF(Y451="","",IF(Y451="[FÓRMULA MANUAL]","",IFERROR(AVERAGEIFS(nNOTA,nNIA,Y451,nCUENTA,1,nASIG,"Música de Cámara"),"")))</f>
        <v/>
      </c>
      <c r="AC451" t="str">
        <f>IF(Y451="","",IF(Y451="[FÓRMULA MANUAL]","",IFERROR(SUMPRODUCT((nNIA=Y451)*(nCUENTA=1)*(COUNTIF(CONFIG_ASIGNATURAS!$B$7:$B$27,nASIG)&gt;0)*(nNOTA))/SUMPRODUCT((nNIA=Y451)*(nCUENTA=1)*(COUNTIF(CONFIG_ASIGNATURAS!$B$7:$B$27,nASIG)&gt;0)*1),"")))</f>
        <v/>
      </c>
      <c r="AF451" t="str">
        <f>IF(AE451="","",IF(AE451="[FÓRMULA MANUAL]","",IFERROR(AVERAGEIFS(nNOTA,nNIA,AE451,nCUENTA,1,nASIG,"Análisis"),"")))</f>
        <v/>
      </c>
      <c r="AG451" t="str">
        <f>IF(AE451="","",IF(AE451="[FÓRMULA MANUAL]","",IFERROR(AVERAGEIFS(nNOTA,nNIA,AE451,nCUENTA,1,nASIG,"Orquesta/Banda/Conjunto"),"")))</f>
        <v/>
      </c>
      <c r="AH451" t="str">
        <f>IF(AE451="","",IF(AE451="[FÓRMULA MANUAL]","",IFERROR(AVERAGEIFS(nNOTA,nNIA,AE451,nCUENTA,1,nASIG,"Música de Cámara"),"")))</f>
        <v/>
      </c>
      <c r="AI451" t="str">
        <f>IF(AE451="","",IF(AE451="[FÓRMULA MANUAL]","",IFERROR(SUMPRODUCT((nNIA=AE451)*(nCUENTA=1)*(COUNTIF(CONFIG_ASIGNATURAS!$B$7:$B$27,nASIG)&gt;0)*(nNOTA))/SUMPRODUCT((nNIA=AE451)*(nCUENTA=1)*(COUNTIF(CONFIG_ASIGNATURAS!$B$7:$B$27,nASIG)&gt;0)*1),"")))</f>
        <v/>
      </c>
    </row>
    <row r="452" spans="2:35" x14ac:dyDescent="0.2">
      <c r="B452" t="str">
        <f>IF(A452="","",IF(A452="[FÓRMULA MANUAL]","",IFERROR(AVERAGEIFS(nNOTA,nNIA,A452,nCUENTA,1,nASIG,"Lenguaje Musical"),"")))</f>
        <v/>
      </c>
      <c r="C452" t="str">
        <f>IF(A452="","",IF(A452="[FÓRMULA MANUAL]","",IFERROR(AVERAGEIFS(nNOTA,nNIA,A452,nCUENTA,1,nASIG,"Orquesta/Banda/Conjunto"),"")))</f>
        <v/>
      </c>
      <c r="D452" t="str">
        <f>IF(A452="","",IF(A452="[FÓRMULA MANUAL]","",IFERROR(AVERAGEIFS(nNOTA,nNIA,A452,nCUENTA,1,nASIG,"Conjunto"),"")))</f>
        <v/>
      </c>
      <c r="E452" t="str">
        <f>IF(A452="","",IF(A452="[FÓRMULA MANUAL]","",IFERROR(SUMPRODUCT((nNIA=A452)*(nCUENTA=1)*(COUNTIF(CONFIG_ASIGNATURAS!$B$7:$B$27,nASIG)&gt;0)*(nNOTA))/SUMPRODUCT((nNIA=A452)*(nCUENTA=1)*(COUNTIF(CONFIG_ASIGNATURAS!$B$7:$B$27,nASIG)&gt;0)*1),"")))</f>
        <v/>
      </c>
      <c r="H452" t="str">
        <f>IF(G452="","",IF(G452="[FÓRMULA MANUAL]","",IFERROR(AVERAGEIFS(nNOTA,nNIA,G452,nCUENTA,1,nASIG,"Lenguaje Musical"),"")))</f>
        <v/>
      </c>
      <c r="I452" t="str">
        <f>IF(G452="","",IF(G452="[FÓRMULA MANUAL]","",IFERROR(AVERAGEIFS(nNOTA,nNIA,G452,nCUENTA,1,nASIG,"Orquesta/Banda/Conjunto"),"")))</f>
        <v/>
      </c>
      <c r="J452" t="str">
        <f>IF(G452="","",IF(G452="[FÓRMULA MANUAL]","",IFERROR(AVERAGEIFS(nNOTA,nNIA,G452,nCUENTA,1,nASIG,"Conjunto"),"")))</f>
        <v/>
      </c>
      <c r="K452" t="str">
        <f>IF(G452="","",IF(G452="[FÓRMULA MANUAL]","",IFERROR(SUMPRODUCT((nNIA=G452)*(nCUENTA=1)*(COUNTIF(CONFIG_ASIGNATURAS!$B$7:$B$27,nASIG)&gt;0)*(nNOTA))/SUMPRODUCT((nNIA=G452)*(nCUENTA=1)*(COUNTIF(CONFIG_ASIGNATURAS!$B$7:$B$27,nASIG)&gt;0)*1),"")))</f>
        <v/>
      </c>
      <c r="N452" t="str">
        <f>IF(M452="","",IF(M452="[FÓRMULA MANUAL]","",IFERROR(AVERAGEIFS(nNOTA,nNIA,M452,nCUENTA,1,nASIG,"Armonía"),"")))</f>
        <v/>
      </c>
      <c r="O452" t="str">
        <f>IF(M452="","",IF(M452="[FÓRMULA MANUAL]","",IFERROR(AVERAGEIFS(nNOTA,nNIA,M452,nCUENTA,1,nASIG,"Orquesta/Banda/Conjunto"),"")))</f>
        <v/>
      </c>
      <c r="P452" t="str">
        <f>IF(M452="","",IF(M452="[FÓRMULA MANUAL]","",IFERROR(AVERAGEIFS(nNOTA,nNIA,M452,nCUENTA,1,nASIG,"Música de Cámara"),"")))</f>
        <v/>
      </c>
      <c r="Q452" t="str">
        <f>IF(M452="","",IF(M452="[FÓRMULA MANUAL]","",IFERROR(SUMPRODUCT((nNIA=M452)*(nCUENTA=1)*(COUNTIF(CONFIG_ASIGNATURAS!$B$7:$B$27,nASIG)&gt;0)*(nNOTA))/SUMPRODUCT((nNIA=M452)*(nCUENTA=1)*(COUNTIF(CONFIG_ASIGNATURAS!$B$7:$B$27,nASIG)&gt;0)*1),"")))</f>
        <v/>
      </c>
      <c r="T452" t="str">
        <f>IF(S452="","",IF(S452="[FÓRMULA MANUAL]","",IFERROR(AVERAGEIFS(nNOTA,nNIA,S452,nCUENTA,1,nASIG,"Armonía"),"")))</f>
        <v/>
      </c>
      <c r="U452" t="str">
        <f>IF(S452="","",IF(S452="[FÓRMULA MANUAL]","",IFERROR(AVERAGEIFS(nNOTA,nNIA,S452,nCUENTA,1,nASIG,"Orquesta/Banda/Conjunto"),"")))</f>
        <v/>
      </c>
      <c r="V452" t="str">
        <f>IF(S452="","",IF(S452="[FÓRMULA MANUAL]","",IFERROR(AVERAGEIFS(nNOTA,nNIA,S452,nCUENTA,1,nASIG,"Música de Cámara"),"")))</f>
        <v/>
      </c>
      <c r="W452" t="str">
        <f>IF(S452="","",IF(S452="[FÓRMULA MANUAL]","",IFERROR(SUMPRODUCT((nNIA=S452)*(nCUENTA=1)*(COUNTIF(CONFIG_ASIGNATURAS!$B$7:$B$27,nASIG)&gt;0)*(nNOTA))/SUMPRODUCT((nNIA=S452)*(nCUENTA=1)*(COUNTIF(CONFIG_ASIGNATURAS!$B$7:$B$27,nASIG)&gt;0)*1),"")))</f>
        <v/>
      </c>
      <c r="Z452" t="str">
        <f>IF(Y452="","",IF(Y452="[FÓRMULA MANUAL]","",IFERROR(AVERAGEIFS(nNOTA,nNIA,Y452,nCUENTA,1,nASIG,"Análisis"),"")))</f>
        <v/>
      </c>
      <c r="AA452" t="str">
        <f>IF(Y452="","",IF(Y452="[FÓRMULA MANUAL]","",IFERROR(AVERAGEIFS(nNOTA,nNIA,Y452,nCUENTA,1,nASIG,"Orquesta/Banda/Conjunto"),"")))</f>
        <v/>
      </c>
      <c r="AB452" t="str">
        <f>IF(Y452="","",IF(Y452="[FÓRMULA MANUAL]","",IFERROR(AVERAGEIFS(nNOTA,nNIA,Y452,nCUENTA,1,nASIG,"Música de Cámara"),"")))</f>
        <v/>
      </c>
      <c r="AC452" t="str">
        <f>IF(Y452="","",IF(Y452="[FÓRMULA MANUAL]","",IFERROR(SUMPRODUCT((nNIA=Y452)*(nCUENTA=1)*(COUNTIF(CONFIG_ASIGNATURAS!$B$7:$B$27,nASIG)&gt;0)*(nNOTA))/SUMPRODUCT((nNIA=Y452)*(nCUENTA=1)*(COUNTIF(CONFIG_ASIGNATURAS!$B$7:$B$27,nASIG)&gt;0)*1),"")))</f>
        <v/>
      </c>
      <c r="AF452" t="str">
        <f>IF(AE452="","",IF(AE452="[FÓRMULA MANUAL]","",IFERROR(AVERAGEIFS(nNOTA,nNIA,AE452,nCUENTA,1,nASIG,"Análisis"),"")))</f>
        <v/>
      </c>
      <c r="AG452" t="str">
        <f>IF(AE452="","",IF(AE452="[FÓRMULA MANUAL]","",IFERROR(AVERAGEIFS(nNOTA,nNIA,AE452,nCUENTA,1,nASIG,"Orquesta/Banda/Conjunto"),"")))</f>
        <v/>
      </c>
      <c r="AH452" t="str">
        <f>IF(AE452="","",IF(AE452="[FÓRMULA MANUAL]","",IFERROR(AVERAGEIFS(nNOTA,nNIA,AE452,nCUENTA,1,nASIG,"Música de Cámara"),"")))</f>
        <v/>
      </c>
      <c r="AI452" t="str">
        <f>IF(AE452="","",IF(AE452="[FÓRMULA MANUAL]","",IFERROR(SUMPRODUCT((nNIA=AE452)*(nCUENTA=1)*(COUNTIF(CONFIG_ASIGNATURAS!$B$7:$B$27,nASIG)&gt;0)*(nNOTA))/SUMPRODUCT((nNIA=AE452)*(nCUENTA=1)*(COUNTIF(CONFIG_ASIGNATURAS!$B$7:$B$27,nASIG)&gt;0)*1),"")))</f>
        <v/>
      </c>
    </row>
    <row r="453" spans="2:35" x14ac:dyDescent="0.2">
      <c r="B453" t="str">
        <f>IF(A453="","",IF(A453="[FÓRMULA MANUAL]","",IFERROR(AVERAGEIFS(nNOTA,nNIA,A453,nCUENTA,1,nASIG,"Lenguaje Musical"),"")))</f>
        <v/>
      </c>
      <c r="C453" t="str">
        <f>IF(A453="","",IF(A453="[FÓRMULA MANUAL]","",IFERROR(AVERAGEIFS(nNOTA,nNIA,A453,nCUENTA,1,nASIG,"Orquesta/Banda/Conjunto"),"")))</f>
        <v/>
      </c>
      <c r="D453" t="str">
        <f>IF(A453="","",IF(A453="[FÓRMULA MANUAL]","",IFERROR(AVERAGEIFS(nNOTA,nNIA,A453,nCUENTA,1,nASIG,"Conjunto"),"")))</f>
        <v/>
      </c>
      <c r="E453" t="str">
        <f>IF(A453="","",IF(A453="[FÓRMULA MANUAL]","",IFERROR(SUMPRODUCT((nNIA=A453)*(nCUENTA=1)*(COUNTIF(CONFIG_ASIGNATURAS!$B$7:$B$27,nASIG)&gt;0)*(nNOTA))/SUMPRODUCT((nNIA=A453)*(nCUENTA=1)*(COUNTIF(CONFIG_ASIGNATURAS!$B$7:$B$27,nASIG)&gt;0)*1),"")))</f>
        <v/>
      </c>
      <c r="H453" t="str">
        <f>IF(G453="","",IF(G453="[FÓRMULA MANUAL]","",IFERROR(AVERAGEIFS(nNOTA,nNIA,G453,nCUENTA,1,nASIG,"Lenguaje Musical"),"")))</f>
        <v/>
      </c>
      <c r="I453" t="str">
        <f>IF(G453="","",IF(G453="[FÓRMULA MANUAL]","",IFERROR(AVERAGEIFS(nNOTA,nNIA,G453,nCUENTA,1,nASIG,"Orquesta/Banda/Conjunto"),"")))</f>
        <v/>
      </c>
      <c r="J453" t="str">
        <f>IF(G453="","",IF(G453="[FÓRMULA MANUAL]","",IFERROR(AVERAGEIFS(nNOTA,nNIA,G453,nCUENTA,1,nASIG,"Conjunto"),"")))</f>
        <v/>
      </c>
      <c r="K453" t="str">
        <f>IF(G453="","",IF(G453="[FÓRMULA MANUAL]","",IFERROR(SUMPRODUCT((nNIA=G453)*(nCUENTA=1)*(COUNTIF(CONFIG_ASIGNATURAS!$B$7:$B$27,nASIG)&gt;0)*(nNOTA))/SUMPRODUCT((nNIA=G453)*(nCUENTA=1)*(COUNTIF(CONFIG_ASIGNATURAS!$B$7:$B$27,nASIG)&gt;0)*1),"")))</f>
        <v/>
      </c>
      <c r="N453" t="str">
        <f>IF(M453="","",IF(M453="[FÓRMULA MANUAL]","",IFERROR(AVERAGEIFS(nNOTA,nNIA,M453,nCUENTA,1,nASIG,"Armonía"),"")))</f>
        <v/>
      </c>
      <c r="O453" t="str">
        <f>IF(M453="","",IF(M453="[FÓRMULA MANUAL]","",IFERROR(AVERAGEIFS(nNOTA,nNIA,M453,nCUENTA,1,nASIG,"Orquesta/Banda/Conjunto"),"")))</f>
        <v/>
      </c>
      <c r="P453" t="str">
        <f>IF(M453="","",IF(M453="[FÓRMULA MANUAL]","",IFERROR(AVERAGEIFS(nNOTA,nNIA,M453,nCUENTA,1,nASIG,"Música de Cámara"),"")))</f>
        <v/>
      </c>
      <c r="Q453" t="str">
        <f>IF(M453="","",IF(M453="[FÓRMULA MANUAL]","",IFERROR(SUMPRODUCT((nNIA=M453)*(nCUENTA=1)*(COUNTIF(CONFIG_ASIGNATURAS!$B$7:$B$27,nASIG)&gt;0)*(nNOTA))/SUMPRODUCT((nNIA=M453)*(nCUENTA=1)*(COUNTIF(CONFIG_ASIGNATURAS!$B$7:$B$27,nASIG)&gt;0)*1),"")))</f>
        <v/>
      </c>
      <c r="T453" t="str">
        <f>IF(S453="","",IF(S453="[FÓRMULA MANUAL]","",IFERROR(AVERAGEIFS(nNOTA,nNIA,S453,nCUENTA,1,nASIG,"Armonía"),"")))</f>
        <v/>
      </c>
      <c r="U453" t="str">
        <f>IF(S453="","",IF(S453="[FÓRMULA MANUAL]","",IFERROR(AVERAGEIFS(nNOTA,nNIA,S453,nCUENTA,1,nASIG,"Orquesta/Banda/Conjunto"),"")))</f>
        <v/>
      </c>
      <c r="V453" t="str">
        <f>IF(S453="","",IF(S453="[FÓRMULA MANUAL]","",IFERROR(AVERAGEIFS(nNOTA,nNIA,S453,nCUENTA,1,nASIG,"Música de Cámara"),"")))</f>
        <v/>
      </c>
      <c r="W453" t="str">
        <f>IF(S453="","",IF(S453="[FÓRMULA MANUAL]","",IFERROR(SUMPRODUCT((nNIA=S453)*(nCUENTA=1)*(COUNTIF(CONFIG_ASIGNATURAS!$B$7:$B$27,nASIG)&gt;0)*(nNOTA))/SUMPRODUCT((nNIA=S453)*(nCUENTA=1)*(COUNTIF(CONFIG_ASIGNATURAS!$B$7:$B$27,nASIG)&gt;0)*1),"")))</f>
        <v/>
      </c>
      <c r="Z453" t="str">
        <f>IF(Y453="","",IF(Y453="[FÓRMULA MANUAL]","",IFERROR(AVERAGEIFS(nNOTA,nNIA,Y453,nCUENTA,1,nASIG,"Análisis"),"")))</f>
        <v/>
      </c>
      <c r="AA453" t="str">
        <f>IF(Y453="","",IF(Y453="[FÓRMULA MANUAL]","",IFERROR(AVERAGEIFS(nNOTA,nNIA,Y453,nCUENTA,1,nASIG,"Orquesta/Banda/Conjunto"),"")))</f>
        <v/>
      </c>
      <c r="AB453" t="str">
        <f>IF(Y453="","",IF(Y453="[FÓRMULA MANUAL]","",IFERROR(AVERAGEIFS(nNOTA,nNIA,Y453,nCUENTA,1,nASIG,"Música de Cámara"),"")))</f>
        <v/>
      </c>
      <c r="AC453" t="str">
        <f>IF(Y453="","",IF(Y453="[FÓRMULA MANUAL]","",IFERROR(SUMPRODUCT((nNIA=Y453)*(nCUENTA=1)*(COUNTIF(CONFIG_ASIGNATURAS!$B$7:$B$27,nASIG)&gt;0)*(nNOTA))/SUMPRODUCT((nNIA=Y453)*(nCUENTA=1)*(COUNTIF(CONFIG_ASIGNATURAS!$B$7:$B$27,nASIG)&gt;0)*1),"")))</f>
        <v/>
      </c>
      <c r="AF453" t="str">
        <f>IF(AE453="","",IF(AE453="[FÓRMULA MANUAL]","",IFERROR(AVERAGEIFS(nNOTA,nNIA,AE453,nCUENTA,1,nASIG,"Análisis"),"")))</f>
        <v/>
      </c>
      <c r="AG453" t="str">
        <f>IF(AE453="","",IF(AE453="[FÓRMULA MANUAL]","",IFERROR(AVERAGEIFS(nNOTA,nNIA,AE453,nCUENTA,1,nASIG,"Orquesta/Banda/Conjunto"),"")))</f>
        <v/>
      </c>
      <c r="AH453" t="str">
        <f>IF(AE453="","",IF(AE453="[FÓRMULA MANUAL]","",IFERROR(AVERAGEIFS(nNOTA,nNIA,AE453,nCUENTA,1,nASIG,"Música de Cámara"),"")))</f>
        <v/>
      </c>
      <c r="AI453" t="str">
        <f>IF(AE453="","",IF(AE453="[FÓRMULA MANUAL]","",IFERROR(SUMPRODUCT((nNIA=AE453)*(nCUENTA=1)*(COUNTIF(CONFIG_ASIGNATURAS!$B$7:$B$27,nASIG)&gt;0)*(nNOTA))/SUMPRODUCT((nNIA=AE453)*(nCUENTA=1)*(COUNTIF(CONFIG_ASIGNATURAS!$B$7:$B$27,nASIG)&gt;0)*1),"")))</f>
        <v/>
      </c>
    </row>
    <row r="454" spans="2:35" x14ac:dyDescent="0.2">
      <c r="B454" t="str">
        <f>IF(A454="","",IF(A454="[FÓRMULA MANUAL]","",IFERROR(AVERAGEIFS(nNOTA,nNIA,A454,nCUENTA,1,nASIG,"Lenguaje Musical"),"")))</f>
        <v/>
      </c>
      <c r="C454" t="str">
        <f>IF(A454="","",IF(A454="[FÓRMULA MANUAL]","",IFERROR(AVERAGEIFS(nNOTA,nNIA,A454,nCUENTA,1,nASIG,"Orquesta/Banda/Conjunto"),"")))</f>
        <v/>
      </c>
      <c r="D454" t="str">
        <f>IF(A454="","",IF(A454="[FÓRMULA MANUAL]","",IFERROR(AVERAGEIFS(nNOTA,nNIA,A454,nCUENTA,1,nASIG,"Conjunto"),"")))</f>
        <v/>
      </c>
      <c r="E454" t="str">
        <f>IF(A454="","",IF(A454="[FÓRMULA MANUAL]","",IFERROR(SUMPRODUCT((nNIA=A454)*(nCUENTA=1)*(COUNTIF(CONFIG_ASIGNATURAS!$B$7:$B$27,nASIG)&gt;0)*(nNOTA))/SUMPRODUCT((nNIA=A454)*(nCUENTA=1)*(COUNTIF(CONFIG_ASIGNATURAS!$B$7:$B$27,nASIG)&gt;0)*1),"")))</f>
        <v/>
      </c>
      <c r="H454" t="str">
        <f>IF(G454="","",IF(G454="[FÓRMULA MANUAL]","",IFERROR(AVERAGEIFS(nNOTA,nNIA,G454,nCUENTA,1,nASIG,"Lenguaje Musical"),"")))</f>
        <v/>
      </c>
      <c r="I454" t="str">
        <f>IF(G454="","",IF(G454="[FÓRMULA MANUAL]","",IFERROR(AVERAGEIFS(nNOTA,nNIA,G454,nCUENTA,1,nASIG,"Orquesta/Banda/Conjunto"),"")))</f>
        <v/>
      </c>
      <c r="J454" t="str">
        <f>IF(G454="","",IF(G454="[FÓRMULA MANUAL]","",IFERROR(AVERAGEIFS(nNOTA,nNIA,G454,nCUENTA,1,nASIG,"Conjunto"),"")))</f>
        <v/>
      </c>
      <c r="K454" t="str">
        <f>IF(G454="","",IF(G454="[FÓRMULA MANUAL]","",IFERROR(SUMPRODUCT((nNIA=G454)*(nCUENTA=1)*(COUNTIF(CONFIG_ASIGNATURAS!$B$7:$B$27,nASIG)&gt;0)*(nNOTA))/SUMPRODUCT((nNIA=G454)*(nCUENTA=1)*(COUNTIF(CONFIG_ASIGNATURAS!$B$7:$B$27,nASIG)&gt;0)*1),"")))</f>
        <v/>
      </c>
      <c r="N454" t="str">
        <f>IF(M454="","",IF(M454="[FÓRMULA MANUAL]","",IFERROR(AVERAGEIFS(nNOTA,nNIA,M454,nCUENTA,1,nASIG,"Armonía"),"")))</f>
        <v/>
      </c>
      <c r="O454" t="str">
        <f>IF(M454="","",IF(M454="[FÓRMULA MANUAL]","",IFERROR(AVERAGEIFS(nNOTA,nNIA,M454,nCUENTA,1,nASIG,"Orquesta/Banda/Conjunto"),"")))</f>
        <v/>
      </c>
      <c r="P454" t="str">
        <f>IF(M454="","",IF(M454="[FÓRMULA MANUAL]","",IFERROR(AVERAGEIFS(nNOTA,nNIA,M454,nCUENTA,1,nASIG,"Música de Cámara"),"")))</f>
        <v/>
      </c>
      <c r="Q454" t="str">
        <f>IF(M454="","",IF(M454="[FÓRMULA MANUAL]","",IFERROR(SUMPRODUCT((nNIA=M454)*(nCUENTA=1)*(COUNTIF(CONFIG_ASIGNATURAS!$B$7:$B$27,nASIG)&gt;0)*(nNOTA))/SUMPRODUCT((nNIA=M454)*(nCUENTA=1)*(COUNTIF(CONFIG_ASIGNATURAS!$B$7:$B$27,nASIG)&gt;0)*1),"")))</f>
        <v/>
      </c>
      <c r="T454" t="str">
        <f>IF(S454="","",IF(S454="[FÓRMULA MANUAL]","",IFERROR(AVERAGEIFS(nNOTA,nNIA,S454,nCUENTA,1,nASIG,"Armonía"),"")))</f>
        <v/>
      </c>
      <c r="U454" t="str">
        <f>IF(S454="","",IF(S454="[FÓRMULA MANUAL]","",IFERROR(AVERAGEIFS(nNOTA,nNIA,S454,nCUENTA,1,nASIG,"Orquesta/Banda/Conjunto"),"")))</f>
        <v/>
      </c>
      <c r="V454" t="str">
        <f>IF(S454="","",IF(S454="[FÓRMULA MANUAL]","",IFERROR(AVERAGEIFS(nNOTA,nNIA,S454,nCUENTA,1,nASIG,"Música de Cámara"),"")))</f>
        <v/>
      </c>
      <c r="W454" t="str">
        <f>IF(S454="","",IF(S454="[FÓRMULA MANUAL]","",IFERROR(SUMPRODUCT((nNIA=S454)*(nCUENTA=1)*(COUNTIF(CONFIG_ASIGNATURAS!$B$7:$B$27,nASIG)&gt;0)*(nNOTA))/SUMPRODUCT((nNIA=S454)*(nCUENTA=1)*(COUNTIF(CONFIG_ASIGNATURAS!$B$7:$B$27,nASIG)&gt;0)*1),"")))</f>
        <v/>
      </c>
      <c r="Z454" t="str">
        <f>IF(Y454="","",IF(Y454="[FÓRMULA MANUAL]","",IFERROR(AVERAGEIFS(nNOTA,nNIA,Y454,nCUENTA,1,nASIG,"Análisis"),"")))</f>
        <v/>
      </c>
      <c r="AA454" t="str">
        <f>IF(Y454="","",IF(Y454="[FÓRMULA MANUAL]","",IFERROR(AVERAGEIFS(nNOTA,nNIA,Y454,nCUENTA,1,nASIG,"Orquesta/Banda/Conjunto"),"")))</f>
        <v/>
      </c>
      <c r="AB454" t="str">
        <f>IF(Y454="","",IF(Y454="[FÓRMULA MANUAL]","",IFERROR(AVERAGEIFS(nNOTA,nNIA,Y454,nCUENTA,1,nASIG,"Música de Cámara"),"")))</f>
        <v/>
      </c>
      <c r="AC454" t="str">
        <f>IF(Y454="","",IF(Y454="[FÓRMULA MANUAL]","",IFERROR(SUMPRODUCT((nNIA=Y454)*(nCUENTA=1)*(COUNTIF(CONFIG_ASIGNATURAS!$B$7:$B$27,nASIG)&gt;0)*(nNOTA))/SUMPRODUCT((nNIA=Y454)*(nCUENTA=1)*(COUNTIF(CONFIG_ASIGNATURAS!$B$7:$B$27,nASIG)&gt;0)*1),"")))</f>
        <v/>
      </c>
      <c r="AF454" t="str">
        <f>IF(AE454="","",IF(AE454="[FÓRMULA MANUAL]","",IFERROR(AVERAGEIFS(nNOTA,nNIA,AE454,nCUENTA,1,nASIG,"Análisis"),"")))</f>
        <v/>
      </c>
      <c r="AG454" t="str">
        <f>IF(AE454="","",IF(AE454="[FÓRMULA MANUAL]","",IFERROR(AVERAGEIFS(nNOTA,nNIA,AE454,nCUENTA,1,nASIG,"Orquesta/Banda/Conjunto"),"")))</f>
        <v/>
      </c>
      <c r="AH454" t="str">
        <f>IF(AE454="","",IF(AE454="[FÓRMULA MANUAL]","",IFERROR(AVERAGEIFS(nNOTA,nNIA,AE454,nCUENTA,1,nASIG,"Música de Cámara"),"")))</f>
        <v/>
      </c>
      <c r="AI454" t="str">
        <f>IF(AE454="","",IF(AE454="[FÓRMULA MANUAL]","",IFERROR(SUMPRODUCT((nNIA=AE454)*(nCUENTA=1)*(COUNTIF(CONFIG_ASIGNATURAS!$B$7:$B$27,nASIG)&gt;0)*(nNOTA))/SUMPRODUCT((nNIA=AE454)*(nCUENTA=1)*(COUNTIF(CONFIG_ASIGNATURAS!$B$7:$B$27,nASIG)&gt;0)*1),"")))</f>
        <v/>
      </c>
    </row>
    <row r="455" spans="2:35" x14ac:dyDescent="0.2">
      <c r="B455" t="str">
        <f>IF(A455="","",IF(A455="[FÓRMULA MANUAL]","",IFERROR(AVERAGEIFS(nNOTA,nNIA,A455,nCUENTA,1,nASIG,"Lenguaje Musical"),"")))</f>
        <v/>
      </c>
      <c r="C455" t="str">
        <f>IF(A455="","",IF(A455="[FÓRMULA MANUAL]","",IFERROR(AVERAGEIFS(nNOTA,nNIA,A455,nCUENTA,1,nASIG,"Orquesta/Banda/Conjunto"),"")))</f>
        <v/>
      </c>
      <c r="D455" t="str">
        <f>IF(A455="","",IF(A455="[FÓRMULA MANUAL]","",IFERROR(AVERAGEIFS(nNOTA,nNIA,A455,nCUENTA,1,nASIG,"Conjunto"),"")))</f>
        <v/>
      </c>
      <c r="E455" t="str">
        <f>IF(A455="","",IF(A455="[FÓRMULA MANUAL]","",IFERROR(SUMPRODUCT((nNIA=A455)*(nCUENTA=1)*(COUNTIF(CONFIG_ASIGNATURAS!$B$7:$B$27,nASIG)&gt;0)*(nNOTA))/SUMPRODUCT((nNIA=A455)*(nCUENTA=1)*(COUNTIF(CONFIG_ASIGNATURAS!$B$7:$B$27,nASIG)&gt;0)*1),"")))</f>
        <v/>
      </c>
      <c r="H455" t="str">
        <f>IF(G455="","",IF(G455="[FÓRMULA MANUAL]","",IFERROR(AVERAGEIFS(nNOTA,nNIA,G455,nCUENTA,1,nASIG,"Lenguaje Musical"),"")))</f>
        <v/>
      </c>
      <c r="I455" t="str">
        <f>IF(G455="","",IF(G455="[FÓRMULA MANUAL]","",IFERROR(AVERAGEIFS(nNOTA,nNIA,G455,nCUENTA,1,nASIG,"Orquesta/Banda/Conjunto"),"")))</f>
        <v/>
      </c>
      <c r="J455" t="str">
        <f>IF(G455="","",IF(G455="[FÓRMULA MANUAL]","",IFERROR(AVERAGEIFS(nNOTA,nNIA,G455,nCUENTA,1,nASIG,"Conjunto"),"")))</f>
        <v/>
      </c>
      <c r="K455" t="str">
        <f>IF(G455="","",IF(G455="[FÓRMULA MANUAL]","",IFERROR(SUMPRODUCT((nNIA=G455)*(nCUENTA=1)*(COUNTIF(CONFIG_ASIGNATURAS!$B$7:$B$27,nASIG)&gt;0)*(nNOTA))/SUMPRODUCT((nNIA=G455)*(nCUENTA=1)*(COUNTIF(CONFIG_ASIGNATURAS!$B$7:$B$27,nASIG)&gt;0)*1),"")))</f>
        <v/>
      </c>
      <c r="N455" t="str">
        <f>IF(M455="","",IF(M455="[FÓRMULA MANUAL]","",IFERROR(AVERAGEIFS(nNOTA,nNIA,M455,nCUENTA,1,nASIG,"Armonía"),"")))</f>
        <v/>
      </c>
      <c r="O455" t="str">
        <f>IF(M455="","",IF(M455="[FÓRMULA MANUAL]","",IFERROR(AVERAGEIFS(nNOTA,nNIA,M455,nCUENTA,1,nASIG,"Orquesta/Banda/Conjunto"),"")))</f>
        <v/>
      </c>
      <c r="P455" t="str">
        <f>IF(M455="","",IF(M455="[FÓRMULA MANUAL]","",IFERROR(AVERAGEIFS(nNOTA,nNIA,M455,nCUENTA,1,nASIG,"Música de Cámara"),"")))</f>
        <v/>
      </c>
      <c r="Q455" t="str">
        <f>IF(M455="","",IF(M455="[FÓRMULA MANUAL]","",IFERROR(SUMPRODUCT((nNIA=M455)*(nCUENTA=1)*(COUNTIF(CONFIG_ASIGNATURAS!$B$7:$B$27,nASIG)&gt;0)*(nNOTA))/SUMPRODUCT((nNIA=M455)*(nCUENTA=1)*(COUNTIF(CONFIG_ASIGNATURAS!$B$7:$B$27,nASIG)&gt;0)*1),"")))</f>
        <v/>
      </c>
      <c r="T455" t="str">
        <f>IF(S455="","",IF(S455="[FÓRMULA MANUAL]","",IFERROR(AVERAGEIFS(nNOTA,nNIA,S455,nCUENTA,1,nASIG,"Armonía"),"")))</f>
        <v/>
      </c>
      <c r="U455" t="str">
        <f>IF(S455="","",IF(S455="[FÓRMULA MANUAL]","",IFERROR(AVERAGEIFS(nNOTA,nNIA,S455,nCUENTA,1,nASIG,"Orquesta/Banda/Conjunto"),"")))</f>
        <v/>
      </c>
      <c r="V455" t="str">
        <f>IF(S455="","",IF(S455="[FÓRMULA MANUAL]","",IFERROR(AVERAGEIFS(nNOTA,nNIA,S455,nCUENTA,1,nASIG,"Música de Cámara"),"")))</f>
        <v/>
      </c>
      <c r="W455" t="str">
        <f>IF(S455="","",IF(S455="[FÓRMULA MANUAL]","",IFERROR(SUMPRODUCT((nNIA=S455)*(nCUENTA=1)*(COUNTIF(CONFIG_ASIGNATURAS!$B$7:$B$27,nASIG)&gt;0)*(nNOTA))/SUMPRODUCT((nNIA=S455)*(nCUENTA=1)*(COUNTIF(CONFIG_ASIGNATURAS!$B$7:$B$27,nASIG)&gt;0)*1),"")))</f>
        <v/>
      </c>
      <c r="Z455" t="str">
        <f>IF(Y455="","",IF(Y455="[FÓRMULA MANUAL]","",IFERROR(AVERAGEIFS(nNOTA,nNIA,Y455,nCUENTA,1,nASIG,"Análisis"),"")))</f>
        <v/>
      </c>
      <c r="AA455" t="str">
        <f>IF(Y455="","",IF(Y455="[FÓRMULA MANUAL]","",IFERROR(AVERAGEIFS(nNOTA,nNIA,Y455,nCUENTA,1,nASIG,"Orquesta/Banda/Conjunto"),"")))</f>
        <v/>
      </c>
      <c r="AB455" t="str">
        <f>IF(Y455="","",IF(Y455="[FÓRMULA MANUAL]","",IFERROR(AVERAGEIFS(nNOTA,nNIA,Y455,nCUENTA,1,nASIG,"Música de Cámara"),"")))</f>
        <v/>
      </c>
      <c r="AC455" t="str">
        <f>IF(Y455="","",IF(Y455="[FÓRMULA MANUAL]","",IFERROR(SUMPRODUCT((nNIA=Y455)*(nCUENTA=1)*(COUNTIF(CONFIG_ASIGNATURAS!$B$7:$B$27,nASIG)&gt;0)*(nNOTA))/SUMPRODUCT((nNIA=Y455)*(nCUENTA=1)*(COUNTIF(CONFIG_ASIGNATURAS!$B$7:$B$27,nASIG)&gt;0)*1),"")))</f>
        <v/>
      </c>
      <c r="AF455" t="str">
        <f>IF(AE455="","",IF(AE455="[FÓRMULA MANUAL]","",IFERROR(AVERAGEIFS(nNOTA,nNIA,AE455,nCUENTA,1,nASIG,"Análisis"),"")))</f>
        <v/>
      </c>
      <c r="AG455" t="str">
        <f>IF(AE455="","",IF(AE455="[FÓRMULA MANUAL]","",IFERROR(AVERAGEIFS(nNOTA,nNIA,AE455,nCUENTA,1,nASIG,"Orquesta/Banda/Conjunto"),"")))</f>
        <v/>
      </c>
      <c r="AH455" t="str">
        <f>IF(AE455="","",IF(AE455="[FÓRMULA MANUAL]","",IFERROR(AVERAGEIFS(nNOTA,nNIA,AE455,nCUENTA,1,nASIG,"Música de Cámara"),"")))</f>
        <v/>
      </c>
      <c r="AI455" t="str">
        <f>IF(AE455="","",IF(AE455="[FÓRMULA MANUAL]","",IFERROR(SUMPRODUCT((nNIA=AE455)*(nCUENTA=1)*(COUNTIF(CONFIG_ASIGNATURAS!$B$7:$B$27,nASIG)&gt;0)*(nNOTA))/SUMPRODUCT((nNIA=AE455)*(nCUENTA=1)*(COUNTIF(CONFIG_ASIGNATURAS!$B$7:$B$27,nASIG)&gt;0)*1),"")))</f>
        <v/>
      </c>
    </row>
    <row r="456" spans="2:35" x14ac:dyDescent="0.2">
      <c r="B456" t="str">
        <f>IF(A456="","",IF(A456="[FÓRMULA MANUAL]","",IFERROR(AVERAGEIFS(nNOTA,nNIA,A456,nCUENTA,1,nASIG,"Lenguaje Musical"),"")))</f>
        <v/>
      </c>
      <c r="C456" t="str">
        <f>IF(A456="","",IF(A456="[FÓRMULA MANUAL]","",IFERROR(AVERAGEIFS(nNOTA,nNIA,A456,nCUENTA,1,nASIG,"Orquesta/Banda/Conjunto"),"")))</f>
        <v/>
      </c>
      <c r="D456" t="str">
        <f>IF(A456="","",IF(A456="[FÓRMULA MANUAL]","",IFERROR(AVERAGEIFS(nNOTA,nNIA,A456,nCUENTA,1,nASIG,"Conjunto"),"")))</f>
        <v/>
      </c>
      <c r="E456" t="str">
        <f>IF(A456="","",IF(A456="[FÓRMULA MANUAL]","",IFERROR(SUMPRODUCT((nNIA=A456)*(nCUENTA=1)*(COUNTIF(CONFIG_ASIGNATURAS!$B$7:$B$27,nASIG)&gt;0)*(nNOTA))/SUMPRODUCT((nNIA=A456)*(nCUENTA=1)*(COUNTIF(CONFIG_ASIGNATURAS!$B$7:$B$27,nASIG)&gt;0)*1),"")))</f>
        <v/>
      </c>
      <c r="H456" t="str">
        <f>IF(G456="","",IF(G456="[FÓRMULA MANUAL]","",IFERROR(AVERAGEIFS(nNOTA,nNIA,G456,nCUENTA,1,nASIG,"Lenguaje Musical"),"")))</f>
        <v/>
      </c>
      <c r="I456" t="str">
        <f>IF(G456="","",IF(G456="[FÓRMULA MANUAL]","",IFERROR(AVERAGEIFS(nNOTA,nNIA,G456,nCUENTA,1,nASIG,"Orquesta/Banda/Conjunto"),"")))</f>
        <v/>
      </c>
      <c r="J456" t="str">
        <f>IF(G456="","",IF(G456="[FÓRMULA MANUAL]","",IFERROR(AVERAGEIFS(nNOTA,nNIA,G456,nCUENTA,1,nASIG,"Conjunto"),"")))</f>
        <v/>
      </c>
      <c r="K456" t="str">
        <f>IF(G456="","",IF(G456="[FÓRMULA MANUAL]","",IFERROR(SUMPRODUCT((nNIA=G456)*(nCUENTA=1)*(COUNTIF(CONFIG_ASIGNATURAS!$B$7:$B$27,nASIG)&gt;0)*(nNOTA))/SUMPRODUCT((nNIA=G456)*(nCUENTA=1)*(COUNTIF(CONFIG_ASIGNATURAS!$B$7:$B$27,nASIG)&gt;0)*1),"")))</f>
        <v/>
      </c>
      <c r="N456" t="str">
        <f>IF(M456="","",IF(M456="[FÓRMULA MANUAL]","",IFERROR(AVERAGEIFS(nNOTA,nNIA,M456,nCUENTA,1,nASIG,"Armonía"),"")))</f>
        <v/>
      </c>
      <c r="O456" t="str">
        <f>IF(M456="","",IF(M456="[FÓRMULA MANUAL]","",IFERROR(AVERAGEIFS(nNOTA,nNIA,M456,nCUENTA,1,nASIG,"Orquesta/Banda/Conjunto"),"")))</f>
        <v/>
      </c>
      <c r="P456" t="str">
        <f>IF(M456="","",IF(M456="[FÓRMULA MANUAL]","",IFERROR(AVERAGEIFS(nNOTA,nNIA,M456,nCUENTA,1,nASIG,"Música de Cámara"),"")))</f>
        <v/>
      </c>
      <c r="Q456" t="str">
        <f>IF(M456="","",IF(M456="[FÓRMULA MANUAL]","",IFERROR(SUMPRODUCT((nNIA=M456)*(nCUENTA=1)*(COUNTIF(CONFIG_ASIGNATURAS!$B$7:$B$27,nASIG)&gt;0)*(nNOTA))/SUMPRODUCT((nNIA=M456)*(nCUENTA=1)*(COUNTIF(CONFIG_ASIGNATURAS!$B$7:$B$27,nASIG)&gt;0)*1),"")))</f>
        <v/>
      </c>
      <c r="T456" t="str">
        <f>IF(S456="","",IF(S456="[FÓRMULA MANUAL]","",IFERROR(AVERAGEIFS(nNOTA,nNIA,S456,nCUENTA,1,nASIG,"Armonía"),"")))</f>
        <v/>
      </c>
      <c r="U456" t="str">
        <f>IF(S456="","",IF(S456="[FÓRMULA MANUAL]","",IFERROR(AVERAGEIFS(nNOTA,nNIA,S456,nCUENTA,1,nASIG,"Orquesta/Banda/Conjunto"),"")))</f>
        <v/>
      </c>
      <c r="V456" t="str">
        <f>IF(S456="","",IF(S456="[FÓRMULA MANUAL]","",IFERROR(AVERAGEIFS(nNOTA,nNIA,S456,nCUENTA,1,nASIG,"Música de Cámara"),"")))</f>
        <v/>
      </c>
      <c r="W456" t="str">
        <f>IF(S456="","",IF(S456="[FÓRMULA MANUAL]","",IFERROR(SUMPRODUCT((nNIA=S456)*(nCUENTA=1)*(COUNTIF(CONFIG_ASIGNATURAS!$B$7:$B$27,nASIG)&gt;0)*(nNOTA))/SUMPRODUCT((nNIA=S456)*(nCUENTA=1)*(COUNTIF(CONFIG_ASIGNATURAS!$B$7:$B$27,nASIG)&gt;0)*1),"")))</f>
        <v/>
      </c>
      <c r="Z456" t="str">
        <f>IF(Y456="","",IF(Y456="[FÓRMULA MANUAL]","",IFERROR(AVERAGEIFS(nNOTA,nNIA,Y456,nCUENTA,1,nASIG,"Análisis"),"")))</f>
        <v/>
      </c>
      <c r="AA456" t="str">
        <f>IF(Y456="","",IF(Y456="[FÓRMULA MANUAL]","",IFERROR(AVERAGEIFS(nNOTA,nNIA,Y456,nCUENTA,1,nASIG,"Orquesta/Banda/Conjunto"),"")))</f>
        <v/>
      </c>
      <c r="AB456" t="str">
        <f>IF(Y456="","",IF(Y456="[FÓRMULA MANUAL]","",IFERROR(AVERAGEIFS(nNOTA,nNIA,Y456,nCUENTA,1,nASIG,"Música de Cámara"),"")))</f>
        <v/>
      </c>
      <c r="AC456" t="str">
        <f>IF(Y456="","",IF(Y456="[FÓRMULA MANUAL]","",IFERROR(SUMPRODUCT((nNIA=Y456)*(nCUENTA=1)*(COUNTIF(CONFIG_ASIGNATURAS!$B$7:$B$27,nASIG)&gt;0)*(nNOTA))/SUMPRODUCT((nNIA=Y456)*(nCUENTA=1)*(COUNTIF(CONFIG_ASIGNATURAS!$B$7:$B$27,nASIG)&gt;0)*1),"")))</f>
        <v/>
      </c>
      <c r="AF456" t="str">
        <f>IF(AE456="","",IF(AE456="[FÓRMULA MANUAL]","",IFERROR(AVERAGEIFS(nNOTA,nNIA,AE456,nCUENTA,1,nASIG,"Análisis"),"")))</f>
        <v/>
      </c>
      <c r="AG456" t="str">
        <f>IF(AE456="","",IF(AE456="[FÓRMULA MANUAL]","",IFERROR(AVERAGEIFS(nNOTA,nNIA,AE456,nCUENTA,1,nASIG,"Orquesta/Banda/Conjunto"),"")))</f>
        <v/>
      </c>
      <c r="AH456" t="str">
        <f>IF(AE456="","",IF(AE456="[FÓRMULA MANUAL]","",IFERROR(AVERAGEIFS(nNOTA,nNIA,AE456,nCUENTA,1,nASIG,"Música de Cámara"),"")))</f>
        <v/>
      </c>
      <c r="AI456" t="str">
        <f>IF(AE456="","",IF(AE456="[FÓRMULA MANUAL]","",IFERROR(SUMPRODUCT((nNIA=AE456)*(nCUENTA=1)*(COUNTIF(CONFIG_ASIGNATURAS!$B$7:$B$27,nASIG)&gt;0)*(nNOTA))/SUMPRODUCT((nNIA=AE456)*(nCUENTA=1)*(COUNTIF(CONFIG_ASIGNATURAS!$B$7:$B$27,nASIG)&gt;0)*1),"")))</f>
        <v/>
      </c>
    </row>
    <row r="457" spans="2:35" x14ac:dyDescent="0.2">
      <c r="B457" t="str">
        <f>IF(A457="","",IF(A457="[FÓRMULA MANUAL]","",IFERROR(AVERAGEIFS(nNOTA,nNIA,A457,nCUENTA,1,nASIG,"Lenguaje Musical"),"")))</f>
        <v/>
      </c>
      <c r="C457" t="str">
        <f>IF(A457="","",IF(A457="[FÓRMULA MANUAL]","",IFERROR(AVERAGEIFS(nNOTA,nNIA,A457,nCUENTA,1,nASIG,"Orquesta/Banda/Conjunto"),"")))</f>
        <v/>
      </c>
      <c r="D457" t="str">
        <f>IF(A457="","",IF(A457="[FÓRMULA MANUAL]","",IFERROR(AVERAGEIFS(nNOTA,nNIA,A457,nCUENTA,1,nASIG,"Conjunto"),"")))</f>
        <v/>
      </c>
      <c r="E457" t="str">
        <f>IF(A457="","",IF(A457="[FÓRMULA MANUAL]","",IFERROR(SUMPRODUCT((nNIA=A457)*(nCUENTA=1)*(COUNTIF(CONFIG_ASIGNATURAS!$B$7:$B$27,nASIG)&gt;0)*(nNOTA))/SUMPRODUCT((nNIA=A457)*(nCUENTA=1)*(COUNTIF(CONFIG_ASIGNATURAS!$B$7:$B$27,nASIG)&gt;0)*1),"")))</f>
        <v/>
      </c>
      <c r="H457" t="str">
        <f>IF(G457="","",IF(G457="[FÓRMULA MANUAL]","",IFERROR(AVERAGEIFS(nNOTA,nNIA,G457,nCUENTA,1,nASIG,"Lenguaje Musical"),"")))</f>
        <v/>
      </c>
      <c r="I457" t="str">
        <f>IF(G457="","",IF(G457="[FÓRMULA MANUAL]","",IFERROR(AVERAGEIFS(nNOTA,nNIA,G457,nCUENTA,1,nASIG,"Orquesta/Banda/Conjunto"),"")))</f>
        <v/>
      </c>
      <c r="J457" t="str">
        <f>IF(G457="","",IF(G457="[FÓRMULA MANUAL]","",IFERROR(AVERAGEIFS(nNOTA,nNIA,G457,nCUENTA,1,nASIG,"Conjunto"),"")))</f>
        <v/>
      </c>
      <c r="K457" t="str">
        <f>IF(G457="","",IF(G457="[FÓRMULA MANUAL]","",IFERROR(SUMPRODUCT((nNIA=G457)*(nCUENTA=1)*(COUNTIF(CONFIG_ASIGNATURAS!$B$7:$B$27,nASIG)&gt;0)*(nNOTA))/SUMPRODUCT((nNIA=G457)*(nCUENTA=1)*(COUNTIF(CONFIG_ASIGNATURAS!$B$7:$B$27,nASIG)&gt;0)*1),"")))</f>
        <v/>
      </c>
      <c r="N457" t="str">
        <f>IF(M457="","",IF(M457="[FÓRMULA MANUAL]","",IFERROR(AVERAGEIFS(nNOTA,nNIA,M457,nCUENTA,1,nASIG,"Armonía"),"")))</f>
        <v/>
      </c>
      <c r="O457" t="str">
        <f>IF(M457="","",IF(M457="[FÓRMULA MANUAL]","",IFERROR(AVERAGEIFS(nNOTA,nNIA,M457,nCUENTA,1,nASIG,"Orquesta/Banda/Conjunto"),"")))</f>
        <v/>
      </c>
      <c r="P457" t="str">
        <f>IF(M457="","",IF(M457="[FÓRMULA MANUAL]","",IFERROR(AVERAGEIFS(nNOTA,nNIA,M457,nCUENTA,1,nASIG,"Música de Cámara"),"")))</f>
        <v/>
      </c>
      <c r="Q457" t="str">
        <f>IF(M457="","",IF(M457="[FÓRMULA MANUAL]","",IFERROR(SUMPRODUCT((nNIA=M457)*(nCUENTA=1)*(COUNTIF(CONFIG_ASIGNATURAS!$B$7:$B$27,nASIG)&gt;0)*(nNOTA))/SUMPRODUCT((nNIA=M457)*(nCUENTA=1)*(COUNTIF(CONFIG_ASIGNATURAS!$B$7:$B$27,nASIG)&gt;0)*1),"")))</f>
        <v/>
      </c>
      <c r="T457" t="str">
        <f>IF(S457="","",IF(S457="[FÓRMULA MANUAL]","",IFERROR(AVERAGEIFS(nNOTA,nNIA,S457,nCUENTA,1,nASIG,"Armonía"),"")))</f>
        <v/>
      </c>
      <c r="U457" t="str">
        <f>IF(S457="","",IF(S457="[FÓRMULA MANUAL]","",IFERROR(AVERAGEIFS(nNOTA,nNIA,S457,nCUENTA,1,nASIG,"Orquesta/Banda/Conjunto"),"")))</f>
        <v/>
      </c>
      <c r="V457" t="str">
        <f>IF(S457="","",IF(S457="[FÓRMULA MANUAL]","",IFERROR(AVERAGEIFS(nNOTA,nNIA,S457,nCUENTA,1,nASIG,"Música de Cámara"),"")))</f>
        <v/>
      </c>
      <c r="W457" t="str">
        <f>IF(S457="","",IF(S457="[FÓRMULA MANUAL]","",IFERROR(SUMPRODUCT((nNIA=S457)*(nCUENTA=1)*(COUNTIF(CONFIG_ASIGNATURAS!$B$7:$B$27,nASIG)&gt;0)*(nNOTA))/SUMPRODUCT((nNIA=S457)*(nCUENTA=1)*(COUNTIF(CONFIG_ASIGNATURAS!$B$7:$B$27,nASIG)&gt;0)*1),"")))</f>
        <v/>
      </c>
      <c r="Z457" t="str">
        <f>IF(Y457="","",IF(Y457="[FÓRMULA MANUAL]","",IFERROR(AVERAGEIFS(nNOTA,nNIA,Y457,nCUENTA,1,nASIG,"Análisis"),"")))</f>
        <v/>
      </c>
      <c r="AA457" t="str">
        <f>IF(Y457="","",IF(Y457="[FÓRMULA MANUAL]","",IFERROR(AVERAGEIFS(nNOTA,nNIA,Y457,nCUENTA,1,nASIG,"Orquesta/Banda/Conjunto"),"")))</f>
        <v/>
      </c>
      <c r="AB457" t="str">
        <f>IF(Y457="","",IF(Y457="[FÓRMULA MANUAL]","",IFERROR(AVERAGEIFS(nNOTA,nNIA,Y457,nCUENTA,1,nASIG,"Música de Cámara"),"")))</f>
        <v/>
      </c>
      <c r="AC457" t="str">
        <f>IF(Y457="","",IF(Y457="[FÓRMULA MANUAL]","",IFERROR(SUMPRODUCT((nNIA=Y457)*(nCUENTA=1)*(COUNTIF(CONFIG_ASIGNATURAS!$B$7:$B$27,nASIG)&gt;0)*(nNOTA))/SUMPRODUCT((nNIA=Y457)*(nCUENTA=1)*(COUNTIF(CONFIG_ASIGNATURAS!$B$7:$B$27,nASIG)&gt;0)*1),"")))</f>
        <v/>
      </c>
      <c r="AF457" t="str">
        <f>IF(AE457="","",IF(AE457="[FÓRMULA MANUAL]","",IFERROR(AVERAGEIFS(nNOTA,nNIA,AE457,nCUENTA,1,nASIG,"Análisis"),"")))</f>
        <v/>
      </c>
      <c r="AG457" t="str">
        <f>IF(AE457="","",IF(AE457="[FÓRMULA MANUAL]","",IFERROR(AVERAGEIFS(nNOTA,nNIA,AE457,nCUENTA,1,nASIG,"Orquesta/Banda/Conjunto"),"")))</f>
        <v/>
      </c>
      <c r="AH457" t="str">
        <f>IF(AE457="","",IF(AE457="[FÓRMULA MANUAL]","",IFERROR(AVERAGEIFS(nNOTA,nNIA,AE457,nCUENTA,1,nASIG,"Música de Cámara"),"")))</f>
        <v/>
      </c>
      <c r="AI457" t="str">
        <f>IF(AE457="","",IF(AE457="[FÓRMULA MANUAL]","",IFERROR(SUMPRODUCT((nNIA=AE457)*(nCUENTA=1)*(COUNTIF(CONFIG_ASIGNATURAS!$B$7:$B$27,nASIG)&gt;0)*(nNOTA))/SUMPRODUCT((nNIA=AE457)*(nCUENTA=1)*(COUNTIF(CONFIG_ASIGNATURAS!$B$7:$B$27,nASIG)&gt;0)*1),"")))</f>
        <v/>
      </c>
    </row>
    <row r="458" spans="2:35" x14ac:dyDescent="0.2">
      <c r="B458" t="str">
        <f>IF(A458="","",IF(A458="[FÓRMULA MANUAL]","",IFERROR(AVERAGEIFS(nNOTA,nNIA,A458,nCUENTA,1,nASIG,"Lenguaje Musical"),"")))</f>
        <v/>
      </c>
      <c r="C458" t="str">
        <f>IF(A458="","",IF(A458="[FÓRMULA MANUAL]","",IFERROR(AVERAGEIFS(nNOTA,nNIA,A458,nCUENTA,1,nASIG,"Orquesta/Banda/Conjunto"),"")))</f>
        <v/>
      </c>
      <c r="D458" t="str">
        <f>IF(A458="","",IF(A458="[FÓRMULA MANUAL]","",IFERROR(AVERAGEIFS(nNOTA,nNIA,A458,nCUENTA,1,nASIG,"Conjunto"),"")))</f>
        <v/>
      </c>
      <c r="E458" t="str">
        <f>IF(A458="","",IF(A458="[FÓRMULA MANUAL]","",IFERROR(SUMPRODUCT((nNIA=A458)*(nCUENTA=1)*(COUNTIF(CONFIG_ASIGNATURAS!$B$7:$B$27,nASIG)&gt;0)*(nNOTA))/SUMPRODUCT((nNIA=A458)*(nCUENTA=1)*(COUNTIF(CONFIG_ASIGNATURAS!$B$7:$B$27,nASIG)&gt;0)*1),"")))</f>
        <v/>
      </c>
      <c r="H458" t="str">
        <f>IF(G458="","",IF(G458="[FÓRMULA MANUAL]","",IFERROR(AVERAGEIFS(nNOTA,nNIA,G458,nCUENTA,1,nASIG,"Lenguaje Musical"),"")))</f>
        <v/>
      </c>
      <c r="I458" t="str">
        <f>IF(G458="","",IF(G458="[FÓRMULA MANUAL]","",IFERROR(AVERAGEIFS(nNOTA,nNIA,G458,nCUENTA,1,nASIG,"Orquesta/Banda/Conjunto"),"")))</f>
        <v/>
      </c>
      <c r="J458" t="str">
        <f>IF(G458="","",IF(G458="[FÓRMULA MANUAL]","",IFERROR(AVERAGEIFS(nNOTA,nNIA,G458,nCUENTA,1,nASIG,"Conjunto"),"")))</f>
        <v/>
      </c>
      <c r="K458" t="str">
        <f>IF(G458="","",IF(G458="[FÓRMULA MANUAL]","",IFERROR(SUMPRODUCT((nNIA=G458)*(nCUENTA=1)*(COUNTIF(CONFIG_ASIGNATURAS!$B$7:$B$27,nASIG)&gt;0)*(nNOTA))/SUMPRODUCT((nNIA=G458)*(nCUENTA=1)*(COUNTIF(CONFIG_ASIGNATURAS!$B$7:$B$27,nASIG)&gt;0)*1),"")))</f>
        <v/>
      </c>
      <c r="N458" t="str">
        <f>IF(M458="","",IF(M458="[FÓRMULA MANUAL]","",IFERROR(AVERAGEIFS(nNOTA,nNIA,M458,nCUENTA,1,nASIG,"Armonía"),"")))</f>
        <v/>
      </c>
      <c r="O458" t="str">
        <f>IF(M458="","",IF(M458="[FÓRMULA MANUAL]","",IFERROR(AVERAGEIFS(nNOTA,nNIA,M458,nCUENTA,1,nASIG,"Orquesta/Banda/Conjunto"),"")))</f>
        <v/>
      </c>
      <c r="P458" t="str">
        <f>IF(M458="","",IF(M458="[FÓRMULA MANUAL]","",IFERROR(AVERAGEIFS(nNOTA,nNIA,M458,nCUENTA,1,nASIG,"Música de Cámara"),"")))</f>
        <v/>
      </c>
      <c r="Q458" t="str">
        <f>IF(M458="","",IF(M458="[FÓRMULA MANUAL]","",IFERROR(SUMPRODUCT((nNIA=M458)*(nCUENTA=1)*(COUNTIF(CONFIG_ASIGNATURAS!$B$7:$B$27,nASIG)&gt;0)*(nNOTA))/SUMPRODUCT((nNIA=M458)*(nCUENTA=1)*(COUNTIF(CONFIG_ASIGNATURAS!$B$7:$B$27,nASIG)&gt;0)*1),"")))</f>
        <v/>
      </c>
      <c r="T458" t="str">
        <f>IF(S458="","",IF(S458="[FÓRMULA MANUAL]","",IFERROR(AVERAGEIFS(nNOTA,nNIA,S458,nCUENTA,1,nASIG,"Armonía"),"")))</f>
        <v/>
      </c>
      <c r="U458" t="str">
        <f>IF(S458="","",IF(S458="[FÓRMULA MANUAL]","",IFERROR(AVERAGEIFS(nNOTA,nNIA,S458,nCUENTA,1,nASIG,"Orquesta/Banda/Conjunto"),"")))</f>
        <v/>
      </c>
      <c r="V458" t="str">
        <f>IF(S458="","",IF(S458="[FÓRMULA MANUAL]","",IFERROR(AVERAGEIFS(nNOTA,nNIA,S458,nCUENTA,1,nASIG,"Música de Cámara"),"")))</f>
        <v/>
      </c>
      <c r="W458" t="str">
        <f>IF(S458="","",IF(S458="[FÓRMULA MANUAL]","",IFERROR(SUMPRODUCT((nNIA=S458)*(nCUENTA=1)*(COUNTIF(CONFIG_ASIGNATURAS!$B$7:$B$27,nASIG)&gt;0)*(nNOTA))/SUMPRODUCT((nNIA=S458)*(nCUENTA=1)*(COUNTIF(CONFIG_ASIGNATURAS!$B$7:$B$27,nASIG)&gt;0)*1),"")))</f>
        <v/>
      </c>
      <c r="Z458" t="str">
        <f>IF(Y458="","",IF(Y458="[FÓRMULA MANUAL]","",IFERROR(AVERAGEIFS(nNOTA,nNIA,Y458,nCUENTA,1,nASIG,"Análisis"),"")))</f>
        <v/>
      </c>
      <c r="AA458" t="str">
        <f>IF(Y458="","",IF(Y458="[FÓRMULA MANUAL]","",IFERROR(AVERAGEIFS(nNOTA,nNIA,Y458,nCUENTA,1,nASIG,"Orquesta/Banda/Conjunto"),"")))</f>
        <v/>
      </c>
      <c r="AB458" t="str">
        <f>IF(Y458="","",IF(Y458="[FÓRMULA MANUAL]","",IFERROR(AVERAGEIFS(nNOTA,nNIA,Y458,nCUENTA,1,nASIG,"Música de Cámara"),"")))</f>
        <v/>
      </c>
      <c r="AC458" t="str">
        <f>IF(Y458="","",IF(Y458="[FÓRMULA MANUAL]","",IFERROR(SUMPRODUCT((nNIA=Y458)*(nCUENTA=1)*(COUNTIF(CONFIG_ASIGNATURAS!$B$7:$B$27,nASIG)&gt;0)*(nNOTA))/SUMPRODUCT((nNIA=Y458)*(nCUENTA=1)*(COUNTIF(CONFIG_ASIGNATURAS!$B$7:$B$27,nASIG)&gt;0)*1),"")))</f>
        <v/>
      </c>
      <c r="AF458" t="str">
        <f>IF(AE458="","",IF(AE458="[FÓRMULA MANUAL]","",IFERROR(AVERAGEIFS(nNOTA,nNIA,AE458,nCUENTA,1,nASIG,"Análisis"),"")))</f>
        <v/>
      </c>
      <c r="AG458" t="str">
        <f>IF(AE458="","",IF(AE458="[FÓRMULA MANUAL]","",IFERROR(AVERAGEIFS(nNOTA,nNIA,AE458,nCUENTA,1,nASIG,"Orquesta/Banda/Conjunto"),"")))</f>
        <v/>
      </c>
      <c r="AH458" t="str">
        <f>IF(AE458="","",IF(AE458="[FÓRMULA MANUAL]","",IFERROR(AVERAGEIFS(nNOTA,nNIA,AE458,nCUENTA,1,nASIG,"Música de Cámara"),"")))</f>
        <v/>
      </c>
      <c r="AI458" t="str">
        <f>IF(AE458="","",IF(AE458="[FÓRMULA MANUAL]","",IFERROR(SUMPRODUCT((nNIA=AE458)*(nCUENTA=1)*(COUNTIF(CONFIG_ASIGNATURAS!$B$7:$B$27,nASIG)&gt;0)*(nNOTA))/SUMPRODUCT((nNIA=AE458)*(nCUENTA=1)*(COUNTIF(CONFIG_ASIGNATURAS!$B$7:$B$27,nASIG)&gt;0)*1),"")))</f>
        <v/>
      </c>
    </row>
    <row r="459" spans="2:35" x14ac:dyDescent="0.2">
      <c r="B459" t="str">
        <f>IF(A459="","",IF(A459="[FÓRMULA MANUAL]","",IFERROR(AVERAGEIFS(nNOTA,nNIA,A459,nCUENTA,1,nASIG,"Lenguaje Musical"),"")))</f>
        <v/>
      </c>
      <c r="C459" t="str">
        <f>IF(A459="","",IF(A459="[FÓRMULA MANUAL]","",IFERROR(AVERAGEIFS(nNOTA,nNIA,A459,nCUENTA,1,nASIG,"Orquesta/Banda/Conjunto"),"")))</f>
        <v/>
      </c>
      <c r="D459" t="str">
        <f>IF(A459="","",IF(A459="[FÓRMULA MANUAL]","",IFERROR(AVERAGEIFS(nNOTA,nNIA,A459,nCUENTA,1,nASIG,"Conjunto"),"")))</f>
        <v/>
      </c>
      <c r="E459" t="str">
        <f>IF(A459="","",IF(A459="[FÓRMULA MANUAL]","",IFERROR(SUMPRODUCT((nNIA=A459)*(nCUENTA=1)*(COUNTIF(CONFIG_ASIGNATURAS!$B$7:$B$27,nASIG)&gt;0)*(nNOTA))/SUMPRODUCT((nNIA=A459)*(nCUENTA=1)*(COUNTIF(CONFIG_ASIGNATURAS!$B$7:$B$27,nASIG)&gt;0)*1),"")))</f>
        <v/>
      </c>
      <c r="H459" t="str">
        <f>IF(G459="","",IF(G459="[FÓRMULA MANUAL]","",IFERROR(AVERAGEIFS(nNOTA,nNIA,G459,nCUENTA,1,nASIG,"Lenguaje Musical"),"")))</f>
        <v/>
      </c>
      <c r="I459" t="str">
        <f>IF(G459="","",IF(G459="[FÓRMULA MANUAL]","",IFERROR(AVERAGEIFS(nNOTA,nNIA,G459,nCUENTA,1,nASIG,"Orquesta/Banda/Conjunto"),"")))</f>
        <v/>
      </c>
      <c r="J459" t="str">
        <f>IF(G459="","",IF(G459="[FÓRMULA MANUAL]","",IFERROR(AVERAGEIFS(nNOTA,nNIA,G459,nCUENTA,1,nASIG,"Conjunto"),"")))</f>
        <v/>
      </c>
      <c r="K459" t="str">
        <f>IF(G459="","",IF(G459="[FÓRMULA MANUAL]","",IFERROR(SUMPRODUCT((nNIA=G459)*(nCUENTA=1)*(COUNTIF(CONFIG_ASIGNATURAS!$B$7:$B$27,nASIG)&gt;0)*(nNOTA))/SUMPRODUCT((nNIA=G459)*(nCUENTA=1)*(COUNTIF(CONFIG_ASIGNATURAS!$B$7:$B$27,nASIG)&gt;0)*1),"")))</f>
        <v/>
      </c>
      <c r="N459" t="str">
        <f>IF(M459="","",IF(M459="[FÓRMULA MANUAL]","",IFERROR(AVERAGEIFS(nNOTA,nNIA,M459,nCUENTA,1,nASIG,"Armonía"),"")))</f>
        <v/>
      </c>
      <c r="O459" t="str">
        <f>IF(M459="","",IF(M459="[FÓRMULA MANUAL]","",IFERROR(AVERAGEIFS(nNOTA,nNIA,M459,nCUENTA,1,nASIG,"Orquesta/Banda/Conjunto"),"")))</f>
        <v/>
      </c>
      <c r="P459" t="str">
        <f>IF(M459="","",IF(M459="[FÓRMULA MANUAL]","",IFERROR(AVERAGEIFS(nNOTA,nNIA,M459,nCUENTA,1,nASIG,"Música de Cámara"),"")))</f>
        <v/>
      </c>
      <c r="Q459" t="str">
        <f>IF(M459="","",IF(M459="[FÓRMULA MANUAL]","",IFERROR(SUMPRODUCT((nNIA=M459)*(nCUENTA=1)*(COUNTIF(CONFIG_ASIGNATURAS!$B$7:$B$27,nASIG)&gt;0)*(nNOTA))/SUMPRODUCT((nNIA=M459)*(nCUENTA=1)*(COUNTIF(CONFIG_ASIGNATURAS!$B$7:$B$27,nASIG)&gt;0)*1),"")))</f>
        <v/>
      </c>
      <c r="T459" t="str">
        <f>IF(S459="","",IF(S459="[FÓRMULA MANUAL]","",IFERROR(AVERAGEIFS(nNOTA,nNIA,S459,nCUENTA,1,nASIG,"Armonía"),"")))</f>
        <v/>
      </c>
      <c r="U459" t="str">
        <f>IF(S459="","",IF(S459="[FÓRMULA MANUAL]","",IFERROR(AVERAGEIFS(nNOTA,nNIA,S459,nCUENTA,1,nASIG,"Orquesta/Banda/Conjunto"),"")))</f>
        <v/>
      </c>
      <c r="V459" t="str">
        <f>IF(S459="","",IF(S459="[FÓRMULA MANUAL]","",IFERROR(AVERAGEIFS(nNOTA,nNIA,S459,nCUENTA,1,nASIG,"Música de Cámara"),"")))</f>
        <v/>
      </c>
      <c r="W459" t="str">
        <f>IF(S459="","",IF(S459="[FÓRMULA MANUAL]","",IFERROR(SUMPRODUCT((nNIA=S459)*(nCUENTA=1)*(COUNTIF(CONFIG_ASIGNATURAS!$B$7:$B$27,nASIG)&gt;0)*(nNOTA))/SUMPRODUCT((nNIA=S459)*(nCUENTA=1)*(COUNTIF(CONFIG_ASIGNATURAS!$B$7:$B$27,nASIG)&gt;0)*1),"")))</f>
        <v/>
      </c>
      <c r="Z459" t="str">
        <f>IF(Y459="","",IF(Y459="[FÓRMULA MANUAL]","",IFERROR(AVERAGEIFS(nNOTA,nNIA,Y459,nCUENTA,1,nASIG,"Análisis"),"")))</f>
        <v/>
      </c>
      <c r="AA459" t="str">
        <f>IF(Y459="","",IF(Y459="[FÓRMULA MANUAL]","",IFERROR(AVERAGEIFS(nNOTA,nNIA,Y459,nCUENTA,1,nASIG,"Orquesta/Banda/Conjunto"),"")))</f>
        <v/>
      </c>
      <c r="AB459" t="str">
        <f>IF(Y459="","",IF(Y459="[FÓRMULA MANUAL]","",IFERROR(AVERAGEIFS(nNOTA,nNIA,Y459,nCUENTA,1,nASIG,"Música de Cámara"),"")))</f>
        <v/>
      </c>
      <c r="AC459" t="str">
        <f>IF(Y459="","",IF(Y459="[FÓRMULA MANUAL]","",IFERROR(SUMPRODUCT((nNIA=Y459)*(nCUENTA=1)*(COUNTIF(CONFIG_ASIGNATURAS!$B$7:$B$27,nASIG)&gt;0)*(nNOTA))/SUMPRODUCT((nNIA=Y459)*(nCUENTA=1)*(COUNTIF(CONFIG_ASIGNATURAS!$B$7:$B$27,nASIG)&gt;0)*1),"")))</f>
        <v/>
      </c>
      <c r="AF459" t="str">
        <f>IF(AE459="","",IF(AE459="[FÓRMULA MANUAL]","",IFERROR(AVERAGEIFS(nNOTA,nNIA,AE459,nCUENTA,1,nASIG,"Análisis"),"")))</f>
        <v/>
      </c>
      <c r="AG459" t="str">
        <f>IF(AE459="","",IF(AE459="[FÓRMULA MANUAL]","",IFERROR(AVERAGEIFS(nNOTA,nNIA,AE459,nCUENTA,1,nASIG,"Orquesta/Banda/Conjunto"),"")))</f>
        <v/>
      </c>
      <c r="AH459" t="str">
        <f>IF(AE459="","",IF(AE459="[FÓRMULA MANUAL]","",IFERROR(AVERAGEIFS(nNOTA,nNIA,AE459,nCUENTA,1,nASIG,"Música de Cámara"),"")))</f>
        <v/>
      </c>
      <c r="AI459" t="str">
        <f>IF(AE459="","",IF(AE459="[FÓRMULA MANUAL]","",IFERROR(SUMPRODUCT((nNIA=AE459)*(nCUENTA=1)*(COUNTIF(CONFIG_ASIGNATURAS!$B$7:$B$27,nASIG)&gt;0)*(nNOTA))/SUMPRODUCT((nNIA=AE459)*(nCUENTA=1)*(COUNTIF(CONFIG_ASIGNATURAS!$B$7:$B$27,nASIG)&gt;0)*1),"")))</f>
        <v/>
      </c>
    </row>
    <row r="460" spans="2:35" x14ac:dyDescent="0.2">
      <c r="B460" t="str">
        <f>IF(A460="","",IF(A460="[FÓRMULA MANUAL]","",IFERROR(AVERAGEIFS(nNOTA,nNIA,A460,nCUENTA,1,nASIG,"Lenguaje Musical"),"")))</f>
        <v/>
      </c>
      <c r="C460" t="str">
        <f>IF(A460="","",IF(A460="[FÓRMULA MANUAL]","",IFERROR(AVERAGEIFS(nNOTA,nNIA,A460,nCUENTA,1,nASIG,"Orquesta/Banda/Conjunto"),"")))</f>
        <v/>
      </c>
      <c r="D460" t="str">
        <f>IF(A460="","",IF(A460="[FÓRMULA MANUAL]","",IFERROR(AVERAGEIFS(nNOTA,nNIA,A460,nCUENTA,1,nASIG,"Conjunto"),"")))</f>
        <v/>
      </c>
      <c r="E460" t="str">
        <f>IF(A460="","",IF(A460="[FÓRMULA MANUAL]","",IFERROR(SUMPRODUCT((nNIA=A460)*(nCUENTA=1)*(COUNTIF(CONFIG_ASIGNATURAS!$B$7:$B$27,nASIG)&gt;0)*(nNOTA))/SUMPRODUCT((nNIA=A460)*(nCUENTA=1)*(COUNTIF(CONFIG_ASIGNATURAS!$B$7:$B$27,nASIG)&gt;0)*1),"")))</f>
        <v/>
      </c>
      <c r="H460" t="str">
        <f>IF(G460="","",IF(G460="[FÓRMULA MANUAL]","",IFERROR(AVERAGEIFS(nNOTA,nNIA,G460,nCUENTA,1,nASIG,"Lenguaje Musical"),"")))</f>
        <v/>
      </c>
      <c r="I460" t="str">
        <f>IF(G460="","",IF(G460="[FÓRMULA MANUAL]","",IFERROR(AVERAGEIFS(nNOTA,nNIA,G460,nCUENTA,1,nASIG,"Orquesta/Banda/Conjunto"),"")))</f>
        <v/>
      </c>
      <c r="J460" t="str">
        <f>IF(G460="","",IF(G460="[FÓRMULA MANUAL]","",IFERROR(AVERAGEIFS(nNOTA,nNIA,G460,nCUENTA,1,nASIG,"Conjunto"),"")))</f>
        <v/>
      </c>
      <c r="K460" t="str">
        <f>IF(G460="","",IF(G460="[FÓRMULA MANUAL]","",IFERROR(SUMPRODUCT((nNIA=G460)*(nCUENTA=1)*(COUNTIF(CONFIG_ASIGNATURAS!$B$7:$B$27,nASIG)&gt;0)*(nNOTA))/SUMPRODUCT((nNIA=G460)*(nCUENTA=1)*(COUNTIF(CONFIG_ASIGNATURAS!$B$7:$B$27,nASIG)&gt;0)*1),"")))</f>
        <v/>
      </c>
      <c r="N460" t="str">
        <f>IF(M460="","",IF(M460="[FÓRMULA MANUAL]","",IFERROR(AVERAGEIFS(nNOTA,nNIA,M460,nCUENTA,1,nASIG,"Armonía"),"")))</f>
        <v/>
      </c>
      <c r="O460" t="str">
        <f>IF(M460="","",IF(M460="[FÓRMULA MANUAL]","",IFERROR(AVERAGEIFS(nNOTA,nNIA,M460,nCUENTA,1,nASIG,"Orquesta/Banda/Conjunto"),"")))</f>
        <v/>
      </c>
      <c r="P460" t="str">
        <f>IF(M460="","",IF(M460="[FÓRMULA MANUAL]","",IFERROR(AVERAGEIFS(nNOTA,nNIA,M460,nCUENTA,1,nASIG,"Música de Cámara"),"")))</f>
        <v/>
      </c>
      <c r="Q460" t="str">
        <f>IF(M460="","",IF(M460="[FÓRMULA MANUAL]","",IFERROR(SUMPRODUCT((nNIA=M460)*(nCUENTA=1)*(COUNTIF(CONFIG_ASIGNATURAS!$B$7:$B$27,nASIG)&gt;0)*(nNOTA))/SUMPRODUCT((nNIA=M460)*(nCUENTA=1)*(COUNTIF(CONFIG_ASIGNATURAS!$B$7:$B$27,nASIG)&gt;0)*1),"")))</f>
        <v/>
      </c>
      <c r="T460" t="str">
        <f>IF(S460="","",IF(S460="[FÓRMULA MANUAL]","",IFERROR(AVERAGEIFS(nNOTA,nNIA,S460,nCUENTA,1,nASIG,"Armonía"),"")))</f>
        <v/>
      </c>
      <c r="U460" t="str">
        <f>IF(S460="","",IF(S460="[FÓRMULA MANUAL]","",IFERROR(AVERAGEIFS(nNOTA,nNIA,S460,nCUENTA,1,nASIG,"Orquesta/Banda/Conjunto"),"")))</f>
        <v/>
      </c>
      <c r="V460" t="str">
        <f>IF(S460="","",IF(S460="[FÓRMULA MANUAL]","",IFERROR(AVERAGEIFS(nNOTA,nNIA,S460,nCUENTA,1,nASIG,"Música de Cámara"),"")))</f>
        <v/>
      </c>
      <c r="W460" t="str">
        <f>IF(S460="","",IF(S460="[FÓRMULA MANUAL]","",IFERROR(SUMPRODUCT((nNIA=S460)*(nCUENTA=1)*(COUNTIF(CONFIG_ASIGNATURAS!$B$7:$B$27,nASIG)&gt;0)*(nNOTA))/SUMPRODUCT((nNIA=S460)*(nCUENTA=1)*(COUNTIF(CONFIG_ASIGNATURAS!$B$7:$B$27,nASIG)&gt;0)*1),"")))</f>
        <v/>
      </c>
      <c r="Z460" t="str">
        <f>IF(Y460="","",IF(Y460="[FÓRMULA MANUAL]","",IFERROR(AVERAGEIFS(nNOTA,nNIA,Y460,nCUENTA,1,nASIG,"Análisis"),"")))</f>
        <v/>
      </c>
      <c r="AA460" t="str">
        <f>IF(Y460="","",IF(Y460="[FÓRMULA MANUAL]","",IFERROR(AVERAGEIFS(nNOTA,nNIA,Y460,nCUENTA,1,nASIG,"Orquesta/Banda/Conjunto"),"")))</f>
        <v/>
      </c>
      <c r="AB460" t="str">
        <f>IF(Y460="","",IF(Y460="[FÓRMULA MANUAL]","",IFERROR(AVERAGEIFS(nNOTA,nNIA,Y460,nCUENTA,1,nASIG,"Música de Cámara"),"")))</f>
        <v/>
      </c>
      <c r="AC460" t="str">
        <f>IF(Y460="","",IF(Y460="[FÓRMULA MANUAL]","",IFERROR(SUMPRODUCT((nNIA=Y460)*(nCUENTA=1)*(COUNTIF(CONFIG_ASIGNATURAS!$B$7:$B$27,nASIG)&gt;0)*(nNOTA))/SUMPRODUCT((nNIA=Y460)*(nCUENTA=1)*(COUNTIF(CONFIG_ASIGNATURAS!$B$7:$B$27,nASIG)&gt;0)*1),"")))</f>
        <v/>
      </c>
      <c r="AF460" t="str">
        <f>IF(AE460="","",IF(AE460="[FÓRMULA MANUAL]","",IFERROR(AVERAGEIFS(nNOTA,nNIA,AE460,nCUENTA,1,nASIG,"Análisis"),"")))</f>
        <v/>
      </c>
      <c r="AG460" t="str">
        <f>IF(AE460="","",IF(AE460="[FÓRMULA MANUAL]","",IFERROR(AVERAGEIFS(nNOTA,nNIA,AE460,nCUENTA,1,nASIG,"Orquesta/Banda/Conjunto"),"")))</f>
        <v/>
      </c>
      <c r="AH460" t="str">
        <f>IF(AE460="","",IF(AE460="[FÓRMULA MANUAL]","",IFERROR(AVERAGEIFS(nNOTA,nNIA,AE460,nCUENTA,1,nASIG,"Música de Cámara"),"")))</f>
        <v/>
      </c>
      <c r="AI460" t="str">
        <f>IF(AE460="","",IF(AE460="[FÓRMULA MANUAL]","",IFERROR(SUMPRODUCT((nNIA=AE460)*(nCUENTA=1)*(COUNTIF(CONFIG_ASIGNATURAS!$B$7:$B$27,nASIG)&gt;0)*(nNOTA))/SUMPRODUCT((nNIA=AE460)*(nCUENTA=1)*(COUNTIF(CONFIG_ASIGNATURAS!$B$7:$B$27,nASIG)&gt;0)*1),"")))</f>
        <v/>
      </c>
    </row>
    <row r="461" spans="2:35" x14ac:dyDescent="0.2">
      <c r="B461" t="str">
        <f>IF(A461="","",IF(A461="[FÓRMULA MANUAL]","",IFERROR(AVERAGEIFS(nNOTA,nNIA,A461,nCUENTA,1,nASIG,"Lenguaje Musical"),"")))</f>
        <v/>
      </c>
      <c r="C461" t="str">
        <f>IF(A461="","",IF(A461="[FÓRMULA MANUAL]","",IFERROR(AVERAGEIFS(nNOTA,nNIA,A461,nCUENTA,1,nASIG,"Orquesta/Banda/Conjunto"),"")))</f>
        <v/>
      </c>
      <c r="D461" t="str">
        <f>IF(A461="","",IF(A461="[FÓRMULA MANUAL]","",IFERROR(AVERAGEIFS(nNOTA,nNIA,A461,nCUENTA,1,nASIG,"Conjunto"),"")))</f>
        <v/>
      </c>
      <c r="E461" t="str">
        <f>IF(A461="","",IF(A461="[FÓRMULA MANUAL]","",IFERROR(SUMPRODUCT((nNIA=A461)*(nCUENTA=1)*(COUNTIF(CONFIG_ASIGNATURAS!$B$7:$B$27,nASIG)&gt;0)*(nNOTA))/SUMPRODUCT((nNIA=A461)*(nCUENTA=1)*(COUNTIF(CONFIG_ASIGNATURAS!$B$7:$B$27,nASIG)&gt;0)*1),"")))</f>
        <v/>
      </c>
      <c r="H461" t="str">
        <f>IF(G461="","",IF(G461="[FÓRMULA MANUAL]","",IFERROR(AVERAGEIFS(nNOTA,nNIA,G461,nCUENTA,1,nASIG,"Lenguaje Musical"),"")))</f>
        <v/>
      </c>
      <c r="I461" t="str">
        <f>IF(G461="","",IF(G461="[FÓRMULA MANUAL]","",IFERROR(AVERAGEIFS(nNOTA,nNIA,G461,nCUENTA,1,nASIG,"Orquesta/Banda/Conjunto"),"")))</f>
        <v/>
      </c>
      <c r="J461" t="str">
        <f>IF(G461="","",IF(G461="[FÓRMULA MANUAL]","",IFERROR(AVERAGEIFS(nNOTA,nNIA,G461,nCUENTA,1,nASIG,"Conjunto"),"")))</f>
        <v/>
      </c>
      <c r="K461" t="str">
        <f>IF(G461="","",IF(G461="[FÓRMULA MANUAL]","",IFERROR(SUMPRODUCT((nNIA=G461)*(nCUENTA=1)*(COUNTIF(CONFIG_ASIGNATURAS!$B$7:$B$27,nASIG)&gt;0)*(nNOTA))/SUMPRODUCT((nNIA=G461)*(nCUENTA=1)*(COUNTIF(CONFIG_ASIGNATURAS!$B$7:$B$27,nASIG)&gt;0)*1),"")))</f>
        <v/>
      </c>
      <c r="N461" t="str">
        <f>IF(M461="","",IF(M461="[FÓRMULA MANUAL]","",IFERROR(AVERAGEIFS(nNOTA,nNIA,M461,nCUENTA,1,nASIG,"Armonía"),"")))</f>
        <v/>
      </c>
      <c r="O461" t="str">
        <f>IF(M461="","",IF(M461="[FÓRMULA MANUAL]","",IFERROR(AVERAGEIFS(nNOTA,nNIA,M461,nCUENTA,1,nASIG,"Orquesta/Banda/Conjunto"),"")))</f>
        <v/>
      </c>
      <c r="P461" t="str">
        <f>IF(M461="","",IF(M461="[FÓRMULA MANUAL]","",IFERROR(AVERAGEIFS(nNOTA,nNIA,M461,nCUENTA,1,nASIG,"Música de Cámara"),"")))</f>
        <v/>
      </c>
      <c r="Q461" t="str">
        <f>IF(M461="","",IF(M461="[FÓRMULA MANUAL]","",IFERROR(SUMPRODUCT((nNIA=M461)*(nCUENTA=1)*(COUNTIF(CONFIG_ASIGNATURAS!$B$7:$B$27,nASIG)&gt;0)*(nNOTA))/SUMPRODUCT((nNIA=M461)*(nCUENTA=1)*(COUNTIF(CONFIG_ASIGNATURAS!$B$7:$B$27,nASIG)&gt;0)*1),"")))</f>
        <v/>
      </c>
      <c r="T461" t="str">
        <f>IF(S461="","",IF(S461="[FÓRMULA MANUAL]","",IFERROR(AVERAGEIFS(nNOTA,nNIA,S461,nCUENTA,1,nASIG,"Armonía"),"")))</f>
        <v/>
      </c>
      <c r="U461" t="str">
        <f>IF(S461="","",IF(S461="[FÓRMULA MANUAL]","",IFERROR(AVERAGEIFS(nNOTA,nNIA,S461,nCUENTA,1,nASIG,"Orquesta/Banda/Conjunto"),"")))</f>
        <v/>
      </c>
      <c r="V461" t="str">
        <f>IF(S461="","",IF(S461="[FÓRMULA MANUAL]","",IFERROR(AVERAGEIFS(nNOTA,nNIA,S461,nCUENTA,1,nASIG,"Música de Cámara"),"")))</f>
        <v/>
      </c>
      <c r="W461" t="str">
        <f>IF(S461="","",IF(S461="[FÓRMULA MANUAL]","",IFERROR(SUMPRODUCT((nNIA=S461)*(nCUENTA=1)*(COUNTIF(CONFIG_ASIGNATURAS!$B$7:$B$27,nASIG)&gt;0)*(nNOTA))/SUMPRODUCT((nNIA=S461)*(nCUENTA=1)*(COUNTIF(CONFIG_ASIGNATURAS!$B$7:$B$27,nASIG)&gt;0)*1),"")))</f>
        <v/>
      </c>
      <c r="Z461" t="str">
        <f>IF(Y461="","",IF(Y461="[FÓRMULA MANUAL]","",IFERROR(AVERAGEIFS(nNOTA,nNIA,Y461,nCUENTA,1,nASIG,"Análisis"),"")))</f>
        <v/>
      </c>
      <c r="AA461" t="str">
        <f>IF(Y461="","",IF(Y461="[FÓRMULA MANUAL]","",IFERROR(AVERAGEIFS(nNOTA,nNIA,Y461,nCUENTA,1,nASIG,"Orquesta/Banda/Conjunto"),"")))</f>
        <v/>
      </c>
      <c r="AB461" t="str">
        <f>IF(Y461="","",IF(Y461="[FÓRMULA MANUAL]","",IFERROR(AVERAGEIFS(nNOTA,nNIA,Y461,nCUENTA,1,nASIG,"Música de Cámara"),"")))</f>
        <v/>
      </c>
      <c r="AC461" t="str">
        <f>IF(Y461="","",IF(Y461="[FÓRMULA MANUAL]","",IFERROR(SUMPRODUCT((nNIA=Y461)*(nCUENTA=1)*(COUNTIF(CONFIG_ASIGNATURAS!$B$7:$B$27,nASIG)&gt;0)*(nNOTA))/SUMPRODUCT((nNIA=Y461)*(nCUENTA=1)*(COUNTIF(CONFIG_ASIGNATURAS!$B$7:$B$27,nASIG)&gt;0)*1),"")))</f>
        <v/>
      </c>
      <c r="AF461" t="str">
        <f>IF(AE461="","",IF(AE461="[FÓRMULA MANUAL]","",IFERROR(AVERAGEIFS(nNOTA,nNIA,AE461,nCUENTA,1,nASIG,"Análisis"),"")))</f>
        <v/>
      </c>
      <c r="AG461" t="str">
        <f>IF(AE461="","",IF(AE461="[FÓRMULA MANUAL]","",IFERROR(AVERAGEIFS(nNOTA,nNIA,AE461,nCUENTA,1,nASIG,"Orquesta/Banda/Conjunto"),"")))</f>
        <v/>
      </c>
      <c r="AH461" t="str">
        <f>IF(AE461="","",IF(AE461="[FÓRMULA MANUAL]","",IFERROR(AVERAGEIFS(nNOTA,nNIA,AE461,nCUENTA,1,nASIG,"Música de Cámara"),"")))</f>
        <v/>
      </c>
      <c r="AI461" t="str">
        <f>IF(AE461="","",IF(AE461="[FÓRMULA MANUAL]","",IFERROR(SUMPRODUCT((nNIA=AE461)*(nCUENTA=1)*(COUNTIF(CONFIG_ASIGNATURAS!$B$7:$B$27,nASIG)&gt;0)*(nNOTA))/SUMPRODUCT((nNIA=AE461)*(nCUENTA=1)*(COUNTIF(CONFIG_ASIGNATURAS!$B$7:$B$27,nASIG)&gt;0)*1),"")))</f>
        <v/>
      </c>
    </row>
    <row r="462" spans="2:35" x14ac:dyDescent="0.2">
      <c r="B462" t="str">
        <f>IF(A462="","",IF(A462="[FÓRMULA MANUAL]","",IFERROR(AVERAGEIFS(nNOTA,nNIA,A462,nCUENTA,1,nASIG,"Lenguaje Musical"),"")))</f>
        <v/>
      </c>
      <c r="C462" t="str">
        <f>IF(A462="","",IF(A462="[FÓRMULA MANUAL]","",IFERROR(AVERAGEIFS(nNOTA,nNIA,A462,nCUENTA,1,nASIG,"Orquesta/Banda/Conjunto"),"")))</f>
        <v/>
      </c>
      <c r="D462" t="str">
        <f>IF(A462="","",IF(A462="[FÓRMULA MANUAL]","",IFERROR(AVERAGEIFS(nNOTA,nNIA,A462,nCUENTA,1,nASIG,"Conjunto"),"")))</f>
        <v/>
      </c>
      <c r="E462" t="str">
        <f>IF(A462="","",IF(A462="[FÓRMULA MANUAL]","",IFERROR(SUMPRODUCT((nNIA=A462)*(nCUENTA=1)*(COUNTIF(CONFIG_ASIGNATURAS!$B$7:$B$27,nASIG)&gt;0)*(nNOTA))/SUMPRODUCT((nNIA=A462)*(nCUENTA=1)*(COUNTIF(CONFIG_ASIGNATURAS!$B$7:$B$27,nASIG)&gt;0)*1),"")))</f>
        <v/>
      </c>
      <c r="H462" t="str">
        <f>IF(G462="","",IF(G462="[FÓRMULA MANUAL]","",IFERROR(AVERAGEIFS(nNOTA,nNIA,G462,nCUENTA,1,nASIG,"Lenguaje Musical"),"")))</f>
        <v/>
      </c>
      <c r="I462" t="str">
        <f>IF(G462="","",IF(G462="[FÓRMULA MANUAL]","",IFERROR(AVERAGEIFS(nNOTA,nNIA,G462,nCUENTA,1,nASIG,"Orquesta/Banda/Conjunto"),"")))</f>
        <v/>
      </c>
      <c r="J462" t="str">
        <f>IF(G462="","",IF(G462="[FÓRMULA MANUAL]","",IFERROR(AVERAGEIFS(nNOTA,nNIA,G462,nCUENTA,1,nASIG,"Conjunto"),"")))</f>
        <v/>
      </c>
      <c r="K462" t="str">
        <f>IF(G462="","",IF(G462="[FÓRMULA MANUAL]","",IFERROR(SUMPRODUCT((nNIA=G462)*(nCUENTA=1)*(COUNTIF(CONFIG_ASIGNATURAS!$B$7:$B$27,nASIG)&gt;0)*(nNOTA))/SUMPRODUCT((nNIA=G462)*(nCUENTA=1)*(COUNTIF(CONFIG_ASIGNATURAS!$B$7:$B$27,nASIG)&gt;0)*1),"")))</f>
        <v/>
      </c>
      <c r="N462" t="str">
        <f>IF(M462="","",IF(M462="[FÓRMULA MANUAL]","",IFERROR(AVERAGEIFS(nNOTA,nNIA,M462,nCUENTA,1,nASIG,"Armonía"),"")))</f>
        <v/>
      </c>
      <c r="O462" t="str">
        <f>IF(M462="","",IF(M462="[FÓRMULA MANUAL]","",IFERROR(AVERAGEIFS(nNOTA,nNIA,M462,nCUENTA,1,nASIG,"Orquesta/Banda/Conjunto"),"")))</f>
        <v/>
      </c>
      <c r="P462" t="str">
        <f>IF(M462="","",IF(M462="[FÓRMULA MANUAL]","",IFERROR(AVERAGEIFS(nNOTA,nNIA,M462,nCUENTA,1,nASIG,"Música de Cámara"),"")))</f>
        <v/>
      </c>
      <c r="Q462" t="str">
        <f>IF(M462="","",IF(M462="[FÓRMULA MANUAL]","",IFERROR(SUMPRODUCT((nNIA=M462)*(nCUENTA=1)*(COUNTIF(CONFIG_ASIGNATURAS!$B$7:$B$27,nASIG)&gt;0)*(nNOTA))/SUMPRODUCT((nNIA=M462)*(nCUENTA=1)*(COUNTIF(CONFIG_ASIGNATURAS!$B$7:$B$27,nASIG)&gt;0)*1),"")))</f>
        <v/>
      </c>
      <c r="T462" t="str">
        <f>IF(S462="","",IF(S462="[FÓRMULA MANUAL]","",IFERROR(AVERAGEIFS(nNOTA,nNIA,S462,nCUENTA,1,nASIG,"Armonía"),"")))</f>
        <v/>
      </c>
      <c r="U462" t="str">
        <f>IF(S462="","",IF(S462="[FÓRMULA MANUAL]","",IFERROR(AVERAGEIFS(nNOTA,nNIA,S462,nCUENTA,1,nASIG,"Orquesta/Banda/Conjunto"),"")))</f>
        <v/>
      </c>
      <c r="V462" t="str">
        <f>IF(S462="","",IF(S462="[FÓRMULA MANUAL]","",IFERROR(AVERAGEIFS(nNOTA,nNIA,S462,nCUENTA,1,nASIG,"Música de Cámara"),"")))</f>
        <v/>
      </c>
      <c r="W462" t="str">
        <f>IF(S462="","",IF(S462="[FÓRMULA MANUAL]","",IFERROR(SUMPRODUCT((nNIA=S462)*(nCUENTA=1)*(COUNTIF(CONFIG_ASIGNATURAS!$B$7:$B$27,nASIG)&gt;0)*(nNOTA))/SUMPRODUCT((nNIA=S462)*(nCUENTA=1)*(COUNTIF(CONFIG_ASIGNATURAS!$B$7:$B$27,nASIG)&gt;0)*1),"")))</f>
        <v/>
      </c>
      <c r="Z462" t="str">
        <f>IF(Y462="","",IF(Y462="[FÓRMULA MANUAL]","",IFERROR(AVERAGEIFS(nNOTA,nNIA,Y462,nCUENTA,1,nASIG,"Análisis"),"")))</f>
        <v/>
      </c>
      <c r="AA462" t="str">
        <f>IF(Y462="","",IF(Y462="[FÓRMULA MANUAL]","",IFERROR(AVERAGEIFS(nNOTA,nNIA,Y462,nCUENTA,1,nASIG,"Orquesta/Banda/Conjunto"),"")))</f>
        <v/>
      </c>
      <c r="AB462" t="str">
        <f>IF(Y462="","",IF(Y462="[FÓRMULA MANUAL]","",IFERROR(AVERAGEIFS(nNOTA,nNIA,Y462,nCUENTA,1,nASIG,"Música de Cámara"),"")))</f>
        <v/>
      </c>
      <c r="AC462" t="str">
        <f>IF(Y462="","",IF(Y462="[FÓRMULA MANUAL]","",IFERROR(SUMPRODUCT((nNIA=Y462)*(nCUENTA=1)*(COUNTIF(CONFIG_ASIGNATURAS!$B$7:$B$27,nASIG)&gt;0)*(nNOTA))/SUMPRODUCT((nNIA=Y462)*(nCUENTA=1)*(COUNTIF(CONFIG_ASIGNATURAS!$B$7:$B$27,nASIG)&gt;0)*1),"")))</f>
        <v/>
      </c>
      <c r="AF462" t="str">
        <f>IF(AE462="","",IF(AE462="[FÓRMULA MANUAL]","",IFERROR(AVERAGEIFS(nNOTA,nNIA,AE462,nCUENTA,1,nASIG,"Análisis"),"")))</f>
        <v/>
      </c>
      <c r="AG462" t="str">
        <f>IF(AE462="","",IF(AE462="[FÓRMULA MANUAL]","",IFERROR(AVERAGEIFS(nNOTA,nNIA,AE462,nCUENTA,1,nASIG,"Orquesta/Banda/Conjunto"),"")))</f>
        <v/>
      </c>
      <c r="AH462" t="str">
        <f>IF(AE462="","",IF(AE462="[FÓRMULA MANUAL]","",IFERROR(AVERAGEIFS(nNOTA,nNIA,AE462,nCUENTA,1,nASIG,"Música de Cámara"),"")))</f>
        <v/>
      </c>
      <c r="AI462" t="str">
        <f>IF(AE462="","",IF(AE462="[FÓRMULA MANUAL]","",IFERROR(SUMPRODUCT((nNIA=AE462)*(nCUENTA=1)*(COUNTIF(CONFIG_ASIGNATURAS!$B$7:$B$27,nASIG)&gt;0)*(nNOTA))/SUMPRODUCT((nNIA=AE462)*(nCUENTA=1)*(COUNTIF(CONFIG_ASIGNATURAS!$B$7:$B$27,nASIG)&gt;0)*1),"")))</f>
        <v/>
      </c>
    </row>
    <row r="463" spans="2:35" x14ac:dyDescent="0.2">
      <c r="B463" t="str">
        <f>IF(A463="","",IF(A463="[FÓRMULA MANUAL]","",IFERROR(AVERAGEIFS(nNOTA,nNIA,A463,nCUENTA,1,nASIG,"Lenguaje Musical"),"")))</f>
        <v/>
      </c>
      <c r="C463" t="str">
        <f>IF(A463="","",IF(A463="[FÓRMULA MANUAL]","",IFERROR(AVERAGEIFS(nNOTA,nNIA,A463,nCUENTA,1,nASIG,"Orquesta/Banda/Conjunto"),"")))</f>
        <v/>
      </c>
      <c r="D463" t="str">
        <f>IF(A463="","",IF(A463="[FÓRMULA MANUAL]","",IFERROR(AVERAGEIFS(nNOTA,nNIA,A463,nCUENTA,1,nASIG,"Conjunto"),"")))</f>
        <v/>
      </c>
      <c r="E463" t="str">
        <f>IF(A463="","",IF(A463="[FÓRMULA MANUAL]","",IFERROR(SUMPRODUCT((nNIA=A463)*(nCUENTA=1)*(COUNTIF(CONFIG_ASIGNATURAS!$B$7:$B$27,nASIG)&gt;0)*(nNOTA))/SUMPRODUCT((nNIA=A463)*(nCUENTA=1)*(COUNTIF(CONFIG_ASIGNATURAS!$B$7:$B$27,nASIG)&gt;0)*1),"")))</f>
        <v/>
      </c>
      <c r="H463" t="str">
        <f>IF(G463="","",IF(G463="[FÓRMULA MANUAL]","",IFERROR(AVERAGEIFS(nNOTA,nNIA,G463,nCUENTA,1,nASIG,"Lenguaje Musical"),"")))</f>
        <v/>
      </c>
      <c r="I463" t="str">
        <f>IF(G463="","",IF(G463="[FÓRMULA MANUAL]","",IFERROR(AVERAGEIFS(nNOTA,nNIA,G463,nCUENTA,1,nASIG,"Orquesta/Banda/Conjunto"),"")))</f>
        <v/>
      </c>
      <c r="J463" t="str">
        <f>IF(G463="","",IF(G463="[FÓRMULA MANUAL]","",IFERROR(AVERAGEIFS(nNOTA,nNIA,G463,nCUENTA,1,nASIG,"Conjunto"),"")))</f>
        <v/>
      </c>
      <c r="K463" t="str">
        <f>IF(G463="","",IF(G463="[FÓRMULA MANUAL]","",IFERROR(SUMPRODUCT((nNIA=G463)*(nCUENTA=1)*(COUNTIF(CONFIG_ASIGNATURAS!$B$7:$B$27,nASIG)&gt;0)*(nNOTA))/SUMPRODUCT((nNIA=G463)*(nCUENTA=1)*(COUNTIF(CONFIG_ASIGNATURAS!$B$7:$B$27,nASIG)&gt;0)*1),"")))</f>
        <v/>
      </c>
      <c r="N463" t="str">
        <f>IF(M463="","",IF(M463="[FÓRMULA MANUAL]","",IFERROR(AVERAGEIFS(nNOTA,nNIA,M463,nCUENTA,1,nASIG,"Armonía"),"")))</f>
        <v/>
      </c>
      <c r="O463" t="str">
        <f>IF(M463="","",IF(M463="[FÓRMULA MANUAL]","",IFERROR(AVERAGEIFS(nNOTA,nNIA,M463,nCUENTA,1,nASIG,"Orquesta/Banda/Conjunto"),"")))</f>
        <v/>
      </c>
      <c r="P463" t="str">
        <f>IF(M463="","",IF(M463="[FÓRMULA MANUAL]","",IFERROR(AVERAGEIFS(nNOTA,nNIA,M463,nCUENTA,1,nASIG,"Música de Cámara"),"")))</f>
        <v/>
      </c>
      <c r="Q463" t="str">
        <f>IF(M463="","",IF(M463="[FÓRMULA MANUAL]","",IFERROR(SUMPRODUCT((nNIA=M463)*(nCUENTA=1)*(COUNTIF(CONFIG_ASIGNATURAS!$B$7:$B$27,nASIG)&gt;0)*(nNOTA))/SUMPRODUCT((nNIA=M463)*(nCUENTA=1)*(COUNTIF(CONFIG_ASIGNATURAS!$B$7:$B$27,nASIG)&gt;0)*1),"")))</f>
        <v/>
      </c>
      <c r="T463" t="str">
        <f>IF(S463="","",IF(S463="[FÓRMULA MANUAL]","",IFERROR(AVERAGEIFS(nNOTA,nNIA,S463,nCUENTA,1,nASIG,"Armonía"),"")))</f>
        <v/>
      </c>
      <c r="U463" t="str">
        <f>IF(S463="","",IF(S463="[FÓRMULA MANUAL]","",IFERROR(AVERAGEIFS(nNOTA,nNIA,S463,nCUENTA,1,nASIG,"Orquesta/Banda/Conjunto"),"")))</f>
        <v/>
      </c>
      <c r="V463" t="str">
        <f>IF(S463="","",IF(S463="[FÓRMULA MANUAL]","",IFERROR(AVERAGEIFS(nNOTA,nNIA,S463,nCUENTA,1,nASIG,"Música de Cámara"),"")))</f>
        <v/>
      </c>
      <c r="W463" t="str">
        <f>IF(S463="","",IF(S463="[FÓRMULA MANUAL]","",IFERROR(SUMPRODUCT((nNIA=S463)*(nCUENTA=1)*(COUNTIF(CONFIG_ASIGNATURAS!$B$7:$B$27,nASIG)&gt;0)*(nNOTA))/SUMPRODUCT((nNIA=S463)*(nCUENTA=1)*(COUNTIF(CONFIG_ASIGNATURAS!$B$7:$B$27,nASIG)&gt;0)*1),"")))</f>
        <v/>
      </c>
      <c r="Z463" t="str">
        <f>IF(Y463="","",IF(Y463="[FÓRMULA MANUAL]","",IFERROR(AVERAGEIFS(nNOTA,nNIA,Y463,nCUENTA,1,nASIG,"Análisis"),"")))</f>
        <v/>
      </c>
      <c r="AA463" t="str">
        <f>IF(Y463="","",IF(Y463="[FÓRMULA MANUAL]","",IFERROR(AVERAGEIFS(nNOTA,nNIA,Y463,nCUENTA,1,nASIG,"Orquesta/Banda/Conjunto"),"")))</f>
        <v/>
      </c>
      <c r="AB463" t="str">
        <f>IF(Y463="","",IF(Y463="[FÓRMULA MANUAL]","",IFERROR(AVERAGEIFS(nNOTA,nNIA,Y463,nCUENTA,1,nASIG,"Música de Cámara"),"")))</f>
        <v/>
      </c>
      <c r="AC463" t="str">
        <f>IF(Y463="","",IF(Y463="[FÓRMULA MANUAL]","",IFERROR(SUMPRODUCT((nNIA=Y463)*(nCUENTA=1)*(COUNTIF(CONFIG_ASIGNATURAS!$B$7:$B$27,nASIG)&gt;0)*(nNOTA))/SUMPRODUCT((nNIA=Y463)*(nCUENTA=1)*(COUNTIF(CONFIG_ASIGNATURAS!$B$7:$B$27,nASIG)&gt;0)*1),"")))</f>
        <v/>
      </c>
      <c r="AF463" t="str">
        <f>IF(AE463="","",IF(AE463="[FÓRMULA MANUAL]","",IFERROR(AVERAGEIFS(nNOTA,nNIA,AE463,nCUENTA,1,nASIG,"Análisis"),"")))</f>
        <v/>
      </c>
      <c r="AG463" t="str">
        <f>IF(AE463="","",IF(AE463="[FÓRMULA MANUAL]","",IFERROR(AVERAGEIFS(nNOTA,nNIA,AE463,nCUENTA,1,nASIG,"Orquesta/Banda/Conjunto"),"")))</f>
        <v/>
      </c>
      <c r="AH463" t="str">
        <f>IF(AE463="","",IF(AE463="[FÓRMULA MANUAL]","",IFERROR(AVERAGEIFS(nNOTA,nNIA,AE463,nCUENTA,1,nASIG,"Música de Cámara"),"")))</f>
        <v/>
      </c>
      <c r="AI463" t="str">
        <f>IF(AE463="","",IF(AE463="[FÓRMULA MANUAL]","",IFERROR(SUMPRODUCT((nNIA=AE463)*(nCUENTA=1)*(COUNTIF(CONFIG_ASIGNATURAS!$B$7:$B$27,nASIG)&gt;0)*(nNOTA))/SUMPRODUCT((nNIA=AE463)*(nCUENTA=1)*(COUNTIF(CONFIG_ASIGNATURAS!$B$7:$B$27,nASIG)&gt;0)*1),"")))</f>
        <v/>
      </c>
    </row>
    <row r="464" spans="2:35" x14ac:dyDescent="0.2">
      <c r="B464" t="str">
        <f>IF(A464="","",IF(A464="[FÓRMULA MANUAL]","",IFERROR(AVERAGEIFS(nNOTA,nNIA,A464,nCUENTA,1,nASIG,"Lenguaje Musical"),"")))</f>
        <v/>
      </c>
      <c r="C464" t="str">
        <f>IF(A464="","",IF(A464="[FÓRMULA MANUAL]","",IFERROR(AVERAGEIFS(nNOTA,nNIA,A464,nCUENTA,1,nASIG,"Orquesta/Banda/Conjunto"),"")))</f>
        <v/>
      </c>
      <c r="D464" t="str">
        <f>IF(A464="","",IF(A464="[FÓRMULA MANUAL]","",IFERROR(AVERAGEIFS(nNOTA,nNIA,A464,nCUENTA,1,nASIG,"Conjunto"),"")))</f>
        <v/>
      </c>
      <c r="E464" t="str">
        <f>IF(A464="","",IF(A464="[FÓRMULA MANUAL]","",IFERROR(SUMPRODUCT((nNIA=A464)*(nCUENTA=1)*(COUNTIF(CONFIG_ASIGNATURAS!$B$7:$B$27,nASIG)&gt;0)*(nNOTA))/SUMPRODUCT((nNIA=A464)*(nCUENTA=1)*(COUNTIF(CONFIG_ASIGNATURAS!$B$7:$B$27,nASIG)&gt;0)*1),"")))</f>
        <v/>
      </c>
      <c r="H464" t="str">
        <f>IF(G464="","",IF(G464="[FÓRMULA MANUAL]","",IFERROR(AVERAGEIFS(nNOTA,nNIA,G464,nCUENTA,1,nASIG,"Lenguaje Musical"),"")))</f>
        <v/>
      </c>
      <c r="I464" t="str">
        <f>IF(G464="","",IF(G464="[FÓRMULA MANUAL]","",IFERROR(AVERAGEIFS(nNOTA,nNIA,G464,nCUENTA,1,nASIG,"Orquesta/Banda/Conjunto"),"")))</f>
        <v/>
      </c>
      <c r="J464" t="str">
        <f>IF(G464="","",IF(G464="[FÓRMULA MANUAL]","",IFERROR(AVERAGEIFS(nNOTA,nNIA,G464,nCUENTA,1,nASIG,"Conjunto"),"")))</f>
        <v/>
      </c>
      <c r="K464" t="str">
        <f>IF(G464="","",IF(G464="[FÓRMULA MANUAL]","",IFERROR(SUMPRODUCT((nNIA=G464)*(nCUENTA=1)*(COUNTIF(CONFIG_ASIGNATURAS!$B$7:$B$27,nASIG)&gt;0)*(nNOTA))/SUMPRODUCT((nNIA=G464)*(nCUENTA=1)*(COUNTIF(CONFIG_ASIGNATURAS!$B$7:$B$27,nASIG)&gt;0)*1),"")))</f>
        <v/>
      </c>
      <c r="N464" t="str">
        <f>IF(M464="","",IF(M464="[FÓRMULA MANUAL]","",IFERROR(AVERAGEIFS(nNOTA,nNIA,M464,nCUENTA,1,nASIG,"Armonía"),"")))</f>
        <v/>
      </c>
      <c r="O464" t="str">
        <f>IF(M464="","",IF(M464="[FÓRMULA MANUAL]","",IFERROR(AVERAGEIFS(nNOTA,nNIA,M464,nCUENTA,1,nASIG,"Orquesta/Banda/Conjunto"),"")))</f>
        <v/>
      </c>
      <c r="P464" t="str">
        <f>IF(M464="","",IF(M464="[FÓRMULA MANUAL]","",IFERROR(AVERAGEIFS(nNOTA,nNIA,M464,nCUENTA,1,nASIG,"Música de Cámara"),"")))</f>
        <v/>
      </c>
      <c r="Q464" t="str">
        <f>IF(M464="","",IF(M464="[FÓRMULA MANUAL]","",IFERROR(SUMPRODUCT((nNIA=M464)*(nCUENTA=1)*(COUNTIF(CONFIG_ASIGNATURAS!$B$7:$B$27,nASIG)&gt;0)*(nNOTA))/SUMPRODUCT((nNIA=M464)*(nCUENTA=1)*(COUNTIF(CONFIG_ASIGNATURAS!$B$7:$B$27,nASIG)&gt;0)*1),"")))</f>
        <v/>
      </c>
      <c r="T464" t="str">
        <f>IF(S464="","",IF(S464="[FÓRMULA MANUAL]","",IFERROR(AVERAGEIFS(nNOTA,nNIA,S464,nCUENTA,1,nASIG,"Armonía"),"")))</f>
        <v/>
      </c>
      <c r="U464" t="str">
        <f>IF(S464="","",IF(S464="[FÓRMULA MANUAL]","",IFERROR(AVERAGEIFS(nNOTA,nNIA,S464,nCUENTA,1,nASIG,"Orquesta/Banda/Conjunto"),"")))</f>
        <v/>
      </c>
      <c r="V464" t="str">
        <f>IF(S464="","",IF(S464="[FÓRMULA MANUAL]","",IFERROR(AVERAGEIFS(nNOTA,nNIA,S464,nCUENTA,1,nASIG,"Música de Cámara"),"")))</f>
        <v/>
      </c>
      <c r="W464" t="str">
        <f>IF(S464="","",IF(S464="[FÓRMULA MANUAL]","",IFERROR(SUMPRODUCT((nNIA=S464)*(nCUENTA=1)*(COUNTIF(CONFIG_ASIGNATURAS!$B$7:$B$27,nASIG)&gt;0)*(nNOTA))/SUMPRODUCT((nNIA=S464)*(nCUENTA=1)*(COUNTIF(CONFIG_ASIGNATURAS!$B$7:$B$27,nASIG)&gt;0)*1),"")))</f>
        <v/>
      </c>
      <c r="Z464" t="str">
        <f>IF(Y464="","",IF(Y464="[FÓRMULA MANUAL]","",IFERROR(AVERAGEIFS(nNOTA,nNIA,Y464,nCUENTA,1,nASIG,"Análisis"),"")))</f>
        <v/>
      </c>
      <c r="AA464" t="str">
        <f>IF(Y464="","",IF(Y464="[FÓRMULA MANUAL]","",IFERROR(AVERAGEIFS(nNOTA,nNIA,Y464,nCUENTA,1,nASIG,"Orquesta/Banda/Conjunto"),"")))</f>
        <v/>
      </c>
      <c r="AB464" t="str">
        <f>IF(Y464="","",IF(Y464="[FÓRMULA MANUAL]","",IFERROR(AVERAGEIFS(nNOTA,nNIA,Y464,nCUENTA,1,nASIG,"Música de Cámara"),"")))</f>
        <v/>
      </c>
      <c r="AC464" t="str">
        <f>IF(Y464="","",IF(Y464="[FÓRMULA MANUAL]","",IFERROR(SUMPRODUCT((nNIA=Y464)*(nCUENTA=1)*(COUNTIF(CONFIG_ASIGNATURAS!$B$7:$B$27,nASIG)&gt;0)*(nNOTA))/SUMPRODUCT((nNIA=Y464)*(nCUENTA=1)*(COUNTIF(CONFIG_ASIGNATURAS!$B$7:$B$27,nASIG)&gt;0)*1),"")))</f>
        <v/>
      </c>
      <c r="AF464" t="str">
        <f>IF(AE464="","",IF(AE464="[FÓRMULA MANUAL]","",IFERROR(AVERAGEIFS(nNOTA,nNIA,AE464,nCUENTA,1,nASIG,"Análisis"),"")))</f>
        <v/>
      </c>
      <c r="AG464" t="str">
        <f>IF(AE464="","",IF(AE464="[FÓRMULA MANUAL]","",IFERROR(AVERAGEIFS(nNOTA,nNIA,AE464,nCUENTA,1,nASIG,"Orquesta/Banda/Conjunto"),"")))</f>
        <v/>
      </c>
      <c r="AH464" t="str">
        <f>IF(AE464="","",IF(AE464="[FÓRMULA MANUAL]","",IFERROR(AVERAGEIFS(nNOTA,nNIA,AE464,nCUENTA,1,nASIG,"Música de Cámara"),"")))</f>
        <v/>
      </c>
      <c r="AI464" t="str">
        <f>IF(AE464="","",IF(AE464="[FÓRMULA MANUAL]","",IFERROR(SUMPRODUCT((nNIA=AE464)*(nCUENTA=1)*(COUNTIF(CONFIG_ASIGNATURAS!$B$7:$B$27,nASIG)&gt;0)*(nNOTA))/SUMPRODUCT((nNIA=AE464)*(nCUENTA=1)*(COUNTIF(CONFIG_ASIGNATURAS!$B$7:$B$27,nASIG)&gt;0)*1),"")))</f>
        <v/>
      </c>
    </row>
    <row r="465" spans="2:35" x14ac:dyDescent="0.2">
      <c r="B465" t="str">
        <f>IF(A465="","",IF(A465="[FÓRMULA MANUAL]","",IFERROR(AVERAGEIFS(nNOTA,nNIA,A465,nCUENTA,1,nASIG,"Lenguaje Musical"),"")))</f>
        <v/>
      </c>
      <c r="C465" t="str">
        <f>IF(A465="","",IF(A465="[FÓRMULA MANUAL]","",IFERROR(AVERAGEIFS(nNOTA,nNIA,A465,nCUENTA,1,nASIG,"Orquesta/Banda/Conjunto"),"")))</f>
        <v/>
      </c>
      <c r="D465" t="str">
        <f>IF(A465="","",IF(A465="[FÓRMULA MANUAL]","",IFERROR(AVERAGEIFS(nNOTA,nNIA,A465,nCUENTA,1,nASIG,"Conjunto"),"")))</f>
        <v/>
      </c>
      <c r="E465" t="str">
        <f>IF(A465="","",IF(A465="[FÓRMULA MANUAL]","",IFERROR(SUMPRODUCT((nNIA=A465)*(nCUENTA=1)*(COUNTIF(CONFIG_ASIGNATURAS!$B$7:$B$27,nASIG)&gt;0)*(nNOTA))/SUMPRODUCT((nNIA=A465)*(nCUENTA=1)*(COUNTIF(CONFIG_ASIGNATURAS!$B$7:$B$27,nASIG)&gt;0)*1),"")))</f>
        <v/>
      </c>
      <c r="H465" t="str">
        <f>IF(G465="","",IF(G465="[FÓRMULA MANUAL]","",IFERROR(AVERAGEIFS(nNOTA,nNIA,G465,nCUENTA,1,nASIG,"Lenguaje Musical"),"")))</f>
        <v/>
      </c>
      <c r="I465" t="str">
        <f>IF(G465="","",IF(G465="[FÓRMULA MANUAL]","",IFERROR(AVERAGEIFS(nNOTA,nNIA,G465,nCUENTA,1,nASIG,"Orquesta/Banda/Conjunto"),"")))</f>
        <v/>
      </c>
      <c r="J465" t="str">
        <f>IF(G465="","",IF(G465="[FÓRMULA MANUAL]","",IFERROR(AVERAGEIFS(nNOTA,nNIA,G465,nCUENTA,1,nASIG,"Conjunto"),"")))</f>
        <v/>
      </c>
      <c r="K465" t="str">
        <f>IF(G465="","",IF(G465="[FÓRMULA MANUAL]","",IFERROR(SUMPRODUCT((nNIA=G465)*(nCUENTA=1)*(COUNTIF(CONFIG_ASIGNATURAS!$B$7:$B$27,nASIG)&gt;0)*(nNOTA))/SUMPRODUCT((nNIA=G465)*(nCUENTA=1)*(COUNTIF(CONFIG_ASIGNATURAS!$B$7:$B$27,nASIG)&gt;0)*1),"")))</f>
        <v/>
      </c>
      <c r="N465" t="str">
        <f>IF(M465="","",IF(M465="[FÓRMULA MANUAL]","",IFERROR(AVERAGEIFS(nNOTA,nNIA,M465,nCUENTA,1,nASIG,"Armonía"),"")))</f>
        <v/>
      </c>
      <c r="O465" t="str">
        <f>IF(M465="","",IF(M465="[FÓRMULA MANUAL]","",IFERROR(AVERAGEIFS(nNOTA,nNIA,M465,nCUENTA,1,nASIG,"Orquesta/Banda/Conjunto"),"")))</f>
        <v/>
      </c>
      <c r="P465" t="str">
        <f>IF(M465="","",IF(M465="[FÓRMULA MANUAL]","",IFERROR(AVERAGEIFS(nNOTA,nNIA,M465,nCUENTA,1,nASIG,"Música de Cámara"),"")))</f>
        <v/>
      </c>
      <c r="Q465" t="str">
        <f>IF(M465="","",IF(M465="[FÓRMULA MANUAL]","",IFERROR(SUMPRODUCT((nNIA=M465)*(nCUENTA=1)*(COUNTIF(CONFIG_ASIGNATURAS!$B$7:$B$27,nASIG)&gt;0)*(nNOTA))/SUMPRODUCT((nNIA=M465)*(nCUENTA=1)*(COUNTIF(CONFIG_ASIGNATURAS!$B$7:$B$27,nASIG)&gt;0)*1),"")))</f>
        <v/>
      </c>
      <c r="T465" t="str">
        <f>IF(S465="","",IF(S465="[FÓRMULA MANUAL]","",IFERROR(AVERAGEIFS(nNOTA,nNIA,S465,nCUENTA,1,nASIG,"Armonía"),"")))</f>
        <v/>
      </c>
      <c r="U465" t="str">
        <f>IF(S465="","",IF(S465="[FÓRMULA MANUAL]","",IFERROR(AVERAGEIFS(nNOTA,nNIA,S465,nCUENTA,1,nASIG,"Orquesta/Banda/Conjunto"),"")))</f>
        <v/>
      </c>
      <c r="V465" t="str">
        <f>IF(S465="","",IF(S465="[FÓRMULA MANUAL]","",IFERROR(AVERAGEIFS(nNOTA,nNIA,S465,nCUENTA,1,nASIG,"Música de Cámara"),"")))</f>
        <v/>
      </c>
      <c r="W465" t="str">
        <f>IF(S465="","",IF(S465="[FÓRMULA MANUAL]","",IFERROR(SUMPRODUCT((nNIA=S465)*(nCUENTA=1)*(COUNTIF(CONFIG_ASIGNATURAS!$B$7:$B$27,nASIG)&gt;0)*(nNOTA))/SUMPRODUCT((nNIA=S465)*(nCUENTA=1)*(COUNTIF(CONFIG_ASIGNATURAS!$B$7:$B$27,nASIG)&gt;0)*1),"")))</f>
        <v/>
      </c>
      <c r="Z465" t="str">
        <f>IF(Y465="","",IF(Y465="[FÓRMULA MANUAL]","",IFERROR(AVERAGEIFS(nNOTA,nNIA,Y465,nCUENTA,1,nASIG,"Análisis"),"")))</f>
        <v/>
      </c>
      <c r="AA465" t="str">
        <f>IF(Y465="","",IF(Y465="[FÓRMULA MANUAL]","",IFERROR(AVERAGEIFS(nNOTA,nNIA,Y465,nCUENTA,1,nASIG,"Orquesta/Banda/Conjunto"),"")))</f>
        <v/>
      </c>
      <c r="AB465" t="str">
        <f>IF(Y465="","",IF(Y465="[FÓRMULA MANUAL]","",IFERROR(AVERAGEIFS(nNOTA,nNIA,Y465,nCUENTA,1,nASIG,"Música de Cámara"),"")))</f>
        <v/>
      </c>
      <c r="AC465" t="str">
        <f>IF(Y465="","",IF(Y465="[FÓRMULA MANUAL]","",IFERROR(SUMPRODUCT((nNIA=Y465)*(nCUENTA=1)*(COUNTIF(CONFIG_ASIGNATURAS!$B$7:$B$27,nASIG)&gt;0)*(nNOTA))/SUMPRODUCT((nNIA=Y465)*(nCUENTA=1)*(COUNTIF(CONFIG_ASIGNATURAS!$B$7:$B$27,nASIG)&gt;0)*1),"")))</f>
        <v/>
      </c>
      <c r="AF465" t="str">
        <f>IF(AE465="","",IF(AE465="[FÓRMULA MANUAL]","",IFERROR(AVERAGEIFS(nNOTA,nNIA,AE465,nCUENTA,1,nASIG,"Análisis"),"")))</f>
        <v/>
      </c>
      <c r="AG465" t="str">
        <f>IF(AE465="","",IF(AE465="[FÓRMULA MANUAL]","",IFERROR(AVERAGEIFS(nNOTA,nNIA,AE465,nCUENTA,1,nASIG,"Orquesta/Banda/Conjunto"),"")))</f>
        <v/>
      </c>
      <c r="AH465" t="str">
        <f>IF(AE465="","",IF(AE465="[FÓRMULA MANUAL]","",IFERROR(AVERAGEIFS(nNOTA,nNIA,AE465,nCUENTA,1,nASIG,"Música de Cámara"),"")))</f>
        <v/>
      </c>
      <c r="AI465" t="str">
        <f>IF(AE465="","",IF(AE465="[FÓRMULA MANUAL]","",IFERROR(SUMPRODUCT((nNIA=AE465)*(nCUENTA=1)*(COUNTIF(CONFIG_ASIGNATURAS!$B$7:$B$27,nASIG)&gt;0)*(nNOTA))/SUMPRODUCT((nNIA=AE465)*(nCUENTA=1)*(COUNTIF(CONFIG_ASIGNATURAS!$B$7:$B$27,nASIG)&gt;0)*1),"")))</f>
        <v/>
      </c>
    </row>
    <row r="466" spans="2:35" x14ac:dyDescent="0.2">
      <c r="B466" t="str">
        <f>IF(A466="","",IF(A466="[FÓRMULA MANUAL]","",IFERROR(AVERAGEIFS(nNOTA,nNIA,A466,nCUENTA,1,nASIG,"Lenguaje Musical"),"")))</f>
        <v/>
      </c>
      <c r="C466" t="str">
        <f>IF(A466="","",IF(A466="[FÓRMULA MANUAL]","",IFERROR(AVERAGEIFS(nNOTA,nNIA,A466,nCUENTA,1,nASIG,"Orquesta/Banda/Conjunto"),"")))</f>
        <v/>
      </c>
      <c r="D466" t="str">
        <f>IF(A466="","",IF(A466="[FÓRMULA MANUAL]","",IFERROR(AVERAGEIFS(nNOTA,nNIA,A466,nCUENTA,1,nASIG,"Conjunto"),"")))</f>
        <v/>
      </c>
      <c r="E466" t="str">
        <f>IF(A466="","",IF(A466="[FÓRMULA MANUAL]","",IFERROR(SUMPRODUCT((nNIA=A466)*(nCUENTA=1)*(COUNTIF(CONFIG_ASIGNATURAS!$B$7:$B$27,nASIG)&gt;0)*(nNOTA))/SUMPRODUCT((nNIA=A466)*(nCUENTA=1)*(COUNTIF(CONFIG_ASIGNATURAS!$B$7:$B$27,nASIG)&gt;0)*1),"")))</f>
        <v/>
      </c>
      <c r="H466" t="str">
        <f>IF(G466="","",IF(G466="[FÓRMULA MANUAL]","",IFERROR(AVERAGEIFS(nNOTA,nNIA,G466,nCUENTA,1,nASIG,"Lenguaje Musical"),"")))</f>
        <v/>
      </c>
      <c r="I466" t="str">
        <f>IF(G466="","",IF(G466="[FÓRMULA MANUAL]","",IFERROR(AVERAGEIFS(nNOTA,nNIA,G466,nCUENTA,1,nASIG,"Orquesta/Banda/Conjunto"),"")))</f>
        <v/>
      </c>
      <c r="J466" t="str">
        <f>IF(G466="","",IF(G466="[FÓRMULA MANUAL]","",IFERROR(AVERAGEIFS(nNOTA,nNIA,G466,nCUENTA,1,nASIG,"Conjunto"),"")))</f>
        <v/>
      </c>
      <c r="K466" t="str">
        <f>IF(G466="","",IF(G466="[FÓRMULA MANUAL]","",IFERROR(SUMPRODUCT((nNIA=G466)*(nCUENTA=1)*(COUNTIF(CONFIG_ASIGNATURAS!$B$7:$B$27,nASIG)&gt;0)*(nNOTA))/SUMPRODUCT((nNIA=G466)*(nCUENTA=1)*(COUNTIF(CONFIG_ASIGNATURAS!$B$7:$B$27,nASIG)&gt;0)*1),"")))</f>
        <v/>
      </c>
      <c r="N466" t="str">
        <f>IF(M466="","",IF(M466="[FÓRMULA MANUAL]","",IFERROR(AVERAGEIFS(nNOTA,nNIA,M466,nCUENTA,1,nASIG,"Armonía"),"")))</f>
        <v/>
      </c>
      <c r="O466" t="str">
        <f>IF(M466="","",IF(M466="[FÓRMULA MANUAL]","",IFERROR(AVERAGEIFS(nNOTA,nNIA,M466,nCUENTA,1,nASIG,"Orquesta/Banda/Conjunto"),"")))</f>
        <v/>
      </c>
      <c r="P466" t="str">
        <f>IF(M466="","",IF(M466="[FÓRMULA MANUAL]","",IFERROR(AVERAGEIFS(nNOTA,nNIA,M466,nCUENTA,1,nASIG,"Música de Cámara"),"")))</f>
        <v/>
      </c>
      <c r="Q466" t="str">
        <f>IF(M466="","",IF(M466="[FÓRMULA MANUAL]","",IFERROR(SUMPRODUCT((nNIA=M466)*(nCUENTA=1)*(COUNTIF(CONFIG_ASIGNATURAS!$B$7:$B$27,nASIG)&gt;0)*(nNOTA))/SUMPRODUCT((nNIA=M466)*(nCUENTA=1)*(COUNTIF(CONFIG_ASIGNATURAS!$B$7:$B$27,nASIG)&gt;0)*1),"")))</f>
        <v/>
      </c>
      <c r="T466" t="str">
        <f>IF(S466="","",IF(S466="[FÓRMULA MANUAL]","",IFERROR(AVERAGEIFS(nNOTA,nNIA,S466,nCUENTA,1,nASIG,"Armonía"),"")))</f>
        <v/>
      </c>
      <c r="U466" t="str">
        <f>IF(S466="","",IF(S466="[FÓRMULA MANUAL]","",IFERROR(AVERAGEIFS(nNOTA,nNIA,S466,nCUENTA,1,nASIG,"Orquesta/Banda/Conjunto"),"")))</f>
        <v/>
      </c>
      <c r="V466" t="str">
        <f>IF(S466="","",IF(S466="[FÓRMULA MANUAL]","",IFERROR(AVERAGEIFS(nNOTA,nNIA,S466,nCUENTA,1,nASIG,"Música de Cámara"),"")))</f>
        <v/>
      </c>
      <c r="W466" t="str">
        <f>IF(S466="","",IF(S466="[FÓRMULA MANUAL]","",IFERROR(SUMPRODUCT((nNIA=S466)*(nCUENTA=1)*(COUNTIF(CONFIG_ASIGNATURAS!$B$7:$B$27,nASIG)&gt;0)*(nNOTA))/SUMPRODUCT((nNIA=S466)*(nCUENTA=1)*(COUNTIF(CONFIG_ASIGNATURAS!$B$7:$B$27,nASIG)&gt;0)*1),"")))</f>
        <v/>
      </c>
      <c r="Z466" t="str">
        <f>IF(Y466="","",IF(Y466="[FÓRMULA MANUAL]","",IFERROR(AVERAGEIFS(nNOTA,nNIA,Y466,nCUENTA,1,nASIG,"Análisis"),"")))</f>
        <v/>
      </c>
      <c r="AA466" t="str">
        <f>IF(Y466="","",IF(Y466="[FÓRMULA MANUAL]","",IFERROR(AVERAGEIFS(nNOTA,nNIA,Y466,nCUENTA,1,nASIG,"Orquesta/Banda/Conjunto"),"")))</f>
        <v/>
      </c>
      <c r="AB466" t="str">
        <f>IF(Y466="","",IF(Y466="[FÓRMULA MANUAL]","",IFERROR(AVERAGEIFS(nNOTA,nNIA,Y466,nCUENTA,1,nASIG,"Música de Cámara"),"")))</f>
        <v/>
      </c>
      <c r="AC466" t="str">
        <f>IF(Y466="","",IF(Y466="[FÓRMULA MANUAL]","",IFERROR(SUMPRODUCT((nNIA=Y466)*(nCUENTA=1)*(COUNTIF(CONFIG_ASIGNATURAS!$B$7:$B$27,nASIG)&gt;0)*(nNOTA))/SUMPRODUCT((nNIA=Y466)*(nCUENTA=1)*(COUNTIF(CONFIG_ASIGNATURAS!$B$7:$B$27,nASIG)&gt;0)*1),"")))</f>
        <v/>
      </c>
      <c r="AF466" t="str">
        <f>IF(AE466="","",IF(AE466="[FÓRMULA MANUAL]","",IFERROR(AVERAGEIFS(nNOTA,nNIA,AE466,nCUENTA,1,nASIG,"Análisis"),"")))</f>
        <v/>
      </c>
      <c r="AG466" t="str">
        <f>IF(AE466="","",IF(AE466="[FÓRMULA MANUAL]","",IFERROR(AVERAGEIFS(nNOTA,nNIA,AE466,nCUENTA,1,nASIG,"Orquesta/Banda/Conjunto"),"")))</f>
        <v/>
      </c>
      <c r="AH466" t="str">
        <f>IF(AE466="","",IF(AE466="[FÓRMULA MANUAL]","",IFERROR(AVERAGEIFS(nNOTA,nNIA,AE466,nCUENTA,1,nASIG,"Música de Cámara"),"")))</f>
        <v/>
      </c>
      <c r="AI466" t="str">
        <f>IF(AE466="","",IF(AE466="[FÓRMULA MANUAL]","",IFERROR(SUMPRODUCT((nNIA=AE466)*(nCUENTA=1)*(COUNTIF(CONFIG_ASIGNATURAS!$B$7:$B$27,nASIG)&gt;0)*(nNOTA))/SUMPRODUCT((nNIA=AE466)*(nCUENTA=1)*(COUNTIF(CONFIG_ASIGNATURAS!$B$7:$B$27,nASIG)&gt;0)*1),"")))</f>
        <v/>
      </c>
    </row>
    <row r="467" spans="2:35" x14ac:dyDescent="0.2">
      <c r="B467" t="str">
        <f>IF(A467="","",IF(A467="[FÓRMULA MANUAL]","",IFERROR(AVERAGEIFS(nNOTA,nNIA,A467,nCUENTA,1,nASIG,"Lenguaje Musical"),"")))</f>
        <v/>
      </c>
      <c r="C467" t="str">
        <f>IF(A467="","",IF(A467="[FÓRMULA MANUAL]","",IFERROR(AVERAGEIFS(nNOTA,nNIA,A467,nCUENTA,1,nASIG,"Orquesta/Banda/Conjunto"),"")))</f>
        <v/>
      </c>
      <c r="D467" t="str">
        <f>IF(A467="","",IF(A467="[FÓRMULA MANUAL]","",IFERROR(AVERAGEIFS(nNOTA,nNIA,A467,nCUENTA,1,nASIG,"Conjunto"),"")))</f>
        <v/>
      </c>
      <c r="E467" t="str">
        <f>IF(A467="","",IF(A467="[FÓRMULA MANUAL]","",IFERROR(SUMPRODUCT((nNIA=A467)*(nCUENTA=1)*(COUNTIF(CONFIG_ASIGNATURAS!$B$7:$B$27,nASIG)&gt;0)*(nNOTA))/SUMPRODUCT((nNIA=A467)*(nCUENTA=1)*(COUNTIF(CONFIG_ASIGNATURAS!$B$7:$B$27,nASIG)&gt;0)*1),"")))</f>
        <v/>
      </c>
      <c r="H467" t="str">
        <f>IF(G467="","",IF(G467="[FÓRMULA MANUAL]","",IFERROR(AVERAGEIFS(nNOTA,nNIA,G467,nCUENTA,1,nASIG,"Lenguaje Musical"),"")))</f>
        <v/>
      </c>
      <c r="I467" t="str">
        <f>IF(G467="","",IF(G467="[FÓRMULA MANUAL]","",IFERROR(AVERAGEIFS(nNOTA,nNIA,G467,nCUENTA,1,nASIG,"Orquesta/Banda/Conjunto"),"")))</f>
        <v/>
      </c>
      <c r="J467" t="str">
        <f>IF(G467="","",IF(G467="[FÓRMULA MANUAL]","",IFERROR(AVERAGEIFS(nNOTA,nNIA,G467,nCUENTA,1,nASIG,"Conjunto"),"")))</f>
        <v/>
      </c>
      <c r="K467" t="str">
        <f>IF(G467="","",IF(G467="[FÓRMULA MANUAL]","",IFERROR(SUMPRODUCT((nNIA=G467)*(nCUENTA=1)*(COUNTIF(CONFIG_ASIGNATURAS!$B$7:$B$27,nASIG)&gt;0)*(nNOTA))/SUMPRODUCT((nNIA=G467)*(nCUENTA=1)*(COUNTIF(CONFIG_ASIGNATURAS!$B$7:$B$27,nASIG)&gt;0)*1),"")))</f>
        <v/>
      </c>
      <c r="N467" t="str">
        <f>IF(M467="","",IF(M467="[FÓRMULA MANUAL]","",IFERROR(AVERAGEIFS(nNOTA,nNIA,M467,nCUENTA,1,nASIG,"Armonía"),"")))</f>
        <v/>
      </c>
      <c r="O467" t="str">
        <f>IF(M467="","",IF(M467="[FÓRMULA MANUAL]","",IFERROR(AVERAGEIFS(nNOTA,nNIA,M467,nCUENTA,1,nASIG,"Orquesta/Banda/Conjunto"),"")))</f>
        <v/>
      </c>
      <c r="P467" t="str">
        <f>IF(M467="","",IF(M467="[FÓRMULA MANUAL]","",IFERROR(AVERAGEIFS(nNOTA,nNIA,M467,nCUENTA,1,nASIG,"Música de Cámara"),"")))</f>
        <v/>
      </c>
      <c r="Q467" t="str">
        <f>IF(M467="","",IF(M467="[FÓRMULA MANUAL]","",IFERROR(SUMPRODUCT((nNIA=M467)*(nCUENTA=1)*(COUNTIF(CONFIG_ASIGNATURAS!$B$7:$B$27,nASIG)&gt;0)*(nNOTA))/SUMPRODUCT((nNIA=M467)*(nCUENTA=1)*(COUNTIF(CONFIG_ASIGNATURAS!$B$7:$B$27,nASIG)&gt;0)*1),"")))</f>
        <v/>
      </c>
      <c r="T467" t="str">
        <f>IF(S467="","",IF(S467="[FÓRMULA MANUAL]","",IFERROR(AVERAGEIFS(nNOTA,nNIA,S467,nCUENTA,1,nASIG,"Armonía"),"")))</f>
        <v/>
      </c>
      <c r="U467" t="str">
        <f>IF(S467="","",IF(S467="[FÓRMULA MANUAL]","",IFERROR(AVERAGEIFS(nNOTA,nNIA,S467,nCUENTA,1,nASIG,"Orquesta/Banda/Conjunto"),"")))</f>
        <v/>
      </c>
      <c r="V467" t="str">
        <f>IF(S467="","",IF(S467="[FÓRMULA MANUAL]","",IFERROR(AVERAGEIFS(nNOTA,nNIA,S467,nCUENTA,1,nASIG,"Música de Cámara"),"")))</f>
        <v/>
      </c>
      <c r="W467" t="str">
        <f>IF(S467="","",IF(S467="[FÓRMULA MANUAL]","",IFERROR(SUMPRODUCT((nNIA=S467)*(nCUENTA=1)*(COUNTIF(CONFIG_ASIGNATURAS!$B$7:$B$27,nASIG)&gt;0)*(nNOTA))/SUMPRODUCT((nNIA=S467)*(nCUENTA=1)*(COUNTIF(CONFIG_ASIGNATURAS!$B$7:$B$27,nASIG)&gt;0)*1),"")))</f>
        <v/>
      </c>
      <c r="Z467" t="str">
        <f>IF(Y467="","",IF(Y467="[FÓRMULA MANUAL]","",IFERROR(AVERAGEIFS(nNOTA,nNIA,Y467,nCUENTA,1,nASIG,"Análisis"),"")))</f>
        <v/>
      </c>
      <c r="AA467" t="str">
        <f>IF(Y467="","",IF(Y467="[FÓRMULA MANUAL]","",IFERROR(AVERAGEIFS(nNOTA,nNIA,Y467,nCUENTA,1,nASIG,"Orquesta/Banda/Conjunto"),"")))</f>
        <v/>
      </c>
      <c r="AB467" t="str">
        <f>IF(Y467="","",IF(Y467="[FÓRMULA MANUAL]","",IFERROR(AVERAGEIFS(nNOTA,nNIA,Y467,nCUENTA,1,nASIG,"Música de Cámara"),"")))</f>
        <v/>
      </c>
      <c r="AC467" t="str">
        <f>IF(Y467="","",IF(Y467="[FÓRMULA MANUAL]","",IFERROR(SUMPRODUCT((nNIA=Y467)*(nCUENTA=1)*(COUNTIF(CONFIG_ASIGNATURAS!$B$7:$B$27,nASIG)&gt;0)*(nNOTA))/SUMPRODUCT((nNIA=Y467)*(nCUENTA=1)*(COUNTIF(CONFIG_ASIGNATURAS!$B$7:$B$27,nASIG)&gt;0)*1),"")))</f>
        <v/>
      </c>
      <c r="AF467" t="str">
        <f>IF(AE467="","",IF(AE467="[FÓRMULA MANUAL]","",IFERROR(AVERAGEIFS(nNOTA,nNIA,AE467,nCUENTA,1,nASIG,"Análisis"),"")))</f>
        <v/>
      </c>
      <c r="AG467" t="str">
        <f>IF(AE467="","",IF(AE467="[FÓRMULA MANUAL]","",IFERROR(AVERAGEIFS(nNOTA,nNIA,AE467,nCUENTA,1,nASIG,"Orquesta/Banda/Conjunto"),"")))</f>
        <v/>
      </c>
      <c r="AH467" t="str">
        <f>IF(AE467="","",IF(AE467="[FÓRMULA MANUAL]","",IFERROR(AVERAGEIFS(nNOTA,nNIA,AE467,nCUENTA,1,nASIG,"Música de Cámara"),"")))</f>
        <v/>
      </c>
      <c r="AI467" t="str">
        <f>IF(AE467="","",IF(AE467="[FÓRMULA MANUAL]","",IFERROR(SUMPRODUCT((nNIA=AE467)*(nCUENTA=1)*(COUNTIF(CONFIG_ASIGNATURAS!$B$7:$B$27,nASIG)&gt;0)*(nNOTA))/SUMPRODUCT((nNIA=AE467)*(nCUENTA=1)*(COUNTIF(CONFIG_ASIGNATURAS!$B$7:$B$27,nASIG)&gt;0)*1),"")))</f>
        <v/>
      </c>
    </row>
    <row r="468" spans="2:35" x14ac:dyDescent="0.2">
      <c r="B468" t="str">
        <f>IF(A468="","",IF(A468="[FÓRMULA MANUAL]","",IFERROR(AVERAGEIFS(nNOTA,nNIA,A468,nCUENTA,1,nASIG,"Lenguaje Musical"),"")))</f>
        <v/>
      </c>
      <c r="C468" t="str">
        <f>IF(A468="","",IF(A468="[FÓRMULA MANUAL]","",IFERROR(AVERAGEIFS(nNOTA,nNIA,A468,nCUENTA,1,nASIG,"Orquesta/Banda/Conjunto"),"")))</f>
        <v/>
      </c>
      <c r="D468" t="str">
        <f>IF(A468="","",IF(A468="[FÓRMULA MANUAL]","",IFERROR(AVERAGEIFS(nNOTA,nNIA,A468,nCUENTA,1,nASIG,"Conjunto"),"")))</f>
        <v/>
      </c>
      <c r="E468" t="str">
        <f>IF(A468="","",IF(A468="[FÓRMULA MANUAL]","",IFERROR(SUMPRODUCT((nNIA=A468)*(nCUENTA=1)*(COUNTIF(CONFIG_ASIGNATURAS!$B$7:$B$27,nASIG)&gt;0)*(nNOTA))/SUMPRODUCT((nNIA=A468)*(nCUENTA=1)*(COUNTIF(CONFIG_ASIGNATURAS!$B$7:$B$27,nASIG)&gt;0)*1),"")))</f>
        <v/>
      </c>
      <c r="H468" t="str">
        <f>IF(G468="","",IF(G468="[FÓRMULA MANUAL]","",IFERROR(AVERAGEIFS(nNOTA,nNIA,G468,nCUENTA,1,nASIG,"Lenguaje Musical"),"")))</f>
        <v/>
      </c>
      <c r="I468" t="str">
        <f>IF(G468="","",IF(G468="[FÓRMULA MANUAL]","",IFERROR(AVERAGEIFS(nNOTA,nNIA,G468,nCUENTA,1,nASIG,"Orquesta/Banda/Conjunto"),"")))</f>
        <v/>
      </c>
      <c r="J468" t="str">
        <f>IF(G468="","",IF(G468="[FÓRMULA MANUAL]","",IFERROR(AVERAGEIFS(nNOTA,nNIA,G468,nCUENTA,1,nASIG,"Conjunto"),"")))</f>
        <v/>
      </c>
      <c r="K468" t="str">
        <f>IF(G468="","",IF(G468="[FÓRMULA MANUAL]","",IFERROR(SUMPRODUCT((nNIA=G468)*(nCUENTA=1)*(COUNTIF(CONFIG_ASIGNATURAS!$B$7:$B$27,nASIG)&gt;0)*(nNOTA))/SUMPRODUCT((nNIA=G468)*(nCUENTA=1)*(COUNTIF(CONFIG_ASIGNATURAS!$B$7:$B$27,nASIG)&gt;0)*1),"")))</f>
        <v/>
      </c>
      <c r="N468" t="str">
        <f>IF(M468="","",IF(M468="[FÓRMULA MANUAL]","",IFERROR(AVERAGEIFS(nNOTA,nNIA,M468,nCUENTA,1,nASIG,"Armonía"),"")))</f>
        <v/>
      </c>
      <c r="O468" t="str">
        <f>IF(M468="","",IF(M468="[FÓRMULA MANUAL]","",IFERROR(AVERAGEIFS(nNOTA,nNIA,M468,nCUENTA,1,nASIG,"Orquesta/Banda/Conjunto"),"")))</f>
        <v/>
      </c>
      <c r="P468" t="str">
        <f>IF(M468="","",IF(M468="[FÓRMULA MANUAL]","",IFERROR(AVERAGEIFS(nNOTA,nNIA,M468,nCUENTA,1,nASIG,"Música de Cámara"),"")))</f>
        <v/>
      </c>
      <c r="Q468" t="str">
        <f>IF(M468="","",IF(M468="[FÓRMULA MANUAL]","",IFERROR(SUMPRODUCT((nNIA=M468)*(nCUENTA=1)*(COUNTIF(CONFIG_ASIGNATURAS!$B$7:$B$27,nASIG)&gt;0)*(nNOTA))/SUMPRODUCT((nNIA=M468)*(nCUENTA=1)*(COUNTIF(CONFIG_ASIGNATURAS!$B$7:$B$27,nASIG)&gt;0)*1),"")))</f>
        <v/>
      </c>
      <c r="T468" t="str">
        <f>IF(S468="","",IF(S468="[FÓRMULA MANUAL]","",IFERROR(AVERAGEIFS(nNOTA,nNIA,S468,nCUENTA,1,nASIG,"Armonía"),"")))</f>
        <v/>
      </c>
      <c r="U468" t="str">
        <f>IF(S468="","",IF(S468="[FÓRMULA MANUAL]","",IFERROR(AVERAGEIFS(nNOTA,nNIA,S468,nCUENTA,1,nASIG,"Orquesta/Banda/Conjunto"),"")))</f>
        <v/>
      </c>
      <c r="V468" t="str">
        <f>IF(S468="","",IF(S468="[FÓRMULA MANUAL]","",IFERROR(AVERAGEIFS(nNOTA,nNIA,S468,nCUENTA,1,nASIG,"Música de Cámara"),"")))</f>
        <v/>
      </c>
      <c r="W468" t="str">
        <f>IF(S468="","",IF(S468="[FÓRMULA MANUAL]","",IFERROR(SUMPRODUCT((nNIA=S468)*(nCUENTA=1)*(COUNTIF(CONFIG_ASIGNATURAS!$B$7:$B$27,nASIG)&gt;0)*(nNOTA))/SUMPRODUCT((nNIA=S468)*(nCUENTA=1)*(COUNTIF(CONFIG_ASIGNATURAS!$B$7:$B$27,nASIG)&gt;0)*1),"")))</f>
        <v/>
      </c>
      <c r="Z468" t="str">
        <f>IF(Y468="","",IF(Y468="[FÓRMULA MANUAL]","",IFERROR(AVERAGEIFS(nNOTA,nNIA,Y468,nCUENTA,1,nASIG,"Análisis"),"")))</f>
        <v/>
      </c>
      <c r="AA468" t="str">
        <f>IF(Y468="","",IF(Y468="[FÓRMULA MANUAL]","",IFERROR(AVERAGEIFS(nNOTA,nNIA,Y468,nCUENTA,1,nASIG,"Orquesta/Banda/Conjunto"),"")))</f>
        <v/>
      </c>
      <c r="AB468" t="str">
        <f>IF(Y468="","",IF(Y468="[FÓRMULA MANUAL]","",IFERROR(AVERAGEIFS(nNOTA,nNIA,Y468,nCUENTA,1,nASIG,"Música de Cámara"),"")))</f>
        <v/>
      </c>
      <c r="AC468" t="str">
        <f>IF(Y468="","",IF(Y468="[FÓRMULA MANUAL]","",IFERROR(SUMPRODUCT((nNIA=Y468)*(nCUENTA=1)*(COUNTIF(CONFIG_ASIGNATURAS!$B$7:$B$27,nASIG)&gt;0)*(nNOTA))/SUMPRODUCT((nNIA=Y468)*(nCUENTA=1)*(COUNTIF(CONFIG_ASIGNATURAS!$B$7:$B$27,nASIG)&gt;0)*1),"")))</f>
        <v/>
      </c>
      <c r="AF468" t="str">
        <f>IF(AE468="","",IF(AE468="[FÓRMULA MANUAL]","",IFERROR(AVERAGEIFS(nNOTA,nNIA,AE468,nCUENTA,1,nASIG,"Análisis"),"")))</f>
        <v/>
      </c>
      <c r="AG468" t="str">
        <f>IF(AE468="","",IF(AE468="[FÓRMULA MANUAL]","",IFERROR(AVERAGEIFS(nNOTA,nNIA,AE468,nCUENTA,1,nASIG,"Orquesta/Banda/Conjunto"),"")))</f>
        <v/>
      </c>
      <c r="AH468" t="str">
        <f>IF(AE468="","",IF(AE468="[FÓRMULA MANUAL]","",IFERROR(AVERAGEIFS(nNOTA,nNIA,AE468,nCUENTA,1,nASIG,"Música de Cámara"),"")))</f>
        <v/>
      </c>
      <c r="AI468" t="str">
        <f>IF(AE468="","",IF(AE468="[FÓRMULA MANUAL]","",IFERROR(SUMPRODUCT((nNIA=AE468)*(nCUENTA=1)*(COUNTIF(CONFIG_ASIGNATURAS!$B$7:$B$27,nASIG)&gt;0)*(nNOTA))/SUMPRODUCT((nNIA=AE468)*(nCUENTA=1)*(COUNTIF(CONFIG_ASIGNATURAS!$B$7:$B$27,nASIG)&gt;0)*1),"")))</f>
        <v/>
      </c>
    </row>
    <row r="469" spans="2:35" x14ac:dyDescent="0.2">
      <c r="B469" t="str">
        <f>IF(A469="","",IF(A469="[FÓRMULA MANUAL]","",IFERROR(AVERAGEIFS(nNOTA,nNIA,A469,nCUENTA,1,nASIG,"Lenguaje Musical"),"")))</f>
        <v/>
      </c>
      <c r="C469" t="str">
        <f>IF(A469="","",IF(A469="[FÓRMULA MANUAL]","",IFERROR(AVERAGEIFS(nNOTA,nNIA,A469,nCUENTA,1,nASIG,"Orquesta/Banda/Conjunto"),"")))</f>
        <v/>
      </c>
      <c r="D469" t="str">
        <f>IF(A469="","",IF(A469="[FÓRMULA MANUAL]","",IFERROR(AVERAGEIFS(nNOTA,nNIA,A469,nCUENTA,1,nASIG,"Conjunto"),"")))</f>
        <v/>
      </c>
      <c r="E469" t="str">
        <f>IF(A469="","",IF(A469="[FÓRMULA MANUAL]","",IFERROR(SUMPRODUCT((nNIA=A469)*(nCUENTA=1)*(COUNTIF(CONFIG_ASIGNATURAS!$B$7:$B$27,nASIG)&gt;0)*(nNOTA))/SUMPRODUCT((nNIA=A469)*(nCUENTA=1)*(COUNTIF(CONFIG_ASIGNATURAS!$B$7:$B$27,nASIG)&gt;0)*1),"")))</f>
        <v/>
      </c>
      <c r="H469" t="str">
        <f>IF(G469="","",IF(G469="[FÓRMULA MANUAL]","",IFERROR(AVERAGEIFS(nNOTA,nNIA,G469,nCUENTA,1,nASIG,"Lenguaje Musical"),"")))</f>
        <v/>
      </c>
      <c r="I469" t="str">
        <f>IF(G469="","",IF(G469="[FÓRMULA MANUAL]","",IFERROR(AVERAGEIFS(nNOTA,nNIA,G469,nCUENTA,1,nASIG,"Orquesta/Banda/Conjunto"),"")))</f>
        <v/>
      </c>
      <c r="J469" t="str">
        <f>IF(G469="","",IF(G469="[FÓRMULA MANUAL]","",IFERROR(AVERAGEIFS(nNOTA,nNIA,G469,nCUENTA,1,nASIG,"Conjunto"),"")))</f>
        <v/>
      </c>
      <c r="K469" t="str">
        <f>IF(G469="","",IF(G469="[FÓRMULA MANUAL]","",IFERROR(SUMPRODUCT((nNIA=G469)*(nCUENTA=1)*(COUNTIF(CONFIG_ASIGNATURAS!$B$7:$B$27,nASIG)&gt;0)*(nNOTA))/SUMPRODUCT((nNIA=G469)*(nCUENTA=1)*(COUNTIF(CONFIG_ASIGNATURAS!$B$7:$B$27,nASIG)&gt;0)*1),"")))</f>
        <v/>
      </c>
      <c r="N469" t="str">
        <f>IF(M469="","",IF(M469="[FÓRMULA MANUAL]","",IFERROR(AVERAGEIFS(nNOTA,nNIA,M469,nCUENTA,1,nASIG,"Armonía"),"")))</f>
        <v/>
      </c>
      <c r="O469" t="str">
        <f>IF(M469="","",IF(M469="[FÓRMULA MANUAL]","",IFERROR(AVERAGEIFS(nNOTA,nNIA,M469,nCUENTA,1,nASIG,"Orquesta/Banda/Conjunto"),"")))</f>
        <v/>
      </c>
      <c r="P469" t="str">
        <f>IF(M469="","",IF(M469="[FÓRMULA MANUAL]","",IFERROR(AVERAGEIFS(nNOTA,nNIA,M469,nCUENTA,1,nASIG,"Música de Cámara"),"")))</f>
        <v/>
      </c>
      <c r="Q469" t="str">
        <f>IF(M469="","",IF(M469="[FÓRMULA MANUAL]","",IFERROR(SUMPRODUCT((nNIA=M469)*(nCUENTA=1)*(COUNTIF(CONFIG_ASIGNATURAS!$B$7:$B$27,nASIG)&gt;0)*(nNOTA))/SUMPRODUCT((nNIA=M469)*(nCUENTA=1)*(COUNTIF(CONFIG_ASIGNATURAS!$B$7:$B$27,nASIG)&gt;0)*1),"")))</f>
        <v/>
      </c>
      <c r="T469" t="str">
        <f>IF(S469="","",IF(S469="[FÓRMULA MANUAL]","",IFERROR(AVERAGEIFS(nNOTA,nNIA,S469,nCUENTA,1,nASIG,"Armonía"),"")))</f>
        <v/>
      </c>
      <c r="U469" t="str">
        <f>IF(S469="","",IF(S469="[FÓRMULA MANUAL]","",IFERROR(AVERAGEIFS(nNOTA,nNIA,S469,nCUENTA,1,nASIG,"Orquesta/Banda/Conjunto"),"")))</f>
        <v/>
      </c>
      <c r="V469" t="str">
        <f>IF(S469="","",IF(S469="[FÓRMULA MANUAL]","",IFERROR(AVERAGEIFS(nNOTA,nNIA,S469,nCUENTA,1,nASIG,"Música de Cámara"),"")))</f>
        <v/>
      </c>
      <c r="W469" t="str">
        <f>IF(S469="","",IF(S469="[FÓRMULA MANUAL]","",IFERROR(SUMPRODUCT((nNIA=S469)*(nCUENTA=1)*(COUNTIF(CONFIG_ASIGNATURAS!$B$7:$B$27,nASIG)&gt;0)*(nNOTA))/SUMPRODUCT((nNIA=S469)*(nCUENTA=1)*(COUNTIF(CONFIG_ASIGNATURAS!$B$7:$B$27,nASIG)&gt;0)*1),"")))</f>
        <v/>
      </c>
      <c r="Z469" t="str">
        <f>IF(Y469="","",IF(Y469="[FÓRMULA MANUAL]","",IFERROR(AVERAGEIFS(nNOTA,nNIA,Y469,nCUENTA,1,nASIG,"Análisis"),"")))</f>
        <v/>
      </c>
      <c r="AA469" t="str">
        <f>IF(Y469="","",IF(Y469="[FÓRMULA MANUAL]","",IFERROR(AVERAGEIFS(nNOTA,nNIA,Y469,nCUENTA,1,nASIG,"Orquesta/Banda/Conjunto"),"")))</f>
        <v/>
      </c>
      <c r="AB469" t="str">
        <f>IF(Y469="","",IF(Y469="[FÓRMULA MANUAL]","",IFERROR(AVERAGEIFS(nNOTA,nNIA,Y469,nCUENTA,1,nASIG,"Música de Cámara"),"")))</f>
        <v/>
      </c>
      <c r="AC469" t="str">
        <f>IF(Y469="","",IF(Y469="[FÓRMULA MANUAL]","",IFERROR(SUMPRODUCT((nNIA=Y469)*(nCUENTA=1)*(COUNTIF(CONFIG_ASIGNATURAS!$B$7:$B$27,nASIG)&gt;0)*(nNOTA))/SUMPRODUCT((nNIA=Y469)*(nCUENTA=1)*(COUNTIF(CONFIG_ASIGNATURAS!$B$7:$B$27,nASIG)&gt;0)*1),"")))</f>
        <v/>
      </c>
      <c r="AF469" t="str">
        <f>IF(AE469="","",IF(AE469="[FÓRMULA MANUAL]","",IFERROR(AVERAGEIFS(nNOTA,nNIA,AE469,nCUENTA,1,nASIG,"Análisis"),"")))</f>
        <v/>
      </c>
      <c r="AG469" t="str">
        <f>IF(AE469="","",IF(AE469="[FÓRMULA MANUAL]","",IFERROR(AVERAGEIFS(nNOTA,nNIA,AE469,nCUENTA,1,nASIG,"Orquesta/Banda/Conjunto"),"")))</f>
        <v/>
      </c>
      <c r="AH469" t="str">
        <f>IF(AE469="","",IF(AE469="[FÓRMULA MANUAL]","",IFERROR(AVERAGEIFS(nNOTA,nNIA,AE469,nCUENTA,1,nASIG,"Música de Cámara"),"")))</f>
        <v/>
      </c>
      <c r="AI469" t="str">
        <f>IF(AE469="","",IF(AE469="[FÓRMULA MANUAL]","",IFERROR(SUMPRODUCT((nNIA=AE469)*(nCUENTA=1)*(COUNTIF(CONFIG_ASIGNATURAS!$B$7:$B$27,nASIG)&gt;0)*(nNOTA))/SUMPRODUCT((nNIA=AE469)*(nCUENTA=1)*(COUNTIF(CONFIG_ASIGNATURAS!$B$7:$B$27,nASIG)&gt;0)*1),"")))</f>
        <v/>
      </c>
    </row>
    <row r="470" spans="2:35" x14ac:dyDescent="0.2">
      <c r="B470" t="str">
        <f>IF(A470="","",IF(A470="[FÓRMULA MANUAL]","",IFERROR(AVERAGEIFS(nNOTA,nNIA,A470,nCUENTA,1,nASIG,"Lenguaje Musical"),"")))</f>
        <v/>
      </c>
      <c r="C470" t="str">
        <f>IF(A470="","",IF(A470="[FÓRMULA MANUAL]","",IFERROR(AVERAGEIFS(nNOTA,nNIA,A470,nCUENTA,1,nASIG,"Orquesta/Banda/Conjunto"),"")))</f>
        <v/>
      </c>
      <c r="D470" t="str">
        <f>IF(A470="","",IF(A470="[FÓRMULA MANUAL]","",IFERROR(AVERAGEIFS(nNOTA,nNIA,A470,nCUENTA,1,nASIG,"Conjunto"),"")))</f>
        <v/>
      </c>
      <c r="E470" t="str">
        <f>IF(A470="","",IF(A470="[FÓRMULA MANUAL]","",IFERROR(SUMPRODUCT((nNIA=A470)*(nCUENTA=1)*(COUNTIF(CONFIG_ASIGNATURAS!$B$7:$B$27,nASIG)&gt;0)*(nNOTA))/SUMPRODUCT((nNIA=A470)*(nCUENTA=1)*(COUNTIF(CONFIG_ASIGNATURAS!$B$7:$B$27,nASIG)&gt;0)*1),"")))</f>
        <v/>
      </c>
      <c r="H470" t="str">
        <f>IF(G470="","",IF(G470="[FÓRMULA MANUAL]","",IFERROR(AVERAGEIFS(nNOTA,nNIA,G470,nCUENTA,1,nASIG,"Lenguaje Musical"),"")))</f>
        <v/>
      </c>
      <c r="I470" t="str">
        <f>IF(G470="","",IF(G470="[FÓRMULA MANUAL]","",IFERROR(AVERAGEIFS(nNOTA,nNIA,G470,nCUENTA,1,nASIG,"Orquesta/Banda/Conjunto"),"")))</f>
        <v/>
      </c>
      <c r="J470" t="str">
        <f>IF(G470="","",IF(G470="[FÓRMULA MANUAL]","",IFERROR(AVERAGEIFS(nNOTA,nNIA,G470,nCUENTA,1,nASIG,"Conjunto"),"")))</f>
        <v/>
      </c>
      <c r="K470" t="str">
        <f>IF(G470="","",IF(G470="[FÓRMULA MANUAL]","",IFERROR(SUMPRODUCT((nNIA=G470)*(nCUENTA=1)*(COUNTIF(CONFIG_ASIGNATURAS!$B$7:$B$27,nASIG)&gt;0)*(nNOTA))/SUMPRODUCT((nNIA=G470)*(nCUENTA=1)*(COUNTIF(CONFIG_ASIGNATURAS!$B$7:$B$27,nASIG)&gt;0)*1),"")))</f>
        <v/>
      </c>
      <c r="N470" t="str">
        <f>IF(M470="","",IF(M470="[FÓRMULA MANUAL]","",IFERROR(AVERAGEIFS(nNOTA,nNIA,M470,nCUENTA,1,nASIG,"Armonía"),"")))</f>
        <v/>
      </c>
      <c r="O470" t="str">
        <f>IF(M470="","",IF(M470="[FÓRMULA MANUAL]","",IFERROR(AVERAGEIFS(nNOTA,nNIA,M470,nCUENTA,1,nASIG,"Orquesta/Banda/Conjunto"),"")))</f>
        <v/>
      </c>
      <c r="P470" t="str">
        <f>IF(M470="","",IF(M470="[FÓRMULA MANUAL]","",IFERROR(AVERAGEIFS(nNOTA,nNIA,M470,nCUENTA,1,nASIG,"Música de Cámara"),"")))</f>
        <v/>
      </c>
      <c r="Q470" t="str">
        <f>IF(M470="","",IF(M470="[FÓRMULA MANUAL]","",IFERROR(SUMPRODUCT((nNIA=M470)*(nCUENTA=1)*(COUNTIF(CONFIG_ASIGNATURAS!$B$7:$B$27,nASIG)&gt;0)*(nNOTA))/SUMPRODUCT((nNIA=M470)*(nCUENTA=1)*(COUNTIF(CONFIG_ASIGNATURAS!$B$7:$B$27,nASIG)&gt;0)*1),"")))</f>
        <v/>
      </c>
      <c r="T470" t="str">
        <f>IF(S470="","",IF(S470="[FÓRMULA MANUAL]","",IFERROR(AVERAGEIFS(nNOTA,nNIA,S470,nCUENTA,1,nASIG,"Armonía"),"")))</f>
        <v/>
      </c>
      <c r="U470" t="str">
        <f>IF(S470="","",IF(S470="[FÓRMULA MANUAL]","",IFERROR(AVERAGEIFS(nNOTA,nNIA,S470,nCUENTA,1,nASIG,"Orquesta/Banda/Conjunto"),"")))</f>
        <v/>
      </c>
      <c r="V470" t="str">
        <f>IF(S470="","",IF(S470="[FÓRMULA MANUAL]","",IFERROR(AVERAGEIFS(nNOTA,nNIA,S470,nCUENTA,1,nASIG,"Música de Cámara"),"")))</f>
        <v/>
      </c>
      <c r="W470" t="str">
        <f>IF(S470="","",IF(S470="[FÓRMULA MANUAL]","",IFERROR(SUMPRODUCT((nNIA=S470)*(nCUENTA=1)*(COUNTIF(CONFIG_ASIGNATURAS!$B$7:$B$27,nASIG)&gt;0)*(nNOTA))/SUMPRODUCT((nNIA=S470)*(nCUENTA=1)*(COUNTIF(CONFIG_ASIGNATURAS!$B$7:$B$27,nASIG)&gt;0)*1),"")))</f>
        <v/>
      </c>
      <c r="Z470" t="str">
        <f>IF(Y470="","",IF(Y470="[FÓRMULA MANUAL]","",IFERROR(AVERAGEIFS(nNOTA,nNIA,Y470,nCUENTA,1,nASIG,"Análisis"),"")))</f>
        <v/>
      </c>
      <c r="AA470" t="str">
        <f>IF(Y470="","",IF(Y470="[FÓRMULA MANUAL]","",IFERROR(AVERAGEIFS(nNOTA,nNIA,Y470,nCUENTA,1,nASIG,"Orquesta/Banda/Conjunto"),"")))</f>
        <v/>
      </c>
      <c r="AB470" t="str">
        <f>IF(Y470="","",IF(Y470="[FÓRMULA MANUAL]","",IFERROR(AVERAGEIFS(nNOTA,nNIA,Y470,nCUENTA,1,nASIG,"Música de Cámara"),"")))</f>
        <v/>
      </c>
      <c r="AC470" t="str">
        <f>IF(Y470="","",IF(Y470="[FÓRMULA MANUAL]","",IFERROR(SUMPRODUCT((nNIA=Y470)*(nCUENTA=1)*(COUNTIF(CONFIG_ASIGNATURAS!$B$7:$B$27,nASIG)&gt;0)*(nNOTA))/SUMPRODUCT((nNIA=Y470)*(nCUENTA=1)*(COUNTIF(CONFIG_ASIGNATURAS!$B$7:$B$27,nASIG)&gt;0)*1),"")))</f>
        <v/>
      </c>
      <c r="AF470" t="str">
        <f>IF(AE470="","",IF(AE470="[FÓRMULA MANUAL]","",IFERROR(AVERAGEIFS(nNOTA,nNIA,AE470,nCUENTA,1,nASIG,"Análisis"),"")))</f>
        <v/>
      </c>
      <c r="AG470" t="str">
        <f>IF(AE470="","",IF(AE470="[FÓRMULA MANUAL]","",IFERROR(AVERAGEIFS(nNOTA,nNIA,AE470,nCUENTA,1,nASIG,"Orquesta/Banda/Conjunto"),"")))</f>
        <v/>
      </c>
      <c r="AH470" t="str">
        <f>IF(AE470="","",IF(AE470="[FÓRMULA MANUAL]","",IFERROR(AVERAGEIFS(nNOTA,nNIA,AE470,nCUENTA,1,nASIG,"Música de Cámara"),"")))</f>
        <v/>
      </c>
      <c r="AI470" t="str">
        <f>IF(AE470="","",IF(AE470="[FÓRMULA MANUAL]","",IFERROR(SUMPRODUCT((nNIA=AE470)*(nCUENTA=1)*(COUNTIF(CONFIG_ASIGNATURAS!$B$7:$B$27,nASIG)&gt;0)*(nNOTA))/SUMPRODUCT((nNIA=AE470)*(nCUENTA=1)*(COUNTIF(CONFIG_ASIGNATURAS!$B$7:$B$27,nASIG)&gt;0)*1),"")))</f>
        <v/>
      </c>
    </row>
    <row r="471" spans="2:35" x14ac:dyDescent="0.2">
      <c r="B471" t="str">
        <f>IF(A471="","",IF(A471="[FÓRMULA MANUAL]","",IFERROR(AVERAGEIFS(nNOTA,nNIA,A471,nCUENTA,1,nASIG,"Lenguaje Musical"),"")))</f>
        <v/>
      </c>
      <c r="C471" t="str">
        <f>IF(A471="","",IF(A471="[FÓRMULA MANUAL]","",IFERROR(AVERAGEIFS(nNOTA,nNIA,A471,nCUENTA,1,nASIG,"Orquesta/Banda/Conjunto"),"")))</f>
        <v/>
      </c>
      <c r="D471" t="str">
        <f>IF(A471="","",IF(A471="[FÓRMULA MANUAL]","",IFERROR(AVERAGEIFS(nNOTA,nNIA,A471,nCUENTA,1,nASIG,"Conjunto"),"")))</f>
        <v/>
      </c>
      <c r="E471" t="str">
        <f>IF(A471="","",IF(A471="[FÓRMULA MANUAL]","",IFERROR(SUMPRODUCT((nNIA=A471)*(nCUENTA=1)*(COUNTIF(CONFIG_ASIGNATURAS!$B$7:$B$27,nASIG)&gt;0)*(nNOTA))/SUMPRODUCT((nNIA=A471)*(nCUENTA=1)*(COUNTIF(CONFIG_ASIGNATURAS!$B$7:$B$27,nASIG)&gt;0)*1),"")))</f>
        <v/>
      </c>
      <c r="H471" t="str">
        <f>IF(G471="","",IF(G471="[FÓRMULA MANUAL]","",IFERROR(AVERAGEIFS(nNOTA,nNIA,G471,nCUENTA,1,nASIG,"Lenguaje Musical"),"")))</f>
        <v/>
      </c>
      <c r="I471" t="str">
        <f>IF(G471="","",IF(G471="[FÓRMULA MANUAL]","",IFERROR(AVERAGEIFS(nNOTA,nNIA,G471,nCUENTA,1,nASIG,"Orquesta/Banda/Conjunto"),"")))</f>
        <v/>
      </c>
      <c r="J471" t="str">
        <f>IF(G471="","",IF(G471="[FÓRMULA MANUAL]","",IFERROR(AVERAGEIFS(nNOTA,nNIA,G471,nCUENTA,1,nASIG,"Conjunto"),"")))</f>
        <v/>
      </c>
      <c r="K471" t="str">
        <f>IF(G471="","",IF(G471="[FÓRMULA MANUAL]","",IFERROR(SUMPRODUCT((nNIA=G471)*(nCUENTA=1)*(COUNTIF(CONFIG_ASIGNATURAS!$B$7:$B$27,nASIG)&gt;0)*(nNOTA))/SUMPRODUCT((nNIA=G471)*(nCUENTA=1)*(COUNTIF(CONFIG_ASIGNATURAS!$B$7:$B$27,nASIG)&gt;0)*1),"")))</f>
        <v/>
      </c>
      <c r="N471" t="str">
        <f>IF(M471="","",IF(M471="[FÓRMULA MANUAL]","",IFERROR(AVERAGEIFS(nNOTA,nNIA,M471,nCUENTA,1,nASIG,"Armonía"),"")))</f>
        <v/>
      </c>
      <c r="O471" t="str">
        <f>IF(M471="","",IF(M471="[FÓRMULA MANUAL]","",IFERROR(AVERAGEIFS(nNOTA,nNIA,M471,nCUENTA,1,nASIG,"Orquesta/Banda/Conjunto"),"")))</f>
        <v/>
      </c>
      <c r="P471" t="str">
        <f>IF(M471="","",IF(M471="[FÓRMULA MANUAL]","",IFERROR(AVERAGEIFS(nNOTA,nNIA,M471,nCUENTA,1,nASIG,"Música de Cámara"),"")))</f>
        <v/>
      </c>
      <c r="Q471" t="str">
        <f>IF(M471="","",IF(M471="[FÓRMULA MANUAL]","",IFERROR(SUMPRODUCT((nNIA=M471)*(nCUENTA=1)*(COUNTIF(CONFIG_ASIGNATURAS!$B$7:$B$27,nASIG)&gt;0)*(nNOTA))/SUMPRODUCT((nNIA=M471)*(nCUENTA=1)*(COUNTIF(CONFIG_ASIGNATURAS!$B$7:$B$27,nASIG)&gt;0)*1),"")))</f>
        <v/>
      </c>
      <c r="T471" t="str">
        <f>IF(S471="","",IF(S471="[FÓRMULA MANUAL]","",IFERROR(AVERAGEIFS(nNOTA,nNIA,S471,nCUENTA,1,nASIG,"Armonía"),"")))</f>
        <v/>
      </c>
      <c r="U471" t="str">
        <f>IF(S471="","",IF(S471="[FÓRMULA MANUAL]","",IFERROR(AVERAGEIFS(nNOTA,nNIA,S471,nCUENTA,1,nASIG,"Orquesta/Banda/Conjunto"),"")))</f>
        <v/>
      </c>
      <c r="V471" t="str">
        <f>IF(S471="","",IF(S471="[FÓRMULA MANUAL]","",IFERROR(AVERAGEIFS(nNOTA,nNIA,S471,nCUENTA,1,nASIG,"Música de Cámara"),"")))</f>
        <v/>
      </c>
      <c r="W471" t="str">
        <f>IF(S471="","",IF(S471="[FÓRMULA MANUAL]","",IFERROR(SUMPRODUCT((nNIA=S471)*(nCUENTA=1)*(COUNTIF(CONFIG_ASIGNATURAS!$B$7:$B$27,nASIG)&gt;0)*(nNOTA))/SUMPRODUCT((nNIA=S471)*(nCUENTA=1)*(COUNTIF(CONFIG_ASIGNATURAS!$B$7:$B$27,nASIG)&gt;0)*1),"")))</f>
        <v/>
      </c>
      <c r="Z471" t="str">
        <f>IF(Y471="","",IF(Y471="[FÓRMULA MANUAL]","",IFERROR(AVERAGEIFS(nNOTA,nNIA,Y471,nCUENTA,1,nASIG,"Análisis"),"")))</f>
        <v/>
      </c>
      <c r="AA471" t="str">
        <f>IF(Y471="","",IF(Y471="[FÓRMULA MANUAL]","",IFERROR(AVERAGEIFS(nNOTA,nNIA,Y471,nCUENTA,1,nASIG,"Orquesta/Banda/Conjunto"),"")))</f>
        <v/>
      </c>
      <c r="AB471" t="str">
        <f>IF(Y471="","",IF(Y471="[FÓRMULA MANUAL]","",IFERROR(AVERAGEIFS(nNOTA,nNIA,Y471,nCUENTA,1,nASIG,"Música de Cámara"),"")))</f>
        <v/>
      </c>
      <c r="AC471" t="str">
        <f>IF(Y471="","",IF(Y471="[FÓRMULA MANUAL]","",IFERROR(SUMPRODUCT((nNIA=Y471)*(nCUENTA=1)*(COUNTIF(CONFIG_ASIGNATURAS!$B$7:$B$27,nASIG)&gt;0)*(nNOTA))/SUMPRODUCT((nNIA=Y471)*(nCUENTA=1)*(COUNTIF(CONFIG_ASIGNATURAS!$B$7:$B$27,nASIG)&gt;0)*1),"")))</f>
        <v/>
      </c>
      <c r="AF471" t="str">
        <f>IF(AE471="","",IF(AE471="[FÓRMULA MANUAL]","",IFERROR(AVERAGEIFS(nNOTA,nNIA,AE471,nCUENTA,1,nASIG,"Análisis"),"")))</f>
        <v/>
      </c>
      <c r="AG471" t="str">
        <f>IF(AE471="","",IF(AE471="[FÓRMULA MANUAL]","",IFERROR(AVERAGEIFS(nNOTA,nNIA,AE471,nCUENTA,1,nASIG,"Orquesta/Banda/Conjunto"),"")))</f>
        <v/>
      </c>
      <c r="AH471" t="str">
        <f>IF(AE471="","",IF(AE471="[FÓRMULA MANUAL]","",IFERROR(AVERAGEIFS(nNOTA,nNIA,AE471,nCUENTA,1,nASIG,"Música de Cámara"),"")))</f>
        <v/>
      </c>
      <c r="AI471" t="str">
        <f>IF(AE471="","",IF(AE471="[FÓRMULA MANUAL]","",IFERROR(SUMPRODUCT((nNIA=AE471)*(nCUENTA=1)*(COUNTIF(CONFIG_ASIGNATURAS!$B$7:$B$27,nASIG)&gt;0)*(nNOTA))/SUMPRODUCT((nNIA=AE471)*(nCUENTA=1)*(COUNTIF(CONFIG_ASIGNATURAS!$B$7:$B$27,nASIG)&gt;0)*1),"")))</f>
        <v/>
      </c>
    </row>
    <row r="472" spans="2:35" x14ac:dyDescent="0.2">
      <c r="B472" t="str">
        <f>IF(A472="","",IF(A472="[FÓRMULA MANUAL]","",IFERROR(AVERAGEIFS(nNOTA,nNIA,A472,nCUENTA,1,nASIG,"Lenguaje Musical"),"")))</f>
        <v/>
      </c>
      <c r="C472" t="str">
        <f>IF(A472="","",IF(A472="[FÓRMULA MANUAL]","",IFERROR(AVERAGEIFS(nNOTA,nNIA,A472,nCUENTA,1,nASIG,"Orquesta/Banda/Conjunto"),"")))</f>
        <v/>
      </c>
      <c r="D472" t="str">
        <f>IF(A472="","",IF(A472="[FÓRMULA MANUAL]","",IFERROR(AVERAGEIFS(nNOTA,nNIA,A472,nCUENTA,1,nASIG,"Conjunto"),"")))</f>
        <v/>
      </c>
      <c r="E472" t="str">
        <f>IF(A472="","",IF(A472="[FÓRMULA MANUAL]","",IFERROR(SUMPRODUCT((nNIA=A472)*(nCUENTA=1)*(COUNTIF(CONFIG_ASIGNATURAS!$B$7:$B$27,nASIG)&gt;0)*(nNOTA))/SUMPRODUCT((nNIA=A472)*(nCUENTA=1)*(COUNTIF(CONFIG_ASIGNATURAS!$B$7:$B$27,nASIG)&gt;0)*1),"")))</f>
        <v/>
      </c>
      <c r="H472" t="str">
        <f>IF(G472="","",IF(G472="[FÓRMULA MANUAL]","",IFERROR(AVERAGEIFS(nNOTA,nNIA,G472,nCUENTA,1,nASIG,"Lenguaje Musical"),"")))</f>
        <v/>
      </c>
      <c r="I472" t="str">
        <f>IF(G472="","",IF(G472="[FÓRMULA MANUAL]","",IFERROR(AVERAGEIFS(nNOTA,nNIA,G472,nCUENTA,1,nASIG,"Orquesta/Banda/Conjunto"),"")))</f>
        <v/>
      </c>
      <c r="J472" t="str">
        <f>IF(G472="","",IF(G472="[FÓRMULA MANUAL]","",IFERROR(AVERAGEIFS(nNOTA,nNIA,G472,nCUENTA,1,nASIG,"Conjunto"),"")))</f>
        <v/>
      </c>
      <c r="K472" t="str">
        <f>IF(G472="","",IF(G472="[FÓRMULA MANUAL]","",IFERROR(SUMPRODUCT((nNIA=G472)*(nCUENTA=1)*(COUNTIF(CONFIG_ASIGNATURAS!$B$7:$B$27,nASIG)&gt;0)*(nNOTA))/SUMPRODUCT((nNIA=G472)*(nCUENTA=1)*(COUNTIF(CONFIG_ASIGNATURAS!$B$7:$B$27,nASIG)&gt;0)*1),"")))</f>
        <v/>
      </c>
      <c r="N472" t="str">
        <f>IF(M472="","",IF(M472="[FÓRMULA MANUAL]","",IFERROR(AVERAGEIFS(nNOTA,nNIA,M472,nCUENTA,1,nASIG,"Armonía"),"")))</f>
        <v/>
      </c>
      <c r="O472" t="str">
        <f>IF(M472="","",IF(M472="[FÓRMULA MANUAL]","",IFERROR(AVERAGEIFS(nNOTA,nNIA,M472,nCUENTA,1,nASIG,"Orquesta/Banda/Conjunto"),"")))</f>
        <v/>
      </c>
      <c r="P472" t="str">
        <f>IF(M472="","",IF(M472="[FÓRMULA MANUAL]","",IFERROR(AVERAGEIFS(nNOTA,nNIA,M472,nCUENTA,1,nASIG,"Música de Cámara"),"")))</f>
        <v/>
      </c>
      <c r="Q472" t="str">
        <f>IF(M472="","",IF(M472="[FÓRMULA MANUAL]","",IFERROR(SUMPRODUCT((nNIA=M472)*(nCUENTA=1)*(COUNTIF(CONFIG_ASIGNATURAS!$B$7:$B$27,nASIG)&gt;0)*(nNOTA))/SUMPRODUCT((nNIA=M472)*(nCUENTA=1)*(COUNTIF(CONFIG_ASIGNATURAS!$B$7:$B$27,nASIG)&gt;0)*1),"")))</f>
        <v/>
      </c>
      <c r="T472" t="str">
        <f>IF(S472="","",IF(S472="[FÓRMULA MANUAL]","",IFERROR(AVERAGEIFS(nNOTA,nNIA,S472,nCUENTA,1,nASIG,"Armonía"),"")))</f>
        <v/>
      </c>
      <c r="U472" t="str">
        <f>IF(S472="","",IF(S472="[FÓRMULA MANUAL]","",IFERROR(AVERAGEIFS(nNOTA,nNIA,S472,nCUENTA,1,nASIG,"Orquesta/Banda/Conjunto"),"")))</f>
        <v/>
      </c>
      <c r="V472" t="str">
        <f>IF(S472="","",IF(S472="[FÓRMULA MANUAL]","",IFERROR(AVERAGEIFS(nNOTA,nNIA,S472,nCUENTA,1,nASIG,"Música de Cámara"),"")))</f>
        <v/>
      </c>
      <c r="W472" t="str">
        <f>IF(S472="","",IF(S472="[FÓRMULA MANUAL]","",IFERROR(SUMPRODUCT((nNIA=S472)*(nCUENTA=1)*(COUNTIF(CONFIG_ASIGNATURAS!$B$7:$B$27,nASIG)&gt;0)*(nNOTA))/SUMPRODUCT((nNIA=S472)*(nCUENTA=1)*(COUNTIF(CONFIG_ASIGNATURAS!$B$7:$B$27,nASIG)&gt;0)*1),"")))</f>
        <v/>
      </c>
      <c r="Z472" t="str">
        <f>IF(Y472="","",IF(Y472="[FÓRMULA MANUAL]","",IFERROR(AVERAGEIFS(nNOTA,nNIA,Y472,nCUENTA,1,nASIG,"Análisis"),"")))</f>
        <v/>
      </c>
      <c r="AA472" t="str">
        <f>IF(Y472="","",IF(Y472="[FÓRMULA MANUAL]","",IFERROR(AVERAGEIFS(nNOTA,nNIA,Y472,nCUENTA,1,nASIG,"Orquesta/Banda/Conjunto"),"")))</f>
        <v/>
      </c>
      <c r="AB472" t="str">
        <f>IF(Y472="","",IF(Y472="[FÓRMULA MANUAL]","",IFERROR(AVERAGEIFS(nNOTA,nNIA,Y472,nCUENTA,1,nASIG,"Música de Cámara"),"")))</f>
        <v/>
      </c>
      <c r="AC472" t="str">
        <f>IF(Y472="","",IF(Y472="[FÓRMULA MANUAL]","",IFERROR(SUMPRODUCT((nNIA=Y472)*(nCUENTA=1)*(COUNTIF(CONFIG_ASIGNATURAS!$B$7:$B$27,nASIG)&gt;0)*(nNOTA))/SUMPRODUCT((nNIA=Y472)*(nCUENTA=1)*(COUNTIF(CONFIG_ASIGNATURAS!$B$7:$B$27,nASIG)&gt;0)*1),"")))</f>
        <v/>
      </c>
      <c r="AF472" t="str">
        <f>IF(AE472="","",IF(AE472="[FÓRMULA MANUAL]","",IFERROR(AVERAGEIFS(nNOTA,nNIA,AE472,nCUENTA,1,nASIG,"Análisis"),"")))</f>
        <v/>
      </c>
      <c r="AG472" t="str">
        <f>IF(AE472="","",IF(AE472="[FÓRMULA MANUAL]","",IFERROR(AVERAGEIFS(nNOTA,nNIA,AE472,nCUENTA,1,nASIG,"Orquesta/Banda/Conjunto"),"")))</f>
        <v/>
      </c>
      <c r="AH472" t="str">
        <f>IF(AE472="","",IF(AE472="[FÓRMULA MANUAL]","",IFERROR(AVERAGEIFS(nNOTA,nNIA,AE472,nCUENTA,1,nASIG,"Música de Cámara"),"")))</f>
        <v/>
      </c>
      <c r="AI472" t="str">
        <f>IF(AE472="","",IF(AE472="[FÓRMULA MANUAL]","",IFERROR(SUMPRODUCT((nNIA=AE472)*(nCUENTA=1)*(COUNTIF(CONFIG_ASIGNATURAS!$B$7:$B$27,nASIG)&gt;0)*(nNOTA))/SUMPRODUCT((nNIA=AE472)*(nCUENTA=1)*(COUNTIF(CONFIG_ASIGNATURAS!$B$7:$B$27,nASIG)&gt;0)*1),"")))</f>
        <v/>
      </c>
    </row>
    <row r="473" spans="2:35" x14ac:dyDescent="0.2">
      <c r="B473" t="str">
        <f>IF(A473="","",IF(A473="[FÓRMULA MANUAL]","",IFERROR(AVERAGEIFS(nNOTA,nNIA,A473,nCUENTA,1,nASIG,"Lenguaje Musical"),"")))</f>
        <v/>
      </c>
      <c r="C473" t="str">
        <f>IF(A473="","",IF(A473="[FÓRMULA MANUAL]","",IFERROR(AVERAGEIFS(nNOTA,nNIA,A473,nCUENTA,1,nASIG,"Orquesta/Banda/Conjunto"),"")))</f>
        <v/>
      </c>
      <c r="D473" t="str">
        <f>IF(A473="","",IF(A473="[FÓRMULA MANUAL]","",IFERROR(AVERAGEIFS(nNOTA,nNIA,A473,nCUENTA,1,nASIG,"Conjunto"),"")))</f>
        <v/>
      </c>
      <c r="E473" t="str">
        <f>IF(A473="","",IF(A473="[FÓRMULA MANUAL]","",IFERROR(SUMPRODUCT((nNIA=A473)*(nCUENTA=1)*(COUNTIF(CONFIG_ASIGNATURAS!$B$7:$B$27,nASIG)&gt;0)*(nNOTA))/SUMPRODUCT((nNIA=A473)*(nCUENTA=1)*(COUNTIF(CONFIG_ASIGNATURAS!$B$7:$B$27,nASIG)&gt;0)*1),"")))</f>
        <v/>
      </c>
      <c r="H473" t="str">
        <f>IF(G473="","",IF(G473="[FÓRMULA MANUAL]","",IFERROR(AVERAGEIFS(nNOTA,nNIA,G473,nCUENTA,1,nASIG,"Lenguaje Musical"),"")))</f>
        <v/>
      </c>
      <c r="I473" t="str">
        <f>IF(G473="","",IF(G473="[FÓRMULA MANUAL]","",IFERROR(AVERAGEIFS(nNOTA,nNIA,G473,nCUENTA,1,nASIG,"Orquesta/Banda/Conjunto"),"")))</f>
        <v/>
      </c>
      <c r="J473" t="str">
        <f>IF(G473="","",IF(G473="[FÓRMULA MANUAL]","",IFERROR(AVERAGEIFS(nNOTA,nNIA,G473,nCUENTA,1,nASIG,"Conjunto"),"")))</f>
        <v/>
      </c>
      <c r="K473" t="str">
        <f>IF(G473="","",IF(G473="[FÓRMULA MANUAL]","",IFERROR(SUMPRODUCT((nNIA=G473)*(nCUENTA=1)*(COUNTIF(CONFIG_ASIGNATURAS!$B$7:$B$27,nASIG)&gt;0)*(nNOTA))/SUMPRODUCT((nNIA=G473)*(nCUENTA=1)*(COUNTIF(CONFIG_ASIGNATURAS!$B$7:$B$27,nASIG)&gt;0)*1),"")))</f>
        <v/>
      </c>
      <c r="N473" t="str">
        <f>IF(M473="","",IF(M473="[FÓRMULA MANUAL]","",IFERROR(AVERAGEIFS(nNOTA,nNIA,M473,nCUENTA,1,nASIG,"Armonía"),"")))</f>
        <v/>
      </c>
      <c r="O473" t="str">
        <f>IF(M473="","",IF(M473="[FÓRMULA MANUAL]","",IFERROR(AVERAGEIFS(nNOTA,nNIA,M473,nCUENTA,1,nASIG,"Orquesta/Banda/Conjunto"),"")))</f>
        <v/>
      </c>
      <c r="P473" t="str">
        <f>IF(M473="","",IF(M473="[FÓRMULA MANUAL]","",IFERROR(AVERAGEIFS(nNOTA,nNIA,M473,nCUENTA,1,nASIG,"Música de Cámara"),"")))</f>
        <v/>
      </c>
      <c r="Q473" t="str">
        <f>IF(M473="","",IF(M473="[FÓRMULA MANUAL]","",IFERROR(SUMPRODUCT((nNIA=M473)*(nCUENTA=1)*(COUNTIF(CONFIG_ASIGNATURAS!$B$7:$B$27,nASIG)&gt;0)*(nNOTA))/SUMPRODUCT((nNIA=M473)*(nCUENTA=1)*(COUNTIF(CONFIG_ASIGNATURAS!$B$7:$B$27,nASIG)&gt;0)*1),"")))</f>
        <v/>
      </c>
      <c r="T473" t="str">
        <f>IF(S473="","",IF(S473="[FÓRMULA MANUAL]","",IFERROR(AVERAGEIFS(nNOTA,nNIA,S473,nCUENTA,1,nASIG,"Armonía"),"")))</f>
        <v/>
      </c>
      <c r="U473" t="str">
        <f>IF(S473="","",IF(S473="[FÓRMULA MANUAL]","",IFERROR(AVERAGEIFS(nNOTA,nNIA,S473,nCUENTA,1,nASIG,"Orquesta/Banda/Conjunto"),"")))</f>
        <v/>
      </c>
      <c r="V473" t="str">
        <f>IF(S473="","",IF(S473="[FÓRMULA MANUAL]","",IFERROR(AVERAGEIFS(nNOTA,nNIA,S473,nCUENTA,1,nASIG,"Música de Cámara"),"")))</f>
        <v/>
      </c>
      <c r="W473" t="str">
        <f>IF(S473="","",IF(S473="[FÓRMULA MANUAL]","",IFERROR(SUMPRODUCT((nNIA=S473)*(nCUENTA=1)*(COUNTIF(CONFIG_ASIGNATURAS!$B$7:$B$27,nASIG)&gt;0)*(nNOTA))/SUMPRODUCT((nNIA=S473)*(nCUENTA=1)*(COUNTIF(CONFIG_ASIGNATURAS!$B$7:$B$27,nASIG)&gt;0)*1),"")))</f>
        <v/>
      </c>
      <c r="Z473" t="str">
        <f>IF(Y473="","",IF(Y473="[FÓRMULA MANUAL]","",IFERROR(AVERAGEIFS(nNOTA,nNIA,Y473,nCUENTA,1,nASIG,"Análisis"),"")))</f>
        <v/>
      </c>
      <c r="AA473" t="str">
        <f>IF(Y473="","",IF(Y473="[FÓRMULA MANUAL]","",IFERROR(AVERAGEIFS(nNOTA,nNIA,Y473,nCUENTA,1,nASIG,"Orquesta/Banda/Conjunto"),"")))</f>
        <v/>
      </c>
      <c r="AB473" t="str">
        <f>IF(Y473="","",IF(Y473="[FÓRMULA MANUAL]","",IFERROR(AVERAGEIFS(nNOTA,nNIA,Y473,nCUENTA,1,nASIG,"Música de Cámara"),"")))</f>
        <v/>
      </c>
      <c r="AC473" t="str">
        <f>IF(Y473="","",IF(Y473="[FÓRMULA MANUAL]","",IFERROR(SUMPRODUCT((nNIA=Y473)*(nCUENTA=1)*(COUNTIF(CONFIG_ASIGNATURAS!$B$7:$B$27,nASIG)&gt;0)*(nNOTA))/SUMPRODUCT((nNIA=Y473)*(nCUENTA=1)*(COUNTIF(CONFIG_ASIGNATURAS!$B$7:$B$27,nASIG)&gt;0)*1),"")))</f>
        <v/>
      </c>
      <c r="AF473" t="str">
        <f>IF(AE473="","",IF(AE473="[FÓRMULA MANUAL]","",IFERROR(AVERAGEIFS(nNOTA,nNIA,AE473,nCUENTA,1,nASIG,"Análisis"),"")))</f>
        <v/>
      </c>
      <c r="AG473" t="str">
        <f>IF(AE473="","",IF(AE473="[FÓRMULA MANUAL]","",IFERROR(AVERAGEIFS(nNOTA,nNIA,AE473,nCUENTA,1,nASIG,"Orquesta/Banda/Conjunto"),"")))</f>
        <v/>
      </c>
      <c r="AH473" t="str">
        <f>IF(AE473="","",IF(AE473="[FÓRMULA MANUAL]","",IFERROR(AVERAGEIFS(nNOTA,nNIA,AE473,nCUENTA,1,nASIG,"Música de Cámara"),"")))</f>
        <v/>
      </c>
      <c r="AI473" t="str">
        <f>IF(AE473="","",IF(AE473="[FÓRMULA MANUAL]","",IFERROR(SUMPRODUCT((nNIA=AE473)*(nCUENTA=1)*(COUNTIF(CONFIG_ASIGNATURAS!$B$7:$B$27,nASIG)&gt;0)*(nNOTA))/SUMPRODUCT((nNIA=AE473)*(nCUENTA=1)*(COUNTIF(CONFIG_ASIGNATURAS!$B$7:$B$27,nASIG)&gt;0)*1),"")))</f>
        <v/>
      </c>
    </row>
    <row r="474" spans="2:35" x14ac:dyDescent="0.2">
      <c r="B474" t="str">
        <f>IF(A474="","",IF(A474="[FÓRMULA MANUAL]","",IFERROR(AVERAGEIFS(nNOTA,nNIA,A474,nCUENTA,1,nASIG,"Lenguaje Musical"),"")))</f>
        <v/>
      </c>
      <c r="C474" t="str">
        <f>IF(A474="","",IF(A474="[FÓRMULA MANUAL]","",IFERROR(AVERAGEIFS(nNOTA,nNIA,A474,nCUENTA,1,nASIG,"Orquesta/Banda/Conjunto"),"")))</f>
        <v/>
      </c>
      <c r="D474" t="str">
        <f>IF(A474="","",IF(A474="[FÓRMULA MANUAL]","",IFERROR(AVERAGEIFS(nNOTA,nNIA,A474,nCUENTA,1,nASIG,"Conjunto"),"")))</f>
        <v/>
      </c>
      <c r="E474" t="str">
        <f>IF(A474="","",IF(A474="[FÓRMULA MANUAL]","",IFERROR(SUMPRODUCT((nNIA=A474)*(nCUENTA=1)*(COUNTIF(CONFIG_ASIGNATURAS!$B$7:$B$27,nASIG)&gt;0)*(nNOTA))/SUMPRODUCT((nNIA=A474)*(nCUENTA=1)*(COUNTIF(CONFIG_ASIGNATURAS!$B$7:$B$27,nASIG)&gt;0)*1),"")))</f>
        <v/>
      </c>
      <c r="H474" t="str">
        <f>IF(G474="","",IF(G474="[FÓRMULA MANUAL]","",IFERROR(AVERAGEIFS(nNOTA,nNIA,G474,nCUENTA,1,nASIG,"Lenguaje Musical"),"")))</f>
        <v/>
      </c>
      <c r="I474" t="str">
        <f>IF(G474="","",IF(G474="[FÓRMULA MANUAL]","",IFERROR(AVERAGEIFS(nNOTA,nNIA,G474,nCUENTA,1,nASIG,"Orquesta/Banda/Conjunto"),"")))</f>
        <v/>
      </c>
      <c r="J474" t="str">
        <f>IF(G474="","",IF(G474="[FÓRMULA MANUAL]","",IFERROR(AVERAGEIFS(nNOTA,nNIA,G474,nCUENTA,1,nASIG,"Conjunto"),"")))</f>
        <v/>
      </c>
      <c r="K474" t="str">
        <f>IF(G474="","",IF(G474="[FÓRMULA MANUAL]","",IFERROR(SUMPRODUCT((nNIA=G474)*(nCUENTA=1)*(COUNTIF(CONFIG_ASIGNATURAS!$B$7:$B$27,nASIG)&gt;0)*(nNOTA))/SUMPRODUCT((nNIA=G474)*(nCUENTA=1)*(COUNTIF(CONFIG_ASIGNATURAS!$B$7:$B$27,nASIG)&gt;0)*1),"")))</f>
        <v/>
      </c>
      <c r="N474" t="str">
        <f>IF(M474="","",IF(M474="[FÓRMULA MANUAL]","",IFERROR(AVERAGEIFS(nNOTA,nNIA,M474,nCUENTA,1,nASIG,"Armonía"),"")))</f>
        <v/>
      </c>
      <c r="O474" t="str">
        <f>IF(M474="","",IF(M474="[FÓRMULA MANUAL]","",IFERROR(AVERAGEIFS(nNOTA,nNIA,M474,nCUENTA,1,nASIG,"Orquesta/Banda/Conjunto"),"")))</f>
        <v/>
      </c>
      <c r="P474" t="str">
        <f>IF(M474="","",IF(M474="[FÓRMULA MANUAL]","",IFERROR(AVERAGEIFS(nNOTA,nNIA,M474,nCUENTA,1,nASIG,"Música de Cámara"),"")))</f>
        <v/>
      </c>
      <c r="Q474" t="str">
        <f>IF(M474="","",IF(M474="[FÓRMULA MANUAL]","",IFERROR(SUMPRODUCT((nNIA=M474)*(nCUENTA=1)*(COUNTIF(CONFIG_ASIGNATURAS!$B$7:$B$27,nASIG)&gt;0)*(nNOTA))/SUMPRODUCT((nNIA=M474)*(nCUENTA=1)*(COUNTIF(CONFIG_ASIGNATURAS!$B$7:$B$27,nASIG)&gt;0)*1),"")))</f>
        <v/>
      </c>
      <c r="T474" t="str">
        <f>IF(S474="","",IF(S474="[FÓRMULA MANUAL]","",IFERROR(AVERAGEIFS(nNOTA,nNIA,S474,nCUENTA,1,nASIG,"Armonía"),"")))</f>
        <v/>
      </c>
      <c r="U474" t="str">
        <f>IF(S474="","",IF(S474="[FÓRMULA MANUAL]","",IFERROR(AVERAGEIFS(nNOTA,nNIA,S474,nCUENTA,1,nASIG,"Orquesta/Banda/Conjunto"),"")))</f>
        <v/>
      </c>
      <c r="V474" t="str">
        <f>IF(S474="","",IF(S474="[FÓRMULA MANUAL]","",IFERROR(AVERAGEIFS(nNOTA,nNIA,S474,nCUENTA,1,nASIG,"Música de Cámara"),"")))</f>
        <v/>
      </c>
      <c r="W474" t="str">
        <f>IF(S474="","",IF(S474="[FÓRMULA MANUAL]","",IFERROR(SUMPRODUCT((nNIA=S474)*(nCUENTA=1)*(COUNTIF(CONFIG_ASIGNATURAS!$B$7:$B$27,nASIG)&gt;0)*(nNOTA))/SUMPRODUCT((nNIA=S474)*(nCUENTA=1)*(COUNTIF(CONFIG_ASIGNATURAS!$B$7:$B$27,nASIG)&gt;0)*1),"")))</f>
        <v/>
      </c>
      <c r="Z474" t="str">
        <f>IF(Y474="","",IF(Y474="[FÓRMULA MANUAL]","",IFERROR(AVERAGEIFS(nNOTA,nNIA,Y474,nCUENTA,1,nASIG,"Análisis"),"")))</f>
        <v/>
      </c>
      <c r="AA474" t="str">
        <f>IF(Y474="","",IF(Y474="[FÓRMULA MANUAL]","",IFERROR(AVERAGEIFS(nNOTA,nNIA,Y474,nCUENTA,1,nASIG,"Orquesta/Banda/Conjunto"),"")))</f>
        <v/>
      </c>
      <c r="AB474" t="str">
        <f>IF(Y474="","",IF(Y474="[FÓRMULA MANUAL]","",IFERROR(AVERAGEIFS(nNOTA,nNIA,Y474,nCUENTA,1,nASIG,"Música de Cámara"),"")))</f>
        <v/>
      </c>
      <c r="AC474" t="str">
        <f>IF(Y474="","",IF(Y474="[FÓRMULA MANUAL]","",IFERROR(SUMPRODUCT((nNIA=Y474)*(nCUENTA=1)*(COUNTIF(CONFIG_ASIGNATURAS!$B$7:$B$27,nASIG)&gt;0)*(nNOTA))/SUMPRODUCT((nNIA=Y474)*(nCUENTA=1)*(COUNTIF(CONFIG_ASIGNATURAS!$B$7:$B$27,nASIG)&gt;0)*1),"")))</f>
        <v/>
      </c>
      <c r="AF474" t="str">
        <f>IF(AE474="","",IF(AE474="[FÓRMULA MANUAL]","",IFERROR(AVERAGEIFS(nNOTA,nNIA,AE474,nCUENTA,1,nASIG,"Análisis"),"")))</f>
        <v/>
      </c>
      <c r="AG474" t="str">
        <f>IF(AE474="","",IF(AE474="[FÓRMULA MANUAL]","",IFERROR(AVERAGEIFS(nNOTA,nNIA,AE474,nCUENTA,1,nASIG,"Orquesta/Banda/Conjunto"),"")))</f>
        <v/>
      </c>
      <c r="AH474" t="str">
        <f>IF(AE474="","",IF(AE474="[FÓRMULA MANUAL]","",IFERROR(AVERAGEIFS(nNOTA,nNIA,AE474,nCUENTA,1,nASIG,"Música de Cámara"),"")))</f>
        <v/>
      </c>
      <c r="AI474" t="str">
        <f>IF(AE474="","",IF(AE474="[FÓRMULA MANUAL]","",IFERROR(SUMPRODUCT((nNIA=AE474)*(nCUENTA=1)*(COUNTIF(CONFIG_ASIGNATURAS!$B$7:$B$27,nASIG)&gt;0)*(nNOTA))/SUMPRODUCT((nNIA=AE474)*(nCUENTA=1)*(COUNTIF(CONFIG_ASIGNATURAS!$B$7:$B$27,nASIG)&gt;0)*1),"")))</f>
        <v/>
      </c>
    </row>
    <row r="475" spans="2:35" x14ac:dyDescent="0.2">
      <c r="B475" t="str">
        <f>IF(A475="","",IF(A475="[FÓRMULA MANUAL]","",IFERROR(AVERAGEIFS(nNOTA,nNIA,A475,nCUENTA,1,nASIG,"Lenguaje Musical"),"")))</f>
        <v/>
      </c>
      <c r="C475" t="str">
        <f>IF(A475="","",IF(A475="[FÓRMULA MANUAL]","",IFERROR(AVERAGEIFS(nNOTA,nNIA,A475,nCUENTA,1,nASIG,"Orquesta/Banda/Conjunto"),"")))</f>
        <v/>
      </c>
      <c r="D475" t="str">
        <f>IF(A475="","",IF(A475="[FÓRMULA MANUAL]","",IFERROR(AVERAGEIFS(nNOTA,nNIA,A475,nCUENTA,1,nASIG,"Conjunto"),"")))</f>
        <v/>
      </c>
      <c r="E475" t="str">
        <f>IF(A475="","",IF(A475="[FÓRMULA MANUAL]","",IFERROR(SUMPRODUCT((nNIA=A475)*(nCUENTA=1)*(COUNTIF(CONFIG_ASIGNATURAS!$B$7:$B$27,nASIG)&gt;0)*(nNOTA))/SUMPRODUCT((nNIA=A475)*(nCUENTA=1)*(COUNTIF(CONFIG_ASIGNATURAS!$B$7:$B$27,nASIG)&gt;0)*1),"")))</f>
        <v/>
      </c>
      <c r="H475" t="str">
        <f>IF(G475="","",IF(G475="[FÓRMULA MANUAL]","",IFERROR(AVERAGEIFS(nNOTA,nNIA,G475,nCUENTA,1,nASIG,"Lenguaje Musical"),"")))</f>
        <v/>
      </c>
      <c r="I475" t="str">
        <f>IF(G475="","",IF(G475="[FÓRMULA MANUAL]","",IFERROR(AVERAGEIFS(nNOTA,nNIA,G475,nCUENTA,1,nASIG,"Orquesta/Banda/Conjunto"),"")))</f>
        <v/>
      </c>
      <c r="J475" t="str">
        <f>IF(G475="","",IF(G475="[FÓRMULA MANUAL]","",IFERROR(AVERAGEIFS(nNOTA,nNIA,G475,nCUENTA,1,nASIG,"Conjunto"),"")))</f>
        <v/>
      </c>
      <c r="K475" t="str">
        <f>IF(G475="","",IF(G475="[FÓRMULA MANUAL]","",IFERROR(SUMPRODUCT((nNIA=G475)*(nCUENTA=1)*(COUNTIF(CONFIG_ASIGNATURAS!$B$7:$B$27,nASIG)&gt;0)*(nNOTA))/SUMPRODUCT((nNIA=G475)*(nCUENTA=1)*(COUNTIF(CONFIG_ASIGNATURAS!$B$7:$B$27,nASIG)&gt;0)*1),"")))</f>
        <v/>
      </c>
      <c r="N475" t="str">
        <f>IF(M475="","",IF(M475="[FÓRMULA MANUAL]","",IFERROR(AVERAGEIFS(nNOTA,nNIA,M475,nCUENTA,1,nASIG,"Armonía"),"")))</f>
        <v/>
      </c>
      <c r="O475" t="str">
        <f>IF(M475="","",IF(M475="[FÓRMULA MANUAL]","",IFERROR(AVERAGEIFS(nNOTA,nNIA,M475,nCUENTA,1,nASIG,"Orquesta/Banda/Conjunto"),"")))</f>
        <v/>
      </c>
      <c r="P475" t="str">
        <f>IF(M475="","",IF(M475="[FÓRMULA MANUAL]","",IFERROR(AVERAGEIFS(nNOTA,nNIA,M475,nCUENTA,1,nASIG,"Música de Cámara"),"")))</f>
        <v/>
      </c>
      <c r="Q475" t="str">
        <f>IF(M475="","",IF(M475="[FÓRMULA MANUAL]","",IFERROR(SUMPRODUCT((nNIA=M475)*(nCUENTA=1)*(COUNTIF(CONFIG_ASIGNATURAS!$B$7:$B$27,nASIG)&gt;0)*(nNOTA))/SUMPRODUCT((nNIA=M475)*(nCUENTA=1)*(COUNTIF(CONFIG_ASIGNATURAS!$B$7:$B$27,nASIG)&gt;0)*1),"")))</f>
        <v/>
      </c>
      <c r="T475" t="str">
        <f>IF(S475="","",IF(S475="[FÓRMULA MANUAL]","",IFERROR(AVERAGEIFS(nNOTA,nNIA,S475,nCUENTA,1,nASIG,"Armonía"),"")))</f>
        <v/>
      </c>
      <c r="U475" t="str">
        <f>IF(S475="","",IF(S475="[FÓRMULA MANUAL]","",IFERROR(AVERAGEIFS(nNOTA,nNIA,S475,nCUENTA,1,nASIG,"Orquesta/Banda/Conjunto"),"")))</f>
        <v/>
      </c>
      <c r="V475" t="str">
        <f>IF(S475="","",IF(S475="[FÓRMULA MANUAL]","",IFERROR(AVERAGEIFS(nNOTA,nNIA,S475,nCUENTA,1,nASIG,"Música de Cámara"),"")))</f>
        <v/>
      </c>
      <c r="W475" t="str">
        <f>IF(S475="","",IF(S475="[FÓRMULA MANUAL]","",IFERROR(SUMPRODUCT((nNIA=S475)*(nCUENTA=1)*(COUNTIF(CONFIG_ASIGNATURAS!$B$7:$B$27,nASIG)&gt;0)*(nNOTA))/SUMPRODUCT((nNIA=S475)*(nCUENTA=1)*(COUNTIF(CONFIG_ASIGNATURAS!$B$7:$B$27,nASIG)&gt;0)*1),"")))</f>
        <v/>
      </c>
      <c r="Z475" t="str">
        <f>IF(Y475="","",IF(Y475="[FÓRMULA MANUAL]","",IFERROR(AVERAGEIFS(nNOTA,nNIA,Y475,nCUENTA,1,nASIG,"Análisis"),"")))</f>
        <v/>
      </c>
      <c r="AA475" t="str">
        <f>IF(Y475="","",IF(Y475="[FÓRMULA MANUAL]","",IFERROR(AVERAGEIFS(nNOTA,nNIA,Y475,nCUENTA,1,nASIG,"Orquesta/Banda/Conjunto"),"")))</f>
        <v/>
      </c>
      <c r="AB475" t="str">
        <f>IF(Y475="","",IF(Y475="[FÓRMULA MANUAL]","",IFERROR(AVERAGEIFS(nNOTA,nNIA,Y475,nCUENTA,1,nASIG,"Música de Cámara"),"")))</f>
        <v/>
      </c>
      <c r="AC475" t="str">
        <f>IF(Y475="","",IF(Y475="[FÓRMULA MANUAL]","",IFERROR(SUMPRODUCT((nNIA=Y475)*(nCUENTA=1)*(COUNTIF(CONFIG_ASIGNATURAS!$B$7:$B$27,nASIG)&gt;0)*(nNOTA))/SUMPRODUCT((nNIA=Y475)*(nCUENTA=1)*(COUNTIF(CONFIG_ASIGNATURAS!$B$7:$B$27,nASIG)&gt;0)*1),"")))</f>
        <v/>
      </c>
      <c r="AF475" t="str">
        <f>IF(AE475="","",IF(AE475="[FÓRMULA MANUAL]","",IFERROR(AVERAGEIFS(nNOTA,nNIA,AE475,nCUENTA,1,nASIG,"Análisis"),"")))</f>
        <v/>
      </c>
      <c r="AG475" t="str">
        <f>IF(AE475="","",IF(AE475="[FÓRMULA MANUAL]","",IFERROR(AVERAGEIFS(nNOTA,nNIA,AE475,nCUENTA,1,nASIG,"Orquesta/Banda/Conjunto"),"")))</f>
        <v/>
      </c>
      <c r="AH475" t="str">
        <f>IF(AE475="","",IF(AE475="[FÓRMULA MANUAL]","",IFERROR(AVERAGEIFS(nNOTA,nNIA,AE475,nCUENTA,1,nASIG,"Música de Cámara"),"")))</f>
        <v/>
      </c>
      <c r="AI475" t="str">
        <f>IF(AE475="","",IF(AE475="[FÓRMULA MANUAL]","",IFERROR(SUMPRODUCT((nNIA=AE475)*(nCUENTA=1)*(COUNTIF(CONFIG_ASIGNATURAS!$B$7:$B$27,nASIG)&gt;0)*(nNOTA))/SUMPRODUCT((nNIA=AE475)*(nCUENTA=1)*(COUNTIF(CONFIG_ASIGNATURAS!$B$7:$B$27,nASIG)&gt;0)*1),"")))</f>
        <v/>
      </c>
    </row>
    <row r="476" spans="2:35" x14ac:dyDescent="0.2">
      <c r="B476" t="str">
        <f>IF(A476="","",IF(A476="[FÓRMULA MANUAL]","",IFERROR(AVERAGEIFS(nNOTA,nNIA,A476,nCUENTA,1,nASIG,"Lenguaje Musical"),"")))</f>
        <v/>
      </c>
      <c r="C476" t="str">
        <f>IF(A476="","",IF(A476="[FÓRMULA MANUAL]","",IFERROR(AVERAGEIFS(nNOTA,nNIA,A476,nCUENTA,1,nASIG,"Orquesta/Banda/Conjunto"),"")))</f>
        <v/>
      </c>
      <c r="D476" t="str">
        <f>IF(A476="","",IF(A476="[FÓRMULA MANUAL]","",IFERROR(AVERAGEIFS(nNOTA,nNIA,A476,nCUENTA,1,nASIG,"Conjunto"),"")))</f>
        <v/>
      </c>
      <c r="E476" t="str">
        <f>IF(A476="","",IF(A476="[FÓRMULA MANUAL]","",IFERROR(SUMPRODUCT((nNIA=A476)*(nCUENTA=1)*(COUNTIF(CONFIG_ASIGNATURAS!$B$7:$B$27,nASIG)&gt;0)*(nNOTA))/SUMPRODUCT((nNIA=A476)*(nCUENTA=1)*(COUNTIF(CONFIG_ASIGNATURAS!$B$7:$B$27,nASIG)&gt;0)*1),"")))</f>
        <v/>
      </c>
      <c r="H476" t="str">
        <f>IF(G476="","",IF(G476="[FÓRMULA MANUAL]","",IFERROR(AVERAGEIFS(nNOTA,nNIA,G476,nCUENTA,1,nASIG,"Lenguaje Musical"),"")))</f>
        <v/>
      </c>
      <c r="I476" t="str">
        <f>IF(G476="","",IF(G476="[FÓRMULA MANUAL]","",IFERROR(AVERAGEIFS(nNOTA,nNIA,G476,nCUENTA,1,nASIG,"Orquesta/Banda/Conjunto"),"")))</f>
        <v/>
      </c>
      <c r="J476" t="str">
        <f>IF(G476="","",IF(G476="[FÓRMULA MANUAL]","",IFERROR(AVERAGEIFS(nNOTA,nNIA,G476,nCUENTA,1,nASIG,"Conjunto"),"")))</f>
        <v/>
      </c>
      <c r="K476" t="str">
        <f>IF(G476="","",IF(G476="[FÓRMULA MANUAL]","",IFERROR(SUMPRODUCT((nNIA=G476)*(nCUENTA=1)*(COUNTIF(CONFIG_ASIGNATURAS!$B$7:$B$27,nASIG)&gt;0)*(nNOTA))/SUMPRODUCT((nNIA=G476)*(nCUENTA=1)*(COUNTIF(CONFIG_ASIGNATURAS!$B$7:$B$27,nASIG)&gt;0)*1),"")))</f>
        <v/>
      </c>
      <c r="N476" t="str">
        <f>IF(M476="","",IF(M476="[FÓRMULA MANUAL]","",IFERROR(AVERAGEIFS(nNOTA,nNIA,M476,nCUENTA,1,nASIG,"Armonía"),"")))</f>
        <v/>
      </c>
      <c r="O476" t="str">
        <f>IF(M476="","",IF(M476="[FÓRMULA MANUAL]","",IFERROR(AVERAGEIFS(nNOTA,nNIA,M476,nCUENTA,1,nASIG,"Orquesta/Banda/Conjunto"),"")))</f>
        <v/>
      </c>
      <c r="P476" t="str">
        <f>IF(M476="","",IF(M476="[FÓRMULA MANUAL]","",IFERROR(AVERAGEIFS(nNOTA,nNIA,M476,nCUENTA,1,nASIG,"Música de Cámara"),"")))</f>
        <v/>
      </c>
      <c r="Q476" t="str">
        <f>IF(M476="","",IF(M476="[FÓRMULA MANUAL]","",IFERROR(SUMPRODUCT((nNIA=M476)*(nCUENTA=1)*(COUNTIF(CONFIG_ASIGNATURAS!$B$7:$B$27,nASIG)&gt;0)*(nNOTA))/SUMPRODUCT((nNIA=M476)*(nCUENTA=1)*(COUNTIF(CONFIG_ASIGNATURAS!$B$7:$B$27,nASIG)&gt;0)*1),"")))</f>
        <v/>
      </c>
      <c r="T476" t="str">
        <f>IF(S476="","",IF(S476="[FÓRMULA MANUAL]","",IFERROR(AVERAGEIFS(nNOTA,nNIA,S476,nCUENTA,1,nASIG,"Armonía"),"")))</f>
        <v/>
      </c>
      <c r="U476" t="str">
        <f>IF(S476="","",IF(S476="[FÓRMULA MANUAL]","",IFERROR(AVERAGEIFS(nNOTA,nNIA,S476,nCUENTA,1,nASIG,"Orquesta/Banda/Conjunto"),"")))</f>
        <v/>
      </c>
      <c r="V476" t="str">
        <f>IF(S476="","",IF(S476="[FÓRMULA MANUAL]","",IFERROR(AVERAGEIFS(nNOTA,nNIA,S476,nCUENTA,1,nASIG,"Música de Cámara"),"")))</f>
        <v/>
      </c>
      <c r="W476" t="str">
        <f>IF(S476="","",IF(S476="[FÓRMULA MANUAL]","",IFERROR(SUMPRODUCT((nNIA=S476)*(nCUENTA=1)*(COUNTIF(CONFIG_ASIGNATURAS!$B$7:$B$27,nASIG)&gt;0)*(nNOTA))/SUMPRODUCT((nNIA=S476)*(nCUENTA=1)*(COUNTIF(CONFIG_ASIGNATURAS!$B$7:$B$27,nASIG)&gt;0)*1),"")))</f>
        <v/>
      </c>
      <c r="Z476" t="str">
        <f>IF(Y476="","",IF(Y476="[FÓRMULA MANUAL]","",IFERROR(AVERAGEIFS(nNOTA,nNIA,Y476,nCUENTA,1,nASIG,"Análisis"),"")))</f>
        <v/>
      </c>
      <c r="AA476" t="str">
        <f>IF(Y476="","",IF(Y476="[FÓRMULA MANUAL]","",IFERROR(AVERAGEIFS(nNOTA,nNIA,Y476,nCUENTA,1,nASIG,"Orquesta/Banda/Conjunto"),"")))</f>
        <v/>
      </c>
      <c r="AB476" t="str">
        <f>IF(Y476="","",IF(Y476="[FÓRMULA MANUAL]","",IFERROR(AVERAGEIFS(nNOTA,nNIA,Y476,nCUENTA,1,nASIG,"Música de Cámara"),"")))</f>
        <v/>
      </c>
      <c r="AC476" t="str">
        <f>IF(Y476="","",IF(Y476="[FÓRMULA MANUAL]","",IFERROR(SUMPRODUCT((nNIA=Y476)*(nCUENTA=1)*(COUNTIF(CONFIG_ASIGNATURAS!$B$7:$B$27,nASIG)&gt;0)*(nNOTA))/SUMPRODUCT((nNIA=Y476)*(nCUENTA=1)*(COUNTIF(CONFIG_ASIGNATURAS!$B$7:$B$27,nASIG)&gt;0)*1),"")))</f>
        <v/>
      </c>
      <c r="AF476" t="str">
        <f>IF(AE476="","",IF(AE476="[FÓRMULA MANUAL]","",IFERROR(AVERAGEIFS(nNOTA,nNIA,AE476,nCUENTA,1,nASIG,"Análisis"),"")))</f>
        <v/>
      </c>
      <c r="AG476" t="str">
        <f>IF(AE476="","",IF(AE476="[FÓRMULA MANUAL]","",IFERROR(AVERAGEIFS(nNOTA,nNIA,AE476,nCUENTA,1,nASIG,"Orquesta/Banda/Conjunto"),"")))</f>
        <v/>
      </c>
      <c r="AH476" t="str">
        <f>IF(AE476="","",IF(AE476="[FÓRMULA MANUAL]","",IFERROR(AVERAGEIFS(nNOTA,nNIA,AE476,nCUENTA,1,nASIG,"Música de Cámara"),"")))</f>
        <v/>
      </c>
      <c r="AI476" t="str">
        <f>IF(AE476="","",IF(AE476="[FÓRMULA MANUAL]","",IFERROR(SUMPRODUCT((nNIA=AE476)*(nCUENTA=1)*(COUNTIF(CONFIG_ASIGNATURAS!$B$7:$B$27,nASIG)&gt;0)*(nNOTA))/SUMPRODUCT((nNIA=AE476)*(nCUENTA=1)*(COUNTIF(CONFIG_ASIGNATURAS!$B$7:$B$27,nASIG)&gt;0)*1),"")))</f>
        <v/>
      </c>
    </row>
    <row r="477" spans="2:35" x14ac:dyDescent="0.2">
      <c r="B477" t="str">
        <f>IF(A477="","",IF(A477="[FÓRMULA MANUAL]","",IFERROR(AVERAGEIFS(nNOTA,nNIA,A477,nCUENTA,1,nASIG,"Lenguaje Musical"),"")))</f>
        <v/>
      </c>
      <c r="C477" t="str">
        <f>IF(A477="","",IF(A477="[FÓRMULA MANUAL]","",IFERROR(AVERAGEIFS(nNOTA,nNIA,A477,nCUENTA,1,nASIG,"Orquesta/Banda/Conjunto"),"")))</f>
        <v/>
      </c>
      <c r="D477" t="str">
        <f>IF(A477="","",IF(A477="[FÓRMULA MANUAL]","",IFERROR(AVERAGEIFS(nNOTA,nNIA,A477,nCUENTA,1,nASIG,"Conjunto"),"")))</f>
        <v/>
      </c>
      <c r="E477" t="str">
        <f>IF(A477="","",IF(A477="[FÓRMULA MANUAL]","",IFERROR(SUMPRODUCT((nNIA=A477)*(nCUENTA=1)*(COUNTIF(CONFIG_ASIGNATURAS!$B$7:$B$27,nASIG)&gt;0)*(nNOTA))/SUMPRODUCT((nNIA=A477)*(nCUENTA=1)*(COUNTIF(CONFIG_ASIGNATURAS!$B$7:$B$27,nASIG)&gt;0)*1),"")))</f>
        <v/>
      </c>
      <c r="H477" t="str">
        <f>IF(G477="","",IF(G477="[FÓRMULA MANUAL]","",IFERROR(AVERAGEIFS(nNOTA,nNIA,G477,nCUENTA,1,nASIG,"Lenguaje Musical"),"")))</f>
        <v/>
      </c>
      <c r="I477" t="str">
        <f>IF(G477="","",IF(G477="[FÓRMULA MANUAL]","",IFERROR(AVERAGEIFS(nNOTA,nNIA,G477,nCUENTA,1,nASIG,"Orquesta/Banda/Conjunto"),"")))</f>
        <v/>
      </c>
      <c r="J477" t="str">
        <f>IF(G477="","",IF(G477="[FÓRMULA MANUAL]","",IFERROR(AVERAGEIFS(nNOTA,nNIA,G477,nCUENTA,1,nASIG,"Conjunto"),"")))</f>
        <v/>
      </c>
      <c r="K477" t="str">
        <f>IF(G477="","",IF(G477="[FÓRMULA MANUAL]","",IFERROR(SUMPRODUCT((nNIA=G477)*(nCUENTA=1)*(COUNTIF(CONFIG_ASIGNATURAS!$B$7:$B$27,nASIG)&gt;0)*(nNOTA))/SUMPRODUCT((nNIA=G477)*(nCUENTA=1)*(COUNTIF(CONFIG_ASIGNATURAS!$B$7:$B$27,nASIG)&gt;0)*1),"")))</f>
        <v/>
      </c>
      <c r="N477" t="str">
        <f>IF(M477="","",IF(M477="[FÓRMULA MANUAL]","",IFERROR(AVERAGEIFS(nNOTA,nNIA,M477,nCUENTA,1,nASIG,"Armonía"),"")))</f>
        <v/>
      </c>
      <c r="O477" t="str">
        <f>IF(M477="","",IF(M477="[FÓRMULA MANUAL]","",IFERROR(AVERAGEIFS(nNOTA,nNIA,M477,nCUENTA,1,nASIG,"Orquesta/Banda/Conjunto"),"")))</f>
        <v/>
      </c>
      <c r="P477" t="str">
        <f>IF(M477="","",IF(M477="[FÓRMULA MANUAL]","",IFERROR(AVERAGEIFS(nNOTA,nNIA,M477,nCUENTA,1,nASIG,"Música de Cámara"),"")))</f>
        <v/>
      </c>
      <c r="Q477" t="str">
        <f>IF(M477="","",IF(M477="[FÓRMULA MANUAL]","",IFERROR(SUMPRODUCT((nNIA=M477)*(nCUENTA=1)*(COUNTIF(CONFIG_ASIGNATURAS!$B$7:$B$27,nASIG)&gt;0)*(nNOTA))/SUMPRODUCT((nNIA=M477)*(nCUENTA=1)*(COUNTIF(CONFIG_ASIGNATURAS!$B$7:$B$27,nASIG)&gt;0)*1),"")))</f>
        <v/>
      </c>
      <c r="T477" t="str">
        <f>IF(S477="","",IF(S477="[FÓRMULA MANUAL]","",IFERROR(AVERAGEIFS(nNOTA,nNIA,S477,nCUENTA,1,nASIG,"Armonía"),"")))</f>
        <v/>
      </c>
      <c r="U477" t="str">
        <f>IF(S477="","",IF(S477="[FÓRMULA MANUAL]","",IFERROR(AVERAGEIFS(nNOTA,nNIA,S477,nCUENTA,1,nASIG,"Orquesta/Banda/Conjunto"),"")))</f>
        <v/>
      </c>
      <c r="V477" t="str">
        <f>IF(S477="","",IF(S477="[FÓRMULA MANUAL]","",IFERROR(AVERAGEIFS(nNOTA,nNIA,S477,nCUENTA,1,nASIG,"Música de Cámara"),"")))</f>
        <v/>
      </c>
      <c r="W477" t="str">
        <f>IF(S477="","",IF(S477="[FÓRMULA MANUAL]","",IFERROR(SUMPRODUCT((nNIA=S477)*(nCUENTA=1)*(COUNTIF(CONFIG_ASIGNATURAS!$B$7:$B$27,nASIG)&gt;0)*(nNOTA))/SUMPRODUCT((nNIA=S477)*(nCUENTA=1)*(COUNTIF(CONFIG_ASIGNATURAS!$B$7:$B$27,nASIG)&gt;0)*1),"")))</f>
        <v/>
      </c>
      <c r="Z477" t="str">
        <f>IF(Y477="","",IF(Y477="[FÓRMULA MANUAL]","",IFERROR(AVERAGEIFS(nNOTA,nNIA,Y477,nCUENTA,1,nASIG,"Análisis"),"")))</f>
        <v/>
      </c>
      <c r="AA477" t="str">
        <f>IF(Y477="","",IF(Y477="[FÓRMULA MANUAL]","",IFERROR(AVERAGEIFS(nNOTA,nNIA,Y477,nCUENTA,1,nASIG,"Orquesta/Banda/Conjunto"),"")))</f>
        <v/>
      </c>
      <c r="AB477" t="str">
        <f>IF(Y477="","",IF(Y477="[FÓRMULA MANUAL]","",IFERROR(AVERAGEIFS(nNOTA,nNIA,Y477,nCUENTA,1,nASIG,"Música de Cámara"),"")))</f>
        <v/>
      </c>
      <c r="AC477" t="str">
        <f>IF(Y477="","",IF(Y477="[FÓRMULA MANUAL]","",IFERROR(SUMPRODUCT((nNIA=Y477)*(nCUENTA=1)*(COUNTIF(CONFIG_ASIGNATURAS!$B$7:$B$27,nASIG)&gt;0)*(nNOTA))/SUMPRODUCT((nNIA=Y477)*(nCUENTA=1)*(COUNTIF(CONFIG_ASIGNATURAS!$B$7:$B$27,nASIG)&gt;0)*1),"")))</f>
        <v/>
      </c>
      <c r="AF477" t="str">
        <f>IF(AE477="","",IF(AE477="[FÓRMULA MANUAL]","",IFERROR(AVERAGEIFS(nNOTA,nNIA,AE477,nCUENTA,1,nASIG,"Análisis"),"")))</f>
        <v/>
      </c>
      <c r="AG477" t="str">
        <f>IF(AE477="","",IF(AE477="[FÓRMULA MANUAL]","",IFERROR(AVERAGEIFS(nNOTA,nNIA,AE477,nCUENTA,1,nASIG,"Orquesta/Banda/Conjunto"),"")))</f>
        <v/>
      </c>
      <c r="AH477" t="str">
        <f>IF(AE477="","",IF(AE477="[FÓRMULA MANUAL]","",IFERROR(AVERAGEIFS(nNOTA,nNIA,AE477,nCUENTA,1,nASIG,"Música de Cámara"),"")))</f>
        <v/>
      </c>
      <c r="AI477" t="str">
        <f>IF(AE477="","",IF(AE477="[FÓRMULA MANUAL]","",IFERROR(SUMPRODUCT((nNIA=AE477)*(nCUENTA=1)*(COUNTIF(CONFIG_ASIGNATURAS!$B$7:$B$27,nASIG)&gt;0)*(nNOTA))/SUMPRODUCT((nNIA=AE477)*(nCUENTA=1)*(COUNTIF(CONFIG_ASIGNATURAS!$B$7:$B$27,nASIG)&gt;0)*1),"")))</f>
        <v/>
      </c>
    </row>
    <row r="478" spans="2:35" x14ac:dyDescent="0.2">
      <c r="B478" t="str">
        <f>IF(A478="","",IF(A478="[FÓRMULA MANUAL]","",IFERROR(AVERAGEIFS(nNOTA,nNIA,A478,nCUENTA,1,nASIG,"Lenguaje Musical"),"")))</f>
        <v/>
      </c>
      <c r="C478" t="str">
        <f>IF(A478="","",IF(A478="[FÓRMULA MANUAL]","",IFERROR(AVERAGEIFS(nNOTA,nNIA,A478,nCUENTA,1,nASIG,"Orquesta/Banda/Conjunto"),"")))</f>
        <v/>
      </c>
      <c r="D478" t="str">
        <f>IF(A478="","",IF(A478="[FÓRMULA MANUAL]","",IFERROR(AVERAGEIFS(nNOTA,nNIA,A478,nCUENTA,1,nASIG,"Conjunto"),"")))</f>
        <v/>
      </c>
      <c r="E478" t="str">
        <f>IF(A478="","",IF(A478="[FÓRMULA MANUAL]","",IFERROR(SUMPRODUCT((nNIA=A478)*(nCUENTA=1)*(COUNTIF(CONFIG_ASIGNATURAS!$B$7:$B$27,nASIG)&gt;0)*(nNOTA))/SUMPRODUCT((nNIA=A478)*(nCUENTA=1)*(COUNTIF(CONFIG_ASIGNATURAS!$B$7:$B$27,nASIG)&gt;0)*1),"")))</f>
        <v/>
      </c>
      <c r="H478" t="str">
        <f>IF(G478="","",IF(G478="[FÓRMULA MANUAL]","",IFERROR(AVERAGEIFS(nNOTA,nNIA,G478,nCUENTA,1,nASIG,"Lenguaje Musical"),"")))</f>
        <v/>
      </c>
      <c r="I478" t="str">
        <f>IF(G478="","",IF(G478="[FÓRMULA MANUAL]","",IFERROR(AVERAGEIFS(nNOTA,nNIA,G478,nCUENTA,1,nASIG,"Orquesta/Banda/Conjunto"),"")))</f>
        <v/>
      </c>
      <c r="J478" t="str">
        <f>IF(G478="","",IF(G478="[FÓRMULA MANUAL]","",IFERROR(AVERAGEIFS(nNOTA,nNIA,G478,nCUENTA,1,nASIG,"Conjunto"),"")))</f>
        <v/>
      </c>
      <c r="K478" t="str">
        <f>IF(G478="","",IF(G478="[FÓRMULA MANUAL]","",IFERROR(SUMPRODUCT((nNIA=G478)*(nCUENTA=1)*(COUNTIF(CONFIG_ASIGNATURAS!$B$7:$B$27,nASIG)&gt;0)*(nNOTA))/SUMPRODUCT((nNIA=G478)*(nCUENTA=1)*(COUNTIF(CONFIG_ASIGNATURAS!$B$7:$B$27,nASIG)&gt;0)*1),"")))</f>
        <v/>
      </c>
      <c r="N478" t="str">
        <f>IF(M478="","",IF(M478="[FÓRMULA MANUAL]","",IFERROR(AVERAGEIFS(nNOTA,nNIA,M478,nCUENTA,1,nASIG,"Armonía"),"")))</f>
        <v/>
      </c>
      <c r="O478" t="str">
        <f>IF(M478="","",IF(M478="[FÓRMULA MANUAL]","",IFERROR(AVERAGEIFS(nNOTA,nNIA,M478,nCUENTA,1,nASIG,"Orquesta/Banda/Conjunto"),"")))</f>
        <v/>
      </c>
      <c r="P478" t="str">
        <f>IF(M478="","",IF(M478="[FÓRMULA MANUAL]","",IFERROR(AVERAGEIFS(nNOTA,nNIA,M478,nCUENTA,1,nASIG,"Música de Cámara"),"")))</f>
        <v/>
      </c>
      <c r="Q478" t="str">
        <f>IF(M478="","",IF(M478="[FÓRMULA MANUAL]","",IFERROR(SUMPRODUCT((nNIA=M478)*(nCUENTA=1)*(COUNTIF(CONFIG_ASIGNATURAS!$B$7:$B$27,nASIG)&gt;0)*(nNOTA))/SUMPRODUCT((nNIA=M478)*(nCUENTA=1)*(COUNTIF(CONFIG_ASIGNATURAS!$B$7:$B$27,nASIG)&gt;0)*1),"")))</f>
        <v/>
      </c>
      <c r="T478" t="str">
        <f>IF(S478="","",IF(S478="[FÓRMULA MANUAL]","",IFERROR(AVERAGEIFS(nNOTA,nNIA,S478,nCUENTA,1,nASIG,"Armonía"),"")))</f>
        <v/>
      </c>
      <c r="U478" t="str">
        <f>IF(S478="","",IF(S478="[FÓRMULA MANUAL]","",IFERROR(AVERAGEIFS(nNOTA,nNIA,S478,nCUENTA,1,nASIG,"Orquesta/Banda/Conjunto"),"")))</f>
        <v/>
      </c>
      <c r="V478" t="str">
        <f>IF(S478="","",IF(S478="[FÓRMULA MANUAL]","",IFERROR(AVERAGEIFS(nNOTA,nNIA,S478,nCUENTA,1,nASIG,"Música de Cámara"),"")))</f>
        <v/>
      </c>
      <c r="W478" t="str">
        <f>IF(S478="","",IF(S478="[FÓRMULA MANUAL]","",IFERROR(SUMPRODUCT((nNIA=S478)*(nCUENTA=1)*(COUNTIF(CONFIG_ASIGNATURAS!$B$7:$B$27,nASIG)&gt;0)*(nNOTA))/SUMPRODUCT((nNIA=S478)*(nCUENTA=1)*(COUNTIF(CONFIG_ASIGNATURAS!$B$7:$B$27,nASIG)&gt;0)*1),"")))</f>
        <v/>
      </c>
      <c r="Z478" t="str">
        <f>IF(Y478="","",IF(Y478="[FÓRMULA MANUAL]","",IFERROR(AVERAGEIFS(nNOTA,nNIA,Y478,nCUENTA,1,nASIG,"Análisis"),"")))</f>
        <v/>
      </c>
      <c r="AA478" t="str">
        <f>IF(Y478="","",IF(Y478="[FÓRMULA MANUAL]","",IFERROR(AVERAGEIFS(nNOTA,nNIA,Y478,nCUENTA,1,nASIG,"Orquesta/Banda/Conjunto"),"")))</f>
        <v/>
      </c>
      <c r="AB478" t="str">
        <f>IF(Y478="","",IF(Y478="[FÓRMULA MANUAL]","",IFERROR(AVERAGEIFS(nNOTA,nNIA,Y478,nCUENTA,1,nASIG,"Música de Cámara"),"")))</f>
        <v/>
      </c>
      <c r="AC478" t="str">
        <f>IF(Y478="","",IF(Y478="[FÓRMULA MANUAL]","",IFERROR(SUMPRODUCT((nNIA=Y478)*(nCUENTA=1)*(COUNTIF(CONFIG_ASIGNATURAS!$B$7:$B$27,nASIG)&gt;0)*(nNOTA))/SUMPRODUCT((nNIA=Y478)*(nCUENTA=1)*(COUNTIF(CONFIG_ASIGNATURAS!$B$7:$B$27,nASIG)&gt;0)*1),"")))</f>
        <v/>
      </c>
      <c r="AF478" t="str">
        <f>IF(AE478="","",IF(AE478="[FÓRMULA MANUAL]","",IFERROR(AVERAGEIFS(nNOTA,nNIA,AE478,nCUENTA,1,nASIG,"Análisis"),"")))</f>
        <v/>
      </c>
      <c r="AG478" t="str">
        <f>IF(AE478="","",IF(AE478="[FÓRMULA MANUAL]","",IFERROR(AVERAGEIFS(nNOTA,nNIA,AE478,nCUENTA,1,nASIG,"Orquesta/Banda/Conjunto"),"")))</f>
        <v/>
      </c>
      <c r="AH478" t="str">
        <f>IF(AE478="","",IF(AE478="[FÓRMULA MANUAL]","",IFERROR(AVERAGEIFS(nNOTA,nNIA,AE478,nCUENTA,1,nASIG,"Música de Cámara"),"")))</f>
        <v/>
      </c>
      <c r="AI478" t="str">
        <f>IF(AE478="","",IF(AE478="[FÓRMULA MANUAL]","",IFERROR(SUMPRODUCT((nNIA=AE478)*(nCUENTA=1)*(COUNTIF(CONFIG_ASIGNATURAS!$B$7:$B$27,nASIG)&gt;0)*(nNOTA))/SUMPRODUCT((nNIA=AE478)*(nCUENTA=1)*(COUNTIF(CONFIG_ASIGNATURAS!$B$7:$B$27,nASIG)&gt;0)*1),"")))</f>
        <v/>
      </c>
    </row>
    <row r="479" spans="2:35" x14ac:dyDescent="0.2">
      <c r="B479" t="str">
        <f>IF(A479="","",IF(A479="[FÓRMULA MANUAL]","",IFERROR(AVERAGEIFS(nNOTA,nNIA,A479,nCUENTA,1,nASIG,"Lenguaje Musical"),"")))</f>
        <v/>
      </c>
      <c r="C479" t="str">
        <f>IF(A479="","",IF(A479="[FÓRMULA MANUAL]","",IFERROR(AVERAGEIFS(nNOTA,nNIA,A479,nCUENTA,1,nASIG,"Orquesta/Banda/Conjunto"),"")))</f>
        <v/>
      </c>
      <c r="D479" t="str">
        <f>IF(A479="","",IF(A479="[FÓRMULA MANUAL]","",IFERROR(AVERAGEIFS(nNOTA,nNIA,A479,nCUENTA,1,nASIG,"Conjunto"),"")))</f>
        <v/>
      </c>
      <c r="E479" t="str">
        <f>IF(A479="","",IF(A479="[FÓRMULA MANUAL]","",IFERROR(SUMPRODUCT((nNIA=A479)*(nCUENTA=1)*(COUNTIF(CONFIG_ASIGNATURAS!$B$7:$B$27,nASIG)&gt;0)*(nNOTA))/SUMPRODUCT((nNIA=A479)*(nCUENTA=1)*(COUNTIF(CONFIG_ASIGNATURAS!$B$7:$B$27,nASIG)&gt;0)*1),"")))</f>
        <v/>
      </c>
      <c r="H479" t="str">
        <f>IF(G479="","",IF(G479="[FÓRMULA MANUAL]","",IFERROR(AVERAGEIFS(nNOTA,nNIA,G479,nCUENTA,1,nASIG,"Lenguaje Musical"),"")))</f>
        <v/>
      </c>
      <c r="I479" t="str">
        <f>IF(G479="","",IF(G479="[FÓRMULA MANUAL]","",IFERROR(AVERAGEIFS(nNOTA,nNIA,G479,nCUENTA,1,nASIG,"Orquesta/Banda/Conjunto"),"")))</f>
        <v/>
      </c>
      <c r="J479" t="str">
        <f>IF(G479="","",IF(G479="[FÓRMULA MANUAL]","",IFERROR(AVERAGEIFS(nNOTA,nNIA,G479,nCUENTA,1,nASIG,"Conjunto"),"")))</f>
        <v/>
      </c>
      <c r="K479" t="str">
        <f>IF(G479="","",IF(G479="[FÓRMULA MANUAL]","",IFERROR(SUMPRODUCT((nNIA=G479)*(nCUENTA=1)*(COUNTIF(CONFIG_ASIGNATURAS!$B$7:$B$27,nASIG)&gt;0)*(nNOTA))/SUMPRODUCT((nNIA=G479)*(nCUENTA=1)*(COUNTIF(CONFIG_ASIGNATURAS!$B$7:$B$27,nASIG)&gt;0)*1),"")))</f>
        <v/>
      </c>
      <c r="N479" t="str">
        <f>IF(M479="","",IF(M479="[FÓRMULA MANUAL]","",IFERROR(AVERAGEIFS(nNOTA,nNIA,M479,nCUENTA,1,nASIG,"Armonía"),"")))</f>
        <v/>
      </c>
      <c r="O479" t="str">
        <f>IF(M479="","",IF(M479="[FÓRMULA MANUAL]","",IFERROR(AVERAGEIFS(nNOTA,nNIA,M479,nCUENTA,1,nASIG,"Orquesta/Banda/Conjunto"),"")))</f>
        <v/>
      </c>
      <c r="P479" t="str">
        <f>IF(M479="","",IF(M479="[FÓRMULA MANUAL]","",IFERROR(AVERAGEIFS(nNOTA,nNIA,M479,nCUENTA,1,nASIG,"Música de Cámara"),"")))</f>
        <v/>
      </c>
      <c r="Q479" t="str">
        <f>IF(M479="","",IF(M479="[FÓRMULA MANUAL]","",IFERROR(SUMPRODUCT((nNIA=M479)*(nCUENTA=1)*(COUNTIF(CONFIG_ASIGNATURAS!$B$7:$B$27,nASIG)&gt;0)*(nNOTA))/SUMPRODUCT((nNIA=M479)*(nCUENTA=1)*(COUNTIF(CONFIG_ASIGNATURAS!$B$7:$B$27,nASIG)&gt;0)*1),"")))</f>
        <v/>
      </c>
      <c r="T479" t="str">
        <f>IF(S479="","",IF(S479="[FÓRMULA MANUAL]","",IFERROR(AVERAGEIFS(nNOTA,nNIA,S479,nCUENTA,1,nASIG,"Armonía"),"")))</f>
        <v/>
      </c>
      <c r="U479" t="str">
        <f>IF(S479="","",IF(S479="[FÓRMULA MANUAL]","",IFERROR(AVERAGEIFS(nNOTA,nNIA,S479,nCUENTA,1,nASIG,"Orquesta/Banda/Conjunto"),"")))</f>
        <v/>
      </c>
      <c r="V479" t="str">
        <f>IF(S479="","",IF(S479="[FÓRMULA MANUAL]","",IFERROR(AVERAGEIFS(nNOTA,nNIA,S479,nCUENTA,1,nASIG,"Música de Cámara"),"")))</f>
        <v/>
      </c>
      <c r="W479" t="str">
        <f>IF(S479="","",IF(S479="[FÓRMULA MANUAL]","",IFERROR(SUMPRODUCT((nNIA=S479)*(nCUENTA=1)*(COUNTIF(CONFIG_ASIGNATURAS!$B$7:$B$27,nASIG)&gt;0)*(nNOTA))/SUMPRODUCT((nNIA=S479)*(nCUENTA=1)*(COUNTIF(CONFIG_ASIGNATURAS!$B$7:$B$27,nASIG)&gt;0)*1),"")))</f>
        <v/>
      </c>
      <c r="Z479" t="str">
        <f>IF(Y479="","",IF(Y479="[FÓRMULA MANUAL]","",IFERROR(AVERAGEIFS(nNOTA,nNIA,Y479,nCUENTA,1,nASIG,"Análisis"),"")))</f>
        <v/>
      </c>
      <c r="AA479" t="str">
        <f>IF(Y479="","",IF(Y479="[FÓRMULA MANUAL]","",IFERROR(AVERAGEIFS(nNOTA,nNIA,Y479,nCUENTA,1,nASIG,"Orquesta/Banda/Conjunto"),"")))</f>
        <v/>
      </c>
      <c r="AB479" t="str">
        <f>IF(Y479="","",IF(Y479="[FÓRMULA MANUAL]","",IFERROR(AVERAGEIFS(nNOTA,nNIA,Y479,nCUENTA,1,nASIG,"Música de Cámara"),"")))</f>
        <v/>
      </c>
      <c r="AC479" t="str">
        <f>IF(Y479="","",IF(Y479="[FÓRMULA MANUAL]","",IFERROR(SUMPRODUCT((nNIA=Y479)*(nCUENTA=1)*(COUNTIF(CONFIG_ASIGNATURAS!$B$7:$B$27,nASIG)&gt;0)*(nNOTA))/SUMPRODUCT((nNIA=Y479)*(nCUENTA=1)*(COUNTIF(CONFIG_ASIGNATURAS!$B$7:$B$27,nASIG)&gt;0)*1),"")))</f>
        <v/>
      </c>
      <c r="AF479" t="str">
        <f>IF(AE479="","",IF(AE479="[FÓRMULA MANUAL]","",IFERROR(AVERAGEIFS(nNOTA,nNIA,AE479,nCUENTA,1,nASIG,"Análisis"),"")))</f>
        <v/>
      </c>
      <c r="AG479" t="str">
        <f>IF(AE479="","",IF(AE479="[FÓRMULA MANUAL]","",IFERROR(AVERAGEIFS(nNOTA,nNIA,AE479,nCUENTA,1,nASIG,"Orquesta/Banda/Conjunto"),"")))</f>
        <v/>
      </c>
      <c r="AH479" t="str">
        <f>IF(AE479="","",IF(AE479="[FÓRMULA MANUAL]","",IFERROR(AVERAGEIFS(nNOTA,nNIA,AE479,nCUENTA,1,nASIG,"Música de Cámara"),"")))</f>
        <v/>
      </c>
      <c r="AI479" t="str">
        <f>IF(AE479="","",IF(AE479="[FÓRMULA MANUAL]","",IFERROR(SUMPRODUCT((nNIA=AE479)*(nCUENTA=1)*(COUNTIF(CONFIG_ASIGNATURAS!$B$7:$B$27,nASIG)&gt;0)*(nNOTA))/SUMPRODUCT((nNIA=AE479)*(nCUENTA=1)*(COUNTIF(CONFIG_ASIGNATURAS!$B$7:$B$27,nASIG)&gt;0)*1),"")))</f>
        <v/>
      </c>
    </row>
    <row r="480" spans="2:35" x14ac:dyDescent="0.2">
      <c r="B480" t="str">
        <f>IF(A480="","",IF(A480="[FÓRMULA MANUAL]","",IFERROR(AVERAGEIFS(nNOTA,nNIA,A480,nCUENTA,1,nASIG,"Lenguaje Musical"),"")))</f>
        <v/>
      </c>
      <c r="C480" t="str">
        <f>IF(A480="","",IF(A480="[FÓRMULA MANUAL]","",IFERROR(AVERAGEIFS(nNOTA,nNIA,A480,nCUENTA,1,nASIG,"Orquesta/Banda/Conjunto"),"")))</f>
        <v/>
      </c>
      <c r="D480" t="str">
        <f>IF(A480="","",IF(A480="[FÓRMULA MANUAL]","",IFERROR(AVERAGEIFS(nNOTA,nNIA,A480,nCUENTA,1,nASIG,"Conjunto"),"")))</f>
        <v/>
      </c>
      <c r="E480" t="str">
        <f>IF(A480="","",IF(A480="[FÓRMULA MANUAL]","",IFERROR(SUMPRODUCT((nNIA=A480)*(nCUENTA=1)*(COUNTIF(CONFIG_ASIGNATURAS!$B$7:$B$27,nASIG)&gt;0)*(nNOTA))/SUMPRODUCT((nNIA=A480)*(nCUENTA=1)*(COUNTIF(CONFIG_ASIGNATURAS!$B$7:$B$27,nASIG)&gt;0)*1),"")))</f>
        <v/>
      </c>
      <c r="H480" t="str">
        <f>IF(G480="","",IF(G480="[FÓRMULA MANUAL]","",IFERROR(AVERAGEIFS(nNOTA,nNIA,G480,nCUENTA,1,nASIG,"Lenguaje Musical"),"")))</f>
        <v/>
      </c>
      <c r="I480" t="str">
        <f>IF(G480="","",IF(G480="[FÓRMULA MANUAL]","",IFERROR(AVERAGEIFS(nNOTA,nNIA,G480,nCUENTA,1,nASIG,"Orquesta/Banda/Conjunto"),"")))</f>
        <v/>
      </c>
      <c r="J480" t="str">
        <f>IF(G480="","",IF(G480="[FÓRMULA MANUAL]","",IFERROR(AVERAGEIFS(nNOTA,nNIA,G480,nCUENTA,1,nASIG,"Conjunto"),"")))</f>
        <v/>
      </c>
      <c r="K480" t="str">
        <f>IF(G480="","",IF(G480="[FÓRMULA MANUAL]","",IFERROR(SUMPRODUCT((nNIA=G480)*(nCUENTA=1)*(COUNTIF(CONFIG_ASIGNATURAS!$B$7:$B$27,nASIG)&gt;0)*(nNOTA))/SUMPRODUCT((nNIA=G480)*(nCUENTA=1)*(COUNTIF(CONFIG_ASIGNATURAS!$B$7:$B$27,nASIG)&gt;0)*1),"")))</f>
        <v/>
      </c>
      <c r="N480" t="str">
        <f>IF(M480="","",IF(M480="[FÓRMULA MANUAL]","",IFERROR(AVERAGEIFS(nNOTA,nNIA,M480,nCUENTA,1,nASIG,"Armonía"),"")))</f>
        <v/>
      </c>
      <c r="O480" t="str">
        <f>IF(M480="","",IF(M480="[FÓRMULA MANUAL]","",IFERROR(AVERAGEIFS(nNOTA,nNIA,M480,nCUENTA,1,nASIG,"Orquesta/Banda/Conjunto"),"")))</f>
        <v/>
      </c>
      <c r="P480" t="str">
        <f>IF(M480="","",IF(M480="[FÓRMULA MANUAL]","",IFERROR(AVERAGEIFS(nNOTA,nNIA,M480,nCUENTA,1,nASIG,"Música de Cámara"),"")))</f>
        <v/>
      </c>
      <c r="Q480" t="str">
        <f>IF(M480="","",IF(M480="[FÓRMULA MANUAL]","",IFERROR(SUMPRODUCT((nNIA=M480)*(nCUENTA=1)*(COUNTIF(CONFIG_ASIGNATURAS!$B$7:$B$27,nASIG)&gt;0)*(nNOTA))/SUMPRODUCT((nNIA=M480)*(nCUENTA=1)*(COUNTIF(CONFIG_ASIGNATURAS!$B$7:$B$27,nASIG)&gt;0)*1),"")))</f>
        <v/>
      </c>
      <c r="T480" t="str">
        <f>IF(S480="","",IF(S480="[FÓRMULA MANUAL]","",IFERROR(AVERAGEIFS(nNOTA,nNIA,S480,nCUENTA,1,nASIG,"Armonía"),"")))</f>
        <v/>
      </c>
      <c r="U480" t="str">
        <f>IF(S480="","",IF(S480="[FÓRMULA MANUAL]","",IFERROR(AVERAGEIFS(nNOTA,nNIA,S480,nCUENTA,1,nASIG,"Orquesta/Banda/Conjunto"),"")))</f>
        <v/>
      </c>
      <c r="V480" t="str">
        <f>IF(S480="","",IF(S480="[FÓRMULA MANUAL]","",IFERROR(AVERAGEIFS(nNOTA,nNIA,S480,nCUENTA,1,nASIG,"Música de Cámara"),"")))</f>
        <v/>
      </c>
      <c r="W480" t="str">
        <f>IF(S480="","",IF(S480="[FÓRMULA MANUAL]","",IFERROR(SUMPRODUCT((nNIA=S480)*(nCUENTA=1)*(COUNTIF(CONFIG_ASIGNATURAS!$B$7:$B$27,nASIG)&gt;0)*(nNOTA))/SUMPRODUCT((nNIA=S480)*(nCUENTA=1)*(COUNTIF(CONFIG_ASIGNATURAS!$B$7:$B$27,nASIG)&gt;0)*1),"")))</f>
        <v/>
      </c>
      <c r="Z480" t="str">
        <f>IF(Y480="","",IF(Y480="[FÓRMULA MANUAL]","",IFERROR(AVERAGEIFS(nNOTA,nNIA,Y480,nCUENTA,1,nASIG,"Análisis"),"")))</f>
        <v/>
      </c>
      <c r="AA480" t="str">
        <f>IF(Y480="","",IF(Y480="[FÓRMULA MANUAL]","",IFERROR(AVERAGEIFS(nNOTA,nNIA,Y480,nCUENTA,1,nASIG,"Orquesta/Banda/Conjunto"),"")))</f>
        <v/>
      </c>
      <c r="AB480" t="str">
        <f>IF(Y480="","",IF(Y480="[FÓRMULA MANUAL]","",IFERROR(AVERAGEIFS(nNOTA,nNIA,Y480,nCUENTA,1,nASIG,"Música de Cámara"),"")))</f>
        <v/>
      </c>
      <c r="AC480" t="str">
        <f>IF(Y480="","",IF(Y480="[FÓRMULA MANUAL]","",IFERROR(SUMPRODUCT((nNIA=Y480)*(nCUENTA=1)*(COUNTIF(CONFIG_ASIGNATURAS!$B$7:$B$27,nASIG)&gt;0)*(nNOTA))/SUMPRODUCT((nNIA=Y480)*(nCUENTA=1)*(COUNTIF(CONFIG_ASIGNATURAS!$B$7:$B$27,nASIG)&gt;0)*1),"")))</f>
        <v/>
      </c>
      <c r="AF480" t="str">
        <f>IF(AE480="","",IF(AE480="[FÓRMULA MANUAL]","",IFERROR(AVERAGEIFS(nNOTA,nNIA,AE480,nCUENTA,1,nASIG,"Análisis"),"")))</f>
        <v/>
      </c>
      <c r="AG480" t="str">
        <f>IF(AE480="","",IF(AE480="[FÓRMULA MANUAL]","",IFERROR(AVERAGEIFS(nNOTA,nNIA,AE480,nCUENTA,1,nASIG,"Orquesta/Banda/Conjunto"),"")))</f>
        <v/>
      </c>
      <c r="AH480" t="str">
        <f>IF(AE480="","",IF(AE480="[FÓRMULA MANUAL]","",IFERROR(AVERAGEIFS(nNOTA,nNIA,AE480,nCUENTA,1,nASIG,"Música de Cámara"),"")))</f>
        <v/>
      </c>
      <c r="AI480" t="str">
        <f>IF(AE480="","",IF(AE480="[FÓRMULA MANUAL]","",IFERROR(SUMPRODUCT((nNIA=AE480)*(nCUENTA=1)*(COUNTIF(CONFIG_ASIGNATURAS!$B$7:$B$27,nASIG)&gt;0)*(nNOTA))/SUMPRODUCT((nNIA=AE480)*(nCUENTA=1)*(COUNTIF(CONFIG_ASIGNATURAS!$B$7:$B$27,nASIG)&gt;0)*1),"")))</f>
        <v/>
      </c>
    </row>
    <row r="481" spans="2:35" x14ac:dyDescent="0.2">
      <c r="B481" t="str">
        <f>IF(A481="","",IF(A481="[FÓRMULA MANUAL]","",IFERROR(AVERAGEIFS(nNOTA,nNIA,A481,nCUENTA,1,nASIG,"Lenguaje Musical"),"")))</f>
        <v/>
      </c>
      <c r="C481" t="str">
        <f>IF(A481="","",IF(A481="[FÓRMULA MANUAL]","",IFERROR(AVERAGEIFS(nNOTA,nNIA,A481,nCUENTA,1,nASIG,"Orquesta/Banda/Conjunto"),"")))</f>
        <v/>
      </c>
      <c r="D481" t="str">
        <f>IF(A481="","",IF(A481="[FÓRMULA MANUAL]","",IFERROR(AVERAGEIFS(nNOTA,nNIA,A481,nCUENTA,1,nASIG,"Conjunto"),"")))</f>
        <v/>
      </c>
      <c r="E481" t="str">
        <f>IF(A481="","",IF(A481="[FÓRMULA MANUAL]","",IFERROR(SUMPRODUCT((nNIA=A481)*(nCUENTA=1)*(COUNTIF(CONFIG_ASIGNATURAS!$B$7:$B$27,nASIG)&gt;0)*(nNOTA))/SUMPRODUCT((nNIA=A481)*(nCUENTA=1)*(COUNTIF(CONFIG_ASIGNATURAS!$B$7:$B$27,nASIG)&gt;0)*1),"")))</f>
        <v/>
      </c>
      <c r="H481" t="str">
        <f>IF(G481="","",IF(G481="[FÓRMULA MANUAL]","",IFERROR(AVERAGEIFS(nNOTA,nNIA,G481,nCUENTA,1,nASIG,"Lenguaje Musical"),"")))</f>
        <v/>
      </c>
      <c r="I481" t="str">
        <f>IF(G481="","",IF(G481="[FÓRMULA MANUAL]","",IFERROR(AVERAGEIFS(nNOTA,nNIA,G481,nCUENTA,1,nASIG,"Orquesta/Banda/Conjunto"),"")))</f>
        <v/>
      </c>
      <c r="J481" t="str">
        <f>IF(G481="","",IF(G481="[FÓRMULA MANUAL]","",IFERROR(AVERAGEIFS(nNOTA,nNIA,G481,nCUENTA,1,nASIG,"Conjunto"),"")))</f>
        <v/>
      </c>
      <c r="K481" t="str">
        <f>IF(G481="","",IF(G481="[FÓRMULA MANUAL]","",IFERROR(SUMPRODUCT((nNIA=G481)*(nCUENTA=1)*(COUNTIF(CONFIG_ASIGNATURAS!$B$7:$B$27,nASIG)&gt;0)*(nNOTA))/SUMPRODUCT((nNIA=G481)*(nCUENTA=1)*(COUNTIF(CONFIG_ASIGNATURAS!$B$7:$B$27,nASIG)&gt;0)*1),"")))</f>
        <v/>
      </c>
      <c r="N481" t="str">
        <f>IF(M481="","",IF(M481="[FÓRMULA MANUAL]","",IFERROR(AVERAGEIFS(nNOTA,nNIA,M481,nCUENTA,1,nASIG,"Armonía"),"")))</f>
        <v/>
      </c>
      <c r="O481" t="str">
        <f>IF(M481="","",IF(M481="[FÓRMULA MANUAL]","",IFERROR(AVERAGEIFS(nNOTA,nNIA,M481,nCUENTA,1,nASIG,"Orquesta/Banda/Conjunto"),"")))</f>
        <v/>
      </c>
      <c r="P481" t="str">
        <f>IF(M481="","",IF(M481="[FÓRMULA MANUAL]","",IFERROR(AVERAGEIFS(nNOTA,nNIA,M481,nCUENTA,1,nASIG,"Música de Cámara"),"")))</f>
        <v/>
      </c>
      <c r="Q481" t="str">
        <f>IF(M481="","",IF(M481="[FÓRMULA MANUAL]","",IFERROR(SUMPRODUCT((nNIA=M481)*(nCUENTA=1)*(COUNTIF(CONFIG_ASIGNATURAS!$B$7:$B$27,nASIG)&gt;0)*(nNOTA))/SUMPRODUCT((nNIA=M481)*(nCUENTA=1)*(COUNTIF(CONFIG_ASIGNATURAS!$B$7:$B$27,nASIG)&gt;0)*1),"")))</f>
        <v/>
      </c>
      <c r="T481" t="str">
        <f>IF(S481="","",IF(S481="[FÓRMULA MANUAL]","",IFERROR(AVERAGEIFS(nNOTA,nNIA,S481,nCUENTA,1,nASIG,"Armonía"),"")))</f>
        <v/>
      </c>
      <c r="U481" t="str">
        <f>IF(S481="","",IF(S481="[FÓRMULA MANUAL]","",IFERROR(AVERAGEIFS(nNOTA,nNIA,S481,nCUENTA,1,nASIG,"Orquesta/Banda/Conjunto"),"")))</f>
        <v/>
      </c>
      <c r="V481" t="str">
        <f>IF(S481="","",IF(S481="[FÓRMULA MANUAL]","",IFERROR(AVERAGEIFS(nNOTA,nNIA,S481,nCUENTA,1,nASIG,"Música de Cámara"),"")))</f>
        <v/>
      </c>
      <c r="W481" t="str">
        <f>IF(S481="","",IF(S481="[FÓRMULA MANUAL]","",IFERROR(SUMPRODUCT((nNIA=S481)*(nCUENTA=1)*(COUNTIF(CONFIG_ASIGNATURAS!$B$7:$B$27,nASIG)&gt;0)*(nNOTA))/SUMPRODUCT((nNIA=S481)*(nCUENTA=1)*(COUNTIF(CONFIG_ASIGNATURAS!$B$7:$B$27,nASIG)&gt;0)*1),"")))</f>
        <v/>
      </c>
      <c r="Z481" t="str">
        <f>IF(Y481="","",IF(Y481="[FÓRMULA MANUAL]","",IFERROR(AVERAGEIFS(nNOTA,nNIA,Y481,nCUENTA,1,nASIG,"Análisis"),"")))</f>
        <v/>
      </c>
      <c r="AA481" t="str">
        <f>IF(Y481="","",IF(Y481="[FÓRMULA MANUAL]","",IFERROR(AVERAGEIFS(nNOTA,nNIA,Y481,nCUENTA,1,nASIG,"Orquesta/Banda/Conjunto"),"")))</f>
        <v/>
      </c>
      <c r="AB481" t="str">
        <f>IF(Y481="","",IF(Y481="[FÓRMULA MANUAL]","",IFERROR(AVERAGEIFS(nNOTA,nNIA,Y481,nCUENTA,1,nASIG,"Música de Cámara"),"")))</f>
        <v/>
      </c>
      <c r="AC481" t="str">
        <f>IF(Y481="","",IF(Y481="[FÓRMULA MANUAL]","",IFERROR(SUMPRODUCT((nNIA=Y481)*(nCUENTA=1)*(COUNTIF(CONFIG_ASIGNATURAS!$B$7:$B$27,nASIG)&gt;0)*(nNOTA))/SUMPRODUCT((nNIA=Y481)*(nCUENTA=1)*(COUNTIF(CONFIG_ASIGNATURAS!$B$7:$B$27,nASIG)&gt;0)*1),"")))</f>
        <v/>
      </c>
      <c r="AF481" t="str">
        <f>IF(AE481="","",IF(AE481="[FÓRMULA MANUAL]","",IFERROR(AVERAGEIFS(nNOTA,nNIA,AE481,nCUENTA,1,nASIG,"Análisis"),"")))</f>
        <v/>
      </c>
      <c r="AG481" t="str">
        <f>IF(AE481="","",IF(AE481="[FÓRMULA MANUAL]","",IFERROR(AVERAGEIFS(nNOTA,nNIA,AE481,nCUENTA,1,nASIG,"Orquesta/Banda/Conjunto"),"")))</f>
        <v/>
      </c>
      <c r="AH481" t="str">
        <f>IF(AE481="","",IF(AE481="[FÓRMULA MANUAL]","",IFERROR(AVERAGEIFS(nNOTA,nNIA,AE481,nCUENTA,1,nASIG,"Música de Cámara"),"")))</f>
        <v/>
      </c>
      <c r="AI481" t="str">
        <f>IF(AE481="","",IF(AE481="[FÓRMULA MANUAL]","",IFERROR(SUMPRODUCT((nNIA=AE481)*(nCUENTA=1)*(COUNTIF(CONFIG_ASIGNATURAS!$B$7:$B$27,nASIG)&gt;0)*(nNOTA))/SUMPRODUCT((nNIA=AE481)*(nCUENTA=1)*(COUNTIF(CONFIG_ASIGNATURAS!$B$7:$B$27,nASIG)&gt;0)*1),"")))</f>
        <v/>
      </c>
    </row>
    <row r="482" spans="2:35" x14ac:dyDescent="0.2">
      <c r="B482" t="str">
        <f>IF(A482="","",IF(A482="[FÓRMULA MANUAL]","",IFERROR(AVERAGEIFS(nNOTA,nNIA,A482,nCUENTA,1,nASIG,"Lenguaje Musical"),"")))</f>
        <v/>
      </c>
      <c r="C482" t="str">
        <f>IF(A482="","",IF(A482="[FÓRMULA MANUAL]","",IFERROR(AVERAGEIFS(nNOTA,nNIA,A482,nCUENTA,1,nASIG,"Orquesta/Banda/Conjunto"),"")))</f>
        <v/>
      </c>
      <c r="D482" t="str">
        <f>IF(A482="","",IF(A482="[FÓRMULA MANUAL]","",IFERROR(AVERAGEIFS(nNOTA,nNIA,A482,nCUENTA,1,nASIG,"Conjunto"),"")))</f>
        <v/>
      </c>
      <c r="E482" t="str">
        <f>IF(A482="","",IF(A482="[FÓRMULA MANUAL]","",IFERROR(SUMPRODUCT((nNIA=A482)*(nCUENTA=1)*(COUNTIF(CONFIG_ASIGNATURAS!$B$7:$B$27,nASIG)&gt;0)*(nNOTA))/SUMPRODUCT((nNIA=A482)*(nCUENTA=1)*(COUNTIF(CONFIG_ASIGNATURAS!$B$7:$B$27,nASIG)&gt;0)*1),"")))</f>
        <v/>
      </c>
      <c r="H482" t="str">
        <f>IF(G482="","",IF(G482="[FÓRMULA MANUAL]","",IFERROR(AVERAGEIFS(nNOTA,nNIA,G482,nCUENTA,1,nASIG,"Lenguaje Musical"),"")))</f>
        <v/>
      </c>
      <c r="I482" t="str">
        <f>IF(G482="","",IF(G482="[FÓRMULA MANUAL]","",IFERROR(AVERAGEIFS(nNOTA,nNIA,G482,nCUENTA,1,nASIG,"Orquesta/Banda/Conjunto"),"")))</f>
        <v/>
      </c>
      <c r="J482" t="str">
        <f>IF(G482="","",IF(G482="[FÓRMULA MANUAL]","",IFERROR(AVERAGEIFS(nNOTA,nNIA,G482,nCUENTA,1,nASIG,"Conjunto"),"")))</f>
        <v/>
      </c>
      <c r="K482" t="str">
        <f>IF(G482="","",IF(G482="[FÓRMULA MANUAL]","",IFERROR(SUMPRODUCT((nNIA=G482)*(nCUENTA=1)*(COUNTIF(CONFIG_ASIGNATURAS!$B$7:$B$27,nASIG)&gt;0)*(nNOTA))/SUMPRODUCT((nNIA=G482)*(nCUENTA=1)*(COUNTIF(CONFIG_ASIGNATURAS!$B$7:$B$27,nASIG)&gt;0)*1),"")))</f>
        <v/>
      </c>
      <c r="N482" t="str">
        <f>IF(M482="","",IF(M482="[FÓRMULA MANUAL]","",IFERROR(AVERAGEIFS(nNOTA,nNIA,M482,nCUENTA,1,nASIG,"Armonía"),"")))</f>
        <v/>
      </c>
      <c r="O482" t="str">
        <f>IF(M482="","",IF(M482="[FÓRMULA MANUAL]","",IFERROR(AVERAGEIFS(nNOTA,nNIA,M482,nCUENTA,1,nASIG,"Orquesta/Banda/Conjunto"),"")))</f>
        <v/>
      </c>
      <c r="P482" t="str">
        <f>IF(M482="","",IF(M482="[FÓRMULA MANUAL]","",IFERROR(AVERAGEIFS(nNOTA,nNIA,M482,nCUENTA,1,nASIG,"Música de Cámara"),"")))</f>
        <v/>
      </c>
      <c r="Q482" t="str">
        <f>IF(M482="","",IF(M482="[FÓRMULA MANUAL]","",IFERROR(SUMPRODUCT((nNIA=M482)*(nCUENTA=1)*(COUNTIF(CONFIG_ASIGNATURAS!$B$7:$B$27,nASIG)&gt;0)*(nNOTA))/SUMPRODUCT((nNIA=M482)*(nCUENTA=1)*(COUNTIF(CONFIG_ASIGNATURAS!$B$7:$B$27,nASIG)&gt;0)*1),"")))</f>
        <v/>
      </c>
      <c r="T482" t="str">
        <f>IF(S482="","",IF(S482="[FÓRMULA MANUAL]","",IFERROR(AVERAGEIFS(nNOTA,nNIA,S482,nCUENTA,1,nASIG,"Armonía"),"")))</f>
        <v/>
      </c>
      <c r="U482" t="str">
        <f>IF(S482="","",IF(S482="[FÓRMULA MANUAL]","",IFERROR(AVERAGEIFS(nNOTA,nNIA,S482,nCUENTA,1,nASIG,"Orquesta/Banda/Conjunto"),"")))</f>
        <v/>
      </c>
      <c r="V482" t="str">
        <f>IF(S482="","",IF(S482="[FÓRMULA MANUAL]","",IFERROR(AVERAGEIFS(nNOTA,nNIA,S482,nCUENTA,1,nASIG,"Música de Cámara"),"")))</f>
        <v/>
      </c>
      <c r="W482" t="str">
        <f>IF(S482="","",IF(S482="[FÓRMULA MANUAL]","",IFERROR(SUMPRODUCT((nNIA=S482)*(nCUENTA=1)*(COUNTIF(CONFIG_ASIGNATURAS!$B$7:$B$27,nASIG)&gt;0)*(nNOTA))/SUMPRODUCT((nNIA=S482)*(nCUENTA=1)*(COUNTIF(CONFIG_ASIGNATURAS!$B$7:$B$27,nASIG)&gt;0)*1),"")))</f>
        <v/>
      </c>
      <c r="Z482" t="str">
        <f>IF(Y482="","",IF(Y482="[FÓRMULA MANUAL]","",IFERROR(AVERAGEIFS(nNOTA,nNIA,Y482,nCUENTA,1,nASIG,"Análisis"),"")))</f>
        <v/>
      </c>
      <c r="AA482" t="str">
        <f>IF(Y482="","",IF(Y482="[FÓRMULA MANUAL]","",IFERROR(AVERAGEIFS(nNOTA,nNIA,Y482,nCUENTA,1,nASIG,"Orquesta/Banda/Conjunto"),"")))</f>
        <v/>
      </c>
      <c r="AB482" t="str">
        <f>IF(Y482="","",IF(Y482="[FÓRMULA MANUAL]","",IFERROR(AVERAGEIFS(nNOTA,nNIA,Y482,nCUENTA,1,nASIG,"Música de Cámara"),"")))</f>
        <v/>
      </c>
      <c r="AC482" t="str">
        <f>IF(Y482="","",IF(Y482="[FÓRMULA MANUAL]","",IFERROR(SUMPRODUCT((nNIA=Y482)*(nCUENTA=1)*(COUNTIF(CONFIG_ASIGNATURAS!$B$7:$B$27,nASIG)&gt;0)*(nNOTA))/SUMPRODUCT((nNIA=Y482)*(nCUENTA=1)*(COUNTIF(CONFIG_ASIGNATURAS!$B$7:$B$27,nASIG)&gt;0)*1),"")))</f>
        <v/>
      </c>
      <c r="AF482" t="str">
        <f>IF(AE482="","",IF(AE482="[FÓRMULA MANUAL]","",IFERROR(AVERAGEIFS(nNOTA,nNIA,AE482,nCUENTA,1,nASIG,"Análisis"),"")))</f>
        <v/>
      </c>
      <c r="AG482" t="str">
        <f>IF(AE482="","",IF(AE482="[FÓRMULA MANUAL]","",IFERROR(AVERAGEIFS(nNOTA,nNIA,AE482,nCUENTA,1,nASIG,"Orquesta/Banda/Conjunto"),"")))</f>
        <v/>
      </c>
      <c r="AH482" t="str">
        <f>IF(AE482="","",IF(AE482="[FÓRMULA MANUAL]","",IFERROR(AVERAGEIFS(nNOTA,nNIA,AE482,nCUENTA,1,nASIG,"Música de Cámara"),"")))</f>
        <v/>
      </c>
      <c r="AI482" t="str">
        <f>IF(AE482="","",IF(AE482="[FÓRMULA MANUAL]","",IFERROR(SUMPRODUCT((nNIA=AE482)*(nCUENTA=1)*(COUNTIF(CONFIG_ASIGNATURAS!$B$7:$B$27,nASIG)&gt;0)*(nNOTA))/SUMPRODUCT((nNIA=AE482)*(nCUENTA=1)*(COUNTIF(CONFIG_ASIGNATURAS!$B$7:$B$27,nASIG)&gt;0)*1),"")))</f>
        <v/>
      </c>
    </row>
    <row r="483" spans="2:35" x14ac:dyDescent="0.2">
      <c r="B483" t="str">
        <f>IF(A483="","",IF(A483="[FÓRMULA MANUAL]","",IFERROR(AVERAGEIFS(nNOTA,nNIA,A483,nCUENTA,1,nASIG,"Lenguaje Musical"),"")))</f>
        <v/>
      </c>
      <c r="C483" t="str">
        <f>IF(A483="","",IF(A483="[FÓRMULA MANUAL]","",IFERROR(AVERAGEIFS(nNOTA,nNIA,A483,nCUENTA,1,nASIG,"Orquesta/Banda/Conjunto"),"")))</f>
        <v/>
      </c>
      <c r="D483" t="str">
        <f>IF(A483="","",IF(A483="[FÓRMULA MANUAL]","",IFERROR(AVERAGEIFS(nNOTA,nNIA,A483,nCUENTA,1,nASIG,"Conjunto"),"")))</f>
        <v/>
      </c>
      <c r="E483" t="str">
        <f>IF(A483="","",IF(A483="[FÓRMULA MANUAL]","",IFERROR(SUMPRODUCT((nNIA=A483)*(nCUENTA=1)*(COUNTIF(CONFIG_ASIGNATURAS!$B$7:$B$27,nASIG)&gt;0)*(nNOTA))/SUMPRODUCT((nNIA=A483)*(nCUENTA=1)*(COUNTIF(CONFIG_ASIGNATURAS!$B$7:$B$27,nASIG)&gt;0)*1),"")))</f>
        <v/>
      </c>
      <c r="H483" t="str">
        <f>IF(G483="","",IF(G483="[FÓRMULA MANUAL]","",IFERROR(AVERAGEIFS(nNOTA,nNIA,G483,nCUENTA,1,nASIG,"Lenguaje Musical"),"")))</f>
        <v/>
      </c>
      <c r="I483" t="str">
        <f>IF(G483="","",IF(G483="[FÓRMULA MANUAL]","",IFERROR(AVERAGEIFS(nNOTA,nNIA,G483,nCUENTA,1,nASIG,"Orquesta/Banda/Conjunto"),"")))</f>
        <v/>
      </c>
      <c r="J483" t="str">
        <f>IF(G483="","",IF(G483="[FÓRMULA MANUAL]","",IFERROR(AVERAGEIFS(nNOTA,nNIA,G483,nCUENTA,1,nASIG,"Conjunto"),"")))</f>
        <v/>
      </c>
      <c r="K483" t="str">
        <f>IF(G483="","",IF(G483="[FÓRMULA MANUAL]","",IFERROR(SUMPRODUCT((nNIA=G483)*(nCUENTA=1)*(COUNTIF(CONFIG_ASIGNATURAS!$B$7:$B$27,nASIG)&gt;0)*(nNOTA))/SUMPRODUCT((nNIA=G483)*(nCUENTA=1)*(COUNTIF(CONFIG_ASIGNATURAS!$B$7:$B$27,nASIG)&gt;0)*1),"")))</f>
        <v/>
      </c>
      <c r="N483" t="str">
        <f>IF(M483="","",IF(M483="[FÓRMULA MANUAL]","",IFERROR(AVERAGEIFS(nNOTA,nNIA,M483,nCUENTA,1,nASIG,"Armonía"),"")))</f>
        <v/>
      </c>
      <c r="O483" t="str">
        <f>IF(M483="","",IF(M483="[FÓRMULA MANUAL]","",IFERROR(AVERAGEIFS(nNOTA,nNIA,M483,nCUENTA,1,nASIG,"Orquesta/Banda/Conjunto"),"")))</f>
        <v/>
      </c>
      <c r="P483" t="str">
        <f>IF(M483="","",IF(M483="[FÓRMULA MANUAL]","",IFERROR(AVERAGEIFS(nNOTA,nNIA,M483,nCUENTA,1,nASIG,"Música de Cámara"),"")))</f>
        <v/>
      </c>
      <c r="Q483" t="str">
        <f>IF(M483="","",IF(M483="[FÓRMULA MANUAL]","",IFERROR(SUMPRODUCT((nNIA=M483)*(nCUENTA=1)*(COUNTIF(CONFIG_ASIGNATURAS!$B$7:$B$27,nASIG)&gt;0)*(nNOTA))/SUMPRODUCT((nNIA=M483)*(nCUENTA=1)*(COUNTIF(CONFIG_ASIGNATURAS!$B$7:$B$27,nASIG)&gt;0)*1),"")))</f>
        <v/>
      </c>
      <c r="T483" t="str">
        <f>IF(S483="","",IF(S483="[FÓRMULA MANUAL]","",IFERROR(AVERAGEIFS(nNOTA,nNIA,S483,nCUENTA,1,nASIG,"Armonía"),"")))</f>
        <v/>
      </c>
      <c r="U483" t="str">
        <f>IF(S483="","",IF(S483="[FÓRMULA MANUAL]","",IFERROR(AVERAGEIFS(nNOTA,nNIA,S483,nCUENTA,1,nASIG,"Orquesta/Banda/Conjunto"),"")))</f>
        <v/>
      </c>
      <c r="V483" t="str">
        <f>IF(S483="","",IF(S483="[FÓRMULA MANUAL]","",IFERROR(AVERAGEIFS(nNOTA,nNIA,S483,nCUENTA,1,nASIG,"Música de Cámara"),"")))</f>
        <v/>
      </c>
      <c r="W483" t="str">
        <f>IF(S483="","",IF(S483="[FÓRMULA MANUAL]","",IFERROR(SUMPRODUCT((nNIA=S483)*(nCUENTA=1)*(COUNTIF(CONFIG_ASIGNATURAS!$B$7:$B$27,nASIG)&gt;0)*(nNOTA))/SUMPRODUCT((nNIA=S483)*(nCUENTA=1)*(COUNTIF(CONFIG_ASIGNATURAS!$B$7:$B$27,nASIG)&gt;0)*1),"")))</f>
        <v/>
      </c>
      <c r="Z483" t="str">
        <f>IF(Y483="","",IF(Y483="[FÓRMULA MANUAL]","",IFERROR(AVERAGEIFS(nNOTA,nNIA,Y483,nCUENTA,1,nASIG,"Análisis"),"")))</f>
        <v/>
      </c>
      <c r="AA483" t="str">
        <f>IF(Y483="","",IF(Y483="[FÓRMULA MANUAL]","",IFERROR(AVERAGEIFS(nNOTA,nNIA,Y483,nCUENTA,1,nASIG,"Orquesta/Banda/Conjunto"),"")))</f>
        <v/>
      </c>
      <c r="AB483" t="str">
        <f>IF(Y483="","",IF(Y483="[FÓRMULA MANUAL]","",IFERROR(AVERAGEIFS(nNOTA,nNIA,Y483,nCUENTA,1,nASIG,"Música de Cámara"),"")))</f>
        <v/>
      </c>
      <c r="AC483" t="str">
        <f>IF(Y483="","",IF(Y483="[FÓRMULA MANUAL]","",IFERROR(SUMPRODUCT((nNIA=Y483)*(nCUENTA=1)*(COUNTIF(CONFIG_ASIGNATURAS!$B$7:$B$27,nASIG)&gt;0)*(nNOTA))/SUMPRODUCT((nNIA=Y483)*(nCUENTA=1)*(COUNTIF(CONFIG_ASIGNATURAS!$B$7:$B$27,nASIG)&gt;0)*1),"")))</f>
        <v/>
      </c>
      <c r="AF483" t="str">
        <f>IF(AE483="","",IF(AE483="[FÓRMULA MANUAL]","",IFERROR(AVERAGEIFS(nNOTA,nNIA,AE483,nCUENTA,1,nASIG,"Análisis"),"")))</f>
        <v/>
      </c>
      <c r="AG483" t="str">
        <f>IF(AE483="","",IF(AE483="[FÓRMULA MANUAL]","",IFERROR(AVERAGEIFS(nNOTA,nNIA,AE483,nCUENTA,1,nASIG,"Orquesta/Banda/Conjunto"),"")))</f>
        <v/>
      </c>
      <c r="AH483" t="str">
        <f>IF(AE483="","",IF(AE483="[FÓRMULA MANUAL]","",IFERROR(AVERAGEIFS(nNOTA,nNIA,AE483,nCUENTA,1,nASIG,"Música de Cámara"),"")))</f>
        <v/>
      </c>
      <c r="AI483" t="str">
        <f>IF(AE483="","",IF(AE483="[FÓRMULA MANUAL]","",IFERROR(SUMPRODUCT((nNIA=AE483)*(nCUENTA=1)*(COUNTIF(CONFIG_ASIGNATURAS!$B$7:$B$27,nASIG)&gt;0)*(nNOTA))/SUMPRODUCT((nNIA=AE483)*(nCUENTA=1)*(COUNTIF(CONFIG_ASIGNATURAS!$B$7:$B$27,nASIG)&gt;0)*1),"")))</f>
        <v/>
      </c>
    </row>
    <row r="484" spans="2:35" x14ac:dyDescent="0.2">
      <c r="B484" t="str">
        <f>IF(A484="","",IF(A484="[FÓRMULA MANUAL]","",IFERROR(AVERAGEIFS(nNOTA,nNIA,A484,nCUENTA,1,nASIG,"Lenguaje Musical"),"")))</f>
        <v/>
      </c>
      <c r="C484" t="str">
        <f>IF(A484="","",IF(A484="[FÓRMULA MANUAL]","",IFERROR(AVERAGEIFS(nNOTA,nNIA,A484,nCUENTA,1,nASIG,"Orquesta/Banda/Conjunto"),"")))</f>
        <v/>
      </c>
      <c r="D484" t="str">
        <f>IF(A484="","",IF(A484="[FÓRMULA MANUAL]","",IFERROR(AVERAGEIFS(nNOTA,nNIA,A484,nCUENTA,1,nASIG,"Conjunto"),"")))</f>
        <v/>
      </c>
      <c r="E484" t="str">
        <f>IF(A484="","",IF(A484="[FÓRMULA MANUAL]","",IFERROR(SUMPRODUCT((nNIA=A484)*(nCUENTA=1)*(COUNTIF(CONFIG_ASIGNATURAS!$B$7:$B$27,nASIG)&gt;0)*(nNOTA))/SUMPRODUCT((nNIA=A484)*(nCUENTA=1)*(COUNTIF(CONFIG_ASIGNATURAS!$B$7:$B$27,nASIG)&gt;0)*1),"")))</f>
        <v/>
      </c>
      <c r="H484" t="str">
        <f>IF(G484="","",IF(G484="[FÓRMULA MANUAL]","",IFERROR(AVERAGEIFS(nNOTA,nNIA,G484,nCUENTA,1,nASIG,"Lenguaje Musical"),"")))</f>
        <v/>
      </c>
      <c r="I484" t="str">
        <f>IF(G484="","",IF(G484="[FÓRMULA MANUAL]","",IFERROR(AVERAGEIFS(nNOTA,nNIA,G484,nCUENTA,1,nASIG,"Orquesta/Banda/Conjunto"),"")))</f>
        <v/>
      </c>
      <c r="J484" t="str">
        <f>IF(G484="","",IF(G484="[FÓRMULA MANUAL]","",IFERROR(AVERAGEIFS(nNOTA,nNIA,G484,nCUENTA,1,nASIG,"Conjunto"),"")))</f>
        <v/>
      </c>
      <c r="K484" t="str">
        <f>IF(G484="","",IF(G484="[FÓRMULA MANUAL]","",IFERROR(SUMPRODUCT((nNIA=G484)*(nCUENTA=1)*(COUNTIF(CONFIG_ASIGNATURAS!$B$7:$B$27,nASIG)&gt;0)*(nNOTA))/SUMPRODUCT((nNIA=G484)*(nCUENTA=1)*(COUNTIF(CONFIG_ASIGNATURAS!$B$7:$B$27,nASIG)&gt;0)*1),"")))</f>
        <v/>
      </c>
      <c r="N484" t="str">
        <f>IF(M484="","",IF(M484="[FÓRMULA MANUAL]","",IFERROR(AVERAGEIFS(nNOTA,nNIA,M484,nCUENTA,1,nASIG,"Armonía"),"")))</f>
        <v/>
      </c>
      <c r="O484" t="str">
        <f>IF(M484="","",IF(M484="[FÓRMULA MANUAL]","",IFERROR(AVERAGEIFS(nNOTA,nNIA,M484,nCUENTA,1,nASIG,"Orquesta/Banda/Conjunto"),"")))</f>
        <v/>
      </c>
      <c r="P484" t="str">
        <f>IF(M484="","",IF(M484="[FÓRMULA MANUAL]","",IFERROR(AVERAGEIFS(nNOTA,nNIA,M484,nCUENTA,1,nASIG,"Música de Cámara"),"")))</f>
        <v/>
      </c>
      <c r="Q484" t="str">
        <f>IF(M484="","",IF(M484="[FÓRMULA MANUAL]","",IFERROR(SUMPRODUCT((nNIA=M484)*(nCUENTA=1)*(COUNTIF(CONFIG_ASIGNATURAS!$B$7:$B$27,nASIG)&gt;0)*(nNOTA))/SUMPRODUCT((nNIA=M484)*(nCUENTA=1)*(COUNTIF(CONFIG_ASIGNATURAS!$B$7:$B$27,nASIG)&gt;0)*1),"")))</f>
        <v/>
      </c>
      <c r="T484" t="str">
        <f>IF(S484="","",IF(S484="[FÓRMULA MANUAL]","",IFERROR(AVERAGEIFS(nNOTA,nNIA,S484,nCUENTA,1,nASIG,"Armonía"),"")))</f>
        <v/>
      </c>
      <c r="U484" t="str">
        <f>IF(S484="","",IF(S484="[FÓRMULA MANUAL]","",IFERROR(AVERAGEIFS(nNOTA,nNIA,S484,nCUENTA,1,nASIG,"Orquesta/Banda/Conjunto"),"")))</f>
        <v/>
      </c>
      <c r="V484" t="str">
        <f>IF(S484="","",IF(S484="[FÓRMULA MANUAL]","",IFERROR(AVERAGEIFS(nNOTA,nNIA,S484,nCUENTA,1,nASIG,"Música de Cámara"),"")))</f>
        <v/>
      </c>
      <c r="W484" t="str">
        <f>IF(S484="","",IF(S484="[FÓRMULA MANUAL]","",IFERROR(SUMPRODUCT((nNIA=S484)*(nCUENTA=1)*(COUNTIF(CONFIG_ASIGNATURAS!$B$7:$B$27,nASIG)&gt;0)*(nNOTA))/SUMPRODUCT((nNIA=S484)*(nCUENTA=1)*(COUNTIF(CONFIG_ASIGNATURAS!$B$7:$B$27,nASIG)&gt;0)*1),"")))</f>
        <v/>
      </c>
      <c r="Z484" t="str">
        <f>IF(Y484="","",IF(Y484="[FÓRMULA MANUAL]","",IFERROR(AVERAGEIFS(nNOTA,nNIA,Y484,nCUENTA,1,nASIG,"Análisis"),"")))</f>
        <v/>
      </c>
      <c r="AA484" t="str">
        <f>IF(Y484="","",IF(Y484="[FÓRMULA MANUAL]","",IFERROR(AVERAGEIFS(nNOTA,nNIA,Y484,nCUENTA,1,nASIG,"Orquesta/Banda/Conjunto"),"")))</f>
        <v/>
      </c>
      <c r="AB484" t="str">
        <f>IF(Y484="","",IF(Y484="[FÓRMULA MANUAL]","",IFERROR(AVERAGEIFS(nNOTA,nNIA,Y484,nCUENTA,1,nASIG,"Música de Cámara"),"")))</f>
        <v/>
      </c>
      <c r="AC484" t="str">
        <f>IF(Y484="","",IF(Y484="[FÓRMULA MANUAL]","",IFERROR(SUMPRODUCT((nNIA=Y484)*(nCUENTA=1)*(COUNTIF(CONFIG_ASIGNATURAS!$B$7:$B$27,nASIG)&gt;0)*(nNOTA))/SUMPRODUCT((nNIA=Y484)*(nCUENTA=1)*(COUNTIF(CONFIG_ASIGNATURAS!$B$7:$B$27,nASIG)&gt;0)*1),"")))</f>
        <v/>
      </c>
      <c r="AF484" t="str">
        <f>IF(AE484="","",IF(AE484="[FÓRMULA MANUAL]","",IFERROR(AVERAGEIFS(nNOTA,nNIA,AE484,nCUENTA,1,nASIG,"Análisis"),"")))</f>
        <v/>
      </c>
      <c r="AG484" t="str">
        <f>IF(AE484="","",IF(AE484="[FÓRMULA MANUAL]","",IFERROR(AVERAGEIFS(nNOTA,nNIA,AE484,nCUENTA,1,nASIG,"Orquesta/Banda/Conjunto"),"")))</f>
        <v/>
      </c>
      <c r="AH484" t="str">
        <f>IF(AE484="","",IF(AE484="[FÓRMULA MANUAL]","",IFERROR(AVERAGEIFS(nNOTA,nNIA,AE484,nCUENTA,1,nASIG,"Música de Cámara"),"")))</f>
        <v/>
      </c>
      <c r="AI484" t="str">
        <f>IF(AE484="","",IF(AE484="[FÓRMULA MANUAL]","",IFERROR(SUMPRODUCT((nNIA=AE484)*(nCUENTA=1)*(COUNTIF(CONFIG_ASIGNATURAS!$B$7:$B$27,nASIG)&gt;0)*(nNOTA))/SUMPRODUCT((nNIA=AE484)*(nCUENTA=1)*(COUNTIF(CONFIG_ASIGNATURAS!$B$7:$B$27,nASIG)&gt;0)*1),"")))</f>
        <v/>
      </c>
    </row>
    <row r="485" spans="2:35" x14ac:dyDescent="0.2">
      <c r="B485" t="str">
        <f>IF(A485="","",IF(A485="[FÓRMULA MANUAL]","",IFERROR(AVERAGEIFS(nNOTA,nNIA,A485,nCUENTA,1,nASIG,"Lenguaje Musical"),"")))</f>
        <v/>
      </c>
      <c r="C485" t="str">
        <f>IF(A485="","",IF(A485="[FÓRMULA MANUAL]","",IFERROR(AVERAGEIFS(nNOTA,nNIA,A485,nCUENTA,1,nASIG,"Orquesta/Banda/Conjunto"),"")))</f>
        <v/>
      </c>
      <c r="D485" t="str">
        <f>IF(A485="","",IF(A485="[FÓRMULA MANUAL]","",IFERROR(AVERAGEIFS(nNOTA,nNIA,A485,nCUENTA,1,nASIG,"Conjunto"),"")))</f>
        <v/>
      </c>
      <c r="E485" t="str">
        <f>IF(A485="","",IF(A485="[FÓRMULA MANUAL]","",IFERROR(SUMPRODUCT((nNIA=A485)*(nCUENTA=1)*(COUNTIF(CONFIG_ASIGNATURAS!$B$7:$B$27,nASIG)&gt;0)*(nNOTA))/SUMPRODUCT((nNIA=A485)*(nCUENTA=1)*(COUNTIF(CONFIG_ASIGNATURAS!$B$7:$B$27,nASIG)&gt;0)*1),"")))</f>
        <v/>
      </c>
      <c r="H485" t="str">
        <f>IF(G485="","",IF(G485="[FÓRMULA MANUAL]","",IFERROR(AVERAGEIFS(nNOTA,nNIA,G485,nCUENTA,1,nASIG,"Lenguaje Musical"),"")))</f>
        <v/>
      </c>
      <c r="I485" t="str">
        <f>IF(G485="","",IF(G485="[FÓRMULA MANUAL]","",IFERROR(AVERAGEIFS(nNOTA,nNIA,G485,nCUENTA,1,nASIG,"Orquesta/Banda/Conjunto"),"")))</f>
        <v/>
      </c>
      <c r="J485" t="str">
        <f>IF(G485="","",IF(G485="[FÓRMULA MANUAL]","",IFERROR(AVERAGEIFS(nNOTA,nNIA,G485,nCUENTA,1,nASIG,"Conjunto"),"")))</f>
        <v/>
      </c>
      <c r="K485" t="str">
        <f>IF(G485="","",IF(G485="[FÓRMULA MANUAL]","",IFERROR(SUMPRODUCT((nNIA=G485)*(nCUENTA=1)*(COUNTIF(CONFIG_ASIGNATURAS!$B$7:$B$27,nASIG)&gt;0)*(nNOTA))/SUMPRODUCT((nNIA=G485)*(nCUENTA=1)*(COUNTIF(CONFIG_ASIGNATURAS!$B$7:$B$27,nASIG)&gt;0)*1),"")))</f>
        <v/>
      </c>
      <c r="N485" t="str">
        <f>IF(M485="","",IF(M485="[FÓRMULA MANUAL]","",IFERROR(AVERAGEIFS(nNOTA,nNIA,M485,nCUENTA,1,nASIG,"Armonía"),"")))</f>
        <v/>
      </c>
      <c r="O485" t="str">
        <f>IF(M485="","",IF(M485="[FÓRMULA MANUAL]","",IFERROR(AVERAGEIFS(nNOTA,nNIA,M485,nCUENTA,1,nASIG,"Orquesta/Banda/Conjunto"),"")))</f>
        <v/>
      </c>
      <c r="P485" t="str">
        <f>IF(M485="","",IF(M485="[FÓRMULA MANUAL]","",IFERROR(AVERAGEIFS(nNOTA,nNIA,M485,nCUENTA,1,nASIG,"Música de Cámara"),"")))</f>
        <v/>
      </c>
      <c r="Q485" t="str">
        <f>IF(M485="","",IF(M485="[FÓRMULA MANUAL]","",IFERROR(SUMPRODUCT((nNIA=M485)*(nCUENTA=1)*(COUNTIF(CONFIG_ASIGNATURAS!$B$7:$B$27,nASIG)&gt;0)*(nNOTA))/SUMPRODUCT((nNIA=M485)*(nCUENTA=1)*(COUNTIF(CONFIG_ASIGNATURAS!$B$7:$B$27,nASIG)&gt;0)*1),"")))</f>
        <v/>
      </c>
      <c r="T485" t="str">
        <f>IF(S485="","",IF(S485="[FÓRMULA MANUAL]","",IFERROR(AVERAGEIFS(nNOTA,nNIA,S485,nCUENTA,1,nASIG,"Armonía"),"")))</f>
        <v/>
      </c>
      <c r="U485" t="str">
        <f>IF(S485="","",IF(S485="[FÓRMULA MANUAL]","",IFERROR(AVERAGEIFS(nNOTA,nNIA,S485,nCUENTA,1,nASIG,"Orquesta/Banda/Conjunto"),"")))</f>
        <v/>
      </c>
      <c r="V485" t="str">
        <f>IF(S485="","",IF(S485="[FÓRMULA MANUAL]","",IFERROR(AVERAGEIFS(nNOTA,nNIA,S485,nCUENTA,1,nASIG,"Música de Cámara"),"")))</f>
        <v/>
      </c>
      <c r="W485" t="str">
        <f>IF(S485="","",IF(S485="[FÓRMULA MANUAL]","",IFERROR(SUMPRODUCT((nNIA=S485)*(nCUENTA=1)*(COUNTIF(CONFIG_ASIGNATURAS!$B$7:$B$27,nASIG)&gt;0)*(nNOTA))/SUMPRODUCT((nNIA=S485)*(nCUENTA=1)*(COUNTIF(CONFIG_ASIGNATURAS!$B$7:$B$27,nASIG)&gt;0)*1),"")))</f>
        <v/>
      </c>
      <c r="Z485" t="str">
        <f>IF(Y485="","",IF(Y485="[FÓRMULA MANUAL]","",IFERROR(AVERAGEIFS(nNOTA,nNIA,Y485,nCUENTA,1,nASIG,"Análisis"),"")))</f>
        <v/>
      </c>
      <c r="AA485" t="str">
        <f>IF(Y485="","",IF(Y485="[FÓRMULA MANUAL]","",IFERROR(AVERAGEIFS(nNOTA,nNIA,Y485,nCUENTA,1,nASIG,"Orquesta/Banda/Conjunto"),"")))</f>
        <v/>
      </c>
      <c r="AB485" t="str">
        <f>IF(Y485="","",IF(Y485="[FÓRMULA MANUAL]","",IFERROR(AVERAGEIFS(nNOTA,nNIA,Y485,nCUENTA,1,nASIG,"Música de Cámara"),"")))</f>
        <v/>
      </c>
      <c r="AC485" t="str">
        <f>IF(Y485="","",IF(Y485="[FÓRMULA MANUAL]","",IFERROR(SUMPRODUCT((nNIA=Y485)*(nCUENTA=1)*(COUNTIF(CONFIG_ASIGNATURAS!$B$7:$B$27,nASIG)&gt;0)*(nNOTA))/SUMPRODUCT((nNIA=Y485)*(nCUENTA=1)*(COUNTIF(CONFIG_ASIGNATURAS!$B$7:$B$27,nASIG)&gt;0)*1),"")))</f>
        <v/>
      </c>
      <c r="AF485" t="str">
        <f>IF(AE485="","",IF(AE485="[FÓRMULA MANUAL]","",IFERROR(AVERAGEIFS(nNOTA,nNIA,AE485,nCUENTA,1,nASIG,"Análisis"),"")))</f>
        <v/>
      </c>
      <c r="AG485" t="str">
        <f>IF(AE485="","",IF(AE485="[FÓRMULA MANUAL]","",IFERROR(AVERAGEIFS(nNOTA,nNIA,AE485,nCUENTA,1,nASIG,"Orquesta/Banda/Conjunto"),"")))</f>
        <v/>
      </c>
      <c r="AH485" t="str">
        <f>IF(AE485="","",IF(AE485="[FÓRMULA MANUAL]","",IFERROR(AVERAGEIFS(nNOTA,nNIA,AE485,nCUENTA,1,nASIG,"Música de Cámara"),"")))</f>
        <v/>
      </c>
      <c r="AI485" t="str">
        <f>IF(AE485="","",IF(AE485="[FÓRMULA MANUAL]","",IFERROR(SUMPRODUCT((nNIA=AE485)*(nCUENTA=1)*(COUNTIF(CONFIG_ASIGNATURAS!$B$7:$B$27,nASIG)&gt;0)*(nNOTA))/SUMPRODUCT((nNIA=AE485)*(nCUENTA=1)*(COUNTIF(CONFIG_ASIGNATURAS!$B$7:$B$27,nASIG)&gt;0)*1),"")))</f>
        <v/>
      </c>
    </row>
    <row r="486" spans="2:35" x14ac:dyDescent="0.2">
      <c r="B486" t="str">
        <f>IF(A486="","",IF(A486="[FÓRMULA MANUAL]","",IFERROR(AVERAGEIFS(nNOTA,nNIA,A486,nCUENTA,1,nASIG,"Lenguaje Musical"),"")))</f>
        <v/>
      </c>
      <c r="C486" t="str">
        <f>IF(A486="","",IF(A486="[FÓRMULA MANUAL]","",IFERROR(AVERAGEIFS(nNOTA,nNIA,A486,nCUENTA,1,nASIG,"Orquesta/Banda/Conjunto"),"")))</f>
        <v/>
      </c>
      <c r="D486" t="str">
        <f>IF(A486="","",IF(A486="[FÓRMULA MANUAL]","",IFERROR(AVERAGEIFS(nNOTA,nNIA,A486,nCUENTA,1,nASIG,"Conjunto"),"")))</f>
        <v/>
      </c>
      <c r="E486" t="str">
        <f>IF(A486="","",IF(A486="[FÓRMULA MANUAL]","",IFERROR(SUMPRODUCT((nNIA=A486)*(nCUENTA=1)*(COUNTIF(CONFIG_ASIGNATURAS!$B$7:$B$27,nASIG)&gt;0)*(nNOTA))/SUMPRODUCT((nNIA=A486)*(nCUENTA=1)*(COUNTIF(CONFIG_ASIGNATURAS!$B$7:$B$27,nASIG)&gt;0)*1),"")))</f>
        <v/>
      </c>
      <c r="H486" t="str">
        <f>IF(G486="","",IF(G486="[FÓRMULA MANUAL]","",IFERROR(AVERAGEIFS(nNOTA,nNIA,G486,nCUENTA,1,nASIG,"Lenguaje Musical"),"")))</f>
        <v/>
      </c>
      <c r="I486" t="str">
        <f>IF(G486="","",IF(G486="[FÓRMULA MANUAL]","",IFERROR(AVERAGEIFS(nNOTA,nNIA,G486,nCUENTA,1,nASIG,"Orquesta/Banda/Conjunto"),"")))</f>
        <v/>
      </c>
      <c r="J486" t="str">
        <f>IF(G486="","",IF(G486="[FÓRMULA MANUAL]","",IFERROR(AVERAGEIFS(nNOTA,nNIA,G486,nCUENTA,1,nASIG,"Conjunto"),"")))</f>
        <v/>
      </c>
      <c r="K486" t="str">
        <f>IF(G486="","",IF(G486="[FÓRMULA MANUAL]","",IFERROR(SUMPRODUCT((nNIA=G486)*(nCUENTA=1)*(COUNTIF(CONFIG_ASIGNATURAS!$B$7:$B$27,nASIG)&gt;0)*(nNOTA))/SUMPRODUCT((nNIA=G486)*(nCUENTA=1)*(COUNTIF(CONFIG_ASIGNATURAS!$B$7:$B$27,nASIG)&gt;0)*1),"")))</f>
        <v/>
      </c>
      <c r="N486" t="str">
        <f>IF(M486="","",IF(M486="[FÓRMULA MANUAL]","",IFERROR(AVERAGEIFS(nNOTA,nNIA,M486,nCUENTA,1,nASIG,"Armonía"),"")))</f>
        <v/>
      </c>
      <c r="O486" t="str">
        <f>IF(M486="","",IF(M486="[FÓRMULA MANUAL]","",IFERROR(AVERAGEIFS(nNOTA,nNIA,M486,nCUENTA,1,nASIG,"Orquesta/Banda/Conjunto"),"")))</f>
        <v/>
      </c>
      <c r="P486" t="str">
        <f>IF(M486="","",IF(M486="[FÓRMULA MANUAL]","",IFERROR(AVERAGEIFS(nNOTA,nNIA,M486,nCUENTA,1,nASIG,"Música de Cámara"),"")))</f>
        <v/>
      </c>
      <c r="Q486" t="str">
        <f>IF(M486="","",IF(M486="[FÓRMULA MANUAL]","",IFERROR(SUMPRODUCT((nNIA=M486)*(nCUENTA=1)*(COUNTIF(CONFIG_ASIGNATURAS!$B$7:$B$27,nASIG)&gt;0)*(nNOTA))/SUMPRODUCT((nNIA=M486)*(nCUENTA=1)*(COUNTIF(CONFIG_ASIGNATURAS!$B$7:$B$27,nASIG)&gt;0)*1),"")))</f>
        <v/>
      </c>
      <c r="T486" t="str">
        <f>IF(S486="","",IF(S486="[FÓRMULA MANUAL]","",IFERROR(AVERAGEIFS(nNOTA,nNIA,S486,nCUENTA,1,nASIG,"Armonía"),"")))</f>
        <v/>
      </c>
      <c r="U486" t="str">
        <f>IF(S486="","",IF(S486="[FÓRMULA MANUAL]","",IFERROR(AVERAGEIFS(nNOTA,nNIA,S486,nCUENTA,1,nASIG,"Orquesta/Banda/Conjunto"),"")))</f>
        <v/>
      </c>
      <c r="V486" t="str">
        <f>IF(S486="","",IF(S486="[FÓRMULA MANUAL]","",IFERROR(AVERAGEIFS(nNOTA,nNIA,S486,nCUENTA,1,nASIG,"Música de Cámara"),"")))</f>
        <v/>
      </c>
      <c r="W486" t="str">
        <f>IF(S486="","",IF(S486="[FÓRMULA MANUAL]","",IFERROR(SUMPRODUCT((nNIA=S486)*(nCUENTA=1)*(COUNTIF(CONFIG_ASIGNATURAS!$B$7:$B$27,nASIG)&gt;0)*(nNOTA))/SUMPRODUCT((nNIA=S486)*(nCUENTA=1)*(COUNTIF(CONFIG_ASIGNATURAS!$B$7:$B$27,nASIG)&gt;0)*1),"")))</f>
        <v/>
      </c>
      <c r="Z486" t="str">
        <f>IF(Y486="","",IF(Y486="[FÓRMULA MANUAL]","",IFERROR(AVERAGEIFS(nNOTA,nNIA,Y486,nCUENTA,1,nASIG,"Análisis"),"")))</f>
        <v/>
      </c>
      <c r="AA486" t="str">
        <f>IF(Y486="","",IF(Y486="[FÓRMULA MANUAL]","",IFERROR(AVERAGEIFS(nNOTA,nNIA,Y486,nCUENTA,1,nASIG,"Orquesta/Banda/Conjunto"),"")))</f>
        <v/>
      </c>
      <c r="AB486" t="str">
        <f>IF(Y486="","",IF(Y486="[FÓRMULA MANUAL]","",IFERROR(AVERAGEIFS(nNOTA,nNIA,Y486,nCUENTA,1,nASIG,"Música de Cámara"),"")))</f>
        <v/>
      </c>
      <c r="AC486" t="str">
        <f>IF(Y486="","",IF(Y486="[FÓRMULA MANUAL]","",IFERROR(SUMPRODUCT((nNIA=Y486)*(nCUENTA=1)*(COUNTIF(CONFIG_ASIGNATURAS!$B$7:$B$27,nASIG)&gt;0)*(nNOTA))/SUMPRODUCT((nNIA=Y486)*(nCUENTA=1)*(COUNTIF(CONFIG_ASIGNATURAS!$B$7:$B$27,nASIG)&gt;0)*1),"")))</f>
        <v/>
      </c>
      <c r="AF486" t="str">
        <f>IF(AE486="","",IF(AE486="[FÓRMULA MANUAL]","",IFERROR(AVERAGEIFS(nNOTA,nNIA,AE486,nCUENTA,1,nASIG,"Análisis"),"")))</f>
        <v/>
      </c>
      <c r="AG486" t="str">
        <f>IF(AE486="","",IF(AE486="[FÓRMULA MANUAL]","",IFERROR(AVERAGEIFS(nNOTA,nNIA,AE486,nCUENTA,1,nASIG,"Orquesta/Banda/Conjunto"),"")))</f>
        <v/>
      </c>
      <c r="AH486" t="str">
        <f>IF(AE486="","",IF(AE486="[FÓRMULA MANUAL]","",IFERROR(AVERAGEIFS(nNOTA,nNIA,AE486,nCUENTA,1,nASIG,"Música de Cámara"),"")))</f>
        <v/>
      </c>
      <c r="AI486" t="str">
        <f>IF(AE486="","",IF(AE486="[FÓRMULA MANUAL]","",IFERROR(SUMPRODUCT((nNIA=AE486)*(nCUENTA=1)*(COUNTIF(CONFIG_ASIGNATURAS!$B$7:$B$27,nASIG)&gt;0)*(nNOTA))/SUMPRODUCT((nNIA=AE486)*(nCUENTA=1)*(COUNTIF(CONFIG_ASIGNATURAS!$B$7:$B$27,nASIG)&gt;0)*1),"")))</f>
        <v/>
      </c>
    </row>
    <row r="487" spans="2:35" x14ac:dyDescent="0.2">
      <c r="B487" t="str">
        <f>IF(A487="","",IF(A487="[FÓRMULA MANUAL]","",IFERROR(AVERAGEIFS(nNOTA,nNIA,A487,nCUENTA,1,nASIG,"Lenguaje Musical"),"")))</f>
        <v/>
      </c>
      <c r="C487" t="str">
        <f>IF(A487="","",IF(A487="[FÓRMULA MANUAL]","",IFERROR(AVERAGEIFS(nNOTA,nNIA,A487,nCUENTA,1,nASIG,"Orquesta/Banda/Conjunto"),"")))</f>
        <v/>
      </c>
      <c r="D487" t="str">
        <f>IF(A487="","",IF(A487="[FÓRMULA MANUAL]","",IFERROR(AVERAGEIFS(nNOTA,nNIA,A487,nCUENTA,1,nASIG,"Conjunto"),"")))</f>
        <v/>
      </c>
      <c r="E487" t="str">
        <f>IF(A487="","",IF(A487="[FÓRMULA MANUAL]","",IFERROR(SUMPRODUCT((nNIA=A487)*(nCUENTA=1)*(COUNTIF(CONFIG_ASIGNATURAS!$B$7:$B$27,nASIG)&gt;0)*(nNOTA))/SUMPRODUCT((nNIA=A487)*(nCUENTA=1)*(COUNTIF(CONFIG_ASIGNATURAS!$B$7:$B$27,nASIG)&gt;0)*1),"")))</f>
        <v/>
      </c>
      <c r="H487" t="str">
        <f>IF(G487="","",IF(G487="[FÓRMULA MANUAL]","",IFERROR(AVERAGEIFS(nNOTA,nNIA,G487,nCUENTA,1,nASIG,"Lenguaje Musical"),"")))</f>
        <v/>
      </c>
      <c r="I487" t="str">
        <f>IF(G487="","",IF(G487="[FÓRMULA MANUAL]","",IFERROR(AVERAGEIFS(nNOTA,nNIA,G487,nCUENTA,1,nASIG,"Orquesta/Banda/Conjunto"),"")))</f>
        <v/>
      </c>
      <c r="J487" t="str">
        <f>IF(G487="","",IF(G487="[FÓRMULA MANUAL]","",IFERROR(AVERAGEIFS(nNOTA,nNIA,G487,nCUENTA,1,nASIG,"Conjunto"),"")))</f>
        <v/>
      </c>
      <c r="K487" t="str">
        <f>IF(G487="","",IF(G487="[FÓRMULA MANUAL]","",IFERROR(SUMPRODUCT((nNIA=G487)*(nCUENTA=1)*(COUNTIF(CONFIG_ASIGNATURAS!$B$7:$B$27,nASIG)&gt;0)*(nNOTA))/SUMPRODUCT((nNIA=G487)*(nCUENTA=1)*(COUNTIF(CONFIG_ASIGNATURAS!$B$7:$B$27,nASIG)&gt;0)*1),"")))</f>
        <v/>
      </c>
      <c r="N487" t="str">
        <f>IF(M487="","",IF(M487="[FÓRMULA MANUAL]","",IFERROR(AVERAGEIFS(nNOTA,nNIA,M487,nCUENTA,1,nASIG,"Armonía"),"")))</f>
        <v/>
      </c>
      <c r="O487" t="str">
        <f>IF(M487="","",IF(M487="[FÓRMULA MANUAL]","",IFERROR(AVERAGEIFS(nNOTA,nNIA,M487,nCUENTA,1,nASIG,"Orquesta/Banda/Conjunto"),"")))</f>
        <v/>
      </c>
      <c r="P487" t="str">
        <f>IF(M487="","",IF(M487="[FÓRMULA MANUAL]","",IFERROR(AVERAGEIFS(nNOTA,nNIA,M487,nCUENTA,1,nASIG,"Música de Cámara"),"")))</f>
        <v/>
      </c>
      <c r="Q487" t="str">
        <f>IF(M487="","",IF(M487="[FÓRMULA MANUAL]","",IFERROR(SUMPRODUCT((nNIA=M487)*(nCUENTA=1)*(COUNTIF(CONFIG_ASIGNATURAS!$B$7:$B$27,nASIG)&gt;0)*(nNOTA))/SUMPRODUCT((nNIA=M487)*(nCUENTA=1)*(COUNTIF(CONFIG_ASIGNATURAS!$B$7:$B$27,nASIG)&gt;0)*1),"")))</f>
        <v/>
      </c>
      <c r="T487" t="str">
        <f>IF(S487="","",IF(S487="[FÓRMULA MANUAL]","",IFERROR(AVERAGEIFS(nNOTA,nNIA,S487,nCUENTA,1,nASIG,"Armonía"),"")))</f>
        <v/>
      </c>
      <c r="U487" t="str">
        <f>IF(S487="","",IF(S487="[FÓRMULA MANUAL]","",IFERROR(AVERAGEIFS(nNOTA,nNIA,S487,nCUENTA,1,nASIG,"Orquesta/Banda/Conjunto"),"")))</f>
        <v/>
      </c>
      <c r="V487" t="str">
        <f>IF(S487="","",IF(S487="[FÓRMULA MANUAL]","",IFERROR(AVERAGEIFS(nNOTA,nNIA,S487,nCUENTA,1,nASIG,"Música de Cámara"),"")))</f>
        <v/>
      </c>
      <c r="W487" t="str">
        <f>IF(S487="","",IF(S487="[FÓRMULA MANUAL]","",IFERROR(SUMPRODUCT((nNIA=S487)*(nCUENTA=1)*(COUNTIF(CONFIG_ASIGNATURAS!$B$7:$B$27,nASIG)&gt;0)*(nNOTA))/SUMPRODUCT((nNIA=S487)*(nCUENTA=1)*(COUNTIF(CONFIG_ASIGNATURAS!$B$7:$B$27,nASIG)&gt;0)*1),"")))</f>
        <v/>
      </c>
      <c r="Z487" t="str">
        <f>IF(Y487="","",IF(Y487="[FÓRMULA MANUAL]","",IFERROR(AVERAGEIFS(nNOTA,nNIA,Y487,nCUENTA,1,nASIG,"Análisis"),"")))</f>
        <v/>
      </c>
      <c r="AA487" t="str">
        <f>IF(Y487="","",IF(Y487="[FÓRMULA MANUAL]","",IFERROR(AVERAGEIFS(nNOTA,nNIA,Y487,nCUENTA,1,nASIG,"Orquesta/Banda/Conjunto"),"")))</f>
        <v/>
      </c>
      <c r="AB487" t="str">
        <f>IF(Y487="","",IF(Y487="[FÓRMULA MANUAL]","",IFERROR(AVERAGEIFS(nNOTA,nNIA,Y487,nCUENTA,1,nASIG,"Música de Cámara"),"")))</f>
        <v/>
      </c>
      <c r="AC487" t="str">
        <f>IF(Y487="","",IF(Y487="[FÓRMULA MANUAL]","",IFERROR(SUMPRODUCT((nNIA=Y487)*(nCUENTA=1)*(COUNTIF(CONFIG_ASIGNATURAS!$B$7:$B$27,nASIG)&gt;0)*(nNOTA))/SUMPRODUCT((nNIA=Y487)*(nCUENTA=1)*(COUNTIF(CONFIG_ASIGNATURAS!$B$7:$B$27,nASIG)&gt;0)*1),"")))</f>
        <v/>
      </c>
      <c r="AF487" t="str">
        <f>IF(AE487="","",IF(AE487="[FÓRMULA MANUAL]","",IFERROR(AVERAGEIFS(nNOTA,nNIA,AE487,nCUENTA,1,nASIG,"Análisis"),"")))</f>
        <v/>
      </c>
      <c r="AG487" t="str">
        <f>IF(AE487="","",IF(AE487="[FÓRMULA MANUAL]","",IFERROR(AVERAGEIFS(nNOTA,nNIA,AE487,nCUENTA,1,nASIG,"Orquesta/Banda/Conjunto"),"")))</f>
        <v/>
      </c>
      <c r="AH487" t="str">
        <f>IF(AE487="","",IF(AE487="[FÓRMULA MANUAL]","",IFERROR(AVERAGEIFS(nNOTA,nNIA,AE487,nCUENTA,1,nASIG,"Música de Cámara"),"")))</f>
        <v/>
      </c>
      <c r="AI487" t="str">
        <f>IF(AE487="","",IF(AE487="[FÓRMULA MANUAL]","",IFERROR(SUMPRODUCT((nNIA=AE487)*(nCUENTA=1)*(COUNTIF(CONFIG_ASIGNATURAS!$B$7:$B$27,nASIG)&gt;0)*(nNOTA))/SUMPRODUCT((nNIA=AE487)*(nCUENTA=1)*(COUNTIF(CONFIG_ASIGNATURAS!$B$7:$B$27,nASIG)&gt;0)*1),"")))</f>
        <v/>
      </c>
    </row>
    <row r="488" spans="2:35" x14ac:dyDescent="0.2">
      <c r="B488" t="str">
        <f>IF(A488="","",IF(A488="[FÓRMULA MANUAL]","",IFERROR(AVERAGEIFS(nNOTA,nNIA,A488,nCUENTA,1,nASIG,"Lenguaje Musical"),"")))</f>
        <v/>
      </c>
      <c r="C488" t="str">
        <f>IF(A488="","",IF(A488="[FÓRMULA MANUAL]","",IFERROR(AVERAGEIFS(nNOTA,nNIA,A488,nCUENTA,1,nASIG,"Orquesta/Banda/Conjunto"),"")))</f>
        <v/>
      </c>
      <c r="D488" t="str">
        <f>IF(A488="","",IF(A488="[FÓRMULA MANUAL]","",IFERROR(AVERAGEIFS(nNOTA,nNIA,A488,nCUENTA,1,nASIG,"Conjunto"),"")))</f>
        <v/>
      </c>
      <c r="E488" t="str">
        <f>IF(A488="","",IF(A488="[FÓRMULA MANUAL]","",IFERROR(SUMPRODUCT((nNIA=A488)*(nCUENTA=1)*(COUNTIF(CONFIG_ASIGNATURAS!$B$7:$B$27,nASIG)&gt;0)*(nNOTA))/SUMPRODUCT((nNIA=A488)*(nCUENTA=1)*(COUNTIF(CONFIG_ASIGNATURAS!$B$7:$B$27,nASIG)&gt;0)*1),"")))</f>
        <v/>
      </c>
      <c r="H488" t="str">
        <f>IF(G488="","",IF(G488="[FÓRMULA MANUAL]","",IFERROR(AVERAGEIFS(nNOTA,nNIA,G488,nCUENTA,1,nASIG,"Lenguaje Musical"),"")))</f>
        <v/>
      </c>
      <c r="I488" t="str">
        <f>IF(G488="","",IF(G488="[FÓRMULA MANUAL]","",IFERROR(AVERAGEIFS(nNOTA,nNIA,G488,nCUENTA,1,nASIG,"Orquesta/Banda/Conjunto"),"")))</f>
        <v/>
      </c>
      <c r="J488" t="str">
        <f>IF(G488="","",IF(G488="[FÓRMULA MANUAL]","",IFERROR(AVERAGEIFS(nNOTA,nNIA,G488,nCUENTA,1,nASIG,"Conjunto"),"")))</f>
        <v/>
      </c>
      <c r="K488" t="str">
        <f>IF(G488="","",IF(G488="[FÓRMULA MANUAL]","",IFERROR(SUMPRODUCT((nNIA=G488)*(nCUENTA=1)*(COUNTIF(CONFIG_ASIGNATURAS!$B$7:$B$27,nASIG)&gt;0)*(nNOTA))/SUMPRODUCT((nNIA=G488)*(nCUENTA=1)*(COUNTIF(CONFIG_ASIGNATURAS!$B$7:$B$27,nASIG)&gt;0)*1),"")))</f>
        <v/>
      </c>
      <c r="N488" t="str">
        <f>IF(M488="","",IF(M488="[FÓRMULA MANUAL]","",IFERROR(AVERAGEIFS(nNOTA,nNIA,M488,nCUENTA,1,nASIG,"Armonía"),"")))</f>
        <v/>
      </c>
      <c r="O488" t="str">
        <f>IF(M488="","",IF(M488="[FÓRMULA MANUAL]","",IFERROR(AVERAGEIFS(nNOTA,nNIA,M488,nCUENTA,1,nASIG,"Orquesta/Banda/Conjunto"),"")))</f>
        <v/>
      </c>
      <c r="P488" t="str">
        <f>IF(M488="","",IF(M488="[FÓRMULA MANUAL]","",IFERROR(AVERAGEIFS(nNOTA,nNIA,M488,nCUENTA,1,nASIG,"Música de Cámara"),"")))</f>
        <v/>
      </c>
      <c r="Q488" t="str">
        <f>IF(M488="","",IF(M488="[FÓRMULA MANUAL]","",IFERROR(SUMPRODUCT((nNIA=M488)*(nCUENTA=1)*(COUNTIF(CONFIG_ASIGNATURAS!$B$7:$B$27,nASIG)&gt;0)*(nNOTA))/SUMPRODUCT((nNIA=M488)*(nCUENTA=1)*(COUNTIF(CONFIG_ASIGNATURAS!$B$7:$B$27,nASIG)&gt;0)*1),"")))</f>
        <v/>
      </c>
      <c r="T488" t="str">
        <f>IF(S488="","",IF(S488="[FÓRMULA MANUAL]","",IFERROR(AVERAGEIFS(nNOTA,nNIA,S488,nCUENTA,1,nASIG,"Armonía"),"")))</f>
        <v/>
      </c>
      <c r="U488" t="str">
        <f>IF(S488="","",IF(S488="[FÓRMULA MANUAL]","",IFERROR(AVERAGEIFS(nNOTA,nNIA,S488,nCUENTA,1,nASIG,"Orquesta/Banda/Conjunto"),"")))</f>
        <v/>
      </c>
      <c r="V488" t="str">
        <f>IF(S488="","",IF(S488="[FÓRMULA MANUAL]","",IFERROR(AVERAGEIFS(nNOTA,nNIA,S488,nCUENTA,1,nASIG,"Música de Cámara"),"")))</f>
        <v/>
      </c>
      <c r="W488" t="str">
        <f>IF(S488="","",IF(S488="[FÓRMULA MANUAL]","",IFERROR(SUMPRODUCT((nNIA=S488)*(nCUENTA=1)*(COUNTIF(CONFIG_ASIGNATURAS!$B$7:$B$27,nASIG)&gt;0)*(nNOTA))/SUMPRODUCT((nNIA=S488)*(nCUENTA=1)*(COUNTIF(CONFIG_ASIGNATURAS!$B$7:$B$27,nASIG)&gt;0)*1),"")))</f>
        <v/>
      </c>
      <c r="Z488" t="str">
        <f>IF(Y488="","",IF(Y488="[FÓRMULA MANUAL]","",IFERROR(AVERAGEIFS(nNOTA,nNIA,Y488,nCUENTA,1,nASIG,"Análisis"),"")))</f>
        <v/>
      </c>
      <c r="AA488" t="str">
        <f>IF(Y488="","",IF(Y488="[FÓRMULA MANUAL]","",IFERROR(AVERAGEIFS(nNOTA,nNIA,Y488,nCUENTA,1,nASIG,"Orquesta/Banda/Conjunto"),"")))</f>
        <v/>
      </c>
      <c r="AB488" t="str">
        <f>IF(Y488="","",IF(Y488="[FÓRMULA MANUAL]","",IFERROR(AVERAGEIFS(nNOTA,nNIA,Y488,nCUENTA,1,nASIG,"Música de Cámara"),"")))</f>
        <v/>
      </c>
      <c r="AC488" t="str">
        <f>IF(Y488="","",IF(Y488="[FÓRMULA MANUAL]","",IFERROR(SUMPRODUCT((nNIA=Y488)*(nCUENTA=1)*(COUNTIF(CONFIG_ASIGNATURAS!$B$7:$B$27,nASIG)&gt;0)*(nNOTA))/SUMPRODUCT((nNIA=Y488)*(nCUENTA=1)*(COUNTIF(CONFIG_ASIGNATURAS!$B$7:$B$27,nASIG)&gt;0)*1),"")))</f>
        <v/>
      </c>
      <c r="AF488" t="str">
        <f>IF(AE488="","",IF(AE488="[FÓRMULA MANUAL]","",IFERROR(AVERAGEIFS(nNOTA,nNIA,AE488,nCUENTA,1,nASIG,"Análisis"),"")))</f>
        <v/>
      </c>
      <c r="AG488" t="str">
        <f>IF(AE488="","",IF(AE488="[FÓRMULA MANUAL]","",IFERROR(AVERAGEIFS(nNOTA,nNIA,AE488,nCUENTA,1,nASIG,"Orquesta/Banda/Conjunto"),"")))</f>
        <v/>
      </c>
      <c r="AH488" t="str">
        <f>IF(AE488="","",IF(AE488="[FÓRMULA MANUAL]","",IFERROR(AVERAGEIFS(nNOTA,nNIA,AE488,nCUENTA,1,nASIG,"Música de Cámara"),"")))</f>
        <v/>
      </c>
      <c r="AI488" t="str">
        <f>IF(AE488="","",IF(AE488="[FÓRMULA MANUAL]","",IFERROR(SUMPRODUCT((nNIA=AE488)*(nCUENTA=1)*(COUNTIF(CONFIG_ASIGNATURAS!$B$7:$B$27,nASIG)&gt;0)*(nNOTA))/SUMPRODUCT((nNIA=AE488)*(nCUENTA=1)*(COUNTIF(CONFIG_ASIGNATURAS!$B$7:$B$27,nASIG)&gt;0)*1),"")))</f>
        <v/>
      </c>
    </row>
    <row r="489" spans="2:35" x14ac:dyDescent="0.2">
      <c r="B489" t="str">
        <f>IF(A489="","",IF(A489="[FÓRMULA MANUAL]","",IFERROR(AVERAGEIFS(nNOTA,nNIA,A489,nCUENTA,1,nASIG,"Lenguaje Musical"),"")))</f>
        <v/>
      </c>
      <c r="C489" t="str">
        <f>IF(A489="","",IF(A489="[FÓRMULA MANUAL]","",IFERROR(AVERAGEIFS(nNOTA,nNIA,A489,nCUENTA,1,nASIG,"Orquesta/Banda/Conjunto"),"")))</f>
        <v/>
      </c>
      <c r="D489" t="str">
        <f>IF(A489="","",IF(A489="[FÓRMULA MANUAL]","",IFERROR(AVERAGEIFS(nNOTA,nNIA,A489,nCUENTA,1,nASIG,"Conjunto"),"")))</f>
        <v/>
      </c>
      <c r="E489" t="str">
        <f>IF(A489="","",IF(A489="[FÓRMULA MANUAL]","",IFERROR(SUMPRODUCT((nNIA=A489)*(nCUENTA=1)*(COUNTIF(CONFIG_ASIGNATURAS!$B$7:$B$27,nASIG)&gt;0)*(nNOTA))/SUMPRODUCT((nNIA=A489)*(nCUENTA=1)*(COUNTIF(CONFIG_ASIGNATURAS!$B$7:$B$27,nASIG)&gt;0)*1),"")))</f>
        <v/>
      </c>
      <c r="H489" t="str">
        <f>IF(G489="","",IF(G489="[FÓRMULA MANUAL]","",IFERROR(AVERAGEIFS(nNOTA,nNIA,G489,nCUENTA,1,nASIG,"Lenguaje Musical"),"")))</f>
        <v/>
      </c>
      <c r="I489" t="str">
        <f>IF(G489="","",IF(G489="[FÓRMULA MANUAL]","",IFERROR(AVERAGEIFS(nNOTA,nNIA,G489,nCUENTA,1,nASIG,"Orquesta/Banda/Conjunto"),"")))</f>
        <v/>
      </c>
      <c r="J489" t="str">
        <f>IF(G489="","",IF(G489="[FÓRMULA MANUAL]","",IFERROR(AVERAGEIFS(nNOTA,nNIA,G489,nCUENTA,1,nASIG,"Conjunto"),"")))</f>
        <v/>
      </c>
      <c r="K489" t="str">
        <f>IF(G489="","",IF(G489="[FÓRMULA MANUAL]","",IFERROR(SUMPRODUCT((nNIA=G489)*(nCUENTA=1)*(COUNTIF(CONFIG_ASIGNATURAS!$B$7:$B$27,nASIG)&gt;0)*(nNOTA))/SUMPRODUCT((nNIA=G489)*(nCUENTA=1)*(COUNTIF(CONFIG_ASIGNATURAS!$B$7:$B$27,nASIG)&gt;0)*1),"")))</f>
        <v/>
      </c>
      <c r="N489" t="str">
        <f>IF(M489="","",IF(M489="[FÓRMULA MANUAL]","",IFERROR(AVERAGEIFS(nNOTA,nNIA,M489,nCUENTA,1,nASIG,"Armonía"),"")))</f>
        <v/>
      </c>
      <c r="O489" t="str">
        <f>IF(M489="","",IF(M489="[FÓRMULA MANUAL]","",IFERROR(AVERAGEIFS(nNOTA,nNIA,M489,nCUENTA,1,nASIG,"Orquesta/Banda/Conjunto"),"")))</f>
        <v/>
      </c>
      <c r="P489" t="str">
        <f>IF(M489="","",IF(M489="[FÓRMULA MANUAL]","",IFERROR(AVERAGEIFS(nNOTA,nNIA,M489,nCUENTA,1,nASIG,"Música de Cámara"),"")))</f>
        <v/>
      </c>
      <c r="Q489" t="str">
        <f>IF(M489="","",IF(M489="[FÓRMULA MANUAL]","",IFERROR(SUMPRODUCT((nNIA=M489)*(nCUENTA=1)*(COUNTIF(CONFIG_ASIGNATURAS!$B$7:$B$27,nASIG)&gt;0)*(nNOTA))/SUMPRODUCT((nNIA=M489)*(nCUENTA=1)*(COUNTIF(CONFIG_ASIGNATURAS!$B$7:$B$27,nASIG)&gt;0)*1),"")))</f>
        <v/>
      </c>
      <c r="T489" t="str">
        <f>IF(S489="","",IF(S489="[FÓRMULA MANUAL]","",IFERROR(AVERAGEIFS(nNOTA,nNIA,S489,nCUENTA,1,nASIG,"Armonía"),"")))</f>
        <v/>
      </c>
      <c r="U489" t="str">
        <f>IF(S489="","",IF(S489="[FÓRMULA MANUAL]","",IFERROR(AVERAGEIFS(nNOTA,nNIA,S489,nCUENTA,1,nASIG,"Orquesta/Banda/Conjunto"),"")))</f>
        <v/>
      </c>
      <c r="V489" t="str">
        <f>IF(S489="","",IF(S489="[FÓRMULA MANUAL]","",IFERROR(AVERAGEIFS(nNOTA,nNIA,S489,nCUENTA,1,nASIG,"Música de Cámara"),"")))</f>
        <v/>
      </c>
      <c r="W489" t="str">
        <f>IF(S489="","",IF(S489="[FÓRMULA MANUAL]","",IFERROR(SUMPRODUCT((nNIA=S489)*(nCUENTA=1)*(COUNTIF(CONFIG_ASIGNATURAS!$B$7:$B$27,nASIG)&gt;0)*(nNOTA))/SUMPRODUCT((nNIA=S489)*(nCUENTA=1)*(COUNTIF(CONFIG_ASIGNATURAS!$B$7:$B$27,nASIG)&gt;0)*1),"")))</f>
        <v/>
      </c>
      <c r="Z489" t="str">
        <f>IF(Y489="","",IF(Y489="[FÓRMULA MANUAL]","",IFERROR(AVERAGEIFS(nNOTA,nNIA,Y489,nCUENTA,1,nASIG,"Análisis"),"")))</f>
        <v/>
      </c>
      <c r="AA489" t="str">
        <f>IF(Y489="","",IF(Y489="[FÓRMULA MANUAL]","",IFERROR(AVERAGEIFS(nNOTA,nNIA,Y489,nCUENTA,1,nASIG,"Orquesta/Banda/Conjunto"),"")))</f>
        <v/>
      </c>
      <c r="AB489" t="str">
        <f>IF(Y489="","",IF(Y489="[FÓRMULA MANUAL]","",IFERROR(AVERAGEIFS(nNOTA,nNIA,Y489,nCUENTA,1,nASIG,"Música de Cámara"),"")))</f>
        <v/>
      </c>
      <c r="AC489" t="str">
        <f>IF(Y489="","",IF(Y489="[FÓRMULA MANUAL]","",IFERROR(SUMPRODUCT((nNIA=Y489)*(nCUENTA=1)*(COUNTIF(CONFIG_ASIGNATURAS!$B$7:$B$27,nASIG)&gt;0)*(nNOTA))/SUMPRODUCT((nNIA=Y489)*(nCUENTA=1)*(COUNTIF(CONFIG_ASIGNATURAS!$B$7:$B$27,nASIG)&gt;0)*1),"")))</f>
        <v/>
      </c>
      <c r="AF489" t="str">
        <f>IF(AE489="","",IF(AE489="[FÓRMULA MANUAL]","",IFERROR(AVERAGEIFS(nNOTA,nNIA,AE489,nCUENTA,1,nASIG,"Análisis"),"")))</f>
        <v/>
      </c>
      <c r="AG489" t="str">
        <f>IF(AE489="","",IF(AE489="[FÓRMULA MANUAL]","",IFERROR(AVERAGEIFS(nNOTA,nNIA,AE489,nCUENTA,1,nASIG,"Orquesta/Banda/Conjunto"),"")))</f>
        <v/>
      </c>
      <c r="AH489" t="str">
        <f>IF(AE489="","",IF(AE489="[FÓRMULA MANUAL]","",IFERROR(AVERAGEIFS(nNOTA,nNIA,AE489,nCUENTA,1,nASIG,"Música de Cámara"),"")))</f>
        <v/>
      </c>
      <c r="AI489" t="str">
        <f>IF(AE489="","",IF(AE489="[FÓRMULA MANUAL]","",IFERROR(SUMPRODUCT((nNIA=AE489)*(nCUENTA=1)*(COUNTIF(CONFIG_ASIGNATURAS!$B$7:$B$27,nASIG)&gt;0)*(nNOTA))/SUMPRODUCT((nNIA=AE489)*(nCUENTA=1)*(COUNTIF(CONFIG_ASIGNATURAS!$B$7:$B$27,nASIG)&gt;0)*1),"")))</f>
        <v/>
      </c>
    </row>
    <row r="490" spans="2:35" x14ac:dyDescent="0.2">
      <c r="B490" t="str">
        <f>IF(A490="","",IF(A490="[FÓRMULA MANUAL]","",IFERROR(AVERAGEIFS(nNOTA,nNIA,A490,nCUENTA,1,nASIG,"Lenguaje Musical"),"")))</f>
        <v/>
      </c>
      <c r="C490" t="str">
        <f>IF(A490="","",IF(A490="[FÓRMULA MANUAL]","",IFERROR(AVERAGEIFS(nNOTA,nNIA,A490,nCUENTA,1,nASIG,"Orquesta/Banda/Conjunto"),"")))</f>
        <v/>
      </c>
      <c r="D490" t="str">
        <f>IF(A490="","",IF(A490="[FÓRMULA MANUAL]","",IFERROR(AVERAGEIFS(nNOTA,nNIA,A490,nCUENTA,1,nASIG,"Conjunto"),"")))</f>
        <v/>
      </c>
      <c r="E490" t="str">
        <f>IF(A490="","",IF(A490="[FÓRMULA MANUAL]","",IFERROR(SUMPRODUCT((nNIA=A490)*(nCUENTA=1)*(COUNTIF(CONFIG_ASIGNATURAS!$B$7:$B$27,nASIG)&gt;0)*(nNOTA))/SUMPRODUCT((nNIA=A490)*(nCUENTA=1)*(COUNTIF(CONFIG_ASIGNATURAS!$B$7:$B$27,nASIG)&gt;0)*1),"")))</f>
        <v/>
      </c>
      <c r="H490" t="str">
        <f>IF(G490="","",IF(G490="[FÓRMULA MANUAL]","",IFERROR(AVERAGEIFS(nNOTA,nNIA,G490,nCUENTA,1,nASIG,"Lenguaje Musical"),"")))</f>
        <v/>
      </c>
      <c r="I490" t="str">
        <f>IF(G490="","",IF(G490="[FÓRMULA MANUAL]","",IFERROR(AVERAGEIFS(nNOTA,nNIA,G490,nCUENTA,1,nASIG,"Orquesta/Banda/Conjunto"),"")))</f>
        <v/>
      </c>
      <c r="J490" t="str">
        <f>IF(G490="","",IF(G490="[FÓRMULA MANUAL]","",IFERROR(AVERAGEIFS(nNOTA,nNIA,G490,nCUENTA,1,nASIG,"Conjunto"),"")))</f>
        <v/>
      </c>
      <c r="K490" t="str">
        <f>IF(G490="","",IF(G490="[FÓRMULA MANUAL]","",IFERROR(SUMPRODUCT((nNIA=G490)*(nCUENTA=1)*(COUNTIF(CONFIG_ASIGNATURAS!$B$7:$B$27,nASIG)&gt;0)*(nNOTA))/SUMPRODUCT((nNIA=G490)*(nCUENTA=1)*(COUNTIF(CONFIG_ASIGNATURAS!$B$7:$B$27,nASIG)&gt;0)*1),"")))</f>
        <v/>
      </c>
      <c r="N490" t="str">
        <f>IF(M490="","",IF(M490="[FÓRMULA MANUAL]","",IFERROR(AVERAGEIFS(nNOTA,nNIA,M490,nCUENTA,1,nASIG,"Armonía"),"")))</f>
        <v/>
      </c>
      <c r="O490" t="str">
        <f>IF(M490="","",IF(M490="[FÓRMULA MANUAL]","",IFERROR(AVERAGEIFS(nNOTA,nNIA,M490,nCUENTA,1,nASIG,"Orquesta/Banda/Conjunto"),"")))</f>
        <v/>
      </c>
      <c r="P490" t="str">
        <f>IF(M490="","",IF(M490="[FÓRMULA MANUAL]","",IFERROR(AVERAGEIFS(nNOTA,nNIA,M490,nCUENTA,1,nASIG,"Música de Cámara"),"")))</f>
        <v/>
      </c>
      <c r="Q490" t="str">
        <f>IF(M490="","",IF(M490="[FÓRMULA MANUAL]","",IFERROR(SUMPRODUCT((nNIA=M490)*(nCUENTA=1)*(COUNTIF(CONFIG_ASIGNATURAS!$B$7:$B$27,nASIG)&gt;0)*(nNOTA))/SUMPRODUCT((nNIA=M490)*(nCUENTA=1)*(COUNTIF(CONFIG_ASIGNATURAS!$B$7:$B$27,nASIG)&gt;0)*1),"")))</f>
        <v/>
      </c>
      <c r="T490" t="str">
        <f>IF(S490="","",IF(S490="[FÓRMULA MANUAL]","",IFERROR(AVERAGEIFS(nNOTA,nNIA,S490,nCUENTA,1,nASIG,"Armonía"),"")))</f>
        <v/>
      </c>
      <c r="U490" t="str">
        <f>IF(S490="","",IF(S490="[FÓRMULA MANUAL]","",IFERROR(AVERAGEIFS(nNOTA,nNIA,S490,nCUENTA,1,nASIG,"Orquesta/Banda/Conjunto"),"")))</f>
        <v/>
      </c>
      <c r="V490" t="str">
        <f>IF(S490="","",IF(S490="[FÓRMULA MANUAL]","",IFERROR(AVERAGEIFS(nNOTA,nNIA,S490,nCUENTA,1,nASIG,"Música de Cámara"),"")))</f>
        <v/>
      </c>
      <c r="W490" t="str">
        <f>IF(S490="","",IF(S490="[FÓRMULA MANUAL]","",IFERROR(SUMPRODUCT((nNIA=S490)*(nCUENTA=1)*(COUNTIF(CONFIG_ASIGNATURAS!$B$7:$B$27,nASIG)&gt;0)*(nNOTA))/SUMPRODUCT((nNIA=S490)*(nCUENTA=1)*(COUNTIF(CONFIG_ASIGNATURAS!$B$7:$B$27,nASIG)&gt;0)*1),"")))</f>
        <v/>
      </c>
      <c r="Z490" t="str">
        <f>IF(Y490="","",IF(Y490="[FÓRMULA MANUAL]","",IFERROR(AVERAGEIFS(nNOTA,nNIA,Y490,nCUENTA,1,nASIG,"Análisis"),"")))</f>
        <v/>
      </c>
      <c r="AA490" t="str">
        <f>IF(Y490="","",IF(Y490="[FÓRMULA MANUAL]","",IFERROR(AVERAGEIFS(nNOTA,nNIA,Y490,nCUENTA,1,nASIG,"Orquesta/Banda/Conjunto"),"")))</f>
        <v/>
      </c>
      <c r="AB490" t="str">
        <f>IF(Y490="","",IF(Y490="[FÓRMULA MANUAL]","",IFERROR(AVERAGEIFS(nNOTA,nNIA,Y490,nCUENTA,1,nASIG,"Música de Cámara"),"")))</f>
        <v/>
      </c>
      <c r="AC490" t="str">
        <f>IF(Y490="","",IF(Y490="[FÓRMULA MANUAL]","",IFERROR(SUMPRODUCT((nNIA=Y490)*(nCUENTA=1)*(COUNTIF(CONFIG_ASIGNATURAS!$B$7:$B$27,nASIG)&gt;0)*(nNOTA))/SUMPRODUCT((nNIA=Y490)*(nCUENTA=1)*(COUNTIF(CONFIG_ASIGNATURAS!$B$7:$B$27,nASIG)&gt;0)*1),"")))</f>
        <v/>
      </c>
      <c r="AF490" t="str">
        <f>IF(AE490="","",IF(AE490="[FÓRMULA MANUAL]","",IFERROR(AVERAGEIFS(nNOTA,nNIA,AE490,nCUENTA,1,nASIG,"Análisis"),"")))</f>
        <v/>
      </c>
      <c r="AG490" t="str">
        <f>IF(AE490="","",IF(AE490="[FÓRMULA MANUAL]","",IFERROR(AVERAGEIFS(nNOTA,nNIA,AE490,nCUENTA,1,nASIG,"Orquesta/Banda/Conjunto"),"")))</f>
        <v/>
      </c>
      <c r="AH490" t="str">
        <f>IF(AE490="","",IF(AE490="[FÓRMULA MANUAL]","",IFERROR(AVERAGEIFS(nNOTA,nNIA,AE490,nCUENTA,1,nASIG,"Música de Cámara"),"")))</f>
        <v/>
      </c>
      <c r="AI490" t="str">
        <f>IF(AE490="","",IF(AE490="[FÓRMULA MANUAL]","",IFERROR(SUMPRODUCT((nNIA=AE490)*(nCUENTA=1)*(COUNTIF(CONFIG_ASIGNATURAS!$B$7:$B$27,nASIG)&gt;0)*(nNOTA))/SUMPRODUCT((nNIA=AE490)*(nCUENTA=1)*(COUNTIF(CONFIG_ASIGNATURAS!$B$7:$B$27,nASIG)&gt;0)*1),"")))</f>
        <v/>
      </c>
    </row>
    <row r="491" spans="2:35" x14ac:dyDescent="0.2">
      <c r="B491" t="str">
        <f>IF(A491="","",IF(A491="[FÓRMULA MANUAL]","",IFERROR(AVERAGEIFS(nNOTA,nNIA,A491,nCUENTA,1,nASIG,"Lenguaje Musical"),"")))</f>
        <v/>
      </c>
      <c r="C491" t="str">
        <f>IF(A491="","",IF(A491="[FÓRMULA MANUAL]","",IFERROR(AVERAGEIFS(nNOTA,nNIA,A491,nCUENTA,1,nASIG,"Orquesta/Banda/Conjunto"),"")))</f>
        <v/>
      </c>
      <c r="D491" t="str">
        <f>IF(A491="","",IF(A491="[FÓRMULA MANUAL]","",IFERROR(AVERAGEIFS(nNOTA,nNIA,A491,nCUENTA,1,nASIG,"Conjunto"),"")))</f>
        <v/>
      </c>
      <c r="E491" t="str">
        <f>IF(A491="","",IF(A491="[FÓRMULA MANUAL]","",IFERROR(SUMPRODUCT((nNIA=A491)*(nCUENTA=1)*(COUNTIF(CONFIG_ASIGNATURAS!$B$7:$B$27,nASIG)&gt;0)*(nNOTA))/SUMPRODUCT((nNIA=A491)*(nCUENTA=1)*(COUNTIF(CONFIG_ASIGNATURAS!$B$7:$B$27,nASIG)&gt;0)*1),"")))</f>
        <v/>
      </c>
      <c r="H491" t="str">
        <f>IF(G491="","",IF(G491="[FÓRMULA MANUAL]","",IFERROR(AVERAGEIFS(nNOTA,nNIA,G491,nCUENTA,1,nASIG,"Lenguaje Musical"),"")))</f>
        <v/>
      </c>
      <c r="I491" t="str">
        <f>IF(G491="","",IF(G491="[FÓRMULA MANUAL]","",IFERROR(AVERAGEIFS(nNOTA,nNIA,G491,nCUENTA,1,nASIG,"Orquesta/Banda/Conjunto"),"")))</f>
        <v/>
      </c>
      <c r="J491" t="str">
        <f>IF(G491="","",IF(G491="[FÓRMULA MANUAL]","",IFERROR(AVERAGEIFS(nNOTA,nNIA,G491,nCUENTA,1,nASIG,"Conjunto"),"")))</f>
        <v/>
      </c>
      <c r="K491" t="str">
        <f>IF(G491="","",IF(G491="[FÓRMULA MANUAL]","",IFERROR(SUMPRODUCT((nNIA=G491)*(nCUENTA=1)*(COUNTIF(CONFIG_ASIGNATURAS!$B$7:$B$27,nASIG)&gt;0)*(nNOTA))/SUMPRODUCT((nNIA=G491)*(nCUENTA=1)*(COUNTIF(CONFIG_ASIGNATURAS!$B$7:$B$27,nASIG)&gt;0)*1),"")))</f>
        <v/>
      </c>
      <c r="N491" t="str">
        <f>IF(M491="","",IF(M491="[FÓRMULA MANUAL]","",IFERROR(AVERAGEIFS(nNOTA,nNIA,M491,nCUENTA,1,nASIG,"Armonía"),"")))</f>
        <v/>
      </c>
      <c r="O491" t="str">
        <f>IF(M491="","",IF(M491="[FÓRMULA MANUAL]","",IFERROR(AVERAGEIFS(nNOTA,nNIA,M491,nCUENTA,1,nASIG,"Orquesta/Banda/Conjunto"),"")))</f>
        <v/>
      </c>
      <c r="P491" t="str">
        <f>IF(M491="","",IF(M491="[FÓRMULA MANUAL]","",IFERROR(AVERAGEIFS(nNOTA,nNIA,M491,nCUENTA,1,nASIG,"Música de Cámara"),"")))</f>
        <v/>
      </c>
      <c r="Q491" t="str">
        <f>IF(M491="","",IF(M491="[FÓRMULA MANUAL]","",IFERROR(SUMPRODUCT((nNIA=M491)*(nCUENTA=1)*(COUNTIF(CONFIG_ASIGNATURAS!$B$7:$B$27,nASIG)&gt;0)*(nNOTA))/SUMPRODUCT((nNIA=M491)*(nCUENTA=1)*(COUNTIF(CONFIG_ASIGNATURAS!$B$7:$B$27,nASIG)&gt;0)*1),"")))</f>
        <v/>
      </c>
      <c r="T491" t="str">
        <f>IF(S491="","",IF(S491="[FÓRMULA MANUAL]","",IFERROR(AVERAGEIFS(nNOTA,nNIA,S491,nCUENTA,1,nASIG,"Armonía"),"")))</f>
        <v/>
      </c>
      <c r="U491" t="str">
        <f>IF(S491="","",IF(S491="[FÓRMULA MANUAL]","",IFERROR(AVERAGEIFS(nNOTA,nNIA,S491,nCUENTA,1,nASIG,"Orquesta/Banda/Conjunto"),"")))</f>
        <v/>
      </c>
      <c r="V491" t="str">
        <f>IF(S491="","",IF(S491="[FÓRMULA MANUAL]","",IFERROR(AVERAGEIFS(nNOTA,nNIA,S491,nCUENTA,1,nASIG,"Música de Cámara"),"")))</f>
        <v/>
      </c>
      <c r="W491" t="str">
        <f>IF(S491="","",IF(S491="[FÓRMULA MANUAL]","",IFERROR(SUMPRODUCT((nNIA=S491)*(nCUENTA=1)*(COUNTIF(CONFIG_ASIGNATURAS!$B$7:$B$27,nASIG)&gt;0)*(nNOTA))/SUMPRODUCT((nNIA=S491)*(nCUENTA=1)*(COUNTIF(CONFIG_ASIGNATURAS!$B$7:$B$27,nASIG)&gt;0)*1),"")))</f>
        <v/>
      </c>
      <c r="Z491" t="str">
        <f>IF(Y491="","",IF(Y491="[FÓRMULA MANUAL]","",IFERROR(AVERAGEIFS(nNOTA,nNIA,Y491,nCUENTA,1,nASIG,"Análisis"),"")))</f>
        <v/>
      </c>
      <c r="AA491" t="str">
        <f>IF(Y491="","",IF(Y491="[FÓRMULA MANUAL]","",IFERROR(AVERAGEIFS(nNOTA,nNIA,Y491,nCUENTA,1,nASIG,"Orquesta/Banda/Conjunto"),"")))</f>
        <v/>
      </c>
      <c r="AB491" t="str">
        <f>IF(Y491="","",IF(Y491="[FÓRMULA MANUAL]","",IFERROR(AVERAGEIFS(nNOTA,nNIA,Y491,nCUENTA,1,nASIG,"Música de Cámara"),"")))</f>
        <v/>
      </c>
      <c r="AC491" t="str">
        <f>IF(Y491="","",IF(Y491="[FÓRMULA MANUAL]","",IFERROR(SUMPRODUCT((nNIA=Y491)*(nCUENTA=1)*(COUNTIF(CONFIG_ASIGNATURAS!$B$7:$B$27,nASIG)&gt;0)*(nNOTA))/SUMPRODUCT((nNIA=Y491)*(nCUENTA=1)*(COUNTIF(CONFIG_ASIGNATURAS!$B$7:$B$27,nASIG)&gt;0)*1),"")))</f>
        <v/>
      </c>
      <c r="AF491" t="str">
        <f>IF(AE491="","",IF(AE491="[FÓRMULA MANUAL]","",IFERROR(AVERAGEIFS(nNOTA,nNIA,AE491,nCUENTA,1,nASIG,"Análisis"),"")))</f>
        <v/>
      </c>
      <c r="AG491" t="str">
        <f>IF(AE491="","",IF(AE491="[FÓRMULA MANUAL]","",IFERROR(AVERAGEIFS(nNOTA,nNIA,AE491,nCUENTA,1,nASIG,"Orquesta/Banda/Conjunto"),"")))</f>
        <v/>
      </c>
      <c r="AH491" t="str">
        <f>IF(AE491="","",IF(AE491="[FÓRMULA MANUAL]","",IFERROR(AVERAGEIFS(nNOTA,nNIA,AE491,nCUENTA,1,nASIG,"Música de Cámara"),"")))</f>
        <v/>
      </c>
      <c r="AI491" t="str">
        <f>IF(AE491="","",IF(AE491="[FÓRMULA MANUAL]","",IFERROR(SUMPRODUCT((nNIA=AE491)*(nCUENTA=1)*(COUNTIF(CONFIG_ASIGNATURAS!$B$7:$B$27,nASIG)&gt;0)*(nNOTA))/SUMPRODUCT((nNIA=AE491)*(nCUENTA=1)*(COUNTIF(CONFIG_ASIGNATURAS!$B$7:$B$27,nASIG)&gt;0)*1),"")))</f>
        <v/>
      </c>
    </row>
    <row r="492" spans="2:35" x14ac:dyDescent="0.2">
      <c r="B492" t="str">
        <f>IF(A492="","",IF(A492="[FÓRMULA MANUAL]","",IFERROR(AVERAGEIFS(nNOTA,nNIA,A492,nCUENTA,1,nASIG,"Lenguaje Musical"),"")))</f>
        <v/>
      </c>
      <c r="C492" t="str">
        <f>IF(A492="","",IF(A492="[FÓRMULA MANUAL]","",IFERROR(AVERAGEIFS(nNOTA,nNIA,A492,nCUENTA,1,nASIG,"Orquesta/Banda/Conjunto"),"")))</f>
        <v/>
      </c>
      <c r="D492" t="str">
        <f>IF(A492="","",IF(A492="[FÓRMULA MANUAL]","",IFERROR(AVERAGEIFS(nNOTA,nNIA,A492,nCUENTA,1,nASIG,"Conjunto"),"")))</f>
        <v/>
      </c>
      <c r="E492" t="str">
        <f>IF(A492="","",IF(A492="[FÓRMULA MANUAL]","",IFERROR(SUMPRODUCT((nNIA=A492)*(nCUENTA=1)*(COUNTIF(CONFIG_ASIGNATURAS!$B$7:$B$27,nASIG)&gt;0)*(nNOTA))/SUMPRODUCT((nNIA=A492)*(nCUENTA=1)*(COUNTIF(CONFIG_ASIGNATURAS!$B$7:$B$27,nASIG)&gt;0)*1),"")))</f>
        <v/>
      </c>
      <c r="H492" t="str">
        <f>IF(G492="","",IF(G492="[FÓRMULA MANUAL]","",IFERROR(AVERAGEIFS(nNOTA,nNIA,G492,nCUENTA,1,nASIG,"Lenguaje Musical"),"")))</f>
        <v/>
      </c>
      <c r="I492" t="str">
        <f>IF(G492="","",IF(G492="[FÓRMULA MANUAL]","",IFERROR(AVERAGEIFS(nNOTA,nNIA,G492,nCUENTA,1,nASIG,"Orquesta/Banda/Conjunto"),"")))</f>
        <v/>
      </c>
      <c r="J492" t="str">
        <f>IF(G492="","",IF(G492="[FÓRMULA MANUAL]","",IFERROR(AVERAGEIFS(nNOTA,nNIA,G492,nCUENTA,1,nASIG,"Conjunto"),"")))</f>
        <v/>
      </c>
      <c r="K492" t="str">
        <f>IF(G492="","",IF(G492="[FÓRMULA MANUAL]","",IFERROR(SUMPRODUCT((nNIA=G492)*(nCUENTA=1)*(COUNTIF(CONFIG_ASIGNATURAS!$B$7:$B$27,nASIG)&gt;0)*(nNOTA))/SUMPRODUCT((nNIA=G492)*(nCUENTA=1)*(COUNTIF(CONFIG_ASIGNATURAS!$B$7:$B$27,nASIG)&gt;0)*1),"")))</f>
        <v/>
      </c>
      <c r="N492" t="str">
        <f>IF(M492="","",IF(M492="[FÓRMULA MANUAL]","",IFERROR(AVERAGEIFS(nNOTA,nNIA,M492,nCUENTA,1,nASIG,"Armonía"),"")))</f>
        <v/>
      </c>
      <c r="O492" t="str">
        <f>IF(M492="","",IF(M492="[FÓRMULA MANUAL]","",IFERROR(AVERAGEIFS(nNOTA,nNIA,M492,nCUENTA,1,nASIG,"Orquesta/Banda/Conjunto"),"")))</f>
        <v/>
      </c>
      <c r="P492" t="str">
        <f>IF(M492="","",IF(M492="[FÓRMULA MANUAL]","",IFERROR(AVERAGEIFS(nNOTA,nNIA,M492,nCUENTA,1,nASIG,"Música de Cámara"),"")))</f>
        <v/>
      </c>
      <c r="Q492" t="str">
        <f>IF(M492="","",IF(M492="[FÓRMULA MANUAL]","",IFERROR(SUMPRODUCT((nNIA=M492)*(nCUENTA=1)*(COUNTIF(CONFIG_ASIGNATURAS!$B$7:$B$27,nASIG)&gt;0)*(nNOTA))/SUMPRODUCT((nNIA=M492)*(nCUENTA=1)*(COUNTIF(CONFIG_ASIGNATURAS!$B$7:$B$27,nASIG)&gt;0)*1),"")))</f>
        <v/>
      </c>
      <c r="T492" t="str">
        <f>IF(S492="","",IF(S492="[FÓRMULA MANUAL]","",IFERROR(AVERAGEIFS(nNOTA,nNIA,S492,nCUENTA,1,nASIG,"Armonía"),"")))</f>
        <v/>
      </c>
      <c r="U492" t="str">
        <f>IF(S492="","",IF(S492="[FÓRMULA MANUAL]","",IFERROR(AVERAGEIFS(nNOTA,nNIA,S492,nCUENTA,1,nASIG,"Orquesta/Banda/Conjunto"),"")))</f>
        <v/>
      </c>
      <c r="V492" t="str">
        <f>IF(S492="","",IF(S492="[FÓRMULA MANUAL]","",IFERROR(AVERAGEIFS(nNOTA,nNIA,S492,nCUENTA,1,nASIG,"Música de Cámara"),"")))</f>
        <v/>
      </c>
      <c r="W492" t="str">
        <f>IF(S492="","",IF(S492="[FÓRMULA MANUAL]","",IFERROR(SUMPRODUCT((nNIA=S492)*(nCUENTA=1)*(COUNTIF(CONFIG_ASIGNATURAS!$B$7:$B$27,nASIG)&gt;0)*(nNOTA))/SUMPRODUCT((nNIA=S492)*(nCUENTA=1)*(COUNTIF(CONFIG_ASIGNATURAS!$B$7:$B$27,nASIG)&gt;0)*1),"")))</f>
        <v/>
      </c>
      <c r="Z492" t="str">
        <f>IF(Y492="","",IF(Y492="[FÓRMULA MANUAL]","",IFERROR(AVERAGEIFS(nNOTA,nNIA,Y492,nCUENTA,1,nASIG,"Análisis"),"")))</f>
        <v/>
      </c>
      <c r="AA492" t="str">
        <f>IF(Y492="","",IF(Y492="[FÓRMULA MANUAL]","",IFERROR(AVERAGEIFS(nNOTA,nNIA,Y492,nCUENTA,1,nASIG,"Orquesta/Banda/Conjunto"),"")))</f>
        <v/>
      </c>
      <c r="AB492" t="str">
        <f>IF(Y492="","",IF(Y492="[FÓRMULA MANUAL]","",IFERROR(AVERAGEIFS(nNOTA,nNIA,Y492,nCUENTA,1,nASIG,"Música de Cámara"),"")))</f>
        <v/>
      </c>
      <c r="AC492" t="str">
        <f>IF(Y492="","",IF(Y492="[FÓRMULA MANUAL]","",IFERROR(SUMPRODUCT((nNIA=Y492)*(nCUENTA=1)*(COUNTIF(CONFIG_ASIGNATURAS!$B$7:$B$27,nASIG)&gt;0)*(nNOTA))/SUMPRODUCT((nNIA=Y492)*(nCUENTA=1)*(COUNTIF(CONFIG_ASIGNATURAS!$B$7:$B$27,nASIG)&gt;0)*1),"")))</f>
        <v/>
      </c>
      <c r="AF492" t="str">
        <f>IF(AE492="","",IF(AE492="[FÓRMULA MANUAL]","",IFERROR(AVERAGEIFS(nNOTA,nNIA,AE492,nCUENTA,1,nASIG,"Análisis"),"")))</f>
        <v/>
      </c>
      <c r="AG492" t="str">
        <f>IF(AE492="","",IF(AE492="[FÓRMULA MANUAL]","",IFERROR(AVERAGEIFS(nNOTA,nNIA,AE492,nCUENTA,1,nASIG,"Orquesta/Banda/Conjunto"),"")))</f>
        <v/>
      </c>
      <c r="AH492" t="str">
        <f>IF(AE492="","",IF(AE492="[FÓRMULA MANUAL]","",IFERROR(AVERAGEIFS(nNOTA,nNIA,AE492,nCUENTA,1,nASIG,"Música de Cámara"),"")))</f>
        <v/>
      </c>
      <c r="AI492" t="str">
        <f>IF(AE492="","",IF(AE492="[FÓRMULA MANUAL]","",IFERROR(SUMPRODUCT((nNIA=AE492)*(nCUENTA=1)*(COUNTIF(CONFIG_ASIGNATURAS!$B$7:$B$27,nASIG)&gt;0)*(nNOTA))/SUMPRODUCT((nNIA=AE492)*(nCUENTA=1)*(COUNTIF(CONFIG_ASIGNATURAS!$B$7:$B$27,nASIG)&gt;0)*1),"")))</f>
        <v/>
      </c>
    </row>
    <row r="493" spans="2:35" x14ac:dyDescent="0.2">
      <c r="B493" t="str">
        <f>IF(A493="","",IF(A493="[FÓRMULA MANUAL]","",IFERROR(AVERAGEIFS(nNOTA,nNIA,A493,nCUENTA,1,nASIG,"Lenguaje Musical"),"")))</f>
        <v/>
      </c>
      <c r="C493" t="str">
        <f>IF(A493="","",IF(A493="[FÓRMULA MANUAL]","",IFERROR(AVERAGEIFS(nNOTA,nNIA,A493,nCUENTA,1,nASIG,"Orquesta/Banda/Conjunto"),"")))</f>
        <v/>
      </c>
      <c r="D493" t="str">
        <f>IF(A493="","",IF(A493="[FÓRMULA MANUAL]","",IFERROR(AVERAGEIFS(nNOTA,nNIA,A493,nCUENTA,1,nASIG,"Conjunto"),"")))</f>
        <v/>
      </c>
      <c r="E493" t="str">
        <f>IF(A493="","",IF(A493="[FÓRMULA MANUAL]","",IFERROR(SUMPRODUCT((nNIA=A493)*(nCUENTA=1)*(COUNTIF(CONFIG_ASIGNATURAS!$B$7:$B$27,nASIG)&gt;0)*(nNOTA))/SUMPRODUCT((nNIA=A493)*(nCUENTA=1)*(COUNTIF(CONFIG_ASIGNATURAS!$B$7:$B$27,nASIG)&gt;0)*1),"")))</f>
        <v/>
      </c>
      <c r="H493" t="str">
        <f>IF(G493="","",IF(G493="[FÓRMULA MANUAL]","",IFERROR(AVERAGEIFS(nNOTA,nNIA,G493,nCUENTA,1,nASIG,"Lenguaje Musical"),"")))</f>
        <v/>
      </c>
      <c r="I493" t="str">
        <f>IF(G493="","",IF(G493="[FÓRMULA MANUAL]","",IFERROR(AVERAGEIFS(nNOTA,nNIA,G493,nCUENTA,1,nASIG,"Orquesta/Banda/Conjunto"),"")))</f>
        <v/>
      </c>
      <c r="J493" t="str">
        <f>IF(G493="","",IF(G493="[FÓRMULA MANUAL]","",IFERROR(AVERAGEIFS(nNOTA,nNIA,G493,nCUENTA,1,nASIG,"Conjunto"),"")))</f>
        <v/>
      </c>
      <c r="K493" t="str">
        <f>IF(G493="","",IF(G493="[FÓRMULA MANUAL]","",IFERROR(SUMPRODUCT((nNIA=G493)*(nCUENTA=1)*(COUNTIF(CONFIG_ASIGNATURAS!$B$7:$B$27,nASIG)&gt;0)*(nNOTA))/SUMPRODUCT((nNIA=G493)*(nCUENTA=1)*(COUNTIF(CONFIG_ASIGNATURAS!$B$7:$B$27,nASIG)&gt;0)*1),"")))</f>
        <v/>
      </c>
      <c r="N493" t="str">
        <f>IF(M493="","",IF(M493="[FÓRMULA MANUAL]","",IFERROR(AVERAGEIFS(nNOTA,nNIA,M493,nCUENTA,1,nASIG,"Armonía"),"")))</f>
        <v/>
      </c>
      <c r="O493" t="str">
        <f>IF(M493="","",IF(M493="[FÓRMULA MANUAL]","",IFERROR(AVERAGEIFS(nNOTA,nNIA,M493,nCUENTA,1,nASIG,"Orquesta/Banda/Conjunto"),"")))</f>
        <v/>
      </c>
      <c r="P493" t="str">
        <f>IF(M493="","",IF(M493="[FÓRMULA MANUAL]","",IFERROR(AVERAGEIFS(nNOTA,nNIA,M493,nCUENTA,1,nASIG,"Música de Cámara"),"")))</f>
        <v/>
      </c>
      <c r="Q493" t="str">
        <f>IF(M493="","",IF(M493="[FÓRMULA MANUAL]","",IFERROR(SUMPRODUCT((nNIA=M493)*(nCUENTA=1)*(COUNTIF(CONFIG_ASIGNATURAS!$B$7:$B$27,nASIG)&gt;0)*(nNOTA))/SUMPRODUCT((nNIA=M493)*(nCUENTA=1)*(COUNTIF(CONFIG_ASIGNATURAS!$B$7:$B$27,nASIG)&gt;0)*1),"")))</f>
        <v/>
      </c>
      <c r="T493" t="str">
        <f>IF(S493="","",IF(S493="[FÓRMULA MANUAL]","",IFERROR(AVERAGEIFS(nNOTA,nNIA,S493,nCUENTA,1,nASIG,"Armonía"),"")))</f>
        <v/>
      </c>
      <c r="U493" t="str">
        <f>IF(S493="","",IF(S493="[FÓRMULA MANUAL]","",IFERROR(AVERAGEIFS(nNOTA,nNIA,S493,nCUENTA,1,nASIG,"Orquesta/Banda/Conjunto"),"")))</f>
        <v/>
      </c>
      <c r="V493" t="str">
        <f>IF(S493="","",IF(S493="[FÓRMULA MANUAL]","",IFERROR(AVERAGEIFS(nNOTA,nNIA,S493,nCUENTA,1,nASIG,"Música de Cámara"),"")))</f>
        <v/>
      </c>
      <c r="W493" t="str">
        <f>IF(S493="","",IF(S493="[FÓRMULA MANUAL]","",IFERROR(SUMPRODUCT((nNIA=S493)*(nCUENTA=1)*(COUNTIF(CONFIG_ASIGNATURAS!$B$7:$B$27,nASIG)&gt;0)*(nNOTA))/SUMPRODUCT((nNIA=S493)*(nCUENTA=1)*(COUNTIF(CONFIG_ASIGNATURAS!$B$7:$B$27,nASIG)&gt;0)*1),"")))</f>
        <v/>
      </c>
      <c r="Z493" t="str">
        <f>IF(Y493="","",IF(Y493="[FÓRMULA MANUAL]","",IFERROR(AVERAGEIFS(nNOTA,nNIA,Y493,nCUENTA,1,nASIG,"Análisis"),"")))</f>
        <v/>
      </c>
      <c r="AA493" t="str">
        <f>IF(Y493="","",IF(Y493="[FÓRMULA MANUAL]","",IFERROR(AVERAGEIFS(nNOTA,nNIA,Y493,nCUENTA,1,nASIG,"Orquesta/Banda/Conjunto"),"")))</f>
        <v/>
      </c>
      <c r="AB493" t="str">
        <f>IF(Y493="","",IF(Y493="[FÓRMULA MANUAL]","",IFERROR(AVERAGEIFS(nNOTA,nNIA,Y493,nCUENTA,1,nASIG,"Música de Cámara"),"")))</f>
        <v/>
      </c>
      <c r="AC493" t="str">
        <f>IF(Y493="","",IF(Y493="[FÓRMULA MANUAL]","",IFERROR(SUMPRODUCT((nNIA=Y493)*(nCUENTA=1)*(COUNTIF(CONFIG_ASIGNATURAS!$B$7:$B$27,nASIG)&gt;0)*(nNOTA))/SUMPRODUCT((nNIA=Y493)*(nCUENTA=1)*(COUNTIF(CONFIG_ASIGNATURAS!$B$7:$B$27,nASIG)&gt;0)*1),"")))</f>
        <v/>
      </c>
      <c r="AF493" t="str">
        <f>IF(AE493="","",IF(AE493="[FÓRMULA MANUAL]","",IFERROR(AVERAGEIFS(nNOTA,nNIA,AE493,nCUENTA,1,nASIG,"Análisis"),"")))</f>
        <v/>
      </c>
      <c r="AG493" t="str">
        <f>IF(AE493="","",IF(AE493="[FÓRMULA MANUAL]","",IFERROR(AVERAGEIFS(nNOTA,nNIA,AE493,nCUENTA,1,nASIG,"Orquesta/Banda/Conjunto"),"")))</f>
        <v/>
      </c>
      <c r="AH493" t="str">
        <f>IF(AE493="","",IF(AE493="[FÓRMULA MANUAL]","",IFERROR(AVERAGEIFS(nNOTA,nNIA,AE493,nCUENTA,1,nASIG,"Música de Cámara"),"")))</f>
        <v/>
      </c>
      <c r="AI493" t="str">
        <f>IF(AE493="","",IF(AE493="[FÓRMULA MANUAL]","",IFERROR(SUMPRODUCT((nNIA=AE493)*(nCUENTA=1)*(COUNTIF(CONFIG_ASIGNATURAS!$B$7:$B$27,nASIG)&gt;0)*(nNOTA))/SUMPRODUCT((nNIA=AE493)*(nCUENTA=1)*(COUNTIF(CONFIG_ASIGNATURAS!$B$7:$B$27,nASIG)&gt;0)*1),"")))</f>
        <v/>
      </c>
    </row>
    <row r="494" spans="2:35" x14ac:dyDescent="0.2">
      <c r="B494" t="str">
        <f>IF(A494="","",IF(A494="[FÓRMULA MANUAL]","",IFERROR(AVERAGEIFS(nNOTA,nNIA,A494,nCUENTA,1,nASIG,"Lenguaje Musical"),"")))</f>
        <v/>
      </c>
      <c r="C494" t="str">
        <f>IF(A494="","",IF(A494="[FÓRMULA MANUAL]","",IFERROR(AVERAGEIFS(nNOTA,nNIA,A494,nCUENTA,1,nASIG,"Orquesta/Banda/Conjunto"),"")))</f>
        <v/>
      </c>
      <c r="D494" t="str">
        <f>IF(A494="","",IF(A494="[FÓRMULA MANUAL]","",IFERROR(AVERAGEIFS(nNOTA,nNIA,A494,nCUENTA,1,nASIG,"Conjunto"),"")))</f>
        <v/>
      </c>
      <c r="E494" t="str">
        <f>IF(A494="","",IF(A494="[FÓRMULA MANUAL]","",IFERROR(SUMPRODUCT((nNIA=A494)*(nCUENTA=1)*(COUNTIF(CONFIG_ASIGNATURAS!$B$7:$B$27,nASIG)&gt;0)*(nNOTA))/SUMPRODUCT((nNIA=A494)*(nCUENTA=1)*(COUNTIF(CONFIG_ASIGNATURAS!$B$7:$B$27,nASIG)&gt;0)*1),"")))</f>
        <v/>
      </c>
      <c r="H494" t="str">
        <f>IF(G494="","",IF(G494="[FÓRMULA MANUAL]","",IFERROR(AVERAGEIFS(nNOTA,nNIA,G494,nCUENTA,1,nASIG,"Lenguaje Musical"),"")))</f>
        <v/>
      </c>
      <c r="I494" t="str">
        <f>IF(G494="","",IF(G494="[FÓRMULA MANUAL]","",IFERROR(AVERAGEIFS(nNOTA,nNIA,G494,nCUENTA,1,nASIG,"Orquesta/Banda/Conjunto"),"")))</f>
        <v/>
      </c>
      <c r="J494" t="str">
        <f>IF(G494="","",IF(G494="[FÓRMULA MANUAL]","",IFERROR(AVERAGEIFS(nNOTA,nNIA,G494,nCUENTA,1,nASIG,"Conjunto"),"")))</f>
        <v/>
      </c>
      <c r="K494" t="str">
        <f>IF(G494="","",IF(G494="[FÓRMULA MANUAL]","",IFERROR(SUMPRODUCT((nNIA=G494)*(nCUENTA=1)*(COUNTIF(CONFIG_ASIGNATURAS!$B$7:$B$27,nASIG)&gt;0)*(nNOTA))/SUMPRODUCT((nNIA=G494)*(nCUENTA=1)*(COUNTIF(CONFIG_ASIGNATURAS!$B$7:$B$27,nASIG)&gt;0)*1),"")))</f>
        <v/>
      </c>
      <c r="N494" t="str">
        <f>IF(M494="","",IF(M494="[FÓRMULA MANUAL]","",IFERROR(AVERAGEIFS(nNOTA,nNIA,M494,nCUENTA,1,nASIG,"Armonía"),"")))</f>
        <v/>
      </c>
      <c r="O494" t="str">
        <f>IF(M494="","",IF(M494="[FÓRMULA MANUAL]","",IFERROR(AVERAGEIFS(nNOTA,nNIA,M494,nCUENTA,1,nASIG,"Orquesta/Banda/Conjunto"),"")))</f>
        <v/>
      </c>
      <c r="P494" t="str">
        <f>IF(M494="","",IF(M494="[FÓRMULA MANUAL]","",IFERROR(AVERAGEIFS(nNOTA,nNIA,M494,nCUENTA,1,nASIG,"Música de Cámara"),"")))</f>
        <v/>
      </c>
      <c r="Q494" t="str">
        <f>IF(M494="","",IF(M494="[FÓRMULA MANUAL]","",IFERROR(SUMPRODUCT((nNIA=M494)*(nCUENTA=1)*(COUNTIF(CONFIG_ASIGNATURAS!$B$7:$B$27,nASIG)&gt;0)*(nNOTA))/SUMPRODUCT((nNIA=M494)*(nCUENTA=1)*(COUNTIF(CONFIG_ASIGNATURAS!$B$7:$B$27,nASIG)&gt;0)*1),"")))</f>
        <v/>
      </c>
      <c r="T494" t="str">
        <f>IF(S494="","",IF(S494="[FÓRMULA MANUAL]","",IFERROR(AVERAGEIFS(nNOTA,nNIA,S494,nCUENTA,1,nASIG,"Armonía"),"")))</f>
        <v/>
      </c>
      <c r="U494" t="str">
        <f>IF(S494="","",IF(S494="[FÓRMULA MANUAL]","",IFERROR(AVERAGEIFS(nNOTA,nNIA,S494,nCUENTA,1,nASIG,"Orquesta/Banda/Conjunto"),"")))</f>
        <v/>
      </c>
      <c r="V494" t="str">
        <f>IF(S494="","",IF(S494="[FÓRMULA MANUAL]","",IFERROR(AVERAGEIFS(nNOTA,nNIA,S494,nCUENTA,1,nASIG,"Música de Cámara"),"")))</f>
        <v/>
      </c>
      <c r="W494" t="str">
        <f>IF(S494="","",IF(S494="[FÓRMULA MANUAL]","",IFERROR(SUMPRODUCT((nNIA=S494)*(nCUENTA=1)*(COUNTIF(CONFIG_ASIGNATURAS!$B$7:$B$27,nASIG)&gt;0)*(nNOTA))/SUMPRODUCT((nNIA=S494)*(nCUENTA=1)*(COUNTIF(CONFIG_ASIGNATURAS!$B$7:$B$27,nASIG)&gt;0)*1),"")))</f>
        <v/>
      </c>
      <c r="Z494" t="str">
        <f>IF(Y494="","",IF(Y494="[FÓRMULA MANUAL]","",IFERROR(AVERAGEIFS(nNOTA,nNIA,Y494,nCUENTA,1,nASIG,"Análisis"),"")))</f>
        <v/>
      </c>
      <c r="AA494" t="str">
        <f>IF(Y494="","",IF(Y494="[FÓRMULA MANUAL]","",IFERROR(AVERAGEIFS(nNOTA,nNIA,Y494,nCUENTA,1,nASIG,"Orquesta/Banda/Conjunto"),"")))</f>
        <v/>
      </c>
      <c r="AB494" t="str">
        <f>IF(Y494="","",IF(Y494="[FÓRMULA MANUAL]","",IFERROR(AVERAGEIFS(nNOTA,nNIA,Y494,nCUENTA,1,nASIG,"Música de Cámara"),"")))</f>
        <v/>
      </c>
      <c r="AC494" t="str">
        <f>IF(Y494="","",IF(Y494="[FÓRMULA MANUAL]","",IFERROR(SUMPRODUCT((nNIA=Y494)*(nCUENTA=1)*(COUNTIF(CONFIG_ASIGNATURAS!$B$7:$B$27,nASIG)&gt;0)*(nNOTA))/SUMPRODUCT((nNIA=Y494)*(nCUENTA=1)*(COUNTIF(CONFIG_ASIGNATURAS!$B$7:$B$27,nASIG)&gt;0)*1),"")))</f>
        <v/>
      </c>
      <c r="AF494" t="str">
        <f>IF(AE494="","",IF(AE494="[FÓRMULA MANUAL]","",IFERROR(AVERAGEIFS(nNOTA,nNIA,AE494,nCUENTA,1,nASIG,"Análisis"),"")))</f>
        <v/>
      </c>
      <c r="AG494" t="str">
        <f>IF(AE494="","",IF(AE494="[FÓRMULA MANUAL]","",IFERROR(AVERAGEIFS(nNOTA,nNIA,AE494,nCUENTA,1,nASIG,"Orquesta/Banda/Conjunto"),"")))</f>
        <v/>
      </c>
      <c r="AH494" t="str">
        <f>IF(AE494="","",IF(AE494="[FÓRMULA MANUAL]","",IFERROR(AVERAGEIFS(nNOTA,nNIA,AE494,nCUENTA,1,nASIG,"Música de Cámara"),"")))</f>
        <v/>
      </c>
      <c r="AI494" t="str">
        <f>IF(AE494="","",IF(AE494="[FÓRMULA MANUAL]","",IFERROR(SUMPRODUCT((nNIA=AE494)*(nCUENTA=1)*(COUNTIF(CONFIG_ASIGNATURAS!$B$7:$B$27,nASIG)&gt;0)*(nNOTA))/SUMPRODUCT((nNIA=AE494)*(nCUENTA=1)*(COUNTIF(CONFIG_ASIGNATURAS!$B$7:$B$27,nASIG)&gt;0)*1),"")))</f>
        <v/>
      </c>
    </row>
    <row r="495" spans="2:35" x14ac:dyDescent="0.2">
      <c r="B495" t="str">
        <f>IF(A495="","",IF(A495="[FÓRMULA MANUAL]","",IFERROR(AVERAGEIFS(nNOTA,nNIA,A495,nCUENTA,1,nASIG,"Lenguaje Musical"),"")))</f>
        <v/>
      </c>
      <c r="C495" t="str">
        <f>IF(A495="","",IF(A495="[FÓRMULA MANUAL]","",IFERROR(AVERAGEIFS(nNOTA,nNIA,A495,nCUENTA,1,nASIG,"Orquesta/Banda/Conjunto"),"")))</f>
        <v/>
      </c>
      <c r="D495" t="str">
        <f>IF(A495="","",IF(A495="[FÓRMULA MANUAL]","",IFERROR(AVERAGEIFS(nNOTA,nNIA,A495,nCUENTA,1,nASIG,"Conjunto"),"")))</f>
        <v/>
      </c>
      <c r="E495" t="str">
        <f>IF(A495="","",IF(A495="[FÓRMULA MANUAL]","",IFERROR(SUMPRODUCT((nNIA=A495)*(nCUENTA=1)*(COUNTIF(CONFIG_ASIGNATURAS!$B$7:$B$27,nASIG)&gt;0)*(nNOTA))/SUMPRODUCT((nNIA=A495)*(nCUENTA=1)*(COUNTIF(CONFIG_ASIGNATURAS!$B$7:$B$27,nASIG)&gt;0)*1),"")))</f>
        <v/>
      </c>
      <c r="H495" t="str">
        <f>IF(G495="","",IF(G495="[FÓRMULA MANUAL]","",IFERROR(AVERAGEIFS(nNOTA,nNIA,G495,nCUENTA,1,nASIG,"Lenguaje Musical"),"")))</f>
        <v/>
      </c>
      <c r="I495" t="str">
        <f>IF(G495="","",IF(G495="[FÓRMULA MANUAL]","",IFERROR(AVERAGEIFS(nNOTA,nNIA,G495,nCUENTA,1,nASIG,"Orquesta/Banda/Conjunto"),"")))</f>
        <v/>
      </c>
      <c r="J495" t="str">
        <f>IF(G495="","",IF(G495="[FÓRMULA MANUAL]","",IFERROR(AVERAGEIFS(nNOTA,nNIA,G495,nCUENTA,1,nASIG,"Conjunto"),"")))</f>
        <v/>
      </c>
      <c r="K495" t="str">
        <f>IF(G495="","",IF(G495="[FÓRMULA MANUAL]","",IFERROR(SUMPRODUCT((nNIA=G495)*(nCUENTA=1)*(COUNTIF(CONFIG_ASIGNATURAS!$B$7:$B$27,nASIG)&gt;0)*(nNOTA))/SUMPRODUCT((nNIA=G495)*(nCUENTA=1)*(COUNTIF(CONFIG_ASIGNATURAS!$B$7:$B$27,nASIG)&gt;0)*1),"")))</f>
        <v/>
      </c>
      <c r="N495" t="str">
        <f>IF(M495="","",IF(M495="[FÓRMULA MANUAL]","",IFERROR(AVERAGEIFS(nNOTA,nNIA,M495,nCUENTA,1,nASIG,"Armonía"),"")))</f>
        <v/>
      </c>
      <c r="O495" t="str">
        <f>IF(M495="","",IF(M495="[FÓRMULA MANUAL]","",IFERROR(AVERAGEIFS(nNOTA,nNIA,M495,nCUENTA,1,nASIG,"Orquesta/Banda/Conjunto"),"")))</f>
        <v/>
      </c>
      <c r="P495" t="str">
        <f>IF(M495="","",IF(M495="[FÓRMULA MANUAL]","",IFERROR(AVERAGEIFS(nNOTA,nNIA,M495,nCUENTA,1,nASIG,"Música de Cámara"),"")))</f>
        <v/>
      </c>
      <c r="Q495" t="str">
        <f>IF(M495="","",IF(M495="[FÓRMULA MANUAL]","",IFERROR(SUMPRODUCT((nNIA=M495)*(nCUENTA=1)*(COUNTIF(CONFIG_ASIGNATURAS!$B$7:$B$27,nASIG)&gt;0)*(nNOTA))/SUMPRODUCT((nNIA=M495)*(nCUENTA=1)*(COUNTIF(CONFIG_ASIGNATURAS!$B$7:$B$27,nASIG)&gt;0)*1),"")))</f>
        <v/>
      </c>
      <c r="T495" t="str">
        <f>IF(S495="","",IF(S495="[FÓRMULA MANUAL]","",IFERROR(AVERAGEIFS(nNOTA,nNIA,S495,nCUENTA,1,nASIG,"Armonía"),"")))</f>
        <v/>
      </c>
      <c r="U495" t="str">
        <f>IF(S495="","",IF(S495="[FÓRMULA MANUAL]","",IFERROR(AVERAGEIFS(nNOTA,nNIA,S495,nCUENTA,1,nASIG,"Orquesta/Banda/Conjunto"),"")))</f>
        <v/>
      </c>
      <c r="V495" t="str">
        <f>IF(S495="","",IF(S495="[FÓRMULA MANUAL]","",IFERROR(AVERAGEIFS(nNOTA,nNIA,S495,nCUENTA,1,nASIG,"Música de Cámara"),"")))</f>
        <v/>
      </c>
      <c r="W495" t="str">
        <f>IF(S495="","",IF(S495="[FÓRMULA MANUAL]","",IFERROR(SUMPRODUCT((nNIA=S495)*(nCUENTA=1)*(COUNTIF(CONFIG_ASIGNATURAS!$B$7:$B$27,nASIG)&gt;0)*(nNOTA))/SUMPRODUCT((nNIA=S495)*(nCUENTA=1)*(COUNTIF(CONFIG_ASIGNATURAS!$B$7:$B$27,nASIG)&gt;0)*1),"")))</f>
        <v/>
      </c>
      <c r="Z495" t="str">
        <f>IF(Y495="","",IF(Y495="[FÓRMULA MANUAL]","",IFERROR(AVERAGEIFS(nNOTA,nNIA,Y495,nCUENTA,1,nASIG,"Análisis"),"")))</f>
        <v/>
      </c>
      <c r="AA495" t="str">
        <f>IF(Y495="","",IF(Y495="[FÓRMULA MANUAL]","",IFERROR(AVERAGEIFS(nNOTA,nNIA,Y495,nCUENTA,1,nASIG,"Orquesta/Banda/Conjunto"),"")))</f>
        <v/>
      </c>
      <c r="AB495" t="str">
        <f>IF(Y495="","",IF(Y495="[FÓRMULA MANUAL]","",IFERROR(AVERAGEIFS(nNOTA,nNIA,Y495,nCUENTA,1,nASIG,"Música de Cámara"),"")))</f>
        <v/>
      </c>
      <c r="AC495" t="str">
        <f>IF(Y495="","",IF(Y495="[FÓRMULA MANUAL]","",IFERROR(SUMPRODUCT((nNIA=Y495)*(nCUENTA=1)*(COUNTIF(CONFIG_ASIGNATURAS!$B$7:$B$27,nASIG)&gt;0)*(nNOTA))/SUMPRODUCT((nNIA=Y495)*(nCUENTA=1)*(COUNTIF(CONFIG_ASIGNATURAS!$B$7:$B$27,nASIG)&gt;0)*1),"")))</f>
        <v/>
      </c>
      <c r="AF495" t="str">
        <f>IF(AE495="","",IF(AE495="[FÓRMULA MANUAL]","",IFERROR(AVERAGEIFS(nNOTA,nNIA,AE495,nCUENTA,1,nASIG,"Análisis"),"")))</f>
        <v/>
      </c>
      <c r="AG495" t="str">
        <f>IF(AE495="","",IF(AE495="[FÓRMULA MANUAL]","",IFERROR(AVERAGEIFS(nNOTA,nNIA,AE495,nCUENTA,1,nASIG,"Orquesta/Banda/Conjunto"),"")))</f>
        <v/>
      </c>
      <c r="AH495" t="str">
        <f>IF(AE495="","",IF(AE495="[FÓRMULA MANUAL]","",IFERROR(AVERAGEIFS(nNOTA,nNIA,AE495,nCUENTA,1,nASIG,"Música de Cámara"),"")))</f>
        <v/>
      </c>
      <c r="AI495" t="str">
        <f>IF(AE495="","",IF(AE495="[FÓRMULA MANUAL]","",IFERROR(SUMPRODUCT((nNIA=AE495)*(nCUENTA=1)*(COUNTIF(CONFIG_ASIGNATURAS!$B$7:$B$27,nASIG)&gt;0)*(nNOTA))/SUMPRODUCT((nNIA=AE495)*(nCUENTA=1)*(COUNTIF(CONFIG_ASIGNATURAS!$B$7:$B$27,nASIG)&gt;0)*1),"")))</f>
        <v/>
      </c>
    </row>
    <row r="496" spans="2:35" x14ac:dyDescent="0.2">
      <c r="B496" t="str">
        <f>IF(A496="","",IF(A496="[FÓRMULA MANUAL]","",IFERROR(AVERAGEIFS(nNOTA,nNIA,A496,nCUENTA,1,nASIG,"Lenguaje Musical"),"")))</f>
        <v/>
      </c>
      <c r="C496" t="str">
        <f>IF(A496="","",IF(A496="[FÓRMULA MANUAL]","",IFERROR(AVERAGEIFS(nNOTA,nNIA,A496,nCUENTA,1,nASIG,"Orquesta/Banda/Conjunto"),"")))</f>
        <v/>
      </c>
      <c r="D496" t="str">
        <f>IF(A496="","",IF(A496="[FÓRMULA MANUAL]","",IFERROR(AVERAGEIFS(nNOTA,nNIA,A496,nCUENTA,1,nASIG,"Conjunto"),"")))</f>
        <v/>
      </c>
      <c r="E496" t="str">
        <f>IF(A496="","",IF(A496="[FÓRMULA MANUAL]","",IFERROR(SUMPRODUCT((nNIA=A496)*(nCUENTA=1)*(COUNTIF(CONFIG_ASIGNATURAS!$B$7:$B$27,nASIG)&gt;0)*(nNOTA))/SUMPRODUCT((nNIA=A496)*(nCUENTA=1)*(COUNTIF(CONFIG_ASIGNATURAS!$B$7:$B$27,nASIG)&gt;0)*1),"")))</f>
        <v/>
      </c>
      <c r="H496" t="str">
        <f>IF(G496="","",IF(G496="[FÓRMULA MANUAL]","",IFERROR(AVERAGEIFS(nNOTA,nNIA,G496,nCUENTA,1,nASIG,"Lenguaje Musical"),"")))</f>
        <v/>
      </c>
      <c r="I496" t="str">
        <f>IF(G496="","",IF(G496="[FÓRMULA MANUAL]","",IFERROR(AVERAGEIFS(nNOTA,nNIA,G496,nCUENTA,1,nASIG,"Orquesta/Banda/Conjunto"),"")))</f>
        <v/>
      </c>
      <c r="J496" t="str">
        <f>IF(G496="","",IF(G496="[FÓRMULA MANUAL]","",IFERROR(AVERAGEIFS(nNOTA,nNIA,G496,nCUENTA,1,nASIG,"Conjunto"),"")))</f>
        <v/>
      </c>
      <c r="K496" t="str">
        <f>IF(G496="","",IF(G496="[FÓRMULA MANUAL]","",IFERROR(SUMPRODUCT((nNIA=G496)*(nCUENTA=1)*(COUNTIF(CONFIG_ASIGNATURAS!$B$7:$B$27,nASIG)&gt;0)*(nNOTA))/SUMPRODUCT((nNIA=G496)*(nCUENTA=1)*(COUNTIF(CONFIG_ASIGNATURAS!$B$7:$B$27,nASIG)&gt;0)*1),"")))</f>
        <v/>
      </c>
      <c r="N496" t="str">
        <f>IF(M496="","",IF(M496="[FÓRMULA MANUAL]","",IFERROR(AVERAGEIFS(nNOTA,nNIA,M496,nCUENTA,1,nASIG,"Armonía"),"")))</f>
        <v/>
      </c>
      <c r="O496" t="str">
        <f>IF(M496="","",IF(M496="[FÓRMULA MANUAL]","",IFERROR(AVERAGEIFS(nNOTA,nNIA,M496,nCUENTA,1,nASIG,"Orquesta/Banda/Conjunto"),"")))</f>
        <v/>
      </c>
      <c r="P496" t="str">
        <f>IF(M496="","",IF(M496="[FÓRMULA MANUAL]","",IFERROR(AVERAGEIFS(nNOTA,nNIA,M496,nCUENTA,1,nASIG,"Música de Cámara"),"")))</f>
        <v/>
      </c>
      <c r="Q496" t="str">
        <f>IF(M496="","",IF(M496="[FÓRMULA MANUAL]","",IFERROR(SUMPRODUCT((nNIA=M496)*(nCUENTA=1)*(COUNTIF(CONFIG_ASIGNATURAS!$B$7:$B$27,nASIG)&gt;0)*(nNOTA))/SUMPRODUCT((nNIA=M496)*(nCUENTA=1)*(COUNTIF(CONFIG_ASIGNATURAS!$B$7:$B$27,nASIG)&gt;0)*1),"")))</f>
        <v/>
      </c>
      <c r="T496" t="str">
        <f>IF(S496="","",IF(S496="[FÓRMULA MANUAL]","",IFERROR(AVERAGEIFS(nNOTA,nNIA,S496,nCUENTA,1,nASIG,"Armonía"),"")))</f>
        <v/>
      </c>
      <c r="U496" t="str">
        <f>IF(S496="","",IF(S496="[FÓRMULA MANUAL]","",IFERROR(AVERAGEIFS(nNOTA,nNIA,S496,nCUENTA,1,nASIG,"Orquesta/Banda/Conjunto"),"")))</f>
        <v/>
      </c>
      <c r="V496" t="str">
        <f>IF(S496="","",IF(S496="[FÓRMULA MANUAL]","",IFERROR(AVERAGEIFS(nNOTA,nNIA,S496,nCUENTA,1,nASIG,"Música de Cámara"),"")))</f>
        <v/>
      </c>
      <c r="W496" t="str">
        <f>IF(S496="","",IF(S496="[FÓRMULA MANUAL]","",IFERROR(SUMPRODUCT((nNIA=S496)*(nCUENTA=1)*(COUNTIF(CONFIG_ASIGNATURAS!$B$7:$B$27,nASIG)&gt;0)*(nNOTA))/SUMPRODUCT((nNIA=S496)*(nCUENTA=1)*(COUNTIF(CONFIG_ASIGNATURAS!$B$7:$B$27,nASIG)&gt;0)*1),"")))</f>
        <v/>
      </c>
      <c r="Z496" t="str">
        <f>IF(Y496="","",IF(Y496="[FÓRMULA MANUAL]","",IFERROR(AVERAGEIFS(nNOTA,nNIA,Y496,nCUENTA,1,nASIG,"Análisis"),"")))</f>
        <v/>
      </c>
      <c r="AA496" t="str">
        <f>IF(Y496="","",IF(Y496="[FÓRMULA MANUAL]","",IFERROR(AVERAGEIFS(nNOTA,nNIA,Y496,nCUENTA,1,nASIG,"Orquesta/Banda/Conjunto"),"")))</f>
        <v/>
      </c>
      <c r="AB496" t="str">
        <f>IF(Y496="","",IF(Y496="[FÓRMULA MANUAL]","",IFERROR(AVERAGEIFS(nNOTA,nNIA,Y496,nCUENTA,1,nASIG,"Música de Cámara"),"")))</f>
        <v/>
      </c>
      <c r="AC496" t="str">
        <f>IF(Y496="","",IF(Y496="[FÓRMULA MANUAL]","",IFERROR(SUMPRODUCT((nNIA=Y496)*(nCUENTA=1)*(COUNTIF(CONFIG_ASIGNATURAS!$B$7:$B$27,nASIG)&gt;0)*(nNOTA))/SUMPRODUCT((nNIA=Y496)*(nCUENTA=1)*(COUNTIF(CONFIG_ASIGNATURAS!$B$7:$B$27,nASIG)&gt;0)*1),"")))</f>
        <v/>
      </c>
      <c r="AF496" t="str">
        <f>IF(AE496="","",IF(AE496="[FÓRMULA MANUAL]","",IFERROR(AVERAGEIFS(nNOTA,nNIA,AE496,nCUENTA,1,nASIG,"Análisis"),"")))</f>
        <v/>
      </c>
      <c r="AG496" t="str">
        <f>IF(AE496="","",IF(AE496="[FÓRMULA MANUAL]","",IFERROR(AVERAGEIFS(nNOTA,nNIA,AE496,nCUENTA,1,nASIG,"Orquesta/Banda/Conjunto"),"")))</f>
        <v/>
      </c>
      <c r="AH496" t="str">
        <f>IF(AE496="","",IF(AE496="[FÓRMULA MANUAL]","",IFERROR(AVERAGEIFS(nNOTA,nNIA,AE496,nCUENTA,1,nASIG,"Música de Cámara"),"")))</f>
        <v/>
      </c>
      <c r="AI496" t="str">
        <f>IF(AE496="","",IF(AE496="[FÓRMULA MANUAL]","",IFERROR(SUMPRODUCT((nNIA=AE496)*(nCUENTA=1)*(COUNTIF(CONFIG_ASIGNATURAS!$B$7:$B$27,nASIG)&gt;0)*(nNOTA))/SUMPRODUCT((nNIA=AE496)*(nCUENTA=1)*(COUNTIF(CONFIG_ASIGNATURAS!$B$7:$B$27,nASIG)&gt;0)*1),"")))</f>
        <v/>
      </c>
    </row>
    <row r="497" spans="2:35" x14ac:dyDescent="0.2">
      <c r="B497" t="str">
        <f>IF(A497="","",IF(A497="[FÓRMULA MANUAL]","",IFERROR(AVERAGEIFS(nNOTA,nNIA,A497,nCUENTA,1,nASIG,"Lenguaje Musical"),"")))</f>
        <v/>
      </c>
      <c r="C497" t="str">
        <f>IF(A497="","",IF(A497="[FÓRMULA MANUAL]","",IFERROR(AVERAGEIFS(nNOTA,nNIA,A497,nCUENTA,1,nASIG,"Orquesta/Banda/Conjunto"),"")))</f>
        <v/>
      </c>
      <c r="D497" t="str">
        <f>IF(A497="","",IF(A497="[FÓRMULA MANUAL]","",IFERROR(AVERAGEIFS(nNOTA,nNIA,A497,nCUENTA,1,nASIG,"Conjunto"),"")))</f>
        <v/>
      </c>
      <c r="E497" t="str">
        <f>IF(A497="","",IF(A497="[FÓRMULA MANUAL]","",IFERROR(SUMPRODUCT((nNIA=A497)*(nCUENTA=1)*(COUNTIF(CONFIG_ASIGNATURAS!$B$7:$B$27,nASIG)&gt;0)*(nNOTA))/SUMPRODUCT((nNIA=A497)*(nCUENTA=1)*(COUNTIF(CONFIG_ASIGNATURAS!$B$7:$B$27,nASIG)&gt;0)*1),"")))</f>
        <v/>
      </c>
      <c r="H497" t="str">
        <f>IF(G497="","",IF(G497="[FÓRMULA MANUAL]","",IFERROR(AVERAGEIFS(nNOTA,nNIA,G497,nCUENTA,1,nASIG,"Lenguaje Musical"),"")))</f>
        <v/>
      </c>
      <c r="I497" t="str">
        <f>IF(G497="","",IF(G497="[FÓRMULA MANUAL]","",IFERROR(AVERAGEIFS(nNOTA,nNIA,G497,nCUENTA,1,nASIG,"Orquesta/Banda/Conjunto"),"")))</f>
        <v/>
      </c>
      <c r="J497" t="str">
        <f>IF(G497="","",IF(G497="[FÓRMULA MANUAL]","",IFERROR(AVERAGEIFS(nNOTA,nNIA,G497,nCUENTA,1,nASIG,"Conjunto"),"")))</f>
        <v/>
      </c>
      <c r="K497" t="str">
        <f>IF(G497="","",IF(G497="[FÓRMULA MANUAL]","",IFERROR(SUMPRODUCT((nNIA=G497)*(nCUENTA=1)*(COUNTIF(CONFIG_ASIGNATURAS!$B$7:$B$27,nASIG)&gt;0)*(nNOTA))/SUMPRODUCT((nNIA=G497)*(nCUENTA=1)*(COUNTIF(CONFIG_ASIGNATURAS!$B$7:$B$27,nASIG)&gt;0)*1),"")))</f>
        <v/>
      </c>
      <c r="N497" t="str">
        <f>IF(M497="","",IF(M497="[FÓRMULA MANUAL]","",IFERROR(AVERAGEIFS(nNOTA,nNIA,M497,nCUENTA,1,nASIG,"Armonía"),"")))</f>
        <v/>
      </c>
      <c r="O497" t="str">
        <f>IF(M497="","",IF(M497="[FÓRMULA MANUAL]","",IFERROR(AVERAGEIFS(nNOTA,nNIA,M497,nCUENTA,1,nASIG,"Orquesta/Banda/Conjunto"),"")))</f>
        <v/>
      </c>
      <c r="P497" t="str">
        <f>IF(M497="","",IF(M497="[FÓRMULA MANUAL]","",IFERROR(AVERAGEIFS(nNOTA,nNIA,M497,nCUENTA,1,nASIG,"Música de Cámara"),"")))</f>
        <v/>
      </c>
      <c r="Q497" t="str">
        <f>IF(M497="","",IF(M497="[FÓRMULA MANUAL]","",IFERROR(SUMPRODUCT((nNIA=M497)*(nCUENTA=1)*(COUNTIF(CONFIG_ASIGNATURAS!$B$7:$B$27,nASIG)&gt;0)*(nNOTA))/SUMPRODUCT((nNIA=M497)*(nCUENTA=1)*(COUNTIF(CONFIG_ASIGNATURAS!$B$7:$B$27,nASIG)&gt;0)*1),"")))</f>
        <v/>
      </c>
      <c r="T497" t="str">
        <f>IF(S497="","",IF(S497="[FÓRMULA MANUAL]","",IFERROR(AVERAGEIFS(nNOTA,nNIA,S497,nCUENTA,1,nASIG,"Armonía"),"")))</f>
        <v/>
      </c>
      <c r="U497" t="str">
        <f>IF(S497="","",IF(S497="[FÓRMULA MANUAL]","",IFERROR(AVERAGEIFS(nNOTA,nNIA,S497,nCUENTA,1,nASIG,"Orquesta/Banda/Conjunto"),"")))</f>
        <v/>
      </c>
      <c r="V497" t="str">
        <f>IF(S497="","",IF(S497="[FÓRMULA MANUAL]","",IFERROR(AVERAGEIFS(nNOTA,nNIA,S497,nCUENTA,1,nASIG,"Música de Cámara"),"")))</f>
        <v/>
      </c>
      <c r="W497" t="str">
        <f>IF(S497="","",IF(S497="[FÓRMULA MANUAL]","",IFERROR(SUMPRODUCT((nNIA=S497)*(nCUENTA=1)*(COUNTIF(CONFIG_ASIGNATURAS!$B$7:$B$27,nASIG)&gt;0)*(nNOTA))/SUMPRODUCT((nNIA=S497)*(nCUENTA=1)*(COUNTIF(CONFIG_ASIGNATURAS!$B$7:$B$27,nASIG)&gt;0)*1),"")))</f>
        <v/>
      </c>
      <c r="Z497" t="str">
        <f>IF(Y497="","",IF(Y497="[FÓRMULA MANUAL]","",IFERROR(AVERAGEIFS(nNOTA,nNIA,Y497,nCUENTA,1,nASIG,"Análisis"),"")))</f>
        <v/>
      </c>
      <c r="AA497" t="str">
        <f>IF(Y497="","",IF(Y497="[FÓRMULA MANUAL]","",IFERROR(AVERAGEIFS(nNOTA,nNIA,Y497,nCUENTA,1,nASIG,"Orquesta/Banda/Conjunto"),"")))</f>
        <v/>
      </c>
      <c r="AB497" t="str">
        <f>IF(Y497="","",IF(Y497="[FÓRMULA MANUAL]","",IFERROR(AVERAGEIFS(nNOTA,nNIA,Y497,nCUENTA,1,nASIG,"Música de Cámara"),"")))</f>
        <v/>
      </c>
      <c r="AC497" t="str">
        <f>IF(Y497="","",IF(Y497="[FÓRMULA MANUAL]","",IFERROR(SUMPRODUCT((nNIA=Y497)*(nCUENTA=1)*(COUNTIF(CONFIG_ASIGNATURAS!$B$7:$B$27,nASIG)&gt;0)*(nNOTA))/SUMPRODUCT((nNIA=Y497)*(nCUENTA=1)*(COUNTIF(CONFIG_ASIGNATURAS!$B$7:$B$27,nASIG)&gt;0)*1),"")))</f>
        <v/>
      </c>
      <c r="AF497" t="str">
        <f>IF(AE497="","",IF(AE497="[FÓRMULA MANUAL]","",IFERROR(AVERAGEIFS(nNOTA,nNIA,AE497,nCUENTA,1,nASIG,"Análisis"),"")))</f>
        <v/>
      </c>
      <c r="AG497" t="str">
        <f>IF(AE497="","",IF(AE497="[FÓRMULA MANUAL]","",IFERROR(AVERAGEIFS(nNOTA,nNIA,AE497,nCUENTA,1,nASIG,"Orquesta/Banda/Conjunto"),"")))</f>
        <v/>
      </c>
      <c r="AH497" t="str">
        <f>IF(AE497="","",IF(AE497="[FÓRMULA MANUAL]","",IFERROR(AVERAGEIFS(nNOTA,nNIA,AE497,nCUENTA,1,nASIG,"Música de Cámara"),"")))</f>
        <v/>
      </c>
      <c r="AI497" t="str">
        <f>IF(AE497="","",IF(AE497="[FÓRMULA MANUAL]","",IFERROR(SUMPRODUCT((nNIA=AE497)*(nCUENTA=1)*(COUNTIF(CONFIG_ASIGNATURAS!$B$7:$B$27,nASIG)&gt;0)*(nNOTA))/SUMPRODUCT((nNIA=AE497)*(nCUENTA=1)*(COUNTIF(CONFIG_ASIGNATURAS!$B$7:$B$27,nASIG)&gt;0)*1),"")))</f>
        <v/>
      </c>
    </row>
    <row r="498" spans="2:35" x14ac:dyDescent="0.2">
      <c r="B498" t="str">
        <f>IF(A498="","",IF(A498="[FÓRMULA MANUAL]","",IFERROR(AVERAGEIFS(nNOTA,nNIA,A498,nCUENTA,1,nASIG,"Lenguaje Musical"),"")))</f>
        <v/>
      </c>
      <c r="C498" t="str">
        <f>IF(A498="","",IF(A498="[FÓRMULA MANUAL]","",IFERROR(AVERAGEIFS(nNOTA,nNIA,A498,nCUENTA,1,nASIG,"Orquesta/Banda/Conjunto"),"")))</f>
        <v/>
      </c>
      <c r="D498" t="str">
        <f>IF(A498="","",IF(A498="[FÓRMULA MANUAL]","",IFERROR(AVERAGEIFS(nNOTA,nNIA,A498,nCUENTA,1,nASIG,"Conjunto"),"")))</f>
        <v/>
      </c>
      <c r="E498" t="str">
        <f>IF(A498="","",IF(A498="[FÓRMULA MANUAL]","",IFERROR(SUMPRODUCT((nNIA=A498)*(nCUENTA=1)*(COUNTIF(CONFIG_ASIGNATURAS!$B$7:$B$27,nASIG)&gt;0)*(nNOTA))/SUMPRODUCT((nNIA=A498)*(nCUENTA=1)*(COUNTIF(CONFIG_ASIGNATURAS!$B$7:$B$27,nASIG)&gt;0)*1),"")))</f>
        <v/>
      </c>
      <c r="H498" t="str">
        <f>IF(G498="","",IF(G498="[FÓRMULA MANUAL]","",IFERROR(AVERAGEIFS(nNOTA,nNIA,G498,nCUENTA,1,nASIG,"Lenguaje Musical"),"")))</f>
        <v/>
      </c>
      <c r="I498" t="str">
        <f>IF(G498="","",IF(G498="[FÓRMULA MANUAL]","",IFERROR(AVERAGEIFS(nNOTA,nNIA,G498,nCUENTA,1,nASIG,"Orquesta/Banda/Conjunto"),"")))</f>
        <v/>
      </c>
      <c r="J498" t="str">
        <f>IF(G498="","",IF(G498="[FÓRMULA MANUAL]","",IFERROR(AVERAGEIFS(nNOTA,nNIA,G498,nCUENTA,1,nASIG,"Conjunto"),"")))</f>
        <v/>
      </c>
      <c r="K498" t="str">
        <f>IF(G498="","",IF(G498="[FÓRMULA MANUAL]","",IFERROR(SUMPRODUCT((nNIA=G498)*(nCUENTA=1)*(COUNTIF(CONFIG_ASIGNATURAS!$B$7:$B$27,nASIG)&gt;0)*(nNOTA))/SUMPRODUCT((nNIA=G498)*(nCUENTA=1)*(COUNTIF(CONFIG_ASIGNATURAS!$B$7:$B$27,nASIG)&gt;0)*1),"")))</f>
        <v/>
      </c>
      <c r="N498" t="str">
        <f>IF(M498="","",IF(M498="[FÓRMULA MANUAL]","",IFERROR(AVERAGEIFS(nNOTA,nNIA,M498,nCUENTA,1,nASIG,"Armonía"),"")))</f>
        <v/>
      </c>
      <c r="O498" t="str">
        <f>IF(M498="","",IF(M498="[FÓRMULA MANUAL]","",IFERROR(AVERAGEIFS(nNOTA,nNIA,M498,nCUENTA,1,nASIG,"Orquesta/Banda/Conjunto"),"")))</f>
        <v/>
      </c>
      <c r="P498" t="str">
        <f>IF(M498="","",IF(M498="[FÓRMULA MANUAL]","",IFERROR(AVERAGEIFS(nNOTA,nNIA,M498,nCUENTA,1,nASIG,"Música de Cámara"),"")))</f>
        <v/>
      </c>
      <c r="Q498" t="str">
        <f>IF(M498="","",IF(M498="[FÓRMULA MANUAL]","",IFERROR(SUMPRODUCT((nNIA=M498)*(nCUENTA=1)*(COUNTIF(CONFIG_ASIGNATURAS!$B$7:$B$27,nASIG)&gt;0)*(nNOTA))/SUMPRODUCT((nNIA=M498)*(nCUENTA=1)*(COUNTIF(CONFIG_ASIGNATURAS!$B$7:$B$27,nASIG)&gt;0)*1),"")))</f>
        <v/>
      </c>
      <c r="T498" t="str">
        <f>IF(S498="","",IF(S498="[FÓRMULA MANUAL]","",IFERROR(AVERAGEIFS(nNOTA,nNIA,S498,nCUENTA,1,nASIG,"Armonía"),"")))</f>
        <v/>
      </c>
      <c r="U498" t="str">
        <f>IF(S498="","",IF(S498="[FÓRMULA MANUAL]","",IFERROR(AVERAGEIFS(nNOTA,nNIA,S498,nCUENTA,1,nASIG,"Orquesta/Banda/Conjunto"),"")))</f>
        <v/>
      </c>
      <c r="V498" t="str">
        <f>IF(S498="","",IF(S498="[FÓRMULA MANUAL]","",IFERROR(AVERAGEIFS(nNOTA,nNIA,S498,nCUENTA,1,nASIG,"Música de Cámara"),"")))</f>
        <v/>
      </c>
      <c r="W498" t="str">
        <f>IF(S498="","",IF(S498="[FÓRMULA MANUAL]","",IFERROR(SUMPRODUCT((nNIA=S498)*(nCUENTA=1)*(COUNTIF(CONFIG_ASIGNATURAS!$B$7:$B$27,nASIG)&gt;0)*(nNOTA))/SUMPRODUCT((nNIA=S498)*(nCUENTA=1)*(COUNTIF(CONFIG_ASIGNATURAS!$B$7:$B$27,nASIG)&gt;0)*1),"")))</f>
        <v/>
      </c>
      <c r="Z498" t="str">
        <f>IF(Y498="","",IF(Y498="[FÓRMULA MANUAL]","",IFERROR(AVERAGEIFS(nNOTA,nNIA,Y498,nCUENTA,1,nASIG,"Análisis"),"")))</f>
        <v/>
      </c>
      <c r="AA498" t="str">
        <f>IF(Y498="","",IF(Y498="[FÓRMULA MANUAL]","",IFERROR(AVERAGEIFS(nNOTA,nNIA,Y498,nCUENTA,1,nASIG,"Orquesta/Banda/Conjunto"),"")))</f>
        <v/>
      </c>
      <c r="AB498" t="str">
        <f>IF(Y498="","",IF(Y498="[FÓRMULA MANUAL]","",IFERROR(AVERAGEIFS(nNOTA,nNIA,Y498,nCUENTA,1,nASIG,"Música de Cámara"),"")))</f>
        <v/>
      </c>
      <c r="AC498" t="str">
        <f>IF(Y498="","",IF(Y498="[FÓRMULA MANUAL]","",IFERROR(SUMPRODUCT((nNIA=Y498)*(nCUENTA=1)*(COUNTIF(CONFIG_ASIGNATURAS!$B$7:$B$27,nASIG)&gt;0)*(nNOTA))/SUMPRODUCT((nNIA=Y498)*(nCUENTA=1)*(COUNTIF(CONFIG_ASIGNATURAS!$B$7:$B$27,nASIG)&gt;0)*1),"")))</f>
        <v/>
      </c>
      <c r="AF498" t="str">
        <f>IF(AE498="","",IF(AE498="[FÓRMULA MANUAL]","",IFERROR(AVERAGEIFS(nNOTA,nNIA,AE498,nCUENTA,1,nASIG,"Análisis"),"")))</f>
        <v/>
      </c>
      <c r="AG498" t="str">
        <f>IF(AE498="","",IF(AE498="[FÓRMULA MANUAL]","",IFERROR(AVERAGEIFS(nNOTA,nNIA,AE498,nCUENTA,1,nASIG,"Orquesta/Banda/Conjunto"),"")))</f>
        <v/>
      </c>
      <c r="AH498" t="str">
        <f>IF(AE498="","",IF(AE498="[FÓRMULA MANUAL]","",IFERROR(AVERAGEIFS(nNOTA,nNIA,AE498,nCUENTA,1,nASIG,"Música de Cámara"),"")))</f>
        <v/>
      </c>
      <c r="AI498" t="str">
        <f>IF(AE498="","",IF(AE498="[FÓRMULA MANUAL]","",IFERROR(SUMPRODUCT((nNIA=AE498)*(nCUENTA=1)*(COUNTIF(CONFIG_ASIGNATURAS!$B$7:$B$27,nASIG)&gt;0)*(nNOTA))/SUMPRODUCT((nNIA=AE498)*(nCUENTA=1)*(COUNTIF(CONFIG_ASIGNATURAS!$B$7:$B$27,nASIG)&gt;0)*1),"")))</f>
        <v/>
      </c>
    </row>
    <row r="499" spans="2:35" x14ac:dyDescent="0.2">
      <c r="B499" t="str">
        <f>IF(A499="","",IF(A499="[FÓRMULA MANUAL]","",IFERROR(AVERAGEIFS(nNOTA,nNIA,A499,nCUENTA,1,nASIG,"Lenguaje Musical"),"")))</f>
        <v/>
      </c>
      <c r="C499" t="str">
        <f>IF(A499="","",IF(A499="[FÓRMULA MANUAL]","",IFERROR(AVERAGEIFS(nNOTA,nNIA,A499,nCUENTA,1,nASIG,"Orquesta/Banda/Conjunto"),"")))</f>
        <v/>
      </c>
      <c r="D499" t="str">
        <f>IF(A499="","",IF(A499="[FÓRMULA MANUAL]","",IFERROR(AVERAGEIFS(nNOTA,nNIA,A499,nCUENTA,1,nASIG,"Conjunto"),"")))</f>
        <v/>
      </c>
      <c r="E499" t="str">
        <f>IF(A499="","",IF(A499="[FÓRMULA MANUAL]","",IFERROR(SUMPRODUCT((nNIA=A499)*(nCUENTA=1)*(COUNTIF(CONFIG_ASIGNATURAS!$B$7:$B$27,nASIG)&gt;0)*(nNOTA))/SUMPRODUCT((nNIA=A499)*(nCUENTA=1)*(COUNTIF(CONFIG_ASIGNATURAS!$B$7:$B$27,nASIG)&gt;0)*1),"")))</f>
        <v/>
      </c>
      <c r="H499" t="str">
        <f>IF(G499="","",IF(G499="[FÓRMULA MANUAL]","",IFERROR(AVERAGEIFS(nNOTA,nNIA,G499,nCUENTA,1,nASIG,"Lenguaje Musical"),"")))</f>
        <v/>
      </c>
      <c r="I499" t="str">
        <f>IF(G499="","",IF(G499="[FÓRMULA MANUAL]","",IFERROR(AVERAGEIFS(nNOTA,nNIA,G499,nCUENTA,1,nASIG,"Orquesta/Banda/Conjunto"),"")))</f>
        <v/>
      </c>
      <c r="J499" t="str">
        <f>IF(G499="","",IF(G499="[FÓRMULA MANUAL]","",IFERROR(AVERAGEIFS(nNOTA,nNIA,G499,nCUENTA,1,nASIG,"Conjunto"),"")))</f>
        <v/>
      </c>
      <c r="K499" t="str">
        <f>IF(G499="","",IF(G499="[FÓRMULA MANUAL]","",IFERROR(SUMPRODUCT((nNIA=G499)*(nCUENTA=1)*(COUNTIF(CONFIG_ASIGNATURAS!$B$7:$B$27,nASIG)&gt;0)*(nNOTA))/SUMPRODUCT((nNIA=G499)*(nCUENTA=1)*(COUNTIF(CONFIG_ASIGNATURAS!$B$7:$B$27,nASIG)&gt;0)*1),"")))</f>
        <v/>
      </c>
      <c r="N499" t="str">
        <f>IF(M499="","",IF(M499="[FÓRMULA MANUAL]","",IFERROR(AVERAGEIFS(nNOTA,nNIA,M499,nCUENTA,1,nASIG,"Armonía"),"")))</f>
        <v/>
      </c>
      <c r="O499" t="str">
        <f>IF(M499="","",IF(M499="[FÓRMULA MANUAL]","",IFERROR(AVERAGEIFS(nNOTA,nNIA,M499,nCUENTA,1,nASIG,"Orquesta/Banda/Conjunto"),"")))</f>
        <v/>
      </c>
      <c r="P499" t="str">
        <f>IF(M499="","",IF(M499="[FÓRMULA MANUAL]","",IFERROR(AVERAGEIFS(nNOTA,nNIA,M499,nCUENTA,1,nASIG,"Música de Cámara"),"")))</f>
        <v/>
      </c>
      <c r="Q499" t="str">
        <f>IF(M499="","",IF(M499="[FÓRMULA MANUAL]","",IFERROR(SUMPRODUCT((nNIA=M499)*(nCUENTA=1)*(COUNTIF(CONFIG_ASIGNATURAS!$B$7:$B$27,nASIG)&gt;0)*(nNOTA))/SUMPRODUCT((nNIA=M499)*(nCUENTA=1)*(COUNTIF(CONFIG_ASIGNATURAS!$B$7:$B$27,nASIG)&gt;0)*1),"")))</f>
        <v/>
      </c>
      <c r="T499" t="str">
        <f>IF(S499="","",IF(S499="[FÓRMULA MANUAL]","",IFERROR(AVERAGEIFS(nNOTA,nNIA,S499,nCUENTA,1,nASIG,"Armonía"),"")))</f>
        <v/>
      </c>
      <c r="U499" t="str">
        <f>IF(S499="","",IF(S499="[FÓRMULA MANUAL]","",IFERROR(AVERAGEIFS(nNOTA,nNIA,S499,nCUENTA,1,nASIG,"Orquesta/Banda/Conjunto"),"")))</f>
        <v/>
      </c>
      <c r="V499" t="str">
        <f>IF(S499="","",IF(S499="[FÓRMULA MANUAL]","",IFERROR(AVERAGEIFS(nNOTA,nNIA,S499,nCUENTA,1,nASIG,"Música de Cámara"),"")))</f>
        <v/>
      </c>
      <c r="W499" t="str">
        <f>IF(S499="","",IF(S499="[FÓRMULA MANUAL]","",IFERROR(SUMPRODUCT((nNIA=S499)*(nCUENTA=1)*(COUNTIF(CONFIG_ASIGNATURAS!$B$7:$B$27,nASIG)&gt;0)*(nNOTA))/SUMPRODUCT((nNIA=S499)*(nCUENTA=1)*(COUNTIF(CONFIG_ASIGNATURAS!$B$7:$B$27,nASIG)&gt;0)*1),"")))</f>
        <v/>
      </c>
      <c r="Z499" t="str">
        <f>IF(Y499="","",IF(Y499="[FÓRMULA MANUAL]","",IFERROR(AVERAGEIFS(nNOTA,nNIA,Y499,nCUENTA,1,nASIG,"Análisis"),"")))</f>
        <v/>
      </c>
      <c r="AA499" t="str">
        <f>IF(Y499="","",IF(Y499="[FÓRMULA MANUAL]","",IFERROR(AVERAGEIFS(nNOTA,nNIA,Y499,nCUENTA,1,nASIG,"Orquesta/Banda/Conjunto"),"")))</f>
        <v/>
      </c>
      <c r="AB499" t="str">
        <f>IF(Y499="","",IF(Y499="[FÓRMULA MANUAL]","",IFERROR(AVERAGEIFS(nNOTA,nNIA,Y499,nCUENTA,1,nASIG,"Música de Cámara"),"")))</f>
        <v/>
      </c>
      <c r="AC499" t="str">
        <f>IF(Y499="","",IF(Y499="[FÓRMULA MANUAL]","",IFERROR(SUMPRODUCT((nNIA=Y499)*(nCUENTA=1)*(COUNTIF(CONFIG_ASIGNATURAS!$B$7:$B$27,nASIG)&gt;0)*(nNOTA))/SUMPRODUCT((nNIA=Y499)*(nCUENTA=1)*(COUNTIF(CONFIG_ASIGNATURAS!$B$7:$B$27,nASIG)&gt;0)*1),"")))</f>
        <v/>
      </c>
      <c r="AF499" t="str">
        <f>IF(AE499="","",IF(AE499="[FÓRMULA MANUAL]","",IFERROR(AVERAGEIFS(nNOTA,nNIA,AE499,nCUENTA,1,nASIG,"Análisis"),"")))</f>
        <v/>
      </c>
      <c r="AG499" t="str">
        <f>IF(AE499="","",IF(AE499="[FÓRMULA MANUAL]","",IFERROR(AVERAGEIFS(nNOTA,nNIA,AE499,nCUENTA,1,nASIG,"Orquesta/Banda/Conjunto"),"")))</f>
        <v/>
      </c>
      <c r="AH499" t="str">
        <f>IF(AE499="","",IF(AE499="[FÓRMULA MANUAL]","",IFERROR(AVERAGEIFS(nNOTA,nNIA,AE499,nCUENTA,1,nASIG,"Música de Cámara"),"")))</f>
        <v/>
      </c>
      <c r="AI499" t="str">
        <f>IF(AE499="","",IF(AE499="[FÓRMULA MANUAL]","",IFERROR(SUMPRODUCT((nNIA=AE499)*(nCUENTA=1)*(COUNTIF(CONFIG_ASIGNATURAS!$B$7:$B$27,nASIG)&gt;0)*(nNOTA))/SUMPRODUCT((nNIA=AE499)*(nCUENTA=1)*(COUNTIF(CONFIG_ASIGNATURAS!$B$7:$B$27,nASIG)&gt;0)*1),"")))</f>
        <v/>
      </c>
    </row>
    <row r="500" spans="2:35" x14ac:dyDescent="0.2">
      <c r="B500" t="str">
        <f>IF(A500="","",IF(A500="[FÓRMULA MANUAL]","",IFERROR(AVERAGEIFS(nNOTA,nNIA,A500,nCUENTA,1,nASIG,"Lenguaje Musical"),"")))</f>
        <v/>
      </c>
      <c r="C500" t="str">
        <f>IF(A500="","",IF(A500="[FÓRMULA MANUAL]","",IFERROR(AVERAGEIFS(nNOTA,nNIA,A500,nCUENTA,1,nASIG,"Orquesta/Banda/Conjunto"),"")))</f>
        <v/>
      </c>
      <c r="D500" t="str">
        <f>IF(A500="","",IF(A500="[FÓRMULA MANUAL]","",IFERROR(AVERAGEIFS(nNOTA,nNIA,A500,nCUENTA,1,nASIG,"Conjunto"),"")))</f>
        <v/>
      </c>
      <c r="E500" t="str">
        <f>IF(A500="","",IF(A500="[FÓRMULA MANUAL]","",IFERROR(SUMPRODUCT((nNIA=A500)*(nCUENTA=1)*(COUNTIF(CONFIG_ASIGNATURAS!$B$7:$B$27,nASIG)&gt;0)*(nNOTA))/SUMPRODUCT((nNIA=A500)*(nCUENTA=1)*(COUNTIF(CONFIG_ASIGNATURAS!$B$7:$B$27,nASIG)&gt;0)*1),"")))</f>
        <v/>
      </c>
      <c r="H500" t="str">
        <f>IF(G500="","",IF(G500="[FÓRMULA MANUAL]","",IFERROR(AVERAGEIFS(nNOTA,nNIA,G500,nCUENTA,1,nASIG,"Lenguaje Musical"),"")))</f>
        <v/>
      </c>
      <c r="I500" t="str">
        <f>IF(G500="","",IF(G500="[FÓRMULA MANUAL]","",IFERROR(AVERAGEIFS(nNOTA,nNIA,G500,nCUENTA,1,nASIG,"Orquesta/Banda/Conjunto"),"")))</f>
        <v/>
      </c>
      <c r="J500" t="str">
        <f>IF(G500="","",IF(G500="[FÓRMULA MANUAL]","",IFERROR(AVERAGEIFS(nNOTA,nNIA,G500,nCUENTA,1,nASIG,"Conjunto"),"")))</f>
        <v/>
      </c>
      <c r="K500" t="str">
        <f>IF(G500="","",IF(G500="[FÓRMULA MANUAL]","",IFERROR(SUMPRODUCT((nNIA=G500)*(nCUENTA=1)*(COUNTIF(CONFIG_ASIGNATURAS!$B$7:$B$27,nASIG)&gt;0)*(nNOTA))/SUMPRODUCT((nNIA=G500)*(nCUENTA=1)*(COUNTIF(CONFIG_ASIGNATURAS!$B$7:$B$27,nASIG)&gt;0)*1),"")))</f>
        <v/>
      </c>
      <c r="N500" t="str">
        <f>IF(M500="","",IF(M500="[FÓRMULA MANUAL]","",IFERROR(AVERAGEIFS(nNOTA,nNIA,M500,nCUENTA,1,nASIG,"Armonía"),"")))</f>
        <v/>
      </c>
      <c r="O500" t="str">
        <f>IF(M500="","",IF(M500="[FÓRMULA MANUAL]","",IFERROR(AVERAGEIFS(nNOTA,nNIA,M500,nCUENTA,1,nASIG,"Orquesta/Banda/Conjunto"),"")))</f>
        <v/>
      </c>
      <c r="P500" t="str">
        <f>IF(M500="","",IF(M500="[FÓRMULA MANUAL]","",IFERROR(AVERAGEIFS(nNOTA,nNIA,M500,nCUENTA,1,nASIG,"Música de Cámara"),"")))</f>
        <v/>
      </c>
      <c r="Q500" t="str">
        <f>IF(M500="","",IF(M500="[FÓRMULA MANUAL]","",IFERROR(SUMPRODUCT((nNIA=M500)*(nCUENTA=1)*(COUNTIF(CONFIG_ASIGNATURAS!$B$7:$B$27,nASIG)&gt;0)*(nNOTA))/SUMPRODUCT((nNIA=M500)*(nCUENTA=1)*(COUNTIF(CONFIG_ASIGNATURAS!$B$7:$B$27,nASIG)&gt;0)*1),"")))</f>
        <v/>
      </c>
      <c r="T500" t="str">
        <f>IF(S500="","",IF(S500="[FÓRMULA MANUAL]","",IFERROR(AVERAGEIFS(nNOTA,nNIA,S500,nCUENTA,1,nASIG,"Armonía"),"")))</f>
        <v/>
      </c>
      <c r="U500" t="str">
        <f>IF(S500="","",IF(S500="[FÓRMULA MANUAL]","",IFERROR(AVERAGEIFS(nNOTA,nNIA,S500,nCUENTA,1,nASIG,"Orquesta/Banda/Conjunto"),"")))</f>
        <v/>
      </c>
      <c r="V500" t="str">
        <f>IF(S500="","",IF(S500="[FÓRMULA MANUAL]","",IFERROR(AVERAGEIFS(nNOTA,nNIA,S500,nCUENTA,1,nASIG,"Música de Cámara"),"")))</f>
        <v/>
      </c>
      <c r="W500" t="str">
        <f>IF(S500="","",IF(S500="[FÓRMULA MANUAL]","",IFERROR(SUMPRODUCT((nNIA=S500)*(nCUENTA=1)*(COUNTIF(CONFIG_ASIGNATURAS!$B$7:$B$27,nASIG)&gt;0)*(nNOTA))/SUMPRODUCT((nNIA=S500)*(nCUENTA=1)*(COUNTIF(CONFIG_ASIGNATURAS!$B$7:$B$27,nASIG)&gt;0)*1),"")))</f>
        <v/>
      </c>
      <c r="Z500" t="str">
        <f>IF(Y500="","",IF(Y500="[FÓRMULA MANUAL]","",IFERROR(AVERAGEIFS(nNOTA,nNIA,Y500,nCUENTA,1,nASIG,"Análisis"),"")))</f>
        <v/>
      </c>
      <c r="AA500" t="str">
        <f>IF(Y500="","",IF(Y500="[FÓRMULA MANUAL]","",IFERROR(AVERAGEIFS(nNOTA,nNIA,Y500,nCUENTA,1,nASIG,"Orquesta/Banda/Conjunto"),"")))</f>
        <v/>
      </c>
      <c r="AB500" t="str">
        <f>IF(Y500="","",IF(Y500="[FÓRMULA MANUAL]","",IFERROR(AVERAGEIFS(nNOTA,nNIA,Y500,nCUENTA,1,nASIG,"Música de Cámara"),"")))</f>
        <v/>
      </c>
      <c r="AC500" t="str">
        <f>IF(Y500="","",IF(Y500="[FÓRMULA MANUAL]","",IFERROR(SUMPRODUCT((nNIA=Y500)*(nCUENTA=1)*(COUNTIF(CONFIG_ASIGNATURAS!$B$7:$B$27,nASIG)&gt;0)*(nNOTA))/SUMPRODUCT((nNIA=Y500)*(nCUENTA=1)*(COUNTIF(CONFIG_ASIGNATURAS!$B$7:$B$27,nASIG)&gt;0)*1),"")))</f>
        <v/>
      </c>
      <c r="AF500" t="str">
        <f>IF(AE500="","",IF(AE500="[FÓRMULA MANUAL]","",IFERROR(AVERAGEIFS(nNOTA,nNIA,AE500,nCUENTA,1,nASIG,"Análisis"),"")))</f>
        <v/>
      </c>
      <c r="AG500" t="str">
        <f>IF(AE500="","",IF(AE500="[FÓRMULA MANUAL]","",IFERROR(AVERAGEIFS(nNOTA,nNIA,AE500,nCUENTA,1,nASIG,"Orquesta/Banda/Conjunto"),"")))</f>
        <v/>
      </c>
      <c r="AH500" t="str">
        <f>IF(AE500="","",IF(AE500="[FÓRMULA MANUAL]","",IFERROR(AVERAGEIFS(nNOTA,nNIA,AE500,nCUENTA,1,nASIG,"Música de Cámara"),"")))</f>
        <v/>
      </c>
      <c r="AI500" t="str">
        <f>IF(AE500="","",IF(AE500="[FÓRMULA MANUAL]","",IFERROR(SUMPRODUCT((nNIA=AE500)*(nCUENTA=1)*(COUNTIF(CONFIG_ASIGNATURAS!$B$7:$B$27,nASIG)&gt;0)*(nNOTA))/SUMPRODUCT((nNIA=AE500)*(nCUENTA=1)*(COUNTIF(CONFIG_ASIGNATURAS!$B$7:$B$27,nASIG)&gt;0)*1),"")))</f>
        <v/>
      </c>
    </row>
    <row r="501" spans="2:35" x14ac:dyDescent="0.2">
      <c r="B501" t="str">
        <f>IF(A501="","",IF(A501="[FÓRMULA MANUAL]","",IFERROR(AVERAGEIFS(nNOTA,nNIA,A501,nCUENTA,1,nASIG,"Lenguaje Musical"),"")))</f>
        <v/>
      </c>
      <c r="C501" t="str">
        <f>IF(A501="","",IF(A501="[FÓRMULA MANUAL]","",IFERROR(AVERAGEIFS(nNOTA,nNIA,A501,nCUENTA,1,nASIG,"Orquesta/Banda/Conjunto"),"")))</f>
        <v/>
      </c>
      <c r="D501" t="str">
        <f>IF(A501="","",IF(A501="[FÓRMULA MANUAL]","",IFERROR(AVERAGEIFS(nNOTA,nNIA,A501,nCUENTA,1,nASIG,"Conjunto"),"")))</f>
        <v/>
      </c>
      <c r="E501" t="str">
        <f>IF(A501="","",IF(A501="[FÓRMULA MANUAL]","",IFERROR(SUMPRODUCT((nNIA=A501)*(nCUENTA=1)*(COUNTIF(CONFIG_ASIGNATURAS!$B$7:$B$27,nASIG)&gt;0)*(nNOTA))/SUMPRODUCT((nNIA=A501)*(nCUENTA=1)*(COUNTIF(CONFIG_ASIGNATURAS!$B$7:$B$27,nASIG)&gt;0)*1),"")))</f>
        <v/>
      </c>
      <c r="H501" t="str">
        <f>IF(G501="","",IF(G501="[FÓRMULA MANUAL]","",IFERROR(AVERAGEIFS(nNOTA,nNIA,G501,nCUENTA,1,nASIG,"Lenguaje Musical"),"")))</f>
        <v/>
      </c>
      <c r="I501" t="str">
        <f>IF(G501="","",IF(G501="[FÓRMULA MANUAL]","",IFERROR(AVERAGEIFS(nNOTA,nNIA,G501,nCUENTA,1,nASIG,"Orquesta/Banda/Conjunto"),"")))</f>
        <v/>
      </c>
      <c r="J501" t="str">
        <f>IF(G501="","",IF(G501="[FÓRMULA MANUAL]","",IFERROR(AVERAGEIFS(nNOTA,nNIA,G501,nCUENTA,1,nASIG,"Conjunto"),"")))</f>
        <v/>
      </c>
      <c r="K501" t="str">
        <f>IF(G501="","",IF(G501="[FÓRMULA MANUAL]","",IFERROR(SUMPRODUCT((nNIA=G501)*(nCUENTA=1)*(COUNTIF(CONFIG_ASIGNATURAS!$B$7:$B$27,nASIG)&gt;0)*(nNOTA))/SUMPRODUCT((nNIA=G501)*(nCUENTA=1)*(COUNTIF(CONFIG_ASIGNATURAS!$B$7:$B$27,nASIG)&gt;0)*1),"")))</f>
        <v/>
      </c>
      <c r="N501" t="str">
        <f>IF(M501="","",IF(M501="[FÓRMULA MANUAL]","",IFERROR(AVERAGEIFS(nNOTA,nNIA,M501,nCUENTA,1,nASIG,"Armonía"),"")))</f>
        <v/>
      </c>
      <c r="O501" t="str">
        <f>IF(M501="","",IF(M501="[FÓRMULA MANUAL]","",IFERROR(AVERAGEIFS(nNOTA,nNIA,M501,nCUENTA,1,nASIG,"Orquesta/Banda/Conjunto"),"")))</f>
        <v/>
      </c>
      <c r="P501" t="str">
        <f>IF(M501="","",IF(M501="[FÓRMULA MANUAL]","",IFERROR(AVERAGEIFS(nNOTA,nNIA,M501,nCUENTA,1,nASIG,"Música de Cámara"),"")))</f>
        <v/>
      </c>
      <c r="Q501" t="str">
        <f>IF(M501="","",IF(M501="[FÓRMULA MANUAL]","",IFERROR(SUMPRODUCT((nNIA=M501)*(nCUENTA=1)*(COUNTIF(CONFIG_ASIGNATURAS!$B$7:$B$27,nASIG)&gt;0)*(nNOTA))/SUMPRODUCT((nNIA=M501)*(nCUENTA=1)*(COUNTIF(CONFIG_ASIGNATURAS!$B$7:$B$27,nASIG)&gt;0)*1),"")))</f>
        <v/>
      </c>
      <c r="T501" t="str">
        <f>IF(S501="","",IF(S501="[FÓRMULA MANUAL]","",IFERROR(AVERAGEIFS(nNOTA,nNIA,S501,nCUENTA,1,nASIG,"Armonía"),"")))</f>
        <v/>
      </c>
      <c r="U501" t="str">
        <f>IF(S501="","",IF(S501="[FÓRMULA MANUAL]","",IFERROR(AVERAGEIFS(nNOTA,nNIA,S501,nCUENTA,1,nASIG,"Orquesta/Banda/Conjunto"),"")))</f>
        <v/>
      </c>
      <c r="V501" t="str">
        <f>IF(S501="","",IF(S501="[FÓRMULA MANUAL]","",IFERROR(AVERAGEIFS(nNOTA,nNIA,S501,nCUENTA,1,nASIG,"Música de Cámara"),"")))</f>
        <v/>
      </c>
      <c r="W501" t="str">
        <f>IF(S501="","",IF(S501="[FÓRMULA MANUAL]","",IFERROR(SUMPRODUCT((nNIA=S501)*(nCUENTA=1)*(COUNTIF(CONFIG_ASIGNATURAS!$B$7:$B$27,nASIG)&gt;0)*(nNOTA))/SUMPRODUCT((nNIA=S501)*(nCUENTA=1)*(COUNTIF(CONFIG_ASIGNATURAS!$B$7:$B$27,nASIG)&gt;0)*1),"")))</f>
        <v/>
      </c>
      <c r="Z501" t="str">
        <f>IF(Y501="","",IF(Y501="[FÓRMULA MANUAL]","",IFERROR(AVERAGEIFS(nNOTA,nNIA,Y501,nCUENTA,1,nASIG,"Análisis"),"")))</f>
        <v/>
      </c>
      <c r="AA501" t="str">
        <f>IF(Y501="","",IF(Y501="[FÓRMULA MANUAL]","",IFERROR(AVERAGEIFS(nNOTA,nNIA,Y501,nCUENTA,1,nASIG,"Orquesta/Banda/Conjunto"),"")))</f>
        <v/>
      </c>
      <c r="AB501" t="str">
        <f>IF(Y501="","",IF(Y501="[FÓRMULA MANUAL]","",IFERROR(AVERAGEIFS(nNOTA,nNIA,Y501,nCUENTA,1,nASIG,"Música de Cámara"),"")))</f>
        <v/>
      </c>
      <c r="AC501" t="str">
        <f>IF(Y501="","",IF(Y501="[FÓRMULA MANUAL]","",IFERROR(SUMPRODUCT((nNIA=Y501)*(nCUENTA=1)*(COUNTIF(CONFIG_ASIGNATURAS!$B$7:$B$27,nASIG)&gt;0)*(nNOTA))/SUMPRODUCT((nNIA=Y501)*(nCUENTA=1)*(COUNTIF(CONFIG_ASIGNATURAS!$B$7:$B$27,nASIG)&gt;0)*1),"")))</f>
        <v/>
      </c>
      <c r="AF501" t="str">
        <f>IF(AE501="","",IF(AE501="[FÓRMULA MANUAL]","",IFERROR(AVERAGEIFS(nNOTA,nNIA,AE501,nCUENTA,1,nASIG,"Análisis"),"")))</f>
        <v/>
      </c>
      <c r="AG501" t="str">
        <f>IF(AE501="","",IF(AE501="[FÓRMULA MANUAL]","",IFERROR(AVERAGEIFS(nNOTA,nNIA,AE501,nCUENTA,1,nASIG,"Orquesta/Banda/Conjunto"),"")))</f>
        <v/>
      </c>
      <c r="AH501" t="str">
        <f>IF(AE501="","",IF(AE501="[FÓRMULA MANUAL]","",IFERROR(AVERAGEIFS(nNOTA,nNIA,AE501,nCUENTA,1,nASIG,"Música de Cámara"),"")))</f>
        <v/>
      </c>
      <c r="AI501" t="str">
        <f>IF(AE501="","",IF(AE501="[FÓRMULA MANUAL]","",IFERROR(SUMPRODUCT((nNIA=AE501)*(nCUENTA=1)*(COUNTIF(CONFIG_ASIGNATURAS!$B$7:$B$27,nASIG)&gt;0)*(nNOTA))/SUMPRODUCT((nNIA=AE501)*(nCUENTA=1)*(COUNTIF(CONFIG_ASIGNATURAS!$B$7:$B$27,nASIG)&gt;0)*1),"")))</f>
        <v/>
      </c>
    </row>
    <row r="502" spans="2:35" x14ac:dyDescent="0.2">
      <c r="B502" t="str">
        <f>IF(A502="","",IF(A502="[FÓRMULA MANUAL]","",IFERROR(AVERAGEIFS(nNOTA,nNIA,A502,nCUENTA,1,nASIG,"Lenguaje Musical"),"")))</f>
        <v/>
      </c>
      <c r="C502" t="str">
        <f>IF(A502="","",IF(A502="[FÓRMULA MANUAL]","",IFERROR(AVERAGEIFS(nNOTA,nNIA,A502,nCUENTA,1,nASIG,"Orquesta/Banda/Conjunto"),"")))</f>
        <v/>
      </c>
      <c r="D502" t="str">
        <f>IF(A502="","",IF(A502="[FÓRMULA MANUAL]","",IFERROR(AVERAGEIFS(nNOTA,nNIA,A502,nCUENTA,1,nASIG,"Conjunto"),"")))</f>
        <v/>
      </c>
      <c r="E502" t="str">
        <f>IF(A502="","",IF(A502="[FÓRMULA MANUAL]","",IFERROR(SUMPRODUCT((nNIA=A502)*(nCUENTA=1)*(COUNTIF(CONFIG_ASIGNATURAS!$B$7:$B$27,nASIG)&gt;0)*(nNOTA))/SUMPRODUCT((nNIA=A502)*(nCUENTA=1)*(COUNTIF(CONFIG_ASIGNATURAS!$B$7:$B$27,nASIG)&gt;0)*1),"")))</f>
        <v/>
      </c>
      <c r="H502" t="str">
        <f>IF(G502="","",IF(G502="[FÓRMULA MANUAL]","",IFERROR(AVERAGEIFS(nNOTA,nNIA,G502,nCUENTA,1,nASIG,"Lenguaje Musical"),"")))</f>
        <v/>
      </c>
      <c r="I502" t="str">
        <f>IF(G502="","",IF(G502="[FÓRMULA MANUAL]","",IFERROR(AVERAGEIFS(nNOTA,nNIA,G502,nCUENTA,1,nASIG,"Orquesta/Banda/Conjunto"),"")))</f>
        <v/>
      </c>
      <c r="J502" t="str">
        <f>IF(G502="","",IF(G502="[FÓRMULA MANUAL]","",IFERROR(AVERAGEIFS(nNOTA,nNIA,G502,nCUENTA,1,nASIG,"Conjunto"),"")))</f>
        <v/>
      </c>
      <c r="K502" t="str">
        <f>IF(G502="","",IF(G502="[FÓRMULA MANUAL]","",IFERROR(SUMPRODUCT((nNIA=G502)*(nCUENTA=1)*(COUNTIF(CONFIG_ASIGNATURAS!$B$7:$B$27,nASIG)&gt;0)*(nNOTA))/SUMPRODUCT((nNIA=G502)*(nCUENTA=1)*(COUNTIF(CONFIG_ASIGNATURAS!$B$7:$B$27,nASIG)&gt;0)*1),"")))</f>
        <v/>
      </c>
      <c r="N502" t="str">
        <f>IF(M502="","",IF(M502="[FÓRMULA MANUAL]","",IFERROR(AVERAGEIFS(nNOTA,nNIA,M502,nCUENTA,1,nASIG,"Armonía"),"")))</f>
        <v/>
      </c>
      <c r="O502" t="str">
        <f>IF(M502="","",IF(M502="[FÓRMULA MANUAL]","",IFERROR(AVERAGEIFS(nNOTA,nNIA,M502,nCUENTA,1,nASIG,"Orquesta/Banda/Conjunto"),"")))</f>
        <v/>
      </c>
      <c r="P502" t="str">
        <f>IF(M502="","",IF(M502="[FÓRMULA MANUAL]","",IFERROR(AVERAGEIFS(nNOTA,nNIA,M502,nCUENTA,1,nASIG,"Música de Cámara"),"")))</f>
        <v/>
      </c>
      <c r="Q502" t="str">
        <f>IF(M502="","",IF(M502="[FÓRMULA MANUAL]","",IFERROR(SUMPRODUCT((nNIA=M502)*(nCUENTA=1)*(COUNTIF(CONFIG_ASIGNATURAS!$B$7:$B$27,nASIG)&gt;0)*(nNOTA))/SUMPRODUCT((nNIA=M502)*(nCUENTA=1)*(COUNTIF(CONFIG_ASIGNATURAS!$B$7:$B$27,nASIG)&gt;0)*1),"")))</f>
        <v/>
      </c>
      <c r="T502" t="str">
        <f>IF(S502="","",IF(S502="[FÓRMULA MANUAL]","",IFERROR(AVERAGEIFS(nNOTA,nNIA,S502,nCUENTA,1,nASIG,"Armonía"),"")))</f>
        <v/>
      </c>
      <c r="U502" t="str">
        <f>IF(S502="","",IF(S502="[FÓRMULA MANUAL]","",IFERROR(AVERAGEIFS(nNOTA,nNIA,S502,nCUENTA,1,nASIG,"Orquesta/Banda/Conjunto"),"")))</f>
        <v/>
      </c>
      <c r="V502" t="str">
        <f>IF(S502="","",IF(S502="[FÓRMULA MANUAL]","",IFERROR(AVERAGEIFS(nNOTA,nNIA,S502,nCUENTA,1,nASIG,"Música de Cámara"),"")))</f>
        <v/>
      </c>
      <c r="W502" t="str">
        <f>IF(S502="","",IF(S502="[FÓRMULA MANUAL]","",IFERROR(SUMPRODUCT((nNIA=S502)*(nCUENTA=1)*(COUNTIF(CONFIG_ASIGNATURAS!$B$7:$B$27,nASIG)&gt;0)*(nNOTA))/SUMPRODUCT((nNIA=S502)*(nCUENTA=1)*(COUNTIF(CONFIG_ASIGNATURAS!$B$7:$B$27,nASIG)&gt;0)*1),"")))</f>
        <v/>
      </c>
      <c r="Z502" t="str">
        <f>IF(Y502="","",IF(Y502="[FÓRMULA MANUAL]","",IFERROR(AVERAGEIFS(nNOTA,nNIA,Y502,nCUENTA,1,nASIG,"Análisis"),"")))</f>
        <v/>
      </c>
      <c r="AA502" t="str">
        <f>IF(Y502="","",IF(Y502="[FÓRMULA MANUAL]","",IFERROR(AVERAGEIFS(nNOTA,nNIA,Y502,nCUENTA,1,nASIG,"Orquesta/Banda/Conjunto"),"")))</f>
        <v/>
      </c>
      <c r="AB502" t="str">
        <f>IF(Y502="","",IF(Y502="[FÓRMULA MANUAL]","",IFERROR(AVERAGEIFS(nNOTA,nNIA,Y502,nCUENTA,1,nASIG,"Música de Cámara"),"")))</f>
        <v/>
      </c>
      <c r="AC502" t="str">
        <f>IF(Y502="","",IF(Y502="[FÓRMULA MANUAL]","",IFERROR(SUMPRODUCT((nNIA=Y502)*(nCUENTA=1)*(COUNTIF(CONFIG_ASIGNATURAS!$B$7:$B$27,nASIG)&gt;0)*(nNOTA))/SUMPRODUCT((nNIA=Y502)*(nCUENTA=1)*(COUNTIF(CONFIG_ASIGNATURAS!$B$7:$B$27,nASIG)&gt;0)*1),"")))</f>
        <v/>
      </c>
      <c r="AF502" t="str">
        <f>IF(AE502="","",IF(AE502="[FÓRMULA MANUAL]","",IFERROR(AVERAGEIFS(nNOTA,nNIA,AE502,nCUENTA,1,nASIG,"Análisis"),"")))</f>
        <v/>
      </c>
      <c r="AG502" t="str">
        <f>IF(AE502="","",IF(AE502="[FÓRMULA MANUAL]","",IFERROR(AVERAGEIFS(nNOTA,nNIA,AE502,nCUENTA,1,nASIG,"Orquesta/Banda/Conjunto"),"")))</f>
        <v/>
      </c>
      <c r="AH502" t="str">
        <f>IF(AE502="","",IF(AE502="[FÓRMULA MANUAL]","",IFERROR(AVERAGEIFS(nNOTA,nNIA,AE502,nCUENTA,1,nASIG,"Música de Cámara"),"")))</f>
        <v/>
      </c>
      <c r="AI502" t="str">
        <f>IF(AE502="","",IF(AE502="[FÓRMULA MANUAL]","",IFERROR(SUMPRODUCT((nNIA=AE502)*(nCUENTA=1)*(COUNTIF(CONFIG_ASIGNATURAS!$B$7:$B$27,nASIG)&gt;0)*(nNOTA))/SUMPRODUCT((nNIA=AE502)*(nCUENTA=1)*(COUNTIF(CONFIG_ASIGNATURAS!$B$7:$B$27,nASIG)&gt;0)*1),"")))</f>
        <v/>
      </c>
    </row>
    <row r="503" spans="2:35" x14ac:dyDescent="0.2">
      <c r="B503" t="str">
        <f>IF(A503="","",IF(A503="[FÓRMULA MANUAL]","",IFERROR(AVERAGEIFS(nNOTA,nNIA,A503,nCUENTA,1,nASIG,"Lenguaje Musical"),"")))</f>
        <v/>
      </c>
      <c r="C503" t="str">
        <f>IF(A503="","",IF(A503="[FÓRMULA MANUAL]","",IFERROR(AVERAGEIFS(nNOTA,nNIA,A503,nCUENTA,1,nASIG,"Orquesta/Banda/Conjunto"),"")))</f>
        <v/>
      </c>
      <c r="D503" t="str">
        <f>IF(A503="","",IF(A503="[FÓRMULA MANUAL]","",IFERROR(AVERAGEIFS(nNOTA,nNIA,A503,nCUENTA,1,nASIG,"Conjunto"),"")))</f>
        <v/>
      </c>
      <c r="E503" t="str">
        <f>IF(A503="","",IF(A503="[FÓRMULA MANUAL]","",IFERROR(SUMPRODUCT((nNIA=A503)*(nCUENTA=1)*(COUNTIF(CONFIG_ASIGNATURAS!$B$7:$B$27,nASIG)&gt;0)*(nNOTA))/SUMPRODUCT((nNIA=A503)*(nCUENTA=1)*(COUNTIF(CONFIG_ASIGNATURAS!$B$7:$B$27,nASIG)&gt;0)*1),"")))</f>
        <v/>
      </c>
      <c r="H503" t="str">
        <f>IF(G503="","",IF(G503="[FÓRMULA MANUAL]","",IFERROR(AVERAGEIFS(nNOTA,nNIA,G503,nCUENTA,1,nASIG,"Lenguaje Musical"),"")))</f>
        <v/>
      </c>
      <c r="I503" t="str">
        <f>IF(G503="","",IF(G503="[FÓRMULA MANUAL]","",IFERROR(AVERAGEIFS(nNOTA,nNIA,G503,nCUENTA,1,nASIG,"Orquesta/Banda/Conjunto"),"")))</f>
        <v/>
      </c>
      <c r="J503" t="str">
        <f>IF(G503="","",IF(G503="[FÓRMULA MANUAL]","",IFERROR(AVERAGEIFS(nNOTA,nNIA,G503,nCUENTA,1,nASIG,"Conjunto"),"")))</f>
        <v/>
      </c>
      <c r="K503" t="str">
        <f>IF(G503="","",IF(G503="[FÓRMULA MANUAL]","",IFERROR(SUMPRODUCT((nNIA=G503)*(nCUENTA=1)*(COUNTIF(CONFIG_ASIGNATURAS!$B$7:$B$27,nASIG)&gt;0)*(nNOTA))/SUMPRODUCT((nNIA=G503)*(nCUENTA=1)*(COUNTIF(CONFIG_ASIGNATURAS!$B$7:$B$27,nASIG)&gt;0)*1),"")))</f>
        <v/>
      </c>
      <c r="N503" t="str">
        <f>IF(M503="","",IF(M503="[FÓRMULA MANUAL]","",IFERROR(AVERAGEIFS(nNOTA,nNIA,M503,nCUENTA,1,nASIG,"Armonía"),"")))</f>
        <v/>
      </c>
      <c r="O503" t="str">
        <f>IF(M503="","",IF(M503="[FÓRMULA MANUAL]","",IFERROR(AVERAGEIFS(nNOTA,nNIA,M503,nCUENTA,1,nASIG,"Orquesta/Banda/Conjunto"),"")))</f>
        <v/>
      </c>
      <c r="P503" t="str">
        <f>IF(M503="","",IF(M503="[FÓRMULA MANUAL]","",IFERROR(AVERAGEIFS(nNOTA,nNIA,M503,nCUENTA,1,nASIG,"Música de Cámara"),"")))</f>
        <v/>
      </c>
      <c r="Q503" t="str">
        <f>IF(M503="","",IF(M503="[FÓRMULA MANUAL]","",IFERROR(SUMPRODUCT((nNIA=M503)*(nCUENTA=1)*(COUNTIF(CONFIG_ASIGNATURAS!$B$7:$B$27,nASIG)&gt;0)*(nNOTA))/SUMPRODUCT((nNIA=M503)*(nCUENTA=1)*(COUNTIF(CONFIG_ASIGNATURAS!$B$7:$B$27,nASIG)&gt;0)*1),"")))</f>
        <v/>
      </c>
      <c r="T503" t="str">
        <f>IF(S503="","",IF(S503="[FÓRMULA MANUAL]","",IFERROR(AVERAGEIFS(nNOTA,nNIA,S503,nCUENTA,1,nASIG,"Armonía"),"")))</f>
        <v/>
      </c>
      <c r="U503" t="str">
        <f>IF(S503="","",IF(S503="[FÓRMULA MANUAL]","",IFERROR(AVERAGEIFS(nNOTA,nNIA,S503,nCUENTA,1,nASIG,"Orquesta/Banda/Conjunto"),"")))</f>
        <v/>
      </c>
      <c r="V503" t="str">
        <f>IF(S503="","",IF(S503="[FÓRMULA MANUAL]","",IFERROR(AVERAGEIFS(nNOTA,nNIA,S503,nCUENTA,1,nASIG,"Música de Cámara"),"")))</f>
        <v/>
      </c>
      <c r="W503" t="str">
        <f>IF(S503="","",IF(S503="[FÓRMULA MANUAL]","",IFERROR(SUMPRODUCT((nNIA=S503)*(nCUENTA=1)*(COUNTIF(CONFIG_ASIGNATURAS!$B$7:$B$27,nASIG)&gt;0)*(nNOTA))/SUMPRODUCT((nNIA=S503)*(nCUENTA=1)*(COUNTIF(CONFIG_ASIGNATURAS!$B$7:$B$27,nASIG)&gt;0)*1),"")))</f>
        <v/>
      </c>
      <c r="Z503" t="str">
        <f>IF(Y503="","",IF(Y503="[FÓRMULA MANUAL]","",IFERROR(AVERAGEIFS(nNOTA,nNIA,Y503,nCUENTA,1,nASIG,"Análisis"),"")))</f>
        <v/>
      </c>
      <c r="AA503" t="str">
        <f>IF(Y503="","",IF(Y503="[FÓRMULA MANUAL]","",IFERROR(AVERAGEIFS(nNOTA,nNIA,Y503,nCUENTA,1,nASIG,"Orquesta/Banda/Conjunto"),"")))</f>
        <v/>
      </c>
      <c r="AB503" t="str">
        <f>IF(Y503="","",IF(Y503="[FÓRMULA MANUAL]","",IFERROR(AVERAGEIFS(nNOTA,nNIA,Y503,nCUENTA,1,nASIG,"Música de Cámara"),"")))</f>
        <v/>
      </c>
      <c r="AC503" t="str">
        <f>IF(Y503="","",IF(Y503="[FÓRMULA MANUAL]","",IFERROR(SUMPRODUCT((nNIA=Y503)*(nCUENTA=1)*(COUNTIF(CONFIG_ASIGNATURAS!$B$7:$B$27,nASIG)&gt;0)*(nNOTA))/SUMPRODUCT((nNIA=Y503)*(nCUENTA=1)*(COUNTIF(CONFIG_ASIGNATURAS!$B$7:$B$27,nASIG)&gt;0)*1),"")))</f>
        <v/>
      </c>
      <c r="AF503" t="str">
        <f>IF(AE503="","",IF(AE503="[FÓRMULA MANUAL]","",IFERROR(AVERAGEIFS(nNOTA,nNIA,AE503,nCUENTA,1,nASIG,"Análisis"),"")))</f>
        <v/>
      </c>
      <c r="AG503" t="str">
        <f>IF(AE503="","",IF(AE503="[FÓRMULA MANUAL]","",IFERROR(AVERAGEIFS(nNOTA,nNIA,AE503,nCUENTA,1,nASIG,"Orquesta/Banda/Conjunto"),"")))</f>
        <v/>
      </c>
      <c r="AH503" t="str">
        <f>IF(AE503="","",IF(AE503="[FÓRMULA MANUAL]","",IFERROR(AVERAGEIFS(nNOTA,nNIA,AE503,nCUENTA,1,nASIG,"Música de Cámara"),"")))</f>
        <v/>
      </c>
      <c r="AI503" t="str">
        <f>IF(AE503="","",IF(AE503="[FÓRMULA MANUAL]","",IFERROR(SUMPRODUCT((nNIA=AE503)*(nCUENTA=1)*(COUNTIF(CONFIG_ASIGNATURAS!$B$7:$B$27,nASIG)&gt;0)*(nNOTA))/SUMPRODUCT((nNIA=AE503)*(nCUENTA=1)*(COUNTIF(CONFIG_ASIGNATURAS!$B$7:$B$27,nASIG)&gt;0)*1),"")))</f>
        <v/>
      </c>
    </row>
    <row r="504" spans="2:35" x14ac:dyDescent="0.2">
      <c r="B504" t="str">
        <f>IF(A504="","",IF(A504="[FÓRMULA MANUAL]","",IFERROR(AVERAGEIFS(nNOTA,nNIA,A504,nCUENTA,1,nASIG,"Lenguaje Musical"),"")))</f>
        <v/>
      </c>
      <c r="C504" t="str">
        <f>IF(A504="","",IF(A504="[FÓRMULA MANUAL]","",IFERROR(AVERAGEIFS(nNOTA,nNIA,A504,nCUENTA,1,nASIG,"Orquesta/Banda/Conjunto"),"")))</f>
        <v/>
      </c>
      <c r="D504" t="str">
        <f>IF(A504="","",IF(A504="[FÓRMULA MANUAL]","",IFERROR(AVERAGEIFS(nNOTA,nNIA,A504,nCUENTA,1,nASIG,"Conjunto"),"")))</f>
        <v/>
      </c>
      <c r="E504" t="str">
        <f>IF(A504="","",IF(A504="[FÓRMULA MANUAL]","",IFERROR(SUMPRODUCT((nNIA=A504)*(nCUENTA=1)*(COUNTIF(CONFIG_ASIGNATURAS!$B$7:$B$27,nASIG)&gt;0)*(nNOTA))/SUMPRODUCT((nNIA=A504)*(nCUENTA=1)*(COUNTIF(CONFIG_ASIGNATURAS!$B$7:$B$27,nASIG)&gt;0)*1),"")))</f>
        <v/>
      </c>
      <c r="H504" t="str">
        <f>IF(G504="","",IF(G504="[FÓRMULA MANUAL]","",IFERROR(AVERAGEIFS(nNOTA,nNIA,G504,nCUENTA,1,nASIG,"Lenguaje Musical"),"")))</f>
        <v/>
      </c>
      <c r="I504" t="str">
        <f>IF(G504="","",IF(G504="[FÓRMULA MANUAL]","",IFERROR(AVERAGEIFS(nNOTA,nNIA,G504,nCUENTA,1,nASIG,"Orquesta/Banda/Conjunto"),"")))</f>
        <v/>
      </c>
      <c r="J504" t="str">
        <f>IF(G504="","",IF(G504="[FÓRMULA MANUAL]","",IFERROR(AVERAGEIFS(nNOTA,nNIA,G504,nCUENTA,1,nASIG,"Conjunto"),"")))</f>
        <v/>
      </c>
      <c r="K504" t="str">
        <f>IF(G504="","",IF(G504="[FÓRMULA MANUAL]","",IFERROR(SUMPRODUCT((nNIA=G504)*(nCUENTA=1)*(COUNTIF(CONFIG_ASIGNATURAS!$B$7:$B$27,nASIG)&gt;0)*(nNOTA))/SUMPRODUCT((nNIA=G504)*(nCUENTA=1)*(COUNTIF(CONFIG_ASIGNATURAS!$B$7:$B$27,nASIG)&gt;0)*1),"")))</f>
        <v/>
      </c>
      <c r="N504" t="str">
        <f>IF(M504="","",IF(M504="[FÓRMULA MANUAL]","",IFERROR(AVERAGEIFS(nNOTA,nNIA,M504,nCUENTA,1,nASIG,"Armonía"),"")))</f>
        <v/>
      </c>
      <c r="O504" t="str">
        <f>IF(M504="","",IF(M504="[FÓRMULA MANUAL]","",IFERROR(AVERAGEIFS(nNOTA,nNIA,M504,nCUENTA,1,nASIG,"Orquesta/Banda/Conjunto"),"")))</f>
        <v/>
      </c>
      <c r="P504" t="str">
        <f>IF(M504="","",IF(M504="[FÓRMULA MANUAL]","",IFERROR(AVERAGEIFS(nNOTA,nNIA,M504,nCUENTA,1,nASIG,"Música de Cámara"),"")))</f>
        <v/>
      </c>
      <c r="Q504" t="str">
        <f>IF(M504="","",IF(M504="[FÓRMULA MANUAL]","",IFERROR(SUMPRODUCT((nNIA=M504)*(nCUENTA=1)*(COUNTIF(CONFIG_ASIGNATURAS!$B$7:$B$27,nASIG)&gt;0)*(nNOTA))/SUMPRODUCT((nNIA=M504)*(nCUENTA=1)*(COUNTIF(CONFIG_ASIGNATURAS!$B$7:$B$27,nASIG)&gt;0)*1),"")))</f>
        <v/>
      </c>
      <c r="T504" t="str">
        <f>IF(S504="","",IF(S504="[FÓRMULA MANUAL]","",IFERROR(AVERAGEIFS(nNOTA,nNIA,S504,nCUENTA,1,nASIG,"Armonía"),"")))</f>
        <v/>
      </c>
      <c r="U504" t="str">
        <f>IF(S504="","",IF(S504="[FÓRMULA MANUAL]","",IFERROR(AVERAGEIFS(nNOTA,nNIA,S504,nCUENTA,1,nASIG,"Orquesta/Banda/Conjunto"),"")))</f>
        <v/>
      </c>
      <c r="V504" t="str">
        <f>IF(S504="","",IF(S504="[FÓRMULA MANUAL]","",IFERROR(AVERAGEIFS(nNOTA,nNIA,S504,nCUENTA,1,nASIG,"Música de Cámara"),"")))</f>
        <v/>
      </c>
      <c r="W504" t="str">
        <f>IF(S504="","",IF(S504="[FÓRMULA MANUAL]","",IFERROR(SUMPRODUCT((nNIA=S504)*(nCUENTA=1)*(COUNTIF(CONFIG_ASIGNATURAS!$B$7:$B$27,nASIG)&gt;0)*(nNOTA))/SUMPRODUCT((nNIA=S504)*(nCUENTA=1)*(COUNTIF(CONFIG_ASIGNATURAS!$B$7:$B$27,nASIG)&gt;0)*1),"")))</f>
        <v/>
      </c>
      <c r="Z504" t="str">
        <f>IF(Y504="","",IF(Y504="[FÓRMULA MANUAL]","",IFERROR(AVERAGEIFS(nNOTA,nNIA,Y504,nCUENTA,1,nASIG,"Análisis"),"")))</f>
        <v/>
      </c>
      <c r="AA504" t="str">
        <f>IF(Y504="","",IF(Y504="[FÓRMULA MANUAL]","",IFERROR(AVERAGEIFS(nNOTA,nNIA,Y504,nCUENTA,1,nASIG,"Orquesta/Banda/Conjunto"),"")))</f>
        <v/>
      </c>
      <c r="AB504" t="str">
        <f>IF(Y504="","",IF(Y504="[FÓRMULA MANUAL]","",IFERROR(AVERAGEIFS(nNOTA,nNIA,Y504,nCUENTA,1,nASIG,"Música de Cámara"),"")))</f>
        <v/>
      </c>
      <c r="AC504" t="str">
        <f>IF(Y504="","",IF(Y504="[FÓRMULA MANUAL]","",IFERROR(SUMPRODUCT((nNIA=Y504)*(nCUENTA=1)*(COUNTIF(CONFIG_ASIGNATURAS!$B$7:$B$27,nASIG)&gt;0)*(nNOTA))/SUMPRODUCT((nNIA=Y504)*(nCUENTA=1)*(COUNTIF(CONFIG_ASIGNATURAS!$B$7:$B$27,nASIG)&gt;0)*1),"")))</f>
        <v/>
      </c>
      <c r="AF504" t="str">
        <f>IF(AE504="","",IF(AE504="[FÓRMULA MANUAL]","",IFERROR(AVERAGEIFS(nNOTA,nNIA,AE504,nCUENTA,1,nASIG,"Análisis"),"")))</f>
        <v/>
      </c>
      <c r="AG504" t="str">
        <f>IF(AE504="","",IF(AE504="[FÓRMULA MANUAL]","",IFERROR(AVERAGEIFS(nNOTA,nNIA,AE504,nCUENTA,1,nASIG,"Orquesta/Banda/Conjunto"),"")))</f>
        <v/>
      </c>
      <c r="AH504" t="str">
        <f>IF(AE504="","",IF(AE504="[FÓRMULA MANUAL]","",IFERROR(AVERAGEIFS(nNOTA,nNIA,AE504,nCUENTA,1,nASIG,"Música de Cámara"),"")))</f>
        <v/>
      </c>
      <c r="AI504" t="str">
        <f>IF(AE504="","",IF(AE504="[FÓRMULA MANUAL]","",IFERROR(SUMPRODUCT((nNIA=AE504)*(nCUENTA=1)*(COUNTIF(CONFIG_ASIGNATURAS!$B$7:$B$27,nASIG)&gt;0)*(nNOTA))/SUMPRODUCT((nNIA=AE504)*(nCUENTA=1)*(COUNTIF(CONFIG_ASIGNATURAS!$B$7:$B$27,nASIG)&gt;0)*1),"")))</f>
        <v/>
      </c>
    </row>
    <row r="505" spans="2:35" x14ac:dyDescent="0.2">
      <c r="B505" t="str">
        <f>IF(A505="","",IF(A505="[FÓRMULA MANUAL]","",IFERROR(AVERAGEIFS(nNOTA,nNIA,A505,nCUENTA,1,nASIG,"Lenguaje Musical"),"")))</f>
        <v/>
      </c>
      <c r="C505" t="str">
        <f>IF(A505="","",IF(A505="[FÓRMULA MANUAL]","",IFERROR(AVERAGEIFS(nNOTA,nNIA,A505,nCUENTA,1,nASIG,"Orquesta/Banda/Conjunto"),"")))</f>
        <v/>
      </c>
      <c r="D505" t="str">
        <f>IF(A505="","",IF(A505="[FÓRMULA MANUAL]","",IFERROR(AVERAGEIFS(nNOTA,nNIA,A505,nCUENTA,1,nASIG,"Conjunto"),"")))</f>
        <v/>
      </c>
      <c r="E505" t="str">
        <f>IF(A505="","",IF(A505="[FÓRMULA MANUAL]","",IFERROR(SUMPRODUCT((nNIA=A505)*(nCUENTA=1)*(COUNTIF(CONFIG_ASIGNATURAS!$B$7:$B$27,nASIG)&gt;0)*(nNOTA))/SUMPRODUCT((nNIA=A505)*(nCUENTA=1)*(COUNTIF(CONFIG_ASIGNATURAS!$B$7:$B$27,nASIG)&gt;0)*1),"")))</f>
        <v/>
      </c>
      <c r="H505" t="str">
        <f>IF(G505="","",IF(G505="[FÓRMULA MANUAL]","",IFERROR(AVERAGEIFS(nNOTA,nNIA,G505,nCUENTA,1,nASIG,"Lenguaje Musical"),"")))</f>
        <v/>
      </c>
      <c r="I505" t="str">
        <f>IF(G505="","",IF(G505="[FÓRMULA MANUAL]","",IFERROR(AVERAGEIFS(nNOTA,nNIA,G505,nCUENTA,1,nASIG,"Orquesta/Banda/Conjunto"),"")))</f>
        <v/>
      </c>
      <c r="J505" t="str">
        <f>IF(G505="","",IF(G505="[FÓRMULA MANUAL]","",IFERROR(AVERAGEIFS(nNOTA,nNIA,G505,nCUENTA,1,nASIG,"Conjunto"),"")))</f>
        <v/>
      </c>
      <c r="K505" t="str">
        <f>IF(G505="","",IF(G505="[FÓRMULA MANUAL]","",IFERROR(SUMPRODUCT((nNIA=G505)*(nCUENTA=1)*(COUNTIF(CONFIG_ASIGNATURAS!$B$7:$B$27,nASIG)&gt;0)*(nNOTA))/SUMPRODUCT((nNIA=G505)*(nCUENTA=1)*(COUNTIF(CONFIG_ASIGNATURAS!$B$7:$B$27,nASIG)&gt;0)*1),"")))</f>
        <v/>
      </c>
      <c r="N505" t="str">
        <f>IF(M505="","",IF(M505="[FÓRMULA MANUAL]","",IFERROR(AVERAGEIFS(nNOTA,nNIA,M505,nCUENTA,1,nASIG,"Armonía"),"")))</f>
        <v/>
      </c>
      <c r="O505" t="str">
        <f>IF(M505="","",IF(M505="[FÓRMULA MANUAL]","",IFERROR(AVERAGEIFS(nNOTA,nNIA,M505,nCUENTA,1,nASIG,"Orquesta/Banda/Conjunto"),"")))</f>
        <v/>
      </c>
      <c r="P505" t="str">
        <f>IF(M505="","",IF(M505="[FÓRMULA MANUAL]","",IFERROR(AVERAGEIFS(nNOTA,nNIA,M505,nCUENTA,1,nASIG,"Música de Cámara"),"")))</f>
        <v/>
      </c>
      <c r="Q505" t="str">
        <f>IF(M505="","",IF(M505="[FÓRMULA MANUAL]","",IFERROR(SUMPRODUCT((nNIA=M505)*(nCUENTA=1)*(COUNTIF(CONFIG_ASIGNATURAS!$B$7:$B$27,nASIG)&gt;0)*(nNOTA))/SUMPRODUCT((nNIA=M505)*(nCUENTA=1)*(COUNTIF(CONFIG_ASIGNATURAS!$B$7:$B$27,nASIG)&gt;0)*1),"")))</f>
        <v/>
      </c>
      <c r="T505" t="str">
        <f>IF(S505="","",IF(S505="[FÓRMULA MANUAL]","",IFERROR(AVERAGEIFS(nNOTA,nNIA,S505,nCUENTA,1,nASIG,"Armonía"),"")))</f>
        <v/>
      </c>
      <c r="U505" t="str">
        <f>IF(S505="","",IF(S505="[FÓRMULA MANUAL]","",IFERROR(AVERAGEIFS(nNOTA,nNIA,S505,nCUENTA,1,nASIG,"Orquesta/Banda/Conjunto"),"")))</f>
        <v/>
      </c>
      <c r="V505" t="str">
        <f>IF(S505="","",IF(S505="[FÓRMULA MANUAL]","",IFERROR(AVERAGEIFS(nNOTA,nNIA,S505,nCUENTA,1,nASIG,"Música de Cámara"),"")))</f>
        <v/>
      </c>
      <c r="W505" t="str">
        <f>IF(S505="","",IF(S505="[FÓRMULA MANUAL]","",IFERROR(SUMPRODUCT((nNIA=S505)*(nCUENTA=1)*(COUNTIF(CONFIG_ASIGNATURAS!$B$7:$B$27,nASIG)&gt;0)*(nNOTA))/SUMPRODUCT((nNIA=S505)*(nCUENTA=1)*(COUNTIF(CONFIG_ASIGNATURAS!$B$7:$B$27,nASIG)&gt;0)*1),"")))</f>
        <v/>
      </c>
      <c r="Z505" t="str">
        <f>IF(Y505="","",IF(Y505="[FÓRMULA MANUAL]","",IFERROR(AVERAGEIFS(nNOTA,nNIA,Y505,nCUENTA,1,nASIG,"Análisis"),"")))</f>
        <v/>
      </c>
      <c r="AA505" t="str">
        <f>IF(Y505="","",IF(Y505="[FÓRMULA MANUAL]","",IFERROR(AVERAGEIFS(nNOTA,nNIA,Y505,nCUENTA,1,nASIG,"Orquesta/Banda/Conjunto"),"")))</f>
        <v/>
      </c>
      <c r="AB505" t="str">
        <f>IF(Y505="","",IF(Y505="[FÓRMULA MANUAL]","",IFERROR(AVERAGEIFS(nNOTA,nNIA,Y505,nCUENTA,1,nASIG,"Música de Cámara"),"")))</f>
        <v/>
      </c>
      <c r="AC505" t="str">
        <f>IF(Y505="","",IF(Y505="[FÓRMULA MANUAL]","",IFERROR(SUMPRODUCT((nNIA=Y505)*(nCUENTA=1)*(COUNTIF(CONFIG_ASIGNATURAS!$B$7:$B$27,nASIG)&gt;0)*(nNOTA))/SUMPRODUCT((nNIA=Y505)*(nCUENTA=1)*(COUNTIF(CONFIG_ASIGNATURAS!$B$7:$B$27,nASIG)&gt;0)*1),"")))</f>
        <v/>
      </c>
      <c r="AF505" t="str">
        <f>IF(AE505="","",IF(AE505="[FÓRMULA MANUAL]","",IFERROR(AVERAGEIFS(nNOTA,nNIA,AE505,nCUENTA,1,nASIG,"Análisis"),"")))</f>
        <v/>
      </c>
      <c r="AG505" t="str">
        <f>IF(AE505="","",IF(AE505="[FÓRMULA MANUAL]","",IFERROR(AVERAGEIFS(nNOTA,nNIA,AE505,nCUENTA,1,nASIG,"Orquesta/Banda/Conjunto"),"")))</f>
        <v/>
      </c>
      <c r="AH505" t="str">
        <f>IF(AE505="","",IF(AE505="[FÓRMULA MANUAL]","",IFERROR(AVERAGEIFS(nNOTA,nNIA,AE505,nCUENTA,1,nASIG,"Música de Cámara"),"")))</f>
        <v/>
      </c>
      <c r="AI505" t="str">
        <f>IF(AE505="","",IF(AE505="[FÓRMULA MANUAL]","",IFERROR(SUMPRODUCT((nNIA=AE505)*(nCUENTA=1)*(COUNTIF(CONFIG_ASIGNATURAS!$B$7:$B$27,nASIG)&gt;0)*(nNOTA))/SUMPRODUCT((nNIA=AE505)*(nCUENTA=1)*(COUNTIF(CONFIG_ASIGNATURAS!$B$7:$B$27,nASIG)&gt;0)*1),"")))</f>
        <v/>
      </c>
    </row>
    <row r="506" spans="2:35" x14ac:dyDescent="0.2">
      <c r="B506" t="str">
        <f>IF(A506="","",IF(A506="[FÓRMULA MANUAL]","",IFERROR(AVERAGEIFS(nNOTA,nNIA,A506,nCUENTA,1,nASIG,"Lenguaje Musical"),"")))</f>
        <v/>
      </c>
      <c r="C506" t="str">
        <f>IF(A506="","",IF(A506="[FÓRMULA MANUAL]","",IFERROR(AVERAGEIFS(nNOTA,nNIA,A506,nCUENTA,1,nASIG,"Orquesta/Banda/Conjunto"),"")))</f>
        <v/>
      </c>
      <c r="D506" t="str">
        <f>IF(A506="","",IF(A506="[FÓRMULA MANUAL]","",IFERROR(AVERAGEIFS(nNOTA,nNIA,A506,nCUENTA,1,nASIG,"Conjunto"),"")))</f>
        <v/>
      </c>
      <c r="E506" t="str">
        <f>IF(A506="","",IF(A506="[FÓRMULA MANUAL]","",IFERROR(SUMPRODUCT((nNIA=A506)*(nCUENTA=1)*(COUNTIF(CONFIG_ASIGNATURAS!$B$7:$B$27,nASIG)&gt;0)*(nNOTA))/SUMPRODUCT((nNIA=A506)*(nCUENTA=1)*(COUNTIF(CONFIG_ASIGNATURAS!$B$7:$B$27,nASIG)&gt;0)*1),"")))</f>
        <v/>
      </c>
      <c r="H506" t="str">
        <f>IF(G506="","",IF(G506="[FÓRMULA MANUAL]","",IFERROR(AVERAGEIFS(nNOTA,nNIA,G506,nCUENTA,1,nASIG,"Lenguaje Musical"),"")))</f>
        <v/>
      </c>
      <c r="I506" t="str">
        <f>IF(G506="","",IF(G506="[FÓRMULA MANUAL]","",IFERROR(AVERAGEIFS(nNOTA,nNIA,G506,nCUENTA,1,nASIG,"Orquesta/Banda/Conjunto"),"")))</f>
        <v/>
      </c>
      <c r="J506" t="str">
        <f>IF(G506="","",IF(G506="[FÓRMULA MANUAL]","",IFERROR(AVERAGEIFS(nNOTA,nNIA,G506,nCUENTA,1,nASIG,"Conjunto"),"")))</f>
        <v/>
      </c>
      <c r="K506" t="str">
        <f>IF(G506="","",IF(G506="[FÓRMULA MANUAL]","",IFERROR(SUMPRODUCT((nNIA=G506)*(nCUENTA=1)*(COUNTIF(CONFIG_ASIGNATURAS!$B$7:$B$27,nASIG)&gt;0)*(nNOTA))/SUMPRODUCT((nNIA=G506)*(nCUENTA=1)*(COUNTIF(CONFIG_ASIGNATURAS!$B$7:$B$27,nASIG)&gt;0)*1),"")))</f>
        <v/>
      </c>
      <c r="N506" t="str">
        <f>IF(M506="","",IF(M506="[FÓRMULA MANUAL]","",IFERROR(AVERAGEIFS(nNOTA,nNIA,M506,nCUENTA,1,nASIG,"Armonía"),"")))</f>
        <v/>
      </c>
      <c r="O506" t="str">
        <f>IF(M506="","",IF(M506="[FÓRMULA MANUAL]","",IFERROR(AVERAGEIFS(nNOTA,nNIA,M506,nCUENTA,1,nASIG,"Orquesta/Banda/Conjunto"),"")))</f>
        <v/>
      </c>
      <c r="P506" t="str">
        <f>IF(M506="","",IF(M506="[FÓRMULA MANUAL]","",IFERROR(AVERAGEIFS(nNOTA,nNIA,M506,nCUENTA,1,nASIG,"Música de Cámara"),"")))</f>
        <v/>
      </c>
      <c r="Q506" t="str">
        <f>IF(M506="","",IF(M506="[FÓRMULA MANUAL]","",IFERROR(SUMPRODUCT((nNIA=M506)*(nCUENTA=1)*(COUNTIF(CONFIG_ASIGNATURAS!$B$7:$B$27,nASIG)&gt;0)*(nNOTA))/SUMPRODUCT((nNIA=M506)*(nCUENTA=1)*(COUNTIF(CONFIG_ASIGNATURAS!$B$7:$B$27,nASIG)&gt;0)*1),"")))</f>
        <v/>
      </c>
      <c r="T506" t="str">
        <f>IF(S506="","",IF(S506="[FÓRMULA MANUAL]","",IFERROR(AVERAGEIFS(nNOTA,nNIA,S506,nCUENTA,1,nASIG,"Armonía"),"")))</f>
        <v/>
      </c>
      <c r="U506" t="str">
        <f>IF(S506="","",IF(S506="[FÓRMULA MANUAL]","",IFERROR(AVERAGEIFS(nNOTA,nNIA,S506,nCUENTA,1,nASIG,"Orquesta/Banda/Conjunto"),"")))</f>
        <v/>
      </c>
      <c r="V506" t="str">
        <f>IF(S506="","",IF(S506="[FÓRMULA MANUAL]","",IFERROR(AVERAGEIFS(nNOTA,nNIA,S506,nCUENTA,1,nASIG,"Música de Cámara"),"")))</f>
        <v/>
      </c>
      <c r="W506" t="str">
        <f>IF(S506="","",IF(S506="[FÓRMULA MANUAL]","",IFERROR(SUMPRODUCT((nNIA=S506)*(nCUENTA=1)*(COUNTIF(CONFIG_ASIGNATURAS!$B$7:$B$27,nASIG)&gt;0)*(nNOTA))/SUMPRODUCT((nNIA=S506)*(nCUENTA=1)*(COUNTIF(CONFIG_ASIGNATURAS!$B$7:$B$27,nASIG)&gt;0)*1),"")))</f>
        <v/>
      </c>
      <c r="Z506" t="str">
        <f>IF(Y506="","",IF(Y506="[FÓRMULA MANUAL]","",IFERROR(AVERAGEIFS(nNOTA,nNIA,Y506,nCUENTA,1,nASIG,"Análisis"),"")))</f>
        <v/>
      </c>
      <c r="AA506" t="str">
        <f>IF(Y506="","",IF(Y506="[FÓRMULA MANUAL]","",IFERROR(AVERAGEIFS(nNOTA,nNIA,Y506,nCUENTA,1,nASIG,"Orquesta/Banda/Conjunto"),"")))</f>
        <v/>
      </c>
      <c r="AB506" t="str">
        <f>IF(Y506="","",IF(Y506="[FÓRMULA MANUAL]","",IFERROR(AVERAGEIFS(nNOTA,nNIA,Y506,nCUENTA,1,nASIG,"Música de Cámara"),"")))</f>
        <v/>
      </c>
      <c r="AC506" t="str">
        <f>IF(Y506="","",IF(Y506="[FÓRMULA MANUAL]","",IFERROR(SUMPRODUCT((nNIA=Y506)*(nCUENTA=1)*(COUNTIF(CONFIG_ASIGNATURAS!$B$7:$B$27,nASIG)&gt;0)*(nNOTA))/SUMPRODUCT((nNIA=Y506)*(nCUENTA=1)*(COUNTIF(CONFIG_ASIGNATURAS!$B$7:$B$27,nASIG)&gt;0)*1),"")))</f>
        <v/>
      </c>
      <c r="AF506" t="str">
        <f>IF(AE506="","",IF(AE506="[FÓRMULA MANUAL]","",IFERROR(AVERAGEIFS(nNOTA,nNIA,AE506,nCUENTA,1,nASIG,"Análisis"),"")))</f>
        <v/>
      </c>
      <c r="AG506" t="str">
        <f>IF(AE506="","",IF(AE506="[FÓRMULA MANUAL]","",IFERROR(AVERAGEIFS(nNOTA,nNIA,AE506,nCUENTA,1,nASIG,"Orquesta/Banda/Conjunto"),"")))</f>
        <v/>
      </c>
      <c r="AH506" t="str">
        <f>IF(AE506="","",IF(AE506="[FÓRMULA MANUAL]","",IFERROR(AVERAGEIFS(nNOTA,nNIA,AE506,nCUENTA,1,nASIG,"Música de Cámara"),"")))</f>
        <v/>
      </c>
      <c r="AI506" t="str">
        <f>IF(AE506="","",IF(AE506="[FÓRMULA MANUAL]","",IFERROR(SUMPRODUCT((nNIA=AE506)*(nCUENTA=1)*(COUNTIF(CONFIG_ASIGNATURAS!$B$7:$B$27,nASIG)&gt;0)*(nNOTA))/SUMPRODUCT((nNIA=AE506)*(nCUENTA=1)*(COUNTIF(CONFIG_ASIGNATURAS!$B$7:$B$27,nASIG)&gt;0)*1),"")))</f>
        <v/>
      </c>
    </row>
    <row r="507" spans="2:35" x14ac:dyDescent="0.2">
      <c r="B507" t="str">
        <f>IF(A507="","",IF(A507="[FÓRMULA MANUAL]","",IFERROR(AVERAGEIFS(nNOTA,nNIA,A507,nCUENTA,1,nASIG,"Lenguaje Musical"),"")))</f>
        <v/>
      </c>
      <c r="C507" t="str">
        <f>IF(A507="","",IF(A507="[FÓRMULA MANUAL]","",IFERROR(AVERAGEIFS(nNOTA,nNIA,A507,nCUENTA,1,nASIG,"Orquesta/Banda/Conjunto"),"")))</f>
        <v/>
      </c>
      <c r="D507" t="str">
        <f>IF(A507="","",IF(A507="[FÓRMULA MANUAL]","",IFERROR(AVERAGEIFS(nNOTA,nNIA,A507,nCUENTA,1,nASIG,"Conjunto"),"")))</f>
        <v/>
      </c>
      <c r="E507" t="str">
        <f>IF(A507="","",IF(A507="[FÓRMULA MANUAL]","",IFERROR(SUMPRODUCT((nNIA=A507)*(nCUENTA=1)*(COUNTIF(CONFIG_ASIGNATURAS!$B$7:$B$27,nASIG)&gt;0)*(nNOTA))/SUMPRODUCT((nNIA=A507)*(nCUENTA=1)*(COUNTIF(CONFIG_ASIGNATURAS!$B$7:$B$27,nASIG)&gt;0)*1),"")))</f>
        <v/>
      </c>
      <c r="H507" t="str">
        <f>IF(G507="","",IF(G507="[FÓRMULA MANUAL]","",IFERROR(AVERAGEIFS(nNOTA,nNIA,G507,nCUENTA,1,nASIG,"Lenguaje Musical"),"")))</f>
        <v/>
      </c>
      <c r="I507" t="str">
        <f>IF(G507="","",IF(G507="[FÓRMULA MANUAL]","",IFERROR(AVERAGEIFS(nNOTA,nNIA,G507,nCUENTA,1,nASIG,"Orquesta/Banda/Conjunto"),"")))</f>
        <v/>
      </c>
      <c r="J507" t="str">
        <f>IF(G507="","",IF(G507="[FÓRMULA MANUAL]","",IFERROR(AVERAGEIFS(nNOTA,nNIA,G507,nCUENTA,1,nASIG,"Conjunto"),"")))</f>
        <v/>
      </c>
      <c r="K507" t="str">
        <f>IF(G507="","",IF(G507="[FÓRMULA MANUAL]","",IFERROR(SUMPRODUCT((nNIA=G507)*(nCUENTA=1)*(COUNTIF(CONFIG_ASIGNATURAS!$B$7:$B$27,nASIG)&gt;0)*(nNOTA))/SUMPRODUCT((nNIA=G507)*(nCUENTA=1)*(COUNTIF(CONFIG_ASIGNATURAS!$B$7:$B$27,nASIG)&gt;0)*1),"")))</f>
        <v/>
      </c>
      <c r="N507" t="str">
        <f>IF(M507="","",IF(M507="[FÓRMULA MANUAL]","",IFERROR(AVERAGEIFS(nNOTA,nNIA,M507,nCUENTA,1,nASIG,"Armonía"),"")))</f>
        <v/>
      </c>
      <c r="O507" t="str">
        <f>IF(M507="","",IF(M507="[FÓRMULA MANUAL]","",IFERROR(AVERAGEIFS(nNOTA,nNIA,M507,nCUENTA,1,nASIG,"Orquesta/Banda/Conjunto"),"")))</f>
        <v/>
      </c>
      <c r="P507" t="str">
        <f>IF(M507="","",IF(M507="[FÓRMULA MANUAL]","",IFERROR(AVERAGEIFS(nNOTA,nNIA,M507,nCUENTA,1,nASIG,"Música de Cámara"),"")))</f>
        <v/>
      </c>
      <c r="Q507" t="str">
        <f>IF(M507="","",IF(M507="[FÓRMULA MANUAL]","",IFERROR(SUMPRODUCT((nNIA=M507)*(nCUENTA=1)*(COUNTIF(CONFIG_ASIGNATURAS!$B$7:$B$27,nASIG)&gt;0)*(nNOTA))/SUMPRODUCT((nNIA=M507)*(nCUENTA=1)*(COUNTIF(CONFIG_ASIGNATURAS!$B$7:$B$27,nASIG)&gt;0)*1),"")))</f>
        <v/>
      </c>
      <c r="T507" t="str">
        <f>IF(S507="","",IF(S507="[FÓRMULA MANUAL]","",IFERROR(AVERAGEIFS(nNOTA,nNIA,S507,nCUENTA,1,nASIG,"Armonía"),"")))</f>
        <v/>
      </c>
      <c r="U507" t="str">
        <f>IF(S507="","",IF(S507="[FÓRMULA MANUAL]","",IFERROR(AVERAGEIFS(nNOTA,nNIA,S507,nCUENTA,1,nASIG,"Orquesta/Banda/Conjunto"),"")))</f>
        <v/>
      </c>
      <c r="V507" t="str">
        <f>IF(S507="","",IF(S507="[FÓRMULA MANUAL]","",IFERROR(AVERAGEIFS(nNOTA,nNIA,S507,nCUENTA,1,nASIG,"Música de Cámara"),"")))</f>
        <v/>
      </c>
      <c r="W507" t="str">
        <f>IF(S507="","",IF(S507="[FÓRMULA MANUAL]","",IFERROR(SUMPRODUCT((nNIA=S507)*(nCUENTA=1)*(COUNTIF(CONFIG_ASIGNATURAS!$B$7:$B$27,nASIG)&gt;0)*(nNOTA))/SUMPRODUCT((nNIA=S507)*(nCUENTA=1)*(COUNTIF(CONFIG_ASIGNATURAS!$B$7:$B$27,nASIG)&gt;0)*1),"")))</f>
        <v/>
      </c>
      <c r="Z507" t="str">
        <f>IF(Y507="","",IF(Y507="[FÓRMULA MANUAL]","",IFERROR(AVERAGEIFS(nNOTA,nNIA,Y507,nCUENTA,1,nASIG,"Análisis"),"")))</f>
        <v/>
      </c>
      <c r="AA507" t="str">
        <f>IF(Y507="","",IF(Y507="[FÓRMULA MANUAL]","",IFERROR(AVERAGEIFS(nNOTA,nNIA,Y507,nCUENTA,1,nASIG,"Orquesta/Banda/Conjunto"),"")))</f>
        <v/>
      </c>
      <c r="AB507" t="str">
        <f>IF(Y507="","",IF(Y507="[FÓRMULA MANUAL]","",IFERROR(AVERAGEIFS(nNOTA,nNIA,Y507,nCUENTA,1,nASIG,"Música de Cámara"),"")))</f>
        <v/>
      </c>
      <c r="AC507" t="str">
        <f>IF(Y507="","",IF(Y507="[FÓRMULA MANUAL]","",IFERROR(SUMPRODUCT((nNIA=Y507)*(nCUENTA=1)*(COUNTIF(CONFIG_ASIGNATURAS!$B$7:$B$27,nASIG)&gt;0)*(nNOTA))/SUMPRODUCT((nNIA=Y507)*(nCUENTA=1)*(COUNTIF(CONFIG_ASIGNATURAS!$B$7:$B$27,nASIG)&gt;0)*1),"")))</f>
        <v/>
      </c>
      <c r="AF507" t="str">
        <f>IF(AE507="","",IF(AE507="[FÓRMULA MANUAL]","",IFERROR(AVERAGEIFS(nNOTA,nNIA,AE507,nCUENTA,1,nASIG,"Análisis"),"")))</f>
        <v/>
      </c>
      <c r="AG507" t="str">
        <f>IF(AE507="","",IF(AE507="[FÓRMULA MANUAL]","",IFERROR(AVERAGEIFS(nNOTA,nNIA,AE507,nCUENTA,1,nASIG,"Orquesta/Banda/Conjunto"),"")))</f>
        <v/>
      </c>
      <c r="AH507" t="str">
        <f>IF(AE507="","",IF(AE507="[FÓRMULA MANUAL]","",IFERROR(AVERAGEIFS(nNOTA,nNIA,AE507,nCUENTA,1,nASIG,"Música de Cámara"),"")))</f>
        <v/>
      </c>
      <c r="AI507" t="str">
        <f>IF(AE507="","",IF(AE507="[FÓRMULA MANUAL]","",IFERROR(SUMPRODUCT((nNIA=AE507)*(nCUENTA=1)*(COUNTIF(CONFIG_ASIGNATURAS!$B$7:$B$27,nASIG)&gt;0)*(nNOTA))/SUMPRODUCT((nNIA=AE507)*(nCUENTA=1)*(COUNTIF(CONFIG_ASIGNATURAS!$B$7:$B$27,nASIG)&gt;0)*1),"")))</f>
        <v/>
      </c>
    </row>
    <row r="508" spans="2:35" x14ac:dyDescent="0.2">
      <c r="B508" t="str">
        <f>IF(A508="","",IF(A508="[FÓRMULA MANUAL]","",IFERROR(AVERAGEIFS(nNOTA,nNIA,A508,nCUENTA,1,nASIG,"Lenguaje Musical"),"")))</f>
        <v/>
      </c>
      <c r="C508" t="str">
        <f>IF(A508="","",IF(A508="[FÓRMULA MANUAL]","",IFERROR(AVERAGEIFS(nNOTA,nNIA,A508,nCUENTA,1,nASIG,"Orquesta/Banda/Conjunto"),"")))</f>
        <v/>
      </c>
      <c r="D508" t="str">
        <f>IF(A508="","",IF(A508="[FÓRMULA MANUAL]","",IFERROR(AVERAGEIFS(nNOTA,nNIA,A508,nCUENTA,1,nASIG,"Conjunto"),"")))</f>
        <v/>
      </c>
      <c r="E508" t="str">
        <f>IF(A508="","",IF(A508="[FÓRMULA MANUAL]","",IFERROR(SUMPRODUCT((nNIA=A508)*(nCUENTA=1)*(COUNTIF(CONFIG_ASIGNATURAS!$B$7:$B$27,nASIG)&gt;0)*(nNOTA))/SUMPRODUCT((nNIA=A508)*(nCUENTA=1)*(COUNTIF(CONFIG_ASIGNATURAS!$B$7:$B$27,nASIG)&gt;0)*1),"")))</f>
        <v/>
      </c>
      <c r="H508" t="str">
        <f>IF(G508="","",IF(G508="[FÓRMULA MANUAL]","",IFERROR(AVERAGEIFS(nNOTA,nNIA,G508,nCUENTA,1,nASIG,"Lenguaje Musical"),"")))</f>
        <v/>
      </c>
      <c r="I508" t="str">
        <f>IF(G508="","",IF(G508="[FÓRMULA MANUAL]","",IFERROR(AVERAGEIFS(nNOTA,nNIA,G508,nCUENTA,1,nASIG,"Orquesta/Banda/Conjunto"),"")))</f>
        <v/>
      </c>
      <c r="J508" t="str">
        <f>IF(G508="","",IF(G508="[FÓRMULA MANUAL]","",IFERROR(AVERAGEIFS(nNOTA,nNIA,G508,nCUENTA,1,nASIG,"Conjunto"),"")))</f>
        <v/>
      </c>
      <c r="K508" t="str">
        <f>IF(G508="","",IF(G508="[FÓRMULA MANUAL]","",IFERROR(SUMPRODUCT((nNIA=G508)*(nCUENTA=1)*(COUNTIF(CONFIG_ASIGNATURAS!$B$7:$B$27,nASIG)&gt;0)*(nNOTA))/SUMPRODUCT((nNIA=G508)*(nCUENTA=1)*(COUNTIF(CONFIG_ASIGNATURAS!$B$7:$B$27,nASIG)&gt;0)*1),"")))</f>
        <v/>
      </c>
      <c r="N508" t="str">
        <f>IF(M508="","",IF(M508="[FÓRMULA MANUAL]","",IFERROR(AVERAGEIFS(nNOTA,nNIA,M508,nCUENTA,1,nASIG,"Armonía"),"")))</f>
        <v/>
      </c>
      <c r="O508" t="str">
        <f>IF(M508="","",IF(M508="[FÓRMULA MANUAL]","",IFERROR(AVERAGEIFS(nNOTA,nNIA,M508,nCUENTA,1,nASIG,"Orquesta/Banda/Conjunto"),"")))</f>
        <v/>
      </c>
      <c r="P508" t="str">
        <f>IF(M508="","",IF(M508="[FÓRMULA MANUAL]","",IFERROR(AVERAGEIFS(nNOTA,nNIA,M508,nCUENTA,1,nASIG,"Música de Cámara"),"")))</f>
        <v/>
      </c>
      <c r="Q508" t="str">
        <f>IF(M508="","",IF(M508="[FÓRMULA MANUAL]","",IFERROR(SUMPRODUCT((nNIA=M508)*(nCUENTA=1)*(COUNTIF(CONFIG_ASIGNATURAS!$B$7:$B$27,nASIG)&gt;0)*(nNOTA))/SUMPRODUCT((nNIA=M508)*(nCUENTA=1)*(COUNTIF(CONFIG_ASIGNATURAS!$B$7:$B$27,nASIG)&gt;0)*1),"")))</f>
        <v/>
      </c>
      <c r="T508" t="str">
        <f>IF(S508="","",IF(S508="[FÓRMULA MANUAL]","",IFERROR(AVERAGEIFS(nNOTA,nNIA,S508,nCUENTA,1,nASIG,"Armonía"),"")))</f>
        <v/>
      </c>
      <c r="U508" t="str">
        <f>IF(S508="","",IF(S508="[FÓRMULA MANUAL]","",IFERROR(AVERAGEIFS(nNOTA,nNIA,S508,nCUENTA,1,nASIG,"Orquesta/Banda/Conjunto"),"")))</f>
        <v/>
      </c>
      <c r="V508" t="str">
        <f>IF(S508="","",IF(S508="[FÓRMULA MANUAL]","",IFERROR(AVERAGEIFS(nNOTA,nNIA,S508,nCUENTA,1,nASIG,"Música de Cámara"),"")))</f>
        <v/>
      </c>
      <c r="W508" t="str">
        <f>IF(S508="","",IF(S508="[FÓRMULA MANUAL]","",IFERROR(SUMPRODUCT((nNIA=S508)*(nCUENTA=1)*(COUNTIF(CONFIG_ASIGNATURAS!$B$7:$B$27,nASIG)&gt;0)*(nNOTA))/SUMPRODUCT((nNIA=S508)*(nCUENTA=1)*(COUNTIF(CONFIG_ASIGNATURAS!$B$7:$B$27,nASIG)&gt;0)*1),"")))</f>
        <v/>
      </c>
      <c r="Z508" t="str">
        <f>IF(Y508="","",IF(Y508="[FÓRMULA MANUAL]","",IFERROR(AVERAGEIFS(nNOTA,nNIA,Y508,nCUENTA,1,nASIG,"Análisis"),"")))</f>
        <v/>
      </c>
      <c r="AA508" t="str">
        <f>IF(Y508="","",IF(Y508="[FÓRMULA MANUAL]","",IFERROR(AVERAGEIFS(nNOTA,nNIA,Y508,nCUENTA,1,nASIG,"Orquesta/Banda/Conjunto"),"")))</f>
        <v/>
      </c>
      <c r="AB508" t="str">
        <f>IF(Y508="","",IF(Y508="[FÓRMULA MANUAL]","",IFERROR(AVERAGEIFS(nNOTA,nNIA,Y508,nCUENTA,1,nASIG,"Música de Cámara"),"")))</f>
        <v/>
      </c>
      <c r="AC508" t="str">
        <f>IF(Y508="","",IF(Y508="[FÓRMULA MANUAL]","",IFERROR(SUMPRODUCT((nNIA=Y508)*(nCUENTA=1)*(COUNTIF(CONFIG_ASIGNATURAS!$B$7:$B$27,nASIG)&gt;0)*(nNOTA))/SUMPRODUCT((nNIA=Y508)*(nCUENTA=1)*(COUNTIF(CONFIG_ASIGNATURAS!$B$7:$B$27,nASIG)&gt;0)*1),"")))</f>
        <v/>
      </c>
      <c r="AF508" t="str">
        <f>IF(AE508="","",IF(AE508="[FÓRMULA MANUAL]","",IFERROR(AVERAGEIFS(nNOTA,nNIA,AE508,nCUENTA,1,nASIG,"Análisis"),"")))</f>
        <v/>
      </c>
      <c r="AG508" t="str">
        <f>IF(AE508="","",IF(AE508="[FÓRMULA MANUAL]","",IFERROR(AVERAGEIFS(nNOTA,nNIA,AE508,nCUENTA,1,nASIG,"Orquesta/Banda/Conjunto"),"")))</f>
        <v/>
      </c>
      <c r="AH508" t="str">
        <f>IF(AE508="","",IF(AE508="[FÓRMULA MANUAL]","",IFERROR(AVERAGEIFS(nNOTA,nNIA,AE508,nCUENTA,1,nASIG,"Música de Cámara"),"")))</f>
        <v/>
      </c>
      <c r="AI508" t="str">
        <f>IF(AE508="","",IF(AE508="[FÓRMULA MANUAL]","",IFERROR(SUMPRODUCT((nNIA=AE508)*(nCUENTA=1)*(COUNTIF(CONFIG_ASIGNATURAS!$B$7:$B$27,nASIG)&gt;0)*(nNOTA))/SUMPRODUCT((nNIA=AE508)*(nCUENTA=1)*(COUNTIF(CONFIG_ASIGNATURAS!$B$7:$B$27,nASIG)&gt;0)*1),"")))</f>
        <v/>
      </c>
    </row>
    <row r="509" spans="2:35" x14ac:dyDescent="0.2">
      <c r="B509" t="str">
        <f>IF(A509="","",IF(A509="[FÓRMULA MANUAL]","",IFERROR(AVERAGEIFS(nNOTA,nNIA,A509,nCUENTA,1,nASIG,"Lenguaje Musical"),"")))</f>
        <v/>
      </c>
      <c r="C509" t="str">
        <f>IF(A509="","",IF(A509="[FÓRMULA MANUAL]","",IFERROR(AVERAGEIFS(nNOTA,nNIA,A509,nCUENTA,1,nASIG,"Orquesta/Banda/Conjunto"),"")))</f>
        <v/>
      </c>
      <c r="D509" t="str">
        <f>IF(A509="","",IF(A509="[FÓRMULA MANUAL]","",IFERROR(AVERAGEIFS(nNOTA,nNIA,A509,nCUENTA,1,nASIG,"Conjunto"),"")))</f>
        <v/>
      </c>
      <c r="E509" t="str">
        <f>IF(A509="","",IF(A509="[FÓRMULA MANUAL]","",IFERROR(SUMPRODUCT((nNIA=A509)*(nCUENTA=1)*(COUNTIF(CONFIG_ASIGNATURAS!$B$7:$B$27,nASIG)&gt;0)*(nNOTA))/SUMPRODUCT((nNIA=A509)*(nCUENTA=1)*(COUNTIF(CONFIG_ASIGNATURAS!$B$7:$B$27,nASIG)&gt;0)*1),"")))</f>
        <v/>
      </c>
      <c r="H509" t="str">
        <f>IF(G509="","",IF(G509="[FÓRMULA MANUAL]","",IFERROR(AVERAGEIFS(nNOTA,nNIA,G509,nCUENTA,1,nASIG,"Lenguaje Musical"),"")))</f>
        <v/>
      </c>
      <c r="I509" t="str">
        <f>IF(G509="","",IF(G509="[FÓRMULA MANUAL]","",IFERROR(AVERAGEIFS(nNOTA,nNIA,G509,nCUENTA,1,nASIG,"Orquesta/Banda/Conjunto"),"")))</f>
        <v/>
      </c>
      <c r="J509" t="str">
        <f>IF(G509="","",IF(G509="[FÓRMULA MANUAL]","",IFERROR(AVERAGEIFS(nNOTA,nNIA,G509,nCUENTA,1,nASIG,"Conjunto"),"")))</f>
        <v/>
      </c>
      <c r="K509" t="str">
        <f>IF(G509="","",IF(G509="[FÓRMULA MANUAL]","",IFERROR(SUMPRODUCT((nNIA=G509)*(nCUENTA=1)*(COUNTIF(CONFIG_ASIGNATURAS!$B$7:$B$27,nASIG)&gt;0)*(nNOTA))/SUMPRODUCT((nNIA=G509)*(nCUENTA=1)*(COUNTIF(CONFIG_ASIGNATURAS!$B$7:$B$27,nASIG)&gt;0)*1),"")))</f>
        <v/>
      </c>
      <c r="N509" t="str">
        <f>IF(M509="","",IF(M509="[FÓRMULA MANUAL]","",IFERROR(AVERAGEIFS(nNOTA,nNIA,M509,nCUENTA,1,nASIG,"Armonía"),"")))</f>
        <v/>
      </c>
      <c r="O509" t="str">
        <f>IF(M509="","",IF(M509="[FÓRMULA MANUAL]","",IFERROR(AVERAGEIFS(nNOTA,nNIA,M509,nCUENTA,1,nASIG,"Orquesta/Banda/Conjunto"),"")))</f>
        <v/>
      </c>
      <c r="P509" t="str">
        <f>IF(M509="","",IF(M509="[FÓRMULA MANUAL]","",IFERROR(AVERAGEIFS(nNOTA,nNIA,M509,nCUENTA,1,nASIG,"Música de Cámara"),"")))</f>
        <v/>
      </c>
      <c r="Q509" t="str">
        <f>IF(M509="","",IF(M509="[FÓRMULA MANUAL]","",IFERROR(SUMPRODUCT((nNIA=M509)*(nCUENTA=1)*(COUNTIF(CONFIG_ASIGNATURAS!$B$7:$B$27,nASIG)&gt;0)*(nNOTA))/SUMPRODUCT((nNIA=M509)*(nCUENTA=1)*(COUNTIF(CONFIG_ASIGNATURAS!$B$7:$B$27,nASIG)&gt;0)*1),"")))</f>
        <v/>
      </c>
      <c r="T509" t="str">
        <f>IF(S509="","",IF(S509="[FÓRMULA MANUAL]","",IFERROR(AVERAGEIFS(nNOTA,nNIA,S509,nCUENTA,1,nASIG,"Armonía"),"")))</f>
        <v/>
      </c>
      <c r="U509" t="str">
        <f>IF(S509="","",IF(S509="[FÓRMULA MANUAL]","",IFERROR(AVERAGEIFS(nNOTA,nNIA,S509,nCUENTA,1,nASIG,"Orquesta/Banda/Conjunto"),"")))</f>
        <v/>
      </c>
      <c r="V509" t="str">
        <f>IF(S509="","",IF(S509="[FÓRMULA MANUAL]","",IFERROR(AVERAGEIFS(nNOTA,nNIA,S509,nCUENTA,1,nASIG,"Música de Cámara"),"")))</f>
        <v/>
      </c>
      <c r="W509" t="str">
        <f>IF(S509="","",IF(S509="[FÓRMULA MANUAL]","",IFERROR(SUMPRODUCT((nNIA=S509)*(nCUENTA=1)*(COUNTIF(CONFIG_ASIGNATURAS!$B$7:$B$27,nASIG)&gt;0)*(nNOTA))/SUMPRODUCT((nNIA=S509)*(nCUENTA=1)*(COUNTIF(CONFIG_ASIGNATURAS!$B$7:$B$27,nASIG)&gt;0)*1),"")))</f>
        <v/>
      </c>
      <c r="Z509" t="str">
        <f>IF(Y509="","",IF(Y509="[FÓRMULA MANUAL]","",IFERROR(AVERAGEIFS(nNOTA,nNIA,Y509,nCUENTA,1,nASIG,"Análisis"),"")))</f>
        <v/>
      </c>
      <c r="AA509" t="str">
        <f>IF(Y509="","",IF(Y509="[FÓRMULA MANUAL]","",IFERROR(AVERAGEIFS(nNOTA,nNIA,Y509,nCUENTA,1,nASIG,"Orquesta/Banda/Conjunto"),"")))</f>
        <v/>
      </c>
      <c r="AB509" t="str">
        <f>IF(Y509="","",IF(Y509="[FÓRMULA MANUAL]","",IFERROR(AVERAGEIFS(nNOTA,nNIA,Y509,nCUENTA,1,nASIG,"Música de Cámara"),"")))</f>
        <v/>
      </c>
      <c r="AC509" t="str">
        <f>IF(Y509="","",IF(Y509="[FÓRMULA MANUAL]","",IFERROR(SUMPRODUCT((nNIA=Y509)*(nCUENTA=1)*(COUNTIF(CONFIG_ASIGNATURAS!$B$7:$B$27,nASIG)&gt;0)*(nNOTA))/SUMPRODUCT((nNIA=Y509)*(nCUENTA=1)*(COUNTIF(CONFIG_ASIGNATURAS!$B$7:$B$27,nASIG)&gt;0)*1),"")))</f>
        <v/>
      </c>
      <c r="AF509" t="str">
        <f>IF(AE509="","",IF(AE509="[FÓRMULA MANUAL]","",IFERROR(AVERAGEIFS(nNOTA,nNIA,AE509,nCUENTA,1,nASIG,"Análisis"),"")))</f>
        <v/>
      </c>
      <c r="AG509" t="str">
        <f>IF(AE509="","",IF(AE509="[FÓRMULA MANUAL]","",IFERROR(AVERAGEIFS(nNOTA,nNIA,AE509,nCUENTA,1,nASIG,"Orquesta/Banda/Conjunto"),"")))</f>
        <v/>
      </c>
      <c r="AH509" t="str">
        <f>IF(AE509="","",IF(AE509="[FÓRMULA MANUAL]","",IFERROR(AVERAGEIFS(nNOTA,nNIA,AE509,nCUENTA,1,nASIG,"Música de Cámara"),"")))</f>
        <v/>
      </c>
      <c r="AI509" t="str">
        <f>IF(AE509="","",IF(AE509="[FÓRMULA MANUAL]","",IFERROR(SUMPRODUCT((nNIA=AE509)*(nCUENTA=1)*(COUNTIF(CONFIG_ASIGNATURAS!$B$7:$B$27,nASIG)&gt;0)*(nNOTA))/SUMPRODUCT((nNIA=AE509)*(nCUENTA=1)*(COUNTIF(CONFIG_ASIGNATURAS!$B$7:$B$27,nASIG)&gt;0)*1),"")))</f>
        <v/>
      </c>
    </row>
    <row r="510" spans="2:35" x14ac:dyDescent="0.2">
      <c r="B510" t="str">
        <f>IF(A510="","",IF(A510="[FÓRMULA MANUAL]","",IFERROR(AVERAGEIFS(nNOTA,nNIA,A510,nCUENTA,1,nASIG,"Lenguaje Musical"),"")))</f>
        <v/>
      </c>
      <c r="C510" t="str">
        <f>IF(A510="","",IF(A510="[FÓRMULA MANUAL]","",IFERROR(AVERAGEIFS(nNOTA,nNIA,A510,nCUENTA,1,nASIG,"Orquesta/Banda/Conjunto"),"")))</f>
        <v/>
      </c>
      <c r="D510" t="str">
        <f>IF(A510="","",IF(A510="[FÓRMULA MANUAL]","",IFERROR(AVERAGEIFS(nNOTA,nNIA,A510,nCUENTA,1,nASIG,"Conjunto"),"")))</f>
        <v/>
      </c>
      <c r="E510" t="str">
        <f>IF(A510="","",IF(A510="[FÓRMULA MANUAL]","",IFERROR(SUMPRODUCT((nNIA=A510)*(nCUENTA=1)*(COUNTIF(CONFIG_ASIGNATURAS!$B$7:$B$27,nASIG)&gt;0)*(nNOTA))/SUMPRODUCT((nNIA=A510)*(nCUENTA=1)*(COUNTIF(CONFIG_ASIGNATURAS!$B$7:$B$27,nASIG)&gt;0)*1),"")))</f>
        <v/>
      </c>
      <c r="H510" t="str">
        <f>IF(G510="","",IF(G510="[FÓRMULA MANUAL]","",IFERROR(AVERAGEIFS(nNOTA,nNIA,G510,nCUENTA,1,nASIG,"Lenguaje Musical"),"")))</f>
        <v/>
      </c>
      <c r="I510" t="str">
        <f>IF(G510="","",IF(G510="[FÓRMULA MANUAL]","",IFERROR(AVERAGEIFS(nNOTA,nNIA,G510,nCUENTA,1,nASIG,"Orquesta/Banda/Conjunto"),"")))</f>
        <v/>
      </c>
      <c r="J510" t="str">
        <f>IF(G510="","",IF(G510="[FÓRMULA MANUAL]","",IFERROR(AVERAGEIFS(nNOTA,nNIA,G510,nCUENTA,1,nASIG,"Conjunto"),"")))</f>
        <v/>
      </c>
      <c r="K510" t="str">
        <f>IF(G510="","",IF(G510="[FÓRMULA MANUAL]","",IFERROR(SUMPRODUCT((nNIA=G510)*(nCUENTA=1)*(COUNTIF(CONFIG_ASIGNATURAS!$B$7:$B$27,nASIG)&gt;0)*(nNOTA))/SUMPRODUCT((nNIA=G510)*(nCUENTA=1)*(COUNTIF(CONFIG_ASIGNATURAS!$B$7:$B$27,nASIG)&gt;0)*1),"")))</f>
        <v/>
      </c>
      <c r="N510" t="str">
        <f>IF(M510="","",IF(M510="[FÓRMULA MANUAL]","",IFERROR(AVERAGEIFS(nNOTA,nNIA,M510,nCUENTA,1,nASIG,"Armonía"),"")))</f>
        <v/>
      </c>
      <c r="O510" t="str">
        <f>IF(M510="","",IF(M510="[FÓRMULA MANUAL]","",IFERROR(AVERAGEIFS(nNOTA,nNIA,M510,nCUENTA,1,nASIG,"Orquesta/Banda/Conjunto"),"")))</f>
        <v/>
      </c>
      <c r="P510" t="str">
        <f>IF(M510="","",IF(M510="[FÓRMULA MANUAL]","",IFERROR(AVERAGEIFS(nNOTA,nNIA,M510,nCUENTA,1,nASIG,"Música de Cámara"),"")))</f>
        <v/>
      </c>
      <c r="Q510" t="str">
        <f>IF(M510="","",IF(M510="[FÓRMULA MANUAL]","",IFERROR(SUMPRODUCT((nNIA=M510)*(nCUENTA=1)*(COUNTIF(CONFIG_ASIGNATURAS!$B$7:$B$27,nASIG)&gt;0)*(nNOTA))/SUMPRODUCT((nNIA=M510)*(nCUENTA=1)*(COUNTIF(CONFIG_ASIGNATURAS!$B$7:$B$27,nASIG)&gt;0)*1),"")))</f>
        <v/>
      </c>
      <c r="T510" t="str">
        <f>IF(S510="","",IF(S510="[FÓRMULA MANUAL]","",IFERROR(AVERAGEIFS(nNOTA,nNIA,S510,nCUENTA,1,nASIG,"Armonía"),"")))</f>
        <v/>
      </c>
      <c r="U510" t="str">
        <f>IF(S510="","",IF(S510="[FÓRMULA MANUAL]","",IFERROR(AVERAGEIFS(nNOTA,nNIA,S510,nCUENTA,1,nASIG,"Orquesta/Banda/Conjunto"),"")))</f>
        <v/>
      </c>
      <c r="V510" t="str">
        <f>IF(S510="","",IF(S510="[FÓRMULA MANUAL]","",IFERROR(AVERAGEIFS(nNOTA,nNIA,S510,nCUENTA,1,nASIG,"Música de Cámara"),"")))</f>
        <v/>
      </c>
      <c r="W510" t="str">
        <f>IF(S510="","",IF(S510="[FÓRMULA MANUAL]","",IFERROR(SUMPRODUCT((nNIA=S510)*(nCUENTA=1)*(COUNTIF(CONFIG_ASIGNATURAS!$B$7:$B$27,nASIG)&gt;0)*(nNOTA))/SUMPRODUCT((nNIA=S510)*(nCUENTA=1)*(COUNTIF(CONFIG_ASIGNATURAS!$B$7:$B$27,nASIG)&gt;0)*1),"")))</f>
        <v/>
      </c>
      <c r="Z510" t="str">
        <f>IF(Y510="","",IF(Y510="[FÓRMULA MANUAL]","",IFERROR(AVERAGEIFS(nNOTA,nNIA,Y510,nCUENTA,1,nASIG,"Análisis"),"")))</f>
        <v/>
      </c>
      <c r="AA510" t="str">
        <f>IF(Y510="","",IF(Y510="[FÓRMULA MANUAL]","",IFERROR(AVERAGEIFS(nNOTA,nNIA,Y510,nCUENTA,1,nASIG,"Orquesta/Banda/Conjunto"),"")))</f>
        <v/>
      </c>
      <c r="AB510" t="str">
        <f>IF(Y510="","",IF(Y510="[FÓRMULA MANUAL]","",IFERROR(AVERAGEIFS(nNOTA,nNIA,Y510,nCUENTA,1,nASIG,"Música de Cámara"),"")))</f>
        <v/>
      </c>
      <c r="AC510" t="str">
        <f>IF(Y510="","",IF(Y510="[FÓRMULA MANUAL]","",IFERROR(SUMPRODUCT((nNIA=Y510)*(nCUENTA=1)*(COUNTIF(CONFIG_ASIGNATURAS!$B$7:$B$27,nASIG)&gt;0)*(nNOTA))/SUMPRODUCT((nNIA=Y510)*(nCUENTA=1)*(COUNTIF(CONFIG_ASIGNATURAS!$B$7:$B$27,nASIG)&gt;0)*1),"")))</f>
        <v/>
      </c>
      <c r="AF510" t="str">
        <f>IF(AE510="","",IF(AE510="[FÓRMULA MANUAL]","",IFERROR(AVERAGEIFS(nNOTA,nNIA,AE510,nCUENTA,1,nASIG,"Análisis"),"")))</f>
        <v/>
      </c>
      <c r="AG510" t="str">
        <f>IF(AE510="","",IF(AE510="[FÓRMULA MANUAL]","",IFERROR(AVERAGEIFS(nNOTA,nNIA,AE510,nCUENTA,1,nASIG,"Orquesta/Banda/Conjunto"),"")))</f>
        <v/>
      </c>
      <c r="AH510" t="str">
        <f>IF(AE510="","",IF(AE510="[FÓRMULA MANUAL]","",IFERROR(AVERAGEIFS(nNOTA,nNIA,AE510,nCUENTA,1,nASIG,"Música de Cámara"),"")))</f>
        <v/>
      </c>
      <c r="AI510" t="str">
        <f>IF(AE510="","",IF(AE510="[FÓRMULA MANUAL]","",IFERROR(SUMPRODUCT((nNIA=AE510)*(nCUENTA=1)*(COUNTIF(CONFIG_ASIGNATURAS!$B$7:$B$27,nASIG)&gt;0)*(nNOTA))/SUMPRODUCT((nNIA=AE510)*(nCUENTA=1)*(COUNTIF(CONFIG_ASIGNATURAS!$B$7:$B$27,nASIG)&gt;0)*1),"")))</f>
        <v/>
      </c>
    </row>
    <row r="511" spans="2:35" x14ac:dyDescent="0.2">
      <c r="B511" t="str">
        <f>IF(A511="","",IF(A511="[FÓRMULA MANUAL]","",IFERROR(AVERAGEIFS(nNOTA,nNIA,A511,nCUENTA,1,nASIG,"Lenguaje Musical"),"")))</f>
        <v/>
      </c>
      <c r="C511" t="str">
        <f>IF(A511="","",IF(A511="[FÓRMULA MANUAL]","",IFERROR(AVERAGEIFS(nNOTA,nNIA,A511,nCUENTA,1,nASIG,"Orquesta/Banda/Conjunto"),"")))</f>
        <v/>
      </c>
      <c r="D511" t="str">
        <f>IF(A511="","",IF(A511="[FÓRMULA MANUAL]","",IFERROR(AVERAGEIFS(nNOTA,nNIA,A511,nCUENTA,1,nASIG,"Conjunto"),"")))</f>
        <v/>
      </c>
      <c r="E511" t="str">
        <f>IF(A511="","",IF(A511="[FÓRMULA MANUAL]","",IFERROR(SUMPRODUCT((nNIA=A511)*(nCUENTA=1)*(COUNTIF(CONFIG_ASIGNATURAS!$B$7:$B$27,nASIG)&gt;0)*(nNOTA))/SUMPRODUCT((nNIA=A511)*(nCUENTA=1)*(COUNTIF(CONFIG_ASIGNATURAS!$B$7:$B$27,nASIG)&gt;0)*1),"")))</f>
        <v/>
      </c>
      <c r="H511" t="str">
        <f>IF(G511="","",IF(G511="[FÓRMULA MANUAL]","",IFERROR(AVERAGEIFS(nNOTA,nNIA,G511,nCUENTA,1,nASIG,"Lenguaje Musical"),"")))</f>
        <v/>
      </c>
      <c r="I511" t="str">
        <f>IF(G511="","",IF(G511="[FÓRMULA MANUAL]","",IFERROR(AVERAGEIFS(nNOTA,nNIA,G511,nCUENTA,1,nASIG,"Orquesta/Banda/Conjunto"),"")))</f>
        <v/>
      </c>
      <c r="J511" t="str">
        <f>IF(G511="","",IF(G511="[FÓRMULA MANUAL]","",IFERROR(AVERAGEIFS(nNOTA,nNIA,G511,nCUENTA,1,nASIG,"Conjunto"),"")))</f>
        <v/>
      </c>
      <c r="K511" t="str">
        <f>IF(G511="","",IF(G511="[FÓRMULA MANUAL]","",IFERROR(SUMPRODUCT((nNIA=G511)*(nCUENTA=1)*(COUNTIF(CONFIG_ASIGNATURAS!$B$7:$B$27,nASIG)&gt;0)*(nNOTA))/SUMPRODUCT((nNIA=G511)*(nCUENTA=1)*(COUNTIF(CONFIG_ASIGNATURAS!$B$7:$B$27,nASIG)&gt;0)*1),"")))</f>
        <v/>
      </c>
      <c r="N511" t="str">
        <f>IF(M511="","",IF(M511="[FÓRMULA MANUAL]","",IFERROR(AVERAGEIFS(nNOTA,nNIA,M511,nCUENTA,1,nASIG,"Armonía"),"")))</f>
        <v/>
      </c>
      <c r="O511" t="str">
        <f>IF(M511="","",IF(M511="[FÓRMULA MANUAL]","",IFERROR(AVERAGEIFS(nNOTA,nNIA,M511,nCUENTA,1,nASIG,"Orquesta/Banda/Conjunto"),"")))</f>
        <v/>
      </c>
      <c r="P511" t="str">
        <f>IF(M511="","",IF(M511="[FÓRMULA MANUAL]","",IFERROR(AVERAGEIFS(nNOTA,nNIA,M511,nCUENTA,1,nASIG,"Música de Cámara"),"")))</f>
        <v/>
      </c>
      <c r="Q511" t="str">
        <f>IF(M511="","",IF(M511="[FÓRMULA MANUAL]","",IFERROR(SUMPRODUCT((nNIA=M511)*(nCUENTA=1)*(COUNTIF(CONFIG_ASIGNATURAS!$B$7:$B$27,nASIG)&gt;0)*(nNOTA))/SUMPRODUCT((nNIA=M511)*(nCUENTA=1)*(COUNTIF(CONFIG_ASIGNATURAS!$B$7:$B$27,nASIG)&gt;0)*1),"")))</f>
        <v/>
      </c>
      <c r="T511" t="str">
        <f>IF(S511="","",IF(S511="[FÓRMULA MANUAL]","",IFERROR(AVERAGEIFS(nNOTA,nNIA,S511,nCUENTA,1,nASIG,"Armonía"),"")))</f>
        <v/>
      </c>
      <c r="U511" t="str">
        <f>IF(S511="","",IF(S511="[FÓRMULA MANUAL]","",IFERROR(AVERAGEIFS(nNOTA,nNIA,S511,nCUENTA,1,nASIG,"Orquesta/Banda/Conjunto"),"")))</f>
        <v/>
      </c>
      <c r="V511" t="str">
        <f>IF(S511="","",IF(S511="[FÓRMULA MANUAL]","",IFERROR(AVERAGEIFS(nNOTA,nNIA,S511,nCUENTA,1,nASIG,"Música de Cámara"),"")))</f>
        <v/>
      </c>
      <c r="W511" t="str">
        <f>IF(S511="","",IF(S511="[FÓRMULA MANUAL]","",IFERROR(SUMPRODUCT((nNIA=S511)*(nCUENTA=1)*(COUNTIF(CONFIG_ASIGNATURAS!$B$7:$B$27,nASIG)&gt;0)*(nNOTA))/SUMPRODUCT((nNIA=S511)*(nCUENTA=1)*(COUNTIF(CONFIG_ASIGNATURAS!$B$7:$B$27,nASIG)&gt;0)*1),"")))</f>
        <v/>
      </c>
      <c r="Z511" t="str">
        <f>IF(Y511="","",IF(Y511="[FÓRMULA MANUAL]","",IFERROR(AVERAGEIFS(nNOTA,nNIA,Y511,nCUENTA,1,nASIG,"Análisis"),"")))</f>
        <v/>
      </c>
      <c r="AA511" t="str">
        <f>IF(Y511="","",IF(Y511="[FÓRMULA MANUAL]","",IFERROR(AVERAGEIFS(nNOTA,nNIA,Y511,nCUENTA,1,nASIG,"Orquesta/Banda/Conjunto"),"")))</f>
        <v/>
      </c>
      <c r="AB511" t="str">
        <f>IF(Y511="","",IF(Y511="[FÓRMULA MANUAL]","",IFERROR(AVERAGEIFS(nNOTA,nNIA,Y511,nCUENTA,1,nASIG,"Música de Cámara"),"")))</f>
        <v/>
      </c>
      <c r="AC511" t="str">
        <f>IF(Y511="","",IF(Y511="[FÓRMULA MANUAL]","",IFERROR(SUMPRODUCT((nNIA=Y511)*(nCUENTA=1)*(COUNTIF(CONFIG_ASIGNATURAS!$B$7:$B$27,nASIG)&gt;0)*(nNOTA))/SUMPRODUCT((nNIA=Y511)*(nCUENTA=1)*(COUNTIF(CONFIG_ASIGNATURAS!$B$7:$B$27,nASIG)&gt;0)*1),"")))</f>
        <v/>
      </c>
      <c r="AF511" t="str">
        <f>IF(AE511="","",IF(AE511="[FÓRMULA MANUAL]","",IFERROR(AVERAGEIFS(nNOTA,nNIA,AE511,nCUENTA,1,nASIG,"Análisis"),"")))</f>
        <v/>
      </c>
      <c r="AG511" t="str">
        <f>IF(AE511="","",IF(AE511="[FÓRMULA MANUAL]","",IFERROR(AVERAGEIFS(nNOTA,nNIA,AE511,nCUENTA,1,nASIG,"Orquesta/Banda/Conjunto"),"")))</f>
        <v/>
      </c>
      <c r="AH511" t="str">
        <f>IF(AE511="","",IF(AE511="[FÓRMULA MANUAL]","",IFERROR(AVERAGEIFS(nNOTA,nNIA,AE511,nCUENTA,1,nASIG,"Música de Cámara"),"")))</f>
        <v/>
      </c>
      <c r="AI511" t="str">
        <f>IF(AE511="","",IF(AE511="[FÓRMULA MANUAL]","",IFERROR(SUMPRODUCT((nNIA=AE511)*(nCUENTA=1)*(COUNTIF(CONFIG_ASIGNATURAS!$B$7:$B$27,nASIG)&gt;0)*(nNOTA))/SUMPRODUCT((nNIA=AE511)*(nCUENTA=1)*(COUNTIF(CONFIG_ASIGNATURAS!$B$7:$B$27,nASIG)&gt;0)*1),"")))</f>
        <v/>
      </c>
    </row>
    <row r="512" spans="2:35" x14ac:dyDescent="0.2">
      <c r="B512" t="str">
        <f>IF(A512="","",IF(A512="[FÓRMULA MANUAL]","",IFERROR(AVERAGEIFS(nNOTA,nNIA,A512,nCUENTA,1,nASIG,"Lenguaje Musical"),"")))</f>
        <v/>
      </c>
      <c r="C512" t="str">
        <f>IF(A512="","",IF(A512="[FÓRMULA MANUAL]","",IFERROR(AVERAGEIFS(nNOTA,nNIA,A512,nCUENTA,1,nASIG,"Orquesta/Banda/Conjunto"),"")))</f>
        <v/>
      </c>
      <c r="D512" t="str">
        <f>IF(A512="","",IF(A512="[FÓRMULA MANUAL]","",IFERROR(AVERAGEIFS(nNOTA,nNIA,A512,nCUENTA,1,nASIG,"Conjunto"),"")))</f>
        <v/>
      </c>
      <c r="E512" t="str">
        <f>IF(A512="","",IF(A512="[FÓRMULA MANUAL]","",IFERROR(SUMPRODUCT((nNIA=A512)*(nCUENTA=1)*(COUNTIF(CONFIG_ASIGNATURAS!$B$7:$B$27,nASIG)&gt;0)*(nNOTA))/SUMPRODUCT((nNIA=A512)*(nCUENTA=1)*(COUNTIF(CONFIG_ASIGNATURAS!$B$7:$B$27,nASIG)&gt;0)*1),"")))</f>
        <v/>
      </c>
      <c r="H512" t="str">
        <f>IF(G512="","",IF(G512="[FÓRMULA MANUAL]","",IFERROR(AVERAGEIFS(nNOTA,nNIA,G512,nCUENTA,1,nASIG,"Lenguaje Musical"),"")))</f>
        <v/>
      </c>
      <c r="I512" t="str">
        <f>IF(G512="","",IF(G512="[FÓRMULA MANUAL]","",IFERROR(AVERAGEIFS(nNOTA,nNIA,G512,nCUENTA,1,nASIG,"Orquesta/Banda/Conjunto"),"")))</f>
        <v/>
      </c>
      <c r="J512" t="str">
        <f>IF(G512="","",IF(G512="[FÓRMULA MANUAL]","",IFERROR(AVERAGEIFS(nNOTA,nNIA,G512,nCUENTA,1,nASIG,"Conjunto"),"")))</f>
        <v/>
      </c>
      <c r="K512" t="str">
        <f>IF(G512="","",IF(G512="[FÓRMULA MANUAL]","",IFERROR(SUMPRODUCT((nNIA=G512)*(nCUENTA=1)*(COUNTIF(CONFIG_ASIGNATURAS!$B$7:$B$27,nASIG)&gt;0)*(nNOTA))/SUMPRODUCT((nNIA=G512)*(nCUENTA=1)*(COUNTIF(CONFIG_ASIGNATURAS!$B$7:$B$27,nASIG)&gt;0)*1),"")))</f>
        <v/>
      </c>
      <c r="N512" t="str">
        <f>IF(M512="","",IF(M512="[FÓRMULA MANUAL]","",IFERROR(AVERAGEIFS(nNOTA,nNIA,M512,nCUENTA,1,nASIG,"Armonía"),"")))</f>
        <v/>
      </c>
      <c r="O512" t="str">
        <f>IF(M512="","",IF(M512="[FÓRMULA MANUAL]","",IFERROR(AVERAGEIFS(nNOTA,nNIA,M512,nCUENTA,1,nASIG,"Orquesta/Banda/Conjunto"),"")))</f>
        <v/>
      </c>
      <c r="P512" t="str">
        <f>IF(M512="","",IF(M512="[FÓRMULA MANUAL]","",IFERROR(AVERAGEIFS(nNOTA,nNIA,M512,nCUENTA,1,nASIG,"Música de Cámara"),"")))</f>
        <v/>
      </c>
      <c r="Q512" t="str">
        <f>IF(M512="","",IF(M512="[FÓRMULA MANUAL]","",IFERROR(SUMPRODUCT((nNIA=M512)*(nCUENTA=1)*(COUNTIF(CONFIG_ASIGNATURAS!$B$7:$B$27,nASIG)&gt;0)*(nNOTA))/SUMPRODUCT((nNIA=M512)*(nCUENTA=1)*(COUNTIF(CONFIG_ASIGNATURAS!$B$7:$B$27,nASIG)&gt;0)*1),"")))</f>
        <v/>
      </c>
      <c r="T512" t="str">
        <f>IF(S512="","",IF(S512="[FÓRMULA MANUAL]","",IFERROR(AVERAGEIFS(nNOTA,nNIA,S512,nCUENTA,1,nASIG,"Armonía"),"")))</f>
        <v/>
      </c>
      <c r="U512" t="str">
        <f>IF(S512="","",IF(S512="[FÓRMULA MANUAL]","",IFERROR(AVERAGEIFS(nNOTA,nNIA,S512,nCUENTA,1,nASIG,"Orquesta/Banda/Conjunto"),"")))</f>
        <v/>
      </c>
      <c r="V512" t="str">
        <f>IF(S512="","",IF(S512="[FÓRMULA MANUAL]","",IFERROR(AVERAGEIFS(nNOTA,nNIA,S512,nCUENTA,1,nASIG,"Música de Cámara"),"")))</f>
        <v/>
      </c>
      <c r="W512" t="str">
        <f>IF(S512="","",IF(S512="[FÓRMULA MANUAL]","",IFERROR(SUMPRODUCT((nNIA=S512)*(nCUENTA=1)*(COUNTIF(CONFIG_ASIGNATURAS!$B$7:$B$27,nASIG)&gt;0)*(nNOTA))/SUMPRODUCT((nNIA=S512)*(nCUENTA=1)*(COUNTIF(CONFIG_ASIGNATURAS!$B$7:$B$27,nASIG)&gt;0)*1),"")))</f>
        <v/>
      </c>
      <c r="Z512" t="str">
        <f>IF(Y512="","",IF(Y512="[FÓRMULA MANUAL]","",IFERROR(AVERAGEIFS(nNOTA,nNIA,Y512,nCUENTA,1,nASIG,"Análisis"),"")))</f>
        <v/>
      </c>
      <c r="AA512" t="str">
        <f>IF(Y512="","",IF(Y512="[FÓRMULA MANUAL]","",IFERROR(AVERAGEIFS(nNOTA,nNIA,Y512,nCUENTA,1,nASIG,"Orquesta/Banda/Conjunto"),"")))</f>
        <v/>
      </c>
      <c r="AB512" t="str">
        <f>IF(Y512="","",IF(Y512="[FÓRMULA MANUAL]","",IFERROR(AVERAGEIFS(nNOTA,nNIA,Y512,nCUENTA,1,nASIG,"Música de Cámara"),"")))</f>
        <v/>
      </c>
      <c r="AC512" t="str">
        <f>IF(Y512="","",IF(Y512="[FÓRMULA MANUAL]","",IFERROR(SUMPRODUCT((nNIA=Y512)*(nCUENTA=1)*(COUNTIF(CONFIG_ASIGNATURAS!$B$7:$B$27,nASIG)&gt;0)*(nNOTA))/SUMPRODUCT((nNIA=Y512)*(nCUENTA=1)*(COUNTIF(CONFIG_ASIGNATURAS!$B$7:$B$27,nASIG)&gt;0)*1),"")))</f>
        <v/>
      </c>
      <c r="AF512" t="str">
        <f>IF(AE512="","",IF(AE512="[FÓRMULA MANUAL]","",IFERROR(AVERAGEIFS(nNOTA,nNIA,AE512,nCUENTA,1,nASIG,"Análisis"),"")))</f>
        <v/>
      </c>
      <c r="AG512" t="str">
        <f>IF(AE512="","",IF(AE512="[FÓRMULA MANUAL]","",IFERROR(AVERAGEIFS(nNOTA,nNIA,AE512,nCUENTA,1,nASIG,"Orquesta/Banda/Conjunto"),"")))</f>
        <v/>
      </c>
      <c r="AH512" t="str">
        <f>IF(AE512="","",IF(AE512="[FÓRMULA MANUAL]","",IFERROR(AVERAGEIFS(nNOTA,nNIA,AE512,nCUENTA,1,nASIG,"Música de Cámara"),"")))</f>
        <v/>
      </c>
      <c r="AI512" t="str">
        <f>IF(AE512="","",IF(AE512="[FÓRMULA MANUAL]","",IFERROR(SUMPRODUCT((nNIA=AE512)*(nCUENTA=1)*(COUNTIF(CONFIG_ASIGNATURAS!$B$7:$B$27,nASIG)&gt;0)*(nNOTA))/SUMPRODUCT((nNIA=AE512)*(nCUENTA=1)*(COUNTIF(CONFIG_ASIGNATURAS!$B$7:$B$27,nASIG)&gt;0)*1),"")))</f>
        <v/>
      </c>
    </row>
    <row r="513" spans="2:35" x14ac:dyDescent="0.2">
      <c r="B513" t="str">
        <f>IF(A513="","",IF(A513="[FÓRMULA MANUAL]","",IFERROR(AVERAGEIFS(nNOTA,nNIA,A513,nCUENTA,1,nASIG,"Lenguaje Musical"),"")))</f>
        <v/>
      </c>
      <c r="C513" t="str">
        <f>IF(A513="","",IF(A513="[FÓRMULA MANUAL]","",IFERROR(AVERAGEIFS(nNOTA,nNIA,A513,nCUENTA,1,nASIG,"Orquesta/Banda/Conjunto"),"")))</f>
        <v/>
      </c>
      <c r="D513" t="str">
        <f>IF(A513="","",IF(A513="[FÓRMULA MANUAL]","",IFERROR(AVERAGEIFS(nNOTA,nNIA,A513,nCUENTA,1,nASIG,"Conjunto"),"")))</f>
        <v/>
      </c>
      <c r="E513" t="str">
        <f>IF(A513="","",IF(A513="[FÓRMULA MANUAL]","",IFERROR(SUMPRODUCT((nNIA=A513)*(nCUENTA=1)*(COUNTIF(CONFIG_ASIGNATURAS!$B$7:$B$27,nASIG)&gt;0)*(nNOTA))/SUMPRODUCT((nNIA=A513)*(nCUENTA=1)*(COUNTIF(CONFIG_ASIGNATURAS!$B$7:$B$27,nASIG)&gt;0)*1),"")))</f>
        <v/>
      </c>
      <c r="H513" t="str">
        <f>IF(G513="","",IF(G513="[FÓRMULA MANUAL]","",IFERROR(AVERAGEIFS(nNOTA,nNIA,G513,nCUENTA,1,nASIG,"Lenguaje Musical"),"")))</f>
        <v/>
      </c>
      <c r="I513" t="str">
        <f>IF(G513="","",IF(G513="[FÓRMULA MANUAL]","",IFERROR(AVERAGEIFS(nNOTA,nNIA,G513,nCUENTA,1,nASIG,"Orquesta/Banda/Conjunto"),"")))</f>
        <v/>
      </c>
      <c r="J513" t="str">
        <f>IF(G513="","",IF(G513="[FÓRMULA MANUAL]","",IFERROR(AVERAGEIFS(nNOTA,nNIA,G513,nCUENTA,1,nASIG,"Conjunto"),"")))</f>
        <v/>
      </c>
      <c r="K513" t="str">
        <f>IF(G513="","",IF(G513="[FÓRMULA MANUAL]","",IFERROR(SUMPRODUCT((nNIA=G513)*(nCUENTA=1)*(COUNTIF(CONFIG_ASIGNATURAS!$B$7:$B$27,nASIG)&gt;0)*(nNOTA))/SUMPRODUCT((nNIA=G513)*(nCUENTA=1)*(COUNTIF(CONFIG_ASIGNATURAS!$B$7:$B$27,nASIG)&gt;0)*1),"")))</f>
        <v/>
      </c>
      <c r="N513" t="str">
        <f>IF(M513="","",IF(M513="[FÓRMULA MANUAL]","",IFERROR(AVERAGEIFS(nNOTA,nNIA,M513,nCUENTA,1,nASIG,"Armonía"),"")))</f>
        <v/>
      </c>
      <c r="O513" t="str">
        <f>IF(M513="","",IF(M513="[FÓRMULA MANUAL]","",IFERROR(AVERAGEIFS(nNOTA,nNIA,M513,nCUENTA,1,nASIG,"Orquesta/Banda/Conjunto"),"")))</f>
        <v/>
      </c>
      <c r="P513" t="str">
        <f>IF(M513="","",IF(M513="[FÓRMULA MANUAL]","",IFERROR(AVERAGEIFS(nNOTA,nNIA,M513,nCUENTA,1,nASIG,"Música de Cámara"),"")))</f>
        <v/>
      </c>
      <c r="Q513" t="str">
        <f>IF(M513="","",IF(M513="[FÓRMULA MANUAL]","",IFERROR(SUMPRODUCT((nNIA=M513)*(nCUENTA=1)*(COUNTIF(CONFIG_ASIGNATURAS!$B$7:$B$27,nASIG)&gt;0)*(nNOTA))/SUMPRODUCT((nNIA=M513)*(nCUENTA=1)*(COUNTIF(CONFIG_ASIGNATURAS!$B$7:$B$27,nASIG)&gt;0)*1),"")))</f>
        <v/>
      </c>
      <c r="T513" t="str">
        <f>IF(S513="","",IF(S513="[FÓRMULA MANUAL]","",IFERROR(AVERAGEIFS(nNOTA,nNIA,S513,nCUENTA,1,nASIG,"Armonía"),"")))</f>
        <v/>
      </c>
      <c r="U513" t="str">
        <f>IF(S513="","",IF(S513="[FÓRMULA MANUAL]","",IFERROR(AVERAGEIFS(nNOTA,nNIA,S513,nCUENTA,1,nASIG,"Orquesta/Banda/Conjunto"),"")))</f>
        <v/>
      </c>
      <c r="V513" t="str">
        <f>IF(S513="","",IF(S513="[FÓRMULA MANUAL]","",IFERROR(AVERAGEIFS(nNOTA,nNIA,S513,nCUENTA,1,nASIG,"Música de Cámara"),"")))</f>
        <v/>
      </c>
      <c r="W513" t="str">
        <f>IF(S513="","",IF(S513="[FÓRMULA MANUAL]","",IFERROR(SUMPRODUCT((nNIA=S513)*(nCUENTA=1)*(COUNTIF(CONFIG_ASIGNATURAS!$B$7:$B$27,nASIG)&gt;0)*(nNOTA))/SUMPRODUCT((nNIA=S513)*(nCUENTA=1)*(COUNTIF(CONFIG_ASIGNATURAS!$B$7:$B$27,nASIG)&gt;0)*1),"")))</f>
        <v/>
      </c>
      <c r="Z513" t="str">
        <f>IF(Y513="","",IF(Y513="[FÓRMULA MANUAL]","",IFERROR(AVERAGEIFS(nNOTA,nNIA,Y513,nCUENTA,1,nASIG,"Análisis"),"")))</f>
        <v/>
      </c>
      <c r="AA513" t="str">
        <f>IF(Y513="","",IF(Y513="[FÓRMULA MANUAL]","",IFERROR(AVERAGEIFS(nNOTA,nNIA,Y513,nCUENTA,1,nASIG,"Orquesta/Banda/Conjunto"),"")))</f>
        <v/>
      </c>
      <c r="AB513" t="str">
        <f>IF(Y513="","",IF(Y513="[FÓRMULA MANUAL]","",IFERROR(AVERAGEIFS(nNOTA,nNIA,Y513,nCUENTA,1,nASIG,"Música de Cámara"),"")))</f>
        <v/>
      </c>
      <c r="AC513" t="str">
        <f>IF(Y513="","",IF(Y513="[FÓRMULA MANUAL]","",IFERROR(SUMPRODUCT((nNIA=Y513)*(nCUENTA=1)*(COUNTIF(CONFIG_ASIGNATURAS!$B$7:$B$27,nASIG)&gt;0)*(nNOTA))/SUMPRODUCT((nNIA=Y513)*(nCUENTA=1)*(COUNTIF(CONFIG_ASIGNATURAS!$B$7:$B$27,nASIG)&gt;0)*1),"")))</f>
        <v/>
      </c>
      <c r="AF513" t="str">
        <f>IF(AE513="","",IF(AE513="[FÓRMULA MANUAL]","",IFERROR(AVERAGEIFS(nNOTA,nNIA,AE513,nCUENTA,1,nASIG,"Análisis"),"")))</f>
        <v/>
      </c>
      <c r="AG513" t="str">
        <f>IF(AE513="","",IF(AE513="[FÓRMULA MANUAL]","",IFERROR(AVERAGEIFS(nNOTA,nNIA,AE513,nCUENTA,1,nASIG,"Orquesta/Banda/Conjunto"),"")))</f>
        <v/>
      </c>
      <c r="AH513" t="str">
        <f>IF(AE513="","",IF(AE513="[FÓRMULA MANUAL]","",IFERROR(AVERAGEIFS(nNOTA,nNIA,AE513,nCUENTA,1,nASIG,"Música de Cámara"),"")))</f>
        <v/>
      </c>
      <c r="AI513" t="str">
        <f>IF(AE513="","",IF(AE513="[FÓRMULA MANUAL]","",IFERROR(SUMPRODUCT((nNIA=AE513)*(nCUENTA=1)*(COUNTIF(CONFIG_ASIGNATURAS!$B$7:$B$27,nASIG)&gt;0)*(nNOTA))/SUMPRODUCT((nNIA=AE513)*(nCUENTA=1)*(COUNTIF(CONFIG_ASIGNATURAS!$B$7:$B$27,nASIG)&gt;0)*1),"")))</f>
        <v/>
      </c>
    </row>
    <row r="514" spans="2:35" x14ac:dyDescent="0.2">
      <c r="B514" t="str">
        <f>IF(A514="","",IF(A514="[FÓRMULA MANUAL]","",IFERROR(AVERAGEIFS(nNOTA,nNIA,A514,nCUENTA,1,nASIG,"Lenguaje Musical"),"")))</f>
        <v/>
      </c>
      <c r="C514" t="str">
        <f>IF(A514="","",IF(A514="[FÓRMULA MANUAL]","",IFERROR(AVERAGEIFS(nNOTA,nNIA,A514,nCUENTA,1,nASIG,"Orquesta/Banda/Conjunto"),"")))</f>
        <v/>
      </c>
      <c r="D514" t="str">
        <f>IF(A514="","",IF(A514="[FÓRMULA MANUAL]","",IFERROR(AVERAGEIFS(nNOTA,nNIA,A514,nCUENTA,1,nASIG,"Conjunto"),"")))</f>
        <v/>
      </c>
      <c r="E514" t="str">
        <f>IF(A514="","",IF(A514="[FÓRMULA MANUAL]","",IFERROR(SUMPRODUCT((nNIA=A514)*(nCUENTA=1)*(COUNTIF(CONFIG_ASIGNATURAS!$B$7:$B$27,nASIG)&gt;0)*(nNOTA))/SUMPRODUCT((nNIA=A514)*(nCUENTA=1)*(COUNTIF(CONFIG_ASIGNATURAS!$B$7:$B$27,nASIG)&gt;0)*1),"")))</f>
        <v/>
      </c>
      <c r="H514" t="str">
        <f>IF(G514="","",IF(G514="[FÓRMULA MANUAL]","",IFERROR(AVERAGEIFS(nNOTA,nNIA,G514,nCUENTA,1,nASIG,"Lenguaje Musical"),"")))</f>
        <v/>
      </c>
      <c r="I514" t="str">
        <f>IF(G514="","",IF(G514="[FÓRMULA MANUAL]","",IFERROR(AVERAGEIFS(nNOTA,nNIA,G514,nCUENTA,1,nASIG,"Orquesta/Banda/Conjunto"),"")))</f>
        <v/>
      </c>
      <c r="J514" t="str">
        <f>IF(G514="","",IF(G514="[FÓRMULA MANUAL]","",IFERROR(AVERAGEIFS(nNOTA,nNIA,G514,nCUENTA,1,nASIG,"Conjunto"),"")))</f>
        <v/>
      </c>
      <c r="K514" t="str">
        <f>IF(G514="","",IF(G514="[FÓRMULA MANUAL]","",IFERROR(SUMPRODUCT((nNIA=G514)*(nCUENTA=1)*(COUNTIF(CONFIG_ASIGNATURAS!$B$7:$B$27,nASIG)&gt;0)*(nNOTA))/SUMPRODUCT((nNIA=G514)*(nCUENTA=1)*(COUNTIF(CONFIG_ASIGNATURAS!$B$7:$B$27,nASIG)&gt;0)*1),"")))</f>
        <v/>
      </c>
      <c r="N514" t="str">
        <f>IF(M514="","",IF(M514="[FÓRMULA MANUAL]","",IFERROR(AVERAGEIFS(nNOTA,nNIA,M514,nCUENTA,1,nASIG,"Armonía"),"")))</f>
        <v/>
      </c>
      <c r="O514" t="str">
        <f>IF(M514="","",IF(M514="[FÓRMULA MANUAL]","",IFERROR(AVERAGEIFS(nNOTA,nNIA,M514,nCUENTA,1,nASIG,"Orquesta/Banda/Conjunto"),"")))</f>
        <v/>
      </c>
      <c r="P514" t="str">
        <f>IF(M514="","",IF(M514="[FÓRMULA MANUAL]","",IFERROR(AVERAGEIFS(nNOTA,nNIA,M514,nCUENTA,1,nASIG,"Música de Cámara"),"")))</f>
        <v/>
      </c>
      <c r="Q514" t="str">
        <f>IF(M514="","",IF(M514="[FÓRMULA MANUAL]","",IFERROR(SUMPRODUCT((nNIA=M514)*(nCUENTA=1)*(COUNTIF(CONFIG_ASIGNATURAS!$B$7:$B$27,nASIG)&gt;0)*(nNOTA))/SUMPRODUCT((nNIA=M514)*(nCUENTA=1)*(COUNTIF(CONFIG_ASIGNATURAS!$B$7:$B$27,nASIG)&gt;0)*1),"")))</f>
        <v/>
      </c>
      <c r="T514" t="str">
        <f>IF(S514="","",IF(S514="[FÓRMULA MANUAL]","",IFERROR(AVERAGEIFS(nNOTA,nNIA,S514,nCUENTA,1,nASIG,"Armonía"),"")))</f>
        <v/>
      </c>
      <c r="U514" t="str">
        <f>IF(S514="","",IF(S514="[FÓRMULA MANUAL]","",IFERROR(AVERAGEIFS(nNOTA,nNIA,S514,nCUENTA,1,nASIG,"Orquesta/Banda/Conjunto"),"")))</f>
        <v/>
      </c>
      <c r="V514" t="str">
        <f>IF(S514="","",IF(S514="[FÓRMULA MANUAL]","",IFERROR(AVERAGEIFS(nNOTA,nNIA,S514,nCUENTA,1,nASIG,"Música de Cámara"),"")))</f>
        <v/>
      </c>
      <c r="W514" t="str">
        <f>IF(S514="","",IF(S514="[FÓRMULA MANUAL]","",IFERROR(SUMPRODUCT((nNIA=S514)*(nCUENTA=1)*(COUNTIF(CONFIG_ASIGNATURAS!$B$7:$B$27,nASIG)&gt;0)*(nNOTA))/SUMPRODUCT((nNIA=S514)*(nCUENTA=1)*(COUNTIF(CONFIG_ASIGNATURAS!$B$7:$B$27,nASIG)&gt;0)*1),"")))</f>
        <v/>
      </c>
      <c r="Z514" t="str">
        <f>IF(Y514="","",IF(Y514="[FÓRMULA MANUAL]","",IFERROR(AVERAGEIFS(nNOTA,nNIA,Y514,nCUENTA,1,nASIG,"Análisis"),"")))</f>
        <v/>
      </c>
      <c r="AA514" t="str">
        <f>IF(Y514="","",IF(Y514="[FÓRMULA MANUAL]","",IFERROR(AVERAGEIFS(nNOTA,nNIA,Y514,nCUENTA,1,nASIG,"Orquesta/Banda/Conjunto"),"")))</f>
        <v/>
      </c>
      <c r="AB514" t="str">
        <f>IF(Y514="","",IF(Y514="[FÓRMULA MANUAL]","",IFERROR(AVERAGEIFS(nNOTA,nNIA,Y514,nCUENTA,1,nASIG,"Música de Cámara"),"")))</f>
        <v/>
      </c>
      <c r="AC514" t="str">
        <f>IF(Y514="","",IF(Y514="[FÓRMULA MANUAL]","",IFERROR(SUMPRODUCT((nNIA=Y514)*(nCUENTA=1)*(COUNTIF(CONFIG_ASIGNATURAS!$B$7:$B$27,nASIG)&gt;0)*(nNOTA))/SUMPRODUCT((nNIA=Y514)*(nCUENTA=1)*(COUNTIF(CONFIG_ASIGNATURAS!$B$7:$B$27,nASIG)&gt;0)*1),"")))</f>
        <v/>
      </c>
      <c r="AF514" t="str">
        <f>IF(AE514="","",IF(AE514="[FÓRMULA MANUAL]","",IFERROR(AVERAGEIFS(nNOTA,nNIA,AE514,nCUENTA,1,nASIG,"Análisis"),"")))</f>
        <v/>
      </c>
      <c r="AG514" t="str">
        <f>IF(AE514="","",IF(AE514="[FÓRMULA MANUAL]","",IFERROR(AVERAGEIFS(nNOTA,nNIA,AE514,nCUENTA,1,nASIG,"Orquesta/Banda/Conjunto"),"")))</f>
        <v/>
      </c>
      <c r="AH514" t="str">
        <f>IF(AE514="","",IF(AE514="[FÓRMULA MANUAL]","",IFERROR(AVERAGEIFS(nNOTA,nNIA,AE514,nCUENTA,1,nASIG,"Música de Cámara"),"")))</f>
        <v/>
      </c>
      <c r="AI514" t="str">
        <f>IF(AE514="","",IF(AE514="[FÓRMULA MANUAL]","",IFERROR(SUMPRODUCT((nNIA=AE514)*(nCUENTA=1)*(COUNTIF(CONFIG_ASIGNATURAS!$B$7:$B$27,nASIG)&gt;0)*(nNOTA))/SUMPRODUCT((nNIA=AE514)*(nCUENTA=1)*(COUNTIF(CONFIG_ASIGNATURAS!$B$7:$B$27,nASIG)&gt;0)*1),"")))</f>
        <v/>
      </c>
    </row>
    <row r="515" spans="2:35" x14ac:dyDescent="0.2">
      <c r="B515" t="str">
        <f>IF(A515="","",IF(A515="[FÓRMULA MANUAL]","",IFERROR(AVERAGEIFS(nNOTA,nNIA,A515,nCUENTA,1,nASIG,"Lenguaje Musical"),"")))</f>
        <v/>
      </c>
      <c r="C515" t="str">
        <f>IF(A515="","",IF(A515="[FÓRMULA MANUAL]","",IFERROR(AVERAGEIFS(nNOTA,nNIA,A515,nCUENTA,1,nASIG,"Orquesta/Banda/Conjunto"),"")))</f>
        <v/>
      </c>
      <c r="D515" t="str">
        <f>IF(A515="","",IF(A515="[FÓRMULA MANUAL]","",IFERROR(AVERAGEIFS(nNOTA,nNIA,A515,nCUENTA,1,nASIG,"Conjunto"),"")))</f>
        <v/>
      </c>
      <c r="E515" t="str">
        <f>IF(A515="","",IF(A515="[FÓRMULA MANUAL]","",IFERROR(SUMPRODUCT((nNIA=A515)*(nCUENTA=1)*(COUNTIF(CONFIG_ASIGNATURAS!$B$7:$B$27,nASIG)&gt;0)*(nNOTA))/SUMPRODUCT((nNIA=A515)*(nCUENTA=1)*(COUNTIF(CONFIG_ASIGNATURAS!$B$7:$B$27,nASIG)&gt;0)*1),"")))</f>
        <v/>
      </c>
      <c r="H515" t="str">
        <f>IF(G515="","",IF(G515="[FÓRMULA MANUAL]","",IFERROR(AVERAGEIFS(nNOTA,nNIA,G515,nCUENTA,1,nASIG,"Lenguaje Musical"),"")))</f>
        <v/>
      </c>
      <c r="I515" t="str">
        <f>IF(G515="","",IF(G515="[FÓRMULA MANUAL]","",IFERROR(AVERAGEIFS(nNOTA,nNIA,G515,nCUENTA,1,nASIG,"Orquesta/Banda/Conjunto"),"")))</f>
        <v/>
      </c>
      <c r="J515" t="str">
        <f>IF(G515="","",IF(G515="[FÓRMULA MANUAL]","",IFERROR(AVERAGEIFS(nNOTA,nNIA,G515,nCUENTA,1,nASIG,"Conjunto"),"")))</f>
        <v/>
      </c>
      <c r="K515" t="str">
        <f>IF(G515="","",IF(G515="[FÓRMULA MANUAL]","",IFERROR(SUMPRODUCT((nNIA=G515)*(nCUENTA=1)*(COUNTIF(CONFIG_ASIGNATURAS!$B$7:$B$27,nASIG)&gt;0)*(nNOTA))/SUMPRODUCT((nNIA=G515)*(nCUENTA=1)*(COUNTIF(CONFIG_ASIGNATURAS!$B$7:$B$27,nASIG)&gt;0)*1),"")))</f>
        <v/>
      </c>
      <c r="N515" t="str">
        <f>IF(M515="","",IF(M515="[FÓRMULA MANUAL]","",IFERROR(AVERAGEIFS(nNOTA,nNIA,M515,nCUENTA,1,nASIG,"Armonía"),"")))</f>
        <v/>
      </c>
      <c r="O515" t="str">
        <f>IF(M515="","",IF(M515="[FÓRMULA MANUAL]","",IFERROR(AVERAGEIFS(nNOTA,nNIA,M515,nCUENTA,1,nASIG,"Orquesta/Banda/Conjunto"),"")))</f>
        <v/>
      </c>
      <c r="P515" t="str">
        <f>IF(M515="","",IF(M515="[FÓRMULA MANUAL]","",IFERROR(AVERAGEIFS(nNOTA,nNIA,M515,nCUENTA,1,nASIG,"Música de Cámara"),"")))</f>
        <v/>
      </c>
      <c r="Q515" t="str">
        <f>IF(M515="","",IF(M515="[FÓRMULA MANUAL]","",IFERROR(SUMPRODUCT((nNIA=M515)*(nCUENTA=1)*(COUNTIF(CONFIG_ASIGNATURAS!$B$7:$B$27,nASIG)&gt;0)*(nNOTA))/SUMPRODUCT((nNIA=M515)*(nCUENTA=1)*(COUNTIF(CONFIG_ASIGNATURAS!$B$7:$B$27,nASIG)&gt;0)*1),"")))</f>
        <v/>
      </c>
      <c r="T515" t="str">
        <f>IF(S515="","",IF(S515="[FÓRMULA MANUAL]","",IFERROR(AVERAGEIFS(nNOTA,nNIA,S515,nCUENTA,1,nASIG,"Armonía"),"")))</f>
        <v/>
      </c>
      <c r="U515" t="str">
        <f>IF(S515="","",IF(S515="[FÓRMULA MANUAL]","",IFERROR(AVERAGEIFS(nNOTA,nNIA,S515,nCUENTA,1,nASIG,"Orquesta/Banda/Conjunto"),"")))</f>
        <v/>
      </c>
      <c r="V515" t="str">
        <f>IF(S515="","",IF(S515="[FÓRMULA MANUAL]","",IFERROR(AVERAGEIFS(nNOTA,nNIA,S515,nCUENTA,1,nASIG,"Música de Cámara"),"")))</f>
        <v/>
      </c>
      <c r="W515" t="str">
        <f>IF(S515="","",IF(S515="[FÓRMULA MANUAL]","",IFERROR(SUMPRODUCT((nNIA=S515)*(nCUENTA=1)*(COUNTIF(CONFIG_ASIGNATURAS!$B$7:$B$27,nASIG)&gt;0)*(nNOTA))/SUMPRODUCT((nNIA=S515)*(nCUENTA=1)*(COUNTIF(CONFIG_ASIGNATURAS!$B$7:$B$27,nASIG)&gt;0)*1),"")))</f>
        <v/>
      </c>
      <c r="Z515" t="str">
        <f>IF(Y515="","",IF(Y515="[FÓRMULA MANUAL]","",IFERROR(AVERAGEIFS(nNOTA,nNIA,Y515,nCUENTA,1,nASIG,"Análisis"),"")))</f>
        <v/>
      </c>
      <c r="AA515" t="str">
        <f>IF(Y515="","",IF(Y515="[FÓRMULA MANUAL]","",IFERROR(AVERAGEIFS(nNOTA,nNIA,Y515,nCUENTA,1,nASIG,"Orquesta/Banda/Conjunto"),"")))</f>
        <v/>
      </c>
      <c r="AB515" t="str">
        <f>IF(Y515="","",IF(Y515="[FÓRMULA MANUAL]","",IFERROR(AVERAGEIFS(nNOTA,nNIA,Y515,nCUENTA,1,nASIG,"Música de Cámara"),"")))</f>
        <v/>
      </c>
      <c r="AC515" t="str">
        <f>IF(Y515="","",IF(Y515="[FÓRMULA MANUAL]","",IFERROR(SUMPRODUCT((nNIA=Y515)*(nCUENTA=1)*(COUNTIF(CONFIG_ASIGNATURAS!$B$7:$B$27,nASIG)&gt;0)*(nNOTA))/SUMPRODUCT((nNIA=Y515)*(nCUENTA=1)*(COUNTIF(CONFIG_ASIGNATURAS!$B$7:$B$27,nASIG)&gt;0)*1),"")))</f>
        <v/>
      </c>
      <c r="AF515" t="str">
        <f>IF(AE515="","",IF(AE515="[FÓRMULA MANUAL]","",IFERROR(AVERAGEIFS(nNOTA,nNIA,AE515,nCUENTA,1,nASIG,"Análisis"),"")))</f>
        <v/>
      </c>
      <c r="AG515" t="str">
        <f>IF(AE515="","",IF(AE515="[FÓRMULA MANUAL]","",IFERROR(AVERAGEIFS(nNOTA,nNIA,AE515,nCUENTA,1,nASIG,"Orquesta/Banda/Conjunto"),"")))</f>
        <v/>
      </c>
      <c r="AH515" t="str">
        <f>IF(AE515="","",IF(AE515="[FÓRMULA MANUAL]","",IFERROR(AVERAGEIFS(nNOTA,nNIA,AE515,nCUENTA,1,nASIG,"Música de Cámara"),"")))</f>
        <v/>
      </c>
      <c r="AI515" t="str">
        <f>IF(AE515="","",IF(AE515="[FÓRMULA MANUAL]","",IFERROR(SUMPRODUCT((nNIA=AE515)*(nCUENTA=1)*(COUNTIF(CONFIG_ASIGNATURAS!$B$7:$B$27,nASIG)&gt;0)*(nNOTA))/SUMPRODUCT((nNIA=AE515)*(nCUENTA=1)*(COUNTIF(CONFIG_ASIGNATURAS!$B$7:$B$27,nASIG)&gt;0)*1),"")))</f>
        <v/>
      </c>
    </row>
    <row r="516" spans="2:35" x14ac:dyDescent="0.2">
      <c r="B516" t="str">
        <f>IF(A516="","",IF(A516="[FÓRMULA MANUAL]","",IFERROR(AVERAGEIFS(nNOTA,nNIA,A516,nCUENTA,1,nASIG,"Lenguaje Musical"),"")))</f>
        <v/>
      </c>
      <c r="C516" t="str">
        <f>IF(A516="","",IF(A516="[FÓRMULA MANUAL]","",IFERROR(AVERAGEIFS(nNOTA,nNIA,A516,nCUENTA,1,nASIG,"Orquesta/Banda/Conjunto"),"")))</f>
        <v/>
      </c>
      <c r="D516" t="str">
        <f>IF(A516="","",IF(A516="[FÓRMULA MANUAL]","",IFERROR(AVERAGEIFS(nNOTA,nNIA,A516,nCUENTA,1,nASIG,"Conjunto"),"")))</f>
        <v/>
      </c>
      <c r="E516" t="str">
        <f>IF(A516="","",IF(A516="[FÓRMULA MANUAL]","",IFERROR(SUMPRODUCT((nNIA=A516)*(nCUENTA=1)*(COUNTIF(CONFIG_ASIGNATURAS!$B$7:$B$27,nASIG)&gt;0)*(nNOTA))/SUMPRODUCT((nNIA=A516)*(nCUENTA=1)*(COUNTIF(CONFIG_ASIGNATURAS!$B$7:$B$27,nASIG)&gt;0)*1),"")))</f>
        <v/>
      </c>
      <c r="H516" t="str">
        <f>IF(G516="","",IF(G516="[FÓRMULA MANUAL]","",IFERROR(AVERAGEIFS(nNOTA,nNIA,G516,nCUENTA,1,nASIG,"Lenguaje Musical"),"")))</f>
        <v/>
      </c>
      <c r="I516" t="str">
        <f>IF(G516="","",IF(G516="[FÓRMULA MANUAL]","",IFERROR(AVERAGEIFS(nNOTA,nNIA,G516,nCUENTA,1,nASIG,"Orquesta/Banda/Conjunto"),"")))</f>
        <v/>
      </c>
      <c r="J516" t="str">
        <f>IF(G516="","",IF(G516="[FÓRMULA MANUAL]","",IFERROR(AVERAGEIFS(nNOTA,nNIA,G516,nCUENTA,1,nASIG,"Conjunto"),"")))</f>
        <v/>
      </c>
      <c r="K516" t="str">
        <f>IF(G516="","",IF(G516="[FÓRMULA MANUAL]","",IFERROR(SUMPRODUCT((nNIA=G516)*(nCUENTA=1)*(COUNTIF(CONFIG_ASIGNATURAS!$B$7:$B$27,nASIG)&gt;0)*(nNOTA))/SUMPRODUCT((nNIA=G516)*(nCUENTA=1)*(COUNTIF(CONFIG_ASIGNATURAS!$B$7:$B$27,nASIG)&gt;0)*1),"")))</f>
        <v/>
      </c>
      <c r="N516" t="str">
        <f>IF(M516="","",IF(M516="[FÓRMULA MANUAL]","",IFERROR(AVERAGEIFS(nNOTA,nNIA,M516,nCUENTA,1,nASIG,"Armonía"),"")))</f>
        <v/>
      </c>
      <c r="O516" t="str">
        <f>IF(M516="","",IF(M516="[FÓRMULA MANUAL]","",IFERROR(AVERAGEIFS(nNOTA,nNIA,M516,nCUENTA,1,nASIG,"Orquesta/Banda/Conjunto"),"")))</f>
        <v/>
      </c>
      <c r="P516" t="str">
        <f>IF(M516="","",IF(M516="[FÓRMULA MANUAL]","",IFERROR(AVERAGEIFS(nNOTA,nNIA,M516,nCUENTA,1,nASIG,"Música de Cámara"),"")))</f>
        <v/>
      </c>
      <c r="Q516" t="str">
        <f>IF(M516="","",IF(M516="[FÓRMULA MANUAL]","",IFERROR(SUMPRODUCT((nNIA=M516)*(nCUENTA=1)*(COUNTIF(CONFIG_ASIGNATURAS!$B$7:$B$27,nASIG)&gt;0)*(nNOTA))/SUMPRODUCT((nNIA=M516)*(nCUENTA=1)*(COUNTIF(CONFIG_ASIGNATURAS!$B$7:$B$27,nASIG)&gt;0)*1),"")))</f>
        <v/>
      </c>
      <c r="T516" t="str">
        <f>IF(S516="","",IF(S516="[FÓRMULA MANUAL]","",IFERROR(AVERAGEIFS(nNOTA,nNIA,S516,nCUENTA,1,nASIG,"Armonía"),"")))</f>
        <v/>
      </c>
      <c r="U516" t="str">
        <f>IF(S516="","",IF(S516="[FÓRMULA MANUAL]","",IFERROR(AVERAGEIFS(nNOTA,nNIA,S516,nCUENTA,1,nASIG,"Orquesta/Banda/Conjunto"),"")))</f>
        <v/>
      </c>
      <c r="V516" t="str">
        <f>IF(S516="","",IF(S516="[FÓRMULA MANUAL]","",IFERROR(AVERAGEIFS(nNOTA,nNIA,S516,nCUENTA,1,nASIG,"Música de Cámara"),"")))</f>
        <v/>
      </c>
      <c r="W516" t="str">
        <f>IF(S516="","",IF(S516="[FÓRMULA MANUAL]","",IFERROR(SUMPRODUCT((nNIA=S516)*(nCUENTA=1)*(COUNTIF(CONFIG_ASIGNATURAS!$B$7:$B$27,nASIG)&gt;0)*(nNOTA))/SUMPRODUCT((nNIA=S516)*(nCUENTA=1)*(COUNTIF(CONFIG_ASIGNATURAS!$B$7:$B$27,nASIG)&gt;0)*1),"")))</f>
        <v/>
      </c>
      <c r="Z516" t="str">
        <f>IF(Y516="","",IF(Y516="[FÓRMULA MANUAL]","",IFERROR(AVERAGEIFS(nNOTA,nNIA,Y516,nCUENTA,1,nASIG,"Análisis"),"")))</f>
        <v/>
      </c>
      <c r="AA516" t="str">
        <f>IF(Y516="","",IF(Y516="[FÓRMULA MANUAL]","",IFERROR(AVERAGEIFS(nNOTA,nNIA,Y516,nCUENTA,1,nASIG,"Orquesta/Banda/Conjunto"),"")))</f>
        <v/>
      </c>
      <c r="AB516" t="str">
        <f>IF(Y516="","",IF(Y516="[FÓRMULA MANUAL]","",IFERROR(AVERAGEIFS(nNOTA,nNIA,Y516,nCUENTA,1,nASIG,"Música de Cámara"),"")))</f>
        <v/>
      </c>
      <c r="AC516" t="str">
        <f>IF(Y516="","",IF(Y516="[FÓRMULA MANUAL]","",IFERROR(SUMPRODUCT((nNIA=Y516)*(nCUENTA=1)*(COUNTIF(CONFIG_ASIGNATURAS!$B$7:$B$27,nASIG)&gt;0)*(nNOTA))/SUMPRODUCT((nNIA=Y516)*(nCUENTA=1)*(COUNTIF(CONFIG_ASIGNATURAS!$B$7:$B$27,nASIG)&gt;0)*1),"")))</f>
        <v/>
      </c>
      <c r="AF516" t="str">
        <f>IF(AE516="","",IF(AE516="[FÓRMULA MANUAL]","",IFERROR(AVERAGEIFS(nNOTA,nNIA,AE516,nCUENTA,1,nASIG,"Análisis"),"")))</f>
        <v/>
      </c>
      <c r="AG516" t="str">
        <f>IF(AE516="","",IF(AE516="[FÓRMULA MANUAL]","",IFERROR(AVERAGEIFS(nNOTA,nNIA,AE516,nCUENTA,1,nASIG,"Orquesta/Banda/Conjunto"),"")))</f>
        <v/>
      </c>
      <c r="AH516" t="str">
        <f>IF(AE516="","",IF(AE516="[FÓRMULA MANUAL]","",IFERROR(AVERAGEIFS(nNOTA,nNIA,AE516,nCUENTA,1,nASIG,"Música de Cámara"),"")))</f>
        <v/>
      </c>
      <c r="AI516" t="str">
        <f>IF(AE516="","",IF(AE516="[FÓRMULA MANUAL]","",IFERROR(SUMPRODUCT((nNIA=AE516)*(nCUENTA=1)*(COUNTIF(CONFIG_ASIGNATURAS!$B$7:$B$27,nASIG)&gt;0)*(nNOTA))/SUMPRODUCT((nNIA=AE516)*(nCUENTA=1)*(COUNTIF(CONFIG_ASIGNATURAS!$B$7:$B$27,nASIG)&gt;0)*1),"")))</f>
        <v/>
      </c>
    </row>
    <row r="517" spans="2:35" x14ac:dyDescent="0.2">
      <c r="B517" t="str">
        <f>IF(A517="","",IF(A517="[FÓRMULA MANUAL]","",IFERROR(AVERAGEIFS(nNOTA,nNIA,A517,nCUENTA,1,nASIG,"Lenguaje Musical"),"")))</f>
        <v/>
      </c>
      <c r="C517" t="str">
        <f>IF(A517="","",IF(A517="[FÓRMULA MANUAL]","",IFERROR(AVERAGEIFS(nNOTA,nNIA,A517,nCUENTA,1,nASIG,"Orquesta/Banda/Conjunto"),"")))</f>
        <v/>
      </c>
      <c r="D517" t="str">
        <f>IF(A517="","",IF(A517="[FÓRMULA MANUAL]","",IFERROR(AVERAGEIFS(nNOTA,nNIA,A517,nCUENTA,1,nASIG,"Conjunto"),"")))</f>
        <v/>
      </c>
      <c r="E517" t="str">
        <f>IF(A517="","",IF(A517="[FÓRMULA MANUAL]","",IFERROR(SUMPRODUCT((nNIA=A517)*(nCUENTA=1)*(COUNTIF(CONFIG_ASIGNATURAS!$B$7:$B$27,nASIG)&gt;0)*(nNOTA))/SUMPRODUCT((nNIA=A517)*(nCUENTA=1)*(COUNTIF(CONFIG_ASIGNATURAS!$B$7:$B$27,nASIG)&gt;0)*1),"")))</f>
        <v/>
      </c>
      <c r="H517" t="str">
        <f>IF(G517="","",IF(G517="[FÓRMULA MANUAL]","",IFERROR(AVERAGEIFS(nNOTA,nNIA,G517,nCUENTA,1,nASIG,"Lenguaje Musical"),"")))</f>
        <v/>
      </c>
      <c r="I517" t="str">
        <f>IF(G517="","",IF(G517="[FÓRMULA MANUAL]","",IFERROR(AVERAGEIFS(nNOTA,nNIA,G517,nCUENTA,1,nASIG,"Orquesta/Banda/Conjunto"),"")))</f>
        <v/>
      </c>
      <c r="J517" t="str">
        <f>IF(G517="","",IF(G517="[FÓRMULA MANUAL]","",IFERROR(AVERAGEIFS(nNOTA,nNIA,G517,nCUENTA,1,nASIG,"Conjunto"),"")))</f>
        <v/>
      </c>
      <c r="K517" t="str">
        <f>IF(G517="","",IF(G517="[FÓRMULA MANUAL]","",IFERROR(SUMPRODUCT((nNIA=G517)*(nCUENTA=1)*(COUNTIF(CONFIG_ASIGNATURAS!$B$7:$B$27,nASIG)&gt;0)*(nNOTA))/SUMPRODUCT((nNIA=G517)*(nCUENTA=1)*(COUNTIF(CONFIG_ASIGNATURAS!$B$7:$B$27,nASIG)&gt;0)*1),"")))</f>
        <v/>
      </c>
      <c r="N517" t="str">
        <f>IF(M517="","",IF(M517="[FÓRMULA MANUAL]","",IFERROR(AVERAGEIFS(nNOTA,nNIA,M517,nCUENTA,1,nASIG,"Armonía"),"")))</f>
        <v/>
      </c>
      <c r="O517" t="str">
        <f>IF(M517="","",IF(M517="[FÓRMULA MANUAL]","",IFERROR(AVERAGEIFS(nNOTA,nNIA,M517,nCUENTA,1,nASIG,"Orquesta/Banda/Conjunto"),"")))</f>
        <v/>
      </c>
      <c r="P517" t="str">
        <f>IF(M517="","",IF(M517="[FÓRMULA MANUAL]","",IFERROR(AVERAGEIFS(nNOTA,nNIA,M517,nCUENTA,1,nASIG,"Música de Cámara"),"")))</f>
        <v/>
      </c>
      <c r="Q517" t="str">
        <f>IF(M517="","",IF(M517="[FÓRMULA MANUAL]","",IFERROR(SUMPRODUCT((nNIA=M517)*(nCUENTA=1)*(COUNTIF(CONFIG_ASIGNATURAS!$B$7:$B$27,nASIG)&gt;0)*(nNOTA))/SUMPRODUCT((nNIA=M517)*(nCUENTA=1)*(COUNTIF(CONFIG_ASIGNATURAS!$B$7:$B$27,nASIG)&gt;0)*1),"")))</f>
        <v/>
      </c>
      <c r="T517" t="str">
        <f>IF(S517="","",IF(S517="[FÓRMULA MANUAL]","",IFERROR(AVERAGEIFS(nNOTA,nNIA,S517,nCUENTA,1,nASIG,"Armonía"),"")))</f>
        <v/>
      </c>
      <c r="U517" t="str">
        <f>IF(S517="","",IF(S517="[FÓRMULA MANUAL]","",IFERROR(AVERAGEIFS(nNOTA,nNIA,S517,nCUENTA,1,nASIG,"Orquesta/Banda/Conjunto"),"")))</f>
        <v/>
      </c>
      <c r="V517" t="str">
        <f>IF(S517="","",IF(S517="[FÓRMULA MANUAL]","",IFERROR(AVERAGEIFS(nNOTA,nNIA,S517,nCUENTA,1,nASIG,"Música de Cámara"),"")))</f>
        <v/>
      </c>
      <c r="W517" t="str">
        <f>IF(S517="","",IF(S517="[FÓRMULA MANUAL]","",IFERROR(SUMPRODUCT((nNIA=S517)*(nCUENTA=1)*(COUNTIF(CONFIG_ASIGNATURAS!$B$7:$B$27,nASIG)&gt;0)*(nNOTA))/SUMPRODUCT((nNIA=S517)*(nCUENTA=1)*(COUNTIF(CONFIG_ASIGNATURAS!$B$7:$B$27,nASIG)&gt;0)*1),"")))</f>
        <v/>
      </c>
      <c r="Z517" t="str">
        <f>IF(Y517="","",IF(Y517="[FÓRMULA MANUAL]","",IFERROR(AVERAGEIFS(nNOTA,nNIA,Y517,nCUENTA,1,nASIG,"Análisis"),"")))</f>
        <v/>
      </c>
      <c r="AA517" t="str">
        <f>IF(Y517="","",IF(Y517="[FÓRMULA MANUAL]","",IFERROR(AVERAGEIFS(nNOTA,nNIA,Y517,nCUENTA,1,nASIG,"Orquesta/Banda/Conjunto"),"")))</f>
        <v/>
      </c>
      <c r="AB517" t="str">
        <f>IF(Y517="","",IF(Y517="[FÓRMULA MANUAL]","",IFERROR(AVERAGEIFS(nNOTA,nNIA,Y517,nCUENTA,1,nASIG,"Música de Cámara"),"")))</f>
        <v/>
      </c>
      <c r="AC517" t="str">
        <f>IF(Y517="","",IF(Y517="[FÓRMULA MANUAL]","",IFERROR(SUMPRODUCT((nNIA=Y517)*(nCUENTA=1)*(COUNTIF(CONFIG_ASIGNATURAS!$B$7:$B$27,nASIG)&gt;0)*(nNOTA))/SUMPRODUCT((nNIA=Y517)*(nCUENTA=1)*(COUNTIF(CONFIG_ASIGNATURAS!$B$7:$B$27,nASIG)&gt;0)*1),"")))</f>
        <v/>
      </c>
      <c r="AF517" t="str">
        <f>IF(AE517="","",IF(AE517="[FÓRMULA MANUAL]","",IFERROR(AVERAGEIFS(nNOTA,nNIA,AE517,nCUENTA,1,nASIG,"Análisis"),"")))</f>
        <v/>
      </c>
      <c r="AG517" t="str">
        <f>IF(AE517="","",IF(AE517="[FÓRMULA MANUAL]","",IFERROR(AVERAGEIFS(nNOTA,nNIA,AE517,nCUENTA,1,nASIG,"Orquesta/Banda/Conjunto"),"")))</f>
        <v/>
      </c>
      <c r="AH517" t="str">
        <f>IF(AE517="","",IF(AE517="[FÓRMULA MANUAL]","",IFERROR(AVERAGEIFS(nNOTA,nNIA,AE517,nCUENTA,1,nASIG,"Música de Cámara"),"")))</f>
        <v/>
      </c>
      <c r="AI517" t="str">
        <f>IF(AE517="","",IF(AE517="[FÓRMULA MANUAL]","",IFERROR(SUMPRODUCT((nNIA=AE517)*(nCUENTA=1)*(COUNTIF(CONFIG_ASIGNATURAS!$B$7:$B$27,nASIG)&gt;0)*(nNOTA))/SUMPRODUCT((nNIA=AE517)*(nCUENTA=1)*(COUNTIF(CONFIG_ASIGNATURAS!$B$7:$B$27,nASIG)&gt;0)*1),"")))</f>
        <v/>
      </c>
    </row>
    <row r="518" spans="2:35" x14ac:dyDescent="0.2">
      <c r="B518" t="str">
        <f>IF(A518="","",IF(A518="[FÓRMULA MANUAL]","",IFERROR(AVERAGEIFS(nNOTA,nNIA,A518,nCUENTA,1,nASIG,"Lenguaje Musical"),"")))</f>
        <v/>
      </c>
      <c r="C518" t="str">
        <f>IF(A518="","",IF(A518="[FÓRMULA MANUAL]","",IFERROR(AVERAGEIFS(nNOTA,nNIA,A518,nCUENTA,1,nASIG,"Orquesta/Banda/Conjunto"),"")))</f>
        <v/>
      </c>
      <c r="D518" t="str">
        <f>IF(A518="","",IF(A518="[FÓRMULA MANUAL]","",IFERROR(AVERAGEIFS(nNOTA,nNIA,A518,nCUENTA,1,nASIG,"Conjunto"),"")))</f>
        <v/>
      </c>
      <c r="E518" t="str">
        <f>IF(A518="","",IF(A518="[FÓRMULA MANUAL]","",IFERROR(SUMPRODUCT((nNIA=A518)*(nCUENTA=1)*(COUNTIF(CONFIG_ASIGNATURAS!$B$7:$B$27,nASIG)&gt;0)*(nNOTA))/SUMPRODUCT((nNIA=A518)*(nCUENTA=1)*(COUNTIF(CONFIG_ASIGNATURAS!$B$7:$B$27,nASIG)&gt;0)*1),"")))</f>
        <v/>
      </c>
      <c r="H518" t="str">
        <f>IF(G518="","",IF(G518="[FÓRMULA MANUAL]","",IFERROR(AVERAGEIFS(nNOTA,nNIA,G518,nCUENTA,1,nASIG,"Lenguaje Musical"),"")))</f>
        <v/>
      </c>
      <c r="I518" t="str">
        <f>IF(G518="","",IF(G518="[FÓRMULA MANUAL]","",IFERROR(AVERAGEIFS(nNOTA,nNIA,G518,nCUENTA,1,nASIG,"Orquesta/Banda/Conjunto"),"")))</f>
        <v/>
      </c>
      <c r="J518" t="str">
        <f>IF(G518="","",IF(G518="[FÓRMULA MANUAL]","",IFERROR(AVERAGEIFS(nNOTA,nNIA,G518,nCUENTA,1,nASIG,"Conjunto"),"")))</f>
        <v/>
      </c>
      <c r="K518" t="str">
        <f>IF(G518="","",IF(G518="[FÓRMULA MANUAL]","",IFERROR(SUMPRODUCT((nNIA=G518)*(nCUENTA=1)*(COUNTIF(CONFIG_ASIGNATURAS!$B$7:$B$27,nASIG)&gt;0)*(nNOTA))/SUMPRODUCT((nNIA=G518)*(nCUENTA=1)*(COUNTIF(CONFIG_ASIGNATURAS!$B$7:$B$27,nASIG)&gt;0)*1),"")))</f>
        <v/>
      </c>
      <c r="N518" t="str">
        <f>IF(M518="","",IF(M518="[FÓRMULA MANUAL]","",IFERROR(AVERAGEIFS(nNOTA,nNIA,M518,nCUENTA,1,nASIG,"Armonía"),"")))</f>
        <v/>
      </c>
      <c r="O518" t="str">
        <f>IF(M518="","",IF(M518="[FÓRMULA MANUAL]","",IFERROR(AVERAGEIFS(nNOTA,nNIA,M518,nCUENTA,1,nASIG,"Orquesta/Banda/Conjunto"),"")))</f>
        <v/>
      </c>
      <c r="P518" t="str">
        <f>IF(M518="","",IF(M518="[FÓRMULA MANUAL]","",IFERROR(AVERAGEIFS(nNOTA,nNIA,M518,nCUENTA,1,nASIG,"Música de Cámara"),"")))</f>
        <v/>
      </c>
      <c r="Q518" t="str">
        <f>IF(M518="","",IF(M518="[FÓRMULA MANUAL]","",IFERROR(SUMPRODUCT((nNIA=M518)*(nCUENTA=1)*(COUNTIF(CONFIG_ASIGNATURAS!$B$7:$B$27,nASIG)&gt;0)*(nNOTA))/SUMPRODUCT((nNIA=M518)*(nCUENTA=1)*(COUNTIF(CONFIG_ASIGNATURAS!$B$7:$B$27,nASIG)&gt;0)*1),"")))</f>
        <v/>
      </c>
      <c r="T518" t="str">
        <f>IF(S518="","",IF(S518="[FÓRMULA MANUAL]","",IFERROR(AVERAGEIFS(nNOTA,nNIA,S518,nCUENTA,1,nASIG,"Armonía"),"")))</f>
        <v/>
      </c>
      <c r="U518" t="str">
        <f>IF(S518="","",IF(S518="[FÓRMULA MANUAL]","",IFERROR(AVERAGEIFS(nNOTA,nNIA,S518,nCUENTA,1,nASIG,"Orquesta/Banda/Conjunto"),"")))</f>
        <v/>
      </c>
      <c r="V518" t="str">
        <f>IF(S518="","",IF(S518="[FÓRMULA MANUAL]","",IFERROR(AVERAGEIFS(nNOTA,nNIA,S518,nCUENTA,1,nASIG,"Música de Cámara"),"")))</f>
        <v/>
      </c>
      <c r="W518" t="str">
        <f>IF(S518="","",IF(S518="[FÓRMULA MANUAL]","",IFERROR(SUMPRODUCT((nNIA=S518)*(nCUENTA=1)*(COUNTIF(CONFIG_ASIGNATURAS!$B$7:$B$27,nASIG)&gt;0)*(nNOTA))/SUMPRODUCT((nNIA=S518)*(nCUENTA=1)*(COUNTIF(CONFIG_ASIGNATURAS!$B$7:$B$27,nASIG)&gt;0)*1),"")))</f>
        <v/>
      </c>
      <c r="Z518" t="str">
        <f>IF(Y518="","",IF(Y518="[FÓRMULA MANUAL]","",IFERROR(AVERAGEIFS(nNOTA,nNIA,Y518,nCUENTA,1,nASIG,"Análisis"),"")))</f>
        <v/>
      </c>
      <c r="AA518" t="str">
        <f>IF(Y518="","",IF(Y518="[FÓRMULA MANUAL]","",IFERROR(AVERAGEIFS(nNOTA,nNIA,Y518,nCUENTA,1,nASIG,"Orquesta/Banda/Conjunto"),"")))</f>
        <v/>
      </c>
      <c r="AB518" t="str">
        <f>IF(Y518="","",IF(Y518="[FÓRMULA MANUAL]","",IFERROR(AVERAGEIFS(nNOTA,nNIA,Y518,nCUENTA,1,nASIG,"Música de Cámara"),"")))</f>
        <v/>
      </c>
      <c r="AC518" t="str">
        <f>IF(Y518="","",IF(Y518="[FÓRMULA MANUAL]","",IFERROR(SUMPRODUCT((nNIA=Y518)*(nCUENTA=1)*(COUNTIF(CONFIG_ASIGNATURAS!$B$7:$B$27,nASIG)&gt;0)*(nNOTA))/SUMPRODUCT((nNIA=Y518)*(nCUENTA=1)*(COUNTIF(CONFIG_ASIGNATURAS!$B$7:$B$27,nASIG)&gt;0)*1),"")))</f>
        <v/>
      </c>
      <c r="AF518" t="str">
        <f>IF(AE518="","",IF(AE518="[FÓRMULA MANUAL]","",IFERROR(AVERAGEIFS(nNOTA,nNIA,AE518,nCUENTA,1,nASIG,"Análisis"),"")))</f>
        <v/>
      </c>
      <c r="AG518" t="str">
        <f>IF(AE518="","",IF(AE518="[FÓRMULA MANUAL]","",IFERROR(AVERAGEIFS(nNOTA,nNIA,AE518,nCUENTA,1,nASIG,"Orquesta/Banda/Conjunto"),"")))</f>
        <v/>
      </c>
      <c r="AH518" t="str">
        <f>IF(AE518="","",IF(AE518="[FÓRMULA MANUAL]","",IFERROR(AVERAGEIFS(nNOTA,nNIA,AE518,nCUENTA,1,nASIG,"Música de Cámara"),"")))</f>
        <v/>
      </c>
      <c r="AI518" t="str">
        <f>IF(AE518="","",IF(AE518="[FÓRMULA MANUAL]","",IFERROR(SUMPRODUCT((nNIA=AE518)*(nCUENTA=1)*(COUNTIF(CONFIG_ASIGNATURAS!$B$7:$B$27,nASIG)&gt;0)*(nNOTA))/SUMPRODUCT((nNIA=AE518)*(nCUENTA=1)*(COUNTIF(CONFIG_ASIGNATURAS!$B$7:$B$27,nASIG)&gt;0)*1),"")))</f>
        <v/>
      </c>
    </row>
    <row r="519" spans="2:35" x14ac:dyDescent="0.2">
      <c r="B519" t="str">
        <f>IF(A519="","",IF(A519="[FÓRMULA MANUAL]","",IFERROR(AVERAGEIFS(nNOTA,nNIA,A519,nCUENTA,1,nASIG,"Lenguaje Musical"),"")))</f>
        <v/>
      </c>
      <c r="C519" t="str">
        <f>IF(A519="","",IF(A519="[FÓRMULA MANUAL]","",IFERROR(AVERAGEIFS(nNOTA,nNIA,A519,nCUENTA,1,nASIG,"Orquesta/Banda/Conjunto"),"")))</f>
        <v/>
      </c>
      <c r="D519" t="str">
        <f>IF(A519="","",IF(A519="[FÓRMULA MANUAL]","",IFERROR(AVERAGEIFS(nNOTA,nNIA,A519,nCUENTA,1,nASIG,"Conjunto"),"")))</f>
        <v/>
      </c>
      <c r="E519" t="str">
        <f>IF(A519="","",IF(A519="[FÓRMULA MANUAL]","",IFERROR(SUMPRODUCT((nNIA=A519)*(nCUENTA=1)*(COUNTIF(CONFIG_ASIGNATURAS!$B$7:$B$27,nASIG)&gt;0)*(nNOTA))/SUMPRODUCT((nNIA=A519)*(nCUENTA=1)*(COUNTIF(CONFIG_ASIGNATURAS!$B$7:$B$27,nASIG)&gt;0)*1),"")))</f>
        <v/>
      </c>
      <c r="H519" t="str">
        <f>IF(G519="","",IF(G519="[FÓRMULA MANUAL]","",IFERROR(AVERAGEIFS(nNOTA,nNIA,G519,nCUENTA,1,nASIG,"Lenguaje Musical"),"")))</f>
        <v/>
      </c>
      <c r="I519" t="str">
        <f>IF(G519="","",IF(G519="[FÓRMULA MANUAL]","",IFERROR(AVERAGEIFS(nNOTA,nNIA,G519,nCUENTA,1,nASIG,"Orquesta/Banda/Conjunto"),"")))</f>
        <v/>
      </c>
      <c r="J519" t="str">
        <f>IF(G519="","",IF(G519="[FÓRMULA MANUAL]","",IFERROR(AVERAGEIFS(nNOTA,nNIA,G519,nCUENTA,1,nASIG,"Conjunto"),"")))</f>
        <v/>
      </c>
      <c r="K519" t="str">
        <f>IF(G519="","",IF(G519="[FÓRMULA MANUAL]","",IFERROR(SUMPRODUCT((nNIA=G519)*(nCUENTA=1)*(COUNTIF(CONFIG_ASIGNATURAS!$B$7:$B$27,nASIG)&gt;0)*(nNOTA))/SUMPRODUCT((nNIA=G519)*(nCUENTA=1)*(COUNTIF(CONFIG_ASIGNATURAS!$B$7:$B$27,nASIG)&gt;0)*1),"")))</f>
        <v/>
      </c>
      <c r="N519" t="str">
        <f>IF(M519="","",IF(M519="[FÓRMULA MANUAL]","",IFERROR(AVERAGEIFS(nNOTA,nNIA,M519,nCUENTA,1,nASIG,"Armonía"),"")))</f>
        <v/>
      </c>
      <c r="O519" t="str">
        <f>IF(M519="","",IF(M519="[FÓRMULA MANUAL]","",IFERROR(AVERAGEIFS(nNOTA,nNIA,M519,nCUENTA,1,nASIG,"Orquesta/Banda/Conjunto"),"")))</f>
        <v/>
      </c>
      <c r="P519" t="str">
        <f>IF(M519="","",IF(M519="[FÓRMULA MANUAL]","",IFERROR(AVERAGEIFS(nNOTA,nNIA,M519,nCUENTA,1,nASIG,"Música de Cámara"),"")))</f>
        <v/>
      </c>
      <c r="Q519" t="str">
        <f>IF(M519="","",IF(M519="[FÓRMULA MANUAL]","",IFERROR(SUMPRODUCT((nNIA=M519)*(nCUENTA=1)*(COUNTIF(CONFIG_ASIGNATURAS!$B$7:$B$27,nASIG)&gt;0)*(nNOTA))/SUMPRODUCT((nNIA=M519)*(nCUENTA=1)*(COUNTIF(CONFIG_ASIGNATURAS!$B$7:$B$27,nASIG)&gt;0)*1),"")))</f>
        <v/>
      </c>
      <c r="T519" t="str">
        <f>IF(S519="","",IF(S519="[FÓRMULA MANUAL]","",IFERROR(AVERAGEIFS(nNOTA,nNIA,S519,nCUENTA,1,nASIG,"Armonía"),"")))</f>
        <v/>
      </c>
      <c r="U519" t="str">
        <f>IF(S519="","",IF(S519="[FÓRMULA MANUAL]","",IFERROR(AVERAGEIFS(nNOTA,nNIA,S519,nCUENTA,1,nASIG,"Orquesta/Banda/Conjunto"),"")))</f>
        <v/>
      </c>
      <c r="V519" t="str">
        <f>IF(S519="","",IF(S519="[FÓRMULA MANUAL]","",IFERROR(AVERAGEIFS(nNOTA,nNIA,S519,nCUENTA,1,nASIG,"Música de Cámara"),"")))</f>
        <v/>
      </c>
      <c r="W519" t="str">
        <f>IF(S519="","",IF(S519="[FÓRMULA MANUAL]","",IFERROR(SUMPRODUCT((nNIA=S519)*(nCUENTA=1)*(COUNTIF(CONFIG_ASIGNATURAS!$B$7:$B$27,nASIG)&gt;0)*(nNOTA))/SUMPRODUCT((nNIA=S519)*(nCUENTA=1)*(COUNTIF(CONFIG_ASIGNATURAS!$B$7:$B$27,nASIG)&gt;0)*1),"")))</f>
        <v/>
      </c>
      <c r="Z519" t="str">
        <f>IF(Y519="","",IF(Y519="[FÓRMULA MANUAL]","",IFERROR(AVERAGEIFS(nNOTA,nNIA,Y519,nCUENTA,1,nASIG,"Análisis"),"")))</f>
        <v/>
      </c>
      <c r="AA519" t="str">
        <f>IF(Y519="","",IF(Y519="[FÓRMULA MANUAL]","",IFERROR(AVERAGEIFS(nNOTA,nNIA,Y519,nCUENTA,1,nASIG,"Orquesta/Banda/Conjunto"),"")))</f>
        <v/>
      </c>
      <c r="AB519" t="str">
        <f>IF(Y519="","",IF(Y519="[FÓRMULA MANUAL]","",IFERROR(AVERAGEIFS(nNOTA,nNIA,Y519,nCUENTA,1,nASIG,"Música de Cámara"),"")))</f>
        <v/>
      </c>
      <c r="AC519" t="str">
        <f>IF(Y519="","",IF(Y519="[FÓRMULA MANUAL]","",IFERROR(SUMPRODUCT((nNIA=Y519)*(nCUENTA=1)*(COUNTIF(CONFIG_ASIGNATURAS!$B$7:$B$27,nASIG)&gt;0)*(nNOTA))/SUMPRODUCT((nNIA=Y519)*(nCUENTA=1)*(COUNTIF(CONFIG_ASIGNATURAS!$B$7:$B$27,nASIG)&gt;0)*1),"")))</f>
        <v/>
      </c>
      <c r="AF519" t="str">
        <f>IF(AE519="","",IF(AE519="[FÓRMULA MANUAL]","",IFERROR(AVERAGEIFS(nNOTA,nNIA,AE519,nCUENTA,1,nASIG,"Análisis"),"")))</f>
        <v/>
      </c>
      <c r="AG519" t="str">
        <f>IF(AE519="","",IF(AE519="[FÓRMULA MANUAL]","",IFERROR(AVERAGEIFS(nNOTA,nNIA,AE519,nCUENTA,1,nASIG,"Orquesta/Banda/Conjunto"),"")))</f>
        <v/>
      </c>
      <c r="AH519" t="str">
        <f>IF(AE519="","",IF(AE519="[FÓRMULA MANUAL]","",IFERROR(AVERAGEIFS(nNOTA,nNIA,AE519,nCUENTA,1,nASIG,"Música de Cámara"),"")))</f>
        <v/>
      </c>
      <c r="AI519" t="str">
        <f>IF(AE519="","",IF(AE519="[FÓRMULA MANUAL]","",IFERROR(SUMPRODUCT((nNIA=AE519)*(nCUENTA=1)*(COUNTIF(CONFIG_ASIGNATURAS!$B$7:$B$27,nASIG)&gt;0)*(nNOTA))/SUMPRODUCT((nNIA=AE519)*(nCUENTA=1)*(COUNTIF(CONFIG_ASIGNATURAS!$B$7:$B$27,nASIG)&gt;0)*1),"")))</f>
        <v/>
      </c>
    </row>
    <row r="520" spans="2:35" x14ac:dyDescent="0.2">
      <c r="B520" t="str">
        <f>IF(A520="","",IF(A520="[FÓRMULA MANUAL]","",IFERROR(AVERAGEIFS(nNOTA,nNIA,A520,nCUENTA,1,nASIG,"Lenguaje Musical"),"")))</f>
        <v/>
      </c>
      <c r="C520" t="str">
        <f>IF(A520="","",IF(A520="[FÓRMULA MANUAL]","",IFERROR(AVERAGEIFS(nNOTA,nNIA,A520,nCUENTA,1,nASIG,"Orquesta/Banda/Conjunto"),"")))</f>
        <v/>
      </c>
      <c r="D520" t="str">
        <f>IF(A520="","",IF(A520="[FÓRMULA MANUAL]","",IFERROR(AVERAGEIFS(nNOTA,nNIA,A520,nCUENTA,1,nASIG,"Conjunto"),"")))</f>
        <v/>
      </c>
      <c r="E520" t="str">
        <f>IF(A520="","",IF(A520="[FÓRMULA MANUAL]","",IFERROR(SUMPRODUCT((nNIA=A520)*(nCUENTA=1)*(COUNTIF(CONFIG_ASIGNATURAS!$B$7:$B$27,nASIG)&gt;0)*(nNOTA))/SUMPRODUCT((nNIA=A520)*(nCUENTA=1)*(COUNTIF(CONFIG_ASIGNATURAS!$B$7:$B$27,nASIG)&gt;0)*1),"")))</f>
        <v/>
      </c>
      <c r="H520" t="str">
        <f>IF(G520="","",IF(G520="[FÓRMULA MANUAL]","",IFERROR(AVERAGEIFS(nNOTA,nNIA,G520,nCUENTA,1,nASIG,"Lenguaje Musical"),"")))</f>
        <v/>
      </c>
      <c r="I520" t="str">
        <f>IF(G520="","",IF(G520="[FÓRMULA MANUAL]","",IFERROR(AVERAGEIFS(nNOTA,nNIA,G520,nCUENTA,1,nASIG,"Orquesta/Banda/Conjunto"),"")))</f>
        <v/>
      </c>
      <c r="J520" t="str">
        <f>IF(G520="","",IF(G520="[FÓRMULA MANUAL]","",IFERROR(AVERAGEIFS(nNOTA,nNIA,G520,nCUENTA,1,nASIG,"Conjunto"),"")))</f>
        <v/>
      </c>
      <c r="K520" t="str">
        <f>IF(G520="","",IF(G520="[FÓRMULA MANUAL]","",IFERROR(SUMPRODUCT((nNIA=G520)*(nCUENTA=1)*(COUNTIF(CONFIG_ASIGNATURAS!$B$7:$B$27,nASIG)&gt;0)*(nNOTA))/SUMPRODUCT((nNIA=G520)*(nCUENTA=1)*(COUNTIF(CONFIG_ASIGNATURAS!$B$7:$B$27,nASIG)&gt;0)*1),"")))</f>
        <v/>
      </c>
      <c r="N520" t="str">
        <f>IF(M520="","",IF(M520="[FÓRMULA MANUAL]","",IFERROR(AVERAGEIFS(nNOTA,nNIA,M520,nCUENTA,1,nASIG,"Armonía"),"")))</f>
        <v/>
      </c>
      <c r="O520" t="str">
        <f>IF(M520="","",IF(M520="[FÓRMULA MANUAL]","",IFERROR(AVERAGEIFS(nNOTA,nNIA,M520,nCUENTA,1,nASIG,"Orquesta/Banda/Conjunto"),"")))</f>
        <v/>
      </c>
      <c r="P520" t="str">
        <f>IF(M520="","",IF(M520="[FÓRMULA MANUAL]","",IFERROR(AVERAGEIFS(nNOTA,nNIA,M520,nCUENTA,1,nASIG,"Música de Cámara"),"")))</f>
        <v/>
      </c>
      <c r="Q520" t="str">
        <f>IF(M520="","",IF(M520="[FÓRMULA MANUAL]","",IFERROR(SUMPRODUCT((nNIA=M520)*(nCUENTA=1)*(COUNTIF(CONFIG_ASIGNATURAS!$B$7:$B$27,nASIG)&gt;0)*(nNOTA))/SUMPRODUCT((nNIA=M520)*(nCUENTA=1)*(COUNTIF(CONFIG_ASIGNATURAS!$B$7:$B$27,nASIG)&gt;0)*1),"")))</f>
        <v/>
      </c>
      <c r="T520" t="str">
        <f>IF(S520="","",IF(S520="[FÓRMULA MANUAL]","",IFERROR(AVERAGEIFS(nNOTA,nNIA,S520,nCUENTA,1,nASIG,"Armonía"),"")))</f>
        <v/>
      </c>
      <c r="U520" t="str">
        <f>IF(S520="","",IF(S520="[FÓRMULA MANUAL]","",IFERROR(AVERAGEIFS(nNOTA,nNIA,S520,nCUENTA,1,nASIG,"Orquesta/Banda/Conjunto"),"")))</f>
        <v/>
      </c>
      <c r="V520" t="str">
        <f>IF(S520="","",IF(S520="[FÓRMULA MANUAL]","",IFERROR(AVERAGEIFS(nNOTA,nNIA,S520,nCUENTA,1,nASIG,"Música de Cámara"),"")))</f>
        <v/>
      </c>
      <c r="W520" t="str">
        <f>IF(S520="","",IF(S520="[FÓRMULA MANUAL]","",IFERROR(SUMPRODUCT((nNIA=S520)*(nCUENTA=1)*(COUNTIF(CONFIG_ASIGNATURAS!$B$7:$B$27,nASIG)&gt;0)*(nNOTA))/SUMPRODUCT((nNIA=S520)*(nCUENTA=1)*(COUNTIF(CONFIG_ASIGNATURAS!$B$7:$B$27,nASIG)&gt;0)*1),"")))</f>
        <v/>
      </c>
      <c r="Z520" t="str">
        <f>IF(Y520="","",IF(Y520="[FÓRMULA MANUAL]","",IFERROR(AVERAGEIFS(nNOTA,nNIA,Y520,nCUENTA,1,nASIG,"Análisis"),"")))</f>
        <v/>
      </c>
      <c r="AA520" t="str">
        <f>IF(Y520="","",IF(Y520="[FÓRMULA MANUAL]","",IFERROR(AVERAGEIFS(nNOTA,nNIA,Y520,nCUENTA,1,nASIG,"Orquesta/Banda/Conjunto"),"")))</f>
        <v/>
      </c>
      <c r="AB520" t="str">
        <f>IF(Y520="","",IF(Y520="[FÓRMULA MANUAL]","",IFERROR(AVERAGEIFS(nNOTA,nNIA,Y520,nCUENTA,1,nASIG,"Música de Cámara"),"")))</f>
        <v/>
      </c>
      <c r="AC520" t="str">
        <f>IF(Y520="","",IF(Y520="[FÓRMULA MANUAL]","",IFERROR(SUMPRODUCT((nNIA=Y520)*(nCUENTA=1)*(COUNTIF(CONFIG_ASIGNATURAS!$B$7:$B$27,nASIG)&gt;0)*(nNOTA))/SUMPRODUCT((nNIA=Y520)*(nCUENTA=1)*(COUNTIF(CONFIG_ASIGNATURAS!$B$7:$B$27,nASIG)&gt;0)*1),"")))</f>
        <v/>
      </c>
      <c r="AF520" t="str">
        <f>IF(AE520="","",IF(AE520="[FÓRMULA MANUAL]","",IFERROR(AVERAGEIFS(nNOTA,nNIA,AE520,nCUENTA,1,nASIG,"Análisis"),"")))</f>
        <v/>
      </c>
      <c r="AG520" t="str">
        <f>IF(AE520="","",IF(AE520="[FÓRMULA MANUAL]","",IFERROR(AVERAGEIFS(nNOTA,nNIA,AE520,nCUENTA,1,nASIG,"Orquesta/Banda/Conjunto"),"")))</f>
        <v/>
      </c>
      <c r="AH520" t="str">
        <f>IF(AE520="","",IF(AE520="[FÓRMULA MANUAL]","",IFERROR(AVERAGEIFS(nNOTA,nNIA,AE520,nCUENTA,1,nASIG,"Música de Cámara"),"")))</f>
        <v/>
      </c>
      <c r="AI520" t="str">
        <f>IF(AE520="","",IF(AE520="[FÓRMULA MANUAL]","",IFERROR(SUMPRODUCT((nNIA=AE520)*(nCUENTA=1)*(COUNTIF(CONFIG_ASIGNATURAS!$B$7:$B$27,nASIG)&gt;0)*(nNOTA))/SUMPRODUCT((nNIA=AE520)*(nCUENTA=1)*(COUNTIF(CONFIG_ASIGNATURAS!$B$7:$B$27,nASIG)&gt;0)*1),"")))</f>
        <v/>
      </c>
    </row>
    <row r="521" spans="2:35" x14ac:dyDescent="0.2">
      <c r="B521" t="str">
        <f>IF(A521="","",IF(A521="[FÓRMULA MANUAL]","",IFERROR(AVERAGEIFS(nNOTA,nNIA,A521,nCUENTA,1,nASIG,"Lenguaje Musical"),"")))</f>
        <v/>
      </c>
      <c r="C521" t="str">
        <f>IF(A521="","",IF(A521="[FÓRMULA MANUAL]","",IFERROR(AVERAGEIFS(nNOTA,nNIA,A521,nCUENTA,1,nASIG,"Orquesta/Banda/Conjunto"),"")))</f>
        <v/>
      </c>
      <c r="D521" t="str">
        <f>IF(A521="","",IF(A521="[FÓRMULA MANUAL]","",IFERROR(AVERAGEIFS(nNOTA,nNIA,A521,nCUENTA,1,nASIG,"Conjunto"),"")))</f>
        <v/>
      </c>
      <c r="E521" t="str">
        <f>IF(A521="","",IF(A521="[FÓRMULA MANUAL]","",IFERROR(SUMPRODUCT((nNIA=A521)*(nCUENTA=1)*(COUNTIF(CONFIG_ASIGNATURAS!$B$7:$B$27,nASIG)&gt;0)*(nNOTA))/SUMPRODUCT((nNIA=A521)*(nCUENTA=1)*(COUNTIF(CONFIG_ASIGNATURAS!$B$7:$B$27,nASIG)&gt;0)*1),"")))</f>
        <v/>
      </c>
      <c r="H521" t="str">
        <f>IF(G521="","",IF(G521="[FÓRMULA MANUAL]","",IFERROR(AVERAGEIFS(nNOTA,nNIA,G521,nCUENTA,1,nASIG,"Lenguaje Musical"),"")))</f>
        <v/>
      </c>
      <c r="I521" t="str">
        <f>IF(G521="","",IF(G521="[FÓRMULA MANUAL]","",IFERROR(AVERAGEIFS(nNOTA,nNIA,G521,nCUENTA,1,nASIG,"Orquesta/Banda/Conjunto"),"")))</f>
        <v/>
      </c>
      <c r="J521" t="str">
        <f>IF(G521="","",IF(G521="[FÓRMULA MANUAL]","",IFERROR(AVERAGEIFS(nNOTA,nNIA,G521,nCUENTA,1,nASIG,"Conjunto"),"")))</f>
        <v/>
      </c>
      <c r="K521" t="str">
        <f>IF(G521="","",IF(G521="[FÓRMULA MANUAL]","",IFERROR(SUMPRODUCT((nNIA=G521)*(nCUENTA=1)*(COUNTIF(CONFIG_ASIGNATURAS!$B$7:$B$27,nASIG)&gt;0)*(nNOTA))/SUMPRODUCT((nNIA=G521)*(nCUENTA=1)*(COUNTIF(CONFIG_ASIGNATURAS!$B$7:$B$27,nASIG)&gt;0)*1),"")))</f>
        <v/>
      </c>
      <c r="N521" t="str">
        <f>IF(M521="","",IF(M521="[FÓRMULA MANUAL]","",IFERROR(AVERAGEIFS(nNOTA,nNIA,M521,nCUENTA,1,nASIG,"Armonía"),"")))</f>
        <v/>
      </c>
      <c r="O521" t="str">
        <f>IF(M521="","",IF(M521="[FÓRMULA MANUAL]","",IFERROR(AVERAGEIFS(nNOTA,nNIA,M521,nCUENTA,1,nASIG,"Orquesta/Banda/Conjunto"),"")))</f>
        <v/>
      </c>
      <c r="P521" t="str">
        <f>IF(M521="","",IF(M521="[FÓRMULA MANUAL]","",IFERROR(AVERAGEIFS(nNOTA,nNIA,M521,nCUENTA,1,nASIG,"Música de Cámara"),"")))</f>
        <v/>
      </c>
      <c r="Q521" t="str">
        <f>IF(M521="","",IF(M521="[FÓRMULA MANUAL]","",IFERROR(SUMPRODUCT((nNIA=M521)*(nCUENTA=1)*(COUNTIF(CONFIG_ASIGNATURAS!$B$7:$B$27,nASIG)&gt;0)*(nNOTA))/SUMPRODUCT((nNIA=M521)*(nCUENTA=1)*(COUNTIF(CONFIG_ASIGNATURAS!$B$7:$B$27,nASIG)&gt;0)*1),"")))</f>
        <v/>
      </c>
      <c r="T521" t="str">
        <f>IF(S521="","",IF(S521="[FÓRMULA MANUAL]","",IFERROR(AVERAGEIFS(nNOTA,nNIA,S521,nCUENTA,1,nASIG,"Armonía"),"")))</f>
        <v/>
      </c>
      <c r="U521" t="str">
        <f>IF(S521="","",IF(S521="[FÓRMULA MANUAL]","",IFERROR(AVERAGEIFS(nNOTA,nNIA,S521,nCUENTA,1,nASIG,"Orquesta/Banda/Conjunto"),"")))</f>
        <v/>
      </c>
      <c r="V521" t="str">
        <f>IF(S521="","",IF(S521="[FÓRMULA MANUAL]","",IFERROR(AVERAGEIFS(nNOTA,nNIA,S521,nCUENTA,1,nASIG,"Música de Cámara"),"")))</f>
        <v/>
      </c>
      <c r="W521" t="str">
        <f>IF(S521="","",IF(S521="[FÓRMULA MANUAL]","",IFERROR(SUMPRODUCT((nNIA=S521)*(nCUENTA=1)*(COUNTIF(CONFIG_ASIGNATURAS!$B$7:$B$27,nASIG)&gt;0)*(nNOTA))/SUMPRODUCT((nNIA=S521)*(nCUENTA=1)*(COUNTIF(CONFIG_ASIGNATURAS!$B$7:$B$27,nASIG)&gt;0)*1),"")))</f>
        <v/>
      </c>
      <c r="Z521" t="str">
        <f>IF(Y521="","",IF(Y521="[FÓRMULA MANUAL]","",IFERROR(AVERAGEIFS(nNOTA,nNIA,Y521,nCUENTA,1,nASIG,"Análisis"),"")))</f>
        <v/>
      </c>
      <c r="AA521" t="str">
        <f>IF(Y521="","",IF(Y521="[FÓRMULA MANUAL]","",IFERROR(AVERAGEIFS(nNOTA,nNIA,Y521,nCUENTA,1,nASIG,"Orquesta/Banda/Conjunto"),"")))</f>
        <v/>
      </c>
      <c r="AB521" t="str">
        <f>IF(Y521="","",IF(Y521="[FÓRMULA MANUAL]","",IFERROR(AVERAGEIFS(nNOTA,nNIA,Y521,nCUENTA,1,nASIG,"Música de Cámara"),"")))</f>
        <v/>
      </c>
      <c r="AC521" t="str">
        <f>IF(Y521="","",IF(Y521="[FÓRMULA MANUAL]","",IFERROR(SUMPRODUCT((nNIA=Y521)*(nCUENTA=1)*(COUNTIF(CONFIG_ASIGNATURAS!$B$7:$B$27,nASIG)&gt;0)*(nNOTA))/SUMPRODUCT((nNIA=Y521)*(nCUENTA=1)*(COUNTIF(CONFIG_ASIGNATURAS!$B$7:$B$27,nASIG)&gt;0)*1),"")))</f>
        <v/>
      </c>
      <c r="AF521" t="str">
        <f>IF(AE521="","",IF(AE521="[FÓRMULA MANUAL]","",IFERROR(AVERAGEIFS(nNOTA,nNIA,AE521,nCUENTA,1,nASIG,"Análisis"),"")))</f>
        <v/>
      </c>
      <c r="AG521" t="str">
        <f>IF(AE521="","",IF(AE521="[FÓRMULA MANUAL]","",IFERROR(AVERAGEIFS(nNOTA,nNIA,AE521,nCUENTA,1,nASIG,"Orquesta/Banda/Conjunto"),"")))</f>
        <v/>
      </c>
      <c r="AH521" t="str">
        <f>IF(AE521="","",IF(AE521="[FÓRMULA MANUAL]","",IFERROR(AVERAGEIFS(nNOTA,nNIA,AE521,nCUENTA,1,nASIG,"Música de Cámara"),"")))</f>
        <v/>
      </c>
      <c r="AI521" t="str">
        <f>IF(AE521="","",IF(AE521="[FÓRMULA MANUAL]","",IFERROR(SUMPRODUCT((nNIA=AE521)*(nCUENTA=1)*(COUNTIF(CONFIG_ASIGNATURAS!$B$7:$B$27,nASIG)&gt;0)*(nNOTA))/SUMPRODUCT((nNIA=AE521)*(nCUENTA=1)*(COUNTIF(CONFIG_ASIGNATURAS!$B$7:$B$27,nASIG)&gt;0)*1),"")))</f>
        <v/>
      </c>
    </row>
    <row r="522" spans="2:35" x14ac:dyDescent="0.2">
      <c r="B522" t="str">
        <f>IF(A522="","",IF(A522="[FÓRMULA MANUAL]","",IFERROR(AVERAGEIFS(nNOTA,nNIA,A522,nCUENTA,1,nASIG,"Lenguaje Musical"),"")))</f>
        <v/>
      </c>
      <c r="C522" t="str">
        <f>IF(A522="","",IF(A522="[FÓRMULA MANUAL]","",IFERROR(AVERAGEIFS(nNOTA,nNIA,A522,nCUENTA,1,nASIG,"Orquesta/Banda/Conjunto"),"")))</f>
        <v/>
      </c>
      <c r="D522" t="str">
        <f>IF(A522="","",IF(A522="[FÓRMULA MANUAL]","",IFERROR(AVERAGEIFS(nNOTA,nNIA,A522,nCUENTA,1,nASIG,"Conjunto"),"")))</f>
        <v/>
      </c>
      <c r="E522" t="str">
        <f>IF(A522="","",IF(A522="[FÓRMULA MANUAL]","",IFERROR(SUMPRODUCT((nNIA=A522)*(nCUENTA=1)*(COUNTIF(CONFIG_ASIGNATURAS!$B$7:$B$27,nASIG)&gt;0)*(nNOTA))/SUMPRODUCT((nNIA=A522)*(nCUENTA=1)*(COUNTIF(CONFIG_ASIGNATURAS!$B$7:$B$27,nASIG)&gt;0)*1),"")))</f>
        <v/>
      </c>
      <c r="H522" t="str">
        <f>IF(G522="","",IF(G522="[FÓRMULA MANUAL]","",IFERROR(AVERAGEIFS(nNOTA,nNIA,G522,nCUENTA,1,nASIG,"Lenguaje Musical"),"")))</f>
        <v/>
      </c>
      <c r="I522" t="str">
        <f>IF(G522="","",IF(G522="[FÓRMULA MANUAL]","",IFERROR(AVERAGEIFS(nNOTA,nNIA,G522,nCUENTA,1,nASIG,"Orquesta/Banda/Conjunto"),"")))</f>
        <v/>
      </c>
      <c r="J522" t="str">
        <f>IF(G522="","",IF(G522="[FÓRMULA MANUAL]","",IFERROR(AVERAGEIFS(nNOTA,nNIA,G522,nCUENTA,1,nASIG,"Conjunto"),"")))</f>
        <v/>
      </c>
      <c r="K522" t="str">
        <f>IF(G522="","",IF(G522="[FÓRMULA MANUAL]","",IFERROR(SUMPRODUCT((nNIA=G522)*(nCUENTA=1)*(COUNTIF(CONFIG_ASIGNATURAS!$B$7:$B$27,nASIG)&gt;0)*(nNOTA))/SUMPRODUCT((nNIA=G522)*(nCUENTA=1)*(COUNTIF(CONFIG_ASIGNATURAS!$B$7:$B$27,nASIG)&gt;0)*1),"")))</f>
        <v/>
      </c>
      <c r="N522" t="str">
        <f>IF(M522="","",IF(M522="[FÓRMULA MANUAL]","",IFERROR(AVERAGEIFS(nNOTA,nNIA,M522,nCUENTA,1,nASIG,"Armonía"),"")))</f>
        <v/>
      </c>
      <c r="O522" t="str">
        <f>IF(M522="","",IF(M522="[FÓRMULA MANUAL]","",IFERROR(AVERAGEIFS(nNOTA,nNIA,M522,nCUENTA,1,nASIG,"Orquesta/Banda/Conjunto"),"")))</f>
        <v/>
      </c>
      <c r="P522" t="str">
        <f>IF(M522="","",IF(M522="[FÓRMULA MANUAL]","",IFERROR(AVERAGEIFS(nNOTA,nNIA,M522,nCUENTA,1,nASIG,"Música de Cámara"),"")))</f>
        <v/>
      </c>
      <c r="Q522" t="str">
        <f>IF(M522="","",IF(M522="[FÓRMULA MANUAL]","",IFERROR(SUMPRODUCT((nNIA=M522)*(nCUENTA=1)*(COUNTIF(CONFIG_ASIGNATURAS!$B$7:$B$27,nASIG)&gt;0)*(nNOTA))/SUMPRODUCT((nNIA=M522)*(nCUENTA=1)*(COUNTIF(CONFIG_ASIGNATURAS!$B$7:$B$27,nASIG)&gt;0)*1),"")))</f>
        <v/>
      </c>
      <c r="T522" t="str">
        <f>IF(S522="","",IF(S522="[FÓRMULA MANUAL]","",IFERROR(AVERAGEIFS(nNOTA,nNIA,S522,nCUENTA,1,nASIG,"Armonía"),"")))</f>
        <v/>
      </c>
      <c r="U522" t="str">
        <f>IF(S522="","",IF(S522="[FÓRMULA MANUAL]","",IFERROR(AVERAGEIFS(nNOTA,nNIA,S522,nCUENTA,1,nASIG,"Orquesta/Banda/Conjunto"),"")))</f>
        <v/>
      </c>
      <c r="V522" t="str">
        <f>IF(S522="","",IF(S522="[FÓRMULA MANUAL]","",IFERROR(AVERAGEIFS(nNOTA,nNIA,S522,nCUENTA,1,nASIG,"Música de Cámara"),"")))</f>
        <v/>
      </c>
      <c r="W522" t="str">
        <f>IF(S522="","",IF(S522="[FÓRMULA MANUAL]","",IFERROR(SUMPRODUCT((nNIA=S522)*(nCUENTA=1)*(COUNTIF(CONFIG_ASIGNATURAS!$B$7:$B$27,nASIG)&gt;0)*(nNOTA))/SUMPRODUCT((nNIA=S522)*(nCUENTA=1)*(COUNTIF(CONFIG_ASIGNATURAS!$B$7:$B$27,nASIG)&gt;0)*1),"")))</f>
        <v/>
      </c>
      <c r="Z522" t="str">
        <f>IF(Y522="","",IF(Y522="[FÓRMULA MANUAL]","",IFERROR(AVERAGEIFS(nNOTA,nNIA,Y522,nCUENTA,1,nASIG,"Análisis"),"")))</f>
        <v/>
      </c>
      <c r="AA522" t="str">
        <f>IF(Y522="","",IF(Y522="[FÓRMULA MANUAL]","",IFERROR(AVERAGEIFS(nNOTA,nNIA,Y522,nCUENTA,1,nASIG,"Orquesta/Banda/Conjunto"),"")))</f>
        <v/>
      </c>
      <c r="AB522" t="str">
        <f>IF(Y522="","",IF(Y522="[FÓRMULA MANUAL]","",IFERROR(AVERAGEIFS(nNOTA,nNIA,Y522,nCUENTA,1,nASIG,"Música de Cámara"),"")))</f>
        <v/>
      </c>
      <c r="AC522" t="str">
        <f>IF(Y522="","",IF(Y522="[FÓRMULA MANUAL]","",IFERROR(SUMPRODUCT((nNIA=Y522)*(nCUENTA=1)*(COUNTIF(CONFIG_ASIGNATURAS!$B$7:$B$27,nASIG)&gt;0)*(nNOTA))/SUMPRODUCT((nNIA=Y522)*(nCUENTA=1)*(COUNTIF(CONFIG_ASIGNATURAS!$B$7:$B$27,nASIG)&gt;0)*1),"")))</f>
        <v/>
      </c>
      <c r="AF522" t="str">
        <f>IF(AE522="","",IF(AE522="[FÓRMULA MANUAL]","",IFERROR(AVERAGEIFS(nNOTA,nNIA,AE522,nCUENTA,1,nASIG,"Análisis"),"")))</f>
        <v/>
      </c>
      <c r="AG522" t="str">
        <f>IF(AE522="","",IF(AE522="[FÓRMULA MANUAL]","",IFERROR(AVERAGEIFS(nNOTA,nNIA,AE522,nCUENTA,1,nASIG,"Orquesta/Banda/Conjunto"),"")))</f>
        <v/>
      </c>
      <c r="AH522" t="str">
        <f>IF(AE522="","",IF(AE522="[FÓRMULA MANUAL]","",IFERROR(AVERAGEIFS(nNOTA,nNIA,AE522,nCUENTA,1,nASIG,"Música de Cámara"),"")))</f>
        <v/>
      </c>
      <c r="AI522" t="str">
        <f>IF(AE522="","",IF(AE522="[FÓRMULA MANUAL]","",IFERROR(SUMPRODUCT((nNIA=AE522)*(nCUENTA=1)*(COUNTIF(CONFIG_ASIGNATURAS!$B$7:$B$27,nASIG)&gt;0)*(nNOTA))/SUMPRODUCT((nNIA=AE522)*(nCUENTA=1)*(COUNTIF(CONFIG_ASIGNATURAS!$B$7:$B$27,nASIG)&gt;0)*1),"")))</f>
        <v/>
      </c>
    </row>
    <row r="523" spans="2:35" x14ac:dyDescent="0.2">
      <c r="B523" t="str">
        <f>IF(A523="","",IF(A523="[FÓRMULA MANUAL]","",IFERROR(AVERAGEIFS(nNOTA,nNIA,A523,nCUENTA,1,nASIG,"Lenguaje Musical"),"")))</f>
        <v/>
      </c>
      <c r="C523" t="str">
        <f>IF(A523="","",IF(A523="[FÓRMULA MANUAL]","",IFERROR(AVERAGEIFS(nNOTA,nNIA,A523,nCUENTA,1,nASIG,"Orquesta/Banda/Conjunto"),"")))</f>
        <v/>
      </c>
      <c r="D523" t="str">
        <f>IF(A523="","",IF(A523="[FÓRMULA MANUAL]","",IFERROR(AVERAGEIFS(nNOTA,nNIA,A523,nCUENTA,1,nASIG,"Conjunto"),"")))</f>
        <v/>
      </c>
      <c r="E523" t="str">
        <f>IF(A523="","",IF(A523="[FÓRMULA MANUAL]","",IFERROR(SUMPRODUCT((nNIA=A523)*(nCUENTA=1)*(COUNTIF(CONFIG_ASIGNATURAS!$B$7:$B$27,nASIG)&gt;0)*(nNOTA))/SUMPRODUCT((nNIA=A523)*(nCUENTA=1)*(COUNTIF(CONFIG_ASIGNATURAS!$B$7:$B$27,nASIG)&gt;0)*1),"")))</f>
        <v/>
      </c>
      <c r="H523" t="str">
        <f>IF(G523="","",IF(G523="[FÓRMULA MANUAL]","",IFERROR(AVERAGEIFS(nNOTA,nNIA,G523,nCUENTA,1,nASIG,"Lenguaje Musical"),"")))</f>
        <v/>
      </c>
      <c r="I523" t="str">
        <f>IF(G523="","",IF(G523="[FÓRMULA MANUAL]","",IFERROR(AVERAGEIFS(nNOTA,nNIA,G523,nCUENTA,1,nASIG,"Orquesta/Banda/Conjunto"),"")))</f>
        <v/>
      </c>
      <c r="J523" t="str">
        <f>IF(G523="","",IF(G523="[FÓRMULA MANUAL]","",IFERROR(AVERAGEIFS(nNOTA,nNIA,G523,nCUENTA,1,nASIG,"Conjunto"),"")))</f>
        <v/>
      </c>
      <c r="K523" t="str">
        <f>IF(G523="","",IF(G523="[FÓRMULA MANUAL]","",IFERROR(SUMPRODUCT((nNIA=G523)*(nCUENTA=1)*(COUNTIF(CONFIG_ASIGNATURAS!$B$7:$B$27,nASIG)&gt;0)*(nNOTA))/SUMPRODUCT((nNIA=G523)*(nCUENTA=1)*(COUNTIF(CONFIG_ASIGNATURAS!$B$7:$B$27,nASIG)&gt;0)*1),"")))</f>
        <v/>
      </c>
      <c r="N523" t="str">
        <f>IF(M523="","",IF(M523="[FÓRMULA MANUAL]","",IFERROR(AVERAGEIFS(nNOTA,nNIA,M523,nCUENTA,1,nASIG,"Armonía"),"")))</f>
        <v/>
      </c>
      <c r="O523" t="str">
        <f>IF(M523="","",IF(M523="[FÓRMULA MANUAL]","",IFERROR(AVERAGEIFS(nNOTA,nNIA,M523,nCUENTA,1,nASIG,"Orquesta/Banda/Conjunto"),"")))</f>
        <v/>
      </c>
      <c r="P523" t="str">
        <f>IF(M523="","",IF(M523="[FÓRMULA MANUAL]","",IFERROR(AVERAGEIFS(nNOTA,nNIA,M523,nCUENTA,1,nASIG,"Música de Cámara"),"")))</f>
        <v/>
      </c>
      <c r="Q523" t="str">
        <f>IF(M523="","",IF(M523="[FÓRMULA MANUAL]","",IFERROR(SUMPRODUCT((nNIA=M523)*(nCUENTA=1)*(COUNTIF(CONFIG_ASIGNATURAS!$B$7:$B$27,nASIG)&gt;0)*(nNOTA))/SUMPRODUCT((nNIA=M523)*(nCUENTA=1)*(COUNTIF(CONFIG_ASIGNATURAS!$B$7:$B$27,nASIG)&gt;0)*1),"")))</f>
        <v/>
      </c>
      <c r="T523" t="str">
        <f>IF(S523="","",IF(S523="[FÓRMULA MANUAL]","",IFERROR(AVERAGEIFS(nNOTA,nNIA,S523,nCUENTA,1,nASIG,"Armonía"),"")))</f>
        <v/>
      </c>
      <c r="U523" t="str">
        <f>IF(S523="","",IF(S523="[FÓRMULA MANUAL]","",IFERROR(AVERAGEIFS(nNOTA,nNIA,S523,nCUENTA,1,nASIG,"Orquesta/Banda/Conjunto"),"")))</f>
        <v/>
      </c>
      <c r="V523" t="str">
        <f>IF(S523="","",IF(S523="[FÓRMULA MANUAL]","",IFERROR(AVERAGEIFS(nNOTA,nNIA,S523,nCUENTA,1,nASIG,"Música de Cámara"),"")))</f>
        <v/>
      </c>
      <c r="W523" t="str">
        <f>IF(S523="","",IF(S523="[FÓRMULA MANUAL]","",IFERROR(SUMPRODUCT((nNIA=S523)*(nCUENTA=1)*(COUNTIF(CONFIG_ASIGNATURAS!$B$7:$B$27,nASIG)&gt;0)*(nNOTA))/SUMPRODUCT((nNIA=S523)*(nCUENTA=1)*(COUNTIF(CONFIG_ASIGNATURAS!$B$7:$B$27,nASIG)&gt;0)*1),"")))</f>
        <v/>
      </c>
      <c r="Z523" t="str">
        <f>IF(Y523="","",IF(Y523="[FÓRMULA MANUAL]","",IFERROR(AVERAGEIFS(nNOTA,nNIA,Y523,nCUENTA,1,nASIG,"Análisis"),"")))</f>
        <v/>
      </c>
      <c r="AA523" t="str">
        <f>IF(Y523="","",IF(Y523="[FÓRMULA MANUAL]","",IFERROR(AVERAGEIFS(nNOTA,nNIA,Y523,nCUENTA,1,nASIG,"Orquesta/Banda/Conjunto"),"")))</f>
        <v/>
      </c>
      <c r="AB523" t="str">
        <f>IF(Y523="","",IF(Y523="[FÓRMULA MANUAL]","",IFERROR(AVERAGEIFS(nNOTA,nNIA,Y523,nCUENTA,1,nASIG,"Música de Cámara"),"")))</f>
        <v/>
      </c>
      <c r="AC523" t="str">
        <f>IF(Y523="","",IF(Y523="[FÓRMULA MANUAL]","",IFERROR(SUMPRODUCT((nNIA=Y523)*(nCUENTA=1)*(COUNTIF(CONFIG_ASIGNATURAS!$B$7:$B$27,nASIG)&gt;0)*(nNOTA))/SUMPRODUCT((nNIA=Y523)*(nCUENTA=1)*(COUNTIF(CONFIG_ASIGNATURAS!$B$7:$B$27,nASIG)&gt;0)*1),"")))</f>
        <v/>
      </c>
      <c r="AF523" t="str">
        <f>IF(AE523="","",IF(AE523="[FÓRMULA MANUAL]","",IFERROR(AVERAGEIFS(nNOTA,nNIA,AE523,nCUENTA,1,nASIG,"Análisis"),"")))</f>
        <v/>
      </c>
      <c r="AG523" t="str">
        <f>IF(AE523="","",IF(AE523="[FÓRMULA MANUAL]","",IFERROR(AVERAGEIFS(nNOTA,nNIA,AE523,nCUENTA,1,nASIG,"Orquesta/Banda/Conjunto"),"")))</f>
        <v/>
      </c>
      <c r="AH523" t="str">
        <f>IF(AE523="","",IF(AE523="[FÓRMULA MANUAL]","",IFERROR(AVERAGEIFS(nNOTA,nNIA,AE523,nCUENTA,1,nASIG,"Música de Cámara"),"")))</f>
        <v/>
      </c>
      <c r="AI523" t="str">
        <f>IF(AE523="","",IF(AE523="[FÓRMULA MANUAL]","",IFERROR(SUMPRODUCT((nNIA=AE523)*(nCUENTA=1)*(COUNTIF(CONFIG_ASIGNATURAS!$B$7:$B$27,nASIG)&gt;0)*(nNOTA))/SUMPRODUCT((nNIA=AE523)*(nCUENTA=1)*(COUNTIF(CONFIG_ASIGNATURAS!$B$7:$B$27,nASIG)&gt;0)*1),"")))</f>
        <v/>
      </c>
    </row>
    <row r="524" spans="2:35" x14ac:dyDescent="0.2">
      <c r="B524" t="str">
        <f>IF(A524="","",IF(A524="[FÓRMULA MANUAL]","",IFERROR(AVERAGEIFS(nNOTA,nNIA,A524,nCUENTA,1,nASIG,"Lenguaje Musical"),"")))</f>
        <v/>
      </c>
      <c r="C524" t="str">
        <f>IF(A524="","",IF(A524="[FÓRMULA MANUAL]","",IFERROR(AVERAGEIFS(nNOTA,nNIA,A524,nCUENTA,1,nASIG,"Orquesta/Banda/Conjunto"),"")))</f>
        <v/>
      </c>
      <c r="D524" t="str">
        <f>IF(A524="","",IF(A524="[FÓRMULA MANUAL]","",IFERROR(AVERAGEIFS(nNOTA,nNIA,A524,nCUENTA,1,nASIG,"Conjunto"),"")))</f>
        <v/>
      </c>
      <c r="E524" t="str">
        <f>IF(A524="","",IF(A524="[FÓRMULA MANUAL]","",IFERROR(SUMPRODUCT((nNIA=A524)*(nCUENTA=1)*(COUNTIF(CONFIG_ASIGNATURAS!$B$7:$B$27,nASIG)&gt;0)*(nNOTA))/SUMPRODUCT((nNIA=A524)*(nCUENTA=1)*(COUNTIF(CONFIG_ASIGNATURAS!$B$7:$B$27,nASIG)&gt;0)*1),"")))</f>
        <v/>
      </c>
      <c r="H524" t="str">
        <f>IF(G524="","",IF(G524="[FÓRMULA MANUAL]","",IFERROR(AVERAGEIFS(nNOTA,nNIA,G524,nCUENTA,1,nASIG,"Lenguaje Musical"),"")))</f>
        <v/>
      </c>
      <c r="I524" t="str">
        <f>IF(G524="","",IF(G524="[FÓRMULA MANUAL]","",IFERROR(AVERAGEIFS(nNOTA,nNIA,G524,nCUENTA,1,nASIG,"Orquesta/Banda/Conjunto"),"")))</f>
        <v/>
      </c>
      <c r="J524" t="str">
        <f>IF(G524="","",IF(G524="[FÓRMULA MANUAL]","",IFERROR(AVERAGEIFS(nNOTA,nNIA,G524,nCUENTA,1,nASIG,"Conjunto"),"")))</f>
        <v/>
      </c>
      <c r="K524" t="str">
        <f>IF(G524="","",IF(G524="[FÓRMULA MANUAL]","",IFERROR(SUMPRODUCT((nNIA=G524)*(nCUENTA=1)*(COUNTIF(CONFIG_ASIGNATURAS!$B$7:$B$27,nASIG)&gt;0)*(nNOTA))/SUMPRODUCT((nNIA=G524)*(nCUENTA=1)*(COUNTIF(CONFIG_ASIGNATURAS!$B$7:$B$27,nASIG)&gt;0)*1),"")))</f>
        <v/>
      </c>
      <c r="N524" t="str">
        <f>IF(M524="","",IF(M524="[FÓRMULA MANUAL]","",IFERROR(AVERAGEIFS(nNOTA,nNIA,M524,nCUENTA,1,nASIG,"Armonía"),"")))</f>
        <v/>
      </c>
      <c r="O524" t="str">
        <f>IF(M524="","",IF(M524="[FÓRMULA MANUAL]","",IFERROR(AVERAGEIFS(nNOTA,nNIA,M524,nCUENTA,1,nASIG,"Orquesta/Banda/Conjunto"),"")))</f>
        <v/>
      </c>
      <c r="P524" t="str">
        <f>IF(M524="","",IF(M524="[FÓRMULA MANUAL]","",IFERROR(AVERAGEIFS(nNOTA,nNIA,M524,nCUENTA,1,nASIG,"Música de Cámara"),"")))</f>
        <v/>
      </c>
      <c r="Q524" t="str">
        <f>IF(M524="","",IF(M524="[FÓRMULA MANUAL]","",IFERROR(SUMPRODUCT((nNIA=M524)*(nCUENTA=1)*(COUNTIF(CONFIG_ASIGNATURAS!$B$7:$B$27,nASIG)&gt;0)*(nNOTA))/SUMPRODUCT((nNIA=M524)*(nCUENTA=1)*(COUNTIF(CONFIG_ASIGNATURAS!$B$7:$B$27,nASIG)&gt;0)*1),"")))</f>
        <v/>
      </c>
      <c r="T524" t="str">
        <f>IF(S524="","",IF(S524="[FÓRMULA MANUAL]","",IFERROR(AVERAGEIFS(nNOTA,nNIA,S524,nCUENTA,1,nASIG,"Armonía"),"")))</f>
        <v/>
      </c>
      <c r="U524" t="str">
        <f>IF(S524="","",IF(S524="[FÓRMULA MANUAL]","",IFERROR(AVERAGEIFS(nNOTA,nNIA,S524,nCUENTA,1,nASIG,"Orquesta/Banda/Conjunto"),"")))</f>
        <v/>
      </c>
      <c r="V524" t="str">
        <f>IF(S524="","",IF(S524="[FÓRMULA MANUAL]","",IFERROR(AVERAGEIFS(nNOTA,nNIA,S524,nCUENTA,1,nASIG,"Música de Cámara"),"")))</f>
        <v/>
      </c>
      <c r="W524" t="str">
        <f>IF(S524="","",IF(S524="[FÓRMULA MANUAL]","",IFERROR(SUMPRODUCT((nNIA=S524)*(nCUENTA=1)*(COUNTIF(CONFIG_ASIGNATURAS!$B$7:$B$27,nASIG)&gt;0)*(nNOTA))/SUMPRODUCT((nNIA=S524)*(nCUENTA=1)*(COUNTIF(CONFIG_ASIGNATURAS!$B$7:$B$27,nASIG)&gt;0)*1),"")))</f>
        <v/>
      </c>
      <c r="Z524" t="str">
        <f>IF(Y524="","",IF(Y524="[FÓRMULA MANUAL]","",IFERROR(AVERAGEIFS(nNOTA,nNIA,Y524,nCUENTA,1,nASIG,"Análisis"),"")))</f>
        <v/>
      </c>
      <c r="AA524" t="str">
        <f>IF(Y524="","",IF(Y524="[FÓRMULA MANUAL]","",IFERROR(AVERAGEIFS(nNOTA,nNIA,Y524,nCUENTA,1,nASIG,"Orquesta/Banda/Conjunto"),"")))</f>
        <v/>
      </c>
      <c r="AB524" t="str">
        <f>IF(Y524="","",IF(Y524="[FÓRMULA MANUAL]","",IFERROR(AVERAGEIFS(nNOTA,nNIA,Y524,nCUENTA,1,nASIG,"Música de Cámara"),"")))</f>
        <v/>
      </c>
      <c r="AC524" t="str">
        <f>IF(Y524="","",IF(Y524="[FÓRMULA MANUAL]","",IFERROR(SUMPRODUCT((nNIA=Y524)*(nCUENTA=1)*(COUNTIF(CONFIG_ASIGNATURAS!$B$7:$B$27,nASIG)&gt;0)*(nNOTA))/SUMPRODUCT((nNIA=Y524)*(nCUENTA=1)*(COUNTIF(CONFIG_ASIGNATURAS!$B$7:$B$27,nASIG)&gt;0)*1),"")))</f>
        <v/>
      </c>
      <c r="AF524" t="str">
        <f>IF(AE524="","",IF(AE524="[FÓRMULA MANUAL]","",IFERROR(AVERAGEIFS(nNOTA,nNIA,AE524,nCUENTA,1,nASIG,"Análisis"),"")))</f>
        <v/>
      </c>
      <c r="AG524" t="str">
        <f>IF(AE524="","",IF(AE524="[FÓRMULA MANUAL]","",IFERROR(AVERAGEIFS(nNOTA,nNIA,AE524,nCUENTA,1,nASIG,"Orquesta/Banda/Conjunto"),"")))</f>
        <v/>
      </c>
      <c r="AH524" t="str">
        <f>IF(AE524="","",IF(AE524="[FÓRMULA MANUAL]","",IFERROR(AVERAGEIFS(nNOTA,nNIA,AE524,nCUENTA,1,nASIG,"Música de Cámara"),"")))</f>
        <v/>
      </c>
      <c r="AI524" t="str">
        <f>IF(AE524="","",IF(AE524="[FÓRMULA MANUAL]","",IFERROR(SUMPRODUCT((nNIA=AE524)*(nCUENTA=1)*(COUNTIF(CONFIG_ASIGNATURAS!$B$7:$B$27,nASIG)&gt;0)*(nNOTA))/SUMPRODUCT((nNIA=AE524)*(nCUENTA=1)*(COUNTIF(CONFIG_ASIGNATURAS!$B$7:$B$27,nASIG)&gt;0)*1),"")))</f>
        <v/>
      </c>
    </row>
    <row r="525" spans="2:35" x14ac:dyDescent="0.2">
      <c r="B525" t="str">
        <f>IF(A525="","",IF(A525="[FÓRMULA MANUAL]","",IFERROR(AVERAGEIFS(nNOTA,nNIA,A525,nCUENTA,1,nASIG,"Lenguaje Musical"),"")))</f>
        <v/>
      </c>
      <c r="C525" t="str">
        <f>IF(A525="","",IF(A525="[FÓRMULA MANUAL]","",IFERROR(AVERAGEIFS(nNOTA,nNIA,A525,nCUENTA,1,nASIG,"Orquesta/Banda/Conjunto"),"")))</f>
        <v/>
      </c>
      <c r="D525" t="str">
        <f>IF(A525="","",IF(A525="[FÓRMULA MANUAL]","",IFERROR(AVERAGEIFS(nNOTA,nNIA,A525,nCUENTA,1,nASIG,"Conjunto"),"")))</f>
        <v/>
      </c>
      <c r="E525" t="str">
        <f>IF(A525="","",IF(A525="[FÓRMULA MANUAL]","",IFERROR(SUMPRODUCT((nNIA=A525)*(nCUENTA=1)*(COUNTIF(CONFIG_ASIGNATURAS!$B$7:$B$27,nASIG)&gt;0)*(nNOTA))/SUMPRODUCT((nNIA=A525)*(nCUENTA=1)*(COUNTIF(CONFIG_ASIGNATURAS!$B$7:$B$27,nASIG)&gt;0)*1),"")))</f>
        <v/>
      </c>
      <c r="H525" t="str">
        <f>IF(G525="","",IF(G525="[FÓRMULA MANUAL]","",IFERROR(AVERAGEIFS(nNOTA,nNIA,G525,nCUENTA,1,nASIG,"Lenguaje Musical"),"")))</f>
        <v/>
      </c>
      <c r="I525" t="str">
        <f>IF(G525="","",IF(G525="[FÓRMULA MANUAL]","",IFERROR(AVERAGEIFS(nNOTA,nNIA,G525,nCUENTA,1,nASIG,"Orquesta/Banda/Conjunto"),"")))</f>
        <v/>
      </c>
      <c r="J525" t="str">
        <f>IF(G525="","",IF(G525="[FÓRMULA MANUAL]","",IFERROR(AVERAGEIFS(nNOTA,nNIA,G525,nCUENTA,1,nASIG,"Conjunto"),"")))</f>
        <v/>
      </c>
      <c r="K525" t="str">
        <f>IF(G525="","",IF(G525="[FÓRMULA MANUAL]","",IFERROR(SUMPRODUCT((nNIA=G525)*(nCUENTA=1)*(COUNTIF(CONFIG_ASIGNATURAS!$B$7:$B$27,nASIG)&gt;0)*(nNOTA))/SUMPRODUCT((nNIA=G525)*(nCUENTA=1)*(COUNTIF(CONFIG_ASIGNATURAS!$B$7:$B$27,nASIG)&gt;0)*1),"")))</f>
        <v/>
      </c>
      <c r="N525" t="str">
        <f>IF(M525="","",IF(M525="[FÓRMULA MANUAL]","",IFERROR(AVERAGEIFS(nNOTA,nNIA,M525,nCUENTA,1,nASIG,"Armonía"),"")))</f>
        <v/>
      </c>
      <c r="O525" t="str">
        <f>IF(M525="","",IF(M525="[FÓRMULA MANUAL]","",IFERROR(AVERAGEIFS(nNOTA,nNIA,M525,nCUENTA,1,nASIG,"Orquesta/Banda/Conjunto"),"")))</f>
        <v/>
      </c>
      <c r="P525" t="str">
        <f>IF(M525="","",IF(M525="[FÓRMULA MANUAL]","",IFERROR(AVERAGEIFS(nNOTA,nNIA,M525,nCUENTA,1,nASIG,"Música de Cámara"),"")))</f>
        <v/>
      </c>
      <c r="Q525" t="str">
        <f>IF(M525="","",IF(M525="[FÓRMULA MANUAL]","",IFERROR(SUMPRODUCT((nNIA=M525)*(nCUENTA=1)*(COUNTIF(CONFIG_ASIGNATURAS!$B$7:$B$27,nASIG)&gt;0)*(nNOTA))/SUMPRODUCT((nNIA=M525)*(nCUENTA=1)*(COUNTIF(CONFIG_ASIGNATURAS!$B$7:$B$27,nASIG)&gt;0)*1),"")))</f>
        <v/>
      </c>
      <c r="T525" t="str">
        <f>IF(S525="","",IF(S525="[FÓRMULA MANUAL]","",IFERROR(AVERAGEIFS(nNOTA,nNIA,S525,nCUENTA,1,nASIG,"Armonía"),"")))</f>
        <v/>
      </c>
      <c r="U525" t="str">
        <f>IF(S525="","",IF(S525="[FÓRMULA MANUAL]","",IFERROR(AVERAGEIFS(nNOTA,nNIA,S525,nCUENTA,1,nASIG,"Orquesta/Banda/Conjunto"),"")))</f>
        <v/>
      </c>
      <c r="V525" t="str">
        <f>IF(S525="","",IF(S525="[FÓRMULA MANUAL]","",IFERROR(AVERAGEIFS(nNOTA,nNIA,S525,nCUENTA,1,nASIG,"Música de Cámara"),"")))</f>
        <v/>
      </c>
      <c r="W525" t="str">
        <f>IF(S525="","",IF(S525="[FÓRMULA MANUAL]","",IFERROR(SUMPRODUCT((nNIA=S525)*(nCUENTA=1)*(COUNTIF(CONFIG_ASIGNATURAS!$B$7:$B$27,nASIG)&gt;0)*(nNOTA))/SUMPRODUCT((nNIA=S525)*(nCUENTA=1)*(COUNTIF(CONFIG_ASIGNATURAS!$B$7:$B$27,nASIG)&gt;0)*1),"")))</f>
        <v/>
      </c>
      <c r="Z525" t="str">
        <f>IF(Y525="","",IF(Y525="[FÓRMULA MANUAL]","",IFERROR(AVERAGEIFS(nNOTA,nNIA,Y525,nCUENTA,1,nASIG,"Análisis"),"")))</f>
        <v/>
      </c>
      <c r="AA525" t="str">
        <f>IF(Y525="","",IF(Y525="[FÓRMULA MANUAL]","",IFERROR(AVERAGEIFS(nNOTA,nNIA,Y525,nCUENTA,1,nASIG,"Orquesta/Banda/Conjunto"),"")))</f>
        <v/>
      </c>
      <c r="AB525" t="str">
        <f>IF(Y525="","",IF(Y525="[FÓRMULA MANUAL]","",IFERROR(AVERAGEIFS(nNOTA,nNIA,Y525,nCUENTA,1,nASIG,"Música de Cámara"),"")))</f>
        <v/>
      </c>
      <c r="AC525" t="str">
        <f>IF(Y525="","",IF(Y525="[FÓRMULA MANUAL]","",IFERROR(SUMPRODUCT((nNIA=Y525)*(nCUENTA=1)*(COUNTIF(CONFIG_ASIGNATURAS!$B$7:$B$27,nASIG)&gt;0)*(nNOTA))/SUMPRODUCT((nNIA=Y525)*(nCUENTA=1)*(COUNTIF(CONFIG_ASIGNATURAS!$B$7:$B$27,nASIG)&gt;0)*1),"")))</f>
        <v/>
      </c>
      <c r="AF525" t="str">
        <f>IF(AE525="","",IF(AE525="[FÓRMULA MANUAL]","",IFERROR(AVERAGEIFS(nNOTA,nNIA,AE525,nCUENTA,1,nASIG,"Análisis"),"")))</f>
        <v/>
      </c>
      <c r="AG525" t="str">
        <f>IF(AE525="","",IF(AE525="[FÓRMULA MANUAL]","",IFERROR(AVERAGEIFS(nNOTA,nNIA,AE525,nCUENTA,1,nASIG,"Orquesta/Banda/Conjunto"),"")))</f>
        <v/>
      </c>
      <c r="AH525" t="str">
        <f>IF(AE525="","",IF(AE525="[FÓRMULA MANUAL]","",IFERROR(AVERAGEIFS(nNOTA,nNIA,AE525,nCUENTA,1,nASIG,"Música de Cámara"),"")))</f>
        <v/>
      </c>
      <c r="AI525" t="str">
        <f>IF(AE525="","",IF(AE525="[FÓRMULA MANUAL]","",IFERROR(SUMPRODUCT((nNIA=AE525)*(nCUENTA=1)*(COUNTIF(CONFIG_ASIGNATURAS!$B$7:$B$27,nASIG)&gt;0)*(nNOTA))/SUMPRODUCT((nNIA=AE525)*(nCUENTA=1)*(COUNTIF(CONFIG_ASIGNATURAS!$B$7:$B$27,nASIG)&gt;0)*1),"")))</f>
        <v/>
      </c>
    </row>
    <row r="526" spans="2:35" x14ac:dyDescent="0.2">
      <c r="B526" t="str">
        <f>IF(A526="","",IF(A526="[FÓRMULA MANUAL]","",IFERROR(AVERAGEIFS(nNOTA,nNIA,A526,nCUENTA,1,nASIG,"Lenguaje Musical"),"")))</f>
        <v/>
      </c>
      <c r="C526" t="str">
        <f>IF(A526="","",IF(A526="[FÓRMULA MANUAL]","",IFERROR(AVERAGEIFS(nNOTA,nNIA,A526,nCUENTA,1,nASIG,"Orquesta/Banda/Conjunto"),"")))</f>
        <v/>
      </c>
      <c r="D526" t="str">
        <f>IF(A526="","",IF(A526="[FÓRMULA MANUAL]","",IFERROR(AVERAGEIFS(nNOTA,nNIA,A526,nCUENTA,1,nASIG,"Conjunto"),"")))</f>
        <v/>
      </c>
      <c r="E526" t="str">
        <f>IF(A526="","",IF(A526="[FÓRMULA MANUAL]","",IFERROR(SUMPRODUCT((nNIA=A526)*(nCUENTA=1)*(COUNTIF(CONFIG_ASIGNATURAS!$B$7:$B$27,nASIG)&gt;0)*(nNOTA))/SUMPRODUCT((nNIA=A526)*(nCUENTA=1)*(COUNTIF(CONFIG_ASIGNATURAS!$B$7:$B$27,nASIG)&gt;0)*1),"")))</f>
        <v/>
      </c>
      <c r="H526" t="str">
        <f>IF(G526="","",IF(G526="[FÓRMULA MANUAL]","",IFERROR(AVERAGEIFS(nNOTA,nNIA,G526,nCUENTA,1,nASIG,"Lenguaje Musical"),"")))</f>
        <v/>
      </c>
      <c r="I526" t="str">
        <f>IF(G526="","",IF(G526="[FÓRMULA MANUAL]","",IFERROR(AVERAGEIFS(nNOTA,nNIA,G526,nCUENTA,1,nASIG,"Orquesta/Banda/Conjunto"),"")))</f>
        <v/>
      </c>
      <c r="J526" t="str">
        <f>IF(G526="","",IF(G526="[FÓRMULA MANUAL]","",IFERROR(AVERAGEIFS(nNOTA,nNIA,G526,nCUENTA,1,nASIG,"Conjunto"),"")))</f>
        <v/>
      </c>
      <c r="K526" t="str">
        <f>IF(G526="","",IF(G526="[FÓRMULA MANUAL]","",IFERROR(SUMPRODUCT((nNIA=G526)*(nCUENTA=1)*(COUNTIF(CONFIG_ASIGNATURAS!$B$7:$B$27,nASIG)&gt;0)*(nNOTA))/SUMPRODUCT((nNIA=G526)*(nCUENTA=1)*(COUNTIF(CONFIG_ASIGNATURAS!$B$7:$B$27,nASIG)&gt;0)*1),"")))</f>
        <v/>
      </c>
      <c r="N526" t="str">
        <f>IF(M526="","",IF(M526="[FÓRMULA MANUAL]","",IFERROR(AVERAGEIFS(nNOTA,nNIA,M526,nCUENTA,1,nASIG,"Armonía"),"")))</f>
        <v/>
      </c>
      <c r="O526" t="str">
        <f>IF(M526="","",IF(M526="[FÓRMULA MANUAL]","",IFERROR(AVERAGEIFS(nNOTA,nNIA,M526,nCUENTA,1,nASIG,"Orquesta/Banda/Conjunto"),"")))</f>
        <v/>
      </c>
      <c r="P526" t="str">
        <f>IF(M526="","",IF(M526="[FÓRMULA MANUAL]","",IFERROR(AVERAGEIFS(nNOTA,nNIA,M526,nCUENTA,1,nASIG,"Música de Cámara"),"")))</f>
        <v/>
      </c>
      <c r="Q526" t="str">
        <f>IF(M526="","",IF(M526="[FÓRMULA MANUAL]","",IFERROR(SUMPRODUCT((nNIA=M526)*(nCUENTA=1)*(COUNTIF(CONFIG_ASIGNATURAS!$B$7:$B$27,nASIG)&gt;0)*(nNOTA))/SUMPRODUCT((nNIA=M526)*(nCUENTA=1)*(COUNTIF(CONFIG_ASIGNATURAS!$B$7:$B$27,nASIG)&gt;0)*1),"")))</f>
        <v/>
      </c>
      <c r="T526" t="str">
        <f>IF(S526="","",IF(S526="[FÓRMULA MANUAL]","",IFERROR(AVERAGEIFS(nNOTA,nNIA,S526,nCUENTA,1,nASIG,"Armonía"),"")))</f>
        <v/>
      </c>
      <c r="U526" t="str">
        <f>IF(S526="","",IF(S526="[FÓRMULA MANUAL]","",IFERROR(AVERAGEIFS(nNOTA,nNIA,S526,nCUENTA,1,nASIG,"Orquesta/Banda/Conjunto"),"")))</f>
        <v/>
      </c>
      <c r="V526" t="str">
        <f>IF(S526="","",IF(S526="[FÓRMULA MANUAL]","",IFERROR(AVERAGEIFS(nNOTA,nNIA,S526,nCUENTA,1,nASIG,"Música de Cámara"),"")))</f>
        <v/>
      </c>
      <c r="W526" t="str">
        <f>IF(S526="","",IF(S526="[FÓRMULA MANUAL]","",IFERROR(SUMPRODUCT((nNIA=S526)*(nCUENTA=1)*(COUNTIF(CONFIG_ASIGNATURAS!$B$7:$B$27,nASIG)&gt;0)*(nNOTA))/SUMPRODUCT((nNIA=S526)*(nCUENTA=1)*(COUNTIF(CONFIG_ASIGNATURAS!$B$7:$B$27,nASIG)&gt;0)*1),"")))</f>
        <v/>
      </c>
      <c r="Z526" t="str">
        <f>IF(Y526="","",IF(Y526="[FÓRMULA MANUAL]","",IFERROR(AVERAGEIFS(nNOTA,nNIA,Y526,nCUENTA,1,nASIG,"Análisis"),"")))</f>
        <v/>
      </c>
      <c r="AA526" t="str">
        <f>IF(Y526="","",IF(Y526="[FÓRMULA MANUAL]","",IFERROR(AVERAGEIFS(nNOTA,nNIA,Y526,nCUENTA,1,nASIG,"Orquesta/Banda/Conjunto"),"")))</f>
        <v/>
      </c>
      <c r="AB526" t="str">
        <f>IF(Y526="","",IF(Y526="[FÓRMULA MANUAL]","",IFERROR(AVERAGEIFS(nNOTA,nNIA,Y526,nCUENTA,1,nASIG,"Música de Cámara"),"")))</f>
        <v/>
      </c>
      <c r="AC526" t="str">
        <f>IF(Y526="","",IF(Y526="[FÓRMULA MANUAL]","",IFERROR(SUMPRODUCT((nNIA=Y526)*(nCUENTA=1)*(COUNTIF(CONFIG_ASIGNATURAS!$B$7:$B$27,nASIG)&gt;0)*(nNOTA))/SUMPRODUCT((nNIA=Y526)*(nCUENTA=1)*(COUNTIF(CONFIG_ASIGNATURAS!$B$7:$B$27,nASIG)&gt;0)*1),"")))</f>
        <v/>
      </c>
      <c r="AF526" t="str">
        <f>IF(AE526="","",IF(AE526="[FÓRMULA MANUAL]","",IFERROR(AVERAGEIFS(nNOTA,nNIA,AE526,nCUENTA,1,nASIG,"Análisis"),"")))</f>
        <v/>
      </c>
      <c r="AG526" t="str">
        <f>IF(AE526="","",IF(AE526="[FÓRMULA MANUAL]","",IFERROR(AVERAGEIFS(nNOTA,nNIA,AE526,nCUENTA,1,nASIG,"Orquesta/Banda/Conjunto"),"")))</f>
        <v/>
      </c>
      <c r="AH526" t="str">
        <f>IF(AE526="","",IF(AE526="[FÓRMULA MANUAL]","",IFERROR(AVERAGEIFS(nNOTA,nNIA,AE526,nCUENTA,1,nASIG,"Música de Cámara"),"")))</f>
        <v/>
      </c>
      <c r="AI526" t="str">
        <f>IF(AE526="","",IF(AE526="[FÓRMULA MANUAL]","",IFERROR(SUMPRODUCT((nNIA=AE526)*(nCUENTA=1)*(COUNTIF(CONFIG_ASIGNATURAS!$B$7:$B$27,nASIG)&gt;0)*(nNOTA))/SUMPRODUCT((nNIA=AE526)*(nCUENTA=1)*(COUNTIF(CONFIG_ASIGNATURAS!$B$7:$B$27,nASIG)&gt;0)*1),"")))</f>
        <v/>
      </c>
    </row>
    <row r="527" spans="2:35" x14ac:dyDescent="0.2">
      <c r="B527" t="str">
        <f>IF(A527="","",IF(A527="[FÓRMULA MANUAL]","",IFERROR(AVERAGEIFS(nNOTA,nNIA,A527,nCUENTA,1,nASIG,"Lenguaje Musical"),"")))</f>
        <v/>
      </c>
      <c r="C527" t="str">
        <f>IF(A527="","",IF(A527="[FÓRMULA MANUAL]","",IFERROR(AVERAGEIFS(nNOTA,nNIA,A527,nCUENTA,1,nASIG,"Orquesta/Banda/Conjunto"),"")))</f>
        <v/>
      </c>
      <c r="D527" t="str">
        <f>IF(A527="","",IF(A527="[FÓRMULA MANUAL]","",IFERROR(AVERAGEIFS(nNOTA,nNIA,A527,nCUENTA,1,nASIG,"Conjunto"),"")))</f>
        <v/>
      </c>
      <c r="E527" t="str">
        <f>IF(A527="","",IF(A527="[FÓRMULA MANUAL]","",IFERROR(SUMPRODUCT((nNIA=A527)*(nCUENTA=1)*(COUNTIF(CONFIG_ASIGNATURAS!$B$7:$B$27,nASIG)&gt;0)*(nNOTA))/SUMPRODUCT((nNIA=A527)*(nCUENTA=1)*(COUNTIF(CONFIG_ASIGNATURAS!$B$7:$B$27,nASIG)&gt;0)*1),"")))</f>
        <v/>
      </c>
      <c r="H527" t="str">
        <f>IF(G527="","",IF(G527="[FÓRMULA MANUAL]","",IFERROR(AVERAGEIFS(nNOTA,nNIA,G527,nCUENTA,1,nASIG,"Lenguaje Musical"),"")))</f>
        <v/>
      </c>
      <c r="I527" t="str">
        <f>IF(G527="","",IF(G527="[FÓRMULA MANUAL]","",IFERROR(AVERAGEIFS(nNOTA,nNIA,G527,nCUENTA,1,nASIG,"Orquesta/Banda/Conjunto"),"")))</f>
        <v/>
      </c>
      <c r="J527" t="str">
        <f>IF(G527="","",IF(G527="[FÓRMULA MANUAL]","",IFERROR(AVERAGEIFS(nNOTA,nNIA,G527,nCUENTA,1,nASIG,"Conjunto"),"")))</f>
        <v/>
      </c>
      <c r="K527" t="str">
        <f>IF(G527="","",IF(G527="[FÓRMULA MANUAL]","",IFERROR(SUMPRODUCT((nNIA=G527)*(nCUENTA=1)*(COUNTIF(CONFIG_ASIGNATURAS!$B$7:$B$27,nASIG)&gt;0)*(nNOTA))/SUMPRODUCT((nNIA=G527)*(nCUENTA=1)*(COUNTIF(CONFIG_ASIGNATURAS!$B$7:$B$27,nASIG)&gt;0)*1),"")))</f>
        <v/>
      </c>
      <c r="N527" t="str">
        <f>IF(M527="","",IF(M527="[FÓRMULA MANUAL]","",IFERROR(AVERAGEIFS(nNOTA,nNIA,M527,nCUENTA,1,nASIG,"Armonía"),"")))</f>
        <v/>
      </c>
      <c r="O527" t="str">
        <f>IF(M527="","",IF(M527="[FÓRMULA MANUAL]","",IFERROR(AVERAGEIFS(nNOTA,nNIA,M527,nCUENTA,1,nASIG,"Orquesta/Banda/Conjunto"),"")))</f>
        <v/>
      </c>
      <c r="P527" t="str">
        <f>IF(M527="","",IF(M527="[FÓRMULA MANUAL]","",IFERROR(AVERAGEIFS(nNOTA,nNIA,M527,nCUENTA,1,nASIG,"Música de Cámara"),"")))</f>
        <v/>
      </c>
      <c r="Q527" t="str">
        <f>IF(M527="","",IF(M527="[FÓRMULA MANUAL]","",IFERROR(SUMPRODUCT((nNIA=M527)*(nCUENTA=1)*(COUNTIF(CONFIG_ASIGNATURAS!$B$7:$B$27,nASIG)&gt;0)*(nNOTA))/SUMPRODUCT((nNIA=M527)*(nCUENTA=1)*(COUNTIF(CONFIG_ASIGNATURAS!$B$7:$B$27,nASIG)&gt;0)*1),"")))</f>
        <v/>
      </c>
      <c r="T527" t="str">
        <f>IF(S527="","",IF(S527="[FÓRMULA MANUAL]","",IFERROR(AVERAGEIFS(nNOTA,nNIA,S527,nCUENTA,1,nASIG,"Armonía"),"")))</f>
        <v/>
      </c>
      <c r="U527" t="str">
        <f>IF(S527="","",IF(S527="[FÓRMULA MANUAL]","",IFERROR(AVERAGEIFS(nNOTA,nNIA,S527,nCUENTA,1,nASIG,"Orquesta/Banda/Conjunto"),"")))</f>
        <v/>
      </c>
      <c r="V527" t="str">
        <f>IF(S527="","",IF(S527="[FÓRMULA MANUAL]","",IFERROR(AVERAGEIFS(nNOTA,nNIA,S527,nCUENTA,1,nASIG,"Música de Cámara"),"")))</f>
        <v/>
      </c>
      <c r="W527" t="str">
        <f>IF(S527="","",IF(S527="[FÓRMULA MANUAL]","",IFERROR(SUMPRODUCT((nNIA=S527)*(nCUENTA=1)*(COUNTIF(CONFIG_ASIGNATURAS!$B$7:$B$27,nASIG)&gt;0)*(nNOTA))/SUMPRODUCT((nNIA=S527)*(nCUENTA=1)*(COUNTIF(CONFIG_ASIGNATURAS!$B$7:$B$27,nASIG)&gt;0)*1),"")))</f>
        <v/>
      </c>
      <c r="Z527" t="str">
        <f>IF(Y527="","",IF(Y527="[FÓRMULA MANUAL]","",IFERROR(AVERAGEIFS(nNOTA,nNIA,Y527,nCUENTA,1,nASIG,"Análisis"),"")))</f>
        <v/>
      </c>
      <c r="AA527" t="str">
        <f>IF(Y527="","",IF(Y527="[FÓRMULA MANUAL]","",IFERROR(AVERAGEIFS(nNOTA,nNIA,Y527,nCUENTA,1,nASIG,"Orquesta/Banda/Conjunto"),"")))</f>
        <v/>
      </c>
      <c r="AB527" t="str">
        <f>IF(Y527="","",IF(Y527="[FÓRMULA MANUAL]","",IFERROR(AVERAGEIFS(nNOTA,nNIA,Y527,nCUENTA,1,nASIG,"Música de Cámara"),"")))</f>
        <v/>
      </c>
      <c r="AC527" t="str">
        <f>IF(Y527="","",IF(Y527="[FÓRMULA MANUAL]","",IFERROR(SUMPRODUCT((nNIA=Y527)*(nCUENTA=1)*(COUNTIF(CONFIG_ASIGNATURAS!$B$7:$B$27,nASIG)&gt;0)*(nNOTA))/SUMPRODUCT((nNIA=Y527)*(nCUENTA=1)*(COUNTIF(CONFIG_ASIGNATURAS!$B$7:$B$27,nASIG)&gt;0)*1),"")))</f>
        <v/>
      </c>
      <c r="AF527" t="str">
        <f>IF(AE527="","",IF(AE527="[FÓRMULA MANUAL]","",IFERROR(AVERAGEIFS(nNOTA,nNIA,AE527,nCUENTA,1,nASIG,"Análisis"),"")))</f>
        <v/>
      </c>
      <c r="AG527" t="str">
        <f>IF(AE527="","",IF(AE527="[FÓRMULA MANUAL]","",IFERROR(AVERAGEIFS(nNOTA,nNIA,AE527,nCUENTA,1,nASIG,"Orquesta/Banda/Conjunto"),"")))</f>
        <v/>
      </c>
      <c r="AH527" t="str">
        <f>IF(AE527="","",IF(AE527="[FÓRMULA MANUAL]","",IFERROR(AVERAGEIFS(nNOTA,nNIA,AE527,nCUENTA,1,nASIG,"Música de Cámara"),"")))</f>
        <v/>
      </c>
      <c r="AI527" t="str">
        <f>IF(AE527="","",IF(AE527="[FÓRMULA MANUAL]","",IFERROR(SUMPRODUCT((nNIA=AE527)*(nCUENTA=1)*(COUNTIF(CONFIG_ASIGNATURAS!$B$7:$B$27,nASIG)&gt;0)*(nNOTA))/SUMPRODUCT((nNIA=AE527)*(nCUENTA=1)*(COUNTIF(CONFIG_ASIGNATURAS!$B$7:$B$27,nASIG)&gt;0)*1),"")))</f>
        <v/>
      </c>
    </row>
    <row r="528" spans="2:35" x14ac:dyDescent="0.2">
      <c r="B528" t="str">
        <f>IF(A528="","",IF(A528="[FÓRMULA MANUAL]","",IFERROR(AVERAGEIFS(nNOTA,nNIA,A528,nCUENTA,1,nASIG,"Lenguaje Musical"),"")))</f>
        <v/>
      </c>
      <c r="C528" t="str">
        <f>IF(A528="","",IF(A528="[FÓRMULA MANUAL]","",IFERROR(AVERAGEIFS(nNOTA,nNIA,A528,nCUENTA,1,nASIG,"Orquesta/Banda/Conjunto"),"")))</f>
        <v/>
      </c>
      <c r="D528" t="str">
        <f>IF(A528="","",IF(A528="[FÓRMULA MANUAL]","",IFERROR(AVERAGEIFS(nNOTA,nNIA,A528,nCUENTA,1,nASIG,"Conjunto"),"")))</f>
        <v/>
      </c>
      <c r="E528" t="str">
        <f>IF(A528="","",IF(A528="[FÓRMULA MANUAL]","",IFERROR(SUMPRODUCT((nNIA=A528)*(nCUENTA=1)*(COUNTIF(CONFIG_ASIGNATURAS!$B$7:$B$27,nASIG)&gt;0)*(nNOTA))/SUMPRODUCT((nNIA=A528)*(nCUENTA=1)*(COUNTIF(CONFIG_ASIGNATURAS!$B$7:$B$27,nASIG)&gt;0)*1),"")))</f>
        <v/>
      </c>
      <c r="H528" t="str">
        <f>IF(G528="","",IF(G528="[FÓRMULA MANUAL]","",IFERROR(AVERAGEIFS(nNOTA,nNIA,G528,nCUENTA,1,nASIG,"Lenguaje Musical"),"")))</f>
        <v/>
      </c>
      <c r="I528" t="str">
        <f>IF(G528="","",IF(G528="[FÓRMULA MANUAL]","",IFERROR(AVERAGEIFS(nNOTA,nNIA,G528,nCUENTA,1,nASIG,"Orquesta/Banda/Conjunto"),"")))</f>
        <v/>
      </c>
      <c r="J528" t="str">
        <f>IF(G528="","",IF(G528="[FÓRMULA MANUAL]","",IFERROR(AVERAGEIFS(nNOTA,nNIA,G528,nCUENTA,1,nASIG,"Conjunto"),"")))</f>
        <v/>
      </c>
      <c r="K528" t="str">
        <f>IF(G528="","",IF(G528="[FÓRMULA MANUAL]","",IFERROR(SUMPRODUCT((nNIA=G528)*(nCUENTA=1)*(COUNTIF(CONFIG_ASIGNATURAS!$B$7:$B$27,nASIG)&gt;0)*(nNOTA))/SUMPRODUCT((nNIA=G528)*(nCUENTA=1)*(COUNTIF(CONFIG_ASIGNATURAS!$B$7:$B$27,nASIG)&gt;0)*1),"")))</f>
        <v/>
      </c>
      <c r="N528" t="str">
        <f>IF(M528="","",IF(M528="[FÓRMULA MANUAL]","",IFERROR(AVERAGEIFS(nNOTA,nNIA,M528,nCUENTA,1,nASIG,"Armonía"),"")))</f>
        <v/>
      </c>
      <c r="O528" t="str">
        <f>IF(M528="","",IF(M528="[FÓRMULA MANUAL]","",IFERROR(AVERAGEIFS(nNOTA,nNIA,M528,nCUENTA,1,nASIG,"Orquesta/Banda/Conjunto"),"")))</f>
        <v/>
      </c>
      <c r="P528" t="str">
        <f>IF(M528="","",IF(M528="[FÓRMULA MANUAL]","",IFERROR(AVERAGEIFS(nNOTA,nNIA,M528,nCUENTA,1,nASIG,"Música de Cámara"),"")))</f>
        <v/>
      </c>
      <c r="Q528" t="str">
        <f>IF(M528="","",IF(M528="[FÓRMULA MANUAL]","",IFERROR(SUMPRODUCT((nNIA=M528)*(nCUENTA=1)*(COUNTIF(CONFIG_ASIGNATURAS!$B$7:$B$27,nASIG)&gt;0)*(nNOTA))/SUMPRODUCT((nNIA=M528)*(nCUENTA=1)*(COUNTIF(CONFIG_ASIGNATURAS!$B$7:$B$27,nASIG)&gt;0)*1),"")))</f>
        <v/>
      </c>
      <c r="T528" t="str">
        <f>IF(S528="","",IF(S528="[FÓRMULA MANUAL]","",IFERROR(AVERAGEIFS(nNOTA,nNIA,S528,nCUENTA,1,nASIG,"Armonía"),"")))</f>
        <v/>
      </c>
      <c r="U528" t="str">
        <f>IF(S528="","",IF(S528="[FÓRMULA MANUAL]","",IFERROR(AVERAGEIFS(nNOTA,nNIA,S528,nCUENTA,1,nASIG,"Orquesta/Banda/Conjunto"),"")))</f>
        <v/>
      </c>
      <c r="V528" t="str">
        <f>IF(S528="","",IF(S528="[FÓRMULA MANUAL]","",IFERROR(AVERAGEIFS(nNOTA,nNIA,S528,nCUENTA,1,nASIG,"Música de Cámara"),"")))</f>
        <v/>
      </c>
      <c r="W528" t="str">
        <f>IF(S528="","",IF(S528="[FÓRMULA MANUAL]","",IFERROR(SUMPRODUCT((nNIA=S528)*(nCUENTA=1)*(COUNTIF(CONFIG_ASIGNATURAS!$B$7:$B$27,nASIG)&gt;0)*(nNOTA))/SUMPRODUCT((nNIA=S528)*(nCUENTA=1)*(COUNTIF(CONFIG_ASIGNATURAS!$B$7:$B$27,nASIG)&gt;0)*1),"")))</f>
        <v/>
      </c>
      <c r="Z528" t="str">
        <f>IF(Y528="","",IF(Y528="[FÓRMULA MANUAL]","",IFERROR(AVERAGEIFS(nNOTA,nNIA,Y528,nCUENTA,1,nASIG,"Análisis"),"")))</f>
        <v/>
      </c>
      <c r="AA528" t="str">
        <f>IF(Y528="","",IF(Y528="[FÓRMULA MANUAL]","",IFERROR(AVERAGEIFS(nNOTA,nNIA,Y528,nCUENTA,1,nASIG,"Orquesta/Banda/Conjunto"),"")))</f>
        <v/>
      </c>
      <c r="AB528" t="str">
        <f>IF(Y528="","",IF(Y528="[FÓRMULA MANUAL]","",IFERROR(AVERAGEIFS(nNOTA,nNIA,Y528,nCUENTA,1,nASIG,"Música de Cámara"),"")))</f>
        <v/>
      </c>
      <c r="AC528" t="str">
        <f>IF(Y528="","",IF(Y528="[FÓRMULA MANUAL]","",IFERROR(SUMPRODUCT((nNIA=Y528)*(nCUENTA=1)*(COUNTIF(CONFIG_ASIGNATURAS!$B$7:$B$27,nASIG)&gt;0)*(nNOTA))/SUMPRODUCT((nNIA=Y528)*(nCUENTA=1)*(COUNTIF(CONFIG_ASIGNATURAS!$B$7:$B$27,nASIG)&gt;0)*1),"")))</f>
        <v/>
      </c>
      <c r="AF528" t="str">
        <f>IF(AE528="","",IF(AE528="[FÓRMULA MANUAL]","",IFERROR(AVERAGEIFS(nNOTA,nNIA,AE528,nCUENTA,1,nASIG,"Análisis"),"")))</f>
        <v/>
      </c>
      <c r="AG528" t="str">
        <f>IF(AE528="","",IF(AE528="[FÓRMULA MANUAL]","",IFERROR(AVERAGEIFS(nNOTA,nNIA,AE528,nCUENTA,1,nASIG,"Orquesta/Banda/Conjunto"),"")))</f>
        <v/>
      </c>
      <c r="AH528" t="str">
        <f>IF(AE528="","",IF(AE528="[FÓRMULA MANUAL]","",IFERROR(AVERAGEIFS(nNOTA,nNIA,AE528,nCUENTA,1,nASIG,"Música de Cámara"),"")))</f>
        <v/>
      </c>
      <c r="AI528" t="str">
        <f>IF(AE528="","",IF(AE528="[FÓRMULA MANUAL]","",IFERROR(SUMPRODUCT((nNIA=AE528)*(nCUENTA=1)*(COUNTIF(CONFIG_ASIGNATURAS!$B$7:$B$27,nASIG)&gt;0)*(nNOTA))/SUMPRODUCT((nNIA=AE528)*(nCUENTA=1)*(COUNTIF(CONFIG_ASIGNATURAS!$B$7:$B$27,nASIG)&gt;0)*1),"")))</f>
        <v/>
      </c>
    </row>
    <row r="529" spans="2:35" x14ac:dyDescent="0.2">
      <c r="B529" t="str">
        <f>IF(A529="","",IF(A529="[FÓRMULA MANUAL]","",IFERROR(AVERAGEIFS(nNOTA,nNIA,A529,nCUENTA,1,nASIG,"Lenguaje Musical"),"")))</f>
        <v/>
      </c>
      <c r="C529" t="str">
        <f>IF(A529="","",IF(A529="[FÓRMULA MANUAL]","",IFERROR(AVERAGEIFS(nNOTA,nNIA,A529,nCUENTA,1,nASIG,"Orquesta/Banda/Conjunto"),"")))</f>
        <v/>
      </c>
      <c r="D529" t="str">
        <f>IF(A529="","",IF(A529="[FÓRMULA MANUAL]","",IFERROR(AVERAGEIFS(nNOTA,nNIA,A529,nCUENTA,1,nASIG,"Conjunto"),"")))</f>
        <v/>
      </c>
      <c r="E529" t="str">
        <f>IF(A529="","",IF(A529="[FÓRMULA MANUAL]","",IFERROR(SUMPRODUCT((nNIA=A529)*(nCUENTA=1)*(COUNTIF(CONFIG_ASIGNATURAS!$B$7:$B$27,nASIG)&gt;0)*(nNOTA))/SUMPRODUCT((nNIA=A529)*(nCUENTA=1)*(COUNTIF(CONFIG_ASIGNATURAS!$B$7:$B$27,nASIG)&gt;0)*1),"")))</f>
        <v/>
      </c>
      <c r="H529" t="str">
        <f>IF(G529="","",IF(G529="[FÓRMULA MANUAL]","",IFERROR(AVERAGEIFS(nNOTA,nNIA,G529,nCUENTA,1,nASIG,"Lenguaje Musical"),"")))</f>
        <v/>
      </c>
      <c r="I529" t="str">
        <f>IF(G529="","",IF(G529="[FÓRMULA MANUAL]","",IFERROR(AVERAGEIFS(nNOTA,nNIA,G529,nCUENTA,1,nASIG,"Orquesta/Banda/Conjunto"),"")))</f>
        <v/>
      </c>
      <c r="J529" t="str">
        <f>IF(G529="","",IF(G529="[FÓRMULA MANUAL]","",IFERROR(AVERAGEIFS(nNOTA,nNIA,G529,nCUENTA,1,nASIG,"Conjunto"),"")))</f>
        <v/>
      </c>
      <c r="K529" t="str">
        <f>IF(G529="","",IF(G529="[FÓRMULA MANUAL]","",IFERROR(SUMPRODUCT((nNIA=G529)*(nCUENTA=1)*(COUNTIF(CONFIG_ASIGNATURAS!$B$7:$B$27,nASIG)&gt;0)*(nNOTA))/SUMPRODUCT((nNIA=G529)*(nCUENTA=1)*(COUNTIF(CONFIG_ASIGNATURAS!$B$7:$B$27,nASIG)&gt;0)*1),"")))</f>
        <v/>
      </c>
      <c r="N529" t="str">
        <f>IF(M529="","",IF(M529="[FÓRMULA MANUAL]","",IFERROR(AVERAGEIFS(nNOTA,nNIA,M529,nCUENTA,1,nASIG,"Armonía"),"")))</f>
        <v/>
      </c>
      <c r="O529" t="str">
        <f>IF(M529="","",IF(M529="[FÓRMULA MANUAL]","",IFERROR(AVERAGEIFS(nNOTA,nNIA,M529,nCUENTA,1,nASIG,"Orquesta/Banda/Conjunto"),"")))</f>
        <v/>
      </c>
      <c r="P529" t="str">
        <f>IF(M529="","",IF(M529="[FÓRMULA MANUAL]","",IFERROR(AVERAGEIFS(nNOTA,nNIA,M529,nCUENTA,1,nASIG,"Música de Cámara"),"")))</f>
        <v/>
      </c>
      <c r="Q529" t="str">
        <f>IF(M529="","",IF(M529="[FÓRMULA MANUAL]","",IFERROR(SUMPRODUCT((nNIA=M529)*(nCUENTA=1)*(COUNTIF(CONFIG_ASIGNATURAS!$B$7:$B$27,nASIG)&gt;0)*(nNOTA))/SUMPRODUCT((nNIA=M529)*(nCUENTA=1)*(COUNTIF(CONFIG_ASIGNATURAS!$B$7:$B$27,nASIG)&gt;0)*1),"")))</f>
        <v/>
      </c>
      <c r="T529" t="str">
        <f>IF(S529="","",IF(S529="[FÓRMULA MANUAL]","",IFERROR(AVERAGEIFS(nNOTA,nNIA,S529,nCUENTA,1,nASIG,"Armonía"),"")))</f>
        <v/>
      </c>
      <c r="U529" t="str">
        <f>IF(S529="","",IF(S529="[FÓRMULA MANUAL]","",IFERROR(AVERAGEIFS(nNOTA,nNIA,S529,nCUENTA,1,nASIG,"Orquesta/Banda/Conjunto"),"")))</f>
        <v/>
      </c>
      <c r="V529" t="str">
        <f>IF(S529="","",IF(S529="[FÓRMULA MANUAL]","",IFERROR(AVERAGEIFS(nNOTA,nNIA,S529,nCUENTA,1,nASIG,"Música de Cámara"),"")))</f>
        <v/>
      </c>
      <c r="W529" t="str">
        <f>IF(S529="","",IF(S529="[FÓRMULA MANUAL]","",IFERROR(SUMPRODUCT((nNIA=S529)*(nCUENTA=1)*(COUNTIF(CONFIG_ASIGNATURAS!$B$7:$B$27,nASIG)&gt;0)*(nNOTA))/SUMPRODUCT((nNIA=S529)*(nCUENTA=1)*(COUNTIF(CONFIG_ASIGNATURAS!$B$7:$B$27,nASIG)&gt;0)*1),"")))</f>
        <v/>
      </c>
      <c r="Z529" t="str">
        <f>IF(Y529="","",IF(Y529="[FÓRMULA MANUAL]","",IFERROR(AVERAGEIFS(nNOTA,nNIA,Y529,nCUENTA,1,nASIG,"Análisis"),"")))</f>
        <v/>
      </c>
      <c r="AA529" t="str">
        <f>IF(Y529="","",IF(Y529="[FÓRMULA MANUAL]","",IFERROR(AVERAGEIFS(nNOTA,nNIA,Y529,nCUENTA,1,nASIG,"Orquesta/Banda/Conjunto"),"")))</f>
        <v/>
      </c>
      <c r="AB529" t="str">
        <f>IF(Y529="","",IF(Y529="[FÓRMULA MANUAL]","",IFERROR(AVERAGEIFS(nNOTA,nNIA,Y529,nCUENTA,1,nASIG,"Música de Cámara"),"")))</f>
        <v/>
      </c>
      <c r="AC529" t="str">
        <f>IF(Y529="","",IF(Y529="[FÓRMULA MANUAL]","",IFERROR(SUMPRODUCT((nNIA=Y529)*(nCUENTA=1)*(COUNTIF(CONFIG_ASIGNATURAS!$B$7:$B$27,nASIG)&gt;0)*(nNOTA))/SUMPRODUCT((nNIA=Y529)*(nCUENTA=1)*(COUNTIF(CONFIG_ASIGNATURAS!$B$7:$B$27,nASIG)&gt;0)*1),"")))</f>
        <v/>
      </c>
      <c r="AF529" t="str">
        <f>IF(AE529="","",IF(AE529="[FÓRMULA MANUAL]","",IFERROR(AVERAGEIFS(nNOTA,nNIA,AE529,nCUENTA,1,nASIG,"Análisis"),"")))</f>
        <v/>
      </c>
      <c r="AG529" t="str">
        <f>IF(AE529="","",IF(AE529="[FÓRMULA MANUAL]","",IFERROR(AVERAGEIFS(nNOTA,nNIA,AE529,nCUENTA,1,nASIG,"Orquesta/Banda/Conjunto"),"")))</f>
        <v/>
      </c>
      <c r="AH529" t="str">
        <f>IF(AE529="","",IF(AE529="[FÓRMULA MANUAL]","",IFERROR(AVERAGEIFS(nNOTA,nNIA,AE529,nCUENTA,1,nASIG,"Música de Cámara"),"")))</f>
        <v/>
      </c>
      <c r="AI529" t="str">
        <f>IF(AE529="","",IF(AE529="[FÓRMULA MANUAL]","",IFERROR(SUMPRODUCT((nNIA=AE529)*(nCUENTA=1)*(COUNTIF(CONFIG_ASIGNATURAS!$B$7:$B$27,nASIG)&gt;0)*(nNOTA))/SUMPRODUCT((nNIA=AE529)*(nCUENTA=1)*(COUNTIF(CONFIG_ASIGNATURAS!$B$7:$B$27,nASIG)&gt;0)*1),"")))</f>
        <v/>
      </c>
    </row>
    <row r="530" spans="2:35" x14ac:dyDescent="0.2">
      <c r="B530" t="str">
        <f>IF(A530="","",IF(A530="[FÓRMULA MANUAL]","",IFERROR(AVERAGEIFS(nNOTA,nNIA,A530,nCUENTA,1,nASIG,"Lenguaje Musical"),"")))</f>
        <v/>
      </c>
      <c r="C530" t="str">
        <f>IF(A530="","",IF(A530="[FÓRMULA MANUAL]","",IFERROR(AVERAGEIFS(nNOTA,nNIA,A530,nCUENTA,1,nASIG,"Orquesta/Banda/Conjunto"),"")))</f>
        <v/>
      </c>
      <c r="D530" t="str">
        <f>IF(A530="","",IF(A530="[FÓRMULA MANUAL]","",IFERROR(AVERAGEIFS(nNOTA,nNIA,A530,nCUENTA,1,nASIG,"Conjunto"),"")))</f>
        <v/>
      </c>
      <c r="E530" t="str">
        <f>IF(A530="","",IF(A530="[FÓRMULA MANUAL]","",IFERROR(SUMPRODUCT((nNIA=A530)*(nCUENTA=1)*(COUNTIF(CONFIG_ASIGNATURAS!$B$7:$B$27,nASIG)&gt;0)*(nNOTA))/SUMPRODUCT((nNIA=A530)*(nCUENTA=1)*(COUNTIF(CONFIG_ASIGNATURAS!$B$7:$B$27,nASIG)&gt;0)*1),"")))</f>
        <v/>
      </c>
      <c r="H530" t="str">
        <f>IF(G530="","",IF(G530="[FÓRMULA MANUAL]","",IFERROR(AVERAGEIFS(nNOTA,nNIA,G530,nCUENTA,1,nASIG,"Lenguaje Musical"),"")))</f>
        <v/>
      </c>
      <c r="I530" t="str">
        <f>IF(G530="","",IF(G530="[FÓRMULA MANUAL]","",IFERROR(AVERAGEIFS(nNOTA,nNIA,G530,nCUENTA,1,nASIG,"Orquesta/Banda/Conjunto"),"")))</f>
        <v/>
      </c>
      <c r="J530" t="str">
        <f>IF(G530="","",IF(G530="[FÓRMULA MANUAL]","",IFERROR(AVERAGEIFS(nNOTA,nNIA,G530,nCUENTA,1,nASIG,"Conjunto"),"")))</f>
        <v/>
      </c>
      <c r="K530" t="str">
        <f>IF(G530="","",IF(G530="[FÓRMULA MANUAL]","",IFERROR(SUMPRODUCT((nNIA=G530)*(nCUENTA=1)*(COUNTIF(CONFIG_ASIGNATURAS!$B$7:$B$27,nASIG)&gt;0)*(nNOTA))/SUMPRODUCT((nNIA=G530)*(nCUENTA=1)*(COUNTIF(CONFIG_ASIGNATURAS!$B$7:$B$27,nASIG)&gt;0)*1),"")))</f>
        <v/>
      </c>
      <c r="N530" t="str">
        <f>IF(M530="","",IF(M530="[FÓRMULA MANUAL]","",IFERROR(AVERAGEIFS(nNOTA,nNIA,M530,nCUENTA,1,nASIG,"Armonía"),"")))</f>
        <v/>
      </c>
      <c r="O530" t="str">
        <f>IF(M530="","",IF(M530="[FÓRMULA MANUAL]","",IFERROR(AVERAGEIFS(nNOTA,nNIA,M530,nCUENTA,1,nASIG,"Orquesta/Banda/Conjunto"),"")))</f>
        <v/>
      </c>
      <c r="P530" t="str">
        <f>IF(M530="","",IF(M530="[FÓRMULA MANUAL]","",IFERROR(AVERAGEIFS(nNOTA,nNIA,M530,nCUENTA,1,nASIG,"Música de Cámara"),"")))</f>
        <v/>
      </c>
      <c r="Q530" t="str">
        <f>IF(M530="","",IF(M530="[FÓRMULA MANUAL]","",IFERROR(SUMPRODUCT((nNIA=M530)*(nCUENTA=1)*(COUNTIF(CONFIG_ASIGNATURAS!$B$7:$B$27,nASIG)&gt;0)*(nNOTA))/SUMPRODUCT((nNIA=M530)*(nCUENTA=1)*(COUNTIF(CONFIG_ASIGNATURAS!$B$7:$B$27,nASIG)&gt;0)*1),"")))</f>
        <v/>
      </c>
      <c r="T530" t="str">
        <f>IF(S530="","",IF(S530="[FÓRMULA MANUAL]","",IFERROR(AVERAGEIFS(nNOTA,nNIA,S530,nCUENTA,1,nASIG,"Armonía"),"")))</f>
        <v/>
      </c>
      <c r="U530" t="str">
        <f>IF(S530="","",IF(S530="[FÓRMULA MANUAL]","",IFERROR(AVERAGEIFS(nNOTA,nNIA,S530,nCUENTA,1,nASIG,"Orquesta/Banda/Conjunto"),"")))</f>
        <v/>
      </c>
      <c r="V530" t="str">
        <f>IF(S530="","",IF(S530="[FÓRMULA MANUAL]","",IFERROR(AVERAGEIFS(nNOTA,nNIA,S530,nCUENTA,1,nASIG,"Música de Cámara"),"")))</f>
        <v/>
      </c>
      <c r="W530" t="str">
        <f>IF(S530="","",IF(S530="[FÓRMULA MANUAL]","",IFERROR(SUMPRODUCT((nNIA=S530)*(nCUENTA=1)*(COUNTIF(CONFIG_ASIGNATURAS!$B$7:$B$27,nASIG)&gt;0)*(nNOTA))/SUMPRODUCT((nNIA=S530)*(nCUENTA=1)*(COUNTIF(CONFIG_ASIGNATURAS!$B$7:$B$27,nASIG)&gt;0)*1),"")))</f>
        <v/>
      </c>
      <c r="Z530" t="str">
        <f>IF(Y530="","",IF(Y530="[FÓRMULA MANUAL]","",IFERROR(AVERAGEIFS(nNOTA,nNIA,Y530,nCUENTA,1,nASIG,"Análisis"),"")))</f>
        <v/>
      </c>
      <c r="AA530" t="str">
        <f>IF(Y530="","",IF(Y530="[FÓRMULA MANUAL]","",IFERROR(AVERAGEIFS(nNOTA,nNIA,Y530,nCUENTA,1,nASIG,"Orquesta/Banda/Conjunto"),"")))</f>
        <v/>
      </c>
      <c r="AB530" t="str">
        <f>IF(Y530="","",IF(Y530="[FÓRMULA MANUAL]","",IFERROR(AVERAGEIFS(nNOTA,nNIA,Y530,nCUENTA,1,nASIG,"Música de Cámara"),"")))</f>
        <v/>
      </c>
      <c r="AC530" t="str">
        <f>IF(Y530="","",IF(Y530="[FÓRMULA MANUAL]","",IFERROR(SUMPRODUCT((nNIA=Y530)*(nCUENTA=1)*(COUNTIF(CONFIG_ASIGNATURAS!$B$7:$B$27,nASIG)&gt;0)*(nNOTA))/SUMPRODUCT((nNIA=Y530)*(nCUENTA=1)*(COUNTIF(CONFIG_ASIGNATURAS!$B$7:$B$27,nASIG)&gt;0)*1),"")))</f>
        <v/>
      </c>
      <c r="AF530" t="str">
        <f>IF(AE530="","",IF(AE530="[FÓRMULA MANUAL]","",IFERROR(AVERAGEIFS(nNOTA,nNIA,AE530,nCUENTA,1,nASIG,"Análisis"),"")))</f>
        <v/>
      </c>
      <c r="AG530" t="str">
        <f>IF(AE530="","",IF(AE530="[FÓRMULA MANUAL]","",IFERROR(AVERAGEIFS(nNOTA,nNIA,AE530,nCUENTA,1,nASIG,"Orquesta/Banda/Conjunto"),"")))</f>
        <v/>
      </c>
      <c r="AH530" t="str">
        <f>IF(AE530="","",IF(AE530="[FÓRMULA MANUAL]","",IFERROR(AVERAGEIFS(nNOTA,nNIA,AE530,nCUENTA,1,nASIG,"Música de Cámara"),"")))</f>
        <v/>
      </c>
      <c r="AI530" t="str">
        <f>IF(AE530="","",IF(AE530="[FÓRMULA MANUAL]","",IFERROR(SUMPRODUCT((nNIA=AE530)*(nCUENTA=1)*(COUNTIF(CONFIG_ASIGNATURAS!$B$7:$B$27,nASIG)&gt;0)*(nNOTA))/SUMPRODUCT((nNIA=AE530)*(nCUENTA=1)*(COUNTIF(CONFIG_ASIGNATURAS!$B$7:$B$27,nASIG)&gt;0)*1),"")))</f>
        <v/>
      </c>
    </row>
    <row r="531" spans="2:35" x14ac:dyDescent="0.2">
      <c r="B531" t="str">
        <f>IF(A531="","",IF(A531="[FÓRMULA MANUAL]","",IFERROR(AVERAGEIFS(nNOTA,nNIA,A531,nCUENTA,1,nASIG,"Lenguaje Musical"),"")))</f>
        <v/>
      </c>
      <c r="C531" t="str">
        <f>IF(A531="","",IF(A531="[FÓRMULA MANUAL]","",IFERROR(AVERAGEIFS(nNOTA,nNIA,A531,nCUENTA,1,nASIG,"Orquesta/Banda/Conjunto"),"")))</f>
        <v/>
      </c>
      <c r="D531" t="str">
        <f>IF(A531="","",IF(A531="[FÓRMULA MANUAL]","",IFERROR(AVERAGEIFS(nNOTA,nNIA,A531,nCUENTA,1,nASIG,"Conjunto"),"")))</f>
        <v/>
      </c>
      <c r="E531" t="str">
        <f>IF(A531="","",IF(A531="[FÓRMULA MANUAL]","",IFERROR(SUMPRODUCT((nNIA=A531)*(nCUENTA=1)*(COUNTIF(CONFIG_ASIGNATURAS!$B$7:$B$27,nASIG)&gt;0)*(nNOTA))/SUMPRODUCT((nNIA=A531)*(nCUENTA=1)*(COUNTIF(CONFIG_ASIGNATURAS!$B$7:$B$27,nASIG)&gt;0)*1),"")))</f>
        <v/>
      </c>
      <c r="H531" t="str">
        <f>IF(G531="","",IF(G531="[FÓRMULA MANUAL]","",IFERROR(AVERAGEIFS(nNOTA,nNIA,G531,nCUENTA,1,nASIG,"Lenguaje Musical"),"")))</f>
        <v/>
      </c>
      <c r="I531" t="str">
        <f>IF(G531="","",IF(G531="[FÓRMULA MANUAL]","",IFERROR(AVERAGEIFS(nNOTA,nNIA,G531,nCUENTA,1,nASIG,"Orquesta/Banda/Conjunto"),"")))</f>
        <v/>
      </c>
      <c r="J531" t="str">
        <f>IF(G531="","",IF(G531="[FÓRMULA MANUAL]","",IFERROR(AVERAGEIFS(nNOTA,nNIA,G531,nCUENTA,1,nASIG,"Conjunto"),"")))</f>
        <v/>
      </c>
      <c r="K531" t="str">
        <f>IF(G531="","",IF(G531="[FÓRMULA MANUAL]","",IFERROR(SUMPRODUCT((nNIA=G531)*(nCUENTA=1)*(COUNTIF(CONFIG_ASIGNATURAS!$B$7:$B$27,nASIG)&gt;0)*(nNOTA))/SUMPRODUCT((nNIA=G531)*(nCUENTA=1)*(COUNTIF(CONFIG_ASIGNATURAS!$B$7:$B$27,nASIG)&gt;0)*1),"")))</f>
        <v/>
      </c>
      <c r="N531" t="str">
        <f>IF(M531="","",IF(M531="[FÓRMULA MANUAL]","",IFERROR(AVERAGEIFS(nNOTA,nNIA,M531,nCUENTA,1,nASIG,"Armonía"),"")))</f>
        <v/>
      </c>
      <c r="O531" t="str">
        <f>IF(M531="","",IF(M531="[FÓRMULA MANUAL]","",IFERROR(AVERAGEIFS(nNOTA,nNIA,M531,nCUENTA,1,nASIG,"Orquesta/Banda/Conjunto"),"")))</f>
        <v/>
      </c>
      <c r="P531" t="str">
        <f>IF(M531="","",IF(M531="[FÓRMULA MANUAL]","",IFERROR(AVERAGEIFS(nNOTA,nNIA,M531,nCUENTA,1,nASIG,"Música de Cámara"),"")))</f>
        <v/>
      </c>
      <c r="Q531" t="str">
        <f>IF(M531="","",IF(M531="[FÓRMULA MANUAL]","",IFERROR(SUMPRODUCT((nNIA=M531)*(nCUENTA=1)*(COUNTIF(CONFIG_ASIGNATURAS!$B$7:$B$27,nASIG)&gt;0)*(nNOTA))/SUMPRODUCT((nNIA=M531)*(nCUENTA=1)*(COUNTIF(CONFIG_ASIGNATURAS!$B$7:$B$27,nASIG)&gt;0)*1),"")))</f>
        <v/>
      </c>
      <c r="T531" t="str">
        <f>IF(S531="","",IF(S531="[FÓRMULA MANUAL]","",IFERROR(AVERAGEIFS(nNOTA,nNIA,S531,nCUENTA,1,nASIG,"Armonía"),"")))</f>
        <v/>
      </c>
      <c r="U531" t="str">
        <f>IF(S531="","",IF(S531="[FÓRMULA MANUAL]","",IFERROR(AVERAGEIFS(nNOTA,nNIA,S531,nCUENTA,1,nASIG,"Orquesta/Banda/Conjunto"),"")))</f>
        <v/>
      </c>
      <c r="V531" t="str">
        <f>IF(S531="","",IF(S531="[FÓRMULA MANUAL]","",IFERROR(AVERAGEIFS(nNOTA,nNIA,S531,nCUENTA,1,nASIG,"Música de Cámara"),"")))</f>
        <v/>
      </c>
      <c r="W531" t="str">
        <f>IF(S531="","",IF(S531="[FÓRMULA MANUAL]","",IFERROR(SUMPRODUCT((nNIA=S531)*(nCUENTA=1)*(COUNTIF(CONFIG_ASIGNATURAS!$B$7:$B$27,nASIG)&gt;0)*(nNOTA))/SUMPRODUCT((nNIA=S531)*(nCUENTA=1)*(COUNTIF(CONFIG_ASIGNATURAS!$B$7:$B$27,nASIG)&gt;0)*1),"")))</f>
        <v/>
      </c>
      <c r="Z531" t="str">
        <f>IF(Y531="","",IF(Y531="[FÓRMULA MANUAL]","",IFERROR(AVERAGEIFS(nNOTA,nNIA,Y531,nCUENTA,1,nASIG,"Análisis"),"")))</f>
        <v/>
      </c>
      <c r="AA531" t="str">
        <f>IF(Y531="","",IF(Y531="[FÓRMULA MANUAL]","",IFERROR(AVERAGEIFS(nNOTA,nNIA,Y531,nCUENTA,1,nASIG,"Orquesta/Banda/Conjunto"),"")))</f>
        <v/>
      </c>
      <c r="AB531" t="str">
        <f>IF(Y531="","",IF(Y531="[FÓRMULA MANUAL]","",IFERROR(AVERAGEIFS(nNOTA,nNIA,Y531,nCUENTA,1,nASIG,"Música de Cámara"),"")))</f>
        <v/>
      </c>
      <c r="AC531" t="str">
        <f>IF(Y531="","",IF(Y531="[FÓRMULA MANUAL]","",IFERROR(SUMPRODUCT((nNIA=Y531)*(nCUENTA=1)*(COUNTIF(CONFIG_ASIGNATURAS!$B$7:$B$27,nASIG)&gt;0)*(nNOTA))/SUMPRODUCT((nNIA=Y531)*(nCUENTA=1)*(COUNTIF(CONFIG_ASIGNATURAS!$B$7:$B$27,nASIG)&gt;0)*1),"")))</f>
        <v/>
      </c>
      <c r="AF531" t="str">
        <f>IF(AE531="","",IF(AE531="[FÓRMULA MANUAL]","",IFERROR(AVERAGEIFS(nNOTA,nNIA,AE531,nCUENTA,1,nASIG,"Análisis"),"")))</f>
        <v/>
      </c>
      <c r="AG531" t="str">
        <f>IF(AE531="","",IF(AE531="[FÓRMULA MANUAL]","",IFERROR(AVERAGEIFS(nNOTA,nNIA,AE531,nCUENTA,1,nASIG,"Orquesta/Banda/Conjunto"),"")))</f>
        <v/>
      </c>
      <c r="AH531" t="str">
        <f>IF(AE531="","",IF(AE531="[FÓRMULA MANUAL]","",IFERROR(AVERAGEIFS(nNOTA,nNIA,AE531,nCUENTA,1,nASIG,"Música de Cámara"),"")))</f>
        <v/>
      </c>
      <c r="AI531" t="str">
        <f>IF(AE531="","",IF(AE531="[FÓRMULA MANUAL]","",IFERROR(SUMPRODUCT((nNIA=AE531)*(nCUENTA=1)*(COUNTIF(CONFIG_ASIGNATURAS!$B$7:$B$27,nASIG)&gt;0)*(nNOTA))/SUMPRODUCT((nNIA=AE531)*(nCUENTA=1)*(COUNTIF(CONFIG_ASIGNATURAS!$B$7:$B$27,nASIG)&gt;0)*1),"")))</f>
        <v/>
      </c>
    </row>
    <row r="532" spans="2:35" x14ac:dyDescent="0.2">
      <c r="B532" t="str">
        <f>IF(A532="","",IF(A532="[FÓRMULA MANUAL]","",IFERROR(AVERAGEIFS(nNOTA,nNIA,A532,nCUENTA,1,nASIG,"Lenguaje Musical"),"")))</f>
        <v/>
      </c>
      <c r="C532" t="str">
        <f>IF(A532="","",IF(A532="[FÓRMULA MANUAL]","",IFERROR(AVERAGEIFS(nNOTA,nNIA,A532,nCUENTA,1,nASIG,"Orquesta/Banda/Conjunto"),"")))</f>
        <v/>
      </c>
      <c r="D532" t="str">
        <f>IF(A532="","",IF(A532="[FÓRMULA MANUAL]","",IFERROR(AVERAGEIFS(nNOTA,nNIA,A532,nCUENTA,1,nASIG,"Conjunto"),"")))</f>
        <v/>
      </c>
      <c r="E532" t="str">
        <f>IF(A532="","",IF(A532="[FÓRMULA MANUAL]","",IFERROR(SUMPRODUCT((nNIA=A532)*(nCUENTA=1)*(COUNTIF(CONFIG_ASIGNATURAS!$B$7:$B$27,nASIG)&gt;0)*(nNOTA))/SUMPRODUCT((nNIA=A532)*(nCUENTA=1)*(COUNTIF(CONFIG_ASIGNATURAS!$B$7:$B$27,nASIG)&gt;0)*1),"")))</f>
        <v/>
      </c>
      <c r="H532" t="str">
        <f>IF(G532="","",IF(G532="[FÓRMULA MANUAL]","",IFERROR(AVERAGEIFS(nNOTA,nNIA,G532,nCUENTA,1,nASIG,"Lenguaje Musical"),"")))</f>
        <v/>
      </c>
      <c r="I532" t="str">
        <f>IF(G532="","",IF(G532="[FÓRMULA MANUAL]","",IFERROR(AVERAGEIFS(nNOTA,nNIA,G532,nCUENTA,1,nASIG,"Orquesta/Banda/Conjunto"),"")))</f>
        <v/>
      </c>
      <c r="J532" t="str">
        <f>IF(G532="","",IF(G532="[FÓRMULA MANUAL]","",IFERROR(AVERAGEIFS(nNOTA,nNIA,G532,nCUENTA,1,nASIG,"Conjunto"),"")))</f>
        <v/>
      </c>
      <c r="K532" t="str">
        <f>IF(G532="","",IF(G532="[FÓRMULA MANUAL]","",IFERROR(SUMPRODUCT((nNIA=G532)*(nCUENTA=1)*(COUNTIF(CONFIG_ASIGNATURAS!$B$7:$B$27,nASIG)&gt;0)*(nNOTA))/SUMPRODUCT((nNIA=G532)*(nCUENTA=1)*(COUNTIF(CONFIG_ASIGNATURAS!$B$7:$B$27,nASIG)&gt;0)*1),"")))</f>
        <v/>
      </c>
      <c r="N532" t="str">
        <f>IF(M532="","",IF(M532="[FÓRMULA MANUAL]","",IFERROR(AVERAGEIFS(nNOTA,nNIA,M532,nCUENTA,1,nASIG,"Armonía"),"")))</f>
        <v/>
      </c>
      <c r="O532" t="str">
        <f>IF(M532="","",IF(M532="[FÓRMULA MANUAL]","",IFERROR(AVERAGEIFS(nNOTA,nNIA,M532,nCUENTA,1,nASIG,"Orquesta/Banda/Conjunto"),"")))</f>
        <v/>
      </c>
      <c r="P532" t="str">
        <f>IF(M532="","",IF(M532="[FÓRMULA MANUAL]","",IFERROR(AVERAGEIFS(nNOTA,nNIA,M532,nCUENTA,1,nASIG,"Música de Cámara"),"")))</f>
        <v/>
      </c>
      <c r="Q532" t="str">
        <f>IF(M532="","",IF(M532="[FÓRMULA MANUAL]","",IFERROR(SUMPRODUCT((nNIA=M532)*(nCUENTA=1)*(COUNTIF(CONFIG_ASIGNATURAS!$B$7:$B$27,nASIG)&gt;0)*(nNOTA))/SUMPRODUCT((nNIA=M532)*(nCUENTA=1)*(COUNTIF(CONFIG_ASIGNATURAS!$B$7:$B$27,nASIG)&gt;0)*1),"")))</f>
        <v/>
      </c>
      <c r="T532" t="str">
        <f>IF(S532="","",IF(S532="[FÓRMULA MANUAL]","",IFERROR(AVERAGEIFS(nNOTA,nNIA,S532,nCUENTA,1,nASIG,"Armonía"),"")))</f>
        <v/>
      </c>
      <c r="U532" t="str">
        <f>IF(S532="","",IF(S532="[FÓRMULA MANUAL]","",IFERROR(AVERAGEIFS(nNOTA,nNIA,S532,nCUENTA,1,nASIG,"Orquesta/Banda/Conjunto"),"")))</f>
        <v/>
      </c>
      <c r="V532" t="str">
        <f>IF(S532="","",IF(S532="[FÓRMULA MANUAL]","",IFERROR(AVERAGEIFS(nNOTA,nNIA,S532,nCUENTA,1,nASIG,"Música de Cámara"),"")))</f>
        <v/>
      </c>
      <c r="W532" t="str">
        <f>IF(S532="","",IF(S532="[FÓRMULA MANUAL]","",IFERROR(SUMPRODUCT((nNIA=S532)*(nCUENTA=1)*(COUNTIF(CONFIG_ASIGNATURAS!$B$7:$B$27,nASIG)&gt;0)*(nNOTA))/SUMPRODUCT((nNIA=S532)*(nCUENTA=1)*(COUNTIF(CONFIG_ASIGNATURAS!$B$7:$B$27,nASIG)&gt;0)*1),"")))</f>
        <v/>
      </c>
      <c r="Z532" t="str">
        <f>IF(Y532="","",IF(Y532="[FÓRMULA MANUAL]","",IFERROR(AVERAGEIFS(nNOTA,nNIA,Y532,nCUENTA,1,nASIG,"Análisis"),"")))</f>
        <v/>
      </c>
      <c r="AA532" t="str">
        <f>IF(Y532="","",IF(Y532="[FÓRMULA MANUAL]","",IFERROR(AVERAGEIFS(nNOTA,nNIA,Y532,nCUENTA,1,nASIG,"Orquesta/Banda/Conjunto"),"")))</f>
        <v/>
      </c>
      <c r="AB532" t="str">
        <f>IF(Y532="","",IF(Y532="[FÓRMULA MANUAL]","",IFERROR(AVERAGEIFS(nNOTA,nNIA,Y532,nCUENTA,1,nASIG,"Música de Cámara"),"")))</f>
        <v/>
      </c>
      <c r="AC532" t="str">
        <f>IF(Y532="","",IF(Y532="[FÓRMULA MANUAL]","",IFERROR(SUMPRODUCT((nNIA=Y532)*(nCUENTA=1)*(COUNTIF(CONFIG_ASIGNATURAS!$B$7:$B$27,nASIG)&gt;0)*(nNOTA))/SUMPRODUCT((nNIA=Y532)*(nCUENTA=1)*(COUNTIF(CONFIG_ASIGNATURAS!$B$7:$B$27,nASIG)&gt;0)*1),"")))</f>
        <v/>
      </c>
      <c r="AF532" t="str">
        <f>IF(AE532="","",IF(AE532="[FÓRMULA MANUAL]","",IFERROR(AVERAGEIFS(nNOTA,nNIA,AE532,nCUENTA,1,nASIG,"Análisis"),"")))</f>
        <v/>
      </c>
      <c r="AG532" t="str">
        <f>IF(AE532="","",IF(AE532="[FÓRMULA MANUAL]","",IFERROR(AVERAGEIFS(nNOTA,nNIA,AE532,nCUENTA,1,nASIG,"Orquesta/Banda/Conjunto"),"")))</f>
        <v/>
      </c>
      <c r="AH532" t="str">
        <f>IF(AE532="","",IF(AE532="[FÓRMULA MANUAL]","",IFERROR(AVERAGEIFS(nNOTA,nNIA,AE532,nCUENTA,1,nASIG,"Música de Cámara"),"")))</f>
        <v/>
      </c>
      <c r="AI532" t="str">
        <f>IF(AE532="","",IF(AE532="[FÓRMULA MANUAL]","",IFERROR(SUMPRODUCT((nNIA=AE532)*(nCUENTA=1)*(COUNTIF(CONFIG_ASIGNATURAS!$B$7:$B$27,nASIG)&gt;0)*(nNOTA))/SUMPRODUCT((nNIA=AE532)*(nCUENTA=1)*(COUNTIF(CONFIG_ASIGNATURAS!$B$7:$B$27,nASIG)&gt;0)*1),"")))</f>
        <v/>
      </c>
    </row>
    <row r="533" spans="2:35" x14ac:dyDescent="0.2">
      <c r="B533" t="str">
        <f>IF(A533="","",IF(A533="[FÓRMULA MANUAL]","",IFERROR(AVERAGEIFS(nNOTA,nNIA,A533,nCUENTA,1,nASIG,"Lenguaje Musical"),"")))</f>
        <v/>
      </c>
      <c r="C533" t="str">
        <f>IF(A533="","",IF(A533="[FÓRMULA MANUAL]","",IFERROR(AVERAGEIFS(nNOTA,nNIA,A533,nCUENTA,1,nASIG,"Orquesta/Banda/Conjunto"),"")))</f>
        <v/>
      </c>
      <c r="D533" t="str">
        <f>IF(A533="","",IF(A533="[FÓRMULA MANUAL]","",IFERROR(AVERAGEIFS(nNOTA,nNIA,A533,nCUENTA,1,nASIG,"Conjunto"),"")))</f>
        <v/>
      </c>
      <c r="E533" t="str">
        <f>IF(A533="","",IF(A533="[FÓRMULA MANUAL]","",IFERROR(SUMPRODUCT((nNIA=A533)*(nCUENTA=1)*(COUNTIF(CONFIG_ASIGNATURAS!$B$7:$B$27,nASIG)&gt;0)*(nNOTA))/SUMPRODUCT((nNIA=A533)*(nCUENTA=1)*(COUNTIF(CONFIG_ASIGNATURAS!$B$7:$B$27,nASIG)&gt;0)*1),"")))</f>
        <v/>
      </c>
      <c r="H533" t="str">
        <f>IF(G533="","",IF(G533="[FÓRMULA MANUAL]","",IFERROR(AVERAGEIFS(nNOTA,nNIA,G533,nCUENTA,1,nASIG,"Lenguaje Musical"),"")))</f>
        <v/>
      </c>
      <c r="I533" t="str">
        <f>IF(G533="","",IF(G533="[FÓRMULA MANUAL]","",IFERROR(AVERAGEIFS(nNOTA,nNIA,G533,nCUENTA,1,nASIG,"Orquesta/Banda/Conjunto"),"")))</f>
        <v/>
      </c>
      <c r="J533" t="str">
        <f>IF(G533="","",IF(G533="[FÓRMULA MANUAL]","",IFERROR(AVERAGEIFS(nNOTA,nNIA,G533,nCUENTA,1,nASIG,"Conjunto"),"")))</f>
        <v/>
      </c>
      <c r="K533" t="str">
        <f>IF(G533="","",IF(G533="[FÓRMULA MANUAL]","",IFERROR(SUMPRODUCT((nNIA=G533)*(nCUENTA=1)*(COUNTIF(CONFIG_ASIGNATURAS!$B$7:$B$27,nASIG)&gt;0)*(nNOTA))/SUMPRODUCT((nNIA=G533)*(nCUENTA=1)*(COUNTIF(CONFIG_ASIGNATURAS!$B$7:$B$27,nASIG)&gt;0)*1),"")))</f>
        <v/>
      </c>
      <c r="N533" t="str">
        <f>IF(M533="","",IF(M533="[FÓRMULA MANUAL]","",IFERROR(AVERAGEIFS(nNOTA,nNIA,M533,nCUENTA,1,nASIG,"Armonía"),"")))</f>
        <v/>
      </c>
      <c r="O533" t="str">
        <f>IF(M533="","",IF(M533="[FÓRMULA MANUAL]","",IFERROR(AVERAGEIFS(nNOTA,nNIA,M533,nCUENTA,1,nASIG,"Orquesta/Banda/Conjunto"),"")))</f>
        <v/>
      </c>
      <c r="P533" t="str">
        <f>IF(M533="","",IF(M533="[FÓRMULA MANUAL]","",IFERROR(AVERAGEIFS(nNOTA,nNIA,M533,nCUENTA,1,nASIG,"Música de Cámara"),"")))</f>
        <v/>
      </c>
      <c r="Q533" t="str">
        <f>IF(M533="","",IF(M533="[FÓRMULA MANUAL]","",IFERROR(SUMPRODUCT((nNIA=M533)*(nCUENTA=1)*(COUNTIF(CONFIG_ASIGNATURAS!$B$7:$B$27,nASIG)&gt;0)*(nNOTA))/SUMPRODUCT((nNIA=M533)*(nCUENTA=1)*(COUNTIF(CONFIG_ASIGNATURAS!$B$7:$B$27,nASIG)&gt;0)*1),"")))</f>
        <v/>
      </c>
      <c r="T533" t="str">
        <f>IF(S533="","",IF(S533="[FÓRMULA MANUAL]","",IFERROR(AVERAGEIFS(nNOTA,nNIA,S533,nCUENTA,1,nASIG,"Armonía"),"")))</f>
        <v/>
      </c>
      <c r="U533" t="str">
        <f>IF(S533="","",IF(S533="[FÓRMULA MANUAL]","",IFERROR(AVERAGEIFS(nNOTA,nNIA,S533,nCUENTA,1,nASIG,"Orquesta/Banda/Conjunto"),"")))</f>
        <v/>
      </c>
      <c r="V533" t="str">
        <f>IF(S533="","",IF(S533="[FÓRMULA MANUAL]","",IFERROR(AVERAGEIFS(nNOTA,nNIA,S533,nCUENTA,1,nASIG,"Música de Cámara"),"")))</f>
        <v/>
      </c>
      <c r="W533" t="str">
        <f>IF(S533="","",IF(S533="[FÓRMULA MANUAL]","",IFERROR(SUMPRODUCT((nNIA=S533)*(nCUENTA=1)*(COUNTIF(CONFIG_ASIGNATURAS!$B$7:$B$27,nASIG)&gt;0)*(nNOTA))/SUMPRODUCT((nNIA=S533)*(nCUENTA=1)*(COUNTIF(CONFIG_ASIGNATURAS!$B$7:$B$27,nASIG)&gt;0)*1),"")))</f>
        <v/>
      </c>
      <c r="Z533" t="str">
        <f>IF(Y533="","",IF(Y533="[FÓRMULA MANUAL]","",IFERROR(AVERAGEIFS(nNOTA,nNIA,Y533,nCUENTA,1,nASIG,"Análisis"),"")))</f>
        <v/>
      </c>
      <c r="AA533" t="str">
        <f>IF(Y533="","",IF(Y533="[FÓRMULA MANUAL]","",IFERROR(AVERAGEIFS(nNOTA,nNIA,Y533,nCUENTA,1,nASIG,"Orquesta/Banda/Conjunto"),"")))</f>
        <v/>
      </c>
      <c r="AB533" t="str">
        <f>IF(Y533="","",IF(Y533="[FÓRMULA MANUAL]","",IFERROR(AVERAGEIFS(nNOTA,nNIA,Y533,nCUENTA,1,nASIG,"Música de Cámara"),"")))</f>
        <v/>
      </c>
      <c r="AC533" t="str">
        <f>IF(Y533="","",IF(Y533="[FÓRMULA MANUAL]","",IFERROR(SUMPRODUCT((nNIA=Y533)*(nCUENTA=1)*(COUNTIF(CONFIG_ASIGNATURAS!$B$7:$B$27,nASIG)&gt;0)*(nNOTA))/SUMPRODUCT((nNIA=Y533)*(nCUENTA=1)*(COUNTIF(CONFIG_ASIGNATURAS!$B$7:$B$27,nASIG)&gt;0)*1),"")))</f>
        <v/>
      </c>
      <c r="AF533" t="str">
        <f>IF(AE533="","",IF(AE533="[FÓRMULA MANUAL]","",IFERROR(AVERAGEIFS(nNOTA,nNIA,AE533,nCUENTA,1,nASIG,"Análisis"),"")))</f>
        <v/>
      </c>
      <c r="AG533" t="str">
        <f>IF(AE533="","",IF(AE533="[FÓRMULA MANUAL]","",IFERROR(AVERAGEIFS(nNOTA,nNIA,AE533,nCUENTA,1,nASIG,"Orquesta/Banda/Conjunto"),"")))</f>
        <v/>
      </c>
      <c r="AH533" t="str">
        <f>IF(AE533="","",IF(AE533="[FÓRMULA MANUAL]","",IFERROR(AVERAGEIFS(nNOTA,nNIA,AE533,nCUENTA,1,nASIG,"Música de Cámara"),"")))</f>
        <v/>
      </c>
      <c r="AI533" t="str">
        <f>IF(AE533="","",IF(AE533="[FÓRMULA MANUAL]","",IFERROR(SUMPRODUCT((nNIA=AE533)*(nCUENTA=1)*(COUNTIF(CONFIG_ASIGNATURAS!$B$7:$B$27,nASIG)&gt;0)*(nNOTA))/SUMPRODUCT((nNIA=AE533)*(nCUENTA=1)*(COUNTIF(CONFIG_ASIGNATURAS!$B$7:$B$27,nASIG)&gt;0)*1),"")))</f>
        <v/>
      </c>
    </row>
    <row r="534" spans="2:35" x14ac:dyDescent="0.2">
      <c r="B534" t="str">
        <f>IF(A534="","",IF(A534="[FÓRMULA MANUAL]","",IFERROR(AVERAGEIFS(nNOTA,nNIA,A534,nCUENTA,1,nASIG,"Lenguaje Musical"),"")))</f>
        <v/>
      </c>
      <c r="C534" t="str">
        <f>IF(A534="","",IF(A534="[FÓRMULA MANUAL]","",IFERROR(AVERAGEIFS(nNOTA,nNIA,A534,nCUENTA,1,nASIG,"Orquesta/Banda/Conjunto"),"")))</f>
        <v/>
      </c>
      <c r="D534" t="str">
        <f>IF(A534="","",IF(A534="[FÓRMULA MANUAL]","",IFERROR(AVERAGEIFS(nNOTA,nNIA,A534,nCUENTA,1,nASIG,"Conjunto"),"")))</f>
        <v/>
      </c>
      <c r="E534" t="str">
        <f>IF(A534="","",IF(A534="[FÓRMULA MANUAL]","",IFERROR(SUMPRODUCT((nNIA=A534)*(nCUENTA=1)*(COUNTIF(CONFIG_ASIGNATURAS!$B$7:$B$27,nASIG)&gt;0)*(nNOTA))/SUMPRODUCT((nNIA=A534)*(nCUENTA=1)*(COUNTIF(CONFIG_ASIGNATURAS!$B$7:$B$27,nASIG)&gt;0)*1),"")))</f>
        <v/>
      </c>
      <c r="H534" t="str">
        <f>IF(G534="","",IF(G534="[FÓRMULA MANUAL]","",IFERROR(AVERAGEIFS(nNOTA,nNIA,G534,nCUENTA,1,nASIG,"Lenguaje Musical"),"")))</f>
        <v/>
      </c>
      <c r="I534" t="str">
        <f>IF(G534="","",IF(G534="[FÓRMULA MANUAL]","",IFERROR(AVERAGEIFS(nNOTA,nNIA,G534,nCUENTA,1,nASIG,"Orquesta/Banda/Conjunto"),"")))</f>
        <v/>
      </c>
      <c r="J534" t="str">
        <f>IF(G534="","",IF(G534="[FÓRMULA MANUAL]","",IFERROR(AVERAGEIFS(nNOTA,nNIA,G534,nCUENTA,1,nASIG,"Conjunto"),"")))</f>
        <v/>
      </c>
      <c r="K534" t="str">
        <f>IF(G534="","",IF(G534="[FÓRMULA MANUAL]","",IFERROR(SUMPRODUCT((nNIA=G534)*(nCUENTA=1)*(COUNTIF(CONFIG_ASIGNATURAS!$B$7:$B$27,nASIG)&gt;0)*(nNOTA))/SUMPRODUCT((nNIA=G534)*(nCUENTA=1)*(COUNTIF(CONFIG_ASIGNATURAS!$B$7:$B$27,nASIG)&gt;0)*1),"")))</f>
        <v/>
      </c>
      <c r="N534" t="str">
        <f>IF(M534="","",IF(M534="[FÓRMULA MANUAL]","",IFERROR(AVERAGEIFS(nNOTA,nNIA,M534,nCUENTA,1,nASIG,"Armonía"),"")))</f>
        <v/>
      </c>
      <c r="O534" t="str">
        <f>IF(M534="","",IF(M534="[FÓRMULA MANUAL]","",IFERROR(AVERAGEIFS(nNOTA,nNIA,M534,nCUENTA,1,nASIG,"Orquesta/Banda/Conjunto"),"")))</f>
        <v/>
      </c>
      <c r="P534" t="str">
        <f>IF(M534="","",IF(M534="[FÓRMULA MANUAL]","",IFERROR(AVERAGEIFS(nNOTA,nNIA,M534,nCUENTA,1,nASIG,"Música de Cámara"),"")))</f>
        <v/>
      </c>
      <c r="Q534" t="str">
        <f>IF(M534="","",IF(M534="[FÓRMULA MANUAL]","",IFERROR(SUMPRODUCT((nNIA=M534)*(nCUENTA=1)*(COUNTIF(CONFIG_ASIGNATURAS!$B$7:$B$27,nASIG)&gt;0)*(nNOTA))/SUMPRODUCT((nNIA=M534)*(nCUENTA=1)*(COUNTIF(CONFIG_ASIGNATURAS!$B$7:$B$27,nASIG)&gt;0)*1),"")))</f>
        <v/>
      </c>
      <c r="T534" t="str">
        <f>IF(S534="","",IF(S534="[FÓRMULA MANUAL]","",IFERROR(AVERAGEIFS(nNOTA,nNIA,S534,nCUENTA,1,nASIG,"Armonía"),"")))</f>
        <v/>
      </c>
      <c r="U534" t="str">
        <f>IF(S534="","",IF(S534="[FÓRMULA MANUAL]","",IFERROR(AVERAGEIFS(nNOTA,nNIA,S534,nCUENTA,1,nASIG,"Orquesta/Banda/Conjunto"),"")))</f>
        <v/>
      </c>
      <c r="V534" t="str">
        <f>IF(S534="","",IF(S534="[FÓRMULA MANUAL]","",IFERROR(AVERAGEIFS(nNOTA,nNIA,S534,nCUENTA,1,nASIG,"Música de Cámara"),"")))</f>
        <v/>
      </c>
      <c r="W534" t="str">
        <f>IF(S534="","",IF(S534="[FÓRMULA MANUAL]","",IFERROR(SUMPRODUCT((nNIA=S534)*(nCUENTA=1)*(COUNTIF(CONFIG_ASIGNATURAS!$B$7:$B$27,nASIG)&gt;0)*(nNOTA))/SUMPRODUCT((nNIA=S534)*(nCUENTA=1)*(COUNTIF(CONFIG_ASIGNATURAS!$B$7:$B$27,nASIG)&gt;0)*1),"")))</f>
        <v/>
      </c>
      <c r="Z534" t="str">
        <f>IF(Y534="","",IF(Y534="[FÓRMULA MANUAL]","",IFERROR(AVERAGEIFS(nNOTA,nNIA,Y534,nCUENTA,1,nASIG,"Análisis"),"")))</f>
        <v/>
      </c>
      <c r="AA534" t="str">
        <f>IF(Y534="","",IF(Y534="[FÓRMULA MANUAL]","",IFERROR(AVERAGEIFS(nNOTA,nNIA,Y534,nCUENTA,1,nASIG,"Orquesta/Banda/Conjunto"),"")))</f>
        <v/>
      </c>
      <c r="AB534" t="str">
        <f>IF(Y534="","",IF(Y534="[FÓRMULA MANUAL]","",IFERROR(AVERAGEIFS(nNOTA,nNIA,Y534,nCUENTA,1,nASIG,"Música de Cámara"),"")))</f>
        <v/>
      </c>
      <c r="AC534" t="str">
        <f>IF(Y534="","",IF(Y534="[FÓRMULA MANUAL]","",IFERROR(SUMPRODUCT((nNIA=Y534)*(nCUENTA=1)*(COUNTIF(CONFIG_ASIGNATURAS!$B$7:$B$27,nASIG)&gt;0)*(nNOTA))/SUMPRODUCT((nNIA=Y534)*(nCUENTA=1)*(COUNTIF(CONFIG_ASIGNATURAS!$B$7:$B$27,nASIG)&gt;0)*1),"")))</f>
        <v/>
      </c>
      <c r="AF534" t="str">
        <f>IF(AE534="","",IF(AE534="[FÓRMULA MANUAL]","",IFERROR(AVERAGEIFS(nNOTA,nNIA,AE534,nCUENTA,1,nASIG,"Análisis"),"")))</f>
        <v/>
      </c>
      <c r="AG534" t="str">
        <f>IF(AE534="","",IF(AE534="[FÓRMULA MANUAL]","",IFERROR(AVERAGEIFS(nNOTA,nNIA,AE534,nCUENTA,1,nASIG,"Orquesta/Banda/Conjunto"),"")))</f>
        <v/>
      </c>
      <c r="AH534" t="str">
        <f>IF(AE534="","",IF(AE534="[FÓRMULA MANUAL]","",IFERROR(AVERAGEIFS(nNOTA,nNIA,AE534,nCUENTA,1,nASIG,"Música de Cámara"),"")))</f>
        <v/>
      </c>
      <c r="AI534" t="str">
        <f>IF(AE534="","",IF(AE534="[FÓRMULA MANUAL]","",IFERROR(SUMPRODUCT((nNIA=AE534)*(nCUENTA=1)*(COUNTIF(CONFIG_ASIGNATURAS!$B$7:$B$27,nASIG)&gt;0)*(nNOTA))/SUMPRODUCT((nNIA=AE534)*(nCUENTA=1)*(COUNTIF(CONFIG_ASIGNATURAS!$B$7:$B$27,nASIG)&gt;0)*1),"")))</f>
        <v/>
      </c>
    </row>
    <row r="535" spans="2:35" x14ac:dyDescent="0.2">
      <c r="B535" t="str">
        <f>IF(A535="","",IF(A535="[FÓRMULA MANUAL]","",IFERROR(AVERAGEIFS(nNOTA,nNIA,A535,nCUENTA,1,nASIG,"Lenguaje Musical"),"")))</f>
        <v/>
      </c>
      <c r="C535" t="str">
        <f>IF(A535="","",IF(A535="[FÓRMULA MANUAL]","",IFERROR(AVERAGEIFS(nNOTA,nNIA,A535,nCUENTA,1,nASIG,"Orquesta/Banda/Conjunto"),"")))</f>
        <v/>
      </c>
      <c r="D535" t="str">
        <f>IF(A535="","",IF(A535="[FÓRMULA MANUAL]","",IFERROR(AVERAGEIFS(nNOTA,nNIA,A535,nCUENTA,1,nASIG,"Conjunto"),"")))</f>
        <v/>
      </c>
      <c r="E535" t="str">
        <f>IF(A535="","",IF(A535="[FÓRMULA MANUAL]","",IFERROR(SUMPRODUCT((nNIA=A535)*(nCUENTA=1)*(COUNTIF(CONFIG_ASIGNATURAS!$B$7:$B$27,nASIG)&gt;0)*(nNOTA))/SUMPRODUCT((nNIA=A535)*(nCUENTA=1)*(COUNTIF(CONFIG_ASIGNATURAS!$B$7:$B$27,nASIG)&gt;0)*1),"")))</f>
        <v/>
      </c>
      <c r="H535" t="str">
        <f>IF(G535="","",IF(G535="[FÓRMULA MANUAL]","",IFERROR(AVERAGEIFS(nNOTA,nNIA,G535,nCUENTA,1,nASIG,"Lenguaje Musical"),"")))</f>
        <v/>
      </c>
      <c r="I535" t="str">
        <f>IF(G535="","",IF(G535="[FÓRMULA MANUAL]","",IFERROR(AVERAGEIFS(nNOTA,nNIA,G535,nCUENTA,1,nASIG,"Orquesta/Banda/Conjunto"),"")))</f>
        <v/>
      </c>
      <c r="J535" t="str">
        <f>IF(G535="","",IF(G535="[FÓRMULA MANUAL]","",IFERROR(AVERAGEIFS(nNOTA,nNIA,G535,nCUENTA,1,nASIG,"Conjunto"),"")))</f>
        <v/>
      </c>
      <c r="K535" t="str">
        <f>IF(G535="","",IF(G535="[FÓRMULA MANUAL]","",IFERROR(SUMPRODUCT((nNIA=G535)*(nCUENTA=1)*(COUNTIF(CONFIG_ASIGNATURAS!$B$7:$B$27,nASIG)&gt;0)*(nNOTA))/SUMPRODUCT((nNIA=G535)*(nCUENTA=1)*(COUNTIF(CONFIG_ASIGNATURAS!$B$7:$B$27,nASIG)&gt;0)*1),"")))</f>
        <v/>
      </c>
      <c r="N535" t="str">
        <f>IF(M535="","",IF(M535="[FÓRMULA MANUAL]","",IFERROR(AVERAGEIFS(nNOTA,nNIA,M535,nCUENTA,1,nASIG,"Armonía"),"")))</f>
        <v/>
      </c>
      <c r="O535" t="str">
        <f>IF(M535="","",IF(M535="[FÓRMULA MANUAL]","",IFERROR(AVERAGEIFS(nNOTA,nNIA,M535,nCUENTA,1,nASIG,"Orquesta/Banda/Conjunto"),"")))</f>
        <v/>
      </c>
      <c r="P535" t="str">
        <f>IF(M535="","",IF(M535="[FÓRMULA MANUAL]","",IFERROR(AVERAGEIFS(nNOTA,nNIA,M535,nCUENTA,1,nASIG,"Música de Cámara"),"")))</f>
        <v/>
      </c>
      <c r="Q535" t="str">
        <f>IF(M535="","",IF(M535="[FÓRMULA MANUAL]","",IFERROR(SUMPRODUCT((nNIA=M535)*(nCUENTA=1)*(COUNTIF(CONFIG_ASIGNATURAS!$B$7:$B$27,nASIG)&gt;0)*(nNOTA))/SUMPRODUCT((nNIA=M535)*(nCUENTA=1)*(COUNTIF(CONFIG_ASIGNATURAS!$B$7:$B$27,nASIG)&gt;0)*1),"")))</f>
        <v/>
      </c>
      <c r="T535" t="str">
        <f>IF(S535="","",IF(S535="[FÓRMULA MANUAL]","",IFERROR(AVERAGEIFS(nNOTA,nNIA,S535,nCUENTA,1,nASIG,"Armonía"),"")))</f>
        <v/>
      </c>
      <c r="U535" t="str">
        <f>IF(S535="","",IF(S535="[FÓRMULA MANUAL]","",IFERROR(AVERAGEIFS(nNOTA,nNIA,S535,nCUENTA,1,nASIG,"Orquesta/Banda/Conjunto"),"")))</f>
        <v/>
      </c>
      <c r="V535" t="str">
        <f>IF(S535="","",IF(S535="[FÓRMULA MANUAL]","",IFERROR(AVERAGEIFS(nNOTA,nNIA,S535,nCUENTA,1,nASIG,"Música de Cámara"),"")))</f>
        <v/>
      </c>
      <c r="W535" t="str">
        <f>IF(S535="","",IF(S535="[FÓRMULA MANUAL]","",IFERROR(SUMPRODUCT((nNIA=S535)*(nCUENTA=1)*(COUNTIF(CONFIG_ASIGNATURAS!$B$7:$B$27,nASIG)&gt;0)*(nNOTA))/SUMPRODUCT((nNIA=S535)*(nCUENTA=1)*(COUNTIF(CONFIG_ASIGNATURAS!$B$7:$B$27,nASIG)&gt;0)*1),"")))</f>
        <v/>
      </c>
      <c r="Z535" t="str">
        <f>IF(Y535="","",IF(Y535="[FÓRMULA MANUAL]","",IFERROR(AVERAGEIFS(nNOTA,nNIA,Y535,nCUENTA,1,nASIG,"Análisis"),"")))</f>
        <v/>
      </c>
      <c r="AA535" t="str">
        <f>IF(Y535="","",IF(Y535="[FÓRMULA MANUAL]","",IFERROR(AVERAGEIFS(nNOTA,nNIA,Y535,nCUENTA,1,nASIG,"Orquesta/Banda/Conjunto"),"")))</f>
        <v/>
      </c>
      <c r="AB535" t="str">
        <f>IF(Y535="","",IF(Y535="[FÓRMULA MANUAL]","",IFERROR(AVERAGEIFS(nNOTA,nNIA,Y535,nCUENTA,1,nASIG,"Música de Cámara"),"")))</f>
        <v/>
      </c>
      <c r="AC535" t="str">
        <f>IF(Y535="","",IF(Y535="[FÓRMULA MANUAL]","",IFERROR(SUMPRODUCT((nNIA=Y535)*(nCUENTA=1)*(COUNTIF(CONFIG_ASIGNATURAS!$B$7:$B$27,nASIG)&gt;0)*(nNOTA))/SUMPRODUCT((nNIA=Y535)*(nCUENTA=1)*(COUNTIF(CONFIG_ASIGNATURAS!$B$7:$B$27,nASIG)&gt;0)*1),"")))</f>
        <v/>
      </c>
      <c r="AF535" t="str">
        <f>IF(AE535="","",IF(AE535="[FÓRMULA MANUAL]","",IFERROR(AVERAGEIFS(nNOTA,nNIA,AE535,nCUENTA,1,nASIG,"Análisis"),"")))</f>
        <v/>
      </c>
      <c r="AG535" t="str">
        <f>IF(AE535="","",IF(AE535="[FÓRMULA MANUAL]","",IFERROR(AVERAGEIFS(nNOTA,nNIA,AE535,nCUENTA,1,nASIG,"Orquesta/Banda/Conjunto"),"")))</f>
        <v/>
      </c>
      <c r="AH535" t="str">
        <f>IF(AE535="","",IF(AE535="[FÓRMULA MANUAL]","",IFERROR(AVERAGEIFS(nNOTA,nNIA,AE535,nCUENTA,1,nASIG,"Música de Cámara"),"")))</f>
        <v/>
      </c>
      <c r="AI535" t="str">
        <f>IF(AE535="","",IF(AE535="[FÓRMULA MANUAL]","",IFERROR(SUMPRODUCT((nNIA=AE535)*(nCUENTA=1)*(COUNTIF(CONFIG_ASIGNATURAS!$B$7:$B$27,nASIG)&gt;0)*(nNOTA))/SUMPRODUCT((nNIA=AE535)*(nCUENTA=1)*(COUNTIF(CONFIG_ASIGNATURAS!$B$7:$B$27,nASIG)&gt;0)*1),"")))</f>
        <v/>
      </c>
    </row>
    <row r="536" spans="2:35" x14ac:dyDescent="0.2">
      <c r="B536" t="str">
        <f>IF(A536="","",IF(A536="[FÓRMULA MANUAL]","",IFERROR(AVERAGEIFS(nNOTA,nNIA,A536,nCUENTA,1,nASIG,"Lenguaje Musical"),"")))</f>
        <v/>
      </c>
      <c r="C536" t="str">
        <f>IF(A536="","",IF(A536="[FÓRMULA MANUAL]","",IFERROR(AVERAGEIFS(nNOTA,nNIA,A536,nCUENTA,1,nASIG,"Orquesta/Banda/Conjunto"),"")))</f>
        <v/>
      </c>
      <c r="D536" t="str">
        <f>IF(A536="","",IF(A536="[FÓRMULA MANUAL]","",IFERROR(AVERAGEIFS(nNOTA,nNIA,A536,nCUENTA,1,nASIG,"Conjunto"),"")))</f>
        <v/>
      </c>
      <c r="E536" t="str">
        <f>IF(A536="","",IF(A536="[FÓRMULA MANUAL]","",IFERROR(SUMPRODUCT((nNIA=A536)*(nCUENTA=1)*(COUNTIF(CONFIG_ASIGNATURAS!$B$7:$B$27,nASIG)&gt;0)*(nNOTA))/SUMPRODUCT((nNIA=A536)*(nCUENTA=1)*(COUNTIF(CONFIG_ASIGNATURAS!$B$7:$B$27,nASIG)&gt;0)*1),"")))</f>
        <v/>
      </c>
      <c r="H536" t="str">
        <f>IF(G536="","",IF(G536="[FÓRMULA MANUAL]","",IFERROR(AVERAGEIFS(nNOTA,nNIA,G536,nCUENTA,1,nASIG,"Lenguaje Musical"),"")))</f>
        <v/>
      </c>
      <c r="I536" t="str">
        <f>IF(G536="","",IF(G536="[FÓRMULA MANUAL]","",IFERROR(AVERAGEIFS(nNOTA,nNIA,G536,nCUENTA,1,nASIG,"Orquesta/Banda/Conjunto"),"")))</f>
        <v/>
      </c>
      <c r="J536" t="str">
        <f>IF(G536="","",IF(G536="[FÓRMULA MANUAL]","",IFERROR(AVERAGEIFS(nNOTA,nNIA,G536,nCUENTA,1,nASIG,"Conjunto"),"")))</f>
        <v/>
      </c>
      <c r="K536" t="str">
        <f>IF(G536="","",IF(G536="[FÓRMULA MANUAL]","",IFERROR(SUMPRODUCT((nNIA=G536)*(nCUENTA=1)*(COUNTIF(CONFIG_ASIGNATURAS!$B$7:$B$27,nASIG)&gt;0)*(nNOTA))/SUMPRODUCT((nNIA=G536)*(nCUENTA=1)*(COUNTIF(CONFIG_ASIGNATURAS!$B$7:$B$27,nASIG)&gt;0)*1),"")))</f>
        <v/>
      </c>
      <c r="N536" t="str">
        <f>IF(M536="","",IF(M536="[FÓRMULA MANUAL]","",IFERROR(AVERAGEIFS(nNOTA,nNIA,M536,nCUENTA,1,nASIG,"Armonía"),"")))</f>
        <v/>
      </c>
      <c r="O536" t="str">
        <f>IF(M536="","",IF(M536="[FÓRMULA MANUAL]","",IFERROR(AVERAGEIFS(nNOTA,nNIA,M536,nCUENTA,1,nASIG,"Orquesta/Banda/Conjunto"),"")))</f>
        <v/>
      </c>
      <c r="P536" t="str">
        <f>IF(M536="","",IF(M536="[FÓRMULA MANUAL]","",IFERROR(AVERAGEIFS(nNOTA,nNIA,M536,nCUENTA,1,nASIG,"Música de Cámara"),"")))</f>
        <v/>
      </c>
      <c r="Q536" t="str">
        <f>IF(M536="","",IF(M536="[FÓRMULA MANUAL]","",IFERROR(SUMPRODUCT((nNIA=M536)*(nCUENTA=1)*(COUNTIF(CONFIG_ASIGNATURAS!$B$7:$B$27,nASIG)&gt;0)*(nNOTA))/SUMPRODUCT((nNIA=M536)*(nCUENTA=1)*(COUNTIF(CONFIG_ASIGNATURAS!$B$7:$B$27,nASIG)&gt;0)*1),"")))</f>
        <v/>
      </c>
      <c r="T536" t="str">
        <f>IF(S536="","",IF(S536="[FÓRMULA MANUAL]","",IFERROR(AVERAGEIFS(nNOTA,nNIA,S536,nCUENTA,1,nASIG,"Armonía"),"")))</f>
        <v/>
      </c>
      <c r="U536" t="str">
        <f>IF(S536="","",IF(S536="[FÓRMULA MANUAL]","",IFERROR(AVERAGEIFS(nNOTA,nNIA,S536,nCUENTA,1,nASIG,"Orquesta/Banda/Conjunto"),"")))</f>
        <v/>
      </c>
      <c r="V536" t="str">
        <f>IF(S536="","",IF(S536="[FÓRMULA MANUAL]","",IFERROR(AVERAGEIFS(nNOTA,nNIA,S536,nCUENTA,1,nASIG,"Música de Cámara"),"")))</f>
        <v/>
      </c>
      <c r="W536" t="str">
        <f>IF(S536="","",IF(S536="[FÓRMULA MANUAL]","",IFERROR(SUMPRODUCT((nNIA=S536)*(nCUENTA=1)*(COUNTIF(CONFIG_ASIGNATURAS!$B$7:$B$27,nASIG)&gt;0)*(nNOTA))/SUMPRODUCT((nNIA=S536)*(nCUENTA=1)*(COUNTIF(CONFIG_ASIGNATURAS!$B$7:$B$27,nASIG)&gt;0)*1),"")))</f>
        <v/>
      </c>
      <c r="Z536" t="str">
        <f>IF(Y536="","",IF(Y536="[FÓRMULA MANUAL]","",IFERROR(AVERAGEIFS(nNOTA,nNIA,Y536,nCUENTA,1,nASIG,"Análisis"),"")))</f>
        <v/>
      </c>
      <c r="AA536" t="str">
        <f>IF(Y536="","",IF(Y536="[FÓRMULA MANUAL]","",IFERROR(AVERAGEIFS(nNOTA,nNIA,Y536,nCUENTA,1,nASIG,"Orquesta/Banda/Conjunto"),"")))</f>
        <v/>
      </c>
      <c r="AB536" t="str">
        <f>IF(Y536="","",IF(Y536="[FÓRMULA MANUAL]","",IFERROR(AVERAGEIFS(nNOTA,nNIA,Y536,nCUENTA,1,nASIG,"Música de Cámara"),"")))</f>
        <v/>
      </c>
      <c r="AC536" t="str">
        <f>IF(Y536="","",IF(Y536="[FÓRMULA MANUAL]","",IFERROR(SUMPRODUCT((nNIA=Y536)*(nCUENTA=1)*(COUNTIF(CONFIG_ASIGNATURAS!$B$7:$B$27,nASIG)&gt;0)*(nNOTA))/SUMPRODUCT((nNIA=Y536)*(nCUENTA=1)*(COUNTIF(CONFIG_ASIGNATURAS!$B$7:$B$27,nASIG)&gt;0)*1),"")))</f>
        <v/>
      </c>
      <c r="AF536" t="str">
        <f>IF(AE536="","",IF(AE536="[FÓRMULA MANUAL]","",IFERROR(AVERAGEIFS(nNOTA,nNIA,AE536,nCUENTA,1,nASIG,"Análisis"),"")))</f>
        <v/>
      </c>
      <c r="AG536" t="str">
        <f>IF(AE536="","",IF(AE536="[FÓRMULA MANUAL]","",IFERROR(AVERAGEIFS(nNOTA,nNIA,AE536,nCUENTA,1,nASIG,"Orquesta/Banda/Conjunto"),"")))</f>
        <v/>
      </c>
      <c r="AH536" t="str">
        <f>IF(AE536="","",IF(AE536="[FÓRMULA MANUAL]","",IFERROR(AVERAGEIFS(nNOTA,nNIA,AE536,nCUENTA,1,nASIG,"Música de Cámara"),"")))</f>
        <v/>
      </c>
      <c r="AI536" t="str">
        <f>IF(AE536="","",IF(AE536="[FÓRMULA MANUAL]","",IFERROR(SUMPRODUCT((nNIA=AE536)*(nCUENTA=1)*(COUNTIF(CONFIG_ASIGNATURAS!$B$7:$B$27,nASIG)&gt;0)*(nNOTA))/SUMPRODUCT((nNIA=AE536)*(nCUENTA=1)*(COUNTIF(CONFIG_ASIGNATURAS!$B$7:$B$27,nASIG)&gt;0)*1),"")))</f>
        <v/>
      </c>
    </row>
    <row r="537" spans="2:35" x14ac:dyDescent="0.2">
      <c r="B537" t="str">
        <f>IF(A537="","",IF(A537="[FÓRMULA MANUAL]","",IFERROR(AVERAGEIFS(nNOTA,nNIA,A537,nCUENTA,1,nASIG,"Lenguaje Musical"),"")))</f>
        <v/>
      </c>
      <c r="C537" t="str">
        <f>IF(A537="","",IF(A537="[FÓRMULA MANUAL]","",IFERROR(AVERAGEIFS(nNOTA,nNIA,A537,nCUENTA,1,nASIG,"Orquesta/Banda/Conjunto"),"")))</f>
        <v/>
      </c>
      <c r="D537" t="str">
        <f>IF(A537="","",IF(A537="[FÓRMULA MANUAL]","",IFERROR(AVERAGEIFS(nNOTA,nNIA,A537,nCUENTA,1,nASIG,"Conjunto"),"")))</f>
        <v/>
      </c>
      <c r="E537" t="str">
        <f>IF(A537="","",IF(A537="[FÓRMULA MANUAL]","",IFERROR(SUMPRODUCT((nNIA=A537)*(nCUENTA=1)*(COUNTIF(CONFIG_ASIGNATURAS!$B$7:$B$27,nASIG)&gt;0)*(nNOTA))/SUMPRODUCT((nNIA=A537)*(nCUENTA=1)*(COUNTIF(CONFIG_ASIGNATURAS!$B$7:$B$27,nASIG)&gt;0)*1),"")))</f>
        <v/>
      </c>
      <c r="H537" t="str">
        <f>IF(G537="","",IF(G537="[FÓRMULA MANUAL]","",IFERROR(AVERAGEIFS(nNOTA,nNIA,G537,nCUENTA,1,nASIG,"Lenguaje Musical"),"")))</f>
        <v/>
      </c>
      <c r="I537" t="str">
        <f>IF(G537="","",IF(G537="[FÓRMULA MANUAL]","",IFERROR(AVERAGEIFS(nNOTA,nNIA,G537,nCUENTA,1,nASIG,"Orquesta/Banda/Conjunto"),"")))</f>
        <v/>
      </c>
      <c r="J537" t="str">
        <f>IF(G537="","",IF(G537="[FÓRMULA MANUAL]","",IFERROR(AVERAGEIFS(nNOTA,nNIA,G537,nCUENTA,1,nASIG,"Conjunto"),"")))</f>
        <v/>
      </c>
      <c r="K537" t="str">
        <f>IF(G537="","",IF(G537="[FÓRMULA MANUAL]","",IFERROR(SUMPRODUCT((nNIA=G537)*(nCUENTA=1)*(COUNTIF(CONFIG_ASIGNATURAS!$B$7:$B$27,nASIG)&gt;0)*(nNOTA))/SUMPRODUCT((nNIA=G537)*(nCUENTA=1)*(COUNTIF(CONFIG_ASIGNATURAS!$B$7:$B$27,nASIG)&gt;0)*1),"")))</f>
        <v/>
      </c>
      <c r="N537" t="str">
        <f>IF(M537="","",IF(M537="[FÓRMULA MANUAL]","",IFERROR(AVERAGEIFS(nNOTA,nNIA,M537,nCUENTA,1,nASIG,"Armonía"),"")))</f>
        <v/>
      </c>
      <c r="O537" t="str">
        <f>IF(M537="","",IF(M537="[FÓRMULA MANUAL]","",IFERROR(AVERAGEIFS(nNOTA,nNIA,M537,nCUENTA,1,nASIG,"Orquesta/Banda/Conjunto"),"")))</f>
        <v/>
      </c>
      <c r="P537" t="str">
        <f>IF(M537="","",IF(M537="[FÓRMULA MANUAL]","",IFERROR(AVERAGEIFS(nNOTA,nNIA,M537,nCUENTA,1,nASIG,"Música de Cámara"),"")))</f>
        <v/>
      </c>
      <c r="Q537" t="str">
        <f>IF(M537="","",IF(M537="[FÓRMULA MANUAL]","",IFERROR(SUMPRODUCT((nNIA=M537)*(nCUENTA=1)*(COUNTIF(CONFIG_ASIGNATURAS!$B$7:$B$27,nASIG)&gt;0)*(nNOTA))/SUMPRODUCT((nNIA=M537)*(nCUENTA=1)*(COUNTIF(CONFIG_ASIGNATURAS!$B$7:$B$27,nASIG)&gt;0)*1),"")))</f>
        <v/>
      </c>
      <c r="T537" t="str">
        <f>IF(S537="","",IF(S537="[FÓRMULA MANUAL]","",IFERROR(AVERAGEIFS(nNOTA,nNIA,S537,nCUENTA,1,nASIG,"Armonía"),"")))</f>
        <v/>
      </c>
      <c r="U537" t="str">
        <f>IF(S537="","",IF(S537="[FÓRMULA MANUAL]","",IFERROR(AVERAGEIFS(nNOTA,nNIA,S537,nCUENTA,1,nASIG,"Orquesta/Banda/Conjunto"),"")))</f>
        <v/>
      </c>
      <c r="V537" t="str">
        <f>IF(S537="","",IF(S537="[FÓRMULA MANUAL]","",IFERROR(AVERAGEIFS(nNOTA,nNIA,S537,nCUENTA,1,nASIG,"Música de Cámara"),"")))</f>
        <v/>
      </c>
      <c r="W537" t="str">
        <f>IF(S537="","",IF(S537="[FÓRMULA MANUAL]","",IFERROR(SUMPRODUCT((nNIA=S537)*(nCUENTA=1)*(COUNTIF(CONFIG_ASIGNATURAS!$B$7:$B$27,nASIG)&gt;0)*(nNOTA))/SUMPRODUCT((nNIA=S537)*(nCUENTA=1)*(COUNTIF(CONFIG_ASIGNATURAS!$B$7:$B$27,nASIG)&gt;0)*1),"")))</f>
        <v/>
      </c>
      <c r="Z537" t="str">
        <f>IF(Y537="","",IF(Y537="[FÓRMULA MANUAL]","",IFERROR(AVERAGEIFS(nNOTA,nNIA,Y537,nCUENTA,1,nASIG,"Análisis"),"")))</f>
        <v/>
      </c>
      <c r="AA537" t="str">
        <f>IF(Y537="","",IF(Y537="[FÓRMULA MANUAL]","",IFERROR(AVERAGEIFS(nNOTA,nNIA,Y537,nCUENTA,1,nASIG,"Orquesta/Banda/Conjunto"),"")))</f>
        <v/>
      </c>
      <c r="AB537" t="str">
        <f>IF(Y537="","",IF(Y537="[FÓRMULA MANUAL]","",IFERROR(AVERAGEIFS(nNOTA,nNIA,Y537,nCUENTA,1,nASIG,"Música de Cámara"),"")))</f>
        <v/>
      </c>
      <c r="AC537" t="str">
        <f>IF(Y537="","",IF(Y537="[FÓRMULA MANUAL]","",IFERROR(SUMPRODUCT((nNIA=Y537)*(nCUENTA=1)*(COUNTIF(CONFIG_ASIGNATURAS!$B$7:$B$27,nASIG)&gt;0)*(nNOTA))/SUMPRODUCT((nNIA=Y537)*(nCUENTA=1)*(COUNTIF(CONFIG_ASIGNATURAS!$B$7:$B$27,nASIG)&gt;0)*1),"")))</f>
        <v/>
      </c>
      <c r="AF537" t="str">
        <f>IF(AE537="","",IF(AE537="[FÓRMULA MANUAL]","",IFERROR(AVERAGEIFS(nNOTA,nNIA,AE537,nCUENTA,1,nASIG,"Análisis"),"")))</f>
        <v/>
      </c>
      <c r="AG537" t="str">
        <f>IF(AE537="","",IF(AE537="[FÓRMULA MANUAL]","",IFERROR(AVERAGEIFS(nNOTA,nNIA,AE537,nCUENTA,1,nASIG,"Orquesta/Banda/Conjunto"),"")))</f>
        <v/>
      </c>
      <c r="AH537" t="str">
        <f>IF(AE537="","",IF(AE537="[FÓRMULA MANUAL]","",IFERROR(AVERAGEIFS(nNOTA,nNIA,AE537,nCUENTA,1,nASIG,"Música de Cámara"),"")))</f>
        <v/>
      </c>
      <c r="AI537" t="str">
        <f>IF(AE537="","",IF(AE537="[FÓRMULA MANUAL]","",IFERROR(SUMPRODUCT((nNIA=AE537)*(nCUENTA=1)*(COUNTIF(CONFIG_ASIGNATURAS!$B$7:$B$27,nASIG)&gt;0)*(nNOTA))/SUMPRODUCT((nNIA=AE537)*(nCUENTA=1)*(COUNTIF(CONFIG_ASIGNATURAS!$B$7:$B$27,nASIG)&gt;0)*1),"")))</f>
        <v/>
      </c>
    </row>
    <row r="538" spans="2:35" x14ac:dyDescent="0.2">
      <c r="B538" t="str">
        <f>IF(A538="","",IF(A538="[FÓRMULA MANUAL]","",IFERROR(AVERAGEIFS(nNOTA,nNIA,A538,nCUENTA,1,nASIG,"Lenguaje Musical"),"")))</f>
        <v/>
      </c>
      <c r="C538" t="str">
        <f>IF(A538="","",IF(A538="[FÓRMULA MANUAL]","",IFERROR(AVERAGEIFS(nNOTA,nNIA,A538,nCUENTA,1,nASIG,"Orquesta/Banda/Conjunto"),"")))</f>
        <v/>
      </c>
      <c r="D538" t="str">
        <f>IF(A538="","",IF(A538="[FÓRMULA MANUAL]","",IFERROR(AVERAGEIFS(nNOTA,nNIA,A538,nCUENTA,1,nASIG,"Conjunto"),"")))</f>
        <v/>
      </c>
      <c r="E538" t="str">
        <f>IF(A538="","",IF(A538="[FÓRMULA MANUAL]","",IFERROR(SUMPRODUCT((nNIA=A538)*(nCUENTA=1)*(COUNTIF(CONFIG_ASIGNATURAS!$B$7:$B$27,nASIG)&gt;0)*(nNOTA))/SUMPRODUCT((nNIA=A538)*(nCUENTA=1)*(COUNTIF(CONFIG_ASIGNATURAS!$B$7:$B$27,nASIG)&gt;0)*1),"")))</f>
        <v/>
      </c>
      <c r="H538" t="str">
        <f>IF(G538="","",IF(G538="[FÓRMULA MANUAL]","",IFERROR(AVERAGEIFS(nNOTA,nNIA,G538,nCUENTA,1,nASIG,"Lenguaje Musical"),"")))</f>
        <v/>
      </c>
      <c r="I538" t="str">
        <f>IF(G538="","",IF(G538="[FÓRMULA MANUAL]","",IFERROR(AVERAGEIFS(nNOTA,nNIA,G538,nCUENTA,1,nASIG,"Orquesta/Banda/Conjunto"),"")))</f>
        <v/>
      </c>
      <c r="J538" t="str">
        <f>IF(G538="","",IF(G538="[FÓRMULA MANUAL]","",IFERROR(AVERAGEIFS(nNOTA,nNIA,G538,nCUENTA,1,nASIG,"Conjunto"),"")))</f>
        <v/>
      </c>
      <c r="K538" t="str">
        <f>IF(G538="","",IF(G538="[FÓRMULA MANUAL]","",IFERROR(SUMPRODUCT((nNIA=G538)*(nCUENTA=1)*(COUNTIF(CONFIG_ASIGNATURAS!$B$7:$B$27,nASIG)&gt;0)*(nNOTA))/SUMPRODUCT((nNIA=G538)*(nCUENTA=1)*(COUNTIF(CONFIG_ASIGNATURAS!$B$7:$B$27,nASIG)&gt;0)*1),"")))</f>
        <v/>
      </c>
      <c r="N538" t="str">
        <f>IF(M538="","",IF(M538="[FÓRMULA MANUAL]","",IFERROR(AVERAGEIFS(nNOTA,nNIA,M538,nCUENTA,1,nASIG,"Armonía"),"")))</f>
        <v/>
      </c>
      <c r="O538" t="str">
        <f>IF(M538="","",IF(M538="[FÓRMULA MANUAL]","",IFERROR(AVERAGEIFS(nNOTA,nNIA,M538,nCUENTA,1,nASIG,"Orquesta/Banda/Conjunto"),"")))</f>
        <v/>
      </c>
      <c r="P538" t="str">
        <f>IF(M538="","",IF(M538="[FÓRMULA MANUAL]","",IFERROR(AVERAGEIFS(nNOTA,nNIA,M538,nCUENTA,1,nASIG,"Música de Cámara"),"")))</f>
        <v/>
      </c>
      <c r="Q538" t="str">
        <f>IF(M538="","",IF(M538="[FÓRMULA MANUAL]","",IFERROR(SUMPRODUCT((nNIA=M538)*(nCUENTA=1)*(COUNTIF(CONFIG_ASIGNATURAS!$B$7:$B$27,nASIG)&gt;0)*(nNOTA))/SUMPRODUCT((nNIA=M538)*(nCUENTA=1)*(COUNTIF(CONFIG_ASIGNATURAS!$B$7:$B$27,nASIG)&gt;0)*1),"")))</f>
        <v/>
      </c>
      <c r="T538" t="str">
        <f>IF(S538="","",IF(S538="[FÓRMULA MANUAL]","",IFERROR(AVERAGEIFS(nNOTA,nNIA,S538,nCUENTA,1,nASIG,"Armonía"),"")))</f>
        <v/>
      </c>
      <c r="U538" t="str">
        <f>IF(S538="","",IF(S538="[FÓRMULA MANUAL]","",IFERROR(AVERAGEIFS(nNOTA,nNIA,S538,nCUENTA,1,nASIG,"Orquesta/Banda/Conjunto"),"")))</f>
        <v/>
      </c>
      <c r="V538" t="str">
        <f>IF(S538="","",IF(S538="[FÓRMULA MANUAL]","",IFERROR(AVERAGEIFS(nNOTA,nNIA,S538,nCUENTA,1,nASIG,"Música de Cámara"),"")))</f>
        <v/>
      </c>
      <c r="W538" t="str">
        <f>IF(S538="","",IF(S538="[FÓRMULA MANUAL]","",IFERROR(SUMPRODUCT((nNIA=S538)*(nCUENTA=1)*(COUNTIF(CONFIG_ASIGNATURAS!$B$7:$B$27,nASIG)&gt;0)*(nNOTA))/SUMPRODUCT((nNIA=S538)*(nCUENTA=1)*(COUNTIF(CONFIG_ASIGNATURAS!$B$7:$B$27,nASIG)&gt;0)*1),"")))</f>
        <v/>
      </c>
      <c r="Z538" t="str">
        <f>IF(Y538="","",IF(Y538="[FÓRMULA MANUAL]","",IFERROR(AVERAGEIFS(nNOTA,nNIA,Y538,nCUENTA,1,nASIG,"Análisis"),"")))</f>
        <v/>
      </c>
      <c r="AA538" t="str">
        <f>IF(Y538="","",IF(Y538="[FÓRMULA MANUAL]","",IFERROR(AVERAGEIFS(nNOTA,nNIA,Y538,nCUENTA,1,nASIG,"Orquesta/Banda/Conjunto"),"")))</f>
        <v/>
      </c>
      <c r="AB538" t="str">
        <f>IF(Y538="","",IF(Y538="[FÓRMULA MANUAL]","",IFERROR(AVERAGEIFS(nNOTA,nNIA,Y538,nCUENTA,1,nASIG,"Música de Cámara"),"")))</f>
        <v/>
      </c>
      <c r="AC538" t="str">
        <f>IF(Y538="","",IF(Y538="[FÓRMULA MANUAL]","",IFERROR(SUMPRODUCT((nNIA=Y538)*(nCUENTA=1)*(COUNTIF(CONFIG_ASIGNATURAS!$B$7:$B$27,nASIG)&gt;0)*(nNOTA))/SUMPRODUCT((nNIA=Y538)*(nCUENTA=1)*(COUNTIF(CONFIG_ASIGNATURAS!$B$7:$B$27,nASIG)&gt;0)*1),"")))</f>
        <v/>
      </c>
      <c r="AF538" t="str">
        <f>IF(AE538="","",IF(AE538="[FÓRMULA MANUAL]","",IFERROR(AVERAGEIFS(nNOTA,nNIA,AE538,nCUENTA,1,nASIG,"Análisis"),"")))</f>
        <v/>
      </c>
      <c r="AG538" t="str">
        <f>IF(AE538="","",IF(AE538="[FÓRMULA MANUAL]","",IFERROR(AVERAGEIFS(nNOTA,nNIA,AE538,nCUENTA,1,nASIG,"Orquesta/Banda/Conjunto"),"")))</f>
        <v/>
      </c>
      <c r="AH538" t="str">
        <f>IF(AE538="","",IF(AE538="[FÓRMULA MANUAL]","",IFERROR(AVERAGEIFS(nNOTA,nNIA,AE538,nCUENTA,1,nASIG,"Música de Cámara"),"")))</f>
        <v/>
      </c>
      <c r="AI538" t="str">
        <f>IF(AE538="","",IF(AE538="[FÓRMULA MANUAL]","",IFERROR(SUMPRODUCT((nNIA=AE538)*(nCUENTA=1)*(COUNTIF(CONFIG_ASIGNATURAS!$B$7:$B$27,nASIG)&gt;0)*(nNOTA))/SUMPRODUCT((nNIA=AE538)*(nCUENTA=1)*(COUNTIF(CONFIG_ASIGNATURAS!$B$7:$B$27,nASIG)&gt;0)*1),"")))</f>
        <v/>
      </c>
    </row>
    <row r="539" spans="2:35" x14ac:dyDescent="0.2">
      <c r="B539" t="str">
        <f>IF(A539="","",IF(A539="[FÓRMULA MANUAL]","",IFERROR(AVERAGEIFS(nNOTA,nNIA,A539,nCUENTA,1,nASIG,"Lenguaje Musical"),"")))</f>
        <v/>
      </c>
      <c r="C539" t="str">
        <f>IF(A539="","",IF(A539="[FÓRMULA MANUAL]","",IFERROR(AVERAGEIFS(nNOTA,nNIA,A539,nCUENTA,1,nASIG,"Orquesta/Banda/Conjunto"),"")))</f>
        <v/>
      </c>
      <c r="D539" t="str">
        <f>IF(A539="","",IF(A539="[FÓRMULA MANUAL]","",IFERROR(AVERAGEIFS(nNOTA,nNIA,A539,nCUENTA,1,nASIG,"Conjunto"),"")))</f>
        <v/>
      </c>
      <c r="E539" t="str">
        <f>IF(A539="","",IF(A539="[FÓRMULA MANUAL]","",IFERROR(SUMPRODUCT((nNIA=A539)*(nCUENTA=1)*(COUNTIF(CONFIG_ASIGNATURAS!$B$7:$B$27,nASIG)&gt;0)*(nNOTA))/SUMPRODUCT((nNIA=A539)*(nCUENTA=1)*(COUNTIF(CONFIG_ASIGNATURAS!$B$7:$B$27,nASIG)&gt;0)*1),"")))</f>
        <v/>
      </c>
      <c r="H539" t="str">
        <f>IF(G539="","",IF(G539="[FÓRMULA MANUAL]","",IFERROR(AVERAGEIFS(nNOTA,nNIA,G539,nCUENTA,1,nASIG,"Lenguaje Musical"),"")))</f>
        <v/>
      </c>
      <c r="I539" t="str">
        <f>IF(G539="","",IF(G539="[FÓRMULA MANUAL]","",IFERROR(AVERAGEIFS(nNOTA,nNIA,G539,nCUENTA,1,nASIG,"Orquesta/Banda/Conjunto"),"")))</f>
        <v/>
      </c>
      <c r="J539" t="str">
        <f>IF(G539="","",IF(G539="[FÓRMULA MANUAL]","",IFERROR(AVERAGEIFS(nNOTA,nNIA,G539,nCUENTA,1,nASIG,"Conjunto"),"")))</f>
        <v/>
      </c>
      <c r="K539" t="str">
        <f>IF(G539="","",IF(G539="[FÓRMULA MANUAL]","",IFERROR(SUMPRODUCT((nNIA=G539)*(nCUENTA=1)*(COUNTIF(CONFIG_ASIGNATURAS!$B$7:$B$27,nASIG)&gt;0)*(nNOTA))/SUMPRODUCT((nNIA=G539)*(nCUENTA=1)*(COUNTIF(CONFIG_ASIGNATURAS!$B$7:$B$27,nASIG)&gt;0)*1),"")))</f>
        <v/>
      </c>
      <c r="N539" t="str">
        <f>IF(M539="","",IF(M539="[FÓRMULA MANUAL]","",IFERROR(AVERAGEIFS(nNOTA,nNIA,M539,nCUENTA,1,nASIG,"Armonía"),"")))</f>
        <v/>
      </c>
      <c r="O539" t="str">
        <f>IF(M539="","",IF(M539="[FÓRMULA MANUAL]","",IFERROR(AVERAGEIFS(nNOTA,nNIA,M539,nCUENTA,1,nASIG,"Orquesta/Banda/Conjunto"),"")))</f>
        <v/>
      </c>
      <c r="P539" t="str">
        <f>IF(M539="","",IF(M539="[FÓRMULA MANUAL]","",IFERROR(AVERAGEIFS(nNOTA,nNIA,M539,nCUENTA,1,nASIG,"Música de Cámara"),"")))</f>
        <v/>
      </c>
      <c r="Q539" t="str">
        <f>IF(M539="","",IF(M539="[FÓRMULA MANUAL]","",IFERROR(SUMPRODUCT((nNIA=M539)*(nCUENTA=1)*(COUNTIF(CONFIG_ASIGNATURAS!$B$7:$B$27,nASIG)&gt;0)*(nNOTA))/SUMPRODUCT((nNIA=M539)*(nCUENTA=1)*(COUNTIF(CONFIG_ASIGNATURAS!$B$7:$B$27,nASIG)&gt;0)*1),"")))</f>
        <v/>
      </c>
      <c r="T539" t="str">
        <f>IF(S539="","",IF(S539="[FÓRMULA MANUAL]","",IFERROR(AVERAGEIFS(nNOTA,nNIA,S539,nCUENTA,1,nASIG,"Armonía"),"")))</f>
        <v/>
      </c>
      <c r="U539" t="str">
        <f>IF(S539="","",IF(S539="[FÓRMULA MANUAL]","",IFERROR(AVERAGEIFS(nNOTA,nNIA,S539,nCUENTA,1,nASIG,"Orquesta/Banda/Conjunto"),"")))</f>
        <v/>
      </c>
      <c r="V539" t="str">
        <f>IF(S539="","",IF(S539="[FÓRMULA MANUAL]","",IFERROR(AVERAGEIFS(nNOTA,nNIA,S539,nCUENTA,1,nASIG,"Música de Cámara"),"")))</f>
        <v/>
      </c>
      <c r="W539" t="str">
        <f>IF(S539="","",IF(S539="[FÓRMULA MANUAL]","",IFERROR(SUMPRODUCT((nNIA=S539)*(nCUENTA=1)*(COUNTIF(CONFIG_ASIGNATURAS!$B$7:$B$27,nASIG)&gt;0)*(nNOTA))/SUMPRODUCT((nNIA=S539)*(nCUENTA=1)*(COUNTIF(CONFIG_ASIGNATURAS!$B$7:$B$27,nASIG)&gt;0)*1),"")))</f>
        <v/>
      </c>
      <c r="Z539" t="str">
        <f>IF(Y539="","",IF(Y539="[FÓRMULA MANUAL]","",IFERROR(AVERAGEIFS(nNOTA,nNIA,Y539,nCUENTA,1,nASIG,"Análisis"),"")))</f>
        <v/>
      </c>
      <c r="AA539" t="str">
        <f>IF(Y539="","",IF(Y539="[FÓRMULA MANUAL]","",IFERROR(AVERAGEIFS(nNOTA,nNIA,Y539,nCUENTA,1,nASIG,"Orquesta/Banda/Conjunto"),"")))</f>
        <v/>
      </c>
      <c r="AB539" t="str">
        <f>IF(Y539="","",IF(Y539="[FÓRMULA MANUAL]","",IFERROR(AVERAGEIFS(nNOTA,nNIA,Y539,nCUENTA,1,nASIG,"Música de Cámara"),"")))</f>
        <v/>
      </c>
      <c r="AC539" t="str">
        <f>IF(Y539="","",IF(Y539="[FÓRMULA MANUAL]","",IFERROR(SUMPRODUCT((nNIA=Y539)*(nCUENTA=1)*(COUNTIF(CONFIG_ASIGNATURAS!$B$7:$B$27,nASIG)&gt;0)*(nNOTA))/SUMPRODUCT((nNIA=Y539)*(nCUENTA=1)*(COUNTIF(CONFIG_ASIGNATURAS!$B$7:$B$27,nASIG)&gt;0)*1),"")))</f>
        <v/>
      </c>
      <c r="AF539" t="str">
        <f>IF(AE539="","",IF(AE539="[FÓRMULA MANUAL]","",IFERROR(AVERAGEIFS(nNOTA,nNIA,AE539,nCUENTA,1,nASIG,"Análisis"),"")))</f>
        <v/>
      </c>
      <c r="AG539" t="str">
        <f>IF(AE539="","",IF(AE539="[FÓRMULA MANUAL]","",IFERROR(AVERAGEIFS(nNOTA,nNIA,AE539,nCUENTA,1,nASIG,"Orquesta/Banda/Conjunto"),"")))</f>
        <v/>
      </c>
      <c r="AH539" t="str">
        <f>IF(AE539="","",IF(AE539="[FÓRMULA MANUAL]","",IFERROR(AVERAGEIFS(nNOTA,nNIA,AE539,nCUENTA,1,nASIG,"Música de Cámara"),"")))</f>
        <v/>
      </c>
      <c r="AI539" t="str">
        <f>IF(AE539="","",IF(AE539="[FÓRMULA MANUAL]","",IFERROR(SUMPRODUCT((nNIA=AE539)*(nCUENTA=1)*(COUNTIF(CONFIG_ASIGNATURAS!$B$7:$B$27,nASIG)&gt;0)*(nNOTA))/SUMPRODUCT((nNIA=AE539)*(nCUENTA=1)*(COUNTIF(CONFIG_ASIGNATURAS!$B$7:$B$27,nASIG)&gt;0)*1),"")))</f>
        <v/>
      </c>
    </row>
    <row r="540" spans="2:35" x14ac:dyDescent="0.2">
      <c r="B540" t="str">
        <f>IF(A540="","",IF(A540="[FÓRMULA MANUAL]","",IFERROR(AVERAGEIFS(nNOTA,nNIA,A540,nCUENTA,1,nASIG,"Lenguaje Musical"),"")))</f>
        <v/>
      </c>
      <c r="C540" t="str">
        <f>IF(A540="","",IF(A540="[FÓRMULA MANUAL]","",IFERROR(AVERAGEIFS(nNOTA,nNIA,A540,nCUENTA,1,nASIG,"Orquesta/Banda/Conjunto"),"")))</f>
        <v/>
      </c>
      <c r="D540" t="str">
        <f>IF(A540="","",IF(A540="[FÓRMULA MANUAL]","",IFERROR(AVERAGEIFS(nNOTA,nNIA,A540,nCUENTA,1,nASIG,"Conjunto"),"")))</f>
        <v/>
      </c>
      <c r="E540" t="str">
        <f>IF(A540="","",IF(A540="[FÓRMULA MANUAL]","",IFERROR(SUMPRODUCT((nNIA=A540)*(nCUENTA=1)*(COUNTIF(CONFIG_ASIGNATURAS!$B$7:$B$27,nASIG)&gt;0)*(nNOTA))/SUMPRODUCT((nNIA=A540)*(nCUENTA=1)*(COUNTIF(CONFIG_ASIGNATURAS!$B$7:$B$27,nASIG)&gt;0)*1),"")))</f>
        <v/>
      </c>
      <c r="H540" t="str">
        <f>IF(G540="","",IF(G540="[FÓRMULA MANUAL]","",IFERROR(AVERAGEIFS(nNOTA,nNIA,G540,nCUENTA,1,nASIG,"Lenguaje Musical"),"")))</f>
        <v/>
      </c>
      <c r="I540" t="str">
        <f>IF(G540="","",IF(G540="[FÓRMULA MANUAL]","",IFERROR(AVERAGEIFS(nNOTA,nNIA,G540,nCUENTA,1,nASIG,"Orquesta/Banda/Conjunto"),"")))</f>
        <v/>
      </c>
      <c r="J540" t="str">
        <f>IF(G540="","",IF(G540="[FÓRMULA MANUAL]","",IFERROR(AVERAGEIFS(nNOTA,nNIA,G540,nCUENTA,1,nASIG,"Conjunto"),"")))</f>
        <v/>
      </c>
      <c r="K540" t="str">
        <f>IF(G540="","",IF(G540="[FÓRMULA MANUAL]","",IFERROR(SUMPRODUCT((nNIA=G540)*(nCUENTA=1)*(COUNTIF(CONFIG_ASIGNATURAS!$B$7:$B$27,nASIG)&gt;0)*(nNOTA))/SUMPRODUCT((nNIA=G540)*(nCUENTA=1)*(COUNTIF(CONFIG_ASIGNATURAS!$B$7:$B$27,nASIG)&gt;0)*1),"")))</f>
        <v/>
      </c>
      <c r="N540" t="str">
        <f>IF(M540="","",IF(M540="[FÓRMULA MANUAL]","",IFERROR(AVERAGEIFS(nNOTA,nNIA,M540,nCUENTA,1,nASIG,"Armonía"),"")))</f>
        <v/>
      </c>
      <c r="O540" t="str">
        <f>IF(M540="","",IF(M540="[FÓRMULA MANUAL]","",IFERROR(AVERAGEIFS(nNOTA,nNIA,M540,nCUENTA,1,nASIG,"Orquesta/Banda/Conjunto"),"")))</f>
        <v/>
      </c>
      <c r="P540" t="str">
        <f>IF(M540="","",IF(M540="[FÓRMULA MANUAL]","",IFERROR(AVERAGEIFS(nNOTA,nNIA,M540,nCUENTA,1,nASIG,"Música de Cámara"),"")))</f>
        <v/>
      </c>
      <c r="Q540" t="str">
        <f>IF(M540="","",IF(M540="[FÓRMULA MANUAL]","",IFERROR(SUMPRODUCT((nNIA=M540)*(nCUENTA=1)*(COUNTIF(CONFIG_ASIGNATURAS!$B$7:$B$27,nASIG)&gt;0)*(nNOTA))/SUMPRODUCT((nNIA=M540)*(nCUENTA=1)*(COUNTIF(CONFIG_ASIGNATURAS!$B$7:$B$27,nASIG)&gt;0)*1),"")))</f>
        <v/>
      </c>
      <c r="T540" t="str">
        <f>IF(S540="","",IF(S540="[FÓRMULA MANUAL]","",IFERROR(AVERAGEIFS(nNOTA,nNIA,S540,nCUENTA,1,nASIG,"Armonía"),"")))</f>
        <v/>
      </c>
      <c r="U540" t="str">
        <f>IF(S540="","",IF(S540="[FÓRMULA MANUAL]","",IFERROR(AVERAGEIFS(nNOTA,nNIA,S540,nCUENTA,1,nASIG,"Orquesta/Banda/Conjunto"),"")))</f>
        <v/>
      </c>
      <c r="V540" t="str">
        <f>IF(S540="","",IF(S540="[FÓRMULA MANUAL]","",IFERROR(AVERAGEIFS(nNOTA,nNIA,S540,nCUENTA,1,nASIG,"Música de Cámara"),"")))</f>
        <v/>
      </c>
      <c r="W540" t="str">
        <f>IF(S540="","",IF(S540="[FÓRMULA MANUAL]","",IFERROR(SUMPRODUCT((nNIA=S540)*(nCUENTA=1)*(COUNTIF(CONFIG_ASIGNATURAS!$B$7:$B$27,nASIG)&gt;0)*(nNOTA))/SUMPRODUCT((nNIA=S540)*(nCUENTA=1)*(COUNTIF(CONFIG_ASIGNATURAS!$B$7:$B$27,nASIG)&gt;0)*1),"")))</f>
        <v/>
      </c>
      <c r="Z540" t="str">
        <f>IF(Y540="","",IF(Y540="[FÓRMULA MANUAL]","",IFERROR(AVERAGEIFS(nNOTA,nNIA,Y540,nCUENTA,1,nASIG,"Análisis"),"")))</f>
        <v/>
      </c>
      <c r="AA540" t="str">
        <f>IF(Y540="","",IF(Y540="[FÓRMULA MANUAL]","",IFERROR(AVERAGEIFS(nNOTA,nNIA,Y540,nCUENTA,1,nASIG,"Orquesta/Banda/Conjunto"),"")))</f>
        <v/>
      </c>
      <c r="AB540" t="str">
        <f>IF(Y540="","",IF(Y540="[FÓRMULA MANUAL]","",IFERROR(AVERAGEIFS(nNOTA,nNIA,Y540,nCUENTA,1,nASIG,"Música de Cámara"),"")))</f>
        <v/>
      </c>
      <c r="AC540" t="str">
        <f>IF(Y540="","",IF(Y540="[FÓRMULA MANUAL]","",IFERROR(SUMPRODUCT((nNIA=Y540)*(nCUENTA=1)*(COUNTIF(CONFIG_ASIGNATURAS!$B$7:$B$27,nASIG)&gt;0)*(nNOTA))/SUMPRODUCT((nNIA=Y540)*(nCUENTA=1)*(COUNTIF(CONFIG_ASIGNATURAS!$B$7:$B$27,nASIG)&gt;0)*1),"")))</f>
        <v/>
      </c>
      <c r="AF540" t="str">
        <f>IF(AE540="","",IF(AE540="[FÓRMULA MANUAL]","",IFERROR(AVERAGEIFS(nNOTA,nNIA,AE540,nCUENTA,1,nASIG,"Análisis"),"")))</f>
        <v/>
      </c>
      <c r="AG540" t="str">
        <f>IF(AE540="","",IF(AE540="[FÓRMULA MANUAL]","",IFERROR(AVERAGEIFS(nNOTA,nNIA,AE540,nCUENTA,1,nASIG,"Orquesta/Banda/Conjunto"),"")))</f>
        <v/>
      </c>
      <c r="AH540" t="str">
        <f>IF(AE540="","",IF(AE540="[FÓRMULA MANUAL]","",IFERROR(AVERAGEIFS(nNOTA,nNIA,AE540,nCUENTA,1,nASIG,"Música de Cámara"),"")))</f>
        <v/>
      </c>
      <c r="AI540" t="str">
        <f>IF(AE540="","",IF(AE540="[FÓRMULA MANUAL]","",IFERROR(SUMPRODUCT((nNIA=AE540)*(nCUENTA=1)*(COUNTIF(CONFIG_ASIGNATURAS!$B$7:$B$27,nASIG)&gt;0)*(nNOTA))/SUMPRODUCT((nNIA=AE540)*(nCUENTA=1)*(COUNTIF(CONFIG_ASIGNATURAS!$B$7:$B$27,nASIG)&gt;0)*1),"")))</f>
        <v/>
      </c>
    </row>
    <row r="541" spans="2:35" x14ac:dyDescent="0.2">
      <c r="B541" t="str">
        <f>IF(A541="","",IF(A541="[FÓRMULA MANUAL]","",IFERROR(AVERAGEIFS(nNOTA,nNIA,A541,nCUENTA,1,nASIG,"Lenguaje Musical"),"")))</f>
        <v/>
      </c>
      <c r="C541" t="str">
        <f>IF(A541="","",IF(A541="[FÓRMULA MANUAL]","",IFERROR(AVERAGEIFS(nNOTA,nNIA,A541,nCUENTA,1,nASIG,"Orquesta/Banda/Conjunto"),"")))</f>
        <v/>
      </c>
      <c r="D541" t="str">
        <f>IF(A541="","",IF(A541="[FÓRMULA MANUAL]","",IFERROR(AVERAGEIFS(nNOTA,nNIA,A541,nCUENTA,1,nASIG,"Conjunto"),"")))</f>
        <v/>
      </c>
      <c r="E541" t="str">
        <f>IF(A541="","",IF(A541="[FÓRMULA MANUAL]","",IFERROR(SUMPRODUCT((nNIA=A541)*(nCUENTA=1)*(COUNTIF(CONFIG_ASIGNATURAS!$B$7:$B$27,nASIG)&gt;0)*(nNOTA))/SUMPRODUCT((nNIA=A541)*(nCUENTA=1)*(COUNTIF(CONFIG_ASIGNATURAS!$B$7:$B$27,nASIG)&gt;0)*1),"")))</f>
        <v/>
      </c>
      <c r="H541" t="str">
        <f>IF(G541="","",IF(G541="[FÓRMULA MANUAL]","",IFERROR(AVERAGEIFS(nNOTA,nNIA,G541,nCUENTA,1,nASIG,"Lenguaje Musical"),"")))</f>
        <v/>
      </c>
      <c r="I541" t="str">
        <f>IF(G541="","",IF(G541="[FÓRMULA MANUAL]","",IFERROR(AVERAGEIFS(nNOTA,nNIA,G541,nCUENTA,1,nASIG,"Orquesta/Banda/Conjunto"),"")))</f>
        <v/>
      </c>
      <c r="J541" t="str">
        <f>IF(G541="","",IF(G541="[FÓRMULA MANUAL]","",IFERROR(AVERAGEIFS(nNOTA,nNIA,G541,nCUENTA,1,nASIG,"Conjunto"),"")))</f>
        <v/>
      </c>
      <c r="K541" t="str">
        <f>IF(G541="","",IF(G541="[FÓRMULA MANUAL]","",IFERROR(SUMPRODUCT((nNIA=G541)*(nCUENTA=1)*(COUNTIF(CONFIG_ASIGNATURAS!$B$7:$B$27,nASIG)&gt;0)*(nNOTA))/SUMPRODUCT((nNIA=G541)*(nCUENTA=1)*(COUNTIF(CONFIG_ASIGNATURAS!$B$7:$B$27,nASIG)&gt;0)*1),"")))</f>
        <v/>
      </c>
      <c r="N541" t="str">
        <f>IF(M541="","",IF(M541="[FÓRMULA MANUAL]","",IFERROR(AVERAGEIFS(nNOTA,nNIA,M541,nCUENTA,1,nASIG,"Armonía"),"")))</f>
        <v/>
      </c>
      <c r="O541" t="str">
        <f>IF(M541="","",IF(M541="[FÓRMULA MANUAL]","",IFERROR(AVERAGEIFS(nNOTA,nNIA,M541,nCUENTA,1,nASIG,"Orquesta/Banda/Conjunto"),"")))</f>
        <v/>
      </c>
      <c r="P541" t="str">
        <f>IF(M541="","",IF(M541="[FÓRMULA MANUAL]","",IFERROR(AVERAGEIFS(nNOTA,nNIA,M541,nCUENTA,1,nASIG,"Música de Cámara"),"")))</f>
        <v/>
      </c>
      <c r="Q541" t="str">
        <f>IF(M541="","",IF(M541="[FÓRMULA MANUAL]","",IFERROR(SUMPRODUCT((nNIA=M541)*(nCUENTA=1)*(COUNTIF(CONFIG_ASIGNATURAS!$B$7:$B$27,nASIG)&gt;0)*(nNOTA))/SUMPRODUCT((nNIA=M541)*(nCUENTA=1)*(COUNTIF(CONFIG_ASIGNATURAS!$B$7:$B$27,nASIG)&gt;0)*1),"")))</f>
        <v/>
      </c>
      <c r="T541" t="str">
        <f>IF(S541="","",IF(S541="[FÓRMULA MANUAL]","",IFERROR(AVERAGEIFS(nNOTA,nNIA,S541,nCUENTA,1,nASIG,"Armonía"),"")))</f>
        <v/>
      </c>
      <c r="U541" t="str">
        <f>IF(S541="","",IF(S541="[FÓRMULA MANUAL]","",IFERROR(AVERAGEIFS(nNOTA,nNIA,S541,nCUENTA,1,nASIG,"Orquesta/Banda/Conjunto"),"")))</f>
        <v/>
      </c>
      <c r="V541" t="str">
        <f>IF(S541="","",IF(S541="[FÓRMULA MANUAL]","",IFERROR(AVERAGEIFS(nNOTA,nNIA,S541,nCUENTA,1,nASIG,"Música de Cámara"),"")))</f>
        <v/>
      </c>
      <c r="W541" t="str">
        <f>IF(S541="","",IF(S541="[FÓRMULA MANUAL]","",IFERROR(SUMPRODUCT((nNIA=S541)*(nCUENTA=1)*(COUNTIF(CONFIG_ASIGNATURAS!$B$7:$B$27,nASIG)&gt;0)*(nNOTA))/SUMPRODUCT((nNIA=S541)*(nCUENTA=1)*(COUNTIF(CONFIG_ASIGNATURAS!$B$7:$B$27,nASIG)&gt;0)*1),"")))</f>
        <v/>
      </c>
      <c r="Z541" t="str">
        <f>IF(Y541="","",IF(Y541="[FÓRMULA MANUAL]","",IFERROR(AVERAGEIFS(nNOTA,nNIA,Y541,nCUENTA,1,nASIG,"Análisis"),"")))</f>
        <v/>
      </c>
      <c r="AA541" t="str">
        <f>IF(Y541="","",IF(Y541="[FÓRMULA MANUAL]","",IFERROR(AVERAGEIFS(nNOTA,nNIA,Y541,nCUENTA,1,nASIG,"Orquesta/Banda/Conjunto"),"")))</f>
        <v/>
      </c>
      <c r="AB541" t="str">
        <f>IF(Y541="","",IF(Y541="[FÓRMULA MANUAL]","",IFERROR(AVERAGEIFS(nNOTA,nNIA,Y541,nCUENTA,1,nASIG,"Música de Cámara"),"")))</f>
        <v/>
      </c>
      <c r="AC541" t="str">
        <f>IF(Y541="","",IF(Y541="[FÓRMULA MANUAL]","",IFERROR(SUMPRODUCT((nNIA=Y541)*(nCUENTA=1)*(COUNTIF(CONFIG_ASIGNATURAS!$B$7:$B$27,nASIG)&gt;0)*(nNOTA))/SUMPRODUCT((nNIA=Y541)*(nCUENTA=1)*(COUNTIF(CONFIG_ASIGNATURAS!$B$7:$B$27,nASIG)&gt;0)*1),"")))</f>
        <v/>
      </c>
      <c r="AF541" t="str">
        <f>IF(AE541="","",IF(AE541="[FÓRMULA MANUAL]","",IFERROR(AVERAGEIFS(nNOTA,nNIA,AE541,nCUENTA,1,nASIG,"Análisis"),"")))</f>
        <v/>
      </c>
      <c r="AG541" t="str">
        <f>IF(AE541="","",IF(AE541="[FÓRMULA MANUAL]","",IFERROR(AVERAGEIFS(nNOTA,nNIA,AE541,nCUENTA,1,nASIG,"Orquesta/Banda/Conjunto"),"")))</f>
        <v/>
      </c>
      <c r="AH541" t="str">
        <f>IF(AE541="","",IF(AE541="[FÓRMULA MANUAL]","",IFERROR(AVERAGEIFS(nNOTA,nNIA,AE541,nCUENTA,1,nASIG,"Música de Cámara"),"")))</f>
        <v/>
      </c>
      <c r="AI541" t="str">
        <f>IF(AE541="","",IF(AE541="[FÓRMULA MANUAL]","",IFERROR(SUMPRODUCT((nNIA=AE541)*(nCUENTA=1)*(COUNTIF(CONFIG_ASIGNATURAS!$B$7:$B$27,nASIG)&gt;0)*(nNOTA))/SUMPRODUCT((nNIA=AE541)*(nCUENTA=1)*(COUNTIF(CONFIG_ASIGNATURAS!$B$7:$B$27,nASIG)&gt;0)*1),"")))</f>
        <v/>
      </c>
    </row>
    <row r="542" spans="2:35" x14ac:dyDescent="0.2">
      <c r="B542" t="str">
        <f>IF(A542="","",IF(A542="[FÓRMULA MANUAL]","",IFERROR(AVERAGEIFS(nNOTA,nNIA,A542,nCUENTA,1,nASIG,"Lenguaje Musical"),"")))</f>
        <v/>
      </c>
      <c r="C542" t="str">
        <f>IF(A542="","",IF(A542="[FÓRMULA MANUAL]","",IFERROR(AVERAGEIFS(nNOTA,nNIA,A542,nCUENTA,1,nASIG,"Orquesta/Banda/Conjunto"),"")))</f>
        <v/>
      </c>
      <c r="D542" t="str">
        <f>IF(A542="","",IF(A542="[FÓRMULA MANUAL]","",IFERROR(AVERAGEIFS(nNOTA,nNIA,A542,nCUENTA,1,nASIG,"Conjunto"),"")))</f>
        <v/>
      </c>
      <c r="E542" t="str">
        <f>IF(A542="","",IF(A542="[FÓRMULA MANUAL]","",IFERROR(SUMPRODUCT((nNIA=A542)*(nCUENTA=1)*(COUNTIF(CONFIG_ASIGNATURAS!$B$7:$B$27,nASIG)&gt;0)*(nNOTA))/SUMPRODUCT((nNIA=A542)*(nCUENTA=1)*(COUNTIF(CONFIG_ASIGNATURAS!$B$7:$B$27,nASIG)&gt;0)*1),"")))</f>
        <v/>
      </c>
      <c r="H542" t="str">
        <f>IF(G542="","",IF(G542="[FÓRMULA MANUAL]","",IFERROR(AVERAGEIFS(nNOTA,nNIA,G542,nCUENTA,1,nASIG,"Lenguaje Musical"),"")))</f>
        <v/>
      </c>
      <c r="I542" t="str">
        <f>IF(G542="","",IF(G542="[FÓRMULA MANUAL]","",IFERROR(AVERAGEIFS(nNOTA,nNIA,G542,nCUENTA,1,nASIG,"Orquesta/Banda/Conjunto"),"")))</f>
        <v/>
      </c>
      <c r="J542" t="str">
        <f>IF(G542="","",IF(G542="[FÓRMULA MANUAL]","",IFERROR(AVERAGEIFS(nNOTA,nNIA,G542,nCUENTA,1,nASIG,"Conjunto"),"")))</f>
        <v/>
      </c>
      <c r="K542" t="str">
        <f>IF(G542="","",IF(G542="[FÓRMULA MANUAL]","",IFERROR(SUMPRODUCT((nNIA=G542)*(nCUENTA=1)*(COUNTIF(CONFIG_ASIGNATURAS!$B$7:$B$27,nASIG)&gt;0)*(nNOTA))/SUMPRODUCT((nNIA=G542)*(nCUENTA=1)*(COUNTIF(CONFIG_ASIGNATURAS!$B$7:$B$27,nASIG)&gt;0)*1),"")))</f>
        <v/>
      </c>
      <c r="N542" t="str">
        <f>IF(M542="","",IF(M542="[FÓRMULA MANUAL]","",IFERROR(AVERAGEIFS(nNOTA,nNIA,M542,nCUENTA,1,nASIG,"Armonía"),"")))</f>
        <v/>
      </c>
      <c r="O542" t="str">
        <f>IF(M542="","",IF(M542="[FÓRMULA MANUAL]","",IFERROR(AVERAGEIFS(nNOTA,nNIA,M542,nCUENTA,1,nASIG,"Orquesta/Banda/Conjunto"),"")))</f>
        <v/>
      </c>
      <c r="P542" t="str">
        <f>IF(M542="","",IF(M542="[FÓRMULA MANUAL]","",IFERROR(AVERAGEIFS(nNOTA,nNIA,M542,nCUENTA,1,nASIG,"Música de Cámara"),"")))</f>
        <v/>
      </c>
      <c r="Q542" t="str">
        <f>IF(M542="","",IF(M542="[FÓRMULA MANUAL]","",IFERROR(SUMPRODUCT((nNIA=M542)*(nCUENTA=1)*(COUNTIF(CONFIG_ASIGNATURAS!$B$7:$B$27,nASIG)&gt;0)*(nNOTA))/SUMPRODUCT((nNIA=M542)*(nCUENTA=1)*(COUNTIF(CONFIG_ASIGNATURAS!$B$7:$B$27,nASIG)&gt;0)*1),"")))</f>
        <v/>
      </c>
      <c r="T542" t="str">
        <f>IF(S542="","",IF(S542="[FÓRMULA MANUAL]","",IFERROR(AVERAGEIFS(nNOTA,nNIA,S542,nCUENTA,1,nASIG,"Armonía"),"")))</f>
        <v/>
      </c>
      <c r="U542" t="str">
        <f>IF(S542="","",IF(S542="[FÓRMULA MANUAL]","",IFERROR(AVERAGEIFS(nNOTA,nNIA,S542,nCUENTA,1,nASIG,"Orquesta/Banda/Conjunto"),"")))</f>
        <v/>
      </c>
      <c r="V542" t="str">
        <f>IF(S542="","",IF(S542="[FÓRMULA MANUAL]","",IFERROR(AVERAGEIFS(nNOTA,nNIA,S542,nCUENTA,1,nASIG,"Música de Cámara"),"")))</f>
        <v/>
      </c>
      <c r="W542" t="str">
        <f>IF(S542="","",IF(S542="[FÓRMULA MANUAL]","",IFERROR(SUMPRODUCT((nNIA=S542)*(nCUENTA=1)*(COUNTIF(CONFIG_ASIGNATURAS!$B$7:$B$27,nASIG)&gt;0)*(nNOTA))/SUMPRODUCT((nNIA=S542)*(nCUENTA=1)*(COUNTIF(CONFIG_ASIGNATURAS!$B$7:$B$27,nASIG)&gt;0)*1),"")))</f>
        <v/>
      </c>
      <c r="Z542" t="str">
        <f>IF(Y542="","",IF(Y542="[FÓRMULA MANUAL]","",IFERROR(AVERAGEIFS(nNOTA,nNIA,Y542,nCUENTA,1,nASIG,"Análisis"),"")))</f>
        <v/>
      </c>
      <c r="AA542" t="str">
        <f>IF(Y542="","",IF(Y542="[FÓRMULA MANUAL]","",IFERROR(AVERAGEIFS(nNOTA,nNIA,Y542,nCUENTA,1,nASIG,"Orquesta/Banda/Conjunto"),"")))</f>
        <v/>
      </c>
      <c r="AB542" t="str">
        <f>IF(Y542="","",IF(Y542="[FÓRMULA MANUAL]","",IFERROR(AVERAGEIFS(nNOTA,nNIA,Y542,nCUENTA,1,nASIG,"Música de Cámara"),"")))</f>
        <v/>
      </c>
      <c r="AC542" t="str">
        <f>IF(Y542="","",IF(Y542="[FÓRMULA MANUAL]","",IFERROR(SUMPRODUCT((nNIA=Y542)*(nCUENTA=1)*(COUNTIF(CONFIG_ASIGNATURAS!$B$7:$B$27,nASIG)&gt;0)*(nNOTA))/SUMPRODUCT((nNIA=Y542)*(nCUENTA=1)*(COUNTIF(CONFIG_ASIGNATURAS!$B$7:$B$27,nASIG)&gt;0)*1),"")))</f>
        <v/>
      </c>
      <c r="AF542" t="str">
        <f>IF(AE542="","",IF(AE542="[FÓRMULA MANUAL]","",IFERROR(AVERAGEIFS(nNOTA,nNIA,AE542,nCUENTA,1,nASIG,"Análisis"),"")))</f>
        <v/>
      </c>
      <c r="AG542" t="str">
        <f>IF(AE542="","",IF(AE542="[FÓRMULA MANUAL]","",IFERROR(AVERAGEIFS(nNOTA,nNIA,AE542,nCUENTA,1,nASIG,"Orquesta/Banda/Conjunto"),"")))</f>
        <v/>
      </c>
      <c r="AH542" t="str">
        <f>IF(AE542="","",IF(AE542="[FÓRMULA MANUAL]","",IFERROR(AVERAGEIFS(nNOTA,nNIA,AE542,nCUENTA,1,nASIG,"Música de Cámara"),"")))</f>
        <v/>
      </c>
      <c r="AI542" t="str">
        <f>IF(AE542="","",IF(AE542="[FÓRMULA MANUAL]","",IFERROR(SUMPRODUCT((nNIA=AE542)*(nCUENTA=1)*(COUNTIF(CONFIG_ASIGNATURAS!$B$7:$B$27,nASIG)&gt;0)*(nNOTA))/SUMPRODUCT((nNIA=AE542)*(nCUENTA=1)*(COUNTIF(CONFIG_ASIGNATURAS!$B$7:$B$27,nASIG)&gt;0)*1),"")))</f>
        <v/>
      </c>
    </row>
    <row r="543" spans="2:35" x14ac:dyDescent="0.2">
      <c r="B543" t="str">
        <f>IF(A543="","",IF(A543="[FÓRMULA MANUAL]","",IFERROR(AVERAGEIFS(nNOTA,nNIA,A543,nCUENTA,1,nASIG,"Lenguaje Musical"),"")))</f>
        <v/>
      </c>
      <c r="C543" t="str">
        <f>IF(A543="","",IF(A543="[FÓRMULA MANUAL]","",IFERROR(AVERAGEIFS(nNOTA,nNIA,A543,nCUENTA,1,nASIG,"Orquesta/Banda/Conjunto"),"")))</f>
        <v/>
      </c>
      <c r="D543" t="str">
        <f>IF(A543="","",IF(A543="[FÓRMULA MANUAL]","",IFERROR(AVERAGEIFS(nNOTA,nNIA,A543,nCUENTA,1,nASIG,"Conjunto"),"")))</f>
        <v/>
      </c>
      <c r="E543" t="str">
        <f>IF(A543="","",IF(A543="[FÓRMULA MANUAL]","",IFERROR(SUMPRODUCT((nNIA=A543)*(nCUENTA=1)*(COUNTIF(CONFIG_ASIGNATURAS!$B$7:$B$27,nASIG)&gt;0)*(nNOTA))/SUMPRODUCT((nNIA=A543)*(nCUENTA=1)*(COUNTIF(CONFIG_ASIGNATURAS!$B$7:$B$27,nASIG)&gt;0)*1),"")))</f>
        <v/>
      </c>
      <c r="H543" t="str">
        <f>IF(G543="","",IF(G543="[FÓRMULA MANUAL]","",IFERROR(AVERAGEIFS(nNOTA,nNIA,G543,nCUENTA,1,nASIG,"Lenguaje Musical"),"")))</f>
        <v/>
      </c>
      <c r="I543" t="str">
        <f>IF(G543="","",IF(G543="[FÓRMULA MANUAL]","",IFERROR(AVERAGEIFS(nNOTA,nNIA,G543,nCUENTA,1,nASIG,"Orquesta/Banda/Conjunto"),"")))</f>
        <v/>
      </c>
      <c r="J543" t="str">
        <f>IF(G543="","",IF(G543="[FÓRMULA MANUAL]","",IFERROR(AVERAGEIFS(nNOTA,nNIA,G543,nCUENTA,1,nASIG,"Conjunto"),"")))</f>
        <v/>
      </c>
      <c r="K543" t="str">
        <f>IF(G543="","",IF(G543="[FÓRMULA MANUAL]","",IFERROR(SUMPRODUCT((nNIA=G543)*(nCUENTA=1)*(COUNTIF(CONFIG_ASIGNATURAS!$B$7:$B$27,nASIG)&gt;0)*(nNOTA))/SUMPRODUCT((nNIA=G543)*(nCUENTA=1)*(COUNTIF(CONFIG_ASIGNATURAS!$B$7:$B$27,nASIG)&gt;0)*1),"")))</f>
        <v/>
      </c>
      <c r="N543" t="str">
        <f>IF(M543="","",IF(M543="[FÓRMULA MANUAL]","",IFERROR(AVERAGEIFS(nNOTA,nNIA,M543,nCUENTA,1,nASIG,"Armonía"),"")))</f>
        <v/>
      </c>
      <c r="O543" t="str">
        <f>IF(M543="","",IF(M543="[FÓRMULA MANUAL]","",IFERROR(AVERAGEIFS(nNOTA,nNIA,M543,nCUENTA,1,nASIG,"Orquesta/Banda/Conjunto"),"")))</f>
        <v/>
      </c>
      <c r="P543" t="str">
        <f>IF(M543="","",IF(M543="[FÓRMULA MANUAL]","",IFERROR(AVERAGEIFS(nNOTA,nNIA,M543,nCUENTA,1,nASIG,"Música de Cámara"),"")))</f>
        <v/>
      </c>
      <c r="Q543" t="str">
        <f>IF(M543="","",IF(M543="[FÓRMULA MANUAL]","",IFERROR(SUMPRODUCT((nNIA=M543)*(nCUENTA=1)*(COUNTIF(CONFIG_ASIGNATURAS!$B$7:$B$27,nASIG)&gt;0)*(nNOTA))/SUMPRODUCT((nNIA=M543)*(nCUENTA=1)*(COUNTIF(CONFIG_ASIGNATURAS!$B$7:$B$27,nASIG)&gt;0)*1),"")))</f>
        <v/>
      </c>
      <c r="T543" t="str">
        <f>IF(S543="","",IF(S543="[FÓRMULA MANUAL]","",IFERROR(AVERAGEIFS(nNOTA,nNIA,S543,nCUENTA,1,nASIG,"Armonía"),"")))</f>
        <v/>
      </c>
      <c r="U543" t="str">
        <f>IF(S543="","",IF(S543="[FÓRMULA MANUAL]","",IFERROR(AVERAGEIFS(nNOTA,nNIA,S543,nCUENTA,1,nASIG,"Orquesta/Banda/Conjunto"),"")))</f>
        <v/>
      </c>
      <c r="V543" t="str">
        <f>IF(S543="","",IF(S543="[FÓRMULA MANUAL]","",IFERROR(AVERAGEIFS(nNOTA,nNIA,S543,nCUENTA,1,nASIG,"Música de Cámara"),"")))</f>
        <v/>
      </c>
      <c r="W543" t="str">
        <f>IF(S543="","",IF(S543="[FÓRMULA MANUAL]","",IFERROR(SUMPRODUCT((nNIA=S543)*(nCUENTA=1)*(COUNTIF(CONFIG_ASIGNATURAS!$B$7:$B$27,nASIG)&gt;0)*(nNOTA))/SUMPRODUCT((nNIA=S543)*(nCUENTA=1)*(COUNTIF(CONFIG_ASIGNATURAS!$B$7:$B$27,nASIG)&gt;0)*1),"")))</f>
        <v/>
      </c>
      <c r="Z543" t="str">
        <f>IF(Y543="","",IF(Y543="[FÓRMULA MANUAL]","",IFERROR(AVERAGEIFS(nNOTA,nNIA,Y543,nCUENTA,1,nASIG,"Análisis"),"")))</f>
        <v/>
      </c>
      <c r="AA543" t="str">
        <f>IF(Y543="","",IF(Y543="[FÓRMULA MANUAL]","",IFERROR(AVERAGEIFS(nNOTA,nNIA,Y543,nCUENTA,1,nASIG,"Orquesta/Banda/Conjunto"),"")))</f>
        <v/>
      </c>
      <c r="AB543" t="str">
        <f>IF(Y543="","",IF(Y543="[FÓRMULA MANUAL]","",IFERROR(AVERAGEIFS(nNOTA,nNIA,Y543,nCUENTA,1,nASIG,"Música de Cámara"),"")))</f>
        <v/>
      </c>
      <c r="AC543" t="str">
        <f>IF(Y543="","",IF(Y543="[FÓRMULA MANUAL]","",IFERROR(SUMPRODUCT((nNIA=Y543)*(nCUENTA=1)*(COUNTIF(CONFIG_ASIGNATURAS!$B$7:$B$27,nASIG)&gt;0)*(nNOTA))/SUMPRODUCT((nNIA=Y543)*(nCUENTA=1)*(COUNTIF(CONFIG_ASIGNATURAS!$B$7:$B$27,nASIG)&gt;0)*1),"")))</f>
        <v/>
      </c>
      <c r="AF543" t="str">
        <f>IF(AE543="","",IF(AE543="[FÓRMULA MANUAL]","",IFERROR(AVERAGEIFS(nNOTA,nNIA,AE543,nCUENTA,1,nASIG,"Análisis"),"")))</f>
        <v/>
      </c>
      <c r="AG543" t="str">
        <f>IF(AE543="","",IF(AE543="[FÓRMULA MANUAL]","",IFERROR(AVERAGEIFS(nNOTA,nNIA,AE543,nCUENTA,1,nASIG,"Orquesta/Banda/Conjunto"),"")))</f>
        <v/>
      </c>
      <c r="AH543" t="str">
        <f>IF(AE543="","",IF(AE543="[FÓRMULA MANUAL]","",IFERROR(AVERAGEIFS(nNOTA,nNIA,AE543,nCUENTA,1,nASIG,"Música de Cámara"),"")))</f>
        <v/>
      </c>
      <c r="AI543" t="str">
        <f>IF(AE543="","",IF(AE543="[FÓRMULA MANUAL]","",IFERROR(SUMPRODUCT((nNIA=AE543)*(nCUENTA=1)*(COUNTIF(CONFIG_ASIGNATURAS!$B$7:$B$27,nASIG)&gt;0)*(nNOTA))/SUMPRODUCT((nNIA=AE543)*(nCUENTA=1)*(COUNTIF(CONFIG_ASIGNATURAS!$B$7:$B$27,nASIG)&gt;0)*1),"")))</f>
        <v/>
      </c>
    </row>
    <row r="544" spans="2:35" x14ac:dyDescent="0.2">
      <c r="B544" t="str">
        <f>IF(A544="","",IF(A544="[FÓRMULA MANUAL]","",IFERROR(AVERAGEIFS(nNOTA,nNIA,A544,nCUENTA,1,nASIG,"Lenguaje Musical"),"")))</f>
        <v/>
      </c>
      <c r="C544" t="str">
        <f>IF(A544="","",IF(A544="[FÓRMULA MANUAL]","",IFERROR(AVERAGEIFS(nNOTA,nNIA,A544,nCUENTA,1,nASIG,"Orquesta/Banda/Conjunto"),"")))</f>
        <v/>
      </c>
      <c r="D544" t="str">
        <f>IF(A544="","",IF(A544="[FÓRMULA MANUAL]","",IFERROR(AVERAGEIFS(nNOTA,nNIA,A544,nCUENTA,1,nASIG,"Conjunto"),"")))</f>
        <v/>
      </c>
      <c r="E544" t="str">
        <f>IF(A544="","",IF(A544="[FÓRMULA MANUAL]","",IFERROR(SUMPRODUCT((nNIA=A544)*(nCUENTA=1)*(COUNTIF(CONFIG_ASIGNATURAS!$B$7:$B$27,nASIG)&gt;0)*(nNOTA))/SUMPRODUCT((nNIA=A544)*(nCUENTA=1)*(COUNTIF(CONFIG_ASIGNATURAS!$B$7:$B$27,nASIG)&gt;0)*1),"")))</f>
        <v/>
      </c>
      <c r="H544" t="str">
        <f>IF(G544="","",IF(G544="[FÓRMULA MANUAL]","",IFERROR(AVERAGEIFS(nNOTA,nNIA,G544,nCUENTA,1,nASIG,"Lenguaje Musical"),"")))</f>
        <v/>
      </c>
      <c r="I544" t="str">
        <f>IF(G544="","",IF(G544="[FÓRMULA MANUAL]","",IFERROR(AVERAGEIFS(nNOTA,nNIA,G544,nCUENTA,1,nASIG,"Orquesta/Banda/Conjunto"),"")))</f>
        <v/>
      </c>
      <c r="J544" t="str">
        <f>IF(G544="","",IF(G544="[FÓRMULA MANUAL]","",IFERROR(AVERAGEIFS(nNOTA,nNIA,G544,nCUENTA,1,nASIG,"Conjunto"),"")))</f>
        <v/>
      </c>
      <c r="K544" t="str">
        <f>IF(G544="","",IF(G544="[FÓRMULA MANUAL]","",IFERROR(SUMPRODUCT((nNIA=G544)*(nCUENTA=1)*(COUNTIF(CONFIG_ASIGNATURAS!$B$7:$B$27,nASIG)&gt;0)*(nNOTA))/SUMPRODUCT((nNIA=G544)*(nCUENTA=1)*(COUNTIF(CONFIG_ASIGNATURAS!$B$7:$B$27,nASIG)&gt;0)*1),"")))</f>
        <v/>
      </c>
      <c r="N544" t="str">
        <f>IF(M544="","",IF(M544="[FÓRMULA MANUAL]","",IFERROR(AVERAGEIFS(nNOTA,nNIA,M544,nCUENTA,1,nASIG,"Armonía"),"")))</f>
        <v/>
      </c>
      <c r="O544" t="str">
        <f>IF(M544="","",IF(M544="[FÓRMULA MANUAL]","",IFERROR(AVERAGEIFS(nNOTA,nNIA,M544,nCUENTA,1,nASIG,"Orquesta/Banda/Conjunto"),"")))</f>
        <v/>
      </c>
      <c r="P544" t="str">
        <f>IF(M544="","",IF(M544="[FÓRMULA MANUAL]","",IFERROR(AVERAGEIFS(nNOTA,nNIA,M544,nCUENTA,1,nASIG,"Música de Cámara"),"")))</f>
        <v/>
      </c>
      <c r="Q544" t="str">
        <f>IF(M544="","",IF(M544="[FÓRMULA MANUAL]","",IFERROR(SUMPRODUCT((nNIA=M544)*(nCUENTA=1)*(COUNTIF(CONFIG_ASIGNATURAS!$B$7:$B$27,nASIG)&gt;0)*(nNOTA))/SUMPRODUCT((nNIA=M544)*(nCUENTA=1)*(COUNTIF(CONFIG_ASIGNATURAS!$B$7:$B$27,nASIG)&gt;0)*1),"")))</f>
        <v/>
      </c>
      <c r="T544" t="str">
        <f>IF(S544="","",IF(S544="[FÓRMULA MANUAL]","",IFERROR(AVERAGEIFS(nNOTA,nNIA,S544,nCUENTA,1,nASIG,"Armonía"),"")))</f>
        <v/>
      </c>
      <c r="U544" t="str">
        <f>IF(S544="","",IF(S544="[FÓRMULA MANUAL]","",IFERROR(AVERAGEIFS(nNOTA,nNIA,S544,nCUENTA,1,nASIG,"Orquesta/Banda/Conjunto"),"")))</f>
        <v/>
      </c>
      <c r="V544" t="str">
        <f>IF(S544="","",IF(S544="[FÓRMULA MANUAL]","",IFERROR(AVERAGEIFS(nNOTA,nNIA,S544,nCUENTA,1,nASIG,"Música de Cámara"),"")))</f>
        <v/>
      </c>
      <c r="W544" t="str">
        <f>IF(S544="","",IF(S544="[FÓRMULA MANUAL]","",IFERROR(SUMPRODUCT((nNIA=S544)*(nCUENTA=1)*(COUNTIF(CONFIG_ASIGNATURAS!$B$7:$B$27,nASIG)&gt;0)*(nNOTA))/SUMPRODUCT((nNIA=S544)*(nCUENTA=1)*(COUNTIF(CONFIG_ASIGNATURAS!$B$7:$B$27,nASIG)&gt;0)*1),"")))</f>
        <v/>
      </c>
      <c r="Z544" t="str">
        <f>IF(Y544="","",IF(Y544="[FÓRMULA MANUAL]","",IFERROR(AVERAGEIFS(nNOTA,nNIA,Y544,nCUENTA,1,nASIG,"Análisis"),"")))</f>
        <v/>
      </c>
      <c r="AA544" t="str">
        <f>IF(Y544="","",IF(Y544="[FÓRMULA MANUAL]","",IFERROR(AVERAGEIFS(nNOTA,nNIA,Y544,nCUENTA,1,nASIG,"Orquesta/Banda/Conjunto"),"")))</f>
        <v/>
      </c>
      <c r="AB544" t="str">
        <f>IF(Y544="","",IF(Y544="[FÓRMULA MANUAL]","",IFERROR(AVERAGEIFS(nNOTA,nNIA,Y544,nCUENTA,1,nASIG,"Música de Cámara"),"")))</f>
        <v/>
      </c>
      <c r="AC544" t="str">
        <f>IF(Y544="","",IF(Y544="[FÓRMULA MANUAL]","",IFERROR(SUMPRODUCT((nNIA=Y544)*(nCUENTA=1)*(COUNTIF(CONFIG_ASIGNATURAS!$B$7:$B$27,nASIG)&gt;0)*(nNOTA))/SUMPRODUCT((nNIA=Y544)*(nCUENTA=1)*(COUNTIF(CONFIG_ASIGNATURAS!$B$7:$B$27,nASIG)&gt;0)*1),"")))</f>
        <v/>
      </c>
      <c r="AF544" t="str">
        <f>IF(AE544="","",IF(AE544="[FÓRMULA MANUAL]","",IFERROR(AVERAGEIFS(nNOTA,nNIA,AE544,nCUENTA,1,nASIG,"Análisis"),"")))</f>
        <v/>
      </c>
      <c r="AG544" t="str">
        <f>IF(AE544="","",IF(AE544="[FÓRMULA MANUAL]","",IFERROR(AVERAGEIFS(nNOTA,nNIA,AE544,nCUENTA,1,nASIG,"Orquesta/Banda/Conjunto"),"")))</f>
        <v/>
      </c>
      <c r="AH544" t="str">
        <f>IF(AE544="","",IF(AE544="[FÓRMULA MANUAL]","",IFERROR(AVERAGEIFS(nNOTA,nNIA,AE544,nCUENTA,1,nASIG,"Música de Cámara"),"")))</f>
        <v/>
      </c>
      <c r="AI544" t="str">
        <f>IF(AE544="","",IF(AE544="[FÓRMULA MANUAL]","",IFERROR(SUMPRODUCT((nNIA=AE544)*(nCUENTA=1)*(COUNTIF(CONFIG_ASIGNATURAS!$B$7:$B$27,nASIG)&gt;0)*(nNOTA))/SUMPRODUCT((nNIA=AE544)*(nCUENTA=1)*(COUNTIF(CONFIG_ASIGNATURAS!$B$7:$B$27,nASIG)&gt;0)*1),"")))</f>
        <v/>
      </c>
    </row>
    <row r="545" spans="2:35" x14ac:dyDescent="0.2">
      <c r="B545" t="str">
        <f>IF(A545="","",IF(A545="[FÓRMULA MANUAL]","",IFERROR(AVERAGEIFS(nNOTA,nNIA,A545,nCUENTA,1,nASIG,"Lenguaje Musical"),"")))</f>
        <v/>
      </c>
      <c r="C545" t="str">
        <f>IF(A545="","",IF(A545="[FÓRMULA MANUAL]","",IFERROR(AVERAGEIFS(nNOTA,nNIA,A545,nCUENTA,1,nASIG,"Orquesta/Banda/Conjunto"),"")))</f>
        <v/>
      </c>
      <c r="D545" t="str">
        <f>IF(A545="","",IF(A545="[FÓRMULA MANUAL]","",IFERROR(AVERAGEIFS(nNOTA,nNIA,A545,nCUENTA,1,nASIG,"Conjunto"),"")))</f>
        <v/>
      </c>
      <c r="E545" t="str">
        <f>IF(A545="","",IF(A545="[FÓRMULA MANUAL]","",IFERROR(SUMPRODUCT((nNIA=A545)*(nCUENTA=1)*(COUNTIF(CONFIG_ASIGNATURAS!$B$7:$B$27,nASIG)&gt;0)*(nNOTA))/SUMPRODUCT((nNIA=A545)*(nCUENTA=1)*(COUNTIF(CONFIG_ASIGNATURAS!$B$7:$B$27,nASIG)&gt;0)*1),"")))</f>
        <v/>
      </c>
      <c r="H545" t="str">
        <f>IF(G545="","",IF(G545="[FÓRMULA MANUAL]","",IFERROR(AVERAGEIFS(nNOTA,nNIA,G545,nCUENTA,1,nASIG,"Lenguaje Musical"),"")))</f>
        <v/>
      </c>
      <c r="I545" t="str">
        <f>IF(G545="","",IF(G545="[FÓRMULA MANUAL]","",IFERROR(AVERAGEIFS(nNOTA,nNIA,G545,nCUENTA,1,nASIG,"Orquesta/Banda/Conjunto"),"")))</f>
        <v/>
      </c>
      <c r="J545" t="str">
        <f>IF(G545="","",IF(G545="[FÓRMULA MANUAL]","",IFERROR(AVERAGEIFS(nNOTA,nNIA,G545,nCUENTA,1,nASIG,"Conjunto"),"")))</f>
        <v/>
      </c>
      <c r="K545" t="str">
        <f>IF(G545="","",IF(G545="[FÓRMULA MANUAL]","",IFERROR(SUMPRODUCT((nNIA=G545)*(nCUENTA=1)*(COUNTIF(CONFIG_ASIGNATURAS!$B$7:$B$27,nASIG)&gt;0)*(nNOTA))/SUMPRODUCT((nNIA=G545)*(nCUENTA=1)*(COUNTIF(CONFIG_ASIGNATURAS!$B$7:$B$27,nASIG)&gt;0)*1),"")))</f>
        <v/>
      </c>
      <c r="N545" t="str">
        <f>IF(M545="","",IF(M545="[FÓRMULA MANUAL]","",IFERROR(AVERAGEIFS(nNOTA,nNIA,M545,nCUENTA,1,nASIG,"Armonía"),"")))</f>
        <v/>
      </c>
      <c r="O545" t="str">
        <f>IF(M545="","",IF(M545="[FÓRMULA MANUAL]","",IFERROR(AVERAGEIFS(nNOTA,nNIA,M545,nCUENTA,1,nASIG,"Orquesta/Banda/Conjunto"),"")))</f>
        <v/>
      </c>
      <c r="P545" t="str">
        <f>IF(M545="","",IF(M545="[FÓRMULA MANUAL]","",IFERROR(AVERAGEIFS(nNOTA,nNIA,M545,nCUENTA,1,nASIG,"Música de Cámara"),"")))</f>
        <v/>
      </c>
      <c r="Q545" t="str">
        <f>IF(M545="","",IF(M545="[FÓRMULA MANUAL]","",IFERROR(SUMPRODUCT((nNIA=M545)*(nCUENTA=1)*(COUNTIF(CONFIG_ASIGNATURAS!$B$7:$B$27,nASIG)&gt;0)*(nNOTA))/SUMPRODUCT((nNIA=M545)*(nCUENTA=1)*(COUNTIF(CONFIG_ASIGNATURAS!$B$7:$B$27,nASIG)&gt;0)*1),"")))</f>
        <v/>
      </c>
      <c r="T545" t="str">
        <f>IF(S545="","",IF(S545="[FÓRMULA MANUAL]","",IFERROR(AVERAGEIFS(nNOTA,nNIA,S545,nCUENTA,1,nASIG,"Armonía"),"")))</f>
        <v/>
      </c>
      <c r="U545" t="str">
        <f>IF(S545="","",IF(S545="[FÓRMULA MANUAL]","",IFERROR(AVERAGEIFS(nNOTA,nNIA,S545,nCUENTA,1,nASIG,"Orquesta/Banda/Conjunto"),"")))</f>
        <v/>
      </c>
      <c r="V545" t="str">
        <f>IF(S545="","",IF(S545="[FÓRMULA MANUAL]","",IFERROR(AVERAGEIFS(nNOTA,nNIA,S545,nCUENTA,1,nASIG,"Música de Cámara"),"")))</f>
        <v/>
      </c>
      <c r="W545" t="str">
        <f>IF(S545="","",IF(S545="[FÓRMULA MANUAL]","",IFERROR(SUMPRODUCT((nNIA=S545)*(nCUENTA=1)*(COUNTIF(CONFIG_ASIGNATURAS!$B$7:$B$27,nASIG)&gt;0)*(nNOTA))/SUMPRODUCT((nNIA=S545)*(nCUENTA=1)*(COUNTIF(CONFIG_ASIGNATURAS!$B$7:$B$27,nASIG)&gt;0)*1),"")))</f>
        <v/>
      </c>
      <c r="Z545" t="str">
        <f>IF(Y545="","",IF(Y545="[FÓRMULA MANUAL]","",IFERROR(AVERAGEIFS(nNOTA,nNIA,Y545,nCUENTA,1,nASIG,"Análisis"),"")))</f>
        <v/>
      </c>
      <c r="AA545" t="str">
        <f>IF(Y545="","",IF(Y545="[FÓRMULA MANUAL]","",IFERROR(AVERAGEIFS(nNOTA,nNIA,Y545,nCUENTA,1,nASIG,"Orquesta/Banda/Conjunto"),"")))</f>
        <v/>
      </c>
      <c r="AB545" t="str">
        <f>IF(Y545="","",IF(Y545="[FÓRMULA MANUAL]","",IFERROR(AVERAGEIFS(nNOTA,nNIA,Y545,nCUENTA,1,nASIG,"Música de Cámara"),"")))</f>
        <v/>
      </c>
      <c r="AC545" t="str">
        <f>IF(Y545="","",IF(Y545="[FÓRMULA MANUAL]","",IFERROR(SUMPRODUCT((nNIA=Y545)*(nCUENTA=1)*(COUNTIF(CONFIG_ASIGNATURAS!$B$7:$B$27,nASIG)&gt;0)*(nNOTA))/SUMPRODUCT((nNIA=Y545)*(nCUENTA=1)*(COUNTIF(CONFIG_ASIGNATURAS!$B$7:$B$27,nASIG)&gt;0)*1),"")))</f>
        <v/>
      </c>
      <c r="AF545" t="str">
        <f>IF(AE545="","",IF(AE545="[FÓRMULA MANUAL]","",IFERROR(AVERAGEIFS(nNOTA,nNIA,AE545,nCUENTA,1,nASIG,"Análisis"),"")))</f>
        <v/>
      </c>
      <c r="AG545" t="str">
        <f>IF(AE545="","",IF(AE545="[FÓRMULA MANUAL]","",IFERROR(AVERAGEIFS(nNOTA,nNIA,AE545,nCUENTA,1,nASIG,"Orquesta/Banda/Conjunto"),"")))</f>
        <v/>
      </c>
      <c r="AH545" t="str">
        <f>IF(AE545="","",IF(AE545="[FÓRMULA MANUAL]","",IFERROR(AVERAGEIFS(nNOTA,nNIA,AE545,nCUENTA,1,nASIG,"Música de Cámara"),"")))</f>
        <v/>
      </c>
      <c r="AI545" t="str">
        <f>IF(AE545="","",IF(AE545="[FÓRMULA MANUAL]","",IFERROR(SUMPRODUCT((nNIA=AE545)*(nCUENTA=1)*(COUNTIF(CONFIG_ASIGNATURAS!$B$7:$B$27,nASIG)&gt;0)*(nNOTA))/SUMPRODUCT((nNIA=AE545)*(nCUENTA=1)*(COUNTIF(CONFIG_ASIGNATURAS!$B$7:$B$27,nASIG)&gt;0)*1),"")))</f>
        <v/>
      </c>
    </row>
    <row r="546" spans="2:35" x14ac:dyDescent="0.2">
      <c r="B546" t="str">
        <f>IF(A546="","",IF(A546="[FÓRMULA MANUAL]","",IFERROR(AVERAGEIFS(nNOTA,nNIA,A546,nCUENTA,1,nASIG,"Lenguaje Musical"),"")))</f>
        <v/>
      </c>
      <c r="C546" t="str">
        <f>IF(A546="","",IF(A546="[FÓRMULA MANUAL]","",IFERROR(AVERAGEIFS(nNOTA,nNIA,A546,nCUENTA,1,nASIG,"Orquesta/Banda/Conjunto"),"")))</f>
        <v/>
      </c>
      <c r="D546" t="str">
        <f>IF(A546="","",IF(A546="[FÓRMULA MANUAL]","",IFERROR(AVERAGEIFS(nNOTA,nNIA,A546,nCUENTA,1,nASIG,"Conjunto"),"")))</f>
        <v/>
      </c>
      <c r="E546" t="str">
        <f>IF(A546="","",IF(A546="[FÓRMULA MANUAL]","",IFERROR(SUMPRODUCT((nNIA=A546)*(nCUENTA=1)*(COUNTIF(CONFIG_ASIGNATURAS!$B$7:$B$27,nASIG)&gt;0)*(nNOTA))/SUMPRODUCT((nNIA=A546)*(nCUENTA=1)*(COUNTIF(CONFIG_ASIGNATURAS!$B$7:$B$27,nASIG)&gt;0)*1),"")))</f>
        <v/>
      </c>
      <c r="H546" t="str">
        <f>IF(G546="","",IF(G546="[FÓRMULA MANUAL]","",IFERROR(AVERAGEIFS(nNOTA,nNIA,G546,nCUENTA,1,nASIG,"Lenguaje Musical"),"")))</f>
        <v/>
      </c>
      <c r="I546" t="str">
        <f>IF(G546="","",IF(G546="[FÓRMULA MANUAL]","",IFERROR(AVERAGEIFS(nNOTA,nNIA,G546,nCUENTA,1,nASIG,"Orquesta/Banda/Conjunto"),"")))</f>
        <v/>
      </c>
      <c r="J546" t="str">
        <f>IF(G546="","",IF(G546="[FÓRMULA MANUAL]","",IFERROR(AVERAGEIFS(nNOTA,nNIA,G546,nCUENTA,1,nASIG,"Conjunto"),"")))</f>
        <v/>
      </c>
      <c r="K546" t="str">
        <f>IF(G546="","",IF(G546="[FÓRMULA MANUAL]","",IFERROR(SUMPRODUCT((nNIA=G546)*(nCUENTA=1)*(COUNTIF(CONFIG_ASIGNATURAS!$B$7:$B$27,nASIG)&gt;0)*(nNOTA))/SUMPRODUCT((nNIA=G546)*(nCUENTA=1)*(COUNTIF(CONFIG_ASIGNATURAS!$B$7:$B$27,nASIG)&gt;0)*1),"")))</f>
        <v/>
      </c>
      <c r="N546" t="str">
        <f>IF(M546="","",IF(M546="[FÓRMULA MANUAL]","",IFERROR(AVERAGEIFS(nNOTA,nNIA,M546,nCUENTA,1,nASIG,"Armonía"),"")))</f>
        <v/>
      </c>
      <c r="O546" t="str">
        <f>IF(M546="","",IF(M546="[FÓRMULA MANUAL]","",IFERROR(AVERAGEIFS(nNOTA,nNIA,M546,nCUENTA,1,nASIG,"Orquesta/Banda/Conjunto"),"")))</f>
        <v/>
      </c>
      <c r="P546" t="str">
        <f>IF(M546="","",IF(M546="[FÓRMULA MANUAL]","",IFERROR(AVERAGEIFS(nNOTA,nNIA,M546,nCUENTA,1,nASIG,"Música de Cámara"),"")))</f>
        <v/>
      </c>
      <c r="Q546" t="str">
        <f>IF(M546="","",IF(M546="[FÓRMULA MANUAL]","",IFERROR(SUMPRODUCT((nNIA=M546)*(nCUENTA=1)*(COUNTIF(CONFIG_ASIGNATURAS!$B$7:$B$27,nASIG)&gt;0)*(nNOTA))/SUMPRODUCT((nNIA=M546)*(nCUENTA=1)*(COUNTIF(CONFIG_ASIGNATURAS!$B$7:$B$27,nASIG)&gt;0)*1),"")))</f>
        <v/>
      </c>
      <c r="T546" t="str">
        <f>IF(S546="","",IF(S546="[FÓRMULA MANUAL]","",IFERROR(AVERAGEIFS(nNOTA,nNIA,S546,nCUENTA,1,nASIG,"Armonía"),"")))</f>
        <v/>
      </c>
      <c r="U546" t="str">
        <f>IF(S546="","",IF(S546="[FÓRMULA MANUAL]","",IFERROR(AVERAGEIFS(nNOTA,nNIA,S546,nCUENTA,1,nASIG,"Orquesta/Banda/Conjunto"),"")))</f>
        <v/>
      </c>
      <c r="V546" t="str">
        <f>IF(S546="","",IF(S546="[FÓRMULA MANUAL]","",IFERROR(AVERAGEIFS(nNOTA,nNIA,S546,nCUENTA,1,nASIG,"Música de Cámara"),"")))</f>
        <v/>
      </c>
      <c r="W546" t="str">
        <f>IF(S546="","",IF(S546="[FÓRMULA MANUAL]","",IFERROR(SUMPRODUCT((nNIA=S546)*(nCUENTA=1)*(COUNTIF(CONFIG_ASIGNATURAS!$B$7:$B$27,nASIG)&gt;0)*(nNOTA))/SUMPRODUCT((nNIA=S546)*(nCUENTA=1)*(COUNTIF(CONFIG_ASIGNATURAS!$B$7:$B$27,nASIG)&gt;0)*1),"")))</f>
        <v/>
      </c>
      <c r="Z546" t="str">
        <f>IF(Y546="","",IF(Y546="[FÓRMULA MANUAL]","",IFERROR(AVERAGEIFS(nNOTA,nNIA,Y546,nCUENTA,1,nASIG,"Análisis"),"")))</f>
        <v/>
      </c>
      <c r="AA546" t="str">
        <f>IF(Y546="","",IF(Y546="[FÓRMULA MANUAL]","",IFERROR(AVERAGEIFS(nNOTA,nNIA,Y546,nCUENTA,1,nASIG,"Orquesta/Banda/Conjunto"),"")))</f>
        <v/>
      </c>
      <c r="AB546" t="str">
        <f>IF(Y546="","",IF(Y546="[FÓRMULA MANUAL]","",IFERROR(AVERAGEIFS(nNOTA,nNIA,Y546,nCUENTA,1,nASIG,"Música de Cámara"),"")))</f>
        <v/>
      </c>
      <c r="AC546" t="str">
        <f>IF(Y546="","",IF(Y546="[FÓRMULA MANUAL]","",IFERROR(SUMPRODUCT((nNIA=Y546)*(nCUENTA=1)*(COUNTIF(CONFIG_ASIGNATURAS!$B$7:$B$27,nASIG)&gt;0)*(nNOTA))/SUMPRODUCT((nNIA=Y546)*(nCUENTA=1)*(COUNTIF(CONFIG_ASIGNATURAS!$B$7:$B$27,nASIG)&gt;0)*1),"")))</f>
        <v/>
      </c>
      <c r="AF546" t="str">
        <f>IF(AE546="","",IF(AE546="[FÓRMULA MANUAL]","",IFERROR(AVERAGEIFS(nNOTA,nNIA,AE546,nCUENTA,1,nASIG,"Análisis"),"")))</f>
        <v/>
      </c>
      <c r="AG546" t="str">
        <f>IF(AE546="","",IF(AE546="[FÓRMULA MANUAL]","",IFERROR(AVERAGEIFS(nNOTA,nNIA,AE546,nCUENTA,1,nASIG,"Orquesta/Banda/Conjunto"),"")))</f>
        <v/>
      </c>
      <c r="AH546" t="str">
        <f>IF(AE546="","",IF(AE546="[FÓRMULA MANUAL]","",IFERROR(AVERAGEIFS(nNOTA,nNIA,AE546,nCUENTA,1,nASIG,"Música de Cámara"),"")))</f>
        <v/>
      </c>
      <c r="AI546" t="str">
        <f>IF(AE546="","",IF(AE546="[FÓRMULA MANUAL]","",IFERROR(SUMPRODUCT((nNIA=AE546)*(nCUENTA=1)*(COUNTIF(CONFIG_ASIGNATURAS!$B$7:$B$27,nASIG)&gt;0)*(nNOTA))/SUMPRODUCT((nNIA=AE546)*(nCUENTA=1)*(COUNTIF(CONFIG_ASIGNATURAS!$B$7:$B$27,nASIG)&gt;0)*1),"")))</f>
        <v/>
      </c>
    </row>
    <row r="547" spans="2:35" x14ac:dyDescent="0.2">
      <c r="B547" t="str">
        <f>IF(A547="","",IF(A547="[FÓRMULA MANUAL]","",IFERROR(AVERAGEIFS(nNOTA,nNIA,A547,nCUENTA,1,nASIG,"Lenguaje Musical"),"")))</f>
        <v/>
      </c>
      <c r="C547" t="str">
        <f>IF(A547="","",IF(A547="[FÓRMULA MANUAL]","",IFERROR(AVERAGEIFS(nNOTA,nNIA,A547,nCUENTA,1,nASIG,"Orquesta/Banda/Conjunto"),"")))</f>
        <v/>
      </c>
      <c r="D547" t="str">
        <f>IF(A547="","",IF(A547="[FÓRMULA MANUAL]","",IFERROR(AVERAGEIFS(nNOTA,nNIA,A547,nCUENTA,1,nASIG,"Conjunto"),"")))</f>
        <v/>
      </c>
      <c r="E547" t="str">
        <f>IF(A547="","",IF(A547="[FÓRMULA MANUAL]","",IFERROR(SUMPRODUCT((nNIA=A547)*(nCUENTA=1)*(COUNTIF(CONFIG_ASIGNATURAS!$B$7:$B$27,nASIG)&gt;0)*(nNOTA))/SUMPRODUCT((nNIA=A547)*(nCUENTA=1)*(COUNTIF(CONFIG_ASIGNATURAS!$B$7:$B$27,nASIG)&gt;0)*1),"")))</f>
        <v/>
      </c>
      <c r="H547" t="str">
        <f>IF(G547="","",IF(G547="[FÓRMULA MANUAL]","",IFERROR(AVERAGEIFS(nNOTA,nNIA,G547,nCUENTA,1,nASIG,"Lenguaje Musical"),"")))</f>
        <v/>
      </c>
      <c r="I547" t="str">
        <f>IF(G547="","",IF(G547="[FÓRMULA MANUAL]","",IFERROR(AVERAGEIFS(nNOTA,nNIA,G547,nCUENTA,1,nASIG,"Orquesta/Banda/Conjunto"),"")))</f>
        <v/>
      </c>
      <c r="J547" t="str">
        <f>IF(G547="","",IF(G547="[FÓRMULA MANUAL]","",IFERROR(AVERAGEIFS(nNOTA,nNIA,G547,nCUENTA,1,nASIG,"Conjunto"),"")))</f>
        <v/>
      </c>
      <c r="K547" t="str">
        <f>IF(G547="","",IF(G547="[FÓRMULA MANUAL]","",IFERROR(SUMPRODUCT((nNIA=G547)*(nCUENTA=1)*(COUNTIF(CONFIG_ASIGNATURAS!$B$7:$B$27,nASIG)&gt;0)*(nNOTA))/SUMPRODUCT((nNIA=G547)*(nCUENTA=1)*(COUNTIF(CONFIG_ASIGNATURAS!$B$7:$B$27,nASIG)&gt;0)*1),"")))</f>
        <v/>
      </c>
      <c r="N547" t="str">
        <f>IF(M547="","",IF(M547="[FÓRMULA MANUAL]","",IFERROR(AVERAGEIFS(nNOTA,nNIA,M547,nCUENTA,1,nASIG,"Armonía"),"")))</f>
        <v/>
      </c>
      <c r="O547" t="str">
        <f>IF(M547="","",IF(M547="[FÓRMULA MANUAL]","",IFERROR(AVERAGEIFS(nNOTA,nNIA,M547,nCUENTA,1,nASIG,"Orquesta/Banda/Conjunto"),"")))</f>
        <v/>
      </c>
      <c r="P547" t="str">
        <f>IF(M547="","",IF(M547="[FÓRMULA MANUAL]","",IFERROR(AVERAGEIFS(nNOTA,nNIA,M547,nCUENTA,1,nASIG,"Música de Cámara"),"")))</f>
        <v/>
      </c>
      <c r="Q547" t="str">
        <f>IF(M547="","",IF(M547="[FÓRMULA MANUAL]","",IFERROR(SUMPRODUCT((nNIA=M547)*(nCUENTA=1)*(COUNTIF(CONFIG_ASIGNATURAS!$B$7:$B$27,nASIG)&gt;0)*(nNOTA))/SUMPRODUCT((nNIA=M547)*(nCUENTA=1)*(COUNTIF(CONFIG_ASIGNATURAS!$B$7:$B$27,nASIG)&gt;0)*1),"")))</f>
        <v/>
      </c>
      <c r="T547" t="str">
        <f>IF(S547="","",IF(S547="[FÓRMULA MANUAL]","",IFERROR(AVERAGEIFS(nNOTA,nNIA,S547,nCUENTA,1,nASIG,"Armonía"),"")))</f>
        <v/>
      </c>
      <c r="U547" t="str">
        <f>IF(S547="","",IF(S547="[FÓRMULA MANUAL]","",IFERROR(AVERAGEIFS(nNOTA,nNIA,S547,nCUENTA,1,nASIG,"Orquesta/Banda/Conjunto"),"")))</f>
        <v/>
      </c>
      <c r="V547" t="str">
        <f>IF(S547="","",IF(S547="[FÓRMULA MANUAL]","",IFERROR(AVERAGEIFS(nNOTA,nNIA,S547,nCUENTA,1,nASIG,"Música de Cámara"),"")))</f>
        <v/>
      </c>
      <c r="W547" t="str">
        <f>IF(S547="","",IF(S547="[FÓRMULA MANUAL]","",IFERROR(SUMPRODUCT((nNIA=S547)*(nCUENTA=1)*(COUNTIF(CONFIG_ASIGNATURAS!$B$7:$B$27,nASIG)&gt;0)*(nNOTA))/SUMPRODUCT((nNIA=S547)*(nCUENTA=1)*(COUNTIF(CONFIG_ASIGNATURAS!$B$7:$B$27,nASIG)&gt;0)*1),"")))</f>
        <v/>
      </c>
      <c r="Z547" t="str">
        <f>IF(Y547="","",IF(Y547="[FÓRMULA MANUAL]","",IFERROR(AVERAGEIFS(nNOTA,nNIA,Y547,nCUENTA,1,nASIG,"Análisis"),"")))</f>
        <v/>
      </c>
      <c r="AA547" t="str">
        <f>IF(Y547="","",IF(Y547="[FÓRMULA MANUAL]","",IFERROR(AVERAGEIFS(nNOTA,nNIA,Y547,nCUENTA,1,nASIG,"Orquesta/Banda/Conjunto"),"")))</f>
        <v/>
      </c>
      <c r="AB547" t="str">
        <f>IF(Y547="","",IF(Y547="[FÓRMULA MANUAL]","",IFERROR(AVERAGEIFS(nNOTA,nNIA,Y547,nCUENTA,1,nASIG,"Música de Cámara"),"")))</f>
        <v/>
      </c>
      <c r="AC547" t="str">
        <f>IF(Y547="","",IF(Y547="[FÓRMULA MANUAL]","",IFERROR(SUMPRODUCT((nNIA=Y547)*(nCUENTA=1)*(COUNTIF(CONFIG_ASIGNATURAS!$B$7:$B$27,nASIG)&gt;0)*(nNOTA))/SUMPRODUCT((nNIA=Y547)*(nCUENTA=1)*(COUNTIF(CONFIG_ASIGNATURAS!$B$7:$B$27,nASIG)&gt;0)*1),"")))</f>
        <v/>
      </c>
      <c r="AF547" t="str">
        <f>IF(AE547="","",IF(AE547="[FÓRMULA MANUAL]","",IFERROR(AVERAGEIFS(nNOTA,nNIA,AE547,nCUENTA,1,nASIG,"Análisis"),"")))</f>
        <v/>
      </c>
      <c r="AG547" t="str">
        <f>IF(AE547="","",IF(AE547="[FÓRMULA MANUAL]","",IFERROR(AVERAGEIFS(nNOTA,nNIA,AE547,nCUENTA,1,nASIG,"Orquesta/Banda/Conjunto"),"")))</f>
        <v/>
      </c>
      <c r="AH547" t="str">
        <f>IF(AE547="","",IF(AE547="[FÓRMULA MANUAL]","",IFERROR(AVERAGEIFS(nNOTA,nNIA,AE547,nCUENTA,1,nASIG,"Música de Cámara"),"")))</f>
        <v/>
      </c>
      <c r="AI547" t="str">
        <f>IF(AE547="","",IF(AE547="[FÓRMULA MANUAL]","",IFERROR(SUMPRODUCT((nNIA=AE547)*(nCUENTA=1)*(COUNTIF(CONFIG_ASIGNATURAS!$B$7:$B$27,nASIG)&gt;0)*(nNOTA))/SUMPRODUCT((nNIA=AE547)*(nCUENTA=1)*(COUNTIF(CONFIG_ASIGNATURAS!$B$7:$B$27,nASIG)&gt;0)*1),"")))</f>
        <v/>
      </c>
    </row>
    <row r="548" spans="2:35" x14ac:dyDescent="0.2">
      <c r="B548" t="str">
        <f>IF(A548="","",IF(A548="[FÓRMULA MANUAL]","",IFERROR(AVERAGEIFS(nNOTA,nNIA,A548,nCUENTA,1,nASIG,"Lenguaje Musical"),"")))</f>
        <v/>
      </c>
      <c r="C548" t="str">
        <f>IF(A548="","",IF(A548="[FÓRMULA MANUAL]","",IFERROR(AVERAGEIFS(nNOTA,nNIA,A548,nCUENTA,1,nASIG,"Orquesta/Banda/Conjunto"),"")))</f>
        <v/>
      </c>
      <c r="D548" t="str">
        <f>IF(A548="","",IF(A548="[FÓRMULA MANUAL]","",IFERROR(AVERAGEIFS(nNOTA,nNIA,A548,nCUENTA,1,nASIG,"Conjunto"),"")))</f>
        <v/>
      </c>
      <c r="E548" t="str">
        <f>IF(A548="","",IF(A548="[FÓRMULA MANUAL]","",IFERROR(SUMPRODUCT((nNIA=A548)*(nCUENTA=1)*(COUNTIF(CONFIG_ASIGNATURAS!$B$7:$B$27,nASIG)&gt;0)*(nNOTA))/SUMPRODUCT((nNIA=A548)*(nCUENTA=1)*(COUNTIF(CONFIG_ASIGNATURAS!$B$7:$B$27,nASIG)&gt;0)*1),"")))</f>
        <v/>
      </c>
      <c r="H548" t="str">
        <f>IF(G548="","",IF(G548="[FÓRMULA MANUAL]","",IFERROR(AVERAGEIFS(nNOTA,nNIA,G548,nCUENTA,1,nASIG,"Lenguaje Musical"),"")))</f>
        <v/>
      </c>
      <c r="I548" t="str">
        <f>IF(G548="","",IF(G548="[FÓRMULA MANUAL]","",IFERROR(AVERAGEIFS(nNOTA,nNIA,G548,nCUENTA,1,nASIG,"Orquesta/Banda/Conjunto"),"")))</f>
        <v/>
      </c>
      <c r="J548" t="str">
        <f>IF(G548="","",IF(G548="[FÓRMULA MANUAL]","",IFERROR(AVERAGEIFS(nNOTA,nNIA,G548,nCUENTA,1,nASIG,"Conjunto"),"")))</f>
        <v/>
      </c>
      <c r="K548" t="str">
        <f>IF(G548="","",IF(G548="[FÓRMULA MANUAL]","",IFERROR(SUMPRODUCT((nNIA=G548)*(nCUENTA=1)*(COUNTIF(CONFIG_ASIGNATURAS!$B$7:$B$27,nASIG)&gt;0)*(nNOTA))/SUMPRODUCT((nNIA=G548)*(nCUENTA=1)*(COUNTIF(CONFIG_ASIGNATURAS!$B$7:$B$27,nASIG)&gt;0)*1),"")))</f>
        <v/>
      </c>
      <c r="N548" t="str">
        <f>IF(M548="","",IF(M548="[FÓRMULA MANUAL]","",IFERROR(AVERAGEIFS(nNOTA,nNIA,M548,nCUENTA,1,nASIG,"Armonía"),"")))</f>
        <v/>
      </c>
      <c r="O548" t="str">
        <f>IF(M548="","",IF(M548="[FÓRMULA MANUAL]","",IFERROR(AVERAGEIFS(nNOTA,nNIA,M548,nCUENTA,1,nASIG,"Orquesta/Banda/Conjunto"),"")))</f>
        <v/>
      </c>
      <c r="P548" t="str">
        <f>IF(M548="","",IF(M548="[FÓRMULA MANUAL]","",IFERROR(AVERAGEIFS(nNOTA,nNIA,M548,nCUENTA,1,nASIG,"Música de Cámara"),"")))</f>
        <v/>
      </c>
      <c r="Q548" t="str">
        <f>IF(M548="","",IF(M548="[FÓRMULA MANUAL]","",IFERROR(SUMPRODUCT((nNIA=M548)*(nCUENTA=1)*(COUNTIF(CONFIG_ASIGNATURAS!$B$7:$B$27,nASIG)&gt;0)*(nNOTA))/SUMPRODUCT((nNIA=M548)*(nCUENTA=1)*(COUNTIF(CONFIG_ASIGNATURAS!$B$7:$B$27,nASIG)&gt;0)*1),"")))</f>
        <v/>
      </c>
      <c r="T548" t="str">
        <f>IF(S548="","",IF(S548="[FÓRMULA MANUAL]","",IFERROR(AVERAGEIFS(nNOTA,nNIA,S548,nCUENTA,1,nASIG,"Armonía"),"")))</f>
        <v/>
      </c>
      <c r="U548" t="str">
        <f>IF(S548="","",IF(S548="[FÓRMULA MANUAL]","",IFERROR(AVERAGEIFS(nNOTA,nNIA,S548,nCUENTA,1,nASIG,"Orquesta/Banda/Conjunto"),"")))</f>
        <v/>
      </c>
      <c r="V548" t="str">
        <f>IF(S548="","",IF(S548="[FÓRMULA MANUAL]","",IFERROR(AVERAGEIFS(nNOTA,nNIA,S548,nCUENTA,1,nASIG,"Música de Cámara"),"")))</f>
        <v/>
      </c>
      <c r="W548" t="str">
        <f>IF(S548="","",IF(S548="[FÓRMULA MANUAL]","",IFERROR(SUMPRODUCT((nNIA=S548)*(nCUENTA=1)*(COUNTIF(CONFIG_ASIGNATURAS!$B$7:$B$27,nASIG)&gt;0)*(nNOTA))/SUMPRODUCT((nNIA=S548)*(nCUENTA=1)*(COUNTIF(CONFIG_ASIGNATURAS!$B$7:$B$27,nASIG)&gt;0)*1),"")))</f>
        <v/>
      </c>
      <c r="Z548" t="str">
        <f>IF(Y548="","",IF(Y548="[FÓRMULA MANUAL]","",IFERROR(AVERAGEIFS(nNOTA,nNIA,Y548,nCUENTA,1,nASIG,"Análisis"),"")))</f>
        <v/>
      </c>
      <c r="AA548" t="str">
        <f>IF(Y548="","",IF(Y548="[FÓRMULA MANUAL]","",IFERROR(AVERAGEIFS(nNOTA,nNIA,Y548,nCUENTA,1,nASIG,"Orquesta/Banda/Conjunto"),"")))</f>
        <v/>
      </c>
      <c r="AB548" t="str">
        <f>IF(Y548="","",IF(Y548="[FÓRMULA MANUAL]","",IFERROR(AVERAGEIFS(nNOTA,nNIA,Y548,nCUENTA,1,nASIG,"Música de Cámara"),"")))</f>
        <v/>
      </c>
      <c r="AC548" t="str">
        <f>IF(Y548="","",IF(Y548="[FÓRMULA MANUAL]","",IFERROR(SUMPRODUCT((nNIA=Y548)*(nCUENTA=1)*(COUNTIF(CONFIG_ASIGNATURAS!$B$7:$B$27,nASIG)&gt;0)*(nNOTA))/SUMPRODUCT((nNIA=Y548)*(nCUENTA=1)*(COUNTIF(CONFIG_ASIGNATURAS!$B$7:$B$27,nASIG)&gt;0)*1),"")))</f>
        <v/>
      </c>
      <c r="AF548" t="str">
        <f>IF(AE548="","",IF(AE548="[FÓRMULA MANUAL]","",IFERROR(AVERAGEIFS(nNOTA,nNIA,AE548,nCUENTA,1,nASIG,"Análisis"),"")))</f>
        <v/>
      </c>
      <c r="AG548" t="str">
        <f>IF(AE548="","",IF(AE548="[FÓRMULA MANUAL]","",IFERROR(AVERAGEIFS(nNOTA,nNIA,AE548,nCUENTA,1,nASIG,"Orquesta/Banda/Conjunto"),"")))</f>
        <v/>
      </c>
      <c r="AH548" t="str">
        <f>IF(AE548="","",IF(AE548="[FÓRMULA MANUAL]","",IFERROR(AVERAGEIFS(nNOTA,nNIA,AE548,nCUENTA,1,nASIG,"Música de Cámara"),"")))</f>
        <v/>
      </c>
      <c r="AI548" t="str">
        <f>IF(AE548="","",IF(AE548="[FÓRMULA MANUAL]","",IFERROR(SUMPRODUCT((nNIA=AE548)*(nCUENTA=1)*(COUNTIF(CONFIG_ASIGNATURAS!$B$7:$B$27,nASIG)&gt;0)*(nNOTA))/SUMPRODUCT((nNIA=AE548)*(nCUENTA=1)*(COUNTIF(CONFIG_ASIGNATURAS!$B$7:$B$27,nASIG)&gt;0)*1),"")))</f>
        <v/>
      </c>
    </row>
    <row r="549" spans="2:35" x14ac:dyDescent="0.2">
      <c r="B549" t="str">
        <f>IF(A549="","",IF(A549="[FÓRMULA MANUAL]","",IFERROR(AVERAGEIFS(nNOTA,nNIA,A549,nCUENTA,1,nASIG,"Lenguaje Musical"),"")))</f>
        <v/>
      </c>
      <c r="C549" t="str">
        <f>IF(A549="","",IF(A549="[FÓRMULA MANUAL]","",IFERROR(AVERAGEIFS(nNOTA,nNIA,A549,nCUENTA,1,nASIG,"Orquesta/Banda/Conjunto"),"")))</f>
        <v/>
      </c>
      <c r="D549" t="str">
        <f>IF(A549="","",IF(A549="[FÓRMULA MANUAL]","",IFERROR(AVERAGEIFS(nNOTA,nNIA,A549,nCUENTA,1,nASIG,"Conjunto"),"")))</f>
        <v/>
      </c>
      <c r="E549" t="str">
        <f>IF(A549="","",IF(A549="[FÓRMULA MANUAL]","",IFERROR(SUMPRODUCT((nNIA=A549)*(nCUENTA=1)*(COUNTIF(CONFIG_ASIGNATURAS!$B$7:$B$27,nASIG)&gt;0)*(nNOTA))/SUMPRODUCT((nNIA=A549)*(nCUENTA=1)*(COUNTIF(CONFIG_ASIGNATURAS!$B$7:$B$27,nASIG)&gt;0)*1),"")))</f>
        <v/>
      </c>
      <c r="H549" t="str">
        <f>IF(G549="","",IF(G549="[FÓRMULA MANUAL]","",IFERROR(AVERAGEIFS(nNOTA,nNIA,G549,nCUENTA,1,nASIG,"Lenguaje Musical"),"")))</f>
        <v/>
      </c>
      <c r="I549" t="str">
        <f>IF(G549="","",IF(G549="[FÓRMULA MANUAL]","",IFERROR(AVERAGEIFS(nNOTA,nNIA,G549,nCUENTA,1,nASIG,"Orquesta/Banda/Conjunto"),"")))</f>
        <v/>
      </c>
      <c r="J549" t="str">
        <f>IF(G549="","",IF(G549="[FÓRMULA MANUAL]","",IFERROR(AVERAGEIFS(nNOTA,nNIA,G549,nCUENTA,1,nASIG,"Conjunto"),"")))</f>
        <v/>
      </c>
      <c r="K549" t="str">
        <f>IF(G549="","",IF(G549="[FÓRMULA MANUAL]","",IFERROR(SUMPRODUCT((nNIA=G549)*(nCUENTA=1)*(COUNTIF(CONFIG_ASIGNATURAS!$B$7:$B$27,nASIG)&gt;0)*(nNOTA))/SUMPRODUCT((nNIA=G549)*(nCUENTA=1)*(COUNTIF(CONFIG_ASIGNATURAS!$B$7:$B$27,nASIG)&gt;0)*1),"")))</f>
        <v/>
      </c>
      <c r="N549" t="str">
        <f>IF(M549="","",IF(M549="[FÓRMULA MANUAL]","",IFERROR(AVERAGEIFS(nNOTA,nNIA,M549,nCUENTA,1,nASIG,"Armonía"),"")))</f>
        <v/>
      </c>
      <c r="O549" t="str">
        <f>IF(M549="","",IF(M549="[FÓRMULA MANUAL]","",IFERROR(AVERAGEIFS(nNOTA,nNIA,M549,nCUENTA,1,nASIG,"Orquesta/Banda/Conjunto"),"")))</f>
        <v/>
      </c>
      <c r="P549" t="str">
        <f>IF(M549="","",IF(M549="[FÓRMULA MANUAL]","",IFERROR(AVERAGEIFS(nNOTA,nNIA,M549,nCUENTA,1,nASIG,"Música de Cámara"),"")))</f>
        <v/>
      </c>
      <c r="Q549" t="str">
        <f>IF(M549="","",IF(M549="[FÓRMULA MANUAL]","",IFERROR(SUMPRODUCT((nNIA=M549)*(nCUENTA=1)*(COUNTIF(CONFIG_ASIGNATURAS!$B$7:$B$27,nASIG)&gt;0)*(nNOTA))/SUMPRODUCT((nNIA=M549)*(nCUENTA=1)*(COUNTIF(CONFIG_ASIGNATURAS!$B$7:$B$27,nASIG)&gt;0)*1),"")))</f>
        <v/>
      </c>
      <c r="T549" t="str">
        <f>IF(S549="","",IF(S549="[FÓRMULA MANUAL]","",IFERROR(AVERAGEIFS(nNOTA,nNIA,S549,nCUENTA,1,nASIG,"Armonía"),"")))</f>
        <v/>
      </c>
      <c r="U549" t="str">
        <f>IF(S549="","",IF(S549="[FÓRMULA MANUAL]","",IFERROR(AVERAGEIFS(nNOTA,nNIA,S549,nCUENTA,1,nASIG,"Orquesta/Banda/Conjunto"),"")))</f>
        <v/>
      </c>
      <c r="V549" t="str">
        <f>IF(S549="","",IF(S549="[FÓRMULA MANUAL]","",IFERROR(AVERAGEIFS(nNOTA,nNIA,S549,nCUENTA,1,nASIG,"Música de Cámara"),"")))</f>
        <v/>
      </c>
      <c r="W549" t="str">
        <f>IF(S549="","",IF(S549="[FÓRMULA MANUAL]","",IFERROR(SUMPRODUCT((nNIA=S549)*(nCUENTA=1)*(COUNTIF(CONFIG_ASIGNATURAS!$B$7:$B$27,nASIG)&gt;0)*(nNOTA))/SUMPRODUCT((nNIA=S549)*(nCUENTA=1)*(COUNTIF(CONFIG_ASIGNATURAS!$B$7:$B$27,nASIG)&gt;0)*1),"")))</f>
        <v/>
      </c>
      <c r="Z549" t="str">
        <f>IF(Y549="","",IF(Y549="[FÓRMULA MANUAL]","",IFERROR(AVERAGEIFS(nNOTA,nNIA,Y549,nCUENTA,1,nASIG,"Análisis"),"")))</f>
        <v/>
      </c>
      <c r="AA549" t="str">
        <f>IF(Y549="","",IF(Y549="[FÓRMULA MANUAL]","",IFERROR(AVERAGEIFS(nNOTA,nNIA,Y549,nCUENTA,1,nASIG,"Orquesta/Banda/Conjunto"),"")))</f>
        <v/>
      </c>
      <c r="AB549" t="str">
        <f>IF(Y549="","",IF(Y549="[FÓRMULA MANUAL]","",IFERROR(AVERAGEIFS(nNOTA,nNIA,Y549,nCUENTA,1,nASIG,"Música de Cámara"),"")))</f>
        <v/>
      </c>
      <c r="AC549" t="str">
        <f>IF(Y549="","",IF(Y549="[FÓRMULA MANUAL]","",IFERROR(SUMPRODUCT((nNIA=Y549)*(nCUENTA=1)*(COUNTIF(CONFIG_ASIGNATURAS!$B$7:$B$27,nASIG)&gt;0)*(nNOTA))/SUMPRODUCT((nNIA=Y549)*(nCUENTA=1)*(COUNTIF(CONFIG_ASIGNATURAS!$B$7:$B$27,nASIG)&gt;0)*1),"")))</f>
        <v/>
      </c>
      <c r="AF549" t="str">
        <f>IF(AE549="","",IF(AE549="[FÓRMULA MANUAL]","",IFERROR(AVERAGEIFS(nNOTA,nNIA,AE549,nCUENTA,1,nASIG,"Análisis"),"")))</f>
        <v/>
      </c>
      <c r="AG549" t="str">
        <f>IF(AE549="","",IF(AE549="[FÓRMULA MANUAL]","",IFERROR(AVERAGEIFS(nNOTA,nNIA,AE549,nCUENTA,1,nASIG,"Orquesta/Banda/Conjunto"),"")))</f>
        <v/>
      </c>
      <c r="AH549" t="str">
        <f>IF(AE549="","",IF(AE549="[FÓRMULA MANUAL]","",IFERROR(AVERAGEIFS(nNOTA,nNIA,AE549,nCUENTA,1,nASIG,"Música de Cámara"),"")))</f>
        <v/>
      </c>
      <c r="AI549" t="str">
        <f>IF(AE549="","",IF(AE549="[FÓRMULA MANUAL]","",IFERROR(SUMPRODUCT((nNIA=AE549)*(nCUENTA=1)*(COUNTIF(CONFIG_ASIGNATURAS!$B$7:$B$27,nASIG)&gt;0)*(nNOTA))/SUMPRODUCT((nNIA=AE549)*(nCUENTA=1)*(COUNTIF(CONFIG_ASIGNATURAS!$B$7:$B$27,nASIG)&gt;0)*1),"")))</f>
        <v/>
      </c>
    </row>
    <row r="550" spans="2:35" x14ac:dyDescent="0.2">
      <c r="B550" t="str">
        <f>IF(A550="","",IF(A550="[FÓRMULA MANUAL]","",IFERROR(AVERAGEIFS(nNOTA,nNIA,A550,nCUENTA,1,nASIG,"Lenguaje Musical"),"")))</f>
        <v/>
      </c>
      <c r="C550" t="str">
        <f>IF(A550="","",IF(A550="[FÓRMULA MANUAL]","",IFERROR(AVERAGEIFS(nNOTA,nNIA,A550,nCUENTA,1,nASIG,"Orquesta/Banda/Conjunto"),"")))</f>
        <v/>
      </c>
      <c r="D550" t="str">
        <f>IF(A550="","",IF(A550="[FÓRMULA MANUAL]","",IFERROR(AVERAGEIFS(nNOTA,nNIA,A550,nCUENTA,1,nASIG,"Conjunto"),"")))</f>
        <v/>
      </c>
      <c r="E550" t="str">
        <f>IF(A550="","",IF(A550="[FÓRMULA MANUAL]","",IFERROR(SUMPRODUCT((nNIA=A550)*(nCUENTA=1)*(COUNTIF(CONFIG_ASIGNATURAS!$B$7:$B$27,nASIG)&gt;0)*(nNOTA))/SUMPRODUCT((nNIA=A550)*(nCUENTA=1)*(COUNTIF(CONFIG_ASIGNATURAS!$B$7:$B$27,nASIG)&gt;0)*1),"")))</f>
        <v/>
      </c>
      <c r="H550" t="str">
        <f>IF(G550="","",IF(G550="[FÓRMULA MANUAL]","",IFERROR(AVERAGEIFS(nNOTA,nNIA,G550,nCUENTA,1,nASIG,"Lenguaje Musical"),"")))</f>
        <v/>
      </c>
      <c r="I550" t="str">
        <f>IF(G550="","",IF(G550="[FÓRMULA MANUAL]","",IFERROR(AVERAGEIFS(nNOTA,nNIA,G550,nCUENTA,1,nASIG,"Orquesta/Banda/Conjunto"),"")))</f>
        <v/>
      </c>
      <c r="J550" t="str">
        <f>IF(G550="","",IF(G550="[FÓRMULA MANUAL]","",IFERROR(AVERAGEIFS(nNOTA,nNIA,G550,nCUENTA,1,nASIG,"Conjunto"),"")))</f>
        <v/>
      </c>
      <c r="K550" t="str">
        <f>IF(G550="","",IF(G550="[FÓRMULA MANUAL]","",IFERROR(SUMPRODUCT((nNIA=G550)*(nCUENTA=1)*(COUNTIF(CONFIG_ASIGNATURAS!$B$7:$B$27,nASIG)&gt;0)*(nNOTA))/SUMPRODUCT((nNIA=G550)*(nCUENTA=1)*(COUNTIF(CONFIG_ASIGNATURAS!$B$7:$B$27,nASIG)&gt;0)*1),"")))</f>
        <v/>
      </c>
      <c r="N550" t="str">
        <f>IF(M550="","",IF(M550="[FÓRMULA MANUAL]","",IFERROR(AVERAGEIFS(nNOTA,nNIA,M550,nCUENTA,1,nASIG,"Armonía"),"")))</f>
        <v/>
      </c>
      <c r="O550" t="str">
        <f>IF(M550="","",IF(M550="[FÓRMULA MANUAL]","",IFERROR(AVERAGEIFS(nNOTA,nNIA,M550,nCUENTA,1,nASIG,"Orquesta/Banda/Conjunto"),"")))</f>
        <v/>
      </c>
      <c r="P550" t="str">
        <f>IF(M550="","",IF(M550="[FÓRMULA MANUAL]","",IFERROR(AVERAGEIFS(nNOTA,nNIA,M550,nCUENTA,1,nASIG,"Música de Cámara"),"")))</f>
        <v/>
      </c>
      <c r="Q550" t="str">
        <f>IF(M550="","",IF(M550="[FÓRMULA MANUAL]","",IFERROR(SUMPRODUCT((nNIA=M550)*(nCUENTA=1)*(COUNTIF(CONFIG_ASIGNATURAS!$B$7:$B$27,nASIG)&gt;0)*(nNOTA))/SUMPRODUCT((nNIA=M550)*(nCUENTA=1)*(COUNTIF(CONFIG_ASIGNATURAS!$B$7:$B$27,nASIG)&gt;0)*1),"")))</f>
        <v/>
      </c>
      <c r="T550" t="str">
        <f>IF(S550="","",IF(S550="[FÓRMULA MANUAL]","",IFERROR(AVERAGEIFS(nNOTA,nNIA,S550,nCUENTA,1,nASIG,"Armonía"),"")))</f>
        <v/>
      </c>
      <c r="U550" t="str">
        <f>IF(S550="","",IF(S550="[FÓRMULA MANUAL]","",IFERROR(AVERAGEIFS(nNOTA,nNIA,S550,nCUENTA,1,nASIG,"Orquesta/Banda/Conjunto"),"")))</f>
        <v/>
      </c>
      <c r="V550" t="str">
        <f>IF(S550="","",IF(S550="[FÓRMULA MANUAL]","",IFERROR(AVERAGEIFS(nNOTA,nNIA,S550,nCUENTA,1,nASIG,"Música de Cámara"),"")))</f>
        <v/>
      </c>
      <c r="W550" t="str">
        <f>IF(S550="","",IF(S550="[FÓRMULA MANUAL]","",IFERROR(SUMPRODUCT((nNIA=S550)*(nCUENTA=1)*(COUNTIF(CONFIG_ASIGNATURAS!$B$7:$B$27,nASIG)&gt;0)*(nNOTA))/SUMPRODUCT((nNIA=S550)*(nCUENTA=1)*(COUNTIF(CONFIG_ASIGNATURAS!$B$7:$B$27,nASIG)&gt;0)*1),"")))</f>
        <v/>
      </c>
      <c r="Z550" t="str">
        <f>IF(Y550="","",IF(Y550="[FÓRMULA MANUAL]","",IFERROR(AVERAGEIFS(nNOTA,nNIA,Y550,nCUENTA,1,nASIG,"Análisis"),"")))</f>
        <v/>
      </c>
      <c r="AA550" t="str">
        <f>IF(Y550="","",IF(Y550="[FÓRMULA MANUAL]","",IFERROR(AVERAGEIFS(nNOTA,nNIA,Y550,nCUENTA,1,nASIG,"Orquesta/Banda/Conjunto"),"")))</f>
        <v/>
      </c>
      <c r="AB550" t="str">
        <f>IF(Y550="","",IF(Y550="[FÓRMULA MANUAL]","",IFERROR(AVERAGEIFS(nNOTA,nNIA,Y550,nCUENTA,1,nASIG,"Música de Cámara"),"")))</f>
        <v/>
      </c>
      <c r="AC550" t="str">
        <f>IF(Y550="","",IF(Y550="[FÓRMULA MANUAL]","",IFERROR(SUMPRODUCT((nNIA=Y550)*(nCUENTA=1)*(COUNTIF(CONFIG_ASIGNATURAS!$B$7:$B$27,nASIG)&gt;0)*(nNOTA))/SUMPRODUCT((nNIA=Y550)*(nCUENTA=1)*(COUNTIF(CONFIG_ASIGNATURAS!$B$7:$B$27,nASIG)&gt;0)*1),"")))</f>
        <v/>
      </c>
      <c r="AF550" t="str">
        <f>IF(AE550="","",IF(AE550="[FÓRMULA MANUAL]","",IFERROR(AVERAGEIFS(nNOTA,nNIA,AE550,nCUENTA,1,nASIG,"Análisis"),"")))</f>
        <v/>
      </c>
      <c r="AG550" t="str">
        <f>IF(AE550="","",IF(AE550="[FÓRMULA MANUAL]","",IFERROR(AVERAGEIFS(nNOTA,nNIA,AE550,nCUENTA,1,nASIG,"Orquesta/Banda/Conjunto"),"")))</f>
        <v/>
      </c>
      <c r="AH550" t="str">
        <f>IF(AE550="","",IF(AE550="[FÓRMULA MANUAL]","",IFERROR(AVERAGEIFS(nNOTA,nNIA,AE550,nCUENTA,1,nASIG,"Música de Cámara"),"")))</f>
        <v/>
      </c>
      <c r="AI550" t="str">
        <f>IF(AE550="","",IF(AE550="[FÓRMULA MANUAL]","",IFERROR(SUMPRODUCT((nNIA=AE550)*(nCUENTA=1)*(COUNTIF(CONFIG_ASIGNATURAS!$B$7:$B$27,nASIG)&gt;0)*(nNOTA))/SUMPRODUCT((nNIA=AE550)*(nCUENTA=1)*(COUNTIF(CONFIG_ASIGNATURAS!$B$7:$B$27,nASIG)&gt;0)*1),"")))</f>
        <v/>
      </c>
    </row>
    <row r="551" spans="2:35" x14ac:dyDescent="0.2">
      <c r="B551" t="str">
        <f>IF(A551="","",IF(A551="[FÓRMULA MANUAL]","",IFERROR(AVERAGEIFS(nNOTA,nNIA,A551,nCUENTA,1,nASIG,"Lenguaje Musical"),"")))</f>
        <v/>
      </c>
      <c r="C551" t="str">
        <f>IF(A551="","",IF(A551="[FÓRMULA MANUAL]","",IFERROR(AVERAGEIFS(nNOTA,nNIA,A551,nCUENTA,1,nASIG,"Orquesta/Banda/Conjunto"),"")))</f>
        <v/>
      </c>
      <c r="D551" t="str">
        <f>IF(A551="","",IF(A551="[FÓRMULA MANUAL]","",IFERROR(AVERAGEIFS(nNOTA,nNIA,A551,nCUENTA,1,nASIG,"Conjunto"),"")))</f>
        <v/>
      </c>
      <c r="E551" t="str">
        <f>IF(A551="","",IF(A551="[FÓRMULA MANUAL]","",IFERROR(SUMPRODUCT((nNIA=A551)*(nCUENTA=1)*(COUNTIF(CONFIG_ASIGNATURAS!$B$7:$B$27,nASIG)&gt;0)*(nNOTA))/SUMPRODUCT((nNIA=A551)*(nCUENTA=1)*(COUNTIF(CONFIG_ASIGNATURAS!$B$7:$B$27,nASIG)&gt;0)*1),"")))</f>
        <v/>
      </c>
      <c r="H551" t="str">
        <f>IF(G551="","",IF(G551="[FÓRMULA MANUAL]","",IFERROR(AVERAGEIFS(nNOTA,nNIA,G551,nCUENTA,1,nASIG,"Lenguaje Musical"),"")))</f>
        <v/>
      </c>
      <c r="I551" t="str">
        <f>IF(G551="","",IF(G551="[FÓRMULA MANUAL]","",IFERROR(AVERAGEIFS(nNOTA,nNIA,G551,nCUENTA,1,nASIG,"Orquesta/Banda/Conjunto"),"")))</f>
        <v/>
      </c>
      <c r="J551" t="str">
        <f>IF(G551="","",IF(G551="[FÓRMULA MANUAL]","",IFERROR(AVERAGEIFS(nNOTA,nNIA,G551,nCUENTA,1,nASIG,"Conjunto"),"")))</f>
        <v/>
      </c>
      <c r="K551" t="str">
        <f>IF(G551="","",IF(G551="[FÓRMULA MANUAL]","",IFERROR(SUMPRODUCT((nNIA=G551)*(nCUENTA=1)*(COUNTIF(CONFIG_ASIGNATURAS!$B$7:$B$27,nASIG)&gt;0)*(nNOTA))/SUMPRODUCT((nNIA=G551)*(nCUENTA=1)*(COUNTIF(CONFIG_ASIGNATURAS!$B$7:$B$27,nASIG)&gt;0)*1),"")))</f>
        <v/>
      </c>
      <c r="N551" t="str">
        <f>IF(M551="","",IF(M551="[FÓRMULA MANUAL]","",IFERROR(AVERAGEIFS(nNOTA,nNIA,M551,nCUENTA,1,nASIG,"Armonía"),"")))</f>
        <v/>
      </c>
      <c r="O551" t="str">
        <f>IF(M551="","",IF(M551="[FÓRMULA MANUAL]","",IFERROR(AVERAGEIFS(nNOTA,nNIA,M551,nCUENTA,1,nASIG,"Orquesta/Banda/Conjunto"),"")))</f>
        <v/>
      </c>
      <c r="P551" t="str">
        <f>IF(M551="","",IF(M551="[FÓRMULA MANUAL]","",IFERROR(AVERAGEIFS(nNOTA,nNIA,M551,nCUENTA,1,nASIG,"Música de Cámara"),"")))</f>
        <v/>
      </c>
      <c r="Q551" t="str">
        <f>IF(M551="","",IF(M551="[FÓRMULA MANUAL]","",IFERROR(SUMPRODUCT((nNIA=M551)*(nCUENTA=1)*(COUNTIF(CONFIG_ASIGNATURAS!$B$7:$B$27,nASIG)&gt;0)*(nNOTA))/SUMPRODUCT((nNIA=M551)*(nCUENTA=1)*(COUNTIF(CONFIG_ASIGNATURAS!$B$7:$B$27,nASIG)&gt;0)*1),"")))</f>
        <v/>
      </c>
      <c r="T551" t="str">
        <f>IF(S551="","",IF(S551="[FÓRMULA MANUAL]","",IFERROR(AVERAGEIFS(nNOTA,nNIA,S551,nCUENTA,1,nASIG,"Armonía"),"")))</f>
        <v/>
      </c>
      <c r="U551" t="str">
        <f>IF(S551="","",IF(S551="[FÓRMULA MANUAL]","",IFERROR(AVERAGEIFS(nNOTA,nNIA,S551,nCUENTA,1,nASIG,"Orquesta/Banda/Conjunto"),"")))</f>
        <v/>
      </c>
      <c r="V551" t="str">
        <f>IF(S551="","",IF(S551="[FÓRMULA MANUAL]","",IFERROR(AVERAGEIFS(nNOTA,nNIA,S551,nCUENTA,1,nASIG,"Música de Cámara"),"")))</f>
        <v/>
      </c>
      <c r="W551" t="str">
        <f>IF(S551="","",IF(S551="[FÓRMULA MANUAL]","",IFERROR(SUMPRODUCT((nNIA=S551)*(nCUENTA=1)*(COUNTIF(CONFIG_ASIGNATURAS!$B$7:$B$27,nASIG)&gt;0)*(nNOTA))/SUMPRODUCT((nNIA=S551)*(nCUENTA=1)*(COUNTIF(CONFIG_ASIGNATURAS!$B$7:$B$27,nASIG)&gt;0)*1),"")))</f>
        <v/>
      </c>
      <c r="Z551" t="str">
        <f>IF(Y551="","",IF(Y551="[FÓRMULA MANUAL]","",IFERROR(AVERAGEIFS(nNOTA,nNIA,Y551,nCUENTA,1,nASIG,"Análisis"),"")))</f>
        <v/>
      </c>
      <c r="AA551" t="str">
        <f>IF(Y551="","",IF(Y551="[FÓRMULA MANUAL]","",IFERROR(AVERAGEIFS(nNOTA,nNIA,Y551,nCUENTA,1,nASIG,"Orquesta/Banda/Conjunto"),"")))</f>
        <v/>
      </c>
      <c r="AB551" t="str">
        <f>IF(Y551="","",IF(Y551="[FÓRMULA MANUAL]","",IFERROR(AVERAGEIFS(nNOTA,nNIA,Y551,nCUENTA,1,nASIG,"Música de Cámara"),"")))</f>
        <v/>
      </c>
      <c r="AC551" t="str">
        <f>IF(Y551="","",IF(Y551="[FÓRMULA MANUAL]","",IFERROR(SUMPRODUCT((nNIA=Y551)*(nCUENTA=1)*(COUNTIF(CONFIG_ASIGNATURAS!$B$7:$B$27,nASIG)&gt;0)*(nNOTA))/SUMPRODUCT((nNIA=Y551)*(nCUENTA=1)*(COUNTIF(CONFIG_ASIGNATURAS!$B$7:$B$27,nASIG)&gt;0)*1),"")))</f>
        <v/>
      </c>
      <c r="AF551" t="str">
        <f>IF(AE551="","",IF(AE551="[FÓRMULA MANUAL]","",IFERROR(AVERAGEIFS(nNOTA,nNIA,AE551,nCUENTA,1,nASIG,"Análisis"),"")))</f>
        <v/>
      </c>
      <c r="AG551" t="str">
        <f>IF(AE551="","",IF(AE551="[FÓRMULA MANUAL]","",IFERROR(AVERAGEIFS(nNOTA,nNIA,AE551,nCUENTA,1,nASIG,"Orquesta/Banda/Conjunto"),"")))</f>
        <v/>
      </c>
      <c r="AH551" t="str">
        <f>IF(AE551="","",IF(AE551="[FÓRMULA MANUAL]","",IFERROR(AVERAGEIFS(nNOTA,nNIA,AE551,nCUENTA,1,nASIG,"Música de Cámara"),"")))</f>
        <v/>
      </c>
      <c r="AI551" t="str">
        <f>IF(AE551="","",IF(AE551="[FÓRMULA MANUAL]","",IFERROR(SUMPRODUCT((nNIA=AE551)*(nCUENTA=1)*(COUNTIF(CONFIG_ASIGNATURAS!$B$7:$B$27,nASIG)&gt;0)*(nNOTA))/SUMPRODUCT((nNIA=AE551)*(nCUENTA=1)*(COUNTIF(CONFIG_ASIGNATURAS!$B$7:$B$27,nASIG)&gt;0)*1),"")))</f>
        <v/>
      </c>
    </row>
    <row r="552" spans="2:35" x14ac:dyDescent="0.2">
      <c r="B552" t="str">
        <f>IF(A552="","",IF(A552="[FÓRMULA MANUAL]","",IFERROR(AVERAGEIFS(nNOTA,nNIA,A552,nCUENTA,1,nASIG,"Lenguaje Musical"),"")))</f>
        <v/>
      </c>
      <c r="C552" t="str">
        <f>IF(A552="","",IF(A552="[FÓRMULA MANUAL]","",IFERROR(AVERAGEIFS(nNOTA,nNIA,A552,nCUENTA,1,nASIG,"Orquesta/Banda/Conjunto"),"")))</f>
        <v/>
      </c>
      <c r="D552" t="str">
        <f>IF(A552="","",IF(A552="[FÓRMULA MANUAL]","",IFERROR(AVERAGEIFS(nNOTA,nNIA,A552,nCUENTA,1,nASIG,"Conjunto"),"")))</f>
        <v/>
      </c>
      <c r="E552" t="str">
        <f>IF(A552="","",IF(A552="[FÓRMULA MANUAL]","",IFERROR(SUMPRODUCT((nNIA=A552)*(nCUENTA=1)*(COUNTIF(CONFIG_ASIGNATURAS!$B$7:$B$27,nASIG)&gt;0)*(nNOTA))/SUMPRODUCT((nNIA=A552)*(nCUENTA=1)*(COUNTIF(CONFIG_ASIGNATURAS!$B$7:$B$27,nASIG)&gt;0)*1),"")))</f>
        <v/>
      </c>
      <c r="H552" t="str">
        <f>IF(G552="","",IF(G552="[FÓRMULA MANUAL]","",IFERROR(AVERAGEIFS(nNOTA,nNIA,G552,nCUENTA,1,nASIG,"Lenguaje Musical"),"")))</f>
        <v/>
      </c>
      <c r="I552" t="str">
        <f>IF(G552="","",IF(G552="[FÓRMULA MANUAL]","",IFERROR(AVERAGEIFS(nNOTA,nNIA,G552,nCUENTA,1,nASIG,"Orquesta/Banda/Conjunto"),"")))</f>
        <v/>
      </c>
      <c r="J552" t="str">
        <f>IF(G552="","",IF(G552="[FÓRMULA MANUAL]","",IFERROR(AVERAGEIFS(nNOTA,nNIA,G552,nCUENTA,1,nASIG,"Conjunto"),"")))</f>
        <v/>
      </c>
      <c r="K552" t="str">
        <f>IF(G552="","",IF(G552="[FÓRMULA MANUAL]","",IFERROR(SUMPRODUCT((nNIA=G552)*(nCUENTA=1)*(COUNTIF(CONFIG_ASIGNATURAS!$B$7:$B$27,nASIG)&gt;0)*(nNOTA))/SUMPRODUCT((nNIA=G552)*(nCUENTA=1)*(COUNTIF(CONFIG_ASIGNATURAS!$B$7:$B$27,nASIG)&gt;0)*1),"")))</f>
        <v/>
      </c>
      <c r="N552" t="str">
        <f>IF(M552="","",IF(M552="[FÓRMULA MANUAL]","",IFERROR(AVERAGEIFS(nNOTA,nNIA,M552,nCUENTA,1,nASIG,"Armonía"),"")))</f>
        <v/>
      </c>
      <c r="O552" t="str">
        <f>IF(M552="","",IF(M552="[FÓRMULA MANUAL]","",IFERROR(AVERAGEIFS(nNOTA,nNIA,M552,nCUENTA,1,nASIG,"Orquesta/Banda/Conjunto"),"")))</f>
        <v/>
      </c>
      <c r="P552" t="str">
        <f>IF(M552="","",IF(M552="[FÓRMULA MANUAL]","",IFERROR(AVERAGEIFS(nNOTA,nNIA,M552,nCUENTA,1,nASIG,"Música de Cámara"),"")))</f>
        <v/>
      </c>
      <c r="Q552" t="str">
        <f>IF(M552="","",IF(M552="[FÓRMULA MANUAL]","",IFERROR(SUMPRODUCT((nNIA=M552)*(nCUENTA=1)*(COUNTIF(CONFIG_ASIGNATURAS!$B$7:$B$27,nASIG)&gt;0)*(nNOTA))/SUMPRODUCT((nNIA=M552)*(nCUENTA=1)*(COUNTIF(CONFIG_ASIGNATURAS!$B$7:$B$27,nASIG)&gt;0)*1),"")))</f>
        <v/>
      </c>
      <c r="T552" t="str">
        <f>IF(S552="","",IF(S552="[FÓRMULA MANUAL]","",IFERROR(AVERAGEIFS(nNOTA,nNIA,S552,nCUENTA,1,nASIG,"Armonía"),"")))</f>
        <v/>
      </c>
      <c r="U552" t="str">
        <f>IF(S552="","",IF(S552="[FÓRMULA MANUAL]","",IFERROR(AVERAGEIFS(nNOTA,nNIA,S552,nCUENTA,1,nASIG,"Orquesta/Banda/Conjunto"),"")))</f>
        <v/>
      </c>
      <c r="V552" t="str">
        <f>IF(S552="","",IF(S552="[FÓRMULA MANUAL]","",IFERROR(AVERAGEIFS(nNOTA,nNIA,S552,nCUENTA,1,nASIG,"Música de Cámara"),"")))</f>
        <v/>
      </c>
      <c r="W552" t="str">
        <f>IF(S552="","",IF(S552="[FÓRMULA MANUAL]","",IFERROR(SUMPRODUCT((nNIA=S552)*(nCUENTA=1)*(COUNTIF(CONFIG_ASIGNATURAS!$B$7:$B$27,nASIG)&gt;0)*(nNOTA))/SUMPRODUCT((nNIA=S552)*(nCUENTA=1)*(COUNTIF(CONFIG_ASIGNATURAS!$B$7:$B$27,nASIG)&gt;0)*1),"")))</f>
        <v/>
      </c>
      <c r="Z552" t="str">
        <f>IF(Y552="","",IF(Y552="[FÓRMULA MANUAL]","",IFERROR(AVERAGEIFS(nNOTA,nNIA,Y552,nCUENTA,1,nASIG,"Análisis"),"")))</f>
        <v/>
      </c>
      <c r="AA552" t="str">
        <f>IF(Y552="","",IF(Y552="[FÓRMULA MANUAL]","",IFERROR(AVERAGEIFS(nNOTA,nNIA,Y552,nCUENTA,1,nASIG,"Orquesta/Banda/Conjunto"),"")))</f>
        <v/>
      </c>
      <c r="AB552" t="str">
        <f>IF(Y552="","",IF(Y552="[FÓRMULA MANUAL]","",IFERROR(AVERAGEIFS(nNOTA,nNIA,Y552,nCUENTA,1,nASIG,"Música de Cámara"),"")))</f>
        <v/>
      </c>
      <c r="AC552" t="str">
        <f>IF(Y552="","",IF(Y552="[FÓRMULA MANUAL]","",IFERROR(SUMPRODUCT((nNIA=Y552)*(nCUENTA=1)*(COUNTIF(CONFIG_ASIGNATURAS!$B$7:$B$27,nASIG)&gt;0)*(nNOTA))/SUMPRODUCT((nNIA=Y552)*(nCUENTA=1)*(COUNTIF(CONFIG_ASIGNATURAS!$B$7:$B$27,nASIG)&gt;0)*1),"")))</f>
        <v/>
      </c>
      <c r="AF552" t="str">
        <f>IF(AE552="","",IF(AE552="[FÓRMULA MANUAL]","",IFERROR(AVERAGEIFS(nNOTA,nNIA,AE552,nCUENTA,1,nASIG,"Análisis"),"")))</f>
        <v/>
      </c>
      <c r="AG552" t="str">
        <f>IF(AE552="","",IF(AE552="[FÓRMULA MANUAL]","",IFERROR(AVERAGEIFS(nNOTA,nNIA,AE552,nCUENTA,1,nASIG,"Orquesta/Banda/Conjunto"),"")))</f>
        <v/>
      </c>
      <c r="AH552" t="str">
        <f>IF(AE552="","",IF(AE552="[FÓRMULA MANUAL]","",IFERROR(AVERAGEIFS(nNOTA,nNIA,AE552,nCUENTA,1,nASIG,"Música de Cámara"),"")))</f>
        <v/>
      </c>
      <c r="AI552" t="str">
        <f>IF(AE552="","",IF(AE552="[FÓRMULA MANUAL]","",IFERROR(SUMPRODUCT((nNIA=AE552)*(nCUENTA=1)*(COUNTIF(CONFIG_ASIGNATURAS!$B$7:$B$27,nASIG)&gt;0)*(nNOTA))/SUMPRODUCT((nNIA=AE552)*(nCUENTA=1)*(COUNTIF(CONFIG_ASIGNATURAS!$B$7:$B$27,nASIG)&gt;0)*1),"")))</f>
        <v/>
      </c>
    </row>
    <row r="553" spans="2:35" x14ac:dyDescent="0.2">
      <c r="B553" t="str">
        <f>IF(A553="","",IF(A553="[FÓRMULA MANUAL]","",IFERROR(AVERAGEIFS(nNOTA,nNIA,A553,nCUENTA,1,nASIG,"Lenguaje Musical"),"")))</f>
        <v/>
      </c>
      <c r="C553" t="str">
        <f>IF(A553="","",IF(A553="[FÓRMULA MANUAL]","",IFERROR(AVERAGEIFS(nNOTA,nNIA,A553,nCUENTA,1,nASIG,"Orquesta/Banda/Conjunto"),"")))</f>
        <v/>
      </c>
      <c r="D553" t="str">
        <f>IF(A553="","",IF(A553="[FÓRMULA MANUAL]","",IFERROR(AVERAGEIFS(nNOTA,nNIA,A553,nCUENTA,1,nASIG,"Conjunto"),"")))</f>
        <v/>
      </c>
      <c r="E553" t="str">
        <f>IF(A553="","",IF(A553="[FÓRMULA MANUAL]","",IFERROR(SUMPRODUCT((nNIA=A553)*(nCUENTA=1)*(COUNTIF(CONFIG_ASIGNATURAS!$B$7:$B$27,nASIG)&gt;0)*(nNOTA))/SUMPRODUCT((nNIA=A553)*(nCUENTA=1)*(COUNTIF(CONFIG_ASIGNATURAS!$B$7:$B$27,nASIG)&gt;0)*1),"")))</f>
        <v/>
      </c>
      <c r="H553" t="str">
        <f>IF(G553="","",IF(G553="[FÓRMULA MANUAL]","",IFERROR(AVERAGEIFS(nNOTA,nNIA,G553,nCUENTA,1,nASIG,"Lenguaje Musical"),"")))</f>
        <v/>
      </c>
      <c r="I553" t="str">
        <f>IF(G553="","",IF(G553="[FÓRMULA MANUAL]","",IFERROR(AVERAGEIFS(nNOTA,nNIA,G553,nCUENTA,1,nASIG,"Orquesta/Banda/Conjunto"),"")))</f>
        <v/>
      </c>
      <c r="J553" t="str">
        <f>IF(G553="","",IF(G553="[FÓRMULA MANUAL]","",IFERROR(AVERAGEIFS(nNOTA,nNIA,G553,nCUENTA,1,nASIG,"Conjunto"),"")))</f>
        <v/>
      </c>
      <c r="K553" t="str">
        <f>IF(G553="","",IF(G553="[FÓRMULA MANUAL]","",IFERROR(SUMPRODUCT((nNIA=G553)*(nCUENTA=1)*(COUNTIF(CONFIG_ASIGNATURAS!$B$7:$B$27,nASIG)&gt;0)*(nNOTA))/SUMPRODUCT((nNIA=G553)*(nCUENTA=1)*(COUNTIF(CONFIG_ASIGNATURAS!$B$7:$B$27,nASIG)&gt;0)*1),"")))</f>
        <v/>
      </c>
      <c r="N553" t="str">
        <f>IF(M553="","",IF(M553="[FÓRMULA MANUAL]","",IFERROR(AVERAGEIFS(nNOTA,nNIA,M553,nCUENTA,1,nASIG,"Armonía"),"")))</f>
        <v/>
      </c>
      <c r="O553" t="str">
        <f>IF(M553="","",IF(M553="[FÓRMULA MANUAL]","",IFERROR(AVERAGEIFS(nNOTA,nNIA,M553,nCUENTA,1,nASIG,"Orquesta/Banda/Conjunto"),"")))</f>
        <v/>
      </c>
      <c r="P553" t="str">
        <f>IF(M553="","",IF(M553="[FÓRMULA MANUAL]","",IFERROR(AVERAGEIFS(nNOTA,nNIA,M553,nCUENTA,1,nASIG,"Música de Cámara"),"")))</f>
        <v/>
      </c>
      <c r="Q553" t="str">
        <f>IF(M553="","",IF(M553="[FÓRMULA MANUAL]","",IFERROR(SUMPRODUCT((nNIA=M553)*(nCUENTA=1)*(COUNTIF(CONFIG_ASIGNATURAS!$B$7:$B$27,nASIG)&gt;0)*(nNOTA))/SUMPRODUCT((nNIA=M553)*(nCUENTA=1)*(COUNTIF(CONFIG_ASIGNATURAS!$B$7:$B$27,nASIG)&gt;0)*1),"")))</f>
        <v/>
      </c>
      <c r="T553" t="str">
        <f>IF(S553="","",IF(S553="[FÓRMULA MANUAL]","",IFERROR(AVERAGEIFS(nNOTA,nNIA,S553,nCUENTA,1,nASIG,"Armonía"),"")))</f>
        <v/>
      </c>
      <c r="U553" t="str">
        <f>IF(S553="","",IF(S553="[FÓRMULA MANUAL]","",IFERROR(AVERAGEIFS(nNOTA,nNIA,S553,nCUENTA,1,nASIG,"Orquesta/Banda/Conjunto"),"")))</f>
        <v/>
      </c>
      <c r="V553" t="str">
        <f>IF(S553="","",IF(S553="[FÓRMULA MANUAL]","",IFERROR(AVERAGEIFS(nNOTA,nNIA,S553,nCUENTA,1,nASIG,"Música de Cámara"),"")))</f>
        <v/>
      </c>
      <c r="W553" t="str">
        <f>IF(S553="","",IF(S553="[FÓRMULA MANUAL]","",IFERROR(SUMPRODUCT((nNIA=S553)*(nCUENTA=1)*(COUNTIF(CONFIG_ASIGNATURAS!$B$7:$B$27,nASIG)&gt;0)*(nNOTA))/SUMPRODUCT((nNIA=S553)*(nCUENTA=1)*(COUNTIF(CONFIG_ASIGNATURAS!$B$7:$B$27,nASIG)&gt;0)*1),"")))</f>
        <v/>
      </c>
      <c r="Z553" t="str">
        <f>IF(Y553="","",IF(Y553="[FÓRMULA MANUAL]","",IFERROR(AVERAGEIFS(nNOTA,nNIA,Y553,nCUENTA,1,nASIG,"Análisis"),"")))</f>
        <v/>
      </c>
      <c r="AA553" t="str">
        <f>IF(Y553="","",IF(Y553="[FÓRMULA MANUAL]","",IFERROR(AVERAGEIFS(nNOTA,nNIA,Y553,nCUENTA,1,nASIG,"Orquesta/Banda/Conjunto"),"")))</f>
        <v/>
      </c>
      <c r="AB553" t="str">
        <f>IF(Y553="","",IF(Y553="[FÓRMULA MANUAL]","",IFERROR(AVERAGEIFS(nNOTA,nNIA,Y553,nCUENTA,1,nASIG,"Música de Cámara"),"")))</f>
        <v/>
      </c>
      <c r="AC553" t="str">
        <f>IF(Y553="","",IF(Y553="[FÓRMULA MANUAL]","",IFERROR(SUMPRODUCT((nNIA=Y553)*(nCUENTA=1)*(COUNTIF(CONFIG_ASIGNATURAS!$B$7:$B$27,nASIG)&gt;0)*(nNOTA))/SUMPRODUCT((nNIA=Y553)*(nCUENTA=1)*(COUNTIF(CONFIG_ASIGNATURAS!$B$7:$B$27,nASIG)&gt;0)*1),"")))</f>
        <v/>
      </c>
      <c r="AF553" t="str">
        <f>IF(AE553="","",IF(AE553="[FÓRMULA MANUAL]","",IFERROR(AVERAGEIFS(nNOTA,nNIA,AE553,nCUENTA,1,nASIG,"Análisis"),"")))</f>
        <v/>
      </c>
      <c r="AG553" t="str">
        <f>IF(AE553="","",IF(AE553="[FÓRMULA MANUAL]","",IFERROR(AVERAGEIFS(nNOTA,nNIA,AE553,nCUENTA,1,nASIG,"Orquesta/Banda/Conjunto"),"")))</f>
        <v/>
      </c>
      <c r="AH553" t="str">
        <f>IF(AE553="","",IF(AE553="[FÓRMULA MANUAL]","",IFERROR(AVERAGEIFS(nNOTA,nNIA,AE553,nCUENTA,1,nASIG,"Música de Cámara"),"")))</f>
        <v/>
      </c>
      <c r="AI553" t="str">
        <f>IF(AE553="","",IF(AE553="[FÓRMULA MANUAL]","",IFERROR(SUMPRODUCT((nNIA=AE553)*(nCUENTA=1)*(COUNTIF(CONFIG_ASIGNATURAS!$B$7:$B$27,nASIG)&gt;0)*(nNOTA))/SUMPRODUCT((nNIA=AE553)*(nCUENTA=1)*(COUNTIF(CONFIG_ASIGNATURAS!$B$7:$B$27,nASIG)&gt;0)*1),"")))</f>
        <v/>
      </c>
    </row>
    <row r="554" spans="2:35" x14ac:dyDescent="0.2">
      <c r="B554" t="str">
        <f>IF(A554="","",IF(A554="[FÓRMULA MANUAL]","",IFERROR(AVERAGEIFS(nNOTA,nNIA,A554,nCUENTA,1,nASIG,"Lenguaje Musical"),"")))</f>
        <v/>
      </c>
      <c r="C554" t="str">
        <f>IF(A554="","",IF(A554="[FÓRMULA MANUAL]","",IFERROR(AVERAGEIFS(nNOTA,nNIA,A554,nCUENTA,1,nASIG,"Orquesta/Banda/Conjunto"),"")))</f>
        <v/>
      </c>
      <c r="D554" t="str">
        <f>IF(A554="","",IF(A554="[FÓRMULA MANUAL]","",IFERROR(AVERAGEIFS(nNOTA,nNIA,A554,nCUENTA,1,nASIG,"Conjunto"),"")))</f>
        <v/>
      </c>
      <c r="E554" t="str">
        <f>IF(A554="","",IF(A554="[FÓRMULA MANUAL]","",IFERROR(SUMPRODUCT((nNIA=A554)*(nCUENTA=1)*(COUNTIF(CONFIG_ASIGNATURAS!$B$7:$B$27,nASIG)&gt;0)*(nNOTA))/SUMPRODUCT((nNIA=A554)*(nCUENTA=1)*(COUNTIF(CONFIG_ASIGNATURAS!$B$7:$B$27,nASIG)&gt;0)*1),"")))</f>
        <v/>
      </c>
      <c r="H554" t="str">
        <f>IF(G554="","",IF(G554="[FÓRMULA MANUAL]","",IFERROR(AVERAGEIFS(nNOTA,nNIA,G554,nCUENTA,1,nASIG,"Lenguaje Musical"),"")))</f>
        <v/>
      </c>
      <c r="I554" t="str">
        <f>IF(G554="","",IF(G554="[FÓRMULA MANUAL]","",IFERROR(AVERAGEIFS(nNOTA,nNIA,G554,nCUENTA,1,nASIG,"Orquesta/Banda/Conjunto"),"")))</f>
        <v/>
      </c>
      <c r="J554" t="str">
        <f>IF(G554="","",IF(G554="[FÓRMULA MANUAL]","",IFERROR(AVERAGEIFS(nNOTA,nNIA,G554,nCUENTA,1,nASIG,"Conjunto"),"")))</f>
        <v/>
      </c>
      <c r="K554" t="str">
        <f>IF(G554="","",IF(G554="[FÓRMULA MANUAL]","",IFERROR(SUMPRODUCT((nNIA=G554)*(nCUENTA=1)*(COUNTIF(CONFIG_ASIGNATURAS!$B$7:$B$27,nASIG)&gt;0)*(nNOTA))/SUMPRODUCT((nNIA=G554)*(nCUENTA=1)*(COUNTIF(CONFIG_ASIGNATURAS!$B$7:$B$27,nASIG)&gt;0)*1),"")))</f>
        <v/>
      </c>
      <c r="N554" t="str">
        <f>IF(M554="","",IF(M554="[FÓRMULA MANUAL]","",IFERROR(AVERAGEIFS(nNOTA,nNIA,M554,nCUENTA,1,nASIG,"Armonía"),"")))</f>
        <v/>
      </c>
      <c r="O554" t="str">
        <f>IF(M554="","",IF(M554="[FÓRMULA MANUAL]","",IFERROR(AVERAGEIFS(nNOTA,nNIA,M554,nCUENTA,1,nASIG,"Orquesta/Banda/Conjunto"),"")))</f>
        <v/>
      </c>
      <c r="P554" t="str">
        <f>IF(M554="","",IF(M554="[FÓRMULA MANUAL]","",IFERROR(AVERAGEIFS(nNOTA,nNIA,M554,nCUENTA,1,nASIG,"Música de Cámara"),"")))</f>
        <v/>
      </c>
      <c r="Q554" t="str">
        <f>IF(M554="","",IF(M554="[FÓRMULA MANUAL]","",IFERROR(SUMPRODUCT((nNIA=M554)*(nCUENTA=1)*(COUNTIF(CONFIG_ASIGNATURAS!$B$7:$B$27,nASIG)&gt;0)*(nNOTA))/SUMPRODUCT((nNIA=M554)*(nCUENTA=1)*(COUNTIF(CONFIG_ASIGNATURAS!$B$7:$B$27,nASIG)&gt;0)*1),"")))</f>
        <v/>
      </c>
      <c r="T554" t="str">
        <f>IF(S554="","",IF(S554="[FÓRMULA MANUAL]","",IFERROR(AVERAGEIFS(nNOTA,nNIA,S554,nCUENTA,1,nASIG,"Armonía"),"")))</f>
        <v/>
      </c>
      <c r="U554" t="str">
        <f>IF(S554="","",IF(S554="[FÓRMULA MANUAL]","",IFERROR(AVERAGEIFS(nNOTA,nNIA,S554,nCUENTA,1,nASIG,"Orquesta/Banda/Conjunto"),"")))</f>
        <v/>
      </c>
      <c r="V554" t="str">
        <f>IF(S554="","",IF(S554="[FÓRMULA MANUAL]","",IFERROR(AVERAGEIFS(nNOTA,nNIA,S554,nCUENTA,1,nASIG,"Música de Cámara"),"")))</f>
        <v/>
      </c>
      <c r="W554" t="str">
        <f>IF(S554="","",IF(S554="[FÓRMULA MANUAL]","",IFERROR(SUMPRODUCT((nNIA=S554)*(nCUENTA=1)*(COUNTIF(CONFIG_ASIGNATURAS!$B$7:$B$27,nASIG)&gt;0)*(nNOTA))/SUMPRODUCT((nNIA=S554)*(nCUENTA=1)*(COUNTIF(CONFIG_ASIGNATURAS!$B$7:$B$27,nASIG)&gt;0)*1),"")))</f>
        <v/>
      </c>
      <c r="Z554" t="str">
        <f>IF(Y554="","",IF(Y554="[FÓRMULA MANUAL]","",IFERROR(AVERAGEIFS(nNOTA,nNIA,Y554,nCUENTA,1,nASIG,"Análisis"),"")))</f>
        <v/>
      </c>
      <c r="AA554" t="str">
        <f>IF(Y554="","",IF(Y554="[FÓRMULA MANUAL]","",IFERROR(AVERAGEIFS(nNOTA,nNIA,Y554,nCUENTA,1,nASIG,"Orquesta/Banda/Conjunto"),"")))</f>
        <v/>
      </c>
      <c r="AB554" t="str">
        <f>IF(Y554="","",IF(Y554="[FÓRMULA MANUAL]","",IFERROR(AVERAGEIFS(nNOTA,nNIA,Y554,nCUENTA,1,nASIG,"Música de Cámara"),"")))</f>
        <v/>
      </c>
      <c r="AC554" t="str">
        <f>IF(Y554="","",IF(Y554="[FÓRMULA MANUAL]","",IFERROR(SUMPRODUCT((nNIA=Y554)*(nCUENTA=1)*(COUNTIF(CONFIG_ASIGNATURAS!$B$7:$B$27,nASIG)&gt;0)*(nNOTA))/SUMPRODUCT((nNIA=Y554)*(nCUENTA=1)*(COUNTIF(CONFIG_ASIGNATURAS!$B$7:$B$27,nASIG)&gt;0)*1),"")))</f>
        <v/>
      </c>
      <c r="AF554" t="str">
        <f>IF(AE554="","",IF(AE554="[FÓRMULA MANUAL]","",IFERROR(AVERAGEIFS(nNOTA,nNIA,AE554,nCUENTA,1,nASIG,"Análisis"),"")))</f>
        <v/>
      </c>
      <c r="AG554" t="str">
        <f>IF(AE554="","",IF(AE554="[FÓRMULA MANUAL]","",IFERROR(AVERAGEIFS(nNOTA,nNIA,AE554,nCUENTA,1,nASIG,"Orquesta/Banda/Conjunto"),"")))</f>
        <v/>
      </c>
      <c r="AH554" t="str">
        <f>IF(AE554="","",IF(AE554="[FÓRMULA MANUAL]","",IFERROR(AVERAGEIFS(nNOTA,nNIA,AE554,nCUENTA,1,nASIG,"Música de Cámara"),"")))</f>
        <v/>
      </c>
      <c r="AI554" t="str">
        <f>IF(AE554="","",IF(AE554="[FÓRMULA MANUAL]","",IFERROR(SUMPRODUCT((nNIA=AE554)*(nCUENTA=1)*(COUNTIF(CONFIG_ASIGNATURAS!$B$7:$B$27,nASIG)&gt;0)*(nNOTA))/SUMPRODUCT((nNIA=AE554)*(nCUENTA=1)*(COUNTIF(CONFIG_ASIGNATURAS!$B$7:$B$27,nASIG)&gt;0)*1),"")))</f>
        <v/>
      </c>
    </row>
    <row r="555" spans="2:35" x14ac:dyDescent="0.2">
      <c r="B555" t="str">
        <f>IF(A555="","",IF(A555="[FÓRMULA MANUAL]","",IFERROR(AVERAGEIFS(nNOTA,nNIA,A555,nCUENTA,1,nASIG,"Lenguaje Musical"),"")))</f>
        <v/>
      </c>
      <c r="C555" t="str">
        <f>IF(A555="","",IF(A555="[FÓRMULA MANUAL]","",IFERROR(AVERAGEIFS(nNOTA,nNIA,A555,nCUENTA,1,nASIG,"Orquesta/Banda/Conjunto"),"")))</f>
        <v/>
      </c>
      <c r="D555" t="str">
        <f>IF(A555="","",IF(A555="[FÓRMULA MANUAL]","",IFERROR(AVERAGEIFS(nNOTA,nNIA,A555,nCUENTA,1,nASIG,"Conjunto"),"")))</f>
        <v/>
      </c>
      <c r="E555" t="str">
        <f>IF(A555="","",IF(A555="[FÓRMULA MANUAL]","",IFERROR(SUMPRODUCT((nNIA=A555)*(nCUENTA=1)*(COUNTIF(CONFIG_ASIGNATURAS!$B$7:$B$27,nASIG)&gt;0)*(nNOTA))/SUMPRODUCT((nNIA=A555)*(nCUENTA=1)*(COUNTIF(CONFIG_ASIGNATURAS!$B$7:$B$27,nASIG)&gt;0)*1),"")))</f>
        <v/>
      </c>
      <c r="H555" t="str">
        <f>IF(G555="","",IF(G555="[FÓRMULA MANUAL]","",IFERROR(AVERAGEIFS(nNOTA,nNIA,G555,nCUENTA,1,nASIG,"Lenguaje Musical"),"")))</f>
        <v/>
      </c>
      <c r="I555" t="str">
        <f>IF(G555="","",IF(G555="[FÓRMULA MANUAL]","",IFERROR(AVERAGEIFS(nNOTA,nNIA,G555,nCUENTA,1,nASIG,"Orquesta/Banda/Conjunto"),"")))</f>
        <v/>
      </c>
      <c r="J555" t="str">
        <f>IF(G555="","",IF(G555="[FÓRMULA MANUAL]","",IFERROR(AVERAGEIFS(nNOTA,nNIA,G555,nCUENTA,1,nASIG,"Conjunto"),"")))</f>
        <v/>
      </c>
      <c r="K555" t="str">
        <f>IF(G555="","",IF(G555="[FÓRMULA MANUAL]","",IFERROR(SUMPRODUCT((nNIA=G555)*(nCUENTA=1)*(COUNTIF(CONFIG_ASIGNATURAS!$B$7:$B$27,nASIG)&gt;0)*(nNOTA))/SUMPRODUCT((nNIA=G555)*(nCUENTA=1)*(COUNTIF(CONFIG_ASIGNATURAS!$B$7:$B$27,nASIG)&gt;0)*1),"")))</f>
        <v/>
      </c>
      <c r="N555" t="str">
        <f>IF(M555="","",IF(M555="[FÓRMULA MANUAL]","",IFERROR(AVERAGEIFS(nNOTA,nNIA,M555,nCUENTA,1,nASIG,"Armonía"),"")))</f>
        <v/>
      </c>
      <c r="O555" t="str">
        <f>IF(M555="","",IF(M555="[FÓRMULA MANUAL]","",IFERROR(AVERAGEIFS(nNOTA,nNIA,M555,nCUENTA,1,nASIG,"Orquesta/Banda/Conjunto"),"")))</f>
        <v/>
      </c>
      <c r="P555" t="str">
        <f>IF(M555="","",IF(M555="[FÓRMULA MANUAL]","",IFERROR(AVERAGEIFS(nNOTA,nNIA,M555,nCUENTA,1,nASIG,"Música de Cámara"),"")))</f>
        <v/>
      </c>
      <c r="Q555" t="str">
        <f>IF(M555="","",IF(M555="[FÓRMULA MANUAL]","",IFERROR(SUMPRODUCT((nNIA=M555)*(nCUENTA=1)*(COUNTIF(CONFIG_ASIGNATURAS!$B$7:$B$27,nASIG)&gt;0)*(nNOTA))/SUMPRODUCT((nNIA=M555)*(nCUENTA=1)*(COUNTIF(CONFIG_ASIGNATURAS!$B$7:$B$27,nASIG)&gt;0)*1),"")))</f>
        <v/>
      </c>
      <c r="T555" t="str">
        <f>IF(S555="","",IF(S555="[FÓRMULA MANUAL]","",IFERROR(AVERAGEIFS(nNOTA,nNIA,S555,nCUENTA,1,nASIG,"Armonía"),"")))</f>
        <v/>
      </c>
      <c r="U555" t="str">
        <f>IF(S555="","",IF(S555="[FÓRMULA MANUAL]","",IFERROR(AVERAGEIFS(nNOTA,nNIA,S555,nCUENTA,1,nASIG,"Orquesta/Banda/Conjunto"),"")))</f>
        <v/>
      </c>
      <c r="V555" t="str">
        <f>IF(S555="","",IF(S555="[FÓRMULA MANUAL]","",IFERROR(AVERAGEIFS(nNOTA,nNIA,S555,nCUENTA,1,nASIG,"Música de Cámara"),"")))</f>
        <v/>
      </c>
      <c r="W555" t="str">
        <f>IF(S555="","",IF(S555="[FÓRMULA MANUAL]","",IFERROR(SUMPRODUCT((nNIA=S555)*(nCUENTA=1)*(COUNTIF(CONFIG_ASIGNATURAS!$B$7:$B$27,nASIG)&gt;0)*(nNOTA))/SUMPRODUCT((nNIA=S555)*(nCUENTA=1)*(COUNTIF(CONFIG_ASIGNATURAS!$B$7:$B$27,nASIG)&gt;0)*1),"")))</f>
        <v/>
      </c>
      <c r="Z555" t="str">
        <f>IF(Y555="","",IF(Y555="[FÓRMULA MANUAL]","",IFERROR(AVERAGEIFS(nNOTA,nNIA,Y555,nCUENTA,1,nASIG,"Análisis"),"")))</f>
        <v/>
      </c>
      <c r="AA555" t="str">
        <f>IF(Y555="","",IF(Y555="[FÓRMULA MANUAL]","",IFERROR(AVERAGEIFS(nNOTA,nNIA,Y555,nCUENTA,1,nASIG,"Orquesta/Banda/Conjunto"),"")))</f>
        <v/>
      </c>
      <c r="AB555" t="str">
        <f>IF(Y555="","",IF(Y555="[FÓRMULA MANUAL]","",IFERROR(AVERAGEIFS(nNOTA,nNIA,Y555,nCUENTA,1,nASIG,"Música de Cámara"),"")))</f>
        <v/>
      </c>
      <c r="AC555" t="str">
        <f>IF(Y555="","",IF(Y555="[FÓRMULA MANUAL]","",IFERROR(SUMPRODUCT((nNIA=Y555)*(nCUENTA=1)*(COUNTIF(CONFIG_ASIGNATURAS!$B$7:$B$27,nASIG)&gt;0)*(nNOTA))/SUMPRODUCT((nNIA=Y555)*(nCUENTA=1)*(COUNTIF(CONFIG_ASIGNATURAS!$B$7:$B$27,nASIG)&gt;0)*1),"")))</f>
        <v/>
      </c>
      <c r="AF555" t="str">
        <f>IF(AE555="","",IF(AE555="[FÓRMULA MANUAL]","",IFERROR(AVERAGEIFS(nNOTA,nNIA,AE555,nCUENTA,1,nASIG,"Análisis"),"")))</f>
        <v/>
      </c>
      <c r="AG555" t="str">
        <f>IF(AE555="","",IF(AE555="[FÓRMULA MANUAL]","",IFERROR(AVERAGEIFS(nNOTA,nNIA,AE555,nCUENTA,1,nASIG,"Orquesta/Banda/Conjunto"),"")))</f>
        <v/>
      </c>
      <c r="AH555" t="str">
        <f>IF(AE555="","",IF(AE555="[FÓRMULA MANUAL]","",IFERROR(AVERAGEIFS(nNOTA,nNIA,AE555,nCUENTA,1,nASIG,"Música de Cámara"),"")))</f>
        <v/>
      </c>
      <c r="AI555" t="str">
        <f>IF(AE555="","",IF(AE555="[FÓRMULA MANUAL]","",IFERROR(SUMPRODUCT((nNIA=AE555)*(nCUENTA=1)*(COUNTIF(CONFIG_ASIGNATURAS!$B$7:$B$27,nASIG)&gt;0)*(nNOTA))/SUMPRODUCT((nNIA=AE555)*(nCUENTA=1)*(COUNTIF(CONFIG_ASIGNATURAS!$B$7:$B$27,nASIG)&gt;0)*1),"")))</f>
        <v/>
      </c>
    </row>
    <row r="556" spans="2:35" x14ac:dyDescent="0.2">
      <c r="B556" t="str">
        <f>IF(A556="","",IF(A556="[FÓRMULA MANUAL]","",IFERROR(AVERAGEIFS(nNOTA,nNIA,A556,nCUENTA,1,nASIG,"Lenguaje Musical"),"")))</f>
        <v/>
      </c>
      <c r="C556" t="str">
        <f>IF(A556="","",IF(A556="[FÓRMULA MANUAL]","",IFERROR(AVERAGEIFS(nNOTA,nNIA,A556,nCUENTA,1,nASIG,"Orquesta/Banda/Conjunto"),"")))</f>
        <v/>
      </c>
      <c r="D556" t="str">
        <f>IF(A556="","",IF(A556="[FÓRMULA MANUAL]","",IFERROR(AVERAGEIFS(nNOTA,nNIA,A556,nCUENTA,1,nASIG,"Conjunto"),"")))</f>
        <v/>
      </c>
      <c r="E556" t="str">
        <f>IF(A556="","",IF(A556="[FÓRMULA MANUAL]","",IFERROR(SUMPRODUCT((nNIA=A556)*(nCUENTA=1)*(COUNTIF(CONFIG_ASIGNATURAS!$B$7:$B$27,nASIG)&gt;0)*(nNOTA))/SUMPRODUCT((nNIA=A556)*(nCUENTA=1)*(COUNTIF(CONFIG_ASIGNATURAS!$B$7:$B$27,nASIG)&gt;0)*1),"")))</f>
        <v/>
      </c>
      <c r="H556" t="str">
        <f>IF(G556="","",IF(G556="[FÓRMULA MANUAL]","",IFERROR(AVERAGEIFS(nNOTA,nNIA,G556,nCUENTA,1,nASIG,"Lenguaje Musical"),"")))</f>
        <v/>
      </c>
      <c r="I556" t="str">
        <f>IF(G556="","",IF(G556="[FÓRMULA MANUAL]","",IFERROR(AVERAGEIFS(nNOTA,nNIA,G556,nCUENTA,1,nASIG,"Orquesta/Banda/Conjunto"),"")))</f>
        <v/>
      </c>
      <c r="J556" t="str">
        <f>IF(G556="","",IF(G556="[FÓRMULA MANUAL]","",IFERROR(AVERAGEIFS(nNOTA,nNIA,G556,nCUENTA,1,nASIG,"Conjunto"),"")))</f>
        <v/>
      </c>
      <c r="K556" t="str">
        <f>IF(G556="","",IF(G556="[FÓRMULA MANUAL]","",IFERROR(SUMPRODUCT((nNIA=G556)*(nCUENTA=1)*(COUNTIF(CONFIG_ASIGNATURAS!$B$7:$B$27,nASIG)&gt;0)*(nNOTA))/SUMPRODUCT((nNIA=G556)*(nCUENTA=1)*(COUNTIF(CONFIG_ASIGNATURAS!$B$7:$B$27,nASIG)&gt;0)*1),"")))</f>
        <v/>
      </c>
      <c r="N556" t="str">
        <f>IF(M556="","",IF(M556="[FÓRMULA MANUAL]","",IFERROR(AVERAGEIFS(nNOTA,nNIA,M556,nCUENTA,1,nASIG,"Armonía"),"")))</f>
        <v/>
      </c>
      <c r="O556" t="str">
        <f>IF(M556="","",IF(M556="[FÓRMULA MANUAL]","",IFERROR(AVERAGEIFS(nNOTA,nNIA,M556,nCUENTA,1,nASIG,"Orquesta/Banda/Conjunto"),"")))</f>
        <v/>
      </c>
      <c r="P556" t="str">
        <f>IF(M556="","",IF(M556="[FÓRMULA MANUAL]","",IFERROR(AVERAGEIFS(nNOTA,nNIA,M556,nCUENTA,1,nASIG,"Música de Cámara"),"")))</f>
        <v/>
      </c>
      <c r="Q556" t="str">
        <f>IF(M556="","",IF(M556="[FÓRMULA MANUAL]","",IFERROR(SUMPRODUCT((nNIA=M556)*(nCUENTA=1)*(COUNTIF(CONFIG_ASIGNATURAS!$B$7:$B$27,nASIG)&gt;0)*(nNOTA))/SUMPRODUCT((nNIA=M556)*(nCUENTA=1)*(COUNTIF(CONFIG_ASIGNATURAS!$B$7:$B$27,nASIG)&gt;0)*1),"")))</f>
        <v/>
      </c>
      <c r="T556" t="str">
        <f>IF(S556="","",IF(S556="[FÓRMULA MANUAL]","",IFERROR(AVERAGEIFS(nNOTA,nNIA,S556,nCUENTA,1,nASIG,"Armonía"),"")))</f>
        <v/>
      </c>
      <c r="U556" t="str">
        <f>IF(S556="","",IF(S556="[FÓRMULA MANUAL]","",IFERROR(AVERAGEIFS(nNOTA,nNIA,S556,nCUENTA,1,nASIG,"Orquesta/Banda/Conjunto"),"")))</f>
        <v/>
      </c>
      <c r="V556" t="str">
        <f>IF(S556="","",IF(S556="[FÓRMULA MANUAL]","",IFERROR(AVERAGEIFS(nNOTA,nNIA,S556,nCUENTA,1,nASIG,"Música de Cámara"),"")))</f>
        <v/>
      </c>
      <c r="W556" t="str">
        <f>IF(S556="","",IF(S556="[FÓRMULA MANUAL]","",IFERROR(SUMPRODUCT((nNIA=S556)*(nCUENTA=1)*(COUNTIF(CONFIG_ASIGNATURAS!$B$7:$B$27,nASIG)&gt;0)*(nNOTA))/SUMPRODUCT((nNIA=S556)*(nCUENTA=1)*(COUNTIF(CONFIG_ASIGNATURAS!$B$7:$B$27,nASIG)&gt;0)*1),"")))</f>
        <v/>
      </c>
      <c r="Z556" t="str">
        <f>IF(Y556="","",IF(Y556="[FÓRMULA MANUAL]","",IFERROR(AVERAGEIFS(nNOTA,nNIA,Y556,nCUENTA,1,nASIG,"Análisis"),"")))</f>
        <v/>
      </c>
      <c r="AA556" t="str">
        <f>IF(Y556="","",IF(Y556="[FÓRMULA MANUAL]","",IFERROR(AVERAGEIFS(nNOTA,nNIA,Y556,nCUENTA,1,nASIG,"Orquesta/Banda/Conjunto"),"")))</f>
        <v/>
      </c>
      <c r="AB556" t="str">
        <f>IF(Y556="","",IF(Y556="[FÓRMULA MANUAL]","",IFERROR(AVERAGEIFS(nNOTA,nNIA,Y556,nCUENTA,1,nASIG,"Música de Cámara"),"")))</f>
        <v/>
      </c>
      <c r="AC556" t="str">
        <f>IF(Y556="","",IF(Y556="[FÓRMULA MANUAL]","",IFERROR(SUMPRODUCT((nNIA=Y556)*(nCUENTA=1)*(COUNTIF(CONFIG_ASIGNATURAS!$B$7:$B$27,nASIG)&gt;0)*(nNOTA))/SUMPRODUCT((nNIA=Y556)*(nCUENTA=1)*(COUNTIF(CONFIG_ASIGNATURAS!$B$7:$B$27,nASIG)&gt;0)*1),"")))</f>
        <v/>
      </c>
      <c r="AF556" t="str">
        <f>IF(AE556="","",IF(AE556="[FÓRMULA MANUAL]","",IFERROR(AVERAGEIFS(nNOTA,nNIA,AE556,nCUENTA,1,nASIG,"Análisis"),"")))</f>
        <v/>
      </c>
      <c r="AG556" t="str">
        <f>IF(AE556="","",IF(AE556="[FÓRMULA MANUAL]","",IFERROR(AVERAGEIFS(nNOTA,nNIA,AE556,nCUENTA,1,nASIG,"Orquesta/Banda/Conjunto"),"")))</f>
        <v/>
      </c>
      <c r="AH556" t="str">
        <f>IF(AE556="","",IF(AE556="[FÓRMULA MANUAL]","",IFERROR(AVERAGEIFS(nNOTA,nNIA,AE556,nCUENTA,1,nASIG,"Música de Cámara"),"")))</f>
        <v/>
      </c>
      <c r="AI556" t="str">
        <f>IF(AE556="","",IF(AE556="[FÓRMULA MANUAL]","",IFERROR(SUMPRODUCT((nNIA=AE556)*(nCUENTA=1)*(COUNTIF(CONFIG_ASIGNATURAS!$B$7:$B$27,nASIG)&gt;0)*(nNOTA))/SUMPRODUCT((nNIA=AE556)*(nCUENTA=1)*(COUNTIF(CONFIG_ASIGNATURAS!$B$7:$B$27,nASIG)&gt;0)*1),"")))</f>
        <v/>
      </c>
    </row>
    <row r="557" spans="2:35" x14ac:dyDescent="0.2">
      <c r="B557" t="str">
        <f>IF(A557="","",IF(A557="[FÓRMULA MANUAL]","",IFERROR(AVERAGEIFS(nNOTA,nNIA,A557,nCUENTA,1,nASIG,"Lenguaje Musical"),"")))</f>
        <v/>
      </c>
      <c r="C557" t="str">
        <f>IF(A557="","",IF(A557="[FÓRMULA MANUAL]","",IFERROR(AVERAGEIFS(nNOTA,nNIA,A557,nCUENTA,1,nASIG,"Orquesta/Banda/Conjunto"),"")))</f>
        <v/>
      </c>
      <c r="D557" t="str">
        <f>IF(A557="","",IF(A557="[FÓRMULA MANUAL]","",IFERROR(AVERAGEIFS(nNOTA,nNIA,A557,nCUENTA,1,nASIG,"Conjunto"),"")))</f>
        <v/>
      </c>
      <c r="E557" t="str">
        <f>IF(A557="","",IF(A557="[FÓRMULA MANUAL]","",IFERROR(SUMPRODUCT((nNIA=A557)*(nCUENTA=1)*(COUNTIF(CONFIG_ASIGNATURAS!$B$7:$B$27,nASIG)&gt;0)*(nNOTA))/SUMPRODUCT((nNIA=A557)*(nCUENTA=1)*(COUNTIF(CONFIG_ASIGNATURAS!$B$7:$B$27,nASIG)&gt;0)*1),"")))</f>
        <v/>
      </c>
      <c r="H557" t="str">
        <f>IF(G557="","",IF(G557="[FÓRMULA MANUAL]","",IFERROR(AVERAGEIFS(nNOTA,nNIA,G557,nCUENTA,1,nASIG,"Lenguaje Musical"),"")))</f>
        <v/>
      </c>
      <c r="I557" t="str">
        <f>IF(G557="","",IF(G557="[FÓRMULA MANUAL]","",IFERROR(AVERAGEIFS(nNOTA,nNIA,G557,nCUENTA,1,nASIG,"Orquesta/Banda/Conjunto"),"")))</f>
        <v/>
      </c>
      <c r="J557" t="str">
        <f>IF(G557="","",IF(G557="[FÓRMULA MANUAL]","",IFERROR(AVERAGEIFS(nNOTA,nNIA,G557,nCUENTA,1,nASIG,"Conjunto"),"")))</f>
        <v/>
      </c>
      <c r="K557" t="str">
        <f>IF(G557="","",IF(G557="[FÓRMULA MANUAL]","",IFERROR(SUMPRODUCT((nNIA=G557)*(nCUENTA=1)*(COUNTIF(CONFIG_ASIGNATURAS!$B$7:$B$27,nASIG)&gt;0)*(nNOTA))/SUMPRODUCT((nNIA=G557)*(nCUENTA=1)*(COUNTIF(CONFIG_ASIGNATURAS!$B$7:$B$27,nASIG)&gt;0)*1),"")))</f>
        <v/>
      </c>
      <c r="N557" t="str">
        <f>IF(M557="","",IF(M557="[FÓRMULA MANUAL]","",IFERROR(AVERAGEIFS(nNOTA,nNIA,M557,nCUENTA,1,nASIG,"Armonía"),"")))</f>
        <v/>
      </c>
      <c r="O557" t="str">
        <f>IF(M557="","",IF(M557="[FÓRMULA MANUAL]","",IFERROR(AVERAGEIFS(nNOTA,nNIA,M557,nCUENTA,1,nASIG,"Orquesta/Banda/Conjunto"),"")))</f>
        <v/>
      </c>
      <c r="P557" t="str">
        <f>IF(M557="","",IF(M557="[FÓRMULA MANUAL]","",IFERROR(AVERAGEIFS(nNOTA,nNIA,M557,nCUENTA,1,nASIG,"Música de Cámara"),"")))</f>
        <v/>
      </c>
      <c r="Q557" t="str">
        <f>IF(M557="","",IF(M557="[FÓRMULA MANUAL]","",IFERROR(SUMPRODUCT((nNIA=M557)*(nCUENTA=1)*(COUNTIF(CONFIG_ASIGNATURAS!$B$7:$B$27,nASIG)&gt;0)*(nNOTA))/SUMPRODUCT((nNIA=M557)*(nCUENTA=1)*(COUNTIF(CONFIG_ASIGNATURAS!$B$7:$B$27,nASIG)&gt;0)*1),"")))</f>
        <v/>
      </c>
      <c r="T557" t="str">
        <f>IF(S557="","",IF(S557="[FÓRMULA MANUAL]","",IFERROR(AVERAGEIFS(nNOTA,nNIA,S557,nCUENTA,1,nASIG,"Armonía"),"")))</f>
        <v/>
      </c>
      <c r="U557" t="str">
        <f>IF(S557="","",IF(S557="[FÓRMULA MANUAL]","",IFERROR(AVERAGEIFS(nNOTA,nNIA,S557,nCUENTA,1,nASIG,"Orquesta/Banda/Conjunto"),"")))</f>
        <v/>
      </c>
      <c r="V557" t="str">
        <f>IF(S557="","",IF(S557="[FÓRMULA MANUAL]","",IFERROR(AVERAGEIFS(nNOTA,nNIA,S557,nCUENTA,1,nASIG,"Música de Cámara"),"")))</f>
        <v/>
      </c>
      <c r="W557" t="str">
        <f>IF(S557="","",IF(S557="[FÓRMULA MANUAL]","",IFERROR(SUMPRODUCT((nNIA=S557)*(nCUENTA=1)*(COUNTIF(CONFIG_ASIGNATURAS!$B$7:$B$27,nASIG)&gt;0)*(nNOTA))/SUMPRODUCT((nNIA=S557)*(nCUENTA=1)*(COUNTIF(CONFIG_ASIGNATURAS!$B$7:$B$27,nASIG)&gt;0)*1),"")))</f>
        <v/>
      </c>
      <c r="Z557" t="str">
        <f>IF(Y557="","",IF(Y557="[FÓRMULA MANUAL]","",IFERROR(AVERAGEIFS(nNOTA,nNIA,Y557,nCUENTA,1,nASIG,"Análisis"),"")))</f>
        <v/>
      </c>
      <c r="AA557" t="str">
        <f>IF(Y557="","",IF(Y557="[FÓRMULA MANUAL]","",IFERROR(AVERAGEIFS(nNOTA,nNIA,Y557,nCUENTA,1,nASIG,"Orquesta/Banda/Conjunto"),"")))</f>
        <v/>
      </c>
      <c r="AB557" t="str">
        <f>IF(Y557="","",IF(Y557="[FÓRMULA MANUAL]","",IFERROR(AVERAGEIFS(nNOTA,nNIA,Y557,nCUENTA,1,nASIG,"Música de Cámara"),"")))</f>
        <v/>
      </c>
      <c r="AC557" t="str">
        <f>IF(Y557="","",IF(Y557="[FÓRMULA MANUAL]","",IFERROR(SUMPRODUCT((nNIA=Y557)*(nCUENTA=1)*(COUNTIF(CONFIG_ASIGNATURAS!$B$7:$B$27,nASIG)&gt;0)*(nNOTA))/SUMPRODUCT((nNIA=Y557)*(nCUENTA=1)*(COUNTIF(CONFIG_ASIGNATURAS!$B$7:$B$27,nASIG)&gt;0)*1),"")))</f>
        <v/>
      </c>
      <c r="AF557" t="str">
        <f>IF(AE557="","",IF(AE557="[FÓRMULA MANUAL]","",IFERROR(AVERAGEIFS(nNOTA,nNIA,AE557,nCUENTA,1,nASIG,"Análisis"),"")))</f>
        <v/>
      </c>
      <c r="AG557" t="str">
        <f>IF(AE557="","",IF(AE557="[FÓRMULA MANUAL]","",IFERROR(AVERAGEIFS(nNOTA,nNIA,AE557,nCUENTA,1,nASIG,"Orquesta/Banda/Conjunto"),"")))</f>
        <v/>
      </c>
      <c r="AH557" t="str">
        <f>IF(AE557="","",IF(AE557="[FÓRMULA MANUAL]","",IFERROR(AVERAGEIFS(nNOTA,nNIA,AE557,nCUENTA,1,nASIG,"Música de Cámara"),"")))</f>
        <v/>
      </c>
      <c r="AI557" t="str">
        <f>IF(AE557="","",IF(AE557="[FÓRMULA MANUAL]","",IFERROR(SUMPRODUCT((nNIA=AE557)*(nCUENTA=1)*(COUNTIF(CONFIG_ASIGNATURAS!$B$7:$B$27,nASIG)&gt;0)*(nNOTA))/SUMPRODUCT((nNIA=AE557)*(nCUENTA=1)*(COUNTIF(CONFIG_ASIGNATURAS!$B$7:$B$27,nASIG)&gt;0)*1),"")))</f>
        <v/>
      </c>
    </row>
    <row r="558" spans="2:35" x14ac:dyDescent="0.2">
      <c r="B558" t="str">
        <f>IF(A558="","",IF(A558="[FÓRMULA MANUAL]","",IFERROR(AVERAGEIFS(nNOTA,nNIA,A558,nCUENTA,1,nASIG,"Lenguaje Musical"),"")))</f>
        <v/>
      </c>
      <c r="C558" t="str">
        <f>IF(A558="","",IF(A558="[FÓRMULA MANUAL]","",IFERROR(AVERAGEIFS(nNOTA,nNIA,A558,nCUENTA,1,nASIG,"Orquesta/Banda/Conjunto"),"")))</f>
        <v/>
      </c>
      <c r="D558" t="str">
        <f>IF(A558="","",IF(A558="[FÓRMULA MANUAL]","",IFERROR(AVERAGEIFS(nNOTA,nNIA,A558,nCUENTA,1,nASIG,"Conjunto"),"")))</f>
        <v/>
      </c>
      <c r="E558" t="str">
        <f>IF(A558="","",IF(A558="[FÓRMULA MANUAL]","",IFERROR(SUMPRODUCT((nNIA=A558)*(nCUENTA=1)*(COUNTIF(CONFIG_ASIGNATURAS!$B$7:$B$27,nASIG)&gt;0)*(nNOTA))/SUMPRODUCT((nNIA=A558)*(nCUENTA=1)*(COUNTIF(CONFIG_ASIGNATURAS!$B$7:$B$27,nASIG)&gt;0)*1),"")))</f>
        <v/>
      </c>
      <c r="H558" t="str">
        <f>IF(G558="","",IF(G558="[FÓRMULA MANUAL]","",IFERROR(AVERAGEIFS(nNOTA,nNIA,G558,nCUENTA,1,nASIG,"Lenguaje Musical"),"")))</f>
        <v/>
      </c>
      <c r="I558" t="str">
        <f>IF(G558="","",IF(G558="[FÓRMULA MANUAL]","",IFERROR(AVERAGEIFS(nNOTA,nNIA,G558,nCUENTA,1,nASIG,"Orquesta/Banda/Conjunto"),"")))</f>
        <v/>
      </c>
      <c r="J558" t="str">
        <f>IF(G558="","",IF(G558="[FÓRMULA MANUAL]","",IFERROR(AVERAGEIFS(nNOTA,nNIA,G558,nCUENTA,1,nASIG,"Conjunto"),"")))</f>
        <v/>
      </c>
      <c r="K558" t="str">
        <f>IF(G558="","",IF(G558="[FÓRMULA MANUAL]","",IFERROR(SUMPRODUCT((nNIA=G558)*(nCUENTA=1)*(COUNTIF(CONFIG_ASIGNATURAS!$B$7:$B$27,nASIG)&gt;0)*(nNOTA))/SUMPRODUCT((nNIA=G558)*(nCUENTA=1)*(COUNTIF(CONFIG_ASIGNATURAS!$B$7:$B$27,nASIG)&gt;0)*1),"")))</f>
        <v/>
      </c>
      <c r="N558" t="str">
        <f>IF(M558="","",IF(M558="[FÓRMULA MANUAL]","",IFERROR(AVERAGEIFS(nNOTA,nNIA,M558,nCUENTA,1,nASIG,"Armonía"),"")))</f>
        <v/>
      </c>
      <c r="O558" t="str">
        <f>IF(M558="","",IF(M558="[FÓRMULA MANUAL]","",IFERROR(AVERAGEIFS(nNOTA,nNIA,M558,nCUENTA,1,nASIG,"Orquesta/Banda/Conjunto"),"")))</f>
        <v/>
      </c>
      <c r="P558" t="str">
        <f>IF(M558="","",IF(M558="[FÓRMULA MANUAL]","",IFERROR(AVERAGEIFS(nNOTA,nNIA,M558,nCUENTA,1,nASIG,"Música de Cámara"),"")))</f>
        <v/>
      </c>
      <c r="Q558" t="str">
        <f>IF(M558="","",IF(M558="[FÓRMULA MANUAL]","",IFERROR(SUMPRODUCT((nNIA=M558)*(nCUENTA=1)*(COUNTIF(CONFIG_ASIGNATURAS!$B$7:$B$27,nASIG)&gt;0)*(nNOTA))/SUMPRODUCT((nNIA=M558)*(nCUENTA=1)*(COUNTIF(CONFIG_ASIGNATURAS!$B$7:$B$27,nASIG)&gt;0)*1),"")))</f>
        <v/>
      </c>
      <c r="T558" t="str">
        <f>IF(S558="","",IF(S558="[FÓRMULA MANUAL]","",IFERROR(AVERAGEIFS(nNOTA,nNIA,S558,nCUENTA,1,nASIG,"Armonía"),"")))</f>
        <v/>
      </c>
      <c r="U558" t="str">
        <f>IF(S558="","",IF(S558="[FÓRMULA MANUAL]","",IFERROR(AVERAGEIFS(nNOTA,nNIA,S558,nCUENTA,1,nASIG,"Orquesta/Banda/Conjunto"),"")))</f>
        <v/>
      </c>
      <c r="V558" t="str">
        <f>IF(S558="","",IF(S558="[FÓRMULA MANUAL]","",IFERROR(AVERAGEIFS(nNOTA,nNIA,S558,nCUENTA,1,nASIG,"Música de Cámara"),"")))</f>
        <v/>
      </c>
      <c r="W558" t="str">
        <f>IF(S558="","",IF(S558="[FÓRMULA MANUAL]","",IFERROR(SUMPRODUCT((nNIA=S558)*(nCUENTA=1)*(COUNTIF(CONFIG_ASIGNATURAS!$B$7:$B$27,nASIG)&gt;0)*(nNOTA))/SUMPRODUCT((nNIA=S558)*(nCUENTA=1)*(COUNTIF(CONFIG_ASIGNATURAS!$B$7:$B$27,nASIG)&gt;0)*1),"")))</f>
        <v/>
      </c>
      <c r="Z558" t="str">
        <f>IF(Y558="","",IF(Y558="[FÓRMULA MANUAL]","",IFERROR(AVERAGEIFS(nNOTA,nNIA,Y558,nCUENTA,1,nASIG,"Análisis"),"")))</f>
        <v/>
      </c>
      <c r="AA558" t="str">
        <f>IF(Y558="","",IF(Y558="[FÓRMULA MANUAL]","",IFERROR(AVERAGEIFS(nNOTA,nNIA,Y558,nCUENTA,1,nASIG,"Orquesta/Banda/Conjunto"),"")))</f>
        <v/>
      </c>
      <c r="AB558" t="str">
        <f>IF(Y558="","",IF(Y558="[FÓRMULA MANUAL]","",IFERROR(AVERAGEIFS(nNOTA,nNIA,Y558,nCUENTA,1,nASIG,"Música de Cámara"),"")))</f>
        <v/>
      </c>
      <c r="AC558" t="str">
        <f>IF(Y558="","",IF(Y558="[FÓRMULA MANUAL]","",IFERROR(SUMPRODUCT((nNIA=Y558)*(nCUENTA=1)*(COUNTIF(CONFIG_ASIGNATURAS!$B$7:$B$27,nASIG)&gt;0)*(nNOTA))/SUMPRODUCT((nNIA=Y558)*(nCUENTA=1)*(COUNTIF(CONFIG_ASIGNATURAS!$B$7:$B$27,nASIG)&gt;0)*1),"")))</f>
        <v/>
      </c>
      <c r="AF558" t="str">
        <f>IF(AE558="","",IF(AE558="[FÓRMULA MANUAL]","",IFERROR(AVERAGEIFS(nNOTA,nNIA,AE558,nCUENTA,1,nASIG,"Análisis"),"")))</f>
        <v/>
      </c>
      <c r="AG558" t="str">
        <f>IF(AE558="","",IF(AE558="[FÓRMULA MANUAL]","",IFERROR(AVERAGEIFS(nNOTA,nNIA,AE558,nCUENTA,1,nASIG,"Orquesta/Banda/Conjunto"),"")))</f>
        <v/>
      </c>
      <c r="AH558" t="str">
        <f>IF(AE558="","",IF(AE558="[FÓRMULA MANUAL]","",IFERROR(AVERAGEIFS(nNOTA,nNIA,AE558,nCUENTA,1,nASIG,"Música de Cámara"),"")))</f>
        <v/>
      </c>
      <c r="AI558" t="str">
        <f>IF(AE558="","",IF(AE558="[FÓRMULA MANUAL]","",IFERROR(SUMPRODUCT((nNIA=AE558)*(nCUENTA=1)*(COUNTIF(CONFIG_ASIGNATURAS!$B$7:$B$27,nASIG)&gt;0)*(nNOTA))/SUMPRODUCT((nNIA=AE558)*(nCUENTA=1)*(COUNTIF(CONFIG_ASIGNATURAS!$B$7:$B$27,nASIG)&gt;0)*1),"")))</f>
        <v/>
      </c>
    </row>
    <row r="559" spans="2:35" x14ac:dyDescent="0.2">
      <c r="B559" t="str">
        <f>IF(A559="","",IF(A559="[FÓRMULA MANUAL]","",IFERROR(AVERAGEIFS(nNOTA,nNIA,A559,nCUENTA,1,nASIG,"Lenguaje Musical"),"")))</f>
        <v/>
      </c>
      <c r="C559" t="str">
        <f>IF(A559="","",IF(A559="[FÓRMULA MANUAL]","",IFERROR(AVERAGEIFS(nNOTA,nNIA,A559,nCUENTA,1,nASIG,"Orquesta/Banda/Conjunto"),"")))</f>
        <v/>
      </c>
      <c r="D559" t="str">
        <f>IF(A559="","",IF(A559="[FÓRMULA MANUAL]","",IFERROR(AVERAGEIFS(nNOTA,nNIA,A559,nCUENTA,1,nASIG,"Conjunto"),"")))</f>
        <v/>
      </c>
      <c r="E559" t="str">
        <f>IF(A559="","",IF(A559="[FÓRMULA MANUAL]","",IFERROR(SUMPRODUCT((nNIA=A559)*(nCUENTA=1)*(COUNTIF(CONFIG_ASIGNATURAS!$B$7:$B$27,nASIG)&gt;0)*(nNOTA))/SUMPRODUCT((nNIA=A559)*(nCUENTA=1)*(COUNTIF(CONFIG_ASIGNATURAS!$B$7:$B$27,nASIG)&gt;0)*1),"")))</f>
        <v/>
      </c>
      <c r="H559" t="str">
        <f>IF(G559="","",IF(G559="[FÓRMULA MANUAL]","",IFERROR(AVERAGEIFS(nNOTA,nNIA,G559,nCUENTA,1,nASIG,"Lenguaje Musical"),"")))</f>
        <v/>
      </c>
      <c r="I559" t="str">
        <f>IF(G559="","",IF(G559="[FÓRMULA MANUAL]","",IFERROR(AVERAGEIFS(nNOTA,nNIA,G559,nCUENTA,1,nASIG,"Orquesta/Banda/Conjunto"),"")))</f>
        <v/>
      </c>
      <c r="J559" t="str">
        <f>IF(G559="","",IF(G559="[FÓRMULA MANUAL]","",IFERROR(AVERAGEIFS(nNOTA,nNIA,G559,nCUENTA,1,nASIG,"Conjunto"),"")))</f>
        <v/>
      </c>
      <c r="K559" t="str">
        <f>IF(G559="","",IF(G559="[FÓRMULA MANUAL]","",IFERROR(SUMPRODUCT((nNIA=G559)*(nCUENTA=1)*(COUNTIF(CONFIG_ASIGNATURAS!$B$7:$B$27,nASIG)&gt;0)*(nNOTA))/SUMPRODUCT((nNIA=G559)*(nCUENTA=1)*(COUNTIF(CONFIG_ASIGNATURAS!$B$7:$B$27,nASIG)&gt;0)*1),"")))</f>
        <v/>
      </c>
      <c r="N559" t="str">
        <f>IF(M559="","",IF(M559="[FÓRMULA MANUAL]","",IFERROR(AVERAGEIFS(nNOTA,nNIA,M559,nCUENTA,1,nASIG,"Armonía"),"")))</f>
        <v/>
      </c>
      <c r="O559" t="str">
        <f>IF(M559="","",IF(M559="[FÓRMULA MANUAL]","",IFERROR(AVERAGEIFS(nNOTA,nNIA,M559,nCUENTA,1,nASIG,"Orquesta/Banda/Conjunto"),"")))</f>
        <v/>
      </c>
      <c r="P559" t="str">
        <f>IF(M559="","",IF(M559="[FÓRMULA MANUAL]","",IFERROR(AVERAGEIFS(nNOTA,nNIA,M559,nCUENTA,1,nASIG,"Música de Cámara"),"")))</f>
        <v/>
      </c>
      <c r="Q559" t="str">
        <f>IF(M559="","",IF(M559="[FÓRMULA MANUAL]","",IFERROR(SUMPRODUCT((nNIA=M559)*(nCUENTA=1)*(COUNTIF(CONFIG_ASIGNATURAS!$B$7:$B$27,nASIG)&gt;0)*(nNOTA))/SUMPRODUCT((nNIA=M559)*(nCUENTA=1)*(COUNTIF(CONFIG_ASIGNATURAS!$B$7:$B$27,nASIG)&gt;0)*1),"")))</f>
        <v/>
      </c>
      <c r="T559" t="str">
        <f>IF(S559="","",IF(S559="[FÓRMULA MANUAL]","",IFERROR(AVERAGEIFS(nNOTA,nNIA,S559,nCUENTA,1,nASIG,"Armonía"),"")))</f>
        <v/>
      </c>
      <c r="U559" t="str">
        <f>IF(S559="","",IF(S559="[FÓRMULA MANUAL]","",IFERROR(AVERAGEIFS(nNOTA,nNIA,S559,nCUENTA,1,nASIG,"Orquesta/Banda/Conjunto"),"")))</f>
        <v/>
      </c>
      <c r="V559" t="str">
        <f>IF(S559="","",IF(S559="[FÓRMULA MANUAL]","",IFERROR(AVERAGEIFS(nNOTA,nNIA,S559,nCUENTA,1,nASIG,"Música de Cámara"),"")))</f>
        <v/>
      </c>
      <c r="W559" t="str">
        <f>IF(S559="","",IF(S559="[FÓRMULA MANUAL]","",IFERROR(SUMPRODUCT((nNIA=S559)*(nCUENTA=1)*(COUNTIF(CONFIG_ASIGNATURAS!$B$7:$B$27,nASIG)&gt;0)*(nNOTA))/SUMPRODUCT((nNIA=S559)*(nCUENTA=1)*(COUNTIF(CONFIG_ASIGNATURAS!$B$7:$B$27,nASIG)&gt;0)*1),"")))</f>
        <v/>
      </c>
      <c r="Z559" t="str">
        <f>IF(Y559="","",IF(Y559="[FÓRMULA MANUAL]","",IFERROR(AVERAGEIFS(nNOTA,nNIA,Y559,nCUENTA,1,nASIG,"Análisis"),"")))</f>
        <v/>
      </c>
      <c r="AA559" t="str">
        <f>IF(Y559="","",IF(Y559="[FÓRMULA MANUAL]","",IFERROR(AVERAGEIFS(nNOTA,nNIA,Y559,nCUENTA,1,nASIG,"Orquesta/Banda/Conjunto"),"")))</f>
        <v/>
      </c>
      <c r="AB559" t="str">
        <f>IF(Y559="","",IF(Y559="[FÓRMULA MANUAL]","",IFERROR(AVERAGEIFS(nNOTA,nNIA,Y559,nCUENTA,1,nASIG,"Música de Cámara"),"")))</f>
        <v/>
      </c>
      <c r="AC559" t="str">
        <f>IF(Y559="","",IF(Y559="[FÓRMULA MANUAL]","",IFERROR(SUMPRODUCT((nNIA=Y559)*(nCUENTA=1)*(COUNTIF(CONFIG_ASIGNATURAS!$B$7:$B$27,nASIG)&gt;0)*(nNOTA))/SUMPRODUCT((nNIA=Y559)*(nCUENTA=1)*(COUNTIF(CONFIG_ASIGNATURAS!$B$7:$B$27,nASIG)&gt;0)*1),"")))</f>
        <v/>
      </c>
      <c r="AF559" t="str">
        <f>IF(AE559="","",IF(AE559="[FÓRMULA MANUAL]","",IFERROR(AVERAGEIFS(nNOTA,nNIA,AE559,nCUENTA,1,nASIG,"Análisis"),"")))</f>
        <v/>
      </c>
      <c r="AG559" t="str">
        <f>IF(AE559="","",IF(AE559="[FÓRMULA MANUAL]","",IFERROR(AVERAGEIFS(nNOTA,nNIA,AE559,nCUENTA,1,nASIG,"Orquesta/Banda/Conjunto"),"")))</f>
        <v/>
      </c>
      <c r="AH559" t="str">
        <f>IF(AE559="","",IF(AE559="[FÓRMULA MANUAL]","",IFERROR(AVERAGEIFS(nNOTA,nNIA,AE559,nCUENTA,1,nASIG,"Música de Cámara"),"")))</f>
        <v/>
      </c>
      <c r="AI559" t="str">
        <f>IF(AE559="","",IF(AE559="[FÓRMULA MANUAL]","",IFERROR(SUMPRODUCT((nNIA=AE559)*(nCUENTA=1)*(COUNTIF(CONFIG_ASIGNATURAS!$B$7:$B$27,nASIG)&gt;0)*(nNOTA))/SUMPRODUCT((nNIA=AE559)*(nCUENTA=1)*(COUNTIF(CONFIG_ASIGNATURAS!$B$7:$B$27,nASIG)&gt;0)*1),"")))</f>
        <v/>
      </c>
    </row>
    <row r="560" spans="2:35" x14ac:dyDescent="0.2">
      <c r="B560" t="str">
        <f>IF(A560="","",IF(A560="[FÓRMULA MANUAL]","",IFERROR(AVERAGEIFS(nNOTA,nNIA,A560,nCUENTA,1,nASIG,"Lenguaje Musical"),"")))</f>
        <v/>
      </c>
      <c r="C560" t="str">
        <f>IF(A560="","",IF(A560="[FÓRMULA MANUAL]","",IFERROR(AVERAGEIFS(nNOTA,nNIA,A560,nCUENTA,1,nASIG,"Orquesta/Banda/Conjunto"),"")))</f>
        <v/>
      </c>
      <c r="D560" t="str">
        <f>IF(A560="","",IF(A560="[FÓRMULA MANUAL]","",IFERROR(AVERAGEIFS(nNOTA,nNIA,A560,nCUENTA,1,nASIG,"Conjunto"),"")))</f>
        <v/>
      </c>
      <c r="E560" t="str">
        <f>IF(A560="","",IF(A560="[FÓRMULA MANUAL]","",IFERROR(SUMPRODUCT((nNIA=A560)*(nCUENTA=1)*(COUNTIF(CONFIG_ASIGNATURAS!$B$7:$B$27,nASIG)&gt;0)*(nNOTA))/SUMPRODUCT((nNIA=A560)*(nCUENTA=1)*(COUNTIF(CONFIG_ASIGNATURAS!$B$7:$B$27,nASIG)&gt;0)*1),"")))</f>
        <v/>
      </c>
      <c r="H560" t="str">
        <f>IF(G560="","",IF(G560="[FÓRMULA MANUAL]","",IFERROR(AVERAGEIFS(nNOTA,nNIA,G560,nCUENTA,1,nASIG,"Lenguaje Musical"),"")))</f>
        <v/>
      </c>
      <c r="I560" t="str">
        <f>IF(G560="","",IF(G560="[FÓRMULA MANUAL]","",IFERROR(AVERAGEIFS(nNOTA,nNIA,G560,nCUENTA,1,nASIG,"Orquesta/Banda/Conjunto"),"")))</f>
        <v/>
      </c>
      <c r="J560" t="str">
        <f>IF(G560="","",IF(G560="[FÓRMULA MANUAL]","",IFERROR(AVERAGEIFS(nNOTA,nNIA,G560,nCUENTA,1,nASIG,"Conjunto"),"")))</f>
        <v/>
      </c>
      <c r="K560" t="str">
        <f>IF(G560="","",IF(G560="[FÓRMULA MANUAL]","",IFERROR(SUMPRODUCT((nNIA=G560)*(nCUENTA=1)*(COUNTIF(CONFIG_ASIGNATURAS!$B$7:$B$27,nASIG)&gt;0)*(nNOTA))/SUMPRODUCT((nNIA=G560)*(nCUENTA=1)*(COUNTIF(CONFIG_ASIGNATURAS!$B$7:$B$27,nASIG)&gt;0)*1),"")))</f>
        <v/>
      </c>
      <c r="N560" t="str">
        <f>IF(M560="","",IF(M560="[FÓRMULA MANUAL]","",IFERROR(AVERAGEIFS(nNOTA,nNIA,M560,nCUENTA,1,nASIG,"Armonía"),"")))</f>
        <v/>
      </c>
      <c r="O560" t="str">
        <f>IF(M560="","",IF(M560="[FÓRMULA MANUAL]","",IFERROR(AVERAGEIFS(nNOTA,nNIA,M560,nCUENTA,1,nASIG,"Orquesta/Banda/Conjunto"),"")))</f>
        <v/>
      </c>
      <c r="P560" t="str">
        <f>IF(M560="","",IF(M560="[FÓRMULA MANUAL]","",IFERROR(AVERAGEIFS(nNOTA,nNIA,M560,nCUENTA,1,nASIG,"Música de Cámara"),"")))</f>
        <v/>
      </c>
      <c r="Q560" t="str">
        <f>IF(M560="","",IF(M560="[FÓRMULA MANUAL]","",IFERROR(SUMPRODUCT((nNIA=M560)*(nCUENTA=1)*(COUNTIF(CONFIG_ASIGNATURAS!$B$7:$B$27,nASIG)&gt;0)*(nNOTA))/SUMPRODUCT((nNIA=M560)*(nCUENTA=1)*(COUNTIF(CONFIG_ASIGNATURAS!$B$7:$B$27,nASIG)&gt;0)*1),"")))</f>
        <v/>
      </c>
      <c r="T560" t="str">
        <f>IF(S560="","",IF(S560="[FÓRMULA MANUAL]","",IFERROR(AVERAGEIFS(nNOTA,nNIA,S560,nCUENTA,1,nASIG,"Armonía"),"")))</f>
        <v/>
      </c>
      <c r="U560" t="str">
        <f>IF(S560="","",IF(S560="[FÓRMULA MANUAL]","",IFERROR(AVERAGEIFS(nNOTA,nNIA,S560,nCUENTA,1,nASIG,"Orquesta/Banda/Conjunto"),"")))</f>
        <v/>
      </c>
      <c r="V560" t="str">
        <f>IF(S560="","",IF(S560="[FÓRMULA MANUAL]","",IFERROR(AVERAGEIFS(nNOTA,nNIA,S560,nCUENTA,1,nASIG,"Música de Cámara"),"")))</f>
        <v/>
      </c>
      <c r="W560" t="str">
        <f>IF(S560="","",IF(S560="[FÓRMULA MANUAL]","",IFERROR(SUMPRODUCT((nNIA=S560)*(nCUENTA=1)*(COUNTIF(CONFIG_ASIGNATURAS!$B$7:$B$27,nASIG)&gt;0)*(nNOTA))/SUMPRODUCT((nNIA=S560)*(nCUENTA=1)*(COUNTIF(CONFIG_ASIGNATURAS!$B$7:$B$27,nASIG)&gt;0)*1),"")))</f>
        <v/>
      </c>
      <c r="Z560" t="str">
        <f>IF(Y560="","",IF(Y560="[FÓRMULA MANUAL]","",IFERROR(AVERAGEIFS(nNOTA,nNIA,Y560,nCUENTA,1,nASIG,"Análisis"),"")))</f>
        <v/>
      </c>
      <c r="AA560" t="str">
        <f>IF(Y560="","",IF(Y560="[FÓRMULA MANUAL]","",IFERROR(AVERAGEIFS(nNOTA,nNIA,Y560,nCUENTA,1,nASIG,"Orquesta/Banda/Conjunto"),"")))</f>
        <v/>
      </c>
      <c r="AB560" t="str">
        <f>IF(Y560="","",IF(Y560="[FÓRMULA MANUAL]","",IFERROR(AVERAGEIFS(nNOTA,nNIA,Y560,nCUENTA,1,nASIG,"Música de Cámara"),"")))</f>
        <v/>
      </c>
      <c r="AC560" t="str">
        <f>IF(Y560="","",IF(Y560="[FÓRMULA MANUAL]","",IFERROR(SUMPRODUCT((nNIA=Y560)*(nCUENTA=1)*(COUNTIF(CONFIG_ASIGNATURAS!$B$7:$B$27,nASIG)&gt;0)*(nNOTA))/SUMPRODUCT((nNIA=Y560)*(nCUENTA=1)*(COUNTIF(CONFIG_ASIGNATURAS!$B$7:$B$27,nASIG)&gt;0)*1),"")))</f>
        <v/>
      </c>
      <c r="AF560" t="str">
        <f>IF(AE560="","",IF(AE560="[FÓRMULA MANUAL]","",IFERROR(AVERAGEIFS(nNOTA,nNIA,AE560,nCUENTA,1,nASIG,"Análisis"),"")))</f>
        <v/>
      </c>
      <c r="AG560" t="str">
        <f>IF(AE560="","",IF(AE560="[FÓRMULA MANUAL]","",IFERROR(AVERAGEIFS(nNOTA,nNIA,AE560,nCUENTA,1,nASIG,"Orquesta/Banda/Conjunto"),"")))</f>
        <v/>
      </c>
      <c r="AH560" t="str">
        <f>IF(AE560="","",IF(AE560="[FÓRMULA MANUAL]","",IFERROR(AVERAGEIFS(nNOTA,nNIA,AE560,nCUENTA,1,nASIG,"Música de Cámara"),"")))</f>
        <v/>
      </c>
      <c r="AI560" t="str">
        <f>IF(AE560="","",IF(AE560="[FÓRMULA MANUAL]","",IFERROR(SUMPRODUCT((nNIA=AE560)*(nCUENTA=1)*(COUNTIF(CONFIG_ASIGNATURAS!$B$7:$B$27,nASIG)&gt;0)*(nNOTA))/SUMPRODUCT((nNIA=AE560)*(nCUENTA=1)*(COUNTIF(CONFIG_ASIGNATURAS!$B$7:$B$27,nASIG)&gt;0)*1),"")))</f>
        <v/>
      </c>
    </row>
    <row r="561" spans="2:35" x14ac:dyDescent="0.2">
      <c r="B561" t="str">
        <f>IF(A561="","",IF(A561="[FÓRMULA MANUAL]","",IFERROR(AVERAGEIFS(nNOTA,nNIA,A561,nCUENTA,1,nASIG,"Lenguaje Musical"),"")))</f>
        <v/>
      </c>
      <c r="C561" t="str">
        <f>IF(A561="","",IF(A561="[FÓRMULA MANUAL]","",IFERROR(AVERAGEIFS(nNOTA,nNIA,A561,nCUENTA,1,nASIG,"Orquesta/Banda/Conjunto"),"")))</f>
        <v/>
      </c>
      <c r="D561" t="str">
        <f>IF(A561="","",IF(A561="[FÓRMULA MANUAL]","",IFERROR(AVERAGEIFS(nNOTA,nNIA,A561,nCUENTA,1,nASIG,"Conjunto"),"")))</f>
        <v/>
      </c>
      <c r="E561" t="str">
        <f>IF(A561="","",IF(A561="[FÓRMULA MANUAL]","",IFERROR(SUMPRODUCT((nNIA=A561)*(nCUENTA=1)*(COUNTIF(CONFIG_ASIGNATURAS!$B$7:$B$27,nASIG)&gt;0)*(nNOTA))/SUMPRODUCT((nNIA=A561)*(nCUENTA=1)*(COUNTIF(CONFIG_ASIGNATURAS!$B$7:$B$27,nASIG)&gt;0)*1),"")))</f>
        <v/>
      </c>
      <c r="H561" t="str">
        <f>IF(G561="","",IF(G561="[FÓRMULA MANUAL]","",IFERROR(AVERAGEIFS(nNOTA,nNIA,G561,nCUENTA,1,nASIG,"Lenguaje Musical"),"")))</f>
        <v/>
      </c>
      <c r="I561" t="str">
        <f>IF(G561="","",IF(G561="[FÓRMULA MANUAL]","",IFERROR(AVERAGEIFS(nNOTA,nNIA,G561,nCUENTA,1,nASIG,"Orquesta/Banda/Conjunto"),"")))</f>
        <v/>
      </c>
      <c r="J561" t="str">
        <f>IF(G561="","",IF(G561="[FÓRMULA MANUAL]","",IFERROR(AVERAGEIFS(nNOTA,nNIA,G561,nCUENTA,1,nASIG,"Conjunto"),"")))</f>
        <v/>
      </c>
      <c r="K561" t="str">
        <f>IF(G561="","",IF(G561="[FÓRMULA MANUAL]","",IFERROR(SUMPRODUCT((nNIA=G561)*(nCUENTA=1)*(COUNTIF(CONFIG_ASIGNATURAS!$B$7:$B$27,nASIG)&gt;0)*(nNOTA))/SUMPRODUCT((nNIA=G561)*(nCUENTA=1)*(COUNTIF(CONFIG_ASIGNATURAS!$B$7:$B$27,nASIG)&gt;0)*1),"")))</f>
        <v/>
      </c>
      <c r="N561" t="str">
        <f>IF(M561="","",IF(M561="[FÓRMULA MANUAL]","",IFERROR(AVERAGEIFS(nNOTA,nNIA,M561,nCUENTA,1,nASIG,"Armonía"),"")))</f>
        <v/>
      </c>
      <c r="O561" t="str">
        <f>IF(M561="","",IF(M561="[FÓRMULA MANUAL]","",IFERROR(AVERAGEIFS(nNOTA,nNIA,M561,nCUENTA,1,nASIG,"Orquesta/Banda/Conjunto"),"")))</f>
        <v/>
      </c>
      <c r="P561" t="str">
        <f>IF(M561="","",IF(M561="[FÓRMULA MANUAL]","",IFERROR(AVERAGEIFS(nNOTA,nNIA,M561,nCUENTA,1,nASIG,"Música de Cámara"),"")))</f>
        <v/>
      </c>
      <c r="Q561" t="str">
        <f>IF(M561="","",IF(M561="[FÓRMULA MANUAL]","",IFERROR(SUMPRODUCT((nNIA=M561)*(nCUENTA=1)*(COUNTIF(CONFIG_ASIGNATURAS!$B$7:$B$27,nASIG)&gt;0)*(nNOTA))/SUMPRODUCT((nNIA=M561)*(nCUENTA=1)*(COUNTIF(CONFIG_ASIGNATURAS!$B$7:$B$27,nASIG)&gt;0)*1),"")))</f>
        <v/>
      </c>
      <c r="T561" t="str">
        <f>IF(S561="","",IF(S561="[FÓRMULA MANUAL]","",IFERROR(AVERAGEIFS(nNOTA,nNIA,S561,nCUENTA,1,nASIG,"Armonía"),"")))</f>
        <v/>
      </c>
      <c r="U561" t="str">
        <f>IF(S561="","",IF(S561="[FÓRMULA MANUAL]","",IFERROR(AVERAGEIFS(nNOTA,nNIA,S561,nCUENTA,1,nASIG,"Orquesta/Banda/Conjunto"),"")))</f>
        <v/>
      </c>
      <c r="V561" t="str">
        <f>IF(S561="","",IF(S561="[FÓRMULA MANUAL]","",IFERROR(AVERAGEIFS(nNOTA,nNIA,S561,nCUENTA,1,nASIG,"Música de Cámara"),"")))</f>
        <v/>
      </c>
      <c r="W561" t="str">
        <f>IF(S561="","",IF(S561="[FÓRMULA MANUAL]","",IFERROR(SUMPRODUCT((nNIA=S561)*(nCUENTA=1)*(COUNTIF(CONFIG_ASIGNATURAS!$B$7:$B$27,nASIG)&gt;0)*(nNOTA))/SUMPRODUCT((nNIA=S561)*(nCUENTA=1)*(COUNTIF(CONFIG_ASIGNATURAS!$B$7:$B$27,nASIG)&gt;0)*1),"")))</f>
        <v/>
      </c>
      <c r="Z561" t="str">
        <f>IF(Y561="","",IF(Y561="[FÓRMULA MANUAL]","",IFERROR(AVERAGEIFS(nNOTA,nNIA,Y561,nCUENTA,1,nASIG,"Análisis"),"")))</f>
        <v/>
      </c>
      <c r="AA561" t="str">
        <f>IF(Y561="","",IF(Y561="[FÓRMULA MANUAL]","",IFERROR(AVERAGEIFS(nNOTA,nNIA,Y561,nCUENTA,1,nASIG,"Orquesta/Banda/Conjunto"),"")))</f>
        <v/>
      </c>
      <c r="AB561" t="str">
        <f>IF(Y561="","",IF(Y561="[FÓRMULA MANUAL]","",IFERROR(AVERAGEIFS(nNOTA,nNIA,Y561,nCUENTA,1,nASIG,"Música de Cámara"),"")))</f>
        <v/>
      </c>
      <c r="AC561" t="str">
        <f>IF(Y561="","",IF(Y561="[FÓRMULA MANUAL]","",IFERROR(SUMPRODUCT((nNIA=Y561)*(nCUENTA=1)*(COUNTIF(CONFIG_ASIGNATURAS!$B$7:$B$27,nASIG)&gt;0)*(nNOTA))/SUMPRODUCT((nNIA=Y561)*(nCUENTA=1)*(COUNTIF(CONFIG_ASIGNATURAS!$B$7:$B$27,nASIG)&gt;0)*1),"")))</f>
        <v/>
      </c>
      <c r="AF561" t="str">
        <f>IF(AE561="","",IF(AE561="[FÓRMULA MANUAL]","",IFERROR(AVERAGEIFS(nNOTA,nNIA,AE561,nCUENTA,1,nASIG,"Análisis"),"")))</f>
        <v/>
      </c>
      <c r="AG561" t="str">
        <f>IF(AE561="","",IF(AE561="[FÓRMULA MANUAL]","",IFERROR(AVERAGEIFS(nNOTA,nNIA,AE561,nCUENTA,1,nASIG,"Orquesta/Banda/Conjunto"),"")))</f>
        <v/>
      </c>
      <c r="AH561" t="str">
        <f>IF(AE561="","",IF(AE561="[FÓRMULA MANUAL]","",IFERROR(AVERAGEIFS(nNOTA,nNIA,AE561,nCUENTA,1,nASIG,"Música de Cámara"),"")))</f>
        <v/>
      </c>
      <c r="AI561" t="str">
        <f>IF(AE561="","",IF(AE561="[FÓRMULA MANUAL]","",IFERROR(SUMPRODUCT((nNIA=AE561)*(nCUENTA=1)*(COUNTIF(CONFIG_ASIGNATURAS!$B$7:$B$27,nASIG)&gt;0)*(nNOTA))/SUMPRODUCT((nNIA=AE561)*(nCUENTA=1)*(COUNTIF(CONFIG_ASIGNATURAS!$B$7:$B$27,nASIG)&gt;0)*1),"")))</f>
        <v/>
      </c>
    </row>
    <row r="562" spans="2:35" x14ac:dyDescent="0.2">
      <c r="B562" t="str">
        <f>IF(A562="","",IF(A562="[FÓRMULA MANUAL]","",IFERROR(AVERAGEIFS(nNOTA,nNIA,A562,nCUENTA,1,nASIG,"Lenguaje Musical"),"")))</f>
        <v/>
      </c>
      <c r="C562" t="str">
        <f>IF(A562="","",IF(A562="[FÓRMULA MANUAL]","",IFERROR(AVERAGEIFS(nNOTA,nNIA,A562,nCUENTA,1,nASIG,"Orquesta/Banda/Conjunto"),"")))</f>
        <v/>
      </c>
      <c r="D562" t="str">
        <f>IF(A562="","",IF(A562="[FÓRMULA MANUAL]","",IFERROR(AVERAGEIFS(nNOTA,nNIA,A562,nCUENTA,1,nASIG,"Conjunto"),"")))</f>
        <v/>
      </c>
      <c r="E562" t="str">
        <f>IF(A562="","",IF(A562="[FÓRMULA MANUAL]","",IFERROR(SUMPRODUCT((nNIA=A562)*(nCUENTA=1)*(COUNTIF(CONFIG_ASIGNATURAS!$B$7:$B$27,nASIG)&gt;0)*(nNOTA))/SUMPRODUCT((nNIA=A562)*(nCUENTA=1)*(COUNTIF(CONFIG_ASIGNATURAS!$B$7:$B$27,nASIG)&gt;0)*1),"")))</f>
        <v/>
      </c>
      <c r="H562" t="str">
        <f>IF(G562="","",IF(G562="[FÓRMULA MANUAL]","",IFERROR(AVERAGEIFS(nNOTA,nNIA,G562,nCUENTA,1,nASIG,"Lenguaje Musical"),"")))</f>
        <v/>
      </c>
      <c r="I562" t="str">
        <f>IF(G562="","",IF(G562="[FÓRMULA MANUAL]","",IFERROR(AVERAGEIFS(nNOTA,nNIA,G562,nCUENTA,1,nASIG,"Orquesta/Banda/Conjunto"),"")))</f>
        <v/>
      </c>
      <c r="J562" t="str">
        <f>IF(G562="","",IF(G562="[FÓRMULA MANUAL]","",IFERROR(AVERAGEIFS(nNOTA,nNIA,G562,nCUENTA,1,nASIG,"Conjunto"),"")))</f>
        <v/>
      </c>
      <c r="K562" t="str">
        <f>IF(G562="","",IF(G562="[FÓRMULA MANUAL]","",IFERROR(SUMPRODUCT((nNIA=G562)*(nCUENTA=1)*(COUNTIF(CONFIG_ASIGNATURAS!$B$7:$B$27,nASIG)&gt;0)*(nNOTA))/SUMPRODUCT((nNIA=G562)*(nCUENTA=1)*(COUNTIF(CONFIG_ASIGNATURAS!$B$7:$B$27,nASIG)&gt;0)*1),"")))</f>
        <v/>
      </c>
      <c r="N562" t="str">
        <f>IF(M562="","",IF(M562="[FÓRMULA MANUAL]","",IFERROR(AVERAGEIFS(nNOTA,nNIA,M562,nCUENTA,1,nASIG,"Armonía"),"")))</f>
        <v/>
      </c>
      <c r="O562" t="str">
        <f>IF(M562="","",IF(M562="[FÓRMULA MANUAL]","",IFERROR(AVERAGEIFS(nNOTA,nNIA,M562,nCUENTA,1,nASIG,"Orquesta/Banda/Conjunto"),"")))</f>
        <v/>
      </c>
      <c r="P562" t="str">
        <f>IF(M562="","",IF(M562="[FÓRMULA MANUAL]","",IFERROR(AVERAGEIFS(nNOTA,nNIA,M562,nCUENTA,1,nASIG,"Música de Cámara"),"")))</f>
        <v/>
      </c>
      <c r="Q562" t="str">
        <f>IF(M562="","",IF(M562="[FÓRMULA MANUAL]","",IFERROR(SUMPRODUCT((nNIA=M562)*(nCUENTA=1)*(COUNTIF(CONFIG_ASIGNATURAS!$B$7:$B$27,nASIG)&gt;0)*(nNOTA))/SUMPRODUCT((nNIA=M562)*(nCUENTA=1)*(COUNTIF(CONFIG_ASIGNATURAS!$B$7:$B$27,nASIG)&gt;0)*1),"")))</f>
        <v/>
      </c>
      <c r="T562" t="str">
        <f>IF(S562="","",IF(S562="[FÓRMULA MANUAL]","",IFERROR(AVERAGEIFS(nNOTA,nNIA,S562,nCUENTA,1,nASIG,"Armonía"),"")))</f>
        <v/>
      </c>
      <c r="U562" t="str">
        <f>IF(S562="","",IF(S562="[FÓRMULA MANUAL]","",IFERROR(AVERAGEIFS(nNOTA,nNIA,S562,nCUENTA,1,nASIG,"Orquesta/Banda/Conjunto"),"")))</f>
        <v/>
      </c>
      <c r="V562" t="str">
        <f>IF(S562="","",IF(S562="[FÓRMULA MANUAL]","",IFERROR(AVERAGEIFS(nNOTA,nNIA,S562,nCUENTA,1,nASIG,"Música de Cámara"),"")))</f>
        <v/>
      </c>
      <c r="W562" t="str">
        <f>IF(S562="","",IF(S562="[FÓRMULA MANUAL]","",IFERROR(SUMPRODUCT((nNIA=S562)*(nCUENTA=1)*(COUNTIF(CONFIG_ASIGNATURAS!$B$7:$B$27,nASIG)&gt;0)*(nNOTA))/SUMPRODUCT((nNIA=S562)*(nCUENTA=1)*(COUNTIF(CONFIG_ASIGNATURAS!$B$7:$B$27,nASIG)&gt;0)*1),"")))</f>
        <v/>
      </c>
      <c r="Z562" t="str">
        <f>IF(Y562="","",IF(Y562="[FÓRMULA MANUAL]","",IFERROR(AVERAGEIFS(nNOTA,nNIA,Y562,nCUENTA,1,nASIG,"Análisis"),"")))</f>
        <v/>
      </c>
      <c r="AA562" t="str">
        <f>IF(Y562="","",IF(Y562="[FÓRMULA MANUAL]","",IFERROR(AVERAGEIFS(nNOTA,nNIA,Y562,nCUENTA,1,nASIG,"Orquesta/Banda/Conjunto"),"")))</f>
        <v/>
      </c>
      <c r="AB562" t="str">
        <f>IF(Y562="","",IF(Y562="[FÓRMULA MANUAL]","",IFERROR(AVERAGEIFS(nNOTA,nNIA,Y562,nCUENTA,1,nASIG,"Música de Cámara"),"")))</f>
        <v/>
      </c>
      <c r="AC562" t="str">
        <f>IF(Y562="","",IF(Y562="[FÓRMULA MANUAL]","",IFERROR(SUMPRODUCT((nNIA=Y562)*(nCUENTA=1)*(COUNTIF(CONFIG_ASIGNATURAS!$B$7:$B$27,nASIG)&gt;0)*(nNOTA))/SUMPRODUCT((nNIA=Y562)*(nCUENTA=1)*(COUNTIF(CONFIG_ASIGNATURAS!$B$7:$B$27,nASIG)&gt;0)*1),"")))</f>
        <v/>
      </c>
      <c r="AF562" t="str">
        <f>IF(AE562="","",IF(AE562="[FÓRMULA MANUAL]","",IFERROR(AVERAGEIFS(nNOTA,nNIA,AE562,nCUENTA,1,nASIG,"Análisis"),"")))</f>
        <v/>
      </c>
      <c r="AG562" t="str">
        <f>IF(AE562="","",IF(AE562="[FÓRMULA MANUAL]","",IFERROR(AVERAGEIFS(nNOTA,nNIA,AE562,nCUENTA,1,nASIG,"Orquesta/Banda/Conjunto"),"")))</f>
        <v/>
      </c>
      <c r="AH562" t="str">
        <f>IF(AE562="","",IF(AE562="[FÓRMULA MANUAL]","",IFERROR(AVERAGEIFS(nNOTA,nNIA,AE562,nCUENTA,1,nASIG,"Música de Cámara"),"")))</f>
        <v/>
      </c>
      <c r="AI562" t="str">
        <f>IF(AE562="","",IF(AE562="[FÓRMULA MANUAL]","",IFERROR(SUMPRODUCT((nNIA=AE562)*(nCUENTA=1)*(COUNTIF(CONFIG_ASIGNATURAS!$B$7:$B$27,nASIG)&gt;0)*(nNOTA))/SUMPRODUCT((nNIA=AE562)*(nCUENTA=1)*(COUNTIF(CONFIG_ASIGNATURAS!$B$7:$B$27,nASIG)&gt;0)*1),"")))</f>
        <v/>
      </c>
    </row>
    <row r="563" spans="2:35" x14ac:dyDescent="0.2">
      <c r="B563" t="str">
        <f>IF(A563="","",IF(A563="[FÓRMULA MANUAL]","",IFERROR(AVERAGEIFS(nNOTA,nNIA,A563,nCUENTA,1,nASIG,"Lenguaje Musical"),"")))</f>
        <v/>
      </c>
      <c r="C563" t="str">
        <f>IF(A563="","",IF(A563="[FÓRMULA MANUAL]","",IFERROR(AVERAGEIFS(nNOTA,nNIA,A563,nCUENTA,1,nASIG,"Orquesta/Banda/Conjunto"),"")))</f>
        <v/>
      </c>
      <c r="D563" t="str">
        <f>IF(A563="","",IF(A563="[FÓRMULA MANUAL]","",IFERROR(AVERAGEIFS(nNOTA,nNIA,A563,nCUENTA,1,nASIG,"Conjunto"),"")))</f>
        <v/>
      </c>
      <c r="E563" t="str">
        <f>IF(A563="","",IF(A563="[FÓRMULA MANUAL]","",IFERROR(SUMPRODUCT((nNIA=A563)*(nCUENTA=1)*(COUNTIF(CONFIG_ASIGNATURAS!$B$7:$B$27,nASIG)&gt;0)*(nNOTA))/SUMPRODUCT((nNIA=A563)*(nCUENTA=1)*(COUNTIF(CONFIG_ASIGNATURAS!$B$7:$B$27,nASIG)&gt;0)*1),"")))</f>
        <v/>
      </c>
      <c r="H563" t="str">
        <f>IF(G563="","",IF(G563="[FÓRMULA MANUAL]","",IFERROR(AVERAGEIFS(nNOTA,nNIA,G563,nCUENTA,1,nASIG,"Lenguaje Musical"),"")))</f>
        <v/>
      </c>
      <c r="I563" t="str">
        <f>IF(G563="","",IF(G563="[FÓRMULA MANUAL]","",IFERROR(AVERAGEIFS(nNOTA,nNIA,G563,nCUENTA,1,nASIG,"Orquesta/Banda/Conjunto"),"")))</f>
        <v/>
      </c>
      <c r="J563" t="str">
        <f>IF(G563="","",IF(G563="[FÓRMULA MANUAL]","",IFERROR(AVERAGEIFS(nNOTA,nNIA,G563,nCUENTA,1,nASIG,"Conjunto"),"")))</f>
        <v/>
      </c>
      <c r="K563" t="str">
        <f>IF(G563="","",IF(G563="[FÓRMULA MANUAL]","",IFERROR(SUMPRODUCT((nNIA=G563)*(nCUENTA=1)*(COUNTIF(CONFIG_ASIGNATURAS!$B$7:$B$27,nASIG)&gt;0)*(nNOTA))/SUMPRODUCT((nNIA=G563)*(nCUENTA=1)*(COUNTIF(CONFIG_ASIGNATURAS!$B$7:$B$27,nASIG)&gt;0)*1),"")))</f>
        <v/>
      </c>
      <c r="N563" t="str">
        <f>IF(M563="","",IF(M563="[FÓRMULA MANUAL]","",IFERROR(AVERAGEIFS(nNOTA,nNIA,M563,nCUENTA,1,nASIG,"Armonía"),"")))</f>
        <v/>
      </c>
      <c r="O563" t="str">
        <f>IF(M563="","",IF(M563="[FÓRMULA MANUAL]","",IFERROR(AVERAGEIFS(nNOTA,nNIA,M563,nCUENTA,1,nASIG,"Orquesta/Banda/Conjunto"),"")))</f>
        <v/>
      </c>
      <c r="P563" t="str">
        <f>IF(M563="","",IF(M563="[FÓRMULA MANUAL]","",IFERROR(AVERAGEIFS(nNOTA,nNIA,M563,nCUENTA,1,nASIG,"Música de Cámara"),"")))</f>
        <v/>
      </c>
      <c r="Q563" t="str">
        <f>IF(M563="","",IF(M563="[FÓRMULA MANUAL]","",IFERROR(SUMPRODUCT((nNIA=M563)*(nCUENTA=1)*(COUNTIF(CONFIG_ASIGNATURAS!$B$7:$B$27,nASIG)&gt;0)*(nNOTA))/SUMPRODUCT((nNIA=M563)*(nCUENTA=1)*(COUNTIF(CONFIG_ASIGNATURAS!$B$7:$B$27,nASIG)&gt;0)*1),"")))</f>
        <v/>
      </c>
      <c r="T563" t="str">
        <f>IF(S563="","",IF(S563="[FÓRMULA MANUAL]","",IFERROR(AVERAGEIFS(nNOTA,nNIA,S563,nCUENTA,1,nASIG,"Armonía"),"")))</f>
        <v/>
      </c>
      <c r="U563" t="str">
        <f>IF(S563="","",IF(S563="[FÓRMULA MANUAL]","",IFERROR(AVERAGEIFS(nNOTA,nNIA,S563,nCUENTA,1,nASIG,"Orquesta/Banda/Conjunto"),"")))</f>
        <v/>
      </c>
      <c r="V563" t="str">
        <f>IF(S563="","",IF(S563="[FÓRMULA MANUAL]","",IFERROR(AVERAGEIFS(nNOTA,nNIA,S563,nCUENTA,1,nASIG,"Música de Cámara"),"")))</f>
        <v/>
      </c>
      <c r="W563" t="str">
        <f>IF(S563="","",IF(S563="[FÓRMULA MANUAL]","",IFERROR(SUMPRODUCT((nNIA=S563)*(nCUENTA=1)*(COUNTIF(CONFIG_ASIGNATURAS!$B$7:$B$27,nASIG)&gt;0)*(nNOTA))/SUMPRODUCT((nNIA=S563)*(nCUENTA=1)*(COUNTIF(CONFIG_ASIGNATURAS!$B$7:$B$27,nASIG)&gt;0)*1),"")))</f>
        <v/>
      </c>
      <c r="Z563" t="str">
        <f>IF(Y563="","",IF(Y563="[FÓRMULA MANUAL]","",IFERROR(AVERAGEIFS(nNOTA,nNIA,Y563,nCUENTA,1,nASIG,"Análisis"),"")))</f>
        <v/>
      </c>
      <c r="AA563" t="str">
        <f>IF(Y563="","",IF(Y563="[FÓRMULA MANUAL]","",IFERROR(AVERAGEIFS(nNOTA,nNIA,Y563,nCUENTA,1,nASIG,"Orquesta/Banda/Conjunto"),"")))</f>
        <v/>
      </c>
      <c r="AB563" t="str">
        <f>IF(Y563="","",IF(Y563="[FÓRMULA MANUAL]","",IFERROR(AVERAGEIFS(nNOTA,nNIA,Y563,nCUENTA,1,nASIG,"Música de Cámara"),"")))</f>
        <v/>
      </c>
      <c r="AC563" t="str">
        <f>IF(Y563="","",IF(Y563="[FÓRMULA MANUAL]","",IFERROR(SUMPRODUCT((nNIA=Y563)*(nCUENTA=1)*(COUNTIF(CONFIG_ASIGNATURAS!$B$7:$B$27,nASIG)&gt;0)*(nNOTA))/SUMPRODUCT((nNIA=Y563)*(nCUENTA=1)*(COUNTIF(CONFIG_ASIGNATURAS!$B$7:$B$27,nASIG)&gt;0)*1),"")))</f>
        <v/>
      </c>
      <c r="AF563" t="str">
        <f>IF(AE563="","",IF(AE563="[FÓRMULA MANUAL]","",IFERROR(AVERAGEIFS(nNOTA,nNIA,AE563,nCUENTA,1,nASIG,"Análisis"),"")))</f>
        <v/>
      </c>
      <c r="AG563" t="str">
        <f>IF(AE563="","",IF(AE563="[FÓRMULA MANUAL]","",IFERROR(AVERAGEIFS(nNOTA,nNIA,AE563,nCUENTA,1,nASIG,"Orquesta/Banda/Conjunto"),"")))</f>
        <v/>
      </c>
      <c r="AH563" t="str">
        <f>IF(AE563="","",IF(AE563="[FÓRMULA MANUAL]","",IFERROR(AVERAGEIFS(nNOTA,nNIA,AE563,nCUENTA,1,nASIG,"Música de Cámara"),"")))</f>
        <v/>
      </c>
      <c r="AI563" t="str">
        <f>IF(AE563="","",IF(AE563="[FÓRMULA MANUAL]","",IFERROR(SUMPRODUCT((nNIA=AE563)*(nCUENTA=1)*(COUNTIF(CONFIG_ASIGNATURAS!$B$7:$B$27,nASIG)&gt;0)*(nNOTA))/SUMPRODUCT((nNIA=AE563)*(nCUENTA=1)*(COUNTIF(CONFIG_ASIGNATURAS!$B$7:$B$27,nASIG)&gt;0)*1),"")))</f>
        <v/>
      </c>
    </row>
    <row r="564" spans="2:35" x14ac:dyDescent="0.2">
      <c r="B564" t="str">
        <f>IF(A564="","",IF(A564="[FÓRMULA MANUAL]","",IFERROR(AVERAGEIFS(nNOTA,nNIA,A564,nCUENTA,1,nASIG,"Lenguaje Musical"),"")))</f>
        <v/>
      </c>
      <c r="C564" t="str">
        <f>IF(A564="","",IF(A564="[FÓRMULA MANUAL]","",IFERROR(AVERAGEIFS(nNOTA,nNIA,A564,nCUENTA,1,nASIG,"Orquesta/Banda/Conjunto"),"")))</f>
        <v/>
      </c>
      <c r="D564" t="str">
        <f>IF(A564="","",IF(A564="[FÓRMULA MANUAL]","",IFERROR(AVERAGEIFS(nNOTA,nNIA,A564,nCUENTA,1,nASIG,"Conjunto"),"")))</f>
        <v/>
      </c>
      <c r="E564" t="str">
        <f>IF(A564="","",IF(A564="[FÓRMULA MANUAL]","",IFERROR(SUMPRODUCT((nNIA=A564)*(nCUENTA=1)*(COUNTIF(CONFIG_ASIGNATURAS!$B$7:$B$27,nASIG)&gt;0)*(nNOTA))/SUMPRODUCT((nNIA=A564)*(nCUENTA=1)*(COUNTIF(CONFIG_ASIGNATURAS!$B$7:$B$27,nASIG)&gt;0)*1),"")))</f>
        <v/>
      </c>
      <c r="H564" t="str">
        <f>IF(G564="","",IF(G564="[FÓRMULA MANUAL]","",IFERROR(AVERAGEIFS(nNOTA,nNIA,G564,nCUENTA,1,nASIG,"Lenguaje Musical"),"")))</f>
        <v/>
      </c>
      <c r="I564" t="str">
        <f>IF(G564="","",IF(G564="[FÓRMULA MANUAL]","",IFERROR(AVERAGEIFS(nNOTA,nNIA,G564,nCUENTA,1,nASIG,"Orquesta/Banda/Conjunto"),"")))</f>
        <v/>
      </c>
      <c r="J564" t="str">
        <f>IF(G564="","",IF(G564="[FÓRMULA MANUAL]","",IFERROR(AVERAGEIFS(nNOTA,nNIA,G564,nCUENTA,1,nASIG,"Conjunto"),"")))</f>
        <v/>
      </c>
      <c r="K564" t="str">
        <f>IF(G564="","",IF(G564="[FÓRMULA MANUAL]","",IFERROR(SUMPRODUCT((nNIA=G564)*(nCUENTA=1)*(COUNTIF(CONFIG_ASIGNATURAS!$B$7:$B$27,nASIG)&gt;0)*(nNOTA))/SUMPRODUCT((nNIA=G564)*(nCUENTA=1)*(COUNTIF(CONFIG_ASIGNATURAS!$B$7:$B$27,nASIG)&gt;0)*1),"")))</f>
        <v/>
      </c>
      <c r="N564" t="str">
        <f>IF(M564="","",IF(M564="[FÓRMULA MANUAL]","",IFERROR(AVERAGEIFS(nNOTA,nNIA,M564,nCUENTA,1,nASIG,"Armonía"),"")))</f>
        <v/>
      </c>
      <c r="O564" t="str">
        <f>IF(M564="","",IF(M564="[FÓRMULA MANUAL]","",IFERROR(AVERAGEIFS(nNOTA,nNIA,M564,nCUENTA,1,nASIG,"Orquesta/Banda/Conjunto"),"")))</f>
        <v/>
      </c>
      <c r="P564" t="str">
        <f>IF(M564="","",IF(M564="[FÓRMULA MANUAL]","",IFERROR(AVERAGEIFS(nNOTA,nNIA,M564,nCUENTA,1,nASIG,"Música de Cámara"),"")))</f>
        <v/>
      </c>
      <c r="Q564" t="str">
        <f>IF(M564="","",IF(M564="[FÓRMULA MANUAL]","",IFERROR(SUMPRODUCT((nNIA=M564)*(nCUENTA=1)*(COUNTIF(CONFIG_ASIGNATURAS!$B$7:$B$27,nASIG)&gt;0)*(nNOTA))/SUMPRODUCT((nNIA=M564)*(nCUENTA=1)*(COUNTIF(CONFIG_ASIGNATURAS!$B$7:$B$27,nASIG)&gt;0)*1),"")))</f>
        <v/>
      </c>
      <c r="T564" t="str">
        <f>IF(S564="","",IF(S564="[FÓRMULA MANUAL]","",IFERROR(AVERAGEIFS(nNOTA,nNIA,S564,nCUENTA,1,nASIG,"Armonía"),"")))</f>
        <v/>
      </c>
      <c r="U564" t="str">
        <f>IF(S564="","",IF(S564="[FÓRMULA MANUAL]","",IFERROR(AVERAGEIFS(nNOTA,nNIA,S564,nCUENTA,1,nASIG,"Orquesta/Banda/Conjunto"),"")))</f>
        <v/>
      </c>
      <c r="V564" t="str">
        <f>IF(S564="","",IF(S564="[FÓRMULA MANUAL]","",IFERROR(AVERAGEIFS(nNOTA,nNIA,S564,nCUENTA,1,nASIG,"Música de Cámara"),"")))</f>
        <v/>
      </c>
      <c r="W564" t="str">
        <f>IF(S564="","",IF(S564="[FÓRMULA MANUAL]","",IFERROR(SUMPRODUCT((nNIA=S564)*(nCUENTA=1)*(COUNTIF(CONFIG_ASIGNATURAS!$B$7:$B$27,nASIG)&gt;0)*(nNOTA))/SUMPRODUCT((nNIA=S564)*(nCUENTA=1)*(COUNTIF(CONFIG_ASIGNATURAS!$B$7:$B$27,nASIG)&gt;0)*1),"")))</f>
        <v/>
      </c>
      <c r="Z564" t="str">
        <f>IF(Y564="","",IF(Y564="[FÓRMULA MANUAL]","",IFERROR(AVERAGEIFS(nNOTA,nNIA,Y564,nCUENTA,1,nASIG,"Análisis"),"")))</f>
        <v/>
      </c>
      <c r="AA564" t="str">
        <f>IF(Y564="","",IF(Y564="[FÓRMULA MANUAL]","",IFERROR(AVERAGEIFS(nNOTA,nNIA,Y564,nCUENTA,1,nASIG,"Orquesta/Banda/Conjunto"),"")))</f>
        <v/>
      </c>
      <c r="AB564" t="str">
        <f>IF(Y564="","",IF(Y564="[FÓRMULA MANUAL]","",IFERROR(AVERAGEIFS(nNOTA,nNIA,Y564,nCUENTA,1,nASIG,"Música de Cámara"),"")))</f>
        <v/>
      </c>
      <c r="AC564" t="str">
        <f>IF(Y564="","",IF(Y564="[FÓRMULA MANUAL]","",IFERROR(SUMPRODUCT((nNIA=Y564)*(nCUENTA=1)*(COUNTIF(CONFIG_ASIGNATURAS!$B$7:$B$27,nASIG)&gt;0)*(nNOTA))/SUMPRODUCT((nNIA=Y564)*(nCUENTA=1)*(COUNTIF(CONFIG_ASIGNATURAS!$B$7:$B$27,nASIG)&gt;0)*1),"")))</f>
        <v/>
      </c>
      <c r="AF564" t="str">
        <f>IF(AE564="","",IF(AE564="[FÓRMULA MANUAL]","",IFERROR(AVERAGEIFS(nNOTA,nNIA,AE564,nCUENTA,1,nASIG,"Análisis"),"")))</f>
        <v/>
      </c>
      <c r="AG564" t="str">
        <f>IF(AE564="","",IF(AE564="[FÓRMULA MANUAL]","",IFERROR(AVERAGEIFS(nNOTA,nNIA,AE564,nCUENTA,1,nASIG,"Orquesta/Banda/Conjunto"),"")))</f>
        <v/>
      </c>
      <c r="AH564" t="str">
        <f>IF(AE564="","",IF(AE564="[FÓRMULA MANUAL]","",IFERROR(AVERAGEIFS(nNOTA,nNIA,AE564,nCUENTA,1,nASIG,"Música de Cámara"),"")))</f>
        <v/>
      </c>
      <c r="AI564" t="str">
        <f>IF(AE564="","",IF(AE564="[FÓRMULA MANUAL]","",IFERROR(SUMPRODUCT((nNIA=AE564)*(nCUENTA=1)*(COUNTIF(CONFIG_ASIGNATURAS!$B$7:$B$27,nASIG)&gt;0)*(nNOTA))/SUMPRODUCT((nNIA=AE564)*(nCUENTA=1)*(COUNTIF(CONFIG_ASIGNATURAS!$B$7:$B$27,nASIG)&gt;0)*1),"")))</f>
        <v/>
      </c>
    </row>
    <row r="565" spans="2:35" x14ac:dyDescent="0.2">
      <c r="B565" t="str">
        <f>IF(A565="","",IF(A565="[FÓRMULA MANUAL]","",IFERROR(AVERAGEIFS(nNOTA,nNIA,A565,nCUENTA,1,nASIG,"Lenguaje Musical"),"")))</f>
        <v/>
      </c>
      <c r="C565" t="str">
        <f>IF(A565="","",IF(A565="[FÓRMULA MANUAL]","",IFERROR(AVERAGEIFS(nNOTA,nNIA,A565,nCUENTA,1,nASIG,"Orquesta/Banda/Conjunto"),"")))</f>
        <v/>
      </c>
      <c r="D565" t="str">
        <f>IF(A565="","",IF(A565="[FÓRMULA MANUAL]","",IFERROR(AVERAGEIFS(nNOTA,nNIA,A565,nCUENTA,1,nASIG,"Conjunto"),"")))</f>
        <v/>
      </c>
      <c r="E565" t="str">
        <f>IF(A565="","",IF(A565="[FÓRMULA MANUAL]","",IFERROR(SUMPRODUCT((nNIA=A565)*(nCUENTA=1)*(COUNTIF(CONFIG_ASIGNATURAS!$B$7:$B$27,nASIG)&gt;0)*(nNOTA))/SUMPRODUCT((nNIA=A565)*(nCUENTA=1)*(COUNTIF(CONFIG_ASIGNATURAS!$B$7:$B$27,nASIG)&gt;0)*1),"")))</f>
        <v/>
      </c>
      <c r="H565" t="str">
        <f>IF(G565="","",IF(G565="[FÓRMULA MANUAL]","",IFERROR(AVERAGEIFS(nNOTA,nNIA,G565,nCUENTA,1,nASIG,"Lenguaje Musical"),"")))</f>
        <v/>
      </c>
      <c r="I565" t="str">
        <f>IF(G565="","",IF(G565="[FÓRMULA MANUAL]","",IFERROR(AVERAGEIFS(nNOTA,nNIA,G565,nCUENTA,1,nASIG,"Orquesta/Banda/Conjunto"),"")))</f>
        <v/>
      </c>
      <c r="J565" t="str">
        <f>IF(G565="","",IF(G565="[FÓRMULA MANUAL]","",IFERROR(AVERAGEIFS(nNOTA,nNIA,G565,nCUENTA,1,nASIG,"Conjunto"),"")))</f>
        <v/>
      </c>
      <c r="K565" t="str">
        <f>IF(G565="","",IF(G565="[FÓRMULA MANUAL]","",IFERROR(SUMPRODUCT((nNIA=G565)*(nCUENTA=1)*(COUNTIF(CONFIG_ASIGNATURAS!$B$7:$B$27,nASIG)&gt;0)*(nNOTA))/SUMPRODUCT((nNIA=G565)*(nCUENTA=1)*(COUNTIF(CONFIG_ASIGNATURAS!$B$7:$B$27,nASIG)&gt;0)*1),"")))</f>
        <v/>
      </c>
      <c r="N565" t="str">
        <f>IF(M565="","",IF(M565="[FÓRMULA MANUAL]","",IFERROR(AVERAGEIFS(nNOTA,nNIA,M565,nCUENTA,1,nASIG,"Armonía"),"")))</f>
        <v/>
      </c>
      <c r="O565" t="str">
        <f>IF(M565="","",IF(M565="[FÓRMULA MANUAL]","",IFERROR(AVERAGEIFS(nNOTA,nNIA,M565,nCUENTA,1,nASIG,"Orquesta/Banda/Conjunto"),"")))</f>
        <v/>
      </c>
      <c r="P565" t="str">
        <f>IF(M565="","",IF(M565="[FÓRMULA MANUAL]","",IFERROR(AVERAGEIFS(nNOTA,nNIA,M565,nCUENTA,1,nASIG,"Música de Cámara"),"")))</f>
        <v/>
      </c>
      <c r="Q565" t="str">
        <f>IF(M565="","",IF(M565="[FÓRMULA MANUAL]","",IFERROR(SUMPRODUCT((nNIA=M565)*(nCUENTA=1)*(COUNTIF(CONFIG_ASIGNATURAS!$B$7:$B$27,nASIG)&gt;0)*(nNOTA))/SUMPRODUCT((nNIA=M565)*(nCUENTA=1)*(COUNTIF(CONFIG_ASIGNATURAS!$B$7:$B$27,nASIG)&gt;0)*1),"")))</f>
        <v/>
      </c>
      <c r="T565" t="str">
        <f>IF(S565="","",IF(S565="[FÓRMULA MANUAL]","",IFERROR(AVERAGEIFS(nNOTA,nNIA,S565,nCUENTA,1,nASIG,"Armonía"),"")))</f>
        <v/>
      </c>
      <c r="U565" t="str">
        <f>IF(S565="","",IF(S565="[FÓRMULA MANUAL]","",IFERROR(AVERAGEIFS(nNOTA,nNIA,S565,nCUENTA,1,nASIG,"Orquesta/Banda/Conjunto"),"")))</f>
        <v/>
      </c>
      <c r="V565" t="str">
        <f>IF(S565="","",IF(S565="[FÓRMULA MANUAL]","",IFERROR(AVERAGEIFS(nNOTA,nNIA,S565,nCUENTA,1,nASIG,"Música de Cámara"),"")))</f>
        <v/>
      </c>
      <c r="W565" t="str">
        <f>IF(S565="","",IF(S565="[FÓRMULA MANUAL]","",IFERROR(SUMPRODUCT((nNIA=S565)*(nCUENTA=1)*(COUNTIF(CONFIG_ASIGNATURAS!$B$7:$B$27,nASIG)&gt;0)*(nNOTA))/SUMPRODUCT((nNIA=S565)*(nCUENTA=1)*(COUNTIF(CONFIG_ASIGNATURAS!$B$7:$B$27,nASIG)&gt;0)*1),"")))</f>
        <v/>
      </c>
      <c r="Z565" t="str">
        <f>IF(Y565="","",IF(Y565="[FÓRMULA MANUAL]","",IFERROR(AVERAGEIFS(nNOTA,nNIA,Y565,nCUENTA,1,nASIG,"Análisis"),"")))</f>
        <v/>
      </c>
      <c r="AA565" t="str">
        <f>IF(Y565="","",IF(Y565="[FÓRMULA MANUAL]","",IFERROR(AVERAGEIFS(nNOTA,nNIA,Y565,nCUENTA,1,nASIG,"Orquesta/Banda/Conjunto"),"")))</f>
        <v/>
      </c>
      <c r="AB565" t="str">
        <f>IF(Y565="","",IF(Y565="[FÓRMULA MANUAL]","",IFERROR(AVERAGEIFS(nNOTA,nNIA,Y565,nCUENTA,1,nASIG,"Música de Cámara"),"")))</f>
        <v/>
      </c>
      <c r="AC565" t="str">
        <f>IF(Y565="","",IF(Y565="[FÓRMULA MANUAL]","",IFERROR(SUMPRODUCT((nNIA=Y565)*(nCUENTA=1)*(COUNTIF(CONFIG_ASIGNATURAS!$B$7:$B$27,nASIG)&gt;0)*(nNOTA))/SUMPRODUCT((nNIA=Y565)*(nCUENTA=1)*(COUNTIF(CONFIG_ASIGNATURAS!$B$7:$B$27,nASIG)&gt;0)*1),"")))</f>
        <v/>
      </c>
      <c r="AF565" t="str">
        <f>IF(AE565="","",IF(AE565="[FÓRMULA MANUAL]","",IFERROR(AVERAGEIFS(nNOTA,nNIA,AE565,nCUENTA,1,nASIG,"Análisis"),"")))</f>
        <v/>
      </c>
      <c r="AG565" t="str">
        <f>IF(AE565="","",IF(AE565="[FÓRMULA MANUAL]","",IFERROR(AVERAGEIFS(nNOTA,nNIA,AE565,nCUENTA,1,nASIG,"Orquesta/Banda/Conjunto"),"")))</f>
        <v/>
      </c>
      <c r="AH565" t="str">
        <f>IF(AE565="","",IF(AE565="[FÓRMULA MANUAL]","",IFERROR(AVERAGEIFS(nNOTA,nNIA,AE565,nCUENTA,1,nASIG,"Música de Cámara"),"")))</f>
        <v/>
      </c>
      <c r="AI565" t="str">
        <f>IF(AE565="","",IF(AE565="[FÓRMULA MANUAL]","",IFERROR(SUMPRODUCT((nNIA=AE565)*(nCUENTA=1)*(COUNTIF(CONFIG_ASIGNATURAS!$B$7:$B$27,nASIG)&gt;0)*(nNOTA))/SUMPRODUCT((nNIA=AE565)*(nCUENTA=1)*(COUNTIF(CONFIG_ASIGNATURAS!$B$7:$B$27,nASIG)&gt;0)*1),"")))</f>
        <v/>
      </c>
    </row>
    <row r="566" spans="2:35" x14ac:dyDescent="0.2">
      <c r="B566" t="str">
        <f>IF(A566="","",IF(A566="[FÓRMULA MANUAL]","",IFERROR(AVERAGEIFS(nNOTA,nNIA,A566,nCUENTA,1,nASIG,"Lenguaje Musical"),"")))</f>
        <v/>
      </c>
      <c r="C566" t="str">
        <f>IF(A566="","",IF(A566="[FÓRMULA MANUAL]","",IFERROR(AVERAGEIFS(nNOTA,nNIA,A566,nCUENTA,1,nASIG,"Orquesta/Banda/Conjunto"),"")))</f>
        <v/>
      </c>
      <c r="D566" t="str">
        <f>IF(A566="","",IF(A566="[FÓRMULA MANUAL]","",IFERROR(AVERAGEIFS(nNOTA,nNIA,A566,nCUENTA,1,nASIG,"Conjunto"),"")))</f>
        <v/>
      </c>
      <c r="E566" t="str">
        <f>IF(A566="","",IF(A566="[FÓRMULA MANUAL]","",IFERROR(SUMPRODUCT((nNIA=A566)*(nCUENTA=1)*(COUNTIF(CONFIG_ASIGNATURAS!$B$7:$B$27,nASIG)&gt;0)*(nNOTA))/SUMPRODUCT((nNIA=A566)*(nCUENTA=1)*(COUNTIF(CONFIG_ASIGNATURAS!$B$7:$B$27,nASIG)&gt;0)*1),"")))</f>
        <v/>
      </c>
      <c r="H566" t="str">
        <f>IF(G566="","",IF(G566="[FÓRMULA MANUAL]","",IFERROR(AVERAGEIFS(nNOTA,nNIA,G566,nCUENTA,1,nASIG,"Lenguaje Musical"),"")))</f>
        <v/>
      </c>
      <c r="I566" t="str">
        <f>IF(G566="","",IF(G566="[FÓRMULA MANUAL]","",IFERROR(AVERAGEIFS(nNOTA,nNIA,G566,nCUENTA,1,nASIG,"Orquesta/Banda/Conjunto"),"")))</f>
        <v/>
      </c>
      <c r="J566" t="str">
        <f>IF(G566="","",IF(G566="[FÓRMULA MANUAL]","",IFERROR(AVERAGEIFS(nNOTA,nNIA,G566,nCUENTA,1,nASIG,"Conjunto"),"")))</f>
        <v/>
      </c>
      <c r="K566" t="str">
        <f>IF(G566="","",IF(G566="[FÓRMULA MANUAL]","",IFERROR(SUMPRODUCT((nNIA=G566)*(nCUENTA=1)*(COUNTIF(CONFIG_ASIGNATURAS!$B$7:$B$27,nASIG)&gt;0)*(nNOTA))/SUMPRODUCT((nNIA=G566)*(nCUENTA=1)*(COUNTIF(CONFIG_ASIGNATURAS!$B$7:$B$27,nASIG)&gt;0)*1),"")))</f>
        <v/>
      </c>
      <c r="N566" t="str">
        <f>IF(M566="","",IF(M566="[FÓRMULA MANUAL]","",IFERROR(AVERAGEIFS(nNOTA,nNIA,M566,nCUENTA,1,nASIG,"Armonía"),"")))</f>
        <v/>
      </c>
      <c r="O566" t="str">
        <f>IF(M566="","",IF(M566="[FÓRMULA MANUAL]","",IFERROR(AVERAGEIFS(nNOTA,nNIA,M566,nCUENTA,1,nASIG,"Orquesta/Banda/Conjunto"),"")))</f>
        <v/>
      </c>
      <c r="P566" t="str">
        <f>IF(M566="","",IF(M566="[FÓRMULA MANUAL]","",IFERROR(AVERAGEIFS(nNOTA,nNIA,M566,nCUENTA,1,nASIG,"Música de Cámara"),"")))</f>
        <v/>
      </c>
      <c r="Q566" t="str">
        <f>IF(M566="","",IF(M566="[FÓRMULA MANUAL]","",IFERROR(SUMPRODUCT((nNIA=M566)*(nCUENTA=1)*(COUNTIF(CONFIG_ASIGNATURAS!$B$7:$B$27,nASIG)&gt;0)*(nNOTA))/SUMPRODUCT((nNIA=M566)*(nCUENTA=1)*(COUNTIF(CONFIG_ASIGNATURAS!$B$7:$B$27,nASIG)&gt;0)*1),"")))</f>
        <v/>
      </c>
      <c r="T566" t="str">
        <f>IF(S566="","",IF(S566="[FÓRMULA MANUAL]","",IFERROR(AVERAGEIFS(nNOTA,nNIA,S566,nCUENTA,1,nASIG,"Armonía"),"")))</f>
        <v/>
      </c>
      <c r="U566" t="str">
        <f>IF(S566="","",IF(S566="[FÓRMULA MANUAL]","",IFERROR(AVERAGEIFS(nNOTA,nNIA,S566,nCUENTA,1,nASIG,"Orquesta/Banda/Conjunto"),"")))</f>
        <v/>
      </c>
      <c r="V566" t="str">
        <f>IF(S566="","",IF(S566="[FÓRMULA MANUAL]","",IFERROR(AVERAGEIFS(nNOTA,nNIA,S566,nCUENTA,1,nASIG,"Música de Cámara"),"")))</f>
        <v/>
      </c>
      <c r="W566" t="str">
        <f>IF(S566="","",IF(S566="[FÓRMULA MANUAL]","",IFERROR(SUMPRODUCT((nNIA=S566)*(nCUENTA=1)*(COUNTIF(CONFIG_ASIGNATURAS!$B$7:$B$27,nASIG)&gt;0)*(nNOTA))/SUMPRODUCT((nNIA=S566)*(nCUENTA=1)*(COUNTIF(CONFIG_ASIGNATURAS!$B$7:$B$27,nASIG)&gt;0)*1),"")))</f>
        <v/>
      </c>
      <c r="Z566" t="str">
        <f>IF(Y566="","",IF(Y566="[FÓRMULA MANUAL]","",IFERROR(AVERAGEIFS(nNOTA,nNIA,Y566,nCUENTA,1,nASIG,"Análisis"),"")))</f>
        <v/>
      </c>
      <c r="AA566" t="str">
        <f>IF(Y566="","",IF(Y566="[FÓRMULA MANUAL]","",IFERROR(AVERAGEIFS(nNOTA,nNIA,Y566,nCUENTA,1,nASIG,"Orquesta/Banda/Conjunto"),"")))</f>
        <v/>
      </c>
      <c r="AB566" t="str">
        <f>IF(Y566="","",IF(Y566="[FÓRMULA MANUAL]","",IFERROR(AVERAGEIFS(nNOTA,nNIA,Y566,nCUENTA,1,nASIG,"Música de Cámara"),"")))</f>
        <v/>
      </c>
      <c r="AC566" t="str">
        <f>IF(Y566="","",IF(Y566="[FÓRMULA MANUAL]","",IFERROR(SUMPRODUCT((nNIA=Y566)*(nCUENTA=1)*(COUNTIF(CONFIG_ASIGNATURAS!$B$7:$B$27,nASIG)&gt;0)*(nNOTA))/SUMPRODUCT((nNIA=Y566)*(nCUENTA=1)*(COUNTIF(CONFIG_ASIGNATURAS!$B$7:$B$27,nASIG)&gt;0)*1),"")))</f>
        <v/>
      </c>
      <c r="AF566" t="str">
        <f>IF(AE566="","",IF(AE566="[FÓRMULA MANUAL]","",IFERROR(AVERAGEIFS(nNOTA,nNIA,AE566,nCUENTA,1,nASIG,"Análisis"),"")))</f>
        <v/>
      </c>
      <c r="AG566" t="str">
        <f>IF(AE566="","",IF(AE566="[FÓRMULA MANUAL]","",IFERROR(AVERAGEIFS(nNOTA,nNIA,AE566,nCUENTA,1,nASIG,"Orquesta/Banda/Conjunto"),"")))</f>
        <v/>
      </c>
      <c r="AH566" t="str">
        <f>IF(AE566="","",IF(AE566="[FÓRMULA MANUAL]","",IFERROR(AVERAGEIFS(nNOTA,nNIA,AE566,nCUENTA,1,nASIG,"Música de Cámara"),"")))</f>
        <v/>
      </c>
      <c r="AI566" t="str">
        <f>IF(AE566="","",IF(AE566="[FÓRMULA MANUAL]","",IFERROR(SUMPRODUCT((nNIA=AE566)*(nCUENTA=1)*(COUNTIF(CONFIG_ASIGNATURAS!$B$7:$B$27,nASIG)&gt;0)*(nNOTA))/SUMPRODUCT((nNIA=AE566)*(nCUENTA=1)*(COUNTIF(CONFIG_ASIGNATURAS!$B$7:$B$27,nASIG)&gt;0)*1),"")))</f>
        <v/>
      </c>
    </row>
    <row r="567" spans="2:35" x14ac:dyDescent="0.2">
      <c r="B567" t="str">
        <f>IF(A567="","",IF(A567="[FÓRMULA MANUAL]","",IFERROR(AVERAGEIFS(nNOTA,nNIA,A567,nCUENTA,1,nASIG,"Lenguaje Musical"),"")))</f>
        <v/>
      </c>
      <c r="C567" t="str">
        <f>IF(A567="","",IF(A567="[FÓRMULA MANUAL]","",IFERROR(AVERAGEIFS(nNOTA,nNIA,A567,nCUENTA,1,nASIG,"Orquesta/Banda/Conjunto"),"")))</f>
        <v/>
      </c>
      <c r="D567" t="str">
        <f>IF(A567="","",IF(A567="[FÓRMULA MANUAL]","",IFERROR(AVERAGEIFS(nNOTA,nNIA,A567,nCUENTA,1,nASIG,"Conjunto"),"")))</f>
        <v/>
      </c>
      <c r="E567" t="str">
        <f>IF(A567="","",IF(A567="[FÓRMULA MANUAL]","",IFERROR(SUMPRODUCT((nNIA=A567)*(nCUENTA=1)*(COUNTIF(CONFIG_ASIGNATURAS!$B$7:$B$27,nASIG)&gt;0)*(nNOTA))/SUMPRODUCT((nNIA=A567)*(nCUENTA=1)*(COUNTIF(CONFIG_ASIGNATURAS!$B$7:$B$27,nASIG)&gt;0)*1),"")))</f>
        <v/>
      </c>
      <c r="H567" t="str">
        <f>IF(G567="","",IF(G567="[FÓRMULA MANUAL]","",IFERROR(AVERAGEIFS(nNOTA,nNIA,G567,nCUENTA,1,nASIG,"Lenguaje Musical"),"")))</f>
        <v/>
      </c>
      <c r="I567" t="str">
        <f>IF(G567="","",IF(G567="[FÓRMULA MANUAL]","",IFERROR(AVERAGEIFS(nNOTA,nNIA,G567,nCUENTA,1,nASIG,"Orquesta/Banda/Conjunto"),"")))</f>
        <v/>
      </c>
      <c r="J567" t="str">
        <f>IF(G567="","",IF(G567="[FÓRMULA MANUAL]","",IFERROR(AVERAGEIFS(nNOTA,nNIA,G567,nCUENTA,1,nASIG,"Conjunto"),"")))</f>
        <v/>
      </c>
      <c r="K567" t="str">
        <f>IF(G567="","",IF(G567="[FÓRMULA MANUAL]","",IFERROR(SUMPRODUCT((nNIA=G567)*(nCUENTA=1)*(COUNTIF(CONFIG_ASIGNATURAS!$B$7:$B$27,nASIG)&gt;0)*(nNOTA))/SUMPRODUCT((nNIA=G567)*(nCUENTA=1)*(COUNTIF(CONFIG_ASIGNATURAS!$B$7:$B$27,nASIG)&gt;0)*1),"")))</f>
        <v/>
      </c>
      <c r="N567" t="str">
        <f>IF(M567="","",IF(M567="[FÓRMULA MANUAL]","",IFERROR(AVERAGEIFS(nNOTA,nNIA,M567,nCUENTA,1,nASIG,"Armonía"),"")))</f>
        <v/>
      </c>
      <c r="O567" t="str">
        <f>IF(M567="","",IF(M567="[FÓRMULA MANUAL]","",IFERROR(AVERAGEIFS(nNOTA,nNIA,M567,nCUENTA,1,nASIG,"Orquesta/Banda/Conjunto"),"")))</f>
        <v/>
      </c>
      <c r="P567" t="str">
        <f>IF(M567="","",IF(M567="[FÓRMULA MANUAL]","",IFERROR(AVERAGEIFS(nNOTA,nNIA,M567,nCUENTA,1,nASIG,"Música de Cámara"),"")))</f>
        <v/>
      </c>
      <c r="Q567" t="str">
        <f>IF(M567="","",IF(M567="[FÓRMULA MANUAL]","",IFERROR(SUMPRODUCT((nNIA=M567)*(nCUENTA=1)*(COUNTIF(CONFIG_ASIGNATURAS!$B$7:$B$27,nASIG)&gt;0)*(nNOTA))/SUMPRODUCT((nNIA=M567)*(nCUENTA=1)*(COUNTIF(CONFIG_ASIGNATURAS!$B$7:$B$27,nASIG)&gt;0)*1),"")))</f>
        <v/>
      </c>
      <c r="T567" t="str">
        <f>IF(S567="","",IF(S567="[FÓRMULA MANUAL]","",IFERROR(AVERAGEIFS(nNOTA,nNIA,S567,nCUENTA,1,nASIG,"Armonía"),"")))</f>
        <v/>
      </c>
      <c r="U567" t="str">
        <f>IF(S567="","",IF(S567="[FÓRMULA MANUAL]","",IFERROR(AVERAGEIFS(nNOTA,nNIA,S567,nCUENTA,1,nASIG,"Orquesta/Banda/Conjunto"),"")))</f>
        <v/>
      </c>
      <c r="V567" t="str">
        <f>IF(S567="","",IF(S567="[FÓRMULA MANUAL]","",IFERROR(AVERAGEIFS(nNOTA,nNIA,S567,nCUENTA,1,nASIG,"Música de Cámara"),"")))</f>
        <v/>
      </c>
      <c r="W567" t="str">
        <f>IF(S567="","",IF(S567="[FÓRMULA MANUAL]","",IFERROR(SUMPRODUCT((nNIA=S567)*(nCUENTA=1)*(COUNTIF(CONFIG_ASIGNATURAS!$B$7:$B$27,nASIG)&gt;0)*(nNOTA))/SUMPRODUCT((nNIA=S567)*(nCUENTA=1)*(COUNTIF(CONFIG_ASIGNATURAS!$B$7:$B$27,nASIG)&gt;0)*1),"")))</f>
        <v/>
      </c>
      <c r="Z567" t="str">
        <f>IF(Y567="","",IF(Y567="[FÓRMULA MANUAL]","",IFERROR(AVERAGEIFS(nNOTA,nNIA,Y567,nCUENTA,1,nASIG,"Análisis"),"")))</f>
        <v/>
      </c>
      <c r="AA567" t="str">
        <f>IF(Y567="","",IF(Y567="[FÓRMULA MANUAL]","",IFERROR(AVERAGEIFS(nNOTA,nNIA,Y567,nCUENTA,1,nASIG,"Orquesta/Banda/Conjunto"),"")))</f>
        <v/>
      </c>
      <c r="AB567" t="str">
        <f>IF(Y567="","",IF(Y567="[FÓRMULA MANUAL]","",IFERROR(AVERAGEIFS(nNOTA,nNIA,Y567,nCUENTA,1,nASIG,"Música de Cámara"),"")))</f>
        <v/>
      </c>
      <c r="AC567" t="str">
        <f>IF(Y567="","",IF(Y567="[FÓRMULA MANUAL]","",IFERROR(SUMPRODUCT((nNIA=Y567)*(nCUENTA=1)*(COUNTIF(CONFIG_ASIGNATURAS!$B$7:$B$27,nASIG)&gt;0)*(nNOTA))/SUMPRODUCT((nNIA=Y567)*(nCUENTA=1)*(COUNTIF(CONFIG_ASIGNATURAS!$B$7:$B$27,nASIG)&gt;0)*1),"")))</f>
        <v/>
      </c>
      <c r="AF567" t="str">
        <f>IF(AE567="","",IF(AE567="[FÓRMULA MANUAL]","",IFERROR(AVERAGEIFS(nNOTA,nNIA,AE567,nCUENTA,1,nASIG,"Análisis"),"")))</f>
        <v/>
      </c>
      <c r="AG567" t="str">
        <f>IF(AE567="","",IF(AE567="[FÓRMULA MANUAL]","",IFERROR(AVERAGEIFS(nNOTA,nNIA,AE567,nCUENTA,1,nASIG,"Orquesta/Banda/Conjunto"),"")))</f>
        <v/>
      </c>
      <c r="AH567" t="str">
        <f>IF(AE567="","",IF(AE567="[FÓRMULA MANUAL]","",IFERROR(AVERAGEIFS(nNOTA,nNIA,AE567,nCUENTA,1,nASIG,"Música de Cámara"),"")))</f>
        <v/>
      </c>
      <c r="AI567" t="str">
        <f>IF(AE567="","",IF(AE567="[FÓRMULA MANUAL]","",IFERROR(SUMPRODUCT((nNIA=AE567)*(nCUENTA=1)*(COUNTIF(CONFIG_ASIGNATURAS!$B$7:$B$27,nASIG)&gt;0)*(nNOTA))/SUMPRODUCT((nNIA=AE567)*(nCUENTA=1)*(COUNTIF(CONFIG_ASIGNATURAS!$B$7:$B$27,nASIG)&gt;0)*1),"")))</f>
        <v/>
      </c>
    </row>
    <row r="568" spans="2:35" x14ac:dyDescent="0.2">
      <c r="B568" t="str">
        <f>IF(A568="","",IF(A568="[FÓRMULA MANUAL]","",IFERROR(AVERAGEIFS(nNOTA,nNIA,A568,nCUENTA,1,nASIG,"Lenguaje Musical"),"")))</f>
        <v/>
      </c>
      <c r="C568" t="str">
        <f>IF(A568="","",IF(A568="[FÓRMULA MANUAL]","",IFERROR(AVERAGEIFS(nNOTA,nNIA,A568,nCUENTA,1,nASIG,"Orquesta/Banda/Conjunto"),"")))</f>
        <v/>
      </c>
      <c r="D568" t="str">
        <f>IF(A568="","",IF(A568="[FÓRMULA MANUAL]","",IFERROR(AVERAGEIFS(nNOTA,nNIA,A568,nCUENTA,1,nASIG,"Conjunto"),"")))</f>
        <v/>
      </c>
      <c r="E568" t="str">
        <f>IF(A568="","",IF(A568="[FÓRMULA MANUAL]","",IFERROR(SUMPRODUCT((nNIA=A568)*(nCUENTA=1)*(COUNTIF(CONFIG_ASIGNATURAS!$B$7:$B$27,nASIG)&gt;0)*(nNOTA))/SUMPRODUCT((nNIA=A568)*(nCUENTA=1)*(COUNTIF(CONFIG_ASIGNATURAS!$B$7:$B$27,nASIG)&gt;0)*1),"")))</f>
        <v/>
      </c>
      <c r="H568" t="str">
        <f>IF(G568="","",IF(G568="[FÓRMULA MANUAL]","",IFERROR(AVERAGEIFS(nNOTA,nNIA,G568,nCUENTA,1,nASIG,"Lenguaje Musical"),"")))</f>
        <v/>
      </c>
      <c r="I568" t="str">
        <f>IF(G568="","",IF(G568="[FÓRMULA MANUAL]","",IFERROR(AVERAGEIFS(nNOTA,nNIA,G568,nCUENTA,1,nASIG,"Orquesta/Banda/Conjunto"),"")))</f>
        <v/>
      </c>
      <c r="J568" t="str">
        <f>IF(G568="","",IF(G568="[FÓRMULA MANUAL]","",IFERROR(AVERAGEIFS(nNOTA,nNIA,G568,nCUENTA,1,nASIG,"Conjunto"),"")))</f>
        <v/>
      </c>
      <c r="K568" t="str">
        <f>IF(G568="","",IF(G568="[FÓRMULA MANUAL]","",IFERROR(SUMPRODUCT((nNIA=G568)*(nCUENTA=1)*(COUNTIF(CONFIG_ASIGNATURAS!$B$7:$B$27,nASIG)&gt;0)*(nNOTA))/SUMPRODUCT((nNIA=G568)*(nCUENTA=1)*(COUNTIF(CONFIG_ASIGNATURAS!$B$7:$B$27,nASIG)&gt;0)*1),"")))</f>
        <v/>
      </c>
      <c r="N568" t="str">
        <f>IF(M568="","",IF(M568="[FÓRMULA MANUAL]","",IFERROR(AVERAGEIFS(nNOTA,nNIA,M568,nCUENTA,1,nASIG,"Armonía"),"")))</f>
        <v/>
      </c>
      <c r="O568" t="str">
        <f>IF(M568="","",IF(M568="[FÓRMULA MANUAL]","",IFERROR(AVERAGEIFS(nNOTA,nNIA,M568,nCUENTA,1,nASIG,"Orquesta/Banda/Conjunto"),"")))</f>
        <v/>
      </c>
      <c r="P568" t="str">
        <f>IF(M568="","",IF(M568="[FÓRMULA MANUAL]","",IFERROR(AVERAGEIFS(nNOTA,nNIA,M568,nCUENTA,1,nASIG,"Música de Cámara"),"")))</f>
        <v/>
      </c>
      <c r="Q568" t="str">
        <f>IF(M568="","",IF(M568="[FÓRMULA MANUAL]","",IFERROR(SUMPRODUCT((nNIA=M568)*(nCUENTA=1)*(COUNTIF(CONFIG_ASIGNATURAS!$B$7:$B$27,nASIG)&gt;0)*(nNOTA))/SUMPRODUCT((nNIA=M568)*(nCUENTA=1)*(COUNTIF(CONFIG_ASIGNATURAS!$B$7:$B$27,nASIG)&gt;0)*1),"")))</f>
        <v/>
      </c>
      <c r="T568" t="str">
        <f>IF(S568="","",IF(S568="[FÓRMULA MANUAL]","",IFERROR(AVERAGEIFS(nNOTA,nNIA,S568,nCUENTA,1,nASIG,"Armonía"),"")))</f>
        <v/>
      </c>
      <c r="U568" t="str">
        <f>IF(S568="","",IF(S568="[FÓRMULA MANUAL]","",IFERROR(AVERAGEIFS(nNOTA,nNIA,S568,nCUENTA,1,nASIG,"Orquesta/Banda/Conjunto"),"")))</f>
        <v/>
      </c>
      <c r="V568" t="str">
        <f>IF(S568="","",IF(S568="[FÓRMULA MANUAL]","",IFERROR(AVERAGEIFS(nNOTA,nNIA,S568,nCUENTA,1,nASIG,"Música de Cámara"),"")))</f>
        <v/>
      </c>
      <c r="W568" t="str">
        <f>IF(S568="","",IF(S568="[FÓRMULA MANUAL]","",IFERROR(SUMPRODUCT((nNIA=S568)*(nCUENTA=1)*(COUNTIF(CONFIG_ASIGNATURAS!$B$7:$B$27,nASIG)&gt;0)*(nNOTA))/SUMPRODUCT((nNIA=S568)*(nCUENTA=1)*(COUNTIF(CONFIG_ASIGNATURAS!$B$7:$B$27,nASIG)&gt;0)*1),"")))</f>
        <v/>
      </c>
      <c r="Z568" t="str">
        <f>IF(Y568="","",IF(Y568="[FÓRMULA MANUAL]","",IFERROR(AVERAGEIFS(nNOTA,nNIA,Y568,nCUENTA,1,nASIG,"Análisis"),"")))</f>
        <v/>
      </c>
      <c r="AA568" t="str">
        <f>IF(Y568="","",IF(Y568="[FÓRMULA MANUAL]","",IFERROR(AVERAGEIFS(nNOTA,nNIA,Y568,nCUENTA,1,nASIG,"Orquesta/Banda/Conjunto"),"")))</f>
        <v/>
      </c>
      <c r="AB568" t="str">
        <f>IF(Y568="","",IF(Y568="[FÓRMULA MANUAL]","",IFERROR(AVERAGEIFS(nNOTA,nNIA,Y568,nCUENTA,1,nASIG,"Música de Cámara"),"")))</f>
        <v/>
      </c>
      <c r="AC568" t="str">
        <f>IF(Y568="","",IF(Y568="[FÓRMULA MANUAL]","",IFERROR(SUMPRODUCT((nNIA=Y568)*(nCUENTA=1)*(COUNTIF(CONFIG_ASIGNATURAS!$B$7:$B$27,nASIG)&gt;0)*(nNOTA))/SUMPRODUCT((nNIA=Y568)*(nCUENTA=1)*(COUNTIF(CONFIG_ASIGNATURAS!$B$7:$B$27,nASIG)&gt;0)*1),"")))</f>
        <v/>
      </c>
      <c r="AF568" t="str">
        <f>IF(AE568="","",IF(AE568="[FÓRMULA MANUAL]","",IFERROR(AVERAGEIFS(nNOTA,nNIA,AE568,nCUENTA,1,nASIG,"Análisis"),"")))</f>
        <v/>
      </c>
      <c r="AG568" t="str">
        <f>IF(AE568="","",IF(AE568="[FÓRMULA MANUAL]","",IFERROR(AVERAGEIFS(nNOTA,nNIA,AE568,nCUENTA,1,nASIG,"Orquesta/Banda/Conjunto"),"")))</f>
        <v/>
      </c>
      <c r="AH568" t="str">
        <f>IF(AE568="","",IF(AE568="[FÓRMULA MANUAL]","",IFERROR(AVERAGEIFS(nNOTA,nNIA,AE568,nCUENTA,1,nASIG,"Música de Cámara"),"")))</f>
        <v/>
      </c>
      <c r="AI568" t="str">
        <f>IF(AE568="","",IF(AE568="[FÓRMULA MANUAL]","",IFERROR(SUMPRODUCT((nNIA=AE568)*(nCUENTA=1)*(COUNTIF(CONFIG_ASIGNATURAS!$B$7:$B$27,nASIG)&gt;0)*(nNOTA))/SUMPRODUCT((nNIA=AE568)*(nCUENTA=1)*(COUNTIF(CONFIG_ASIGNATURAS!$B$7:$B$27,nASIG)&gt;0)*1),"")))</f>
        <v/>
      </c>
    </row>
    <row r="569" spans="2:35" x14ac:dyDescent="0.2">
      <c r="B569" t="str">
        <f>IF(A569="","",IF(A569="[FÓRMULA MANUAL]","",IFERROR(AVERAGEIFS(nNOTA,nNIA,A569,nCUENTA,1,nASIG,"Lenguaje Musical"),"")))</f>
        <v/>
      </c>
      <c r="C569" t="str">
        <f>IF(A569="","",IF(A569="[FÓRMULA MANUAL]","",IFERROR(AVERAGEIFS(nNOTA,nNIA,A569,nCUENTA,1,nASIG,"Orquesta/Banda/Conjunto"),"")))</f>
        <v/>
      </c>
      <c r="D569" t="str">
        <f>IF(A569="","",IF(A569="[FÓRMULA MANUAL]","",IFERROR(AVERAGEIFS(nNOTA,nNIA,A569,nCUENTA,1,nASIG,"Conjunto"),"")))</f>
        <v/>
      </c>
      <c r="E569" t="str">
        <f>IF(A569="","",IF(A569="[FÓRMULA MANUAL]","",IFERROR(SUMPRODUCT((nNIA=A569)*(nCUENTA=1)*(COUNTIF(CONFIG_ASIGNATURAS!$B$7:$B$27,nASIG)&gt;0)*(nNOTA))/SUMPRODUCT((nNIA=A569)*(nCUENTA=1)*(COUNTIF(CONFIG_ASIGNATURAS!$B$7:$B$27,nASIG)&gt;0)*1),"")))</f>
        <v/>
      </c>
      <c r="H569" t="str">
        <f>IF(G569="","",IF(G569="[FÓRMULA MANUAL]","",IFERROR(AVERAGEIFS(nNOTA,nNIA,G569,nCUENTA,1,nASIG,"Lenguaje Musical"),"")))</f>
        <v/>
      </c>
      <c r="I569" t="str">
        <f>IF(G569="","",IF(G569="[FÓRMULA MANUAL]","",IFERROR(AVERAGEIFS(nNOTA,nNIA,G569,nCUENTA,1,nASIG,"Orquesta/Banda/Conjunto"),"")))</f>
        <v/>
      </c>
      <c r="J569" t="str">
        <f>IF(G569="","",IF(G569="[FÓRMULA MANUAL]","",IFERROR(AVERAGEIFS(nNOTA,nNIA,G569,nCUENTA,1,nASIG,"Conjunto"),"")))</f>
        <v/>
      </c>
      <c r="K569" t="str">
        <f>IF(G569="","",IF(G569="[FÓRMULA MANUAL]","",IFERROR(SUMPRODUCT((nNIA=G569)*(nCUENTA=1)*(COUNTIF(CONFIG_ASIGNATURAS!$B$7:$B$27,nASIG)&gt;0)*(nNOTA))/SUMPRODUCT((nNIA=G569)*(nCUENTA=1)*(COUNTIF(CONFIG_ASIGNATURAS!$B$7:$B$27,nASIG)&gt;0)*1),"")))</f>
        <v/>
      </c>
      <c r="N569" t="str">
        <f>IF(M569="","",IF(M569="[FÓRMULA MANUAL]","",IFERROR(AVERAGEIFS(nNOTA,nNIA,M569,nCUENTA,1,nASIG,"Armonía"),"")))</f>
        <v/>
      </c>
      <c r="O569" t="str">
        <f>IF(M569="","",IF(M569="[FÓRMULA MANUAL]","",IFERROR(AVERAGEIFS(nNOTA,nNIA,M569,nCUENTA,1,nASIG,"Orquesta/Banda/Conjunto"),"")))</f>
        <v/>
      </c>
      <c r="P569" t="str">
        <f>IF(M569="","",IF(M569="[FÓRMULA MANUAL]","",IFERROR(AVERAGEIFS(nNOTA,nNIA,M569,nCUENTA,1,nASIG,"Música de Cámara"),"")))</f>
        <v/>
      </c>
      <c r="Q569" t="str">
        <f>IF(M569="","",IF(M569="[FÓRMULA MANUAL]","",IFERROR(SUMPRODUCT((nNIA=M569)*(nCUENTA=1)*(COUNTIF(CONFIG_ASIGNATURAS!$B$7:$B$27,nASIG)&gt;0)*(nNOTA))/SUMPRODUCT((nNIA=M569)*(nCUENTA=1)*(COUNTIF(CONFIG_ASIGNATURAS!$B$7:$B$27,nASIG)&gt;0)*1),"")))</f>
        <v/>
      </c>
      <c r="T569" t="str">
        <f>IF(S569="","",IF(S569="[FÓRMULA MANUAL]","",IFERROR(AVERAGEIFS(nNOTA,nNIA,S569,nCUENTA,1,nASIG,"Armonía"),"")))</f>
        <v/>
      </c>
      <c r="U569" t="str">
        <f>IF(S569="","",IF(S569="[FÓRMULA MANUAL]","",IFERROR(AVERAGEIFS(nNOTA,nNIA,S569,nCUENTA,1,nASIG,"Orquesta/Banda/Conjunto"),"")))</f>
        <v/>
      </c>
      <c r="V569" t="str">
        <f>IF(S569="","",IF(S569="[FÓRMULA MANUAL]","",IFERROR(AVERAGEIFS(nNOTA,nNIA,S569,nCUENTA,1,nASIG,"Música de Cámara"),"")))</f>
        <v/>
      </c>
      <c r="W569" t="str">
        <f>IF(S569="","",IF(S569="[FÓRMULA MANUAL]","",IFERROR(SUMPRODUCT((nNIA=S569)*(nCUENTA=1)*(COUNTIF(CONFIG_ASIGNATURAS!$B$7:$B$27,nASIG)&gt;0)*(nNOTA))/SUMPRODUCT((nNIA=S569)*(nCUENTA=1)*(COUNTIF(CONFIG_ASIGNATURAS!$B$7:$B$27,nASIG)&gt;0)*1),"")))</f>
        <v/>
      </c>
      <c r="Z569" t="str">
        <f>IF(Y569="","",IF(Y569="[FÓRMULA MANUAL]","",IFERROR(AVERAGEIFS(nNOTA,nNIA,Y569,nCUENTA,1,nASIG,"Análisis"),"")))</f>
        <v/>
      </c>
      <c r="AA569" t="str">
        <f>IF(Y569="","",IF(Y569="[FÓRMULA MANUAL]","",IFERROR(AVERAGEIFS(nNOTA,nNIA,Y569,nCUENTA,1,nASIG,"Orquesta/Banda/Conjunto"),"")))</f>
        <v/>
      </c>
      <c r="AB569" t="str">
        <f>IF(Y569="","",IF(Y569="[FÓRMULA MANUAL]","",IFERROR(AVERAGEIFS(nNOTA,nNIA,Y569,nCUENTA,1,nASIG,"Música de Cámara"),"")))</f>
        <v/>
      </c>
      <c r="AC569" t="str">
        <f>IF(Y569="","",IF(Y569="[FÓRMULA MANUAL]","",IFERROR(SUMPRODUCT((nNIA=Y569)*(nCUENTA=1)*(COUNTIF(CONFIG_ASIGNATURAS!$B$7:$B$27,nASIG)&gt;0)*(nNOTA))/SUMPRODUCT((nNIA=Y569)*(nCUENTA=1)*(COUNTIF(CONFIG_ASIGNATURAS!$B$7:$B$27,nASIG)&gt;0)*1),"")))</f>
        <v/>
      </c>
      <c r="AF569" t="str">
        <f>IF(AE569="","",IF(AE569="[FÓRMULA MANUAL]","",IFERROR(AVERAGEIFS(nNOTA,nNIA,AE569,nCUENTA,1,nASIG,"Análisis"),"")))</f>
        <v/>
      </c>
      <c r="AG569" t="str">
        <f>IF(AE569="","",IF(AE569="[FÓRMULA MANUAL]","",IFERROR(AVERAGEIFS(nNOTA,nNIA,AE569,nCUENTA,1,nASIG,"Orquesta/Banda/Conjunto"),"")))</f>
        <v/>
      </c>
      <c r="AH569" t="str">
        <f>IF(AE569="","",IF(AE569="[FÓRMULA MANUAL]","",IFERROR(AVERAGEIFS(nNOTA,nNIA,AE569,nCUENTA,1,nASIG,"Música de Cámara"),"")))</f>
        <v/>
      </c>
      <c r="AI569" t="str">
        <f>IF(AE569="","",IF(AE569="[FÓRMULA MANUAL]","",IFERROR(SUMPRODUCT((nNIA=AE569)*(nCUENTA=1)*(COUNTIF(CONFIG_ASIGNATURAS!$B$7:$B$27,nASIG)&gt;0)*(nNOTA))/SUMPRODUCT((nNIA=AE569)*(nCUENTA=1)*(COUNTIF(CONFIG_ASIGNATURAS!$B$7:$B$27,nASIG)&gt;0)*1),"")))</f>
        <v/>
      </c>
    </row>
    <row r="570" spans="2:35" x14ac:dyDescent="0.2">
      <c r="B570" t="str">
        <f>IF(A570="","",IF(A570="[FÓRMULA MANUAL]","",IFERROR(AVERAGEIFS(nNOTA,nNIA,A570,nCUENTA,1,nASIG,"Lenguaje Musical"),"")))</f>
        <v/>
      </c>
      <c r="C570" t="str">
        <f>IF(A570="","",IF(A570="[FÓRMULA MANUAL]","",IFERROR(AVERAGEIFS(nNOTA,nNIA,A570,nCUENTA,1,nASIG,"Orquesta/Banda/Conjunto"),"")))</f>
        <v/>
      </c>
      <c r="D570" t="str">
        <f>IF(A570="","",IF(A570="[FÓRMULA MANUAL]","",IFERROR(AVERAGEIFS(nNOTA,nNIA,A570,nCUENTA,1,nASIG,"Conjunto"),"")))</f>
        <v/>
      </c>
      <c r="E570" t="str">
        <f>IF(A570="","",IF(A570="[FÓRMULA MANUAL]","",IFERROR(SUMPRODUCT((nNIA=A570)*(nCUENTA=1)*(COUNTIF(CONFIG_ASIGNATURAS!$B$7:$B$27,nASIG)&gt;0)*(nNOTA))/SUMPRODUCT((nNIA=A570)*(nCUENTA=1)*(COUNTIF(CONFIG_ASIGNATURAS!$B$7:$B$27,nASIG)&gt;0)*1),"")))</f>
        <v/>
      </c>
      <c r="H570" t="str">
        <f>IF(G570="","",IF(G570="[FÓRMULA MANUAL]","",IFERROR(AVERAGEIFS(nNOTA,nNIA,G570,nCUENTA,1,nASIG,"Lenguaje Musical"),"")))</f>
        <v/>
      </c>
      <c r="I570" t="str">
        <f>IF(G570="","",IF(G570="[FÓRMULA MANUAL]","",IFERROR(AVERAGEIFS(nNOTA,nNIA,G570,nCUENTA,1,nASIG,"Orquesta/Banda/Conjunto"),"")))</f>
        <v/>
      </c>
      <c r="J570" t="str">
        <f>IF(G570="","",IF(G570="[FÓRMULA MANUAL]","",IFERROR(AVERAGEIFS(nNOTA,nNIA,G570,nCUENTA,1,nASIG,"Conjunto"),"")))</f>
        <v/>
      </c>
      <c r="K570" t="str">
        <f>IF(G570="","",IF(G570="[FÓRMULA MANUAL]","",IFERROR(SUMPRODUCT((nNIA=G570)*(nCUENTA=1)*(COUNTIF(CONFIG_ASIGNATURAS!$B$7:$B$27,nASIG)&gt;0)*(nNOTA))/SUMPRODUCT((nNIA=G570)*(nCUENTA=1)*(COUNTIF(CONFIG_ASIGNATURAS!$B$7:$B$27,nASIG)&gt;0)*1),"")))</f>
        <v/>
      </c>
      <c r="N570" t="str">
        <f>IF(M570="","",IF(M570="[FÓRMULA MANUAL]","",IFERROR(AVERAGEIFS(nNOTA,nNIA,M570,nCUENTA,1,nASIG,"Armonía"),"")))</f>
        <v/>
      </c>
      <c r="O570" t="str">
        <f>IF(M570="","",IF(M570="[FÓRMULA MANUAL]","",IFERROR(AVERAGEIFS(nNOTA,nNIA,M570,nCUENTA,1,nASIG,"Orquesta/Banda/Conjunto"),"")))</f>
        <v/>
      </c>
      <c r="P570" t="str">
        <f>IF(M570="","",IF(M570="[FÓRMULA MANUAL]","",IFERROR(AVERAGEIFS(nNOTA,nNIA,M570,nCUENTA,1,nASIG,"Música de Cámara"),"")))</f>
        <v/>
      </c>
      <c r="Q570" t="str">
        <f>IF(M570="","",IF(M570="[FÓRMULA MANUAL]","",IFERROR(SUMPRODUCT((nNIA=M570)*(nCUENTA=1)*(COUNTIF(CONFIG_ASIGNATURAS!$B$7:$B$27,nASIG)&gt;0)*(nNOTA))/SUMPRODUCT((nNIA=M570)*(nCUENTA=1)*(COUNTIF(CONFIG_ASIGNATURAS!$B$7:$B$27,nASIG)&gt;0)*1),"")))</f>
        <v/>
      </c>
      <c r="T570" t="str">
        <f>IF(S570="","",IF(S570="[FÓRMULA MANUAL]","",IFERROR(AVERAGEIFS(nNOTA,nNIA,S570,nCUENTA,1,nASIG,"Armonía"),"")))</f>
        <v/>
      </c>
      <c r="U570" t="str">
        <f>IF(S570="","",IF(S570="[FÓRMULA MANUAL]","",IFERROR(AVERAGEIFS(nNOTA,nNIA,S570,nCUENTA,1,nASIG,"Orquesta/Banda/Conjunto"),"")))</f>
        <v/>
      </c>
      <c r="V570" t="str">
        <f>IF(S570="","",IF(S570="[FÓRMULA MANUAL]","",IFERROR(AVERAGEIFS(nNOTA,nNIA,S570,nCUENTA,1,nASIG,"Música de Cámara"),"")))</f>
        <v/>
      </c>
      <c r="W570" t="str">
        <f>IF(S570="","",IF(S570="[FÓRMULA MANUAL]","",IFERROR(SUMPRODUCT((nNIA=S570)*(nCUENTA=1)*(COUNTIF(CONFIG_ASIGNATURAS!$B$7:$B$27,nASIG)&gt;0)*(nNOTA))/SUMPRODUCT((nNIA=S570)*(nCUENTA=1)*(COUNTIF(CONFIG_ASIGNATURAS!$B$7:$B$27,nASIG)&gt;0)*1),"")))</f>
        <v/>
      </c>
      <c r="Z570" t="str">
        <f>IF(Y570="","",IF(Y570="[FÓRMULA MANUAL]","",IFERROR(AVERAGEIFS(nNOTA,nNIA,Y570,nCUENTA,1,nASIG,"Análisis"),"")))</f>
        <v/>
      </c>
      <c r="AA570" t="str">
        <f>IF(Y570="","",IF(Y570="[FÓRMULA MANUAL]","",IFERROR(AVERAGEIFS(nNOTA,nNIA,Y570,nCUENTA,1,nASIG,"Orquesta/Banda/Conjunto"),"")))</f>
        <v/>
      </c>
      <c r="AB570" t="str">
        <f>IF(Y570="","",IF(Y570="[FÓRMULA MANUAL]","",IFERROR(AVERAGEIFS(nNOTA,nNIA,Y570,nCUENTA,1,nASIG,"Música de Cámara"),"")))</f>
        <v/>
      </c>
      <c r="AC570" t="str">
        <f>IF(Y570="","",IF(Y570="[FÓRMULA MANUAL]","",IFERROR(SUMPRODUCT((nNIA=Y570)*(nCUENTA=1)*(COUNTIF(CONFIG_ASIGNATURAS!$B$7:$B$27,nASIG)&gt;0)*(nNOTA))/SUMPRODUCT((nNIA=Y570)*(nCUENTA=1)*(COUNTIF(CONFIG_ASIGNATURAS!$B$7:$B$27,nASIG)&gt;0)*1),"")))</f>
        <v/>
      </c>
      <c r="AF570" t="str">
        <f>IF(AE570="","",IF(AE570="[FÓRMULA MANUAL]","",IFERROR(AVERAGEIFS(nNOTA,nNIA,AE570,nCUENTA,1,nASIG,"Análisis"),"")))</f>
        <v/>
      </c>
      <c r="AG570" t="str">
        <f>IF(AE570="","",IF(AE570="[FÓRMULA MANUAL]","",IFERROR(AVERAGEIFS(nNOTA,nNIA,AE570,nCUENTA,1,nASIG,"Orquesta/Banda/Conjunto"),"")))</f>
        <v/>
      </c>
      <c r="AH570" t="str">
        <f>IF(AE570="","",IF(AE570="[FÓRMULA MANUAL]","",IFERROR(AVERAGEIFS(nNOTA,nNIA,AE570,nCUENTA,1,nASIG,"Música de Cámara"),"")))</f>
        <v/>
      </c>
      <c r="AI570" t="str">
        <f>IF(AE570="","",IF(AE570="[FÓRMULA MANUAL]","",IFERROR(SUMPRODUCT((nNIA=AE570)*(nCUENTA=1)*(COUNTIF(CONFIG_ASIGNATURAS!$B$7:$B$27,nASIG)&gt;0)*(nNOTA))/SUMPRODUCT((nNIA=AE570)*(nCUENTA=1)*(COUNTIF(CONFIG_ASIGNATURAS!$B$7:$B$27,nASIG)&gt;0)*1),"")))</f>
        <v/>
      </c>
    </row>
    <row r="571" spans="2:35" x14ac:dyDescent="0.2">
      <c r="B571" t="str">
        <f>IF(A571="","",IF(A571="[FÓRMULA MANUAL]","",IFERROR(AVERAGEIFS(nNOTA,nNIA,A571,nCUENTA,1,nASIG,"Lenguaje Musical"),"")))</f>
        <v/>
      </c>
      <c r="C571" t="str">
        <f>IF(A571="","",IF(A571="[FÓRMULA MANUAL]","",IFERROR(AVERAGEIFS(nNOTA,nNIA,A571,nCUENTA,1,nASIG,"Orquesta/Banda/Conjunto"),"")))</f>
        <v/>
      </c>
      <c r="D571" t="str">
        <f>IF(A571="","",IF(A571="[FÓRMULA MANUAL]","",IFERROR(AVERAGEIFS(nNOTA,nNIA,A571,nCUENTA,1,nASIG,"Conjunto"),"")))</f>
        <v/>
      </c>
      <c r="E571" t="str">
        <f>IF(A571="","",IF(A571="[FÓRMULA MANUAL]","",IFERROR(SUMPRODUCT((nNIA=A571)*(nCUENTA=1)*(COUNTIF(CONFIG_ASIGNATURAS!$B$7:$B$27,nASIG)&gt;0)*(nNOTA))/SUMPRODUCT((nNIA=A571)*(nCUENTA=1)*(COUNTIF(CONFIG_ASIGNATURAS!$B$7:$B$27,nASIG)&gt;0)*1),"")))</f>
        <v/>
      </c>
      <c r="H571" t="str">
        <f>IF(G571="","",IF(G571="[FÓRMULA MANUAL]","",IFERROR(AVERAGEIFS(nNOTA,nNIA,G571,nCUENTA,1,nASIG,"Lenguaje Musical"),"")))</f>
        <v/>
      </c>
      <c r="I571" t="str">
        <f>IF(G571="","",IF(G571="[FÓRMULA MANUAL]","",IFERROR(AVERAGEIFS(nNOTA,nNIA,G571,nCUENTA,1,nASIG,"Orquesta/Banda/Conjunto"),"")))</f>
        <v/>
      </c>
      <c r="J571" t="str">
        <f>IF(G571="","",IF(G571="[FÓRMULA MANUAL]","",IFERROR(AVERAGEIFS(nNOTA,nNIA,G571,nCUENTA,1,nASIG,"Conjunto"),"")))</f>
        <v/>
      </c>
      <c r="K571" t="str">
        <f>IF(G571="","",IF(G571="[FÓRMULA MANUAL]","",IFERROR(SUMPRODUCT((nNIA=G571)*(nCUENTA=1)*(COUNTIF(CONFIG_ASIGNATURAS!$B$7:$B$27,nASIG)&gt;0)*(nNOTA))/SUMPRODUCT((nNIA=G571)*(nCUENTA=1)*(COUNTIF(CONFIG_ASIGNATURAS!$B$7:$B$27,nASIG)&gt;0)*1),"")))</f>
        <v/>
      </c>
      <c r="N571" t="str">
        <f>IF(M571="","",IF(M571="[FÓRMULA MANUAL]","",IFERROR(AVERAGEIFS(nNOTA,nNIA,M571,nCUENTA,1,nASIG,"Armonía"),"")))</f>
        <v/>
      </c>
      <c r="O571" t="str">
        <f>IF(M571="","",IF(M571="[FÓRMULA MANUAL]","",IFERROR(AVERAGEIFS(nNOTA,nNIA,M571,nCUENTA,1,nASIG,"Orquesta/Banda/Conjunto"),"")))</f>
        <v/>
      </c>
      <c r="P571" t="str">
        <f>IF(M571="","",IF(M571="[FÓRMULA MANUAL]","",IFERROR(AVERAGEIFS(nNOTA,nNIA,M571,nCUENTA,1,nASIG,"Música de Cámara"),"")))</f>
        <v/>
      </c>
      <c r="Q571" t="str">
        <f>IF(M571="","",IF(M571="[FÓRMULA MANUAL]","",IFERROR(SUMPRODUCT((nNIA=M571)*(nCUENTA=1)*(COUNTIF(CONFIG_ASIGNATURAS!$B$7:$B$27,nASIG)&gt;0)*(nNOTA))/SUMPRODUCT((nNIA=M571)*(nCUENTA=1)*(COUNTIF(CONFIG_ASIGNATURAS!$B$7:$B$27,nASIG)&gt;0)*1),"")))</f>
        <v/>
      </c>
      <c r="T571" t="str">
        <f>IF(S571="","",IF(S571="[FÓRMULA MANUAL]","",IFERROR(AVERAGEIFS(nNOTA,nNIA,S571,nCUENTA,1,nASIG,"Armonía"),"")))</f>
        <v/>
      </c>
      <c r="U571" t="str">
        <f>IF(S571="","",IF(S571="[FÓRMULA MANUAL]","",IFERROR(AVERAGEIFS(nNOTA,nNIA,S571,nCUENTA,1,nASIG,"Orquesta/Banda/Conjunto"),"")))</f>
        <v/>
      </c>
      <c r="V571" t="str">
        <f>IF(S571="","",IF(S571="[FÓRMULA MANUAL]","",IFERROR(AVERAGEIFS(nNOTA,nNIA,S571,nCUENTA,1,nASIG,"Música de Cámara"),"")))</f>
        <v/>
      </c>
      <c r="W571" t="str">
        <f>IF(S571="","",IF(S571="[FÓRMULA MANUAL]","",IFERROR(SUMPRODUCT((nNIA=S571)*(nCUENTA=1)*(COUNTIF(CONFIG_ASIGNATURAS!$B$7:$B$27,nASIG)&gt;0)*(nNOTA))/SUMPRODUCT((nNIA=S571)*(nCUENTA=1)*(COUNTIF(CONFIG_ASIGNATURAS!$B$7:$B$27,nASIG)&gt;0)*1),"")))</f>
        <v/>
      </c>
      <c r="Z571" t="str">
        <f>IF(Y571="","",IF(Y571="[FÓRMULA MANUAL]","",IFERROR(AVERAGEIFS(nNOTA,nNIA,Y571,nCUENTA,1,nASIG,"Análisis"),"")))</f>
        <v/>
      </c>
      <c r="AA571" t="str">
        <f>IF(Y571="","",IF(Y571="[FÓRMULA MANUAL]","",IFERROR(AVERAGEIFS(nNOTA,nNIA,Y571,nCUENTA,1,nASIG,"Orquesta/Banda/Conjunto"),"")))</f>
        <v/>
      </c>
      <c r="AB571" t="str">
        <f>IF(Y571="","",IF(Y571="[FÓRMULA MANUAL]","",IFERROR(AVERAGEIFS(nNOTA,nNIA,Y571,nCUENTA,1,nASIG,"Música de Cámara"),"")))</f>
        <v/>
      </c>
      <c r="AC571" t="str">
        <f>IF(Y571="","",IF(Y571="[FÓRMULA MANUAL]","",IFERROR(SUMPRODUCT((nNIA=Y571)*(nCUENTA=1)*(COUNTIF(CONFIG_ASIGNATURAS!$B$7:$B$27,nASIG)&gt;0)*(nNOTA))/SUMPRODUCT((nNIA=Y571)*(nCUENTA=1)*(COUNTIF(CONFIG_ASIGNATURAS!$B$7:$B$27,nASIG)&gt;0)*1),"")))</f>
        <v/>
      </c>
      <c r="AF571" t="str">
        <f>IF(AE571="","",IF(AE571="[FÓRMULA MANUAL]","",IFERROR(AVERAGEIFS(nNOTA,nNIA,AE571,nCUENTA,1,nASIG,"Análisis"),"")))</f>
        <v/>
      </c>
      <c r="AG571" t="str">
        <f>IF(AE571="","",IF(AE571="[FÓRMULA MANUAL]","",IFERROR(AVERAGEIFS(nNOTA,nNIA,AE571,nCUENTA,1,nASIG,"Orquesta/Banda/Conjunto"),"")))</f>
        <v/>
      </c>
      <c r="AH571" t="str">
        <f>IF(AE571="","",IF(AE571="[FÓRMULA MANUAL]","",IFERROR(AVERAGEIFS(nNOTA,nNIA,AE571,nCUENTA,1,nASIG,"Música de Cámara"),"")))</f>
        <v/>
      </c>
      <c r="AI571" t="str">
        <f>IF(AE571="","",IF(AE571="[FÓRMULA MANUAL]","",IFERROR(SUMPRODUCT((nNIA=AE571)*(nCUENTA=1)*(COUNTIF(CONFIG_ASIGNATURAS!$B$7:$B$27,nASIG)&gt;0)*(nNOTA))/SUMPRODUCT((nNIA=AE571)*(nCUENTA=1)*(COUNTIF(CONFIG_ASIGNATURAS!$B$7:$B$27,nASIG)&gt;0)*1),"")))</f>
        <v/>
      </c>
    </row>
    <row r="572" spans="2:35" x14ac:dyDescent="0.2">
      <c r="B572" t="str">
        <f>IF(A572="","",IF(A572="[FÓRMULA MANUAL]","",IFERROR(AVERAGEIFS(nNOTA,nNIA,A572,nCUENTA,1,nASIG,"Lenguaje Musical"),"")))</f>
        <v/>
      </c>
      <c r="C572" t="str">
        <f>IF(A572="","",IF(A572="[FÓRMULA MANUAL]","",IFERROR(AVERAGEIFS(nNOTA,nNIA,A572,nCUENTA,1,nASIG,"Orquesta/Banda/Conjunto"),"")))</f>
        <v/>
      </c>
      <c r="D572" t="str">
        <f>IF(A572="","",IF(A572="[FÓRMULA MANUAL]","",IFERROR(AVERAGEIFS(nNOTA,nNIA,A572,nCUENTA,1,nASIG,"Conjunto"),"")))</f>
        <v/>
      </c>
      <c r="E572" t="str">
        <f>IF(A572="","",IF(A572="[FÓRMULA MANUAL]","",IFERROR(SUMPRODUCT((nNIA=A572)*(nCUENTA=1)*(COUNTIF(CONFIG_ASIGNATURAS!$B$7:$B$27,nASIG)&gt;0)*(nNOTA))/SUMPRODUCT((nNIA=A572)*(nCUENTA=1)*(COUNTIF(CONFIG_ASIGNATURAS!$B$7:$B$27,nASIG)&gt;0)*1),"")))</f>
        <v/>
      </c>
      <c r="H572" t="str">
        <f>IF(G572="","",IF(G572="[FÓRMULA MANUAL]","",IFERROR(AVERAGEIFS(nNOTA,nNIA,G572,nCUENTA,1,nASIG,"Lenguaje Musical"),"")))</f>
        <v/>
      </c>
      <c r="I572" t="str">
        <f>IF(G572="","",IF(G572="[FÓRMULA MANUAL]","",IFERROR(AVERAGEIFS(nNOTA,nNIA,G572,nCUENTA,1,nASIG,"Orquesta/Banda/Conjunto"),"")))</f>
        <v/>
      </c>
      <c r="J572" t="str">
        <f>IF(G572="","",IF(G572="[FÓRMULA MANUAL]","",IFERROR(AVERAGEIFS(nNOTA,nNIA,G572,nCUENTA,1,nASIG,"Conjunto"),"")))</f>
        <v/>
      </c>
      <c r="K572" t="str">
        <f>IF(G572="","",IF(G572="[FÓRMULA MANUAL]","",IFERROR(SUMPRODUCT((nNIA=G572)*(nCUENTA=1)*(COUNTIF(CONFIG_ASIGNATURAS!$B$7:$B$27,nASIG)&gt;0)*(nNOTA))/SUMPRODUCT((nNIA=G572)*(nCUENTA=1)*(COUNTIF(CONFIG_ASIGNATURAS!$B$7:$B$27,nASIG)&gt;0)*1),"")))</f>
        <v/>
      </c>
      <c r="N572" t="str">
        <f>IF(M572="","",IF(M572="[FÓRMULA MANUAL]","",IFERROR(AVERAGEIFS(nNOTA,nNIA,M572,nCUENTA,1,nASIG,"Armonía"),"")))</f>
        <v/>
      </c>
      <c r="O572" t="str">
        <f>IF(M572="","",IF(M572="[FÓRMULA MANUAL]","",IFERROR(AVERAGEIFS(nNOTA,nNIA,M572,nCUENTA,1,nASIG,"Orquesta/Banda/Conjunto"),"")))</f>
        <v/>
      </c>
      <c r="P572" t="str">
        <f>IF(M572="","",IF(M572="[FÓRMULA MANUAL]","",IFERROR(AVERAGEIFS(nNOTA,nNIA,M572,nCUENTA,1,nASIG,"Música de Cámara"),"")))</f>
        <v/>
      </c>
      <c r="Q572" t="str">
        <f>IF(M572="","",IF(M572="[FÓRMULA MANUAL]","",IFERROR(SUMPRODUCT((nNIA=M572)*(nCUENTA=1)*(COUNTIF(CONFIG_ASIGNATURAS!$B$7:$B$27,nASIG)&gt;0)*(nNOTA))/SUMPRODUCT((nNIA=M572)*(nCUENTA=1)*(COUNTIF(CONFIG_ASIGNATURAS!$B$7:$B$27,nASIG)&gt;0)*1),"")))</f>
        <v/>
      </c>
      <c r="T572" t="str">
        <f>IF(S572="","",IF(S572="[FÓRMULA MANUAL]","",IFERROR(AVERAGEIFS(nNOTA,nNIA,S572,nCUENTA,1,nASIG,"Armonía"),"")))</f>
        <v/>
      </c>
      <c r="U572" t="str">
        <f>IF(S572="","",IF(S572="[FÓRMULA MANUAL]","",IFERROR(AVERAGEIFS(nNOTA,nNIA,S572,nCUENTA,1,nASIG,"Orquesta/Banda/Conjunto"),"")))</f>
        <v/>
      </c>
      <c r="V572" t="str">
        <f>IF(S572="","",IF(S572="[FÓRMULA MANUAL]","",IFERROR(AVERAGEIFS(nNOTA,nNIA,S572,nCUENTA,1,nASIG,"Música de Cámara"),"")))</f>
        <v/>
      </c>
      <c r="W572" t="str">
        <f>IF(S572="","",IF(S572="[FÓRMULA MANUAL]","",IFERROR(SUMPRODUCT((nNIA=S572)*(nCUENTA=1)*(COUNTIF(CONFIG_ASIGNATURAS!$B$7:$B$27,nASIG)&gt;0)*(nNOTA))/SUMPRODUCT((nNIA=S572)*(nCUENTA=1)*(COUNTIF(CONFIG_ASIGNATURAS!$B$7:$B$27,nASIG)&gt;0)*1),"")))</f>
        <v/>
      </c>
      <c r="Z572" t="str">
        <f>IF(Y572="","",IF(Y572="[FÓRMULA MANUAL]","",IFERROR(AVERAGEIFS(nNOTA,nNIA,Y572,nCUENTA,1,nASIG,"Análisis"),"")))</f>
        <v/>
      </c>
      <c r="AA572" t="str">
        <f>IF(Y572="","",IF(Y572="[FÓRMULA MANUAL]","",IFERROR(AVERAGEIFS(nNOTA,nNIA,Y572,nCUENTA,1,nASIG,"Orquesta/Banda/Conjunto"),"")))</f>
        <v/>
      </c>
      <c r="AB572" t="str">
        <f>IF(Y572="","",IF(Y572="[FÓRMULA MANUAL]","",IFERROR(AVERAGEIFS(nNOTA,nNIA,Y572,nCUENTA,1,nASIG,"Música de Cámara"),"")))</f>
        <v/>
      </c>
      <c r="AC572" t="str">
        <f>IF(Y572="","",IF(Y572="[FÓRMULA MANUAL]","",IFERROR(SUMPRODUCT((nNIA=Y572)*(nCUENTA=1)*(COUNTIF(CONFIG_ASIGNATURAS!$B$7:$B$27,nASIG)&gt;0)*(nNOTA))/SUMPRODUCT((nNIA=Y572)*(nCUENTA=1)*(COUNTIF(CONFIG_ASIGNATURAS!$B$7:$B$27,nASIG)&gt;0)*1),"")))</f>
        <v/>
      </c>
      <c r="AF572" t="str">
        <f>IF(AE572="","",IF(AE572="[FÓRMULA MANUAL]","",IFERROR(AVERAGEIFS(nNOTA,nNIA,AE572,nCUENTA,1,nASIG,"Análisis"),"")))</f>
        <v/>
      </c>
      <c r="AG572" t="str">
        <f>IF(AE572="","",IF(AE572="[FÓRMULA MANUAL]","",IFERROR(AVERAGEIFS(nNOTA,nNIA,AE572,nCUENTA,1,nASIG,"Orquesta/Banda/Conjunto"),"")))</f>
        <v/>
      </c>
      <c r="AH572" t="str">
        <f>IF(AE572="","",IF(AE572="[FÓRMULA MANUAL]","",IFERROR(AVERAGEIFS(nNOTA,nNIA,AE572,nCUENTA,1,nASIG,"Música de Cámara"),"")))</f>
        <v/>
      </c>
      <c r="AI572" t="str">
        <f>IF(AE572="","",IF(AE572="[FÓRMULA MANUAL]","",IFERROR(SUMPRODUCT((nNIA=AE572)*(nCUENTA=1)*(COUNTIF(CONFIG_ASIGNATURAS!$B$7:$B$27,nASIG)&gt;0)*(nNOTA))/SUMPRODUCT((nNIA=AE572)*(nCUENTA=1)*(COUNTIF(CONFIG_ASIGNATURAS!$B$7:$B$27,nASIG)&gt;0)*1),"")))</f>
        <v/>
      </c>
    </row>
    <row r="573" spans="2:35" x14ac:dyDescent="0.2">
      <c r="B573" t="str">
        <f>IF(A573="","",IF(A573="[FÓRMULA MANUAL]","",IFERROR(AVERAGEIFS(nNOTA,nNIA,A573,nCUENTA,1,nASIG,"Lenguaje Musical"),"")))</f>
        <v/>
      </c>
      <c r="C573" t="str">
        <f>IF(A573="","",IF(A573="[FÓRMULA MANUAL]","",IFERROR(AVERAGEIFS(nNOTA,nNIA,A573,nCUENTA,1,nASIG,"Orquesta/Banda/Conjunto"),"")))</f>
        <v/>
      </c>
      <c r="D573" t="str">
        <f>IF(A573="","",IF(A573="[FÓRMULA MANUAL]","",IFERROR(AVERAGEIFS(nNOTA,nNIA,A573,nCUENTA,1,nASIG,"Conjunto"),"")))</f>
        <v/>
      </c>
      <c r="E573" t="str">
        <f>IF(A573="","",IF(A573="[FÓRMULA MANUAL]","",IFERROR(SUMPRODUCT((nNIA=A573)*(nCUENTA=1)*(COUNTIF(CONFIG_ASIGNATURAS!$B$7:$B$27,nASIG)&gt;0)*(nNOTA))/SUMPRODUCT((nNIA=A573)*(nCUENTA=1)*(COUNTIF(CONFIG_ASIGNATURAS!$B$7:$B$27,nASIG)&gt;0)*1),"")))</f>
        <v/>
      </c>
      <c r="H573" t="str">
        <f>IF(G573="","",IF(G573="[FÓRMULA MANUAL]","",IFERROR(AVERAGEIFS(nNOTA,nNIA,G573,nCUENTA,1,nASIG,"Lenguaje Musical"),"")))</f>
        <v/>
      </c>
      <c r="I573" t="str">
        <f>IF(G573="","",IF(G573="[FÓRMULA MANUAL]","",IFERROR(AVERAGEIFS(nNOTA,nNIA,G573,nCUENTA,1,nASIG,"Orquesta/Banda/Conjunto"),"")))</f>
        <v/>
      </c>
      <c r="J573" t="str">
        <f>IF(G573="","",IF(G573="[FÓRMULA MANUAL]","",IFERROR(AVERAGEIFS(nNOTA,nNIA,G573,nCUENTA,1,nASIG,"Conjunto"),"")))</f>
        <v/>
      </c>
      <c r="K573" t="str">
        <f>IF(G573="","",IF(G573="[FÓRMULA MANUAL]","",IFERROR(SUMPRODUCT((nNIA=G573)*(nCUENTA=1)*(COUNTIF(CONFIG_ASIGNATURAS!$B$7:$B$27,nASIG)&gt;0)*(nNOTA))/SUMPRODUCT((nNIA=G573)*(nCUENTA=1)*(COUNTIF(CONFIG_ASIGNATURAS!$B$7:$B$27,nASIG)&gt;0)*1),"")))</f>
        <v/>
      </c>
      <c r="N573" t="str">
        <f>IF(M573="","",IF(M573="[FÓRMULA MANUAL]","",IFERROR(AVERAGEIFS(nNOTA,nNIA,M573,nCUENTA,1,nASIG,"Armonía"),"")))</f>
        <v/>
      </c>
      <c r="O573" t="str">
        <f>IF(M573="","",IF(M573="[FÓRMULA MANUAL]","",IFERROR(AVERAGEIFS(nNOTA,nNIA,M573,nCUENTA,1,nASIG,"Orquesta/Banda/Conjunto"),"")))</f>
        <v/>
      </c>
      <c r="P573" t="str">
        <f>IF(M573="","",IF(M573="[FÓRMULA MANUAL]","",IFERROR(AVERAGEIFS(nNOTA,nNIA,M573,nCUENTA,1,nASIG,"Música de Cámara"),"")))</f>
        <v/>
      </c>
      <c r="Q573" t="str">
        <f>IF(M573="","",IF(M573="[FÓRMULA MANUAL]","",IFERROR(SUMPRODUCT((nNIA=M573)*(nCUENTA=1)*(COUNTIF(CONFIG_ASIGNATURAS!$B$7:$B$27,nASIG)&gt;0)*(nNOTA))/SUMPRODUCT((nNIA=M573)*(nCUENTA=1)*(COUNTIF(CONFIG_ASIGNATURAS!$B$7:$B$27,nASIG)&gt;0)*1),"")))</f>
        <v/>
      </c>
      <c r="T573" t="str">
        <f>IF(S573="","",IF(S573="[FÓRMULA MANUAL]","",IFERROR(AVERAGEIFS(nNOTA,nNIA,S573,nCUENTA,1,nASIG,"Armonía"),"")))</f>
        <v/>
      </c>
      <c r="U573" t="str">
        <f>IF(S573="","",IF(S573="[FÓRMULA MANUAL]","",IFERROR(AVERAGEIFS(nNOTA,nNIA,S573,nCUENTA,1,nASIG,"Orquesta/Banda/Conjunto"),"")))</f>
        <v/>
      </c>
      <c r="V573" t="str">
        <f>IF(S573="","",IF(S573="[FÓRMULA MANUAL]","",IFERROR(AVERAGEIFS(nNOTA,nNIA,S573,nCUENTA,1,nASIG,"Música de Cámara"),"")))</f>
        <v/>
      </c>
      <c r="W573" t="str">
        <f>IF(S573="","",IF(S573="[FÓRMULA MANUAL]","",IFERROR(SUMPRODUCT((nNIA=S573)*(nCUENTA=1)*(COUNTIF(CONFIG_ASIGNATURAS!$B$7:$B$27,nASIG)&gt;0)*(nNOTA))/SUMPRODUCT((nNIA=S573)*(nCUENTA=1)*(COUNTIF(CONFIG_ASIGNATURAS!$B$7:$B$27,nASIG)&gt;0)*1),"")))</f>
        <v/>
      </c>
      <c r="Z573" t="str">
        <f>IF(Y573="","",IF(Y573="[FÓRMULA MANUAL]","",IFERROR(AVERAGEIFS(nNOTA,nNIA,Y573,nCUENTA,1,nASIG,"Análisis"),"")))</f>
        <v/>
      </c>
      <c r="AA573" t="str">
        <f>IF(Y573="","",IF(Y573="[FÓRMULA MANUAL]","",IFERROR(AVERAGEIFS(nNOTA,nNIA,Y573,nCUENTA,1,nASIG,"Orquesta/Banda/Conjunto"),"")))</f>
        <v/>
      </c>
      <c r="AB573" t="str">
        <f>IF(Y573="","",IF(Y573="[FÓRMULA MANUAL]","",IFERROR(AVERAGEIFS(nNOTA,nNIA,Y573,nCUENTA,1,nASIG,"Música de Cámara"),"")))</f>
        <v/>
      </c>
      <c r="AC573" t="str">
        <f>IF(Y573="","",IF(Y573="[FÓRMULA MANUAL]","",IFERROR(SUMPRODUCT((nNIA=Y573)*(nCUENTA=1)*(COUNTIF(CONFIG_ASIGNATURAS!$B$7:$B$27,nASIG)&gt;0)*(nNOTA))/SUMPRODUCT((nNIA=Y573)*(nCUENTA=1)*(COUNTIF(CONFIG_ASIGNATURAS!$B$7:$B$27,nASIG)&gt;0)*1),"")))</f>
        <v/>
      </c>
      <c r="AF573" t="str">
        <f>IF(AE573="","",IF(AE573="[FÓRMULA MANUAL]","",IFERROR(AVERAGEIFS(nNOTA,nNIA,AE573,nCUENTA,1,nASIG,"Análisis"),"")))</f>
        <v/>
      </c>
      <c r="AG573" t="str">
        <f>IF(AE573="","",IF(AE573="[FÓRMULA MANUAL]","",IFERROR(AVERAGEIFS(nNOTA,nNIA,AE573,nCUENTA,1,nASIG,"Orquesta/Banda/Conjunto"),"")))</f>
        <v/>
      </c>
      <c r="AH573" t="str">
        <f>IF(AE573="","",IF(AE573="[FÓRMULA MANUAL]","",IFERROR(AVERAGEIFS(nNOTA,nNIA,AE573,nCUENTA,1,nASIG,"Música de Cámara"),"")))</f>
        <v/>
      </c>
      <c r="AI573" t="str">
        <f>IF(AE573="","",IF(AE573="[FÓRMULA MANUAL]","",IFERROR(SUMPRODUCT((nNIA=AE573)*(nCUENTA=1)*(COUNTIF(CONFIG_ASIGNATURAS!$B$7:$B$27,nASIG)&gt;0)*(nNOTA))/SUMPRODUCT((nNIA=AE573)*(nCUENTA=1)*(COUNTIF(CONFIG_ASIGNATURAS!$B$7:$B$27,nASIG)&gt;0)*1),"")))</f>
        <v/>
      </c>
    </row>
    <row r="574" spans="2:35" x14ac:dyDescent="0.2">
      <c r="B574" t="str">
        <f>IF(A574="","",IF(A574="[FÓRMULA MANUAL]","",IFERROR(AVERAGEIFS(nNOTA,nNIA,A574,nCUENTA,1,nASIG,"Lenguaje Musical"),"")))</f>
        <v/>
      </c>
      <c r="C574" t="str">
        <f>IF(A574="","",IF(A574="[FÓRMULA MANUAL]","",IFERROR(AVERAGEIFS(nNOTA,nNIA,A574,nCUENTA,1,nASIG,"Orquesta/Banda/Conjunto"),"")))</f>
        <v/>
      </c>
      <c r="D574" t="str">
        <f>IF(A574="","",IF(A574="[FÓRMULA MANUAL]","",IFERROR(AVERAGEIFS(nNOTA,nNIA,A574,nCUENTA,1,nASIG,"Conjunto"),"")))</f>
        <v/>
      </c>
      <c r="E574" t="str">
        <f>IF(A574="","",IF(A574="[FÓRMULA MANUAL]","",IFERROR(SUMPRODUCT((nNIA=A574)*(nCUENTA=1)*(COUNTIF(CONFIG_ASIGNATURAS!$B$7:$B$27,nASIG)&gt;0)*(nNOTA))/SUMPRODUCT((nNIA=A574)*(nCUENTA=1)*(COUNTIF(CONFIG_ASIGNATURAS!$B$7:$B$27,nASIG)&gt;0)*1),"")))</f>
        <v/>
      </c>
      <c r="H574" t="str">
        <f>IF(G574="","",IF(G574="[FÓRMULA MANUAL]","",IFERROR(AVERAGEIFS(nNOTA,nNIA,G574,nCUENTA,1,nASIG,"Lenguaje Musical"),"")))</f>
        <v/>
      </c>
      <c r="I574" t="str">
        <f>IF(G574="","",IF(G574="[FÓRMULA MANUAL]","",IFERROR(AVERAGEIFS(nNOTA,nNIA,G574,nCUENTA,1,nASIG,"Orquesta/Banda/Conjunto"),"")))</f>
        <v/>
      </c>
      <c r="J574" t="str">
        <f>IF(G574="","",IF(G574="[FÓRMULA MANUAL]","",IFERROR(AVERAGEIFS(nNOTA,nNIA,G574,nCUENTA,1,nASIG,"Conjunto"),"")))</f>
        <v/>
      </c>
      <c r="K574" t="str">
        <f>IF(G574="","",IF(G574="[FÓRMULA MANUAL]","",IFERROR(SUMPRODUCT((nNIA=G574)*(nCUENTA=1)*(COUNTIF(CONFIG_ASIGNATURAS!$B$7:$B$27,nASIG)&gt;0)*(nNOTA))/SUMPRODUCT((nNIA=G574)*(nCUENTA=1)*(COUNTIF(CONFIG_ASIGNATURAS!$B$7:$B$27,nASIG)&gt;0)*1),"")))</f>
        <v/>
      </c>
      <c r="N574" t="str">
        <f>IF(M574="","",IF(M574="[FÓRMULA MANUAL]","",IFERROR(AVERAGEIFS(nNOTA,nNIA,M574,nCUENTA,1,nASIG,"Armonía"),"")))</f>
        <v/>
      </c>
      <c r="O574" t="str">
        <f>IF(M574="","",IF(M574="[FÓRMULA MANUAL]","",IFERROR(AVERAGEIFS(nNOTA,nNIA,M574,nCUENTA,1,nASIG,"Orquesta/Banda/Conjunto"),"")))</f>
        <v/>
      </c>
      <c r="P574" t="str">
        <f>IF(M574="","",IF(M574="[FÓRMULA MANUAL]","",IFERROR(AVERAGEIFS(nNOTA,nNIA,M574,nCUENTA,1,nASIG,"Música de Cámara"),"")))</f>
        <v/>
      </c>
      <c r="Q574" t="str">
        <f>IF(M574="","",IF(M574="[FÓRMULA MANUAL]","",IFERROR(SUMPRODUCT((nNIA=M574)*(nCUENTA=1)*(COUNTIF(CONFIG_ASIGNATURAS!$B$7:$B$27,nASIG)&gt;0)*(nNOTA))/SUMPRODUCT((nNIA=M574)*(nCUENTA=1)*(COUNTIF(CONFIG_ASIGNATURAS!$B$7:$B$27,nASIG)&gt;0)*1),"")))</f>
        <v/>
      </c>
      <c r="T574" t="str">
        <f>IF(S574="","",IF(S574="[FÓRMULA MANUAL]","",IFERROR(AVERAGEIFS(nNOTA,nNIA,S574,nCUENTA,1,nASIG,"Armonía"),"")))</f>
        <v/>
      </c>
      <c r="U574" t="str">
        <f>IF(S574="","",IF(S574="[FÓRMULA MANUAL]","",IFERROR(AVERAGEIFS(nNOTA,nNIA,S574,nCUENTA,1,nASIG,"Orquesta/Banda/Conjunto"),"")))</f>
        <v/>
      </c>
      <c r="V574" t="str">
        <f>IF(S574="","",IF(S574="[FÓRMULA MANUAL]","",IFERROR(AVERAGEIFS(nNOTA,nNIA,S574,nCUENTA,1,nASIG,"Música de Cámara"),"")))</f>
        <v/>
      </c>
      <c r="W574" t="str">
        <f>IF(S574="","",IF(S574="[FÓRMULA MANUAL]","",IFERROR(SUMPRODUCT((nNIA=S574)*(nCUENTA=1)*(COUNTIF(CONFIG_ASIGNATURAS!$B$7:$B$27,nASIG)&gt;0)*(nNOTA))/SUMPRODUCT((nNIA=S574)*(nCUENTA=1)*(COUNTIF(CONFIG_ASIGNATURAS!$B$7:$B$27,nASIG)&gt;0)*1),"")))</f>
        <v/>
      </c>
      <c r="Z574" t="str">
        <f>IF(Y574="","",IF(Y574="[FÓRMULA MANUAL]","",IFERROR(AVERAGEIFS(nNOTA,nNIA,Y574,nCUENTA,1,nASIG,"Análisis"),"")))</f>
        <v/>
      </c>
      <c r="AA574" t="str">
        <f>IF(Y574="","",IF(Y574="[FÓRMULA MANUAL]","",IFERROR(AVERAGEIFS(nNOTA,nNIA,Y574,nCUENTA,1,nASIG,"Orquesta/Banda/Conjunto"),"")))</f>
        <v/>
      </c>
      <c r="AB574" t="str">
        <f>IF(Y574="","",IF(Y574="[FÓRMULA MANUAL]","",IFERROR(AVERAGEIFS(nNOTA,nNIA,Y574,nCUENTA,1,nASIG,"Música de Cámara"),"")))</f>
        <v/>
      </c>
      <c r="AC574" t="str">
        <f>IF(Y574="","",IF(Y574="[FÓRMULA MANUAL]","",IFERROR(SUMPRODUCT((nNIA=Y574)*(nCUENTA=1)*(COUNTIF(CONFIG_ASIGNATURAS!$B$7:$B$27,nASIG)&gt;0)*(nNOTA))/SUMPRODUCT((nNIA=Y574)*(nCUENTA=1)*(COUNTIF(CONFIG_ASIGNATURAS!$B$7:$B$27,nASIG)&gt;0)*1),"")))</f>
        <v/>
      </c>
      <c r="AF574" t="str">
        <f>IF(AE574="","",IF(AE574="[FÓRMULA MANUAL]","",IFERROR(AVERAGEIFS(nNOTA,nNIA,AE574,nCUENTA,1,nASIG,"Análisis"),"")))</f>
        <v/>
      </c>
      <c r="AG574" t="str">
        <f>IF(AE574="","",IF(AE574="[FÓRMULA MANUAL]","",IFERROR(AVERAGEIFS(nNOTA,nNIA,AE574,nCUENTA,1,nASIG,"Orquesta/Banda/Conjunto"),"")))</f>
        <v/>
      </c>
      <c r="AH574" t="str">
        <f>IF(AE574="","",IF(AE574="[FÓRMULA MANUAL]","",IFERROR(AVERAGEIFS(nNOTA,nNIA,AE574,nCUENTA,1,nASIG,"Música de Cámara"),"")))</f>
        <v/>
      </c>
      <c r="AI574" t="str">
        <f>IF(AE574="","",IF(AE574="[FÓRMULA MANUAL]","",IFERROR(SUMPRODUCT((nNIA=AE574)*(nCUENTA=1)*(COUNTIF(CONFIG_ASIGNATURAS!$B$7:$B$27,nASIG)&gt;0)*(nNOTA))/SUMPRODUCT((nNIA=AE574)*(nCUENTA=1)*(COUNTIF(CONFIG_ASIGNATURAS!$B$7:$B$27,nASIG)&gt;0)*1),"")))</f>
        <v/>
      </c>
    </row>
    <row r="575" spans="2:35" x14ac:dyDescent="0.2">
      <c r="B575" t="str">
        <f>IF(A575="","",IF(A575="[FÓRMULA MANUAL]","",IFERROR(AVERAGEIFS(nNOTA,nNIA,A575,nCUENTA,1,nASIG,"Lenguaje Musical"),"")))</f>
        <v/>
      </c>
      <c r="C575" t="str">
        <f>IF(A575="","",IF(A575="[FÓRMULA MANUAL]","",IFERROR(AVERAGEIFS(nNOTA,nNIA,A575,nCUENTA,1,nASIG,"Orquesta/Banda/Conjunto"),"")))</f>
        <v/>
      </c>
      <c r="D575" t="str">
        <f>IF(A575="","",IF(A575="[FÓRMULA MANUAL]","",IFERROR(AVERAGEIFS(nNOTA,nNIA,A575,nCUENTA,1,nASIG,"Conjunto"),"")))</f>
        <v/>
      </c>
      <c r="E575" t="str">
        <f>IF(A575="","",IF(A575="[FÓRMULA MANUAL]","",IFERROR(SUMPRODUCT((nNIA=A575)*(nCUENTA=1)*(COUNTIF(CONFIG_ASIGNATURAS!$B$7:$B$27,nASIG)&gt;0)*(nNOTA))/SUMPRODUCT((nNIA=A575)*(nCUENTA=1)*(COUNTIF(CONFIG_ASIGNATURAS!$B$7:$B$27,nASIG)&gt;0)*1),"")))</f>
        <v/>
      </c>
      <c r="H575" t="str">
        <f>IF(G575="","",IF(G575="[FÓRMULA MANUAL]","",IFERROR(AVERAGEIFS(nNOTA,nNIA,G575,nCUENTA,1,nASIG,"Lenguaje Musical"),"")))</f>
        <v/>
      </c>
      <c r="I575" t="str">
        <f>IF(G575="","",IF(G575="[FÓRMULA MANUAL]","",IFERROR(AVERAGEIFS(nNOTA,nNIA,G575,nCUENTA,1,nASIG,"Orquesta/Banda/Conjunto"),"")))</f>
        <v/>
      </c>
      <c r="J575" t="str">
        <f>IF(G575="","",IF(G575="[FÓRMULA MANUAL]","",IFERROR(AVERAGEIFS(nNOTA,nNIA,G575,nCUENTA,1,nASIG,"Conjunto"),"")))</f>
        <v/>
      </c>
      <c r="K575" t="str">
        <f>IF(G575="","",IF(G575="[FÓRMULA MANUAL]","",IFERROR(SUMPRODUCT((nNIA=G575)*(nCUENTA=1)*(COUNTIF(CONFIG_ASIGNATURAS!$B$7:$B$27,nASIG)&gt;0)*(nNOTA))/SUMPRODUCT((nNIA=G575)*(nCUENTA=1)*(COUNTIF(CONFIG_ASIGNATURAS!$B$7:$B$27,nASIG)&gt;0)*1),"")))</f>
        <v/>
      </c>
      <c r="N575" t="str">
        <f>IF(M575="","",IF(M575="[FÓRMULA MANUAL]","",IFERROR(AVERAGEIFS(nNOTA,nNIA,M575,nCUENTA,1,nASIG,"Armonía"),"")))</f>
        <v/>
      </c>
      <c r="O575" t="str">
        <f>IF(M575="","",IF(M575="[FÓRMULA MANUAL]","",IFERROR(AVERAGEIFS(nNOTA,nNIA,M575,nCUENTA,1,nASIG,"Orquesta/Banda/Conjunto"),"")))</f>
        <v/>
      </c>
      <c r="P575" t="str">
        <f>IF(M575="","",IF(M575="[FÓRMULA MANUAL]","",IFERROR(AVERAGEIFS(nNOTA,nNIA,M575,nCUENTA,1,nASIG,"Música de Cámara"),"")))</f>
        <v/>
      </c>
      <c r="Q575" t="str">
        <f>IF(M575="","",IF(M575="[FÓRMULA MANUAL]","",IFERROR(SUMPRODUCT((nNIA=M575)*(nCUENTA=1)*(COUNTIF(CONFIG_ASIGNATURAS!$B$7:$B$27,nASIG)&gt;0)*(nNOTA))/SUMPRODUCT((nNIA=M575)*(nCUENTA=1)*(COUNTIF(CONFIG_ASIGNATURAS!$B$7:$B$27,nASIG)&gt;0)*1),"")))</f>
        <v/>
      </c>
      <c r="T575" t="str">
        <f>IF(S575="","",IF(S575="[FÓRMULA MANUAL]","",IFERROR(AVERAGEIFS(nNOTA,nNIA,S575,nCUENTA,1,nASIG,"Armonía"),"")))</f>
        <v/>
      </c>
      <c r="U575" t="str">
        <f>IF(S575="","",IF(S575="[FÓRMULA MANUAL]","",IFERROR(AVERAGEIFS(nNOTA,nNIA,S575,nCUENTA,1,nASIG,"Orquesta/Banda/Conjunto"),"")))</f>
        <v/>
      </c>
      <c r="V575" t="str">
        <f>IF(S575="","",IF(S575="[FÓRMULA MANUAL]","",IFERROR(AVERAGEIFS(nNOTA,nNIA,S575,nCUENTA,1,nASIG,"Música de Cámara"),"")))</f>
        <v/>
      </c>
      <c r="W575" t="str">
        <f>IF(S575="","",IF(S575="[FÓRMULA MANUAL]","",IFERROR(SUMPRODUCT((nNIA=S575)*(nCUENTA=1)*(COUNTIF(CONFIG_ASIGNATURAS!$B$7:$B$27,nASIG)&gt;0)*(nNOTA))/SUMPRODUCT((nNIA=S575)*(nCUENTA=1)*(COUNTIF(CONFIG_ASIGNATURAS!$B$7:$B$27,nASIG)&gt;0)*1),"")))</f>
        <v/>
      </c>
      <c r="Z575" t="str">
        <f>IF(Y575="","",IF(Y575="[FÓRMULA MANUAL]","",IFERROR(AVERAGEIFS(nNOTA,nNIA,Y575,nCUENTA,1,nASIG,"Análisis"),"")))</f>
        <v/>
      </c>
      <c r="AA575" t="str">
        <f>IF(Y575="","",IF(Y575="[FÓRMULA MANUAL]","",IFERROR(AVERAGEIFS(nNOTA,nNIA,Y575,nCUENTA,1,nASIG,"Orquesta/Banda/Conjunto"),"")))</f>
        <v/>
      </c>
      <c r="AB575" t="str">
        <f>IF(Y575="","",IF(Y575="[FÓRMULA MANUAL]","",IFERROR(AVERAGEIFS(nNOTA,nNIA,Y575,nCUENTA,1,nASIG,"Música de Cámara"),"")))</f>
        <v/>
      </c>
      <c r="AC575" t="str">
        <f>IF(Y575="","",IF(Y575="[FÓRMULA MANUAL]","",IFERROR(SUMPRODUCT((nNIA=Y575)*(nCUENTA=1)*(COUNTIF(CONFIG_ASIGNATURAS!$B$7:$B$27,nASIG)&gt;0)*(nNOTA))/SUMPRODUCT((nNIA=Y575)*(nCUENTA=1)*(COUNTIF(CONFIG_ASIGNATURAS!$B$7:$B$27,nASIG)&gt;0)*1),"")))</f>
        <v/>
      </c>
      <c r="AF575" t="str">
        <f>IF(AE575="","",IF(AE575="[FÓRMULA MANUAL]","",IFERROR(AVERAGEIFS(nNOTA,nNIA,AE575,nCUENTA,1,nASIG,"Análisis"),"")))</f>
        <v/>
      </c>
      <c r="AG575" t="str">
        <f>IF(AE575="","",IF(AE575="[FÓRMULA MANUAL]","",IFERROR(AVERAGEIFS(nNOTA,nNIA,AE575,nCUENTA,1,nASIG,"Orquesta/Banda/Conjunto"),"")))</f>
        <v/>
      </c>
      <c r="AH575" t="str">
        <f>IF(AE575="","",IF(AE575="[FÓRMULA MANUAL]","",IFERROR(AVERAGEIFS(nNOTA,nNIA,AE575,nCUENTA,1,nASIG,"Música de Cámara"),"")))</f>
        <v/>
      </c>
      <c r="AI575" t="str">
        <f>IF(AE575="","",IF(AE575="[FÓRMULA MANUAL]","",IFERROR(SUMPRODUCT((nNIA=AE575)*(nCUENTA=1)*(COUNTIF(CONFIG_ASIGNATURAS!$B$7:$B$27,nASIG)&gt;0)*(nNOTA))/SUMPRODUCT((nNIA=AE575)*(nCUENTA=1)*(COUNTIF(CONFIG_ASIGNATURAS!$B$7:$B$27,nASIG)&gt;0)*1),"")))</f>
        <v/>
      </c>
    </row>
    <row r="576" spans="2:35" x14ac:dyDescent="0.2">
      <c r="B576" t="str">
        <f>IF(A576="","",IF(A576="[FÓRMULA MANUAL]","",IFERROR(AVERAGEIFS(nNOTA,nNIA,A576,nCUENTA,1,nASIG,"Lenguaje Musical"),"")))</f>
        <v/>
      </c>
      <c r="C576" t="str">
        <f>IF(A576="","",IF(A576="[FÓRMULA MANUAL]","",IFERROR(AVERAGEIFS(nNOTA,nNIA,A576,nCUENTA,1,nASIG,"Orquesta/Banda/Conjunto"),"")))</f>
        <v/>
      </c>
      <c r="D576" t="str">
        <f>IF(A576="","",IF(A576="[FÓRMULA MANUAL]","",IFERROR(AVERAGEIFS(nNOTA,nNIA,A576,nCUENTA,1,nASIG,"Conjunto"),"")))</f>
        <v/>
      </c>
      <c r="E576" t="str">
        <f>IF(A576="","",IF(A576="[FÓRMULA MANUAL]","",IFERROR(SUMPRODUCT((nNIA=A576)*(nCUENTA=1)*(COUNTIF(CONFIG_ASIGNATURAS!$B$7:$B$27,nASIG)&gt;0)*(nNOTA))/SUMPRODUCT((nNIA=A576)*(nCUENTA=1)*(COUNTIF(CONFIG_ASIGNATURAS!$B$7:$B$27,nASIG)&gt;0)*1),"")))</f>
        <v/>
      </c>
      <c r="H576" t="str">
        <f>IF(G576="","",IF(G576="[FÓRMULA MANUAL]","",IFERROR(AVERAGEIFS(nNOTA,nNIA,G576,nCUENTA,1,nASIG,"Lenguaje Musical"),"")))</f>
        <v/>
      </c>
      <c r="I576" t="str">
        <f>IF(G576="","",IF(G576="[FÓRMULA MANUAL]","",IFERROR(AVERAGEIFS(nNOTA,nNIA,G576,nCUENTA,1,nASIG,"Orquesta/Banda/Conjunto"),"")))</f>
        <v/>
      </c>
      <c r="J576" t="str">
        <f>IF(G576="","",IF(G576="[FÓRMULA MANUAL]","",IFERROR(AVERAGEIFS(nNOTA,nNIA,G576,nCUENTA,1,nASIG,"Conjunto"),"")))</f>
        <v/>
      </c>
      <c r="K576" t="str">
        <f>IF(G576="","",IF(G576="[FÓRMULA MANUAL]","",IFERROR(SUMPRODUCT((nNIA=G576)*(nCUENTA=1)*(COUNTIF(CONFIG_ASIGNATURAS!$B$7:$B$27,nASIG)&gt;0)*(nNOTA))/SUMPRODUCT((nNIA=G576)*(nCUENTA=1)*(COUNTIF(CONFIG_ASIGNATURAS!$B$7:$B$27,nASIG)&gt;0)*1),"")))</f>
        <v/>
      </c>
      <c r="N576" t="str">
        <f>IF(M576="","",IF(M576="[FÓRMULA MANUAL]","",IFERROR(AVERAGEIFS(nNOTA,nNIA,M576,nCUENTA,1,nASIG,"Armonía"),"")))</f>
        <v/>
      </c>
      <c r="O576" t="str">
        <f>IF(M576="","",IF(M576="[FÓRMULA MANUAL]","",IFERROR(AVERAGEIFS(nNOTA,nNIA,M576,nCUENTA,1,nASIG,"Orquesta/Banda/Conjunto"),"")))</f>
        <v/>
      </c>
      <c r="P576" t="str">
        <f>IF(M576="","",IF(M576="[FÓRMULA MANUAL]","",IFERROR(AVERAGEIFS(nNOTA,nNIA,M576,nCUENTA,1,nASIG,"Música de Cámara"),"")))</f>
        <v/>
      </c>
      <c r="Q576" t="str">
        <f>IF(M576="","",IF(M576="[FÓRMULA MANUAL]","",IFERROR(SUMPRODUCT((nNIA=M576)*(nCUENTA=1)*(COUNTIF(CONFIG_ASIGNATURAS!$B$7:$B$27,nASIG)&gt;0)*(nNOTA))/SUMPRODUCT((nNIA=M576)*(nCUENTA=1)*(COUNTIF(CONFIG_ASIGNATURAS!$B$7:$B$27,nASIG)&gt;0)*1),"")))</f>
        <v/>
      </c>
      <c r="T576" t="str">
        <f>IF(S576="","",IF(S576="[FÓRMULA MANUAL]","",IFERROR(AVERAGEIFS(nNOTA,nNIA,S576,nCUENTA,1,nASIG,"Armonía"),"")))</f>
        <v/>
      </c>
      <c r="U576" t="str">
        <f>IF(S576="","",IF(S576="[FÓRMULA MANUAL]","",IFERROR(AVERAGEIFS(nNOTA,nNIA,S576,nCUENTA,1,nASIG,"Orquesta/Banda/Conjunto"),"")))</f>
        <v/>
      </c>
      <c r="V576" t="str">
        <f>IF(S576="","",IF(S576="[FÓRMULA MANUAL]","",IFERROR(AVERAGEIFS(nNOTA,nNIA,S576,nCUENTA,1,nASIG,"Música de Cámara"),"")))</f>
        <v/>
      </c>
      <c r="W576" t="str">
        <f>IF(S576="","",IF(S576="[FÓRMULA MANUAL]","",IFERROR(SUMPRODUCT((nNIA=S576)*(nCUENTA=1)*(COUNTIF(CONFIG_ASIGNATURAS!$B$7:$B$27,nASIG)&gt;0)*(nNOTA))/SUMPRODUCT((nNIA=S576)*(nCUENTA=1)*(COUNTIF(CONFIG_ASIGNATURAS!$B$7:$B$27,nASIG)&gt;0)*1),"")))</f>
        <v/>
      </c>
      <c r="Z576" t="str">
        <f>IF(Y576="","",IF(Y576="[FÓRMULA MANUAL]","",IFERROR(AVERAGEIFS(nNOTA,nNIA,Y576,nCUENTA,1,nASIG,"Análisis"),"")))</f>
        <v/>
      </c>
      <c r="AA576" t="str">
        <f>IF(Y576="","",IF(Y576="[FÓRMULA MANUAL]","",IFERROR(AVERAGEIFS(nNOTA,nNIA,Y576,nCUENTA,1,nASIG,"Orquesta/Banda/Conjunto"),"")))</f>
        <v/>
      </c>
      <c r="AB576" t="str">
        <f>IF(Y576="","",IF(Y576="[FÓRMULA MANUAL]","",IFERROR(AVERAGEIFS(nNOTA,nNIA,Y576,nCUENTA,1,nASIG,"Música de Cámara"),"")))</f>
        <v/>
      </c>
      <c r="AC576" t="str">
        <f>IF(Y576="","",IF(Y576="[FÓRMULA MANUAL]","",IFERROR(SUMPRODUCT((nNIA=Y576)*(nCUENTA=1)*(COUNTIF(CONFIG_ASIGNATURAS!$B$7:$B$27,nASIG)&gt;0)*(nNOTA))/SUMPRODUCT((nNIA=Y576)*(nCUENTA=1)*(COUNTIF(CONFIG_ASIGNATURAS!$B$7:$B$27,nASIG)&gt;0)*1),"")))</f>
        <v/>
      </c>
      <c r="AF576" t="str">
        <f>IF(AE576="","",IF(AE576="[FÓRMULA MANUAL]","",IFERROR(AVERAGEIFS(nNOTA,nNIA,AE576,nCUENTA,1,nASIG,"Análisis"),"")))</f>
        <v/>
      </c>
      <c r="AG576" t="str">
        <f>IF(AE576="","",IF(AE576="[FÓRMULA MANUAL]","",IFERROR(AVERAGEIFS(nNOTA,nNIA,AE576,nCUENTA,1,nASIG,"Orquesta/Banda/Conjunto"),"")))</f>
        <v/>
      </c>
      <c r="AH576" t="str">
        <f>IF(AE576="","",IF(AE576="[FÓRMULA MANUAL]","",IFERROR(AVERAGEIFS(nNOTA,nNIA,AE576,nCUENTA,1,nASIG,"Música de Cámara"),"")))</f>
        <v/>
      </c>
      <c r="AI576" t="str">
        <f>IF(AE576="","",IF(AE576="[FÓRMULA MANUAL]","",IFERROR(SUMPRODUCT((nNIA=AE576)*(nCUENTA=1)*(COUNTIF(CONFIG_ASIGNATURAS!$B$7:$B$27,nASIG)&gt;0)*(nNOTA))/SUMPRODUCT((nNIA=AE576)*(nCUENTA=1)*(COUNTIF(CONFIG_ASIGNATURAS!$B$7:$B$27,nASIG)&gt;0)*1),"")))</f>
        <v/>
      </c>
    </row>
    <row r="577" spans="2:35" x14ac:dyDescent="0.2">
      <c r="B577" t="str">
        <f>IF(A577="","",IF(A577="[FÓRMULA MANUAL]","",IFERROR(AVERAGEIFS(nNOTA,nNIA,A577,nCUENTA,1,nASIG,"Lenguaje Musical"),"")))</f>
        <v/>
      </c>
      <c r="C577" t="str">
        <f>IF(A577="","",IF(A577="[FÓRMULA MANUAL]","",IFERROR(AVERAGEIFS(nNOTA,nNIA,A577,nCUENTA,1,nASIG,"Orquesta/Banda/Conjunto"),"")))</f>
        <v/>
      </c>
      <c r="D577" t="str">
        <f>IF(A577="","",IF(A577="[FÓRMULA MANUAL]","",IFERROR(AVERAGEIFS(nNOTA,nNIA,A577,nCUENTA,1,nASIG,"Conjunto"),"")))</f>
        <v/>
      </c>
      <c r="E577" t="str">
        <f>IF(A577="","",IF(A577="[FÓRMULA MANUAL]","",IFERROR(SUMPRODUCT((nNIA=A577)*(nCUENTA=1)*(COUNTIF(CONFIG_ASIGNATURAS!$B$7:$B$27,nASIG)&gt;0)*(nNOTA))/SUMPRODUCT((nNIA=A577)*(nCUENTA=1)*(COUNTIF(CONFIG_ASIGNATURAS!$B$7:$B$27,nASIG)&gt;0)*1),"")))</f>
        <v/>
      </c>
      <c r="H577" t="str">
        <f>IF(G577="","",IF(G577="[FÓRMULA MANUAL]","",IFERROR(AVERAGEIFS(nNOTA,nNIA,G577,nCUENTA,1,nASIG,"Lenguaje Musical"),"")))</f>
        <v/>
      </c>
      <c r="I577" t="str">
        <f>IF(G577="","",IF(G577="[FÓRMULA MANUAL]","",IFERROR(AVERAGEIFS(nNOTA,nNIA,G577,nCUENTA,1,nASIG,"Orquesta/Banda/Conjunto"),"")))</f>
        <v/>
      </c>
      <c r="J577" t="str">
        <f>IF(G577="","",IF(G577="[FÓRMULA MANUAL]","",IFERROR(AVERAGEIFS(nNOTA,nNIA,G577,nCUENTA,1,nASIG,"Conjunto"),"")))</f>
        <v/>
      </c>
      <c r="K577" t="str">
        <f>IF(G577="","",IF(G577="[FÓRMULA MANUAL]","",IFERROR(SUMPRODUCT((nNIA=G577)*(nCUENTA=1)*(COUNTIF(CONFIG_ASIGNATURAS!$B$7:$B$27,nASIG)&gt;0)*(nNOTA))/SUMPRODUCT((nNIA=G577)*(nCUENTA=1)*(COUNTIF(CONFIG_ASIGNATURAS!$B$7:$B$27,nASIG)&gt;0)*1),"")))</f>
        <v/>
      </c>
      <c r="N577" t="str">
        <f>IF(M577="","",IF(M577="[FÓRMULA MANUAL]","",IFERROR(AVERAGEIFS(nNOTA,nNIA,M577,nCUENTA,1,nASIG,"Armonía"),"")))</f>
        <v/>
      </c>
      <c r="O577" t="str">
        <f>IF(M577="","",IF(M577="[FÓRMULA MANUAL]","",IFERROR(AVERAGEIFS(nNOTA,nNIA,M577,nCUENTA,1,nASIG,"Orquesta/Banda/Conjunto"),"")))</f>
        <v/>
      </c>
      <c r="P577" t="str">
        <f>IF(M577="","",IF(M577="[FÓRMULA MANUAL]","",IFERROR(AVERAGEIFS(nNOTA,nNIA,M577,nCUENTA,1,nASIG,"Música de Cámara"),"")))</f>
        <v/>
      </c>
      <c r="Q577" t="str">
        <f>IF(M577="","",IF(M577="[FÓRMULA MANUAL]","",IFERROR(SUMPRODUCT((nNIA=M577)*(nCUENTA=1)*(COUNTIF(CONFIG_ASIGNATURAS!$B$7:$B$27,nASIG)&gt;0)*(nNOTA))/SUMPRODUCT((nNIA=M577)*(nCUENTA=1)*(COUNTIF(CONFIG_ASIGNATURAS!$B$7:$B$27,nASIG)&gt;0)*1),"")))</f>
        <v/>
      </c>
      <c r="T577" t="str">
        <f>IF(S577="","",IF(S577="[FÓRMULA MANUAL]","",IFERROR(AVERAGEIFS(nNOTA,nNIA,S577,nCUENTA,1,nASIG,"Armonía"),"")))</f>
        <v/>
      </c>
      <c r="U577" t="str">
        <f>IF(S577="","",IF(S577="[FÓRMULA MANUAL]","",IFERROR(AVERAGEIFS(nNOTA,nNIA,S577,nCUENTA,1,nASIG,"Orquesta/Banda/Conjunto"),"")))</f>
        <v/>
      </c>
      <c r="V577" t="str">
        <f>IF(S577="","",IF(S577="[FÓRMULA MANUAL]","",IFERROR(AVERAGEIFS(nNOTA,nNIA,S577,nCUENTA,1,nASIG,"Música de Cámara"),"")))</f>
        <v/>
      </c>
      <c r="W577" t="str">
        <f>IF(S577="","",IF(S577="[FÓRMULA MANUAL]","",IFERROR(SUMPRODUCT((nNIA=S577)*(nCUENTA=1)*(COUNTIF(CONFIG_ASIGNATURAS!$B$7:$B$27,nASIG)&gt;0)*(nNOTA))/SUMPRODUCT((nNIA=S577)*(nCUENTA=1)*(COUNTIF(CONFIG_ASIGNATURAS!$B$7:$B$27,nASIG)&gt;0)*1),"")))</f>
        <v/>
      </c>
      <c r="Z577" t="str">
        <f>IF(Y577="","",IF(Y577="[FÓRMULA MANUAL]","",IFERROR(AVERAGEIFS(nNOTA,nNIA,Y577,nCUENTA,1,nASIG,"Análisis"),"")))</f>
        <v/>
      </c>
      <c r="AA577" t="str">
        <f>IF(Y577="","",IF(Y577="[FÓRMULA MANUAL]","",IFERROR(AVERAGEIFS(nNOTA,nNIA,Y577,nCUENTA,1,nASIG,"Orquesta/Banda/Conjunto"),"")))</f>
        <v/>
      </c>
      <c r="AB577" t="str">
        <f>IF(Y577="","",IF(Y577="[FÓRMULA MANUAL]","",IFERROR(AVERAGEIFS(nNOTA,nNIA,Y577,nCUENTA,1,nASIG,"Música de Cámara"),"")))</f>
        <v/>
      </c>
      <c r="AC577" t="str">
        <f>IF(Y577="","",IF(Y577="[FÓRMULA MANUAL]","",IFERROR(SUMPRODUCT((nNIA=Y577)*(nCUENTA=1)*(COUNTIF(CONFIG_ASIGNATURAS!$B$7:$B$27,nASIG)&gt;0)*(nNOTA))/SUMPRODUCT((nNIA=Y577)*(nCUENTA=1)*(COUNTIF(CONFIG_ASIGNATURAS!$B$7:$B$27,nASIG)&gt;0)*1),"")))</f>
        <v/>
      </c>
      <c r="AF577" t="str">
        <f>IF(AE577="","",IF(AE577="[FÓRMULA MANUAL]","",IFERROR(AVERAGEIFS(nNOTA,nNIA,AE577,nCUENTA,1,nASIG,"Análisis"),"")))</f>
        <v/>
      </c>
      <c r="AG577" t="str">
        <f>IF(AE577="","",IF(AE577="[FÓRMULA MANUAL]","",IFERROR(AVERAGEIFS(nNOTA,nNIA,AE577,nCUENTA,1,nASIG,"Orquesta/Banda/Conjunto"),"")))</f>
        <v/>
      </c>
      <c r="AH577" t="str">
        <f>IF(AE577="","",IF(AE577="[FÓRMULA MANUAL]","",IFERROR(AVERAGEIFS(nNOTA,nNIA,AE577,nCUENTA,1,nASIG,"Música de Cámara"),"")))</f>
        <v/>
      </c>
      <c r="AI577" t="str">
        <f>IF(AE577="","",IF(AE577="[FÓRMULA MANUAL]","",IFERROR(SUMPRODUCT((nNIA=AE577)*(nCUENTA=1)*(COUNTIF(CONFIG_ASIGNATURAS!$B$7:$B$27,nASIG)&gt;0)*(nNOTA))/SUMPRODUCT((nNIA=AE577)*(nCUENTA=1)*(COUNTIF(CONFIG_ASIGNATURAS!$B$7:$B$27,nASIG)&gt;0)*1),"")))</f>
        <v/>
      </c>
    </row>
    <row r="578" spans="2:35" x14ac:dyDescent="0.2">
      <c r="B578" t="str">
        <f>IF(A578="","",IF(A578="[FÓRMULA MANUAL]","",IFERROR(AVERAGEIFS(nNOTA,nNIA,A578,nCUENTA,1,nASIG,"Lenguaje Musical"),"")))</f>
        <v/>
      </c>
      <c r="C578" t="str">
        <f>IF(A578="","",IF(A578="[FÓRMULA MANUAL]","",IFERROR(AVERAGEIFS(nNOTA,nNIA,A578,nCUENTA,1,nASIG,"Orquesta/Banda/Conjunto"),"")))</f>
        <v/>
      </c>
      <c r="D578" t="str">
        <f>IF(A578="","",IF(A578="[FÓRMULA MANUAL]","",IFERROR(AVERAGEIFS(nNOTA,nNIA,A578,nCUENTA,1,nASIG,"Conjunto"),"")))</f>
        <v/>
      </c>
      <c r="E578" t="str">
        <f>IF(A578="","",IF(A578="[FÓRMULA MANUAL]","",IFERROR(SUMPRODUCT((nNIA=A578)*(nCUENTA=1)*(COUNTIF(CONFIG_ASIGNATURAS!$B$7:$B$27,nASIG)&gt;0)*(nNOTA))/SUMPRODUCT((nNIA=A578)*(nCUENTA=1)*(COUNTIF(CONFIG_ASIGNATURAS!$B$7:$B$27,nASIG)&gt;0)*1),"")))</f>
        <v/>
      </c>
      <c r="H578" t="str">
        <f>IF(G578="","",IF(G578="[FÓRMULA MANUAL]","",IFERROR(AVERAGEIFS(nNOTA,nNIA,G578,nCUENTA,1,nASIG,"Lenguaje Musical"),"")))</f>
        <v/>
      </c>
      <c r="I578" t="str">
        <f>IF(G578="","",IF(G578="[FÓRMULA MANUAL]","",IFERROR(AVERAGEIFS(nNOTA,nNIA,G578,nCUENTA,1,nASIG,"Orquesta/Banda/Conjunto"),"")))</f>
        <v/>
      </c>
      <c r="J578" t="str">
        <f>IF(G578="","",IF(G578="[FÓRMULA MANUAL]","",IFERROR(AVERAGEIFS(nNOTA,nNIA,G578,nCUENTA,1,nASIG,"Conjunto"),"")))</f>
        <v/>
      </c>
      <c r="K578" t="str">
        <f>IF(G578="","",IF(G578="[FÓRMULA MANUAL]","",IFERROR(SUMPRODUCT((nNIA=G578)*(nCUENTA=1)*(COUNTIF(CONFIG_ASIGNATURAS!$B$7:$B$27,nASIG)&gt;0)*(nNOTA))/SUMPRODUCT((nNIA=G578)*(nCUENTA=1)*(COUNTIF(CONFIG_ASIGNATURAS!$B$7:$B$27,nASIG)&gt;0)*1),"")))</f>
        <v/>
      </c>
      <c r="N578" t="str">
        <f>IF(M578="","",IF(M578="[FÓRMULA MANUAL]","",IFERROR(AVERAGEIFS(nNOTA,nNIA,M578,nCUENTA,1,nASIG,"Armonía"),"")))</f>
        <v/>
      </c>
      <c r="O578" t="str">
        <f>IF(M578="","",IF(M578="[FÓRMULA MANUAL]","",IFERROR(AVERAGEIFS(nNOTA,nNIA,M578,nCUENTA,1,nASIG,"Orquesta/Banda/Conjunto"),"")))</f>
        <v/>
      </c>
      <c r="P578" t="str">
        <f>IF(M578="","",IF(M578="[FÓRMULA MANUAL]","",IFERROR(AVERAGEIFS(nNOTA,nNIA,M578,nCUENTA,1,nASIG,"Música de Cámara"),"")))</f>
        <v/>
      </c>
      <c r="Q578" t="str">
        <f>IF(M578="","",IF(M578="[FÓRMULA MANUAL]","",IFERROR(SUMPRODUCT((nNIA=M578)*(nCUENTA=1)*(COUNTIF(CONFIG_ASIGNATURAS!$B$7:$B$27,nASIG)&gt;0)*(nNOTA))/SUMPRODUCT((nNIA=M578)*(nCUENTA=1)*(COUNTIF(CONFIG_ASIGNATURAS!$B$7:$B$27,nASIG)&gt;0)*1),"")))</f>
        <v/>
      </c>
      <c r="T578" t="str">
        <f>IF(S578="","",IF(S578="[FÓRMULA MANUAL]","",IFERROR(AVERAGEIFS(nNOTA,nNIA,S578,nCUENTA,1,nASIG,"Armonía"),"")))</f>
        <v/>
      </c>
      <c r="U578" t="str">
        <f>IF(S578="","",IF(S578="[FÓRMULA MANUAL]","",IFERROR(AVERAGEIFS(nNOTA,nNIA,S578,nCUENTA,1,nASIG,"Orquesta/Banda/Conjunto"),"")))</f>
        <v/>
      </c>
      <c r="V578" t="str">
        <f>IF(S578="","",IF(S578="[FÓRMULA MANUAL]","",IFERROR(AVERAGEIFS(nNOTA,nNIA,S578,nCUENTA,1,nASIG,"Música de Cámara"),"")))</f>
        <v/>
      </c>
      <c r="W578" t="str">
        <f>IF(S578="","",IF(S578="[FÓRMULA MANUAL]","",IFERROR(SUMPRODUCT((nNIA=S578)*(nCUENTA=1)*(COUNTIF(CONFIG_ASIGNATURAS!$B$7:$B$27,nASIG)&gt;0)*(nNOTA))/SUMPRODUCT((nNIA=S578)*(nCUENTA=1)*(COUNTIF(CONFIG_ASIGNATURAS!$B$7:$B$27,nASIG)&gt;0)*1),"")))</f>
        <v/>
      </c>
      <c r="Z578" t="str">
        <f>IF(Y578="","",IF(Y578="[FÓRMULA MANUAL]","",IFERROR(AVERAGEIFS(nNOTA,nNIA,Y578,nCUENTA,1,nASIG,"Análisis"),"")))</f>
        <v/>
      </c>
      <c r="AA578" t="str">
        <f>IF(Y578="","",IF(Y578="[FÓRMULA MANUAL]","",IFERROR(AVERAGEIFS(nNOTA,nNIA,Y578,nCUENTA,1,nASIG,"Orquesta/Banda/Conjunto"),"")))</f>
        <v/>
      </c>
      <c r="AB578" t="str">
        <f>IF(Y578="","",IF(Y578="[FÓRMULA MANUAL]","",IFERROR(AVERAGEIFS(nNOTA,nNIA,Y578,nCUENTA,1,nASIG,"Música de Cámara"),"")))</f>
        <v/>
      </c>
      <c r="AC578" t="str">
        <f>IF(Y578="","",IF(Y578="[FÓRMULA MANUAL]","",IFERROR(SUMPRODUCT((nNIA=Y578)*(nCUENTA=1)*(COUNTIF(CONFIG_ASIGNATURAS!$B$7:$B$27,nASIG)&gt;0)*(nNOTA))/SUMPRODUCT((nNIA=Y578)*(nCUENTA=1)*(COUNTIF(CONFIG_ASIGNATURAS!$B$7:$B$27,nASIG)&gt;0)*1),"")))</f>
        <v/>
      </c>
      <c r="AF578" t="str">
        <f>IF(AE578="","",IF(AE578="[FÓRMULA MANUAL]","",IFERROR(AVERAGEIFS(nNOTA,nNIA,AE578,nCUENTA,1,nASIG,"Análisis"),"")))</f>
        <v/>
      </c>
      <c r="AG578" t="str">
        <f>IF(AE578="","",IF(AE578="[FÓRMULA MANUAL]","",IFERROR(AVERAGEIFS(nNOTA,nNIA,AE578,nCUENTA,1,nASIG,"Orquesta/Banda/Conjunto"),"")))</f>
        <v/>
      </c>
      <c r="AH578" t="str">
        <f>IF(AE578="","",IF(AE578="[FÓRMULA MANUAL]","",IFERROR(AVERAGEIFS(nNOTA,nNIA,AE578,nCUENTA,1,nASIG,"Música de Cámara"),"")))</f>
        <v/>
      </c>
      <c r="AI578" t="str">
        <f>IF(AE578="","",IF(AE578="[FÓRMULA MANUAL]","",IFERROR(SUMPRODUCT((nNIA=AE578)*(nCUENTA=1)*(COUNTIF(CONFIG_ASIGNATURAS!$B$7:$B$27,nASIG)&gt;0)*(nNOTA))/SUMPRODUCT((nNIA=AE578)*(nCUENTA=1)*(COUNTIF(CONFIG_ASIGNATURAS!$B$7:$B$27,nASIG)&gt;0)*1),"")))</f>
        <v/>
      </c>
    </row>
    <row r="579" spans="2:35" x14ac:dyDescent="0.2">
      <c r="B579" t="str">
        <f>IF(A579="","",IF(A579="[FÓRMULA MANUAL]","",IFERROR(AVERAGEIFS(nNOTA,nNIA,A579,nCUENTA,1,nASIG,"Lenguaje Musical"),"")))</f>
        <v/>
      </c>
      <c r="C579" t="str">
        <f>IF(A579="","",IF(A579="[FÓRMULA MANUAL]","",IFERROR(AVERAGEIFS(nNOTA,nNIA,A579,nCUENTA,1,nASIG,"Orquesta/Banda/Conjunto"),"")))</f>
        <v/>
      </c>
      <c r="D579" t="str">
        <f>IF(A579="","",IF(A579="[FÓRMULA MANUAL]","",IFERROR(AVERAGEIFS(nNOTA,nNIA,A579,nCUENTA,1,nASIG,"Conjunto"),"")))</f>
        <v/>
      </c>
      <c r="E579" t="str">
        <f>IF(A579="","",IF(A579="[FÓRMULA MANUAL]","",IFERROR(SUMPRODUCT((nNIA=A579)*(nCUENTA=1)*(COUNTIF(CONFIG_ASIGNATURAS!$B$7:$B$27,nASIG)&gt;0)*(nNOTA))/SUMPRODUCT((nNIA=A579)*(nCUENTA=1)*(COUNTIF(CONFIG_ASIGNATURAS!$B$7:$B$27,nASIG)&gt;0)*1),"")))</f>
        <v/>
      </c>
      <c r="H579" t="str">
        <f>IF(G579="","",IF(G579="[FÓRMULA MANUAL]","",IFERROR(AVERAGEIFS(nNOTA,nNIA,G579,nCUENTA,1,nASIG,"Lenguaje Musical"),"")))</f>
        <v/>
      </c>
      <c r="I579" t="str">
        <f>IF(G579="","",IF(G579="[FÓRMULA MANUAL]","",IFERROR(AVERAGEIFS(nNOTA,nNIA,G579,nCUENTA,1,nASIG,"Orquesta/Banda/Conjunto"),"")))</f>
        <v/>
      </c>
      <c r="J579" t="str">
        <f>IF(G579="","",IF(G579="[FÓRMULA MANUAL]","",IFERROR(AVERAGEIFS(nNOTA,nNIA,G579,nCUENTA,1,nASIG,"Conjunto"),"")))</f>
        <v/>
      </c>
      <c r="K579" t="str">
        <f>IF(G579="","",IF(G579="[FÓRMULA MANUAL]","",IFERROR(SUMPRODUCT((nNIA=G579)*(nCUENTA=1)*(COUNTIF(CONFIG_ASIGNATURAS!$B$7:$B$27,nASIG)&gt;0)*(nNOTA))/SUMPRODUCT((nNIA=G579)*(nCUENTA=1)*(COUNTIF(CONFIG_ASIGNATURAS!$B$7:$B$27,nASIG)&gt;0)*1),"")))</f>
        <v/>
      </c>
      <c r="N579" t="str">
        <f>IF(M579="","",IF(M579="[FÓRMULA MANUAL]","",IFERROR(AVERAGEIFS(nNOTA,nNIA,M579,nCUENTA,1,nASIG,"Armonía"),"")))</f>
        <v/>
      </c>
      <c r="O579" t="str">
        <f>IF(M579="","",IF(M579="[FÓRMULA MANUAL]","",IFERROR(AVERAGEIFS(nNOTA,nNIA,M579,nCUENTA,1,nASIG,"Orquesta/Banda/Conjunto"),"")))</f>
        <v/>
      </c>
      <c r="P579" t="str">
        <f>IF(M579="","",IF(M579="[FÓRMULA MANUAL]","",IFERROR(AVERAGEIFS(nNOTA,nNIA,M579,nCUENTA,1,nASIG,"Música de Cámara"),"")))</f>
        <v/>
      </c>
      <c r="Q579" t="str">
        <f>IF(M579="","",IF(M579="[FÓRMULA MANUAL]","",IFERROR(SUMPRODUCT((nNIA=M579)*(nCUENTA=1)*(COUNTIF(CONFIG_ASIGNATURAS!$B$7:$B$27,nASIG)&gt;0)*(nNOTA))/SUMPRODUCT((nNIA=M579)*(nCUENTA=1)*(COUNTIF(CONFIG_ASIGNATURAS!$B$7:$B$27,nASIG)&gt;0)*1),"")))</f>
        <v/>
      </c>
      <c r="T579" t="str">
        <f>IF(S579="","",IF(S579="[FÓRMULA MANUAL]","",IFERROR(AVERAGEIFS(nNOTA,nNIA,S579,nCUENTA,1,nASIG,"Armonía"),"")))</f>
        <v/>
      </c>
      <c r="U579" t="str">
        <f>IF(S579="","",IF(S579="[FÓRMULA MANUAL]","",IFERROR(AVERAGEIFS(nNOTA,nNIA,S579,nCUENTA,1,nASIG,"Orquesta/Banda/Conjunto"),"")))</f>
        <v/>
      </c>
      <c r="V579" t="str">
        <f>IF(S579="","",IF(S579="[FÓRMULA MANUAL]","",IFERROR(AVERAGEIFS(nNOTA,nNIA,S579,nCUENTA,1,nASIG,"Música de Cámara"),"")))</f>
        <v/>
      </c>
      <c r="W579" t="str">
        <f>IF(S579="","",IF(S579="[FÓRMULA MANUAL]","",IFERROR(SUMPRODUCT((nNIA=S579)*(nCUENTA=1)*(COUNTIF(CONFIG_ASIGNATURAS!$B$7:$B$27,nASIG)&gt;0)*(nNOTA))/SUMPRODUCT((nNIA=S579)*(nCUENTA=1)*(COUNTIF(CONFIG_ASIGNATURAS!$B$7:$B$27,nASIG)&gt;0)*1),"")))</f>
        <v/>
      </c>
      <c r="Z579" t="str">
        <f>IF(Y579="","",IF(Y579="[FÓRMULA MANUAL]","",IFERROR(AVERAGEIFS(nNOTA,nNIA,Y579,nCUENTA,1,nASIG,"Análisis"),"")))</f>
        <v/>
      </c>
      <c r="AA579" t="str">
        <f>IF(Y579="","",IF(Y579="[FÓRMULA MANUAL]","",IFERROR(AVERAGEIFS(nNOTA,nNIA,Y579,nCUENTA,1,nASIG,"Orquesta/Banda/Conjunto"),"")))</f>
        <v/>
      </c>
      <c r="AB579" t="str">
        <f>IF(Y579="","",IF(Y579="[FÓRMULA MANUAL]","",IFERROR(AVERAGEIFS(nNOTA,nNIA,Y579,nCUENTA,1,nASIG,"Música de Cámara"),"")))</f>
        <v/>
      </c>
      <c r="AC579" t="str">
        <f>IF(Y579="","",IF(Y579="[FÓRMULA MANUAL]","",IFERROR(SUMPRODUCT((nNIA=Y579)*(nCUENTA=1)*(COUNTIF(CONFIG_ASIGNATURAS!$B$7:$B$27,nASIG)&gt;0)*(nNOTA))/SUMPRODUCT((nNIA=Y579)*(nCUENTA=1)*(COUNTIF(CONFIG_ASIGNATURAS!$B$7:$B$27,nASIG)&gt;0)*1),"")))</f>
        <v/>
      </c>
      <c r="AF579" t="str">
        <f>IF(AE579="","",IF(AE579="[FÓRMULA MANUAL]","",IFERROR(AVERAGEIFS(nNOTA,nNIA,AE579,nCUENTA,1,nASIG,"Análisis"),"")))</f>
        <v/>
      </c>
      <c r="AG579" t="str">
        <f>IF(AE579="","",IF(AE579="[FÓRMULA MANUAL]","",IFERROR(AVERAGEIFS(nNOTA,nNIA,AE579,nCUENTA,1,nASIG,"Orquesta/Banda/Conjunto"),"")))</f>
        <v/>
      </c>
      <c r="AH579" t="str">
        <f>IF(AE579="","",IF(AE579="[FÓRMULA MANUAL]","",IFERROR(AVERAGEIFS(nNOTA,nNIA,AE579,nCUENTA,1,nASIG,"Música de Cámara"),"")))</f>
        <v/>
      </c>
      <c r="AI579" t="str">
        <f>IF(AE579="","",IF(AE579="[FÓRMULA MANUAL]","",IFERROR(SUMPRODUCT((nNIA=AE579)*(nCUENTA=1)*(COUNTIF(CONFIG_ASIGNATURAS!$B$7:$B$27,nASIG)&gt;0)*(nNOTA))/SUMPRODUCT((nNIA=AE579)*(nCUENTA=1)*(COUNTIF(CONFIG_ASIGNATURAS!$B$7:$B$27,nASIG)&gt;0)*1),"")))</f>
        <v/>
      </c>
    </row>
    <row r="580" spans="2:35" x14ac:dyDescent="0.2">
      <c r="B580" t="str">
        <f>IF(A580="","",IF(A580="[FÓRMULA MANUAL]","",IFERROR(AVERAGEIFS(nNOTA,nNIA,A580,nCUENTA,1,nASIG,"Lenguaje Musical"),"")))</f>
        <v/>
      </c>
      <c r="C580" t="str">
        <f>IF(A580="","",IF(A580="[FÓRMULA MANUAL]","",IFERROR(AVERAGEIFS(nNOTA,nNIA,A580,nCUENTA,1,nASIG,"Orquesta/Banda/Conjunto"),"")))</f>
        <v/>
      </c>
      <c r="D580" t="str">
        <f>IF(A580="","",IF(A580="[FÓRMULA MANUAL]","",IFERROR(AVERAGEIFS(nNOTA,nNIA,A580,nCUENTA,1,nASIG,"Conjunto"),"")))</f>
        <v/>
      </c>
      <c r="E580" t="str">
        <f>IF(A580="","",IF(A580="[FÓRMULA MANUAL]","",IFERROR(SUMPRODUCT((nNIA=A580)*(nCUENTA=1)*(COUNTIF(CONFIG_ASIGNATURAS!$B$7:$B$27,nASIG)&gt;0)*(nNOTA))/SUMPRODUCT((nNIA=A580)*(nCUENTA=1)*(COUNTIF(CONFIG_ASIGNATURAS!$B$7:$B$27,nASIG)&gt;0)*1),"")))</f>
        <v/>
      </c>
      <c r="H580" t="str">
        <f>IF(G580="","",IF(G580="[FÓRMULA MANUAL]","",IFERROR(AVERAGEIFS(nNOTA,nNIA,G580,nCUENTA,1,nASIG,"Lenguaje Musical"),"")))</f>
        <v/>
      </c>
      <c r="I580" t="str">
        <f>IF(G580="","",IF(G580="[FÓRMULA MANUAL]","",IFERROR(AVERAGEIFS(nNOTA,nNIA,G580,nCUENTA,1,nASIG,"Orquesta/Banda/Conjunto"),"")))</f>
        <v/>
      </c>
      <c r="J580" t="str">
        <f>IF(G580="","",IF(G580="[FÓRMULA MANUAL]","",IFERROR(AVERAGEIFS(nNOTA,nNIA,G580,nCUENTA,1,nASIG,"Conjunto"),"")))</f>
        <v/>
      </c>
      <c r="K580" t="str">
        <f>IF(G580="","",IF(G580="[FÓRMULA MANUAL]","",IFERROR(SUMPRODUCT((nNIA=G580)*(nCUENTA=1)*(COUNTIF(CONFIG_ASIGNATURAS!$B$7:$B$27,nASIG)&gt;0)*(nNOTA))/SUMPRODUCT((nNIA=G580)*(nCUENTA=1)*(COUNTIF(CONFIG_ASIGNATURAS!$B$7:$B$27,nASIG)&gt;0)*1),"")))</f>
        <v/>
      </c>
      <c r="N580" t="str">
        <f>IF(M580="","",IF(M580="[FÓRMULA MANUAL]","",IFERROR(AVERAGEIFS(nNOTA,nNIA,M580,nCUENTA,1,nASIG,"Armonía"),"")))</f>
        <v/>
      </c>
      <c r="O580" t="str">
        <f>IF(M580="","",IF(M580="[FÓRMULA MANUAL]","",IFERROR(AVERAGEIFS(nNOTA,nNIA,M580,nCUENTA,1,nASIG,"Orquesta/Banda/Conjunto"),"")))</f>
        <v/>
      </c>
      <c r="P580" t="str">
        <f>IF(M580="","",IF(M580="[FÓRMULA MANUAL]","",IFERROR(AVERAGEIFS(nNOTA,nNIA,M580,nCUENTA,1,nASIG,"Música de Cámara"),"")))</f>
        <v/>
      </c>
      <c r="Q580" t="str">
        <f>IF(M580="","",IF(M580="[FÓRMULA MANUAL]","",IFERROR(SUMPRODUCT((nNIA=M580)*(nCUENTA=1)*(COUNTIF(CONFIG_ASIGNATURAS!$B$7:$B$27,nASIG)&gt;0)*(nNOTA))/SUMPRODUCT((nNIA=M580)*(nCUENTA=1)*(COUNTIF(CONFIG_ASIGNATURAS!$B$7:$B$27,nASIG)&gt;0)*1),"")))</f>
        <v/>
      </c>
      <c r="T580" t="str">
        <f>IF(S580="","",IF(S580="[FÓRMULA MANUAL]","",IFERROR(AVERAGEIFS(nNOTA,nNIA,S580,nCUENTA,1,nASIG,"Armonía"),"")))</f>
        <v/>
      </c>
      <c r="U580" t="str">
        <f>IF(S580="","",IF(S580="[FÓRMULA MANUAL]","",IFERROR(AVERAGEIFS(nNOTA,nNIA,S580,nCUENTA,1,nASIG,"Orquesta/Banda/Conjunto"),"")))</f>
        <v/>
      </c>
      <c r="V580" t="str">
        <f>IF(S580="","",IF(S580="[FÓRMULA MANUAL]","",IFERROR(AVERAGEIFS(nNOTA,nNIA,S580,nCUENTA,1,nASIG,"Música de Cámara"),"")))</f>
        <v/>
      </c>
      <c r="W580" t="str">
        <f>IF(S580="","",IF(S580="[FÓRMULA MANUAL]","",IFERROR(SUMPRODUCT((nNIA=S580)*(nCUENTA=1)*(COUNTIF(CONFIG_ASIGNATURAS!$B$7:$B$27,nASIG)&gt;0)*(nNOTA))/SUMPRODUCT((nNIA=S580)*(nCUENTA=1)*(COUNTIF(CONFIG_ASIGNATURAS!$B$7:$B$27,nASIG)&gt;0)*1),"")))</f>
        <v/>
      </c>
      <c r="Z580" t="str">
        <f>IF(Y580="","",IF(Y580="[FÓRMULA MANUAL]","",IFERROR(AVERAGEIFS(nNOTA,nNIA,Y580,nCUENTA,1,nASIG,"Análisis"),"")))</f>
        <v/>
      </c>
      <c r="AA580" t="str">
        <f>IF(Y580="","",IF(Y580="[FÓRMULA MANUAL]","",IFERROR(AVERAGEIFS(nNOTA,nNIA,Y580,nCUENTA,1,nASIG,"Orquesta/Banda/Conjunto"),"")))</f>
        <v/>
      </c>
      <c r="AB580" t="str">
        <f>IF(Y580="","",IF(Y580="[FÓRMULA MANUAL]","",IFERROR(AVERAGEIFS(nNOTA,nNIA,Y580,nCUENTA,1,nASIG,"Música de Cámara"),"")))</f>
        <v/>
      </c>
      <c r="AC580" t="str">
        <f>IF(Y580="","",IF(Y580="[FÓRMULA MANUAL]","",IFERROR(SUMPRODUCT((nNIA=Y580)*(nCUENTA=1)*(COUNTIF(CONFIG_ASIGNATURAS!$B$7:$B$27,nASIG)&gt;0)*(nNOTA))/SUMPRODUCT((nNIA=Y580)*(nCUENTA=1)*(COUNTIF(CONFIG_ASIGNATURAS!$B$7:$B$27,nASIG)&gt;0)*1),"")))</f>
        <v/>
      </c>
      <c r="AF580" t="str">
        <f>IF(AE580="","",IF(AE580="[FÓRMULA MANUAL]","",IFERROR(AVERAGEIFS(nNOTA,nNIA,AE580,nCUENTA,1,nASIG,"Análisis"),"")))</f>
        <v/>
      </c>
      <c r="AG580" t="str">
        <f>IF(AE580="","",IF(AE580="[FÓRMULA MANUAL]","",IFERROR(AVERAGEIFS(nNOTA,nNIA,AE580,nCUENTA,1,nASIG,"Orquesta/Banda/Conjunto"),"")))</f>
        <v/>
      </c>
      <c r="AH580" t="str">
        <f>IF(AE580="","",IF(AE580="[FÓRMULA MANUAL]","",IFERROR(AVERAGEIFS(nNOTA,nNIA,AE580,nCUENTA,1,nASIG,"Música de Cámara"),"")))</f>
        <v/>
      </c>
      <c r="AI580" t="str">
        <f>IF(AE580="","",IF(AE580="[FÓRMULA MANUAL]","",IFERROR(SUMPRODUCT((nNIA=AE580)*(nCUENTA=1)*(COUNTIF(CONFIG_ASIGNATURAS!$B$7:$B$27,nASIG)&gt;0)*(nNOTA))/SUMPRODUCT((nNIA=AE580)*(nCUENTA=1)*(COUNTIF(CONFIG_ASIGNATURAS!$B$7:$B$27,nASIG)&gt;0)*1),"")))</f>
        <v/>
      </c>
    </row>
    <row r="581" spans="2:35" x14ac:dyDescent="0.2">
      <c r="B581" t="str">
        <f>IF(A581="","",IF(A581="[FÓRMULA MANUAL]","",IFERROR(AVERAGEIFS(nNOTA,nNIA,A581,nCUENTA,1,nASIG,"Lenguaje Musical"),"")))</f>
        <v/>
      </c>
      <c r="C581" t="str">
        <f>IF(A581="","",IF(A581="[FÓRMULA MANUAL]","",IFERROR(AVERAGEIFS(nNOTA,nNIA,A581,nCUENTA,1,nASIG,"Orquesta/Banda/Conjunto"),"")))</f>
        <v/>
      </c>
      <c r="D581" t="str">
        <f>IF(A581="","",IF(A581="[FÓRMULA MANUAL]","",IFERROR(AVERAGEIFS(nNOTA,nNIA,A581,nCUENTA,1,nASIG,"Conjunto"),"")))</f>
        <v/>
      </c>
      <c r="E581" t="str">
        <f>IF(A581="","",IF(A581="[FÓRMULA MANUAL]","",IFERROR(SUMPRODUCT((nNIA=A581)*(nCUENTA=1)*(COUNTIF(CONFIG_ASIGNATURAS!$B$7:$B$27,nASIG)&gt;0)*(nNOTA))/SUMPRODUCT((nNIA=A581)*(nCUENTA=1)*(COUNTIF(CONFIG_ASIGNATURAS!$B$7:$B$27,nASIG)&gt;0)*1),"")))</f>
        <v/>
      </c>
      <c r="H581" t="str">
        <f>IF(G581="","",IF(G581="[FÓRMULA MANUAL]","",IFERROR(AVERAGEIFS(nNOTA,nNIA,G581,nCUENTA,1,nASIG,"Lenguaje Musical"),"")))</f>
        <v/>
      </c>
      <c r="I581" t="str">
        <f>IF(G581="","",IF(G581="[FÓRMULA MANUAL]","",IFERROR(AVERAGEIFS(nNOTA,nNIA,G581,nCUENTA,1,nASIG,"Orquesta/Banda/Conjunto"),"")))</f>
        <v/>
      </c>
      <c r="J581" t="str">
        <f>IF(G581="","",IF(G581="[FÓRMULA MANUAL]","",IFERROR(AVERAGEIFS(nNOTA,nNIA,G581,nCUENTA,1,nASIG,"Conjunto"),"")))</f>
        <v/>
      </c>
      <c r="K581" t="str">
        <f>IF(G581="","",IF(G581="[FÓRMULA MANUAL]","",IFERROR(SUMPRODUCT((nNIA=G581)*(nCUENTA=1)*(COUNTIF(CONFIG_ASIGNATURAS!$B$7:$B$27,nASIG)&gt;0)*(nNOTA))/SUMPRODUCT((nNIA=G581)*(nCUENTA=1)*(COUNTIF(CONFIG_ASIGNATURAS!$B$7:$B$27,nASIG)&gt;0)*1),"")))</f>
        <v/>
      </c>
      <c r="N581" t="str">
        <f>IF(M581="","",IF(M581="[FÓRMULA MANUAL]","",IFERROR(AVERAGEIFS(nNOTA,nNIA,M581,nCUENTA,1,nASIG,"Armonía"),"")))</f>
        <v/>
      </c>
      <c r="O581" t="str">
        <f>IF(M581="","",IF(M581="[FÓRMULA MANUAL]","",IFERROR(AVERAGEIFS(nNOTA,nNIA,M581,nCUENTA,1,nASIG,"Orquesta/Banda/Conjunto"),"")))</f>
        <v/>
      </c>
      <c r="P581" t="str">
        <f>IF(M581="","",IF(M581="[FÓRMULA MANUAL]","",IFERROR(AVERAGEIFS(nNOTA,nNIA,M581,nCUENTA,1,nASIG,"Música de Cámara"),"")))</f>
        <v/>
      </c>
      <c r="Q581" t="str">
        <f>IF(M581="","",IF(M581="[FÓRMULA MANUAL]","",IFERROR(SUMPRODUCT((nNIA=M581)*(nCUENTA=1)*(COUNTIF(CONFIG_ASIGNATURAS!$B$7:$B$27,nASIG)&gt;0)*(nNOTA))/SUMPRODUCT((nNIA=M581)*(nCUENTA=1)*(COUNTIF(CONFIG_ASIGNATURAS!$B$7:$B$27,nASIG)&gt;0)*1),"")))</f>
        <v/>
      </c>
      <c r="T581" t="str">
        <f>IF(S581="","",IF(S581="[FÓRMULA MANUAL]","",IFERROR(AVERAGEIFS(nNOTA,nNIA,S581,nCUENTA,1,nASIG,"Armonía"),"")))</f>
        <v/>
      </c>
      <c r="U581" t="str">
        <f>IF(S581="","",IF(S581="[FÓRMULA MANUAL]","",IFERROR(AVERAGEIFS(nNOTA,nNIA,S581,nCUENTA,1,nASIG,"Orquesta/Banda/Conjunto"),"")))</f>
        <v/>
      </c>
      <c r="V581" t="str">
        <f>IF(S581="","",IF(S581="[FÓRMULA MANUAL]","",IFERROR(AVERAGEIFS(nNOTA,nNIA,S581,nCUENTA,1,nASIG,"Música de Cámara"),"")))</f>
        <v/>
      </c>
      <c r="W581" t="str">
        <f>IF(S581="","",IF(S581="[FÓRMULA MANUAL]","",IFERROR(SUMPRODUCT((nNIA=S581)*(nCUENTA=1)*(COUNTIF(CONFIG_ASIGNATURAS!$B$7:$B$27,nASIG)&gt;0)*(nNOTA))/SUMPRODUCT((nNIA=S581)*(nCUENTA=1)*(COUNTIF(CONFIG_ASIGNATURAS!$B$7:$B$27,nASIG)&gt;0)*1),"")))</f>
        <v/>
      </c>
      <c r="Z581" t="str">
        <f>IF(Y581="","",IF(Y581="[FÓRMULA MANUAL]","",IFERROR(AVERAGEIFS(nNOTA,nNIA,Y581,nCUENTA,1,nASIG,"Análisis"),"")))</f>
        <v/>
      </c>
      <c r="AA581" t="str">
        <f>IF(Y581="","",IF(Y581="[FÓRMULA MANUAL]","",IFERROR(AVERAGEIFS(nNOTA,nNIA,Y581,nCUENTA,1,nASIG,"Orquesta/Banda/Conjunto"),"")))</f>
        <v/>
      </c>
      <c r="AB581" t="str">
        <f>IF(Y581="","",IF(Y581="[FÓRMULA MANUAL]","",IFERROR(AVERAGEIFS(nNOTA,nNIA,Y581,nCUENTA,1,nASIG,"Música de Cámara"),"")))</f>
        <v/>
      </c>
      <c r="AC581" t="str">
        <f>IF(Y581="","",IF(Y581="[FÓRMULA MANUAL]","",IFERROR(SUMPRODUCT((nNIA=Y581)*(nCUENTA=1)*(COUNTIF(CONFIG_ASIGNATURAS!$B$7:$B$27,nASIG)&gt;0)*(nNOTA))/SUMPRODUCT((nNIA=Y581)*(nCUENTA=1)*(COUNTIF(CONFIG_ASIGNATURAS!$B$7:$B$27,nASIG)&gt;0)*1),"")))</f>
        <v/>
      </c>
      <c r="AF581" t="str">
        <f>IF(AE581="","",IF(AE581="[FÓRMULA MANUAL]","",IFERROR(AVERAGEIFS(nNOTA,nNIA,AE581,nCUENTA,1,nASIG,"Análisis"),"")))</f>
        <v/>
      </c>
      <c r="AG581" t="str">
        <f>IF(AE581="","",IF(AE581="[FÓRMULA MANUAL]","",IFERROR(AVERAGEIFS(nNOTA,nNIA,AE581,nCUENTA,1,nASIG,"Orquesta/Banda/Conjunto"),"")))</f>
        <v/>
      </c>
      <c r="AH581" t="str">
        <f>IF(AE581="","",IF(AE581="[FÓRMULA MANUAL]","",IFERROR(AVERAGEIFS(nNOTA,nNIA,AE581,nCUENTA,1,nASIG,"Música de Cámara"),"")))</f>
        <v/>
      </c>
      <c r="AI581" t="str">
        <f>IF(AE581="","",IF(AE581="[FÓRMULA MANUAL]","",IFERROR(SUMPRODUCT((nNIA=AE581)*(nCUENTA=1)*(COUNTIF(CONFIG_ASIGNATURAS!$B$7:$B$27,nASIG)&gt;0)*(nNOTA))/SUMPRODUCT((nNIA=AE581)*(nCUENTA=1)*(COUNTIF(CONFIG_ASIGNATURAS!$B$7:$B$27,nASIG)&gt;0)*1),"")))</f>
        <v/>
      </c>
    </row>
    <row r="582" spans="2:35" x14ac:dyDescent="0.2">
      <c r="B582" t="str">
        <f>IF(A582="","",IF(A582="[FÓRMULA MANUAL]","",IFERROR(AVERAGEIFS(nNOTA,nNIA,A582,nCUENTA,1,nASIG,"Lenguaje Musical"),"")))</f>
        <v/>
      </c>
      <c r="C582" t="str">
        <f>IF(A582="","",IF(A582="[FÓRMULA MANUAL]","",IFERROR(AVERAGEIFS(nNOTA,nNIA,A582,nCUENTA,1,nASIG,"Orquesta/Banda/Conjunto"),"")))</f>
        <v/>
      </c>
      <c r="D582" t="str">
        <f>IF(A582="","",IF(A582="[FÓRMULA MANUAL]","",IFERROR(AVERAGEIFS(nNOTA,nNIA,A582,nCUENTA,1,nASIG,"Conjunto"),"")))</f>
        <v/>
      </c>
      <c r="E582" t="str">
        <f>IF(A582="","",IF(A582="[FÓRMULA MANUAL]","",IFERROR(SUMPRODUCT((nNIA=A582)*(nCUENTA=1)*(COUNTIF(CONFIG_ASIGNATURAS!$B$7:$B$27,nASIG)&gt;0)*(nNOTA))/SUMPRODUCT((nNIA=A582)*(nCUENTA=1)*(COUNTIF(CONFIG_ASIGNATURAS!$B$7:$B$27,nASIG)&gt;0)*1),"")))</f>
        <v/>
      </c>
      <c r="H582" t="str">
        <f>IF(G582="","",IF(G582="[FÓRMULA MANUAL]","",IFERROR(AVERAGEIFS(nNOTA,nNIA,G582,nCUENTA,1,nASIG,"Lenguaje Musical"),"")))</f>
        <v/>
      </c>
      <c r="I582" t="str">
        <f>IF(G582="","",IF(G582="[FÓRMULA MANUAL]","",IFERROR(AVERAGEIFS(nNOTA,nNIA,G582,nCUENTA,1,nASIG,"Orquesta/Banda/Conjunto"),"")))</f>
        <v/>
      </c>
      <c r="J582" t="str">
        <f>IF(G582="","",IF(G582="[FÓRMULA MANUAL]","",IFERROR(AVERAGEIFS(nNOTA,nNIA,G582,nCUENTA,1,nASIG,"Conjunto"),"")))</f>
        <v/>
      </c>
      <c r="K582" t="str">
        <f>IF(G582="","",IF(G582="[FÓRMULA MANUAL]","",IFERROR(SUMPRODUCT((nNIA=G582)*(nCUENTA=1)*(COUNTIF(CONFIG_ASIGNATURAS!$B$7:$B$27,nASIG)&gt;0)*(nNOTA))/SUMPRODUCT((nNIA=G582)*(nCUENTA=1)*(COUNTIF(CONFIG_ASIGNATURAS!$B$7:$B$27,nASIG)&gt;0)*1),"")))</f>
        <v/>
      </c>
      <c r="N582" t="str">
        <f>IF(M582="","",IF(M582="[FÓRMULA MANUAL]","",IFERROR(AVERAGEIFS(nNOTA,nNIA,M582,nCUENTA,1,nASIG,"Armonía"),"")))</f>
        <v/>
      </c>
      <c r="O582" t="str">
        <f>IF(M582="","",IF(M582="[FÓRMULA MANUAL]","",IFERROR(AVERAGEIFS(nNOTA,nNIA,M582,nCUENTA,1,nASIG,"Orquesta/Banda/Conjunto"),"")))</f>
        <v/>
      </c>
      <c r="P582" t="str">
        <f>IF(M582="","",IF(M582="[FÓRMULA MANUAL]","",IFERROR(AVERAGEIFS(nNOTA,nNIA,M582,nCUENTA,1,nASIG,"Música de Cámara"),"")))</f>
        <v/>
      </c>
      <c r="Q582" t="str">
        <f>IF(M582="","",IF(M582="[FÓRMULA MANUAL]","",IFERROR(SUMPRODUCT((nNIA=M582)*(nCUENTA=1)*(COUNTIF(CONFIG_ASIGNATURAS!$B$7:$B$27,nASIG)&gt;0)*(nNOTA))/SUMPRODUCT((nNIA=M582)*(nCUENTA=1)*(COUNTIF(CONFIG_ASIGNATURAS!$B$7:$B$27,nASIG)&gt;0)*1),"")))</f>
        <v/>
      </c>
      <c r="T582" t="str">
        <f>IF(S582="","",IF(S582="[FÓRMULA MANUAL]","",IFERROR(AVERAGEIFS(nNOTA,nNIA,S582,nCUENTA,1,nASIG,"Armonía"),"")))</f>
        <v/>
      </c>
      <c r="U582" t="str">
        <f>IF(S582="","",IF(S582="[FÓRMULA MANUAL]","",IFERROR(AVERAGEIFS(nNOTA,nNIA,S582,nCUENTA,1,nASIG,"Orquesta/Banda/Conjunto"),"")))</f>
        <v/>
      </c>
      <c r="V582" t="str">
        <f>IF(S582="","",IF(S582="[FÓRMULA MANUAL]","",IFERROR(AVERAGEIFS(nNOTA,nNIA,S582,nCUENTA,1,nASIG,"Música de Cámara"),"")))</f>
        <v/>
      </c>
      <c r="W582" t="str">
        <f>IF(S582="","",IF(S582="[FÓRMULA MANUAL]","",IFERROR(SUMPRODUCT((nNIA=S582)*(nCUENTA=1)*(COUNTIF(CONFIG_ASIGNATURAS!$B$7:$B$27,nASIG)&gt;0)*(nNOTA))/SUMPRODUCT((nNIA=S582)*(nCUENTA=1)*(COUNTIF(CONFIG_ASIGNATURAS!$B$7:$B$27,nASIG)&gt;0)*1),"")))</f>
        <v/>
      </c>
      <c r="Z582" t="str">
        <f>IF(Y582="","",IF(Y582="[FÓRMULA MANUAL]","",IFERROR(AVERAGEIFS(nNOTA,nNIA,Y582,nCUENTA,1,nASIG,"Análisis"),"")))</f>
        <v/>
      </c>
      <c r="AA582" t="str">
        <f>IF(Y582="","",IF(Y582="[FÓRMULA MANUAL]","",IFERROR(AVERAGEIFS(nNOTA,nNIA,Y582,nCUENTA,1,nASIG,"Orquesta/Banda/Conjunto"),"")))</f>
        <v/>
      </c>
      <c r="AB582" t="str">
        <f>IF(Y582="","",IF(Y582="[FÓRMULA MANUAL]","",IFERROR(AVERAGEIFS(nNOTA,nNIA,Y582,nCUENTA,1,nASIG,"Música de Cámara"),"")))</f>
        <v/>
      </c>
      <c r="AC582" t="str">
        <f>IF(Y582="","",IF(Y582="[FÓRMULA MANUAL]","",IFERROR(SUMPRODUCT((nNIA=Y582)*(nCUENTA=1)*(COUNTIF(CONFIG_ASIGNATURAS!$B$7:$B$27,nASIG)&gt;0)*(nNOTA))/SUMPRODUCT((nNIA=Y582)*(nCUENTA=1)*(COUNTIF(CONFIG_ASIGNATURAS!$B$7:$B$27,nASIG)&gt;0)*1),"")))</f>
        <v/>
      </c>
      <c r="AF582" t="str">
        <f>IF(AE582="","",IF(AE582="[FÓRMULA MANUAL]","",IFERROR(AVERAGEIFS(nNOTA,nNIA,AE582,nCUENTA,1,nASIG,"Análisis"),"")))</f>
        <v/>
      </c>
      <c r="AG582" t="str">
        <f>IF(AE582="","",IF(AE582="[FÓRMULA MANUAL]","",IFERROR(AVERAGEIFS(nNOTA,nNIA,AE582,nCUENTA,1,nASIG,"Orquesta/Banda/Conjunto"),"")))</f>
        <v/>
      </c>
      <c r="AH582" t="str">
        <f>IF(AE582="","",IF(AE582="[FÓRMULA MANUAL]","",IFERROR(AVERAGEIFS(nNOTA,nNIA,AE582,nCUENTA,1,nASIG,"Música de Cámara"),"")))</f>
        <v/>
      </c>
      <c r="AI582" t="str">
        <f>IF(AE582="","",IF(AE582="[FÓRMULA MANUAL]","",IFERROR(SUMPRODUCT((nNIA=AE582)*(nCUENTA=1)*(COUNTIF(CONFIG_ASIGNATURAS!$B$7:$B$27,nASIG)&gt;0)*(nNOTA))/SUMPRODUCT((nNIA=AE582)*(nCUENTA=1)*(COUNTIF(CONFIG_ASIGNATURAS!$B$7:$B$27,nASIG)&gt;0)*1),"")))</f>
        <v/>
      </c>
    </row>
    <row r="583" spans="2:35" x14ac:dyDescent="0.2">
      <c r="B583" t="str">
        <f>IF(A583="","",IF(A583="[FÓRMULA MANUAL]","",IFERROR(AVERAGEIFS(nNOTA,nNIA,A583,nCUENTA,1,nASIG,"Lenguaje Musical"),"")))</f>
        <v/>
      </c>
      <c r="C583" t="str">
        <f>IF(A583="","",IF(A583="[FÓRMULA MANUAL]","",IFERROR(AVERAGEIFS(nNOTA,nNIA,A583,nCUENTA,1,nASIG,"Orquesta/Banda/Conjunto"),"")))</f>
        <v/>
      </c>
      <c r="D583" t="str">
        <f>IF(A583="","",IF(A583="[FÓRMULA MANUAL]","",IFERROR(AVERAGEIFS(nNOTA,nNIA,A583,nCUENTA,1,nASIG,"Conjunto"),"")))</f>
        <v/>
      </c>
      <c r="E583" t="str">
        <f>IF(A583="","",IF(A583="[FÓRMULA MANUAL]","",IFERROR(SUMPRODUCT((nNIA=A583)*(nCUENTA=1)*(COUNTIF(CONFIG_ASIGNATURAS!$B$7:$B$27,nASIG)&gt;0)*(nNOTA))/SUMPRODUCT((nNIA=A583)*(nCUENTA=1)*(COUNTIF(CONFIG_ASIGNATURAS!$B$7:$B$27,nASIG)&gt;0)*1),"")))</f>
        <v/>
      </c>
      <c r="H583" t="str">
        <f>IF(G583="","",IF(G583="[FÓRMULA MANUAL]","",IFERROR(AVERAGEIFS(nNOTA,nNIA,G583,nCUENTA,1,nASIG,"Lenguaje Musical"),"")))</f>
        <v/>
      </c>
      <c r="I583" t="str">
        <f>IF(G583="","",IF(G583="[FÓRMULA MANUAL]","",IFERROR(AVERAGEIFS(nNOTA,nNIA,G583,nCUENTA,1,nASIG,"Orquesta/Banda/Conjunto"),"")))</f>
        <v/>
      </c>
      <c r="J583" t="str">
        <f>IF(G583="","",IF(G583="[FÓRMULA MANUAL]","",IFERROR(AVERAGEIFS(nNOTA,nNIA,G583,nCUENTA,1,nASIG,"Conjunto"),"")))</f>
        <v/>
      </c>
      <c r="K583" t="str">
        <f>IF(G583="","",IF(G583="[FÓRMULA MANUAL]","",IFERROR(SUMPRODUCT((nNIA=G583)*(nCUENTA=1)*(COUNTIF(CONFIG_ASIGNATURAS!$B$7:$B$27,nASIG)&gt;0)*(nNOTA))/SUMPRODUCT((nNIA=G583)*(nCUENTA=1)*(COUNTIF(CONFIG_ASIGNATURAS!$B$7:$B$27,nASIG)&gt;0)*1),"")))</f>
        <v/>
      </c>
      <c r="N583" t="str">
        <f>IF(M583="","",IF(M583="[FÓRMULA MANUAL]","",IFERROR(AVERAGEIFS(nNOTA,nNIA,M583,nCUENTA,1,nASIG,"Armonía"),"")))</f>
        <v/>
      </c>
      <c r="O583" t="str">
        <f>IF(M583="","",IF(M583="[FÓRMULA MANUAL]","",IFERROR(AVERAGEIFS(nNOTA,nNIA,M583,nCUENTA,1,nASIG,"Orquesta/Banda/Conjunto"),"")))</f>
        <v/>
      </c>
      <c r="P583" t="str">
        <f>IF(M583="","",IF(M583="[FÓRMULA MANUAL]","",IFERROR(AVERAGEIFS(nNOTA,nNIA,M583,nCUENTA,1,nASIG,"Música de Cámara"),"")))</f>
        <v/>
      </c>
      <c r="Q583" t="str">
        <f>IF(M583="","",IF(M583="[FÓRMULA MANUAL]","",IFERROR(SUMPRODUCT((nNIA=M583)*(nCUENTA=1)*(COUNTIF(CONFIG_ASIGNATURAS!$B$7:$B$27,nASIG)&gt;0)*(nNOTA))/SUMPRODUCT((nNIA=M583)*(nCUENTA=1)*(COUNTIF(CONFIG_ASIGNATURAS!$B$7:$B$27,nASIG)&gt;0)*1),"")))</f>
        <v/>
      </c>
      <c r="T583" t="str">
        <f>IF(S583="","",IF(S583="[FÓRMULA MANUAL]","",IFERROR(AVERAGEIFS(nNOTA,nNIA,S583,nCUENTA,1,nASIG,"Armonía"),"")))</f>
        <v/>
      </c>
      <c r="U583" t="str">
        <f>IF(S583="","",IF(S583="[FÓRMULA MANUAL]","",IFERROR(AVERAGEIFS(nNOTA,nNIA,S583,nCUENTA,1,nASIG,"Orquesta/Banda/Conjunto"),"")))</f>
        <v/>
      </c>
      <c r="V583" t="str">
        <f>IF(S583="","",IF(S583="[FÓRMULA MANUAL]","",IFERROR(AVERAGEIFS(nNOTA,nNIA,S583,nCUENTA,1,nASIG,"Música de Cámara"),"")))</f>
        <v/>
      </c>
      <c r="W583" t="str">
        <f>IF(S583="","",IF(S583="[FÓRMULA MANUAL]","",IFERROR(SUMPRODUCT((nNIA=S583)*(nCUENTA=1)*(COUNTIF(CONFIG_ASIGNATURAS!$B$7:$B$27,nASIG)&gt;0)*(nNOTA))/SUMPRODUCT((nNIA=S583)*(nCUENTA=1)*(COUNTIF(CONFIG_ASIGNATURAS!$B$7:$B$27,nASIG)&gt;0)*1),"")))</f>
        <v/>
      </c>
      <c r="Z583" t="str">
        <f>IF(Y583="","",IF(Y583="[FÓRMULA MANUAL]","",IFERROR(AVERAGEIFS(nNOTA,nNIA,Y583,nCUENTA,1,nASIG,"Análisis"),"")))</f>
        <v/>
      </c>
      <c r="AA583" t="str">
        <f>IF(Y583="","",IF(Y583="[FÓRMULA MANUAL]","",IFERROR(AVERAGEIFS(nNOTA,nNIA,Y583,nCUENTA,1,nASIG,"Orquesta/Banda/Conjunto"),"")))</f>
        <v/>
      </c>
      <c r="AB583" t="str">
        <f>IF(Y583="","",IF(Y583="[FÓRMULA MANUAL]","",IFERROR(AVERAGEIFS(nNOTA,nNIA,Y583,nCUENTA,1,nASIG,"Música de Cámara"),"")))</f>
        <v/>
      </c>
      <c r="AC583" t="str">
        <f>IF(Y583="","",IF(Y583="[FÓRMULA MANUAL]","",IFERROR(SUMPRODUCT((nNIA=Y583)*(nCUENTA=1)*(COUNTIF(CONFIG_ASIGNATURAS!$B$7:$B$27,nASIG)&gt;0)*(nNOTA))/SUMPRODUCT((nNIA=Y583)*(nCUENTA=1)*(COUNTIF(CONFIG_ASIGNATURAS!$B$7:$B$27,nASIG)&gt;0)*1),"")))</f>
        <v/>
      </c>
      <c r="AF583" t="str">
        <f>IF(AE583="","",IF(AE583="[FÓRMULA MANUAL]","",IFERROR(AVERAGEIFS(nNOTA,nNIA,AE583,nCUENTA,1,nASIG,"Análisis"),"")))</f>
        <v/>
      </c>
      <c r="AG583" t="str">
        <f>IF(AE583="","",IF(AE583="[FÓRMULA MANUAL]","",IFERROR(AVERAGEIFS(nNOTA,nNIA,AE583,nCUENTA,1,nASIG,"Orquesta/Banda/Conjunto"),"")))</f>
        <v/>
      </c>
      <c r="AH583" t="str">
        <f>IF(AE583="","",IF(AE583="[FÓRMULA MANUAL]","",IFERROR(AVERAGEIFS(nNOTA,nNIA,AE583,nCUENTA,1,nASIG,"Música de Cámara"),"")))</f>
        <v/>
      </c>
      <c r="AI583" t="str">
        <f>IF(AE583="","",IF(AE583="[FÓRMULA MANUAL]","",IFERROR(SUMPRODUCT((nNIA=AE583)*(nCUENTA=1)*(COUNTIF(CONFIG_ASIGNATURAS!$B$7:$B$27,nASIG)&gt;0)*(nNOTA))/SUMPRODUCT((nNIA=AE583)*(nCUENTA=1)*(COUNTIF(CONFIG_ASIGNATURAS!$B$7:$B$27,nASIG)&gt;0)*1),"")))</f>
        <v/>
      </c>
    </row>
    <row r="584" spans="2:35" x14ac:dyDescent="0.2">
      <c r="B584" t="str">
        <f>IF(A584="","",IF(A584="[FÓRMULA MANUAL]","",IFERROR(AVERAGEIFS(nNOTA,nNIA,A584,nCUENTA,1,nASIG,"Lenguaje Musical"),"")))</f>
        <v/>
      </c>
      <c r="C584" t="str">
        <f>IF(A584="","",IF(A584="[FÓRMULA MANUAL]","",IFERROR(AVERAGEIFS(nNOTA,nNIA,A584,nCUENTA,1,nASIG,"Orquesta/Banda/Conjunto"),"")))</f>
        <v/>
      </c>
      <c r="D584" t="str">
        <f>IF(A584="","",IF(A584="[FÓRMULA MANUAL]","",IFERROR(AVERAGEIFS(nNOTA,nNIA,A584,nCUENTA,1,nASIG,"Conjunto"),"")))</f>
        <v/>
      </c>
      <c r="E584" t="str">
        <f>IF(A584="","",IF(A584="[FÓRMULA MANUAL]","",IFERROR(SUMPRODUCT((nNIA=A584)*(nCUENTA=1)*(COUNTIF(CONFIG_ASIGNATURAS!$B$7:$B$27,nASIG)&gt;0)*(nNOTA))/SUMPRODUCT((nNIA=A584)*(nCUENTA=1)*(COUNTIF(CONFIG_ASIGNATURAS!$B$7:$B$27,nASIG)&gt;0)*1),"")))</f>
        <v/>
      </c>
      <c r="H584" t="str">
        <f>IF(G584="","",IF(G584="[FÓRMULA MANUAL]","",IFERROR(AVERAGEIFS(nNOTA,nNIA,G584,nCUENTA,1,nASIG,"Lenguaje Musical"),"")))</f>
        <v/>
      </c>
      <c r="I584" t="str">
        <f>IF(G584="","",IF(G584="[FÓRMULA MANUAL]","",IFERROR(AVERAGEIFS(nNOTA,nNIA,G584,nCUENTA,1,nASIG,"Orquesta/Banda/Conjunto"),"")))</f>
        <v/>
      </c>
      <c r="J584" t="str">
        <f>IF(G584="","",IF(G584="[FÓRMULA MANUAL]","",IFERROR(AVERAGEIFS(nNOTA,nNIA,G584,nCUENTA,1,nASIG,"Conjunto"),"")))</f>
        <v/>
      </c>
      <c r="K584" t="str">
        <f>IF(G584="","",IF(G584="[FÓRMULA MANUAL]","",IFERROR(SUMPRODUCT((nNIA=G584)*(nCUENTA=1)*(COUNTIF(CONFIG_ASIGNATURAS!$B$7:$B$27,nASIG)&gt;0)*(nNOTA))/SUMPRODUCT((nNIA=G584)*(nCUENTA=1)*(COUNTIF(CONFIG_ASIGNATURAS!$B$7:$B$27,nASIG)&gt;0)*1),"")))</f>
        <v/>
      </c>
      <c r="N584" t="str">
        <f>IF(M584="","",IF(M584="[FÓRMULA MANUAL]","",IFERROR(AVERAGEIFS(nNOTA,nNIA,M584,nCUENTA,1,nASIG,"Armonía"),"")))</f>
        <v/>
      </c>
      <c r="O584" t="str">
        <f>IF(M584="","",IF(M584="[FÓRMULA MANUAL]","",IFERROR(AVERAGEIFS(nNOTA,nNIA,M584,nCUENTA,1,nASIG,"Orquesta/Banda/Conjunto"),"")))</f>
        <v/>
      </c>
      <c r="P584" t="str">
        <f>IF(M584="","",IF(M584="[FÓRMULA MANUAL]","",IFERROR(AVERAGEIFS(nNOTA,nNIA,M584,nCUENTA,1,nASIG,"Música de Cámara"),"")))</f>
        <v/>
      </c>
      <c r="Q584" t="str">
        <f>IF(M584="","",IF(M584="[FÓRMULA MANUAL]","",IFERROR(SUMPRODUCT((nNIA=M584)*(nCUENTA=1)*(COUNTIF(CONFIG_ASIGNATURAS!$B$7:$B$27,nASIG)&gt;0)*(nNOTA))/SUMPRODUCT((nNIA=M584)*(nCUENTA=1)*(COUNTIF(CONFIG_ASIGNATURAS!$B$7:$B$27,nASIG)&gt;0)*1),"")))</f>
        <v/>
      </c>
      <c r="T584" t="str">
        <f>IF(S584="","",IF(S584="[FÓRMULA MANUAL]","",IFERROR(AVERAGEIFS(nNOTA,nNIA,S584,nCUENTA,1,nASIG,"Armonía"),"")))</f>
        <v/>
      </c>
      <c r="U584" t="str">
        <f>IF(S584="","",IF(S584="[FÓRMULA MANUAL]","",IFERROR(AVERAGEIFS(nNOTA,nNIA,S584,nCUENTA,1,nASIG,"Orquesta/Banda/Conjunto"),"")))</f>
        <v/>
      </c>
      <c r="V584" t="str">
        <f>IF(S584="","",IF(S584="[FÓRMULA MANUAL]","",IFERROR(AVERAGEIFS(nNOTA,nNIA,S584,nCUENTA,1,nASIG,"Música de Cámara"),"")))</f>
        <v/>
      </c>
      <c r="W584" t="str">
        <f>IF(S584="","",IF(S584="[FÓRMULA MANUAL]","",IFERROR(SUMPRODUCT((nNIA=S584)*(nCUENTA=1)*(COUNTIF(CONFIG_ASIGNATURAS!$B$7:$B$27,nASIG)&gt;0)*(nNOTA))/SUMPRODUCT((nNIA=S584)*(nCUENTA=1)*(COUNTIF(CONFIG_ASIGNATURAS!$B$7:$B$27,nASIG)&gt;0)*1),"")))</f>
        <v/>
      </c>
      <c r="Z584" t="str">
        <f>IF(Y584="","",IF(Y584="[FÓRMULA MANUAL]","",IFERROR(AVERAGEIFS(nNOTA,nNIA,Y584,nCUENTA,1,nASIG,"Análisis"),"")))</f>
        <v/>
      </c>
      <c r="AA584" t="str">
        <f>IF(Y584="","",IF(Y584="[FÓRMULA MANUAL]","",IFERROR(AVERAGEIFS(nNOTA,nNIA,Y584,nCUENTA,1,nASIG,"Orquesta/Banda/Conjunto"),"")))</f>
        <v/>
      </c>
      <c r="AB584" t="str">
        <f>IF(Y584="","",IF(Y584="[FÓRMULA MANUAL]","",IFERROR(AVERAGEIFS(nNOTA,nNIA,Y584,nCUENTA,1,nASIG,"Música de Cámara"),"")))</f>
        <v/>
      </c>
      <c r="AC584" t="str">
        <f>IF(Y584="","",IF(Y584="[FÓRMULA MANUAL]","",IFERROR(SUMPRODUCT((nNIA=Y584)*(nCUENTA=1)*(COUNTIF(CONFIG_ASIGNATURAS!$B$7:$B$27,nASIG)&gt;0)*(nNOTA))/SUMPRODUCT((nNIA=Y584)*(nCUENTA=1)*(COUNTIF(CONFIG_ASIGNATURAS!$B$7:$B$27,nASIG)&gt;0)*1),"")))</f>
        <v/>
      </c>
      <c r="AF584" t="str">
        <f>IF(AE584="","",IF(AE584="[FÓRMULA MANUAL]","",IFERROR(AVERAGEIFS(nNOTA,nNIA,AE584,nCUENTA,1,nASIG,"Análisis"),"")))</f>
        <v/>
      </c>
      <c r="AG584" t="str">
        <f>IF(AE584="","",IF(AE584="[FÓRMULA MANUAL]","",IFERROR(AVERAGEIFS(nNOTA,nNIA,AE584,nCUENTA,1,nASIG,"Orquesta/Banda/Conjunto"),"")))</f>
        <v/>
      </c>
      <c r="AH584" t="str">
        <f>IF(AE584="","",IF(AE584="[FÓRMULA MANUAL]","",IFERROR(AVERAGEIFS(nNOTA,nNIA,AE584,nCUENTA,1,nASIG,"Música de Cámara"),"")))</f>
        <v/>
      </c>
      <c r="AI584" t="str">
        <f>IF(AE584="","",IF(AE584="[FÓRMULA MANUAL]","",IFERROR(SUMPRODUCT((nNIA=AE584)*(nCUENTA=1)*(COUNTIF(CONFIG_ASIGNATURAS!$B$7:$B$27,nASIG)&gt;0)*(nNOTA))/SUMPRODUCT((nNIA=AE584)*(nCUENTA=1)*(COUNTIF(CONFIG_ASIGNATURAS!$B$7:$B$27,nASIG)&gt;0)*1),"")))</f>
        <v/>
      </c>
    </row>
    <row r="585" spans="2:35" x14ac:dyDescent="0.2">
      <c r="B585" t="str">
        <f>IF(A585="","",IF(A585="[FÓRMULA MANUAL]","",IFERROR(AVERAGEIFS(nNOTA,nNIA,A585,nCUENTA,1,nASIG,"Lenguaje Musical"),"")))</f>
        <v/>
      </c>
      <c r="C585" t="str">
        <f>IF(A585="","",IF(A585="[FÓRMULA MANUAL]","",IFERROR(AVERAGEIFS(nNOTA,nNIA,A585,nCUENTA,1,nASIG,"Orquesta/Banda/Conjunto"),"")))</f>
        <v/>
      </c>
      <c r="D585" t="str">
        <f>IF(A585="","",IF(A585="[FÓRMULA MANUAL]","",IFERROR(AVERAGEIFS(nNOTA,nNIA,A585,nCUENTA,1,nASIG,"Conjunto"),"")))</f>
        <v/>
      </c>
      <c r="E585" t="str">
        <f>IF(A585="","",IF(A585="[FÓRMULA MANUAL]","",IFERROR(SUMPRODUCT((nNIA=A585)*(nCUENTA=1)*(COUNTIF(CONFIG_ASIGNATURAS!$B$7:$B$27,nASIG)&gt;0)*(nNOTA))/SUMPRODUCT((nNIA=A585)*(nCUENTA=1)*(COUNTIF(CONFIG_ASIGNATURAS!$B$7:$B$27,nASIG)&gt;0)*1),"")))</f>
        <v/>
      </c>
      <c r="H585" t="str">
        <f>IF(G585="","",IF(G585="[FÓRMULA MANUAL]","",IFERROR(AVERAGEIFS(nNOTA,nNIA,G585,nCUENTA,1,nASIG,"Lenguaje Musical"),"")))</f>
        <v/>
      </c>
      <c r="I585" t="str">
        <f>IF(G585="","",IF(G585="[FÓRMULA MANUAL]","",IFERROR(AVERAGEIFS(nNOTA,nNIA,G585,nCUENTA,1,nASIG,"Orquesta/Banda/Conjunto"),"")))</f>
        <v/>
      </c>
      <c r="J585" t="str">
        <f>IF(G585="","",IF(G585="[FÓRMULA MANUAL]","",IFERROR(AVERAGEIFS(nNOTA,nNIA,G585,nCUENTA,1,nASIG,"Conjunto"),"")))</f>
        <v/>
      </c>
      <c r="K585" t="str">
        <f>IF(G585="","",IF(G585="[FÓRMULA MANUAL]","",IFERROR(SUMPRODUCT((nNIA=G585)*(nCUENTA=1)*(COUNTIF(CONFIG_ASIGNATURAS!$B$7:$B$27,nASIG)&gt;0)*(nNOTA))/SUMPRODUCT((nNIA=G585)*(nCUENTA=1)*(COUNTIF(CONFIG_ASIGNATURAS!$B$7:$B$27,nASIG)&gt;0)*1),"")))</f>
        <v/>
      </c>
      <c r="N585" t="str">
        <f>IF(M585="","",IF(M585="[FÓRMULA MANUAL]","",IFERROR(AVERAGEIFS(nNOTA,nNIA,M585,nCUENTA,1,nASIG,"Armonía"),"")))</f>
        <v/>
      </c>
      <c r="O585" t="str">
        <f>IF(M585="","",IF(M585="[FÓRMULA MANUAL]","",IFERROR(AVERAGEIFS(nNOTA,nNIA,M585,nCUENTA,1,nASIG,"Orquesta/Banda/Conjunto"),"")))</f>
        <v/>
      </c>
      <c r="P585" t="str">
        <f>IF(M585="","",IF(M585="[FÓRMULA MANUAL]","",IFERROR(AVERAGEIFS(nNOTA,nNIA,M585,nCUENTA,1,nASIG,"Música de Cámara"),"")))</f>
        <v/>
      </c>
      <c r="Q585" t="str">
        <f>IF(M585="","",IF(M585="[FÓRMULA MANUAL]","",IFERROR(SUMPRODUCT((nNIA=M585)*(nCUENTA=1)*(COUNTIF(CONFIG_ASIGNATURAS!$B$7:$B$27,nASIG)&gt;0)*(nNOTA))/SUMPRODUCT((nNIA=M585)*(nCUENTA=1)*(COUNTIF(CONFIG_ASIGNATURAS!$B$7:$B$27,nASIG)&gt;0)*1),"")))</f>
        <v/>
      </c>
      <c r="T585" t="str">
        <f>IF(S585="","",IF(S585="[FÓRMULA MANUAL]","",IFERROR(AVERAGEIFS(nNOTA,nNIA,S585,nCUENTA,1,nASIG,"Armonía"),"")))</f>
        <v/>
      </c>
      <c r="U585" t="str">
        <f>IF(S585="","",IF(S585="[FÓRMULA MANUAL]","",IFERROR(AVERAGEIFS(nNOTA,nNIA,S585,nCUENTA,1,nASIG,"Orquesta/Banda/Conjunto"),"")))</f>
        <v/>
      </c>
      <c r="V585" t="str">
        <f>IF(S585="","",IF(S585="[FÓRMULA MANUAL]","",IFERROR(AVERAGEIFS(nNOTA,nNIA,S585,nCUENTA,1,nASIG,"Música de Cámara"),"")))</f>
        <v/>
      </c>
      <c r="W585" t="str">
        <f>IF(S585="","",IF(S585="[FÓRMULA MANUAL]","",IFERROR(SUMPRODUCT((nNIA=S585)*(nCUENTA=1)*(COUNTIF(CONFIG_ASIGNATURAS!$B$7:$B$27,nASIG)&gt;0)*(nNOTA))/SUMPRODUCT((nNIA=S585)*(nCUENTA=1)*(COUNTIF(CONFIG_ASIGNATURAS!$B$7:$B$27,nASIG)&gt;0)*1),"")))</f>
        <v/>
      </c>
      <c r="Z585" t="str">
        <f>IF(Y585="","",IF(Y585="[FÓRMULA MANUAL]","",IFERROR(AVERAGEIFS(nNOTA,nNIA,Y585,nCUENTA,1,nASIG,"Análisis"),"")))</f>
        <v/>
      </c>
      <c r="AA585" t="str">
        <f>IF(Y585="","",IF(Y585="[FÓRMULA MANUAL]","",IFERROR(AVERAGEIFS(nNOTA,nNIA,Y585,nCUENTA,1,nASIG,"Orquesta/Banda/Conjunto"),"")))</f>
        <v/>
      </c>
      <c r="AB585" t="str">
        <f>IF(Y585="","",IF(Y585="[FÓRMULA MANUAL]","",IFERROR(AVERAGEIFS(nNOTA,nNIA,Y585,nCUENTA,1,nASIG,"Música de Cámara"),"")))</f>
        <v/>
      </c>
      <c r="AC585" t="str">
        <f>IF(Y585="","",IF(Y585="[FÓRMULA MANUAL]","",IFERROR(SUMPRODUCT((nNIA=Y585)*(nCUENTA=1)*(COUNTIF(CONFIG_ASIGNATURAS!$B$7:$B$27,nASIG)&gt;0)*(nNOTA))/SUMPRODUCT((nNIA=Y585)*(nCUENTA=1)*(COUNTIF(CONFIG_ASIGNATURAS!$B$7:$B$27,nASIG)&gt;0)*1),"")))</f>
        <v/>
      </c>
      <c r="AF585" t="str">
        <f>IF(AE585="","",IF(AE585="[FÓRMULA MANUAL]","",IFERROR(AVERAGEIFS(nNOTA,nNIA,AE585,nCUENTA,1,nASIG,"Análisis"),"")))</f>
        <v/>
      </c>
      <c r="AG585" t="str">
        <f>IF(AE585="","",IF(AE585="[FÓRMULA MANUAL]","",IFERROR(AVERAGEIFS(nNOTA,nNIA,AE585,nCUENTA,1,nASIG,"Orquesta/Banda/Conjunto"),"")))</f>
        <v/>
      </c>
      <c r="AH585" t="str">
        <f>IF(AE585="","",IF(AE585="[FÓRMULA MANUAL]","",IFERROR(AVERAGEIFS(nNOTA,nNIA,AE585,nCUENTA,1,nASIG,"Música de Cámara"),"")))</f>
        <v/>
      </c>
      <c r="AI585" t="str">
        <f>IF(AE585="","",IF(AE585="[FÓRMULA MANUAL]","",IFERROR(SUMPRODUCT((nNIA=AE585)*(nCUENTA=1)*(COUNTIF(CONFIG_ASIGNATURAS!$B$7:$B$27,nASIG)&gt;0)*(nNOTA))/SUMPRODUCT((nNIA=AE585)*(nCUENTA=1)*(COUNTIF(CONFIG_ASIGNATURAS!$B$7:$B$27,nASIG)&gt;0)*1),"")))</f>
        <v/>
      </c>
    </row>
    <row r="586" spans="2:35" x14ac:dyDescent="0.2">
      <c r="B586" t="str">
        <f>IF(A586="","",IF(A586="[FÓRMULA MANUAL]","",IFERROR(AVERAGEIFS(nNOTA,nNIA,A586,nCUENTA,1,nASIG,"Lenguaje Musical"),"")))</f>
        <v/>
      </c>
      <c r="C586" t="str">
        <f>IF(A586="","",IF(A586="[FÓRMULA MANUAL]","",IFERROR(AVERAGEIFS(nNOTA,nNIA,A586,nCUENTA,1,nASIG,"Orquesta/Banda/Conjunto"),"")))</f>
        <v/>
      </c>
      <c r="D586" t="str">
        <f>IF(A586="","",IF(A586="[FÓRMULA MANUAL]","",IFERROR(AVERAGEIFS(nNOTA,nNIA,A586,nCUENTA,1,nASIG,"Conjunto"),"")))</f>
        <v/>
      </c>
      <c r="E586" t="str">
        <f>IF(A586="","",IF(A586="[FÓRMULA MANUAL]","",IFERROR(SUMPRODUCT((nNIA=A586)*(nCUENTA=1)*(COUNTIF(CONFIG_ASIGNATURAS!$B$7:$B$27,nASIG)&gt;0)*(nNOTA))/SUMPRODUCT((nNIA=A586)*(nCUENTA=1)*(COUNTIF(CONFIG_ASIGNATURAS!$B$7:$B$27,nASIG)&gt;0)*1),"")))</f>
        <v/>
      </c>
      <c r="H586" t="str">
        <f>IF(G586="","",IF(G586="[FÓRMULA MANUAL]","",IFERROR(AVERAGEIFS(nNOTA,nNIA,G586,nCUENTA,1,nASIG,"Lenguaje Musical"),"")))</f>
        <v/>
      </c>
      <c r="I586" t="str">
        <f>IF(G586="","",IF(G586="[FÓRMULA MANUAL]","",IFERROR(AVERAGEIFS(nNOTA,nNIA,G586,nCUENTA,1,nASIG,"Orquesta/Banda/Conjunto"),"")))</f>
        <v/>
      </c>
      <c r="J586" t="str">
        <f>IF(G586="","",IF(G586="[FÓRMULA MANUAL]","",IFERROR(AVERAGEIFS(nNOTA,nNIA,G586,nCUENTA,1,nASIG,"Conjunto"),"")))</f>
        <v/>
      </c>
      <c r="K586" t="str">
        <f>IF(G586="","",IF(G586="[FÓRMULA MANUAL]","",IFERROR(SUMPRODUCT((nNIA=G586)*(nCUENTA=1)*(COUNTIF(CONFIG_ASIGNATURAS!$B$7:$B$27,nASIG)&gt;0)*(nNOTA))/SUMPRODUCT((nNIA=G586)*(nCUENTA=1)*(COUNTIF(CONFIG_ASIGNATURAS!$B$7:$B$27,nASIG)&gt;0)*1),"")))</f>
        <v/>
      </c>
      <c r="N586" t="str">
        <f>IF(M586="","",IF(M586="[FÓRMULA MANUAL]","",IFERROR(AVERAGEIFS(nNOTA,nNIA,M586,nCUENTA,1,nASIG,"Armonía"),"")))</f>
        <v/>
      </c>
      <c r="O586" t="str">
        <f>IF(M586="","",IF(M586="[FÓRMULA MANUAL]","",IFERROR(AVERAGEIFS(nNOTA,nNIA,M586,nCUENTA,1,nASIG,"Orquesta/Banda/Conjunto"),"")))</f>
        <v/>
      </c>
      <c r="P586" t="str">
        <f>IF(M586="","",IF(M586="[FÓRMULA MANUAL]","",IFERROR(AVERAGEIFS(nNOTA,nNIA,M586,nCUENTA,1,nASIG,"Música de Cámara"),"")))</f>
        <v/>
      </c>
      <c r="Q586" t="str">
        <f>IF(M586="","",IF(M586="[FÓRMULA MANUAL]","",IFERROR(SUMPRODUCT((nNIA=M586)*(nCUENTA=1)*(COUNTIF(CONFIG_ASIGNATURAS!$B$7:$B$27,nASIG)&gt;0)*(nNOTA))/SUMPRODUCT((nNIA=M586)*(nCUENTA=1)*(COUNTIF(CONFIG_ASIGNATURAS!$B$7:$B$27,nASIG)&gt;0)*1),"")))</f>
        <v/>
      </c>
      <c r="T586" t="str">
        <f>IF(S586="","",IF(S586="[FÓRMULA MANUAL]","",IFERROR(AVERAGEIFS(nNOTA,nNIA,S586,nCUENTA,1,nASIG,"Armonía"),"")))</f>
        <v/>
      </c>
      <c r="U586" t="str">
        <f>IF(S586="","",IF(S586="[FÓRMULA MANUAL]","",IFERROR(AVERAGEIFS(nNOTA,nNIA,S586,nCUENTA,1,nASIG,"Orquesta/Banda/Conjunto"),"")))</f>
        <v/>
      </c>
      <c r="V586" t="str">
        <f>IF(S586="","",IF(S586="[FÓRMULA MANUAL]","",IFERROR(AVERAGEIFS(nNOTA,nNIA,S586,nCUENTA,1,nASIG,"Música de Cámara"),"")))</f>
        <v/>
      </c>
      <c r="W586" t="str">
        <f>IF(S586="","",IF(S586="[FÓRMULA MANUAL]","",IFERROR(SUMPRODUCT((nNIA=S586)*(nCUENTA=1)*(COUNTIF(CONFIG_ASIGNATURAS!$B$7:$B$27,nASIG)&gt;0)*(nNOTA))/SUMPRODUCT((nNIA=S586)*(nCUENTA=1)*(COUNTIF(CONFIG_ASIGNATURAS!$B$7:$B$27,nASIG)&gt;0)*1),"")))</f>
        <v/>
      </c>
      <c r="Z586" t="str">
        <f>IF(Y586="","",IF(Y586="[FÓRMULA MANUAL]","",IFERROR(AVERAGEIFS(nNOTA,nNIA,Y586,nCUENTA,1,nASIG,"Análisis"),"")))</f>
        <v/>
      </c>
      <c r="AA586" t="str">
        <f>IF(Y586="","",IF(Y586="[FÓRMULA MANUAL]","",IFERROR(AVERAGEIFS(nNOTA,nNIA,Y586,nCUENTA,1,nASIG,"Orquesta/Banda/Conjunto"),"")))</f>
        <v/>
      </c>
      <c r="AB586" t="str">
        <f>IF(Y586="","",IF(Y586="[FÓRMULA MANUAL]","",IFERROR(AVERAGEIFS(nNOTA,nNIA,Y586,nCUENTA,1,nASIG,"Música de Cámara"),"")))</f>
        <v/>
      </c>
      <c r="AC586" t="str">
        <f>IF(Y586="","",IF(Y586="[FÓRMULA MANUAL]","",IFERROR(SUMPRODUCT((nNIA=Y586)*(nCUENTA=1)*(COUNTIF(CONFIG_ASIGNATURAS!$B$7:$B$27,nASIG)&gt;0)*(nNOTA))/SUMPRODUCT((nNIA=Y586)*(nCUENTA=1)*(COUNTIF(CONFIG_ASIGNATURAS!$B$7:$B$27,nASIG)&gt;0)*1),"")))</f>
        <v/>
      </c>
      <c r="AF586" t="str">
        <f>IF(AE586="","",IF(AE586="[FÓRMULA MANUAL]","",IFERROR(AVERAGEIFS(nNOTA,nNIA,AE586,nCUENTA,1,nASIG,"Análisis"),"")))</f>
        <v/>
      </c>
      <c r="AG586" t="str">
        <f>IF(AE586="","",IF(AE586="[FÓRMULA MANUAL]","",IFERROR(AVERAGEIFS(nNOTA,nNIA,AE586,nCUENTA,1,nASIG,"Orquesta/Banda/Conjunto"),"")))</f>
        <v/>
      </c>
      <c r="AH586" t="str">
        <f>IF(AE586="","",IF(AE586="[FÓRMULA MANUAL]","",IFERROR(AVERAGEIFS(nNOTA,nNIA,AE586,nCUENTA,1,nASIG,"Música de Cámara"),"")))</f>
        <v/>
      </c>
      <c r="AI586" t="str">
        <f>IF(AE586="","",IF(AE586="[FÓRMULA MANUAL]","",IFERROR(SUMPRODUCT((nNIA=AE586)*(nCUENTA=1)*(COUNTIF(CONFIG_ASIGNATURAS!$B$7:$B$27,nASIG)&gt;0)*(nNOTA))/SUMPRODUCT((nNIA=AE586)*(nCUENTA=1)*(COUNTIF(CONFIG_ASIGNATURAS!$B$7:$B$27,nASIG)&gt;0)*1),"")))</f>
        <v/>
      </c>
    </row>
    <row r="587" spans="2:35" x14ac:dyDescent="0.2">
      <c r="B587" t="str">
        <f>IF(A587="","",IF(A587="[FÓRMULA MANUAL]","",IFERROR(AVERAGEIFS(nNOTA,nNIA,A587,nCUENTA,1,nASIG,"Lenguaje Musical"),"")))</f>
        <v/>
      </c>
      <c r="C587" t="str">
        <f>IF(A587="","",IF(A587="[FÓRMULA MANUAL]","",IFERROR(AVERAGEIFS(nNOTA,nNIA,A587,nCUENTA,1,nASIG,"Orquesta/Banda/Conjunto"),"")))</f>
        <v/>
      </c>
      <c r="D587" t="str">
        <f>IF(A587="","",IF(A587="[FÓRMULA MANUAL]","",IFERROR(AVERAGEIFS(nNOTA,nNIA,A587,nCUENTA,1,nASIG,"Conjunto"),"")))</f>
        <v/>
      </c>
      <c r="E587" t="str">
        <f>IF(A587="","",IF(A587="[FÓRMULA MANUAL]","",IFERROR(SUMPRODUCT((nNIA=A587)*(nCUENTA=1)*(COUNTIF(CONFIG_ASIGNATURAS!$B$7:$B$27,nASIG)&gt;0)*(nNOTA))/SUMPRODUCT((nNIA=A587)*(nCUENTA=1)*(COUNTIF(CONFIG_ASIGNATURAS!$B$7:$B$27,nASIG)&gt;0)*1),"")))</f>
        <v/>
      </c>
      <c r="H587" t="str">
        <f>IF(G587="","",IF(G587="[FÓRMULA MANUAL]","",IFERROR(AVERAGEIFS(nNOTA,nNIA,G587,nCUENTA,1,nASIG,"Lenguaje Musical"),"")))</f>
        <v/>
      </c>
      <c r="I587" t="str">
        <f>IF(G587="","",IF(G587="[FÓRMULA MANUAL]","",IFERROR(AVERAGEIFS(nNOTA,nNIA,G587,nCUENTA,1,nASIG,"Orquesta/Banda/Conjunto"),"")))</f>
        <v/>
      </c>
      <c r="J587" t="str">
        <f>IF(G587="","",IF(G587="[FÓRMULA MANUAL]","",IFERROR(AVERAGEIFS(nNOTA,nNIA,G587,nCUENTA,1,nASIG,"Conjunto"),"")))</f>
        <v/>
      </c>
      <c r="K587" t="str">
        <f>IF(G587="","",IF(G587="[FÓRMULA MANUAL]","",IFERROR(SUMPRODUCT((nNIA=G587)*(nCUENTA=1)*(COUNTIF(CONFIG_ASIGNATURAS!$B$7:$B$27,nASIG)&gt;0)*(nNOTA))/SUMPRODUCT((nNIA=G587)*(nCUENTA=1)*(COUNTIF(CONFIG_ASIGNATURAS!$B$7:$B$27,nASIG)&gt;0)*1),"")))</f>
        <v/>
      </c>
      <c r="N587" t="str">
        <f>IF(M587="","",IF(M587="[FÓRMULA MANUAL]","",IFERROR(AVERAGEIFS(nNOTA,nNIA,M587,nCUENTA,1,nASIG,"Armonía"),"")))</f>
        <v/>
      </c>
      <c r="O587" t="str">
        <f>IF(M587="","",IF(M587="[FÓRMULA MANUAL]","",IFERROR(AVERAGEIFS(nNOTA,nNIA,M587,nCUENTA,1,nASIG,"Orquesta/Banda/Conjunto"),"")))</f>
        <v/>
      </c>
      <c r="P587" t="str">
        <f>IF(M587="","",IF(M587="[FÓRMULA MANUAL]","",IFERROR(AVERAGEIFS(nNOTA,nNIA,M587,nCUENTA,1,nASIG,"Música de Cámara"),"")))</f>
        <v/>
      </c>
      <c r="Q587" t="str">
        <f>IF(M587="","",IF(M587="[FÓRMULA MANUAL]","",IFERROR(SUMPRODUCT((nNIA=M587)*(nCUENTA=1)*(COUNTIF(CONFIG_ASIGNATURAS!$B$7:$B$27,nASIG)&gt;0)*(nNOTA))/SUMPRODUCT((nNIA=M587)*(nCUENTA=1)*(COUNTIF(CONFIG_ASIGNATURAS!$B$7:$B$27,nASIG)&gt;0)*1),"")))</f>
        <v/>
      </c>
      <c r="T587" t="str">
        <f>IF(S587="","",IF(S587="[FÓRMULA MANUAL]","",IFERROR(AVERAGEIFS(nNOTA,nNIA,S587,nCUENTA,1,nASIG,"Armonía"),"")))</f>
        <v/>
      </c>
      <c r="U587" t="str">
        <f>IF(S587="","",IF(S587="[FÓRMULA MANUAL]","",IFERROR(AVERAGEIFS(nNOTA,nNIA,S587,nCUENTA,1,nASIG,"Orquesta/Banda/Conjunto"),"")))</f>
        <v/>
      </c>
      <c r="V587" t="str">
        <f>IF(S587="","",IF(S587="[FÓRMULA MANUAL]","",IFERROR(AVERAGEIFS(nNOTA,nNIA,S587,nCUENTA,1,nASIG,"Música de Cámara"),"")))</f>
        <v/>
      </c>
      <c r="W587" t="str">
        <f>IF(S587="","",IF(S587="[FÓRMULA MANUAL]","",IFERROR(SUMPRODUCT((nNIA=S587)*(nCUENTA=1)*(COUNTIF(CONFIG_ASIGNATURAS!$B$7:$B$27,nASIG)&gt;0)*(nNOTA))/SUMPRODUCT((nNIA=S587)*(nCUENTA=1)*(COUNTIF(CONFIG_ASIGNATURAS!$B$7:$B$27,nASIG)&gt;0)*1),"")))</f>
        <v/>
      </c>
      <c r="Z587" t="str">
        <f>IF(Y587="","",IF(Y587="[FÓRMULA MANUAL]","",IFERROR(AVERAGEIFS(nNOTA,nNIA,Y587,nCUENTA,1,nASIG,"Análisis"),"")))</f>
        <v/>
      </c>
      <c r="AA587" t="str">
        <f>IF(Y587="","",IF(Y587="[FÓRMULA MANUAL]","",IFERROR(AVERAGEIFS(nNOTA,nNIA,Y587,nCUENTA,1,nASIG,"Orquesta/Banda/Conjunto"),"")))</f>
        <v/>
      </c>
      <c r="AB587" t="str">
        <f>IF(Y587="","",IF(Y587="[FÓRMULA MANUAL]","",IFERROR(AVERAGEIFS(nNOTA,nNIA,Y587,nCUENTA,1,nASIG,"Música de Cámara"),"")))</f>
        <v/>
      </c>
      <c r="AC587" t="str">
        <f>IF(Y587="","",IF(Y587="[FÓRMULA MANUAL]","",IFERROR(SUMPRODUCT((nNIA=Y587)*(nCUENTA=1)*(COUNTIF(CONFIG_ASIGNATURAS!$B$7:$B$27,nASIG)&gt;0)*(nNOTA))/SUMPRODUCT((nNIA=Y587)*(nCUENTA=1)*(COUNTIF(CONFIG_ASIGNATURAS!$B$7:$B$27,nASIG)&gt;0)*1),"")))</f>
        <v/>
      </c>
      <c r="AF587" t="str">
        <f>IF(AE587="","",IF(AE587="[FÓRMULA MANUAL]","",IFERROR(AVERAGEIFS(nNOTA,nNIA,AE587,nCUENTA,1,nASIG,"Análisis"),"")))</f>
        <v/>
      </c>
      <c r="AG587" t="str">
        <f>IF(AE587="","",IF(AE587="[FÓRMULA MANUAL]","",IFERROR(AVERAGEIFS(nNOTA,nNIA,AE587,nCUENTA,1,nASIG,"Orquesta/Banda/Conjunto"),"")))</f>
        <v/>
      </c>
      <c r="AH587" t="str">
        <f>IF(AE587="","",IF(AE587="[FÓRMULA MANUAL]","",IFERROR(AVERAGEIFS(nNOTA,nNIA,AE587,nCUENTA,1,nASIG,"Música de Cámara"),"")))</f>
        <v/>
      </c>
      <c r="AI587" t="str">
        <f>IF(AE587="","",IF(AE587="[FÓRMULA MANUAL]","",IFERROR(SUMPRODUCT((nNIA=AE587)*(nCUENTA=1)*(COUNTIF(CONFIG_ASIGNATURAS!$B$7:$B$27,nASIG)&gt;0)*(nNOTA))/SUMPRODUCT((nNIA=AE587)*(nCUENTA=1)*(COUNTIF(CONFIG_ASIGNATURAS!$B$7:$B$27,nASIG)&gt;0)*1),"")))</f>
        <v/>
      </c>
    </row>
    <row r="588" spans="2:35" x14ac:dyDescent="0.2">
      <c r="B588" t="str">
        <f>IF(A588="","",IF(A588="[FÓRMULA MANUAL]","",IFERROR(AVERAGEIFS(nNOTA,nNIA,A588,nCUENTA,1,nASIG,"Lenguaje Musical"),"")))</f>
        <v/>
      </c>
      <c r="C588" t="str">
        <f>IF(A588="","",IF(A588="[FÓRMULA MANUAL]","",IFERROR(AVERAGEIFS(nNOTA,nNIA,A588,nCUENTA,1,nASIG,"Orquesta/Banda/Conjunto"),"")))</f>
        <v/>
      </c>
      <c r="D588" t="str">
        <f>IF(A588="","",IF(A588="[FÓRMULA MANUAL]","",IFERROR(AVERAGEIFS(nNOTA,nNIA,A588,nCUENTA,1,nASIG,"Conjunto"),"")))</f>
        <v/>
      </c>
      <c r="E588" t="str">
        <f>IF(A588="","",IF(A588="[FÓRMULA MANUAL]","",IFERROR(SUMPRODUCT((nNIA=A588)*(nCUENTA=1)*(COUNTIF(CONFIG_ASIGNATURAS!$B$7:$B$27,nASIG)&gt;0)*(nNOTA))/SUMPRODUCT((nNIA=A588)*(nCUENTA=1)*(COUNTIF(CONFIG_ASIGNATURAS!$B$7:$B$27,nASIG)&gt;0)*1),"")))</f>
        <v/>
      </c>
      <c r="H588" t="str">
        <f>IF(G588="","",IF(G588="[FÓRMULA MANUAL]","",IFERROR(AVERAGEIFS(nNOTA,nNIA,G588,nCUENTA,1,nASIG,"Lenguaje Musical"),"")))</f>
        <v/>
      </c>
      <c r="I588" t="str">
        <f>IF(G588="","",IF(G588="[FÓRMULA MANUAL]","",IFERROR(AVERAGEIFS(nNOTA,nNIA,G588,nCUENTA,1,nASIG,"Orquesta/Banda/Conjunto"),"")))</f>
        <v/>
      </c>
      <c r="J588" t="str">
        <f>IF(G588="","",IF(G588="[FÓRMULA MANUAL]","",IFERROR(AVERAGEIFS(nNOTA,nNIA,G588,nCUENTA,1,nASIG,"Conjunto"),"")))</f>
        <v/>
      </c>
      <c r="K588" t="str">
        <f>IF(G588="","",IF(G588="[FÓRMULA MANUAL]","",IFERROR(SUMPRODUCT((nNIA=G588)*(nCUENTA=1)*(COUNTIF(CONFIG_ASIGNATURAS!$B$7:$B$27,nASIG)&gt;0)*(nNOTA))/SUMPRODUCT((nNIA=G588)*(nCUENTA=1)*(COUNTIF(CONFIG_ASIGNATURAS!$B$7:$B$27,nASIG)&gt;0)*1),"")))</f>
        <v/>
      </c>
      <c r="N588" t="str">
        <f>IF(M588="","",IF(M588="[FÓRMULA MANUAL]","",IFERROR(AVERAGEIFS(nNOTA,nNIA,M588,nCUENTA,1,nASIG,"Armonía"),"")))</f>
        <v/>
      </c>
      <c r="O588" t="str">
        <f>IF(M588="","",IF(M588="[FÓRMULA MANUAL]","",IFERROR(AVERAGEIFS(nNOTA,nNIA,M588,nCUENTA,1,nASIG,"Orquesta/Banda/Conjunto"),"")))</f>
        <v/>
      </c>
      <c r="P588" t="str">
        <f>IF(M588="","",IF(M588="[FÓRMULA MANUAL]","",IFERROR(AVERAGEIFS(nNOTA,nNIA,M588,nCUENTA,1,nASIG,"Música de Cámara"),"")))</f>
        <v/>
      </c>
      <c r="Q588" t="str">
        <f>IF(M588="","",IF(M588="[FÓRMULA MANUAL]","",IFERROR(SUMPRODUCT((nNIA=M588)*(nCUENTA=1)*(COUNTIF(CONFIG_ASIGNATURAS!$B$7:$B$27,nASIG)&gt;0)*(nNOTA))/SUMPRODUCT((nNIA=M588)*(nCUENTA=1)*(COUNTIF(CONFIG_ASIGNATURAS!$B$7:$B$27,nASIG)&gt;0)*1),"")))</f>
        <v/>
      </c>
      <c r="T588" t="str">
        <f>IF(S588="","",IF(S588="[FÓRMULA MANUAL]","",IFERROR(AVERAGEIFS(nNOTA,nNIA,S588,nCUENTA,1,nASIG,"Armonía"),"")))</f>
        <v/>
      </c>
      <c r="U588" t="str">
        <f>IF(S588="","",IF(S588="[FÓRMULA MANUAL]","",IFERROR(AVERAGEIFS(nNOTA,nNIA,S588,nCUENTA,1,nASIG,"Orquesta/Banda/Conjunto"),"")))</f>
        <v/>
      </c>
      <c r="V588" t="str">
        <f>IF(S588="","",IF(S588="[FÓRMULA MANUAL]","",IFERROR(AVERAGEIFS(nNOTA,nNIA,S588,nCUENTA,1,nASIG,"Música de Cámara"),"")))</f>
        <v/>
      </c>
      <c r="W588" t="str">
        <f>IF(S588="","",IF(S588="[FÓRMULA MANUAL]","",IFERROR(SUMPRODUCT((nNIA=S588)*(nCUENTA=1)*(COUNTIF(CONFIG_ASIGNATURAS!$B$7:$B$27,nASIG)&gt;0)*(nNOTA))/SUMPRODUCT((nNIA=S588)*(nCUENTA=1)*(COUNTIF(CONFIG_ASIGNATURAS!$B$7:$B$27,nASIG)&gt;0)*1),"")))</f>
        <v/>
      </c>
      <c r="Z588" t="str">
        <f>IF(Y588="","",IF(Y588="[FÓRMULA MANUAL]","",IFERROR(AVERAGEIFS(nNOTA,nNIA,Y588,nCUENTA,1,nASIG,"Análisis"),"")))</f>
        <v/>
      </c>
      <c r="AA588" t="str">
        <f>IF(Y588="","",IF(Y588="[FÓRMULA MANUAL]","",IFERROR(AVERAGEIFS(nNOTA,nNIA,Y588,nCUENTA,1,nASIG,"Orquesta/Banda/Conjunto"),"")))</f>
        <v/>
      </c>
      <c r="AB588" t="str">
        <f>IF(Y588="","",IF(Y588="[FÓRMULA MANUAL]","",IFERROR(AVERAGEIFS(nNOTA,nNIA,Y588,nCUENTA,1,nASIG,"Música de Cámara"),"")))</f>
        <v/>
      </c>
      <c r="AC588" t="str">
        <f>IF(Y588="","",IF(Y588="[FÓRMULA MANUAL]","",IFERROR(SUMPRODUCT((nNIA=Y588)*(nCUENTA=1)*(COUNTIF(CONFIG_ASIGNATURAS!$B$7:$B$27,nASIG)&gt;0)*(nNOTA))/SUMPRODUCT((nNIA=Y588)*(nCUENTA=1)*(COUNTIF(CONFIG_ASIGNATURAS!$B$7:$B$27,nASIG)&gt;0)*1),"")))</f>
        <v/>
      </c>
      <c r="AF588" t="str">
        <f>IF(AE588="","",IF(AE588="[FÓRMULA MANUAL]","",IFERROR(AVERAGEIFS(nNOTA,nNIA,AE588,nCUENTA,1,nASIG,"Análisis"),"")))</f>
        <v/>
      </c>
      <c r="AG588" t="str">
        <f>IF(AE588="","",IF(AE588="[FÓRMULA MANUAL]","",IFERROR(AVERAGEIFS(nNOTA,nNIA,AE588,nCUENTA,1,nASIG,"Orquesta/Banda/Conjunto"),"")))</f>
        <v/>
      </c>
      <c r="AH588" t="str">
        <f>IF(AE588="","",IF(AE588="[FÓRMULA MANUAL]","",IFERROR(AVERAGEIFS(nNOTA,nNIA,AE588,nCUENTA,1,nASIG,"Música de Cámara"),"")))</f>
        <v/>
      </c>
      <c r="AI588" t="str">
        <f>IF(AE588="","",IF(AE588="[FÓRMULA MANUAL]","",IFERROR(SUMPRODUCT((nNIA=AE588)*(nCUENTA=1)*(COUNTIF(CONFIG_ASIGNATURAS!$B$7:$B$27,nASIG)&gt;0)*(nNOTA))/SUMPRODUCT((nNIA=AE588)*(nCUENTA=1)*(COUNTIF(CONFIG_ASIGNATURAS!$B$7:$B$27,nASIG)&gt;0)*1),"")))</f>
        <v/>
      </c>
    </row>
    <row r="589" spans="2:35" x14ac:dyDescent="0.2">
      <c r="B589" t="str">
        <f>IF(A589="","",IF(A589="[FÓRMULA MANUAL]","",IFERROR(AVERAGEIFS(nNOTA,nNIA,A589,nCUENTA,1,nASIG,"Lenguaje Musical"),"")))</f>
        <v/>
      </c>
      <c r="C589" t="str">
        <f>IF(A589="","",IF(A589="[FÓRMULA MANUAL]","",IFERROR(AVERAGEIFS(nNOTA,nNIA,A589,nCUENTA,1,nASIG,"Orquesta/Banda/Conjunto"),"")))</f>
        <v/>
      </c>
      <c r="D589" t="str">
        <f>IF(A589="","",IF(A589="[FÓRMULA MANUAL]","",IFERROR(AVERAGEIFS(nNOTA,nNIA,A589,nCUENTA,1,nASIG,"Conjunto"),"")))</f>
        <v/>
      </c>
      <c r="E589" t="str">
        <f>IF(A589="","",IF(A589="[FÓRMULA MANUAL]","",IFERROR(SUMPRODUCT((nNIA=A589)*(nCUENTA=1)*(COUNTIF(CONFIG_ASIGNATURAS!$B$7:$B$27,nASIG)&gt;0)*(nNOTA))/SUMPRODUCT((nNIA=A589)*(nCUENTA=1)*(COUNTIF(CONFIG_ASIGNATURAS!$B$7:$B$27,nASIG)&gt;0)*1),"")))</f>
        <v/>
      </c>
      <c r="H589" t="str">
        <f>IF(G589="","",IF(G589="[FÓRMULA MANUAL]","",IFERROR(AVERAGEIFS(nNOTA,nNIA,G589,nCUENTA,1,nASIG,"Lenguaje Musical"),"")))</f>
        <v/>
      </c>
      <c r="I589" t="str">
        <f>IF(G589="","",IF(G589="[FÓRMULA MANUAL]","",IFERROR(AVERAGEIFS(nNOTA,nNIA,G589,nCUENTA,1,nASIG,"Orquesta/Banda/Conjunto"),"")))</f>
        <v/>
      </c>
      <c r="J589" t="str">
        <f>IF(G589="","",IF(G589="[FÓRMULA MANUAL]","",IFERROR(AVERAGEIFS(nNOTA,nNIA,G589,nCUENTA,1,nASIG,"Conjunto"),"")))</f>
        <v/>
      </c>
      <c r="K589" t="str">
        <f>IF(G589="","",IF(G589="[FÓRMULA MANUAL]","",IFERROR(SUMPRODUCT((nNIA=G589)*(nCUENTA=1)*(COUNTIF(CONFIG_ASIGNATURAS!$B$7:$B$27,nASIG)&gt;0)*(nNOTA))/SUMPRODUCT((nNIA=G589)*(nCUENTA=1)*(COUNTIF(CONFIG_ASIGNATURAS!$B$7:$B$27,nASIG)&gt;0)*1),"")))</f>
        <v/>
      </c>
      <c r="N589" t="str">
        <f>IF(M589="","",IF(M589="[FÓRMULA MANUAL]","",IFERROR(AVERAGEIFS(nNOTA,nNIA,M589,nCUENTA,1,nASIG,"Armonía"),"")))</f>
        <v/>
      </c>
      <c r="O589" t="str">
        <f>IF(M589="","",IF(M589="[FÓRMULA MANUAL]","",IFERROR(AVERAGEIFS(nNOTA,nNIA,M589,nCUENTA,1,nASIG,"Orquesta/Banda/Conjunto"),"")))</f>
        <v/>
      </c>
      <c r="P589" t="str">
        <f>IF(M589="","",IF(M589="[FÓRMULA MANUAL]","",IFERROR(AVERAGEIFS(nNOTA,nNIA,M589,nCUENTA,1,nASIG,"Música de Cámara"),"")))</f>
        <v/>
      </c>
      <c r="Q589" t="str">
        <f>IF(M589="","",IF(M589="[FÓRMULA MANUAL]","",IFERROR(SUMPRODUCT((nNIA=M589)*(nCUENTA=1)*(COUNTIF(CONFIG_ASIGNATURAS!$B$7:$B$27,nASIG)&gt;0)*(nNOTA))/SUMPRODUCT((nNIA=M589)*(nCUENTA=1)*(COUNTIF(CONFIG_ASIGNATURAS!$B$7:$B$27,nASIG)&gt;0)*1),"")))</f>
        <v/>
      </c>
      <c r="T589" t="str">
        <f>IF(S589="","",IF(S589="[FÓRMULA MANUAL]","",IFERROR(AVERAGEIFS(nNOTA,nNIA,S589,nCUENTA,1,nASIG,"Armonía"),"")))</f>
        <v/>
      </c>
      <c r="U589" t="str">
        <f>IF(S589="","",IF(S589="[FÓRMULA MANUAL]","",IFERROR(AVERAGEIFS(nNOTA,nNIA,S589,nCUENTA,1,nASIG,"Orquesta/Banda/Conjunto"),"")))</f>
        <v/>
      </c>
      <c r="V589" t="str">
        <f>IF(S589="","",IF(S589="[FÓRMULA MANUAL]","",IFERROR(AVERAGEIFS(nNOTA,nNIA,S589,nCUENTA,1,nASIG,"Música de Cámara"),"")))</f>
        <v/>
      </c>
      <c r="W589" t="str">
        <f>IF(S589="","",IF(S589="[FÓRMULA MANUAL]","",IFERROR(SUMPRODUCT((nNIA=S589)*(nCUENTA=1)*(COUNTIF(CONFIG_ASIGNATURAS!$B$7:$B$27,nASIG)&gt;0)*(nNOTA))/SUMPRODUCT((nNIA=S589)*(nCUENTA=1)*(COUNTIF(CONFIG_ASIGNATURAS!$B$7:$B$27,nASIG)&gt;0)*1),"")))</f>
        <v/>
      </c>
      <c r="Z589" t="str">
        <f>IF(Y589="","",IF(Y589="[FÓRMULA MANUAL]","",IFERROR(AVERAGEIFS(nNOTA,nNIA,Y589,nCUENTA,1,nASIG,"Análisis"),"")))</f>
        <v/>
      </c>
      <c r="AA589" t="str">
        <f>IF(Y589="","",IF(Y589="[FÓRMULA MANUAL]","",IFERROR(AVERAGEIFS(nNOTA,nNIA,Y589,nCUENTA,1,nASIG,"Orquesta/Banda/Conjunto"),"")))</f>
        <v/>
      </c>
      <c r="AB589" t="str">
        <f>IF(Y589="","",IF(Y589="[FÓRMULA MANUAL]","",IFERROR(AVERAGEIFS(nNOTA,nNIA,Y589,nCUENTA,1,nASIG,"Música de Cámara"),"")))</f>
        <v/>
      </c>
      <c r="AC589" t="str">
        <f>IF(Y589="","",IF(Y589="[FÓRMULA MANUAL]","",IFERROR(SUMPRODUCT((nNIA=Y589)*(nCUENTA=1)*(COUNTIF(CONFIG_ASIGNATURAS!$B$7:$B$27,nASIG)&gt;0)*(nNOTA))/SUMPRODUCT((nNIA=Y589)*(nCUENTA=1)*(COUNTIF(CONFIG_ASIGNATURAS!$B$7:$B$27,nASIG)&gt;0)*1),"")))</f>
        <v/>
      </c>
      <c r="AF589" t="str">
        <f>IF(AE589="","",IF(AE589="[FÓRMULA MANUAL]","",IFERROR(AVERAGEIFS(nNOTA,nNIA,AE589,nCUENTA,1,nASIG,"Análisis"),"")))</f>
        <v/>
      </c>
      <c r="AG589" t="str">
        <f>IF(AE589="","",IF(AE589="[FÓRMULA MANUAL]","",IFERROR(AVERAGEIFS(nNOTA,nNIA,AE589,nCUENTA,1,nASIG,"Orquesta/Banda/Conjunto"),"")))</f>
        <v/>
      </c>
      <c r="AH589" t="str">
        <f>IF(AE589="","",IF(AE589="[FÓRMULA MANUAL]","",IFERROR(AVERAGEIFS(nNOTA,nNIA,AE589,nCUENTA,1,nASIG,"Música de Cámara"),"")))</f>
        <v/>
      </c>
      <c r="AI589" t="str">
        <f>IF(AE589="","",IF(AE589="[FÓRMULA MANUAL]","",IFERROR(SUMPRODUCT((nNIA=AE589)*(nCUENTA=1)*(COUNTIF(CONFIG_ASIGNATURAS!$B$7:$B$27,nASIG)&gt;0)*(nNOTA))/SUMPRODUCT((nNIA=AE589)*(nCUENTA=1)*(COUNTIF(CONFIG_ASIGNATURAS!$B$7:$B$27,nASIG)&gt;0)*1),"")))</f>
        <v/>
      </c>
    </row>
    <row r="590" spans="2:35" x14ac:dyDescent="0.2">
      <c r="B590" t="str">
        <f>IF(A590="","",IF(A590="[FÓRMULA MANUAL]","",IFERROR(AVERAGEIFS(nNOTA,nNIA,A590,nCUENTA,1,nASIG,"Lenguaje Musical"),"")))</f>
        <v/>
      </c>
      <c r="C590" t="str">
        <f>IF(A590="","",IF(A590="[FÓRMULA MANUAL]","",IFERROR(AVERAGEIFS(nNOTA,nNIA,A590,nCUENTA,1,nASIG,"Orquesta/Banda/Conjunto"),"")))</f>
        <v/>
      </c>
      <c r="D590" t="str">
        <f>IF(A590="","",IF(A590="[FÓRMULA MANUAL]","",IFERROR(AVERAGEIFS(nNOTA,nNIA,A590,nCUENTA,1,nASIG,"Conjunto"),"")))</f>
        <v/>
      </c>
      <c r="E590" t="str">
        <f>IF(A590="","",IF(A590="[FÓRMULA MANUAL]","",IFERROR(SUMPRODUCT((nNIA=A590)*(nCUENTA=1)*(COUNTIF(CONFIG_ASIGNATURAS!$B$7:$B$27,nASIG)&gt;0)*(nNOTA))/SUMPRODUCT((nNIA=A590)*(nCUENTA=1)*(COUNTIF(CONFIG_ASIGNATURAS!$B$7:$B$27,nASIG)&gt;0)*1),"")))</f>
        <v/>
      </c>
      <c r="H590" t="str">
        <f>IF(G590="","",IF(G590="[FÓRMULA MANUAL]","",IFERROR(AVERAGEIFS(nNOTA,nNIA,G590,nCUENTA,1,nASIG,"Lenguaje Musical"),"")))</f>
        <v/>
      </c>
      <c r="I590" t="str">
        <f>IF(G590="","",IF(G590="[FÓRMULA MANUAL]","",IFERROR(AVERAGEIFS(nNOTA,nNIA,G590,nCUENTA,1,nASIG,"Orquesta/Banda/Conjunto"),"")))</f>
        <v/>
      </c>
      <c r="J590" t="str">
        <f>IF(G590="","",IF(G590="[FÓRMULA MANUAL]","",IFERROR(AVERAGEIFS(nNOTA,nNIA,G590,nCUENTA,1,nASIG,"Conjunto"),"")))</f>
        <v/>
      </c>
      <c r="K590" t="str">
        <f>IF(G590="","",IF(G590="[FÓRMULA MANUAL]","",IFERROR(SUMPRODUCT((nNIA=G590)*(nCUENTA=1)*(COUNTIF(CONFIG_ASIGNATURAS!$B$7:$B$27,nASIG)&gt;0)*(nNOTA))/SUMPRODUCT((nNIA=G590)*(nCUENTA=1)*(COUNTIF(CONFIG_ASIGNATURAS!$B$7:$B$27,nASIG)&gt;0)*1),"")))</f>
        <v/>
      </c>
      <c r="N590" t="str">
        <f>IF(M590="","",IF(M590="[FÓRMULA MANUAL]","",IFERROR(AVERAGEIFS(nNOTA,nNIA,M590,nCUENTA,1,nASIG,"Armonía"),"")))</f>
        <v/>
      </c>
      <c r="O590" t="str">
        <f>IF(M590="","",IF(M590="[FÓRMULA MANUAL]","",IFERROR(AVERAGEIFS(nNOTA,nNIA,M590,nCUENTA,1,nASIG,"Orquesta/Banda/Conjunto"),"")))</f>
        <v/>
      </c>
      <c r="P590" t="str">
        <f>IF(M590="","",IF(M590="[FÓRMULA MANUAL]","",IFERROR(AVERAGEIFS(nNOTA,nNIA,M590,nCUENTA,1,nASIG,"Música de Cámara"),"")))</f>
        <v/>
      </c>
      <c r="Q590" t="str">
        <f>IF(M590="","",IF(M590="[FÓRMULA MANUAL]","",IFERROR(SUMPRODUCT((nNIA=M590)*(nCUENTA=1)*(COUNTIF(CONFIG_ASIGNATURAS!$B$7:$B$27,nASIG)&gt;0)*(nNOTA))/SUMPRODUCT((nNIA=M590)*(nCUENTA=1)*(COUNTIF(CONFIG_ASIGNATURAS!$B$7:$B$27,nASIG)&gt;0)*1),"")))</f>
        <v/>
      </c>
      <c r="T590" t="str">
        <f>IF(S590="","",IF(S590="[FÓRMULA MANUAL]","",IFERROR(AVERAGEIFS(nNOTA,nNIA,S590,nCUENTA,1,nASIG,"Armonía"),"")))</f>
        <v/>
      </c>
      <c r="U590" t="str">
        <f>IF(S590="","",IF(S590="[FÓRMULA MANUAL]","",IFERROR(AVERAGEIFS(nNOTA,nNIA,S590,nCUENTA,1,nASIG,"Orquesta/Banda/Conjunto"),"")))</f>
        <v/>
      </c>
      <c r="V590" t="str">
        <f>IF(S590="","",IF(S590="[FÓRMULA MANUAL]","",IFERROR(AVERAGEIFS(nNOTA,nNIA,S590,nCUENTA,1,nASIG,"Música de Cámara"),"")))</f>
        <v/>
      </c>
      <c r="W590" t="str">
        <f>IF(S590="","",IF(S590="[FÓRMULA MANUAL]","",IFERROR(SUMPRODUCT((nNIA=S590)*(nCUENTA=1)*(COUNTIF(CONFIG_ASIGNATURAS!$B$7:$B$27,nASIG)&gt;0)*(nNOTA))/SUMPRODUCT((nNIA=S590)*(nCUENTA=1)*(COUNTIF(CONFIG_ASIGNATURAS!$B$7:$B$27,nASIG)&gt;0)*1),"")))</f>
        <v/>
      </c>
      <c r="Z590" t="str">
        <f>IF(Y590="","",IF(Y590="[FÓRMULA MANUAL]","",IFERROR(AVERAGEIFS(nNOTA,nNIA,Y590,nCUENTA,1,nASIG,"Análisis"),"")))</f>
        <v/>
      </c>
      <c r="AA590" t="str">
        <f>IF(Y590="","",IF(Y590="[FÓRMULA MANUAL]","",IFERROR(AVERAGEIFS(nNOTA,nNIA,Y590,nCUENTA,1,nASIG,"Orquesta/Banda/Conjunto"),"")))</f>
        <v/>
      </c>
      <c r="AB590" t="str">
        <f>IF(Y590="","",IF(Y590="[FÓRMULA MANUAL]","",IFERROR(AVERAGEIFS(nNOTA,nNIA,Y590,nCUENTA,1,nASIG,"Música de Cámara"),"")))</f>
        <v/>
      </c>
      <c r="AC590" t="str">
        <f>IF(Y590="","",IF(Y590="[FÓRMULA MANUAL]","",IFERROR(SUMPRODUCT((nNIA=Y590)*(nCUENTA=1)*(COUNTIF(CONFIG_ASIGNATURAS!$B$7:$B$27,nASIG)&gt;0)*(nNOTA))/SUMPRODUCT((nNIA=Y590)*(nCUENTA=1)*(COUNTIF(CONFIG_ASIGNATURAS!$B$7:$B$27,nASIG)&gt;0)*1),"")))</f>
        <v/>
      </c>
      <c r="AF590" t="str">
        <f>IF(AE590="","",IF(AE590="[FÓRMULA MANUAL]","",IFERROR(AVERAGEIFS(nNOTA,nNIA,AE590,nCUENTA,1,nASIG,"Análisis"),"")))</f>
        <v/>
      </c>
      <c r="AG590" t="str">
        <f>IF(AE590="","",IF(AE590="[FÓRMULA MANUAL]","",IFERROR(AVERAGEIFS(nNOTA,nNIA,AE590,nCUENTA,1,nASIG,"Orquesta/Banda/Conjunto"),"")))</f>
        <v/>
      </c>
      <c r="AH590" t="str">
        <f>IF(AE590="","",IF(AE590="[FÓRMULA MANUAL]","",IFERROR(AVERAGEIFS(nNOTA,nNIA,AE590,nCUENTA,1,nASIG,"Música de Cámara"),"")))</f>
        <v/>
      </c>
      <c r="AI590" t="str">
        <f>IF(AE590="","",IF(AE590="[FÓRMULA MANUAL]","",IFERROR(SUMPRODUCT((nNIA=AE590)*(nCUENTA=1)*(COUNTIF(CONFIG_ASIGNATURAS!$B$7:$B$27,nASIG)&gt;0)*(nNOTA))/SUMPRODUCT((nNIA=AE590)*(nCUENTA=1)*(COUNTIF(CONFIG_ASIGNATURAS!$B$7:$B$27,nASIG)&gt;0)*1),"")))</f>
        <v/>
      </c>
    </row>
    <row r="591" spans="2:35" x14ac:dyDescent="0.2">
      <c r="B591" t="str">
        <f>IF(A591="","",IF(A591="[FÓRMULA MANUAL]","",IFERROR(AVERAGEIFS(nNOTA,nNIA,A591,nCUENTA,1,nASIG,"Lenguaje Musical"),"")))</f>
        <v/>
      </c>
      <c r="C591" t="str">
        <f>IF(A591="","",IF(A591="[FÓRMULA MANUAL]","",IFERROR(AVERAGEIFS(nNOTA,nNIA,A591,nCUENTA,1,nASIG,"Orquesta/Banda/Conjunto"),"")))</f>
        <v/>
      </c>
      <c r="D591" t="str">
        <f>IF(A591="","",IF(A591="[FÓRMULA MANUAL]","",IFERROR(AVERAGEIFS(nNOTA,nNIA,A591,nCUENTA,1,nASIG,"Conjunto"),"")))</f>
        <v/>
      </c>
      <c r="E591" t="str">
        <f>IF(A591="","",IF(A591="[FÓRMULA MANUAL]","",IFERROR(SUMPRODUCT((nNIA=A591)*(nCUENTA=1)*(COUNTIF(CONFIG_ASIGNATURAS!$B$7:$B$27,nASIG)&gt;0)*(nNOTA))/SUMPRODUCT((nNIA=A591)*(nCUENTA=1)*(COUNTIF(CONFIG_ASIGNATURAS!$B$7:$B$27,nASIG)&gt;0)*1),"")))</f>
        <v/>
      </c>
      <c r="H591" t="str">
        <f>IF(G591="","",IF(G591="[FÓRMULA MANUAL]","",IFERROR(AVERAGEIFS(nNOTA,nNIA,G591,nCUENTA,1,nASIG,"Lenguaje Musical"),"")))</f>
        <v/>
      </c>
      <c r="I591" t="str">
        <f>IF(G591="","",IF(G591="[FÓRMULA MANUAL]","",IFERROR(AVERAGEIFS(nNOTA,nNIA,G591,nCUENTA,1,nASIG,"Orquesta/Banda/Conjunto"),"")))</f>
        <v/>
      </c>
      <c r="J591" t="str">
        <f>IF(G591="","",IF(G591="[FÓRMULA MANUAL]","",IFERROR(AVERAGEIFS(nNOTA,nNIA,G591,nCUENTA,1,nASIG,"Conjunto"),"")))</f>
        <v/>
      </c>
      <c r="K591" t="str">
        <f>IF(G591="","",IF(G591="[FÓRMULA MANUAL]","",IFERROR(SUMPRODUCT((nNIA=G591)*(nCUENTA=1)*(COUNTIF(CONFIG_ASIGNATURAS!$B$7:$B$27,nASIG)&gt;0)*(nNOTA))/SUMPRODUCT((nNIA=G591)*(nCUENTA=1)*(COUNTIF(CONFIG_ASIGNATURAS!$B$7:$B$27,nASIG)&gt;0)*1),"")))</f>
        <v/>
      </c>
      <c r="N591" t="str">
        <f>IF(M591="","",IF(M591="[FÓRMULA MANUAL]","",IFERROR(AVERAGEIFS(nNOTA,nNIA,M591,nCUENTA,1,nASIG,"Armonía"),"")))</f>
        <v/>
      </c>
      <c r="O591" t="str">
        <f>IF(M591="","",IF(M591="[FÓRMULA MANUAL]","",IFERROR(AVERAGEIFS(nNOTA,nNIA,M591,nCUENTA,1,nASIG,"Orquesta/Banda/Conjunto"),"")))</f>
        <v/>
      </c>
      <c r="P591" t="str">
        <f>IF(M591="","",IF(M591="[FÓRMULA MANUAL]","",IFERROR(AVERAGEIFS(nNOTA,nNIA,M591,nCUENTA,1,nASIG,"Música de Cámara"),"")))</f>
        <v/>
      </c>
      <c r="Q591" t="str">
        <f>IF(M591="","",IF(M591="[FÓRMULA MANUAL]","",IFERROR(SUMPRODUCT((nNIA=M591)*(nCUENTA=1)*(COUNTIF(CONFIG_ASIGNATURAS!$B$7:$B$27,nASIG)&gt;0)*(nNOTA))/SUMPRODUCT((nNIA=M591)*(nCUENTA=1)*(COUNTIF(CONFIG_ASIGNATURAS!$B$7:$B$27,nASIG)&gt;0)*1),"")))</f>
        <v/>
      </c>
      <c r="T591" t="str">
        <f>IF(S591="","",IF(S591="[FÓRMULA MANUAL]","",IFERROR(AVERAGEIFS(nNOTA,nNIA,S591,nCUENTA,1,nASIG,"Armonía"),"")))</f>
        <v/>
      </c>
      <c r="U591" t="str">
        <f>IF(S591="","",IF(S591="[FÓRMULA MANUAL]","",IFERROR(AVERAGEIFS(nNOTA,nNIA,S591,nCUENTA,1,nASIG,"Orquesta/Banda/Conjunto"),"")))</f>
        <v/>
      </c>
      <c r="V591" t="str">
        <f>IF(S591="","",IF(S591="[FÓRMULA MANUAL]","",IFERROR(AVERAGEIFS(nNOTA,nNIA,S591,nCUENTA,1,nASIG,"Música de Cámara"),"")))</f>
        <v/>
      </c>
      <c r="W591" t="str">
        <f>IF(S591="","",IF(S591="[FÓRMULA MANUAL]","",IFERROR(SUMPRODUCT((nNIA=S591)*(nCUENTA=1)*(COUNTIF(CONFIG_ASIGNATURAS!$B$7:$B$27,nASIG)&gt;0)*(nNOTA))/SUMPRODUCT((nNIA=S591)*(nCUENTA=1)*(COUNTIF(CONFIG_ASIGNATURAS!$B$7:$B$27,nASIG)&gt;0)*1),"")))</f>
        <v/>
      </c>
      <c r="Z591" t="str">
        <f>IF(Y591="","",IF(Y591="[FÓRMULA MANUAL]","",IFERROR(AVERAGEIFS(nNOTA,nNIA,Y591,nCUENTA,1,nASIG,"Análisis"),"")))</f>
        <v/>
      </c>
      <c r="AA591" t="str">
        <f>IF(Y591="","",IF(Y591="[FÓRMULA MANUAL]","",IFERROR(AVERAGEIFS(nNOTA,nNIA,Y591,nCUENTA,1,nASIG,"Orquesta/Banda/Conjunto"),"")))</f>
        <v/>
      </c>
      <c r="AB591" t="str">
        <f>IF(Y591="","",IF(Y591="[FÓRMULA MANUAL]","",IFERROR(AVERAGEIFS(nNOTA,nNIA,Y591,nCUENTA,1,nASIG,"Música de Cámara"),"")))</f>
        <v/>
      </c>
      <c r="AC591" t="str">
        <f>IF(Y591="","",IF(Y591="[FÓRMULA MANUAL]","",IFERROR(SUMPRODUCT((nNIA=Y591)*(nCUENTA=1)*(COUNTIF(CONFIG_ASIGNATURAS!$B$7:$B$27,nASIG)&gt;0)*(nNOTA))/SUMPRODUCT((nNIA=Y591)*(nCUENTA=1)*(COUNTIF(CONFIG_ASIGNATURAS!$B$7:$B$27,nASIG)&gt;0)*1),"")))</f>
        <v/>
      </c>
      <c r="AF591" t="str">
        <f>IF(AE591="","",IF(AE591="[FÓRMULA MANUAL]","",IFERROR(AVERAGEIFS(nNOTA,nNIA,AE591,nCUENTA,1,nASIG,"Análisis"),"")))</f>
        <v/>
      </c>
      <c r="AG591" t="str">
        <f>IF(AE591="","",IF(AE591="[FÓRMULA MANUAL]","",IFERROR(AVERAGEIFS(nNOTA,nNIA,AE591,nCUENTA,1,nASIG,"Orquesta/Banda/Conjunto"),"")))</f>
        <v/>
      </c>
      <c r="AH591" t="str">
        <f>IF(AE591="","",IF(AE591="[FÓRMULA MANUAL]","",IFERROR(AVERAGEIFS(nNOTA,nNIA,AE591,nCUENTA,1,nASIG,"Música de Cámara"),"")))</f>
        <v/>
      </c>
      <c r="AI591" t="str">
        <f>IF(AE591="","",IF(AE591="[FÓRMULA MANUAL]","",IFERROR(SUMPRODUCT((nNIA=AE591)*(nCUENTA=1)*(COUNTIF(CONFIG_ASIGNATURAS!$B$7:$B$27,nASIG)&gt;0)*(nNOTA))/SUMPRODUCT((nNIA=AE591)*(nCUENTA=1)*(COUNTIF(CONFIG_ASIGNATURAS!$B$7:$B$27,nASIG)&gt;0)*1),"")))</f>
        <v/>
      </c>
    </row>
    <row r="592" spans="2:35" x14ac:dyDescent="0.2">
      <c r="B592" t="str">
        <f>IF(A592="","",IF(A592="[FÓRMULA MANUAL]","",IFERROR(AVERAGEIFS(nNOTA,nNIA,A592,nCUENTA,1,nASIG,"Lenguaje Musical"),"")))</f>
        <v/>
      </c>
      <c r="C592" t="str">
        <f>IF(A592="","",IF(A592="[FÓRMULA MANUAL]","",IFERROR(AVERAGEIFS(nNOTA,nNIA,A592,nCUENTA,1,nASIG,"Orquesta/Banda/Conjunto"),"")))</f>
        <v/>
      </c>
      <c r="D592" t="str">
        <f>IF(A592="","",IF(A592="[FÓRMULA MANUAL]","",IFERROR(AVERAGEIFS(nNOTA,nNIA,A592,nCUENTA,1,nASIG,"Conjunto"),"")))</f>
        <v/>
      </c>
      <c r="E592" t="str">
        <f>IF(A592="","",IF(A592="[FÓRMULA MANUAL]","",IFERROR(SUMPRODUCT((nNIA=A592)*(nCUENTA=1)*(COUNTIF(CONFIG_ASIGNATURAS!$B$7:$B$27,nASIG)&gt;0)*(nNOTA))/SUMPRODUCT((nNIA=A592)*(nCUENTA=1)*(COUNTIF(CONFIG_ASIGNATURAS!$B$7:$B$27,nASIG)&gt;0)*1),"")))</f>
        <v/>
      </c>
      <c r="H592" t="str">
        <f>IF(G592="","",IF(G592="[FÓRMULA MANUAL]","",IFERROR(AVERAGEIFS(nNOTA,nNIA,G592,nCUENTA,1,nASIG,"Lenguaje Musical"),"")))</f>
        <v/>
      </c>
      <c r="I592" t="str">
        <f>IF(G592="","",IF(G592="[FÓRMULA MANUAL]","",IFERROR(AVERAGEIFS(nNOTA,nNIA,G592,nCUENTA,1,nASIG,"Orquesta/Banda/Conjunto"),"")))</f>
        <v/>
      </c>
      <c r="J592" t="str">
        <f>IF(G592="","",IF(G592="[FÓRMULA MANUAL]","",IFERROR(AVERAGEIFS(nNOTA,nNIA,G592,nCUENTA,1,nASIG,"Conjunto"),"")))</f>
        <v/>
      </c>
      <c r="K592" t="str">
        <f>IF(G592="","",IF(G592="[FÓRMULA MANUAL]","",IFERROR(SUMPRODUCT((nNIA=G592)*(nCUENTA=1)*(COUNTIF(CONFIG_ASIGNATURAS!$B$7:$B$27,nASIG)&gt;0)*(nNOTA))/SUMPRODUCT((nNIA=G592)*(nCUENTA=1)*(COUNTIF(CONFIG_ASIGNATURAS!$B$7:$B$27,nASIG)&gt;0)*1),"")))</f>
        <v/>
      </c>
      <c r="N592" t="str">
        <f>IF(M592="","",IF(M592="[FÓRMULA MANUAL]","",IFERROR(AVERAGEIFS(nNOTA,nNIA,M592,nCUENTA,1,nASIG,"Armonía"),"")))</f>
        <v/>
      </c>
      <c r="O592" t="str">
        <f>IF(M592="","",IF(M592="[FÓRMULA MANUAL]","",IFERROR(AVERAGEIFS(nNOTA,nNIA,M592,nCUENTA,1,nASIG,"Orquesta/Banda/Conjunto"),"")))</f>
        <v/>
      </c>
      <c r="P592" t="str">
        <f>IF(M592="","",IF(M592="[FÓRMULA MANUAL]","",IFERROR(AVERAGEIFS(nNOTA,nNIA,M592,nCUENTA,1,nASIG,"Música de Cámara"),"")))</f>
        <v/>
      </c>
      <c r="Q592" t="str">
        <f>IF(M592="","",IF(M592="[FÓRMULA MANUAL]","",IFERROR(SUMPRODUCT((nNIA=M592)*(nCUENTA=1)*(COUNTIF(CONFIG_ASIGNATURAS!$B$7:$B$27,nASIG)&gt;0)*(nNOTA))/SUMPRODUCT((nNIA=M592)*(nCUENTA=1)*(COUNTIF(CONFIG_ASIGNATURAS!$B$7:$B$27,nASIG)&gt;0)*1),"")))</f>
        <v/>
      </c>
      <c r="T592" t="str">
        <f>IF(S592="","",IF(S592="[FÓRMULA MANUAL]","",IFERROR(AVERAGEIFS(nNOTA,nNIA,S592,nCUENTA,1,nASIG,"Armonía"),"")))</f>
        <v/>
      </c>
      <c r="U592" t="str">
        <f>IF(S592="","",IF(S592="[FÓRMULA MANUAL]","",IFERROR(AVERAGEIFS(nNOTA,nNIA,S592,nCUENTA,1,nASIG,"Orquesta/Banda/Conjunto"),"")))</f>
        <v/>
      </c>
      <c r="V592" t="str">
        <f>IF(S592="","",IF(S592="[FÓRMULA MANUAL]","",IFERROR(AVERAGEIFS(nNOTA,nNIA,S592,nCUENTA,1,nASIG,"Música de Cámara"),"")))</f>
        <v/>
      </c>
      <c r="W592" t="str">
        <f>IF(S592="","",IF(S592="[FÓRMULA MANUAL]","",IFERROR(SUMPRODUCT((nNIA=S592)*(nCUENTA=1)*(COUNTIF(CONFIG_ASIGNATURAS!$B$7:$B$27,nASIG)&gt;0)*(nNOTA))/SUMPRODUCT((nNIA=S592)*(nCUENTA=1)*(COUNTIF(CONFIG_ASIGNATURAS!$B$7:$B$27,nASIG)&gt;0)*1),"")))</f>
        <v/>
      </c>
      <c r="Z592" t="str">
        <f>IF(Y592="","",IF(Y592="[FÓRMULA MANUAL]","",IFERROR(AVERAGEIFS(nNOTA,nNIA,Y592,nCUENTA,1,nASIG,"Análisis"),"")))</f>
        <v/>
      </c>
      <c r="AA592" t="str">
        <f>IF(Y592="","",IF(Y592="[FÓRMULA MANUAL]","",IFERROR(AVERAGEIFS(nNOTA,nNIA,Y592,nCUENTA,1,nASIG,"Orquesta/Banda/Conjunto"),"")))</f>
        <v/>
      </c>
      <c r="AB592" t="str">
        <f>IF(Y592="","",IF(Y592="[FÓRMULA MANUAL]","",IFERROR(AVERAGEIFS(nNOTA,nNIA,Y592,nCUENTA,1,nASIG,"Música de Cámara"),"")))</f>
        <v/>
      </c>
      <c r="AC592" t="str">
        <f>IF(Y592="","",IF(Y592="[FÓRMULA MANUAL]","",IFERROR(SUMPRODUCT((nNIA=Y592)*(nCUENTA=1)*(COUNTIF(CONFIG_ASIGNATURAS!$B$7:$B$27,nASIG)&gt;0)*(nNOTA))/SUMPRODUCT((nNIA=Y592)*(nCUENTA=1)*(COUNTIF(CONFIG_ASIGNATURAS!$B$7:$B$27,nASIG)&gt;0)*1),"")))</f>
        <v/>
      </c>
      <c r="AF592" t="str">
        <f>IF(AE592="","",IF(AE592="[FÓRMULA MANUAL]","",IFERROR(AVERAGEIFS(nNOTA,nNIA,AE592,nCUENTA,1,nASIG,"Análisis"),"")))</f>
        <v/>
      </c>
      <c r="AG592" t="str">
        <f>IF(AE592="","",IF(AE592="[FÓRMULA MANUAL]","",IFERROR(AVERAGEIFS(nNOTA,nNIA,AE592,nCUENTA,1,nASIG,"Orquesta/Banda/Conjunto"),"")))</f>
        <v/>
      </c>
      <c r="AH592" t="str">
        <f>IF(AE592="","",IF(AE592="[FÓRMULA MANUAL]","",IFERROR(AVERAGEIFS(nNOTA,nNIA,AE592,nCUENTA,1,nASIG,"Música de Cámara"),"")))</f>
        <v/>
      </c>
      <c r="AI592" t="str">
        <f>IF(AE592="","",IF(AE592="[FÓRMULA MANUAL]","",IFERROR(SUMPRODUCT((nNIA=AE592)*(nCUENTA=1)*(COUNTIF(CONFIG_ASIGNATURAS!$B$7:$B$27,nASIG)&gt;0)*(nNOTA))/SUMPRODUCT((nNIA=AE592)*(nCUENTA=1)*(COUNTIF(CONFIG_ASIGNATURAS!$B$7:$B$27,nASIG)&gt;0)*1),"")))</f>
        <v/>
      </c>
    </row>
    <row r="593" spans="2:35" x14ac:dyDescent="0.2">
      <c r="B593" t="str">
        <f>IF(A593="","",IF(A593="[FÓRMULA MANUAL]","",IFERROR(AVERAGEIFS(nNOTA,nNIA,A593,nCUENTA,1,nASIG,"Lenguaje Musical"),"")))</f>
        <v/>
      </c>
      <c r="C593" t="str">
        <f>IF(A593="","",IF(A593="[FÓRMULA MANUAL]","",IFERROR(AVERAGEIFS(nNOTA,nNIA,A593,nCUENTA,1,nASIG,"Orquesta/Banda/Conjunto"),"")))</f>
        <v/>
      </c>
      <c r="D593" t="str">
        <f>IF(A593="","",IF(A593="[FÓRMULA MANUAL]","",IFERROR(AVERAGEIFS(nNOTA,nNIA,A593,nCUENTA,1,nASIG,"Conjunto"),"")))</f>
        <v/>
      </c>
      <c r="E593" t="str">
        <f>IF(A593="","",IF(A593="[FÓRMULA MANUAL]","",IFERROR(SUMPRODUCT((nNIA=A593)*(nCUENTA=1)*(COUNTIF(CONFIG_ASIGNATURAS!$B$7:$B$27,nASIG)&gt;0)*(nNOTA))/SUMPRODUCT((nNIA=A593)*(nCUENTA=1)*(COUNTIF(CONFIG_ASIGNATURAS!$B$7:$B$27,nASIG)&gt;0)*1),"")))</f>
        <v/>
      </c>
      <c r="H593" t="str">
        <f>IF(G593="","",IF(G593="[FÓRMULA MANUAL]","",IFERROR(AVERAGEIFS(nNOTA,nNIA,G593,nCUENTA,1,nASIG,"Lenguaje Musical"),"")))</f>
        <v/>
      </c>
      <c r="I593" t="str">
        <f>IF(G593="","",IF(G593="[FÓRMULA MANUAL]","",IFERROR(AVERAGEIFS(nNOTA,nNIA,G593,nCUENTA,1,nASIG,"Orquesta/Banda/Conjunto"),"")))</f>
        <v/>
      </c>
      <c r="J593" t="str">
        <f>IF(G593="","",IF(G593="[FÓRMULA MANUAL]","",IFERROR(AVERAGEIFS(nNOTA,nNIA,G593,nCUENTA,1,nASIG,"Conjunto"),"")))</f>
        <v/>
      </c>
      <c r="K593" t="str">
        <f>IF(G593="","",IF(G593="[FÓRMULA MANUAL]","",IFERROR(SUMPRODUCT((nNIA=G593)*(nCUENTA=1)*(COUNTIF(CONFIG_ASIGNATURAS!$B$7:$B$27,nASIG)&gt;0)*(nNOTA))/SUMPRODUCT((nNIA=G593)*(nCUENTA=1)*(COUNTIF(CONFIG_ASIGNATURAS!$B$7:$B$27,nASIG)&gt;0)*1),"")))</f>
        <v/>
      </c>
      <c r="N593" t="str">
        <f>IF(M593="","",IF(M593="[FÓRMULA MANUAL]","",IFERROR(AVERAGEIFS(nNOTA,nNIA,M593,nCUENTA,1,nASIG,"Armonía"),"")))</f>
        <v/>
      </c>
      <c r="O593" t="str">
        <f>IF(M593="","",IF(M593="[FÓRMULA MANUAL]","",IFERROR(AVERAGEIFS(nNOTA,nNIA,M593,nCUENTA,1,nASIG,"Orquesta/Banda/Conjunto"),"")))</f>
        <v/>
      </c>
      <c r="P593" t="str">
        <f>IF(M593="","",IF(M593="[FÓRMULA MANUAL]","",IFERROR(AVERAGEIFS(nNOTA,nNIA,M593,nCUENTA,1,nASIG,"Música de Cámara"),"")))</f>
        <v/>
      </c>
      <c r="Q593" t="str">
        <f>IF(M593="","",IF(M593="[FÓRMULA MANUAL]","",IFERROR(SUMPRODUCT((nNIA=M593)*(nCUENTA=1)*(COUNTIF(CONFIG_ASIGNATURAS!$B$7:$B$27,nASIG)&gt;0)*(nNOTA))/SUMPRODUCT((nNIA=M593)*(nCUENTA=1)*(COUNTIF(CONFIG_ASIGNATURAS!$B$7:$B$27,nASIG)&gt;0)*1),"")))</f>
        <v/>
      </c>
      <c r="T593" t="str">
        <f>IF(S593="","",IF(S593="[FÓRMULA MANUAL]","",IFERROR(AVERAGEIFS(nNOTA,nNIA,S593,nCUENTA,1,nASIG,"Armonía"),"")))</f>
        <v/>
      </c>
      <c r="U593" t="str">
        <f>IF(S593="","",IF(S593="[FÓRMULA MANUAL]","",IFERROR(AVERAGEIFS(nNOTA,nNIA,S593,nCUENTA,1,nASIG,"Orquesta/Banda/Conjunto"),"")))</f>
        <v/>
      </c>
      <c r="V593" t="str">
        <f>IF(S593="","",IF(S593="[FÓRMULA MANUAL]","",IFERROR(AVERAGEIFS(nNOTA,nNIA,S593,nCUENTA,1,nASIG,"Música de Cámara"),"")))</f>
        <v/>
      </c>
      <c r="W593" t="str">
        <f>IF(S593="","",IF(S593="[FÓRMULA MANUAL]","",IFERROR(SUMPRODUCT((nNIA=S593)*(nCUENTA=1)*(COUNTIF(CONFIG_ASIGNATURAS!$B$7:$B$27,nASIG)&gt;0)*(nNOTA))/SUMPRODUCT((nNIA=S593)*(nCUENTA=1)*(COUNTIF(CONFIG_ASIGNATURAS!$B$7:$B$27,nASIG)&gt;0)*1),"")))</f>
        <v/>
      </c>
      <c r="Z593" t="str">
        <f>IF(Y593="","",IF(Y593="[FÓRMULA MANUAL]","",IFERROR(AVERAGEIFS(nNOTA,nNIA,Y593,nCUENTA,1,nASIG,"Análisis"),"")))</f>
        <v/>
      </c>
      <c r="AA593" t="str">
        <f>IF(Y593="","",IF(Y593="[FÓRMULA MANUAL]","",IFERROR(AVERAGEIFS(nNOTA,nNIA,Y593,nCUENTA,1,nASIG,"Orquesta/Banda/Conjunto"),"")))</f>
        <v/>
      </c>
      <c r="AB593" t="str">
        <f>IF(Y593="","",IF(Y593="[FÓRMULA MANUAL]","",IFERROR(AVERAGEIFS(nNOTA,nNIA,Y593,nCUENTA,1,nASIG,"Música de Cámara"),"")))</f>
        <v/>
      </c>
      <c r="AC593" t="str">
        <f>IF(Y593="","",IF(Y593="[FÓRMULA MANUAL]","",IFERROR(SUMPRODUCT((nNIA=Y593)*(nCUENTA=1)*(COUNTIF(CONFIG_ASIGNATURAS!$B$7:$B$27,nASIG)&gt;0)*(nNOTA))/SUMPRODUCT((nNIA=Y593)*(nCUENTA=1)*(COUNTIF(CONFIG_ASIGNATURAS!$B$7:$B$27,nASIG)&gt;0)*1),"")))</f>
        <v/>
      </c>
      <c r="AF593" t="str">
        <f>IF(AE593="","",IF(AE593="[FÓRMULA MANUAL]","",IFERROR(AVERAGEIFS(nNOTA,nNIA,AE593,nCUENTA,1,nASIG,"Análisis"),"")))</f>
        <v/>
      </c>
      <c r="AG593" t="str">
        <f>IF(AE593="","",IF(AE593="[FÓRMULA MANUAL]","",IFERROR(AVERAGEIFS(nNOTA,nNIA,AE593,nCUENTA,1,nASIG,"Orquesta/Banda/Conjunto"),"")))</f>
        <v/>
      </c>
      <c r="AH593" t="str">
        <f>IF(AE593="","",IF(AE593="[FÓRMULA MANUAL]","",IFERROR(AVERAGEIFS(nNOTA,nNIA,AE593,nCUENTA,1,nASIG,"Música de Cámara"),"")))</f>
        <v/>
      </c>
      <c r="AI593" t="str">
        <f>IF(AE593="","",IF(AE593="[FÓRMULA MANUAL]","",IFERROR(SUMPRODUCT((nNIA=AE593)*(nCUENTA=1)*(COUNTIF(CONFIG_ASIGNATURAS!$B$7:$B$27,nASIG)&gt;0)*(nNOTA))/SUMPRODUCT((nNIA=AE593)*(nCUENTA=1)*(COUNTIF(CONFIG_ASIGNATURAS!$B$7:$B$27,nASIG)&gt;0)*1),"")))</f>
        <v/>
      </c>
    </row>
    <row r="594" spans="2:35" x14ac:dyDescent="0.2">
      <c r="B594" t="str">
        <f>IF(A594="","",IF(A594="[FÓRMULA MANUAL]","",IFERROR(AVERAGEIFS(nNOTA,nNIA,A594,nCUENTA,1,nASIG,"Lenguaje Musical"),"")))</f>
        <v/>
      </c>
      <c r="C594" t="str">
        <f>IF(A594="","",IF(A594="[FÓRMULA MANUAL]","",IFERROR(AVERAGEIFS(nNOTA,nNIA,A594,nCUENTA,1,nASIG,"Orquesta/Banda/Conjunto"),"")))</f>
        <v/>
      </c>
      <c r="D594" t="str">
        <f>IF(A594="","",IF(A594="[FÓRMULA MANUAL]","",IFERROR(AVERAGEIFS(nNOTA,nNIA,A594,nCUENTA,1,nASIG,"Conjunto"),"")))</f>
        <v/>
      </c>
      <c r="E594" t="str">
        <f>IF(A594="","",IF(A594="[FÓRMULA MANUAL]","",IFERROR(SUMPRODUCT((nNIA=A594)*(nCUENTA=1)*(COUNTIF(CONFIG_ASIGNATURAS!$B$7:$B$27,nASIG)&gt;0)*(nNOTA))/SUMPRODUCT((nNIA=A594)*(nCUENTA=1)*(COUNTIF(CONFIG_ASIGNATURAS!$B$7:$B$27,nASIG)&gt;0)*1),"")))</f>
        <v/>
      </c>
      <c r="H594" t="str">
        <f>IF(G594="","",IF(G594="[FÓRMULA MANUAL]","",IFERROR(AVERAGEIFS(nNOTA,nNIA,G594,nCUENTA,1,nASIG,"Lenguaje Musical"),"")))</f>
        <v/>
      </c>
      <c r="I594" t="str">
        <f>IF(G594="","",IF(G594="[FÓRMULA MANUAL]","",IFERROR(AVERAGEIFS(nNOTA,nNIA,G594,nCUENTA,1,nASIG,"Orquesta/Banda/Conjunto"),"")))</f>
        <v/>
      </c>
      <c r="J594" t="str">
        <f>IF(G594="","",IF(G594="[FÓRMULA MANUAL]","",IFERROR(AVERAGEIFS(nNOTA,nNIA,G594,nCUENTA,1,nASIG,"Conjunto"),"")))</f>
        <v/>
      </c>
      <c r="K594" t="str">
        <f>IF(G594="","",IF(G594="[FÓRMULA MANUAL]","",IFERROR(SUMPRODUCT((nNIA=G594)*(nCUENTA=1)*(COUNTIF(CONFIG_ASIGNATURAS!$B$7:$B$27,nASIG)&gt;0)*(nNOTA))/SUMPRODUCT((nNIA=G594)*(nCUENTA=1)*(COUNTIF(CONFIG_ASIGNATURAS!$B$7:$B$27,nASIG)&gt;0)*1),"")))</f>
        <v/>
      </c>
      <c r="N594" t="str">
        <f>IF(M594="","",IF(M594="[FÓRMULA MANUAL]","",IFERROR(AVERAGEIFS(nNOTA,nNIA,M594,nCUENTA,1,nASIG,"Armonía"),"")))</f>
        <v/>
      </c>
      <c r="O594" t="str">
        <f>IF(M594="","",IF(M594="[FÓRMULA MANUAL]","",IFERROR(AVERAGEIFS(nNOTA,nNIA,M594,nCUENTA,1,nASIG,"Orquesta/Banda/Conjunto"),"")))</f>
        <v/>
      </c>
      <c r="P594" t="str">
        <f>IF(M594="","",IF(M594="[FÓRMULA MANUAL]","",IFERROR(AVERAGEIFS(nNOTA,nNIA,M594,nCUENTA,1,nASIG,"Música de Cámara"),"")))</f>
        <v/>
      </c>
      <c r="Q594" t="str">
        <f>IF(M594="","",IF(M594="[FÓRMULA MANUAL]","",IFERROR(SUMPRODUCT((nNIA=M594)*(nCUENTA=1)*(COUNTIF(CONFIG_ASIGNATURAS!$B$7:$B$27,nASIG)&gt;0)*(nNOTA))/SUMPRODUCT((nNIA=M594)*(nCUENTA=1)*(COUNTIF(CONFIG_ASIGNATURAS!$B$7:$B$27,nASIG)&gt;0)*1),"")))</f>
        <v/>
      </c>
      <c r="T594" t="str">
        <f>IF(S594="","",IF(S594="[FÓRMULA MANUAL]","",IFERROR(AVERAGEIFS(nNOTA,nNIA,S594,nCUENTA,1,nASIG,"Armonía"),"")))</f>
        <v/>
      </c>
      <c r="U594" t="str">
        <f>IF(S594="","",IF(S594="[FÓRMULA MANUAL]","",IFERROR(AVERAGEIFS(nNOTA,nNIA,S594,nCUENTA,1,nASIG,"Orquesta/Banda/Conjunto"),"")))</f>
        <v/>
      </c>
      <c r="V594" t="str">
        <f>IF(S594="","",IF(S594="[FÓRMULA MANUAL]","",IFERROR(AVERAGEIFS(nNOTA,nNIA,S594,nCUENTA,1,nASIG,"Música de Cámara"),"")))</f>
        <v/>
      </c>
      <c r="W594" t="str">
        <f>IF(S594="","",IF(S594="[FÓRMULA MANUAL]","",IFERROR(SUMPRODUCT((nNIA=S594)*(nCUENTA=1)*(COUNTIF(CONFIG_ASIGNATURAS!$B$7:$B$27,nASIG)&gt;0)*(nNOTA))/SUMPRODUCT((nNIA=S594)*(nCUENTA=1)*(COUNTIF(CONFIG_ASIGNATURAS!$B$7:$B$27,nASIG)&gt;0)*1),"")))</f>
        <v/>
      </c>
      <c r="Z594" t="str">
        <f>IF(Y594="","",IF(Y594="[FÓRMULA MANUAL]","",IFERROR(AVERAGEIFS(nNOTA,nNIA,Y594,nCUENTA,1,nASIG,"Análisis"),"")))</f>
        <v/>
      </c>
      <c r="AA594" t="str">
        <f>IF(Y594="","",IF(Y594="[FÓRMULA MANUAL]","",IFERROR(AVERAGEIFS(nNOTA,nNIA,Y594,nCUENTA,1,nASIG,"Orquesta/Banda/Conjunto"),"")))</f>
        <v/>
      </c>
      <c r="AB594" t="str">
        <f>IF(Y594="","",IF(Y594="[FÓRMULA MANUAL]","",IFERROR(AVERAGEIFS(nNOTA,nNIA,Y594,nCUENTA,1,nASIG,"Música de Cámara"),"")))</f>
        <v/>
      </c>
      <c r="AC594" t="str">
        <f>IF(Y594="","",IF(Y594="[FÓRMULA MANUAL]","",IFERROR(SUMPRODUCT((nNIA=Y594)*(nCUENTA=1)*(COUNTIF(CONFIG_ASIGNATURAS!$B$7:$B$27,nASIG)&gt;0)*(nNOTA))/SUMPRODUCT((nNIA=Y594)*(nCUENTA=1)*(COUNTIF(CONFIG_ASIGNATURAS!$B$7:$B$27,nASIG)&gt;0)*1),"")))</f>
        <v/>
      </c>
      <c r="AF594" t="str">
        <f>IF(AE594="","",IF(AE594="[FÓRMULA MANUAL]","",IFERROR(AVERAGEIFS(nNOTA,nNIA,AE594,nCUENTA,1,nASIG,"Análisis"),"")))</f>
        <v/>
      </c>
      <c r="AG594" t="str">
        <f>IF(AE594="","",IF(AE594="[FÓRMULA MANUAL]","",IFERROR(AVERAGEIFS(nNOTA,nNIA,AE594,nCUENTA,1,nASIG,"Orquesta/Banda/Conjunto"),"")))</f>
        <v/>
      </c>
      <c r="AH594" t="str">
        <f>IF(AE594="","",IF(AE594="[FÓRMULA MANUAL]","",IFERROR(AVERAGEIFS(nNOTA,nNIA,AE594,nCUENTA,1,nASIG,"Música de Cámara"),"")))</f>
        <v/>
      </c>
      <c r="AI594" t="str">
        <f>IF(AE594="","",IF(AE594="[FÓRMULA MANUAL]","",IFERROR(SUMPRODUCT((nNIA=AE594)*(nCUENTA=1)*(COUNTIF(CONFIG_ASIGNATURAS!$B$7:$B$27,nASIG)&gt;0)*(nNOTA))/SUMPRODUCT((nNIA=AE594)*(nCUENTA=1)*(COUNTIF(CONFIG_ASIGNATURAS!$B$7:$B$27,nASIG)&gt;0)*1),"")))</f>
        <v/>
      </c>
    </row>
    <row r="595" spans="2:35" x14ac:dyDescent="0.2">
      <c r="B595" t="str">
        <f>IF(A595="","",IF(A595="[FÓRMULA MANUAL]","",IFERROR(AVERAGEIFS(nNOTA,nNIA,A595,nCUENTA,1,nASIG,"Lenguaje Musical"),"")))</f>
        <v/>
      </c>
      <c r="C595" t="str">
        <f>IF(A595="","",IF(A595="[FÓRMULA MANUAL]","",IFERROR(AVERAGEIFS(nNOTA,nNIA,A595,nCUENTA,1,nASIG,"Orquesta/Banda/Conjunto"),"")))</f>
        <v/>
      </c>
      <c r="D595" t="str">
        <f>IF(A595="","",IF(A595="[FÓRMULA MANUAL]","",IFERROR(AVERAGEIFS(nNOTA,nNIA,A595,nCUENTA,1,nASIG,"Conjunto"),"")))</f>
        <v/>
      </c>
      <c r="E595" t="str">
        <f>IF(A595="","",IF(A595="[FÓRMULA MANUAL]","",IFERROR(SUMPRODUCT((nNIA=A595)*(nCUENTA=1)*(COUNTIF(CONFIG_ASIGNATURAS!$B$7:$B$27,nASIG)&gt;0)*(nNOTA))/SUMPRODUCT((nNIA=A595)*(nCUENTA=1)*(COUNTIF(CONFIG_ASIGNATURAS!$B$7:$B$27,nASIG)&gt;0)*1),"")))</f>
        <v/>
      </c>
      <c r="H595" t="str">
        <f>IF(G595="","",IF(G595="[FÓRMULA MANUAL]","",IFERROR(AVERAGEIFS(nNOTA,nNIA,G595,nCUENTA,1,nASIG,"Lenguaje Musical"),"")))</f>
        <v/>
      </c>
      <c r="I595" t="str">
        <f>IF(G595="","",IF(G595="[FÓRMULA MANUAL]","",IFERROR(AVERAGEIFS(nNOTA,nNIA,G595,nCUENTA,1,nASIG,"Orquesta/Banda/Conjunto"),"")))</f>
        <v/>
      </c>
      <c r="J595" t="str">
        <f>IF(G595="","",IF(G595="[FÓRMULA MANUAL]","",IFERROR(AVERAGEIFS(nNOTA,nNIA,G595,nCUENTA,1,nASIG,"Conjunto"),"")))</f>
        <v/>
      </c>
      <c r="K595" t="str">
        <f>IF(G595="","",IF(G595="[FÓRMULA MANUAL]","",IFERROR(SUMPRODUCT((nNIA=G595)*(nCUENTA=1)*(COUNTIF(CONFIG_ASIGNATURAS!$B$7:$B$27,nASIG)&gt;0)*(nNOTA))/SUMPRODUCT((nNIA=G595)*(nCUENTA=1)*(COUNTIF(CONFIG_ASIGNATURAS!$B$7:$B$27,nASIG)&gt;0)*1),"")))</f>
        <v/>
      </c>
      <c r="N595" t="str">
        <f>IF(M595="","",IF(M595="[FÓRMULA MANUAL]","",IFERROR(AVERAGEIFS(nNOTA,nNIA,M595,nCUENTA,1,nASIG,"Armonía"),"")))</f>
        <v/>
      </c>
      <c r="O595" t="str">
        <f>IF(M595="","",IF(M595="[FÓRMULA MANUAL]","",IFERROR(AVERAGEIFS(nNOTA,nNIA,M595,nCUENTA,1,nASIG,"Orquesta/Banda/Conjunto"),"")))</f>
        <v/>
      </c>
      <c r="P595" t="str">
        <f>IF(M595="","",IF(M595="[FÓRMULA MANUAL]","",IFERROR(AVERAGEIFS(nNOTA,nNIA,M595,nCUENTA,1,nASIG,"Música de Cámara"),"")))</f>
        <v/>
      </c>
      <c r="Q595" t="str">
        <f>IF(M595="","",IF(M595="[FÓRMULA MANUAL]","",IFERROR(SUMPRODUCT((nNIA=M595)*(nCUENTA=1)*(COUNTIF(CONFIG_ASIGNATURAS!$B$7:$B$27,nASIG)&gt;0)*(nNOTA))/SUMPRODUCT((nNIA=M595)*(nCUENTA=1)*(COUNTIF(CONFIG_ASIGNATURAS!$B$7:$B$27,nASIG)&gt;0)*1),"")))</f>
        <v/>
      </c>
      <c r="T595" t="str">
        <f>IF(S595="","",IF(S595="[FÓRMULA MANUAL]","",IFERROR(AVERAGEIFS(nNOTA,nNIA,S595,nCUENTA,1,nASIG,"Armonía"),"")))</f>
        <v/>
      </c>
      <c r="U595" t="str">
        <f>IF(S595="","",IF(S595="[FÓRMULA MANUAL]","",IFERROR(AVERAGEIFS(nNOTA,nNIA,S595,nCUENTA,1,nASIG,"Orquesta/Banda/Conjunto"),"")))</f>
        <v/>
      </c>
      <c r="V595" t="str">
        <f>IF(S595="","",IF(S595="[FÓRMULA MANUAL]","",IFERROR(AVERAGEIFS(nNOTA,nNIA,S595,nCUENTA,1,nASIG,"Música de Cámara"),"")))</f>
        <v/>
      </c>
      <c r="W595" t="str">
        <f>IF(S595="","",IF(S595="[FÓRMULA MANUAL]","",IFERROR(SUMPRODUCT((nNIA=S595)*(nCUENTA=1)*(COUNTIF(CONFIG_ASIGNATURAS!$B$7:$B$27,nASIG)&gt;0)*(nNOTA))/SUMPRODUCT((nNIA=S595)*(nCUENTA=1)*(COUNTIF(CONFIG_ASIGNATURAS!$B$7:$B$27,nASIG)&gt;0)*1),"")))</f>
        <v/>
      </c>
      <c r="Z595" t="str">
        <f>IF(Y595="","",IF(Y595="[FÓRMULA MANUAL]","",IFERROR(AVERAGEIFS(nNOTA,nNIA,Y595,nCUENTA,1,nASIG,"Análisis"),"")))</f>
        <v/>
      </c>
      <c r="AA595" t="str">
        <f>IF(Y595="","",IF(Y595="[FÓRMULA MANUAL]","",IFERROR(AVERAGEIFS(nNOTA,nNIA,Y595,nCUENTA,1,nASIG,"Orquesta/Banda/Conjunto"),"")))</f>
        <v/>
      </c>
      <c r="AB595" t="str">
        <f>IF(Y595="","",IF(Y595="[FÓRMULA MANUAL]","",IFERROR(AVERAGEIFS(nNOTA,nNIA,Y595,nCUENTA,1,nASIG,"Música de Cámara"),"")))</f>
        <v/>
      </c>
      <c r="AC595" t="str">
        <f>IF(Y595="","",IF(Y595="[FÓRMULA MANUAL]","",IFERROR(SUMPRODUCT((nNIA=Y595)*(nCUENTA=1)*(COUNTIF(CONFIG_ASIGNATURAS!$B$7:$B$27,nASIG)&gt;0)*(nNOTA))/SUMPRODUCT((nNIA=Y595)*(nCUENTA=1)*(COUNTIF(CONFIG_ASIGNATURAS!$B$7:$B$27,nASIG)&gt;0)*1),"")))</f>
        <v/>
      </c>
      <c r="AF595" t="str">
        <f>IF(AE595="","",IF(AE595="[FÓRMULA MANUAL]","",IFERROR(AVERAGEIFS(nNOTA,nNIA,AE595,nCUENTA,1,nASIG,"Análisis"),"")))</f>
        <v/>
      </c>
      <c r="AG595" t="str">
        <f>IF(AE595="","",IF(AE595="[FÓRMULA MANUAL]","",IFERROR(AVERAGEIFS(nNOTA,nNIA,AE595,nCUENTA,1,nASIG,"Orquesta/Banda/Conjunto"),"")))</f>
        <v/>
      </c>
      <c r="AH595" t="str">
        <f>IF(AE595="","",IF(AE595="[FÓRMULA MANUAL]","",IFERROR(AVERAGEIFS(nNOTA,nNIA,AE595,nCUENTA,1,nASIG,"Música de Cámara"),"")))</f>
        <v/>
      </c>
      <c r="AI595" t="str">
        <f>IF(AE595="","",IF(AE595="[FÓRMULA MANUAL]","",IFERROR(SUMPRODUCT((nNIA=AE595)*(nCUENTA=1)*(COUNTIF(CONFIG_ASIGNATURAS!$B$7:$B$27,nASIG)&gt;0)*(nNOTA))/SUMPRODUCT((nNIA=AE595)*(nCUENTA=1)*(COUNTIF(CONFIG_ASIGNATURAS!$B$7:$B$27,nASIG)&gt;0)*1),"")))</f>
        <v/>
      </c>
    </row>
    <row r="596" spans="2:35" x14ac:dyDescent="0.2">
      <c r="B596" t="str">
        <f>IF(A596="","",IF(A596="[FÓRMULA MANUAL]","",IFERROR(AVERAGEIFS(nNOTA,nNIA,A596,nCUENTA,1,nASIG,"Lenguaje Musical"),"")))</f>
        <v/>
      </c>
      <c r="C596" t="str">
        <f>IF(A596="","",IF(A596="[FÓRMULA MANUAL]","",IFERROR(AVERAGEIFS(nNOTA,nNIA,A596,nCUENTA,1,nASIG,"Orquesta/Banda/Conjunto"),"")))</f>
        <v/>
      </c>
      <c r="D596" t="str">
        <f>IF(A596="","",IF(A596="[FÓRMULA MANUAL]","",IFERROR(AVERAGEIFS(nNOTA,nNIA,A596,nCUENTA,1,nASIG,"Conjunto"),"")))</f>
        <v/>
      </c>
      <c r="E596" t="str">
        <f>IF(A596="","",IF(A596="[FÓRMULA MANUAL]","",IFERROR(SUMPRODUCT((nNIA=A596)*(nCUENTA=1)*(COUNTIF(CONFIG_ASIGNATURAS!$B$7:$B$27,nASIG)&gt;0)*(nNOTA))/SUMPRODUCT((nNIA=A596)*(nCUENTA=1)*(COUNTIF(CONFIG_ASIGNATURAS!$B$7:$B$27,nASIG)&gt;0)*1),"")))</f>
        <v/>
      </c>
      <c r="H596" t="str">
        <f>IF(G596="","",IF(G596="[FÓRMULA MANUAL]","",IFERROR(AVERAGEIFS(nNOTA,nNIA,G596,nCUENTA,1,nASIG,"Lenguaje Musical"),"")))</f>
        <v/>
      </c>
      <c r="I596" t="str">
        <f>IF(G596="","",IF(G596="[FÓRMULA MANUAL]","",IFERROR(AVERAGEIFS(nNOTA,nNIA,G596,nCUENTA,1,nASIG,"Orquesta/Banda/Conjunto"),"")))</f>
        <v/>
      </c>
      <c r="J596" t="str">
        <f>IF(G596="","",IF(G596="[FÓRMULA MANUAL]","",IFERROR(AVERAGEIFS(nNOTA,nNIA,G596,nCUENTA,1,nASIG,"Conjunto"),"")))</f>
        <v/>
      </c>
      <c r="K596" t="str">
        <f>IF(G596="","",IF(G596="[FÓRMULA MANUAL]","",IFERROR(SUMPRODUCT((nNIA=G596)*(nCUENTA=1)*(COUNTIF(CONFIG_ASIGNATURAS!$B$7:$B$27,nASIG)&gt;0)*(nNOTA))/SUMPRODUCT((nNIA=G596)*(nCUENTA=1)*(COUNTIF(CONFIG_ASIGNATURAS!$B$7:$B$27,nASIG)&gt;0)*1),"")))</f>
        <v/>
      </c>
      <c r="N596" t="str">
        <f>IF(M596="","",IF(M596="[FÓRMULA MANUAL]","",IFERROR(AVERAGEIFS(nNOTA,nNIA,M596,nCUENTA,1,nASIG,"Armonía"),"")))</f>
        <v/>
      </c>
      <c r="O596" t="str">
        <f>IF(M596="","",IF(M596="[FÓRMULA MANUAL]","",IFERROR(AVERAGEIFS(nNOTA,nNIA,M596,nCUENTA,1,nASIG,"Orquesta/Banda/Conjunto"),"")))</f>
        <v/>
      </c>
      <c r="P596" t="str">
        <f>IF(M596="","",IF(M596="[FÓRMULA MANUAL]","",IFERROR(AVERAGEIFS(nNOTA,nNIA,M596,nCUENTA,1,nASIG,"Música de Cámara"),"")))</f>
        <v/>
      </c>
      <c r="Q596" t="str">
        <f>IF(M596="","",IF(M596="[FÓRMULA MANUAL]","",IFERROR(SUMPRODUCT((nNIA=M596)*(nCUENTA=1)*(COUNTIF(CONFIG_ASIGNATURAS!$B$7:$B$27,nASIG)&gt;0)*(nNOTA))/SUMPRODUCT((nNIA=M596)*(nCUENTA=1)*(COUNTIF(CONFIG_ASIGNATURAS!$B$7:$B$27,nASIG)&gt;0)*1),"")))</f>
        <v/>
      </c>
      <c r="T596" t="str">
        <f>IF(S596="","",IF(S596="[FÓRMULA MANUAL]","",IFERROR(AVERAGEIFS(nNOTA,nNIA,S596,nCUENTA,1,nASIG,"Armonía"),"")))</f>
        <v/>
      </c>
      <c r="U596" t="str">
        <f>IF(S596="","",IF(S596="[FÓRMULA MANUAL]","",IFERROR(AVERAGEIFS(nNOTA,nNIA,S596,nCUENTA,1,nASIG,"Orquesta/Banda/Conjunto"),"")))</f>
        <v/>
      </c>
      <c r="V596" t="str">
        <f>IF(S596="","",IF(S596="[FÓRMULA MANUAL]","",IFERROR(AVERAGEIFS(nNOTA,nNIA,S596,nCUENTA,1,nASIG,"Música de Cámara"),"")))</f>
        <v/>
      </c>
      <c r="W596" t="str">
        <f>IF(S596="","",IF(S596="[FÓRMULA MANUAL]","",IFERROR(SUMPRODUCT((nNIA=S596)*(nCUENTA=1)*(COUNTIF(CONFIG_ASIGNATURAS!$B$7:$B$27,nASIG)&gt;0)*(nNOTA))/SUMPRODUCT((nNIA=S596)*(nCUENTA=1)*(COUNTIF(CONFIG_ASIGNATURAS!$B$7:$B$27,nASIG)&gt;0)*1),"")))</f>
        <v/>
      </c>
      <c r="Z596" t="str">
        <f>IF(Y596="","",IF(Y596="[FÓRMULA MANUAL]","",IFERROR(AVERAGEIFS(nNOTA,nNIA,Y596,nCUENTA,1,nASIG,"Análisis"),"")))</f>
        <v/>
      </c>
      <c r="AA596" t="str">
        <f>IF(Y596="","",IF(Y596="[FÓRMULA MANUAL]","",IFERROR(AVERAGEIFS(nNOTA,nNIA,Y596,nCUENTA,1,nASIG,"Orquesta/Banda/Conjunto"),"")))</f>
        <v/>
      </c>
      <c r="AB596" t="str">
        <f>IF(Y596="","",IF(Y596="[FÓRMULA MANUAL]","",IFERROR(AVERAGEIFS(nNOTA,nNIA,Y596,nCUENTA,1,nASIG,"Música de Cámara"),"")))</f>
        <v/>
      </c>
      <c r="AC596" t="str">
        <f>IF(Y596="","",IF(Y596="[FÓRMULA MANUAL]","",IFERROR(SUMPRODUCT((nNIA=Y596)*(nCUENTA=1)*(COUNTIF(CONFIG_ASIGNATURAS!$B$7:$B$27,nASIG)&gt;0)*(nNOTA))/SUMPRODUCT((nNIA=Y596)*(nCUENTA=1)*(COUNTIF(CONFIG_ASIGNATURAS!$B$7:$B$27,nASIG)&gt;0)*1),"")))</f>
        <v/>
      </c>
      <c r="AF596" t="str">
        <f>IF(AE596="","",IF(AE596="[FÓRMULA MANUAL]","",IFERROR(AVERAGEIFS(nNOTA,nNIA,AE596,nCUENTA,1,nASIG,"Análisis"),"")))</f>
        <v/>
      </c>
      <c r="AG596" t="str">
        <f>IF(AE596="","",IF(AE596="[FÓRMULA MANUAL]","",IFERROR(AVERAGEIFS(nNOTA,nNIA,AE596,nCUENTA,1,nASIG,"Orquesta/Banda/Conjunto"),"")))</f>
        <v/>
      </c>
      <c r="AH596" t="str">
        <f>IF(AE596="","",IF(AE596="[FÓRMULA MANUAL]","",IFERROR(AVERAGEIFS(nNOTA,nNIA,AE596,nCUENTA,1,nASIG,"Música de Cámara"),"")))</f>
        <v/>
      </c>
      <c r="AI596" t="str">
        <f>IF(AE596="","",IF(AE596="[FÓRMULA MANUAL]","",IFERROR(SUMPRODUCT((nNIA=AE596)*(nCUENTA=1)*(COUNTIF(CONFIG_ASIGNATURAS!$B$7:$B$27,nASIG)&gt;0)*(nNOTA))/SUMPRODUCT((nNIA=AE596)*(nCUENTA=1)*(COUNTIF(CONFIG_ASIGNATURAS!$B$7:$B$27,nASIG)&gt;0)*1),"")))</f>
        <v/>
      </c>
    </row>
    <row r="597" spans="2:35" x14ac:dyDescent="0.2">
      <c r="B597" t="str">
        <f>IF(A597="","",IF(A597="[FÓRMULA MANUAL]","",IFERROR(AVERAGEIFS(nNOTA,nNIA,A597,nCUENTA,1,nASIG,"Lenguaje Musical"),"")))</f>
        <v/>
      </c>
      <c r="C597" t="str">
        <f>IF(A597="","",IF(A597="[FÓRMULA MANUAL]","",IFERROR(AVERAGEIFS(nNOTA,nNIA,A597,nCUENTA,1,nASIG,"Orquesta/Banda/Conjunto"),"")))</f>
        <v/>
      </c>
      <c r="D597" t="str">
        <f>IF(A597="","",IF(A597="[FÓRMULA MANUAL]","",IFERROR(AVERAGEIFS(nNOTA,nNIA,A597,nCUENTA,1,nASIG,"Conjunto"),"")))</f>
        <v/>
      </c>
      <c r="E597" t="str">
        <f>IF(A597="","",IF(A597="[FÓRMULA MANUAL]","",IFERROR(SUMPRODUCT((nNIA=A597)*(nCUENTA=1)*(COUNTIF(CONFIG_ASIGNATURAS!$B$7:$B$27,nASIG)&gt;0)*(nNOTA))/SUMPRODUCT((nNIA=A597)*(nCUENTA=1)*(COUNTIF(CONFIG_ASIGNATURAS!$B$7:$B$27,nASIG)&gt;0)*1),"")))</f>
        <v/>
      </c>
      <c r="H597" t="str">
        <f>IF(G597="","",IF(G597="[FÓRMULA MANUAL]","",IFERROR(AVERAGEIFS(nNOTA,nNIA,G597,nCUENTA,1,nASIG,"Lenguaje Musical"),"")))</f>
        <v/>
      </c>
      <c r="I597" t="str">
        <f>IF(G597="","",IF(G597="[FÓRMULA MANUAL]","",IFERROR(AVERAGEIFS(nNOTA,nNIA,G597,nCUENTA,1,nASIG,"Orquesta/Banda/Conjunto"),"")))</f>
        <v/>
      </c>
      <c r="J597" t="str">
        <f>IF(G597="","",IF(G597="[FÓRMULA MANUAL]","",IFERROR(AVERAGEIFS(nNOTA,nNIA,G597,nCUENTA,1,nASIG,"Conjunto"),"")))</f>
        <v/>
      </c>
      <c r="K597" t="str">
        <f>IF(G597="","",IF(G597="[FÓRMULA MANUAL]","",IFERROR(SUMPRODUCT((nNIA=G597)*(nCUENTA=1)*(COUNTIF(CONFIG_ASIGNATURAS!$B$7:$B$27,nASIG)&gt;0)*(nNOTA))/SUMPRODUCT((nNIA=G597)*(nCUENTA=1)*(COUNTIF(CONFIG_ASIGNATURAS!$B$7:$B$27,nASIG)&gt;0)*1),"")))</f>
        <v/>
      </c>
      <c r="N597" t="str">
        <f>IF(M597="","",IF(M597="[FÓRMULA MANUAL]","",IFERROR(AVERAGEIFS(nNOTA,nNIA,M597,nCUENTA,1,nASIG,"Armonía"),"")))</f>
        <v/>
      </c>
      <c r="O597" t="str">
        <f>IF(M597="","",IF(M597="[FÓRMULA MANUAL]","",IFERROR(AVERAGEIFS(nNOTA,nNIA,M597,nCUENTA,1,nASIG,"Orquesta/Banda/Conjunto"),"")))</f>
        <v/>
      </c>
      <c r="P597" t="str">
        <f>IF(M597="","",IF(M597="[FÓRMULA MANUAL]","",IFERROR(AVERAGEIFS(nNOTA,nNIA,M597,nCUENTA,1,nASIG,"Música de Cámara"),"")))</f>
        <v/>
      </c>
      <c r="Q597" t="str">
        <f>IF(M597="","",IF(M597="[FÓRMULA MANUAL]","",IFERROR(SUMPRODUCT((nNIA=M597)*(nCUENTA=1)*(COUNTIF(CONFIG_ASIGNATURAS!$B$7:$B$27,nASIG)&gt;0)*(nNOTA))/SUMPRODUCT((nNIA=M597)*(nCUENTA=1)*(COUNTIF(CONFIG_ASIGNATURAS!$B$7:$B$27,nASIG)&gt;0)*1),"")))</f>
        <v/>
      </c>
      <c r="T597" t="str">
        <f>IF(S597="","",IF(S597="[FÓRMULA MANUAL]","",IFERROR(AVERAGEIFS(nNOTA,nNIA,S597,nCUENTA,1,nASIG,"Armonía"),"")))</f>
        <v/>
      </c>
      <c r="U597" t="str">
        <f>IF(S597="","",IF(S597="[FÓRMULA MANUAL]","",IFERROR(AVERAGEIFS(nNOTA,nNIA,S597,nCUENTA,1,nASIG,"Orquesta/Banda/Conjunto"),"")))</f>
        <v/>
      </c>
      <c r="V597" t="str">
        <f>IF(S597="","",IF(S597="[FÓRMULA MANUAL]","",IFERROR(AVERAGEIFS(nNOTA,nNIA,S597,nCUENTA,1,nASIG,"Música de Cámara"),"")))</f>
        <v/>
      </c>
      <c r="W597" t="str">
        <f>IF(S597="","",IF(S597="[FÓRMULA MANUAL]","",IFERROR(SUMPRODUCT((nNIA=S597)*(nCUENTA=1)*(COUNTIF(CONFIG_ASIGNATURAS!$B$7:$B$27,nASIG)&gt;0)*(nNOTA))/SUMPRODUCT((nNIA=S597)*(nCUENTA=1)*(COUNTIF(CONFIG_ASIGNATURAS!$B$7:$B$27,nASIG)&gt;0)*1),"")))</f>
        <v/>
      </c>
      <c r="Z597" t="str">
        <f>IF(Y597="","",IF(Y597="[FÓRMULA MANUAL]","",IFERROR(AVERAGEIFS(nNOTA,nNIA,Y597,nCUENTA,1,nASIG,"Análisis"),"")))</f>
        <v/>
      </c>
      <c r="AA597" t="str">
        <f>IF(Y597="","",IF(Y597="[FÓRMULA MANUAL]","",IFERROR(AVERAGEIFS(nNOTA,nNIA,Y597,nCUENTA,1,nASIG,"Orquesta/Banda/Conjunto"),"")))</f>
        <v/>
      </c>
      <c r="AB597" t="str">
        <f>IF(Y597="","",IF(Y597="[FÓRMULA MANUAL]","",IFERROR(AVERAGEIFS(nNOTA,nNIA,Y597,nCUENTA,1,nASIG,"Música de Cámara"),"")))</f>
        <v/>
      </c>
      <c r="AC597" t="str">
        <f>IF(Y597="","",IF(Y597="[FÓRMULA MANUAL]","",IFERROR(SUMPRODUCT((nNIA=Y597)*(nCUENTA=1)*(COUNTIF(CONFIG_ASIGNATURAS!$B$7:$B$27,nASIG)&gt;0)*(nNOTA))/SUMPRODUCT((nNIA=Y597)*(nCUENTA=1)*(COUNTIF(CONFIG_ASIGNATURAS!$B$7:$B$27,nASIG)&gt;0)*1),"")))</f>
        <v/>
      </c>
      <c r="AF597" t="str">
        <f>IF(AE597="","",IF(AE597="[FÓRMULA MANUAL]","",IFERROR(AVERAGEIFS(nNOTA,nNIA,AE597,nCUENTA,1,nASIG,"Análisis"),"")))</f>
        <v/>
      </c>
      <c r="AG597" t="str">
        <f>IF(AE597="","",IF(AE597="[FÓRMULA MANUAL]","",IFERROR(AVERAGEIFS(nNOTA,nNIA,AE597,nCUENTA,1,nASIG,"Orquesta/Banda/Conjunto"),"")))</f>
        <v/>
      </c>
      <c r="AH597" t="str">
        <f>IF(AE597="","",IF(AE597="[FÓRMULA MANUAL]","",IFERROR(AVERAGEIFS(nNOTA,nNIA,AE597,nCUENTA,1,nASIG,"Música de Cámara"),"")))</f>
        <v/>
      </c>
      <c r="AI597" t="str">
        <f>IF(AE597="","",IF(AE597="[FÓRMULA MANUAL]","",IFERROR(SUMPRODUCT((nNIA=AE597)*(nCUENTA=1)*(COUNTIF(CONFIG_ASIGNATURAS!$B$7:$B$27,nASIG)&gt;0)*(nNOTA))/SUMPRODUCT((nNIA=AE597)*(nCUENTA=1)*(COUNTIF(CONFIG_ASIGNATURAS!$B$7:$B$27,nASIG)&gt;0)*1),"")))</f>
        <v/>
      </c>
    </row>
    <row r="598" spans="2:35" x14ac:dyDescent="0.2">
      <c r="B598" t="str">
        <f>IF(A598="","",IF(A598="[FÓRMULA MANUAL]","",IFERROR(AVERAGEIFS(nNOTA,nNIA,A598,nCUENTA,1,nASIG,"Lenguaje Musical"),"")))</f>
        <v/>
      </c>
      <c r="C598" t="str">
        <f>IF(A598="","",IF(A598="[FÓRMULA MANUAL]","",IFERROR(AVERAGEIFS(nNOTA,nNIA,A598,nCUENTA,1,nASIG,"Orquesta/Banda/Conjunto"),"")))</f>
        <v/>
      </c>
      <c r="D598" t="str">
        <f>IF(A598="","",IF(A598="[FÓRMULA MANUAL]","",IFERROR(AVERAGEIFS(nNOTA,nNIA,A598,nCUENTA,1,nASIG,"Conjunto"),"")))</f>
        <v/>
      </c>
      <c r="E598" t="str">
        <f>IF(A598="","",IF(A598="[FÓRMULA MANUAL]","",IFERROR(SUMPRODUCT((nNIA=A598)*(nCUENTA=1)*(COUNTIF(CONFIG_ASIGNATURAS!$B$7:$B$27,nASIG)&gt;0)*(nNOTA))/SUMPRODUCT((nNIA=A598)*(nCUENTA=1)*(COUNTIF(CONFIG_ASIGNATURAS!$B$7:$B$27,nASIG)&gt;0)*1),"")))</f>
        <v/>
      </c>
      <c r="H598" t="str">
        <f>IF(G598="","",IF(G598="[FÓRMULA MANUAL]","",IFERROR(AVERAGEIFS(nNOTA,nNIA,G598,nCUENTA,1,nASIG,"Lenguaje Musical"),"")))</f>
        <v/>
      </c>
      <c r="I598" t="str">
        <f>IF(G598="","",IF(G598="[FÓRMULA MANUAL]","",IFERROR(AVERAGEIFS(nNOTA,nNIA,G598,nCUENTA,1,nASIG,"Orquesta/Banda/Conjunto"),"")))</f>
        <v/>
      </c>
      <c r="J598" t="str">
        <f>IF(G598="","",IF(G598="[FÓRMULA MANUAL]","",IFERROR(AVERAGEIFS(nNOTA,nNIA,G598,nCUENTA,1,nASIG,"Conjunto"),"")))</f>
        <v/>
      </c>
      <c r="K598" t="str">
        <f>IF(G598="","",IF(G598="[FÓRMULA MANUAL]","",IFERROR(SUMPRODUCT((nNIA=G598)*(nCUENTA=1)*(COUNTIF(CONFIG_ASIGNATURAS!$B$7:$B$27,nASIG)&gt;0)*(nNOTA))/SUMPRODUCT((nNIA=G598)*(nCUENTA=1)*(COUNTIF(CONFIG_ASIGNATURAS!$B$7:$B$27,nASIG)&gt;0)*1),"")))</f>
        <v/>
      </c>
      <c r="N598" t="str">
        <f>IF(M598="","",IF(M598="[FÓRMULA MANUAL]","",IFERROR(AVERAGEIFS(nNOTA,nNIA,M598,nCUENTA,1,nASIG,"Armonía"),"")))</f>
        <v/>
      </c>
      <c r="O598" t="str">
        <f>IF(M598="","",IF(M598="[FÓRMULA MANUAL]","",IFERROR(AVERAGEIFS(nNOTA,nNIA,M598,nCUENTA,1,nASIG,"Orquesta/Banda/Conjunto"),"")))</f>
        <v/>
      </c>
      <c r="P598" t="str">
        <f>IF(M598="","",IF(M598="[FÓRMULA MANUAL]","",IFERROR(AVERAGEIFS(nNOTA,nNIA,M598,nCUENTA,1,nASIG,"Música de Cámara"),"")))</f>
        <v/>
      </c>
      <c r="Q598" t="str">
        <f>IF(M598="","",IF(M598="[FÓRMULA MANUAL]","",IFERROR(SUMPRODUCT((nNIA=M598)*(nCUENTA=1)*(COUNTIF(CONFIG_ASIGNATURAS!$B$7:$B$27,nASIG)&gt;0)*(nNOTA))/SUMPRODUCT((nNIA=M598)*(nCUENTA=1)*(COUNTIF(CONFIG_ASIGNATURAS!$B$7:$B$27,nASIG)&gt;0)*1),"")))</f>
        <v/>
      </c>
      <c r="T598" t="str">
        <f>IF(S598="","",IF(S598="[FÓRMULA MANUAL]","",IFERROR(AVERAGEIFS(nNOTA,nNIA,S598,nCUENTA,1,nASIG,"Armonía"),"")))</f>
        <v/>
      </c>
      <c r="U598" t="str">
        <f>IF(S598="","",IF(S598="[FÓRMULA MANUAL]","",IFERROR(AVERAGEIFS(nNOTA,nNIA,S598,nCUENTA,1,nASIG,"Orquesta/Banda/Conjunto"),"")))</f>
        <v/>
      </c>
      <c r="V598" t="str">
        <f>IF(S598="","",IF(S598="[FÓRMULA MANUAL]","",IFERROR(AVERAGEIFS(nNOTA,nNIA,S598,nCUENTA,1,nASIG,"Música de Cámara"),"")))</f>
        <v/>
      </c>
      <c r="W598" t="str">
        <f>IF(S598="","",IF(S598="[FÓRMULA MANUAL]","",IFERROR(SUMPRODUCT((nNIA=S598)*(nCUENTA=1)*(COUNTIF(CONFIG_ASIGNATURAS!$B$7:$B$27,nASIG)&gt;0)*(nNOTA))/SUMPRODUCT((nNIA=S598)*(nCUENTA=1)*(COUNTIF(CONFIG_ASIGNATURAS!$B$7:$B$27,nASIG)&gt;0)*1),"")))</f>
        <v/>
      </c>
      <c r="Z598" t="str">
        <f>IF(Y598="","",IF(Y598="[FÓRMULA MANUAL]","",IFERROR(AVERAGEIFS(nNOTA,nNIA,Y598,nCUENTA,1,nASIG,"Análisis"),"")))</f>
        <v/>
      </c>
      <c r="AA598" t="str">
        <f>IF(Y598="","",IF(Y598="[FÓRMULA MANUAL]","",IFERROR(AVERAGEIFS(nNOTA,nNIA,Y598,nCUENTA,1,nASIG,"Orquesta/Banda/Conjunto"),"")))</f>
        <v/>
      </c>
      <c r="AB598" t="str">
        <f>IF(Y598="","",IF(Y598="[FÓRMULA MANUAL]","",IFERROR(AVERAGEIFS(nNOTA,nNIA,Y598,nCUENTA,1,nASIG,"Música de Cámara"),"")))</f>
        <v/>
      </c>
      <c r="AC598" t="str">
        <f>IF(Y598="","",IF(Y598="[FÓRMULA MANUAL]","",IFERROR(SUMPRODUCT((nNIA=Y598)*(nCUENTA=1)*(COUNTIF(CONFIG_ASIGNATURAS!$B$7:$B$27,nASIG)&gt;0)*(nNOTA))/SUMPRODUCT((nNIA=Y598)*(nCUENTA=1)*(COUNTIF(CONFIG_ASIGNATURAS!$B$7:$B$27,nASIG)&gt;0)*1),"")))</f>
        <v/>
      </c>
      <c r="AF598" t="str">
        <f>IF(AE598="","",IF(AE598="[FÓRMULA MANUAL]","",IFERROR(AVERAGEIFS(nNOTA,nNIA,AE598,nCUENTA,1,nASIG,"Análisis"),"")))</f>
        <v/>
      </c>
      <c r="AG598" t="str">
        <f>IF(AE598="","",IF(AE598="[FÓRMULA MANUAL]","",IFERROR(AVERAGEIFS(nNOTA,nNIA,AE598,nCUENTA,1,nASIG,"Orquesta/Banda/Conjunto"),"")))</f>
        <v/>
      </c>
      <c r="AH598" t="str">
        <f>IF(AE598="","",IF(AE598="[FÓRMULA MANUAL]","",IFERROR(AVERAGEIFS(nNOTA,nNIA,AE598,nCUENTA,1,nASIG,"Música de Cámara"),"")))</f>
        <v/>
      </c>
      <c r="AI598" t="str">
        <f>IF(AE598="","",IF(AE598="[FÓRMULA MANUAL]","",IFERROR(SUMPRODUCT((nNIA=AE598)*(nCUENTA=1)*(COUNTIF(CONFIG_ASIGNATURAS!$B$7:$B$27,nASIG)&gt;0)*(nNOTA))/SUMPRODUCT((nNIA=AE598)*(nCUENTA=1)*(COUNTIF(CONFIG_ASIGNATURAS!$B$7:$B$27,nASIG)&gt;0)*1),"")))</f>
        <v/>
      </c>
    </row>
    <row r="599" spans="2:35" x14ac:dyDescent="0.2">
      <c r="B599" t="str">
        <f>IF(A599="","",IF(A599="[FÓRMULA MANUAL]","",IFERROR(AVERAGEIFS(nNOTA,nNIA,A599,nCUENTA,1,nASIG,"Lenguaje Musical"),"")))</f>
        <v/>
      </c>
      <c r="C599" t="str">
        <f>IF(A599="","",IF(A599="[FÓRMULA MANUAL]","",IFERROR(AVERAGEIFS(nNOTA,nNIA,A599,nCUENTA,1,nASIG,"Orquesta/Banda/Conjunto"),"")))</f>
        <v/>
      </c>
      <c r="D599" t="str">
        <f>IF(A599="","",IF(A599="[FÓRMULA MANUAL]","",IFERROR(AVERAGEIFS(nNOTA,nNIA,A599,nCUENTA,1,nASIG,"Conjunto"),"")))</f>
        <v/>
      </c>
      <c r="E599" t="str">
        <f>IF(A599="","",IF(A599="[FÓRMULA MANUAL]","",IFERROR(SUMPRODUCT((nNIA=A599)*(nCUENTA=1)*(COUNTIF(CONFIG_ASIGNATURAS!$B$7:$B$27,nASIG)&gt;0)*(nNOTA))/SUMPRODUCT((nNIA=A599)*(nCUENTA=1)*(COUNTIF(CONFIG_ASIGNATURAS!$B$7:$B$27,nASIG)&gt;0)*1),"")))</f>
        <v/>
      </c>
      <c r="H599" t="str">
        <f>IF(G599="","",IF(G599="[FÓRMULA MANUAL]","",IFERROR(AVERAGEIFS(nNOTA,nNIA,G599,nCUENTA,1,nASIG,"Lenguaje Musical"),"")))</f>
        <v/>
      </c>
      <c r="I599" t="str">
        <f>IF(G599="","",IF(G599="[FÓRMULA MANUAL]","",IFERROR(AVERAGEIFS(nNOTA,nNIA,G599,nCUENTA,1,nASIG,"Orquesta/Banda/Conjunto"),"")))</f>
        <v/>
      </c>
      <c r="J599" t="str">
        <f>IF(G599="","",IF(G599="[FÓRMULA MANUAL]","",IFERROR(AVERAGEIFS(nNOTA,nNIA,G599,nCUENTA,1,nASIG,"Conjunto"),"")))</f>
        <v/>
      </c>
      <c r="K599" t="str">
        <f>IF(G599="","",IF(G599="[FÓRMULA MANUAL]","",IFERROR(SUMPRODUCT((nNIA=G599)*(nCUENTA=1)*(COUNTIF(CONFIG_ASIGNATURAS!$B$7:$B$27,nASIG)&gt;0)*(nNOTA))/SUMPRODUCT((nNIA=G599)*(nCUENTA=1)*(COUNTIF(CONFIG_ASIGNATURAS!$B$7:$B$27,nASIG)&gt;0)*1),"")))</f>
        <v/>
      </c>
      <c r="N599" t="str">
        <f>IF(M599="","",IF(M599="[FÓRMULA MANUAL]","",IFERROR(AVERAGEIFS(nNOTA,nNIA,M599,nCUENTA,1,nASIG,"Armonía"),"")))</f>
        <v/>
      </c>
      <c r="O599" t="str">
        <f>IF(M599="","",IF(M599="[FÓRMULA MANUAL]","",IFERROR(AVERAGEIFS(nNOTA,nNIA,M599,nCUENTA,1,nASIG,"Orquesta/Banda/Conjunto"),"")))</f>
        <v/>
      </c>
      <c r="P599" t="str">
        <f>IF(M599="","",IF(M599="[FÓRMULA MANUAL]","",IFERROR(AVERAGEIFS(nNOTA,nNIA,M599,nCUENTA,1,nASIG,"Música de Cámara"),"")))</f>
        <v/>
      </c>
      <c r="Q599" t="str">
        <f>IF(M599="","",IF(M599="[FÓRMULA MANUAL]","",IFERROR(SUMPRODUCT((nNIA=M599)*(nCUENTA=1)*(COUNTIF(CONFIG_ASIGNATURAS!$B$7:$B$27,nASIG)&gt;0)*(nNOTA))/SUMPRODUCT((nNIA=M599)*(nCUENTA=1)*(COUNTIF(CONFIG_ASIGNATURAS!$B$7:$B$27,nASIG)&gt;0)*1),"")))</f>
        <v/>
      </c>
      <c r="T599" t="str">
        <f>IF(S599="","",IF(S599="[FÓRMULA MANUAL]","",IFERROR(AVERAGEIFS(nNOTA,nNIA,S599,nCUENTA,1,nASIG,"Armonía"),"")))</f>
        <v/>
      </c>
      <c r="U599" t="str">
        <f>IF(S599="","",IF(S599="[FÓRMULA MANUAL]","",IFERROR(AVERAGEIFS(nNOTA,nNIA,S599,nCUENTA,1,nASIG,"Orquesta/Banda/Conjunto"),"")))</f>
        <v/>
      </c>
      <c r="V599" t="str">
        <f>IF(S599="","",IF(S599="[FÓRMULA MANUAL]","",IFERROR(AVERAGEIFS(nNOTA,nNIA,S599,nCUENTA,1,nASIG,"Música de Cámara"),"")))</f>
        <v/>
      </c>
      <c r="W599" t="str">
        <f>IF(S599="","",IF(S599="[FÓRMULA MANUAL]","",IFERROR(SUMPRODUCT((nNIA=S599)*(nCUENTA=1)*(COUNTIF(CONFIG_ASIGNATURAS!$B$7:$B$27,nASIG)&gt;0)*(nNOTA))/SUMPRODUCT((nNIA=S599)*(nCUENTA=1)*(COUNTIF(CONFIG_ASIGNATURAS!$B$7:$B$27,nASIG)&gt;0)*1),"")))</f>
        <v/>
      </c>
      <c r="Z599" t="str">
        <f>IF(Y599="","",IF(Y599="[FÓRMULA MANUAL]","",IFERROR(AVERAGEIFS(nNOTA,nNIA,Y599,nCUENTA,1,nASIG,"Análisis"),"")))</f>
        <v/>
      </c>
      <c r="AA599" t="str">
        <f>IF(Y599="","",IF(Y599="[FÓRMULA MANUAL]","",IFERROR(AVERAGEIFS(nNOTA,nNIA,Y599,nCUENTA,1,nASIG,"Orquesta/Banda/Conjunto"),"")))</f>
        <v/>
      </c>
      <c r="AB599" t="str">
        <f>IF(Y599="","",IF(Y599="[FÓRMULA MANUAL]","",IFERROR(AVERAGEIFS(nNOTA,nNIA,Y599,nCUENTA,1,nASIG,"Música de Cámara"),"")))</f>
        <v/>
      </c>
      <c r="AC599" t="str">
        <f>IF(Y599="","",IF(Y599="[FÓRMULA MANUAL]","",IFERROR(SUMPRODUCT((nNIA=Y599)*(nCUENTA=1)*(COUNTIF(CONFIG_ASIGNATURAS!$B$7:$B$27,nASIG)&gt;0)*(nNOTA))/SUMPRODUCT((nNIA=Y599)*(nCUENTA=1)*(COUNTIF(CONFIG_ASIGNATURAS!$B$7:$B$27,nASIG)&gt;0)*1),"")))</f>
        <v/>
      </c>
      <c r="AF599" t="str">
        <f>IF(AE599="","",IF(AE599="[FÓRMULA MANUAL]","",IFERROR(AVERAGEIFS(nNOTA,nNIA,AE599,nCUENTA,1,nASIG,"Análisis"),"")))</f>
        <v/>
      </c>
      <c r="AG599" t="str">
        <f>IF(AE599="","",IF(AE599="[FÓRMULA MANUAL]","",IFERROR(AVERAGEIFS(nNOTA,nNIA,AE599,nCUENTA,1,nASIG,"Orquesta/Banda/Conjunto"),"")))</f>
        <v/>
      </c>
      <c r="AH599" t="str">
        <f>IF(AE599="","",IF(AE599="[FÓRMULA MANUAL]","",IFERROR(AVERAGEIFS(nNOTA,nNIA,AE599,nCUENTA,1,nASIG,"Música de Cámara"),"")))</f>
        <v/>
      </c>
      <c r="AI599" t="str">
        <f>IF(AE599="","",IF(AE599="[FÓRMULA MANUAL]","",IFERROR(SUMPRODUCT((nNIA=AE599)*(nCUENTA=1)*(COUNTIF(CONFIG_ASIGNATURAS!$B$7:$B$27,nASIG)&gt;0)*(nNOTA))/SUMPRODUCT((nNIA=AE599)*(nCUENTA=1)*(COUNTIF(CONFIG_ASIGNATURAS!$B$7:$B$27,nASIG)&gt;0)*1),"")))</f>
        <v/>
      </c>
    </row>
    <row r="600" spans="2:35" x14ac:dyDescent="0.2">
      <c r="B600" t="str">
        <f>IF(A600="","",IF(A600="[FÓRMULA MANUAL]","",IFERROR(AVERAGEIFS(nNOTA,nNIA,A600,nCUENTA,1,nASIG,"Lenguaje Musical"),"")))</f>
        <v/>
      </c>
      <c r="C600" t="str">
        <f>IF(A600="","",IF(A600="[FÓRMULA MANUAL]","",IFERROR(AVERAGEIFS(nNOTA,nNIA,A600,nCUENTA,1,nASIG,"Orquesta/Banda/Conjunto"),"")))</f>
        <v/>
      </c>
      <c r="D600" t="str">
        <f>IF(A600="","",IF(A600="[FÓRMULA MANUAL]","",IFERROR(AVERAGEIFS(nNOTA,nNIA,A600,nCUENTA,1,nASIG,"Conjunto"),"")))</f>
        <v/>
      </c>
      <c r="E600" t="str">
        <f>IF(A600="","",IF(A600="[FÓRMULA MANUAL]","",IFERROR(SUMPRODUCT((nNIA=A600)*(nCUENTA=1)*(COUNTIF(CONFIG_ASIGNATURAS!$B$7:$B$27,nASIG)&gt;0)*(nNOTA))/SUMPRODUCT((nNIA=A600)*(nCUENTA=1)*(COUNTIF(CONFIG_ASIGNATURAS!$B$7:$B$27,nASIG)&gt;0)*1),"")))</f>
        <v/>
      </c>
      <c r="H600" t="str">
        <f>IF(G600="","",IF(G600="[FÓRMULA MANUAL]","",IFERROR(AVERAGEIFS(nNOTA,nNIA,G600,nCUENTA,1,nASIG,"Lenguaje Musical"),"")))</f>
        <v/>
      </c>
      <c r="I600" t="str">
        <f>IF(G600="","",IF(G600="[FÓRMULA MANUAL]","",IFERROR(AVERAGEIFS(nNOTA,nNIA,G600,nCUENTA,1,nASIG,"Orquesta/Banda/Conjunto"),"")))</f>
        <v/>
      </c>
      <c r="J600" t="str">
        <f>IF(G600="","",IF(G600="[FÓRMULA MANUAL]","",IFERROR(AVERAGEIFS(nNOTA,nNIA,G600,nCUENTA,1,nASIG,"Conjunto"),"")))</f>
        <v/>
      </c>
      <c r="K600" t="str">
        <f>IF(G600="","",IF(G600="[FÓRMULA MANUAL]","",IFERROR(SUMPRODUCT((nNIA=G600)*(nCUENTA=1)*(COUNTIF(CONFIG_ASIGNATURAS!$B$7:$B$27,nASIG)&gt;0)*(nNOTA))/SUMPRODUCT((nNIA=G600)*(nCUENTA=1)*(COUNTIF(CONFIG_ASIGNATURAS!$B$7:$B$27,nASIG)&gt;0)*1),"")))</f>
        <v/>
      </c>
      <c r="N600" t="str">
        <f>IF(M600="","",IF(M600="[FÓRMULA MANUAL]","",IFERROR(AVERAGEIFS(nNOTA,nNIA,M600,nCUENTA,1,nASIG,"Armonía"),"")))</f>
        <v/>
      </c>
      <c r="O600" t="str">
        <f>IF(M600="","",IF(M600="[FÓRMULA MANUAL]","",IFERROR(AVERAGEIFS(nNOTA,nNIA,M600,nCUENTA,1,nASIG,"Orquesta/Banda/Conjunto"),"")))</f>
        <v/>
      </c>
      <c r="P600" t="str">
        <f>IF(M600="","",IF(M600="[FÓRMULA MANUAL]","",IFERROR(AVERAGEIFS(nNOTA,nNIA,M600,nCUENTA,1,nASIG,"Música de Cámara"),"")))</f>
        <v/>
      </c>
      <c r="Q600" t="str">
        <f>IF(M600="","",IF(M600="[FÓRMULA MANUAL]","",IFERROR(SUMPRODUCT((nNIA=M600)*(nCUENTA=1)*(COUNTIF(CONFIG_ASIGNATURAS!$B$7:$B$27,nASIG)&gt;0)*(nNOTA))/SUMPRODUCT((nNIA=M600)*(nCUENTA=1)*(COUNTIF(CONFIG_ASIGNATURAS!$B$7:$B$27,nASIG)&gt;0)*1),"")))</f>
        <v/>
      </c>
      <c r="T600" t="str">
        <f>IF(S600="","",IF(S600="[FÓRMULA MANUAL]","",IFERROR(AVERAGEIFS(nNOTA,nNIA,S600,nCUENTA,1,nASIG,"Armonía"),"")))</f>
        <v/>
      </c>
      <c r="U600" t="str">
        <f>IF(S600="","",IF(S600="[FÓRMULA MANUAL]","",IFERROR(AVERAGEIFS(nNOTA,nNIA,S600,nCUENTA,1,nASIG,"Orquesta/Banda/Conjunto"),"")))</f>
        <v/>
      </c>
      <c r="V600" t="str">
        <f>IF(S600="","",IF(S600="[FÓRMULA MANUAL]","",IFERROR(AVERAGEIFS(nNOTA,nNIA,S600,nCUENTA,1,nASIG,"Música de Cámara"),"")))</f>
        <v/>
      </c>
      <c r="W600" t="str">
        <f>IF(S600="","",IF(S600="[FÓRMULA MANUAL]","",IFERROR(SUMPRODUCT((nNIA=S600)*(nCUENTA=1)*(COUNTIF(CONFIG_ASIGNATURAS!$B$7:$B$27,nASIG)&gt;0)*(nNOTA))/SUMPRODUCT((nNIA=S600)*(nCUENTA=1)*(COUNTIF(CONFIG_ASIGNATURAS!$B$7:$B$27,nASIG)&gt;0)*1),"")))</f>
        <v/>
      </c>
      <c r="Z600" t="str">
        <f>IF(Y600="","",IF(Y600="[FÓRMULA MANUAL]","",IFERROR(AVERAGEIFS(nNOTA,nNIA,Y600,nCUENTA,1,nASIG,"Análisis"),"")))</f>
        <v/>
      </c>
      <c r="AA600" t="str">
        <f>IF(Y600="","",IF(Y600="[FÓRMULA MANUAL]","",IFERROR(AVERAGEIFS(nNOTA,nNIA,Y600,nCUENTA,1,nASIG,"Orquesta/Banda/Conjunto"),"")))</f>
        <v/>
      </c>
      <c r="AB600" t="str">
        <f>IF(Y600="","",IF(Y600="[FÓRMULA MANUAL]","",IFERROR(AVERAGEIFS(nNOTA,nNIA,Y600,nCUENTA,1,nASIG,"Música de Cámara"),"")))</f>
        <v/>
      </c>
      <c r="AC600" t="str">
        <f>IF(Y600="","",IF(Y600="[FÓRMULA MANUAL]","",IFERROR(SUMPRODUCT((nNIA=Y600)*(nCUENTA=1)*(COUNTIF(CONFIG_ASIGNATURAS!$B$7:$B$27,nASIG)&gt;0)*(nNOTA))/SUMPRODUCT((nNIA=Y600)*(nCUENTA=1)*(COUNTIF(CONFIG_ASIGNATURAS!$B$7:$B$27,nASIG)&gt;0)*1),"")))</f>
        <v/>
      </c>
      <c r="AF600" t="str">
        <f>IF(AE600="","",IF(AE600="[FÓRMULA MANUAL]","",IFERROR(AVERAGEIFS(nNOTA,nNIA,AE600,nCUENTA,1,nASIG,"Análisis"),"")))</f>
        <v/>
      </c>
      <c r="AG600" t="str">
        <f>IF(AE600="","",IF(AE600="[FÓRMULA MANUAL]","",IFERROR(AVERAGEIFS(nNOTA,nNIA,AE600,nCUENTA,1,nASIG,"Orquesta/Banda/Conjunto"),"")))</f>
        <v/>
      </c>
      <c r="AH600" t="str">
        <f>IF(AE600="","",IF(AE600="[FÓRMULA MANUAL]","",IFERROR(AVERAGEIFS(nNOTA,nNIA,AE600,nCUENTA,1,nASIG,"Música de Cámara"),"")))</f>
        <v/>
      </c>
      <c r="AI600" t="str">
        <f>IF(AE600="","",IF(AE600="[FÓRMULA MANUAL]","",IFERROR(SUMPRODUCT((nNIA=AE600)*(nCUENTA=1)*(COUNTIF(CONFIG_ASIGNATURAS!$B$7:$B$27,nASIG)&gt;0)*(nNOTA))/SUMPRODUCT((nNIA=AE600)*(nCUENTA=1)*(COUNTIF(CONFIG_ASIGNATURAS!$B$7:$B$27,nASIG)&gt;0)*1),"")))</f>
        <v/>
      </c>
    </row>
    <row r="601" spans="2:35" x14ac:dyDescent="0.2">
      <c r="B601" t="str">
        <f>IF(A601="","",IF(A601="[FÓRMULA MANUAL]","",IFERROR(AVERAGEIFS(nNOTA,nNIA,A601,nCUENTA,1,nASIG,"Lenguaje Musical"),"")))</f>
        <v/>
      </c>
      <c r="C601" t="str">
        <f>IF(A601="","",IF(A601="[FÓRMULA MANUAL]","",IFERROR(AVERAGEIFS(nNOTA,nNIA,A601,nCUENTA,1,nASIG,"Orquesta/Banda/Conjunto"),"")))</f>
        <v/>
      </c>
      <c r="D601" t="str">
        <f>IF(A601="","",IF(A601="[FÓRMULA MANUAL]","",IFERROR(AVERAGEIFS(nNOTA,nNIA,A601,nCUENTA,1,nASIG,"Conjunto"),"")))</f>
        <v/>
      </c>
      <c r="E601" t="str">
        <f>IF(A601="","",IF(A601="[FÓRMULA MANUAL]","",IFERROR(SUMPRODUCT((nNIA=A601)*(nCUENTA=1)*(COUNTIF(CONFIG_ASIGNATURAS!$B$7:$B$27,nASIG)&gt;0)*(nNOTA))/SUMPRODUCT((nNIA=A601)*(nCUENTA=1)*(COUNTIF(CONFIG_ASIGNATURAS!$B$7:$B$27,nASIG)&gt;0)*1),"")))</f>
        <v/>
      </c>
      <c r="H601" t="str">
        <f>IF(G601="","",IF(G601="[FÓRMULA MANUAL]","",IFERROR(AVERAGEIFS(nNOTA,nNIA,G601,nCUENTA,1,nASIG,"Lenguaje Musical"),"")))</f>
        <v/>
      </c>
      <c r="I601" t="str">
        <f>IF(G601="","",IF(G601="[FÓRMULA MANUAL]","",IFERROR(AVERAGEIFS(nNOTA,nNIA,G601,nCUENTA,1,nASIG,"Orquesta/Banda/Conjunto"),"")))</f>
        <v/>
      </c>
      <c r="J601" t="str">
        <f>IF(G601="","",IF(G601="[FÓRMULA MANUAL]","",IFERROR(AVERAGEIFS(nNOTA,nNIA,G601,nCUENTA,1,nASIG,"Conjunto"),"")))</f>
        <v/>
      </c>
      <c r="K601" t="str">
        <f>IF(G601="","",IF(G601="[FÓRMULA MANUAL]","",IFERROR(SUMPRODUCT((nNIA=G601)*(nCUENTA=1)*(COUNTIF(CONFIG_ASIGNATURAS!$B$7:$B$27,nASIG)&gt;0)*(nNOTA))/SUMPRODUCT((nNIA=G601)*(nCUENTA=1)*(COUNTIF(CONFIG_ASIGNATURAS!$B$7:$B$27,nASIG)&gt;0)*1),"")))</f>
        <v/>
      </c>
      <c r="N601" t="str">
        <f>IF(M601="","",IF(M601="[FÓRMULA MANUAL]","",IFERROR(AVERAGEIFS(nNOTA,nNIA,M601,nCUENTA,1,nASIG,"Armonía"),"")))</f>
        <v/>
      </c>
      <c r="O601" t="str">
        <f>IF(M601="","",IF(M601="[FÓRMULA MANUAL]","",IFERROR(AVERAGEIFS(nNOTA,nNIA,M601,nCUENTA,1,nASIG,"Orquesta/Banda/Conjunto"),"")))</f>
        <v/>
      </c>
      <c r="P601" t="str">
        <f>IF(M601="","",IF(M601="[FÓRMULA MANUAL]","",IFERROR(AVERAGEIFS(nNOTA,nNIA,M601,nCUENTA,1,nASIG,"Música de Cámara"),"")))</f>
        <v/>
      </c>
      <c r="Q601" t="str">
        <f>IF(M601="","",IF(M601="[FÓRMULA MANUAL]","",IFERROR(SUMPRODUCT((nNIA=M601)*(nCUENTA=1)*(COUNTIF(CONFIG_ASIGNATURAS!$B$7:$B$27,nASIG)&gt;0)*(nNOTA))/SUMPRODUCT((nNIA=M601)*(nCUENTA=1)*(COUNTIF(CONFIG_ASIGNATURAS!$B$7:$B$27,nASIG)&gt;0)*1),"")))</f>
        <v/>
      </c>
      <c r="T601" t="str">
        <f>IF(S601="","",IF(S601="[FÓRMULA MANUAL]","",IFERROR(AVERAGEIFS(nNOTA,nNIA,S601,nCUENTA,1,nASIG,"Armonía"),"")))</f>
        <v/>
      </c>
      <c r="U601" t="str">
        <f>IF(S601="","",IF(S601="[FÓRMULA MANUAL]","",IFERROR(AVERAGEIFS(nNOTA,nNIA,S601,nCUENTA,1,nASIG,"Orquesta/Banda/Conjunto"),"")))</f>
        <v/>
      </c>
      <c r="V601" t="str">
        <f>IF(S601="","",IF(S601="[FÓRMULA MANUAL]","",IFERROR(AVERAGEIFS(nNOTA,nNIA,S601,nCUENTA,1,nASIG,"Música de Cámara"),"")))</f>
        <v/>
      </c>
      <c r="W601" t="str">
        <f>IF(S601="","",IF(S601="[FÓRMULA MANUAL]","",IFERROR(SUMPRODUCT((nNIA=S601)*(nCUENTA=1)*(COUNTIF(CONFIG_ASIGNATURAS!$B$7:$B$27,nASIG)&gt;0)*(nNOTA))/SUMPRODUCT((nNIA=S601)*(nCUENTA=1)*(COUNTIF(CONFIG_ASIGNATURAS!$B$7:$B$27,nASIG)&gt;0)*1),"")))</f>
        <v/>
      </c>
      <c r="Z601" t="str">
        <f>IF(Y601="","",IF(Y601="[FÓRMULA MANUAL]","",IFERROR(AVERAGEIFS(nNOTA,nNIA,Y601,nCUENTA,1,nASIG,"Análisis"),"")))</f>
        <v/>
      </c>
      <c r="AA601" t="str">
        <f>IF(Y601="","",IF(Y601="[FÓRMULA MANUAL]","",IFERROR(AVERAGEIFS(nNOTA,nNIA,Y601,nCUENTA,1,nASIG,"Orquesta/Banda/Conjunto"),"")))</f>
        <v/>
      </c>
      <c r="AB601" t="str">
        <f>IF(Y601="","",IF(Y601="[FÓRMULA MANUAL]","",IFERROR(AVERAGEIFS(nNOTA,nNIA,Y601,nCUENTA,1,nASIG,"Música de Cámara"),"")))</f>
        <v/>
      </c>
      <c r="AC601" t="str">
        <f>IF(Y601="","",IF(Y601="[FÓRMULA MANUAL]","",IFERROR(SUMPRODUCT((nNIA=Y601)*(nCUENTA=1)*(COUNTIF(CONFIG_ASIGNATURAS!$B$7:$B$27,nASIG)&gt;0)*(nNOTA))/SUMPRODUCT((nNIA=Y601)*(nCUENTA=1)*(COUNTIF(CONFIG_ASIGNATURAS!$B$7:$B$27,nASIG)&gt;0)*1),"")))</f>
        <v/>
      </c>
      <c r="AF601" t="str">
        <f>IF(AE601="","",IF(AE601="[FÓRMULA MANUAL]","",IFERROR(AVERAGEIFS(nNOTA,nNIA,AE601,nCUENTA,1,nASIG,"Análisis"),"")))</f>
        <v/>
      </c>
      <c r="AG601" t="str">
        <f>IF(AE601="","",IF(AE601="[FÓRMULA MANUAL]","",IFERROR(AVERAGEIFS(nNOTA,nNIA,AE601,nCUENTA,1,nASIG,"Orquesta/Banda/Conjunto"),"")))</f>
        <v/>
      </c>
      <c r="AH601" t="str">
        <f>IF(AE601="","",IF(AE601="[FÓRMULA MANUAL]","",IFERROR(AVERAGEIFS(nNOTA,nNIA,AE601,nCUENTA,1,nASIG,"Música de Cámara"),"")))</f>
        <v/>
      </c>
      <c r="AI601" t="str">
        <f>IF(AE601="","",IF(AE601="[FÓRMULA MANUAL]","",IFERROR(SUMPRODUCT((nNIA=AE601)*(nCUENTA=1)*(COUNTIF(CONFIG_ASIGNATURAS!$B$7:$B$27,nASIG)&gt;0)*(nNOTA))/SUMPRODUCT((nNIA=AE601)*(nCUENTA=1)*(COUNTIF(CONFIG_ASIGNATURAS!$B$7:$B$27,nASIG)&gt;0)*1),"")))</f>
        <v/>
      </c>
    </row>
    <row r="602" spans="2:35" x14ac:dyDescent="0.2">
      <c r="B602" t="str">
        <f>IF(A602="","",IF(A602="[FÓRMULA MANUAL]","",IFERROR(AVERAGEIFS(nNOTA,nNIA,A602,nCUENTA,1,nASIG,"Lenguaje Musical"),"")))</f>
        <v/>
      </c>
      <c r="C602" t="str">
        <f>IF(A602="","",IF(A602="[FÓRMULA MANUAL]","",IFERROR(AVERAGEIFS(nNOTA,nNIA,A602,nCUENTA,1,nASIG,"Orquesta/Banda/Conjunto"),"")))</f>
        <v/>
      </c>
      <c r="D602" t="str">
        <f>IF(A602="","",IF(A602="[FÓRMULA MANUAL]","",IFERROR(AVERAGEIFS(nNOTA,nNIA,A602,nCUENTA,1,nASIG,"Conjunto"),"")))</f>
        <v/>
      </c>
      <c r="E602" t="str">
        <f>IF(A602="","",IF(A602="[FÓRMULA MANUAL]","",IFERROR(SUMPRODUCT((nNIA=A602)*(nCUENTA=1)*(COUNTIF(CONFIG_ASIGNATURAS!$B$7:$B$27,nASIG)&gt;0)*(nNOTA))/SUMPRODUCT((nNIA=A602)*(nCUENTA=1)*(COUNTIF(CONFIG_ASIGNATURAS!$B$7:$B$27,nASIG)&gt;0)*1),"")))</f>
        <v/>
      </c>
      <c r="H602" t="str">
        <f>IF(G602="","",IF(G602="[FÓRMULA MANUAL]","",IFERROR(AVERAGEIFS(nNOTA,nNIA,G602,nCUENTA,1,nASIG,"Lenguaje Musical"),"")))</f>
        <v/>
      </c>
      <c r="I602" t="str">
        <f>IF(G602="","",IF(G602="[FÓRMULA MANUAL]","",IFERROR(AVERAGEIFS(nNOTA,nNIA,G602,nCUENTA,1,nASIG,"Orquesta/Banda/Conjunto"),"")))</f>
        <v/>
      </c>
      <c r="J602" t="str">
        <f>IF(G602="","",IF(G602="[FÓRMULA MANUAL]","",IFERROR(AVERAGEIFS(nNOTA,nNIA,G602,nCUENTA,1,nASIG,"Conjunto"),"")))</f>
        <v/>
      </c>
      <c r="K602" t="str">
        <f>IF(G602="","",IF(G602="[FÓRMULA MANUAL]","",IFERROR(SUMPRODUCT((nNIA=G602)*(nCUENTA=1)*(COUNTIF(CONFIG_ASIGNATURAS!$B$7:$B$27,nASIG)&gt;0)*(nNOTA))/SUMPRODUCT((nNIA=G602)*(nCUENTA=1)*(COUNTIF(CONFIG_ASIGNATURAS!$B$7:$B$27,nASIG)&gt;0)*1),"")))</f>
        <v/>
      </c>
      <c r="N602" t="str">
        <f>IF(M602="","",IF(M602="[FÓRMULA MANUAL]","",IFERROR(AVERAGEIFS(nNOTA,nNIA,M602,nCUENTA,1,nASIG,"Armonía"),"")))</f>
        <v/>
      </c>
      <c r="O602" t="str">
        <f>IF(M602="","",IF(M602="[FÓRMULA MANUAL]","",IFERROR(AVERAGEIFS(nNOTA,nNIA,M602,nCUENTA,1,nASIG,"Orquesta/Banda/Conjunto"),"")))</f>
        <v/>
      </c>
      <c r="P602" t="str">
        <f>IF(M602="","",IF(M602="[FÓRMULA MANUAL]","",IFERROR(AVERAGEIFS(nNOTA,nNIA,M602,nCUENTA,1,nASIG,"Música de Cámara"),"")))</f>
        <v/>
      </c>
      <c r="Q602" t="str">
        <f>IF(M602="","",IF(M602="[FÓRMULA MANUAL]","",IFERROR(SUMPRODUCT((nNIA=M602)*(nCUENTA=1)*(COUNTIF(CONFIG_ASIGNATURAS!$B$7:$B$27,nASIG)&gt;0)*(nNOTA))/SUMPRODUCT((nNIA=M602)*(nCUENTA=1)*(COUNTIF(CONFIG_ASIGNATURAS!$B$7:$B$27,nASIG)&gt;0)*1),"")))</f>
        <v/>
      </c>
      <c r="T602" t="str">
        <f>IF(S602="","",IF(S602="[FÓRMULA MANUAL]","",IFERROR(AVERAGEIFS(nNOTA,nNIA,S602,nCUENTA,1,nASIG,"Armonía"),"")))</f>
        <v/>
      </c>
      <c r="U602" t="str">
        <f>IF(S602="","",IF(S602="[FÓRMULA MANUAL]","",IFERROR(AVERAGEIFS(nNOTA,nNIA,S602,nCUENTA,1,nASIG,"Orquesta/Banda/Conjunto"),"")))</f>
        <v/>
      </c>
      <c r="V602" t="str">
        <f>IF(S602="","",IF(S602="[FÓRMULA MANUAL]","",IFERROR(AVERAGEIFS(nNOTA,nNIA,S602,nCUENTA,1,nASIG,"Música de Cámara"),"")))</f>
        <v/>
      </c>
      <c r="W602" t="str">
        <f>IF(S602="","",IF(S602="[FÓRMULA MANUAL]","",IFERROR(SUMPRODUCT((nNIA=S602)*(nCUENTA=1)*(COUNTIF(CONFIG_ASIGNATURAS!$B$7:$B$27,nASIG)&gt;0)*(nNOTA))/SUMPRODUCT((nNIA=S602)*(nCUENTA=1)*(COUNTIF(CONFIG_ASIGNATURAS!$B$7:$B$27,nASIG)&gt;0)*1),"")))</f>
        <v/>
      </c>
      <c r="Z602" t="str">
        <f>IF(Y602="","",IF(Y602="[FÓRMULA MANUAL]","",IFERROR(AVERAGEIFS(nNOTA,nNIA,Y602,nCUENTA,1,nASIG,"Análisis"),"")))</f>
        <v/>
      </c>
      <c r="AA602" t="str">
        <f>IF(Y602="","",IF(Y602="[FÓRMULA MANUAL]","",IFERROR(AVERAGEIFS(nNOTA,nNIA,Y602,nCUENTA,1,nASIG,"Orquesta/Banda/Conjunto"),"")))</f>
        <v/>
      </c>
      <c r="AB602" t="str">
        <f>IF(Y602="","",IF(Y602="[FÓRMULA MANUAL]","",IFERROR(AVERAGEIFS(nNOTA,nNIA,Y602,nCUENTA,1,nASIG,"Música de Cámara"),"")))</f>
        <v/>
      </c>
      <c r="AC602" t="str">
        <f>IF(Y602="","",IF(Y602="[FÓRMULA MANUAL]","",IFERROR(SUMPRODUCT((nNIA=Y602)*(nCUENTA=1)*(COUNTIF(CONFIG_ASIGNATURAS!$B$7:$B$27,nASIG)&gt;0)*(nNOTA))/SUMPRODUCT((nNIA=Y602)*(nCUENTA=1)*(COUNTIF(CONFIG_ASIGNATURAS!$B$7:$B$27,nASIG)&gt;0)*1),"")))</f>
        <v/>
      </c>
      <c r="AF602" t="str">
        <f>IF(AE602="","",IF(AE602="[FÓRMULA MANUAL]","",IFERROR(AVERAGEIFS(nNOTA,nNIA,AE602,nCUENTA,1,nASIG,"Análisis"),"")))</f>
        <v/>
      </c>
      <c r="AG602" t="str">
        <f>IF(AE602="","",IF(AE602="[FÓRMULA MANUAL]","",IFERROR(AVERAGEIFS(nNOTA,nNIA,AE602,nCUENTA,1,nASIG,"Orquesta/Banda/Conjunto"),"")))</f>
        <v/>
      </c>
      <c r="AH602" t="str">
        <f>IF(AE602="","",IF(AE602="[FÓRMULA MANUAL]","",IFERROR(AVERAGEIFS(nNOTA,nNIA,AE602,nCUENTA,1,nASIG,"Música de Cámara"),"")))</f>
        <v/>
      </c>
      <c r="AI602" t="str">
        <f>IF(AE602="","",IF(AE602="[FÓRMULA MANUAL]","",IFERROR(SUMPRODUCT((nNIA=AE602)*(nCUENTA=1)*(COUNTIF(CONFIG_ASIGNATURAS!$B$7:$B$27,nASIG)&gt;0)*(nNOTA))/SUMPRODUCT((nNIA=AE602)*(nCUENTA=1)*(COUNTIF(CONFIG_ASIGNATURAS!$B$7:$B$27,nASIG)&gt;0)*1),"")))</f>
        <v/>
      </c>
    </row>
    <row r="603" spans="2:35" x14ac:dyDescent="0.2">
      <c r="B603" t="str">
        <f>IF(A603="","",IF(A603="[FÓRMULA MANUAL]","",IFERROR(AVERAGEIFS(nNOTA,nNIA,A603,nCUENTA,1,nASIG,"Lenguaje Musical"),"")))</f>
        <v/>
      </c>
      <c r="C603" t="str">
        <f>IF(A603="","",IF(A603="[FÓRMULA MANUAL]","",IFERROR(AVERAGEIFS(nNOTA,nNIA,A603,nCUENTA,1,nASIG,"Orquesta/Banda/Conjunto"),"")))</f>
        <v/>
      </c>
      <c r="D603" t="str">
        <f>IF(A603="","",IF(A603="[FÓRMULA MANUAL]","",IFERROR(AVERAGEIFS(nNOTA,nNIA,A603,nCUENTA,1,nASIG,"Conjunto"),"")))</f>
        <v/>
      </c>
      <c r="E603" t="str">
        <f>IF(A603="","",IF(A603="[FÓRMULA MANUAL]","",IFERROR(SUMPRODUCT((nNIA=A603)*(nCUENTA=1)*(COUNTIF(CONFIG_ASIGNATURAS!$B$7:$B$27,nASIG)&gt;0)*(nNOTA))/SUMPRODUCT((nNIA=A603)*(nCUENTA=1)*(COUNTIF(CONFIG_ASIGNATURAS!$B$7:$B$27,nASIG)&gt;0)*1),"")))</f>
        <v/>
      </c>
      <c r="H603" t="str">
        <f>IF(G603="","",IF(G603="[FÓRMULA MANUAL]","",IFERROR(AVERAGEIFS(nNOTA,nNIA,G603,nCUENTA,1,nASIG,"Lenguaje Musical"),"")))</f>
        <v/>
      </c>
      <c r="I603" t="str">
        <f>IF(G603="","",IF(G603="[FÓRMULA MANUAL]","",IFERROR(AVERAGEIFS(nNOTA,nNIA,G603,nCUENTA,1,nASIG,"Orquesta/Banda/Conjunto"),"")))</f>
        <v/>
      </c>
      <c r="J603" t="str">
        <f>IF(G603="","",IF(G603="[FÓRMULA MANUAL]","",IFERROR(AVERAGEIFS(nNOTA,nNIA,G603,nCUENTA,1,nASIG,"Conjunto"),"")))</f>
        <v/>
      </c>
      <c r="K603" t="str">
        <f>IF(G603="","",IF(G603="[FÓRMULA MANUAL]","",IFERROR(SUMPRODUCT((nNIA=G603)*(nCUENTA=1)*(COUNTIF(CONFIG_ASIGNATURAS!$B$7:$B$27,nASIG)&gt;0)*(nNOTA))/SUMPRODUCT((nNIA=G603)*(nCUENTA=1)*(COUNTIF(CONFIG_ASIGNATURAS!$B$7:$B$27,nASIG)&gt;0)*1),"")))</f>
        <v/>
      </c>
      <c r="N603" t="str">
        <f>IF(M603="","",IF(M603="[FÓRMULA MANUAL]","",IFERROR(AVERAGEIFS(nNOTA,nNIA,M603,nCUENTA,1,nASIG,"Armonía"),"")))</f>
        <v/>
      </c>
      <c r="O603" t="str">
        <f>IF(M603="","",IF(M603="[FÓRMULA MANUAL]","",IFERROR(AVERAGEIFS(nNOTA,nNIA,M603,nCUENTA,1,nASIG,"Orquesta/Banda/Conjunto"),"")))</f>
        <v/>
      </c>
      <c r="P603" t="str">
        <f>IF(M603="","",IF(M603="[FÓRMULA MANUAL]","",IFERROR(AVERAGEIFS(nNOTA,nNIA,M603,nCUENTA,1,nASIG,"Música de Cámara"),"")))</f>
        <v/>
      </c>
      <c r="Q603" t="str">
        <f>IF(M603="","",IF(M603="[FÓRMULA MANUAL]","",IFERROR(SUMPRODUCT((nNIA=M603)*(nCUENTA=1)*(COUNTIF(CONFIG_ASIGNATURAS!$B$7:$B$27,nASIG)&gt;0)*(nNOTA))/SUMPRODUCT((nNIA=M603)*(nCUENTA=1)*(COUNTIF(CONFIG_ASIGNATURAS!$B$7:$B$27,nASIG)&gt;0)*1),"")))</f>
        <v/>
      </c>
      <c r="T603" t="str">
        <f>IF(S603="","",IF(S603="[FÓRMULA MANUAL]","",IFERROR(AVERAGEIFS(nNOTA,nNIA,S603,nCUENTA,1,nASIG,"Armonía"),"")))</f>
        <v/>
      </c>
      <c r="U603" t="str">
        <f>IF(S603="","",IF(S603="[FÓRMULA MANUAL]","",IFERROR(AVERAGEIFS(nNOTA,nNIA,S603,nCUENTA,1,nASIG,"Orquesta/Banda/Conjunto"),"")))</f>
        <v/>
      </c>
      <c r="V603" t="str">
        <f>IF(S603="","",IF(S603="[FÓRMULA MANUAL]","",IFERROR(AVERAGEIFS(nNOTA,nNIA,S603,nCUENTA,1,nASIG,"Música de Cámara"),"")))</f>
        <v/>
      </c>
      <c r="W603" t="str">
        <f>IF(S603="","",IF(S603="[FÓRMULA MANUAL]","",IFERROR(SUMPRODUCT((nNIA=S603)*(nCUENTA=1)*(COUNTIF(CONFIG_ASIGNATURAS!$B$7:$B$27,nASIG)&gt;0)*(nNOTA))/SUMPRODUCT((nNIA=S603)*(nCUENTA=1)*(COUNTIF(CONFIG_ASIGNATURAS!$B$7:$B$27,nASIG)&gt;0)*1),"")))</f>
        <v/>
      </c>
      <c r="Z603" t="str">
        <f>IF(Y603="","",IF(Y603="[FÓRMULA MANUAL]","",IFERROR(AVERAGEIFS(nNOTA,nNIA,Y603,nCUENTA,1,nASIG,"Análisis"),"")))</f>
        <v/>
      </c>
      <c r="AA603" t="str">
        <f>IF(Y603="","",IF(Y603="[FÓRMULA MANUAL]","",IFERROR(AVERAGEIFS(nNOTA,nNIA,Y603,nCUENTA,1,nASIG,"Orquesta/Banda/Conjunto"),"")))</f>
        <v/>
      </c>
      <c r="AB603" t="str">
        <f>IF(Y603="","",IF(Y603="[FÓRMULA MANUAL]","",IFERROR(AVERAGEIFS(nNOTA,nNIA,Y603,nCUENTA,1,nASIG,"Música de Cámara"),"")))</f>
        <v/>
      </c>
      <c r="AC603" t="str">
        <f>IF(Y603="","",IF(Y603="[FÓRMULA MANUAL]","",IFERROR(SUMPRODUCT((nNIA=Y603)*(nCUENTA=1)*(COUNTIF(CONFIG_ASIGNATURAS!$B$7:$B$27,nASIG)&gt;0)*(nNOTA))/SUMPRODUCT((nNIA=Y603)*(nCUENTA=1)*(COUNTIF(CONFIG_ASIGNATURAS!$B$7:$B$27,nASIG)&gt;0)*1),"")))</f>
        <v/>
      </c>
      <c r="AF603" t="str">
        <f>IF(AE603="","",IF(AE603="[FÓRMULA MANUAL]","",IFERROR(AVERAGEIFS(nNOTA,nNIA,AE603,nCUENTA,1,nASIG,"Análisis"),"")))</f>
        <v/>
      </c>
      <c r="AG603" t="str">
        <f>IF(AE603="","",IF(AE603="[FÓRMULA MANUAL]","",IFERROR(AVERAGEIFS(nNOTA,nNIA,AE603,nCUENTA,1,nASIG,"Orquesta/Banda/Conjunto"),"")))</f>
        <v/>
      </c>
      <c r="AH603" t="str">
        <f>IF(AE603="","",IF(AE603="[FÓRMULA MANUAL]","",IFERROR(AVERAGEIFS(nNOTA,nNIA,AE603,nCUENTA,1,nASIG,"Música de Cámara"),"")))</f>
        <v/>
      </c>
      <c r="AI603" t="str">
        <f>IF(AE603="","",IF(AE603="[FÓRMULA MANUAL]","",IFERROR(SUMPRODUCT((nNIA=AE603)*(nCUENTA=1)*(COUNTIF(CONFIG_ASIGNATURAS!$B$7:$B$27,nASIG)&gt;0)*(nNOTA))/SUMPRODUCT((nNIA=AE603)*(nCUENTA=1)*(COUNTIF(CONFIG_ASIGNATURAS!$B$7:$B$27,nASIG)&gt;0)*1),"")))</f>
        <v/>
      </c>
    </row>
    <row r="604" spans="2:35" x14ac:dyDescent="0.2">
      <c r="B604" t="str">
        <f>IF(A604="","",IF(A604="[FÓRMULA MANUAL]","",IFERROR(AVERAGEIFS(nNOTA,nNIA,A604,nCUENTA,1,nASIG,"Lenguaje Musical"),"")))</f>
        <v/>
      </c>
      <c r="C604" t="str">
        <f>IF(A604="","",IF(A604="[FÓRMULA MANUAL]","",IFERROR(AVERAGEIFS(nNOTA,nNIA,A604,nCUENTA,1,nASIG,"Orquesta/Banda/Conjunto"),"")))</f>
        <v/>
      </c>
      <c r="D604" t="str">
        <f>IF(A604="","",IF(A604="[FÓRMULA MANUAL]","",IFERROR(AVERAGEIFS(nNOTA,nNIA,A604,nCUENTA,1,nASIG,"Conjunto"),"")))</f>
        <v/>
      </c>
      <c r="E604" t="str">
        <f>IF(A604="","",IF(A604="[FÓRMULA MANUAL]","",IFERROR(SUMPRODUCT((nNIA=A604)*(nCUENTA=1)*(COUNTIF(CONFIG_ASIGNATURAS!$B$7:$B$27,nASIG)&gt;0)*(nNOTA))/SUMPRODUCT((nNIA=A604)*(nCUENTA=1)*(COUNTIF(CONFIG_ASIGNATURAS!$B$7:$B$27,nASIG)&gt;0)*1),"")))</f>
        <v/>
      </c>
      <c r="H604" t="str">
        <f>IF(G604="","",IF(G604="[FÓRMULA MANUAL]","",IFERROR(AVERAGEIFS(nNOTA,nNIA,G604,nCUENTA,1,nASIG,"Lenguaje Musical"),"")))</f>
        <v/>
      </c>
      <c r="I604" t="str">
        <f>IF(G604="","",IF(G604="[FÓRMULA MANUAL]","",IFERROR(AVERAGEIFS(nNOTA,nNIA,G604,nCUENTA,1,nASIG,"Orquesta/Banda/Conjunto"),"")))</f>
        <v/>
      </c>
      <c r="J604" t="str">
        <f>IF(G604="","",IF(G604="[FÓRMULA MANUAL]","",IFERROR(AVERAGEIFS(nNOTA,nNIA,G604,nCUENTA,1,nASIG,"Conjunto"),"")))</f>
        <v/>
      </c>
      <c r="K604" t="str">
        <f>IF(G604="","",IF(G604="[FÓRMULA MANUAL]","",IFERROR(SUMPRODUCT((nNIA=G604)*(nCUENTA=1)*(COUNTIF(CONFIG_ASIGNATURAS!$B$7:$B$27,nASIG)&gt;0)*(nNOTA))/SUMPRODUCT((nNIA=G604)*(nCUENTA=1)*(COUNTIF(CONFIG_ASIGNATURAS!$B$7:$B$27,nASIG)&gt;0)*1),"")))</f>
        <v/>
      </c>
      <c r="N604" t="str">
        <f>IF(M604="","",IF(M604="[FÓRMULA MANUAL]","",IFERROR(AVERAGEIFS(nNOTA,nNIA,M604,nCUENTA,1,nASIG,"Armonía"),"")))</f>
        <v/>
      </c>
      <c r="O604" t="str">
        <f>IF(M604="","",IF(M604="[FÓRMULA MANUAL]","",IFERROR(AVERAGEIFS(nNOTA,nNIA,M604,nCUENTA,1,nASIG,"Orquesta/Banda/Conjunto"),"")))</f>
        <v/>
      </c>
      <c r="P604" t="str">
        <f>IF(M604="","",IF(M604="[FÓRMULA MANUAL]","",IFERROR(AVERAGEIFS(nNOTA,nNIA,M604,nCUENTA,1,nASIG,"Música de Cámara"),"")))</f>
        <v/>
      </c>
      <c r="Q604" t="str">
        <f>IF(M604="","",IF(M604="[FÓRMULA MANUAL]","",IFERROR(SUMPRODUCT((nNIA=M604)*(nCUENTA=1)*(COUNTIF(CONFIG_ASIGNATURAS!$B$7:$B$27,nASIG)&gt;0)*(nNOTA))/SUMPRODUCT((nNIA=M604)*(nCUENTA=1)*(COUNTIF(CONFIG_ASIGNATURAS!$B$7:$B$27,nASIG)&gt;0)*1),"")))</f>
        <v/>
      </c>
      <c r="T604" t="str">
        <f>IF(S604="","",IF(S604="[FÓRMULA MANUAL]","",IFERROR(AVERAGEIFS(nNOTA,nNIA,S604,nCUENTA,1,nASIG,"Armonía"),"")))</f>
        <v/>
      </c>
      <c r="U604" t="str">
        <f>IF(S604="","",IF(S604="[FÓRMULA MANUAL]","",IFERROR(AVERAGEIFS(nNOTA,nNIA,S604,nCUENTA,1,nASIG,"Orquesta/Banda/Conjunto"),"")))</f>
        <v/>
      </c>
      <c r="V604" t="str">
        <f>IF(S604="","",IF(S604="[FÓRMULA MANUAL]","",IFERROR(AVERAGEIFS(nNOTA,nNIA,S604,nCUENTA,1,nASIG,"Música de Cámara"),"")))</f>
        <v/>
      </c>
      <c r="W604" t="str">
        <f>IF(S604="","",IF(S604="[FÓRMULA MANUAL]","",IFERROR(SUMPRODUCT((nNIA=S604)*(nCUENTA=1)*(COUNTIF(CONFIG_ASIGNATURAS!$B$7:$B$27,nASIG)&gt;0)*(nNOTA))/SUMPRODUCT((nNIA=S604)*(nCUENTA=1)*(COUNTIF(CONFIG_ASIGNATURAS!$B$7:$B$27,nASIG)&gt;0)*1),"")))</f>
        <v/>
      </c>
      <c r="Z604" t="str">
        <f>IF(Y604="","",IF(Y604="[FÓRMULA MANUAL]","",IFERROR(AVERAGEIFS(nNOTA,nNIA,Y604,nCUENTA,1,nASIG,"Análisis"),"")))</f>
        <v/>
      </c>
      <c r="AA604" t="str">
        <f>IF(Y604="","",IF(Y604="[FÓRMULA MANUAL]","",IFERROR(AVERAGEIFS(nNOTA,nNIA,Y604,nCUENTA,1,nASIG,"Orquesta/Banda/Conjunto"),"")))</f>
        <v/>
      </c>
      <c r="AB604" t="str">
        <f>IF(Y604="","",IF(Y604="[FÓRMULA MANUAL]","",IFERROR(AVERAGEIFS(nNOTA,nNIA,Y604,nCUENTA,1,nASIG,"Música de Cámara"),"")))</f>
        <v/>
      </c>
      <c r="AC604" t="str">
        <f>IF(Y604="","",IF(Y604="[FÓRMULA MANUAL]","",IFERROR(SUMPRODUCT((nNIA=Y604)*(nCUENTA=1)*(COUNTIF(CONFIG_ASIGNATURAS!$B$7:$B$27,nASIG)&gt;0)*(nNOTA))/SUMPRODUCT((nNIA=Y604)*(nCUENTA=1)*(COUNTIF(CONFIG_ASIGNATURAS!$B$7:$B$27,nASIG)&gt;0)*1),"")))</f>
        <v/>
      </c>
      <c r="AF604" t="str">
        <f>IF(AE604="","",IF(AE604="[FÓRMULA MANUAL]","",IFERROR(AVERAGEIFS(nNOTA,nNIA,AE604,nCUENTA,1,nASIG,"Análisis"),"")))</f>
        <v/>
      </c>
      <c r="AG604" t="str">
        <f>IF(AE604="","",IF(AE604="[FÓRMULA MANUAL]","",IFERROR(AVERAGEIFS(nNOTA,nNIA,AE604,nCUENTA,1,nASIG,"Orquesta/Banda/Conjunto"),"")))</f>
        <v/>
      </c>
      <c r="AH604" t="str">
        <f>IF(AE604="","",IF(AE604="[FÓRMULA MANUAL]","",IFERROR(AVERAGEIFS(nNOTA,nNIA,AE604,nCUENTA,1,nASIG,"Música de Cámara"),"")))</f>
        <v/>
      </c>
      <c r="AI604" t="str">
        <f>IF(AE604="","",IF(AE604="[FÓRMULA MANUAL]","",IFERROR(SUMPRODUCT((nNIA=AE604)*(nCUENTA=1)*(COUNTIF(CONFIG_ASIGNATURAS!$B$7:$B$27,nASIG)&gt;0)*(nNOTA))/SUMPRODUCT((nNIA=AE604)*(nCUENTA=1)*(COUNTIF(CONFIG_ASIGNATURAS!$B$7:$B$27,nASIG)&gt;0)*1),"")))</f>
        <v/>
      </c>
    </row>
    <row r="605" spans="2:35" x14ac:dyDescent="0.2">
      <c r="B605" t="str">
        <f>IF(A605="","",IF(A605="[FÓRMULA MANUAL]","",IFERROR(AVERAGEIFS(nNOTA,nNIA,A605,nCUENTA,1,nASIG,"Lenguaje Musical"),"")))</f>
        <v/>
      </c>
      <c r="C605" t="str">
        <f>IF(A605="","",IF(A605="[FÓRMULA MANUAL]","",IFERROR(AVERAGEIFS(nNOTA,nNIA,A605,nCUENTA,1,nASIG,"Orquesta/Banda/Conjunto"),"")))</f>
        <v/>
      </c>
      <c r="D605" t="str">
        <f>IF(A605="","",IF(A605="[FÓRMULA MANUAL]","",IFERROR(AVERAGEIFS(nNOTA,nNIA,A605,nCUENTA,1,nASIG,"Conjunto"),"")))</f>
        <v/>
      </c>
      <c r="E605" t="str">
        <f>IF(A605="","",IF(A605="[FÓRMULA MANUAL]","",IFERROR(SUMPRODUCT((nNIA=A605)*(nCUENTA=1)*(COUNTIF(CONFIG_ASIGNATURAS!$B$7:$B$27,nASIG)&gt;0)*(nNOTA))/SUMPRODUCT((nNIA=A605)*(nCUENTA=1)*(COUNTIF(CONFIG_ASIGNATURAS!$B$7:$B$27,nASIG)&gt;0)*1),"")))</f>
        <v/>
      </c>
      <c r="H605" t="str">
        <f>IF(G605="","",IF(G605="[FÓRMULA MANUAL]","",IFERROR(AVERAGEIFS(nNOTA,nNIA,G605,nCUENTA,1,nASIG,"Lenguaje Musical"),"")))</f>
        <v/>
      </c>
      <c r="I605" t="str">
        <f>IF(G605="","",IF(G605="[FÓRMULA MANUAL]","",IFERROR(AVERAGEIFS(nNOTA,nNIA,G605,nCUENTA,1,nASIG,"Orquesta/Banda/Conjunto"),"")))</f>
        <v/>
      </c>
      <c r="J605" t="str">
        <f>IF(G605="","",IF(G605="[FÓRMULA MANUAL]","",IFERROR(AVERAGEIFS(nNOTA,nNIA,G605,nCUENTA,1,nASIG,"Conjunto"),"")))</f>
        <v/>
      </c>
      <c r="K605" t="str">
        <f>IF(G605="","",IF(G605="[FÓRMULA MANUAL]","",IFERROR(SUMPRODUCT((nNIA=G605)*(nCUENTA=1)*(COUNTIF(CONFIG_ASIGNATURAS!$B$7:$B$27,nASIG)&gt;0)*(nNOTA))/SUMPRODUCT((nNIA=G605)*(nCUENTA=1)*(COUNTIF(CONFIG_ASIGNATURAS!$B$7:$B$27,nASIG)&gt;0)*1),"")))</f>
        <v/>
      </c>
      <c r="N605" t="str">
        <f>IF(M605="","",IF(M605="[FÓRMULA MANUAL]","",IFERROR(AVERAGEIFS(nNOTA,nNIA,M605,nCUENTA,1,nASIG,"Armonía"),"")))</f>
        <v/>
      </c>
      <c r="O605" t="str">
        <f>IF(M605="","",IF(M605="[FÓRMULA MANUAL]","",IFERROR(AVERAGEIFS(nNOTA,nNIA,M605,nCUENTA,1,nASIG,"Orquesta/Banda/Conjunto"),"")))</f>
        <v/>
      </c>
      <c r="P605" t="str">
        <f>IF(M605="","",IF(M605="[FÓRMULA MANUAL]","",IFERROR(AVERAGEIFS(nNOTA,nNIA,M605,nCUENTA,1,nASIG,"Música de Cámara"),"")))</f>
        <v/>
      </c>
      <c r="Q605" t="str">
        <f>IF(M605="","",IF(M605="[FÓRMULA MANUAL]","",IFERROR(SUMPRODUCT((nNIA=M605)*(nCUENTA=1)*(COUNTIF(CONFIG_ASIGNATURAS!$B$7:$B$27,nASIG)&gt;0)*(nNOTA))/SUMPRODUCT((nNIA=M605)*(nCUENTA=1)*(COUNTIF(CONFIG_ASIGNATURAS!$B$7:$B$27,nASIG)&gt;0)*1),"")))</f>
        <v/>
      </c>
      <c r="T605" t="str">
        <f>IF(S605="","",IF(S605="[FÓRMULA MANUAL]","",IFERROR(AVERAGEIFS(nNOTA,nNIA,S605,nCUENTA,1,nASIG,"Armonía"),"")))</f>
        <v/>
      </c>
      <c r="U605" t="str">
        <f>IF(S605="","",IF(S605="[FÓRMULA MANUAL]","",IFERROR(AVERAGEIFS(nNOTA,nNIA,S605,nCUENTA,1,nASIG,"Orquesta/Banda/Conjunto"),"")))</f>
        <v/>
      </c>
      <c r="V605" t="str">
        <f>IF(S605="","",IF(S605="[FÓRMULA MANUAL]","",IFERROR(AVERAGEIFS(nNOTA,nNIA,S605,nCUENTA,1,nASIG,"Música de Cámara"),"")))</f>
        <v/>
      </c>
      <c r="W605" t="str">
        <f>IF(S605="","",IF(S605="[FÓRMULA MANUAL]","",IFERROR(SUMPRODUCT((nNIA=S605)*(nCUENTA=1)*(COUNTIF(CONFIG_ASIGNATURAS!$B$7:$B$27,nASIG)&gt;0)*(nNOTA))/SUMPRODUCT((nNIA=S605)*(nCUENTA=1)*(COUNTIF(CONFIG_ASIGNATURAS!$B$7:$B$27,nASIG)&gt;0)*1),"")))</f>
        <v/>
      </c>
      <c r="Z605" t="str">
        <f>IF(Y605="","",IF(Y605="[FÓRMULA MANUAL]","",IFERROR(AVERAGEIFS(nNOTA,nNIA,Y605,nCUENTA,1,nASIG,"Análisis"),"")))</f>
        <v/>
      </c>
      <c r="AA605" t="str">
        <f>IF(Y605="","",IF(Y605="[FÓRMULA MANUAL]","",IFERROR(AVERAGEIFS(nNOTA,nNIA,Y605,nCUENTA,1,nASIG,"Orquesta/Banda/Conjunto"),"")))</f>
        <v/>
      </c>
      <c r="AB605" t="str">
        <f>IF(Y605="","",IF(Y605="[FÓRMULA MANUAL]","",IFERROR(AVERAGEIFS(nNOTA,nNIA,Y605,nCUENTA,1,nASIG,"Música de Cámara"),"")))</f>
        <v/>
      </c>
      <c r="AC605" t="str">
        <f>IF(Y605="","",IF(Y605="[FÓRMULA MANUAL]","",IFERROR(SUMPRODUCT((nNIA=Y605)*(nCUENTA=1)*(COUNTIF(CONFIG_ASIGNATURAS!$B$7:$B$27,nASIG)&gt;0)*(nNOTA))/SUMPRODUCT((nNIA=Y605)*(nCUENTA=1)*(COUNTIF(CONFIG_ASIGNATURAS!$B$7:$B$27,nASIG)&gt;0)*1),"")))</f>
        <v/>
      </c>
      <c r="AF605" t="str">
        <f>IF(AE605="","",IF(AE605="[FÓRMULA MANUAL]","",IFERROR(AVERAGEIFS(nNOTA,nNIA,AE605,nCUENTA,1,nASIG,"Análisis"),"")))</f>
        <v/>
      </c>
      <c r="AG605" t="str">
        <f>IF(AE605="","",IF(AE605="[FÓRMULA MANUAL]","",IFERROR(AVERAGEIFS(nNOTA,nNIA,AE605,nCUENTA,1,nASIG,"Orquesta/Banda/Conjunto"),"")))</f>
        <v/>
      </c>
      <c r="AH605" t="str">
        <f>IF(AE605="","",IF(AE605="[FÓRMULA MANUAL]","",IFERROR(AVERAGEIFS(nNOTA,nNIA,AE605,nCUENTA,1,nASIG,"Música de Cámara"),"")))</f>
        <v/>
      </c>
      <c r="AI605" t="str">
        <f>IF(AE605="","",IF(AE605="[FÓRMULA MANUAL]","",IFERROR(SUMPRODUCT((nNIA=AE605)*(nCUENTA=1)*(COUNTIF(CONFIG_ASIGNATURAS!$B$7:$B$27,nASIG)&gt;0)*(nNOTA))/SUMPRODUCT((nNIA=AE605)*(nCUENTA=1)*(COUNTIF(CONFIG_ASIGNATURAS!$B$7:$B$27,nASIG)&gt;0)*1),"")))</f>
        <v/>
      </c>
    </row>
    <row r="606" spans="2:35" x14ac:dyDescent="0.2">
      <c r="B606" t="str">
        <f>IF(A606="","",IF(A606="[FÓRMULA MANUAL]","",IFERROR(AVERAGEIFS(nNOTA,nNIA,A606,nCUENTA,1,nASIG,"Lenguaje Musical"),"")))</f>
        <v/>
      </c>
      <c r="C606" t="str">
        <f>IF(A606="","",IF(A606="[FÓRMULA MANUAL]","",IFERROR(AVERAGEIFS(nNOTA,nNIA,A606,nCUENTA,1,nASIG,"Orquesta/Banda/Conjunto"),"")))</f>
        <v/>
      </c>
      <c r="D606" t="str">
        <f>IF(A606="","",IF(A606="[FÓRMULA MANUAL]","",IFERROR(AVERAGEIFS(nNOTA,nNIA,A606,nCUENTA,1,nASIG,"Conjunto"),"")))</f>
        <v/>
      </c>
      <c r="E606" t="str">
        <f>IF(A606="","",IF(A606="[FÓRMULA MANUAL]","",IFERROR(SUMPRODUCT((nNIA=A606)*(nCUENTA=1)*(COUNTIF(CONFIG_ASIGNATURAS!$B$7:$B$27,nASIG)&gt;0)*(nNOTA))/SUMPRODUCT((nNIA=A606)*(nCUENTA=1)*(COUNTIF(CONFIG_ASIGNATURAS!$B$7:$B$27,nASIG)&gt;0)*1),"")))</f>
        <v/>
      </c>
      <c r="H606" t="str">
        <f>IF(G606="","",IF(G606="[FÓRMULA MANUAL]","",IFERROR(AVERAGEIFS(nNOTA,nNIA,G606,nCUENTA,1,nASIG,"Lenguaje Musical"),"")))</f>
        <v/>
      </c>
      <c r="I606" t="str">
        <f>IF(G606="","",IF(G606="[FÓRMULA MANUAL]","",IFERROR(AVERAGEIFS(nNOTA,nNIA,G606,nCUENTA,1,nASIG,"Orquesta/Banda/Conjunto"),"")))</f>
        <v/>
      </c>
      <c r="J606" t="str">
        <f>IF(G606="","",IF(G606="[FÓRMULA MANUAL]","",IFERROR(AVERAGEIFS(nNOTA,nNIA,G606,nCUENTA,1,nASIG,"Conjunto"),"")))</f>
        <v/>
      </c>
      <c r="K606" t="str">
        <f>IF(G606="","",IF(G606="[FÓRMULA MANUAL]","",IFERROR(SUMPRODUCT((nNIA=G606)*(nCUENTA=1)*(COUNTIF(CONFIG_ASIGNATURAS!$B$7:$B$27,nASIG)&gt;0)*(nNOTA))/SUMPRODUCT((nNIA=G606)*(nCUENTA=1)*(COUNTIF(CONFIG_ASIGNATURAS!$B$7:$B$27,nASIG)&gt;0)*1),"")))</f>
        <v/>
      </c>
      <c r="N606" t="str">
        <f>IF(M606="","",IF(M606="[FÓRMULA MANUAL]","",IFERROR(AVERAGEIFS(nNOTA,nNIA,M606,nCUENTA,1,nASIG,"Armonía"),"")))</f>
        <v/>
      </c>
      <c r="O606" t="str">
        <f>IF(M606="","",IF(M606="[FÓRMULA MANUAL]","",IFERROR(AVERAGEIFS(nNOTA,nNIA,M606,nCUENTA,1,nASIG,"Orquesta/Banda/Conjunto"),"")))</f>
        <v/>
      </c>
      <c r="P606" t="str">
        <f>IF(M606="","",IF(M606="[FÓRMULA MANUAL]","",IFERROR(AVERAGEIFS(nNOTA,nNIA,M606,nCUENTA,1,nASIG,"Música de Cámara"),"")))</f>
        <v/>
      </c>
      <c r="Q606" t="str">
        <f>IF(M606="","",IF(M606="[FÓRMULA MANUAL]","",IFERROR(SUMPRODUCT((nNIA=M606)*(nCUENTA=1)*(COUNTIF(CONFIG_ASIGNATURAS!$B$7:$B$27,nASIG)&gt;0)*(nNOTA))/SUMPRODUCT((nNIA=M606)*(nCUENTA=1)*(COUNTIF(CONFIG_ASIGNATURAS!$B$7:$B$27,nASIG)&gt;0)*1),"")))</f>
        <v/>
      </c>
      <c r="T606" t="str">
        <f>IF(S606="","",IF(S606="[FÓRMULA MANUAL]","",IFERROR(AVERAGEIFS(nNOTA,nNIA,S606,nCUENTA,1,nASIG,"Armonía"),"")))</f>
        <v/>
      </c>
      <c r="U606" t="str">
        <f>IF(S606="","",IF(S606="[FÓRMULA MANUAL]","",IFERROR(AVERAGEIFS(nNOTA,nNIA,S606,nCUENTA,1,nASIG,"Orquesta/Banda/Conjunto"),"")))</f>
        <v/>
      </c>
      <c r="V606" t="str">
        <f>IF(S606="","",IF(S606="[FÓRMULA MANUAL]","",IFERROR(AVERAGEIFS(nNOTA,nNIA,S606,nCUENTA,1,nASIG,"Música de Cámara"),"")))</f>
        <v/>
      </c>
      <c r="W606" t="str">
        <f>IF(S606="","",IF(S606="[FÓRMULA MANUAL]","",IFERROR(SUMPRODUCT((nNIA=S606)*(nCUENTA=1)*(COUNTIF(CONFIG_ASIGNATURAS!$B$7:$B$27,nASIG)&gt;0)*(nNOTA))/SUMPRODUCT((nNIA=S606)*(nCUENTA=1)*(COUNTIF(CONFIG_ASIGNATURAS!$B$7:$B$27,nASIG)&gt;0)*1),"")))</f>
        <v/>
      </c>
      <c r="Z606" t="str">
        <f>IF(Y606="","",IF(Y606="[FÓRMULA MANUAL]","",IFERROR(AVERAGEIFS(nNOTA,nNIA,Y606,nCUENTA,1,nASIG,"Análisis"),"")))</f>
        <v/>
      </c>
      <c r="AA606" t="str">
        <f>IF(Y606="","",IF(Y606="[FÓRMULA MANUAL]","",IFERROR(AVERAGEIFS(nNOTA,nNIA,Y606,nCUENTA,1,nASIG,"Orquesta/Banda/Conjunto"),"")))</f>
        <v/>
      </c>
      <c r="AB606" t="str">
        <f>IF(Y606="","",IF(Y606="[FÓRMULA MANUAL]","",IFERROR(AVERAGEIFS(nNOTA,nNIA,Y606,nCUENTA,1,nASIG,"Música de Cámara"),"")))</f>
        <v/>
      </c>
      <c r="AC606" t="str">
        <f>IF(Y606="","",IF(Y606="[FÓRMULA MANUAL]","",IFERROR(SUMPRODUCT((nNIA=Y606)*(nCUENTA=1)*(COUNTIF(CONFIG_ASIGNATURAS!$B$7:$B$27,nASIG)&gt;0)*(nNOTA))/SUMPRODUCT((nNIA=Y606)*(nCUENTA=1)*(COUNTIF(CONFIG_ASIGNATURAS!$B$7:$B$27,nASIG)&gt;0)*1),"")))</f>
        <v/>
      </c>
      <c r="AF606" t="str">
        <f>IF(AE606="","",IF(AE606="[FÓRMULA MANUAL]","",IFERROR(AVERAGEIFS(nNOTA,nNIA,AE606,nCUENTA,1,nASIG,"Análisis"),"")))</f>
        <v/>
      </c>
      <c r="AG606" t="str">
        <f>IF(AE606="","",IF(AE606="[FÓRMULA MANUAL]","",IFERROR(AVERAGEIFS(nNOTA,nNIA,AE606,nCUENTA,1,nASIG,"Orquesta/Banda/Conjunto"),"")))</f>
        <v/>
      </c>
      <c r="AH606" t="str">
        <f>IF(AE606="","",IF(AE606="[FÓRMULA MANUAL]","",IFERROR(AVERAGEIFS(nNOTA,nNIA,AE606,nCUENTA,1,nASIG,"Música de Cámara"),"")))</f>
        <v/>
      </c>
      <c r="AI606" t="str">
        <f>IF(AE606="","",IF(AE606="[FÓRMULA MANUAL]","",IFERROR(SUMPRODUCT((nNIA=AE606)*(nCUENTA=1)*(COUNTIF(CONFIG_ASIGNATURAS!$B$7:$B$27,nASIG)&gt;0)*(nNOTA))/SUMPRODUCT((nNIA=AE606)*(nCUENTA=1)*(COUNTIF(CONFIG_ASIGNATURAS!$B$7:$B$27,nASIG)&gt;0)*1),"")))</f>
        <v/>
      </c>
    </row>
    <row r="607" spans="2:35" x14ac:dyDescent="0.2">
      <c r="B607" t="str">
        <f>IF(A607="","",IF(A607="[FÓRMULA MANUAL]","",IFERROR(AVERAGEIFS(nNOTA,nNIA,A607,nCUENTA,1,nASIG,"Lenguaje Musical"),"")))</f>
        <v/>
      </c>
      <c r="C607" t="str">
        <f>IF(A607="","",IF(A607="[FÓRMULA MANUAL]","",IFERROR(AVERAGEIFS(nNOTA,nNIA,A607,nCUENTA,1,nASIG,"Orquesta/Banda/Conjunto"),"")))</f>
        <v/>
      </c>
      <c r="D607" t="str">
        <f>IF(A607="","",IF(A607="[FÓRMULA MANUAL]","",IFERROR(AVERAGEIFS(nNOTA,nNIA,A607,nCUENTA,1,nASIG,"Conjunto"),"")))</f>
        <v/>
      </c>
      <c r="E607" t="str">
        <f>IF(A607="","",IF(A607="[FÓRMULA MANUAL]","",IFERROR(SUMPRODUCT((nNIA=A607)*(nCUENTA=1)*(COUNTIF(CONFIG_ASIGNATURAS!$B$7:$B$27,nASIG)&gt;0)*(nNOTA))/SUMPRODUCT((nNIA=A607)*(nCUENTA=1)*(COUNTIF(CONFIG_ASIGNATURAS!$B$7:$B$27,nASIG)&gt;0)*1),"")))</f>
        <v/>
      </c>
      <c r="H607" t="str">
        <f>IF(G607="","",IF(G607="[FÓRMULA MANUAL]","",IFERROR(AVERAGEIFS(nNOTA,nNIA,G607,nCUENTA,1,nASIG,"Lenguaje Musical"),"")))</f>
        <v/>
      </c>
      <c r="I607" t="str">
        <f>IF(G607="","",IF(G607="[FÓRMULA MANUAL]","",IFERROR(AVERAGEIFS(nNOTA,nNIA,G607,nCUENTA,1,nASIG,"Orquesta/Banda/Conjunto"),"")))</f>
        <v/>
      </c>
      <c r="J607" t="str">
        <f>IF(G607="","",IF(G607="[FÓRMULA MANUAL]","",IFERROR(AVERAGEIFS(nNOTA,nNIA,G607,nCUENTA,1,nASIG,"Conjunto"),"")))</f>
        <v/>
      </c>
      <c r="K607" t="str">
        <f>IF(G607="","",IF(G607="[FÓRMULA MANUAL]","",IFERROR(SUMPRODUCT((nNIA=G607)*(nCUENTA=1)*(COUNTIF(CONFIG_ASIGNATURAS!$B$7:$B$27,nASIG)&gt;0)*(nNOTA))/SUMPRODUCT((nNIA=G607)*(nCUENTA=1)*(COUNTIF(CONFIG_ASIGNATURAS!$B$7:$B$27,nASIG)&gt;0)*1),"")))</f>
        <v/>
      </c>
      <c r="N607" t="str">
        <f>IF(M607="","",IF(M607="[FÓRMULA MANUAL]","",IFERROR(AVERAGEIFS(nNOTA,nNIA,M607,nCUENTA,1,nASIG,"Armonía"),"")))</f>
        <v/>
      </c>
      <c r="O607" t="str">
        <f>IF(M607="","",IF(M607="[FÓRMULA MANUAL]","",IFERROR(AVERAGEIFS(nNOTA,nNIA,M607,nCUENTA,1,nASIG,"Orquesta/Banda/Conjunto"),"")))</f>
        <v/>
      </c>
      <c r="P607" t="str">
        <f>IF(M607="","",IF(M607="[FÓRMULA MANUAL]","",IFERROR(AVERAGEIFS(nNOTA,nNIA,M607,nCUENTA,1,nASIG,"Música de Cámara"),"")))</f>
        <v/>
      </c>
      <c r="Q607" t="str">
        <f>IF(M607="","",IF(M607="[FÓRMULA MANUAL]","",IFERROR(SUMPRODUCT((nNIA=M607)*(nCUENTA=1)*(COUNTIF(CONFIG_ASIGNATURAS!$B$7:$B$27,nASIG)&gt;0)*(nNOTA))/SUMPRODUCT((nNIA=M607)*(nCUENTA=1)*(COUNTIF(CONFIG_ASIGNATURAS!$B$7:$B$27,nASIG)&gt;0)*1),"")))</f>
        <v/>
      </c>
      <c r="T607" t="str">
        <f>IF(S607="","",IF(S607="[FÓRMULA MANUAL]","",IFERROR(AVERAGEIFS(nNOTA,nNIA,S607,nCUENTA,1,nASIG,"Armonía"),"")))</f>
        <v/>
      </c>
      <c r="U607" t="str">
        <f>IF(S607="","",IF(S607="[FÓRMULA MANUAL]","",IFERROR(AVERAGEIFS(nNOTA,nNIA,S607,nCUENTA,1,nASIG,"Orquesta/Banda/Conjunto"),"")))</f>
        <v/>
      </c>
      <c r="V607" t="str">
        <f>IF(S607="","",IF(S607="[FÓRMULA MANUAL]","",IFERROR(AVERAGEIFS(nNOTA,nNIA,S607,nCUENTA,1,nASIG,"Música de Cámara"),"")))</f>
        <v/>
      </c>
      <c r="W607" t="str">
        <f>IF(S607="","",IF(S607="[FÓRMULA MANUAL]","",IFERROR(SUMPRODUCT((nNIA=S607)*(nCUENTA=1)*(COUNTIF(CONFIG_ASIGNATURAS!$B$7:$B$27,nASIG)&gt;0)*(nNOTA))/SUMPRODUCT((nNIA=S607)*(nCUENTA=1)*(COUNTIF(CONFIG_ASIGNATURAS!$B$7:$B$27,nASIG)&gt;0)*1),"")))</f>
        <v/>
      </c>
      <c r="Z607" t="str">
        <f>IF(Y607="","",IF(Y607="[FÓRMULA MANUAL]","",IFERROR(AVERAGEIFS(nNOTA,nNIA,Y607,nCUENTA,1,nASIG,"Análisis"),"")))</f>
        <v/>
      </c>
      <c r="AA607" t="str">
        <f>IF(Y607="","",IF(Y607="[FÓRMULA MANUAL]","",IFERROR(AVERAGEIFS(nNOTA,nNIA,Y607,nCUENTA,1,nASIG,"Orquesta/Banda/Conjunto"),"")))</f>
        <v/>
      </c>
      <c r="AB607" t="str">
        <f>IF(Y607="","",IF(Y607="[FÓRMULA MANUAL]","",IFERROR(AVERAGEIFS(nNOTA,nNIA,Y607,nCUENTA,1,nASIG,"Música de Cámara"),"")))</f>
        <v/>
      </c>
      <c r="AC607" t="str">
        <f>IF(Y607="","",IF(Y607="[FÓRMULA MANUAL]","",IFERROR(SUMPRODUCT((nNIA=Y607)*(nCUENTA=1)*(COUNTIF(CONFIG_ASIGNATURAS!$B$7:$B$27,nASIG)&gt;0)*(nNOTA))/SUMPRODUCT((nNIA=Y607)*(nCUENTA=1)*(COUNTIF(CONFIG_ASIGNATURAS!$B$7:$B$27,nASIG)&gt;0)*1),"")))</f>
        <v/>
      </c>
      <c r="AF607" t="str">
        <f>IF(AE607="","",IF(AE607="[FÓRMULA MANUAL]","",IFERROR(AVERAGEIFS(nNOTA,nNIA,AE607,nCUENTA,1,nASIG,"Análisis"),"")))</f>
        <v/>
      </c>
      <c r="AG607" t="str">
        <f>IF(AE607="","",IF(AE607="[FÓRMULA MANUAL]","",IFERROR(AVERAGEIFS(nNOTA,nNIA,AE607,nCUENTA,1,nASIG,"Orquesta/Banda/Conjunto"),"")))</f>
        <v/>
      </c>
      <c r="AH607" t="str">
        <f>IF(AE607="","",IF(AE607="[FÓRMULA MANUAL]","",IFERROR(AVERAGEIFS(nNOTA,nNIA,AE607,nCUENTA,1,nASIG,"Música de Cámara"),"")))</f>
        <v/>
      </c>
      <c r="AI607" t="str">
        <f>IF(AE607="","",IF(AE607="[FÓRMULA MANUAL]","",IFERROR(SUMPRODUCT((nNIA=AE607)*(nCUENTA=1)*(COUNTIF(CONFIG_ASIGNATURAS!$B$7:$B$27,nASIG)&gt;0)*(nNOTA))/SUMPRODUCT((nNIA=AE607)*(nCUENTA=1)*(COUNTIF(CONFIG_ASIGNATURAS!$B$7:$B$27,nASIG)&gt;0)*1),"")))</f>
        <v/>
      </c>
    </row>
    <row r="608" spans="2:35" x14ac:dyDescent="0.2">
      <c r="B608" t="str">
        <f>IF(A608="","",IF(A608="[FÓRMULA MANUAL]","",IFERROR(AVERAGEIFS(nNOTA,nNIA,A608,nCUENTA,1,nASIG,"Lenguaje Musical"),"")))</f>
        <v/>
      </c>
      <c r="C608" t="str">
        <f>IF(A608="","",IF(A608="[FÓRMULA MANUAL]","",IFERROR(AVERAGEIFS(nNOTA,nNIA,A608,nCUENTA,1,nASIG,"Orquesta/Banda/Conjunto"),"")))</f>
        <v/>
      </c>
      <c r="D608" t="str">
        <f>IF(A608="","",IF(A608="[FÓRMULA MANUAL]","",IFERROR(AVERAGEIFS(nNOTA,nNIA,A608,nCUENTA,1,nASIG,"Conjunto"),"")))</f>
        <v/>
      </c>
      <c r="E608" t="str">
        <f>IF(A608="","",IF(A608="[FÓRMULA MANUAL]","",IFERROR(SUMPRODUCT((nNIA=A608)*(nCUENTA=1)*(COUNTIF(CONFIG_ASIGNATURAS!$B$7:$B$27,nASIG)&gt;0)*(nNOTA))/SUMPRODUCT((nNIA=A608)*(nCUENTA=1)*(COUNTIF(CONFIG_ASIGNATURAS!$B$7:$B$27,nASIG)&gt;0)*1),"")))</f>
        <v/>
      </c>
      <c r="H608" t="str">
        <f>IF(G608="","",IF(G608="[FÓRMULA MANUAL]","",IFERROR(AVERAGEIFS(nNOTA,nNIA,G608,nCUENTA,1,nASIG,"Lenguaje Musical"),"")))</f>
        <v/>
      </c>
      <c r="I608" t="str">
        <f>IF(G608="","",IF(G608="[FÓRMULA MANUAL]","",IFERROR(AVERAGEIFS(nNOTA,nNIA,G608,nCUENTA,1,nASIG,"Orquesta/Banda/Conjunto"),"")))</f>
        <v/>
      </c>
      <c r="J608" t="str">
        <f>IF(G608="","",IF(G608="[FÓRMULA MANUAL]","",IFERROR(AVERAGEIFS(nNOTA,nNIA,G608,nCUENTA,1,nASIG,"Conjunto"),"")))</f>
        <v/>
      </c>
      <c r="K608" t="str">
        <f>IF(G608="","",IF(G608="[FÓRMULA MANUAL]","",IFERROR(SUMPRODUCT((nNIA=G608)*(nCUENTA=1)*(COUNTIF(CONFIG_ASIGNATURAS!$B$7:$B$27,nASIG)&gt;0)*(nNOTA))/SUMPRODUCT((nNIA=G608)*(nCUENTA=1)*(COUNTIF(CONFIG_ASIGNATURAS!$B$7:$B$27,nASIG)&gt;0)*1),"")))</f>
        <v/>
      </c>
      <c r="N608" t="str">
        <f>IF(M608="","",IF(M608="[FÓRMULA MANUAL]","",IFERROR(AVERAGEIFS(nNOTA,nNIA,M608,nCUENTA,1,nASIG,"Armonía"),"")))</f>
        <v/>
      </c>
      <c r="O608" t="str">
        <f>IF(M608="","",IF(M608="[FÓRMULA MANUAL]","",IFERROR(AVERAGEIFS(nNOTA,nNIA,M608,nCUENTA,1,nASIG,"Orquesta/Banda/Conjunto"),"")))</f>
        <v/>
      </c>
      <c r="P608" t="str">
        <f>IF(M608="","",IF(M608="[FÓRMULA MANUAL]","",IFERROR(AVERAGEIFS(nNOTA,nNIA,M608,nCUENTA,1,nASIG,"Música de Cámara"),"")))</f>
        <v/>
      </c>
      <c r="Q608" t="str">
        <f>IF(M608="","",IF(M608="[FÓRMULA MANUAL]","",IFERROR(SUMPRODUCT((nNIA=M608)*(nCUENTA=1)*(COUNTIF(CONFIG_ASIGNATURAS!$B$7:$B$27,nASIG)&gt;0)*(nNOTA))/SUMPRODUCT((nNIA=M608)*(nCUENTA=1)*(COUNTIF(CONFIG_ASIGNATURAS!$B$7:$B$27,nASIG)&gt;0)*1),"")))</f>
        <v/>
      </c>
      <c r="T608" t="str">
        <f>IF(S608="","",IF(S608="[FÓRMULA MANUAL]","",IFERROR(AVERAGEIFS(nNOTA,nNIA,S608,nCUENTA,1,nASIG,"Armonía"),"")))</f>
        <v/>
      </c>
      <c r="U608" t="str">
        <f>IF(S608="","",IF(S608="[FÓRMULA MANUAL]","",IFERROR(AVERAGEIFS(nNOTA,nNIA,S608,nCUENTA,1,nASIG,"Orquesta/Banda/Conjunto"),"")))</f>
        <v/>
      </c>
      <c r="V608" t="str">
        <f>IF(S608="","",IF(S608="[FÓRMULA MANUAL]","",IFERROR(AVERAGEIFS(nNOTA,nNIA,S608,nCUENTA,1,nASIG,"Música de Cámara"),"")))</f>
        <v/>
      </c>
      <c r="W608" t="str">
        <f>IF(S608="","",IF(S608="[FÓRMULA MANUAL]","",IFERROR(SUMPRODUCT((nNIA=S608)*(nCUENTA=1)*(COUNTIF(CONFIG_ASIGNATURAS!$B$7:$B$27,nASIG)&gt;0)*(nNOTA))/SUMPRODUCT((nNIA=S608)*(nCUENTA=1)*(COUNTIF(CONFIG_ASIGNATURAS!$B$7:$B$27,nASIG)&gt;0)*1),"")))</f>
        <v/>
      </c>
      <c r="Z608" t="str">
        <f>IF(Y608="","",IF(Y608="[FÓRMULA MANUAL]","",IFERROR(AVERAGEIFS(nNOTA,nNIA,Y608,nCUENTA,1,nASIG,"Análisis"),"")))</f>
        <v/>
      </c>
      <c r="AA608" t="str">
        <f>IF(Y608="","",IF(Y608="[FÓRMULA MANUAL]","",IFERROR(AVERAGEIFS(nNOTA,nNIA,Y608,nCUENTA,1,nASIG,"Orquesta/Banda/Conjunto"),"")))</f>
        <v/>
      </c>
      <c r="AB608" t="str">
        <f>IF(Y608="","",IF(Y608="[FÓRMULA MANUAL]","",IFERROR(AVERAGEIFS(nNOTA,nNIA,Y608,nCUENTA,1,nASIG,"Música de Cámara"),"")))</f>
        <v/>
      </c>
      <c r="AC608" t="str">
        <f>IF(Y608="","",IF(Y608="[FÓRMULA MANUAL]","",IFERROR(SUMPRODUCT((nNIA=Y608)*(nCUENTA=1)*(COUNTIF(CONFIG_ASIGNATURAS!$B$7:$B$27,nASIG)&gt;0)*(nNOTA))/SUMPRODUCT((nNIA=Y608)*(nCUENTA=1)*(COUNTIF(CONFIG_ASIGNATURAS!$B$7:$B$27,nASIG)&gt;0)*1),"")))</f>
        <v/>
      </c>
      <c r="AF608" t="str">
        <f>IF(AE608="","",IF(AE608="[FÓRMULA MANUAL]","",IFERROR(AVERAGEIFS(nNOTA,nNIA,AE608,nCUENTA,1,nASIG,"Análisis"),"")))</f>
        <v/>
      </c>
      <c r="AG608" t="str">
        <f>IF(AE608="","",IF(AE608="[FÓRMULA MANUAL]","",IFERROR(AVERAGEIFS(nNOTA,nNIA,AE608,nCUENTA,1,nASIG,"Orquesta/Banda/Conjunto"),"")))</f>
        <v/>
      </c>
      <c r="AH608" t="str">
        <f>IF(AE608="","",IF(AE608="[FÓRMULA MANUAL]","",IFERROR(AVERAGEIFS(nNOTA,nNIA,AE608,nCUENTA,1,nASIG,"Música de Cámara"),"")))</f>
        <v/>
      </c>
      <c r="AI608" t="str">
        <f>IF(AE608="","",IF(AE608="[FÓRMULA MANUAL]","",IFERROR(SUMPRODUCT((nNIA=AE608)*(nCUENTA=1)*(COUNTIF(CONFIG_ASIGNATURAS!$B$7:$B$27,nASIG)&gt;0)*(nNOTA))/SUMPRODUCT((nNIA=AE608)*(nCUENTA=1)*(COUNTIF(CONFIG_ASIGNATURAS!$B$7:$B$27,nASIG)&gt;0)*1),"")))</f>
        <v/>
      </c>
    </row>
    <row r="609" spans="2:35" x14ac:dyDescent="0.2">
      <c r="B609" t="str">
        <f>IF(A609="","",IF(A609="[FÓRMULA MANUAL]","",IFERROR(AVERAGEIFS(nNOTA,nNIA,A609,nCUENTA,1,nASIG,"Lenguaje Musical"),"")))</f>
        <v/>
      </c>
      <c r="C609" t="str">
        <f>IF(A609="","",IF(A609="[FÓRMULA MANUAL]","",IFERROR(AVERAGEIFS(nNOTA,nNIA,A609,nCUENTA,1,nASIG,"Orquesta/Banda/Conjunto"),"")))</f>
        <v/>
      </c>
      <c r="D609" t="str">
        <f>IF(A609="","",IF(A609="[FÓRMULA MANUAL]","",IFERROR(AVERAGEIFS(nNOTA,nNIA,A609,nCUENTA,1,nASIG,"Conjunto"),"")))</f>
        <v/>
      </c>
      <c r="E609" t="str">
        <f>IF(A609="","",IF(A609="[FÓRMULA MANUAL]","",IFERROR(SUMPRODUCT((nNIA=A609)*(nCUENTA=1)*(COUNTIF(CONFIG_ASIGNATURAS!$B$7:$B$27,nASIG)&gt;0)*(nNOTA))/SUMPRODUCT((nNIA=A609)*(nCUENTA=1)*(COUNTIF(CONFIG_ASIGNATURAS!$B$7:$B$27,nASIG)&gt;0)*1),"")))</f>
        <v/>
      </c>
      <c r="H609" t="str">
        <f>IF(G609="","",IF(G609="[FÓRMULA MANUAL]","",IFERROR(AVERAGEIFS(nNOTA,nNIA,G609,nCUENTA,1,nASIG,"Lenguaje Musical"),"")))</f>
        <v/>
      </c>
      <c r="I609" t="str">
        <f>IF(G609="","",IF(G609="[FÓRMULA MANUAL]","",IFERROR(AVERAGEIFS(nNOTA,nNIA,G609,nCUENTA,1,nASIG,"Orquesta/Banda/Conjunto"),"")))</f>
        <v/>
      </c>
      <c r="J609" t="str">
        <f>IF(G609="","",IF(G609="[FÓRMULA MANUAL]","",IFERROR(AVERAGEIFS(nNOTA,nNIA,G609,nCUENTA,1,nASIG,"Conjunto"),"")))</f>
        <v/>
      </c>
      <c r="K609" t="str">
        <f>IF(G609="","",IF(G609="[FÓRMULA MANUAL]","",IFERROR(SUMPRODUCT((nNIA=G609)*(nCUENTA=1)*(COUNTIF(CONFIG_ASIGNATURAS!$B$7:$B$27,nASIG)&gt;0)*(nNOTA))/SUMPRODUCT((nNIA=G609)*(nCUENTA=1)*(COUNTIF(CONFIG_ASIGNATURAS!$B$7:$B$27,nASIG)&gt;0)*1),"")))</f>
        <v/>
      </c>
      <c r="N609" t="str">
        <f>IF(M609="","",IF(M609="[FÓRMULA MANUAL]","",IFERROR(AVERAGEIFS(nNOTA,nNIA,M609,nCUENTA,1,nASIG,"Armonía"),"")))</f>
        <v/>
      </c>
      <c r="O609" t="str">
        <f>IF(M609="","",IF(M609="[FÓRMULA MANUAL]","",IFERROR(AVERAGEIFS(nNOTA,nNIA,M609,nCUENTA,1,nASIG,"Orquesta/Banda/Conjunto"),"")))</f>
        <v/>
      </c>
      <c r="P609" t="str">
        <f>IF(M609="","",IF(M609="[FÓRMULA MANUAL]","",IFERROR(AVERAGEIFS(nNOTA,nNIA,M609,nCUENTA,1,nASIG,"Música de Cámara"),"")))</f>
        <v/>
      </c>
      <c r="Q609" t="str">
        <f>IF(M609="","",IF(M609="[FÓRMULA MANUAL]","",IFERROR(SUMPRODUCT((nNIA=M609)*(nCUENTA=1)*(COUNTIF(CONFIG_ASIGNATURAS!$B$7:$B$27,nASIG)&gt;0)*(nNOTA))/SUMPRODUCT((nNIA=M609)*(nCUENTA=1)*(COUNTIF(CONFIG_ASIGNATURAS!$B$7:$B$27,nASIG)&gt;0)*1),"")))</f>
        <v/>
      </c>
      <c r="T609" t="str">
        <f>IF(S609="","",IF(S609="[FÓRMULA MANUAL]","",IFERROR(AVERAGEIFS(nNOTA,nNIA,S609,nCUENTA,1,nASIG,"Armonía"),"")))</f>
        <v/>
      </c>
      <c r="U609" t="str">
        <f>IF(S609="","",IF(S609="[FÓRMULA MANUAL]","",IFERROR(AVERAGEIFS(nNOTA,nNIA,S609,nCUENTA,1,nASIG,"Orquesta/Banda/Conjunto"),"")))</f>
        <v/>
      </c>
      <c r="V609" t="str">
        <f>IF(S609="","",IF(S609="[FÓRMULA MANUAL]","",IFERROR(AVERAGEIFS(nNOTA,nNIA,S609,nCUENTA,1,nASIG,"Música de Cámara"),"")))</f>
        <v/>
      </c>
      <c r="W609" t="str">
        <f>IF(S609="","",IF(S609="[FÓRMULA MANUAL]","",IFERROR(SUMPRODUCT((nNIA=S609)*(nCUENTA=1)*(COUNTIF(CONFIG_ASIGNATURAS!$B$7:$B$27,nASIG)&gt;0)*(nNOTA))/SUMPRODUCT((nNIA=S609)*(nCUENTA=1)*(COUNTIF(CONFIG_ASIGNATURAS!$B$7:$B$27,nASIG)&gt;0)*1),"")))</f>
        <v/>
      </c>
      <c r="Z609" t="str">
        <f>IF(Y609="","",IF(Y609="[FÓRMULA MANUAL]","",IFERROR(AVERAGEIFS(nNOTA,nNIA,Y609,nCUENTA,1,nASIG,"Análisis"),"")))</f>
        <v/>
      </c>
      <c r="AA609" t="str">
        <f>IF(Y609="","",IF(Y609="[FÓRMULA MANUAL]","",IFERROR(AVERAGEIFS(nNOTA,nNIA,Y609,nCUENTA,1,nASIG,"Orquesta/Banda/Conjunto"),"")))</f>
        <v/>
      </c>
      <c r="AB609" t="str">
        <f>IF(Y609="","",IF(Y609="[FÓRMULA MANUAL]","",IFERROR(AVERAGEIFS(nNOTA,nNIA,Y609,nCUENTA,1,nASIG,"Música de Cámara"),"")))</f>
        <v/>
      </c>
      <c r="AC609" t="str">
        <f>IF(Y609="","",IF(Y609="[FÓRMULA MANUAL]","",IFERROR(SUMPRODUCT((nNIA=Y609)*(nCUENTA=1)*(COUNTIF(CONFIG_ASIGNATURAS!$B$7:$B$27,nASIG)&gt;0)*(nNOTA))/SUMPRODUCT((nNIA=Y609)*(nCUENTA=1)*(COUNTIF(CONFIG_ASIGNATURAS!$B$7:$B$27,nASIG)&gt;0)*1),"")))</f>
        <v/>
      </c>
      <c r="AF609" t="str">
        <f>IF(AE609="","",IF(AE609="[FÓRMULA MANUAL]","",IFERROR(AVERAGEIFS(nNOTA,nNIA,AE609,nCUENTA,1,nASIG,"Análisis"),"")))</f>
        <v/>
      </c>
      <c r="AG609" t="str">
        <f>IF(AE609="","",IF(AE609="[FÓRMULA MANUAL]","",IFERROR(AVERAGEIFS(nNOTA,nNIA,AE609,nCUENTA,1,nASIG,"Orquesta/Banda/Conjunto"),"")))</f>
        <v/>
      </c>
      <c r="AH609" t="str">
        <f>IF(AE609="","",IF(AE609="[FÓRMULA MANUAL]","",IFERROR(AVERAGEIFS(nNOTA,nNIA,AE609,nCUENTA,1,nASIG,"Música de Cámara"),"")))</f>
        <v/>
      </c>
      <c r="AI609" t="str">
        <f>IF(AE609="","",IF(AE609="[FÓRMULA MANUAL]","",IFERROR(SUMPRODUCT((nNIA=AE609)*(nCUENTA=1)*(COUNTIF(CONFIG_ASIGNATURAS!$B$7:$B$27,nASIG)&gt;0)*(nNOTA))/SUMPRODUCT((nNIA=AE609)*(nCUENTA=1)*(COUNTIF(CONFIG_ASIGNATURAS!$B$7:$B$27,nASIG)&gt;0)*1),"")))</f>
        <v/>
      </c>
    </row>
    <row r="610" spans="2:35" x14ac:dyDescent="0.2">
      <c r="B610" t="str">
        <f>IF(A610="","",IF(A610="[FÓRMULA MANUAL]","",IFERROR(AVERAGEIFS(nNOTA,nNIA,A610,nCUENTA,1,nASIG,"Lenguaje Musical"),"")))</f>
        <v/>
      </c>
      <c r="C610" t="str">
        <f>IF(A610="","",IF(A610="[FÓRMULA MANUAL]","",IFERROR(AVERAGEIFS(nNOTA,nNIA,A610,nCUENTA,1,nASIG,"Orquesta/Banda/Conjunto"),"")))</f>
        <v/>
      </c>
      <c r="D610" t="str">
        <f>IF(A610="","",IF(A610="[FÓRMULA MANUAL]","",IFERROR(AVERAGEIFS(nNOTA,nNIA,A610,nCUENTA,1,nASIG,"Conjunto"),"")))</f>
        <v/>
      </c>
      <c r="E610" t="str">
        <f>IF(A610="","",IF(A610="[FÓRMULA MANUAL]","",IFERROR(SUMPRODUCT((nNIA=A610)*(nCUENTA=1)*(COUNTIF(CONFIG_ASIGNATURAS!$B$7:$B$27,nASIG)&gt;0)*(nNOTA))/SUMPRODUCT((nNIA=A610)*(nCUENTA=1)*(COUNTIF(CONFIG_ASIGNATURAS!$B$7:$B$27,nASIG)&gt;0)*1),"")))</f>
        <v/>
      </c>
      <c r="H610" t="str">
        <f>IF(G610="","",IF(G610="[FÓRMULA MANUAL]","",IFERROR(AVERAGEIFS(nNOTA,nNIA,G610,nCUENTA,1,nASIG,"Lenguaje Musical"),"")))</f>
        <v/>
      </c>
      <c r="I610" t="str">
        <f>IF(G610="","",IF(G610="[FÓRMULA MANUAL]","",IFERROR(AVERAGEIFS(nNOTA,nNIA,G610,nCUENTA,1,nASIG,"Orquesta/Banda/Conjunto"),"")))</f>
        <v/>
      </c>
      <c r="J610" t="str">
        <f>IF(G610="","",IF(G610="[FÓRMULA MANUAL]","",IFERROR(AVERAGEIFS(nNOTA,nNIA,G610,nCUENTA,1,nASIG,"Conjunto"),"")))</f>
        <v/>
      </c>
      <c r="K610" t="str">
        <f>IF(G610="","",IF(G610="[FÓRMULA MANUAL]","",IFERROR(SUMPRODUCT((nNIA=G610)*(nCUENTA=1)*(COUNTIF(CONFIG_ASIGNATURAS!$B$7:$B$27,nASIG)&gt;0)*(nNOTA))/SUMPRODUCT((nNIA=G610)*(nCUENTA=1)*(COUNTIF(CONFIG_ASIGNATURAS!$B$7:$B$27,nASIG)&gt;0)*1),"")))</f>
        <v/>
      </c>
      <c r="N610" t="str">
        <f>IF(M610="","",IF(M610="[FÓRMULA MANUAL]","",IFERROR(AVERAGEIFS(nNOTA,nNIA,M610,nCUENTA,1,nASIG,"Armonía"),"")))</f>
        <v/>
      </c>
      <c r="O610" t="str">
        <f>IF(M610="","",IF(M610="[FÓRMULA MANUAL]","",IFERROR(AVERAGEIFS(nNOTA,nNIA,M610,nCUENTA,1,nASIG,"Orquesta/Banda/Conjunto"),"")))</f>
        <v/>
      </c>
      <c r="P610" t="str">
        <f>IF(M610="","",IF(M610="[FÓRMULA MANUAL]","",IFERROR(AVERAGEIFS(nNOTA,nNIA,M610,nCUENTA,1,nASIG,"Música de Cámara"),"")))</f>
        <v/>
      </c>
      <c r="Q610" t="str">
        <f>IF(M610="","",IF(M610="[FÓRMULA MANUAL]","",IFERROR(SUMPRODUCT((nNIA=M610)*(nCUENTA=1)*(COUNTIF(CONFIG_ASIGNATURAS!$B$7:$B$27,nASIG)&gt;0)*(nNOTA))/SUMPRODUCT((nNIA=M610)*(nCUENTA=1)*(COUNTIF(CONFIG_ASIGNATURAS!$B$7:$B$27,nASIG)&gt;0)*1),"")))</f>
        <v/>
      </c>
      <c r="T610" t="str">
        <f>IF(S610="","",IF(S610="[FÓRMULA MANUAL]","",IFERROR(AVERAGEIFS(nNOTA,nNIA,S610,nCUENTA,1,nASIG,"Armonía"),"")))</f>
        <v/>
      </c>
      <c r="U610" t="str">
        <f>IF(S610="","",IF(S610="[FÓRMULA MANUAL]","",IFERROR(AVERAGEIFS(nNOTA,nNIA,S610,nCUENTA,1,nASIG,"Orquesta/Banda/Conjunto"),"")))</f>
        <v/>
      </c>
      <c r="V610" t="str">
        <f>IF(S610="","",IF(S610="[FÓRMULA MANUAL]","",IFERROR(AVERAGEIFS(nNOTA,nNIA,S610,nCUENTA,1,nASIG,"Música de Cámara"),"")))</f>
        <v/>
      </c>
      <c r="W610" t="str">
        <f>IF(S610="","",IF(S610="[FÓRMULA MANUAL]","",IFERROR(SUMPRODUCT((nNIA=S610)*(nCUENTA=1)*(COUNTIF(CONFIG_ASIGNATURAS!$B$7:$B$27,nASIG)&gt;0)*(nNOTA))/SUMPRODUCT((nNIA=S610)*(nCUENTA=1)*(COUNTIF(CONFIG_ASIGNATURAS!$B$7:$B$27,nASIG)&gt;0)*1),"")))</f>
        <v/>
      </c>
      <c r="Z610" t="str">
        <f>IF(Y610="","",IF(Y610="[FÓRMULA MANUAL]","",IFERROR(AVERAGEIFS(nNOTA,nNIA,Y610,nCUENTA,1,nASIG,"Análisis"),"")))</f>
        <v/>
      </c>
      <c r="AA610" t="str">
        <f>IF(Y610="","",IF(Y610="[FÓRMULA MANUAL]","",IFERROR(AVERAGEIFS(nNOTA,nNIA,Y610,nCUENTA,1,nASIG,"Orquesta/Banda/Conjunto"),"")))</f>
        <v/>
      </c>
      <c r="AB610" t="str">
        <f>IF(Y610="","",IF(Y610="[FÓRMULA MANUAL]","",IFERROR(AVERAGEIFS(nNOTA,nNIA,Y610,nCUENTA,1,nASIG,"Música de Cámara"),"")))</f>
        <v/>
      </c>
      <c r="AC610" t="str">
        <f>IF(Y610="","",IF(Y610="[FÓRMULA MANUAL]","",IFERROR(SUMPRODUCT((nNIA=Y610)*(nCUENTA=1)*(COUNTIF(CONFIG_ASIGNATURAS!$B$7:$B$27,nASIG)&gt;0)*(nNOTA))/SUMPRODUCT((nNIA=Y610)*(nCUENTA=1)*(COUNTIF(CONFIG_ASIGNATURAS!$B$7:$B$27,nASIG)&gt;0)*1),"")))</f>
        <v/>
      </c>
      <c r="AF610" t="str">
        <f>IF(AE610="","",IF(AE610="[FÓRMULA MANUAL]","",IFERROR(AVERAGEIFS(nNOTA,nNIA,AE610,nCUENTA,1,nASIG,"Análisis"),"")))</f>
        <v/>
      </c>
      <c r="AG610" t="str">
        <f>IF(AE610="","",IF(AE610="[FÓRMULA MANUAL]","",IFERROR(AVERAGEIFS(nNOTA,nNIA,AE610,nCUENTA,1,nASIG,"Orquesta/Banda/Conjunto"),"")))</f>
        <v/>
      </c>
      <c r="AH610" t="str">
        <f>IF(AE610="","",IF(AE610="[FÓRMULA MANUAL]","",IFERROR(AVERAGEIFS(nNOTA,nNIA,AE610,nCUENTA,1,nASIG,"Música de Cámara"),"")))</f>
        <v/>
      </c>
      <c r="AI610" t="str">
        <f>IF(AE610="","",IF(AE610="[FÓRMULA MANUAL]","",IFERROR(SUMPRODUCT((nNIA=AE610)*(nCUENTA=1)*(COUNTIF(CONFIG_ASIGNATURAS!$B$7:$B$27,nASIG)&gt;0)*(nNOTA))/SUMPRODUCT((nNIA=AE610)*(nCUENTA=1)*(COUNTIF(CONFIG_ASIGNATURAS!$B$7:$B$27,nASIG)&gt;0)*1),"")))</f>
        <v/>
      </c>
    </row>
    <row r="611" spans="2:35" x14ac:dyDescent="0.2">
      <c r="B611" t="str">
        <f>IF(A611="","",IF(A611="[FÓRMULA MANUAL]","",IFERROR(AVERAGEIFS(nNOTA,nNIA,A611,nCUENTA,1,nASIG,"Lenguaje Musical"),"")))</f>
        <v/>
      </c>
      <c r="C611" t="str">
        <f>IF(A611="","",IF(A611="[FÓRMULA MANUAL]","",IFERROR(AVERAGEIFS(nNOTA,nNIA,A611,nCUENTA,1,nASIG,"Orquesta/Banda/Conjunto"),"")))</f>
        <v/>
      </c>
      <c r="D611" t="str">
        <f>IF(A611="","",IF(A611="[FÓRMULA MANUAL]","",IFERROR(AVERAGEIFS(nNOTA,nNIA,A611,nCUENTA,1,nASIG,"Conjunto"),"")))</f>
        <v/>
      </c>
      <c r="E611" t="str">
        <f>IF(A611="","",IF(A611="[FÓRMULA MANUAL]","",IFERROR(SUMPRODUCT((nNIA=A611)*(nCUENTA=1)*(COUNTIF(CONFIG_ASIGNATURAS!$B$7:$B$27,nASIG)&gt;0)*(nNOTA))/SUMPRODUCT((nNIA=A611)*(nCUENTA=1)*(COUNTIF(CONFIG_ASIGNATURAS!$B$7:$B$27,nASIG)&gt;0)*1),"")))</f>
        <v/>
      </c>
      <c r="H611" t="str">
        <f>IF(G611="","",IF(G611="[FÓRMULA MANUAL]","",IFERROR(AVERAGEIFS(nNOTA,nNIA,G611,nCUENTA,1,nASIG,"Lenguaje Musical"),"")))</f>
        <v/>
      </c>
      <c r="I611" t="str">
        <f>IF(G611="","",IF(G611="[FÓRMULA MANUAL]","",IFERROR(AVERAGEIFS(nNOTA,nNIA,G611,nCUENTA,1,nASIG,"Orquesta/Banda/Conjunto"),"")))</f>
        <v/>
      </c>
      <c r="J611" t="str">
        <f>IF(G611="","",IF(G611="[FÓRMULA MANUAL]","",IFERROR(AVERAGEIFS(nNOTA,nNIA,G611,nCUENTA,1,nASIG,"Conjunto"),"")))</f>
        <v/>
      </c>
      <c r="K611" t="str">
        <f>IF(G611="","",IF(G611="[FÓRMULA MANUAL]","",IFERROR(SUMPRODUCT((nNIA=G611)*(nCUENTA=1)*(COUNTIF(CONFIG_ASIGNATURAS!$B$7:$B$27,nASIG)&gt;0)*(nNOTA))/SUMPRODUCT((nNIA=G611)*(nCUENTA=1)*(COUNTIF(CONFIG_ASIGNATURAS!$B$7:$B$27,nASIG)&gt;0)*1),"")))</f>
        <v/>
      </c>
      <c r="N611" t="str">
        <f>IF(M611="","",IF(M611="[FÓRMULA MANUAL]","",IFERROR(AVERAGEIFS(nNOTA,nNIA,M611,nCUENTA,1,nASIG,"Armonía"),"")))</f>
        <v/>
      </c>
      <c r="O611" t="str">
        <f>IF(M611="","",IF(M611="[FÓRMULA MANUAL]","",IFERROR(AVERAGEIFS(nNOTA,nNIA,M611,nCUENTA,1,nASIG,"Orquesta/Banda/Conjunto"),"")))</f>
        <v/>
      </c>
      <c r="P611" t="str">
        <f>IF(M611="","",IF(M611="[FÓRMULA MANUAL]","",IFERROR(AVERAGEIFS(nNOTA,nNIA,M611,nCUENTA,1,nASIG,"Música de Cámara"),"")))</f>
        <v/>
      </c>
      <c r="Q611" t="str">
        <f>IF(M611="","",IF(M611="[FÓRMULA MANUAL]","",IFERROR(SUMPRODUCT((nNIA=M611)*(nCUENTA=1)*(COUNTIF(CONFIG_ASIGNATURAS!$B$7:$B$27,nASIG)&gt;0)*(nNOTA))/SUMPRODUCT((nNIA=M611)*(nCUENTA=1)*(COUNTIF(CONFIG_ASIGNATURAS!$B$7:$B$27,nASIG)&gt;0)*1),"")))</f>
        <v/>
      </c>
      <c r="T611" t="str">
        <f>IF(S611="","",IF(S611="[FÓRMULA MANUAL]","",IFERROR(AVERAGEIFS(nNOTA,nNIA,S611,nCUENTA,1,nASIG,"Armonía"),"")))</f>
        <v/>
      </c>
      <c r="U611" t="str">
        <f>IF(S611="","",IF(S611="[FÓRMULA MANUAL]","",IFERROR(AVERAGEIFS(nNOTA,nNIA,S611,nCUENTA,1,nASIG,"Orquesta/Banda/Conjunto"),"")))</f>
        <v/>
      </c>
      <c r="V611" t="str">
        <f>IF(S611="","",IF(S611="[FÓRMULA MANUAL]","",IFERROR(AVERAGEIFS(nNOTA,nNIA,S611,nCUENTA,1,nASIG,"Música de Cámara"),"")))</f>
        <v/>
      </c>
      <c r="W611" t="str">
        <f>IF(S611="","",IF(S611="[FÓRMULA MANUAL]","",IFERROR(SUMPRODUCT((nNIA=S611)*(nCUENTA=1)*(COUNTIF(CONFIG_ASIGNATURAS!$B$7:$B$27,nASIG)&gt;0)*(nNOTA))/SUMPRODUCT((nNIA=S611)*(nCUENTA=1)*(COUNTIF(CONFIG_ASIGNATURAS!$B$7:$B$27,nASIG)&gt;0)*1),"")))</f>
        <v/>
      </c>
      <c r="Z611" t="str">
        <f>IF(Y611="","",IF(Y611="[FÓRMULA MANUAL]","",IFERROR(AVERAGEIFS(nNOTA,nNIA,Y611,nCUENTA,1,nASIG,"Análisis"),"")))</f>
        <v/>
      </c>
      <c r="AA611" t="str">
        <f>IF(Y611="","",IF(Y611="[FÓRMULA MANUAL]","",IFERROR(AVERAGEIFS(nNOTA,nNIA,Y611,nCUENTA,1,nASIG,"Orquesta/Banda/Conjunto"),"")))</f>
        <v/>
      </c>
      <c r="AB611" t="str">
        <f>IF(Y611="","",IF(Y611="[FÓRMULA MANUAL]","",IFERROR(AVERAGEIFS(nNOTA,nNIA,Y611,nCUENTA,1,nASIG,"Música de Cámara"),"")))</f>
        <v/>
      </c>
      <c r="AC611" t="str">
        <f>IF(Y611="","",IF(Y611="[FÓRMULA MANUAL]","",IFERROR(SUMPRODUCT((nNIA=Y611)*(nCUENTA=1)*(COUNTIF(CONFIG_ASIGNATURAS!$B$7:$B$27,nASIG)&gt;0)*(nNOTA))/SUMPRODUCT((nNIA=Y611)*(nCUENTA=1)*(COUNTIF(CONFIG_ASIGNATURAS!$B$7:$B$27,nASIG)&gt;0)*1),"")))</f>
        <v/>
      </c>
      <c r="AF611" t="str">
        <f>IF(AE611="","",IF(AE611="[FÓRMULA MANUAL]","",IFERROR(AVERAGEIFS(nNOTA,nNIA,AE611,nCUENTA,1,nASIG,"Análisis"),"")))</f>
        <v/>
      </c>
      <c r="AG611" t="str">
        <f>IF(AE611="","",IF(AE611="[FÓRMULA MANUAL]","",IFERROR(AVERAGEIFS(nNOTA,nNIA,AE611,nCUENTA,1,nASIG,"Orquesta/Banda/Conjunto"),"")))</f>
        <v/>
      </c>
      <c r="AH611" t="str">
        <f>IF(AE611="","",IF(AE611="[FÓRMULA MANUAL]","",IFERROR(AVERAGEIFS(nNOTA,nNIA,AE611,nCUENTA,1,nASIG,"Música de Cámara"),"")))</f>
        <v/>
      </c>
      <c r="AI611" t="str">
        <f>IF(AE611="","",IF(AE611="[FÓRMULA MANUAL]","",IFERROR(SUMPRODUCT((nNIA=AE611)*(nCUENTA=1)*(COUNTIF(CONFIG_ASIGNATURAS!$B$7:$B$27,nASIG)&gt;0)*(nNOTA))/SUMPRODUCT((nNIA=AE611)*(nCUENTA=1)*(COUNTIF(CONFIG_ASIGNATURAS!$B$7:$B$27,nASIG)&gt;0)*1),"")))</f>
        <v/>
      </c>
    </row>
    <row r="612" spans="2:35" x14ac:dyDescent="0.2">
      <c r="B612" t="str">
        <f>IF(A612="","",IF(A612="[FÓRMULA MANUAL]","",IFERROR(AVERAGEIFS(nNOTA,nNIA,A612,nCUENTA,1,nASIG,"Lenguaje Musical"),"")))</f>
        <v/>
      </c>
      <c r="C612" t="str">
        <f>IF(A612="","",IF(A612="[FÓRMULA MANUAL]","",IFERROR(AVERAGEIFS(nNOTA,nNIA,A612,nCUENTA,1,nASIG,"Orquesta/Banda/Conjunto"),"")))</f>
        <v/>
      </c>
      <c r="D612" t="str">
        <f>IF(A612="","",IF(A612="[FÓRMULA MANUAL]","",IFERROR(AVERAGEIFS(nNOTA,nNIA,A612,nCUENTA,1,nASIG,"Conjunto"),"")))</f>
        <v/>
      </c>
      <c r="E612" t="str">
        <f>IF(A612="","",IF(A612="[FÓRMULA MANUAL]","",IFERROR(SUMPRODUCT((nNIA=A612)*(nCUENTA=1)*(COUNTIF(CONFIG_ASIGNATURAS!$B$7:$B$27,nASIG)&gt;0)*(nNOTA))/SUMPRODUCT((nNIA=A612)*(nCUENTA=1)*(COUNTIF(CONFIG_ASIGNATURAS!$B$7:$B$27,nASIG)&gt;0)*1),"")))</f>
        <v/>
      </c>
      <c r="H612" t="str">
        <f>IF(G612="","",IF(G612="[FÓRMULA MANUAL]","",IFERROR(AVERAGEIFS(nNOTA,nNIA,G612,nCUENTA,1,nASIG,"Lenguaje Musical"),"")))</f>
        <v/>
      </c>
      <c r="I612" t="str">
        <f>IF(G612="","",IF(G612="[FÓRMULA MANUAL]","",IFERROR(AVERAGEIFS(nNOTA,nNIA,G612,nCUENTA,1,nASIG,"Orquesta/Banda/Conjunto"),"")))</f>
        <v/>
      </c>
      <c r="J612" t="str">
        <f>IF(G612="","",IF(G612="[FÓRMULA MANUAL]","",IFERROR(AVERAGEIFS(nNOTA,nNIA,G612,nCUENTA,1,nASIG,"Conjunto"),"")))</f>
        <v/>
      </c>
      <c r="K612" t="str">
        <f>IF(G612="","",IF(G612="[FÓRMULA MANUAL]","",IFERROR(SUMPRODUCT((nNIA=G612)*(nCUENTA=1)*(COUNTIF(CONFIG_ASIGNATURAS!$B$7:$B$27,nASIG)&gt;0)*(nNOTA))/SUMPRODUCT((nNIA=G612)*(nCUENTA=1)*(COUNTIF(CONFIG_ASIGNATURAS!$B$7:$B$27,nASIG)&gt;0)*1),"")))</f>
        <v/>
      </c>
      <c r="N612" t="str">
        <f>IF(M612="","",IF(M612="[FÓRMULA MANUAL]","",IFERROR(AVERAGEIFS(nNOTA,nNIA,M612,nCUENTA,1,nASIG,"Armonía"),"")))</f>
        <v/>
      </c>
      <c r="O612" t="str">
        <f>IF(M612="","",IF(M612="[FÓRMULA MANUAL]","",IFERROR(AVERAGEIFS(nNOTA,nNIA,M612,nCUENTA,1,nASIG,"Orquesta/Banda/Conjunto"),"")))</f>
        <v/>
      </c>
      <c r="P612" t="str">
        <f>IF(M612="","",IF(M612="[FÓRMULA MANUAL]","",IFERROR(AVERAGEIFS(nNOTA,nNIA,M612,nCUENTA,1,nASIG,"Música de Cámara"),"")))</f>
        <v/>
      </c>
      <c r="Q612" t="str">
        <f>IF(M612="","",IF(M612="[FÓRMULA MANUAL]","",IFERROR(SUMPRODUCT((nNIA=M612)*(nCUENTA=1)*(COUNTIF(CONFIG_ASIGNATURAS!$B$7:$B$27,nASIG)&gt;0)*(nNOTA))/SUMPRODUCT((nNIA=M612)*(nCUENTA=1)*(COUNTIF(CONFIG_ASIGNATURAS!$B$7:$B$27,nASIG)&gt;0)*1),"")))</f>
        <v/>
      </c>
      <c r="T612" t="str">
        <f>IF(S612="","",IF(S612="[FÓRMULA MANUAL]","",IFERROR(AVERAGEIFS(nNOTA,nNIA,S612,nCUENTA,1,nASIG,"Armonía"),"")))</f>
        <v/>
      </c>
      <c r="U612" t="str">
        <f>IF(S612="","",IF(S612="[FÓRMULA MANUAL]","",IFERROR(AVERAGEIFS(nNOTA,nNIA,S612,nCUENTA,1,nASIG,"Orquesta/Banda/Conjunto"),"")))</f>
        <v/>
      </c>
      <c r="V612" t="str">
        <f>IF(S612="","",IF(S612="[FÓRMULA MANUAL]","",IFERROR(AVERAGEIFS(nNOTA,nNIA,S612,nCUENTA,1,nASIG,"Música de Cámara"),"")))</f>
        <v/>
      </c>
      <c r="W612" t="str">
        <f>IF(S612="","",IF(S612="[FÓRMULA MANUAL]","",IFERROR(SUMPRODUCT((nNIA=S612)*(nCUENTA=1)*(COUNTIF(CONFIG_ASIGNATURAS!$B$7:$B$27,nASIG)&gt;0)*(nNOTA))/SUMPRODUCT((nNIA=S612)*(nCUENTA=1)*(COUNTIF(CONFIG_ASIGNATURAS!$B$7:$B$27,nASIG)&gt;0)*1),"")))</f>
        <v/>
      </c>
      <c r="Z612" t="str">
        <f>IF(Y612="","",IF(Y612="[FÓRMULA MANUAL]","",IFERROR(AVERAGEIFS(nNOTA,nNIA,Y612,nCUENTA,1,nASIG,"Análisis"),"")))</f>
        <v/>
      </c>
      <c r="AA612" t="str">
        <f>IF(Y612="","",IF(Y612="[FÓRMULA MANUAL]","",IFERROR(AVERAGEIFS(nNOTA,nNIA,Y612,nCUENTA,1,nASIG,"Orquesta/Banda/Conjunto"),"")))</f>
        <v/>
      </c>
      <c r="AB612" t="str">
        <f>IF(Y612="","",IF(Y612="[FÓRMULA MANUAL]","",IFERROR(AVERAGEIFS(nNOTA,nNIA,Y612,nCUENTA,1,nASIG,"Música de Cámara"),"")))</f>
        <v/>
      </c>
      <c r="AC612" t="str">
        <f>IF(Y612="","",IF(Y612="[FÓRMULA MANUAL]","",IFERROR(SUMPRODUCT((nNIA=Y612)*(nCUENTA=1)*(COUNTIF(CONFIG_ASIGNATURAS!$B$7:$B$27,nASIG)&gt;0)*(nNOTA))/SUMPRODUCT((nNIA=Y612)*(nCUENTA=1)*(COUNTIF(CONFIG_ASIGNATURAS!$B$7:$B$27,nASIG)&gt;0)*1),"")))</f>
        <v/>
      </c>
      <c r="AF612" t="str">
        <f>IF(AE612="","",IF(AE612="[FÓRMULA MANUAL]","",IFERROR(AVERAGEIFS(nNOTA,nNIA,AE612,nCUENTA,1,nASIG,"Análisis"),"")))</f>
        <v/>
      </c>
      <c r="AG612" t="str">
        <f>IF(AE612="","",IF(AE612="[FÓRMULA MANUAL]","",IFERROR(AVERAGEIFS(nNOTA,nNIA,AE612,nCUENTA,1,nASIG,"Orquesta/Banda/Conjunto"),"")))</f>
        <v/>
      </c>
      <c r="AH612" t="str">
        <f>IF(AE612="","",IF(AE612="[FÓRMULA MANUAL]","",IFERROR(AVERAGEIFS(nNOTA,nNIA,AE612,nCUENTA,1,nASIG,"Música de Cámara"),"")))</f>
        <v/>
      </c>
      <c r="AI612" t="str">
        <f>IF(AE612="","",IF(AE612="[FÓRMULA MANUAL]","",IFERROR(SUMPRODUCT((nNIA=AE612)*(nCUENTA=1)*(COUNTIF(CONFIG_ASIGNATURAS!$B$7:$B$27,nASIG)&gt;0)*(nNOTA))/SUMPRODUCT((nNIA=AE612)*(nCUENTA=1)*(COUNTIF(CONFIG_ASIGNATURAS!$B$7:$B$27,nASIG)&gt;0)*1),"")))</f>
        <v/>
      </c>
    </row>
    <row r="613" spans="2:35" x14ac:dyDescent="0.2">
      <c r="B613" t="str">
        <f>IF(A613="","",IF(A613="[FÓRMULA MANUAL]","",IFERROR(AVERAGEIFS(nNOTA,nNIA,A613,nCUENTA,1,nASIG,"Lenguaje Musical"),"")))</f>
        <v/>
      </c>
      <c r="C613" t="str">
        <f>IF(A613="","",IF(A613="[FÓRMULA MANUAL]","",IFERROR(AVERAGEIFS(nNOTA,nNIA,A613,nCUENTA,1,nASIG,"Orquesta/Banda/Conjunto"),"")))</f>
        <v/>
      </c>
      <c r="D613" t="str">
        <f>IF(A613="","",IF(A613="[FÓRMULA MANUAL]","",IFERROR(AVERAGEIFS(nNOTA,nNIA,A613,nCUENTA,1,nASIG,"Conjunto"),"")))</f>
        <v/>
      </c>
      <c r="E613" t="str">
        <f>IF(A613="","",IF(A613="[FÓRMULA MANUAL]","",IFERROR(SUMPRODUCT((nNIA=A613)*(nCUENTA=1)*(COUNTIF(CONFIG_ASIGNATURAS!$B$7:$B$27,nASIG)&gt;0)*(nNOTA))/SUMPRODUCT((nNIA=A613)*(nCUENTA=1)*(COUNTIF(CONFIG_ASIGNATURAS!$B$7:$B$27,nASIG)&gt;0)*1),"")))</f>
        <v/>
      </c>
      <c r="H613" t="str">
        <f>IF(G613="","",IF(G613="[FÓRMULA MANUAL]","",IFERROR(AVERAGEIFS(nNOTA,nNIA,G613,nCUENTA,1,nASIG,"Lenguaje Musical"),"")))</f>
        <v/>
      </c>
      <c r="I613" t="str">
        <f>IF(G613="","",IF(G613="[FÓRMULA MANUAL]","",IFERROR(AVERAGEIFS(nNOTA,nNIA,G613,nCUENTA,1,nASIG,"Orquesta/Banda/Conjunto"),"")))</f>
        <v/>
      </c>
      <c r="J613" t="str">
        <f>IF(G613="","",IF(G613="[FÓRMULA MANUAL]","",IFERROR(AVERAGEIFS(nNOTA,nNIA,G613,nCUENTA,1,nASIG,"Conjunto"),"")))</f>
        <v/>
      </c>
      <c r="K613" t="str">
        <f>IF(G613="","",IF(G613="[FÓRMULA MANUAL]","",IFERROR(SUMPRODUCT((nNIA=G613)*(nCUENTA=1)*(COUNTIF(CONFIG_ASIGNATURAS!$B$7:$B$27,nASIG)&gt;0)*(nNOTA))/SUMPRODUCT((nNIA=G613)*(nCUENTA=1)*(COUNTIF(CONFIG_ASIGNATURAS!$B$7:$B$27,nASIG)&gt;0)*1),"")))</f>
        <v/>
      </c>
      <c r="N613" t="str">
        <f>IF(M613="","",IF(M613="[FÓRMULA MANUAL]","",IFERROR(AVERAGEIFS(nNOTA,nNIA,M613,nCUENTA,1,nASIG,"Armonía"),"")))</f>
        <v/>
      </c>
      <c r="O613" t="str">
        <f>IF(M613="","",IF(M613="[FÓRMULA MANUAL]","",IFERROR(AVERAGEIFS(nNOTA,nNIA,M613,nCUENTA,1,nASIG,"Orquesta/Banda/Conjunto"),"")))</f>
        <v/>
      </c>
      <c r="P613" t="str">
        <f>IF(M613="","",IF(M613="[FÓRMULA MANUAL]","",IFERROR(AVERAGEIFS(nNOTA,nNIA,M613,nCUENTA,1,nASIG,"Música de Cámara"),"")))</f>
        <v/>
      </c>
      <c r="Q613" t="str">
        <f>IF(M613="","",IF(M613="[FÓRMULA MANUAL]","",IFERROR(SUMPRODUCT((nNIA=M613)*(nCUENTA=1)*(COUNTIF(CONFIG_ASIGNATURAS!$B$7:$B$27,nASIG)&gt;0)*(nNOTA))/SUMPRODUCT((nNIA=M613)*(nCUENTA=1)*(COUNTIF(CONFIG_ASIGNATURAS!$B$7:$B$27,nASIG)&gt;0)*1),"")))</f>
        <v/>
      </c>
      <c r="T613" t="str">
        <f>IF(S613="","",IF(S613="[FÓRMULA MANUAL]","",IFERROR(AVERAGEIFS(nNOTA,nNIA,S613,nCUENTA,1,nASIG,"Armonía"),"")))</f>
        <v/>
      </c>
      <c r="U613" t="str">
        <f>IF(S613="","",IF(S613="[FÓRMULA MANUAL]","",IFERROR(AVERAGEIFS(nNOTA,nNIA,S613,nCUENTA,1,nASIG,"Orquesta/Banda/Conjunto"),"")))</f>
        <v/>
      </c>
      <c r="V613" t="str">
        <f>IF(S613="","",IF(S613="[FÓRMULA MANUAL]","",IFERROR(AVERAGEIFS(nNOTA,nNIA,S613,nCUENTA,1,nASIG,"Música de Cámara"),"")))</f>
        <v/>
      </c>
      <c r="W613" t="str">
        <f>IF(S613="","",IF(S613="[FÓRMULA MANUAL]","",IFERROR(SUMPRODUCT((nNIA=S613)*(nCUENTA=1)*(COUNTIF(CONFIG_ASIGNATURAS!$B$7:$B$27,nASIG)&gt;0)*(nNOTA))/SUMPRODUCT((nNIA=S613)*(nCUENTA=1)*(COUNTIF(CONFIG_ASIGNATURAS!$B$7:$B$27,nASIG)&gt;0)*1),"")))</f>
        <v/>
      </c>
      <c r="Z613" t="str">
        <f>IF(Y613="","",IF(Y613="[FÓRMULA MANUAL]","",IFERROR(AVERAGEIFS(nNOTA,nNIA,Y613,nCUENTA,1,nASIG,"Análisis"),"")))</f>
        <v/>
      </c>
      <c r="AA613" t="str">
        <f>IF(Y613="","",IF(Y613="[FÓRMULA MANUAL]","",IFERROR(AVERAGEIFS(nNOTA,nNIA,Y613,nCUENTA,1,nASIG,"Orquesta/Banda/Conjunto"),"")))</f>
        <v/>
      </c>
      <c r="AB613" t="str">
        <f>IF(Y613="","",IF(Y613="[FÓRMULA MANUAL]","",IFERROR(AVERAGEIFS(nNOTA,nNIA,Y613,nCUENTA,1,nASIG,"Música de Cámara"),"")))</f>
        <v/>
      </c>
      <c r="AC613" t="str">
        <f>IF(Y613="","",IF(Y613="[FÓRMULA MANUAL]","",IFERROR(SUMPRODUCT((nNIA=Y613)*(nCUENTA=1)*(COUNTIF(CONFIG_ASIGNATURAS!$B$7:$B$27,nASIG)&gt;0)*(nNOTA))/SUMPRODUCT((nNIA=Y613)*(nCUENTA=1)*(COUNTIF(CONFIG_ASIGNATURAS!$B$7:$B$27,nASIG)&gt;0)*1),"")))</f>
        <v/>
      </c>
      <c r="AF613" t="str">
        <f>IF(AE613="","",IF(AE613="[FÓRMULA MANUAL]","",IFERROR(AVERAGEIFS(nNOTA,nNIA,AE613,nCUENTA,1,nASIG,"Análisis"),"")))</f>
        <v/>
      </c>
      <c r="AG613" t="str">
        <f>IF(AE613="","",IF(AE613="[FÓRMULA MANUAL]","",IFERROR(AVERAGEIFS(nNOTA,nNIA,AE613,nCUENTA,1,nASIG,"Orquesta/Banda/Conjunto"),"")))</f>
        <v/>
      </c>
      <c r="AH613" t="str">
        <f>IF(AE613="","",IF(AE613="[FÓRMULA MANUAL]","",IFERROR(AVERAGEIFS(nNOTA,nNIA,AE613,nCUENTA,1,nASIG,"Música de Cámara"),"")))</f>
        <v/>
      </c>
      <c r="AI613" t="str">
        <f>IF(AE613="","",IF(AE613="[FÓRMULA MANUAL]","",IFERROR(SUMPRODUCT((nNIA=AE613)*(nCUENTA=1)*(COUNTIF(CONFIG_ASIGNATURAS!$B$7:$B$27,nASIG)&gt;0)*(nNOTA))/SUMPRODUCT((nNIA=AE613)*(nCUENTA=1)*(COUNTIF(CONFIG_ASIGNATURAS!$B$7:$B$27,nASIG)&gt;0)*1),"")))</f>
        <v/>
      </c>
    </row>
    <row r="614" spans="2:35" x14ac:dyDescent="0.2">
      <c r="B614" t="str">
        <f>IF(A614="","",IF(A614="[FÓRMULA MANUAL]","",IFERROR(AVERAGEIFS(nNOTA,nNIA,A614,nCUENTA,1,nASIG,"Lenguaje Musical"),"")))</f>
        <v/>
      </c>
      <c r="C614" t="str">
        <f>IF(A614="","",IF(A614="[FÓRMULA MANUAL]","",IFERROR(AVERAGEIFS(nNOTA,nNIA,A614,nCUENTA,1,nASIG,"Orquesta/Banda/Conjunto"),"")))</f>
        <v/>
      </c>
      <c r="D614" t="str">
        <f>IF(A614="","",IF(A614="[FÓRMULA MANUAL]","",IFERROR(AVERAGEIFS(nNOTA,nNIA,A614,nCUENTA,1,nASIG,"Conjunto"),"")))</f>
        <v/>
      </c>
      <c r="E614" t="str">
        <f>IF(A614="","",IF(A614="[FÓRMULA MANUAL]","",IFERROR(SUMPRODUCT((nNIA=A614)*(nCUENTA=1)*(COUNTIF(CONFIG_ASIGNATURAS!$B$7:$B$27,nASIG)&gt;0)*(nNOTA))/SUMPRODUCT((nNIA=A614)*(nCUENTA=1)*(COUNTIF(CONFIG_ASIGNATURAS!$B$7:$B$27,nASIG)&gt;0)*1),"")))</f>
        <v/>
      </c>
      <c r="H614" t="str">
        <f>IF(G614="","",IF(G614="[FÓRMULA MANUAL]","",IFERROR(AVERAGEIFS(nNOTA,nNIA,G614,nCUENTA,1,nASIG,"Lenguaje Musical"),"")))</f>
        <v/>
      </c>
      <c r="I614" t="str">
        <f>IF(G614="","",IF(G614="[FÓRMULA MANUAL]","",IFERROR(AVERAGEIFS(nNOTA,nNIA,G614,nCUENTA,1,nASIG,"Orquesta/Banda/Conjunto"),"")))</f>
        <v/>
      </c>
      <c r="J614" t="str">
        <f>IF(G614="","",IF(G614="[FÓRMULA MANUAL]","",IFERROR(AVERAGEIFS(nNOTA,nNIA,G614,nCUENTA,1,nASIG,"Conjunto"),"")))</f>
        <v/>
      </c>
      <c r="K614" t="str">
        <f>IF(G614="","",IF(G614="[FÓRMULA MANUAL]","",IFERROR(SUMPRODUCT((nNIA=G614)*(nCUENTA=1)*(COUNTIF(CONFIG_ASIGNATURAS!$B$7:$B$27,nASIG)&gt;0)*(nNOTA))/SUMPRODUCT((nNIA=G614)*(nCUENTA=1)*(COUNTIF(CONFIG_ASIGNATURAS!$B$7:$B$27,nASIG)&gt;0)*1),"")))</f>
        <v/>
      </c>
      <c r="N614" t="str">
        <f>IF(M614="","",IF(M614="[FÓRMULA MANUAL]","",IFERROR(AVERAGEIFS(nNOTA,nNIA,M614,nCUENTA,1,nASIG,"Armonía"),"")))</f>
        <v/>
      </c>
      <c r="O614" t="str">
        <f>IF(M614="","",IF(M614="[FÓRMULA MANUAL]","",IFERROR(AVERAGEIFS(nNOTA,nNIA,M614,nCUENTA,1,nASIG,"Orquesta/Banda/Conjunto"),"")))</f>
        <v/>
      </c>
      <c r="P614" t="str">
        <f>IF(M614="","",IF(M614="[FÓRMULA MANUAL]","",IFERROR(AVERAGEIFS(nNOTA,nNIA,M614,nCUENTA,1,nASIG,"Música de Cámara"),"")))</f>
        <v/>
      </c>
      <c r="Q614" t="str">
        <f>IF(M614="","",IF(M614="[FÓRMULA MANUAL]","",IFERROR(SUMPRODUCT((nNIA=M614)*(nCUENTA=1)*(COUNTIF(CONFIG_ASIGNATURAS!$B$7:$B$27,nASIG)&gt;0)*(nNOTA))/SUMPRODUCT((nNIA=M614)*(nCUENTA=1)*(COUNTIF(CONFIG_ASIGNATURAS!$B$7:$B$27,nASIG)&gt;0)*1),"")))</f>
        <v/>
      </c>
      <c r="T614" t="str">
        <f>IF(S614="","",IF(S614="[FÓRMULA MANUAL]","",IFERROR(AVERAGEIFS(nNOTA,nNIA,S614,nCUENTA,1,nASIG,"Armonía"),"")))</f>
        <v/>
      </c>
      <c r="U614" t="str">
        <f>IF(S614="","",IF(S614="[FÓRMULA MANUAL]","",IFERROR(AVERAGEIFS(nNOTA,nNIA,S614,nCUENTA,1,nASIG,"Orquesta/Banda/Conjunto"),"")))</f>
        <v/>
      </c>
      <c r="V614" t="str">
        <f>IF(S614="","",IF(S614="[FÓRMULA MANUAL]","",IFERROR(AVERAGEIFS(nNOTA,nNIA,S614,nCUENTA,1,nASIG,"Música de Cámara"),"")))</f>
        <v/>
      </c>
      <c r="W614" t="str">
        <f>IF(S614="","",IF(S614="[FÓRMULA MANUAL]","",IFERROR(SUMPRODUCT((nNIA=S614)*(nCUENTA=1)*(COUNTIF(CONFIG_ASIGNATURAS!$B$7:$B$27,nASIG)&gt;0)*(nNOTA))/SUMPRODUCT((nNIA=S614)*(nCUENTA=1)*(COUNTIF(CONFIG_ASIGNATURAS!$B$7:$B$27,nASIG)&gt;0)*1),"")))</f>
        <v/>
      </c>
      <c r="Z614" t="str">
        <f>IF(Y614="","",IF(Y614="[FÓRMULA MANUAL]","",IFERROR(AVERAGEIFS(nNOTA,nNIA,Y614,nCUENTA,1,nASIG,"Análisis"),"")))</f>
        <v/>
      </c>
      <c r="AA614" t="str">
        <f>IF(Y614="","",IF(Y614="[FÓRMULA MANUAL]","",IFERROR(AVERAGEIFS(nNOTA,nNIA,Y614,nCUENTA,1,nASIG,"Orquesta/Banda/Conjunto"),"")))</f>
        <v/>
      </c>
      <c r="AB614" t="str">
        <f>IF(Y614="","",IF(Y614="[FÓRMULA MANUAL]","",IFERROR(AVERAGEIFS(nNOTA,nNIA,Y614,nCUENTA,1,nASIG,"Música de Cámara"),"")))</f>
        <v/>
      </c>
      <c r="AC614" t="str">
        <f>IF(Y614="","",IF(Y614="[FÓRMULA MANUAL]","",IFERROR(SUMPRODUCT((nNIA=Y614)*(nCUENTA=1)*(COUNTIF(CONFIG_ASIGNATURAS!$B$7:$B$27,nASIG)&gt;0)*(nNOTA))/SUMPRODUCT((nNIA=Y614)*(nCUENTA=1)*(COUNTIF(CONFIG_ASIGNATURAS!$B$7:$B$27,nASIG)&gt;0)*1),"")))</f>
        <v/>
      </c>
      <c r="AF614" t="str">
        <f>IF(AE614="","",IF(AE614="[FÓRMULA MANUAL]","",IFERROR(AVERAGEIFS(nNOTA,nNIA,AE614,nCUENTA,1,nASIG,"Análisis"),"")))</f>
        <v/>
      </c>
      <c r="AG614" t="str">
        <f>IF(AE614="","",IF(AE614="[FÓRMULA MANUAL]","",IFERROR(AVERAGEIFS(nNOTA,nNIA,AE614,nCUENTA,1,nASIG,"Orquesta/Banda/Conjunto"),"")))</f>
        <v/>
      </c>
      <c r="AH614" t="str">
        <f>IF(AE614="","",IF(AE614="[FÓRMULA MANUAL]","",IFERROR(AVERAGEIFS(nNOTA,nNIA,AE614,nCUENTA,1,nASIG,"Música de Cámara"),"")))</f>
        <v/>
      </c>
      <c r="AI614" t="str">
        <f>IF(AE614="","",IF(AE614="[FÓRMULA MANUAL]","",IFERROR(SUMPRODUCT((nNIA=AE614)*(nCUENTA=1)*(COUNTIF(CONFIG_ASIGNATURAS!$B$7:$B$27,nASIG)&gt;0)*(nNOTA))/SUMPRODUCT((nNIA=AE614)*(nCUENTA=1)*(COUNTIF(CONFIG_ASIGNATURAS!$B$7:$B$27,nASIG)&gt;0)*1),"")))</f>
        <v/>
      </c>
    </row>
    <row r="615" spans="2:35" x14ac:dyDescent="0.2">
      <c r="B615" t="str">
        <f>IF(A615="","",IF(A615="[FÓRMULA MANUAL]","",IFERROR(AVERAGEIFS(nNOTA,nNIA,A615,nCUENTA,1,nASIG,"Lenguaje Musical"),"")))</f>
        <v/>
      </c>
      <c r="C615" t="str">
        <f>IF(A615="","",IF(A615="[FÓRMULA MANUAL]","",IFERROR(AVERAGEIFS(nNOTA,nNIA,A615,nCUENTA,1,nASIG,"Orquesta/Banda/Conjunto"),"")))</f>
        <v/>
      </c>
      <c r="D615" t="str">
        <f>IF(A615="","",IF(A615="[FÓRMULA MANUAL]","",IFERROR(AVERAGEIFS(nNOTA,nNIA,A615,nCUENTA,1,nASIG,"Conjunto"),"")))</f>
        <v/>
      </c>
      <c r="E615" t="str">
        <f>IF(A615="","",IF(A615="[FÓRMULA MANUAL]","",IFERROR(SUMPRODUCT((nNIA=A615)*(nCUENTA=1)*(COUNTIF(CONFIG_ASIGNATURAS!$B$7:$B$27,nASIG)&gt;0)*(nNOTA))/SUMPRODUCT((nNIA=A615)*(nCUENTA=1)*(COUNTIF(CONFIG_ASIGNATURAS!$B$7:$B$27,nASIG)&gt;0)*1),"")))</f>
        <v/>
      </c>
      <c r="H615" t="str">
        <f>IF(G615="","",IF(G615="[FÓRMULA MANUAL]","",IFERROR(AVERAGEIFS(nNOTA,nNIA,G615,nCUENTA,1,nASIG,"Lenguaje Musical"),"")))</f>
        <v/>
      </c>
      <c r="I615" t="str">
        <f>IF(G615="","",IF(G615="[FÓRMULA MANUAL]","",IFERROR(AVERAGEIFS(nNOTA,nNIA,G615,nCUENTA,1,nASIG,"Orquesta/Banda/Conjunto"),"")))</f>
        <v/>
      </c>
      <c r="J615" t="str">
        <f>IF(G615="","",IF(G615="[FÓRMULA MANUAL]","",IFERROR(AVERAGEIFS(nNOTA,nNIA,G615,nCUENTA,1,nASIG,"Conjunto"),"")))</f>
        <v/>
      </c>
      <c r="K615" t="str">
        <f>IF(G615="","",IF(G615="[FÓRMULA MANUAL]","",IFERROR(SUMPRODUCT((nNIA=G615)*(nCUENTA=1)*(COUNTIF(CONFIG_ASIGNATURAS!$B$7:$B$27,nASIG)&gt;0)*(nNOTA))/SUMPRODUCT((nNIA=G615)*(nCUENTA=1)*(COUNTIF(CONFIG_ASIGNATURAS!$B$7:$B$27,nASIG)&gt;0)*1),"")))</f>
        <v/>
      </c>
      <c r="N615" t="str">
        <f>IF(M615="","",IF(M615="[FÓRMULA MANUAL]","",IFERROR(AVERAGEIFS(nNOTA,nNIA,M615,nCUENTA,1,nASIG,"Armonía"),"")))</f>
        <v/>
      </c>
      <c r="O615" t="str">
        <f>IF(M615="","",IF(M615="[FÓRMULA MANUAL]","",IFERROR(AVERAGEIFS(nNOTA,nNIA,M615,nCUENTA,1,nASIG,"Orquesta/Banda/Conjunto"),"")))</f>
        <v/>
      </c>
      <c r="P615" t="str">
        <f>IF(M615="","",IF(M615="[FÓRMULA MANUAL]","",IFERROR(AVERAGEIFS(nNOTA,nNIA,M615,nCUENTA,1,nASIG,"Música de Cámara"),"")))</f>
        <v/>
      </c>
      <c r="Q615" t="str">
        <f>IF(M615="","",IF(M615="[FÓRMULA MANUAL]","",IFERROR(SUMPRODUCT((nNIA=M615)*(nCUENTA=1)*(COUNTIF(CONFIG_ASIGNATURAS!$B$7:$B$27,nASIG)&gt;0)*(nNOTA))/SUMPRODUCT((nNIA=M615)*(nCUENTA=1)*(COUNTIF(CONFIG_ASIGNATURAS!$B$7:$B$27,nASIG)&gt;0)*1),"")))</f>
        <v/>
      </c>
      <c r="T615" t="str">
        <f>IF(S615="","",IF(S615="[FÓRMULA MANUAL]","",IFERROR(AVERAGEIFS(nNOTA,nNIA,S615,nCUENTA,1,nASIG,"Armonía"),"")))</f>
        <v/>
      </c>
      <c r="U615" t="str">
        <f>IF(S615="","",IF(S615="[FÓRMULA MANUAL]","",IFERROR(AVERAGEIFS(nNOTA,nNIA,S615,nCUENTA,1,nASIG,"Orquesta/Banda/Conjunto"),"")))</f>
        <v/>
      </c>
      <c r="V615" t="str">
        <f>IF(S615="","",IF(S615="[FÓRMULA MANUAL]","",IFERROR(AVERAGEIFS(nNOTA,nNIA,S615,nCUENTA,1,nASIG,"Música de Cámara"),"")))</f>
        <v/>
      </c>
      <c r="W615" t="str">
        <f>IF(S615="","",IF(S615="[FÓRMULA MANUAL]","",IFERROR(SUMPRODUCT((nNIA=S615)*(nCUENTA=1)*(COUNTIF(CONFIG_ASIGNATURAS!$B$7:$B$27,nASIG)&gt;0)*(nNOTA))/SUMPRODUCT((nNIA=S615)*(nCUENTA=1)*(COUNTIF(CONFIG_ASIGNATURAS!$B$7:$B$27,nASIG)&gt;0)*1),"")))</f>
        <v/>
      </c>
      <c r="Z615" t="str">
        <f>IF(Y615="","",IF(Y615="[FÓRMULA MANUAL]","",IFERROR(AVERAGEIFS(nNOTA,nNIA,Y615,nCUENTA,1,nASIG,"Análisis"),"")))</f>
        <v/>
      </c>
      <c r="AA615" t="str">
        <f>IF(Y615="","",IF(Y615="[FÓRMULA MANUAL]","",IFERROR(AVERAGEIFS(nNOTA,nNIA,Y615,nCUENTA,1,nASIG,"Orquesta/Banda/Conjunto"),"")))</f>
        <v/>
      </c>
      <c r="AB615" t="str">
        <f>IF(Y615="","",IF(Y615="[FÓRMULA MANUAL]","",IFERROR(AVERAGEIFS(nNOTA,nNIA,Y615,nCUENTA,1,nASIG,"Música de Cámara"),"")))</f>
        <v/>
      </c>
      <c r="AC615" t="str">
        <f>IF(Y615="","",IF(Y615="[FÓRMULA MANUAL]","",IFERROR(SUMPRODUCT((nNIA=Y615)*(nCUENTA=1)*(COUNTIF(CONFIG_ASIGNATURAS!$B$7:$B$27,nASIG)&gt;0)*(nNOTA))/SUMPRODUCT((nNIA=Y615)*(nCUENTA=1)*(COUNTIF(CONFIG_ASIGNATURAS!$B$7:$B$27,nASIG)&gt;0)*1),"")))</f>
        <v/>
      </c>
      <c r="AF615" t="str">
        <f>IF(AE615="","",IF(AE615="[FÓRMULA MANUAL]","",IFERROR(AVERAGEIFS(nNOTA,nNIA,AE615,nCUENTA,1,nASIG,"Análisis"),"")))</f>
        <v/>
      </c>
      <c r="AG615" t="str">
        <f>IF(AE615="","",IF(AE615="[FÓRMULA MANUAL]","",IFERROR(AVERAGEIFS(nNOTA,nNIA,AE615,nCUENTA,1,nASIG,"Orquesta/Banda/Conjunto"),"")))</f>
        <v/>
      </c>
      <c r="AH615" t="str">
        <f>IF(AE615="","",IF(AE615="[FÓRMULA MANUAL]","",IFERROR(AVERAGEIFS(nNOTA,nNIA,AE615,nCUENTA,1,nASIG,"Música de Cámara"),"")))</f>
        <v/>
      </c>
      <c r="AI615" t="str">
        <f>IF(AE615="","",IF(AE615="[FÓRMULA MANUAL]","",IFERROR(SUMPRODUCT((nNIA=AE615)*(nCUENTA=1)*(COUNTIF(CONFIG_ASIGNATURAS!$B$7:$B$27,nASIG)&gt;0)*(nNOTA))/SUMPRODUCT((nNIA=AE615)*(nCUENTA=1)*(COUNTIF(CONFIG_ASIGNATURAS!$B$7:$B$27,nASIG)&gt;0)*1),"")))</f>
        <v/>
      </c>
    </row>
    <row r="616" spans="2:35" x14ac:dyDescent="0.2">
      <c r="B616" t="str">
        <f>IF(A616="","",IF(A616="[FÓRMULA MANUAL]","",IFERROR(AVERAGEIFS(nNOTA,nNIA,A616,nCUENTA,1,nASIG,"Lenguaje Musical"),"")))</f>
        <v/>
      </c>
      <c r="C616" t="str">
        <f>IF(A616="","",IF(A616="[FÓRMULA MANUAL]","",IFERROR(AVERAGEIFS(nNOTA,nNIA,A616,nCUENTA,1,nASIG,"Orquesta/Banda/Conjunto"),"")))</f>
        <v/>
      </c>
      <c r="D616" t="str">
        <f>IF(A616="","",IF(A616="[FÓRMULA MANUAL]","",IFERROR(AVERAGEIFS(nNOTA,nNIA,A616,nCUENTA,1,nASIG,"Conjunto"),"")))</f>
        <v/>
      </c>
      <c r="E616" t="str">
        <f>IF(A616="","",IF(A616="[FÓRMULA MANUAL]","",IFERROR(SUMPRODUCT((nNIA=A616)*(nCUENTA=1)*(COUNTIF(CONFIG_ASIGNATURAS!$B$7:$B$27,nASIG)&gt;0)*(nNOTA))/SUMPRODUCT((nNIA=A616)*(nCUENTA=1)*(COUNTIF(CONFIG_ASIGNATURAS!$B$7:$B$27,nASIG)&gt;0)*1),"")))</f>
        <v/>
      </c>
      <c r="H616" t="str">
        <f>IF(G616="","",IF(G616="[FÓRMULA MANUAL]","",IFERROR(AVERAGEIFS(nNOTA,nNIA,G616,nCUENTA,1,nASIG,"Lenguaje Musical"),"")))</f>
        <v/>
      </c>
      <c r="I616" t="str">
        <f>IF(G616="","",IF(G616="[FÓRMULA MANUAL]","",IFERROR(AVERAGEIFS(nNOTA,nNIA,G616,nCUENTA,1,nASIG,"Orquesta/Banda/Conjunto"),"")))</f>
        <v/>
      </c>
      <c r="J616" t="str">
        <f>IF(G616="","",IF(G616="[FÓRMULA MANUAL]","",IFERROR(AVERAGEIFS(nNOTA,nNIA,G616,nCUENTA,1,nASIG,"Conjunto"),"")))</f>
        <v/>
      </c>
      <c r="K616" t="str">
        <f>IF(G616="","",IF(G616="[FÓRMULA MANUAL]","",IFERROR(SUMPRODUCT((nNIA=G616)*(nCUENTA=1)*(COUNTIF(CONFIG_ASIGNATURAS!$B$7:$B$27,nASIG)&gt;0)*(nNOTA))/SUMPRODUCT((nNIA=G616)*(nCUENTA=1)*(COUNTIF(CONFIG_ASIGNATURAS!$B$7:$B$27,nASIG)&gt;0)*1),"")))</f>
        <v/>
      </c>
      <c r="N616" t="str">
        <f>IF(M616="","",IF(M616="[FÓRMULA MANUAL]","",IFERROR(AVERAGEIFS(nNOTA,nNIA,M616,nCUENTA,1,nASIG,"Armonía"),"")))</f>
        <v/>
      </c>
      <c r="O616" t="str">
        <f>IF(M616="","",IF(M616="[FÓRMULA MANUAL]","",IFERROR(AVERAGEIFS(nNOTA,nNIA,M616,nCUENTA,1,nASIG,"Orquesta/Banda/Conjunto"),"")))</f>
        <v/>
      </c>
      <c r="P616" t="str">
        <f>IF(M616="","",IF(M616="[FÓRMULA MANUAL]","",IFERROR(AVERAGEIFS(nNOTA,nNIA,M616,nCUENTA,1,nASIG,"Música de Cámara"),"")))</f>
        <v/>
      </c>
      <c r="Q616" t="str">
        <f>IF(M616="","",IF(M616="[FÓRMULA MANUAL]","",IFERROR(SUMPRODUCT((nNIA=M616)*(nCUENTA=1)*(COUNTIF(CONFIG_ASIGNATURAS!$B$7:$B$27,nASIG)&gt;0)*(nNOTA))/SUMPRODUCT((nNIA=M616)*(nCUENTA=1)*(COUNTIF(CONFIG_ASIGNATURAS!$B$7:$B$27,nASIG)&gt;0)*1),"")))</f>
        <v/>
      </c>
      <c r="T616" t="str">
        <f>IF(S616="","",IF(S616="[FÓRMULA MANUAL]","",IFERROR(AVERAGEIFS(nNOTA,nNIA,S616,nCUENTA,1,nASIG,"Armonía"),"")))</f>
        <v/>
      </c>
      <c r="U616" t="str">
        <f>IF(S616="","",IF(S616="[FÓRMULA MANUAL]","",IFERROR(AVERAGEIFS(nNOTA,nNIA,S616,nCUENTA,1,nASIG,"Orquesta/Banda/Conjunto"),"")))</f>
        <v/>
      </c>
      <c r="V616" t="str">
        <f>IF(S616="","",IF(S616="[FÓRMULA MANUAL]","",IFERROR(AVERAGEIFS(nNOTA,nNIA,S616,nCUENTA,1,nASIG,"Música de Cámara"),"")))</f>
        <v/>
      </c>
      <c r="W616" t="str">
        <f>IF(S616="","",IF(S616="[FÓRMULA MANUAL]","",IFERROR(SUMPRODUCT((nNIA=S616)*(nCUENTA=1)*(COUNTIF(CONFIG_ASIGNATURAS!$B$7:$B$27,nASIG)&gt;0)*(nNOTA))/SUMPRODUCT((nNIA=S616)*(nCUENTA=1)*(COUNTIF(CONFIG_ASIGNATURAS!$B$7:$B$27,nASIG)&gt;0)*1),"")))</f>
        <v/>
      </c>
      <c r="Z616" t="str">
        <f>IF(Y616="","",IF(Y616="[FÓRMULA MANUAL]","",IFERROR(AVERAGEIFS(nNOTA,nNIA,Y616,nCUENTA,1,nASIG,"Análisis"),"")))</f>
        <v/>
      </c>
      <c r="AA616" t="str">
        <f>IF(Y616="","",IF(Y616="[FÓRMULA MANUAL]","",IFERROR(AVERAGEIFS(nNOTA,nNIA,Y616,nCUENTA,1,nASIG,"Orquesta/Banda/Conjunto"),"")))</f>
        <v/>
      </c>
      <c r="AB616" t="str">
        <f>IF(Y616="","",IF(Y616="[FÓRMULA MANUAL]","",IFERROR(AVERAGEIFS(nNOTA,nNIA,Y616,nCUENTA,1,nASIG,"Música de Cámara"),"")))</f>
        <v/>
      </c>
      <c r="AC616" t="str">
        <f>IF(Y616="","",IF(Y616="[FÓRMULA MANUAL]","",IFERROR(SUMPRODUCT((nNIA=Y616)*(nCUENTA=1)*(COUNTIF(CONFIG_ASIGNATURAS!$B$7:$B$27,nASIG)&gt;0)*(nNOTA))/SUMPRODUCT((nNIA=Y616)*(nCUENTA=1)*(COUNTIF(CONFIG_ASIGNATURAS!$B$7:$B$27,nASIG)&gt;0)*1),"")))</f>
        <v/>
      </c>
      <c r="AF616" t="str">
        <f>IF(AE616="","",IF(AE616="[FÓRMULA MANUAL]","",IFERROR(AVERAGEIFS(nNOTA,nNIA,AE616,nCUENTA,1,nASIG,"Análisis"),"")))</f>
        <v/>
      </c>
      <c r="AG616" t="str">
        <f>IF(AE616="","",IF(AE616="[FÓRMULA MANUAL]","",IFERROR(AVERAGEIFS(nNOTA,nNIA,AE616,nCUENTA,1,nASIG,"Orquesta/Banda/Conjunto"),"")))</f>
        <v/>
      </c>
      <c r="AH616" t="str">
        <f>IF(AE616="","",IF(AE616="[FÓRMULA MANUAL]","",IFERROR(AVERAGEIFS(nNOTA,nNIA,AE616,nCUENTA,1,nASIG,"Música de Cámara"),"")))</f>
        <v/>
      </c>
      <c r="AI616" t="str">
        <f>IF(AE616="","",IF(AE616="[FÓRMULA MANUAL]","",IFERROR(SUMPRODUCT((nNIA=AE616)*(nCUENTA=1)*(COUNTIF(CONFIG_ASIGNATURAS!$B$7:$B$27,nASIG)&gt;0)*(nNOTA))/SUMPRODUCT((nNIA=AE616)*(nCUENTA=1)*(COUNTIF(CONFIG_ASIGNATURAS!$B$7:$B$27,nASIG)&gt;0)*1),"")))</f>
        <v/>
      </c>
    </row>
    <row r="617" spans="2:35" x14ac:dyDescent="0.2">
      <c r="B617" t="str">
        <f>IF(A617="","",IF(A617="[FÓRMULA MANUAL]","",IFERROR(AVERAGEIFS(nNOTA,nNIA,A617,nCUENTA,1,nASIG,"Lenguaje Musical"),"")))</f>
        <v/>
      </c>
      <c r="C617" t="str">
        <f>IF(A617="","",IF(A617="[FÓRMULA MANUAL]","",IFERROR(AVERAGEIFS(nNOTA,nNIA,A617,nCUENTA,1,nASIG,"Orquesta/Banda/Conjunto"),"")))</f>
        <v/>
      </c>
      <c r="D617" t="str">
        <f>IF(A617="","",IF(A617="[FÓRMULA MANUAL]","",IFERROR(AVERAGEIFS(nNOTA,nNIA,A617,nCUENTA,1,nASIG,"Conjunto"),"")))</f>
        <v/>
      </c>
      <c r="E617" t="str">
        <f>IF(A617="","",IF(A617="[FÓRMULA MANUAL]","",IFERROR(SUMPRODUCT((nNIA=A617)*(nCUENTA=1)*(COUNTIF(CONFIG_ASIGNATURAS!$B$7:$B$27,nASIG)&gt;0)*(nNOTA))/SUMPRODUCT((nNIA=A617)*(nCUENTA=1)*(COUNTIF(CONFIG_ASIGNATURAS!$B$7:$B$27,nASIG)&gt;0)*1),"")))</f>
        <v/>
      </c>
      <c r="H617" t="str">
        <f>IF(G617="","",IF(G617="[FÓRMULA MANUAL]","",IFERROR(AVERAGEIFS(nNOTA,nNIA,G617,nCUENTA,1,nASIG,"Lenguaje Musical"),"")))</f>
        <v/>
      </c>
      <c r="I617" t="str">
        <f>IF(G617="","",IF(G617="[FÓRMULA MANUAL]","",IFERROR(AVERAGEIFS(nNOTA,nNIA,G617,nCUENTA,1,nASIG,"Orquesta/Banda/Conjunto"),"")))</f>
        <v/>
      </c>
      <c r="J617" t="str">
        <f>IF(G617="","",IF(G617="[FÓRMULA MANUAL]","",IFERROR(AVERAGEIFS(nNOTA,nNIA,G617,nCUENTA,1,nASIG,"Conjunto"),"")))</f>
        <v/>
      </c>
      <c r="K617" t="str">
        <f>IF(G617="","",IF(G617="[FÓRMULA MANUAL]","",IFERROR(SUMPRODUCT((nNIA=G617)*(nCUENTA=1)*(COUNTIF(CONFIG_ASIGNATURAS!$B$7:$B$27,nASIG)&gt;0)*(nNOTA))/SUMPRODUCT((nNIA=G617)*(nCUENTA=1)*(COUNTIF(CONFIG_ASIGNATURAS!$B$7:$B$27,nASIG)&gt;0)*1),"")))</f>
        <v/>
      </c>
      <c r="N617" t="str">
        <f>IF(M617="","",IF(M617="[FÓRMULA MANUAL]","",IFERROR(AVERAGEIFS(nNOTA,nNIA,M617,nCUENTA,1,nASIG,"Armonía"),"")))</f>
        <v/>
      </c>
      <c r="O617" t="str">
        <f>IF(M617="","",IF(M617="[FÓRMULA MANUAL]","",IFERROR(AVERAGEIFS(nNOTA,nNIA,M617,nCUENTA,1,nASIG,"Orquesta/Banda/Conjunto"),"")))</f>
        <v/>
      </c>
      <c r="P617" t="str">
        <f>IF(M617="","",IF(M617="[FÓRMULA MANUAL]","",IFERROR(AVERAGEIFS(nNOTA,nNIA,M617,nCUENTA,1,nASIG,"Música de Cámara"),"")))</f>
        <v/>
      </c>
      <c r="Q617" t="str">
        <f>IF(M617="","",IF(M617="[FÓRMULA MANUAL]","",IFERROR(SUMPRODUCT((nNIA=M617)*(nCUENTA=1)*(COUNTIF(CONFIG_ASIGNATURAS!$B$7:$B$27,nASIG)&gt;0)*(nNOTA))/SUMPRODUCT((nNIA=M617)*(nCUENTA=1)*(COUNTIF(CONFIG_ASIGNATURAS!$B$7:$B$27,nASIG)&gt;0)*1),"")))</f>
        <v/>
      </c>
      <c r="T617" t="str">
        <f>IF(S617="","",IF(S617="[FÓRMULA MANUAL]","",IFERROR(AVERAGEIFS(nNOTA,nNIA,S617,nCUENTA,1,nASIG,"Armonía"),"")))</f>
        <v/>
      </c>
      <c r="U617" t="str">
        <f>IF(S617="","",IF(S617="[FÓRMULA MANUAL]","",IFERROR(AVERAGEIFS(nNOTA,nNIA,S617,nCUENTA,1,nASIG,"Orquesta/Banda/Conjunto"),"")))</f>
        <v/>
      </c>
      <c r="V617" t="str">
        <f>IF(S617="","",IF(S617="[FÓRMULA MANUAL]","",IFERROR(AVERAGEIFS(nNOTA,nNIA,S617,nCUENTA,1,nASIG,"Música de Cámara"),"")))</f>
        <v/>
      </c>
      <c r="W617" t="str">
        <f>IF(S617="","",IF(S617="[FÓRMULA MANUAL]","",IFERROR(SUMPRODUCT((nNIA=S617)*(nCUENTA=1)*(COUNTIF(CONFIG_ASIGNATURAS!$B$7:$B$27,nASIG)&gt;0)*(nNOTA))/SUMPRODUCT((nNIA=S617)*(nCUENTA=1)*(COUNTIF(CONFIG_ASIGNATURAS!$B$7:$B$27,nASIG)&gt;0)*1),"")))</f>
        <v/>
      </c>
      <c r="Z617" t="str">
        <f>IF(Y617="","",IF(Y617="[FÓRMULA MANUAL]","",IFERROR(AVERAGEIFS(nNOTA,nNIA,Y617,nCUENTA,1,nASIG,"Análisis"),"")))</f>
        <v/>
      </c>
      <c r="AA617" t="str">
        <f>IF(Y617="","",IF(Y617="[FÓRMULA MANUAL]","",IFERROR(AVERAGEIFS(nNOTA,nNIA,Y617,nCUENTA,1,nASIG,"Orquesta/Banda/Conjunto"),"")))</f>
        <v/>
      </c>
      <c r="AB617" t="str">
        <f>IF(Y617="","",IF(Y617="[FÓRMULA MANUAL]","",IFERROR(AVERAGEIFS(nNOTA,nNIA,Y617,nCUENTA,1,nASIG,"Música de Cámara"),"")))</f>
        <v/>
      </c>
      <c r="AC617" t="str">
        <f>IF(Y617="","",IF(Y617="[FÓRMULA MANUAL]","",IFERROR(SUMPRODUCT((nNIA=Y617)*(nCUENTA=1)*(COUNTIF(CONFIG_ASIGNATURAS!$B$7:$B$27,nASIG)&gt;0)*(nNOTA))/SUMPRODUCT((nNIA=Y617)*(nCUENTA=1)*(COUNTIF(CONFIG_ASIGNATURAS!$B$7:$B$27,nASIG)&gt;0)*1),"")))</f>
        <v/>
      </c>
      <c r="AF617" t="str">
        <f>IF(AE617="","",IF(AE617="[FÓRMULA MANUAL]","",IFERROR(AVERAGEIFS(nNOTA,nNIA,AE617,nCUENTA,1,nASIG,"Análisis"),"")))</f>
        <v/>
      </c>
      <c r="AG617" t="str">
        <f>IF(AE617="","",IF(AE617="[FÓRMULA MANUAL]","",IFERROR(AVERAGEIFS(nNOTA,nNIA,AE617,nCUENTA,1,nASIG,"Orquesta/Banda/Conjunto"),"")))</f>
        <v/>
      </c>
      <c r="AH617" t="str">
        <f>IF(AE617="","",IF(AE617="[FÓRMULA MANUAL]","",IFERROR(AVERAGEIFS(nNOTA,nNIA,AE617,nCUENTA,1,nASIG,"Música de Cámara"),"")))</f>
        <v/>
      </c>
      <c r="AI617" t="str">
        <f>IF(AE617="","",IF(AE617="[FÓRMULA MANUAL]","",IFERROR(SUMPRODUCT((nNIA=AE617)*(nCUENTA=1)*(COUNTIF(CONFIG_ASIGNATURAS!$B$7:$B$27,nASIG)&gt;0)*(nNOTA))/SUMPRODUCT((nNIA=AE617)*(nCUENTA=1)*(COUNTIF(CONFIG_ASIGNATURAS!$B$7:$B$27,nASIG)&gt;0)*1),"")))</f>
        <v/>
      </c>
    </row>
    <row r="618" spans="2:35" x14ac:dyDescent="0.2">
      <c r="B618" t="str">
        <f>IF(A618="","",IF(A618="[FÓRMULA MANUAL]","",IFERROR(AVERAGEIFS(nNOTA,nNIA,A618,nCUENTA,1,nASIG,"Lenguaje Musical"),"")))</f>
        <v/>
      </c>
      <c r="C618" t="str">
        <f>IF(A618="","",IF(A618="[FÓRMULA MANUAL]","",IFERROR(AVERAGEIFS(nNOTA,nNIA,A618,nCUENTA,1,nASIG,"Orquesta/Banda/Conjunto"),"")))</f>
        <v/>
      </c>
      <c r="D618" t="str">
        <f>IF(A618="","",IF(A618="[FÓRMULA MANUAL]","",IFERROR(AVERAGEIFS(nNOTA,nNIA,A618,nCUENTA,1,nASIG,"Conjunto"),"")))</f>
        <v/>
      </c>
      <c r="E618" t="str">
        <f>IF(A618="","",IF(A618="[FÓRMULA MANUAL]","",IFERROR(SUMPRODUCT((nNIA=A618)*(nCUENTA=1)*(COUNTIF(CONFIG_ASIGNATURAS!$B$7:$B$27,nASIG)&gt;0)*(nNOTA))/SUMPRODUCT((nNIA=A618)*(nCUENTA=1)*(COUNTIF(CONFIG_ASIGNATURAS!$B$7:$B$27,nASIG)&gt;0)*1),"")))</f>
        <v/>
      </c>
      <c r="H618" t="str">
        <f>IF(G618="","",IF(G618="[FÓRMULA MANUAL]","",IFERROR(AVERAGEIFS(nNOTA,nNIA,G618,nCUENTA,1,nASIG,"Lenguaje Musical"),"")))</f>
        <v/>
      </c>
      <c r="I618" t="str">
        <f>IF(G618="","",IF(G618="[FÓRMULA MANUAL]","",IFERROR(AVERAGEIFS(nNOTA,nNIA,G618,nCUENTA,1,nASIG,"Orquesta/Banda/Conjunto"),"")))</f>
        <v/>
      </c>
      <c r="J618" t="str">
        <f>IF(G618="","",IF(G618="[FÓRMULA MANUAL]","",IFERROR(AVERAGEIFS(nNOTA,nNIA,G618,nCUENTA,1,nASIG,"Conjunto"),"")))</f>
        <v/>
      </c>
      <c r="K618" t="str">
        <f>IF(G618="","",IF(G618="[FÓRMULA MANUAL]","",IFERROR(SUMPRODUCT((nNIA=G618)*(nCUENTA=1)*(COUNTIF(CONFIG_ASIGNATURAS!$B$7:$B$27,nASIG)&gt;0)*(nNOTA))/SUMPRODUCT((nNIA=G618)*(nCUENTA=1)*(COUNTIF(CONFIG_ASIGNATURAS!$B$7:$B$27,nASIG)&gt;0)*1),"")))</f>
        <v/>
      </c>
      <c r="N618" t="str">
        <f>IF(M618="","",IF(M618="[FÓRMULA MANUAL]","",IFERROR(AVERAGEIFS(nNOTA,nNIA,M618,nCUENTA,1,nASIG,"Armonía"),"")))</f>
        <v/>
      </c>
      <c r="O618" t="str">
        <f>IF(M618="","",IF(M618="[FÓRMULA MANUAL]","",IFERROR(AVERAGEIFS(nNOTA,nNIA,M618,nCUENTA,1,nASIG,"Orquesta/Banda/Conjunto"),"")))</f>
        <v/>
      </c>
      <c r="P618" t="str">
        <f>IF(M618="","",IF(M618="[FÓRMULA MANUAL]","",IFERROR(AVERAGEIFS(nNOTA,nNIA,M618,nCUENTA,1,nASIG,"Música de Cámara"),"")))</f>
        <v/>
      </c>
      <c r="Q618" t="str">
        <f>IF(M618="","",IF(M618="[FÓRMULA MANUAL]","",IFERROR(SUMPRODUCT((nNIA=M618)*(nCUENTA=1)*(COUNTIF(CONFIG_ASIGNATURAS!$B$7:$B$27,nASIG)&gt;0)*(nNOTA))/SUMPRODUCT((nNIA=M618)*(nCUENTA=1)*(COUNTIF(CONFIG_ASIGNATURAS!$B$7:$B$27,nASIG)&gt;0)*1),"")))</f>
        <v/>
      </c>
      <c r="T618" t="str">
        <f>IF(S618="","",IF(S618="[FÓRMULA MANUAL]","",IFERROR(AVERAGEIFS(nNOTA,nNIA,S618,nCUENTA,1,nASIG,"Armonía"),"")))</f>
        <v/>
      </c>
      <c r="U618" t="str">
        <f>IF(S618="","",IF(S618="[FÓRMULA MANUAL]","",IFERROR(AVERAGEIFS(nNOTA,nNIA,S618,nCUENTA,1,nASIG,"Orquesta/Banda/Conjunto"),"")))</f>
        <v/>
      </c>
      <c r="V618" t="str">
        <f>IF(S618="","",IF(S618="[FÓRMULA MANUAL]","",IFERROR(AVERAGEIFS(nNOTA,nNIA,S618,nCUENTA,1,nASIG,"Música de Cámara"),"")))</f>
        <v/>
      </c>
      <c r="W618" t="str">
        <f>IF(S618="","",IF(S618="[FÓRMULA MANUAL]","",IFERROR(SUMPRODUCT((nNIA=S618)*(nCUENTA=1)*(COUNTIF(CONFIG_ASIGNATURAS!$B$7:$B$27,nASIG)&gt;0)*(nNOTA))/SUMPRODUCT((nNIA=S618)*(nCUENTA=1)*(COUNTIF(CONFIG_ASIGNATURAS!$B$7:$B$27,nASIG)&gt;0)*1),"")))</f>
        <v/>
      </c>
      <c r="Z618" t="str">
        <f>IF(Y618="","",IF(Y618="[FÓRMULA MANUAL]","",IFERROR(AVERAGEIFS(nNOTA,nNIA,Y618,nCUENTA,1,nASIG,"Análisis"),"")))</f>
        <v/>
      </c>
      <c r="AA618" t="str">
        <f>IF(Y618="","",IF(Y618="[FÓRMULA MANUAL]","",IFERROR(AVERAGEIFS(nNOTA,nNIA,Y618,nCUENTA,1,nASIG,"Orquesta/Banda/Conjunto"),"")))</f>
        <v/>
      </c>
      <c r="AB618" t="str">
        <f>IF(Y618="","",IF(Y618="[FÓRMULA MANUAL]","",IFERROR(AVERAGEIFS(nNOTA,nNIA,Y618,nCUENTA,1,nASIG,"Música de Cámara"),"")))</f>
        <v/>
      </c>
      <c r="AC618" t="str">
        <f>IF(Y618="","",IF(Y618="[FÓRMULA MANUAL]","",IFERROR(SUMPRODUCT((nNIA=Y618)*(nCUENTA=1)*(COUNTIF(CONFIG_ASIGNATURAS!$B$7:$B$27,nASIG)&gt;0)*(nNOTA))/SUMPRODUCT((nNIA=Y618)*(nCUENTA=1)*(COUNTIF(CONFIG_ASIGNATURAS!$B$7:$B$27,nASIG)&gt;0)*1),"")))</f>
        <v/>
      </c>
      <c r="AF618" t="str">
        <f>IF(AE618="","",IF(AE618="[FÓRMULA MANUAL]","",IFERROR(AVERAGEIFS(nNOTA,nNIA,AE618,nCUENTA,1,nASIG,"Análisis"),"")))</f>
        <v/>
      </c>
      <c r="AG618" t="str">
        <f>IF(AE618="","",IF(AE618="[FÓRMULA MANUAL]","",IFERROR(AVERAGEIFS(nNOTA,nNIA,AE618,nCUENTA,1,nASIG,"Orquesta/Banda/Conjunto"),"")))</f>
        <v/>
      </c>
      <c r="AH618" t="str">
        <f>IF(AE618="","",IF(AE618="[FÓRMULA MANUAL]","",IFERROR(AVERAGEIFS(nNOTA,nNIA,AE618,nCUENTA,1,nASIG,"Música de Cámara"),"")))</f>
        <v/>
      </c>
      <c r="AI618" t="str">
        <f>IF(AE618="","",IF(AE618="[FÓRMULA MANUAL]","",IFERROR(SUMPRODUCT((nNIA=AE618)*(nCUENTA=1)*(COUNTIF(CONFIG_ASIGNATURAS!$B$7:$B$27,nASIG)&gt;0)*(nNOTA))/SUMPRODUCT((nNIA=AE618)*(nCUENTA=1)*(COUNTIF(CONFIG_ASIGNATURAS!$B$7:$B$27,nASIG)&gt;0)*1),"")))</f>
        <v/>
      </c>
    </row>
    <row r="619" spans="2:35" x14ac:dyDescent="0.2">
      <c r="B619" t="str">
        <f>IF(A619="","",IF(A619="[FÓRMULA MANUAL]","",IFERROR(AVERAGEIFS(nNOTA,nNIA,A619,nCUENTA,1,nASIG,"Lenguaje Musical"),"")))</f>
        <v/>
      </c>
      <c r="C619" t="str">
        <f>IF(A619="","",IF(A619="[FÓRMULA MANUAL]","",IFERROR(AVERAGEIFS(nNOTA,nNIA,A619,nCUENTA,1,nASIG,"Orquesta/Banda/Conjunto"),"")))</f>
        <v/>
      </c>
      <c r="D619" t="str">
        <f>IF(A619="","",IF(A619="[FÓRMULA MANUAL]","",IFERROR(AVERAGEIFS(nNOTA,nNIA,A619,nCUENTA,1,nASIG,"Conjunto"),"")))</f>
        <v/>
      </c>
      <c r="E619" t="str">
        <f>IF(A619="","",IF(A619="[FÓRMULA MANUAL]","",IFERROR(SUMPRODUCT((nNIA=A619)*(nCUENTA=1)*(COUNTIF(CONFIG_ASIGNATURAS!$B$7:$B$27,nASIG)&gt;0)*(nNOTA))/SUMPRODUCT((nNIA=A619)*(nCUENTA=1)*(COUNTIF(CONFIG_ASIGNATURAS!$B$7:$B$27,nASIG)&gt;0)*1),"")))</f>
        <v/>
      </c>
      <c r="H619" t="str">
        <f>IF(G619="","",IF(G619="[FÓRMULA MANUAL]","",IFERROR(AVERAGEIFS(nNOTA,nNIA,G619,nCUENTA,1,nASIG,"Lenguaje Musical"),"")))</f>
        <v/>
      </c>
      <c r="I619" t="str">
        <f>IF(G619="","",IF(G619="[FÓRMULA MANUAL]","",IFERROR(AVERAGEIFS(nNOTA,nNIA,G619,nCUENTA,1,nASIG,"Orquesta/Banda/Conjunto"),"")))</f>
        <v/>
      </c>
      <c r="J619" t="str">
        <f>IF(G619="","",IF(G619="[FÓRMULA MANUAL]","",IFERROR(AVERAGEIFS(nNOTA,nNIA,G619,nCUENTA,1,nASIG,"Conjunto"),"")))</f>
        <v/>
      </c>
      <c r="K619" t="str">
        <f>IF(G619="","",IF(G619="[FÓRMULA MANUAL]","",IFERROR(SUMPRODUCT((nNIA=G619)*(nCUENTA=1)*(COUNTIF(CONFIG_ASIGNATURAS!$B$7:$B$27,nASIG)&gt;0)*(nNOTA))/SUMPRODUCT((nNIA=G619)*(nCUENTA=1)*(COUNTIF(CONFIG_ASIGNATURAS!$B$7:$B$27,nASIG)&gt;0)*1),"")))</f>
        <v/>
      </c>
      <c r="N619" t="str">
        <f>IF(M619="","",IF(M619="[FÓRMULA MANUAL]","",IFERROR(AVERAGEIFS(nNOTA,nNIA,M619,nCUENTA,1,nASIG,"Armonía"),"")))</f>
        <v/>
      </c>
      <c r="O619" t="str">
        <f>IF(M619="","",IF(M619="[FÓRMULA MANUAL]","",IFERROR(AVERAGEIFS(nNOTA,nNIA,M619,nCUENTA,1,nASIG,"Orquesta/Banda/Conjunto"),"")))</f>
        <v/>
      </c>
      <c r="P619" t="str">
        <f>IF(M619="","",IF(M619="[FÓRMULA MANUAL]","",IFERROR(AVERAGEIFS(nNOTA,nNIA,M619,nCUENTA,1,nASIG,"Música de Cámara"),"")))</f>
        <v/>
      </c>
      <c r="Q619" t="str">
        <f>IF(M619="","",IF(M619="[FÓRMULA MANUAL]","",IFERROR(SUMPRODUCT((nNIA=M619)*(nCUENTA=1)*(COUNTIF(CONFIG_ASIGNATURAS!$B$7:$B$27,nASIG)&gt;0)*(nNOTA))/SUMPRODUCT((nNIA=M619)*(nCUENTA=1)*(COUNTIF(CONFIG_ASIGNATURAS!$B$7:$B$27,nASIG)&gt;0)*1),"")))</f>
        <v/>
      </c>
      <c r="T619" t="str">
        <f>IF(S619="","",IF(S619="[FÓRMULA MANUAL]","",IFERROR(AVERAGEIFS(nNOTA,nNIA,S619,nCUENTA,1,nASIG,"Armonía"),"")))</f>
        <v/>
      </c>
      <c r="U619" t="str">
        <f>IF(S619="","",IF(S619="[FÓRMULA MANUAL]","",IFERROR(AVERAGEIFS(nNOTA,nNIA,S619,nCUENTA,1,nASIG,"Orquesta/Banda/Conjunto"),"")))</f>
        <v/>
      </c>
      <c r="V619" t="str">
        <f>IF(S619="","",IF(S619="[FÓRMULA MANUAL]","",IFERROR(AVERAGEIFS(nNOTA,nNIA,S619,nCUENTA,1,nASIG,"Música de Cámara"),"")))</f>
        <v/>
      </c>
      <c r="W619" t="str">
        <f>IF(S619="","",IF(S619="[FÓRMULA MANUAL]","",IFERROR(SUMPRODUCT((nNIA=S619)*(nCUENTA=1)*(COUNTIF(CONFIG_ASIGNATURAS!$B$7:$B$27,nASIG)&gt;0)*(nNOTA))/SUMPRODUCT((nNIA=S619)*(nCUENTA=1)*(COUNTIF(CONFIG_ASIGNATURAS!$B$7:$B$27,nASIG)&gt;0)*1),"")))</f>
        <v/>
      </c>
      <c r="Z619" t="str">
        <f>IF(Y619="","",IF(Y619="[FÓRMULA MANUAL]","",IFERROR(AVERAGEIFS(nNOTA,nNIA,Y619,nCUENTA,1,nASIG,"Análisis"),"")))</f>
        <v/>
      </c>
      <c r="AA619" t="str">
        <f>IF(Y619="","",IF(Y619="[FÓRMULA MANUAL]","",IFERROR(AVERAGEIFS(nNOTA,nNIA,Y619,nCUENTA,1,nASIG,"Orquesta/Banda/Conjunto"),"")))</f>
        <v/>
      </c>
      <c r="AB619" t="str">
        <f>IF(Y619="","",IF(Y619="[FÓRMULA MANUAL]","",IFERROR(AVERAGEIFS(nNOTA,nNIA,Y619,nCUENTA,1,nASIG,"Música de Cámara"),"")))</f>
        <v/>
      </c>
      <c r="AC619" t="str">
        <f>IF(Y619="","",IF(Y619="[FÓRMULA MANUAL]","",IFERROR(SUMPRODUCT((nNIA=Y619)*(nCUENTA=1)*(COUNTIF(CONFIG_ASIGNATURAS!$B$7:$B$27,nASIG)&gt;0)*(nNOTA))/SUMPRODUCT((nNIA=Y619)*(nCUENTA=1)*(COUNTIF(CONFIG_ASIGNATURAS!$B$7:$B$27,nASIG)&gt;0)*1),"")))</f>
        <v/>
      </c>
      <c r="AF619" t="str">
        <f>IF(AE619="","",IF(AE619="[FÓRMULA MANUAL]","",IFERROR(AVERAGEIFS(nNOTA,nNIA,AE619,nCUENTA,1,nASIG,"Análisis"),"")))</f>
        <v/>
      </c>
      <c r="AG619" t="str">
        <f>IF(AE619="","",IF(AE619="[FÓRMULA MANUAL]","",IFERROR(AVERAGEIFS(nNOTA,nNIA,AE619,nCUENTA,1,nASIG,"Orquesta/Banda/Conjunto"),"")))</f>
        <v/>
      </c>
      <c r="AH619" t="str">
        <f>IF(AE619="","",IF(AE619="[FÓRMULA MANUAL]","",IFERROR(AVERAGEIFS(nNOTA,nNIA,AE619,nCUENTA,1,nASIG,"Música de Cámara"),"")))</f>
        <v/>
      </c>
      <c r="AI619" t="str">
        <f>IF(AE619="","",IF(AE619="[FÓRMULA MANUAL]","",IFERROR(SUMPRODUCT((nNIA=AE619)*(nCUENTA=1)*(COUNTIF(CONFIG_ASIGNATURAS!$B$7:$B$27,nASIG)&gt;0)*(nNOTA))/SUMPRODUCT((nNIA=AE619)*(nCUENTA=1)*(COUNTIF(CONFIG_ASIGNATURAS!$B$7:$B$27,nASIG)&gt;0)*1),"")))</f>
        <v/>
      </c>
    </row>
    <row r="620" spans="2:35" x14ac:dyDescent="0.2">
      <c r="B620" t="str">
        <f>IF(A620="","",IF(A620="[FÓRMULA MANUAL]","",IFERROR(AVERAGEIFS(nNOTA,nNIA,A620,nCUENTA,1,nASIG,"Lenguaje Musical"),"")))</f>
        <v/>
      </c>
      <c r="C620" t="str">
        <f>IF(A620="","",IF(A620="[FÓRMULA MANUAL]","",IFERROR(AVERAGEIFS(nNOTA,nNIA,A620,nCUENTA,1,nASIG,"Orquesta/Banda/Conjunto"),"")))</f>
        <v/>
      </c>
      <c r="D620" t="str">
        <f>IF(A620="","",IF(A620="[FÓRMULA MANUAL]","",IFERROR(AVERAGEIFS(nNOTA,nNIA,A620,nCUENTA,1,nASIG,"Conjunto"),"")))</f>
        <v/>
      </c>
      <c r="E620" t="str">
        <f>IF(A620="","",IF(A620="[FÓRMULA MANUAL]","",IFERROR(SUMPRODUCT((nNIA=A620)*(nCUENTA=1)*(COUNTIF(CONFIG_ASIGNATURAS!$B$7:$B$27,nASIG)&gt;0)*(nNOTA))/SUMPRODUCT((nNIA=A620)*(nCUENTA=1)*(COUNTIF(CONFIG_ASIGNATURAS!$B$7:$B$27,nASIG)&gt;0)*1),"")))</f>
        <v/>
      </c>
      <c r="H620" t="str">
        <f>IF(G620="","",IF(G620="[FÓRMULA MANUAL]","",IFERROR(AVERAGEIFS(nNOTA,nNIA,G620,nCUENTA,1,nASIG,"Lenguaje Musical"),"")))</f>
        <v/>
      </c>
      <c r="I620" t="str">
        <f>IF(G620="","",IF(G620="[FÓRMULA MANUAL]","",IFERROR(AVERAGEIFS(nNOTA,nNIA,G620,nCUENTA,1,nASIG,"Orquesta/Banda/Conjunto"),"")))</f>
        <v/>
      </c>
      <c r="J620" t="str">
        <f>IF(G620="","",IF(G620="[FÓRMULA MANUAL]","",IFERROR(AVERAGEIFS(nNOTA,nNIA,G620,nCUENTA,1,nASIG,"Conjunto"),"")))</f>
        <v/>
      </c>
      <c r="K620" t="str">
        <f>IF(G620="","",IF(G620="[FÓRMULA MANUAL]","",IFERROR(SUMPRODUCT((nNIA=G620)*(nCUENTA=1)*(COUNTIF(CONFIG_ASIGNATURAS!$B$7:$B$27,nASIG)&gt;0)*(nNOTA))/SUMPRODUCT((nNIA=G620)*(nCUENTA=1)*(COUNTIF(CONFIG_ASIGNATURAS!$B$7:$B$27,nASIG)&gt;0)*1),"")))</f>
        <v/>
      </c>
      <c r="N620" t="str">
        <f>IF(M620="","",IF(M620="[FÓRMULA MANUAL]","",IFERROR(AVERAGEIFS(nNOTA,nNIA,M620,nCUENTA,1,nASIG,"Armonía"),"")))</f>
        <v/>
      </c>
      <c r="O620" t="str">
        <f>IF(M620="","",IF(M620="[FÓRMULA MANUAL]","",IFERROR(AVERAGEIFS(nNOTA,nNIA,M620,nCUENTA,1,nASIG,"Orquesta/Banda/Conjunto"),"")))</f>
        <v/>
      </c>
      <c r="P620" t="str">
        <f>IF(M620="","",IF(M620="[FÓRMULA MANUAL]","",IFERROR(AVERAGEIFS(nNOTA,nNIA,M620,nCUENTA,1,nASIG,"Música de Cámara"),"")))</f>
        <v/>
      </c>
      <c r="Q620" t="str">
        <f>IF(M620="","",IF(M620="[FÓRMULA MANUAL]","",IFERROR(SUMPRODUCT((nNIA=M620)*(nCUENTA=1)*(COUNTIF(CONFIG_ASIGNATURAS!$B$7:$B$27,nASIG)&gt;0)*(nNOTA))/SUMPRODUCT((nNIA=M620)*(nCUENTA=1)*(COUNTIF(CONFIG_ASIGNATURAS!$B$7:$B$27,nASIG)&gt;0)*1),"")))</f>
        <v/>
      </c>
      <c r="T620" t="str">
        <f>IF(S620="","",IF(S620="[FÓRMULA MANUAL]","",IFERROR(AVERAGEIFS(nNOTA,nNIA,S620,nCUENTA,1,nASIG,"Armonía"),"")))</f>
        <v/>
      </c>
      <c r="U620" t="str">
        <f>IF(S620="","",IF(S620="[FÓRMULA MANUAL]","",IFERROR(AVERAGEIFS(nNOTA,nNIA,S620,nCUENTA,1,nASIG,"Orquesta/Banda/Conjunto"),"")))</f>
        <v/>
      </c>
      <c r="V620" t="str">
        <f>IF(S620="","",IF(S620="[FÓRMULA MANUAL]","",IFERROR(AVERAGEIFS(nNOTA,nNIA,S620,nCUENTA,1,nASIG,"Música de Cámara"),"")))</f>
        <v/>
      </c>
      <c r="W620" t="str">
        <f>IF(S620="","",IF(S620="[FÓRMULA MANUAL]","",IFERROR(SUMPRODUCT((nNIA=S620)*(nCUENTA=1)*(COUNTIF(CONFIG_ASIGNATURAS!$B$7:$B$27,nASIG)&gt;0)*(nNOTA))/SUMPRODUCT((nNIA=S620)*(nCUENTA=1)*(COUNTIF(CONFIG_ASIGNATURAS!$B$7:$B$27,nASIG)&gt;0)*1),"")))</f>
        <v/>
      </c>
      <c r="Z620" t="str">
        <f>IF(Y620="","",IF(Y620="[FÓRMULA MANUAL]","",IFERROR(AVERAGEIFS(nNOTA,nNIA,Y620,nCUENTA,1,nASIG,"Análisis"),"")))</f>
        <v/>
      </c>
      <c r="AA620" t="str">
        <f>IF(Y620="","",IF(Y620="[FÓRMULA MANUAL]","",IFERROR(AVERAGEIFS(nNOTA,nNIA,Y620,nCUENTA,1,nASIG,"Orquesta/Banda/Conjunto"),"")))</f>
        <v/>
      </c>
      <c r="AB620" t="str">
        <f>IF(Y620="","",IF(Y620="[FÓRMULA MANUAL]","",IFERROR(AVERAGEIFS(nNOTA,nNIA,Y620,nCUENTA,1,nASIG,"Música de Cámara"),"")))</f>
        <v/>
      </c>
      <c r="AC620" t="str">
        <f>IF(Y620="","",IF(Y620="[FÓRMULA MANUAL]","",IFERROR(SUMPRODUCT((nNIA=Y620)*(nCUENTA=1)*(COUNTIF(CONFIG_ASIGNATURAS!$B$7:$B$27,nASIG)&gt;0)*(nNOTA))/SUMPRODUCT((nNIA=Y620)*(nCUENTA=1)*(COUNTIF(CONFIG_ASIGNATURAS!$B$7:$B$27,nASIG)&gt;0)*1),"")))</f>
        <v/>
      </c>
      <c r="AF620" t="str">
        <f>IF(AE620="","",IF(AE620="[FÓRMULA MANUAL]","",IFERROR(AVERAGEIFS(nNOTA,nNIA,AE620,nCUENTA,1,nASIG,"Análisis"),"")))</f>
        <v/>
      </c>
      <c r="AG620" t="str">
        <f>IF(AE620="","",IF(AE620="[FÓRMULA MANUAL]","",IFERROR(AVERAGEIFS(nNOTA,nNIA,AE620,nCUENTA,1,nASIG,"Orquesta/Banda/Conjunto"),"")))</f>
        <v/>
      </c>
      <c r="AH620" t="str">
        <f>IF(AE620="","",IF(AE620="[FÓRMULA MANUAL]","",IFERROR(AVERAGEIFS(nNOTA,nNIA,AE620,nCUENTA,1,nASIG,"Música de Cámara"),"")))</f>
        <v/>
      </c>
      <c r="AI620" t="str">
        <f>IF(AE620="","",IF(AE620="[FÓRMULA MANUAL]","",IFERROR(SUMPRODUCT((nNIA=AE620)*(nCUENTA=1)*(COUNTIF(CONFIG_ASIGNATURAS!$B$7:$B$27,nASIG)&gt;0)*(nNOTA))/SUMPRODUCT((nNIA=AE620)*(nCUENTA=1)*(COUNTIF(CONFIG_ASIGNATURAS!$B$7:$B$27,nASIG)&gt;0)*1),"")))</f>
        <v/>
      </c>
    </row>
    <row r="621" spans="2:35" x14ac:dyDescent="0.2">
      <c r="B621" t="str">
        <f>IF(A621="","",IF(A621="[FÓRMULA MANUAL]","",IFERROR(AVERAGEIFS(nNOTA,nNIA,A621,nCUENTA,1,nASIG,"Lenguaje Musical"),"")))</f>
        <v/>
      </c>
      <c r="C621" t="str">
        <f>IF(A621="","",IF(A621="[FÓRMULA MANUAL]","",IFERROR(AVERAGEIFS(nNOTA,nNIA,A621,nCUENTA,1,nASIG,"Orquesta/Banda/Conjunto"),"")))</f>
        <v/>
      </c>
      <c r="D621" t="str">
        <f>IF(A621="","",IF(A621="[FÓRMULA MANUAL]","",IFERROR(AVERAGEIFS(nNOTA,nNIA,A621,nCUENTA,1,nASIG,"Conjunto"),"")))</f>
        <v/>
      </c>
      <c r="E621" t="str">
        <f>IF(A621="","",IF(A621="[FÓRMULA MANUAL]","",IFERROR(SUMPRODUCT((nNIA=A621)*(nCUENTA=1)*(COUNTIF(CONFIG_ASIGNATURAS!$B$7:$B$27,nASIG)&gt;0)*(nNOTA))/SUMPRODUCT((nNIA=A621)*(nCUENTA=1)*(COUNTIF(CONFIG_ASIGNATURAS!$B$7:$B$27,nASIG)&gt;0)*1),"")))</f>
        <v/>
      </c>
      <c r="H621" t="str">
        <f>IF(G621="","",IF(G621="[FÓRMULA MANUAL]","",IFERROR(AVERAGEIFS(nNOTA,nNIA,G621,nCUENTA,1,nASIG,"Lenguaje Musical"),"")))</f>
        <v/>
      </c>
      <c r="I621" t="str">
        <f>IF(G621="","",IF(G621="[FÓRMULA MANUAL]","",IFERROR(AVERAGEIFS(nNOTA,nNIA,G621,nCUENTA,1,nASIG,"Orquesta/Banda/Conjunto"),"")))</f>
        <v/>
      </c>
      <c r="J621" t="str">
        <f>IF(G621="","",IF(G621="[FÓRMULA MANUAL]","",IFERROR(AVERAGEIFS(nNOTA,nNIA,G621,nCUENTA,1,nASIG,"Conjunto"),"")))</f>
        <v/>
      </c>
      <c r="K621" t="str">
        <f>IF(G621="","",IF(G621="[FÓRMULA MANUAL]","",IFERROR(SUMPRODUCT((nNIA=G621)*(nCUENTA=1)*(COUNTIF(CONFIG_ASIGNATURAS!$B$7:$B$27,nASIG)&gt;0)*(nNOTA))/SUMPRODUCT((nNIA=G621)*(nCUENTA=1)*(COUNTIF(CONFIG_ASIGNATURAS!$B$7:$B$27,nASIG)&gt;0)*1),"")))</f>
        <v/>
      </c>
      <c r="N621" t="str">
        <f>IF(M621="","",IF(M621="[FÓRMULA MANUAL]","",IFERROR(AVERAGEIFS(nNOTA,nNIA,M621,nCUENTA,1,nASIG,"Armonía"),"")))</f>
        <v/>
      </c>
      <c r="O621" t="str">
        <f>IF(M621="","",IF(M621="[FÓRMULA MANUAL]","",IFERROR(AVERAGEIFS(nNOTA,nNIA,M621,nCUENTA,1,nASIG,"Orquesta/Banda/Conjunto"),"")))</f>
        <v/>
      </c>
      <c r="P621" t="str">
        <f>IF(M621="","",IF(M621="[FÓRMULA MANUAL]","",IFERROR(AVERAGEIFS(nNOTA,nNIA,M621,nCUENTA,1,nASIG,"Música de Cámara"),"")))</f>
        <v/>
      </c>
      <c r="Q621" t="str">
        <f>IF(M621="","",IF(M621="[FÓRMULA MANUAL]","",IFERROR(SUMPRODUCT((nNIA=M621)*(nCUENTA=1)*(COUNTIF(CONFIG_ASIGNATURAS!$B$7:$B$27,nASIG)&gt;0)*(nNOTA))/SUMPRODUCT((nNIA=M621)*(nCUENTA=1)*(COUNTIF(CONFIG_ASIGNATURAS!$B$7:$B$27,nASIG)&gt;0)*1),"")))</f>
        <v/>
      </c>
      <c r="T621" t="str">
        <f>IF(S621="","",IF(S621="[FÓRMULA MANUAL]","",IFERROR(AVERAGEIFS(nNOTA,nNIA,S621,nCUENTA,1,nASIG,"Armonía"),"")))</f>
        <v/>
      </c>
      <c r="U621" t="str">
        <f>IF(S621="","",IF(S621="[FÓRMULA MANUAL]","",IFERROR(AVERAGEIFS(nNOTA,nNIA,S621,nCUENTA,1,nASIG,"Orquesta/Banda/Conjunto"),"")))</f>
        <v/>
      </c>
      <c r="V621" t="str">
        <f>IF(S621="","",IF(S621="[FÓRMULA MANUAL]","",IFERROR(AVERAGEIFS(nNOTA,nNIA,S621,nCUENTA,1,nASIG,"Música de Cámara"),"")))</f>
        <v/>
      </c>
      <c r="W621" t="str">
        <f>IF(S621="","",IF(S621="[FÓRMULA MANUAL]","",IFERROR(SUMPRODUCT((nNIA=S621)*(nCUENTA=1)*(COUNTIF(CONFIG_ASIGNATURAS!$B$7:$B$27,nASIG)&gt;0)*(nNOTA))/SUMPRODUCT((nNIA=S621)*(nCUENTA=1)*(COUNTIF(CONFIG_ASIGNATURAS!$B$7:$B$27,nASIG)&gt;0)*1),"")))</f>
        <v/>
      </c>
      <c r="Z621" t="str">
        <f>IF(Y621="","",IF(Y621="[FÓRMULA MANUAL]","",IFERROR(AVERAGEIFS(nNOTA,nNIA,Y621,nCUENTA,1,nASIG,"Análisis"),"")))</f>
        <v/>
      </c>
      <c r="AA621" t="str">
        <f>IF(Y621="","",IF(Y621="[FÓRMULA MANUAL]","",IFERROR(AVERAGEIFS(nNOTA,nNIA,Y621,nCUENTA,1,nASIG,"Orquesta/Banda/Conjunto"),"")))</f>
        <v/>
      </c>
      <c r="AB621" t="str">
        <f>IF(Y621="","",IF(Y621="[FÓRMULA MANUAL]","",IFERROR(AVERAGEIFS(nNOTA,nNIA,Y621,nCUENTA,1,nASIG,"Música de Cámara"),"")))</f>
        <v/>
      </c>
      <c r="AC621" t="str">
        <f>IF(Y621="","",IF(Y621="[FÓRMULA MANUAL]","",IFERROR(SUMPRODUCT((nNIA=Y621)*(nCUENTA=1)*(COUNTIF(CONFIG_ASIGNATURAS!$B$7:$B$27,nASIG)&gt;0)*(nNOTA))/SUMPRODUCT((nNIA=Y621)*(nCUENTA=1)*(COUNTIF(CONFIG_ASIGNATURAS!$B$7:$B$27,nASIG)&gt;0)*1),"")))</f>
        <v/>
      </c>
      <c r="AF621" t="str">
        <f>IF(AE621="","",IF(AE621="[FÓRMULA MANUAL]","",IFERROR(AVERAGEIFS(nNOTA,nNIA,AE621,nCUENTA,1,nASIG,"Análisis"),"")))</f>
        <v/>
      </c>
      <c r="AG621" t="str">
        <f>IF(AE621="","",IF(AE621="[FÓRMULA MANUAL]","",IFERROR(AVERAGEIFS(nNOTA,nNIA,AE621,nCUENTA,1,nASIG,"Orquesta/Banda/Conjunto"),"")))</f>
        <v/>
      </c>
      <c r="AH621" t="str">
        <f>IF(AE621="","",IF(AE621="[FÓRMULA MANUAL]","",IFERROR(AVERAGEIFS(nNOTA,nNIA,AE621,nCUENTA,1,nASIG,"Música de Cámara"),"")))</f>
        <v/>
      </c>
      <c r="AI621" t="str">
        <f>IF(AE621="","",IF(AE621="[FÓRMULA MANUAL]","",IFERROR(SUMPRODUCT((nNIA=AE621)*(nCUENTA=1)*(COUNTIF(CONFIG_ASIGNATURAS!$B$7:$B$27,nASIG)&gt;0)*(nNOTA))/SUMPRODUCT((nNIA=AE621)*(nCUENTA=1)*(COUNTIF(CONFIG_ASIGNATURAS!$B$7:$B$27,nASIG)&gt;0)*1),"")))</f>
        <v/>
      </c>
    </row>
    <row r="622" spans="2:35" x14ac:dyDescent="0.2">
      <c r="B622" t="str">
        <f>IF(A622="","",IF(A622="[FÓRMULA MANUAL]","",IFERROR(AVERAGEIFS(nNOTA,nNIA,A622,nCUENTA,1,nASIG,"Lenguaje Musical"),"")))</f>
        <v/>
      </c>
      <c r="C622" t="str">
        <f>IF(A622="","",IF(A622="[FÓRMULA MANUAL]","",IFERROR(AVERAGEIFS(nNOTA,nNIA,A622,nCUENTA,1,nASIG,"Orquesta/Banda/Conjunto"),"")))</f>
        <v/>
      </c>
      <c r="D622" t="str">
        <f>IF(A622="","",IF(A622="[FÓRMULA MANUAL]","",IFERROR(AVERAGEIFS(nNOTA,nNIA,A622,nCUENTA,1,nASIG,"Conjunto"),"")))</f>
        <v/>
      </c>
      <c r="E622" t="str">
        <f>IF(A622="","",IF(A622="[FÓRMULA MANUAL]","",IFERROR(SUMPRODUCT((nNIA=A622)*(nCUENTA=1)*(COUNTIF(CONFIG_ASIGNATURAS!$B$7:$B$27,nASIG)&gt;0)*(nNOTA))/SUMPRODUCT((nNIA=A622)*(nCUENTA=1)*(COUNTIF(CONFIG_ASIGNATURAS!$B$7:$B$27,nASIG)&gt;0)*1),"")))</f>
        <v/>
      </c>
      <c r="H622" t="str">
        <f>IF(G622="","",IF(G622="[FÓRMULA MANUAL]","",IFERROR(AVERAGEIFS(nNOTA,nNIA,G622,nCUENTA,1,nASIG,"Lenguaje Musical"),"")))</f>
        <v/>
      </c>
      <c r="I622" t="str">
        <f>IF(G622="","",IF(G622="[FÓRMULA MANUAL]","",IFERROR(AVERAGEIFS(nNOTA,nNIA,G622,nCUENTA,1,nASIG,"Orquesta/Banda/Conjunto"),"")))</f>
        <v/>
      </c>
      <c r="J622" t="str">
        <f>IF(G622="","",IF(G622="[FÓRMULA MANUAL]","",IFERROR(AVERAGEIFS(nNOTA,nNIA,G622,nCUENTA,1,nASIG,"Conjunto"),"")))</f>
        <v/>
      </c>
      <c r="K622" t="str">
        <f>IF(G622="","",IF(G622="[FÓRMULA MANUAL]","",IFERROR(SUMPRODUCT((nNIA=G622)*(nCUENTA=1)*(COUNTIF(CONFIG_ASIGNATURAS!$B$7:$B$27,nASIG)&gt;0)*(nNOTA))/SUMPRODUCT((nNIA=G622)*(nCUENTA=1)*(COUNTIF(CONFIG_ASIGNATURAS!$B$7:$B$27,nASIG)&gt;0)*1),"")))</f>
        <v/>
      </c>
      <c r="N622" t="str">
        <f>IF(M622="","",IF(M622="[FÓRMULA MANUAL]","",IFERROR(AVERAGEIFS(nNOTA,nNIA,M622,nCUENTA,1,nASIG,"Armonía"),"")))</f>
        <v/>
      </c>
      <c r="O622" t="str">
        <f>IF(M622="","",IF(M622="[FÓRMULA MANUAL]","",IFERROR(AVERAGEIFS(nNOTA,nNIA,M622,nCUENTA,1,nASIG,"Orquesta/Banda/Conjunto"),"")))</f>
        <v/>
      </c>
      <c r="P622" t="str">
        <f>IF(M622="","",IF(M622="[FÓRMULA MANUAL]","",IFERROR(AVERAGEIFS(nNOTA,nNIA,M622,nCUENTA,1,nASIG,"Música de Cámara"),"")))</f>
        <v/>
      </c>
      <c r="Q622" t="str">
        <f>IF(M622="","",IF(M622="[FÓRMULA MANUAL]","",IFERROR(SUMPRODUCT((nNIA=M622)*(nCUENTA=1)*(COUNTIF(CONFIG_ASIGNATURAS!$B$7:$B$27,nASIG)&gt;0)*(nNOTA))/SUMPRODUCT((nNIA=M622)*(nCUENTA=1)*(COUNTIF(CONFIG_ASIGNATURAS!$B$7:$B$27,nASIG)&gt;0)*1),"")))</f>
        <v/>
      </c>
      <c r="T622" t="str">
        <f>IF(S622="","",IF(S622="[FÓRMULA MANUAL]","",IFERROR(AVERAGEIFS(nNOTA,nNIA,S622,nCUENTA,1,nASIG,"Armonía"),"")))</f>
        <v/>
      </c>
      <c r="U622" t="str">
        <f>IF(S622="","",IF(S622="[FÓRMULA MANUAL]","",IFERROR(AVERAGEIFS(nNOTA,nNIA,S622,nCUENTA,1,nASIG,"Orquesta/Banda/Conjunto"),"")))</f>
        <v/>
      </c>
      <c r="V622" t="str">
        <f>IF(S622="","",IF(S622="[FÓRMULA MANUAL]","",IFERROR(AVERAGEIFS(nNOTA,nNIA,S622,nCUENTA,1,nASIG,"Música de Cámara"),"")))</f>
        <v/>
      </c>
      <c r="W622" t="str">
        <f>IF(S622="","",IF(S622="[FÓRMULA MANUAL]","",IFERROR(SUMPRODUCT((nNIA=S622)*(nCUENTA=1)*(COUNTIF(CONFIG_ASIGNATURAS!$B$7:$B$27,nASIG)&gt;0)*(nNOTA))/SUMPRODUCT((nNIA=S622)*(nCUENTA=1)*(COUNTIF(CONFIG_ASIGNATURAS!$B$7:$B$27,nASIG)&gt;0)*1),"")))</f>
        <v/>
      </c>
      <c r="Z622" t="str">
        <f>IF(Y622="","",IF(Y622="[FÓRMULA MANUAL]","",IFERROR(AVERAGEIFS(nNOTA,nNIA,Y622,nCUENTA,1,nASIG,"Análisis"),"")))</f>
        <v/>
      </c>
      <c r="AA622" t="str">
        <f>IF(Y622="","",IF(Y622="[FÓRMULA MANUAL]","",IFERROR(AVERAGEIFS(nNOTA,nNIA,Y622,nCUENTA,1,nASIG,"Orquesta/Banda/Conjunto"),"")))</f>
        <v/>
      </c>
      <c r="AB622" t="str">
        <f>IF(Y622="","",IF(Y622="[FÓRMULA MANUAL]","",IFERROR(AVERAGEIFS(nNOTA,nNIA,Y622,nCUENTA,1,nASIG,"Música de Cámara"),"")))</f>
        <v/>
      </c>
      <c r="AC622" t="str">
        <f>IF(Y622="","",IF(Y622="[FÓRMULA MANUAL]","",IFERROR(SUMPRODUCT((nNIA=Y622)*(nCUENTA=1)*(COUNTIF(CONFIG_ASIGNATURAS!$B$7:$B$27,nASIG)&gt;0)*(nNOTA))/SUMPRODUCT((nNIA=Y622)*(nCUENTA=1)*(COUNTIF(CONFIG_ASIGNATURAS!$B$7:$B$27,nASIG)&gt;0)*1),"")))</f>
        <v/>
      </c>
      <c r="AF622" t="str">
        <f>IF(AE622="","",IF(AE622="[FÓRMULA MANUAL]","",IFERROR(AVERAGEIFS(nNOTA,nNIA,AE622,nCUENTA,1,nASIG,"Análisis"),"")))</f>
        <v/>
      </c>
      <c r="AG622" t="str">
        <f>IF(AE622="","",IF(AE622="[FÓRMULA MANUAL]","",IFERROR(AVERAGEIFS(nNOTA,nNIA,AE622,nCUENTA,1,nASIG,"Orquesta/Banda/Conjunto"),"")))</f>
        <v/>
      </c>
      <c r="AH622" t="str">
        <f>IF(AE622="","",IF(AE622="[FÓRMULA MANUAL]","",IFERROR(AVERAGEIFS(nNOTA,nNIA,AE622,nCUENTA,1,nASIG,"Música de Cámara"),"")))</f>
        <v/>
      </c>
      <c r="AI622" t="str">
        <f>IF(AE622="","",IF(AE622="[FÓRMULA MANUAL]","",IFERROR(SUMPRODUCT((nNIA=AE622)*(nCUENTA=1)*(COUNTIF(CONFIG_ASIGNATURAS!$B$7:$B$27,nASIG)&gt;0)*(nNOTA))/SUMPRODUCT((nNIA=AE622)*(nCUENTA=1)*(COUNTIF(CONFIG_ASIGNATURAS!$B$7:$B$27,nASIG)&gt;0)*1),"")))</f>
        <v/>
      </c>
    </row>
    <row r="623" spans="2:35" x14ac:dyDescent="0.2">
      <c r="B623" t="str">
        <f>IF(A623="","",IF(A623="[FÓRMULA MANUAL]","",IFERROR(AVERAGEIFS(nNOTA,nNIA,A623,nCUENTA,1,nASIG,"Lenguaje Musical"),"")))</f>
        <v/>
      </c>
      <c r="C623" t="str">
        <f>IF(A623="","",IF(A623="[FÓRMULA MANUAL]","",IFERROR(AVERAGEIFS(nNOTA,nNIA,A623,nCUENTA,1,nASIG,"Orquesta/Banda/Conjunto"),"")))</f>
        <v/>
      </c>
      <c r="D623" t="str">
        <f>IF(A623="","",IF(A623="[FÓRMULA MANUAL]","",IFERROR(AVERAGEIFS(nNOTA,nNIA,A623,nCUENTA,1,nASIG,"Conjunto"),"")))</f>
        <v/>
      </c>
      <c r="E623" t="str">
        <f>IF(A623="","",IF(A623="[FÓRMULA MANUAL]","",IFERROR(SUMPRODUCT((nNIA=A623)*(nCUENTA=1)*(COUNTIF(CONFIG_ASIGNATURAS!$B$7:$B$27,nASIG)&gt;0)*(nNOTA))/SUMPRODUCT((nNIA=A623)*(nCUENTA=1)*(COUNTIF(CONFIG_ASIGNATURAS!$B$7:$B$27,nASIG)&gt;0)*1),"")))</f>
        <v/>
      </c>
      <c r="H623" t="str">
        <f>IF(G623="","",IF(G623="[FÓRMULA MANUAL]","",IFERROR(AVERAGEIFS(nNOTA,nNIA,G623,nCUENTA,1,nASIG,"Lenguaje Musical"),"")))</f>
        <v/>
      </c>
      <c r="I623" t="str">
        <f>IF(G623="","",IF(G623="[FÓRMULA MANUAL]","",IFERROR(AVERAGEIFS(nNOTA,nNIA,G623,nCUENTA,1,nASIG,"Orquesta/Banda/Conjunto"),"")))</f>
        <v/>
      </c>
      <c r="J623" t="str">
        <f>IF(G623="","",IF(G623="[FÓRMULA MANUAL]","",IFERROR(AVERAGEIFS(nNOTA,nNIA,G623,nCUENTA,1,nASIG,"Conjunto"),"")))</f>
        <v/>
      </c>
      <c r="K623" t="str">
        <f>IF(G623="","",IF(G623="[FÓRMULA MANUAL]","",IFERROR(SUMPRODUCT((nNIA=G623)*(nCUENTA=1)*(COUNTIF(CONFIG_ASIGNATURAS!$B$7:$B$27,nASIG)&gt;0)*(nNOTA))/SUMPRODUCT((nNIA=G623)*(nCUENTA=1)*(COUNTIF(CONFIG_ASIGNATURAS!$B$7:$B$27,nASIG)&gt;0)*1),"")))</f>
        <v/>
      </c>
      <c r="N623" t="str">
        <f>IF(M623="","",IF(M623="[FÓRMULA MANUAL]","",IFERROR(AVERAGEIFS(nNOTA,nNIA,M623,nCUENTA,1,nASIG,"Armonía"),"")))</f>
        <v/>
      </c>
      <c r="O623" t="str">
        <f>IF(M623="","",IF(M623="[FÓRMULA MANUAL]","",IFERROR(AVERAGEIFS(nNOTA,nNIA,M623,nCUENTA,1,nASIG,"Orquesta/Banda/Conjunto"),"")))</f>
        <v/>
      </c>
      <c r="P623" t="str">
        <f>IF(M623="","",IF(M623="[FÓRMULA MANUAL]","",IFERROR(AVERAGEIFS(nNOTA,nNIA,M623,nCUENTA,1,nASIG,"Música de Cámara"),"")))</f>
        <v/>
      </c>
      <c r="Q623" t="str">
        <f>IF(M623="","",IF(M623="[FÓRMULA MANUAL]","",IFERROR(SUMPRODUCT((nNIA=M623)*(nCUENTA=1)*(COUNTIF(CONFIG_ASIGNATURAS!$B$7:$B$27,nASIG)&gt;0)*(nNOTA))/SUMPRODUCT((nNIA=M623)*(nCUENTA=1)*(COUNTIF(CONFIG_ASIGNATURAS!$B$7:$B$27,nASIG)&gt;0)*1),"")))</f>
        <v/>
      </c>
      <c r="T623" t="str">
        <f>IF(S623="","",IF(S623="[FÓRMULA MANUAL]","",IFERROR(AVERAGEIFS(nNOTA,nNIA,S623,nCUENTA,1,nASIG,"Armonía"),"")))</f>
        <v/>
      </c>
      <c r="U623" t="str">
        <f>IF(S623="","",IF(S623="[FÓRMULA MANUAL]","",IFERROR(AVERAGEIFS(nNOTA,nNIA,S623,nCUENTA,1,nASIG,"Orquesta/Banda/Conjunto"),"")))</f>
        <v/>
      </c>
      <c r="V623" t="str">
        <f>IF(S623="","",IF(S623="[FÓRMULA MANUAL]","",IFERROR(AVERAGEIFS(nNOTA,nNIA,S623,nCUENTA,1,nASIG,"Música de Cámara"),"")))</f>
        <v/>
      </c>
      <c r="W623" t="str">
        <f>IF(S623="","",IF(S623="[FÓRMULA MANUAL]","",IFERROR(SUMPRODUCT((nNIA=S623)*(nCUENTA=1)*(COUNTIF(CONFIG_ASIGNATURAS!$B$7:$B$27,nASIG)&gt;0)*(nNOTA))/SUMPRODUCT((nNIA=S623)*(nCUENTA=1)*(COUNTIF(CONFIG_ASIGNATURAS!$B$7:$B$27,nASIG)&gt;0)*1),"")))</f>
        <v/>
      </c>
      <c r="Z623" t="str">
        <f>IF(Y623="","",IF(Y623="[FÓRMULA MANUAL]","",IFERROR(AVERAGEIFS(nNOTA,nNIA,Y623,nCUENTA,1,nASIG,"Análisis"),"")))</f>
        <v/>
      </c>
      <c r="AA623" t="str">
        <f>IF(Y623="","",IF(Y623="[FÓRMULA MANUAL]","",IFERROR(AVERAGEIFS(nNOTA,nNIA,Y623,nCUENTA,1,nASIG,"Orquesta/Banda/Conjunto"),"")))</f>
        <v/>
      </c>
      <c r="AB623" t="str">
        <f>IF(Y623="","",IF(Y623="[FÓRMULA MANUAL]","",IFERROR(AVERAGEIFS(nNOTA,nNIA,Y623,nCUENTA,1,nASIG,"Música de Cámara"),"")))</f>
        <v/>
      </c>
      <c r="AC623" t="str">
        <f>IF(Y623="","",IF(Y623="[FÓRMULA MANUAL]","",IFERROR(SUMPRODUCT((nNIA=Y623)*(nCUENTA=1)*(COUNTIF(CONFIG_ASIGNATURAS!$B$7:$B$27,nASIG)&gt;0)*(nNOTA))/SUMPRODUCT((nNIA=Y623)*(nCUENTA=1)*(COUNTIF(CONFIG_ASIGNATURAS!$B$7:$B$27,nASIG)&gt;0)*1),"")))</f>
        <v/>
      </c>
      <c r="AF623" t="str">
        <f>IF(AE623="","",IF(AE623="[FÓRMULA MANUAL]","",IFERROR(AVERAGEIFS(nNOTA,nNIA,AE623,nCUENTA,1,nASIG,"Análisis"),"")))</f>
        <v/>
      </c>
      <c r="AG623" t="str">
        <f>IF(AE623="","",IF(AE623="[FÓRMULA MANUAL]","",IFERROR(AVERAGEIFS(nNOTA,nNIA,AE623,nCUENTA,1,nASIG,"Orquesta/Banda/Conjunto"),"")))</f>
        <v/>
      </c>
      <c r="AH623" t="str">
        <f>IF(AE623="","",IF(AE623="[FÓRMULA MANUAL]","",IFERROR(AVERAGEIFS(nNOTA,nNIA,AE623,nCUENTA,1,nASIG,"Música de Cámara"),"")))</f>
        <v/>
      </c>
      <c r="AI623" t="str">
        <f>IF(AE623="","",IF(AE623="[FÓRMULA MANUAL]","",IFERROR(SUMPRODUCT((nNIA=AE623)*(nCUENTA=1)*(COUNTIF(CONFIG_ASIGNATURAS!$B$7:$B$27,nASIG)&gt;0)*(nNOTA))/SUMPRODUCT((nNIA=AE623)*(nCUENTA=1)*(COUNTIF(CONFIG_ASIGNATURAS!$B$7:$B$27,nASIG)&gt;0)*1),"")))</f>
        <v/>
      </c>
    </row>
    <row r="624" spans="2:35" x14ac:dyDescent="0.2">
      <c r="B624" t="str">
        <f>IF(A624="","",IF(A624="[FÓRMULA MANUAL]","",IFERROR(AVERAGEIFS(nNOTA,nNIA,A624,nCUENTA,1,nASIG,"Lenguaje Musical"),"")))</f>
        <v/>
      </c>
      <c r="C624" t="str">
        <f>IF(A624="","",IF(A624="[FÓRMULA MANUAL]","",IFERROR(AVERAGEIFS(nNOTA,nNIA,A624,nCUENTA,1,nASIG,"Orquesta/Banda/Conjunto"),"")))</f>
        <v/>
      </c>
      <c r="D624" t="str">
        <f>IF(A624="","",IF(A624="[FÓRMULA MANUAL]","",IFERROR(AVERAGEIFS(nNOTA,nNIA,A624,nCUENTA,1,nASIG,"Conjunto"),"")))</f>
        <v/>
      </c>
      <c r="E624" t="str">
        <f>IF(A624="","",IF(A624="[FÓRMULA MANUAL]","",IFERROR(SUMPRODUCT((nNIA=A624)*(nCUENTA=1)*(COUNTIF(CONFIG_ASIGNATURAS!$B$7:$B$27,nASIG)&gt;0)*(nNOTA))/SUMPRODUCT((nNIA=A624)*(nCUENTA=1)*(COUNTIF(CONFIG_ASIGNATURAS!$B$7:$B$27,nASIG)&gt;0)*1),"")))</f>
        <v/>
      </c>
      <c r="H624" t="str">
        <f>IF(G624="","",IF(G624="[FÓRMULA MANUAL]","",IFERROR(AVERAGEIFS(nNOTA,nNIA,G624,nCUENTA,1,nASIG,"Lenguaje Musical"),"")))</f>
        <v/>
      </c>
      <c r="I624" t="str">
        <f>IF(G624="","",IF(G624="[FÓRMULA MANUAL]","",IFERROR(AVERAGEIFS(nNOTA,nNIA,G624,nCUENTA,1,nASIG,"Orquesta/Banda/Conjunto"),"")))</f>
        <v/>
      </c>
      <c r="J624" t="str">
        <f>IF(G624="","",IF(G624="[FÓRMULA MANUAL]","",IFERROR(AVERAGEIFS(nNOTA,nNIA,G624,nCUENTA,1,nASIG,"Conjunto"),"")))</f>
        <v/>
      </c>
      <c r="K624" t="str">
        <f>IF(G624="","",IF(G624="[FÓRMULA MANUAL]","",IFERROR(SUMPRODUCT((nNIA=G624)*(nCUENTA=1)*(COUNTIF(CONFIG_ASIGNATURAS!$B$7:$B$27,nASIG)&gt;0)*(nNOTA))/SUMPRODUCT((nNIA=G624)*(nCUENTA=1)*(COUNTIF(CONFIG_ASIGNATURAS!$B$7:$B$27,nASIG)&gt;0)*1),"")))</f>
        <v/>
      </c>
      <c r="N624" t="str">
        <f>IF(M624="","",IF(M624="[FÓRMULA MANUAL]","",IFERROR(AVERAGEIFS(nNOTA,nNIA,M624,nCUENTA,1,nASIG,"Armonía"),"")))</f>
        <v/>
      </c>
      <c r="O624" t="str">
        <f>IF(M624="","",IF(M624="[FÓRMULA MANUAL]","",IFERROR(AVERAGEIFS(nNOTA,nNIA,M624,nCUENTA,1,nASIG,"Orquesta/Banda/Conjunto"),"")))</f>
        <v/>
      </c>
      <c r="P624" t="str">
        <f>IF(M624="","",IF(M624="[FÓRMULA MANUAL]","",IFERROR(AVERAGEIFS(nNOTA,nNIA,M624,nCUENTA,1,nASIG,"Música de Cámara"),"")))</f>
        <v/>
      </c>
      <c r="Q624" t="str">
        <f>IF(M624="","",IF(M624="[FÓRMULA MANUAL]","",IFERROR(SUMPRODUCT((nNIA=M624)*(nCUENTA=1)*(COUNTIF(CONFIG_ASIGNATURAS!$B$7:$B$27,nASIG)&gt;0)*(nNOTA))/SUMPRODUCT((nNIA=M624)*(nCUENTA=1)*(COUNTIF(CONFIG_ASIGNATURAS!$B$7:$B$27,nASIG)&gt;0)*1),"")))</f>
        <v/>
      </c>
      <c r="T624" t="str">
        <f>IF(S624="","",IF(S624="[FÓRMULA MANUAL]","",IFERROR(AVERAGEIFS(nNOTA,nNIA,S624,nCUENTA,1,nASIG,"Armonía"),"")))</f>
        <v/>
      </c>
      <c r="U624" t="str">
        <f>IF(S624="","",IF(S624="[FÓRMULA MANUAL]","",IFERROR(AVERAGEIFS(nNOTA,nNIA,S624,nCUENTA,1,nASIG,"Orquesta/Banda/Conjunto"),"")))</f>
        <v/>
      </c>
      <c r="V624" t="str">
        <f>IF(S624="","",IF(S624="[FÓRMULA MANUAL]","",IFERROR(AVERAGEIFS(nNOTA,nNIA,S624,nCUENTA,1,nASIG,"Música de Cámara"),"")))</f>
        <v/>
      </c>
      <c r="W624" t="str">
        <f>IF(S624="","",IF(S624="[FÓRMULA MANUAL]","",IFERROR(SUMPRODUCT((nNIA=S624)*(nCUENTA=1)*(COUNTIF(CONFIG_ASIGNATURAS!$B$7:$B$27,nASIG)&gt;0)*(nNOTA))/SUMPRODUCT((nNIA=S624)*(nCUENTA=1)*(COUNTIF(CONFIG_ASIGNATURAS!$B$7:$B$27,nASIG)&gt;0)*1),"")))</f>
        <v/>
      </c>
      <c r="Z624" t="str">
        <f>IF(Y624="","",IF(Y624="[FÓRMULA MANUAL]","",IFERROR(AVERAGEIFS(nNOTA,nNIA,Y624,nCUENTA,1,nASIG,"Análisis"),"")))</f>
        <v/>
      </c>
      <c r="AA624" t="str">
        <f>IF(Y624="","",IF(Y624="[FÓRMULA MANUAL]","",IFERROR(AVERAGEIFS(nNOTA,nNIA,Y624,nCUENTA,1,nASIG,"Orquesta/Banda/Conjunto"),"")))</f>
        <v/>
      </c>
      <c r="AB624" t="str">
        <f>IF(Y624="","",IF(Y624="[FÓRMULA MANUAL]","",IFERROR(AVERAGEIFS(nNOTA,nNIA,Y624,nCUENTA,1,nASIG,"Música de Cámara"),"")))</f>
        <v/>
      </c>
      <c r="AC624" t="str">
        <f>IF(Y624="","",IF(Y624="[FÓRMULA MANUAL]","",IFERROR(SUMPRODUCT((nNIA=Y624)*(nCUENTA=1)*(COUNTIF(CONFIG_ASIGNATURAS!$B$7:$B$27,nASIG)&gt;0)*(nNOTA))/SUMPRODUCT((nNIA=Y624)*(nCUENTA=1)*(COUNTIF(CONFIG_ASIGNATURAS!$B$7:$B$27,nASIG)&gt;0)*1),"")))</f>
        <v/>
      </c>
      <c r="AF624" t="str">
        <f>IF(AE624="","",IF(AE624="[FÓRMULA MANUAL]","",IFERROR(AVERAGEIFS(nNOTA,nNIA,AE624,nCUENTA,1,nASIG,"Análisis"),"")))</f>
        <v/>
      </c>
      <c r="AG624" t="str">
        <f>IF(AE624="","",IF(AE624="[FÓRMULA MANUAL]","",IFERROR(AVERAGEIFS(nNOTA,nNIA,AE624,nCUENTA,1,nASIG,"Orquesta/Banda/Conjunto"),"")))</f>
        <v/>
      </c>
      <c r="AH624" t="str">
        <f>IF(AE624="","",IF(AE624="[FÓRMULA MANUAL]","",IFERROR(AVERAGEIFS(nNOTA,nNIA,AE624,nCUENTA,1,nASIG,"Música de Cámara"),"")))</f>
        <v/>
      </c>
      <c r="AI624" t="str">
        <f>IF(AE624="","",IF(AE624="[FÓRMULA MANUAL]","",IFERROR(SUMPRODUCT((nNIA=AE624)*(nCUENTA=1)*(COUNTIF(CONFIG_ASIGNATURAS!$B$7:$B$27,nASIG)&gt;0)*(nNOTA))/SUMPRODUCT((nNIA=AE624)*(nCUENTA=1)*(COUNTIF(CONFIG_ASIGNATURAS!$B$7:$B$27,nASIG)&gt;0)*1),"")))</f>
        <v/>
      </c>
    </row>
    <row r="625" spans="2:35" x14ac:dyDescent="0.2">
      <c r="B625" t="str">
        <f>IF(A625="","",IF(A625="[FÓRMULA MANUAL]","",IFERROR(AVERAGEIFS(nNOTA,nNIA,A625,nCUENTA,1,nASIG,"Lenguaje Musical"),"")))</f>
        <v/>
      </c>
      <c r="C625" t="str">
        <f>IF(A625="","",IF(A625="[FÓRMULA MANUAL]","",IFERROR(AVERAGEIFS(nNOTA,nNIA,A625,nCUENTA,1,nASIG,"Orquesta/Banda/Conjunto"),"")))</f>
        <v/>
      </c>
      <c r="D625" t="str">
        <f>IF(A625="","",IF(A625="[FÓRMULA MANUAL]","",IFERROR(AVERAGEIFS(nNOTA,nNIA,A625,nCUENTA,1,nASIG,"Conjunto"),"")))</f>
        <v/>
      </c>
      <c r="E625" t="str">
        <f>IF(A625="","",IF(A625="[FÓRMULA MANUAL]","",IFERROR(SUMPRODUCT((nNIA=A625)*(nCUENTA=1)*(COUNTIF(CONFIG_ASIGNATURAS!$B$7:$B$27,nASIG)&gt;0)*(nNOTA))/SUMPRODUCT((nNIA=A625)*(nCUENTA=1)*(COUNTIF(CONFIG_ASIGNATURAS!$B$7:$B$27,nASIG)&gt;0)*1),"")))</f>
        <v/>
      </c>
      <c r="H625" t="str">
        <f>IF(G625="","",IF(G625="[FÓRMULA MANUAL]","",IFERROR(AVERAGEIFS(nNOTA,nNIA,G625,nCUENTA,1,nASIG,"Lenguaje Musical"),"")))</f>
        <v/>
      </c>
      <c r="I625" t="str">
        <f>IF(G625="","",IF(G625="[FÓRMULA MANUAL]","",IFERROR(AVERAGEIFS(nNOTA,nNIA,G625,nCUENTA,1,nASIG,"Orquesta/Banda/Conjunto"),"")))</f>
        <v/>
      </c>
      <c r="J625" t="str">
        <f>IF(G625="","",IF(G625="[FÓRMULA MANUAL]","",IFERROR(AVERAGEIFS(nNOTA,nNIA,G625,nCUENTA,1,nASIG,"Conjunto"),"")))</f>
        <v/>
      </c>
      <c r="K625" t="str">
        <f>IF(G625="","",IF(G625="[FÓRMULA MANUAL]","",IFERROR(SUMPRODUCT((nNIA=G625)*(nCUENTA=1)*(COUNTIF(CONFIG_ASIGNATURAS!$B$7:$B$27,nASIG)&gt;0)*(nNOTA))/SUMPRODUCT((nNIA=G625)*(nCUENTA=1)*(COUNTIF(CONFIG_ASIGNATURAS!$B$7:$B$27,nASIG)&gt;0)*1),"")))</f>
        <v/>
      </c>
      <c r="N625" t="str">
        <f>IF(M625="","",IF(M625="[FÓRMULA MANUAL]","",IFERROR(AVERAGEIFS(nNOTA,nNIA,M625,nCUENTA,1,nASIG,"Armonía"),"")))</f>
        <v/>
      </c>
      <c r="O625" t="str">
        <f>IF(M625="","",IF(M625="[FÓRMULA MANUAL]","",IFERROR(AVERAGEIFS(nNOTA,nNIA,M625,nCUENTA,1,nASIG,"Orquesta/Banda/Conjunto"),"")))</f>
        <v/>
      </c>
      <c r="P625" t="str">
        <f>IF(M625="","",IF(M625="[FÓRMULA MANUAL]","",IFERROR(AVERAGEIFS(nNOTA,nNIA,M625,nCUENTA,1,nASIG,"Música de Cámara"),"")))</f>
        <v/>
      </c>
      <c r="Q625" t="str">
        <f>IF(M625="","",IF(M625="[FÓRMULA MANUAL]","",IFERROR(SUMPRODUCT((nNIA=M625)*(nCUENTA=1)*(COUNTIF(CONFIG_ASIGNATURAS!$B$7:$B$27,nASIG)&gt;0)*(nNOTA))/SUMPRODUCT((nNIA=M625)*(nCUENTA=1)*(COUNTIF(CONFIG_ASIGNATURAS!$B$7:$B$27,nASIG)&gt;0)*1),"")))</f>
        <v/>
      </c>
      <c r="T625" t="str">
        <f>IF(S625="","",IF(S625="[FÓRMULA MANUAL]","",IFERROR(AVERAGEIFS(nNOTA,nNIA,S625,nCUENTA,1,nASIG,"Armonía"),"")))</f>
        <v/>
      </c>
      <c r="U625" t="str">
        <f>IF(S625="","",IF(S625="[FÓRMULA MANUAL]","",IFERROR(AVERAGEIFS(nNOTA,nNIA,S625,nCUENTA,1,nASIG,"Orquesta/Banda/Conjunto"),"")))</f>
        <v/>
      </c>
      <c r="V625" t="str">
        <f>IF(S625="","",IF(S625="[FÓRMULA MANUAL]","",IFERROR(AVERAGEIFS(nNOTA,nNIA,S625,nCUENTA,1,nASIG,"Música de Cámara"),"")))</f>
        <v/>
      </c>
      <c r="W625" t="str">
        <f>IF(S625="","",IF(S625="[FÓRMULA MANUAL]","",IFERROR(SUMPRODUCT((nNIA=S625)*(nCUENTA=1)*(COUNTIF(CONFIG_ASIGNATURAS!$B$7:$B$27,nASIG)&gt;0)*(nNOTA))/SUMPRODUCT((nNIA=S625)*(nCUENTA=1)*(COUNTIF(CONFIG_ASIGNATURAS!$B$7:$B$27,nASIG)&gt;0)*1),"")))</f>
        <v/>
      </c>
      <c r="Z625" t="str">
        <f>IF(Y625="","",IF(Y625="[FÓRMULA MANUAL]","",IFERROR(AVERAGEIFS(nNOTA,nNIA,Y625,nCUENTA,1,nASIG,"Análisis"),"")))</f>
        <v/>
      </c>
      <c r="AA625" t="str">
        <f>IF(Y625="","",IF(Y625="[FÓRMULA MANUAL]","",IFERROR(AVERAGEIFS(nNOTA,nNIA,Y625,nCUENTA,1,nASIG,"Orquesta/Banda/Conjunto"),"")))</f>
        <v/>
      </c>
      <c r="AB625" t="str">
        <f>IF(Y625="","",IF(Y625="[FÓRMULA MANUAL]","",IFERROR(AVERAGEIFS(nNOTA,nNIA,Y625,nCUENTA,1,nASIG,"Música de Cámara"),"")))</f>
        <v/>
      </c>
      <c r="AC625" t="str">
        <f>IF(Y625="","",IF(Y625="[FÓRMULA MANUAL]","",IFERROR(SUMPRODUCT((nNIA=Y625)*(nCUENTA=1)*(COUNTIF(CONFIG_ASIGNATURAS!$B$7:$B$27,nASIG)&gt;0)*(nNOTA))/SUMPRODUCT((nNIA=Y625)*(nCUENTA=1)*(COUNTIF(CONFIG_ASIGNATURAS!$B$7:$B$27,nASIG)&gt;0)*1),"")))</f>
        <v/>
      </c>
      <c r="AF625" t="str">
        <f>IF(AE625="","",IF(AE625="[FÓRMULA MANUAL]","",IFERROR(AVERAGEIFS(nNOTA,nNIA,AE625,nCUENTA,1,nASIG,"Análisis"),"")))</f>
        <v/>
      </c>
      <c r="AG625" t="str">
        <f>IF(AE625="","",IF(AE625="[FÓRMULA MANUAL]","",IFERROR(AVERAGEIFS(nNOTA,nNIA,AE625,nCUENTA,1,nASIG,"Orquesta/Banda/Conjunto"),"")))</f>
        <v/>
      </c>
      <c r="AH625" t="str">
        <f>IF(AE625="","",IF(AE625="[FÓRMULA MANUAL]","",IFERROR(AVERAGEIFS(nNOTA,nNIA,AE625,nCUENTA,1,nASIG,"Música de Cámara"),"")))</f>
        <v/>
      </c>
      <c r="AI625" t="str">
        <f>IF(AE625="","",IF(AE625="[FÓRMULA MANUAL]","",IFERROR(SUMPRODUCT((nNIA=AE625)*(nCUENTA=1)*(COUNTIF(CONFIG_ASIGNATURAS!$B$7:$B$27,nASIG)&gt;0)*(nNOTA))/SUMPRODUCT((nNIA=AE625)*(nCUENTA=1)*(COUNTIF(CONFIG_ASIGNATURAS!$B$7:$B$27,nASIG)&gt;0)*1),"")))</f>
        <v/>
      </c>
    </row>
    <row r="626" spans="2:35" x14ac:dyDescent="0.2">
      <c r="B626" t="str">
        <f>IF(A626="","",IF(A626="[FÓRMULA MANUAL]","",IFERROR(AVERAGEIFS(nNOTA,nNIA,A626,nCUENTA,1,nASIG,"Lenguaje Musical"),"")))</f>
        <v/>
      </c>
      <c r="C626" t="str">
        <f>IF(A626="","",IF(A626="[FÓRMULA MANUAL]","",IFERROR(AVERAGEIFS(nNOTA,nNIA,A626,nCUENTA,1,nASIG,"Orquesta/Banda/Conjunto"),"")))</f>
        <v/>
      </c>
      <c r="D626" t="str">
        <f>IF(A626="","",IF(A626="[FÓRMULA MANUAL]","",IFERROR(AVERAGEIFS(nNOTA,nNIA,A626,nCUENTA,1,nASIG,"Conjunto"),"")))</f>
        <v/>
      </c>
      <c r="E626" t="str">
        <f>IF(A626="","",IF(A626="[FÓRMULA MANUAL]","",IFERROR(SUMPRODUCT((nNIA=A626)*(nCUENTA=1)*(COUNTIF(CONFIG_ASIGNATURAS!$B$7:$B$27,nASIG)&gt;0)*(nNOTA))/SUMPRODUCT((nNIA=A626)*(nCUENTA=1)*(COUNTIF(CONFIG_ASIGNATURAS!$B$7:$B$27,nASIG)&gt;0)*1),"")))</f>
        <v/>
      </c>
      <c r="H626" t="str">
        <f>IF(G626="","",IF(G626="[FÓRMULA MANUAL]","",IFERROR(AVERAGEIFS(nNOTA,nNIA,G626,nCUENTA,1,nASIG,"Lenguaje Musical"),"")))</f>
        <v/>
      </c>
      <c r="I626" t="str">
        <f>IF(G626="","",IF(G626="[FÓRMULA MANUAL]","",IFERROR(AVERAGEIFS(nNOTA,nNIA,G626,nCUENTA,1,nASIG,"Orquesta/Banda/Conjunto"),"")))</f>
        <v/>
      </c>
      <c r="J626" t="str">
        <f>IF(G626="","",IF(G626="[FÓRMULA MANUAL]","",IFERROR(AVERAGEIFS(nNOTA,nNIA,G626,nCUENTA,1,nASIG,"Conjunto"),"")))</f>
        <v/>
      </c>
      <c r="K626" t="str">
        <f>IF(G626="","",IF(G626="[FÓRMULA MANUAL]","",IFERROR(SUMPRODUCT((nNIA=G626)*(nCUENTA=1)*(COUNTIF(CONFIG_ASIGNATURAS!$B$7:$B$27,nASIG)&gt;0)*(nNOTA))/SUMPRODUCT((nNIA=G626)*(nCUENTA=1)*(COUNTIF(CONFIG_ASIGNATURAS!$B$7:$B$27,nASIG)&gt;0)*1),"")))</f>
        <v/>
      </c>
      <c r="N626" t="str">
        <f>IF(M626="","",IF(M626="[FÓRMULA MANUAL]","",IFERROR(AVERAGEIFS(nNOTA,nNIA,M626,nCUENTA,1,nASIG,"Armonía"),"")))</f>
        <v/>
      </c>
      <c r="O626" t="str">
        <f>IF(M626="","",IF(M626="[FÓRMULA MANUAL]","",IFERROR(AVERAGEIFS(nNOTA,nNIA,M626,nCUENTA,1,nASIG,"Orquesta/Banda/Conjunto"),"")))</f>
        <v/>
      </c>
      <c r="P626" t="str">
        <f>IF(M626="","",IF(M626="[FÓRMULA MANUAL]","",IFERROR(AVERAGEIFS(nNOTA,nNIA,M626,nCUENTA,1,nASIG,"Música de Cámara"),"")))</f>
        <v/>
      </c>
      <c r="Q626" t="str">
        <f>IF(M626="","",IF(M626="[FÓRMULA MANUAL]","",IFERROR(SUMPRODUCT((nNIA=M626)*(nCUENTA=1)*(COUNTIF(CONFIG_ASIGNATURAS!$B$7:$B$27,nASIG)&gt;0)*(nNOTA))/SUMPRODUCT((nNIA=M626)*(nCUENTA=1)*(COUNTIF(CONFIG_ASIGNATURAS!$B$7:$B$27,nASIG)&gt;0)*1),"")))</f>
        <v/>
      </c>
      <c r="T626" t="str">
        <f>IF(S626="","",IF(S626="[FÓRMULA MANUAL]","",IFERROR(AVERAGEIFS(nNOTA,nNIA,S626,nCUENTA,1,nASIG,"Armonía"),"")))</f>
        <v/>
      </c>
      <c r="U626" t="str">
        <f>IF(S626="","",IF(S626="[FÓRMULA MANUAL]","",IFERROR(AVERAGEIFS(nNOTA,nNIA,S626,nCUENTA,1,nASIG,"Orquesta/Banda/Conjunto"),"")))</f>
        <v/>
      </c>
      <c r="V626" t="str">
        <f>IF(S626="","",IF(S626="[FÓRMULA MANUAL]","",IFERROR(AVERAGEIFS(nNOTA,nNIA,S626,nCUENTA,1,nASIG,"Música de Cámara"),"")))</f>
        <v/>
      </c>
      <c r="W626" t="str">
        <f>IF(S626="","",IF(S626="[FÓRMULA MANUAL]","",IFERROR(SUMPRODUCT((nNIA=S626)*(nCUENTA=1)*(COUNTIF(CONFIG_ASIGNATURAS!$B$7:$B$27,nASIG)&gt;0)*(nNOTA))/SUMPRODUCT((nNIA=S626)*(nCUENTA=1)*(COUNTIF(CONFIG_ASIGNATURAS!$B$7:$B$27,nASIG)&gt;0)*1),"")))</f>
        <v/>
      </c>
      <c r="Z626" t="str">
        <f>IF(Y626="","",IF(Y626="[FÓRMULA MANUAL]","",IFERROR(AVERAGEIFS(nNOTA,nNIA,Y626,nCUENTA,1,nASIG,"Análisis"),"")))</f>
        <v/>
      </c>
      <c r="AA626" t="str">
        <f>IF(Y626="","",IF(Y626="[FÓRMULA MANUAL]","",IFERROR(AVERAGEIFS(nNOTA,nNIA,Y626,nCUENTA,1,nASIG,"Orquesta/Banda/Conjunto"),"")))</f>
        <v/>
      </c>
      <c r="AB626" t="str">
        <f>IF(Y626="","",IF(Y626="[FÓRMULA MANUAL]","",IFERROR(AVERAGEIFS(nNOTA,nNIA,Y626,nCUENTA,1,nASIG,"Música de Cámara"),"")))</f>
        <v/>
      </c>
      <c r="AC626" t="str">
        <f>IF(Y626="","",IF(Y626="[FÓRMULA MANUAL]","",IFERROR(SUMPRODUCT((nNIA=Y626)*(nCUENTA=1)*(COUNTIF(CONFIG_ASIGNATURAS!$B$7:$B$27,nASIG)&gt;0)*(nNOTA))/SUMPRODUCT((nNIA=Y626)*(nCUENTA=1)*(COUNTIF(CONFIG_ASIGNATURAS!$B$7:$B$27,nASIG)&gt;0)*1),"")))</f>
        <v/>
      </c>
      <c r="AF626" t="str">
        <f>IF(AE626="","",IF(AE626="[FÓRMULA MANUAL]","",IFERROR(AVERAGEIFS(nNOTA,nNIA,AE626,nCUENTA,1,nASIG,"Análisis"),"")))</f>
        <v/>
      </c>
      <c r="AG626" t="str">
        <f>IF(AE626="","",IF(AE626="[FÓRMULA MANUAL]","",IFERROR(AVERAGEIFS(nNOTA,nNIA,AE626,nCUENTA,1,nASIG,"Orquesta/Banda/Conjunto"),"")))</f>
        <v/>
      </c>
      <c r="AH626" t="str">
        <f>IF(AE626="","",IF(AE626="[FÓRMULA MANUAL]","",IFERROR(AVERAGEIFS(nNOTA,nNIA,AE626,nCUENTA,1,nASIG,"Música de Cámara"),"")))</f>
        <v/>
      </c>
      <c r="AI626" t="str">
        <f>IF(AE626="","",IF(AE626="[FÓRMULA MANUAL]","",IFERROR(SUMPRODUCT((nNIA=AE626)*(nCUENTA=1)*(COUNTIF(CONFIG_ASIGNATURAS!$B$7:$B$27,nASIG)&gt;0)*(nNOTA))/SUMPRODUCT((nNIA=AE626)*(nCUENTA=1)*(COUNTIF(CONFIG_ASIGNATURAS!$B$7:$B$27,nASIG)&gt;0)*1),"")))</f>
        <v/>
      </c>
    </row>
    <row r="627" spans="2:35" x14ac:dyDescent="0.2">
      <c r="B627" t="str">
        <f>IF(A627="","",IF(A627="[FÓRMULA MANUAL]","",IFERROR(AVERAGEIFS(nNOTA,nNIA,A627,nCUENTA,1,nASIG,"Lenguaje Musical"),"")))</f>
        <v/>
      </c>
      <c r="C627" t="str">
        <f>IF(A627="","",IF(A627="[FÓRMULA MANUAL]","",IFERROR(AVERAGEIFS(nNOTA,nNIA,A627,nCUENTA,1,nASIG,"Orquesta/Banda/Conjunto"),"")))</f>
        <v/>
      </c>
      <c r="D627" t="str">
        <f>IF(A627="","",IF(A627="[FÓRMULA MANUAL]","",IFERROR(AVERAGEIFS(nNOTA,nNIA,A627,nCUENTA,1,nASIG,"Conjunto"),"")))</f>
        <v/>
      </c>
      <c r="E627" t="str">
        <f>IF(A627="","",IF(A627="[FÓRMULA MANUAL]","",IFERROR(SUMPRODUCT((nNIA=A627)*(nCUENTA=1)*(COUNTIF(CONFIG_ASIGNATURAS!$B$7:$B$27,nASIG)&gt;0)*(nNOTA))/SUMPRODUCT((nNIA=A627)*(nCUENTA=1)*(COUNTIF(CONFIG_ASIGNATURAS!$B$7:$B$27,nASIG)&gt;0)*1),"")))</f>
        <v/>
      </c>
      <c r="H627" t="str">
        <f>IF(G627="","",IF(G627="[FÓRMULA MANUAL]","",IFERROR(AVERAGEIFS(nNOTA,nNIA,G627,nCUENTA,1,nASIG,"Lenguaje Musical"),"")))</f>
        <v/>
      </c>
      <c r="I627" t="str">
        <f>IF(G627="","",IF(G627="[FÓRMULA MANUAL]","",IFERROR(AVERAGEIFS(nNOTA,nNIA,G627,nCUENTA,1,nASIG,"Orquesta/Banda/Conjunto"),"")))</f>
        <v/>
      </c>
      <c r="J627" t="str">
        <f>IF(G627="","",IF(G627="[FÓRMULA MANUAL]","",IFERROR(AVERAGEIFS(nNOTA,nNIA,G627,nCUENTA,1,nASIG,"Conjunto"),"")))</f>
        <v/>
      </c>
      <c r="K627" t="str">
        <f>IF(G627="","",IF(G627="[FÓRMULA MANUAL]","",IFERROR(SUMPRODUCT((nNIA=G627)*(nCUENTA=1)*(COUNTIF(CONFIG_ASIGNATURAS!$B$7:$B$27,nASIG)&gt;0)*(nNOTA))/SUMPRODUCT((nNIA=G627)*(nCUENTA=1)*(COUNTIF(CONFIG_ASIGNATURAS!$B$7:$B$27,nASIG)&gt;0)*1),"")))</f>
        <v/>
      </c>
      <c r="N627" t="str">
        <f>IF(M627="","",IF(M627="[FÓRMULA MANUAL]","",IFERROR(AVERAGEIFS(nNOTA,nNIA,M627,nCUENTA,1,nASIG,"Armonía"),"")))</f>
        <v/>
      </c>
      <c r="O627" t="str">
        <f>IF(M627="","",IF(M627="[FÓRMULA MANUAL]","",IFERROR(AVERAGEIFS(nNOTA,nNIA,M627,nCUENTA,1,nASIG,"Orquesta/Banda/Conjunto"),"")))</f>
        <v/>
      </c>
      <c r="P627" t="str">
        <f>IF(M627="","",IF(M627="[FÓRMULA MANUAL]","",IFERROR(AVERAGEIFS(nNOTA,nNIA,M627,nCUENTA,1,nASIG,"Música de Cámara"),"")))</f>
        <v/>
      </c>
      <c r="Q627" t="str">
        <f>IF(M627="","",IF(M627="[FÓRMULA MANUAL]","",IFERROR(SUMPRODUCT((nNIA=M627)*(nCUENTA=1)*(COUNTIF(CONFIG_ASIGNATURAS!$B$7:$B$27,nASIG)&gt;0)*(nNOTA))/SUMPRODUCT((nNIA=M627)*(nCUENTA=1)*(COUNTIF(CONFIG_ASIGNATURAS!$B$7:$B$27,nASIG)&gt;0)*1),"")))</f>
        <v/>
      </c>
      <c r="T627" t="str">
        <f>IF(S627="","",IF(S627="[FÓRMULA MANUAL]","",IFERROR(AVERAGEIFS(nNOTA,nNIA,S627,nCUENTA,1,nASIG,"Armonía"),"")))</f>
        <v/>
      </c>
      <c r="U627" t="str">
        <f>IF(S627="","",IF(S627="[FÓRMULA MANUAL]","",IFERROR(AVERAGEIFS(nNOTA,nNIA,S627,nCUENTA,1,nASIG,"Orquesta/Banda/Conjunto"),"")))</f>
        <v/>
      </c>
      <c r="V627" t="str">
        <f>IF(S627="","",IF(S627="[FÓRMULA MANUAL]","",IFERROR(AVERAGEIFS(nNOTA,nNIA,S627,nCUENTA,1,nASIG,"Música de Cámara"),"")))</f>
        <v/>
      </c>
      <c r="W627" t="str">
        <f>IF(S627="","",IF(S627="[FÓRMULA MANUAL]","",IFERROR(SUMPRODUCT((nNIA=S627)*(nCUENTA=1)*(COUNTIF(CONFIG_ASIGNATURAS!$B$7:$B$27,nASIG)&gt;0)*(nNOTA))/SUMPRODUCT((nNIA=S627)*(nCUENTA=1)*(COUNTIF(CONFIG_ASIGNATURAS!$B$7:$B$27,nASIG)&gt;0)*1),"")))</f>
        <v/>
      </c>
      <c r="Z627" t="str">
        <f>IF(Y627="","",IF(Y627="[FÓRMULA MANUAL]","",IFERROR(AVERAGEIFS(nNOTA,nNIA,Y627,nCUENTA,1,nASIG,"Análisis"),"")))</f>
        <v/>
      </c>
      <c r="AA627" t="str">
        <f>IF(Y627="","",IF(Y627="[FÓRMULA MANUAL]","",IFERROR(AVERAGEIFS(nNOTA,nNIA,Y627,nCUENTA,1,nASIG,"Orquesta/Banda/Conjunto"),"")))</f>
        <v/>
      </c>
      <c r="AB627" t="str">
        <f>IF(Y627="","",IF(Y627="[FÓRMULA MANUAL]","",IFERROR(AVERAGEIFS(nNOTA,nNIA,Y627,nCUENTA,1,nASIG,"Música de Cámara"),"")))</f>
        <v/>
      </c>
      <c r="AC627" t="str">
        <f>IF(Y627="","",IF(Y627="[FÓRMULA MANUAL]","",IFERROR(SUMPRODUCT((nNIA=Y627)*(nCUENTA=1)*(COUNTIF(CONFIG_ASIGNATURAS!$B$7:$B$27,nASIG)&gt;0)*(nNOTA))/SUMPRODUCT((nNIA=Y627)*(nCUENTA=1)*(COUNTIF(CONFIG_ASIGNATURAS!$B$7:$B$27,nASIG)&gt;0)*1),"")))</f>
        <v/>
      </c>
      <c r="AF627" t="str">
        <f>IF(AE627="","",IF(AE627="[FÓRMULA MANUAL]","",IFERROR(AVERAGEIFS(nNOTA,nNIA,AE627,nCUENTA,1,nASIG,"Análisis"),"")))</f>
        <v/>
      </c>
      <c r="AG627" t="str">
        <f>IF(AE627="","",IF(AE627="[FÓRMULA MANUAL]","",IFERROR(AVERAGEIFS(nNOTA,nNIA,AE627,nCUENTA,1,nASIG,"Orquesta/Banda/Conjunto"),"")))</f>
        <v/>
      </c>
      <c r="AH627" t="str">
        <f>IF(AE627="","",IF(AE627="[FÓRMULA MANUAL]","",IFERROR(AVERAGEIFS(nNOTA,nNIA,AE627,nCUENTA,1,nASIG,"Música de Cámara"),"")))</f>
        <v/>
      </c>
      <c r="AI627" t="str">
        <f>IF(AE627="","",IF(AE627="[FÓRMULA MANUAL]","",IFERROR(SUMPRODUCT((nNIA=AE627)*(nCUENTA=1)*(COUNTIF(CONFIG_ASIGNATURAS!$B$7:$B$27,nASIG)&gt;0)*(nNOTA))/SUMPRODUCT((nNIA=AE627)*(nCUENTA=1)*(COUNTIF(CONFIG_ASIGNATURAS!$B$7:$B$27,nASIG)&gt;0)*1),"")))</f>
        <v/>
      </c>
    </row>
    <row r="628" spans="2:35" x14ac:dyDescent="0.2">
      <c r="B628" t="str">
        <f>IF(A628="","",IF(A628="[FÓRMULA MANUAL]","",IFERROR(AVERAGEIFS(nNOTA,nNIA,A628,nCUENTA,1,nASIG,"Lenguaje Musical"),"")))</f>
        <v/>
      </c>
      <c r="C628" t="str">
        <f>IF(A628="","",IF(A628="[FÓRMULA MANUAL]","",IFERROR(AVERAGEIFS(nNOTA,nNIA,A628,nCUENTA,1,nASIG,"Orquesta/Banda/Conjunto"),"")))</f>
        <v/>
      </c>
      <c r="D628" t="str">
        <f>IF(A628="","",IF(A628="[FÓRMULA MANUAL]","",IFERROR(AVERAGEIFS(nNOTA,nNIA,A628,nCUENTA,1,nASIG,"Conjunto"),"")))</f>
        <v/>
      </c>
      <c r="E628" t="str">
        <f>IF(A628="","",IF(A628="[FÓRMULA MANUAL]","",IFERROR(SUMPRODUCT((nNIA=A628)*(nCUENTA=1)*(COUNTIF(CONFIG_ASIGNATURAS!$B$7:$B$27,nASIG)&gt;0)*(nNOTA))/SUMPRODUCT((nNIA=A628)*(nCUENTA=1)*(COUNTIF(CONFIG_ASIGNATURAS!$B$7:$B$27,nASIG)&gt;0)*1),"")))</f>
        <v/>
      </c>
      <c r="H628" t="str">
        <f>IF(G628="","",IF(G628="[FÓRMULA MANUAL]","",IFERROR(AVERAGEIFS(nNOTA,nNIA,G628,nCUENTA,1,nASIG,"Lenguaje Musical"),"")))</f>
        <v/>
      </c>
      <c r="I628" t="str">
        <f>IF(G628="","",IF(G628="[FÓRMULA MANUAL]","",IFERROR(AVERAGEIFS(nNOTA,nNIA,G628,nCUENTA,1,nASIG,"Orquesta/Banda/Conjunto"),"")))</f>
        <v/>
      </c>
      <c r="J628" t="str">
        <f>IF(G628="","",IF(G628="[FÓRMULA MANUAL]","",IFERROR(AVERAGEIFS(nNOTA,nNIA,G628,nCUENTA,1,nASIG,"Conjunto"),"")))</f>
        <v/>
      </c>
      <c r="K628" t="str">
        <f>IF(G628="","",IF(G628="[FÓRMULA MANUAL]","",IFERROR(SUMPRODUCT((nNIA=G628)*(nCUENTA=1)*(COUNTIF(CONFIG_ASIGNATURAS!$B$7:$B$27,nASIG)&gt;0)*(nNOTA))/SUMPRODUCT((nNIA=G628)*(nCUENTA=1)*(COUNTIF(CONFIG_ASIGNATURAS!$B$7:$B$27,nASIG)&gt;0)*1),"")))</f>
        <v/>
      </c>
      <c r="N628" t="str">
        <f>IF(M628="","",IF(M628="[FÓRMULA MANUAL]","",IFERROR(AVERAGEIFS(nNOTA,nNIA,M628,nCUENTA,1,nASIG,"Armonía"),"")))</f>
        <v/>
      </c>
      <c r="O628" t="str">
        <f>IF(M628="","",IF(M628="[FÓRMULA MANUAL]","",IFERROR(AVERAGEIFS(nNOTA,nNIA,M628,nCUENTA,1,nASIG,"Orquesta/Banda/Conjunto"),"")))</f>
        <v/>
      </c>
      <c r="P628" t="str">
        <f>IF(M628="","",IF(M628="[FÓRMULA MANUAL]","",IFERROR(AVERAGEIFS(nNOTA,nNIA,M628,nCUENTA,1,nASIG,"Música de Cámara"),"")))</f>
        <v/>
      </c>
      <c r="Q628" t="str">
        <f>IF(M628="","",IF(M628="[FÓRMULA MANUAL]","",IFERROR(SUMPRODUCT((nNIA=M628)*(nCUENTA=1)*(COUNTIF(CONFIG_ASIGNATURAS!$B$7:$B$27,nASIG)&gt;0)*(nNOTA))/SUMPRODUCT((nNIA=M628)*(nCUENTA=1)*(COUNTIF(CONFIG_ASIGNATURAS!$B$7:$B$27,nASIG)&gt;0)*1),"")))</f>
        <v/>
      </c>
      <c r="T628" t="str">
        <f>IF(S628="","",IF(S628="[FÓRMULA MANUAL]","",IFERROR(AVERAGEIFS(nNOTA,nNIA,S628,nCUENTA,1,nASIG,"Armonía"),"")))</f>
        <v/>
      </c>
      <c r="U628" t="str">
        <f>IF(S628="","",IF(S628="[FÓRMULA MANUAL]","",IFERROR(AVERAGEIFS(nNOTA,nNIA,S628,nCUENTA,1,nASIG,"Orquesta/Banda/Conjunto"),"")))</f>
        <v/>
      </c>
      <c r="V628" t="str">
        <f>IF(S628="","",IF(S628="[FÓRMULA MANUAL]","",IFERROR(AVERAGEIFS(nNOTA,nNIA,S628,nCUENTA,1,nASIG,"Música de Cámara"),"")))</f>
        <v/>
      </c>
      <c r="W628" t="str">
        <f>IF(S628="","",IF(S628="[FÓRMULA MANUAL]","",IFERROR(SUMPRODUCT((nNIA=S628)*(nCUENTA=1)*(COUNTIF(CONFIG_ASIGNATURAS!$B$7:$B$27,nASIG)&gt;0)*(nNOTA))/SUMPRODUCT((nNIA=S628)*(nCUENTA=1)*(COUNTIF(CONFIG_ASIGNATURAS!$B$7:$B$27,nASIG)&gt;0)*1),"")))</f>
        <v/>
      </c>
      <c r="Z628" t="str">
        <f>IF(Y628="","",IF(Y628="[FÓRMULA MANUAL]","",IFERROR(AVERAGEIFS(nNOTA,nNIA,Y628,nCUENTA,1,nASIG,"Análisis"),"")))</f>
        <v/>
      </c>
      <c r="AA628" t="str">
        <f>IF(Y628="","",IF(Y628="[FÓRMULA MANUAL]","",IFERROR(AVERAGEIFS(nNOTA,nNIA,Y628,nCUENTA,1,nASIG,"Orquesta/Banda/Conjunto"),"")))</f>
        <v/>
      </c>
      <c r="AB628" t="str">
        <f>IF(Y628="","",IF(Y628="[FÓRMULA MANUAL]","",IFERROR(AVERAGEIFS(nNOTA,nNIA,Y628,nCUENTA,1,nASIG,"Música de Cámara"),"")))</f>
        <v/>
      </c>
      <c r="AC628" t="str">
        <f>IF(Y628="","",IF(Y628="[FÓRMULA MANUAL]","",IFERROR(SUMPRODUCT((nNIA=Y628)*(nCUENTA=1)*(COUNTIF(CONFIG_ASIGNATURAS!$B$7:$B$27,nASIG)&gt;0)*(nNOTA))/SUMPRODUCT((nNIA=Y628)*(nCUENTA=1)*(COUNTIF(CONFIG_ASIGNATURAS!$B$7:$B$27,nASIG)&gt;0)*1),"")))</f>
        <v/>
      </c>
      <c r="AF628" t="str">
        <f>IF(AE628="","",IF(AE628="[FÓRMULA MANUAL]","",IFERROR(AVERAGEIFS(nNOTA,nNIA,AE628,nCUENTA,1,nASIG,"Análisis"),"")))</f>
        <v/>
      </c>
      <c r="AG628" t="str">
        <f>IF(AE628="","",IF(AE628="[FÓRMULA MANUAL]","",IFERROR(AVERAGEIFS(nNOTA,nNIA,AE628,nCUENTA,1,nASIG,"Orquesta/Banda/Conjunto"),"")))</f>
        <v/>
      </c>
      <c r="AH628" t="str">
        <f>IF(AE628="","",IF(AE628="[FÓRMULA MANUAL]","",IFERROR(AVERAGEIFS(nNOTA,nNIA,AE628,nCUENTA,1,nASIG,"Música de Cámara"),"")))</f>
        <v/>
      </c>
      <c r="AI628" t="str">
        <f>IF(AE628="","",IF(AE628="[FÓRMULA MANUAL]","",IFERROR(SUMPRODUCT((nNIA=AE628)*(nCUENTA=1)*(COUNTIF(CONFIG_ASIGNATURAS!$B$7:$B$27,nASIG)&gt;0)*(nNOTA))/SUMPRODUCT((nNIA=AE628)*(nCUENTA=1)*(COUNTIF(CONFIG_ASIGNATURAS!$B$7:$B$27,nASIG)&gt;0)*1),"")))</f>
        <v/>
      </c>
    </row>
    <row r="629" spans="2:35" x14ac:dyDescent="0.2">
      <c r="B629" t="str">
        <f>IF(A629="","",IF(A629="[FÓRMULA MANUAL]","",IFERROR(AVERAGEIFS(nNOTA,nNIA,A629,nCUENTA,1,nASIG,"Lenguaje Musical"),"")))</f>
        <v/>
      </c>
      <c r="C629" t="str">
        <f>IF(A629="","",IF(A629="[FÓRMULA MANUAL]","",IFERROR(AVERAGEIFS(nNOTA,nNIA,A629,nCUENTA,1,nASIG,"Orquesta/Banda/Conjunto"),"")))</f>
        <v/>
      </c>
      <c r="D629" t="str">
        <f>IF(A629="","",IF(A629="[FÓRMULA MANUAL]","",IFERROR(AVERAGEIFS(nNOTA,nNIA,A629,nCUENTA,1,nASIG,"Conjunto"),"")))</f>
        <v/>
      </c>
      <c r="E629" t="str">
        <f>IF(A629="","",IF(A629="[FÓRMULA MANUAL]","",IFERROR(SUMPRODUCT((nNIA=A629)*(nCUENTA=1)*(COUNTIF(CONFIG_ASIGNATURAS!$B$7:$B$27,nASIG)&gt;0)*(nNOTA))/SUMPRODUCT((nNIA=A629)*(nCUENTA=1)*(COUNTIF(CONFIG_ASIGNATURAS!$B$7:$B$27,nASIG)&gt;0)*1),"")))</f>
        <v/>
      </c>
      <c r="H629" t="str">
        <f>IF(G629="","",IF(G629="[FÓRMULA MANUAL]","",IFERROR(AVERAGEIFS(nNOTA,nNIA,G629,nCUENTA,1,nASIG,"Lenguaje Musical"),"")))</f>
        <v/>
      </c>
      <c r="I629" t="str">
        <f>IF(G629="","",IF(G629="[FÓRMULA MANUAL]","",IFERROR(AVERAGEIFS(nNOTA,nNIA,G629,nCUENTA,1,nASIG,"Orquesta/Banda/Conjunto"),"")))</f>
        <v/>
      </c>
      <c r="J629" t="str">
        <f>IF(G629="","",IF(G629="[FÓRMULA MANUAL]","",IFERROR(AVERAGEIFS(nNOTA,nNIA,G629,nCUENTA,1,nASIG,"Conjunto"),"")))</f>
        <v/>
      </c>
      <c r="K629" t="str">
        <f>IF(G629="","",IF(G629="[FÓRMULA MANUAL]","",IFERROR(SUMPRODUCT((nNIA=G629)*(nCUENTA=1)*(COUNTIF(CONFIG_ASIGNATURAS!$B$7:$B$27,nASIG)&gt;0)*(nNOTA))/SUMPRODUCT((nNIA=G629)*(nCUENTA=1)*(COUNTIF(CONFIG_ASIGNATURAS!$B$7:$B$27,nASIG)&gt;0)*1),"")))</f>
        <v/>
      </c>
      <c r="N629" t="str">
        <f>IF(M629="","",IF(M629="[FÓRMULA MANUAL]","",IFERROR(AVERAGEIFS(nNOTA,nNIA,M629,nCUENTA,1,nASIG,"Armonía"),"")))</f>
        <v/>
      </c>
      <c r="O629" t="str">
        <f>IF(M629="","",IF(M629="[FÓRMULA MANUAL]","",IFERROR(AVERAGEIFS(nNOTA,nNIA,M629,nCUENTA,1,nASIG,"Orquesta/Banda/Conjunto"),"")))</f>
        <v/>
      </c>
      <c r="P629" t="str">
        <f>IF(M629="","",IF(M629="[FÓRMULA MANUAL]","",IFERROR(AVERAGEIFS(nNOTA,nNIA,M629,nCUENTA,1,nASIG,"Música de Cámara"),"")))</f>
        <v/>
      </c>
      <c r="Q629" t="str">
        <f>IF(M629="","",IF(M629="[FÓRMULA MANUAL]","",IFERROR(SUMPRODUCT((nNIA=M629)*(nCUENTA=1)*(COUNTIF(CONFIG_ASIGNATURAS!$B$7:$B$27,nASIG)&gt;0)*(nNOTA))/SUMPRODUCT((nNIA=M629)*(nCUENTA=1)*(COUNTIF(CONFIG_ASIGNATURAS!$B$7:$B$27,nASIG)&gt;0)*1),"")))</f>
        <v/>
      </c>
      <c r="T629" t="str">
        <f>IF(S629="","",IF(S629="[FÓRMULA MANUAL]","",IFERROR(AVERAGEIFS(nNOTA,nNIA,S629,nCUENTA,1,nASIG,"Armonía"),"")))</f>
        <v/>
      </c>
      <c r="U629" t="str">
        <f>IF(S629="","",IF(S629="[FÓRMULA MANUAL]","",IFERROR(AVERAGEIFS(nNOTA,nNIA,S629,nCUENTA,1,nASIG,"Orquesta/Banda/Conjunto"),"")))</f>
        <v/>
      </c>
      <c r="V629" t="str">
        <f>IF(S629="","",IF(S629="[FÓRMULA MANUAL]","",IFERROR(AVERAGEIFS(nNOTA,nNIA,S629,nCUENTA,1,nASIG,"Música de Cámara"),"")))</f>
        <v/>
      </c>
      <c r="W629" t="str">
        <f>IF(S629="","",IF(S629="[FÓRMULA MANUAL]","",IFERROR(SUMPRODUCT((nNIA=S629)*(nCUENTA=1)*(COUNTIF(CONFIG_ASIGNATURAS!$B$7:$B$27,nASIG)&gt;0)*(nNOTA))/SUMPRODUCT((nNIA=S629)*(nCUENTA=1)*(COUNTIF(CONFIG_ASIGNATURAS!$B$7:$B$27,nASIG)&gt;0)*1),"")))</f>
        <v/>
      </c>
      <c r="Z629" t="str">
        <f>IF(Y629="","",IF(Y629="[FÓRMULA MANUAL]","",IFERROR(AVERAGEIFS(nNOTA,nNIA,Y629,nCUENTA,1,nASIG,"Análisis"),"")))</f>
        <v/>
      </c>
      <c r="AA629" t="str">
        <f>IF(Y629="","",IF(Y629="[FÓRMULA MANUAL]","",IFERROR(AVERAGEIFS(nNOTA,nNIA,Y629,nCUENTA,1,nASIG,"Orquesta/Banda/Conjunto"),"")))</f>
        <v/>
      </c>
      <c r="AB629" t="str">
        <f>IF(Y629="","",IF(Y629="[FÓRMULA MANUAL]","",IFERROR(AVERAGEIFS(nNOTA,nNIA,Y629,nCUENTA,1,nASIG,"Música de Cámara"),"")))</f>
        <v/>
      </c>
      <c r="AC629" t="str">
        <f>IF(Y629="","",IF(Y629="[FÓRMULA MANUAL]","",IFERROR(SUMPRODUCT((nNIA=Y629)*(nCUENTA=1)*(COUNTIF(CONFIG_ASIGNATURAS!$B$7:$B$27,nASIG)&gt;0)*(nNOTA))/SUMPRODUCT((nNIA=Y629)*(nCUENTA=1)*(COUNTIF(CONFIG_ASIGNATURAS!$B$7:$B$27,nASIG)&gt;0)*1),"")))</f>
        <v/>
      </c>
      <c r="AF629" t="str">
        <f>IF(AE629="","",IF(AE629="[FÓRMULA MANUAL]","",IFERROR(AVERAGEIFS(nNOTA,nNIA,AE629,nCUENTA,1,nASIG,"Análisis"),"")))</f>
        <v/>
      </c>
      <c r="AG629" t="str">
        <f>IF(AE629="","",IF(AE629="[FÓRMULA MANUAL]","",IFERROR(AVERAGEIFS(nNOTA,nNIA,AE629,nCUENTA,1,nASIG,"Orquesta/Banda/Conjunto"),"")))</f>
        <v/>
      </c>
      <c r="AH629" t="str">
        <f>IF(AE629="","",IF(AE629="[FÓRMULA MANUAL]","",IFERROR(AVERAGEIFS(nNOTA,nNIA,AE629,nCUENTA,1,nASIG,"Música de Cámara"),"")))</f>
        <v/>
      </c>
      <c r="AI629" t="str">
        <f>IF(AE629="","",IF(AE629="[FÓRMULA MANUAL]","",IFERROR(SUMPRODUCT((nNIA=AE629)*(nCUENTA=1)*(COUNTIF(CONFIG_ASIGNATURAS!$B$7:$B$27,nASIG)&gt;0)*(nNOTA))/SUMPRODUCT((nNIA=AE629)*(nCUENTA=1)*(COUNTIF(CONFIG_ASIGNATURAS!$B$7:$B$27,nASIG)&gt;0)*1),"")))</f>
        <v/>
      </c>
    </row>
    <row r="630" spans="2:35" x14ac:dyDescent="0.2">
      <c r="B630" t="str">
        <f>IF(A630="","",IF(A630="[FÓRMULA MANUAL]","",IFERROR(AVERAGEIFS(nNOTA,nNIA,A630,nCUENTA,1,nASIG,"Lenguaje Musical"),"")))</f>
        <v/>
      </c>
      <c r="C630" t="str">
        <f>IF(A630="","",IF(A630="[FÓRMULA MANUAL]","",IFERROR(AVERAGEIFS(nNOTA,nNIA,A630,nCUENTA,1,nASIG,"Orquesta/Banda/Conjunto"),"")))</f>
        <v/>
      </c>
      <c r="D630" t="str">
        <f>IF(A630="","",IF(A630="[FÓRMULA MANUAL]","",IFERROR(AVERAGEIFS(nNOTA,nNIA,A630,nCUENTA,1,nASIG,"Conjunto"),"")))</f>
        <v/>
      </c>
      <c r="E630" t="str">
        <f>IF(A630="","",IF(A630="[FÓRMULA MANUAL]","",IFERROR(SUMPRODUCT((nNIA=A630)*(nCUENTA=1)*(COUNTIF(CONFIG_ASIGNATURAS!$B$7:$B$27,nASIG)&gt;0)*(nNOTA))/SUMPRODUCT((nNIA=A630)*(nCUENTA=1)*(COUNTIF(CONFIG_ASIGNATURAS!$B$7:$B$27,nASIG)&gt;0)*1),"")))</f>
        <v/>
      </c>
      <c r="H630" t="str">
        <f>IF(G630="","",IF(G630="[FÓRMULA MANUAL]","",IFERROR(AVERAGEIFS(nNOTA,nNIA,G630,nCUENTA,1,nASIG,"Lenguaje Musical"),"")))</f>
        <v/>
      </c>
      <c r="I630" t="str">
        <f>IF(G630="","",IF(G630="[FÓRMULA MANUAL]","",IFERROR(AVERAGEIFS(nNOTA,nNIA,G630,nCUENTA,1,nASIG,"Orquesta/Banda/Conjunto"),"")))</f>
        <v/>
      </c>
      <c r="J630" t="str">
        <f>IF(G630="","",IF(G630="[FÓRMULA MANUAL]","",IFERROR(AVERAGEIFS(nNOTA,nNIA,G630,nCUENTA,1,nASIG,"Conjunto"),"")))</f>
        <v/>
      </c>
      <c r="K630" t="str">
        <f>IF(G630="","",IF(G630="[FÓRMULA MANUAL]","",IFERROR(SUMPRODUCT((nNIA=G630)*(nCUENTA=1)*(COUNTIF(CONFIG_ASIGNATURAS!$B$7:$B$27,nASIG)&gt;0)*(nNOTA))/SUMPRODUCT((nNIA=G630)*(nCUENTA=1)*(COUNTIF(CONFIG_ASIGNATURAS!$B$7:$B$27,nASIG)&gt;0)*1),"")))</f>
        <v/>
      </c>
      <c r="N630" t="str">
        <f>IF(M630="","",IF(M630="[FÓRMULA MANUAL]","",IFERROR(AVERAGEIFS(nNOTA,nNIA,M630,nCUENTA,1,nASIG,"Armonía"),"")))</f>
        <v/>
      </c>
      <c r="O630" t="str">
        <f>IF(M630="","",IF(M630="[FÓRMULA MANUAL]","",IFERROR(AVERAGEIFS(nNOTA,nNIA,M630,nCUENTA,1,nASIG,"Orquesta/Banda/Conjunto"),"")))</f>
        <v/>
      </c>
      <c r="P630" t="str">
        <f>IF(M630="","",IF(M630="[FÓRMULA MANUAL]","",IFERROR(AVERAGEIFS(nNOTA,nNIA,M630,nCUENTA,1,nASIG,"Música de Cámara"),"")))</f>
        <v/>
      </c>
      <c r="Q630" t="str">
        <f>IF(M630="","",IF(M630="[FÓRMULA MANUAL]","",IFERROR(SUMPRODUCT((nNIA=M630)*(nCUENTA=1)*(COUNTIF(CONFIG_ASIGNATURAS!$B$7:$B$27,nASIG)&gt;0)*(nNOTA))/SUMPRODUCT((nNIA=M630)*(nCUENTA=1)*(COUNTIF(CONFIG_ASIGNATURAS!$B$7:$B$27,nASIG)&gt;0)*1),"")))</f>
        <v/>
      </c>
      <c r="T630" t="str">
        <f>IF(S630="","",IF(S630="[FÓRMULA MANUAL]","",IFERROR(AVERAGEIFS(nNOTA,nNIA,S630,nCUENTA,1,nASIG,"Armonía"),"")))</f>
        <v/>
      </c>
      <c r="U630" t="str">
        <f>IF(S630="","",IF(S630="[FÓRMULA MANUAL]","",IFERROR(AVERAGEIFS(nNOTA,nNIA,S630,nCUENTA,1,nASIG,"Orquesta/Banda/Conjunto"),"")))</f>
        <v/>
      </c>
      <c r="V630" t="str">
        <f>IF(S630="","",IF(S630="[FÓRMULA MANUAL]","",IFERROR(AVERAGEIFS(nNOTA,nNIA,S630,nCUENTA,1,nASIG,"Música de Cámara"),"")))</f>
        <v/>
      </c>
      <c r="W630" t="str">
        <f>IF(S630="","",IF(S630="[FÓRMULA MANUAL]","",IFERROR(SUMPRODUCT((nNIA=S630)*(nCUENTA=1)*(COUNTIF(CONFIG_ASIGNATURAS!$B$7:$B$27,nASIG)&gt;0)*(nNOTA))/SUMPRODUCT((nNIA=S630)*(nCUENTA=1)*(COUNTIF(CONFIG_ASIGNATURAS!$B$7:$B$27,nASIG)&gt;0)*1),"")))</f>
        <v/>
      </c>
      <c r="Z630" t="str">
        <f>IF(Y630="","",IF(Y630="[FÓRMULA MANUAL]","",IFERROR(AVERAGEIFS(nNOTA,nNIA,Y630,nCUENTA,1,nASIG,"Análisis"),"")))</f>
        <v/>
      </c>
      <c r="AA630" t="str">
        <f>IF(Y630="","",IF(Y630="[FÓRMULA MANUAL]","",IFERROR(AVERAGEIFS(nNOTA,nNIA,Y630,nCUENTA,1,nASIG,"Orquesta/Banda/Conjunto"),"")))</f>
        <v/>
      </c>
      <c r="AB630" t="str">
        <f>IF(Y630="","",IF(Y630="[FÓRMULA MANUAL]","",IFERROR(AVERAGEIFS(nNOTA,nNIA,Y630,nCUENTA,1,nASIG,"Música de Cámara"),"")))</f>
        <v/>
      </c>
      <c r="AC630" t="str">
        <f>IF(Y630="","",IF(Y630="[FÓRMULA MANUAL]","",IFERROR(SUMPRODUCT((nNIA=Y630)*(nCUENTA=1)*(COUNTIF(CONFIG_ASIGNATURAS!$B$7:$B$27,nASIG)&gt;0)*(nNOTA))/SUMPRODUCT((nNIA=Y630)*(nCUENTA=1)*(COUNTIF(CONFIG_ASIGNATURAS!$B$7:$B$27,nASIG)&gt;0)*1),"")))</f>
        <v/>
      </c>
      <c r="AF630" t="str">
        <f>IF(AE630="","",IF(AE630="[FÓRMULA MANUAL]","",IFERROR(AVERAGEIFS(nNOTA,nNIA,AE630,nCUENTA,1,nASIG,"Análisis"),"")))</f>
        <v/>
      </c>
      <c r="AG630" t="str">
        <f>IF(AE630="","",IF(AE630="[FÓRMULA MANUAL]","",IFERROR(AVERAGEIFS(nNOTA,nNIA,AE630,nCUENTA,1,nASIG,"Orquesta/Banda/Conjunto"),"")))</f>
        <v/>
      </c>
      <c r="AH630" t="str">
        <f>IF(AE630="","",IF(AE630="[FÓRMULA MANUAL]","",IFERROR(AVERAGEIFS(nNOTA,nNIA,AE630,nCUENTA,1,nASIG,"Música de Cámara"),"")))</f>
        <v/>
      </c>
      <c r="AI630" t="str">
        <f>IF(AE630="","",IF(AE630="[FÓRMULA MANUAL]","",IFERROR(SUMPRODUCT((nNIA=AE630)*(nCUENTA=1)*(COUNTIF(CONFIG_ASIGNATURAS!$B$7:$B$27,nASIG)&gt;0)*(nNOTA))/SUMPRODUCT((nNIA=AE630)*(nCUENTA=1)*(COUNTIF(CONFIG_ASIGNATURAS!$B$7:$B$27,nASIG)&gt;0)*1),"")))</f>
        <v/>
      </c>
    </row>
    <row r="631" spans="2:35" x14ac:dyDescent="0.2">
      <c r="B631" t="str">
        <f>IF(A631="","",IF(A631="[FÓRMULA MANUAL]","",IFERROR(AVERAGEIFS(nNOTA,nNIA,A631,nCUENTA,1,nASIG,"Lenguaje Musical"),"")))</f>
        <v/>
      </c>
      <c r="C631" t="str">
        <f>IF(A631="","",IF(A631="[FÓRMULA MANUAL]","",IFERROR(AVERAGEIFS(nNOTA,nNIA,A631,nCUENTA,1,nASIG,"Orquesta/Banda/Conjunto"),"")))</f>
        <v/>
      </c>
      <c r="D631" t="str">
        <f>IF(A631="","",IF(A631="[FÓRMULA MANUAL]","",IFERROR(AVERAGEIFS(nNOTA,nNIA,A631,nCUENTA,1,nASIG,"Conjunto"),"")))</f>
        <v/>
      </c>
      <c r="E631" t="str">
        <f>IF(A631="","",IF(A631="[FÓRMULA MANUAL]","",IFERROR(SUMPRODUCT((nNIA=A631)*(nCUENTA=1)*(COUNTIF(CONFIG_ASIGNATURAS!$B$7:$B$27,nASIG)&gt;0)*(nNOTA))/SUMPRODUCT((nNIA=A631)*(nCUENTA=1)*(COUNTIF(CONFIG_ASIGNATURAS!$B$7:$B$27,nASIG)&gt;0)*1),"")))</f>
        <v/>
      </c>
      <c r="H631" t="str">
        <f>IF(G631="","",IF(G631="[FÓRMULA MANUAL]","",IFERROR(AVERAGEIFS(nNOTA,nNIA,G631,nCUENTA,1,nASIG,"Lenguaje Musical"),"")))</f>
        <v/>
      </c>
      <c r="I631" t="str">
        <f>IF(G631="","",IF(G631="[FÓRMULA MANUAL]","",IFERROR(AVERAGEIFS(nNOTA,nNIA,G631,nCUENTA,1,nASIG,"Orquesta/Banda/Conjunto"),"")))</f>
        <v/>
      </c>
      <c r="J631" t="str">
        <f>IF(G631="","",IF(G631="[FÓRMULA MANUAL]","",IFERROR(AVERAGEIFS(nNOTA,nNIA,G631,nCUENTA,1,nASIG,"Conjunto"),"")))</f>
        <v/>
      </c>
      <c r="K631" t="str">
        <f>IF(G631="","",IF(G631="[FÓRMULA MANUAL]","",IFERROR(SUMPRODUCT((nNIA=G631)*(nCUENTA=1)*(COUNTIF(CONFIG_ASIGNATURAS!$B$7:$B$27,nASIG)&gt;0)*(nNOTA))/SUMPRODUCT((nNIA=G631)*(nCUENTA=1)*(COUNTIF(CONFIG_ASIGNATURAS!$B$7:$B$27,nASIG)&gt;0)*1),"")))</f>
        <v/>
      </c>
      <c r="N631" t="str">
        <f>IF(M631="","",IF(M631="[FÓRMULA MANUAL]","",IFERROR(AVERAGEIFS(nNOTA,nNIA,M631,nCUENTA,1,nASIG,"Armonía"),"")))</f>
        <v/>
      </c>
      <c r="O631" t="str">
        <f>IF(M631="","",IF(M631="[FÓRMULA MANUAL]","",IFERROR(AVERAGEIFS(nNOTA,nNIA,M631,nCUENTA,1,nASIG,"Orquesta/Banda/Conjunto"),"")))</f>
        <v/>
      </c>
      <c r="P631" t="str">
        <f>IF(M631="","",IF(M631="[FÓRMULA MANUAL]","",IFERROR(AVERAGEIFS(nNOTA,nNIA,M631,nCUENTA,1,nASIG,"Música de Cámara"),"")))</f>
        <v/>
      </c>
      <c r="Q631" t="str">
        <f>IF(M631="","",IF(M631="[FÓRMULA MANUAL]","",IFERROR(SUMPRODUCT((nNIA=M631)*(nCUENTA=1)*(COUNTIF(CONFIG_ASIGNATURAS!$B$7:$B$27,nASIG)&gt;0)*(nNOTA))/SUMPRODUCT((nNIA=M631)*(nCUENTA=1)*(COUNTIF(CONFIG_ASIGNATURAS!$B$7:$B$27,nASIG)&gt;0)*1),"")))</f>
        <v/>
      </c>
      <c r="T631" t="str">
        <f>IF(S631="","",IF(S631="[FÓRMULA MANUAL]","",IFERROR(AVERAGEIFS(nNOTA,nNIA,S631,nCUENTA,1,nASIG,"Armonía"),"")))</f>
        <v/>
      </c>
      <c r="U631" t="str">
        <f>IF(S631="","",IF(S631="[FÓRMULA MANUAL]","",IFERROR(AVERAGEIFS(nNOTA,nNIA,S631,nCUENTA,1,nASIG,"Orquesta/Banda/Conjunto"),"")))</f>
        <v/>
      </c>
      <c r="V631" t="str">
        <f>IF(S631="","",IF(S631="[FÓRMULA MANUAL]","",IFERROR(AVERAGEIFS(nNOTA,nNIA,S631,nCUENTA,1,nASIG,"Música de Cámara"),"")))</f>
        <v/>
      </c>
      <c r="W631" t="str">
        <f>IF(S631="","",IF(S631="[FÓRMULA MANUAL]","",IFERROR(SUMPRODUCT((nNIA=S631)*(nCUENTA=1)*(COUNTIF(CONFIG_ASIGNATURAS!$B$7:$B$27,nASIG)&gt;0)*(nNOTA))/SUMPRODUCT((nNIA=S631)*(nCUENTA=1)*(COUNTIF(CONFIG_ASIGNATURAS!$B$7:$B$27,nASIG)&gt;0)*1),"")))</f>
        <v/>
      </c>
      <c r="Z631" t="str">
        <f>IF(Y631="","",IF(Y631="[FÓRMULA MANUAL]","",IFERROR(AVERAGEIFS(nNOTA,nNIA,Y631,nCUENTA,1,nASIG,"Análisis"),"")))</f>
        <v/>
      </c>
      <c r="AA631" t="str">
        <f>IF(Y631="","",IF(Y631="[FÓRMULA MANUAL]","",IFERROR(AVERAGEIFS(nNOTA,nNIA,Y631,nCUENTA,1,nASIG,"Orquesta/Banda/Conjunto"),"")))</f>
        <v/>
      </c>
      <c r="AB631" t="str">
        <f>IF(Y631="","",IF(Y631="[FÓRMULA MANUAL]","",IFERROR(AVERAGEIFS(nNOTA,nNIA,Y631,nCUENTA,1,nASIG,"Música de Cámara"),"")))</f>
        <v/>
      </c>
      <c r="AC631" t="str">
        <f>IF(Y631="","",IF(Y631="[FÓRMULA MANUAL]","",IFERROR(SUMPRODUCT((nNIA=Y631)*(nCUENTA=1)*(COUNTIF(CONFIG_ASIGNATURAS!$B$7:$B$27,nASIG)&gt;0)*(nNOTA))/SUMPRODUCT((nNIA=Y631)*(nCUENTA=1)*(COUNTIF(CONFIG_ASIGNATURAS!$B$7:$B$27,nASIG)&gt;0)*1),"")))</f>
        <v/>
      </c>
      <c r="AF631" t="str">
        <f>IF(AE631="","",IF(AE631="[FÓRMULA MANUAL]","",IFERROR(AVERAGEIFS(nNOTA,nNIA,AE631,nCUENTA,1,nASIG,"Análisis"),"")))</f>
        <v/>
      </c>
      <c r="AG631" t="str">
        <f>IF(AE631="","",IF(AE631="[FÓRMULA MANUAL]","",IFERROR(AVERAGEIFS(nNOTA,nNIA,AE631,nCUENTA,1,nASIG,"Orquesta/Banda/Conjunto"),"")))</f>
        <v/>
      </c>
      <c r="AH631" t="str">
        <f>IF(AE631="","",IF(AE631="[FÓRMULA MANUAL]","",IFERROR(AVERAGEIFS(nNOTA,nNIA,AE631,nCUENTA,1,nASIG,"Música de Cámara"),"")))</f>
        <v/>
      </c>
      <c r="AI631" t="str">
        <f>IF(AE631="","",IF(AE631="[FÓRMULA MANUAL]","",IFERROR(SUMPRODUCT((nNIA=AE631)*(nCUENTA=1)*(COUNTIF(CONFIG_ASIGNATURAS!$B$7:$B$27,nASIG)&gt;0)*(nNOTA))/SUMPRODUCT((nNIA=AE631)*(nCUENTA=1)*(COUNTIF(CONFIG_ASIGNATURAS!$B$7:$B$27,nASIG)&gt;0)*1),"")))</f>
        <v/>
      </c>
    </row>
    <row r="632" spans="2:35" x14ac:dyDescent="0.2">
      <c r="B632" t="str">
        <f>IF(A632="","",IF(A632="[FÓRMULA MANUAL]","",IFERROR(AVERAGEIFS(nNOTA,nNIA,A632,nCUENTA,1,nASIG,"Lenguaje Musical"),"")))</f>
        <v/>
      </c>
      <c r="C632" t="str">
        <f>IF(A632="","",IF(A632="[FÓRMULA MANUAL]","",IFERROR(AVERAGEIFS(nNOTA,nNIA,A632,nCUENTA,1,nASIG,"Orquesta/Banda/Conjunto"),"")))</f>
        <v/>
      </c>
      <c r="D632" t="str">
        <f>IF(A632="","",IF(A632="[FÓRMULA MANUAL]","",IFERROR(AVERAGEIFS(nNOTA,nNIA,A632,nCUENTA,1,nASIG,"Conjunto"),"")))</f>
        <v/>
      </c>
      <c r="E632" t="str">
        <f>IF(A632="","",IF(A632="[FÓRMULA MANUAL]","",IFERROR(SUMPRODUCT((nNIA=A632)*(nCUENTA=1)*(COUNTIF(CONFIG_ASIGNATURAS!$B$7:$B$27,nASIG)&gt;0)*(nNOTA))/SUMPRODUCT((nNIA=A632)*(nCUENTA=1)*(COUNTIF(CONFIG_ASIGNATURAS!$B$7:$B$27,nASIG)&gt;0)*1),"")))</f>
        <v/>
      </c>
      <c r="H632" t="str">
        <f>IF(G632="","",IF(G632="[FÓRMULA MANUAL]","",IFERROR(AVERAGEIFS(nNOTA,nNIA,G632,nCUENTA,1,nASIG,"Lenguaje Musical"),"")))</f>
        <v/>
      </c>
      <c r="I632" t="str">
        <f>IF(G632="","",IF(G632="[FÓRMULA MANUAL]","",IFERROR(AVERAGEIFS(nNOTA,nNIA,G632,nCUENTA,1,nASIG,"Orquesta/Banda/Conjunto"),"")))</f>
        <v/>
      </c>
      <c r="J632" t="str">
        <f>IF(G632="","",IF(G632="[FÓRMULA MANUAL]","",IFERROR(AVERAGEIFS(nNOTA,nNIA,G632,nCUENTA,1,nASIG,"Conjunto"),"")))</f>
        <v/>
      </c>
      <c r="K632" t="str">
        <f>IF(G632="","",IF(G632="[FÓRMULA MANUAL]","",IFERROR(SUMPRODUCT((nNIA=G632)*(nCUENTA=1)*(COUNTIF(CONFIG_ASIGNATURAS!$B$7:$B$27,nASIG)&gt;0)*(nNOTA))/SUMPRODUCT((nNIA=G632)*(nCUENTA=1)*(COUNTIF(CONFIG_ASIGNATURAS!$B$7:$B$27,nASIG)&gt;0)*1),"")))</f>
        <v/>
      </c>
      <c r="N632" t="str">
        <f>IF(M632="","",IF(M632="[FÓRMULA MANUAL]","",IFERROR(AVERAGEIFS(nNOTA,nNIA,M632,nCUENTA,1,nASIG,"Armonía"),"")))</f>
        <v/>
      </c>
      <c r="O632" t="str">
        <f>IF(M632="","",IF(M632="[FÓRMULA MANUAL]","",IFERROR(AVERAGEIFS(nNOTA,nNIA,M632,nCUENTA,1,nASIG,"Orquesta/Banda/Conjunto"),"")))</f>
        <v/>
      </c>
      <c r="P632" t="str">
        <f>IF(M632="","",IF(M632="[FÓRMULA MANUAL]","",IFERROR(AVERAGEIFS(nNOTA,nNIA,M632,nCUENTA,1,nASIG,"Música de Cámara"),"")))</f>
        <v/>
      </c>
      <c r="Q632" t="str">
        <f>IF(M632="","",IF(M632="[FÓRMULA MANUAL]","",IFERROR(SUMPRODUCT((nNIA=M632)*(nCUENTA=1)*(COUNTIF(CONFIG_ASIGNATURAS!$B$7:$B$27,nASIG)&gt;0)*(nNOTA))/SUMPRODUCT((nNIA=M632)*(nCUENTA=1)*(COUNTIF(CONFIG_ASIGNATURAS!$B$7:$B$27,nASIG)&gt;0)*1),"")))</f>
        <v/>
      </c>
      <c r="T632" t="str">
        <f>IF(S632="","",IF(S632="[FÓRMULA MANUAL]","",IFERROR(AVERAGEIFS(nNOTA,nNIA,S632,nCUENTA,1,nASIG,"Armonía"),"")))</f>
        <v/>
      </c>
      <c r="U632" t="str">
        <f>IF(S632="","",IF(S632="[FÓRMULA MANUAL]","",IFERROR(AVERAGEIFS(nNOTA,nNIA,S632,nCUENTA,1,nASIG,"Orquesta/Banda/Conjunto"),"")))</f>
        <v/>
      </c>
      <c r="V632" t="str">
        <f>IF(S632="","",IF(S632="[FÓRMULA MANUAL]","",IFERROR(AVERAGEIFS(nNOTA,nNIA,S632,nCUENTA,1,nASIG,"Música de Cámara"),"")))</f>
        <v/>
      </c>
      <c r="W632" t="str">
        <f>IF(S632="","",IF(S632="[FÓRMULA MANUAL]","",IFERROR(SUMPRODUCT((nNIA=S632)*(nCUENTA=1)*(COUNTIF(CONFIG_ASIGNATURAS!$B$7:$B$27,nASIG)&gt;0)*(nNOTA))/SUMPRODUCT((nNIA=S632)*(nCUENTA=1)*(COUNTIF(CONFIG_ASIGNATURAS!$B$7:$B$27,nASIG)&gt;0)*1),"")))</f>
        <v/>
      </c>
      <c r="Z632" t="str">
        <f>IF(Y632="","",IF(Y632="[FÓRMULA MANUAL]","",IFERROR(AVERAGEIFS(nNOTA,nNIA,Y632,nCUENTA,1,nASIG,"Análisis"),"")))</f>
        <v/>
      </c>
      <c r="AA632" t="str">
        <f>IF(Y632="","",IF(Y632="[FÓRMULA MANUAL]","",IFERROR(AVERAGEIFS(nNOTA,nNIA,Y632,nCUENTA,1,nASIG,"Orquesta/Banda/Conjunto"),"")))</f>
        <v/>
      </c>
      <c r="AB632" t="str">
        <f>IF(Y632="","",IF(Y632="[FÓRMULA MANUAL]","",IFERROR(AVERAGEIFS(nNOTA,nNIA,Y632,nCUENTA,1,nASIG,"Música de Cámara"),"")))</f>
        <v/>
      </c>
      <c r="AC632" t="str">
        <f>IF(Y632="","",IF(Y632="[FÓRMULA MANUAL]","",IFERROR(SUMPRODUCT((nNIA=Y632)*(nCUENTA=1)*(COUNTIF(CONFIG_ASIGNATURAS!$B$7:$B$27,nASIG)&gt;0)*(nNOTA))/SUMPRODUCT((nNIA=Y632)*(nCUENTA=1)*(COUNTIF(CONFIG_ASIGNATURAS!$B$7:$B$27,nASIG)&gt;0)*1),"")))</f>
        <v/>
      </c>
      <c r="AF632" t="str">
        <f>IF(AE632="","",IF(AE632="[FÓRMULA MANUAL]","",IFERROR(AVERAGEIFS(nNOTA,nNIA,AE632,nCUENTA,1,nASIG,"Análisis"),"")))</f>
        <v/>
      </c>
      <c r="AG632" t="str">
        <f>IF(AE632="","",IF(AE632="[FÓRMULA MANUAL]","",IFERROR(AVERAGEIFS(nNOTA,nNIA,AE632,nCUENTA,1,nASIG,"Orquesta/Banda/Conjunto"),"")))</f>
        <v/>
      </c>
      <c r="AH632" t="str">
        <f>IF(AE632="","",IF(AE632="[FÓRMULA MANUAL]","",IFERROR(AVERAGEIFS(nNOTA,nNIA,AE632,nCUENTA,1,nASIG,"Música de Cámara"),"")))</f>
        <v/>
      </c>
      <c r="AI632" t="str">
        <f>IF(AE632="","",IF(AE632="[FÓRMULA MANUAL]","",IFERROR(SUMPRODUCT((nNIA=AE632)*(nCUENTA=1)*(COUNTIF(CONFIG_ASIGNATURAS!$B$7:$B$27,nASIG)&gt;0)*(nNOTA))/SUMPRODUCT((nNIA=AE632)*(nCUENTA=1)*(COUNTIF(CONFIG_ASIGNATURAS!$B$7:$B$27,nASIG)&gt;0)*1),"")))</f>
        <v/>
      </c>
    </row>
    <row r="633" spans="2:35" x14ac:dyDescent="0.2">
      <c r="B633" t="str">
        <f>IF(A633="","",IF(A633="[FÓRMULA MANUAL]","",IFERROR(AVERAGEIFS(nNOTA,nNIA,A633,nCUENTA,1,nASIG,"Lenguaje Musical"),"")))</f>
        <v/>
      </c>
      <c r="C633" t="str">
        <f>IF(A633="","",IF(A633="[FÓRMULA MANUAL]","",IFERROR(AVERAGEIFS(nNOTA,nNIA,A633,nCUENTA,1,nASIG,"Orquesta/Banda/Conjunto"),"")))</f>
        <v/>
      </c>
      <c r="D633" t="str">
        <f>IF(A633="","",IF(A633="[FÓRMULA MANUAL]","",IFERROR(AVERAGEIFS(nNOTA,nNIA,A633,nCUENTA,1,nASIG,"Conjunto"),"")))</f>
        <v/>
      </c>
      <c r="E633" t="str">
        <f>IF(A633="","",IF(A633="[FÓRMULA MANUAL]","",IFERROR(SUMPRODUCT((nNIA=A633)*(nCUENTA=1)*(COUNTIF(CONFIG_ASIGNATURAS!$B$7:$B$27,nASIG)&gt;0)*(nNOTA))/SUMPRODUCT((nNIA=A633)*(nCUENTA=1)*(COUNTIF(CONFIG_ASIGNATURAS!$B$7:$B$27,nASIG)&gt;0)*1),"")))</f>
        <v/>
      </c>
      <c r="H633" t="str">
        <f>IF(G633="","",IF(G633="[FÓRMULA MANUAL]","",IFERROR(AVERAGEIFS(nNOTA,nNIA,G633,nCUENTA,1,nASIG,"Lenguaje Musical"),"")))</f>
        <v/>
      </c>
      <c r="I633" t="str">
        <f>IF(G633="","",IF(G633="[FÓRMULA MANUAL]","",IFERROR(AVERAGEIFS(nNOTA,nNIA,G633,nCUENTA,1,nASIG,"Orquesta/Banda/Conjunto"),"")))</f>
        <v/>
      </c>
      <c r="J633" t="str">
        <f>IF(G633="","",IF(G633="[FÓRMULA MANUAL]","",IFERROR(AVERAGEIFS(nNOTA,nNIA,G633,nCUENTA,1,nASIG,"Conjunto"),"")))</f>
        <v/>
      </c>
      <c r="K633" t="str">
        <f>IF(G633="","",IF(G633="[FÓRMULA MANUAL]","",IFERROR(SUMPRODUCT((nNIA=G633)*(nCUENTA=1)*(COUNTIF(CONFIG_ASIGNATURAS!$B$7:$B$27,nASIG)&gt;0)*(nNOTA))/SUMPRODUCT((nNIA=G633)*(nCUENTA=1)*(COUNTIF(CONFIG_ASIGNATURAS!$B$7:$B$27,nASIG)&gt;0)*1),"")))</f>
        <v/>
      </c>
      <c r="N633" t="str">
        <f>IF(M633="","",IF(M633="[FÓRMULA MANUAL]","",IFERROR(AVERAGEIFS(nNOTA,nNIA,M633,nCUENTA,1,nASIG,"Armonía"),"")))</f>
        <v/>
      </c>
      <c r="O633" t="str">
        <f>IF(M633="","",IF(M633="[FÓRMULA MANUAL]","",IFERROR(AVERAGEIFS(nNOTA,nNIA,M633,nCUENTA,1,nASIG,"Orquesta/Banda/Conjunto"),"")))</f>
        <v/>
      </c>
      <c r="P633" t="str">
        <f>IF(M633="","",IF(M633="[FÓRMULA MANUAL]","",IFERROR(AVERAGEIFS(nNOTA,nNIA,M633,nCUENTA,1,nASIG,"Música de Cámara"),"")))</f>
        <v/>
      </c>
      <c r="Q633" t="str">
        <f>IF(M633="","",IF(M633="[FÓRMULA MANUAL]","",IFERROR(SUMPRODUCT((nNIA=M633)*(nCUENTA=1)*(COUNTIF(CONFIG_ASIGNATURAS!$B$7:$B$27,nASIG)&gt;0)*(nNOTA))/SUMPRODUCT((nNIA=M633)*(nCUENTA=1)*(COUNTIF(CONFIG_ASIGNATURAS!$B$7:$B$27,nASIG)&gt;0)*1),"")))</f>
        <v/>
      </c>
      <c r="T633" t="str">
        <f>IF(S633="","",IF(S633="[FÓRMULA MANUAL]","",IFERROR(AVERAGEIFS(nNOTA,nNIA,S633,nCUENTA,1,nASIG,"Armonía"),"")))</f>
        <v/>
      </c>
      <c r="U633" t="str">
        <f>IF(S633="","",IF(S633="[FÓRMULA MANUAL]","",IFERROR(AVERAGEIFS(nNOTA,nNIA,S633,nCUENTA,1,nASIG,"Orquesta/Banda/Conjunto"),"")))</f>
        <v/>
      </c>
      <c r="V633" t="str">
        <f>IF(S633="","",IF(S633="[FÓRMULA MANUAL]","",IFERROR(AVERAGEIFS(nNOTA,nNIA,S633,nCUENTA,1,nASIG,"Música de Cámara"),"")))</f>
        <v/>
      </c>
      <c r="W633" t="str">
        <f>IF(S633="","",IF(S633="[FÓRMULA MANUAL]","",IFERROR(SUMPRODUCT((nNIA=S633)*(nCUENTA=1)*(COUNTIF(CONFIG_ASIGNATURAS!$B$7:$B$27,nASIG)&gt;0)*(nNOTA))/SUMPRODUCT((nNIA=S633)*(nCUENTA=1)*(COUNTIF(CONFIG_ASIGNATURAS!$B$7:$B$27,nASIG)&gt;0)*1),"")))</f>
        <v/>
      </c>
      <c r="Z633" t="str">
        <f>IF(Y633="","",IF(Y633="[FÓRMULA MANUAL]","",IFERROR(AVERAGEIFS(nNOTA,nNIA,Y633,nCUENTA,1,nASIG,"Análisis"),"")))</f>
        <v/>
      </c>
      <c r="AA633" t="str">
        <f>IF(Y633="","",IF(Y633="[FÓRMULA MANUAL]","",IFERROR(AVERAGEIFS(nNOTA,nNIA,Y633,nCUENTA,1,nASIG,"Orquesta/Banda/Conjunto"),"")))</f>
        <v/>
      </c>
      <c r="AB633" t="str">
        <f>IF(Y633="","",IF(Y633="[FÓRMULA MANUAL]","",IFERROR(AVERAGEIFS(nNOTA,nNIA,Y633,nCUENTA,1,nASIG,"Música de Cámara"),"")))</f>
        <v/>
      </c>
      <c r="AC633" t="str">
        <f>IF(Y633="","",IF(Y633="[FÓRMULA MANUAL]","",IFERROR(SUMPRODUCT((nNIA=Y633)*(nCUENTA=1)*(COUNTIF(CONFIG_ASIGNATURAS!$B$7:$B$27,nASIG)&gt;0)*(nNOTA))/SUMPRODUCT((nNIA=Y633)*(nCUENTA=1)*(COUNTIF(CONFIG_ASIGNATURAS!$B$7:$B$27,nASIG)&gt;0)*1),"")))</f>
        <v/>
      </c>
      <c r="AF633" t="str">
        <f>IF(AE633="","",IF(AE633="[FÓRMULA MANUAL]","",IFERROR(AVERAGEIFS(nNOTA,nNIA,AE633,nCUENTA,1,nASIG,"Análisis"),"")))</f>
        <v/>
      </c>
      <c r="AG633" t="str">
        <f>IF(AE633="","",IF(AE633="[FÓRMULA MANUAL]","",IFERROR(AVERAGEIFS(nNOTA,nNIA,AE633,nCUENTA,1,nASIG,"Orquesta/Banda/Conjunto"),"")))</f>
        <v/>
      </c>
      <c r="AH633" t="str">
        <f>IF(AE633="","",IF(AE633="[FÓRMULA MANUAL]","",IFERROR(AVERAGEIFS(nNOTA,nNIA,AE633,nCUENTA,1,nASIG,"Música de Cámara"),"")))</f>
        <v/>
      </c>
      <c r="AI633" t="str">
        <f>IF(AE633="","",IF(AE633="[FÓRMULA MANUAL]","",IFERROR(SUMPRODUCT((nNIA=AE633)*(nCUENTA=1)*(COUNTIF(CONFIG_ASIGNATURAS!$B$7:$B$27,nASIG)&gt;0)*(nNOTA))/SUMPRODUCT((nNIA=AE633)*(nCUENTA=1)*(COUNTIF(CONFIG_ASIGNATURAS!$B$7:$B$27,nASIG)&gt;0)*1),"")))</f>
        <v/>
      </c>
    </row>
    <row r="634" spans="2:35" x14ac:dyDescent="0.2">
      <c r="B634" t="str">
        <f>IF(A634="","",IF(A634="[FÓRMULA MANUAL]","",IFERROR(AVERAGEIFS(nNOTA,nNIA,A634,nCUENTA,1,nASIG,"Lenguaje Musical"),"")))</f>
        <v/>
      </c>
      <c r="C634" t="str">
        <f>IF(A634="","",IF(A634="[FÓRMULA MANUAL]","",IFERROR(AVERAGEIFS(nNOTA,nNIA,A634,nCUENTA,1,nASIG,"Orquesta/Banda/Conjunto"),"")))</f>
        <v/>
      </c>
      <c r="D634" t="str">
        <f>IF(A634="","",IF(A634="[FÓRMULA MANUAL]","",IFERROR(AVERAGEIFS(nNOTA,nNIA,A634,nCUENTA,1,nASIG,"Conjunto"),"")))</f>
        <v/>
      </c>
      <c r="E634" t="str">
        <f>IF(A634="","",IF(A634="[FÓRMULA MANUAL]","",IFERROR(SUMPRODUCT((nNIA=A634)*(nCUENTA=1)*(COUNTIF(CONFIG_ASIGNATURAS!$B$7:$B$27,nASIG)&gt;0)*(nNOTA))/SUMPRODUCT((nNIA=A634)*(nCUENTA=1)*(COUNTIF(CONFIG_ASIGNATURAS!$B$7:$B$27,nASIG)&gt;0)*1),"")))</f>
        <v/>
      </c>
      <c r="H634" t="str">
        <f>IF(G634="","",IF(G634="[FÓRMULA MANUAL]","",IFERROR(AVERAGEIFS(nNOTA,nNIA,G634,nCUENTA,1,nASIG,"Lenguaje Musical"),"")))</f>
        <v/>
      </c>
      <c r="I634" t="str">
        <f>IF(G634="","",IF(G634="[FÓRMULA MANUAL]","",IFERROR(AVERAGEIFS(nNOTA,nNIA,G634,nCUENTA,1,nASIG,"Orquesta/Banda/Conjunto"),"")))</f>
        <v/>
      </c>
      <c r="J634" t="str">
        <f>IF(G634="","",IF(G634="[FÓRMULA MANUAL]","",IFERROR(AVERAGEIFS(nNOTA,nNIA,G634,nCUENTA,1,nASIG,"Conjunto"),"")))</f>
        <v/>
      </c>
      <c r="K634" t="str">
        <f>IF(G634="","",IF(G634="[FÓRMULA MANUAL]","",IFERROR(SUMPRODUCT((nNIA=G634)*(nCUENTA=1)*(COUNTIF(CONFIG_ASIGNATURAS!$B$7:$B$27,nASIG)&gt;0)*(nNOTA))/SUMPRODUCT((nNIA=G634)*(nCUENTA=1)*(COUNTIF(CONFIG_ASIGNATURAS!$B$7:$B$27,nASIG)&gt;0)*1),"")))</f>
        <v/>
      </c>
      <c r="N634" t="str">
        <f>IF(M634="","",IF(M634="[FÓRMULA MANUAL]","",IFERROR(AVERAGEIFS(nNOTA,nNIA,M634,nCUENTA,1,nASIG,"Armonía"),"")))</f>
        <v/>
      </c>
      <c r="O634" t="str">
        <f>IF(M634="","",IF(M634="[FÓRMULA MANUAL]","",IFERROR(AVERAGEIFS(nNOTA,nNIA,M634,nCUENTA,1,nASIG,"Orquesta/Banda/Conjunto"),"")))</f>
        <v/>
      </c>
      <c r="P634" t="str">
        <f>IF(M634="","",IF(M634="[FÓRMULA MANUAL]","",IFERROR(AVERAGEIFS(nNOTA,nNIA,M634,nCUENTA,1,nASIG,"Música de Cámara"),"")))</f>
        <v/>
      </c>
      <c r="Q634" t="str">
        <f>IF(M634="","",IF(M634="[FÓRMULA MANUAL]","",IFERROR(SUMPRODUCT((nNIA=M634)*(nCUENTA=1)*(COUNTIF(CONFIG_ASIGNATURAS!$B$7:$B$27,nASIG)&gt;0)*(nNOTA))/SUMPRODUCT((nNIA=M634)*(nCUENTA=1)*(COUNTIF(CONFIG_ASIGNATURAS!$B$7:$B$27,nASIG)&gt;0)*1),"")))</f>
        <v/>
      </c>
      <c r="T634" t="str">
        <f>IF(S634="","",IF(S634="[FÓRMULA MANUAL]","",IFERROR(AVERAGEIFS(nNOTA,nNIA,S634,nCUENTA,1,nASIG,"Armonía"),"")))</f>
        <v/>
      </c>
      <c r="U634" t="str">
        <f>IF(S634="","",IF(S634="[FÓRMULA MANUAL]","",IFERROR(AVERAGEIFS(nNOTA,nNIA,S634,nCUENTA,1,nASIG,"Orquesta/Banda/Conjunto"),"")))</f>
        <v/>
      </c>
      <c r="V634" t="str">
        <f>IF(S634="","",IF(S634="[FÓRMULA MANUAL]","",IFERROR(AVERAGEIFS(nNOTA,nNIA,S634,nCUENTA,1,nASIG,"Música de Cámara"),"")))</f>
        <v/>
      </c>
      <c r="W634" t="str">
        <f>IF(S634="","",IF(S634="[FÓRMULA MANUAL]","",IFERROR(SUMPRODUCT((nNIA=S634)*(nCUENTA=1)*(COUNTIF(CONFIG_ASIGNATURAS!$B$7:$B$27,nASIG)&gt;0)*(nNOTA))/SUMPRODUCT((nNIA=S634)*(nCUENTA=1)*(COUNTIF(CONFIG_ASIGNATURAS!$B$7:$B$27,nASIG)&gt;0)*1),"")))</f>
        <v/>
      </c>
      <c r="Z634" t="str">
        <f>IF(Y634="","",IF(Y634="[FÓRMULA MANUAL]","",IFERROR(AVERAGEIFS(nNOTA,nNIA,Y634,nCUENTA,1,nASIG,"Análisis"),"")))</f>
        <v/>
      </c>
      <c r="AA634" t="str">
        <f>IF(Y634="","",IF(Y634="[FÓRMULA MANUAL]","",IFERROR(AVERAGEIFS(nNOTA,nNIA,Y634,nCUENTA,1,nASIG,"Orquesta/Banda/Conjunto"),"")))</f>
        <v/>
      </c>
      <c r="AB634" t="str">
        <f>IF(Y634="","",IF(Y634="[FÓRMULA MANUAL]","",IFERROR(AVERAGEIFS(nNOTA,nNIA,Y634,nCUENTA,1,nASIG,"Música de Cámara"),"")))</f>
        <v/>
      </c>
      <c r="AC634" t="str">
        <f>IF(Y634="","",IF(Y634="[FÓRMULA MANUAL]","",IFERROR(SUMPRODUCT((nNIA=Y634)*(nCUENTA=1)*(COUNTIF(CONFIG_ASIGNATURAS!$B$7:$B$27,nASIG)&gt;0)*(nNOTA))/SUMPRODUCT((nNIA=Y634)*(nCUENTA=1)*(COUNTIF(CONFIG_ASIGNATURAS!$B$7:$B$27,nASIG)&gt;0)*1),"")))</f>
        <v/>
      </c>
      <c r="AF634" t="str">
        <f>IF(AE634="","",IF(AE634="[FÓRMULA MANUAL]","",IFERROR(AVERAGEIFS(nNOTA,nNIA,AE634,nCUENTA,1,nASIG,"Análisis"),"")))</f>
        <v/>
      </c>
      <c r="AG634" t="str">
        <f>IF(AE634="","",IF(AE634="[FÓRMULA MANUAL]","",IFERROR(AVERAGEIFS(nNOTA,nNIA,AE634,nCUENTA,1,nASIG,"Orquesta/Banda/Conjunto"),"")))</f>
        <v/>
      </c>
      <c r="AH634" t="str">
        <f>IF(AE634="","",IF(AE634="[FÓRMULA MANUAL]","",IFERROR(AVERAGEIFS(nNOTA,nNIA,AE634,nCUENTA,1,nASIG,"Música de Cámara"),"")))</f>
        <v/>
      </c>
      <c r="AI634" t="str">
        <f>IF(AE634="","",IF(AE634="[FÓRMULA MANUAL]","",IFERROR(SUMPRODUCT((nNIA=AE634)*(nCUENTA=1)*(COUNTIF(CONFIG_ASIGNATURAS!$B$7:$B$27,nASIG)&gt;0)*(nNOTA))/SUMPRODUCT((nNIA=AE634)*(nCUENTA=1)*(COUNTIF(CONFIG_ASIGNATURAS!$B$7:$B$27,nASIG)&gt;0)*1),"")))</f>
        <v/>
      </c>
    </row>
    <row r="635" spans="2:35" x14ac:dyDescent="0.2">
      <c r="B635" t="str">
        <f>IF(A635="","",IF(A635="[FÓRMULA MANUAL]","",IFERROR(AVERAGEIFS(nNOTA,nNIA,A635,nCUENTA,1,nASIG,"Lenguaje Musical"),"")))</f>
        <v/>
      </c>
      <c r="C635" t="str">
        <f>IF(A635="","",IF(A635="[FÓRMULA MANUAL]","",IFERROR(AVERAGEIFS(nNOTA,nNIA,A635,nCUENTA,1,nASIG,"Orquesta/Banda/Conjunto"),"")))</f>
        <v/>
      </c>
      <c r="D635" t="str">
        <f>IF(A635="","",IF(A635="[FÓRMULA MANUAL]","",IFERROR(AVERAGEIFS(nNOTA,nNIA,A635,nCUENTA,1,nASIG,"Conjunto"),"")))</f>
        <v/>
      </c>
      <c r="E635" t="str">
        <f>IF(A635="","",IF(A635="[FÓRMULA MANUAL]","",IFERROR(SUMPRODUCT((nNIA=A635)*(nCUENTA=1)*(COUNTIF(CONFIG_ASIGNATURAS!$B$7:$B$27,nASIG)&gt;0)*(nNOTA))/SUMPRODUCT((nNIA=A635)*(nCUENTA=1)*(COUNTIF(CONFIG_ASIGNATURAS!$B$7:$B$27,nASIG)&gt;0)*1),"")))</f>
        <v/>
      </c>
      <c r="H635" t="str">
        <f>IF(G635="","",IF(G635="[FÓRMULA MANUAL]","",IFERROR(AVERAGEIFS(nNOTA,nNIA,G635,nCUENTA,1,nASIG,"Lenguaje Musical"),"")))</f>
        <v/>
      </c>
      <c r="I635" t="str">
        <f>IF(G635="","",IF(G635="[FÓRMULA MANUAL]","",IFERROR(AVERAGEIFS(nNOTA,nNIA,G635,nCUENTA,1,nASIG,"Orquesta/Banda/Conjunto"),"")))</f>
        <v/>
      </c>
      <c r="J635" t="str">
        <f>IF(G635="","",IF(G635="[FÓRMULA MANUAL]","",IFERROR(AVERAGEIFS(nNOTA,nNIA,G635,nCUENTA,1,nASIG,"Conjunto"),"")))</f>
        <v/>
      </c>
      <c r="K635" t="str">
        <f>IF(G635="","",IF(G635="[FÓRMULA MANUAL]","",IFERROR(SUMPRODUCT((nNIA=G635)*(nCUENTA=1)*(COUNTIF(CONFIG_ASIGNATURAS!$B$7:$B$27,nASIG)&gt;0)*(nNOTA))/SUMPRODUCT((nNIA=G635)*(nCUENTA=1)*(COUNTIF(CONFIG_ASIGNATURAS!$B$7:$B$27,nASIG)&gt;0)*1),"")))</f>
        <v/>
      </c>
      <c r="N635" t="str">
        <f>IF(M635="","",IF(M635="[FÓRMULA MANUAL]","",IFERROR(AVERAGEIFS(nNOTA,nNIA,M635,nCUENTA,1,nASIG,"Armonía"),"")))</f>
        <v/>
      </c>
      <c r="O635" t="str">
        <f>IF(M635="","",IF(M635="[FÓRMULA MANUAL]","",IFERROR(AVERAGEIFS(nNOTA,nNIA,M635,nCUENTA,1,nASIG,"Orquesta/Banda/Conjunto"),"")))</f>
        <v/>
      </c>
      <c r="P635" t="str">
        <f>IF(M635="","",IF(M635="[FÓRMULA MANUAL]","",IFERROR(AVERAGEIFS(nNOTA,nNIA,M635,nCUENTA,1,nASIG,"Música de Cámara"),"")))</f>
        <v/>
      </c>
      <c r="Q635" t="str">
        <f>IF(M635="","",IF(M635="[FÓRMULA MANUAL]","",IFERROR(SUMPRODUCT((nNIA=M635)*(nCUENTA=1)*(COUNTIF(CONFIG_ASIGNATURAS!$B$7:$B$27,nASIG)&gt;0)*(nNOTA))/SUMPRODUCT((nNIA=M635)*(nCUENTA=1)*(COUNTIF(CONFIG_ASIGNATURAS!$B$7:$B$27,nASIG)&gt;0)*1),"")))</f>
        <v/>
      </c>
      <c r="T635" t="str">
        <f>IF(S635="","",IF(S635="[FÓRMULA MANUAL]","",IFERROR(AVERAGEIFS(nNOTA,nNIA,S635,nCUENTA,1,nASIG,"Armonía"),"")))</f>
        <v/>
      </c>
      <c r="U635" t="str">
        <f>IF(S635="","",IF(S635="[FÓRMULA MANUAL]","",IFERROR(AVERAGEIFS(nNOTA,nNIA,S635,nCUENTA,1,nASIG,"Orquesta/Banda/Conjunto"),"")))</f>
        <v/>
      </c>
      <c r="V635" t="str">
        <f>IF(S635="","",IF(S635="[FÓRMULA MANUAL]","",IFERROR(AVERAGEIFS(nNOTA,nNIA,S635,nCUENTA,1,nASIG,"Música de Cámara"),"")))</f>
        <v/>
      </c>
      <c r="W635" t="str">
        <f>IF(S635="","",IF(S635="[FÓRMULA MANUAL]","",IFERROR(SUMPRODUCT((nNIA=S635)*(nCUENTA=1)*(COUNTIF(CONFIG_ASIGNATURAS!$B$7:$B$27,nASIG)&gt;0)*(nNOTA))/SUMPRODUCT((nNIA=S635)*(nCUENTA=1)*(COUNTIF(CONFIG_ASIGNATURAS!$B$7:$B$27,nASIG)&gt;0)*1),"")))</f>
        <v/>
      </c>
      <c r="Z635" t="str">
        <f>IF(Y635="","",IF(Y635="[FÓRMULA MANUAL]","",IFERROR(AVERAGEIFS(nNOTA,nNIA,Y635,nCUENTA,1,nASIG,"Análisis"),"")))</f>
        <v/>
      </c>
      <c r="AA635" t="str">
        <f>IF(Y635="","",IF(Y635="[FÓRMULA MANUAL]","",IFERROR(AVERAGEIFS(nNOTA,nNIA,Y635,nCUENTA,1,nASIG,"Orquesta/Banda/Conjunto"),"")))</f>
        <v/>
      </c>
      <c r="AB635" t="str">
        <f>IF(Y635="","",IF(Y635="[FÓRMULA MANUAL]","",IFERROR(AVERAGEIFS(nNOTA,nNIA,Y635,nCUENTA,1,nASIG,"Música de Cámara"),"")))</f>
        <v/>
      </c>
      <c r="AC635" t="str">
        <f>IF(Y635="","",IF(Y635="[FÓRMULA MANUAL]","",IFERROR(SUMPRODUCT((nNIA=Y635)*(nCUENTA=1)*(COUNTIF(CONFIG_ASIGNATURAS!$B$7:$B$27,nASIG)&gt;0)*(nNOTA))/SUMPRODUCT((nNIA=Y635)*(nCUENTA=1)*(COUNTIF(CONFIG_ASIGNATURAS!$B$7:$B$27,nASIG)&gt;0)*1),"")))</f>
        <v/>
      </c>
      <c r="AF635" t="str">
        <f>IF(AE635="","",IF(AE635="[FÓRMULA MANUAL]","",IFERROR(AVERAGEIFS(nNOTA,nNIA,AE635,nCUENTA,1,nASIG,"Análisis"),"")))</f>
        <v/>
      </c>
      <c r="AG635" t="str">
        <f>IF(AE635="","",IF(AE635="[FÓRMULA MANUAL]","",IFERROR(AVERAGEIFS(nNOTA,nNIA,AE635,nCUENTA,1,nASIG,"Orquesta/Banda/Conjunto"),"")))</f>
        <v/>
      </c>
      <c r="AH635" t="str">
        <f>IF(AE635="","",IF(AE635="[FÓRMULA MANUAL]","",IFERROR(AVERAGEIFS(nNOTA,nNIA,AE635,nCUENTA,1,nASIG,"Música de Cámara"),"")))</f>
        <v/>
      </c>
      <c r="AI635" t="str">
        <f>IF(AE635="","",IF(AE635="[FÓRMULA MANUAL]","",IFERROR(SUMPRODUCT((nNIA=AE635)*(nCUENTA=1)*(COUNTIF(CONFIG_ASIGNATURAS!$B$7:$B$27,nASIG)&gt;0)*(nNOTA))/SUMPRODUCT((nNIA=AE635)*(nCUENTA=1)*(COUNTIF(CONFIG_ASIGNATURAS!$B$7:$B$27,nASIG)&gt;0)*1),"")))</f>
        <v/>
      </c>
    </row>
    <row r="636" spans="2:35" x14ac:dyDescent="0.2">
      <c r="B636" t="str">
        <f>IF(A636="","",IF(A636="[FÓRMULA MANUAL]","",IFERROR(AVERAGEIFS(nNOTA,nNIA,A636,nCUENTA,1,nASIG,"Lenguaje Musical"),"")))</f>
        <v/>
      </c>
      <c r="C636" t="str">
        <f>IF(A636="","",IF(A636="[FÓRMULA MANUAL]","",IFERROR(AVERAGEIFS(nNOTA,nNIA,A636,nCUENTA,1,nASIG,"Orquesta/Banda/Conjunto"),"")))</f>
        <v/>
      </c>
      <c r="D636" t="str">
        <f>IF(A636="","",IF(A636="[FÓRMULA MANUAL]","",IFERROR(AVERAGEIFS(nNOTA,nNIA,A636,nCUENTA,1,nASIG,"Conjunto"),"")))</f>
        <v/>
      </c>
      <c r="E636" t="str">
        <f>IF(A636="","",IF(A636="[FÓRMULA MANUAL]","",IFERROR(SUMPRODUCT((nNIA=A636)*(nCUENTA=1)*(COUNTIF(CONFIG_ASIGNATURAS!$B$7:$B$27,nASIG)&gt;0)*(nNOTA))/SUMPRODUCT((nNIA=A636)*(nCUENTA=1)*(COUNTIF(CONFIG_ASIGNATURAS!$B$7:$B$27,nASIG)&gt;0)*1),"")))</f>
        <v/>
      </c>
      <c r="H636" t="str">
        <f>IF(G636="","",IF(G636="[FÓRMULA MANUAL]","",IFERROR(AVERAGEIFS(nNOTA,nNIA,G636,nCUENTA,1,nASIG,"Lenguaje Musical"),"")))</f>
        <v/>
      </c>
      <c r="I636" t="str">
        <f>IF(G636="","",IF(G636="[FÓRMULA MANUAL]","",IFERROR(AVERAGEIFS(nNOTA,nNIA,G636,nCUENTA,1,nASIG,"Orquesta/Banda/Conjunto"),"")))</f>
        <v/>
      </c>
      <c r="J636" t="str">
        <f>IF(G636="","",IF(G636="[FÓRMULA MANUAL]","",IFERROR(AVERAGEIFS(nNOTA,nNIA,G636,nCUENTA,1,nASIG,"Conjunto"),"")))</f>
        <v/>
      </c>
      <c r="K636" t="str">
        <f>IF(G636="","",IF(G636="[FÓRMULA MANUAL]","",IFERROR(SUMPRODUCT((nNIA=G636)*(nCUENTA=1)*(COUNTIF(CONFIG_ASIGNATURAS!$B$7:$B$27,nASIG)&gt;0)*(nNOTA))/SUMPRODUCT((nNIA=G636)*(nCUENTA=1)*(COUNTIF(CONFIG_ASIGNATURAS!$B$7:$B$27,nASIG)&gt;0)*1),"")))</f>
        <v/>
      </c>
      <c r="N636" t="str">
        <f>IF(M636="","",IF(M636="[FÓRMULA MANUAL]","",IFERROR(AVERAGEIFS(nNOTA,nNIA,M636,nCUENTA,1,nASIG,"Armonía"),"")))</f>
        <v/>
      </c>
      <c r="O636" t="str">
        <f>IF(M636="","",IF(M636="[FÓRMULA MANUAL]","",IFERROR(AVERAGEIFS(nNOTA,nNIA,M636,nCUENTA,1,nASIG,"Orquesta/Banda/Conjunto"),"")))</f>
        <v/>
      </c>
      <c r="P636" t="str">
        <f>IF(M636="","",IF(M636="[FÓRMULA MANUAL]","",IFERROR(AVERAGEIFS(nNOTA,nNIA,M636,nCUENTA,1,nASIG,"Música de Cámara"),"")))</f>
        <v/>
      </c>
      <c r="Q636" t="str">
        <f>IF(M636="","",IF(M636="[FÓRMULA MANUAL]","",IFERROR(SUMPRODUCT((nNIA=M636)*(nCUENTA=1)*(COUNTIF(CONFIG_ASIGNATURAS!$B$7:$B$27,nASIG)&gt;0)*(nNOTA))/SUMPRODUCT((nNIA=M636)*(nCUENTA=1)*(COUNTIF(CONFIG_ASIGNATURAS!$B$7:$B$27,nASIG)&gt;0)*1),"")))</f>
        <v/>
      </c>
      <c r="T636" t="str">
        <f>IF(S636="","",IF(S636="[FÓRMULA MANUAL]","",IFERROR(AVERAGEIFS(nNOTA,nNIA,S636,nCUENTA,1,nASIG,"Armonía"),"")))</f>
        <v/>
      </c>
      <c r="U636" t="str">
        <f>IF(S636="","",IF(S636="[FÓRMULA MANUAL]","",IFERROR(AVERAGEIFS(nNOTA,nNIA,S636,nCUENTA,1,nASIG,"Orquesta/Banda/Conjunto"),"")))</f>
        <v/>
      </c>
      <c r="V636" t="str">
        <f>IF(S636="","",IF(S636="[FÓRMULA MANUAL]","",IFERROR(AVERAGEIFS(nNOTA,nNIA,S636,nCUENTA,1,nASIG,"Música de Cámara"),"")))</f>
        <v/>
      </c>
      <c r="W636" t="str">
        <f>IF(S636="","",IF(S636="[FÓRMULA MANUAL]","",IFERROR(SUMPRODUCT((nNIA=S636)*(nCUENTA=1)*(COUNTIF(CONFIG_ASIGNATURAS!$B$7:$B$27,nASIG)&gt;0)*(nNOTA))/SUMPRODUCT((nNIA=S636)*(nCUENTA=1)*(COUNTIF(CONFIG_ASIGNATURAS!$B$7:$B$27,nASIG)&gt;0)*1),"")))</f>
        <v/>
      </c>
      <c r="Z636" t="str">
        <f>IF(Y636="","",IF(Y636="[FÓRMULA MANUAL]","",IFERROR(AVERAGEIFS(nNOTA,nNIA,Y636,nCUENTA,1,nASIG,"Análisis"),"")))</f>
        <v/>
      </c>
      <c r="AA636" t="str">
        <f>IF(Y636="","",IF(Y636="[FÓRMULA MANUAL]","",IFERROR(AVERAGEIFS(nNOTA,nNIA,Y636,nCUENTA,1,nASIG,"Orquesta/Banda/Conjunto"),"")))</f>
        <v/>
      </c>
      <c r="AB636" t="str">
        <f>IF(Y636="","",IF(Y636="[FÓRMULA MANUAL]","",IFERROR(AVERAGEIFS(nNOTA,nNIA,Y636,nCUENTA,1,nASIG,"Música de Cámara"),"")))</f>
        <v/>
      </c>
      <c r="AC636" t="str">
        <f>IF(Y636="","",IF(Y636="[FÓRMULA MANUAL]","",IFERROR(SUMPRODUCT((nNIA=Y636)*(nCUENTA=1)*(COUNTIF(CONFIG_ASIGNATURAS!$B$7:$B$27,nASIG)&gt;0)*(nNOTA))/SUMPRODUCT((nNIA=Y636)*(nCUENTA=1)*(COUNTIF(CONFIG_ASIGNATURAS!$B$7:$B$27,nASIG)&gt;0)*1),"")))</f>
        <v/>
      </c>
      <c r="AF636" t="str">
        <f>IF(AE636="","",IF(AE636="[FÓRMULA MANUAL]","",IFERROR(AVERAGEIFS(nNOTA,nNIA,AE636,nCUENTA,1,nASIG,"Análisis"),"")))</f>
        <v/>
      </c>
      <c r="AG636" t="str">
        <f>IF(AE636="","",IF(AE636="[FÓRMULA MANUAL]","",IFERROR(AVERAGEIFS(nNOTA,nNIA,AE636,nCUENTA,1,nASIG,"Orquesta/Banda/Conjunto"),"")))</f>
        <v/>
      </c>
      <c r="AH636" t="str">
        <f>IF(AE636="","",IF(AE636="[FÓRMULA MANUAL]","",IFERROR(AVERAGEIFS(nNOTA,nNIA,AE636,nCUENTA,1,nASIG,"Música de Cámara"),"")))</f>
        <v/>
      </c>
      <c r="AI636" t="str">
        <f>IF(AE636="","",IF(AE636="[FÓRMULA MANUAL]","",IFERROR(SUMPRODUCT((nNIA=AE636)*(nCUENTA=1)*(COUNTIF(CONFIG_ASIGNATURAS!$B$7:$B$27,nASIG)&gt;0)*(nNOTA))/SUMPRODUCT((nNIA=AE636)*(nCUENTA=1)*(COUNTIF(CONFIG_ASIGNATURAS!$B$7:$B$27,nASIG)&gt;0)*1),"")))</f>
        <v/>
      </c>
    </row>
    <row r="637" spans="2:35" x14ac:dyDescent="0.2">
      <c r="B637" t="str">
        <f>IF(A637="","",IF(A637="[FÓRMULA MANUAL]","",IFERROR(AVERAGEIFS(nNOTA,nNIA,A637,nCUENTA,1,nASIG,"Lenguaje Musical"),"")))</f>
        <v/>
      </c>
      <c r="C637" t="str">
        <f>IF(A637="","",IF(A637="[FÓRMULA MANUAL]","",IFERROR(AVERAGEIFS(nNOTA,nNIA,A637,nCUENTA,1,nASIG,"Orquesta/Banda/Conjunto"),"")))</f>
        <v/>
      </c>
      <c r="D637" t="str">
        <f>IF(A637="","",IF(A637="[FÓRMULA MANUAL]","",IFERROR(AVERAGEIFS(nNOTA,nNIA,A637,nCUENTA,1,nASIG,"Conjunto"),"")))</f>
        <v/>
      </c>
      <c r="E637" t="str">
        <f>IF(A637="","",IF(A637="[FÓRMULA MANUAL]","",IFERROR(SUMPRODUCT((nNIA=A637)*(nCUENTA=1)*(COUNTIF(CONFIG_ASIGNATURAS!$B$7:$B$27,nASIG)&gt;0)*(nNOTA))/SUMPRODUCT((nNIA=A637)*(nCUENTA=1)*(COUNTIF(CONFIG_ASIGNATURAS!$B$7:$B$27,nASIG)&gt;0)*1),"")))</f>
        <v/>
      </c>
      <c r="H637" t="str">
        <f>IF(G637="","",IF(G637="[FÓRMULA MANUAL]","",IFERROR(AVERAGEIFS(nNOTA,nNIA,G637,nCUENTA,1,nASIG,"Lenguaje Musical"),"")))</f>
        <v/>
      </c>
      <c r="I637" t="str">
        <f>IF(G637="","",IF(G637="[FÓRMULA MANUAL]","",IFERROR(AVERAGEIFS(nNOTA,nNIA,G637,nCUENTA,1,nASIG,"Orquesta/Banda/Conjunto"),"")))</f>
        <v/>
      </c>
      <c r="J637" t="str">
        <f>IF(G637="","",IF(G637="[FÓRMULA MANUAL]","",IFERROR(AVERAGEIFS(nNOTA,nNIA,G637,nCUENTA,1,nASIG,"Conjunto"),"")))</f>
        <v/>
      </c>
      <c r="K637" t="str">
        <f>IF(G637="","",IF(G637="[FÓRMULA MANUAL]","",IFERROR(SUMPRODUCT((nNIA=G637)*(nCUENTA=1)*(COUNTIF(CONFIG_ASIGNATURAS!$B$7:$B$27,nASIG)&gt;0)*(nNOTA))/SUMPRODUCT((nNIA=G637)*(nCUENTA=1)*(COUNTIF(CONFIG_ASIGNATURAS!$B$7:$B$27,nASIG)&gt;0)*1),"")))</f>
        <v/>
      </c>
      <c r="N637" t="str">
        <f>IF(M637="","",IF(M637="[FÓRMULA MANUAL]","",IFERROR(AVERAGEIFS(nNOTA,nNIA,M637,nCUENTA,1,nASIG,"Armonía"),"")))</f>
        <v/>
      </c>
      <c r="O637" t="str">
        <f>IF(M637="","",IF(M637="[FÓRMULA MANUAL]","",IFERROR(AVERAGEIFS(nNOTA,nNIA,M637,nCUENTA,1,nASIG,"Orquesta/Banda/Conjunto"),"")))</f>
        <v/>
      </c>
      <c r="P637" t="str">
        <f>IF(M637="","",IF(M637="[FÓRMULA MANUAL]","",IFERROR(AVERAGEIFS(nNOTA,nNIA,M637,nCUENTA,1,nASIG,"Música de Cámara"),"")))</f>
        <v/>
      </c>
      <c r="Q637" t="str">
        <f>IF(M637="","",IF(M637="[FÓRMULA MANUAL]","",IFERROR(SUMPRODUCT((nNIA=M637)*(nCUENTA=1)*(COUNTIF(CONFIG_ASIGNATURAS!$B$7:$B$27,nASIG)&gt;0)*(nNOTA))/SUMPRODUCT((nNIA=M637)*(nCUENTA=1)*(COUNTIF(CONFIG_ASIGNATURAS!$B$7:$B$27,nASIG)&gt;0)*1),"")))</f>
        <v/>
      </c>
      <c r="T637" t="str">
        <f>IF(S637="","",IF(S637="[FÓRMULA MANUAL]","",IFERROR(AVERAGEIFS(nNOTA,nNIA,S637,nCUENTA,1,nASIG,"Armonía"),"")))</f>
        <v/>
      </c>
      <c r="U637" t="str">
        <f>IF(S637="","",IF(S637="[FÓRMULA MANUAL]","",IFERROR(AVERAGEIFS(nNOTA,nNIA,S637,nCUENTA,1,nASIG,"Orquesta/Banda/Conjunto"),"")))</f>
        <v/>
      </c>
      <c r="V637" t="str">
        <f>IF(S637="","",IF(S637="[FÓRMULA MANUAL]","",IFERROR(AVERAGEIFS(nNOTA,nNIA,S637,nCUENTA,1,nASIG,"Música de Cámara"),"")))</f>
        <v/>
      </c>
      <c r="W637" t="str">
        <f>IF(S637="","",IF(S637="[FÓRMULA MANUAL]","",IFERROR(SUMPRODUCT((nNIA=S637)*(nCUENTA=1)*(COUNTIF(CONFIG_ASIGNATURAS!$B$7:$B$27,nASIG)&gt;0)*(nNOTA))/SUMPRODUCT((nNIA=S637)*(nCUENTA=1)*(COUNTIF(CONFIG_ASIGNATURAS!$B$7:$B$27,nASIG)&gt;0)*1),"")))</f>
        <v/>
      </c>
      <c r="Z637" t="str">
        <f>IF(Y637="","",IF(Y637="[FÓRMULA MANUAL]","",IFERROR(AVERAGEIFS(nNOTA,nNIA,Y637,nCUENTA,1,nASIG,"Análisis"),"")))</f>
        <v/>
      </c>
      <c r="AA637" t="str">
        <f>IF(Y637="","",IF(Y637="[FÓRMULA MANUAL]","",IFERROR(AVERAGEIFS(nNOTA,nNIA,Y637,nCUENTA,1,nASIG,"Orquesta/Banda/Conjunto"),"")))</f>
        <v/>
      </c>
      <c r="AB637" t="str">
        <f>IF(Y637="","",IF(Y637="[FÓRMULA MANUAL]","",IFERROR(AVERAGEIFS(nNOTA,nNIA,Y637,nCUENTA,1,nASIG,"Música de Cámara"),"")))</f>
        <v/>
      </c>
      <c r="AC637" t="str">
        <f>IF(Y637="","",IF(Y637="[FÓRMULA MANUAL]","",IFERROR(SUMPRODUCT((nNIA=Y637)*(nCUENTA=1)*(COUNTIF(CONFIG_ASIGNATURAS!$B$7:$B$27,nASIG)&gt;0)*(nNOTA))/SUMPRODUCT((nNIA=Y637)*(nCUENTA=1)*(COUNTIF(CONFIG_ASIGNATURAS!$B$7:$B$27,nASIG)&gt;0)*1),"")))</f>
        <v/>
      </c>
      <c r="AF637" t="str">
        <f>IF(AE637="","",IF(AE637="[FÓRMULA MANUAL]","",IFERROR(AVERAGEIFS(nNOTA,nNIA,AE637,nCUENTA,1,nASIG,"Análisis"),"")))</f>
        <v/>
      </c>
      <c r="AG637" t="str">
        <f>IF(AE637="","",IF(AE637="[FÓRMULA MANUAL]","",IFERROR(AVERAGEIFS(nNOTA,nNIA,AE637,nCUENTA,1,nASIG,"Orquesta/Banda/Conjunto"),"")))</f>
        <v/>
      </c>
      <c r="AH637" t="str">
        <f>IF(AE637="","",IF(AE637="[FÓRMULA MANUAL]","",IFERROR(AVERAGEIFS(nNOTA,nNIA,AE637,nCUENTA,1,nASIG,"Música de Cámara"),"")))</f>
        <v/>
      </c>
      <c r="AI637" t="str">
        <f>IF(AE637="","",IF(AE637="[FÓRMULA MANUAL]","",IFERROR(SUMPRODUCT((nNIA=AE637)*(nCUENTA=1)*(COUNTIF(CONFIG_ASIGNATURAS!$B$7:$B$27,nASIG)&gt;0)*(nNOTA))/SUMPRODUCT((nNIA=AE637)*(nCUENTA=1)*(COUNTIF(CONFIG_ASIGNATURAS!$B$7:$B$27,nASIG)&gt;0)*1),"")))</f>
        <v/>
      </c>
    </row>
    <row r="638" spans="2:35" x14ac:dyDescent="0.2">
      <c r="B638" t="str">
        <f>IF(A638="","",IF(A638="[FÓRMULA MANUAL]","",IFERROR(AVERAGEIFS(nNOTA,nNIA,A638,nCUENTA,1,nASIG,"Lenguaje Musical"),"")))</f>
        <v/>
      </c>
      <c r="C638" t="str">
        <f>IF(A638="","",IF(A638="[FÓRMULA MANUAL]","",IFERROR(AVERAGEIFS(nNOTA,nNIA,A638,nCUENTA,1,nASIG,"Orquesta/Banda/Conjunto"),"")))</f>
        <v/>
      </c>
      <c r="D638" t="str">
        <f>IF(A638="","",IF(A638="[FÓRMULA MANUAL]","",IFERROR(AVERAGEIFS(nNOTA,nNIA,A638,nCUENTA,1,nASIG,"Conjunto"),"")))</f>
        <v/>
      </c>
      <c r="E638" t="str">
        <f>IF(A638="","",IF(A638="[FÓRMULA MANUAL]","",IFERROR(SUMPRODUCT((nNIA=A638)*(nCUENTA=1)*(COUNTIF(CONFIG_ASIGNATURAS!$B$7:$B$27,nASIG)&gt;0)*(nNOTA))/SUMPRODUCT((nNIA=A638)*(nCUENTA=1)*(COUNTIF(CONFIG_ASIGNATURAS!$B$7:$B$27,nASIG)&gt;0)*1),"")))</f>
        <v/>
      </c>
      <c r="H638" t="str">
        <f>IF(G638="","",IF(G638="[FÓRMULA MANUAL]","",IFERROR(AVERAGEIFS(nNOTA,nNIA,G638,nCUENTA,1,nASIG,"Lenguaje Musical"),"")))</f>
        <v/>
      </c>
      <c r="I638" t="str">
        <f>IF(G638="","",IF(G638="[FÓRMULA MANUAL]","",IFERROR(AVERAGEIFS(nNOTA,nNIA,G638,nCUENTA,1,nASIG,"Orquesta/Banda/Conjunto"),"")))</f>
        <v/>
      </c>
      <c r="J638" t="str">
        <f>IF(G638="","",IF(G638="[FÓRMULA MANUAL]","",IFERROR(AVERAGEIFS(nNOTA,nNIA,G638,nCUENTA,1,nASIG,"Conjunto"),"")))</f>
        <v/>
      </c>
      <c r="K638" t="str">
        <f>IF(G638="","",IF(G638="[FÓRMULA MANUAL]","",IFERROR(SUMPRODUCT((nNIA=G638)*(nCUENTA=1)*(COUNTIF(CONFIG_ASIGNATURAS!$B$7:$B$27,nASIG)&gt;0)*(nNOTA))/SUMPRODUCT((nNIA=G638)*(nCUENTA=1)*(COUNTIF(CONFIG_ASIGNATURAS!$B$7:$B$27,nASIG)&gt;0)*1),"")))</f>
        <v/>
      </c>
      <c r="N638" t="str">
        <f>IF(M638="","",IF(M638="[FÓRMULA MANUAL]","",IFERROR(AVERAGEIFS(nNOTA,nNIA,M638,nCUENTA,1,nASIG,"Armonía"),"")))</f>
        <v/>
      </c>
      <c r="O638" t="str">
        <f>IF(M638="","",IF(M638="[FÓRMULA MANUAL]","",IFERROR(AVERAGEIFS(nNOTA,nNIA,M638,nCUENTA,1,nASIG,"Orquesta/Banda/Conjunto"),"")))</f>
        <v/>
      </c>
      <c r="P638" t="str">
        <f>IF(M638="","",IF(M638="[FÓRMULA MANUAL]","",IFERROR(AVERAGEIFS(nNOTA,nNIA,M638,nCUENTA,1,nASIG,"Música de Cámara"),"")))</f>
        <v/>
      </c>
      <c r="Q638" t="str">
        <f>IF(M638="","",IF(M638="[FÓRMULA MANUAL]","",IFERROR(SUMPRODUCT((nNIA=M638)*(nCUENTA=1)*(COUNTIF(CONFIG_ASIGNATURAS!$B$7:$B$27,nASIG)&gt;0)*(nNOTA))/SUMPRODUCT((nNIA=M638)*(nCUENTA=1)*(COUNTIF(CONFIG_ASIGNATURAS!$B$7:$B$27,nASIG)&gt;0)*1),"")))</f>
        <v/>
      </c>
      <c r="T638" t="str">
        <f>IF(S638="","",IF(S638="[FÓRMULA MANUAL]","",IFERROR(AVERAGEIFS(nNOTA,nNIA,S638,nCUENTA,1,nASIG,"Armonía"),"")))</f>
        <v/>
      </c>
      <c r="U638" t="str">
        <f>IF(S638="","",IF(S638="[FÓRMULA MANUAL]","",IFERROR(AVERAGEIFS(nNOTA,nNIA,S638,nCUENTA,1,nASIG,"Orquesta/Banda/Conjunto"),"")))</f>
        <v/>
      </c>
      <c r="V638" t="str">
        <f>IF(S638="","",IF(S638="[FÓRMULA MANUAL]","",IFERROR(AVERAGEIFS(nNOTA,nNIA,S638,nCUENTA,1,nASIG,"Música de Cámara"),"")))</f>
        <v/>
      </c>
      <c r="W638" t="str">
        <f>IF(S638="","",IF(S638="[FÓRMULA MANUAL]","",IFERROR(SUMPRODUCT((nNIA=S638)*(nCUENTA=1)*(COUNTIF(CONFIG_ASIGNATURAS!$B$7:$B$27,nASIG)&gt;0)*(nNOTA))/SUMPRODUCT((nNIA=S638)*(nCUENTA=1)*(COUNTIF(CONFIG_ASIGNATURAS!$B$7:$B$27,nASIG)&gt;0)*1),"")))</f>
        <v/>
      </c>
      <c r="Z638" t="str">
        <f>IF(Y638="","",IF(Y638="[FÓRMULA MANUAL]","",IFERROR(AVERAGEIFS(nNOTA,nNIA,Y638,nCUENTA,1,nASIG,"Análisis"),"")))</f>
        <v/>
      </c>
      <c r="AA638" t="str">
        <f>IF(Y638="","",IF(Y638="[FÓRMULA MANUAL]","",IFERROR(AVERAGEIFS(nNOTA,nNIA,Y638,nCUENTA,1,nASIG,"Orquesta/Banda/Conjunto"),"")))</f>
        <v/>
      </c>
      <c r="AB638" t="str">
        <f>IF(Y638="","",IF(Y638="[FÓRMULA MANUAL]","",IFERROR(AVERAGEIFS(nNOTA,nNIA,Y638,nCUENTA,1,nASIG,"Música de Cámara"),"")))</f>
        <v/>
      </c>
      <c r="AC638" t="str">
        <f>IF(Y638="","",IF(Y638="[FÓRMULA MANUAL]","",IFERROR(SUMPRODUCT((nNIA=Y638)*(nCUENTA=1)*(COUNTIF(CONFIG_ASIGNATURAS!$B$7:$B$27,nASIG)&gt;0)*(nNOTA))/SUMPRODUCT((nNIA=Y638)*(nCUENTA=1)*(COUNTIF(CONFIG_ASIGNATURAS!$B$7:$B$27,nASIG)&gt;0)*1),"")))</f>
        <v/>
      </c>
      <c r="AF638" t="str">
        <f>IF(AE638="","",IF(AE638="[FÓRMULA MANUAL]","",IFERROR(AVERAGEIFS(nNOTA,nNIA,AE638,nCUENTA,1,nASIG,"Análisis"),"")))</f>
        <v/>
      </c>
      <c r="AG638" t="str">
        <f>IF(AE638="","",IF(AE638="[FÓRMULA MANUAL]","",IFERROR(AVERAGEIFS(nNOTA,nNIA,AE638,nCUENTA,1,nASIG,"Orquesta/Banda/Conjunto"),"")))</f>
        <v/>
      </c>
      <c r="AH638" t="str">
        <f>IF(AE638="","",IF(AE638="[FÓRMULA MANUAL]","",IFERROR(AVERAGEIFS(nNOTA,nNIA,AE638,nCUENTA,1,nASIG,"Música de Cámara"),"")))</f>
        <v/>
      </c>
      <c r="AI638" t="str">
        <f>IF(AE638="","",IF(AE638="[FÓRMULA MANUAL]","",IFERROR(SUMPRODUCT((nNIA=AE638)*(nCUENTA=1)*(COUNTIF(CONFIG_ASIGNATURAS!$B$7:$B$27,nASIG)&gt;0)*(nNOTA))/SUMPRODUCT((nNIA=AE638)*(nCUENTA=1)*(COUNTIF(CONFIG_ASIGNATURAS!$B$7:$B$27,nASIG)&gt;0)*1),"")))</f>
        <v/>
      </c>
    </row>
    <row r="639" spans="2:35" x14ac:dyDescent="0.2">
      <c r="B639" t="str">
        <f>IF(A639="","",IF(A639="[FÓRMULA MANUAL]","",IFERROR(AVERAGEIFS(nNOTA,nNIA,A639,nCUENTA,1,nASIG,"Lenguaje Musical"),"")))</f>
        <v/>
      </c>
      <c r="C639" t="str">
        <f>IF(A639="","",IF(A639="[FÓRMULA MANUAL]","",IFERROR(AVERAGEIFS(nNOTA,nNIA,A639,nCUENTA,1,nASIG,"Orquesta/Banda/Conjunto"),"")))</f>
        <v/>
      </c>
      <c r="D639" t="str">
        <f>IF(A639="","",IF(A639="[FÓRMULA MANUAL]","",IFERROR(AVERAGEIFS(nNOTA,nNIA,A639,nCUENTA,1,nASIG,"Conjunto"),"")))</f>
        <v/>
      </c>
      <c r="E639" t="str">
        <f>IF(A639="","",IF(A639="[FÓRMULA MANUAL]","",IFERROR(SUMPRODUCT((nNIA=A639)*(nCUENTA=1)*(COUNTIF(CONFIG_ASIGNATURAS!$B$7:$B$27,nASIG)&gt;0)*(nNOTA))/SUMPRODUCT((nNIA=A639)*(nCUENTA=1)*(COUNTIF(CONFIG_ASIGNATURAS!$B$7:$B$27,nASIG)&gt;0)*1),"")))</f>
        <v/>
      </c>
      <c r="H639" t="str">
        <f>IF(G639="","",IF(G639="[FÓRMULA MANUAL]","",IFERROR(AVERAGEIFS(nNOTA,nNIA,G639,nCUENTA,1,nASIG,"Lenguaje Musical"),"")))</f>
        <v/>
      </c>
      <c r="I639" t="str">
        <f>IF(G639="","",IF(G639="[FÓRMULA MANUAL]","",IFERROR(AVERAGEIFS(nNOTA,nNIA,G639,nCUENTA,1,nASIG,"Orquesta/Banda/Conjunto"),"")))</f>
        <v/>
      </c>
      <c r="J639" t="str">
        <f>IF(G639="","",IF(G639="[FÓRMULA MANUAL]","",IFERROR(AVERAGEIFS(nNOTA,nNIA,G639,nCUENTA,1,nASIG,"Conjunto"),"")))</f>
        <v/>
      </c>
      <c r="K639" t="str">
        <f>IF(G639="","",IF(G639="[FÓRMULA MANUAL]","",IFERROR(SUMPRODUCT((nNIA=G639)*(nCUENTA=1)*(COUNTIF(CONFIG_ASIGNATURAS!$B$7:$B$27,nASIG)&gt;0)*(nNOTA))/SUMPRODUCT((nNIA=G639)*(nCUENTA=1)*(COUNTIF(CONFIG_ASIGNATURAS!$B$7:$B$27,nASIG)&gt;0)*1),"")))</f>
        <v/>
      </c>
      <c r="N639" t="str">
        <f>IF(M639="","",IF(M639="[FÓRMULA MANUAL]","",IFERROR(AVERAGEIFS(nNOTA,nNIA,M639,nCUENTA,1,nASIG,"Armonía"),"")))</f>
        <v/>
      </c>
      <c r="O639" t="str">
        <f>IF(M639="","",IF(M639="[FÓRMULA MANUAL]","",IFERROR(AVERAGEIFS(nNOTA,nNIA,M639,nCUENTA,1,nASIG,"Orquesta/Banda/Conjunto"),"")))</f>
        <v/>
      </c>
      <c r="P639" t="str">
        <f>IF(M639="","",IF(M639="[FÓRMULA MANUAL]","",IFERROR(AVERAGEIFS(nNOTA,nNIA,M639,nCUENTA,1,nASIG,"Música de Cámara"),"")))</f>
        <v/>
      </c>
      <c r="Q639" t="str">
        <f>IF(M639="","",IF(M639="[FÓRMULA MANUAL]","",IFERROR(SUMPRODUCT((nNIA=M639)*(nCUENTA=1)*(COUNTIF(CONFIG_ASIGNATURAS!$B$7:$B$27,nASIG)&gt;0)*(nNOTA))/SUMPRODUCT((nNIA=M639)*(nCUENTA=1)*(COUNTIF(CONFIG_ASIGNATURAS!$B$7:$B$27,nASIG)&gt;0)*1),"")))</f>
        <v/>
      </c>
      <c r="T639" t="str">
        <f>IF(S639="","",IF(S639="[FÓRMULA MANUAL]","",IFERROR(AVERAGEIFS(nNOTA,nNIA,S639,nCUENTA,1,nASIG,"Armonía"),"")))</f>
        <v/>
      </c>
      <c r="U639" t="str">
        <f>IF(S639="","",IF(S639="[FÓRMULA MANUAL]","",IFERROR(AVERAGEIFS(nNOTA,nNIA,S639,nCUENTA,1,nASIG,"Orquesta/Banda/Conjunto"),"")))</f>
        <v/>
      </c>
      <c r="V639" t="str">
        <f>IF(S639="","",IF(S639="[FÓRMULA MANUAL]","",IFERROR(AVERAGEIFS(nNOTA,nNIA,S639,nCUENTA,1,nASIG,"Música de Cámara"),"")))</f>
        <v/>
      </c>
      <c r="W639" t="str">
        <f>IF(S639="","",IF(S639="[FÓRMULA MANUAL]","",IFERROR(SUMPRODUCT((nNIA=S639)*(nCUENTA=1)*(COUNTIF(CONFIG_ASIGNATURAS!$B$7:$B$27,nASIG)&gt;0)*(nNOTA))/SUMPRODUCT((nNIA=S639)*(nCUENTA=1)*(COUNTIF(CONFIG_ASIGNATURAS!$B$7:$B$27,nASIG)&gt;0)*1),"")))</f>
        <v/>
      </c>
      <c r="Z639" t="str">
        <f>IF(Y639="","",IF(Y639="[FÓRMULA MANUAL]","",IFERROR(AVERAGEIFS(nNOTA,nNIA,Y639,nCUENTA,1,nASIG,"Análisis"),"")))</f>
        <v/>
      </c>
      <c r="AA639" t="str">
        <f>IF(Y639="","",IF(Y639="[FÓRMULA MANUAL]","",IFERROR(AVERAGEIFS(nNOTA,nNIA,Y639,nCUENTA,1,nASIG,"Orquesta/Banda/Conjunto"),"")))</f>
        <v/>
      </c>
      <c r="AB639" t="str">
        <f>IF(Y639="","",IF(Y639="[FÓRMULA MANUAL]","",IFERROR(AVERAGEIFS(nNOTA,nNIA,Y639,nCUENTA,1,nASIG,"Música de Cámara"),"")))</f>
        <v/>
      </c>
      <c r="AC639" t="str">
        <f>IF(Y639="","",IF(Y639="[FÓRMULA MANUAL]","",IFERROR(SUMPRODUCT((nNIA=Y639)*(nCUENTA=1)*(COUNTIF(CONFIG_ASIGNATURAS!$B$7:$B$27,nASIG)&gt;0)*(nNOTA))/SUMPRODUCT((nNIA=Y639)*(nCUENTA=1)*(COUNTIF(CONFIG_ASIGNATURAS!$B$7:$B$27,nASIG)&gt;0)*1),"")))</f>
        <v/>
      </c>
      <c r="AF639" t="str">
        <f>IF(AE639="","",IF(AE639="[FÓRMULA MANUAL]","",IFERROR(AVERAGEIFS(nNOTA,nNIA,AE639,nCUENTA,1,nASIG,"Análisis"),"")))</f>
        <v/>
      </c>
      <c r="AG639" t="str">
        <f>IF(AE639="","",IF(AE639="[FÓRMULA MANUAL]","",IFERROR(AVERAGEIFS(nNOTA,nNIA,AE639,nCUENTA,1,nASIG,"Orquesta/Banda/Conjunto"),"")))</f>
        <v/>
      </c>
      <c r="AH639" t="str">
        <f>IF(AE639="","",IF(AE639="[FÓRMULA MANUAL]","",IFERROR(AVERAGEIFS(nNOTA,nNIA,AE639,nCUENTA,1,nASIG,"Música de Cámara"),"")))</f>
        <v/>
      </c>
      <c r="AI639" t="str">
        <f>IF(AE639="","",IF(AE639="[FÓRMULA MANUAL]","",IFERROR(SUMPRODUCT((nNIA=AE639)*(nCUENTA=1)*(COUNTIF(CONFIG_ASIGNATURAS!$B$7:$B$27,nASIG)&gt;0)*(nNOTA))/SUMPRODUCT((nNIA=AE639)*(nCUENTA=1)*(COUNTIF(CONFIG_ASIGNATURAS!$B$7:$B$27,nASIG)&gt;0)*1),"")))</f>
        <v/>
      </c>
    </row>
    <row r="640" spans="2:35" x14ac:dyDescent="0.2">
      <c r="B640" t="str">
        <f>IF(A640="","",IF(A640="[FÓRMULA MANUAL]","",IFERROR(AVERAGEIFS(nNOTA,nNIA,A640,nCUENTA,1,nASIG,"Lenguaje Musical"),"")))</f>
        <v/>
      </c>
      <c r="C640" t="str">
        <f>IF(A640="","",IF(A640="[FÓRMULA MANUAL]","",IFERROR(AVERAGEIFS(nNOTA,nNIA,A640,nCUENTA,1,nASIG,"Orquesta/Banda/Conjunto"),"")))</f>
        <v/>
      </c>
      <c r="D640" t="str">
        <f>IF(A640="","",IF(A640="[FÓRMULA MANUAL]","",IFERROR(AVERAGEIFS(nNOTA,nNIA,A640,nCUENTA,1,nASIG,"Conjunto"),"")))</f>
        <v/>
      </c>
      <c r="E640" t="str">
        <f>IF(A640="","",IF(A640="[FÓRMULA MANUAL]","",IFERROR(SUMPRODUCT((nNIA=A640)*(nCUENTA=1)*(COUNTIF(CONFIG_ASIGNATURAS!$B$7:$B$27,nASIG)&gt;0)*(nNOTA))/SUMPRODUCT((nNIA=A640)*(nCUENTA=1)*(COUNTIF(CONFIG_ASIGNATURAS!$B$7:$B$27,nASIG)&gt;0)*1),"")))</f>
        <v/>
      </c>
      <c r="H640" t="str">
        <f>IF(G640="","",IF(G640="[FÓRMULA MANUAL]","",IFERROR(AVERAGEIFS(nNOTA,nNIA,G640,nCUENTA,1,nASIG,"Lenguaje Musical"),"")))</f>
        <v/>
      </c>
      <c r="I640" t="str">
        <f>IF(G640="","",IF(G640="[FÓRMULA MANUAL]","",IFERROR(AVERAGEIFS(nNOTA,nNIA,G640,nCUENTA,1,nASIG,"Orquesta/Banda/Conjunto"),"")))</f>
        <v/>
      </c>
      <c r="J640" t="str">
        <f>IF(G640="","",IF(G640="[FÓRMULA MANUAL]","",IFERROR(AVERAGEIFS(nNOTA,nNIA,G640,nCUENTA,1,nASIG,"Conjunto"),"")))</f>
        <v/>
      </c>
      <c r="K640" t="str">
        <f>IF(G640="","",IF(G640="[FÓRMULA MANUAL]","",IFERROR(SUMPRODUCT((nNIA=G640)*(nCUENTA=1)*(COUNTIF(CONFIG_ASIGNATURAS!$B$7:$B$27,nASIG)&gt;0)*(nNOTA))/SUMPRODUCT((nNIA=G640)*(nCUENTA=1)*(COUNTIF(CONFIG_ASIGNATURAS!$B$7:$B$27,nASIG)&gt;0)*1),"")))</f>
        <v/>
      </c>
      <c r="N640" t="str">
        <f>IF(M640="","",IF(M640="[FÓRMULA MANUAL]","",IFERROR(AVERAGEIFS(nNOTA,nNIA,M640,nCUENTA,1,nASIG,"Armonía"),"")))</f>
        <v/>
      </c>
      <c r="O640" t="str">
        <f>IF(M640="","",IF(M640="[FÓRMULA MANUAL]","",IFERROR(AVERAGEIFS(nNOTA,nNIA,M640,nCUENTA,1,nASIG,"Orquesta/Banda/Conjunto"),"")))</f>
        <v/>
      </c>
      <c r="P640" t="str">
        <f>IF(M640="","",IF(M640="[FÓRMULA MANUAL]","",IFERROR(AVERAGEIFS(nNOTA,nNIA,M640,nCUENTA,1,nASIG,"Música de Cámara"),"")))</f>
        <v/>
      </c>
      <c r="Q640" t="str">
        <f>IF(M640="","",IF(M640="[FÓRMULA MANUAL]","",IFERROR(SUMPRODUCT((nNIA=M640)*(nCUENTA=1)*(COUNTIF(CONFIG_ASIGNATURAS!$B$7:$B$27,nASIG)&gt;0)*(nNOTA))/SUMPRODUCT((nNIA=M640)*(nCUENTA=1)*(COUNTIF(CONFIG_ASIGNATURAS!$B$7:$B$27,nASIG)&gt;0)*1),"")))</f>
        <v/>
      </c>
      <c r="T640" t="str">
        <f>IF(S640="","",IF(S640="[FÓRMULA MANUAL]","",IFERROR(AVERAGEIFS(nNOTA,nNIA,S640,nCUENTA,1,nASIG,"Armonía"),"")))</f>
        <v/>
      </c>
      <c r="U640" t="str">
        <f>IF(S640="","",IF(S640="[FÓRMULA MANUAL]","",IFERROR(AVERAGEIFS(nNOTA,nNIA,S640,nCUENTA,1,nASIG,"Orquesta/Banda/Conjunto"),"")))</f>
        <v/>
      </c>
      <c r="V640" t="str">
        <f>IF(S640="","",IF(S640="[FÓRMULA MANUAL]","",IFERROR(AVERAGEIFS(nNOTA,nNIA,S640,nCUENTA,1,nASIG,"Música de Cámara"),"")))</f>
        <v/>
      </c>
      <c r="W640" t="str">
        <f>IF(S640="","",IF(S640="[FÓRMULA MANUAL]","",IFERROR(SUMPRODUCT((nNIA=S640)*(nCUENTA=1)*(COUNTIF(CONFIG_ASIGNATURAS!$B$7:$B$27,nASIG)&gt;0)*(nNOTA))/SUMPRODUCT((nNIA=S640)*(nCUENTA=1)*(COUNTIF(CONFIG_ASIGNATURAS!$B$7:$B$27,nASIG)&gt;0)*1),"")))</f>
        <v/>
      </c>
      <c r="Z640" t="str">
        <f>IF(Y640="","",IF(Y640="[FÓRMULA MANUAL]","",IFERROR(AVERAGEIFS(nNOTA,nNIA,Y640,nCUENTA,1,nASIG,"Análisis"),"")))</f>
        <v/>
      </c>
      <c r="AA640" t="str">
        <f>IF(Y640="","",IF(Y640="[FÓRMULA MANUAL]","",IFERROR(AVERAGEIFS(nNOTA,nNIA,Y640,nCUENTA,1,nASIG,"Orquesta/Banda/Conjunto"),"")))</f>
        <v/>
      </c>
      <c r="AB640" t="str">
        <f>IF(Y640="","",IF(Y640="[FÓRMULA MANUAL]","",IFERROR(AVERAGEIFS(nNOTA,nNIA,Y640,nCUENTA,1,nASIG,"Música de Cámara"),"")))</f>
        <v/>
      </c>
      <c r="AC640" t="str">
        <f>IF(Y640="","",IF(Y640="[FÓRMULA MANUAL]","",IFERROR(SUMPRODUCT((nNIA=Y640)*(nCUENTA=1)*(COUNTIF(CONFIG_ASIGNATURAS!$B$7:$B$27,nASIG)&gt;0)*(nNOTA))/SUMPRODUCT((nNIA=Y640)*(nCUENTA=1)*(COUNTIF(CONFIG_ASIGNATURAS!$B$7:$B$27,nASIG)&gt;0)*1),"")))</f>
        <v/>
      </c>
      <c r="AF640" t="str">
        <f>IF(AE640="","",IF(AE640="[FÓRMULA MANUAL]","",IFERROR(AVERAGEIFS(nNOTA,nNIA,AE640,nCUENTA,1,nASIG,"Análisis"),"")))</f>
        <v/>
      </c>
      <c r="AG640" t="str">
        <f>IF(AE640="","",IF(AE640="[FÓRMULA MANUAL]","",IFERROR(AVERAGEIFS(nNOTA,nNIA,AE640,nCUENTA,1,nASIG,"Orquesta/Banda/Conjunto"),"")))</f>
        <v/>
      </c>
      <c r="AH640" t="str">
        <f>IF(AE640="","",IF(AE640="[FÓRMULA MANUAL]","",IFERROR(AVERAGEIFS(nNOTA,nNIA,AE640,nCUENTA,1,nASIG,"Música de Cámara"),"")))</f>
        <v/>
      </c>
      <c r="AI640" t="str">
        <f>IF(AE640="","",IF(AE640="[FÓRMULA MANUAL]","",IFERROR(SUMPRODUCT((nNIA=AE640)*(nCUENTA=1)*(COUNTIF(CONFIG_ASIGNATURAS!$B$7:$B$27,nASIG)&gt;0)*(nNOTA))/SUMPRODUCT((nNIA=AE640)*(nCUENTA=1)*(COUNTIF(CONFIG_ASIGNATURAS!$B$7:$B$27,nASIG)&gt;0)*1),"")))</f>
        <v/>
      </c>
    </row>
    <row r="641" spans="2:35" x14ac:dyDescent="0.2">
      <c r="B641" t="str">
        <f>IF(A641="","",IF(A641="[FÓRMULA MANUAL]","",IFERROR(AVERAGEIFS(nNOTA,nNIA,A641,nCUENTA,1,nASIG,"Lenguaje Musical"),"")))</f>
        <v/>
      </c>
      <c r="C641" t="str">
        <f>IF(A641="","",IF(A641="[FÓRMULA MANUAL]","",IFERROR(AVERAGEIFS(nNOTA,nNIA,A641,nCUENTA,1,nASIG,"Orquesta/Banda/Conjunto"),"")))</f>
        <v/>
      </c>
      <c r="D641" t="str">
        <f>IF(A641="","",IF(A641="[FÓRMULA MANUAL]","",IFERROR(AVERAGEIFS(nNOTA,nNIA,A641,nCUENTA,1,nASIG,"Conjunto"),"")))</f>
        <v/>
      </c>
      <c r="E641" t="str">
        <f>IF(A641="","",IF(A641="[FÓRMULA MANUAL]","",IFERROR(SUMPRODUCT((nNIA=A641)*(nCUENTA=1)*(COUNTIF(CONFIG_ASIGNATURAS!$B$7:$B$27,nASIG)&gt;0)*(nNOTA))/SUMPRODUCT((nNIA=A641)*(nCUENTA=1)*(COUNTIF(CONFIG_ASIGNATURAS!$B$7:$B$27,nASIG)&gt;0)*1),"")))</f>
        <v/>
      </c>
      <c r="H641" t="str">
        <f>IF(G641="","",IF(G641="[FÓRMULA MANUAL]","",IFERROR(AVERAGEIFS(nNOTA,nNIA,G641,nCUENTA,1,nASIG,"Lenguaje Musical"),"")))</f>
        <v/>
      </c>
      <c r="I641" t="str">
        <f>IF(G641="","",IF(G641="[FÓRMULA MANUAL]","",IFERROR(AVERAGEIFS(nNOTA,nNIA,G641,nCUENTA,1,nASIG,"Orquesta/Banda/Conjunto"),"")))</f>
        <v/>
      </c>
      <c r="J641" t="str">
        <f>IF(G641="","",IF(G641="[FÓRMULA MANUAL]","",IFERROR(AVERAGEIFS(nNOTA,nNIA,G641,nCUENTA,1,nASIG,"Conjunto"),"")))</f>
        <v/>
      </c>
      <c r="K641" t="str">
        <f>IF(G641="","",IF(G641="[FÓRMULA MANUAL]","",IFERROR(SUMPRODUCT((nNIA=G641)*(nCUENTA=1)*(COUNTIF(CONFIG_ASIGNATURAS!$B$7:$B$27,nASIG)&gt;0)*(nNOTA))/SUMPRODUCT((nNIA=G641)*(nCUENTA=1)*(COUNTIF(CONFIG_ASIGNATURAS!$B$7:$B$27,nASIG)&gt;0)*1),"")))</f>
        <v/>
      </c>
      <c r="N641" t="str">
        <f>IF(M641="","",IF(M641="[FÓRMULA MANUAL]","",IFERROR(AVERAGEIFS(nNOTA,nNIA,M641,nCUENTA,1,nASIG,"Armonía"),"")))</f>
        <v/>
      </c>
      <c r="O641" t="str">
        <f>IF(M641="","",IF(M641="[FÓRMULA MANUAL]","",IFERROR(AVERAGEIFS(nNOTA,nNIA,M641,nCUENTA,1,nASIG,"Orquesta/Banda/Conjunto"),"")))</f>
        <v/>
      </c>
      <c r="P641" t="str">
        <f>IF(M641="","",IF(M641="[FÓRMULA MANUAL]","",IFERROR(AVERAGEIFS(nNOTA,nNIA,M641,nCUENTA,1,nASIG,"Música de Cámara"),"")))</f>
        <v/>
      </c>
      <c r="Q641" t="str">
        <f>IF(M641="","",IF(M641="[FÓRMULA MANUAL]","",IFERROR(SUMPRODUCT((nNIA=M641)*(nCUENTA=1)*(COUNTIF(CONFIG_ASIGNATURAS!$B$7:$B$27,nASIG)&gt;0)*(nNOTA))/SUMPRODUCT((nNIA=M641)*(nCUENTA=1)*(COUNTIF(CONFIG_ASIGNATURAS!$B$7:$B$27,nASIG)&gt;0)*1),"")))</f>
        <v/>
      </c>
      <c r="T641" t="str">
        <f>IF(S641="","",IF(S641="[FÓRMULA MANUAL]","",IFERROR(AVERAGEIFS(nNOTA,nNIA,S641,nCUENTA,1,nASIG,"Armonía"),"")))</f>
        <v/>
      </c>
      <c r="U641" t="str">
        <f>IF(S641="","",IF(S641="[FÓRMULA MANUAL]","",IFERROR(AVERAGEIFS(nNOTA,nNIA,S641,nCUENTA,1,nASIG,"Orquesta/Banda/Conjunto"),"")))</f>
        <v/>
      </c>
      <c r="V641" t="str">
        <f>IF(S641="","",IF(S641="[FÓRMULA MANUAL]","",IFERROR(AVERAGEIFS(nNOTA,nNIA,S641,nCUENTA,1,nASIG,"Música de Cámara"),"")))</f>
        <v/>
      </c>
      <c r="W641" t="str">
        <f>IF(S641="","",IF(S641="[FÓRMULA MANUAL]","",IFERROR(SUMPRODUCT((nNIA=S641)*(nCUENTA=1)*(COUNTIF(CONFIG_ASIGNATURAS!$B$7:$B$27,nASIG)&gt;0)*(nNOTA))/SUMPRODUCT((nNIA=S641)*(nCUENTA=1)*(COUNTIF(CONFIG_ASIGNATURAS!$B$7:$B$27,nASIG)&gt;0)*1),"")))</f>
        <v/>
      </c>
      <c r="Z641" t="str">
        <f>IF(Y641="","",IF(Y641="[FÓRMULA MANUAL]","",IFERROR(AVERAGEIFS(nNOTA,nNIA,Y641,nCUENTA,1,nASIG,"Análisis"),"")))</f>
        <v/>
      </c>
      <c r="AA641" t="str">
        <f>IF(Y641="","",IF(Y641="[FÓRMULA MANUAL]","",IFERROR(AVERAGEIFS(nNOTA,nNIA,Y641,nCUENTA,1,nASIG,"Orquesta/Banda/Conjunto"),"")))</f>
        <v/>
      </c>
      <c r="AB641" t="str">
        <f>IF(Y641="","",IF(Y641="[FÓRMULA MANUAL]","",IFERROR(AVERAGEIFS(nNOTA,nNIA,Y641,nCUENTA,1,nASIG,"Música de Cámara"),"")))</f>
        <v/>
      </c>
      <c r="AC641" t="str">
        <f>IF(Y641="","",IF(Y641="[FÓRMULA MANUAL]","",IFERROR(SUMPRODUCT((nNIA=Y641)*(nCUENTA=1)*(COUNTIF(CONFIG_ASIGNATURAS!$B$7:$B$27,nASIG)&gt;0)*(nNOTA))/SUMPRODUCT((nNIA=Y641)*(nCUENTA=1)*(COUNTIF(CONFIG_ASIGNATURAS!$B$7:$B$27,nASIG)&gt;0)*1),"")))</f>
        <v/>
      </c>
      <c r="AF641" t="str">
        <f>IF(AE641="","",IF(AE641="[FÓRMULA MANUAL]","",IFERROR(AVERAGEIFS(nNOTA,nNIA,AE641,nCUENTA,1,nASIG,"Análisis"),"")))</f>
        <v/>
      </c>
      <c r="AG641" t="str">
        <f>IF(AE641="","",IF(AE641="[FÓRMULA MANUAL]","",IFERROR(AVERAGEIFS(nNOTA,nNIA,AE641,nCUENTA,1,nASIG,"Orquesta/Banda/Conjunto"),"")))</f>
        <v/>
      </c>
      <c r="AH641" t="str">
        <f>IF(AE641="","",IF(AE641="[FÓRMULA MANUAL]","",IFERROR(AVERAGEIFS(nNOTA,nNIA,AE641,nCUENTA,1,nASIG,"Música de Cámara"),"")))</f>
        <v/>
      </c>
      <c r="AI641" t="str">
        <f>IF(AE641="","",IF(AE641="[FÓRMULA MANUAL]","",IFERROR(SUMPRODUCT((nNIA=AE641)*(nCUENTA=1)*(COUNTIF(CONFIG_ASIGNATURAS!$B$7:$B$27,nASIG)&gt;0)*(nNOTA))/SUMPRODUCT((nNIA=AE641)*(nCUENTA=1)*(COUNTIF(CONFIG_ASIGNATURAS!$B$7:$B$27,nASIG)&gt;0)*1),"")))</f>
        <v/>
      </c>
    </row>
    <row r="642" spans="2:35" x14ac:dyDescent="0.2">
      <c r="B642" t="str">
        <f>IF(A642="","",IF(A642="[FÓRMULA MANUAL]","",IFERROR(AVERAGEIFS(nNOTA,nNIA,A642,nCUENTA,1,nASIG,"Lenguaje Musical"),"")))</f>
        <v/>
      </c>
      <c r="C642" t="str">
        <f>IF(A642="","",IF(A642="[FÓRMULA MANUAL]","",IFERROR(AVERAGEIFS(nNOTA,nNIA,A642,nCUENTA,1,nASIG,"Orquesta/Banda/Conjunto"),"")))</f>
        <v/>
      </c>
      <c r="D642" t="str">
        <f>IF(A642="","",IF(A642="[FÓRMULA MANUAL]","",IFERROR(AVERAGEIFS(nNOTA,nNIA,A642,nCUENTA,1,nASIG,"Conjunto"),"")))</f>
        <v/>
      </c>
      <c r="E642" t="str">
        <f>IF(A642="","",IF(A642="[FÓRMULA MANUAL]","",IFERROR(SUMPRODUCT((nNIA=A642)*(nCUENTA=1)*(COUNTIF(CONFIG_ASIGNATURAS!$B$7:$B$27,nASIG)&gt;0)*(nNOTA))/SUMPRODUCT((nNIA=A642)*(nCUENTA=1)*(COUNTIF(CONFIG_ASIGNATURAS!$B$7:$B$27,nASIG)&gt;0)*1),"")))</f>
        <v/>
      </c>
      <c r="H642" t="str">
        <f>IF(G642="","",IF(G642="[FÓRMULA MANUAL]","",IFERROR(AVERAGEIFS(nNOTA,nNIA,G642,nCUENTA,1,nASIG,"Lenguaje Musical"),"")))</f>
        <v/>
      </c>
      <c r="I642" t="str">
        <f>IF(G642="","",IF(G642="[FÓRMULA MANUAL]","",IFERROR(AVERAGEIFS(nNOTA,nNIA,G642,nCUENTA,1,nASIG,"Orquesta/Banda/Conjunto"),"")))</f>
        <v/>
      </c>
      <c r="J642" t="str">
        <f>IF(G642="","",IF(G642="[FÓRMULA MANUAL]","",IFERROR(AVERAGEIFS(nNOTA,nNIA,G642,nCUENTA,1,nASIG,"Conjunto"),"")))</f>
        <v/>
      </c>
      <c r="K642" t="str">
        <f>IF(G642="","",IF(G642="[FÓRMULA MANUAL]","",IFERROR(SUMPRODUCT((nNIA=G642)*(nCUENTA=1)*(COUNTIF(CONFIG_ASIGNATURAS!$B$7:$B$27,nASIG)&gt;0)*(nNOTA))/SUMPRODUCT((nNIA=G642)*(nCUENTA=1)*(COUNTIF(CONFIG_ASIGNATURAS!$B$7:$B$27,nASIG)&gt;0)*1),"")))</f>
        <v/>
      </c>
      <c r="N642" t="str">
        <f>IF(M642="","",IF(M642="[FÓRMULA MANUAL]","",IFERROR(AVERAGEIFS(nNOTA,nNIA,M642,nCUENTA,1,nASIG,"Armonía"),"")))</f>
        <v/>
      </c>
      <c r="O642" t="str">
        <f>IF(M642="","",IF(M642="[FÓRMULA MANUAL]","",IFERROR(AVERAGEIFS(nNOTA,nNIA,M642,nCUENTA,1,nASIG,"Orquesta/Banda/Conjunto"),"")))</f>
        <v/>
      </c>
      <c r="P642" t="str">
        <f>IF(M642="","",IF(M642="[FÓRMULA MANUAL]","",IFERROR(AVERAGEIFS(nNOTA,nNIA,M642,nCUENTA,1,nASIG,"Música de Cámara"),"")))</f>
        <v/>
      </c>
      <c r="Q642" t="str">
        <f>IF(M642="","",IF(M642="[FÓRMULA MANUAL]","",IFERROR(SUMPRODUCT((nNIA=M642)*(nCUENTA=1)*(COUNTIF(CONFIG_ASIGNATURAS!$B$7:$B$27,nASIG)&gt;0)*(nNOTA))/SUMPRODUCT((nNIA=M642)*(nCUENTA=1)*(COUNTIF(CONFIG_ASIGNATURAS!$B$7:$B$27,nASIG)&gt;0)*1),"")))</f>
        <v/>
      </c>
      <c r="T642" t="str">
        <f>IF(S642="","",IF(S642="[FÓRMULA MANUAL]","",IFERROR(AVERAGEIFS(nNOTA,nNIA,S642,nCUENTA,1,nASIG,"Armonía"),"")))</f>
        <v/>
      </c>
      <c r="U642" t="str">
        <f>IF(S642="","",IF(S642="[FÓRMULA MANUAL]","",IFERROR(AVERAGEIFS(nNOTA,nNIA,S642,nCUENTA,1,nASIG,"Orquesta/Banda/Conjunto"),"")))</f>
        <v/>
      </c>
      <c r="V642" t="str">
        <f>IF(S642="","",IF(S642="[FÓRMULA MANUAL]","",IFERROR(AVERAGEIFS(nNOTA,nNIA,S642,nCUENTA,1,nASIG,"Música de Cámara"),"")))</f>
        <v/>
      </c>
      <c r="W642" t="str">
        <f>IF(S642="","",IF(S642="[FÓRMULA MANUAL]","",IFERROR(SUMPRODUCT((nNIA=S642)*(nCUENTA=1)*(COUNTIF(CONFIG_ASIGNATURAS!$B$7:$B$27,nASIG)&gt;0)*(nNOTA))/SUMPRODUCT((nNIA=S642)*(nCUENTA=1)*(COUNTIF(CONFIG_ASIGNATURAS!$B$7:$B$27,nASIG)&gt;0)*1),"")))</f>
        <v/>
      </c>
      <c r="Z642" t="str">
        <f>IF(Y642="","",IF(Y642="[FÓRMULA MANUAL]","",IFERROR(AVERAGEIFS(nNOTA,nNIA,Y642,nCUENTA,1,nASIG,"Análisis"),"")))</f>
        <v/>
      </c>
      <c r="AA642" t="str">
        <f>IF(Y642="","",IF(Y642="[FÓRMULA MANUAL]","",IFERROR(AVERAGEIFS(nNOTA,nNIA,Y642,nCUENTA,1,nASIG,"Orquesta/Banda/Conjunto"),"")))</f>
        <v/>
      </c>
      <c r="AB642" t="str">
        <f>IF(Y642="","",IF(Y642="[FÓRMULA MANUAL]","",IFERROR(AVERAGEIFS(nNOTA,nNIA,Y642,nCUENTA,1,nASIG,"Música de Cámara"),"")))</f>
        <v/>
      </c>
      <c r="AC642" t="str">
        <f>IF(Y642="","",IF(Y642="[FÓRMULA MANUAL]","",IFERROR(SUMPRODUCT((nNIA=Y642)*(nCUENTA=1)*(COUNTIF(CONFIG_ASIGNATURAS!$B$7:$B$27,nASIG)&gt;0)*(nNOTA))/SUMPRODUCT((nNIA=Y642)*(nCUENTA=1)*(COUNTIF(CONFIG_ASIGNATURAS!$B$7:$B$27,nASIG)&gt;0)*1),"")))</f>
        <v/>
      </c>
      <c r="AF642" t="str">
        <f>IF(AE642="","",IF(AE642="[FÓRMULA MANUAL]","",IFERROR(AVERAGEIFS(nNOTA,nNIA,AE642,nCUENTA,1,nASIG,"Análisis"),"")))</f>
        <v/>
      </c>
      <c r="AG642" t="str">
        <f>IF(AE642="","",IF(AE642="[FÓRMULA MANUAL]","",IFERROR(AVERAGEIFS(nNOTA,nNIA,AE642,nCUENTA,1,nASIG,"Orquesta/Banda/Conjunto"),"")))</f>
        <v/>
      </c>
      <c r="AH642" t="str">
        <f>IF(AE642="","",IF(AE642="[FÓRMULA MANUAL]","",IFERROR(AVERAGEIFS(nNOTA,nNIA,AE642,nCUENTA,1,nASIG,"Música de Cámara"),"")))</f>
        <v/>
      </c>
      <c r="AI642" t="str">
        <f>IF(AE642="","",IF(AE642="[FÓRMULA MANUAL]","",IFERROR(SUMPRODUCT((nNIA=AE642)*(nCUENTA=1)*(COUNTIF(CONFIG_ASIGNATURAS!$B$7:$B$27,nASIG)&gt;0)*(nNOTA))/SUMPRODUCT((nNIA=AE642)*(nCUENTA=1)*(COUNTIF(CONFIG_ASIGNATURAS!$B$7:$B$27,nASIG)&gt;0)*1),"")))</f>
        <v/>
      </c>
    </row>
    <row r="643" spans="2:35" x14ac:dyDescent="0.2">
      <c r="B643" t="str">
        <f>IF(A643="","",IF(A643="[FÓRMULA MANUAL]","",IFERROR(AVERAGEIFS(nNOTA,nNIA,A643,nCUENTA,1,nASIG,"Lenguaje Musical"),"")))</f>
        <v/>
      </c>
      <c r="C643" t="str">
        <f>IF(A643="","",IF(A643="[FÓRMULA MANUAL]","",IFERROR(AVERAGEIFS(nNOTA,nNIA,A643,nCUENTA,1,nASIG,"Orquesta/Banda/Conjunto"),"")))</f>
        <v/>
      </c>
      <c r="D643" t="str">
        <f>IF(A643="","",IF(A643="[FÓRMULA MANUAL]","",IFERROR(AVERAGEIFS(nNOTA,nNIA,A643,nCUENTA,1,nASIG,"Conjunto"),"")))</f>
        <v/>
      </c>
      <c r="E643" t="str">
        <f>IF(A643="","",IF(A643="[FÓRMULA MANUAL]","",IFERROR(SUMPRODUCT((nNIA=A643)*(nCUENTA=1)*(COUNTIF(CONFIG_ASIGNATURAS!$B$7:$B$27,nASIG)&gt;0)*(nNOTA))/SUMPRODUCT((nNIA=A643)*(nCUENTA=1)*(COUNTIF(CONFIG_ASIGNATURAS!$B$7:$B$27,nASIG)&gt;0)*1),"")))</f>
        <v/>
      </c>
      <c r="H643" t="str">
        <f>IF(G643="","",IF(G643="[FÓRMULA MANUAL]","",IFERROR(AVERAGEIFS(nNOTA,nNIA,G643,nCUENTA,1,nASIG,"Lenguaje Musical"),"")))</f>
        <v/>
      </c>
      <c r="I643" t="str">
        <f>IF(G643="","",IF(G643="[FÓRMULA MANUAL]","",IFERROR(AVERAGEIFS(nNOTA,nNIA,G643,nCUENTA,1,nASIG,"Orquesta/Banda/Conjunto"),"")))</f>
        <v/>
      </c>
      <c r="J643" t="str">
        <f>IF(G643="","",IF(G643="[FÓRMULA MANUAL]","",IFERROR(AVERAGEIFS(nNOTA,nNIA,G643,nCUENTA,1,nASIG,"Conjunto"),"")))</f>
        <v/>
      </c>
      <c r="K643" t="str">
        <f>IF(G643="","",IF(G643="[FÓRMULA MANUAL]","",IFERROR(SUMPRODUCT((nNIA=G643)*(nCUENTA=1)*(COUNTIF(CONFIG_ASIGNATURAS!$B$7:$B$27,nASIG)&gt;0)*(nNOTA))/SUMPRODUCT((nNIA=G643)*(nCUENTA=1)*(COUNTIF(CONFIG_ASIGNATURAS!$B$7:$B$27,nASIG)&gt;0)*1),"")))</f>
        <v/>
      </c>
      <c r="N643" t="str">
        <f>IF(M643="","",IF(M643="[FÓRMULA MANUAL]","",IFERROR(AVERAGEIFS(nNOTA,nNIA,M643,nCUENTA,1,nASIG,"Armonía"),"")))</f>
        <v/>
      </c>
      <c r="O643" t="str">
        <f>IF(M643="","",IF(M643="[FÓRMULA MANUAL]","",IFERROR(AVERAGEIFS(nNOTA,nNIA,M643,nCUENTA,1,nASIG,"Orquesta/Banda/Conjunto"),"")))</f>
        <v/>
      </c>
      <c r="P643" t="str">
        <f>IF(M643="","",IF(M643="[FÓRMULA MANUAL]","",IFERROR(AVERAGEIFS(nNOTA,nNIA,M643,nCUENTA,1,nASIG,"Música de Cámara"),"")))</f>
        <v/>
      </c>
      <c r="Q643" t="str">
        <f>IF(M643="","",IF(M643="[FÓRMULA MANUAL]","",IFERROR(SUMPRODUCT((nNIA=M643)*(nCUENTA=1)*(COUNTIF(CONFIG_ASIGNATURAS!$B$7:$B$27,nASIG)&gt;0)*(nNOTA))/SUMPRODUCT((nNIA=M643)*(nCUENTA=1)*(COUNTIF(CONFIG_ASIGNATURAS!$B$7:$B$27,nASIG)&gt;0)*1),"")))</f>
        <v/>
      </c>
      <c r="T643" t="str">
        <f>IF(S643="","",IF(S643="[FÓRMULA MANUAL]","",IFERROR(AVERAGEIFS(nNOTA,nNIA,S643,nCUENTA,1,nASIG,"Armonía"),"")))</f>
        <v/>
      </c>
      <c r="U643" t="str">
        <f>IF(S643="","",IF(S643="[FÓRMULA MANUAL]","",IFERROR(AVERAGEIFS(nNOTA,nNIA,S643,nCUENTA,1,nASIG,"Orquesta/Banda/Conjunto"),"")))</f>
        <v/>
      </c>
      <c r="V643" t="str">
        <f>IF(S643="","",IF(S643="[FÓRMULA MANUAL]","",IFERROR(AVERAGEIFS(nNOTA,nNIA,S643,nCUENTA,1,nASIG,"Música de Cámara"),"")))</f>
        <v/>
      </c>
      <c r="W643" t="str">
        <f>IF(S643="","",IF(S643="[FÓRMULA MANUAL]","",IFERROR(SUMPRODUCT((nNIA=S643)*(nCUENTA=1)*(COUNTIF(CONFIG_ASIGNATURAS!$B$7:$B$27,nASIG)&gt;0)*(nNOTA))/SUMPRODUCT((nNIA=S643)*(nCUENTA=1)*(COUNTIF(CONFIG_ASIGNATURAS!$B$7:$B$27,nASIG)&gt;0)*1),"")))</f>
        <v/>
      </c>
      <c r="Z643" t="str">
        <f>IF(Y643="","",IF(Y643="[FÓRMULA MANUAL]","",IFERROR(AVERAGEIFS(nNOTA,nNIA,Y643,nCUENTA,1,nASIG,"Análisis"),"")))</f>
        <v/>
      </c>
      <c r="AA643" t="str">
        <f>IF(Y643="","",IF(Y643="[FÓRMULA MANUAL]","",IFERROR(AVERAGEIFS(nNOTA,nNIA,Y643,nCUENTA,1,nASIG,"Orquesta/Banda/Conjunto"),"")))</f>
        <v/>
      </c>
      <c r="AB643" t="str">
        <f>IF(Y643="","",IF(Y643="[FÓRMULA MANUAL]","",IFERROR(AVERAGEIFS(nNOTA,nNIA,Y643,nCUENTA,1,nASIG,"Música de Cámara"),"")))</f>
        <v/>
      </c>
      <c r="AC643" t="str">
        <f>IF(Y643="","",IF(Y643="[FÓRMULA MANUAL]","",IFERROR(SUMPRODUCT((nNIA=Y643)*(nCUENTA=1)*(COUNTIF(CONFIG_ASIGNATURAS!$B$7:$B$27,nASIG)&gt;0)*(nNOTA))/SUMPRODUCT((nNIA=Y643)*(nCUENTA=1)*(COUNTIF(CONFIG_ASIGNATURAS!$B$7:$B$27,nASIG)&gt;0)*1),"")))</f>
        <v/>
      </c>
      <c r="AF643" t="str">
        <f>IF(AE643="","",IF(AE643="[FÓRMULA MANUAL]","",IFERROR(AVERAGEIFS(nNOTA,nNIA,AE643,nCUENTA,1,nASIG,"Análisis"),"")))</f>
        <v/>
      </c>
      <c r="AG643" t="str">
        <f>IF(AE643="","",IF(AE643="[FÓRMULA MANUAL]","",IFERROR(AVERAGEIFS(nNOTA,nNIA,AE643,nCUENTA,1,nASIG,"Orquesta/Banda/Conjunto"),"")))</f>
        <v/>
      </c>
      <c r="AH643" t="str">
        <f>IF(AE643="","",IF(AE643="[FÓRMULA MANUAL]","",IFERROR(AVERAGEIFS(nNOTA,nNIA,AE643,nCUENTA,1,nASIG,"Música de Cámara"),"")))</f>
        <v/>
      </c>
      <c r="AI643" t="str">
        <f>IF(AE643="","",IF(AE643="[FÓRMULA MANUAL]","",IFERROR(SUMPRODUCT((nNIA=AE643)*(nCUENTA=1)*(COUNTIF(CONFIG_ASIGNATURAS!$B$7:$B$27,nASIG)&gt;0)*(nNOTA))/SUMPRODUCT((nNIA=AE643)*(nCUENTA=1)*(COUNTIF(CONFIG_ASIGNATURAS!$B$7:$B$27,nASIG)&gt;0)*1),"")))</f>
        <v/>
      </c>
    </row>
    <row r="644" spans="2:35" x14ac:dyDescent="0.2">
      <c r="B644" t="str">
        <f>IF(A644="","",IF(A644="[FÓRMULA MANUAL]","",IFERROR(AVERAGEIFS(nNOTA,nNIA,A644,nCUENTA,1,nASIG,"Lenguaje Musical"),"")))</f>
        <v/>
      </c>
      <c r="C644" t="str">
        <f>IF(A644="","",IF(A644="[FÓRMULA MANUAL]","",IFERROR(AVERAGEIFS(nNOTA,nNIA,A644,nCUENTA,1,nASIG,"Orquesta/Banda/Conjunto"),"")))</f>
        <v/>
      </c>
      <c r="D644" t="str">
        <f>IF(A644="","",IF(A644="[FÓRMULA MANUAL]","",IFERROR(AVERAGEIFS(nNOTA,nNIA,A644,nCUENTA,1,nASIG,"Conjunto"),"")))</f>
        <v/>
      </c>
      <c r="E644" t="str">
        <f>IF(A644="","",IF(A644="[FÓRMULA MANUAL]","",IFERROR(SUMPRODUCT((nNIA=A644)*(nCUENTA=1)*(COUNTIF(CONFIG_ASIGNATURAS!$B$7:$B$27,nASIG)&gt;0)*(nNOTA))/SUMPRODUCT((nNIA=A644)*(nCUENTA=1)*(COUNTIF(CONFIG_ASIGNATURAS!$B$7:$B$27,nASIG)&gt;0)*1),"")))</f>
        <v/>
      </c>
      <c r="H644" t="str">
        <f>IF(G644="","",IF(G644="[FÓRMULA MANUAL]","",IFERROR(AVERAGEIFS(nNOTA,nNIA,G644,nCUENTA,1,nASIG,"Lenguaje Musical"),"")))</f>
        <v/>
      </c>
      <c r="I644" t="str">
        <f>IF(G644="","",IF(G644="[FÓRMULA MANUAL]","",IFERROR(AVERAGEIFS(nNOTA,nNIA,G644,nCUENTA,1,nASIG,"Orquesta/Banda/Conjunto"),"")))</f>
        <v/>
      </c>
      <c r="J644" t="str">
        <f>IF(G644="","",IF(G644="[FÓRMULA MANUAL]","",IFERROR(AVERAGEIFS(nNOTA,nNIA,G644,nCUENTA,1,nASIG,"Conjunto"),"")))</f>
        <v/>
      </c>
      <c r="K644" t="str">
        <f>IF(G644="","",IF(G644="[FÓRMULA MANUAL]","",IFERROR(SUMPRODUCT((nNIA=G644)*(nCUENTA=1)*(COUNTIF(CONFIG_ASIGNATURAS!$B$7:$B$27,nASIG)&gt;0)*(nNOTA))/SUMPRODUCT((nNIA=G644)*(nCUENTA=1)*(COUNTIF(CONFIG_ASIGNATURAS!$B$7:$B$27,nASIG)&gt;0)*1),"")))</f>
        <v/>
      </c>
      <c r="N644" t="str">
        <f>IF(M644="","",IF(M644="[FÓRMULA MANUAL]","",IFERROR(AVERAGEIFS(nNOTA,nNIA,M644,nCUENTA,1,nASIG,"Armonía"),"")))</f>
        <v/>
      </c>
      <c r="O644" t="str">
        <f>IF(M644="","",IF(M644="[FÓRMULA MANUAL]","",IFERROR(AVERAGEIFS(nNOTA,nNIA,M644,nCUENTA,1,nASIG,"Orquesta/Banda/Conjunto"),"")))</f>
        <v/>
      </c>
      <c r="P644" t="str">
        <f>IF(M644="","",IF(M644="[FÓRMULA MANUAL]","",IFERROR(AVERAGEIFS(nNOTA,nNIA,M644,nCUENTA,1,nASIG,"Música de Cámara"),"")))</f>
        <v/>
      </c>
      <c r="Q644" t="str">
        <f>IF(M644="","",IF(M644="[FÓRMULA MANUAL]","",IFERROR(SUMPRODUCT((nNIA=M644)*(nCUENTA=1)*(COUNTIF(CONFIG_ASIGNATURAS!$B$7:$B$27,nASIG)&gt;0)*(nNOTA))/SUMPRODUCT((nNIA=M644)*(nCUENTA=1)*(COUNTIF(CONFIG_ASIGNATURAS!$B$7:$B$27,nASIG)&gt;0)*1),"")))</f>
        <v/>
      </c>
      <c r="T644" t="str">
        <f>IF(S644="","",IF(S644="[FÓRMULA MANUAL]","",IFERROR(AVERAGEIFS(nNOTA,nNIA,S644,nCUENTA,1,nASIG,"Armonía"),"")))</f>
        <v/>
      </c>
      <c r="U644" t="str">
        <f>IF(S644="","",IF(S644="[FÓRMULA MANUAL]","",IFERROR(AVERAGEIFS(nNOTA,nNIA,S644,nCUENTA,1,nASIG,"Orquesta/Banda/Conjunto"),"")))</f>
        <v/>
      </c>
      <c r="V644" t="str">
        <f>IF(S644="","",IF(S644="[FÓRMULA MANUAL]","",IFERROR(AVERAGEIFS(nNOTA,nNIA,S644,nCUENTA,1,nASIG,"Música de Cámara"),"")))</f>
        <v/>
      </c>
      <c r="W644" t="str">
        <f>IF(S644="","",IF(S644="[FÓRMULA MANUAL]","",IFERROR(SUMPRODUCT((nNIA=S644)*(nCUENTA=1)*(COUNTIF(CONFIG_ASIGNATURAS!$B$7:$B$27,nASIG)&gt;0)*(nNOTA))/SUMPRODUCT((nNIA=S644)*(nCUENTA=1)*(COUNTIF(CONFIG_ASIGNATURAS!$B$7:$B$27,nASIG)&gt;0)*1),"")))</f>
        <v/>
      </c>
      <c r="Z644" t="str">
        <f>IF(Y644="","",IF(Y644="[FÓRMULA MANUAL]","",IFERROR(AVERAGEIFS(nNOTA,nNIA,Y644,nCUENTA,1,nASIG,"Análisis"),"")))</f>
        <v/>
      </c>
      <c r="AA644" t="str">
        <f>IF(Y644="","",IF(Y644="[FÓRMULA MANUAL]","",IFERROR(AVERAGEIFS(nNOTA,nNIA,Y644,nCUENTA,1,nASIG,"Orquesta/Banda/Conjunto"),"")))</f>
        <v/>
      </c>
      <c r="AB644" t="str">
        <f>IF(Y644="","",IF(Y644="[FÓRMULA MANUAL]","",IFERROR(AVERAGEIFS(nNOTA,nNIA,Y644,nCUENTA,1,nASIG,"Música de Cámara"),"")))</f>
        <v/>
      </c>
      <c r="AC644" t="str">
        <f>IF(Y644="","",IF(Y644="[FÓRMULA MANUAL]","",IFERROR(SUMPRODUCT((nNIA=Y644)*(nCUENTA=1)*(COUNTIF(CONFIG_ASIGNATURAS!$B$7:$B$27,nASIG)&gt;0)*(nNOTA))/SUMPRODUCT((nNIA=Y644)*(nCUENTA=1)*(COUNTIF(CONFIG_ASIGNATURAS!$B$7:$B$27,nASIG)&gt;0)*1),"")))</f>
        <v/>
      </c>
      <c r="AF644" t="str">
        <f>IF(AE644="","",IF(AE644="[FÓRMULA MANUAL]","",IFERROR(AVERAGEIFS(nNOTA,nNIA,AE644,nCUENTA,1,nASIG,"Análisis"),"")))</f>
        <v/>
      </c>
      <c r="AG644" t="str">
        <f>IF(AE644="","",IF(AE644="[FÓRMULA MANUAL]","",IFERROR(AVERAGEIFS(nNOTA,nNIA,AE644,nCUENTA,1,nASIG,"Orquesta/Banda/Conjunto"),"")))</f>
        <v/>
      </c>
      <c r="AH644" t="str">
        <f>IF(AE644="","",IF(AE644="[FÓRMULA MANUAL]","",IFERROR(AVERAGEIFS(nNOTA,nNIA,AE644,nCUENTA,1,nASIG,"Música de Cámara"),"")))</f>
        <v/>
      </c>
      <c r="AI644" t="str">
        <f>IF(AE644="","",IF(AE644="[FÓRMULA MANUAL]","",IFERROR(SUMPRODUCT((nNIA=AE644)*(nCUENTA=1)*(COUNTIF(CONFIG_ASIGNATURAS!$B$7:$B$27,nASIG)&gt;0)*(nNOTA))/SUMPRODUCT((nNIA=AE644)*(nCUENTA=1)*(COUNTIF(CONFIG_ASIGNATURAS!$B$7:$B$27,nASIG)&gt;0)*1),"")))</f>
        <v/>
      </c>
    </row>
    <row r="645" spans="2:35" x14ac:dyDescent="0.2">
      <c r="B645" t="str">
        <f>IF(A645="","",IF(A645="[FÓRMULA MANUAL]","",IFERROR(AVERAGEIFS(nNOTA,nNIA,A645,nCUENTA,1,nASIG,"Lenguaje Musical"),"")))</f>
        <v/>
      </c>
      <c r="C645" t="str">
        <f>IF(A645="","",IF(A645="[FÓRMULA MANUAL]","",IFERROR(AVERAGEIFS(nNOTA,nNIA,A645,nCUENTA,1,nASIG,"Orquesta/Banda/Conjunto"),"")))</f>
        <v/>
      </c>
      <c r="D645" t="str">
        <f>IF(A645="","",IF(A645="[FÓRMULA MANUAL]","",IFERROR(AVERAGEIFS(nNOTA,nNIA,A645,nCUENTA,1,nASIG,"Conjunto"),"")))</f>
        <v/>
      </c>
      <c r="E645" t="str">
        <f>IF(A645="","",IF(A645="[FÓRMULA MANUAL]","",IFERROR(SUMPRODUCT((nNIA=A645)*(nCUENTA=1)*(COUNTIF(CONFIG_ASIGNATURAS!$B$7:$B$27,nASIG)&gt;0)*(nNOTA))/SUMPRODUCT((nNIA=A645)*(nCUENTA=1)*(COUNTIF(CONFIG_ASIGNATURAS!$B$7:$B$27,nASIG)&gt;0)*1),"")))</f>
        <v/>
      </c>
      <c r="H645" t="str">
        <f>IF(G645="","",IF(G645="[FÓRMULA MANUAL]","",IFERROR(AVERAGEIFS(nNOTA,nNIA,G645,nCUENTA,1,nASIG,"Lenguaje Musical"),"")))</f>
        <v/>
      </c>
      <c r="I645" t="str">
        <f>IF(G645="","",IF(G645="[FÓRMULA MANUAL]","",IFERROR(AVERAGEIFS(nNOTA,nNIA,G645,nCUENTA,1,nASIG,"Orquesta/Banda/Conjunto"),"")))</f>
        <v/>
      </c>
      <c r="J645" t="str">
        <f>IF(G645="","",IF(G645="[FÓRMULA MANUAL]","",IFERROR(AVERAGEIFS(nNOTA,nNIA,G645,nCUENTA,1,nASIG,"Conjunto"),"")))</f>
        <v/>
      </c>
      <c r="K645" t="str">
        <f>IF(G645="","",IF(G645="[FÓRMULA MANUAL]","",IFERROR(SUMPRODUCT((nNIA=G645)*(nCUENTA=1)*(COUNTIF(CONFIG_ASIGNATURAS!$B$7:$B$27,nASIG)&gt;0)*(nNOTA))/SUMPRODUCT((nNIA=G645)*(nCUENTA=1)*(COUNTIF(CONFIG_ASIGNATURAS!$B$7:$B$27,nASIG)&gt;0)*1),"")))</f>
        <v/>
      </c>
      <c r="N645" t="str">
        <f>IF(M645="","",IF(M645="[FÓRMULA MANUAL]","",IFERROR(AVERAGEIFS(nNOTA,nNIA,M645,nCUENTA,1,nASIG,"Armonía"),"")))</f>
        <v/>
      </c>
      <c r="O645" t="str">
        <f>IF(M645="","",IF(M645="[FÓRMULA MANUAL]","",IFERROR(AVERAGEIFS(nNOTA,nNIA,M645,nCUENTA,1,nASIG,"Orquesta/Banda/Conjunto"),"")))</f>
        <v/>
      </c>
      <c r="P645" t="str">
        <f>IF(M645="","",IF(M645="[FÓRMULA MANUAL]","",IFERROR(AVERAGEIFS(nNOTA,nNIA,M645,nCUENTA,1,nASIG,"Música de Cámara"),"")))</f>
        <v/>
      </c>
      <c r="Q645" t="str">
        <f>IF(M645="","",IF(M645="[FÓRMULA MANUAL]","",IFERROR(SUMPRODUCT((nNIA=M645)*(nCUENTA=1)*(COUNTIF(CONFIG_ASIGNATURAS!$B$7:$B$27,nASIG)&gt;0)*(nNOTA))/SUMPRODUCT((nNIA=M645)*(nCUENTA=1)*(COUNTIF(CONFIG_ASIGNATURAS!$B$7:$B$27,nASIG)&gt;0)*1),"")))</f>
        <v/>
      </c>
      <c r="T645" t="str">
        <f>IF(S645="","",IF(S645="[FÓRMULA MANUAL]","",IFERROR(AVERAGEIFS(nNOTA,nNIA,S645,nCUENTA,1,nASIG,"Armonía"),"")))</f>
        <v/>
      </c>
      <c r="U645" t="str">
        <f>IF(S645="","",IF(S645="[FÓRMULA MANUAL]","",IFERROR(AVERAGEIFS(nNOTA,nNIA,S645,nCUENTA,1,nASIG,"Orquesta/Banda/Conjunto"),"")))</f>
        <v/>
      </c>
      <c r="V645" t="str">
        <f>IF(S645="","",IF(S645="[FÓRMULA MANUAL]","",IFERROR(AVERAGEIFS(nNOTA,nNIA,S645,nCUENTA,1,nASIG,"Música de Cámara"),"")))</f>
        <v/>
      </c>
      <c r="W645" t="str">
        <f>IF(S645="","",IF(S645="[FÓRMULA MANUAL]","",IFERROR(SUMPRODUCT((nNIA=S645)*(nCUENTA=1)*(COUNTIF(CONFIG_ASIGNATURAS!$B$7:$B$27,nASIG)&gt;0)*(nNOTA))/SUMPRODUCT((nNIA=S645)*(nCUENTA=1)*(COUNTIF(CONFIG_ASIGNATURAS!$B$7:$B$27,nASIG)&gt;0)*1),"")))</f>
        <v/>
      </c>
      <c r="Z645" t="str">
        <f>IF(Y645="","",IF(Y645="[FÓRMULA MANUAL]","",IFERROR(AVERAGEIFS(nNOTA,nNIA,Y645,nCUENTA,1,nASIG,"Análisis"),"")))</f>
        <v/>
      </c>
      <c r="AA645" t="str">
        <f>IF(Y645="","",IF(Y645="[FÓRMULA MANUAL]","",IFERROR(AVERAGEIFS(nNOTA,nNIA,Y645,nCUENTA,1,nASIG,"Orquesta/Banda/Conjunto"),"")))</f>
        <v/>
      </c>
      <c r="AB645" t="str">
        <f>IF(Y645="","",IF(Y645="[FÓRMULA MANUAL]","",IFERROR(AVERAGEIFS(nNOTA,nNIA,Y645,nCUENTA,1,nASIG,"Música de Cámara"),"")))</f>
        <v/>
      </c>
      <c r="AC645" t="str">
        <f>IF(Y645="","",IF(Y645="[FÓRMULA MANUAL]","",IFERROR(SUMPRODUCT((nNIA=Y645)*(nCUENTA=1)*(COUNTIF(CONFIG_ASIGNATURAS!$B$7:$B$27,nASIG)&gt;0)*(nNOTA))/SUMPRODUCT((nNIA=Y645)*(nCUENTA=1)*(COUNTIF(CONFIG_ASIGNATURAS!$B$7:$B$27,nASIG)&gt;0)*1),"")))</f>
        <v/>
      </c>
      <c r="AF645" t="str">
        <f>IF(AE645="","",IF(AE645="[FÓRMULA MANUAL]","",IFERROR(AVERAGEIFS(nNOTA,nNIA,AE645,nCUENTA,1,nASIG,"Análisis"),"")))</f>
        <v/>
      </c>
      <c r="AG645" t="str">
        <f>IF(AE645="","",IF(AE645="[FÓRMULA MANUAL]","",IFERROR(AVERAGEIFS(nNOTA,nNIA,AE645,nCUENTA,1,nASIG,"Orquesta/Banda/Conjunto"),"")))</f>
        <v/>
      </c>
      <c r="AH645" t="str">
        <f>IF(AE645="","",IF(AE645="[FÓRMULA MANUAL]","",IFERROR(AVERAGEIFS(nNOTA,nNIA,AE645,nCUENTA,1,nASIG,"Música de Cámara"),"")))</f>
        <v/>
      </c>
      <c r="AI645" t="str">
        <f>IF(AE645="","",IF(AE645="[FÓRMULA MANUAL]","",IFERROR(SUMPRODUCT((nNIA=AE645)*(nCUENTA=1)*(COUNTIF(CONFIG_ASIGNATURAS!$B$7:$B$27,nASIG)&gt;0)*(nNOTA))/SUMPRODUCT((nNIA=AE645)*(nCUENTA=1)*(COUNTIF(CONFIG_ASIGNATURAS!$B$7:$B$27,nASIG)&gt;0)*1),"")))</f>
        <v/>
      </c>
    </row>
    <row r="646" spans="2:35" x14ac:dyDescent="0.2">
      <c r="B646" t="str">
        <f>IF(A646="","",IF(A646="[FÓRMULA MANUAL]","",IFERROR(AVERAGEIFS(nNOTA,nNIA,A646,nCUENTA,1,nASIG,"Lenguaje Musical"),"")))</f>
        <v/>
      </c>
      <c r="C646" t="str">
        <f>IF(A646="","",IF(A646="[FÓRMULA MANUAL]","",IFERROR(AVERAGEIFS(nNOTA,nNIA,A646,nCUENTA,1,nASIG,"Orquesta/Banda/Conjunto"),"")))</f>
        <v/>
      </c>
      <c r="D646" t="str">
        <f>IF(A646="","",IF(A646="[FÓRMULA MANUAL]","",IFERROR(AVERAGEIFS(nNOTA,nNIA,A646,nCUENTA,1,nASIG,"Conjunto"),"")))</f>
        <v/>
      </c>
      <c r="E646" t="str">
        <f>IF(A646="","",IF(A646="[FÓRMULA MANUAL]","",IFERROR(SUMPRODUCT((nNIA=A646)*(nCUENTA=1)*(COUNTIF(CONFIG_ASIGNATURAS!$B$7:$B$27,nASIG)&gt;0)*(nNOTA))/SUMPRODUCT((nNIA=A646)*(nCUENTA=1)*(COUNTIF(CONFIG_ASIGNATURAS!$B$7:$B$27,nASIG)&gt;0)*1),"")))</f>
        <v/>
      </c>
      <c r="H646" t="str">
        <f>IF(G646="","",IF(G646="[FÓRMULA MANUAL]","",IFERROR(AVERAGEIFS(nNOTA,nNIA,G646,nCUENTA,1,nASIG,"Lenguaje Musical"),"")))</f>
        <v/>
      </c>
      <c r="I646" t="str">
        <f>IF(G646="","",IF(G646="[FÓRMULA MANUAL]","",IFERROR(AVERAGEIFS(nNOTA,nNIA,G646,nCUENTA,1,nASIG,"Orquesta/Banda/Conjunto"),"")))</f>
        <v/>
      </c>
      <c r="J646" t="str">
        <f>IF(G646="","",IF(G646="[FÓRMULA MANUAL]","",IFERROR(AVERAGEIFS(nNOTA,nNIA,G646,nCUENTA,1,nASIG,"Conjunto"),"")))</f>
        <v/>
      </c>
      <c r="K646" t="str">
        <f>IF(G646="","",IF(G646="[FÓRMULA MANUAL]","",IFERROR(SUMPRODUCT((nNIA=G646)*(nCUENTA=1)*(COUNTIF(CONFIG_ASIGNATURAS!$B$7:$B$27,nASIG)&gt;0)*(nNOTA))/SUMPRODUCT((nNIA=G646)*(nCUENTA=1)*(COUNTIF(CONFIG_ASIGNATURAS!$B$7:$B$27,nASIG)&gt;0)*1),"")))</f>
        <v/>
      </c>
      <c r="N646" t="str">
        <f>IF(M646="","",IF(M646="[FÓRMULA MANUAL]","",IFERROR(AVERAGEIFS(nNOTA,nNIA,M646,nCUENTA,1,nASIG,"Armonía"),"")))</f>
        <v/>
      </c>
      <c r="O646" t="str">
        <f>IF(M646="","",IF(M646="[FÓRMULA MANUAL]","",IFERROR(AVERAGEIFS(nNOTA,nNIA,M646,nCUENTA,1,nASIG,"Orquesta/Banda/Conjunto"),"")))</f>
        <v/>
      </c>
      <c r="P646" t="str">
        <f>IF(M646="","",IF(M646="[FÓRMULA MANUAL]","",IFERROR(AVERAGEIFS(nNOTA,nNIA,M646,nCUENTA,1,nASIG,"Música de Cámara"),"")))</f>
        <v/>
      </c>
      <c r="Q646" t="str">
        <f>IF(M646="","",IF(M646="[FÓRMULA MANUAL]","",IFERROR(SUMPRODUCT((nNIA=M646)*(nCUENTA=1)*(COUNTIF(CONFIG_ASIGNATURAS!$B$7:$B$27,nASIG)&gt;0)*(nNOTA))/SUMPRODUCT((nNIA=M646)*(nCUENTA=1)*(COUNTIF(CONFIG_ASIGNATURAS!$B$7:$B$27,nASIG)&gt;0)*1),"")))</f>
        <v/>
      </c>
      <c r="T646" t="str">
        <f>IF(S646="","",IF(S646="[FÓRMULA MANUAL]","",IFERROR(AVERAGEIFS(nNOTA,nNIA,S646,nCUENTA,1,nASIG,"Armonía"),"")))</f>
        <v/>
      </c>
      <c r="U646" t="str">
        <f>IF(S646="","",IF(S646="[FÓRMULA MANUAL]","",IFERROR(AVERAGEIFS(nNOTA,nNIA,S646,nCUENTA,1,nASIG,"Orquesta/Banda/Conjunto"),"")))</f>
        <v/>
      </c>
      <c r="V646" t="str">
        <f>IF(S646="","",IF(S646="[FÓRMULA MANUAL]","",IFERROR(AVERAGEIFS(nNOTA,nNIA,S646,nCUENTA,1,nASIG,"Música de Cámara"),"")))</f>
        <v/>
      </c>
      <c r="W646" t="str">
        <f>IF(S646="","",IF(S646="[FÓRMULA MANUAL]","",IFERROR(SUMPRODUCT((nNIA=S646)*(nCUENTA=1)*(COUNTIF(CONFIG_ASIGNATURAS!$B$7:$B$27,nASIG)&gt;0)*(nNOTA))/SUMPRODUCT((nNIA=S646)*(nCUENTA=1)*(COUNTIF(CONFIG_ASIGNATURAS!$B$7:$B$27,nASIG)&gt;0)*1),"")))</f>
        <v/>
      </c>
      <c r="Z646" t="str">
        <f>IF(Y646="","",IF(Y646="[FÓRMULA MANUAL]","",IFERROR(AVERAGEIFS(nNOTA,nNIA,Y646,nCUENTA,1,nASIG,"Análisis"),"")))</f>
        <v/>
      </c>
      <c r="AA646" t="str">
        <f>IF(Y646="","",IF(Y646="[FÓRMULA MANUAL]","",IFERROR(AVERAGEIFS(nNOTA,nNIA,Y646,nCUENTA,1,nASIG,"Orquesta/Banda/Conjunto"),"")))</f>
        <v/>
      </c>
      <c r="AB646" t="str">
        <f>IF(Y646="","",IF(Y646="[FÓRMULA MANUAL]","",IFERROR(AVERAGEIFS(nNOTA,nNIA,Y646,nCUENTA,1,nASIG,"Música de Cámara"),"")))</f>
        <v/>
      </c>
      <c r="AC646" t="str">
        <f>IF(Y646="","",IF(Y646="[FÓRMULA MANUAL]","",IFERROR(SUMPRODUCT((nNIA=Y646)*(nCUENTA=1)*(COUNTIF(CONFIG_ASIGNATURAS!$B$7:$B$27,nASIG)&gt;0)*(nNOTA))/SUMPRODUCT((nNIA=Y646)*(nCUENTA=1)*(COUNTIF(CONFIG_ASIGNATURAS!$B$7:$B$27,nASIG)&gt;0)*1),"")))</f>
        <v/>
      </c>
      <c r="AF646" t="str">
        <f>IF(AE646="","",IF(AE646="[FÓRMULA MANUAL]","",IFERROR(AVERAGEIFS(nNOTA,nNIA,AE646,nCUENTA,1,nASIG,"Análisis"),"")))</f>
        <v/>
      </c>
      <c r="AG646" t="str">
        <f>IF(AE646="","",IF(AE646="[FÓRMULA MANUAL]","",IFERROR(AVERAGEIFS(nNOTA,nNIA,AE646,nCUENTA,1,nASIG,"Orquesta/Banda/Conjunto"),"")))</f>
        <v/>
      </c>
      <c r="AH646" t="str">
        <f>IF(AE646="","",IF(AE646="[FÓRMULA MANUAL]","",IFERROR(AVERAGEIFS(nNOTA,nNIA,AE646,nCUENTA,1,nASIG,"Música de Cámara"),"")))</f>
        <v/>
      </c>
      <c r="AI646" t="str">
        <f>IF(AE646="","",IF(AE646="[FÓRMULA MANUAL]","",IFERROR(SUMPRODUCT((nNIA=AE646)*(nCUENTA=1)*(COUNTIF(CONFIG_ASIGNATURAS!$B$7:$B$27,nASIG)&gt;0)*(nNOTA))/SUMPRODUCT((nNIA=AE646)*(nCUENTA=1)*(COUNTIF(CONFIG_ASIGNATURAS!$B$7:$B$27,nASIG)&gt;0)*1),"")))</f>
        <v/>
      </c>
    </row>
    <row r="647" spans="2:35" x14ac:dyDescent="0.2">
      <c r="B647" t="str">
        <f>IF(A647="","",IF(A647="[FÓRMULA MANUAL]","",IFERROR(AVERAGEIFS(nNOTA,nNIA,A647,nCUENTA,1,nASIG,"Lenguaje Musical"),"")))</f>
        <v/>
      </c>
      <c r="C647" t="str">
        <f>IF(A647="","",IF(A647="[FÓRMULA MANUAL]","",IFERROR(AVERAGEIFS(nNOTA,nNIA,A647,nCUENTA,1,nASIG,"Orquesta/Banda/Conjunto"),"")))</f>
        <v/>
      </c>
      <c r="D647" t="str">
        <f>IF(A647="","",IF(A647="[FÓRMULA MANUAL]","",IFERROR(AVERAGEIFS(nNOTA,nNIA,A647,nCUENTA,1,nASIG,"Conjunto"),"")))</f>
        <v/>
      </c>
      <c r="E647" t="str">
        <f>IF(A647="","",IF(A647="[FÓRMULA MANUAL]","",IFERROR(SUMPRODUCT((nNIA=A647)*(nCUENTA=1)*(COUNTIF(CONFIG_ASIGNATURAS!$B$7:$B$27,nASIG)&gt;0)*(nNOTA))/SUMPRODUCT((nNIA=A647)*(nCUENTA=1)*(COUNTIF(CONFIG_ASIGNATURAS!$B$7:$B$27,nASIG)&gt;0)*1),"")))</f>
        <v/>
      </c>
      <c r="H647" t="str">
        <f>IF(G647="","",IF(G647="[FÓRMULA MANUAL]","",IFERROR(AVERAGEIFS(nNOTA,nNIA,G647,nCUENTA,1,nASIG,"Lenguaje Musical"),"")))</f>
        <v/>
      </c>
      <c r="I647" t="str">
        <f>IF(G647="","",IF(G647="[FÓRMULA MANUAL]","",IFERROR(AVERAGEIFS(nNOTA,nNIA,G647,nCUENTA,1,nASIG,"Orquesta/Banda/Conjunto"),"")))</f>
        <v/>
      </c>
      <c r="J647" t="str">
        <f>IF(G647="","",IF(G647="[FÓRMULA MANUAL]","",IFERROR(AVERAGEIFS(nNOTA,nNIA,G647,nCUENTA,1,nASIG,"Conjunto"),"")))</f>
        <v/>
      </c>
      <c r="K647" t="str">
        <f>IF(G647="","",IF(G647="[FÓRMULA MANUAL]","",IFERROR(SUMPRODUCT((nNIA=G647)*(nCUENTA=1)*(COUNTIF(CONFIG_ASIGNATURAS!$B$7:$B$27,nASIG)&gt;0)*(nNOTA))/SUMPRODUCT((nNIA=G647)*(nCUENTA=1)*(COUNTIF(CONFIG_ASIGNATURAS!$B$7:$B$27,nASIG)&gt;0)*1),"")))</f>
        <v/>
      </c>
      <c r="N647" t="str">
        <f>IF(M647="","",IF(M647="[FÓRMULA MANUAL]","",IFERROR(AVERAGEIFS(nNOTA,nNIA,M647,nCUENTA,1,nASIG,"Armonía"),"")))</f>
        <v/>
      </c>
      <c r="O647" t="str">
        <f>IF(M647="","",IF(M647="[FÓRMULA MANUAL]","",IFERROR(AVERAGEIFS(nNOTA,nNIA,M647,nCUENTA,1,nASIG,"Orquesta/Banda/Conjunto"),"")))</f>
        <v/>
      </c>
      <c r="P647" t="str">
        <f>IF(M647="","",IF(M647="[FÓRMULA MANUAL]","",IFERROR(AVERAGEIFS(nNOTA,nNIA,M647,nCUENTA,1,nASIG,"Música de Cámara"),"")))</f>
        <v/>
      </c>
      <c r="Q647" t="str">
        <f>IF(M647="","",IF(M647="[FÓRMULA MANUAL]","",IFERROR(SUMPRODUCT((nNIA=M647)*(nCUENTA=1)*(COUNTIF(CONFIG_ASIGNATURAS!$B$7:$B$27,nASIG)&gt;0)*(nNOTA))/SUMPRODUCT((nNIA=M647)*(nCUENTA=1)*(COUNTIF(CONFIG_ASIGNATURAS!$B$7:$B$27,nASIG)&gt;0)*1),"")))</f>
        <v/>
      </c>
      <c r="T647" t="str">
        <f>IF(S647="","",IF(S647="[FÓRMULA MANUAL]","",IFERROR(AVERAGEIFS(nNOTA,nNIA,S647,nCUENTA,1,nASIG,"Armonía"),"")))</f>
        <v/>
      </c>
      <c r="U647" t="str">
        <f>IF(S647="","",IF(S647="[FÓRMULA MANUAL]","",IFERROR(AVERAGEIFS(nNOTA,nNIA,S647,nCUENTA,1,nASIG,"Orquesta/Banda/Conjunto"),"")))</f>
        <v/>
      </c>
      <c r="V647" t="str">
        <f>IF(S647="","",IF(S647="[FÓRMULA MANUAL]","",IFERROR(AVERAGEIFS(nNOTA,nNIA,S647,nCUENTA,1,nASIG,"Música de Cámara"),"")))</f>
        <v/>
      </c>
      <c r="W647" t="str">
        <f>IF(S647="","",IF(S647="[FÓRMULA MANUAL]","",IFERROR(SUMPRODUCT((nNIA=S647)*(nCUENTA=1)*(COUNTIF(CONFIG_ASIGNATURAS!$B$7:$B$27,nASIG)&gt;0)*(nNOTA))/SUMPRODUCT((nNIA=S647)*(nCUENTA=1)*(COUNTIF(CONFIG_ASIGNATURAS!$B$7:$B$27,nASIG)&gt;0)*1),"")))</f>
        <v/>
      </c>
      <c r="Z647" t="str">
        <f>IF(Y647="","",IF(Y647="[FÓRMULA MANUAL]","",IFERROR(AVERAGEIFS(nNOTA,nNIA,Y647,nCUENTA,1,nASIG,"Análisis"),"")))</f>
        <v/>
      </c>
      <c r="AA647" t="str">
        <f>IF(Y647="","",IF(Y647="[FÓRMULA MANUAL]","",IFERROR(AVERAGEIFS(nNOTA,nNIA,Y647,nCUENTA,1,nASIG,"Orquesta/Banda/Conjunto"),"")))</f>
        <v/>
      </c>
      <c r="AB647" t="str">
        <f>IF(Y647="","",IF(Y647="[FÓRMULA MANUAL]","",IFERROR(AVERAGEIFS(nNOTA,nNIA,Y647,nCUENTA,1,nASIG,"Música de Cámara"),"")))</f>
        <v/>
      </c>
      <c r="AC647" t="str">
        <f>IF(Y647="","",IF(Y647="[FÓRMULA MANUAL]","",IFERROR(SUMPRODUCT((nNIA=Y647)*(nCUENTA=1)*(COUNTIF(CONFIG_ASIGNATURAS!$B$7:$B$27,nASIG)&gt;0)*(nNOTA))/SUMPRODUCT((nNIA=Y647)*(nCUENTA=1)*(COUNTIF(CONFIG_ASIGNATURAS!$B$7:$B$27,nASIG)&gt;0)*1),"")))</f>
        <v/>
      </c>
      <c r="AF647" t="str">
        <f>IF(AE647="","",IF(AE647="[FÓRMULA MANUAL]","",IFERROR(AVERAGEIFS(nNOTA,nNIA,AE647,nCUENTA,1,nASIG,"Análisis"),"")))</f>
        <v/>
      </c>
      <c r="AG647" t="str">
        <f>IF(AE647="","",IF(AE647="[FÓRMULA MANUAL]","",IFERROR(AVERAGEIFS(nNOTA,nNIA,AE647,nCUENTA,1,nASIG,"Orquesta/Banda/Conjunto"),"")))</f>
        <v/>
      </c>
      <c r="AH647" t="str">
        <f>IF(AE647="","",IF(AE647="[FÓRMULA MANUAL]","",IFERROR(AVERAGEIFS(nNOTA,nNIA,AE647,nCUENTA,1,nASIG,"Música de Cámara"),"")))</f>
        <v/>
      </c>
      <c r="AI647" t="str">
        <f>IF(AE647="","",IF(AE647="[FÓRMULA MANUAL]","",IFERROR(SUMPRODUCT((nNIA=AE647)*(nCUENTA=1)*(COUNTIF(CONFIG_ASIGNATURAS!$B$7:$B$27,nASIG)&gt;0)*(nNOTA))/SUMPRODUCT((nNIA=AE647)*(nCUENTA=1)*(COUNTIF(CONFIG_ASIGNATURAS!$B$7:$B$27,nASIG)&gt;0)*1),"")))</f>
        <v/>
      </c>
    </row>
    <row r="648" spans="2:35" x14ac:dyDescent="0.2">
      <c r="B648" t="str">
        <f>IF(A648="","",IF(A648="[FÓRMULA MANUAL]","",IFERROR(AVERAGEIFS(nNOTA,nNIA,A648,nCUENTA,1,nASIG,"Lenguaje Musical"),"")))</f>
        <v/>
      </c>
      <c r="C648" t="str">
        <f>IF(A648="","",IF(A648="[FÓRMULA MANUAL]","",IFERROR(AVERAGEIFS(nNOTA,nNIA,A648,nCUENTA,1,nASIG,"Orquesta/Banda/Conjunto"),"")))</f>
        <v/>
      </c>
      <c r="D648" t="str">
        <f>IF(A648="","",IF(A648="[FÓRMULA MANUAL]","",IFERROR(AVERAGEIFS(nNOTA,nNIA,A648,nCUENTA,1,nASIG,"Conjunto"),"")))</f>
        <v/>
      </c>
      <c r="E648" t="str">
        <f>IF(A648="","",IF(A648="[FÓRMULA MANUAL]","",IFERROR(SUMPRODUCT((nNIA=A648)*(nCUENTA=1)*(COUNTIF(CONFIG_ASIGNATURAS!$B$7:$B$27,nASIG)&gt;0)*(nNOTA))/SUMPRODUCT((nNIA=A648)*(nCUENTA=1)*(COUNTIF(CONFIG_ASIGNATURAS!$B$7:$B$27,nASIG)&gt;0)*1),"")))</f>
        <v/>
      </c>
      <c r="H648" t="str">
        <f>IF(G648="","",IF(G648="[FÓRMULA MANUAL]","",IFERROR(AVERAGEIFS(nNOTA,nNIA,G648,nCUENTA,1,nASIG,"Lenguaje Musical"),"")))</f>
        <v/>
      </c>
      <c r="I648" t="str">
        <f>IF(G648="","",IF(G648="[FÓRMULA MANUAL]","",IFERROR(AVERAGEIFS(nNOTA,nNIA,G648,nCUENTA,1,nASIG,"Orquesta/Banda/Conjunto"),"")))</f>
        <v/>
      </c>
      <c r="J648" t="str">
        <f>IF(G648="","",IF(G648="[FÓRMULA MANUAL]","",IFERROR(AVERAGEIFS(nNOTA,nNIA,G648,nCUENTA,1,nASIG,"Conjunto"),"")))</f>
        <v/>
      </c>
      <c r="K648" t="str">
        <f>IF(G648="","",IF(G648="[FÓRMULA MANUAL]","",IFERROR(SUMPRODUCT((nNIA=G648)*(nCUENTA=1)*(COUNTIF(CONFIG_ASIGNATURAS!$B$7:$B$27,nASIG)&gt;0)*(nNOTA))/SUMPRODUCT((nNIA=G648)*(nCUENTA=1)*(COUNTIF(CONFIG_ASIGNATURAS!$B$7:$B$27,nASIG)&gt;0)*1),"")))</f>
        <v/>
      </c>
      <c r="N648" t="str">
        <f>IF(M648="","",IF(M648="[FÓRMULA MANUAL]","",IFERROR(AVERAGEIFS(nNOTA,nNIA,M648,nCUENTA,1,nASIG,"Armonía"),"")))</f>
        <v/>
      </c>
      <c r="O648" t="str">
        <f>IF(M648="","",IF(M648="[FÓRMULA MANUAL]","",IFERROR(AVERAGEIFS(nNOTA,nNIA,M648,nCUENTA,1,nASIG,"Orquesta/Banda/Conjunto"),"")))</f>
        <v/>
      </c>
      <c r="P648" t="str">
        <f>IF(M648="","",IF(M648="[FÓRMULA MANUAL]","",IFERROR(AVERAGEIFS(nNOTA,nNIA,M648,nCUENTA,1,nASIG,"Música de Cámara"),"")))</f>
        <v/>
      </c>
      <c r="Q648" t="str">
        <f>IF(M648="","",IF(M648="[FÓRMULA MANUAL]","",IFERROR(SUMPRODUCT((nNIA=M648)*(nCUENTA=1)*(COUNTIF(CONFIG_ASIGNATURAS!$B$7:$B$27,nASIG)&gt;0)*(nNOTA))/SUMPRODUCT((nNIA=M648)*(nCUENTA=1)*(COUNTIF(CONFIG_ASIGNATURAS!$B$7:$B$27,nASIG)&gt;0)*1),"")))</f>
        <v/>
      </c>
      <c r="T648" t="str">
        <f>IF(S648="","",IF(S648="[FÓRMULA MANUAL]","",IFERROR(AVERAGEIFS(nNOTA,nNIA,S648,nCUENTA,1,nASIG,"Armonía"),"")))</f>
        <v/>
      </c>
      <c r="U648" t="str">
        <f>IF(S648="","",IF(S648="[FÓRMULA MANUAL]","",IFERROR(AVERAGEIFS(nNOTA,nNIA,S648,nCUENTA,1,nASIG,"Orquesta/Banda/Conjunto"),"")))</f>
        <v/>
      </c>
      <c r="V648" t="str">
        <f>IF(S648="","",IF(S648="[FÓRMULA MANUAL]","",IFERROR(AVERAGEIFS(nNOTA,nNIA,S648,nCUENTA,1,nASIG,"Música de Cámara"),"")))</f>
        <v/>
      </c>
      <c r="W648" t="str">
        <f>IF(S648="","",IF(S648="[FÓRMULA MANUAL]","",IFERROR(SUMPRODUCT((nNIA=S648)*(nCUENTA=1)*(COUNTIF(CONFIG_ASIGNATURAS!$B$7:$B$27,nASIG)&gt;0)*(nNOTA))/SUMPRODUCT((nNIA=S648)*(nCUENTA=1)*(COUNTIF(CONFIG_ASIGNATURAS!$B$7:$B$27,nASIG)&gt;0)*1),"")))</f>
        <v/>
      </c>
      <c r="Z648" t="str">
        <f>IF(Y648="","",IF(Y648="[FÓRMULA MANUAL]","",IFERROR(AVERAGEIFS(nNOTA,nNIA,Y648,nCUENTA,1,nASIG,"Análisis"),"")))</f>
        <v/>
      </c>
      <c r="AA648" t="str">
        <f>IF(Y648="","",IF(Y648="[FÓRMULA MANUAL]","",IFERROR(AVERAGEIFS(nNOTA,nNIA,Y648,nCUENTA,1,nASIG,"Orquesta/Banda/Conjunto"),"")))</f>
        <v/>
      </c>
      <c r="AB648" t="str">
        <f>IF(Y648="","",IF(Y648="[FÓRMULA MANUAL]","",IFERROR(AVERAGEIFS(nNOTA,nNIA,Y648,nCUENTA,1,nASIG,"Música de Cámara"),"")))</f>
        <v/>
      </c>
      <c r="AC648" t="str">
        <f>IF(Y648="","",IF(Y648="[FÓRMULA MANUAL]","",IFERROR(SUMPRODUCT((nNIA=Y648)*(nCUENTA=1)*(COUNTIF(CONFIG_ASIGNATURAS!$B$7:$B$27,nASIG)&gt;0)*(nNOTA))/SUMPRODUCT((nNIA=Y648)*(nCUENTA=1)*(COUNTIF(CONFIG_ASIGNATURAS!$B$7:$B$27,nASIG)&gt;0)*1),"")))</f>
        <v/>
      </c>
      <c r="AF648" t="str">
        <f>IF(AE648="","",IF(AE648="[FÓRMULA MANUAL]","",IFERROR(AVERAGEIFS(nNOTA,nNIA,AE648,nCUENTA,1,nASIG,"Análisis"),"")))</f>
        <v/>
      </c>
      <c r="AG648" t="str">
        <f>IF(AE648="","",IF(AE648="[FÓRMULA MANUAL]","",IFERROR(AVERAGEIFS(nNOTA,nNIA,AE648,nCUENTA,1,nASIG,"Orquesta/Banda/Conjunto"),"")))</f>
        <v/>
      </c>
      <c r="AH648" t="str">
        <f>IF(AE648="","",IF(AE648="[FÓRMULA MANUAL]","",IFERROR(AVERAGEIFS(nNOTA,nNIA,AE648,nCUENTA,1,nASIG,"Música de Cámara"),"")))</f>
        <v/>
      </c>
      <c r="AI648" t="str">
        <f>IF(AE648="","",IF(AE648="[FÓRMULA MANUAL]","",IFERROR(SUMPRODUCT((nNIA=AE648)*(nCUENTA=1)*(COUNTIF(CONFIG_ASIGNATURAS!$B$7:$B$27,nASIG)&gt;0)*(nNOTA))/SUMPRODUCT((nNIA=AE648)*(nCUENTA=1)*(COUNTIF(CONFIG_ASIGNATURAS!$B$7:$B$27,nASIG)&gt;0)*1),"")))</f>
        <v/>
      </c>
    </row>
    <row r="649" spans="2:35" x14ac:dyDescent="0.2">
      <c r="B649" t="str">
        <f>IF(A649="","",IF(A649="[FÓRMULA MANUAL]","",IFERROR(AVERAGEIFS(nNOTA,nNIA,A649,nCUENTA,1,nASIG,"Lenguaje Musical"),"")))</f>
        <v/>
      </c>
      <c r="C649" t="str">
        <f>IF(A649="","",IF(A649="[FÓRMULA MANUAL]","",IFERROR(AVERAGEIFS(nNOTA,nNIA,A649,nCUENTA,1,nASIG,"Orquesta/Banda/Conjunto"),"")))</f>
        <v/>
      </c>
      <c r="D649" t="str">
        <f>IF(A649="","",IF(A649="[FÓRMULA MANUAL]","",IFERROR(AVERAGEIFS(nNOTA,nNIA,A649,nCUENTA,1,nASIG,"Conjunto"),"")))</f>
        <v/>
      </c>
      <c r="E649" t="str">
        <f>IF(A649="","",IF(A649="[FÓRMULA MANUAL]","",IFERROR(SUMPRODUCT((nNIA=A649)*(nCUENTA=1)*(COUNTIF(CONFIG_ASIGNATURAS!$B$7:$B$27,nASIG)&gt;0)*(nNOTA))/SUMPRODUCT((nNIA=A649)*(nCUENTA=1)*(COUNTIF(CONFIG_ASIGNATURAS!$B$7:$B$27,nASIG)&gt;0)*1),"")))</f>
        <v/>
      </c>
      <c r="H649" t="str">
        <f>IF(G649="","",IF(G649="[FÓRMULA MANUAL]","",IFERROR(AVERAGEIFS(nNOTA,nNIA,G649,nCUENTA,1,nASIG,"Lenguaje Musical"),"")))</f>
        <v/>
      </c>
      <c r="I649" t="str">
        <f>IF(G649="","",IF(G649="[FÓRMULA MANUAL]","",IFERROR(AVERAGEIFS(nNOTA,nNIA,G649,nCUENTA,1,nASIG,"Orquesta/Banda/Conjunto"),"")))</f>
        <v/>
      </c>
      <c r="J649" t="str">
        <f>IF(G649="","",IF(G649="[FÓRMULA MANUAL]","",IFERROR(AVERAGEIFS(nNOTA,nNIA,G649,nCUENTA,1,nASIG,"Conjunto"),"")))</f>
        <v/>
      </c>
      <c r="K649" t="str">
        <f>IF(G649="","",IF(G649="[FÓRMULA MANUAL]","",IFERROR(SUMPRODUCT((nNIA=G649)*(nCUENTA=1)*(COUNTIF(CONFIG_ASIGNATURAS!$B$7:$B$27,nASIG)&gt;0)*(nNOTA))/SUMPRODUCT((nNIA=G649)*(nCUENTA=1)*(COUNTIF(CONFIG_ASIGNATURAS!$B$7:$B$27,nASIG)&gt;0)*1),"")))</f>
        <v/>
      </c>
      <c r="N649" t="str">
        <f>IF(M649="","",IF(M649="[FÓRMULA MANUAL]","",IFERROR(AVERAGEIFS(nNOTA,nNIA,M649,nCUENTA,1,nASIG,"Armonía"),"")))</f>
        <v/>
      </c>
      <c r="O649" t="str">
        <f>IF(M649="","",IF(M649="[FÓRMULA MANUAL]","",IFERROR(AVERAGEIFS(nNOTA,nNIA,M649,nCUENTA,1,nASIG,"Orquesta/Banda/Conjunto"),"")))</f>
        <v/>
      </c>
      <c r="P649" t="str">
        <f>IF(M649="","",IF(M649="[FÓRMULA MANUAL]","",IFERROR(AVERAGEIFS(nNOTA,nNIA,M649,nCUENTA,1,nASIG,"Música de Cámara"),"")))</f>
        <v/>
      </c>
      <c r="Q649" t="str">
        <f>IF(M649="","",IF(M649="[FÓRMULA MANUAL]","",IFERROR(SUMPRODUCT((nNIA=M649)*(nCUENTA=1)*(COUNTIF(CONFIG_ASIGNATURAS!$B$7:$B$27,nASIG)&gt;0)*(nNOTA))/SUMPRODUCT((nNIA=M649)*(nCUENTA=1)*(COUNTIF(CONFIG_ASIGNATURAS!$B$7:$B$27,nASIG)&gt;0)*1),"")))</f>
        <v/>
      </c>
      <c r="T649" t="str">
        <f>IF(S649="","",IF(S649="[FÓRMULA MANUAL]","",IFERROR(AVERAGEIFS(nNOTA,nNIA,S649,nCUENTA,1,nASIG,"Armonía"),"")))</f>
        <v/>
      </c>
      <c r="U649" t="str">
        <f>IF(S649="","",IF(S649="[FÓRMULA MANUAL]","",IFERROR(AVERAGEIFS(nNOTA,nNIA,S649,nCUENTA,1,nASIG,"Orquesta/Banda/Conjunto"),"")))</f>
        <v/>
      </c>
      <c r="V649" t="str">
        <f>IF(S649="","",IF(S649="[FÓRMULA MANUAL]","",IFERROR(AVERAGEIFS(nNOTA,nNIA,S649,nCUENTA,1,nASIG,"Música de Cámara"),"")))</f>
        <v/>
      </c>
      <c r="W649" t="str">
        <f>IF(S649="","",IF(S649="[FÓRMULA MANUAL]","",IFERROR(SUMPRODUCT((nNIA=S649)*(nCUENTA=1)*(COUNTIF(CONFIG_ASIGNATURAS!$B$7:$B$27,nASIG)&gt;0)*(nNOTA))/SUMPRODUCT((nNIA=S649)*(nCUENTA=1)*(COUNTIF(CONFIG_ASIGNATURAS!$B$7:$B$27,nASIG)&gt;0)*1),"")))</f>
        <v/>
      </c>
      <c r="Z649" t="str">
        <f>IF(Y649="","",IF(Y649="[FÓRMULA MANUAL]","",IFERROR(AVERAGEIFS(nNOTA,nNIA,Y649,nCUENTA,1,nASIG,"Análisis"),"")))</f>
        <v/>
      </c>
      <c r="AA649" t="str">
        <f>IF(Y649="","",IF(Y649="[FÓRMULA MANUAL]","",IFERROR(AVERAGEIFS(nNOTA,nNIA,Y649,nCUENTA,1,nASIG,"Orquesta/Banda/Conjunto"),"")))</f>
        <v/>
      </c>
      <c r="AB649" t="str">
        <f>IF(Y649="","",IF(Y649="[FÓRMULA MANUAL]","",IFERROR(AVERAGEIFS(nNOTA,nNIA,Y649,nCUENTA,1,nASIG,"Música de Cámara"),"")))</f>
        <v/>
      </c>
      <c r="AC649" t="str">
        <f>IF(Y649="","",IF(Y649="[FÓRMULA MANUAL]","",IFERROR(SUMPRODUCT((nNIA=Y649)*(nCUENTA=1)*(COUNTIF(CONFIG_ASIGNATURAS!$B$7:$B$27,nASIG)&gt;0)*(nNOTA))/SUMPRODUCT((nNIA=Y649)*(nCUENTA=1)*(COUNTIF(CONFIG_ASIGNATURAS!$B$7:$B$27,nASIG)&gt;0)*1),"")))</f>
        <v/>
      </c>
      <c r="AF649" t="str">
        <f>IF(AE649="","",IF(AE649="[FÓRMULA MANUAL]","",IFERROR(AVERAGEIFS(nNOTA,nNIA,AE649,nCUENTA,1,nASIG,"Análisis"),"")))</f>
        <v/>
      </c>
      <c r="AG649" t="str">
        <f>IF(AE649="","",IF(AE649="[FÓRMULA MANUAL]","",IFERROR(AVERAGEIFS(nNOTA,nNIA,AE649,nCUENTA,1,nASIG,"Orquesta/Banda/Conjunto"),"")))</f>
        <v/>
      </c>
      <c r="AH649" t="str">
        <f>IF(AE649="","",IF(AE649="[FÓRMULA MANUAL]","",IFERROR(AVERAGEIFS(nNOTA,nNIA,AE649,nCUENTA,1,nASIG,"Música de Cámara"),"")))</f>
        <v/>
      </c>
      <c r="AI649" t="str">
        <f>IF(AE649="","",IF(AE649="[FÓRMULA MANUAL]","",IFERROR(SUMPRODUCT((nNIA=AE649)*(nCUENTA=1)*(COUNTIF(CONFIG_ASIGNATURAS!$B$7:$B$27,nASIG)&gt;0)*(nNOTA))/SUMPRODUCT((nNIA=AE649)*(nCUENTA=1)*(COUNTIF(CONFIG_ASIGNATURAS!$B$7:$B$27,nASIG)&gt;0)*1),"")))</f>
        <v/>
      </c>
    </row>
    <row r="650" spans="2:35" x14ac:dyDescent="0.2">
      <c r="B650" t="str">
        <f>IF(A650="","",IF(A650="[FÓRMULA MANUAL]","",IFERROR(AVERAGEIFS(nNOTA,nNIA,A650,nCUENTA,1,nASIG,"Lenguaje Musical"),"")))</f>
        <v/>
      </c>
      <c r="C650" t="str">
        <f>IF(A650="","",IF(A650="[FÓRMULA MANUAL]","",IFERROR(AVERAGEIFS(nNOTA,nNIA,A650,nCUENTA,1,nASIG,"Orquesta/Banda/Conjunto"),"")))</f>
        <v/>
      </c>
      <c r="D650" t="str">
        <f>IF(A650="","",IF(A650="[FÓRMULA MANUAL]","",IFERROR(AVERAGEIFS(nNOTA,nNIA,A650,nCUENTA,1,nASIG,"Conjunto"),"")))</f>
        <v/>
      </c>
      <c r="E650" t="str">
        <f>IF(A650="","",IF(A650="[FÓRMULA MANUAL]","",IFERROR(SUMPRODUCT((nNIA=A650)*(nCUENTA=1)*(COUNTIF(CONFIG_ASIGNATURAS!$B$7:$B$27,nASIG)&gt;0)*(nNOTA))/SUMPRODUCT((nNIA=A650)*(nCUENTA=1)*(COUNTIF(CONFIG_ASIGNATURAS!$B$7:$B$27,nASIG)&gt;0)*1),"")))</f>
        <v/>
      </c>
      <c r="H650" t="str">
        <f>IF(G650="","",IF(G650="[FÓRMULA MANUAL]","",IFERROR(AVERAGEIFS(nNOTA,nNIA,G650,nCUENTA,1,nASIG,"Lenguaje Musical"),"")))</f>
        <v/>
      </c>
      <c r="I650" t="str">
        <f>IF(G650="","",IF(G650="[FÓRMULA MANUAL]","",IFERROR(AVERAGEIFS(nNOTA,nNIA,G650,nCUENTA,1,nASIG,"Orquesta/Banda/Conjunto"),"")))</f>
        <v/>
      </c>
      <c r="J650" t="str">
        <f>IF(G650="","",IF(G650="[FÓRMULA MANUAL]","",IFERROR(AVERAGEIFS(nNOTA,nNIA,G650,nCUENTA,1,nASIG,"Conjunto"),"")))</f>
        <v/>
      </c>
      <c r="K650" t="str">
        <f>IF(G650="","",IF(G650="[FÓRMULA MANUAL]","",IFERROR(SUMPRODUCT((nNIA=G650)*(nCUENTA=1)*(COUNTIF(CONFIG_ASIGNATURAS!$B$7:$B$27,nASIG)&gt;0)*(nNOTA))/SUMPRODUCT((nNIA=G650)*(nCUENTA=1)*(COUNTIF(CONFIG_ASIGNATURAS!$B$7:$B$27,nASIG)&gt;0)*1),"")))</f>
        <v/>
      </c>
      <c r="N650" t="str">
        <f>IF(M650="","",IF(M650="[FÓRMULA MANUAL]","",IFERROR(AVERAGEIFS(nNOTA,nNIA,M650,nCUENTA,1,nASIG,"Armonía"),"")))</f>
        <v/>
      </c>
      <c r="O650" t="str">
        <f>IF(M650="","",IF(M650="[FÓRMULA MANUAL]","",IFERROR(AVERAGEIFS(nNOTA,nNIA,M650,nCUENTA,1,nASIG,"Orquesta/Banda/Conjunto"),"")))</f>
        <v/>
      </c>
      <c r="P650" t="str">
        <f>IF(M650="","",IF(M650="[FÓRMULA MANUAL]","",IFERROR(AVERAGEIFS(nNOTA,nNIA,M650,nCUENTA,1,nASIG,"Música de Cámara"),"")))</f>
        <v/>
      </c>
      <c r="Q650" t="str">
        <f>IF(M650="","",IF(M650="[FÓRMULA MANUAL]","",IFERROR(SUMPRODUCT((nNIA=M650)*(nCUENTA=1)*(COUNTIF(CONFIG_ASIGNATURAS!$B$7:$B$27,nASIG)&gt;0)*(nNOTA))/SUMPRODUCT((nNIA=M650)*(nCUENTA=1)*(COUNTIF(CONFIG_ASIGNATURAS!$B$7:$B$27,nASIG)&gt;0)*1),"")))</f>
        <v/>
      </c>
      <c r="T650" t="str">
        <f>IF(S650="","",IF(S650="[FÓRMULA MANUAL]","",IFERROR(AVERAGEIFS(nNOTA,nNIA,S650,nCUENTA,1,nASIG,"Armonía"),"")))</f>
        <v/>
      </c>
      <c r="U650" t="str">
        <f>IF(S650="","",IF(S650="[FÓRMULA MANUAL]","",IFERROR(AVERAGEIFS(nNOTA,nNIA,S650,nCUENTA,1,nASIG,"Orquesta/Banda/Conjunto"),"")))</f>
        <v/>
      </c>
      <c r="V650" t="str">
        <f>IF(S650="","",IF(S650="[FÓRMULA MANUAL]","",IFERROR(AVERAGEIFS(nNOTA,nNIA,S650,nCUENTA,1,nASIG,"Música de Cámara"),"")))</f>
        <v/>
      </c>
      <c r="W650" t="str">
        <f>IF(S650="","",IF(S650="[FÓRMULA MANUAL]","",IFERROR(SUMPRODUCT((nNIA=S650)*(nCUENTA=1)*(COUNTIF(CONFIG_ASIGNATURAS!$B$7:$B$27,nASIG)&gt;0)*(nNOTA))/SUMPRODUCT((nNIA=S650)*(nCUENTA=1)*(COUNTIF(CONFIG_ASIGNATURAS!$B$7:$B$27,nASIG)&gt;0)*1),"")))</f>
        <v/>
      </c>
      <c r="Z650" t="str">
        <f>IF(Y650="","",IF(Y650="[FÓRMULA MANUAL]","",IFERROR(AVERAGEIFS(nNOTA,nNIA,Y650,nCUENTA,1,nASIG,"Análisis"),"")))</f>
        <v/>
      </c>
      <c r="AA650" t="str">
        <f>IF(Y650="","",IF(Y650="[FÓRMULA MANUAL]","",IFERROR(AVERAGEIFS(nNOTA,nNIA,Y650,nCUENTA,1,nASIG,"Orquesta/Banda/Conjunto"),"")))</f>
        <v/>
      </c>
      <c r="AB650" t="str">
        <f>IF(Y650="","",IF(Y650="[FÓRMULA MANUAL]","",IFERROR(AVERAGEIFS(nNOTA,nNIA,Y650,nCUENTA,1,nASIG,"Música de Cámara"),"")))</f>
        <v/>
      </c>
      <c r="AC650" t="str">
        <f>IF(Y650="","",IF(Y650="[FÓRMULA MANUAL]","",IFERROR(SUMPRODUCT((nNIA=Y650)*(nCUENTA=1)*(COUNTIF(CONFIG_ASIGNATURAS!$B$7:$B$27,nASIG)&gt;0)*(nNOTA))/SUMPRODUCT((nNIA=Y650)*(nCUENTA=1)*(COUNTIF(CONFIG_ASIGNATURAS!$B$7:$B$27,nASIG)&gt;0)*1),"")))</f>
        <v/>
      </c>
      <c r="AF650" t="str">
        <f>IF(AE650="","",IF(AE650="[FÓRMULA MANUAL]","",IFERROR(AVERAGEIFS(nNOTA,nNIA,AE650,nCUENTA,1,nASIG,"Análisis"),"")))</f>
        <v/>
      </c>
      <c r="AG650" t="str">
        <f>IF(AE650="","",IF(AE650="[FÓRMULA MANUAL]","",IFERROR(AVERAGEIFS(nNOTA,nNIA,AE650,nCUENTA,1,nASIG,"Orquesta/Banda/Conjunto"),"")))</f>
        <v/>
      </c>
      <c r="AH650" t="str">
        <f>IF(AE650="","",IF(AE650="[FÓRMULA MANUAL]","",IFERROR(AVERAGEIFS(nNOTA,nNIA,AE650,nCUENTA,1,nASIG,"Música de Cámara"),"")))</f>
        <v/>
      </c>
      <c r="AI650" t="str">
        <f>IF(AE650="","",IF(AE650="[FÓRMULA MANUAL]","",IFERROR(SUMPRODUCT((nNIA=AE650)*(nCUENTA=1)*(COUNTIF(CONFIG_ASIGNATURAS!$B$7:$B$27,nASIG)&gt;0)*(nNOTA))/SUMPRODUCT((nNIA=AE650)*(nCUENTA=1)*(COUNTIF(CONFIG_ASIGNATURAS!$B$7:$B$27,nASIG)&gt;0)*1),"")))</f>
        <v/>
      </c>
    </row>
    <row r="651" spans="2:35" x14ac:dyDescent="0.2">
      <c r="B651" t="str">
        <f>IF(A651="","",IF(A651="[FÓRMULA MANUAL]","",IFERROR(AVERAGEIFS(nNOTA,nNIA,A651,nCUENTA,1,nASIG,"Lenguaje Musical"),"")))</f>
        <v/>
      </c>
      <c r="C651" t="str">
        <f>IF(A651="","",IF(A651="[FÓRMULA MANUAL]","",IFERROR(AVERAGEIFS(nNOTA,nNIA,A651,nCUENTA,1,nASIG,"Orquesta/Banda/Conjunto"),"")))</f>
        <v/>
      </c>
      <c r="D651" t="str">
        <f>IF(A651="","",IF(A651="[FÓRMULA MANUAL]","",IFERROR(AVERAGEIFS(nNOTA,nNIA,A651,nCUENTA,1,nASIG,"Conjunto"),"")))</f>
        <v/>
      </c>
      <c r="E651" t="str">
        <f>IF(A651="","",IF(A651="[FÓRMULA MANUAL]","",IFERROR(SUMPRODUCT((nNIA=A651)*(nCUENTA=1)*(COUNTIF(CONFIG_ASIGNATURAS!$B$7:$B$27,nASIG)&gt;0)*(nNOTA))/SUMPRODUCT((nNIA=A651)*(nCUENTA=1)*(COUNTIF(CONFIG_ASIGNATURAS!$B$7:$B$27,nASIG)&gt;0)*1),"")))</f>
        <v/>
      </c>
      <c r="H651" t="str">
        <f>IF(G651="","",IF(G651="[FÓRMULA MANUAL]","",IFERROR(AVERAGEIFS(nNOTA,nNIA,G651,nCUENTA,1,nASIG,"Lenguaje Musical"),"")))</f>
        <v/>
      </c>
      <c r="I651" t="str">
        <f>IF(G651="","",IF(G651="[FÓRMULA MANUAL]","",IFERROR(AVERAGEIFS(nNOTA,nNIA,G651,nCUENTA,1,nASIG,"Orquesta/Banda/Conjunto"),"")))</f>
        <v/>
      </c>
      <c r="J651" t="str">
        <f>IF(G651="","",IF(G651="[FÓRMULA MANUAL]","",IFERROR(AVERAGEIFS(nNOTA,nNIA,G651,nCUENTA,1,nASIG,"Conjunto"),"")))</f>
        <v/>
      </c>
      <c r="K651" t="str">
        <f>IF(G651="","",IF(G651="[FÓRMULA MANUAL]","",IFERROR(SUMPRODUCT((nNIA=G651)*(nCUENTA=1)*(COUNTIF(CONFIG_ASIGNATURAS!$B$7:$B$27,nASIG)&gt;0)*(nNOTA))/SUMPRODUCT((nNIA=G651)*(nCUENTA=1)*(COUNTIF(CONFIG_ASIGNATURAS!$B$7:$B$27,nASIG)&gt;0)*1),"")))</f>
        <v/>
      </c>
      <c r="N651" t="str">
        <f>IF(M651="","",IF(M651="[FÓRMULA MANUAL]","",IFERROR(AVERAGEIFS(nNOTA,nNIA,M651,nCUENTA,1,nASIG,"Armonía"),"")))</f>
        <v/>
      </c>
      <c r="O651" t="str">
        <f>IF(M651="","",IF(M651="[FÓRMULA MANUAL]","",IFERROR(AVERAGEIFS(nNOTA,nNIA,M651,nCUENTA,1,nASIG,"Orquesta/Banda/Conjunto"),"")))</f>
        <v/>
      </c>
      <c r="P651" t="str">
        <f>IF(M651="","",IF(M651="[FÓRMULA MANUAL]","",IFERROR(AVERAGEIFS(nNOTA,nNIA,M651,nCUENTA,1,nASIG,"Música de Cámara"),"")))</f>
        <v/>
      </c>
      <c r="Q651" t="str">
        <f>IF(M651="","",IF(M651="[FÓRMULA MANUAL]","",IFERROR(SUMPRODUCT((nNIA=M651)*(nCUENTA=1)*(COUNTIF(CONFIG_ASIGNATURAS!$B$7:$B$27,nASIG)&gt;0)*(nNOTA))/SUMPRODUCT((nNIA=M651)*(nCUENTA=1)*(COUNTIF(CONFIG_ASIGNATURAS!$B$7:$B$27,nASIG)&gt;0)*1),"")))</f>
        <v/>
      </c>
      <c r="T651" t="str">
        <f>IF(S651="","",IF(S651="[FÓRMULA MANUAL]","",IFERROR(AVERAGEIFS(nNOTA,nNIA,S651,nCUENTA,1,nASIG,"Armonía"),"")))</f>
        <v/>
      </c>
      <c r="U651" t="str">
        <f>IF(S651="","",IF(S651="[FÓRMULA MANUAL]","",IFERROR(AVERAGEIFS(nNOTA,nNIA,S651,nCUENTA,1,nASIG,"Orquesta/Banda/Conjunto"),"")))</f>
        <v/>
      </c>
      <c r="V651" t="str">
        <f>IF(S651="","",IF(S651="[FÓRMULA MANUAL]","",IFERROR(AVERAGEIFS(nNOTA,nNIA,S651,nCUENTA,1,nASIG,"Música de Cámara"),"")))</f>
        <v/>
      </c>
      <c r="W651" t="str">
        <f>IF(S651="","",IF(S651="[FÓRMULA MANUAL]","",IFERROR(SUMPRODUCT((nNIA=S651)*(nCUENTA=1)*(COUNTIF(CONFIG_ASIGNATURAS!$B$7:$B$27,nASIG)&gt;0)*(nNOTA))/SUMPRODUCT((nNIA=S651)*(nCUENTA=1)*(COUNTIF(CONFIG_ASIGNATURAS!$B$7:$B$27,nASIG)&gt;0)*1),"")))</f>
        <v/>
      </c>
      <c r="Z651" t="str">
        <f>IF(Y651="","",IF(Y651="[FÓRMULA MANUAL]","",IFERROR(AVERAGEIFS(nNOTA,nNIA,Y651,nCUENTA,1,nASIG,"Análisis"),"")))</f>
        <v/>
      </c>
      <c r="AA651" t="str">
        <f>IF(Y651="","",IF(Y651="[FÓRMULA MANUAL]","",IFERROR(AVERAGEIFS(nNOTA,nNIA,Y651,nCUENTA,1,nASIG,"Orquesta/Banda/Conjunto"),"")))</f>
        <v/>
      </c>
      <c r="AB651" t="str">
        <f>IF(Y651="","",IF(Y651="[FÓRMULA MANUAL]","",IFERROR(AVERAGEIFS(nNOTA,nNIA,Y651,nCUENTA,1,nASIG,"Música de Cámara"),"")))</f>
        <v/>
      </c>
      <c r="AC651" t="str">
        <f>IF(Y651="","",IF(Y651="[FÓRMULA MANUAL]","",IFERROR(SUMPRODUCT((nNIA=Y651)*(nCUENTA=1)*(COUNTIF(CONFIG_ASIGNATURAS!$B$7:$B$27,nASIG)&gt;0)*(nNOTA))/SUMPRODUCT((nNIA=Y651)*(nCUENTA=1)*(COUNTIF(CONFIG_ASIGNATURAS!$B$7:$B$27,nASIG)&gt;0)*1),"")))</f>
        <v/>
      </c>
      <c r="AF651" t="str">
        <f>IF(AE651="","",IF(AE651="[FÓRMULA MANUAL]","",IFERROR(AVERAGEIFS(nNOTA,nNIA,AE651,nCUENTA,1,nASIG,"Análisis"),"")))</f>
        <v/>
      </c>
      <c r="AG651" t="str">
        <f>IF(AE651="","",IF(AE651="[FÓRMULA MANUAL]","",IFERROR(AVERAGEIFS(nNOTA,nNIA,AE651,nCUENTA,1,nASIG,"Orquesta/Banda/Conjunto"),"")))</f>
        <v/>
      </c>
      <c r="AH651" t="str">
        <f>IF(AE651="","",IF(AE651="[FÓRMULA MANUAL]","",IFERROR(AVERAGEIFS(nNOTA,nNIA,AE651,nCUENTA,1,nASIG,"Música de Cámara"),"")))</f>
        <v/>
      </c>
      <c r="AI651" t="str">
        <f>IF(AE651="","",IF(AE651="[FÓRMULA MANUAL]","",IFERROR(SUMPRODUCT((nNIA=AE651)*(nCUENTA=1)*(COUNTIF(CONFIG_ASIGNATURAS!$B$7:$B$27,nASIG)&gt;0)*(nNOTA))/SUMPRODUCT((nNIA=AE651)*(nCUENTA=1)*(COUNTIF(CONFIG_ASIGNATURAS!$B$7:$B$27,nASIG)&gt;0)*1),"")))</f>
        <v/>
      </c>
    </row>
    <row r="652" spans="2:35" x14ac:dyDescent="0.2">
      <c r="B652" t="str">
        <f>IF(A652="","",IF(A652="[FÓRMULA MANUAL]","",IFERROR(AVERAGEIFS(nNOTA,nNIA,A652,nCUENTA,1,nASIG,"Lenguaje Musical"),"")))</f>
        <v/>
      </c>
      <c r="C652" t="str">
        <f>IF(A652="","",IF(A652="[FÓRMULA MANUAL]","",IFERROR(AVERAGEIFS(nNOTA,nNIA,A652,nCUENTA,1,nASIG,"Orquesta/Banda/Conjunto"),"")))</f>
        <v/>
      </c>
      <c r="D652" t="str">
        <f>IF(A652="","",IF(A652="[FÓRMULA MANUAL]","",IFERROR(AVERAGEIFS(nNOTA,nNIA,A652,nCUENTA,1,nASIG,"Conjunto"),"")))</f>
        <v/>
      </c>
      <c r="E652" t="str">
        <f>IF(A652="","",IF(A652="[FÓRMULA MANUAL]","",IFERROR(SUMPRODUCT((nNIA=A652)*(nCUENTA=1)*(COUNTIF(CONFIG_ASIGNATURAS!$B$7:$B$27,nASIG)&gt;0)*(nNOTA))/SUMPRODUCT((nNIA=A652)*(nCUENTA=1)*(COUNTIF(CONFIG_ASIGNATURAS!$B$7:$B$27,nASIG)&gt;0)*1),"")))</f>
        <v/>
      </c>
      <c r="H652" t="str">
        <f>IF(G652="","",IF(G652="[FÓRMULA MANUAL]","",IFERROR(AVERAGEIFS(nNOTA,nNIA,G652,nCUENTA,1,nASIG,"Lenguaje Musical"),"")))</f>
        <v/>
      </c>
      <c r="I652" t="str">
        <f>IF(G652="","",IF(G652="[FÓRMULA MANUAL]","",IFERROR(AVERAGEIFS(nNOTA,nNIA,G652,nCUENTA,1,nASIG,"Orquesta/Banda/Conjunto"),"")))</f>
        <v/>
      </c>
      <c r="J652" t="str">
        <f>IF(G652="","",IF(G652="[FÓRMULA MANUAL]","",IFERROR(AVERAGEIFS(nNOTA,nNIA,G652,nCUENTA,1,nASIG,"Conjunto"),"")))</f>
        <v/>
      </c>
      <c r="K652" t="str">
        <f>IF(G652="","",IF(G652="[FÓRMULA MANUAL]","",IFERROR(SUMPRODUCT((nNIA=G652)*(nCUENTA=1)*(COUNTIF(CONFIG_ASIGNATURAS!$B$7:$B$27,nASIG)&gt;0)*(nNOTA))/SUMPRODUCT((nNIA=G652)*(nCUENTA=1)*(COUNTIF(CONFIG_ASIGNATURAS!$B$7:$B$27,nASIG)&gt;0)*1),"")))</f>
        <v/>
      </c>
      <c r="N652" t="str">
        <f>IF(M652="","",IF(M652="[FÓRMULA MANUAL]","",IFERROR(AVERAGEIFS(nNOTA,nNIA,M652,nCUENTA,1,nASIG,"Armonía"),"")))</f>
        <v/>
      </c>
      <c r="O652" t="str">
        <f>IF(M652="","",IF(M652="[FÓRMULA MANUAL]","",IFERROR(AVERAGEIFS(nNOTA,nNIA,M652,nCUENTA,1,nASIG,"Orquesta/Banda/Conjunto"),"")))</f>
        <v/>
      </c>
      <c r="P652" t="str">
        <f>IF(M652="","",IF(M652="[FÓRMULA MANUAL]","",IFERROR(AVERAGEIFS(nNOTA,nNIA,M652,nCUENTA,1,nASIG,"Música de Cámara"),"")))</f>
        <v/>
      </c>
      <c r="Q652" t="str">
        <f>IF(M652="","",IF(M652="[FÓRMULA MANUAL]","",IFERROR(SUMPRODUCT((nNIA=M652)*(nCUENTA=1)*(COUNTIF(CONFIG_ASIGNATURAS!$B$7:$B$27,nASIG)&gt;0)*(nNOTA))/SUMPRODUCT((nNIA=M652)*(nCUENTA=1)*(COUNTIF(CONFIG_ASIGNATURAS!$B$7:$B$27,nASIG)&gt;0)*1),"")))</f>
        <v/>
      </c>
      <c r="T652" t="str">
        <f>IF(S652="","",IF(S652="[FÓRMULA MANUAL]","",IFERROR(AVERAGEIFS(nNOTA,nNIA,S652,nCUENTA,1,nASIG,"Armonía"),"")))</f>
        <v/>
      </c>
      <c r="U652" t="str">
        <f>IF(S652="","",IF(S652="[FÓRMULA MANUAL]","",IFERROR(AVERAGEIFS(nNOTA,nNIA,S652,nCUENTA,1,nASIG,"Orquesta/Banda/Conjunto"),"")))</f>
        <v/>
      </c>
      <c r="V652" t="str">
        <f>IF(S652="","",IF(S652="[FÓRMULA MANUAL]","",IFERROR(AVERAGEIFS(nNOTA,nNIA,S652,nCUENTA,1,nASIG,"Música de Cámara"),"")))</f>
        <v/>
      </c>
      <c r="W652" t="str">
        <f>IF(S652="","",IF(S652="[FÓRMULA MANUAL]","",IFERROR(SUMPRODUCT((nNIA=S652)*(nCUENTA=1)*(COUNTIF(CONFIG_ASIGNATURAS!$B$7:$B$27,nASIG)&gt;0)*(nNOTA))/SUMPRODUCT((nNIA=S652)*(nCUENTA=1)*(COUNTIF(CONFIG_ASIGNATURAS!$B$7:$B$27,nASIG)&gt;0)*1),"")))</f>
        <v/>
      </c>
      <c r="Z652" t="str">
        <f>IF(Y652="","",IF(Y652="[FÓRMULA MANUAL]","",IFERROR(AVERAGEIFS(nNOTA,nNIA,Y652,nCUENTA,1,nASIG,"Análisis"),"")))</f>
        <v/>
      </c>
      <c r="AA652" t="str">
        <f>IF(Y652="","",IF(Y652="[FÓRMULA MANUAL]","",IFERROR(AVERAGEIFS(nNOTA,nNIA,Y652,nCUENTA,1,nASIG,"Orquesta/Banda/Conjunto"),"")))</f>
        <v/>
      </c>
      <c r="AB652" t="str">
        <f>IF(Y652="","",IF(Y652="[FÓRMULA MANUAL]","",IFERROR(AVERAGEIFS(nNOTA,nNIA,Y652,nCUENTA,1,nASIG,"Música de Cámara"),"")))</f>
        <v/>
      </c>
      <c r="AC652" t="str">
        <f>IF(Y652="","",IF(Y652="[FÓRMULA MANUAL]","",IFERROR(SUMPRODUCT((nNIA=Y652)*(nCUENTA=1)*(COUNTIF(CONFIG_ASIGNATURAS!$B$7:$B$27,nASIG)&gt;0)*(nNOTA))/SUMPRODUCT((nNIA=Y652)*(nCUENTA=1)*(COUNTIF(CONFIG_ASIGNATURAS!$B$7:$B$27,nASIG)&gt;0)*1),"")))</f>
        <v/>
      </c>
      <c r="AF652" t="str">
        <f>IF(AE652="","",IF(AE652="[FÓRMULA MANUAL]","",IFERROR(AVERAGEIFS(nNOTA,nNIA,AE652,nCUENTA,1,nASIG,"Análisis"),"")))</f>
        <v/>
      </c>
      <c r="AG652" t="str">
        <f>IF(AE652="","",IF(AE652="[FÓRMULA MANUAL]","",IFERROR(AVERAGEIFS(nNOTA,nNIA,AE652,nCUENTA,1,nASIG,"Orquesta/Banda/Conjunto"),"")))</f>
        <v/>
      </c>
      <c r="AH652" t="str">
        <f>IF(AE652="","",IF(AE652="[FÓRMULA MANUAL]","",IFERROR(AVERAGEIFS(nNOTA,nNIA,AE652,nCUENTA,1,nASIG,"Música de Cámara"),"")))</f>
        <v/>
      </c>
      <c r="AI652" t="str">
        <f>IF(AE652="","",IF(AE652="[FÓRMULA MANUAL]","",IFERROR(SUMPRODUCT((nNIA=AE652)*(nCUENTA=1)*(COUNTIF(CONFIG_ASIGNATURAS!$B$7:$B$27,nASIG)&gt;0)*(nNOTA))/SUMPRODUCT((nNIA=AE652)*(nCUENTA=1)*(COUNTIF(CONFIG_ASIGNATURAS!$B$7:$B$27,nASIG)&gt;0)*1),"")))</f>
        <v/>
      </c>
    </row>
    <row r="653" spans="2:35" x14ac:dyDescent="0.2">
      <c r="B653" t="str">
        <f>IF(A653="","",IF(A653="[FÓRMULA MANUAL]","",IFERROR(AVERAGEIFS(nNOTA,nNIA,A653,nCUENTA,1,nASIG,"Lenguaje Musical"),"")))</f>
        <v/>
      </c>
      <c r="C653" t="str">
        <f>IF(A653="","",IF(A653="[FÓRMULA MANUAL]","",IFERROR(AVERAGEIFS(nNOTA,nNIA,A653,nCUENTA,1,nASIG,"Orquesta/Banda/Conjunto"),"")))</f>
        <v/>
      </c>
      <c r="D653" t="str">
        <f>IF(A653="","",IF(A653="[FÓRMULA MANUAL]","",IFERROR(AVERAGEIFS(nNOTA,nNIA,A653,nCUENTA,1,nASIG,"Conjunto"),"")))</f>
        <v/>
      </c>
      <c r="E653" t="str">
        <f>IF(A653="","",IF(A653="[FÓRMULA MANUAL]","",IFERROR(SUMPRODUCT((nNIA=A653)*(nCUENTA=1)*(COUNTIF(CONFIG_ASIGNATURAS!$B$7:$B$27,nASIG)&gt;0)*(nNOTA))/SUMPRODUCT((nNIA=A653)*(nCUENTA=1)*(COUNTIF(CONFIG_ASIGNATURAS!$B$7:$B$27,nASIG)&gt;0)*1),"")))</f>
        <v/>
      </c>
      <c r="H653" t="str">
        <f>IF(G653="","",IF(G653="[FÓRMULA MANUAL]","",IFERROR(AVERAGEIFS(nNOTA,nNIA,G653,nCUENTA,1,nASIG,"Lenguaje Musical"),"")))</f>
        <v/>
      </c>
      <c r="I653" t="str">
        <f>IF(G653="","",IF(G653="[FÓRMULA MANUAL]","",IFERROR(AVERAGEIFS(nNOTA,nNIA,G653,nCUENTA,1,nASIG,"Orquesta/Banda/Conjunto"),"")))</f>
        <v/>
      </c>
      <c r="J653" t="str">
        <f>IF(G653="","",IF(G653="[FÓRMULA MANUAL]","",IFERROR(AVERAGEIFS(nNOTA,nNIA,G653,nCUENTA,1,nASIG,"Conjunto"),"")))</f>
        <v/>
      </c>
      <c r="K653" t="str">
        <f>IF(G653="","",IF(G653="[FÓRMULA MANUAL]","",IFERROR(SUMPRODUCT((nNIA=G653)*(nCUENTA=1)*(COUNTIF(CONFIG_ASIGNATURAS!$B$7:$B$27,nASIG)&gt;0)*(nNOTA))/SUMPRODUCT((nNIA=G653)*(nCUENTA=1)*(COUNTIF(CONFIG_ASIGNATURAS!$B$7:$B$27,nASIG)&gt;0)*1),"")))</f>
        <v/>
      </c>
      <c r="N653" t="str">
        <f>IF(M653="","",IF(M653="[FÓRMULA MANUAL]","",IFERROR(AVERAGEIFS(nNOTA,nNIA,M653,nCUENTA,1,nASIG,"Armonía"),"")))</f>
        <v/>
      </c>
      <c r="O653" t="str">
        <f>IF(M653="","",IF(M653="[FÓRMULA MANUAL]","",IFERROR(AVERAGEIFS(nNOTA,nNIA,M653,nCUENTA,1,nASIG,"Orquesta/Banda/Conjunto"),"")))</f>
        <v/>
      </c>
      <c r="P653" t="str">
        <f>IF(M653="","",IF(M653="[FÓRMULA MANUAL]","",IFERROR(AVERAGEIFS(nNOTA,nNIA,M653,nCUENTA,1,nASIG,"Música de Cámara"),"")))</f>
        <v/>
      </c>
      <c r="Q653" t="str">
        <f>IF(M653="","",IF(M653="[FÓRMULA MANUAL]","",IFERROR(SUMPRODUCT((nNIA=M653)*(nCUENTA=1)*(COUNTIF(CONFIG_ASIGNATURAS!$B$7:$B$27,nASIG)&gt;0)*(nNOTA))/SUMPRODUCT((nNIA=M653)*(nCUENTA=1)*(COUNTIF(CONFIG_ASIGNATURAS!$B$7:$B$27,nASIG)&gt;0)*1),"")))</f>
        <v/>
      </c>
      <c r="T653" t="str">
        <f>IF(S653="","",IF(S653="[FÓRMULA MANUAL]","",IFERROR(AVERAGEIFS(nNOTA,nNIA,S653,nCUENTA,1,nASIG,"Armonía"),"")))</f>
        <v/>
      </c>
      <c r="U653" t="str">
        <f>IF(S653="","",IF(S653="[FÓRMULA MANUAL]","",IFERROR(AVERAGEIFS(nNOTA,nNIA,S653,nCUENTA,1,nASIG,"Orquesta/Banda/Conjunto"),"")))</f>
        <v/>
      </c>
      <c r="V653" t="str">
        <f>IF(S653="","",IF(S653="[FÓRMULA MANUAL]","",IFERROR(AVERAGEIFS(nNOTA,nNIA,S653,nCUENTA,1,nASIG,"Música de Cámara"),"")))</f>
        <v/>
      </c>
      <c r="W653" t="str">
        <f>IF(S653="","",IF(S653="[FÓRMULA MANUAL]","",IFERROR(SUMPRODUCT((nNIA=S653)*(nCUENTA=1)*(COUNTIF(CONFIG_ASIGNATURAS!$B$7:$B$27,nASIG)&gt;0)*(nNOTA))/SUMPRODUCT((nNIA=S653)*(nCUENTA=1)*(COUNTIF(CONFIG_ASIGNATURAS!$B$7:$B$27,nASIG)&gt;0)*1),"")))</f>
        <v/>
      </c>
      <c r="Z653" t="str">
        <f>IF(Y653="","",IF(Y653="[FÓRMULA MANUAL]","",IFERROR(AVERAGEIFS(nNOTA,nNIA,Y653,nCUENTA,1,nASIG,"Análisis"),"")))</f>
        <v/>
      </c>
      <c r="AA653" t="str">
        <f>IF(Y653="","",IF(Y653="[FÓRMULA MANUAL]","",IFERROR(AVERAGEIFS(nNOTA,nNIA,Y653,nCUENTA,1,nASIG,"Orquesta/Banda/Conjunto"),"")))</f>
        <v/>
      </c>
      <c r="AB653" t="str">
        <f>IF(Y653="","",IF(Y653="[FÓRMULA MANUAL]","",IFERROR(AVERAGEIFS(nNOTA,nNIA,Y653,nCUENTA,1,nASIG,"Música de Cámara"),"")))</f>
        <v/>
      </c>
      <c r="AC653" t="str">
        <f>IF(Y653="","",IF(Y653="[FÓRMULA MANUAL]","",IFERROR(SUMPRODUCT((nNIA=Y653)*(nCUENTA=1)*(COUNTIF(CONFIG_ASIGNATURAS!$B$7:$B$27,nASIG)&gt;0)*(nNOTA))/SUMPRODUCT((nNIA=Y653)*(nCUENTA=1)*(COUNTIF(CONFIG_ASIGNATURAS!$B$7:$B$27,nASIG)&gt;0)*1),"")))</f>
        <v/>
      </c>
      <c r="AF653" t="str">
        <f>IF(AE653="","",IF(AE653="[FÓRMULA MANUAL]","",IFERROR(AVERAGEIFS(nNOTA,nNIA,AE653,nCUENTA,1,nASIG,"Análisis"),"")))</f>
        <v/>
      </c>
      <c r="AG653" t="str">
        <f>IF(AE653="","",IF(AE653="[FÓRMULA MANUAL]","",IFERROR(AVERAGEIFS(nNOTA,nNIA,AE653,nCUENTA,1,nASIG,"Orquesta/Banda/Conjunto"),"")))</f>
        <v/>
      </c>
      <c r="AH653" t="str">
        <f>IF(AE653="","",IF(AE653="[FÓRMULA MANUAL]","",IFERROR(AVERAGEIFS(nNOTA,nNIA,AE653,nCUENTA,1,nASIG,"Música de Cámara"),"")))</f>
        <v/>
      </c>
      <c r="AI653" t="str">
        <f>IF(AE653="","",IF(AE653="[FÓRMULA MANUAL]","",IFERROR(SUMPRODUCT((nNIA=AE653)*(nCUENTA=1)*(COUNTIF(CONFIG_ASIGNATURAS!$B$7:$B$27,nASIG)&gt;0)*(nNOTA))/SUMPRODUCT((nNIA=AE653)*(nCUENTA=1)*(COUNTIF(CONFIG_ASIGNATURAS!$B$7:$B$27,nASIG)&gt;0)*1),"")))</f>
        <v/>
      </c>
    </row>
    <row r="654" spans="2:35" x14ac:dyDescent="0.2">
      <c r="B654" t="str">
        <f>IF(A654="","",IF(A654="[FÓRMULA MANUAL]","",IFERROR(AVERAGEIFS(nNOTA,nNIA,A654,nCUENTA,1,nASIG,"Lenguaje Musical"),"")))</f>
        <v/>
      </c>
      <c r="C654" t="str">
        <f>IF(A654="","",IF(A654="[FÓRMULA MANUAL]","",IFERROR(AVERAGEIFS(nNOTA,nNIA,A654,nCUENTA,1,nASIG,"Orquesta/Banda/Conjunto"),"")))</f>
        <v/>
      </c>
      <c r="D654" t="str">
        <f>IF(A654="","",IF(A654="[FÓRMULA MANUAL]","",IFERROR(AVERAGEIFS(nNOTA,nNIA,A654,nCUENTA,1,nASIG,"Conjunto"),"")))</f>
        <v/>
      </c>
      <c r="E654" t="str">
        <f>IF(A654="","",IF(A654="[FÓRMULA MANUAL]","",IFERROR(SUMPRODUCT((nNIA=A654)*(nCUENTA=1)*(COUNTIF(CONFIG_ASIGNATURAS!$B$7:$B$27,nASIG)&gt;0)*(nNOTA))/SUMPRODUCT((nNIA=A654)*(nCUENTA=1)*(COUNTIF(CONFIG_ASIGNATURAS!$B$7:$B$27,nASIG)&gt;0)*1),"")))</f>
        <v/>
      </c>
      <c r="H654" t="str">
        <f>IF(G654="","",IF(G654="[FÓRMULA MANUAL]","",IFERROR(AVERAGEIFS(nNOTA,nNIA,G654,nCUENTA,1,nASIG,"Lenguaje Musical"),"")))</f>
        <v/>
      </c>
      <c r="I654" t="str">
        <f>IF(G654="","",IF(G654="[FÓRMULA MANUAL]","",IFERROR(AVERAGEIFS(nNOTA,nNIA,G654,nCUENTA,1,nASIG,"Orquesta/Banda/Conjunto"),"")))</f>
        <v/>
      </c>
      <c r="J654" t="str">
        <f>IF(G654="","",IF(G654="[FÓRMULA MANUAL]","",IFERROR(AVERAGEIFS(nNOTA,nNIA,G654,nCUENTA,1,nASIG,"Conjunto"),"")))</f>
        <v/>
      </c>
      <c r="K654" t="str">
        <f>IF(G654="","",IF(G654="[FÓRMULA MANUAL]","",IFERROR(SUMPRODUCT((nNIA=G654)*(nCUENTA=1)*(COUNTIF(CONFIG_ASIGNATURAS!$B$7:$B$27,nASIG)&gt;0)*(nNOTA))/SUMPRODUCT((nNIA=G654)*(nCUENTA=1)*(COUNTIF(CONFIG_ASIGNATURAS!$B$7:$B$27,nASIG)&gt;0)*1),"")))</f>
        <v/>
      </c>
      <c r="N654" t="str">
        <f>IF(M654="","",IF(M654="[FÓRMULA MANUAL]","",IFERROR(AVERAGEIFS(nNOTA,nNIA,M654,nCUENTA,1,nASIG,"Armonía"),"")))</f>
        <v/>
      </c>
      <c r="O654" t="str">
        <f>IF(M654="","",IF(M654="[FÓRMULA MANUAL]","",IFERROR(AVERAGEIFS(nNOTA,nNIA,M654,nCUENTA,1,nASIG,"Orquesta/Banda/Conjunto"),"")))</f>
        <v/>
      </c>
      <c r="P654" t="str">
        <f>IF(M654="","",IF(M654="[FÓRMULA MANUAL]","",IFERROR(AVERAGEIFS(nNOTA,nNIA,M654,nCUENTA,1,nASIG,"Música de Cámara"),"")))</f>
        <v/>
      </c>
      <c r="Q654" t="str">
        <f>IF(M654="","",IF(M654="[FÓRMULA MANUAL]","",IFERROR(SUMPRODUCT((nNIA=M654)*(nCUENTA=1)*(COUNTIF(CONFIG_ASIGNATURAS!$B$7:$B$27,nASIG)&gt;0)*(nNOTA))/SUMPRODUCT((nNIA=M654)*(nCUENTA=1)*(COUNTIF(CONFIG_ASIGNATURAS!$B$7:$B$27,nASIG)&gt;0)*1),"")))</f>
        <v/>
      </c>
      <c r="T654" t="str">
        <f>IF(S654="","",IF(S654="[FÓRMULA MANUAL]","",IFERROR(AVERAGEIFS(nNOTA,nNIA,S654,nCUENTA,1,nASIG,"Armonía"),"")))</f>
        <v/>
      </c>
      <c r="U654" t="str">
        <f>IF(S654="","",IF(S654="[FÓRMULA MANUAL]","",IFERROR(AVERAGEIFS(nNOTA,nNIA,S654,nCUENTA,1,nASIG,"Orquesta/Banda/Conjunto"),"")))</f>
        <v/>
      </c>
      <c r="V654" t="str">
        <f>IF(S654="","",IF(S654="[FÓRMULA MANUAL]","",IFERROR(AVERAGEIFS(nNOTA,nNIA,S654,nCUENTA,1,nASIG,"Música de Cámara"),"")))</f>
        <v/>
      </c>
      <c r="W654" t="str">
        <f>IF(S654="","",IF(S654="[FÓRMULA MANUAL]","",IFERROR(SUMPRODUCT((nNIA=S654)*(nCUENTA=1)*(COUNTIF(CONFIG_ASIGNATURAS!$B$7:$B$27,nASIG)&gt;0)*(nNOTA))/SUMPRODUCT((nNIA=S654)*(nCUENTA=1)*(COUNTIF(CONFIG_ASIGNATURAS!$B$7:$B$27,nASIG)&gt;0)*1),"")))</f>
        <v/>
      </c>
      <c r="Z654" t="str">
        <f>IF(Y654="","",IF(Y654="[FÓRMULA MANUAL]","",IFERROR(AVERAGEIFS(nNOTA,nNIA,Y654,nCUENTA,1,nASIG,"Análisis"),"")))</f>
        <v/>
      </c>
      <c r="AA654" t="str">
        <f>IF(Y654="","",IF(Y654="[FÓRMULA MANUAL]","",IFERROR(AVERAGEIFS(nNOTA,nNIA,Y654,nCUENTA,1,nASIG,"Orquesta/Banda/Conjunto"),"")))</f>
        <v/>
      </c>
      <c r="AB654" t="str">
        <f>IF(Y654="","",IF(Y654="[FÓRMULA MANUAL]","",IFERROR(AVERAGEIFS(nNOTA,nNIA,Y654,nCUENTA,1,nASIG,"Música de Cámara"),"")))</f>
        <v/>
      </c>
      <c r="AC654" t="str">
        <f>IF(Y654="","",IF(Y654="[FÓRMULA MANUAL]","",IFERROR(SUMPRODUCT((nNIA=Y654)*(nCUENTA=1)*(COUNTIF(CONFIG_ASIGNATURAS!$B$7:$B$27,nASIG)&gt;0)*(nNOTA))/SUMPRODUCT((nNIA=Y654)*(nCUENTA=1)*(COUNTIF(CONFIG_ASIGNATURAS!$B$7:$B$27,nASIG)&gt;0)*1),"")))</f>
        <v/>
      </c>
      <c r="AF654" t="str">
        <f>IF(AE654="","",IF(AE654="[FÓRMULA MANUAL]","",IFERROR(AVERAGEIFS(nNOTA,nNIA,AE654,nCUENTA,1,nASIG,"Análisis"),"")))</f>
        <v/>
      </c>
      <c r="AG654" t="str">
        <f>IF(AE654="","",IF(AE654="[FÓRMULA MANUAL]","",IFERROR(AVERAGEIFS(nNOTA,nNIA,AE654,nCUENTA,1,nASIG,"Orquesta/Banda/Conjunto"),"")))</f>
        <v/>
      </c>
      <c r="AH654" t="str">
        <f>IF(AE654="","",IF(AE654="[FÓRMULA MANUAL]","",IFERROR(AVERAGEIFS(nNOTA,nNIA,AE654,nCUENTA,1,nASIG,"Música de Cámara"),"")))</f>
        <v/>
      </c>
      <c r="AI654" t="str">
        <f>IF(AE654="","",IF(AE654="[FÓRMULA MANUAL]","",IFERROR(SUMPRODUCT((nNIA=AE654)*(nCUENTA=1)*(COUNTIF(CONFIG_ASIGNATURAS!$B$7:$B$27,nASIG)&gt;0)*(nNOTA))/SUMPRODUCT((nNIA=AE654)*(nCUENTA=1)*(COUNTIF(CONFIG_ASIGNATURAS!$B$7:$B$27,nASIG)&gt;0)*1),"")))</f>
        <v/>
      </c>
    </row>
    <row r="655" spans="2:35" x14ac:dyDescent="0.2">
      <c r="B655" t="str">
        <f>IF(A655="","",IF(A655="[FÓRMULA MANUAL]","",IFERROR(AVERAGEIFS(nNOTA,nNIA,A655,nCUENTA,1,nASIG,"Lenguaje Musical"),"")))</f>
        <v/>
      </c>
      <c r="C655" t="str">
        <f>IF(A655="","",IF(A655="[FÓRMULA MANUAL]","",IFERROR(AVERAGEIFS(nNOTA,nNIA,A655,nCUENTA,1,nASIG,"Orquesta/Banda/Conjunto"),"")))</f>
        <v/>
      </c>
      <c r="D655" t="str">
        <f>IF(A655="","",IF(A655="[FÓRMULA MANUAL]","",IFERROR(AVERAGEIFS(nNOTA,nNIA,A655,nCUENTA,1,nASIG,"Conjunto"),"")))</f>
        <v/>
      </c>
      <c r="E655" t="str">
        <f>IF(A655="","",IF(A655="[FÓRMULA MANUAL]","",IFERROR(SUMPRODUCT((nNIA=A655)*(nCUENTA=1)*(COUNTIF(CONFIG_ASIGNATURAS!$B$7:$B$27,nASIG)&gt;0)*(nNOTA))/SUMPRODUCT((nNIA=A655)*(nCUENTA=1)*(COUNTIF(CONFIG_ASIGNATURAS!$B$7:$B$27,nASIG)&gt;0)*1),"")))</f>
        <v/>
      </c>
      <c r="H655" t="str">
        <f>IF(G655="","",IF(G655="[FÓRMULA MANUAL]","",IFERROR(AVERAGEIFS(nNOTA,nNIA,G655,nCUENTA,1,nASIG,"Lenguaje Musical"),"")))</f>
        <v/>
      </c>
      <c r="I655" t="str">
        <f>IF(G655="","",IF(G655="[FÓRMULA MANUAL]","",IFERROR(AVERAGEIFS(nNOTA,nNIA,G655,nCUENTA,1,nASIG,"Orquesta/Banda/Conjunto"),"")))</f>
        <v/>
      </c>
      <c r="J655" t="str">
        <f>IF(G655="","",IF(G655="[FÓRMULA MANUAL]","",IFERROR(AVERAGEIFS(nNOTA,nNIA,G655,nCUENTA,1,nASIG,"Conjunto"),"")))</f>
        <v/>
      </c>
      <c r="K655" t="str">
        <f>IF(G655="","",IF(G655="[FÓRMULA MANUAL]","",IFERROR(SUMPRODUCT((nNIA=G655)*(nCUENTA=1)*(COUNTIF(CONFIG_ASIGNATURAS!$B$7:$B$27,nASIG)&gt;0)*(nNOTA))/SUMPRODUCT((nNIA=G655)*(nCUENTA=1)*(COUNTIF(CONFIG_ASIGNATURAS!$B$7:$B$27,nASIG)&gt;0)*1),"")))</f>
        <v/>
      </c>
      <c r="N655" t="str">
        <f>IF(M655="","",IF(M655="[FÓRMULA MANUAL]","",IFERROR(AVERAGEIFS(nNOTA,nNIA,M655,nCUENTA,1,nASIG,"Armonía"),"")))</f>
        <v/>
      </c>
      <c r="O655" t="str">
        <f>IF(M655="","",IF(M655="[FÓRMULA MANUAL]","",IFERROR(AVERAGEIFS(nNOTA,nNIA,M655,nCUENTA,1,nASIG,"Orquesta/Banda/Conjunto"),"")))</f>
        <v/>
      </c>
      <c r="P655" t="str">
        <f>IF(M655="","",IF(M655="[FÓRMULA MANUAL]","",IFERROR(AVERAGEIFS(nNOTA,nNIA,M655,nCUENTA,1,nASIG,"Música de Cámara"),"")))</f>
        <v/>
      </c>
      <c r="Q655" t="str">
        <f>IF(M655="","",IF(M655="[FÓRMULA MANUAL]","",IFERROR(SUMPRODUCT((nNIA=M655)*(nCUENTA=1)*(COUNTIF(CONFIG_ASIGNATURAS!$B$7:$B$27,nASIG)&gt;0)*(nNOTA))/SUMPRODUCT((nNIA=M655)*(nCUENTA=1)*(COUNTIF(CONFIG_ASIGNATURAS!$B$7:$B$27,nASIG)&gt;0)*1),"")))</f>
        <v/>
      </c>
      <c r="T655" t="str">
        <f>IF(S655="","",IF(S655="[FÓRMULA MANUAL]","",IFERROR(AVERAGEIFS(nNOTA,nNIA,S655,nCUENTA,1,nASIG,"Armonía"),"")))</f>
        <v/>
      </c>
      <c r="U655" t="str">
        <f>IF(S655="","",IF(S655="[FÓRMULA MANUAL]","",IFERROR(AVERAGEIFS(nNOTA,nNIA,S655,nCUENTA,1,nASIG,"Orquesta/Banda/Conjunto"),"")))</f>
        <v/>
      </c>
      <c r="V655" t="str">
        <f>IF(S655="","",IF(S655="[FÓRMULA MANUAL]","",IFERROR(AVERAGEIFS(nNOTA,nNIA,S655,nCUENTA,1,nASIG,"Música de Cámara"),"")))</f>
        <v/>
      </c>
      <c r="W655" t="str">
        <f>IF(S655="","",IF(S655="[FÓRMULA MANUAL]","",IFERROR(SUMPRODUCT((nNIA=S655)*(nCUENTA=1)*(COUNTIF(CONFIG_ASIGNATURAS!$B$7:$B$27,nASIG)&gt;0)*(nNOTA))/SUMPRODUCT((nNIA=S655)*(nCUENTA=1)*(COUNTIF(CONFIG_ASIGNATURAS!$B$7:$B$27,nASIG)&gt;0)*1),"")))</f>
        <v/>
      </c>
      <c r="Z655" t="str">
        <f>IF(Y655="","",IF(Y655="[FÓRMULA MANUAL]","",IFERROR(AVERAGEIFS(nNOTA,nNIA,Y655,nCUENTA,1,nASIG,"Análisis"),"")))</f>
        <v/>
      </c>
      <c r="AA655" t="str">
        <f>IF(Y655="","",IF(Y655="[FÓRMULA MANUAL]","",IFERROR(AVERAGEIFS(nNOTA,nNIA,Y655,nCUENTA,1,nASIG,"Orquesta/Banda/Conjunto"),"")))</f>
        <v/>
      </c>
      <c r="AB655" t="str">
        <f>IF(Y655="","",IF(Y655="[FÓRMULA MANUAL]","",IFERROR(AVERAGEIFS(nNOTA,nNIA,Y655,nCUENTA,1,nASIG,"Música de Cámara"),"")))</f>
        <v/>
      </c>
      <c r="AC655" t="str">
        <f>IF(Y655="","",IF(Y655="[FÓRMULA MANUAL]","",IFERROR(SUMPRODUCT((nNIA=Y655)*(nCUENTA=1)*(COUNTIF(CONFIG_ASIGNATURAS!$B$7:$B$27,nASIG)&gt;0)*(nNOTA))/SUMPRODUCT((nNIA=Y655)*(nCUENTA=1)*(COUNTIF(CONFIG_ASIGNATURAS!$B$7:$B$27,nASIG)&gt;0)*1),"")))</f>
        <v/>
      </c>
      <c r="AF655" t="str">
        <f>IF(AE655="","",IF(AE655="[FÓRMULA MANUAL]","",IFERROR(AVERAGEIFS(nNOTA,nNIA,AE655,nCUENTA,1,nASIG,"Análisis"),"")))</f>
        <v/>
      </c>
      <c r="AG655" t="str">
        <f>IF(AE655="","",IF(AE655="[FÓRMULA MANUAL]","",IFERROR(AVERAGEIFS(nNOTA,nNIA,AE655,nCUENTA,1,nASIG,"Orquesta/Banda/Conjunto"),"")))</f>
        <v/>
      </c>
      <c r="AH655" t="str">
        <f>IF(AE655="","",IF(AE655="[FÓRMULA MANUAL]","",IFERROR(AVERAGEIFS(nNOTA,nNIA,AE655,nCUENTA,1,nASIG,"Música de Cámara"),"")))</f>
        <v/>
      </c>
      <c r="AI655" t="str">
        <f>IF(AE655="","",IF(AE655="[FÓRMULA MANUAL]","",IFERROR(SUMPRODUCT((nNIA=AE655)*(nCUENTA=1)*(COUNTIF(CONFIG_ASIGNATURAS!$B$7:$B$27,nASIG)&gt;0)*(nNOTA))/SUMPRODUCT((nNIA=AE655)*(nCUENTA=1)*(COUNTIF(CONFIG_ASIGNATURAS!$B$7:$B$27,nASIG)&gt;0)*1),"")))</f>
        <v/>
      </c>
    </row>
    <row r="656" spans="2:35" x14ac:dyDescent="0.2">
      <c r="B656" t="str">
        <f>IF(A656="","",IF(A656="[FÓRMULA MANUAL]","",IFERROR(AVERAGEIFS(nNOTA,nNIA,A656,nCUENTA,1,nASIG,"Lenguaje Musical"),"")))</f>
        <v/>
      </c>
      <c r="C656" t="str">
        <f>IF(A656="","",IF(A656="[FÓRMULA MANUAL]","",IFERROR(AVERAGEIFS(nNOTA,nNIA,A656,nCUENTA,1,nASIG,"Orquesta/Banda/Conjunto"),"")))</f>
        <v/>
      </c>
      <c r="D656" t="str">
        <f>IF(A656="","",IF(A656="[FÓRMULA MANUAL]","",IFERROR(AVERAGEIFS(nNOTA,nNIA,A656,nCUENTA,1,nASIG,"Conjunto"),"")))</f>
        <v/>
      </c>
      <c r="E656" t="str">
        <f>IF(A656="","",IF(A656="[FÓRMULA MANUAL]","",IFERROR(SUMPRODUCT((nNIA=A656)*(nCUENTA=1)*(COUNTIF(CONFIG_ASIGNATURAS!$B$7:$B$27,nASIG)&gt;0)*(nNOTA))/SUMPRODUCT((nNIA=A656)*(nCUENTA=1)*(COUNTIF(CONFIG_ASIGNATURAS!$B$7:$B$27,nASIG)&gt;0)*1),"")))</f>
        <v/>
      </c>
      <c r="H656" t="str">
        <f>IF(G656="","",IF(G656="[FÓRMULA MANUAL]","",IFERROR(AVERAGEIFS(nNOTA,nNIA,G656,nCUENTA,1,nASIG,"Lenguaje Musical"),"")))</f>
        <v/>
      </c>
      <c r="I656" t="str">
        <f>IF(G656="","",IF(G656="[FÓRMULA MANUAL]","",IFERROR(AVERAGEIFS(nNOTA,nNIA,G656,nCUENTA,1,nASIG,"Orquesta/Banda/Conjunto"),"")))</f>
        <v/>
      </c>
      <c r="J656" t="str">
        <f>IF(G656="","",IF(G656="[FÓRMULA MANUAL]","",IFERROR(AVERAGEIFS(nNOTA,nNIA,G656,nCUENTA,1,nASIG,"Conjunto"),"")))</f>
        <v/>
      </c>
      <c r="K656" t="str">
        <f>IF(G656="","",IF(G656="[FÓRMULA MANUAL]","",IFERROR(SUMPRODUCT((nNIA=G656)*(nCUENTA=1)*(COUNTIF(CONFIG_ASIGNATURAS!$B$7:$B$27,nASIG)&gt;0)*(nNOTA))/SUMPRODUCT((nNIA=G656)*(nCUENTA=1)*(COUNTIF(CONFIG_ASIGNATURAS!$B$7:$B$27,nASIG)&gt;0)*1),"")))</f>
        <v/>
      </c>
      <c r="N656" t="str">
        <f>IF(M656="","",IF(M656="[FÓRMULA MANUAL]","",IFERROR(AVERAGEIFS(nNOTA,nNIA,M656,nCUENTA,1,nASIG,"Armonía"),"")))</f>
        <v/>
      </c>
      <c r="O656" t="str">
        <f>IF(M656="","",IF(M656="[FÓRMULA MANUAL]","",IFERROR(AVERAGEIFS(nNOTA,nNIA,M656,nCUENTA,1,nASIG,"Orquesta/Banda/Conjunto"),"")))</f>
        <v/>
      </c>
      <c r="P656" t="str">
        <f>IF(M656="","",IF(M656="[FÓRMULA MANUAL]","",IFERROR(AVERAGEIFS(nNOTA,nNIA,M656,nCUENTA,1,nASIG,"Música de Cámara"),"")))</f>
        <v/>
      </c>
      <c r="Q656" t="str">
        <f>IF(M656="","",IF(M656="[FÓRMULA MANUAL]","",IFERROR(SUMPRODUCT((nNIA=M656)*(nCUENTA=1)*(COUNTIF(CONFIG_ASIGNATURAS!$B$7:$B$27,nASIG)&gt;0)*(nNOTA))/SUMPRODUCT((nNIA=M656)*(nCUENTA=1)*(COUNTIF(CONFIG_ASIGNATURAS!$B$7:$B$27,nASIG)&gt;0)*1),"")))</f>
        <v/>
      </c>
      <c r="T656" t="str">
        <f>IF(S656="","",IF(S656="[FÓRMULA MANUAL]","",IFERROR(AVERAGEIFS(nNOTA,nNIA,S656,nCUENTA,1,nASIG,"Armonía"),"")))</f>
        <v/>
      </c>
      <c r="U656" t="str">
        <f>IF(S656="","",IF(S656="[FÓRMULA MANUAL]","",IFERROR(AVERAGEIFS(nNOTA,nNIA,S656,nCUENTA,1,nASIG,"Orquesta/Banda/Conjunto"),"")))</f>
        <v/>
      </c>
      <c r="V656" t="str">
        <f>IF(S656="","",IF(S656="[FÓRMULA MANUAL]","",IFERROR(AVERAGEIFS(nNOTA,nNIA,S656,nCUENTA,1,nASIG,"Música de Cámara"),"")))</f>
        <v/>
      </c>
      <c r="W656" t="str">
        <f>IF(S656="","",IF(S656="[FÓRMULA MANUAL]","",IFERROR(SUMPRODUCT((nNIA=S656)*(nCUENTA=1)*(COUNTIF(CONFIG_ASIGNATURAS!$B$7:$B$27,nASIG)&gt;0)*(nNOTA))/SUMPRODUCT((nNIA=S656)*(nCUENTA=1)*(COUNTIF(CONFIG_ASIGNATURAS!$B$7:$B$27,nASIG)&gt;0)*1),"")))</f>
        <v/>
      </c>
      <c r="Z656" t="str">
        <f>IF(Y656="","",IF(Y656="[FÓRMULA MANUAL]","",IFERROR(AVERAGEIFS(nNOTA,nNIA,Y656,nCUENTA,1,nASIG,"Análisis"),"")))</f>
        <v/>
      </c>
      <c r="AA656" t="str">
        <f>IF(Y656="","",IF(Y656="[FÓRMULA MANUAL]","",IFERROR(AVERAGEIFS(nNOTA,nNIA,Y656,nCUENTA,1,nASIG,"Orquesta/Banda/Conjunto"),"")))</f>
        <v/>
      </c>
      <c r="AB656" t="str">
        <f>IF(Y656="","",IF(Y656="[FÓRMULA MANUAL]","",IFERROR(AVERAGEIFS(nNOTA,nNIA,Y656,nCUENTA,1,nASIG,"Música de Cámara"),"")))</f>
        <v/>
      </c>
      <c r="AC656" t="str">
        <f>IF(Y656="","",IF(Y656="[FÓRMULA MANUAL]","",IFERROR(SUMPRODUCT((nNIA=Y656)*(nCUENTA=1)*(COUNTIF(CONFIG_ASIGNATURAS!$B$7:$B$27,nASIG)&gt;0)*(nNOTA))/SUMPRODUCT((nNIA=Y656)*(nCUENTA=1)*(COUNTIF(CONFIG_ASIGNATURAS!$B$7:$B$27,nASIG)&gt;0)*1),"")))</f>
        <v/>
      </c>
      <c r="AF656" t="str">
        <f>IF(AE656="","",IF(AE656="[FÓRMULA MANUAL]","",IFERROR(AVERAGEIFS(nNOTA,nNIA,AE656,nCUENTA,1,nASIG,"Análisis"),"")))</f>
        <v/>
      </c>
      <c r="AG656" t="str">
        <f>IF(AE656="","",IF(AE656="[FÓRMULA MANUAL]","",IFERROR(AVERAGEIFS(nNOTA,nNIA,AE656,nCUENTA,1,nASIG,"Orquesta/Banda/Conjunto"),"")))</f>
        <v/>
      </c>
      <c r="AH656" t="str">
        <f>IF(AE656="","",IF(AE656="[FÓRMULA MANUAL]","",IFERROR(AVERAGEIFS(nNOTA,nNIA,AE656,nCUENTA,1,nASIG,"Música de Cámara"),"")))</f>
        <v/>
      </c>
      <c r="AI656" t="str">
        <f>IF(AE656="","",IF(AE656="[FÓRMULA MANUAL]","",IFERROR(SUMPRODUCT((nNIA=AE656)*(nCUENTA=1)*(COUNTIF(CONFIG_ASIGNATURAS!$B$7:$B$27,nASIG)&gt;0)*(nNOTA))/SUMPRODUCT((nNIA=AE656)*(nCUENTA=1)*(COUNTIF(CONFIG_ASIGNATURAS!$B$7:$B$27,nASIG)&gt;0)*1),"")))</f>
        <v/>
      </c>
    </row>
    <row r="657" spans="2:35" x14ac:dyDescent="0.2">
      <c r="B657" t="str">
        <f>IF(A657="","",IF(A657="[FÓRMULA MANUAL]","",IFERROR(AVERAGEIFS(nNOTA,nNIA,A657,nCUENTA,1,nASIG,"Lenguaje Musical"),"")))</f>
        <v/>
      </c>
      <c r="C657" t="str">
        <f>IF(A657="","",IF(A657="[FÓRMULA MANUAL]","",IFERROR(AVERAGEIFS(nNOTA,nNIA,A657,nCUENTA,1,nASIG,"Orquesta/Banda/Conjunto"),"")))</f>
        <v/>
      </c>
      <c r="D657" t="str">
        <f>IF(A657="","",IF(A657="[FÓRMULA MANUAL]","",IFERROR(AVERAGEIFS(nNOTA,nNIA,A657,nCUENTA,1,nASIG,"Conjunto"),"")))</f>
        <v/>
      </c>
      <c r="E657" t="str">
        <f>IF(A657="","",IF(A657="[FÓRMULA MANUAL]","",IFERROR(SUMPRODUCT((nNIA=A657)*(nCUENTA=1)*(COUNTIF(CONFIG_ASIGNATURAS!$B$7:$B$27,nASIG)&gt;0)*(nNOTA))/SUMPRODUCT((nNIA=A657)*(nCUENTA=1)*(COUNTIF(CONFIG_ASIGNATURAS!$B$7:$B$27,nASIG)&gt;0)*1),"")))</f>
        <v/>
      </c>
      <c r="H657" t="str">
        <f>IF(G657="","",IF(G657="[FÓRMULA MANUAL]","",IFERROR(AVERAGEIFS(nNOTA,nNIA,G657,nCUENTA,1,nASIG,"Lenguaje Musical"),"")))</f>
        <v/>
      </c>
      <c r="I657" t="str">
        <f>IF(G657="","",IF(G657="[FÓRMULA MANUAL]","",IFERROR(AVERAGEIFS(nNOTA,nNIA,G657,nCUENTA,1,nASIG,"Orquesta/Banda/Conjunto"),"")))</f>
        <v/>
      </c>
      <c r="J657" t="str">
        <f>IF(G657="","",IF(G657="[FÓRMULA MANUAL]","",IFERROR(AVERAGEIFS(nNOTA,nNIA,G657,nCUENTA,1,nASIG,"Conjunto"),"")))</f>
        <v/>
      </c>
      <c r="K657" t="str">
        <f>IF(G657="","",IF(G657="[FÓRMULA MANUAL]","",IFERROR(SUMPRODUCT((nNIA=G657)*(nCUENTA=1)*(COUNTIF(CONFIG_ASIGNATURAS!$B$7:$B$27,nASIG)&gt;0)*(nNOTA))/SUMPRODUCT((nNIA=G657)*(nCUENTA=1)*(COUNTIF(CONFIG_ASIGNATURAS!$B$7:$B$27,nASIG)&gt;0)*1),"")))</f>
        <v/>
      </c>
      <c r="N657" t="str">
        <f>IF(M657="","",IF(M657="[FÓRMULA MANUAL]","",IFERROR(AVERAGEIFS(nNOTA,nNIA,M657,nCUENTA,1,nASIG,"Armonía"),"")))</f>
        <v/>
      </c>
      <c r="O657" t="str">
        <f>IF(M657="","",IF(M657="[FÓRMULA MANUAL]","",IFERROR(AVERAGEIFS(nNOTA,nNIA,M657,nCUENTA,1,nASIG,"Orquesta/Banda/Conjunto"),"")))</f>
        <v/>
      </c>
      <c r="P657" t="str">
        <f>IF(M657="","",IF(M657="[FÓRMULA MANUAL]","",IFERROR(AVERAGEIFS(nNOTA,nNIA,M657,nCUENTA,1,nASIG,"Música de Cámara"),"")))</f>
        <v/>
      </c>
      <c r="Q657" t="str">
        <f>IF(M657="","",IF(M657="[FÓRMULA MANUAL]","",IFERROR(SUMPRODUCT((nNIA=M657)*(nCUENTA=1)*(COUNTIF(CONFIG_ASIGNATURAS!$B$7:$B$27,nASIG)&gt;0)*(nNOTA))/SUMPRODUCT((nNIA=M657)*(nCUENTA=1)*(COUNTIF(CONFIG_ASIGNATURAS!$B$7:$B$27,nASIG)&gt;0)*1),"")))</f>
        <v/>
      </c>
      <c r="T657" t="str">
        <f>IF(S657="","",IF(S657="[FÓRMULA MANUAL]","",IFERROR(AVERAGEIFS(nNOTA,nNIA,S657,nCUENTA,1,nASIG,"Armonía"),"")))</f>
        <v/>
      </c>
      <c r="U657" t="str">
        <f>IF(S657="","",IF(S657="[FÓRMULA MANUAL]","",IFERROR(AVERAGEIFS(nNOTA,nNIA,S657,nCUENTA,1,nASIG,"Orquesta/Banda/Conjunto"),"")))</f>
        <v/>
      </c>
      <c r="V657" t="str">
        <f>IF(S657="","",IF(S657="[FÓRMULA MANUAL]","",IFERROR(AVERAGEIFS(nNOTA,nNIA,S657,nCUENTA,1,nASIG,"Música de Cámara"),"")))</f>
        <v/>
      </c>
      <c r="W657" t="str">
        <f>IF(S657="","",IF(S657="[FÓRMULA MANUAL]","",IFERROR(SUMPRODUCT((nNIA=S657)*(nCUENTA=1)*(COUNTIF(CONFIG_ASIGNATURAS!$B$7:$B$27,nASIG)&gt;0)*(nNOTA))/SUMPRODUCT((nNIA=S657)*(nCUENTA=1)*(COUNTIF(CONFIG_ASIGNATURAS!$B$7:$B$27,nASIG)&gt;0)*1),"")))</f>
        <v/>
      </c>
      <c r="Z657" t="str">
        <f>IF(Y657="","",IF(Y657="[FÓRMULA MANUAL]","",IFERROR(AVERAGEIFS(nNOTA,nNIA,Y657,nCUENTA,1,nASIG,"Análisis"),"")))</f>
        <v/>
      </c>
      <c r="AA657" t="str">
        <f>IF(Y657="","",IF(Y657="[FÓRMULA MANUAL]","",IFERROR(AVERAGEIFS(nNOTA,nNIA,Y657,nCUENTA,1,nASIG,"Orquesta/Banda/Conjunto"),"")))</f>
        <v/>
      </c>
      <c r="AB657" t="str">
        <f>IF(Y657="","",IF(Y657="[FÓRMULA MANUAL]","",IFERROR(AVERAGEIFS(nNOTA,nNIA,Y657,nCUENTA,1,nASIG,"Música de Cámara"),"")))</f>
        <v/>
      </c>
      <c r="AC657" t="str">
        <f>IF(Y657="","",IF(Y657="[FÓRMULA MANUAL]","",IFERROR(SUMPRODUCT((nNIA=Y657)*(nCUENTA=1)*(COUNTIF(CONFIG_ASIGNATURAS!$B$7:$B$27,nASIG)&gt;0)*(nNOTA))/SUMPRODUCT((nNIA=Y657)*(nCUENTA=1)*(COUNTIF(CONFIG_ASIGNATURAS!$B$7:$B$27,nASIG)&gt;0)*1),"")))</f>
        <v/>
      </c>
      <c r="AF657" t="str">
        <f>IF(AE657="","",IF(AE657="[FÓRMULA MANUAL]","",IFERROR(AVERAGEIFS(nNOTA,nNIA,AE657,nCUENTA,1,nASIG,"Análisis"),"")))</f>
        <v/>
      </c>
      <c r="AG657" t="str">
        <f>IF(AE657="","",IF(AE657="[FÓRMULA MANUAL]","",IFERROR(AVERAGEIFS(nNOTA,nNIA,AE657,nCUENTA,1,nASIG,"Orquesta/Banda/Conjunto"),"")))</f>
        <v/>
      </c>
      <c r="AH657" t="str">
        <f>IF(AE657="","",IF(AE657="[FÓRMULA MANUAL]","",IFERROR(AVERAGEIFS(nNOTA,nNIA,AE657,nCUENTA,1,nASIG,"Música de Cámara"),"")))</f>
        <v/>
      </c>
      <c r="AI657" t="str">
        <f>IF(AE657="","",IF(AE657="[FÓRMULA MANUAL]","",IFERROR(SUMPRODUCT((nNIA=AE657)*(nCUENTA=1)*(COUNTIF(CONFIG_ASIGNATURAS!$B$7:$B$27,nASIG)&gt;0)*(nNOTA))/SUMPRODUCT((nNIA=AE657)*(nCUENTA=1)*(COUNTIF(CONFIG_ASIGNATURAS!$B$7:$B$27,nASIG)&gt;0)*1),"")))</f>
        <v/>
      </c>
    </row>
    <row r="658" spans="2:35" x14ac:dyDescent="0.2">
      <c r="B658" t="str">
        <f>IF(A658="","",IF(A658="[FÓRMULA MANUAL]","",IFERROR(AVERAGEIFS(nNOTA,nNIA,A658,nCUENTA,1,nASIG,"Lenguaje Musical"),"")))</f>
        <v/>
      </c>
      <c r="C658" t="str">
        <f>IF(A658="","",IF(A658="[FÓRMULA MANUAL]","",IFERROR(AVERAGEIFS(nNOTA,nNIA,A658,nCUENTA,1,nASIG,"Orquesta/Banda/Conjunto"),"")))</f>
        <v/>
      </c>
      <c r="D658" t="str">
        <f>IF(A658="","",IF(A658="[FÓRMULA MANUAL]","",IFERROR(AVERAGEIFS(nNOTA,nNIA,A658,nCUENTA,1,nASIG,"Conjunto"),"")))</f>
        <v/>
      </c>
      <c r="E658" t="str">
        <f>IF(A658="","",IF(A658="[FÓRMULA MANUAL]","",IFERROR(SUMPRODUCT((nNIA=A658)*(nCUENTA=1)*(COUNTIF(CONFIG_ASIGNATURAS!$B$7:$B$27,nASIG)&gt;0)*(nNOTA))/SUMPRODUCT((nNIA=A658)*(nCUENTA=1)*(COUNTIF(CONFIG_ASIGNATURAS!$B$7:$B$27,nASIG)&gt;0)*1),"")))</f>
        <v/>
      </c>
      <c r="H658" t="str">
        <f>IF(G658="","",IF(G658="[FÓRMULA MANUAL]","",IFERROR(AVERAGEIFS(nNOTA,nNIA,G658,nCUENTA,1,nASIG,"Lenguaje Musical"),"")))</f>
        <v/>
      </c>
      <c r="I658" t="str">
        <f>IF(G658="","",IF(G658="[FÓRMULA MANUAL]","",IFERROR(AVERAGEIFS(nNOTA,nNIA,G658,nCUENTA,1,nASIG,"Orquesta/Banda/Conjunto"),"")))</f>
        <v/>
      </c>
      <c r="J658" t="str">
        <f>IF(G658="","",IF(G658="[FÓRMULA MANUAL]","",IFERROR(AVERAGEIFS(nNOTA,nNIA,G658,nCUENTA,1,nASIG,"Conjunto"),"")))</f>
        <v/>
      </c>
      <c r="K658" t="str">
        <f>IF(G658="","",IF(G658="[FÓRMULA MANUAL]","",IFERROR(SUMPRODUCT((nNIA=G658)*(nCUENTA=1)*(COUNTIF(CONFIG_ASIGNATURAS!$B$7:$B$27,nASIG)&gt;0)*(nNOTA))/SUMPRODUCT((nNIA=G658)*(nCUENTA=1)*(COUNTIF(CONFIG_ASIGNATURAS!$B$7:$B$27,nASIG)&gt;0)*1),"")))</f>
        <v/>
      </c>
      <c r="N658" t="str">
        <f>IF(M658="","",IF(M658="[FÓRMULA MANUAL]","",IFERROR(AVERAGEIFS(nNOTA,nNIA,M658,nCUENTA,1,nASIG,"Armonía"),"")))</f>
        <v/>
      </c>
      <c r="O658" t="str">
        <f>IF(M658="","",IF(M658="[FÓRMULA MANUAL]","",IFERROR(AVERAGEIFS(nNOTA,nNIA,M658,nCUENTA,1,nASIG,"Orquesta/Banda/Conjunto"),"")))</f>
        <v/>
      </c>
      <c r="P658" t="str">
        <f>IF(M658="","",IF(M658="[FÓRMULA MANUAL]","",IFERROR(AVERAGEIFS(nNOTA,nNIA,M658,nCUENTA,1,nASIG,"Música de Cámara"),"")))</f>
        <v/>
      </c>
      <c r="Q658" t="str">
        <f>IF(M658="","",IF(M658="[FÓRMULA MANUAL]","",IFERROR(SUMPRODUCT((nNIA=M658)*(nCUENTA=1)*(COUNTIF(CONFIG_ASIGNATURAS!$B$7:$B$27,nASIG)&gt;0)*(nNOTA))/SUMPRODUCT((nNIA=M658)*(nCUENTA=1)*(COUNTIF(CONFIG_ASIGNATURAS!$B$7:$B$27,nASIG)&gt;0)*1),"")))</f>
        <v/>
      </c>
      <c r="T658" t="str">
        <f>IF(S658="","",IF(S658="[FÓRMULA MANUAL]","",IFERROR(AVERAGEIFS(nNOTA,nNIA,S658,nCUENTA,1,nASIG,"Armonía"),"")))</f>
        <v/>
      </c>
      <c r="U658" t="str">
        <f>IF(S658="","",IF(S658="[FÓRMULA MANUAL]","",IFERROR(AVERAGEIFS(nNOTA,nNIA,S658,nCUENTA,1,nASIG,"Orquesta/Banda/Conjunto"),"")))</f>
        <v/>
      </c>
      <c r="V658" t="str">
        <f>IF(S658="","",IF(S658="[FÓRMULA MANUAL]","",IFERROR(AVERAGEIFS(nNOTA,nNIA,S658,nCUENTA,1,nASIG,"Música de Cámara"),"")))</f>
        <v/>
      </c>
      <c r="W658" t="str">
        <f>IF(S658="","",IF(S658="[FÓRMULA MANUAL]","",IFERROR(SUMPRODUCT((nNIA=S658)*(nCUENTA=1)*(COUNTIF(CONFIG_ASIGNATURAS!$B$7:$B$27,nASIG)&gt;0)*(nNOTA))/SUMPRODUCT((nNIA=S658)*(nCUENTA=1)*(COUNTIF(CONFIG_ASIGNATURAS!$B$7:$B$27,nASIG)&gt;0)*1),"")))</f>
        <v/>
      </c>
      <c r="Z658" t="str">
        <f>IF(Y658="","",IF(Y658="[FÓRMULA MANUAL]","",IFERROR(AVERAGEIFS(nNOTA,nNIA,Y658,nCUENTA,1,nASIG,"Análisis"),"")))</f>
        <v/>
      </c>
      <c r="AA658" t="str">
        <f>IF(Y658="","",IF(Y658="[FÓRMULA MANUAL]","",IFERROR(AVERAGEIFS(nNOTA,nNIA,Y658,nCUENTA,1,nASIG,"Orquesta/Banda/Conjunto"),"")))</f>
        <v/>
      </c>
      <c r="AB658" t="str">
        <f>IF(Y658="","",IF(Y658="[FÓRMULA MANUAL]","",IFERROR(AVERAGEIFS(nNOTA,nNIA,Y658,nCUENTA,1,nASIG,"Música de Cámara"),"")))</f>
        <v/>
      </c>
      <c r="AC658" t="str">
        <f>IF(Y658="","",IF(Y658="[FÓRMULA MANUAL]","",IFERROR(SUMPRODUCT((nNIA=Y658)*(nCUENTA=1)*(COUNTIF(CONFIG_ASIGNATURAS!$B$7:$B$27,nASIG)&gt;0)*(nNOTA))/SUMPRODUCT((nNIA=Y658)*(nCUENTA=1)*(COUNTIF(CONFIG_ASIGNATURAS!$B$7:$B$27,nASIG)&gt;0)*1),"")))</f>
        <v/>
      </c>
      <c r="AF658" t="str">
        <f>IF(AE658="","",IF(AE658="[FÓRMULA MANUAL]","",IFERROR(AVERAGEIFS(nNOTA,nNIA,AE658,nCUENTA,1,nASIG,"Análisis"),"")))</f>
        <v/>
      </c>
      <c r="AG658" t="str">
        <f>IF(AE658="","",IF(AE658="[FÓRMULA MANUAL]","",IFERROR(AVERAGEIFS(nNOTA,nNIA,AE658,nCUENTA,1,nASIG,"Orquesta/Banda/Conjunto"),"")))</f>
        <v/>
      </c>
      <c r="AH658" t="str">
        <f>IF(AE658="","",IF(AE658="[FÓRMULA MANUAL]","",IFERROR(AVERAGEIFS(nNOTA,nNIA,AE658,nCUENTA,1,nASIG,"Música de Cámara"),"")))</f>
        <v/>
      </c>
      <c r="AI658" t="str">
        <f>IF(AE658="","",IF(AE658="[FÓRMULA MANUAL]","",IFERROR(SUMPRODUCT((nNIA=AE658)*(nCUENTA=1)*(COUNTIF(CONFIG_ASIGNATURAS!$B$7:$B$27,nASIG)&gt;0)*(nNOTA))/SUMPRODUCT((nNIA=AE658)*(nCUENTA=1)*(COUNTIF(CONFIG_ASIGNATURAS!$B$7:$B$27,nASIG)&gt;0)*1),"")))</f>
        <v/>
      </c>
    </row>
    <row r="659" spans="2:35" x14ac:dyDescent="0.2">
      <c r="B659" t="str">
        <f>IF(A659="","",IF(A659="[FÓRMULA MANUAL]","",IFERROR(AVERAGEIFS(nNOTA,nNIA,A659,nCUENTA,1,nASIG,"Lenguaje Musical"),"")))</f>
        <v/>
      </c>
      <c r="C659" t="str">
        <f>IF(A659="","",IF(A659="[FÓRMULA MANUAL]","",IFERROR(AVERAGEIFS(nNOTA,nNIA,A659,nCUENTA,1,nASIG,"Orquesta/Banda/Conjunto"),"")))</f>
        <v/>
      </c>
      <c r="D659" t="str">
        <f>IF(A659="","",IF(A659="[FÓRMULA MANUAL]","",IFERROR(AVERAGEIFS(nNOTA,nNIA,A659,nCUENTA,1,nASIG,"Conjunto"),"")))</f>
        <v/>
      </c>
      <c r="E659" t="str">
        <f>IF(A659="","",IF(A659="[FÓRMULA MANUAL]","",IFERROR(SUMPRODUCT((nNIA=A659)*(nCUENTA=1)*(COUNTIF(CONFIG_ASIGNATURAS!$B$7:$B$27,nASIG)&gt;0)*(nNOTA))/SUMPRODUCT((nNIA=A659)*(nCUENTA=1)*(COUNTIF(CONFIG_ASIGNATURAS!$B$7:$B$27,nASIG)&gt;0)*1),"")))</f>
        <v/>
      </c>
      <c r="H659" t="str">
        <f>IF(G659="","",IF(G659="[FÓRMULA MANUAL]","",IFERROR(AVERAGEIFS(nNOTA,nNIA,G659,nCUENTA,1,nASIG,"Lenguaje Musical"),"")))</f>
        <v/>
      </c>
      <c r="I659" t="str">
        <f>IF(G659="","",IF(G659="[FÓRMULA MANUAL]","",IFERROR(AVERAGEIFS(nNOTA,nNIA,G659,nCUENTA,1,nASIG,"Orquesta/Banda/Conjunto"),"")))</f>
        <v/>
      </c>
      <c r="J659" t="str">
        <f>IF(G659="","",IF(G659="[FÓRMULA MANUAL]","",IFERROR(AVERAGEIFS(nNOTA,nNIA,G659,nCUENTA,1,nASIG,"Conjunto"),"")))</f>
        <v/>
      </c>
      <c r="K659" t="str">
        <f>IF(G659="","",IF(G659="[FÓRMULA MANUAL]","",IFERROR(SUMPRODUCT((nNIA=G659)*(nCUENTA=1)*(COUNTIF(CONFIG_ASIGNATURAS!$B$7:$B$27,nASIG)&gt;0)*(nNOTA))/SUMPRODUCT((nNIA=G659)*(nCUENTA=1)*(COUNTIF(CONFIG_ASIGNATURAS!$B$7:$B$27,nASIG)&gt;0)*1),"")))</f>
        <v/>
      </c>
      <c r="N659" t="str">
        <f>IF(M659="","",IF(M659="[FÓRMULA MANUAL]","",IFERROR(AVERAGEIFS(nNOTA,nNIA,M659,nCUENTA,1,nASIG,"Armonía"),"")))</f>
        <v/>
      </c>
      <c r="O659" t="str">
        <f>IF(M659="","",IF(M659="[FÓRMULA MANUAL]","",IFERROR(AVERAGEIFS(nNOTA,nNIA,M659,nCUENTA,1,nASIG,"Orquesta/Banda/Conjunto"),"")))</f>
        <v/>
      </c>
      <c r="P659" t="str">
        <f>IF(M659="","",IF(M659="[FÓRMULA MANUAL]","",IFERROR(AVERAGEIFS(nNOTA,nNIA,M659,nCUENTA,1,nASIG,"Música de Cámara"),"")))</f>
        <v/>
      </c>
      <c r="Q659" t="str">
        <f>IF(M659="","",IF(M659="[FÓRMULA MANUAL]","",IFERROR(SUMPRODUCT((nNIA=M659)*(nCUENTA=1)*(COUNTIF(CONFIG_ASIGNATURAS!$B$7:$B$27,nASIG)&gt;0)*(nNOTA))/SUMPRODUCT((nNIA=M659)*(nCUENTA=1)*(COUNTIF(CONFIG_ASIGNATURAS!$B$7:$B$27,nASIG)&gt;0)*1),"")))</f>
        <v/>
      </c>
      <c r="T659" t="str">
        <f>IF(S659="","",IF(S659="[FÓRMULA MANUAL]","",IFERROR(AVERAGEIFS(nNOTA,nNIA,S659,nCUENTA,1,nASIG,"Armonía"),"")))</f>
        <v/>
      </c>
      <c r="U659" t="str">
        <f>IF(S659="","",IF(S659="[FÓRMULA MANUAL]","",IFERROR(AVERAGEIFS(nNOTA,nNIA,S659,nCUENTA,1,nASIG,"Orquesta/Banda/Conjunto"),"")))</f>
        <v/>
      </c>
      <c r="V659" t="str">
        <f>IF(S659="","",IF(S659="[FÓRMULA MANUAL]","",IFERROR(AVERAGEIFS(nNOTA,nNIA,S659,nCUENTA,1,nASIG,"Música de Cámara"),"")))</f>
        <v/>
      </c>
      <c r="W659" t="str">
        <f>IF(S659="","",IF(S659="[FÓRMULA MANUAL]","",IFERROR(SUMPRODUCT((nNIA=S659)*(nCUENTA=1)*(COUNTIF(CONFIG_ASIGNATURAS!$B$7:$B$27,nASIG)&gt;0)*(nNOTA))/SUMPRODUCT((nNIA=S659)*(nCUENTA=1)*(COUNTIF(CONFIG_ASIGNATURAS!$B$7:$B$27,nASIG)&gt;0)*1),"")))</f>
        <v/>
      </c>
      <c r="Z659" t="str">
        <f>IF(Y659="","",IF(Y659="[FÓRMULA MANUAL]","",IFERROR(AVERAGEIFS(nNOTA,nNIA,Y659,nCUENTA,1,nASIG,"Análisis"),"")))</f>
        <v/>
      </c>
      <c r="AA659" t="str">
        <f>IF(Y659="","",IF(Y659="[FÓRMULA MANUAL]","",IFERROR(AVERAGEIFS(nNOTA,nNIA,Y659,nCUENTA,1,nASIG,"Orquesta/Banda/Conjunto"),"")))</f>
        <v/>
      </c>
      <c r="AB659" t="str">
        <f>IF(Y659="","",IF(Y659="[FÓRMULA MANUAL]","",IFERROR(AVERAGEIFS(nNOTA,nNIA,Y659,nCUENTA,1,nASIG,"Música de Cámara"),"")))</f>
        <v/>
      </c>
      <c r="AC659" t="str">
        <f>IF(Y659="","",IF(Y659="[FÓRMULA MANUAL]","",IFERROR(SUMPRODUCT((nNIA=Y659)*(nCUENTA=1)*(COUNTIF(CONFIG_ASIGNATURAS!$B$7:$B$27,nASIG)&gt;0)*(nNOTA))/SUMPRODUCT((nNIA=Y659)*(nCUENTA=1)*(COUNTIF(CONFIG_ASIGNATURAS!$B$7:$B$27,nASIG)&gt;0)*1),"")))</f>
        <v/>
      </c>
      <c r="AF659" t="str">
        <f>IF(AE659="","",IF(AE659="[FÓRMULA MANUAL]","",IFERROR(AVERAGEIFS(nNOTA,nNIA,AE659,nCUENTA,1,nASIG,"Análisis"),"")))</f>
        <v/>
      </c>
      <c r="AG659" t="str">
        <f>IF(AE659="","",IF(AE659="[FÓRMULA MANUAL]","",IFERROR(AVERAGEIFS(nNOTA,nNIA,AE659,nCUENTA,1,nASIG,"Orquesta/Banda/Conjunto"),"")))</f>
        <v/>
      </c>
      <c r="AH659" t="str">
        <f>IF(AE659="","",IF(AE659="[FÓRMULA MANUAL]","",IFERROR(AVERAGEIFS(nNOTA,nNIA,AE659,nCUENTA,1,nASIG,"Música de Cámara"),"")))</f>
        <v/>
      </c>
      <c r="AI659" t="str">
        <f>IF(AE659="","",IF(AE659="[FÓRMULA MANUAL]","",IFERROR(SUMPRODUCT((nNIA=AE659)*(nCUENTA=1)*(COUNTIF(CONFIG_ASIGNATURAS!$B$7:$B$27,nASIG)&gt;0)*(nNOTA))/SUMPRODUCT((nNIA=AE659)*(nCUENTA=1)*(COUNTIF(CONFIG_ASIGNATURAS!$B$7:$B$27,nASIG)&gt;0)*1),"")))</f>
        <v/>
      </c>
    </row>
    <row r="660" spans="2:35" x14ac:dyDescent="0.2">
      <c r="B660" t="str">
        <f>IF(A660="","",IF(A660="[FÓRMULA MANUAL]","",IFERROR(AVERAGEIFS(nNOTA,nNIA,A660,nCUENTA,1,nASIG,"Lenguaje Musical"),"")))</f>
        <v/>
      </c>
      <c r="C660" t="str">
        <f>IF(A660="","",IF(A660="[FÓRMULA MANUAL]","",IFERROR(AVERAGEIFS(nNOTA,nNIA,A660,nCUENTA,1,nASIG,"Orquesta/Banda/Conjunto"),"")))</f>
        <v/>
      </c>
      <c r="D660" t="str">
        <f>IF(A660="","",IF(A660="[FÓRMULA MANUAL]","",IFERROR(AVERAGEIFS(nNOTA,nNIA,A660,nCUENTA,1,nASIG,"Conjunto"),"")))</f>
        <v/>
      </c>
      <c r="E660" t="str">
        <f>IF(A660="","",IF(A660="[FÓRMULA MANUAL]","",IFERROR(SUMPRODUCT((nNIA=A660)*(nCUENTA=1)*(COUNTIF(CONFIG_ASIGNATURAS!$B$7:$B$27,nASIG)&gt;0)*(nNOTA))/SUMPRODUCT((nNIA=A660)*(nCUENTA=1)*(COUNTIF(CONFIG_ASIGNATURAS!$B$7:$B$27,nASIG)&gt;0)*1),"")))</f>
        <v/>
      </c>
      <c r="H660" t="str">
        <f>IF(G660="","",IF(G660="[FÓRMULA MANUAL]","",IFERROR(AVERAGEIFS(nNOTA,nNIA,G660,nCUENTA,1,nASIG,"Lenguaje Musical"),"")))</f>
        <v/>
      </c>
      <c r="I660" t="str">
        <f>IF(G660="","",IF(G660="[FÓRMULA MANUAL]","",IFERROR(AVERAGEIFS(nNOTA,nNIA,G660,nCUENTA,1,nASIG,"Orquesta/Banda/Conjunto"),"")))</f>
        <v/>
      </c>
      <c r="J660" t="str">
        <f>IF(G660="","",IF(G660="[FÓRMULA MANUAL]","",IFERROR(AVERAGEIFS(nNOTA,nNIA,G660,nCUENTA,1,nASIG,"Conjunto"),"")))</f>
        <v/>
      </c>
      <c r="K660" t="str">
        <f>IF(G660="","",IF(G660="[FÓRMULA MANUAL]","",IFERROR(SUMPRODUCT((nNIA=G660)*(nCUENTA=1)*(COUNTIF(CONFIG_ASIGNATURAS!$B$7:$B$27,nASIG)&gt;0)*(nNOTA))/SUMPRODUCT((nNIA=G660)*(nCUENTA=1)*(COUNTIF(CONFIG_ASIGNATURAS!$B$7:$B$27,nASIG)&gt;0)*1),"")))</f>
        <v/>
      </c>
      <c r="N660" t="str">
        <f>IF(M660="","",IF(M660="[FÓRMULA MANUAL]","",IFERROR(AVERAGEIFS(nNOTA,nNIA,M660,nCUENTA,1,nASIG,"Armonía"),"")))</f>
        <v/>
      </c>
      <c r="O660" t="str">
        <f>IF(M660="","",IF(M660="[FÓRMULA MANUAL]","",IFERROR(AVERAGEIFS(nNOTA,nNIA,M660,nCUENTA,1,nASIG,"Orquesta/Banda/Conjunto"),"")))</f>
        <v/>
      </c>
      <c r="P660" t="str">
        <f>IF(M660="","",IF(M660="[FÓRMULA MANUAL]","",IFERROR(AVERAGEIFS(nNOTA,nNIA,M660,nCUENTA,1,nASIG,"Música de Cámara"),"")))</f>
        <v/>
      </c>
      <c r="Q660" t="str">
        <f>IF(M660="","",IF(M660="[FÓRMULA MANUAL]","",IFERROR(SUMPRODUCT((nNIA=M660)*(nCUENTA=1)*(COUNTIF(CONFIG_ASIGNATURAS!$B$7:$B$27,nASIG)&gt;0)*(nNOTA))/SUMPRODUCT((nNIA=M660)*(nCUENTA=1)*(COUNTIF(CONFIG_ASIGNATURAS!$B$7:$B$27,nASIG)&gt;0)*1),"")))</f>
        <v/>
      </c>
      <c r="T660" t="str">
        <f>IF(S660="","",IF(S660="[FÓRMULA MANUAL]","",IFERROR(AVERAGEIFS(nNOTA,nNIA,S660,nCUENTA,1,nASIG,"Armonía"),"")))</f>
        <v/>
      </c>
      <c r="U660" t="str">
        <f>IF(S660="","",IF(S660="[FÓRMULA MANUAL]","",IFERROR(AVERAGEIFS(nNOTA,nNIA,S660,nCUENTA,1,nASIG,"Orquesta/Banda/Conjunto"),"")))</f>
        <v/>
      </c>
      <c r="V660" t="str">
        <f>IF(S660="","",IF(S660="[FÓRMULA MANUAL]","",IFERROR(AVERAGEIFS(nNOTA,nNIA,S660,nCUENTA,1,nASIG,"Música de Cámara"),"")))</f>
        <v/>
      </c>
      <c r="W660" t="str">
        <f>IF(S660="","",IF(S660="[FÓRMULA MANUAL]","",IFERROR(SUMPRODUCT((nNIA=S660)*(nCUENTA=1)*(COUNTIF(CONFIG_ASIGNATURAS!$B$7:$B$27,nASIG)&gt;0)*(nNOTA))/SUMPRODUCT((nNIA=S660)*(nCUENTA=1)*(COUNTIF(CONFIG_ASIGNATURAS!$B$7:$B$27,nASIG)&gt;0)*1),"")))</f>
        <v/>
      </c>
      <c r="Z660" t="str">
        <f>IF(Y660="","",IF(Y660="[FÓRMULA MANUAL]","",IFERROR(AVERAGEIFS(nNOTA,nNIA,Y660,nCUENTA,1,nASIG,"Análisis"),"")))</f>
        <v/>
      </c>
      <c r="AA660" t="str">
        <f>IF(Y660="","",IF(Y660="[FÓRMULA MANUAL]","",IFERROR(AVERAGEIFS(nNOTA,nNIA,Y660,nCUENTA,1,nASIG,"Orquesta/Banda/Conjunto"),"")))</f>
        <v/>
      </c>
      <c r="AB660" t="str">
        <f>IF(Y660="","",IF(Y660="[FÓRMULA MANUAL]","",IFERROR(AVERAGEIFS(nNOTA,nNIA,Y660,nCUENTA,1,nASIG,"Música de Cámara"),"")))</f>
        <v/>
      </c>
      <c r="AC660" t="str">
        <f>IF(Y660="","",IF(Y660="[FÓRMULA MANUAL]","",IFERROR(SUMPRODUCT((nNIA=Y660)*(nCUENTA=1)*(COUNTIF(CONFIG_ASIGNATURAS!$B$7:$B$27,nASIG)&gt;0)*(nNOTA))/SUMPRODUCT((nNIA=Y660)*(nCUENTA=1)*(COUNTIF(CONFIG_ASIGNATURAS!$B$7:$B$27,nASIG)&gt;0)*1),"")))</f>
        <v/>
      </c>
      <c r="AF660" t="str">
        <f>IF(AE660="","",IF(AE660="[FÓRMULA MANUAL]","",IFERROR(AVERAGEIFS(nNOTA,nNIA,AE660,nCUENTA,1,nASIG,"Análisis"),"")))</f>
        <v/>
      </c>
      <c r="AG660" t="str">
        <f>IF(AE660="","",IF(AE660="[FÓRMULA MANUAL]","",IFERROR(AVERAGEIFS(nNOTA,nNIA,AE660,nCUENTA,1,nASIG,"Orquesta/Banda/Conjunto"),"")))</f>
        <v/>
      </c>
      <c r="AH660" t="str">
        <f>IF(AE660="","",IF(AE660="[FÓRMULA MANUAL]","",IFERROR(AVERAGEIFS(nNOTA,nNIA,AE660,nCUENTA,1,nASIG,"Música de Cámara"),"")))</f>
        <v/>
      </c>
      <c r="AI660" t="str">
        <f>IF(AE660="","",IF(AE660="[FÓRMULA MANUAL]","",IFERROR(SUMPRODUCT((nNIA=AE660)*(nCUENTA=1)*(COUNTIF(CONFIG_ASIGNATURAS!$B$7:$B$27,nASIG)&gt;0)*(nNOTA))/SUMPRODUCT((nNIA=AE660)*(nCUENTA=1)*(COUNTIF(CONFIG_ASIGNATURAS!$B$7:$B$27,nASIG)&gt;0)*1),"")))</f>
        <v/>
      </c>
    </row>
    <row r="661" spans="2:35" x14ac:dyDescent="0.2">
      <c r="B661" t="str">
        <f>IF(A661="","",IF(A661="[FÓRMULA MANUAL]","",IFERROR(AVERAGEIFS(nNOTA,nNIA,A661,nCUENTA,1,nASIG,"Lenguaje Musical"),"")))</f>
        <v/>
      </c>
      <c r="C661" t="str">
        <f>IF(A661="","",IF(A661="[FÓRMULA MANUAL]","",IFERROR(AVERAGEIFS(nNOTA,nNIA,A661,nCUENTA,1,nASIG,"Orquesta/Banda/Conjunto"),"")))</f>
        <v/>
      </c>
      <c r="D661" t="str">
        <f>IF(A661="","",IF(A661="[FÓRMULA MANUAL]","",IFERROR(AVERAGEIFS(nNOTA,nNIA,A661,nCUENTA,1,nASIG,"Conjunto"),"")))</f>
        <v/>
      </c>
      <c r="E661" t="str">
        <f>IF(A661="","",IF(A661="[FÓRMULA MANUAL]","",IFERROR(SUMPRODUCT((nNIA=A661)*(nCUENTA=1)*(COUNTIF(CONFIG_ASIGNATURAS!$B$7:$B$27,nASIG)&gt;0)*(nNOTA))/SUMPRODUCT((nNIA=A661)*(nCUENTA=1)*(COUNTIF(CONFIG_ASIGNATURAS!$B$7:$B$27,nASIG)&gt;0)*1),"")))</f>
        <v/>
      </c>
      <c r="H661" t="str">
        <f>IF(G661="","",IF(G661="[FÓRMULA MANUAL]","",IFERROR(AVERAGEIFS(nNOTA,nNIA,G661,nCUENTA,1,nASIG,"Lenguaje Musical"),"")))</f>
        <v/>
      </c>
      <c r="I661" t="str">
        <f>IF(G661="","",IF(G661="[FÓRMULA MANUAL]","",IFERROR(AVERAGEIFS(nNOTA,nNIA,G661,nCUENTA,1,nASIG,"Orquesta/Banda/Conjunto"),"")))</f>
        <v/>
      </c>
      <c r="J661" t="str">
        <f>IF(G661="","",IF(G661="[FÓRMULA MANUAL]","",IFERROR(AVERAGEIFS(nNOTA,nNIA,G661,nCUENTA,1,nASIG,"Conjunto"),"")))</f>
        <v/>
      </c>
      <c r="K661" t="str">
        <f>IF(G661="","",IF(G661="[FÓRMULA MANUAL]","",IFERROR(SUMPRODUCT((nNIA=G661)*(nCUENTA=1)*(COUNTIF(CONFIG_ASIGNATURAS!$B$7:$B$27,nASIG)&gt;0)*(nNOTA))/SUMPRODUCT((nNIA=G661)*(nCUENTA=1)*(COUNTIF(CONFIG_ASIGNATURAS!$B$7:$B$27,nASIG)&gt;0)*1),"")))</f>
        <v/>
      </c>
      <c r="N661" t="str">
        <f>IF(M661="","",IF(M661="[FÓRMULA MANUAL]","",IFERROR(AVERAGEIFS(nNOTA,nNIA,M661,nCUENTA,1,nASIG,"Armonía"),"")))</f>
        <v/>
      </c>
      <c r="O661" t="str">
        <f>IF(M661="","",IF(M661="[FÓRMULA MANUAL]","",IFERROR(AVERAGEIFS(nNOTA,nNIA,M661,nCUENTA,1,nASIG,"Orquesta/Banda/Conjunto"),"")))</f>
        <v/>
      </c>
      <c r="P661" t="str">
        <f>IF(M661="","",IF(M661="[FÓRMULA MANUAL]","",IFERROR(AVERAGEIFS(nNOTA,nNIA,M661,nCUENTA,1,nASIG,"Música de Cámara"),"")))</f>
        <v/>
      </c>
      <c r="Q661" t="str">
        <f>IF(M661="","",IF(M661="[FÓRMULA MANUAL]","",IFERROR(SUMPRODUCT((nNIA=M661)*(nCUENTA=1)*(COUNTIF(CONFIG_ASIGNATURAS!$B$7:$B$27,nASIG)&gt;0)*(nNOTA))/SUMPRODUCT((nNIA=M661)*(nCUENTA=1)*(COUNTIF(CONFIG_ASIGNATURAS!$B$7:$B$27,nASIG)&gt;0)*1),"")))</f>
        <v/>
      </c>
      <c r="T661" t="str">
        <f>IF(S661="","",IF(S661="[FÓRMULA MANUAL]","",IFERROR(AVERAGEIFS(nNOTA,nNIA,S661,nCUENTA,1,nASIG,"Armonía"),"")))</f>
        <v/>
      </c>
      <c r="U661" t="str">
        <f>IF(S661="","",IF(S661="[FÓRMULA MANUAL]","",IFERROR(AVERAGEIFS(nNOTA,nNIA,S661,nCUENTA,1,nASIG,"Orquesta/Banda/Conjunto"),"")))</f>
        <v/>
      </c>
      <c r="V661" t="str">
        <f>IF(S661="","",IF(S661="[FÓRMULA MANUAL]","",IFERROR(AVERAGEIFS(nNOTA,nNIA,S661,nCUENTA,1,nASIG,"Música de Cámara"),"")))</f>
        <v/>
      </c>
      <c r="W661" t="str">
        <f>IF(S661="","",IF(S661="[FÓRMULA MANUAL]","",IFERROR(SUMPRODUCT((nNIA=S661)*(nCUENTA=1)*(COUNTIF(CONFIG_ASIGNATURAS!$B$7:$B$27,nASIG)&gt;0)*(nNOTA))/SUMPRODUCT((nNIA=S661)*(nCUENTA=1)*(COUNTIF(CONFIG_ASIGNATURAS!$B$7:$B$27,nASIG)&gt;0)*1),"")))</f>
        <v/>
      </c>
      <c r="Z661" t="str">
        <f>IF(Y661="","",IF(Y661="[FÓRMULA MANUAL]","",IFERROR(AVERAGEIFS(nNOTA,nNIA,Y661,nCUENTA,1,nASIG,"Análisis"),"")))</f>
        <v/>
      </c>
      <c r="AA661" t="str">
        <f>IF(Y661="","",IF(Y661="[FÓRMULA MANUAL]","",IFERROR(AVERAGEIFS(nNOTA,nNIA,Y661,nCUENTA,1,nASIG,"Orquesta/Banda/Conjunto"),"")))</f>
        <v/>
      </c>
      <c r="AB661" t="str">
        <f>IF(Y661="","",IF(Y661="[FÓRMULA MANUAL]","",IFERROR(AVERAGEIFS(nNOTA,nNIA,Y661,nCUENTA,1,nASIG,"Música de Cámara"),"")))</f>
        <v/>
      </c>
      <c r="AC661" t="str">
        <f>IF(Y661="","",IF(Y661="[FÓRMULA MANUAL]","",IFERROR(SUMPRODUCT((nNIA=Y661)*(nCUENTA=1)*(COUNTIF(CONFIG_ASIGNATURAS!$B$7:$B$27,nASIG)&gt;0)*(nNOTA))/SUMPRODUCT((nNIA=Y661)*(nCUENTA=1)*(COUNTIF(CONFIG_ASIGNATURAS!$B$7:$B$27,nASIG)&gt;0)*1),"")))</f>
        <v/>
      </c>
      <c r="AF661" t="str">
        <f>IF(AE661="","",IF(AE661="[FÓRMULA MANUAL]","",IFERROR(AVERAGEIFS(nNOTA,nNIA,AE661,nCUENTA,1,nASIG,"Análisis"),"")))</f>
        <v/>
      </c>
      <c r="AG661" t="str">
        <f>IF(AE661="","",IF(AE661="[FÓRMULA MANUAL]","",IFERROR(AVERAGEIFS(nNOTA,nNIA,AE661,nCUENTA,1,nASIG,"Orquesta/Banda/Conjunto"),"")))</f>
        <v/>
      </c>
      <c r="AH661" t="str">
        <f>IF(AE661="","",IF(AE661="[FÓRMULA MANUAL]","",IFERROR(AVERAGEIFS(nNOTA,nNIA,AE661,nCUENTA,1,nASIG,"Música de Cámara"),"")))</f>
        <v/>
      </c>
      <c r="AI661" t="str">
        <f>IF(AE661="","",IF(AE661="[FÓRMULA MANUAL]","",IFERROR(SUMPRODUCT((nNIA=AE661)*(nCUENTA=1)*(COUNTIF(CONFIG_ASIGNATURAS!$B$7:$B$27,nASIG)&gt;0)*(nNOTA))/SUMPRODUCT((nNIA=AE661)*(nCUENTA=1)*(COUNTIF(CONFIG_ASIGNATURAS!$B$7:$B$27,nASIG)&gt;0)*1),"")))</f>
        <v/>
      </c>
    </row>
    <row r="662" spans="2:35" x14ac:dyDescent="0.2">
      <c r="B662" t="str">
        <f>IF(A662="","",IF(A662="[FÓRMULA MANUAL]","",IFERROR(AVERAGEIFS(nNOTA,nNIA,A662,nCUENTA,1,nASIG,"Lenguaje Musical"),"")))</f>
        <v/>
      </c>
      <c r="C662" t="str">
        <f>IF(A662="","",IF(A662="[FÓRMULA MANUAL]","",IFERROR(AVERAGEIFS(nNOTA,nNIA,A662,nCUENTA,1,nASIG,"Orquesta/Banda/Conjunto"),"")))</f>
        <v/>
      </c>
      <c r="D662" t="str">
        <f>IF(A662="","",IF(A662="[FÓRMULA MANUAL]","",IFERROR(AVERAGEIFS(nNOTA,nNIA,A662,nCUENTA,1,nASIG,"Conjunto"),"")))</f>
        <v/>
      </c>
      <c r="E662" t="str">
        <f>IF(A662="","",IF(A662="[FÓRMULA MANUAL]","",IFERROR(SUMPRODUCT((nNIA=A662)*(nCUENTA=1)*(COUNTIF(CONFIG_ASIGNATURAS!$B$7:$B$27,nASIG)&gt;0)*(nNOTA))/SUMPRODUCT((nNIA=A662)*(nCUENTA=1)*(COUNTIF(CONFIG_ASIGNATURAS!$B$7:$B$27,nASIG)&gt;0)*1),"")))</f>
        <v/>
      </c>
      <c r="H662" t="str">
        <f>IF(G662="","",IF(G662="[FÓRMULA MANUAL]","",IFERROR(AVERAGEIFS(nNOTA,nNIA,G662,nCUENTA,1,nASIG,"Lenguaje Musical"),"")))</f>
        <v/>
      </c>
      <c r="I662" t="str">
        <f>IF(G662="","",IF(G662="[FÓRMULA MANUAL]","",IFERROR(AVERAGEIFS(nNOTA,nNIA,G662,nCUENTA,1,nASIG,"Orquesta/Banda/Conjunto"),"")))</f>
        <v/>
      </c>
      <c r="J662" t="str">
        <f>IF(G662="","",IF(G662="[FÓRMULA MANUAL]","",IFERROR(AVERAGEIFS(nNOTA,nNIA,G662,nCUENTA,1,nASIG,"Conjunto"),"")))</f>
        <v/>
      </c>
      <c r="K662" t="str">
        <f>IF(G662="","",IF(G662="[FÓRMULA MANUAL]","",IFERROR(SUMPRODUCT((nNIA=G662)*(nCUENTA=1)*(COUNTIF(CONFIG_ASIGNATURAS!$B$7:$B$27,nASIG)&gt;0)*(nNOTA))/SUMPRODUCT((nNIA=G662)*(nCUENTA=1)*(COUNTIF(CONFIG_ASIGNATURAS!$B$7:$B$27,nASIG)&gt;0)*1),"")))</f>
        <v/>
      </c>
      <c r="N662" t="str">
        <f>IF(M662="","",IF(M662="[FÓRMULA MANUAL]","",IFERROR(AVERAGEIFS(nNOTA,nNIA,M662,nCUENTA,1,nASIG,"Armonía"),"")))</f>
        <v/>
      </c>
      <c r="O662" t="str">
        <f>IF(M662="","",IF(M662="[FÓRMULA MANUAL]","",IFERROR(AVERAGEIFS(nNOTA,nNIA,M662,nCUENTA,1,nASIG,"Orquesta/Banda/Conjunto"),"")))</f>
        <v/>
      </c>
      <c r="P662" t="str">
        <f>IF(M662="","",IF(M662="[FÓRMULA MANUAL]","",IFERROR(AVERAGEIFS(nNOTA,nNIA,M662,nCUENTA,1,nASIG,"Música de Cámara"),"")))</f>
        <v/>
      </c>
      <c r="Q662" t="str">
        <f>IF(M662="","",IF(M662="[FÓRMULA MANUAL]","",IFERROR(SUMPRODUCT((nNIA=M662)*(nCUENTA=1)*(COUNTIF(CONFIG_ASIGNATURAS!$B$7:$B$27,nASIG)&gt;0)*(nNOTA))/SUMPRODUCT((nNIA=M662)*(nCUENTA=1)*(COUNTIF(CONFIG_ASIGNATURAS!$B$7:$B$27,nASIG)&gt;0)*1),"")))</f>
        <v/>
      </c>
      <c r="T662" t="str">
        <f>IF(S662="","",IF(S662="[FÓRMULA MANUAL]","",IFERROR(AVERAGEIFS(nNOTA,nNIA,S662,nCUENTA,1,nASIG,"Armonía"),"")))</f>
        <v/>
      </c>
      <c r="U662" t="str">
        <f>IF(S662="","",IF(S662="[FÓRMULA MANUAL]","",IFERROR(AVERAGEIFS(nNOTA,nNIA,S662,nCUENTA,1,nASIG,"Orquesta/Banda/Conjunto"),"")))</f>
        <v/>
      </c>
      <c r="V662" t="str">
        <f>IF(S662="","",IF(S662="[FÓRMULA MANUAL]","",IFERROR(AVERAGEIFS(nNOTA,nNIA,S662,nCUENTA,1,nASIG,"Música de Cámara"),"")))</f>
        <v/>
      </c>
      <c r="W662" t="str">
        <f>IF(S662="","",IF(S662="[FÓRMULA MANUAL]","",IFERROR(SUMPRODUCT((nNIA=S662)*(nCUENTA=1)*(COUNTIF(CONFIG_ASIGNATURAS!$B$7:$B$27,nASIG)&gt;0)*(nNOTA))/SUMPRODUCT((nNIA=S662)*(nCUENTA=1)*(COUNTIF(CONFIG_ASIGNATURAS!$B$7:$B$27,nASIG)&gt;0)*1),"")))</f>
        <v/>
      </c>
      <c r="Z662" t="str">
        <f>IF(Y662="","",IF(Y662="[FÓRMULA MANUAL]","",IFERROR(AVERAGEIFS(nNOTA,nNIA,Y662,nCUENTA,1,nASIG,"Análisis"),"")))</f>
        <v/>
      </c>
      <c r="AA662" t="str">
        <f>IF(Y662="","",IF(Y662="[FÓRMULA MANUAL]","",IFERROR(AVERAGEIFS(nNOTA,nNIA,Y662,nCUENTA,1,nASIG,"Orquesta/Banda/Conjunto"),"")))</f>
        <v/>
      </c>
      <c r="AB662" t="str">
        <f>IF(Y662="","",IF(Y662="[FÓRMULA MANUAL]","",IFERROR(AVERAGEIFS(nNOTA,nNIA,Y662,nCUENTA,1,nASIG,"Música de Cámara"),"")))</f>
        <v/>
      </c>
      <c r="AC662" t="str">
        <f>IF(Y662="","",IF(Y662="[FÓRMULA MANUAL]","",IFERROR(SUMPRODUCT((nNIA=Y662)*(nCUENTA=1)*(COUNTIF(CONFIG_ASIGNATURAS!$B$7:$B$27,nASIG)&gt;0)*(nNOTA))/SUMPRODUCT((nNIA=Y662)*(nCUENTA=1)*(COUNTIF(CONFIG_ASIGNATURAS!$B$7:$B$27,nASIG)&gt;0)*1),"")))</f>
        <v/>
      </c>
      <c r="AF662" t="str">
        <f>IF(AE662="","",IF(AE662="[FÓRMULA MANUAL]","",IFERROR(AVERAGEIFS(nNOTA,nNIA,AE662,nCUENTA,1,nASIG,"Análisis"),"")))</f>
        <v/>
      </c>
      <c r="AG662" t="str">
        <f>IF(AE662="","",IF(AE662="[FÓRMULA MANUAL]","",IFERROR(AVERAGEIFS(nNOTA,nNIA,AE662,nCUENTA,1,nASIG,"Orquesta/Banda/Conjunto"),"")))</f>
        <v/>
      </c>
      <c r="AH662" t="str">
        <f>IF(AE662="","",IF(AE662="[FÓRMULA MANUAL]","",IFERROR(AVERAGEIFS(nNOTA,nNIA,AE662,nCUENTA,1,nASIG,"Música de Cámara"),"")))</f>
        <v/>
      </c>
      <c r="AI662" t="str">
        <f>IF(AE662="","",IF(AE662="[FÓRMULA MANUAL]","",IFERROR(SUMPRODUCT((nNIA=AE662)*(nCUENTA=1)*(COUNTIF(CONFIG_ASIGNATURAS!$B$7:$B$27,nASIG)&gt;0)*(nNOTA))/SUMPRODUCT((nNIA=AE662)*(nCUENTA=1)*(COUNTIF(CONFIG_ASIGNATURAS!$B$7:$B$27,nASIG)&gt;0)*1),"")))</f>
        <v/>
      </c>
    </row>
    <row r="663" spans="2:35" x14ac:dyDescent="0.2">
      <c r="B663" t="str">
        <f>IF(A663="","",IF(A663="[FÓRMULA MANUAL]","",IFERROR(AVERAGEIFS(nNOTA,nNIA,A663,nCUENTA,1,nASIG,"Lenguaje Musical"),"")))</f>
        <v/>
      </c>
      <c r="C663" t="str">
        <f>IF(A663="","",IF(A663="[FÓRMULA MANUAL]","",IFERROR(AVERAGEIFS(nNOTA,nNIA,A663,nCUENTA,1,nASIG,"Orquesta/Banda/Conjunto"),"")))</f>
        <v/>
      </c>
      <c r="D663" t="str">
        <f>IF(A663="","",IF(A663="[FÓRMULA MANUAL]","",IFERROR(AVERAGEIFS(nNOTA,nNIA,A663,nCUENTA,1,nASIG,"Conjunto"),"")))</f>
        <v/>
      </c>
      <c r="E663" t="str">
        <f>IF(A663="","",IF(A663="[FÓRMULA MANUAL]","",IFERROR(SUMPRODUCT((nNIA=A663)*(nCUENTA=1)*(COUNTIF(CONFIG_ASIGNATURAS!$B$7:$B$27,nASIG)&gt;0)*(nNOTA))/SUMPRODUCT((nNIA=A663)*(nCUENTA=1)*(COUNTIF(CONFIG_ASIGNATURAS!$B$7:$B$27,nASIG)&gt;0)*1),"")))</f>
        <v/>
      </c>
      <c r="H663" t="str">
        <f>IF(G663="","",IF(G663="[FÓRMULA MANUAL]","",IFERROR(AVERAGEIFS(nNOTA,nNIA,G663,nCUENTA,1,nASIG,"Lenguaje Musical"),"")))</f>
        <v/>
      </c>
      <c r="I663" t="str">
        <f>IF(G663="","",IF(G663="[FÓRMULA MANUAL]","",IFERROR(AVERAGEIFS(nNOTA,nNIA,G663,nCUENTA,1,nASIG,"Orquesta/Banda/Conjunto"),"")))</f>
        <v/>
      </c>
      <c r="J663" t="str">
        <f>IF(G663="","",IF(G663="[FÓRMULA MANUAL]","",IFERROR(AVERAGEIFS(nNOTA,nNIA,G663,nCUENTA,1,nASIG,"Conjunto"),"")))</f>
        <v/>
      </c>
      <c r="K663" t="str">
        <f>IF(G663="","",IF(G663="[FÓRMULA MANUAL]","",IFERROR(SUMPRODUCT((nNIA=G663)*(nCUENTA=1)*(COUNTIF(CONFIG_ASIGNATURAS!$B$7:$B$27,nASIG)&gt;0)*(nNOTA))/SUMPRODUCT((nNIA=G663)*(nCUENTA=1)*(COUNTIF(CONFIG_ASIGNATURAS!$B$7:$B$27,nASIG)&gt;0)*1),"")))</f>
        <v/>
      </c>
      <c r="N663" t="str">
        <f>IF(M663="","",IF(M663="[FÓRMULA MANUAL]","",IFERROR(AVERAGEIFS(nNOTA,nNIA,M663,nCUENTA,1,nASIG,"Armonía"),"")))</f>
        <v/>
      </c>
      <c r="O663" t="str">
        <f>IF(M663="","",IF(M663="[FÓRMULA MANUAL]","",IFERROR(AVERAGEIFS(nNOTA,nNIA,M663,nCUENTA,1,nASIG,"Orquesta/Banda/Conjunto"),"")))</f>
        <v/>
      </c>
      <c r="P663" t="str">
        <f>IF(M663="","",IF(M663="[FÓRMULA MANUAL]","",IFERROR(AVERAGEIFS(nNOTA,nNIA,M663,nCUENTA,1,nASIG,"Música de Cámara"),"")))</f>
        <v/>
      </c>
      <c r="Q663" t="str">
        <f>IF(M663="","",IF(M663="[FÓRMULA MANUAL]","",IFERROR(SUMPRODUCT((nNIA=M663)*(nCUENTA=1)*(COUNTIF(CONFIG_ASIGNATURAS!$B$7:$B$27,nASIG)&gt;0)*(nNOTA))/SUMPRODUCT((nNIA=M663)*(nCUENTA=1)*(COUNTIF(CONFIG_ASIGNATURAS!$B$7:$B$27,nASIG)&gt;0)*1),"")))</f>
        <v/>
      </c>
      <c r="T663" t="str">
        <f>IF(S663="","",IF(S663="[FÓRMULA MANUAL]","",IFERROR(AVERAGEIFS(nNOTA,nNIA,S663,nCUENTA,1,nASIG,"Armonía"),"")))</f>
        <v/>
      </c>
      <c r="U663" t="str">
        <f>IF(S663="","",IF(S663="[FÓRMULA MANUAL]","",IFERROR(AVERAGEIFS(nNOTA,nNIA,S663,nCUENTA,1,nASIG,"Orquesta/Banda/Conjunto"),"")))</f>
        <v/>
      </c>
      <c r="V663" t="str">
        <f>IF(S663="","",IF(S663="[FÓRMULA MANUAL]","",IFERROR(AVERAGEIFS(nNOTA,nNIA,S663,nCUENTA,1,nASIG,"Música de Cámara"),"")))</f>
        <v/>
      </c>
      <c r="W663" t="str">
        <f>IF(S663="","",IF(S663="[FÓRMULA MANUAL]","",IFERROR(SUMPRODUCT((nNIA=S663)*(nCUENTA=1)*(COUNTIF(CONFIG_ASIGNATURAS!$B$7:$B$27,nASIG)&gt;0)*(nNOTA))/SUMPRODUCT((nNIA=S663)*(nCUENTA=1)*(COUNTIF(CONFIG_ASIGNATURAS!$B$7:$B$27,nASIG)&gt;0)*1),"")))</f>
        <v/>
      </c>
      <c r="Z663" t="str">
        <f>IF(Y663="","",IF(Y663="[FÓRMULA MANUAL]","",IFERROR(AVERAGEIFS(nNOTA,nNIA,Y663,nCUENTA,1,nASIG,"Análisis"),"")))</f>
        <v/>
      </c>
      <c r="AA663" t="str">
        <f>IF(Y663="","",IF(Y663="[FÓRMULA MANUAL]","",IFERROR(AVERAGEIFS(nNOTA,nNIA,Y663,nCUENTA,1,nASIG,"Orquesta/Banda/Conjunto"),"")))</f>
        <v/>
      </c>
      <c r="AB663" t="str">
        <f>IF(Y663="","",IF(Y663="[FÓRMULA MANUAL]","",IFERROR(AVERAGEIFS(nNOTA,nNIA,Y663,nCUENTA,1,nASIG,"Música de Cámara"),"")))</f>
        <v/>
      </c>
      <c r="AC663" t="str">
        <f>IF(Y663="","",IF(Y663="[FÓRMULA MANUAL]","",IFERROR(SUMPRODUCT((nNIA=Y663)*(nCUENTA=1)*(COUNTIF(CONFIG_ASIGNATURAS!$B$7:$B$27,nASIG)&gt;0)*(nNOTA))/SUMPRODUCT((nNIA=Y663)*(nCUENTA=1)*(COUNTIF(CONFIG_ASIGNATURAS!$B$7:$B$27,nASIG)&gt;0)*1),"")))</f>
        <v/>
      </c>
      <c r="AF663" t="str">
        <f>IF(AE663="","",IF(AE663="[FÓRMULA MANUAL]","",IFERROR(AVERAGEIFS(nNOTA,nNIA,AE663,nCUENTA,1,nASIG,"Análisis"),"")))</f>
        <v/>
      </c>
      <c r="AG663" t="str">
        <f>IF(AE663="","",IF(AE663="[FÓRMULA MANUAL]","",IFERROR(AVERAGEIFS(nNOTA,nNIA,AE663,nCUENTA,1,nASIG,"Orquesta/Banda/Conjunto"),"")))</f>
        <v/>
      </c>
      <c r="AH663" t="str">
        <f>IF(AE663="","",IF(AE663="[FÓRMULA MANUAL]","",IFERROR(AVERAGEIFS(nNOTA,nNIA,AE663,nCUENTA,1,nASIG,"Música de Cámara"),"")))</f>
        <v/>
      </c>
      <c r="AI663" t="str">
        <f>IF(AE663="","",IF(AE663="[FÓRMULA MANUAL]","",IFERROR(SUMPRODUCT((nNIA=AE663)*(nCUENTA=1)*(COUNTIF(CONFIG_ASIGNATURAS!$B$7:$B$27,nASIG)&gt;0)*(nNOTA))/SUMPRODUCT((nNIA=AE663)*(nCUENTA=1)*(COUNTIF(CONFIG_ASIGNATURAS!$B$7:$B$27,nASIG)&gt;0)*1),"")))</f>
        <v/>
      </c>
    </row>
    <row r="664" spans="2:35" x14ac:dyDescent="0.2">
      <c r="B664" t="str">
        <f>IF(A664="","",IF(A664="[FÓRMULA MANUAL]","",IFERROR(AVERAGEIFS(nNOTA,nNIA,A664,nCUENTA,1,nASIG,"Lenguaje Musical"),"")))</f>
        <v/>
      </c>
      <c r="C664" t="str">
        <f>IF(A664="","",IF(A664="[FÓRMULA MANUAL]","",IFERROR(AVERAGEIFS(nNOTA,nNIA,A664,nCUENTA,1,nASIG,"Orquesta/Banda/Conjunto"),"")))</f>
        <v/>
      </c>
      <c r="D664" t="str">
        <f>IF(A664="","",IF(A664="[FÓRMULA MANUAL]","",IFERROR(AVERAGEIFS(nNOTA,nNIA,A664,nCUENTA,1,nASIG,"Conjunto"),"")))</f>
        <v/>
      </c>
      <c r="E664" t="str">
        <f>IF(A664="","",IF(A664="[FÓRMULA MANUAL]","",IFERROR(SUMPRODUCT((nNIA=A664)*(nCUENTA=1)*(COUNTIF(CONFIG_ASIGNATURAS!$B$7:$B$27,nASIG)&gt;0)*(nNOTA))/SUMPRODUCT((nNIA=A664)*(nCUENTA=1)*(COUNTIF(CONFIG_ASIGNATURAS!$B$7:$B$27,nASIG)&gt;0)*1),"")))</f>
        <v/>
      </c>
      <c r="H664" t="str">
        <f>IF(G664="","",IF(G664="[FÓRMULA MANUAL]","",IFERROR(AVERAGEIFS(nNOTA,nNIA,G664,nCUENTA,1,nASIG,"Lenguaje Musical"),"")))</f>
        <v/>
      </c>
      <c r="I664" t="str">
        <f>IF(G664="","",IF(G664="[FÓRMULA MANUAL]","",IFERROR(AVERAGEIFS(nNOTA,nNIA,G664,nCUENTA,1,nASIG,"Orquesta/Banda/Conjunto"),"")))</f>
        <v/>
      </c>
      <c r="J664" t="str">
        <f>IF(G664="","",IF(G664="[FÓRMULA MANUAL]","",IFERROR(AVERAGEIFS(nNOTA,nNIA,G664,nCUENTA,1,nASIG,"Conjunto"),"")))</f>
        <v/>
      </c>
      <c r="K664" t="str">
        <f>IF(G664="","",IF(G664="[FÓRMULA MANUAL]","",IFERROR(SUMPRODUCT((nNIA=G664)*(nCUENTA=1)*(COUNTIF(CONFIG_ASIGNATURAS!$B$7:$B$27,nASIG)&gt;0)*(nNOTA))/SUMPRODUCT((nNIA=G664)*(nCUENTA=1)*(COUNTIF(CONFIG_ASIGNATURAS!$B$7:$B$27,nASIG)&gt;0)*1),"")))</f>
        <v/>
      </c>
      <c r="N664" t="str">
        <f>IF(M664="","",IF(M664="[FÓRMULA MANUAL]","",IFERROR(AVERAGEIFS(nNOTA,nNIA,M664,nCUENTA,1,nASIG,"Armonía"),"")))</f>
        <v/>
      </c>
      <c r="O664" t="str">
        <f>IF(M664="","",IF(M664="[FÓRMULA MANUAL]","",IFERROR(AVERAGEIFS(nNOTA,nNIA,M664,nCUENTA,1,nASIG,"Orquesta/Banda/Conjunto"),"")))</f>
        <v/>
      </c>
      <c r="P664" t="str">
        <f>IF(M664="","",IF(M664="[FÓRMULA MANUAL]","",IFERROR(AVERAGEIFS(nNOTA,nNIA,M664,nCUENTA,1,nASIG,"Música de Cámara"),"")))</f>
        <v/>
      </c>
      <c r="Q664" t="str">
        <f>IF(M664="","",IF(M664="[FÓRMULA MANUAL]","",IFERROR(SUMPRODUCT((nNIA=M664)*(nCUENTA=1)*(COUNTIF(CONFIG_ASIGNATURAS!$B$7:$B$27,nASIG)&gt;0)*(nNOTA))/SUMPRODUCT((nNIA=M664)*(nCUENTA=1)*(COUNTIF(CONFIG_ASIGNATURAS!$B$7:$B$27,nASIG)&gt;0)*1),"")))</f>
        <v/>
      </c>
      <c r="T664" t="str">
        <f>IF(S664="","",IF(S664="[FÓRMULA MANUAL]","",IFERROR(AVERAGEIFS(nNOTA,nNIA,S664,nCUENTA,1,nASIG,"Armonía"),"")))</f>
        <v/>
      </c>
      <c r="U664" t="str">
        <f>IF(S664="","",IF(S664="[FÓRMULA MANUAL]","",IFERROR(AVERAGEIFS(nNOTA,nNIA,S664,nCUENTA,1,nASIG,"Orquesta/Banda/Conjunto"),"")))</f>
        <v/>
      </c>
      <c r="V664" t="str">
        <f>IF(S664="","",IF(S664="[FÓRMULA MANUAL]","",IFERROR(AVERAGEIFS(nNOTA,nNIA,S664,nCUENTA,1,nASIG,"Música de Cámara"),"")))</f>
        <v/>
      </c>
      <c r="W664" t="str">
        <f>IF(S664="","",IF(S664="[FÓRMULA MANUAL]","",IFERROR(SUMPRODUCT((nNIA=S664)*(nCUENTA=1)*(COUNTIF(CONFIG_ASIGNATURAS!$B$7:$B$27,nASIG)&gt;0)*(nNOTA))/SUMPRODUCT((nNIA=S664)*(nCUENTA=1)*(COUNTIF(CONFIG_ASIGNATURAS!$B$7:$B$27,nASIG)&gt;0)*1),"")))</f>
        <v/>
      </c>
      <c r="Z664" t="str">
        <f>IF(Y664="","",IF(Y664="[FÓRMULA MANUAL]","",IFERROR(AVERAGEIFS(nNOTA,nNIA,Y664,nCUENTA,1,nASIG,"Análisis"),"")))</f>
        <v/>
      </c>
      <c r="AA664" t="str">
        <f>IF(Y664="","",IF(Y664="[FÓRMULA MANUAL]","",IFERROR(AVERAGEIFS(nNOTA,nNIA,Y664,nCUENTA,1,nASIG,"Orquesta/Banda/Conjunto"),"")))</f>
        <v/>
      </c>
      <c r="AB664" t="str">
        <f>IF(Y664="","",IF(Y664="[FÓRMULA MANUAL]","",IFERROR(AVERAGEIFS(nNOTA,nNIA,Y664,nCUENTA,1,nASIG,"Música de Cámara"),"")))</f>
        <v/>
      </c>
      <c r="AC664" t="str">
        <f>IF(Y664="","",IF(Y664="[FÓRMULA MANUAL]","",IFERROR(SUMPRODUCT((nNIA=Y664)*(nCUENTA=1)*(COUNTIF(CONFIG_ASIGNATURAS!$B$7:$B$27,nASIG)&gt;0)*(nNOTA))/SUMPRODUCT((nNIA=Y664)*(nCUENTA=1)*(COUNTIF(CONFIG_ASIGNATURAS!$B$7:$B$27,nASIG)&gt;0)*1),"")))</f>
        <v/>
      </c>
      <c r="AF664" t="str">
        <f>IF(AE664="","",IF(AE664="[FÓRMULA MANUAL]","",IFERROR(AVERAGEIFS(nNOTA,nNIA,AE664,nCUENTA,1,nASIG,"Análisis"),"")))</f>
        <v/>
      </c>
      <c r="AG664" t="str">
        <f>IF(AE664="","",IF(AE664="[FÓRMULA MANUAL]","",IFERROR(AVERAGEIFS(nNOTA,nNIA,AE664,nCUENTA,1,nASIG,"Orquesta/Banda/Conjunto"),"")))</f>
        <v/>
      </c>
      <c r="AH664" t="str">
        <f>IF(AE664="","",IF(AE664="[FÓRMULA MANUAL]","",IFERROR(AVERAGEIFS(nNOTA,nNIA,AE664,nCUENTA,1,nASIG,"Música de Cámara"),"")))</f>
        <v/>
      </c>
      <c r="AI664" t="str">
        <f>IF(AE664="","",IF(AE664="[FÓRMULA MANUAL]","",IFERROR(SUMPRODUCT((nNIA=AE664)*(nCUENTA=1)*(COUNTIF(CONFIG_ASIGNATURAS!$B$7:$B$27,nASIG)&gt;0)*(nNOTA))/SUMPRODUCT((nNIA=AE664)*(nCUENTA=1)*(COUNTIF(CONFIG_ASIGNATURAS!$B$7:$B$27,nASIG)&gt;0)*1),"")))</f>
        <v/>
      </c>
    </row>
    <row r="665" spans="2:35" x14ac:dyDescent="0.2">
      <c r="B665" t="str">
        <f>IF(A665="","",IF(A665="[FÓRMULA MANUAL]","",IFERROR(AVERAGEIFS(nNOTA,nNIA,A665,nCUENTA,1,nASIG,"Lenguaje Musical"),"")))</f>
        <v/>
      </c>
      <c r="C665" t="str">
        <f>IF(A665="","",IF(A665="[FÓRMULA MANUAL]","",IFERROR(AVERAGEIFS(nNOTA,nNIA,A665,nCUENTA,1,nASIG,"Orquesta/Banda/Conjunto"),"")))</f>
        <v/>
      </c>
      <c r="D665" t="str">
        <f>IF(A665="","",IF(A665="[FÓRMULA MANUAL]","",IFERROR(AVERAGEIFS(nNOTA,nNIA,A665,nCUENTA,1,nASIG,"Conjunto"),"")))</f>
        <v/>
      </c>
      <c r="E665" t="str">
        <f>IF(A665="","",IF(A665="[FÓRMULA MANUAL]","",IFERROR(SUMPRODUCT((nNIA=A665)*(nCUENTA=1)*(COUNTIF(CONFIG_ASIGNATURAS!$B$7:$B$27,nASIG)&gt;0)*(nNOTA))/SUMPRODUCT((nNIA=A665)*(nCUENTA=1)*(COUNTIF(CONFIG_ASIGNATURAS!$B$7:$B$27,nASIG)&gt;0)*1),"")))</f>
        <v/>
      </c>
      <c r="H665" t="str">
        <f>IF(G665="","",IF(G665="[FÓRMULA MANUAL]","",IFERROR(AVERAGEIFS(nNOTA,nNIA,G665,nCUENTA,1,nASIG,"Lenguaje Musical"),"")))</f>
        <v/>
      </c>
      <c r="I665" t="str">
        <f>IF(G665="","",IF(G665="[FÓRMULA MANUAL]","",IFERROR(AVERAGEIFS(nNOTA,nNIA,G665,nCUENTA,1,nASIG,"Orquesta/Banda/Conjunto"),"")))</f>
        <v/>
      </c>
      <c r="J665" t="str">
        <f>IF(G665="","",IF(G665="[FÓRMULA MANUAL]","",IFERROR(AVERAGEIFS(nNOTA,nNIA,G665,nCUENTA,1,nASIG,"Conjunto"),"")))</f>
        <v/>
      </c>
      <c r="K665" t="str">
        <f>IF(G665="","",IF(G665="[FÓRMULA MANUAL]","",IFERROR(SUMPRODUCT((nNIA=G665)*(nCUENTA=1)*(COUNTIF(CONFIG_ASIGNATURAS!$B$7:$B$27,nASIG)&gt;0)*(nNOTA))/SUMPRODUCT((nNIA=G665)*(nCUENTA=1)*(COUNTIF(CONFIG_ASIGNATURAS!$B$7:$B$27,nASIG)&gt;0)*1),"")))</f>
        <v/>
      </c>
      <c r="N665" t="str">
        <f>IF(M665="","",IF(M665="[FÓRMULA MANUAL]","",IFERROR(AVERAGEIFS(nNOTA,nNIA,M665,nCUENTA,1,nASIG,"Armonía"),"")))</f>
        <v/>
      </c>
      <c r="O665" t="str">
        <f>IF(M665="","",IF(M665="[FÓRMULA MANUAL]","",IFERROR(AVERAGEIFS(nNOTA,nNIA,M665,nCUENTA,1,nASIG,"Orquesta/Banda/Conjunto"),"")))</f>
        <v/>
      </c>
      <c r="P665" t="str">
        <f>IF(M665="","",IF(M665="[FÓRMULA MANUAL]","",IFERROR(AVERAGEIFS(nNOTA,nNIA,M665,nCUENTA,1,nASIG,"Música de Cámara"),"")))</f>
        <v/>
      </c>
      <c r="Q665" t="str">
        <f>IF(M665="","",IF(M665="[FÓRMULA MANUAL]","",IFERROR(SUMPRODUCT((nNIA=M665)*(nCUENTA=1)*(COUNTIF(CONFIG_ASIGNATURAS!$B$7:$B$27,nASIG)&gt;0)*(nNOTA))/SUMPRODUCT((nNIA=M665)*(nCUENTA=1)*(COUNTIF(CONFIG_ASIGNATURAS!$B$7:$B$27,nASIG)&gt;0)*1),"")))</f>
        <v/>
      </c>
      <c r="T665" t="str">
        <f>IF(S665="","",IF(S665="[FÓRMULA MANUAL]","",IFERROR(AVERAGEIFS(nNOTA,nNIA,S665,nCUENTA,1,nASIG,"Armonía"),"")))</f>
        <v/>
      </c>
      <c r="U665" t="str">
        <f>IF(S665="","",IF(S665="[FÓRMULA MANUAL]","",IFERROR(AVERAGEIFS(nNOTA,nNIA,S665,nCUENTA,1,nASIG,"Orquesta/Banda/Conjunto"),"")))</f>
        <v/>
      </c>
      <c r="V665" t="str">
        <f>IF(S665="","",IF(S665="[FÓRMULA MANUAL]","",IFERROR(AVERAGEIFS(nNOTA,nNIA,S665,nCUENTA,1,nASIG,"Música de Cámara"),"")))</f>
        <v/>
      </c>
      <c r="W665" t="str">
        <f>IF(S665="","",IF(S665="[FÓRMULA MANUAL]","",IFERROR(SUMPRODUCT((nNIA=S665)*(nCUENTA=1)*(COUNTIF(CONFIG_ASIGNATURAS!$B$7:$B$27,nASIG)&gt;0)*(nNOTA))/SUMPRODUCT((nNIA=S665)*(nCUENTA=1)*(COUNTIF(CONFIG_ASIGNATURAS!$B$7:$B$27,nASIG)&gt;0)*1),"")))</f>
        <v/>
      </c>
      <c r="Z665" t="str">
        <f>IF(Y665="","",IF(Y665="[FÓRMULA MANUAL]","",IFERROR(AVERAGEIFS(nNOTA,nNIA,Y665,nCUENTA,1,nASIG,"Análisis"),"")))</f>
        <v/>
      </c>
      <c r="AA665" t="str">
        <f>IF(Y665="","",IF(Y665="[FÓRMULA MANUAL]","",IFERROR(AVERAGEIFS(nNOTA,nNIA,Y665,nCUENTA,1,nASIG,"Orquesta/Banda/Conjunto"),"")))</f>
        <v/>
      </c>
      <c r="AB665" t="str">
        <f>IF(Y665="","",IF(Y665="[FÓRMULA MANUAL]","",IFERROR(AVERAGEIFS(nNOTA,nNIA,Y665,nCUENTA,1,nASIG,"Música de Cámara"),"")))</f>
        <v/>
      </c>
      <c r="AC665" t="str">
        <f>IF(Y665="","",IF(Y665="[FÓRMULA MANUAL]","",IFERROR(SUMPRODUCT((nNIA=Y665)*(nCUENTA=1)*(COUNTIF(CONFIG_ASIGNATURAS!$B$7:$B$27,nASIG)&gt;0)*(nNOTA))/SUMPRODUCT((nNIA=Y665)*(nCUENTA=1)*(COUNTIF(CONFIG_ASIGNATURAS!$B$7:$B$27,nASIG)&gt;0)*1),"")))</f>
        <v/>
      </c>
      <c r="AF665" t="str">
        <f>IF(AE665="","",IF(AE665="[FÓRMULA MANUAL]","",IFERROR(AVERAGEIFS(nNOTA,nNIA,AE665,nCUENTA,1,nASIG,"Análisis"),"")))</f>
        <v/>
      </c>
      <c r="AG665" t="str">
        <f>IF(AE665="","",IF(AE665="[FÓRMULA MANUAL]","",IFERROR(AVERAGEIFS(nNOTA,nNIA,AE665,nCUENTA,1,nASIG,"Orquesta/Banda/Conjunto"),"")))</f>
        <v/>
      </c>
      <c r="AH665" t="str">
        <f>IF(AE665="","",IF(AE665="[FÓRMULA MANUAL]","",IFERROR(AVERAGEIFS(nNOTA,nNIA,AE665,nCUENTA,1,nASIG,"Música de Cámara"),"")))</f>
        <v/>
      </c>
      <c r="AI665" t="str">
        <f>IF(AE665="","",IF(AE665="[FÓRMULA MANUAL]","",IFERROR(SUMPRODUCT((nNIA=AE665)*(nCUENTA=1)*(COUNTIF(CONFIG_ASIGNATURAS!$B$7:$B$27,nASIG)&gt;0)*(nNOTA))/SUMPRODUCT((nNIA=AE665)*(nCUENTA=1)*(COUNTIF(CONFIG_ASIGNATURAS!$B$7:$B$27,nASIG)&gt;0)*1),"")))</f>
        <v/>
      </c>
    </row>
    <row r="666" spans="2:35" x14ac:dyDescent="0.2">
      <c r="B666" t="str">
        <f>IF(A666="","",IF(A666="[FÓRMULA MANUAL]","",IFERROR(AVERAGEIFS(nNOTA,nNIA,A666,nCUENTA,1,nASIG,"Lenguaje Musical"),"")))</f>
        <v/>
      </c>
      <c r="C666" t="str">
        <f>IF(A666="","",IF(A666="[FÓRMULA MANUAL]","",IFERROR(AVERAGEIFS(nNOTA,nNIA,A666,nCUENTA,1,nASIG,"Orquesta/Banda/Conjunto"),"")))</f>
        <v/>
      </c>
      <c r="D666" t="str">
        <f>IF(A666="","",IF(A666="[FÓRMULA MANUAL]","",IFERROR(AVERAGEIFS(nNOTA,nNIA,A666,nCUENTA,1,nASIG,"Conjunto"),"")))</f>
        <v/>
      </c>
      <c r="E666" t="str">
        <f>IF(A666="","",IF(A666="[FÓRMULA MANUAL]","",IFERROR(SUMPRODUCT((nNIA=A666)*(nCUENTA=1)*(COUNTIF(CONFIG_ASIGNATURAS!$B$7:$B$27,nASIG)&gt;0)*(nNOTA))/SUMPRODUCT((nNIA=A666)*(nCUENTA=1)*(COUNTIF(CONFIG_ASIGNATURAS!$B$7:$B$27,nASIG)&gt;0)*1),"")))</f>
        <v/>
      </c>
      <c r="H666" t="str">
        <f>IF(G666="","",IF(G666="[FÓRMULA MANUAL]","",IFERROR(AVERAGEIFS(nNOTA,nNIA,G666,nCUENTA,1,nASIG,"Lenguaje Musical"),"")))</f>
        <v/>
      </c>
      <c r="I666" t="str">
        <f>IF(G666="","",IF(G666="[FÓRMULA MANUAL]","",IFERROR(AVERAGEIFS(nNOTA,nNIA,G666,nCUENTA,1,nASIG,"Orquesta/Banda/Conjunto"),"")))</f>
        <v/>
      </c>
      <c r="J666" t="str">
        <f>IF(G666="","",IF(G666="[FÓRMULA MANUAL]","",IFERROR(AVERAGEIFS(nNOTA,nNIA,G666,nCUENTA,1,nASIG,"Conjunto"),"")))</f>
        <v/>
      </c>
      <c r="K666" t="str">
        <f>IF(G666="","",IF(G666="[FÓRMULA MANUAL]","",IFERROR(SUMPRODUCT((nNIA=G666)*(nCUENTA=1)*(COUNTIF(CONFIG_ASIGNATURAS!$B$7:$B$27,nASIG)&gt;0)*(nNOTA))/SUMPRODUCT((nNIA=G666)*(nCUENTA=1)*(COUNTIF(CONFIG_ASIGNATURAS!$B$7:$B$27,nASIG)&gt;0)*1),"")))</f>
        <v/>
      </c>
      <c r="N666" t="str">
        <f>IF(M666="","",IF(M666="[FÓRMULA MANUAL]","",IFERROR(AVERAGEIFS(nNOTA,nNIA,M666,nCUENTA,1,nASIG,"Armonía"),"")))</f>
        <v/>
      </c>
      <c r="O666" t="str">
        <f>IF(M666="","",IF(M666="[FÓRMULA MANUAL]","",IFERROR(AVERAGEIFS(nNOTA,nNIA,M666,nCUENTA,1,nASIG,"Orquesta/Banda/Conjunto"),"")))</f>
        <v/>
      </c>
      <c r="P666" t="str">
        <f>IF(M666="","",IF(M666="[FÓRMULA MANUAL]","",IFERROR(AVERAGEIFS(nNOTA,nNIA,M666,nCUENTA,1,nASIG,"Música de Cámara"),"")))</f>
        <v/>
      </c>
      <c r="Q666" t="str">
        <f>IF(M666="","",IF(M666="[FÓRMULA MANUAL]","",IFERROR(SUMPRODUCT((nNIA=M666)*(nCUENTA=1)*(COUNTIF(CONFIG_ASIGNATURAS!$B$7:$B$27,nASIG)&gt;0)*(nNOTA))/SUMPRODUCT((nNIA=M666)*(nCUENTA=1)*(COUNTIF(CONFIG_ASIGNATURAS!$B$7:$B$27,nASIG)&gt;0)*1),"")))</f>
        <v/>
      </c>
      <c r="T666" t="str">
        <f>IF(S666="","",IF(S666="[FÓRMULA MANUAL]","",IFERROR(AVERAGEIFS(nNOTA,nNIA,S666,nCUENTA,1,nASIG,"Armonía"),"")))</f>
        <v/>
      </c>
      <c r="U666" t="str">
        <f>IF(S666="","",IF(S666="[FÓRMULA MANUAL]","",IFERROR(AVERAGEIFS(nNOTA,nNIA,S666,nCUENTA,1,nASIG,"Orquesta/Banda/Conjunto"),"")))</f>
        <v/>
      </c>
      <c r="V666" t="str">
        <f>IF(S666="","",IF(S666="[FÓRMULA MANUAL]","",IFERROR(AVERAGEIFS(nNOTA,nNIA,S666,nCUENTA,1,nASIG,"Música de Cámara"),"")))</f>
        <v/>
      </c>
      <c r="W666" t="str">
        <f>IF(S666="","",IF(S666="[FÓRMULA MANUAL]","",IFERROR(SUMPRODUCT((nNIA=S666)*(nCUENTA=1)*(COUNTIF(CONFIG_ASIGNATURAS!$B$7:$B$27,nASIG)&gt;0)*(nNOTA))/SUMPRODUCT((nNIA=S666)*(nCUENTA=1)*(COUNTIF(CONFIG_ASIGNATURAS!$B$7:$B$27,nASIG)&gt;0)*1),"")))</f>
        <v/>
      </c>
      <c r="Z666" t="str">
        <f>IF(Y666="","",IF(Y666="[FÓRMULA MANUAL]","",IFERROR(AVERAGEIFS(nNOTA,nNIA,Y666,nCUENTA,1,nASIG,"Análisis"),"")))</f>
        <v/>
      </c>
      <c r="AA666" t="str">
        <f>IF(Y666="","",IF(Y666="[FÓRMULA MANUAL]","",IFERROR(AVERAGEIFS(nNOTA,nNIA,Y666,nCUENTA,1,nASIG,"Orquesta/Banda/Conjunto"),"")))</f>
        <v/>
      </c>
      <c r="AB666" t="str">
        <f>IF(Y666="","",IF(Y666="[FÓRMULA MANUAL]","",IFERROR(AVERAGEIFS(nNOTA,nNIA,Y666,nCUENTA,1,nASIG,"Música de Cámara"),"")))</f>
        <v/>
      </c>
      <c r="AC666" t="str">
        <f>IF(Y666="","",IF(Y666="[FÓRMULA MANUAL]","",IFERROR(SUMPRODUCT((nNIA=Y666)*(nCUENTA=1)*(COUNTIF(CONFIG_ASIGNATURAS!$B$7:$B$27,nASIG)&gt;0)*(nNOTA))/SUMPRODUCT((nNIA=Y666)*(nCUENTA=1)*(COUNTIF(CONFIG_ASIGNATURAS!$B$7:$B$27,nASIG)&gt;0)*1),"")))</f>
        <v/>
      </c>
      <c r="AF666" t="str">
        <f>IF(AE666="","",IF(AE666="[FÓRMULA MANUAL]","",IFERROR(AVERAGEIFS(nNOTA,nNIA,AE666,nCUENTA,1,nASIG,"Análisis"),"")))</f>
        <v/>
      </c>
      <c r="AG666" t="str">
        <f>IF(AE666="","",IF(AE666="[FÓRMULA MANUAL]","",IFERROR(AVERAGEIFS(nNOTA,nNIA,AE666,nCUENTA,1,nASIG,"Orquesta/Banda/Conjunto"),"")))</f>
        <v/>
      </c>
      <c r="AH666" t="str">
        <f>IF(AE666="","",IF(AE666="[FÓRMULA MANUAL]","",IFERROR(AVERAGEIFS(nNOTA,nNIA,AE666,nCUENTA,1,nASIG,"Música de Cámara"),"")))</f>
        <v/>
      </c>
      <c r="AI666" t="str">
        <f>IF(AE666="","",IF(AE666="[FÓRMULA MANUAL]","",IFERROR(SUMPRODUCT((nNIA=AE666)*(nCUENTA=1)*(COUNTIF(CONFIG_ASIGNATURAS!$B$7:$B$27,nASIG)&gt;0)*(nNOTA))/SUMPRODUCT((nNIA=AE666)*(nCUENTA=1)*(COUNTIF(CONFIG_ASIGNATURAS!$B$7:$B$27,nASIG)&gt;0)*1),"")))</f>
        <v/>
      </c>
    </row>
    <row r="667" spans="2:35" x14ac:dyDescent="0.2">
      <c r="B667" t="str">
        <f>IF(A667="","",IF(A667="[FÓRMULA MANUAL]","",IFERROR(AVERAGEIFS(nNOTA,nNIA,A667,nCUENTA,1,nASIG,"Lenguaje Musical"),"")))</f>
        <v/>
      </c>
      <c r="C667" t="str">
        <f>IF(A667="","",IF(A667="[FÓRMULA MANUAL]","",IFERROR(AVERAGEIFS(nNOTA,nNIA,A667,nCUENTA,1,nASIG,"Orquesta/Banda/Conjunto"),"")))</f>
        <v/>
      </c>
      <c r="D667" t="str">
        <f>IF(A667="","",IF(A667="[FÓRMULA MANUAL]","",IFERROR(AVERAGEIFS(nNOTA,nNIA,A667,nCUENTA,1,nASIG,"Conjunto"),"")))</f>
        <v/>
      </c>
      <c r="E667" t="str">
        <f>IF(A667="","",IF(A667="[FÓRMULA MANUAL]","",IFERROR(SUMPRODUCT((nNIA=A667)*(nCUENTA=1)*(COUNTIF(CONFIG_ASIGNATURAS!$B$7:$B$27,nASIG)&gt;0)*(nNOTA))/SUMPRODUCT((nNIA=A667)*(nCUENTA=1)*(COUNTIF(CONFIG_ASIGNATURAS!$B$7:$B$27,nASIG)&gt;0)*1),"")))</f>
        <v/>
      </c>
      <c r="H667" t="str">
        <f>IF(G667="","",IF(G667="[FÓRMULA MANUAL]","",IFERROR(AVERAGEIFS(nNOTA,nNIA,G667,nCUENTA,1,nASIG,"Lenguaje Musical"),"")))</f>
        <v/>
      </c>
      <c r="I667" t="str">
        <f>IF(G667="","",IF(G667="[FÓRMULA MANUAL]","",IFERROR(AVERAGEIFS(nNOTA,nNIA,G667,nCUENTA,1,nASIG,"Orquesta/Banda/Conjunto"),"")))</f>
        <v/>
      </c>
      <c r="J667" t="str">
        <f>IF(G667="","",IF(G667="[FÓRMULA MANUAL]","",IFERROR(AVERAGEIFS(nNOTA,nNIA,G667,nCUENTA,1,nASIG,"Conjunto"),"")))</f>
        <v/>
      </c>
      <c r="K667" t="str">
        <f>IF(G667="","",IF(G667="[FÓRMULA MANUAL]","",IFERROR(SUMPRODUCT((nNIA=G667)*(nCUENTA=1)*(COUNTIF(CONFIG_ASIGNATURAS!$B$7:$B$27,nASIG)&gt;0)*(nNOTA))/SUMPRODUCT((nNIA=G667)*(nCUENTA=1)*(COUNTIF(CONFIG_ASIGNATURAS!$B$7:$B$27,nASIG)&gt;0)*1),"")))</f>
        <v/>
      </c>
      <c r="N667" t="str">
        <f>IF(M667="","",IF(M667="[FÓRMULA MANUAL]","",IFERROR(AVERAGEIFS(nNOTA,nNIA,M667,nCUENTA,1,nASIG,"Armonía"),"")))</f>
        <v/>
      </c>
      <c r="O667" t="str">
        <f>IF(M667="","",IF(M667="[FÓRMULA MANUAL]","",IFERROR(AVERAGEIFS(nNOTA,nNIA,M667,nCUENTA,1,nASIG,"Orquesta/Banda/Conjunto"),"")))</f>
        <v/>
      </c>
      <c r="P667" t="str">
        <f>IF(M667="","",IF(M667="[FÓRMULA MANUAL]","",IFERROR(AVERAGEIFS(nNOTA,nNIA,M667,nCUENTA,1,nASIG,"Música de Cámara"),"")))</f>
        <v/>
      </c>
      <c r="Q667" t="str">
        <f>IF(M667="","",IF(M667="[FÓRMULA MANUAL]","",IFERROR(SUMPRODUCT((nNIA=M667)*(nCUENTA=1)*(COUNTIF(CONFIG_ASIGNATURAS!$B$7:$B$27,nASIG)&gt;0)*(nNOTA))/SUMPRODUCT((nNIA=M667)*(nCUENTA=1)*(COUNTIF(CONFIG_ASIGNATURAS!$B$7:$B$27,nASIG)&gt;0)*1),"")))</f>
        <v/>
      </c>
      <c r="T667" t="str">
        <f>IF(S667="","",IF(S667="[FÓRMULA MANUAL]","",IFERROR(AVERAGEIFS(nNOTA,nNIA,S667,nCUENTA,1,nASIG,"Armonía"),"")))</f>
        <v/>
      </c>
      <c r="U667" t="str">
        <f>IF(S667="","",IF(S667="[FÓRMULA MANUAL]","",IFERROR(AVERAGEIFS(nNOTA,nNIA,S667,nCUENTA,1,nASIG,"Orquesta/Banda/Conjunto"),"")))</f>
        <v/>
      </c>
      <c r="V667" t="str">
        <f>IF(S667="","",IF(S667="[FÓRMULA MANUAL]","",IFERROR(AVERAGEIFS(nNOTA,nNIA,S667,nCUENTA,1,nASIG,"Música de Cámara"),"")))</f>
        <v/>
      </c>
      <c r="W667" t="str">
        <f>IF(S667="","",IF(S667="[FÓRMULA MANUAL]","",IFERROR(SUMPRODUCT((nNIA=S667)*(nCUENTA=1)*(COUNTIF(CONFIG_ASIGNATURAS!$B$7:$B$27,nASIG)&gt;0)*(nNOTA))/SUMPRODUCT((nNIA=S667)*(nCUENTA=1)*(COUNTIF(CONFIG_ASIGNATURAS!$B$7:$B$27,nASIG)&gt;0)*1),"")))</f>
        <v/>
      </c>
      <c r="Z667" t="str">
        <f>IF(Y667="","",IF(Y667="[FÓRMULA MANUAL]","",IFERROR(AVERAGEIFS(nNOTA,nNIA,Y667,nCUENTA,1,nASIG,"Análisis"),"")))</f>
        <v/>
      </c>
      <c r="AA667" t="str">
        <f>IF(Y667="","",IF(Y667="[FÓRMULA MANUAL]","",IFERROR(AVERAGEIFS(nNOTA,nNIA,Y667,nCUENTA,1,nASIG,"Orquesta/Banda/Conjunto"),"")))</f>
        <v/>
      </c>
      <c r="AB667" t="str">
        <f>IF(Y667="","",IF(Y667="[FÓRMULA MANUAL]","",IFERROR(AVERAGEIFS(nNOTA,nNIA,Y667,nCUENTA,1,nASIG,"Música de Cámara"),"")))</f>
        <v/>
      </c>
      <c r="AC667" t="str">
        <f>IF(Y667="","",IF(Y667="[FÓRMULA MANUAL]","",IFERROR(SUMPRODUCT((nNIA=Y667)*(nCUENTA=1)*(COUNTIF(CONFIG_ASIGNATURAS!$B$7:$B$27,nASIG)&gt;0)*(nNOTA))/SUMPRODUCT((nNIA=Y667)*(nCUENTA=1)*(COUNTIF(CONFIG_ASIGNATURAS!$B$7:$B$27,nASIG)&gt;0)*1),"")))</f>
        <v/>
      </c>
      <c r="AF667" t="str">
        <f>IF(AE667="","",IF(AE667="[FÓRMULA MANUAL]","",IFERROR(AVERAGEIFS(nNOTA,nNIA,AE667,nCUENTA,1,nASIG,"Análisis"),"")))</f>
        <v/>
      </c>
      <c r="AG667" t="str">
        <f>IF(AE667="","",IF(AE667="[FÓRMULA MANUAL]","",IFERROR(AVERAGEIFS(nNOTA,nNIA,AE667,nCUENTA,1,nASIG,"Orquesta/Banda/Conjunto"),"")))</f>
        <v/>
      </c>
      <c r="AH667" t="str">
        <f>IF(AE667="","",IF(AE667="[FÓRMULA MANUAL]","",IFERROR(AVERAGEIFS(nNOTA,nNIA,AE667,nCUENTA,1,nASIG,"Música de Cámara"),"")))</f>
        <v/>
      </c>
      <c r="AI667" t="str">
        <f>IF(AE667="","",IF(AE667="[FÓRMULA MANUAL]","",IFERROR(SUMPRODUCT((nNIA=AE667)*(nCUENTA=1)*(COUNTIF(CONFIG_ASIGNATURAS!$B$7:$B$27,nASIG)&gt;0)*(nNOTA))/SUMPRODUCT((nNIA=AE667)*(nCUENTA=1)*(COUNTIF(CONFIG_ASIGNATURAS!$B$7:$B$27,nASIG)&gt;0)*1),"")))</f>
        <v/>
      </c>
    </row>
    <row r="668" spans="2:35" x14ac:dyDescent="0.2">
      <c r="B668" t="str">
        <f>IF(A668="","",IF(A668="[FÓRMULA MANUAL]","",IFERROR(AVERAGEIFS(nNOTA,nNIA,A668,nCUENTA,1,nASIG,"Lenguaje Musical"),"")))</f>
        <v/>
      </c>
      <c r="C668" t="str">
        <f>IF(A668="","",IF(A668="[FÓRMULA MANUAL]","",IFERROR(AVERAGEIFS(nNOTA,nNIA,A668,nCUENTA,1,nASIG,"Orquesta/Banda/Conjunto"),"")))</f>
        <v/>
      </c>
      <c r="D668" t="str">
        <f>IF(A668="","",IF(A668="[FÓRMULA MANUAL]","",IFERROR(AVERAGEIFS(nNOTA,nNIA,A668,nCUENTA,1,nASIG,"Conjunto"),"")))</f>
        <v/>
      </c>
      <c r="E668" t="str">
        <f>IF(A668="","",IF(A668="[FÓRMULA MANUAL]","",IFERROR(SUMPRODUCT((nNIA=A668)*(nCUENTA=1)*(COUNTIF(CONFIG_ASIGNATURAS!$B$7:$B$27,nASIG)&gt;0)*(nNOTA))/SUMPRODUCT((nNIA=A668)*(nCUENTA=1)*(COUNTIF(CONFIG_ASIGNATURAS!$B$7:$B$27,nASIG)&gt;0)*1),"")))</f>
        <v/>
      </c>
      <c r="H668" t="str">
        <f>IF(G668="","",IF(G668="[FÓRMULA MANUAL]","",IFERROR(AVERAGEIFS(nNOTA,nNIA,G668,nCUENTA,1,nASIG,"Lenguaje Musical"),"")))</f>
        <v/>
      </c>
      <c r="I668" t="str">
        <f>IF(G668="","",IF(G668="[FÓRMULA MANUAL]","",IFERROR(AVERAGEIFS(nNOTA,nNIA,G668,nCUENTA,1,nASIG,"Orquesta/Banda/Conjunto"),"")))</f>
        <v/>
      </c>
      <c r="J668" t="str">
        <f>IF(G668="","",IF(G668="[FÓRMULA MANUAL]","",IFERROR(AVERAGEIFS(nNOTA,nNIA,G668,nCUENTA,1,nASIG,"Conjunto"),"")))</f>
        <v/>
      </c>
      <c r="K668" t="str">
        <f>IF(G668="","",IF(G668="[FÓRMULA MANUAL]","",IFERROR(SUMPRODUCT((nNIA=G668)*(nCUENTA=1)*(COUNTIF(CONFIG_ASIGNATURAS!$B$7:$B$27,nASIG)&gt;0)*(nNOTA))/SUMPRODUCT((nNIA=G668)*(nCUENTA=1)*(COUNTIF(CONFIG_ASIGNATURAS!$B$7:$B$27,nASIG)&gt;0)*1),"")))</f>
        <v/>
      </c>
      <c r="N668" t="str">
        <f>IF(M668="","",IF(M668="[FÓRMULA MANUAL]","",IFERROR(AVERAGEIFS(nNOTA,nNIA,M668,nCUENTA,1,nASIG,"Armonía"),"")))</f>
        <v/>
      </c>
      <c r="O668" t="str">
        <f>IF(M668="","",IF(M668="[FÓRMULA MANUAL]","",IFERROR(AVERAGEIFS(nNOTA,nNIA,M668,nCUENTA,1,nASIG,"Orquesta/Banda/Conjunto"),"")))</f>
        <v/>
      </c>
      <c r="P668" t="str">
        <f>IF(M668="","",IF(M668="[FÓRMULA MANUAL]","",IFERROR(AVERAGEIFS(nNOTA,nNIA,M668,nCUENTA,1,nASIG,"Música de Cámara"),"")))</f>
        <v/>
      </c>
      <c r="Q668" t="str">
        <f>IF(M668="","",IF(M668="[FÓRMULA MANUAL]","",IFERROR(SUMPRODUCT((nNIA=M668)*(nCUENTA=1)*(COUNTIF(CONFIG_ASIGNATURAS!$B$7:$B$27,nASIG)&gt;0)*(nNOTA))/SUMPRODUCT((nNIA=M668)*(nCUENTA=1)*(COUNTIF(CONFIG_ASIGNATURAS!$B$7:$B$27,nASIG)&gt;0)*1),"")))</f>
        <v/>
      </c>
      <c r="T668" t="str">
        <f>IF(S668="","",IF(S668="[FÓRMULA MANUAL]","",IFERROR(AVERAGEIFS(nNOTA,nNIA,S668,nCUENTA,1,nASIG,"Armonía"),"")))</f>
        <v/>
      </c>
      <c r="U668" t="str">
        <f>IF(S668="","",IF(S668="[FÓRMULA MANUAL]","",IFERROR(AVERAGEIFS(nNOTA,nNIA,S668,nCUENTA,1,nASIG,"Orquesta/Banda/Conjunto"),"")))</f>
        <v/>
      </c>
      <c r="V668" t="str">
        <f>IF(S668="","",IF(S668="[FÓRMULA MANUAL]","",IFERROR(AVERAGEIFS(nNOTA,nNIA,S668,nCUENTA,1,nASIG,"Música de Cámara"),"")))</f>
        <v/>
      </c>
      <c r="W668" t="str">
        <f>IF(S668="","",IF(S668="[FÓRMULA MANUAL]","",IFERROR(SUMPRODUCT((nNIA=S668)*(nCUENTA=1)*(COUNTIF(CONFIG_ASIGNATURAS!$B$7:$B$27,nASIG)&gt;0)*(nNOTA))/SUMPRODUCT((nNIA=S668)*(nCUENTA=1)*(COUNTIF(CONFIG_ASIGNATURAS!$B$7:$B$27,nASIG)&gt;0)*1),"")))</f>
        <v/>
      </c>
      <c r="Z668" t="str">
        <f>IF(Y668="","",IF(Y668="[FÓRMULA MANUAL]","",IFERROR(AVERAGEIFS(nNOTA,nNIA,Y668,nCUENTA,1,nASIG,"Análisis"),"")))</f>
        <v/>
      </c>
      <c r="AA668" t="str">
        <f>IF(Y668="","",IF(Y668="[FÓRMULA MANUAL]","",IFERROR(AVERAGEIFS(nNOTA,nNIA,Y668,nCUENTA,1,nASIG,"Orquesta/Banda/Conjunto"),"")))</f>
        <v/>
      </c>
      <c r="AB668" t="str">
        <f>IF(Y668="","",IF(Y668="[FÓRMULA MANUAL]","",IFERROR(AVERAGEIFS(nNOTA,nNIA,Y668,nCUENTA,1,nASIG,"Música de Cámara"),"")))</f>
        <v/>
      </c>
      <c r="AC668" t="str">
        <f>IF(Y668="","",IF(Y668="[FÓRMULA MANUAL]","",IFERROR(SUMPRODUCT((nNIA=Y668)*(nCUENTA=1)*(COUNTIF(CONFIG_ASIGNATURAS!$B$7:$B$27,nASIG)&gt;0)*(nNOTA))/SUMPRODUCT((nNIA=Y668)*(nCUENTA=1)*(COUNTIF(CONFIG_ASIGNATURAS!$B$7:$B$27,nASIG)&gt;0)*1),"")))</f>
        <v/>
      </c>
      <c r="AF668" t="str">
        <f>IF(AE668="","",IF(AE668="[FÓRMULA MANUAL]","",IFERROR(AVERAGEIFS(nNOTA,nNIA,AE668,nCUENTA,1,nASIG,"Análisis"),"")))</f>
        <v/>
      </c>
      <c r="AG668" t="str">
        <f>IF(AE668="","",IF(AE668="[FÓRMULA MANUAL]","",IFERROR(AVERAGEIFS(nNOTA,nNIA,AE668,nCUENTA,1,nASIG,"Orquesta/Banda/Conjunto"),"")))</f>
        <v/>
      </c>
      <c r="AH668" t="str">
        <f>IF(AE668="","",IF(AE668="[FÓRMULA MANUAL]","",IFERROR(AVERAGEIFS(nNOTA,nNIA,AE668,nCUENTA,1,nASIG,"Música de Cámara"),"")))</f>
        <v/>
      </c>
      <c r="AI668" t="str">
        <f>IF(AE668="","",IF(AE668="[FÓRMULA MANUAL]","",IFERROR(SUMPRODUCT((nNIA=AE668)*(nCUENTA=1)*(COUNTIF(CONFIG_ASIGNATURAS!$B$7:$B$27,nASIG)&gt;0)*(nNOTA))/SUMPRODUCT((nNIA=AE668)*(nCUENTA=1)*(COUNTIF(CONFIG_ASIGNATURAS!$B$7:$B$27,nASIG)&gt;0)*1),"")))</f>
        <v/>
      </c>
    </row>
    <row r="669" spans="2:35" x14ac:dyDescent="0.2">
      <c r="B669" t="str">
        <f>IF(A669="","",IF(A669="[FÓRMULA MANUAL]","",IFERROR(AVERAGEIFS(nNOTA,nNIA,A669,nCUENTA,1,nASIG,"Lenguaje Musical"),"")))</f>
        <v/>
      </c>
      <c r="C669" t="str">
        <f>IF(A669="","",IF(A669="[FÓRMULA MANUAL]","",IFERROR(AVERAGEIFS(nNOTA,nNIA,A669,nCUENTA,1,nASIG,"Orquesta/Banda/Conjunto"),"")))</f>
        <v/>
      </c>
      <c r="D669" t="str">
        <f>IF(A669="","",IF(A669="[FÓRMULA MANUAL]","",IFERROR(AVERAGEIFS(nNOTA,nNIA,A669,nCUENTA,1,nASIG,"Conjunto"),"")))</f>
        <v/>
      </c>
      <c r="E669" t="str">
        <f>IF(A669="","",IF(A669="[FÓRMULA MANUAL]","",IFERROR(SUMPRODUCT((nNIA=A669)*(nCUENTA=1)*(COUNTIF(CONFIG_ASIGNATURAS!$B$7:$B$27,nASIG)&gt;0)*(nNOTA))/SUMPRODUCT((nNIA=A669)*(nCUENTA=1)*(COUNTIF(CONFIG_ASIGNATURAS!$B$7:$B$27,nASIG)&gt;0)*1),"")))</f>
        <v/>
      </c>
      <c r="H669" t="str">
        <f>IF(G669="","",IF(G669="[FÓRMULA MANUAL]","",IFERROR(AVERAGEIFS(nNOTA,nNIA,G669,nCUENTA,1,nASIG,"Lenguaje Musical"),"")))</f>
        <v/>
      </c>
      <c r="I669" t="str">
        <f>IF(G669="","",IF(G669="[FÓRMULA MANUAL]","",IFERROR(AVERAGEIFS(nNOTA,nNIA,G669,nCUENTA,1,nASIG,"Orquesta/Banda/Conjunto"),"")))</f>
        <v/>
      </c>
      <c r="J669" t="str">
        <f>IF(G669="","",IF(G669="[FÓRMULA MANUAL]","",IFERROR(AVERAGEIFS(nNOTA,nNIA,G669,nCUENTA,1,nASIG,"Conjunto"),"")))</f>
        <v/>
      </c>
      <c r="K669" t="str">
        <f>IF(G669="","",IF(G669="[FÓRMULA MANUAL]","",IFERROR(SUMPRODUCT((nNIA=G669)*(nCUENTA=1)*(COUNTIF(CONFIG_ASIGNATURAS!$B$7:$B$27,nASIG)&gt;0)*(nNOTA))/SUMPRODUCT((nNIA=G669)*(nCUENTA=1)*(COUNTIF(CONFIG_ASIGNATURAS!$B$7:$B$27,nASIG)&gt;0)*1),"")))</f>
        <v/>
      </c>
      <c r="N669" t="str">
        <f>IF(M669="","",IF(M669="[FÓRMULA MANUAL]","",IFERROR(AVERAGEIFS(nNOTA,nNIA,M669,nCUENTA,1,nASIG,"Armonía"),"")))</f>
        <v/>
      </c>
      <c r="O669" t="str">
        <f>IF(M669="","",IF(M669="[FÓRMULA MANUAL]","",IFERROR(AVERAGEIFS(nNOTA,nNIA,M669,nCUENTA,1,nASIG,"Orquesta/Banda/Conjunto"),"")))</f>
        <v/>
      </c>
      <c r="P669" t="str">
        <f>IF(M669="","",IF(M669="[FÓRMULA MANUAL]","",IFERROR(AVERAGEIFS(nNOTA,nNIA,M669,nCUENTA,1,nASIG,"Música de Cámara"),"")))</f>
        <v/>
      </c>
      <c r="Q669" t="str">
        <f>IF(M669="","",IF(M669="[FÓRMULA MANUAL]","",IFERROR(SUMPRODUCT((nNIA=M669)*(nCUENTA=1)*(COUNTIF(CONFIG_ASIGNATURAS!$B$7:$B$27,nASIG)&gt;0)*(nNOTA))/SUMPRODUCT((nNIA=M669)*(nCUENTA=1)*(COUNTIF(CONFIG_ASIGNATURAS!$B$7:$B$27,nASIG)&gt;0)*1),"")))</f>
        <v/>
      </c>
      <c r="T669" t="str">
        <f>IF(S669="","",IF(S669="[FÓRMULA MANUAL]","",IFERROR(AVERAGEIFS(nNOTA,nNIA,S669,nCUENTA,1,nASIG,"Armonía"),"")))</f>
        <v/>
      </c>
      <c r="U669" t="str">
        <f>IF(S669="","",IF(S669="[FÓRMULA MANUAL]","",IFERROR(AVERAGEIFS(nNOTA,nNIA,S669,nCUENTA,1,nASIG,"Orquesta/Banda/Conjunto"),"")))</f>
        <v/>
      </c>
      <c r="V669" t="str">
        <f>IF(S669="","",IF(S669="[FÓRMULA MANUAL]","",IFERROR(AVERAGEIFS(nNOTA,nNIA,S669,nCUENTA,1,nASIG,"Música de Cámara"),"")))</f>
        <v/>
      </c>
      <c r="W669" t="str">
        <f>IF(S669="","",IF(S669="[FÓRMULA MANUAL]","",IFERROR(SUMPRODUCT((nNIA=S669)*(nCUENTA=1)*(COUNTIF(CONFIG_ASIGNATURAS!$B$7:$B$27,nASIG)&gt;0)*(nNOTA))/SUMPRODUCT((nNIA=S669)*(nCUENTA=1)*(COUNTIF(CONFIG_ASIGNATURAS!$B$7:$B$27,nASIG)&gt;0)*1),"")))</f>
        <v/>
      </c>
      <c r="Z669" t="str">
        <f>IF(Y669="","",IF(Y669="[FÓRMULA MANUAL]","",IFERROR(AVERAGEIFS(nNOTA,nNIA,Y669,nCUENTA,1,nASIG,"Análisis"),"")))</f>
        <v/>
      </c>
      <c r="AA669" t="str">
        <f>IF(Y669="","",IF(Y669="[FÓRMULA MANUAL]","",IFERROR(AVERAGEIFS(nNOTA,nNIA,Y669,nCUENTA,1,nASIG,"Orquesta/Banda/Conjunto"),"")))</f>
        <v/>
      </c>
      <c r="AB669" t="str">
        <f>IF(Y669="","",IF(Y669="[FÓRMULA MANUAL]","",IFERROR(AVERAGEIFS(nNOTA,nNIA,Y669,nCUENTA,1,nASIG,"Música de Cámara"),"")))</f>
        <v/>
      </c>
      <c r="AC669" t="str">
        <f>IF(Y669="","",IF(Y669="[FÓRMULA MANUAL]","",IFERROR(SUMPRODUCT((nNIA=Y669)*(nCUENTA=1)*(COUNTIF(CONFIG_ASIGNATURAS!$B$7:$B$27,nASIG)&gt;0)*(nNOTA))/SUMPRODUCT((nNIA=Y669)*(nCUENTA=1)*(COUNTIF(CONFIG_ASIGNATURAS!$B$7:$B$27,nASIG)&gt;0)*1),"")))</f>
        <v/>
      </c>
      <c r="AF669" t="str">
        <f>IF(AE669="","",IF(AE669="[FÓRMULA MANUAL]","",IFERROR(AVERAGEIFS(nNOTA,nNIA,AE669,nCUENTA,1,nASIG,"Análisis"),"")))</f>
        <v/>
      </c>
      <c r="AG669" t="str">
        <f>IF(AE669="","",IF(AE669="[FÓRMULA MANUAL]","",IFERROR(AVERAGEIFS(nNOTA,nNIA,AE669,nCUENTA,1,nASIG,"Orquesta/Banda/Conjunto"),"")))</f>
        <v/>
      </c>
      <c r="AH669" t="str">
        <f>IF(AE669="","",IF(AE669="[FÓRMULA MANUAL]","",IFERROR(AVERAGEIFS(nNOTA,nNIA,AE669,nCUENTA,1,nASIG,"Música de Cámara"),"")))</f>
        <v/>
      </c>
      <c r="AI669" t="str">
        <f>IF(AE669="","",IF(AE669="[FÓRMULA MANUAL]","",IFERROR(SUMPRODUCT((nNIA=AE669)*(nCUENTA=1)*(COUNTIF(CONFIG_ASIGNATURAS!$B$7:$B$27,nASIG)&gt;0)*(nNOTA))/SUMPRODUCT((nNIA=AE669)*(nCUENTA=1)*(COUNTIF(CONFIG_ASIGNATURAS!$B$7:$B$27,nASIG)&gt;0)*1),"")))</f>
        <v/>
      </c>
    </row>
    <row r="670" spans="2:35" x14ac:dyDescent="0.2">
      <c r="B670" t="str">
        <f>IF(A670="","",IF(A670="[FÓRMULA MANUAL]","",IFERROR(AVERAGEIFS(nNOTA,nNIA,A670,nCUENTA,1,nASIG,"Lenguaje Musical"),"")))</f>
        <v/>
      </c>
      <c r="C670" t="str">
        <f>IF(A670="","",IF(A670="[FÓRMULA MANUAL]","",IFERROR(AVERAGEIFS(nNOTA,nNIA,A670,nCUENTA,1,nASIG,"Orquesta/Banda/Conjunto"),"")))</f>
        <v/>
      </c>
      <c r="D670" t="str">
        <f>IF(A670="","",IF(A670="[FÓRMULA MANUAL]","",IFERROR(AVERAGEIFS(nNOTA,nNIA,A670,nCUENTA,1,nASIG,"Conjunto"),"")))</f>
        <v/>
      </c>
      <c r="E670" t="str">
        <f>IF(A670="","",IF(A670="[FÓRMULA MANUAL]","",IFERROR(SUMPRODUCT((nNIA=A670)*(nCUENTA=1)*(COUNTIF(CONFIG_ASIGNATURAS!$B$7:$B$27,nASIG)&gt;0)*(nNOTA))/SUMPRODUCT((nNIA=A670)*(nCUENTA=1)*(COUNTIF(CONFIG_ASIGNATURAS!$B$7:$B$27,nASIG)&gt;0)*1),"")))</f>
        <v/>
      </c>
      <c r="H670" t="str">
        <f>IF(G670="","",IF(G670="[FÓRMULA MANUAL]","",IFERROR(AVERAGEIFS(nNOTA,nNIA,G670,nCUENTA,1,nASIG,"Lenguaje Musical"),"")))</f>
        <v/>
      </c>
      <c r="I670" t="str">
        <f>IF(G670="","",IF(G670="[FÓRMULA MANUAL]","",IFERROR(AVERAGEIFS(nNOTA,nNIA,G670,nCUENTA,1,nASIG,"Orquesta/Banda/Conjunto"),"")))</f>
        <v/>
      </c>
      <c r="J670" t="str">
        <f>IF(G670="","",IF(G670="[FÓRMULA MANUAL]","",IFERROR(AVERAGEIFS(nNOTA,nNIA,G670,nCUENTA,1,nASIG,"Conjunto"),"")))</f>
        <v/>
      </c>
      <c r="K670" t="str">
        <f>IF(G670="","",IF(G670="[FÓRMULA MANUAL]","",IFERROR(SUMPRODUCT((nNIA=G670)*(nCUENTA=1)*(COUNTIF(CONFIG_ASIGNATURAS!$B$7:$B$27,nASIG)&gt;0)*(nNOTA))/SUMPRODUCT((nNIA=G670)*(nCUENTA=1)*(COUNTIF(CONFIG_ASIGNATURAS!$B$7:$B$27,nASIG)&gt;0)*1),"")))</f>
        <v/>
      </c>
      <c r="N670" t="str">
        <f>IF(M670="","",IF(M670="[FÓRMULA MANUAL]","",IFERROR(AVERAGEIFS(nNOTA,nNIA,M670,nCUENTA,1,nASIG,"Armonía"),"")))</f>
        <v/>
      </c>
      <c r="O670" t="str">
        <f>IF(M670="","",IF(M670="[FÓRMULA MANUAL]","",IFERROR(AVERAGEIFS(nNOTA,nNIA,M670,nCUENTA,1,nASIG,"Orquesta/Banda/Conjunto"),"")))</f>
        <v/>
      </c>
      <c r="P670" t="str">
        <f>IF(M670="","",IF(M670="[FÓRMULA MANUAL]","",IFERROR(AVERAGEIFS(nNOTA,nNIA,M670,nCUENTA,1,nASIG,"Música de Cámara"),"")))</f>
        <v/>
      </c>
      <c r="Q670" t="str">
        <f>IF(M670="","",IF(M670="[FÓRMULA MANUAL]","",IFERROR(SUMPRODUCT((nNIA=M670)*(nCUENTA=1)*(COUNTIF(CONFIG_ASIGNATURAS!$B$7:$B$27,nASIG)&gt;0)*(nNOTA))/SUMPRODUCT((nNIA=M670)*(nCUENTA=1)*(COUNTIF(CONFIG_ASIGNATURAS!$B$7:$B$27,nASIG)&gt;0)*1),"")))</f>
        <v/>
      </c>
      <c r="T670" t="str">
        <f>IF(S670="","",IF(S670="[FÓRMULA MANUAL]","",IFERROR(AVERAGEIFS(nNOTA,nNIA,S670,nCUENTA,1,nASIG,"Armonía"),"")))</f>
        <v/>
      </c>
      <c r="U670" t="str">
        <f>IF(S670="","",IF(S670="[FÓRMULA MANUAL]","",IFERROR(AVERAGEIFS(nNOTA,nNIA,S670,nCUENTA,1,nASIG,"Orquesta/Banda/Conjunto"),"")))</f>
        <v/>
      </c>
      <c r="V670" t="str">
        <f>IF(S670="","",IF(S670="[FÓRMULA MANUAL]","",IFERROR(AVERAGEIFS(nNOTA,nNIA,S670,nCUENTA,1,nASIG,"Música de Cámara"),"")))</f>
        <v/>
      </c>
      <c r="W670" t="str">
        <f>IF(S670="","",IF(S670="[FÓRMULA MANUAL]","",IFERROR(SUMPRODUCT((nNIA=S670)*(nCUENTA=1)*(COUNTIF(CONFIG_ASIGNATURAS!$B$7:$B$27,nASIG)&gt;0)*(nNOTA))/SUMPRODUCT((nNIA=S670)*(nCUENTA=1)*(COUNTIF(CONFIG_ASIGNATURAS!$B$7:$B$27,nASIG)&gt;0)*1),"")))</f>
        <v/>
      </c>
      <c r="Z670" t="str">
        <f>IF(Y670="","",IF(Y670="[FÓRMULA MANUAL]","",IFERROR(AVERAGEIFS(nNOTA,nNIA,Y670,nCUENTA,1,nASIG,"Análisis"),"")))</f>
        <v/>
      </c>
      <c r="AA670" t="str">
        <f>IF(Y670="","",IF(Y670="[FÓRMULA MANUAL]","",IFERROR(AVERAGEIFS(nNOTA,nNIA,Y670,nCUENTA,1,nASIG,"Orquesta/Banda/Conjunto"),"")))</f>
        <v/>
      </c>
      <c r="AB670" t="str">
        <f>IF(Y670="","",IF(Y670="[FÓRMULA MANUAL]","",IFERROR(AVERAGEIFS(nNOTA,nNIA,Y670,nCUENTA,1,nASIG,"Música de Cámara"),"")))</f>
        <v/>
      </c>
      <c r="AC670" t="str">
        <f>IF(Y670="","",IF(Y670="[FÓRMULA MANUAL]","",IFERROR(SUMPRODUCT((nNIA=Y670)*(nCUENTA=1)*(COUNTIF(CONFIG_ASIGNATURAS!$B$7:$B$27,nASIG)&gt;0)*(nNOTA))/SUMPRODUCT((nNIA=Y670)*(nCUENTA=1)*(COUNTIF(CONFIG_ASIGNATURAS!$B$7:$B$27,nASIG)&gt;0)*1),"")))</f>
        <v/>
      </c>
      <c r="AF670" t="str">
        <f>IF(AE670="","",IF(AE670="[FÓRMULA MANUAL]","",IFERROR(AVERAGEIFS(nNOTA,nNIA,AE670,nCUENTA,1,nASIG,"Análisis"),"")))</f>
        <v/>
      </c>
      <c r="AG670" t="str">
        <f>IF(AE670="","",IF(AE670="[FÓRMULA MANUAL]","",IFERROR(AVERAGEIFS(nNOTA,nNIA,AE670,nCUENTA,1,nASIG,"Orquesta/Banda/Conjunto"),"")))</f>
        <v/>
      </c>
      <c r="AH670" t="str">
        <f>IF(AE670="","",IF(AE670="[FÓRMULA MANUAL]","",IFERROR(AVERAGEIFS(nNOTA,nNIA,AE670,nCUENTA,1,nASIG,"Música de Cámara"),"")))</f>
        <v/>
      </c>
      <c r="AI670" t="str">
        <f>IF(AE670="","",IF(AE670="[FÓRMULA MANUAL]","",IFERROR(SUMPRODUCT((nNIA=AE670)*(nCUENTA=1)*(COUNTIF(CONFIG_ASIGNATURAS!$B$7:$B$27,nASIG)&gt;0)*(nNOTA))/SUMPRODUCT((nNIA=AE670)*(nCUENTA=1)*(COUNTIF(CONFIG_ASIGNATURAS!$B$7:$B$27,nASIG)&gt;0)*1),"")))</f>
        <v/>
      </c>
    </row>
    <row r="671" spans="2:35" x14ac:dyDescent="0.2">
      <c r="B671" t="str">
        <f>IF(A671="","",IF(A671="[FÓRMULA MANUAL]","",IFERROR(AVERAGEIFS(nNOTA,nNIA,A671,nCUENTA,1,nASIG,"Lenguaje Musical"),"")))</f>
        <v/>
      </c>
      <c r="C671" t="str">
        <f>IF(A671="","",IF(A671="[FÓRMULA MANUAL]","",IFERROR(AVERAGEIFS(nNOTA,nNIA,A671,nCUENTA,1,nASIG,"Orquesta/Banda/Conjunto"),"")))</f>
        <v/>
      </c>
      <c r="D671" t="str">
        <f>IF(A671="","",IF(A671="[FÓRMULA MANUAL]","",IFERROR(AVERAGEIFS(nNOTA,nNIA,A671,nCUENTA,1,nASIG,"Conjunto"),"")))</f>
        <v/>
      </c>
      <c r="E671" t="str">
        <f>IF(A671="","",IF(A671="[FÓRMULA MANUAL]","",IFERROR(SUMPRODUCT((nNIA=A671)*(nCUENTA=1)*(COUNTIF(CONFIG_ASIGNATURAS!$B$7:$B$27,nASIG)&gt;0)*(nNOTA))/SUMPRODUCT((nNIA=A671)*(nCUENTA=1)*(COUNTIF(CONFIG_ASIGNATURAS!$B$7:$B$27,nASIG)&gt;0)*1),"")))</f>
        <v/>
      </c>
      <c r="H671" t="str">
        <f>IF(G671="","",IF(G671="[FÓRMULA MANUAL]","",IFERROR(AVERAGEIFS(nNOTA,nNIA,G671,nCUENTA,1,nASIG,"Lenguaje Musical"),"")))</f>
        <v/>
      </c>
      <c r="I671" t="str">
        <f>IF(G671="","",IF(G671="[FÓRMULA MANUAL]","",IFERROR(AVERAGEIFS(nNOTA,nNIA,G671,nCUENTA,1,nASIG,"Orquesta/Banda/Conjunto"),"")))</f>
        <v/>
      </c>
      <c r="J671" t="str">
        <f>IF(G671="","",IF(G671="[FÓRMULA MANUAL]","",IFERROR(AVERAGEIFS(nNOTA,nNIA,G671,nCUENTA,1,nASIG,"Conjunto"),"")))</f>
        <v/>
      </c>
      <c r="K671" t="str">
        <f>IF(G671="","",IF(G671="[FÓRMULA MANUAL]","",IFERROR(SUMPRODUCT((nNIA=G671)*(nCUENTA=1)*(COUNTIF(CONFIG_ASIGNATURAS!$B$7:$B$27,nASIG)&gt;0)*(nNOTA))/SUMPRODUCT((nNIA=G671)*(nCUENTA=1)*(COUNTIF(CONFIG_ASIGNATURAS!$B$7:$B$27,nASIG)&gt;0)*1),"")))</f>
        <v/>
      </c>
      <c r="N671" t="str">
        <f>IF(M671="","",IF(M671="[FÓRMULA MANUAL]","",IFERROR(AVERAGEIFS(nNOTA,nNIA,M671,nCUENTA,1,nASIG,"Armonía"),"")))</f>
        <v/>
      </c>
      <c r="O671" t="str">
        <f>IF(M671="","",IF(M671="[FÓRMULA MANUAL]","",IFERROR(AVERAGEIFS(nNOTA,nNIA,M671,nCUENTA,1,nASIG,"Orquesta/Banda/Conjunto"),"")))</f>
        <v/>
      </c>
      <c r="P671" t="str">
        <f>IF(M671="","",IF(M671="[FÓRMULA MANUAL]","",IFERROR(AVERAGEIFS(nNOTA,nNIA,M671,nCUENTA,1,nASIG,"Música de Cámara"),"")))</f>
        <v/>
      </c>
      <c r="Q671" t="str">
        <f>IF(M671="","",IF(M671="[FÓRMULA MANUAL]","",IFERROR(SUMPRODUCT((nNIA=M671)*(nCUENTA=1)*(COUNTIF(CONFIG_ASIGNATURAS!$B$7:$B$27,nASIG)&gt;0)*(nNOTA))/SUMPRODUCT((nNIA=M671)*(nCUENTA=1)*(COUNTIF(CONFIG_ASIGNATURAS!$B$7:$B$27,nASIG)&gt;0)*1),"")))</f>
        <v/>
      </c>
      <c r="T671" t="str">
        <f>IF(S671="","",IF(S671="[FÓRMULA MANUAL]","",IFERROR(AVERAGEIFS(nNOTA,nNIA,S671,nCUENTA,1,nASIG,"Armonía"),"")))</f>
        <v/>
      </c>
      <c r="U671" t="str">
        <f>IF(S671="","",IF(S671="[FÓRMULA MANUAL]","",IFERROR(AVERAGEIFS(nNOTA,nNIA,S671,nCUENTA,1,nASIG,"Orquesta/Banda/Conjunto"),"")))</f>
        <v/>
      </c>
      <c r="V671" t="str">
        <f>IF(S671="","",IF(S671="[FÓRMULA MANUAL]","",IFERROR(AVERAGEIFS(nNOTA,nNIA,S671,nCUENTA,1,nASIG,"Música de Cámara"),"")))</f>
        <v/>
      </c>
      <c r="W671" t="str">
        <f>IF(S671="","",IF(S671="[FÓRMULA MANUAL]","",IFERROR(SUMPRODUCT((nNIA=S671)*(nCUENTA=1)*(COUNTIF(CONFIG_ASIGNATURAS!$B$7:$B$27,nASIG)&gt;0)*(nNOTA))/SUMPRODUCT((nNIA=S671)*(nCUENTA=1)*(COUNTIF(CONFIG_ASIGNATURAS!$B$7:$B$27,nASIG)&gt;0)*1),"")))</f>
        <v/>
      </c>
      <c r="Z671" t="str">
        <f>IF(Y671="","",IF(Y671="[FÓRMULA MANUAL]","",IFERROR(AVERAGEIFS(nNOTA,nNIA,Y671,nCUENTA,1,nASIG,"Análisis"),"")))</f>
        <v/>
      </c>
      <c r="AA671" t="str">
        <f>IF(Y671="","",IF(Y671="[FÓRMULA MANUAL]","",IFERROR(AVERAGEIFS(nNOTA,nNIA,Y671,nCUENTA,1,nASIG,"Orquesta/Banda/Conjunto"),"")))</f>
        <v/>
      </c>
      <c r="AB671" t="str">
        <f>IF(Y671="","",IF(Y671="[FÓRMULA MANUAL]","",IFERROR(AVERAGEIFS(nNOTA,nNIA,Y671,nCUENTA,1,nASIG,"Música de Cámara"),"")))</f>
        <v/>
      </c>
      <c r="AC671" t="str">
        <f>IF(Y671="","",IF(Y671="[FÓRMULA MANUAL]","",IFERROR(SUMPRODUCT((nNIA=Y671)*(nCUENTA=1)*(COUNTIF(CONFIG_ASIGNATURAS!$B$7:$B$27,nASIG)&gt;0)*(nNOTA))/SUMPRODUCT((nNIA=Y671)*(nCUENTA=1)*(COUNTIF(CONFIG_ASIGNATURAS!$B$7:$B$27,nASIG)&gt;0)*1),"")))</f>
        <v/>
      </c>
      <c r="AF671" t="str">
        <f>IF(AE671="","",IF(AE671="[FÓRMULA MANUAL]","",IFERROR(AVERAGEIFS(nNOTA,nNIA,AE671,nCUENTA,1,nASIG,"Análisis"),"")))</f>
        <v/>
      </c>
      <c r="AG671" t="str">
        <f>IF(AE671="","",IF(AE671="[FÓRMULA MANUAL]","",IFERROR(AVERAGEIFS(nNOTA,nNIA,AE671,nCUENTA,1,nASIG,"Orquesta/Banda/Conjunto"),"")))</f>
        <v/>
      </c>
      <c r="AH671" t="str">
        <f>IF(AE671="","",IF(AE671="[FÓRMULA MANUAL]","",IFERROR(AVERAGEIFS(nNOTA,nNIA,AE671,nCUENTA,1,nASIG,"Música de Cámara"),"")))</f>
        <v/>
      </c>
      <c r="AI671" t="str">
        <f>IF(AE671="","",IF(AE671="[FÓRMULA MANUAL]","",IFERROR(SUMPRODUCT((nNIA=AE671)*(nCUENTA=1)*(COUNTIF(CONFIG_ASIGNATURAS!$B$7:$B$27,nASIG)&gt;0)*(nNOTA))/SUMPRODUCT((nNIA=AE671)*(nCUENTA=1)*(COUNTIF(CONFIG_ASIGNATURAS!$B$7:$B$27,nASIG)&gt;0)*1),"")))</f>
        <v/>
      </c>
    </row>
    <row r="672" spans="2:35" x14ac:dyDescent="0.2">
      <c r="B672" t="str">
        <f>IF(A672="","",IF(A672="[FÓRMULA MANUAL]","",IFERROR(AVERAGEIFS(nNOTA,nNIA,A672,nCUENTA,1,nASIG,"Lenguaje Musical"),"")))</f>
        <v/>
      </c>
      <c r="C672" t="str">
        <f>IF(A672="","",IF(A672="[FÓRMULA MANUAL]","",IFERROR(AVERAGEIFS(nNOTA,nNIA,A672,nCUENTA,1,nASIG,"Orquesta/Banda/Conjunto"),"")))</f>
        <v/>
      </c>
      <c r="D672" t="str">
        <f>IF(A672="","",IF(A672="[FÓRMULA MANUAL]","",IFERROR(AVERAGEIFS(nNOTA,nNIA,A672,nCUENTA,1,nASIG,"Conjunto"),"")))</f>
        <v/>
      </c>
      <c r="E672" t="str">
        <f>IF(A672="","",IF(A672="[FÓRMULA MANUAL]","",IFERROR(SUMPRODUCT((nNIA=A672)*(nCUENTA=1)*(COUNTIF(CONFIG_ASIGNATURAS!$B$7:$B$27,nASIG)&gt;0)*(nNOTA))/SUMPRODUCT((nNIA=A672)*(nCUENTA=1)*(COUNTIF(CONFIG_ASIGNATURAS!$B$7:$B$27,nASIG)&gt;0)*1),"")))</f>
        <v/>
      </c>
      <c r="H672" t="str">
        <f>IF(G672="","",IF(G672="[FÓRMULA MANUAL]","",IFERROR(AVERAGEIFS(nNOTA,nNIA,G672,nCUENTA,1,nASIG,"Lenguaje Musical"),"")))</f>
        <v/>
      </c>
      <c r="I672" t="str">
        <f>IF(G672="","",IF(G672="[FÓRMULA MANUAL]","",IFERROR(AVERAGEIFS(nNOTA,nNIA,G672,nCUENTA,1,nASIG,"Orquesta/Banda/Conjunto"),"")))</f>
        <v/>
      </c>
      <c r="J672" t="str">
        <f>IF(G672="","",IF(G672="[FÓRMULA MANUAL]","",IFERROR(AVERAGEIFS(nNOTA,nNIA,G672,nCUENTA,1,nASIG,"Conjunto"),"")))</f>
        <v/>
      </c>
      <c r="K672" t="str">
        <f>IF(G672="","",IF(G672="[FÓRMULA MANUAL]","",IFERROR(SUMPRODUCT((nNIA=G672)*(nCUENTA=1)*(COUNTIF(CONFIG_ASIGNATURAS!$B$7:$B$27,nASIG)&gt;0)*(nNOTA))/SUMPRODUCT((nNIA=G672)*(nCUENTA=1)*(COUNTIF(CONFIG_ASIGNATURAS!$B$7:$B$27,nASIG)&gt;0)*1),"")))</f>
        <v/>
      </c>
      <c r="N672" t="str">
        <f>IF(M672="","",IF(M672="[FÓRMULA MANUAL]","",IFERROR(AVERAGEIFS(nNOTA,nNIA,M672,nCUENTA,1,nASIG,"Armonía"),"")))</f>
        <v/>
      </c>
      <c r="O672" t="str">
        <f>IF(M672="","",IF(M672="[FÓRMULA MANUAL]","",IFERROR(AVERAGEIFS(nNOTA,nNIA,M672,nCUENTA,1,nASIG,"Orquesta/Banda/Conjunto"),"")))</f>
        <v/>
      </c>
      <c r="P672" t="str">
        <f>IF(M672="","",IF(M672="[FÓRMULA MANUAL]","",IFERROR(AVERAGEIFS(nNOTA,nNIA,M672,nCUENTA,1,nASIG,"Música de Cámara"),"")))</f>
        <v/>
      </c>
      <c r="Q672" t="str">
        <f>IF(M672="","",IF(M672="[FÓRMULA MANUAL]","",IFERROR(SUMPRODUCT((nNIA=M672)*(nCUENTA=1)*(COUNTIF(CONFIG_ASIGNATURAS!$B$7:$B$27,nASIG)&gt;0)*(nNOTA))/SUMPRODUCT((nNIA=M672)*(nCUENTA=1)*(COUNTIF(CONFIG_ASIGNATURAS!$B$7:$B$27,nASIG)&gt;0)*1),"")))</f>
        <v/>
      </c>
      <c r="T672" t="str">
        <f>IF(S672="","",IF(S672="[FÓRMULA MANUAL]","",IFERROR(AVERAGEIFS(nNOTA,nNIA,S672,nCUENTA,1,nASIG,"Armonía"),"")))</f>
        <v/>
      </c>
      <c r="U672" t="str">
        <f>IF(S672="","",IF(S672="[FÓRMULA MANUAL]","",IFERROR(AVERAGEIFS(nNOTA,nNIA,S672,nCUENTA,1,nASIG,"Orquesta/Banda/Conjunto"),"")))</f>
        <v/>
      </c>
      <c r="V672" t="str">
        <f>IF(S672="","",IF(S672="[FÓRMULA MANUAL]","",IFERROR(AVERAGEIFS(nNOTA,nNIA,S672,nCUENTA,1,nASIG,"Música de Cámara"),"")))</f>
        <v/>
      </c>
      <c r="W672" t="str">
        <f>IF(S672="","",IF(S672="[FÓRMULA MANUAL]","",IFERROR(SUMPRODUCT((nNIA=S672)*(nCUENTA=1)*(COUNTIF(CONFIG_ASIGNATURAS!$B$7:$B$27,nASIG)&gt;0)*(nNOTA))/SUMPRODUCT((nNIA=S672)*(nCUENTA=1)*(COUNTIF(CONFIG_ASIGNATURAS!$B$7:$B$27,nASIG)&gt;0)*1),"")))</f>
        <v/>
      </c>
      <c r="Z672" t="str">
        <f>IF(Y672="","",IF(Y672="[FÓRMULA MANUAL]","",IFERROR(AVERAGEIFS(nNOTA,nNIA,Y672,nCUENTA,1,nASIG,"Análisis"),"")))</f>
        <v/>
      </c>
      <c r="AA672" t="str">
        <f>IF(Y672="","",IF(Y672="[FÓRMULA MANUAL]","",IFERROR(AVERAGEIFS(nNOTA,nNIA,Y672,nCUENTA,1,nASIG,"Orquesta/Banda/Conjunto"),"")))</f>
        <v/>
      </c>
      <c r="AB672" t="str">
        <f>IF(Y672="","",IF(Y672="[FÓRMULA MANUAL]","",IFERROR(AVERAGEIFS(nNOTA,nNIA,Y672,nCUENTA,1,nASIG,"Música de Cámara"),"")))</f>
        <v/>
      </c>
      <c r="AC672" t="str">
        <f>IF(Y672="","",IF(Y672="[FÓRMULA MANUAL]","",IFERROR(SUMPRODUCT((nNIA=Y672)*(nCUENTA=1)*(COUNTIF(CONFIG_ASIGNATURAS!$B$7:$B$27,nASIG)&gt;0)*(nNOTA))/SUMPRODUCT((nNIA=Y672)*(nCUENTA=1)*(COUNTIF(CONFIG_ASIGNATURAS!$B$7:$B$27,nASIG)&gt;0)*1),"")))</f>
        <v/>
      </c>
      <c r="AF672" t="str">
        <f>IF(AE672="","",IF(AE672="[FÓRMULA MANUAL]","",IFERROR(AVERAGEIFS(nNOTA,nNIA,AE672,nCUENTA,1,nASIG,"Análisis"),"")))</f>
        <v/>
      </c>
      <c r="AG672" t="str">
        <f>IF(AE672="","",IF(AE672="[FÓRMULA MANUAL]","",IFERROR(AVERAGEIFS(nNOTA,nNIA,AE672,nCUENTA,1,nASIG,"Orquesta/Banda/Conjunto"),"")))</f>
        <v/>
      </c>
      <c r="AH672" t="str">
        <f>IF(AE672="","",IF(AE672="[FÓRMULA MANUAL]","",IFERROR(AVERAGEIFS(nNOTA,nNIA,AE672,nCUENTA,1,nASIG,"Música de Cámara"),"")))</f>
        <v/>
      </c>
      <c r="AI672" t="str">
        <f>IF(AE672="","",IF(AE672="[FÓRMULA MANUAL]","",IFERROR(SUMPRODUCT((nNIA=AE672)*(nCUENTA=1)*(COUNTIF(CONFIG_ASIGNATURAS!$B$7:$B$27,nASIG)&gt;0)*(nNOTA))/SUMPRODUCT((nNIA=AE672)*(nCUENTA=1)*(COUNTIF(CONFIG_ASIGNATURAS!$B$7:$B$27,nASIG)&gt;0)*1),"")))</f>
        <v/>
      </c>
    </row>
    <row r="673" spans="2:35" x14ac:dyDescent="0.2">
      <c r="B673" t="str">
        <f>IF(A673="","",IF(A673="[FÓRMULA MANUAL]","",IFERROR(AVERAGEIFS(nNOTA,nNIA,A673,nCUENTA,1,nASIG,"Lenguaje Musical"),"")))</f>
        <v/>
      </c>
      <c r="C673" t="str">
        <f>IF(A673="","",IF(A673="[FÓRMULA MANUAL]","",IFERROR(AVERAGEIFS(nNOTA,nNIA,A673,nCUENTA,1,nASIG,"Orquesta/Banda/Conjunto"),"")))</f>
        <v/>
      </c>
      <c r="D673" t="str">
        <f>IF(A673="","",IF(A673="[FÓRMULA MANUAL]","",IFERROR(AVERAGEIFS(nNOTA,nNIA,A673,nCUENTA,1,nASIG,"Conjunto"),"")))</f>
        <v/>
      </c>
      <c r="E673" t="str">
        <f>IF(A673="","",IF(A673="[FÓRMULA MANUAL]","",IFERROR(SUMPRODUCT((nNIA=A673)*(nCUENTA=1)*(COUNTIF(CONFIG_ASIGNATURAS!$B$7:$B$27,nASIG)&gt;0)*(nNOTA))/SUMPRODUCT((nNIA=A673)*(nCUENTA=1)*(COUNTIF(CONFIG_ASIGNATURAS!$B$7:$B$27,nASIG)&gt;0)*1),"")))</f>
        <v/>
      </c>
      <c r="H673" t="str">
        <f>IF(G673="","",IF(G673="[FÓRMULA MANUAL]","",IFERROR(AVERAGEIFS(nNOTA,nNIA,G673,nCUENTA,1,nASIG,"Lenguaje Musical"),"")))</f>
        <v/>
      </c>
      <c r="I673" t="str">
        <f>IF(G673="","",IF(G673="[FÓRMULA MANUAL]","",IFERROR(AVERAGEIFS(nNOTA,nNIA,G673,nCUENTA,1,nASIG,"Orquesta/Banda/Conjunto"),"")))</f>
        <v/>
      </c>
      <c r="J673" t="str">
        <f>IF(G673="","",IF(G673="[FÓRMULA MANUAL]","",IFERROR(AVERAGEIFS(nNOTA,nNIA,G673,nCUENTA,1,nASIG,"Conjunto"),"")))</f>
        <v/>
      </c>
      <c r="K673" t="str">
        <f>IF(G673="","",IF(G673="[FÓRMULA MANUAL]","",IFERROR(SUMPRODUCT((nNIA=G673)*(nCUENTA=1)*(COUNTIF(CONFIG_ASIGNATURAS!$B$7:$B$27,nASIG)&gt;0)*(nNOTA))/SUMPRODUCT((nNIA=G673)*(nCUENTA=1)*(COUNTIF(CONFIG_ASIGNATURAS!$B$7:$B$27,nASIG)&gt;0)*1),"")))</f>
        <v/>
      </c>
      <c r="N673" t="str">
        <f>IF(M673="","",IF(M673="[FÓRMULA MANUAL]","",IFERROR(AVERAGEIFS(nNOTA,nNIA,M673,nCUENTA,1,nASIG,"Armonía"),"")))</f>
        <v/>
      </c>
      <c r="O673" t="str">
        <f>IF(M673="","",IF(M673="[FÓRMULA MANUAL]","",IFERROR(AVERAGEIFS(nNOTA,nNIA,M673,nCUENTA,1,nASIG,"Orquesta/Banda/Conjunto"),"")))</f>
        <v/>
      </c>
      <c r="P673" t="str">
        <f>IF(M673="","",IF(M673="[FÓRMULA MANUAL]","",IFERROR(AVERAGEIFS(nNOTA,nNIA,M673,nCUENTA,1,nASIG,"Música de Cámara"),"")))</f>
        <v/>
      </c>
      <c r="Q673" t="str">
        <f>IF(M673="","",IF(M673="[FÓRMULA MANUAL]","",IFERROR(SUMPRODUCT((nNIA=M673)*(nCUENTA=1)*(COUNTIF(CONFIG_ASIGNATURAS!$B$7:$B$27,nASIG)&gt;0)*(nNOTA))/SUMPRODUCT((nNIA=M673)*(nCUENTA=1)*(COUNTIF(CONFIG_ASIGNATURAS!$B$7:$B$27,nASIG)&gt;0)*1),"")))</f>
        <v/>
      </c>
      <c r="T673" t="str">
        <f>IF(S673="","",IF(S673="[FÓRMULA MANUAL]","",IFERROR(AVERAGEIFS(nNOTA,nNIA,S673,nCUENTA,1,nASIG,"Armonía"),"")))</f>
        <v/>
      </c>
      <c r="U673" t="str">
        <f>IF(S673="","",IF(S673="[FÓRMULA MANUAL]","",IFERROR(AVERAGEIFS(nNOTA,nNIA,S673,nCUENTA,1,nASIG,"Orquesta/Banda/Conjunto"),"")))</f>
        <v/>
      </c>
      <c r="V673" t="str">
        <f>IF(S673="","",IF(S673="[FÓRMULA MANUAL]","",IFERROR(AVERAGEIFS(nNOTA,nNIA,S673,nCUENTA,1,nASIG,"Música de Cámara"),"")))</f>
        <v/>
      </c>
      <c r="W673" t="str">
        <f>IF(S673="","",IF(S673="[FÓRMULA MANUAL]","",IFERROR(SUMPRODUCT((nNIA=S673)*(nCUENTA=1)*(COUNTIF(CONFIG_ASIGNATURAS!$B$7:$B$27,nASIG)&gt;0)*(nNOTA))/SUMPRODUCT((nNIA=S673)*(nCUENTA=1)*(COUNTIF(CONFIG_ASIGNATURAS!$B$7:$B$27,nASIG)&gt;0)*1),"")))</f>
        <v/>
      </c>
      <c r="Z673" t="str">
        <f>IF(Y673="","",IF(Y673="[FÓRMULA MANUAL]","",IFERROR(AVERAGEIFS(nNOTA,nNIA,Y673,nCUENTA,1,nASIG,"Análisis"),"")))</f>
        <v/>
      </c>
      <c r="AA673" t="str">
        <f>IF(Y673="","",IF(Y673="[FÓRMULA MANUAL]","",IFERROR(AVERAGEIFS(nNOTA,nNIA,Y673,nCUENTA,1,nASIG,"Orquesta/Banda/Conjunto"),"")))</f>
        <v/>
      </c>
      <c r="AB673" t="str">
        <f>IF(Y673="","",IF(Y673="[FÓRMULA MANUAL]","",IFERROR(AVERAGEIFS(nNOTA,nNIA,Y673,nCUENTA,1,nASIG,"Música de Cámara"),"")))</f>
        <v/>
      </c>
      <c r="AC673" t="str">
        <f>IF(Y673="","",IF(Y673="[FÓRMULA MANUAL]","",IFERROR(SUMPRODUCT((nNIA=Y673)*(nCUENTA=1)*(COUNTIF(CONFIG_ASIGNATURAS!$B$7:$B$27,nASIG)&gt;0)*(nNOTA))/SUMPRODUCT((nNIA=Y673)*(nCUENTA=1)*(COUNTIF(CONFIG_ASIGNATURAS!$B$7:$B$27,nASIG)&gt;0)*1),"")))</f>
        <v/>
      </c>
      <c r="AF673" t="str">
        <f>IF(AE673="","",IF(AE673="[FÓRMULA MANUAL]","",IFERROR(AVERAGEIFS(nNOTA,nNIA,AE673,nCUENTA,1,nASIG,"Análisis"),"")))</f>
        <v/>
      </c>
      <c r="AG673" t="str">
        <f>IF(AE673="","",IF(AE673="[FÓRMULA MANUAL]","",IFERROR(AVERAGEIFS(nNOTA,nNIA,AE673,nCUENTA,1,nASIG,"Orquesta/Banda/Conjunto"),"")))</f>
        <v/>
      </c>
      <c r="AH673" t="str">
        <f>IF(AE673="","",IF(AE673="[FÓRMULA MANUAL]","",IFERROR(AVERAGEIFS(nNOTA,nNIA,AE673,nCUENTA,1,nASIG,"Música de Cámara"),"")))</f>
        <v/>
      </c>
      <c r="AI673" t="str">
        <f>IF(AE673="","",IF(AE673="[FÓRMULA MANUAL]","",IFERROR(SUMPRODUCT((nNIA=AE673)*(nCUENTA=1)*(COUNTIF(CONFIG_ASIGNATURAS!$B$7:$B$27,nASIG)&gt;0)*(nNOTA))/SUMPRODUCT((nNIA=AE673)*(nCUENTA=1)*(COUNTIF(CONFIG_ASIGNATURAS!$B$7:$B$27,nASIG)&gt;0)*1),"")))</f>
        <v/>
      </c>
    </row>
    <row r="674" spans="2:35" x14ac:dyDescent="0.2">
      <c r="B674" t="str">
        <f>IF(A674="","",IF(A674="[FÓRMULA MANUAL]","",IFERROR(AVERAGEIFS(nNOTA,nNIA,A674,nCUENTA,1,nASIG,"Lenguaje Musical"),"")))</f>
        <v/>
      </c>
      <c r="C674" t="str">
        <f>IF(A674="","",IF(A674="[FÓRMULA MANUAL]","",IFERROR(AVERAGEIFS(nNOTA,nNIA,A674,nCUENTA,1,nASIG,"Orquesta/Banda/Conjunto"),"")))</f>
        <v/>
      </c>
      <c r="D674" t="str">
        <f>IF(A674="","",IF(A674="[FÓRMULA MANUAL]","",IFERROR(AVERAGEIFS(nNOTA,nNIA,A674,nCUENTA,1,nASIG,"Conjunto"),"")))</f>
        <v/>
      </c>
      <c r="E674" t="str">
        <f>IF(A674="","",IF(A674="[FÓRMULA MANUAL]","",IFERROR(SUMPRODUCT((nNIA=A674)*(nCUENTA=1)*(COUNTIF(CONFIG_ASIGNATURAS!$B$7:$B$27,nASIG)&gt;0)*(nNOTA))/SUMPRODUCT((nNIA=A674)*(nCUENTA=1)*(COUNTIF(CONFIG_ASIGNATURAS!$B$7:$B$27,nASIG)&gt;0)*1),"")))</f>
        <v/>
      </c>
      <c r="H674" t="str">
        <f>IF(G674="","",IF(G674="[FÓRMULA MANUAL]","",IFERROR(AVERAGEIFS(nNOTA,nNIA,G674,nCUENTA,1,nASIG,"Lenguaje Musical"),"")))</f>
        <v/>
      </c>
      <c r="I674" t="str">
        <f>IF(G674="","",IF(G674="[FÓRMULA MANUAL]","",IFERROR(AVERAGEIFS(nNOTA,nNIA,G674,nCUENTA,1,nASIG,"Orquesta/Banda/Conjunto"),"")))</f>
        <v/>
      </c>
      <c r="J674" t="str">
        <f>IF(G674="","",IF(G674="[FÓRMULA MANUAL]","",IFERROR(AVERAGEIFS(nNOTA,nNIA,G674,nCUENTA,1,nASIG,"Conjunto"),"")))</f>
        <v/>
      </c>
      <c r="K674" t="str">
        <f>IF(G674="","",IF(G674="[FÓRMULA MANUAL]","",IFERROR(SUMPRODUCT((nNIA=G674)*(nCUENTA=1)*(COUNTIF(CONFIG_ASIGNATURAS!$B$7:$B$27,nASIG)&gt;0)*(nNOTA))/SUMPRODUCT((nNIA=G674)*(nCUENTA=1)*(COUNTIF(CONFIG_ASIGNATURAS!$B$7:$B$27,nASIG)&gt;0)*1),"")))</f>
        <v/>
      </c>
      <c r="N674" t="str">
        <f>IF(M674="","",IF(M674="[FÓRMULA MANUAL]","",IFERROR(AVERAGEIFS(nNOTA,nNIA,M674,nCUENTA,1,nASIG,"Armonía"),"")))</f>
        <v/>
      </c>
      <c r="O674" t="str">
        <f>IF(M674="","",IF(M674="[FÓRMULA MANUAL]","",IFERROR(AVERAGEIFS(nNOTA,nNIA,M674,nCUENTA,1,nASIG,"Orquesta/Banda/Conjunto"),"")))</f>
        <v/>
      </c>
      <c r="P674" t="str">
        <f>IF(M674="","",IF(M674="[FÓRMULA MANUAL]","",IFERROR(AVERAGEIFS(nNOTA,nNIA,M674,nCUENTA,1,nASIG,"Música de Cámara"),"")))</f>
        <v/>
      </c>
      <c r="Q674" t="str">
        <f>IF(M674="","",IF(M674="[FÓRMULA MANUAL]","",IFERROR(SUMPRODUCT((nNIA=M674)*(nCUENTA=1)*(COUNTIF(CONFIG_ASIGNATURAS!$B$7:$B$27,nASIG)&gt;0)*(nNOTA))/SUMPRODUCT((nNIA=M674)*(nCUENTA=1)*(COUNTIF(CONFIG_ASIGNATURAS!$B$7:$B$27,nASIG)&gt;0)*1),"")))</f>
        <v/>
      </c>
      <c r="T674" t="str">
        <f>IF(S674="","",IF(S674="[FÓRMULA MANUAL]","",IFERROR(AVERAGEIFS(nNOTA,nNIA,S674,nCUENTA,1,nASIG,"Armonía"),"")))</f>
        <v/>
      </c>
      <c r="U674" t="str">
        <f>IF(S674="","",IF(S674="[FÓRMULA MANUAL]","",IFERROR(AVERAGEIFS(nNOTA,nNIA,S674,nCUENTA,1,nASIG,"Orquesta/Banda/Conjunto"),"")))</f>
        <v/>
      </c>
      <c r="V674" t="str">
        <f>IF(S674="","",IF(S674="[FÓRMULA MANUAL]","",IFERROR(AVERAGEIFS(nNOTA,nNIA,S674,nCUENTA,1,nASIG,"Música de Cámara"),"")))</f>
        <v/>
      </c>
      <c r="W674" t="str">
        <f>IF(S674="","",IF(S674="[FÓRMULA MANUAL]","",IFERROR(SUMPRODUCT((nNIA=S674)*(nCUENTA=1)*(COUNTIF(CONFIG_ASIGNATURAS!$B$7:$B$27,nASIG)&gt;0)*(nNOTA))/SUMPRODUCT((nNIA=S674)*(nCUENTA=1)*(COUNTIF(CONFIG_ASIGNATURAS!$B$7:$B$27,nASIG)&gt;0)*1),"")))</f>
        <v/>
      </c>
      <c r="Z674" t="str">
        <f>IF(Y674="","",IF(Y674="[FÓRMULA MANUAL]","",IFERROR(AVERAGEIFS(nNOTA,nNIA,Y674,nCUENTA,1,nASIG,"Análisis"),"")))</f>
        <v/>
      </c>
      <c r="AA674" t="str">
        <f>IF(Y674="","",IF(Y674="[FÓRMULA MANUAL]","",IFERROR(AVERAGEIFS(nNOTA,nNIA,Y674,nCUENTA,1,nASIG,"Orquesta/Banda/Conjunto"),"")))</f>
        <v/>
      </c>
      <c r="AB674" t="str">
        <f>IF(Y674="","",IF(Y674="[FÓRMULA MANUAL]","",IFERROR(AVERAGEIFS(nNOTA,nNIA,Y674,nCUENTA,1,nASIG,"Música de Cámara"),"")))</f>
        <v/>
      </c>
      <c r="AC674" t="str">
        <f>IF(Y674="","",IF(Y674="[FÓRMULA MANUAL]","",IFERROR(SUMPRODUCT((nNIA=Y674)*(nCUENTA=1)*(COUNTIF(CONFIG_ASIGNATURAS!$B$7:$B$27,nASIG)&gt;0)*(nNOTA))/SUMPRODUCT((nNIA=Y674)*(nCUENTA=1)*(COUNTIF(CONFIG_ASIGNATURAS!$B$7:$B$27,nASIG)&gt;0)*1),"")))</f>
        <v/>
      </c>
      <c r="AF674" t="str">
        <f>IF(AE674="","",IF(AE674="[FÓRMULA MANUAL]","",IFERROR(AVERAGEIFS(nNOTA,nNIA,AE674,nCUENTA,1,nASIG,"Análisis"),"")))</f>
        <v/>
      </c>
      <c r="AG674" t="str">
        <f>IF(AE674="","",IF(AE674="[FÓRMULA MANUAL]","",IFERROR(AVERAGEIFS(nNOTA,nNIA,AE674,nCUENTA,1,nASIG,"Orquesta/Banda/Conjunto"),"")))</f>
        <v/>
      </c>
      <c r="AH674" t="str">
        <f>IF(AE674="","",IF(AE674="[FÓRMULA MANUAL]","",IFERROR(AVERAGEIFS(nNOTA,nNIA,AE674,nCUENTA,1,nASIG,"Música de Cámara"),"")))</f>
        <v/>
      </c>
      <c r="AI674" t="str">
        <f>IF(AE674="","",IF(AE674="[FÓRMULA MANUAL]","",IFERROR(SUMPRODUCT((nNIA=AE674)*(nCUENTA=1)*(COUNTIF(CONFIG_ASIGNATURAS!$B$7:$B$27,nASIG)&gt;0)*(nNOTA))/SUMPRODUCT((nNIA=AE674)*(nCUENTA=1)*(COUNTIF(CONFIG_ASIGNATURAS!$B$7:$B$27,nASIG)&gt;0)*1),"")))</f>
        <v/>
      </c>
    </row>
    <row r="675" spans="2:35" x14ac:dyDescent="0.2">
      <c r="B675" t="str">
        <f>IF(A675="","",IF(A675="[FÓRMULA MANUAL]","",IFERROR(AVERAGEIFS(nNOTA,nNIA,A675,nCUENTA,1,nASIG,"Lenguaje Musical"),"")))</f>
        <v/>
      </c>
      <c r="C675" t="str">
        <f>IF(A675="","",IF(A675="[FÓRMULA MANUAL]","",IFERROR(AVERAGEIFS(nNOTA,nNIA,A675,nCUENTA,1,nASIG,"Orquesta/Banda/Conjunto"),"")))</f>
        <v/>
      </c>
      <c r="D675" t="str">
        <f>IF(A675="","",IF(A675="[FÓRMULA MANUAL]","",IFERROR(AVERAGEIFS(nNOTA,nNIA,A675,nCUENTA,1,nASIG,"Conjunto"),"")))</f>
        <v/>
      </c>
      <c r="E675" t="str">
        <f>IF(A675="","",IF(A675="[FÓRMULA MANUAL]","",IFERROR(SUMPRODUCT((nNIA=A675)*(nCUENTA=1)*(COUNTIF(CONFIG_ASIGNATURAS!$B$7:$B$27,nASIG)&gt;0)*(nNOTA))/SUMPRODUCT((nNIA=A675)*(nCUENTA=1)*(COUNTIF(CONFIG_ASIGNATURAS!$B$7:$B$27,nASIG)&gt;0)*1),"")))</f>
        <v/>
      </c>
      <c r="H675" t="str">
        <f>IF(G675="","",IF(G675="[FÓRMULA MANUAL]","",IFERROR(AVERAGEIFS(nNOTA,nNIA,G675,nCUENTA,1,nASIG,"Lenguaje Musical"),"")))</f>
        <v/>
      </c>
      <c r="I675" t="str">
        <f>IF(G675="","",IF(G675="[FÓRMULA MANUAL]","",IFERROR(AVERAGEIFS(nNOTA,nNIA,G675,nCUENTA,1,nASIG,"Orquesta/Banda/Conjunto"),"")))</f>
        <v/>
      </c>
      <c r="J675" t="str">
        <f>IF(G675="","",IF(G675="[FÓRMULA MANUAL]","",IFERROR(AVERAGEIFS(nNOTA,nNIA,G675,nCUENTA,1,nASIG,"Conjunto"),"")))</f>
        <v/>
      </c>
      <c r="K675" t="str">
        <f>IF(G675="","",IF(G675="[FÓRMULA MANUAL]","",IFERROR(SUMPRODUCT((nNIA=G675)*(nCUENTA=1)*(COUNTIF(CONFIG_ASIGNATURAS!$B$7:$B$27,nASIG)&gt;0)*(nNOTA))/SUMPRODUCT((nNIA=G675)*(nCUENTA=1)*(COUNTIF(CONFIG_ASIGNATURAS!$B$7:$B$27,nASIG)&gt;0)*1),"")))</f>
        <v/>
      </c>
      <c r="N675" t="str">
        <f>IF(M675="","",IF(M675="[FÓRMULA MANUAL]","",IFERROR(AVERAGEIFS(nNOTA,nNIA,M675,nCUENTA,1,nASIG,"Armonía"),"")))</f>
        <v/>
      </c>
      <c r="O675" t="str">
        <f>IF(M675="","",IF(M675="[FÓRMULA MANUAL]","",IFERROR(AVERAGEIFS(nNOTA,nNIA,M675,nCUENTA,1,nASIG,"Orquesta/Banda/Conjunto"),"")))</f>
        <v/>
      </c>
      <c r="P675" t="str">
        <f>IF(M675="","",IF(M675="[FÓRMULA MANUAL]","",IFERROR(AVERAGEIFS(nNOTA,nNIA,M675,nCUENTA,1,nASIG,"Música de Cámara"),"")))</f>
        <v/>
      </c>
      <c r="Q675" t="str">
        <f>IF(M675="","",IF(M675="[FÓRMULA MANUAL]","",IFERROR(SUMPRODUCT((nNIA=M675)*(nCUENTA=1)*(COUNTIF(CONFIG_ASIGNATURAS!$B$7:$B$27,nASIG)&gt;0)*(nNOTA))/SUMPRODUCT((nNIA=M675)*(nCUENTA=1)*(COUNTIF(CONFIG_ASIGNATURAS!$B$7:$B$27,nASIG)&gt;0)*1),"")))</f>
        <v/>
      </c>
      <c r="T675" t="str">
        <f>IF(S675="","",IF(S675="[FÓRMULA MANUAL]","",IFERROR(AVERAGEIFS(nNOTA,nNIA,S675,nCUENTA,1,nASIG,"Armonía"),"")))</f>
        <v/>
      </c>
      <c r="U675" t="str">
        <f>IF(S675="","",IF(S675="[FÓRMULA MANUAL]","",IFERROR(AVERAGEIFS(nNOTA,nNIA,S675,nCUENTA,1,nASIG,"Orquesta/Banda/Conjunto"),"")))</f>
        <v/>
      </c>
      <c r="V675" t="str">
        <f>IF(S675="","",IF(S675="[FÓRMULA MANUAL]","",IFERROR(AVERAGEIFS(nNOTA,nNIA,S675,nCUENTA,1,nASIG,"Música de Cámara"),"")))</f>
        <v/>
      </c>
      <c r="W675" t="str">
        <f>IF(S675="","",IF(S675="[FÓRMULA MANUAL]","",IFERROR(SUMPRODUCT((nNIA=S675)*(nCUENTA=1)*(COUNTIF(CONFIG_ASIGNATURAS!$B$7:$B$27,nASIG)&gt;0)*(nNOTA))/SUMPRODUCT((nNIA=S675)*(nCUENTA=1)*(COUNTIF(CONFIG_ASIGNATURAS!$B$7:$B$27,nASIG)&gt;0)*1),"")))</f>
        <v/>
      </c>
      <c r="Z675" t="str">
        <f>IF(Y675="","",IF(Y675="[FÓRMULA MANUAL]","",IFERROR(AVERAGEIFS(nNOTA,nNIA,Y675,nCUENTA,1,nASIG,"Análisis"),"")))</f>
        <v/>
      </c>
      <c r="AA675" t="str">
        <f>IF(Y675="","",IF(Y675="[FÓRMULA MANUAL]","",IFERROR(AVERAGEIFS(nNOTA,nNIA,Y675,nCUENTA,1,nASIG,"Orquesta/Banda/Conjunto"),"")))</f>
        <v/>
      </c>
      <c r="AB675" t="str">
        <f>IF(Y675="","",IF(Y675="[FÓRMULA MANUAL]","",IFERROR(AVERAGEIFS(nNOTA,nNIA,Y675,nCUENTA,1,nASIG,"Música de Cámara"),"")))</f>
        <v/>
      </c>
      <c r="AC675" t="str">
        <f>IF(Y675="","",IF(Y675="[FÓRMULA MANUAL]","",IFERROR(SUMPRODUCT((nNIA=Y675)*(nCUENTA=1)*(COUNTIF(CONFIG_ASIGNATURAS!$B$7:$B$27,nASIG)&gt;0)*(nNOTA))/SUMPRODUCT((nNIA=Y675)*(nCUENTA=1)*(COUNTIF(CONFIG_ASIGNATURAS!$B$7:$B$27,nASIG)&gt;0)*1),"")))</f>
        <v/>
      </c>
      <c r="AF675" t="str">
        <f>IF(AE675="","",IF(AE675="[FÓRMULA MANUAL]","",IFERROR(AVERAGEIFS(nNOTA,nNIA,AE675,nCUENTA,1,nASIG,"Análisis"),"")))</f>
        <v/>
      </c>
      <c r="AG675" t="str">
        <f>IF(AE675="","",IF(AE675="[FÓRMULA MANUAL]","",IFERROR(AVERAGEIFS(nNOTA,nNIA,AE675,nCUENTA,1,nASIG,"Orquesta/Banda/Conjunto"),"")))</f>
        <v/>
      </c>
      <c r="AH675" t="str">
        <f>IF(AE675="","",IF(AE675="[FÓRMULA MANUAL]","",IFERROR(AVERAGEIFS(nNOTA,nNIA,AE675,nCUENTA,1,nASIG,"Música de Cámara"),"")))</f>
        <v/>
      </c>
      <c r="AI675" t="str">
        <f>IF(AE675="","",IF(AE675="[FÓRMULA MANUAL]","",IFERROR(SUMPRODUCT((nNIA=AE675)*(nCUENTA=1)*(COUNTIF(CONFIG_ASIGNATURAS!$B$7:$B$27,nASIG)&gt;0)*(nNOTA))/SUMPRODUCT((nNIA=AE675)*(nCUENTA=1)*(COUNTIF(CONFIG_ASIGNATURAS!$B$7:$B$27,nASIG)&gt;0)*1),"")))</f>
        <v/>
      </c>
    </row>
    <row r="676" spans="2:35" x14ac:dyDescent="0.2">
      <c r="B676" t="str">
        <f>IF(A676="","",IF(A676="[FÓRMULA MANUAL]","",IFERROR(AVERAGEIFS(nNOTA,nNIA,A676,nCUENTA,1,nASIG,"Lenguaje Musical"),"")))</f>
        <v/>
      </c>
      <c r="C676" t="str">
        <f>IF(A676="","",IF(A676="[FÓRMULA MANUAL]","",IFERROR(AVERAGEIFS(nNOTA,nNIA,A676,nCUENTA,1,nASIG,"Orquesta/Banda/Conjunto"),"")))</f>
        <v/>
      </c>
      <c r="D676" t="str">
        <f>IF(A676="","",IF(A676="[FÓRMULA MANUAL]","",IFERROR(AVERAGEIFS(nNOTA,nNIA,A676,nCUENTA,1,nASIG,"Conjunto"),"")))</f>
        <v/>
      </c>
      <c r="E676" t="str">
        <f>IF(A676="","",IF(A676="[FÓRMULA MANUAL]","",IFERROR(SUMPRODUCT((nNIA=A676)*(nCUENTA=1)*(COUNTIF(CONFIG_ASIGNATURAS!$B$7:$B$27,nASIG)&gt;0)*(nNOTA))/SUMPRODUCT((nNIA=A676)*(nCUENTA=1)*(COUNTIF(CONFIG_ASIGNATURAS!$B$7:$B$27,nASIG)&gt;0)*1),"")))</f>
        <v/>
      </c>
      <c r="H676" t="str">
        <f>IF(G676="","",IF(G676="[FÓRMULA MANUAL]","",IFERROR(AVERAGEIFS(nNOTA,nNIA,G676,nCUENTA,1,nASIG,"Lenguaje Musical"),"")))</f>
        <v/>
      </c>
      <c r="I676" t="str">
        <f>IF(G676="","",IF(G676="[FÓRMULA MANUAL]","",IFERROR(AVERAGEIFS(nNOTA,nNIA,G676,nCUENTA,1,nASIG,"Orquesta/Banda/Conjunto"),"")))</f>
        <v/>
      </c>
      <c r="J676" t="str">
        <f>IF(G676="","",IF(G676="[FÓRMULA MANUAL]","",IFERROR(AVERAGEIFS(nNOTA,nNIA,G676,nCUENTA,1,nASIG,"Conjunto"),"")))</f>
        <v/>
      </c>
      <c r="K676" t="str">
        <f>IF(G676="","",IF(G676="[FÓRMULA MANUAL]","",IFERROR(SUMPRODUCT((nNIA=G676)*(nCUENTA=1)*(COUNTIF(CONFIG_ASIGNATURAS!$B$7:$B$27,nASIG)&gt;0)*(nNOTA))/SUMPRODUCT((nNIA=G676)*(nCUENTA=1)*(COUNTIF(CONFIG_ASIGNATURAS!$B$7:$B$27,nASIG)&gt;0)*1),"")))</f>
        <v/>
      </c>
      <c r="N676" t="str">
        <f>IF(M676="","",IF(M676="[FÓRMULA MANUAL]","",IFERROR(AVERAGEIFS(nNOTA,nNIA,M676,nCUENTA,1,nASIG,"Armonía"),"")))</f>
        <v/>
      </c>
      <c r="O676" t="str">
        <f>IF(M676="","",IF(M676="[FÓRMULA MANUAL]","",IFERROR(AVERAGEIFS(nNOTA,nNIA,M676,nCUENTA,1,nASIG,"Orquesta/Banda/Conjunto"),"")))</f>
        <v/>
      </c>
      <c r="P676" t="str">
        <f>IF(M676="","",IF(M676="[FÓRMULA MANUAL]","",IFERROR(AVERAGEIFS(nNOTA,nNIA,M676,nCUENTA,1,nASIG,"Música de Cámara"),"")))</f>
        <v/>
      </c>
      <c r="Q676" t="str">
        <f>IF(M676="","",IF(M676="[FÓRMULA MANUAL]","",IFERROR(SUMPRODUCT((nNIA=M676)*(nCUENTA=1)*(COUNTIF(CONFIG_ASIGNATURAS!$B$7:$B$27,nASIG)&gt;0)*(nNOTA))/SUMPRODUCT((nNIA=M676)*(nCUENTA=1)*(COUNTIF(CONFIG_ASIGNATURAS!$B$7:$B$27,nASIG)&gt;0)*1),"")))</f>
        <v/>
      </c>
      <c r="T676" t="str">
        <f>IF(S676="","",IF(S676="[FÓRMULA MANUAL]","",IFERROR(AVERAGEIFS(nNOTA,nNIA,S676,nCUENTA,1,nASIG,"Armonía"),"")))</f>
        <v/>
      </c>
      <c r="U676" t="str">
        <f>IF(S676="","",IF(S676="[FÓRMULA MANUAL]","",IFERROR(AVERAGEIFS(nNOTA,nNIA,S676,nCUENTA,1,nASIG,"Orquesta/Banda/Conjunto"),"")))</f>
        <v/>
      </c>
      <c r="V676" t="str">
        <f>IF(S676="","",IF(S676="[FÓRMULA MANUAL]","",IFERROR(AVERAGEIFS(nNOTA,nNIA,S676,nCUENTA,1,nASIG,"Música de Cámara"),"")))</f>
        <v/>
      </c>
      <c r="W676" t="str">
        <f>IF(S676="","",IF(S676="[FÓRMULA MANUAL]","",IFERROR(SUMPRODUCT((nNIA=S676)*(nCUENTA=1)*(COUNTIF(CONFIG_ASIGNATURAS!$B$7:$B$27,nASIG)&gt;0)*(nNOTA))/SUMPRODUCT((nNIA=S676)*(nCUENTA=1)*(COUNTIF(CONFIG_ASIGNATURAS!$B$7:$B$27,nASIG)&gt;0)*1),"")))</f>
        <v/>
      </c>
      <c r="Z676" t="str">
        <f>IF(Y676="","",IF(Y676="[FÓRMULA MANUAL]","",IFERROR(AVERAGEIFS(nNOTA,nNIA,Y676,nCUENTA,1,nASIG,"Análisis"),"")))</f>
        <v/>
      </c>
      <c r="AA676" t="str">
        <f>IF(Y676="","",IF(Y676="[FÓRMULA MANUAL]","",IFERROR(AVERAGEIFS(nNOTA,nNIA,Y676,nCUENTA,1,nASIG,"Orquesta/Banda/Conjunto"),"")))</f>
        <v/>
      </c>
      <c r="AB676" t="str">
        <f>IF(Y676="","",IF(Y676="[FÓRMULA MANUAL]","",IFERROR(AVERAGEIFS(nNOTA,nNIA,Y676,nCUENTA,1,nASIG,"Música de Cámara"),"")))</f>
        <v/>
      </c>
      <c r="AC676" t="str">
        <f>IF(Y676="","",IF(Y676="[FÓRMULA MANUAL]","",IFERROR(SUMPRODUCT((nNIA=Y676)*(nCUENTA=1)*(COUNTIF(CONFIG_ASIGNATURAS!$B$7:$B$27,nASIG)&gt;0)*(nNOTA))/SUMPRODUCT((nNIA=Y676)*(nCUENTA=1)*(COUNTIF(CONFIG_ASIGNATURAS!$B$7:$B$27,nASIG)&gt;0)*1),"")))</f>
        <v/>
      </c>
      <c r="AF676" t="str">
        <f>IF(AE676="","",IF(AE676="[FÓRMULA MANUAL]","",IFERROR(AVERAGEIFS(nNOTA,nNIA,AE676,nCUENTA,1,nASIG,"Análisis"),"")))</f>
        <v/>
      </c>
      <c r="AG676" t="str">
        <f>IF(AE676="","",IF(AE676="[FÓRMULA MANUAL]","",IFERROR(AVERAGEIFS(nNOTA,nNIA,AE676,nCUENTA,1,nASIG,"Orquesta/Banda/Conjunto"),"")))</f>
        <v/>
      </c>
      <c r="AH676" t="str">
        <f>IF(AE676="","",IF(AE676="[FÓRMULA MANUAL]","",IFERROR(AVERAGEIFS(nNOTA,nNIA,AE676,nCUENTA,1,nASIG,"Música de Cámara"),"")))</f>
        <v/>
      </c>
      <c r="AI676" t="str">
        <f>IF(AE676="","",IF(AE676="[FÓRMULA MANUAL]","",IFERROR(SUMPRODUCT((nNIA=AE676)*(nCUENTA=1)*(COUNTIF(CONFIG_ASIGNATURAS!$B$7:$B$27,nASIG)&gt;0)*(nNOTA))/SUMPRODUCT((nNIA=AE676)*(nCUENTA=1)*(COUNTIF(CONFIG_ASIGNATURAS!$B$7:$B$27,nASIG)&gt;0)*1),"")))</f>
        <v/>
      </c>
    </row>
    <row r="677" spans="2:35" x14ac:dyDescent="0.2">
      <c r="B677" t="str">
        <f>IF(A677="","",IF(A677="[FÓRMULA MANUAL]","",IFERROR(AVERAGEIFS(nNOTA,nNIA,A677,nCUENTA,1,nASIG,"Lenguaje Musical"),"")))</f>
        <v/>
      </c>
      <c r="C677" t="str">
        <f>IF(A677="","",IF(A677="[FÓRMULA MANUAL]","",IFERROR(AVERAGEIFS(nNOTA,nNIA,A677,nCUENTA,1,nASIG,"Orquesta/Banda/Conjunto"),"")))</f>
        <v/>
      </c>
      <c r="D677" t="str">
        <f>IF(A677="","",IF(A677="[FÓRMULA MANUAL]","",IFERROR(AVERAGEIFS(nNOTA,nNIA,A677,nCUENTA,1,nASIG,"Conjunto"),"")))</f>
        <v/>
      </c>
      <c r="E677" t="str">
        <f>IF(A677="","",IF(A677="[FÓRMULA MANUAL]","",IFERROR(SUMPRODUCT((nNIA=A677)*(nCUENTA=1)*(COUNTIF(CONFIG_ASIGNATURAS!$B$7:$B$27,nASIG)&gt;0)*(nNOTA))/SUMPRODUCT((nNIA=A677)*(nCUENTA=1)*(COUNTIF(CONFIG_ASIGNATURAS!$B$7:$B$27,nASIG)&gt;0)*1),"")))</f>
        <v/>
      </c>
      <c r="H677" t="str">
        <f>IF(G677="","",IF(G677="[FÓRMULA MANUAL]","",IFERROR(AVERAGEIFS(nNOTA,nNIA,G677,nCUENTA,1,nASIG,"Lenguaje Musical"),"")))</f>
        <v/>
      </c>
      <c r="I677" t="str">
        <f>IF(G677="","",IF(G677="[FÓRMULA MANUAL]","",IFERROR(AVERAGEIFS(nNOTA,nNIA,G677,nCUENTA,1,nASIG,"Orquesta/Banda/Conjunto"),"")))</f>
        <v/>
      </c>
      <c r="J677" t="str">
        <f>IF(G677="","",IF(G677="[FÓRMULA MANUAL]","",IFERROR(AVERAGEIFS(nNOTA,nNIA,G677,nCUENTA,1,nASIG,"Conjunto"),"")))</f>
        <v/>
      </c>
      <c r="K677" t="str">
        <f>IF(G677="","",IF(G677="[FÓRMULA MANUAL]","",IFERROR(SUMPRODUCT((nNIA=G677)*(nCUENTA=1)*(COUNTIF(CONFIG_ASIGNATURAS!$B$7:$B$27,nASIG)&gt;0)*(nNOTA))/SUMPRODUCT((nNIA=G677)*(nCUENTA=1)*(COUNTIF(CONFIG_ASIGNATURAS!$B$7:$B$27,nASIG)&gt;0)*1),"")))</f>
        <v/>
      </c>
      <c r="N677" t="str">
        <f>IF(M677="","",IF(M677="[FÓRMULA MANUAL]","",IFERROR(AVERAGEIFS(nNOTA,nNIA,M677,nCUENTA,1,nASIG,"Armonía"),"")))</f>
        <v/>
      </c>
      <c r="O677" t="str">
        <f>IF(M677="","",IF(M677="[FÓRMULA MANUAL]","",IFERROR(AVERAGEIFS(nNOTA,nNIA,M677,nCUENTA,1,nASIG,"Orquesta/Banda/Conjunto"),"")))</f>
        <v/>
      </c>
      <c r="P677" t="str">
        <f>IF(M677="","",IF(M677="[FÓRMULA MANUAL]","",IFERROR(AVERAGEIFS(nNOTA,nNIA,M677,nCUENTA,1,nASIG,"Música de Cámara"),"")))</f>
        <v/>
      </c>
      <c r="Q677" t="str">
        <f>IF(M677="","",IF(M677="[FÓRMULA MANUAL]","",IFERROR(SUMPRODUCT((nNIA=M677)*(nCUENTA=1)*(COUNTIF(CONFIG_ASIGNATURAS!$B$7:$B$27,nASIG)&gt;0)*(nNOTA))/SUMPRODUCT((nNIA=M677)*(nCUENTA=1)*(COUNTIF(CONFIG_ASIGNATURAS!$B$7:$B$27,nASIG)&gt;0)*1),"")))</f>
        <v/>
      </c>
      <c r="T677" t="str">
        <f>IF(S677="","",IF(S677="[FÓRMULA MANUAL]","",IFERROR(AVERAGEIFS(nNOTA,nNIA,S677,nCUENTA,1,nASIG,"Armonía"),"")))</f>
        <v/>
      </c>
      <c r="U677" t="str">
        <f>IF(S677="","",IF(S677="[FÓRMULA MANUAL]","",IFERROR(AVERAGEIFS(nNOTA,nNIA,S677,nCUENTA,1,nASIG,"Orquesta/Banda/Conjunto"),"")))</f>
        <v/>
      </c>
      <c r="V677" t="str">
        <f>IF(S677="","",IF(S677="[FÓRMULA MANUAL]","",IFERROR(AVERAGEIFS(nNOTA,nNIA,S677,nCUENTA,1,nASIG,"Música de Cámara"),"")))</f>
        <v/>
      </c>
      <c r="W677" t="str">
        <f>IF(S677="","",IF(S677="[FÓRMULA MANUAL]","",IFERROR(SUMPRODUCT((nNIA=S677)*(nCUENTA=1)*(COUNTIF(CONFIG_ASIGNATURAS!$B$7:$B$27,nASIG)&gt;0)*(nNOTA))/SUMPRODUCT((nNIA=S677)*(nCUENTA=1)*(COUNTIF(CONFIG_ASIGNATURAS!$B$7:$B$27,nASIG)&gt;0)*1),"")))</f>
        <v/>
      </c>
      <c r="Z677" t="str">
        <f>IF(Y677="","",IF(Y677="[FÓRMULA MANUAL]","",IFERROR(AVERAGEIFS(nNOTA,nNIA,Y677,nCUENTA,1,nASIG,"Análisis"),"")))</f>
        <v/>
      </c>
      <c r="AA677" t="str">
        <f>IF(Y677="","",IF(Y677="[FÓRMULA MANUAL]","",IFERROR(AVERAGEIFS(nNOTA,nNIA,Y677,nCUENTA,1,nASIG,"Orquesta/Banda/Conjunto"),"")))</f>
        <v/>
      </c>
      <c r="AB677" t="str">
        <f>IF(Y677="","",IF(Y677="[FÓRMULA MANUAL]","",IFERROR(AVERAGEIFS(nNOTA,nNIA,Y677,nCUENTA,1,nASIG,"Música de Cámara"),"")))</f>
        <v/>
      </c>
      <c r="AC677" t="str">
        <f>IF(Y677="","",IF(Y677="[FÓRMULA MANUAL]","",IFERROR(SUMPRODUCT((nNIA=Y677)*(nCUENTA=1)*(COUNTIF(CONFIG_ASIGNATURAS!$B$7:$B$27,nASIG)&gt;0)*(nNOTA))/SUMPRODUCT((nNIA=Y677)*(nCUENTA=1)*(COUNTIF(CONFIG_ASIGNATURAS!$B$7:$B$27,nASIG)&gt;0)*1),"")))</f>
        <v/>
      </c>
      <c r="AF677" t="str">
        <f>IF(AE677="","",IF(AE677="[FÓRMULA MANUAL]","",IFERROR(AVERAGEIFS(nNOTA,nNIA,AE677,nCUENTA,1,nASIG,"Análisis"),"")))</f>
        <v/>
      </c>
      <c r="AG677" t="str">
        <f>IF(AE677="","",IF(AE677="[FÓRMULA MANUAL]","",IFERROR(AVERAGEIFS(nNOTA,nNIA,AE677,nCUENTA,1,nASIG,"Orquesta/Banda/Conjunto"),"")))</f>
        <v/>
      </c>
      <c r="AH677" t="str">
        <f>IF(AE677="","",IF(AE677="[FÓRMULA MANUAL]","",IFERROR(AVERAGEIFS(nNOTA,nNIA,AE677,nCUENTA,1,nASIG,"Música de Cámara"),"")))</f>
        <v/>
      </c>
      <c r="AI677" t="str">
        <f>IF(AE677="","",IF(AE677="[FÓRMULA MANUAL]","",IFERROR(SUMPRODUCT((nNIA=AE677)*(nCUENTA=1)*(COUNTIF(CONFIG_ASIGNATURAS!$B$7:$B$27,nASIG)&gt;0)*(nNOTA))/SUMPRODUCT((nNIA=AE677)*(nCUENTA=1)*(COUNTIF(CONFIG_ASIGNATURAS!$B$7:$B$27,nASIG)&gt;0)*1),"")))</f>
        <v/>
      </c>
    </row>
    <row r="678" spans="2:35" x14ac:dyDescent="0.2">
      <c r="B678" t="str">
        <f>IF(A678="","",IF(A678="[FÓRMULA MANUAL]","",IFERROR(AVERAGEIFS(nNOTA,nNIA,A678,nCUENTA,1,nASIG,"Lenguaje Musical"),"")))</f>
        <v/>
      </c>
      <c r="C678" t="str">
        <f>IF(A678="","",IF(A678="[FÓRMULA MANUAL]","",IFERROR(AVERAGEIFS(nNOTA,nNIA,A678,nCUENTA,1,nASIG,"Orquesta/Banda/Conjunto"),"")))</f>
        <v/>
      </c>
      <c r="D678" t="str">
        <f>IF(A678="","",IF(A678="[FÓRMULA MANUAL]","",IFERROR(AVERAGEIFS(nNOTA,nNIA,A678,nCUENTA,1,nASIG,"Conjunto"),"")))</f>
        <v/>
      </c>
      <c r="E678" t="str">
        <f>IF(A678="","",IF(A678="[FÓRMULA MANUAL]","",IFERROR(SUMPRODUCT((nNIA=A678)*(nCUENTA=1)*(COUNTIF(CONFIG_ASIGNATURAS!$B$7:$B$27,nASIG)&gt;0)*(nNOTA))/SUMPRODUCT((nNIA=A678)*(nCUENTA=1)*(COUNTIF(CONFIG_ASIGNATURAS!$B$7:$B$27,nASIG)&gt;0)*1),"")))</f>
        <v/>
      </c>
      <c r="H678" t="str">
        <f>IF(G678="","",IF(G678="[FÓRMULA MANUAL]","",IFERROR(AVERAGEIFS(nNOTA,nNIA,G678,nCUENTA,1,nASIG,"Lenguaje Musical"),"")))</f>
        <v/>
      </c>
      <c r="I678" t="str">
        <f>IF(G678="","",IF(G678="[FÓRMULA MANUAL]","",IFERROR(AVERAGEIFS(nNOTA,nNIA,G678,nCUENTA,1,nASIG,"Orquesta/Banda/Conjunto"),"")))</f>
        <v/>
      </c>
      <c r="J678" t="str">
        <f>IF(G678="","",IF(G678="[FÓRMULA MANUAL]","",IFERROR(AVERAGEIFS(nNOTA,nNIA,G678,nCUENTA,1,nASIG,"Conjunto"),"")))</f>
        <v/>
      </c>
      <c r="K678" t="str">
        <f>IF(G678="","",IF(G678="[FÓRMULA MANUAL]","",IFERROR(SUMPRODUCT((nNIA=G678)*(nCUENTA=1)*(COUNTIF(CONFIG_ASIGNATURAS!$B$7:$B$27,nASIG)&gt;0)*(nNOTA))/SUMPRODUCT((nNIA=G678)*(nCUENTA=1)*(COUNTIF(CONFIG_ASIGNATURAS!$B$7:$B$27,nASIG)&gt;0)*1),"")))</f>
        <v/>
      </c>
      <c r="N678" t="str">
        <f>IF(M678="","",IF(M678="[FÓRMULA MANUAL]","",IFERROR(AVERAGEIFS(nNOTA,nNIA,M678,nCUENTA,1,nASIG,"Armonía"),"")))</f>
        <v/>
      </c>
      <c r="O678" t="str">
        <f>IF(M678="","",IF(M678="[FÓRMULA MANUAL]","",IFERROR(AVERAGEIFS(nNOTA,nNIA,M678,nCUENTA,1,nASIG,"Orquesta/Banda/Conjunto"),"")))</f>
        <v/>
      </c>
      <c r="P678" t="str">
        <f>IF(M678="","",IF(M678="[FÓRMULA MANUAL]","",IFERROR(AVERAGEIFS(nNOTA,nNIA,M678,nCUENTA,1,nASIG,"Música de Cámara"),"")))</f>
        <v/>
      </c>
      <c r="Q678" t="str">
        <f>IF(M678="","",IF(M678="[FÓRMULA MANUAL]","",IFERROR(SUMPRODUCT((nNIA=M678)*(nCUENTA=1)*(COUNTIF(CONFIG_ASIGNATURAS!$B$7:$B$27,nASIG)&gt;0)*(nNOTA))/SUMPRODUCT((nNIA=M678)*(nCUENTA=1)*(COUNTIF(CONFIG_ASIGNATURAS!$B$7:$B$27,nASIG)&gt;0)*1),"")))</f>
        <v/>
      </c>
      <c r="T678" t="str">
        <f>IF(S678="","",IF(S678="[FÓRMULA MANUAL]","",IFERROR(AVERAGEIFS(nNOTA,nNIA,S678,nCUENTA,1,nASIG,"Armonía"),"")))</f>
        <v/>
      </c>
      <c r="U678" t="str">
        <f>IF(S678="","",IF(S678="[FÓRMULA MANUAL]","",IFERROR(AVERAGEIFS(nNOTA,nNIA,S678,nCUENTA,1,nASIG,"Orquesta/Banda/Conjunto"),"")))</f>
        <v/>
      </c>
      <c r="V678" t="str">
        <f>IF(S678="","",IF(S678="[FÓRMULA MANUAL]","",IFERROR(AVERAGEIFS(nNOTA,nNIA,S678,nCUENTA,1,nASIG,"Música de Cámara"),"")))</f>
        <v/>
      </c>
      <c r="W678" t="str">
        <f>IF(S678="","",IF(S678="[FÓRMULA MANUAL]","",IFERROR(SUMPRODUCT((nNIA=S678)*(nCUENTA=1)*(COUNTIF(CONFIG_ASIGNATURAS!$B$7:$B$27,nASIG)&gt;0)*(nNOTA))/SUMPRODUCT((nNIA=S678)*(nCUENTA=1)*(COUNTIF(CONFIG_ASIGNATURAS!$B$7:$B$27,nASIG)&gt;0)*1),"")))</f>
        <v/>
      </c>
      <c r="Z678" t="str">
        <f>IF(Y678="","",IF(Y678="[FÓRMULA MANUAL]","",IFERROR(AVERAGEIFS(nNOTA,nNIA,Y678,nCUENTA,1,nASIG,"Análisis"),"")))</f>
        <v/>
      </c>
      <c r="AA678" t="str">
        <f>IF(Y678="","",IF(Y678="[FÓRMULA MANUAL]","",IFERROR(AVERAGEIFS(nNOTA,nNIA,Y678,nCUENTA,1,nASIG,"Orquesta/Banda/Conjunto"),"")))</f>
        <v/>
      </c>
      <c r="AB678" t="str">
        <f>IF(Y678="","",IF(Y678="[FÓRMULA MANUAL]","",IFERROR(AVERAGEIFS(nNOTA,nNIA,Y678,nCUENTA,1,nASIG,"Música de Cámara"),"")))</f>
        <v/>
      </c>
      <c r="AC678" t="str">
        <f>IF(Y678="","",IF(Y678="[FÓRMULA MANUAL]","",IFERROR(SUMPRODUCT((nNIA=Y678)*(nCUENTA=1)*(COUNTIF(CONFIG_ASIGNATURAS!$B$7:$B$27,nASIG)&gt;0)*(nNOTA))/SUMPRODUCT((nNIA=Y678)*(nCUENTA=1)*(COUNTIF(CONFIG_ASIGNATURAS!$B$7:$B$27,nASIG)&gt;0)*1),"")))</f>
        <v/>
      </c>
      <c r="AF678" t="str">
        <f>IF(AE678="","",IF(AE678="[FÓRMULA MANUAL]","",IFERROR(AVERAGEIFS(nNOTA,nNIA,AE678,nCUENTA,1,nASIG,"Análisis"),"")))</f>
        <v/>
      </c>
      <c r="AG678" t="str">
        <f>IF(AE678="","",IF(AE678="[FÓRMULA MANUAL]","",IFERROR(AVERAGEIFS(nNOTA,nNIA,AE678,nCUENTA,1,nASIG,"Orquesta/Banda/Conjunto"),"")))</f>
        <v/>
      </c>
      <c r="AH678" t="str">
        <f>IF(AE678="","",IF(AE678="[FÓRMULA MANUAL]","",IFERROR(AVERAGEIFS(nNOTA,nNIA,AE678,nCUENTA,1,nASIG,"Música de Cámara"),"")))</f>
        <v/>
      </c>
      <c r="AI678" t="str">
        <f>IF(AE678="","",IF(AE678="[FÓRMULA MANUAL]","",IFERROR(SUMPRODUCT((nNIA=AE678)*(nCUENTA=1)*(COUNTIF(CONFIG_ASIGNATURAS!$B$7:$B$27,nASIG)&gt;0)*(nNOTA))/SUMPRODUCT((nNIA=AE678)*(nCUENTA=1)*(COUNTIF(CONFIG_ASIGNATURAS!$B$7:$B$27,nASIG)&gt;0)*1),"")))</f>
        <v/>
      </c>
    </row>
    <row r="679" spans="2:35" x14ac:dyDescent="0.2">
      <c r="B679" t="str">
        <f>IF(A679="","",IF(A679="[FÓRMULA MANUAL]","",IFERROR(AVERAGEIFS(nNOTA,nNIA,A679,nCUENTA,1,nASIG,"Lenguaje Musical"),"")))</f>
        <v/>
      </c>
      <c r="C679" t="str">
        <f>IF(A679="","",IF(A679="[FÓRMULA MANUAL]","",IFERROR(AVERAGEIFS(nNOTA,nNIA,A679,nCUENTA,1,nASIG,"Orquesta/Banda/Conjunto"),"")))</f>
        <v/>
      </c>
      <c r="D679" t="str">
        <f>IF(A679="","",IF(A679="[FÓRMULA MANUAL]","",IFERROR(AVERAGEIFS(nNOTA,nNIA,A679,nCUENTA,1,nASIG,"Conjunto"),"")))</f>
        <v/>
      </c>
      <c r="E679" t="str">
        <f>IF(A679="","",IF(A679="[FÓRMULA MANUAL]","",IFERROR(SUMPRODUCT((nNIA=A679)*(nCUENTA=1)*(COUNTIF(CONFIG_ASIGNATURAS!$B$7:$B$27,nASIG)&gt;0)*(nNOTA))/SUMPRODUCT((nNIA=A679)*(nCUENTA=1)*(COUNTIF(CONFIG_ASIGNATURAS!$B$7:$B$27,nASIG)&gt;0)*1),"")))</f>
        <v/>
      </c>
      <c r="H679" t="str">
        <f>IF(G679="","",IF(G679="[FÓRMULA MANUAL]","",IFERROR(AVERAGEIFS(nNOTA,nNIA,G679,nCUENTA,1,nASIG,"Lenguaje Musical"),"")))</f>
        <v/>
      </c>
      <c r="I679" t="str">
        <f>IF(G679="","",IF(G679="[FÓRMULA MANUAL]","",IFERROR(AVERAGEIFS(nNOTA,nNIA,G679,nCUENTA,1,nASIG,"Orquesta/Banda/Conjunto"),"")))</f>
        <v/>
      </c>
      <c r="J679" t="str">
        <f>IF(G679="","",IF(G679="[FÓRMULA MANUAL]","",IFERROR(AVERAGEIFS(nNOTA,nNIA,G679,nCUENTA,1,nASIG,"Conjunto"),"")))</f>
        <v/>
      </c>
      <c r="K679" t="str">
        <f>IF(G679="","",IF(G679="[FÓRMULA MANUAL]","",IFERROR(SUMPRODUCT((nNIA=G679)*(nCUENTA=1)*(COUNTIF(CONFIG_ASIGNATURAS!$B$7:$B$27,nASIG)&gt;0)*(nNOTA))/SUMPRODUCT((nNIA=G679)*(nCUENTA=1)*(COUNTIF(CONFIG_ASIGNATURAS!$B$7:$B$27,nASIG)&gt;0)*1),"")))</f>
        <v/>
      </c>
      <c r="N679" t="str">
        <f>IF(M679="","",IF(M679="[FÓRMULA MANUAL]","",IFERROR(AVERAGEIFS(nNOTA,nNIA,M679,nCUENTA,1,nASIG,"Armonía"),"")))</f>
        <v/>
      </c>
      <c r="O679" t="str">
        <f>IF(M679="","",IF(M679="[FÓRMULA MANUAL]","",IFERROR(AVERAGEIFS(nNOTA,nNIA,M679,nCUENTA,1,nASIG,"Orquesta/Banda/Conjunto"),"")))</f>
        <v/>
      </c>
      <c r="P679" t="str">
        <f>IF(M679="","",IF(M679="[FÓRMULA MANUAL]","",IFERROR(AVERAGEIFS(nNOTA,nNIA,M679,nCUENTA,1,nASIG,"Música de Cámara"),"")))</f>
        <v/>
      </c>
      <c r="Q679" t="str">
        <f>IF(M679="","",IF(M679="[FÓRMULA MANUAL]","",IFERROR(SUMPRODUCT((nNIA=M679)*(nCUENTA=1)*(COUNTIF(CONFIG_ASIGNATURAS!$B$7:$B$27,nASIG)&gt;0)*(nNOTA))/SUMPRODUCT((nNIA=M679)*(nCUENTA=1)*(COUNTIF(CONFIG_ASIGNATURAS!$B$7:$B$27,nASIG)&gt;0)*1),"")))</f>
        <v/>
      </c>
      <c r="T679" t="str">
        <f>IF(S679="","",IF(S679="[FÓRMULA MANUAL]","",IFERROR(AVERAGEIFS(nNOTA,nNIA,S679,nCUENTA,1,nASIG,"Armonía"),"")))</f>
        <v/>
      </c>
      <c r="U679" t="str">
        <f>IF(S679="","",IF(S679="[FÓRMULA MANUAL]","",IFERROR(AVERAGEIFS(nNOTA,nNIA,S679,nCUENTA,1,nASIG,"Orquesta/Banda/Conjunto"),"")))</f>
        <v/>
      </c>
      <c r="V679" t="str">
        <f>IF(S679="","",IF(S679="[FÓRMULA MANUAL]","",IFERROR(AVERAGEIFS(nNOTA,nNIA,S679,nCUENTA,1,nASIG,"Música de Cámara"),"")))</f>
        <v/>
      </c>
      <c r="W679" t="str">
        <f>IF(S679="","",IF(S679="[FÓRMULA MANUAL]","",IFERROR(SUMPRODUCT((nNIA=S679)*(nCUENTA=1)*(COUNTIF(CONFIG_ASIGNATURAS!$B$7:$B$27,nASIG)&gt;0)*(nNOTA))/SUMPRODUCT((nNIA=S679)*(nCUENTA=1)*(COUNTIF(CONFIG_ASIGNATURAS!$B$7:$B$27,nASIG)&gt;0)*1),"")))</f>
        <v/>
      </c>
      <c r="Z679" t="str">
        <f>IF(Y679="","",IF(Y679="[FÓRMULA MANUAL]","",IFERROR(AVERAGEIFS(nNOTA,nNIA,Y679,nCUENTA,1,nASIG,"Análisis"),"")))</f>
        <v/>
      </c>
      <c r="AA679" t="str">
        <f>IF(Y679="","",IF(Y679="[FÓRMULA MANUAL]","",IFERROR(AVERAGEIFS(nNOTA,nNIA,Y679,nCUENTA,1,nASIG,"Orquesta/Banda/Conjunto"),"")))</f>
        <v/>
      </c>
      <c r="AB679" t="str">
        <f>IF(Y679="","",IF(Y679="[FÓRMULA MANUAL]","",IFERROR(AVERAGEIFS(nNOTA,nNIA,Y679,nCUENTA,1,nASIG,"Música de Cámara"),"")))</f>
        <v/>
      </c>
      <c r="AC679" t="str">
        <f>IF(Y679="","",IF(Y679="[FÓRMULA MANUAL]","",IFERROR(SUMPRODUCT((nNIA=Y679)*(nCUENTA=1)*(COUNTIF(CONFIG_ASIGNATURAS!$B$7:$B$27,nASIG)&gt;0)*(nNOTA))/SUMPRODUCT((nNIA=Y679)*(nCUENTA=1)*(COUNTIF(CONFIG_ASIGNATURAS!$B$7:$B$27,nASIG)&gt;0)*1),"")))</f>
        <v/>
      </c>
      <c r="AF679" t="str">
        <f>IF(AE679="","",IF(AE679="[FÓRMULA MANUAL]","",IFERROR(AVERAGEIFS(nNOTA,nNIA,AE679,nCUENTA,1,nASIG,"Análisis"),"")))</f>
        <v/>
      </c>
      <c r="AG679" t="str">
        <f>IF(AE679="","",IF(AE679="[FÓRMULA MANUAL]","",IFERROR(AVERAGEIFS(nNOTA,nNIA,AE679,nCUENTA,1,nASIG,"Orquesta/Banda/Conjunto"),"")))</f>
        <v/>
      </c>
      <c r="AH679" t="str">
        <f>IF(AE679="","",IF(AE679="[FÓRMULA MANUAL]","",IFERROR(AVERAGEIFS(nNOTA,nNIA,AE679,nCUENTA,1,nASIG,"Música de Cámara"),"")))</f>
        <v/>
      </c>
      <c r="AI679" t="str">
        <f>IF(AE679="","",IF(AE679="[FÓRMULA MANUAL]","",IFERROR(SUMPRODUCT((nNIA=AE679)*(nCUENTA=1)*(COUNTIF(CONFIG_ASIGNATURAS!$B$7:$B$27,nASIG)&gt;0)*(nNOTA))/SUMPRODUCT((nNIA=AE679)*(nCUENTA=1)*(COUNTIF(CONFIG_ASIGNATURAS!$B$7:$B$27,nASIG)&gt;0)*1),"")))</f>
        <v/>
      </c>
    </row>
    <row r="680" spans="2:35" x14ac:dyDescent="0.2">
      <c r="B680" t="str">
        <f>IF(A680="","",IF(A680="[FÓRMULA MANUAL]","",IFERROR(AVERAGEIFS(nNOTA,nNIA,A680,nCUENTA,1,nASIG,"Lenguaje Musical"),"")))</f>
        <v/>
      </c>
      <c r="C680" t="str">
        <f>IF(A680="","",IF(A680="[FÓRMULA MANUAL]","",IFERROR(AVERAGEIFS(nNOTA,nNIA,A680,nCUENTA,1,nASIG,"Orquesta/Banda/Conjunto"),"")))</f>
        <v/>
      </c>
      <c r="D680" t="str">
        <f>IF(A680="","",IF(A680="[FÓRMULA MANUAL]","",IFERROR(AVERAGEIFS(nNOTA,nNIA,A680,nCUENTA,1,nASIG,"Conjunto"),"")))</f>
        <v/>
      </c>
      <c r="E680" t="str">
        <f>IF(A680="","",IF(A680="[FÓRMULA MANUAL]","",IFERROR(SUMPRODUCT((nNIA=A680)*(nCUENTA=1)*(COUNTIF(CONFIG_ASIGNATURAS!$B$7:$B$27,nASIG)&gt;0)*(nNOTA))/SUMPRODUCT((nNIA=A680)*(nCUENTA=1)*(COUNTIF(CONFIG_ASIGNATURAS!$B$7:$B$27,nASIG)&gt;0)*1),"")))</f>
        <v/>
      </c>
      <c r="H680" t="str">
        <f>IF(G680="","",IF(G680="[FÓRMULA MANUAL]","",IFERROR(AVERAGEIFS(nNOTA,nNIA,G680,nCUENTA,1,nASIG,"Lenguaje Musical"),"")))</f>
        <v/>
      </c>
      <c r="I680" t="str">
        <f>IF(G680="","",IF(G680="[FÓRMULA MANUAL]","",IFERROR(AVERAGEIFS(nNOTA,nNIA,G680,nCUENTA,1,nASIG,"Orquesta/Banda/Conjunto"),"")))</f>
        <v/>
      </c>
      <c r="J680" t="str">
        <f>IF(G680="","",IF(G680="[FÓRMULA MANUAL]","",IFERROR(AVERAGEIFS(nNOTA,nNIA,G680,nCUENTA,1,nASIG,"Conjunto"),"")))</f>
        <v/>
      </c>
      <c r="K680" t="str">
        <f>IF(G680="","",IF(G680="[FÓRMULA MANUAL]","",IFERROR(SUMPRODUCT((nNIA=G680)*(nCUENTA=1)*(COUNTIF(CONFIG_ASIGNATURAS!$B$7:$B$27,nASIG)&gt;0)*(nNOTA))/SUMPRODUCT((nNIA=G680)*(nCUENTA=1)*(COUNTIF(CONFIG_ASIGNATURAS!$B$7:$B$27,nASIG)&gt;0)*1),"")))</f>
        <v/>
      </c>
      <c r="N680" t="str">
        <f>IF(M680="","",IF(M680="[FÓRMULA MANUAL]","",IFERROR(AVERAGEIFS(nNOTA,nNIA,M680,nCUENTA,1,nASIG,"Armonía"),"")))</f>
        <v/>
      </c>
      <c r="O680" t="str">
        <f>IF(M680="","",IF(M680="[FÓRMULA MANUAL]","",IFERROR(AVERAGEIFS(nNOTA,nNIA,M680,nCUENTA,1,nASIG,"Orquesta/Banda/Conjunto"),"")))</f>
        <v/>
      </c>
      <c r="P680" t="str">
        <f>IF(M680="","",IF(M680="[FÓRMULA MANUAL]","",IFERROR(AVERAGEIFS(nNOTA,nNIA,M680,nCUENTA,1,nASIG,"Música de Cámara"),"")))</f>
        <v/>
      </c>
      <c r="Q680" t="str">
        <f>IF(M680="","",IF(M680="[FÓRMULA MANUAL]","",IFERROR(SUMPRODUCT((nNIA=M680)*(nCUENTA=1)*(COUNTIF(CONFIG_ASIGNATURAS!$B$7:$B$27,nASIG)&gt;0)*(nNOTA))/SUMPRODUCT((nNIA=M680)*(nCUENTA=1)*(COUNTIF(CONFIG_ASIGNATURAS!$B$7:$B$27,nASIG)&gt;0)*1),"")))</f>
        <v/>
      </c>
      <c r="T680" t="str">
        <f>IF(S680="","",IF(S680="[FÓRMULA MANUAL]","",IFERROR(AVERAGEIFS(nNOTA,nNIA,S680,nCUENTA,1,nASIG,"Armonía"),"")))</f>
        <v/>
      </c>
      <c r="U680" t="str">
        <f>IF(S680="","",IF(S680="[FÓRMULA MANUAL]","",IFERROR(AVERAGEIFS(nNOTA,nNIA,S680,nCUENTA,1,nASIG,"Orquesta/Banda/Conjunto"),"")))</f>
        <v/>
      </c>
      <c r="V680" t="str">
        <f>IF(S680="","",IF(S680="[FÓRMULA MANUAL]","",IFERROR(AVERAGEIFS(nNOTA,nNIA,S680,nCUENTA,1,nASIG,"Música de Cámara"),"")))</f>
        <v/>
      </c>
      <c r="W680" t="str">
        <f>IF(S680="","",IF(S680="[FÓRMULA MANUAL]","",IFERROR(SUMPRODUCT((nNIA=S680)*(nCUENTA=1)*(COUNTIF(CONFIG_ASIGNATURAS!$B$7:$B$27,nASIG)&gt;0)*(nNOTA))/SUMPRODUCT((nNIA=S680)*(nCUENTA=1)*(COUNTIF(CONFIG_ASIGNATURAS!$B$7:$B$27,nASIG)&gt;0)*1),"")))</f>
        <v/>
      </c>
      <c r="Z680" t="str">
        <f>IF(Y680="","",IF(Y680="[FÓRMULA MANUAL]","",IFERROR(AVERAGEIFS(nNOTA,nNIA,Y680,nCUENTA,1,nASIG,"Análisis"),"")))</f>
        <v/>
      </c>
      <c r="AA680" t="str">
        <f>IF(Y680="","",IF(Y680="[FÓRMULA MANUAL]","",IFERROR(AVERAGEIFS(nNOTA,nNIA,Y680,nCUENTA,1,nASIG,"Orquesta/Banda/Conjunto"),"")))</f>
        <v/>
      </c>
      <c r="AB680" t="str">
        <f>IF(Y680="","",IF(Y680="[FÓRMULA MANUAL]","",IFERROR(AVERAGEIFS(nNOTA,nNIA,Y680,nCUENTA,1,nASIG,"Música de Cámara"),"")))</f>
        <v/>
      </c>
      <c r="AC680" t="str">
        <f>IF(Y680="","",IF(Y680="[FÓRMULA MANUAL]","",IFERROR(SUMPRODUCT((nNIA=Y680)*(nCUENTA=1)*(COUNTIF(CONFIG_ASIGNATURAS!$B$7:$B$27,nASIG)&gt;0)*(nNOTA))/SUMPRODUCT((nNIA=Y680)*(nCUENTA=1)*(COUNTIF(CONFIG_ASIGNATURAS!$B$7:$B$27,nASIG)&gt;0)*1),"")))</f>
        <v/>
      </c>
      <c r="AF680" t="str">
        <f>IF(AE680="","",IF(AE680="[FÓRMULA MANUAL]","",IFERROR(AVERAGEIFS(nNOTA,nNIA,AE680,nCUENTA,1,nASIG,"Análisis"),"")))</f>
        <v/>
      </c>
      <c r="AG680" t="str">
        <f>IF(AE680="","",IF(AE680="[FÓRMULA MANUAL]","",IFERROR(AVERAGEIFS(nNOTA,nNIA,AE680,nCUENTA,1,nASIG,"Orquesta/Banda/Conjunto"),"")))</f>
        <v/>
      </c>
      <c r="AH680" t="str">
        <f>IF(AE680="","",IF(AE680="[FÓRMULA MANUAL]","",IFERROR(AVERAGEIFS(nNOTA,nNIA,AE680,nCUENTA,1,nASIG,"Música de Cámara"),"")))</f>
        <v/>
      </c>
      <c r="AI680" t="str">
        <f>IF(AE680="","",IF(AE680="[FÓRMULA MANUAL]","",IFERROR(SUMPRODUCT((nNIA=AE680)*(nCUENTA=1)*(COUNTIF(CONFIG_ASIGNATURAS!$B$7:$B$27,nASIG)&gt;0)*(nNOTA))/SUMPRODUCT((nNIA=AE680)*(nCUENTA=1)*(COUNTIF(CONFIG_ASIGNATURAS!$B$7:$B$27,nASIG)&gt;0)*1),"")))</f>
        <v/>
      </c>
    </row>
    <row r="681" spans="2:35" x14ac:dyDescent="0.2">
      <c r="B681" t="str">
        <f>IF(A681="","",IF(A681="[FÓRMULA MANUAL]","",IFERROR(AVERAGEIFS(nNOTA,nNIA,A681,nCUENTA,1,nASIG,"Lenguaje Musical"),"")))</f>
        <v/>
      </c>
      <c r="C681" t="str">
        <f>IF(A681="","",IF(A681="[FÓRMULA MANUAL]","",IFERROR(AVERAGEIFS(nNOTA,nNIA,A681,nCUENTA,1,nASIG,"Orquesta/Banda/Conjunto"),"")))</f>
        <v/>
      </c>
      <c r="D681" t="str">
        <f>IF(A681="","",IF(A681="[FÓRMULA MANUAL]","",IFERROR(AVERAGEIFS(nNOTA,nNIA,A681,nCUENTA,1,nASIG,"Conjunto"),"")))</f>
        <v/>
      </c>
      <c r="E681" t="str">
        <f>IF(A681="","",IF(A681="[FÓRMULA MANUAL]","",IFERROR(SUMPRODUCT((nNIA=A681)*(nCUENTA=1)*(COUNTIF(CONFIG_ASIGNATURAS!$B$7:$B$27,nASIG)&gt;0)*(nNOTA))/SUMPRODUCT((nNIA=A681)*(nCUENTA=1)*(COUNTIF(CONFIG_ASIGNATURAS!$B$7:$B$27,nASIG)&gt;0)*1),"")))</f>
        <v/>
      </c>
      <c r="H681" t="str">
        <f>IF(G681="","",IF(G681="[FÓRMULA MANUAL]","",IFERROR(AVERAGEIFS(nNOTA,nNIA,G681,nCUENTA,1,nASIG,"Lenguaje Musical"),"")))</f>
        <v/>
      </c>
      <c r="I681" t="str">
        <f>IF(G681="","",IF(G681="[FÓRMULA MANUAL]","",IFERROR(AVERAGEIFS(nNOTA,nNIA,G681,nCUENTA,1,nASIG,"Orquesta/Banda/Conjunto"),"")))</f>
        <v/>
      </c>
      <c r="J681" t="str">
        <f>IF(G681="","",IF(G681="[FÓRMULA MANUAL]","",IFERROR(AVERAGEIFS(nNOTA,nNIA,G681,nCUENTA,1,nASIG,"Conjunto"),"")))</f>
        <v/>
      </c>
      <c r="K681" t="str">
        <f>IF(G681="","",IF(G681="[FÓRMULA MANUAL]","",IFERROR(SUMPRODUCT((nNIA=G681)*(nCUENTA=1)*(COUNTIF(CONFIG_ASIGNATURAS!$B$7:$B$27,nASIG)&gt;0)*(nNOTA))/SUMPRODUCT((nNIA=G681)*(nCUENTA=1)*(COUNTIF(CONFIG_ASIGNATURAS!$B$7:$B$27,nASIG)&gt;0)*1),"")))</f>
        <v/>
      </c>
      <c r="N681" t="str">
        <f>IF(M681="","",IF(M681="[FÓRMULA MANUAL]","",IFERROR(AVERAGEIFS(nNOTA,nNIA,M681,nCUENTA,1,nASIG,"Armonía"),"")))</f>
        <v/>
      </c>
      <c r="O681" t="str">
        <f>IF(M681="","",IF(M681="[FÓRMULA MANUAL]","",IFERROR(AVERAGEIFS(nNOTA,nNIA,M681,nCUENTA,1,nASIG,"Orquesta/Banda/Conjunto"),"")))</f>
        <v/>
      </c>
      <c r="P681" t="str">
        <f>IF(M681="","",IF(M681="[FÓRMULA MANUAL]","",IFERROR(AVERAGEIFS(nNOTA,nNIA,M681,nCUENTA,1,nASIG,"Música de Cámara"),"")))</f>
        <v/>
      </c>
      <c r="Q681" t="str">
        <f>IF(M681="","",IF(M681="[FÓRMULA MANUAL]","",IFERROR(SUMPRODUCT((nNIA=M681)*(nCUENTA=1)*(COUNTIF(CONFIG_ASIGNATURAS!$B$7:$B$27,nASIG)&gt;0)*(nNOTA))/SUMPRODUCT((nNIA=M681)*(nCUENTA=1)*(COUNTIF(CONFIG_ASIGNATURAS!$B$7:$B$27,nASIG)&gt;0)*1),"")))</f>
        <v/>
      </c>
      <c r="T681" t="str">
        <f>IF(S681="","",IF(S681="[FÓRMULA MANUAL]","",IFERROR(AVERAGEIFS(nNOTA,nNIA,S681,nCUENTA,1,nASIG,"Armonía"),"")))</f>
        <v/>
      </c>
      <c r="U681" t="str">
        <f>IF(S681="","",IF(S681="[FÓRMULA MANUAL]","",IFERROR(AVERAGEIFS(nNOTA,nNIA,S681,nCUENTA,1,nASIG,"Orquesta/Banda/Conjunto"),"")))</f>
        <v/>
      </c>
      <c r="V681" t="str">
        <f>IF(S681="","",IF(S681="[FÓRMULA MANUAL]","",IFERROR(AVERAGEIFS(nNOTA,nNIA,S681,nCUENTA,1,nASIG,"Música de Cámara"),"")))</f>
        <v/>
      </c>
      <c r="W681" t="str">
        <f>IF(S681="","",IF(S681="[FÓRMULA MANUAL]","",IFERROR(SUMPRODUCT((nNIA=S681)*(nCUENTA=1)*(COUNTIF(CONFIG_ASIGNATURAS!$B$7:$B$27,nASIG)&gt;0)*(nNOTA))/SUMPRODUCT((nNIA=S681)*(nCUENTA=1)*(COUNTIF(CONFIG_ASIGNATURAS!$B$7:$B$27,nASIG)&gt;0)*1),"")))</f>
        <v/>
      </c>
      <c r="Z681" t="str">
        <f>IF(Y681="","",IF(Y681="[FÓRMULA MANUAL]","",IFERROR(AVERAGEIFS(nNOTA,nNIA,Y681,nCUENTA,1,nASIG,"Análisis"),"")))</f>
        <v/>
      </c>
      <c r="AA681" t="str">
        <f>IF(Y681="","",IF(Y681="[FÓRMULA MANUAL]","",IFERROR(AVERAGEIFS(nNOTA,nNIA,Y681,nCUENTA,1,nASIG,"Orquesta/Banda/Conjunto"),"")))</f>
        <v/>
      </c>
      <c r="AB681" t="str">
        <f>IF(Y681="","",IF(Y681="[FÓRMULA MANUAL]","",IFERROR(AVERAGEIFS(nNOTA,nNIA,Y681,nCUENTA,1,nASIG,"Música de Cámara"),"")))</f>
        <v/>
      </c>
      <c r="AC681" t="str">
        <f>IF(Y681="","",IF(Y681="[FÓRMULA MANUAL]","",IFERROR(SUMPRODUCT((nNIA=Y681)*(nCUENTA=1)*(COUNTIF(CONFIG_ASIGNATURAS!$B$7:$B$27,nASIG)&gt;0)*(nNOTA))/SUMPRODUCT((nNIA=Y681)*(nCUENTA=1)*(COUNTIF(CONFIG_ASIGNATURAS!$B$7:$B$27,nASIG)&gt;0)*1),"")))</f>
        <v/>
      </c>
      <c r="AF681" t="str">
        <f>IF(AE681="","",IF(AE681="[FÓRMULA MANUAL]","",IFERROR(AVERAGEIFS(nNOTA,nNIA,AE681,nCUENTA,1,nASIG,"Análisis"),"")))</f>
        <v/>
      </c>
      <c r="AG681" t="str">
        <f>IF(AE681="","",IF(AE681="[FÓRMULA MANUAL]","",IFERROR(AVERAGEIFS(nNOTA,nNIA,AE681,nCUENTA,1,nASIG,"Orquesta/Banda/Conjunto"),"")))</f>
        <v/>
      </c>
      <c r="AH681" t="str">
        <f>IF(AE681="","",IF(AE681="[FÓRMULA MANUAL]","",IFERROR(AVERAGEIFS(nNOTA,nNIA,AE681,nCUENTA,1,nASIG,"Música de Cámara"),"")))</f>
        <v/>
      </c>
      <c r="AI681" t="str">
        <f>IF(AE681="","",IF(AE681="[FÓRMULA MANUAL]","",IFERROR(SUMPRODUCT((nNIA=AE681)*(nCUENTA=1)*(COUNTIF(CONFIG_ASIGNATURAS!$B$7:$B$27,nASIG)&gt;0)*(nNOTA))/SUMPRODUCT((nNIA=AE681)*(nCUENTA=1)*(COUNTIF(CONFIG_ASIGNATURAS!$B$7:$B$27,nASIG)&gt;0)*1),"")))</f>
        <v/>
      </c>
    </row>
    <row r="682" spans="2:35" x14ac:dyDescent="0.2">
      <c r="B682" t="str">
        <f>IF(A682="","",IF(A682="[FÓRMULA MANUAL]","",IFERROR(AVERAGEIFS(nNOTA,nNIA,A682,nCUENTA,1,nASIG,"Lenguaje Musical"),"")))</f>
        <v/>
      </c>
      <c r="C682" t="str">
        <f>IF(A682="","",IF(A682="[FÓRMULA MANUAL]","",IFERROR(AVERAGEIFS(nNOTA,nNIA,A682,nCUENTA,1,nASIG,"Orquesta/Banda/Conjunto"),"")))</f>
        <v/>
      </c>
      <c r="D682" t="str">
        <f>IF(A682="","",IF(A682="[FÓRMULA MANUAL]","",IFERROR(AVERAGEIFS(nNOTA,nNIA,A682,nCUENTA,1,nASIG,"Conjunto"),"")))</f>
        <v/>
      </c>
      <c r="E682" t="str">
        <f>IF(A682="","",IF(A682="[FÓRMULA MANUAL]","",IFERROR(SUMPRODUCT((nNIA=A682)*(nCUENTA=1)*(COUNTIF(CONFIG_ASIGNATURAS!$B$7:$B$27,nASIG)&gt;0)*(nNOTA))/SUMPRODUCT((nNIA=A682)*(nCUENTA=1)*(COUNTIF(CONFIG_ASIGNATURAS!$B$7:$B$27,nASIG)&gt;0)*1),"")))</f>
        <v/>
      </c>
      <c r="H682" t="str">
        <f>IF(G682="","",IF(G682="[FÓRMULA MANUAL]","",IFERROR(AVERAGEIFS(nNOTA,nNIA,G682,nCUENTA,1,nASIG,"Lenguaje Musical"),"")))</f>
        <v/>
      </c>
      <c r="I682" t="str">
        <f>IF(G682="","",IF(G682="[FÓRMULA MANUAL]","",IFERROR(AVERAGEIFS(nNOTA,nNIA,G682,nCUENTA,1,nASIG,"Orquesta/Banda/Conjunto"),"")))</f>
        <v/>
      </c>
      <c r="J682" t="str">
        <f>IF(G682="","",IF(G682="[FÓRMULA MANUAL]","",IFERROR(AVERAGEIFS(nNOTA,nNIA,G682,nCUENTA,1,nASIG,"Conjunto"),"")))</f>
        <v/>
      </c>
      <c r="K682" t="str">
        <f>IF(G682="","",IF(G682="[FÓRMULA MANUAL]","",IFERROR(SUMPRODUCT((nNIA=G682)*(nCUENTA=1)*(COUNTIF(CONFIG_ASIGNATURAS!$B$7:$B$27,nASIG)&gt;0)*(nNOTA))/SUMPRODUCT((nNIA=G682)*(nCUENTA=1)*(COUNTIF(CONFIG_ASIGNATURAS!$B$7:$B$27,nASIG)&gt;0)*1),"")))</f>
        <v/>
      </c>
      <c r="N682" t="str">
        <f>IF(M682="","",IF(M682="[FÓRMULA MANUAL]","",IFERROR(AVERAGEIFS(nNOTA,nNIA,M682,nCUENTA,1,nASIG,"Armonía"),"")))</f>
        <v/>
      </c>
      <c r="O682" t="str">
        <f>IF(M682="","",IF(M682="[FÓRMULA MANUAL]","",IFERROR(AVERAGEIFS(nNOTA,nNIA,M682,nCUENTA,1,nASIG,"Orquesta/Banda/Conjunto"),"")))</f>
        <v/>
      </c>
      <c r="P682" t="str">
        <f>IF(M682="","",IF(M682="[FÓRMULA MANUAL]","",IFERROR(AVERAGEIFS(nNOTA,nNIA,M682,nCUENTA,1,nASIG,"Música de Cámara"),"")))</f>
        <v/>
      </c>
      <c r="Q682" t="str">
        <f>IF(M682="","",IF(M682="[FÓRMULA MANUAL]","",IFERROR(SUMPRODUCT((nNIA=M682)*(nCUENTA=1)*(COUNTIF(CONFIG_ASIGNATURAS!$B$7:$B$27,nASIG)&gt;0)*(nNOTA))/SUMPRODUCT((nNIA=M682)*(nCUENTA=1)*(COUNTIF(CONFIG_ASIGNATURAS!$B$7:$B$27,nASIG)&gt;0)*1),"")))</f>
        <v/>
      </c>
      <c r="T682" t="str">
        <f>IF(S682="","",IF(S682="[FÓRMULA MANUAL]","",IFERROR(AVERAGEIFS(nNOTA,nNIA,S682,nCUENTA,1,nASIG,"Armonía"),"")))</f>
        <v/>
      </c>
      <c r="U682" t="str">
        <f>IF(S682="","",IF(S682="[FÓRMULA MANUAL]","",IFERROR(AVERAGEIFS(nNOTA,nNIA,S682,nCUENTA,1,nASIG,"Orquesta/Banda/Conjunto"),"")))</f>
        <v/>
      </c>
      <c r="V682" t="str">
        <f>IF(S682="","",IF(S682="[FÓRMULA MANUAL]","",IFERROR(AVERAGEIFS(nNOTA,nNIA,S682,nCUENTA,1,nASIG,"Música de Cámara"),"")))</f>
        <v/>
      </c>
      <c r="W682" t="str">
        <f>IF(S682="","",IF(S682="[FÓRMULA MANUAL]","",IFERROR(SUMPRODUCT((nNIA=S682)*(nCUENTA=1)*(COUNTIF(CONFIG_ASIGNATURAS!$B$7:$B$27,nASIG)&gt;0)*(nNOTA))/SUMPRODUCT((nNIA=S682)*(nCUENTA=1)*(COUNTIF(CONFIG_ASIGNATURAS!$B$7:$B$27,nASIG)&gt;0)*1),"")))</f>
        <v/>
      </c>
      <c r="Z682" t="str">
        <f>IF(Y682="","",IF(Y682="[FÓRMULA MANUAL]","",IFERROR(AVERAGEIFS(nNOTA,nNIA,Y682,nCUENTA,1,nASIG,"Análisis"),"")))</f>
        <v/>
      </c>
      <c r="AA682" t="str">
        <f>IF(Y682="","",IF(Y682="[FÓRMULA MANUAL]","",IFERROR(AVERAGEIFS(nNOTA,nNIA,Y682,nCUENTA,1,nASIG,"Orquesta/Banda/Conjunto"),"")))</f>
        <v/>
      </c>
      <c r="AB682" t="str">
        <f>IF(Y682="","",IF(Y682="[FÓRMULA MANUAL]","",IFERROR(AVERAGEIFS(nNOTA,nNIA,Y682,nCUENTA,1,nASIG,"Música de Cámara"),"")))</f>
        <v/>
      </c>
      <c r="AC682" t="str">
        <f>IF(Y682="","",IF(Y682="[FÓRMULA MANUAL]","",IFERROR(SUMPRODUCT((nNIA=Y682)*(nCUENTA=1)*(COUNTIF(CONFIG_ASIGNATURAS!$B$7:$B$27,nASIG)&gt;0)*(nNOTA))/SUMPRODUCT((nNIA=Y682)*(nCUENTA=1)*(COUNTIF(CONFIG_ASIGNATURAS!$B$7:$B$27,nASIG)&gt;0)*1),"")))</f>
        <v/>
      </c>
      <c r="AF682" t="str">
        <f>IF(AE682="","",IF(AE682="[FÓRMULA MANUAL]","",IFERROR(AVERAGEIFS(nNOTA,nNIA,AE682,nCUENTA,1,nASIG,"Análisis"),"")))</f>
        <v/>
      </c>
      <c r="AG682" t="str">
        <f>IF(AE682="","",IF(AE682="[FÓRMULA MANUAL]","",IFERROR(AVERAGEIFS(nNOTA,nNIA,AE682,nCUENTA,1,nASIG,"Orquesta/Banda/Conjunto"),"")))</f>
        <v/>
      </c>
      <c r="AH682" t="str">
        <f>IF(AE682="","",IF(AE682="[FÓRMULA MANUAL]","",IFERROR(AVERAGEIFS(nNOTA,nNIA,AE682,nCUENTA,1,nASIG,"Música de Cámara"),"")))</f>
        <v/>
      </c>
      <c r="AI682" t="str">
        <f>IF(AE682="","",IF(AE682="[FÓRMULA MANUAL]","",IFERROR(SUMPRODUCT((nNIA=AE682)*(nCUENTA=1)*(COUNTIF(CONFIG_ASIGNATURAS!$B$7:$B$27,nASIG)&gt;0)*(nNOTA))/SUMPRODUCT((nNIA=AE682)*(nCUENTA=1)*(COUNTIF(CONFIG_ASIGNATURAS!$B$7:$B$27,nASIG)&gt;0)*1),"")))</f>
        <v/>
      </c>
    </row>
    <row r="683" spans="2:35" x14ac:dyDescent="0.2">
      <c r="B683" t="str">
        <f>IF(A683="","",IF(A683="[FÓRMULA MANUAL]","",IFERROR(AVERAGEIFS(nNOTA,nNIA,A683,nCUENTA,1,nASIG,"Lenguaje Musical"),"")))</f>
        <v/>
      </c>
      <c r="C683" t="str">
        <f>IF(A683="","",IF(A683="[FÓRMULA MANUAL]","",IFERROR(AVERAGEIFS(nNOTA,nNIA,A683,nCUENTA,1,nASIG,"Orquesta/Banda/Conjunto"),"")))</f>
        <v/>
      </c>
      <c r="D683" t="str">
        <f>IF(A683="","",IF(A683="[FÓRMULA MANUAL]","",IFERROR(AVERAGEIFS(nNOTA,nNIA,A683,nCUENTA,1,nASIG,"Conjunto"),"")))</f>
        <v/>
      </c>
      <c r="E683" t="str">
        <f>IF(A683="","",IF(A683="[FÓRMULA MANUAL]","",IFERROR(SUMPRODUCT((nNIA=A683)*(nCUENTA=1)*(COUNTIF(CONFIG_ASIGNATURAS!$B$7:$B$27,nASIG)&gt;0)*(nNOTA))/SUMPRODUCT((nNIA=A683)*(nCUENTA=1)*(COUNTIF(CONFIG_ASIGNATURAS!$B$7:$B$27,nASIG)&gt;0)*1),"")))</f>
        <v/>
      </c>
      <c r="H683" t="str">
        <f>IF(G683="","",IF(G683="[FÓRMULA MANUAL]","",IFERROR(AVERAGEIFS(nNOTA,nNIA,G683,nCUENTA,1,nASIG,"Lenguaje Musical"),"")))</f>
        <v/>
      </c>
      <c r="I683" t="str">
        <f>IF(G683="","",IF(G683="[FÓRMULA MANUAL]","",IFERROR(AVERAGEIFS(nNOTA,nNIA,G683,nCUENTA,1,nASIG,"Orquesta/Banda/Conjunto"),"")))</f>
        <v/>
      </c>
      <c r="J683" t="str">
        <f>IF(G683="","",IF(G683="[FÓRMULA MANUAL]","",IFERROR(AVERAGEIFS(nNOTA,nNIA,G683,nCUENTA,1,nASIG,"Conjunto"),"")))</f>
        <v/>
      </c>
      <c r="K683" t="str">
        <f>IF(G683="","",IF(G683="[FÓRMULA MANUAL]","",IFERROR(SUMPRODUCT((nNIA=G683)*(nCUENTA=1)*(COUNTIF(CONFIG_ASIGNATURAS!$B$7:$B$27,nASIG)&gt;0)*(nNOTA))/SUMPRODUCT((nNIA=G683)*(nCUENTA=1)*(COUNTIF(CONFIG_ASIGNATURAS!$B$7:$B$27,nASIG)&gt;0)*1),"")))</f>
        <v/>
      </c>
      <c r="N683" t="str">
        <f>IF(M683="","",IF(M683="[FÓRMULA MANUAL]","",IFERROR(AVERAGEIFS(nNOTA,nNIA,M683,nCUENTA,1,nASIG,"Armonía"),"")))</f>
        <v/>
      </c>
      <c r="O683" t="str">
        <f>IF(M683="","",IF(M683="[FÓRMULA MANUAL]","",IFERROR(AVERAGEIFS(nNOTA,nNIA,M683,nCUENTA,1,nASIG,"Orquesta/Banda/Conjunto"),"")))</f>
        <v/>
      </c>
      <c r="P683" t="str">
        <f>IF(M683="","",IF(M683="[FÓRMULA MANUAL]","",IFERROR(AVERAGEIFS(nNOTA,nNIA,M683,nCUENTA,1,nASIG,"Música de Cámara"),"")))</f>
        <v/>
      </c>
      <c r="Q683" t="str">
        <f>IF(M683="","",IF(M683="[FÓRMULA MANUAL]","",IFERROR(SUMPRODUCT((nNIA=M683)*(nCUENTA=1)*(COUNTIF(CONFIG_ASIGNATURAS!$B$7:$B$27,nASIG)&gt;0)*(nNOTA))/SUMPRODUCT((nNIA=M683)*(nCUENTA=1)*(COUNTIF(CONFIG_ASIGNATURAS!$B$7:$B$27,nASIG)&gt;0)*1),"")))</f>
        <v/>
      </c>
      <c r="T683" t="str">
        <f>IF(S683="","",IF(S683="[FÓRMULA MANUAL]","",IFERROR(AVERAGEIFS(nNOTA,nNIA,S683,nCUENTA,1,nASIG,"Armonía"),"")))</f>
        <v/>
      </c>
      <c r="U683" t="str">
        <f>IF(S683="","",IF(S683="[FÓRMULA MANUAL]","",IFERROR(AVERAGEIFS(nNOTA,nNIA,S683,nCUENTA,1,nASIG,"Orquesta/Banda/Conjunto"),"")))</f>
        <v/>
      </c>
      <c r="V683" t="str">
        <f>IF(S683="","",IF(S683="[FÓRMULA MANUAL]","",IFERROR(AVERAGEIFS(nNOTA,nNIA,S683,nCUENTA,1,nASIG,"Música de Cámara"),"")))</f>
        <v/>
      </c>
      <c r="W683" t="str">
        <f>IF(S683="","",IF(S683="[FÓRMULA MANUAL]","",IFERROR(SUMPRODUCT((nNIA=S683)*(nCUENTA=1)*(COUNTIF(CONFIG_ASIGNATURAS!$B$7:$B$27,nASIG)&gt;0)*(nNOTA))/SUMPRODUCT((nNIA=S683)*(nCUENTA=1)*(COUNTIF(CONFIG_ASIGNATURAS!$B$7:$B$27,nASIG)&gt;0)*1),"")))</f>
        <v/>
      </c>
      <c r="Z683" t="str">
        <f>IF(Y683="","",IF(Y683="[FÓRMULA MANUAL]","",IFERROR(AVERAGEIFS(nNOTA,nNIA,Y683,nCUENTA,1,nASIG,"Análisis"),"")))</f>
        <v/>
      </c>
      <c r="AA683" t="str">
        <f>IF(Y683="","",IF(Y683="[FÓRMULA MANUAL]","",IFERROR(AVERAGEIFS(nNOTA,nNIA,Y683,nCUENTA,1,nASIG,"Orquesta/Banda/Conjunto"),"")))</f>
        <v/>
      </c>
      <c r="AB683" t="str">
        <f>IF(Y683="","",IF(Y683="[FÓRMULA MANUAL]","",IFERROR(AVERAGEIFS(nNOTA,nNIA,Y683,nCUENTA,1,nASIG,"Música de Cámara"),"")))</f>
        <v/>
      </c>
      <c r="AC683" t="str">
        <f>IF(Y683="","",IF(Y683="[FÓRMULA MANUAL]","",IFERROR(SUMPRODUCT((nNIA=Y683)*(nCUENTA=1)*(COUNTIF(CONFIG_ASIGNATURAS!$B$7:$B$27,nASIG)&gt;0)*(nNOTA))/SUMPRODUCT((nNIA=Y683)*(nCUENTA=1)*(COUNTIF(CONFIG_ASIGNATURAS!$B$7:$B$27,nASIG)&gt;0)*1),"")))</f>
        <v/>
      </c>
      <c r="AF683" t="str">
        <f>IF(AE683="","",IF(AE683="[FÓRMULA MANUAL]","",IFERROR(AVERAGEIFS(nNOTA,nNIA,AE683,nCUENTA,1,nASIG,"Análisis"),"")))</f>
        <v/>
      </c>
      <c r="AG683" t="str">
        <f>IF(AE683="","",IF(AE683="[FÓRMULA MANUAL]","",IFERROR(AVERAGEIFS(nNOTA,nNIA,AE683,nCUENTA,1,nASIG,"Orquesta/Banda/Conjunto"),"")))</f>
        <v/>
      </c>
      <c r="AH683" t="str">
        <f>IF(AE683="","",IF(AE683="[FÓRMULA MANUAL]","",IFERROR(AVERAGEIFS(nNOTA,nNIA,AE683,nCUENTA,1,nASIG,"Música de Cámara"),"")))</f>
        <v/>
      </c>
      <c r="AI683" t="str">
        <f>IF(AE683="","",IF(AE683="[FÓRMULA MANUAL]","",IFERROR(SUMPRODUCT((nNIA=AE683)*(nCUENTA=1)*(COUNTIF(CONFIG_ASIGNATURAS!$B$7:$B$27,nASIG)&gt;0)*(nNOTA))/SUMPRODUCT((nNIA=AE683)*(nCUENTA=1)*(COUNTIF(CONFIG_ASIGNATURAS!$B$7:$B$27,nASIG)&gt;0)*1),"")))</f>
        <v/>
      </c>
    </row>
    <row r="684" spans="2:35" x14ac:dyDescent="0.2">
      <c r="B684" t="str">
        <f>IF(A684="","",IF(A684="[FÓRMULA MANUAL]","",IFERROR(AVERAGEIFS(nNOTA,nNIA,A684,nCUENTA,1,nASIG,"Lenguaje Musical"),"")))</f>
        <v/>
      </c>
      <c r="C684" t="str">
        <f>IF(A684="","",IF(A684="[FÓRMULA MANUAL]","",IFERROR(AVERAGEIFS(nNOTA,nNIA,A684,nCUENTA,1,nASIG,"Orquesta/Banda/Conjunto"),"")))</f>
        <v/>
      </c>
      <c r="D684" t="str">
        <f>IF(A684="","",IF(A684="[FÓRMULA MANUAL]","",IFERROR(AVERAGEIFS(nNOTA,nNIA,A684,nCUENTA,1,nASIG,"Conjunto"),"")))</f>
        <v/>
      </c>
      <c r="E684" t="str">
        <f>IF(A684="","",IF(A684="[FÓRMULA MANUAL]","",IFERROR(SUMPRODUCT((nNIA=A684)*(nCUENTA=1)*(COUNTIF(CONFIG_ASIGNATURAS!$B$7:$B$27,nASIG)&gt;0)*(nNOTA))/SUMPRODUCT((nNIA=A684)*(nCUENTA=1)*(COUNTIF(CONFIG_ASIGNATURAS!$B$7:$B$27,nASIG)&gt;0)*1),"")))</f>
        <v/>
      </c>
      <c r="H684" t="str">
        <f>IF(G684="","",IF(G684="[FÓRMULA MANUAL]","",IFERROR(AVERAGEIFS(nNOTA,nNIA,G684,nCUENTA,1,nASIG,"Lenguaje Musical"),"")))</f>
        <v/>
      </c>
      <c r="I684" t="str">
        <f>IF(G684="","",IF(G684="[FÓRMULA MANUAL]","",IFERROR(AVERAGEIFS(nNOTA,nNIA,G684,nCUENTA,1,nASIG,"Orquesta/Banda/Conjunto"),"")))</f>
        <v/>
      </c>
      <c r="J684" t="str">
        <f>IF(G684="","",IF(G684="[FÓRMULA MANUAL]","",IFERROR(AVERAGEIFS(nNOTA,nNIA,G684,nCUENTA,1,nASIG,"Conjunto"),"")))</f>
        <v/>
      </c>
      <c r="K684" t="str">
        <f>IF(G684="","",IF(G684="[FÓRMULA MANUAL]","",IFERROR(SUMPRODUCT((nNIA=G684)*(nCUENTA=1)*(COUNTIF(CONFIG_ASIGNATURAS!$B$7:$B$27,nASIG)&gt;0)*(nNOTA))/SUMPRODUCT((nNIA=G684)*(nCUENTA=1)*(COUNTIF(CONFIG_ASIGNATURAS!$B$7:$B$27,nASIG)&gt;0)*1),"")))</f>
        <v/>
      </c>
      <c r="N684" t="str">
        <f>IF(M684="","",IF(M684="[FÓRMULA MANUAL]","",IFERROR(AVERAGEIFS(nNOTA,nNIA,M684,nCUENTA,1,nASIG,"Armonía"),"")))</f>
        <v/>
      </c>
      <c r="O684" t="str">
        <f>IF(M684="","",IF(M684="[FÓRMULA MANUAL]","",IFERROR(AVERAGEIFS(nNOTA,nNIA,M684,nCUENTA,1,nASIG,"Orquesta/Banda/Conjunto"),"")))</f>
        <v/>
      </c>
      <c r="P684" t="str">
        <f>IF(M684="","",IF(M684="[FÓRMULA MANUAL]","",IFERROR(AVERAGEIFS(nNOTA,nNIA,M684,nCUENTA,1,nASIG,"Música de Cámara"),"")))</f>
        <v/>
      </c>
      <c r="Q684" t="str">
        <f>IF(M684="","",IF(M684="[FÓRMULA MANUAL]","",IFERROR(SUMPRODUCT((nNIA=M684)*(nCUENTA=1)*(COUNTIF(CONFIG_ASIGNATURAS!$B$7:$B$27,nASIG)&gt;0)*(nNOTA))/SUMPRODUCT((nNIA=M684)*(nCUENTA=1)*(COUNTIF(CONFIG_ASIGNATURAS!$B$7:$B$27,nASIG)&gt;0)*1),"")))</f>
        <v/>
      </c>
      <c r="T684" t="str">
        <f>IF(S684="","",IF(S684="[FÓRMULA MANUAL]","",IFERROR(AVERAGEIFS(nNOTA,nNIA,S684,nCUENTA,1,nASIG,"Armonía"),"")))</f>
        <v/>
      </c>
      <c r="U684" t="str">
        <f>IF(S684="","",IF(S684="[FÓRMULA MANUAL]","",IFERROR(AVERAGEIFS(nNOTA,nNIA,S684,nCUENTA,1,nASIG,"Orquesta/Banda/Conjunto"),"")))</f>
        <v/>
      </c>
      <c r="V684" t="str">
        <f>IF(S684="","",IF(S684="[FÓRMULA MANUAL]","",IFERROR(AVERAGEIFS(nNOTA,nNIA,S684,nCUENTA,1,nASIG,"Música de Cámara"),"")))</f>
        <v/>
      </c>
      <c r="W684" t="str">
        <f>IF(S684="","",IF(S684="[FÓRMULA MANUAL]","",IFERROR(SUMPRODUCT((nNIA=S684)*(nCUENTA=1)*(COUNTIF(CONFIG_ASIGNATURAS!$B$7:$B$27,nASIG)&gt;0)*(nNOTA))/SUMPRODUCT((nNIA=S684)*(nCUENTA=1)*(COUNTIF(CONFIG_ASIGNATURAS!$B$7:$B$27,nASIG)&gt;0)*1),"")))</f>
        <v/>
      </c>
      <c r="Z684" t="str">
        <f>IF(Y684="","",IF(Y684="[FÓRMULA MANUAL]","",IFERROR(AVERAGEIFS(nNOTA,nNIA,Y684,nCUENTA,1,nASIG,"Análisis"),"")))</f>
        <v/>
      </c>
      <c r="AA684" t="str">
        <f>IF(Y684="","",IF(Y684="[FÓRMULA MANUAL]","",IFERROR(AVERAGEIFS(nNOTA,nNIA,Y684,nCUENTA,1,nASIG,"Orquesta/Banda/Conjunto"),"")))</f>
        <v/>
      </c>
      <c r="AB684" t="str">
        <f>IF(Y684="","",IF(Y684="[FÓRMULA MANUAL]","",IFERROR(AVERAGEIFS(nNOTA,nNIA,Y684,nCUENTA,1,nASIG,"Música de Cámara"),"")))</f>
        <v/>
      </c>
      <c r="AC684" t="str">
        <f>IF(Y684="","",IF(Y684="[FÓRMULA MANUAL]","",IFERROR(SUMPRODUCT((nNIA=Y684)*(nCUENTA=1)*(COUNTIF(CONFIG_ASIGNATURAS!$B$7:$B$27,nASIG)&gt;0)*(nNOTA))/SUMPRODUCT((nNIA=Y684)*(nCUENTA=1)*(COUNTIF(CONFIG_ASIGNATURAS!$B$7:$B$27,nASIG)&gt;0)*1),"")))</f>
        <v/>
      </c>
      <c r="AF684" t="str">
        <f>IF(AE684="","",IF(AE684="[FÓRMULA MANUAL]","",IFERROR(AVERAGEIFS(nNOTA,nNIA,AE684,nCUENTA,1,nASIG,"Análisis"),"")))</f>
        <v/>
      </c>
      <c r="AG684" t="str">
        <f>IF(AE684="","",IF(AE684="[FÓRMULA MANUAL]","",IFERROR(AVERAGEIFS(nNOTA,nNIA,AE684,nCUENTA,1,nASIG,"Orquesta/Banda/Conjunto"),"")))</f>
        <v/>
      </c>
      <c r="AH684" t="str">
        <f>IF(AE684="","",IF(AE684="[FÓRMULA MANUAL]","",IFERROR(AVERAGEIFS(nNOTA,nNIA,AE684,nCUENTA,1,nASIG,"Música de Cámara"),"")))</f>
        <v/>
      </c>
      <c r="AI684" t="str">
        <f>IF(AE684="","",IF(AE684="[FÓRMULA MANUAL]","",IFERROR(SUMPRODUCT((nNIA=AE684)*(nCUENTA=1)*(COUNTIF(CONFIG_ASIGNATURAS!$B$7:$B$27,nASIG)&gt;0)*(nNOTA))/SUMPRODUCT((nNIA=AE684)*(nCUENTA=1)*(COUNTIF(CONFIG_ASIGNATURAS!$B$7:$B$27,nASIG)&gt;0)*1),"")))</f>
        <v/>
      </c>
    </row>
    <row r="685" spans="2:35" x14ac:dyDescent="0.2">
      <c r="B685" t="str">
        <f>IF(A685="","",IF(A685="[FÓRMULA MANUAL]","",IFERROR(AVERAGEIFS(nNOTA,nNIA,A685,nCUENTA,1,nASIG,"Lenguaje Musical"),"")))</f>
        <v/>
      </c>
      <c r="C685" t="str">
        <f>IF(A685="","",IF(A685="[FÓRMULA MANUAL]","",IFERROR(AVERAGEIFS(nNOTA,nNIA,A685,nCUENTA,1,nASIG,"Orquesta/Banda/Conjunto"),"")))</f>
        <v/>
      </c>
      <c r="D685" t="str">
        <f>IF(A685="","",IF(A685="[FÓRMULA MANUAL]","",IFERROR(AVERAGEIFS(nNOTA,nNIA,A685,nCUENTA,1,nASIG,"Conjunto"),"")))</f>
        <v/>
      </c>
      <c r="E685" t="str">
        <f>IF(A685="","",IF(A685="[FÓRMULA MANUAL]","",IFERROR(SUMPRODUCT((nNIA=A685)*(nCUENTA=1)*(COUNTIF(CONFIG_ASIGNATURAS!$B$7:$B$27,nASIG)&gt;0)*(nNOTA))/SUMPRODUCT((nNIA=A685)*(nCUENTA=1)*(COUNTIF(CONFIG_ASIGNATURAS!$B$7:$B$27,nASIG)&gt;0)*1),"")))</f>
        <v/>
      </c>
      <c r="H685" t="str">
        <f>IF(G685="","",IF(G685="[FÓRMULA MANUAL]","",IFERROR(AVERAGEIFS(nNOTA,nNIA,G685,nCUENTA,1,nASIG,"Lenguaje Musical"),"")))</f>
        <v/>
      </c>
      <c r="I685" t="str">
        <f>IF(G685="","",IF(G685="[FÓRMULA MANUAL]","",IFERROR(AVERAGEIFS(nNOTA,nNIA,G685,nCUENTA,1,nASIG,"Orquesta/Banda/Conjunto"),"")))</f>
        <v/>
      </c>
      <c r="J685" t="str">
        <f>IF(G685="","",IF(G685="[FÓRMULA MANUAL]","",IFERROR(AVERAGEIFS(nNOTA,nNIA,G685,nCUENTA,1,nASIG,"Conjunto"),"")))</f>
        <v/>
      </c>
      <c r="K685" t="str">
        <f>IF(G685="","",IF(G685="[FÓRMULA MANUAL]","",IFERROR(SUMPRODUCT((nNIA=G685)*(nCUENTA=1)*(COUNTIF(CONFIG_ASIGNATURAS!$B$7:$B$27,nASIG)&gt;0)*(nNOTA))/SUMPRODUCT((nNIA=G685)*(nCUENTA=1)*(COUNTIF(CONFIG_ASIGNATURAS!$B$7:$B$27,nASIG)&gt;0)*1),"")))</f>
        <v/>
      </c>
      <c r="N685" t="str">
        <f>IF(M685="","",IF(M685="[FÓRMULA MANUAL]","",IFERROR(AVERAGEIFS(nNOTA,nNIA,M685,nCUENTA,1,nASIG,"Armonía"),"")))</f>
        <v/>
      </c>
      <c r="O685" t="str">
        <f>IF(M685="","",IF(M685="[FÓRMULA MANUAL]","",IFERROR(AVERAGEIFS(nNOTA,nNIA,M685,nCUENTA,1,nASIG,"Orquesta/Banda/Conjunto"),"")))</f>
        <v/>
      </c>
      <c r="P685" t="str">
        <f>IF(M685="","",IF(M685="[FÓRMULA MANUAL]","",IFERROR(AVERAGEIFS(nNOTA,nNIA,M685,nCUENTA,1,nASIG,"Música de Cámara"),"")))</f>
        <v/>
      </c>
      <c r="Q685" t="str">
        <f>IF(M685="","",IF(M685="[FÓRMULA MANUAL]","",IFERROR(SUMPRODUCT((nNIA=M685)*(nCUENTA=1)*(COUNTIF(CONFIG_ASIGNATURAS!$B$7:$B$27,nASIG)&gt;0)*(nNOTA))/SUMPRODUCT((nNIA=M685)*(nCUENTA=1)*(COUNTIF(CONFIG_ASIGNATURAS!$B$7:$B$27,nASIG)&gt;0)*1),"")))</f>
        <v/>
      </c>
      <c r="T685" t="str">
        <f>IF(S685="","",IF(S685="[FÓRMULA MANUAL]","",IFERROR(AVERAGEIFS(nNOTA,nNIA,S685,nCUENTA,1,nASIG,"Armonía"),"")))</f>
        <v/>
      </c>
      <c r="U685" t="str">
        <f>IF(S685="","",IF(S685="[FÓRMULA MANUAL]","",IFERROR(AVERAGEIFS(nNOTA,nNIA,S685,nCUENTA,1,nASIG,"Orquesta/Banda/Conjunto"),"")))</f>
        <v/>
      </c>
      <c r="V685" t="str">
        <f>IF(S685="","",IF(S685="[FÓRMULA MANUAL]","",IFERROR(AVERAGEIFS(nNOTA,nNIA,S685,nCUENTA,1,nASIG,"Música de Cámara"),"")))</f>
        <v/>
      </c>
      <c r="W685" t="str">
        <f>IF(S685="","",IF(S685="[FÓRMULA MANUAL]","",IFERROR(SUMPRODUCT((nNIA=S685)*(nCUENTA=1)*(COUNTIF(CONFIG_ASIGNATURAS!$B$7:$B$27,nASIG)&gt;0)*(nNOTA))/SUMPRODUCT((nNIA=S685)*(nCUENTA=1)*(COUNTIF(CONFIG_ASIGNATURAS!$B$7:$B$27,nASIG)&gt;0)*1),"")))</f>
        <v/>
      </c>
      <c r="Z685" t="str">
        <f>IF(Y685="","",IF(Y685="[FÓRMULA MANUAL]","",IFERROR(AVERAGEIFS(nNOTA,nNIA,Y685,nCUENTA,1,nASIG,"Análisis"),"")))</f>
        <v/>
      </c>
      <c r="AA685" t="str">
        <f>IF(Y685="","",IF(Y685="[FÓRMULA MANUAL]","",IFERROR(AVERAGEIFS(nNOTA,nNIA,Y685,nCUENTA,1,nASIG,"Orquesta/Banda/Conjunto"),"")))</f>
        <v/>
      </c>
      <c r="AB685" t="str">
        <f>IF(Y685="","",IF(Y685="[FÓRMULA MANUAL]","",IFERROR(AVERAGEIFS(nNOTA,nNIA,Y685,nCUENTA,1,nASIG,"Música de Cámara"),"")))</f>
        <v/>
      </c>
      <c r="AC685" t="str">
        <f>IF(Y685="","",IF(Y685="[FÓRMULA MANUAL]","",IFERROR(SUMPRODUCT((nNIA=Y685)*(nCUENTA=1)*(COUNTIF(CONFIG_ASIGNATURAS!$B$7:$B$27,nASIG)&gt;0)*(nNOTA))/SUMPRODUCT((nNIA=Y685)*(nCUENTA=1)*(COUNTIF(CONFIG_ASIGNATURAS!$B$7:$B$27,nASIG)&gt;0)*1),"")))</f>
        <v/>
      </c>
      <c r="AF685" t="str">
        <f>IF(AE685="","",IF(AE685="[FÓRMULA MANUAL]","",IFERROR(AVERAGEIFS(nNOTA,nNIA,AE685,nCUENTA,1,nASIG,"Análisis"),"")))</f>
        <v/>
      </c>
      <c r="AG685" t="str">
        <f>IF(AE685="","",IF(AE685="[FÓRMULA MANUAL]","",IFERROR(AVERAGEIFS(nNOTA,nNIA,AE685,nCUENTA,1,nASIG,"Orquesta/Banda/Conjunto"),"")))</f>
        <v/>
      </c>
      <c r="AH685" t="str">
        <f>IF(AE685="","",IF(AE685="[FÓRMULA MANUAL]","",IFERROR(AVERAGEIFS(nNOTA,nNIA,AE685,nCUENTA,1,nASIG,"Música de Cámara"),"")))</f>
        <v/>
      </c>
      <c r="AI685" t="str">
        <f>IF(AE685="","",IF(AE685="[FÓRMULA MANUAL]","",IFERROR(SUMPRODUCT((nNIA=AE685)*(nCUENTA=1)*(COUNTIF(CONFIG_ASIGNATURAS!$B$7:$B$27,nASIG)&gt;0)*(nNOTA))/SUMPRODUCT((nNIA=AE685)*(nCUENTA=1)*(COUNTIF(CONFIG_ASIGNATURAS!$B$7:$B$27,nASIG)&gt;0)*1),"")))</f>
        <v/>
      </c>
    </row>
    <row r="686" spans="2:35" x14ac:dyDescent="0.2">
      <c r="B686" t="str">
        <f>IF(A686="","",IF(A686="[FÓRMULA MANUAL]","",IFERROR(AVERAGEIFS(nNOTA,nNIA,A686,nCUENTA,1,nASIG,"Lenguaje Musical"),"")))</f>
        <v/>
      </c>
      <c r="C686" t="str">
        <f>IF(A686="","",IF(A686="[FÓRMULA MANUAL]","",IFERROR(AVERAGEIFS(nNOTA,nNIA,A686,nCUENTA,1,nASIG,"Orquesta/Banda/Conjunto"),"")))</f>
        <v/>
      </c>
      <c r="D686" t="str">
        <f>IF(A686="","",IF(A686="[FÓRMULA MANUAL]","",IFERROR(AVERAGEIFS(nNOTA,nNIA,A686,nCUENTA,1,nASIG,"Conjunto"),"")))</f>
        <v/>
      </c>
      <c r="E686" t="str">
        <f>IF(A686="","",IF(A686="[FÓRMULA MANUAL]","",IFERROR(SUMPRODUCT((nNIA=A686)*(nCUENTA=1)*(COUNTIF(CONFIG_ASIGNATURAS!$B$7:$B$27,nASIG)&gt;0)*(nNOTA))/SUMPRODUCT((nNIA=A686)*(nCUENTA=1)*(COUNTIF(CONFIG_ASIGNATURAS!$B$7:$B$27,nASIG)&gt;0)*1),"")))</f>
        <v/>
      </c>
      <c r="H686" t="str">
        <f>IF(G686="","",IF(G686="[FÓRMULA MANUAL]","",IFERROR(AVERAGEIFS(nNOTA,nNIA,G686,nCUENTA,1,nASIG,"Lenguaje Musical"),"")))</f>
        <v/>
      </c>
      <c r="I686" t="str">
        <f>IF(G686="","",IF(G686="[FÓRMULA MANUAL]","",IFERROR(AVERAGEIFS(nNOTA,nNIA,G686,nCUENTA,1,nASIG,"Orquesta/Banda/Conjunto"),"")))</f>
        <v/>
      </c>
      <c r="J686" t="str">
        <f>IF(G686="","",IF(G686="[FÓRMULA MANUAL]","",IFERROR(AVERAGEIFS(nNOTA,nNIA,G686,nCUENTA,1,nASIG,"Conjunto"),"")))</f>
        <v/>
      </c>
      <c r="K686" t="str">
        <f>IF(G686="","",IF(G686="[FÓRMULA MANUAL]","",IFERROR(SUMPRODUCT((nNIA=G686)*(nCUENTA=1)*(COUNTIF(CONFIG_ASIGNATURAS!$B$7:$B$27,nASIG)&gt;0)*(nNOTA))/SUMPRODUCT((nNIA=G686)*(nCUENTA=1)*(COUNTIF(CONFIG_ASIGNATURAS!$B$7:$B$27,nASIG)&gt;0)*1),"")))</f>
        <v/>
      </c>
      <c r="N686" t="str">
        <f>IF(M686="","",IF(M686="[FÓRMULA MANUAL]","",IFERROR(AVERAGEIFS(nNOTA,nNIA,M686,nCUENTA,1,nASIG,"Armonía"),"")))</f>
        <v/>
      </c>
      <c r="O686" t="str">
        <f>IF(M686="","",IF(M686="[FÓRMULA MANUAL]","",IFERROR(AVERAGEIFS(nNOTA,nNIA,M686,nCUENTA,1,nASIG,"Orquesta/Banda/Conjunto"),"")))</f>
        <v/>
      </c>
      <c r="P686" t="str">
        <f>IF(M686="","",IF(M686="[FÓRMULA MANUAL]","",IFERROR(AVERAGEIFS(nNOTA,nNIA,M686,nCUENTA,1,nASIG,"Música de Cámara"),"")))</f>
        <v/>
      </c>
      <c r="Q686" t="str">
        <f>IF(M686="","",IF(M686="[FÓRMULA MANUAL]","",IFERROR(SUMPRODUCT((nNIA=M686)*(nCUENTA=1)*(COUNTIF(CONFIG_ASIGNATURAS!$B$7:$B$27,nASIG)&gt;0)*(nNOTA))/SUMPRODUCT((nNIA=M686)*(nCUENTA=1)*(COUNTIF(CONFIG_ASIGNATURAS!$B$7:$B$27,nASIG)&gt;0)*1),"")))</f>
        <v/>
      </c>
      <c r="T686" t="str">
        <f>IF(S686="","",IF(S686="[FÓRMULA MANUAL]","",IFERROR(AVERAGEIFS(nNOTA,nNIA,S686,nCUENTA,1,nASIG,"Armonía"),"")))</f>
        <v/>
      </c>
      <c r="U686" t="str">
        <f>IF(S686="","",IF(S686="[FÓRMULA MANUAL]","",IFERROR(AVERAGEIFS(nNOTA,nNIA,S686,nCUENTA,1,nASIG,"Orquesta/Banda/Conjunto"),"")))</f>
        <v/>
      </c>
      <c r="V686" t="str">
        <f>IF(S686="","",IF(S686="[FÓRMULA MANUAL]","",IFERROR(AVERAGEIFS(nNOTA,nNIA,S686,nCUENTA,1,nASIG,"Música de Cámara"),"")))</f>
        <v/>
      </c>
      <c r="W686" t="str">
        <f>IF(S686="","",IF(S686="[FÓRMULA MANUAL]","",IFERROR(SUMPRODUCT((nNIA=S686)*(nCUENTA=1)*(COUNTIF(CONFIG_ASIGNATURAS!$B$7:$B$27,nASIG)&gt;0)*(nNOTA))/SUMPRODUCT((nNIA=S686)*(nCUENTA=1)*(COUNTIF(CONFIG_ASIGNATURAS!$B$7:$B$27,nASIG)&gt;0)*1),"")))</f>
        <v/>
      </c>
      <c r="Z686" t="str">
        <f>IF(Y686="","",IF(Y686="[FÓRMULA MANUAL]","",IFERROR(AVERAGEIFS(nNOTA,nNIA,Y686,nCUENTA,1,nASIG,"Análisis"),"")))</f>
        <v/>
      </c>
      <c r="AA686" t="str">
        <f>IF(Y686="","",IF(Y686="[FÓRMULA MANUAL]","",IFERROR(AVERAGEIFS(nNOTA,nNIA,Y686,nCUENTA,1,nASIG,"Orquesta/Banda/Conjunto"),"")))</f>
        <v/>
      </c>
      <c r="AB686" t="str">
        <f>IF(Y686="","",IF(Y686="[FÓRMULA MANUAL]","",IFERROR(AVERAGEIFS(nNOTA,nNIA,Y686,nCUENTA,1,nASIG,"Música de Cámara"),"")))</f>
        <v/>
      </c>
      <c r="AC686" t="str">
        <f>IF(Y686="","",IF(Y686="[FÓRMULA MANUAL]","",IFERROR(SUMPRODUCT((nNIA=Y686)*(nCUENTA=1)*(COUNTIF(CONFIG_ASIGNATURAS!$B$7:$B$27,nASIG)&gt;0)*(nNOTA))/SUMPRODUCT((nNIA=Y686)*(nCUENTA=1)*(COUNTIF(CONFIG_ASIGNATURAS!$B$7:$B$27,nASIG)&gt;0)*1),"")))</f>
        <v/>
      </c>
      <c r="AF686" t="str">
        <f>IF(AE686="","",IF(AE686="[FÓRMULA MANUAL]","",IFERROR(AVERAGEIFS(nNOTA,nNIA,AE686,nCUENTA,1,nASIG,"Análisis"),"")))</f>
        <v/>
      </c>
      <c r="AG686" t="str">
        <f>IF(AE686="","",IF(AE686="[FÓRMULA MANUAL]","",IFERROR(AVERAGEIFS(nNOTA,nNIA,AE686,nCUENTA,1,nASIG,"Orquesta/Banda/Conjunto"),"")))</f>
        <v/>
      </c>
      <c r="AH686" t="str">
        <f>IF(AE686="","",IF(AE686="[FÓRMULA MANUAL]","",IFERROR(AVERAGEIFS(nNOTA,nNIA,AE686,nCUENTA,1,nASIG,"Música de Cámara"),"")))</f>
        <v/>
      </c>
      <c r="AI686" t="str">
        <f>IF(AE686="","",IF(AE686="[FÓRMULA MANUAL]","",IFERROR(SUMPRODUCT((nNIA=AE686)*(nCUENTA=1)*(COUNTIF(CONFIG_ASIGNATURAS!$B$7:$B$27,nASIG)&gt;0)*(nNOTA))/SUMPRODUCT((nNIA=AE686)*(nCUENTA=1)*(COUNTIF(CONFIG_ASIGNATURAS!$B$7:$B$27,nASIG)&gt;0)*1),"")))</f>
        <v/>
      </c>
    </row>
    <row r="687" spans="2:35" x14ac:dyDescent="0.2">
      <c r="B687" t="str">
        <f>IF(A687="","",IF(A687="[FÓRMULA MANUAL]","",IFERROR(AVERAGEIFS(nNOTA,nNIA,A687,nCUENTA,1,nASIG,"Lenguaje Musical"),"")))</f>
        <v/>
      </c>
      <c r="C687" t="str">
        <f>IF(A687="","",IF(A687="[FÓRMULA MANUAL]","",IFERROR(AVERAGEIFS(nNOTA,nNIA,A687,nCUENTA,1,nASIG,"Orquesta/Banda/Conjunto"),"")))</f>
        <v/>
      </c>
      <c r="D687" t="str">
        <f>IF(A687="","",IF(A687="[FÓRMULA MANUAL]","",IFERROR(AVERAGEIFS(nNOTA,nNIA,A687,nCUENTA,1,nASIG,"Conjunto"),"")))</f>
        <v/>
      </c>
      <c r="E687" t="str">
        <f>IF(A687="","",IF(A687="[FÓRMULA MANUAL]","",IFERROR(SUMPRODUCT((nNIA=A687)*(nCUENTA=1)*(COUNTIF(CONFIG_ASIGNATURAS!$B$7:$B$27,nASIG)&gt;0)*(nNOTA))/SUMPRODUCT((nNIA=A687)*(nCUENTA=1)*(COUNTIF(CONFIG_ASIGNATURAS!$B$7:$B$27,nASIG)&gt;0)*1),"")))</f>
        <v/>
      </c>
      <c r="H687" t="str">
        <f>IF(G687="","",IF(G687="[FÓRMULA MANUAL]","",IFERROR(AVERAGEIFS(nNOTA,nNIA,G687,nCUENTA,1,nASIG,"Lenguaje Musical"),"")))</f>
        <v/>
      </c>
      <c r="I687" t="str">
        <f>IF(G687="","",IF(G687="[FÓRMULA MANUAL]","",IFERROR(AVERAGEIFS(nNOTA,nNIA,G687,nCUENTA,1,nASIG,"Orquesta/Banda/Conjunto"),"")))</f>
        <v/>
      </c>
      <c r="J687" t="str">
        <f>IF(G687="","",IF(G687="[FÓRMULA MANUAL]","",IFERROR(AVERAGEIFS(nNOTA,nNIA,G687,nCUENTA,1,nASIG,"Conjunto"),"")))</f>
        <v/>
      </c>
      <c r="K687" t="str">
        <f>IF(G687="","",IF(G687="[FÓRMULA MANUAL]","",IFERROR(SUMPRODUCT((nNIA=G687)*(nCUENTA=1)*(COUNTIF(CONFIG_ASIGNATURAS!$B$7:$B$27,nASIG)&gt;0)*(nNOTA))/SUMPRODUCT((nNIA=G687)*(nCUENTA=1)*(COUNTIF(CONFIG_ASIGNATURAS!$B$7:$B$27,nASIG)&gt;0)*1),"")))</f>
        <v/>
      </c>
      <c r="N687" t="str">
        <f>IF(M687="","",IF(M687="[FÓRMULA MANUAL]","",IFERROR(AVERAGEIFS(nNOTA,nNIA,M687,nCUENTA,1,nASIG,"Armonía"),"")))</f>
        <v/>
      </c>
      <c r="O687" t="str">
        <f>IF(M687="","",IF(M687="[FÓRMULA MANUAL]","",IFERROR(AVERAGEIFS(nNOTA,nNIA,M687,nCUENTA,1,nASIG,"Orquesta/Banda/Conjunto"),"")))</f>
        <v/>
      </c>
      <c r="P687" t="str">
        <f>IF(M687="","",IF(M687="[FÓRMULA MANUAL]","",IFERROR(AVERAGEIFS(nNOTA,nNIA,M687,nCUENTA,1,nASIG,"Música de Cámara"),"")))</f>
        <v/>
      </c>
      <c r="Q687" t="str">
        <f>IF(M687="","",IF(M687="[FÓRMULA MANUAL]","",IFERROR(SUMPRODUCT((nNIA=M687)*(nCUENTA=1)*(COUNTIF(CONFIG_ASIGNATURAS!$B$7:$B$27,nASIG)&gt;0)*(nNOTA))/SUMPRODUCT((nNIA=M687)*(nCUENTA=1)*(COUNTIF(CONFIG_ASIGNATURAS!$B$7:$B$27,nASIG)&gt;0)*1),"")))</f>
        <v/>
      </c>
      <c r="T687" t="str">
        <f>IF(S687="","",IF(S687="[FÓRMULA MANUAL]","",IFERROR(AVERAGEIFS(nNOTA,nNIA,S687,nCUENTA,1,nASIG,"Armonía"),"")))</f>
        <v/>
      </c>
      <c r="U687" t="str">
        <f>IF(S687="","",IF(S687="[FÓRMULA MANUAL]","",IFERROR(AVERAGEIFS(nNOTA,nNIA,S687,nCUENTA,1,nASIG,"Orquesta/Banda/Conjunto"),"")))</f>
        <v/>
      </c>
      <c r="V687" t="str">
        <f>IF(S687="","",IF(S687="[FÓRMULA MANUAL]","",IFERROR(AVERAGEIFS(nNOTA,nNIA,S687,nCUENTA,1,nASIG,"Música de Cámara"),"")))</f>
        <v/>
      </c>
      <c r="W687" t="str">
        <f>IF(S687="","",IF(S687="[FÓRMULA MANUAL]","",IFERROR(SUMPRODUCT((nNIA=S687)*(nCUENTA=1)*(COUNTIF(CONFIG_ASIGNATURAS!$B$7:$B$27,nASIG)&gt;0)*(nNOTA))/SUMPRODUCT((nNIA=S687)*(nCUENTA=1)*(COUNTIF(CONFIG_ASIGNATURAS!$B$7:$B$27,nASIG)&gt;0)*1),"")))</f>
        <v/>
      </c>
      <c r="Z687" t="str">
        <f>IF(Y687="","",IF(Y687="[FÓRMULA MANUAL]","",IFERROR(AVERAGEIFS(nNOTA,nNIA,Y687,nCUENTA,1,nASIG,"Análisis"),"")))</f>
        <v/>
      </c>
      <c r="AA687" t="str">
        <f>IF(Y687="","",IF(Y687="[FÓRMULA MANUAL]","",IFERROR(AVERAGEIFS(nNOTA,nNIA,Y687,nCUENTA,1,nASIG,"Orquesta/Banda/Conjunto"),"")))</f>
        <v/>
      </c>
      <c r="AB687" t="str">
        <f>IF(Y687="","",IF(Y687="[FÓRMULA MANUAL]","",IFERROR(AVERAGEIFS(nNOTA,nNIA,Y687,nCUENTA,1,nASIG,"Música de Cámara"),"")))</f>
        <v/>
      </c>
      <c r="AC687" t="str">
        <f>IF(Y687="","",IF(Y687="[FÓRMULA MANUAL]","",IFERROR(SUMPRODUCT((nNIA=Y687)*(nCUENTA=1)*(COUNTIF(CONFIG_ASIGNATURAS!$B$7:$B$27,nASIG)&gt;0)*(nNOTA))/SUMPRODUCT((nNIA=Y687)*(nCUENTA=1)*(COUNTIF(CONFIG_ASIGNATURAS!$B$7:$B$27,nASIG)&gt;0)*1),"")))</f>
        <v/>
      </c>
      <c r="AF687" t="str">
        <f>IF(AE687="","",IF(AE687="[FÓRMULA MANUAL]","",IFERROR(AVERAGEIFS(nNOTA,nNIA,AE687,nCUENTA,1,nASIG,"Análisis"),"")))</f>
        <v/>
      </c>
      <c r="AG687" t="str">
        <f>IF(AE687="","",IF(AE687="[FÓRMULA MANUAL]","",IFERROR(AVERAGEIFS(nNOTA,nNIA,AE687,nCUENTA,1,nASIG,"Orquesta/Banda/Conjunto"),"")))</f>
        <v/>
      </c>
      <c r="AH687" t="str">
        <f>IF(AE687="","",IF(AE687="[FÓRMULA MANUAL]","",IFERROR(AVERAGEIFS(nNOTA,nNIA,AE687,nCUENTA,1,nASIG,"Música de Cámara"),"")))</f>
        <v/>
      </c>
      <c r="AI687" t="str">
        <f>IF(AE687="","",IF(AE687="[FÓRMULA MANUAL]","",IFERROR(SUMPRODUCT((nNIA=AE687)*(nCUENTA=1)*(COUNTIF(CONFIG_ASIGNATURAS!$B$7:$B$27,nASIG)&gt;0)*(nNOTA))/SUMPRODUCT((nNIA=AE687)*(nCUENTA=1)*(COUNTIF(CONFIG_ASIGNATURAS!$B$7:$B$27,nASIG)&gt;0)*1),"")))</f>
        <v/>
      </c>
    </row>
    <row r="688" spans="2:35" x14ac:dyDescent="0.2">
      <c r="B688" t="str">
        <f>IF(A688="","",IF(A688="[FÓRMULA MANUAL]","",IFERROR(AVERAGEIFS(nNOTA,nNIA,A688,nCUENTA,1,nASIG,"Lenguaje Musical"),"")))</f>
        <v/>
      </c>
      <c r="C688" t="str">
        <f>IF(A688="","",IF(A688="[FÓRMULA MANUAL]","",IFERROR(AVERAGEIFS(nNOTA,nNIA,A688,nCUENTA,1,nASIG,"Orquesta/Banda/Conjunto"),"")))</f>
        <v/>
      </c>
      <c r="D688" t="str">
        <f>IF(A688="","",IF(A688="[FÓRMULA MANUAL]","",IFERROR(AVERAGEIFS(nNOTA,nNIA,A688,nCUENTA,1,nASIG,"Conjunto"),"")))</f>
        <v/>
      </c>
      <c r="E688" t="str">
        <f>IF(A688="","",IF(A688="[FÓRMULA MANUAL]","",IFERROR(SUMPRODUCT((nNIA=A688)*(nCUENTA=1)*(COUNTIF(CONFIG_ASIGNATURAS!$B$7:$B$27,nASIG)&gt;0)*(nNOTA))/SUMPRODUCT((nNIA=A688)*(nCUENTA=1)*(COUNTIF(CONFIG_ASIGNATURAS!$B$7:$B$27,nASIG)&gt;0)*1),"")))</f>
        <v/>
      </c>
      <c r="H688" t="str">
        <f>IF(G688="","",IF(G688="[FÓRMULA MANUAL]","",IFERROR(AVERAGEIFS(nNOTA,nNIA,G688,nCUENTA,1,nASIG,"Lenguaje Musical"),"")))</f>
        <v/>
      </c>
      <c r="I688" t="str">
        <f>IF(G688="","",IF(G688="[FÓRMULA MANUAL]","",IFERROR(AVERAGEIFS(nNOTA,nNIA,G688,nCUENTA,1,nASIG,"Orquesta/Banda/Conjunto"),"")))</f>
        <v/>
      </c>
      <c r="J688" t="str">
        <f>IF(G688="","",IF(G688="[FÓRMULA MANUAL]","",IFERROR(AVERAGEIFS(nNOTA,nNIA,G688,nCUENTA,1,nASIG,"Conjunto"),"")))</f>
        <v/>
      </c>
      <c r="K688" t="str">
        <f>IF(G688="","",IF(G688="[FÓRMULA MANUAL]","",IFERROR(SUMPRODUCT((nNIA=G688)*(nCUENTA=1)*(COUNTIF(CONFIG_ASIGNATURAS!$B$7:$B$27,nASIG)&gt;0)*(nNOTA))/SUMPRODUCT((nNIA=G688)*(nCUENTA=1)*(COUNTIF(CONFIG_ASIGNATURAS!$B$7:$B$27,nASIG)&gt;0)*1),"")))</f>
        <v/>
      </c>
      <c r="N688" t="str">
        <f>IF(M688="","",IF(M688="[FÓRMULA MANUAL]","",IFERROR(AVERAGEIFS(nNOTA,nNIA,M688,nCUENTA,1,nASIG,"Armonía"),"")))</f>
        <v/>
      </c>
      <c r="O688" t="str">
        <f>IF(M688="","",IF(M688="[FÓRMULA MANUAL]","",IFERROR(AVERAGEIFS(nNOTA,nNIA,M688,nCUENTA,1,nASIG,"Orquesta/Banda/Conjunto"),"")))</f>
        <v/>
      </c>
      <c r="P688" t="str">
        <f>IF(M688="","",IF(M688="[FÓRMULA MANUAL]","",IFERROR(AVERAGEIFS(nNOTA,nNIA,M688,nCUENTA,1,nASIG,"Música de Cámara"),"")))</f>
        <v/>
      </c>
      <c r="Q688" t="str">
        <f>IF(M688="","",IF(M688="[FÓRMULA MANUAL]","",IFERROR(SUMPRODUCT((nNIA=M688)*(nCUENTA=1)*(COUNTIF(CONFIG_ASIGNATURAS!$B$7:$B$27,nASIG)&gt;0)*(nNOTA))/SUMPRODUCT((nNIA=M688)*(nCUENTA=1)*(COUNTIF(CONFIG_ASIGNATURAS!$B$7:$B$27,nASIG)&gt;0)*1),"")))</f>
        <v/>
      </c>
      <c r="T688" t="str">
        <f>IF(S688="","",IF(S688="[FÓRMULA MANUAL]","",IFERROR(AVERAGEIFS(nNOTA,nNIA,S688,nCUENTA,1,nASIG,"Armonía"),"")))</f>
        <v/>
      </c>
      <c r="U688" t="str">
        <f>IF(S688="","",IF(S688="[FÓRMULA MANUAL]","",IFERROR(AVERAGEIFS(nNOTA,nNIA,S688,nCUENTA,1,nASIG,"Orquesta/Banda/Conjunto"),"")))</f>
        <v/>
      </c>
      <c r="V688" t="str">
        <f>IF(S688="","",IF(S688="[FÓRMULA MANUAL]","",IFERROR(AVERAGEIFS(nNOTA,nNIA,S688,nCUENTA,1,nASIG,"Música de Cámara"),"")))</f>
        <v/>
      </c>
      <c r="W688" t="str">
        <f>IF(S688="","",IF(S688="[FÓRMULA MANUAL]","",IFERROR(SUMPRODUCT((nNIA=S688)*(nCUENTA=1)*(COUNTIF(CONFIG_ASIGNATURAS!$B$7:$B$27,nASIG)&gt;0)*(nNOTA))/SUMPRODUCT((nNIA=S688)*(nCUENTA=1)*(COUNTIF(CONFIG_ASIGNATURAS!$B$7:$B$27,nASIG)&gt;0)*1),"")))</f>
        <v/>
      </c>
      <c r="Z688" t="str">
        <f>IF(Y688="","",IF(Y688="[FÓRMULA MANUAL]","",IFERROR(AVERAGEIFS(nNOTA,nNIA,Y688,nCUENTA,1,nASIG,"Análisis"),"")))</f>
        <v/>
      </c>
      <c r="AA688" t="str">
        <f>IF(Y688="","",IF(Y688="[FÓRMULA MANUAL]","",IFERROR(AVERAGEIFS(nNOTA,nNIA,Y688,nCUENTA,1,nASIG,"Orquesta/Banda/Conjunto"),"")))</f>
        <v/>
      </c>
      <c r="AB688" t="str">
        <f>IF(Y688="","",IF(Y688="[FÓRMULA MANUAL]","",IFERROR(AVERAGEIFS(nNOTA,nNIA,Y688,nCUENTA,1,nASIG,"Música de Cámara"),"")))</f>
        <v/>
      </c>
      <c r="AC688" t="str">
        <f>IF(Y688="","",IF(Y688="[FÓRMULA MANUAL]","",IFERROR(SUMPRODUCT((nNIA=Y688)*(nCUENTA=1)*(COUNTIF(CONFIG_ASIGNATURAS!$B$7:$B$27,nASIG)&gt;0)*(nNOTA))/SUMPRODUCT((nNIA=Y688)*(nCUENTA=1)*(COUNTIF(CONFIG_ASIGNATURAS!$B$7:$B$27,nASIG)&gt;0)*1),"")))</f>
        <v/>
      </c>
      <c r="AF688" t="str">
        <f>IF(AE688="","",IF(AE688="[FÓRMULA MANUAL]","",IFERROR(AVERAGEIFS(nNOTA,nNIA,AE688,nCUENTA,1,nASIG,"Análisis"),"")))</f>
        <v/>
      </c>
      <c r="AG688" t="str">
        <f>IF(AE688="","",IF(AE688="[FÓRMULA MANUAL]","",IFERROR(AVERAGEIFS(nNOTA,nNIA,AE688,nCUENTA,1,nASIG,"Orquesta/Banda/Conjunto"),"")))</f>
        <v/>
      </c>
      <c r="AH688" t="str">
        <f>IF(AE688="","",IF(AE688="[FÓRMULA MANUAL]","",IFERROR(AVERAGEIFS(nNOTA,nNIA,AE688,nCUENTA,1,nASIG,"Música de Cámara"),"")))</f>
        <v/>
      </c>
      <c r="AI688" t="str">
        <f>IF(AE688="","",IF(AE688="[FÓRMULA MANUAL]","",IFERROR(SUMPRODUCT((nNIA=AE688)*(nCUENTA=1)*(COUNTIF(CONFIG_ASIGNATURAS!$B$7:$B$27,nASIG)&gt;0)*(nNOTA))/SUMPRODUCT((nNIA=AE688)*(nCUENTA=1)*(COUNTIF(CONFIG_ASIGNATURAS!$B$7:$B$27,nASIG)&gt;0)*1),"")))</f>
        <v/>
      </c>
    </row>
    <row r="689" spans="2:35" x14ac:dyDescent="0.2">
      <c r="B689" t="str">
        <f>IF(A689="","",IF(A689="[FÓRMULA MANUAL]","",IFERROR(AVERAGEIFS(nNOTA,nNIA,A689,nCUENTA,1,nASIG,"Lenguaje Musical"),"")))</f>
        <v/>
      </c>
      <c r="C689" t="str">
        <f>IF(A689="","",IF(A689="[FÓRMULA MANUAL]","",IFERROR(AVERAGEIFS(nNOTA,nNIA,A689,nCUENTA,1,nASIG,"Orquesta/Banda/Conjunto"),"")))</f>
        <v/>
      </c>
      <c r="D689" t="str">
        <f>IF(A689="","",IF(A689="[FÓRMULA MANUAL]","",IFERROR(AVERAGEIFS(nNOTA,nNIA,A689,nCUENTA,1,nASIG,"Conjunto"),"")))</f>
        <v/>
      </c>
      <c r="E689" t="str">
        <f>IF(A689="","",IF(A689="[FÓRMULA MANUAL]","",IFERROR(SUMPRODUCT((nNIA=A689)*(nCUENTA=1)*(COUNTIF(CONFIG_ASIGNATURAS!$B$7:$B$27,nASIG)&gt;0)*(nNOTA))/SUMPRODUCT((nNIA=A689)*(nCUENTA=1)*(COUNTIF(CONFIG_ASIGNATURAS!$B$7:$B$27,nASIG)&gt;0)*1),"")))</f>
        <v/>
      </c>
      <c r="H689" t="str">
        <f>IF(G689="","",IF(G689="[FÓRMULA MANUAL]","",IFERROR(AVERAGEIFS(nNOTA,nNIA,G689,nCUENTA,1,nASIG,"Lenguaje Musical"),"")))</f>
        <v/>
      </c>
      <c r="I689" t="str">
        <f>IF(G689="","",IF(G689="[FÓRMULA MANUAL]","",IFERROR(AVERAGEIFS(nNOTA,nNIA,G689,nCUENTA,1,nASIG,"Orquesta/Banda/Conjunto"),"")))</f>
        <v/>
      </c>
      <c r="J689" t="str">
        <f>IF(G689="","",IF(G689="[FÓRMULA MANUAL]","",IFERROR(AVERAGEIFS(nNOTA,nNIA,G689,nCUENTA,1,nASIG,"Conjunto"),"")))</f>
        <v/>
      </c>
      <c r="K689" t="str">
        <f>IF(G689="","",IF(G689="[FÓRMULA MANUAL]","",IFERROR(SUMPRODUCT((nNIA=G689)*(nCUENTA=1)*(COUNTIF(CONFIG_ASIGNATURAS!$B$7:$B$27,nASIG)&gt;0)*(nNOTA))/SUMPRODUCT((nNIA=G689)*(nCUENTA=1)*(COUNTIF(CONFIG_ASIGNATURAS!$B$7:$B$27,nASIG)&gt;0)*1),"")))</f>
        <v/>
      </c>
      <c r="N689" t="str">
        <f>IF(M689="","",IF(M689="[FÓRMULA MANUAL]","",IFERROR(AVERAGEIFS(nNOTA,nNIA,M689,nCUENTA,1,nASIG,"Armonía"),"")))</f>
        <v/>
      </c>
      <c r="O689" t="str">
        <f>IF(M689="","",IF(M689="[FÓRMULA MANUAL]","",IFERROR(AVERAGEIFS(nNOTA,nNIA,M689,nCUENTA,1,nASIG,"Orquesta/Banda/Conjunto"),"")))</f>
        <v/>
      </c>
      <c r="P689" t="str">
        <f>IF(M689="","",IF(M689="[FÓRMULA MANUAL]","",IFERROR(AVERAGEIFS(nNOTA,nNIA,M689,nCUENTA,1,nASIG,"Música de Cámara"),"")))</f>
        <v/>
      </c>
      <c r="Q689" t="str">
        <f>IF(M689="","",IF(M689="[FÓRMULA MANUAL]","",IFERROR(SUMPRODUCT((nNIA=M689)*(nCUENTA=1)*(COUNTIF(CONFIG_ASIGNATURAS!$B$7:$B$27,nASIG)&gt;0)*(nNOTA))/SUMPRODUCT((nNIA=M689)*(nCUENTA=1)*(COUNTIF(CONFIG_ASIGNATURAS!$B$7:$B$27,nASIG)&gt;0)*1),"")))</f>
        <v/>
      </c>
      <c r="T689" t="str">
        <f>IF(S689="","",IF(S689="[FÓRMULA MANUAL]","",IFERROR(AVERAGEIFS(nNOTA,nNIA,S689,nCUENTA,1,nASIG,"Armonía"),"")))</f>
        <v/>
      </c>
      <c r="U689" t="str">
        <f>IF(S689="","",IF(S689="[FÓRMULA MANUAL]","",IFERROR(AVERAGEIFS(nNOTA,nNIA,S689,nCUENTA,1,nASIG,"Orquesta/Banda/Conjunto"),"")))</f>
        <v/>
      </c>
      <c r="V689" t="str">
        <f>IF(S689="","",IF(S689="[FÓRMULA MANUAL]","",IFERROR(AVERAGEIFS(nNOTA,nNIA,S689,nCUENTA,1,nASIG,"Música de Cámara"),"")))</f>
        <v/>
      </c>
      <c r="W689" t="str">
        <f>IF(S689="","",IF(S689="[FÓRMULA MANUAL]","",IFERROR(SUMPRODUCT((nNIA=S689)*(nCUENTA=1)*(COUNTIF(CONFIG_ASIGNATURAS!$B$7:$B$27,nASIG)&gt;0)*(nNOTA))/SUMPRODUCT((nNIA=S689)*(nCUENTA=1)*(COUNTIF(CONFIG_ASIGNATURAS!$B$7:$B$27,nASIG)&gt;0)*1),"")))</f>
        <v/>
      </c>
      <c r="Z689" t="str">
        <f>IF(Y689="","",IF(Y689="[FÓRMULA MANUAL]","",IFERROR(AVERAGEIFS(nNOTA,nNIA,Y689,nCUENTA,1,nASIG,"Análisis"),"")))</f>
        <v/>
      </c>
      <c r="AA689" t="str">
        <f>IF(Y689="","",IF(Y689="[FÓRMULA MANUAL]","",IFERROR(AVERAGEIFS(nNOTA,nNIA,Y689,nCUENTA,1,nASIG,"Orquesta/Banda/Conjunto"),"")))</f>
        <v/>
      </c>
      <c r="AB689" t="str">
        <f>IF(Y689="","",IF(Y689="[FÓRMULA MANUAL]","",IFERROR(AVERAGEIFS(nNOTA,nNIA,Y689,nCUENTA,1,nASIG,"Música de Cámara"),"")))</f>
        <v/>
      </c>
      <c r="AC689" t="str">
        <f>IF(Y689="","",IF(Y689="[FÓRMULA MANUAL]","",IFERROR(SUMPRODUCT((nNIA=Y689)*(nCUENTA=1)*(COUNTIF(CONFIG_ASIGNATURAS!$B$7:$B$27,nASIG)&gt;0)*(nNOTA))/SUMPRODUCT((nNIA=Y689)*(nCUENTA=1)*(COUNTIF(CONFIG_ASIGNATURAS!$B$7:$B$27,nASIG)&gt;0)*1),"")))</f>
        <v/>
      </c>
      <c r="AF689" t="str">
        <f>IF(AE689="","",IF(AE689="[FÓRMULA MANUAL]","",IFERROR(AVERAGEIFS(nNOTA,nNIA,AE689,nCUENTA,1,nASIG,"Análisis"),"")))</f>
        <v/>
      </c>
      <c r="AG689" t="str">
        <f>IF(AE689="","",IF(AE689="[FÓRMULA MANUAL]","",IFERROR(AVERAGEIFS(nNOTA,nNIA,AE689,nCUENTA,1,nASIG,"Orquesta/Banda/Conjunto"),"")))</f>
        <v/>
      </c>
      <c r="AH689" t="str">
        <f>IF(AE689="","",IF(AE689="[FÓRMULA MANUAL]","",IFERROR(AVERAGEIFS(nNOTA,nNIA,AE689,nCUENTA,1,nASIG,"Música de Cámara"),"")))</f>
        <v/>
      </c>
      <c r="AI689" t="str">
        <f>IF(AE689="","",IF(AE689="[FÓRMULA MANUAL]","",IFERROR(SUMPRODUCT((nNIA=AE689)*(nCUENTA=1)*(COUNTIF(CONFIG_ASIGNATURAS!$B$7:$B$27,nASIG)&gt;0)*(nNOTA))/SUMPRODUCT((nNIA=AE689)*(nCUENTA=1)*(COUNTIF(CONFIG_ASIGNATURAS!$B$7:$B$27,nASIG)&gt;0)*1),"")))</f>
        <v/>
      </c>
    </row>
    <row r="690" spans="2:35" x14ac:dyDescent="0.2">
      <c r="B690" t="str">
        <f>IF(A690="","",IF(A690="[FÓRMULA MANUAL]","",IFERROR(AVERAGEIFS(nNOTA,nNIA,A690,nCUENTA,1,nASIG,"Lenguaje Musical"),"")))</f>
        <v/>
      </c>
      <c r="C690" t="str">
        <f>IF(A690="","",IF(A690="[FÓRMULA MANUAL]","",IFERROR(AVERAGEIFS(nNOTA,nNIA,A690,nCUENTA,1,nASIG,"Orquesta/Banda/Conjunto"),"")))</f>
        <v/>
      </c>
      <c r="D690" t="str">
        <f>IF(A690="","",IF(A690="[FÓRMULA MANUAL]","",IFERROR(AVERAGEIFS(nNOTA,nNIA,A690,nCUENTA,1,nASIG,"Conjunto"),"")))</f>
        <v/>
      </c>
      <c r="E690" t="str">
        <f>IF(A690="","",IF(A690="[FÓRMULA MANUAL]","",IFERROR(SUMPRODUCT((nNIA=A690)*(nCUENTA=1)*(COUNTIF(CONFIG_ASIGNATURAS!$B$7:$B$27,nASIG)&gt;0)*(nNOTA))/SUMPRODUCT((nNIA=A690)*(nCUENTA=1)*(COUNTIF(CONFIG_ASIGNATURAS!$B$7:$B$27,nASIG)&gt;0)*1),"")))</f>
        <v/>
      </c>
      <c r="H690" t="str">
        <f>IF(G690="","",IF(G690="[FÓRMULA MANUAL]","",IFERROR(AVERAGEIFS(nNOTA,nNIA,G690,nCUENTA,1,nASIG,"Lenguaje Musical"),"")))</f>
        <v/>
      </c>
      <c r="I690" t="str">
        <f>IF(G690="","",IF(G690="[FÓRMULA MANUAL]","",IFERROR(AVERAGEIFS(nNOTA,nNIA,G690,nCUENTA,1,nASIG,"Orquesta/Banda/Conjunto"),"")))</f>
        <v/>
      </c>
      <c r="J690" t="str">
        <f>IF(G690="","",IF(G690="[FÓRMULA MANUAL]","",IFERROR(AVERAGEIFS(nNOTA,nNIA,G690,nCUENTA,1,nASIG,"Conjunto"),"")))</f>
        <v/>
      </c>
      <c r="K690" t="str">
        <f>IF(G690="","",IF(G690="[FÓRMULA MANUAL]","",IFERROR(SUMPRODUCT((nNIA=G690)*(nCUENTA=1)*(COUNTIF(CONFIG_ASIGNATURAS!$B$7:$B$27,nASIG)&gt;0)*(nNOTA))/SUMPRODUCT((nNIA=G690)*(nCUENTA=1)*(COUNTIF(CONFIG_ASIGNATURAS!$B$7:$B$27,nASIG)&gt;0)*1),"")))</f>
        <v/>
      </c>
      <c r="N690" t="str">
        <f>IF(M690="","",IF(M690="[FÓRMULA MANUAL]","",IFERROR(AVERAGEIFS(nNOTA,nNIA,M690,nCUENTA,1,nASIG,"Armonía"),"")))</f>
        <v/>
      </c>
      <c r="O690" t="str">
        <f>IF(M690="","",IF(M690="[FÓRMULA MANUAL]","",IFERROR(AVERAGEIFS(nNOTA,nNIA,M690,nCUENTA,1,nASIG,"Orquesta/Banda/Conjunto"),"")))</f>
        <v/>
      </c>
      <c r="P690" t="str">
        <f>IF(M690="","",IF(M690="[FÓRMULA MANUAL]","",IFERROR(AVERAGEIFS(nNOTA,nNIA,M690,nCUENTA,1,nASIG,"Música de Cámara"),"")))</f>
        <v/>
      </c>
      <c r="Q690" t="str">
        <f>IF(M690="","",IF(M690="[FÓRMULA MANUAL]","",IFERROR(SUMPRODUCT((nNIA=M690)*(nCUENTA=1)*(COUNTIF(CONFIG_ASIGNATURAS!$B$7:$B$27,nASIG)&gt;0)*(nNOTA))/SUMPRODUCT((nNIA=M690)*(nCUENTA=1)*(COUNTIF(CONFIG_ASIGNATURAS!$B$7:$B$27,nASIG)&gt;0)*1),"")))</f>
        <v/>
      </c>
      <c r="T690" t="str">
        <f>IF(S690="","",IF(S690="[FÓRMULA MANUAL]","",IFERROR(AVERAGEIFS(nNOTA,nNIA,S690,nCUENTA,1,nASIG,"Armonía"),"")))</f>
        <v/>
      </c>
      <c r="U690" t="str">
        <f>IF(S690="","",IF(S690="[FÓRMULA MANUAL]","",IFERROR(AVERAGEIFS(nNOTA,nNIA,S690,nCUENTA,1,nASIG,"Orquesta/Banda/Conjunto"),"")))</f>
        <v/>
      </c>
      <c r="V690" t="str">
        <f>IF(S690="","",IF(S690="[FÓRMULA MANUAL]","",IFERROR(AVERAGEIFS(nNOTA,nNIA,S690,nCUENTA,1,nASIG,"Música de Cámara"),"")))</f>
        <v/>
      </c>
      <c r="W690" t="str">
        <f>IF(S690="","",IF(S690="[FÓRMULA MANUAL]","",IFERROR(SUMPRODUCT((nNIA=S690)*(nCUENTA=1)*(COUNTIF(CONFIG_ASIGNATURAS!$B$7:$B$27,nASIG)&gt;0)*(nNOTA))/SUMPRODUCT((nNIA=S690)*(nCUENTA=1)*(COUNTIF(CONFIG_ASIGNATURAS!$B$7:$B$27,nASIG)&gt;0)*1),"")))</f>
        <v/>
      </c>
      <c r="Z690" t="str">
        <f>IF(Y690="","",IF(Y690="[FÓRMULA MANUAL]","",IFERROR(AVERAGEIFS(nNOTA,nNIA,Y690,nCUENTA,1,nASIG,"Análisis"),"")))</f>
        <v/>
      </c>
      <c r="AA690" t="str">
        <f>IF(Y690="","",IF(Y690="[FÓRMULA MANUAL]","",IFERROR(AVERAGEIFS(nNOTA,nNIA,Y690,nCUENTA,1,nASIG,"Orquesta/Banda/Conjunto"),"")))</f>
        <v/>
      </c>
      <c r="AB690" t="str">
        <f>IF(Y690="","",IF(Y690="[FÓRMULA MANUAL]","",IFERROR(AVERAGEIFS(nNOTA,nNIA,Y690,nCUENTA,1,nASIG,"Música de Cámara"),"")))</f>
        <v/>
      </c>
      <c r="AC690" t="str">
        <f>IF(Y690="","",IF(Y690="[FÓRMULA MANUAL]","",IFERROR(SUMPRODUCT((nNIA=Y690)*(nCUENTA=1)*(COUNTIF(CONFIG_ASIGNATURAS!$B$7:$B$27,nASIG)&gt;0)*(nNOTA))/SUMPRODUCT((nNIA=Y690)*(nCUENTA=1)*(COUNTIF(CONFIG_ASIGNATURAS!$B$7:$B$27,nASIG)&gt;0)*1),"")))</f>
        <v/>
      </c>
      <c r="AF690" t="str">
        <f>IF(AE690="","",IF(AE690="[FÓRMULA MANUAL]","",IFERROR(AVERAGEIFS(nNOTA,nNIA,AE690,nCUENTA,1,nASIG,"Análisis"),"")))</f>
        <v/>
      </c>
      <c r="AG690" t="str">
        <f>IF(AE690="","",IF(AE690="[FÓRMULA MANUAL]","",IFERROR(AVERAGEIFS(nNOTA,nNIA,AE690,nCUENTA,1,nASIG,"Orquesta/Banda/Conjunto"),"")))</f>
        <v/>
      </c>
      <c r="AH690" t="str">
        <f>IF(AE690="","",IF(AE690="[FÓRMULA MANUAL]","",IFERROR(AVERAGEIFS(nNOTA,nNIA,AE690,nCUENTA,1,nASIG,"Música de Cámara"),"")))</f>
        <v/>
      </c>
      <c r="AI690" t="str">
        <f>IF(AE690="","",IF(AE690="[FÓRMULA MANUAL]","",IFERROR(SUMPRODUCT((nNIA=AE690)*(nCUENTA=1)*(COUNTIF(CONFIG_ASIGNATURAS!$B$7:$B$27,nASIG)&gt;0)*(nNOTA))/SUMPRODUCT((nNIA=AE690)*(nCUENTA=1)*(COUNTIF(CONFIG_ASIGNATURAS!$B$7:$B$27,nASIG)&gt;0)*1),"")))</f>
        <v/>
      </c>
    </row>
    <row r="691" spans="2:35" x14ac:dyDescent="0.2">
      <c r="B691" t="str">
        <f>IF(A691="","",IF(A691="[FÓRMULA MANUAL]","",IFERROR(AVERAGEIFS(nNOTA,nNIA,A691,nCUENTA,1,nASIG,"Lenguaje Musical"),"")))</f>
        <v/>
      </c>
      <c r="C691" t="str">
        <f>IF(A691="","",IF(A691="[FÓRMULA MANUAL]","",IFERROR(AVERAGEIFS(nNOTA,nNIA,A691,nCUENTA,1,nASIG,"Orquesta/Banda/Conjunto"),"")))</f>
        <v/>
      </c>
      <c r="D691" t="str">
        <f>IF(A691="","",IF(A691="[FÓRMULA MANUAL]","",IFERROR(AVERAGEIFS(nNOTA,nNIA,A691,nCUENTA,1,nASIG,"Conjunto"),"")))</f>
        <v/>
      </c>
      <c r="E691" t="str">
        <f>IF(A691="","",IF(A691="[FÓRMULA MANUAL]","",IFERROR(SUMPRODUCT((nNIA=A691)*(nCUENTA=1)*(COUNTIF(CONFIG_ASIGNATURAS!$B$7:$B$27,nASIG)&gt;0)*(nNOTA))/SUMPRODUCT((nNIA=A691)*(nCUENTA=1)*(COUNTIF(CONFIG_ASIGNATURAS!$B$7:$B$27,nASIG)&gt;0)*1),"")))</f>
        <v/>
      </c>
      <c r="H691" t="str">
        <f>IF(G691="","",IF(G691="[FÓRMULA MANUAL]","",IFERROR(AVERAGEIFS(nNOTA,nNIA,G691,nCUENTA,1,nASIG,"Lenguaje Musical"),"")))</f>
        <v/>
      </c>
      <c r="I691" t="str">
        <f>IF(G691="","",IF(G691="[FÓRMULA MANUAL]","",IFERROR(AVERAGEIFS(nNOTA,nNIA,G691,nCUENTA,1,nASIG,"Orquesta/Banda/Conjunto"),"")))</f>
        <v/>
      </c>
      <c r="J691" t="str">
        <f>IF(G691="","",IF(G691="[FÓRMULA MANUAL]","",IFERROR(AVERAGEIFS(nNOTA,nNIA,G691,nCUENTA,1,nASIG,"Conjunto"),"")))</f>
        <v/>
      </c>
      <c r="K691" t="str">
        <f>IF(G691="","",IF(G691="[FÓRMULA MANUAL]","",IFERROR(SUMPRODUCT((nNIA=G691)*(nCUENTA=1)*(COUNTIF(CONFIG_ASIGNATURAS!$B$7:$B$27,nASIG)&gt;0)*(nNOTA))/SUMPRODUCT((nNIA=G691)*(nCUENTA=1)*(COUNTIF(CONFIG_ASIGNATURAS!$B$7:$B$27,nASIG)&gt;0)*1),"")))</f>
        <v/>
      </c>
      <c r="N691" t="str">
        <f>IF(M691="","",IF(M691="[FÓRMULA MANUAL]","",IFERROR(AVERAGEIFS(nNOTA,nNIA,M691,nCUENTA,1,nASIG,"Armonía"),"")))</f>
        <v/>
      </c>
      <c r="O691" t="str">
        <f>IF(M691="","",IF(M691="[FÓRMULA MANUAL]","",IFERROR(AVERAGEIFS(nNOTA,nNIA,M691,nCUENTA,1,nASIG,"Orquesta/Banda/Conjunto"),"")))</f>
        <v/>
      </c>
      <c r="P691" t="str">
        <f>IF(M691="","",IF(M691="[FÓRMULA MANUAL]","",IFERROR(AVERAGEIFS(nNOTA,nNIA,M691,nCUENTA,1,nASIG,"Música de Cámara"),"")))</f>
        <v/>
      </c>
      <c r="Q691" t="str">
        <f>IF(M691="","",IF(M691="[FÓRMULA MANUAL]","",IFERROR(SUMPRODUCT((nNIA=M691)*(nCUENTA=1)*(COUNTIF(CONFIG_ASIGNATURAS!$B$7:$B$27,nASIG)&gt;0)*(nNOTA))/SUMPRODUCT((nNIA=M691)*(nCUENTA=1)*(COUNTIF(CONFIG_ASIGNATURAS!$B$7:$B$27,nASIG)&gt;0)*1),"")))</f>
        <v/>
      </c>
      <c r="T691" t="str">
        <f>IF(S691="","",IF(S691="[FÓRMULA MANUAL]","",IFERROR(AVERAGEIFS(nNOTA,nNIA,S691,nCUENTA,1,nASIG,"Armonía"),"")))</f>
        <v/>
      </c>
      <c r="U691" t="str">
        <f>IF(S691="","",IF(S691="[FÓRMULA MANUAL]","",IFERROR(AVERAGEIFS(nNOTA,nNIA,S691,nCUENTA,1,nASIG,"Orquesta/Banda/Conjunto"),"")))</f>
        <v/>
      </c>
      <c r="V691" t="str">
        <f>IF(S691="","",IF(S691="[FÓRMULA MANUAL]","",IFERROR(AVERAGEIFS(nNOTA,nNIA,S691,nCUENTA,1,nASIG,"Música de Cámara"),"")))</f>
        <v/>
      </c>
      <c r="W691" t="str">
        <f>IF(S691="","",IF(S691="[FÓRMULA MANUAL]","",IFERROR(SUMPRODUCT((nNIA=S691)*(nCUENTA=1)*(COUNTIF(CONFIG_ASIGNATURAS!$B$7:$B$27,nASIG)&gt;0)*(nNOTA))/SUMPRODUCT((nNIA=S691)*(nCUENTA=1)*(COUNTIF(CONFIG_ASIGNATURAS!$B$7:$B$27,nASIG)&gt;0)*1),"")))</f>
        <v/>
      </c>
      <c r="Z691" t="str">
        <f>IF(Y691="","",IF(Y691="[FÓRMULA MANUAL]","",IFERROR(AVERAGEIFS(nNOTA,nNIA,Y691,nCUENTA,1,nASIG,"Análisis"),"")))</f>
        <v/>
      </c>
      <c r="AA691" t="str">
        <f>IF(Y691="","",IF(Y691="[FÓRMULA MANUAL]","",IFERROR(AVERAGEIFS(nNOTA,nNIA,Y691,nCUENTA,1,nASIG,"Orquesta/Banda/Conjunto"),"")))</f>
        <v/>
      </c>
      <c r="AB691" t="str">
        <f>IF(Y691="","",IF(Y691="[FÓRMULA MANUAL]","",IFERROR(AVERAGEIFS(nNOTA,nNIA,Y691,nCUENTA,1,nASIG,"Música de Cámara"),"")))</f>
        <v/>
      </c>
      <c r="AC691" t="str">
        <f>IF(Y691="","",IF(Y691="[FÓRMULA MANUAL]","",IFERROR(SUMPRODUCT((nNIA=Y691)*(nCUENTA=1)*(COUNTIF(CONFIG_ASIGNATURAS!$B$7:$B$27,nASIG)&gt;0)*(nNOTA))/SUMPRODUCT((nNIA=Y691)*(nCUENTA=1)*(COUNTIF(CONFIG_ASIGNATURAS!$B$7:$B$27,nASIG)&gt;0)*1),"")))</f>
        <v/>
      </c>
      <c r="AF691" t="str">
        <f>IF(AE691="","",IF(AE691="[FÓRMULA MANUAL]","",IFERROR(AVERAGEIFS(nNOTA,nNIA,AE691,nCUENTA,1,nASIG,"Análisis"),"")))</f>
        <v/>
      </c>
      <c r="AG691" t="str">
        <f>IF(AE691="","",IF(AE691="[FÓRMULA MANUAL]","",IFERROR(AVERAGEIFS(nNOTA,nNIA,AE691,nCUENTA,1,nASIG,"Orquesta/Banda/Conjunto"),"")))</f>
        <v/>
      </c>
      <c r="AH691" t="str">
        <f>IF(AE691="","",IF(AE691="[FÓRMULA MANUAL]","",IFERROR(AVERAGEIFS(nNOTA,nNIA,AE691,nCUENTA,1,nASIG,"Música de Cámara"),"")))</f>
        <v/>
      </c>
      <c r="AI691" t="str">
        <f>IF(AE691="","",IF(AE691="[FÓRMULA MANUAL]","",IFERROR(SUMPRODUCT((nNIA=AE691)*(nCUENTA=1)*(COUNTIF(CONFIG_ASIGNATURAS!$B$7:$B$27,nASIG)&gt;0)*(nNOTA))/SUMPRODUCT((nNIA=AE691)*(nCUENTA=1)*(COUNTIF(CONFIG_ASIGNATURAS!$B$7:$B$27,nASIG)&gt;0)*1),"")))</f>
        <v/>
      </c>
    </row>
    <row r="692" spans="2:35" x14ac:dyDescent="0.2">
      <c r="B692" t="str">
        <f>IF(A692="","",IF(A692="[FÓRMULA MANUAL]","",IFERROR(AVERAGEIFS(nNOTA,nNIA,A692,nCUENTA,1,nASIG,"Lenguaje Musical"),"")))</f>
        <v/>
      </c>
      <c r="C692" t="str">
        <f>IF(A692="","",IF(A692="[FÓRMULA MANUAL]","",IFERROR(AVERAGEIFS(nNOTA,nNIA,A692,nCUENTA,1,nASIG,"Orquesta/Banda/Conjunto"),"")))</f>
        <v/>
      </c>
      <c r="D692" t="str">
        <f>IF(A692="","",IF(A692="[FÓRMULA MANUAL]","",IFERROR(AVERAGEIFS(nNOTA,nNIA,A692,nCUENTA,1,nASIG,"Conjunto"),"")))</f>
        <v/>
      </c>
      <c r="E692" t="str">
        <f>IF(A692="","",IF(A692="[FÓRMULA MANUAL]","",IFERROR(SUMPRODUCT((nNIA=A692)*(nCUENTA=1)*(COUNTIF(CONFIG_ASIGNATURAS!$B$7:$B$27,nASIG)&gt;0)*(nNOTA))/SUMPRODUCT((nNIA=A692)*(nCUENTA=1)*(COUNTIF(CONFIG_ASIGNATURAS!$B$7:$B$27,nASIG)&gt;0)*1),"")))</f>
        <v/>
      </c>
      <c r="H692" t="str">
        <f>IF(G692="","",IF(G692="[FÓRMULA MANUAL]","",IFERROR(AVERAGEIFS(nNOTA,nNIA,G692,nCUENTA,1,nASIG,"Lenguaje Musical"),"")))</f>
        <v/>
      </c>
      <c r="I692" t="str">
        <f>IF(G692="","",IF(G692="[FÓRMULA MANUAL]","",IFERROR(AVERAGEIFS(nNOTA,nNIA,G692,nCUENTA,1,nASIG,"Orquesta/Banda/Conjunto"),"")))</f>
        <v/>
      </c>
      <c r="J692" t="str">
        <f>IF(G692="","",IF(G692="[FÓRMULA MANUAL]","",IFERROR(AVERAGEIFS(nNOTA,nNIA,G692,nCUENTA,1,nASIG,"Conjunto"),"")))</f>
        <v/>
      </c>
      <c r="K692" t="str">
        <f>IF(G692="","",IF(G692="[FÓRMULA MANUAL]","",IFERROR(SUMPRODUCT((nNIA=G692)*(nCUENTA=1)*(COUNTIF(CONFIG_ASIGNATURAS!$B$7:$B$27,nASIG)&gt;0)*(nNOTA))/SUMPRODUCT((nNIA=G692)*(nCUENTA=1)*(COUNTIF(CONFIG_ASIGNATURAS!$B$7:$B$27,nASIG)&gt;0)*1),"")))</f>
        <v/>
      </c>
      <c r="N692" t="str">
        <f>IF(M692="","",IF(M692="[FÓRMULA MANUAL]","",IFERROR(AVERAGEIFS(nNOTA,nNIA,M692,nCUENTA,1,nASIG,"Armonía"),"")))</f>
        <v/>
      </c>
      <c r="O692" t="str">
        <f>IF(M692="","",IF(M692="[FÓRMULA MANUAL]","",IFERROR(AVERAGEIFS(nNOTA,nNIA,M692,nCUENTA,1,nASIG,"Orquesta/Banda/Conjunto"),"")))</f>
        <v/>
      </c>
      <c r="P692" t="str">
        <f>IF(M692="","",IF(M692="[FÓRMULA MANUAL]","",IFERROR(AVERAGEIFS(nNOTA,nNIA,M692,nCUENTA,1,nASIG,"Música de Cámara"),"")))</f>
        <v/>
      </c>
      <c r="Q692" t="str">
        <f>IF(M692="","",IF(M692="[FÓRMULA MANUAL]","",IFERROR(SUMPRODUCT((nNIA=M692)*(nCUENTA=1)*(COUNTIF(CONFIG_ASIGNATURAS!$B$7:$B$27,nASIG)&gt;0)*(nNOTA))/SUMPRODUCT((nNIA=M692)*(nCUENTA=1)*(COUNTIF(CONFIG_ASIGNATURAS!$B$7:$B$27,nASIG)&gt;0)*1),"")))</f>
        <v/>
      </c>
      <c r="T692" t="str">
        <f>IF(S692="","",IF(S692="[FÓRMULA MANUAL]","",IFERROR(AVERAGEIFS(nNOTA,nNIA,S692,nCUENTA,1,nASIG,"Armonía"),"")))</f>
        <v/>
      </c>
      <c r="U692" t="str">
        <f>IF(S692="","",IF(S692="[FÓRMULA MANUAL]","",IFERROR(AVERAGEIFS(nNOTA,nNIA,S692,nCUENTA,1,nASIG,"Orquesta/Banda/Conjunto"),"")))</f>
        <v/>
      </c>
      <c r="V692" t="str">
        <f>IF(S692="","",IF(S692="[FÓRMULA MANUAL]","",IFERROR(AVERAGEIFS(nNOTA,nNIA,S692,nCUENTA,1,nASIG,"Música de Cámara"),"")))</f>
        <v/>
      </c>
      <c r="W692" t="str">
        <f>IF(S692="","",IF(S692="[FÓRMULA MANUAL]","",IFERROR(SUMPRODUCT((nNIA=S692)*(nCUENTA=1)*(COUNTIF(CONFIG_ASIGNATURAS!$B$7:$B$27,nASIG)&gt;0)*(nNOTA))/SUMPRODUCT((nNIA=S692)*(nCUENTA=1)*(COUNTIF(CONFIG_ASIGNATURAS!$B$7:$B$27,nASIG)&gt;0)*1),"")))</f>
        <v/>
      </c>
      <c r="Z692" t="str">
        <f>IF(Y692="","",IF(Y692="[FÓRMULA MANUAL]","",IFERROR(AVERAGEIFS(nNOTA,nNIA,Y692,nCUENTA,1,nASIG,"Análisis"),"")))</f>
        <v/>
      </c>
      <c r="AA692" t="str">
        <f>IF(Y692="","",IF(Y692="[FÓRMULA MANUAL]","",IFERROR(AVERAGEIFS(nNOTA,nNIA,Y692,nCUENTA,1,nASIG,"Orquesta/Banda/Conjunto"),"")))</f>
        <v/>
      </c>
      <c r="AB692" t="str">
        <f>IF(Y692="","",IF(Y692="[FÓRMULA MANUAL]","",IFERROR(AVERAGEIFS(nNOTA,nNIA,Y692,nCUENTA,1,nASIG,"Música de Cámara"),"")))</f>
        <v/>
      </c>
      <c r="AC692" t="str">
        <f>IF(Y692="","",IF(Y692="[FÓRMULA MANUAL]","",IFERROR(SUMPRODUCT((nNIA=Y692)*(nCUENTA=1)*(COUNTIF(CONFIG_ASIGNATURAS!$B$7:$B$27,nASIG)&gt;0)*(nNOTA))/SUMPRODUCT((nNIA=Y692)*(nCUENTA=1)*(COUNTIF(CONFIG_ASIGNATURAS!$B$7:$B$27,nASIG)&gt;0)*1),"")))</f>
        <v/>
      </c>
      <c r="AF692" t="str">
        <f>IF(AE692="","",IF(AE692="[FÓRMULA MANUAL]","",IFERROR(AVERAGEIFS(nNOTA,nNIA,AE692,nCUENTA,1,nASIG,"Análisis"),"")))</f>
        <v/>
      </c>
      <c r="AG692" t="str">
        <f>IF(AE692="","",IF(AE692="[FÓRMULA MANUAL]","",IFERROR(AVERAGEIFS(nNOTA,nNIA,AE692,nCUENTA,1,nASIG,"Orquesta/Banda/Conjunto"),"")))</f>
        <v/>
      </c>
      <c r="AH692" t="str">
        <f>IF(AE692="","",IF(AE692="[FÓRMULA MANUAL]","",IFERROR(AVERAGEIFS(nNOTA,nNIA,AE692,nCUENTA,1,nASIG,"Música de Cámara"),"")))</f>
        <v/>
      </c>
      <c r="AI692" t="str">
        <f>IF(AE692="","",IF(AE692="[FÓRMULA MANUAL]","",IFERROR(SUMPRODUCT((nNIA=AE692)*(nCUENTA=1)*(COUNTIF(CONFIG_ASIGNATURAS!$B$7:$B$27,nASIG)&gt;0)*(nNOTA))/SUMPRODUCT((nNIA=AE692)*(nCUENTA=1)*(COUNTIF(CONFIG_ASIGNATURAS!$B$7:$B$27,nASIG)&gt;0)*1),"")))</f>
        <v/>
      </c>
    </row>
    <row r="693" spans="2:35" x14ac:dyDescent="0.2">
      <c r="B693" t="str">
        <f>IF(A693="","",IF(A693="[FÓRMULA MANUAL]","",IFERROR(AVERAGEIFS(nNOTA,nNIA,A693,nCUENTA,1,nASIG,"Lenguaje Musical"),"")))</f>
        <v/>
      </c>
      <c r="C693" t="str">
        <f>IF(A693="","",IF(A693="[FÓRMULA MANUAL]","",IFERROR(AVERAGEIFS(nNOTA,nNIA,A693,nCUENTA,1,nASIG,"Orquesta/Banda/Conjunto"),"")))</f>
        <v/>
      </c>
      <c r="D693" t="str">
        <f>IF(A693="","",IF(A693="[FÓRMULA MANUAL]","",IFERROR(AVERAGEIFS(nNOTA,nNIA,A693,nCUENTA,1,nASIG,"Conjunto"),"")))</f>
        <v/>
      </c>
      <c r="E693" t="str">
        <f>IF(A693="","",IF(A693="[FÓRMULA MANUAL]","",IFERROR(SUMPRODUCT((nNIA=A693)*(nCUENTA=1)*(COUNTIF(CONFIG_ASIGNATURAS!$B$7:$B$27,nASIG)&gt;0)*(nNOTA))/SUMPRODUCT((nNIA=A693)*(nCUENTA=1)*(COUNTIF(CONFIG_ASIGNATURAS!$B$7:$B$27,nASIG)&gt;0)*1),"")))</f>
        <v/>
      </c>
      <c r="H693" t="str">
        <f>IF(G693="","",IF(G693="[FÓRMULA MANUAL]","",IFERROR(AVERAGEIFS(nNOTA,nNIA,G693,nCUENTA,1,nASIG,"Lenguaje Musical"),"")))</f>
        <v/>
      </c>
      <c r="I693" t="str">
        <f>IF(G693="","",IF(G693="[FÓRMULA MANUAL]","",IFERROR(AVERAGEIFS(nNOTA,nNIA,G693,nCUENTA,1,nASIG,"Orquesta/Banda/Conjunto"),"")))</f>
        <v/>
      </c>
      <c r="J693" t="str">
        <f>IF(G693="","",IF(G693="[FÓRMULA MANUAL]","",IFERROR(AVERAGEIFS(nNOTA,nNIA,G693,nCUENTA,1,nASIG,"Conjunto"),"")))</f>
        <v/>
      </c>
      <c r="K693" t="str">
        <f>IF(G693="","",IF(G693="[FÓRMULA MANUAL]","",IFERROR(SUMPRODUCT((nNIA=G693)*(nCUENTA=1)*(COUNTIF(CONFIG_ASIGNATURAS!$B$7:$B$27,nASIG)&gt;0)*(nNOTA))/SUMPRODUCT((nNIA=G693)*(nCUENTA=1)*(COUNTIF(CONFIG_ASIGNATURAS!$B$7:$B$27,nASIG)&gt;0)*1),"")))</f>
        <v/>
      </c>
      <c r="N693" t="str">
        <f>IF(M693="","",IF(M693="[FÓRMULA MANUAL]","",IFERROR(AVERAGEIFS(nNOTA,nNIA,M693,nCUENTA,1,nASIG,"Armonía"),"")))</f>
        <v/>
      </c>
      <c r="O693" t="str">
        <f>IF(M693="","",IF(M693="[FÓRMULA MANUAL]","",IFERROR(AVERAGEIFS(nNOTA,nNIA,M693,nCUENTA,1,nASIG,"Orquesta/Banda/Conjunto"),"")))</f>
        <v/>
      </c>
      <c r="P693" t="str">
        <f>IF(M693="","",IF(M693="[FÓRMULA MANUAL]","",IFERROR(AVERAGEIFS(nNOTA,nNIA,M693,nCUENTA,1,nASIG,"Música de Cámara"),"")))</f>
        <v/>
      </c>
      <c r="Q693" t="str">
        <f>IF(M693="","",IF(M693="[FÓRMULA MANUAL]","",IFERROR(SUMPRODUCT((nNIA=M693)*(nCUENTA=1)*(COUNTIF(CONFIG_ASIGNATURAS!$B$7:$B$27,nASIG)&gt;0)*(nNOTA))/SUMPRODUCT((nNIA=M693)*(nCUENTA=1)*(COUNTIF(CONFIG_ASIGNATURAS!$B$7:$B$27,nASIG)&gt;0)*1),"")))</f>
        <v/>
      </c>
      <c r="T693" t="str">
        <f>IF(S693="","",IF(S693="[FÓRMULA MANUAL]","",IFERROR(AVERAGEIFS(nNOTA,nNIA,S693,nCUENTA,1,nASIG,"Armonía"),"")))</f>
        <v/>
      </c>
      <c r="U693" t="str">
        <f>IF(S693="","",IF(S693="[FÓRMULA MANUAL]","",IFERROR(AVERAGEIFS(nNOTA,nNIA,S693,nCUENTA,1,nASIG,"Orquesta/Banda/Conjunto"),"")))</f>
        <v/>
      </c>
      <c r="V693" t="str">
        <f>IF(S693="","",IF(S693="[FÓRMULA MANUAL]","",IFERROR(AVERAGEIFS(nNOTA,nNIA,S693,nCUENTA,1,nASIG,"Música de Cámara"),"")))</f>
        <v/>
      </c>
      <c r="W693" t="str">
        <f>IF(S693="","",IF(S693="[FÓRMULA MANUAL]","",IFERROR(SUMPRODUCT((nNIA=S693)*(nCUENTA=1)*(COUNTIF(CONFIG_ASIGNATURAS!$B$7:$B$27,nASIG)&gt;0)*(nNOTA))/SUMPRODUCT((nNIA=S693)*(nCUENTA=1)*(COUNTIF(CONFIG_ASIGNATURAS!$B$7:$B$27,nASIG)&gt;0)*1),"")))</f>
        <v/>
      </c>
      <c r="Z693" t="str">
        <f>IF(Y693="","",IF(Y693="[FÓRMULA MANUAL]","",IFERROR(AVERAGEIFS(nNOTA,nNIA,Y693,nCUENTA,1,nASIG,"Análisis"),"")))</f>
        <v/>
      </c>
      <c r="AA693" t="str">
        <f>IF(Y693="","",IF(Y693="[FÓRMULA MANUAL]","",IFERROR(AVERAGEIFS(nNOTA,nNIA,Y693,nCUENTA,1,nASIG,"Orquesta/Banda/Conjunto"),"")))</f>
        <v/>
      </c>
      <c r="AB693" t="str">
        <f>IF(Y693="","",IF(Y693="[FÓRMULA MANUAL]","",IFERROR(AVERAGEIFS(nNOTA,nNIA,Y693,nCUENTA,1,nASIG,"Música de Cámara"),"")))</f>
        <v/>
      </c>
      <c r="AC693" t="str">
        <f>IF(Y693="","",IF(Y693="[FÓRMULA MANUAL]","",IFERROR(SUMPRODUCT((nNIA=Y693)*(nCUENTA=1)*(COUNTIF(CONFIG_ASIGNATURAS!$B$7:$B$27,nASIG)&gt;0)*(nNOTA))/SUMPRODUCT((nNIA=Y693)*(nCUENTA=1)*(COUNTIF(CONFIG_ASIGNATURAS!$B$7:$B$27,nASIG)&gt;0)*1),"")))</f>
        <v/>
      </c>
      <c r="AF693" t="str">
        <f>IF(AE693="","",IF(AE693="[FÓRMULA MANUAL]","",IFERROR(AVERAGEIFS(nNOTA,nNIA,AE693,nCUENTA,1,nASIG,"Análisis"),"")))</f>
        <v/>
      </c>
      <c r="AG693" t="str">
        <f>IF(AE693="","",IF(AE693="[FÓRMULA MANUAL]","",IFERROR(AVERAGEIFS(nNOTA,nNIA,AE693,nCUENTA,1,nASIG,"Orquesta/Banda/Conjunto"),"")))</f>
        <v/>
      </c>
      <c r="AH693" t="str">
        <f>IF(AE693="","",IF(AE693="[FÓRMULA MANUAL]","",IFERROR(AVERAGEIFS(nNOTA,nNIA,AE693,nCUENTA,1,nASIG,"Música de Cámara"),"")))</f>
        <v/>
      </c>
      <c r="AI693" t="str">
        <f>IF(AE693="","",IF(AE693="[FÓRMULA MANUAL]","",IFERROR(SUMPRODUCT((nNIA=AE693)*(nCUENTA=1)*(COUNTIF(CONFIG_ASIGNATURAS!$B$7:$B$27,nASIG)&gt;0)*(nNOTA))/SUMPRODUCT((nNIA=AE693)*(nCUENTA=1)*(COUNTIF(CONFIG_ASIGNATURAS!$B$7:$B$27,nASIG)&gt;0)*1),"")))</f>
        <v/>
      </c>
    </row>
    <row r="694" spans="2:35" x14ac:dyDescent="0.2">
      <c r="B694" t="str">
        <f>IF(A694="","",IF(A694="[FÓRMULA MANUAL]","",IFERROR(AVERAGEIFS(nNOTA,nNIA,A694,nCUENTA,1,nASIG,"Lenguaje Musical"),"")))</f>
        <v/>
      </c>
      <c r="C694" t="str">
        <f>IF(A694="","",IF(A694="[FÓRMULA MANUAL]","",IFERROR(AVERAGEIFS(nNOTA,nNIA,A694,nCUENTA,1,nASIG,"Orquesta/Banda/Conjunto"),"")))</f>
        <v/>
      </c>
      <c r="D694" t="str">
        <f>IF(A694="","",IF(A694="[FÓRMULA MANUAL]","",IFERROR(AVERAGEIFS(nNOTA,nNIA,A694,nCUENTA,1,nASIG,"Conjunto"),"")))</f>
        <v/>
      </c>
      <c r="E694" t="str">
        <f>IF(A694="","",IF(A694="[FÓRMULA MANUAL]","",IFERROR(SUMPRODUCT((nNIA=A694)*(nCUENTA=1)*(COUNTIF(CONFIG_ASIGNATURAS!$B$7:$B$27,nASIG)&gt;0)*(nNOTA))/SUMPRODUCT((nNIA=A694)*(nCUENTA=1)*(COUNTIF(CONFIG_ASIGNATURAS!$B$7:$B$27,nASIG)&gt;0)*1),"")))</f>
        <v/>
      </c>
      <c r="H694" t="str">
        <f>IF(G694="","",IF(G694="[FÓRMULA MANUAL]","",IFERROR(AVERAGEIFS(nNOTA,nNIA,G694,nCUENTA,1,nASIG,"Lenguaje Musical"),"")))</f>
        <v/>
      </c>
      <c r="I694" t="str">
        <f>IF(G694="","",IF(G694="[FÓRMULA MANUAL]","",IFERROR(AVERAGEIFS(nNOTA,nNIA,G694,nCUENTA,1,nASIG,"Orquesta/Banda/Conjunto"),"")))</f>
        <v/>
      </c>
      <c r="J694" t="str">
        <f>IF(G694="","",IF(G694="[FÓRMULA MANUAL]","",IFERROR(AVERAGEIFS(nNOTA,nNIA,G694,nCUENTA,1,nASIG,"Conjunto"),"")))</f>
        <v/>
      </c>
      <c r="K694" t="str">
        <f>IF(G694="","",IF(G694="[FÓRMULA MANUAL]","",IFERROR(SUMPRODUCT((nNIA=G694)*(nCUENTA=1)*(COUNTIF(CONFIG_ASIGNATURAS!$B$7:$B$27,nASIG)&gt;0)*(nNOTA))/SUMPRODUCT((nNIA=G694)*(nCUENTA=1)*(COUNTIF(CONFIG_ASIGNATURAS!$B$7:$B$27,nASIG)&gt;0)*1),"")))</f>
        <v/>
      </c>
      <c r="N694" t="str">
        <f>IF(M694="","",IF(M694="[FÓRMULA MANUAL]","",IFERROR(AVERAGEIFS(nNOTA,nNIA,M694,nCUENTA,1,nASIG,"Armonía"),"")))</f>
        <v/>
      </c>
      <c r="O694" t="str">
        <f>IF(M694="","",IF(M694="[FÓRMULA MANUAL]","",IFERROR(AVERAGEIFS(nNOTA,nNIA,M694,nCUENTA,1,nASIG,"Orquesta/Banda/Conjunto"),"")))</f>
        <v/>
      </c>
      <c r="P694" t="str">
        <f>IF(M694="","",IF(M694="[FÓRMULA MANUAL]","",IFERROR(AVERAGEIFS(nNOTA,nNIA,M694,nCUENTA,1,nASIG,"Música de Cámara"),"")))</f>
        <v/>
      </c>
      <c r="Q694" t="str">
        <f>IF(M694="","",IF(M694="[FÓRMULA MANUAL]","",IFERROR(SUMPRODUCT((nNIA=M694)*(nCUENTA=1)*(COUNTIF(CONFIG_ASIGNATURAS!$B$7:$B$27,nASIG)&gt;0)*(nNOTA))/SUMPRODUCT((nNIA=M694)*(nCUENTA=1)*(COUNTIF(CONFIG_ASIGNATURAS!$B$7:$B$27,nASIG)&gt;0)*1),"")))</f>
        <v/>
      </c>
      <c r="T694" t="str">
        <f>IF(S694="","",IF(S694="[FÓRMULA MANUAL]","",IFERROR(AVERAGEIFS(nNOTA,nNIA,S694,nCUENTA,1,nASIG,"Armonía"),"")))</f>
        <v/>
      </c>
      <c r="U694" t="str">
        <f>IF(S694="","",IF(S694="[FÓRMULA MANUAL]","",IFERROR(AVERAGEIFS(nNOTA,nNIA,S694,nCUENTA,1,nASIG,"Orquesta/Banda/Conjunto"),"")))</f>
        <v/>
      </c>
      <c r="V694" t="str">
        <f>IF(S694="","",IF(S694="[FÓRMULA MANUAL]","",IFERROR(AVERAGEIFS(nNOTA,nNIA,S694,nCUENTA,1,nASIG,"Música de Cámara"),"")))</f>
        <v/>
      </c>
      <c r="W694" t="str">
        <f>IF(S694="","",IF(S694="[FÓRMULA MANUAL]","",IFERROR(SUMPRODUCT((nNIA=S694)*(nCUENTA=1)*(COUNTIF(CONFIG_ASIGNATURAS!$B$7:$B$27,nASIG)&gt;0)*(nNOTA))/SUMPRODUCT((nNIA=S694)*(nCUENTA=1)*(COUNTIF(CONFIG_ASIGNATURAS!$B$7:$B$27,nASIG)&gt;0)*1),"")))</f>
        <v/>
      </c>
      <c r="Z694" t="str">
        <f>IF(Y694="","",IF(Y694="[FÓRMULA MANUAL]","",IFERROR(AVERAGEIFS(nNOTA,nNIA,Y694,nCUENTA,1,nASIG,"Análisis"),"")))</f>
        <v/>
      </c>
      <c r="AA694" t="str">
        <f>IF(Y694="","",IF(Y694="[FÓRMULA MANUAL]","",IFERROR(AVERAGEIFS(nNOTA,nNIA,Y694,nCUENTA,1,nASIG,"Orquesta/Banda/Conjunto"),"")))</f>
        <v/>
      </c>
      <c r="AB694" t="str">
        <f>IF(Y694="","",IF(Y694="[FÓRMULA MANUAL]","",IFERROR(AVERAGEIFS(nNOTA,nNIA,Y694,nCUENTA,1,nASIG,"Música de Cámara"),"")))</f>
        <v/>
      </c>
      <c r="AC694" t="str">
        <f>IF(Y694="","",IF(Y694="[FÓRMULA MANUAL]","",IFERROR(SUMPRODUCT((nNIA=Y694)*(nCUENTA=1)*(COUNTIF(CONFIG_ASIGNATURAS!$B$7:$B$27,nASIG)&gt;0)*(nNOTA))/SUMPRODUCT((nNIA=Y694)*(nCUENTA=1)*(COUNTIF(CONFIG_ASIGNATURAS!$B$7:$B$27,nASIG)&gt;0)*1),"")))</f>
        <v/>
      </c>
      <c r="AF694" t="str">
        <f>IF(AE694="","",IF(AE694="[FÓRMULA MANUAL]","",IFERROR(AVERAGEIFS(nNOTA,nNIA,AE694,nCUENTA,1,nASIG,"Análisis"),"")))</f>
        <v/>
      </c>
      <c r="AG694" t="str">
        <f>IF(AE694="","",IF(AE694="[FÓRMULA MANUAL]","",IFERROR(AVERAGEIFS(nNOTA,nNIA,AE694,nCUENTA,1,nASIG,"Orquesta/Banda/Conjunto"),"")))</f>
        <v/>
      </c>
      <c r="AH694" t="str">
        <f>IF(AE694="","",IF(AE694="[FÓRMULA MANUAL]","",IFERROR(AVERAGEIFS(nNOTA,nNIA,AE694,nCUENTA,1,nASIG,"Música de Cámara"),"")))</f>
        <v/>
      </c>
      <c r="AI694" t="str">
        <f>IF(AE694="","",IF(AE694="[FÓRMULA MANUAL]","",IFERROR(SUMPRODUCT((nNIA=AE694)*(nCUENTA=1)*(COUNTIF(CONFIG_ASIGNATURAS!$B$7:$B$27,nASIG)&gt;0)*(nNOTA))/SUMPRODUCT((nNIA=AE694)*(nCUENTA=1)*(COUNTIF(CONFIG_ASIGNATURAS!$B$7:$B$27,nASIG)&gt;0)*1),"")))</f>
        <v/>
      </c>
    </row>
    <row r="695" spans="2:35" x14ac:dyDescent="0.2">
      <c r="B695" t="str">
        <f>IF(A695="","",IF(A695="[FÓRMULA MANUAL]","",IFERROR(AVERAGEIFS(nNOTA,nNIA,A695,nCUENTA,1,nASIG,"Lenguaje Musical"),"")))</f>
        <v/>
      </c>
      <c r="C695" t="str">
        <f>IF(A695="","",IF(A695="[FÓRMULA MANUAL]","",IFERROR(AVERAGEIFS(nNOTA,nNIA,A695,nCUENTA,1,nASIG,"Orquesta/Banda/Conjunto"),"")))</f>
        <v/>
      </c>
      <c r="D695" t="str">
        <f>IF(A695="","",IF(A695="[FÓRMULA MANUAL]","",IFERROR(AVERAGEIFS(nNOTA,nNIA,A695,nCUENTA,1,nASIG,"Conjunto"),"")))</f>
        <v/>
      </c>
      <c r="E695" t="str">
        <f>IF(A695="","",IF(A695="[FÓRMULA MANUAL]","",IFERROR(SUMPRODUCT((nNIA=A695)*(nCUENTA=1)*(COUNTIF(CONFIG_ASIGNATURAS!$B$7:$B$27,nASIG)&gt;0)*(nNOTA))/SUMPRODUCT((nNIA=A695)*(nCUENTA=1)*(COUNTIF(CONFIG_ASIGNATURAS!$B$7:$B$27,nASIG)&gt;0)*1),"")))</f>
        <v/>
      </c>
      <c r="H695" t="str">
        <f>IF(G695="","",IF(G695="[FÓRMULA MANUAL]","",IFERROR(AVERAGEIFS(nNOTA,nNIA,G695,nCUENTA,1,nASIG,"Lenguaje Musical"),"")))</f>
        <v/>
      </c>
      <c r="I695" t="str">
        <f>IF(G695="","",IF(G695="[FÓRMULA MANUAL]","",IFERROR(AVERAGEIFS(nNOTA,nNIA,G695,nCUENTA,1,nASIG,"Orquesta/Banda/Conjunto"),"")))</f>
        <v/>
      </c>
      <c r="J695" t="str">
        <f>IF(G695="","",IF(G695="[FÓRMULA MANUAL]","",IFERROR(AVERAGEIFS(nNOTA,nNIA,G695,nCUENTA,1,nASIG,"Conjunto"),"")))</f>
        <v/>
      </c>
      <c r="K695" t="str">
        <f>IF(G695="","",IF(G695="[FÓRMULA MANUAL]","",IFERROR(SUMPRODUCT((nNIA=G695)*(nCUENTA=1)*(COUNTIF(CONFIG_ASIGNATURAS!$B$7:$B$27,nASIG)&gt;0)*(nNOTA))/SUMPRODUCT((nNIA=G695)*(nCUENTA=1)*(COUNTIF(CONFIG_ASIGNATURAS!$B$7:$B$27,nASIG)&gt;0)*1),"")))</f>
        <v/>
      </c>
      <c r="N695" t="str">
        <f>IF(M695="","",IF(M695="[FÓRMULA MANUAL]","",IFERROR(AVERAGEIFS(nNOTA,nNIA,M695,nCUENTA,1,nASIG,"Armonía"),"")))</f>
        <v/>
      </c>
      <c r="O695" t="str">
        <f>IF(M695="","",IF(M695="[FÓRMULA MANUAL]","",IFERROR(AVERAGEIFS(nNOTA,nNIA,M695,nCUENTA,1,nASIG,"Orquesta/Banda/Conjunto"),"")))</f>
        <v/>
      </c>
      <c r="P695" t="str">
        <f>IF(M695="","",IF(M695="[FÓRMULA MANUAL]","",IFERROR(AVERAGEIFS(nNOTA,nNIA,M695,nCUENTA,1,nASIG,"Música de Cámara"),"")))</f>
        <v/>
      </c>
      <c r="Q695" t="str">
        <f>IF(M695="","",IF(M695="[FÓRMULA MANUAL]","",IFERROR(SUMPRODUCT((nNIA=M695)*(nCUENTA=1)*(COUNTIF(CONFIG_ASIGNATURAS!$B$7:$B$27,nASIG)&gt;0)*(nNOTA))/SUMPRODUCT((nNIA=M695)*(nCUENTA=1)*(COUNTIF(CONFIG_ASIGNATURAS!$B$7:$B$27,nASIG)&gt;0)*1),"")))</f>
        <v/>
      </c>
      <c r="T695" t="str">
        <f>IF(S695="","",IF(S695="[FÓRMULA MANUAL]","",IFERROR(AVERAGEIFS(nNOTA,nNIA,S695,nCUENTA,1,nASIG,"Armonía"),"")))</f>
        <v/>
      </c>
      <c r="U695" t="str">
        <f>IF(S695="","",IF(S695="[FÓRMULA MANUAL]","",IFERROR(AVERAGEIFS(nNOTA,nNIA,S695,nCUENTA,1,nASIG,"Orquesta/Banda/Conjunto"),"")))</f>
        <v/>
      </c>
      <c r="V695" t="str">
        <f>IF(S695="","",IF(S695="[FÓRMULA MANUAL]","",IFERROR(AVERAGEIFS(nNOTA,nNIA,S695,nCUENTA,1,nASIG,"Música de Cámara"),"")))</f>
        <v/>
      </c>
      <c r="W695" t="str">
        <f>IF(S695="","",IF(S695="[FÓRMULA MANUAL]","",IFERROR(SUMPRODUCT((nNIA=S695)*(nCUENTA=1)*(COUNTIF(CONFIG_ASIGNATURAS!$B$7:$B$27,nASIG)&gt;0)*(nNOTA))/SUMPRODUCT((nNIA=S695)*(nCUENTA=1)*(COUNTIF(CONFIG_ASIGNATURAS!$B$7:$B$27,nASIG)&gt;0)*1),"")))</f>
        <v/>
      </c>
      <c r="Z695" t="str">
        <f>IF(Y695="","",IF(Y695="[FÓRMULA MANUAL]","",IFERROR(AVERAGEIFS(nNOTA,nNIA,Y695,nCUENTA,1,nASIG,"Análisis"),"")))</f>
        <v/>
      </c>
      <c r="AA695" t="str">
        <f>IF(Y695="","",IF(Y695="[FÓRMULA MANUAL]","",IFERROR(AVERAGEIFS(nNOTA,nNIA,Y695,nCUENTA,1,nASIG,"Orquesta/Banda/Conjunto"),"")))</f>
        <v/>
      </c>
      <c r="AB695" t="str">
        <f>IF(Y695="","",IF(Y695="[FÓRMULA MANUAL]","",IFERROR(AVERAGEIFS(nNOTA,nNIA,Y695,nCUENTA,1,nASIG,"Música de Cámara"),"")))</f>
        <v/>
      </c>
      <c r="AC695" t="str">
        <f>IF(Y695="","",IF(Y695="[FÓRMULA MANUAL]","",IFERROR(SUMPRODUCT((nNIA=Y695)*(nCUENTA=1)*(COUNTIF(CONFIG_ASIGNATURAS!$B$7:$B$27,nASIG)&gt;0)*(nNOTA))/SUMPRODUCT((nNIA=Y695)*(nCUENTA=1)*(COUNTIF(CONFIG_ASIGNATURAS!$B$7:$B$27,nASIG)&gt;0)*1),"")))</f>
        <v/>
      </c>
      <c r="AF695" t="str">
        <f>IF(AE695="","",IF(AE695="[FÓRMULA MANUAL]","",IFERROR(AVERAGEIFS(nNOTA,nNIA,AE695,nCUENTA,1,nASIG,"Análisis"),"")))</f>
        <v/>
      </c>
      <c r="AG695" t="str">
        <f>IF(AE695="","",IF(AE695="[FÓRMULA MANUAL]","",IFERROR(AVERAGEIFS(nNOTA,nNIA,AE695,nCUENTA,1,nASIG,"Orquesta/Banda/Conjunto"),"")))</f>
        <v/>
      </c>
      <c r="AH695" t="str">
        <f>IF(AE695="","",IF(AE695="[FÓRMULA MANUAL]","",IFERROR(AVERAGEIFS(nNOTA,nNIA,AE695,nCUENTA,1,nASIG,"Música de Cámara"),"")))</f>
        <v/>
      </c>
      <c r="AI695" t="str">
        <f>IF(AE695="","",IF(AE695="[FÓRMULA MANUAL]","",IFERROR(SUMPRODUCT((nNIA=AE695)*(nCUENTA=1)*(COUNTIF(CONFIG_ASIGNATURAS!$B$7:$B$27,nASIG)&gt;0)*(nNOTA))/SUMPRODUCT((nNIA=AE695)*(nCUENTA=1)*(COUNTIF(CONFIG_ASIGNATURAS!$B$7:$B$27,nASIG)&gt;0)*1),"")))</f>
        <v/>
      </c>
    </row>
    <row r="696" spans="2:35" x14ac:dyDescent="0.2">
      <c r="B696" t="str">
        <f>IF(A696="","",IF(A696="[FÓRMULA MANUAL]","",IFERROR(AVERAGEIFS(nNOTA,nNIA,A696,nCUENTA,1,nASIG,"Lenguaje Musical"),"")))</f>
        <v/>
      </c>
      <c r="C696" t="str">
        <f>IF(A696="","",IF(A696="[FÓRMULA MANUAL]","",IFERROR(AVERAGEIFS(nNOTA,nNIA,A696,nCUENTA,1,nASIG,"Orquesta/Banda/Conjunto"),"")))</f>
        <v/>
      </c>
      <c r="D696" t="str">
        <f>IF(A696="","",IF(A696="[FÓRMULA MANUAL]","",IFERROR(AVERAGEIFS(nNOTA,nNIA,A696,nCUENTA,1,nASIG,"Conjunto"),"")))</f>
        <v/>
      </c>
      <c r="E696" t="str">
        <f>IF(A696="","",IF(A696="[FÓRMULA MANUAL]","",IFERROR(SUMPRODUCT((nNIA=A696)*(nCUENTA=1)*(COUNTIF(CONFIG_ASIGNATURAS!$B$7:$B$27,nASIG)&gt;0)*(nNOTA))/SUMPRODUCT((nNIA=A696)*(nCUENTA=1)*(COUNTIF(CONFIG_ASIGNATURAS!$B$7:$B$27,nASIG)&gt;0)*1),"")))</f>
        <v/>
      </c>
      <c r="H696" t="str">
        <f>IF(G696="","",IF(G696="[FÓRMULA MANUAL]","",IFERROR(AVERAGEIFS(nNOTA,nNIA,G696,nCUENTA,1,nASIG,"Lenguaje Musical"),"")))</f>
        <v/>
      </c>
      <c r="I696" t="str">
        <f>IF(G696="","",IF(G696="[FÓRMULA MANUAL]","",IFERROR(AVERAGEIFS(nNOTA,nNIA,G696,nCUENTA,1,nASIG,"Orquesta/Banda/Conjunto"),"")))</f>
        <v/>
      </c>
      <c r="J696" t="str">
        <f>IF(G696="","",IF(G696="[FÓRMULA MANUAL]","",IFERROR(AVERAGEIFS(nNOTA,nNIA,G696,nCUENTA,1,nASIG,"Conjunto"),"")))</f>
        <v/>
      </c>
      <c r="K696" t="str">
        <f>IF(G696="","",IF(G696="[FÓRMULA MANUAL]","",IFERROR(SUMPRODUCT((nNIA=G696)*(nCUENTA=1)*(COUNTIF(CONFIG_ASIGNATURAS!$B$7:$B$27,nASIG)&gt;0)*(nNOTA))/SUMPRODUCT((nNIA=G696)*(nCUENTA=1)*(COUNTIF(CONFIG_ASIGNATURAS!$B$7:$B$27,nASIG)&gt;0)*1),"")))</f>
        <v/>
      </c>
      <c r="N696" t="str">
        <f>IF(M696="","",IF(M696="[FÓRMULA MANUAL]","",IFERROR(AVERAGEIFS(nNOTA,nNIA,M696,nCUENTA,1,nASIG,"Armonía"),"")))</f>
        <v/>
      </c>
      <c r="O696" t="str">
        <f>IF(M696="","",IF(M696="[FÓRMULA MANUAL]","",IFERROR(AVERAGEIFS(nNOTA,nNIA,M696,nCUENTA,1,nASIG,"Orquesta/Banda/Conjunto"),"")))</f>
        <v/>
      </c>
      <c r="P696" t="str">
        <f>IF(M696="","",IF(M696="[FÓRMULA MANUAL]","",IFERROR(AVERAGEIFS(nNOTA,nNIA,M696,nCUENTA,1,nASIG,"Música de Cámara"),"")))</f>
        <v/>
      </c>
      <c r="Q696" t="str">
        <f>IF(M696="","",IF(M696="[FÓRMULA MANUAL]","",IFERROR(SUMPRODUCT((nNIA=M696)*(nCUENTA=1)*(COUNTIF(CONFIG_ASIGNATURAS!$B$7:$B$27,nASIG)&gt;0)*(nNOTA))/SUMPRODUCT((nNIA=M696)*(nCUENTA=1)*(COUNTIF(CONFIG_ASIGNATURAS!$B$7:$B$27,nASIG)&gt;0)*1),"")))</f>
        <v/>
      </c>
      <c r="T696" t="str">
        <f>IF(S696="","",IF(S696="[FÓRMULA MANUAL]","",IFERROR(AVERAGEIFS(nNOTA,nNIA,S696,nCUENTA,1,nASIG,"Armonía"),"")))</f>
        <v/>
      </c>
      <c r="U696" t="str">
        <f>IF(S696="","",IF(S696="[FÓRMULA MANUAL]","",IFERROR(AVERAGEIFS(nNOTA,nNIA,S696,nCUENTA,1,nASIG,"Orquesta/Banda/Conjunto"),"")))</f>
        <v/>
      </c>
      <c r="V696" t="str">
        <f>IF(S696="","",IF(S696="[FÓRMULA MANUAL]","",IFERROR(AVERAGEIFS(nNOTA,nNIA,S696,nCUENTA,1,nASIG,"Música de Cámara"),"")))</f>
        <v/>
      </c>
      <c r="W696" t="str">
        <f>IF(S696="","",IF(S696="[FÓRMULA MANUAL]","",IFERROR(SUMPRODUCT((nNIA=S696)*(nCUENTA=1)*(COUNTIF(CONFIG_ASIGNATURAS!$B$7:$B$27,nASIG)&gt;0)*(nNOTA))/SUMPRODUCT((nNIA=S696)*(nCUENTA=1)*(COUNTIF(CONFIG_ASIGNATURAS!$B$7:$B$27,nASIG)&gt;0)*1),"")))</f>
        <v/>
      </c>
      <c r="Z696" t="str">
        <f>IF(Y696="","",IF(Y696="[FÓRMULA MANUAL]","",IFERROR(AVERAGEIFS(nNOTA,nNIA,Y696,nCUENTA,1,nASIG,"Análisis"),"")))</f>
        <v/>
      </c>
      <c r="AA696" t="str">
        <f>IF(Y696="","",IF(Y696="[FÓRMULA MANUAL]","",IFERROR(AVERAGEIFS(nNOTA,nNIA,Y696,nCUENTA,1,nASIG,"Orquesta/Banda/Conjunto"),"")))</f>
        <v/>
      </c>
      <c r="AB696" t="str">
        <f>IF(Y696="","",IF(Y696="[FÓRMULA MANUAL]","",IFERROR(AVERAGEIFS(nNOTA,nNIA,Y696,nCUENTA,1,nASIG,"Música de Cámara"),"")))</f>
        <v/>
      </c>
      <c r="AC696" t="str">
        <f>IF(Y696="","",IF(Y696="[FÓRMULA MANUAL]","",IFERROR(SUMPRODUCT((nNIA=Y696)*(nCUENTA=1)*(COUNTIF(CONFIG_ASIGNATURAS!$B$7:$B$27,nASIG)&gt;0)*(nNOTA))/SUMPRODUCT((nNIA=Y696)*(nCUENTA=1)*(COUNTIF(CONFIG_ASIGNATURAS!$B$7:$B$27,nASIG)&gt;0)*1),"")))</f>
        <v/>
      </c>
      <c r="AF696" t="str">
        <f>IF(AE696="","",IF(AE696="[FÓRMULA MANUAL]","",IFERROR(AVERAGEIFS(nNOTA,nNIA,AE696,nCUENTA,1,nASIG,"Análisis"),"")))</f>
        <v/>
      </c>
      <c r="AG696" t="str">
        <f>IF(AE696="","",IF(AE696="[FÓRMULA MANUAL]","",IFERROR(AVERAGEIFS(nNOTA,nNIA,AE696,nCUENTA,1,nASIG,"Orquesta/Banda/Conjunto"),"")))</f>
        <v/>
      </c>
      <c r="AH696" t="str">
        <f>IF(AE696="","",IF(AE696="[FÓRMULA MANUAL]","",IFERROR(AVERAGEIFS(nNOTA,nNIA,AE696,nCUENTA,1,nASIG,"Música de Cámara"),"")))</f>
        <v/>
      </c>
      <c r="AI696" t="str">
        <f>IF(AE696="","",IF(AE696="[FÓRMULA MANUAL]","",IFERROR(SUMPRODUCT((nNIA=AE696)*(nCUENTA=1)*(COUNTIF(CONFIG_ASIGNATURAS!$B$7:$B$27,nASIG)&gt;0)*(nNOTA))/SUMPRODUCT((nNIA=AE696)*(nCUENTA=1)*(COUNTIF(CONFIG_ASIGNATURAS!$B$7:$B$27,nASIG)&gt;0)*1),"")))</f>
        <v/>
      </c>
    </row>
    <row r="697" spans="2:35" x14ac:dyDescent="0.2">
      <c r="B697" t="str">
        <f>IF(A697="","",IF(A697="[FÓRMULA MANUAL]","",IFERROR(AVERAGEIFS(nNOTA,nNIA,A697,nCUENTA,1,nASIG,"Lenguaje Musical"),"")))</f>
        <v/>
      </c>
      <c r="C697" t="str">
        <f>IF(A697="","",IF(A697="[FÓRMULA MANUAL]","",IFERROR(AVERAGEIFS(nNOTA,nNIA,A697,nCUENTA,1,nASIG,"Orquesta/Banda/Conjunto"),"")))</f>
        <v/>
      </c>
      <c r="D697" t="str">
        <f>IF(A697="","",IF(A697="[FÓRMULA MANUAL]","",IFERROR(AVERAGEIFS(nNOTA,nNIA,A697,nCUENTA,1,nASIG,"Conjunto"),"")))</f>
        <v/>
      </c>
      <c r="E697" t="str">
        <f>IF(A697="","",IF(A697="[FÓRMULA MANUAL]","",IFERROR(SUMPRODUCT((nNIA=A697)*(nCUENTA=1)*(COUNTIF(CONFIG_ASIGNATURAS!$B$7:$B$27,nASIG)&gt;0)*(nNOTA))/SUMPRODUCT((nNIA=A697)*(nCUENTA=1)*(COUNTIF(CONFIG_ASIGNATURAS!$B$7:$B$27,nASIG)&gt;0)*1),"")))</f>
        <v/>
      </c>
      <c r="H697" t="str">
        <f>IF(G697="","",IF(G697="[FÓRMULA MANUAL]","",IFERROR(AVERAGEIFS(nNOTA,nNIA,G697,nCUENTA,1,nASIG,"Lenguaje Musical"),"")))</f>
        <v/>
      </c>
      <c r="I697" t="str">
        <f>IF(G697="","",IF(G697="[FÓRMULA MANUAL]","",IFERROR(AVERAGEIFS(nNOTA,nNIA,G697,nCUENTA,1,nASIG,"Orquesta/Banda/Conjunto"),"")))</f>
        <v/>
      </c>
      <c r="J697" t="str">
        <f>IF(G697="","",IF(G697="[FÓRMULA MANUAL]","",IFERROR(AVERAGEIFS(nNOTA,nNIA,G697,nCUENTA,1,nASIG,"Conjunto"),"")))</f>
        <v/>
      </c>
      <c r="K697" t="str">
        <f>IF(G697="","",IF(G697="[FÓRMULA MANUAL]","",IFERROR(SUMPRODUCT((nNIA=G697)*(nCUENTA=1)*(COUNTIF(CONFIG_ASIGNATURAS!$B$7:$B$27,nASIG)&gt;0)*(nNOTA))/SUMPRODUCT((nNIA=G697)*(nCUENTA=1)*(COUNTIF(CONFIG_ASIGNATURAS!$B$7:$B$27,nASIG)&gt;0)*1),"")))</f>
        <v/>
      </c>
      <c r="N697" t="str">
        <f>IF(M697="","",IF(M697="[FÓRMULA MANUAL]","",IFERROR(AVERAGEIFS(nNOTA,nNIA,M697,nCUENTA,1,nASIG,"Armonía"),"")))</f>
        <v/>
      </c>
      <c r="O697" t="str">
        <f>IF(M697="","",IF(M697="[FÓRMULA MANUAL]","",IFERROR(AVERAGEIFS(nNOTA,nNIA,M697,nCUENTA,1,nASIG,"Orquesta/Banda/Conjunto"),"")))</f>
        <v/>
      </c>
      <c r="P697" t="str">
        <f>IF(M697="","",IF(M697="[FÓRMULA MANUAL]","",IFERROR(AVERAGEIFS(nNOTA,nNIA,M697,nCUENTA,1,nASIG,"Música de Cámara"),"")))</f>
        <v/>
      </c>
      <c r="Q697" t="str">
        <f>IF(M697="","",IF(M697="[FÓRMULA MANUAL]","",IFERROR(SUMPRODUCT((nNIA=M697)*(nCUENTA=1)*(COUNTIF(CONFIG_ASIGNATURAS!$B$7:$B$27,nASIG)&gt;0)*(nNOTA))/SUMPRODUCT((nNIA=M697)*(nCUENTA=1)*(COUNTIF(CONFIG_ASIGNATURAS!$B$7:$B$27,nASIG)&gt;0)*1),"")))</f>
        <v/>
      </c>
      <c r="T697" t="str">
        <f>IF(S697="","",IF(S697="[FÓRMULA MANUAL]","",IFERROR(AVERAGEIFS(nNOTA,nNIA,S697,nCUENTA,1,nASIG,"Armonía"),"")))</f>
        <v/>
      </c>
      <c r="U697" t="str">
        <f>IF(S697="","",IF(S697="[FÓRMULA MANUAL]","",IFERROR(AVERAGEIFS(nNOTA,nNIA,S697,nCUENTA,1,nASIG,"Orquesta/Banda/Conjunto"),"")))</f>
        <v/>
      </c>
      <c r="V697" t="str">
        <f>IF(S697="","",IF(S697="[FÓRMULA MANUAL]","",IFERROR(AVERAGEIFS(nNOTA,nNIA,S697,nCUENTA,1,nASIG,"Música de Cámara"),"")))</f>
        <v/>
      </c>
      <c r="W697" t="str">
        <f>IF(S697="","",IF(S697="[FÓRMULA MANUAL]","",IFERROR(SUMPRODUCT((nNIA=S697)*(nCUENTA=1)*(COUNTIF(CONFIG_ASIGNATURAS!$B$7:$B$27,nASIG)&gt;0)*(nNOTA))/SUMPRODUCT((nNIA=S697)*(nCUENTA=1)*(COUNTIF(CONFIG_ASIGNATURAS!$B$7:$B$27,nASIG)&gt;0)*1),"")))</f>
        <v/>
      </c>
      <c r="Z697" t="str">
        <f>IF(Y697="","",IF(Y697="[FÓRMULA MANUAL]","",IFERROR(AVERAGEIFS(nNOTA,nNIA,Y697,nCUENTA,1,nASIG,"Análisis"),"")))</f>
        <v/>
      </c>
      <c r="AA697" t="str">
        <f>IF(Y697="","",IF(Y697="[FÓRMULA MANUAL]","",IFERROR(AVERAGEIFS(nNOTA,nNIA,Y697,nCUENTA,1,nASIG,"Orquesta/Banda/Conjunto"),"")))</f>
        <v/>
      </c>
      <c r="AB697" t="str">
        <f>IF(Y697="","",IF(Y697="[FÓRMULA MANUAL]","",IFERROR(AVERAGEIFS(nNOTA,nNIA,Y697,nCUENTA,1,nASIG,"Música de Cámara"),"")))</f>
        <v/>
      </c>
      <c r="AC697" t="str">
        <f>IF(Y697="","",IF(Y697="[FÓRMULA MANUAL]","",IFERROR(SUMPRODUCT((nNIA=Y697)*(nCUENTA=1)*(COUNTIF(CONFIG_ASIGNATURAS!$B$7:$B$27,nASIG)&gt;0)*(nNOTA))/SUMPRODUCT((nNIA=Y697)*(nCUENTA=1)*(COUNTIF(CONFIG_ASIGNATURAS!$B$7:$B$27,nASIG)&gt;0)*1),"")))</f>
        <v/>
      </c>
      <c r="AF697" t="str">
        <f>IF(AE697="","",IF(AE697="[FÓRMULA MANUAL]","",IFERROR(AVERAGEIFS(nNOTA,nNIA,AE697,nCUENTA,1,nASIG,"Análisis"),"")))</f>
        <v/>
      </c>
      <c r="AG697" t="str">
        <f>IF(AE697="","",IF(AE697="[FÓRMULA MANUAL]","",IFERROR(AVERAGEIFS(nNOTA,nNIA,AE697,nCUENTA,1,nASIG,"Orquesta/Banda/Conjunto"),"")))</f>
        <v/>
      </c>
      <c r="AH697" t="str">
        <f>IF(AE697="","",IF(AE697="[FÓRMULA MANUAL]","",IFERROR(AVERAGEIFS(nNOTA,nNIA,AE697,nCUENTA,1,nASIG,"Música de Cámara"),"")))</f>
        <v/>
      </c>
      <c r="AI697" t="str">
        <f>IF(AE697="","",IF(AE697="[FÓRMULA MANUAL]","",IFERROR(SUMPRODUCT((nNIA=AE697)*(nCUENTA=1)*(COUNTIF(CONFIG_ASIGNATURAS!$B$7:$B$27,nASIG)&gt;0)*(nNOTA))/SUMPRODUCT((nNIA=AE697)*(nCUENTA=1)*(COUNTIF(CONFIG_ASIGNATURAS!$B$7:$B$27,nASIG)&gt;0)*1),"")))</f>
        <v/>
      </c>
    </row>
    <row r="698" spans="2:35" x14ac:dyDescent="0.2">
      <c r="B698" t="str">
        <f>IF(A698="","",IF(A698="[FÓRMULA MANUAL]","",IFERROR(AVERAGEIFS(nNOTA,nNIA,A698,nCUENTA,1,nASIG,"Lenguaje Musical"),"")))</f>
        <v/>
      </c>
      <c r="C698" t="str">
        <f>IF(A698="","",IF(A698="[FÓRMULA MANUAL]","",IFERROR(AVERAGEIFS(nNOTA,nNIA,A698,nCUENTA,1,nASIG,"Orquesta/Banda/Conjunto"),"")))</f>
        <v/>
      </c>
      <c r="D698" t="str">
        <f>IF(A698="","",IF(A698="[FÓRMULA MANUAL]","",IFERROR(AVERAGEIFS(nNOTA,nNIA,A698,nCUENTA,1,nASIG,"Conjunto"),"")))</f>
        <v/>
      </c>
      <c r="E698" t="str">
        <f>IF(A698="","",IF(A698="[FÓRMULA MANUAL]","",IFERROR(SUMPRODUCT((nNIA=A698)*(nCUENTA=1)*(COUNTIF(CONFIG_ASIGNATURAS!$B$7:$B$27,nASIG)&gt;0)*(nNOTA))/SUMPRODUCT((nNIA=A698)*(nCUENTA=1)*(COUNTIF(CONFIG_ASIGNATURAS!$B$7:$B$27,nASIG)&gt;0)*1),"")))</f>
        <v/>
      </c>
      <c r="H698" t="str">
        <f>IF(G698="","",IF(G698="[FÓRMULA MANUAL]","",IFERROR(AVERAGEIFS(nNOTA,nNIA,G698,nCUENTA,1,nASIG,"Lenguaje Musical"),"")))</f>
        <v/>
      </c>
      <c r="I698" t="str">
        <f>IF(G698="","",IF(G698="[FÓRMULA MANUAL]","",IFERROR(AVERAGEIFS(nNOTA,nNIA,G698,nCUENTA,1,nASIG,"Orquesta/Banda/Conjunto"),"")))</f>
        <v/>
      </c>
      <c r="J698" t="str">
        <f>IF(G698="","",IF(G698="[FÓRMULA MANUAL]","",IFERROR(AVERAGEIFS(nNOTA,nNIA,G698,nCUENTA,1,nASIG,"Conjunto"),"")))</f>
        <v/>
      </c>
      <c r="K698" t="str">
        <f>IF(G698="","",IF(G698="[FÓRMULA MANUAL]","",IFERROR(SUMPRODUCT((nNIA=G698)*(nCUENTA=1)*(COUNTIF(CONFIG_ASIGNATURAS!$B$7:$B$27,nASIG)&gt;0)*(nNOTA))/SUMPRODUCT((nNIA=G698)*(nCUENTA=1)*(COUNTIF(CONFIG_ASIGNATURAS!$B$7:$B$27,nASIG)&gt;0)*1),"")))</f>
        <v/>
      </c>
      <c r="N698" t="str">
        <f>IF(M698="","",IF(M698="[FÓRMULA MANUAL]","",IFERROR(AVERAGEIFS(nNOTA,nNIA,M698,nCUENTA,1,nASIG,"Armonía"),"")))</f>
        <v/>
      </c>
      <c r="O698" t="str">
        <f>IF(M698="","",IF(M698="[FÓRMULA MANUAL]","",IFERROR(AVERAGEIFS(nNOTA,nNIA,M698,nCUENTA,1,nASIG,"Orquesta/Banda/Conjunto"),"")))</f>
        <v/>
      </c>
      <c r="P698" t="str">
        <f>IF(M698="","",IF(M698="[FÓRMULA MANUAL]","",IFERROR(AVERAGEIFS(nNOTA,nNIA,M698,nCUENTA,1,nASIG,"Música de Cámara"),"")))</f>
        <v/>
      </c>
      <c r="Q698" t="str">
        <f>IF(M698="","",IF(M698="[FÓRMULA MANUAL]","",IFERROR(SUMPRODUCT((nNIA=M698)*(nCUENTA=1)*(COUNTIF(CONFIG_ASIGNATURAS!$B$7:$B$27,nASIG)&gt;0)*(nNOTA))/SUMPRODUCT((nNIA=M698)*(nCUENTA=1)*(COUNTIF(CONFIG_ASIGNATURAS!$B$7:$B$27,nASIG)&gt;0)*1),"")))</f>
        <v/>
      </c>
      <c r="T698" t="str">
        <f>IF(S698="","",IF(S698="[FÓRMULA MANUAL]","",IFERROR(AVERAGEIFS(nNOTA,nNIA,S698,nCUENTA,1,nASIG,"Armonía"),"")))</f>
        <v/>
      </c>
      <c r="U698" t="str">
        <f>IF(S698="","",IF(S698="[FÓRMULA MANUAL]","",IFERROR(AVERAGEIFS(nNOTA,nNIA,S698,nCUENTA,1,nASIG,"Orquesta/Banda/Conjunto"),"")))</f>
        <v/>
      </c>
      <c r="V698" t="str">
        <f>IF(S698="","",IF(S698="[FÓRMULA MANUAL]","",IFERROR(AVERAGEIFS(nNOTA,nNIA,S698,nCUENTA,1,nASIG,"Música de Cámara"),"")))</f>
        <v/>
      </c>
      <c r="W698" t="str">
        <f>IF(S698="","",IF(S698="[FÓRMULA MANUAL]","",IFERROR(SUMPRODUCT((nNIA=S698)*(nCUENTA=1)*(COUNTIF(CONFIG_ASIGNATURAS!$B$7:$B$27,nASIG)&gt;0)*(nNOTA))/SUMPRODUCT((nNIA=S698)*(nCUENTA=1)*(COUNTIF(CONFIG_ASIGNATURAS!$B$7:$B$27,nASIG)&gt;0)*1),"")))</f>
        <v/>
      </c>
      <c r="Z698" t="str">
        <f>IF(Y698="","",IF(Y698="[FÓRMULA MANUAL]","",IFERROR(AVERAGEIFS(nNOTA,nNIA,Y698,nCUENTA,1,nASIG,"Análisis"),"")))</f>
        <v/>
      </c>
      <c r="AA698" t="str">
        <f>IF(Y698="","",IF(Y698="[FÓRMULA MANUAL]","",IFERROR(AVERAGEIFS(nNOTA,nNIA,Y698,nCUENTA,1,nASIG,"Orquesta/Banda/Conjunto"),"")))</f>
        <v/>
      </c>
      <c r="AB698" t="str">
        <f>IF(Y698="","",IF(Y698="[FÓRMULA MANUAL]","",IFERROR(AVERAGEIFS(nNOTA,nNIA,Y698,nCUENTA,1,nASIG,"Música de Cámara"),"")))</f>
        <v/>
      </c>
      <c r="AC698" t="str">
        <f>IF(Y698="","",IF(Y698="[FÓRMULA MANUAL]","",IFERROR(SUMPRODUCT((nNIA=Y698)*(nCUENTA=1)*(COUNTIF(CONFIG_ASIGNATURAS!$B$7:$B$27,nASIG)&gt;0)*(nNOTA))/SUMPRODUCT((nNIA=Y698)*(nCUENTA=1)*(COUNTIF(CONFIG_ASIGNATURAS!$B$7:$B$27,nASIG)&gt;0)*1),"")))</f>
        <v/>
      </c>
      <c r="AF698" t="str">
        <f>IF(AE698="","",IF(AE698="[FÓRMULA MANUAL]","",IFERROR(AVERAGEIFS(nNOTA,nNIA,AE698,nCUENTA,1,nASIG,"Análisis"),"")))</f>
        <v/>
      </c>
      <c r="AG698" t="str">
        <f>IF(AE698="","",IF(AE698="[FÓRMULA MANUAL]","",IFERROR(AVERAGEIFS(nNOTA,nNIA,AE698,nCUENTA,1,nASIG,"Orquesta/Banda/Conjunto"),"")))</f>
        <v/>
      </c>
      <c r="AH698" t="str">
        <f>IF(AE698="","",IF(AE698="[FÓRMULA MANUAL]","",IFERROR(AVERAGEIFS(nNOTA,nNIA,AE698,nCUENTA,1,nASIG,"Música de Cámara"),"")))</f>
        <v/>
      </c>
      <c r="AI698" t="str">
        <f>IF(AE698="","",IF(AE698="[FÓRMULA MANUAL]","",IFERROR(SUMPRODUCT((nNIA=AE698)*(nCUENTA=1)*(COUNTIF(CONFIG_ASIGNATURAS!$B$7:$B$27,nASIG)&gt;0)*(nNOTA))/SUMPRODUCT((nNIA=AE698)*(nCUENTA=1)*(COUNTIF(CONFIG_ASIGNATURAS!$B$7:$B$27,nASIG)&gt;0)*1),"")))</f>
        <v/>
      </c>
    </row>
    <row r="699" spans="2:35" x14ac:dyDescent="0.2">
      <c r="B699" t="str">
        <f>IF(A699="","",IF(A699="[FÓRMULA MANUAL]","",IFERROR(AVERAGEIFS(nNOTA,nNIA,A699,nCUENTA,1,nASIG,"Lenguaje Musical"),"")))</f>
        <v/>
      </c>
      <c r="C699" t="str">
        <f>IF(A699="","",IF(A699="[FÓRMULA MANUAL]","",IFERROR(AVERAGEIFS(nNOTA,nNIA,A699,nCUENTA,1,nASIG,"Orquesta/Banda/Conjunto"),"")))</f>
        <v/>
      </c>
      <c r="D699" t="str">
        <f>IF(A699="","",IF(A699="[FÓRMULA MANUAL]","",IFERROR(AVERAGEIFS(nNOTA,nNIA,A699,nCUENTA,1,nASIG,"Conjunto"),"")))</f>
        <v/>
      </c>
      <c r="E699" t="str">
        <f>IF(A699="","",IF(A699="[FÓRMULA MANUAL]","",IFERROR(SUMPRODUCT((nNIA=A699)*(nCUENTA=1)*(COUNTIF(CONFIG_ASIGNATURAS!$B$7:$B$27,nASIG)&gt;0)*(nNOTA))/SUMPRODUCT((nNIA=A699)*(nCUENTA=1)*(COUNTIF(CONFIG_ASIGNATURAS!$B$7:$B$27,nASIG)&gt;0)*1),"")))</f>
        <v/>
      </c>
      <c r="H699" t="str">
        <f>IF(G699="","",IF(G699="[FÓRMULA MANUAL]","",IFERROR(AVERAGEIFS(nNOTA,nNIA,G699,nCUENTA,1,nASIG,"Lenguaje Musical"),"")))</f>
        <v/>
      </c>
      <c r="I699" t="str">
        <f>IF(G699="","",IF(G699="[FÓRMULA MANUAL]","",IFERROR(AVERAGEIFS(nNOTA,nNIA,G699,nCUENTA,1,nASIG,"Orquesta/Banda/Conjunto"),"")))</f>
        <v/>
      </c>
      <c r="J699" t="str">
        <f>IF(G699="","",IF(G699="[FÓRMULA MANUAL]","",IFERROR(AVERAGEIFS(nNOTA,nNIA,G699,nCUENTA,1,nASIG,"Conjunto"),"")))</f>
        <v/>
      </c>
      <c r="K699" t="str">
        <f>IF(G699="","",IF(G699="[FÓRMULA MANUAL]","",IFERROR(SUMPRODUCT((nNIA=G699)*(nCUENTA=1)*(COUNTIF(CONFIG_ASIGNATURAS!$B$7:$B$27,nASIG)&gt;0)*(nNOTA))/SUMPRODUCT((nNIA=G699)*(nCUENTA=1)*(COUNTIF(CONFIG_ASIGNATURAS!$B$7:$B$27,nASIG)&gt;0)*1),"")))</f>
        <v/>
      </c>
      <c r="N699" t="str">
        <f>IF(M699="","",IF(M699="[FÓRMULA MANUAL]","",IFERROR(AVERAGEIFS(nNOTA,nNIA,M699,nCUENTA,1,nASIG,"Armonía"),"")))</f>
        <v/>
      </c>
      <c r="O699" t="str">
        <f>IF(M699="","",IF(M699="[FÓRMULA MANUAL]","",IFERROR(AVERAGEIFS(nNOTA,nNIA,M699,nCUENTA,1,nASIG,"Orquesta/Banda/Conjunto"),"")))</f>
        <v/>
      </c>
      <c r="P699" t="str">
        <f>IF(M699="","",IF(M699="[FÓRMULA MANUAL]","",IFERROR(AVERAGEIFS(nNOTA,nNIA,M699,nCUENTA,1,nASIG,"Música de Cámara"),"")))</f>
        <v/>
      </c>
      <c r="Q699" t="str">
        <f>IF(M699="","",IF(M699="[FÓRMULA MANUAL]","",IFERROR(SUMPRODUCT((nNIA=M699)*(nCUENTA=1)*(COUNTIF(CONFIG_ASIGNATURAS!$B$7:$B$27,nASIG)&gt;0)*(nNOTA))/SUMPRODUCT((nNIA=M699)*(nCUENTA=1)*(COUNTIF(CONFIG_ASIGNATURAS!$B$7:$B$27,nASIG)&gt;0)*1),"")))</f>
        <v/>
      </c>
      <c r="T699" t="str">
        <f>IF(S699="","",IF(S699="[FÓRMULA MANUAL]","",IFERROR(AVERAGEIFS(nNOTA,nNIA,S699,nCUENTA,1,nASIG,"Armonía"),"")))</f>
        <v/>
      </c>
      <c r="U699" t="str">
        <f>IF(S699="","",IF(S699="[FÓRMULA MANUAL]","",IFERROR(AVERAGEIFS(nNOTA,nNIA,S699,nCUENTA,1,nASIG,"Orquesta/Banda/Conjunto"),"")))</f>
        <v/>
      </c>
      <c r="V699" t="str">
        <f>IF(S699="","",IF(S699="[FÓRMULA MANUAL]","",IFERROR(AVERAGEIFS(nNOTA,nNIA,S699,nCUENTA,1,nASIG,"Música de Cámara"),"")))</f>
        <v/>
      </c>
      <c r="W699" t="str">
        <f>IF(S699="","",IF(S699="[FÓRMULA MANUAL]","",IFERROR(SUMPRODUCT((nNIA=S699)*(nCUENTA=1)*(COUNTIF(CONFIG_ASIGNATURAS!$B$7:$B$27,nASIG)&gt;0)*(nNOTA))/SUMPRODUCT((nNIA=S699)*(nCUENTA=1)*(COUNTIF(CONFIG_ASIGNATURAS!$B$7:$B$27,nASIG)&gt;0)*1),"")))</f>
        <v/>
      </c>
      <c r="Z699" t="str">
        <f>IF(Y699="","",IF(Y699="[FÓRMULA MANUAL]","",IFERROR(AVERAGEIFS(nNOTA,nNIA,Y699,nCUENTA,1,nASIG,"Análisis"),"")))</f>
        <v/>
      </c>
      <c r="AA699" t="str">
        <f>IF(Y699="","",IF(Y699="[FÓRMULA MANUAL]","",IFERROR(AVERAGEIFS(nNOTA,nNIA,Y699,nCUENTA,1,nASIG,"Orquesta/Banda/Conjunto"),"")))</f>
        <v/>
      </c>
      <c r="AB699" t="str">
        <f>IF(Y699="","",IF(Y699="[FÓRMULA MANUAL]","",IFERROR(AVERAGEIFS(nNOTA,nNIA,Y699,nCUENTA,1,nASIG,"Música de Cámara"),"")))</f>
        <v/>
      </c>
      <c r="AC699" t="str">
        <f>IF(Y699="","",IF(Y699="[FÓRMULA MANUAL]","",IFERROR(SUMPRODUCT((nNIA=Y699)*(nCUENTA=1)*(COUNTIF(CONFIG_ASIGNATURAS!$B$7:$B$27,nASIG)&gt;0)*(nNOTA))/SUMPRODUCT((nNIA=Y699)*(nCUENTA=1)*(COUNTIF(CONFIG_ASIGNATURAS!$B$7:$B$27,nASIG)&gt;0)*1),"")))</f>
        <v/>
      </c>
      <c r="AF699" t="str">
        <f>IF(AE699="","",IF(AE699="[FÓRMULA MANUAL]","",IFERROR(AVERAGEIFS(nNOTA,nNIA,AE699,nCUENTA,1,nASIG,"Análisis"),"")))</f>
        <v/>
      </c>
      <c r="AG699" t="str">
        <f>IF(AE699="","",IF(AE699="[FÓRMULA MANUAL]","",IFERROR(AVERAGEIFS(nNOTA,nNIA,AE699,nCUENTA,1,nASIG,"Orquesta/Banda/Conjunto"),"")))</f>
        <v/>
      </c>
      <c r="AH699" t="str">
        <f>IF(AE699="","",IF(AE699="[FÓRMULA MANUAL]","",IFERROR(AVERAGEIFS(nNOTA,nNIA,AE699,nCUENTA,1,nASIG,"Música de Cámara"),"")))</f>
        <v/>
      </c>
      <c r="AI699" t="str">
        <f>IF(AE699="","",IF(AE699="[FÓRMULA MANUAL]","",IFERROR(SUMPRODUCT((nNIA=AE699)*(nCUENTA=1)*(COUNTIF(CONFIG_ASIGNATURAS!$B$7:$B$27,nASIG)&gt;0)*(nNOTA))/SUMPRODUCT((nNIA=AE699)*(nCUENTA=1)*(COUNTIF(CONFIG_ASIGNATURAS!$B$7:$B$27,nASIG)&gt;0)*1),"")))</f>
        <v/>
      </c>
    </row>
    <row r="700" spans="2:35" x14ac:dyDescent="0.2">
      <c r="B700" t="str">
        <f>IF(A700="","",IF(A700="[FÓRMULA MANUAL]","",IFERROR(AVERAGEIFS(nNOTA,nNIA,A700,nCUENTA,1,nASIG,"Lenguaje Musical"),"")))</f>
        <v/>
      </c>
      <c r="C700" t="str">
        <f>IF(A700="","",IF(A700="[FÓRMULA MANUAL]","",IFERROR(AVERAGEIFS(nNOTA,nNIA,A700,nCUENTA,1,nASIG,"Orquesta/Banda/Conjunto"),"")))</f>
        <v/>
      </c>
      <c r="D700" t="str">
        <f>IF(A700="","",IF(A700="[FÓRMULA MANUAL]","",IFERROR(AVERAGEIFS(nNOTA,nNIA,A700,nCUENTA,1,nASIG,"Conjunto"),"")))</f>
        <v/>
      </c>
      <c r="E700" t="str">
        <f>IF(A700="","",IF(A700="[FÓRMULA MANUAL]","",IFERROR(SUMPRODUCT((nNIA=A700)*(nCUENTA=1)*(COUNTIF(CONFIG_ASIGNATURAS!$B$7:$B$27,nASIG)&gt;0)*(nNOTA))/SUMPRODUCT((nNIA=A700)*(nCUENTA=1)*(COUNTIF(CONFIG_ASIGNATURAS!$B$7:$B$27,nASIG)&gt;0)*1),"")))</f>
        <v/>
      </c>
      <c r="H700" t="str">
        <f>IF(G700="","",IF(G700="[FÓRMULA MANUAL]","",IFERROR(AVERAGEIFS(nNOTA,nNIA,G700,nCUENTA,1,nASIG,"Lenguaje Musical"),"")))</f>
        <v/>
      </c>
      <c r="I700" t="str">
        <f>IF(G700="","",IF(G700="[FÓRMULA MANUAL]","",IFERROR(AVERAGEIFS(nNOTA,nNIA,G700,nCUENTA,1,nASIG,"Orquesta/Banda/Conjunto"),"")))</f>
        <v/>
      </c>
      <c r="J700" t="str">
        <f>IF(G700="","",IF(G700="[FÓRMULA MANUAL]","",IFERROR(AVERAGEIFS(nNOTA,nNIA,G700,nCUENTA,1,nASIG,"Conjunto"),"")))</f>
        <v/>
      </c>
      <c r="K700" t="str">
        <f>IF(G700="","",IF(G700="[FÓRMULA MANUAL]","",IFERROR(SUMPRODUCT((nNIA=G700)*(nCUENTA=1)*(COUNTIF(CONFIG_ASIGNATURAS!$B$7:$B$27,nASIG)&gt;0)*(nNOTA))/SUMPRODUCT((nNIA=G700)*(nCUENTA=1)*(COUNTIF(CONFIG_ASIGNATURAS!$B$7:$B$27,nASIG)&gt;0)*1),"")))</f>
        <v/>
      </c>
      <c r="N700" t="str">
        <f>IF(M700="","",IF(M700="[FÓRMULA MANUAL]","",IFERROR(AVERAGEIFS(nNOTA,nNIA,M700,nCUENTA,1,nASIG,"Armonía"),"")))</f>
        <v/>
      </c>
      <c r="O700" t="str">
        <f>IF(M700="","",IF(M700="[FÓRMULA MANUAL]","",IFERROR(AVERAGEIFS(nNOTA,nNIA,M700,nCUENTA,1,nASIG,"Orquesta/Banda/Conjunto"),"")))</f>
        <v/>
      </c>
      <c r="P700" t="str">
        <f>IF(M700="","",IF(M700="[FÓRMULA MANUAL]","",IFERROR(AVERAGEIFS(nNOTA,nNIA,M700,nCUENTA,1,nASIG,"Música de Cámara"),"")))</f>
        <v/>
      </c>
      <c r="Q700" t="str">
        <f>IF(M700="","",IF(M700="[FÓRMULA MANUAL]","",IFERROR(SUMPRODUCT((nNIA=M700)*(nCUENTA=1)*(COUNTIF(CONFIG_ASIGNATURAS!$B$7:$B$27,nASIG)&gt;0)*(nNOTA))/SUMPRODUCT((nNIA=M700)*(nCUENTA=1)*(COUNTIF(CONFIG_ASIGNATURAS!$B$7:$B$27,nASIG)&gt;0)*1),"")))</f>
        <v/>
      </c>
      <c r="T700" t="str">
        <f>IF(S700="","",IF(S700="[FÓRMULA MANUAL]","",IFERROR(AVERAGEIFS(nNOTA,nNIA,S700,nCUENTA,1,nASIG,"Armonía"),"")))</f>
        <v/>
      </c>
      <c r="U700" t="str">
        <f>IF(S700="","",IF(S700="[FÓRMULA MANUAL]","",IFERROR(AVERAGEIFS(nNOTA,nNIA,S700,nCUENTA,1,nASIG,"Orquesta/Banda/Conjunto"),"")))</f>
        <v/>
      </c>
      <c r="V700" t="str">
        <f>IF(S700="","",IF(S700="[FÓRMULA MANUAL]","",IFERROR(AVERAGEIFS(nNOTA,nNIA,S700,nCUENTA,1,nASIG,"Música de Cámara"),"")))</f>
        <v/>
      </c>
      <c r="W700" t="str">
        <f>IF(S700="","",IF(S700="[FÓRMULA MANUAL]","",IFERROR(SUMPRODUCT((nNIA=S700)*(nCUENTA=1)*(COUNTIF(CONFIG_ASIGNATURAS!$B$7:$B$27,nASIG)&gt;0)*(nNOTA))/SUMPRODUCT((nNIA=S700)*(nCUENTA=1)*(COUNTIF(CONFIG_ASIGNATURAS!$B$7:$B$27,nASIG)&gt;0)*1),"")))</f>
        <v/>
      </c>
      <c r="Z700" t="str">
        <f>IF(Y700="","",IF(Y700="[FÓRMULA MANUAL]","",IFERROR(AVERAGEIFS(nNOTA,nNIA,Y700,nCUENTA,1,nASIG,"Análisis"),"")))</f>
        <v/>
      </c>
      <c r="AA700" t="str">
        <f>IF(Y700="","",IF(Y700="[FÓRMULA MANUAL]","",IFERROR(AVERAGEIFS(nNOTA,nNIA,Y700,nCUENTA,1,nASIG,"Orquesta/Banda/Conjunto"),"")))</f>
        <v/>
      </c>
      <c r="AB700" t="str">
        <f>IF(Y700="","",IF(Y700="[FÓRMULA MANUAL]","",IFERROR(AVERAGEIFS(nNOTA,nNIA,Y700,nCUENTA,1,nASIG,"Música de Cámara"),"")))</f>
        <v/>
      </c>
      <c r="AC700" t="str">
        <f>IF(Y700="","",IF(Y700="[FÓRMULA MANUAL]","",IFERROR(SUMPRODUCT((nNIA=Y700)*(nCUENTA=1)*(COUNTIF(CONFIG_ASIGNATURAS!$B$7:$B$27,nASIG)&gt;0)*(nNOTA))/SUMPRODUCT((nNIA=Y700)*(nCUENTA=1)*(COUNTIF(CONFIG_ASIGNATURAS!$B$7:$B$27,nASIG)&gt;0)*1),"")))</f>
        <v/>
      </c>
      <c r="AF700" t="str">
        <f>IF(AE700="","",IF(AE700="[FÓRMULA MANUAL]","",IFERROR(AVERAGEIFS(nNOTA,nNIA,AE700,nCUENTA,1,nASIG,"Análisis"),"")))</f>
        <v/>
      </c>
      <c r="AG700" t="str">
        <f>IF(AE700="","",IF(AE700="[FÓRMULA MANUAL]","",IFERROR(AVERAGEIFS(nNOTA,nNIA,AE700,nCUENTA,1,nASIG,"Orquesta/Banda/Conjunto"),"")))</f>
        <v/>
      </c>
      <c r="AH700" t="str">
        <f>IF(AE700="","",IF(AE700="[FÓRMULA MANUAL]","",IFERROR(AVERAGEIFS(nNOTA,nNIA,AE700,nCUENTA,1,nASIG,"Música de Cámara"),"")))</f>
        <v/>
      </c>
      <c r="AI700" t="str">
        <f>IF(AE700="","",IF(AE700="[FÓRMULA MANUAL]","",IFERROR(SUMPRODUCT((nNIA=AE700)*(nCUENTA=1)*(COUNTIF(CONFIG_ASIGNATURAS!$B$7:$B$27,nASIG)&gt;0)*(nNOTA))/SUMPRODUCT((nNIA=AE700)*(nCUENTA=1)*(COUNTIF(CONFIG_ASIGNATURAS!$B$7:$B$27,nASIG)&gt;0)*1),"")))</f>
        <v/>
      </c>
    </row>
    <row r="701" spans="2:35" x14ac:dyDescent="0.2">
      <c r="B701" t="str">
        <f>IF(A701="","",IF(A701="[FÓRMULA MANUAL]","",IFERROR(AVERAGEIFS(nNOTA,nNIA,A701,nCUENTA,1,nASIG,"Lenguaje Musical"),"")))</f>
        <v/>
      </c>
      <c r="C701" t="str">
        <f>IF(A701="","",IF(A701="[FÓRMULA MANUAL]","",IFERROR(AVERAGEIFS(nNOTA,nNIA,A701,nCUENTA,1,nASIG,"Orquesta/Banda/Conjunto"),"")))</f>
        <v/>
      </c>
      <c r="D701" t="str">
        <f>IF(A701="","",IF(A701="[FÓRMULA MANUAL]","",IFERROR(AVERAGEIFS(nNOTA,nNIA,A701,nCUENTA,1,nASIG,"Conjunto"),"")))</f>
        <v/>
      </c>
      <c r="E701" t="str">
        <f>IF(A701="","",IF(A701="[FÓRMULA MANUAL]","",IFERROR(SUMPRODUCT((nNIA=A701)*(nCUENTA=1)*(COUNTIF(CONFIG_ASIGNATURAS!$B$7:$B$27,nASIG)&gt;0)*(nNOTA))/SUMPRODUCT((nNIA=A701)*(nCUENTA=1)*(COUNTIF(CONFIG_ASIGNATURAS!$B$7:$B$27,nASIG)&gt;0)*1),"")))</f>
        <v/>
      </c>
      <c r="H701" t="str">
        <f>IF(G701="","",IF(G701="[FÓRMULA MANUAL]","",IFERROR(AVERAGEIFS(nNOTA,nNIA,G701,nCUENTA,1,nASIG,"Lenguaje Musical"),"")))</f>
        <v/>
      </c>
      <c r="I701" t="str">
        <f>IF(G701="","",IF(G701="[FÓRMULA MANUAL]","",IFERROR(AVERAGEIFS(nNOTA,nNIA,G701,nCUENTA,1,nASIG,"Orquesta/Banda/Conjunto"),"")))</f>
        <v/>
      </c>
      <c r="J701" t="str">
        <f>IF(G701="","",IF(G701="[FÓRMULA MANUAL]","",IFERROR(AVERAGEIFS(nNOTA,nNIA,G701,nCUENTA,1,nASIG,"Conjunto"),"")))</f>
        <v/>
      </c>
      <c r="K701" t="str">
        <f>IF(G701="","",IF(G701="[FÓRMULA MANUAL]","",IFERROR(SUMPRODUCT((nNIA=G701)*(nCUENTA=1)*(COUNTIF(CONFIG_ASIGNATURAS!$B$7:$B$27,nASIG)&gt;0)*(nNOTA))/SUMPRODUCT((nNIA=G701)*(nCUENTA=1)*(COUNTIF(CONFIG_ASIGNATURAS!$B$7:$B$27,nASIG)&gt;0)*1),"")))</f>
        <v/>
      </c>
      <c r="N701" t="str">
        <f>IF(M701="","",IF(M701="[FÓRMULA MANUAL]","",IFERROR(AVERAGEIFS(nNOTA,nNIA,M701,nCUENTA,1,nASIG,"Armonía"),"")))</f>
        <v/>
      </c>
      <c r="O701" t="str">
        <f>IF(M701="","",IF(M701="[FÓRMULA MANUAL]","",IFERROR(AVERAGEIFS(nNOTA,nNIA,M701,nCUENTA,1,nASIG,"Orquesta/Banda/Conjunto"),"")))</f>
        <v/>
      </c>
      <c r="P701" t="str">
        <f>IF(M701="","",IF(M701="[FÓRMULA MANUAL]","",IFERROR(AVERAGEIFS(nNOTA,nNIA,M701,nCUENTA,1,nASIG,"Música de Cámara"),"")))</f>
        <v/>
      </c>
      <c r="Q701" t="str">
        <f>IF(M701="","",IF(M701="[FÓRMULA MANUAL]","",IFERROR(SUMPRODUCT((nNIA=M701)*(nCUENTA=1)*(COUNTIF(CONFIG_ASIGNATURAS!$B$7:$B$27,nASIG)&gt;0)*(nNOTA))/SUMPRODUCT((nNIA=M701)*(nCUENTA=1)*(COUNTIF(CONFIG_ASIGNATURAS!$B$7:$B$27,nASIG)&gt;0)*1),"")))</f>
        <v/>
      </c>
      <c r="T701" t="str">
        <f>IF(S701="","",IF(S701="[FÓRMULA MANUAL]","",IFERROR(AVERAGEIFS(nNOTA,nNIA,S701,nCUENTA,1,nASIG,"Armonía"),"")))</f>
        <v/>
      </c>
      <c r="U701" t="str">
        <f>IF(S701="","",IF(S701="[FÓRMULA MANUAL]","",IFERROR(AVERAGEIFS(nNOTA,nNIA,S701,nCUENTA,1,nASIG,"Orquesta/Banda/Conjunto"),"")))</f>
        <v/>
      </c>
      <c r="V701" t="str">
        <f>IF(S701="","",IF(S701="[FÓRMULA MANUAL]","",IFERROR(AVERAGEIFS(nNOTA,nNIA,S701,nCUENTA,1,nASIG,"Música de Cámara"),"")))</f>
        <v/>
      </c>
      <c r="W701" t="str">
        <f>IF(S701="","",IF(S701="[FÓRMULA MANUAL]","",IFERROR(SUMPRODUCT((nNIA=S701)*(nCUENTA=1)*(COUNTIF(CONFIG_ASIGNATURAS!$B$7:$B$27,nASIG)&gt;0)*(nNOTA))/SUMPRODUCT((nNIA=S701)*(nCUENTA=1)*(COUNTIF(CONFIG_ASIGNATURAS!$B$7:$B$27,nASIG)&gt;0)*1),"")))</f>
        <v/>
      </c>
      <c r="Z701" t="str">
        <f>IF(Y701="","",IF(Y701="[FÓRMULA MANUAL]","",IFERROR(AVERAGEIFS(nNOTA,nNIA,Y701,nCUENTA,1,nASIG,"Análisis"),"")))</f>
        <v/>
      </c>
      <c r="AA701" t="str">
        <f>IF(Y701="","",IF(Y701="[FÓRMULA MANUAL]","",IFERROR(AVERAGEIFS(nNOTA,nNIA,Y701,nCUENTA,1,nASIG,"Orquesta/Banda/Conjunto"),"")))</f>
        <v/>
      </c>
      <c r="AB701" t="str">
        <f>IF(Y701="","",IF(Y701="[FÓRMULA MANUAL]","",IFERROR(AVERAGEIFS(nNOTA,nNIA,Y701,nCUENTA,1,nASIG,"Música de Cámara"),"")))</f>
        <v/>
      </c>
      <c r="AC701" t="str">
        <f>IF(Y701="","",IF(Y701="[FÓRMULA MANUAL]","",IFERROR(SUMPRODUCT((nNIA=Y701)*(nCUENTA=1)*(COUNTIF(CONFIG_ASIGNATURAS!$B$7:$B$27,nASIG)&gt;0)*(nNOTA))/SUMPRODUCT((nNIA=Y701)*(nCUENTA=1)*(COUNTIF(CONFIG_ASIGNATURAS!$B$7:$B$27,nASIG)&gt;0)*1),"")))</f>
        <v/>
      </c>
      <c r="AF701" t="str">
        <f>IF(AE701="","",IF(AE701="[FÓRMULA MANUAL]","",IFERROR(AVERAGEIFS(nNOTA,nNIA,AE701,nCUENTA,1,nASIG,"Análisis"),"")))</f>
        <v/>
      </c>
      <c r="AG701" t="str">
        <f>IF(AE701="","",IF(AE701="[FÓRMULA MANUAL]","",IFERROR(AVERAGEIFS(nNOTA,nNIA,AE701,nCUENTA,1,nASIG,"Orquesta/Banda/Conjunto"),"")))</f>
        <v/>
      </c>
      <c r="AH701" t="str">
        <f>IF(AE701="","",IF(AE701="[FÓRMULA MANUAL]","",IFERROR(AVERAGEIFS(nNOTA,nNIA,AE701,nCUENTA,1,nASIG,"Música de Cámara"),"")))</f>
        <v/>
      </c>
      <c r="AI701" t="str">
        <f>IF(AE701="","",IF(AE701="[FÓRMULA MANUAL]","",IFERROR(SUMPRODUCT((nNIA=AE701)*(nCUENTA=1)*(COUNTIF(CONFIG_ASIGNATURAS!$B$7:$B$27,nASIG)&gt;0)*(nNOTA))/SUMPRODUCT((nNIA=AE701)*(nCUENTA=1)*(COUNTIF(CONFIG_ASIGNATURAS!$B$7:$B$27,nASIG)&gt;0)*1),"")))</f>
        <v/>
      </c>
    </row>
    <row r="702" spans="2:35" x14ac:dyDescent="0.2">
      <c r="B702" t="str">
        <f>IF(A702="","",IF(A702="[FÓRMULA MANUAL]","",IFERROR(AVERAGEIFS(nNOTA,nNIA,A702,nCUENTA,1,nASIG,"Lenguaje Musical"),"")))</f>
        <v/>
      </c>
      <c r="C702" t="str">
        <f>IF(A702="","",IF(A702="[FÓRMULA MANUAL]","",IFERROR(AVERAGEIFS(nNOTA,nNIA,A702,nCUENTA,1,nASIG,"Orquesta/Banda/Conjunto"),"")))</f>
        <v/>
      </c>
      <c r="D702" t="str">
        <f>IF(A702="","",IF(A702="[FÓRMULA MANUAL]","",IFERROR(AVERAGEIFS(nNOTA,nNIA,A702,nCUENTA,1,nASIG,"Conjunto"),"")))</f>
        <v/>
      </c>
      <c r="E702" t="str">
        <f>IF(A702="","",IF(A702="[FÓRMULA MANUAL]","",IFERROR(SUMPRODUCT((nNIA=A702)*(nCUENTA=1)*(COUNTIF(CONFIG_ASIGNATURAS!$B$7:$B$27,nASIG)&gt;0)*(nNOTA))/SUMPRODUCT((nNIA=A702)*(nCUENTA=1)*(COUNTIF(CONFIG_ASIGNATURAS!$B$7:$B$27,nASIG)&gt;0)*1),"")))</f>
        <v/>
      </c>
      <c r="H702" t="str">
        <f>IF(G702="","",IF(G702="[FÓRMULA MANUAL]","",IFERROR(AVERAGEIFS(nNOTA,nNIA,G702,nCUENTA,1,nASIG,"Lenguaje Musical"),"")))</f>
        <v/>
      </c>
      <c r="I702" t="str">
        <f>IF(G702="","",IF(G702="[FÓRMULA MANUAL]","",IFERROR(AVERAGEIFS(nNOTA,nNIA,G702,nCUENTA,1,nASIG,"Orquesta/Banda/Conjunto"),"")))</f>
        <v/>
      </c>
      <c r="J702" t="str">
        <f>IF(G702="","",IF(G702="[FÓRMULA MANUAL]","",IFERROR(AVERAGEIFS(nNOTA,nNIA,G702,nCUENTA,1,nASIG,"Conjunto"),"")))</f>
        <v/>
      </c>
      <c r="K702" t="str">
        <f>IF(G702="","",IF(G702="[FÓRMULA MANUAL]","",IFERROR(SUMPRODUCT((nNIA=G702)*(nCUENTA=1)*(COUNTIF(CONFIG_ASIGNATURAS!$B$7:$B$27,nASIG)&gt;0)*(nNOTA))/SUMPRODUCT((nNIA=G702)*(nCUENTA=1)*(COUNTIF(CONFIG_ASIGNATURAS!$B$7:$B$27,nASIG)&gt;0)*1),"")))</f>
        <v/>
      </c>
      <c r="N702" t="str">
        <f>IF(M702="","",IF(M702="[FÓRMULA MANUAL]","",IFERROR(AVERAGEIFS(nNOTA,nNIA,M702,nCUENTA,1,nASIG,"Armonía"),"")))</f>
        <v/>
      </c>
      <c r="O702" t="str">
        <f>IF(M702="","",IF(M702="[FÓRMULA MANUAL]","",IFERROR(AVERAGEIFS(nNOTA,nNIA,M702,nCUENTA,1,nASIG,"Orquesta/Banda/Conjunto"),"")))</f>
        <v/>
      </c>
      <c r="P702" t="str">
        <f>IF(M702="","",IF(M702="[FÓRMULA MANUAL]","",IFERROR(AVERAGEIFS(nNOTA,nNIA,M702,nCUENTA,1,nASIG,"Música de Cámara"),"")))</f>
        <v/>
      </c>
      <c r="Q702" t="str">
        <f>IF(M702="","",IF(M702="[FÓRMULA MANUAL]","",IFERROR(SUMPRODUCT((nNIA=M702)*(nCUENTA=1)*(COUNTIF(CONFIG_ASIGNATURAS!$B$7:$B$27,nASIG)&gt;0)*(nNOTA))/SUMPRODUCT((nNIA=M702)*(nCUENTA=1)*(COUNTIF(CONFIG_ASIGNATURAS!$B$7:$B$27,nASIG)&gt;0)*1),"")))</f>
        <v/>
      </c>
      <c r="T702" t="str">
        <f>IF(S702="","",IF(S702="[FÓRMULA MANUAL]","",IFERROR(AVERAGEIFS(nNOTA,nNIA,S702,nCUENTA,1,nASIG,"Armonía"),"")))</f>
        <v/>
      </c>
      <c r="U702" t="str">
        <f>IF(S702="","",IF(S702="[FÓRMULA MANUAL]","",IFERROR(AVERAGEIFS(nNOTA,nNIA,S702,nCUENTA,1,nASIG,"Orquesta/Banda/Conjunto"),"")))</f>
        <v/>
      </c>
      <c r="V702" t="str">
        <f>IF(S702="","",IF(S702="[FÓRMULA MANUAL]","",IFERROR(AVERAGEIFS(nNOTA,nNIA,S702,nCUENTA,1,nASIG,"Música de Cámara"),"")))</f>
        <v/>
      </c>
      <c r="W702" t="str">
        <f>IF(S702="","",IF(S702="[FÓRMULA MANUAL]","",IFERROR(SUMPRODUCT((nNIA=S702)*(nCUENTA=1)*(COUNTIF(CONFIG_ASIGNATURAS!$B$7:$B$27,nASIG)&gt;0)*(nNOTA))/SUMPRODUCT((nNIA=S702)*(nCUENTA=1)*(COUNTIF(CONFIG_ASIGNATURAS!$B$7:$B$27,nASIG)&gt;0)*1),"")))</f>
        <v/>
      </c>
      <c r="Z702" t="str">
        <f>IF(Y702="","",IF(Y702="[FÓRMULA MANUAL]","",IFERROR(AVERAGEIFS(nNOTA,nNIA,Y702,nCUENTA,1,nASIG,"Análisis"),"")))</f>
        <v/>
      </c>
      <c r="AA702" t="str">
        <f>IF(Y702="","",IF(Y702="[FÓRMULA MANUAL]","",IFERROR(AVERAGEIFS(nNOTA,nNIA,Y702,nCUENTA,1,nASIG,"Orquesta/Banda/Conjunto"),"")))</f>
        <v/>
      </c>
      <c r="AB702" t="str">
        <f>IF(Y702="","",IF(Y702="[FÓRMULA MANUAL]","",IFERROR(AVERAGEIFS(nNOTA,nNIA,Y702,nCUENTA,1,nASIG,"Música de Cámara"),"")))</f>
        <v/>
      </c>
      <c r="AC702" t="str">
        <f>IF(Y702="","",IF(Y702="[FÓRMULA MANUAL]","",IFERROR(SUMPRODUCT((nNIA=Y702)*(nCUENTA=1)*(COUNTIF(CONFIG_ASIGNATURAS!$B$7:$B$27,nASIG)&gt;0)*(nNOTA))/SUMPRODUCT((nNIA=Y702)*(nCUENTA=1)*(COUNTIF(CONFIG_ASIGNATURAS!$B$7:$B$27,nASIG)&gt;0)*1),"")))</f>
        <v/>
      </c>
      <c r="AF702" t="str">
        <f>IF(AE702="","",IF(AE702="[FÓRMULA MANUAL]","",IFERROR(AVERAGEIFS(nNOTA,nNIA,AE702,nCUENTA,1,nASIG,"Análisis"),"")))</f>
        <v/>
      </c>
      <c r="AG702" t="str">
        <f>IF(AE702="","",IF(AE702="[FÓRMULA MANUAL]","",IFERROR(AVERAGEIFS(nNOTA,nNIA,AE702,nCUENTA,1,nASIG,"Orquesta/Banda/Conjunto"),"")))</f>
        <v/>
      </c>
      <c r="AH702" t="str">
        <f>IF(AE702="","",IF(AE702="[FÓRMULA MANUAL]","",IFERROR(AVERAGEIFS(nNOTA,nNIA,AE702,nCUENTA,1,nASIG,"Música de Cámara"),"")))</f>
        <v/>
      </c>
      <c r="AI702" t="str">
        <f>IF(AE702="","",IF(AE702="[FÓRMULA MANUAL]","",IFERROR(SUMPRODUCT((nNIA=AE702)*(nCUENTA=1)*(COUNTIF(CONFIG_ASIGNATURAS!$B$7:$B$27,nASIG)&gt;0)*(nNOTA))/SUMPRODUCT((nNIA=AE702)*(nCUENTA=1)*(COUNTIF(CONFIG_ASIGNATURAS!$B$7:$B$27,nASIG)&gt;0)*1),"")))</f>
        <v/>
      </c>
    </row>
    <row r="703" spans="2:35" x14ac:dyDescent="0.2">
      <c r="B703" t="str">
        <f>IF(A703="","",IF(A703="[FÓRMULA MANUAL]","",IFERROR(AVERAGEIFS(nNOTA,nNIA,A703,nCUENTA,1,nASIG,"Lenguaje Musical"),"")))</f>
        <v/>
      </c>
      <c r="C703" t="str">
        <f>IF(A703="","",IF(A703="[FÓRMULA MANUAL]","",IFERROR(AVERAGEIFS(nNOTA,nNIA,A703,nCUENTA,1,nASIG,"Orquesta/Banda/Conjunto"),"")))</f>
        <v/>
      </c>
      <c r="D703" t="str">
        <f>IF(A703="","",IF(A703="[FÓRMULA MANUAL]","",IFERROR(AVERAGEIFS(nNOTA,nNIA,A703,nCUENTA,1,nASIG,"Conjunto"),"")))</f>
        <v/>
      </c>
      <c r="E703" t="str">
        <f>IF(A703="","",IF(A703="[FÓRMULA MANUAL]","",IFERROR(SUMPRODUCT((nNIA=A703)*(nCUENTA=1)*(COUNTIF(CONFIG_ASIGNATURAS!$B$7:$B$27,nASIG)&gt;0)*(nNOTA))/SUMPRODUCT((nNIA=A703)*(nCUENTA=1)*(COUNTIF(CONFIG_ASIGNATURAS!$B$7:$B$27,nASIG)&gt;0)*1),"")))</f>
        <v/>
      </c>
      <c r="H703" t="str">
        <f>IF(G703="","",IF(G703="[FÓRMULA MANUAL]","",IFERROR(AVERAGEIFS(nNOTA,nNIA,G703,nCUENTA,1,nASIG,"Lenguaje Musical"),"")))</f>
        <v/>
      </c>
      <c r="I703" t="str">
        <f>IF(G703="","",IF(G703="[FÓRMULA MANUAL]","",IFERROR(AVERAGEIFS(nNOTA,nNIA,G703,nCUENTA,1,nASIG,"Orquesta/Banda/Conjunto"),"")))</f>
        <v/>
      </c>
      <c r="J703" t="str">
        <f>IF(G703="","",IF(G703="[FÓRMULA MANUAL]","",IFERROR(AVERAGEIFS(nNOTA,nNIA,G703,nCUENTA,1,nASIG,"Conjunto"),"")))</f>
        <v/>
      </c>
      <c r="K703" t="str">
        <f>IF(G703="","",IF(G703="[FÓRMULA MANUAL]","",IFERROR(SUMPRODUCT((nNIA=G703)*(nCUENTA=1)*(COUNTIF(CONFIG_ASIGNATURAS!$B$7:$B$27,nASIG)&gt;0)*(nNOTA))/SUMPRODUCT((nNIA=G703)*(nCUENTA=1)*(COUNTIF(CONFIG_ASIGNATURAS!$B$7:$B$27,nASIG)&gt;0)*1),"")))</f>
        <v/>
      </c>
      <c r="N703" t="str">
        <f>IF(M703="","",IF(M703="[FÓRMULA MANUAL]","",IFERROR(AVERAGEIFS(nNOTA,nNIA,M703,nCUENTA,1,nASIG,"Armonía"),"")))</f>
        <v/>
      </c>
      <c r="O703" t="str">
        <f>IF(M703="","",IF(M703="[FÓRMULA MANUAL]","",IFERROR(AVERAGEIFS(nNOTA,nNIA,M703,nCUENTA,1,nASIG,"Orquesta/Banda/Conjunto"),"")))</f>
        <v/>
      </c>
      <c r="P703" t="str">
        <f>IF(M703="","",IF(M703="[FÓRMULA MANUAL]","",IFERROR(AVERAGEIFS(nNOTA,nNIA,M703,nCUENTA,1,nASIG,"Música de Cámara"),"")))</f>
        <v/>
      </c>
      <c r="Q703" t="str">
        <f>IF(M703="","",IF(M703="[FÓRMULA MANUAL]","",IFERROR(SUMPRODUCT((nNIA=M703)*(nCUENTA=1)*(COUNTIF(CONFIG_ASIGNATURAS!$B$7:$B$27,nASIG)&gt;0)*(nNOTA))/SUMPRODUCT((nNIA=M703)*(nCUENTA=1)*(COUNTIF(CONFIG_ASIGNATURAS!$B$7:$B$27,nASIG)&gt;0)*1),"")))</f>
        <v/>
      </c>
      <c r="T703" t="str">
        <f>IF(S703="","",IF(S703="[FÓRMULA MANUAL]","",IFERROR(AVERAGEIFS(nNOTA,nNIA,S703,nCUENTA,1,nASIG,"Armonía"),"")))</f>
        <v/>
      </c>
      <c r="U703" t="str">
        <f>IF(S703="","",IF(S703="[FÓRMULA MANUAL]","",IFERROR(AVERAGEIFS(nNOTA,nNIA,S703,nCUENTA,1,nASIG,"Orquesta/Banda/Conjunto"),"")))</f>
        <v/>
      </c>
      <c r="V703" t="str">
        <f>IF(S703="","",IF(S703="[FÓRMULA MANUAL]","",IFERROR(AVERAGEIFS(nNOTA,nNIA,S703,nCUENTA,1,nASIG,"Música de Cámara"),"")))</f>
        <v/>
      </c>
      <c r="W703" t="str">
        <f>IF(S703="","",IF(S703="[FÓRMULA MANUAL]","",IFERROR(SUMPRODUCT((nNIA=S703)*(nCUENTA=1)*(COUNTIF(CONFIG_ASIGNATURAS!$B$7:$B$27,nASIG)&gt;0)*(nNOTA))/SUMPRODUCT((nNIA=S703)*(nCUENTA=1)*(COUNTIF(CONFIG_ASIGNATURAS!$B$7:$B$27,nASIG)&gt;0)*1),"")))</f>
        <v/>
      </c>
      <c r="Z703" t="str">
        <f>IF(Y703="","",IF(Y703="[FÓRMULA MANUAL]","",IFERROR(AVERAGEIFS(nNOTA,nNIA,Y703,nCUENTA,1,nASIG,"Análisis"),"")))</f>
        <v/>
      </c>
      <c r="AA703" t="str">
        <f>IF(Y703="","",IF(Y703="[FÓRMULA MANUAL]","",IFERROR(AVERAGEIFS(nNOTA,nNIA,Y703,nCUENTA,1,nASIG,"Orquesta/Banda/Conjunto"),"")))</f>
        <v/>
      </c>
      <c r="AB703" t="str">
        <f>IF(Y703="","",IF(Y703="[FÓRMULA MANUAL]","",IFERROR(AVERAGEIFS(nNOTA,nNIA,Y703,nCUENTA,1,nASIG,"Música de Cámara"),"")))</f>
        <v/>
      </c>
      <c r="AC703" t="str">
        <f>IF(Y703="","",IF(Y703="[FÓRMULA MANUAL]","",IFERROR(SUMPRODUCT((nNIA=Y703)*(nCUENTA=1)*(COUNTIF(CONFIG_ASIGNATURAS!$B$7:$B$27,nASIG)&gt;0)*(nNOTA))/SUMPRODUCT((nNIA=Y703)*(nCUENTA=1)*(COUNTIF(CONFIG_ASIGNATURAS!$B$7:$B$27,nASIG)&gt;0)*1),"")))</f>
        <v/>
      </c>
      <c r="AF703" t="str">
        <f>IF(AE703="","",IF(AE703="[FÓRMULA MANUAL]","",IFERROR(AVERAGEIFS(nNOTA,nNIA,AE703,nCUENTA,1,nASIG,"Análisis"),"")))</f>
        <v/>
      </c>
      <c r="AG703" t="str">
        <f>IF(AE703="","",IF(AE703="[FÓRMULA MANUAL]","",IFERROR(AVERAGEIFS(nNOTA,nNIA,AE703,nCUENTA,1,nASIG,"Orquesta/Banda/Conjunto"),"")))</f>
        <v/>
      </c>
      <c r="AH703" t="str">
        <f>IF(AE703="","",IF(AE703="[FÓRMULA MANUAL]","",IFERROR(AVERAGEIFS(nNOTA,nNIA,AE703,nCUENTA,1,nASIG,"Música de Cámara"),"")))</f>
        <v/>
      </c>
      <c r="AI703" t="str">
        <f>IF(AE703="","",IF(AE703="[FÓRMULA MANUAL]","",IFERROR(SUMPRODUCT((nNIA=AE703)*(nCUENTA=1)*(COUNTIF(CONFIG_ASIGNATURAS!$B$7:$B$27,nASIG)&gt;0)*(nNOTA))/SUMPRODUCT((nNIA=AE703)*(nCUENTA=1)*(COUNTIF(CONFIG_ASIGNATURAS!$B$7:$B$27,nASIG)&gt;0)*1),"")))</f>
        <v/>
      </c>
    </row>
    <row r="704" spans="2:35" x14ac:dyDescent="0.2">
      <c r="B704" t="str">
        <f>IF(A704="","",IF(A704="[FÓRMULA MANUAL]","",IFERROR(AVERAGEIFS(nNOTA,nNIA,A704,nCUENTA,1,nASIG,"Lenguaje Musical"),"")))</f>
        <v/>
      </c>
      <c r="C704" t="str">
        <f>IF(A704="","",IF(A704="[FÓRMULA MANUAL]","",IFERROR(AVERAGEIFS(nNOTA,nNIA,A704,nCUENTA,1,nASIG,"Orquesta/Banda/Conjunto"),"")))</f>
        <v/>
      </c>
      <c r="D704" t="str">
        <f>IF(A704="","",IF(A704="[FÓRMULA MANUAL]","",IFERROR(AVERAGEIFS(nNOTA,nNIA,A704,nCUENTA,1,nASIG,"Conjunto"),"")))</f>
        <v/>
      </c>
      <c r="E704" t="str">
        <f>IF(A704="","",IF(A704="[FÓRMULA MANUAL]","",IFERROR(SUMPRODUCT((nNIA=A704)*(nCUENTA=1)*(COUNTIF(CONFIG_ASIGNATURAS!$B$7:$B$27,nASIG)&gt;0)*(nNOTA))/SUMPRODUCT((nNIA=A704)*(nCUENTA=1)*(COUNTIF(CONFIG_ASIGNATURAS!$B$7:$B$27,nASIG)&gt;0)*1),"")))</f>
        <v/>
      </c>
      <c r="H704" t="str">
        <f>IF(G704="","",IF(G704="[FÓRMULA MANUAL]","",IFERROR(AVERAGEIFS(nNOTA,nNIA,G704,nCUENTA,1,nASIG,"Lenguaje Musical"),"")))</f>
        <v/>
      </c>
      <c r="I704" t="str">
        <f>IF(G704="","",IF(G704="[FÓRMULA MANUAL]","",IFERROR(AVERAGEIFS(nNOTA,nNIA,G704,nCUENTA,1,nASIG,"Orquesta/Banda/Conjunto"),"")))</f>
        <v/>
      </c>
      <c r="J704" t="str">
        <f>IF(G704="","",IF(G704="[FÓRMULA MANUAL]","",IFERROR(AVERAGEIFS(nNOTA,nNIA,G704,nCUENTA,1,nASIG,"Conjunto"),"")))</f>
        <v/>
      </c>
      <c r="K704" t="str">
        <f>IF(G704="","",IF(G704="[FÓRMULA MANUAL]","",IFERROR(SUMPRODUCT((nNIA=G704)*(nCUENTA=1)*(COUNTIF(CONFIG_ASIGNATURAS!$B$7:$B$27,nASIG)&gt;0)*(nNOTA))/SUMPRODUCT((nNIA=G704)*(nCUENTA=1)*(COUNTIF(CONFIG_ASIGNATURAS!$B$7:$B$27,nASIG)&gt;0)*1),"")))</f>
        <v/>
      </c>
      <c r="N704" t="str">
        <f>IF(M704="","",IF(M704="[FÓRMULA MANUAL]","",IFERROR(AVERAGEIFS(nNOTA,nNIA,M704,nCUENTA,1,nASIG,"Armonía"),"")))</f>
        <v/>
      </c>
      <c r="O704" t="str">
        <f>IF(M704="","",IF(M704="[FÓRMULA MANUAL]","",IFERROR(AVERAGEIFS(nNOTA,nNIA,M704,nCUENTA,1,nASIG,"Orquesta/Banda/Conjunto"),"")))</f>
        <v/>
      </c>
      <c r="P704" t="str">
        <f>IF(M704="","",IF(M704="[FÓRMULA MANUAL]","",IFERROR(AVERAGEIFS(nNOTA,nNIA,M704,nCUENTA,1,nASIG,"Música de Cámara"),"")))</f>
        <v/>
      </c>
      <c r="Q704" t="str">
        <f>IF(M704="","",IF(M704="[FÓRMULA MANUAL]","",IFERROR(SUMPRODUCT((nNIA=M704)*(nCUENTA=1)*(COUNTIF(CONFIG_ASIGNATURAS!$B$7:$B$27,nASIG)&gt;0)*(nNOTA))/SUMPRODUCT((nNIA=M704)*(nCUENTA=1)*(COUNTIF(CONFIG_ASIGNATURAS!$B$7:$B$27,nASIG)&gt;0)*1),"")))</f>
        <v/>
      </c>
      <c r="T704" t="str">
        <f>IF(S704="","",IF(S704="[FÓRMULA MANUAL]","",IFERROR(AVERAGEIFS(nNOTA,nNIA,S704,nCUENTA,1,nASIG,"Armonía"),"")))</f>
        <v/>
      </c>
      <c r="U704" t="str">
        <f>IF(S704="","",IF(S704="[FÓRMULA MANUAL]","",IFERROR(AVERAGEIFS(nNOTA,nNIA,S704,nCUENTA,1,nASIG,"Orquesta/Banda/Conjunto"),"")))</f>
        <v/>
      </c>
      <c r="V704" t="str">
        <f>IF(S704="","",IF(S704="[FÓRMULA MANUAL]","",IFERROR(AVERAGEIFS(nNOTA,nNIA,S704,nCUENTA,1,nASIG,"Música de Cámara"),"")))</f>
        <v/>
      </c>
      <c r="W704" t="str">
        <f>IF(S704="","",IF(S704="[FÓRMULA MANUAL]","",IFERROR(SUMPRODUCT((nNIA=S704)*(nCUENTA=1)*(COUNTIF(CONFIG_ASIGNATURAS!$B$7:$B$27,nASIG)&gt;0)*(nNOTA))/SUMPRODUCT((nNIA=S704)*(nCUENTA=1)*(COUNTIF(CONFIG_ASIGNATURAS!$B$7:$B$27,nASIG)&gt;0)*1),"")))</f>
        <v/>
      </c>
      <c r="Z704" t="str">
        <f>IF(Y704="","",IF(Y704="[FÓRMULA MANUAL]","",IFERROR(AVERAGEIFS(nNOTA,nNIA,Y704,nCUENTA,1,nASIG,"Análisis"),"")))</f>
        <v/>
      </c>
      <c r="AA704" t="str">
        <f>IF(Y704="","",IF(Y704="[FÓRMULA MANUAL]","",IFERROR(AVERAGEIFS(nNOTA,nNIA,Y704,nCUENTA,1,nASIG,"Orquesta/Banda/Conjunto"),"")))</f>
        <v/>
      </c>
      <c r="AB704" t="str">
        <f>IF(Y704="","",IF(Y704="[FÓRMULA MANUAL]","",IFERROR(AVERAGEIFS(nNOTA,nNIA,Y704,nCUENTA,1,nASIG,"Música de Cámara"),"")))</f>
        <v/>
      </c>
      <c r="AC704" t="str">
        <f>IF(Y704="","",IF(Y704="[FÓRMULA MANUAL]","",IFERROR(SUMPRODUCT((nNIA=Y704)*(nCUENTA=1)*(COUNTIF(CONFIG_ASIGNATURAS!$B$7:$B$27,nASIG)&gt;0)*(nNOTA))/SUMPRODUCT((nNIA=Y704)*(nCUENTA=1)*(COUNTIF(CONFIG_ASIGNATURAS!$B$7:$B$27,nASIG)&gt;0)*1),"")))</f>
        <v/>
      </c>
      <c r="AF704" t="str">
        <f>IF(AE704="","",IF(AE704="[FÓRMULA MANUAL]","",IFERROR(AVERAGEIFS(nNOTA,nNIA,AE704,nCUENTA,1,nASIG,"Análisis"),"")))</f>
        <v/>
      </c>
      <c r="AG704" t="str">
        <f>IF(AE704="","",IF(AE704="[FÓRMULA MANUAL]","",IFERROR(AVERAGEIFS(nNOTA,nNIA,AE704,nCUENTA,1,nASIG,"Orquesta/Banda/Conjunto"),"")))</f>
        <v/>
      </c>
      <c r="AH704" t="str">
        <f>IF(AE704="","",IF(AE704="[FÓRMULA MANUAL]","",IFERROR(AVERAGEIFS(nNOTA,nNIA,AE704,nCUENTA,1,nASIG,"Música de Cámara"),"")))</f>
        <v/>
      </c>
      <c r="AI704" t="str">
        <f>IF(AE704="","",IF(AE704="[FÓRMULA MANUAL]","",IFERROR(SUMPRODUCT((nNIA=AE704)*(nCUENTA=1)*(COUNTIF(CONFIG_ASIGNATURAS!$B$7:$B$27,nASIG)&gt;0)*(nNOTA))/SUMPRODUCT((nNIA=AE704)*(nCUENTA=1)*(COUNTIF(CONFIG_ASIGNATURAS!$B$7:$B$27,nASIG)&gt;0)*1),"")))</f>
        <v/>
      </c>
    </row>
    <row r="705" spans="2:35" x14ac:dyDescent="0.2">
      <c r="B705" t="str">
        <f>IF(A705="","",IF(A705="[FÓRMULA MANUAL]","",IFERROR(AVERAGEIFS(nNOTA,nNIA,A705,nCUENTA,1,nASIG,"Lenguaje Musical"),"")))</f>
        <v/>
      </c>
      <c r="C705" t="str">
        <f>IF(A705="","",IF(A705="[FÓRMULA MANUAL]","",IFERROR(AVERAGEIFS(nNOTA,nNIA,A705,nCUENTA,1,nASIG,"Orquesta/Banda/Conjunto"),"")))</f>
        <v/>
      </c>
      <c r="D705" t="str">
        <f>IF(A705="","",IF(A705="[FÓRMULA MANUAL]","",IFERROR(AVERAGEIFS(nNOTA,nNIA,A705,nCUENTA,1,nASIG,"Conjunto"),"")))</f>
        <v/>
      </c>
      <c r="E705" t="str">
        <f>IF(A705="","",IF(A705="[FÓRMULA MANUAL]","",IFERROR(SUMPRODUCT((nNIA=A705)*(nCUENTA=1)*(COUNTIF(CONFIG_ASIGNATURAS!$B$7:$B$27,nASIG)&gt;0)*(nNOTA))/SUMPRODUCT((nNIA=A705)*(nCUENTA=1)*(COUNTIF(CONFIG_ASIGNATURAS!$B$7:$B$27,nASIG)&gt;0)*1),"")))</f>
        <v/>
      </c>
      <c r="H705" t="str">
        <f>IF(G705="","",IF(G705="[FÓRMULA MANUAL]","",IFERROR(AVERAGEIFS(nNOTA,nNIA,G705,nCUENTA,1,nASIG,"Lenguaje Musical"),"")))</f>
        <v/>
      </c>
      <c r="I705" t="str">
        <f>IF(G705="","",IF(G705="[FÓRMULA MANUAL]","",IFERROR(AVERAGEIFS(nNOTA,nNIA,G705,nCUENTA,1,nASIG,"Orquesta/Banda/Conjunto"),"")))</f>
        <v/>
      </c>
      <c r="J705" t="str">
        <f>IF(G705="","",IF(G705="[FÓRMULA MANUAL]","",IFERROR(AVERAGEIFS(nNOTA,nNIA,G705,nCUENTA,1,nASIG,"Conjunto"),"")))</f>
        <v/>
      </c>
      <c r="K705" t="str">
        <f>IF(G705="","",IF(G705="[FÓRMULA MANUAL]","",IFERROR(SUMPRODUCT((nNIA=G705)*(nCUENTA=1)*(COUNTIF(CONFIG_ASIGNATURAS!$B$7:$B$27,nASIG)&gt;0)*(nNOTA))/SUMPRODUCT((nNIA=G705)*(nCUENTA=1)*(COUNTIF(CONFIG_ASIGNATURAS!$B$7:$B$27,nASIG)&gt;0)*1),"")))</f>
        <v/>
      </c>
      <c r="N705" t="str">
        <f>IF(M705="","",IF(M705="[FÓRMULA MANUAL]","",IFERROR(AVERAGEIFS(nNOTA,nNIA,M705,nCUENTA,1,nASIG,"Armonía"),"")))</f>
        <v/>
      </c>
      <c r="O705" t="str">
        <f>IF(M705="","",IF(M705="[FÓRMULA MANUAL]","",IFERROR(AVERAGEIFS(nNOTA,nNIA,M705,nCUENTA,1,nASIG,"Orquesta/Banda/Conjunto"),"")))</f>
        <v/>
      </c>
      <c r="P705" t="str">
        <f>IF(M705="","",IF(M705="[FÓRMULA MANUAL]","",IFERROR(AVERAGEIFS(nNOTA,nNIA,M705,nCUENTA,1,nASIG,"Música de Cámara"),"")))</f>
        <v/>
      </c>
      <c r="Q705" t="str">
        <f>IF(M705="","",IF(M705="[FÓRMULA MANUAL]","",IFERROR(SUMPRODUCT((nNIA=M705)*(nCUENTA=1)*(COUNTIF(CONFIG_ASIGNATURAS!$B$7:$B$27,nASIG)&gt;0)*(nNOTA))/SUMPRODUCT((nNIA=M705)*(nCUENTA=1)*(COUNTIF(CONFIG_ASIGNATURAS!$B$7:$B$27,nASIG)&gt;0)*1),"")))</f>
        <v/>
      </c>
      <c r="T705" t="str">
        <f>IF(S705="","",IF(S705="[FÓRMULA MANUAL]","",IFERROR(AVERAGEIFS(nNOTA,nNIA,S705,nCUENTA,1,nASIG,"Armonía"),"")))</f>
        <v/>
      </c>
      <c r="U705" t="str">
        <f>IF(S705="","",IF(S705="[FÓRMULA MANUAL]","",IFERROR(AVERAGEIFS(nNOTA,nNIA,S705,nCUENTA,1,nASIG,"Orquesta/Banda/Conjunto"),"")))</f>
        <v/>
      </c>
      <c r="V705" t="str">
        <f>IF(S705="","",IF(S705="[FÓRMULA MANUAL]","",IFERROR(AVERAGEIFS(nNOTA,nNIA,S705,nCUENTA,1,nASIG,"Música de Cámara"),"")))</f>
        <v/>
      </c>
      <c r="W705" t="str">
        <f>IF(S705="","",IF(S705="[FÓRMULA MANUAL]","",IFERROR(SUMPRODUCT((nNIA=S705)*(nCUENTA=1)*(COUNTIF(CONFIG_ASIGNATURAS!$B$7:$B$27,nASIG)&gt;0)*(nNOTA))/SUMPRODUCT((nNIA=S705)*(nCUENTA=1)*(COUNTIF(CONFIG_ASIGNATURAS!$B$7:$B$27,nASIG)&gt;0)*1),"")))</f>
        <v/>
      </c>
      <c r="Z705" t="str">
        <f>IF(Y705="","",IF(Y705="[FÓRMULA MANUAL]","",IFERROR(AVERAGEIFS(nNOTA,nNIA,Y705,nCUENTA,1,nASIG,"Análisis"),"")))</f>
        <v/>
      </c>
      <c r="AA705" t="str">
        <f>IF(Y705="","",IF(Y705="[FÓRMULA MANUAL]","",IFERROR(AVERAGEIFS(nNOTA,nNIA,Y705,nCUENTA,1,nASIG,"Orquesta/Banda/Conjunto"),"")))</f>
        <v/>
      </c>
      <c r="AB705" t="str">
        <f>IF(Y705="","",IF(Y705="[FÓRMULA MANUAL]","",IFERROR(AVERAGEIFS(nNOTA,nNIA,Y705,nCUENTA,1,nASIG,"Música de Cámara"),"")))</f>
        <v/>
      </c>
      <c r="AC705" t="str">
        <f>IF(Y705="","",IF(Y705="[FÓRMULA MANUAL]","",IFERROR(SUMPRODUCT((nNIA=Y705)*(nCUENTA=1)*(COUNTIF(CONFIG_ASIGNATURAS!$B$7:$B$27,nASIG)&gt;0)*(nNOTA))/SUMPRODUCT((nNIA=Y705)*(nCUENTA=1)*(COUNTIF(CONFIG_ASIGNATURAS!$B$7:$B$27,nASIG)&gt;0)*1),"")))</f>
        <v/>
      </c>
      <c r="AF705" t="str">
        <f>IF(AE705="","",IF(AE705="[FÓRMULA MANUAL]","",IFERROR(AVERAGEIFS(nNOTA,nNIA,AE705,nCUENTA,1,nASIG,"Análisis"),"")))</f>
        <v/>
      </c>
      <c r="AG705" t="str">
        <f>IF(AE705="","",IF(AE705="[FÓRMULA MANUAL]","",IFERROR(AVERAGEIFS(nNOTA,nNIA,AE705,nCUENTA,1,nASIG,"Orquesta/Banda/Conjunto"),"")))</f>
        <v/>
      </c>
      <c r="AH705" t="str">
        <f>IF(AE705="","",IF(AE705="[FÓRMULA MANUAL]","",IFERROR(AVERAGEIFS(nNOTA,nNIA,AE705,nCUENTA,1,nASIG,"Música de Cámara"),"")))</f>
        <v/>
      </c>
      <c r="AI705" t="str">
        <f>IF(AE705="","",IF(AE705="[FÓRMULA MANUAL]","",IFERROR(SUMPRODUCT((nNIA=AE705)*(nCUENTA=1)*(COUNTIF(CONFIG_ASIGNATURAS!$B$7:$B$27,nASIG)&gt;0)*(nNOTA))/SUMPRODUCT((nNIA=AE705)*(nCUENTA=1)*(COUNTIF(CONFIG_ASIGNATURAS!$B$7:$B$27,nASIG)&gt;0)*1),"")))</f>
        <v/>
      </c>
    </row>
    <row r="706" spans="2:35" x14ac:dyDescent="0.2">
      <c r="B706" t="str">
        <f>IF(A706="","",IF(A706="[FÓRMULA MANUAL]","",IFERROR(AVERAGEIFS(nNOTA,nNIA,A706,nCUENTA,1,nASIG,"Lenguaje Musical"),"")))</f>
        <v/>
      </c>
      <c r="C706" t="str">
        <f>IF(A706="","",IF(A706="[FÓRMULA MANUAL]","",IFERROR(AVERAGEIFS(nNOTA,nNIA,A706,nCUENTA,1,nASIG,"Orquesta/Banda/Conjunto"),"")))</f>
        <v/>
      </c>
      <c r="D706" t="str">
        <f>IF(A706="","",IF(A706="[FÓRMULA MANUAL]","",IFERROR(AVERAGEIFS(nNOTA,nNIA,A706,nCUENTA,1,nASIG,"Conjunto"),"")))</f>
        <v/>
      </c>
      <c r="E706" t="str">
        <f>IF(A706="","",IF(A706="[FÓRMULA MANUAL]","",IFERROR(SUMPRODUCT((nNIA=A706)*(nCUENTA=1)*(COUNTIF(CONFIG_ASIGNATURAS!$B$7:$B$27,nASIG)&gt;0)*(nNOTA))/SUMPRODUCT((nNIA=A706)*(nCUENTA=1)*(COUNTIF(CONFIG_ASIGNATURAS!$B$7:$B$27,nASIG)&gt;0)*1),"")))</f>
        <v/>
      </c>
      <c r="H706" t="str">
        <f>IF(G706="","",IF(G706="[FÓRMULA MANUAL]","",IFERROR(AVERAGEIFS(nNOTA,nNIA,G706,nCUENTA,1,nASIG,"Lenguaje Musical"),"")))</f>
        <v/>
      </c>
      <c r="I706" t="str">
        <f>IF(G706="","",IF(G706="[FÓRMULA MANUAL]","",IFERROR(AVERAGEIFS(nNOTA,nNIA,G706,nCUENTA,1,nASIG,"Orquesta/Banda/Conjunto"),"")))</f>
        <v/>
      </c>
      <c r="J706" t="str">
        <f>IF(G706="","",IF(G706="[FÓRMULA MANUAL]","",IFERROR(AVERAGEIFS(nNOTA,nNIA,G706,nCUENTA,1,nASIG,"Conjunto"),"")))</f>
        <v/>
      </c>
      <c r="K706" t="str">
        <f>IF(G706="","",IF(G706="[FÓRMULA MANUAL]","",IFERROR(SUMPRODUCT((nNIA=G706)*(nCUENTA=1)*(COUNTIF(CONFIG_ASIGNATURAS!$B$7:$B$27,nASIG)&gt;0)*(nNOTA))/SUMPRODUCT((nNIA=G706)*(nCUENTA=1)*(COUNTIF(CONFIG_ASIGNATURAS!$B$7:$B$27,nASIG)&gt;0)*1),"")))</f>
        <v/>
      </c>
      <c r="N706" t="str">
        <f>IF(M706="","",IF(M706="[FÓRMULA MANUAL]","",IFERROR(AVERAGEIFS(nNOTA,nNIA,M706,nCUENTA,1,nASIG,"Armonía"),"")))</f>
        <v/>
      </c>
      <c r="O706" t="str">
        <f>IF(M706="","",IF(M706="[FÓRMULA MANUAL]","",IFERROR(AVERAGEIFS(nNOTA,nNIA,M706,nCUENTA,1,nASIG,"Orquesta/Banda/Conjunto"),"")))</f>
        <v/>
      </c>
      <c r="P706" t="str">
        <f>IF(M706="","",IF(M706="[FÓRMULA MANUAL]","",IFERROR(AVERAGEIFS(nNOTA,nNIA,M706,nCUENTA,1,nASIG,"Música de Cámara"),"")))</f>
        <v/>
      </c>
      <c r="Q706" t="str">
        <f>IF(M706="","",IF(M706="[FÓRMULA MANUAL]","",IFERROR(SUMPRODUCT((nNIA=M706)*(nCUENTA=1)*(COUNTIF(CONFIG_ASIGNATURAS!$B$7:$B$27,nASIG)&gt;0)*(nNOTA))/SUMPRODUCT((nNIA=M706)*(nCUENTA=1)*(COUNTIF(CONFIG_ASIGNATURAS!$B$7:$B$27,nASIG)&gt;0)*1),"")))</f>
        <v/>
      </c>
      <c r="T706" t="str">
        <f>IF(S706="","",IF(S706="[FÓRMULA MANUAL]","",IFERROR(AVERAGEIFS(nNOTA,nNIA,S706,nCUENTA,1,nASIG,"Armonía"),"")))</f>
        <v/>
      </c>
      <c r="U706" t="str">
        <f>IF(S706="","",IF(S706="[FÓRMULA MANUAL]","",IFERROR(AVERAGEIFS(nNOTA,nNIA,S706,nCUENTA,1,nASIG,"Orquesta/Banda/Conjunto"),"")))</f>
        <v/>
      </c>
      <c r="V706" t="str">
        <f>IF(S706="","",IF(S706="[FÓRMULA MANUAL]","",IFERROR(AVERAGEIFS(nNOTA,nNIA,S706,nCUENTA,1,nASIG,"Música de Cámara"),"")))</f>
        <v/>
      </c>
      <c r="W706" t="str">
        <f>IF(S706="","",IF(S706="[FÓRMULA MANUAL]","",IFERROR(SUMPRODUCT((nNIA=S706)*(nCUENTA=1)*(COUNTIF(CONFIG_ASIGNATURAS!$B$7:$B$27,nASIG)&gt;0)*(nNOTA))/SUMPRODUCT((nNIA=S706)*(nCUENTA=1)*(COUNTIF(CONFIG_ASIGNATURAS!$B$7:$B$27,nASIG)&gt;0)*1),"")))</f>
        <v/>
      </c>
      <c r="Z706" t="str">
        <f>IF(Y706="","",IF(Y706="[FÓRMULA MANUAL]","",IFERROR(AVERAGEIFS(nNOTA,nNIA,Y706,nCUENTA,1,nASIG,"Análisis"),"")))</f>
        <v/>
      </c>
      <c r="AA706" t="str">
        <f>IF(Y706="","",IF(Y706="[FÓRMULA MANUAL]","",IFERROR(AVERAGEIFS(nNOTA,nNIA,Y706,nCUENTA,1,nASIG,"Orquesta/Banda/Conjunto"),"")))</f>
        <v/>
      </c>
      <c r="AB706" t="str">
        <f>IF(Y706="","",IF(Y706="[FÓRMULA MANUAL]","",IFERROR(AVERAGEIFS(nNOTA,nNIA,Y706,nCUENTA,1,nASIG,"Música de Cámara"),"")))</f>
        <v/>
      </c>
      <c r="AC706" t="str">
        <f>IF(Y706="","",IF(Y706="[FÓRMULA MANUAL]","",IFERROR(SUMPRODUCT((nNIA=Y706)*(nCUENTA=1)*(COUNTIF(CONFIG_ASIGNATURAS!$B$7:$B$27,nASIG)&gt;0)*(nNOTA))/SUMPRODUCT((nNIA=Y706)*(nCUENTA=1)*(COUNTIF(CONFIG_ASIGNATURAS!$B$7:$B$27,nASIG)&gt;0)*1),"")))</f>
        <v/>
      </c>
      <c r="AF706" t="str">
        <f>IF(AE706="","",IF(AE706="[FÓRMULA MANUAL]","",IFERROR(AVERAGEIFS(nNOTA,nNIA,AE706,nCUENTA,1,nASIG,"Análisis"),"")))</f>
        <v/>
      </c>
      <c r="AG706" t="str">
        <f>IF(AE706="","",IF(AE706="[FÓRMULA MANUAL]","",IFERROR(AVERAGEIFS(nNOTA,nNIA,AE706,nCUENTA,1,nASIG,"Orquesta/Banda/Conjunto"),"")))</f>
        <v/>
      </c>
      <c r="AH706" t="str">
        <f>IF(AE706="","",IF(AE706="[FÓRMULA MANUAL]","",IFERROR(AVERAGEIFS(nNOTA,nNIA,AE706,nCUENTA,1,nASIG,"Música de Cámara"),"")))</f>
        <v/>
      </c>
      <c r="AI706" t="str">
        <f>IF(AE706="","",IF(AE706="[FÓRMULA MANUAL]","",IFERROR(SUMPRODUCT((nNIA=AE706)*(nCUENTA=1)*(COUNTIF(CONFIG_ASIGNATURAS!$B$7:$B$27,nASIG)&gt;0)*(nNOTA))/SUMPRODUCT((nNIA=AE706)*(nCUENTA=1)*(COUNTIF(CONFIG_ASIGNATURAS!$B$7:$B$27,nASIG)&gt;0)*1),"")))</f>
        <v/>
      </c>
    </row>
    <row r="707" spans="2:35" x14ac:dyDescent="0.2">
      <c r="B707" t="str">
        <f>IF(A707="","",IF(A707="[FÓRMULA MANUAL]","",IFERROR(AVERAGEIFS(nNOTA,nNIA,A707,nCUENTA,1,nASIG,"Lenguaje Musical"),"")))</f>
        <v/>
      </c>
      <c r="C707" t="str">
        <f>IF(A707="","",IF(A707="[FÓRMULA MANUAL]","",IFERROR(AVERAGEIFS(nNOTA,nNIA,A707,nCUENTA,1,nASIG,"Orquesta/Banda/Conjunto"),"")))</f>
        <v/>
      </c>
      <c r="D707" t="str">
        <f>IF(A707="","",IF(A707="[FÓRMULA MANUAL]","",IFERROR(AVERAGEIFS(nNOTA,nNIA,A707,nCUENTA,1,nASIG,"Conjunto"),"")))</f>
        <v/>
      </c>
      <c r="E707" t="str">
        <f>IF(A707="","",IF(A707="[FÓRMULA MANUAL]","",IFERROR(SUMPRODUCT((nNIA=A707)*(nCUENTA=1)*(COUNTIF(CONFIG_ASIGNATURAS!$B$7:$B$27,nASIG)&gt;0)*(nNOTA))/SUMPRODUCT((nNIA=A707)*(nCUENTA=1)*(COUNTIF(CONFIG_ASIGNATURAS!$B$7:$B$27,nASIG)&gt;0)*1),"")))</f>
        <v/>
      </c>
      <c r="H707" t="str">
        <f>IF(G707="","",IF(G707="[FÓRMULA MANUAL]","",IFERROR(AVERAGEIFS(nNOTA,nNIA,G707,nCUENTA,1,nASIG,"Lenguaje Musical"),"")))</f>
        <v/>
      </c>
      <c r="I707" t="str">
        <f>IF(G707="","",IF(G707="[FÓRMULA MANUAL]","",IFERROR(AVERAGEIFS(nNOTA,nNIA,G707,nCUENTA,1,nASIG,"Orquesta/Banda/Conjunto"),"")))</f>
        <v/>
      </c>
      <c r="J707" t="str">
        <f>IF(G707="","",IF(G707="[FÓRMULA MANUAL]","",IFERROR(AVERAGEIFS(nNOTA,nNIA,G707,nCUENTA,1,nASIG,"Conjunto"),"")))</f>
        <v/>
      </c>
      <c r="K707" t="str">
        <f>IF(G707="","",IF(G707="[FÓRMULA MANUAL]","",IFERROR(SUMPRODUCT((nNIA=G707)*(nCUENTA=1)*(COUNTIF(CONFIG_ASIGNATURAS!$B$7:$B$27,nASIG)&gt;0)*(nNOTA))/SUMPRODUCT((nNIA=G707)*(nCUENTA=1)*(COUNTIF(CONFIG_ASIGNATURAS!$B$7:$B$27,nASIG)&gt;0)*1),"")))</f>
        <v/>
      </c>
      <c r="N707" t="str">
        <f>IF(M707="","",IF(M707="[FÓRMULA MANUAL]","",IFERROR(AVERAGEIFS(nNOTA,nNIA,M707,nCUENTA,1,nASIG,"Armonía"),"")))</f>
        <v/>
      </c>
      <c r="O707" t="str">
        <f>IF(M707="","",IF(M707="[FÓRMULA MANUAL]","",IFERROR(AVERAGEIFS(nNOTA,nNIA,M707,nCUENTA,1,nASIG,"Orquesta/Banda/Conjunto"),"")))</f>
        <v/>
      </c>
      <c r="P707" t="str">
        <f>IF(M707="","",IF(M707="[FÓRMULA MANUAL]","",IFERROR(AVERAGEIFS(nNOTA,nNIA,M707,nCUENTA,1,nASIG,"Música de Cámara"),"")))</f>
        <v/>
      </c>
      <c r="Q707" t="str">
        <f>IF(M707="","",IF(M707="[FÓRMULA MANUAL]","",IFERROR(SUMPRODUCT((nNIA=M707)*(nCUENTA=1)*(COUNTIF(CONFIG_ASIGNATURAS!$B$7:$B$27,nASIG)&gt;0)*(nNOTA))/SUMPRODUCT((nNIA=M707)*(nCUENTA=1)*(COUNTIF(CONFIG_ASIGNATURAS!$B$7:$B$27,nASIG)&gt;0)*1),"")))</f>
        <v/>
      </c>
      <c r="T707" t="str">
        <f>IF(S707="","",IF(S707="[FÓRMULA MANUAL]","",IFERROR(AVERAGEIFS(nNOTA,nNIA,S707,nCUENTA,1,nASIG,"Armonía"),"")))</f>
        <v/>
      </c>
      <c r="U707" t="str">
        <f>IF(S707="","",IF(S707="[FÓRMULA MANUAL]","",IFERROR(AVERAGEIFS(nNOTA,nNIA,S707,nCUENTA,1,nASIG,"Orquesta/Banda/Conjunto"),"")))</f>
        <v/>
      </c>
      <c r="V707" t="str">
        <f>IF(S707="","",IF(S707="[FÓRMULA MANUAL]","",IFERROR(AVERAGEIFS(nNOTA,nNIA,S707,nCUENTA,1,nASIG,"Música de Cámara"),"")))</f>
        <v/>
      </c>
      <c r="W707" t="str">
        <f>IF(S707="","",IF(S707="[FÓRMULA MANUAL]","",IFERROR(SUMPRODUCT((nNIA=S707)*(nCUENTA=1)*(COUNTIF(CONFIG_ASIGNATURAS!$B$7:$B$27,nASIG)&gt;0)*(nNOTA))/SUMPRODUCT((nNIA=S707)*(nCUENTA=1)*(COUNTIF(CONFIG_ASIGNATURAS!$B$7:$B$27,nASIG)&gt;0)*1),"")))</f>
        <v/>
      </c>
      <c r="Z707" t="str">
        <f>IF(Y707="","",IF(Y707="[FÓRMULA MANUAL]","",IFERROR(AVERAGEIFS(nNOTA,nNIA,Y707,nCUENTA,1,nASIG,"Análisis"),"")))</f>
        <v/>
      </c>
      <c r="AA707" t="str">
        <f>IF(Y707="","",IF(Y707="[FÓRMULA MANUAL]","",IFERROR(AVERAGEIFS(nNOTA,nNIA,Y707,nCUENTA,1,nASIG,"Orquesta/Banda/Conjunto"),"")))</f>
        <v/>
      </c>
      <c r="AB707" t="str">
        <f>IF(Y707="","",IF(Y707="[FÓRMULA MANUAL]","",IFERROR(AVERAGEIFS(nNOTA,nNIA,Y707,nCUENTA,1,nASIG,"Música de Cámara"),"")))</f>
        <v/>
      </c>
      <c r="AC707" t="str">
        <f>IF(Y707="","",IF(Y707="[FÓRMULA MANUAL]","",IFERROR(SUMPRODUCT((nNIA=Y707)*(nCUENTA=1)*(COUNTIF(CONFIG_ASIGNATURAS!$B$7:$B$27,nASIG)&gt;0)*(nNOTA))/SUMPRODUCT((nNIA=Y707)*(nCUENTA=1)*(COUNTIF(CONFIG_ASIGNATURAS!$B$7:$B$27,nASIG)&gt;0)*1),"")))</f>
        <v/>
      </c>
      <c r="AF707" t="str">
        <f>IF(AE707="","",IF(AE707="[FÓRMULA MANUAL]","",IFERROR(AVERAGEIFS(nNOTA,nNIA,AE707,nCUENTA,1,nASIG,"Análisis"),"")))</f>
        <v/>
      </c>
      <c r="AG707" t="str">
        <f>IF(AE707="","",IF(AE707="[FÓRMULA MANUAL]","",IFERROR(AVERAGEIFS(nNOTA,nNIA,AE707,nCUENTA,1,nASIG,"Orquesta/Banda/Conjunto"),"")))</f>
        <v/>
      </c>
      <c r="AH707" t="str">
        <f>IF(AE707="","",IF(AE707="[FÓRMULA MANUAL]","",IFERROR(AVERAGEIFS(nNOTA,nNIA,AE707,nCUENTA,1,nASIG,"Música de Cámara"),"")))</f>
        <v/>
      </c>
      <c r="AI707" t="str">
        <f>IF(AE707="","",IF(AE707="[FÓRMULA MANUAL]","",IFERROR(SUMPRODUCT((nNIA=AE707)*(nCUENTA=1)*(COUNTIF(CONFIG_ASIGNATURAS!$B$7:$B$27,nASIG)&gt;0)*(nNOTA))/SUMPRODUCT((nNIA=AE707)*(nCUENTA=1)*(COUNTIF(CONFIG_ASIGNATURAS!$B$7:$B$27,nASIG)&gt;0)*1),"")))</f>
        <v/>
      </c>
    </row>
    <row r="708" spans="2:35" x14ac:dyDescent="0.2">
      <c r="B708" t="str">
        <f>IF(A708="","",IF(A708="[FÓRMULA MANUAL]","",IFERROR(AVERAGEIFS(nNOTA,nNIA,A708,nCUENTA,1,nASIG,"Lenguaje Musical"),"")))</f>
        <v/>
      </c>
      <c r="C708" t="str">
        <f>IF(A708="","",IF(A708="[FÓRMULA MANUAL]","",IFERROR(AVERAGEIFS(nNOTA,nNIA,A708,nCUENTA,1,nASIG,"Orquesta/Banda/Conjunto"),"")))</f>
        <v/>
      </c>
      <c r="D708" t="str">
        <f>IF(A708="","",IF(A708="[FÓRMULA MANUAL]","",IFERROR(AVERAGEIFS(nNOTA,nNIA,A708,nCUENTA,1,nASIG,"Conjunto"),"")))</f>
        <v/>
      </c>
      <c r="E708" t="str">
        <f>IF(A708="","",IF(A708="[FÓRMULA MANUAL]","",IFERROR(SUMPRODUCT((nNIA=A708)*(nCUENTA=1)*(COUNTIF(CONFIG_ASIGNATURAS!$B$7:$B$27,nASIG)&gt;0)*(nNOTA))/SUMPRODUCT((nNIA=A708)*(nCUENTA=1)*(COUNTIF(CONFIG_ASIGNATURAS!$B$7:$B$27,nASIG)&gt;0)*1),"")))</f>
        <v/>
      </c>
      <c r="H708" t="str">
        <f>IF(G708="","",IF(G708="[FÓRMULA MANUAL]","",IFERROR(AVERAGEIFS(nNOTA,nNIA,G708,nCUENTA,1,nASIG,"Lenguaje Musical"),"")))</f>
        <v/>
      </c>
      <c r="I708" t="str">
        <f>IF(G708="","",IF(G708="[FÓRMULA MANUAL]","",IFERROR(AVERAGEIFS(nNOTA,nNIA,G708,nCUENTA,1,nASIG,"Orquesta/Banda/Conjunto"),"")))</f>
        <v/>
      </c>
      <c r="J708" t="str">
        <f>IF(G708="","",IF(G708="[FÓRMULA MANUAL]","",IFERROR(AVERAGEIFS(nNOTA,nNIA,G708,nCUENTA,1,nASIG,"Conjunto"),"")))</f>
        <v/>
      </c>
      <c r="K708" t="str">
        <f>IF(G708="","",IF(G708="[FÓRMULA MANUAL]","",IFERROR(SUMPRODUCT((nNIA=G708)*(nCUENTA=1)*(COUNTIF(CONFIG_ASIGNATURAS!$B$7:$B$27,nASIG)&gt;0)*(nNOTA))/SUMPRODUCT((nNIA=G708)*(nCUENTA=1)*(COUNTIF(CONFIG_ASIGNATURAS!$B$7:$B$27,nASIG)&gt;0)*1),"")))</f>
        <v/>
      </c>
      <c r="N708" t="str">
        <f>IF(M708="","",IF(M708="[FÓRMULA MANUAL]","",IFERROR(AVERAGEIFS(nNOTA,nNIA,M708,nCUENTA,1,nASIG,"Armonía"),"")))</f>
        <v/>
      </c>
      <c r="O708" t="str">
        <f>IF(M708="","",IF(M708="[FÓRMULA MANUAL]","",IFERROR(AVERAGEIFS(nNOTA,nNIA,M708,nCUENTA,1,nASIG,"Orquesta/Banda/Conjunto"),"")))</f>
        <v/>
      </c>
      <c r="P708" t="str">
        <f>IF(M708="","",IF(M708="[FÓRMULA MANUAL]","",IFERROR(AVERAGEIFS(nNOTA,nNIA,M708,nCUENTA,1,nASIG,"Música de Cámara"),"")))</f>
        <v/>
      </c>
      <c r="Q708" t="str">
        <f>IF(M708="","",IF(M708="[FÓRMULA MANUAL]","",IFERROR(SUMPRODUCT((nNIA=M708)*(nCUENTA=1)*(COUNTIF(CONFIG_ASIGNATURAS!$B$7:$B$27,nASIG)&gt;0)*(nNOTA))/SUMPRODUCT((nNIA=M708)*(nCUENTA=1)*(COUNTIF(CONFIG_ASIGNATURAS!$B$7:$B$27,nASIG)&gt;0)*1),"")))</f>
        <v/>
      </c>
      <c r="T708" t="str">
        <f>IF(S708="","",IF(S708="[FÓRMULA MANUAL]","",IFERROR(AVERAGEIFS(nNOTA,nNIA,S708,nCUENTA,1,nASIG,"Armonía"),"")))</f>
        <v/>
      </c>
      <c r="U708" t="str">
        <f>IF(S708="","",IF(S708="[FÓRMULA MANUAL]","",IFERROR(AVERAGEIFS(nNOTA,nNIA,S708,nCUENTA,1,nASIG,"Orquesta/Banda/Conjunto"),"")))</f>
        <v/>
      </c>
      <c r="V708" t="str">
        <f>IF(S708="","",IF(S708="[FÓRMULA MANUAL]","",IFERROR(AVERAGEIFS(nNOTA,nNIA,S708,nCUENTA,1,nASIG,"Música de Cámara"),"")))</f>
        <v/>
      </c>
      <c r="W708" t="str">
        <f>IF(S708="","",IF(S708="[FÓRMULA MANUAL]","",IFERROR(SUMPRODUCT((nNIA=S708)*(nCUENTA=1)*(COUNTIF(CONFIG_ASIGNATURAS!$B$7:$B$27,nASIG)&gt;0)*(nNOTA))/SUMPRODUCT((nNIA=S708)*(nCUENTA=1)*(COUNTIF(CONFIG_ASIGNATURAS!$B$7:$B$27,nASIG)&gt;0)*1),"")))</f>
        <v/>
      </c>
      <c r="Z708" t="str">
        <f>IF(Y708="","",IF(Y708="[FÓRMULA MANUAL]","",IFERROR(AVERAGEIFS(nNOTA,nNIA,Y708,nCUENTA,1,nASIG,"Análisis"),"")))</f>
        <v/>
      </c>
      <c r="AA708" t="str">
        <f>IF(Y708="","",IF(Y708="[FÓRMULA MANUAL]","",IFERROR(AVERAGEIFS(nNOTA,nNIA,Y708,nCUENTA,1,nASIG,"Orquesta/Banda/Conjunto"),"")))</f>
        <v/>
      </c>
      <c r="AB708" t="str">
        <f>IF(Y708="","",IF(Y708="[FÓRMULA MANUAL]","",IFERROR(AVERAGEIFS(nNOTA,nNIA,Y708,nCUENTA,1,nASIG,"Música de Cámara"),"")))</f>
        <v/>
      </c>
      <c r="AC708" t="str">
        <f>IF(Y708="","",IF(Y708="[FÓRMULA MANUAL]","",IFERROR(SUMPRODUCT((nNIA=Y708)*(nCUENTA=1)*(COUNTIF(CONFIG_ASIGNATURAS!$B$7:$B$27,nASIG)&gt;0)*(nNOTA))/SUMPRODUCT((nNIA=Y708)*(nCUENTA=1)*(COUNTIF(CONFIG_ASIGNATURAS!$B$7:$B$27,nASIG)&gt;0)*1),"")))</f>
        <v/>
      </c>
      <c r="AF708" t="str">
        <f>IF(AE708="","",IF(AE708="[FÓRMULA MANUAL]","",IFERROR(AVERAGEIFS(nNOTA,nNIA,AE708,nCUENTA,1,nASIG,"Análisis"),"")))</f>
        <v/>
      </c>
      <c r="AG708" t="str">
        <f>IF(AE708="","",IF(AE708="[FÓRMULA MANUAL]","",IFERROR(AVERAGEIFS(nNOTA,nNIA,AE708,nCUENTA,1,nASIG,"Orquesta/Banda/Conjunto"),"")))</f>
        <v/>
      </c>
      <c r="AH708" t="str">
        <f>IF(AE708="","",IF(AE708="[FÓRMULA MANUAL]","",IFERROR(AVERAGEIFS(nNOTA,nNIA,AE708,nCUENTA,1,nASIG,"Música de Cámara"),"")))</f>
        <v/>
      </c>
      <c r="AI708" t="str">
        <f>IF(AE708="","",IF(AE708="[FÓRMULA MANUAL]","",IFERROR(SUMPRODUCT((nNIA=AE708)*(nCUENTA=1)*(COUNTIF(CONFIG_ASIGNATURAS!$B$7:$B$27,nASIG)&gt;0)*(nNOTA))/SUMPRODUCT((nNIA=AE708)*(nCUENTA=1)*(COUNTIF(CONFIG_ASIGNATURAS!$B$7:$B$27,nASIG)&gt;0)*1),"")))</f>
        <v/>
      </c>
    </row>
    <row r="709" spans="2:35" x14ac:dyDescent="0.2">
      <c r="B709" t="str">
        <f>IF(A709="","",IF(A709="[FÓRMULA MANUAL]","",IFERROR(AVERAGEIFS(nNOTA,nNIA,A709,nCUENTA,1,nASIG,"Lenguaje Musical"),"")))</f>
        <v/>
      </c>
      <c r="C709" t="str">
        <f>IF(A709="","",IF(A709="[FÓRMULA MANUAL]","",IFERROR(AVERAGEIFS(nNOTA,nNIA,A709,nCUENTA,1,nASIG,"Orquesta/Banda/Conjunto"),"")))</f>
        <v/>
      </c>
      <c r="D709" t="str">
        <f>IF(A709="","",IF(A709="[FÓRMULA MANUAL]","",IFERROR(AVERAGEIFS(nNOTA,nNIA,A709,nCUENTA,1,nASIG,"Conjunto"),"")))</f>
        <v/>
      </c>
      <c r="E709" t="str">
        <f>IF(A709="","",IF(A709="[FÓRMULA MANUAL]","",IFERROR(SUMPRODUCT((nNIA=A709)*(nCUENTA=1)*(COUNTIF(CONFIG_ASIGNATURAS!$B$7:$B$27,nASIG)&gt;0)*(nNOTA))/SUMPRODUCT((nNIA=A709)*(nCUENTA=1)*(COUNTIF(CONFIG_ASIGNATURAS!$B$7:$B$27,nASIG)&gt;0)*1),"")))</f>
        <v/>
      </c>
      <c r="H709" t="str">
        <f>IF(G709="","",IF(G709="[FÓRMULA MANUAL]","",IFERROR(AVERAGEIFS(nNOTA,nNIA,G709,nCUENTA,1,nASIG,"Lenguaje Musical"),"")))</f>
        <v/>
      </c>
      <c r="I709" t="str">
        <f>IF(G709="","",IF(G709="[FÓRMULA MANUAL]","",IFERROR(AVERAGEIFS(nNOTA,nNIA,G709,nCUENTA,1,nASIG,"Orquesta/Banda/Conjunto"),"")))</f>
        <v/>
      </c>
      <c r="J709" t="str">
        <f>IF(G709="","",IF(G709="[FÓRMULA MANUAL]","",IFERROR(AVERAGEIFS(nNOTA,nNIA,G709,nCUENTA,1,nASIG,"Conjunto"),"")))</f>
        <v/>
      </c>
      <c r="K709" t="str">
        <f>IF(G709="","",IF(G709="[FÓRMULA MANUAL]","",IFERROR(SUMPRODUCT((nNIA=G709)*(nCUENTA=1)*(COUNTIF(CONFIG_ASIGNATURAS!$B$7:$B$27,nASIG)&gt;0)*(nNOTA))/SUMPRODUCT((nNIA=G709)*(nCUENTA=1)*(COUNTIF(CONFIG_ASIGNATURAS!$B$7:$B$27,nASIG)&gt;0)*1),"")))</f>
        <v/>
      </c>
      <c r="N709" t="str">
        <f>IF(M709="","",IF(M709="[FÓRMULA MANUAL]","",IFERROR(AVERAGEIFS(nNOTA,nNIA,M709,nCUENTA,1,nASIG,"Armonía"),"")))</f>
        <v/>
      </c>
      <c r="O709" t="str">
        <f>IF(M709="","",IF(M709="[FÓRMULA MANUAL]","",IFERROR(AVERAGEIFS(nNOTA,nNIA,M709,nCUENTA,1,nASIG,"Orquesta/Banda/Conjunto"),"")))</f>
        <v/>
      </c>
      <c r="P709" t="str">
        <f>IF(M709="","",IF(M709="[FÓRMULA MANUAL]","",IFERROR(AVERAGEIFS(nNOTA,nNIA,M709,nCUENTA,1,nASIG,"Música de Cámara"),"")))</f>
        <v/>
      </c>
      <c r="Q709" t="str">
        <f>IF(M709="","",IF(M709="[FÓRMULA MANUAL]","",IFERROR(SUMPRODUCT((nNIA=M709)*(nCUENTA=1)*(COUNTIF(CONFIG_ASIGNATURAS!$B$7:$B$27,nASIG)&gt;0)*(nNOTA))/SUMPRODUCT((nNIA=M709)*(nCUENTA=1)*(COUNTIF(CONFIG_ASIGNATURAS!$B$7:$B$27,nASIG)&gt;0)*1),"")))</f>
        <v/>
      </c>
      <c r="T709" t="str">
        <f>IF(S709="","",IF(S709="[FÓRMULA MANUAL]","",IFERROR(AVERAGEIFS(nNOTA,nNIA,S709,nCUENTA,1,nASIG,"Armonía"),"")))</f>
        <v/>
      </c>
      <c r="U709" t="str">
        <f>IF(S709="","",IF(S709="[FÓRMULA MANUAL]","",IFERROR(AVERAGEIFS(nNOTA,nNIA,S709,nCUENTA,1,nASIG,"Orquesta/Banda/Conjunto"),"")))</f>
        <v/>
      </c>
      <c r="V709" t="str">
        <f>IF(S709="","",IF(S709="[FÓRMULA MANUAL]","",IFERROR(AVERAGEIFS(nNOTA,nNIA,S709,nCUENTA,1,nASIG,"Música de Cámara"),"")))</f>
        <v/>
      </c>
      <c r="W709" t="str">
        <f>IF(S709="","",IF(S709="[FÓRMULA MANUAL]","",IFERROR(SUMPRODUCT((nNIA=S709)*(nCUENTA=1)*(COUNTIF(CONFIG_ASIGNATURAS!$B$7:$B$27,nASIG)&gt;0)*(nNOTA))/SUMPRODUCT((nNIA=S709)*(nCUENTA=1)*(COUNTIF(CONFIG_ASIGNATURAS!$B$7:$B$27,nASIG)&gt;0)*1),"")))</f>
        <v/>
      </c>
      <c r="Z709" t="str">
        <f>IF(Y709="","",IF(Y709="[FÓRMULA MANUAL]","",IFERROR(AVERAGEIFS(nNOTA,nNIA,Y709,nCUENTA,1,nASIG,"Análisis"),"")))</f>
        <v/>
      </c>
      <c r="AA709" t="str">
        <f>IF(Y709="","",IF(Y709="[FÓRMULA MANUAL]","",IFERROR(AVERAGEIFS(nNOTA,nNIA,Y709,nCUENTA,1,nASIG,"Orquesta/Banda/Conjunto"),"")))</f>
        <v/>
      </c>
      <c r="AB709" t="str">
        <f>IF(Y709="","",IF(Y709="[FÓRMULA MANUAL]","",IFERROR(AVERAGEIFS(nNOTA,nNIA,Y709,nCUENTA,1,nASIG,"Música de Cámara"),"")))</f>
        <v/>
      </c>
      <c r="AC709" t="str">
        <f>IF(Y709="","",IF(Y709="[FÓRMULA MANUAL]","",IFERROR(SUMPRODUCT((nNIA=Y709)*(nCUENTA=1)*(COUNTIF(CONFIG_ASIGNATURAS!$B$7:$B$27,nASIG)&gt;0)*(nNOTA))/SUMPRODUCT((nNIA=Y709)*(nCUENTA=1)*(COUNTIF(CONFIG_ASIGNATURAS!$B$7:$B$27,nASIG)&gt;0)*1),"")))</f>
        <v/>
      </c>
      <c r="AF709" t="str">
        <f>IF(AE709="","",IF(AE709="[FÓRMULA MANUAL]","",IFERROR(AVERAGEIFS(nNOTA,nNIA,AE709,nCUENTA,1,nASIG,"Análisis"),"")))</f>
        <v/>
      </c>
      <c r="AG709" t="str">
        <f>IF(AE709="","",IF(AE709="[FÓRMULA MANUAL]","",IFERROR(AVERAGEIFS(nNOTA,nNIA,AE709,nCUENTA,1,nASIG,"Orquesta/Banda/Conjunto"),"")))</f>
        <v/>
      </c>
      <c r="AH709" t="str">
        <f>IF(AE709="","",IF(AE709="[FÓRMULA MANUAL]","",IFERROR(AVERAGEIFS(nNOTA,nNIA,AE709,nCUENTA,1,nASIG,"Música de Cámara"),"")))</f>
        <v/>
      </c>
      <c r="AI709" t="str">
        <f>IF(AE709="","",IF(AE709="[FÓRMULA MANUAL]","",IFERROR(SUMPRODUCT((nNIA=AE709)*(nCUENTA=1)*(COUNTIF(CONFIG_ASIGNATURAS!$B$7:$B$27,nASIG)&gt;0)*(nNOTA))/SUMPRODUCT((nNIA=AE709)*(nCUENTA=1)*(COUNTIF(CONFIG_ASIGNATURAS!$B$7:$B$27,nASIG)&gt;0)*1),"")))</f>
        <v/>
      </c>
    </row>
    <row r="710" spans="2:35" x14ac:dyDescent="0.2">
      <c r="B710" t="str">
        <f>IF(A710="","",IF(A710="[FÓRMULA MANUAL]","",IFERROR(AVERAGEIFS(nNOTA,nNIA,A710,nCUENTA,1,nASIG,"Lenguaje Musical"),"")))</f>
        <v/>
      </c>
      <c r="C710" t="str">
        <f>IF(A710="","",IF(A710="[FÓRMULA MANUAL]","",IFERROR(AVERAGEIFS(nNOTA,nNIA,A710,nCUENTA,1,nASIG,"Orquesta/Banda/Conjunto"),"")))</f>
        <v/>
      </c>
      <c r="D710" t="str">
        <f>IF(A710="","",IF(A710="[FÓRMULA MANUAL]","",IFERROR(AVERAGEIFS(nNOTA,nNIA,A710,nCUENTA,1,nASIG,"Conjunto"),"")))</f>
        <v/>
      </c>
      <c r="E710" t="str">
        <f>IF(A710="","",IF(A710="[FÓRMULA MANUAL]","",IFERROR(SUMPRODUCT((nNIA=A710)*(nCUENTA=1)*(COUNTIF(CONFIG_ASIGNATURAS!$B$7:$B$27,nASIG)&gt;0)*(nNOTA))/SUMPRODUCT((nNIA=A710)*(nCUENTA=1)*(COUNTIF(CONFIG_ASIGNATURAS!$B$7:$B$27,nASIG)&gt;0)*1),"")))</f>
        <v/>
      </c>
      <c r="H710" t="str">
        <f>IF(G710="","",IF(G710="[FÓRMULA MANUAL]","",IFERROR(AVERAGEIFS(nNOTA,nNIA,G710,nCUENTA,1,nASIG,"Lenguaje Musical"),"")))</f>
        <v/>
      </c>
      <c r="I710" t="str">
        <f>IF(G710="","",IF(G710="[FÓRMULA MANUAL]","",IFERROR(AVERAGEIFS(nNOTA,nNIA,G710,nCUENTA,1,nASIG,"Orquesta/Banda/Conjunto"),"")))</f>
        <v/>
      </c>
      <c r="J710" t="str">
        <f>IF(G710="","",IF(G710="[FÓRMULA MANUAL]","",IFERROR(AVERAGEIFS(nNOTA,nNIA,G710,nCUENTA,1,nASIG,"Conjunto"),"")))</f>
        <v/>
      </c>
      <c r="K710" t="str">
        <f>IF(G710="","",IF(G710="[FÓRMULA MANUAL]","",IFERROR(SUMPRODUCT((nNIA=G710)*(nCUENTA=1)*(COUNTIF(CONFIG_ASIGNATURAS!$B$7:$B$27,nASIG)&gt;0)*(nNOTA))/SUMPRODUCT((nNIA=G710)*(nCUENTA=1)*(COUNTIF(CONFIG_ASIGNATURAS!$B$7:$B$27,nASIG)&gt;0)*1),"")))</f>
        <v/>
      </c>
      <c r="N710" t="str">
        <f>IF(M710="","",IF(M710="[FÓRMULA MANUAL]","",IFERROR(AVERAGEIFS(nNOTA,nNIA,M710,nCUENTA,1,nASIG,"Armonía"),"")))</f>
        <v/>
      </c>
      <c r="O710" t="str">
        <f>IF(M710="","",IF(M710="[FÓRMULA MANUAL]","",IFERROR(AVERAGEIFS(nNOTA,nNIA,M710,nCUENTA,1,nASIG,"Orquesta/Banda/Conjunto"),"")))</f>
        <v/>
      </c>
      <c r="P710" t="str">
        <f>IF(M710="","",IF(M710="[FÓRMULA MANUAL]","",IFERROR(AVERAGEIFS(nNOTA,nNIA,M710,nCUENTA,1,nASIG,"Música de Cámara"),"")))</f>
        <v/>
      </c>
      <c r="Q710" t="str">
        <f>IF(M710="","",IF(M710="[FÓRMULA MANUAL]","",IFERROR(SUMPRODUCT((nNIA=M710)*(nCUENTA=1)*(COUNTIF(CONFIG_ASIGNATURAS!$B$7:$B$27,nASIG)&gt;0)*(nNOTA))/SUMPRODUCT((nNIA=M710)*(nCUENTA=1)*(COUNTIF(CONFIG_ASIGNATURAS!$B$7:$B$27,nASIG)&gt;0)*1),"")))</f>
        <v/>
      </c>
      <c r="T710" t="str">
        <f>IF(S710="","",IF(S710="[FÓRMULA MANUAL]","",IFERROR(AVERAGEIFS(nNOTA,nNIA,S710,nCUENTA,1,nASIG,"Armonía"),"")))</f>
        <v/>
      </c>
      <c r="U710" t="str">
        <f>IF(S710="","",IF(S710="[FÓRMULA MANUAL]","",IFERROR(AVERAGEIFS(nNOTA,nNIA,S710,nCUENTA,1,nASIG,"Orquesta/Banda/Conjunto"),"")))</f>
        <v/>
      </c>
      <c r="V710" t="str">
        <f>IF(S710="","",IF(S710="[FÓRMULA MANUAL]","",IFERROR(AVERAGEIFS(nNOTA,nNIA,S710,nCUENTA,1,nASIG,"Música de Cámara"),"")))</f>
        <v/>
      </c>
      <c r="W710" t="str">
        <f>IF(S710="","",IF(S710="[FÓRMULA MANUAL]","",IFERROR(SUMPRODUCT((nNIA=S710)*(nCUENTA=1)*(COUNTIF(CONFIG_ASIGNATURAS!$B$7:$B$27,nASIG)&gt;0)*(nNOTA))/SUMPRODUCT((nNIA=S710)*(nCUENTA=1)*(COUNTIF(CONFIG_ASIGNATURAS!$B$7:$B$27,nASIG)&gt;0)*1),"")))</f>
        <v/>
      </c>
      <c r="Z710" t="str">
        <f>IF(Y710="","",IF(Y710="[FÓRMULA MANUAL]","",IFERROR(AVERAGEIFS(nNOTA,nNIA,Y710,nCUENTA,1,nASIG,"Análisis"),"")))</f>
        <v/>
      </c>
      <c r="AA710" t="str">
        <f>IF(Y710="","",IF(Y710="[FÓRMULA MANUAL]","",IFERROR(AVERAGEIFS(nNOTA,nNIA,Y710,nCUENTA,1,nASIG,"Orquesta/Banda/Conjunto"),"")))</f>
        <v/>
      </c>
      <c r="AB710" t="str">
        <f>IF(Y710="","",IF(Y710="[FÓRMULA MANUAL]","",IFERROR(AVERAGEIFS(nNOTA,nNIA,Y710,nCUENTA,1,nASIG,"Música de Cámara"),"")))</f>
        <v/>
      </c>
      <c r="AC710" t="str">
        <f>IF(Y710="","",IF(Y710="[FÓRMULA MANUAL]","",IFERROR(SUMPRODUCT((nNIA=Y710)*(nCUENTA=1)*(COUNTIF(CONFIG_ASIGNATURAS!$B$7:$B$27,nASIG)&gt;0)*(nNOTA))/SUMPRODUCT((nNIA=Y710)*(nCUENTA=1)*(COUNTIF(CONFIG_ASIGNATURAS!$B$7:$B$27,nASIG)&gt;0)*1),"")))</f>
        <v/>
      </c>
      <c r="AF710" t="str">
        <f>IF(AE710="","",IF(AE710="[FÓRMULA MANUAL]","",IFERROR(AVERAGEIFS(nNOTA,nNIA,AE710,nCUENTA,1,nASIG,"Análisis"),"")))</f>
        <v/>
      </c>
      <c r="AG710" t="str">
        <f>IF(AE710="","",IF(AE710="[FÓRMULA MANUAL]","",IFERROR(AVERAGEIFS(nNOTA,nNIA,AE710,nCUENTA,1,nASIG,"Orquesta/Banda/Conjunto"),"")))</f>
        <v/>
      </c>
      <c r="AH710" t="str">
        <f>IF(AE710="","",IF(AE710="[FÓRMULA MANUAL]","",IFERROR(AVERAGEIFS(nNOTA,nNIA,AE710,nCUENTA,1,nASIG,"Música de Cámara"),"")))</f>
        <v/>
      </c>
      <c r="AI710" t="str">
        <f>IF(AE710="","",IF(AE710="[FÓRMULA MANUAL]","",IFERROR(SUMPRODUCT((nNIA=AE710)*(nCUENTA=1)*(COUNTIF(CONFIG_ASIGNATURAS!$B$7:$B$27,nASIG)&gt;0)*(nNOTA))/SUMPRODUCT((nNIA=AE710)*(nCUENTA=1)*(COUNTIF(CONFIG_ASIGNATURAS!$B$7:$B$27,nASIG)&gt;0)*1),"")))</f>
        <v/>
      </c>
    </row>
    <row r="711" spans="2:35" x14ac:dyDescent="0.2">
      <c r="B711" t="str">
        <f>IF(A711="","",IF(A711="[FÓRMULA MANUAL]","",IFERROR(AVERAGEIFS(nNOTA,nNIA,A711,nCUENTA,1,nASIG,"Lenguaje Musical"),"")))</f>
        <v/>
      </c>
      <c r="C711" t="str">
        <f>IF(A711="","",IF(A711="[FÓRMULA MANUAL]","",IFERROR(AVERAGEIFS(nNOTA,nNIA,A711,nCUENTA,1,nASIG,"Orquesta/Banda/Conjunto"),"")))</f>
        <v/>
      </c>
      <c r="D711" t="str">
        <f>IF(A711="","",IF(A711="[FÓRMULA MANUAL]","",IFERROR(AVERAGEIFS(nNOTA,nNIA,A711,nCUENTA,1,nASIG,"Conjunto"),"")))</f>
        <v/>
      </c>
      <c r="E711" t="str">
        <f>IF(A711="","",IF(A711="[FÓRMULA MANUAL]","",IFERROR(SUMPRODUCT((nNIA=A711)*(nCUENTA=1)*(COUNTIF(CONFIG_ASIGNATURAS!$B$7:$B$27,nASIG)&gt;0)*(nNOTA))/SUMPRODUCT((nNIA=A711)*(nCUENTA=1)*(COUNTIF(CONFIG_ASIGNATURAS!$B$7:$B$27,nASIG)&gt;0)*1),"")))</f>
        <v/>
      </c>
      <c r="H711" t="str">
        <f>IF(G711="","",IF(G711="[FÓRMULA MANUAL]","",IFERROR(AVERAGEIFS(nNOTA,nNIA,G711,nCUENTA,1,nASIG,"Lenguaje Musical"),"")))</f>
        <v/>
      </c>
      <c r="I711" t="str">
        <f>IF(G711="","",IF(G711="[FÓRMULA MANUAL]","",IFERROR(AVERAGEIFS(nNOTA,nNIA,G711,nCUENTA,1,nASIG,"Orquesta/Banda/Conjunto"),"")))</f>
        <v/>
      </c>
      <c r="J711" t="str">
        <f>IF(G711="","",IF(G711="[FÓRMULA MANUAL]","",IFERROR(AVERAGEIFS(nNOTA,nNIA,G711,nCUENTA,1,nASIG,"Conjunto"),"")))</f>
        <v/>
      </c>
      <c r="K711" t="str">
        <f>IF(G711="","",IF(G711="[FÓRMULA MANUAL]","",IFERROR(SUMPRODUCT((nNIA=G711)*(nCUENTA=1)*(COUNTIF(CONFIG_ASIGNATURAS!$B$7:$B$27,nASIG)&gt;0)*(nNOTA))/SUMPRODUCT((nNIA=G711)*(nCUENTA=1)*(COUNTIF(CONFIG_ASIGNATURAS!$B$7:$B$27,nASIG)&gt;0)*1),"")))</f>
        <v/>
      </c>
      <c r="N711" t="str">
        <f>IF(M711="","",IF(M711="[FÓRMULA MANUAL]","",IFERROR(AVERAGEIFS(nNOTA,nNIA,M711,nCUENTA,1,nASIG,"Armonía"),"")))</f>
        <v/>
      </c>
      <c r="O711" t="str">
        <f>IF(M711="","",IF(M711="[FÓRMULA MANUAL]","",IFERROR(AVERAGEIFS(nNOTA,nNIA,M711,nCUENTA,1,nASIG,"Orquesta/Banda/Conjunto"),"")))</f>
        <v/>
      </c>
      <c r="P711" t="str">
        <f>IF(M711="","",IF(M711="[FÓRMULA MANUAL]","",IFERROR(AVERAGEIFS(nNOTA,nNIA,M711,nCUENTA,1,nASIG,"Música de Cámara"),"")))</f>
        <v/>
      </c>
      <c r="Q711" t="str">
        <f>IF(M711="","",IF(M711="[FÓRMULA MANUAL]","",IFERROR(SUMPRODUCT((nNIA=M711)*(nCUENTA=1)*(COUNTIF(CONFIG_ASIGNATURAS!$B$7:$B$27,nASIG)&gt;0)*(nNOTA))/SUMPRODUCT((nNIA=M711)*(nCUENTA=1)*(COUNTIF(CONFIG_ASIGNATURAS!$B$7:$B$27,nASIG)&gt;0)*1),"")))</f>
        <v/>
      </c>
      <c r="T711" t="str">
        <f>IF(S711="","",IF(S711="[FÓRMULA MANUAL]","",IFERROR(AVERAGEIFS(nNOTA,nNIA,S711,nCUENTA,1,nASIG,"Armonía"),"")))</f>
        <v/>
      </c>
      <c r="U711" t="str">
        <f>IF(S711="","",IF(S711="[FÓRMULA MANUAL]","",IFERROR(AVERAGEIFS(nNOTA,nNIA,S711,nCUENTA,1,nASIG,"Orquesta/Banda/Conjunto"),"")))</f>
        <v/>
      </c>
      <c r="V711" t="str">
        <f>IF(S711="","",IF(S711="[FÓRMULA MANUAL]","",IFERROR(AVERAGEIFS(nNOTA,nNIA,S711,nCUENTA,1,nASIG,"Música de Cámara"),"")))</f>
        <v/>
      </c>
      <c r="W711" t="str">
        <f>IF(S711="","",IF(S711="[FÓRMULA MANUAL]","",IFERROR(SUMPRODUCT((nNIA=S711)*(nCUENTA=1)*(COUNTIF(CONFIG_ASIGNATURAS!$B$7:$B$27,nASIG)&gt;0)*(nNOTA))/SUMPRODUCT((nNIA=S711)*(nCUENTA=1)*(COUNTIF(CONFIG_ASIGNATURAS!$B$7:$B$27,nASIG)&gt;0)*1),"")))</f>
        <v/>
      </c>
      <c r="Z711" t="str">
        <f>IF(Y711="","",IF(Y711="[FÓRMULA MANUAL]","",IFERROR(AVERAGEIFS(nNOTA,nNIA,Y711,nCUENTA,1,nASIG,"Análisis"),"")))</f>
        <v/>
      </c>
      <c r="AA711" t="str">
        <f>IF(Y711="","",IF(Y711="[FÓRMULA MANUAL]","",IFERROR(AVERAGEIFS(nNOTA,nNIA,Y711,nCUENTA,1,nASIG,"Orquesta/Banda/Conjunto"),"")))</f>
        <v/>
      </c>
      <c r="AB711" t="str">
        <f>IF(Y711="","",IF(Y711="[FÓRMULA MANUAL]","",IFERROR(AVERAGEIFS(nNOTA,nNIA,Y711,nCUENTA,1,nASIG,"Música de Cámara"),"")))</f>
        <v/>
      </c>
      <c r="AC711" t="str">
        <f>IF(Y711="","",IF(Y711="[FÓRMULA MANUAL]","",IFERROR(SUMPRODUCT((nNIA=Y711)*(nCUENTA=1)*(COUNTIF(CONFIG_ASIGNATURAS!$B$7:$B$27,nASIG)&gt;0)*(nNOTA))/SUMPRODUCT((nNIA=Y711)*(nCUENTA=1)*(COUNTIF(CONFIG_ASIGNATURAS!$B$7:$B$27,nASIG)&gt;0)*1),"")))</f>
        <v/>
      </c>
      <c r="AF711" t="str">
        <f>IF(AE711="","",IF(AE711="[FÓRMULA MANUAL]","",IFERROR(AVERAGEIFS(nNOTA,nNIA,AE711,nCUENTA,1,nASIG,"Análisis"),"")))</f>
        <v/>
      </c>
      <c r="AG711" t="str">
        <f>IF(AE711="","",IF(AE711="[FÓRMULA MANUAL]","",IFERROR(AVERAGEIFS(nNOTA,nNIA,AE711,nCUENTA,1,nASIG,"Orquesta/Banda/Conjunto"),"")))</f>
        <v/>
      </c>
      <c r="AH711" t="str">
        <f>IF(AE711="","",IF(AE711="[FÓRMULA MANUAL]","",IFERROR(AVERAGEIFS(nNOTA,nNIA,AE711,nCUENTA,1,nASIG,"Música de Cámara"),"")))</f>
        <v/>
      </c>
      <c r="AI711" t="str">
        <f>IF(AE711="","",IF(AE711="[FÓRMULA MANUAL]","",IFERROR(SUMPRODUCT((nNIA=AE711)*(nCUENTA=1)*(COUNTIF(CONFIG_ASIGNATURAS!$B$7:$B$27,nASIG)&gt;0)*(nNOTA))/SUMPRODUCT((nNIA=AE711)*(nCUENTA=1)*(COUNTIF(CONFIG_ASIGNATURAS!$B$7:$B$27,nASIG)&gt;0)*1),"")))</f>
        <v/>
      </c>
    </row>
    <row r="712" spans="2:35" x14ac:dyDescent="0.2">
      <c r="B712" t="str">
        <f>IF(A712="","",IF(A712="[FÓRMULA MANUAL]","",IFERROR(AVERAGEIFS(nNOTA,nNIA,A712,nCUENTA,1,nASIG,"Lenguaje Musical"),"")))</f>
        <v/>
      </c>
      <c r="C712" t="str">
        <f>IF(A712="","",IF(A712="[FÓRMULA MANUAL]","",IFERROR(AVERAGEIFS(nNOTA,nNIA,A712,nCUENTA,1,nASIG,"Orquesta/Banda/Conjunto"),"")))</f>
        <v/>
      </c>
      <c r="D712" t="str">
        <f>IF(A712="","",IF(A712="[FÓRMULA MANUAL]","",IFERROR(AVERAGEIFS(nNOTA,nNIA,A712,nCUENTA,1,nASIG,"Conjunto"),"")))</f>
        <v/>
      </c>
      <c r="E712" t="str">
        <f>IF(A712="","",IF(A712="[FÓRMULA MANUAL]","",IFERROR(SUMPRODUCT((nNIA=A712)*(nCUENTA=1)*(COUNTIF(CONFIG_ASIGNATURAS!$B$7:$B$27,nASIG)&gt;0)*(nNOTA))/SUMPRODUCT((nNIA=A712)*(nCUENTA=1)*(COUNTIF(CONFIG_ASIGNATURAS!$B$7:$B$27,nASIG)&gt;0)*1),"")))</f>
        <v/>
      </c>
      <c r="H712" t="str">
        <f>IF(G712="","",IF(G712="[FÓRMULA MANUAL]","",IFERROR(AVERAGEIFS(nNOTA,nNIA,G712,nCUENTA,1,nASIG,"Lenguaje Musical"),"")))</f>
        <v/>
      </c>
      <c r="I712" t="str">
        <f>IF(G712="","",IF(G712="[FÓRMULA MANUAL]","",IFERROR(AVERAGEIFS(nNOTA,nNIA,G712,nCUENTA,1,nASIG,"Orquesta/Banda/Conjunto"),"")))</f>
        <v/>
      </c>
      <c r="J712" t="str">
        <f>IF(G712="","",IF(G712="[FÓRMULA MANUAL]","",IFERROR(AVERAGEIFS(nNOTA,nNIA,G712,nCUENTA,1,nASIG,"Conjunto"),"")))</f>
        <v/>
      </c>
      <c r="K712" t="str">
        <f>IF(G712="","",IF(G712="[FÓRMULA MANUAL]","",IFERROR(SUMPRODUCT((nNIA=G712)*(nCUENTA=1)*(COUNTIF(CONFIG_ASIGNATURAS!$B$7:$B$27,nASIG)&gt;0)*(nNOTA))/SUMPRODUCT((nNIA=G712)*(nCUENTA=1)*(COUNTIF(CONFIG_ASIGNATURAS!$B$7:$B$27,nASIG)&gt;0)*1),"")))</f>
        <v/>
      </c>
      <c r="N712" t="str">
        <f>IF(M712="","",IF(M712="[FÓRMULA MANUAL]","",IFERROR(AVERAGEIFS(nNOTA,nNIA,M712,nCUENTA,1,nASIG,"Armonía"),"")))</f>
        <v/>
      </c>
      <c r="O712" t="str">
        <f>IF(M712="","",IF(M712="[FÓRMULA MANUAL]","",IFERROR(AVERAGEIFS(nNOTA,nNIA,M712,nCUENTA,1,nASIG,"Orquesta/Banda/Conjunto"),"")))</f>
        <v/>
      </c>
      <c r="P712" t="str">
        <f>IF(M712="","",IF(M712="[FÓRMULA MANUAL]","",IFERROR(AVERAGEIFS(nNOTA,nNIA,M712,nCUENTA,1,nASIG,"Música de Cámara"),"")))</f>
        <v/>
      </c>
      <c r="Q712" t="str">
        <f>IF(M712="","",IF(M712="[FÓRMULA MANUAL]","",IFERROR(SUMPRODUCT((nNIA=M712)*(nCUENTA=1)*(COUNTIF(CONFIG_ASIGNATURAS!$B$7:$B$27,nASIG)&gt;0)*(nNOTA))/SUMPRODUCT((nNIA=M712)*(nCUENTA=1)*(COUNTIF(CONFIG_ASIGNATURAS!$B$7:$B$27,nASIG)&gt;0)*1),"")))</f>
        <v/>
      </c>
      <c r="T712" t="str">
        <f>IF(S712="","",IF(S712="[FÓRMULA MANUAL]","",IFERROR(AVERAGEIFS(nNOTA,nNIA,S712,nCUENTA,1,nASIG,"Armonía"),"")))</f>
        <v/>
      </c>
      <c r="U712" t="str">
        <f>IF(S712="","",IF(S712="[FÓRMULA MANUAL]","",IFERROR(AVERAGEIFS(nNOTA,nNIA,S712,nCUENTA,1,nASIG,"Orquesta/Banda/Conjunto"),"")))</f>
        <v/>
      </c>
      <c r="V712" t="str">
        <f>IF(S712="","",IF(S712="[FÓRMULA MANUAL]","",IFERROR(AVERAGEIFS(nNOTA,nNIA,S712,nCUENTA,1,nASIG,"Música de Cámara"),"")))</f>
        <v/>
      </c>
      <c r="W712" t="str">
        <f>IF(S712="","",IF(S712="[FÓRMULA MANUAL]","",IFERROR(SUMPRODUCT((nNIA=S712)*(nCUENTA=1)*(COUNTIF(CONFIG_ASIGNATURAS!$B$7:$B$27,nASIG)&gt;0)*(nNOTA))/SUMPRODUCT((nNIA=S712)*(nCUENTA=1)*(COUNTIF(CONFIG_ASIGNATURAS!$B$7:$B$27,nASIG)&gt;0)*1),"")))</f>
        <v/>
      </c>
      <c r="Z712" t="str">
        <f>IF(Y712="","",IF(Y712="[FÓRMULA MANUAL]","",IFERROR(AVERAGEIFS(nNOTA,nNIA,Y712,nCUENTA,1,nASIG,"Análisis"),"")))</f>
        <v/>
      </c>
      <c r="AA712" t="str">
        <f>IF(Y712="","",IF(Y712="[FÓRMULA MANUAL]","",IFERROR(AVERAGEIFS(nNOTA,nNIA,Y712,nCUENTA,1,nASIG,"Orquesta/Banda/Conjunto"),"")))</f>
        <v/>
      </c>
      <c r="AB712" t="str">
        <f>IF(Y712="","",IF(Y712="[FÓRMULA MANUAL]","",IFERROR(AVERAGEIFS(nNOTA,nNIA,Y712,nCUENTA,1,nASIG,"Música de Cámara"),"")))</f>
        <v/>
      </c>
      <c r="AC712" t="str">
        <f>IF(Y712="","",IF(Y712="[FÓRMULA MANUAL]","",IFERROR(SUMPRODUCT((nNIA=Y712)*(nCUENTA=1)*(COUNTIF(CONFIG_ASIGNATURAS!$B$7:$B$27,nASIG)&gt;0)*(nNOTA))/SUMPRODUCT((nNIA=Y712)*(nCUENTA=1)*(COUNTIF(CONFIG_ASIGNATURAS!$B$7:$B$27,nASIG)&gt;0)*1),"")))</f>
        <v/>
      </c>
      <c r="AF712" t="str">
        <f>IF(AE712="","",IF(AE712="[FÓRMULA MANUAL]","",IFERROR(AVERAGEIFS(nNOTA,nNIA,AE712,nCUENTA,1,nASIG,"Análisis"),"")))</f>
        <v/>
      </c>
      <c r="AG712" t="str">
        <f>IF(AE712="","",IF(AE712="[FÓRMULA MANUAL]","",IFERROR(AVERAGEIFS(nNOTA,nNIA,AE712,nCUENTA,1,nASIG,"Orquesta/Banda/Conjunto"),"")))</f>
        <v/>
      </c>
      <c r="AH712" t="str">
        <f>IF(AE712="","",IF(AE712="[FÓRMULA MANUAL]","",IFERROR(AVERAGEIFS(nNOTA,nNIA,AE712,nCUENTA,1,nASIG,"Música de Cámara"),"")))</f>
        <v/>
      </c>
      <c r="AI712" t="str">
        <f>IF(AE712="","",IF(AE712="[FÓRMULA MANUAL]","",IFERROR(SUMPRODUCT((nNIA=AE712)*(nCUENTA=1)*(COUNTIF(CONFIG_ASIGNATURAS!$B$7:$B$27,nASIG)&gt;0)*(nNOTA))/SUMPRODUCT((nNIA=AE712)*(nCUENTA=1)*(COUNTIF(CONFIG_ASIGNATURAS!$B$7:$B$27,nASIG)&gt;0)*1),"")))</f>
        <v/>
      </c>
    </row>
    <row r="713" spans="2:35" x14ac:dyDescent="0.2">
      <c r="B713" t="str">
        <f>IF(A713="","",IF(A713="[FÓRMULA MANUAL]","",IFERROR(AVERAGEIFS(nNOTA,nNIA,A713,nCUENTA,1,nASIG,"Lenguaje Musical"),"")))</f>
        <v/>
      </c>
      <c r="C713" t="str">
        <f>IF(A713="","",IF(A713="[FÓRMULA MANUAL]","",IFERROR(AVERAGEIFS(nNOTA,nNIA,A713,nCUENTA,1,nASIG,"Orquesta/Banda/Conjunto"),"")))</f>
        <v/>
      </c>
      <c r="D713" t="str">
        <f>IF(A713="","",IF(A713="[FÓRMULA MANUAL]","",IFERROR(AVERAGEIFS(nNOTA,nNIA,A713,nCUENTA,1,nASIG,"Conjunto"),"")))</f>
        <v/>
      </c>
      <c r="E713" t="str">
        <f>IF(A713="","",IF(A713="[FÓRMULA MANUAL]","",IFERROR(SUMPRODUCT((nNIA=A713)*(nCUENTA=1)*(COUNTIF(CONFIG_ASIGNATURAS!$B$7:$B$27,nASIG)&gt;0)*(nNOTA))/SUMPRODUCT((nNIA=A713)*(nCUENTA=1)*(COUNTIF(CONFIG_ASIGNATURAS!$B$7:$B$27,nASIG)&gt;0)*1),"")))</f>
        <v/>
      </c>
      <c r="H713" t="str">
        <f>IF(G713="","",IF(G713="[FÓRMULA MANUAL]","",IFERROR(AVERAGEIFS(nNOTA,nNIA,G713,nCUENTA,1,nASIG,"Lenguaje Musical"),"")))</f>
        <v/>
      </c>
      <c r="I713" t="str">
        <f>IF(G713="","",IF(G713="[FÓRMULA MANUAL]","",IFERROR(AVERAGEIFS(nNOTA,nNIA,G713,nCUENTA,1,nASIG,"Orquesta/Banda/Conjunto"),"")))</f>
        <v/>
      </c>
      <c r="J713" t="str">
        <f>IF(G713="","",IF(G713="[FÓRMULA MANUAL]","",IFERROR(AVERAGEIFS(nNOTA,nNIA,G713,nCUENTA,1,nASIG,"Conjunto"),"")))</f>
        <v/>
      </c>
      <c r="K713" t="str">
        <f>IF(G713="","",IF(G713="[FÓRMULA MANUAL]","",IFERROR(SUMPRODUCT((nNIA=G713)*(nCUENTA=1)*(COUNTIF(CONFIG_ASIGNATURAS!$B$7:$B$27,nASIG)&gt;0)*(nNOTA))/SUMPRODUCT((nNIA=G713)*(nCUENTA=1)*(COUNTIF(CONFIG_ASIGNATURAS!$B$7:$B$27,nASIG)&gt;0)*1),"")))</f>
        <v/>
      </c>
      <c r="N713" t="str">
        <f>IF(M713="","",IF(M713="[FÓRMULA MANUAL]","",IFERROR(AVERAGEIFS(nNOTA,nNIA,M713,nCUENTA,1,nASIG,"Armonía"),"")))</f>
        <v/>
      </c>
      <c r="O713" t="str">
        <f>IF(M713="","",IF(M713="[FÓRMULA MANUAL]","",IFERROR(AVERAGEIFS(nNOTA,nNIA,M713,nCUENTA,1,nASIG,"Orquesta/Banda/Conjunto"),"")))</f>
        <v/>
      </c>
      <c r="P713" t="str">
        <f>IF(M713="","",IF(M713="[FÓRMULA MANUAL]","",IFERROR(AVERAGEIFS(nNOTA,nNIA,M713,nCUENTA,1,nASIG,"Música de Cámara"),"")))</f>
        <v/>
      </c>
      <c r="Q713" t="str">
        <f>IF(M713="","",IF(M713="[FÓRMULA MANUAL]","",IFERROR(SUMPRODUCT((nNIA=M713)*(nCUENTA=1)*(COUNTIF(CONFIG_ASIGNATURAS!$B$7:$B$27,nASIG)&gt;0)*(nNOTA))/SUMPRODUCT((nNIA=M713)*(nCUENTA=1)*(COUNTIF(CONFIG_ASIGNATURAS!$B$7:$B$27,nASIG)&gt;0)*1),"")))</f>
        <v/>
      </c>
      <c r="T713" t="str">
        <f>IF(S713="","",IF(S713="[FÓRMULA MANUAL]","",IFERROR(AVERAGEIFS(nNOTA,nNIA,S713,nCUENTA,1,nASIG,"Armonía"),"")))</f>
        <v/>
      </c>
      <c r="U713" t="str">
        <f>IF(S713="","",IF(S713="[FÓRMULA MANUAL]","",IFERROR(AVERAGEIFS(nNOTA,nNIA,S713,nCUENTA,1,nASIG,"Orquesta/Banda/Conjunto"),"")))</f>
        <v/>
      </c>
      <c r="V713" t="str">
        <f>IF(S713="","",IF(S713="[FÓRMULA MANUAL]","",IFERROR(AVERAGEIFS(nNOTA,nNIA,S713,nCUENTA,1,nASIG,"Música de Cámara"),"")))</f>
        <v/>
      </c>
      <c r="W713" t="str">
        <f>IF(S713="","",IF(S713="[FÓRMULA MANUAL]","",IFERROR(SUMPRODUCT((nNIA=S713)*(nCUENTA=1)*(COUNTIF(CONFIG_ASIGNATURAS!$B$7:$B$27,nASIG)&gt;0)*(nNOTA))/SUMPRODUCT((nNIA=S713)*(nCUENTA=1)*(COUNTIF(CONFIG_ASIGNATURAS!$B$7:$B$27,nASIG)&gt;0)*1),"")))</f>
        <v/>
      </c>
      <c r="Z713" t="str">
        <f>IF(Y713="","",IF(Y713="[FÓRMULA MANUAL]","",IFERROR(AVERAGEIFS(nNOTA,nNIA,Y713,nCUENTA,1,nASIG,"Análisis"),"")))</f>
        <v/>
      </c>
      <c r="AA713" t="str">
        <f>IF(Y713="","",IF(Y713="[FÓRMULA MANUAL]","",IFERROR(AVERAGEIFS(nNOTA,nNIA,Y713,nCUENTA,1,nASIG,"Orquesta/Banda/Conjunto"),"")))</f>
        <v/>
      </c>
      <c r="AB713" t="str">
        <f>IF(Y713="","",IF(Y713="[FÓRMULA MANUAL]","",IFERROR(AVERAGEIFS(nNOTA,nNIA,Y713,nCUENTA,1,nASIG,"Música de Cámara"),"")))</f>
        <v/>
      </c>
      <c r="AC713" t="str">
        <f>IF(Y713="","",IF(Y713="[FÓRMULA MANUAL]","",IFERROR(SUMPRODUCT((nNIA=Y713)*(nCUENTA=1)*(COUNTIF(CONFIG_ASIGNATURAS!$B$7:$B$27,nASIG)&gt;0)*(nNOTA))/SUMPRODUCT((nNIA=Y713)*(nCUENTA=1)*(COUNTIF(CONFIG_ASIGNATURAS!$B$7:$B$27,nASIG)&gt;0)*1),"")))</f>
        <v/>
      </c>
      <c r="AF713" t="str">
        <f>IF(AE713="","",IF(AE713="[FÓRMULA MANUAL]","",IFERROR(AVERAGEIFS(nNOTA,nNIA,AE713,nCUENTA,1,nASIG,"Análisis"),"")))</f>
        <v/>
      </c>
      <c r="AG713" t="str">
        <f>IF(AE713="","",IF(AE713="[FÓRMULA MANUAL]","",IFERROR(AVERAGEIFS(nNOTA,nNIA,AE713,nCUENTA,1,nASIG,"Orquesta/Banda/Conjunto"),"")))</f>
        <v/>
      </c>
      <c r="AH713" t="str">
        <f>IF(AE713="","",IF(AE713="[FÓRMULA MANUAL]","",IFERROR(AVERAGEIFS(nNOTA,nNIA,AE713,nCUENTA,1,nASIG,"Música de Cámara"),"")))</f>
        <v/>
      </c>
      <c r="AI713" t="str">
        <f>IF(AE713="","",IF(AE713="[FÓRMULA MANUAL]","",IFERROR(SUMPRODUCT((nNIA=AE713)*(nCUENTA=1)*(COUNTIF(CONFIG_ASIGNATURAS!$B$7:$B$27,nASIG)&gt;0)*(nNOTA))/SUMPRODUCT((nNIA=AE713)*(nCUENTA=1)*(COUNTIF(CONFIG_ASIGNATURAS!$B$7:$B$27,nASIG)&gt;0)*1),"")))</f>
        <v/>
      </c>
    </row>
    <row r="714" spans="2:35" x14ac:dyDescent="0.2">
      <c r="B714" t="str">
        <f>IF(A714="","",IF(A714="[FÓRMULA MANUAL]","",IFERROR(AVERAGEIFS(nNOTA,nNIA,A714,nCUENTA,1,nASIG,"Lenguaje Musical"),"")))</f>
        <v/>
      </c>
      <c r="C714" t="str">
        <f>IF(A714="","",IF(A714="[FÓRMULA MANUAL]","",IFERROR(AVERAGEIFS(nNOTA,nNIA,A714,nCUENTA,1,nASIG,"Orquesta/Banda/Conjunto"),"")))</f>
        <v/>
      </c>
      <c r="D714" t="str">
        <f>IF(A714="","",IF(A714="[FÓRMULA MANUAL]","",IFERROR(AVERAGEIFS(nNOTA,nNIA,A714,nCUENTA,1,nASIG,"Conjunto"),"")))</f>
        <v/>
      </c>
      <c r="E714" t="str">
        <f>IF(A714="","",IF(A714="[FÓRMULA MANUAL]","",IFERROR(SUMPRODUCT((nNIA=A714)*(nCUENTA=1)*(COUNTIF(CONFIG_ASIGNATURAS!$B$7:$B$27,nASIG)&gt;0)*(nNOTA))/SUMPRODUCT((nNIA=A714)*(nCUENTA=1)*(COUNTIF(CONFIG_ASIGNATURAS!$B$7:$B$27,nASIG)&gt;0)*1),"")))</f>
        <v/>
      </c>
      <c r="H714" t="str">
        <f>IF(G714="","",IF(G714="[FÓRMULA MANUAL]","",IFERROR(AVERAGEIFS(nNOTA,nNIA,G714,nCUENTA,1,nASIG,"Lenguaje Musical"),"")))</f>
        <v/>
      </c>
      <c r="I714" t="str">
        <f>IF(G714="","",IF(G714="[FÓRMULA MANUAL]","",IFERROR(AVERAGEIFS(nNOTA,nNIA,G714,nCUENTA,1,nASIG,"Orquesta/Banda/Conjunto"),"")))</f>
        <v/>
      </c>
      <c r="J714" t="str">
        <f>IF(G714="","",IF(G714="[FÓRMULA MANUAL]","",IFERROR(AVERAGEIFS(nNOTA,nNIA,G714,nCUENTA,1,nASIG,"Conjunto"),"")))</f>
        <v/>
      </c>
      <c r="K714" t="str">
        <f>IF(G714="","",IF(G714="[FÓRMULA MANUAL]","",IFERROR(SUMPRODUCT((nNIA=G714)*(nCUENTA=1)*(COUNTIF(CONFIG_ASIGNATURAS!$B$7:$B$27,nASIG)&gt;0)*(nNOTA))/SUMPRODUCT((nNIA=G714)*(nCUENTA=1)*(COUNTIF(CONFIG_ASIGNATURAS!$B$7:$B$27,nASIG)&gt;0)*1),"")))</f>
        <v/>
      </c>
      <c r="N714" t="str">
        <f>IF(M714="","",IF(M714="[FÓRMULA MANUAL]","",IFERROR(AVERAGEIFS(nNOTA,nNIA,M714,nCUENTA,1,nASIG,"Armonía"),"")))</f>
        <v/>
      </c>
      <c r="O714" t="str">
        <f>IF(M714="","",IF(M714="[FÓRMULA MANUAL]","",IFERROR(AVERAGEIFS(nNOTA,nNIA,M714,nCUENTA,1,nASIG,"Orquesta/Banda/Conjunto"),"")))</f>
        <v/>
      </c>
      <c r="P714" t="str">
        <f>IF(M714="","",IF(M714="[FÓRMULA MANUAL]","",IFERROR(AVERAGEIFS(nNOTA,nNIA,M714,nCUENTA,1,nASIG,"Música de Cámara"),"")))</f>
        <v/>
      </c>
      <c r="Q714" t="str">
        <f>IF(M714="","",IF(M714="[FÓRMULA MANUAL]","",IFERROR(SUMPRODUCT((nNIA=M714)*(nCUENTA=1)*(COUNTIF(CONFIG_ASIGNATURAS!$B$7:$B$27,nASIG)&gt;0)*(nNOTA))/SUMPRODUCT((nNIA=M714)*(nCUENTA=1)*(COUNTIF(CONFIG_ASIGNATURAS!$B$7:$B$27,nASIG)&gt;0)*1),"")))</f>
        <v/>
      </c>
      <c r="T714" t="str">
        <f>IF(S714="","",IF(S714="[FÓRMULA MANUAL]","",IFERROR(AVERAGEIFS(nNOTA,nNIA,S714,nCUENTA,1,nASIG,"Armonía"),"")))</f>
        <v/>
      </c>
      <c r="U714" t="str">
        <f>IF(S714="","",IF(S714="[FÓRMULA MANUAL]","",IFERROR(AVERAGEIFS(nNOTA,nNIA,S714,nCUENTA,1,nASIG,"Orquesta/Banda/Conjunto"),"")))</f>
        <v/>
      </c>
      <c r="V714" t="str">
        <f>IF(S714="","",IF(S714="[FÓRMULA MANUAL]","",IFERROR(AVERAGEIFS(nNOTA,nNIA,S714,nCUENTA,1,nASIG,"Música de Cámara"),"")))</f>
        <v/>
      </c>
      <c r="W714" t="str">
        <f>IF(S714="","",IF(S714="[FÓRMULA MANUAL]","",IFERROR(SUMPRODUCT((nNIA=S714)*(nCUENTA=1)*(COUNTIF(CONFIG_ASIGNATURAS!$B$7:$B$27,nASIG)&gt;0)*(nNOTA))/SUMPRODUCT((nNIA=S714)*(nCUENTA=1)*(COUNTIF(CONFIG_ASIGNATURAS!$B$7:$B$27,nASIG)&gt;0)*1),"")))</f>
        <v/>
      </c>
      <c r="Z714" t="str">
        <f>IF(Y714="","",IF(Y714="[FÓRMULA MANUAL]","",IFERROR(AVERAGEIFS(nNOTA,nNIA,Y714,nCUENTA,1,nASIG,"Análisis"),"")))</f>
        <v/>
      </c>
      <c r="AA714" t="str">
        <f>IF(Y714="","",IF(Y714="[FÓRMULA MANUAL]","",IFERROR(AVERAGEIFS(nNOTA,nNIA,Y714,nCUENTA,1,nASIG,"Orquesta/Banda/Conjunto"),"")))</f>
        <v/>
      </c>
      <c r="AB714" t="str">
        <f>IF(Y714="","",IF(Y714="[FÓRMULA MANUAL]","",IFERROR(AVERAGEIFS(nNOTA,nNIA,Y714,nCUENTA,1,nASIG,"Música de Cámara"),"")))</f>
        <v/>
      </c>
      <c r="AC714" t="str">
        <f>IF(Y714="","",IF(Y714="[FÓRMULA MANUAL]","",IFERROR(SUMPRODUCT((nNIA=Y714)*(nCUENTA=1)*(COUNTIF(CONFIG_ASIGNATURAS!$B$7:$B$27,nASIG)&gt;0)*(nNOTA))/SUMPRODUCT((nNIA=Y714)*(nCUENTA=1)*(COUNTIF(CONFIG_ASIGNATURAS!$B$7:$B$27,nASIG)&gt;0)*1),"")))</f>
        <v/>
      </c>
      <c r="AF714" t="str">
        <f>IF(AE714="","",IF(AE714="[FÓRMULA MANUAL]","",IFERROR(AVERAGEIFS(nNOTA,nNIA,AE714,nCUENTA,1,nASIG,"Análisis"),"")))</f>
        <v/>
      </c>
      <c r="AG714" t="str">
        <f>IF(AE714="","",IF(AE714="[FÓRMULA MANUAL]","",IFERROR(AVERAGEIFS(nNOTA,nNIA,AE714,nCUENTA,1,nASIG,"Orquesta/Banda/Conjunto"),"")))</f>
        <v/>
      </c>
      <c r="AH714" t="str">
        <f>IF(AE714="","",IF(AE714="[FÓRMULA MANUAL]","",IFERROR(AVERAGEIFS(nNOTA,nNIA,AE714,nCUENTA,1,nASIG,"Música de Cámara"),"")))</f>
        <v/>
      </c>
      <c r="AI714" t="str">
        <f>IF(AE714="","",IF(AE714="[FÓRMULA MANUAL]","",IFERROR(SUMPRODUCT((nNIA=AE714)*(nCUENTA=1)*(COUNTIF(CONFIG_ASIGNATURAS!$B$7:$B$27,nASIG)&gt;0)*(nNOTA))/SUMPRODUCT((nNIA=AE714)*(nCUENTA=1)*(COUNTIF(CONFIG_ASIGNATURAS!$B$7:$B$27,nASIG)&gt;0)*1),"")))</f>
        <v/>
      </c>
    </row>
    <row r="715" spans="2:35" x14ac:dyDescent="0.2">
      <c r="B715" t="str">
        <f>IF(A715="","",IF(A715="[FÓRMULA MANUAL]","",IFERROR(AVERAGEIFS(nNOTA,nNIA,A715,nCUENTA,1,nASIG,"Lenguaje Musical"),"")))</f>
        <v/>
      </c>
      <c r="C715" t="str">
        <f>IF(A715="","",IF(A715="[FÓRMULA MANUAL]","",IFERROR(AVERAGEIFS(nNOTA,nNIA,A715,nCUENTA,1,nASIG,"Orquesta/Banda/Conjunto"),"")))</f>
        <v/>
      </c>
      <c r="D715" t="str">
        <f>IF(A715="","",IF(A715="[FÓRMULA MANUAL]","",IFERROR(AVERAGEIFS(nNOTA,nNIA,A715,nCUENTA,1,nASIG,"Conjunto"),"")))</f>
        <v/>
      </c>
      <c r="E715" t="str">
        <f>IF(A715="","",IF(A715="[FÓRMULA MANUAL]","",IFERROR(SUMPRODUCT((nNIA=A715)*(nCUENTA=1)*(COUNTIF(CONFIG_ASIGNATURAS!$B$7:$B$27,nASIG)&gt;0)*(nNOTA))/SUMPRODUCT((nNIA=A715)*(nCUENTA=1)*(COUNTIF(CONFIG_ASIGNATURAS!$B$7:$B$27,nASIG)&gt;0)*1),"")))</f>
        <v/>
      </c>
      <c r="H715" t="str">
        <f>IF(G715="","",IF(G715="[FÓRMULA MANUAL]","",IFERROR(AVERAGEIFS(nNOTA,nNIA,G715,nCUENTA,1,nASIG,"Lenguaje Musical"),"")))</f>
        <v/>
      </c>
      <c r="I715" t="str">
        <f>IF(G715="","",IF(G715="[FÓRMULA MANUAL]","",IFERROR(AVERAGEIFS(nNOTA,nNIA,G715,nCUENTA,1,nASIG,"Orquesta/Banda/Conjunto"),"")))</f>
        <v/>
      </c>
      <c r="J715" t="str">
        <f>IF(G715="","",IF(G715="[FÓRMULA MANUAL]","",IFERROR(AVERAGEIFS(nNOTA,nNIA,G715,nCUENTA,1,nASIG,"Conjunto"),"")))</f>
        <v/>
      </c>
      <c r="K715" t="str">
        <f>IF(G715="","",IF(G715="[FÓRMULA MANUAL]","",IFERROR(SUMPRODUCT((nNIA=G715)*(nCUENTA=1)*(COUNTIF(CONFIG_ASIGNATURAS!$B$7:$B$27,nASIG)&gt;0)*(nNOTA))/SUMPRODUCT((nNIA=G715)*(nCUENTA=1)*(COUNTIF(CONFIG_ASIGNATURAS!$B$7:$B$27,nASIG)&gt;0)*1),"")))</f>
        <v/>
      </c>
      <c r="N715" t="str">
        <f>IF(M715="","",IF(M715="[FÓRMULA MANUAL]","",IFERROR(AVERAGEIFS(nNOTA,nNIA,M715,nCUENTA,1,nASIG,"Armonía"),"")))</f>
        <v/>
      </c>
      <c r="O715" t="str">
        <f>IF(M715="","",IF(M715="[FÓRMULA MANUAL]","",IFERROR(AVERAGEIFS(nNOTA,nNIA,M715,nCUENTA,1,nASIG,"Orquesta/Banda/Conjunto"),"")))</f>
        <v/>
      </c>
      <c r="P715" t="str">
        <f>IF(M715="","",IF(M715="[FÓRMULA MANUAL]","",IFERROR(AVERAGEIFS(nNOTA,nNIA,M715,nCUENTA,1,nASIG,"Música de Cámara"),"")))</f>
        <v/>
      </c>
      <c r="Q715" t="str">
        <f>IF(M715="","",IF(M715="[FÓRMULA MANUAL]","",IFERROR(SUMPRODUCT((nNIA=M715)*(nCUENTA=1)*(COUNTIF(CONFIG_ASIGNATURAS!$B$7:$B$27,nASIG)&gt;0)*(nNOTA))/SUMPRODUCT((nNIA=M715)*(nCUENTA=1)*(COUNTIF(CONFIG_ASIGNATURAS!$B$7:$B$27,nASIG)&gt;0)*1),"")))</f>
        <v/>
      </c>
      <c r="T715" t="str">
        <f>IF(S715="","",IF(S715="[FÓRMULA MANUAL]","",IFERROR(AVERAGEIFS(nNOTA,nNIA,S715,nCUENTA,1,nASIG,"Armonía"),"")))</f>
        <v/>
      </c>
      <c r="U715" t="str">
        <f>IF(S715="","",IF(S715="[FÓRMULA MANUAL]","",IFERROR(AVERAGEIFS(nNOTA,nNIA,S715,nCUENTA,1,nASIG,"Orquesta/Banda/Conjunto"),"")))</f>
        <v/>
      </c>
      <c r="V715" t="str">
        <f>IF(S715="","",IF(S715="[FÓRMULA MANUAL]","",IFERROR(AVERAGEIFS(nNOTA,nNIA,S715,nCUENTA,1,nASIG,"Música de Cámara"),"")))</f>
        <v/>
      </c>
      <c r="W715" t="str">
        <f>IF(S715="","",IF(S715="[FÓRMULA MANUAL]","",IFERROR(SUMPRODUCT((nNIA=S715)*(nCUENTA=1)*(COUNTIF(CONFIG_ASIGNATURAS!$B$7:$B$27,nASIG)&gt;0)*(nNOTA))/SUMPRODUCT((nNIA=S715)*(nCUENTA=1)*(COUNTIF(CONFIG_ASIGNATURAS!$B$7:$B$27,nASIG)&gt;0)*1),"")))</f>
        <v/>
      </c>
      <c r="Z715" t="str">
        <f>IF(Y715="","",IF(Y715="[FÓRMULA MANUAL]","",IFERROR(AVERAGEIFS(nNOTA,nNIA,Y715,nCUENTA,1,nASIG,"Análisis"),"")))</f>
        <v/>
      </c>
      <c r="AA715" t="str">
        <f>IF(Y715="","",IF(Y715="[FÓRMULA MANUAL]","",IFERROR(AVERAGEIFS(nNOTA,nNIA,Y715,nCUENTA,1,nASIG,"Orquesta/Banda/Conjunto"),"")))</f>
        <v/>
      </c>
      <c r="AB715" t="str">
        <f>IF(Y715="","",IF(Y715="[FÓRMULA MANUAL]","",IFERROR(AVERAGEIFS(nNOTA,nNIA,Y715,nCUENTA,1,nASIG,"Música de Cámara"),"")))</f>
        <v/>
      </c>
      <c r="AC715" t="str">
        <f>IF(Y715="","",IF(Y715="[FÓRMULA MANUAL]","",IFERROR(SUMPRODUCT((nNIA=Y715)*(nCUENTA=1)*(COUNTIF(CONFIG_ASIGNATURAS!$B$7:$B$27,nASIG)&gt;0)*(nNOTA))/SUMPRODUCT((nNIA=Y715)*(nCUENTA=1)*(COUNTIF(CONFIG_ASIGNATURAS!$B$7:$B$27,nASIG)&gt;0)*1),"")))</f>
        <v/>
      </c>
      <c r="AF715" t="str">
        <f>IF(AE715="","",IF(AE715="[FÓRMULA MANUAL]","",IFERROR(AVERAGEIFS(nNOTA,nNIA,AE715,nCUENTA,1,nASIG,"Análisis"),"")))</f>
        <v/>
      </c>
      <c r="AG715" t="str">
        <f>IF(AE715="","",IF(AE715="[FÓRMULA MANUAL]","",IFERROR(AVERAGEIFS(nNOTA,nNIA,AE715,nCUENTA,1,nASIG,"Orquesta/Banda/Conjunto"),"")))</f>
        <v/>
      </c>
      <c r="AH715" t="str">
        <f>IF(AE715="","",IF(AE715="[FÓRMULA MANUAL]","",IFERROR(AVERAGEIFS(nNOTA,nNIA,AE715,nCUENTA,1,nASIG,"Música de Cámara"),"")))</f>
        <v/>
      </c>
      <c r="AI715" t="str">
        <f>IF(AE715="","",IF(AE715="[FÓRMULA MANUAL]","",IFERROR(SUMPRODUCT((nNIA=AE715)*(nCUENTA=1)*(COUNTIF(CONFIG_ASIGNATURAS!$B$7:$B$27,nASIG)&gt;0)*(nNOTA))/SUMPRODUCT((nNIA=AE715)*(nCUENTA=1)*(COUNTIF(CONFIG_ASIGNATURAS!$B$7:$B$27,nASIG)&gt;0)*1),"")))</f>
        <v/>
      </c>
    </row>
    <row r="716" spans="2:35" x14ac:dyDescent="0.2">
      <c r="B716" t="str">
        <f>IF(A716="","",IF(A716="[FÓRMULA MANUAL]","",IFERROR(AVERAGEIFS(nNOTA,nNIA,A716,nCUENTA,1,nASIG,"Lenguaje Musical"),"")))</f>
        <v/>
      </c>
      <c r="C716" t="str">
        <f>IF(A716="","",IF(A716="[FÓRMULA MANUAL]","",IFERROR(AVERAGEIFS(nNOTA,nNIA,A716,nCUENTA,1,nASIG,"Orquesta/Banda/Conjunto"),"")))</f>
        <v/>
      </c>
      <c r="D716" t="str">
        <f>IF(A716="","",IF(A716="[FÓRMULA MANUAL]","",IFERROR(AVERAGEIFS(nNOTA,nNIA,A716,nCUENTA,1,nASIG,"Conjunto"),"")))</f>
        <v/>
      </c>
      <c r="E716" t="str">
        <f>IF(A716="","",IF(A716="[FÓRMULA MANUAL]","",IFERROR(SUMPRODUCT((nNIA=A716)*(nCUENTA=1)*(COUNTIF(CONFIG_ASIGNATURAS!$B$7:$B$27,nASIG)&gt;0)*(nNOTA))/SUMPRODUCT((nNIA=A716)*(nCUENTA=1)*(COUNTIF(CONFIG_ASIGNATURAS!$B$7:$B$27,nASIG)&gt;0)*1),"")))</f>
        <v/>
      </c>
      <c r="H716" t="str">
        <f>IF(G716="","",IF(G716="[FÓRMULA MANUAL]","",IFERROR(AVERAGEIFS(nNOTA,nNIA,G716,nCUENTA,1,nASIG,"Lenguaje Musical"),"")))</f>
        <v/>
      </c>
      <c r="I716" t="str">
        <f>IF(G716="","",IF(G716="[FÓRMULA MANUAL]","",IFERROR(AVERAGEIFS(nNOTA,nNIA,G716,nCUENTA,1,nASIG,"Orquesta/Banda/Conjunto"),"")))</f>
        <v/>
      </c>
      <c r="J716" t="str">
        <f>IF(G716="","",IF(G716="[FÓRMULA MANUAL]","",IFERROR(AVERAGEIFS(nNOTA,nNIA,G716,nCUENTA,1,nASIG,"Conjunto"),"")))</f>
        <v/>
      </c>
      <c r="K716" t="str">
        <f>IF(G716="","",IF(G716="[FÓRMULA MANUAL]","",IFERROR(SUMPRODUCT((nNIA=G716)*(nCUENTA=1)*(COUNTIF(CONFIG_ASIGNATURAS!$B$7:$B$27,nASIG)&gt;0)*(nNOTA))/SUMPRODUCT((nNIA=G716)*(nCUENTA=1)*(COUNTIF(CONFIG_ASIGNATURAS!$B$7:$B$27,nASIG)&gt;0)*1),"")))</f>
        <v/>
      </c>
      <c r="N716" t="str">
        <f>IF(M716="","",IF(M716="[FÓRMULA MANUAL]","",IFERROR(AVERAGEIFS(nNOTA,nNIA,M716,nCUENTA,1,nASIG,"Armonía"),"")))</f>
        <v/>
      </c>
      <c r="O716" t="str">
        <f>IF(M716="","",IF(M716="[FÓRMULA MANUAL]","",IFERROR(AVERAGEIFS(nNOTA,nNIA,M716,nCUENTA,1,nASIG,"Orquesta/Banda/Conjunto"),"")))</f>
        <v/>
      </c>
      <c r="P716" t="str">
        <f>IF(M716="","",IF(M716="[FÓRMULA MANUAL]","",IFERROR(AVERAGEIFS(nNOTA,nNIA,M716,nCUENTA,1,nASIG,"Música de Cámara"),"")))</f>
        <v/>
      </c>
      <c r="Q716" t="str">
        <f>IF(M716="","",IF(M716="[FÓRMULA MANUAL]","",IFERROR(SUMPRODUCT((nNIA=M716)*(nCUENTA=1)*(COUNTIF(CONFIG_ASIGNATURAS!$B$7:$B$27,nASIG)&gt;0)*(nNOTA))/SUMPRODUCT((nNIA=M716)*(nCUENTA=1)*(COUNTIF(CONFIG_ASIGNATURAS!$B$7:$B$27,nASIG)&gt;0)*1),"")))</f>
        <v/>
      </c>
      <c r="T716" t="str">
        <f>IF(S716="","",IF(S716="[FÓRMULA MANUAL]","",IFERROR(AVERAGEIFS(nNOTA,nNIA,S716,nCUENTA,1,nASIG,"Armonía"),"")))</f>
        <v/>
      </c>
      <c r="U716" t="str">
        <f>IF(S716="","",IF(S716="[FÓRMULA MANUAL]","",IFERROR(AVERAGEIFS(nNOTA,nNIA,S716,nCUENTA,1,nASIG,"Orquesta/Banda/Conjunto"),"")))</f>
        <v/>
      </c>
      <c r="V716" t="str">
        <f>IF(S716="","",IF(S716="[FÓRMULA MANUAL]","",IFERROR(AVERAGEIFS(nNOTA,nNIA,S716,nCUENTA,1,nASIG,"Música de Cámara"),"")))</f>
        <v/>
      </c>
      <c r="W716" t="str">
        <f>IF(S716="","",IF(S716="[FÓRMULA MANUAL]","",IFERROR(SUMPRODUCT((nNIA=S716)*(nCUENTA=1)*(COUNTIF(CONFIG_ASIGNATURAS!$B$7:$B$27,nASIG)&gt;0)*(nNOTA))/SUMPRODUCT((nNIA=S716)*(nCUENTA=1)*(COUNTIF(CONFIG_ASIGNATURAS!$B$7:$B$27,nASIG)&gt;0)*1),"")))</f>
        <v/>
      </c>
      <c r="Z716" t="str">
        <f>IF(Y716="","",IF(Y716="[FÓRMULA MANUAL]","",IFERROR(AVERAGEIFS(nNOTA,nNIA,Y716,nCUENTA,1,nASIG,"Análisis"),"")))</f>
        <v/>
      </c>
      <c r="AA716" t="str">
        <f>IF(Y716="","",IF(Y716="[FÓRMULA MANUAL]","",IFERROR(AVERAGEIFS(nNOTA,nNIA,Y716,nCUENTA,1,nASIG,"Orquesta/Banda/Conjunto"),"")))</f>
        <v/>
      </c>
      <c r="AB716" t="str">
        <f>IF(Y716="","",IF(Y716="[FÓRMULA MANUAL]","",IFERROR(AVERAGEIFS(nNOTA,nNIA,Y716,nCUENTA,1,nASIG,"Música de Cámara"),"")))</f>
        <v/>
      </c>
      <c r="AC716" t="str">
        <f>IF(Y716="","",IF(Y716="[FÓRMULA MANUAL]","",IFERROR(SUMPRODUCT((nNIA=Y716)*(nCUENTA=1)*(COUNTIF(CONFIG_ASIGNATURAS!$B$7:$B$27,nASIG)&gt;0)*(nNOTA))/SUMPRODUCT((nNIA=Y716)*(nCUENTA=1)*(COUNTIF(CONFIG_ASIGNATURAS!$B$7:$B$27,nASIG)&gt;0)*1),"")))</f>
        <v/>
      </c>
      <c r="AF716" t="str">
        <f>IF(AE716="","",IF(AE716="[FÓRMULA MANUAL]","",IFERROR(AVERAGEIFS(nNOTA,nNIA,AE716,nCUENTA,1,nASIG,"Análisis"),"")))</f>
        <v/>
      </c>
      <c r="AG716" t="str">
        <f>IF(AE716="","",IF(AE716="[FÓRMULA MANUAL]","",IFERROR(AVERAGEIFS(nNOTA,nNIA,AE716,nCUENTA,1,nASIG,"Orquesta/Banda/Conjunto"),"")))</f>
        <v/>
      </c>
      <c r="AH716" t="str">
        <f>IF(AE716="","",IF(AE716="[FÓRMULA MANUAL]","",IFERROR(AVERAGEIFS(nNOTA,nNIA,AE716,nCUENTA,1,nASIG,"Música de Cámara"),"")))</f>
        <v/>
      </c>
      <c r="AI716" t="str">
        <f>IF(AE716="","",IF(AE716="[FÓRMULA MANUAL]","",IFERROR(SUMPRODUCT((nNIA=AE716)*(nCUENTA=1)*(COUNTIF(CONFIG_ASIGNATURAS!$B$7:$B$27,nASIG)&gt;0)*(nNOTA))/SUMPRODUCT((nNIA=AE716)*(nCUENTA=1)*(COUNTIF(CONFIG_ASIGNATURAS!$B$7:$B$27,nASIG)&gt;0)*1),"")))</f>
        <v/>
      </c>
    </row>
    <row r="717" spans="2:35" x14ac:dyDescent="0.2">
      <c r="B717" t="str">
        <f>IF(A717="","",IF(A717="[FÓRMULA MANUAL]","",IFERROR(AVERAGEIFS(nNOTA,nNIA,A717,nCUENTA,1,nASIG,"Lenguaje Musical"),"")))</f>
        <v/>
      </c>
      <c r="C717" t="str">
        <f>IF(A717="","",IF(A717="[FÓRMULA MANUAL]","",IFERROR(AVERAGEIFS(nNOTA,nNIA,A717,nCUENTA,1,nASIG,"Orquesta/Banda/Conjunto"),"")))</f>
        <v/>
      </c>
      <c r="D717" t="str">
        <f>IF(A717="","",IF(A717="[FÓRMULA MANUAL]","",IFERROR(AVERAGEIFS(nNOTA,nNIA,A717,nCUENTA,1,nASIG,"Conjunto"),"")))</f>
        <v/>
      </c>
      <c r="E717" t="str">
        <f>IF(A717="","",IF(A717="[FÓRMULA MANUAL]","",IFERROR(SUMPRODUCT((nNIA=A717)*(nCUENTA=1)*(COUNTIF(CONFIG_ASIGNATURAS!$B$7:$B$27,nASIG)&gt;0)*(nNOTA))/SUMPRODUCT((nNIA=A717)*(nCUENTA=1)*(COUNTIF(CONFIG_ASIGNATURAS!$B$7:$B$27,nASIG)&gt;0)*1),"")))</f>
        <v/>
      </c>
      <c r="H717" t="str">
        <f>IF(G717="","",IF(G717="[FÓRMULA MANUAL]","",IFERROR(AVERAGEIFS(nNOTA,nNIA,G717,nCUENTA,1,nASIG,"Lenguaje Musical"),"")))</f>
        <v/>
      </c>
      <c r="I717" t="str">
        <f>IF(G717="","",IF(G717="[FÓRMULA MANUAL]","",IFERROR(AVERAGEIFS(nNOTA,nNIA,G717,nCUENTA,1,nASIG,"Orquesta/Banda/Conjunto"),"")))</f>
        <v/>
      </c>
      <c r="J717" t="str">
        <f>IF(G717="","",IF(G717="[FÓRMULA MANUAL]","",IFERROR(AVERAGEIFS(nNOTA,nNIA,G717,nCUENTA,1,nASIG,"Conjunto"),"")))</f>
        <v/>
      </c>
      <c r="K717" t="str">
        <f>IF(G717="","",IF(G717="[FÓRMULA MANUAL]","",IFERROR(SUMPRODUCT((nNIA=G717)*(nCUENTA=1)*(COUNTIF(CONFIG_ASIGNATURAS!$B$7:$B$27,nASIG)&gt;0)*(nNOTA))/SUMPRODUCT((nNIA=G717)*(nCUENTA=1)*(COUNTIF(CONFIG_ASIGNATURAS!$B$7:$B$27,nASIG)&gt;0)*1),"")))</f>
        <v/>
      </c>
      <c r="N717" t="str">
        <f>IF(M717="","",IF(M717="[FÓRMULA MANUAL]","",IFERROR(AVERAGEIFS(nNOTA,nNIA,M717,nCUENTA,1,nASIG,"Armonía"),"")))</f>
        <v/>
      </c>
      <c r="O717" t="str">
        <f>IF(M717="","",IF(M717="[FÓRMULA MANUAL]","",IFERROR(AVERAGEIFS(nNOTA,nNIA,M717,nCUENTA,1,nASIG,"Orquesta/Banda/Conjunto"),"")))</f>
        <v/>
      </c>
      <c r="P717" t="str">
        <f>IF(M717="","",IF(M717="[FÓRMULA MANUAL]","",IFERROR(AVERAGEIFS(nNOTA,nNIA,M717,nCUENTA,1,nASIG,"Música de Cámara"),"")))</f>
        <v/>
      </c>
      <c r="Q717" t="str">
        <f>IF(M717="","",IF(M717="[FÓRMULA MANUAL]","",IFERROR(SUMPRODUCT((nNIA=M717)*(nCUENTA=1)*(COUNTIF(CONFIG_ASIGNATURAS!$B$7:$B$27,nASIG)&gt;0)*(nNOTA))/SUMPRODUCT((nNIA=M717)*(nCUENTA=1)*(COUNTIF(CONFIG_ASIGNATURAS!$B$7:$B$27,nASIG)&gt;0)*1),"")))</f>
        <v/>
      </c>
      <c r="T717" t="str">
        <f>IF(S717="","",IF(S717="[FÓRMULA MANUAL]","",IFERROR(AVERAGEIFS(nNOTA,nNIA,S717,nCUENTA,1,nASIG,"Armonía"),"")))</f>
        <v/>
      </c>
      <c r="U717" t="str">
        <f>IF(S717="","",IF(S717="[FÓRMULA MANUAL]","",IFERROR(AVERAGEIFS(nNOTA,nNIA,S717,nCUENTA,1,nASIG,"Orquesta/Banda/Conjunto"),"")))</f>
        <v/>
      </c>
      <c r="V717" t="str">
        <f>IF(S717="","",IF(S717="[FÓRMULA MANUAL]","",IFERROR(AVERAGEIFS(nNOTA,nNIA,S717,nCUENTA,1,nASIG,"Música de Cámara"),"")))</f>
        <v/>
      </c>
      <c r="W717" t="str">
        <f>IF(S717="","",IF(S717="[FÓRMULA MANUAL]","",IFERROR(SUMPRODUCT((nNIA=S717)*(nCUENTA=1)*(COUNTIF(CONFIG_ASIGNATURAS!$B$7:$B$27,nASIG)&gt;0)*(nNOTA))/SUMPRODUCT((nNIA=S717)*(nCUENTA=1)*(COUNTIF(CONFIG_ASIGNATURAS!$B$7:$B$27,nASIG)&gt;0)*1),"")))</f>
        <v/>
      </c>
      <c r="Z717" t="str">
        <f>IF(Y717="","",IF(Y717="[FÓRMULA MANUAL]","",IFERROR(AVERAGEIFS(nNOTA,nNIA,Y717,nCUENTA,1,nASIG,"Análisis"),"")))</f>
        <v/>
      </c>
      <c r="AA717" t="str">
        <f>IF(Y717="","",IF(Y717="[FÓRMULA MANUAL]","",IFERROR(AVERAGEIFS(nNOTA,nNIA,Y717,nCUENTA,1,nASIG,"Orquesta/Banda/Conjunto"),"")))</f>
        <v/>
      </c>
      <c r="AB717" t="str">
        <f>IF(Y717="","",IF(Y717="[FÓRMULA MANUAL]","",IFERROR(AVERAGEIFS(nNOTA,nNIA,Y717,nCUENTA,1,nASIG,"Música de Cámara"),"")))</f>
        <v/>
      </c>
      <c r="AC717" t="str">
        <f>IF(Y717="","",IF(Y717="[FÓRMULA MANUAL]","",IFERROR(SUMPRODUCT((nNIA=Y717)*(nCUENTA=1)*(COUNTIF(CONFIG_ASIGNATURAS!$B$7:$B$27,nASIG)&gt;0)*(nNOTA))/SUMPRODUCT((nNIA=Y717)*(nCUENTA=1)*(COUNTIF(CONFIG_ASIGNATURAS!$B$7:$B$27,nASIG)&gt;0)*1),"")))</f>
        <v/>
      </c>
      <c r="AF717" t="str">
        <f>IF(AE717="","",IF(AE717="[FÓRMULA MANUAL]","",IFERROR(AVERAGEIFS(nNOTA,nNIA,AE717,nCUENTA,1,nASIG,"Análisis"),"")))</f>
        <v/>
      </c>
      <c r="AG717" t="str">
        <f>IF(AE717="","",IF(AE717="[FÓRMULA MANUAL]","",IFERROR(AVERAGEIFS(nNOTA,nNIA,AE717,nCUENTA,1,nASIG,"Orquesta/Banda/Conjunto"),"")))</f>
        <v/>
      </c>
      <c r="AH717" t="str">
        <f>IF(AE717="","",IF(AE717="[FÓRMULA MANUAL]","",IFERROR(AVERAGEIFS(nNOTA,nNIA,AE717,nCUENTA,1,nASIG,"Música de Cámara"),"")))</f>
        <v/>
      </c>
      <c r="AI717" t="str">
        <f>IF(AE717="","",IF(AE717="[FÓRMULA MANUAL]","",IFERROR(SUMPRODUCT((nNIA=AE717)*(nCUENTA=1)*(COUNTIF(CONFIG_ASIGNATURAS!$B$7:$B$27,nASIG)&gt;0)*(nNOTA))/SUMPRODUCT((nNIA=AE717)*(nCUENTA=1)*(COUNTIF(CONFIG_ASIGNATURAS!$B$7:$B$27,nASIG)&gt;0)*1),"")))</f>
        <v/>
      </c>
    </row>
    <row r="718" spans="2:35" x14ac:dyDescent="0.2">
      <c r="B718" t="str">
        <f>IF(A718="","",IF(A718="[FÓRMULA MANUAL]","",IFERROR(AVERAGEIFS(nNOTA,nNIA,A718,nCUENTA,1,nASIG,"Lenguaje Musical"),"")))</f>
        <v/>
      </c>
      <c r="C718" t="str">
        <f>IF(A718="","",IF(A718="[FÓRMULA MANUAL]","",IFERROR(AVERAGEIFS(nNOTA,nNIA,A718,nCUENTA,1,nASIG,"Orquesta/Banda/Conjunto"),"")))</f>
        <v/>
      </c>
      <c r="D718" t="str">
        <f>IF(A718="","",IF(A718="[FÓRMULA MANUAL]","",IFERROR(AVERAGEIFS(nNOTA,nNIA,A718,nCUENTA,1,nASIG,"Conjunto"),"")))</f>
        <v/>
      </c>
      <c r="E718" t="str">
        <f>IF(A718="","",IF(A718="[FÓRMULA MANUAL]","",IFERROR(SUMPRODUCT((nNIA=A718)*(nCUENTA=1)*(COUNTIF(CONFIG_ASIGNATURAS!$B$7:$B$27,nASIG)&gt;0)*(nNOTA))/SUMPRODUCT((nNIA=A718)*(nCUENTA=1)*(COUNTIF(CONFIG_ASIGNATURAS!$B$7:$B$27,nASIG)&gt;0)*1),"")))</f>
        <v/>
      </c>
      <c r="H718" t="str">
        <f>IF(G718="","",IF(G718="[FÓRMULA MANUAL]","",IFERROR(AVERAGEIFS(nNOTA,nNIA,G718,nCUENTA,1,nASIG,"Lenguaje Musical"),"")))</f>
        <v/>
      </c>
      <c r="I718" t="str">
        <f>IF(G718="","",IF(G718="[FÓRMULA MANUAL]","",IFERROR(AVERAGEIFS(nNOTA,nNIA,G718,nCUENTA,1,nASIG,"Orquesta/Banda/Conjunto"),"")))</f>
        <v/>
      </c>
      <c r="J718" t="str">
        <f>IF(G718="","",IF(G718="[FÓRMULA MANUAL]","",IFERROR(AVERAGEIFS(nNOTA,nNIA,G718,nCUENTA,1,nASIG,"Conjunto"),"")))</f>
        <v/>
      </c>
      <c r="K718" t="str">
        <f>IF(G718="","",IF(G718="[FÓRMULA MANUAL]","",IFERROR(SUMPRODUCT((nNIA=G718)*(nCUENTA=1)*(COUNTIF(CONFIG_ASIGNATURAS!$B$7:$B$27,nASIG)&gt;0)*(nNOTA))/SUMPRODUCT((nNIA=G718)*(nCUENTA=1)*(COUNTIF(CONFIG_ASIGNATURAS!$B$7:$B$27,nASIG)&gt;0)*1),"")))</f>
        <v/>
      </c>
      <c r="N718" t="str">
        <f>IF(M718="","",IF(M718="[FÓRMULA MANUAL]","",IFERROR(AVERAGEIFS(nNOTA,nNIA,M718,nCUENTA,1,nASIG,"Armonía"),"")))</f>
        <v/>
      </c>
      <c r="O718" t="str">
        <f>IF(M718="","",IF(M718="[FÓRMULA MANUAL]","",IFERROR(AVERAGEIFS(nNOTA,nNIA,M718,nCUENTA,1,nASIG,"Orquesta/Banda/Conjunto"),"")))</f>
        <v/>
      </c>
      <c r="P718" t="str">
        <f>IF(M718="","",IF(M718="[FÓRMULA MANUAL]","",IFERROR(AVERAGEIFS(nNOTA,nNIA,M718,nCUENTA,1,nASIG,"Música de Cámara"),"")))</f>
        <v/>
      </c>
      <c r="Q718" t="str">
        <f>IF(M718="","",IF(M718="[FÓRMULA MANUAL]","",IFERROR(SUMPRODUCT((nNIA=M718)*(nCUENTA=1)*(COUNTIF(CONFIG_ASIGNATURAS!$B$7:$B$27,nASIG)&gt;0)*(nNOTA))/SUMPRODUCT((nNIA=M718)*(nCUENTA=1)*(COUNTIF(CONFIG_ASIGNATURAS!$B$7:$B$27,nASIG)&gt;0)*1),"")))</f>
        <v/>
      </c>
      <c r="T718" t="str">
        <f>IF(S718="","",IF(S718="[FÓRMULA MANUAL]","",IFERROR(AVERAGEIFS(nNOTA,nNIA,S718,nCUENTA,1,nASIG,"Armonía"),"")))</f>
        <v/>
      </c>
      <c r="U718" t="str">
        <f>IF(S718="","",IF(S718="[FÓRMULA MANUAL]","",IFERROR(AVERAGEIFS(nNOTA,nNIA,S718,nCUENTA,1,nASIG,"Orquesta/Banda/Conjunto"),"")))</f>
        <v/>
      </c>
      <c r="V718" t="str">
        <f>IF(S718="","",IF(S718="[FÓRMULA MANUAL]","",IFERROR(AVERAGEIFS(nNOTA,nNIA,S718,nCUENTA,1,nASIG,"Música de Cámara"),"")))</f>
        <v/>
      </c>
      <c r="W718" t="str">
        <f>IF(S718="","",IF(S718="[FÓRMULA MANUAL]","",IFERROR(SUMPRODUCT((nNIA=S718)*(nCUENTA=1)*(COUNTIF(CONFIG_ASIGNATURAS!$B$7:$B$27,nASIG)&gt;0)*(nNOTA))/SUMPRODUCT((nNIA=S718)*(nCUENTA=1)*(COUNTIF(CONFIG_ASIGNATURAS!$B$7:$B$27,nASIG)&gt;0)*1),"")))</f>
        <v/>
      </c>
      <c r="Z718" t="str">
        <f>IF(Y718="","",IF(Y718="[FÓRMULA MANUAL]","",IFERROR(AVERAGEIFS(nNOTA,nNIA,Y718,nCUENTA,1,nASIG,"Análisis"),"")))</f>
        <v/>
      </c>
      <c r="AA718" t="str">
        <f>IF(Y718="","",IF(Y718="[FÓRMULA MANUAL]","",IFERROR(AVERAGEIFS(nNOTA,nNIA,Y718,nCUENTA,1,nASIG,"Orquesta/Banda/Conjunto"),"")))</f>
        <v/>
      </c>
      <c r="AB718" t="str">
        <f>IF(Y718="","",IF(Y718="[FÓRMULA MANUAL]","",IFERROR(AVERAGEIFS(nNOTA,nNIA,Y718,nCUENTA,1,nASIG,"Música de Cámara"),"")))</f>
        <v/>
      </c>
      <c r="AC718" t="str">
        <f>IF(Y718="","",IF(Y718="[FÓRMULA MANUAL]","",IFERROR(SUMPRODUCT((nNIA=Y718)*(nCUENTA=1)*(COUNTIF(CONFIG_ASIGNATURAS!$B$7:$B$27,nASIG)&gt;0)*(nNOTA))/SUMPRODUCT((nNIA=Y718)*(nCUENTA=1)*(COUNTIF(CONFIG_ASIGNATURAS!$B$7:$B$27,nASIG)&gt;0)*1),"")))</f>
        <v/>
      </c>
      <c r="AF718" t="str">
        <f>IF(AE718="","",IF(AE718="[FÓRMULA MANUAL]","",IFERROR(AVERAGEIFS(nNOTA,nNIA,AE718,nCUENTA,1,nASIG,"Análisis"),"")))</f>
        <v/>
      </c>
      <c r="AG718" t="str">
        <f>IF(AE718="","",IF(AE718="[FÓRMULA MANUAL]","",IFERROR(AVERAGEIFS(nNOTA,nNIA,AE718,nCUENTA,1,nASIG,"Orquesta/Banda/Conjunto"),"")))</f>
        <v/>
      </c>
      <c r="AH718" t="str">
        <f>IF(AE718="","",IF(AE718="[FÓRMULA MANUAL]","",IFERROR(AVERAGEIFS(nNOTA,nNIA,AE718,nCUENTA,1,nASIG,"Música de Cámara"),"")))</f>
        <v/>
      </c>
      <c r="AI718" t="str">
        <f>IF(AE718="","",IF(AE718="[FÓRMULA MANUAL]","",IFERROR(SUMPRODUCT((nNIA=AE718)*(nCUENTA=1)*(COUNTIF(CONFIG_ASIGNATURAS!$B$7:$B$27,nASIG)&gt;0)*(nNOTA))/SUMPRODUCT((nNIA=AE718)*(nCUENTA=1)*(COUNTIF(CONFIG_ASIGNATURAS!$B$7:$B$27,nASIG)&gt;0)*1),"")))</f>
        <v/>
      </c>
    </row>
    <row r="719" spans="2:35" x14ac:dyDescent="0.2">
      <c r="B719" t="str">
        <f>IF(A719="","",IF(A719="[FÓRMULA MANUAL]","",IFERROR(AVERAGEIFS(nNOTA,nNIA,A719,nCUENTA,1,nASIG,"Lenguaje Musical"),"")))</f>
        <v/>
      </c>
      <c r="C719" t="str">
        <f>IF(A719="","",IF(A719="[FÓRMULA MANUAL]","",IFERROR(AVERAGEIFS(nNOTA,nNIA,A719,nCUENTA,1,nASIG,"Orquesta/Banda/Conjunto"),"")))</f>
        <v/>
      </c>
      <c r="D719" t="str">
        <f>IF(A719="","",IF(A719="[FÓRMULA MANUAL]","",IFERROR(AVERAGEIFS(nNOTA,nNIA,A719,nCUENTA,1,nASIG,"Conjunto"),"")))</f>
        <v/>
      </c>
      <c r="E719" t="str">
        <f>IF(A719="","",IF(A719="[FÓRMULA MANUAL]","",IFERROR(SUMPRODUCT((nNIA=A719)*(nCUENTA=1)*(COUNTIF(CONFIG_ASIGNATURAS!$B$7:$B$27,nASIG)&gt;0)*(nNOTA))/SUMPRODUCT((nNIA=A719)*(nCUENTA=1)*(COUNTIF(CONFIG_ASIGNATURAS!$B$7:$B$27,nASIG)&gt;0)*1),"")))</f>
        <v/>
      </c>
      <c r="H719" t="str">
        <f>IF(G719="","",IF(G719="[FÓRMULA MANUAL]","",IFERROR(AVERAGEIFS(nNOTA,nNIA,G719,nCUENTA,1,nASIG,"Lenguaje Musical"),"")))</f>
        <v/>
      </c>
      <c r="I719" t="str">
        <f>IF(G719="","",IF(G719="[FÓRMULA MANUAL]","",IFERROR(AVERAGEIFS(nNOTA,nNIA,G719,nCUENTA,1,nASIG,"Orquesta/Banda/Conjunto"),"")))</f>
        <v/>
      </c>
      <c r="J719" t="str">
        <f>IF(G719="","",IF(G719="[FÓRMULA MANUAL]","",IFERROR(AVERAGEIFS(nNOTA,nNIA,G719,nCUENTA,1,nASIG,"Conjunto"),"")))</f>
        <v/>
      </c>
      <c r="K719" t="str">
        <f>IF(G719="","",IF(G719="[FÓRMULA MANUAL]","",IFERROR(SUMPRODUCT((nNIA=G719)*(nCUENTA=1)*(COUNTIF(CONFIG_ASIGNATURAS!$B$7:$B$27,nASIG)&gt;0)*(nNOTA))/SUMPRODUCT((nNIA=G719)*(nCUENTA=1)*(COUNTIF(CONFIG_ASIGNATURAS!$B$7:$B$27,nASIG)&gt;0)*1),"")))</f>
        <v/>
      </c>
      <c r="N719" t="str">
        <f>IF(M719="","",IF(M719="[FÓRMULA MANUAL]","",IFERROR(AVERAGEIFS(nNOTA,nNIA,M719,nCUENTA,1,nASIG,"Armonía"),"")))</f>
        <v/>
      </c>
      <c r="O719" t="str">
        <f>IF(M719="","",IF(M719="[FÓRMULA MANUAL]","",IFERROR(AVERAGEIFS(nNOTA,nNIA,M719,nCUENTA,1,nASIG,"Orquesta/Banda/Conjunto"),"")))</f>
        <v/>
      </c>
      <c r="P719" t="str">
        <f>IF(M719="","",IF(M719="[FÓRMULA MANUAL]","",IFERROR(AVERAGEIFS(nNOTA,nNIA,M719,nCUENTA,1,nASIG,"Música de Cámara"),"")))</f>
        <v/>
      </c>
      <c r="Q719" t="str">
        <f>IF(M719="","",IF(M719="[FÓRMULA MANUAL]","",IFERROR(SUMPRODUCT((nNIA=M719)*(nCUENTA=1)*(COUNTIF(CONFIG_ASIGNATURAS!$B$7:$B$27,nASIG)&gt;0)*(nNOTA))/SUMPRODUCT((nNIA=M719)*(nCUENTA=1)*(COUNTIF(CONFIG_ASIGNATURAS!$B$7:$B$27,nASIG)&gt;0)*1),"")))</f>
        <v/>
      </c>
      <c r="T719" t="str">
        <f>IF(S719="","",IF(S719="[FÓRMULA MANUAL]","",IFERROR(AVERAGEIFS(nNOTA,nNIA,S719,nCUENTA,1,nASIG,"Armonía"),"")))</f>
        <v/>
      </c>
      <c r="U719" t="str">
        <f>IF(S719="","",IF(S719="[FÓRMULA MANUAL]","",IFERROR(AVERAGEIFS(nNOTA,nNIA,S719,nCUENTA,1,nASIG,"Orquesta/Banda/Conjunto"),"")))</f>
        <v/>
      </c>
      <c r="V719" t="str">
        <f>IF(S719="","",IF(S719="[FÓRMULA MANUAL]","",IFERROR(AVERAGEIFS(nNOTA,nNIA,S719,nCUENTA,1,nASIG,"Música de Cámara"),"")))</f>
        <v/>
      </c>
      <c r="W719" t="str">
        <f>IF(S719="","",IF(S719="[FÓRMULA MANUAL]","",IFERROR(SUMPRODUCT((nNIA=S719)*(nCUENTA=1)*(COUNTIF(CONFIG_ASIGNATURAS!$B$7:$B$27,nASIG)&gt;0)*(nNOTA))/SUMPRODUCT((nNIA=S719)*(nCUENTA=1)*(COUNTIF(CONFIG_ASIGNATURAS!$B$7:$B$27,nASIG)&gt;0)*1),"")))</f>
        <v/>
      </c>
      <c r="Z719" t="str">
        <f>IF(Y719="","",IF(Y719="[FÓRMULA MANUAL]","",IFERROR(AVERAGEIFS(nNOTA,nNIA,Y719,nCUENTA,1,nASIG,"Análisis"),"")))</f>
        <v/>
      </c>
      <c r="AA719" t="str">
        <f>IF(Y719="","",IF(Y719="[FÓRMULA MANUAL]","",IFERROR(AVERAGEIFS(nNOTA,nNIA,Y719,nCUENTA,1,nASIG,"Orquesta/Banda/Conjunto"),"")))</f>
        <v/>
      </c>
      <c r="AB719" t="str">
        <f>IF(Y719="","",IF(Y719="[FÓRMULA MANUAL]","",IFERROR(AVERAGEIFS(nNOTA,nNIA,Y719,nCUENTA,1,nASIG,"Música de Cámara"),"")))</f>
        <v/>
      </c>
      <c r="AC719" t="str">
        <f>IF(Y719="","",IF(Y719="[FÓRMULA MANUAL]","",IFERROR(SUMPRODUCT((nNIA=Y719)*(nCUENTA=1)*(COUNTIF(CONFIG_ASIGNATURAS!$B$7:$B$27,nASIG)&gt;0)*(nNOTA))/SUMPRODUCT((nNIA=Y719)*(nCUENTA=1)*(COUNTIF(CONFIG_ASIGNATURAS!$B$7:$B$27,nASIG)&gt;0)*1),"")))</f>
        <v/>
      </c>
      <c r="AF719" t="str">
        <f>IF(AE719="","",IF(AE719="[FÓRMULA MANUAL]","",IFERROR(AVERAGEIFS(nNOTA,nNIA,AE719,nCUENTA,1,nASIG,"Análisis"),"")))</f>
        <v/>
      </c>
      <c r="AG719" t="str">
        <f>IF(AE719="","",IF(AE719="[FÓRMULA MANUAL]","",IFERROR(AVERAGEIFS(nNOTA,nNIA,AE719,nCUENTA,1,nASIG,"Orquesta/Banda/Conjunto"),"")))</f>
        <v/>
      </c>
      <c r="AH719" t="str">
        <f>IF(AE719="","",IF(AE719="[FÓRMULA MANUAL]","",IFERROR(AVERAGEIFS(nNOTA,nNIA,AE719,nCUENTA,1,nASIG,"Música de Cámara"),"")))</f>
        <v/>
      </c>
      <c r="AI719" t="str">
        <f>IF(AE719="","",IF(AE719="[FÓRMULA MANUAL]","",IFERROR(SUMPRODUCT((nNIA=AE719)*(nCUENTA=1)*(COUNTIF(CONFIG_ASIGNATURAS!$B$7:$B$27,nASIG)&gt;0)*(nNOTA))/SUMPRODUCT((nNIA=AE719)*(nCUENTA=1)*(COUNTIF(CONFIG_ASIGNATURAS!$B$7:$B$27,nASIG)&gt;0)*1),"")))</f>
        <v/>
      </c>
    </row>
    <row r="720" spans="2:35" x14ac:dyDescent="0.2">
      <c r="B720" t="str">
        <f>IF(A720="","",IF(A720="[FÓRMULA MANUAL]","",IFERROR(AVERAGEIFS(nNOTA,nNIA,A720,nCUENTA,1,nASIG,"Lenguaje Musical"),"")))</f>
        <v/>
      </c>
      <c r="C720" t="str">
        <f>IF(A720="","",IF(A720="[FÓRMULA MANUAL]","",IFERROR(AVERAGEIFS(nNOTA,nNIA,A720,nCUENTA,1,nASIG,"Orquesta/Banda/Conjunto"),"")))</f>
        <v/>
      </c>
      <c r="D720" t="str">
        <f>IF(A720="","",IF(A720="[FÓRMULA MANUAL]","",IFERROR(AVERAGEIFS(nNOTA,nNIA,A720,nCUENTA,1,nASIG,"Conjunto"),"")))</f>
        <v/>
      </c>
      <c r="E720" t="str">
        <f>IF(A720="","",IF(A720="[FÓRMULA MANUAL]","",IFERROR(SUMPRODUCT((nNIA=A720)*(nCUENTA=1)*(COUNTIF(CONFIG_ASIGNATURAS!$B$7:$B$27,nASIG)&gt;0)*(nNOTA))/SUMPRODUCT((nNIA=A720)*(nCUENTA=1)*(COUNTIF(CONFIG_ASIGNATURAS!$B$7:$B$27,nASIG)&gt;0)*1),"")))</f>
        <v/>
      </c>
      <c r="H720" t="str">
        <f>IF(G720="","",IF(G720="[FÓRMULA MANUAL]","",IFERROR(AVERAGEIFS(nNOTA,nNIA,G720,nCUENTA,1,nASIG,"Lenguaje Musical"),"")))</f>
        <v/>
      </c>
      <c r="I720" t="str">
        <f>IF(G720="","",IF(G720="[FÓRMULA MANUAL]","",IFERROR(AVERAGEIFS(nNOTA,nNIA,G720,nCUENTA,1,nASIG,"Orquesta/Banda/Conjunto"),"")))</f>
        <v/>
      </c>
      <c r="J720" t="str">
        <f>IF(G720="","",IF(G720="[FÓRMULA MANUAL]","",IFERROR(AVERAGEIFS(nNOTA,nNIA,G720,nCUENTA,1,nASIG,"Conjunto"),"")))</f>
        <v/>
      </c>
      <c r="K720" t="str">
        <f>IF(G720="","",IF(G720="[FÓRMULA MANUAL]","",IFERROR(SUMPRODUCT((nNIA=G720)*(nCUENTA=1)*(COUNTIF(CONFIG_ASIGNATURAS!$B$7:$B$27,nASIG)&gt;0)*(nNOTA))/SUMPRODUCT((nNIA=G720)*(nCUENTA=1)*(COUNTIF(CONFIG_ASIGNATURAS!$B$7:$B$27,nASIG)&gt;0)*1),"")))</f>
        <v/>
      </c>
      <c r="N720" t="str">
        <f>IF(M720="","",IF(M720="[FÓRMULA MANUAL]","",IFERROR(AVERAGEIFS(nNOTA,nNIA,M720,nCUENTA,1,nASIG,"Armonía"),"")))</f>
        <v/>
      </c>
      <c r="O720" t="str">
        <f>IF(M720="","",IF(M720="[FÓRMULA MANUAL]","",IFERROR(AVERAGEIFS(nNOTA,nNIA,M720,nCUENTA,1,nASIG,"Orquesta/Banda/Conjunto"),"")))</f>
        <v/>
      </c>
      <c r="P720" t="str">
        <f>IF(M720="","",IF(M720="[FÓRMULA MANUAL]","",IFERROR(AVERAGEIFS(nNOTA,nNIA,M720,nCUENTA,1,nASIG,"Música de Cámara"),"")))</f>
        <v/>
      </c>
      <c r="Q720" t="str">
        <f>IF(M720="","",IF(M720="[FÓRMULA MANUAL]","",IFERROR(SUMPRODUCT((nNIA=M720)*(nCUENTA=1)*(COUNTIF(CONFIG_ASIGNATURAS!$B$7:$B$27,nASIG)&gt;0)*(nNOTA))/SUMPRODUCT((nNIA=M720)*(nCUENTA=1)*(COUNTIF(CONFIG_ASIGNATURAS!$B$7:$B$27,nASIG)&gt;0)*1),"")))</f>
        <v/>
      </c>
      <c r="T720" t="str">
        <f>IF(S720="","",IF(S720="[FÓRMULA MANUAL]","",IFERROR(AVERAGEIFS(nNOTA,nNIA,S720,nCUENTA,1,nASIG,"Armonía"),"")))</f>
        <v/>
      </c>
      <c r="U720" t="str">
        <f>IF(S720="","",IF(S720="[FÓRMULA MANUAL]","",IFERROR(AVERAGEIFS(nNOTA,nNIA,S720,nCUENTA,1,nASIG,"Orquesta/Banda/Conjunto"),"")))</f>
        <v/>
      </c>
      <c r="V720" t="str">
        <f>IF(S720="","",IF(S720="[FÓRMULA MANUAL]","",IFERROR(AVERAGEIFS(nNOTA,nNIA,S720,nCUENTA,1,nASIG,"Música de Cámara"),"")))</f>
        <v/>
      </c>
      <c r="W720" t="str">
        <f>IF(S720="","",IF(S720="[FÓRMULA MANUAL]","",IFERROR(SUMPRODUCT((nNIA=S720)*(nCUENTA=1)*(COUNTIF(CONFIG_ASIGNATURAS!$B$7:$B$27,nASIG)&gt;0)*(nNOTA))/SUMPRODUCT((nNIA=S720)*(nCUENTA=1)*(COUNTIF(CONFIG_ASIGNATURAS!$B$7:$B$27,nASIG)&gt;0)*1),"")))</f>
        <v/>
      </c>
      <c r="Z720" t="str">
        <f>IF(Y720="","",IF(Y720="[FÓRMULA MANUAL]","",IFERROR(AVERAGEIFS(nNOTA,nNIA,Y720,nCUENTA,1,nASIG,"Análisis"),"")))</f>
        <v/>
      </c>
      <c r="AA720" t="str">
        <f>IF(Y720="","",IF(Y720="[FÓRMULA MANUAL]","",IFERROR(AVERAGEIFS(nNOTA,nNIA,Y720,nCUENTA,1,nASIG,"Orquesta/Banda/Conjunto"),"")))</f>
        <v/>
      </c>
      <c r="AB720" t="str">
        <f>IF(Y720="","",IF(Y720="[FÓRMULA MANUAL]","",IFERROR(AVERAGEIFS(nNOTA,nNIA,Y720,nCUENTA,1,nASIG,"Música de Cámara"),"")))</f>
        <v/>
      </c>
      <c r="AC720" t="str">
        <f>IF(Y720="","",IF(Y720="[FÓRMULA MANUAL]","",IFERROR(SUMPRODUCT((nNIA=Y720)*(nCUENTA=1)*(COUNTIF(CONFIG_ASIGNATURAS!$B$7:$B$27,nASIG)&gt;0)*(nNOTA))/SUMPRODUCT((nNIA=Y720)*(nCUENTA=1)*(COUNTIF(CONFIG_ASIGNATURAS!$B$7:$B$27,nASIG)&gt;0)*1),"")))</f>
        <v/>
      </c>
      <c r="AF720" t="str">
        <f>IF(AE720="","",IF(AE720="[FÓRMULA MANUAL]","",IFERROR(AVERAGEIFS(nNOTA,nNIA,AE720,nCUENTA,1,nASIG,"Análisis"),"")))</f>
        <v/>
      </c>
      <c r="AG720" t="str">
        <f>IF(AE720="","",IF(AE720="[FÓRMULA MANUAL]","",IFERROR(AVERAGEIFS(nNOTA,nNIA,AE720,nCUENTA,1,nASIG,"Orquesta/Banda/Conjunto"),"")))</f>
        <v/>
      </c>
      <c r="AH720" t="str">
        <f>IF(AE720="","",IF(AE720="[FÓRMULA MANUAL]","",IFERROR(AVERAGEIFS(nNOTA,nNIA,AE720,nCUENTA,1,nASIG,"Música de Cámara"),"")))</f>
        <v/>
      </c>
      <c r="AI720" t="str">
        <f>IF(AE720="","",IF(AE720="[FÓRMULA MANUAL]","",IFERROR(SUMPRODUCT((nNIA=AE720)*(nCUENTA=1)*(COUNTIF(CONFIG_ASIGNATURAS!$B$7:$B$27,nASIG)&gt;0)*(nNOTA))/SUMPRODUCT((nNIA=AE720)*(nCUENTA=1)*(COUNTIF(CONFIG_ASIGNATURAS!$B$7:$B$27,nASIG)&gt;0)*1),"")))</f>
        <v/>
      </c>
    </row>
    <row r="721" spans="2:35" x14ac:dyDescent="0.2">
      <c r="B721" t="str">
        <f>IF(A721="","",IF(A721="[FÓRMULA MANUAL]","",IFERROR(AVERAGEIFS(nNOTA,nNIA,A721,nCUENTA,1,nASIG,"Lenguaje Musical"),"")))</f>
        <v/>
      </c>
      <c r="C721" t="str">
        <f>IF(A721="","",IF(A721="[FÓRMULA MANUAL]","",IFERROR(AVERAGEIFS(nNOTA,nNIA,A721,nCUENTA,1,nASIG,"Orquesta/Banda/Conjunto"),"")))</f>
        <v/>
      </c>
      <c r="D721" t="str">
        <f>IF(A721="","",IF(A721="[FÓRMULA MANUAL]","",IFERROR(AVERAGEIFS(nNOTA,nNIA,A721,nCUENTA,1,nASIG,"Conjunto"),"")))</f>
        <v/>
      </c>
      <c r="E721" t="str">
        <f>IF(A721="","",IF(A721="[FÓRMULA MANUAL]","",IFERROR(SUMPRODUCT((nNIA=A721)*(nCUENTA=1)*(COUNTIF(CONFIG_ASIGNATURAS!$B$7:$B$27,nASIG)&gt;0)*(nNOTA))/SUMPRODUCT((nNIA=A721)*(nCUENTA=1)*(COUNTIF(CONFIG_ASIGNATURAS!$B$7:$B$27,nASIG)&gt;0)*1),"")))</f>
        <v/>
      </c>
      <c r="H721" t="str">
        <f>IF(G721="","",IF(G721="[FÓRMULA MANUAL]","",IFERROR(AVERAGEIFS(nNOTA,nNIA,G721,nCUENTA,1,nASIG,"Lenguaje Musical"),"")))</f>
        <v/>
      </c>
      <c r="I721" t="str">
        <f>IF(G721="","",IF(G721="[FÓRMULA MANUAL]","",IFERROR(AVERAGEIFS(nNOTA,nNIA,G721,nCUENTA,1,nASIG,"Orquesta/Banda/Conjunto"),"")))</f>
        <v/>
      </c>
      <c r="J721" t="str">
        <f>IF(G721="","",IF(G721="[FÓRMULA MANUAL]","",IFERROR(AVERAGEIFS(nNOTA,nNIA,G721,nCUENTA,1,nASIG,"Conjunto"),"")))</f>
        <v/>
      </c>
      <c r="K721" t="str">
        <f>IF(G721="","",IF(G721="[FÓRMULA MANUAL]","",IFERROR(SUMPRODUCT((nNIA=G721)*(nCUENTA=1)*(COUNTIF(CONFIG_ASIGNATURAS!$B$7:$B$27,nASIG)&gt;0)*(nNOTA))/SUMPRODUCT((nNIA=G721)*(nCUENTA=1)*(COUNTIF(CONFIG_ASIGNATURAS!$B$7:$B$27,nASIG)&gt;0)*1),"")))</f>
        <v/>
      </c>
      <c r="N721" t="str">
        <f>IF(M721="","",IF(M721="[FÓRMULA MANUAL]","",IFERROR(AVERAGEIFS(nNOTA,nNIA,M721,nCUENTA,1,nASIG,"Armonía"),"")))</f>
        <v/>
      </c>
      <c r="O721" t="str">
        <f>IF(M721="","",IF(M721="[FÓRMULA MANUAL]","",IFERROR(AVERAGEIFS(nNOTA,nNIA,M721,nCUENTA,1,nASIG,"Orquesta/Banda/Conjunto"),"")))</f>
        <v/>
      </c>
      <c r="P721" t="str">
        <f>IF(M721="","",IF(M721="[FÓRMULA MANUAL]","",IFERROR(AVERAGEIFS(nNOTA,nNIA,M721,nCUENTA,1,nASIG,"Música de Cámara"),"")))</f>
        <v/>
      </c>
      <c r="Q721" t="str">
        <f>IF(M721="","",IF(M721="[FÓRMULA MANUAL]","",IFERROR(SUMPRODUCT((nNIA=M721)*(nCUENTA=1)*(COUNTIF(CONFIG_ASIGNATURAS!$B$7:$B$27,nASIG)&gt;0)*(nNOTA))/SUMPRODUCT((nNIA=M721)*(nCUENTA=1)*(COUNTIF(CONFIG_ASIGNATURAS!$B$7:$B$27,nASIG)&gt;0)*1),"")))</f>
        <v/>
      </c>
      <c r="T721" t="str">
        <f>IF(S721="","",IF(S721="[FÓRMULA MANUAL]","",IFERROR(AVERAGEIFS(nNOTA,nNIA,S721,nCUENTA,1,nASIG,"Armonía"),"")))</f>
        <v/>
      </c>
      <c r="U721" t="str">
        <f>IF(S721="","",IF(S721="[FÓRMULA MANUAL]","",IFERROR(AVERAGEIFS(nNOTA,nNIA,S721,nCUENTA,1,nASIG,"Orquesta/Banda/Conjunto"),"")))</f>
        <v/>
      </c>
      <c r="V721" t="str">
        <f>IF(S721="","",IF(S721="[FÓRMULA MANUAL]","",IFERROR(AVERAGEIFS(nNOTA,nNIA,S721,nCUENTA,1,nASIG,"Música de Cámara"),"")))</f>
        <v/>
      </c>
      <c r="W721" t="str">
        <f>IF(S721="","",IF(S721="[FÓRMULA MANUAL]","",IFERROR(SUMPRODUCT((nNIA=S721)*(nCUENTA=1)*(COUNTIF(CONFIG_ASIGNATURAS!$B$7:$B$27,nASIG)&gt;0)*(nNOTA))/SUMPRODUCT((nNIA=S721)*(nCUENTA=1)*(COUNTIF(CONFIG_ASIGNATURAS!$B$7:$B$27,nASIG)&gt;0)*1),"")))</f>
        <v/>
      </c>
      <c r="Z721" t="str">
        <f>IF(Y721="","",IF(Y721="[FÓRMULA MANUAL]","",IFERROR(AVERAGEIFS(nNOTA,nNIA,Y721,nCUENTA,1,nASIG,"Análisis"),"")))</f>
        <v/>
      </c>
      <c r="AA721" t="str">
        <f>IF(Y721="","",IF(Y721="[FÓRMULA MANUAL]","",IFERROR(AVERAGEIFS(nNOTA,nNIA,Y721,nCUENTA,1,nASIG,"Orquesta/Banda/Conjunto"),"")))</f>
        <v/>
      </c>
      <c r="AB721" t="str">
        <f>IF(Y721="","",IF(Y721="[FÓRMULA MANUAL]","",IFERROR(AVERAGEIFS(nNOTA,nNIA,Y721,nCUENTA,1,nASIG,"Música de Cámara"),"")))</f>
        <v/>
      </c>
      <c r="AC721" t="str">
        <f>IF(Y721="","",IF(Y721="[FÓRMULA MANUAL]","",IFERROR(SUMPRODUCT((nNIA=Y721)*(nCUENTA=1)*(COUNTIF(CONFIG_ASIGNATURAS!$B$7:$B$27,nASIG)&gt;0)*(nNOTA))/SUMPRODUCT((nNIA=Y721)*(nCUENTA=1)*(COUNTIF(CONFIG_ASIGNATURAS!$B$7:$B$27,nASIG)&gt;0)*1),"")))</f>
        <v/>
      </c>
      <c r="AF721" t="str">
        <f>IF(AE721="","",IF(AE721="[FÓRMULA MANUAL]","",IFERROR(AVERAGEIFS(nNOTA,nNIA,AE721,nCUENTA,1,nASIG,"Análisis"),"")))</f>
        <v/>
      </c>
      <c r="AG721" t="str">
        <f>IF(AE721="","",IF(AE721="[FÓRMULA MANUAL]","",IFERROR(AVERAGEIFS(nNOTA,nNIA,AE721,nCUENTA,1,nASIG,"Orquesta/Banda/Conjunto"),"")))</f>
        <v/>
      </c>
      <c r="AH721" t="str">
        <f>IF(AE721="","",IF(AE721="[FÓRMULA MANUAL]","",IFERROR(AVERAGEIFS(nNOTA,nNIA,AE721,nCUENTA,1,nASIG,"Música de Cámara"),"")))</f>
        <v/>
      </c>
      <c r="AI721" t="str">
        <f>IF(AE721="","",IF(AE721="[FÓRMULA MANUAL]","",IFERROR(SUMPRODUCT((nNIA=AE721)*(nCUENTA=1)*(COUNTIF(CONFIG_ASIGNATURAS!$B$7:$B$27,nASIG)&gt;0)*(nNOTA))/SUMPRODUCT((nNIA=AE721)*(nCUENTA=1)*(COUNTIF(CONFIG_ASIGNATURAS!$B$7:$B$27,nASIG)&gt;0)*1),"")))</f>
        <v/>
      </c>
    </row>
    <row r="722" spans="2:35" x14ac:dyDescent="0.2">
      <c r="B722" t="str">
        <f>IF(A722="","",IF(A722="[FÓRMULA MANUAL]","",IFERROR(AVERAGEIFS(nNOTA,nNIA,A722,nCUENTA,1,nASIG,"Lenguaje Musical"),"")))</f>
        <v/>
      </c>
      <c r="C722" t="str">
        <f>IF(A722="","",IF(A722="[FÓRMULA MANUAL]","",IFERROR(AVERAGEIFS(nNOTA,nNIA,A722,nCUENTA,1,nASIG,"Orquesta/Banda/Conjunto"),"")))</f>
        <v/>
      </c>
      <c r="D722" t="str">
        <f>IF(A722="","",IF(A722="[FÓRMULA MANUAL]","",IFERROR(AVERAGEIFS(nNOTA,nNIA,A722,nCUENTA,1,nASIG,"Conjunto"),"")))</f>
        <v/>
      </c>
      <c r="E722" t="str">
        <f>IF(A722="","",IF(A722="[FÓRMULA MANUAL]","",IFERROR(SUMPRODUCT((nNIA=A722)*(nCUENTA=1)*(COUNTIF(CONFIG_ASIGNATURAS!$B$7:$B$27,nASIG)&gt;0)*(nNOTA))/SUMPRODUCT((nNIA=A722)*(nCUENTA=1)*(COUNTIF(CONFIG_ASIGNATURAS!$B$7:$B$27,nASIG)&gt;0)*1),"")))</f>
        <v/>
      </c>
      <c r="H722" t="str">
        <f>IF(G722="","",IF(G722="[FÓRMULA MANUAL]","",IFERROR(AVERAGEIFS(nNOTA,nNIA,G722,nCUENTA,1,nASIG,"Lenguaje Musical"),"")))</f>
        <v/>
      </c>
      <c r="I722" t="str">
        <f>IF(G722="","",IF(G722="[FÓRMULA MANUAL]","",IFERROR(AVERAGEIFS(nNOTA,nNIA,G722,nCUENTA,1,nASIG,"Orquesta/Banda/Conjunto"),"")))</f>
        <v/>
      </c>
      <c r="J722" t="str">
        <f>IF(G722="","",IF(G722="[FÓRMULA MANUAL]","",IFERROR(AVERAGEIFS(nNOTA,nNIA,G722,nCUENTA,1,nASIG,"Conjunto"),"")))</f>
        <v/>
      </c>
      <c r="K722" t="str">
        <f>IF(G722="","",IF(G722="[FÓRMULA MANUAL]","",IFERROR(SUMPRODUCT((nNIA=G722)*(nCUENTA=1)*(COUNTIF(CONFIG_ASIGNATURAS!$B$7:$B$27,nASIG)&gt;0)*(nNOTA))/SUMPRODUCT((nNIA=G722)*(nCUENTA=1)*(COUNTIF(CONFIG_ASIGNATURAS!$B$7:$B$27,nASIG)&gt;0)*1),"")))</f>
        <v/>
      </c>
      <c r="N722" t="str">
        <f>IF(M722="","",IF(M722="[FÓRMULA MANUAL]","",IFERROR(AVERAGEIFS(nNOTA,nNIA,M722,nCUENTA,1,nASIG,"Armonía"),"")))</f>
        <v/>
      </c>
      <c r="O722" t="str">
        <f>IF(M722="","",IF(M722="[FÓRMULA MANUAL]","",IFERROR(AVERAGEIFS(nNOTA,nNIA,M722,nCUENTA,1,nASIG,"Orquesta/Banda/Conjunto"),"")))</f>
        <v/>
      </c>
      <c r="P722" t="str">
        <f>IF(M722="","",IF(M722="[FÓRMULA MANUAL]","",IFERROR(AVERAGEIFS(nNOTA,nNIA,M722,nCUENTA,1,nASIG,"Música de Cámara"),"")))</f>
        <v/>
      </c>
      <c r="Q722" t="str">
        <f>IF(M722="","",IF(M722="[FÓRMULA MANUAL]","",IFERROR(SUMPRODUCT((nNIA=M722)*(nCUENTA=1)*(COUNTIF(CONFIG_ASIGNATURAS!$B$7:$B$27,nASIG)&gt;0)*(nNOTA))/SUMPRODUCT((nNIA=M722)*(nCUENTA=1)*(COUNTIF(CONFIG_ASIGNATURAS!$B$7:$B$27,nASIG)&gt;0)*1),"")))</f>
        <v/>
      </c>
      <c r="T722" t="str">
        <f>IF(S722="","",IF(S722="[FÓRMULA MANUAL]","",IFERROR(AVERAGEIFS(nNOTA,nNIA,S722,nCUENTA,1,nASIG,"Armonía"),"")))</f>
        <v/>
      </c>
      <c r="U722" t="str">
        <f>IF(S722="","",IF(S722="[FÓRMULA MANUAL]","",IFERROR(AVERAGEIFS(nNOTA,nNIA,S722,nCUENTA,1,nASIG,"Orquesta/Banda/Conjunto"),"")))</f>
        <v/>
      </c>
      <c r="V722" t="str">
        <f>IF(S722="","",IF(S722="[FÓRMULA MANUAL]","",IFERROR(AVERAGEIFS(nNOTA,nNIA,S722,nCUENTA,1,nASIG,"Música de Cámara"),"")))</f>
        <v/>
      </c>
      <c r="W722" t="str">
        <f>IF(S722="","",IF(S722="[FÓRMULA MANUAL]","",IFERROR(SUMPRODUCT((nNIA=S722)*(nCUENTA=1)*(COUNTIF(CONFIG_ASIGNATURAS!$B$7:$B$27,nASIG)&gt;0)*(nNOTA))/SUMPRODUCT((nNIA=S722)*(nCUENTA=1)*(COUNTIF(CONFIG_ASIGNATURAS!$B$7:$B$27,nASIG)&gt;0)*1),"")))</f>
        <v/>
      </c>
      <c r="Z722" t="str">
        <f>IF(Y722="","",IF(Y722="[FÓRMULA MANUAL]","",IFERROR(AVERAGEIFS(nNOTA,nNIA,Y722,nCUENTA,1,nASIG,"Análisis"),"")))</f>
        <v/>
      </c>
      <c r="AA722" t="str">
        <f>IF(Y722="","",IF(Y722="[FÓRMULA MANUAL]","",IFERROR(AVERAGEIFS(nNOTA,nNIA,Y722,nCUENTA,1,nASIG,"Orquesta/Banda/Conjunto"),"")))</f>
        <v/>
      </c>
      <c r="AB722" t="str">
        <f>IF(Y722="","",IF(Y722="[FÓRMULA MANUAL]","",IFERROR(AVERAGEIFS(nNOTA,nNIA,Y722,nCUENTA,1,nASIG,"Música de Cámara"),"")))</f>
        <v/>
      </c>
      <c r="AC722" t="str">
        <f>IF(Y722="","",IF(Y722="[FÓRMULA MANUAL]","",IFERROR(SUMPRODUCT((nNIA=Y722)*(nCUENTA=1)*(COUNTIF(CONFIG_ASIGNATURAS!$B$7:$B$27,nASIG)&gt;0)*(nNOTA))/SUMPRODUCT((nNIA=Y722)*(nCUENTA=1)*(COUNTIF(CONFIG_ASIGNATURAS!$B$7:$B$27,nASIG)&gt;0)*1),"")))</f>
        <v/>
      </c>
      <c r="AF722" t="str">
        <f>IF(AE722="","",IF(AE722="[FÓRMULA MANUAL]","",IFERROR(AVERAGEIFS(nNOTA,nNIA,AE722,nCUENTA,1,nASIG,"Análisis"),"")))</f>
        <v/>
      </c>
      <c r="AG722" t="str">
        <f>IF(AE722="","",IF(AE722="[FÓRMULA MANUAL]","",IFERROR(AVERAGEIFS(nNOTA,nNIA,AE722,nCUENTA,1,nASIG,"Orquesta/Banda/Conjunto"),"")))</f>
        <v/>
      </c>
      <c r="AH722" t="str">
        <f>IF(AE722="","",IF(AE722="[FÓRMULA MANUAL]","",IFERROR(AVERAGEIFS(nNOTA,nNIA,AE722,nCUENTA,1,nASIG,"Música de Cámara"),"")))</f>
        <v/>
      </c>
      <c r="AI722" t="str">
        <f>IF(AE722="","",IF(AE722="[FÓRMULA MANUAL]","",IFERROR(SUMPRODUCT((nNIA=AE722)*(nCUENTA=1)*(COUNTIF(CONFIG_ASIGNATURAS!$B$7:$B$27,nASIG)&gt;0)*(nNOTA))/SUMPRODUCT((nNIA=AE722)*(nCUENTA=1)*(COUNTIF(CONFIG_ASIGNATURAS!$B$7:$B$27,nASIG)&gt;0)*1),"")))</f>
        <v/>
      </c>
    </row>
    <row r="723" spans="2:35" x14ac:dyDescent="0.2">
      <c r="B723" t="str">
        <f>IF(A723="","",IF(A723="[FÓRMULA MANUAL]","",IFERROR(AVERAGEIFS(nNOTA,nNIA,A723,nCUENTA,1,nASIG,"Lenguaje Musical"),"")))</f>
        <v/>
      </c>
      <c r="C723" t="str">
        <f>IF(A723="","",IF(A723="[FÓRMULA MANUAL]","",IFERROR(AVERAGEIFS(nNOTA,nNIA,A723,nCUENTA,1,nASIG,"Orquesta/Banda/Conjunto"),"")))</f>
        <v/>
      </c>
      <c r="D723" t="str">
        <f>IF(A723="","",IF(A723="[FÓRMULA MANUAL]","",IFERROR(AVERAGEIFS(nNOTA,nNIA,A723,nCUENTA,1,nASIG,"Conjunto"),"")))</f>
        <v/>
      </c>
      <c r="E723" t="str">
        <f>IF(A723="","",IF(A723="[FÓRMULA MANUAL]","",IFERROR(SUMPRODUCT((nNIA=A723)*(nCUENTA=1)*(COUNTIF(CONFIG_ASIGNATURAS!$B$7:$B$27,nASIG)&gt;0)*(nNOTA))/SUMPRODUCT((nNIA=A723)*(nCUENTA=1)*(COUNTIF(CONFIG_ASIGNATURAS!$B$7:$B$27,nASIG)&gt;0)*1),"")))</f>
        <v/>
      </c>
      <c r="H723" t="str">
        <f>IF(G723="","",IF(G723="[FÓRMULA MANUAL]","",IFERROR(AVERAGEIFS(nNOTA,nNIA,G723,nCUENTA,1,nASIG,"Lenguaje Musical"),"")))</f>
        <v/>
      </c>
      <c r="I723" t="str">
        <f>IF(G723="","",IF(G723="[FÓRMULA MANUAL]","",IFERROR(AVERAGEIFS(nNOTA,nNIA,G723,nCUENTA,1,nASIG,"Orquesta/Banda/Conjunto"),"")))</f>
        <v/>
      </c>
      <c r="J723" t="str">
        <f>IF(G723="","",IF(G723="[FÓRMULA MANUAL]","",IFERROR(AVERAGEIFS(nNOTA,nNIA,G723,nCUENTA,1,nASIG,"Conjunto"),"")))</f>
        <v/>
      </c>
      <c r="K723" t="str">
        <f>IF(G723="","",IF(G723="[FÓRMULA MANUAL]","",IFERROR(SUMPRODUCT((nNIA=G723)*(nCUENTA=1)*(COUNTIF(CONFIG_ASIGNATURAS!$B$7:$B$27,nASIG)&gt;0)*(nNOTA))/SUMPRODUCT((nNIA=G723)*(nCUENTA=1)*(COUNTIF(CONFIG_ASIGNATURAS!$B$7:$B$27,nASIG)&gt;0)*1),"")))</f>
        <v/>
      </c>
      <c r="N723" t="str">
        <f>IF(M723="","",IF(M723="[FÓRMULA MANUAL]","",IFERROR(AVERAGEIFS(nNOTA,nNIA,M723,nCUENTA,1,nASIG,"Armonía"),"")))</f>
        <v/>
      </c>
      <c r="O723" t="str">
        <f>IF(M723="","",IF(M723="[FÓRMULA MANUAL]","",IFERROR(AVERAGEIFS(nNOTA,nNIA,M723,nCUENTA,1,nASIG,"Orquesta/Banda/Conjunto"),"")))</f>
        <v/>
      </c>
      <c r="P723" t="str">
        <f>IF(M723="","",IF(M723="[FÓRMULA MANUAL]","",IFERROR(AVERAGEIFS(nNOTA,nNIA,M723,nCUENTA,1,nASIG,"Música de Cámara"),"")))</f>
        <v/>
      </c>
      <c r="Q723" t="str">
        <f>IF(M723="","",IF(M723="[FÓRMULA MANUAL]","",IFERROR(SUMPRODUCT((nNIA=M723)*(nCUENTA=1)*(COUNTIF(CONFIG_ASIGNATURAS!$B$7:$B$27,nASIG)&gt;0)*(nNOTA))/SUMPRODUCT((nNIA=M723)*(nCUENTA=1)*(COUNTIF(CONFIG_ASIGNATURAS!$B$7:$B$27,nASIG)&gt;0)*1),"")))</f>
        <v/>
      </c>
      <c r="T723" t="str">
        <f>IF(S723="","",IF(S723="[FÓRMULA MANUAL]","",IFERROR(AVERAGEIFS(nNOTA,nNIA,S723,nCUENTA,1,nASIG,"Armonía"),"")))</f>
        <v/>
      </c>
      <c r="U723" t="str">
        <f>IF(S723="","",IF(S723="[FÓRMULA MANUAL]","",IFERROR(AVERAGEIFS(nNOTA,nNIA,S723,nCUENTA,1,nASIG,"Orquesta/Banda/Conjunto"),"")))</f>
        <v/>
      </c>
      <c r="V723" t="str">
        <f>IF(S723="","",IF(S723="[FÓRMULA MANUAL]","",IFERROR(AVERAGEIFS(nNOTA,nNIA,S723,nCUENTA,1,nASIG,"Música de Cámara"),"")))</f>
        <v/>
      </c>
      <c r="W723" t="str">
        <f>IF(S723="","",IF(S723="[FÓRMULA MANUAL]","",IFERROR(SUMPRODUCT((nNIA=S723)*(nCUENTA=1)*(COUNTIF(CONFIG_ASIGNATURAS!$B$7:$B$27,nASIG)&gt;0)*(nNOTA))/SUMPRODUCT((nNIA=S723)*(nCUENTA=1)*(COUNTIF(CONFIG_ASIGNATURAS!$B$7:$B$27,nASIG)&gt;0)*1),"")))</f>
        <v/>
      </c>
      <c r="Z723" t="str">
        <f>IF(Y723="","",IF(Y723="[FÓRMULA MANUAL]","",IFERROR(AVERAGEIFS(nNOTA,nNIA,Y723,nCUENTA,1,nASIG,"Análisis"),"")))</f>
        <v/>
      </c>
      <c r="AA723" t="str">
        <f>IF(Y723="","",IF(Y723="[FÓRMULA MANUAL]","",IFERROR(AVERAGEIFS(nNOTA,nNIA,Y723,nCUENTA,1,nASIG,"Orquesta/Banda/Conjunto"),"")))</f>
        <v/>
      </c>
      <c r="AB723" t="str">
        <f>IF(Y723="","",IF(Y723="[FÓRMULA MANUAL]","",IFERROR(AVERAGEIFS(nNOTA,nNIA,Y723,nCUENTA,1,nASIG,"Música de Cámara"),"")))</f>
        <v/>
      </c>
      <c r="AC723" t="str">
        <f>IF(Y723="","",IF(Y723="[FÓRMULA MANUAL]","",IFERROR(SUMPRODUCT((nNIA=Y723)*(nCUENTA=1)*(COUNTIF(CONFIG_ASIGNATURAS!$B$7:$B$27,nASIG)&gt;0)*(nNOTA))/SUMPRODUCT((nNIA=Y723)*(nCUENTA=1)*(COUNTIF(CONFIG_ASIGNATURAS!$B$7:$B$27,nASIG)&gt;0)*1),"")))</f>
        <v/>
      </c>
      <c r="AF723" t="str">
        <f>IF(AE723="","",IF(AE723="[FÓRMULA MANUAL]","",IFERROR(AVERAGEIFS(nNOTA,nNIA,AE723,nCUENTA,1,nASIG,"Análisis"),"")))</f>
        <v/>
      </c>
      <c r="AG723" t="str">
        <f>IF(AE723="","",IF(AE723="[FÓRMULA MANUAL]","",IFERROR(AVERAGEIFS(nNOTA,nNIA,AE723,nCUENTA,1,nASIG,"Orquesta/Banda/Conjunto"),"")))</f>
        <v/>
      </c>
      <c r="AH723" t="str">
        <f>IF(AE723="","",IF(AE723="[FÓRMULA MANUAL]","",IFERROR(AVERAGEIFS(nNOTA,nNIA,AE723,nCUENTA,1,nASIG,"Música de Cámara"),"")))</f>
        <v/>
      </c>
      <c r="AI723" t="str">
        <f>IF(AE723="","",IF(AE723="[FÓRMULA MANUAL]","",IFERROR(SUMPRODUCT((nNIA=AE723)*(nCUENTA=1)*(COUNTIF(CONFIG_ASIGNATURAS!$B$7:$B$27,nASIG)&gt;0)*(nNOTA))/SUMPRODUCT((nNIA=AE723)*(nCUENTA=1)*(COUNTIF(CONFIG_ASIGNATURAS!$B$7:$B$27,nASIG)&gt;0)*1),"")))</f>
        <v/>
      </c>
    </row>
    <row r="724" spans="2:35" x14ac:dyDescent="0.2">
      <c r="B724" t="str">
        <f>IF(A724="","",IF(A724="[FÓRMULA MANUAL]","",IFERROR(AVERAGEIFS(nNOTA,nNIA,A724,nCUENTA,1,nASIG,"Lenguaje Musical"),"")))</f>
        <v/>
      </c>
      <c r="C724" t="str">
        <f>IF(A724="","",IF(A724="[FÓRMULA MANUAL]","",IFERROR(AVERAGEIFS(nNOTA,nNIA,A724,nCUENTA,1,nASIG,"Orquesta/Banda/Conjunto"),"")))</f>
        <v/>
      </c>
      <c r="D724" t="str">
        <f>IF(A724="","",IF(A724="[FÓRMULA MANUAL]","",IFERROR(AVERAGEIFS(nNOTA,nNIA,A724,nCUENTA,1,nASIG,"Conjunto"),"")))</f>
        <v/>
      </c>
      <c r="E724" t="str">
        <f>IF(A724="","",IF(A724="[FÓRMULA MANUAL]","",IFERROR(SUMPRODUCT((nNIA=A724)*(nCUENTA=1)*(COUNTIF(CONFIG_ASIGNATURAS!$B$7:$B$27,nASIG)&gt;0)*(nNOTA))/SUMPRODUCT((nNIA=A724)*(nCUENTA=1)*(COUNTIF(CONFIG_ASIGNATURAS!$B$7:$B$27,nASIG)&gt;0)*1),"")))</f>
        <v/>
      </c>
      <c r="H724" t="str">
        <f>IF(G724="","",IF(G724="[FÓRMULA MANUAL]","",IFERROR(AVERAGEIFS(nNOTA,nNIA,G724,nCUENTA,1,nASIG,"Lenguaje Musical"),"")))</f>
        <v/>
      </c>
      <c r="I724" t="str">
        <f>IF(G724="","",IF(G724="[FÓRMULA MANUAL]","",IFERROR(AVERAGEIFS(nNOTA,nNIA,G724,nCUENTA,1,nASIG,"Orquesta/Banda/Conjunto"),"")))</f>
        <v/>
      </c>
      <c r="J724" t="str">
        <f>IF(G724="","",IF(G724="[FÓRMULA MANUAL]","",IFERROR(AVERAGEIFS(nNOTA,nNIA,G724,nCUENTA,1,nASIG,"Conjunto"),"")))</f>
        <v/>
      </c>
      <c r="K724" t="str">
        <f>IF(G724="","",IF(G724="[FÓRMULA MANUAL]","",IFERROR(SUMPRODUCT((nNIA=G724)*(nCUENTA=1)*(COUNTIF(CONFIG_ASIGNATURAS!$B$7:$B$27,nASIG)&gt;0)*(nNOTA))/SUMPRODUCT((nNIA=G724)*(nCUENTA=1)*(COUNTIF(CONFIG_ASIGNATURAS!$B$7:$B$27,nASIG)&gt;0)*1),"")))</f>
        <v/>
      </c>
      <c r="N724" t="str">
        <f>IF(M724="","",IF(M724="[FÓRMULA MANUAL]","",IFERROR(AVERAGEIFS(nNOTA,nNIA,M724,nCUENTA,1,nASIG,"Armonía"),"")))</f>
        <v/>
      </c>
      <c r="O724" t="str">
        <f>IF(M724="","",IF(M724="[FÓRMULA MANUAL]","",IFERROR(AVERAGEIFS(nNOTA,nNIA,M724,nCUENTA,1,nASIG,"Orquesta/Banda/Conjunto"),"")))</f>
        <v/>
      </c>
      <c r="P724" t="str">
        <f>IF(M724="","",IF(M724="[FÓRMULA MANUAL]","",IFERROR(AVERAGEIFS(nNOTA,nNIA,M724,nCUENTA,1,nASIG,"Música de Cámara"),"")))</f>
        <v/>
      </c>
      <c r="Q724" t="str">
        <f>IF(M724="","",IF(M724="[FÓRMULA MANUAL]","",IFERROR(SUMPRODUCT((nNIA=M724)*(nCUENTA=1)*(COUNTIF(CONFIG_ASIGNATURAS!$B$7:$B$27,nASIG)&gt;0)*(nNOTA))/SUMPRODUCT((nNIA=M724)*(nCUENTA=1)*(COUNTIF(CONFIG_ASIGNATURAS!$B$7:$B$27,nASIG)&gt;0)*1),"")))</f>
        <v/>
      </c>
      <c r="T724" t="str">
        <f>IF(S724="","",IF(S724="[FÓRMULA MANUAL]","",IFERROR(AVERAGEIFS(nNOTA,nNIA,S724,nCUENTA,1,nASIG,"Armonía"),"")))</f>
        <v/>
      </c>
      <c r="U724" t="str">
        <f>IF(S724="","",IF(S724="[FÓRMULA MANUAL]","",IFERROR(AVERAGEIFS(nNOTA,nNIA,S724,nCUENTA,1,nASIG,"Orquesta/Banda/Conjunto"),"")))</f>
        <v/>
      </c>
      <c r="V724" t="str">
        <f>IF(S724="","",IF(S724="[FÓRMULA MANUAL]","",IFERROR(AVERAGEIFS(nNOTA,nNIA,S724,nCUENTA,1,nASIG,"Música de Cámara"),"")))</f>
        <v/>
      </c>
      <c r="W724" t="str">
        <f>IF(S724="","",IF(S724="[FÓRMULA MANUAL]","",IFERROR(SUMPRODUCT((nNIA=S724)*(nCUENTA=1)*(COUNTIF(CONFIG_ASIGNATURAS!$B$7:$B$27,nASIG)&gt;0)*(nNOTA))/SUMPRODUCT((nNIA=S724)*(nCUENTA=1)*(COUNTIF(CONFIG_ASIGNATURAS!$B$7:$B$27,nASIG)&gt;0)*1),"")))</f>
        <v/>
      </c>
      <c r="Z724" t="str">
        <f>IF(Y724="","",IF(Y724="[FÓRMULA MANUAL]","",IFERROR(AVERAGEIFS(nNOTA,nNIA,Y724,nCUENTA,1,nASIG,"Análisis"),"")))</f>
        <v/>
      </c>
      <c r="AA724" t="str">
        <f>IF(Y724="","",IF(Y724="[FÓRMULA MANUAL]","",IFERROR(AVERAGEIFS(nNOTA,nNIA,Y724,nCUENTA,1,nASIG,"Orquesta/Banda/Conjunto"),"")))</f>
        <v/>
      </c>
      <c r="AB724" t="str">
        <f>IF(Y724="","",IF(Y724="[FÓRMULA MANUAL]","",IFERROR(AVERAGEIFS(nNOTA,nNIA,Y724,nCUENTA,1,nASIG,"Música de Cámara"),"")))</f>
        <v/>
      </c>
      <c r="AC724" t="str">
        <f>IF(Y724="","",IF(Y724="[FÓRMULA MANUAL]","",IFERROR(SUMPRODUCT((nNIA=Y724)*(nCUENTA=1)*(COUNTIF(CONFIG_ASIGNATURAS!$B$7:$B$27,nASIG)&gt;0)*(nNOTA))/SUMPRODUCT((nNIA=Y724)*(nCUENTA=1)*(COUNTIF(CONFIG_ASIGNATURAS!$B$7:$B$27,nASIG)&gt;0)*1),"")))</f>
        <v/>
      </c>
      <c r="AF724" t="str">
        <f>IF(AE724="","",IF(AE724="[FÓRMULA MANUAL]","",IFERROR(AVERAGEIFS(nNOTA,nNIA,AE724,nCUENTA,1,nASIG,"Análisis"),"")))</f>
        <v/>
      </c>
      <c r="AG724" t="str">
        <f>IF(AE724="","",IF(AE724="[FÓRMULA MANUAL]","",IFERROR(AVERAGEIFS(nNOTA,nNIA,AE724,nCUENTA,1,nASIG,"Orquesta/Banda/Conjunto"),"")))</f>
        <v/>
      </c>
      <c r="AH724" t="str">
        <f>IF(AE724="","",IF(AE724="[FÓRMULA MANUAL]","",IFERROR(AVERAGEIFS(nNOTA,nNIA,AE724,nCUENTA,1,nASIG,"Música de Cámara"),"")))</f>
        <v/>
      </c>
      <c r="AI724" t="str">
        <f>IF(AE724="","",IF(AE724="[FÓRMULA MANUAL]","",IFERROR(SUMPRODUCT((nNIA=AE724)*(nCUENTA=1)*(COUNTIF(CONFIG_ASIGNATURAS!$B$7:$B$27,nASIG)&gt;0)*(nNOTA))/SUMPRODUCT((nNIA=AE724)*(nCUENTA=1)*(COUNTIF(CONFIG_ASIGNATURAS!$B$7:$B$27,nASIG)&gt;0)*1),"")))</f>
        <v/>
      </c>
    </row>
    <row r="725" spans="2:35" x14ac:dyDescent="0.2">
      <c r="B725" t="str">
        <f>IF(A725="","",IF(A725="[FÓRMULA MANUAL]","",IFERROR(AVERAGEIFS(nNOTA,nNIA,A725,nCUENTA,1,nASIG,"Lenguaje Musical"),"")))</f>
        <v/>
      </c>
      <c r="C725" t="str">
        <f>IF(A725="","",IF(A725="[FÓRMULA MANUAL]","",IFERROR(AVERAGEIFS(nNOTA,nNIA,A725,nCUENTA,1,nASIG,"Orquesta/Banda/Conjunto"),"")))</f>
        <v/>
      </c>
      <c r="D725" t="str">
        <f>IF(A725="","",IF(A725="[FÓRMULA MANUAL]","",IFERROR(AVERAGEIFS(nNOTA,nNIA,A725,nCUENTA,1,nASIG,"Conjunto"),"")))</f>
        <v/>
      </c>
      <c r="E725" t="str">
        <f>IF(A725="","",IF(A725="[FÓRMULA MANUAL]","",IFERROR(SUMPRODUCT((nNIA=A725)*(nCUENTA=1)*(COUNTIF(CONFIG_ASIGNATURAS!$B$7:$B$27,nASIG)&gt;0)*(nNOTA))/SUMPRODUCT((nNIA=A725)*(nCUENTA=1)*(COUNTIF(CONFIG_ASIGNATURAS!$B$7:$B$27,nASIG)&gt;0)*1),"")))</f>
        <v/>
      </c>
      <c r="H725" t="str">
        <f>IF(G725="","",IF(G725="[FÓRMULA MANUAL]","",IFERROR(AVERAGEIFS(nNOTA,nNIA,G725,nCUENTA,1,nASIG,"Lenguaje Musical"),"")))</f>
        <v/>
      </c>
      <c r="I725" t="str">
        <f>IF(G725="","",IF(G725="[FÓRMULA MANUAL]","",IFERROR(AVERAGEIFS(nNOTA,nNIA,G725,nCUENTA,1,nASIG,"Orquesta/Banda/Conjunto"),"")))</f>
        <v/>
      </c>
      <c r="J725" t="str">
        <f>IF(G725="","",IF(G725="[FÓRMULA MANUAL]","",IFERROR(AVERAGEIFS(nNOTA,nNIA,G725,nCUENTA,1,nASIG,"Conjunto"),"")))</f>
        <v/>
      </c>
      <c r="K725" t="str">
        <f>IF(G725="","",IF(G725="[FÓRMULA MANUAL]","",IFERROR(SUMPRODUCT((nNIA=G725)*(nCUENTA=1)*(COUNTIF(CONFIG_ASIGNATURAS!$B$7:$B$27,nASIG)&gt;0)*(nNOTA))/SUMPRODUCT((nNIA=G725)*(nCUENTA=1)*(COUNTIF(CONFIG_ASIGNATURAS!$B$7:$B$27,nASIG)&gt;0)*1),"")))</f>
        <v/>
      </c>
      <c r="N725" t="str">
        <f>IF(M725="","",IF(M725="[FÓRMULA MANUAL]","",IFERROR(AVERAGEIFS(nNOTA,nNIA,M725,nCUENTA,1,nASIG,"Armonía"),"")))</f>
        <v/>
      </c>
      <c r="O725" t="str">
        <f>IF(M725="","",IF(M725="[FÓRMULA MANUAL]","",IFERROR(AVERAGEIFS(nNOTA,nNIA,M725,nCUENTA,1,nASIG,"Orquesta/Banda/Conjunto"),"")))</f>
        <v/>
      </c>
      <c r="P725" t="str">
        <f>IF(M725="","",IF(M725="[FÓRMULA MANUAL]","",IFERROR(AVERAGEIFS(nNOTA,nNIA,M725,nCUENTA,1,nASIG,"Música de Cámara"),"")))</f>
        <v/>
      </c>
      <c r="Q725" t="str">
        <f>IF(M725="","",IF(M725="[FÓRMULA MANUAL]","",IFERROR(SUMPRODUCT((nNIA=M725)*(nCUENTA=1)*(COUNTIF(CONFIG_ASIGNATURAS!$B$7:$B$27,nASIG)&gt;0)*(nNOTA))/SUMPRODUCT((nNIA=M725)*(nCUENTA=1)*(COUNTIF(CONFIG_ASIGNATURAS!$B$7:$B$27,nASIG)&gt;0)*1),"")))</f>
        <v/>
      </c>
      <c r="T725" t="str">
        <f>IF(S725="","",IF(S725="[FÓRMULA MANUAL]","",IFERROR(AVERAGEIFS(nNOTA,nNIA,S725,nCUENTA,1,nASIG,"Armonía"),"")))</f>
        <v/>
      </c>
      <c r="U725" t="str">
        <f>IF(S725="","",IF(S725="[FÓRMULA MANUAL]","",IFERROR(AVERAGEIFS(nNOTA,nNIA,S725,nCUENTA,1,nASIG,"Orquesta/Banda/Conjunto"),"")))</f>
        <v/>
      </c>
      <c r="V725" t="str">
        <f>IF(S725="","",IF(S725="[FÓRMULA MANUAL]","",IFERROR(AVERAGEIFS(nNOTA,nNIA,S725,nCUENTA,1,nASIG,"Música de Cámara"),"")))</f>
        <v/>
      </c>
      <c r="W725" t="str">
        <f>IF(S725="","",IF(S725="[FÓRMULA MANUAL]","",IFERROR(SUMPRODUCT((nNIA=S725)*(nCUENTA=1)*(COUNTIF(CONFIG_ASIGNATURAS!$B$7:$B$27,nASIG)&gt;0)*(nNOTA))/SUMPRODUCT((nNIA=S725)*(nCUENTA=1)*(COUNTIF(CONFIG_ASIGNATURAS!$B$7:$B$27,nASIG)&gt;0)*1),"")))</f>
        <v/>
      </c>
      <c r="Z725" t="str">
        <f>IF(Y725="","",IF(Y725="[FÓRMULA MANUAL]","",IFERROR(AVERAGEIFS(nNOTA,nNIA,Y725,nCUENTA,1,nASIG,"Análisis"),"")))</f>
        <v/>
      </c>
      <c r="AA725" t="str">
        <f>IF(Y725="","",IF(Y725="[FÓRMULA MANUAL]","",IFERROR(AVERAGEIFS(nNOTA,nNIA,Y725,nCUENTA,1,nASIG,"Orquesta/Banda/Conjunto"),"")))</f>
        <v/>
      </c>
      <c r="AB725" t="str">
        <f>IF(Y725="","",IF(Y725="[FÓRMULA MANUAL]","",IFERROR(AVERAGEIFS(nNOTA,nNIA,Y725,nCUENTA,1,nASIG,"Música de Cámara"),"")))</f>
        <v/>
      </c>
      <c r="AC725" t="str">
        <f>IF(Y725="","",IF(Y725="[FÓRMULA MANUAL]","",IFERROR(SUMPRODUCT((nNIA=Y725)*(nCUENTA=1)*(COUNTIF(CONFIG_ASIGNATURAS!$B$7:$B$27,nASIG)&gt;0)*(nNOTA))/SUMPRODUCT((nNIA=Y725)*(nCUENTA=1)*(COUNTIF(CONFIG_ASIGNATURAS!$B$7:$B$27,nASIG)&gt;0)*1),"")))</f>
        <v/>
      </c>
      <c r="AF725" t="str">
        <f>IF(AE725="","",IF(AE725="[FÓRMULA MANUAL]","",IFERROR(AVERAGEIFS(nNOTA,nNIA,AE725,nCUENTA,1,nASIG,"Análisis"),"")))</f>
        <v/>
      </c>
      <c r="AG725" t="str">
        <f>IF(AE725="","",IF(AE725="[FÓRMULA MANUAL]","",IFERROR(AVERAGEIFS(nNOTA,nNIA,AE725,nCUENTA,1,nASIG,"Orquesta/Banda/Conjunto"),"")))</f>
        <v/>
      </c>
      <c r="AH725" t="str">
        <f>IF(AE725="","",IF(AE725="[FÓRMULA MANUAL]","",IFERROR(AVERAGEIFS(nNOTA,nNIA,AE725,nCUENTA,1,nASIG,"Música de Cámara"),"")))</f>
        <v/>
      </c>
      <c r="AI725" t="str">
        <f>IF(AE725="","",IF(AE725="[FÓRMULA MANUAL]","",IFERROR(SUMPRODUCT((nNIA=AE725)*(nCUENTA=1)*(COUNTIF(CONFIG_ASIGNATURAS!$B$7:$B$27,nASIG)&gt;0)*(nNOTA))/SUMPRODUCT((nNIA=AE725)*(nCUENTA=1)*(COUNTIF(CONFIG_ASIGNATURAS!$B$7:$B$27,nASIG)&gt;0)*1),"")))</f>
        <v/>
      </c>
    </row>
    <row r="726" spans="2:35" x14ac:dyDescent="0.2">
      <c r="B726" t="str">
        <f>IF(A726="","",IF(A726="[FÓRMULA MANUAL]","",IFERROR(AVERAGEIFS(nNOTA,nNIA,A726,nCUENTA,1,nASIG,"Lenguaje Musical"),"")))</f>
        <v/>
      </c>
      <c r="C726" t="str">
        <f>IF(A726="","",IF(A726="[FÓRMULA MANUAL]","",IFERROR(AVERAGEIFS(nNOTA,nNIA,A726,nCUENTA,1,nASIG,"Orquesta/Banda/Conjunto"),"")))</f>
        <v/>
      </c>
      <c r="D726" t="str">
        <f>IF(A726="","",IF(A726="[FÓRMULA MANUAL]","",IFERROR(AVERAGEIFS(nNOTA,nNIA,A726,nCUENTA,1,nASIG,"Conjunto"),"")))</f>
        <v/>
      </c>
      <c r="E726" t="str">
        <f>IF(A726="","",IF(A726="[FÓRMULA MANUAL]","",IFERROR(SUMPRODUCT((nNIA=A726)*(nCUENTA=1)*(COUNTIF(CONFIG_ASIGNATURAS!$B$7:$B$27,nASIG)&gt;0)*(nNOTA))/SUMPRODUCT((nNIA=A726)*(nCUENTA=1)*(COUNTIF(CONFIG_ASIGNATURAS!$B$7:$B$27,nASIG)&gt;0)*1),"")))</f>
        <v/>
      </c>
      <c r="H726" t="str">
        <f>IF(G726="","",IF(G726="[FÓRMULA MANUAL]","",IFERROR(AVERAGEIFS(nNOTA,nNIA,G726,nCUENTA,1,nASIG,"Lenguaje Musical"),"")))</f>
        <v/>
      </c>
      <c r="I726" t="str">
        <f>IF(G726="","",IF(G726="[FÓRMULA MANUAL]","",IFERROR(AVERAGEIFS(nNOTA,nNIA,G726,nCUENTA,1,nASIG,"Orquesta/Banda/Conjunto"),"")))</f>
        <v/>
      </c>
      <c r="J726" t="str">
        <f>IF(G726="","",IF(G726="[FÓRMULA MANUAL]","",IFERROR(AVERAGEIFS(nNOTA,nNIA,G726,nCUENTA,1,nASIG,"Conjunto"),"")))</f>
        <v/>
      </c>
      <c r="K726" t="str">
        <f>IF(G726="","",IF(G726="[FÓRMULA MANUAL]","",IFERROR(SUMPRODUCT((nNIA=G726)*(nCUENTA=1)*(COUNTIF(CONFIG_ASIGNATURAS!$B$7:$B$27,nASIG)&gt;0)*(nNOTA))/SUMPRODUCT((nNIA=G726)*(nCUENTA=1)*(COUNTIF(CONFIG_ASIGNATURAS!$B$7:$B$27,nASIG)&gt;0)*1),"")))</f>
        <v/>
      </c>
      <c r="N726" t="str">
        <f>IF(M726="","",IF(M726="[FÓRMULA MANUAL]","",IFERROR(AVERAGEIFS(nNOTA,nNIA,M726,nCUENTA,1,nASIG,"Armonía"),"")))</f>
        <v/>
      </c>
      <c r="O726" t="str">
        <f>IF(M726="","",IF(M726="[FÓRMULA MANUAL]","",IFERROR(AVERAGEIFS(nNOTA,nNIA,M726,nCUENTA,1,nASIG,"Orquesta/Banda/Conjunto"),"")))</f>
        <v/>
      </c>
      <c r="P726" t="str">
        <f>IF(M726="","",IF(M726="[FÓRMULA MANUAL]","",IFERROR(AVERAGEIFS(nNOTA,nNIA,M726,nCUENTA,1,nASIG,"Música de Cámara"),"")))</f>
        <v/>
      </c>
      <c r="Q726" t="str">
        <f>IF(M726="","",IF(M726="[FÓRMULA MANUAL]","",IFERROR(SUMPRODUCT((nNIA=M726)*(nCUENTA=1)*(COUNTIF(CONFIG_ASIGNATURAS!$B$7:$B$27,nASIG)&gt;0)*(nNOTA))/SUMPRODUCT((nNIA=M726)*(nCUENTA=1)*(COUNTIF(CONFIG_ASIGNATURAS!$B$7:$B$27,nASIG)&gt;0)*1),"")))</f>
        <v/>
      </c>
      <c r="T726" t="str">
        <f>IF(S726="","",IF(S726="[FÓRMULA MANUAL]","",IFERROR(AVERAGEIFS(nNOTA,nNIA,S726,nCUENTA,1,nASIG,"Armonía"),"")))</f>
        <v/>
      </c>
      <c r="U726" t="str">
        <f>IF(S726="","",IF(S726="[FÓRMULA MANUAL]","",IFERROR(AVERAGEIFS(nNOTA,nNIA,S726,nCUENTA,1,nASIG,"Orquesta/Banda/Conjunto"),"")))</f>
        <v/>
      </c>
      <c r="V726" t="str">
        <f>IF(S726="","",IF(S726="[FÓRMULA MANUAL]","",IFERROR(AVERAGEIFS(nNOTA,nNIA,S726,nCUENTA,1,nASIG,"Música de Cámara"),"")))</f>
        <v/>
      </c>
      <c r="W726" t="str">
        <f>IF(S726="","",IF(S726="[FÓRMULA MANUAL]","",IFERROR(SUMPRODUCT((nNIA=S726)*(nCUENTA=1)*(COUNTIF(CONFIG_ASIGNATURAS!$B$7:$B$27,nASIG)&gt;0)*(nNOTA))/SUMPRODUCT((nNIA=S726)*(nCUENTA=1)*(COUNTIF(CONFIG_ASIGNATURAS!$B$7:$B$27,nASIG)&gt;0)*1),"")))</f>
        <v/>
      </c>
      <c r="Z726" t="str">
        <f>IF(Y726="","",IF(Y726="[FÓRMULA MANUAL]","",IFERROR(AVERAGEIFS(nNOTA,nNIA,Y726,nCUENTA,1,nASIG,"Análisis"),"")))</f>
        <v/>
      </c>
      <c r="AA726" t="str">
        <f>IF(Y726="","",IF(Y726="[FÓRMULA MANUAL]","",IFERROR(AVERAGEIFS(nNOTA,nNIA,Y726,nCUENTA,1,nASIG,"Orquesta/Banda/Conjunto"),"")))</f>
        <v/>
      </c>
      <c r="AB726" t="str">
        <f>IF(Y726="","",IF(Y726="[FÓRMULA MANUAL]","",IFERROR(AVERAGEIFS(nNOTA,nNIA,Y726,nCUENTA,1,nASIG,"Música de Cámara"),"")))</f>
        <v/>
      </c>
      <c r="AC726" t="str">
        <f>IF(Y726="","",IF(Y726="[FÓRMULA MANUAL]","",IFERROR(SUMPRODUCT((nNIA=Y726)*(nCUENTA=1)*(COUNTIF(CONFIG_ASIGNATURAS!$B$7:$B$27,nASIG)&gt;0)*(nNOTA))/SUMPRODUCT((nNIA=Y726)*(nCUENTA=1)*(COUNTIF(CONFIG_ASIGNATURAS!$B$7:$B$27,nASIG)&gt;0)*1),"")))</f>
        <v/>
      </c>
      <c r="AF726" t="str">
        <f>IF(AE726="","",IF(AE726="[FÓRMULA MANUAL]","",IFERROR(AVERAGEIFS(nNOTA,nNIA,AE726,nCUENTA,1,nASIG,"Análisis"),"")))</f>
        <v/>
      </c>
      <c r="AG726" t="str">
        <f>IF(AE726="","",IF(AE726="[FÓRMULA MANUAL]","",IFERROR(AVERAGEIFS(nNOTA,nNIA,AE726,nCUENTA,1,nASIG,"Orquesta/Banda/Conjunto"),"")))</f>
        <v/>
      </c>
      <c r="AH726" t="str">
        <f>IF(AE726="","",IF(AE726="[FÓRMULA MANUAL]","",IFERROR(AVERAGEIFS(nNOTA,nNIA,AE726,nCUENTA,1,nASIG,"Música de Cámara"),"")))</f>
        <v/>
      </c>
      <c r="AI726" t="str">
        <f>IF(AE726="","",IF(AE726="[FÓRMULA MANUAL]","",IFERROR(SUMPRODUCT((nNIA=AE726)*(nCUENTA=1)*(COUNTIF(CONFIG_ASIGNATURAS!$B$7:$B$27,nASIG)&gt;0)*(nNOTA))/SUMPRODUCT((nNIA=AE726)*(nCUENTA=1)*(COUNTIF(CONFIG_ASIGNATURAS!$B$7:$B$27,nASIG)&gt;0)*1),"")))</f>
        <v/>
      </c>
    </row>
    <row r="727" spans="2:35" x14ac:dyDescent="0.2">
      <c r="B727" t="str">
        <f>IF(A727="","",IF(A727="[FÓRMULA MANUAL]","",IFERROR(AVERAGEIFS(nNOTA,nNIA,A727,nCUENTA,1,nASIG,"Lenguaje Musical"),"")))</f>
        <v/>
      </c>
      <c r="C727" t="str">
        <f>IF(A727="","",IF(A727="[FÓRMULA MANUAL]","",IFERROR(AVERAGEIFS(nNOTA,nNIA,A727,nCUENTA,1,nASIG,"Orquesta/Banda/Conjunto"),"")))</f>
        <v/>
      </c>
      <c r="D727" t="str">
        <f>IF(A727="","",IF(A727="[FÓRMULA MANUAL]","",IFERROR(AVERAGEIFS(nNOTA,nNIA,A727,nCUENTA,1,nASIG,"Conjunto"),"")))</f>
        <v/>
      </c>
      <c r="E727" t="str">
        <f>IF(A727="","",IF(A727="[FÓRMULA MANUAL]","",IFERROR(SUMPRODUCT((nNIA=A727)*(nCUENTA=1)*(COUNTIF(CONFIG_ASIGNATURAS!$B$7:$B$27,nASIG)&gt;0)*(nNOTA))/SUMPRODUCT((nNIA=A727)*(nCUENTA=1)*(COUNTIF(CONFIG_ASIGNATURAS!$B$7:$B$27,nASIG)&gt;0)*1),"")))</f>
        <v/>
      </c>
      <c r="H727" t="str">
        <f>IF(G727="","",IF(G727="[FÓRMULA MANUAL]","",IFERROR(AVERAGEIFS(nNOTA,nNIA,G727,nCUENTA,1,nASIG,"Lenguaje Musical"),"")))</f>
        <v/>
      </c>
      <c r="I727" t="str">
        <f>IF(G727="","",IF(G727="[FÓRMULA MANUAL]","",IFERROR(AVERAGEIFS(nNOTA,nNIA,G727,nCUENTA,1,nASIG,"Orquesta/Banda/Conjunto"),"")))</f>
        <v/>
      </c>
      <c r="J727" t="str">
        <f>IF(G727="","",IF(G727="[FÓRMULA MANUAL]","",IFERROR(AVERAGEIFS(nNOTA,nNIA,G727,nCUENTA,1,nASIG,"Conjunto"),"")))</f>
        <v/>
      </c>
      <c r="K727" t="str">
        <f>IF(G727="","",IF(G727="[FÓRMULA MANUAL]","",IFERROR(SUMPRODUCT((nNIA=G727)*(nCUENTA=1)*(COUNTIF(CONFIG_ASIGNATURAS!$B$7:$B$27,nASIG)&gt;0)*(nNOTA))/SUMPRODUCT((nNIA=G727)*(nCUENTA=1)*(COUNTIF(CONFIG_ASIGNATURAS!$B$7:$B$27,nASIG)&gt;0)*1),"")))</f>
        <v/>
      </c>
      <c r="N727" t="str">
        <f>IF(M727="","",IF(M727="[FÓRMULA MANUAL]","",IFERROR(AVERAGEIFS(nNOTA,nNIA,M727,nCUENTA,1,nASIG,"Armonía"),"")))</f>
        <v/>
      </c>
      <c r="O727" t="str">
        <f>IF(M727="","",IF(M727="[FÓRMULA MANUAL]","",IFERROR(AVERAGEIFS(nNOTA,nNIA,M727,nCUENTA,1,nASIG,"Orquesta/Banda/Conjunto"),"")))</f>
        <v/>
      </c>
      <c r="P727" t="str">
        <f>IF(M727="","",IF(M727="[FÓRMULA MANUAL]","",IFERROR(AVERAGEIFS(nNOTA,nNIA,M727,nCUENTA,1,nASIG,"Música de Cámara"),"")))</f>
        <v/>
      </c>
      <c r="Q727" t="str">
        <f>IF(M727="","",IF(M727="[FÓRMULA MANUAL]","",IFERROR(SUMPRODUCT((nNIA=M727)*(nCUENTA=1)*(COUNTIF(CONFIG_ASIGNATURAS!$B$7:$B$27,nASIG)&gt;0)*(nNOTA))/SUMPRODUCT((nNIA=M727)*(nCUENTA=1)*(COUNTIF(CONFIG_ASIGNATURAS!$B$7:$B$27,nASIG)&gt;0)*1),"")))</f>
        <v/>
      </c>
      <c r="T727" t="str">
        <f>IF(S727="","",IF(S727="[FÓRMULA MANUAL]","",IFERROR(AVERAGEIFS(nNOTA,nNIA,S727,nCUENTA,1,nASIG,"Armonía"),"")))</f>
        <v/>
      </c>
      <c r="U727" t="str">
        <f>IF(S727="","",IF(S727="[FÓRMULA MANUAL]","",IFERROR(AVERAGEIFS(nNOTA,nNIA,S727,nCUENTA,1,nASIG,"Orquesta/Banda/Conjunto"),"")))</f>
        <v/>
      </c>
      <c r="V727" t="str">
        <f>IF(S727="","",IF(S727="[FÓRMULA MANUAL]","",IFERROR(AVERAGEIFS(nNOTA,nNIA,S727,nCUENTA,1,nASIG,"Música de Cámara"),"")))</f>
        <v/>
      </c>
      <c r="W727" t="str">
        <f>IF(S727="","",IF(S727="[FÓRMULA MANUAL]","",IFERROR(SUMPRODUCT((nNIA=S727)*(nCUENTA=1)*(COUNTIF(CONFIG_ASIGNATURAS!$B$7:$B$27,nASIG)&gt;0)*(nNOTA))/SUMPRODUCT((nNIA=S727)*(nCUENTA=1)*(COUNTIF(CONFIG_ASIGNATURAS!$B$7:$B$27,nASIG)&gt;0)*1),"")))</f>
        <v/>
      </c>
      <c r="Z727" t="str">
        <f>IF(Y727="","",IF(Y727="[FÓRMULA MANUAL]","",IFERROR(AVERAGEIFS(nNOTA,nNIA,Y727,nCUENTA,1,nASIG,"Análisis"),"")))</f>
        <v/>
      </c>
      <c r="AA727" t="str">
        <f>IF(Y727="","",IF(Y727="[FÓRMULA MANUAL]","",IFERROR(AVERAGEIFS(nNOTA,nNIA,Y727,nCUENTA,1,nASIG,"Orquesta/Banda/Conjunto"),"")))</f>
        <v/>
      </c>
      <c r="AB727" t="str">
        <f>IF(Y727="","",IF(Y727="[FÓRMULA MANUAL]","",IFERROR(AVERAGEIFS(nNOTA,nNIA,Y727,nCUENTA,1,nASIG,"Música de Cámara"),"")))</f>
        <v/>
      </c>
      <c r="AC727" t="str">
        <f>IF(Y727="","",IF(Y727="[FÓRMULA MANUAL]","",IFERROR(SUMPRODUCT((nNIA=Y727)*(nCUENTA=1)*(COUNTIF(CONFIG_ASIGNATURAS!$B$7:$B$27,nASIG)&gt;0)*(nNOTA))/SUMPRODUCT((nNIA=Y727)*(nCUENTA=1)*(COUNTIF(CONFIG_ASIGNATURAS!$B$7:$B$27,nASIG)&gt;0)*1),"")))</f>
        <v/>
      </c>
      <c r="AF727" t="str">
        <f>IF(AE727="","",IF(AE727="[FÓRMULA MANUAL]","",IFERROR(AVERAGEIFS(nNOTA,nNIA,AE727,nCUENTA,1,nASIG,"Análisis"),"")))</f>
        <v/>
      </c>
      <c r="AG727" t="str">
        <f>IF(AE727="","",IF(AE727="[FÓRMULA MANUAL]","",IFERROR(AVERAGEIFS(nNOTA,nNIA,AE727,nCUENTA,1,nASIG,"Orquesta/Banda/Conjunto"),"")))</f>
        <v/>
      </c>
      <c r="AH727" t="str">
        <f>IF(AE727="","",IF(AE727="[FÓRMULA MANUAL]","",IFERROR(AVERAGEIFS(nNOTA,nNIA,AE727,nCUENTA,1,nASIG,"Música de Cámara"),"")))</f>
        <v/>
      </c>
      <c r="AI727" t="str">
        <f>IF(AE727="","",IF(AE727="[FÓRMULA MANUAL]","",IFERROR(SUMPRODUCT((nNIA=AE727)*(nCUENTA=1)*(COUNTIF(CONFIG_ASIGNATURAS!$B$7:$B$27,nASIG)&gt;0)*(nNOTA))/SUMPRODUCT((nNIA=AE727)*(nCUENTA=1)*(COUNTIF(CONFIG_ASIGNATURAS!$B$7:$B$27,nASIG)&gt;0)*1),"")))</f>
        <v/>
      </c>
    </row>
    <row r="728" spans="2:35" x14ac:dyDescent="0.2">
      <c r="B728" t="str">
        <f>IF(A728="","",IF(A728="[FÓRMULA MANUAL]","",IFERROR(AVERAGEIFS(nNOTA,nNIA,A728,nCUENTA,1,nASIG,"Lenguaje Musical"),"")))</f>
        <v/>
      </c>
      <c r="C728" t="str">
        <f>IF(A728="","",IF(A728="[FÓRMULA MANUAL]","",IFERROR(AVERAGEIFS(nNOTA,nNIA,A728,nCUENTA,1,nASIG,"Orquesta/Banda/Conjunto"),"")))</f>
        <v/>
      </c>
      <c r="D728" t="str">
        <f>IF(A728="","",IF(A728="[FÓRMULA MANUAL]","",IFERROR(AVERAGEIFS(nNOTA,nNIA,A728,nCUENTA,1,nASIG,"Conjunto"),"")))</f>
        <v/>
      </c>
      <c r="E728" t="str">
        <f>IF(A728="","",IF(A728="[FÓRMULA MANUAL]","",IFERROR(SUMPRODUCT((nNIA=A728)*(nCUENTA=1)*(COUNTIF(CONFIG_ASIGNATURAS!$B$7:$B$27,nASIG)&gt;0)*(nNOTA))/SUMPRODUCT((nNIA=A728)*(nCUENTA=1)*(COUNTIF(CONFIG_ASIGNATURAS!$B$7:$B$27,nASIG)&gt;0)*1),"")))</f>
        <v/>
      </c>
      <c r="H728" t="str">
        <f>IF(G728="","",IF(G728="[FÓRMULA MANUAL]","",IFERROR(AVERAGEIFS(nNOTA,nNIA,G728,nCUENTA,1,nASIG,"Lenguaje Musical"),"")))</f>
        <v/>
      </c>
      <c r="I728" t="str">
        <f>IF(G728="","",IF(G728="[FÓRMULA MANUAL]","",IFERROR(AVERAGEIFS(nNOTA,nNIA,G728,nCUENTA,1,nASIG,"Orquesta/Banda/Conjunto"),"")))</f>
        <v/>
      </c>
      <c r="J728" t="str">
        <f>IF(G728="","",IF(G728="[FÓRMULA MANUAL]","",IFERROR(AVERAGEIFS(nNOTA,nNIA,G728,nCUENTA,1,nASIG,"Conjunto"),"")))</f>
        <v/>
      </c>
      <c r="K728" t="str">
        <f>IF(G728="","",IF(G728="[FÓRMULA MANUAL]","",IFERROR(SUMPRODUCT((nNIA=G728)*(nCUENTA=1)*(COUNTIF(CONFIG_ASIGNATURAS!$B$7:$B$27,nASIG)&gt;0)*(nNOTA))/SUMPRODUCT((nNIA=G728)*(nCUENTA=1)*(COUNTIF(CONFIG_ASIGNATURAS!$B$7:$B$27,nASIG)&gt;0)*1),"")))</f>
        <v/>
      </c>
      <c r="N728" t="str">
        <f>IF(M728="","",IF(M728="[FÓRMULA MANUAL]","",IFERROR(AVERAGEIFS(nNOTA,nNIA,M728,nCUENTA,1,nASIG,"Armonía"),"")))</f>
        <v/>
      </c>
      <c r="O728" t="str">
        <f>IF(M728="","",IF(M728="[FÓRMULA MANUAL]","",IFERROR(AVERAGEIFS(nNOTA,nNIA,M728,nCUENTA,1,nASIG,"Orquesta/Banda/Conjunto"),"")))</f>
        <v/>
      </c>
      <c r="P728" t="str">
        <f>IF(M728="","",IF(M728="[FÓRMULA MANUAL]","",IFERROR(AVERAGEIFS(nNOTA,nNIA,M728,nCUENTA,1,nASIG,"Música de Cámara"),"")))</f>
        <v/>
      </c>
      <c r="Q728" t="str">
        <f>IF(M728="","",IF(M728="[FÓRMULA MANUAL]","",IFERROR(SUMPRODUCT((nNIA=M728)*(nCUENTA=1)*(COUNTIF(CONFIG_ASIGNATURAS!$B$7:$B$27,nASIG)&gt;0)*(nNOTA))/SUMPRODUCT((nNIA=M728)*(nCUENTA=1)*(COUNTIF(CONFIG_ASIGNATURAS!$B$7:$B$27,nASIG)&gt;0)*1),"")))</f>
        <v/>
      </c>
      <c r="T728" t="str">
        <f>IF(S728="","",IF(S728="[FÓRMULA MANUAL]","",IFERROR(AVERAGEIFS(nNOTA,nNIA,S728,nCUENTA,1,nASIG,"Armonía"),"")))</f>
        <v/>
      </c>
      <c r="U728" t="str">
        <f>IF(S728="","",IF(S728="[FÓRMULA MANUAL]","",IFERROR(AVERAGEIFS(nNOTA,nNIA,S728,nCUENTA,1,nASIG,"Orquesta/Banda/Conjunto"),"")))</f>
        <v/>
      </c>
      <c r="V728" t="str">
        <f>IF(S728="","",IF(S728="[FÓRMULA MANUAL]","",IFERROR(AVERAGEIFS(nNOTA,nNIA,S728,nCUENTA,1,nASIG,"Música de Cámara"),"")))</f>
        <v/>
      </c>
      <c r="W728" t="str">
        <f>IF(S728="","",IF(S728="[FÓRMULA MANUAL]","",IFERROR(SUMPRODUCT((nNIA=S728)*(nCUENTA=1)*(COUNTIF(CONFIG_ASIGNATURAS!$B$7:$B$27,nASIG)&gt;0)*(nNOTA))/SUMPRODUCT((nNIA=S728)*(nCUENTA=1)*(COUNTIF(CONFIG_ASIGNATURAS!$B$7:$B$27,nASIG)&gt;0)*1),"")))</f>
        <v/>
      </c>
      <c r="Z728" t="str">
        <f>IF(Y728="","",IF(Y728="[FÓRMULA MANUAL]","",IFERROR(AVERAGEIFS(nNOTA,nNIA,Y728,nCUENTA,1,nASIG,"Análisis"),"")))</f>
        <v/>
      </c>
      <c r="AA728" t="str">
        <f>IF(Y728="","",IF(Y728="[FÓRMULA MANUAL]","",IFERROR(AVERAGEIFS(nNOTA,nNIA,Y728,nCUENTA,1,nASIG,"Orquesta/Banda/Conjunto"),"")))</f>
        <v/>
      </c>
      <c r="AB728" t="str">
        <f>IF(Y728="","",IF(Y728="[FÓRMULA MANUAL]","",IFERROR(AVERAGEIFS(nNOTA,nNIA,Y728,nCUENTA,1,nASIG,"Música de Cámara"),"")))</f>
        <v/>
      </c>
      <c r="AC728" t="str">
        <f>IF(Y728="","",IF(Y728="[FÓRMULA MANUAL]","",IFERROR(SUMPRODUCT((nNIA=Y728)*(nCUENTA=1)*(COUNTIF(CONFIG_ASIGNATURAS!$B$7:$B$27,nASIG)&gt;0)*(nNOTA))/SUMPRODUCT((nNIA=Y728)*(nCUENTA=1)*(COUNTIF(CONFIG_ASIGNATURAS!$B$7:$B$27,nASIG)&gt;0)*1),"")))</f>
        <v/>
      </c>
      <c r="AF728" t="str">
        <f>IF(AE728="","",IF(AE728="[FÓRMULA MANUAL]","",IFERROR(AVERAGEIFS(nNOTA,nNIA,AE728,nCUENTA,1,nASIG,"Análisis"),"")))</f>
        <v/>
      </c>
      <c r="AG728" t="str">
        <f>IF(AE728="","",IF(AE728="[FÓRMULA MANUAL]","",IFERROR(AVERAGEIFS(nNOTA,nNIA,AE728,nCUENTA,1,nASIG,"Orquesta/Banda/Conjunto"),"")))</f>
        <v/>
      </c>
      <c r="AH728" t="str">
        <f>IF(AE728="","",IF(AE728="[FÓRMULA MANUAL]","",IFERROR(AVERAGEIFS(nNOTA,nNIA,AE728,nCUENTA,1,nASIG,"Música de Cámara"),"")))</f>
        <v/>
      </c>
      <c r="AI728" t="str">
        <f>IF(AE728="","",IF(AE728="[FÓRMULA MANUAL]","",IFERROR(SUMPRODUCT((nNIA=AE728)*(nCUENTA=1)*(COUNTIF(CONFIG_ASIGNATURAS!$B$7:$B$27,nASIG)&gt;0)*(nNOTA))/SUMPRODUCT((nNIA=AE728)*(nCUENTA=1)*(COUNTIF(CONFIG_ASIGNATURAS!$B$7:$B$27,nASIG)&gt;0)*1),"")))</f>
        <v/>
      </c>
    </row>
    <row r="729" spans="2:35" x14ac:dyDescent="0.2">
      <c r="B729" t="str">
        <f>IF(A729="","",IF(A729="[FÓRMULA MANUAL]","",IFERROR(AVERAGEIFS(nNOTA,nNIA,A729,nCUENTA,1,nASIG,"Lenguaje Musical"),"")))</f>
        <v/>
      </c>
      <c r="C729" t="str">
        <f>IF(A729="","",IF(A729="[FÓRMULA MANUAL]","",IFERROR(AVERAGEIFS(nNOTA,nNIA,A729,nCUENTA,1,nASIG,"Orquesta/Banda/Conjunto"),"")))</f>
        <v/>
      </c>
      <c r="D729" t="str">
        <f>IF(A729="","",IF(A729="[FÓRMULA MANUAL]","",IFERROR(AVERAGEIFS(nNOTA,nNIA,A729,nCUENTA,1,nASIG,"Conjunto"),"")))</f>
        <v/>
      </c>
      <c r="E729" t="str">
        <f>IF(A729="","",IF(A729="[FÓRMULA MANUAL]","",IFERROR(SUMPRODUCT((nNIA=A729)*(nCUENTA=1)*(COUNTIF(CONFIG_ASIGNATURAS!$B$7:$B$27,nASIG)&gt;0)*(nNOTA))/SUMPRODUCT((nNIA=A729)*(nCUENTA=1)*(COUNTIF(CONFIG_ASIGNATURAS!$B$7:$B$27,nASIG)&gt;0)*1),"")))</f>
        <v/>
      </c>
      <c r="H729" t="str">
        <f>IF(G729="","",IF(G729="[FÓRMULA MANUAL]","",IFERROR(AVERAGEIFS(nNOTA,nNIA,G729,nCUENTA,1,nASIG,"Lenguaje Musical"),"")))</f>
        <v/>
      </c>
      <c r="I729" t="str">
        <f>IF(G729="","",IF(G729="[FÓRMULA MANUAL]","",IFERROR(AVERAGEIFS(nNOTA,nNIA,G729,nCUENTA,1,nASIG,"Orquesta/Banda/Conjunto"),"")))</f>
        <v/>
      </c>
      <c r="J729" t="str">
        <f>IF(G729="","",IF(G729="[FÓRMULA MANUAL]","",IFERROR(AVERAGEIFS(nNOTA,nNIA,G729,nCUENTA,1,nASIG,"Conjunto"),"")))</f>
        <v/>
      </c>
      <c r="K729" t="str">
        <f>IF(G729="","",IF(G729="[FÓRMULA MANUAL]","",IFERROR(SUMPRODUCT((nNIA=G729)*(nCUENTA=1)*(COUNTIF(CONFIG_ASIGNATURAS!$B$7:$B$27,nASIG)&gt;0)*(nNOTA))/SUMPRODUCT((nNIA=G729)*(nCUENTA=1)*(COUNTIF(CONFIG_ASIGNATURAS!$B$7:$B$27,nASIG)&gt;0)*1),"")))</f>
        <v/>
      </c>
      <c r="N729" t="str">
        <f>IF(M729="","",IF(M729="[FÓRMULA MANUAL]","",IFERROR(AVERAGEIFS(nNOTA,nNIA,M729,nCUENTA,1,nASIG,"Armonía"),"")))</f>
        <v/>
      </c>
      <c r="O729" t="str">
        <f>IF(M729="","",IF(M729="[FÓRMULA MANUAL]","",IFERROR(AVERAGEIFS(nNOTA,nNIA,M729,nCUENTA,1,nASIG,"Orquesta/Banda/Conjunto"),"")))</f>
        <v/>
      </c>
      <c r="P729" t="str">
        <f>IF(M729="","",IF(M729="[FÓRMULA MANUAL]","",IFERROR(AVERAGEIFS(nNOTA,nNIA,M729,nCUENTA,1,nASIG,"Música de Cámara"),"")))</f>
        <v/>
      </c>
      <c r="Q729" t="str">
        <f>IF(M729="","",IF(M729="[FÓRMULA MANUAL]","",IFERROR(SUMPRODUCT((nNIA=M729)*(nCUENTA=1)*(COUNTIF(CONFIG_ASIGNATURAS!$B$7:$B$27,nASIG)&gt;0)*(nNOTA))/SUMPRODUCT((nNIA=M729)*(nCUENTA=1)*(COUNTIF(CONFIG_ASIGNATURAS!$B$7:$B$27,nASIG)&gt;0)*1),"")))</f>
        <v/>
      </c>
      <c r="T729" t="str">
        <f>IF(S729="","",IF(S729="[FÓRMULA MANUAL]","",IFERROR(AVERAGEIFS(nNOTA,nNIA,S729,nCUENTA,1,nASIG,"Armonía"),"")))</f>
        <v/>
      </c>
      <c r="U729" t="str">
        <f>IF(S729="","",IF(S729="[FÓRMULA MANUAL]","",IFERROR(AVERAGEIFS(nNOTA,nNIA,S729,nCUENTA,1,nASIG,"Orquesta/Banda/Conjunto"),"")))</f>
        <v/>
      </c>
      <c r="V729" t="str">
        <f>IF(S729="","",IF(S729="[FÓRMULA MANUAL]","",IFERROR(AVERAGEIFS(nNOTA,nNIA,S729,nCUENTA,1,nASIG,"Música de Cámara"),"")))</f>
        <v/>
      </c>
      <c r="W729" t="str">
        <f>IF(S729="","",IF(S729="[FÓRMULA MANUAL]","",IFERROR(SUMPRODUCT((nNIA=S729)*(nCUENTA=1)*(COUNTIF(CONFIG_ASIGNATURAS!$B$7:$B$27,nASIG)&gt;0)*(nNOTA))/SUMPRODUCT((nNIA=S729)*(nCUENTA=1)*(COUNTIF(CONFIG_ASIGNATURAS!$B$7:$B$27,nASIG)&gt;0)*1),"")))</f>
        <v/>
      </c>
      <c r="Z729" t="str">
        <f>IF(Y729="","",IF(Y729="[FÓRMULA MANUAL]","",IFERROR(AVERAGEIFS(nNOTA,nNIA,Y729,nCUENTA,1,nASIG,"Análisis"),"")))</f>
        <v/>
      </c>
      <c r="AA729" t="str">
        <f>IF(Y729="","",IF(Y729="[FÓRMULA MANUAL]","",IFERROR(AVERAGEIFS(nNOTA,nNIA,Y729,nCUENTA,1,nASIG,"Orquesta/Banda/Conjunto"),"")))</f>
        <v/>
      </c>
      <c r="AB729" t="str">
        <f>IF(Y729="","",IF(Y729="[FÓRMULA MANUAL]","",IFERROR(AVERAGEIFS(nNOTA,nNIA,Y729,nCUENTA,1,nASIG,"Música de Cámara"),"")))</f>
        <v/>
      </c>
      <c r="AC729" t="str">
        <f>IF(Y729="","",IF(Y729="[FÓRMULA MANUAL]","",IFERROR(SUMPRODUCT((nNIA=Y729)*(nCUENTA=1)*(COUNTIF(CONFIG_ASIGNATURAS!$B$7:$B$27,nASIG)&gt;0)*(nNOTA))/SUMPRODUCT((nNIA=Y729)*(nCUENTA=1)*(COUNTIF(CONFIG_ASIGNATURAS!$B$7:$B$27,nASIG)&gt;0)*1),"")))</f>
        <v/>
      </c>
      <c r="AF729" t="str">
        <f>IF(AE729="","",IF(AE729="[FÓRMULA MANUAL]","",IFERROR(AVERAGEIFS(nNOTA,nNIA,AE729,nCUENTA,1,nASIG,"Análisis"),"")))</f>
        <v/>
      </c>
      <c r="AG729" t="str">
        <f>IF(AE729="","",IF(AE729="[FÓRMULA MANUAL]","",IFERROR(AVERAGEIFS(nNOTA,nNIA,AE729,nCUENTA,1,nASIG,"Orquesta/Banda/Conjunto"),"")))</f>
        <v/>
      </c>
      <c r="AH729" t="str">
        <f>IF(AE729="","",IF(AE729="[FÓRMULA MANUAL]","",IFERROR(AVERAGEIFS(nNOTA,nNIA,AE729,nCUENTA,1,nASIG,"Música de Cámara"),"")))</f>
        <v/>
      </c>
      <c r="AI729" t="str">
        <f>IF(AE729="","",IF(AE729="[FÓRMULA MANUAL]","",IFERROR(SUMPRODUCT((nNIA=AE729)*(nCUENTA=1)*(COUNTIF(CONFIG_ASIGNATURAS!$B$7:$B$27,nASIG)&gt;0)*(nNOTA))/SUMPRODUCT((nNIA=AE729)*(nCUENTA=1)*(COUNTIF(CONFIG_ASIGNATURAS!$B$7:$B$27,nASIG)&gt;0)*1),"")))</f>
        <v/>
      </c>
    </row>
    <row r="730" spans="2:35" x14ac:dyDescent="0.2">
      <c r="B730" t="str">
        <f>IF(A730="","",IF(A730="[FÓRMULA MANUAL]","",IFERROR(AVERAGEIFS(nNOTA,nNIA,A730,nCUENTA,1,nASIG,"Lenguaje Musical"),"")))</f>
        <v/>
      </c>
      <c r="C730" t="str">
        <f>IF(A730="","",IF(A730="[FÓRMULA MANUAL]","",IFERROR(AVERAGEIFS(nNOTA,nNIA,A730,nCUENTA,1,nASIG,"Orquesta/Banda/Conjunto"),"")))</f>
        <v/>
      </c>
      <c r="D730" t="str">
        <f>IF(A730="","",IF(A730="[FÓRMULA MANUAL]","",IFERROR(AVERAGEIFS(nNOTA,nNIA,A730,nCUENTA,1,nASIG,"Conjunto"),"")))</f>
        <v/>
      </c>
      <c r="E730" t="str">
        <f>IF(A730="","",IF(A730="[FÓRMULA MANUAL]","",IFERROR(SUMPRODUCT((nNIA=A730)*(nCUENTA=1)*(COUNTIF(CONFIG_ASIGNATURAS!$B$7:$B$27,nASIG)&gt;0)*(nNOTA))/SUMPRODUCT((nNIA=A730)*(nCUENTA=1)*(COUNTIF(CONFIG_ASIGNATURAS!$B$7:$B$27,nASIG)&gt;0)*1),"")))</f>
        <v/>
      </c>
      <c r="H730" t="str">
        <f>IF(G730="","",IF(G730="[FÓRMULA MANUAL]","",IFERROR(AVERAGEIFS(nNOTA,nNIA,G730,nCUENTA,1,nASIG,"Lenguaje Musical"),"")))</f>
        <v/>
      </c>
      <c r="I730" t="str">
        <f>IF(G730="","",IF(G730="[FÓRMULA MANUAL]","",IFERROR(AVERAGEIFS(nNOTA,nNIA,G730,nCUENTA,1,nASIG,"Orquesta/Banda/Conjunto"),"")))</f>
        <v/>
      </c>
      <c r="J730" t="str">
        <f>IF(G730="","",IF(G730="[FÓRMULA MANUAL]","",IFERROR(AVERAGEIFS(nNOTA,nNIA,G730,nCUENTA,1,nASIG,"Conjunto"),"")))</f>
        <v/>
      </c>
      <c r="K730" t="str">
        <f>IF(G730="","",IF(G730="[FÓRMULA MANUAL]","",IFERROR(SUMPRODUCT((nNIA=G730)*(nCUENTA=1)*(COUNTIF(CONFIG_ASIGNATURAS!$B$7:$B$27,nASIG)&gt;0)*(nNOTA))/SUMPRODUCT((nNIA=G730)*(nCUENTA=1)*(COUNTIF(CONFIG_ASIGNATURAS!$B$7:$B$27,nASIG)&gt;0)*1),"")))</f>
        <v/>
      </c>
      <c r="N730" t="str">
        <f>IF(M730="","",IF(M730="[FÓRMULA MANUAL]","",IFERROR(AVERAGEIFS(nNOTA,nNIA,M730,nCUENTA,1,nASIG,"Armonía"),"")))</f>
        <v/>
      </c>
      <c r="O730" t="str">
        <f>IF(M730="","",IF(M730="[FÓRMULA MANUAL]","",IFERROR(AVERAGEIFS(nNOTA,nNIA,M730,nCUENTA,1,nASIG,"Orquesta/Banda/Conjunto"),"")))</f>
        <v/>
      </c>
      <c r="P730" t="str">
        <f>IF(M730="","",IF(M730="[FÓRMULA MANUAL]","",IFERROR(AVERAGEIFS(nNOTA,nNIA,M730,nCUENTA,1,nASIG,"Música de Cámara"),"")))</f>
        <v/>
      </c>
      <c r="Q730" t="str">
        <f>IF(M730="","",IF(M730="[FÓRMULA MANUAL]","",IFERROR(SUMPRODUCT((nNIA=M730)*(nCUENTA=1)*(COUNTIF(CONFIG_ASIGNATURAS!$B$7:$B$27,nASIG)&gt;0)*(nNOTA))/SUMPRODUCT((nNIA=M730)*(nCUENTA=1)*(COUNTIF(CONFIG_ASIGNATURAS!$B$7:$B$27,nASIG)&gt;0)*1),"")))</f>
        <v/>
      </c>
      <c r="T730" t="str">
        <f>IF(S730="","",IF(S730="[FÓRMULA MANUAL]","",IFERROR(AVERAGEIFS(nNOTA,nNIA,S730,nCUENTA,1,nASIG,"Armonía"),"")))</f>
        <v/>
      </c>
      <c r="U730" t="str">
        <f>IF(S730="","",IF(S730="[FÓRMULA MANUAL]","",IFERROR(AVERAGEIFS(nNOTA,nNIA,S730,nCUENTA,1,nASIG,"Orquesta/Banda/Conjunto"),"")))</f>
        <v/>
      </c>
      <c r="V730" t="str">
        <f>IF(S730="","",IF(S730="[FÓRMULA MANUAL]","",IFERROR(AVERAGEIFS(nNOTA,nNIA,S730,nCUENTA,1,nASIG,"Música de Cámara"),"")))</f>
        <v/>
      </c>
      <c r="W730" t="str">
        <f>IF(S730="","",IF(S730="[FÓRMULA MANUAL]","",IFERROR(SUMPRODUCT((nNIA=S730)*(nCUENTA=1)*(COUNTIF(CONFIG_ASIGNATURAS!$B$7:$B$27,nASIG)&gt;0)*(nNOTA))/SUMPRODUCT((nNIA=S730)*(nCUENTA=1)*(COUNTIF(CONFIG_ASIGNATURAS!$B$7:$B$27,nASIG)&gt;0)*1),"")))</f>
        <v/>
      </c>
      <c r="Z730" t="str">
        <f>IF(Y730="","",IF(Y730="[FÓRMULA MANUAL]","",IFERROR(AVERAGEIFS(nNOTA,nNIA,Y730,nCUENTA,1,nASIG,"Análisis"),"")))</f>
        <v/>
      </c>
      <c r="AA730" t="str">
        <f>IF(Y730="","",IF(Y730="[FÓRMULA MANUAL]","",IFERROR(AVERAGEIFS(nNOTA,nNIA,Y730,nCUENTA,1,nASIG,"Orquesta/Banda/Conjunto"),"")))</f>
        <v/>
      </c>
      <c r="AB730" t="str">
        <f>IF(Y730="","",IF(Y730="[FÓRMULA MANUAL]","",IFERROR(AVERAGEIFS(nNOTA,nNIA,Y730,nCUENTA,1,nASIG,"Música de Cámara"),"")))</f>
        <v/>
      </c>
      <c r="AC730" t="str">
        <f>IF(Y730="","",IF(Y730="[FÓRMULA MANUAL]","",IFERROR(SUMPRODUCT((nNIA=Y730)*(nCUENTA=1)*(COUNTIF(CONFIG_ASIGNATURAS!$B$7:$B$27,nASIG)&gt;0)*(nNOTA))/SUMPRODUCT((nNIA=Y730)*(nCUENTA=1)*(COUNTIF(CONFIG_ASIGNATURAS!$B$7:$B$27,nASIG)&gt;0)*1),"")))</f>
        <v/>
      </c>
      <c r="AF730" t="str">
        <f>IF(AE730="","",IF(AE730="[FÓRMULA MANUAL]","",IFERROR(AVERAGEIFS(nNOTA,nNIA,AE730,nCUENTA,1,nASIG,"Análisis"),"")))</f>
        <v/>
      </c>
      <c r="AG730" t="str">
        <f>IF(AE730="","",IF(AE730="[FÓRMULA MANUAL]","",IFERROR(AVERAGEIFS(nNOTA,nNIA,AE730,nCUENTA,1,nASIG,"Orquesta/Banda/Conjunto"),"")))</f>
        <v/>
      </c>
      <c r="AH730" t="str">
        <f>IF(AE730="","",IF(AE730="[FÓRMULA MANUAL]","",IFERROR(AVERAGEIFS(nNOTA,nNIA,AE730,nCUENTA,1,nASIG,"Música de Cámara"),"")))</f>
        <v/>
      </c>
      <c r="AI730" t="str">
        <f>IF(AE730="","",IF(AE730="[FÓRMULA MANUAL]","",IFERROR(SUMPRODUCT((nNIA=AE730)*(nCUENTA=1)*(COUNTIF(CONFIG_ASIGNATURAS!$B$7:$B$27,nASIG)&gt;0)*(nNOTA))/SUMPRODUCT((nNIA=AE730)*(nCUENTA=1)*(COUNTIF(CONFIG_ASIGNATURAS!$B$7:$B$27,nASIG)&gt;0)*1),"")))</f>
        <v/>
      </c>
    </row>
    <row r="731" spans="2:35" x14ac:dyDescent="0.2">
      <c r="B731" t="str">
        <f>IF(A731="","",IF(A731="[FÓRMULA MANUAL]","",IFERROR(AVERAGEIFS(nNOTA,nNIA,A731,nCUENTA,1,nASIG,"Lenguaje Musical"),"")))</f>
        <v/>
      </c>
      <c r="C731" t="str">
        <f>IF(A731="","",IF(A731="[FÓRMULA MANUAL]","",IFERROR(AVERAGEIFS(nNOTA,nNIA,A731,nCUENTA,1,nASIG,"Orquesta/Banda/Conjunto"),"")))</f>
        <v/>
      </c>
      <c r="D731" t="str">
        <f>IF(A731="","",IF(A731="[FÓRMULA MANUAL]","",IFERROR(AVERAGEIFS(nNOTA,nNIA,A731,nCUENTA,1,nASIG,"Conjunto"),"")))</f>
        <v/>
      </c>
      <c r="E731" t="str">
        <f>IF(A731="","",IF(A731="[FÓRMULA MANUAL]","",IFERROR(SUMPRODUCT((nNIA=A731)*(nCUENTA=1)*(COUNTIF(CONFIG_ASIGNATURAS!$B$7:$B$27,nASIG)&gt;0)*(nNOTA))/SUMPRODUCT((nNIA=A731)*(nCUENTA=1)*(COUNTIF(CONFIG_ASIGNATURAS!$B$7:$B$27,nASIG)&gt;0)*1),"")))</f>
        <v/>
      </c>
      <c r="H731" t="str">
        <f>IF(G731="","",IF(G731="[FÓRMULA MANUAL]","",IFERROR(AVERAGEIFS(nNOTA,nNIA,G731,nCUENTA,1,nASIG,"Lenguaje Musical"),"")))</f>
        <v/>
      </c>
      <c r="I731" t="str">
        <f>IF(G731="","",IF(G731="[FÓRMULA MANUAL]","",IFERROR(AVERAGEIFS(nNOTA,nNIA,G731,nCUENTA,1,nASIG,"Orquesta/Banda/Conjunto"),"")))</f>
        <v/>
      </c>
      <c r="J731" t="str">
        <f>IF(G731="","",IF(G731="[FÓRMULA MANUAL]","",IFERROR(AVERAGEIFS(nNOTA,nNIA,G731,nCUENTA,1,nASIG,"Conjunto"),"")))</f>
        <v/>
      </c>
      <c r="K731" t="str">
        <f>IF(G731="","",IF(G731="[FÓRMULA MANUAL]","",IFERROR(SUMPRODUCT((nNIA=G731)*(nCUENTA=1)*(COUNTIF(CONFIG_ASIGNATURAS!$B$7:$B$27,nASIG)&gt;0)*(nNOTA))/SUMPRODUCT((nNIA=G731)*(nCUENTA=1)*(COUNTIF(CONFIG_ASIGNATURAS!$B$7:$B$27,nASIG)&gt;0)*1),"")))</f>
        <v/>
      </c>
      <c r="N731" t="str">
        <f>IF(M731="","",IF(M731="[FÓRMULA MANUAL]","",IFERROR(AVERAGEIFS(nNOTA,nNIA,M731,nCUENTA,1,nASIG,"Armonía"),"")))</f>
        <v/>
      </c>
      <c r="O731" t="str">
        <f>IF(M731="","",IF(M731="[FÓRMULA MANUAL]","",IFERROR(AVERAGEIFS(nNOTA,nNIA,M731,nCUENTA,1,nASIG,"Orquesta/Banda/Conjunto"),"")))</f>
        <v/>
      </c>
      <c r="P731" t="str">
        <f>IF(M731="","",IF(M731="[FÓRMULA MANUAL]","",IFERROR(AVERAGEIFS(nNOTA,nNIA,M731,nCUENTA,1,nASIG,"Música de Cámara"),"")))</f>
        <v/>
      </c>
      <c r="Q731" t="str">
        <f>IF(M731="","",IF(M731="[FÓRMULA MANUAL]","",IFERROR(SUMPRODUCT((nNIA=M731)*(nCUENTA=1)*(COUNTIF(CONFIG_ASIGNATURAS!$B$7:$B$27,nASIG)&gt;0)*(nNOTA))/SUMPRODUCT((nNIA=M731)*(nCUENTA=1)*(COUNTIF(CONFIG_ASIGNATURAS!$B$7:$B$27,nASIG)&gt;0)*1),"")))</f>
        <v/>
      </c>
      <c r="T731" t="str">
        <f>IF(S731="","",IF(S731="[FÓRMULA MANUAL]","",IFERROR(AVERAGEIFS(nNOTA,nNIA,S731,nCUENTA,1,nASIG,"Armonía"),"")))</f>
        <v/>
      </c>
      <c r="U731" t="str">
        <f>IF(S731="","",IF(S731="[FÓRMULA MANUAL]","",IFERROR(AVERAGEIFS(nNOTA,nNIA,S731,nCUENTA,1,nASIG,"Orquesta/Banda/Conjunto"),"")))</f>
        <v/>
      </c>
      <c r="V731" t="str">
        <f>IF(S731="","",IF(S731="[FÓRMULA MANUAL]","",IFERROR(AVERAGEIFS(nNOTA,nNIA,S731,nCUENTA,1,nASIG,"Música de Cámara"),"")))</f>
        <v/>
      </c>
      <c r="W731" t="str">
        <f>IF(S731="","",IF(S731="[FÓRMULA MANUAL]","",IFERROR(SUMPRODUCT((nNIA=S731)*(nCUENTA=1)*(COUNTIF(CONFIG_ASIGNATURAS!$B$7:$B$27,nASIG)&gt;0)*(nNOTA))/SUMPRODUCT((nNIA=S731)*(nCUENTA=1)*(COUNTIF(CONFIG_ASIGNATURAS!$B$7:$B$27,nASIG)&gt;0)*1),"")))</f>
        <v/>
      </c>
      <c r="Z731" t="str">
        <f>IF(Y731="","",IF(Y731="[FÓRMULA MANUAL]","",IFERROR(AVERAGEIFS(nNOTA,nNIA,Y731,nCUENTA,1,nASIG,"Análisis"),"")))</f>
        <v/>
      </c>
      <c r="AA731" t="str">
        <f>IF(Y731="","",IF(Y731="[FÓRMULA MANUAL]","",IFERROR(AVERAGEIFS(nNOTA,nNIA,Y731,nCUENTA,1,nASIG,"Orquesta/Banda/Conjunto"),"")))</f>
        <v/>
      </c>
      <c r="AB731" t="str">
        <f>IF(Y731="","",IF(Y731="[FÓRMULA MANUAL]","",IFERROR(AVERAGEIFS(nNOTA,nNIA,Y731,nCUENTA,1,nASIG,"Música de Cámara"),"")))</f>
        <v/>
      </c>
      <c r="AC731" t="str">
        <f>IF(Y731="","",IF(Y731="[FÓRMULA MANUAL]","",IFERROR(SUMPRODUCT((nNIA=Y731)*(nCUENTA=1)*(COUNTIF(CONFIG_ASIGNATURAS!$B$7:$B$27,nASIG)&gt;0)*(nNOTA))/SUMPRODUCT((nNIA=Y731)*(nCUENTA=1)*(COUNTIF(CONFIG_ASIGNATURAS!$B$7:$B$27,nASIG)&gt;0)*1),"")))</f>
        <v/>
      </c>
      <c r="AF731" t="str">
        <f>IF(AE731="","",IF(AE731="[FÓRMULA MANUAL]","",IFERROR(AVERAGEIFS(nNOTA,nNIA,AE731,nCUENTA,1,nASIG,"Análisis"),"")))</f>
        <v/>
      </c>
      <c r="AG731" t="str">
        <f>IF(AE731="","",IF(AE731="[FÓRMULA MANUAL]","",IFERROR(AVERAGEIFS(nNOTA,nNIA,AE731,nCUENTA,1,nASIG,"Orquesta/Banda/Conjunto"),"")))</f>
        <v/>
      </c>
      <c r="AH731" t="str">
        <f>IF(AE731="","",IF(AE731="[FÓRMULA MANUAL]","",IFERROR(AVERAGEIFS(nNOTA,nNIA,AE731,nCUENTA,1,nASIG,"Música de Cámara"),"")))</f>
        <v/>
      </c>
      <c r="AI731" t="str">
        <f>IF(AE731="","",IF(AE731="[FÓRMULA MANUAL]","",IFERROR(SUMPRODUCT((nNIA=AE731)*(nCUENTA=1)*(COUNTIF(CONFIG_ASIGNATURAS!$B$7:$B$27,nASIG)&gt;0)*(nNOTA))/SUMPRODUCT((nNIA=AE731)*(nCUENTA=1)*(COUNTIF(CONFIG_ASIGNATURAS!$B$7:$B$27,nASIG)&gt;0)*1),"")))</f>
        <v/>
      </c>
    </row>
    <row r="732" spans="2:35" x14ac:dyDescent="0.2">
      <c r="B732" t="str">
        <f>IF(A732="","",IF(A732="[FÓRMULA MANUAL]","",IFERROR(AVERAGEIFS(nNOTA,nNIA,A732,nCUENTA,1,nASIG,"Lenguaje Musical"),"")))</f>
        <v/>
      </c>
      <c r="C732" t="str">
        <f>IF(A732="","",IF(A732="[FÓRMULA MANUAL]","",IFERROR(AVERAGEIFS(nNOTA,nNIA,A732,nCUENTA,1,nASIG,"Orquesta/Banda/Conjunto"),"")))</f>
        <v/>
      </c>
      <c r="D732" t="str">
        <f>IF(A732="","",IF(A732="[FÓRMULA MANUAL]","",IFERROR(AVERAGEIFS(nNOTA,nNIA,A732,nCUENTA,1,nASIG,"Conjunto"),"")))</f>
        <v/>
      </c>
      <c r="E732" t="str">
        <f>IF(A732="","",IF(A732="[FÓRMULA MANUAL]","",IFERROR(SUMPRODUCT((nNIA=A732)*(nCUENTA=1)*(COUNTIF(CONFIG_ASIGNATURAS!$B$7:$B$27,nASIG)&gt;0)*(nNOTA))/SUMPRODUCT((nNIA=A732)*(nCUENTA=1)*(COUNTIF(CONFIG_ASIGNATURAS!$B$7:$B$27,nASIG)&gt;0)*1),"")))</f>
        <v/>
      </c>
      <c r="H732" t="str">
        <f>IF(G732="","",IF(G732="[FÓRMULA MANUAL]","",IFERROR(AVERAGEIFS(nNOTA,nNIA,G732,nCUENTA,1,nASIG,"Lenguaje Musical"),"")))</f>
        <v/>
      </c>
      <c r="I732" t="str">
        <f>IF(G732="","",IF(G732="[FÓRMULA MANUAL]","",IFERROR(AVERAGEIFS(nNOTA,nNIA,G732,nCUENTA,1,nASIG,"Orquesta/Banda/Conjunto"),"")))</f>
        <v/>
      </c>
      <c r="J732" t="str">
        <f>IF(G732="","",IF(G732="[FÓRMULA MANUAL]","",IFERROR(AVERAGEIFS(nNOTA,nNIA,G732,nCUENTA,1,nASIG,"Conjunto"),"")))</f>
        <v/>
      </c>
      <c r="K732" t="str">
        <f>IF(G732="","",IF(G732="[FÓRMULA MANUAL]","",IFERROR(SUMPRODUCT((nNIA=G732)*(nCUENTA=1)*(COUNTIF(CONFIG_ASIGNATURAS!$B$7:$B$27,nASIG)&gt;0)*(nNOTA))/SUMPRODUCT((nNIA=G732)*(nCUENTA=1)*(COUNTIF(CONFIG_ASIGNATURAS!$B$7:$B$27,nASIG)&gt;0)*1),"")))</f>
        <v/>
      </c>
      <c r="N732" t="str">
        <f>IF(M732="","",IF(M732="[FÓRMULA MANUAL]","",IFERROR(AVERAGEIFS(nNOTA,nNIA,M732,nCUENTA,1,nASIG,"Armonía"),"")))</f>
        <v/>
      </c>
      <c r="O732" t="str">
        <f>IF(M732="","",IF(M732="[FÓRMULA MANUAL]","",IFERROR(AVERAGEIFS(nNOTA,nNIA,M732,nCUENTA,1,nASIG,"Orquesta/Banda/Conjunto"),"")))</f>
        <v/>
      </c>
      <c r="P732" t="str">
        <f>IF(M732="","",IF(M732="[FÓRMULA MANUAL]","",IFERROR(AVERAGEIFS(nNOTA,nNIA,M732,nCUENTA,1,nASIG,"Música de Cámara"),"")))</f>
        <v/>
      </c>
      <c r="Q732" t="str">
        <f>IF(M732="","",IF(M732="[FÓRMULA MANUAL]","",IFERROR(SUMPRODUCT((nNIA=M732)*(nCUENTA=1)*(COUNTIF(CONFIG_ASIGNATURAS!$B$7:$B$27,nASIG)&gt;0)*(nNOTA))/SUMPRODUCT((nNIA=M732)*(nCUENTA=1)*(COUNTIF(CONFIG_ASIGNATURAS!$B$7:$B$27,nASIG)&gt;0)*1),"")))</f>
        <v/>
      </c>
      <c r="T732" t="str">
        <f>IF(S732="","",IF(S732="[FÓRMULA MANUAL]","",IFERROR(AVERAGEIFS(nNOTA,nNIA,S732,nCUENTA,1,nASIG,"Armonía"),"")))</f>
        <v/>
      </c>
      <c r="U732" t="str">
        <f>IF(S732="","",IF(S732="[FÓRMULA MANUAL]","",IFERROR(AVERAGEIFS(nNOTA,nNIA,S732,nCUENTA,1,nASIG,"Orquesta/Banda/Conjunto"),"")))</f>
        <v/>
      </c>
      <c r="V732" t="str">
        <f>IF(S732="","",IF(S732="[FÓRMULA MANUAL]","",IFERROR(AVERAGEIFS(nNOTA,nNIA,S732,nCUENTA,1,nASIG,"Música de Cámara"),"")))</f>
        <v/>
      </c>
      <c r="W732" t="str">
        <f>IF(S732="","",IF(S732="[FÓRMULA MANUAL]","",IFERROR(SUMPRODUCT((nNIA=S732)*(nCUENTA=1)*(COUNTIF(CONFIG_ASIGNATURAS!$B$7:$B$27,nASIG)&gt;0)*(nNOTA))/SUMPRODUCT((nNIA=S732)*(nCUENTA=1)*(COUNTIF(CONFIG_ASIGNATURAS!$B$7:$B$27,nASIG)&gt;0)*1),"")))</f>
        <v/>
      </c>
      <c r="Z732" t="str">
        <f>IF(Y732="","",IF(Y732="[FÓRMULA MANUAL]","",IFERROR(AVERAGEIFS(nNOTA,nNIA,Y732,nCUENTA,1,nASIG,"Análisis"),"")))</f>
        <v/>
      </c>
      <c r="AA732" t="str">
        <f>IF(Y732="","",IF(Y732="[FÓRMULA MANUAL]","",IFERROR(AVERAGEIFS(nNOTA,nNIA,Y732,nCUENTA,1,nASIG,"Orquesta/Banda/Conjunto"),"")))</f>
        <v/>
      </c>
      <c r="AB732" t="str">
        <f>IF(Y732="","",IF(Y732="[FÓRMULA MANUAL]","",IFERROR(AVERAGEIFS(nNOTA,nNIA,Y732,nCUENTA,1,nASIG,"Música de Cámara"),"")))</f>
        <v/>
      </c>
      <c r="AC732" t="str">
        <f>IF(Y732="","",IF(Y732="[FÓRMULA MANUAL]","",IFERROR(SUMPRODUCT((nNIA=Y732)*(nCUENTA=1)*(COUNTIF(CONFIG_ASIGNATURAS!$B$7:$B$27,nASIG)&gt;0)*(nNOTA))/SUMPRODUCT((nNIA=Y732)*(nCUENTA=1)*(COUNTIF(CONFIG_ASIGNATURAS!$B$7:$B$27,nASIG)&gt;0)*1),"")))</f>
        <v/>
      </c>
      <c r="AF732" t="str">
        <f>IF(AE732="","",IF(AE732="[FÓRMULA MANUAL]","",IFERROR(AVERAGEIFS(nNOTA,nNIA,AE732,nCUENTA,1,nASIG,"Análisis"),"")))</f>
        <v/>
      </c>
      <c r="AG732" t="str">
        <f>IF(AE732="","",IF(AE732="[FÓRMULA MANUAL]","",IFERROR(AVERAGEIFS(nNOTA,nNIA,AE732,nCUENTA,1,nASIG,"Orquesta/Banda/Conjunto"),"")))</f>
        <v/>
      </c>
      <c r="AH732" t="str">
        <f>IF(AE732="","",IF(AE732="[FÓRMULA MANUAL]","",IFERROR(AVERAGEIFS(nNOTA,nNIA,AE732,nCUENTA,1,nASIG,"Música de Cámara"),"")))</f>
        <v/>
      </c>
      <c r="AI732" t="str">
        <f>IF(AE732="","",IF(AE732="[FÓRMULA MANUAL]","",IFERROR(SUMPRODUCT((nNIA=AE732)*(nCUENTA=1)*(COUNTIF(CONFIG_ASIGNATURAS!$B$7:$B$27,nASIG)&gt;0)*(nNOTA))/SUMPRODUCT((nNIA=AE732)*(nCUENTA=1)*(COUNTIF(CONFIG_ASIGNATURAS!$B$7:$B$27,nASIG)&gt;0)*1),"")))</f>
        <v/>
      </c>
    </row>
    <row r="733" spans="2:35" x14ac:dyDescent="0.2">
      <c r="B733" t="str">
        <f>IF(A733="","",IF(A733="[FÓRMULA MANUAL]","",IFERROR(AVERAGEIFS(nNOTA,nNIA,A733,nCUENTA,1,nASIG,"Lenguaje Musical"),"")))</f>
        <v/>
      </c>
      <c r="C733" t="str">
        <f>IF(A733="","",IF(A733="[FÓRMULA MANUAL]","",IFERROR(AVERAGEIFS(nNOTA,nNIA,A733,nCUENTA,1,nASIG,"Orquesta/Banda/Conjunto"),"")))</f>
        <v/>
      </c>
      <c r="D733" t="str">
        <f>IF(A733="","",IF(A733="[FÓRMULA MANUAL]","",IFERROR(AVERAGEIFS(nNOTA,nNIA,A733,nCUENTA,1,nASIG,"Conjunto"),"")))</f>
        <v/>
      </c>
      <c r="E733" t="str">
        <f>IF(A733="","",IF(A733="[FÓRMULA MANUAL]","",IFERROR(SUMPRODUCT((nNIA=A733)*(nCUENTA=1)*(COUNTIF(CONFIG_ASIGNATURAS!$B$7:$B$27,nASIG)&gt;0)*(nNOTA))/SUMPRODUCT((nNIA=A733)*(nCUENTA=1)*(COUNTIF(CONFIG_ASIGNATURAS!$B$7:$B$27,nASIG)&gt;0)*1),"")))</f>
        <v/>
      </c>
      <c r="H733" t="str">
        <f>IF(G733="","",IF(G733="[FÓRMULA MANUAL]","",IFERROR(AVERAGEIFS(nNOTA,nNIA,G733,nCUENTA,1,nASIG,"Lenguaje Musical"),"")))</f>
        <v/>
      </c>
      <c r="I733" t="str">
        <f>IF(G733="","",IF(G733="[FÓRMULA MANUAL]","",IFERROR(AVERAGEIFS(nNOTA,nNIA,G733,nCUENTA,1,nASIG,"Orquesta/Banda/Conjunto"),"")))</f>
        <v/>
      </c>
      <c r="J733" t="str">
        <f>IF(G733="","",IF(G733="[FÓRMULA MANUAL]","",IFERROR(AVERAGEIFS(nNOTA,nNIA,G733,nCUENTA,1,nASIG,"Conjunto"),"")))</f>
        <v/>
      </c>
      <c r="K733" t="str">
        <f>IF(G733="","",IF(G733="[FÓRMULA MANUAL]","",IFERROR(SUMPRODUCT((nNIA=G733)*(nCUENTA=1)*(COUNTIF(CONFIG_ASIGNATURAS!$B$7:$B$27,nASIG)&gt;0)*(nNOTA))/SUMPRODUCT((nNIA=G733)*(nCUENTA=1)*(COUNTIF(CONFIG_ASIGNATURAS!$B$7:$B$27,nASIG)&gt;0)*1),"")))</f>
        <v/>
      </c>
      <c r="N733" t="str">
        <f>IF(M733="","",IF(M733="[FÓRMULA MANUAL]","",IFERROR(AVERAGEIFS(nNOTA,nNIA,M733,nCUENTA,1,nASIG,"Armonía"),"")))</f>
        <v/>
      </c>
      <c r="O733" t="str">
        <f>IF(M733="","",IF(M733="[FÓRMULA MANUAL]","",IFERROR(AVERAGEIFS(nNOTA,nNIA,M733,nCUENTA,1,nASIG,"Orquesta/Banda/Conjunto"),"")))</f>
        <v/>
      </c>
      <c r="P733" t="str">
        <f>IF(M733="","",IF(M733="[FÓRMULA MANUAL]","",IFERROR(AVERAGEIFS(nNOTA,nNIA,M733,nCUENTA,1,nASIG,"Música de Cámara"),"")))</f>
        <v/>
      </c>
      <c r="Q733" t="str">
        <f>IF(M733="","",IF(M733="[FÓRMULA MANUAL]","",IFERROR(SUMPRODUCT((nNIA=M733)*(nCUENTA=1)*(COUNTIF(CONFIG_ASIGNATURAS!$B$7:$B$27,nASIG)&gt;0)*(nNOTA))/SUMPRODUCT((nNIA=M733)*(nCUENTA=1)*(COUNTIF(CONFIG_ASIGNATURAS!$B$7:$B$27,nASIG)&gt;0)*1),"")))</f>
        <v/>
      </c>
      <c r="T733" t="str">
        <f>IF(S733="","",IF(S733="[FÓRMULA MANUAL]","",IFERROR(AVERAGEIFS(nNOTA,nNIA,S733,nCUENTA,1,nASIG,"Armonía"),"")))</f>
        <v/>
      </c>
      <c r="U733" t="str">
        <f>IF(S733="","",IF(S733="[FÓRMULA MANUAL]","",IFERROR(AVERAGEIFS(nNOTA,nNIA,S733,nCUENTA,1,nASIG,"Orquesta/Banda/Conjunto"),"")))</f>
        <v/>
      </c>
      <c r="V733" t="str">
        <f>IF(S733="","",IF(S733="[FÓRMULA MANUAL]","",IFERROR(AVERAGEIFS(nNOTA,nNIA,S733,nCUENTA,1,nASIG,"Música de Cámara"),"")))</f>
        <v/>
      </c>
      <c r="W733" t="str">
        <f>IF(S733="","",IF(S733="[FÓRMULA MANUAL]","",IFERROR(SUMPRODUCT((nNIA=S733)*(nCUENTA=1)*(COUNTIF(CONFIG_ASIGNATURAS!$B$7:$B$27,nASIG)&gt;0)*(nNOTA))/SUMPRODUCT((nNIA=S733)*(nCUENTA=1)*(COUNTIF(CONFIG_ASIGNATURAS!$B$7:$B$27,nASIG)&gt;0)*1),"")))</f>
        <v/>
      </c>
      <c r="Z733" t="str">
        <f>IF(Y733="","",IF(Y733="[FÓRMULA MANUAL]","",IFERROR(AVERAGEIFS(nNOTA,nNIA,Y733,nCUENTA,1,nASIG,"Análisis"),"")))</f>
        <v/>
      </c>
      <c r="AA733" t="str">
        <f>IF(Y733="","",IF(Y733="[FÓRMULA MANUAL]","",IFERROR(AVERAGEIFS(nNOTA,nNIA,Y733,nCUENTA,1,nASIG,"Orquesta/Banda/Conjunto"),"")))</f>
        <v/>
      </c>
      <c r="AB733" t="str">
        <f>IF(Y733="","",IF(Y733="[FÓRMULA MANUAL]","",IFERROR(AVERAGEIFS(nNOTA,nNIA,Y733,nCUENTA,1,nASIG,"Música de Cámara"),"")))</f>
        <v/>
      </c>
      <c r="AC733" t="str">
        <f>IF(Y733="","",IF(Y733="[FÓRMULA MANUAL]","",IFERROR(SUMPRODUCT((nNIA=Y733)*(nCUENTA=1)*(COUNTIF(CONFIG_ASIGNATURAS!$B$7:$B$27,nASIG)&gt;0)*(nNOTA))/SUMPRODUCT((nNIA=Y733)*(nCUENTA=1)*(COUNTIF(CONFIG_ASIGNATURAS!$B$7:$B$27,nASIG)&gt;0)*1),"")))</f>
        <v/>
      </c>
      <c r="AF733" t="str">
        <f>IF(AE733="","",IF(AE733="[FÓRMULA MANUAL]","",IFERROR(AVERAGEIFS(nNOTA,nNIA,AE733,nCUENTA,1,nASIG,"Análisis"),"")))</f>
        <v/>
      </c>
      <c r="AG733" t="str">
        <f>IF(AE733="","",IF(AE733="[FÓRMULA MANUAL]","",IFERROR(AVERAGEIFS(nNOTA,nNIA,AE733,nCUENTA,1,nASIG,"Orquesta/Banda/Conjunto"),"")))</f>
        <v/>
      </c>
      <c r="AH733" t="str">
        <f>IF(AE733="","",IF(AE733="[FÓRMULA MANUAL]","",IFERROR(AVERAGEIFS(nNOTA,nNIA,AE733,nCUENTA,1,nASIG,"Música de Cámara"),"")))</f>
        <v/>
      </c>
      <c r="AI733" t="str">
        <f>IF(AE733="","",IF(AE733="[FÓRMULA MANUAL]","",IFERROR(SUMPRODUCT((nNIA=AE733)*(nCUENTA=1)*(COUNTIF(CONFIG_ASIGNATURAS!$B$7:$B$27,nASIG)&gt;0)*(nNOTA))/SUMPRODUCT((nNIA=AE733)*(nCUENTA=1)*(COUNTIF(CONFIG_ASIGNATURAS!$B$7:$B$27,nASIG)&gt;0)*1),"")))</f>
        <v/>
      </c>
    </row>
    <row r="734" spans="2:35" x14ac:dyDescent="0.2">
      <c r="B734" t="str">
        <f>IF(A734="","",IF(A734="[FÓRMULA MANUAL]","",IFERROR(AVERAGEIFS(nNOTA,nNIA,A734,nCUENTA,1,nASIG,"Lenguaje Musical"),"")))</f>
        <v/>
      </c>
      <c r="C734" t="str">
        <f>IF(A734="","",IF(A734="[FÓRMULA MANUAL]","",IFERROR(AVERAGEIFS(nNOTA,nNIA,A734,nCUENTA,1,nASIG,"Orquesta/Banda/Conjunto"),"")))</f>
        <v/>
      </c>
      <c r="D734" t="str">
        <f>IF(A734="","",IF(A734="[FÓRMULA MANUAL]","",IFERROR(AVERAGEIFS(nNOTA,nNIA,A734,nCUENTA,1,nASIG,"Conjunto"),"")))</f>
        <v/>
      </c>
      <c r="E734" t="str">
        <f>IF(A734="","",IF(A734="[FÓRMULA MANUAL]","",IFERROR(SUMPRODUCT((nNIA=A734)*(nCUENTA=1)*(COUNTIF(CONFIG_ASIGNATURAS!$B$7:$B$27,nASIG)&gt;0)*(nNOTA))/SUMPRODUCT((nNIA=A734)*(nCUENTA=1)*(COUNTIF(CONFIG_ASIGNATURAS!$B$7:$B$27,nASIG)&gt;0)*1),"")))</f>
        <v/>
      </c>
      <c r="H734" t="str">
        <f>IF(G734="","",IF(G734="[FÓRMULA MANUAL]","",IFERROR(AVERAGEIFS(nNOTA,nNIA,G734,nCUENTA,1,nASIG,"Lenguaje Musical"),"")))</f>
        <v/>
      </c>
      <c r="I734" t="str">
        <f>IF(G734="","",IF(G734="[FÓRMULA MANUAL]","",IFERROR(AVERAGEIFS(nNOTA,nNIA,G734,nCUENTA,1,nASIG,"Orquesta/Banda/Conjunto"),"")))</f>
        <v/>
      </c>
      <c r="J734" t="str">
        <f>IF(G734="","",IF(G734="[FÓRMULA MANUAL]","",IFERROR(AVERAGEIFS(nNOTA,nNIA,G734,nCUENTA,1,nASIG,"Conjunto"),"")))</f>
        <v/>
      </c>
      <c r="K734" t="str">
        <f>IF(G734="","",IF(G734="[FÓRMULA MANUAL]","",IFERROR(SUMPRODUCT((nNIA=G734)*(nCUENTA=1)*(COUNTIF(CONFIG_ASIGNATURAS!$B$7:$B$27,nASIG)&gt;0)*(nNOTA))/SUMPRODUCT((nNIA=G734)*(nCUENTA=1)*(COUNTIF(CONFIG_ASIGNATURAS!$B$7:$B$27,nASIG)&gt;0)*1),"")))</f>
        <v/>
      </c>
      <c r="N734" t="str">
        <f>IF(M734="","",IF(M734="[FÓRMULA MANUAL]","",IFERROR(AVERAGEIFS(nNOTA,nNIA,M734,nCUENTA,1,nASIG,"Armonía"),"")))</f>
        <v/>
      </c>
      <c r="O734" t="str">
        <f>IF(M734="","",IF(M734="[FÓRMULA MANUAL]","",IFERROR(AVERAGEIFS(nNOTA,nNIA,M734,nCUENTA,1,nASIG,"Orquesta/Banda/Conjunto"),"")))</f>
        <v/>
      </c>
      <c r="P734" t="str">
        <f>IF(M734="","",IF(M734="[FÓRMULA MANUAL]","",IFERROR(AVERAGEIFS(nNOTA,nNIA,M734,nCUENTA,1,nASIG,"Música de Cámara"),"")))</f>
        <v/>
      </c>
      <c r="Q734" t="str">
        <f>IF(M734="","",IF(M734="[FÓRMULA MANUAL]","",IFERROR(SUMPRODUCT((nNIA=M734)*(nCUENTA=1)*(COUNTIF(CONFIG_ASIGNATURAS!$B$7:$B$27,nASIG)&gt;0)*(nNOTA))/SUMPRODUCT((nNIA=M734)*(nCUENTA=1)*(COUNTIF(CONFIG_ASIGNATURAS!$B$7:$B$27,nASIG)&gt;0)*1),"")))</f>
        <v/>
      </c>
      <c r="T734" t="str">
        <f>IF(S734="","",IF(S734="[FÓRMULA MANUAL]","",IFERROR(AVERAGEIFS(nNOTA,nNIA,S734,nCUENTA,1,nASIG,"Armonía"),"")))</f>
        <v/>
      </c>
      <c r="U734" t="str">
        <f>IF(S734="","",IF(S734="[FÓRMULA MANUAL]","",IFERROR(AVERAGEIFS(nNOTA,nNIA,S734,nCUENTA,1,nASIG,"Orquesta/Banda/Conjunto"),"")))</f>
        <v/>
      </c>
      <c r="V734" t="str">
        <f>IF(S734="","",IF(S734="[FÓRMULA MANUAL]","",IFERROR(AVERAGEIFS(nNOTA,nNIA,S734,nCUENTA,1,nASIG,"Música de Cámara"),"")))</f>
        <v/>
      </c>
      <c r="W734" t="str">
        <f>IF(S734="","",IF(S734="[FÓRMULA MANUAL]","",IFERROR(SUMPRODUCT((nNIA=S734)*(nCUENTA=1)*(COUNTIF(CONFIG_ASIGNATURAS!$B$7:$B$27,nASIG)&gt;0)*(nNOTA))/SUMPRODUCT((nNIA=S734)*(nCUENTA=1)*(COUNTIF(CONFIG_ASIGNATURAS!$B$7:$B$27,nASIG)&gt;0)*1),"")))</f>
        <v/>
      </c>
      <c r="Z734" t="str">
        <f>IF(Y734="","",IF(Y734="[FÓRMULA MANUAL]","",IFERROR(AVERAGEIFS(nNOTA,nNIA,Y734,nCUENTA,1,nASIG,"Análisis"),"")))</f>
        <v/>
      </c>
      <c r="AA734" t="str">
        <f>IF(Y734="","",IF(Y734="[FÓRMULA MANUAL]","",IFERROR(AVERAGEIFS(nNOTA,nNIA,Y734,nCUENTA,1,nASIG,"Orquesta/Banda/Conjunto"),"")))</f>
        <v/>
      </c>
      <c r="AB734" t="str">
        <f>IF(Y734="","",IF(Y734="[FÓRMULA MANUAL]","",IFERROR(AVERAGEIFS(nNOTA,nNIA,Y734,nCUENTA,1,nASIG,"Música de Cámara"),"")))</f>
        <v/>
      </c>
      <c r="AC734" t="str">
        <f>IF(Y734="","",IF(Y734="[FÓRMULA MANUAL]","",IFERROR(SUMPRODUCT((nNIA=Y734)*(nCUENTA=1)*(COUNTIF(CONFIG_ASIGNATURAS!$B$7:$B$27,nASIG)&gt;0)*(nNOTA))/SUMPRODUCT((nNIA=Y734)*(nCUENTA=1)*(COUNTIF(CONFIG_ASIGNATURAS!$B$7:$B$27,nASIG)&gt;0)*1),"")))</f>
        <v/>
      </c>
      <c r="AF734" t="str">
        <f>IF(AE734="","",IF(AE734="[FÓRMULA MANUAL]","",IFERROR(AVERAGEIFS(nNOTA,nNIA,AE734,nCUENTA,1,nASIG,"Análisis"),"")))</f>
        <v/>
      </c>
      <c r="AG734" t="str">
        <f>IF(AE734="","",IF(AE734="[FÓRMULA MANUAL]","",IFERROR(AVERAGEIFS(nNOTA,nNIA,AE734,nCUENTA,1,nASIG,"Orquesta/Banda/Conjunto"),"")))</f>
        <v/>
      </c>
      <c r="AH734" t="str">
        <f>IF(AE734="","",IF(AE734="[FÓRMULA MANUAL]","",IFERROR(AVERAGEIFS(nNOTA,nNIA,AE734,nCUENTA,1,nASIG,"Música de Cámara"),"")))</f>
        <v/>
      </c>
      <c r="AI734" t="str">
        <f>IF(AE734="","",IF(AE734="[FÓRMULA MANUAL]","",IFERROR(SUMPRODUCT((nNIA=AE734)*(nCUENTA=1)*(COUNTIF(CONFIG_ASIGNATURAS!$B$7:$B$27,nASIG)&gt;0)*(nNOTA))/SUMPRODUCT((nNIA=AE734)*(nCUENTA=1)*(COUNTIF(CONFIG_ASIGNATURAS!$B$7:$B$27,nASIG)&gt;0)*1),"")))</f>
        <v/>
      </c>
    </row>
    <row r="735" spans="2:35" x14ac:dyDescent="0.2">
      <c r="B735" t="str">
        <f>IF(A735="","",IF(A735="[FÓRMULA MANUAL]","",IFERROR(AVERAGEIFS(nNOTA,nNIA,A735,nCUENTA,1,nASIG,"Lenguaje Musical"),"")))</f>
        <v/>
      </c>
      <c r="C735" t="str">
        <f>IF(A735="","",IF(A735="[FÓRMULA MANUAL]","",IFERROR(AVERAGEIFS(nNOTA,nNIA,A735,nCUENTA,1,nASIG,"Orquesta/Banda/Conjunto"),"")))</f>
        <v/>
      </c>
      <c r="D735" t="str">
        <f>IF(A735="","",IF(A735="[FÓRMULA MANUAL]","",IFERROR(AVERAGEIFS(nNOTA,nNIA,A735,nCUENTA,1,nASIG,"Conjunto"),"")))</f>
        <v/>
      </c>
      <c r="E735" t="str">
        <f>IF(A735="","",IF(A735="[FÓRMULA MANUAL]","",IFERROR(SUMPRODUCT((nNIA=A735)*(nCUENTA=1)*(COUNTIF(CONFIG_ASIGNATURAS!$B$7:$B$27,nASIG)&gt;0)*(nNOTA))/SUMPRODUCT((nNIA=A735)*(nCUENTA=1)*(COUNTIF(CONFIG_ASIGNATURAS!$B$7:$B$27,nASIG)&gt;0)*1),"")))</f>
        <v/>
      </c>
      <c r="H735" t="str">
        <f>IF(G735="","",IF(G735="[FÓRMULA MANUAL]","",IFERROR(AVERAGEIFS(nNOTA,nNIA,G735,nCUENTA,1,nASIG,"Lenguaje Musical"),"")))</f>
        <v/>
      </c>
      <c r="I735" t="str">
        <f>IF(G735="","",IF(G735="[FÓRMULA MANUAL]","",IFERROR(AVERAGEIFS(nNOTA,nNIA,G735,nCUENTA,1,nASIG,"Orquesta/Banda/Conjunto"),"")))</f>
        <v/>
      </c>
      <c r="J735" t="str">
        <f>IF(G735="","",IF(G735="[FÓRMULA MANUAL]","",IFERROR(AVERAGEIFS(nNOTA,nNIA,G735,nCUENTA,1,nASIG,"Conjunto"),"")))</f>
        <v/>
      </c>
      <c r="K735" t="str">
        <f>IF(G735="","",IF(G735="[FÓRMULA MANUAL]","",IFERROR(SUMPRODUCT((nNIA=G735)*(nCUENTA=1)*(COUNTIF(CONFIG_ASIGNATURAS!$B$7:$B$27,nASIG)&gt;0)*(nNOTA))/SUMPRODUCT((nNIA=G735)*(nCUENTA=1)*(COUNTIF(CONFIG_ASIGNATURAS!$B$7:$B$27,nASIG)&gt;0)*1),"")))</f>
        <v/>
      </c>
      <c r="N735" t="str">
        <f>IF(M735="","",IF(M735="[FÓRMULA MANUAL]","",IFERROR(AVERAGEIFS(nNOTA,nNIA,M735,nCUENTA,1,nASIG,"Armonía"),"")))</f>
        <v/>
      </c>
      <c r="O735" t="str">
        <f>IF(M735="","",IF(M735="[FÓRMULA MANUAL]","",IFERROR(AVERAGEIFS(nNOTA,nNIA,M735,nCUENTA,1,nASIG,"Orquesta/Banda/Conjunto"),"")))</f>
        <v/>
      </c>
      <c r="P735" t="str">
        <f>IF(M735="","",IF(M735="[FÓRMULA MANUAL]","",IFERROR(AVERAGEIFS(nNOTA,nNIA,M735,nCUENTA,1,nASIG,"Música de Cámara"),"")))</f>
        <v/>
      </c>
      <c r="Q735" t="str">
        <f>IF(M735="","",IF(M735="[FÓRMULA MANUAL]","",IFERROR(SUMPRODUCT((nNIA=M735)*(nCUENTA=1)*(COUNTIF(CONFIG_ASIGNATURAS!$B$7:$B$27,nASIG)&gt;0)*(nNOTA))/SUMPRODUCT((nNIA=M735)*(nCUENTA=1)*(COUNTIF(CONFIG_ASIGNATURAS!$B$7:$B$27,nASIG)&gt;0)*1),"")))</f>
        <v/>
      </c>
      <c r="T735" t="str">
        <f>IF(S735="","",IF(S735="[FÓRMULA MANUAL]","",IFERROR(AVERAGEIFS(nNOTA,nNIA,S735,nCUENTA,1,nASIG,"Armonía"),"")))</f>
        <v/>
      </c>
      <c r="U735" t="str">
        <f>IF(S735="","",IF(S735="[FÓRMULA MANUAL]","",IFERROR(AVERAGEIFS(nNOTA,nNIA,S735,nCUENTA,1,nASIG,"Orquesta/Banda/Conjunto"),"")))</f>
        <v/>
      </c>
      <c r="V735" t="str">
        <f>IF(S735="","",IF(S735="[FÓRMULA MANUAL]","",IFERROR(AVERAGEIFS(nNOTA,nNIA,S735,nCUENTA,1,nASIG,"Música de Cámara"),"")))</f>
        <v/>
      </c>
      <c r="W735" t="str">
        <f>IF(S735="","",IF(S735="[FÓRMULA MANUAL]","",IFERROR(SUMPRODUCT((nNIA=S735)*(nCUENTA=1)*(COUNTIF(CONFIG_ASIGNATURAS!$B$7:$B$27,nASIG)&gt;0)*(nNOTA))/SUMPRODUCT((nNIA=S735)*(nCUENTA=1)*(COUNTIF(CONFIG_ASIGNATURAS!$B$7:$B$27,nASIG)&gt;0)*1),"")))</f>
        <v/>
      </c>
      <c r="Z735" t="str">
        <f>IF(Y735="","",IF(Y735="[FÓRMULA MANUAL]","",IFERROR(AVERAGEIFS(nNOTA,nNIA,Y735,nCUENTA,1,nASIG,"Análisis"),"")))</f>
        <v/>
      </c>
      <c r="AA735" t="str">
        <f>IF(Y735="","",IF(Y735="[FÓRMULA MANUAL]","",IFERROR(AVERAGEIFS(nNOTA,nNIA,Y735,nCUENTA,1,nASIG,"Orquesta/Banda/Conjunto"),"")))</f>
        <v/>
      </c>
      <c r="AB735" t="str">
        <f>IF(Y735="","",IF(Y735="[FÓRMULA MANUAL]","",IFERROR(AVERAGEIFS(nNOTA,nNIA,Y735,nCUENTA,1,nASIG,"Música de Cámara"),"")))</f>
        <v/>
      </c>
      <c r="AC735" t="str">
        <f>IF(Y735="","",IF(Y735="[FÓRMULA MANUAL]","",IFERROR(SUMPRODUCT((nNIA=Y735)*(nCUENTA=1)*(COUNTIF(CONFIG_ASIGNATURAS!$B$7:$B$27,nASIG)&gt;0)*(nNOTA))/SUMPRODUCT((nNIA=Y735)*(nCUENTA=1)*(COUNTIF(CONFIG_ASIGNATURAS!$B$7:$B$27,nASIG)&gt;0)*1),"")))</f>
        <v/>
      </c>
      <c r="AF735" t="str">
        <f>IF(AE735="","",IF(AE735="[FÓRMULA MANUAL]","",IFERROR(AVERAGEIFS(nNOTA,nNIA,AE735,nCUENTA,1,nASIG,"Análisis"),"")))</f>
        <v/>
      </c>
      <c r="AG735" t="str">
        <f>IF(AE735="","",IF(AE735="[FÓRMULA MANUAL]","",IFERROR(AVERAGEIFS(nNOTA,nNIA,AE735,nCUENTA,1,nASIG,"Orquesta/Banda/Conjunto"),"")))</f>
        <v/>
      </c>
      <c r="AH735" t="str">
        <f>IF(AE735="","",IF(AE735="[FÓRMULA MANUAL]","",IFERROR(AVERAGEIFS(nNOTA,nNIA,AE735,nCUENTA,1,nASIG,"Música de Cámara"),"")))</f>
        <v/>
      </c>
      <c r="AI735" t="str">
        <f>IF(AE735="","",IF(AE735="[FÓRMULA MANUAL]","",IFERROR(SUMPRODUCT((nNIA=AE735)*(nCUENTA=1)*(COUNTIF(CONFIG_ASIGNATURAS!$B$7:$B$27,nASIG)&gt;0)*(nNOTA))/SUMPRODUCT((nNIA=AE735)*(nCUENTA=1)*(COUNTIF(CONFIG_ASIGNATURAS!$B$7:$B$27,nASIG)&gt;0)*1),"")))</f>
        <v/>
      </c>
    </row>
    <row r="736" spans="2:35" x14ac:dyDescent="0.2">
      <c r="B736" t="str">
        <f>IF(A736="","",IF(A736="[FÓRMULA MANUAL]","",IFERROR(AVERAGEIFS(nNOTA,nNIA,A736,nCUENTA,1,nASIG,"Lenguaje Musical"),"")))</f>
        <v/>
      </c>
      <c r="C736" t="str">
        <f>IF(A736="","",IF(A736="[FÓRMULA MANUAL]","",IFERROR(AVERAGEIFS(nNOTA,nNIA,A736,nCUENTA,1,nASIG,"Orquesta/Banda/Conjunto"),"")))</f>
        <v/>
      </c>
      <c r="D736" t="str">
        <f>IF(A736="","",IF(A736="[FÓRMULA MANUAL]","",IFERROR(AVERAGEIFS(nNOTA,nNIA,A736,nCUENTA,1,nASIG,"Conjunto"),"")))</f>
        <v/>
      </c>
      <c r="E736" t="str">
        <f>IF(A736="","",IF(A736="[FÓRMULA MANUAL]","",IFERROR(SUMPRODUCT((nNIA=A736)*(nCUENTA=1)*(COUNTIF(CONFIG_ASIGNATURAS!$B$7:$B$27,nASIG)&gt;0)*(nNOTA))/SUMPRODUCT((nNIA=A736)*(nCUENTA=1)*(COUNTIF(CONFIG_ASIGNATURAS!$B$7:$B$27,nASIG)&gt;0)*1),"")))</f>
        <v/>
      </c>
      <c r="H736" t="str">
        <f>IF(G736="","",IF(G736="[FÓRMULA MANUAL]","",IFERROR(AVERAGEIFS(nNOTA,nNIA,G736,nCUENTA,1,nASIG,"Lenguaje Musical"),"")))</f>
        <v/>
      </c>
      <c r="I736" t="str">
        <f>IF(G736="","",IF(G736="[FÓRMULA MANUAL]","",IFERROR(AVERAGEIFS(nNOTA,nNIA,G736,nCUENTA,1,nASIG,"Orquesta/Banda/Conjunto"),"")))</f>
        <v/>
      </c>
      <c r="J736" t="str">
        <f>IF(G736="","",IF(G736="[FÓRMULA MANUAL]","",IFERROR(AVERAGEIFS(nNOTA,nNIA,G736,nCUENTA,1,nASIG,"Conjunto"),"")))</f>
        <v/>
      </c>
      <c r="K736" t="str">
        <f>IF(G736="","",IF(G736="[FÓRMULA MANUAL]","",IFERROR(SUMPRODUCT((nNIA=G736)*(nCUENTA=1)*(COUNTIF(CONFIG_ASIGNATURAS!$B$7:$B$27,nASIG)&gt;0)*(nNOTA))/SUMPRODUCT((nNIA=G736)*(nCUENTA=1)*(COUNTIF(CONFIG_ASIGNATURAS!$B$7:$B$27,nASIG)&gt;0)*1),"")))</f>
        <v/>
      </c>
      <c r="N736" t="str">
        <f>IF(M736="","",IF(M736="[FÓRMULA MANUAL]","",IFERROR(AVERAGEIFS(nNOTA,nNIA,M736,nCUENTA,1,nASIG,"Armonía"),"")))</f>
        <v/>
      </c>
      <c r="O736" t="str">
        <f>IF(M736="","",IF(M736="[FÓRMULA MANUAL]","",IFERROR(AVERAGEIFS(nNOTA,nNIA,M736,nCUENTA,1,nASIG,"Orquesta/Banda/Conjunto"),"")))</f>
        <v/>
      </c>
      <c r="P736" t="str">
        <f>IF(M736="","",IF(M736="[FÓRMULA MANUAL]","",IFERROR(AVERAGEIFS(nNOTA,nNIA,M736,nCUENTA,1,nASIG,"Música de Cámara"),"")))</f>
        <v/>
      </c>
      <c r="Q736" t="str">
        <f>IF(M736="","",IF(M736="[FÓRMULA MANUAL]","",IFERROR(SUMPRODUCT((nNIA=M736)*(nCUENTA=1)*(COUNTIF(CONFIG_ASIGNATURAS!$B$7:$B$27,nASIG)&gt;0)*(nNOTA))/SUMPRODUCT((nNIA=M736)*(nCUENTA=1)*(COUNTIF(CONFIG_ASIGNATURAS!$B$7:$B$27,nASIG)&gt;0)*1),"")))</f>
        <v/>
      </c>
      <c r="T736" t="str">
        <f>IF(S736="","",IF(S736="[FÓRMULA MANUAL]","",IFERROR(AVERAGEIFS(nNOTA,nNIA,S736,nCUENTA,1,nASIG,"Armonía"),"")))</f>
        <v/>
      </c>
      <c r="U736" t="str">
        <f>IF(S736="","",IF(S736="[FÓRMULA MANUAL]","",IFERROR(AVERAGEIFS(nNOTA,nNIA,S736,nCUENTA,1,nASIG,"Orquesta/Banda/Conjunto"),"")))</f>
        <v/>
      </c>
      <c r="V736" t="str">
        <f>IF(S736="","",IF(S736="[FÓRMULA MANUAL]","",IFERROR(AVERAGEIFS(nNOTA,nNIA,S736,nCUENTA,1,nASIG,"Música de Cámara"),"")))</f>
        <v/>
      </c>
      <c r="W736" t="str">
        <f>IF(S736="","",IF(S736="[FÓRMULA MANUAL]","",IFERROR(SUMPRODUCT((nNIA=S736)*(nCUENTA=1)*(COUNTIF(CONFIG_ASIGNATURAS!$B$7:$B$27,nASIG)&gt;0)*(nNOTA))/SUMPRODUCT((nNIA=S736)*(nCUENTA=1)*(COUNTIF(CONFIG_ASIGNATURAS!$B$7:$B$27,nASIG)&gt;0)*1),"")))</f>
        <v/>
      </c>
      <c r="Z736" t="str">
        <f>IF(Y736="","",IF(Y736="[FÓRMULA MANUAL]","",IFERROR(AVERAGEIFS(nNOTA,nNIA,Y736,nCUENTA,1,nASIG,"Análisis"),"")))</f>
        <v/>
      </c>
      <c r="AA736" t="str">
        <f>IF(Y736="","",IF(Y736="[FÓRMULA MANUAL]","",IFERROR(AVERAGEIFS(nNOTA,nNIA,Y736,nCUENTA,1,nASIG,"Orquesta/Banda/Conjunto"),"")))</f>
        <v/>
      </c>
      <c r="AB736" t="str">
        <f>IF(Y736="","",IF(Y736="[FÓRMULA MANUAL]","",IFERROR(AVERAGEIFS(nNOTA,nNIA,Y736,nCUENTA,1,nASIG,"Música de Cámara"),"")))</f>
        <v/>
      </c>
      <c r="AC736" t="str">
        <f>IF(Y736="","",IF(Y736="[FÓRMULA MANUAL]","",IFERROR(SUMPRODUCT((nNIA=Y736)*(nCUENTA=1)*(COUNTIF(CONFIG_ASIGNATURAS!$B$7:$B$27,nASIG)&gt;0)*(nNOTA))/SUMPRODUCT((nNIA=Y736)*(nCUENTA=1)*(COUNTIF(CONFIG_ASIGNATURAS!$B$7:$B$27,nASIG)&gt;0)*1),"")))</f>
        <v/>
      </c>
      <c r="AF736" t="str">
        <f>IF(AE736="","",IF(AE736="[FÓRMULA MANUAL]","",IFERROR(AVERAGEIFS(nNOTA,nNIA,AE736,nCUENTA,1,nASIG,"Análisis"),"")))</f>
        <v/>
      </c>
      <c r="AG736" t="str">
        <f>IF(AE736="","",IF(AE736="[FÓRMULA MANUAL]","",IFERROR(AVERAGEIFS(nNOTA,nNIA,AE736,nCUENTA,1,nASIG,"Orquesta/Banda/Conjunto"),"")))</f>
        <v/>
      </c>
      <c r="AH736" t="str">
        <f>IF(AE736="","",IF(AE736="[FÓRMULA MANUAL]","",IFERROR(AVERAGEIFS(nNOTA,nNIA,AE736,nCUENTA,1,nASIG,"Música de Cámara"),"")))</f>
        <v/>
      </c>
      <c r="AI736" t="str">
        <f>IF(AE736="","",IF(AE736="[FÓRMULA MANUAL]","",IFERROR(SUMPRODUCT((nNIA=AE736)*(nCUENTA=1)*(COUNTIF(CONFIG_ASIGNATURAS!$B$7:$B$27,nASIG)&gt;0)*(nNOTA))/SUMPRODUCT((nNIA=AE736)*(nCUENTA=1)*(COUNTIF(CONFIG_ASIGNATURAS!$B$7:$B$27,nASIG)&gt;0)*1),"")))</f>
        <v/>
      </c>
    </row>
    <row r="737" spans="2:35" x14ac:dyDescent="0.2">
      <c r="B737" t="str">
        <f>IF(A737="","",IF(A737="[FÓRMULA MANUAL]","",IFERROR(AVERAGEIFS(nNOTA,nNIA,A737,nCUENTA,1,nASIG,"Lenguaje Musical"),"")))</f>
        <v/>
      </c>
      <c r="C737" t="str">
        <f>IF(A737="","",IF(A737="[FÓRMULA MANUAL]","",IFERROR(AVERAGEIFS(nNOTA,nNIA,A737,nCUENTA,1,nASIG,"Orquesta/Banda/Conjunto"),"")))</f>
        <v/>
      </c>
      <c r="D737" t="str">
        <f>IF(A737="","",IF(A737="[FÓRMULA MANUAL]","",IFERROR(AVERAGEIFS(nNOTA,nNIA,A737,nCUENTA,1,nASIG,"Conjunto"),"")))</f>
        <v/>
      </c>
      <c r="E737" t="str">
        <f>IF(A737="","",IF(A737="[FÓRMULA MANUAL]","",IFERROR(SUMPRODUCT((nNIA=A737)*(nCUENTA=1)*(COUNTIF(CONFIG_ASIGNATURAS!$B$7:$B$27,nASIG)&gt;0)*(nNOTA))/SUMPRODUCT((nNIA=A737)*(nCUENTA=1)*(COUNTIF(CONFIG_ASIGNATURAS!$B$7:$B$27,nASIG)&gt;0)*1),"")))</f>
        <v/>
      </c>
      <c r="H737" t="str">
        <f>IF(G737="","",IF(G737="[FÓRMULA MANUAL]","",IFERROR(AVERAGEIFS(nNOTA,nNIA,G737,nCUENTA,1,nASIG,"Lenguaje Musical"),"")))</f>
        <v/>
      </c>
      <c r="I737" t="str">
        <f>IF(G737="","",IF(G737="[FÓRMULA MANUAL]","",IFERROR(AVERAGEIFS(nNOTA,nNIA,G737,nCUENTA,1,nASIG,"Orquesta/Banda/Conjunto"),"")))</f>
        <v/>
      </c>
      <c r="J737" t="str">
        <f>IF(G737="","",IF(G737="[FÓRMULA MANUAL]","",IFERROR(AVERAGEIFS(nNOTA,nNIA,G737,nCUENTA,1,nASIG,"Conjunto"),"")))</f>
        <v/>
      </c>
      <c r="K737" t="str">
        <f>IF(G737="","",IF(G737="[FÓRMULA MANUAL]","",IFERROR(SUMPRODUCT((nNIA=G737)*(nCUENTA=1)*(COUNTIF(CONFIG_ASIGNATURAS!$B$7:$B$27,nASIG)&gt;0)*(nNOTA))/SUMPRODUCT((nNIA=G737)*(nCUENTA=1)*(COUNTIF(CONFIG_ASIGNATURAS!$B$7:$B$27,nASIG)&gt;0)*1),"")))</f>
        <v/>
      </c>
      <c r="N737" t="str">
        <f>IF(M737="","",IF(M737="[FÓRMULA MANUAL]","",IFERROR(AVERAGEIFS(nNOTA,nNIA,M737,nCUENTA,1,nASIG,"Armonía"),"")))</f>
        <v/>
      </c>
      <c r="O737" t="str">
        <f>IF(M737="","",IF(M737="[FÓRMULA MANUAL]","",IFERROR(AVERAGEIFS(nNOTA,nNIA,M737,nCUENTA,1,nASIG,"Orquesta/Banda/Conjunto"),"")))</f>
        <v/>
      </c>
      <c r="P737" t="str">
        <f>IF(M737="","",IF(M737="[FÓRMULA MANUAL]","",IFERROR(AVERAGEIFS(nNOTA,nNIA,M737,nCUENTA,1,nASIG,"Música de Cámara"),"")))</f>
        <v/>
      </c>
      <c r="Q737" t="str">
        <f>IF(M737="","",IF(M737="[FÓRMULA MANUAL]","",IFERROR(SUMPRODUCT((nNIA=M737)*(nCUENTA=1)*(COUNTIF(CONFIG_ASIGNATURAS!$B$7:$B$27,nASIG)&gt;0)*(nNOTA))/SUMPRODUCT((nNIA=M737)*(nCUENTA=1)*(COUNTIF(CONFIG_ASIGNATURAS!$B$7:$B$27,nASIG)&gt;0)*1),"")))</f>
        <v/>
      </c>
      <c r="T737" t="str">
        <f>IF(S737="","",IF(S737="[FÓRMULA MANUAL]","",IFERROR(AVERAGEIFS(nNOTA,nNIA,S737,nCUENTA,1,nASIG,"Armonía"),"")))</f>
        <v/>
      </c>
      <c r="U737" t="str">
        <f>IF(S737="","",IF(S737="[FÓRMULA MANUAL]","",IFERROR(AVERAGEIFS(nNOTA,nNIA,S737,nCUENTA,1,nASIG,"Orquesta/Banda/Conjunto"),"")))</f>
        <v/>
      </c>
      <c r="V737" t="str">
        <f>IF(S737="","",IF(S737="[FÓRMULA MANUAL]","",IFERROR(AVERAGEIFS(nNOTA,nNIA,S737,nCUENTA,1,nASIG,"Música de Cámara"),"")))</f>
        <v/>
      </c>
      <c r="W737" t="str">
        <f>IF(S737="","",IF(S737="[FÓRMULA MANUAL]","",IFERROR(SUMPRODUCT((nNIA=S737)*(nCUENTA=1)*(COUNTIF(CONFIG_ASIGNATURAS!$B$7:$B$27,nASIG)&gt;0)*(nNOTA))/SUMPRODUCT((nNIA=S737)*(nCUENTA=1)*(COUNTIF(CONFIG_ASIGNATURAS!$B$7:$B$27,nASIG)&gt;0)*1),"")))</f>
        <v/>
      </c>
      <c r="Z737" t="str">
        <f>IF(Y737="","",IF(Y737="[FÓRMULA MANUAL]","",IFERROR(AVERAGEIFS(nNOTA,nNIA,Y737,nCUENTA,1,nASIG,"Análisis"),"")))</f>
        <v/>
      </c>
      <c r="AA737" t="str">
        <f>IF(Y737="","",IF(Y737="[FÓRMULA MANUAL]","",IFERROR(AVERAGEIFS(nNOTA,nNIA,Y737,nCUENTA,1,nASIG,"Orquesta/Banda/Conjunto"),"")))</f>
        <v/>
      </c>
      <c r="AB737" t="str">
        <f>IF(Y737="","",IF(Y737="[FÓRMULA MANUAL]","",IFERROR(AVERAGEIFS(nNOTA,nNIA,Y737,nCUENTA,1,nASIG,"Música de Cámara"),"")))</f>
        <v/>
      </c>
      <c r="AC737" t="str">
        <f>IF(Y737="","",IF(Y737="[FÓRMULA MANUAL]","",IFERROR(SUMPRODUCT((nNIA=Y737)*(nCUENTA=1)*(COUNTIF(CONFIG_ASIGNATURAS!$B$7:$B$27,nASIG)&gt;0)*(nNOTA))/SUMPRODUCT((nNIA=Y737)*(nCUENTA=1)*(COUNTIF(CONFIG_ASIGNATURAS!$B$7:$B$27,nASIG)&gt;0)*1),"")))</f>
        <v/>
      </c>
      <c r="AF737" t="str">
        <f>IF(AE737="","",IF(AE737="[FÓRMULA MANUAL]","",IFERROR(AVERAGEIFS(nNOTA,nNIA,AE737,nCUENTA,1,nASIG,"Análisis"),"")))</f>
        <v/>
      </c>
      <c r="AG737" t="str">
        <f>IF(AE737="","",IF(AE737="[FÓRMULA MANUAL]","",IFERROR(AVERAGEIFS(nNOTA,nNIA,AE737,nCUENTA,1,nASIG,"Orquesta/Banda/Conjunto"),"")))</f>
        <v/>
      </c>
      <c r="AH737" t="str">
        <f>IF(AE737="","",IF(AE737="[FÓRMULA MANUAL]","",IFERROR(AVERAGEIFS(nNOTA,nNIA,AE737,nCUENTA,1,nASIG,"Música de Cámara"),"")))</f>
        <v/>
      </c>
      <c r="AI737" t="str">
        <f>IF(AE737="","",IF(AE737="[FÓRMULA MANUAL]","",IFERROR(SUMPRODUCT((nNIA=AE737)*(nCUENTA=1)*(COUNTIF(CONFIG_ASIGNATURAS!$B$7:$B$27,nASIG)&gt;0)*(nNOTA))/SUMPRODUCT((nNIA=AE737)*(nCUENTA=1)*(COUNTIF(CONFIG_ASIGNATURAS!$B$7:$B$27,nASIG)&gt;0)*1),"")))</f>
        <v/>
      </c>
    </row>
    <row r="738" spans="2:35" x14ac:dyDescent="0.2">
      <c r="B738" t="str">
        <f>IF(A738="","",IF(A738="[FÓRMULA MANUAL]","",IFERROR(AVERAGEIFS(nNOTA,nNIA,A738,nCUENTA,1,nASIG,"Lenguaje Musical"),"")))</f>
        <v/>
      </c>
      <c r="C738" t="str">
        <f>IF(A738="","",IF(A738="[FÓRMULA MANUAL]","",IFERROR(AVERAGEIFS(nNOTA,nNIA,A738,nCUENTA,1,nASIG,"Orquesta/Banda/Conjunto"),"")))</f>
        <v/>
      </c>
      <c r="D738" t="str">
        <f>IF(A738="","",IF(A738="[FÓRMULA MANUAL]","",IFERROR(AVERAGEIFS(nNOTA,nNIA,A738,nCUENTA,1,nASIG,"Conjunto"),"")))</f>
        <v/>
      </c>
      <c r="E738" t="str">
        <f>IF(A738="","",IF(A738="[FÓRMULA MANUAL]","",IFERROR(SUMPRODUCT((nNIA=A738)*(nCUENTA=1)*(COUNTIF(CONFIG_ASIGNATURAS!$B$7:$B$27,nASIG)&gt;0)*(nNOTA))/SUMPRODUCT((nNIA=A738)*(nCUENTA=1)*(COUNTIF(CONFIG_ASIGNATURAS!$B$7:$B$27,nASIG)&gt;0)*1),"")))</f>
        <v/>
      </c>
      <c r="H738" t="str">
        <f>IF(G738="","",IF(G738="[FÓRMULA MANUAL]","",IFERROR(AVERAGEIFS(nNOTA,nNIA,G738,nCUENTA,1,nASIG,"Lenguaje Musical"),"")))</f>
        <v/>
      </c>
      <c r="I738" t="str">
        <f>IF(G738="","",IF(G738="[FÓRMULA MANUAL]","",IFERROR(AVERAGEIFS(nNOTA,nNIA,G738,nCUENTA,1,nASIG,"Orquesta/Banda/Conjunto"),"")))</f>
        <v/>
      </c>
      <c r="J738" t="str">
        <f>IF(G738="","",IF(G738="[FÓRMULA MANUAL]","",IFERROR(AVERAGEIFS(nNOTA,nNIA,G738,nCUENTA,1,nASIG,"Conjunto"),"")))</f>
        <v/>
      </c>
      <c r="K738" t="str">
        <f>IF(G738="","",IF(G738="[FÓRMULA MANUAL]","",IFERROR(SUMPRODUCT((nNIA=G738)*(nCUENTA=1)*(COUNTIF(CONFIG_ASIGNATURAS!$B$7:$B$27,nASIG)&gt;0)*(nNOTA))/SUMPRODUCT((nNIA=G738)*(nCUENTA=1)*(COUNTIF(CONFIG_ASIGNATURAS!$B$7:$B$27,nASIG)&gt;0)*1),"")))</f>
        <v/>
      </c>
      <c r="N738" t="str">
        <f>IF(M738="","",IF(M738="[FÓRMULA MANUAL]","",IFERROR(AVERAGEIFS(nNOTA,nNIA,M738,nCUENTA,1,nASIG,"Armonía"),"")))</f>
        <v/>
      </c>
      <c r="O738" t="str">
        <f>IF(M738="","",IF(M738="[FÓRMULA MANUAL]","",IFERROR(AVERAGEIFS(nNOTA,nNIA,M738,nCUENTA,1,nASIG,"Orquesta/Banda/Conjunto"),"")))</f>
        <v/>
      </c>
      <c r="P738" t="str">
        <f>IF(M738="","",IF(M738="[FÓRMULA MANUAL]","",IFERROR(AVERAGEIFS(nNOTA,nNIA,M738,nCUENTA,1,nASIG,"Música de Cámara"),"")))</f>
        <v/>
      </c>
      <c r="Q738" t="str">
        <f>IF(M738="","",IF(M738="[FÓRMULA MANUAL]","",IFERROR(SUMPRODUCT((nNIA=M738)*(nCUENTA=1)*(COUNTIF(CONFIG_ASIGNATURAS!$B$7:$B$27,nASIG)&gt;0)*(nNOTA))/SUMPRODUCT((nNIA=M738)*(nCUENTA=1)*(COUNTIF(CONFIG_ASIGNATURAS!$B$7:$B$27,nASIG)&gt;0)*1),"")))</f>
        <v/>
      </c>
      <c r="T738" t="str">
        <f>IF(S738="","",IF(S738="[FÓRMULA MANUAL]","",IFERROR(AVERAGEIFS(nNOTA,nNIA,S738,nCUENTA,1,nASIG,"Armonía"),"")))</f>
        <v/>
      </c>
      <c r="U738" t="str">
        <f>IF(S738="","",IF(S738="[FÓRMULA MANUAL]","",IFERROR(AVERAGEIFS(nNOTA,nNIA,S738,nCUENTA,1,nASIG,"Orquesta/Banda/Conjunto"),"")))</f>
        <v/>
      </c>
      <c r="V738" t="str">
        <f>IF(S738="","",IF(S738="[FÓRMULA MANUAL]","",IFERROR(AVERAGEIFS(nNOTA,nNIA,S738,nCUENTA,1,nASIG,"Música de Cámara"),"")))</f>
        <v/>
      </c>
      <c r="W738" t="str">
        <f>IF(S738="","",IF(S738="[FÓRMULA MANUAL]","",IFERROR(SUMPRODUCT((nNIA=S738)*(nCUENTA=1)*(COUNTIF(CONFIG_ASIGNATURAS!$B$7:$B$27,nASIG)&gt;0)*(nNOTA))/SUMPRODUCT((nNIA=S738)*(nCUENTA=1)*(COUNTIF(CONFIG_ASIGNATURAS!$B$7:$B$27,nASIG)&gt;0)*1),"")))</f>
        <v/>
      </c>
      <c r="Z738" t="str">
        <f>IF(Y738="","",IF(Y738="[FÓRMULA MANUAL]","",IFERROR(AVERAGEIFS(nNOTA,nNIA,Y738,nCUENTA,1,nASIG,"Análisis"),"")))</f>
        <v/>
      </c>
      <c r="AA738" t="str">
        <f>IF(Y738="","",IF(Y738="[FÓRMULA MANUAL]","",IFERROR(AVERAGEIFS(nNOTA,nNIA,Y738,nCUENTA,1,nASIG,"Orquesta/Banda/Conjunto"),"")))</f>
        <v/>
      </c>
      <c r="AB738" t="str">
        <f>IF(Y738="","",IF(Y738="[FÓRMULA MANUAL]","",IFERROR(AVERAGEIFS(nNOTA,nNIA,Y738,nCUENTA,1,nASIG,"Música de Cámara"),"")))</f>
        <v/>
      </c>
      <c r="AC738" t="str">
        <f>IF(Y738="","",IF(Y738="[FÓRMULA MANUAL]","",IFERROR(SUMPRODUCT((nNIA=Y738)*(nCUENTA=1)*(COUNTIF(CONFIG_ASIGNATURAS!$B$7:$B$27,nASIG)&gt;0)*(nNOTA))/SUMPRODUCT((nNIA=Y738)*(nCUENTA=1)*(COUNTIF(CONFIG_ASIGNATURAS!$B$7:$B$27,nASIG)&gt;0)*1),"")))</f>
        <v/>
      </c>
      <c r="AF738" t="str">
        <f>IF(AE738="","",IF(AE738="[FÓRMULA MANUAL]","",IFERROR(AVERAGEIFS(nNOTA,nNIA,AE738,nCUENTA,1,nASIG,"Análisis"),"")))</f>
        <v/>
      </c>
      <c r="AG738" t="str">
        <f>IF(AE738="","",IF(AE738="[FÓRMULA MANUAL]","",IFERROR(AVERAGEIFS(nNOTA,nNIA,AE738,nCUENTA,1,nASIG,"Orquesta/Banda/Conjunto"),"")))</f>
        <v/>
      </c>
      <c r="AH738" t="str">
        <f>IF(AE738="","",IF(AE738="[FÓRMULA MANUAL]","",IFERROR(AVERAGEIFS(nNOTA,nNIA,AE738,nCUENTA,1,nASIG,"Música de Cámara"),"")))</f>
        <v/>
      </c>
      <c r="AI738" t="str">
        <f>IF(AE738="","",IF(AE738="[FÓRMULA MANUAL]","",IFERROR(SUMPRODUCT((nNIA=AE738)*(nCUENTA=1)*(COUNTIF(CONFIG_ASIGNATURAS!$B$7:$B$27,nASIG)&gt;0)*(nNOTA))/SUMPRODUCT((nNIA=AE738)*(nCUENTA=1)*(COUNTIF(CONFIG_ASIGNATURAS!$B$7:$B$27,nASIG)&gt;0)*1),"")))</f>
        <v/>
      </c>
    </row>
    <row r="739" spans="2:35" x14ac:dyDescent="0.2">
      <c r="B739" t="str">
        <f>IF(A739="","",IF(A739="[FÓRMULA MANUAL]","",IFERROR(AVERAGEIFS(nNOTA,nNIA,A739,nCUENTA,1,nASIG,"Lenguaje Musical"),"")))</f>
        <v/>
      </c>
      <c r="C739" t="str">
        <f>IF(A739="","",IF(A739="[FÓRMULA MANUAL]","",IFERROR(AVERAGEIFS(nNOTA,nNIA,A739,nCUENTA,1,nASIG,"Orquesta/Banda/Conjunto"),"")))</f>
        <v/>
      </c>
      <c r="D739" t="str">
        <f>IF(A739="","",IF(A739="[FÓRMULA MANUAL]","",IFERROR(AVERAGEIFS(nNOTA,nNIA,A739,nCUENTA,1,nASIG,"Conjunto"),"")))</f>
        <v/>
      </c>
      <c r="E739" t="str">
        <f>IF(A739="","",IF(A739="[FÓRMULA MANUAL]","",IFERROR(SUMPRODUCT((nNIA=A739)*(nCUENTA=1)*(COUNTIF(CONFIG_ASIGNATURAS!$B$7:$B$27,nASIG)&gt;0)*(nNOTA))/SUMPRODUCT((nNIA=A739)*(nCUENTA=1)*(COUNTIF(CONFIG_ASIGNATURAS!$B$7:$B$27,nASIG)&gt;0)*1),"")))</f>
        <v/>
      </c>
      <c r="H739" t="str">
        <f>IF(G739="","",IF(G739="[FÓRMULA MANUAL]","",IFERROR(AVERAGEIFS(nNOTA,nNIA,G739,nCUENTA,1,nASIG,"Lenguaje Musical"),"")))</f>
        <v/>
      </c>
      <c r="I739" t="str">
        <f>IF(G739="","",IF(G739="[FÓRMULA MANUAL]","",IFERROR(AVERAGEIFS(nNOTA,nNIA,G739,nCUENTA,1,nASIG,"Orquesta/Banda/Conjunto"),"")))</f>
        <v/>
      </c>
      <c r="J739" t="str">
        <f>IF(G739="","",IF(G739="[FÓRMULA MANUAL]","",IFERROR(AVERAGEIFS(nNOTA,nNIA,G739,nCUENTA,1,nASIG,"Conjunto"),"")))</f>
        <v/>
      </c>
      <c r="K739" t="str">
        <f>IF(G739="","",IF(G739="[FÓRMULA MANUAL]","",IFERROR(SUMPRODUCT((nNIA=G739)*(nCUENTA=1)*(COUNTIF(CONFIG_ASIGNATURAS!$B$7:$B$27,nASIG)&gt;0)*(nNOTA))/SUMPRODUCT((nNIA=G739)*(nCUENTA=1)*(COUNTIF(CONFIG_ASIGNATURAS!$B$7:$B$27,nASIG)&gt;0)*1),"")))</f>
        <v/>
      </c>
      <c r="N739" t="str">
        <f>IF(M739="","",IF(M739="[FÓRMULA MANUAL]","",IFERROR(AVERAGEIFS(nNOTA,nNIA,M739,nCUENTA,1,nASIG,"Armonía"),"")))</f>
        <v/>
      </c>
      <c r="O739" t="str">
        <f>IF(M739="","",IF(M739="[FÓRMULA MANUAL]","",IFERROR(AVERAGEIFS(nNOTA,nNIA,M739,nCUENTA,1,nASIG,"Orquesta/Banda/Conjunto"),"")))</f>
        <v/>
      </c>
      <c r="P739" t="str">
        <f>IF(M739="","",IF(M739="[FÓRMULA MANUAL]","",IFERROR(AVERAGEIFS(nNOTA,nNIA,M739,nCUENTA,1,nASIG,"Música de Cámara"),"")))</f>
        <v/>
      </c>
      <c r="Q739" t="str">
        <f>IF(M739="","",IF(M739="[FÓRMULA MANUAL]","",IFERROR(SUMPRODUCT((nNIA=M739)*(nCUENTA=1)*(COUNTIF(CONFIG_ASIGNATURAS!$B$7:$B$27,nASIG)&gt;0)*(nNOTA))/SUMPRODUCT((nNIA=M739)*(nCUENTA=1)*(COUNTIF(CONFIG_ASIGNATURAS!$B$7:$B$27,nASIG)&gt;0)*1),"")))</f>
        <v/>
      </c>
      <c r="T739" t="str">
        <f>IF(S739="","",IF(S739="[FÓRMULA MANUAL]","",IFERROR(AVERAGEIFS(nNOTA,nNIA,S739,nCUENTA,1,nASIG,"Armonía"),"")))</f>
        <v/>
      </c>
      <c r="U739" t="str">
        <f>IF(S739="","",IF(S739="[FÓRMULA MANUAL]","",IFERROR(AVERAGEIFS(nNOTA,nNIA,S739,nCUENTA,1,nASIG,"Orquesta/Banda/Conjunto"),"")))</f>
        <v/>
      </c>
      <c r="V739" t="str">
        <f>IF(S739="","",IF(S739="[FÓRMULA MANUAL]","",IFERROR(AVERAGEIFS(nNOTA,nNIA,S739,nCUENTA,1,nASIG,"Música de Cámara"),"")))</f>
        <v/>
      </c>
      <c r="W739" t="str">
        <f>IF(S739="","",IF(S739="[FÓRMULA MANUAL]","",IFERROR(SUMPRODUCT((nNIA=S739)*(nCUENTA=1)*(COUNTIF(CONFIG_ASIGNATURAS!$B$7:$B$27,nASIG)&gt;0)*(nNOTA))/SUMPRODUCT((nNIA=S739)*(nCUENTA=1)*(COUNTIF(CONFIG_ASIGNATURAS!$B$7:$B$27,nASIG)&gt;0)*1),"")))</f>
        <v/>
      </c>
      <c r="Z739" t="str">
        <f>IF(Y739="","",IF(Y739="[FÓRMULA MANUAL]","",IFERROR(AVERAGEIFS(nNOTA,nNIA,Y739,nCUENTA,1,nASIG,"Análisis"),"")))</f>
        <v/>
      </c>
      <c r="AA739" t="str">
        <f>IF(Y739="","",IF(Y739="[FÓRMULA MANUAL]","",IFERROR(AVERAGEIFS(nNOTA,nNIA,Y739,nCUENTA,1,nASIG,"Orquesta/Banda/Conjunto"),"")))</f>
        <v/>
      </c>
      <c r="AB739" t="str">
        <f>IF(Y739="","",IF(Y739="[FÓRMULA MANUAL]","",IFERROR(AVERAGEIFS(nNOTA,nNIA,Y739,nCUENTA,1,nASIG,"Música de Cámara"),"")))</f>
        <v/>
      </c>
      <c r="AC739" t="str">
        <f>IF(Y739="","",IF(Y739="[FÓRMULA MANUAL]","",IFERROR(SUMPRODUCT((nNIA=Y739)*(nCUENTA=1)*(COUNTIF(CONFIG_ASIGNATURAS!$B$7:$B$27,nASIG)&gt;0)*(nNOTA))/SUMPRODUCT((nNIA=Y739)*(nCUENTA=1)*(COUNTIF(CONFIG_ASIGNATURAS!$B$7:$B$27,nASIG)&gt;0)*1),"")))</f>
        <v/>
      </c>
      <c r="AF739" t="str">
        <f>IF(AE739="","",IF(AE739="[FÓRMULA MANUAL]","",IFERROR(AVERAGEIFS(nNOTA,nNIA,AE739,nCUENTA,1,nASIG,"Análisis"),"")))</f>
        <v/>
      </c>
      <c r="AG739" t="str">
        <f>IF(AE739="","",IF(AE739="[FÓRMULA MANUAL]","",IFERROR(AVERAGEIFS(nNOTA,nNIA,AE739,nCUENTA,1,nASIG,"Orquesta/Banda/Conjunto"),"")))</f>
        <v/>
      </c>
      <c r="AH739" t="str">
        <f>IF(AE739="","",IF(AE739="[FÓRMULA MANUAL]","",IFERROR(AVERAGEIFS(nNOTA,nNIA,AE739,nCUENTA,1,nASIG,"Música de Cámara"),"")))</f>
        <v/>
      </c>
      <c r="AI739" t="str">
        <f>IF(AE739="","",IF(AE739="[FÓRMULA MANUAL]","",IFERROR(SUMPRODUCT((nNIA=AE739)*(nCUENTA=1)*(COUNTIF(CONFIG_ASIGNATURAS!$B$7:$B$27,nASIG)&gt;0)*(nNOTA))/SUMPRODUCT((nNIA=AE739)*(nCUENTA=1)*(COUNTIF(CONFIG_ASIGNATURAS!$B$7:$B$27,nASIG)&gt;0)*1),"")))</f>
        <v/>
      </c>
    </row>
    <row r="740" spans="2:35" x14ac:dyDescent="0.2">
      <c r="B740" t="str">
        <f>IF(A740="","",IF(A740="[FÓRMULA MANUAL]","",IFERROR(AVERAGEIFS(nNOTA,nNIA,A740,nCUENTA,1,nASIG,"Lenguaje Musical"),"")))</f>
        <v/>
      </c>
      <c r="C740" t="str">
        <f>IF(A740="","",IF(A740="[FÓRMULA MANUAL]","",IFERROR(AVERAGEIFS(nNOTA,nNIA,A740,nCUENTA,1,nASIG,"Orquesta/Banda/Conjunto"),"")))</f>
        <v/>
      </c>
      <c r="D740" t="str">
        <f>IF(A740="","",IF(A740="[FÓRMULA MANUAL]","",IFERROR(AVERAGEIFS(nNOTA,nNIA,A740,nCUENTA,1,nASIG,"Conjunto"),"")))</f>
        <v/>
      </c>
      <c r="E740" t="str">
        <f>IF(A740="","",IF(A740="[FÓRMULA MANUAL]","",IFERROR(SUMPRODUCT((nNIA=A740)*(nCUENTA=1)*(COUNTIF(CONFIG_ASIGNATURAS!$B$7:$B$27,nASIG)&gt;0)*(nNOTA))/SUMPRODUCT((nNIA=A740)*(nCUENTA=1)*(COUNTIF(CONFIG_ASIGNATURAS!$B$7:$B$27,nASIG)&gt;0)*1),"")))</f>
        <v/>
      </c>
      <c r="H740" t="str">
        <f>IF(G740="","",IF(G740="[FÓRMULA MANUAL]","",IFERROR(AVERAGEIFS(nNOTA,nNIA,G740,nCUENTA,1,nASIG,"Lenguaje Musical"),"")))</f>
        <v/>
      </c>
      <c r="I740" t="str">
        <f>IF(G740="","",IF(G740="[FÓRMULA MANUAL]","",IFERROR(AVERAGEIFS(nNOTA,nNIA,G740,nCUENTA,1,nASIG,"Orquesta/Banda/Conjunto"),"")))</f>
        <v/>
      </c>
      <c r="J740" t="str">
        <f>IF(G740="","",IF(G740="[FÓRMULA MANUAL]","",IFERROR(AVERAGEIFS(nNOTA,nNIA,G740,nCUENTA,1,nASIG,"Conjunto"),"")))</f>
        <v/>
      </c>
      <c r="K740" t="str">
        <f>IF(G740="","",IF(G740="[FÓRMULA MANUAL]","",IFERROR(SUMPRODUCT((nNIA=G740)*(nCUENTA=1)*(COUNTIF(CONFIG_ASIGNATURAS!$B$7:$B$27,nASIG)&gt;0)*(nNOTA))/SUMPRODUCT((nNIA=G740)*(nCUENTA=1)*(COUNTIF(CONFIG_ASIGNATURAS!$B$7:$B$27,nASIG)&gt;0)*1),"")))</f>
        <v/>
      </c>
      <c r="N740" t="str">
        <f>IF(M740="","",IF(M740="[FÓRMULA MANUAL]","",IFERROR(AVERAGEIFS(nNOTA,nNIA,M740,nCUENTA,1,nASIG,"Armonía"),"")))</f>
        <v/>
      </c>
      <c r="O740" t="str">
        <f>IF(M740="","",IF(M740="[FÓRMULA MANUAL]","",IFERROR(AVERAGEIFS(nNOTA,nNIA,M740,nCUENTA,1,nASIG,"Orquesta/Banda/Conjunto"),"")))</f>
        <v/>
      </c>
      <c r="P740" t="str">
        <f>IF(M740="","",IF(M740="[FÓRMULA MANUAL]","",IFERROR(AVERAGEIFS(nNOTA,nNIA,M740,nCUENTA,1,nASIG,"Música de Cámara"),"")))</f>
        <v/>
      </c>
      <c r="Q740" t="str">
        <f>IF(M740="","",IF(M740="[FÓRMULA MANUAL]","",IFERROR(SUMPRODUCT((nNIA=M740)*(nCUENTA=1)*(COUNTIF(CONFIG_ASIGNATURAS!$B$7:$B$27,nASIG)&gt;0)*(nNOTA))/SUMPRODUCT((nNIA=M740)*(nCUENTA=1)*(COUNTIF(CONFIG_ASIGNATURAS!$B$7:$B$27,nASIG)&gt;0)*1),"")))</f>
        <v/>
      </c>
      <c r="T740" t="str">
        <f>IF(S740="","",IF(S740="[FÓRMULA MANUAL]","",IFERROR(AVERAGEIFS(nNOTA,nNIA,S740,nCUENTA,1,nASIG,"Armonía"),"")))</f>
        <v/>
      </c>
      <c r="U740" t="str">
        <f>IF(S740="","",IF(S740="[FÓRMULA MANUAL]","",IFERROR(AVERAGEIFS(nNOTA,nNIA,S740,nCUENTA,1,nASIG,"Orquesta/Banda/Conjunto"),"")))</f>
        <v/>
      </c>
      <c r="V740" t="str">
        <f>IF(S740="","",IF(S740="[FÓRMULA MANUAL]","",IFERROR(AVERAGEIFS(nNOTA,nNIA,S740,nCUENTA,1,nASIG,"Música de Cámara"),"")))</f>
        <v/>
      </c>
      <c r="W740" t="str">
        <f>IF(S740="","",IF(S740="[FÓRMULA MANUAL]","",IFERROR(SUMPRODUCT((nNIA=S740)*(nCUENTA=1)*(COUNTIF(CONFIG_ASIGNATURAS!$B$7:$B$27,nASIG)&gt;0)*(nNOTA))/SUMPRODUCT((nNIA=S740)*(nCUENTA=1)*(COUNTIF(CONFIG_ASIGNATURAS!$B$7:$B$27,nASIG)&gt;0)*1),"")))</f>
        <v/>
      </c>
      <c r="Z740" t="str">
        <f>IF(Y740="","",IF(Y740="[FÓRMULA MANUAL]","",IFERROR(AVERAGEIFS(nNOTA,nNIA,Y740,nCUENTA,1,nASIG,"Análisis"),"")))</f>
        <v/>
      </c>
      <c r="AA740" t="str">
        <f>IF(Y740="","",IF(Y740="[FÓRMULA MANUAL]","",IFERROR(AVERAGEIFS(nNOTA,nNIA,Y740,nCUENTA,1,nASIG,"Orquesta/Banda/Conjunto"),"")))</f>
        <v/>
      </c>
      <c r="AB740" t="str">
        <f>IF(Y740="","",IF(Y740="[FÓRMULA MANUAL]","",IFERROR(AVERAGEIFS(nNOTA,nNIA,Y740,nCUENTA,1,nASIG,"Música de Cámara"),"")))</f>
        <v/>
      </c>
      <c r="AC740" t="str">
        <f>IF(Y740="","",IF(Y740="[FÓRMULA MANUAL]","",IFERROR(SUMPRODUCT((nNIA=Y740)*(nCUENTA=1)*(COUNTIF(CONFIG_ASIGNATURAS!$B$7:$B$27,nASIG)&gt;0)*(nNOTA))/SUMPRODUCT((nNIA=Y740)*(nCUENTA=1)*(COUNTIF(CONFIG_ASIGNATURAS!$B$7:$B$27,nASIG)&gt;0)*1),"")))</f>
        <v/>
      </c>
      <c r="AF740" t="str">
        <f>IF(AE740="","",IF(AE740="[FÓRMULA MANUAL]","",IFERROR(AVERAGEIFS(nNOTA,nNIA,AE740,nCUENTA,1,nASIG,"Análisis"),"")))</f>
        <v/>
      </c>
      <c r="AG740" t="str">
        <f>IF(AE740="","",IF(AE740="[FÓRMULA MANUAL]","",IFERROR(AVERAGEIFS(nNOTA,nNIA,AE740,nCUENTA,1,nASIG,"Orquesta/Banda/Conjunto"),"")))</f>
        <v/>
      </c>
      <c r="AH740" t="str">
        <f>IF(AE740="","",IF(AE740="[FÓRMULA MANUAL]","",IFERROR(AVERAGEIFS(nNOTA,nNIA,AE740,nCUENTA,1,nASIG,"Música de Cámara"),"")))</f>
        <v/>
      </c>
      <c r="AI740" t="str">
        <f>IF(AE740="","",IF(AE740="[FÓRMULA MANUAL]","",IFERROR(SUMPRODUCT((nNIA=AE740)*(nCUENTA=1)*(COUNTIF(CONFIG_ASIGNATURAS!$B$7:$B$27,nASIG)&gt;0)*(nNOTA))/SUMPRODUCT((nNIA=AE740)*(nCUENTA=1)*(COUNTIF(CONFIG_ASIGNATURAS!$B$7:$B$27,nASIG)&gt;0)*1),"")))</f>
        <v/>
      </c>
    </row>
    <row r="741" spans="2:35" x14ac:dyDescent="0.2">
      <c r="B741" t="str">
        <f>IF(A741="","",IF(A741="[FÓRMULA MANUAL]","",IFERROR(AVERAGEIFS(nNOTA,nNIA,A741,nCUENTA,1,nASIG,"Lenguaje Musical"),"")))</f>
        <v/>
      </c>
      <c r="C741" t="str">
        <f>IF(A741="","",IF(A741="[FÓRMULA MANUAL]","",IFERROR(AVERAGEIFS(nNOTA,nNIA,A741,nCUENTA,1,nASIG,"Orquesta/Banda/Conjunto"),"")))</f>
        <v/>
      </c>
      <c r="D741" t="str">
        <f>IF(A741="","",IF(A741="[FÓRMULA MANUAL]","",IFERROR(AVERAGEIFS(nNOTA,nNIA,A741,nCUENTA,1,nASIG,"Conjunto"),"")))</f>
        <v/>
      </c>
      <c r="E741" t="str">
        <f>IF(A741="","",IF(A741="[FÓRMULA MANUAL]","",IFERROR(SUMPRODUCT((nNIA=A741)*(nCUENTA=1)*(COUNTIF(CONFIG_ASIGNATURAS!$B$7:$B$27,nASIG)&gt;0)*(nNOTA))/SUMPRODUCT((nNIA=A741)*(nCUENTA=1)*(COUNTIF(CONFIG_ASIGNATURAS!$B$7:$B$27,nASIG)&gt;0)*1),"")))</f>
        <v/>
      </c>
      <c r="H741" t="str">
        <f>IF(G741="","",IF(G741="[FÓRMULA MANUAL]","",IFERROR(AVERAGEIFS(nNOTA,nNIA,G741,nCUENTA,1,nASIG,"Lenguaje Musical"),"")))</f>
        <v/>
      </c>
      <c r="I741" t="str">
        <f>IF(G741="","",IF(G741="[FÓRMULA MANUAL]","",IFERROR(AVERAGEIFS(nNOTA,nNIA,G741,nCUENTA,1,nASIG,"Orquesta/Banda/Conjunto"),"")))</f>
        <v/>
      </c>
      <c r="J741" t="str">
        <f>IF(G741="","",IF(G741="[FÓRMULA MANUAL]","",IFERROR(AVERAGEIFS(nNOTA,nNIA,G741,nCUENTA,1,nASIG,"Conjunto"),"")))</f>
        <v/>
      </c>
      <c r="K741" t="str">
        <f>IF(G741="","",IF(G741="[FÓRMULA MANUAL]","",IFERROR(SUMPRODUCT((nNIA=G741)*(nCUENTA=1)*(COUNTIF(CONFIG_ASIGNATURAS!$B$7:$B$27,nASIG)&gt;0)*(nNOTA))/SUMPRODUCT((nNIA=G741)*(nCUENTA=1)*(COUNTIF(CONFIG_ASIGNATURAS!$B$7:$B$27,nASIG)&gt;0)*1),"")))</f>
        <v/>
      </c>
      <c r="N741" t="str">
        <f>IF(M741="","",IF(M741="[FÓRMULA MANUAL]","",IFERROR(AVERAGEIFS(nNOTA,nNIA,M741,nCUENTA,1,nASIG,"Armonía"),"")))</f>
        <v/>
      </c>
      <c r="O741" t="str">
        <f>IF(M741="","",IF(M741="[FÓRMULA MANUAL]","",IFERROR(AVERAGEIFS(nNOTA,nNIA,M741,nCUENTA,1,nASIG,"Orquesta/Banda/Conjunto"),"")))</f>
        <v/>
      </c>
      <c r="P741" t="str">
        <f>IF(M741="","",IF(M741="[FÓRMULA MANUAL]","",IFERROR(AVERAGEIFS(nNOTA,nNIA,M741,nCUENTA,1,nASIG,"Música de Cámara"),"")))</f>
        <v/>
      </c>
      <c r="Q741" t="str">
        <f>IF(M741="","",IF(M741="[FÓRMULA MANUAL]","",IFERROR(SUMPRODUCT((nNIA=M741)*(nCUENTA=1)*(COUNTIF(CONFIG_ASIGNATURAS!$B$7:$B$27,nASIG)&gt;0)*(nNOTA))/SUMPRODUCT((nNIA=M741)*(nCUENTA=1)*(COUNTIF(CONFIG_ASIGNATURAS!$B$7:$B$27,nASIG)&gt;0)*1),"")))</f>
        <v/>
      </c>
      <c r="T741" t="str">
        <f>IF(S741="","",IF(S741="[FÓRMULA MANUAL]","",IFERROR(AVERAGEIFS(nNOTA,nNIA,S741,nCUENTA,1,nASIG,"Armonía"),"")))</f>
        <v/>
      </c>
      <c r="U741" t="str">
        <f>IF(S741="","",IF(S741="[FÓRMULA MANUAL]","",IFERROR(AVERAGEIFS(nNOTA,nNIA,S741,nCUENTA,1,nASIG,"Orquesta/Banda/Conjunto"),"")))</f>
        <v/>
      </c>
      <c r="V741" t="str">
        <f>IF(S741="","",IF(S741="[FÓRMULA MANUAL]","",IFERROR(AVERAGEIFS(nNOTA,nNIA,S741,nCUENTA,1,nASIG,"Música de Cámara"),"")))</f>
        <v/>
      </c>
      <c r="W741" t="str">
        <f>IF(S741="","",IF(S741="[FÓRMULA MANUAL]","",IFERROR(SUMPRODUCT((nNIA=S741)*(nCUENTA=1)*(COUNTIF(CONFIG_ASIGNATURAS!$B$7:$B$27,nASIG)&gt;0)*(nNOTA))/SUMPRODUCT((nNIA=S741)*(nCUENTA=1)*(COUNTIF(CONFIG_ASIGNATURAS!$B$7:$B$27,nASIG)&gt;0)*1),"")))</f>
        <v/>
      </c>
      <c r="Z741" t="str">
        <f>IF(Y741="","",IF(Y741="[FÓRMULA MANUAL]","",IFERROR(AVERAGEIFS(nNOTA,nNIA,Y741,nCUENTA,1,nASIG,"Análisis"),"")))</f>
        <v/>
      </c>
      <c r="AA741" t="str">
        <f>IF(Y741="","",IF(Y741="[FÓRMULA MANUAL]","",IFERROR(AVERAGEIFS(nNOTA,nNIA,Y741,nCUENTA,1,nASIG,"Orquesta/Banda/Conjunto"),"")))</f>
        <v/>
      </c>
      <c r="AB741" t="str">
        <f>IF(Y741="","",IF(Y741="[FÓRMULA MANUAL]","",IFERROR(AVERAGEIFS(nNOTA,nNIA,Y741,nCUENTA,1,nASIG,"Música de Cámara"),"")))</f>
        <v/>
      </c>
      <c r="AC741" t="str">
        <f>IF(Y741="","",IF(Y741="[FÓRMULA MANUAL]","",IFERROR(SUMPRODUCT((nNIA=Y741)*(nCUENTA=1)*(COUNTIF(CONFIG_ASIGNATURAS!$B$7:$B$27,nASIG)&gt;0)*(nNOTA))/SUMPRODUCT((nNIA=Y741)*(nCUENTA=1)*(COUNTIF(CONFIG_ASIGNATURAS!$B$7:$B$27,nASIG)&gt;0)*1),"")))</f>
        <v/>
      </c>
      <c r="AF741" t="str">
        <f>IF(AE741="","",IF(AE741="[FÓRMULA MANUAL]","",IFERROR(AVERAGEIFS(nNOTA,nNIA,AE741,nCUENTA,1,nASIG,"Análisis"),"")))</f>
        <v/>
      </c>
      <c r="AG741" t="str">
        <f>IF(AE741="","",IF(AE741="[FÓRMULA MANUAL]","",IFERROR(AVERAGEIFS(nNOTA,nNIA,AE741,nCUENTA,1,nASIG,"Orquesta/Banda/Conjunto"),"")))</f>
        <v/>
      </c>
      <c r="AH741" t="str">
        <f>IF(AE741="","",IF(AE741="[FÓRMULA MANUAL]","",IFERROR(AVERAGEIFS(nNOTA,nNIA,AE741,nCUENTA,1,nASIG,"Música de Cámara"),"")))</f>
        <v/>
      </c>
      <c r="AI741" t="str">
        <f>IF(AE741="","",IF(AE741="[FÓRMULA MANUAL]","",IFERROR(SUMPRODUCT((nNIA=AE741)*(nCUENTA=1)*(COUNTIF(CONFIG_ASIGNATURAS!$B$7:$B$27,nASIG)&gt;0)*(nNOTA))/SUMPRODUCT((nNIA=AE741)*(nCUENTA=1)*(COUNTIF(CONFIG_ASIGNATURAS!$B$7:$B$27,nASIG)&gt;0)*1),"")))</f>
        <v/>
      </c>
    </row>
    <row r="742" spans="2:35" x14ac:dyDescent="0.2">
      <c r="B742" t="str">
        <f>IF(A742="","",IF(A742="[FÓRMULA MANUAL]","",IFERROR(AVERAGEIFS(nNOTA,nNIA,A742,nCUENTA,1,nASIG,"Lenguaje Musical"),"")))</f>
        <v/>
      </c>
      <c r="C742" t="str">
        <f>IF(A742="","",IF(A742="[FÓRMULA MANUAL]","",IFERROR(AVERAGEIFS(nNOTA,nNIA,A742,nCUENTA,1,nASIG,"Orquesta/Banda/Conjunto"),"")))</f>
        <v/>
      </c>
      <c r="D742" t="str">
        <f>IF(A742="","",IF(A742="[FÓRMULA MANUAL]","",IFERROR(AVERAGEIFS(nNOTA,nNIA,A742,nCUENTA,1,nASIG,"Conjunto"),"")))</f>
        <v/>
      </c>
      <c r="E742" t="str">
        <f>IF(A742="","",IF(A742="[FÓRMULA MANUAL]","",IFERROR(SUMPRODUCT((nNIA=A742)*(nCUENTA=1)*(COUNTIF(CONFIG_ASIGNATURAS!$B$7:$B$27,nASIG)&gt;0)*(nNOTA))/SUMPRODUCT((nNIA=A742)*(nCUENTA=1)*(COUNTIF(CONFIG_ASIGNATURAS!$B$7:$B$27,nASIG)&gt;0)*1),"")))</f>
        <v/>
      </c>
      <c r="H742" t="str">
        <f>IF(G742="","",IF(G742="[FÓRMULA MANUAL]","",IFERROR(AVERAGEIFS(nNOTA,nNIA,G742,nCUENTA,1,nASIG,"Lenguaje Musical"),"")))</f>
        <v/>
      </c>
      <c r="I742" t="str">
        <f>IF(G742="","",IF(G742="[FÓRMULA MANUAL]","",IFERROR(AVERAGEIFS(nNOTA,nNIA,G742,nCUENTA,1,nASIG,"Orquesta/Banda/Conjunto"),"")))</f>
        <v/>
      </c>
      <c r="J742" t="str">
        <f>IF(G742="","",IF(G742="[FÓRMULA MANUAL]","",IFERROR(AVERAGEIFS(nNOTA,nNIA,G742,nCUENTA,1,nASIG,"Conjunto"),"")))</f>
        <v/>
      </c>
      <c r="K742" t="str">
        <f>IF(G742="","",IF(G742="[FÓRMULA MANUAL]","",IFERROR(SUMPRODUCT((nNIA=G742)*(nCUENTA=1)*(COUNTIF(CONFIG_ASIGNATURAS!$B$7:$B$27,nASIG)&gt;0)*(nNOTA))/SUMPRODUCT((nNIA=G742)*(nCUENTA=1)*(COUNTIF(CONFIG_ASIGNATURAS!$B$7:$B$27,nASIG)&gt;0)*1),"")))</f>
        <v/>
      </c>
      <c r="N742" t="str">
        <f>IF(M742="","",IF(M742="[FÓRMULA MANUAL]","",IFERROR(AVERAGEIFS(nNOTA,nNIA,M742,nCUENTA,1,nASIG,"Armonía"),"")))</f>
        <v/>
      </c>
      <c r="O742" t="str">
        <f>IF(M742="","",IF(M742="[FÓRMULA MANUAL]","",IFERROR(AVERAGEIFS(nNOTA,nNIA,M742,nCUENTA,1,nASIG,"Orquesta/Banda/Conjunto"),"")))</f>
        <v/>
      </c>
      <c r="P742" t="str">
        <f>IF(M742="","",IF(M742="[FÓRMULA MANUAL]","",IFERROR(AVERAGEIFS(nNOTA,nNIA,M742,nCUENTA,1,nASIG,"Música de Cámara"),"")))</f>
        <v/>
      </c>
      <c r="Q742" t="str">
        <f>IF(M742="","",IF(M742="[FÓRMULA MANUAL]","",IFERROR(SUMPRODUCT((nNIA=M742)*(nCUENTA=1)*(COUNTIF(CONFIG_ASIGNATURAS!$B$7:$B$27,nASIG)&gt;0)*(nNOTA))/SUMPRODUCT((nNIA=M742)*(nCUENTA=1)*(COUNTIF(CONFIG_ASIGNATURAS!$B$7:$B$27,nASIG)&gt;0)*1),"")))</f>
        <v/>
      </c>
      <c r="T742" t="str">
        <f>IF(S742="","",IF(S742="[FÓRMULA MANUAL]","",IFERROR(AVERAGEIFS(nNOTA,nNIA,S742,nCUENTA,1,nASIG,"Armonía"),"")))</f>
        <v/>
      </c>
      <c r="U742" t="str">
        <f>IF(S742="","",IF(S742="[FÓRMULA MANUAL]","",IFERROR(AVERAGEIFS(nNOTA,nNIA,S742,nCUENTA,1,nASIG,"Orquesta/Banda/Conjunto"),"")))</f>
        <v/>
      </c>
      <c r="V742" t="str">
        <f>IF(S742="","",IF(S742="[FÓRMULA MANUAL]","",IFERROR(AVERAGEIFS(nNOTA,nNIA,S742,nCUENTA,1,nASIG,"Música de Cámara"),"")))</f>
        <v/>
      </c>
      <c r="W742" t="str">
        <f>IF(S742="","",IF(S742="[FÓRMULA MANUAL]","",IFERROR(SUMPRODUCT((nNIA=S742)*(nCUENTA=1)*(COUNTIF(CONFIG_ASIGNATURAS!$B$7:$B$27,nASIG)&gt;0)*(nNOTA))/SUMPRODUCT((nNIA=S742)*(nCUENTA=1)*(COUNTIF(CONFIG_ASIGNATURAS!$B$7:$B$27,nASIG)&gt;0)*1),"")))</f>
        <v/>
      </c>
      <c r="Z742" t="str">
        <f>IF(Y742="","",IF(Y742="[FÓRMULA MANUAL]","",IFERROR(AVERAGEIFS(nNOTA,nNIA,Y742,nCUENTA,1,nASIG,"Análisis"),"")))</f>
        <v/>
      </c>
      <c r="AA742" t="str">
        <f>IF(Y742="","",IF(Y742="[FÓRMULA MANUAL]","",IFERROR(AVERAGEIFS(nNOTA,nNIA,Y742,nCUENTA,1,nASIG,"Orquesta/Banda/Conjunto"),"")))</f>
        <v/>
      </c>
      <c r="AB742" t="str">
        <f>IF(Y742="","",IF(Y742="[FÓRMULA MANUAL]","",IFERROR(AVERAGEIFS(nNOTA,nNIA,Y742,nCUENTA,1,nASIG,"Música de Cámara"),"")))</f>
        <v/>
      </c>
      <c r="AC742" t="str">
        <f>IF(Y742="","",IF(Y742="[FÓRMULA MANUAL]","",IFERROR(SUMPRODUCT((nNIA=Y742)*(nCUENTA=1)*(COUNTIF(CONFIG_ASIGNATURAS!$B$7:$B$27,nASIG)&gt;0)*(nNOTA))/SUMPRODUCT((nNIA=Y742)*(nCUENTA=1)*(COUNTIF(CONFIG_ASIGNATURAS!$B$7:$B$27,nASIG)&gt;0)*1),"")))</f>
        <v/>
      </c>
      <c r="AF742" t="str">
        <f>IF(AE742="","",IF(AE742="[FÓRMULA MANUAL]","",IFERROR(AVERAGEIFS(nNOTA,nNIA,AE742,nCUENTA,1,nASIG,"Análisis"),"")))</f>
        <v/>
      </c>
      <c r="AG742" t="str">
        <f>IF(AE742="","",IF(AE742="[FÓRMULA MANUAL]","",IFERROR(AVERAGEIFS(nNOTA,nNIA,AE742,nCUENTA,1,nASIG,"Orquesta/Banda/Conjunto"),"")))</f>
        <v/>
      </c>
      <c r="AH742" t="str">
        <f>IF(AE742="","",IF(AE742="[FÓRMULA MANUAL]","",IFERROR(AVERAGEIFS(nNOTA,nNIA,AE742,nCUENTA,1,nASIG,"Música de Cámara"),"")))</f>
        <v/>
      </c>
      <c r="AI742" t="str">
        <f>IF(AE742="","",IF(AE742="[FÓRMULA MANUAL]","",IFERROR(SUMPRODUCT((nNIA=AE742)*(nCUENTA=1)*(COUNTIF(CONFIG_ASIGNATURAS!$B$7:$B$27,nASIG)&gt;0)*(nNOTA))/SUMPRODUCT((nNIA=AE742)*(nCUENTA=1)*(COUNTIF(CONFIG_ASIGNATURAS!$B$7:$B$27,nASIG)&gt;0)*1),"")))</f>
        <v/>
      </c>
    </row>
    <row r="743" spans="2:35" x14ac:dyDescent="0.2">
      <c r="B743" t="str">
        <f>IF(A743="","",IF(A743="[FÓRMULA MANUAL]","",IFERROR(AVERAGEIFS(nNOTA,nNIA,A743,nCUENTA,1,nASIG,"Lenguaje Musical"),"")))</f>
        <v/>
      </c>
      <c r="C743" t="str">
        <f>IF(A743="","",IF(A743="[FÓRMULA MANUAL]","",IFERROR(AVERAGEIFS(nNOTA,nNIA,A743,nCUENTA,1,nASIG,"Orquesta/Banda/Conjunto"),"")))</f>
        <v/>
      </c>
      <c r="D743" t="str">
        <f>IF(A743="","",IF(A743="[FÓRMULA MANUAL]","",IFERROR(AVERAGEIFS(nNOTA,nNIA,A743,nCUENTA,1,nASIG,"Conjunto"),"")))</f>
        <v/>
      </c>
      <c r="E743" t="str">
        <f>IF(A743="","",IF(A743="[FÓRMULA MANUAL]","",IFERROR(SUMPRODUCT((nNIA=A743)*(nCUENTA=1)*(COUNTIF(CONFIG_ASIGNATURAS!$B$7:$B$27,nASIG)&gt;0)*(nNOTA))/SUMPRODUCT((nNIA=A743)*(nCUENTA=1)*(COUNTIF(CONFIG_ASIGNATURAS!$B$7:$B$27,nASIG)&gt;0)*1),"")))</f>
        <v/>
      </c>
      <c r="H743" t="str">
        <f>IF(G743="","",IF(G743="[FÓRMULA MANUAL]","",IFERROR(AVERAGEIFS(nNOTA,nNIA,G743,nCUENTA,1,nASIG,"Lenguaje Musical"),"")))</f>
        <v/>
      </c>
      <c r="I743" t="str">
        <f>IF(G743="","",IF(G743="[FÓRMULA MANUAL]","",IFERROR(AVERAGEIFS(nNOTA,nNIA,G743,nCUENTA,1,nASIG,"Orquesta/Banda/Conjunto"),"")))</f>
        <v/>
      </c>
      <c r="J743" t="str">
        <f>IF(G743="","",IF(G743="[FÓRMULA MANUAL]","",IFERROR(AVERAGEIFS(nNOTA,nNIA,G743,nCUENTA,1,nASIG,"Conjunto"),"")))</f>
        <v/>
      </c>
      <c r="K743" t="str">
        <f>IF(G743="","",IF(G743="[FÓRMULA MANUAL]","",IFERROR(SUMPRODUCT((nNIA=G743)*(nCUENTA=1)*(COUNTIF(CONFIG_ASIGNATURAS!$B$7:$B$27,nASIG)&gt;0)*(nNOTA))/SUMPRODUCT((nNIA=G743)*(nCUENTA=1)*(COUNTIF(CONFIG_ASIGNATURAS!$B$7:$B$27,nASIG)&gt;0)*1),"")))</f>
        <v/>
      </c>
      <c r="N743" t="str">
        <f>IF(M743="","",IF(M743="[FÓRMULA MANUAL]","",IFERROR(AVERAGEIFS(nNOTA,nNIA,M743,nCUENTA,1,nASIG,"Armonía"),"")))</f>
        <v/>
      </c>
      <c r="O743" t="str">
        <f>IF(M743="","",IF(M743="[FÓRMULA MANUAL]","",IFERROR(AVERAGEIFS(nNOTA,nNIA,M743,nCUENTA,1,nASIG,"Orquesta/Banda/Conjunto"),"")))</f>
        <v/>
      </c>
      <c r="P743" t="str">
        <f>IF(M743="","",IF(M743="[FÓRMULA MANUAL]","",IFERROR(AVERAGEIFS(nNOTA,nNIA,M743,nCUENTA,1,nASIG,"Música de Cámara"),"")))</f>
        <v/>
      </c>
      <c r="Q743" t="str">
        <f>IF(M743="","",IF(M743="[FÓRMULA MANUAL]","",IFERROR(SUMPRODUCT((nNIA=M743)*(nCUENTA=1)*(COUNTIF(CONFIG_ASIGNATURAS!$B$7:$B$27,nASIG)&gt;0)*(nNOTA))/SUMPRODUCT((nNIA=M743)*(nCUENTA=1)*(COUNTIF(CONFIG_ASIGNATURAS!$B$7:$B$27,nASIG)&gt;0)*1),"")))</f>
        <v/>
      </c>
      <c r="T743" t="str">
        <f>IF(S743="","",IF(S743="[FÓRMULA MANUAL]","",IFERROR(AVERAGEIFS(nNOTA,nNIA,S743,nCUENTA,1,nASIG,"Armonía"),"")))</f>
        <v/>
      </c>
      <c r="U743" t="str">
        <f>IF(S743="","",IF(S743="[FÓRMULA MANUAL]","",IFERROR(AVERAGEIFS(nNOTA,nNIA,S743,nCUENTA,1,nASIG,"Orquesta/Banda/Conjunto"),"")))</f>
        <v/>
      </c>
      <c r="V743" t="str">
        <f>IF(S743="","",IF(S743="[FÓRMULA MANUAL]","",IFERROR(AVERAGEIFS(nNOTA,nNIA,S743,nCUENTA,1,nASIG,"Música de Cámara"),"")))</f>
        <v/>
      </c>
      <c r="W743" t="str">
        <f>IF(S743="","",IF(S743="[FÓRMULA MANUAL]","",IFERROR(SUMPRODUCT((nNIA=S743)*(nCUENTA=1)*(COUNTIF(CONFIG_ASIGNATURAS!$B$7:$B$27,nASIG)&gt;0)*(nNOTA))/SUMPRODUCT((nNIA=S743)*(nCUENTA=1)*(COUNTIF(CONFIG_ASIGNATURAS!$B$7:$B$27,nASIG)&gt;0)*1),"")))</f>
        <v/>
      </c>
      <c r="Z743" t="str">
        <f>IF(Y743="","",IF(Y743="[FÓRMULA MANUAL]","",IFERROR(AVERAGEIFS(nNOTA,nNIA,Y743,nCUENTA,1,nASIG,"Análisis"),"")))</f>
        <v/>
      </c>
      <c r="AA743" t="str">
        <f>IF(Y743="","",IF(Y743="[FÓRMULA MANUAL]","",IFERROR(AVERAGEIFS(nNOTA,nNIA,Y743,nCUENTA,1,nASIG,"Orquesta/Banda/Conjunto"),"")))</f>
        <v/>
      </c>
      <c r="AB743" t="str">
        <f>IF(Y743="","",IF(Y743="[FÓRMULA MANUAL]","",IFERROR(AVERAGEIFS(nNOTA,nNIA,Y743,nCUENTA,1,nASIG,"Música de Cámara"),"")))</f>
        <v/>
      </c>
      <c r="AC743" t="str">
        <f>IF(Y743="","",IF(Y743="[FÓRMULA MANUAL]","",IFERROR(SUMPRODUCT((nNIA=Y743)*(nCUENTA=1)*(COUNTIF(CONFIG_ASIGNATURAS!$B$7:$B$27,nASIG)&gt;0)*(nNOTA))/SUMPRODUCT((nNIA=Y743)*(nCUENTA=1)*(COUNTIF(CONFIG_ASIGNATURAS!$B$7:$B$27,nASIG)&gt;0)*1),"")))</f>
        <v/>
      </c>
      <c r="AF743" t="str">
        <f>IF(AE743="","",IF(AE743="[FÓRMULA MANUAL]","",IFERROR(AVERAGEIFS(nNOTA,nNIA,AE743,nCUENTA,1,nASIG,"Análisis"),"")))</f>
        <v/>
      </c>
      <c r="AG743" t="str">
        <f>IF(AE743="","",IF(AE743="[FÓRMULA MANUAL]","",IFERROR(AVERAGEIFS(nNOTA,nNIA,AE743,nCUENTA,1,nASIG,"Orquesta/Banda/Conjunto"),"")))</f>
        <v/>
      </c>
      <c r="AH743" t="str">
        <f>IF(AE743="","",IF(AE743="[FÓRMULA MANUAL]","",IFERROR(AVERAGEIFS(nNOTA,nNIA,AE743,nCUENTA,1,nASIG,"Música de Cámara"),"")))</f>
        <v/>
      </c>
      <c r="AI743" t="str">
        <f>IF(AE743="","",IF(AE743="[FÓRMULA MANUAL]","",IFERROR(SUMPRODUCT((nNIA=AE743)*(nCUENTA=1)*(COUNTIF(CONFIG_ASIGNATURAS!$B$7:$B$27,nASIG)&gt;0)*(nNOTA))/SUMPRODUCT((nNIA=AE743)*(nCUENTA=1)*(COUNTIF(CONFIG_ASIGNATURAS!$B$7:$B$27,nASIG)&gt;0)*1),"")))</f>
        <v/>
      </c>
    </row>
    <row r="744" spans="2:35" x14ac:dyDescent="0.2">
      <c r="B744" t="str">
        <f>IF(A744="","",IF(A744="[FÓRMULA MANUAL]","",IFERROR(AVERAGEIFS(nNOTA,nNIA,A744,nCUENTA,1,nASIG,"Lenguaje Musical"),"")))</f>
        <v/>
      </c>
      <c r="C744" t="str">
        <f>IF(A744="","",IF(A744="[FÓRMULA MANUAL]","",IFERROR(AVERAGEIFS(nNOTA,nNIA,A744,nCUENTA,1,nASIG,"Orquesta/Banda/Conjunto"),"")))</f>
        <v/>
      </c>
      <c r="D744" t="str">
        <f>IF(A744="","",IF(A744="[FÓRMULA MANUAL]","",IFERROR(AVERAGEIFS(nNOTA,nNIA,A744,nCUENTA,1,nASIG,"Conjunto"),"")))</f>
        <v/>
      </c>
      <c r="E744" t="str">
        <f>IF(A744="","",IF(A744="[FÓRMULA MANUAL]","",IFERROR(SUMPRODUCT((nNIA=A744)*(nCUENTA=1)*(COUNTIF(CONFIG_ASIGNATURAS!$B$7:$B$27,nASIG)&gt;0)*(nNOTA))/SUMPRODUCT((nNIA=A744)*(nCUENTA=1)*(COUNTIF(CONFIG_ASIGNATURAS!$B$7:$B$27,nASIG)&gt;0)*1),"")))</f>
        <v/>
      </c>
      <c r="H744" t="str">
        <f>IF(G744="","",IF(G744="[FÓRMULA MANUAL]","",IFERROR(AVERAGEIFS(nNOTA,nNIA,G744,nCUENTA,1,nASIG,"Lenguaje Musical"),"")))</f>
        <v/>
      </c>
      <c r="I744" t="str">
        <f>IF(G744="","",IF(G744="[FÓRMULA MANUAL]","",IFERROR(AVERAGEIFS(nNOTA,nNIA,G744,nCUENTA,1,nASIG,"Orquesta/Banda/Conjunto"),"")))</f>
        <v/>
      </c>
      <c r="J744" t="str">
        <f>IF(G744="","",IF(G744="[FÓRMULA MANUAL]","",IFERROR(AVERAGEIFS(nNOTA,nNIA,G744,nCUENTA,1,nASIG,"Conjunto"),"")))</f>
        <v/>
      </c>
      <c r="K744" t="str">
        <f>IF(G744="","",IF(G744="[FÓRMULA MANUAL]","",IFERROR(SUMPRODUCT((nNIA=G744)*(nCUENTA=1)*(COUNTIF(CONFIG_ASIGNATURAS!$B$7:$B$27,nASIG)&gt;0)*(nNOTA))/SUMPRODUCT((nNIA=G744)*(nCUENTA=1)*(COUNTIF(CONFIG_ASIGNATURAS!$B$7:$B$27,nASIG)&gt;0)*1),"")))</f>
        <v/>
      </c>
      <c r="N744" t="str">
        <f>IF(M744="","",IF(M744="[FÓRMULA MANUAL]","",IFERROR(AVERAGEIFS(nNOTA,nNIA,M744,nCUENTA,1,nASIG,"Armonía"),"")))</f>
        <v/>
      </c>
      <c r="O744" t="str">
        <f>IF(M744="","",IF(M744="[FÓRMULA MANUAL]","",IFERROR(AVERAGEIFS(nNOTA,nNIA,M744,nCUENTA,1,nASIG,"Orquesta/Banda/Conjunto"),"")))</f>
        <v/>
      </c>
      <c r="P744" t="str">
        <f>IF(M744="","",IF(M744="[FÓRMULA MANUAL]","",IFERROR(AVERAGEIFS(nNOTA,nNIA,M744,nCUENTA,1,nASIG,"Música de Cámara"),"")))</f>
        <v/>
      </c>
      <c r="Q744" t="str">
        <f>IF(M744="","",IF(M744="[FÓRMULA MANUAL]","",IFERROR(SUMPRODUCT((nNIA=M744)*(nCUENTA=1)*(COUNTIF(CONFIG_ASIGNATURAS!$B$7:$B$27,nASIG)&gt;0)*(nNOTA))/SUMPRODUCT((nNIA=M744)*(nCUENTA=1)*(COUNTIF(CONFIG_ASIGNATURAS!$B$7:$B$27,nASIG)&gt;0)*1),"")))</f>
        <v/>
      </c>
      <c r="T744" t="str">
        <f>IF(S744="","",IF(S744="[FÓRMULA MANUAL]","",IFERROR(AVERAGEIFS(nNOTA,nNIA,S744,nCUENTA,1,nASIG,"Armonía"),"")))</f>
        <v/>
      </c>
      <c r="U744" t="str">
        <f>IF(S744="","",IF(S744="[FÓRMULA MANUAL]","",IFERROR(AVERAGEIFS(nNOTA,nNIA,S744,nCUENTA,1,nASIG,"Orquesta/Banda/Conjunto"),"")))</f>
        <v/>
      </c>
      <c r="V744" t="str">
        <f>IF(S744="","",IF(S744="[FÓRMULA MANUAL]","",IFERROR(AVERAGEIFS(nNOTA,nNIA,S744,nCUENTA,1,nASIG,"Música de Cámara"),"")))</f>
        <v/>
      </c>
      <c r="W744" t="str">
        <f>IF(S744="","",IF(S744="[FÓRMULA MANUAL]","",IFERROR(SUMPRODUCT((nNIA=S744)*(nCUENTA=1)*(COUNTIF(CONFIG_ASIGNATURAS!$B$7:$B$27,nASIG)&gt;0)*(nNOTA))/SUMPRODUCT((nNIA=S744)*(nCUENTA=1)*(COUNTIF(CONFIG_ASIGNATURAS!$B$7:$B$27,nASIG)&gt;0)*1),"")))</f>
        <v/>
      </c>
      <c r="Z744" t="str">
        <f>IF(Y744="","",IF(Y744="[FÓRMULA MANUAL]","",IFERROR(AVERAGEIFS(nNOTA,nNIA,Y744,nCUENTA,1,nASIG,"Análisis"),"")))</f>
        <v/>
      </c>
      <c r="AA744" t="str">
        <f>IF(Y744="","",IF(Y744="[FÓRMULA MANUAL]","",IFERROR(AVERAGEIFS(nNOTA,nNIA,Y744,nCUENTA,1,nASIG,"Orquesta/Banda/Conjunto"),"")))</f>
        <v/>
      </c>
      <c r="AB744" t="str">
        <f>IF(Y744="","",IF(Y744="[FÓRMULA MANUAL]","",IFERROR(AVERAGEIFS(nNOTA,nNIA,Y744,nCUENTA,1,nASIG,"Música de Cámara"),"")))</f>
        <v/>
      </c>
      <c r="AC744" t="str">
        <f>IF(Y744="","",IF(Y744="[FÓRMULA MANUAL]","",IFERROR(SUMPRODUCT((nNIA=Y744)*(nCUENTA=1)*(COUNTIF(CONFIG_ASIGNATURAS!$B$7:$B$27,nASIG)&gt;0)*(nNOTA))/SUMPRODUCT((nNIA=Y744)*(nCUENTA=1)*(COUNTIF(CONFIG_ASIGNATURAS!$B$7:$B$27,nASIG)&gt;0)*1),"")))</f>
        <v/>
      </c>
      <c r="AF744" t="str">
        <f>IF(AE744="","",IF(AE744="[FÓRMULA MANUAL]","",IFERROR(AVERAGEIFS(nNOTA,nNIA,AE744,nCUENTA,1,nASIG,"Análisis"),"")))</f>
        <v/>
      </c>
      <c r="AG744" t="str">
        <f>IF(AE744="","",IF(AE744="[FÓRMULA MANUAL]","",IFERROR(AVERAGEIFS(nNOTA,nNIA,AE744,nCUENTA,1,nASIG,"Orquesta/Banda/Conjunto"),"")))</f>
        <v/>
      </c>
      <c r="AH744" t="str">
        <f>IF(AE744="","",IF(AE744="[FÓRMULA MANUAL]","",IFERROR(AVERAGEIFS(nNOTA,nNIA,AE744,nCUENTA,1,nASIG,"Música de Cámara"),"")))</f>
        <v/>
      </c>
      <c r="AI744" t="str">
        <f>IF(AE744="","",IF(AE744="[FÓRMULA MANUAL]","",IFERROR(SUMPRODUCT((nNIA=AE744)*(nCUENTA=1)*(COUNTIF(CONFIG_ASIGNATURAS!$B$7:$B$27,nASIG)&gt;0)*(nNOTA))/SUMPRODUCT((nNIA=AE744)*(nCUENTA=1)*(COUNTIF(CONFIG_ASIGNATURAS!$B$7:$B$27,nASIG)&gt;0)*1),"")))</f>
        <v/>
      </c>
    </row>
    <row r="745" spans="2:35" x14ac:dyDescent="0.2">
      <c r="B745" t="str">
        <f>IF(A745="","",IF(A745="[FÓRMULA MANUAL]","",IFERROR(AVERAGEIFS(nNOTA,nNIA,A745,nCUENTA,1,nASIG,"Lenguaje Musical"),"")))</f>
        <v/>
      </c>
      <c r="C745" t="str">
        <f>IF(A745="","",IF(A745="[FÓRMULA MANUAL]","",IFERROR(AVERAGEIFS(nNOTA,nNIA,A745,nCUENTA,1,nASIG,"Orquesta/Banda/Conjunto"),"")))</f>
        <v/>
      </c>
      <c r="D745" t="str">
        <f>IF(A745="","",IF(A745="[FÓRMULA MANUAL]","",IFERROR(AVERAGEIFS(nNOTA,nNIA,A745,nCUENTA,1,nASIG,"Conjunto"),"")))</f>
        <v/>
      </c>
      <c r="E745" t="str">
        <f>IF(A745="","",IF(A745="[FÓRMULA MANUAL]","",IFERROR(SUMPRODUCT((nNIA=A745)*(nCUENTA=1)*(COUNTIF(CONFIG_ASIGNATURAS!$B$7:$B$27,nASIG)&gt;0)*(nNOTA))/SUMPRODUCT((nNIA=A745)*(nCUENTA=1)*(COUNTIF(CONFIG_ASIGNATURAS!$B$7:$B$27,nASIG)&gt;0)*1),"")))</f>
        <v/>
      </c>
      <c r="H745" t="str">
        <f>IF(G745="","",IF(G745="[FÓRMULA MANUAL]","",IFERROR(AVERAGEIFS(nNOTA,nNIA,G745,nCUENTA,1,nASIG,"Lenguaje Musical"),"")))</f>
        <v/>
      </c>
      <c r="I745" t="str">
        <f>IF(G745="","",IF(G745="[FÓRMULA MANUAL]","",IFERROR(AVERAGEIFS(nNOTA,nNIA,G745,nCUENTA,1,nASIG,"Orquesta/Banda/Conjunto"),"")))</f>
        <v/>
      </c>
      <c r="J745" t="str">
        <f>IF(G745="","",IF(G745="[FÓRMULA MANUAL]","",IFERROR(AVERAGEIFS(nNOTA,nNIA,G745,nCUENTA,1,nASIG,"Conjunto"),"")))</f>
        <v/>
      </c>
      <c r="K745" t="str">
        <f>IF(G745="","",IF(G745="[FÓRMULA MANUAL]","",IFERROR(SUMPRODUCT((nNIA=G745)*(nCUENTA=1)*(COUNTIF(CONFIG_ASIGNATURAS!$B$7:$B$27,nASIG)&gt;0)*(nNOTA))/SUMPRODUCT((nNIA=G745)*(nCUENTA=1)*(COUNTIF(CONFIG_ASIGNATURAS!$B$7:$B$27,nASIG)&gt;0)*1),"")))</f>
        <v/>
      </c>
      <c r="N745" t="str">
        <f>IF(M745="","",IF(M745="[FÓRMULA MANUAL]","",IFERROR(AVERAGEIFS(nNOTA,nNIA,M745,nCUENTA,1,nASIG,"Armonía"),"")))</f>
        <v/>
      </c>
      <c r="O745" t="str">
        <f>IF(M745="","",IF(M745="[FÓRMULA MANUAL]","",IFERROR(AVERAGEIFS(nNOTA,nNIA,M745,nCUENTA,1,nASIG,"Orquesta/Banda/Conjunto"),"")))</f>
        <v/>
      </c>
      <c r="P745" t="str">
        <f>IF(M745="","",IF(M745="[FÓRMULA MANUAL]","",IFERROR(AVERAGEIFS(nNOTA,nNIA,M745,nCUENTA,1,nASIG,"Música de Cámara"),"")))</f>
        <v/>
      </c>
      <c r="Q745" t="str">
        <f>IF(M745="","",IF(M745="[FÓRMULA MANUAL]","",IFERROR(SUMPRODUCT((nNIA=M745)*(nCUENTA=1)*(COUNTIF(CONFIG_ASIGNATURAS!$B$7:$B$27,nASIG)&gt;0)*(nNOTA))/SUMPRODUCT((nNIA=M745)*(nCUENTA=1)*(COUNTIF(CONFIG_ASIGNATURAS!$B$7:$B$27,nASIG)&gt;0)*1),"")))</f>
        <v/>
      </c>
      <c r="T745" t="str">
        <f>IF(S745="","",IF(S745="[FÓRMULA MANUAL]","",IFERROR(AVERAGEIFS(nNOTA,nNIA,S745,nCUENTA,1,nASIG,"Armonía"),"")))</f>
        <v/>
      </c>
      <c r="U745" t="str">
        <f>IF(S745="","",IF(S745="[FÓRMULA MANUAL]","",IFERROR(AVERAGEIFS(nNOTA,nNIA,S745,nCUENTA,1,nASIG,"Orquesta/Banda/Conjunto"),"")))</f>
        <v/>
      </c>
      <c r="V745" t="str">
        <f>IF(S745="","",IF(S745="[FÓRMULA MANUAL]","",IFERROR(AVERAGEIFS(nNOTA,nNIA,S745,nCUENTA,1,nASIG,"Música de Cámara"),"")))</f>
        <v/>
      </c>
      <c r="W745" t="str">
        <f>IF(S745="","",IF(S745="[FÓRMULA MANUAL]","",IFERROR(SUMPRODUCT((nNIA=S745)*(nCUENTA=1)*(COUNTIF(CONFIG_ASIGNATURAS!$B$7:$B$27,nASIG)&gt;0)*(nNOTA))/SUMPRODUCT((nNIA=S745)*(nCUENTA=1)*(COUNTIF(CONFIG_ASIGNATURAS!$B$7:$B$27,nASIG)&gt;0)*1),"")))</f>
        <v/>
      </c>
      <c r="Z745" t="str">
        <f>IF(Y745="","",IF(Y745="[FÓRMULA MANUAL]","",IFERROR(AVERAGEIFS(nNOTA,nNIA,Y745,nCUENTA,1,nASIG,"Análisis"),"")))</f>
        <v/>
      </c>
      <c r="AA745" t="str">
        <f>IF(Y745="","",IF(Y745="[FÓRMULA MANUAL]","",IFERROR(AVERAGEIFS(nNOTA,nNIA,Y745,nCUENTA,1,nASIG,"Orquesta/Banda/Conjunto"),"")))</f>
        <v/>
      </c>
      <c r="AB745" t="str">
        <f>IF(Y745="","",IF(Y745="[FÓRMULA MANUAL]","",IFERROR(AVERAGEIFS(nNOTA,nNIA,Y745,nCUENTA,1,nASIG,"Música de Cámara"),"")))</f>
        <v/>
      </c>
      <c r="AC745" t="str">
        <f>IF(Y745="","",IF(Y745="[FÓRMULA MANUAL]","",IFERROR(SUMPRODUCT((nNIA=Y745)*(nCUENTA=1)*(COUNTIF(CONFIG_ASIGNATURAS!$B$7:$B$27,nASIG)&gt;0)*(nNOTA))/SUMPRODUCT((nNIA=Y745)*(nCUENTA=1)*(COUNTIF(CONFIG_ASIGNATURAS!$B$7:$B$27,nASIG)&gt;0)*1),"")))</f>
        <v/>
      </c>
      <c r="AF745" t="str">
        <f>IF(AE745="","",IF(AE745="[FÓRMULA MANUAL]","",IFERROR(AVERAGEIFS(nNOTA,nNIA,AE745,nCUENTA,1,nASIG,"Análisis"),"")))</f>
        <v/>
      </c>
      <c r="AG745" t="str">
        <f>IF(AE745="","",IF(AE745="[FÓRMULA MANUAL]","",IFERROR(AVERAGEIFS(nNOTA,nNIA,AE745,nCUENTA,1,nASIG,"Orquesta/Banda/Conjunto"),"")))</f>
        <v/>
      </c>
      <c r="AH745" t="str">
        <f>IF(AE745="","",IF(AE745="[FÓRMULA MANUAL]","",IFERROR(AVERAGEIFS(nNOTA,nNIA,AE745,nCUENTA,1,nASIG,"Música de Cámara"),"")))</f>
        <v/>
      </c>
      <c r="AI745" t="str">
        <f>IF(AE745="","",IF(AE745="[FÓRMULA MANUAL]","",IFERROR(SUMPRODUCT((nNIA=AE745)*(nCUENTA=1)*(COUNTIF(CONFIG_ASIGNATURAS!$B$7:$B$27,nASIG)&gt;0)*(nNOTA))/SUMPRODUCT((nNIA=AE745)*(nCUENTA=1)*(COUNTIF(CONFIG_ASIGNATURAS!$B$7:$B$27,nASIG)&gt;0)*1),"")))</f>
        <v/>
      </c>
    </row>
    <row r="746" spans="2:35" x14ac:dyDescent="0.2">
      <c r="B746" t="str">
        <f>IF(A746="","",IF(A746="[FÓRMULA MANUAL]","",IFERROR(AVERAGEIFS(nNOTA,nNIA,A746,nCUENTA,1,nASIG,"Lenguaje Musical"),"")))</f>
        <v/>
      </c>
      <c r="C746" t="str">
        <f>IF(A746="","",IF(A746="[FÓRMULA MANUAL]","",IFERROR(AVERAGEIFS(nNOTA,nNIA,A746,nCUENTA,1,nASIG,"Orquesta/Banda/Conjunto"),"")))</f>
        <v/>
      </c>
      <c r="D746" t="str">
        <f>IF(A746="","",IF(A746="[FÓRMULA MANUAL]","",IFERROR(AVERAGEIFS(nNOTA,nNIA,A746,nCUENTA,1,nASIG,"Conjunto"),"")))</f>
        <v/>
      </c>
      <c r="E746" t="str">
        <f>IF(A746="","",IF(A746="[FÓRMULA MANUAL]","",IFERROR(SUMPRODUCT((nNIA=A746)*(nCUENTA=1)*(COUNTIF(CONFIG_ASIGNATURAS!$B$7:$B$27,nASIG)&gt;0)*(nNOTA))/SUMPRODUCT((nNIA=A746)*(nCUENTA=1)*(COUNTIF(CONFIG_ASIGNATURAS!$B$7:$B$27,nASIG)&gt;0)*1),"")))</f>
        <v/>
      </c>
      <c r="H746" t="str">
        <f>IF(G746="","",IF(G746="[FÓRMULA MANUAL]","",IFERROR(AVERAGEIFS(nNOTA,nNIA,G746,nCUENTA,1,nASIG,"Lenguaje Musical"),"")))</f>
        <v/>
      </c>
      <c r="I746" t="str">
        <f>IF(G746="","",IF(G746="[FÓRMULA MANUAL]","",IFERROR(AVERAGEIFS(nNOTA,nNIA,G746,nCUENTA,1,nASIG,"Orquesta/Banda/Conjunto"),"")))</f>
        <v/>
      </c>
      <c r="J746" t="str">
        <f>IF(G746="","",IF(G746="[FÓRMULA MANUAL]","",IFERROR(AVERAGEIFS(nNOTA,nNIA,G746,nCUENTA,1,nASIG,"Conjunto"),"")))</f>
        <v/>
      </c>
      <c r="K746" t="str">
        <f>IF(G746="","",IF(G746="[FÓRMULA MANUAL]","",IFERROR(SUMPRODUCT((nNIA=G746)*(nCUENTA=1)*(COUNTIF(CONFIG_ASIGNATURAS!$B$7:$B$27,nASIG)&gt;0)*(nNOTA))/SUMPRODUCT((nNIA=G746)*(nCUENTA=1)*(COUNTIF(CONFIG_ASIGNATURAS!$B$7:$B$27,nASIG)&gt;0)*1),"")))</f>
        <v/>
      </c>
      <c r="N746" t="str">
        <f>IF(M746="","",IF(M746="[FÓRMULA MANUAL]","",IFERROR(AVERAGEIFS(nNOTA,nNIA,M746,nCUENTA,1,nASIG,"Armonía"),"")))</f>
        <v/>
      </c>
      <c r="O746" t="str">
        <f>IF(M746="","",IF(M746="[FÓRMULA MANUAL]","",IFERROR(AVERAGEIFS(nNOTA,nNIA,M746,nCUENTA,1,nASIG,"Orquesta/Banda/Conjunto"),"")))</f>
        <v/>
      </c>
      <c r="P746" t="str">
        <f>IF(M746="","",IF(M746="[FÓRMULA MANUAL]","",IFERROR(AVERAGEIFS(nNOTA,nNIA,M746,nCUENTA,1,nASIG,"Música de Cámara"),"")))</f>
        <v/>
      </c>
      <c r="Q746" t="str">
        <f>IF(M746="","",IF(M746="[FÓRMULA MANUAL]","",IFERROR(SUMPRODUCT((nNIA=M746)*(nCUENTA=1)*(COUNTIF(CONFIG_ASIGNATURAS!$B$7:$B$27,nASIG)&gt;0)*(nNOTA))/SUMPRODUCT((nNIA=M746)*(nCUENTA=1)*(COUNTIF(CONFIG_ASIGNATURAS!$B$7:$B$27,nASIG)&gt;0)*1),"")))</f>
        <v/>
      </c>
      <c r="T746" t="str">
        <f>IF(S746="","",IF(S746="[FÓRMULA MANUAL]","",IFERROR(AVERAGEIFS(nNOTA,nNIA,S746,nCUENTA,1,nASIG,"Armonía"),"")))</f>
        <v/>
      </c>
      <c r="U746" t="str">
        <f>IF(S746="","",IF(S746="[FÓRMULA MANUAL]","",IFERROR(AVERAGEIFS(nNOTA,nNIA,S746,nCUENTA,1,nASIG,"Orquesta/Banda/Conjunto"),"")))</f>
        <v/>
      </c>
      <c r="V746" t="str">
        <f>IF(S746="","",IF(S746="[FÓRMULA MANUAL]","",IFERROR(AVERAGEIFS(nNOTA,nNIA,S746,nCUENTA,1,nASIG,"Música de Cámara"),"")))</f>
        <v/>
      </c>
      <c r="W746" t="str">
        <f>IF(S746="","",IF(S746="[FÓRMULA MANUAL]","",IFERROR(SUMPRODUCT((nNIA=S746)*(nCUENTA=1)*(COUNTIF(CONFIG_ASIGNATURAS!$B$7:$B$27,nASIG)&gt;0)*(nNOTA))/SUMPRODUCT((nNIA=S746)*(nCUENTA=1)*(COUNTIF(CONFIG_ASIGNATURAS!$B$7:$B$27,nASIG)&gt;0)*1),"")))</f>
        <v/>
      </c>
      <c r="Z746" t="str">
        <f>IF(Y746="","",IF(Y746="[FÓRMULA MANUAL]","",IFERROR(AVERAGEIFS(nNOTA,nNIA,Y746,nCUENTA,1,nASIG,"Análisis"),"")))</f>
        <v/>
      </c>
      <c r="AA746" t="str">
        <f>IF(Y746="","",IF(Y746="[FÓRMULA MANUAL]","",IFERROR(AVERAGEIFS(nNOTA,nNIA,Y746,nCUENTA,1,nASIG,"Orquesta/Banda/Conjunto"),"")))</f>
        <v/>
      </c>
      <c r="AB746" t="str">
        <f>IF(Y746="","",IF(Y746="[FÓRMULA MANUAL]","",IFERROR(AVERAGEIFS(nNOTA,nNIA,Y746,nCUENTA,1,nASIG,"Música de Cámara"),"")))</f>
        <v/>
      </c>
      <c r="AC746" t="str">
        <f>IF(Y746="","",IF(Y746="[FÓRMULA MANUAL]","",IFERROR(SUMPRODUCT((nNIA=Y746)*(nCUENTA=1)*(COUNTIF(CONFIG_ASIGNATURAS!$B$7:$B$27,nASIG)&gt;0)*(nNOTA))/SUMPRODUCT((nNIA=Y746)*(nCUENTA=1)*(COUNTIF(CONFIG_ASIGNATURAS!$B$7:$B$27,nASIG)&gt;0)*1),"")))</f>
        <v/>
      </c>
      <c r="AF746" t="str">
        <f>IF(AE746="","",IF(AE746="[FÓRMULA MANUAL]","",IFERROR(AVERAGEIFS(nNOTA,nNIA,AE746,nCUENTA,1,nASIG,"Análisis"),"")))</f>
        <v/>
      </c>
      <c r="AG746" t="str">
        <f>IF(AE746="","",IF(AE746="[FÓRMULA MANUAL]","",IFERROR(AVERAGEIFS(nNOTA,nNIA,AE746,nCUENTA,1,nASIG,"Orquesta/Banda/Conjunto"),"")))</f>
        <v/>
      </c>
      <c r="AH746" t="str">
        <f>IF(AE746="","",IF(AE746="[FÓRMULA MANUAL]","",IFERROR(AVERAGEIFS(nNOTA,nNIA,AE746,nCUENTA,1,nASIG,"Música de Cámara"),"")))</f>
        <v/>
      </c>
      <c r="AI746" t="str">
        <f>IF(AE746="","",IF(AE746="[FÓRMULA MANUAL]","",IFERROR(SUMPRODUCT((nNIA=AE746)*(nCUENTA=1)*(COUNTIF(CONFIG_ASIGNATURAS!$B$7:$B$27,nASIG)&gt;0)*(nNOTA))/SUMPRODUCT((nNIA=AE746)*(nCUENTA=1)*(COUNTIF(CONFIG_ASIGNATURAS!$B$7:$B$27,nASIG)&gt;0)*1),"")))</f>
        <v/>
      </c>
    </row>
    <row r="747" spans="2:35" x14ac:dyDescent="0.2">
      <c r="B747" t="str">
        <f>IF(A747="","",IF(A747="[FÓRMULA MANUAL]","",IFERROR(AVERAGEIFS(nNOTA,nNIA,A747,nCUENTA,1,nASIG,"Lenguaje Musical"),"")))</f>
        <v/>
      </c>
      <c r="C747" t="str">
        <f>IF(A747="","",IF(A747="[FÓRMULA MANUAL]","",IFERROR(AVERAGEIFS(nNOTA,nNIA,A747,nCUENTA,1,nASIG,"Orquesta/Banda/Conjunto"),"")))</f>
        <v/>
      </c>
      <c r="D747" t="str">
        <f>IF(A747="","",IF(A747="[FÓRMULA MANUAL]","",IFERROR(AVERAGEIFS(nNOTA,nNIA,A747,nCUENTA,1,nASIG,"Conjunto"),"")))</f>
        <v/>
      </c>
      <c r="E747" t="str">
        <f>IF(A747="","",IF(A747="[FÓRMULA MANUAL]","",IFERROR(SUMPRODUCT((nNIA=A747)*(nCUENTA=1)*(COUNTIF(CONFIG_ASIGNATURAS!$B$7:$B$27,nASIG)&gt;0)*(nNOTA))/SUMPRODUCT((nNIA=A747)*(nCUENTA=1)*(COUNTIF(CONFIG_ASIGNATURAS!$B$7:$B$27,nASIG)&gt;0)*1),"")))</f>
        <v/>
      </c>
      <c r="H747" t="str">
        <f>IF(G747="","",IF(G747="[FÓRMULA MANUAL]","",IFERROR(AVERAGEIFS(nNOTA,nNIA,G747,nCUENTA,1,nASIG,"Lenguaje Musical"),"")))</f>
        <v/>
      </c>
      <c r="I747" t="str">
        <f>IF(G747="","",IF(G747="[FÓRMULA MANUAL]","",IFERROR(AVERAGEIFS(nNOTA,nNIA,G747,nCUENTA,1,nASIG,"Orquesta/Banda/Conjunto"),"")))</f>
        <v/>
      </c>
      <c r="J747" t="str">
        <f>IF(G747="","",IF(G747="[FÓRMULA MANUAL]","",IFERROR(AVERAGEIFS(nNOTA,nNIA,G747,nCUENTA,1,nASIG,"Conjunto"),"")))</f>
        <v/>
      </c>
      <c r="K747" t="str">
        <f>IF(G747="","",IF(G747="[FÓRMULA MANUAL]","",IFERROR(SUMPRODUCT((nNIA=G747)*(nCUENTA=1)*(COUNTIF(CONFIG_ASIGNATURAS!$B$7:$B$27,nASIG)&gt;0)*(nNOTA))/SUMPRODUCT((nNIA=G747)*(nCUENTA=1)*(COUNTIF(CONFIG_ASIGNATURAS!$B$7:$B$27,nASIG)&gt;0)*1),"")))</f>
        <v/>
      </c>
      <c r="N747" t="str">
        <f>IF(M747="","",IF(M747="[FÓRMULA MANUAL]","",IFERROR(AVERAGEIFS(nNOTA,nNIA,M747,nCUENTA,1,nASIG,"Armonía"),"")))</f>
        <v/>
      </c>
      <c r="O747" t="str">
        <f>IF(M747="","",IF(M747="[FÓRMULA MANUAL]","",IFERROR(AVERAGEIFS(nNOTA,nNIA,M747,nCUENTA,1,nASIG,"Orquesta/Banda/Conjunto"),"")))</f>
        <v/>
      </c>
      <c r="P747" t="str">
        <f>IF(M747="","",IF(M747="[FÓRMULA MANUAL]","",IFERROR(AVERAGEIFS(nNOTA,nNIA,M747,nCUENTA,1,nASIG,"Música de Cámara"),"")))</f>
        <v/>
      </c>
      <c r="Q747" t="str">
        <f>IF(M747="","",IF(M747="[FÓRMULA MANUAL]","",IFERROR(SUMPRODUCT((nNIA=M747)*(nCUENTA=1)*(COUNTIF(CONFIG_ASIGNATURAS!$B$7:$B$27,nASIG)&gt;0)*(nNOTA))/SUMPRODUCT((nNIA=M747)*(nCUENTA=1)*(COUNTIF(CONFIG_ASIGNATURAS!$B$7:$B$27,nASIG)&gt;0)*1),"")))</f>
        <v/>
      </c>
      <c r="T747" t="str">
        <f>IF(S747="","",IF(S747="[FÓRMULA MANUAL]","",IFERROR(AVERAGEIFS(nNOTA,nNIA,S747,nCUENTA,1,nASIG,"Armonía"),"")))</f>
        <v/>
      </c>
      <c r="U747" t="str">
        <f>IF(S747="","",IF(S747="[FÓRMULA MANUAL]","",IFERROR(AVERAGEIFS(nNOTA,nNIA,S747,nCUENTA,1,nASIG,"Orquesta/Banda/Conjunto"),"")))</f>
        <v/>
      </c>
      <c r="V747" t="str">
        <f>IF(S747="","",IF(S747="[FÓRMULA MANUAL]","",IFERROR(AVERAGEIFS(nNOTA,nNIA,S747,nCUENTA,1,nASIG,"Música de Cámara"),"")))</f>
        <v/>
      </c>
      <c r="W747" t="str">
        <f>IF(S747="","",IF(S747="[FÓRMULA MANUAL]","",IFERROR(SUMPRODUCT((nNIA=S747)*(nCUENTA=1)*(COUNTIF(CONFIG_ASIGNATURAS!$B$7:$B$27,nASIG)&gt;0)*(nNOTA))/SUMPRODUCT((nNIA=S747)*(nCUENTA=1)*(COUNTIF(CONFIG_ASIGNATURAS!$B$7:$B$27,nASIG)&gt;0)*1),"")))</f>
        <v/>
      </c>
      <c r="Z747" t="str">
        <f>IF(Y747="","",IF(Y747="[FÓRMULA MANUAL]","",IFERROR(AVERAGEIFS(nNOTA,nNIA,Y747,nCUENTA,1,nASIG,"Análisis"),"")))</f>
        <v/>
      </c>
      <c r="AA747" t="str">
        <f>IF(Y747="","",IF(Y747="[FÓRMULA MANUAL]","",IFERROR(AVERAGEIFS(nNOTA,nNIA,Y747,nCUENTA,1,nASIG,"Orquesta/Banda/Conjunto"),"")))</f>
        <v/>
      </c>
      <c r="AB747" t="str">
        <f>IF(Y747="","",IF(Y747="[FÓRMULA MANUAL]","",IFERROR(AVERAGEIFS(nNOTA,nNIA,Y747,nCUENTA,1,nASIG,"Música de Cámara"),"")))</f>
        <v/>
      </c>
      <c r="AC747" t="str">
        <f>IF(Y747="","",IF(Y747="[FÓRMULA MANUAL]","",IFERROR(SUMPRODUCT((nNIA=Y747)*(nCUENTA=1)*(COUNTIF(CONFIG_ASIGNATURAS!$B$7:$B$27,nASIG)&gt;0)*(nNOTA))/SUMPRODUCT((nNIA=Y747)*(nCUENTA=1)*(COUNTIF(CONFIG_ASIGNATURAS!$B$7:$B$27,nASIG)&gt;0)*1),"")))</f>
        <v/>
      </c>
      <c r="AF747" t="str">
        <f>IF(AE747="","",IF(AE747="[FÓRMULA MANUAL]","",IFERROR(AVERAGEIFS(nNOTA,nNIA,AE747,nCUENTA,1,nASIG,"Análisis"),"")))</f>
        <v/>
      </c>
      <c r="AG747" t="str">
        <f>IF(AE747="","",IF(AE747="[FÓRMULA MANUAL]","",IFERROR(AVERAGEIFS(nNOTA,nNIA,AE747,nCUENTA,1,nASIG,"Orquesta/Banda/Conjunto"),"")))</f>
        <v/>
      </c>
      <c r="AH747" t="str">
        <f>IF(AE747="","",IF(AE747="[FÓRMULA MANUAL]","",IFERROR(AVERAGEIFS(nNOTA,nNIA,AE747,nCUENTA,1,nASIG,"Música de Cámara"),"")))</f>
        <v/>
      </c>
      <c r="AI747" t="str">
        <f>IF(AE747="","",IF(AE747="[FÓRMULA MANUAL]","",IFERROR(SUMPRODUCT((nNIA=AE747)*(nCUENTA=1)*(COUNTIF(CONFIG_ASIGNATURAS!$B$7:$B$27,nASIG)&gt;0)*(nNOTA))/SUMPRODUCT((nNIA=AE747)*(nCUENTA=1)*(COUNTIF(CONFIG_ASIGNATURAS!$B$7:$B$27,nASIG)&gt;0)*1),"")))</f>
        <v/>
      </c>
    </row>
    <row r="748" spans="2:35" x14ac:dyDescent="0.2">
      <c r="B748" t="str">
        <f>IF(A748="","",IF(A748="[FÓRMULA MANUAL]","",IFERROR(AVERAGEIFS(nNOTA,nNIA,A748,nCUENTA,1,nASIG,"Lenguaje Musical"),"")))</f>
        <v/>
      </c>
      <c r="C748" t="str">
        <f>IF(A748="","",IF(A748="[FÓRMULA MANUAL]","",IFERROR(AVERAGEIFS(nNOTA,nNIA,A748,nCUENTA,1,nASIG,"Orquesta/Banda/Conjunto"),"")))</f>
        <v/>
      </c>
      <c r="D748" t="str">
        <f>IF(A748="","",IF(A748="[FÓRMULA MANUAL]","",IFERROR(AVERAGEIFS(nNOTA,nNIA,A748,nCUENTA,1,nASIG,"Conjunto"),"")))</f>
        <v/>
      </c>
      <c r="E748" t="str">
        <f>IF(A748="","",IF(A748="[FÓRMULA MANUAL]","",IFERROR(SUMPRODUCT((nNIA=A748)*(nCUENTA=1)*(COUNTIF(CONFIG_ASIGNATURAS!$B$7:$B$27,nASIG)&gt;0)*(nNOTA))/SUMPRODUCT((nNIA=A748)*(nCUENTA=1)*(COUNTIF(CONFIG_ASIGNATURAS!$B$7:$B$27,nASIG)&gt;0)*1),"")))</f>
        <v/>
      </c>
      <c r="H748" t="str">
        <f>IF(G748="","",IF(G748="[FÓRMULA MANUAL]","",IFERROR(AVERAGEIFS(nNOTA,nNIA,G748,nCUENTA,1,nASIG,"Lenguaje Musical"),"")))</f>
        <v/>
      </c>
      <c r="I748" t="str">
        <f>IF(G748="","",IF(G748="[FÓRMULA MANUAL]","",IFERROR(AVERAGEIFS(nNOTA,nNIA,G748,nCUENTA,1,nASIG,"Orquesta/Banda/Conjunto"),"")))</f>
        <v/>
      </c>
      <c r="J748" t="str">
        <f>IF(G748="","",IF(G748="[FÓRMULA MANUAL]","",IFERROR(AVERAGEIFS(nNOTA,nNIA,G748,nCUENTA,1,nASIG,"Conjunto"),"")))</f>
        <v/>
      </c>
      <c r="K748" t="str">
        <f>IF(G748="","",IF(G748="[FÓRMULA MANUAL]","",IFERROR(SUMPRODUCT((nNIA=G748)*(nCUENTA=1)*(COUNTIF(CONFIG_ASIGNATURAS!$B$7:$B$27,nASIG)&gt;0)*(nNOTA))/SUMPRODUCT((nNIA=G748)*(nCUENTA=1)*(COUNTIF(CONFIG_ASIGNATURAS!$B$7:$B$27,nASIG)&gt;0)*1),"")))</f>
        <v/>
      </c>
      <c r="N748" t="str">
        <f>IF(M748="","",IF(M748="[FÓRMULA MANUAL]","",IFERROR(AVERAGEIFS(nNOTA,nNIA,M748,nCUENTA,1,nASIG,"Armonía"),"")))</f>
        <v/>
      </c>
      <c r="O748" t="str">
        <f>IF(M748="","",IF(M748="[FÓRMULA MANUAL]","",IFERROR(AVERAGEIFS(nNOTA,nNIA,M748,nCUENTA,1,nASIG,"Orquesta/Banda/Conjunto"),"")))</f>
        <v/>
      </c>
      <c r="P748" t="str">
        <f>IF(M748="","",IF(M748="[FÓRMULA MANUAL]","",IFERROR(AVERAGEIFS(nNOTA,nNIA,M748,nCUENTA,1,nASIG,"Música de Cámara"),"")))</f>
        <v/>
      </c>
      <c r="Q748" t="str">
        <f>IF(M748="","",IF(M748="[FÓRMULA MANUAL]","",IFERROR(SUMPRODUCT((nNIA=M748)*(nCUENTA=1)*(COUNTIF(CONFIG_ASIGNATURAS!$B$7:$B$27,nASIG)&gt;0)*(nNOTA))/SUMPRODUCT((nNIA=M748)*(nCUENTA=1)*(COUNTIF(CONFIG_ASIGNATURAS!$B$7:$B$27,nASIG)&gt;0)*1),"")))</f>
        <v/>
      </c>
      <c r="T748" t="str">
        <f>IF(S748="","",IF(S748="[FÓRMULA MANUAL]","",IFERROR(AVERAGEIFS(nNOTA,nNIA,S748,nCUENTA,1,nASIG,"Armonía"),"")))</f>
        <v/>
      </c>
      <c r="U748" t="str">
        <f>IF(S748="","",IF(S748="[FÓRMULA MANUAL]","",IFERROR(AVERAGEIFS(nNOTA,nNIA,S748,nCUENTA,1,nASIG,"Orquesta/Banda/Conjunto"),"")))</f>
        <v/>
      </c>
      <c r="V748" t="str">
        <f>IF(S748="","",IF(S748="[FÓRMULA MANUAL]","",IFERROR(AVERAGEIFS(nNOTA,nNIA,S748,nCUENTA,1,nASIG,"Música de Cámara"),"")))</f>
        <v/>
      </c>
      <c r="W748" t="str">
        <f>IF(S748="","",IF(S748="[FÓRMULA MANUAL]","",IFERROR(SUMPRODUCT((nNIA=S748)*(nCUENTA=1)*(COUNTIF(CONFIG_ASIGNATURAS!$B$7:$B$27,nASIG)&gt;0)*(nNOTA))/SUMPRODUCT((nNIA=S748)*(nCUENTA=1)*(COUNTIF(CONFIG_ASIGNATURAS!$B$7:$B$27,nASIG)&gt;0)*1),"")))</f>
        <v/>
      </c>
      <c r="Z748" t="str">
        <f>IF(Y748="","",IF(Y748="[FÓRMULA MANUAL]","",IFERROR(AVERAGEIFS(nNOTA,nNIA,Y748,nCUENTA,1,nASIG,"Análisis"),"")))</f>
        <v/>
      </c>
      <c r="AA748" t="str">
        <f>IF(Y748="","",IF(Y748="[FÓRMULA MANUAL]","",IFERROR(AVERAGEIFS(nNOTA,nNIA,Y748,nCUENTA,1,nASIG,"Orquesta/Banda/Conjunto"),"")))</f>
        <v/>
      </c>
      <c r="AB748" t="str">
        <f>IF(Y748="","",IF(Y748="[FÓRMULA MANUAL]","",IFERROR(AVERAGEIFS(nNOTA,nNIA,Y748,nCUENTA,1,nASIG,"Música de Cámara"),"")))</f>
        <v/>
      </c>
      <c r="AC748" t="str">
        <f>IF(Y748="","",IF(Y748="[FÓRMULA MANUAL]","",IFERROR(SUMPRODUCT((nNIA=Y748)*(nCUENTA=1)*(COUNTIF(CONFIG_ASIGNATURAS!$B$7:$B$27,nASIG)&gt;0)*(nNOTA))/SUMPRODUCT((nNIA=Y748)*(nCUENTA=1)*(COUNTIF(CONFIG_ASIGNATURAS!$B$7:$B$27,nASIG)&gt;0)*1),"")))</f>
        <v/>
      </c>
      <c r="AF748" t="str">
        <f>IF(AE748="","",IF(AE748="[FÓRMULA MANUAL]","",IFERROR(AVERAGEIFS(nNOTA,nNIA,AE748,nCUENTA,1,nASIG,"Análisis"),"")))</f>
        <v/>
      </c>
      <c r="AG748" t="str">
        <f>IF(AE748="","",IF(AE748="[FÓRMULA MANUAL]","",IFERROR(AVERAGEIFS(nNOTA,nNIA,AE748,nCUENTA,1,nASIG,"Orquesta/Banda/Conjunto"),"")))</f>
        <v/>
      </c>
      <c r="AH748" t="str">
        <f>IF(AE748="","",IF(AE748="[FÓRMULA MANUAL]","",IFERROR(AVERAGEIFS(nNOTA,nNIA,AE748,nCUENTA,1,nASIG,"Música de Cámara"),"")))</f>
        <v/>
      </c>
      <c r="AI748" t="str">
        <f>IF(AE748="","",IF(AE748="[FÓRMULA MANUAL]","",IFERROR(SUMPRODUCT((nNIA=AE748)*(nCUENTA=1)*(COUNTIF(CONFIG_ASIGNATURAS!$B$7:$B$27,nASIG)&gt;0)*(nNOTA))/SUMPRODUCT((nNIA=AE748)*(nCUENTA=1)*(COUNTIF(CONFIG_ASIGNATURAS!$B$7:$B$27,nASIG)&gt;0)*1),"")))</f>
        <v/>
      </c>
    </row>
    <row r="749" spans="2:35" x14ac:dyDescent="0.2">
      <c r="B749" t="str">
        <f>IF(A749="","",IF(A749="[FÓRMULA MANUAL]","",IFERROR(AVERAGEIFS(nNOTA,nNIA,A749,nCUENTA,1,nASIG,"Lenguaje Musical"),"")))</f>
        <v/>
      </c>
      <c r="C749" t="str">
        <f>IF(A749="","",IF(A749="[FÓRMULA MANUAL]","",IFERROR(AVERAGEIFS(nNOTA,nNIA,A749,nCUENTA,1,nASIG,"Orquesta/Banda/Conjunto"),"")))</f>
        <v/>
      </c>
      <c r="D749" t="str">
        <f>IF(A749="","",IF(A749="[FÓRMULA MANUAL]","",IFERROR(AVERAGEIFS(nNOTA,nNIA,A749,nCUENTA,1,nASIG,"Conjunto"),"")))</f>
        <v/>
      </c>
      <c r="E749" t="str">
        <f>IF(A749="","",IF(A749="[FÓRMULA MANUAL]","",IFERROR(SUMPRODUCT((nNIA=A749)*(nCUENTA=1)*(COUNTIF(CONFIG_ASIGNATURAS!$B$7:$B$27,nASIG)&gt;0)*(nNOTA))/SUMPRODUCT((nNIA=A749)*(nCUENTA=1)*(COUNTIF(CONFIG_ASIGNATURAS!$B$7:$B$27,nASIG)&gt;0)*1),"")))</f>
        <v/>
      </c>
      <c r="H749" t="str">
        <f>IF(G749="","",IF(G749="[FÓRMULA MANUAL]","",IFERROR(AVERAGEIFS(nNOTA,nNIA,G749,nCUENTA,1,nASIG,"Lenguaje Musical"),"")))</f>
        <v/>
      </c>
      <c r="I749" t="str">
        <f>IF(G749="","",IF(G749="[FÓRMULA MANUAL]","",IFERROR(AVERAGEIFS(nNOTA,nNIA,G749,nCUENTA,1,nASIG,"Orquesta/Banda/Conjunto"),"")))</f>
        <v/>
      </c>
      <c r="J749" t="str">
        <f>IF(G749="","",IF(G749="[FÓRMULA MANUAL]","",IFERROR(AVERAGEIFS(nNOTA,nNIA,G749,nCUENTA,1,nASIG,"Conjunto"),"")))</f>
        <v/>
      </c>
      <c r="K749" t="str">
        <f>IF(G749="","",IF(G749="[FÓRMULA MANUAL]","",IFERROR(SUMPRODUCT((nNIA=G749)*(nCUENTA=1)*(COUNTIF(CONFIG_ASIGNATURAS!$B$7:$B$27,nASIG)&gt;0)*(nNOTA))/SUMPRODUCT((nNIA=G749)*(nCUENTA=1)*(COUNTIF(CONFIG_ASIGNATURAS!$B$7:$B$27,nASIG)&gt;0)*1),"")))</f>
        <v/>
      </c>
      <c r="N749" t="str">
        <f>IF(M749="","",IF(M749="[FÓRMULA MANUAL]","",IFERROR(AVERAGEIFS(nNOTA,nNIA,M749,nCUENTA,1,nASIG,"Armonía"),"")))</f>
        <v/>
      </c>
      <c r="O749" t="str">
        <f>IF(M749="","",IF(M749="[FÓRMULA MANUAL]","",IFERROR(AVERAGEIFS(nNOTA,nNIA,M749,nCUENTA,1,nASIG,"Orquesta/Banda/Conjunto"),"")))</f>
        <v/>
      </c>
      <c r="P749" t="str">
        <f>IF(M749="","",IF(M749="[FÓRMULA MANUAL]","",IFERROR(AVERAGEIFS(nNOTA,nNIA,M749,nCUENTA,1,nASIG,"Música de Cámara"),"")))</f>
        <v/>
      </c>
      <c r="Q749" t="str">
        <f>IF(M749="","",IF(M749="[FÓRMULA MANUAL]","",IFERROR(SUMPRODUCT((nNIA=M749)*(nCUENTA=1)*(COUNTIF(CONFIG_ASIGNATURAS!$B$7:$B$27,nASIG)&gt;0)*(nNOTA))/SUMPRODUCT((nNIA=M749)*(nCUENTA=1)*(COUNTIF(CONFIG_ASIGNATURAS!$B$7:$B$27,nASIG)&gt;0)*1),"")))</f>
        <v/>
      </c>
      <c r="T749" t="str">
        <f>IF(S749="","",IF(S749="[FÓRMULA MANUAL]","",IFERROR(AVERAGEIFS(nNOTA,nNIA,S749,nCUENTA,1,nASIG,"Armonía"),"")))</f>
        <v/>
      </c>
      <c r="U749" t="str">
        <f>IF(S749="","",IF(S749="[FÓRMULA MANUAL]","",IFERROR(AVERAGEIFS(nNOTA,nNIA,S749,nCUENTA,1,nASIG,"Orquesta/Banda/Conjunto"),"")))</f>
        <v/>
      </c>
      <c r="V749" t="str">
        <f>IF(S749="","",IF(S749="[FÓRMULA MANUAL]","",IFERROR(AVERAGEIFS(nNOTA,nNIA,S749,nCUENTA,1,nASIG,"Música de Cámara"),"")))</f>
        <v/>
      </c>
      <c r="W749" t="str">
        <f>IF(S749="","",IF(S749="[FÓRMULA MANUAL]","",IFERROR(SUMPRODUCT((nNIA=S749)*(nCUENTA=1)*(COUNTIF(CONFIG_ASIGNATURAS!$B$7:$B$27,nASIG)&gt;0)*(nNOTA))/SUMPRODUCT((nNIA=S749)*(nCUENTA=1)*(COUNTIF(CONFIG_ASIGNATURAS!$B$7:$B$27,nASIG)&gt;0)*1),"")))</f>
        <v/>
      </c>
      <c r="Z749" t="str">
        <f>IF(Y749="","",IF(Y749="[FÓRMULA MANUAL]","",IFERROR(AVERAGEIFS(nNOTA,nNIA,Y749,nCUENTA,1,nASIG,"Análisis"),"")))</f>
        <v/>
      </c>
      <c r="AA749" t="str">
        <f>IF(Y749="","",IF(Y749="[FÓRMULA MANUAL]","",IFERROR(AVERAGEIFS(nNOTA,nNIA,Y749,nCUENTA,1,nASIG,"Orquesta/Banda/Conjunto"),"")))</f>
        <v/>
      </c>
      <c r="AB749" t="str">
        <f>IF(Y749="","",IF(Y749="[FÓRMULA MANUAL]","",IFERROR(AVERAGEIFS(nNOTA,nNIA,Y749,nCUENTA,1,nASIG,"Música de Cámara"),"")))</f>
        <v/>
      </c>
      <c r="AC749" t="str">
        <f>IF(Y749="","",IF(Y749="[FÓRMULA MANUAL]","",IFERROR(SUMPRODUCT((nNIA=Y749)*(nCUENTA=1)*(COUNTIF(CONFIG_ASIGNATURAS!$B$7:$B$27,nASIG)&gt;0)*(nNOTA))/SUMPRODUCT((nNIA=Y749)*(nCUENTA=1)*(COUNTIF(CONFIG_ASIGNATURAS!$B$7:$B$27,nASIG)&gt;0)*1),"")))</f>
        <v/>
      </c>
      <c r="AF749" t="str">
        <f>IF(AE749="","",IF(AE749="[FÓRMULA MANUAL]","",IFERROR(AVERAGEIFS(nNOTA,nNIA,AE749,nCUENTA,1,nASIG,"Análisis"),"")))</f>
        <v/>
      </c>
      <c r="AG749" t="str">
        <f>IF(AE749="","",IF(AE749="[FÓRMULA MANUAL]","",IFERROR(AVERAGEIFS(nNOTA,nNIA,AE749,nCUENTA,1,nASIG,"Orquesta/Banda/Conjunto"),"")))</f>
        <v/>
      </c>
      <c r="AH749" t="str">
        <f>IF(AE749="","",IF(AE749="[FÓRMULA MANUAL]","",IFERROR(AVERAGEIFS(nNOTA,nNIA,AE749,nCUENTA,1,nASIG,"Música de Cámara"),"")))</f>
        <v/>
      </c>
      <c r="AI749" t="str">
        <f>IF(AE749="","",IF(AE749="[FÓRMULA MANUAL]","",IFERROR(SUMPRODUCT((nNIA=AE749)*(nCUENTA=1)*(COUNTIF(CONFIG_ASIGNATURAS!$B$7:$B$27,nASIG)&gt;0)*(nNOTA))/SUMPRODUCT((nNIA=AE749)*(nCUENTA=1)*(COUNTIF(CONFIG_ASIGNATURAS!$B$7:$B$27,nASIG)&gt;0)*1),"")))</f>
        <v/>
      </c>
    </row>
    <row r="750" spans="2:35" x14ac:dyDescent="0.2">
      <c r="B750" t="str">
        <f>IF(A750="","",IF(A750="[FÓRMULA MANUAL]","",IFERROR(AVERAGEIFS(nNOTA,nNIA,A750,nCUENTA,1,nASIG,"Lenguaje Musical"),"")))</f>
        <v/>
      </c>
      <c r="C750" t="str">
        <f>IF(A750="","",IF(A750="[FÓRMULA MANUAL]","",IFERROR(AVERAGEIFS(nNOTA,nNIA,A750,nCUENTA,1,nASIG,"Orquesta/Banda/Conjunto"),"")))</f>
        <v/>
      </c>
      <c r="D750" t="str">
        <f>IF(A750="","",IF(A750="[FÓRMULA MANUAL]","",IFERROR(AVERAGEIFS(nNOTA,nNIA,A750,nCUENTA,1,nASIG,"Conjunto"),"")))</f>
        <v/>
      </c>
      <c r="E750" t="str">
        <f>IF(A750="","",IF(A750="[FÓRMULA MANUAL]","",IFERROR(SUMPRODUCT((nNIA=A750)*(nCUENTA=1)*(COUNTIF(CONFIG_ASIGNATURAS!$B$7:$B$27,nASIG)&gt;0)*(nNOTA))/SUMPRODUCT((nNIA=A750)*(nCUENTA=1)*(COUNTIF(CONFIG_ASIGNATURAS!$B$7:$B$27,nASIG)&gt;0)*1),"")))</f>
        <v/>
      </c>
      <c r="H750" t="str">
        <f>IF(G750="","",IF(G750="[FÓRMULA MANUAL]","",IFERROR(AVERAGEIFS(nNOTA,nNIA,G750,nCUENTA,1,nASIG,"Lenguaje Musical"),"")))</f>
        <v/>
      </c>
      <c r="I750" t="str">
        <f>IF(G750="","",IF(G750="[FÓRMULA MANUAL]","",IFERROR(AVERAGEIFS(nNOTA,nNIA,G750,nCUENTA,1,nASIG,"Orquesta/Banda/Conjunto"),"")))</f>
        <v/>
      </c>
      <c r="J750" t="str">
        <f>IF(G750="","",IF(G750="[FÓRMULA MANUAL]","",IFERROR(AVERAGEIFS(nNOTA,nNIA,G750,nCUENTA,1,nASIG,"Conjunto"),"")))</f>
        <v/>
      </c>
      <c r="K750" t="str">
        <f>IF(G750="","",IF(G750="[FÓRMULA MANUAL]","",IFERROR(SUMPRODUCT((nNIA=G750)*(nCUENTA=1)*(COUNTIF(CONFIG_ASIGNATURAS!$B$7:$B$27,nASIG)&gt;0)*(nNOTA))/SUMPRODUCT((nNIA=G750)*(nCUENTA=1)*(COUNTIF(CONFIG_ASIGNATURAS!$B$7:$B$27,nASIG)&gt;0)*1),"")))</f>
        <v/>
      </c>
      <c r="N750" t="str">
        <f>IF(M750="","",IF(M750="[FÓRMULA MANUAL]","",IFERROR(AVERAGEIFS(nNOTA,nNIA,M750,nCUENTA,1,nASIG,"Armonía"),"")))</f>
        <v/>
      </c>
      <c r="O750" t="str">
        <f>IF(M750="","",IF(M750="[FÓRMULA MANUAL]","",IFERROR(AVERAGEIFS(nNOTA,nNIA,M750,nCUENTA,1,nASIG,"Orquesta/Banda/Conjunto"),"")))</f>
        <v/>
      </c>
      <c r="P750" t="str">
        <f>IF(M750="","",IF(M750="[FÓRMULA MANUAL]","",IFERROR(AVERAGEIFS(nNOTA,nNIA,M750,nCUENTA,1,nASIG,"Música de Cámara"),"")))</f>
        <v/>
      </c>
      <c r="Q750" t="str">
        <f>IF(M750="","",IF(M750="[FÓRMULA MANUAL]","",IFERROR(SUMPRODUCT((nNIA=M750)*(nCUENTA=1)*(COUNTIF(CONFIG_ASIGNATURAS!$B$7:$B$27,nASIG)&gt;0)*(nNOTA))/SUMPRODUCT((nNIA=M750)*(nCUENTA=1)*(COUNTIF(CONFIG_ASIGNATURAS!$B$7:$B$27,nASIG)&gt;0)*1),"")))</f>
        <v/>
      </c>
      <c r="T750" t="str">
        <f>IF(S750="","",IF(S750="[FÓRMULA MANUAL]","",IFERROR(AVERAGEIFS(nNOTA,nNIA,S750,nCUENTA,1,nASIG,"Armonía"),"")))</f>
        <v/>
      </c>
      <c r="U750" t="str">
        <f>IF(S750="","",IF(S750="[FÓRMULA MANUAL]","",IFERROR(AVERAGEIFS(nNOTA,nNIA,S750,nCUENTA,1,nASIG,"Orquesta/Banda/Conjunto"),"")))</f>
        <v/>
      </c>
      <c r="V750" t="str">
        <f>IF(S750="","",IF(S750="[FÓRMULA MANUAL]","",IFERROR(AVERAGEIFS(nNOTA,nNIA,S750,nCUENTA,1,nASIG,"Música de Cámara"),"")))</f>
        <v/>
      </c>
      <c r="W750" t="str">
        <f>IF(S750="","",IF(S750="[FÓRMULA MANUAL]","",IFERROR(SUMPRODUCT((nNIA=S750)*(nCUENTA=1)*(COUNTIF(CONFIG_ASIGNATURAS!$B$7:$B$27,nASIG)&gt;0)*(nNOTA))/SUMPRODUCT((nNIA=S750)*(nCUENTA=1)*(COUNTIF(CONFIG_ASIGNATURAS!$B$7:$B$27,nASIG)&gt;0)*1),"")))</f>
        <v/>
      </c>
      <c r="Z750" t="str">
        <f>IF(Y750="","",IF(Y750="[FÓRMULA MANUAL]","",IFERROR(AVERAGEIFS(nNOTA,nNIA,Y750,nCUENTA,1,nASIG,"Análisis"),"")))</f>
        <v/>
      </c>
      <c r="AA750" t="str">
        <f>IF(Y750="","",IF(Y750="[FÓRMULA MANUAL]","",IFERROR(AVERAGEIFS(nNOTA,nNIA,Y750,nCUENTA,1,nASIG,"Orquesta/Banda/Conjunto"),"")))</f>
        <v/>
      </c>
      <c r="AB750" t="str">
        <f>IF(Y750="","",IF(Y750="[FÓRMULA MANUAL]","",IFERROR(AVERAGEIFS(nNOTA,nNIA,Y750,nCUENTA,1,nASIG,"Música de Cámara"),"")))</f>
        <v/>
      </c>
      <c r="AC750" t="str">
        <f>IF(Y750="","",IF(Y750="[FÓRMULA MANUAL]","",IFERROR(SUMPRODUCT((nNIA=Y750)*(nCUENTA=1)*(COUNTIF(CONFIG_ASIGNATURAS!$B$7:$B$27,nASIG)&gt;0)*(nNOTA))/SUMPRODUCT((nNIA=Y750)*(nCUENTA=1)*(COUNTIF(CONFIG_ASIGNATURAS!$B$7:$B$27,nASIG)&gt;0)*1),"")))</f>
        <v/>
      </c>
      <c r="AF750" t="str">
        <f>IF(AE750="","",IF(AE750="[FÓRMULA MANUAL]","",IFERROR(AVERAGEIFS(nNOTA,nNIA,AE750,nCUENTA,1,nASIG,"Análisis"),"")))</f>
        <v/>
      </c>
      <c r="AG750" t="str">
        <f>IF(AE750="","",IF(AE750="[FÓRMULA MANUAL]","",IFERROR(AVERAGEIFS(nNOTA,nNIA,AE750,nCUENTA,1,nASIG,"Orquesta/Banda/Conjunto"),"")))</f>
        <v/>
      </c>
      <c r="AH750" t="str">
        <f>IF(AE750="","",IF(AE750="[FÓRMULA MANUAL]","",IFERROR(AVERAGEIFS(nNOTA,nNIA,AE750,nCUENTA,1,nASIG,"Música de Cámara"),"")))</f>
        <v/>
      </c>
      <c r="AI750" t="str">
        <f>IF(AE750="","",IF(AE750="[FÓRMULA MANUAL]","",IFERROR(SUMPRODUCT((nNIA=AE750)*(nCUENTA=1)*(COUNTIF(CONFIG_ASIGNATURAS!$B$7:$B$27,nASIG)&gt;0)*(nNOTA))/SUMPRODUCT((nNIA=AE750)*(nCUENTA=1)*(COUNTIF(CONFIG_ASIGNATURAS!$B$7:$B$27,nASIG)&gt;0)*1),"")))</f>
        <v/>
      </c>
    </row>
    <row r="751" spans="2:35" x14ac:dyDescent="0.2">
      <c r="B751" t="str">
        <f>IF(A751="","",IF(A751="[FÓRMULA MANUAL]","",IFERROR(AVERAGEIFS(nNOTA,nNIA,A751,nCUENTA,1,nASIG,"Lenguaje Musical"),"")))</f>
        <v/>
      </c>
      <c r="C751" t="str">
        <f>IF(A751="","",IF(A751="[FÓRMULA MANUAL]","",IFERROR(AVERAGEIFS(nNOTA,nNIA,A751,nCUENTA,1,nASIG,"Orquesta/Banda/Conjunto"),"")))</f>
        <v/>
      </c>
      <c r="D751" t="str">
        <f>IF(A751="","",IF(A751="[FÓRMULA MANUAL]","",IFERROR(AVERAGEIFS(nNOTA,nNIA,A751,nCUENTA,1,nASIG,"Conjunto"),"")))</f>
        <v/>
      </c>
      <c r="E751" t="str">
        <f>IF(A751="","",IF(A751="[FÓRMULA MANUAL]","",IFERROR(SUMPRODUCT((nNIA=A751)*(nCUENTA=1)*(COUNTIF(CONFIG_ASIGNATURAS!$B$7:$B$27,nASIG)&gt;0)*(nNOTA))/SUMPRODUCT((nNIA=A751)*(nCUENTA=1)*(COUNTIF(CONFIG_ASIGNATURAS!$B$7:$B$27,nASIG)&gt;0)*1),"")))</f>
        <v/>
      </c>
      <c r="H751" t="str">
        <f>IF(G751="","",IF(G751="[FÓRMULA MANUAL]","",IFERROR(AVERAGEIFS(nNOTA,nNIA,G751,nCUENTA,1,nASIG,"Lenguaje Musical"),"")))</f>
        <v/>
      </c>
      <c r="I751" t="str">
        <f>IF(G751="","",IF(G751="[FÓRMULA MANUAL]","",IFERROR(AVERAGEIFS(nNOTA,nNIA,G751,nCUENTA,1,nASIG,"Orquesta/Banda/Conjunto"),"")))</f>
        <v/>
      </c>
      <c r="J751" t="str">
        <f>IF(G751="","",IF(G751="[FÓRMULA MANUAL]","",IFERROR(AVERAGEIFS(nNOTA,nNIA,G751,nCUENTA,1,nASIG,"Conjunto"),"")))</f>
        <v/>
      </c>
      <c r="K751" t="str">
        <f>IF(G751="","",IF(G751="[FÓRMULA MANUAL]","",IFERROR(SUMPRODUCT((nNIA=G751)*(nCUENTA=1)*(COUNTIF(CONFIG_ASIGNATURAS!$B$7:$B$27,nASIG)&gt;0)*(nNOTA))/SUMPRODUCT((nNIA=G751)*(nCUENTA=1)*(COUNTIF(CONFIG_ASIGNATURAS!$B$7:$B$27,nASIG)&gt;0)*1),"")))</f>
        <v/>
      </c>
      <c r="N751" t="str">
        <f>IF(M751="","",IF(M751="[FÓRMULA MANUAL]","",IFERROR(AVERAGEIFS(nNOTA,nNIA,M751,nCUENTA,1,nASIG,"Armonía"),"")))</f>
        <v/>
      </c>
      <c r="O751" t="str">
        <f>IF(M751="","",IF(M751="[FÓRMULA MANUAL]","",IFERROR(AVERAGEIFS(nNOTA,nNIA,M751,nCUENTA,1,nASIG,"Orquesta/Banda/Conjunto"),"")))</f>
        <v/>
      </c>
      <c r="P751" t="str">
        <f>IF(M751="","",IF(M751="[FÓRMULA MANUAL]","",IFERROR(AVERAGEIFS(nNOTA,nNIA,M751,nCUENTA,1,nASIG,"Música de Cámara"),"")))</f>
        <v/>
      </c>
      <c r="Q751" t="str">
        <f>IF(M751="","",IF(M751="[FÓRMULA MANUAL]","",IFERROR(SUMPRODUCT((nNIA=M751)*(nCUENTA=1)*(COUNTIF(CONFIG_ASIGNATURAS!$B$7:$B$27,nASIG)&gt;0)*(nNOTA))/SUMPRODUCT((nNIA=M751)*(nCUENTA=1)*(COUNTIF(CONFIG_ASIGNATURAS!$B$7:$B$27,nASIG)&gt;0)*1),"")))</f>
        <v/>
      </c>
      <c r="T751" t="str">
        <f>IF(S751="","",IF(S751="[FÓRMULA MANUAL]","",IFERROR(AVERAGEIFS(nNOTA,nNIA,S751,nCUENTA,1,nASIG,"Armonía"),"")))</f>
        <v/>
      </c>
      <c r="U751" t="str">
        <f>IF(S751="","",IF(S751="[FÓRMULA MANUAL]","",IFERROR(AVERAGEIFS(nNOTA,nNIA,S751,nCUENTA,1,nASIG,"Orquesta/Banda/Conjunto"),"")))</f>
        <v/>
      </c>
      <c r="V751" t="str">
        <f>IF(S751="","",IF(S751="[FÓRMULA MANUAL]","",IFERROR(AVERAGEIFS(nNOTA,nNIA,S751,nCUENTA,1,nASIG,"Música de Cámara"),"")))</f>
        <v/>
      </c>
      <c r="W751" t="str">
        <f>IF(S751="","",IF(S751="[FÓRMULA MANUAL]","",IFERROR(SUMPRODUCT((nNIA=S751)*(nCUENTA=1)*(COUNTIF(CONFIG_ASIGNATURAS!$B$7:$B$27,nASIG)&gt;0)*(nNOTA))/SUMPRODUCT((nNIA=S751)*(nCUENTA=1)*(COUNTIF(CONFIG_ASIGNATURAS!$B$7:$B$27,nASIG)&gt;0)*1),"")))</f>
        <v/>
      </c>
      <c r="Z751" t="str">
        <f>IF(Y751="","",IF(Y751="[FÓRMULA MANUAL]","",IFERROR(AVERAGEIFS(nNOTA,nNIA,Y751,nCUENTA,1,nASIG,"Análisis"),"")))</f>
        <v/>
      </c>
      <c r="AA751" t="str">
        <f>IF(Y751="","",IF(Y751="[FÓRMULA MANUAL]","",IFERROR(AVERAGEIFS(nNOTA,nNIA,Y751,nCUENTA,1,nASIG,"Orquesta/Banda/Conjunto"),"")))</f>
        <v/>
      </c>
      <c r="AB751" t="str">
        <f>IF(Y751="","",IF(Y751="[FÓRMULA MANUAL]","",IFERROR(AVERAGEIFS(nNOTA,nNIA,Y751,nCUENTA,1,nASIG,"Música de Cámara"),"")))</f>
        <v/>
      </c>
      <c r="AC751" t="str">
        <f>IF(Y751="","",IF(Y751="[FÓRMULA MANUAL]","",IFERROR(SUMPRODUCT((nNIA=Y751)*(nCUENTA=1)*(COUNTIF(CONFIG_ASIGNATURAS!$B$7:$B$27,nASIG)&gt;0)*(nNOTA))/SUMPRODUCT((nNIA=Y751)*(nCUENTA=1)*(COUNTIF(CONFIG_ASIGNATURAS!$B$7:$B$27,nASIG)&gt;0)*1),"")))</f>
        <v/>
      </c>
      <c r="AF751" t="str">
        <f>IF(AE751="","",IF(AE751="[FÓRMULA MANUAL]","",IFERROR(AVERAGEIFS(nNOTA,nNIA,AE751,nCUENTA,1,nASIG,"Análisis"),"")))</f>
        <v/>
      </c>
      <c r="AG751" t="str">
        <f>IF(AE751="","",IF(AE751="[FÓRMULA MANUAL]","",IFERROR(AVERAGEIFS(nNOTA,nNIA,AE751,nCUENTA,1,nASIG,"Orquesta/Banda/Conjunto"),"")))</f>
        <v/>
      </c>
      <c r="AH751" t="str">
        <f>IF(AE751="","",IF(AE751="[FÓRMULA MANUAL]","",IFERROR(AVERAGEIFS(nNOTA,nNIA,AE751,nCUENTA,1,nASIG,"Música de Cámara"),"")))</f>
        <v/>
      </c>
      <c r="AI751" t="str">
        <f>IF(AE751="","",IF(AE751="[FÓRMULA MANUAL]","",IFERROR(SUMPRODUCT((nNIA=AE751)*(nCUENTA=1)*(COUNTIF(CONFIG_ASIGNATURAS!$B$7:$B$27,nASIG)&gt;0)*(nNOTA))/SUMPRODUCT((nNIA=AE751)*(nCUENTA=1)*(COUNTIF(CONFIG_ASIGNATURAS!$B$7:$B$27,nASIG)&gt;0)*1),"")))</f>
        <v/>
      </c>
    </row>
    <row r="752" spans="2:35" x14ac:dyDescent="0.2">
      <c r="B752" t="str">
        <f>IF(A752="","",IF(A752="[FÓRMULA MANUAL]","",IFERROR(AVERAGEIFS(nNOTA,nNIA,A752,nCUENTA,1,nASIG,"Lenguaje Musical"),"")))</f>
        <v/>
      </c>
      <c r="C752" t="str">
        <f>IF(A752="","",IF(A752="[FÓRMULA MANUAL]","",IFERROR(AVERAGEIFS(nNOTA,nNIA,A752,nCUENTA,1,nASIG,"Orquesta/Banda/Conjunto"),"")))</f>
        <v/>
      </c>
      <c r="D752" t="str">
        <f>IF(A752="","",IF(A752="[FÓRMULA MANUAL]","",IFERROR(AVERAGEIFS(nNOTA,nNIA,A752,nCUENTA,1,nASIG,"Conjunto"),"")))</f>
        <v/>
      </c>
      <c r="E752" t="str">
        <f>IF(A752="","",IF(A752="[FÓRMULA MANUAL]","",IFERROR(SUMPRODUCT((nNIA=A752)*(nCUENTA=1)*(COUNTIF(CONFIG_ASIGNATURAS!$B$7:$B$27,nASIG)&gt;0)*(nNOTA))/SUMPRODUCT((nNIA=A752)*(nCUENTA=1)*(COUNTIF(CONFIG_ASIGNATURAS!$B$7:$B$27,nASIG)&gt;0)*1),"")))</f>
        <v/>
      </c>
      <c r="H752" t="str">
        <f>IF(G752="","",IF(G752="[FÓRMULA MANUAL]","",IFERROR(AVERAGEIFS(nNOTA,nNIA,G752,nCUENTA,1,nASIG,"Lenguaje Musical"),"")))</f>
        <v/>
      </c>
      <c r="I752" t="str">
        <f>IF(G752="","",IF(G752="[FÓRMULA MANUAL]","",IFERROR(AVERAGEIFS(nNOTA,nNIA,G752,nCUENTA,1,nASIG,"Orquesta/Banda/Conjunto"),"")))</f>
        <v/>
      </c>
      <c r="J752" t="str">
        <f>IF(G752="","",IF(G752="[FÓRMULA MANUAL]","",IFERROR(AVERAGEIFS(nNOTA,nNIA,G752,nCUENTA,1,nASIG,"Conjunto"),"")))</f>
        <v/>
      </c>
      <c r="K752" t="str">
        <f>IF(G752="","",IF(G752="[FÓRMULA MANUAL]","",IFERROR(SUMPRODUCT((nNIA=G752)*(nCUENTA=1)*(COUNTIF(CONFIG_ASIGNATURAS!$B$7:$B$27,nASIG)&gt;0)*(nNOTA))/SUMPRODUCT((nNIA=G752)*(nCUENTA=1)*(COUNTIF(CONFIG_ASIGNATURAS!$B$7:$B$27,nASIG)&gt;0)*1),"")))</f>
        <v/>
      </c>
      <c r="N752" t="str">
        <f>IF(M752="","",IF(M752="[FÓRMULA MANUAL]","",IFERROR(AVERAGEIFS(nNOTA,nNIA,M752,nCUENTA,1,nASIG,"Armonía"),"")))</f>
        <v/>
      </c>
      <c r="O752" t="str">
        <f>IF(M752="","",IF(M752="[FÓRMULA MANUAL]","",IFERROR(AVERAGEIFS(nNOTA,nNIA,M752,nCUENTA,1,nASIG,"Orquesta/Banda/Conjunto"),"")))</f>
        <v/>
      </c>
      <c r="P752" t="str">
        <f>IF(M752="","",IF(M752="[FÓRMULA MANUAL]","",IFERROR(AVERAGEIFS(nNOTA,nNIA,M752,nCUENTA,1,nASIG,"Música de Cámara"),"")))</f>
        <v/>
      </c>
      <c r="Q752" t="str">
        <f>IF(M752="","",IF(M752="[FÓRMULA MANUAL]","",IFERROR(SUMPRODUCT((nNIA=M752)*(nCUENTA=1)*(COUNTIF(CONFIG_ASIGNATURAS!$B$7:$B$27,nASIG)&gt;0)*(nNOTA))/SUMPRODUCT((nNIA=M752)*(nCUENTA=1)*(COUNTIF(CONFIG_ASIGNATURAS!$B$7:$B$27,nASIG)&gt;0)*1),"")))</f>
        <v/>
      </c>
      <c r="T752" t="str">
        <f>IF(S752="","",IF(S752="[FÓRMULA MANUAL]","",IFERROR(AVERAGEIFS(nNOTA,nNIA,S752,nCUENTA,1,nASIG,"Armonía"),"")))</f>
        <v/>
      </c>
      <c r="U752" t="str">
        <f>IF(S752="","",IF(S752="[FÓRMULA MANUAL]","",IFERROR(AVERAGEIFS(nNOTA,nNIA,S752,nCUENTA,1,nASIG,"Orquesta/Banda/Conjunto"),"")))</f>
        <v/>
      </c>
      <c r="V752" t="str">
        <f>IF(S752="","",IF(S752="[FÓRMULA MANUAL]","",IFERROR(AVERAGEIFS(nNOTA,nNIA,S752,nCUENTA,1,nASIG,"Música de Cámara"),"")))</f>
        <v/>
      </c>
      <c r="W752" t="str">
        <f>IF(S752="","",IF(S752="[FÓRMULA MANUAL]","",IFERROR(SUMPRODUCT((nNIA=S752)*(nCUENTA=1)*(COUNTIF(CONFIG_ASIGNATURAS!$B$7:$B$27,nASIG)&gt;0)*(nNOTA))/SUMPRODUCT((nNIA=S752)*(nCUENTA=1)*(COUNTIF(CONFIG_ASIGNATURAS!$B$7:$B$27,nASIG)&gt;0)*1),"")))</f>
        <v/>
      </c>
      <c r="Z752" t="str">
        <f>IF(Y752="","",IF(Y752="[FÓRMULA MANUAL]","",IFERROR(AVERAGEIFS(nNOTA,nNIA,Y752,nCUENTA,1,nASIG,"Análisis"),"")))</f>
        <v/>
      </c>
      <c r="AA752" t="str">
        <f>IF(Y752="","",IF(Y752="[FÓRMULA MANUAL]","",IFERROR(AVERAGEIFS(nNOTA,nNIA,Y752,nCUENTA,1,nASIG,"Orquesta/Banda/Conjunto"),"")))</f>
        <v/>
      </c>
      <c r="AB752" t="str">
        <f>IF(Y752="","",IF(Y752="[FÓRMULA MANUAL]","",IFERROR(AVERAGEIFS(nNOTA,nNIA,Y752,nCUENTA,1,nASIG,"Música de Cámara"),"")))</f>
        <v/>
      </c>
      <c r="AC752" t="str">
        <f>IF(Y752="","",IF(Y752="[FÓRMULA MANUAL]","",IFERROR(SUMPRODUCT((nNIA=Y752)*(nCUENTA=1)*(COUNTIF(CONFIG_ASIGNATURAS!$B$7:$B$27,nASIG)&gt;0)*(nNOTA))/SUMPRODUCT((nNIA=Y752)*(nCUENTA=1)*(COUNTIF(CONFIG_ASIGNATURAS!$B$7:$B$27,nASIG)&gt;0)*1),"")))</f>
        <v/>
      </c>
      <c r="AF752" t="str">
        <f>IF(AE752="","",IF(AE752="[FÓRMULA MANUAL]","",IFERROR(AVERAGEIFS(nNOTA,nNIA,AE752,nCUENTA,1,nASIG,"Análisis"),"")))</f>
        <v/>
      </c>
      <c r="AG752" t="str">
        <f>IF(AE752="","",IF(AE752="[FÓRMULA MANUAL]","",IFERROR(AVERAGEIFS(nNOTA,nNIA,AE752,nCUENTA,1,nASIG,"Orquesta/Banda/Conjunto"),"")))</f>
        <v/>
      </c>
      <c r="AH752" t="str">
        <f>IF(AE752="","",IF(AE752="[FÓRMULA MANUAL]","",IFERROR(AVERAGEIFS(nNOTA,nNIA,AE752,nCUENTA,1,nASIG,"Música de Cámara"),"")))</f>
        <v/>
      </c>
      <c r="AI752" t="str">
        <f>IF(AE752="","",IF(AE752="[FÓRMULA MANUAL]","",IFERROR(SUMPRODUCT((nNIA=AE752)*(nCUENTA=1)*(COUNTIF(CONFIG_ASIGNATURAS!$B$7:$B$27,nASIG)&gt;0)*(nNOTA))/SUMPRODUCT((nNIA=AE752)*(nCUENTA=1)*(COUNTIF(CONFIG_ASIGNATURAS!$B$7:$B$27,nASIG)&gt;0)*1),"")))</f>
        <v/>
      </c>
    </row>
    <row r="753" spans="2:35" x14ac:dyDescent="0.2">
      <c r="B753" t="str">
        <f>IF(A753="","",IF(A753="[FÓRMULA MANUAL]","",IFERROR(AVERAGEIFS(nNOTA,nNIA,A753,nCUENTA,1,nASIG,"Lenguaje Musical"),"")))</f>
        <v/>
      </c>
      <c r="C753" t="str">
        <f>IF(A753="","",IF(A753="[FÓRMULA MANUAL]","",IFERROR(AVERAGEIFS(nNOTA,nNIA,A753,nCUENTA,1,nASIG,"Orquesta/Banda/Conjunto"),"")))</f>
        <v/>
      </c>
      <c r="D753" t="str">
        <f>IF(A753="","",IF(A753="[FÓRMULA MANUAL]","",IFERROR(AVERAGEIFS(nNOTA,nNIA,A753,nCUENTA,1,nASIG,"Conjunto"),"")))</f>
        <v/>
      </c>
      <c r="E753" t="str">
        <f>IF(A753="","",IF(A753="[FÓRMULA MANUAL]","",IFERROR(SUMPRODUCT((nNIA=A753)*(nCUENTA=1)*(COUNTIF(CONFIG_ASIGNATURAS!$B$7:$B$27,nASIG)&gt;0)*(nNOTA))/SUMPRODUCT((nNIA=A753)*(nCUENTA=1)*(COUNTIF(CONFIG_ASIGNATURAS!$B$7:$B$27,nASIG)&gt;0)*1),"")))</f>
        <v/>
      </c>
      <c r="H753" t="str">
        <f>IF(G753="","",IF(G753="[FÓRMULA MANUAL]","",IFERROR(AVERAGEIFS(nNOTA,nNIA,G753,nCUENTA,1,nASIG,"Lenguaje Musical"),"")))</f>
        <v/>
      </c>
      <c r="I753" t="str">
        <f>IF(G753="","",IF(G753="[FÓRMULA MANUAL]","",IFERROR(AVERAGEIFS(nNOTA,nNIA,G753,nCUENTA,1,nASIG,"Orquesta/Banda/Conjunto"),"")))</f>
        <v/>
      </c>
      <c r="J753" t="str">
        <f>IF(G753="","",IF(G753="[FÓRMULA MANUAL]","",IFERROR(AVERAGEIFS(nNOTA,nNIA,G753,nCUENTA,1,nASIG,"Conjunto"),"")))</f>
        <v/>
      </c>
      <c r="K753" t="str">
        <f>IF(G753="","",IF(G753="[FÓRMULA MANUAL]","",IFERROR(SUMPRODUCT((nNIA=G753)*(nCUENTA=1)*(COUNTIF(CONFIG_ASIGNATURAS!$B$7:$B$27,nASIG)&gt;0)*(nNOTA))/SUMPRODUCT((nNIA=G753)*(nCUENTA=1)*(COUNTIF(CONFIG_ASIGNATURAS!$B$7:$B$27,nASIG)&gt;0)*1),"")))</f>
        <v/>
      </c>
      <c r="N753" t="str">
        <f>IF(M753="","",IF(M753="[FÓRMULA MANUAL]","",IFERROR(AVERAGEIFS(nNOTA,nNIA,M753,nCUENTA,1,nASIG,"Armonía"),"")))</f>
        <v/>
      </c>
      <c r="O753" t="str">
        <f>IF(M753="","",IF(M753="[FÓRMULA MANUAL]","",IFERROR(AVERAGEIFS(nNOTA,nNIA,M753,nCUENTA,1,nASIG,"Orquesta/Banda/Conjunto"),"")))</f>
        <v/>
      </c>
      <c r="P753" t="str">
        <f>IF(M753="","",IF(M753="[FÓRMULA MANUAL]","",IFERROR(AVERAGEIFS(nNOTA,nNIA,M753,nCUENTA,1,nASIG,"Música de Cámara"),"")))</f>
        <v/>
      </c>
      <c r="Q753" t="str">
        <f>IF(M753="","",IF(M753="[FÓRMULA MANUAL]","",IFERROR(SUMPRODUCT((nNIA=M753)*(nCUENTA=1)*(COUNTIF(CONFIG_ASIGNATURAS!$B$7:$B$27,nASIG)&gt;0)*(nNOTA))/SUMPRODUCT((nNIA=M753)*(nCUENTA=1)*(COUNTIF(CONFIG_ASIGNATURAS!$B$7:$B$27,nASIG)&gt;0)*1),"")))</f>
        <v/>
      </c>
      <c r="T753" t="str">
        <f>IF(S753="","",IF(S753="[FÓRMULA MANUAL]","",IFERROR(AVERAGEIFS(nNOTA,nNIA,S753,nCUENTA,1,nASIG,"Armonía"),"")))</f>
        <v/>
      </c>
      <c r="U753" t="str">
        <f>IF(S753="","",IF(S753="[FÓRMULA MANUAL]","",IFERROR(AVERAGEIFS(nNOTA,nNIA,S753,nCUENTA,1,nASIG,"Orquesta/Banda/Conjunto"),"")))</f>
        <v/>
      </c>
      <c r="V753" t="str">
        <f>IF(S753="","",IF(S753="[FÓRMULA MANUAL]","",IFERROR(AVERAGEIFS(nNOTA,nNIA,S753,nCUENTA,1,nASIG,"Música de Cámara"),"")))</f>
        <v/>
      </c>
      <c r="W753" t="str">
        <f>IF(S753="","",IF(S753="[FÓRMULA MANUAL]","",IFERROR(SUMPRODUCT((nNIA=S753)*(nCUENTA=1)*(COUNTIF(CONFIG_ASIGNATURAS!$B$7:$B$27,nASIG)&gt;0)*(nNOTA))/SUMPRODUCT((nNIA=S753)*(nCUENTA=1)*(COUNTIF(CONFIG_ASIGNATURAS!$B$7:$B$27,nASIG)&gt;0)*1),"")))</f>
        <v/>
      </c>
      <c r="Z753" t="str">
        <f>IF(Y753="","",IF(Y753="[FÓRMULA MANUAL]","",IFERROR(AVERAGEIFS(nNOTA,nNIA,Y753,nCUENTA,1,nASIG,"Análisis"),"")))</f>
        <v/>
      </c>
      <c r="AA753" t="str">
        <f>IF(Y753="","",IF(Y753="[FÓRMULA MANUAL]","",IFERROR(AVERAGEIFS(nNOTA,nNIA,Y753,nCUENTA,1,nASIG,"Orquesta/Banda/Conjunto"),"")))</f>
        <v/>
      </c>
      <c r="AB753" t="str">
        <f>IF(Y753="","",IF(Y753="[FÓRMULA MANUAL]","",IFERROR(AVERAGEIFS(nNOTA,nNIA,Y753,nCUENTA,1,nASIG,"Música de Cámara"),"")))</f>
        <v/>
      </c>
      <c r="AC753" t="str">
        <f>IF(Y753="","",IF(Y753="[FÓRMULA MANUAL]","",IFERROR(SUMPRODUCT((nNIA=Y753)*(nCUENTA=1)*(COUNTIF(CONFIG_ASIGNATURAS!$B$7:$B$27,nASIG)&gt;0)*(nNOTA))/SUMPRODUCT((nNIA=Y753)*(nCUENTA=1)*(COUNTIF(CONFIG_ASIGNATURAS!$B$7:$B$27,nASIG)&gt;0)*1),"")))</f>
        <v/>
      </c>
      <c r="AF753" t="str">
        <f>IF(AE753="","",IF(AE753="[FÓRMULA MANUAL]","",IFERROR(AVERAGEIFS(nNOTA,nNIA,AE753,nCUENTA,1,nASIG,"Análisis"),"")))</f>
        <v/>
      </c>
      <c r="AG753" t="str">
        <f>IF(AE753="","",IF(AE753="[FÓRMULA MANUAL]","",IFERROR(AVERAGEIFS(nNOTA,nNIA,AE753,nCUENTA,1,nASIG,"Orquesta/Banda/Conjunto"),"")))</f>
        <v/>
      </c>
      <c r="AH753" t="str">
        <f>IF(AE753="","",IF(AE753="[FÓRMULA MANUAL]","",IFERROR(AVERAGEIFS(nNOTA,nNIA,AE753,nCUENTA,1,nASIG,"Música de Cámara"),"")))</f>
        <v/>
      </c>
      <c r="AI753" t="str">
        <f>IF(AE753="","",IF(AE753="[FÓRMULA MANUAL]","",IFERROR(SUMPRODUCT((nNIA=AE753)*(nCUENTA=1)*(COUNTIF(CONFIG_ASIGNATURAS!$B$7:$B$27,nASIG)&gt;0)*(nNOTA))/SUMPRODUCT((nNIA=AE753)*(nCUENTA=1)*(COUNTIF(CONFIG_ASIGNATURAS!$B$7:$B$27,nASIG)&gt;0)*1),"")))</f>
        <v/>
      </c>
    </row>
    <row r="754" spans="2:35" x14ac:dyDescent="0.2">
      <c r="B754" t="str">
        <f>IF(A754="","",IF(A754="[FÓRMULA MANUAL]","",IFERROR(AVERAGEIFS(nNOTA,nNIA,A754,nCUENTA,1,nASIG,"Lenguaje Musical"),"")))</f>
        <v/>
      </c>
      <c r="C754" t="str">
        <f>IF(A754="","",IF(A754="[FÓRMULA MANUAL]","",IFERROR(AVERAGEIFS(nNOTA,nNIA,A754,nCUENTA,1,nASIG,"Orquesta/Banda/Conjunto"),"")))</f>
        <v/>
      </c>
      <c r="D754" t="str">
        <f>IF(A754="","",IF(A754="[FÓRMULA MANUAL]","",IFERROR(AVERAGEIFS(nNOTA,nNIA,A754,nCUENTA,1,nASIG,"Conjunto"),"")))</f>
        <v/>
      </c>
      <c r="E754" t="str">
        <f>IF(A754="","",IF(A754="[FÓRMULA MANUAL]","",IFERROR(SUMPRODUCT((nNIA=A754)*(nCUENTA=1)*(COUNTIF(CONFIG_ASIGNATURAS!$B$7:$B$27,nASIG)&gt;0)*(nNOTA))/SUMPRODUCT((nNIA=A754)*(nCUENTA=1)*(COUNTIF(CONFIG_ASIGNATURAS!$B$7:$B$27,nASIG)&gt;0)*1),"")))</f>
        <v/>
      </c>
      <c r="H754" t="str">
        <f>IF(G754="","",IF(G754="[FÓRMULA MANUAL]","",IFERROR(AVERAGEIFS(nNOTA,nNIA,G754,nCUENTA,1,nASIG,"Lenguaje Musical"),"")))</f>
        <v/>
      </c>
      <c r="I754" t="str">
        <f>IF(G754="","",IF(G754="[FÓRMULA MANUAL]","",IFERROR(AVERAGEIFS(nNOTA,nNIA,G754,nCUENTA,1,nASIG,"Orquesta/Banda/Conjunto"),"")))</f>
        <v/>
      </c>
      <c r="J754" t="str">
        <f>IF(G754="","",IF(G754="[FÓRMULA MANUAL]","",IFERROR(AVERAGEIFS(nNOTA,nNIA,G754,nCUENTA,1,nASIG,"Conjunto"),"")))</f>
        <v/>
      </c>
      <c r="K754" t="str">
        <f>IF(G754="","",IF(G754="[FÓRMULA MANUAL]","",IFERROR(SUMPRODUCT((nNIA=G754)*(nCUENTA=1)*(COUNTIF(CONFIG_ASIGNATURAS!$B$7:$B$27,nASIG)&gt;0)*(nNOTA))/SUMPRODUCT((nNIA=G754)*(nCUENTA=1)*(COUNTIF(CONFIG_ASIGNATURAS!$B$7:$B$27,nASIG)&gt;0)*1),"")))</f>
        <v/>
      </c>
      <c r="N754" t="str">
        <f>IF(M754="","",IF(M754="[FÓRMULA MANUAL]","",IFERROR(AVERAGEIFS(nNOTA,nNIA,M754,nCUENTA,1,nASIG,"Armonía"),"")))</f>
        <v/>
      </c>
      <c r="O754" t="str">
        <f>IF(M754="","",IF(M754="[FÓRMULA MANUAL]","",IFERROR(AVERAGEIFS(nNOTA,nNIA,M754,nCUENTA,1,nASIG,"Orquesta/Banda/Conjunto"),"")))</f>
        <v/>
      </c>
      <c r="P754" t="str">
        <f>IF(M754="","",IF(M754="[FÓRMULA MANUAL]","",IFERROR(AVERAGEIFS(nNOTA,nNIA,M754,nCUENTA,1,nASIG,"Música de Cámara"),"")))</f>
        <v/>
      </c>
      <c r="Q754" t="str">
        <f>IF(M754="","",IF(M754="[FÓRMULA MANUAL]","",IFERROR(SUMPRODUCT((nNIA=M754)*(nCUENTA=1)*(COUNTIF(CONFIG_ASIGNATURAS!$B$7:$B$27,nASIG)&gt;0)*(nNOTA))/SUMPRODUCT((nNIA=M754)*(nCUENTA=1)*(COUNTIF(CONFIG_ASIGNATURAS!$B$7:$B$27,nASIG)&gt;0)*1),"")))</f>
        <v/>
      </c>
      <c r="T754" t="str">
        <f>IF(S754="","",IF(S754="[FÓRMULA MANUAL]","",IFERROR(AVERAGEIFS(nNOTA,nNIA,S754,nCUENTA,1,nASIG,"Armonía"),"")))</f>
        <v/>
      </c>
      <c r="U754" t="str">
        <f>IF(S754="","",IF(S754="[FÓRMULA MANUAL]","",IFERROR(AVERAGEIFS(nNOTA,nNIA,S754,nCUENTA,1,nASIG,"Orquesta/Banda/Conjunto"),"")))</f>
        <v/>
      </c>
      <c r="V754" t="str">
        <f>IF(S754="","",IF(S754="[FÓRMULA MANUAL]","",IFERROR(AVERAGEIFS(nNOTA,nNIA,S754,nCUENTA,1,nASIG,"Música de Cámara"),"")))</f>
        <v/>
      </c>
      <c r="W754" t="str">
        <f>IF(S754="","",IF(S754="[FÓRMULA MANUAL]","",IFERROR(SUMPRODUCT((nNIA=S754)*(nCUENTA=1)*(COUNTIF(CONFIG_ASIGNATURAS!$B$7:$B$27,nASIG)&gt;0)*(nNOTA))/SUMPRODUCT((nNIA=S754)*(nCUENTA=1)*(COUNTIF(CONFIG_ASIGNATURAS!$B$7:$B$27,nASIG)&gt;0)*1),"")))</f>
        <v/>
      </c>
      <c r="Z754" t="str">
        <f>IF(Y754="","",IF(Y754="[FÓRMULA MANUAL]","",IFERROR(AVERAGEIFS(nNOTA,nNIA,Y754,nCUENTA,1,nASIG,"Análisis"),"")))</f>
        <v/>
      </c>
      <c r="AA754" t="str">
        <f>IF(Y754="","",IF(Y754="[FÓRMULA MANUAL]","",IFERROR(AVERAGEIFS(nNOTA,nNIA,Y754,nCUENTA,1,nASIG,"Orquesta/Banda/Conjunto"),"")))</f>
        <v/>
      </c>
      <c r="AB754" t="str">
        <f>IF(Y754="","",IF(Y754="[FÓRMULA MANUAL]","",IFERROR(AVERAGEIFS(nNOTA,nNIA,Y754,nCUENTA,1,nASIG,"Música de Cámara"),"")))</f>
        <v/>
      </c>
      <c r="AC754" t="str">
        <f>IF(Y754="","",IF(Y754="[FÓRMULA MANUAL]","",IFERROR(SUMPRODUCT((nNIA=Y754)*(nCUENTA=1)*(COUNTIF(CONFIG_ASIGNATURAS!$B$7:$B$27,nASIG)&gt;0)*(nNOTA))/SUMPRODUCT((nNIA=Y754)*(nCUENTA=1)*(COUNTIF(CONFIG_ASIGNATURAS!$B$7:$B$27,nASIG)&gt;0)*1),"")))</f>
        <v/>
      </c>
      <c r="AF754" t="str">
        <f>IF(AE754="","",IF(AE754="[FÓRMULA MANUAL]","",IFERROR(AVERAGEIFS(nNOTA,nNIA,AE754,nCUENTA,1,nASIG,"Análisis"),"")))</f>
        <v/>
      </c>
      <c r="AG754" t="str">
        <f>IF(AE754="","",IF(AE754="[FÓRMULA MANUAL]","",IFERROR(AVERAGEIFS(nNOTA,nNIA,AE754,nCUENTA,1,nASIG,"Orquesta/Banda/Conjunto"),"")))</f>
        <v/>
      </c>
      <c r="AH754" t="str">
        <f>IF(AE754="","",IF(AE754="[FÓRMULA MANUAL]","",IFERROR(AVERAGEIFS(nNOTA,nNIA,AE754,nCUENTA,1,nASIG,"Música de Cámara"),"")))</f>
        <v/>
      </c>
      <c r="AI754" t="str">
        <f>IF(AE754="","",IF(AE754="[FÓRMULA MANUAL]","",IFERROR(SUMPRODUCT((nNIA=AE754)*(nCUENTA=1)*(COUNTIF(CONFIG_ASIGNATURAS!$B$7:$B$27,nASIG)&gt;0)*(nNOTA))/SUMPRODUCT((nNIA=AE754)*(nCUENTA=1)*(COUNTIF(CONFIG_ASIGNATURAS!$B$7:$B$27,nASIG)&gt;0)*1),"")))</f>
        <v/>
      </c>
    </row>
    <row r="755" spans="2:35" x14ac:dyDescent="0.2">
      <c r="B755" t="str">
        <f>IF(A755="","",IF(A755="[FÓRMULA MANUAL]","",IFERROR(AVERAGEIFS(nNOTA,nNIA,A755,nCUENTA,1,nASIG,"Lenguaje Musical"),"")))</f>
        <v/>
      </c>
      <c r="C755" t="str">
        <f>IF(A755="","",IF(A755="[FÓRMULA MANUAL]","",IFERROR(AVERAGEIFS(nNOTA,nNIA,A755,nCUENTA,1,nASIG,"Orquesta/Banda/Conjunto"),"")))</f>
        <v/>
      </c>
      <c r="D755" t="str">
        <f>IF(A755="","",IF(A755="[FÓRMULA MANUAL]","",IFERROR(AVERAGEIFS(nNOTA,nNIA,A755,nCUENTA,1,nASIG,"Conjunto"),"")))</f>
        <v/>
      </c>
      <c r="E755" t="str">
        <f>IF(A755="","",IF(A755="[FÓRMULA MANUAL]","",IFERROR(SUMPRODUCT((nNIA=A755)*(nCUENTA=1)*(COUNTIF(CONFIG_ASIGNATURAS!$B$7:$B$27,nASIG)&gt;0)*(nNOTA))/SUMPRODUCT((nNIA=A755)*(nCUENTA=1)*(COUNTIF(CONFIG_ASIGNATURAS!$B$7:$B$27,nASIG)&gt;0)*1),"")))</f>
        <v/>
      </c>
      <c r="H755" t="str">
        <f>IF(G755="","",IF(G755="[FÓRMULA MANUAL]","",IFERROR(AVERAGEIFS(nNOTA,nNIA,G755,nCUENTA,1,nASIG,"Lenguaje Musical"),"")))</f>
        <v/>
      </c>
      <c r="I755" t="str">
        <f>IF(G755="","",IF(G755="[FÓRMULA MANUAL]","",IFERROR(AVERAGEIFS(nNOTA,nNIA,G755,nCUENTA,1,nASIG,"Orquesta/Banda/Conjunto"),"")))</f>
        <v/>
      </c>
      <c r="J755" t="str">
        <f>IF(G755="","",IF(G755="[FÓRMULA MANUAL]","",IFERROR(AVERAGEIFS(nNOTA,nNIA,G755,nCUENTA,1,nASIG,"Conjunto"),"")))</f>
        <v/>
      </c>
      <c r="K755" t="str">
        <f>IF(G755="","",IF(G755="[FÓRMULA MANUAL]","",IFERROR(SUMPRODUCT((nNIA=G755)*(nCUENTA=1)*(COUNTIF(CONFIG_ASIGNATURAS!$B$7:$B$27,nASIG)&gt;0)*(nNOTA))/SUMPRODUCT((nNIA=G755)*(nCUENTA=1)*(COUNTIF(CONFIG_ASIGNATURAS!$B$7:$B$27,nASIG)&gt;0)*1),"")))</f>
        <v/>
      </c>
      <c r="N755" t="str">
        <f>IF(M755="","",IF(M755="[FÓRMULA MANUAL]","",IFERROR(AVERAGEIFS(nNOTA,nNIA,M755,nCUENTA,1,nASIG,"Armonía"),"")))</f>
        <v/>
      </c>
      <c r="O755" t="str">
        <f>IF(M755="","",IF(M755="[FÓRMULA MANUAL]","",IFERROR(AVERAGEIFS(nNOTA,nNIA,M755,nCUENTA,1,nASIG,"Orquesta/Banda/Conjunto"),"")))</f>
        <v/>
      </c>
      <c r="P755" t="str">
        <f>IF(M755="","",IF(M755="[FÓRMULA MANUAL]","",IFERROR(AVERAGEIFS(nNOTA,nNIA,M755,nCUENTA,1,nASIG,"Música de Cámara"),"")))</f>
        <v/>
      </c>
      <c r="Q755" t="str">
        <f>IF(M755="","",IF(M755="[FÓRMULA MANUAL]","",IFERROR(SUMPRODUCT((nNIA=M755)*(nCUENTA=1)*(COUNTIF(CONFIG_ASIGNATURAS!$B$7:$B$27,nASIG)&gt;0)*(nNOTA))/SUMPRODUCT((nNIA=M755)*(nCUENTA=1)*(COUNTIF(CONFIG_ASIGNATURAS!$B$7:$B$27,nASIG)&gt;0)*1),"")))</f>
        <v/>
      </c>
      <c r="T755" t="str">
        <f>IF(S755="","",IF(S755="[FÓRMULA MANUAL]","",IFERROR(AVERAGEIFS(nNOTA,nNIA,S755,nCUENTA,1,nASIG,"Armonía"),"")))</f>
        <v/>
      </c>
      <c r="U755" t="str">
        <f>IF(S755="","",IF(S755="[FÓRMULA MANUAL]","",IFERROR(AVERAGEIFS(nNOTA,nNIA,S755,nCUENTA,1,nASIG,"Orquesta/Banda/Conjunto"),"")))</f>
        <v/>
      </c>
      <c r="V755" t="str">
        <f>IF(S755="","",IF(S755="[FÓRMULA MANUAL]","",IFERROR(AVERAGEIFS(nNOTA,nNIA,S755,nCUENTA,1,nASIG,"Música de Cámara"),"")))</f>
        <v/>
      </c>
      <c r="W755" t="str">
        <f>IF(S755="","",IF(S755="[FÓRMULA MANUAL]","",IFERROR(SUMPRODUCT((nNIA=S755)*(nCUENTA=1)*(COUNTIF(CONFIG_ASIGNATURAS!$B$7:$B$27,nASIG)&gt;0)*(nNOTA))/SUMPRODUCT((nNIA=S755)*(nCUENTA=1)*(COUNTIF(CONFIG_ASIGNATURAS!$B$7:$B$27,nASIG)&gt;0)*1),"")))</f>
        <v/>
      </c>
      <c r="Z755" t="str">
        <f>IF(Y755="","",IF(Y755="[FÓRMULA MANUAL]","",IFERROR(AVERAGEIFS(nNOTA,nNIA,Y755,nCUENTA,1,nASIG,"Análisis"),"")))</f>
        <v/>
      </c>
      <c r="AA755" t="str">
        <f>IF(Y755="","",IF(Y755="[FÓRMULA MANUAL]","",IFERROR(AVERAGEIFS(nNOTA,nNIA,Y755,nCUENTA,1,nASIG,"Orquesta/Banda/Conjunto"),"")))</f>
        <v/>
      </c>
      <c r="AB755" t="str">
        <f>IF(Y755="","",IF(Y755="[FÓRMULA MANUAL]","",IFERROR(AVERAGEIFS(nNOTA,nNIA,Y755,nCUENTA,1,nASIG,"Música de Cámara"),"")))</f>
        <v/>
      </c>
      <c r="AC755" t="str">
        <f>IF(Y755="","",IF(Y755="[FÓRMULA MANUAL]","",IFERROR(SUMPRODUCT((nNIA=Y755)*(nCUENTA=1)*(COUNTIF(CONFIG_ASIGNATURAS!$B$7:$B$27,nASIG)&gt;0)*(nNOTA))/SUMPRODUCT((nNIA=Y755)*(nCUENTA=1)*(COUNTIF(CONFIG_ASIGNATURAS!$B$7:$B$27,nASIG)&gt;0)*1),"")))</f>
        <v/>
      </c>
      <c r="AF755" t="str">
        <f>IF(AE755="","",IF(AE755="[FÓRMULA MANUAL]","",IFERROR(AVERAGEIFS(nNOTA,nNIA,AE755,nCUENTA,1,nASIG,"Análisis"),"")))</f>
        <v/>
      </c>
      <c r="AG755" t="str">
        <f>IF(AE755="","",IF(AE755="[FÓRMULA MANUAL]","",IFERROR(AVERAGEIFS(nNOTA,nNIA,AE755,nCUENTA,1,nASIG,"Orquesta/Banda/Conjunto"),"")))</f>
        <v/>
      </c>
      <c r="AH755" t="str">
        <f>IF(AE755="","",IF(AE755="[FÓRMULA MANUAL]","",IFERROR(AVERAGEIFS(nNOTA,nNIA,AE755,nCUENTA,1,nASIG,"Música de Cámara"),"")))</f>
        <v/>
      </c>
      <c r="AI755" t="str">
        <f>IF(AE755="","",IF(AE755="[FÓRMULA MANUAL]","",IFERROR(SUMPRODUCT((nNIA=AE755)*(nCUENTA=1)*(COUNTIF(CONFIG_ASIGNATURAS!$B$7:$B$27,nASIG)&gt;0)*(nNOTA))/SUMPRODUCT((nNIA=AE755)*(nCUENTA=1)*(COUNTIF(CONFIG_ASIGNATURAS!$B$7:$B$27,nASIG)&gt;0)*1),"")))</f>
        <v/>
      </c>
    </row>
    <row r="756" spans="2:35" x14ac:dyDescent="0.2">
      <c r="B756" t="str">
        <f>IF(A756="","",IF(A756="[FÓRMULA MANUAL]","",IFERROR(AVERAGEIFS(nNOTA,nNIA,A756,nCUENTA,1,nASIG,"Lenguaje Musical"),"")))</f>
        <v/>
      </c>
      <c r="C756" t="str">
        <f>IF(A756="","",IF(A756="[FÓRMULA MANUAL]","",IFERROR(AVERAGEIFS(nNOTA,nNIA,A756,nCUENTA,1,nASIG,"Orquesta/Banda/Conjunto"),"")))</f>
        <v/>
      </c>
      <c r="D756" t="str">
        <f>IF(A756="","",IF(A756="[FÓRMULA MANUAL]","",IFERROR(AVERAGEIFS(nNOTA,nNIA,A756,nCUENTA,1,nASIG,"Conjunto"),"")))</f>
        <v/>
      </c>
      <c r="E756" t="str">
        <f>IF(A756="","",IF(A756="[FÓRMULA MANUAL]","",IFERROR(SUMPRODUCT((nNIA=A756)*(nCUENTA=1)*(COUNTIF(CONFIG_ASIGNATURAS!$B$7:$B$27,nASIG)&gt;0)*(nNOTA))/SUMPRODUCT((nNIA=A756)*(nCUENTA=1)*(COUNTIF(CONFIG_ASIGNATURAS!$B$7:$B$27,nASIG)&gt;0)*1),"")))</f>
        <v/>
      </c>
      <c r="H756" t="str">
        <f>IF(G756="","",IF(G756="[FÓRMULA MANUAL]","",IFERROR(AVERAGEIFS(nNOTA,nNIA,G756,nCUENTA,1,nASIG,"Lenguaje Musical"),"")))</f>
        <v/>
      </c>
      <c r="I756" t="str">
        <f>IF(G756="","",IF(G756="[FÓRMULA MANUAL]","",IFERROR(AVERAGEIFS(nNOTA,nNIA,G756,nCUENTA,1,nASIG,"Orquesta/Banda/Conjunto"),"")))</f>
        <v/>
      </c>
      <c r="J756" t="str">
        <f>IF(G756="","",IF(G756="[FÓRMULA MANUAL]","",IFERROR(AVERAGEIFS(nNOTA,nNIA,G756,nCUENTA,1,nASIG,"Conjunto"),"")))</f>
        <v/>
      </c>
      <c r="K756" t="str">
        <f>IF(G756="","",IF(G756="[FÓRMULA MANUAL]","",IFERROR(SUMPRODUCT((nNIA=G756)*(nCUENTA=1)*(COUNTIF(CONFIG_ASIGNATURAS!$B$7:$B$27,nASIG)&gt;0)*(nNOTA))/SUMPRODUCT((nNIA=G756)*(nCUENTA=1)*(COUNTIF(CONFIG_ASIGNATURAS!$B$7:$B$27,nASIG)&gt;0)*1),"")))</f>
        <v/>
      </c>
      <c r="N756" t="str">
        <f>IF(M756="","",IF(M756="[FÓRMULA MANUAL]","",IFERROR(AVERAGEIFS(nNOTA,nNIA,M756,nCUENTA,1,nASIG,"Armonía"),"")))</f>
        <v/>
      </c>
      <c r="O756" t="str">
        <f>IF(M756="","",IF(M756="[FÓRMULA MANUAL]","",IFERROR(AVERAGEIFS(nNOTA,nNIA,M756,nCUENTA,1,nASIG,"Orquesta/Banda/Conjunto"),"")))</f>
        <v/>
      </c>
      <c r="P756" t="str">
        <f>IF(M756="","",IF(M756="[FÓRMULA MANUAL]","",IFERROR(AVERAGEIFS(nNOTA,nNIA,M756,nCUENTA,1,nASIG,"Música de Cámara"),"")))</f>
        <v/>
      </c>
      <c r="Q756" t="str">
        <f>IF(M756="","",IF(M756="[FÓRMULA MANUAL]","",IFERROR(SUMPRODUCT((nNIA=M756)*(nCUENTA=1)*(COUNTIF(CONFIG_ASIGNATURAS!$B$7:$B$27,nASIG)&gt;0)*(nNOTA))/SUMPRODUCT((nNIA=M756)*(nCUENTA=1)*(COUNTIF(CONFIG_ASIGNATURAS!$B$7:$B$27,nASIG)&gt;0)*1),"")))</f>
        <v/>
      </c>
      <c r="T756" t="str">
        <f>IF(S756="","",IF(S756="[FÓRMULA MANUAL]","",IFERROR(AVERAGEIFS(nNOTA,nNIA,S756,nCUENTA,1,nASIG,"Armonía"),"")))</f>
        <v/>
      </c>
      <c r="U756" t="str">
        <f>IF(S756="","",IF(S756="[FÓRMULA MANUAL]","",IFERROR(AVERAGEIFS(nNOTA,nNIA,S756,nCUENTA,1,nASIG,"Orquesta/Banda/Conjunto"),"")))</f>
        <v/>
      </c>
      <c r="V756" t="str">
        <f>IF(S756="","",IF(S756="[FÓRMULA MANUAL]","",IFERROR(AVERAGEIFS(nNOTA,nNIA,S756,nCUENTA,1,nASIG,"Música de Cámara"),"")))</f>
        <v/>
      </c>
      <c r="W756" t="str">
        <f>IF(S756="","",IF(S756="[FÓRMULA MANUAL]","",IFERROR(SUMPRODUCT((nNIA=S756)*(nCUENTA=1)*(COUNTIF(CONFIG_ASIGNATURAS!$B$7:$B$27,nASIG)&gt;0)*(nNOTA))/SUMPRODUCT((nNIA=S756)*(nCUENTA=1)*(COUNTIF(CONFIG_ASIGNATURAS!$B$7:$B$27,nASIG)&gt;0)*1),"")))</f>
        <v/>
      </c>
      <c r="Z756" t="str">
        <f>IF(Y756="","",IF(Y756="[FÓRMULA MANUAL]","",IFERROR(AVERAGEIFS(nNOTA,nNIA,Y756,nCUENTA,1,nASIG,"Análisis"),"")))</f>
        <v/>
      </c>
      <c r="AA756" t="str">
        <f>IF(Y756="","",IF(Y756="[FÓRMULA MANUAL]","",IFERROR(AVERAGEIFS(nNOTA,nNIA,Y756,nCUENTA,1,nASIG,"Orquesta/Banda/Conjunto"),"")))</f>
        <v/>
      </c>
      <c r="AB756" t="str">
        <f>IF(Y756="","",IF(Y756="[FÓRMULA MANUAL]","",IFERROR(AVERAGEIFS(nNOTA,nNIA,Y756,nCUENTA,1,nASIG,"Música de Cámara"),"")))</f>
        <v/>
      </c>
      <c r="AC756" t="str">
        <f>IF(Y756="","",IF(Y756="[FÓRMULA MANUAL]","",IFERROR(SUMPRODUCT((nNIA=Y756)*(nCUENTA=1)*(COUNTIF(CONFIG_ASIGNATURAS!$B$7:$B$27,nASIG)&gt;0)*(nNOTA))/SUMPRODUCT((nNIA=Y756)*(nCUENTA=1)*(COUNTIF(CONFIG_ASIGNATURAS!$B$7:$B$27,nASIG)&gt;0)*1),"")))</f>
        <v/>
      </c>
      <c r="AF756" t="str">
        <f>IF(AE756="","",IF(AE756="[FÓRMULA MANUAL]","",IFERROR(AVERAGEIFS(nNOTA,nNIA,AE756,nCUENTA,1,nASIG,"Análisis"),"")))</f>
        <v/>
      </c>
      <c r="AG756" t="str">
        <f>IF(AE756="","",IF(AE756="[FÓRMULA MANUAL]","",IFERROR(AVERAGEIFS(nNOTA,nNIA,AE756,nCUENTA,1,nASIG,"Orquesta/Banda/Conjunto"),"")))</f>
        <v/>
      </c>
      <c r="AH756" t="str">
        <f>IF(AE756="","",IF(AE756="[FÓRMULA MANUAL]","",IFERROR(AVERAGEIFS(nNOTA,nNIA,AE756,nCUENTA,1,nASIG,"Música de Cámara"),"")))</f>
        <v/>
      </c>
      <c r="AI756" t="str">
        <f>IF(AE756="","",IF(AE756="[FÓRMULA MANUAL]","",IFERROR(SUMPRODUCT((nNIA=AE756)*(nCUENTA=1)*(COUNTIF(CONFIG_ASIGNATURAS!$B$7:$B$27,nASIG)&gt;0)*(nNOTA))/SUMPRODUCT((nNIA=AE756)*(nCUENTA=1)*(COUNTIF(CONFIG_ASIGNATURAS!$B$7:$B$27,nASIG)&gt;0)*1),"")))</f>
        <v/>
      </c>
    </row>
    <row r="757" spans="2:35" x14ac:dyDescent="0.2">
      <c r="B757" t="str">
        <f>IF(A757="","",IF(A757="[FÓRMULA MANUAL]","",IFERROR(AVERAGEIFS(nNOTA,nNIA,A757,nCUENTA,1,nASIG,"Lenguaje Musical"),"")))</f>
        <v/>
      </c>
      <c r="C757" t="str">
        <f>IF(A757="","",IF(A757="[FÓRMULA MANUAL]","",IFERROR(AVERAGEIFS(nNOTA,nNIA,A757,nCUENTA,1,nASIG,"Orquesta/Banda/Conjunto"),"")))</f>
        <v/>
      </c>
      <c r="D757" t="str">
        <f>IF(A757="","",IF(A757="[FÓRMULA MANUAL]","",IFERROR(AVERAGEIFS(nNOTA,nNIA,A757,nCUENTA,1,nASIG,"Conjunto"),"")))</f>
        <v/>
      </c>
      <c r="E757" t="str">
        <f>IF(A757="","",IF(A757="[FÓRMULA MANUAL]","",IFERROR(SUMPRODUCT((nNIA=A757)*(nCUENTA=1)*(COUNTIF(CONFIG_ASIGNATURAS!$B$7:$B$27,nASIG)&gt;0)*(nNOTA))/SUMPRODUCT((nNIA=A757)*(nCUENTA=1)*(COUNTIF(CONFIG_ASIGNATURAS!$B$7:$B$27,nASIG)&gt;0)*1),"")))</f>
        <v/>
      </c>
      <c r="H757" t="str">
        <f>IF(G757="","",IF(G757="[FÓRMULA MANUAL]","",IFERROR(AVERAGEIFS(nNOTA,nNIA,G757,nCUENTA,1,nASIG,"Lenguaje Musical"),"")))</f>
        <v/>
      </c>
      <c r="I757" t="str">
        <f>IF(G757="","",IF(G757="[FÓRMULA MANUAL]","",IFERROR(AVERAGEIFS(nNOTA,nNIA,G757,nCUENTA,1,nASIG,"Orquesta/Banda/Conjunto"),"")))</f>
        <v/>
      </c>
      <c r="J757" t="str">
        <f>IF(G757="","",IF(G757="[FÓRMULA MANUAL]","",IFERROR(AVERAGEIFS(nNOTA,nNIA,G757,nCUENTA,1,nASIG,"Conjunto"),"")))</f>
        <v/>
      </c>
      <c r="K757" t="str">
        <f>IF(G757="","",IF(G757="[FÓRMULA MANUAL]","",IFERROR(SUMPRODUCT((nNIA=G757)*(nCUENTA=1)*(COUNTIF(CONFIG_ASIGNATURAS!$B$7:$B$27,nASIG)&gt;0)*(nNOTA))/SUMPRODUCT((nNIA=G757)*(nCUENTA=1)*(COUNTIF(CONFIG_ASIGNATURAS!$B$7:$B$27,nASIG)&gt;0)*1),"")))</f>
        <v/>
      </c>
      <c r="N757" t="str">
        <f>IF(M757="","",IF(M757="[FÓRMULA MANUAL]","",IFERROR(AVERAGEIFS(nNOTA,nNIA,M757,nCUENTA,1,nASIG,"Armonía"),"")))</f>
        <v/>
      </c>
      <c r="O757" t="str">
        <f>IF(M757="","",IF(M757="[FÓRMULA MANUAL]","",IFERROR(AVERAGEIFS(nNOTA,nNIA,M757,nCUENTA,1,nASIG,"Orquesta/Banda/Conjunto"),"")))</f>
        <v/>
      </c>
      <c r="P757" t="str">
        <f>IF(M757="","",IF(M757="[FÓRMULA MANUAL]","",IFERROR(AVERAGEIFS(nNOTA,nNIA,M757,nCUENTA,1,nASIG,"Música de Cámara"),"")))</f>
        <v/>
      </c>
      <c r="Q757" t="str">
        <f>IF(M757="","",IF(M757="[FÓRMULA MANUAL]","",IFERROR(SUMPRODUCT((nNIA=M757)*(nCUENTA=1)*(COUNTIF(CONFIG_ASIGNATURAS!$B$7:$B$27,nASIG)&gt;0)*(nNOTA))/SUMPRODUCT((nNIA=M757)*(nCUENTA=1)*(COUNTIF(CONFIG_ASIGNATURAS!$B$7:$B$27,nASIG)&gt;0)*1),"")))</f>
        <v/>
      </c>
      <c r="T757" t="str">
        <f>IF(S757="","",IF(S757="[FÓRMULA MANUAL]","",IFERROR(AVERAGEIFS(nNOTA,nNIA,S757,nCUENTA,1,nASIG,"Armonía"),"")))</f>
        <v/>
      </c>
      <c r="U757" t="str">
        <f>IF(S757="","",IF(S757="[FÓRMULA MANUAL]","",IFERROR(AVERAGEIFS(nNOTA,nNIA,S757,nCUENTA,1,nASIG,"Orquesta/Banda/Conjunto"),"")))</f>
        <v/>
      </c>
      <c r="V757" t="str">
        <f>IF(S757="","",IF(S757="[FÓRMULA MANUAL]","",IFERROR(AVERAGEIFS(nNOTA,nNIA,S757,nCUENTA,1,nASIG,"Música de Cámara"),"")))</f>
        <v/>
      </c>
      <c r="W757" t="str">
        <f>IF(S757="","",IF(S757="[FÓRMULA MANUAL]","",IFERROR(SUMPRODUCT((nNIA=S757)*(nCUENTA=1)*(COUNTIF(CONFIG_ASIGNATURAS!$B$7:$B$27,nASIG)&gt;0)*(nNOTA))/SUMPRODUCT((nNIA=S757)*(nCUENTA=1)*(COUNTIF(CONFIG_ASIGNATURAS!$B$7:$B$27,nASIG)&gt;0)*1),"")))</f>
        <v/>
      </c>
      <c r="Z757" t="str">
        <f>IF(Y757="","",IF(Y757="[FÓRMULA MANUAL]","",IFERROR(AVERAGEIFS(nNOTA,nNIA,Y757,nCUENTA,1,nASIG,"Análisis"),"")))</f>
        <v/>
      </c>
      <c r="AA757" t="str">
        <f>IF(Y757="","",IF(Y757="[FÓRMULA MANUAL]","",IFERROR(AVERAGEIFS(nNOTA,nNIA,Y757,nCUENTA,1,nASIG,"Orquesta/Banda/Conjunto"),"")))</f>
        <v/>
      </c>
      <c r="AB757" t="str">
        <f>IF(Y757="","",IF(Y757="[FÓRMULA MANUAL]","",IFERROR(AVERAGEIFS(nNOTA,nNIA,Y757,nCUENTA,1,nASIG,"Música de Cámara"),"")))</f>
        <v/>
      </c>
      <c r="AC757" t="str">
        <f>IF(Y757="","",IF(Y757="[FÓRMULA MANUAL]","",IFERROR(SUMPRODUCT((nNIA=Y757)*(nCUENTA=1)*(COUNTIF(CONFIG_ASIGNATURAS!$B$7:$B$27,nASIG)&gt;0)*(nNOTA))/SUMPRODUCT((nNIA=Y757)*(nCUENTA=1)*(COUNTIF(CONFIG_ASIGNATURAS!$B$7:$B$27,nASIG)&gt;0)*1),"")))</f>
        <v/>
      </c>
      <c r="AF757" t="str">
        <f>IF(AE757="","",IF(AE757="[FÓRMULA MANUAL]","",IFERROR(AVERAGEIFS(nNOTA,nNIA,AE757,nCUENTA,1,nASIG,"Análisis"),"")))</f>
        <v/>
      </c>
      <c r="AG757" t="str">
        <f>IF(AE757="","",IF(AE757="[FÓRMULA MANUAL]","",IFERROR(AVERAGEIFS(nNOTA,nNIA,AE757,nCUENTA,1,nASIG,"Orquesta/Banda/Conjunto"),"")))</f>
        <v/>
      </c>
      <c r="AH757" t="str">
        <f>IF(AE757="","",IF(AE757="[FÓRMULA MANUAL]","",IFERROR(AVERAGEIFS(nNOTA,nNIA,AE757,nCUENTA,1,nASIG,"Música de Cámara"),"")))</f>
        <v/>
      </c>
      <c r="AI757" t="str">
        <f>IF(AE757="","",IF(AE757="[FÓRMULA MANUAL]","",IFERROR(SUMPRODUCT((nNIA=AE757)*(nCUENTA=1)*(COUNTIF(CONFIG_ASIGNATURAS!$B$7:$B$27,nASIG)&gt;0)*(nNOTA))/SUMPRODUCT((nNIA=AE757)*(nCUENTA=1)*(COUNTIF(CONFIG_ASIGNATURAS!$B$7:$B$27,nASIG)&gt;0)*1),"")))</f>
        <v/>
      </c>
    </row>
    <row r="758" spans="2:35" x14ac:dyDescent="0.2">
      <c r="B758" t="str">
        <f>IF(A758="","",IF(A758="[FÓRMULA MANUAL]","",IFERROR(AVERAGEIFS(nNOTA,nNIA,A758,nCUENTA,1,nASIG,"Lenguaje Musical"),"")))</f>
        <v/>
      </c>
      <c r="C758" t="str">
        <f>IF(A758="","",IF(A758="[FÓRMULA MANUAL]","",IFERROR(AVERAGEIFS(nNOTA,nNIA,A758,nCUENTA,1,nASIG,"Orquesta/Banda/Conjunto"),"")))</f>
        <v/>
      </c>
      <c r="D758" t="str">
        <f>IF(A758="","",IF(A758="[FÓRMULA MANUAL]","",IFERROR(AVERAGEIFS(nNOTA,nNIA,A758,nCUENTA,1,nASIG,"Conjunto"),"")))</f>
        <v/>
      </c>
      <c r="E758" t="str">
        <f>IF(A758="","",IF(A758="[FÓRMULA MANUAL]","",IFERROR(SUMPRODUCT((nNIA=A758)*(nCUENTA=1)*(COUNTIF(CONFIG_ASIGNATURAS!$B$7:$B$27,nASIG)&gt;0)*(nNOTA))/SUMPRODUCT((nNIA=A758)*(nCUENTA=1)*(COUNTIF(CONFIG_ASIGNATURAS!$B$7:$B$27,nASIG)&gt;0)*1),"")))</f>
        <v/>
      </c>
      <c r="H758" t="str">
        <f>IF(G758="","",IF(G758="[FÓRMULA MANUAL]","",IFERROR(AVERAGEIFS(nNOTA,nNIA,G758,nCUENTA,1,nASIG,"Lenguaje Musical"),"")))</f>
        <v/>
      </c>
      <c r="I758" t="str">
        <f>IF(G758="","",IF(G758="[FÓRMULA MANUAL]","",IFERROR(AVERAGEIFS(nNOTA,nNIA,G758,nCUENTA,1,nASIG,"Orquesta/Banda/Conjunto"),"")))</f>
        <v/>
      </c>
      <c r="J758" t="str">
        <f>IF(G758="","",IF(G758="[FÓRMULA MANUAL]","",IFERROR(AVERAGEIFS(nNOTA,nNIA,G758,nCUENTA,1,nASIG,"Conjunto"),"")))</f>
        <v/>
      </c>
      <c r="K758" t="str">
        <f>IF(G758="","",IF(G758="[FÓRMULA MANUAL]","",IFERROR(SUMPRODUCT((nNIA=G758)*(nCUENTA=1)*(COUNTIF(CONFIG_ASIGNATURAS!$B$7:$B$27,nASIG)&gt;0)*(nNOTA))/SUMPRODUCT((nNIA=G758)*(nCUENTA=1)*(COUNTIF(CONFIG_ASIGNATURAS!$B$7:$B$27,nASIG)&gt;0)*1),"")))</f>
        <v/>
      </c>
      <c r="N758" t="str">
        <f>IF(M758="","",IF(M758="[FÓRMULA MANUAL]","",IFERROR(AVERAGEIFS(nNOTA,nNIA,M758,nCUENTA,1,nASIG,"Armonía"),"")))</f>
        <v/>
      </c>
      <c r="O758" t="str">
        <f>IF(M758="","",IF(M758="[FÓRMULA MANUAL]","",IFERROR(AVERAGEIFS(nNOTA,nNIA,M758,nCUENTA,1,nASIG,"Orquesta/Banda/Conjunto"),"")))</f>
        <v/>
      </c>
      <c r="P758" t="str">
        <f>IF(M758="","",IF(M758="[FÓRMULA MANUAL]","",IFERROR(AVERAGEIFS(nNOTA,nNIA,M758,nCUENTA,1,nASIG,"Música de Cámara"),"")))</f>
        <v/>
      </c>
      <c r="Q758" t="str">
        <f>IF(M758="","",IF(M758="[FÓRMULA MANUAL]","",IFERROR(SUMPRODUCT((nNIA=M758)*(nCUENTA=1)*(COUNTIF(CONFIG_ASIGNATURAS!$B$7:$B$27,nASIG)&gt;0)*(nNOTA))/SUMPRODUCT((nNIA=M758)*(nCUENTA=1)*(COUNTIF(CONFIG_ASIGNATURAS!$B$7:$B$27,nASIG)&gt;0)*1),"")))</f>
        <v/>
      </c>
      <c r="T758" t="str">
        <f>IF(S758="","",IF(S758="[FÓRMULA MANUAL]","",IFERROR(AVERAGEIFS(nNOTA,nNIA,S758,nCUENTA,1,nASIG,"Armonía"),"")))</f>
        <v/>
      </c>
      <c r="U758" t="str">
        <f>IF(S758="","",IF(S758="[FÓRMULA MANUAL]","",IFERROR(AVERAGEIFS(nNOTA,nNIA,S758,nCUENTA,1,nASIG,"Orquesta/Banda/Conjunto"),"")))</f>
        <v/>
      </c>
      <c r="V758" t="str">
        <f>IF(S758="","",IF(S758="[FÓRMULA MANUAL]","",IFERROR(AVERAGEIFS(nNOTA,nNIA,S758,nCUENTA,1,nASIG,"Música de Cámara"),"")))</f>
        <v/>
      </c>
      <c r="W758" t="str">
        <f>IF(S758="","",IF(S758="[FÓRMULA MANUAL]","",IFERROR(SUMPRODUCT((nNIA=S758)*(nCUENTA=1)*(COUNTIF(CONFIG_ASIGNATURAS!$B$7:$B$27,nASIG)&gt;0)*(nNOTA))/SUMPRODUCT((nNIA=S758)*(nCUENTA=1)*(COUNTIF(CONFIG_ASIGNATURAS!$B$7:$B$27,nASIG)&gt;0)*1),"")))</f>
        <v/>
      </c>
      <c r="Z758" t="str">
        <f>IF(Y758="","",IF(Y758="[FÓRMULA MANUAL]","",IFERROR(AVERAGEIFS(nNOTA,nNIA,Y758,nCUENTA,1,nASIG,"Análisis"),"")))</f>
        <v/>
      </c>
      <c r="AA758" t="str">
        <f>IF(Y758="","",IF(Y758="[FÓRMULA MANUAL]","",IFERROR(AVERAGEIFS(nNOTA,nNIA,Y758,nCUENTA,1,nASIG,"Orquesta/Banda/Conjunto"),"")))</f>
        <v/>
      </c>
      <c r="AB758" t="str">
        <f>IF(Y758="","",IF(Y758="[FÓRMULA MANUAL]","",IFERROR(AVERAGEIFS(nNOTA,nNIA,Y758,nCUENTA,1,nASIG,"Música de Cámara"),"")))</f>
        <v/>
      </c>
      <c r="AC758" t="str">
        <f>IF(Y758="","",IF(Y758="[FÓRMULA MANUAL]","",IFERROR(SUMPRODUCT((nNIA=Y758)*(nCUENTA=1)*(COUNTIF(CONFIG_ASIGNATURAS!$B$7:$B$27,nASIG)&gt;0)*(nNOTA))/SUMPRODUCT((nNIA=Y758)*(nCUENTA=1)*(COUNTIF(CONFIG_ASIGNATURAS!$B$7:$B$27,nASIG)&gt;0)*1),"")))</f>
        <v/>
      </c>
      <c r="AF758" t="str">
        <f>IF(AE758="","",IF(AE758="[FÓRMULA MANUAL]","",IFERROR(AVERAGEIFS(nNOTA,nNIA,AE758,nCUENTA,1,nASIG,"Análisis"),"")))</f>
        <v/>
      </c>
      <c r="AG758" t="str">
        <f>IF(AE758="","",IF(AE758="[FÓRMULA MANUAL]","",IFERROR(AVERAGEIFS(nNOTA,nNIA,AE758,nCUENTA,1,nASIG,"Orquesta/Banda/Conjunto"),"")))</f>
        <v/>
      </c>
      <c r="AH758" t="str">
        <f>IF(AE758="","",IF(AE758="[FÓRMULA MANUAL]","",IFERROR(AVERAGEIFS(nNOTA,nNIA,AE758,nCUENTA,1,nASIG,"Música de Cámara"),"")))</f>
        <v/>
      </c>
      <c r="AI758" t="str">
        <f>IF(AE758="","",IF(AE758="[FÓRMULA MANUAL]","",IFERROR(SUMPRODUCT((nNIA=AE758)*(nCUENTA=1)*(COUNTIF(CONFIG_ASIGNATURAS!$B$7:$B$27,nASIG)&gt;0)*(nNOTA))/SUMPRODUCT((nNIA=AE758)*(nCUENTA=1)*(COUNTIF(CONFIG_ASIGNATURAS!$B$7:$B$27,nASIG)&gt;0)*1),"")))</f>
        <v/>
      </c>
    </row>
    <row r="759" spans="2:35" x14ac:dyDescent="0.2">
      <c r="B759" t="str">
        <f>IF(A759="","",IF(A759="[FÓRMULA MANUAL]","",IFERROR(AVERAGEIFS(nNOTA,nNIA,A759,nCUENTA,1,nASIG,"Lenguaje Musical"),"")))</f>
        <v/>
      </c>
      <c r="C759" t="str">
        <f>IF(A759="","",IF(A759="[FÓRMULA MANUAL]","",IFERROR(AVERAGEIFS(nNOTA,nNIA,A759,nCUENTA,1,nASIG,"Orquesta/Banda/Conjunto"),"")))</f>
        <v/>
      </c>
      <c r="D759" t="str">
        <f>IF(A759="","",IF(A759="[FÓRMULA MANUAL]","",IFERROR(AVERAGEIFS(nNOTA,nNIA,A759,nCUENTA,1,nASIG,"Conjunto"),"")))</f>
        <v/>
      </c>
      <c r="E759" t="str">
        <f>IF(A759="","",IF(A759="[FÓRMULA MANUAL]","",IFERROR(SUMPRODUCT((nNIA=A759)*(nCUENTA=1)*(COUNTIF(CONFIG_ASIGNATURAS!$B$7:$B$27,nASIG)&gt;0)*(nNOTA))/SUMPRODUCT((nNIA=A759)*(nCUENTA=1)*(COUNTIF(CONFIG_ASIGNATURAS!$B$7:$B$27,nASIG)&gt;0)*1),"")))</f>
        <v/>
      </c>
      <c r="H759" t="str">
        <f>IF(G759="","",IF(G759="[FÓRMULA MANUAL]","",IFERROR(AVERAGEIFS(nNOTA,nNIA,G759,nCUENTA,1,nASIG,"Lenguaje Musical"),"")))</f>
        <v/>
      </c>
      <c r="I759" t="str">
        <f>IF(G759="","",IF(G759="[FÓRMULA MANUAL]","",IFERROR(AVERAGEIFS(nNOTA,nNIA,G759,nCUENTA,1,nASIG,"Orquesta/Banda/Conjunto"),"")))</f>
        <v/>
      </c>
      <c r="J759" t="str">
        <f>IF(G759="","",IF(G759="[FÓRMULA MANUAL]","",IFERROR(AVERAGEIFS(nNOTA,nNIA,G759,nCUENTA,1,nASIG,"Conjunto"),"")))</f>
        <v/>
      </c>
      <c r="K759" t="str">
        <f>IF(G759="","",IF(G759="[FÓRMULA MANUAL]","",IFERROR(SUMPRODUCT((nNIA=G759)*(nCUENTA=1)*(COUNTIF(CONFIG_ASIGNATURAS!$B$7:$B$27,nASIG)&gt;0)*(nNOTA))/SUMPRODUCT((nNIA=G759)*(nCUENTA=1)*(COUNTIF(CONFIG_ASIGNATURAS!$B$7:$B$27,nASIG)&gt;0)*1),"")))</f>
        <v/>
      </c>
      <c r="N759" t="str">
        <f>IF(M759="","",IF(M759="[FÓRMULA MANUAL]","",IFERROR(AVERAGEIFS(nNOTA,nNIA,M759,nCUENTA,1,nASIG,"Armonía"),"")))</f>
        <v/>
      </c>
      <c r="O759" t="str">
        <f>IF(M759="","",IF(M759="[FÓRMULA MANUAL]","",IFERROR(AVERAGEIFS(nNOTA,nNIA,M759,nCUENTA,1,nASIG,"Orquesta/Banda/Conjunto"),"")))</f>
        <v/>
      </c>
      <c r="P759" t="str">
        <f>IF(M759="","",IF(M759="[FÓRMULA MANUAL]","",IFERROR(AVERAGEIFS(nNOTA,nNIA,M759,nCUENTA,1,nASIG,"Música de Cámara"),"")))</f>
        <v/>
      </c>
      <c r="Q759" t="str">
        <f>IF(M759="","",IF(M759="[FÓRMULA MANUAL]","",IFERROR(SUMPRODUCT((nNIA=M759)*(nCUENTA=1)*(COUNTIF(CONFIG_ASIGNATURAS!$B$7:$B$27,nASIG)&gt;0)*(nNOTA))/SUMPRODUCT((nNIA=M759)*(nCUENTA=1)*(COUNTIF(CONFIG_ASIGNATURAS!$B$7:$B$27,nASIG)&gt;0)*1),"")))</f>
        <v/>
      </c>
      <c r="T759" t="str">
        <f>IF(S759="","",IF(S759="[FÓRMULA MANUAL]","",IFERROR(AVERAGEIFS(nNOTA,nNIA,S759,nCUENTA,1,nASIG,"Armonía"),"")))</f>
        <v/>
      </c>
      <c r="U759" t="str">
        <f>IF(S759="","",IF(S759="[FÓRMULA MANUAL]","",IFERROR(AVERAGEIFS(nNOTA,nNIA,S759,nCUENTA,1,nASIG,"Orquesta/Banda/Conjunto"),"")))</f>
        <v/>
      </c>
      <c r="V759" t="str">
        <f>IF(S759="","",IF(S759="[FÓRMULA MANUAL]","",IFERROR(AVERAGEIFS(nNOTA,nNIA,S759,nCUENTA,1,nASIG,"Música de Cámara"),"")))</f>
        <v/>
      </c>
      <c r="W759" t="str">
        <f>IF(S759="","",IF(S759="[FÓRMULA MANUAL]","",IFERROR(SUMPRODUCT((nNIA=S759)*(nCUENTA=1)*(COUNTIF(CONFIG_ASIGNATURAS!$B$7:$B$27,nASIG)&gt;0)*(nNOTA))/SUMPRODUCT((nNIA=S759)*(nCUENTA=1)*(COUNTIF(CONFIG_ASIGNATURAS!$B$7:$B$27,nASIG)&gt;0)*1),"")))</f>
        <v/>
      </c>
      <c r="Z759" t="str">
        <f>IF(Y759="","",IF(Y759="[FÓRMULA MANUAL]","",IFERROR(AVERAGEIFS(nNOTA,nNIA,Y759,nCUENTA,1,nASIG,"Análisis"),"")))</f>
        <v/>
      </c>
      <c r="AA759" t="str">
        <f>IF(Y759="","",IF(Y759="[FÓRMULA MANUAL]","",IFERROR(AVERAGEIFS(nNOTA,nNIA,Y759,nCUENTA,1,nASIG,"Orquesta/Banda/Conjunto"),"")))</f>
        <v/>
      </c>
      <c r="AB759" t="str">
        <f>IF(Y759="","",IF(Y759="[FÓRMULA MANUAL]","",IFERROR(AVERAGEIFS(nNOTA,nNIA,Y759,nCUENTA,1,nASIG,"Música de Cámara"),"")))</f>
        <v/>
      </c>
      <c r="AC759" t="str">
        <f>IF(Y759="","",IF(Y759="[FÓRMULA MANUAL]","",IFERROR(SUMPRODUCT((nNIA=Y759)*(nCUENTA=1)*(COUNTIF(CONFIG_ASIGNATURAS!$B$7:$B$27,nASIG)&gt;0)*(nNOTA))/SUMPRODUCT((nNIA=Y759)*(nCUENTA=1)*(COUNTIF(CONFIG_ASIGNATURAS!$B$7:$B$27,nASIG)&gt;0)*1),"")))</f>
        <v/>
      </c>
      <c r="AF759" t="str">
        <f>IF(AE759="","",IF(AE759="[FÓRMULA MANUAL]","",IFERROR(AVERAGEIFS(nNOTA,nNIA,AE759,nCUENTA,1,nASIG,"Análisis"),"")))</f>
        <v/>
      </c>
      <c r="AG759" t="str">
        <f>IF(AE759="","",IF(AE759="[FÓRMULA MANUAL]","",IFERROR(AVERAGEIFS(nNOTA,nNIA,AE759,nCUENTA,1,nASIG,"Orquesta/Banda/Conjunto"),"")))</f>
        <v/>
      </c>
      <c r="AH759" t="str">
        <f>IF(AE759="","",IF(AE759="[FÓRMULA MANUAL]","",IFERROR(AVERAGEIFS(nNOTA,nNIA,AE759,nCUENTA,1,nASIG,"Música de Cámara"),"")))</f>
        <v/>
      </c>
      <c r="AI759" t="str">
        <f>IF(AE759="","",IF(AE759="[FÓRMULA MANUAL]","",IFERROR(SUMPRODUCT((nNIA=AE759)*(nCUENTA=1)*(COUNTIF(CONFIG_ASIGNATURAS!$B$7:$B$27,nASIG)&gt;0)*(nNOTA))/SUMPRODUCT((nNIA=AE759)*(nCUENTA=1)*(COUNTIF(CONFIG_ASIGNATURAS!$B$7:$B$27,nASIG)&gt;0)*1),"")))</f>
        <v/>
      </c>
    </row>
    <row r="760" spans="2:35" x14ac:dyDescent="0.2">
      <c r="B760" t="str">
        <f>IF(A760="","",IF(A760="[FÓRMULA MANUAL]","",IFERROR(AVERAGEIFS(nNOTA,nNIA,A760,nCUENTA,1,nASIG,"Lenguaje Musical"),"")))</f>
        <v/>
      </c>
      <c r="C760" t="str">
        <f>IF(A760="","",IF(A760="[FÓRMULA MANUAL]","",IFERROR(AVERAGEIFS(nNOTA,nNIA,A760,nCUENTA,1,nASIG,"Orquesta/Banda/Conjunto"),"")))</f>
        <v/>
      </c>
      <c r="D760" t="str">
        <f>IF(A760="","",IF(A760="[FÓRMULA MANUAL]","",IFERROR(AVERAGEIFS(nNOTA,nNIA,A760,nCUENTA,1,nASIG,"Conjunto"),"")))</f>
        <v/>
      </c>
      <c r="E760" t="str">
        <f>IF(A760="","",IF(A760="[FÓRMULA MANUAL]","",IFERROR(SUMPRODUCT((nNIA=A760)*(nCUENTA=1)*(COUNTIF(CONFIG_ASIGNATURAS!$B$7:$B$27,nASIG)&gt;0)*(nNOTA))/SUMPRODUCT((nNIA=A760)*(nCUENTA=1)*(COUNTIF(CONFIG_ASIGNATURAS!$B$7:$B$27,nASIG)&gt;0)*1),"")))</f>
        <v/>
      </c>
      <c r="H760" t="str">
        <f>IF(G760="","",IF(G760="[FÓRMULA MANUAL]","",IFERROR(AVERAGEIFS(nNOTA,nNIA,G760,nCUENTA,1,nASIG,"Lenguaje Musical"),"")))</f>
        <v/>
      </c>
      <c r="I760" t="str">
        <f>IF(G760="","",IF(G760="[FÓRMULA MANUAL]","",IFERROR(AVERAGEIFS(nNOTA,nNIA,G760,nCUENTA,1,nASIG,"Orquesta/Banda/Conjunto"),"")))</f>
        <v/>
      </c>
      <c r="J760" t="str">
        <f>IF(G760="","",IF(G760="[FÓRMULA MANUAL]","",IFERROR(AVERAGEIFS(nNOTA,nNIA,G760,nCUENTA,1,nASIG,"Conjunto"),"")))</f>
        <v/>
      </c>
      <c r="K760" t="str">
        <f>IF(G760="","",IF(G760="[FÓRMULA MANUAL]","",IFERROR(SUMPRODUCT((nNIA=G760)*(nCUENTA=1)*(COUNTIF(CONFIG_ASIGNATURAS!$B$7:$B$27,nASIG)&gt;0)*(nNOTA))/SUMPRODUCT((nNIA=G760)*(nCUENTA=1)*(COUNTIF(CONFIG_ASIGNATURAS!$B$7:$B$27,nASIG)&gt;0)*1),"")))</f>
        <v/>
      </c>
      <c r="N760" t="str">
        <f>IF(M760="","",IF(M760="[FÓRMULA MANUAL]","",IFERROR(AVERAGEIFS(nNOTA,nNIA,M760,nCUENTA,1,nASIG,"Armonía"),"")))</f>
        <v/>
      </c>
      <c r="O760" t="str">
        <f>IF(M760="","",IF(M760="[FÓRMULA MANUAL]","",IFERROR(AVERAGEIFS(nNOTA,nNIA,M760,nCUENTA,1,nASIG,"Orquesta/Banda/Conjunto"),"")))</f>
        <v/>
      </c>
      <c r="P760" t="str">
        <f>IF(M760="","",IF(M760="[FÓRMULA MANUAL]","",IFERROR(AVERAGEIFS(nNOTA,nNIA,M760,nCUENTA,1,nASIG,"Música de Cámara"),"")))</f>
        <v/>
      </c>
      <c r="Q760" t="str">
        <f>IF(M760="","",IF(M760="[FÓRMULA MANUAL]","",IFERROR(SUMPRODUCT((nNIA=M760)*(nCUENTA=1)*(COUNTIF(CONFIG_ASIGNATURAS!$B$7:$B$27,nASIG)&gt;0)*(nNOTA))/SUMPRODUCT((nNIA=M760)*(nCUENTA=1)*(COUNTIF(CONFIG_ASIGNATURAS!$B$7:$B$27,nASIG)&gt;0)*1),"")))</f>
        <v/>
      </c>
      <c r="T760" t="str">
        <f>IF(S760="","",IF(S760="[FÓRMULA MANUAL]","",IFERROR(AVERAGEIFS(nNOTA,nNIA,S760,nCUENTA,1,nASIG,"Armonía"),"")))</f>
        <v/>
      </c>
      <c r="U760" t="str">
        <f>IF(S760="","",IF(S760="[FÓRMULA MANUAL]","",IFERROR(AVERAGEIFS(nNOTA,nNIA,S760,nCUENTA,1,nASIG,"Orquesta/Banda/Conjunto"),"")))</f>
        <v/>
      </c>
      <c r="V760" t="str">
        <f>IF(S760="","",IF(S760="[FÓRMULA MANUAL]","",IFERROR(AVERAGEIFS(nNOTA,nNIA,S760,nCUENTA,1,nASIG,"Música de Cámara"),"")))</f>
        <v/>
      </c>
      <c r="W760" t="str">
        <f>IF(S760="","",IF(S760="[FÓRMULA MANUAL]","",IFERROR(SUMPRODUCT((nNIA=S760)*(nCUENTA=1)*(COUNTIF(CONFIG_ASIGNATURAS!$B$7:$B$27,nASIG)&gt;0)*(nNOTA))/SUMPRODUCT((nNIA=S760)*(nCUENTA=1)*(COUNTIF(CONFIG_ASIGNATURAS!$B$7:$B$27,nASIG)&gt;0)*1),"")))</f>
        <v/>
      </c>
      <c r="Z760" t="str">
        <f>IF(Y760="","",IF(Y760="[FÓRMULA MANUAL]","",IFERROR(AVERAGEIFS(nNOTA,nNIA,Y760,nCUENTA,1,nASIG,"Análisis"),"")))</f>
        <v/>
      </c>
      <c r="AA760" t="str">
        <f>IF(Y760="","",IF(Y760="[FÓRMULA MANUAL]","",IFERROR(AVERAGEIFS(nNOTA,nNIA,Y760,nCUENTA,1,nASIG,"Orquesta/Banda/Conjunto"),"")))</f>
        <v/>
      </c>
      <c r="AB760" t="str">
        <f>IF(Y760="","",IF(Y760="[FÓRMULA MANUAL]","",IFERROR(AVERAGEIFS(nNOTA,nNIA,Y760,nCUENTA,1,nASIG,"Música de Cámara"),"")))</f>
        <v/>
      </c>
      <c r="AC760" t="str">
        <f>IF(Y760="","",IF(Y760="[FÓRMULA MANUAL]","",IFERROR(SUMPRODUCT((nNIA=Y760)*(nCUENTA=1)*(COUNTIF(CONFIG_ASIGNATURAS!$B$7:$B$27,nASIG)&gt;0)*(nNOTA))/SUMPRODUCT((nNIA=Y760)*(nCUENTA=1)*(COUNTIF(CONFIG_ASIGNATURAS!$B$7:$B$27,nASIG)&gt;0)*1),"")))</f>
        <v/>
      </c>
      <c r="AF760" t="str">
        <f>IF(AE760="","",IF(AE760="[FÓRMULA MANUAL]","",IFERROR(AVERAGEIFS(nNOTA,nNIA,AE760,nCUENTA,1,nASIG,"Análisis"),"")))</f>
        <v/>
      </c>
      <c r="AG760" t="str">
        <f>IF(AE760="","",IF(AE760="[FÓRMULA MANUAL]","",IFERROR(AVERAGEIFS(nNOTA,nNIA,AE760,nCUENTA,1,nASIG,"Orquesta/Banda/Conjunto"),"")))</f>
        <v/>
      </c>
      <c r="AH760" t="str">
        <f>IF(AE760="","",IF(AE760="[FÓRMULA MANUAL]","",IFERROR(AVERAGEIFS(nNOTA,nNIA,AE760,nCUENTA,1,nASIG,"Música de Cámara"),"")))</f>
        <v/>
      </c>
      <c r="AI760" t="str">
        <f>IF(AE760="","",IF(AE760="[FÓRMULA MANUAL]","",IFERROR(SUMPRODUCT((nNIA=AE760)*(nCUENTA=1)*(COUNTIF(CONFIG_ASIGNATURAS!$B$7:$B$27,nASIG)&gt;0)*(nNOTA))/SUMPRODUCT((nNIA=AE760)*(nCUENTA=1)*(COUNTIF(CONFIG_ASIGNATURAS!$B$7:$B$27,nASIG)&gt;0)*1),"")))</f>
        <v/>
      </c>
    </row>
    <row r="761" spans="2:35" x14ac:dyDescent="0.2">
      <c r="B761" t="str">
        <f>IF(A761="","",IF(A761="[FÓRMULA MANUAL]","",IFERROR(AVERAGEIFS(nNOTA,nNIA,A761,nCUENTA,1,nASIG,"Lenguaje Musical"),"")))</f>
        <v/>
      </c>
      <c r="C761" t="str">
        <f>IF(A761="","",IF(A761="[FÓRMULA MANUAL]","",IFERROR(AVERAGEIFS(nNOTA,nNIA,A761,nCUENTA,1,nASIG,"Orquesta/Banda/Conjunto"),"")))</f>
        <v/>
      </c>
      <c r="D761" t="str">
        <f>IF(A761="","",IF(A761="[FÓRMULA MANUAL]","",IFERROR(AVERAGEIFS(nNOTA,nNIA,A761,nCUENTA,1,nASIG,"Conjunto"),"")))</f>
        <v/>
      </c>
      <c r="E761" t="str">
        <f>IF(A761="","",IF(A761="[FÓRMULA MANUAL]","",IFERROR(SUMPRODUCT((nNIA=A761)*(nCUENTA=1)*(COUNTIF(CONFIG_ASIGNATURAS!$B$7:$B$27,nASIG)&gt;0)*(nNOTA))/SUMPRODUCT((nNIA=A761)*(nCUENTA=1)*(COUNTIF(CONFIG_ASIGNATURAS!$B$7:$B$27,nASIG)&gt;0)*1),"")))</f>
        <v/>
      </c>
      <c r="H761" t="str">
        <f>IF(G761="","",IF(G761="[FÓRMULA MANUAL]","",IFERROR(AVERAGEIFS(nNOTA,nNIA,G761,nCUENTA,1,nASIG,"Lenguaje Musical"),"")))</f>
        <v/>
      </c>
      <c r="I761" t="str">
        <f>IF(G761="","",IF(G761="[FÓRMULA MANUAL]","",IFERROR(AVERAGEIFS(nNOTA,nNIA,G761,nCUENTA,1,nASIG,"Orquesta/Banda/Conjunto"),"")))</f>
        <v/>
      </c>
      <c r="J761" t="str">
        <f>IF(G761="","",IF(G761="[FÓRMULA MANUAL]","",IFERROR(AVERAGEIFS(nNOTA,nNIA,G761,nCUENTA,1,nASIG,"Conjunto"),"")))</f>
        <v/>
      </c>
      <c r="K761" t="str">
        <f>IF(G761="","",IF(G761="[FÓRMULA MANUAL]","",IFERROR(SUMPRODUCT((nNIA=G761)*(nCUENTA=1)*(COUNTIF(CONFIG_ASIGNATURAS!$B$7:$B$27,nASIG)&gt;0)*(nNOTA))/SUMPRODUCT((nNIA=G761)*(nCUENTA=1)*(COUNTIF(CONFIG_ASIGNATURAS!$B$7:$B$27,nASIG)&gt;0)*1),"")))</f>
        <v/>
      </c>
      <c r="N761" t="str">
        <f>IF(M761="","",IF(M761="[FÓRMULA MANUAL]","",IFERROR(AVERAGEIFS(nNOTA,nNIA,M761,nCUENTA,1,nASIG,"Armonía"),"")))</f>
        <v/>
      </c>
      <c r="O761" t="str">
        <f>IF(M761="","",IF(M761="[FÓRMULA MANUAL]","",IFERROR(AVERAGEIFS(nNOTA,nNIA,M761,nCUENTA,1,nASIG,"Orquesta/Banda/Conjunto"),"")))</f>
        <v/>
      </c>
      <c r="P761" t="str">
        <f>IF(M761="","",IF(M761="[FÓRMULA MANUAL]","",IFERROR(AVERAGEIFS(nNOTA,nNIA,M761,nCUENTA,1,nASIG,"Música de Cámara"),"")))</f>
        <v/>
      </c>
      <c r="Q761" t="str">
        <f>IF(M761="","",IF(M761="[FÓRMULA MANUAL]","",IFERROR(SUMPRODUCT((nNIA=M761)*(nCUENTA=1)*(COUNTIF(CONFIG_ASIGNATURAS!$B$7:$B$27,nASIG)&gt;0)*(nNOTA))/SUMPRODUCT((nNIA=M761)*(nCUENTA=1)*(COUNTIF(CONFIG_ASIGNATURAS!$B$7:$B$27,nASIG)&gt;0)*1),"")))</f>
        <v/>
      </c>
      <c r="T761" t="str">
        <f>IF(S761="","",IF(S761="[FÓRMULA MANUAL]","",IFERROR(AVERAGEIFS(nNOTA,nNIA,S761,nCUENTA,1,nASIG,"Armonía"),"")))</f>
        <v/>
      </c>
      <c r="U761" t="str">
        <f>IF(S761="","",IF(S761="[FÓRMULA MANUAL]","",IFERROR(AVERAGEIFS(nNOTA,nNIA,S761,nCUENTA,1,nASIG,"Orquesta/Banda/Conjunto"),"")))</f>
        <v/>
      </c>
      <c r="V761" t="str">
        <f>IF(S761="","",IF(S761="[FÓRMULA MANUAL]","",IFERROR(AVERAGEIFS(nNOTA,nNIA,S761,nCUENTA,1,nASIG,"Música de Cámara"),"")))</f>
        <v/>
      </c>
      <c r="W761" t="str">
        <f>IF(S761="","",IF(S761="[FÓRMULA MANUAL]","",IFERROR(SUMPRODUCT((nNIA=S761)*(nCUENTA=1)*(COUNTIF(CONFIG_ASIGNATURAS!$B$7:$B$27,nASIG)&gt;0)*(nNOTA))/SUMPRODUCT((nNIA=S761)*(nCUENTA=1)*(COUNTIF(CONFIG_ASIGNATURAS!$B$7:$B$27,nASIG)&gt;0)*1),"")))</f>
        <v/>
      </c>
      <c r="Z761" t="str">
        <f>IF(Y761="","",IF(Y761="[FÓRMULA MANUAL]","",IFERROR(AVERAGEIFS(nNOTA,nNIA,Y761,nCUENTA,1,nASIG,"Análisis"),"")))</f>
        <v/>
      </c>
      <c r="AA761" t="str">
        <f>IF(Y761="","",IF(Y761="[FÓRMULA MANUAL]","",IFERROR(AVERAGEIFS(nNOTA,nNIA,Y761,nCUENTA,1,nASIG,"Orquesta/Banda/Conjunto"),"")))</f>
        <v/>
      </c>
      <c r="AB761" t="str">
        <f>IF(Y761="","",IF(Y761="[FÓRMULA MANUAL]","",IFERROR(AVERAGEIFS(nNOTA,nNIA,Y761,nCUENTA,1,nASIG,"Música de Cámara"),"")))</f>
        <v/>
      </c>
      <c r="AC761" t="str">
        <f>IF(Y761="","",IF(Y761="[FÓRMULA MANUAL]","",IFERROR(SUMPRODUCT((nNIA=Y761)*(nCUENTA=1)*(COUNTIF(CONFIG_ASIGNATURAS!$B$7:$B$27,nASIG)&gt;0)*(nNOTA))/SUMPRODUCT((nNIA=Y761)*(nCUENTA=1)*(COUNTIF(CONFIG_ASIGNATURAS!$B$7:$B$27,nASIG)&gt;0)*1),"")))</f>
        <v/>
      </c>
      <c r="AF761" t="str">
        <f>IF(AE761="","",IF(AE761="[FÓRMULA MANUAL]","",IFERROR(AVERAGEIFS(nNOTA,nNIA,AE761,nCUENTA,1,nASIG,"Análisis"),"")))</f>
        <v/>
      </c>
      <c r="AG761" t="str">
        <f>IF(AE761="","",IF(AE761="[FÓRMULA MANUAL]","",IFERROR(AVERAGEIFS(nNOTA,nNIA,AE761,nCUENTA,1,nASIG,"Orquesta/Banda/Conjunto"),"")))</f>
        <v/>
      </c>
      <c r="AH761" t="str">
        <f>IF(AE761="","",IF(AE761="[FÓRMULA MANUAL]","",IFERROR(AVERAGEIFS(nNOTA,nNIA,AE761,nCUENTA,1,nASIG,"Música de Cámara"),"")))</f>
        <v/>
      </c>
      <c r="AI761" t="str">
        <f>IF(AE761="","",IF(AE761="[FÓRMULA MANUAL]","",IFERROR(SUMPRODUCT((nNIA=AE761)*(nCUENTA=1)*(COUNTIF(CONFIG_ASIGNATURAS!$B$7:$B$27,nASIG)&gt;0)*(nNOTA))/SUMPRODUCT((nNIA=AE761)*(nCUENTA=1)*(COUNTIF(CONFIG_ASIGNATURAS!$B$7:$B$27,nASIG)&gt;0)*1),"")))</f>
        <v/>
      </c>
    </row>
    <row r="762" spans="2:35" x14ac:dyDescent="0.2">
      <c r="B762" t="str">
        <f>IF(A762="","",IF(A762="[FÓRMULA MANUAL]","",IFERROR(AVERAGEIFS(nNOTA,nNIA,A762,nCUENTA,1,nASIG,"Lenguaje Musical"),"")))</f>
        <v/>
      </c>
      <c r="C762" t="str">
        <f>IF(A762="","",IF(A762="[FÓRMULA MANUAL]","",IFERROR(AVERAGEIFS(nNOTA,nNIA,A762,nCUENTA,1,nASIG,"Orquesta/Banda/Conjunto"),"")))</f>
        <v/>
      </c>
      <c r="D762" t="str">
        <f>IF(A762="","",IF(A762="[FÓRMULA MANUAL]","",IFERROR(AVERAGEIFS(nNOTA,nNIA,A762,nCUENTA,1,nASIG,"Conjunto"),"")))</f>
        <v/>
      </c>
      <c r="E762" t="str">
        <f>IF(A762="","",IF(A762="[FÓRMULA MANUAL]","",IFERROR(SUMPRODUCT((nNIA=A762)*(nCUENTA=1)*(COUNTIF(CONFIG_ASIGNATURAS!$B$7:$B$27,nASIG)&gt;0)*(nNOTA))/SUMPRODUCT((nNIA=A762)*(nCUENTA=1)*(COUNTIF(CONFIG_ASIGNATURAS!$B$7:$B$27,nASIG)&gt;0)*1),"")))</f>
        <v/>
      </c>
      <c r="H762" t="str">
        <f>IF(G762="","",IF(G762="[FÓRMULA MANUAL]","",IFERROR(AVERAGEIFS(nNOTA,nNIA,G762,nCUENTA,1,nASIG,"Lenguaje Musical"),"")))</f>
        <v/>
      </c>
      <c r="I762" t="str">
        <f>IF(G762="","",IF(G762="[FÓRMULA MANUAL]","",IFERROR(AVERAGEIFS(nNOTA,nNIA,G762,nCUENTA,1,nASIG,"Orquesta/Banda/Conjunto"),"")))</f>
        <v/>
      </c>
      <c r="J762" t="str">
        <f>IF(G762="","",IF(G762="[FÓRMULA MANUAL]","",IFERROR(AVERAGEIFS(nNOTA,nNIA,G762,nCUENTA,1,nASIG,"Conjunto"),"")))</f>
        <v/>
      </c>
      <c r="K762" t="str">
        <f>IF(G762="","",IF(G762="[FÓRMULA MANUAL]","",IFERROR(SUMPRODUCT((nNIA=G762)*(nCUENTA=1)*(COUNTIF(CONFIG_ASIGNATURAS!$B$7:$B$27,nASIG)&gt;0)*(nNOTA))/SUMPRODUCT((nNIA=G762)*(nCUENTA=1)*(COUNTIF(CONFIG_ASIGNATURAS!$B$7:$B$27,nASIG)&gt;0)*1),"")))</f>
        <v/>
      </c>
      <c r="N762" t="str">
        <f>IF(M762="","",IF(M762="[FÓRMULA MANUAL]","",IFERROR(AVERAGEIFS(nNOTA,nNIA,M762,nCUENTA,1,nASIG,"Armonía"),"")))</f>
        <v/>
      </c>
      <c r="O762" t="str">
        <f>IF(M762="","",IF(M762="[FÓRMULA MANUAL]","",IFERROR(AVERAGEIFS(nNOTA,nNIA,M762,nCUENTA,1,nASIG,"Orquesta/Banda/Conjunto"),"")))</f>
        <v/>
      </c>
      <c r="P762" t="str">
        <f>IF(M762="","",IF(M762="[FÓRMULA MANUAL]","",IFERROR(AVERAGEIFS(nNOTA,nNIA,M762,nCUENTA,1,nASIG,"Música de Cámara"),"")))</f>
        <v/>
      </c>
      <c r="Q762" t="str">
        <f>IF(M762="","",IF(M762="[FÓRMULA MANUAL]","",IFERROR(SUMPRODUCT((nNIA=M762)*(nCUENTA=1)*(COUNTIF(CONFIG_ASIGNATURAS!$B$7:$B$27,nASIG)&gt;0)*(nNOTA))/SUMPRODUCT((nNIA=M762)*(nCUENTA=1)*(COUNTIF(CONFIG_ASIGNATURAS!$B$7:$B$27,nASIG)&gt;0)*1),"")))</f>
        <v/>
      </c>
      <c r="T762" t="str">
        <f>IF(S762="","",IF(S762="[FÓRMULA MANUAL]","",IFERROR(AVERAGEIFS(nNOTA,nNIA,S762,nCUENTA,1,nASIG,"Armonía"),"")))</f>
        <v/>
      </c>
      <c r="U762" t="str">
        <f>IF(S762="","",IF(S762="[FÓRMULA MANUAL]","",IFERROR(AVERAGEIFS(nNOTA,nNIA,S762,nCUENTA,1,nASIG,"Orquesta/Banda/Conjunto"),"")))</f>
        <v/>
      </c>
      <c r="V762" t="str">
        <f>IF(S762="","",IF(S762="[FÓRMULA MANUAL]","",IFERROR(AVERAGEIFS(nNOTA,nNIA,S762,nCUENTA,1,nASIG,"Música de Cámara"),"")))</f>
        <v/>
      </c>
      <c r="W762" t="str">
        <f>IF(S762="","",IF(S762="[FÓRMULA MANUAL]","",IFERROR(SUMPRODUCT((nNIA=S762)*(nCUENTA=1)*(COUNTIF(CONFIG_ASIGNATURAS!$B$7:$B$27,nASIG)&gt;0)*(nNOTA))/SUMPRODUCT((nNIA=S762)*(nCUENTA=1)*(COUNTIF(CONFIG_ASIGNATURAS!$B$7:$B$27,nASIG)&gt;0)*1),"")))</f>
        <v/>
      </c>
      <c r="Z762" t="str">
        <f>IF(Y762="","",IF(Y762="[FÓRMULA MANUAL]","",IFERROR(AVERAGEIFS(nNOTA,nNIA,Y762,nCUENTA,1,nASIG,"Análisis"),"")))</f>
        <v/>
      </c>
      <c r="AA762" t="str">
        <f>IF(Y762="","",IF(Y762="[FÓRMULA MANUAL]","",IFERROR(AVERAGEIFS(nNOTA,nNIA,Y762,nCUENTA,1,nASIG,"Orquesta/Banda/Conjunto"),"")))</f>
        <v/>
      </c>
      <c r="AB762" t="str">
        <f>IF(Y762="","",IF(Y762="[FÓRMULA MANUAL]","",IFERROR(AVERAGEIFS(nNOTA,nNIA,Y762,nCUENTA,1,nASIG,"Música de Cámara"),"")))</f>
        <v/>
      </c>
      <c r="AC762" t="str">
        <f>IF(Y762="","",IF(Y762="[FÓRMULA MANUAL]","",IFERROR(SUMPRODUCT((nNIA=Y762)*(nCUENTA=1)*(COUNTIF(CONFIG_ASIGNATURAS!$B$7:$B$27,nASIG)&gt;0)*(nNOTA))/SUMPRODUCT((nNIA=Y762)*(nCUENTA=1)*(COUNTIF(CONFIG_ASIGNATURAS!$B$7:$B$27,nASIG)&gt;0)*1),"")))</f>
        <v/>
      </c>
      <c r="AF762" t="str">
        <f>IF(AE762="","",IF(AE762="[FÓRMULA MANUAL]","",IFERROR(AVERAGEIFS(nNOTA,nNIA,AE762,nCUENTA,1,nASIG,"Análisis"),"")))</f>
        <v/>
      </c>
      <c r="AG762" t="str">
        <f>IF(AE762="","",IF(AE762="[FÓRMULA MANUAL]","",IFERROR(AVERAGEIFS(nNOTA,nNIA,AE762,nCUENTA,1,nASIG,"Orquesta/Banda/Conjunto"),"")))</f>
        <v/>
      </c>
      <c r="AH762" t="str">
        <f>IF(AE762="","",IF(AE762="[FÓRMULA MANUAL]","",IFERROR(AVERAGEIFS(nNOTA,nNIA,AE762,nCUENTA,1,nASIG,"Música de Cámara"),"")))</f>
        <v/>
      </c>
      <c r="AI762" t="str">
        <f>IF(AE762="","",IF(AE762="[FÓRMULA MANUAL]","",IFERROR(SUMPRODUCT((nNIA=AE762)*(nCUENTA=1)*(COUNTIF(CONFIG_ASIGNATURAS!$B$7:$B$27,nASIG)&gt;0)*(nNOTA))/SUMPRODUCT((nNIA=AE762)*(nCUENTA=1)*(COUNTIF(CONFIG_ASIGNATURAS!$B$7:$B$27,nASIG)&gt;0)*1),"")))</f>
        <v/>
      </c>
    </row>
    <row r="763" spans="2:35" x14ac:dyDescent="0.2">
      <c r="B763" t="str">
        <f>IF(A763="","",IF(A763="[FÓRMULA MANUAL]","",IFERROR(AVERAGEIFS(nNOTA,nNIA,A763,nCUENTA,1,nASIG,"Lenguaje Musical"),"")))</f>
        <v/>
      </c>
      <c r="C763" t="str">
        <f>IF(A763="","",IF(A763="[FÓRMULA MANUAL]","",IFERROR(AVERAGEIFS(nNOTA,nNIA,A763,nCUENTA,1,nASIG,"Orquesta/Banda/Conjunto"),"")))</f>
        <v/>
      </c>
      <c r="D763" t="str">
        <f>IF(A763="","",IF(A763="[FÓRMULA MANUAL]","",IFERROR(AVERAGEIFS(nNOTA,nNIA,A763,nCUENTA,1,nASIG,"Conjunto"),"")))</f>
        <v/>
      </c>
      <c r="E763" t="str">
        <f>IF(A763="","",IF(A763="[FÓRMULA MANUAL]","",IFERROR(SUMPRODUCT((nNIA=A763)*(nCUENTA=1)*(COUNTIF(CONFIG_ASIGNATURAS!$B$7:$B$27,nASIG)&gt;0)*(nNOTA))/SUMPRODUCT((nNIA=A763)*(nCUENTA=1)*(COUNTIF(CONFIG_ASIGNATURAS!$B$7:$B$27,nASIG)&gt;0)*1),"")))</f>
        <v/>
      </c>
      <c r="H763" t="str">
        <f>IF(G763="","",IF(G763="[FÓRMULA MANUAL]","",IFERROR(AVERAGEIFS(nNOTA,nNIA,G763,nCUENTA,1,nASIG,"Lenguaje Musical"),"")))</f>
        <v/>
      </c>
      <c r="I763" t="str">
        <f>IF(G763="","",IF(G763="[FÓRMULA MANUAL]","",IFERROR(AVERAGEIFS(nNOTA,nNIA,G763,nCUENTA,1,nASIG,"Orquesta/Banda/Conjunto"),"")))</f>
        <v/>
      </c>
      <c r="J763" t="str">
        <f>IF(G763="","",IF(G763="[FÓRMULA MANUAL]","",IFERROR(AVERAGEIFS(nNOTA,nNIA,G763,nCUENTA,1,nASIG,"Conjunto"),"")))</f>
        <v/>
      </c>
      <c r="K763" t="str">
        <f>IF(G763="","",IF(G763="[FÓRMULA MANUAL]","",IFERROR(SUMPRODUCT((nNIA=G763)*(nCUENTA=1)*(COUNTIF(CONFIG_ASIGNATURAS!$B$7:$B$27,nASIG)&gt;0)*(nNOTA))/SUMPRODUCT((nNIA=G763)*(nCUENTA=1)*(COUNTIF(CONFIG_ASIGNATURAS!$B$7:$B$27,nASIG)&gt;0)*1),"")))</f>
        <v/>
      </c>
      <c r="N763" t="str">
        <f>IF(M763="","",IF(M763="[FÓRMULA MANUAL]","",IFERROR(AVERAGEIFS(nNOTA,nNIA,M763,nCUENTA,1,nASIG,"Armonía"),"")))</f>
        <v/>
      </c>
      <c r="O763" t="str">
        <f>IF(M763="","",IF(M763="[FÓRMULA MANUAL]","",IFERROR(AVERAGEIFS(nNOTA,nNIA,M763,nCUENTA,1,nASIG,"Orquesta/Banda/Conjunto"),"")))</f>
        <v/>
      </c>
      <c r="P763" t="str">
        <f>IF(M763="","",IF(M763="[FÓRMULA MANUAL]","",IFERROR(AVERAGEIFS(nNOTA,nNIA,M763,nCUENTA,1,nASIG,"Música de Cámara"),"")))</f>
        <v/>
      </c>
      <c r="Q763" t="str">
        <f>IF(M763="","",IF(M763="[FÓRMULA MANUAL]","",IFERROR(SUMPRODUCT((nNIA=M763)*(nCUENTA=1)*(COUNTIF(CONFIG_ASIGNATURAS!$B$7:$B$27,nASIG)&gt;0)*(nNOTA))/SUMPRODUCT((nNIA=M763)*(nCUENTA=1)*(COUNTIF(CONFIG_ASIGNATURAS!$B$7:$B$27,nASIG)&gt;0)*1),"")))</f>
        <v/>
      </c>
      <c r="T763" t="str">
        <f>IF(S763="","",IF(S763="[FÓRMULA MANUAL]","",IFERROR(AVERAGEIFS(nNOTA,nNIA,S763,nCUENTA,1,nASIG,"Armonía"),"")))</f>
        <v/>
      </c>
      <c r="U763" t="str">
        <f>IF(S763="","",IF(S763="[FÓRMULA MANUAL]","",IFERROR(AVERAGEIFS(nNOTA,nNIA,S763,nCUENTA,1,nASIG,"Orquesta/Banda/Conjunto"),"")))</f>
        <v/>
      </c>
      <c r="V763" t="str">
        <f>IF(S763="","",IF(S763="[FÓRMULA MANUAL]","",IFERROR(AVERAGEIFS(nNOTA,nNIA,S763,nCUENTA,1,nASIG,"Música de Cámara"),"")))</f>
        <v/>
      </c>
      <c r="W763" t="str">
        <f>IF(S763="","",IF(S763="[FÓRMULA MANUAL]","",IFERROR(SUMPRODUCT((nNIA=S763)*(nCUENTA=1)*(COUNTIF(CONFIG_ASIGNATURAS!$B$7:$B$27,nASIG)&gt;0)*(nNOTA))/SUMPRODUCT((nNIA=S763)*(nCUENTA=1)*(COUNTIF(CONFIG_ASIGNATURAS!$B$7:$B$27,nASIG)&gt;0)*1),"")))</f>
        <v/>
      </c>
      <c r="Z763" t="str">
        <f>IF(Y763="","",IF(Y763="[FÓRMULA MANUAL]","",IFERROR(AVERAGEIFS(nNOTA,nNIA,Y763,nCUENTA,1,nASIG,"Análisis"),"")))</f>
        <v/>
      </c>
      <c r="AA763" t="str">
        <f>IF(Y763="","",IF(Y763="[FÓRMULA MANUAL]","",IFERROR(AVERAGEIFS(nNOTA,nNIA,Y763,nCUENTA,1,nASIG,"Orquesta/Banda/Conjunto"),"")))</f>
        <v/>
      </c>
      <c r="AB763" t="str">
        <f>IF(Y763="","",IF(Y763="[FÓRMULA MANUAL]","",IFERROR(AVERAGEIFS(nNOTA,nNIA,Y763,nCUENTA,1,nASIG,"Música de Cámara"),"")))</f>
        <v/>
      </c>
      <c r="AC763" t="str">
        <f>IF(Y763="","",IF(Y763="[FÓRMULA MANUAL]","",IFERROR(SUMPRODUCT((nNIA=Y763)*(nCUENTA=1)*(COUNTIF(CONFIG_ASIGNATURAS!$B$7:$B$27,nASIG)&gt;0)*(nNOTA))/SUMPRODUCT((nNIA=Y763)*(nCUENTA=1)*(COUNTIF(CONFIG_ASIGNATURAS!$B$7:$B$27,nASIG)&gt;0)*1),"")))</f>
        <v/>
      </c>
      <c r="AF763" t="str">
        <f>IF(AE763="","",IF(AE763="[FÓRMULA MANUAL]","",IFERROR(AVERAGEIFS(nNOTA,nNIA,AE763,nCUENTA,1,nASIG,"Análisis"),"")))</f>
        <v/>
      </c>
      <c r="AG763" t="str">
        <f>IF(AE763="","",IF(AE763="[FÓRMULA MANUAL]","",IFERROR(AVERAGEIFS(nNOTA,nNIA,AE763,nCUENTA,1,nASIG,"Orquesta/Banda/Conjunto"),"")))</f>
        <v/>
      </c>
      <c r="AH763" t="str">
        <f>IF(AE763="","",IF(AE763="[FÓRMULA MANUAL]","",IFERROR(AVERAGEIFS(nNOTA,nNIA,AE763,nCUENTA,1,nASIG,"Música de Cámara"),"")))</f>
        <v/>
      </c>
      <c r="AI763" t="str">
        <f>IF(AE763="","",IF(AE763="[FÓRMULA MANUAL]","",IFERROR(SUMPRODUCT((nNIA=AE763)*(nCUENTA=1)*(COUNTIF(CONFIG_ASIGNATURAS!$B$7:$B$27,nASIG)&gt;0)*(nNOTA))/SUMPRODUCT((nNIA=AE763)*(nCUENTA=1)*(COUNTIF(CONFIG_ASIGNATURAS!$B$7:$B$27,nASIG)&gt;0)*1),"")))</f>
        <v/>
      </c>
    </row>
    <row r="764" spans="2:35" x14ac:dyDescent="0.2">
      <c r="B764" t="str">
        <f>IF(A764="","",IF(A764="[FÓRMULA MANUAL]","",IFERROR(AVERAGEIFS(nNOTA,nNIA,A764,nCUENTA,1,nASIG,"Lenguaje Musical"),"")))</f>
        <v/>
      </c>
      <c r="C764" t="str">
        <f>IF(A764="","",IF(A764="[FÓRMULA MANUAL]","",IFERROR(AVERAGEIFS(nNOTA,nNIA,A764,nCUENTA,1,nASIG,"Orquesta/Banda/Conjunto"),"")))</f>
        <v/>
      </c>
      <c r="D764" t="str">
        <f>IF(A764="","",IF(A764="[FÓRMULA MANUAL]","",IFERROR(AVERAGEIFS(nNOTA,nNIA,A764,nCUENTA,1,nASIG,"Conjunto"),"")))</f>
        <v/>
      </c>
      <c r="E764" t="str">
        <f>IF(A764="","",IF(A764="[FÓRMULA MANUAL]","",IFERROR(SUMPRODUCT((nNIA=A764)*(nCUENTA=1)*(COUNTIF(CONFIG_ASIGNATURAS!$B$7:$B$27,nASIG)&gt;0)*(nNOTA))/SUMPRODUCT((nNIA=A764)*(nCUENTA=1)*(COUNTIF(CONFIG_ASIGNATURAS!$B$7:$B$27,nASIG)&gt;0)*1),"")))</f>
        <v/>
      </c>
      <c r="H764" t="str">
        <f>IF(G764="","",IF(G764="[FÓRMULA MANUAL]","",IFERROR(AVERAGEIFS(nNOTA,nNIA,G764,nCUENTA,1,nASIG,"Lenguaje Musical"),"")))</f>
        <v/>
      </c>
      <c r="I764" t="str">
        <f>IF(G764="","",IF(G764="[FÓRMULA MANUAL]","",IFERROR(AVERAGEIFS(nNOTA,nNIA,G764,nCUENTA,1,nASIG,"Orquesta/Banda/Conjunto"),"")))</f>
        <v/>
      </c>
      <c r="J764" t="str">
        <f>IF(G764="","",IF(G764="[FÓRMULA MANUAL]","",IFERROR(AVERAGEIFS(nNOTA,nNIA,G764,nCUENTA,1,nASIG,"Conjunto"),"")))</f>
        <v/>
      </c>
      <c r="K764" t="str">
        <f>IF(G764="","",IF(G764="[FÓRMULA MANUAL]","",IFERROR(SUMPRODUCT((nNIA=G764)*(nCUENTA=1)*(COUNTIF(CONFIG_ASIGNATURAS!$B$7:$B$27,nASIG)&gt;0)*(nNOTA))/SUMPRODUCT((nNIA=G764)*(nCUENTA=1)*(COUNTIF(CONFIG_ASIGNATURAS!$B$7:$B$27,nASIG)&gt;0)*1),"")))</f>
        <v/>
      </c>
      <c r="N764" t="str">
        <f>IF(M764="","",IF(M764="[FÓRMULA MANUAL]","",IFERROR(AVERAGEIFS(nNOTA,nNIA,M764,nCUENTA,1,nASIG,"Armonía"),"")))</f>
        <v/>
      </c>
      <c r="O764" t="str">
        <f>IF(M764="","",IF(M764="[FÓRMULA MANUAL]","",IFERROR(AVERAGEIFS(nNOTA,nNIA,M764,nCUENTA,1,nASIG,"Orquesta/Banda/Conjunto"),"")))</f>
        <v/>
      </c>
      <c r="P764" t="str">
        <f>IF(M764="","",IF(M764="[FÓRMULA MANUAL]","",IFERROR(AVERAGEIFS(nNOTA,nNIA,M764,nCUENTA,1,nASIG,"Música de Cámara"),"")))</f>
        <v/>
      </c>
      <c r="Q764" t="str">
        <f>IF(M764="","",IF(M764="[FÓRMULA MANUAL]","",IFERROR(SUMPRODUCT((nNIA=M764)*(nCUENTA=1)*(COUNTIF(CONFIG_ASIGNATURAS!$B$7:$B$27,nASIG)&gt;0)*(nNOTA))/SUMPRODUCT((nNIA=M764)*(nCUENTA=1)*(COUNTIF(CONFIG_ASIGNATURAS!$B$7:$B$27,nASIG)&gt;0)*1),"")))</f>
        <v/>
      </c>
      <c r="T764" t="str">
        <f>IF(S764="","",IF(S764="[FÓRMULA MANUAL]","",IFERROR(AVERAGEIFS(nNOTA,nNIA,S764,nCUENTA,1,nASIG,"Armonía"),"")))</f>
        <v/>
      </c>
      <c r="U764" t="str">
        <f>IF(S764="","",IF(S764="[FÓRMULA MANUAL]","",IFERROR(AVERAGEIFS(nNOTA,nNIA,S764,nCUENTA,1,nASIG,"Orquesta/Banda/Conjunto"),"")))</f>
        <v/>
      </c>
      <c r="V764" t="str">
        <f>IF(S764="","",IF(S764="[FÓRMULA MANUAL]","",IFERROR(AVERAGEIFS(nNOTA,nNIA,S764,nCUENTA,1,nASIG,"Música de Cámara"),"")))</f>
        <v/>
      </c>
      <c r="W764" t="str">
        <f>IF(S764="","",IF(S764="[FÓRMULA MANUAL]","",IFERROR(SUMPRODUCT((nNIA=S764)*(nCUENTA=1)*(COUNTIF(CONFIG_ASIGNATURAS!$B$7:$B$27,nASIG)&gt;0)*(nNOTA))/SUMPRODUCT((nNIA=S764)*(nCUENTA=1)*(COUNTIF(CONFIG_ASIGNATURAS!$B$7:$B$27,nASIG)&gt;0)*1),"")))</f>
        <v/>
      </c>
      <c r="Z764" t="str">
        <f>IF(Y764="","",IF(Y764="[FÓRMULA MANUAL]","",IFERROR(AVERAGEIFS(nNOTA,nNIA,Y764,nCUENTA,1,nASIG,"Análisis"),"")))</f>
        <v/>
      </c>
      <c r="AA764" t="str">
        <f>IF(Y764="","",IF(Y764="[FÓRMULA MANUAL]","",IFERROR(AVERAGEIFS(nNOTA,nNIA,Y764,nCUENTA,1,nASIG,"Orquesta/Banda/Conjunto"),"")))</f>
        <v/>
      </c>
      <c r="AB764" t="str">
        <f>IF(Y764="","",IF(Y764="[FÓRMULA MANUAL]","",IFERROR(AVERAGEIFS(nNOTA,nNIA,Y764,nCUENTA,1,nASIG,"Música de Cámara"),"")))</f>
        <v/>
      </c>
      <c r="AC764" t="str">
        <f>IF(Y764="","",IF(Y764="[FÓRMULA MANUAL]","",IFERROR(SUMPRODUCT((nNIA=Y764)*(nCUENTA=1)*(COUNTIF(CONFIG_ASIGNATURAS!$B$7:$B$27,nASIG)&gt;0)*(nNOTA))/SUMPRODUCT((nNIA=Y764)*(nCUENTA=1)*(COUNTIF(CONFIG_ASIGNATURAS!$B$7:$B$27,nASIG)&gt;0)*1),"")))</f>
        <v/>
      </c>
      <c r="AF764" t="str">
        <f>IF(AE764="","",IF(AE764="[FÓRMULA MANUAL]","",IFERROR(AVERAGEIFS(nNOTA,nNIA,AE764,nCUENTA,1,nASIG,"Análisis"),"")))</f>
        <v/>
      </c>
      <c r="AG764" t="str">
        <f>IF(AE764="","",IF(AE764="[FÓRMULA MANUAL]","",IFERROR(AVERAGEIFS(nNOTA,nNIA,AE764,nCUENTA,1,nASIG,"Orquesta/Banda/Conjunto"),"")))</f>
        <v/>
      </c>
      <c r="AH764" t="str">
        <f>IF(AE764="","",IF(AE764="[FÓRMULA MANUAL]","",IFERROR(AVERAGEIFS(nNOTA,nNIA,AE764,nCUENTA,1,nASIG,"Música de Cámara"),"")))</f>
        <v/>
      </c>
      <c r="AI764" t="str">
        <f>IF(AE764="","",IF(AE764="[FÓRMULA MANUAL]","",IFERROR(SUMPRODUCT((nNIA=AE764)*(nCUENTA=1)*(COUNTIF(CONFIG_ASIGNATURAS!$B$7:$B$27,nASIG)&gt;0)*(nNOTA))/SUMPRODUCT((nNIA=AE764)*(nCUENTA=1)*(COUNTIF(CONFIG_ASIGNATURAS!$B$7:$B$27,nASIG)&gt;0)*1),"")))</f>
        <v/>
      </c>
    </row>
    <row r="765" spans="2:35" x14ac:dyDescent="0.2">
      <c r="B765" t="str">
        <f>IF(A765="","",IF(A765="[FÓRMULA MANUAL]","",IFERROR(AVERAGEIFS(nNOTA,nNIA,A765,nCUENTA,1,nASIG,"Lenguaje Musical"),"")))</f>
        <v/>
      </c>
      <c r="C765" t="str">
        <f>IF(A765="","",IF(A765="[FÓRMULA MANUAL]","",IFERROR(AVERAGEIFS(nNOTA,nNIA,A765,nCUENTA,1,nASIG,"Orquesta/Banda/Conjunto"),"")))</f>
        <v/>
      </c>
      <c r="D765" t="str">
        <f>IF(A765="","",IF(A765="[FÓRMULA MANUAL]","",IFERROR(AVERAGEIFS(nNOTA,nNIA,A765,nCUENTA,1,nASIG,"Conjunto"),"")))</f>
        <v/>
      </c>
      <c r="E765" t="str">
        <f>IF(A765="","",IF(A765="[FÓRMULA MANUAL]","",IFERROR(SUMPRODUCT((nNIA=A765)*(nCUENTA=1)*(COUNTIF(CONFIG_ASIGNATURAS!$B$7:$B$27,nASIG)&gt;0)*(nNOTA))/SUMPRODUCT((nNIA=A765)*(nCUENTA=1)*(COUNTIF(CONFIG_ASIGNATURAS!$B$7:$B$27,nASIG)&gt;0)*1),"")))</f>
        <v/>
      </c>
      <c r="H765" t="str">
        <f>IF(G765="","",IF(G765="[FÓRMULA MANUAL]","",IFERROR(AVERAGEIFS(nNOTA,nNIA,G765,nCUENTA,1,nASIG,"Lenguaje Musical"),"")))</f>
        <v/>
      </c>
      <c r="I765" t="str">
        <f>IF(G765="","",IF(G765="[FÓRMULA MANUAL]","",IFERROR(AVERAGEIFS(nNOTA,nNIA,G765,nCUENTA,1,nASIG,"Orquesta/Banda/Conjunto"),"")))</f>
        <v/>
      </c>
      <c r="J765" t="str">
        <f>IF(G765="","",IF(G765="[FÓRMULA MANUAL]","",IFERROR(AVERAGEIFS(nNOTA,nNIA,G765,nCUENTA,1,nASIG,"Conjunto"),"")))</f>
        <v/>
      </c>
      <c r="K765" t="str">
        <f>IF(G765="","",IF(G765="[FÓRMULA MANUAL]","",IFERROR(SUMPRODUCT((nNIA=G765)*(nCUENTA=1)*(COUNTIF(CONFIG_ASIGNATURAS!$B$7:$B$27,nASIG)&gt;0)*(nNOTA))/SUMPRODUCT((nNIA=G765)*(nCUENTA=1)*(COUNTIF(CONFIG_ASIGNATURAS!$B$7:$B$27,nASIG)&gt;0)*1),"")))</f>
        <v/>
      </c>
      <c r="N765" t="str">
        <f>IF(M765="","",IF(M765="[FÓRMULA MANUAL]","",IFERROR(AVERAGEIFS(nNOTA,nNIA,M765,nCUENTA,1,nASIG,"Armonía"),"")))</f>
        <v/>
      </c>
      <c r="O765" t="str">
        <f>IF(M765="","",IF(M765="[FÓRMULA MANUAL]","",IFERROR(AVERAGEIFS(nNOTA,nNIA,M765,nCUENTA,1,nASIG,"Orquesta/Banda/Conjunto"),"")))</f>
        <v/>
      </c>
      <c r="P765" t="str">
        <f>IF(M765="","",IF(M765="[FÓRMULA MANUAL]","",IFERROR(AVERAGEIFS(nNOTA,nNIA,M765,nCUENTA,1,nASIG,"Música de Cámara"),"")))</f>
        <v/>
      </c>
      <c r="Q765" t="str">
        <f>IF(M765="","",IF(M765="[FÓRMULA MANUAL]","",IFERROR(SUMPRODUCT((nNIA=M765)*(nCUENTA=1)*(COUNTIF(CONFIG_ASIGNATURAS!$B$7:$B$27,nASIG)&gt;0)*(nNOTA))/SUMPRODUCT((nNIA=M765)*(nCUENTA=1)*(COUNTIF(CONFIG_ASIGNATURAS!$B$7:$B$27,nASIG)&gt;0)*1),"")))</f>
        <v/>
      </c>
      <c r="T765" t="str">
        <f>IF(S765="","",IF(S765="[FÓRMULA MANUAL]","",IFERROR(AVERAGEIFS(nNOTA,nNIA,S765,nCUENTA,1,nASIG,"Armonía"),"")))</f>
        <v/>
      </c>
      <c r="U765" t="str">
        <f>IF(S765="","",IF(S765="[FÓRMULA MANUAL]","",IFERROR(AVERAGEIFS(nNOTA,nNIA,S765,nCUENTA,1,nASIG,"Orquesta/Banda/Conjunto"),"")))</f>
        <v/>
      </c>
      <c r="V765" t="str">
        <f>IF(S765="","",IF(S765="[FÓRMULA MANUAL]","",IFERROR(AVERAGEIFS(nNOTA,nNIA,S765,nCUENTA,1,nASIG,"Música de Cámara"),"")))</f>
        <v/>
      </c>
      <c r="W765" t="str">
        <f>IF(S765="","",IF(S765="[FÓRMULA MANUAL]","",IFERROR(SUMPRODUCT((nNIA=S765)*(nCUENTA=1)*(COUNTIF(CONFIG_ASIGNATURAS!$B$7:$B$27,nASIG)&gt;0)*(nNOTA))/SUMPRODUCT((nNIA=S765)*(nCUENTA=1)*(COUNTIF(CONFIG_ASIGNATURAS!$B$7:$B$27,nASIG)&gt;0)*1),"")))</f>
        <v/>
      </c>
      <c r="Z765" t="str">
        <f>IF(Y765="","",IF(Y765="[FÓRMULA MANUAL]","",IFERROR(AVERAGEIFS(nNOTA,nNIA,Y765,nCUENTA,1,nASIG,"Análisis"),"")))</f>
        <v/>
      </c>
      <c r="AA765" t="str">
        <f>IF(Y765="","",IF(Y765="[FÓRMULA MANUAL]","",IFERROR(AVERAGEIFS(nNOTA,nNIA,Y765,nCUENTA,1,nASIG,"Orquesta/Banda/Conjunto"),"")))</f>
        <v/>
      </c>
      <c r="AB765" t="str">
        <f>IF(Y765="","",IF(Y765="[FÓRMULA MANUAL]","",IFERROR(AVERAGEIFS(nNOTA,nNIA,Y765,nCUENTA,1,nASIG,"Música de Cámara"),"")))</f>
        <v/>
      </c>
      <c r="AC765" t="str">
        <f>IF(Y765="","",IF(Y765="[FÓRMULA MANUAL]","",IFERROR(SUMPRODUCT((nNIA=Y765)*(nCUENTA=1)*(COUNTIF(CONFIG_ASIGNATURAS!$B$7:$B$27,nASIG)&gt;0)*(nNOTA))/SUMPRODUCT((nNIA=Y765)*(nCUENTA=1)*(COUNTIF(CONFIG_ASIGNATURAS!$B$7:$B$27,nASIG)&gt;0)*1),"")))</f>
        <v/>
      </c>
      <c r="AF765" t="str">
        <f>IF(AE765="","",IF(AE765="[FÓRMULA MANUAL]","",IFERROR(AVERAGEIFS(nNOTA,nNIA,AE765,nCUENTA,1,nASIG,"Análisis"),"")))</f>
        <v/>
      </c>
      <c r="AG765" t="str">
        <f>IF(AE765="","",IF(AE765="[FÓRMULA MANUAL]","",IFERROR(AVERAGEIFS(nNOTA,nNIA,AE765,nCUENTA,1,nASIG,"Orquesta/Banda/Conjunto"),"")))</f>
        <v/>
      </c>
      <c r="AH765" t="str">
        <f>IF(AE765="","",IF(AE765="[FÓRMULA MANUAL]","",IFERROR(AVERAGEIFS(nNOTA,nNIA,AE765,nCUENTA,1,nASIG,"Música de Cámara"),"")))</f>
        <v/>
      </c>
      <c r="AI765" t="str">
        <f>IF(AE765="","",IF(AE765="[FÓRMULA MANUAL]","",IFERROR(SUMPRODUCT((nNIA=AE765)*(nCUENTA=1)*(COUNTIF(CONFIG_ASIGNATURAS!$B$7:$B$27,nASIG)&gt;0)*(nNOTA))/SUMPRODUCT((nNIA=AE765)*(nCUENTA=1)*(COUNTIF(CONFIG_ASIGNATURAS!$B$7:$B$27,nASIG)&gt;0)*1),"")))</f>
        <v/>
      </c>
    </row>
    <row r="766" spans="2:35" x14ac:dyDescent="0.2">
      <c r="B766" t="str">
        <f>IF(A766="","",IF(A766="[FÓRMULA MANUAL]","",IFERROR(AVERAGEIFS(nNOTA,nNIA,A766,nCUENTA,1,nASIG,"Lenguaje Musical"),"")))</f>
        <v/>
      </c>
      <c r="C766" t="str">
        <f>IF(A766="","",IF(A766="[FÓRMULA MANUAL]","",IFERROR(AVERAGEIFS(nNOTA,nNIA,A766,nCUENTA,1,nASIG,"Orquesta/Banda/Conjunto"),"")))</f>
        <v/>
      </c>
      <c r="D766" t="str">
        <f>IF(A766="","",IF(A766="[FÓRMULA MANUAL]","",IFERROR(AVERAGEIFS(nNOTA,nNIA,A766,nCUENTA,1,nASIG,"Conjunto"),"")))</f>
        <v/>
      </c>
      <c r="E766" t="str">
        <f>IF(A766="","",IF(A766="[FÓRMULA MANUAL]","",IFERROR(SUMPRODUCT((nNIA=A766)*(nCUENTA=1)*(COUNTIF(CONFIG_ASIGNATURAS!$B$7:$B$27,nASIG)&gt;0)*(nNOTA))/SUMPRODUCT((nNIA=A766)*(nCUENTA=1)*(COUNTIF(CONFIG_ASIGNATURAS!$B$7:$B$27,nASIG)&gt;0)*1),"")))</f>
        <v/>
      </c>
      <c r="H766" t="str">
        <f>IF(G766="","",IF(G766="[FÓRMULA MANUAL]","",IFERROR(AVERAGEIFS(nNOTA,nNIA,G766,nCUENTA,1,nASIG,"Lenguaje Musical"),"")))</f>
        <v/>
      </c>
      <c r="I766" t="str">
        <f>IF(G766="","",IF(G766="[FÓRMULA MANUAL]","",IFERROR(AVERAGEIFS(nNOTA,nNIA,G766,nCUENTA,1,nASIG,"Orquesta/Banda/Conjunto"),"")))</f>
        <v/>
      </c>
      <c r="J766" t="str">
        <f>IF(G766="","",IF(G766="[FÓRMULA MANUAL]","",IFERROR(AVERAGEIFS(nNOTA,nNIA,G766,nCUENTA,1,nASIG,"Conjunto"),"")))</f>
        <v/>
      </c>
      <c r="K766" t="str">
        <f>IF(G766="","",IF(G766="[FÓRMULA MANUAL]","",IFERROR(SUMPRODUCT((nNIA=G766)*(nCUENTA=1)*(COUNTIF(CONFIG_ASIGNATURAS!$B$7:$B$27,nASIG)&gt;0)*(nNOTA))/SUMPRODUCT((nNIA=G766)*(nCUENTA=1)*(COUNTIF(CONFIG_ASIGNATURAS!$B$7:$B$27,nASIG)&gt;0)*1),"")))</f>
        <v/>
      </c>
      <c r="N766" t="str">
        <f>IF(M766="","",IF(M766="[FÓRMULA MANUAL]","",IFERROR(AVERAGEIFS(nNOTA,nNIA,M766,nCUENTA,1,nASIG,"Armonía"),"")))</f>
        <v/>
      </c>
      <c r="O766" t="str">
        <f>IF(M766="","",IF(M766="[FÓRMULA MANUAL]","",IFERROR(AVERAGEIFS(nNOTA,nNIA,M766,nCUENTA,1,nASIG,"Orquesta/Banda/Conjunto"),"")))</f>
        <v/>
      </c>
      <c r="P766" t="str">
        <f>IF(M766="","",IF(M766="[FÓRMULA MANUAL]","",IFERROR(AVERAGEIFS(nNOTA,nNIA,M766,nCUENTA,1,nASIG,"Música de Cámara"),"")))</f>
        <v/>
      </c>
      <c r="Q766" t="str">
        <f>IF(M766="","",IF(M766="[FÓRMULA MANUAL]","",IFERROR(SUMPRODUCT((nNIA=M766)*(nCUENTA=1)*(COUNTIF(CONFIG_ASIGNATURAS!$B$7:$B$27,nASIG)&gt;0)*(nNOTA))/SUMPRODUCT((nNIA=M766)*(nCUENTA=1)*(COUNTIF(CONFIG_ASIGNATURAS!$B$7:$B$27,nASIG)&gt;0)*1),"")))</f>
        <v/>
      </c>
      <c r="T766" t="str">
        <f>IF(S766="","",IF(S766="[FÓRMULA MANUAL]","",IFERROR(AVERAGEIFS(nNOTA,nNIA,S766,nCUENTA,1,nASIG,"Armonía"),"")))</f>
        <v/>
      </c>
      <c r="U766" t="str">
        <f>IF(S766="","",IF(S766="[FÓRMULA MANUAL]","",IFERROR(AVERAGEIFS(nNOTA,nNIA,S766,nCUENTA,1,nASIG,"Orquesta/Banda/Conjunto"),"")))</f>
        <v/>
      </c>
      <c r="V766" t="str">
        <f>IF(S766="","",IF(S766="[FÓRMULA MANUAL]","",IFERROR(AVERAGEIFS(nNOTA,nNIA,S766,nCUENTA,1,nASIG,"Música de Cámara"),"")))</f>
        <v/>
      </c>
      <c r="W766" t="str">
        <f>IF(S766="","",IF(S766="[FÓRMULA MANUAL]","",IFERROR(SUMPRODUCT((nNIA=S766)*(nCUENTA=1)*(COUNTIF(CONFIG_ASIGNATURAS!$B$7:$B$27,nASIG)&gt;0)*(nNOTA))/SUMPRODUCT((nNIA=S766)*(nCUENTA=1)*(COUNTIF(CONFIG_ASIGNATURAS!$B$7:$B$27,nASIG)&gt;0)*1),"")))</f>
        <v/>
      </c>
      <c r="Z766" t="str">
        <f>IF(Y766="","",IF(Y766="[FÓRMULA MANUAL]","",IFERROR(AVERAGEIFS(nNOTA,nNIA,Y766,nCUENTA,1,nASIG,"Análisis"),"")))</f>
        <v/>
      </c>
      <c r="AA766" t="str">
        <f>IF(Y766="","",IF(Y766="[FÓRMULA MANUAL]","",IFERROR(AVERAGEIFS(nNOTA,nNIA,Y766,nCUENTA,1,nASIG,"Orquesta/Banda/Conjunto"),"")))</f>
        <v/>
      </c>
      <c r="AB766" t="str">
        <f>IF(Y766="","",IF(Y766="[FÓRMULA MANUAL]","",IFERROR(AVERAGEIFS(nNOTA,nNIA,Y766,nCUENTA,1,nASIG,"Música de Cámara"),"")))</f>
        <v/>
      </c>
      <c r="AC766" t="str">
        <f>IF(Y766="","",IF(Y766="[FÓRMULA MANUAL]","",IFERROR(SUMPRODUCT((nNIA=Y766)*(nCUENTA=1)*(COUNTIF(CONFIG_ASIGNATURAS!$B$7:$B$27,nASIG)&gt;0)*(nNOTA))/SUMPRODUCT((nNIA=Y766)*(nCUENTA=1)*(COUNTIF(CONFIG_ASIGNATURAS!$B$7:$B$27,nASIG)&gt;0)*1),"")))</f>
        <v/>
      </c>
      <c r="AF766" t="str">
        <f>IF(AE766="","",IF(AE766="[FÓRMULA MANUAL]","",IFERROR(AVERAGEIFS(nNOTA,nNIA,AE766,nCUENTA,1,nASIG,"Análisis"),"")))</f>
        <v/>
      </c>
      <c r="AG766" t="str">
        <f>IF(AE766="","",IF(AE766="[FÓRMULA MANUAL]","",IFERROR(AVERAGEIFS(nNOTA,nNIA,AE766,nCUENTA,1,nASIG,"Orquesta/Banda/Conjunto"),"")))</f>
        <v/>
      </c>
      <c r="AH766" t="str">
        <f>IF(AE766="","",IF(AE766="[FÓRMULA MANUAL]","",IFERROR(AVERAGEIFS(nNOTA,nNIA,AE766,nCUENTA,1,nASIG,"Música de Cámara"),"")))</f>
        <v/>
      </c>
      <c r="AI766" t="str">
        <f>IF(AE766="","",IF(AE766="[FÓRMULA MANUAL]","",IFERROR(SUMPRODUCT((nNIA=AE766)*(nCUENTA=1)*(COUNTIF(CONFIG_ASIGNATURAS!$B$7:$B$27,nASIG)&gt;0)*(nNOTA))/SUMPRODUCT((nNIA=AE766)*(nCUENTA=1)*(COUNTIF(CONFIG_ASIGNATURAS!$B$7:$B$27,nASIG)&gt;0)*1),"")))</f>
        <v/>
      </c>
    </row>
    <row r="767" spans="2:35" x14ac:dyDescent="0.2">
      <c r="B767" t="str">
        <f>IF(A767="","",IF(A767="[FÓRMULA MANUAL]","",IFERROR(AVERAGEIFS(nNOTA,nNIA,A767,nCUENTA,1,nASIG,"Lenguaje Musical"),"")))</f>
        <v/>
      </c>
      <c r="C767" t="str">
        <f>IF(A767="","",IF(A767="[FÓRMULA MANUAL]","",IFERROR(AVERAGEIFS(nNOTA,nNIA,A767,nCUENTA,1,nASIG,"Orquesta/Banda/Conjunto"),"")))</f>
        <v/>
      </c>
      <c r="D767" t="str">
        <f>IF(A767="","",IF(A767="[FÓRMULA MANUAL]","",IFERROR(AVERAGEIFS(nNOTA,nNIA,A767,nCUENTA,1,nASIG,"Conjunto"),"")))</f>
        <v/>
      </c>
      <c r="E767" t="str">
        <f>IF(A767="","",IF(A767="[FÓRMULA MANUAL]","",IFERROR(SUMPRODUCT((nNIA=A767)*(nCUENTA=1)*(COUNTIF(CONFIG_ASIGNATURAS!$B$7:$B$27,nASIG)&gt;0)*(nNOTA))/SUMPRODUCT((nNIA=A767)*(nCUENTA=1)*(COUNTIF(CONFIG_ASIGNATURAS!$B$7:$B$27,nASIG)&gt;0)*1),"")))</f>
        <v/>
      </c>
      <c r="H767" t="str">
        <f>IF(G767="","",IF(G767="[FÓRMULA MANUAL]","",IFERROR(AVERAGEIFS(nNOTA,nNIA,G767,nCUENTA,1,nASIG,"Lenguaje Musical"),"")))</f>
        <v/>
      </c>
      <c r="I767" t="str">
        <f>IF(G767="","",IF(G767="[FÓRMULA MANUAL]","",IFERROR(AVERAGEIFS(nNOTA,nNIA,G767,nCUENTA,1,nASIG,"Orquesta/Banda/Conjunto"),"")))</f>
        <v/>
      </c>
      <c r="J767" t="str">
        <f>IF(G767="","",IF(G767="[FÓRMULA MANUAL]","",IFERROR(AVERAGEIFS(nNOTA,nNIA,G767,nCUENTA,1,nASIG,"Conjunto"),"")))</f>
        <v/>
      </c>
      <c r="K767" t="str">
        <f>IF(G767="","",IF(G767="[FÓRMULA MANUAL]","",IFERROR(SUMPRODUCT((nNIA=G767)*(nCUENTA=1)*(COUNTIF(CONFIG_ASIGNATURAS!$B$7:$B$27,nASIG)&gt;0)*(nNOTA))/SUMPRODUCT((nNIA=G767)*(nCUENTA=1)*(COUNTIF(CONFIG_ASIGNATURAS!$B$7:$B$27,nASIG)&gt;0)*1),"")))</f>
        <v/>
      </c>
      <c r="N767" t="str">
        <f>IF(M767="","",IF(M767="[FÓRMULA MANUAL]","",IFERROR(AVERAGEIFS(nNOTA,nNIA,M767,nCUENTA,1,nASIG,"Armonía"),"")))</f>
        <v/>
      </c>
      <c r="O767" t="str">
        <f>IF(M767="","",IF(M767="[FÓRMULA MANUAL]","",IFERROR(AVERAGEIFS(nNOTA,nNIA,M767,nCUENTA,1,nASIG,"Orquesta/Banda/Conjunto"),"")))</f>
        <v/>
      </c>
      <c r="P767" t="str">
        <f>IF(M767="","",IF(M767="[FÓRMULA MANUAL]","",IFERROR(AVERAGEIFS(nNOTA,nNIA,M767,nCUENTA,1,nASIG,"Música de Cámara"),"")))</f>
        <v/>
      </c>
      <c r="Q767" t="str">
        <f>IF(M767="","",IF(M767="[FÓRMULA MANUAL]","",IFERROR(SUMPRODUCT((nNIA=M767)*(nCUENTA=1)*(COUNTIF(CONFIG_ASIGNATURAS!$B$7:$B$27,nASIG)&gt;0)*(nNOTA))/SUMPRODUCT((nNIA=M767)*(nCUENTA=1)*(COUNTIF(CONFIG_ASIGNATURAS!$B$7:$B$27,nASIG)&gt;0)*1),"")))</f>
        <v/>
      </c>
      <c r="T767" t="str">
        <f>IF(S767="","",IF(S767="[FÓRMULA MANUAL]","",IFERROR(AVERAGEIFS(nNOTA,nNIA,S767,nCUENTA,1,nASIG,"Armonía"),"")))</f>
        <v/>
      </c>
      <c r="U767" t="str">
        <f>IF(S767="","",IF(S767="[FÓRMULA MANUAL]","",IFERROR(AVERAGEIFS(nNOTA,nNIA,S767,nCUENTA,1,nASIG,"Orquesta/Banda/Conjunto"),"")))</f>
        <v/>
      </c>
      <c r="V767" t="str">
        <f>IF(S767="","",IF(S767="[FÓRMULA MANUAL]","",IFERROR(AVERAGEIFS(nNOTA,nNIA,S767,nCUENTA,1,nASIG,"Música de Cámara"),"")))</f>
        <v/>
      </c>
      <c r="W767" t="str">
        <f>IF(S767="","",IF(S767="[FÓRMULA MANUAL]","",IFERROR(SUMPRODUCT((nNIA=S767)*(nCUENTA=1)*(COUNTIF(CONFIG_ASIGNATURAS!$B$7:$B$27,nASIG)&gt;0)*(nNOTA))/SUMPRODUCT((nNIA=S767)*(nCUENTA=1)*(COUNTIF(CONFIG_ASIGNATURAS!$B$7:$B$27,nASIG)&gt;0)*1),"")))</f>
        <v/>
      </c>
      <c r="Z767" t="str">
        <f>IF(Y767="","",IF(Y767="[FÓRMULA MANUAL]","",IFERROR(AVERAGEIFS(nNOTA,nNIA,Y767,nCUENTA,1,nASIG,"Análisis"),"")))</f>
        <v/>
      </c>
      <c r="AA767" t="str">
        <f>IF(Y767="","",IF(Y767="[FÓRMULA MANUAL]","",IFERROR(AVERAGEIFS(nNOTA,nNIA,Y767,nCUENTA,1,nASIG,"Orquesta/Banda/Conjunto"),"")))</f>
        <v/>
      </c>
      <c r="AB767" t="str">
        <f>IF(Y767="","",IF(Y767="[FÓRMULA MANUAL]","",IFERROR(AVERAGEIFS(nNOTA,nNIA,Y767,nCUENTA,1,nASIG,"Música de Cámara"),"")))</f>
        <v/>
      </c>
      <c r="AC767" t="str">
        <f>IF(Y767="","",IF(Y767="[FÓRMULA MANUAL]","",IFERROR(SUMPRODUCT((nNIA=Y767)*(nCUENTA=1)*(COUNTIF(CONFIG_ASIGNATURAS!$B$7:$B$27,nASIG)&gt;0)*(nNOTA))/SUMPRODUCT((nNIA=Y767)*(nCUENTA=1)*(COUNTIF(CONFIG_ASIGNATURAS!$B$7:$B$27,nASIG)&gt;0)*1),"")))</f>
        <v/>
      </c>
      <c r="AF767" t="str">
        <f>IF(AE767="","",IF(AE767="[FÓRMULA MANUAL]","",IFERROR(AVERAGEIFS(nNOTA,nNIA,AE767,nCUENTA,1,nASIG,"Análisis"),"")))</f>
        <v/>
      </c>
      <c r="AG767" t="str">
        <f>IF(AE767="","",IF(AE767="[FÓRMULA MANUAL]","",IFERROR(AVERAGEIFS(nNOTA,nNIA,AE767,nCUENTA,1,nASIG,"Orquesta/Banda/Conjunto"),"")))</f>
        <v/>
      </c>
      <c r="AH767" t="str">
        <f>IF(AE767="","",IF(AE767="[FÓRMULA MANUAL]","",IFERROR(AVERAGEIFS(nNOTA,nNIA,AE767,nCUENTA,1,nASIG,"Música de Cámara"),"")))</f>
        <v/>
      </c>
      <c r="AI767" t="str">
        <f>IF(AE767="","",IF(AE767="[FÓRMULA MANUAL]","",IFERROR(SUMPRODUCT((nNIA=AE767)*(nCUENTA=1)*(COUNTIF(CONFIG_ASIGNATURAS!$B$7:$B$27,nASIG)&gt;0)*(nNOTA))/SUMPRODUCT((nNIA=AE767)*(nCUENTA=1)*(COUNTIF(CONFIG_ASIGNATURAS!$B$7:$B$27,nASIG)&gt;0)*1),"")))</f>
        <v/>
      </c>
    </row>
    <row r="768" spans="2:35" x14ac:dyDescent="0.2">
      <c r="B768" t="str">
        <f>IF(A768="","",IF(A768="[FÓRMULA MANUAL]","",IFERROR(AVERAGEIFS(nNOTA,nNIA,A768,nCUENTA,1,nASIG,"Lenguaje Musical"),"")))</f>
        <v/>
      </c>
      <c r="C768" t="str">
        <f>IF(A768="","",IF(A768="[FÓRMULA MANUAL]","",IFERROR(AVERAGEIFS(nNOTA,nNIA,A768,nCUENTA,1,nASIG,"Orquesta/Banda/Conjunto"),"")))</f>
        <v/>
      </c>
      <c r="D768" t="str">
        <f>IF(A768="","",IF(A768="[FÓRMULA MANUAL]","",IFERROR(AVERAGEIFS(nNOTA,nNIA,A768,nCUENTA,1,nASIG,"Conjunto"),"")))</f>
        <v/>
      </c>
      <c r="E768" t="str">
        <f>IF(A768="","",IF(A768="[FÓRMULA MANUAL]","",IFERROR(SUMPRODUCT((nNIA=A768)*(nCUENTA=1)*(COUNTIF(CONFIG_ASIGNATURAS!$B$7:$B$27,nASIG)&gt;0)*(nNOTA))/SUMPRODUCT((nNIA=A768)*(nCUENTA=1)*(COUNTIF(CONFIG_ASIGNATURAS!$B$7:$B$27,nASIG)&gt;0)*1),"")))</f>
        <v/>
      </c>
      <c r="H768" t="str">
        <f>IF(G768="","",IF(G768="[FÓRMULA MANUAL]","",IFERROR(AVERAGEIFS(nNOTA,nNIA,G768,nCUENTA,1,nASIG,"Lenguaje Musical"),"")))</f>
        <v/>
      </c>
      <c r="I768" t="str">
        <f>IF(G768="","",IF(G768="[FÓRMULA MANUAL]","",IFERROR(AVERAGEIFS(nNOTA,nNIA,G768,nCUENTA,1,nASIG,"Orquesta/Banda/Conjunto"),"")))</f>
        <v/>
      </c>
      <c r="J768" t="str">
        <f>IF(G768="","",IF(G768="[FÓRMULA MANUAL]","",IFERROR(AVERAGEIFS(nNOTA,nNIA,G768,nCUENTA,1,nASIG,"Conjunto"),"")))</f>
        <v/>
      </c>
      <c r="K768" t="str">
        <f>IF(G768="","",IF(G768="[FÓRMULA MANUAL]","",IFERROR(SUMPRODUCT((nNIA=G768)*(nCUENTA=1)*(COUNTIF(CONFIG_ASIGNATURAS!$B$7:$B$27,nASIG)&gt;0)*(nNOTA))/SUMPRODUCT((nNIA=G768)*(nCUENTA=1)*(COUNTIF(CONFIG_ASIGNATURAS!$B$7:$B$27,nASIG)&gt;0)*1),"")))</f>
        <v/>
      </c>
      <c r="N768" t="str">
        <f>IF(M768="","",IF(M768="[FÓRMULA MANUAL]","",IFERROR(AVERAGEIFS(nNOTA,nNIA,M768,nCUENTA,1,nASIG,"Armonía"),"")))</f>
        <v/>
      </c>
      <c r="O768" t="str">
        <f>IF(M768="","",IF(M768="[FÓRMULA MANUAL]","",IFERROR(AVERAGEIFS(nNOTA,nNIA,M768,nCUENTA,1,nASIG,"Orquesta/Banda/Conjunto"),"")))</f>
        <v/>
      </c>
      <c r="P768" t="str">
        <f>IF(M768="","",IF(M768="[FÓRMULA MANUAL]","",IFERROR(AVERAGEIFS(nNOTA,nNIA,M768,nCUENTA,1,nASIG,"Música de Cámara"),"")))</f>
        <v/>
      </c>
      <c r="Q768" t="str">
        <f>IF(M768="","",IF(M768="[FÓRMULA MANUAL]","",IFERROR(SUMPRODUCT((nNIA=M768)*(nCUENTA=1)*(COUNTIF(CONFIG_ASIGNATURAS!$B$7:$B$27,nASIG)&gt;0)*(nNOTA))/SUMPRODUCT((nNIA=M768)*(nCUENTA=1)*(COUNTIF(CONFIG_ASIGNATURAS!$B$7:$B$27,nASIG)&gt;0)*1),"")))</f>
        <v/>
      </c>
      <c r="T768" t="str">
        <f>IF(S768="","",IF(S768="[FÓRMULA MANUAL]","",IFERROR(AVERAGEIFS(nNOTA,nNIA,S768,nCUENTA,1,nASIG,"Armonía"),"")))</f>
        <v/>
      </c>
      <c r="U768" t="str">
        <f>IF(S768="","",IF(S768="[FÓRMULA MANUAL]","",IFERROR(AVERAGEIFS(nNOTA,nNIA,S768,nCUENTA,1,nASIG,"Orquesta/Banda/Conjunto"),"")))</f>
        <v/>
      </c>
      <c r="V768" t="str">
        <f>IF(S768="","",IF(S768="[FÓRMULA MANUAL]","",IFERROR(AVERAGEIFS(nNOTA,nNIA,S768,nCUENTA,1,nASIG,"Música de Cámara"),"")))</f>
        <v/>
      </c>
      <c r="W768" t="str">
        <f>IF(S768="","",IF(S768="[FÓRMULA MANUAL]","",IFERROR(SUMPRODUCT((nNIA=S768)*(nCUENTA=1)*(COUNTIF(CONFIG_ASIGNATURAS!$B$7:$B$27,nASIG)&gt;0)*(nNOTA))/SUMPRODUCT((nNIA=S768)*(nCUENTA=1)*(COUNTIF(CONFIG_ASIGNATURAS!$B$7:$B$27,nASIG)&gt;0)*1),"")))</f>
        <v/>
      </c>
      <c r="Z768" t="str">
        <f>IF(Y768="","",IF(Y768="[FÓRMULA MANUAL]","",IFERROR(AVERAGEIFS(nNOTA,nNIA,Y768,nCUENTA,1,nASIG,"Análisis"),"")))</f>
        <v/>
      </c>
      <c r="AA768" t="str">
        <f>IF(Y768="","",IF(Y768="[FÓRMULA MANUAL]","",IFERROR(AVERAGEIFS(nNOTA,nNIA,Y768,nCUENTA,1,nASIG,"Orquesta/Banda/Conjunto"),"")))</f>
        <v/>
      </c>
      <c r="AB768" t="str">
        <f>IF(Y768="","",IF(Y768="[FÓRMULA MANUAL]","",IFERROR(AVERAGEIFS(nNOTA,nNIA,Y768,nCUENTA,1,nASIG,"Música de Cámara"),"")))</f>
        <v/>
      </c>
      <c r="AC768" t="str">
        <f>IF(Y768="","",IF(Y768="[FÓRMULA MANUAL]","",IFERROR(SUMPRODUCT((nNIA=Y768)*(nCUENTA=1)*(COUNTIF(CONFIG_ASIGNATURAS!$B$7:$B$27,nASIG)&gt;0)*(nNOTA))/SUMPRODUCT((nNIA=Y768)*(nCUENTA=1)*(COUNTIF(CONFIG_ASIGNATURAS!$B$7:$B$27,nASIG)&gt;0)*1),"")))</f>
        <v/>
      </c>
      <c r="AF768" t="str">
        <f>IF(AE768="","",IF(AE768="[FÓRMULA MANUAL]","",IFERROR(AVERAGEIFS(nNOTA,nNIA,AE768,nCUENTA,1,nASIG,"Análisis"),"")))</f>
        <v/>
      </c>
      <c r="AG768" t="str">
        <f>IF(AE768="","",IF(AE768="[FÓRMULA MANUAL]","",IFERROR(AVERAGEIFS(nNOTA,nNIA,AE768,nCUENTA,1,nASIG,"Orquesta/Banda/Conjunto"),"")))</f>
        <v/>
      </c>
      <c r="AH768" t="str">
        <f>IF(AE768="","",IF(AE768="[FÓRMULA MANUAL]","",IFERROR(AVERAGEIFS(nNOTA,nNIA,AE768,nCUENTA,1,nASIG,"Música de Cámara"),"")))</f>
        <v/>
      </c>
      <c r="AI768" t="str">
        <f>IF(AE768="","",IF(AE768="[FÓRMULA MANUAL]","",IFERROR(SUMPRODUCT((nNIA=AE768)*(nCUENTA=1)*(COUNTIF(CONFIG_ASIGNATURAS!$B$7:$B$27,nASIG)&gt;0)*(nNOTA))/SUMPRODUCT((nNIA=AE768)*(nCUENTA=1)*(COUNTIF(CONFIG_ASIGNATURAS!$B$7:$B$27,nASIG)&gt;0)*1),"")))</f>
        <v/>
      </c>
    </row>
    <row r="769" spans="2:35" x14ac:dyDescent="0.2">
      <c r="B769" t="str">
        <f>IF(A769="","",IF(A769="[FÓRMULA MANUAL]","",IFERROR(AVERAGEIFS(nNOTA,nNIA,A769,nCUENTA,1,nASIG,"Lenguaje Musical"),"")))</f>
        <v/>
      </c>
      <c r="C769" t="str">
        <f>IF(A769="","",IF(A769="[FÓRMULA MANUAL]","",IFERROR(AVERAGEIFS(nNOTA,nNIA,A769,nCUENTA,1,nASIG,"Orquesta/Banda/Conjunto"),"")))</f>
        <v/>
      </c>
      <c r="D769" t="str">
        <f>IF(A769="","",IF(A769="[FÓRMULA MANUAL]","",IFERROR(AVERAGEIFS(nNOTA,nNIA,A769,nCUENTA,1,nASIG,"Conjunto"),"")))</f>
        <v/>
      </c>
      <c r="E769" t="str">
        <f>IF(A769="","",IF(A769="[FÓRMULA MANUAL]","",IFERROR(SUMPRODUCT((nNIA=A769)*(nCUENTA=1)*(COUNTIF(CONFIG_ASIGNATURAS!$B$7:$B$27,nASIG)&gt;0)*(nNOTA))/SUMPRODUCT((nNIA=A769)*(nCUENTA=1)*(COUNTIF(CONFIG_ASIGNATURAS!$B$7:$B$27,nASIG)&gt;0)*1),"")))</f>
        <v/>
      </c>
      <c r="H769" t="str">
        <f>IF(G769="","",IF(G769="[FÓRMULA MANUAL]","",IFERROR(AVERAGEIFS(nNOTA,nNIA,G769,nCUENTA,1,nASIG,"Lenguaje Musical"),"")))</f>
        <v/>
      </c>
      <c r="I769" t="str">
        <f>IF(G769="","",IF(G769="[FÓRMULA MANUAL]","",IFERROR(AVERAGEIFS(nNOTA,nNIA,G769,nCUENTA,1,nASIG,"Orquesta/Banda/Conjunto"),"")))</f>
        <v/>
      </c>
      <c r="J769" t="str">
        <f>IF(G769="","",IF(G769="[FÓRMULA MANUAL]","",IFERROR(AVERAGEIFS(nNOTA,nNIA,G769,nCUENTA,1,nASIG,"Conjunto"),"")))</f>
        <v/>
      </c>
      <c r="K769" t="str">
        <f>IF(G769="","",IF(G769="[FÓRMULA MANUAL]","",IFERROR(SUMPRODUCT((nNIA=G769)*(nCUENTA=1)*(COUNTIF(CONFIG_ASIGNATURAS!$B$7:$B$27,nASIG)&gt;0)*(nNOTA))/SUMPRODUCT((nNIA=G769)*(nCUENTA=1)*(COUNTIF(CONFIG_ASIGNATURAS!$B$7:$B$27,nASIG)&gt;0)*1),"")))</f>
        <v/>
      </c>
      <c r="N769" t="str">
        <f>IF(M769="","",IF(M769="[FÓRMULA MANUAL]","",IFERROR(AVERAGEIFS(nNOTA,nNIA,M769,nCUENTA,1,nASIG,"Armonía"),"")))</f>
        <v/>
      </c>
      <c r="O769" t="str">
        <f>IF(M769="","",IF(M769="[FÓRMULA MANUAL]","",IFERROR(AVERAGEIFS(nNOTA,nNIA,M769,nCUENTA,1,nASIG,"Orquesta/Banda/Conjunto"),"")))</f>
        <v/>
      </c>
      <c r="P769" t="str">
        <f>IF(M769="","",IF(M769="[FÓRMULA MANUAL]","",IFERROR(AVERAGEIFS(nNOTA,nNIA,M769,nCUENTA,1,nASIG,"Música de Cámara"),"")))</f>
        <v/>
      </c>
      <c r="Q769" t="str">
        <f>IF(M769="","",IF(M769="[FÓRMULA MANUAL]","",IFERROR(SUMPRODUCT((nNIA=M769)*(nCUENTA=1)*(COUNTIF(CONFIG_ASIGNATURAS!$B$7:$B$27,nASIG)&gt;0)*(nNOTA))/SUMPRODUCT((nNIA=M769)*(nCUENTA=1)*(COUNTIF(CONFIG_ASIGNATURAS!$B$7:$B$27,nASIG)&gt;0)*1),"")))</f>
        <v/>
      </c>
      <c r="T769" t="str">
        <f>IF(S769="","",IF(S769="[FÓRMULA MANUAL]","",IFERROR(AVERAGEIFS(nNOTA,nNIA,S769,nCUENTA,1,nASIG,"Armonía"),"")))</f>
        <v/>
      </c>
      <c r="U769" t="str">
        <f>IF(S769="","",IF(S769="[FÓRMULA MANUAL]","",IFERROR(AVERAGEIFS(nNOTA,nNIA,S769,nCUENTA,1,nASIG,"Orquesta/Banda/Conjunto"),"")))</f>
        <v/>
      </c>
      <c r="V769" t="str">
        <f>IF(S769="","",IF(S769="[FÓRMULA MANUAL]","",IFERROR(AVERAGEIFS(nNOTA,nNIA,S769,nCUENTA,1,nASIG,"Música de Cámara"),"")))</f>
        <v/>
      </c>
      <c r="W769" t="str">
        <f>IF(S769="","",IF(S769="[FÓRMULA MANUAL]","",IFERROR(SUMPRODUCT((nNIA=S769)*(nCUENTA=1)*(COUNTIF(CONFIG_ASIGNATURAS!$B$7:$B$27,nASIG)&gt;0)*(nNOTA))/SUMPRODUCT((nNIA=S769)*(nCUENTA=1)*(COUNTIF(CONFIG_ASIGNATURAS!$B$7:$B$27,nASIG)&gt;0)*1),"")))</f>
        <v/>
      </c>
      <c r="Z769" t="str">
        <f>IF(Y769="","",IF(Y769="[FÓRMULA MANUAL]","",IFERROR(AVERAGEIFS(nNOTA,nNIA,Y769,nCUENTA,1,nASIG,"Análisis"),"")))</f>
        <v/>
      </c>
      <c r="AA769" t="str">
        <f>IF(Y769="","",IF(Y769="[FÓRMULA MANUAL]","",IFERROR(AVERAGEIFS(nNOTA,nNIA,Y769,nCUENTA,1,nASIG,"Orquesta/Banda/Conjunto"),"")))</f>
        <v/>
      </c>
      <c r="AB769" t="str">
        <f>IF(Y769="","",IF(Y769="[FÓRMULA MANUAL]","",IFERROR(AVERAGEIFS(nNOTA,nNIA,Y769,nCUENTA,1,nASIG,"Música de Cámara"),"")))</f>
        <v/>
      </c>
      <c r="AC769" t="str">
        <f>IF(Y769="","",IF(Y769="[FÓRMULA MANUAL]","",IFERROR(SUMPRODUCT((nNIA=Y769)*(nCUENTA=1)*(COUNTIF(CONFIG_ASIGNATURAS!$B$7:$B$27,nASIG)&gt;0)*(nNOTA))/SUMPRODUCT((nNIA=Y769)*(nCUENTA=1)*(COUNTIF(CONFIG_ASIGNATURAS!$B$7:$B$27,nASIG)&gt;0)*1),"")))</f>
        <v/>
      </c>
      <c r="AF769" t="str">
        <f>IF(AE769="","",IF(AE769="[FÓRMULA MANUAL]","",IFERROR(AVERAGEIFS(nNOTA,nNIA,AE769,nCUENTA,1,nASIG,"Análisis"),"")))</f>
        <v/>
      </c>
      <c r="AG769" t="str">
        <f>IF(AE769="","",IF(AE769="[FÓRMULA MANUAL]","",IFERROR(AVERAGEIFS(nNOTA,nNIA,AE769,nCUENTA,1,nASIG,"Orquesta/Banda/Conjunto"),"")))</f>
        <v/>
      </c>
      <c r="AH769" t="str">
        <f>IF(AE769="","",IF(AE769="[FÓRMULA MANUAL]","",IFERROR(AVERAGEIFS(nNOTA,nNIA,AE769,nCUENTA,1,nASIG,"Música de Cámara"),"")))</f>
        <v/>
      </c>
      <c r="AI769" t="str">
        <f>IF(AE769="","",IF(AE769="[FÓRMULA MANUAL]","",IFERROR(SUMPRODUCT((nNIA=AE769)*(nCUENTA=1)*(COUNTIF(CONFIG_ASIGNATURAS!$B$7:$B$27,nASIG)&gt;0)*(nNOTA))/SUMPRODUCT((nNIA=AE769)*(nCUENTA=1)*(COUNTIF(CONFIG_ASIGNATURAS!$B$7:$B$27,nASIG)&gt;0)*1),"")))</f>
        <v/>
      </c>
    </row>
    <row r="770" spans="2:35" x14ac:dyDescent="0.2">
      <c r="B770" t="str">
        <f>IF(A770="","",IF(A770="[FÓRMULA MANUAL]","",IFERROR(AVERAGEIFS(nNOTA,nNIA,A770,nCUENTA,1,nASIG,"Lenguaje Musical"),"")))</f>
        <v/>
      </c>
      <c r="C770" t="str">
        <f>IF(A770="","",IF(A770="[FÓRMULA MANUAL]","",IFERROR(AVERAGEIFS(nNOTA,nNIA,A770,nCUENTA,1,nASIG,"Orquesta/Banda/Conjunto"),"")))</f>
        <v/>
      </c>
      <c r="D770" t="str">
        <f>IF(A770="","",IF(A770="[FÓRMULA MANUAL]","",IFERROR(AVERAGEIFS(nNOTA,nNIA,A770,nCUENTA,1,nASIG,"Conjunto"),"")))</f>
        <v/>
      </c>
      <c r="E770" t="str">
        <f>IF(A770="","",IF(A770="[FÓRMULA MANUAL]","",IFERROR(SUMPRODUCT((nNIA=A770)*(nCUENTA=1)*(COUNTIF(CONFIG_ASIGNATURAS!$B$7:$B$27,nASIG)&gt;0)*(nNOTA))/SUMPRODUCT((nNIA=A770)*(nCUENTA=1)*(COUNTIF(CONFIG_ASIGNATURAS!$B$7:$B$27,nASIG)&gt;0)*1),"")))</f>
        <v/>
      </c>
      <c r="H770" t="str">
        <f>IF(G770="","",IF(G770="[FÓRMULA MANUAL]","",IFERROR(AVERAGEIFS(nNOTA,nNIA,G770,nCUENTA,1,nASIG,"Lenguaje Musical"),"")))</f>
        <v/>
      </c>
      <c r="I770" t="str">
        <f>IF(G770="","",IF(G770="[FÓRMULA MANUAL]","",IFERROR(AVERAGEIFS(nNOTA,nNIA,G770,nCUENTA,1,nASIG,"Orquesta/Banda/Conjunto"),"")))</f>
        <v/>
      </c>
      <c r="J770" t="str">
        <f>IF(G770="","",IF(G770="[FÓRMULA MANUAL]","",IFERROR(AVERAGEIFS(nNOTA,nNIA,G770,nCUENTA,1,nASIG,"Conjunto"),"")))</f>
        <v/>
      </c>
      <c r="K770" t="str">
        <f>IF(G770="","",IF(G770="[FÓRMULA MANUAL]","",IFERROR(SUMPRODUCT((nNIA=G770)*(nCUENTA=1)*(COUNTIF(CONFIG_ASIGNATURAS!$B$7:$B$27,nASIG)&gt;0)*(nNOTA))/SUMPRODUCT((nNIA=G770)*(nCUENTA=1)*(COUNTIF(CONFIG_ASIGNATURAS!$B$7:$B$27,nASIG)&gt;0)*1),"")))</f>
        <v/>
      </c>
      <c r="N770" t="str">
        <f>IF(M770="","",IF(M770="[FÓRMULA MANUAL]","",IFERROR(AVERAGEIFS(nNOTA,nNIA,M770,nCUENTA,1,nASIG,"Armonía"),"")))</f>
        <v/>
      </c>
      <c r="O770" t="str">
        <f>IF(M770="","",IF(M770="[FÓRMULA MANUAL]","",IFERROR(AVERAGEIFS(nNOTA,nNIA,M770,nCUENTA,1,nASIG,"Orquesta/Banda/Conjunto"),"")))</f>
        <v/>
      </c>
      <c r="P770" t="str">
        <f>IF(M770="","",IF(M770="[FÓRMULA MANUAL]","",IFERROR(AVERAGEIFS(nNOTA,nNIA,M770,nCUENTA,1,nASIG,"Música de Cámara"),"")))</f>
        <v/>
      </c>
      <c r="Q770" t="str">
        <f>IF(M770="","",IF(M770="[FÓRMULA MANUAL]","",IFERROR(SUMPRODUCT((nNIA=M770)*(nCUENTA=1)*(COUNTIF(CONFIG_ASIGNATURAS!$B$7:$B$27,nASIG)&gt;0)*(nNOTA))/SUMPRODUCT((nNIA=M770)*(nCUENTA=1)*(COUNTIF(CONFIG_ASIGNATURAS!$B$7:$B$27,nASIG)&gt;0)*1),"")))</f>
        <v/>
      </c>
      <c r="T770" t="str">
        <f>IF(S770="","",IF(S770="[FÓRMULA MANUAL]","",IFERROR(AVERAGEIFS(nNOTA,nNIA,S770,nCUENTA,1,nASIG,"Armonía"),"")))</f>
        <v/>
      </c>
      <c r="U770" t="str">
        <f>IF(S770="","",IF(S770="[FÓRMULA MANUAL]","",IFERROR(AVERAGEIFS(nNOTA,nNIA,S770,nCUENTA,1,nASIG,"Orquesta/Banda/Conjunto"),"")))</f>
        <v/>
      </c>
      <c r="V770" t="str">
        <f>IF(S770="","",IF(S770="[FÓRMULA MANUAL]","",IFERROR(AVERAGEIFS(nNOTA,nNIA,S770,nCUENTA,1,nASIG,"Música de Cámara"),"")))</f>
        <v/>
      </c>
      <c r="W770" t="str">
        <f>IF(S770="","",IF(S770="[FÓRMULA MANUAL]","",IFERROR(SUMPRODUCT((nNIA=S770)*(nCUENTA=1)*(COUNTIF(CONFIG_ASIGNATURAS!$B$7:$B$27,nASIG)&gt;0)*(nNOTA))/SUMPRODUCT((nNIA=S770)*(nCUENTA=1)*(COUNTIF(CONFIG_ASIGNATURAS!$B$7:$B$27,nASIG)&gt;0)*1),"")))</f>
        <v/>
      </c>
      <c r="Z770" t="str">
        <f>IF(Y770="","",IF(Y770="[FÓRMULA MANUAL]","",IFERROR(AVERAGEIFS(nNOTA,nNIA,Y770,nCUENTA,1,nASIG,"Análisis"),"")))</f>
        <v/>
      </c>
      <c r="AA770" t="str">
        <f>IF(Y770="","",IF(Y770="[FÓRMULA MANUAL]","",IFERROR(AVERAGEIFS(nNOTA,nNIA,Y770,nCUENTA,1,nASIG,"Orquesta/Banda/Conjunto"),"")))</f>
        <v/>
      </c>
      <c r="AB770" t="str">
        <f>IF(Y770="","",IF(Y770="[FÓRMULA MANUAL]","",IFERROR(AVERAGEIFS(nNOTA,nNIA,Y770,nCUENTA,1,nASIG,"Música de Cámara"),"")))</f>
        <v/>
      </c>
      <c r="AC770" t="str">
        <f>IF(Y770="","",IF(Y770="[FÓRMULA MANUAL]","",IFERROR(SUMPRODUCT((nNIA=Y770)*(nCUENTA=1)*(COUNTIF(CONFIG_ASIGNATURAS!$B$7:$B$27,nASIG)&gt;0)*(nNOTA))/SUMPRODUCT((nNIA=Y770)*(nCUENTA=1)*(COUNTIF(CONFIG_ASIGNATURAS!$B$7:$B$27,nASIG)&gt;0)*1),"")))</f>
        <v/>
      </c>
      <c r="AF770" t="str">
        <f>IF(AE770="","",IF(AE770="[FÓRMULA MANUAL]","",IFERROR(AVERAGEIFS(nNOTA,nNIA,AE770,nCUENTA,1,nASIG,"Análisis"),"")))</f>
        <v/>
      </c>
      <c r="AG770" t="str">
        <f>IF(AE770="","",IF(AE770="[FÓRMULA MANUAL]","",IFERROR(AVERAGEIFS(nNOTA,nNIA,AE770,nCUENTA,1,nASIG,"Orquesta/Banda/Conjunto"),"")))</f>
        <v/>
      </c>
      <c r="AH770" t="str">
        <f>IF(AE770="","",IF(AE770="[FÓRMULA MANUAL]","",IFERROR(AVERAGEIFS(nNOTA,nNIA,AE770,nCUENTA,1,nASIG,"Música de Cámara"),"")))</f>
        <v/>
      </c>
      <c r="AI770" t="str">
        <f>IF(AE770="","",IF(AE770="[FÓRMULA MANUAL]","",IFERROR(SUMPRODUCT((nNIA=AE770)*(nCUENTA=1)*(COUNTIF(CONFIG_ASIGNATURAS!$B$7:$B$27,nASIG)&gt;0)*(nNOTA))/SUMPRODUCT((nNIA=AE770)*(nCUENTA=1)*(COUNTIF(CONFIG_ASIGNATURAS!$B$7:$B$27,nASIG)&gt;0)*1),"")))</f>
        <v/>
      </c>
    </row>
    <row r="771" spans="2:35" x14ac:dyDescent="0.2">
      <c r="B771" t="str">
        <f>IF(A771="","",IF(A771="[FÓRMULA MANUAL]","",IFERROR(AVERAGEIFS(nNOTA,nNIA,A771,nCUENTA,1,nASIG,"Lenguaje Musical"),"")))</f>
        <v/>
      </c>
      <c r="C771" t="str">
        <f>IF(A771="","",IF(A771="[FÓRMULA MANUAL]","",IFERROR(AVERAGEIFS(nNOTA,nNIA,A771,nCUENTA,1,nASIG,"Orquesta/Banda/Conjunto"),"")))</f>
        <v/>
      </c>
      <c r="D771" t="str">
        <f>IF(A771="","",IF(A771="[FÓRMULA MANUAL]","",IFERROR(AVERAGEIFS(nNOTA,nNIA,A771,nCUENTA,1,nASIG,"Conjunto"),"")))</f>
        <v/>
      </c>
      <c r="E771" t="str">
        <f>IF(A771="","",IF(A771="[FÓRMULA MANUAL]","",IFERROR(SUMPRODUCT((nNIA=A771)*(nCUENTA=1)*(COUNTIF(CONFIG_ASIGNATURAS!$B$7:$B$27,nASIG)&gt;0)*(nNOTA))/SUMPRODUCT((nNIA=A771)*(nCUENTA=1)*(COUNTIF(CONFIG_ASIGNATURAS!$B$7:$B$27,nASIG)&gt;0)*1),"")))</f>
        <v/>
      </c>
      <c r="H771" t="str">
        <f>IF(G771="","",IF(G771="[FÓRMULA MANUAL]","",IFERROR(AVERAGEIFS(nNOTA,nNIA,G771,nCUENTA,1,nASIG,"Lenguaje Musical"),"")))</f>
        <v/>
      </c>
      <c r="I771" t="str">
        <f>IF(G771="","",IF(G771="[FÓRMULA MANUAL]","",IFERROR(AVERAGEIFS(nNOTA,nNIA,G771,nCUENTA,1,nASIG,"Orquesta/Banda/Conjunto"),"")))</f>
        <v/>
      </c>
      <c r="J771" t="str">
        <f>IF(G771="","",IF(G771="[FÓRMULA MANUAL]","",IFERROR(AVERAGEIFS(nNOTA,nNIA,G771,nCUENTA,1,nASIG,"Conjunto"),"")))</f>
        <v/>
      </c>
      <c r="K771" t="str">
        <f>IF(G771="","",IF(G771="[FÓRMULA MANUAL]","",IFERROR(SUMPRODUCT((nNIA=G771)*(nCUENTA=1)*(COUNTIF(CONFIG_ASIGNATURAS!$B$7:$B$27,nASIG)&gt;0)*(nNOTA))/SUMPRODUCT((nNIA=G771)*(nCUENTA=1)*(COUNTIF(CONFIG_ASIGNATURAS!$B$7:$B$27,nASIG)&gt;0)*1),"")))</f>
        <v/>
      </c>
      <c r="N771" t="str">
        <f>IF(M771="","",IF(M771="[FÓRMULA MANUAL]","",IFERROR(AVERAGEIFS(nNOTA,nNIA,M771,nCUENTA,1,nASIG,"Armonía"),"")))</f>
        <v/>
      </c>
      <c r="O771" t="str">
        <f>IF(M771="","",IF(M771="[FÓRMULA MANUAL]","",IFERROR(AVERAGEIFS(nNOTA,nNIA,M771,nCUENTA,1,nASIG,"Orquesta/Banda/Conjunto"),"")))</f>
        <v/>
      </c>
      <c r="P771" t="str">
        <f>IF(M771="","",IF(M771="[FÓRMULA MANUAL]","",IFERROR(AVERAGEIFS(nNOTA,nNIA,M771,nCUENTA,1,nASIG,"Música de Cámara"),"")))</f>
        <v/>
      </c>
      <c r="Q771" t="str">
        <f>IF(M771="","",IF(M771="[FÓRMULA MANUAL]","",IFERROR(SUMPRODUCT((nNIA=M771)*(nCUENTA=1)*(COUNTIF(CONFIG_ASIGNATURAS!$B$7:$B$27,nASIG)&gt;0)*(nNOTA))/SUMPRODUCT((nNIA=M771)*(nCUENTA=1)*(COUNTIF(CONFIG_ASIGNATURAS!$B$7:$B$27,nASIG)&gt;0)*1),"")))</f>
        <v/>
      </c>
      <c r="T771" t="str">
        <f>IF(S771="","",IF(S771="[FÓRMULA MANUAL]","",IFERROR(AVERAGEIFS(nNOTA,nNIA,S771,nCUENTA,1,nASIG,"Armonía"),"")))</f>
        <v/>
      </c>
      <c r="U771" t="str">
        <f>IF(S771="","",IF(S771="[FÓRMULA MANUAL]","",IFERROR(AVERAGEIFS(nNOTA,nNIA,S771,nCUENTA,1,nASIG,"Orquesta/Banda/Conjunto"),"")))</f>
        <v/>
      </c>
      <c r="V771" t="str">
        <f>IF(S771="","",IF(S771="[FÓRMULA MANUAL]","",IFERROR(AVERAGEIFS(nNOTA,nNIA,S771,nCUENTA,1,nASIG,"Música de Cámara"),"")))</f>
        <v/>
      </c>
      <c r="W771" t="str">
        <f>IF(S771="","",IF(S771="[FÓRMULA MANUAL]","",IFERROR(SUMPRODUCT((nNIA=S771)*(nCUENTA=1)*(COUNTIF(CONFIG_ASIGNATURAS!$B$7:$B$27,nASIG)&gt;0)*(nNOTA))/SUMPRODUCT((nNIA=S771)*(nCUENTA=1)*(COUNTIF(CONFIG_ASIGNATURAS!$B$7:$B$27,nASIG)&gt;0)*1),"")))</f>
        <v/>
      </c>
      <c r="Z771" t="str">
        <f>IF(Y771="","",IF(Y771="[FÓRMULA MANUAL]","",IFERROR(AVERAGEIFS(nNOTA,nNIA,Y771,nCUENTA,1,nASIG,"Análisis"),"")))</f>
        <v/>
      </c>
      <c r="AA771" t="str">
        <f>IF(Y771="","",IF(Y771="[FÓRMULA MANUAL]","",IFERROR(AVERAGEIFS(nNOTA,nNIA,Y771,nCUENTA,1,nASIG,"Orquesta/Banda/Conjunto"),"")))</f>
        <v/>
      </c>
      <c r="AB771" t="str">
        <f>IF(Y771="","",IF(Y771="[FÓRMULA MANUAL]","",IFERROR(AVERAGEIFS(nNOTA,nNIA,Y771,nCUENTA,1,nASIG,"Música de Cámara"),"")))</f>
        <v/>
      </c>
      <c r="AC771" t="str">
        <f>IF(Y771="","",IF(Y771="[FÓRMULA MANUAL]","",IFERROR(SUMPRODUCT((nNIA=Y771)*(nCUENTA=1)*(COUNTIF(CONFIG_ASIGNATURAS!$B$7:$B$27,nASIG)&gt;0)*(nNOTA))/SUMPRODUCT((nNIA=Y771)*(nCUENTA=1)*(COUNTIF(CONFIG_ASIGNATURAS!$B$7:$B$27,nASIG)&gt;0)*1),"")))</f>
        <v/>
      </c>
      <c r="AF771" t="str">
        <f>IF(AE771="","",IF(AE771="[FÓRMULA MANUAL]","",IFERROR(AVERAGEIFS(nNOTA,nNIA,AE771,nCUENTA,1,nASIG,"Análisis"),"")))</f>
        <v/>
      </c>
      <c r="AG771" t="str">
        <f>IF(AE771="","",IF(AE771="[FÓRMULA MANUAL]","",IFERROR(AVERAGEIFS(nNOTA,nNIA,AE771,nCUENTA,1,nASIG,"Orquesta/Banda/Conjunto"),"")))</f>
        <v/>
      </c>
      <c r="AH771" t="str">
        <f>IF(AE771="","",IF(AE771="[FÓRMULA MANUAL]","",IFERROR(AVERAGEIFS(nNOTA,nNIA,AE771,nCUENTA,1,nASIG,"Música de Cámara"),"")))</f>
        <v/>
      </c>
      <c r="AI771" t="str">
        <f>IF(AE771="","",IF(AE771="[FÓRMULA MANUAL]","",IFERROR(SUMPRODUCT((nNIA=AE771)*(nCUENTA=1)*(COUNTIF(CONFIG_ASIGNATURAS!$B$7:$B$27,nASIG)&gt;0)*(nNOTA))/SUMPRODUCT((nNIA=AE771)*(nCUENTA=1)*(COUNTIF(CONFIG_ASIGNATURAS!$B$7:$B$27,nASIG)&gt;0)*1),"")))</f>
        <v/>
      </c>
    </row>
    <row r="772" spans="2:35" x14ac:dyDescent="0.2">
      <c r="B772" t="str">
        <f>IF(A772="","",IF(A772="[FÓRMULA MANUAL]","",IFERROR(AVERAGEIFS(nNOTA,nNIA,A772,nCUENTA,1,nASIG,"Lenguaje Musical"),"")))</f>
        <v/>
      </c>
      <c r="C772" t="str">
        <f>IF(A772="","",IF(A772="[FÓRMULA MANUAL]","",IFERROR(AVERAGEIFS(nNOTA,nNIA,A772,nCUENTA,1,nASIG,"Orquesta/Banda/Conjunto"),"")))</f>
        <v/>
      </c>
      <c r="D772" t="str">
        <f>IF(A772="","",IF(A772="[FÓRMULA MANUAL]","",IFERROR(AVERAGEIFS(nNOTA,nNIA,A772,nCUENTA,1,nASIG,"Conjunto"),"")))</f>
        <v/>
      </c>
      <c r="E772" t="str">
        <f>IF(A772="","",IF(A772="[FÓRMULA MANUAL]","",IFERROR(SUMPRODUCT((nNIA=A772)*(nCUENTA=1)*(COUNTIF(CONFIG_ASIGNATURAS!$B$7:$B$27,nASIG)&gt;0)*(nNOTA))/SUMPRODUCT((nNIA=A772)*(nCUENTA=1)*(COUNTIF(CONFIG_ASIGNATURAS!$B$7:$B$27,nASIG)&gt;0)*1),"")))</f>
        <v/>
      </c>
      <c r="H772" t="str">
        <f>IF(G772="","",IF(G772="[FÓRMULA MANUAL]","",IFERROR(AVERAGEIFS(nNOTA,nNIA,G772,nCUENTA,1,nASIG,"Lenguaje Musical"),"")))</f>
        <v/>
      </c>
      <c r="I772" t="str">
        <f>IF(G772="","",IF(G772="[FÓRMULA MANUAL]","",IFERROR(AVERAGEIFS(nNOTA,nNIA,G772,nCUENTA,1,nASIG,"Orquesta/Banda/Conjunto"),"")))</f>
        <v/>
      </c>
      <c r="J772" t="str">
        <f>IF(G772="","",IF(G772="[FÓRMULA MANUAL]","",IFERROR(AVERAGEIFS(nNOTA,nNIA,G772,nCUENTA,1,nASIG,"Conjunto"),"")))</f>
        <v/>
      </c>
      <c r="K772" t="str">
        <f>IF(G772="","",IF(G772="[FÓRMULA MANUAL]","",IFERROR(SUMPRODUCT((nNIA=G772)*(nCUENTA=1)*(COUNTIF(CONFIG_ASIGNATURAS!$B$7:$B$27,nASIG)&gt;0)*(nNOTA))/SUMPRODUCT((nNIA=G772)*(nCUENTA=1)*(COUNTIF(CONFIG_ASIGNATURAS!$B$7:$B$27,nASIG)&gt;0)*1),"")))</f>
        <v/>
      </c>
      <c r="N772" t="str">
        <f>IF(M772="","",IF(M772="[FÓRMULA MANUAL]","",IFERROR(AVERAGEIFS(nNOTA,nNIA,M772,nCUENTA,1,nASIG,"Armonía"),"")))</f>
        <v/>
      </c>
      <c r="O772" t="str">
        <f>IF(M772="","",IF(M772="[FÓRMULA MANUAL]","",IFERROR(AVERAGEIFS(nNOTA,nNIA,M772,nCUENTA,1,nASIG,"Orquesta/Banda/Conjunto"),"")))</f>
        <v/>
      </c>
      <c r="P772" t="str">
        <f>IF(M772="","",IF(M772="[FÓRMULA MANUAL]","",IFERROR(AVERAGEIFS(nNOTA,nNIA,M772,nCUENTA,1,nASIG,"Música de Cámara"),"")))</f>
        <v/>
      </c>
      <c r="Q772" t="str">
        <f>IF(M772="","",IF(M772="[FÓRMULA MANUAL]","",IFERROR(SUMPRODUCT((nNIA=M772)*(nCUENTA=1)*(COUNTIF(CONFIG_ASIGNATURAS!$B$7:$B$27,nASIG)&gt;0)*(nNOTA))/SUMPRODUCT((nNIA=M772)*(nCUENTA=1)*(COUNTIF(CONFIG_ASIGNATURAS!$B$7:$B$27,nASIG)&gt;0)*1),"")))</f>
        <v/>
      </c>
      <c r="T772" t="str">
        <f>IF(S772="","",IF(S772="[FÓRMULA MANUAL]","",IFERROR(AVERAGEIFS(nNOTA,nNIA,S772,nCUENTA,1,nASIG,"Armonía"),"")))</f>
        <v/>
      </c>
      <c r="U772" t="str">
        <f>IF(S772="","",IF(S772="[FÓRMULA MANUAL]","",IFERROR(AVERAGEIFS(nNOTA,nNIA,S772,nCUENTA,1,nASIG,"Orquesta/Banda/Conjunto"),"")))</f>
        <v/>
      </c>
      <c r="V772" t="str">
        <f>IF(S772="","",IF(S772="[FÓRMULA MANUAL]","",IFERROR(AVERAGEIFS(nNOTA,nNIA,S772,nCUENTA,1,nASIG,"Música de Cámara"),"")))</f>
        <v/>
      </c>
      <c r="W772" t="str">
        <f>IF(S772="","",IF(S772="[FÓRMULA MANUAL]","",IFERROR(SUMPRODUCT((nNIA=S772)*(nCUENTA=1)*(COUNTIF(CONFIG_ASIGNATURAS!$B$7:$B$27,nASIG)&gt;0)*(nNOTA))/SUMPRODUCT((nNIA=S772)*(nCUENTA=1)*(COUNTIF(CONFIG_ASIGNATURAS!$B$7:$B$27,nASIG)&gt;0)*1),"")))</f>
        <v/>
      </c>
      <c r="Z772" t="str">
        <f>IF(Y772="","",IF(Y772="[FÓRMULA MANUAL]","",IFERROR(AVERAGEIFS(nNOTA,nNIA,Y772,nCUENTA,1,nASIG,"Análisis"),"")))</f>
        <v/>
      </c>
      <c r="AA772" t="str">
        <f>IF(Y772="","",IF(Y772="[FÓRMULA MANUAL]","",IFERROR(AVERAGEIFS(nNOTA,nNIA,Y772,nCUENTA,1,nASIG,"Orquesta/Banda/Conjunto"),"")))</f>
        <v/>
      </c>
      <c r="AB772" t="str">
        <f>IF(Y772="","",IF(Y772="[FÓRMULA MANUAL]","",IFERROR(AVERAGEIFS(nNOTA,nNIA,Y772,nCUENTA,1,nASIG,"Música de Cámara"),"")))</f>
        <v/>
      </c>
      <c r="AC772" t="str">
        <f>IF(Y772="","",IF(Y772="[FÓRMULA MANUAL]","",IFERROR(SUMPRODUCT((nNIA=Y772)*(nCUENTA=1)*(COUNTIF(CONFIG_ASIGNATURAS!$B$7:$B$27,nASIG)&gt;0)*(nNOTA))/SUMPRODUCT((nNIA=Y772)*(nCUENTA=1)*(COUNTIF(CONFIG_ASIGNATURAS!$B$7:$B$27,nASIG)&gt;0)*1),"")))</f>
        <v/>
      </c>
      <c r="AF772" t="str">
        <f>IF(AE772="","",IF(AE772="[FÓRMULA MANUAL]","",IFERROR(AVERAGEIFS(nNOTA,nNIA,AE772,nCUENTA,1,nASIG,"Análisis"),"")))</f>
        <v/>
      </c>
      <c r="AG772" t="str">
        <f>IF(AE772="","",IF(AE772="[FÓRMULA MANUAL]","",IFERROR(AVERAGEIFS(nNOTA,nNIA,AE772,nCUENTA,1,nASIG,"Orquesta/Banda/Conjunto"),"")))</f>
        <v/>
      </c>
      <c r="AH772" t="str">
        <f>IF(AE772="","",IF(AE772="[FÓRMULA MANUAL]","",IFERROR(AVERAGEIFS(nNOTA,nNIA,AE772,nCUENTA,1,nASIG,"Música de Cámara"),"")))</f>
        <v/>
      </c>
      <c r="AI772" t="str">
        <f>IF(AE772="","",IF(AE772="[FÓRMULA MANUAL]","",IFERROR(SUMPRODUCT((nNIA=AE772)*(nCUENTA=1)*(COUNTIF(CONFIG_ASIGNATURAS!$B$7:$B$27,nASIG)&gt;0)*(nNOTA))/SUMPRODUCT((nNIA=AE772)*(nCUENTA=1)*(COUNTIF(CONFIG_ASIGNATURAS!$B$7:$B$27,nASIG)&gt;0)*1),"")))</f>
        <v/>
      </c>
    </row>
    <row r="773" spans="2:35" x14ac:dyDescent="0.2">
      <c r="B773" t="str">
        <f>IF(A773="","",IF(A773="[FÓRMULA MANUAL]","",IFERROR(AVERAGEIFS(nNOTA,nNIA,A773,nCUENTA,1,nASIG,"Lenguaje Musical"),"")))</f>
        <v/>
      </c>
      <c r="C773" t="str">
        <f>IF(A773="","",IF(A773="[FÓRMULA MANUAL]","",IFERROR(AVERAGEIFS(nNOTA,nNIA,A773,nCUENTA,1,nASIG,"Orquesta/Banda/Conjunto"),"")))</f>
        <v/>
      </c>
      <c r="D773" t="str">
        <f>IF(A773="","",IF(A773="[FÓRMULA MANUAL]","",IFERROR(AVERAGEIFS(nNOTA,nNIA,A773,nCUENTA,1,nASIG,"Conjunto"),"")))</f>
        <v/>
      </c>
      <c r="E773" t="str">
        <f>IF(A773="","",IF(A773="[FÓRMULA MANUAL]","",IFERROR(SUMPRODUCT((nNIA=A773)*(nCUENTA=1)*(COUNTIF(CONFIG_ASIGNATURAS!$B$7:$B$27,nASIG)&gt;0)*(nNOTA))/SUMPRODUCT((nNIA=A773)*(nCUENTA=1)*(COUNTIF(CONFIG_ASIGNATURAS!$B$7:$B$27,nASIG)&gt;0)*1),"")))</f>
        <v/>
      </c>
      <c r="H773" t="str">
        <f>IF(G773="","",IF(G773="[FÓRMULA MANUAL]","",IFERROR(AVERAGEIFS(nNOTA,nNIA,G773,nCUENTA,1,nASIG,"Lenguaje Musical"),"")))</f>
        <v/>
      </c>
      <c r="I773" t="str">
        <f>IF(G773="","",IF(G773="[FÓRMULA MANUAL]","",IFERROR(AVERAGEIFS(nNOTA,nNIA,G773,nCUENTA,1,nASIG,"Orquesta/Banda/Conjunto"),"")))</f>
        <v/>
      </c>
      <c r="J773" t="str">
        <f>IF(G773="","",IF(G773="[FÓRMULA MANUAL]","",IFERROR(AVERAGEIFS(nNOTA,nNIA,G773,nCUENTA,1,nASIG,"Conjunto"),"")))</f>
        <v/>
      </c>
      <c r="K773" t="str">
        <f>IF(G773="","",IF(G773="[FÓRMULA MANUAL]","",IFERROR(SUMPRODUCT((nNIA=G773)*(nCUENTA=1)*(COUNTIF(CONFIG_ASIGNATURAS!$B$7:$B$27,nASIG)&gt;0)*(nNOTA))/SUMPRODUCT((nNIA=G773)*(nCUENTA=1)*(COUNTIF(CONFIG_ASIGNATURAS!$B$7:$B$27,nASIG)&gt;0)*1),"")))</f>
        <v/>
      </c>
      <c r="N773" t="str">
        <f>IF(M773="","",IF(M773="[FÓRMULA MANUAL]","",IFERROR(AVERAGEIFS(nNOTA,nNIA,M773,nCUENTA,1,nASIG,"Armonía"),"")))</f>
        <v/>
      </c>
      <c r="O773" t="str">
        <f>IF(M773="","",IF(M773="[FÓRMULA MANUAL]","",IFERROR(AVERAGEIFS(nNOTA,nNIA,M773,nCUENTA,1,nASIG,"Orquesta/Banda/Conjunto"),"")))</f>
        <v/>
      </c>
      <c r="P773" t="str">
        <f>IF(M773="","",IF(M773="[FÓRMULA MANUAL]","",IFERROR(AVERAGEIFS(nNOTA,nNIA,M773,nCUENTA,1,nASIG,"Música de Cámara"),"")))</f>
        <v/>
      </c>
      <c r="Q773" t="str">
        <f>IF(M773="","",IF(M773="[FÓRMULA MANUAL]","",IFERROR(SUMPRODUCT((nNIA=M773)*(nCUENTA=1)*(COUNTIF(CONFIG_ASIGNATURAS!$B$7:$B$27,nASIG)&gt;0)*(nNOTA))/SUMPRODUCT((nNIA=M773)*(nCUENTA=1)*(COUNTIF(CONFIG_ASIGNATURAS!$B$7:$B$27,nASIG)&gt;0)*1),"")))</f>
        <v/>
      </c>
      <c r="T773" t="str">
        <f>IF(S773="","",IF(S773="[FÓRMULA MANUAL]","",IFERROR(AVERAGEIFS(nNOTA,nNIA,S773,nCUENTA,1,nASIG,"Armonía"),"")))</f>
        <v/>
      </c>
      <c r="U773" t="str">
        <f>IF(S773="","",IF(S773="[FÓRMULA MANUAL]","",IFERROR(AVERAGEIFS(nNOTA,nNIA,S773,nCUENTA,1,nASIG,"Orquesta/Banda/Conjunto"),"")))</f>
        <v/>
      </c>
      <c r="V773" t="str">
        <f>IF(S773="","",IF(S773="[FÓRMULA MANUAL]","",IFERROR(AVERAGEIFS(nNOTA,nNIA,S773,nCUENTA,1,nASIG,"Música de Cámara"),"")))</f>
        <v/>
      </c>
      <c r="W773" t="str">
        <f>IF(S773="","",IF(S773="[FÓRMULA MANUAL]","",IFERROR(SUMPRODUCT((nNIA=S773)*(nCUENTA=1)*(COUNTIF(CONFIG_ASIGNATURAS!$B$7:$B$27,nASIG)&gt;0)*(nNOTA))/SUMPRODUCT((nNIA=S773)*(nCUENTA=1)*(COUNTIF(CONFIG_ASIGNATURAS!$B$7:$B$27,nASIG)&gt;0)*1),"")))</f>
        <v/>
      </c>
      <c r="Z773" t="str">
        <f>IF(Y773="","",IF(Y773="[FÓRMULA MANUAL]","",IFERROR(AVERAGEIFS(nNOTA,nNIA,Y773,nCUENTA,1,nASIG,"Análisis"),"")))</f>
        <v/>
      </c>
      <c r="AA773" t="str">
        <f>IF(Y773="","",IF(Y773="[FÓRMULA MANUAL]","",IFERROR(AVERAGEIFS(nNOTA,nNIA,Y773,nCUENTA,1,nASIG,"Orquesta/Banda/Conjunto"),"")))</f>
        <v/>
      </c>
      <c r="AB773" t="str">
        <f>IF(Y773="","",IF(Y773="[FÓRMULA MANUAL]","",IFERROR(AVERAGEIFS(nNOTA,nNIA,Y773,nCUENTA,1,nASIG,"Música de Cámara"),"")))</f>
        <v/>
      </c>
      <c r="AC773" t="str">
        <f>IF(Y773="","",IF(Y773="[FÓRMULA MANUAL]","",IFERROR(SUMPRODUCT((nNIA=Y773)*(nCUENTA=1)*(COUNTIF(CONFIG_ASIGNATURAS!$B$7:$B$27,nASIG)&gt;0)*(nNOTA))/SUMPRODUCT((nNIA=Y773)*(nCUENTA=1)*(COUNTIF(CONFIG_ASIGNATURAS!$B$7:$B$27,nASIG)&gt;0)*1),"")))</f>
        <v/>
      </c>
      <c r="AF773" t="str">
        <f>IF(AE773="","",IF(AE773="[FÓRMULA MANUAL]","",IFERROR(AVERAGEIFS(nNOTA,nNIA,AE773,nCUENTA,1,nASIG,"Análisis"),"")))</f>
        <v/>
      </c>
      <c r="AG773" t="str">
        <f>IF(AE773="","",IF(AE773="[FÓRMULA MANUAL]","",IFERROR(AVERAGEIFS(nNOTA,nNIA,AE773,nCUENTA,1,nASIG,"Orquesta/Banda/Conjunto"),"")))</f>
        <v/>
      </c>
      <c r="AH773" t="str">
        <f>IF(AE773="","",IF(AE773="[FÓRMULA MANUAL]","",IFERROR(AVERAGEIFS(nNOTA,nNIA,AE773,nCUENTA,1,nASIG,"Música de Cámara"),"")))</f>
        <v/>
      </c>
      <c r="AI773" t="str">
        <f>IF(AE773="","",IF(AE773="[FÓRMULA MANUAL]","",IFERROR(SUMPRODUCT((nNIA=AE773)*(nCUENTA=1)*(COUNTIF(CONFIG_ASIGNATURAS!$B$7:$B$27,nASIG)&gt;0)*(nNOTA))/SUMPRODUCT((nNIA=AE773)*(nCUENTA=1)*(COUNTIF(CONFIG_ASIGNATURAS!$B$7:$B$27,nASIG)&gt;0)*1),"")))</f>
        <v/>
      </c>
    </row>
    <row r="774" spans="2:35" x14ac:dyDescent="0.2">
      <c r="B774" t="str">
        <f>IF(A774="","",IF(A774="[FÓRMULA MANUAL]","",IFERROR(AVERAGEIFS(nNOTA,nNIA,A774,nCUENTA,1,nASIG,"Lenguaje Musical"),"")))</f>
        <v/>
      </c>
      <c r="C774" t="str">
        <f>IF(A774="","",IF(A774="[FÓRMULA MANUAL]","",IFERROR(AVERAGEIFS(nNOTA,nNIA,A774,nCUENTA,1,nASIG,"Orquesta/Banda/Conjunto"),"")))</f>
        <v/>
      </c>
      <c r="D774" t="str">
        <f>IF(A774="","",IF(A774="[FÓRMULA MANUAL]","",IFERROR(AVERAGEIFS(nNOTA,nNIA,A774,nCUENTA,1,nASIG,"Conjunto"),"")))</f>
        <v/>
      </c>
      <c r="E774" t="str">
        <f>IF(A774="","",IF(A774="[FÓRMULA MANUAL]","",IFERROR(SUMPRODUCT((nNIA=A774)*(nCUENTA=1)*(COUNTIF(CONFIG_ASIGNATURAS!$B$7:$B$27,nASIG)&gt;0)*(nNOTA))/SUMPRODUCT((nNIA=A774)*(nCUENTA=1)*(COUNTIF(CONFIG_ASIGNATURAS!$B$7:$B$27,nASIG)&gt;0)*1),"")))</f>
        <v/>
      </c>
      <c r="H774" t="str">
        <f>IF(G774="","",IF(G774="[FÓRMULA MANUAL]","",IFERROR(AVERAGEIFS(nNOTA,nNIA,G774,nCUENTA,1,nASIG,"Lenguaje Musical"),"")))</f>
        <v/>
      </c>
      <c r="I774" t="str">
        <f>IF(G774="","",IF(G774="[FÓRMULA MANUAL]","",IFERROR(AVERAGEIFS(nNOTA,nNIA,G774,nCUENTA,1,nASIG,"Orquesta/Banda/Conjunto"),"")))</f>
        <v/>
      </c>
      <c r="J774" t="str">
        <f>IF(G774="","",IF(G774="[FÓRMULA MANUAL]","",IFERROR(AVERAGEIFS(nNOTA,nNIA,G774,nCUENTA,1,nASIG,"Conjunto"),"")))</f>
        <v/>
      </c>
      <c r="K774" t="str">
        <f>IF(G774="","",IF(G774="[FÓRMULA MANUAL]","",IFERROR(SUMPRODUCT((nNIA=G774)*(nCUENTA=1)*(COUNTIF(CONFIG_ASIGNATURAS!$B$7:$B$27,nASIG)&gt;0)*(nNOTA))/SUMPRODUCT((nNIA=G774)*(nCUENTA=1)*(COUNTIF(CONFIG_ASIGNATURAS!$B$7:$B$27,nASIG)&gt;0)*1),"")))</f>
        <v/>
      </c>
      <c r="N774" t="str">
        <f>IF(M774="","",IF(M774="[FÓRMULA MANUAL]","",IFERROR(AVERAGEIFS(nNOTA,nNIA,M774,nCUENTA,1,nASIG,"Armonía"),"")))</f>
        <v/>
      </c>
      <c r="O774" t="str">
        <f>IF(M774="","",IF(M774="[FÓRMULA MANUAL]","",IFERROR(AVERAGEIFS(nNOTA,nNIA,M774,nCUENTA,1,nASIG,"Orquesta/Banda/Conjunto"),"")))</f>
        <v/>
      </c>
      <c r="P774" t="str">
        <f>IF(M774="","",IF(M774="[FÓRMULA MANUAL]","",IFERROR(AVERAGEIFS(nNOTA,nNIA,M774,nCUENTA,1,nASIG,"Música de Cámara"),"")))</f>
        <v/>
      </c>
      <c r="Q774" t="str">
        <f>IF(M774="","",IF(M774="[FÓRMULA MANUAL]","",IFERROR(SUMPRODUCT((nNIA=M774)*(nCUENTA=1)*(COUNTIF(CONFIG_ASIGNATURAS!$B$7:$B$27,nASIG)&gt;0)*(nNOTA))/SUMPRODUCT((nNIA=M774)*(nCUENTA=1)*(COUNTIF(CONFIG_ASIGNATURAS!$B$7:$B$27,nASIG)&gt;0)*1),"")))</f>
        <v/>
      </c>
      <c r="T774" t="str">
        <f>IF(S774="","",IF(S774="[FÓRMULA MANUAL]","",IFERROR(AVERAGEIFS(nNOTA,nNIA,S774,nCUENTA,1,nASIG,"Armonía"),"")))</f>
        <v/>
      </c>
      <c r="U774" t="str">
        <f>IF(S774="","",IF(S774="[FÓRMULA MANUAL]","",IFERROR(AVERAGEIFS(nNOTA,nNIA,S774,nCUENTA,1,nASIG,"Orquesta/Banda/Conjunto"),"")))</f>
        <v/>
      </c>
      <c r="V774" t="str">
        <f>IF(S774="","",IF(S774="[FÓRMULA MANUAL]","",IFERROR(AVERAGEIFS(nNOTA,nNIA,S774,nCUENTA,1,nASIG,"Música de Cámara"),"")))</f>
        <v/>
      </c>
      <c r="W774" t="str">
        <f>IF(S774="","",IF(S774="[FÓRMULA MANUAL]","",IFERROR(SUMPRODUCT((nNIA=S774)*(nCUENTA=1)*(COUNTIF(CONFIG_ASIGNATURAS!$B$7:$B$27,nASIG)&gt;0)*(nNOTA))/SUMPRODUCT((nNIA=S774)*(nCUENTA=1)*(COUNTIF(CONFIG_ASIGNATURAS!$B$7:$B$27,nASIG)&gt;0)*1),"")))</f>
        <v/>
      </c>
      <c r="Z774" t="str">
        <f>IF(Y774="","",IF(Y774="[FÓRMULA MANUAL]","",IFERROR(AVERAGEIFS(nNOTA,nNIA,Y774,nCUENTA,1,nASIG,"Análisis"),"")))</f>
        <v/>
      </c>
      <c r="AA774" t="str">
        <f>IF(Y774="","",IF(Y774="[FÓRMULA MANUAL]","",IFERROR(AVERAGEIFS(nNOTA,nNIA,Y774,nCUENTA,1,nASIG,"Orquesta/Banda/Conjunto"),"")))</f>
        <v/>
      </c>
      <c r="AB774" t="str">
        <f>IF(Y774="","",IF(Y774="[FÓRMULA MANUAL]","",IFERROR(AVERAGEIFS(nNOTA,nNIA,Y774,nCUENTA,1,nASIG,"Música de Cámara"),"")))</f>
        <v/>
      </c>
      <c r="AC774" t="str">
        <f>IF(Y774="","",IF(Y774="[FÓRMULA MANUAL]","",IFERROR(SUMPRODUCT((nNIA=Y774)*(nCUENTA=1)*(COUNTIF(CONFIG_ASIGNATURAS!$B$7:$B$27,nASIG)&gt;0)*(nNOTA))/SUMPRODUCT((nNIA=Y774)*(nCUENTA=1)*(COUNTIF(CONFIG_ASIGNATURAS!$B$7:$B$27,nASIG)&gt;0)*1),"")))</f>
        <v/>
      </c>
      <c r="AF774" t="str">
        <f>IF(AE774="","",IF(AE774="[FÓRMULA MANUAL]","",IFERROR(AVERAGEIFS(nNOTA,nNIA,AE774,nCUENTA,1,nASIG,"Análisis"),"")))</f>
        <v/>
      </c>
      <c r="AG774" t="str">
        <f>IF(AE774="","",IF(AE774="[FÓRMULA MANUAL]","",IFERROR(AVERAGEIFS(nNOTA,nNIA,AE774,nCUENTA,1,nASIG,"Orquesta/Banda/Conjunto"),"")))</f>
        <v/>
      </c>
      <c r="AH774" t="str">
        <f>IF(AE774="","",IF(AE774="[FÓRMULA MANUAL]","",IFERROR(AVERAGEIFS(nNOTA,nNIA,AE774,nCUENTA,1,nASIG,"Música de Cámara"),"")))</f>
        <v/>
      </c>
      <c r="AI774" t="str">
        <f>IF(AE774="","",IF(AE774="[FÓRMULA MANUAL]","",IFERROR(SUMPRODUCT((nNIA=AE774)*(nCUENTA=1)*(COUNTIF(CONFIG_ASIGNATURAS!$B$7:$B$27,nASIG)&gt;0)*(nNOTA))/SUMPRODUCT((nNIA=AE774)*(nCUENTA=1)*(COUNTIF(CONFIG_ASIGNATURAS!$B$7:$B$27,nASIG)&gt;0)*1),"")))</f>
        <v/>
      </c>
    </row>
    <row r="775" spans="2:35" x14ac:dyDescent="0.2">
      <c r="B775" t="str">
        <f>IF(A775="","",IF(A775="[FÓRMULA MANUAL]","",IFERROR(AVERAGEIFS(nNOTA,nNIA,A775,nCUENTA,1,nASIG,"Lenguaje Musical"),"")))</f>
        <v/>
      </c>
      <c r="C775" t="str">
        <f>IF(A775="","",IF(A775="[FÓRMULA MANUAL]","",IFERROR(AVERAGEIFS(nNOTA,nNIA,A775,nCUENTA,1,nASIG,"Orquesta/Banda/Conjunto"),"")))</f>
        <v/>
      </c>
      <c r="D775" t="str">
        <f>IF(A775="","",IF(A775="[FÓRMULA MANUAL]","",IFERROR(AVERAGEIFS(nNOTA,nNIA,A775,nCUENTA,1,nASIG,"Conjunto"),"")))</f>
        <v/>
      </c>
      <c r="E775" t="str">
        <f>IF(A775="","",IF(A775="[FÓRMULA MANUAL]","",IFERROR(SUMPRODUCT((nNIA=A775)*(nCUENTA=1)*(COUNTIF(CONFIG_ASIGNATURAS!$B$7:$B$27,nASIG)&gt;0)*(nNOTA))/SUMPRODUCT((nNIA=A775)*(nCUENTA=1)*(COUNTIF(CONFIG_ASIGNATURAS!$B$7:$B$27,nASIG)&gt;0)*1),"")))</f>
        <v/>
      </c>
      <c r="H775" t="str">
        <f>IF(G775="","",IF(G775="[FÓRMULA MANUAL]","",IFERROR(AVERAGEIFS(nNOTA,nNIA,G775,nCUENTA,1,nASIG,"Lenguaje Musical"),"")))</f>
        <v/>
      </c>
      <c r="I775" t="str">
        <f>IF(G775="","",IF(G775="[FÓRMULA MANUAL]","",IFERROR(AVERAGEIFS(nNOTA,nNIA,G775,nCUENTA,1,nASIG,"Orquesta/Banda/Conjunto"),"")))</f>
        <v/>
      </c>
      <c r="J775" t="str">
        <f>IF(G775="","",IF(G775="[FÓRMULA MANUAL]","",IFERROR(AVERAGEIFS(nNOTA,nNIA,G775,nCUENTA,1,nASIG,"Conjunto"),"")))</f>
        <v/>
      </c>
      <c r="K775" t="str">
        <f>IF(G775="","",IF(G775="[FÓRMULA MANUAL]","",IFERROR(SUMPRODUCT((nNIA=G775)*(nCUENTA=1)*(COUNTIF(CONFIG_ASIGNATURAS!$B$7:$B$27,nASIG)&gt;0)*(nNOTA))/SUMPRODUCT((nNIA=G775)*(nCUENTA=1)*(COUNTIF(CONFIG_ASIGNATURAS!$B$7:$B$27,nASIG)&gt;0)*1),"")))</f>
        <v/>
      </c>
      <c r="N775" t="str">
        <f>IF(M775="","",IF(M775="[FÓRMULA MANUAL]","",IFERROR(AVERAGEIFS(nNOTA,nNIA,M775,nCUENTA,1,nASIG,"Armonía"),"")))</f>
        <v/>
      </c>
      <c r="O775" t="str">
        <f>IF(M775="","",IF(M775="[FÓRMULA MANUAL]","",IFERROR(AVERAGEIFS(nNOTA,nNIA,M775,nCUENTA,1,nASIG,"Orquesta/Banda/Conjunto"),"")))</f>
        <v/>
      </c>
      <c r="P775" t="str">
        <f>IF(M775="","",IF(M775="[FÓRMULA MANUAL]","",IFERROR(AVERAGEIFS(nNOTA,nNIA,M775,nCUENTA,1,nASIG,"Música de Cámara"),"")))</f>
        <v/>
      </c>
      <c r="Q775" t="str">
        <f>IF(M775="","",IF(M775="[FÓRMULA MANUAL]","",IFERROR(SUMPRODUCT((nNIA=M775)*(nCUENTA=1)*(COUNTIF(CONFIG_ASIGNATURAS!$B$7:$B$27,nASIG)&gt;0)*(nNOTA))/SUMPRODUCT((nNIA=M775)*(nCUENTA=1)*(COUNTIF(CONFIG_ASIGNATURAS!$B$7:$B$27,nASIG)&gt;0)*1),"")))</f>
        <v/>
      </c>
      <c r="T775" t="str">
        <f>IF(S775="","",IF(S775="[FÓRMULA MANUAL]","",IFERROR(AVERAGEIFS(nNOTA,nNIA,S775,nCUENTA,1,nASIG,"Armonía"),"")))</f>
        <v/>
      </c>
      <c r="U775" t="str">
        <f>IF(S775="","",IF(S775="[FÓRMULA MANUAL]","",IFERROR(AVERAGEIFS(nNOTA,nNIA,S775,nCUENTA,1,nASIG,"Orquesta/Banda/Conjunto"),"")))</f>
        <v/>
      </c>
      <c r="V775" t="str">
        <f>IF(S775="","",IF(S775="[FÓRMULA MANUAL]","",IFERROR(AVERAGEIFS(nNOTA,nNIA,S775,nCUENTA,1,nASIG,"Música de Cámara"),"")))</f>
        <v/>
      </c>
      <c r="W775" t="str">
        <f>IF(S775="","",IF(S775="[FÓRMULA MANUAL]","",IFERROR(SUMPRODUCT((nNIA=S775)*(nCUENTA=1)*(COUNTIF(CONFIG_ASIGNATURAS!$B$7:$B$27,nASIG)&gt;0)*(nNOTA))/SUMPRODUCT((nNIA=S775)*(nCUENTA=1)*(COUNTIF(CONFIG_ASIGNATURAS!$B$7:$B$27,nASIG)&gt;0)*1),"")))</f>
        <v/>
      </c>
      <c r="Z775" t="str">
        <f>IF(Y775="","",IF(Y775="[FÓRMULA MANUAL]","",IFERROR(AVERAGEIFS(nNOTA,nNIA,Y775,nCUENTA,1,nASIG,"Análisis"),"")))</f>
        <v/>
      </c>
      <c r="AA775" t="str">
        <f>IF(Y775="","",IF(Y775="[FÓRMULA MANUAL]","",IFERROR(AVERAGEIFS(nNOTA,nNIA,Y775,nCUENTA,1,nASIG,"Orquesta/Banda/Conjunto"),"")))</f>
        <v/>
      </c>
      <c r="AB775" t="str">
        <f>IF(Y775="","",IF(Y775="[FÓRMULA MANUAL]","",IFERROR(AVERAGEIFS(nNOTA,nNIA,Y775,nCUENTA,1,nASIG,"Música de Cámara"),"")))</f>
        <v/>
      </c>
      <c r="AC775" t="str">
        <f>IF(Y775="","",IF(Y775="[FÓRMULA MANUAL]","",IFERROR(SUMPRODUCT((nNIA=Y775)*(nCUENTA=1)*(COUNTIF(CONFIG_ASIGNATURAS!$B$7:$B$27,nASIG)&gt;0)*(nNOTA))/SUMPRODUCT((nNIA=Y775)*(nCUENTA=1)*(COUNTIF(CONFIG_ASIGNATURAS!$B$7:$B$27,nASIG)&gt;0)*1),"")))</f>
        <v/>
      </c>
      <c r="AF775" t="str">
        <f>IF(AE775="","",IF(AE775="[FÓRMULA MANUAL]","",IFERROR(AVERAGEIFS(nNOTA,nNIA,AE775,nCUENTA,1,nASIG,"Análisis"),"")))</f>
        <v/>
      </c>
      <c r="AG775" t="str">
        <f>IF(AE775="","",IF(AE775="[FÓRMULA MANUAL]","",IFERROR(AVERAGEIFS(nNOTA,nNIA,AE775,nCUENTA,1,nASIG,"Orquesta/Banda/Conjunto"),"")))</f>
        <v/>
      </c>
      <c r="AH775" t="str">
        <f>IF(AE775="","",IF(AE775="[FÓRMULA MANUAL]","",IFERROR(AVERAGEIFS(nNOTA,nNIA,AE775,nCUENTA,1,nASIG,"Música de Cámara"),"")))</f>
        <v/>
      </c>
      <c r="AI775" t="str">
        <f>IF(AE775="","",IF(AE775="[FÓRMULA MANUAL]","",IFERROR(SUMPRODUCT((nNIA=AE775)*(nCUENTA=1)*(COUNTIF(CONFIG_ASIGNATURAS!$B$7:$B$27,nASIG)&gt;0)*(nNOTA))/SUMPRODUCT((nNIA=AE775)*(nCUENTA=1)*(COUNTIF(CONFIG_ASIGNATURAS!$B$7:$B$27,nASIG)&gt;0)*1),"")))</f>
        <v/>
      </c>
    </row>
    <row r="776" spans="2:35" x14ac:dyDescent="0.2">
      <c r="B776" t="str">
        <f>IF(A776="","",IF(A776="[FÓRMULA MANUAL]","",IFERROR(AVERAGEIFS(nNOTA,nNIA,A776,nCUENTA,1,nASIG,"Lenguaje Musical"),"")))</f>
        <v/>
      </c>
      <c r="C776" t="str">
        <f>IF(A776="","",IF(A776="[FÓRMULA MANUAL]","",IFERROR(AVERAGEIFS(nNOTA,nNIA,A776,nCUENTA,1,nASIG,"Orquesta/Banda/Conjunto"),"")))</f>
        <v/>
      </c>
      <c r="D776" t="str">
        <f>IF(A776="","",IF(A776="[FÓRMULA MANUAL]","",IFERROR(AVERAGEIFS(nNOTA,nNIA,A776,nCUENTA,1,nASIG,"Conjunto"),"")))</f>
        <v/>
      </c>
      <c r="E776" t="str">
        <f>IF(A776="","",IF(A776="[FÓRMULA MANUAL]","",IFERROR(SUMPRODUCT((nNIA=A776)*(nCUENTA=1)*(COUNTIF(CONFIG_ASIGNATURAS!$B$7:$B$27,nASIG)&gt;0)*(nNOTA))/SUMPRODUCT((nNIA=A776)*(nCUENTA=1)*(COUNTIF(CONFIG_ASIGNATURAS!$B$7:$B$27,nASIG)&gt;0)*1),"")))</f>
        <v/>
      </c>
      <c r="H776" t="str">
        <f>IF(G776="","",IF(G776="[FÓRMULA MANUAL]","",IFERROR(AVERAGEIFS(nNOTA,nNIA,G776,nCUENTA,1,nASIG,"Lenguaje Musical"),"")))</f>
        <v/>
      </c>
      <c r="I776" t="str">
        <f>IF(G776="","",IF(G776="[FÓRMULA MANUAL]","",IFERROR(AVERAGEIFS(nNOTA,nNIA,G776,nCUENTA,1,nASIG,"Orquesta/Banda/Conjunto"),"")))</f>
        <v/>
      </c>
      <c r="J776" t="str">
        <f>IF(G776="","",IF(G776="[FÓRMULA MANUAL]","",IFERROR(AVERAGEIFS(nNOTA,nNIA,G776,nCUENTA,1,nASIG,"Conjunto"),"")))</f>
        <v/>
      </c>
      <c r="K776" t="str">
        <f>IF(G776="","",IF(G776="[FÓRMULA MANUAL]","",IFERROR(SUMPRODUCT((nNIA=G776)*(nCUENTA=1)*(COUNTIF(CONFIG_ASIGNATURAS!$B$7:$B$27,nASIG)&gt;0)*(nNOTA))/SUMPRODUCT((nNIA=G776)*(nCUENTA=1)*(COUNTIF(CONFIG_ASIGNATURAS!$B$7:$B$27,nASIG)&gt;0)*1),"")))</f>
        <v/>
      </c>
      <c r="N776" t="str">
        <f>IF(M776="","",IF(M776="[FÓRMULA MANUAL]","",IFERROR(AVERAGEIFS(nNOTA,nNIA,M776,nCUENTA,1,nASIG,"Armonía"),"")))</f>
        <v/>
      </c>
      <c r="O776" t="str">
        <f>IF(M776="","",IF(M776="[FÓRMULA MANUAL]","",IFERROR(AVERAGEIFS(nNOTA,nNIA,M776,nCUENTA,1,nASIG,"Orquesta/Banda/Conjunto"),"")))</f>
        <v/>
      </c>
      <c r="P776" t="str">
        <f>IF(M776="","",IF(M776="[FÓRMULA MANUAL]","",IFERROR(AVERAGEIFS(nNOTA,nNIA,M776,nCUENTA,1,nASIG,"Música de Cámara"),"")))</f>
        <v/>
      </c>
      <c r="Q776" t="str">
        <f>IF(M776="","",IF(M776="[FÓRMULA MANUAL]","",IFERROR(SUMPRODUCT((nNIA=M776)*(nCUENTA=1)*(COUNTIF(CONFIG_ASIGNATURAS!$B$7:$B$27,nASIG)&gt;0)*(nNOTA))/SUMPRODUCT((nNIA=M776)*(nCUENTA=1)*(COUNTIF(CONFIG_ASIGNATURAS!$B$7:$B$27,nASIG)&gt;0)*1),"")))</f>
        <v/>
      </c>
      <c r="T776" t="str">
        <f>IF(S776="","",IF(S776="[FÓRMULA MANUAL]","",IFERROR(AVERAGEIFS(nNOTA,nNIA,S776,nCUENTA,1,nASIG,"Armonía"),"")))</f>
        <v/>
      </c>
      <c r="U776" t="str">
        <f>IF(S776="","",IF(S776="[FÓRMULA MANUAL]","",IFERROR(AVERAGEIFS(nNOTA,nNIA,S776,nCUENTA,1,nASIG,"Orquesta/Banda/Conjunto"),"")))</f>
        <v/>
      </c>
      <c r="V776" t="str">
        <f>IF(S776="","",IF(S776="[FÓRMULA MANUAL]","",IFERROR(AVERAGEIFS(nNOTA,nNIA,S776,nCUENTA,1,nASIG,"Música de Cámara"),"")))</f>
        <v/>
      </c>
      <c r="W776" t="str">
        <f>IF(S776="","",IF(S776="[FÓRMULA MANUAL]","",IFERROR(SUMPRODUCT((nNIA=S776)*(nCUENTA=1)*(COUNTIF(CONFIG_ASIGNATURAS!$B$7:$B$27,nASIG)&gt;0)*(nNOTA))/SUMPRODUCT((nNIA=S776)*(nCUENTA=1)*(COUNTIF(CONFIG_ASIGNATURAS!$B$7:$B$27,nASIG)&gt;0)*1),"")))</f>
        <v/>
      </c>
      <c r="Z776" t="str">
        <f>IF(Y776="","",IF(Y776="[FÓRMULA MANUAL]","",IFERROR(AVERAGEIFS(nNOTA,nNIA,Y776,nCUENTA,1,nASIG,"Análisis"),"")))</f>
        <v/>
      </c>
      <c r="AA776" t="str">
        <f>IF(Y776="","",IF(Y776="[FÓRMULA MANUAL]","",IFERROR(AVERAGEIFS(nNOTA,nNIA,Y776,nCUENTA,1,nASIG,"Orquesta/Banda/Conjunto"),"")))</f>
        <v/>
      </c>
      <c r="AB776" t="str">
        <f>IF(Y776="","",IF(Y776="[FÓRMULA MANUAL]","",IFERROR(AVERAGEIFS(nNOTA,nNIA,Y776,nCUENTA,1,nASIG,"Música de Cámara"),"")))</f>
        <v/>
      </c>
      <c r="AC776" t="str">
        <f>IF(Y776="","",IF(Y776="[FÓRMULA MANUAL]","",IFERROR(SUMPRODUCT((nNIA=Y776)*(nCUENTA=1)*(COUNTIF(CONFIG_ASIGNATURAS!$B$7:$B$27,nASIG)&gt;0)*(nNOTA))/SUMPRODUCT((nNIA=Y776)*(nCUENTA=1)*(COUNTIF(CONFIG_ASIGNATURAS!$B$7:$B$27,nASIG)&gt;0)*1),"")))</f>
        <v/>
      </c>
      <c r="AF776" t="str">
        <f>IF(AE776="","",IF(AE776="[FÓRMULA MANUAL]","",IFERROR(AVERAGEIFS(nNOTA,nNIA,AE776,nCUENTA,1,nASIG,"Análisis"),"")))</f>
        <v/>
      </c>
      <c r="AG776" t="str">
        <f>IF(AE776="","",IF(AE776="[FÓRMULA MANUAL]","",IFERROR(AVERAGEIFS(nNOTA,nNIA,AE776,nCUENTA,1,nASIG,"Orquesta/Banda/Conjunto"),"")))</f>
        <v/>
      </c>
      <c r="AH776" t="str">
        <f>IF(AE776="","",IF(AE776="[FÓRMULA MANUAL]","",IFERROR(AVERAGEIFS(nNOTA,nNIA,AE776,nCUENTA,1,nASIG,"Música de Cámara"),"")))</f>
        <v/>
      </c>
      <c r="AI776" t="str">
        <f>IF(AE776="","",IF(AE776="[FÓRMULA MANUAL]","",IFERROR(SUMPRODUCT((nNIA=AE776)*(nCUENTA=1)*(COUNTIF(CONFIG_ASIGNATURAS!$B$7:$B$27,nASIG)&gt;0)*(nNOTA))/SUMPRODUCT((nNIA=AE776)*(nCUENTA=1)*(COUNTIF(CONFIG_ASIGNATURAS!$B$7:$B$27,nASIG)&gt;0)*1),"")))</f>
        <v/>
      </c>
    </row>
    <row r="777" spans="2:35" x14ac:dyDescent="0.2">
      <c r="B777" t="str">
        <f>IF(A777="","",IF(A777="[FÓRMULA MANUAL]","",IFERROR(AVERAGEIFS(nNOTA,nNIA,A777,nCUENTA,1,nASIG,"Lenguaje Musical"),"")))</f>
        <v/>
      </c>
      <c r="C777" t="str">
        <f>IF(A777="","",IF(A777="[FÓRMULA MANUAL]","",IFERROR(AVERAGEIFS(nNOTA,nNIA,A777,nCUENTA,1,nASIG,"Orquesta/Banda/Conjunto"),"")))</f>
        <v/>
      </c>
      <c r="D777" t="str">
        <f>IF(A777="","",IF(A777="[FÓRMULA MANUAL]","",IFERROR(AVERAGEIFS(nNOTA,nNIA,A777,nCUENTA,1,nASIG,"Conjunto"),"")))</f>
        <v/>
      </c>
      <c r="E777" t="str">
        <f>IF(A777="","",IF(A777="[FÓRMULA MANUAL]","",IFERROR(SUMPRODUCT((nNIA=A777)*(nCUENTA=1)*(COUNTIF(CONFIG_ASIGNATURAS!$B$7:$B$27,nASIG)&gt;0)*(nNOTA))/SUMPRODUCT((nNIA=A777)*(nCUENTA=1)*(COUNTIF(CONFIG_ASIGNATURAS!$B$7:$B$27,nASIG)&gt;0)*1),"")))</f>
        <v/>
      </c>
      <c r="H777" t="str">
        <f>IF(G777="","",IF(G777="[FÓRMULA MANUAL]","",IFERROR(AVERAGEIFS(nNOTA,nNIA,G777,nCUENTA,1,nASIG,"Lenguaje Musical"),"")))</f>
        <v/>
      </c>
      <c r="I777" t="str">
        <f>IF(G777="","",IF(G777="[FÓRMULA MANUAL]","",IFERROR(AVERAGEIFS(nNOTA,nNIA,G777,nCUENTA,1,nASIG,"Orquesta/Banda/Conjunto"),"")))</f>
        <v/>
      </c>
      <c r="J777" t="str">
        <f>IF(G777="","",IF(G777="[FÓRMULA MANUAL]","",IFERROR(AVERAGEIFS(nNOTA,nNIA,G777,nCUENTA,1,nASIG,"Conjunto"),"")))</f>
        <v/>
      </c>
      <c r="K777" t="str">
        <f>IF(G777="","",IF(G777="[FÓRMULA MANUAL]","",IFERROR(SUMPRODUCT((nNIA=G777)*(nCUENTA=1)*(COUNTIF(CONFIG_ASIGNATURAS!$B$7:$B$27,nASIG)&gt;0)*(nNOTA))/SUMPRODUCT((nNIA=G777)*(nCUENTA=1)*(COUNTIF(CONFIG_ASIGNATURAS!$B$7:$B$27,nASIG)&gt;0)*1),"")))</f>
        <v/>
      </c>
      <c r="N777" t="str">
        <f>IF(M777="","",IF(M777="[FÓRMULA MANUAL]","",IFERROR(AVERAGEIFS(nNOTA,nNIA,M777,nCUENTA,1,nASIG,"Armonía"),"")))</f>
        <v/>
      </c>
      <c r="O777" t="str">
        <f>IF(M777="","",IF(M777="[FÓRMULA MANUAL]","",IFERROR(AVERAGEIFS(nNOTA,nNIA,M777,nCUENTA,1,nASIG,"Orquesta/Banda/Conjunto"),"")))</f>
        <v/>
      </c>
      <c r="P777" t="str">
        <f>IF(M777="","",IF(M777="[FÓRMULA MANUAL]","",IFERROR(AVERAGEIFS(nNOTA,nNIA,M777,nCUENTA,1,nASIG,"Música de Cámara"),"")))</f>
        <v/>
      </c>
      <c r="Q777" t="str">
        <f>IF(M777="","",IF(M777="[FÓRMULA MANUAL]","",IFERROR(SUMPRODUCT((nNIA=M777)*(nCUENTA=1)*(COUNTIF(CONFIG_ASIGNATURAS!$B$7:$B$27,nASIG)&gt;0)*(nNOTA))/SUMPRODUCT((nNIA=M777)*(nCUENTA=1)*(COUNTIF(CONFIG_ASIGNATURAS!$B$7:$B$27,nASIG)&gt;0)*1),"")))</f>
        <v/>
      </c>
      <c r="T777" t="str">
        <f>IF(S777="","",IF(S777="[FÓRMULA MANUAL]","",IFERROR(AVERAGEIFS(nNOTA,nNIA,S777,nCUENTA,1,nASIG,"Armonía"),"")))</f>
        <v/>
      </c>
      <c r="U777" t="str">
        <f>IF(S777="","",IF(S777="[FÓRMULA MANUAL]","",IFERROR(AVERAGEIFS(nNOTA,nNIA,S777,nCUENTA,1,nASIG,"Orquesta/Banda/Conjunto"),"")))</f>
        <v/>
      </c>
      <c r="V777" t="str">
        <f>IF(S777="","",IF(S777="[FÓRMULA MANUAL]","",IFERROR(AVERAGEIFS(nNOTA,nNIA,S777,nCUENTA,1,nASIG,"Música de Cámara"),"")))</f>
        <v/>
      </c>
      <c r="W777" t="str">
        <f>IF(S777="","",IF(S777="[FÓRMULA MANUAL]","",IFERROR(SUMPRODUCT((nNIA=S777)*(nCUENTA=1)*(COUNTIF(CONFIG_ASIGNATURAS!$B$7:$B$27,nASIG)&gt;0)*(nNOTA))/SUMPRODUCT((nNIA=S777)*(nCUENTA=1)*(COUNTIF(CONFIG_ASIGNATURAS!$B$7:$B$27,nASIG)&gt;0)*1),"")))</f>
        <v/>
      </c>
      <c r="Z777" t="str">
        <f>IF(Y777="","",IF(Y777="[FÓRMULA MANUAL]","",IFERROR(AVERAGEIFS(nNOTA,nNIA,Y777,nCUENTA,1,nASIG,"Análisis"),"")))</f>
        <v/>
      </c>
      <c r="AA777" t="str">
        <f>IF(Y777="","",IF(Y777="[FÓRMULA MANUAL]","",IFERROR(AVERAGEIFS(nNOTA,nNIA,Y777,nCUENTA,1,nASIG,"Orquesta/Banda/Conjunto"),"")))</f>
        <v/>
      </c>
      <c r="AB777" t="str">
        <f>IF(Y777="","",IF(Y777="[FÓRMULA MANUAL]","",IFERROR(AVERAGEIFS(nNOTA,nNIA,Y777,nCUENTA,1,nASIG,"Música de Cámara"),"")))</f>
        <v/>
      </c>
      <c r="AC777" t="str">
        <f>IF(Y777="","",IF(Y777="[FÓRMULA MANUAL]","",IFERROR(SUMPRODUCT((nNIA=Y777)*(nCUENTA=1)*(COUNTIF(CONFIG_ASIGNATURAS!$B$7:$B$27,nASIG)&gt;0)*(nNOTA))/SUMPRODUCT((nNIA=Y777)*(nCUENTA=1)*(COUNTIF(CONFIG_ASIGNATURAS!$B$7:$B$27,nASIG)&gt;0)*1),"")))</f>
        <v/>
      </c>
      <c r="AF777" t="str">
        <f>IF(AE777="","",IF(AE777="[FÓRMULA MANUAL]","",IFERROR(AVERAGEIFS(nNOTA,nNIA,AE777,nCUENTA,1,nASIG,"Análisis"),"")))</f>
        <v/>
      </c>
      <c r="AG777" t="str">
        <f>IF(AE777="","",IF(AE777="[FÓRMULA MANUAL]","",IFERROR(AVERAGEIFS(nNOTA,nNIA,AE777,nCUENTA,1,nASIG,"Orquesta/Banda/Conjunto"),"")))</f>
        <v/>
      </c>
      <c r="AH777" t="str">
        <f>IF(AE777="","",IF(AE777="[FÓRMULA MANUAL]","",IFERROR(AVERAGEIFS(nNOTA,nNIA,AE777,nCUENTA,1,nASIG,"Música de Cámara"),"")))</f>
        <v/>
      </c>
      <c r="AI777" t="str">
        <f>IF(AE777="","",IF(AE777="[FÓRMULA MANUAL]","",IFERROR(SUMPRODUCT((nNIA=AE777)*(nCUENTA=1)*(COUNTIF(CONFIG_ASIGNATURAS!$B$7:$B$27,nASIG)&gt;0)*(nNOTA))/SUMPRODUCT((nNIA=AE777)*(nCUENTA=1)*(COUNTIF(CONFIG_ASIGNATURAS!$B$7:$B$27,nASIG)&gt;0)*1),"")))</f>
        <v/>
      </c>
    </row>
    <row r="778" spans="2:35" x14ac:dyDescent="0.2">
      <c r="B778" t="str">
        <f>IF(A778="","",IF(A778="[FÓRMULA MANUAL]","",IFERROR(AVERAGEIFS(nNOTA,nNIA,A778,nCUENTA,1,nASIG,"Lenguaje Musical"),"")))</f>
        <v/>
      </c>
      <c r="C778" t="str">
        <f>IF(A778="","",IF(A778="[FÓRMULA MANUAL]","",IFERROR(AVERAGEIFS(nNOTA,nNIA,A778,nCUENTA,1,nASIG,"Orquesta/Banda/Conjunto"),"")))</f>
        <v/>
      </c>
      <c r="D778" t="str">
        <f>IF(A778="","",IF(A778="[FÓRMULA MANUAL]","",IFERROR(AVERAGEIFS(nNOTA,nNIA,A778,nCUENTA,1,nASIG,"Conjunto"),"")))</f>
        <v/>
      </c>
      <c r="E778" t="str">
        <f>IF(A778="","",IF(A778="[FÓRMULA MANUAL]","",IFERROR(SUMPRODUCT((nNIA=A778)*(nCUENTA=1)*(COUNTIF(CONFIG_ASIGNATURAS!$B$7:$B$27,nASIG)&gt;0)*(nNOTA))/SUMPRODUCT((nNIA=A778)*(nCUENTA=1)*(COUNTIF(CONFIG_ASIGNATURAS!$B$7:$B$27,nASIG)&gt;0)*1),"")))</f>
        <v/>
      </c>
      <c r="H778" t="str">
        <f>IF(G778="","",IF(G778="[FÓRMULA MANUAL]","",IFERROR(AVERAGEIFS(nNOTA,nNIA,G778,nCUENTA,1,nASIG,"Lenguaje Musical"),"")))</f>
        <v/>
      </c>
      <c r="I778" t="str">
        <f>IF(G778="","",IF(G778="[FÓRMULA MANUAL]","",IFERROR(AVERAGEIFS(nNOTA,nNIA,G778,nCUENTA,1,nASIG,"Orquesta/Banda/Conjunto"),"")))</f>
        <v/>
      </c>
      <c r="J778" t="str">
        <f>IF(G778="","",IF(G778="[FÓRMULA MANUAL]","",IFERROR(AVERAGEIFS(nNOTA,nNIA,G778,nCUENTA,1,nASIG,"Conjunto"),"")))</f>
        <v/>
      </c>
      <c r="K778" t="str">
        <f>IF(G778="","",IF(G778="[FÓRMULA MANUAL]","",IFERROR(SUMPRODUCT((nNIA=G778)*(nCUENTA=1)*(COUNTIF(CONFIG_ASIGNATURAS!$B$7:$B$27,nASIG)&gt;0)*(nNOTA))/SUMPRODUCT((nNIA=G778)*(nCUENTA=1)*(COUNTIF(CONFIG_ASIGNATURAS!$B$7:$B$27,nASIG)&gt;0)*1),"")))</f>
        <v/>
      </c>
      <c r="N778" t="str">
        <f>IF(M778="","",IF(M778="[FÓRMULA MANUAL]","",IFERROR(AVERAGEIFS(nNOTA,nNIA,M778,nCUENTA,1,nASIG,"Armonía"),"")))</f>
        <v/>
      </c>
      <c r="O778" t="str">
        <f>IF(M778="","",IF(M778="[FÓRMULA MANUAL]","",IFERROR(AVERAGEIFS(nNOTA,nNIA,M778,nCUENTA,1,nASIG,"Orquesta/Banda/Conjunto"),"")))</f>
        <v/>
      </c>
      <c r="P778" t="str">
        <f>IF(M778="","",IF(M778="[FÓRMULA MANUAL]","",IFERROR(AVERAGEIFS(nNOTA,nNIA,M778,nCUENTA,1,nASIG,"Música de Cámara"),"")))</f>
        <v/>
      </c>
      <c r="Q778" t="str">
        <f>IF(M778="","",IF(M778="[FÓRMULA MANUAL]","",IFERROR(SUMPRODUCT((nNIA=M778)*(nCUENTA=1)*(COUNTIF(CONFIG_ASIGNATURAS!$B$7:$B$27,nASIG)&gt;0)*(nNOTA))/SUMPRODUCT((nNIA=M778)*(nCUENTA=1)*(COUNTIF(CONFIG_ASIGNATURAS!$B$7:$B$27,nASIG)&gt;0)*1),"")))</f>
        <v/>
      </c>
      <c r="T778" t="str">
        <f>IF(S778="","",IF(S778="[FÓRMULA MANUAL]","",IFERROR(AVERAGEIFS(nNOTA,nNIA,S778,nCUENTA,1,nASIG,"Armonía"),"")))</f>
        <v/>
      </c>
      <c r="U778" t="str">
        <f>IF(S778="","",IF(S778="[FÓRMULA MANUAL]","",IFERROR(AVERAGEIFS(nNOTA,nNIA,S778,nCUENTA,1,nASIG,"Orquesta/Banda/Conjunto"),"")))</f>
        <v/>
      </c>
      <c r="V778" t="str">
        <f>IF(S778="","",IF(S778="[FÓRMULA MANUAL]","",IFERROR(AVERAGEIFS(nNOTA,nNIA,S778,nCUENTA,1,nASIG,"Música de Cámara"),"")))</f>
        <v/>
      </c>
      <c r="W778" t="str">
        <f>IF(S778="","",IF(S778="[FÓRMULA MANUAL]","",IFERROR(SUMPRODUCT((nNIA=S778)*(nCUENTA=1)*(COUNTIF(CONFIG_ASIGNATURAS!$B$7:$B$27,nASIG)&gt;0)*(nNOTA))/SUMPRODUCT((nNIA=S778)*(nCUENTA=1)*(COUNTIF(CONFIG_ASIGNATURAS!$B$7:$B$27,nASIG)&gt;0)*1),"")))</f>
        <v/>
      </c>
      <c r="Z778" t="str">
        <f>IF(Y778="","",IF(Y778="[FÓRMULA MANUAL]","",IFERROR(AVERAGEIFS(nNOTA,nNIA,Y778,nCUENTA,1,nASIG,"Análisis"),"")))</f>
        <v/>
      </c>
      <c r="AA778" t="str">
        <f>IF(Y778="","",IF(Y778="[FÓRMULA MANUAL]","",IFERROR(AVERAGEIFS(nNOTA,nNIA,Y778,nCUENTA,1,nASIG,"Orquesta/Banda/Conjunto"),"")))</f>
        <v/>
      </c>
      <c r="AB778" t="str">
        <f>IF(Y778="","",IF(Y778="[FÓRMULA MANUAL]","",IFERROR(AVERAGEIFS(nNOTA,nNIA,Y778,nCUENTA,1,nASIG,"Música de Cámara"),"")))</f>
        <v/>
      </c>
      <c r="AC778" t="str">
        <f>IF(Y778="","",IF(Y778="[FÓRMULA MANUAL]","",IFERROR(SUMPRODUCT((nNIA=Y778)*(nCUENTA=1)*(COUNTIF(CONFIG_ASIGNATURAS!$B$7:$B$27,nASIG)&gt;0)*(nNOTA))/SUMPRODUCT((nNIA=Y778)*(nCUENTA=1)*(COUNTIF(CONFIG_ASIGNATURAS!$B$7:$B$27,nASIG)&gt;0)*1),"")))</f>
        <v/>
      </c>
      <c r="AF778" t="str">
        <f>IF(AE778="","",IF(AE778="[FÓRMULA MANUAL]","",IFERROR(AVERAGEIFS(nNOTA,nNIA,AE778,nCUENTA,1,nASIG,"Análisis"),"")))</f>
        <v/>
      </c>
      <c r="AG778" t="str">
        <f>IF(AE778="","",IF(AE778="[FÓRMULA MANUAL]","",IFERROR(AVERAGEIFS(nNOTA,nNIA,AE778,nCUENTA,1,nASIG,"Orquesta/Banda/Conjunto"),"")))</f>
        <v/>
      </c>
      <c r="AH778" t="str">
        <f>IF(AE778="","",IF(AE778="[FÓRMULA MANUAL]","",IFERROR(AVERAGEIFS(nNOTA,nNIA,AE778,nCUENTA,1,nASIG,"Música de Cámara"),"")))</f>
        <v/>
      </c>
      <c r="AI778" t="str">
        <f>IF(AE778="","",IF(AE778="[FÓRMULA MANUAL]","",IFERROR(SUMPRODUCT((nNIA=AE778)*(nCUENTA=1)*(COUNTIF(CONFIG_ASIGNATURAS!$B$7:$B$27,nASIG)&gt;0)*(nNOTA))/SUMPRODUCT((nNIA=AE778)*(nCUENTA=1)*(COUNTIF(CONFIG_ASIGNATURAS!$B$7:$B$27,nASIG)&gt;0)*1),"")))</f>
        <v/>
      </c>
    </row>
    <row r="779" spans="2:35" x14ac:dyDescent="0.2">
      <c r="B779" t="str">
        <f>IF(A779="","",IF(A779="[FÓRMULA MANUAL]","",IFERROR(AVERAGEIFS(nNOTA,nNIA,A779,nCUENTA,1,nASIG,"Lenguaje Musical"),"")))</f>
        <v/>
      </c>
      <c r="C779" t="str">
        <f>IF(A779="","",IF(A779="[FÓRMULA MANUAL]","",IFERROR(AVERAGEIFS(nNOTA,nNIA,A779,nCUENTA,1,nASIG,"Orquesta/Banda/Conjunto"),"")))</f>
        <v/>
      </c>
      <c r="D779" t="str">
        <f>IF(A779="","",IF(A779="[FÓRMULA MANUAL]","",IFERROR(AVERAGEIFS(nNOTA,nNIA,A779,nCUENTA,1,nASIG,"Conjunto"),"")))</f>
        <v/>
      </c>
      <c r="E779" t="str">
        <f>IF(A779="","",IF(A779="[FÓRMULA MANUAL]","",IFERROR(SUMPRODUCT((nNIA=A779)*(nCUENTA=1)*(COUNTIF(CONFIG_ASIGNATURAS!$B$7:$B$27,nASIG)&gt;0)*(nNOTA))/SUMPRODUCT((nNIA=A779)*(nCUENTA=1)*(COUNTIF(CONFIG_ASIGNATURAS!$B$7:$B$27,nASIG)&gt;0)*1),"")))</f>
        <v/>
      </c>
      <c r="H779" t="str">
        <f>IF(G779="","",IF(G779="[FÓRMULA MANUAL]","",IFERROR(AVERAGEIFS(nNOTA,nNIA,G779,nCUENTA,1,nASIG,"Lenguaje Musical"),"")))</f>
        <v/>
      </c>
      <c r="I779" t="str">
        <f>IF(G779="","",IF(G779="[FÓRMULA MANUAL]","",IFERROR(AVERAGEIFS(nNOTA,nNIA,G779,nCUENTA,1,nASIG,"Orquesta/Banda/Conjunto"),"")))</f>
        <v/>
      </c>
      <c r="J779" t="str">
        <f>IF(G779="","",IF(G779="[FÓRMULA MANUAL]","",IFERROR(AVERAGEIFS(nNOTA,nNIA,G779,nCUENTA,1,nASIG,"Conjunto"),"")))</f>
        <v/>
      </c>
      <c r="K779" t="str">
        <f>IF(G779="","",IF(G779="[FÓRMULA MANUAL]","",IFERROR(SUMPRODUCT((nNIA=G779)*(nCUENTA=1)*(COUNTIF(CONFIG_ASIGNATURAS!$B$7:$B$27,nASIG)&gt;0)*(nNOTA))/SUMPRODUCT((nNIA=G779)*(nCUENTA=1)*(COUNTIF(CONFIG_ASIGNATURAS!$B$7:$B$27,nASIG)&gt;0)*1),"")))</f>
        <v/>
      </c>
      <c r="N779" t="str">
        <f>IF(M779="","",IF(M779="[FÓRMULA MANUAL]","",IFERROR(AVERAGEIFS(nNOTA,nNIA,M779,nCUENTA,1,nASIG,"Armonía"),"")))</f>
        <v/>
      </c>
      <c r="O779" t="str">
        <f>IF(M779="","",IF(M779="[FÓRMULA MANUAL]","",IFERROR(AVERAGEIFS(nNOTA,nNIA,M779,nCUENTA,1,nASIG,"Orquesta/Banda/Conjunto"),"")))</f>
        <v/>
      </c>
      <c r="P779" t="str">
        <f>IF(M779="","",IF(M779="[FÓRMULA MANUAL]","",IFERROR(AVERAGEIFS(nNOTA,nNIA,M779,nCUENTA,1,nASIG,"Música de Cámara"),"")))</f>
        <v/>
      </c>
      <c r="Q779" t="str">
        <f>IF(M779="","",IF(M779="[FÓRMULA MANUAL]","",IFERROR(SUMPRODUCT((nNIA=M779)*(nCUENTA=1)*(COUNTIF(CONFIG_ASIGNATURAS!$B$7:$B$27,nASIG)&gt;0)*(nNOTA))/SUMPRODUCT((nNIA=M779)*(nCUENTA=1)*(COUNTIF(CONFIG_ASIGNATURAS!$B$7:$B$27,nASIG)&gt;0)*1),"")))</f>
        <v/>
      </c>
      <c r="T779" t="str">
        <f>IF(S779="","",IF(S779="[FÓRMULA MANUAL]","",IFERROR(AVERAGEIFS(nNOTA,nNIA,S779,nCUENTA,1,nASIG,"Armonía"),"")))</f>
        <v/>
      </c>
      <c r="U779" t="str">
        <f>IF(S779="","",IF(S779="[FÓRMULA MANUAL]","",IFERROR(AVERAGEIFS(nNOTA,nNIA,S779,nCUENTA,1,nASIG,"Orquesta/Banda/Conjunto"),"")))</f>
        <v/>
      </c>
      <c r="V779" t="str">
        <f>IF(S779="","",IF(S779="[FÓRMULA MANUAL]","",IFERROR(AVERAGEIFS(nNOTA,nNIA,S779,nCUENTA,1,nASIG,"Música de Cámara"),"")))</f>
        <v/>
      </c>
      <c r="W779" t="str">
        <f>IF(S779="","",IF(S779="[FÓRMULA MANUAL]","",IFERROR(SUMPRODUCT((nNIA=S779)*(nCUENTA=1)*(COUNTIF(CONFIG_ASIGNATURAS!$B$7:$B$27,nASIG)&gt;0)*(nNOTA))/SUMPRODUCT((nNIA=S779)*(nCUENTA=1)*(COUNTIF(CONFIG_ASIGNATURAS!$B$7:$B$27,nASIG)&gt;0)*1),"")))</f>
        <v/>
      </c>
      <c r="Z779" t="str">
        <f>IF(Y779="","",IF(Y779="[FÓRMULA MANUAL]","",IFERROR(AVERAGEIFS(nNOTA,nNIA,Y779,nCUENTA,1,nASIG,"Análisis"),"")))</f>
        <v/>
      </c>
      <c r="AA779" t="str">
        <f>IF(Y779="","",IF(Y779="[FÓRMULA MANUAL]","",IFERROR(AVERAGEIFS(nNOTA,nNIA,Y779,nCUENTA,1,nASIG,"Orquesta/Banda/Conjunto"),"")))</f>
        <v/>
      </c>
      <c r="AB779" t="str">
        <f>IF(Y779="","",IF(Y779="[FÓRMULA MANUAL]","",IFERROR(AVERAGEIFS(nNOTA,nNIA,Y779,nCUENTA,1,nASIG,"Música de Cámara"),"")))</f>
        <v/>
      </c>
      <c r="AC779" t="str">
        <f>IF(Y779="","",IF(Y779="[FÓRMULA MANUAL]","",IFERROR(SUMPRODUCT((nNIA=Y779)*(nCUENTA=1)*(COUNTIF(CONFIG_ASIGNATURAS!$B$7:$B$27,nASIG)&gt;0)*(nNOTA))/SUMPRODUCT((nNIA=Y779)*(nCUENTA=1)*(COUNTIF(CONFIG_ASIGNATURAS!$B$7:$B$27,nASIG)&gt;0)*1),"")))</f>
        <v/>
      </c>
      <c r="AF779" t="str">
        <f>IF(AE779="","",IF(AE779="[FÓRMULA MANUAL]","",IFERROR(AVERAGEIFS(nNOTA,nNIA,AE779,nCUENTA,1,nASIG,"Análisis"),"")))</f>
        <v/>
      </c>
      <c r="AG779" t="str">
        <f>IF(AE779="","",IF(AE779="[FÓRMULA MANUAL]","",IFERROR(AVERAGEIFS(nNOTA,nNIA,AE779,nCUENTA,1,nASIG,"Orquesta/Banda/Conjunto"),"")))</f>
        <v/>
      </c>
      <c r="AH779" t="str">
        <f>IF(AE779="","",IF(AE779="[FÓRMULA MANUAL]","",IFERROR(AVERAGEIFS(nNOTA,nNIA,AE779,nCUENTA,1,nASIG,"Música de Cámara"),"")))</f>
        <v/>
      </c>
      <c r="AI779" t="str">
        <f>IF(AE779="","",IF(AE779="[FÓRMULA MANUAL]","",IFERROR(SUMPRODUCT((nNIA=AE779)*(nCUENTA=1)*(COUNTIF(CONFIG_ASIGNATURAS!$B$7:$B$27,nASIG)&gt;0)*(nNOTA))/SUMPRODUCT((nNIA=AE779)*(nCUENTA=1)*(COUNTIF(CONFIG_ASIGNATURAS!$B$7:$B$27,nASIG)&gt;0)*1),"")))</f>
        <v/>
      </c>
    </row>
    <row r="780" spans="2:35" x14ac:dyDescent="0.2">
      <c r="B780" t="str">
        <f>IF(A780="","",IF(A780="[FÓRMULA MANUAL]","",IFERROR(AVERAGEIFS(nNOTA,nNIA,A780,nCUENTA,1,nASIG,"Lenguaje Musical"),"")))</f>
        <v/>
      </c>
      <c r="C780" t="str">
        <f>IF(A780="","",IF(A780="[FÓRMULA MANUAL]","",IFERROR(AVERAGEIFS(nNOTA,nNIA,A780,nCUENTA,1,nASIG,"Orquesta/Banda/Conjunto"),"")))</f>
        <v/>
      </c>
      <c r="D780" t="str">
        <f>IF(A780="","",IF(A780="[FÓRMULA MANUAL]","",IFERROR(AVERAGEIFS(nNOTA,nNIA,A780,nCUENTA,1,nASIG,"Conjunto"),"")))</f>
        <v/>
      </c>
      <c r="E780" t="str">
        <f>IF(A780="","",IF(A780="[FÓRMULA MANUAL]","",IFERROR(SUMPRODUCT((nNIA=A780)*(nCUENTA=1)*(COUNTIF(CONFIG_ASIGNATURAS!$B$7:$B$27,nASIG)&gt;0)*(nNOTA))/SUMPRODUCT((nNIA=A780)*(nCUENTA=1)*(COUNTIF(CONFIG_ASIGNATURAS!$B$7:$B$27,nASIG)&gt;0)*1),"")))</f>
        <v/>
      </c>
      <c r="H780" t="str">
        <f>IF(G780="","",IF(G780="[FÓRMULA MANUAL]","",IFERROR(AVERAGEIFS(nNOTA,nNIA,G780,nCUENTA,1,nASIG,"Lenguaje Musical"),"")))</f>
        <v/>
      </c>
      <c r="I780" t="str">
        <f>IF(G780="","",IF(G780="[FÓRMULA MANUAL]","",IFERROR(AVERAGEIFS(nNOTA,nNIA,G780,nCUENTA,1,nASIG,"Orquesta/Banda/Conjunto"),"")))</f>
        <v/>
      </c>
      <c r="J780" t="str">
        <f>IF(G780="","",IF(G780="[FÓRMULA MANUAL]","",IFERROR(AVERAGEIFS(nNOTA,nNIA,G780,nCUENTA,1,nASIG,"Conjunto"),"")))</f>
        <v/>
      </c>
      <c r="K780" t="str">
        <f>IF(G780="","",IF(G780="[FÓRMULA MANUAL]","",IFERROR(SUMPRODUCT((nNIA=G780)*(nCUENTA=1)*(COUNTIF(CONFIG_ASIGNATURAS!$B$7:$B$27,nASIG)&gt;0)*(nNOTA))/SUMPRODUCT((nNIA=G780)*(nCUENTA=1)*(COUNTIF(CONFIG_ASIGNATURAS!$B$7:$B$27,nASIG)&gt;0)*1),"")))</f>
        <v/>
      </c>
      <c r="N780" t="str">
        <f>IF(M780="","",IF(M780="[FÓRMULA MANUAL]","",IFERROR(AVERAGEIFS(nNOTA,nNIA,M780,nCUENTA,1,nASIG,"Armonía"),"")))</f>
        <v/>
      </c>
      <c r="O780" t="str">
        <f>IF(M780="","",IF(M780="[FÓRMULA MANUAL]","",IFERROR(AVERAGEIFS(nNOTA,nNIA,M780,nCUENTA,1,nASIG,"Orquesta/Banda/Conjunto"),"")))</f>
        <v/>
      </c>
      <c r="P780" t="str">
        <f>IF(M780="","",IF(M780="[FÓRMULA MANUAL]","",IFERROR(AVERAGEIFS(nNOTA,nNIA,M780,nCUENTA,1,nASIG,"Música de Cámara"),"")))</f>
        <v/>
      </c>
      <c r="Q780" t="str">
        <f>IF(M780="","",IF(M780="[FÓRMULA MANUAL]","",IFERROR(SUMPRODUCT((nNIA=M780)*(nCUENTA=1)*(COUNTIF(CONFIG_ASIGNATURAS!$B$7:$B$27,nASIG)&gt;0)*(nNOTA))/SUMPRODUCT((nNIA=M780)*(nCUENTA=1)*(COUNTIF(CONFIG_ASIGNATURAS!$B$7:$B$27,nASIG)&gt;0)*1),"")))</f>
        <v/>
      </c>
      <c r="T780" t="str">
        <f>IF(S780="","",IF(S780="[FÓRMULA MANUAL]","",IFERROR(AVERAGEIFS(nNOTA,nNIA,S780,nCUENTA,1,nASIG,"Armonía"),"")))</f>
        <v/>
      </c>
      <c r="U780" t="str">
        <f>IF(S780="","",IF(S780="[FÓRMULA MANUAL]","",IFERROR(AVERAGEIFS(nNOTA,nNIA,S780,nCUENTA,1,nASIG,"Orquesta/Banda/Conjunto"),"")))</f>
        <v/>
      </c>
      <c r="V780" t="str">
        <f>IF(S780="","",IF(S780="[FÓRMULA MANUAL]","",IFERROR(AVERAGEIFS(nNOTA,nNIA,S780,nCUENTA,1,nASIG,"Música de Cámara"),"")))</f>
        <v/>
      </c>
      <c r="W780" t="str">
        <f>IF(S780="","",IF(S780="[FÓRMULA MANUAL]","",IFERROR(SUMPRODUCT((nNIA=S780)*(nCUENTA=1)*(COUNTIF(CONFIG_ASIGNATURAS!$B$7:$B$27,nASIG)&gt;0)*(nNOTA))/SUMPRODUCT((nNIA=S780)*(nCUENTA=1)*(COUNTIF(CONFIG_ASIGNATURAS!$B$7:$B$27,nASIG)&gt;0)*1),"")))</f>
        <v/>
      </c>
      <c r="Z780" t="str">
        <f>IF(Y780="","",IF(Y780="[FÓRMULA MANUAL]","",IFERROR(AVERAGEIFS(nNOTA,nNIA,Y780,nCUENTA,1,nASIG,"Análisis"),"")))</f>
        <v/>
      </c>
      <c r="AA780" t="str">
        <f>IF(Y780="","",IF(Y780="[FÓRMULA MANUAL]","",IFERROR(AVERAGEIFS(nNOTA,nNIA,Y780,nCUENTA,1,nASIG,"Orquesta/Banda/Conjunto"),"")))</f>
        <v/>
      </c>
      <c r="AB780" t="str">
        <f>IF(Y780="","",IF(Y780="[FÓRMULA MANUAL]","",IFERROR(AVERAGEIFS(nNOTA,nNIA,Y780,nCUENTA,1,nASIG,"Música de Cámara"),"")))</f>
        <v/>
      </c>
      <c r="AC780" t="str">
        <f>IF(Y780="","",IF(Y780="[FÓRMULA MANUAL]","",IFERROR(SUMPRODUCT((nNIA=Y780)*(nCUENTA=1)*(COUNTIF(CONFIG_ASIGNATURAS!$B$7:$B$27,nASIG)&gt;0)*(nNOTA))/SUMPRODUCT((nNIA=Y780)*(nCUENTA=1)*(COUNTIF(CONFIG_ASIGNATURAS!$B$7:$B$27,nASIG)&gt;0)*1),"")))</f>
        <v/>
      </c>
      <c r="AF780" t="str">
        <f>IF(AE780="","",IF(AE780="[FÓRMULA MANUAL]","",IFERROR(AVERAGEIFS(nNOTA,nNIA,AE780,nCUENTA,1,nASIG,"Análisis"),"")))</f>
        <v/>
      </c>
      <c r="AG780" t="str">
        <f>IF(AE780="","",IF(AE780="[FÓRMULA MANUAL]","",IFERROR(AVERAGEIFS(nNOTA,nNIA,AE780,nCUENTA,1,nASIG,"Orquesta/Banda/Conjunto"),"")))</f>
        <v/>
      </c>
      <c r="AH780" t="str">
        <f>IF(AE780="","",IF(AE780="[FÓRMULA MANUAL]","",IFERROR(AVERAGEIFS(nNOTA,nNIA,AE780,nCUENTA,1,nASIG,"Música de Cámara"),"")))</f>
        <v/>
      </c>
      <c r="AI780" t="str">
        <f>IF(AE780="","",IF(AE780="[FÓRMULA MANUAL]","",IFERROR(SUMPRODUCT((nNIA=AE780)*(nCUENTA=1)*(COUNTIF(CONFIG_ASIGNATURAS!$B$7:$B$27,nASIG)&gt;0)*(nNOTA))/SUMPRODUCT((nNIA=AE780)*(nCUENTA=1)*(COUNTIF(CONFIG_ASIGNATURAS!$B$7:$B$27,nASIG)&gt;0)*1),"")))</f>
        <v/>
      </c>
    </row>
    <row r="781" spans="2:35" x14ac:dyDescent="0.2">
      <c r="B781" t="str">
        <f>IF(A781="","",IF(A781="[FÓRMULA MANUAL]","",IFERROR(AVERAGEIFS(nNOTA,nNIA,A781,nCUENTA,1,nASIG,"Lenguaje Musical"),"")))</f>
        <v/>
      </c>
      <c r="C781" t="str">
        <f>IF(A781="","",IF(A781="[FÓRMULA MANUAL]","",IFERROR(AVERAGEIFS(nNOTA,nNIA,A781,nCUENTA,1,nASIG,"Orquesta/Banda/Conjunto"),"")))</f>
        <v/>
      </c>
      <c r="D781" t="str">
        <f>IF(A781="","",IF(A781="[FÓRMULA MANUAL]","",IFERROR(AVERAGEIFS(nNOTA,nNIA,A781,nCUENTA,1,nASIG,"Conjunto"),"")))</f>
        <v/>
      </c>
      <c r="E781" t="str">
        <f>IF(A781="","",IF(A781="[FÓRMULA MANUAL]","",IFERROR(SUMPRODUCT((nNIA=A781)*(nCUENTA=1)*(COUNTIF(CONFIG_ASIGNATURAS!$B$7:$B$27,nASIG)&gt;0)*(nNOTA))/SUMPRODUCT((nNIA=A781)*(nCUENTA=1)*(COUNTIF(CONFIG_ASIGNATURAS!$B$7:$B$27,nASIG)&gt;0)*1),"")))</f>
        <v/>
      </c>
      <c r="H781" t="str">
        <f>IF(G781="","",IF(G781="[FÓRMULA MANUAL]","",IFERROR(AVERAGEIFS(nNOTA,nNIA,G781,nCUENTA,1,nASIG,"Lenguaje Musical"),"")))</f>
        <v/>
      </c>
      <c r="I781" t="str">
        <f>IF(G781="","",IF(G781="[FÓRMULA MANUAL]","",IFERROR(AVERAGEIFS(nNOTA,nNIA,G781,nCUENTA,1,nASIG,"Orquesta/Banda/Conjunto"),"")))</f>
        <v/>
      </c>
      <c r="J781" t="str">
        <f>IF(G781="","",IF(G781="[FÓRMULA MANUAL]","",IFERROR(AVERAGEIFS(nNOTA,nNIA,G781,nCUENTA,1,nASIG,"Conjunto"),"")))</f>
        <v/>
      </c>
      <c r="K781" t="str">
        <f>IF(G781="","",IF(G781="[FÓRMULA MANUAL]","",IFERROR(SUMPRODUCT((nNIA=G781)*(nCUENTA=1)*(COUNTIF(CONFIG_ASIGNATURAS!$B$7:$B$27,nASIG)&gt;0)*(nNOTA))/SUMPRODUCT((nNIA=G781)*(nCUENTA=1)*(COUNTIF(CONFIG_ASIGNATURAS!$B$7:$B$27,nASIG)&gt;0)*1),"")))</f>
        <v/>
      </c>
      <c r="N781" t="str">
        <f>IF(M781="","",IF(M781="[FÓRMULA MANUAL]","",IFERROR(AVERAGEIFS(nNOTA,nNIA,M781,nCUENTA,1,nASIG,"Armonía"),"")))</f>
        <v/>
      </c>
      <c r="O781" t="str">
        <f>IF(M781="","",IF(M781="[FÓRMULA MANUAL]","",IFERROR(AVERAGEIFS(nNOTA,nNIA,M781,nCUENTA,1,nASIG,"Orquesta/Banda/Conjunto"),"")))</f>
        <v/>
      </c>
      <c r="P781" t="str">
        <f>IF(M781="","",IF(M781="[FÓRMULA MANUAL]","",IFERROR(AVERAGEIFS(nNOTA,nNIA,M781,nCUENTA,1,nASIG,"Música de Cámara"),"")))</f>
        <v/>
      </c>
      <c r="Q781" t="str">
        <f>IF(M781="","",IF(M781="[FÓRMULA MANUAL]","",IFERROR(SUMPRODUCT((nNIA=M781)*(nCUENTA=1)*(COUNTIF(CONFIG_ASIGNATURAS!$B$7:$B$27,nASIG)&gt;0)*(nNOTA))/SUMPRODUCT((nNIA=M781)*(nCUENTA=1)*(COUNTIF(CONFIG_ASIGNATURAS!$B$7:$B$27,nASIG)&gt;0)*1),"")))</f>
        <v/>
      </c>
      <c r="T781" t="str">
        <f>IF(S781="","",IF(S781="[FÓRMULA MANUAL]","",IFERROR(AVERAGEIFS(nNOTA,nNIA,S781,nCUENTA,1,nASIG,"Armonía"),"")))</f>
        <v/>
      </c>
      <c r="U781" t="str">
        <f>IF(S781="","",IF(S781="[FÓRMULA MANUAL]","",IFERROR(AVERAGEIFS(nNOTA,nNIA,S781,nCUENTA,1,nASIG,"Orquesta/Banda/Conjunto"),"")))</f>
        <v/>
      </c>
      <c r="V781" t="str">
        <f>IF(S781="","",IF(S781="[FÓRMULA MANUAL]","",IFERROR(AVERAGEIFS(nNOTA,nNIA,S781,nCUENTA,1,nASIG,"Música de Cámara"),"")))</f>
        <v/>
      </c>
      <c r="W781" t="str">
        <f>IF(S781="","",IF(S781="[FÓRMULA MANUAL]","",IFERROR(SUMPRODUCT((nNIA=S781)*(nCUENTA=1)*(COUNTIF(CONFIG_ASIGNATURAS!$B$7:$B$27,nASIG)&gt;0)*(nNOTA))/SUMPRODUCT((nNIA=S781)*(nCUENTA=1)*(COUNTIF(CONFIG_ASIGNATURAS!$B$7:$B$27,nASIG)&gt;0)*1),"")))</f>
        <v/>
      </c>
      <c r="Z781" t="str">
        <f>IF(Y781="","",IF(Y781="[FÓRMULA MANUAL]","",IFERROR(AVERAGEIFS(nNOTA,nNIA,Y781,nCUENTA,1,nASIG,"Análisis"),"")))</f>
        <v/>
      </c>
      <c r="AA781" t="str">
        <f>IF(Y781="","",IF(Y781="[FÓRMULA MANUAL]","",IFERROR(AVERAGEIFS(nNOTA,nNIA,Y781,nCUENTA,1,nASIG,"Orquesta/Banda/Conjunto"),"")))</f>
        <v/>
      </c>
      <c r="AB781" t="str">
        <f>IF(Y781="","",IF(Y781="[FÓRMULA MANUAL]","",IFERROR(AVERAGEIFS(nNOTA,nNIA,Y781,nCUENTA,1,nASIG,"Música de Cámara"),"")))</f>
        <v/>
      </c>
      <c r="AC781" t="str">
        <f>IF(Y781="","",IF(Y781="[FÓRMULA MANUAL]","",IFERROR(SUMPRODUCT((nNIA=Y781)*(nCUENTA=1)*(COUNTIF(CONFIG_ASIGNATURAS!$B$7:$B$27,nASIG)&gt;0)*(nNOTA))/SUMPRODUCT((nNIA=Y781)*(nCUENTA=1)*(COUNTIF(CONFIG_ASIGNATURAS!$B$7:$B$27,nASIG)&gt;0)*1),"")))</f>
        <v/>
      </c>
      <c r="AF781" t="str">
        <f>IF(AE781="","",IF(AE781="[FÓRMULA MANUAL]","",IFERROR(AVERAGEIFS(nNOTA,nNIA,AE781,nCUENTA,1,nASIG,"Análisis"),"")))</f>
        <v/>
      </c>
      <c r="AG781" t="str">
        <f>IF(AE781="","",IF(AE781="[FÓRMULA MANUAL]","",IFERROR(AVERAGEIFS(nNOTA,nNIA,AE781,nCUENTA,1,nASIG,"Orquesta/Banda/Conjunto"),"")))</f>
        <v/>
      </c>
      <c r="AH781" t="str">
        <f>IF(AE781="","",IF(AE781="[FÓRMULA MANUAL]","",IFERROR(AVERAGEIFS(nNOTA,nNIA,AE781,nCUENTA,1,nASIG,"Música de Cámara"),"")))</f>
        <v/>
      </c>
      <c r="AI781" t="str">
        <f>IF(AE781="","",IF(AE781="[FÓRMULA MANUAL]","",IFERROR(SUMPRODUCT((nNIA=AE781)*(nCUENTA=1)*(COUNTIF(CONFIG_ASIGNATURAS!$B$7:$B$27,nASIG)&gt;0)*(nNOTA))/SUMPRODUCT((nNIA=AE781)*(nCUENTA=1)*(COUNTIF(CONFIG_ASIGNATURAS!$B$7:$B$27,nASIG)&gt;0)*1),"")))</f>
        <v/>
      </c>
    </row>
    <row r="782" spans="2:35" x14ac:dyDescent="0.2">
      <c r="B782" t="str">
        <f>IF(A782="","",IF(A782="[FÓRMULA MANUAL]","",IFERROR(AVERAGEIFS(nNOTA,nNIA,A782,nCUENTA,1,nASIG,"Lenguaje Musical"),"")))</f>
        <v/>
      </c>
      <c r="C782" t="str">
        <f>IF(A782="","",IF(A782="[FÓRMULA MANUAL]","",IFERROR(AVERAGEIFS(nNOTA,nNIA,A782,nCUENTA,1,nASIG,"Orquesta/Banda/Conjunto"),"")))</f>
        <v/>
      </c>
      <c r="D782" t="str">
        <f>IF(A782="","",IF(A782="[FÓRMULA MANUAL]","",IFERROR(AVERAGEIFS(nNOTA,nNIA,A782,nCUENTA,1,nASIG,"Conjunto"),"")))</f>
        <v/>
      </c>
      <c r="E782" t="str">
        <f>IF(A782="","",IF(A782="[FÓRMULA MANUAL]","",IFERROR(SUMPRODUCT((nNIA=A782)*(nCUENTA=1)*(COUNTIF(CONFIG_ASIGNATURAS!$B$7:$B$27,nASIG)&gt;0)*(nNOTA))/SUMPRODUCT((nNIA=A782)*(nCUENTA=1)*(COUNTIF(CONFIG_ASIGNATURAS!$B$7:$B$27,nASIG)&gt;0)*1),"")))</f>
        <v/>
      </c>
      <c r="H782" t="str">
        <f>IF(G782="","",IF(G782="[FÓRMULA MANUAL]","",IFERROR(AVERAGEIFS(nNOTA,nNIA,G782,nCUENTA,1,nASIG,"Lenguaje Musical"),"")))</f>
        <v/>
      </c>
      <c r="I782" t="str">
        <f>IF(G782="","",IF(G782="[FÓRMULA MANUAL]","",IFERROR(AVERAGEIFS(nNOTA,nNIA,G782,nCUENTA,1,nASIG,"Orquesta/Banda/Conjunto"),"")))</f>
        <v/>
      </c>
      <c r="J782" t="str">
        <f>IF(G782="","",IF(G782="[FÓRMULA MANUAL]","",IFERROR(AVERAGEIFS(nNOTA,nNIA,G782,nCUENTA,1,nASIG,"Conjunto"),"")))</f>
        <v/>
      </c>
      <c r="K782" t="str">
        <f>IF(G782="","",IF(G782="[FÓRMULA MANUAL]","",IFERROR(SUMPRODUCT((nNIA=G782)*(nCUENTA=1)*(COUNTIF(CONFIG_ASIGNATURAS!$B$7:$B$27,nASIG)&gt;0)*(nNOTA))/SUMPRODUCT((nNIA=G782)*(nCUENTA=1)*(COUNTIF(CONFIG_ASIGNATURAS!$B$7:$B$27,nASIG)&gt;0)*1),"")))</f>
        <v/>
      </c>
      <c r="N782" t="str">
        <f>IF(M782="","",IF(M782="[FÓRMULA MANUAL]","",IFERROR(AVERAGEIFS(nNOTA,nNIA,M782,nCUENTA,1,nASIG,"Armonía"),"")))</f>
        <v/>
      </c>
      <c r="O782" t="str">
        <f>IF(M782="","",IF(M782="[FÓRMULA MANUAL]","",IFERROR(AVERAGEIFS(nNOTA,nNIA,M782,nCUENTA,1,nASIG,"Orquesta/Banda/Conjunto"),"")))</f>
        <v/>
      </c>
      <c r="P782" t="str">
        <f>IF(M782="","",IF(M782="[FÓRMULA MANUAL]","",IFERROR(AVERAGEIFS(nNOTA,nNIA,M782,nCUENTA,1,nASIG,"Música de Cámara"),"")))</f>
        <v/>
      </c>
      <c r="Q782" t="str">
        <f>IF(M782="","",IF(M782="[FÓRMULA MANUAL]","",IFERROR(SUMPRODUCT((nNIA=M782)*(nCUENTA=1)*(COUNTIF(CONFIG_ASIGNATURAS!$B$7:$B$27,nASIG)&gt;0)*(nNOTA))/SUMPRODUCT((nNIA=M782)*(nCUENTA=1)*(COUNTIF(CONFIG_ASIGNATURAS!$B$7:$B$27,nASIG)&gt;0)*1),"")))</f>
        <v/>
      </c>
      <c r="T782" t="str">
        <f>IF(S782="","",IF(S782="[FÓRMULA MANUAL]","",IFERROR(AVERAGEIFS(nNOTA,nNIA,S782,nCUENTA,1,nASIG,"Armonía"),"")))</f>
        <v/>
      </c>
      <c r="U782" t="str">
        <f>IF(S782="","",IF(S782="[FÓRMULA MANUAL]","",IFERROR(AVERAGEIFS(nNOTA,nNIA,S782,nCUENTA,1,nASIG,"Orquesta/Banda/Conjunto"),"")))</f>
        <v/>
      </c>
      <c r="V782" t="str">
        <f>IF(S782="","",IF(S782="[FÓRMULA MANUAL]","",IFERROR(AVERAGEIFS(nNOTA,nNIA,S782,nCUENTA,1,nASIG,"Música de Cámara"),"")))</f>
        <v/>
      </c>
      <c r="W782" t="str">
        <f>IF(S782="","",IF(S782="[FÓRMULA MANUAL]","",IFERROR(SUMPRODUCT((nNIA=S782)*(nCUENTA=1)*(COUNTIF(CONFIG_ASIGNATURAS!$B$7:$B$27,nASIG)&gt;0)*(nNOTA))/SUMPRODUCT((nNIA=S782)*(nCUENTA=1)*(COUNTIF(CONFIG_ASIGNATURAS!$B$7:$B$27,nASIG)&gt;0)*1),"")))</f>
        <v/>
      </c>
      <c r="Z782" t="str">
        <f>IF(Y782="","",IF(Y782="[FÓRMULA MANUAL]","",IFERROR(AVERAGEIFS(nNOTA,nNIA,Y782,nCUENTA,1,nASIG,"Análisis"),"")))</f>
        <v/>
      </c>
      <c r="AA782" t="str">
        <f>IF(Y782="","",IF(Y782="[FÓRMULA MANUAL]","",IFERROR(AVERAGEIFS(nNOTA,nNIA,Y782,nCUENTA,1,nASIG,"Orquesta/Banda/Conjunto"),"")))</f>
        <v/>
      </c>
      <c r="AB782" t="str">
        <f>IF(Y782="","",IF(Y782="[FÓRMULA MANUAL]","",IFERROR(AVERAGEIFS(nNOTA,nNIA,Y782,nCUENTA,1,nASIG,"Música de Cámara"),"")))</f>
        <v/>
      </c>
      <c r="AC782" t="str">
        <f>IF(Y782="","",IF(Y782="[FÓRMULA MANUAL]","",IFERROR(SUMPRODUCT((nNIA=Y782)*(nCUENTA=1)*(COUNTIF(CONFIG_ASIGNATURAS!$B$7:$B$27,nASIG)&gt;0)*(nNOTA))/SUMPRODUCT((nNIA=Y782)*(nCUENTA=1)*(COUNTIF(CONFIG_ASIGNATURAS!$B$7:$B$27,nASIG)&gt;0)*1),"")))</f>
        <v/>
      </c>
      <c r="AF782" t="str">
        <f>IF(AE782="","",IF(AE782="[FÓRMULA MANUAL]","",IFERROR(AVERAGEIFS(nNOTA,nNIA,AE782,nCUENTA,1,nASIG,"Análisis"),"")))</f>
        <v/>
      </c>
      <c r="AG782" t="str">
        <f>IF(AE782="","",IF(AE782="[FÓRMULA MANUAL]","",IFERROR(AVERAGEIFS(nNOTA,nNIA,AE782,nCUENTA,1,nASIG,"Orquesta/Banda/Conjunto"),"")))</f>
        <v/>
      </c>
      <c r="AH782" t="str">
        <f>IF(AE782="","",IF(AE782="[FÓRMULA MANUAL]","",IFERROR(AVERAGEIFS(nNOTA,nNIA,AE782,nCUENTA,1,nASIG,"Música de Cámara"),"")))</f>
        <v/>
      </c>
      <c r="AI782" t="str">
        <f>IF(AE782="","",IF(AE782="[FÓRMULA MANUAL]","",IFERROR(SUMPRODUCT((nNIA=AE782)*(nCUENTA=1)*(COUNTIF(CONFIG_ASIGNATURAS!$B$7:$B$27,nASIG)&gt;0)*(nNOTA))/SUMPRODUCT((nNIA=AE782)*(nCUENTA=1)*(COUNTIF(CONFIG_ASIGNATURAS!$B$7:$B$27,nASIG)&gt;0)*1),"")))</f>
        <v/>
      </c>
    </row>
    <row r="783" spans="2:35" x14ac:dyDescent="0.2">
      <c r="B783" t="str">
        <f>IF(A783="","",IF(A783="[FÓRMULA MANUAL]","",IFERROR(AVERAGEIFS(nNOTA,nNIA,A783,nCUENTA,1,nASIG,"Lenguaje Musical"),"")))</f>
        <v/>
      </c>
      <c r="C783" t="str">
        <f>IF(A783="","",IF(A783="[FÓRMULA MANUAL]","",IFERROR(AVERAGEIFS(nNOTA,nNIA,A783,nCUENTA,1,nASIG,"Orquesta/Banda/Conjunto"),"")))</f>
        <v/>
      </c>
      <c r="D783" t="str">
        <f>IF(A783="","",IF(A783="[FÓRMULA MANUAL]","",IFERROR(AVERAGEIFS(nNOTA,nNIA,A783,nCUENTA,1,nASIG,"Conjunto"),"")))</f>
        <v/>
      </c>
      <c r="E783" t="str">
        <f>IF(A783="","",IF(A783="[FÓRMULA MANUAL]","",IFERROR(SUMPRODUCT((nNIA=A783)*(nCUENTA=1)*(COUNTIF(CONFIG_ASIGNATURAS!$B$7:$B$27,nASIG)&gt;0)*(nNOTA))/SUMPRODUCT((nNIA=A783)*(nCUENTA=1)*(COUNTIF(CONFIG_ASIGNATURAS!$B$7:$B$27,nASIG)&gt;0)*1),"")))</f>
        <v/>
      </c>
      <c r="H783" t="str">
        <f>IF(G783="","",IF(G783="[FÓRMULA MANUAL]","",IFERROR(AVERAGEIFS(nNOTA,nNIA,G783,nCUENTA,1,nASIG,"Lenguaje Musical"),"")))</f>
        <v/>
      </c>
      <c r="I783" t="str">
        <f>IF(G783="","",IF(G783="[FÓRMULA MANUAL]","",IFERROR(AVERAGEIFS(nNOTA,nNIA,G783,nCUENTA,1,nASIG,"Orquesta/Banda/Conjunto"),"")))</f>
        <v/>
      </c>
      <c r="J783" t="str">
        <f>IF(G783="","",IF(G783="[FÓRMULA MANUAL]","",IFERROR(AVERAGEIFS(nNOTA,nNIA,G783,nCUENTA,1,nASIG,"Conjunto"),"")))</f>
        <v/>
      </c>
      <c r="K783" t="str">
        <f>IF(G783="","",IF(G783="[FÓRMULA MANUAL]","",IFERROR(SUMPRODUCT((nNIA=G783)*(nCUENTA=1)*(COUNTIF(CONFIG_ASIGNATURAS!$B$7:$B$27,nASIG)&gt;0)*(nNOTA))/SUMPRODUCT((nNIA=G783)*(nCUENTA=1)*(COUNTIF(CONFIG_ASIGNATURAS!$B$7:$B$27,nASIG)&gt;0)*1),"")))</f>
        <v/>
      </c>
      <c r="N783" t="str">
        <f>IF(M783="","",IF(M783="[FÓRMULA MANUAL]","",IFERROR(AVERAGEIFS(nNOTA,nNIA,M783,nCUENTA,1,nASIG,"Armonía"),"")))</f>
        <v/>
      </c>
      <c r="O783" t="str">
        <f>IF(M783="","",IF(M783="[FÓRMULA MANUAL]","",IFERROR(AVERAGEIFS(nNOTA,nNIA,M783,nCUENTA,1,nASIG,"Orquesta/Banda/Conjunto"),"")))</f>
        <v/>
      </c>
      <c r="P783" t="str">
        <f>IF(M783="","",IF(M783="[FÓRMULA MANUAL]","",IFERROR(AVERAGEIFS(nNOTA,nNIA,M783,nCUENTA,1,nASIG,"Música de Cámara"),"")))</f>
        <v/>
      </c>
      <c r="Q783" t="str">
        <f>IF(M783="","",IF(M783="[FÓRMULA MANUAL]","",IFERROR(SUMPRODUCT((nNIA=M783)*(nCUENTA=1)*(COUNTIF(CONFIG_ASIGNATURAS!$B$7:$B$27,nASIG)&gt;0)*(nNOTA))/SUMPRODUCT((nNIA=M783)*(nCUENTA=1)*(COUNTIF(CONFIG_ASIGNATURAS!$B$7:$B$27,nASIG)&gt;0)*1),"")))</f>
        <v/>
      </c>
      <c r="T783" t="str">
        <f>IF(S783="","",IF(S783="[FÓRMULA MANUAL]","",IFERROR(AVERAGEIFS(nNOTA,nNIA,S783,nCUENTA,1,nASIG,"Armonía"),"")))</f>
        <v/>
      </c>
      <c r="U783" t="str">
        <f>IF(S783="","",IF(S783="[FÓRMULA MANUAL]","",IFERROR(AVERAGEIFS(nNOTA,nNIA,S783,nCUENTA,1,nASIG,"Orquesta/Banda/Conjunto"),"")))</f>
        <v/>
      </c>
      <c r="V783" t="str">
        <f>IF(S783="","",IF(S783="[FÓRMULA MANUAL]","",IFERROR(AVERAGEIFS(nNOTA,nNIA,S783,nCUENTA,1,nASIG,"Música de Cámara"),"")))</f>
        <v/>
      </c>
      <c r="W783" t="str">
        <f>IF(S783="","",IF(S783="[FÓRMULA MANUAL]","",IFERROR(SUMPRODUCT((nNIA=S783)*(nCUENTA=1)*(COUNTIF(CONFIG_ASIGNATURAS!$B$7:$B$27,nASIG)&gt;0)*(nNOTA))/SUMPRODUCT((nNIA=S783)*(nCUENTA=1)*(COUNTIF(CONFIG_ASIGNATURAS!$B$7:$B$27,nASIG)&gt;0)*1),"")))</f>
        <v/>
      </c>
      <c r="Z783" t="str">
        <f>IF(Y783="","",IF(Y783="[FÓRMULA MANUAL]","",IFERROR(AVERAGEIFS(nNOTA,nNIA,Y783,nCUENTA,1,nASIG,"Análisis"),"")))</f>
        <v/>
      </c>
      <c r="AA783" t="str">
        <f>IF(Y783="","",IF(Y783="[FÓRMULA MANUAL]","",IFERROR(AVERAGEIFS(nNOTA,nNIA,Y783,nCUENTA,1,nASIG,"Orquesta/Banda/Conjunto"),"")))</f>
        <v/>
      </c>
      <c r="AB783" t="str">
        <f>IF(Y783="","",IF(Y783="[FÓRMULA MANUAL]","",IFERROR(AVERAGEIFS(nNOTA,nNIA,Y783,nCUENTA,1,nASIG,"Música de Cámara"),"")))</f>
        <v/>
      </c>
      <c r="AC783" t="str">
        <f>IF(Y783="","",IF(Y783="[FÓRMULA MANUAL]","",IFERROR(SUMPRODUCT((nNIA=Y783)*(nCUENTA=1)*(COUNTIF(CONFIG_ASIGNATURAS!$B$7:$B$27,nASIG)&gt;0)*(nNOTA))/SUMPRODUCT((nNIA=Y783)*(nCUENTA=1)*(COUNTIF(CONFIG_ASIGNATURAS!$B$7:$B$27,nASIG)&gt;0)*1),"")))</f>
        <v/>
      </c>
      <c r="AF783" t="str">
        <f>IF(AE783="","",IF(AE783="[FÓRMULA MANUAL]","",IFERROR(AVERAGEIFS(nNOTA,nNIA,AE783,nCUENTA,1,nASIG,"Análisis"),"")))</f>
        <v/>
      </c>
      <c r="AG783" t="str">
        <f>IF(AE783="","",IF(AE783="[FÓRMULA MANUAL]","",IFERROR(AVERAGEIFS(nNOTA,nNIA,AE783,nCUENTA,1,nASIG,"Orquesta/Banda/Conjunto"),"")))</f>
        <v/>
      </c>
      <c r="AH783" t="str">
        <f>IF(AE783="","",IF(AE783="[FÓRMULA MANUAL]","",IFERROR(AVERAGEIFS(nNOTA,nNIA,AE783,nCUENTA,1,nASIG,"Música de Cámara"),"")))</f>
        <v/>
      </c>
      <c r="AI783" t="str">
        <f>IF(AE783="","",IF(AE783="[FÓRMULA MANUAL]","",IFERROR(SUMPRODUCT((nNIA=AE783)*(nCUENTA=1)*(COUNTIF(CONFIG_ASIGNATURAS!$B$7:$B$27,nASIG)&gt;0)*(nNOTA))/SUMPRODUCT((nNIA=AE783)*(nCUENTA=1)*(COUNTIF(CONFIG_ASIGNATURAS!$B$7:$B$27,nASIG)&gt;0)*1),"")))</f>
        <v/>
      </c>
    </row>
    <row r="784" spans="2:35" x14ac:dyDescent="0.2">
      <c r="B784" t="str">
        <f>IF(A784="","",IF(A784="[FÓRMULA MANUAL]","",IFERROR(AVERAGEIFS(nNOTA,nNIA,A784,nCUENTA,1,nASIG,"Lenguaje Musical"),"")))</f>
        <v/>
      </c>
      <c r="C784" t="str">
        <f>IF(A784="","",IF(A784="[FÓRMULA MANUAL]","",IFERROR(AVERAGEIFS(nNOTA,nNIA,A784,nCUENTA,1,nASIG,"Orquesta/Banda/Conjunto"),"")))</f>
        <v/>
      </c>
      <c r="D784" t="str">
        <f>IF(A784="","",IF(A784="[FÓRMULA MANUAL]","",IFERROR(AVERAGEIFS(nNOTA,nNIA,A784,nCUENTA,1,nASIG,"Conjunto"),"")))</f>
        <v/>
      </c>
      <c r="E784" t="str">
        <f>IF(A784="","",IF(A784="[FÓRMULA MANUAL]","",IFERROR(SUMPRODUCT((nNIA=A784)*(nCUENTA=1)*(COUNTIF(CONFIG_ASIGNATURAS!$B$7:$B$27,nASIG)&gt;0)*(nNOTA))/SUMPRODUCT((nNIA=A784)*(nCUENTA=1)*(COUNTIF(CONFIG_ASIGNATURAS!$B$7:$B$27,nASIG)&gt;0)*1),"")))</f>
        <v/>
      </c>
      <c r="H784" t="str">
        <f>IF(G784="","",IF(G784="[FÓRMULA MANUAL]","",IFERROR(AVERAGEIFS(nNOTA,nNIA,G784,nCUENTA,1,nASIG,"Lenguaje Musical"),"")))</f>
        <v/>
      </c>
      <c r="I784" t="str">
        <f>IF(G784="","",IF(G784="[FÓRMULA MANUAL]","",IFERROR(AVERAGEIFS(nNOTA,nNIA,G784,nCUENTA,1,nASIG,"Orquesta/Banda/Conjunto"),"")))</f>
        <v/>
      </c>
      <c r="J784" t="str">
        <f>IF(G784="","",IF(G784="[FÓRMULA MANUAL]","",IFERROR(AVERAGEIFS(nNOTA,nNIA,G784,nCUENTA,1,nASIG,"Conjunto"),"")))</f>
        <v/>
      </c>
      <c r="K784" t="str">
        <f>IF(G784="","",IF(G784="[FÓRMULA MANUAL]","",IFERROR(SUMPRODUCT((nNIA=G784)*(nCUENTA=1)*(COUNTIF(CONFIG_ASIGNATURAS!$B$7:$B$27,nASIG)&gt;0)*(nNOTA))/SUMPRODUCT((nNIA=G784)*(nCUENTA=1)*(COUNTIF(CONFIG_ASIGNATURAS!$B$7:$B$27,nASIG)&gt;0)*1),"")))</f>
        <v/>
      </c>
      <c r="N784" t="str">
        <f>IF(M784="","",IF(M784="[FÓRMULA MANUAL]","",IFERROR(AVERAGEIFS(nNOTA,nNIA,M784,nCUENTA,1,nASIG,"Armonía"),"")))</f>
        <v/>
      </c>
      <c r="O784" t="str">
        <f>IF(M784="","",IF(M784="[FÓRMULA MANUAL]","",IFERROR(AVERAGEIFS(nNOTA,nNIA,M784,nCUENTA,1,nASIG,"Orquesta/Banda/Conjunto"),"")))</f>
        <v/>
      </c>
      <c r="P784" t="str">
        <f>IF(M784="","",IF(M784="[FÓRMULA MANUAL]","",IFERROR(AVERAGEIFS(nNOTA,nNIA,M784,nCUENTA,1,nASIG,"Música de Cámara"),"")))</f>
        <v/>
      </c>
      <c r="Q784" t="str">
        <f>IF(M784="","",IF(M784="[FÓRMULA MANUAL]","",IFERROR(SUMPRODUCT((nNIA=M784)*(nCUENTA=1)*(COUNTIF(CONFIG_ASIGNATURAS!$B$7:$B$27,nASIG)&gt;0)*(nNOTA))/SUMPRODUCT((nNIA=M784)*(nCUENTA=1)*(COUNTIF(CONFIG_ASIGNATURAS!$B$7:$B$27,nASIG)&gt;0)*1),"")))</f>
        <v/>
      </c>
      <c r="T784" t="str">
        <f>IF(S784="","",IF(S784="[FÓRMULA MANUAL]","",IFERROR(AVERAGEIFS(nNOTA,nNIA,S784,nCUENTA,1,nASIG,"Armonía"),"")))</f>
        <v/>
      </c>
      <c r="U784" t="str">
        <f>IF(S784="","",IF(S784="[FÓRMULA MANUAL]","",IFERROR(AVERAGEIFS(nNOTA,nNIA,S784,nCUENTA,1,nASIG,"Orquesta/Banda/Conjunto"),"")))</f>
        <v/>
      </c>
      <c r="V784" t="str">
        <f>IF(S784="","",IF(S784="[FÓRMULA MANUAL]","",IFERROR(AVERAGEIFS(nNOTA,nNIA,S784,nCUENTA,1,nASIG,"Música de Cámara"),"")))</f>
        <v/>
      </c>
      <c r="W784" t="str">
        <f>IF(S784="","",IF(S784="[FÓRMULA MANUAL]","",IFERROR(SUMPRODUCT((nNIA=S784)*(nCUENTA=1)*(COUNTIF(CONFIG_ASIGNATURAS!$B$7:$B$27,nASIG)&gt;0)*(nNOTA))/SUMPRODUCT((nNIA=S784)*(nCUENTA=1)*(COUNTIF(CONFIG_ASIGNATURAS!$B$7:$B$27,nASIG)&gt;0)*1),"")))</f>
        <v/>
      </c>
      <c r="Z784" t="str">
        <f>IF(Y784="","",IF(Y784="[FÓRMULA MANUAL]","",IFERROR(AVERAGEIFS(nNOTA,nNIA,Y784,nCUENTA,1,nASIG,"Análisis"),"")))</f>
        <v/>
      </c>
      <c r="AA784" t="str">
        <f>IF(Y784="","",IF(Y784="[FÓRMULA MANUAL]","",IFERROR(AVERAGEIFS(nNOTA,nNIA,Y784,nCUENTA,1,nASIG,"Orquesta/Banda/Conjunto"),"")))</f>
        <v/>
      </c>
      <c r="AB784" t="str">
        <f>IF(Y784="","",IF(Y784="[FÓRMULA MANUAL]","",IFERROR(AVERAGEIFS(nNOTA,nNIA,Y784,nCUENTA,1,nASIG,"Música de Cámara"),"")))</f>
        <v/>
      </c>
      <c r="AC784" t="str">
        <f>IF(Y784="","",IF(Y784="[FÓRMULA MANUAL]","",IFERROR(SUMPRODUCT((nNIA=Y784)*(nCUENTA=1)*(COUNTIF(CONFIG_ASIGNATURAS!$B$7:$B$27,nASIG)&gt;0)*(nNOTA))/SUMPRODUCT((nNIA=Y784)*(nCUENTA=1)*(COUNTIF(CONFIG_ASIGNATURAS!$B$7:$B$27,nASIG)&gt;0)*1),"")))</f>
        <v/>
      </c>
      <c r="AF784" t="str">
        <f>IF(AE784="","",IF(AE784="[FÓRMULA MANUAL]","",IFERROR(AVERAGEIFS(nNOTA,nNIA,AE784,nCUENTA,1,nASIG,"Análisis"),"")))</f>
        <v/>
      </c>
      <c r="AG784" t="str">
        <f>IF(AE784="","",IF(AE784="[FÓRMULA MANUAL]","",IFERROR(AVERAGEIFS(nNOTA,nNIA,AE784,nCUENTA,1,nASIG,"Orquesta/Banda/Conjunto"),"")))</f>
        <v/>
      </c>
      <c r="AH784" t="str">
        <f>IF(AE784="","",IF(AE784="[FÓRMULA MANUAL]","",IFERROR(AVERAGEIFS(nNOTA,nNIA,AE784,nCUENTA,1,nASIG,"Música de Cámara"),"")))</f>
        <v/>
      </c>
      <c r="AI784" t="str">
        <f>IF(AE784="","",IF(AE784="[FÓRMULA MANUAL]","",IFERROR(SUMPRODUCT((nNIA=AE784)*(nCUENTA=1)*(COUNTIF(CONFIG_ASIGNATURAS!$B$7:$B$27,nASIG)&gt;0)*(nNOTA))/SUMPRODUCT((nNIA=AE784)*(nCUENTA=1)*(COUNTIF(CONFIG_ASIGNATURAS!$B$7:$B$27,nASIG)&gt;0)*1),"")))</f>
        <v/>
      </c>
    </row>
    <row r="785" spans="2:35" x14ac:dyDescent="0.2">
      <c r="B785" t="str">
        <f>IF(A785="","",IF(A785="[FÓRMULA MANUAL]","",IFERROR(AVERAGEIFS(nNOTA,nNIA,A785,nCUENTA,1,nASIG,"Lenguaje Musical"),"")))</f>
        <v/>
      </c>
      <c r="C785" t="str">
        <f>IF(A785="","",IF(A785="[FÓRMULA MANUAL]","",IFERROR(AVERAGEIFS(nNOTA,nNIA,A785,nCUENTA,1,nASIG,"Orquesta/Banda/Conjunto"),"")))</f>
        <v/>
      </c>
      <c r="D785" t="str">
        <f>IF(A785="","",IF(A785="[FÓRMULA MANUAL]","",IFERROR(AVERAGEIFS(nNOTA,nNIA,A785,nCUENTA,1,nASIG,"Conjunto"),"")))</f>
        <v/>
      </c>
      <c r="E785" t="str">
        <f>IF(A785="","",IF(A785="[FÓRMULA MANUAL]","",IFERROR(SUMPRODUCT((nNIA=A785)*(nCUENTA=1)*(COUNTIF(CONFIG_ASIGNATURAS!$B$7:$B$27,nASIG)&gt;0)*(nNOTA))/SUMPRODUCT((nNIA=A785)*(nCUENTA=1)*(COUNTIF(CONFIG_ASIGNATURAS!$B$7:$B$27,nASIG)&gt;0)*1),"")))</f>
        <v/>
      </c>
      <c r="H785" t="str">
        <f>IF(G785="","",IF(G785="[FÓRMULA MANUAL]","",IFERROR(AVERAGEIFS(nNOTA,nNIA,G785,nCUENTA,1,nASIG,"Lenguaje Musical"),"")))</f>
        <v/>
      </c>
      <c r="I785" t="str">
        <f>IF(G785="","",IF(G785="[FÓRMULA MANUAL]","",IFERROR(AVERAGEIFS(nNOTA,nNIA,G785,nCUENTA,1,nASIG,"Orquesta/Banda/Conjunto"),"")))</f>
        <v/>
      </c>
      <c r="J785" t="str">
        <f>IF(G785="","",IF(G785="[FÓRMULA MANUAL]","",IFERROR(AVERAGEIFS(nNOTA,nNIA,G785,nCUENTA,1,nASIG,"Conjunto"),"")))</f>
        <v/>
      </c>
      <c r="K785" t="str">
        <f>IF(G785="","",IF(G785="[FÓRMULA MANUAL]","",IFERROR(SUMPRODUCT((nNIA=G785)*(nCUENTA=1)*(COUNTIF(CONFIG_ASIGNATURAS!$B$7:$B$27,nASIG)&gt;0)*(nNOTA))/SUMPRODUCT((nNIA=G785)*(nCUENTA=1)*(COUNTIF(CONFIG_ASIGNATURAS!$B$7:$B$27,nASIG)&gt;0)*1),"")))</f>
        <v/>
      </c>
      <c r="N785" t="str">
        <f>IF(M785="","",IF(M785="[FÓRMULA MANUAL]","",IFERROR(AVERAGEIFS(nNOTA,nNIA,M785,nCUENTA,1,nASIG,"Armonía"),"")))</f>
        <v/>
      </c>
      <c r="O785" t="str">
        <f>IF(M785="","",IF(M785="[FÓRMULA MANUAL]","",IFERROR(AVERAGEIFS(nNOTA,nNIA,M785,nCUENTA,1,nASIG,"Orquesta/Banda/Conjunto"),"")))</f>
        <v/>
      </c>
      <c r="P785" t="str">
        <f>IF(M785="","",IF(M785="[FÓRMULA MANUAL]","",IFERROR(AVERAGEIFS(nNOTA,nNIA,M785,nCUENTA,1,nASIG,"Música de Cámara"),"")))</f>
        <v/>
      </c>
      <c r="Q785" t="str">
        <f>IF(M785="","",IF(M785="[FÓRMULA MANUAL]","",IFERROR(SUMPRODUCT((nNIA=M785)*(nCUENTA=1)*(COUNTIF(CONFIG_ASIGNATURAS!$B$7:$B$27,nASIG)&gt;0)*(nNOTA))/SUMPRODUCT((nNIA=M785)*(nCUENTA=1)*(COUNTIF(CONFIG_ASIGNATURAS!$B$7:$B$27,nASIG)&gt;0)*1),"")))</f>
        <v/>
      </c>
      <c r="T785" t="str">
        <f>IF(S785="","",IF(S785="[FÓRMULA MANUAL]","",IFERROR(AVERAGEIFS(nNOTA,nNIA,S785,nCUENTA,1,nASIG,"Armonía"),"")))</f>
        <v/>
      </c>
      <c r="U785" t="str">
        <f>IF(S785="","",IF(S785="[FÓRMULA MANUAL]","",IFERROR(AVERAGEIFS(nNOTA,nNIA,S785,nCUENTA,1,nASIG,"Orquesta/Banda/Conjunto"),"")))</f>
        <v/>
      </c>
      <c r="V785" t="str">
        <f>IF(S785="","",IF(S785="[FÓRMULA MANUAL]","",IFERROR(AVERAGEIFS(nNOTA,nNIA,S785,nCUENTA,1,nASIG,"Música de Cámara"),"")))</f>
        <v/>
      </c>
      <c r="W785" t="str">
        <f>IF(S785="","",IF(S785="[FÓRMULA MANUAL]","",IFERROR(SUMPRODUCT((nNIA=S785)*(nCUENTA=1)*(COUNTIF(CONFIG_ASIGNATURAS!$B$7:$B$27,nASIG)&gt;0)*(nNOTA))/SUMPRODUCT((nNIA=S785)*(nCUENTA=1)*(COUNTIF(CONFIG_ASIGNATURAS!$B$7:$B$27,nASIG)&gt;0)*1),"")))</f>
        <v/>
      </c>
      <c r="Z785" t="str">
        <f>IF(Y785="","",IF(Y785="[FÓRMULA MANUAL]","",IFERROR(AVERAGEIFS(nNOTA,nNIA,Y785,nCUENTA,1,nASIG,"Análisis"),"")))</f>
        <v/>
      </c>
      <c r="AA785" t="str">
        <f>IF(Y785="","",IF(Y785="[FÓRMULA MANUAL]","",IFERROR(AVERAGEIFS(nNOTA,nNIA,Y785,nCUENTA,1,nASIG,"Orquesta/Banda/Conjunto"),"")))</f>
        <v/>
      </c>
      <c r="AB785" t="str">
        <f>IF(Y785="","",IF(Y785="[FÓRMULA MANUAL]","",IFERROR(AVERAGEIFS(nNOTA,nNIA,Y785,nCUENTA,1,nASIG,"Música de Cámara"),"")))</f>
        <v/>
      </c>
      <c r="AC785" t="str">
        <f>IF(Y785="","",IF(Y785="[FÓRMULA MANUAL]","",IFERROR(SUMPRODUCT((nNIA=Y785)*(nCUENTA=1)*(COUNTIF(CONFIG_ASIGNATURAS!$B$7:$B$27,nASIG)&gt;0)*(nNOTA))/SUMPRODUCT((nNIA=Y785)*(nCUENTA=1)*(COUNTIF(CONFIG_ASIGNATURAS!$B$7:$B$27,nASIG)&gt;0)*1),"")))</f>
        <v/>
      </c>
      <c r="AF785" t="str">
        <f>IF(AE785="","",IF(AE785="[FÓRMULA MANUAL]","",IFERROR(AVERAGEIFS(nNOTA,nNIA,AE785,nCUENTA,1,nASIG,"Análisis"),"")))</f>
        <v/>
      </c>
      <c r="AG785" t="str">
        <f>IF(AE785="","",IF(AE785="[FÓRMULA MANUAL]","",IFERROR(AVERAGEIFS(nNOTA,nNIA,AE785,nCUENTA,1,nASIG,"Orquesta/Banda/Conjunto"),"")))</f>
        <v/>
      </c>
      <c r="AH785" t="str">
        <f>IF(AE785="","",IF(AE785="[FÓRMULA MANUAL]","",IFERROR(AVERAGEIFS(nNOTA,nNIA,AE785,nCUENTA,1,nASIG,"Música de Cámara"),"")))</f>
        <v/>
      </c>
      <c r="AI785" t="str">
        <f>IF(AE785="","",IF(AE785="[FÓRMULA MANUAL]","",IFERROR(SUMPRODUCT((nNIA=AE785)*(nCUENTA=1)*(COUNTIF(CONFIG_ASIGNATURAS!$B$7:$B$27,nASIG)&gt;0)*(nNOTA))/SUMPRODUCT((nNIA=AE785)*(nCUENTA=1)*(COUNTIF(CONFIG_ASIGNATURAS!$B$7:$B$27,nASIG)&gt;0)*1),"")))</f>
        <v/>
      </c>
    </row>
    <row r="786" spans="2:35" x14ac:dyDescent="0.2">
      <c r="B786" t="str">
        <f>IF(A786="","",IF(A786="[FÓRMULA MANUAL]","",IFERROR(AVERAGEIFS(nNOTA,nNIA,A786,nCUENTA,1,nASIG,"Lenguaje Musical"),"")))</f>
        <v/>
      </c>
      <c r="C786" t="str">
        <f>IF(A786="","",IF(A786="[FÓRMULA MANUAL]","",IFERROR(AVERAGEIFS(nNOTA,nNIA,A786,nCUENTA,1,nASIG,"Orquesta/Banda/Conjunto"),"")))</f>
        <v/>
      </c>
      <c r="D786" t="str">
        <f>IF(A786="","",IF(A786="[FÓRMULA MANUAL]","",IFERROR(AVERAGEIFS(nNOTA,nNIA,A786,nCUENTA,1,nASIG,"Conjunto"),"")))</f>
        <v/>
      </c>
      <c r="E786" t="str">
        <f>IF(A786="","",IF(A786="[FÓRMULA MANUAL]","",IFERROR(SUMPRODUCT((nNIA=A786)*(nCUENTA=1)*(COUNTIF(CONFIG_ASIGNATURAS!$B$7:$B$27,nASIG)&gt;0)*(nNOTA))/SUMPRODUCT((nNIA=A786)*(nCUENTA=1)*(COUNTIF(CONFIG_ASIGNATURAS!$B$7:$B$27,nASIG)&gt;0)*1),"")))</f>
        <v/>
      </c>
      <c r="H786" t="str">
        <f>IF(G786="","",IF(G786="[FÓRMULA MANUAL]","",IFERROR(AVERAGEIFS(nNOTA,nNIA,G786,nCUENTA,1,nASIG,"Lenguaje Musical"),"")))</f>
        <v/>
      </c>
      <c r="I786" t="str">
        <f>IF(G786="","",IF(G786="[FÓRMULA MANUAL]","",IFERROR(AVERAGEIFS(nNOTA,nNIA,G786,nCUENTA,1,nASIG,"Orquesta/Banda/Conjunto"),"")))</f>
        <v/>
      </c>
      <c r="J786" t="str">
        <f>IF(G786="","",IF(G786="[FÓRMULA MANUAL]","",IFERROR(AVERAGEIFS(nNOTA,nNIA,G786,nCUENTA,1,nASIG,"Conjunto"),"")))</f>
        <v/>
      </c>
      <c r="K786" t="str">
        <f>IF(G786="","",IF(G786="[FÓRMULA MANUAL]","",IFERROR(SUMPRODUCT((nNIA=G786)*(nCUENTA=1)*(COUNTIF(CONFIG_ASIGNATURAS!$B$7:$B$27,nASIG)&gt;0)*(nNOTA))/SUMPRODUCT((nNIA=G786)*(nCUENTA=1)*(COUNTIF(CONFIG_ASIGNATURAS!$B$7:$B$27,nASIG)&gt;0)*1),"")))</f>
        <v/>
      </c>
      <c r="N786" t="str">
        <f>IF(M786="","",IF(M786="[FÓRMULA MANUAL]","",IFERROR(AVERAGEIFS(nNOTA,nNIA,M786,nCUENTA,1,nASIG,"Armonía"),"")))</f>
        <v/>
      </c>
      <c r="O786" t="str">
        <f>IF(M786="","",IF(M786="[FÓRMULA MANUAL]","",IFERROR(AVERAGEIFS(nNOTA,nNIA,M786,nCUENTA,1,nASIG,"Orquesta/Banda/Conjunto"),"")))</f>
        <v/>
      </c>
      <c r="P786" t="str">
        <f>IF(M786="","",IF(M786="[FÓRMULA MANUAL]","",IFERROR(AVERAGEIFS(nNOTA,nNIA,M786,nCUENTA,1,nASIG,"Música de Cámara"),"")))</f>
        <v/>
      </c>
      <c r="Q786" t="str">
        <f>IF(M786="","",IF(M786="[FÓRMULA MANUAL]","",IFERROR(SUMPRODUCT((nNIA=M786)*(nCUENTA=1)*(COUNTIF(CONFIG_ASIGNATURAS!$B$7:$B$27,nASIG)&gt;0)*(nNOTA))/SUMPRODUCT((nNIA=M786)*(nCUENTA=1)*(COUNTIF(CONFIG_ASIGNATURAS!$B$7:$B$27,nASIG)&gt;0)*1),"")))</f>
        <v/>
      </c>
      <c r="T786" t="str">
        <f>IF(S786="","",IF(S786="[FÓRMULA MANUAL]","",IFERROR(AVERAGEIFS(nNOTA,nNIA,S786,nCUENTA,1,nASIG,"Armonía"),"")))</f>
        <v/>
      </c>
      <c r="U786" t="str">
        <f>IF(S786="","",IF(S786="[FÓRMULA MANUAL]","",IFERROR(AVERAGEIFS(nNOTA,nNIA,S786,nCUENTA,1,nASIG,"Orquesta/Banda/Conjunto"),"")))</f>
        <v/>
      </c>
      <c r="V786" t="str">
        <f>IF(S786="","",IF(S786="[FÓRMULA MANUAL]","",IFERROR(AVERAGEIFS(nNOTA,nNIA,S786,nCUENTA,1,nASIG,"Música de Cámara"),"")))</f>
        <v/>
      </c>
      <c r="W786" t="str">
        <f>IF(S786="","",IF(S786="[FÓRMULA MANUAL]","",IFERROR(SUMPRODUCT((nNIA=S786)*(nCUENTA=1)*(COUNTIF(CONFIG_ASIGNATURAS!$B$7:$B$27,nASIG)&gt;0)*(nNOTA))/SUMPRODUCT((nNIA=S786)*(nCUENTA=1)*(COUNTIF(CONFIG_ASIGNATURAS!$B$7:$B$27,nASIG)&gt;0)*1),"")))</f>
        <v/>
      </c>
      <c r="Z786" t="str">
        <f>IF(Y786="","",IF(Y786="[FÓRMULA MANUAL]","",IFERROR(AVERAGEIFS(nNOTA,nNIA,Y786,nCUENTA,1,nASIG,"Análisis"),"")))</f>
        <v/>
      </c>
      <c r="AA786" t="str">
        <f>IF(Y786="","",IF(Y786="[FÓRMULA MANUAL]","",IFERROR(AVERAGEIFS(nNOTA,nNIA,Y786,nCUENTA,1,nASIG,"Orquesta/Banda/Conjunto"),"")))</f>
        <v/>
      </c>
      <c r="AB786" t="str">
        <f>IF(Y786="","",IF(Y786="[FÓRMULA MANUAL]","",IFERROR(AVERAGEIFS(nNOTA,nNIA,Y786,nCUENTA,1,nASIG,"Música de Cámara"),"")))</f>
        <v/>
      </c>
      <c r="AC786" t="str">
        <f>IF(Y786="","",IF(Y786="[FÓRMULA MANUAL]","",IFERROR(SUMPRODUCT((nNIA=Y786)*(nCUENTA=1)*(COUNTIF(CONFIG_ASIGNATURAS!$B$7:$B$27,nASIG)&gt;0)*(nNOTA))/SUMPRODUCT((nNIA=Y786)*(nCUENTA=1)*(COUNTIF(CONFIG_ASIGNATURAS!$B$7:$B$27,nASIG)&gt;0)*1),"")))</f>
        <v/>
      </c>
      <c r="AF786" t="str">
        <f>IF(AE786="","",IF(AE786="[FÓRMULA MANUAL]","",IFERROR(AVERAGEIFS(nNOTA,nNIA,AE786,nCUENTA,1,nASIG,"Análisis"),"")))</f>
        <v/>
      </c>
      <c r="AG786" t="str">
        <f>IF(AE786="","",IF(AE786="[FÓRMULA MANUAL]","",IFERROR(AVERAGEIFS(nNOTA,nNIA,AE786,nCUENTA,1,nASIG,"Orquesta/Banda/Conjunto"),"")))</f>
        <v/>
      </c>
      <c r="AH786" t="str">
        <f>IF(AE786="","",IF(AE786="[FÓRMULA MANUAL]","",IFERROR(AVERAGEIFS(nNOTA,nNIA,AE786,nCUENTA,1,nASIG,"Música de Cámara"),"")))</f>
        <v/>
      </c>
      <c r="AI786" t="str">
        <f>IF(AE786="","",IF(AE786="[FÓRMULA MANUAL]","",IFERROR(SUMPRODUCT((nNIA=AE786)*(nCUENTA=1)*(COUNTIF(CONFIG_ASIGNATURAS!$B$7:$B$27,nASIG)&gt;0)*(nNOTA))/SUMPRODUCT((nNIA=AE786)*(nCUENTA=1)*(COUNTIF(CONFIG_ASIGNATURAS!$B$7:$B$27,nASIG)&gt;0)*1),"")))</f>
        <v/>
      </c>
    </row>
    <row r="787" spans="2:35" x14ac:dyDescent="0.2">
      <c r="B787" t="str">
        <f>IF(A787="","",IF(A787="[FÓRMULA MANUAL]","",IFERROR(AVERAGEIFS(nNOTA,nNIA,A787,nCUENTA,1,nASIG,"Lenguaje Musical"),"")))</f>
        <v/>
      </c>
      <c r="C787" t="str">
        <f>IF(A787="","",IF(A787="[FÓRMULA MANUAL]","",IFERROR(AVERAGEIFS(nNOTA,nNIA,A787,nCUENTA,1,nASIG,"Orquesta/Banda/Conjunto"),"")))</f>
        <v/>
      </c>
      <c r="D787" t="str">
        <f>IF(A787="","",IF(A787="[FÓRMULA MANUAL]","",IFERROR(AVERAGEIFS(nNOTA,nNIA,A787,nCUENTA,1,nASIG,"Conjunto"),"")))</f>
        <v/>
      </c>
      <c r="E787" t="str">
        <f>IF(A787="","",IF(A787="[FÓRMULA MANUAL]","",IFERROR(SUMPRODUCT((nNIA=A787)*(nCUENTA=1)*(COUNTIF(CONFIG_ASIGNATURAS!$B$7:$B$27,nASIG)&gt;0)*(nNOTA))/SUMPRODUCT((nNIA=A787)*(nCUENTA=1)*(COUNTIF(CONFIG_ASIGNATURAS!$B$7:$B$27,nASIG)&gt;0)*1),"")))</f>
        <v/>
      </c>
      <c r="H787" t="str">
        <f>IF(G787="","",IF(G787="[FÓRMULA MANUAL]","",IFERROR(AVERAGEIFS(nNOTA,nNIA,G787,nCUENTA,1,nASIG,"Lenguaje Musical"),"")))</f>
        <v/>
      </c>
      <c r="I787" t="str">
        <f>IF(G787="","",IF(G787="[FÓRMULA MANUAL]","",IFERROR(AVERAGEIFS(nNOTA,nNIA,G787,nCUENTA,1,nASIG,"Orquesta/Banda/Conjunto"),"")))</f>
        <v/>
      </c>
      <c r="J787" t="str">
        <f>IF(G787="","",IF(G787="[FÓRMULA MANUAL]","",IFERROR(AVERAGEIFS(nNOTA,nNIA,G787,nCUENTA,1,nASIG,"Conjunto"),"")))</f>
        <v/>
      </c>
      <c r="K787" t="str">
        <f>IF(G787="","",IF(G787="[FÓRMULA MANUAL]","",IFERROR(SUMPRODUCT((nNIA=G787)*(nCUENTA=1)*(COUNTIF(CONFIG_ASIGNATURAS!$B$7:$B$27,nASIG)&gt;0)*(nNOTA))/SUMPRODUCT((nNIA=G787)*(nCUENTA=1)*(COUNTIF(CONFIG_ASIGNATURAS!$B$7:$B$27,nASIG)&gt;0)*1),"")))</f>
        <v/>
      </c>
      <c r="N787" t="str">
        <f>IF(M787="","",IF(M787="[FÓRMULA MANUAL]","",IFERROR(AVERAGEIFS(nNOTA,nNIA,M787,nCUENTA,1,nASIG,"Armonía"),"")))</f>
        <v/>
      </c>
      <c r="O787" t="str">
        <f>IF(M787="","",IF(M787="[FÓRMULA MANUAL]","",IFERROR(AVERAGEIFS(nNOTA,nNIA,M787,nCUENTA,1,nASIG,"Orquesta/Banda/Conjunto"),"")))</f>
        <v/>
      </c>
      <c r="P787" t="str">
        <f>IF(M787="","",IF(M787="[FÓRMULA MANUAL]","",IFERROR(AVERAGEIFS(nNOTA,nNIA,M787,nCUENTA,1,nASIG,"Música de Cámara"),"")))</f>
        <v/>
      </c>
      <c r="Q787" t="str">
        <f>IF(M787="","",IF(M787="[FÓRMULA MANUAL]","",IFERROR(SUMPRODUCT((nNIA=M787)*(nCUENTA=1)*(COUNTIF(CONFIG_ASIGNATURAS!$B$7:$B$27,nASIG)&gt;0)*(nNOTA))/SUMPRODUCT((nNIA=M787)*(nCUENTA=1)*(COUNTIF(CONFIG_ASIGNATURAS!$B$7:$B$27,nASIG)&gt;0)*1),"")))</f>
        <v/>
      </c>
      <c r="T787" t="str">
        <f>IF(S787="","",IF(S787="[FÓRMULA MANUAL]","",IFERROR(AVERAGEIFS(nNOTA,nNIA,S787,nCUENTA,1,nASIG,"Armonía"),"")))</f>
        <v/>
      </c>
      <c r="U787" t="str">
        <f>IF(S787="","",IF(S787="[FÓRMULA MANUAL]","",IFERROR(AVERAGEIFS(nNOTA,nNIA,S787,nCUENTA,1,nASIG,"Orquesta/Banda/Conjunto"),"")))</f>
        <v/>
      </c>
      <c r="V787" t="str">
        <f>IF(S787="","",IF(S787="[FÓRMULA MANUAL]","",IFERROR(AVERAGEIFS(nNOTA,nNIA,S787,nCUENTA,1,nASIG,"Música de Cámara"),"")))</f>
        <v/>
      </c>
      <c r="W787" t="str">
        <f>IF(S787="","",IF(S787="[FÓRMULA MANUAL]","",IFERROR(SUMPRODUCT((nNIA=S787)*(nCUENTA=1)*(COUNTIF(CONFIG_ASIGNATURAS!$B$7:$B$27,nASIG)&gt;0)*(nNOTA))/SUMPRODUCT((nNIA=S787)*(nCUENTA=1)*(COUNTIF(CONFIG_ASIGNATURAS!$B$7:$B$27,nASIG)&gt;0)*1),"")))</f>
        <v/>
      </c>
      <c r="Z787" t="str">
        <f>IF(Y787="","",IF(Y787="[FÓRMULA MANUAL]","",IFERROR(AVERAGEIFS(nNOTA,nNIA,Y787,nCUENTA,1,nASIG,"Análisis"),"")))</f>
        <v/>
      </c>
      <c r="AA787" t="str">
        <f>IF(Y787="","",IF(Y787="[FÓRMULA MANUAL]","",IFERROR(AVERAGEIFS(nNOTA,nNIA,Y787,nCUENTA,1,nASIG,"Orquesta/Banda/Conjunto"),"")))</f>
        <v/>
      </c>
      <c r="AB787" t="str">
        <f>IF(Y787="","",IF(Y787="[FÓRMULA MANUAL]","",IFERROR(AVERAGEIFS(nNOTA,nNIA,Y787,nCUENTA,1,nASIG,"Música de Cámara"),"")))</f>
        <v/>
      </c>
      <c r="AC787" t="str">
        <f>IF(Y787="","",IF(Y787="[FÓRMULA MANUAL]","",IFERROR(SUMPRODUCT((nNIA=Y787)*(nCUENTA=1)*(COUNTIF(CONFIG_ASIGNATURAS!$B$7:$B$27,nASIG)&gt;0)*(nNOTA))/SUMPRODUCT((nNIA=Y787)*(nCUENTA=1)*(COUNTIF(CONFIG_ASIGNATURAS!$B$7:$B$27,nASIG)&gt;0)*1),"")))</f>
        <v/>
      </c>
      <c r="AF787" t="str">
        <f>IF(AE787="","",IF(AE787="[FÓRMULA MANUAL]","",IFERROR(AVERAGEIFS(nNOTA,nNIA,AE787,nCUENTA,1,nASIG,"Análisis"),"")))</f>
        <v/>
      </c>
      <c r="AG787" t="str">
        <f>IF(AE787="","",IF(AE787="[FÓRMULA MANUAL]","",IFERROR(AVERAGEIFS(nNOTA,nNIA,AE787,nCUENTA,1,nASIG,"Orquesta/Banda/Conjunto"),"")))</f>
        <v/>
      </c>
      <c r="AH787" t="str">
        <f>IF(AE787="","",IF(AE787="[FÓRMULA MANUAL]","",IFERROR(AVERAGEIFS(nNOTA,nNIA,AE787,nCUENTA,1,nASIG,"Música de Cámara"),"")))</f>
        <v/>
      </c>
      <c r="AI787" t="str">
        <f>IF(AE787="","",IF(AE787="[FÓRMULA MANUAL]","",IFERROR(SUMPRODUCT((nNIA=AE787)*(nCUENTA=1)*(COUNTIF(CONFIG_ASIGNATURAS!$B$7:$B$27,nASIG)&gt;0)*(nNOTA))/SUMPRODUCT((nNIA=AE787)*(nCUENTA=1)*(COUNTIF(CONFIG_ASIGNATURAS!$B$7:$B$27,nASIG)&gt;0)*1),"")))</f>
        <v/>
      </c>
    </row>
    <row r="788" spans="2:35" x14ac:dyDescent="0.2">
      <c r="B788" t="str">
        <f>IF(A788="","",IF(A788="[FÓRMULA MANUAL]","",IFERROR(AVERAGEIFS(nNOTA,nNIA,A788,nCUENTA,1,nASIG,"Lenguaje Musical"),"")))</f>
        <v/>
      </c>
      <c r="C788" t="str">
        <f>IF(A788="","",IF(A788="[FÓRMULA MANUAL]","",IFERROR(AVERAGEIFS(nNOTA,nNIA,A788,nCUENTA,1,nASIG,"Orquesta/Banda/Conjunto"),"")))</f>
        <v/>
      </c>
      <c r="D788" t="str">
        <f>IF(A788="","",IF(A788="[FÓRMULA MANUAL]","",IFERROR(AVERAGEIFS(nNOTA,nNIA,A788,nCUENTA,1,nASIG,"Conjunto"),"")))</f>
        <v/>
      </c>
      <c r="E788" t="str">
        <f>IF(A788="","",IF(A788="[FÓRMULA MANUAL]","",IFERROR(SUMPRODUCT((nNIA=A788)*(nCUENTA=1)*(COUNTIF(CONFIG_ASIGNATURAS!$B$7:$B$27,nASIG)&gt;0)*(nNOTA))/SUMPRODUCT((nNIA=A788)*(nCUENTA=1)*(COUNTIF(CONFIG_ASIGNATURAS!$B$7:$B$27,nASIG)&gt;0)*1),"")))</f>
        <v/>
      </c>
      <c r="H788" t="str">
        <f>IF(G788="","",IF(G788="[FÓRMULA MANUAL]","",IFERROR(AVERAGEIFS(nNOTA,nNIA,G788,nCUENTA,1,nASIG,"Lenguaje Musical"),"")))</f>
        <v/>
      </c>
      <c r="I788" t="str">
        <f>IF(G788="","",IF(G788="[FÓRMULA MANUAL]","",IFERROR(AVERAGEIFS(nNOTA,nNIA,G788,nCUENTA,1,nASIG,"Orquesta/Banda/Conjunto"),"")))</f>
        <v/>
      </c>
      <c r="J788" t="str">
        <f>IF(G788="","",IF(G788="[FÓRMULA MANUAL]","",IFERROR(AVERAGEIFS(nNOTA,nNIA,G788,nCUENTA,1,nASIG,"Conjunto"),"")))</f>
        <v/>
      </c>
      <c r="K788" t="str">
        <f>IF(G788="","",IF(G788="[FÓRMULA MANUAL]","",IFERROR(SUMPRODUCT((nNIA=G788)*(nCUENTA=1)*(COUNTIF(CONFIG_ASIGNATURAS!$B$7:$B$27,nASIG)&gt;0)*(nNOTA))/SUMPRODUCT((nNIA=G788)*(nCUENTA=1)*(COUNTIF(CONFIG_ASIGNATURAS!$B$7:$B$27,nASIG)&gt;0)*1),"")))</f>
        <v/>
      </c>
      <c r="N788" t="str">
        <f>IF(M788="","",IF(M788="[FÓRMULA MANUAL]","",IFERROR(AVERAGEIFS(nNOTA,nNIA,M788,nCUENTA,1,nASIG,"Armonía"),"")))</f>
        <v/>
      </c>
      <c r="O788" t="str">
        <f>IF(M788="","",IF(M788="[FÓRMULA MANUAL]","",IFERROR(AVERAGEIFS(nNOTA,nNIA,M788,nCUENTA,1,nASIG,"Orquesta/Banda/Conjunto"),"")))</f>
        <v/>
      </c>
      <c r="P788" t="str">
        <f>IF(M788="","",IF(M788="[FÓRMULA MANUAL]","",IFERROR(AVERAGEIFS(nNOTA,nNIA,M788,nCUENTA,1,nASIG,"Música de Cámara"),"")))</f>
        <v/>
      </c>
      <c r="Q788" t="str">
        <f>IF(M788="","",IF(M788="[FÓRMULA MANUAL]","",IFERROR(SUMPRODUCT((nNIA=M788)*(nCUENTA=1)*(COUNTIF(CONFIG_ASIGNATURAS!$B$7:$B$27,nASIG)&gt;0)*(nNOTA))/SUMPRODUCT((nNIA=M788)*(nCUENTA=1)*(COUNTIF(CONFIG_ASIGNATURAS!$B$7:$B$27,nASIG)&gt;0)*1),"")))</f>
        <v/>
      </c>
      <c r="T788" t="str">
        <f>IF(S788="","",IF(S788="[FÓRMULA MANUAL]","",IFERROR(AVERAGEIFS(nNOTA,nNIA,S788,nCUENTA,1,nASIG,"Armonía"),"")))</f>
        <v/>
      </c>
      <c r="U788" t="str">
        <f>IF(S788="","",IF(S788="[FÓRMULA MANUAL]","",IFERROR(AVERAGEIFS(nNOTA,nNIA,S788,nCUENTA,1,nASIG,"Orquesta/Banda/Conjunto"),"")))</f>
        <v/>
      </c>
      <c r="V788" t="str">
        <f>IF(S788="","",IF(S788="[FÓRMULA MANUAL]","",IFERROR(AVERAGEIFS(nNOTA,nNIA,S788,nCUENTA,1,nASIG,"Música de Cámara"),"")))</f>
        <v/>
      </c>
      <c r="W788" t="str">
        <f>IF(S788="","",IF(S788="[FÓRMULA MANUAL]","",IFERROR(SUMPRODUCT((nNIA=S788)*(nCUENTA=1)*(COUNTIF(CONFIG_ASIGNATURAS!$B$7:$B$27,nASIG)&gt;0)*(nNOTA))/SUMPRODUCT((nNIA=S788)*(nCUENTA=1)*(COUNTIF(CONFIG_ASIGNATURAS!$B$7:$B$27,nASIG)&gt;0)*1),"")))</f>
        <v/>
      </c>
      <c r="Z788" t="str">
        <f>IF(Y788="","",IF(Y788="[FÓRMULA MANUAL]","",IFERROR(AVERAGEIFS(nNOTA,nNIA,Y788,nCUENTA,1,nASIG,"Análisis"),"")))</f>
        <v/>
      </c>
      <c r="AA788" t="str">
        <f>IF(Y788="","",IF(Y788="[FÓRMULA MANUAL]","",IFERROR(AVERAGEIFS(nNOTA,nNIA,Y788,nCUENTA,1,nASIG,"Orquesta/Banda/Conjunto"),"")))</f>
        <v/>
      </c>
      <c r="AB788" t="str">
        <f>IF(Y788="","",IF(Y788="[FÓRMULA MANUAL]","",IFERROR(AVERAGEIFS(nNOTA,nNIA,Y788,nCUENTA,1,nASIG,"Música de Cámara"),"")))</f>
        <v/>
      </c>
      <c r="AC788" t="str">
        <f>IF(Y788="","",IF(Y788="[FÓRMULA MANUAL]","",IFERROR(SUMPRODUCT((nNIA=Y788)*(nCUENTA=1)*(COUNTIF(CONFIG_ASIGNATURAS!$B$7:$B$27,nASIG)&gt;0)*(nNOTA))/SUMPRODUCT((nNIA=Y788)*(nCUENTA=1)*(COUNTIF(CONFIG_ASIGNATURAS!$B$7:$B$27,nASIG)&gt;0)*1),"")))</f>
        <v/>
      </c>
      <c r="AF788" t="str">
        <f>IF(AE788="","",IF(AE788="[FÓRMULA MANUAL]","",IFERROR(AVERAGEIFS(nNOTA,nNIA,AE788,nCUENTA,1,nASIG,"Análisis"),"")))</f>
        <v/>
      </c>
      <c r="AG788" t="str">
        <f>IF(AE788="","",IF(AE788="[FÓRMULA MANUAL]","",IFERROR(AVERAGEIFS(nNOTA,nNIA,AE788,nCUENTA,1,nASIG,"Orquesta/Banda/Conjunto"),"")))</f>
        <v/>
      </c>
      <c r="AH788" t="str">
        <f>IF(AE788="","",IF(AE788="[FÓRMULA MANUAL]","",IFERROR(AVERAGEIFS(nNOTA,nNIA,AE788,nCUENTA,1,nASIG,"Música de Cámara"),"")))</f>
        <v/>
      </c>
      <c r="AI788" t="str">
        <f>IF(AE788="","",IF(AE788="[FÓRMULA MANUAL]","",IFERROR(SUMPRODUCT((nNIA=AE788)*(nCUENTA=1)*(COUNTIF(CONFIG_ASIGNATURAS!$B$7:$B$27,nASIG)&gt;0)*(nNOTA))/SUMPRODUCT((nNIA=AE788)*(nCUENTA=1)*(COUNTIF(CONFIG_ASIGNATURAS!$B$7:$B$27,nASIG)&gt;0)*1),"")))</f>
        <v/>
      </c>
    </row>
    <row r="789" spans="2:35" x14ac:dyDescent="0.2">
      <c r="B789" t="str">
        <f>IF(A789="","",IF(A789="[FÓRMULA MANUAL]","",IFERROR(AVERAGEIFS(nNOTA,nNIA,A789,nCUENTA,1,nASIG,"Lenguaje Musical"),"")))</f>
        <v/>
      </c>
      <c r="C789" t="str">
        <f>IF(A789="","",IF(A789="[FÓRMULA MANUAL]","",IFERROR(AVERAGEIFS(nNOTA,nNIA,A789,nCUENTA,1,nASIG,"Orquesta/Banda/Conjunto"),"")))</f>
        <v/>
      </c>
      <c r="D789" t="str">
        <f>IF(A789="","",IF(A789="[FÓRMULA MANUAL]","",IFERROR(AVERAGEIFS(nNOTA,nNIA,A789,nCUENTA,1,nASIG,"Conjunto"),"")))</f>
        <v/>
      </c>
      <c r="E789" t="str">
        <f>IF(A789="","",IF(A789="[FÓRMULA MANUAL]","",IFERROR(SUMPRODUCT((nNIA=A789)*(nCUENTA=1)*(COUNTIF(CONFIG_ASIGNATURAS!$B$7:$B$27,nASIG)&gt;0)*(nNOTA))/SUMPRODUCT((nNIA=A789)*(nCUENTA=1)*(COUNTIF(CONFIG_ASIGNATURAS!$B$7:$B$27,nASIG)&gt;0)*1),"")))</f>
        <v/>
      </c>
      <c r="H789" t="str">
        <f>IF(G789="","",IF(G789="[FÓRMULA MANUAL]","",IFERROR(AVERAGEIFS(nNOTA,nNIA,G789,nCUENTA,1,nASIG,"Lenguaje Musical"),"")))</f>
        <v/>
      </c>
      <c r="I789" t="str">
        <f>IF(G789="","",IF(G789="[FÓRMULA MANUAL]","",IFERROR(AVERAGEIFS(nNOTA,nNIA,G789,nCUENTA,1,nASIG,"Orquesta/Banda/Conjunto"),"")))</f>
        <v/>
      </c>
      <c r="J789" t="str">
        <f>IF(G789="","",IF(G789="[FÓRMULA MANUAL]","",IFERROR(AVERAGEIFS(nNOTA,nNIA,G789,nCUENTA,1,nASIG,"Conjunto"),"")))</f>
        <v/>
      </c>
      <c r="K789" t="str">
        <f>IF(G789="","",IF(G789="[FÓRMULA MANUAL]","",IFERROR(SUMPRODUCT((nNIA=G789)*(nCUENTA=1)*(COUNTIF(CONFIG_ASIGNATURAS!$B$7:$B$27,nASIG)&gt;0)*(nNOTA))/SUMPRODUCT((nNIA=G789)*(nCUENTA=1)*(COUNTIF(CONFIG_ASIGNATURAS!$B$7:$B$27,nASIG)&gt;0)*1),"")))</f>
        <v/>
      </c>
      <c r="N789" t="str">
        <f>IF(M789="","",IF(M789="[FÓRMULA MANUAL]","",IFERROR(AVERAGEIFS(nNOTA,nNIA,M789,nCUENTA,1,nASIG,"Armonía"),"")))</f>
        <v/>
      </c>
      <c r="O789" t="str">
        <f>IF(M789="","",IF(M789="[FÓRMULA MANUAL]","",IFERROR(AVERAGEIFS(nNOTA,nNIA,M789,nCUENTA,1,nASIG,"Orquesta/Banda/Conjunto"),"")))</f>
        <v/>
      </c>
      <c r="P789" t="str">
        <f>IF(M789="","",IF(M789="[FÓRMULA MANUAL]","",IFERROR(AVERAGEIFS(nNOTA,nNIA,M789,nCUENTA,1,nASIG,"Música de Cámara"),"")))</f>
        <v/>
      </c>
      <c r="Q789" t="str">
        <f>IF(M789="","",IF(M789="[FÓRMULA MANUAL]","",IFERROR(SUMPRODUCT((nNIA=M789)*(nCUENTA=1)*(COUNTIF(CONFIG_ASIGNATURAS!$B$7:$B$27,nASIG)&gt;0)*(nNOTA))/SUMPRODUCT((nNIA=M789)*(nCUENTA=1)*(COUNTIF(CONFIG_ASIGNATURAS!$B$7:$B$27,nASIG)&gt;0)*1),"")))</f>
        <v/>
      </c>
      <c r="T789" t="str">
        <f>IF(S789="","",IF(S789="[FÓRMULA MANUAL]","",IFERROR(AVERAGEIFS(nNOTA,nNIA,S789,nCUENTA,1,nASIG,"Armonía"),"")))</f>
        <v/>
      </c>
      <c r="U789" t="str">
        <f>IF(S789="","",IF(S789="[FÓRMULA MANUAL]","",IFERROR(AVERAGEIFS(nNOTA,nNIA,S789,nCUENTA,1,nASIG,"Orquesta/Banda/Conjunto"),"")))</f>
        <v/>
      </c>
      <c r="V789" t="str">
        <f>IF(S789="","",IF(S789="[FÓRMULA MANUAL]","",IFERROR(AVERAGEIFS(nNOTA,nNIA,S789,nCUENTA,1,nASIG,"Música de Cámara"),"")))</f>
        <v/>
      </c>
      <c r="W789" t="str">
        <f>IF(S789="","",IF(S789="[FÓRMULA MANUAL]","",IFERROR(SUMPRODUCT((nNIA=S789)*(nCUENTA=1)*(COUNTIF(CONFIG_ASIGNATURAS!$B$7:$B$27,nASIG)&gt;0)*(nNOTA))/SUMPRODUCT((nNIA=S789)*(nCUENTA=1)*(COUNTIF(CONFIG_ASIGNATURAS!$B$7:$B$27,nASIG)&gt;0)*1),"")))</f>
        <v/>
      </c>
      <c r="Z789" t="str">
        <f>IF(Y789="","",IF(Y789="[FÓRMULA MANUAL]","",IFERROR(AVERAGEIFS(nNOTA,nNIA,Y789,nCUENTA,1,nASIG,"Análisis"),"")))</f>
        <v/>
      </c>
      <c r="AA789" t="str">
        <f>IF(Y789="","",IF(Y789="[FÓRMULA MANUAL]","",IFERROR(AVERAGEIFS(nNOTA,nNIA,Y789,nCUENTA,1,nASIG,"Orquesta/Banda/Conjunto"),"")))</f>
        <v/>
      </c>
      <c r="AB789" t="str">
        <f>IF(Y789="","",IF(Y789="[FÓRMULA MANUAL]","",IFERROR(AVERAGEIFS(nNOTA,nNIA,Y789,nCUENTA,1,nASIG,"Música de Cámara"),"")))</f>
        <v/>
      </c>
      <c r="AC789" t="str">
        <f>IF(Y789="","",IF(Y789="[FÓRMULA MANUAL]","",IFERROR(SUMPRODUCT((nNIA=Y789)*(nCUENTA=1)*(COUNTIF(CONFIG_ASIGNATURAS!$B$7:$B$27,nASIG)&gt;0)*(nNOTA))/SUMPRODUCT((nNIA=Y789)*(nCUENTA=1)*(COUNTIF(CONFIG_ASIGNATURAS!$B$7:$B$27,nASIG)&gt;0)*1),"")))</f>
        <v/>
      </c>
      <c r="AF789" t="str">
        <f>IF(AE789="","",IF(AE789="[FÓRMULA MANUAL]","",IFERROR(AVERAGEIFS(nNOTA,nNIA,AE789,nCUENTA,1,nASIG,"Análisis"),"")))</f>
        <v/>
      </c>
      <c r="AG789" t="str">
        <f>IF(AE789="","",IF(AE789="[FÓRMULA MANUAL]","",IFERROR(AVERAGEIFS(nNOTA,nNIA,AE789,nCUENTA,1,nASIG,"Orquesta/Banda/Conjunto"),"")))</f>
        <v/>
      </c>
      <c r="AH789" t="str">
        <f>IF(AE789="","",IF(AE789="[FÓRMULA MANUAL]","",IFERROR(AVERAGEIFS(nNOTA,nNIA,AE789,nCUENTA,1,nASIG,"Música de Cámara"),"")))</f>
        <v/>
      </c>
      <c r="AI789" t="str">
        <f>IF(AE789="","",IF(AE789="[FÓRMULA MANUAL]","",IFERROR(SUMPRODUCT((nNIA=AE789)*(nCUENTA=1)*(COUNTIF(CONFIG_ASIGNATURAS!$B$7:$B$27,nASIG)&gt;0)*(nNOTA))/SUMPRODUCT((nNIA=AE789)*(nCUENTA=1)*(COUNTIF(CONFIG_ASIGNATURAS!$B$7:$B$27,nASIG)&gt;0)*1),"")))</f>
        <v/>
      </c>
    </row>
    <row r="790" spans="2:35" x14ac:dyDescent="0.2">
      <c r="B790" t="str">
        <f>IF(A790="","",IF(A790="[FÓRMULA MANUAL]","",IFERROR(AVERAGEIFS(nNOTA,nNIA,A790,nCUENTA,1,nASIG,"Lenguaje Musical"),"")))</f>
        <v/>
      </c>
      <c r="C790" t="str">
        <f>IF(A790="","",IF(A790="[FÓRMULA MANUAL]","",IFERROR(AVERAGEIFS(nNOTA,nNIA,A790,nCUENTA,1,nASIG,"Orquesta/Banda/Conjunto"),"")))</f>
        <v/>
      </c>
      <c r="D790" t="str">
        <f>IF(A790="","",IF(A790="[FÓRMULA MANUAL]","",IFERROR(AVERAGEIFS(nNOTA,nNIA,A790,nCUENTA,1,nASIG,"Conjunto"),"")))</f>
        <v/>
      </c>
      <c r="E790" t="str">
        <f>IF(A790="","",IF(A790="[FÓRMULA MANUAL]","",IFERROR(SUMPRODUCT((nNIA=A790)*(nCUENTA=1)*(COUNTIF(CONFIG_ASIGNATURAS!$B$7:$B$27,nASIG)&gt;0)*(nNOTA))/SUMPRODUCT((nNIA=A790)*(nCUENTA=1)*(COUNTIF(CONFIG_ASIGNATURAS!$B$7:$B$27,nASIG)&gt;0)*1),"")))</f>
        <v/>
      </c>
      <c r="H790" t="str">
        <f>IF(G790="","",IF(G790="[FÓRMULA MANUAL]","",IFERROR(AVERAGEIFS(nNOTA,nNIA,G790,nCUENTA,1,nASIG,"Lenguaje Musical"),"")))</f>
        <v/>
      </c>
      <c r="I790" t="str">
        <f>IF(G790="","",IF(G790="[FÓRMULA MANUAL]","",IFERROR(AVERAGEIFS(nNOTA,nNIA,G790,nCUENTA,1,nASIG,"Orquesta/Banda/Conjunto"),"")))</f>
        <v/>
      </c>
      <c r="J790" t="str">
        <f>IF(G790="","",IF(G790="[FÓRMULA MANUAL]","",IFERROR(AVERAGEIFS(nNOTA,nNIA,G790,nCUENTA,1,nASIG,"Conjunto"),"")))</f>
        <v/>
      </c>
      <c r="K790" t="str">
        <f>IF(G790="","",IF(G790="[FÓRMULA MANUAL]","",IFERROR(SUMPRODUCT((nNIA=G790)*(nCUENTA=1)*(COUNTIF(CONFIG_ASIGNATURAS!$B$7:$B$27,nASIG)&gt;0)*(nNOTA))/SUMPRODUCT((nNIA=G790)*(nCUENTA=1)*(COUNTIF(CONFIG_ASIGNATURAS!$B$7:$B$27,nASIG)&gt;0)*1),"")))</f>
        <v/>
      </c>
      <c r="N790" t="str">
        <f>IF(M790="","",IF(M790="[FÓRMULA MANUAL]","",IFERROR(AVERAGEIFS(nNOTA,nNIA,M790,nCUENTA,1,nASIG,"Armonía"),"")))</f>
        <v/>
      </c>
      <c r="O790" t="str">
        <f>IF(M790="","",IF(M790="[FÓRMULA MANUAL]","",IFERROR(AVERAGEIFS(nNOTA,nNIA,M790,nCUENTA,1,nASIG,"Orquesta/Banda/Conjunto"),"")))</f>
        <v/>
      </c>
      <c r="P790" t="str">
        <f>IF(M790="","",IF(M790="[FÓRMULA MANUAL]","",IFERROR(AVERAGEIFS(nNOTA,nNIA,M790,nCUENTA,1,nASIG,"Música de Cámara"),"")))</f>
        <v/>
      </c>
      <c r="Q790" t="str">
        <f>IF(M790="","",IF(M790="[FÓRMULA MANUAL]","",IFERROR(SUMPRODUCT((nNIA=M790)*(nCUENTA=1)*(COUNTIF(CONFIG_ASIGNATURAS!$B$7:$B$27,nASIG)&gt;0)*(nNOTA))/SUMPRODUCT((nNIA=M790)*(nCUENTA=1)*(COUNTIF(CONFIG_ASIGNATURAS!$B$7:$B$27,nASIG)&gt;0)*1),"")))</f>
        <v/>
      </c>
      <c r="T790" t="str">
        <f>IF(S790="","",IF(S790="[FÓRMULA MANUAL]","",IFERROR(AVERAGEIFS(nNOTA,nNIA,S790,nCUENTA,1,nASIG,"Armonía"),"")))</f>
        <v/>
      </c>
      <c r="U790" t="str">
        <f>IF(S790="","",IF(S790="[FÓRMULA MANUAL]","",IFERROR(AVERAGEIFS(nNOTA,nNIA,S790,nCUENTA,1,nASIG,"Orquesta/Banda/Conjunto"),"")))</f>
        <v/>
      </c>
      <c r="V790" t="str">
        <f>IF(S790="","",IF(S790="[FÓRMULA MANUAL]","",IFERROR(AVERAGEIFS(nNOTA,nNIA,S790,nCUENTA,1,nASIG,"Música de Cámara"),"")))</f>
        <v/>
      </c>
      <c r="W790" t="str">
        <f>IF(S790="","",IF(S790="[FÓRMULA MANUAL]","",IFERROR(SUMPRODUCT((nNIA=S790)*(nCUENTA=1)*(COUNTIF(CONFIG_ASIGNATURAS!$B$7:$B$27,nASIG)&gt;0)*(nNOTA))/SUMPRODUCT((nNIA=S790)*(nCUENTA=1)*(COUNTIF(CONFIG_ASIGNATURAS!$B$7:$B$27,nASIG)&gt;0)*1),"")))</f>
        <v/>
      </c>
      <c r="Z790" t="str">
        <f>IF(Y790="","",IF(Y790="[FÓRMULA MANUAL]","",IFERROR(AVERAGEIFS(nNOTA,nNIA,Y790,nCUENTA,1,nASIG,"Análisis"),"")))</f>
        <v/>
      </c>
      <c r="AA790" t="str">
        <f>IF(Y790="","",IF(Y790="[FÓRMULA MANUAL]","",IFERROR(AVERAGEIFS(nNOTA,nNIA,Y790,nCUENTA,1,nASIG,"Orquesta/Banda/Conjunto"),"")))</f>
        <v/>
      </c>
      <c r="AB790" t="str">
        <f>IF(Y790="","",IF(Y790="[FÓRMULA MANUAL]","",IFERROR(AVERAGEIFS(nNOTA,nNIA,Y790,nCUENTA,1,nASIG,"Música de Cámara"),"")))</f>
        <v/>
      </c>
      <c r="AC790" t="str">
        <f>IF(Y790="","",IF(Y790="[FÓRMULA MANUAL]","",IFERROR(SUMPRODUCT((nNIA=Y790)*(nCUENTA=1)*(COUNTIF(CONFIG_ASIGNATURAS!$B$7:$B$27,nASIG)&gt;0)*(nNOTA))/SUMPRODUCT((nNIA=Y790)*(nCUENTA=1)*(COUNTIF(CONFIG_ASIGNATURAS!$B$7:$B$27,nASIG)&gt;0)*1),"")))</f>
        <v/>
      </c>
      <c r="AF790" t="str">
        <f>IF(AE790="","",IF(AE790="[FÓRMULA MANUAL]","",IFERROR(AVERAGEIFS(nNOTA,nNIA,AE790,nCUENTA,1,nASIG,"Análisis"),"")))</f>
        <v/>
      </c>
      <c r="AG790" t="str">
        <f>IF(AE790="","",IF(AE790="[FÓRMULA MANUAL]","",IFERROR(AVERAGEIFS(nNOTA,nNIA,AE790,nCUENTA,1,nASIG,"Orquesta/Banda/Conjunto"),"")))</f>
        <v/>
      </c>
      <c r="AH790" t="str">
        <f>IF(AE790="","",IF(AE790="[FÓRMULA MANUAL]","",IFERROR(AVERAGEIFS(nNOTA,nNIA,AE790,nCUENTA,1,nASIG,"Música de Cámara"),"")))</f>
        <v/>
      </c>
      <c r="AI790" t="str">
        <f>IF(AE790="","",IF(AE790="[FÓRMULA MANUAL]","",IFERROR(SUMPRODUCT((nNIA=AE790)*(nCUENTA=1)*(COUNTIF(CONFIG_ASIGNATURAS!$B$7:$B$27,nASIG)&gt;0)*(nNOTA))/SUMPRODUCT((nNIA=AE790)*(nCUENTA=1)*(COUNTIF(CONFIG_ASIGNATURAS!$B$7:$B$27,nASIG)&gt;0)*1),"")))</f>
        <v/>
      </c>
    </row>
    <row r="791" spans="2:35" x14ac:dyDescent="0.2">
      <c r="B791" t="str">
        <f>IF(A791="","",IF(A791="[FÓRMULA MANUAL]","",IFERROR(AVERAGEIFS(nNOTA,nNIA,A791,nCUENTA,1,nASIG,"Lenguaje Musical"),"")))</f>
        <v/>
      </c>
      <c r="C791" t="str">
        <f>IF(A791="","",IF(A791="[FÓRMULA MANUAL]","",IFERROR(AVERAGEIFS(nNOTA,nNIA,A791,nCUENTA,1,nASIG,"Orquesta/Banda/Conjunto"),"")))</f>
        <v/>
      </c>
      <c r="D791" t="str">
        <f>IF(A791="","",IF(A791="[FÓRMULA MANUAL]","",IFERROR(AVERAGEIFS(nNOTA,nNIA,A791,nCUENTA,1,nASIG,"Conjunto"),"")))</f>
        <v/>
      </c>
      <c r="E791" t="str">
        <f>IF(A791="","",IF(A791="[FÓRMULA MANUAL]","",IFERROR(SUMPRODUCT((nNIA=A791)*(nCUENTA=1)*(COUNTIF(CONFIG_ASIGNATURAS!$B$7:$B$27,nASIG)&gt;0)*(nNOTA))/SUMPRODUCT((nNIA=A791)*(nCUENTA=1)*(COUNTIF(CONFIG_ASIGNATURAS!$B$7:$B$27,nASIG)&gt;0)*1),"")))</f>
        <v/>
      </c>
      <c r="H791" t="str">
        <f>IF(G791="","",IF(G791="[FÓRMULA MANUAL]","",IFERROR(AVERAGEIFS(nNOTA,nNIA,G791,nCUENTA,1,nASIG,"Lenguaje Musical"),"")))</f>
        <v/>
      </c>
      <c r="I791" t="str">
        <f>IF(G791="","",IF(G791="[FÓRMULA MANUAL]","",IFERROR(AVERAGEIFS(nNOTA,nNIA,G791,nCUENTA,1,nASIG,"Orquesta/Banda/Conjunto"),"")))</f>
        <v/>
      </c>
      <c r="J791" t="str">
        <f>IF(G791="","",IF(G791="[FÓRMULA MANUAL]","",IFERROR(AVERAGEIFS(nNOTA,nNIA,G791,nCUENTA,1,nASIG,"Conjunto"),"")))</f>
        <v/>
      </c>
      <c r="K791" t="str">
        <f>IF(G791="","",IF(G791="[FÓRMULA MANUAL]","",IFERROR(SUMPRODUCT((nNIA=G791)*(nCUENTA=1)*(COUNTIF(CONFIG_ASIGNATURAS!$B$7:$B$27,nASIG)&gt;0)*(nNOTA))/SUMPRODUCT((nNIA=G791)*(nCUENTA=1)*(COUNTIF(CONFIG_ASIGNATURAS!$B$7:$B$27,nASIG)&gt;0)*1),"")))</f>
        <v/>
      </c>
      <c r="N791" t="str">
        <f>IF(M791="","",IF(M791="[FÓRMULA MANUAL]","",IFERROR(AVERAGEIFS(nNOTA,nNIA,M791,nCUENTA,1,nASIG,"Armonía"),"")))</f>
        <v/>
      </c>
      <c r="O791" t="str">
        <f>IF(M791="","",IF(M791="[FÓRMULA MANUAL]","",IFERROR(AVERAGEIFS(nNOTA,nNIA,M791,nCUENTA,1,nASIG,"Orquesta/Banda/Conjunto"),"")))</f>
        <v/>
      </c>
      <c r="P791" t="str">
        <f>IF(M791="","",IF(M791="[FÓRMULA MANUAL]","",IFERROR(AVERAGEIFS(nNOTA,nNIA,M791,nCUENTA,1,nASIG,"Música de Cámara"),"")))</f>
        <v/>
      </c>
      <c r="Q791" t="str">
        <f>IF(M791="","",IF(M791="[FÓRMULA MANUAL]","",IFERROR(SUMPRODUCT((nNIA=M791)*(nCUENTA=1)*(COUNTIF(CONFIG_ASIGNATURAS!$B$7:$B$27,nASIG)&gt;0)*(nNOTA))/SUMPRODUCT((nNIA=M791)*(nCUENTA=1)*(COUNTIF(CONFIG_ASIGNATURAS!$B$7:$B$27,nASIG)&gt;0)*1),"")))</f>
        <v/>
      </c>
      <c r="T791" t="str">
        <f>IF(S791="","",IF(S791="[FÓRMULA MANUAL]","",IFERROR(AVERAGEIFS(nNOTA,nNIA,S791,nCUENTA,1,nASIG,"Armonía"),"")))</f>
        <v/>
      </c>
      <c r="U791" t="str">
        <f>IF(S791="","",IF(S791="[FÓRMULA MANUAL]","",IFERROR(AVERAGEIFS(nNOTA,nNIA,S791,nCUENTA,1,nASIG,"Orquesta/Banda/Conjunto"),"")))</f>
        <v/>
      </c>
      <c r="V791" t="str">
        <f>IF(S791="","",IF(S791="[FÓRMULA MANUAL]","",IFERROR(AVERAGEIFS(nNOTA,nNIA,S791,nCUENTA,1,nASIG,"Música de Cámara"),"")))</f>
        <v/>
      </c>
      <c r="W791" t="str">
        <f>IF(S791="","",IF(S791="[FÓRMULA MANUAL]","",IFERROR(SUMPRODUCT((nNIA=S791)*(nCUENTA=1)*(COUNTIF(CONFIG_ASIGNATURAS!$B$7:$B$27,nASIG)&gt;0)*(nNOTA))/SUMPRODUCT((nNIA=S791)*(nCUENTA=1)*(COUNTIF(CONFIG_ASIGNATURAS!$B$7:$B$27,nASIG)&gt;0)*1),"")))</f>
        <v/>
      </c>
      <c r="Z791" t="str">
        <f>IF(Y791="","",IF(Y791="[FÓRMULA MANUAL]","",IFERROR(AVERAGEIFS(nNOTA,nNIA,Y791,nCUENTA,1,nASIG,"Análisis"),"")))</f>
        <v/>
      </c>
      <c r="AA791" t="str">
        <f>IF(Y791="","",IF(Y791="[FÓRMULA MANUAL]","",IFERROR(AVERAGEIFS(nNOTA,nNIA,Y791,nCUENTA,1,nASIG,"Orquesta/Banda/Conjunto"),"")))</f>
        <v/>
      </c>
      <c r="AB791" t="str">
        <f>IF(Y791="","",IF(Y791="[FÓRMULA MANUAL]","",IFERROR(AVERAGEIFS(nNOTA,nNIA,Y791,nCUENTA,1,nASIG,"Música de Cámara"),"")))</f>
        <v/>
      </c>
      <c r="AC791" t="str">
        <f>IF(Y791="","",IF(Y791="[FÓRMULA MANUAL]","",IFERROR(SUMPRODUCT((nNIA=Y791)*(nCUENTA=1)*(COUNTIF(CONFIG_ASIGNATURAS!$B$7:$B$27,nASIG)&gt;0)*(nNOTA))/SUMPRODUCT((nNIA=Y791)*(nCUENTA=1)*(COUNTIF(CONFIG_ASIGNATURAS!$B$7:$B$27,nASIG)&gt;0)*1),"")))</f>
        <v/>
      </c>
      <c r="AF791" t="str">
        <f>IF(AE791="","",IF(AE791="[FÓRMULA MANUAL]","",IFERROR(AVERAGEIFS(nNOTA,nNIA,AE791,nCUENTA,1,nASIG,"Análisis"),"")))</f>
        <v/>
      </c>
      <c r="AG791" t="str">
        <f>IF(AE791="","",IF(AE791="[FÓRMULA MANUAL]","",IFERROR(AVERAGEIFS(nNOTA,nNIA,AE791,nCUENTA,1,nASIG,"Orquesta/Banda/Conjunto"),"")))</f>
        <v/>
      </c>
      <c r="AH791" t="str">
        <f>IF(AE791="","",IF(AE791="[FÓRMULA MANUAL]","",IFERROR(AVERAGEIFS(nNOTA,nNIA,AE791,nCUENTA,1,nASIG,"Música de Cámara"),"")))</f>
        <v/>
      </c>
      <c r="AI791" t="str">
        <f>IF(AE791="","",IF(AE791="[FÓRMULA MANUAL]","",IFERROR(SUMPRODUCT((nNIA=AE791)*(nCUENTA=1)*(COUNTIF(CONFIG_ASIGNATURAS!$B$7:$B$27,nASIG)&gt;0)*(nNOTA))/SUMPRODUCT((nNIA=AE791)*(nCUENTA=1)*(COUNTIF(CONFIG_ASIGNATURAS!$B$7:$B$27,nASIG)&gt;0)*1),"")))</f>
        <v/>
      </c>
    </row>
    <row r="792" spans="2:35" x14ac:dyDescent="0.2">
      <c r="B792" t="str">
        <f>IF(A792="","",IF(A792="[FÓRMULA MANUAL]","",IFERROR(AVERAGEIFS(nNOTA,nNIA,A792,nCUENTA,1,nASIG,"Lenguaje Musical"),"")))</f>
        <v/>
      </c>
      <c r="C792" t="str">
        <f>IF(A792="","",IF(A792="[FÓRMULA MANUAL]","",IFERROR(AVERAGEIFS(nNOTA,nNIA,A792,nCUENTA,1,nASIG,"Orquesta/Banda/Conjunto"),"")))</f>
        <v/>
      </c>
      <c r="D792" t="str">
        <f>IF(A792="","",IF(A792="[FÓRMULA MANUAL]","",IFERROR(AVERAGEIFS(nNOTA,nNIA,A792,nCUENTA,1,nASIG,"Conjunto"),"")))</f>
        <v/>
      </c>
      <c r="E792" t="str">
        <f>IF(A792="","",IF(A792="[FÓRMULA MANUAL]","",IFERROR(SUMPRODUCT((nNIA=A792)*(nCUENTA=1)*(COUNTIF(CONFIG_ASIGNATURAS!$B$7:$B$27,nASIG)&gt;0)*(nNOTA))/SUMPRODUCT((nNIA=A792)*(nCUENTA=1)*(COUNTIF(CONFIG_ASIGNATURAS!$B$7:$B$27,nASIG)&gt;0)*1),"")))</f>
        <v/>
      </c>
      <c r="H792" t="str">
        <f>IF(G792="","",IF(G792="[FÓRMULA MANUAL]","",IFERROR(AVERAGEIFS(nNOTA,nNIA,G792,nCUENTA,1,nASIG,"Lenguaje Musical"),"")))</f>
        <v/>
      </c>
      <c r="I792" t="str">
        <f>IF(G792="","",IF(G792="[FÓRMULA MANUAL]","",IFERROR(AVERAGEIFS(nNOTA,nNIA,G792,nCUENTA,1,nASIG,"Orquesta/Banda/Conjunto"),"")))</f>
        <v/>
      </c>
      <c r="J792" t="str">
        <f>IF(G792="","",IF(G792="[FÓRMULA MANUAL]","",IFERROR(AVERAGEIFS(nNOTA,nNIA,G792,nCUENTA,1,nASIG,"Conjunto"),"")))</f>
        <v/>
      </c>
      <c r="K792" t="str">
        <f>IF(G792="","",IF(G792="[FÓRMULA MANUAL]","",IFERROR(SUMPRODUCT((nNIA=G792)*(nCUENTA=1)*(COUNTIF(CONFIG_ASIGNATURAS!$B$7:$B$27,nASIG)&gt;0)*(nNOTA))/SUMPRODUCT((nNIA=G792)*(nCUENTA=1)*(COUNTIF(CONFIG_ASIGNATURAS!$B$7:$B$27,nASIG)&gt;0)*1),"")))</f>
        <v/>
      </c>
      <c r="N792" t="str">
        <f>IF(M792="","",IF(M792="[FÓRMULA MANUAL]","",IFERROR(AVERAGEIFS(nNOTA,nNIA,M792,nCUENTA,1,nASIG,"Armonía"),"")))</f>
        <v/>
      </c>
      <c r="O792" t="str">
        <f>IF(M792="","",IF(M792="[FÓRMULA MANUAL]","",IFERROR(AVERAGEIFS(nNOTA,nNIA,M792,nCUENTA,1,nASIG,"Orquesta/Banda/Conjunto"),"")))</f>
        <v/>
      </c>
      <c r="P792" t="str">
        <f>IF(M792="","",IF(M792="[FÓRMULA MANUAL]","",IFERROR(AVERAGEIFS(nNOTA,nNIA,M792,nCUENTA,1,nASIG,"Música de Cámara"),"")))</f>
        <v/>
      </c>
      <c r="Q792" t="str">
        <f>IF(M792="","",IF(M792="[FÓRMULA MANUAL]","",IFERROR(SUMPRODUCT((nNIA=M792)*(nCUENTA=1)*(COUNTIF(CONFIG_ASIGNATURAS!$B$7:$B$27,nASIG)&gt;0)*(nNOTA))/SUMPRODUCT((nNIA=M792)*(nCUENTA=1)*(COUNTIF(CONFIG_ASIGNATURAS!$B$7:$B$27,nASIG)&gt;0)*1),"")))</f>
        <v/>
      </c>
      <c r="T792" t="str">
        <f>IF(S792="","",IF(S792="[FÓRMULA MANUAL]","",IFERROR(AVERAGEIFS(nNOTA,nNIA,S792,nCUENTA,1,nASIG,"Armonía"),"")))</f>
        <v/>
      </c>
      <c r="U792" t="str">
        <f>IF(S792="","",IF(S792="[FÓRMULA MANUAL]","",IFERROR(AVERAGEIFS(nNOTA,nNIA,S792,nCUENTA,1,nASIG,"Orquesta/Banda/Conjunto"),"")))</f>
        <v/>
      </c>
      <c r="V792" t="str">
        <f>IF(S792="","",IF(S792="[FÓRMULA MANUAL]","",IFERROR(AVERAGEIFS(nNOTA,nNIA,S792,nCUENTA,1,nASIG,"Música de Cámara"),"")))</f>
        <v/>
      </c>
      <c r="W792" t="str">
        <f>IF(S792="","",IF(S792="[FÓRMULA MANUAL]","",IFERROR(SUMPRODUCT((nNIA=S792)*(nCUENTA=1)*(COUNTIF(CONFIG_ASIGNATURAS!$B$7:$B$27,nASIG)&gt;0)*(nNOTA))/SUMPRODUCT((nNIA=S792)*(nCUENTA=1)*(COUNTIF(CONFIG_ASIGNATURAS!$B$7:$B$27,nASIG)&gt;0)*1),"")))</f>
        <v/>
      </c>
      <c r="Z792" t="str">
        <f>IF(Y792="","",IF(Y792="[FÓRMULA MANUAL]","",IFERROR(AVERAGEIFS(nNOTA,nNIA,Y792,nCUENTA,1,nASIG,"Análisis"),"")))</f>
        <v/>
      </c>
      <c r="AA792" t="str">
        <f>IF(Y792="","",IF(Y792="[FÓRMULA MANUAL]","",IFERROR(AVERAGEIFS(nNOTA,nNIA,Y792,nCUENTA,1,nASIG,"Orquesta/Banda/Conjunto"),"")))</f>
        <v/>
      </c>
      <c r="AB792" t="str">
        <f>IF(Y792="","",IF(Y792="[FÓRMULA MANUAL]","",IFERROR(AVERAGEIFS(nNOTA,nNIA,Y792,nCUENTA,1,nASIG,"Música de Cámara"),"")))</f>
        <v/>
      </c>
      <c r="AC792" t="str">
        <f>IF(Y792="","",IF(Y792="[FÓRMULA MANUAL]","",IFERROR(SUMPRODUCT((nNIA=Y792)*(nCUENTA=1)*(COUNTIF(CONFIG_ASIGNATURAS!$B$7:$B$27,nASIG)&gt;0)*(nNOTA))/SUMPRODUCT((nNIA=Y792)*(nCUENTA=1)*(COUNTIF(CONFIG_ASIGNATURAS!$B$7:$B$27,nASIG)&gt;0)*1),"")))</f>
        <v/>
      </c>
      <c r="AF792" t="str">
        <f>IF(AE792="","",IF(AE792="[FÓRMULA MANUAL]","",IFERROR(AVERAGEIFS(nNOTA,nNIA,AE792,nCUENTA,1,nASIG,"Análisis"),"")))</f>
        <v/>
      </c>
      <c r="AG792" t="str">
        <f>IF(AE792="","",IF(AE792="[FÓRMULA MANUAL]","",IFERROR(AVERAGEIFS(nNOTA,nNIA,AE792,nCUENTA,1,nASIG,"Orquesta/Banda/Conjunto"),"")))</f>
        <v/>
      </c>
      <c r="AH792" t="str">
        <f>IF(AE792="","",IF(AE792="[FÓRMULA MANUAL]","",IFERROR(AVERAGEIFS(nNOTA,nNIA,AE792,nCUENTA,1,nASIG,"Música de Cámara"),"")))</f>
        <v/>
      </c>
      <c r="AI792" t="str">
        <f>IF(AE792="","",IF(AE792="[FÓRMULA MANUAL]","",IFERROR(SUMPRODUCT((nNIA=AE792)*(nCUENTA=1)*(COUNTIF(CONFIG_ASIGNATURAS!$B$7:$B$27,nASIG)&gt;0)*(nNOTA))/SUMPRODUCT((nNIA=AE792)*(nCUENTA=1)*(COUNTIF(CONFIG_ASIGNATURAS!$B$7:$B$27,nASIG)&gt;0)*1),"")))</f>
        <v/>
      </c>
    </row>
    <row r="793" spans="2:35" x14ac:dyDescent="0.2">
      <c r="B793" t="str">
        <f>IF(A793="","",IF(A793="[FÓRMULA MANUAL]","",IFERROR(AVERAGEIFS(nNOTA,nNIA,A793,nCUENTA,1,nASIG,"Lenguaje Musical"),"")))</f>
        <v/>
      </c>
      <c r="C793" t="str">
        <f>IF(A793="","",IF(A793="[FÓRMULA MANUAL]","",IFERROR(AVERAGEIFS(nNOTA,nNIA,A793,nCUENTA,1,nASIG,"Orquesta/Banda/Conjunto"),"")))</f>
        <v/>
      </c>
      <c r="D793" t="str">
        <f>IF(A793="","",IF(A793="[FÓRMULA MANUAL]","",IFERROR(AVERAGEIFS(nNOTA,nNIA,A793,nCUENTA,1,nASIG,"Conjunto"),"")))</f>
        <v/>
      </c>
      <c r="E793" t="str">
        <f>IF(A793="","",IF(A793="[FÓRMULA MANUAL]","",IFERROR(SUMPRODUCT((nNIA=A793)*(nCUENTA=1)*(COUNTIF(CONFIG_ASIGNATURAS!$B$7:$B$27,nASIG)&gt;0)*(nNOTA))/SUMPRODUCT((nNIA=A793)*(nCUENTA=1)*(COUNTIF(CONFIG_ASIGNATURAS!$B$7:$B$27,nASIG)&gt;0)*1),"")))</f>
        <v/>
      </c>
      <c r="H793" t="str">
        <f>IF(G793="","",IF(G793="[FÓRMULA MANUAL]","",IFERROR(AVERAGEIFS(nNOTA,nNIA,G793,nCUENTA,1,nASIG,"Lenguaje Musical"),"")))</f>
        <v/>
      </c>
      <c r="I793" t="str">
        <f>IF(G793="","",IF(G793="[FÓRMULA MANUAL]","",IFERROR(AVERAGEIFS(nNOTA,nNIA,G793,nCUENTA,1,nASIG,"Orquesta/Banda/Conjunto"),"")))</f>
        <v/>
      </c>
      <c r="J793" t="str">
        <f>IF(G793="","",IF(G793="[FÓRMULA MANUAL]","",IFERROR(AVERAGEIFS(nNOTA,nNIA,G793,nCUENTA,1,nASIG,"Conjunto"),"")))</f>
        <v/>
      </c>
      <c r="K793" t="str">
        <f>IF(G793="","",IF(G793="[FÓRMULA MANUAL]","",IFERROR(SUMPRODUCT((nNIA=G793)*(nCUENTA=1)*(COUNTIF(CONFIG_ASIGNATURAS!$B$7:$B$27,nASIG)&gt;0)*(nNOTA))/SUMPRODUCT((nNIA=G793)*(nCUENTA=1)*(COUNTIF(CONFIG_ASIGNATURAS!$B$7:$B$27,nASIG)&gt;0)*1),"")))</f>
        <v/>
      </c>
      <c r="N793" t="str">
        <f>IF(M793="","",IF(M793="[FÓRMULA MANUAL]","",IFERROR(AVERAGEIFS(nNOTA,nNIA,M793,nCUENTA,1,nASIG,"Armonía"),"")))</f>
        <v/>
      </c>
      <c r="O793" t="str">
        <f>IF(M793="","",IF(M793="[FÓRMULA MANUAL]","",IFERROR(AVERAGEIFS(nNOTA,nNIA,M793,nCUENTA,1,nASIG,"Orquesta/Banda/Conjunto"),"")))</f>
        <v/>
      </c>
      <c r="P793" t="str">
        <f>IF(M793="","",IF(M793="[FÓRMULA MANUAL]","",IFERROR(AVERAGEIFS(nNOTA,nNIA,M793,nCUENTA,1,nASIG,"Música de Cámara"),"")))</f>
        <v/>
      </c>
      <c r="Q793" t="str">
        <f>IF(M793="","",IF(M793="[FÓRMULA MANUAL]","",IFERROR(SUMPRODUCT((nNIA=M793)*(nCUENTA=1)*(COUNTIF(CONFIG_ASIGNATURAS!$B$7:$B$27,nASIG)&gt;0)*(nNOTA))/SUMPRODUCT((nNIA=M793)*(nCUENTA=1)*(COUNTIF(CONFIG_ASIGNATURAS!$B$7:$B$27,nASIG)&gt;0)*1),"")))</f>
        <v/>
      </c>
      <c r="T793" t="str">
        <f>IF(S793="","",IF(S793="[FÓRMULA MANUAL]","",IFERROR(AVERAGEIFS(nNOTA,nNIA,S793,nCUENTA,1,nASIG,"Armonía"),"")))</f>
        <v/>
      </c>
      <c r="U793" t="str">
        <f>IF(S793="","",IF(S793="[FÓRMULA MANUAL]","",IFERROR(AVERAGEIFS(nNOTA,nNIA,S793,nCUENTA,1,nASIG,"Orquesta/Banda/Conjunto"),"")))</f>
        <v/>
      </c>
      <c r="V793" t="str">
        <f>IF(S793="","",IF(S793="[FÓRMULA MANUAL]","",IFERROR(AVERAGEIFS(nNOTA,nNIA,S793,nCUENTA,1,nASIG,"Música de Cámara"),"")))</f>
        <v/>
      </c>
      <c r="W793" t="str">
        <f>IF(S793="","",IF(S793="[FÓRMULA MANUAL]","",IFERROR(SUMPRODUCT((nNIA=S793)*(nCUENTA=1)*(COUNTIF(CONFIG_ASIGNATURAS!$B$7:$B$27,nASIG)&gt;0)*(nNOTA))/SUMPRODUCT((nNIA=S793)*(nCUENTA=1)*(COUNTIF(CONFIG_ASIGNATURAS!$B$7:$B$27,nASIG)&gt;0)*1),"")))</f>
        <v/>
      </c>
      <c r="Z793" t="str">
        <f>IF(Y793="","",IF(Y793="[FÓRMULA MANUAL]","",IFERROR(AVERAGEIFS(nNOTA,nNIA,Y793,nCUENTA,1,nASIG,"Análisis"),"")))</f>
        <v/>
      </c>
      <c r="AA793" t="str">
        <f>IF(Y793="","",IF(Y793="[FÓRMULA MANUAL]","",IFERROR(AVERAGEIFS(nNOTA,nNIA,Y793,nCUENTA,1,nASIG,"Orquesta/Banda/Conjunto"),"")))</f>
        <v/>
      </c>
      <c r="AB793" t="str">
        <f>IF(Y793="","",IF(Y793="[FÓRMULA MANUAL]","",IFERROR(AVERAGEIFS(nNOTA,nNIA,Y793,nCUENTA,1,nASIG,"Música de Cámara"),"")))</f>
        <v/>
      </c>
      <c r="AC793" t="str">
        <f>IF(Y793="","",IF(Y793="[FÓRMULA MANUAL]","",IFERROR(SUMPRODUCT((nNIA=Y793)*(nCUENTA=1)*(COUNTIF(CONFIG_ASIGNATURAS!$B$7:$B$27,nASIG)&gt;0)*(nNOTA))/SUMPRODUCT((nNIA=Y793)*(nCUENTA=1)*(COUNTIF(CONFIG_ASIGNATURAS!$B$7:$B$27,nASIG)&gt;0)*1),"")))</f>
        <v/>
      </c>
      <c r="AF793" t="str">
        <f>IF(AE793="","",IF(AE793="[FÓRMULA MANUAL]","",IFERROR(AVERAGEIFS(nNOTA,nNIA,AE793,nCUENTA,1,nASIG,"Análisis"),"")))</f>
        <v/>
      </c>
      <c r="AG793" t="str">
        <f>IF(AE793="","",IF(AE793="[FÓRMULA MANUAL]","",IFERROR(AVERAGEIFS(nNOTA,nNIA,AE793,nCUENTA,1,nASIG,"Orquesta/Banda/Conjunto"),"")))</f>
        <v/>
      </c>
      <c r="AH793" t="str">
        <f>IF(AE793="","",IF(AE793="[FÓRMULA MANUAL]","",IFERROR(AVERAGEIFS(nNOTA,nNIA,AE793,nCUENTA,1,nASIG,"Música de Cámara"),"")))</f>
        <v/>
      </c>
      <c r="AI793" t="str">
        <f>IF(AE793="","",IF(AE793="[FÓRMULA MANUAL]","",IFERROR(SUMPRODUCT((nNIA=AE793)*(nCUENTA=1)*(COUNTIF(CONFIG_ASIGNATURAS!$B$7:$B$27,nASIG)&gt;0)*(nNOTA))/SUMPRODUCT((nNIA=AE793)*(nCUENTA=1)*(COUNTIF(CONFIG_ASIGNATURAS!$B$7:$B$27,nASIG)&gt;0)*1),"")))</f>
        <v/>
      </c>
    </row>
    <row r="794" spans="2:35" x14ac:dyDescent="0.2">
      <c r="B794" t="str">
        <f>IF(A794="","",IF(A794="[FÓRMULA MANUAL]","",IFERROR(AVERAGEIFS(nNOTA,nNIA,A794,nCUENTA,1,nASIG,"Lenguaje Musical"),"")))</f>
        <v/>
      </c>
      <c r="C794" t="str">
        <f>IF(A794="","",IF(A794="[FÓRMULA MANUAL]","",IFERROR(AVERAGEIFS(nNOTA,nNIA,A794,nCUENTA,1,nASIG,"Orquesta/Banda/Conjunto"),"")))</f>
        <v/>
      </c>
      <c r="D794" t="str">
        <f>IF(A794="","",IF(A794="[FÓRMULA MANUAL]","",IFERROR(AVERAGEIFS(nNOTA,nNIA,A794,nCUENTA,1,nASIG,"Conjunto"),"")))</f>
        <v/>
      </c>
      <c r="E794" t="str">
        <f>IF(A794="","",IF(A794="[FÓRMULA MANUAL]","",IFERROR(SUMPRODUCT((nNIA=A794)*(nCUENTA=1)*(COUNTIF(CONFIG_ASIGNATURAS!$B$7:$B$27,nASIG)&gt;0)*(nNOTA))/SUMPRODUCT((nNIA=A794)*(nCUENTA=1)*(COUNTIF(CONFIG_ASIGNATURAS!$B$7:$B$27,nASIG)&gt;0)*1),"")))</f>
        <v/>
      </c>
      <c r="H794" t="str">
        <f>IF(G794="","",IF(G794="[FÓRMULA MANUAL]","",IFERROR(AVERAGEIFS(nNOTA,nNIA,G794,nCUENTA,1,nASIG,"Lenguaje Musical"),"")))</f>
        <v/>
      </c>
      <c r="I794" t="str">
        <f>IF(G794="","",IF(G794="[FÓRMULA MANUAL]","",IFERROR(AVERAGEIFS(nNOTA,nNIA,G794,nCUENTA,1,nASIG,"Orquesta/Banda/Conjunto"),"")))</f>
        <v/>
      </c>
      <c r="J794" t="str">
        <f>IF(G794="","",IF(G794="[FÓRMULA MANUAL]","",IFERROR(AVERAGEIFS(nNOTA,nNIA,G794,nCUENTA,1,nASIG,"Conjunto"),"")))</f>
        <v/>
      </c>
      <c r="K794" t="str">
        <f>IF(G794="","",IF(G794="[FÓRMULA MANUAL]","",IFERROR(SUMPRODUCT((nNIA=G794)*(nCUENTA=1)*(COUNTIF(CONFIG_ASIGNATURAS!$B$7:$B$27,nASIG)&gt;0)*(nNOTA))/SUMPRODUCT((nNIA=G794)*(nCUENTA=1)*(COUNTIF(CONFIG_ASIGNATURAS!$B$7:$B$27,nASIG)&gt;0)*1),"")))</f>
        <v/>
      </c>
      <c r="N794" t="str">
        <f>IF(M794="","",IF(M794="[FÓRMULA MANUAL]","",IFERROR(AVERAGEIFS(nNOTA,nNIA,M794,nCUENTA,1,nASIG,"Armonía"),"")))</f>
        <v/>
      </c>
      <c r="O794" t="str">
        <f>IF(M794="","",IF(M794="[FÓRMULA MANUAL]","",IFERROR(AVERAGEIFS(nNOTA,nNIA,M794,nCUENTA,1,nASIG,"Orquesta/Banda/Conjunto"),"")))</f>
        <v/>
      </c>
      <c r="P794" t="str">
        <f>IF(M794="","",IF(M794="[FÓRMULA MANUAL]","",IFERROR(AVERAGEIFS(nNOTA,nNIA,M794,nCUENTA,1,nASIG,"Música de Cámara"),"")))</f>
        <v/>
      </c>
      <c r="Q794" t="str">
        <f>IF(M794="","",IF(M794="[FÓRMULA MANUAL]","",IFERROR(SUMPRODUCT((nNIA=M794)*(nCUENTA=1)*(COUNTIF(CONFIG_ASIGNATURAS!$B$7:$B$27,nASIG)&gt;0)*(nNOTA))/SUMPRODUCT((nNIA=M794)*(nCUENTA=1)*(COUNTIF(CONFIG_ASIGNATURAS!$B$7:$B$27,nASIG)&gt;0)*1),"")))</f>
        <v/>
      </c>
      <c r="T794" t="str">
        <f>IF(S794="","",IF(S794="[FÓRMULA MANUAL]","",IFERROR(AVERAGEIFS(nNOTA,nNIA,S794,nCUENTA,1,nASIG,"Armonía"),"")))</f>
        <v/>
      </c>
      <c r="U794" t="str">
        <f>IF(S794="","",IF(S794="[FÓRMULA MANUAL]","",IFERROR(AVERAGEIFS(nNOTA,nNIA,S794,nCUENTA,1,nASIG,"Orquesta/Banda/Conjunto"),"")))</f>
        <v/>
      </c>
      <c r="V794" t="str">
        <f>IF(S794="","",IF(S794="[FÓRMULA MANUAL]","",IFERROR(AVERAGEIFS(nNOTA,nNIA,S794,nCUENTA,1,nASIG,"Música de Cámara"),"")))</f>
        <v/>
      </c>
      <c r="W794" t="str">
        <f>IF(S794="","",IF(S794="[FÓRMULA MANUAL]","",IFERROR(SUMPRODUCT((nNIA=S794)*(nCUENTA=1)*(COUNTIF(CONFIG_ASIGNATURAS!$B$7:$B$27,nASIG)&gt;0)*(nNOTA))/SUMPRODUCT((nNIA=S794)*(nCUENTA=1)*(COUNTIF(CONFIG_ASIGNATURAS!$B$7:$B$27,nASIG)&gt;0)*1),"")))</f>
        <v/>
      </c>
      <c r="Z794" t="str">
        <f>IF(Y794="","",IF(Y794="[FÓRMULA MANUAL]","",IFERROR(AVERAGEIFS(nNOTA,nNIA,Y794,nCUENTA,1,nASIG,"Análisis"),"")))</f>
        <v/>
      </c>
      <c r="AA794" t="str">
        <f>IF(Y794="","",IF(Y794="[FÓRMULA MANUAL]","",IFERROR(AVERAGEIFS(nNOTA,nNIA,Y794,nCUENTA,1,nASIG,"Orquesta/Banda/Conjunto"),"")))</f>
        <v/>
      </c>
      <c r="AB794" t="str">
        <f>IF(Y794="","",IF(Y794="[FÓRMULA MANUAL]","",IFERROR(AVERAGEIFS(nNOTA,nNIA,Y794,nCUENTA,1,nASIG,"Música de Cámara"),"")))</f>
        <v/>
      </c>
      <c r="AC794" t="str">
        <f>IF(Y794="","",IF(Y794="[FÓRMULA MANUAL]","",IFERROR(SUMPRODUCT((nNIA=Y794)*(nCUENTA=1)*(COUNTIF(CONFIG_ASIGNATURAS!$B$7:$B$27,nASIG)&gt;0)*(nNOTA))/SUMPRODUCT((nNIA=Y794)*(nCUENTA=1)*(COUNTIF(CONFIG_ASIGNATURAS!$B$7:$B$27,nASIG)&gt;0)*1),"")))</f>
        <v/>
      </c>
      <c r="AF794" t="str">
        <f>IF(AE794="","",IF(AE794="[FÓRMULA MANUAL]","",IFERROR(AVERAGEIFS(nNOTA,nNIA,AE794,nCUENTA,1,nASIG,"Análisis"),"")))</f>
        <v/>
      </c>
      <c r="AG794" t="str">
        <f>IF(AE794="","",IF(AE794="[FÓRMULA MANUAL]","",IFERROR(AVERAGEIFS(nNOTA,nNIA,AE794,nCUENTA,1,nASIG,"Orquesta/Banda/Conjunto"),"")))</f>
        <v/>
      </c>
      <c r="AH794" t="str">
        <f>IF(AE794="","",IF(AE794="[FÓRMULA MANUAL]","",IFERROR(AVERAGEIFS(nNOTA,nNIA,AE794,nCUENTA,1,nASIG,"Música de Cámara"),"")))</f>
        <v/>
      </c>
      <c r="AI794" t="str">
        <f>IF(AE794="","",IF(AE794="[FÓRMULA MANUAL]","",IFERROR(SUMPRODUCT((nNIA=AE794)*(nCUENTA=1)*(COUNTIF(CONFIG_ASIGNATURAS!$B$7:$B$27,nASIG)&gt;0)*(nNOTA))/SUMPRODUCT((nNIA=AE794)*(nCUENTA=1)*(COUNTIF(CONFIG_ASIGNATURAS!$B$7:$B$27,nASIG)&gt;0)*1),"")))</f>
        <v/>
      </c>
    </row>
    <row r="795" spans="2:35" x14ac:dyDescent="0.2">
      <c r="B795" t="str">
        <f>IF(A795="","",IF(A795="[FÓRMULA MANUAL]","",IFERROR(AVERAGEIFS(nNOTA,nNIA,A795,nCUENTA,1,nASIG,"Lenguaje Musical"),"")))</f>
        <v/>
      </c>
      <c r="C795" t="str">
        <f>IF(A795="","",IF(A795="[FÓRMULA MANUAL]","",IFERROR(AVERAGEIFS(nNOTA,nNIA,A795,nCUENTA,1,nASIG,"Orquesta/Banda/Conjunto"),"")))</f>
        <v/>
      </c>
      <c r="D795" t="str">
        <f>IF(A795="","",IF(A795="[FÓRMULA MANUAL]","",IFERROR(AVERAGEIFS(nNOTA,nNIA,A795,nCUENTA,1,nASIG,"Conjunto"),"")))</f>
        <v/>
      </c>
      <c r="E795" t="str">
        <f>IF(A795="","",IF(A795="[FÓRMULA MANUAL]","",IFERROR(SUMPRODUCT((nNIA=A795)*(nCUENTA=1)*(COUNTIF(CONFIG_ASIGNATURAS!$B$7:$B$27,nASIG)&gt;0)*(nNOTA))/SUMPRODUCT((nNIA=A795)*(nCUENTA=1)*(COUNTIF(CONFIG_ASIGNATURAS!$B$7:$B$27,nASIG)&gt;0)*1),"")))</f>
        <v/>
      </c>
      <c r="H795" t="str">
        <f>IF(G795="","",IF(G795="[FÓRMULA MANUAL]","",IFERROR(AVERAGEIFS(nNOTA,nNIA,G795,nCUENTA,1,nASIG,"Lenguaje Musical"),"")))</f>
        <v/>
      </c>
      <c r="I795" t="str">
        <f>IF(G795="","",IF(G795="[FÓRMULA MANUAL]","",IFERROR(AVERAGEIFS(nNOTA,nNIA,G795,nCUENTA,1,nASIG,"Orquesta/Banda/Conjunto"),"")))</f>
        <v/>
      </c>
      <c r="J795" t="str">
        <f>IF(G795="","",IF(G795="[FÓRMULA MANUAL]","",IFERROR(AVERAGEIFS(nNOTA,nNIA,G795,nCUENTA,1,nASIG,"Conjunto"),"")))</f>
        <v/>
      </c>
      <c r="K795" t="str">
        <f>IF(G795="","",IF(G795="[FÓRMULA MANUAL]","",IFERROR(SUMPRODUCT((nNIA=G795)*(nCUENTA=1)*(COUNTIF(CONFIG_ASIGNATURAS!$B$7:$B$27,nASIG)&gt;0)*(nNOTA))/SUMPRODUCT((nNIA=G795)*(nCUENTA=1)*(COUNTIF(CONFIG_ASIGNATURAS!$B$7:$B$27,nASIG)&gt;0)*1),"")))</f>
        <v/>
      </c>
      <c r="N795" t="str">
        <f>IF(M795="","",IF(M795="[FÓRMULA MANUAL]","",IFERROR(AVERAGEIFS(nNOTA,nNIA,M795,nCUENTA,1,nASIG,"Armonía"),"")))</f>
        <v/>
      </c>
      <c r="O795" t="str">
        <f>IF(M795="","",IF(M795="[FÓRMULA MANUAL]","",IFERROR(AVERAGEIFS(nNOTA,nNIA,M795,nCUENTA,1,nASIG,"Orquesta/Banda/Conjunto"),"")))</f>
        <v/>
      </c>
      <c r="P795" t="str">
        <f>IF(M795="","",IF(M795="[FÓRMULA MANUAL]","",IFERROR(AVERAGEIFS(nNOTA,nNIA,M795,nCUENTA,1,nASIG,"Música de Cámara"),"")))</f>
        <v/>
      </c>
      <c r="Q795" t="str">
        <f>IF(M795="","",IF(M795="[FÓRMULA MANUAL]","",IFERROR(SUMPRODUCT((nNIA=M795)*(nCUENTA=1)*(COUNTIF(CONFIG_ASIGNATURAS!$B$7:$B$27,nASIG)&gt;0)*(nNOTA))/SUMPRODUCT((nNIA=M795)*(nCUENTA=1)*(COUNTIF(CONFIG_ASIGNATURAS!$B$7:$B$27,nASIG)&gt;0)*1),"")))</f>
        <v/>
      </c>
      <c r="T795" t="str">
        <f>IF(S795="","",IF(S795="[FÓRMULA MANUAL]","",IFERROR(AVERAGEIFS(nNOTA,nNIA,S795,nCUENTA,1,nASIG,"Armonía"),"")))</f>
        <v/>
      </c>
      <c r="U795" t="str">
        <f>IF(S795="","",IF(S795="[FÓRMULA MANUAL]","",IFERROR(AVERAGEIFS(nNOTA,nNIA,S795,nCUENTA,1,nASIG,"Orquesta/Banda/Conjunto"),"")))</f>
        <v/>
      </c>
      <c r="V795" t="str">
        <f>IF(S795="","",IF(S795="[FÓRMULA MANUAL]","",IFERROR(AVERAGEIFS(nNOTA,nNIA,S795,nCUENTA,1,nASIG,"Música de Cámara"),"")))</f>
        <v/>
      </c>
      <c r="W795" t="str">
        <f>IF(S795="","",IF(S795="[FÓRMULA MANUAL]","",IFERROR(SUMPRODUCT((nNIA=S795)*(nCUENTA=1)*(COUNTIF(CONFIG_ASIGNATURAS!$B$7:$B$27,nASIG)&gt;0)*(nNOTA))/SUMPRODUCT((nNIA=S795)*(nCUENTA=1)*(COUNTIF(CONFIG_ASIGNATURAS!$B$7:$B$27,nASIG)&gt;0)*1),"")))</f>
        <v/>
      </c>
      <c r="Z795" t="str">
        <f>IF(Y795="","",IF(Y795="[FÓRMULA MANUAL]","",IFERROR(AVERAGEIFS(nNOTA,nNIA,Y795,nCUENTA,1,nASIG,"Análisis"),"")))</f>
        <v/>
      </c>
      <c r="AA795" t="str">
        <f>IF(Y795="","",IF(Y795="[FÓRMULA MANUAL]","",IFERROR(AVERAGEIFS(nNOTA,nNIA,Y795,nCUENTA,1,nASIG,"Orquesta/Banda/Conjunto"),"")))</f>
        <v/>
      </c>
      <c r="AB795" t="str">
        <f>IF(Y795="","",IF(Y795="[FÓRMULA MANUAL]","",IFERROR(AVERAGEIFS(nNOTA,nNIA,Y795,nCUENTA,1,nASIG,"Música de Cámara"),"")))</f>
        <v/>
      </c>
      <c r="AC795" t="str">
        <f>IF(Y795="","",IF(Y795="[FÓRMULA MANUAL]","",IFERROR(SUMPRODUCT((nNIA=Y795)*(nCUENTA=1)*(COUNTIF(CONFIG_ASIGNATURAS!$B$7:$B$27,nASIG)&gt;0)*(nNOTA))/SUMPRODUCT((nNIA=Y795)*(nCUENTA=1)*(COUNTIF(CONFIG_ASIGNATURAS!$B$7:$B$27,nASIG)&gt;0)*1),"")))</f>
        <v/>
      </c>
      <c r="AF795" t="str">
        <f>IF(AE795="","",IF(AE795="[FÓRMULA MANUAL]","",IFERROR(AVERAGEIFS(nNOTA,nNIA,AE795,nCUENTA,1,nASIG,"Análisis"),"")))</f>
        <v/>
      </c>
      <c r="AG795" t="str">
        <f>IF(AE795="","",IF(AE795="[FÓRMULA MANUAL]","",IFERROR(AVERAGEIFS(nNOTA,nNIA,AE795,nCUENTA,1,nASIG,"Orquesta/Banda/Conjunto"),"")))</f>
        <v/>
      </c>
      <c r="AH795" t="str">
        <f>IF(AE795="","",IF(AE795="[FÓRMULA MANUAL]","",IFERROR(AVERAGEIFS(nNOTA,nNIA,AE795,nCUENTA,1,nASIG,"Música de Cámara"),"")))</f>
        <v/>
      </c>
      <c r="AI795" t="str">
        <f>IF(AE795="","",IF(AE795="[FÓRMULA MANUAL]","",IFERROR(SUMPRODUCT((nNIA=AE795)*(nCUENTA=1)*(COUNTIF(CONFIG_ASIGNATURAS!$B$7:$B$27,nASIG)&gt;0)*(nNOTA))/SUMPRODUCT((nNIA=AE795)*(nCUENTA=1)*(COUNTIF(CONFIG_ASIGNATURAS!$B$7:$B$27,nASIG)&gt;0)*1),"")))</f>
        <v/>
      </c>
    </row>
    <row r="796" spans="2:35" x14ac:dyDescent="0.2">
      <c r="B796" t="str">
        <f>IF(A796="","",IF(A796="[FÓRMULA MANUAL]","",IFERROR(AVERAGEIFS(nNOTA,nNIA,A796,nCUENTA,1,nASIG,"Lenguaje Musical"),"")))</f>
        <v/>
      </c>
      <c r="C796" t="str">
        <f>IF(A796="","",IF(A796="[FÓRMULA MANUAL]","",IFERROR(AVERAGEIFS(nNOTA,nNIA,A796,nCUENTA,1,nASIG,"Orquesta/Banda/Conjunto"),"")))</f>
        <v/>
      </c>
      <c r="D796" t="str">
        <f>IF(A796="","",IF(A796="[FÓRMULA MANUAL]","",IFERROR(AVERAGEIFS(nNOTA,nNIA,A796,nCUENTA,1,nASIG,"Conjunto"),"")))</f>
        <v/>
      </c>
      <c r="E796" t="str">
        <f>IF(A796="","",IF(A796="[FÓRMULA MANUAL]","",IFERROR(SUMPRODUCT((nNIA=A796)*(nCUENTA=1)*(COUNTIF(CONFIG_ASIGNATURAS!$B$7:$B$27,nASIG)&gt;0)*(nNOTA))/SUMPRODUCT((nNIA=A796)*(nCUENTA=1)*(COUNTIF(CONFIG_ASIGNATURAS!$B$7:$B$27,nASIG)&gt;0)*1),"")))</f>
        <v/>
      </c>
      <c r="H796" t="str">
        <f>IF(G796="","",IF(G796="[FÓRMULA MANUAL]","",IFERROR(AVERAGEIFS(nNOTA,nNIA,G796,nCUENTA,1,nASIG,"Lenguaje Musical"),"")))</f>
        <v/>
      </c>
      <c r="I796" t="str">
        <f>IF(G796="","",IF(G796="[FÓRMULA MANUAL]","",IFERROR(AVERAGEIFS(nNOTA,nNIA,G796,nCUENTA,1,nASIG,"Orquesta/Banda/Conjunto"),"")))</f>
        <v/>
      </c>
      <c r="J796" t="str">
        <f>IF(G796="","",IF(G796="[FÓRMULA MANUAL]","",IFERROR(AVERAGEIFS(nNOTA,nNIA,G796,nCUENTA,1,nASIG,"Conjunto"),"")))</f>
        <v/>
      </c>
      <c r="K796" t="str">
        <f>IF(G796="","",IF(G796="[FÓRMULA MANUAL]","",IFERROR(SUMPRODUCT((nNIA=G796)*(nCUENTA=1)*(COUNTIF(CONFIG_ASIGNATURAS!$B$7:$B$27,nASIG)&gt;0)*(nNOTA))/SUMPRODUCT((nNIA=G796)*(nCUENTA=1)*(COUNTIF(CONFIG_ASIGNATURAS!$B$7:$B$27,nASIG)&gt;0)*1),"")))</f>
        <v/>
      </c>
      <c r="N796" t="str">
        <f>IF(M796="","",IF(M796="[FÓRMULA MANUAL]","",IFERROR(AVERAGEIFS(nNOTA,nNIA,M796,nCUENTA,1,nASIG,"Armonía"),"")))</f>
        <v/>
      </c>
      <c r="O796" t="str">
        <f>IF(M796="","",IF(M796="[FÓRMULA MANUAL]","",IFERROR(AVERAGEIFS(nNOTA,nNIA,M796,nCUENTA,1,nASIG,"Orquesta/Banda/Conjunto"),"")))</f>
        <v/>
      </c>
      <c r="P796" t="str">
        <f>IF(M796="","",IF(M796="[FÓRMULA MANUAL]","",IFERROR(AVERAGEIFS(nNOTA,nNIA,M796,nCUENTA,1,nASIG,"Música de Cámara"),"")))</f>
        <v/>
      </c>
      <c r="Q796" t="str">
        <f>IF(M796="","",IF(M796="[FÓRMULA MANUAL]","",IFERROR(SUMPRODUCT((nNIA=M796)*(nCUENTA=1)*(COUNTIF(CONFIG_ASIGNATURAS!$B$7:$B$27,nASIG)&gt;0)*(nNOTA))/SUMPRODUCT((nNIA=M796)*(nCUENTA=1)*(COUNTIF(CONFIG_ASIGNATURAS!$B$7:$B$27,nASIG)&gt;0)*1),"")))</f>
        <v/>
      </c>
      <c r="T796" t="str">
        <f>IF(S796="","",IF(S796="[FÓRMULA MANUAL]","",IFERROR(AVERAGEIFS(nNOTA,nNIA,S796,nCUENTA,1,nASIG,"Armonía"),"")))</f>
        <v/>
      </c>
      <c r="U796" t="str">
        <f>IF(S796="","",IF(S796="[FÓRMULA MANUAL]","",IFERROR(AVERAGEIFS(nNOTA,nNIA,S796,nCUENTA,1,nASIG,"Orquesta/Banda/Conjunto"),"")))</f>
        <v/>
      </c>
      <c r="V796" t="str">
        <f>IF(S796="","",IF(S796="[FÓRMULA MANUAL]","",IFERROR(AVERAGEIFS(nNOTA,nNIA,S796,nCUENTA,1,nASIG,"Música de Cámara"),"")))</f>
        <v/>
      </c>
      <c r="W796" t="str">
        <f>IF(S796="","",IF(S796="[FÓRMULA MANUAL]","",IFERROR(SUMPRODUCT((nNIA=S796)*(nCUENTA=1)*(COUNTIF(CONFIG_ASIGNATURAS!$B$7:$B$27,nASIG)&gt;0)*(nNOTA))/SUMPRODUCT((nNIA=S796)*(nCUENTA=1)*(COUNTIF(CONFIG_ASIGNATURAS!$B$7:$B$27,nASIG)&gt;0)*1),"")))</f>
        <v/>
      </c>
      <c r="Z796" t="str">
        <f>IF(Y796="","",IF(Y796="[FÓRMULA MANUAL]","",IFERROR(AVERAGEIFS(nNOTA,nNIA,Y796,nCUENTA,1,nASIG,"Análisis"),"")))</f>
        <v/>
      </c>
      <c r="AA796" t="str">
        <f>IF(Y796="","",IF(Y796="[FÓRMULA MANUAL]","",IFERROR(AVERAGEIFS(nNOTA,nNIA,Y796,nCUENTA,1,nASIG,"Orquesta/Banda/Conjunto"),"")))</f>
        <v/>
      </c>
      <c r="AB796" t="str">
        <f>IF(Y796="","",IF(Y796="[FÓRMULA MANUAL]","",IFERROR(AVERAGEIFS(nNOTA,nNIA,Y796,nCUENTA,1,nASIG,"Música de Cámara"),"")))</f>
        <v/>
      </c>
      <c r="AC796" t="str">
        <f>IF(Y796="","",IF(Y796="[FÓRMULA MANUAL]","",IFERROR(SUMPRODUCT((nNIA=Y796)*(nCUENTA=1)*(COUNTIF(CONFIG_ASIGNATURAS!$B$7:$B$27,nASIG)&gt;0)*(nNOTA))/SUMPRODUCT((nNIA=Y796)*(nCUENTA=1)*(COUNTIF(CONFIG_ASIGNATURAS!$B$7:$B$27,nASIG)&gt;0)*1),"")))</f>
        <v/>
      </c>
      <c r="AF796" t="str">
        <f>IF(AE796="","",IF(AE796="[FÓRMULA MANUAL]","",IFERROR(AVERAGEIFS(nNOTA,nNIA,AE796,nCUENTA,1,nASIG,"Análisis"),"")))</f>
        <v/>
      </c>
      <c r="AG796" t="str">
        <f>IF(AE796="","",IF(AE796="[FÓRMULA MANUAL]","",IFERROR(AVERAGEIFS(nNOTA,nNIA,AE796,nCUENTA,1,nASIG,"Orquesta/Banda/Conjunto"),"")))</f>
        <v/>
      </c>
      <c r="AH796" t="str">
        <f>IF(AE796="","",IF(AE796="[FÓRMULA MANUAL]","",IFERROR(AVERAGEIFS(nNOTA,nNIA,AE796,nCUENTA,1,nASIG,"Música de Cámara"),"")))</f>
        <v/>
      </c>
      <c r="AI796" t="str">
        <f>IF(AE796="","",IF(AE796="[FÓRMULA MANUAL]","",IFERROR(SUMPRODUCT((nNIA=AE796)*(nCUENTA=1)*(COUNTIF(CONFIG_ASIGNATURAS!$B$7:$B$27,nASIG)&gt;0)*(nNOTA))/SUMPRODUCT((nNIA=AE796)*(nCUENTA=1)*(COUNTIF(CONFIG_ASIGNATURAS!$B$7:$B$27,nASIG)&gt;0)*1),"")))</f>
        <v/>
      </c>
    </row>
    <row r="797" spans="2:35" x14ac:dyDescent="0.2">
      <c r="B797" t="str">
        <f>IF(A797="","",IF(A797="[FÓRMULA MANUAL]","",IFERROR(AVERAGEIFS(nNOTA,nNIA,A797,nCUENTA,1,nASIG,"Lenguaje Musical"),"")))</f>
        <v/>
      </c>
      <c r="C797" t="str">
        <f>IF(A797="","",IF(A797="[FÓRMULA MANUAL]","",IFERROR(AVERAGEIFS(nNOTA,nNIA,A797,nCUENTA,1,nASIG,"Orquesta/Banda/Conjunto"),"")))</f>
        <v/>
      </c>
      <c r="D797" t="str">
        <f>IF(A797="","",IF(A797="[FÓRMULA MANUAL]","",IFERROR(AVERAGEIFS(nNOTA,nNIA,A797,nCUENTA,1,nASIG,"Conjunto"),"")))</f>
        <v/>
      </c>
      <c r="E797" t="str">
        <f>IF(A797="","",IF(A797="[FÓRMULA MANUAL]","",IFERROR(SUMPRODUCT((nNIA=A797)*(nCUENTA=1)*(COUNTIF(CONFIG_ASIGNATURAS!$B$7:$B$27,nASIG)&gt;0)*(nNOTA))/SUMPRODUCT((nNIA=A797)*(nCUENTA=1)*(COUNTIF(CONFIG_ASIGNATURAS!$B$7:$B$27,nASIG)&gt;0)*1),"")))</f>
        <v/>
      </c>
      <c r="H797" t="str">
        <f>IF(G797="","",IF(G797="[FÓRMULA MANUAL]","",IFERROR(AVERAGEIFS(nNOTA,nNIA,G797,nCUENTA,1,nASIG,"Lenguaje Musical"),"")))</f>
        <v/>
      </c>
      <c r="I797" t="str">
        <f>IF(G797="","",IF(G797="[FÓRMULA MANUAL]","",IFERROR(AVERAGEIFS(nNOTA,nNIA,G797,nCUENTA,1,nASIG,"Orquesta/Banda/Conjunto"),"")))</f>
        <v/>
      </c>
      <c r="J797" t="str">
        <f>IF(G797="","",IF(G797="[FÓRMULA MANUAL]","",IFERROR(AVERAGEIFS(nNOTA,nNIA,G797,nCUENTA,1,nASIG,"Conjunto"),"")))</f>
        <v/>
      </c>
      <c r="K797" t="str">
        <f>IF(G797="","",IF(G797="[FÓRMULA MANUAL]","",IFERROR(SUMPRODUCT((nNIA=G797)*(nCUENTA=1)*(COUNTIF(CONFIG_ASIGNATURAS!$B$7:$B$27,nASIG)&gt;0)*(nNOTA))/SUMPRODUCT((nNIA=G797)*(nCUENTA=1)*(COUNTIF(CONFIG_ASIGNATURAS!$B$7:$B$27,nASIG)&gt;0)*1),"")))</f>
        <v/>
      </c>
      <c r="N797" t="str">
        <f>IF(M797="","",IF(M797="[FÓRMULA MANUAL]","",IFERROR(AVERAGEIFS(nNOTA,nNIA,M797,nCUENTA,1,nASIG,"Armonía"),"")))</f>
        <v/>
      </c>
      <c r="O797" t="str">
        <f>IF(M797="","",IF(M797="[FÓRMULA MANUAL]","",IFERROR(AVERAGEIFS(nNOTA,nNIA,M797,nCUENTA,1,nASIG,"Orquesta/Banda/Conjunto"),"")))</f>
        <v/>
      </c>
      <c r="P797" t="str">
        <f>IF(M797="","",IF(M797="[FÓRMULA MANUAL]","",IFERROR(AVERAGEIFS(nNOTA,nNIA,M797,nCUENTA,1,nASIG,"Música de Cámara"),"")))</f>
        <v/>
      </c>
      <c r="Q797" t="str">
        <f>IF(M797="","",IF(M797="[FÓRMULA MANUAL]","",IFERROR(SUMPRODUCT((nNIA=M797)*(nCUENTA=1)*(COUNTIF(CONFIG_ASIGNATURAS!$B$7:$B$27,nASIG)&gt;0)*(nNOTA))/SUMPRODUCT((nNIA=M797)*(nCUENTA=1)*(COUNTIF(CONFIG_ASIGNATURAS!$B$7:$B$27,nASIG)&gt;0)*1),"")))</f>
        <v/>
      </c>
      <c r="T797" t="str">
        <f>IF(S797="","",IF(S797="[FÓRMULA MANUAL]","",IFERROR(AVERAGEIFS(nNOTA,nNIA,S797,nCUENTA,1,nASIG,"Armonía"),"")))</f>
        <v/>
      </c>
      <c r="U797" t="str">
        <f>IF(S797="","",IF(S797="[FÓRMULA MANUAL]","",IFERROR(AVERAGEIFS(nNOTA,nNIA,S797,nCUENTA,1,nASIG,"Orquesta/Banda/Conjunto"),"")))</f>
        <v/>
      </c>
      <c r="V797" t="str">
        <f>IF(S797="","",IF(S797="[FÓRMULA MANUAL]","",IFERROR(AVERAGEIFS(nNOTA,nNIA,S797,nCUENTA,1,nASIG,"Música de Cámara"),"")))</f>
        <v/>
      </c>
      <c r="W797" t="str">
        <f>IF(S797="","",IF(S797="[FÓRMULA MANUAL]","",IFERROR(SUMPRODUCT((nNIA=S797)*(nCUENTA=1)*(COUNTIF(CONFIG_ASIGNATURAS!$B$7:$B$27,nASIG)&gt;0)*(nNOTA))/SUMPRODUCT((nNIA=S797)*(nCUENTA=1)*(COUNTIF(CONFIG_ASIGNATURAS!$B$7:$B$27,nASIG)&gt;0)*1),"")))</f>
        <v/>
      </c>
      <c r="Z797" t="str">
        <f>IF(Y797="","",IF(Y797="[FÓRMULA MANUAL]","",IFERROR(AVERAGEIFS(nNOTA,nNIA,Y797,nCUENTA,1,nASIG,"Análisis"),"")))</f>
        <v/>
      </c>
      <c r="AA797" t="str">
        <f>IF(Y797="","",IF(Y797="[FÓRMULA MANUAL]","",IFERROR(AVERAGEIFS(nNOTA,nNIA,Y797,nCUENTA,1,nASIG,"Orquesta/Banda/Conjunto"),"")))</f>
        <v/>
      </c>
      <c r="AB797" t="str">
        <f>IF(Y797="","",IF(Y797="[FÓRMULA MANUAL]","",IFERROR(AVERAGEIFS(nNOTA,nNIA,Y797,nCUENTA,1,nASIG,"Música de Cámara"),"")))</f>
        <v/>
      </c>
      <c r="AC797" t="str">
        <f>IF(Y797="","",IF(Y797="[FÓRMULA MANUAL]","",IFERROR(SUMPRODUCT((nNIA=Y797)*(nCUENTA=1)*(COUNTIF(CONFIG_ASIGNATURAS!$B$7:$B$27,nASIG)&gt;0)*(nNOTA))/SUMPRODUCT((nNIA=Y797)*(nCUENTA=1)*(COUNTIF(CONFIG_ASIGNATURAS!$B$7:$B$27,nASIG)&gt;0)*1),"")))</f>
        <v/>
      </c>
      <c r="AF797" t="str">
        <f>IF(AE797="","",IF(AE797="[FÓRMULA MANUAL]","",IFERROR(AVERAGEIFS(nNOTA,nNIA,AE797,nCUENTA,1,nASIG,"Análisis"),"")))</f>
        <v/>
      </c>
      <c r="AG797" t="str">
        <f>IF(AE797="","",IF(AE797="[FÓRMULA MANUAL]","",IFERROR(AVERAGEIFS(nNOTA,nNIA,AE797,nCUENTA,1,nASIG,"Orquesta/Banda/Conjunto"),"")))</f>
        <v/>
      </c>
      <c r="AH797" t="str">
        <f>IF(AE797="","",IF(AE797="[FÓRMULA MANUAL]","",IFERROR(AVERAGEIFS(nNOTA,nNIA,AE797,nCUENTA,1,nASIG,"Música de Cámara"),"")))</f>
        <v/>
      </c>
      <c r="AI797" t="str">
        <f>IF(AE797="","",IF(AE797="[FÓRMULA MANUAL]","",IFERROR(SUMPRODUCT((nNIA=AE797)*(nCUENTA=1)*(COUNTIF(CONFIG_ASIGNATURAS!$B$7:$B$27,nASIG)&gt;0)*(nNOTA))/SUMPRODUCT((nNIA=AE797)*(nCUENTA=1)*(COUNTIF(CONFIG_ASIGNATURAS!$B$7:$B$27,nASIG)&gt;0)*1),"")))</f>
        <v/>
      </c>
    </row>
    <row r="798" spans="2:35" x14ac:dyDescent="0.2">
      <c r="B798" t="str">
        <f>IF(A798="","",IF(A798="[FÓRMULA MANUAL]","",IFERROR(AVERAGEIFS(nNOTA,nNIA,A798,nCUENTA,1,nASIG,"Lenguaje Musical"),"")))</f>
        <v/>
      </c>
      <c r="C798" t="str">
        <f>IF(A798="","",IF(A798="[FÓRMULA MANUAL]","",IFERROR(AVERAGEIFS(nNOTA,nNIA,A798,nCUENTA,1,nASIG,"Orquesta/Banda/Conjunto"),"")))</f>
        <v/>
      </c>
      <c r="D798" t="str">
        <f>IF(A798="","",IF(A798="[FÓRMULA MANUAL]","",IFERROR(AVERAGEIFS(nNOTA,nNIA,A798,nCUENTA,1,nASIG,"Conjunto"),"")))</f>
        <v/>
      </c>
      <c r="E798" t="str">
        <f>IF(A798="","",IF(A798="[FÓRMULA MANUAL]","",IFERROR(SUMPRODUCT((nNIA=A798)*(nCUENTA=1)*(COUNTIF(CONFIG_ASIGNATURAS!$B$7:$B$27,nASIG)&gt;0)*(nNOTA))/SUMPRODUCT((nNIA=A798)*(nCUENTA=1)*(COUNTIF(CONFIG_ASIGNATURAS!$B$7:$B$27,nASIG)&gt;0)*1),"")))</f>
        <v/>
      </c>
      <c r="H798" t="str">
        <f>IF(G798="","",IF(G798="[FÓRMULA MANUAL]","",IFERROR(AVERAGEIFS(nNOTA,nNIA,G798,nCUENTA,1,nASIG,"Lenguaje Musical"),"")))</f>
        <v/>
      </c>
      <c r="I798" t="str">
        <f>IF(G798="","",IF(G798="[FÓRMULA MANUAL]","",IFERROR(AVERAGEIFS(nNOTA,nNIA,G798,nCUENTA,1,nASIG,"Orquesta/Banda/Conjunto"),"")))</f>
        <v/>
      </c>
      <c r="J798" t="str">
        <f>IF(G798="","",IF(G798="[FÓRMULA MANUAL]","",IFERROR(AVERAGEIFS(nNOTA,nNIA,G798,nCUENTA,1,nASIG,"Conjunto"),"")))</f>
        <v/>
      </c>
      <c r="K798" t="str">
        <f>IF(G798="","",IF(G798="[FÓRMULA MANUAL]","",IFERROR(SUMPRODUCT((nNIA=G798)*(nCUENTA=1)*(COUNTIF(CONFIG_ASIGNATURAS!$B$7:$B$27,nASIG)&gt;0)*(nNOTA))/SUMPRODUCT((nNIA=G798)*(nCUENTA=1)*(COUNTIF(CONFIG_ASIGNATURAS!$B$7:$B$27,nASIG)&gt;0)*1),"")))</f>
        <v/>
      </c>
      <c r="N798" t="str">
        <f>IF(M798="","",IF(M798="[FÓRMULA MANUAL]","",IFERROR(AVERAGEIFS(nNOTA,nNIA,M798,nCUENTA,1,nASIG,"Armonía"),"")))</f>
        <v/>
      </c>
      <c r="O798" t="str">
        <f>IF(M798="","",IF(M798="[FÓRMULA MANUAL]","",IFERROR(AVERAGEIFS(nNOTA,nNIA,M798,nCUENTA,1,nASIG,"Orquesta/Banda/Conjunto"),"")))</f>
        <v/>
      </c>
      <c r="P798" t="str">
        <f>IF(M798="","",IF(M798="[FÓRMULA MANUAL]","",IFERROR(AVERAGEIFS(nNOTA,nNIA,M798,nCUENTA,1,nASIG,"Música de Cámara"),"")))</f>
        <v/>
      </c>
      <c r="Q798" t="str">
        <f>IF(M798="","",IF(M798="[FÓRMULA MANUAL]","",IFERROR(SUMPRODUCT((nNIA=M798)*(nCUENTA=1)*(COUNTIF(CONFIG_ASIGNATURAS!$B$7:$B$27,nASIG)&gt;0)*(nNOTA))/SUMPRODUCT((nNIA=M798)*(nCUENTA=1)*(COUNTIF(CONFIG_ASIGNATURAS!$B$7:$B$27,nASIG)&gt;0)*1),"")))</f>
        <v/>
      </c>
      <c r="T798" t="str">
        <f>IF(S798="","",IF(S798="[FÓRMULA MANUAL]","",IFERROR(AVERAGEIFS(nNOTA,nNIA,S798,nCUENTA,1,nASIG,"Armonía"),"")))</f>
        <v/>
      </c>
      <c r="U798" t="str">
        <f>IF(S798="","",IF(S798="[FÓRMULA MANUAL]","",IFERROR(AVERAGEIFS(nNOTA,nNIA,S798,nCUENTA,1,nASIG,"Orquesta/Banda/Conjunto"),"")))</f>
        <v/>
      </c>
      <c r="V798" t="str">
        <f>IF(S798="","",IF(S798="[FÓRMULA MANUAL]","",IFERROR(AVERAGEIFS(nNOTA,nNIA,S798,nCUENTA,1,nASIG,"Música de Cámara"),"")))</f>
        <v/>
      </c>
      <c r="W798" t="str">
        <f>IF(S798="","",IF(S798="[FÓRMULA MANUAL]","",IFERROR(SUMPRODUCT((nNIA=S798)*(nCUENTA=1)*(COUNTIF(CONFIG_ASIGNATURAS!$B$7:$B$27,nASIG)&gt;0)*(nNOTA))/SUMPRODUCT((nNIA=S798)*(nCUENTA=1)*(COUNTIF(CONFIG_ASIGNATURAS!$B$7:$B$27,nASIG)&gt;0)*1),"")))</f>
        <v/>
      </c>
      <c r="Z798" t="str">
        <f>IF(Y798="","",IF(Y798="[FÓRMULA MANUAL]","",IFERROR(AVERAGEIFS(nNOTA,nNIA,Y798,nCUENTA,1,nASIG,"Análisis"),"")))</f>
        <v/>
      </c>
      <c r="AA798" t="str">
        <f>IF(Y798="","",IF(Y798="[FÓRMULA MANUAL]","",IFERROR(AVERAGEIFS(nNOTA,nNIA,Y798,nCUENTA,1,nASIG,"Orquesta/Banda/Conjunto"),"")))</f>
        <v/>
      </c>
      <c r="AB798" t="str">
        <f>IF(Y798="","",IF(Y798="[FÓRMULA MANUAL]","",IFERROR(AVERAGEIFS(nNOTA,nNIA,Y798,nCUENTA,1,nASIG,"Música de Cámara"),"")))</f>
        <v/>
      </c>
      <c r="AC798" t="str">
        <f>IF(Y798="","",IF(Y798="[FÓRMULA MANUAL]","",IFERROR(SUMPRODUCT((nNIA=Y798)*(nCUENTA=1)*(COUNTIF(CONFIG_ASIGNATURAS!$B$7:$B$27,nASIG)&gt;0)*(nNOTA))/SUMPRODUCT((nNIA=Y798)*(nCUENTA=1)*(COUNTIF(CONFIG_ASIGNATURAS!$B$7:$B$27,nASIG)&gt;0)*1),"")))</f>
        <v/>
      </c>
      <c r="AF798" t="str">
        <f>IF(AE798="","",IF(AE798="[FÓRMULA MANUAL]","",IFERROR(AVERAGEIFS(nNOTA,nNIA,AE798,nCUENTA,1,nASIG,"Análisis"),"")))</f>
        <v/>
      </c>
      <c r="AG798" t="str">
        <f>IF(AE798="","",IF(AE798="[FÓRMULA MANUAL]","",IFERROR(AVERAGEIFS(nNOTA,nNIA,AE798,nCUENTA,1,nASIG,"Orquesta/Banda/Conjunto"),"")))</f>
        <v/>
      </c>
      <c r="AH798" t="str">
        <f>IF(AE798="","",IF(AE798="[FÓRMULA MANUAL]","",IFERROR(AVERAGEIFS(nNOTA,nNIA,AE798,nCUENTA,1,nASIG,"Música de Cámara"),"")))</f>
        <v/>
      </c>
      <c r="AI798" t="str">
        <f>IF(AE798="","",IF(AE798="[FÓRMULA MANUAL]","",IFERROR(SUMPRODUCT((nNIA=AE798)*(nCUENTA=1)*(COUNTIF(CONFIG_ASIGNATURAS!$B$7:$B$27,nASIG)&gt;0)*(nNOTA))/SUMPRODUCT((nNIA=AE798)*(nCUENTA=1)*(COUNTIF(CONFIG_ASIGNATURAS!$B$7:$B$27,nASIG)&gt;0)*1),"")))</f>
        <v/>
      </c>
    </row>
    <row r="799" spans="2:35" x14ac:dyDescent="0.2">
      <c r="B799" t="str">
        <f>IF(A799="","",IF(A799="[FÓRMULA MANUAL]","",IFERROR(AVERAGEIFS(nNOTA,nNIA,A799,nCUENTA,1,nASIG,"Lenguaje Musical"),"")))</f>
        <v/>
      </c>
      <c r="C799" t="str">
        <f>IF(A799="","",IF(A799="[FÓRMULA MANUAL]","",IFERROR(AVERAGEIFS(nNOTA,nNIA,A799,nCUENTA,1,nASIG,"Orquesta/Banda/Conjunto"),"")))</f>
        <v/>
      </c>
      <c r="D799" t="str">
        <f>IF(A799="","",IF(A799="[FÓRMULA MANUAL]","",IFERROR(AVERAGEIFS(nNOTA,nNIA,A799,nCUENTA,1,nASIG,"Conjunto"),"")))</f>
        <v/>
      </c>
      <c r="E799" t="str">
        <f>IF(A799="","",IF(A799="[FÓRMULA MANUAL]","",IFERROR(SUMPRODUCT((nNIA=A799)*(nCUENTA=1)*(COUNTIF(CONFIG_ASIGNATURAS!$B$7:$B$27,nASIG)&gt;0)*(nNOTA))/SUMPRODUCT((nNIA=A799)*(nCUENTA=1)*(COUNTIF(CONFIG_ASIGNATURAS!$B$7:$B$27,nASIG)&gt;0)*1),"")))</f>
        <v/>
      </c>
      <c r="H799" t="str">
        <f>IF(G799="","",IF(G799="[FÓRMULA MANUAL]","",IFERROR(AVERAGEIFS(nNOTA,nNIA,G799,nCUENTA,1,nASIG,"Lenguaje Musical"),"")))</f>
        <v/>
      </c>
      <c r="I799" t="str">
        <f>IF(G799="","",IF(G799="[FÓRMULA MANUAL]","",IFERROR(AVERAGEIFS(nNOTA,nNIA,G799,nCUENTA,1,nASIG,"Orquesta/Banda/Conjunto"),"")))</f>
        <v/>
      </c>
      <c r="J799" t="str">
        <f>IF(G799="","",IF(G799="[FÓRMULA MANUAL]","",IFERROR(AVERAGEIFS(nNOTA,nNIA,G799,nCUENTA,1,nASIG,"Conjunto"),"")))</f>
        <v/>
      </c>
      <c r="K799" t="str">
        <f>IF(G799="","",IF(G799="[FÓRMULA MANUAL]","",IFERROR(SUMPRODUCT((nNIA=G799)*(nCUENTA=1)*(COUNTIF(CONFIG_ASIGNATURAS!$B$7:$B$27,nASIG)&gt;0)*(nNOTA))/SUMPRODUCT((nNIA=G799)*(nCUENTA=1)*(COUNTIF(CONFIG_ASIGNATURAS!$B$7:$B$27,nASIG)&gt;0)*1),"")))</f>
        <v/>
      </c>
      <c r="N799" t="str">
        <f>IF(M799="","",IF(M799="[FÓRMULA MANUAL]","",IFERROR(AVERAGEIFS(nNOTA,nNIA,M799,nCUENTA,1,nASIG,"Armonía"),"")))</f>
        <v/>
      </c>
      <c r="O799" t="str">
        <f>IF(M799="","",IF(M799="[FÓRMULA MANUAL]","",IFERROR(AVERAGEIFS(nNOTA,nNIA,M799,nCUENTA,1,nASIG,"Orquesta/Banda/Conjunto"),"")))</f>
        <v/>
      </c>
      <c r="P799" t="str">
        <f>IF(M799="","",IF(M799="[FÓRMULA MANUAL]","",IFERROR(AVERAGEIFS(nNOTA,nNIA,M799,nCUENTA,1,nASIG,"Música de Cámara"),"")))</f>
        <v/>
      </c>
      <c r="Q799" t="str">
        <f>IF(M799="","",IF(M799="[FÓRMULA MANUAL]","",IFERROR(SUMPRODUCT((nNIA=M799)*(nCUENTA=1)*(COUNTIF(CONFIG_ASIGNATURAS!$B$7:$B$27,nASIG)&gt;0)*(nNOTA))/SUMPRODUCT((nNIA=M799)*(nCUENTA=1)*(COUNTIF(CONFIG_ASIGNATURAS!$B$7:$B$27,nASIG)&gt;0)*1),"")))</f>
        <v/>
      </c>
      <c r="T799" t="str">
        <f>IF(S799="","",IF(S799="[FÓRMULA MANUAL]","",IFERROR(AVERAGEIFS(nNOTA,nNIA,S799,nCUENTA,1,nASIG,"Armonía"),"")))</f>
        <v/>
      </c>
      <c r="U799" t="str">
        <f>IF(S799="","",IF(S799="[FÓRMULA MANUAL]","",IFERROR(AVERAGEIFS(nNOTA,nNIA,S799,nCUENTA,1,nASIG,"Orquesta/Banda/Conjunto"),"")))</f>
        <v/>
      </c>
      <c r="V799" t="str">
        <f>IF(S799="","",IF(S799="[FÓRMULA MANUAL]","",IFERROR(AVERAGEIFS(nNOTA,nNIA,S799,nCUENTA,1,nASIG,"Música de Cámara"),"")))</f>
        <v/>
      </c>
      <c r="W799" t="str">
        <f>IF(S799="","",IF(S799="[FÓRMULA MANUAL]","",IFERROR(SUMPRODUCT((nNIA=S799)*(nCUENTA=1)*(COUNTIF(CONFIG_ASIGNATURAS!$B$7:$B$27,nASIG)&gt;0)*(nNOTA))/SUMPRODUCT((nNIA=S799)*(nCUENTA=1)*(COUNTIF(CONFIG_ASIGNATURAS!$B$7:$B$27,nASIG)&gt;0)*1),"")))</f>
        <v/>
      </c>
      <c r="Z799" t="str">
        <f>IF(Y799="","",IF(Y799="[FÓRMULA MANUAL]","",IFERROR(AVERAGEIFS(nNOTA,nNIA,Y799,nCUENTA,1,nASIG,"Análisis"),"")))</f>
        <v/>
      </c>
      <c r="AA799" t="str">
        <f>IF(Y799="","",IF(Y799="[FÓRMULA MANUAL]","",IFERROR(AVERAGEIFS(nNOTA,nNIA,Y799,nCUENTA,1,nASIG,"Orquesta/Banda/Conjunto"),"")))</f>
        <v/>
      </c>
      <c r="AB799" t="str">
        <f>IF(Y799="","",IF(Y799="[FÓRMULA MANUAL]","",IFERROR(AVERAGEIFS(nNOTA,nNIA,Y799,nCUENTA,1,nASIG,"Música de Cámara"),"")))</f>
        <v/>
      </c>
      <c r="AC799" t="str">
        <f>IF(Y799="","",IF(Y799="[FÓRMULA MANUAL]","",IFERROR(SUMPRODUCT((nNIA=Y799)*(nCUENTA=1)*(COUNTIF(CONFIG_ASIGNATURAS!$B$7:$B$27,nASIG)&gt;0)*(nNOTA))/SUMPRODUCT((nNIA=Y799)*(nCUENTA=1)*(COUNTIF(CONFIG_ASIGNATURAS!$B$7:$B$27,nASIG)&gt;0)*1),"")))</f>
        <v/>
      </c>
      <c r="AF799" t="str">
        <f>IF(AE799="","",IF(AE799="[FÓRMULA MANUAL]","",IFERROR(AVERAGEIFS(nNOTA,nNIA,AE799,nCUENTA,1,nASIG,"Análisis"),"")))</f>
        <v/>
      </c>
      <c r="AG799" t="str">
        <f>IF(AE799="","",IF(AE799="[FÓRMULA MANUAL]","",IFERROR(AVERAGEIFS(nNOTA,nNIA,AE799,nCUENTA,1,nASIG,"Orquesta/Banda/Conjunto"),"")))</f>
        <v/>
      </c>
      <c r="AH799" t="str">
        <f>IF(AE799="","",IF(AE799="[FÓRMULA MANUAL]","",IFERROR(AVERAGEIFS(nNOTA,nNIA,AE799,nCUENTA,1,nASIG,"Música de Cámara"),"")))</f>
        <v/>
      </c>
      <c r="AI799" t="str">
        <f>IF(AE799="","",IF(AE799="[FÓRMULA MANUAL]","",IFERROR(SUMPRODUCT((nNIA=AE799)*(nCUENTA=1)*(COUNTIF(CONFIG_ASIGNATURAS!$B$7:$B$27,nASIG)&gt;0)*(nNOTA))/SUMPRODUCT((nNIA=AE799)*(nCUENTA=1)*(COUNTIF(CONFIG_ASIGNATURAS!$B$7:$B$27,nASIG)&gt;0)*1),"")))</f>
        <v/>
      </c>
    </row>
    <row r="800" spans="2:35" x14ac:dyDescent="0.2">
      <c r="B800" t="str">
        <f>IF(A800="","",IF(A800="[FÓRMULA MANUAL]","",IFERROR(AVERAGEIFS(nNOTA,nNIA,A800,nCUENTA,1,nASIG,"Lenguaje Musical"),"")))</f>
        <v/>
      </c>
      <c r="C800" t="str">
        <f>IF(A800="","",IF(A800="[FÓRMULA MANUAL]","",IFERROR(AVERAGEIFS(nNOTA,nNIA,A800,nCUENTA,1,nASIG,"Orquesta/Banda/Conjunto"),"")))</f>
        <v/>
      </c>
      <c r="D800" t="str">
        <f>IF(A800="","",IF(A800="[FÓRMULA MANUAL]","",IFERROR(AVERAGEIFS(nNOTA,nNIA,A800,nCUENTA,1,nASIG,"Conjunto"),"")))</f>
        <v/>
      </c>
      <c r="E800" t="str">
        <f>IF(A800="","",IF(A800="[FÓRMULA MANUAL]","",IFERROR(SUMPRODUCT((nNIA=A800)*(nCUENTA=1)*(COUNTIF(CONFIG_ASIGNATURAS!$B$7:$B$27,nASIG)&gt;0)*(nNOTA))/SUMPRODUCT((nNIA=A800)*(nCUENTA=1)*(COUNTIF(CONFIG_ASIGNATURAS!$B$7:$B$27,nASIG)&gt;0)*1),"")))</f>
        <v/>
      </c>
      <c r="H800" t="str">
        <f>IF(G800="","",IF(G800="[FÓRMULA MANUAL]","",IFERROR(AVERAGEIFS(nNOTA,nNIA,G800,nCUENTA,1,nASIG,"Lenguaje Musical"),"")))</f>
        <v/>
      </c>
      <c r="I800" t="str">
        <f>IF(G800="","",IF(G800="[FÓRMULA MANUAL]","",IFERROR(AVERAGEIFS(nNOTA,nNIA,G800,nCUENTA,1,nASIG,"Orquesta/Banda/Conjunto"),"")))</f>
        <v/>
      </c>
      <c r="J800" t="str">
        <f>IF(G800="","",IF(G800="[FÓRMULA MANUAL]","",IFERROR(AVERAGEIFS(nNOTA,nNIA,G800,nCUENTA,1,nASIG,"Conjunto"),"")))</f>
        <v/>
      </c>
      <c r="K800" t="str">
        <f>IF(G800="","",IF(G800="[FÓRMULA MANUAL]","",IFERROR(SUMPRODUCT((nNIA=G800)*(nCUENTA=1)*(COUNTIF(CONFIG_ASIGNATURAS!$B$7:$B$27,nASIG)&gt;0)*(nNOTA))/SUMPRODUCT((nNIA=G800)*(nCUENTA=1)*(COUNTIF(CONFIG_ASIGNATURAS!$B$7:$B$27,nASIG)&gt;0)*1),"")))</f>
        <v/>
      </c>
      <c r="N800" t="str">
        <f>IF(M800="","",IF(M800="[FÓRMULA MANUAL]","",IFERROR(AVERAGEIFS(nNOTA,nNIA,M800,nCUENTA,1,nASIG,"Armonía"),"")))</f>
        <v/>
      </c>
      <c r="O800" t="str">
        <f>IF(M800="","",IF(M800="[FÓRMULA MANUAL]","",IFERROR(AVERAGEIFS(nNOTA,nNIA,M800,nCUENTA,1,nASIG,"Orquesta/Banda/Conjunto"),"")))</f>
        <v/>
      </c>
      <c r="P800" t="str">
        <f>IF(M800="","",IF(M800="[FÓRMULA MANUAL]","",IFERROR(AVERAGEIFS(nNOTA,nNIA,M800,nCUENTA,1,nASIG,"Música de Cámara"),"")))</f>
        <v/>
      </c>
      <c r="Q800" t="str">
        <f>IF(M800="","",IF(M800="[FÓRMULA MANUAL]","",IFERROR(SUMPRODUCT((nNIA=M800)*(nCUENTA=1)*(COUNTIF(CONFIG_ASIGNATURAS!$B$7:$B$27,nASIG)&gt;0)*(nNOTA))/SUMPRODUCT((nNIA=M800)*(nCUENTA=1)*(COUNTIF(CONFIG_ASIGNATURAS!$B$7:$B$27,nASIG)&gt;0)*1),"")))</f>
        <v/>
      </c>
      <c r="T800" t="str">
        <f>IF(S800="","",IF(S800="[FÓRMULA MANUAL]","",IFERROR(AVERAGEIFS(nNOTA,nNIA,S800,nCUENTA,1,nASIG,"Armonía"),"")))</f>
        <v/>
      </c>
      <c r="U800" t="str">
        <f>IF(S800="","",IF(S800="[FÓRMULA MANUAL]","",IFERROR(AVERAGEIFS(nNOTA,nNIA,S800,nCUENTA,1,nASIG,"Orquesta/Banda/Conjunto"),"")))</f>
        <v/>
      </c>
      <c r="V800" t="str">
        <f>IF(S800="","",IF(S800="[FÓRMULA MANUAL]","",IFERROR(AVERAGEIFS(nNOTA,nNIA,S800,nCUENTA,1,nASIG,"Música de Cámara"),"")))</f>
        <v/>
      </c>
      <c r="W800" t="str">
        <f>IF(S800="","",IF(S800="[FÓRMULA MANUAL]","",IFERROR(SUMPRODUCT((nNIA=S800)*(nCUENTA=1)*(COUNTIF(CONFIG_ASIGNATURAS!$B$7:$B$27,nASIG)&gt;0)*(nNOTA))/SUMPRODUCT((nNIA=S800)*(nCUENTA=1)*(COUNTIF(CONFIG_ASIGNATURAS!$B$7:$B$27,nASIG)&gt;0)*1),"")))</f>
        <v/>
      </c>
      <c r="Z800" t="str">
        <f>IF(Y800="","",IF(Y800="[FÓRMULA MANUAL]","",IFERROR(AVERAGEIFS(nNOTA,nNIA,Y800,nCUENTA,1,nASIG,"Análisis"),"")))</f>
        <v/>
      </c>
      <c r="AA800" t="str">
        <f>IF(Y800="","",IF(Y800="[FÓRMULA MANUAL]","",IFERROR(AVERAGEIFS(nNOTA,nNIA,Y800,nCUENTA,1,nASIG,"Orquesta/Banda/Conjunto"),"")))</f>
        <v/>
      </c>
      <c r="AB800" t="str">
        <f>IF(Y800="","",IF(Y800="[FÓRMULA MANUAL]","",IFERROR(AVERAGEIFS(nNOTA,nNIA,Y800,nCUENTA,1,nASIG,"Música de Cámara"),"")))</f>
        <v/>
      </c>
      <c r="AC800" t="str">
        <f>IF(Y800="","",IF(Y800="[FÓRMULA MANUAL]","",IFERROR(SUMPRODUCT((nNIA=Y800)*(nCUENTA=1)*(COUNTIF(CONFIG_ASIGNATURAS!$B$7:$B$27,nASIG)&gt;0)*(nNOTA))/SUMPRODUCT((nNIA=Y800)*(nCUENTA=1)*(COUNTIF(CONFIG_ASIGNATURAS!$B$7:$B$27,nASIG)&gt;0)*1),"")))</f>
        <v/>
      </c>
      <c r="AF800" t="str">
        <f>IF(AE800="","",IF(AE800="[FÓRMULA MANUAL]","",IFERROR(AVERAGEIFS(nNOTA,nNIA,AE800,nCUENTA,1,nASIG,"Análisis"),"")))</f>
        <v/>
      </c>
      <c r="AG800" t="str">
        <f>IF(AE800="","",IF(AE800="[FÓRMULA MANUAL]","",IFERROR(AVERAGEIFS(nNOTA,nNIA,AE800,nCUENTA,1,nASIG,"Orquesta/Banda/Conjunto"),"")))</f>
        <v/>
      </c>
      <c r="AH800" t="str">
        <f>IF(AE800="","",IF(AE800="[FÓRMULA MANUAL]","",IFERROR(AVERAGEIFS(nNOTA,nNIA,AE800,nCUENTA,1,nASIG,"Música de Cámara"),"")))</f>
        <v/>
      </c>
      <c r="AI800" t="str">
        <f>IF(AE800="","",IF(AE800="[FÓRMULA MANUAL]","",IFERROR(SUMPRODUCT((nNIA=AE800)*(nCUENTA=1)*(COUNTIF(CONFIG_ASIGNATURAS!$B$7:$B$27,nASIG)&gt;0)*(nNOTA))/SUMPRODUCT((nNIA=AE800)*(nCUENTA=1)*(COUNTIF(CONFIG_ASIGNATURAS!$B$7:$B$27,nASIG)&gt;0)*1),"")))</f>
        <v/>
      </c>
    </row>
    <row r="801" spans="2:35" x14ac:dyDescent="0.2">
      <c r="B801" t="str">
        <f>IF(A801="","",IF(A801="[FÓRMULA MANUAL]","",IFERROR(AVERAGEIFS(nNOTA,nNIA,A801,nCUENTA,1,nASIG,"Lenguaje Musical"),"")))</f>
        <v/>
      </c>
      <c r="C801" t="str">
        <f>IF(A801="","",IF(A801="[FÓRMULA MANUAL]","",IFERROR(AVERAGEIFS(nNOTA,nNIA,A801,nCUENTA,1,nASIG,"Orquesta/Banda/Conjunto"),"")))</f>
        <v/>
      </c>
      <c r="D801" t="str">
        <f>IF(A801="","",IF(A801="[FÓRMULA MANUAL]","",IFERROR(AVERAGEIFS(nNOTA,nNIA,A801,nCUENTA,1,nASIG,"Conjunto"),"")))</f>
        <v/>
      </c>
      <c r="E801" t="str">
        <f>IF(A801="","",IF(A801="[FÓRMULA MANUAL]","",IFERROR(SUMPRODUCT((nNIA=A801)*(nCUENTA=1)*(COUNTIF(CONFIG_ASIGNATURAS!$B$7:$B$27,nASIG)&gt;0)*(nNOTA))/SUMPRODUCT((nNIA=A801)*(nCUENTA=1)*(COUNTIF(CONFIG_ASIGNATURAS!$B$7:$B$27,nASIG)&gt;0)*1),"")))</f>
        <v/>
      </c>
      <c r="H801" t="str">
        <f>IF(G801="","",IF(G801="[FÓRMULA MANUAL]","",IFERROR(AVERAGEIFS(nNOTA,nNIA,G801,nCUENTA,1,nASIG,"Lenguaje Musical"),"")))</f>
        <v/>
      </c>
      <c r="I801" t="str">
        <f>IF(G801="","",IF(G801="[FÓRMULA MANUAL]","",IFERROR(AVERAGEIFS(nNOTA,nNIA,G801,nCUENTA,1,nASIG,"Orquesta/Banda/Conjunto"),"")))</f>
        <v/>
      </c>
      <c r="J801" t="str">
        <f>IF(G801="","",IF(G801="[FÓRMULA MANUAL]","",IFERROR(AVERAGEIFS(nNOTA,nNIA,G801,nCUENTA,1,nASIG,"Conjunto"),"")))</f>
        <v/>
      </c>
      <c r="K801" t="str">
        <f>IF(G801="","",IF(G801="[FÓRMULA MANUAL]","",IFERROR(SUMPRODUCT((nNIA=G801)*(nCUENTA=1)*(COUNTIF(CONFIG_ASIGNATURAS!$B$7:$B$27,nASIG)&gt;0)*(nNOTA))/SUMPRODUCT((nNIA=G801)*(nCUENTA=1)*(COUNTIF(CONFIG_ASIGNATURAS!$B$7:$B$27,nASIG)&gt;0)*1),"")))</f>
        <v/>
      </c>
      <c r="N801" t="str">
        <f>IF(M801="","",IF(M801="[FÓRMULA MANUAL]","",IFERROR(AVERAGEIFS(nNOTA,nNIA,M801,nCUENTA,1,nASIG,"Armonía"),"")))</f>
        <v/>
      </c>
      <c r="O801" t="str">
        <f>IF(M801="","",IF(M801="[FÓRMULA MANUAL]","",IFERROR(AVERAGEIFS(nNOTA,nNIA,M801,nCUENTA,1,nASIG,"Orquesta/Banda/Conjunto"),"")))</f>
        <v/>
      </c>
      <c r="P801" t="str">
        <f>IF(M801="","",IF(M801="[FÓRMULA MANUAL]","",IFERROR(AVERAGEIFS(nNOTA,nNIA,M801,nCUENTA,1,nASIG,"Música de Cámara"),"")))</f>
        <v/>
      </c>
      <c r="Q801" t="str">
        <f>IF(M801="","",IF(M801="[FÓRMULA MANUAL]","",IFERROR(SUMPRODUCT((nNIA=M801)*(nCUENTA=1)*(COUNTIF(CONFIG_ASIGNATURAS!$B$7:$B$27,nASIG)&gt;0)*(nNOTA))/SUMPRODUCT((nNIA=M801)*(nCUENTA=1)*(COUNTIF(CONFIG_ASIGNATURAS!$B$7:$B$27,nASIG)&gt;0)*1),"")))</f>
        <v/>
      </c>
      <c r="T801" t="str">
        <f>IF(S801="","",IF(S801="[FÓRMULA MANUAL]","",IFERROR(AVERAGEIFS(nNOTA,nNIA,S801,nCUENTA,1,nASIG,"Armonía"),"")))</f>
        <v/>
      </c>
      <c r="U801" t="str">
        <f>IF(S801="","",IF(S801="[FÓRMULA MANUAL]","",IFERROR(AVERAGEIFS(nNOTA,nNIA,S801,nCUENTA,1,nASIG,"Orquesta/Banda/Conjunto"),"")))</f>
        <v/>
      </c>
      <c r="V801" t="str">
        <f>IF(S801="","",IF(S801="[FÓRMULA MANUAL]","",IFERROR(AVERAGEIFS(nNOTA,nNIA,S801,nCUENTA,1,nASIG,"Música de Cámara"),"")))</f>
        <v/>
      </c>
      <c r="W801" t="str">
        <f>IF(S801="","",IF(S801="[FÓRMULA MANUAL]","",IFERROR(SUMPRODUCT((nNIA=S801)*(nCUENTA=1)*(COUNTIF(CONFIG_ASIGNATURAS!$B$7:$B$27,nASIG)&gt;0)*(nNOTA))/SUMPRODUCT((nNIA=S801)*(nCUENTA=1)*(COUNTIF(CONFIG_ASIGNATURAS!$B$7:$B$27,nASIG)&gt;0)*1),"")))</f>
        <v/>
      </c>
      <c r="Z801" t="str">
        <f>IF(Y801="","",IF(Y801="[FÓRMULA MANUAL]","",IFERROR(AVERAGEIFS(nNOTA,nNIA,Y801,nCUENTA,1,nASIG,"Análisis"),"")))</f>
        <v/>
      </c>
      <c r="AA801" t="str">
        <f>IF(Y801="","",IF(Y801="[FÓRMULA MANUAL]","",IFERROR(AVERAGEIFS(nNOTA,nNIA,Y801,nCUENTA,1,nASIG,"Orquesta/Banda/Conjunto"),"")))</f>
        <v/>
      </c>
      <c r="AB801" t="str">
        <f>IF(Y801="","",IF(Y801="[FÓRMULA MANUAL]","",IFERROR(AVERAGEIFS(nNOTA,nNIA,Y801,nCUENTA,1,nASIG,"Música de Cámara"),"")))</f>
        <v/>
      </c>
      <c r="AC801" t="str">
        <f>IF(Y801="","",IF(Y801="[FÓRMULA MANUAL]","",IFERROR(SUMPRODUCT((nNIA=Y801)*(nCUENTA=1)*(COUNTIF(CONFIG_ASIGNATURAS!$B$7:$B$27,nASIG)&gt;0)*(nNOTA))/SUMPRODUCT((nNIA=Y801)*(nCUENTA=1)*(COUNTIF(CONFIG_ASIGNATURAS!$B$7:$B$27,nASIG)&gt;0)*1),"")))</f>
        <v/>
      </c>
      <c r="AF801" t="str">
        <f>IF(AE801="","",IF(AE801="[FÓRMULA MANUAL]","",IFERROR(AVERAGEIFS(nNOTA,nNIA,AE801,nCUENTA,1,nASIG,"Análisis"),"")))</f>
        <v/>
      </c>
      <c r="AG801" t="str">
        <f>IF(AE801="","",IF(AE801="[FÓRMULA MANUAL]","",IFERROR(AVERAGEIFS(nNOTA,nNIA,AE801,nCUENTA,1,nASIG,"Orquesta/Banda/Conjunto"),"")))</f>
        <v/>
      </c>
      <c r="AH801" t="str">
        <f>IF(AE801="","",IF(AE801="[FÓRMULA MANUAL]","",IFERROR(AVERAGEIFS(nNOTA,nNIA,AE801,nCUENTA,1,nASIG,"Música de Cámara"),"")))</f>
        <v/>
      </c>
      <c r="AI801" t="str">
        <f>IF(AE801="","",IF(AE801="[FÓRMULA MANUAL]","",IFERROR(SUMPRODUCT((nNIA=AE801)*(nCUENTA=1)*(COUNTIF(CONFIG_ASIGNATURAS!$B$7:$B$27,nASIG)&gt;0)*(nNOTA))/SUMPRODUCT((nNIA=AE801)*(nCUENTA=1)*(COUNTIF(CONFIG_ASIGNATURAS!$B$7:$B$27,nASIG)&gt;0)*1),"")))</f>
        <v/>
      </c>
    </row>
    <row r="802" spans="2:35" x14ac:dyDescent="0.2">
      <c r="B802" t="str">
        <f>IF(A802="","",IF(A802="[FÓRMULA MANUAL]","",IFERROR(AVERAGEIFS(nNOTA,nNIA,A802,nCUENTA,1,nASIG,"Lenguaje Musical"),"")))</f>
        <v/>
      </c>
      <c r="C802" t="str">
        <f>IF(A802="","",IF(A802="[FÓRMULA MANUAL]","",IFERROR(AVERAGEIFS(nNOTA,nNIA,A802,nCUENTA,1,nASIG,"Orquesta/Banda/Conjunto"),"")))</f>
        <v/>
      </c>
      <c r="D802" t="str">
        <f>IF(A802="","",IF(A802="[FÓRMULA MANUAL]","",IFERROR(AVERAGEIFS(nNOTA,nNIA,A802,nCUENTA,1,nASIG,"Conjunto"),"")))</f>
        <v/>
      </c>
      <c r="E802" t="str">
        <f>IF(A802="","",IF(A802="[FÓRMULA MANUAL]","",IFERROR(SUMPRODUCT((nNIA=A802)*(nCUENTA=1)*(COUNTIF(CONFIG_ASIGNATURAS!$B$7:$B$27,nASIG)&gt;0)*(nNOTA))/SUMPRODUCT((nNIA=A802)*(nCUENTA=1)*(COUNTIF(CONFIG_ASIGNATURAS!$B$7:$B$27,nASIG)&gt;0)*1),"")))</f>
        <v/>
      </c>
      <c r="H802" t="str">
        <f>IF(G802="","",IF(G802="[FÓRMULA MANUAL]","",IFERROR(AVERAGEIFS(nNOTA,nNIA,G802,nCUENTA,1,nASIG,"Lenguaje Musical"),"")))</f>
        <v/>
      </c>
      <c r="I802" t="str">
        <f>IF(G802="","",IF(G802="[FÓRMULA MANUAL]","",IFERROR(AVERAGEIFS(nNOTA,nNIA,G802,nCUENTA,1,nASIG,"Orquesta/Banda/Conjunto"),"")))</f>
        <v/>
      </c>
      <c r="J802" t="str">
        <f>IF(G802="","",IF(G802="[FÓRMULA MANUAL]","",IFERROR(AVERAGEIFS(nNOTA,nNIA,G802,nCUENTA,1,nASIG,"Conjunto"),"")))</f>
        <v/>
      </c>
      <c r="K802" t="str">
        <f>IF(G802="","",IF(G802="[FÓRMULA MANUAL]","",IFERROR(SUMPRODUCT((nNIA=G802)*(nCUENTA=1)*(COUNTIF(CONFIG_ASIGNATURAS!$B$7:$B$27,nASIG)&gt;0)*(nNOTA))/SUMPRODUCT((nNIA=G802)*(nCUENTA=1)*(COUNTIF(CONFIG_ASIGNATURAS!$B$7:$B$27,nASIG)&gt;0)*1),"")))</f>
        <v/>
      </c>
      <c r="N802" t="str">
        <f>IF(M802="","",IF(M802="[FÓRMULA MANUAL]","",IFERROR(AVERAGEIFS(nNOTA,nNIA,M802,nCUENTA,1,nASIG,"Armonía"),"")))</f>
        <v/>
      </c>
      <c r="O802" t="str">
        <f>IF(M802="","",IF(M802="[FÓRMULA MANUAL]","",IFERROR(AVERAGEIFS(nNOTA,nNIA,M802,nCUENTA,1,nASIG,"Orquesta/Banda/Conjunto"),"")))</f>
        <v/>
      </c>
      <c r="P802" t="str">
        <f>IF(M802="","",IF(M802="[FÓRMULA MANUAL]","",IFERROR(AVERAGEIFS(nNOTA,nNIA,M802,nCUENTA,1,nASIG,"Música de Cámara"),"")))</f>
        <v/>
      </c>
      <c r="Q802" t="str">
        <f>IF(M802="","",IF(M802="[FÓRMULA MANUAL]","",IFERROR(SUMPRODUCT((nNIA=M802)*(nCUENTA=1)*(COUNTIF(CONFIG_ASIGNATURAS!$B$7:$B$27,nASIG)&gt;0)*(nNOTA))/SUMPRODUCT((nNIA=M802)*(nCUENTA=1)*(COUNTIF(CONFIG_ASIGNATURAS!$B$7:$B$27,nASIG)&gt;0)*1),"")))</f>
        <v/>
      </c>
      <c r="T802" t="str">
        <f>IF(S802="","",IF(S802="[FÓRMULA MANUAL]","",IFERROR(AVERAGEIFS(nNOTA,nNIA,S802,nCUENTA,1,nASIG,"Armonía"),"")))</f>
        <v/>
      </c>
      <c r="U802" t="str">
        <f>IF(S802="","",IF(S802="[FÓRMULA MANUAL]","",IFERROR(AVERAGEIFS(nNOTA,nNIA,S802,nCUENTA,1,nASIG,"Orquesta/Banda/Conjunto"),"")))</f>
        <v/>
      </c>
      <c r="V802" t="str">
        <f>IF(S802="","",IF(S802="[FÓRMULA MANUAL]","",IFERROR(AVERAGEIFS(nNOTA,nNIA,S802,nCUENTA,1,nASIG,"Música de Cámara"),"")))</f>
        <v/>
      </c>
      <c r="W802" t="str">
        <f>IF(S802="","",IF(S802="[FÓRMULA MANUAL]","",IFERROR(SUMPRODUCT((nNIA=S802)*(nCUENTA=1)*(COUNTIF(CONFIG_ASIGNATURAS!$B$7:$B$27,nASIG)&gt;0)*(nNOTA))/SUMPRODUCT((nNIA=S802)*(nCUENTA=1)*(COUNTIF(CONFIG_ASIGNATURAS!$B$7:$B$27,nASIG)&gt;0)*1),"")))</f>
        <v/>
      </c>
      <c r="Z802" t="str">
        <f>IF(Y802="","",IF(Y802="[FÓRMULA MANUAL]","",IFERROR(AVERAGEIFS(nNOTA,nNIA,Y802,nCUENTA,1,nASIG,"Análisis"),"")))</f>
        <v/>
      </c>
      <c r="AA802" t="str">
        <f>IF(Y802="","",IF(Y802="[FÓRMULA MANUAL]","",IFERROR(AVERAGEIFS(nNOTA,nNIA,Y802,nCUENTA,1,nASIG,"Orquesta/Banda/Conjunto"),"")))</f>
        <v/>
      </c>
      <c r="AB802" t="str">
        <f>IF(Y802="","",IF(Y802="[FÓRMULA MANUAL]","",IFERROR(AVERAGEIFS(nNOTA,nNIA,Y802,nCUENTA,1,nASIG,"Música de Cámara"),"")))</f>
        <v/>
      </c>
      <c r="AC802" t="str">
        <f>IF(Y802="","",IF(Y802="[FÓRMULA MANUAL]","",IFERROR(SUMPRODUCT((nNIA=Y802)*(nCUENTA=1)*(COUNTIF(CONFIG_ASIGNATURAS!$B$7:$B$27,nASIG)&gt;0)*(nNOTA))/SUMPRODUCT((nNIA=Y802)*(nCUENTA=1)*(COUNTIF(CONFIG_ASIGNATURAS!$B$7:$B$27,nASIG)&gt;0)*1),"")))</f>
        <v/>
      </c>
      <c r="AF802" t="str">
        <f>IF(AE802="","",IF(AE802="[FÓRMULA MANUAL]","",IFERROR(AVERAGEIFS(nNOTA,nNIA,AE802,nCUENTA,1,nASIG,"Análisis"),"")))</f>
        <v/>
      </c>
      <c r="AG802" t="str">
        <f>IF(AE802="","",IF(AE802="[FÓRMULA MANUAL]","",IFERROR(AVERAGEIFS(nNOTA,nNIA,AE802,nCUENTA,1,nASIG,"Orquesta/Banda/Conjunto"),"")))</f>
        <v/>
      </c>
      <c r="AH802" t="str">
        <f>IF(AE802="","",IF(AE802="[FÓRMULA MANUAL]","",IFERROR(AVERAGEIFS(nNOTA,nNIA,AE802,nCUENTA,1,nASIG,"Música de Cámara"),"")))</f>
        <v/>
      </c>
      <c r="AI802" t="str">
        <f>IF(AE802="","",IF(AE802="[FÓRMULA MANUAL]","",IFERROR(SUMPRODUCT((nNIA=AE802)*(nCUENTA=1)*(COUNTIF(CONFIG_ASIGNATURAS!$B$7:$B$27,nASIG)&gt;0)*(nNOTA))/SUMPRODUCT((nNIA=AE802)*(nCUENTA=1)*(COUNTIF(CONFIG_ASIGNATURAS!$B$7:$B$27,nASIG)&gt;0)*1),"")))</f>
        <v/>
      </c>
    </row>
    <row r="803" spans="2:35" x14ac:dyDescent="0.2">
      <c r="B803" t="str">
        <f>IF(A803="","",IF(A803="[FÓRMULA MANUAL]","",IFERROR(AVERAGEIFS(nNOTA,nNIA,A803,nCUENTA,1,nASIG,"Lenguaje Musical"),"")))</f>
        <v/>
      </c>
      <c r="C803" t="str">
        <f>IF(A803="","",IF(A803="[FÓRMULA MANUAL]","",IFERROR(AVERAGEIFS(nNOTA,nNIA,A803,nCUENTA,1,nASIG,"Orquesta/Banda/Conjunto"),"")))</f>
        <v/>
      </c>
      <c r="D803" t="str">
        <f>IF(A803="","",IF(A803="[FÓRMULA MANUAL]","",IFERROR(AVERAGEIFS(nNOTA,nNIA,A803,nCUENTA,1,nASIG,"Conjunto"),"")))</f>
        <v/>
      </c>
      <c r="E803" t="str">
        <f>IF(A803="","",IF(A803="[FÓRMULA MANUAL]","",IFERROR(SUMPRODUCT((nNIA=A803)*(nCUENTA=1)*(COUNTIF(CONFIG_ASIGNATURAS!$B$7:$B$27,nASIG)&gt;0)*(nNOTA))/SUMPRODUCT((nNIA=A803)*(nCUENTA=1)*(COUNTIF(CONFIG_ASIGNATURAS!$B$7:$B$27,nASIG)&gt;0)*1),"")))</f>
        <v/>
      </c>
      <c r="H803" t="str">
        <f>IF(G803="","",IF(G803="[FÓRMULA MANUAL]","",IFERROR(AVERAGEIFS(nNOTA,nNIA,G803,nCUENTA,1,nASIG,"Lenguaje Musical"),"")))</f>
        <v/>
      </c>
      <c r="I803" t="str">
        <f>IF(G803="","",IF(G803="[FÓRMULA MANUAL]","",IFERROR(AVERAGEIFS(nNOTA,nNIA,G803,nCUENTA,1,nASIG,"Orquesta/Banda/Conjunto"),"")))</f>
        <v/>
      </c>
      <c r="J803" t="str">
        <f>IF(G803="","",IF(G803="[FÓRMULA MANUAL]","",IFERROR(AVERAGEIFS(nNOTA,nNIA,G803,nCUENTA,1,nASIG,"Conjunto"),"")))</f>
        <v/>
      </c>
      <c r="K803" t="str">
        <f>IF(G803="","",IF(G803="[FÓRMULA MANUAL]","",IFERROR(SUMPRODUCT((nNIA=G803)*(nCUENTA=1)*(COUNTIF(CONFIG_ASIGNATURAS!$B$7:$B$27,nASIG)&gt;0)*(nNOTA))/SUMPRODUCT((nNIA=G803)*(nCUENTA=1)*(COUNTIF(CONFIG_ASIGNATURAS!$B$7:$B$27,nASIG)&gt;0)*1),"")))</f>
        <v/>
      </c>
      <c r="N803" t="str">
        <f>IF(M803="","",IF(M803="[FÓRMULA MANUAL]","",IFERROR(AVERAGEIFS(nNOTA,nNIA,M803,nCUENTA,1,nASIG,"Armonía"),"")))</f>
        <v/>
      </c>
      <c r="O803" t="str">
        <f>IF(M803="","",IF(M803="[FÓRMULA MANUAL]","",IFERROR(AVERAGEIFS(nNOTA,nNIA,M803,nCUENTA,1,nASIG,"Orquesta/Banda/Conjunto"),"")))</f>
        <v/>
      </c>
      <c r="P803" t="str">
        <f>IF(M803="","",IF(M803="[FÓRMULA MANUAL]","",IFERROR(AVERAGEIFS(nNOTA,nNIA,M803,nCUENTA,1,nASIG,"Música de Cámara"),"")))</f>
        <v/>
      </c>
      <c r="Q803" t="str">
        <f>IF(M803="","",IF(M803="[FÓRMULA MANUAL]","",IFERROR(SUMPRODUCT((nNIA=M803)*(nCUENTA=1)*(COUNTIF(CONFIG_ASIGNATURAS!$B$7:$B$27,nASIG)&gt;0)*(nNOTA))/SUMPRODUCT((nNIA=M803)*(nCUENTA=1)*(COUNTIF(CONFIG_ASIGNATURAS!$B$7:$B$27,nASIG)&gt;0)*1),"")))</f>
        <v/>
      </c>
      <c r="T803" t="str">
        <f>IF(S803="","",IF(S803="[FÓRMULA MANUAL]","",IFERROR(AVERAGEIFS(nNOTA,nNIA,S803,nCUENTA,1,nASIG,"Armonía"),"")))</f>
        <v/>
      </c>
      <c r="U803" t="str">
        <f>IF(S803="","",IF(S803="[FÓRMULA MANUAL]","",IFERROR(AVERAGEIFS(nNOTA,nNIA,S803,nCUENTA,1,nASIG,"Orquesta/Banda/Conjunto"),"")))</f>
        <v/>
      </c>
      <c r="V803" t="str">
        <f>IF(S803="","",IF(S803="[FÓRMULA MANUAL]","",IFERROR(AVERAGEIFS(nNOTA,nNIA,S803,nCUENTA,1,nASIG,"Música de Cámara"),"")))</f>
        <v/>
      </c>
      <c r="W803" t="str">
        <f>IF(S803="","",IF(S803="[FÓRMULA MANUAL]","",IFERROR(SUMPRODUCT((nNIA=S803)*(nCUENTA=1)*(COUNTIF(CONFIG_ASIGNATURAS!$B$7:$B$27,nASIG)&gt;0)*(nNOTA))/SUMPRODUCT((nNIA=S803)*(nCUENTA=1)*(COUNTIF(CONFIG_ASIGNATURAS!$B$7:$B$27,nASIG)&gt;0)*1),"")))</f>
        <v/>
      </c>
      <c r="Z803" t="str">
        <f>IF(Y803="","",IF(Y803="[FÓRMULA MANUAL]","",IFERROR(AVERAGEIFS(nNOTA,nNIA,Y803,nCUENTA,1,nASIG,"Análisis"),"")))</f>
        <v/>
      </c>
      <c r="AA803" t="str">
        <f>IF(Y803="","",IF(Y803="[FÓRMULA MANUAL]","",IFERROR(AVERAGEIFS(nNOTA,nNIA,Y803,nCUENTA,1,nASIG,"Orquesta/Banda/Conjunto"),"")))</f>
        <v/>
      </c>
      <c r="AB803" t="str">
        <f>IF(Y803="","",IF(Y803="[FÓRMULA MANUAL]","",IFERROR(AVERAGEIFS(nNOTA,nNIA,Y803,nCUENTA,1,nASIG,"Música de Cámara"),"")))</f>
        <v/>
      </c>
      <c r="AC803" t="str">
        <f>IF(Y803="","",IF(Y803="[FÓRMULA MANUAL]","",IFERROR(SUMPRODUCT((nNIA=Y803)*(nCUENTA=1)*(COUNTIF(CONFIG_ASIGNATURAS!$B$7:$B$27,nASIG)&gt;0)*(nNOTA))/SUMPRODUCT((nNIA=Y803)*(nCUENTA=1)*(COUNTIF(CONFIG_ASIGNATURAS!$B$7:$B$27,nASIG)&gt;0)*1),"")))</f>
        <v/>
      </c>
      <c r="AF803" t="str">
        <f>IF(AE803="","",IF(AE803="[FÓRMULA MANUAL]","",IFERROR(AVERAGEIFS(nNOTA,nNIA,AE803,nCUENTA,1,nASIG,"Análisis"),"")))</f>
        <v/>
      </c>
      <c r="AG803" t="str">
        <f>IF(AE803="","",IF(AE803="[FÓRMULA MANUAL]","",IFERROR(AVERAGEIFS(nNOTA,nNIA,AE803,nCUENTA,1,nASIG,"Orquesta/Banda/Conjunto"),"")))</f>
        <v/>
      </c>
      <c r="AH803" t="str">
        <f>IF(AE803="","",IF(AE803="[FÓRMULA MANUAL]","",IFERROR(AVERAGEIFS(nNOTA,nNIA,AE803,nCUENTA,1,nASIG,"Música de Cámara"),"")))</f>
        <v/>
      </c>
      <c r="AI803" t="str">
        <f>IF(AE803="","",IF(AE803="[FÓRMULA MANUAL]","",IFERROR(SUMPRODUCT((nNIA=AE803)*(nCUENTA=1)*(COUNTIF(CONFIG_ASIGNATURAS!$B$7:$B$27,nASIG)&gt;0)*(nNOTA))/SUMPRODUCT((nNIA=AE803)*(nCUENTA=1)*(COUNTIF(CONFIG_ASIGNATURAS!$B$7:$B$27,nASIG)&gt;0)*1),"")))</f>
        <v/>
      </c>
    </row>
    <row r="804" spans="2:35" x14ac:dyDescent="0.2">
      <c r="B804" t="str">
        <f>IF(A804="","",IF(A804="[FÓRMULA MANUAL]","",IFERROR(AVERAGEIFS(nNOTA,nNIA,A804,nCUENTA,1,nASIG,"Lenguaje Musical"),"")))</f>
        <v/>
      </c>
      <c r="C804" t="str">
        <f>IF(A804="","",IF(A804="[FÓRMULA MANUAL]","",IFERROR(AVERAGEIFS(nNOTA,nNIA,A804,nCUENTA,1,nASIG,"Orquesta/Banda/Conjunto"),"")))</f>
        <v/>
      </c>
      <c r="D804" t="str">
        <f>IF(A804="","",IF(A804="[FÓRMULA MANUAL]","",IFERROR(AVERAGEIFS(nNOTA,nNIA,A804,nCUENTA,1,nASIG,"Conjunto"),"")))</f>
        <v/>
      </c>
      <c r="E804" t="str">
        <f>IF(A804="","",IF(A804="[FÓRMULA MANUAL]","",IFERROR(SUMPRODUCT((nNIA=A804)*(nCUENTA=1)*(COUNTIF(CONFIG_ASIGNATURAS!$B$7:$B$27,nASIG)&gt;0)*(nNOTA))/SUMPRODUCT((nNIA=A804)*(nCUENTA=1)*(COUNTIF(CONFIG_ASIGNATURAS!$B$7:$B$27,nASIG)&gt;0)*1),"")))</f>
        <v/>
      </c>
      <c r="H804" t="str">
        <f>IF(G804="","",IF(G804="[FÓRMULA MANUAL]","",IFERROR(AVERAGEIFS(nNOTA,nNIA,G804,nCUENTA,1,nASIG,"Lenguaje Musical"),"")))</f>
        <v/>
      </c>
      <c r="I804" t="str">
        <f>IF(G804="","",IF(G804="[FÓRMULA MANUAL]","",IFERROR(AVERAGEIFS(nNOTA,nNIA,G804,nCUENTA,1,nASIG,"Orquesta/Banda/Conjunto"),"")))</f>
        <v/>
      </c>
      <c r="J804" t="str">
        <f>IF(G804="","",IF(G804="[FÓRMULA MANUAL]","",IFERROR(AVERAGEIFS(nNOTA,nNIA,G804,nCUENTA,1,nASIG,"Conjunto"),"")))</f>
        <v/>
      </c>
      <c r="K804" t="str">
        <f>IF(G804="","",IF(G804="[FÓRMULA MANUAL]","",IFERROR(SUMPRODUCT((nNIA=G804)*(nCUENTA=1)*(COUNTIF(CONFIG_ASIGNATURAS!$B$7:$B$27,nASIG)&gt;0)*(nNOTA))/SUMPRODUCT((nNIA=G804)*(nCUENTA=1)*(COUNTIF(CONFIG_ASIGNATURAS!$B$7:$B$27,nASIG)&gt;0)*1),"")))</f>
        <v/>
      </c>
      <c r="N804" t="str">
        <f>IF(M804="","",IF(M804="[FÓRMULA MANUAL]","",IFERROR(AVERAGEIFS(nNOTA,nNIA,M804,nCUENTA,1,nASIG,"Armonía"),"")))</f>
        <v/>
      </c>
      <c r="O804" t="str">
        <f>IF(M804="","",IF(M804="[FÓRMULA MANUAL]","",IFERROR(AVERAGEIFS(nNOTA,nNIA,M804,nCUENTA,1,nASIG,"Orquesta/Banda/Conjunto"),"")))</f>
        <v/>
      </c>
      <c r="P804" t="str">
        <f>IF(M804="","",IF(M804="[FÓRMULA MANUAL]","",IFERROR(AVERAGEIFS(nNOTA,nNIA,M804,nCUENTA,1,nASIG,"Música de Cámara"),"")))</f>
        <v/>
      </c>
      <c r="Q804" t="str">
        <f>IF(M804="","",IF(M804="[FÓRMULA MANUAL]","",IFERROR(SUMPRODUCT((nNIA=M804)*(nCUENTA=1)*(COUNTIF(CONFIG_ASIGNATURAS!$B$7:$B$27,nASIG)&gt;0)*(nNOTA))/SUMPRODUCT((nNIA=M804)*(nCUENTA=1)*(COUNTIF(CONFIG_ASIGNATURAS!$B$7:$B$27,nASIG)&gt;0)*1),"")))</f>
        <v/>
      </c>
      <c r="T804" t="str">
        <f>IF(S804="","",IF(S804="[FÓRMULA MANUAL]","",IFERROR(AVERAGEIFS(nNOTA,nNIA,S804,nCUENTA,1,nASIG,"Armonía"),"")))</f>
        <v/>
      </c>
      <c r="U804" t="str">
        <f>IF(S804="","",IF(S804="[FÓRMULA MANUAL]","",IFERROR(AVERAGEIFS(nNOTA,nNIA,S804,nCUENTA,1,nASIG,"Orquesta/Banda/Conjunto"),"")))</f>
        <v/>
      </c>
      <c r="V804" t="str">
        <f>IF(S804="","",IF(S804="[FÓRMULA MANUAL]","",IFERROR(AVERAGEIFS(nNOTA,nNIA,S804,nCUENTA,1,nASIG,"Música de Cámara"),"")))</f>
        <v/>
      </c>
      <c r="W804" t="str">
        <f>IF(S804="","",IF(S804="[FÓRMULA MANUAL]","",IFERROR(SUMPRODUCT((nNIA=S804)*(nCUENTA=1)*(COUNTIF(CONFIG_ASIGNATURAS!$B$7:$B$27,nASIG)&gt;0)*(nNOTA))/SUMPRODUCT((nNIA=S804)*(nCUENTA=1)*(COUNTIF(CONFIG_ASIGNATURAS!$B$7:$B$27,nASIG)&gt;0)*1),"")))</f>
        <v/>
      </c>
      <c r="Z804" t="str">
        <f>IF(Y804="","",IF(Y804="[FÓRMULA MANUAL]","",IFERROR(AVERAGEIFS(nNOTA,nNIA,Y804,nCUENTA,1,nASIG,"Análisis"),"")))</f>
        <v/>
      </c>
      <c r="AA804" t="str">
        <f>IF(Y804="","",IF(Y804="[FÓRMULA MANUAL]","",IFERROR(AVERAGEIFS(nNOTA,nNIA,Y804,nCUENTA,1,nASIG,"Orquesta/Banda/Conjunto"),"")))</f>
        <v/>
      </c>
      <c r="AB804" t="str">
        <f>IF(Y804="","",IF(Y804="[FÓRMULA MANUAL]","",IFERROR(AVERAGEIFS(nNOTA,nNIA,Y804,nCUENTA,1,nASIG,"Música de Cámara"),"")))</f>
        <v/>
      </c>
      <c r="AC804" t="str">
        <f>IF(Y804="","",IF(Y804="[FÓRMULA MANUAL]","",IFERROR(SUMPRODUCT((nNIA=Y804)*(nCUENTA=1)*(COUNTIF(CONFIG_ASIGNATURAS!$B$7:$B$27,nASIG)&gt;0)*(nNOTA))/SUMPRODUCT((nNIA=Y804)*(nCUENTA=1)*(COUNTIF(CONFIG_ASIGNATURAS!$B$7:$B$27,nASIG)&gt;0)*1),"")))</f>
        <v/>
      </c>
      <c r="AF804" t="str">
        <f>IF(AE804="","",IF(AE804="[FÓRMULA MANUAL]","",IFERROR(AVERAGEIFS(nNOTA,nNIA,AE804,nCUENTA,1,nASIG,"Análisis"),"")))</f>
        <v/>
      </c>
      <c r="AG804" t="str">
        <f>IF(AE804="","",IF(AE804="[FÓRMULA MANUAL]","",IFERROR(AVERAGEIFS(nNOTA,nNIA,AE804,nCUENTA,1,nASIG,"Orquesta/Banda/Conjunto"),"")))</f>
        <v/>
      </c>
      <c r="AH804" t="str">
        <f>IF(AE804="","",IF(AE804="[FÓRMULA MANUAL]","",IFERROR(AVERAGEIFS(nNOTA,nNIA,AE804,nCUENTA,1,nASIG,"Música de Cámara"),"")))</f>
        <v/>
      </c>
      <c r="AI804" t="str">
        <f>IF(AE804="","",IF(AE804="[FÓRMULA MANUAL]","",IFERROR(SUMPRODUCT((nNIA=AE804)*(nCUENTA=1)*(COUNTIF(CONFIG_ASIGNATURAS!$B$7:$B$27,nASIG)&gt;0)*(nNOTA))/SUMPRODUCT((nNIA=AE804)*(nCUENTA=1)*(COUNTIF(CONFIG_ASIGNATURAS!$B$7:$B$27,nASIG)&gt;0)*1),"")))</f>
        <v/>
      </c>
    </row>
    <row r="805" spans="2:35" x14ac:dyDescent="0.2">
      <c r="B805" t="str">
        <f>IF(A805="","",IF(A805="[FÓRMULA MANUAL]","",IFERROR(AVERAGEIFS(nNOTA,nNIA,A805,nCUENTA,1,nASIG,"Lenguaje Musical"),"")))</f>
        <v/>
      </c>
      <c r="C805" t="str">
        <f>IF(A805="","",IF(A805="[FÓRMULA MANUAL]","",IFERROR(AVERAGEIFS(nNOTA,nNIA,A805,nCUENTA,1,nASIG,"Orquesta/Banda/Conjunto"),"")))</f>
        <v/>
      </c>
      <c r="D805" t="str">
        <f>IF(A805="","",IF(A805="[FÓRMULA MANUAL]","",IFERROR(AVERAGEIFS(nNOTA,nNIA,A805,nCUENTA,1,nASIG,"Conjunto"),"")))</f>
        <v/>
      </c>
      <c r="E805" t="str">
        <f>IF(A805="","",IF(A805="[FÓRMULA MANUAL]","",IFERROR(SUMPRODUCT((nNIA=A805)*(nCUENTA=1)*(COUNTIF(CONFIG_ASIGNATURAS!$B$7:$B$27,nASIG)&gt;0)*(nNOTA))/SUMPRODUCT((nNIA=A805)*(nCUENTA=1)*(COUNTIF(CONFIG_ASIGNATURAS!$B$7:$B$27,nASIG)&gt;0)*1),"")))</f>
        <v/>
      </c>
      <c r="H805" t="str">
        <f>IF(G805="","",IF(G805="[FÓRMULA MANUAL]","",IFERROR(AVERAGEIFS(nNOTA,nNIA,G805,nCUENTA,1,nASIG,"Lenguaje Musical"),"")))</f>
        <v/>
      </c>
      <c r="I805" t="str">
        <f>IF(G805="","",IF(G805="[FÓRMULA MANUAL]","",IFERROR(AVERAGEIFS(nNOTA,nNIA,G805,nCUENTA,1,nASIG,"Orquesta/Banda/Conjunto"),"")))</f>
        <v/>
      </c>
      <c r="J805" t="str">
        <f>IF(G805="","",IF(G805="[FÓRMULA MANUAL]","",IFERROR(AVERAGEIFS(nNOTA,nNIA,G805,nCUENTA,1,nASIG,"Conjunto"),"")))</f>
        <v/>
      </c>
      <c r="K805" t="str">
        <f>IF(G805="","",IF(G805="[FÓRMULA MANUAL]","",IFERROR(SUMPRODUCT((nNIA=G805)*(nCUENTA=1)*(COUNTIF(CONFIG_ASIGNATURAS!$B$7:$B$27,nASIG)&gt;0)*(nNOTA))/SUMPRODUCT((nNIA=G805)*(nCUENTA=1)*(COUNTIF(CONFIG_ASIGNATURAS!$B$7:$B$27,nASIG)&gt;0)*1),"")))</f>
        <v/>
      </c>
      <c r="N805" t="str">
        <f>IF(M805="","",IF(M805="[FÓRMULA MANUAL]","",IFERROR(AVERAGEIFS(nNOTA,nNIA,M805,nCUENTA,1,nASIG,"Armonía"),"")))</f>
        <v/>
      </c>
      <c r="O805" t="str">
        <f>IF(M805="","",IF(M805="[FÓRMULA MANUAL]","",IFERROR(AVERAGEIFS(nNOTA,nNIA,M805,nCUENTA,1,nASIG,"Orquesta/Banda/Conjunto"),"")))</f>
        <v/>
      </c>
      <c r="P805" t="str">
        <f>IF(M805="","",IF(M805="[FÓRMULA MANUAL]","",IFERROR(AVERAGEIFS(nNOTA,nNIA,M805,nCUENTA,1,nASIG,"Música de Cámara"),"")))</f>
        <v/>
      </c>
      <c r="Q805" t="str">
        <f>IF(M805="","",IF(M805="[FÓRMULA MANUAL]","",IFERROR(SUMPRODUCT((nNIA=M805)*(nCUENTA=1)*(COUNTIF(CONFIG_ASIGNATURAS!$B$7:$B$27,nASIG)&gt;0)*(nNOTA))/SUMPRODUCT((nNIA=M805)*(nCUENTA=1)*(COUNTIF(CONFIG_ASIGNATURAS!$B$7:$B$27,nASIG)&gt;0)*1),"")))</f>
        <v/>
      </c>
      <c r="T805" t="str">
        <f>IF(S805="","",IF(S805="[FÓRMULA MANUAL]","",IFERROR(AVERAGEIFS(nNOTA,nNIA,S805,nCUENTA,1,nASIG,"Armonía"),"")))</f>
        <v/>
      </c>
      <c r="U805" t="str">
        <f>IF(S805="","",IF(S805="[FÓRMULA MANUAL]","",IFERROR(AVERAGEIFS(nNOTA,nNIA,S805,nCUENTA,1,nASIG,"Orquesta/Banda/Conjunto"),"")))</f>
        <v/>
      </c>
      <c r="V805" t="str">
        <f>IF(S805="","",IF(S805="[FÓRMULA MANUAL]","",IFERROR(AVERAGEIFS(nNOTA,nNIA,S805,nCUENTA,1,nASIG,"Música de Cámara"),"")))</f>
        <v/>
      </c>
      <c r="W805" t="str">
        <f>IF(S805="","",IF(S805="[FÓRMULA MANUAL]","",IFERROR(SUMPRODUCT((nNIA=S805)*(nCUENTA=1)*(COUNTIF(CONFIG_ASIGNATURAS!$B$7:$B$27,nASIG)&gt;0)*(nNOTA))/SUMPRODUCT((nNIA=S805)*(nCUENTA=1)*(COUNTIF(CONFIG_ASIGNATURAS!$B$7:$B$27,nASIG)&gt;0)*1),"")))</f>
        <v/>
      </c>
      <c r="Z805" t="str">
        <f>IF(Y805="","",IF(Y805="[FÓRMULA MANUAL]","",IFERROR(AVERAGEIFS(nNOTA,nNIA,Y805,nCUENTA,1,nASIG,"Análisis"),"")))</f>
        <v/>
      </c>
      <c r="AA805" t="str">
        <f>IF(Y805="","",IF(Y805="[FÓRMULA MANUAL]","",IFERROR(AVERAGEIFS(nNOTA,nNIA,Y805,nCUENTA,1,nASIG,"Orquesta/Banda/Conjunto"),"")))</f>
        <v/>
      </c>
      <c r="AB805" t="str">
        <f>IF(Y805="","",IF(Y805="[FÓRMULA MANUAL]","",IFERROR(AVERAGEIFS(nNOTA,nNIA,Y805,nCUENTA,1,nASIG,"Música de Cámara"),"")))</f>
        <v/>
      </c>
      <c r="AC805" t="str">
        <f>IF(Y805="","",IF(Y805="[FÓRMULA MANUAL]","",IFERROR(SUMPRODUCT((nNIA=Y805)*(nCUENTA=1)*(COUNTIF(CONFIG_ASIGNATURAS!$B$7:$B$27,nASIG)&gt;0)*(nNOTA))/SUMPRODUCT((nNIA=Y805)*(nCUENTA=1)*(COUNTIF(CONFIG_ASIGNATURAS!$B$7:$B$27,nASIG)&gt;0)*1),"")))</f>
        <v/>
      </c>
      <c r="AF805" t="str">
        <f>IF(AE805="","",IF(AE805="[FÓRMULA MANUAL]","",IFERROR(AVERAGEIFS(nNOTA,nNIA,AE805,nCUENTA,1,nASIG,"Análisis"),"")))</f>
        <v/>
      </c>
      <c r="AG805" t="str">
        <f>IF(AE805="","",IF(AE805="[FÓRMULA MANUAL]","",IFERROR(AVERAGEIFS(nNOTA,nNIA,AE805,nCUENTA,1,nASIG,"Orquesta/Banda/Conjunto"),"")))</f>
        <v/>
      </c>
      <c r="AH805" t="str">
        <f>IF(AE805="","",IF(AE805="[FÓRMULA MANUAL]","",IFERROR(AVERAGEIFS(nNOTA,nNIA,AE805,nCUENTA,1,nASIG,"Música de Cámara"),"")))</f>
        <v/>
      </c>
      <c r="AI805" t="str">
        <f>IF(AE805="","",IF(AE805="[FÓRMULA MANUAL]","",IFERROR(SUMPRODUCT((nNIA=AE805)*(nCUENTA=1)*(COUNTIF(CONFIG_ASIGNATURAS!$B$7:$B$27,nASIG)&gt;0)*(nNOTA))/SUMPRODUCT((nNIA=AE805)*(nCUENTA=1)*(COUNTIF(CONFIG_ASIGNATURAS!$B$7:$B$27,nASIG)&gt;0)*1),"")))</f>
        <v/>
      </c>
    </row>
    <row r="806" spans="2:35" x14ac:dyDescent="0.2">
      <c r="B806" t="str">
        <f>IF(A806="","",IF(A806="[FÓRMULA MANUAL]","",IFERROR(AVERAGEIFS(nNOTA,nNIA,A806,nCUENTA,1,nASIG,"Lenguaje Musical"),"")))</f>
        <v/>
      </c>
      <c r="C806" t="str">
        <f>IF(A806="","",IF(A806="[FÓRMULA MANUAL]","",IFERROR(AVERAGEIFS(nNOTA,nNIA,A806,nCUENTA,1,nASIG,"Orquesta/Banda/Conjunto"),"")))</f>
        <v/>
      </c>
      <c r="D806" t="str">
        <f>IF(A806="","",IF(A806="[FÓRMULA MANUAL]","",IFERROR(AVERAGEIFS(nNOTA,nNIA,A806,nCUENTA,1,nASIG,"Conjunto"),"")))</f>
        <v/>
      </c>
      <c r="E806" t="str">
        <f>IF(A806="","",IF(A806="[FÓRMULA MANUAL]","",IFERROR(SUMPRODUCT((nNIA=A806)*(nCUENTA=1)*(COUNTIF(CONFIG_ASIGNATURAS!$B$7:$B$27,nASIG)&gt;0)*(nNOTA))/SUMPRODUCT((nNIA=A806)*(nCUENTA=1)*(COUNTIF(CONFIG_ASIGNATURAS!$B$7:$B$27,nASIG)&gt;0)*1),"")))</f>
        <v/>
      </c>
      <c r="H806" t="str">
        <f>IF(G806="","",IF(G806="[FÓRMULA MANUAL]","",IFERROR(AVERAGEIFS(nNOTA,nNIA,G806,nCUENTA,1,nASIG,"Lenguaje Musical"),"")))</f>
        <v/>
      </c>
      <c r="I806" t="str">
        <f>IF(G806="","",IF(G806="[FÓRMULA MANUAL]","",IFERROR(AVERAGEIFS(nNOTA,nNIA,G806,nCUENTA,1,nASIG,"Orquesta/Banda/Conjunto"),"")))</f>
        <v/>
      </c>
      <c r="J806" t="str">
        <f>IF(G806="","",IF(G806="[FÓRMULA MANUAL]","",IFERROR(AVERAGEIFS(nNOTA,nNIA,G806,nCUENTA,1,nASIG,"Conjunto"),"")))</f>
        <v/>
      </c>
      <c r="K806" t="str">
        <f>IF(G806="","",IF(G806="[FÓRMULA MANUAL]","",IFERROR(SUMPRODUCT((nNIA=G806)*(nCUENTA=1)*(COUNTIF(CONFIG_ASIGNATURAS!$B$7:$B$27,nASIG)&gt;0)*(nNOTA))/SUMPRODUCT((nNIA=G806)*(nCUENTA=1)*(COUNTIF(CONFIG_ASIGNATURAS!$B$7:$B$27,nASIG)&gt;0)*1),"")))</f>
        <v/>
      </c>
      <c r="N806" t="str">
        <f>IF(M806="","",IF(M806="[FÓRMULA MANUAL]","",IFERROR(AVERAGEIFS(nNOTA,nNIA,M806,nCUENTA,1,nASIG,"Armonía"),"")))</f>
        <v/>
      </c>
      <c r="O806" t="str">
        <f>IF(M806="","",IF(M806="[FÓRMULA MANUAL]","",IFERROR(AVERAGEIFS(nNOTA,nNIA,M806,nCUENTA,1,nASIG,"Orquesta/Banda/Conjunto"),"")))</f>
        <v/>
      </c>
      <c r="P806" t="str">
        <f>IF(M806="","",IF(M806="[FÓRMULA MANUAL]","",IFERROR(AVERAGEIFS(nNOTA,nNIA,M806,nCUENTA,1,nASIG,"Música de Cámara"),"")))</f>
        <v/>
      </c>
      <c r="Q806" t="str">
        <f>IF(M806="","",IF(M806="[FÓRMULA MANUAL]","",IFERROR(SUMPRODUCT((nNIA=M806)*(nCUENTA=1)*(COUNTIF(CONFIG_ASIGNATURAS!$B$7:$B$27,nASIG)&gt;0)*(nNOTA))/SUMPRODUCT((nNIA=M806)*(nCUENTA=1)*(COUNTIF(CONFIG_ASIGNATURAS!$B$7:$B$27,nASIG)&gt;0)*1),"")))</f>
        <v/>
      </c>
      <c r="T806" t="str">
        <f>IF(S806="","",IF(S806="[FÓRMULA MANUAL]","",IFERROR(AVERAGEIFS(nNOTA,nNIA,S806,nCUENTA,1,nASIG,"Armonía"),"")))</f>
        <v/>
      </c>
      <c r="U806" t="str">
        <f>IF(S806="","",IF(S806="[FÓRMULA MANUAL]","",IFERROR(AVERAGEIFS(nNOTA,nNIA,S806,nCUENTA,1,nASIG,"Orquesta/Banda/Conjunto"),"")))</f>
        <v/>
      </c>
      <c r="V806" t="str">
        <f>IF(S806="","",IF(S806="[FÓRMULA MANUAL]","",IFERROR(AVERAGEIFS(nNOTA,nNIA,S806,nCUENTA,1,nASIG,"Música de Cámara"),"")))</f>
        <v/>
      </c>
      <c r="W806" t="str">
        <f>IF(S806="","",IF(S806="[FÓRMULA MANUAL]","",IFERROR(SUMPRODUCT((nNIA=S806)*(nCUENTA=1)*(COUNTIF(CONFIG_ASIGNATURAS!$B$7:$B$27,nASIG)&gt;0)*(nNOTA))/SUMPRODUCT((nNIA=S806)*(nCUENTA=1)*(COUNTIF(CONFIG_ASIGNATURAS!$B$7:$B$27,nASIG)&gt;0)*1),"")))</f>
        <v/>
      </c>
      <c r="Z806" t="str">
        <f>IF(Y806="","",IF(Y806="[FÓRMULA MANUAL]","",IFERROR(AVERAGEIFS(nNOTA,nNIA,Y806,nCUENTA,1,nASIG,"Análisis"),"")))</f>
        <v/>
      </c>
      <c r="AA806" t="str">
        <f>IF(Y806="","",IF(Y806="[FÓRMULA MANUAL]","",IFERROR(AVERAGEIFS(nNOTA,nNIA,Y806,nCUENTA,1,nASIG,"Orquesta/Banda/Conjunto"),"")))</f>
        <v/>
      </c>
      <c r="AB806" t="str">
        <f>IF(Y806="","",IF(Y806="[FÓRMULA MANUAL]","",IFERROR(AVERAGEIFS(nNOTA,nNIA,Y806,nCUENTA,1,nASIG,"Música de Cámara"),"")))</f>
        <v/>
      </c>
      <c r="AC806" t="str">
        <f>IF(Y806="","",IF(Y806="[FÓRMULA MANUAL]","",IFERROR(SUMPRODUCT((nNIA=Y806)*(nCUENTA=1)*(COUNTIF(CONFIG_ASIGNATURAS!$B$7:$B$27,nASIG)&gt;0)*(nNOTA))/SUMPRODUCT((nNIA=Y806)*(nCUENTA=1)*(COUNTIF(CONFIG_ASIGNATURAS!$B$7:$B$27,nASIG)&gt;0)*1),"")))</f>
        <v/>
      </c>
      <c r="AF806" t="str">
        <f>IF(AE806="","",IF(AE806="[FÓRMULA MANUAL]","",IFERROR(AVERAGEIFS(nNOTA,nNIA,AE806,nCUENTA,1,nASIG,"Análisis"),"")))</f>
        <v/>
      </c>
      <c r="AG806" t="str">
        <f>IF(AE806="","",IF(AE806="[FÓRMULA MANUAL]","",IFERROR(AVERAGEIFS(nNOTA,nNIA,AE806,nCUENTA,1,nASIG,"Orquesta/Banda/Conjunto"),"")))</f>
        <v/>
      </c>
      <c r="AH806" t="str">
        <f>IF(AE806="","",IF(AE806="[FÓRMULA MANUAL]","",IFERROR(AVERAGEIFS(nNOTA,nNIA,AE806,nCUENTA,1,nASIG,"Música de Cámara"),"")))</f>
        <v/>
      </c>
      <c r="AI806" t="str">
        <f>IF(AE806="","",IF(AE806="[FÓRMULA MANUAL]","",IFERROR(SUMPRODUCT((nNIA=AE806)*(nCUENTA=1)*(COUNTIF(CONFIG_ASIGNATURAS!$B$7:$B$27,nASIG)&gt;0)*(nNOTA))/SUMPRODUCT((nNIA=AE806)*(nCUENTA=1)*(COUNTIF(CONFIG_ASIGNATURAS!$B$7:$B$27,nASIG)&gt;0)*1),"")))</f>
        <v/>
      </c>
    </row>
    <row r="807" spans="2:35" x14ac:dyDescent="0.2">
      <c r="B807" t="str">
        <f>IF(A807="","",IF(A807="[FÓRMULA MANUAL]","",IFERROR(AVERAGEIFS(nNOTA,nNIA,A807,nCUENTA,1,nASIG,"Lenguaje Musical"),"")))</f>
        <v/>
      </c>
      <c r="C807" t="str">
        <f>IF(A807="","",IF(A807="[FÓRMULA MANUAL]","",IFERROR(AVERAGEIFS(nNOTA,nNIA,A807,nCUENTA,1,nASIG,"Orquesta/Banda/Conjunto"),"")))</f>
        <v/>
      </c>
      <c r="D807" t="str">
        <f>IF(A807="","",IF(A807="[FÓRMULA MANUAL]","",IFERROR(AVERAGEIFS(nNOTA,nNIA,A807,nCUENTA,1,nASIG,"Conjunto"),"")))</f>
        <v/>
      </c>
      <c r="E807" t="str">
        <f>IF(A807="","",IF(A807="[FÓRMULA MANUAL]","",IFERROR(SUMPRODUCT((nNIA=A807)*(nCUENTA=1)*(COUNTIF(CONFIG_ASIGNATURAS!$B$7:$B$27,nASIG)&gt;0)*(nNOTA))/SUMPRODUCT((nNIA=A807)*(nCUENTA=1)*(COUNTIF(CONFIG_ASIGNATURAS!$B$7:$B$27,nASIG)&gt;0)*1),"")))</f>
        <v/>
      </c>
      <c r="H807" t="str">
        <f>IF(G807="","",IF(G807="[FÓRMULA MANUAL]","",IFERROR(AVERAGEIFS(nNOTA,nNIA,G807,nCUENTA,1,nASIG,"Lenguaje Musical"),"")))</f>
        <v/>
      </c>
      <c r="I807" t="str">
        <f>IF(G807="","",IF(G807="[FÓRMULA MANUAL]","",IFERROR(AVERAGEIFS(nNOTA,nNIA,G807,nCUENTA,1,nASIG,"Orquesta/Banda/Conjunto"),"")))</f>
        <v/>
      </c>
      <c r="J807" t="str">
        <f>IF(G807="","",IF(G807="[FÓRMULA MANUAL]","",IFERROR(AVERAGEIFS(nNOTA,nNIA,G807,nCUENTA,1,nASIG,"Conjunto"),"")))</f>
        <v/>
      </c>
      <c r="K807" t="str">
        <f>IF(G807="","",IF(G807="[FÓRMULA MANUAL]","",IFERROR(SUMPRODUCT((nNIA=G807)*(nCUENTA=1)*(COUNTIF(CONFIG_ASIGNATURAS!$B$7:$B$27,nASIG)&gt;0)*(nNOTA))/SUMPRODUCT((nNIA=G807)*(nCUENTA=1)*(COUNTIF(CONFIG_ASIGNATURAS!$B$7:$B$27,nASIG)&gt;0)*1),"")))</f>
        <v/>
      </c>
      <c r="N807" t="str">
        <f>IF(M807="","",IF(M807="[FÓRMULA MANUAL]","",IFERROR(AVERAGEIFS(nNOTA,nNIA,M807,nCUENTA,1,nASIG,"Armonía"),"")))</f>
        <v/>
      </c>
      <c r="O807" t="str">
        <f>IF(M807="","",IF(M807="[FÓRMULA MANUAL]","",IFERROR(AVERAGEIFS(nNOTA,nNIA,M807,nCUENTA,1,nASIG,"Orquesta/Banda/Conjunto"),"")))</f>
        <v/>
      </c>
      <c r="P807" t="str">
        <f>IF(M807="","",IF(M807="[FÓRMULA MANUAL]","",IFERROR(AVERAGEIFS(nNOTA,nNIA,M807,nCUENTA,1,nASIG,"Música de Cámara"),"")))</f>
        <v/>
      </c>
      <c r="Q807" t="str">
        <f>IF(M807="","",IF(M807="[FÓRMULA MANUAL]","",IFERROR(SUMPRODUCT((nNIA=M807)*(nCUENTA=1)*(COUNTIF(CONFIG_ASIGNATURAS!$B$7:$B$27,nASIG)&gt;0)*(nNOTA))/SUMPRODUCT((nNIA=M807)*(nCUENTA=1)*(COUNTIF(CONFIG_ASIGNATURAS!$B$7:$B$27,nASIG)&gt;0)*1),"")))</f>
        <v/>
      </c>
      <c r="T807" t="str">
        <f>IF(S807="","",IF(S807="[FÓRMULA MANUAL]","",IFERROR(AVERAGEIFS(nNOTA,nNIA,S807,nCUENTA,1,nASIG,"Armonía"),"")))</f>
        <v/>
      </c>
      <c r="U807" t="str">
        <f>IF(S807="","",IF(S807="[FÓRMULA MANUAL]","",IFERROR(AVERAGEIFS(nNOTA,nNIA,S807,nCUENTA,1,nASIG,"Orquesta/Banda/Conjunto"),"")))</f>
        <v/>
      </c>
      <c r="V807" t="str">
        <f>IF(S807="","",IF(S807="[FÓRMULA MANUAL]","",IFERROR(AVERAGEIFS(nNOTA,nNIA,S807,nCUENTA,1,nASIG,"Música de Cámara"),"")))</f>
        <v/>
      </c>
      <c r="W807" t="str">
        <f>IF(S807="","",IF(S807="[FÓRMULA MANUAL]","",IFERROR(SUMPRODUCT((nNIA=S807)*(nCUENTA=1)*(COUNTIF(CONFIG_ASIGNATURAS!$B$7:$B$27,nASIG)&gt;0)*(nNOTA))/SUMPRODUCT((nNIA=S807)*(nCUENTA=1)*(COUNTIF(CONFIG_ASIGNATURAS!$B$7:$B$27,nASIG)&gt;0)*1),"")))</f>
        <v/>
      </c>
      <c r="Z807" t="str">
        <f>IF(Y807="","",IF(Y807="[FÓRMULA MANUAL]","",IFERROR(AVERAGEIFS(nNOTA,nNIA,Y807,nCUENTA,1,nASIG,"Análisis"),"")))</f>
        <v/>
      </c>
      <c r="AA807" t="str">
        <f>IF(Y807="","",IF(Y807="[FÓRMULA MANUAL]","",IFERROR(AVERAGEIFS(nNOTA,nNIA,Y807,nCUENTA,1,nASIG,"Orquesta/Banda/Conjunto"),"")))</f>
        <v/>
      </c>
      <c r="AB807" t="str">
        <f>IF(Y807="","",IF(Y807="[FÓRMULA MANUAL]","",IFERROR(AVERAGEIFS(nNOTA,nNIA,Y807,nCUENTA,1,nASIG,"Música de Cámara"),"")))</f>
        <v/>
      </c>
      <c r="AC807" t="str">
        <f>IF(Y807="","",IF(Y807="[FÓRMULA MANUAL]","",IFERROR(SUMPRODUCT((nNIA=Y807)*(nCUENTA=1)*(COUNTIF(CONFIG_ASIGNATURAS!$B$7:$B$27,nASIG)&gt;0)*(nNOTA))/SUMPRODUCT((nNIA=Y807)*(nCUENTA=1)*(COUNTIF(CONFIG_ASIGNATURAS!$B$7:$B$27,nASIG)&gt;0)*1),"")))</f>
        <v/>
      </c>
      <c r="AF807" t="str">
        <f>IF(AE807="","",IF(AE807="[FÓRMULA MANUAL]","",IFERROR(AVERAGEIFS(nNOTA,nNIA,AE807,nCUENTA,1,nASIG,"Análisis"),"")))</f>
        <v/>
      </c>
      <c r="AG807" t="str">
        <f>IF(AE807="","",IF(AE807="[FÓRMULA MANUAL]","",IFERROR(AVERAGEIFS(nNOTA,nNIA,AE807,nCUENTA,1,nASIG,"Orquesta/Banda/Conjunto"),"")))</f>
        <v/>
      </c>
      <c r="AH807" t="str">
        <f>IF(AE807="","",IF(AE807="[FÓRMULA MANUAL]","",IFERROR(AVERAGEIFS(nNOTA,nNIA,AE807,nCUENTA,1,nASIG,"Música de Cámara"),"")))</f>
        <v/>
      </c>
      <c r="AI807" t="str">
        <f>IF(AE807="","",IF(AE807="[FÓRMULA MANUAL]","",IFERROR(SUMPRODUCT((nNIA=AE807)*(nCUENTA=1)*(COUNTIF(CONFIG_ASIGNATURAS!$B$7:$B$27,nASIG)&gt;0)*(nNOTA))/SUMPRODUCT((nNIA=AE807)*(nCUENTA=1)*(COUNTIF(CONFIG_ASIGNATURAS!$B$7:$B$27,nASIG)&gt;0)*1),"")))</f>
        <v/>
      </c>
    </row>
    <row r="808" spans="2:35" x14ac:dyDescent="0.2">
      <c r="B808" t="str">
        <f>IF(A808="","",IF(A808="[FÓRMULA MANUAL]","",IFERROR(AVERAGEIFS(nNOTA,nNIA,A808,nCUENTA,1,nASIG,"Lenguaje Musical"),"")))</f>
        <v/>
      </c>
      <c r="C808" t="str">
        <f>IF(A808="","",IF(A808="[FÓRMULA MANUAL]","",IFERROR(AVERAGEIFS(nNOTA,nNIA,A808,nCUENTA,1,nASIG,"Orquesta/Banda/Conjunto"),"")))</f>
        <v/>
      </c>
      <c r="D808" t="str">
        <f>IF(A808="","",IF(A808="[FÓRMULA MANUAL]","",IFERROR(AVERAGEIFS(nNOTA,nNIA,A808,nCUENTA,1,nASIG,"Conjunto"),"")))</f>
        <v/>
      </c>
      <c r="E808" t="str">
        <f>IF(A808="","",IF(A808="[FÓRMULA MANUAL]","",IFERROR(SUMPRODUCT((nNIA=A808)*(nCUENTA=1)*(COUNTIF(CONFIG_ASIGNATURAS!$B$7:$B$27,nASIG)&gt;0)*(nNOTA))/SUMPRODUCT((nNIA=A808)*(nCUENTA=1)*(COUNTIF(CONFIG_ASIGNATURAS!$B$7:$B$27,nASIG)&gt;0)*1),"")))</f>
        <v/>
      </c>
      <c r="H808" t="str">
        <f>IF(G808="","",IF(G808="[FÓRMULA MANUAL]","",IFERROR(AVERAGEIFS(nNOTA,nNIA,G808,nCUENTA,1,nASIG,"Lenguaje Musical"),"")))</f>
        <v/>
      </c>
      <c r="I808" t="str">
        <f>IF(G808="","",IF(G808="[FÓRMULA MANUAL]","",IFERROR(AVERAGEIFS(nNOTA,nNIA,G808,nCUENTA,1,nASIG,"Orquesta/Banda/Conjunto"),"")))</f>
        <v/>
      </c>
      <c r="J808" t="str">
        <f>IF(G808="","",IF(G808="[FÓRMULA MANUAL]","",IFERROR(AVERAGEIFS(nNOTA,nNIA,G808,nCUENTA,1,nASIG,"Conjunto"),"")))</f>
        <v/>
      </c>
      <c r="K808" t="str">
        <f>IF(G808="","",IF(G808="[FÓRMULA MANUAL]","",IFERROR(SUMPRODUCT((nNIA=G808)*(nCUENTA=1)*(COUNTIF(CONFIG_ASIGNATURAS!$B$7:$B$27,nASIG)&gt;0)*(nNOTA))/SUMPRODUCT((nNIA=G808)*(nCUENTA=1)*(COUNTIF(CONFIG_ASIGNATURAS!$B$7:$B$27,nASIG)&gt;0)*1),"")))</f>
        <v/>
      </c>
      <c r="N808" t="str">
        <f>IF(M808="","",IF(M808="[FÓRMULA MANUAL]","",IFERROR(AVERAGEIFS(nNOTA,nNIA,M808,nCUENTA,1,nASIG,"Armonía"),"")))</f>
        <v/>
      </c>
      <c r="O808" t="str">
        <f>IF(M808="","",IF(M808="[FÓRMULA MANUAL]","",IFERROR(AVERAGEIFS(nNOTA,nNIA,M808,nCUENTA,1,nASIG,"Orquesta/Banda/Conjunto"),"")))</f>
        <v/>
      </c>
      <c r="P808" t="str">
        <f>IF(M808="","",IF(M808="[FÓRMULA MANUAL]","",IFERROR(AVERAGEIFS(nNOTA,nNIA,M808,nCUENTA,1,nASIG,"Música de Cámara"),"")))</f>
        <v/>
      </c>
      <c r="Q808" t="str">
        <f>IF(M808="","",IF(M808="[FÓRMULA MANUAL]","",IFERROR(SUMPRODUCT((nNIA=M808)*(nCUENTA=1)*(COUNTIF(CONFIG_ASIGNATURAS!$B$7:$B$27,nASIG)&gt;0)*(nNOTA))/SUMPRODUCT((nNIA=M808)*(nCUENTA=1)*(COUNTIF(CONFIG_ASIGNATURAS!$B$7:$B$27,nASIG)&gt;0)*1),"")))</f>
        <v/>
      </c>
      <c r="T808" t="str">
        <f>IF(S808="","",IF(S808="[FÓRMULA MANUAL]","",IFERROR(AVERAGEIFS(nNOTA,nNIA,S808,nCUENTA,1,nASIG,"Armonía"),"")))</f>
        <v/>
      </c>
      <c r="U808" t="str">
        <f>IF(S808="","",IF(S808="[FÓRMULA MANUAL]","",IFERROR(AVERAGEIFS(nNOTA,nNIA,S808,nCUENTA,1,nASIG,"Orquesta/Banda/Conjunto"),"")))</f>
        <v/>
      </c>
      <c r="V808" t="str">
        <f>IF(S808="","",IF(S808="[FÓRMULA MANUAL]","",IFERROR(AVERAGEIFS(nNOTA,nNIA,S808,nCUENTA,1,nASIG,"Música de Cámara"),"")))</f>
        <v/>
      </c>
      <c r="W808" t="str">
        <f>IF(S808="","",IF(S808="[FÓRMULA MANUAL]","",IFERROR(SUMPRODUCT((nNIA=S808)*(nCUENTA=1)*(COUNTIF(CONFIG_ASIGNATURAS!$B$7:$B$27,nASIG)&gt;0)*(nNOTA))/SUMPRODUCT((nNIA=S808)*(nCUENTA=1)*(COUNTIF(CONFIG_ASIGNATURAS!$B$7:$B$27,nASIG)&gt;0)*1),"")))</f>
        <v/>
      </c>
      <c r="Z808" t="str">
        <f>IF(Y808="","",IF(Y808="[FÓRMULA MANUAL]","",IFERROR(AVERAGEIFS(nNOTA,nNIA,Y808,nCUENTA,1,nASIG,"Análisis"),"")))</f>
        <v/>
      </c>
      <c r="AA808" t="str">
        <f>IF(Y808="","",IF(Y808="[FÓRMULA MANUAL]","",IFERROR(AVERAGEIFS(nNOTA,nNIA,Y808,nCUENTA,1,nASIG,"Orquesta/Banda/Conjunto"),"")))</f>
        <v/>
      </c>
      <c r="AB808" t="str">
        <f>IF(Y808="","",IF(Y808="[FÓRMULA MANUAL]","",IFERROR(AVERAGEIFS(nNOTA,nNIA,Y808,nCUENTA,1,nASIG,"Música de Cámara"),"")))</f>
        <v/>
      </c>
      <c r="AC808" t="str">
        <f>IF(Y808="","",IF(Y808="[FÓRMULA MANUAL]","",IFERROR(SUMPRODUCT((nNIA=Y808)*(nCUENTA=1)*(COUNTIF(CONFIG_ASIGNATURAS!$B$7:$B$27,nASIG)&gt;0)*(nNOTA))/SUMPRODUCT((nNIA=Y808)*(nCUENTA=1)*(COUNTIF(CONFIG_ASIGNATURAS!$B$7:$B$27,nASIG)&gt;0)*1),"")))</f>
        <v/>
      </c>
      <c r="AF808" t="str">
        <f>IF(AE808="","",IF(AE808="[FÓRMULA MANUAL]","",IFERROR(AVERAGEIFS(nNOTA,nNIA,AE808,nCUENTA,1,nASIG,"Análisis"),"")))</f>
        <v/>
      </c>
      <c r="AG808" t="str">
        <f>IF(AE808="","",IF(AE808="[FÓRMULA MANUAL]","",IFERROR(AVERAGEIFS(nNOTA,nNIA,AE808,nCUENTA,1,nASIG,"Orquesta/Banda/Conjunto"),"")))</f>
        <v/>
      </c>
      <c r="AH808" t="str">
        <f>IF(AE808="","",IF(AE808="[FÓRMULA MANUAL]","",IFERROR(AVERAGEIFS(nNOTA,nNIA,AE808,nCUENTA,1,nASIG,"Música de Cámara"),"")))</f>
        <v/>
      </c>
      <c r="AI808" t="str">
        <f>IF(AE808="","",IF(AE808="[FÓRMULA MANUAL]","",IFERROR(SUMPRODUCT((nNIA=AE808)*(nCUENTA=1)*(COUNTIF(CONFIG_ASIGNATURAS!$B$7:$B$27,nASIG)&gt;0)*(nNOTA))/SUMPRODUCT((nNIA=AE808)*(nCUENTA=1)*(COUNTIF(CONFIG_ASIGNATURAS!$B$7:$B$27,nASIG)&gt;0)*1),"")))</f>
        <v/>
      </c>
    </row>
    <row r="809" spans="2:35" x14ac:dyDescent="0.2">
      <c r="B809" t="str">
        <f>IF(A809="","",IF(A809="[FÓRMULA MANUAL]","",IFERROR(AVERAGEIFS(nNOTA,nNIA,A809,nCUENTA,1,nASIG,"Lenguaje Musical"),"")))</f>
        <v/>
      </c>
      <c r="C809" t="str">
        <f>IF(A809="","",IF(A809="[FÓRMULA MANUAL]","",IFERROR(AVERAGEIFS(nNOTA,nNIA,A809,nCUENTA,1,nASIG,"Orquesta/Banda/Conjunto"),"")))</f>
        <v/>
      </c>
      <c r="D809" t="str">
        <f>IF(A809="","",IF(A809="[FÓRMULA MANUAL]","",IFERROR(AVERAGEIFS(nNOTA,nNIA,A809,nCUENTA,1,nASIG,"Conjunto"),"")))</f>
        <v/>
      </c>
      <c r="E809" t="str">
        <f>IF(A809="","",IF(A809="[FÓRMULA MANUAL]","",IFERROR(SUMPRODUCT((nNIA=A809)*(nCUENTA=1)*(COUNTIF(CONFIG_ASIGNATURAS!$B$7:$B$27,nASIG)&gt;0)*(nNOTA))/SUMPRODUCT((nNIA=A809)*(nCUENTA=1)*(COUNTIF(CONFIG_ASIGNATURAS!$B$7:$B$27,nASIG)&gt;0)*1),"")))</f>
        <v/>
      </c>
      <c r="H809" t="str">
        <f>IF(G809="","",IF(G809="[FÓRMULA MANUAL]","",IFERROR(AVERAGEIFS(nNOTA,nNIA,G809,nCUENTA,1,nASIG,"Lenguaje Musical"),"")))</f>
        <v/>
      </c>
      <c r="I809" t="str">
        <f>IF(G809="","",IF(G809="[FÓRMULA MANUAL]","",IFERROR(AVERAGEIFS(nNOTA,nNIA,G809,nCUENTA,1,nASIG,"Orquesta/Banda/Conjunto"),"")))</f>
        <v/>
      </c>
      <c r="J809" t="str">
        <f>IF(G809="","",IF(G809="[FÓRMULA MANUAL]","",IFERROR(AVERAGEIFS(nNOTA,nNIA,G809,nCUENTA,1,nASIG,"Conjunto"),"")))</f>
        <v/>
      </c>
      <c r="K809" t="str">
        <f>IF(G809="","",IF(G809="[FÓRMULA MANUAL]","",IFERROR(SUMPRODUCT((nNIA=G809)*(nCUENTA=1)*(COUNTIF(CONFIG_ASIGNATURAS!$B$7:$B$27,nASIG)&gt;0)*(nNOTA))/SUMPRODUCT((nNIA=G809)*(nCUENTA=1)*(COUNTIF(CONFIG_ASIGNATURAS!$B$7:$B$27,nASIG)&gt;0)*1),"")))</f>
        <v/>
      </c>
      <c r="N809" t="str">
        <f>IF(M809="","",IF(M809="[FÓRMULA MANUAL]","",IFERROR(AVERAGEIFS(nNOTA,nNIA,M809,nCUENTA,1,nASIG,"Armonía"),"")))</f>
        <v/>
      </c>
      <c r="O809" t="str">
        <f>IF(M809="","",IF(M809="[FÓRMULA MANUAL]","",IFERROR(AVERAGEIFS(nNOTA,nNIA,M809,nCUENTA,1,nASIG,"Orquesta/Banda/Conjunto"),"")))</f>
        <v/>
      </c>
      <c r="P809" t="str">
        <f>IF(M809="","",IF(M809="[FÓRMULA MANUAL]","",IFERROR(AVERAGEIFS(nNOTA,nNIA,M809,nCUENTA,1,nASIG,"Música de Cámara"),"")))</f>
        <v/>
      </c>
      <c r="Q809" t="str">
        <f>IF(M809="","",IF(M809="[FÓRMULA MANUAL]","",IFERROR(SUMPRODUCT((nNIA=M809)*(nCUENTA=1)*(COUNTIF(CONFIG_ASIGNATURAS!$B$7:$B$27,nASIG)&gt;0)*(nNOTA))/SUMPRODUCT((nNIA=M809)*(nCUENTA=1)*(COUNTIF(CONFIG_ASIGNATURAS!$B$7:$B$27,nASIG)&gt;0)*1),"")))</f>
        <v/>
      </c>
      <c r="T809" t="str">
        <f>IF(S809="","",IF(S809="[FÓRMULA MANUAL]","",IFERROR(AVERAGEIFS(nNOTA,nNIA,S809,nCUENTA,1,nASIG,"Armonía"),"")))</f>
        <v/>
      </c>
      <c r="U809" t="str">
        <f>IF(S809="","",IF(S809="[FÓRMULA MANUAL]","",IFERROR(AVERAGEIFS(nNOTA,nNIA,S809,nCUENTA,1,nASIG,"Orquesta/Banda/Conjunto"),"")))</f>
        <v/>
      </c>
      <c r="V809" t="str">
        <f>IF(S809="","",IF(S809="[FÓRMULA MANUAL]","",IFERROR(AVERAGEIFS(nNOTA,nNIA,S809,nCUENTA,1,nASIG,"Música de Cámara"),"")))</f>
        <v/>
      </c>
      <c r="W809" t="str">
        <f>IF(S809="","",IF(S809="[FÓRMULA MANUAL]","",IFERROR(SUMPRODUCT((nNIA=S809)*(nCUENTA=1)*(COUNTIF(CONFIG_ASIGNATURAS!$B$7:$B$27,nASIG)&gt;0)*(nNOTA))/SUMPRODUCT((nNIA=S809)*(nCUENTA=1)*(COUNTIF(CONFIG_ASIGNATURAS!$B$7:$B$27,nASIG)&gt;0)*1),"")))</f>
        <v/>
      </c>
      <c r="Z809" t="str">
        <f>IF(Y809="","",IF(Y809="[FÓRMULA MANUAL]","",IFERROR(AVERAGEIFS(nNOTA,nNIA,Y809,nCUENTA,1,nASIG,"Análisis"),"")))</f>
        <v/>
      </c>
      <c r="AA809" t="str">
        <f>IF(Y809="","",IF(Y809="[FÓRMULA MANUAL]","",IFERROR(AVERAGEIFS(nNOTA,nNIA,Y809,nCUENTA,1,nASIG,"Orquesta/Banda/Conjunto"),"")))</f>
        <v/>
      </c>
      <c r="AB809" t="str">
        <f>IF(Y809="","",IF(Y809="[FÓRMULA MANUAL]","",IFERROR(AVERAGEIFS(nNOTA,nNIA,Y809,nCUENTA,1,nASIG,"Música de Cámara"),"")))</f>
        <v/>
      </c>
      <c r="AC809" t="str">
        <f>IF(Y809="","",IF(Y809="[FÓRMULA MANUAL]","",IFERROR(SUMPRODUCT((nNIA=Y809)*(nCUENTA=1)*(COUNTIF(CONFIG_ASIGNATURAS!$B$7:$B$27,nASIG)&gt;0)*(nNOTA))/SUMPRODUCT((nNIA=Y809)*(nCUENTA=1)*(COUNTIF(CONFIG_ASIGNATURAS!$B$7:$B$27,nASIG)&gt;0)*1),"")))</f>
        <v/>
      </c>
      <c r="AF809" t="str">
        <f>IF(AE809="","",IF(AE809="[FÓRMULA MANUAL]","",IFERROR(AVERAGEIFS(nNOTA,nNIA,AE809,nCUENTA,1,nASIG,"Análisis"),"")))</f>
        <v/>
      </c>
      <c r="AG809" t="str">
        <f>IF(AE809="","",IF(AE809="[FÓRMULA MANUAL]","",IFERROR(AVERAGEIFS(nNOTA,nNIA,AE809,nCUENTA,1,nASIG,"Orquesta/Banda/Conjunto"),"")))</f>
        <v/>
      </c>
      <c r="AH809" t="str">
        <f>IF(AE809="","",IF(AE809="[FÓRMULA MANUAL]","",IFERROR(AVERAGEIFS(nNOTA,nNIA,AE809,nCUENTA,1,nASIG,"Música de Cámara"),"")))</f>
        <v/>
      </c>
      <c r="AI809" t="str">
        <f>IF(AE809="","",IF(AE809="[FÓRMULA MANUAL]","",IFERROR(SUMPRODUCT((nNIA=AE809)*(nCUENTA=1)*(COUNTIF(CONFIG_ASIGNATURAS!$B$7:$B$27,nASIG)&gt;0)*(nNOTA))/SUMPRODUCT((nNIA=AE809)*(nCUENTA=1)*(COUNTIF(CONFIG_ASIGNATURAS!$B$7:$B$27,nASIG)&gt;0)*1),"")))</f>
        <v/>
      </c>
    </row>
    <row r="810" spans="2:35" x14ac:dyDescent="0.2">
      <c r="B810" t="str">
        <f>IF(A810="","",IF(A810="[FÓRMULA MANUAL]","",IFERROR(AVERAGEIFS(nNOTA,nNIA,A810,nCUENTA,1,nASIG,"Lenguaje Musical"),"")))</f>
        <v/>
      </c>
      <c r="C810" t="str">
        <f>IF(A810="","",IF(A810="[FÓRMULA MANUAL]","",IFERROR(AVERAGEIFS(nNOTA,nNIA,A810,nCUENTA,1,nASIG,"Orquesta/Banda/Conjunto"),"")))</f>
        <v/>
      </c>
      <c r="D810" t="str">
        <f>IF(A810="","",IF(A810="[FÓRMULA MANUAL]","",IFERROR(AVERAGEIFS(nNOTA,nNIA,A810,nCUENTA,1,nASIG,"Conjunto"),"")))</f>
        <v/>
      </c>
      <c r="E810" t="str">
        <f>IF(A810="","",IF(A810="[FÓRMULA MANUAL]","",IFERROR(SUMPRODUCT((nNIA=A810)*(nCUENTA=1)*(COUNTIF(CONFIG_ASIGNATURAS!$B$7:$B$27,nASIG)&gt;0)*(nNOTA))/SUMPRODUCT((nNIA=A810)*(nCUENTA=1)*(COUNTIF(CONFIG_ASIGNATURAS!$B$7:$B$27,nASIG)&gt;0)*1),"")))</f>
        <v/>
      </c>
      <c r="H810" t="str">
        <f>IF(G810="","",IF(G810="[FÓRMULA MANUAL]","",IFERROR(AVERAGEIFS(nNOTA,nNIA,G810,nCUENTA,1,nASIG,"Lenguaje Musical"),"")))</f>
        <v/>
      </c>
      <c r="I810" t="str">
        <f>IF(G810="","",IF(G810="[FÓRMULA MANUAL]","",IFERROR(AVERAGEIFS(nNOTA,nNIA,G810,nCUENTA,1,nASIG,"Orquesta/Banda/Conjunto"),"")))</f>
        <v/>
      </c>
      <c r="J810" t="str">
        <f>IF(G810="","",IF(G810="[FÓRMULA MANUAL]","",IFERROR(AVERAGEIFS(nNOTA,nNIA,G810,nCUENTA,1,nASIG,"Conjunto"),"")))</f>
        <v/>
      </c>
      <c r="K810" t="str">
        <f>IF(G810="","",IF(G810="[FÓRMULA MANUAL]","",IFERROR(SUMPRODUCT((nNIA=G810)*(nCUENTA=1)*(COUNTIF(CONFIG_ASIGNATURAS!$B$7:$B$27,nASIG)&gt;0)*(nNOTA))/SUMPRODUCT((nNIA=G810)*(nCUENTA=1)*(COUNTIF(CONFIG_ASIGNATURAS!$B$7:$B$27,nASIG)&gt;0)*1),"")))</f>
        <v/>
      </c>
      <c r="N810" t="str">
        <f>IF(M810="","",IF(M810="[FÓRMULA MANUAL]","",IFERROR(AVERAGEIFS(nNOTA,nNIA,M810,nCUENTA,1,nASIG,"Armonía"),"")))</f>
        <v/>
      </c>
      <c r="O810" t="str">
        <f>IF(M810="","",IF(M810="[FÓRMULA MANUAL]","",IFERROR(AVERAGEIFS(nNOTA,nNIA,M810,nCUENTA,1,nASIG,"Orquesta/Banda/Conjunto"),"")))</f>
        <v/>
      </c>
      <c r="P810" t="str">
        <f>IF(M810="","",IF(M810="[FÓRMULA MANUAL]","",IFERROR(AVERAGEIFS(nNOTA,nNIA,M810,nCUENTA,1,nASIG,"Música de Cámara"),"")))</f>
        <v/>
      </c>
      <c r="Q810" t="str">
        <f>IF(M810="","",IF(M810="[FÓRMULA MANUAL]","",IFERROR(SUMPRODUCT((nNIA=M810)*(nCUENTA=1)*(COUNTIF(CONFIG_ASIGNATURAS!$B$7:$B$27,nASIG)&gt;0)*(nNOTA))/SUMPRODUCT((nNIA=M810)*(nCUENTA=1)*(COUNTIF(CONFIG_ASIGNATURAS!$B$7:$B$27,nASIG)&gt;0)*1),"")))</f>
        <v/>
      </c>
      <c r="T810" t="str">
        <f>IF(S810="","",IF(S810="[FÓRMULA MANUAL]","",IFERROR(AVERAGEIFS(nNOTA,nNIA,S810,nCUENTA,1,nASIG,"Armonía"),"")))</f>
        <v/>
      </c>
      <c r="U810" t="str">
        <f>IF(S810="","",IF(S810="[FÓRMULA MANUAL]","",IFERROR(AVERAGEIFS(nNOTA,nNIA,S810,nCUENTA,1,nASIG,"Orquesta/Banda/Conjunto"),"")))</f>
        <v/>
      </c>
      <c r="V810" t="str">
        <f>IF(S810="","",IF(S810="[FÓRMULA MANUAL]","",IFERROR(AVERAGEIFS(nNOTA,nNIA,S810,nCUENTA,1,nASIG,"Música de Cámara"),"")))</f>
        <v/>
      </c>
      <c r="W810" t="str">
        <f>IF(S810="","",IF(S810="[FÓRMULA MANUAL]","",IFERROR(SUMPRODUCT((nNIA=S810)*(nCUENTA=1)*(COUNTIF(CONFIG_ASIGNATURAS!$B$7:$B$27,nASIG)&gt;0)*(nNOTA))/SUMPRODUCT((nNIA=S810)*(nCUENTA=1)*(COUNTIF(CONFIG_ASIGNATURAS!$B$7:$B$27,nASIG)&gt;0)*1),"")))</f>
        <v/>
      </c>
      <c r="Z810" t="str">
        <f>IF(Y810="","",IF(Y810="[FÓRMULA MANUAL]","",IFERROR(AVERAGEIFS(nNOTA,nNIA,Y810,nCUENTA,1,nASIG,"Análisis"),"")))</f>
        <v/>
      </c>
      <c r="AA810" t="str">
        <f>IF(Y810="","",IF(Y810="[FÓRMULA MANUAL]","",IFERROR(AVERAGEIFS(nNOTA,nNIA,Y810,nCUENTA,1,nASIG,"Orquesta/Banda/Conjunto"),"")))</f>
        <v/>
      </c>
      <c r="AB810" t="str">
        <f>IF(Y810="","",IF(Y810="[FÓRMULA MANUAL]","",IFERROR(AVERAGEIFS(nNOTA,nNIA,Y810,nCUENTA,1,nASIG,"Música de Cámara"),"")))</f>
        <v/>
      </c>
      <c r="AC810" t="str">
        <f>IF(Y810="","",IF(Y810="[FÓRMULA MANUAL]","",IFERROR(SUMPRODUCT((nNIA=Y810)*(nCUENTA=1)*(COUNTIF(CONFIG_ASIGNATURAS!$B$7:$B$27,nASIG)&gt;0)*(nNOTA))/SUMPRODUCT((nNIA=Y810)*(nCUENTA=1)*(COUNTIF(CONFIG_ASIGNATURAS!$B$7:$B$27,nASIG)&gt;0)*1),"")))</f>
        <v/>
      </c>
      <c r="AF810" t="str">
        <f>IF(AE810="","",IF(AE810="[FÓRMULA MANUAL]","",IFERROR(AVERAGEIFS(nNOTA,nNIA,AE810,nCUENTA,1,nASIG,"Análisis"),"")))</f>
        <v/>
      </c>
      <c r="AG810" t="str">
        <f>IF(AE810="","",IF(AE810="[FÓRMULA MANUAL]","",IFERROR(AVERAGEIFS(nNOTA,nNIA,AE810,nCUENTA,1,nASIG,"Orquesta/Banda/Conjunto"),"")))</f>
        <v/>
      </c>
      <c r="AH810" t="str">
        <f>IF(AE810="","",IF(AE810="[FÓRMULA MANUAL]","",IFERROR(AVERAGEIFS(nNOTA,nNIA,AE810,nCUENTA,1,nASIG,"Música de Cámara"),"")))</f>
        <v/>
      </c>
      <c r="AI810" t="str">
        <f>IF(AE810="","",IF(AE810="[FÓRMULA MANUAL]","",IFERROR(SUMPRODUCT((nNIA=AE810)*(nCUENTA=1)*(COUNTIF(CONFIG_ASIGNATURAS!$B$7:$B$27,nASIG)&gt;0)*(nNOTA))/SUMPRODUCT((nNIA=AE810)*(nCUENTA=1)*(COUNTIF(CONFIG_ASIGNATURAS!$B$7:$B$27,nASIG)&gt;0)*1),"")))</f>
        <v/>
      </c>
    </row>
    <row r="811" spans="2:35" x14ac:dyDescent="0.2">
      <c r="B811" t="str">
        <f>IF(A811="","",IF(A811="[FÓRMULA MANUAL]","",IFERROR(AVERAGEIFS(nNOTA,nNIA,A811,nCUENTA,1,nASIG,"Lenguaje Musical"),"")))</f>
        <v/>
      </c>
      <c r="C811" t="str">
        <f>IF(A811="","",IF(A811="[FÓRMULA MANUAL]","",IFERROR(AVERAGEIFS(nNOTA,nNIA,A811,nCUENTA,1,nASIG,"Orquesta/Banda/Conjunto"),"")))</f>
        <v/>
      </c>
      <c r="D811" t="str">
        <f>IF(A811="","",IF(A811="[FÓRMULA MANUAL]","",IFERROR(AVERAGEIFS(nNOTA,nNIA,A811,nCUENTA,1,nASIG,"Conjunto"),"")))</f>
        <v/>
      </c>
      <c r="E811" t="str">
        <f>IF(A811="","",IF(A811="[FÓRMULA MANUAL]","",IFERROR(SUMPRODUCT((nNIA=A811)*(nCUENTA=1)*(COUNTIF(CONFIG_ASIGNATURAS!$B$7:$B$27,nASIG)&gt;0)*(nNOTA))/SUMPRODUCT((nNIA=A811)*(nCUENTA=1)*(COUNTIF(CONFIG_ASIGNATURAS!$B$7:$B$27,nASIG)&gt;0)*1),"")))</f>
        <v/>
      </c>
      <c r="H811" t="str">
        <f>IF(G811="","",IF(G811="[FÓRMULA MANUAL]","",IFERROR(AVERAGEIFS(nNOTA,nNIA,G811,nCUENTA,1,nASIG,"Lenguaje Musical"),"")))</f>
        <v/>
      </c>
      <c r="I811" t="str">
        <f>IF(G811="","",IF(G811="[FÓRMULA MANUAL]","",IFERROR(AVERAGEIFS(nNOTA,nNIA,G811,nCUENTA,1,nASIG,"Orquesta/Banda/Conjunto"),"")))</f>
        <v/>
      </c>
      <c r="J811" t="str">
        <f>IF(G811="","",IF(G811="[FÓRMULA MANUAL]","",IFERROR(AVERAGEIFS(nNOTA,nNIA,G811,nCUENTA,1,nASIG,"Conjunto"),"")))</f>
        <v/>
      </c>
      <c r="K811" t="str">
        <f>IF(G811="","",IF(G811="[FÓRMULA MANUAL]","",IFERROR(SUMPRODUCT((nNIA=G811)*(nCUENTA=1)*(COUNTIF(CONFIG_ASIGNATURAS!$B$7:$B$27,nASIG)&gt;0)*(nNOTA))/SUMPRODUCT((nNIA=G811)*(nCUENTA=1)*(COUNTIF(CONFIG_ASIGNATURAS!$B$7:$B$27,nASIG)&gt;0)*1),"")))</f>
        <v/>
      </c>
      <c r="N811" t="str">
        <f>IF(M811="","",IF(M811="[FÓRMULA MANUAL]","",IFERROR(AVERAGEIFS(nNOTA,nNIA,M811,nCUENTA,1,nASIG,"Armonía"),"")))</f>
        <v/>
      </c>
      <c r="O811" t="str">
        <f>IF(M811="","",IF(M811="[FÓRMULA MANUAL]","",IFERROR(AVERAGEIFS(nNOTA,nNIA,M811,nCUENTA,1,nASIG,"Orquesta/Banda/Conjunto"),"")))</f>
        <v/>
      </c>
      <c r="P811" t="str">
        <f>IF(M811="","",IF(M811="[FÓRMULA MANUAL]","",IFERROR(AVERAGEIFS(nNOTA,nNIA,M811,nCUENTA,1,nASIG,"Música de Cámara"),"")))</f>
        <v/>
      </c>
      <c r="Q811" t="str">
        <f>IF(M811="","",IF(M811="[FÓRMULA MANUAL]","",IFERROR(SUMPRODUCT((nNIA=M811)*(nCUENTA=1)*(COUNTIF(CONFIG_ASIGNATURAS!$B$7:$B$27,nASIG)&gt;0)*(nNOTA))/SUMPRODUCT((nNIA=M811)*(nCUENTA=1)*(COUNTIF(CONFIG_ASIGNATURAS!$B$7:$B$27,nASIG)&gt;0)*1),"")))</f>
        <v/>
      </c>
      <c r="T811" t="str">
        <f>IF(S811="","",IF(S811="[FÓRMULA MANUAL]","",IFERROR(AVERAGEIFS(nNOTA,nNIA,S811,nCUENTA,1,nASIG,"Armonía"),"")))</f>
        <v/>
      </c>
      <c r="U811" t="str">
        <f>IF(S811="","",IF(S811="[FÓRMULA MANUAL]","",IFERROR(AVERAGEIFS(nNOTA,nNIA,S811,nCUENTA,1,nASIG,"Orquesta/Banda/Conjunto"),"")))</f>
        <v/>
      </c>
      <c r="V811" t="str">
        <f>IF(S811="","",IF(S811="[FÓRMULA MANUAL]","",IFERROR(AVERAGEIFS(nNOTA,nNIA,S811,nCUENTA,1,nASIG,"Música de Cámara"),"")))</f>
        <v/>
      </c>
      <c r="W811" t="str">
        <f>IF(S811="","",IF(S811="[FÓRMULA MANUAL]","",IFERROR(SUMPRODUCT((nNIA=S811)*(nCUENTA=1)*(COUNTIF(CONFIG_ASIGNATURAS!$B$7:$B$27,nASIG)&gt;0)*(nNOTA))/SUMPRODUCT((nNIA=S811)*(nCUENTA=1)*(COUNTIF(CONFIG_ASIGNATURAS!$B$7:$B$27,nASIG)&gt;0)*1),"")))</f>
        <v/>
      </c>
      <c r="Z811" t="str">
        <f>IF(Y811="","",IF(Y811="[FÓRMULA MANUAL]","",IFERROR(AVERAGEIFS(nNOTA,nNIA,Y811,nCUENTA,1,nASIG,"Análisis"),"")))</f>
        <v/>
      </c>
      <c r="AA811" t="str">
        <f>IF(Y811="","",IF(Y811="[FÓRMULA MANUAL]","",IFERROR(AVERAGEIFS(nNOTA,nNIA,Y811,nCUENTA,1,nASIG,"Orquesta/Banda/Conjunto"),"")))</f>
        <v/>
      </c>
      <c r="AB811" t="str">
        <f>IF(Y811="","",IF(Y811="[FÓRMULA MANUAL]","",IFERROR(AVERAGEIFS(nNOTA,nNIA,Y811,nCUENTA,1,nASIG,"Música de Cámara"),"")))</f>
        <v/>
      </c>
      <c r="AC811" t="str">
        <f>IF(Y811="","",IF(Y811="[FÓRMULA MANUAL]","",IFERROR(SUMPRODUCT((nNIA=Y811)*(nCUENTA=1)*(COUNTIF(CONFIG_ASIGNATURAS!$B$7:$B$27,nASIG)&gt;0)*(nNOTA))/SUMPRODUCT((nNIA=Y811)*(nCUENTA=1)*(COUNTIF(CONFIG_ASIGNATURAS!$B$7:$B$27,nASIG)&gt;0)*1),"")))</f>
        <v/>
      </c>
      <c r="AF811" t="str">
        <f>IF(AE811="","",IF(AE811="[FÓRMULA MANUAL]","",IFERROR(AVERAGEIFS(nNOTA,nNIA,AE811,nCUENTA,1,nASIG,"Análisis"),"")))</f>
        <v/>
      </c>
      <c r="AG811" t="str">
        <f>IF(AE811="","",IF(AE811="[FÓRMULA MANUAL]","",IFERROR(AVERAGEIFS(nNOTA,nNIA,AE811,nCUENTA,1,nASIG,"Orquesta/Banda/Conjunto"),"")))</f>
        <v/>
      </c>
      <c r="AH811" t="str">
        <f>IF(AE811="","",IF(AE811="[FÓRMULA MANUAL]","",IFERROR(AVERAGEIFS(nNOTA,nNIA,AE811,nCUENTA,1,nASIG,"Música de Cámara"),"")))</f>
        <v/>
      </c>
      <c r="AI811" t="str">
        <f>IF(AE811="","",IF(AE811="[FÓRMULA MANUAL]","",IFERROR(SUMPRODUCT((nNIA=AE811)*(nCUENTA=1)*(COUNTIF(CONFIG_ASIGNATURAS!$B$7:$B$27,nASIG)&gt;0)*(nNOTA))/SUMPRODUCT((nNIA=AE811)*(nCUENTA=1)*(COUNTIF(CONFIG_ASIGNATURAS!$B$7:$B$27,nASIG)&gt;0)*1),"")))</f>
        <v/>
      </c>
    </row>
    <row r="812" spans="2:35" x14ac:dyDescent="0.2">
      <c r="B812" t="str">
        <f>IF(A812="","",IF(A812="[FÓRMULA MANUAL]","",IFERROR(AVERAGEIFS(nNOTA,nNIA,A812,nCUENTA,1,nASIG,"Lenguaje Musical"),"")))</f>
        <v/>
      </c>
      <c r="C812" t="str">
        <f>IF(A812="","",IF(A812="[FÓRMULA MANUAL]","",IFERROR(AVERAGEIFS(nNOTA,nNIA,A812,nCUENTA,1,nASIG,"Orquesta/Banda/Conjunto"),"")))</f>
        <v/>
      </c>
      <c r="D812" t="str">
        <f>IF(A812="","",IF(A812="[FÓRMULA MANUAL]","",IFERROR(AVERAGEIFS(nNOTA,nNIA,A812,nCUENTA,1,nASIG,"Conjunto"),"")))</f>
        <v/>
      </c>
      <c r="E812" t="str">
        <f>IF(A812="","",IF(A812="[FÓRMULA MANUAL]","",IFERROR(SUMPRODUCT((nNIA=A812)*(nCUENTA=1)*(COUNTIF(CONFIG_ASIGNATURAS!$B$7:$B$27,nASIG)&gt;0)*(nNOTA))/SUMPRODUCT((nNIA=A812)*(nCUENTA=1)*(COUNTIF(CONFIG_ASIGNATURAS!$B$7:$B$27,nASIG)&gt;0)*1),"")))</f>
        <v/>
      </c>
      <c r="H812" t="str">
        <f>IF(G812="","",IF(G812="[FÓRMULA MANUAL]","",IFERROR(AVERAGEIFS(nNOTA,nNIA,G812,nCUENTA,1,nASIG,"Lenguaje Musical"),"")))</f>
        <v/>
      </c>
      <c r="I812" t="str">
        <f>IF(G812="","",IF(G812="[FÓRMULA MANUAL]","",IFERROR(AVERAGEIFS(nNOTA,nNIA,G812,nCUENTA,1,nASIG,"Orquesta/Banda/Conjunto"),"")))</f>
        <v/>
      </c>
      <c r="J812" t="str">
        <f>IF(G812="","",IF(G812="[FÓRMULA MANUAL]","",IFERROR(AVERAGEIFS(nNOTA,nNIA,G812,nCUENTA,1,nASIG,"Conjunto"),"")))</f>
        <v/>
      </c>
      <c r="K812" t="str">
        <f>IF(G812="","",IF(G812="[FÓRMULA MANUAL]","",IFERROR(SUMPRODUCT((nNIA=G812)*(nCUENTA=1)*(COUNTIF(CONFIG_ASIGNATURAS!$B$7:$B$27,nASIG)&gt;0)*(nNOTA))/SUMPRODUCT((nNIA=G812)*(nCUENTA=1)*(COUNTIF(CONFIG_ASIGNATURAS!$B$7:$B$27,nASIG)&gt;0)*1),"")))</f>
        <v/>
      </c>
      <c r="N812" t="str">
        <f>IF(M812="","",IF(M812="[FÓRMULA MANUAL]","",IFERROR(AVERAGEIFS(nNOTA,nNIA,M812,nCUENTA,1,nASIG,"Armonía"),"")))</f>
        <v/>
      </c>
      <c r="O812" t="str">
        <f>IF(M812="","",IF(M812="[FÓRMULA MANUAL]","",IFERROR(AVERAGEIFS(nNOTA,nNIA,M812,nCUENTA,1,nASIG,"Orquesta/Banda/Conjunto"),"")))</f>
        <v/>
      </c>
      <c r="P812" t="str">
        <f>IF(M812="","",IF(M812="[FÓRMULA MANUAL]","",IFERROR(AVERAGEIFS(nNOTA,nNIA,M812,nCUENTA,1,nASIG,"Música de Cámara"),"")))</f>
        <v/>
      </c>
      <c r="Q812" t="str">
        <f>IF(M812="","",IF(M812="[FÓRMULA MANUAL]","",IFERROR(SUMPRODUCT((nNIA=M812)*(nCUENTA=1)*(COUNTIF(CONFIG_ASIGNATURAS!$B$7:$B$27,nASIG)&gt;0)*(nNOTA))/SUMPRODUCT((nNIA=M812)*(nCUENTA=1)*(COUNTIF(CONFIG_ASIGNATURAS!$B$7:$B$27,nASIG)&gt;0)*1),"")))</f>
        <v/>
      </c>
      <c r="T812" t="str">
        <f>IF(S812="","",IF(S812="[FÓRMULA MANUAL]","",IFERROR(AVERAGEIFS(nNOTA,nNIA,S812,nCUENTA,1,nASIG,"Armonía"),"")))</f>
        <v/>
      </c>
      <c r="U812" t="str">
        <f>IF(S812="","",IF(S812="[FÓRMULA MANUAL]","",IFERROR(AVERAGEIFS(nNOTA,nNIA,S812,nCUENTA,1,nASIG,"Orquesta/Banda/Conjunto"),"")))</f>
        <v/>
      </c>
      <c r="V812" t="str">
        <f>IF(S812="","",IF(S812="[FÓRMULA MANUAL]","",IFERROR(AVERAGEIFS(nNOTA,nNIA,S812,nCUENTA,1,nASIG,"Música de Cámara"),"")))</f>
        <v/>
      </c>
      <c r="W812" t="str">
        <f>IF(S812="","",IF(S812="[FÓRMULA MANUAL]","",IFERROR(SUMPRODUCT((nNIA=S812)*(nCUENTA=1)*(COUNTIF(CONFIG_ASIGNATURAS!$B$7:$B$27,nASIG)&gt;0)*(nNOTA))/SUMPRODUCT((nNIA=S812)*(nCUENTA=1)*(COUNTIF(CONFIG_ASIGNATURAS!$B$7:$B$27,nASIG)&gt;0)*1),"")))</f>
        <v/>
      </c>
      <c r="Z812" t="str">
        <f>IF(Y812="","",IF(Y812="[FÓRMULA MANUAL]","",IFERROR(AVERAGEIFS(nNOTA,nNIA,Y812,nCUENTA,1,nASIG,"Análisis"),"")))</f>
        <v/>
      </c>
      <c r="AA812" t="str">
        <f>IF(Y812="","",IF(Y812="[FÓRMULA MANUAL]","",IFERROR(AVERAGEIFS(nNOTA,nNIA,Y812,nCUENTA,1,nASIG,"Orquesta/Banda/Conjunto"),"")))</f>
        <v/>
      </c>
      <c r="AB812" t="str">
        <f>IF(Y812="","",IF(Y812="[FÓRMULA MANUAL]","",IFERROR(AVERAGEIFS(nNOTA,nNIA,Y812,nCUENTA,1,nASIG,"Música de Cámara"),"")))</f>
        <v/>
      </c>
      <c r="AC812" t="str">
        <f>IF(Y812="","",IF(Y812="[FÓRMULA MANUAL]","",IFERROR(SUMPRODUCT((nNIA=Y812)*(nCUENTA=1)*(COUNTIF(CONFIG_ASIGNATURAS!$B$7:$B$27,nASIG)&gt;0)*(nNOTA))/SUMPRODUCT((nNIA=Y812)*(nCUENTA=1)*(COUNTIF(CONFIG_ASIGNATURAS!$B$7:$B$27,nASIG)&gt;0)*1),"")))</f>
        <v/>
      </c>
      <c r="AF812" t="str">
        <f>IF(AE812="","",IF(AE812="[FÓRMULA MANUAL]","",IFERROR(AVERAGEIFS(nNOTA,nNIA,AE812,nCUENTA,1,nASIG,"Análisis"),"")))</f>
        <v/>
      </c>
      <c r="AG812" t="str">
        <f>IF(AE812="","",IF(AE812="[FÓRMULA MANUAL]","",IFERROR(AVERAGEIFS(nNOTA,nNIA,AE812,nCUENTA,1,nASIG,"Orquesta/Banda/Conjunto"),"")))</f>
        <v/>
      </c>
      <c r="AH812" t="str">
        <f>IF(AE812="","",IF(AE812="[FÓRMULA MANUAL]","",IFERROR(AVERAGEIFS(nNOTA,nNIA,AE812,nCUENTA,1,nASIG,"Música de Cámara"),"")))</f>
        <v/>
      </c>
      <c r="AI812" t="str">
        <f>IF(AE812="","",IF(AE812="[FÓRMULA MANUAL]","",IFERROR(SUMPRODUCT((nNIA=AE812)*(nCUENTA=1)*(COUNTIF(CONFIG_ASIGNATURAS!$B$7:$B$27,nASIG)&gt;0)*(nNOTA))/SUMPRODUCT((nNIA=AE812)*(nCUENTA=1)*(COUNTIF(CONFIG_ASIGNATURAS!$B$7:$B$27,nASIG)&gt;0)*1),"")))</f>
        <v/>
      </c>
    </row>
    <row r="813" spans="2:35" x14ac:dyDescent="0.2">
      <c r="B813" t="str">
        <f>IF(A813="","",IF(A813="[FÓRMULA MANUAL]","",IFERROR(AVERAGEIFS(nNOTA,nNIA,A813,nCUENTA,1,nASIG,"Lenguaje Musical"),"")))</f>
        <v/>
      </c>
      <c r="C813" t="str">
        <f>IF(A813="","",IF(A813="[FÓRMULA MANUAL]","",IFERROR(AVERAGEIFS(nNOTA,nNIA,A813,nCUENTA,1,nASIG,"Orquesta/Banda/Conjunto"),"")))</f>
        <v/>
      </c>
      <c r="D813" t="str">
        <f>IF(A813="","",IF(A813="[FÓRMULA MANUAL]","",IFERROR(AVERAGEIFS(nNOTA,nNIA,A813,nCUENTA,1,nASIG,"Conjunto"),"")))</f>
        <v/>
      </c>
      <c r="E813" t="str">
        <f>IF(A813="","",IF(A813="[FÓRMULA MANUAL]","",IFERROR(SUMPRODUCT((nNIA=A813)*(nCUENTA=1)*(COUNTIF(CONFIG_ASIGNATURAS!$B$7:$B$27,nASIG)&gt;0)*(nNOTA))/SUMPRODUCT((nNIA=A813)*(nCUENTA=1)*(COUNTIF(CONFIG_ASIGNATURAS!$B$7:$B$27,nASIG)&gt;0)*1),"")))</f>
        <v/>
      </c>
      <c r="H813" t="str">
        <f>IF(G813="","",IF(G813="[FÓRMULA MANUAL]","",IFERROR(AVERAGEIFS(nNOTA,nNIA,G813,nCUENTA,1,nASIG,"Lenguaje Musical"),"")))</f>
        <v/>
      </c>
      <c r="I813" t="str">
        <f>IF(G813="","",IF(G813="[FÓRMULA MANUAL]","",IFERROR(AVERAGEIFS(nNOTA,nNIA,G813,nCUENTA,1,nASIG,"Orquesta/Banda/Conjunto"),"")))</f>
        <v/>
      </c>
      <c r="J813" t="str">
        <f>IF(G813="","",IF(G813="[FÓRMULA MANUAL]","",IFERROR(AVERAGEIFS(nNOTA,nNIA,G813,nCUENTA,1,nASIG,"Conjunto"),"")))</f>
        <v/>
      </c>
      <c r="K813" t="str">
        <f>IF(G813="","",IF(G813="[FÓRMULA MANUAL]","",IFERROR(SUMPRODUCT((nNIA=G813)*(nCUENTA=1)*(COUNTIF(CONFIG_ASIGNATURAS!$B$7:$B$27,nASIG)&gt;0)*(nNOTA))/SUMPRODUCT((nNIA=G813)*(nCUENTA=1)*(COUNTIF(CONFIG_ASIGNATURAS!$B$7:$B$27,nASIG)&gt;0)*1),"")))</f>
        <v/>
      </c>
      <c r="N813" t="str">
        <f>IF(M813="","",IF(M813="[FÓRMULA MANUAL]","",IFERROR(AVERAGEIFS(nNOTA,nNIA,M813,nCUENTA,1,nASIG,"Armonía"),"")))</f>
        <v/>
      </c>
      <c r="O813" t="str">
        <f>IF(M813="","",IF(M813="[FÓRMULA MANUAL]","",IFERROR(AVERAGEIFS(nNOTA,nNIA,M813,nCUENTA,1,nASIG,"Orquesta/Banda/Conjunto"),"")))</f>
        <v/>
      </c>
      <c r="P813" t="str">
        <f>IF(M813="","",IF(M813="[FÓRMULA MANUAL]","",IFERROR(AVERAGEIFS(nNOTA,nNIA,M813,nCUENTA,1,nASIG,"Música de Cámara"),"")))</f>
        <v/>
      </c>
      <c r="Q813" t="str">
        <f>IF(M813="","",IF(M813="[FÓRMULA MANUAL]","",IFERROR(SUMPRODUCT((nNIA=M813)*(nCUENTA=1)*(COUNTIF(CONFIG_ASIGNATURAS!$B$7:$B$27,nASIG)&gt;0)*(nNOTA))/SUMPRODUCT((nNIA=M813)*(nCUENTA=1)*(COUNTIF(CONFIG_ASIGNATURAS!$B$7:$B$27,nASIG)&gt;0)*1),"")))</f>
        <v/>
      </c>
      <c r="T813" t="str">
        <f>IF(S813="","",IF(S813="[FÓRMULA MANUAL]","",IFERROR(AVERAGEIFS(nNOTA,nNIA,S813,nCUENTA,1,nASIG,"Armonía"),"")))</f>
        <v/>
      </c>
      <c r="U813" t="str">
        <f>IF(S813="","",IF(S813="[FÓRMULA MANUAL]","",IFERROR(AVERAGEIFS(nNOTA,nNIA,S813,nCUENTA,1,nASIG,"Orquesta/Banda/Conjunto"),"")))</f>
        <v/>
      </c>
      <c r="V813" t="str">
        <f>IF(S813="","",IF(S813="[FÓRMULA MANUAL]","",IFERROR(AVERAGEIFS(nNOTA,nNIA,S813,nCUENTA,1,nASIG,"Música de Cámara"),"")))</f>
        <v/>
      </c>
      <c r="W813" t="str">
        <f>IF(S813="","",IF(S813="[FÓRMULA MANUAL]","",IFERROR(SUMPRODUCT((nNIA=S813)*(nCUENTA=1)*(COUNTIF(CONFIG_ASIGNATURAS!$B$7:$B$27,nASIG)&gt;0)*(nNOTA))/SUMPRODUCT((nNIA=S813)*(nCUENTA=1)*(COUNTIF(CONFIG_ASIGNATURAS!$B$7:$B$27,nASIG)&gt;0)*1),"")))</f>
        <v/>
      </c>
      <c r="Z813" t="str">
        <f>IF(Y813="","",IF(Y813="[FÓRMULA MANUAL]","",IFERROR(AVERAGEIFS(nNOTA,nNIA,Y813,nCUENTA,1,nASIG,"Análisis"),"")))</f>
        <v/>
      </c>
      <c r="AA813" t="str">
        <f>IF(Y813="","",IF(Y813="[FÓRMULA MANUAL]","",IFERROR(AVERAGEIFS(nNOTA,nNIA,Y813,nCUENTA,1,nASIG,"Orquesta/Banda/Conjunto"),"")))</f>
        <v/>
      </c>
      <c r="AB813" t="str">
        <f>IF(Y813="","",IF(Y813="[FÓRMULA MANUAL]","",IFERROR(AVERAGEIFS(nNOTA,nNIA,Y813,nCUENTA,1,nASIG,"Música de Cámara"),"")))</f>
        <v/>
      </c>
      <c r="AC813" t="str">
        <f>IF(Y813="","",IF(Y813="[FÓRMULA MANUAL]","",IFERROR(SUMPRODUCT((nNIA=Y813)*(nCUENTA=1)*(COUNTIF(CONFIG_ASIGNATURAS!$B$7:$B$27,nASIG)&gt;0)*(nNOTA))/SUMPRODUCT((nNIA=Y813)*(nCUENTA=1)*(COUNTIF(CONFIG_ASIGNATURAS!$B$7:$B$27,nASIG)&gt;0)*1),"")))</f>
        <v/>
      </c>
      <c r="AF813" t="str">
        <f>IF(AE813="","",IF(AE813="[FÓRMULA MANUAL]","",IFERROR(AVERAGEIFS(nNOTA,nNIA,AE813,nCUENTA,1,nASIG,"Análisis"),"")))</f>
        <v/>
      </c>
      <c r="AG813" t="str">
        <f>IF(AE813="","",IF(AE813="[FÓRMULA MANUAL]","",IFERROR(AVERAGEIFS(nNOTA,nNIA,AE813,nCUENTA,1,nASIG,"Orquesta/Banda/Conjunto"),"")))</f>
        <v/>
      </c>
      <c r="AH813" t="str">
        <f>IF(AE813="","",IF(AE813="[FÓRMULA MANUAL]","",IFERROR(AVERAGEIFS(nNOTA,nNIA,AE813,nCUENTA,1,nASIG,"Música de Cámara"),"")))</f>
        <v/>
      </c>
      <c r="AI813" t="str">
        <f>IF(AE813="","",IF(AE813="[FÓRMULA MANUAL]","",IFERROR(SUMPRODUCT((nNIA=AE813)*(nCUENTA=1)*(COUNTIF(CONFIG_ASIGNATURAS!$B$7:$B$27,nASIG)&gt;0)*(nNOTA))/SUMPRODUCT((nNIA=AE813)*(nCUENTA=1)*(COUNTIF(CONFIG_ASIGNATURAS!$B$7:$B$27,nASIG)&gt;0)*1),"")))</f>
        <v/>
      </c>
    </row>
    <row r="814" spans="2:35" x14ac:dyDescent="0.2">
      <c r="B814" t="str">
        <f>IF(A814="","",IF(A814="[FÓRMULA MANUAL]","",IFERROR(AVERAGEIFS(nNOTA,nNIA,A814,nCUENTA,1,nASIG,"Lenguaje Musical"),"")))</f>
        <v/>
      </c>
      <c r="C814" t="str">
        <f>IF(A814="","",IF(A814="[FÓRMULA MANUAL]","",IFERROR(AVERAGEIFS(nNOTA,nNIA,A814,nCUENTA,1,nASIG,"Orquesta/Banda/Conjunto"),"")))</f>
        <v/>
      </c>
      <c r="D814" t="str">
        <f>IF(A814="","",IF(A814="[FÓRMULA MANUAL]","",IFERROR(AVERAGEIFS(nNOTA,nNIA,A814,nCUENTA,1,nASIG,"Conjunto"),"")))</f>
        <v/>
      </c>
      <c r="E814" t="str">
        <f>IF(A814="","",IF(A814="[FÓRMULA MANUAL]","",IFERROR(SUMPRODUCT((nNIA=A814)*(nCUENTA=1)*(COUNTIF(CONFIG_ASIGNATURAS!$B$7:$B$27,nASIG)&gt;0)*(nNOTA))/SUMPRODUCT((nNIA=A814)*(nCUENTA=1)*(COUNTIF(CONFIG_ASIGNATURAS!$B$7:$B$27,nASIG)&gt;0)*1),"")))</f>
        <v/>
      </c>
      <c r="H814" t="str">
        <f>IF(G814="","",IF(G814="[FÓRMULA MANUAL]","",IFERROR(AVERAGEIFS(nNOTA,nNIA,G814,nCUENTA,1,nASIG,"Lenguaje Musical"),"")))</f>
        <v/>
      </c>
      <c r="I814" t="str">
        <f>IF(G814="","",IF(G814="[FÓRMULA MANUAL]","",IFERROR(AVERAGEIFS(nNOTA,nNIA,G814,nCUENTA,1,nASIG,"Orquesta/Banda/Conjunto"),"")))</f>
        <v/>
      </c>
      <c r="J814" t="str">
        <f>IF(G814="","",IF(G814="[FÓRMULA MANUAL]","",IFERROR(AVERAGEIFS(nNOTA,nNIA,G814,nCUENTA,1,nASIG,"Conjunto"),"")))</f>
        <v/>
      </c>
      <c r="K814" t="str">
        <f>IF(G814="","",IF(G814="[FÓRMULA MANUAL]","",IFERROR(SUMPRODUCT((nNIA=G814)*(nCUENTA=1)*(COUNTIF(CONFIG_ASIGNATURAS!$B$7:$B$27,nASIG)&gt;0)*(nNOTA))/SUMPRODUCT((nNIA=G814)*(nCUENTA=1)*(COUNTIF(CONFIG_ASIGNATURAS!$B$7:$B$27,nASIG)&gt;0)*1),"")))</f>
        <v/>
      </c>
      <c r="N814" t="str">
        <f>IF(M814="","",IF(M814="[FÓRMULA MANUAL]","",IFERROR(AVERAGEIFS(nNOTA,nNIA,M814,nCUENTA,1,nASIG,"Armonía"),"")))</f>
        <v/>
      </c>
      <c r="O814" t="str">
        <f>IF(M814="","",IF(M814="[FÓRMULA MANUAL]","",IFERROR(AVERAGEIFS(nNOTA,nNIA,M814,nCUENTA,1,nASIG,"Orquesta/Banda/Conjunto"),"")))</f>
        <v/>
      </c>
      <c r="P814" t="str">
        <f>IF(M814="","",IF(M814="[FÓRMULA MANUAL]","",IFERROR(AVERAGEIFS(nNOTA,nNIA,M814,nCUENTA,1,nASIG,"Música de Cámara"),"")))</f>
        <v/>
      </c>
      <c r="Q814" t="str">
        <f>IF(M814="","",IF(M814="[FÓRMULA MANUAL]","",IFERROR(SUMPRODUCT((nNIA=M814)*(nCUENTA=1)*(COUNTIF(CONFIG_ASIGNATURAS!$B$7:$B$27,nASIG)&gt;0)*(nNOTA))/SUMPRODUCT((nNIA=M814)*(nCUENTA=1)*(COUNTIF(CONFIG_ASIGNATURAS!$B$7:$B$27,nASIG)&gt;0)*1),"")))</f>
        <v/>
      </c>
      <c r="T814" t="str">
        <f>IF(S814="","",IF(S814="[FÓRMULA MANUAL]","",IFERROR(AVERAGEIFS(nNOTA,nNIA,S814,nCUENTA,1,nASIG,"Armonía"),"")))</f>
        <v/>
      </c>
      <c r="U814" t="str">
        <f>IF(S814="","",IF(S814="[FÓRMULA MANUAL]","",IFERROR(AVERAGEIFS(nNOTA,nNIA,S814,nCUENTA,1,nASIG,"Orquesta/Banda/Conjunto"),"")))</f>
        <v/>
      </c>
      <c r="V814" t="str">
        <f>IF(S814="","",IF(S814="[FÓRMULA MANUAL]","",IFERROR(AVERAGEIFS(nNOTA,nNIA,S814,nCUENTA,1,nASIG,"Música de Cámara"),"")))</f>
        <v/>
      </c>
      <c r="W814" t="str">
        <f>IF(S814="","",IF(S814="[FÓRMULA MANUAL]","",IFERROR(SUMPRODUCT((nNIA=S814)*(nCUENTA=1)*(COUNTIF(CONFIG_ASIGNATURAS!$B$7:$B$27,nASIG)&gt;0)*(nNOTA))/SUMPRODUCT((nNIA=S814)*(nCUENTA=1)*(COUNTIF(CONFIG_ASIGNATURAS!$B$7:$B$27,nASIG)&gt;0)*1),"")))</f>
        <v/>
      </c>
      <c r="Z814" t="str">
        <f>IF(Y814="","",IF(Y814="[FÓRMULA MANUAL]","",IFERROR(AVERAGEIFS(nNOTA,nNIA,Y814,nCUENTA,1,nASIG,"Análisis"),"")))</f>
        <v/>
      </c>
      <c r="AA814" t="str">
        <f>IF(Y814="","",IF(Y814="[FÓRMULA MANUAL]","",IFERROR(AVERAGEIFS(nNOTA,nNIA,Y814,nCUENTA,1,nASIG,"Orquesta/Banda/Conjunto"),"")))</f>
        <v/>
      </c>
      <c r="AB814" t="str">
        <f>IF(Y814="","",IF(Y814="[FÓRMULA MANUAL]","",IFERROR(AVERAGEIFS(nNOTA,nNIA,Y814,nCUENTA,1,nASIG,"Música de Cámara"),"")))</f>
        <v/>
      </c>
      <c r="AC814" t="str">
        <f>IF(Y814="","",IF(Y814="[FÓRMULA MANUAL]","",IFERROR(SUMPRODUCT((nNIA=Y814)*(nCUENTA=1)*(COUNTIF(CONFIG_ASIGNATURAS!$B$7:$B$27,nASIG)&gt;0)*(nNOTA))/SUMPRODUCT((nNIA=Y814)*(nCUENTA=1)*(COUNTIF(CONFIG_ASIGNATURAS!$B$7:$B$27,nASIG)&gt;0)*1),"")))</f>
        <v/>
      </c>
      <c r="AF814" t="str">
        <f>IF(AE814="","",IF(AE814="[FÓRMULA MANUAL]","",IFERROR(AVERAGEIFS(nNOTA,nNIA,AE814,nCUENTA,1,nASIG,"Análisis"),"")))</f>
        <v/>
      </c>
      <c r="AG814" t="str">
        <f>IF(AE814="","",IF(AE814="[FÓRMULA MANUAL]","",IFERROR(AVERAGEIFS(nNOTA,nNIA,AE814,nCUENTA,1,nASIG,"Orquesta/Banda/Conjunto"),"")))</f>
        <v/>
      </c>
      <c r="AH814" t="str">
        <f>IF(AE814="","",IF(AE814="[FÓRMULA MANUAL]","",IFERROR(AVERAGEIFS(nNOTA,nNIA,AE814,nCUENTA,1,nASIG,"Música de Cámara"),"")))</f>
        <v/>
      </c>
      <c r="AI814" t="str">
        <f>IF(AE814="","",IF(AE814="[FÓRMULA MANUAL]","",IFERROR(SUMPRODUCT((nNIA=AE814)*(nCUENTA=1)*(COUNTIF(CONFIG_ASIGNATURAS!$B$7:$B$27,nASIG)&gt;0)*(nNOTA))/SUMPRODUCT((nNIA=AE814)*(nCUENTA=1)*(COUNTIF(CONFIG_ASIGNATURAS!$B$7:$B$27,nASIG)&gt;0)*1),"")))</f>
        <v/>
      </c>
    </row>
    <row r="815" spans="2:35" x14ac:dyDescent="0.2">
      <c r="B815" t="str">
        <f>IF(A815="","",IF(A815="[FÓRMULA MANUAL]","",IFERROR(AVERAGEIFS(nNOTA,nNIA,A815,nCUENTA,1,nASIG,"Lenguaje Musical"),"")))</f>
        <v/>
      </c>
      <c r="C815" t="str">
        <f>IF(A815="","",IF(A815="[FÓRMULA MANUAL]","",IFERROR(AVERAGEIFS(nNOTA,nNIA,A815,nCUENTA,1,nASIG,"Orquesta/Banda/Conjunto"),"")))</f>
        <v/>
      </c>
      <c r="D815" t="str">
        <f>IF(A815="","",IF(A815="[FÓRMULA MANUAL]","",IFERROR(AVERAGEIFS(nNOTA,nNIA,A815,nCUENTA,1,nASIG,"Conjunto"),"")))</f>
        <v/>
      </c>
      <c r="E815" t="str">
        <f>IF(A815="","",IF(A815="[FÓRMULA MANUAL]","",IFERROR(SUMPRODUCT((nNIA=A815)*(nCUENTA=1)*(COUNTIF(CONFIG_ASIGNATURAS!$B$7:$B$27,nASIG)&gt;0)*(nNOTA))/SUMPRODUCT((nNIA=A815)*(nCUENTA=1)*(COUNTIF(CONFIG_ASIGNATURAS!$B$7:$B$27,nASIG)&gt;0)*1),"")))</f>
        <v/>
      </c>
      <c r="H815" t="str">
        <f>IF(G815="","",IF(G815="[FÓRMULA MANUAL]","",IFERROR(AVERAGEIFS(nNOTA,nNIA,G815,nCUENTA,1,nASIG,"Lenguaje Musical"),"")))</f>
        <v/>
      </c>
      <c r="I815" t="str">
        <f>IF(G815="","",IF(G815="[FÓRMULA MANUAL]","",IFERROR(AVERAGEIFS(nNOTA,nNIA,G815,nCUENTA,1,nASIG,"Orquesta/Banda/Conjunto"),"")))</f>
        <v/>
      </c>
      <c r="J815" t="str">
        <f>IF(G815="","",IF(G815="[FÓRMULA MANUAL]","",IFERROR(AVERAGEIFS(nNOTA,nNIA,G815,nCUENTA,1,nASIG,"Conjunto"),"")))</f>
        <v/>
      </c>
      <c r="K815" t="str">
        <f>IF(G815="","",IF(G815="[FÓRMULA MANUAL]","",IFERROR(SUMPRODUCT((nNIA=G815)*(nCUENTA=1)*(COUNTIF(CONFIG_ASIGNATURAS!$B$7:$B$27,nASIG)&gt;0)*(nNOTA))/SUMPRODUCT((nNIA=G815)*(nCUENTA=1)*(COUNTIF(CONFIG_ASIGNATURAS!$B$7:$B$27,nASIG)&gt;0)*1),"")))</f>
        <v/>
      </c>
      <c r="N815" t="str">
        <f>IF(M815="","",IF(M815="[FÓRMULA MANUAL]","",IFERROR(AVERAGEIFS(nNOTA,nNIA,M815,nCUENTA,1,nASIG,"Armonía"),"")))</f>
        <v/>
      </c>
      <c r="O815" t="str">
        <f>IF(M815="","",IF(M815="[FÓRMULA MANUAL]","",IFERROR(AVERAGEIFS(nNOTA,nNIA,M815,nCUENTA,1,nASIG,"Orquesta/Banda/Conjunto"),"")))</f>
        <v/>
      </c>
      <c r="P815" t="str">
        <f>IF(M815="","",IF(M815="[FÓRMULA MANUAL]","",IFERROR(AVERAGEIFS(nNOTA,nNIA,M815,nCUENTA,1,nASIG,"Música de Cámara"),"")))</f>
        <v/>
      </c>
      <c r="Q815" t="str">
        <f>IF(M815="","",IF(M815="[FÓRMULA MANUAL]","",IFERROR(SUMPRODUCT((nNIA=M815)*(nCUENTA=1)*(COUNTIF(CONFIG_ASIGNATURAS!$B$7:$B$27,nASIG)&gt;0)*(nNOTA))/SUMPRODUCT((nNIA=M815)*(nCUENTA=1)*(COUNTIF(CONFIG_ASIGNATURAS!$B$7:$B$27,nASIG)&gt;0)*1),"")))</f>
        <v/>
      </c>
      <c r="T815" t="str">
        <f>IF(S815="","",IF(S815="[FÓRMULA MANUAL]","",IFERROR(AVERAGEIFS(nNOTA,nNIA,S815,nCUENTA,1,nASIG,"Armonía"),"")))</f>
        <v/>
      </c>
      <c r="U815" t="str">
        <f>IF(S815="","",IF(S815="[FÓRMULA MANUAL]","",IFERROR(AVERAGEIFS(nNOTA,nNIA,S815,nCUENTA,1,nASIG,"Orquesta/Banda/Conjunto"),"")))</f>
        <v/>
      </c>
      <c r="V815" t="str">
        <f>IF(S815="","",IF(S815="[FÓRMULA MANUAL]","",IFERROR(AVERAGEIFS(nNOTA,nNIA,S815,nCUENTA,1,nASIG,"Música de Cámara"),"")))</f>
        <v/>
      </c>
      <c r="W815" t="str">
        <f>IF(S815="","",IF(S815="[FÓRMULA MANUAL]","",IFERROR(SUMPRODUCT((nNIA=S815)*(nCUENTA=1)*(COUNTIF(CONFIG_ASIGNATURAS!$B$7:$B$27,nASIG)&gt;0)*(nNOTA))/SUMPRODUCT((nNIA=S815)*(nCUENTA=1)*(COUNTIF(CONFIG_ASIGNATURAS!$B$7:$B$27,nASIG)&gt;0)*1),"")))</f>
        <v/>
      </c>
      <c r="Z815" t="str">
        <f>IF(Y815="","",IF(Y815="[FÓRMULA MANUAL]","",IFERROR(AVERAGEIFS(nNOTA,nNIA,Y815,nCUENTA,1,nASIG,"Análisis"),"")))</f>
        <v/>
      </c>
      <c r="AA815" t="str">
        <f>IF(Y815="","",IF(Y815="[FÓRMULA MANUAL]","",IFERROR(AVERAGEIFS(nNOTA,nNIA,Y815,nCUENTA,1,nASIG,"Orquesta/Banda/Conjunto"),"")))</f>
        <v/>
      </c>
      <c r="AB815" t="str">
        <f>IF(Y815="","",IF(Y815="[FÓRMULA MANUAL]","",IFERROR(AVERAGEIFS(nNOTA,nNIA,Y815,nCUENTA,1,nASIG,"Música de Cámara"),"")))</f>
        <v/>
      </c>
      <c r="AC815" t="str">
        <f>IF(Y815="","",IF(Y815="[FÓRMULA MANUAL]","",IFERROR(SUMPRODUCT((nNIA=Y815)*(nCUENTA=1)*(COUNTIF(CONFIG_ASIGNATURAS!$B$7:$B$27,nASIG)&gt;0)*(nNOTA))/SUMPRODUCT((nNIA=Y815)*(nCUENTA=1)*(COUNTIF(CONFIG_ASIGNATURAS!$B$7:$B$27,nASIG)&gt;0)*1),"")))</f>
        <v/>
      </c>
      <c r="AF815" t="str">
        <f>IF(AE815="","",IF(AE815="[FÓRMULA MANUAL]","",IFERROR(AVERAGEIFS(nNOTA,nNIA,AE815,nCUENTA,1,nASIG,"Análisis"),"")))</f>
        <v/>
      </c>
      <c r="AG815" t="str">
        <f>IF(AE815="","",IF(AE815="[FÓRMULA MANUAL]","",IFERROR(AVERAGEIFS(nNOTA,nNIA,AE815,nCUENTA,1,nASIG,"Orquesta/Banda/Conjunto"),"")))</f>
        <v/>
      </c>
      <c r="AH815" t="str">
        <f>IF(AE815="","",IF(AE815="[FÓRMULA MANUAL]","",IFERROR(AVERAGEIFS(nNOTA,nNIA,AE815,nCUENTA,1,nASIG,"Música de Cámara"),"")))</f>
        <v/>
      </c>
      <c r="AI815" t="str">
        <f>IF(AE815="","",IF(AE815="[FÓRMULA MANUAL]","",IFERROR(SUMPRODUCT((nNIA=AE815)*(nCUENTA=1)*(COUNTIF(CONFIG_ASIGNATURAS!$B$7:$B$27,nASIG)&gt;0)*(nNOTA))/SUMPRODUCT((nNIA=AE815)*(nCUENTA=1)*(COUNTIF(CONFIG_ASIGNATURAS!$B$7:$B$27,nASIG)&gt;0)*1),"")))</f>
        <v/>
      </c>
    </row>
    <row r="816" spans="2:35" x14ac:dyDescent="0.2">
      <c r="B816" t="str">
        <f>IF(A816="","",IF(A816="[FÓRMULA MANUAL]","",IFERROR(AVERAGEIFS(nNOTA,nNIA,A816,nCUENTA,1,nASIG,"Lenguaje Musical"),"")))</f>
        <v/>
      </c>
      <c r="C816" t="str">
        <f>IF(A816="","",IF(A816="[FÓRMULA MANUAL]","",IFERROR(AVERAGEIFS(nNOTA,nNIA,A816,nCUENTA,1,nASIG,"Orquesta/Banda/Conjunto"),"")))</f>
        <v/>
      </c>
      <c r="D816" t="str">
        <f>IF(A816="","",IF(A816="[FÓRMULA MANUAL]","",IFERROR(AVERAGEIFS(nNOTA,nNIA,A816,nCUENTA,1,nASIG,"Conjunto"),"")))</f>
        <v/>
      </c>
      <c r="E816" t="str">
        <f>IF(A816="","",IF(A816="[FÓRMULA MANUAL]","",IFERROR(SUMPRODUCT((nNIA=A816)*(nCUENTA=1)*(COUNTIF(CONFIG_ASIGNATURAS!$B$7:$B$27,nASIG)&gt;0)*(nNOTA))/SUMPRODUCT((nNIA=A816)*(nCUENTA=1)*(COUNTIF(CONFIG_ASIGNATURAS!$B$7:$B$27,nASIG)&gt;0)*1),"")))</f>
        <v/>
      </c>
      <c r="H816" t="str">
        <f>IF(G816="","",IF(G816="[FÓRMULA MANUAL]","",IFERROR(AVERAGEIFS(nNOTA,nNIA,G816,nCUENTA,1,nASIG,"Lenguaje Musical"),"")))</f>
        <v/>
      </c>
      <c r="I816" t="str">
        <f>IF(G816="","",IF(G816="[FÓRMULA MANUAL]","",IFERROR(AVERAGEIFS(nNOTA,nNIA,G816,nCUENTA,1,nASIG,"Orquesta/Banda/Conjunto"),"")))</f>
        <v/>
      </c>
      <c r="J816" t="str">
        <f>IF(G816="","",IF(G816="[FÓRMULA MANUAL]","",IFERROR(AVERAGEIFS(nNOTA,nNIA,G816,nCUENTA,1,nASIG,"Conjunto"),"")))</f>
        <v/>
      </c>
      <c r="K816" t="str">
        <f>IF(G816="","",IF(G816="[FÓRMULA MANUAL]","",IFERROR(SUMPRODUCT((nNIA=G816)*(nCUENTA=1)*(COUNTIF(CONFIG_ASIGNATURAS!$B$7:$B$27,nASIG)&gt;0)*(nNOTA))/SUMPRODUCT((nNIA=G816)*(nCUENTA=1)*(COUNTIF(CONFIG_ASIGNATURAS!$B$7:$B$27,nASIG)&gt;0)*1),"")))</f>
        <v/>
      </c>
      <c r="N816" t="str">
        <f>IF(M816="","",IF(M816="[FÓRMULA MANUAL]","",IFERROR(AVERAGEIFS(nNOTA,nNIA,M816,nCUENTA,1,nASIG,"Armonía"),"")))</f>
        <v/>
      </c>
      <c r="O816" t="str">
        <f>IF(M816="","",IF(M816="[FÓRMULA MANUAL]","",IFERROR(AVERAGEIFS(nNOTA,nNIA,M816,nCUENTA,1,nASIG,"Orquesta/Banda/Conjunto"),"")))</f>
        <v/>
      </c>
      <c r="P816" t="str">
        <f>IF(M816="","",IF(M816="[FÓRMULA MANUAL]","",IFERROR(AVERAGEIFS(nNOTA,nNIA,M816,nCUENTA,1,nASIG,"Música de Cámara"),"")))</f>
        <v/>
      </c>
      <c r="Q816" t="str">
        <f>IF(M816="","",IF(M816="[FÓRMULA MANUAL]","",IFERROR(SUMPRODUCT((nNIA=M816)*(nCUENTA=1)*(COUNTIF(CONFIG_ASIGNATURAS!$B$7:$B$27,nASIG)&gt;0)*(nNOTA))/SUMPRODUCT((nNIA=M816)*(nCUENTA=1)*(COUNTIF(CONFIG_ASIGNATURAS!$B$7:$B$27,nASIG)&gt;0)*1),"")))</f>
        <v/>
      </c>
      <c r="T816" t="str">
        <f>IF(S816="","",IF(S816="[FÓRMULA MANUAL]","",IFERROR(AVERAGEIFS(nNOTA,nNIA,S816,nCUENTA,1,nASIG,"Armonía"),"")))</f>
        <v/>
      </c>
      <c r="U816" t="str">
        <f>IF(S816="","",IF(S816="[FÓRMULA MANUAL]","",IFERROR(AVERAGEIFS(nNOTA,nNIA,S816,nCUENTA,1,nASIG,"Orquesta/Banda/Conjunto"),"")))</f>
        <v/>
      </c>
      <c r="V816" t="str">
        <f>IF(S816="","",IF(S816="[FÓRMULA MANUAL]","",IFERROR(AVERAGEIFS(nNOTA,nNIA,S816,nCUENTA,1,nASIG,"Música de Cámara"),"")))</f>
        <v/>
      </c>
      <c r="W816" t="str">
        <f>IF(S816="","",IF(S816="[FÓRMULA MANUAL]","",IFERROR(SUMPRODUCT((nNIA=S816)*(nCUENTA=1)*(COUNTIF(CONFIG_ASIGNATURAS!$B$7:$B$27,nASIG)&gt;0)*(nNOTA))/SUMPRODUCT((nNIA=S816)*(nCUENTA=1)*(COUNTIF(CONFIG_ASIGNATURAS!$B$7:$B$27,nASIG)&gt;0)*1),"")))</f>
        <v/>
      </c>
      <c r="Z816" t="str">
        <f>IF(Y816="","",IF(Y816="[FÓRMULA MANUAL]","",IFERROR(AVERAGEIFS(nNOTA,nNIA,Y816,nCUENTA,1,nASIG,"Análisis"),"")))</f>
        <v/>
      </c>
      <c r="AA816" t="str">
        <f>IF(Y816="","",IF(Y816="[FÓRMULA MANUAL]","",IFERROR(AVERAGEIFS(nNOTA,nNIA,Y816,nCUENTA,1,nASIG,"Orquesta/Banda/Conjunto"),"")))</f>
        <v/>
      </c>
      <c r="AB816" t="str">
        <f>IF(Y816="","",IF(Y816="[FÓRMULA MANUAL]","",IFERROR(AVERAGEIFS(nNOTA,nNIA,Y816,nCUENTA,1,nASIG,"Música de Cámara"),"")))</f>
        <v/>
      </c>
      <c r="AC816" t="str">
        <f>IF(Y816="","",IF(Y816="[FÓRMULA MANUAL]","",IFERROR(SUMPRODUCT((nNIA=Y816)*(nCUENTA=1)*(COUNTIF(CONFIG_ASIGNATURAS!$B$7:$B$27,nASIG)&gt;0)*(nNOTA))/SUMPRODUCT((nNIA=Y816)*(nCUENTA=1)*(COUNTIF(CONFIG_ASIGNATURAS!$B$7:$B$27,nASIG)&gt;0)*1),"")))</f>
        <v/>
      </c>
      <c r="AF816" t="str">
        <f>IF(AE816="","",IF(AE816="[FÓRMULA MANUAL]","",IFERROR(AVERAGEIFS(nNOTA,nNIA,AE816,nCUENTA,1,nASIG,"Análisis"),"")))</f>
        <v/>
      </c>
      <c r="AG816" t="str">
        <f>IF(AE816="","",IF(AE816="[FÓRMULA MANUAL]","",IFERROR(AVERAGEIFS(nNOTA,nNIA,AE816,nCUENTA,1,nASIG,"Orquesta/Banda/Conjunto"),"")))</f>
        <v/>
      </c>
      <c r="AH816" t="str">
        <f>IF(AE816="","",IF(AE816="[FÓRMULA MANUAL]","",IFERROR(AVERAGEIFS(nNOTA,nNIA,AE816,nCUENTA,1,nASIG,"Música de Cámara"),"")))</f>
        <v/>
      </c>
      <c r="AI816" t="str">
        <f>IF(AE816="","",IF(AE816="[FÓRMULA MANUAL]","",IFERROR(SUMPRODUCT((nNIA=AE816)*(nCUENTA=1)*(COUNTIF(CONFIG_ASIGNATURAS!$B$7:$B$27,nASIG)&gt;0)*(nNOTA))/SUMPRODUCT((nNIA=AE816)*(nCUENTA=1)*(COUNTIF(CONFIG_ASIGNATURAS!$B$7:$B$27,nASIG)&gt;0)*1),"")))</f>
        <v/>
      </c>
    </row>
    <row r="817" spans="2:35" x14ac:dyDescent="0.2">
      <c r="B817" t="str">
        <f>IF(A817="","",IF(A817="[FÓRMULA MANUAL]","",IFERROR(AVERAGEIFS(nNOTA,nNIA,A817,nCUENTA,1,nASIG,"Lenguaje Musical"),"")))</f>
        <v/>
      </c>
      <c r="C817" t="str">
        <f>IF(A817="","",IF(A817="[FÓRMULA MANUAL]","",IFERROR(AVERAGEIFS(nNOTA,nNIA,A817,nCUENTA,1,nASIG,"Orquesta/Banda/Conjunto"),"")))</f>
        <v/>
      </c>
      <c r="D817" t="str">
        <f>IF(A817="","",IF(A817="[FÓRMULA MANUAL]","",IFERROR(AVERAGEIFS(nNOTA,nNIA,A817,nCUENTA,1,nASIG,"Conjunto"),"")))</f>
        <v/>
      </c>
      <c r="E817" t="str">
        <f>IF(A817="","",IF(A817="[FÓRMULA MANUAL]","",IFERROR(SUMPRODUCT((nNIA=A817)*(nCUENTA=1)*(COUNTIF(CONFIG_ASIGNATURAS!$B$7:$B$27,nASIG)&gt;0)*(nNOTA))/SUMPRODUCT((nNIA=A817)*(nCUENTA=1)*(COUNTIF(CONFIG_ASIGNATURAS!$B$7:$B$27,nASIG)&gt;0)*1),"")))</f>
        <v/>
      </c>
      <c r="H817" t="str">
        <f>IF(G817="","",IF(G817="[FÓRMULA MANUAL]","",IFERROR(AVERAGEIFS(nNOTA,nNIA,G817,nCUENTA,1,nASIG,"Lenguaje Musical"),"")))</f>
        <v/>
      </c>
      <c r="I817" t="str">
        <f>IF(G817="","",IF(G817="[FÓRMULA MANUAL]","",IFERROR(AVERAGEIFS(nNOTA,nNIA,G817,nCUENTA,1,nASIG,"Orquesta/Banda/Conjunto"),"")))</f>
        <v/>
      </c>
      <c r="J817" t="str">
        <f>IF(G817="","",IF(G817="[FÓRMULA MANUAL]","",IFERROR(AVERAGEIFS(nNOTA,nNIA,G817,nCUENTA,1,nASIG,"Conjunto"),"")))</f>
        <v/>
      </c>
      <c r="K817" t="str">
        <f>IF(G817="","",IF(G817="[FÓRMULA MANUAL]","",IFERROR(SUMPRODUCT((nNIA=G817)*(nCUENTA=1)*(COUNTIF(CONFIG_ASIGNATURAS!$B$7:$B$27,nASIG)&gt;0)*(nNOTA))/SUMPRODUCT((nNIA=G817)*(nCUENTA=1)*(COUNTIF(CONFIG_ASIGNATURAS!$B$7:$B$27,nASIG)&gt;0)*1),"")))</f>
        <v/>
      </c>
      <c r="N817" t="str">
        <f>IF(M817="","",IF(M817="[FÓRMULA MANUAL]","",IFERROR(AVERAGEIFS(nNOTA,nNIA,M817,nCUENTA,1,nASIG,"Armonía"),"")))</f>
        <v/>
      </c>
      <c r="O817" t="str">
        <f>IF(M817="","",IF(M817="[FÓRMULA MANUAL]","",IFERROR(AVERAGEIFS(nNOTA,nNIA,M817,nCUENTA,1,nASIG,"Orquesta/Banda/Conjunto"),"")))</f>
        <v/>
      </c>
      <c r="P817" t="str">
        <f>IF(M817="","",IF(M817="[FÓRMULA MANUAL]","",IFERROR(AVERAGEIFS(nNOTA,nNIA,M817,nCUENTA,1,nASIG,"Música de Cámara"),"")))</f>
        <v/>
      </c>
      <c r="Q817" t="str">
        <f>IF(M817="","",IF(M817="[FÓRMULA MANUAL]","",IFERROR(SUMPRODUCT((nNIA=M817)*(nCUENTA=1)*(COUNTIF(CONFIG_ASIGNATURAS!$B$7:$B$27,nASIG)&gt;0)*(nNOTA))/SUMPRODUCT((nNIA=M817)*(nCUENTA=1)*(COUNTIF(CONFIG_ASIGNATURAS!$B$7:$B$27,nASIG)&gt;0)*1),"")))</f>
        <v/>
      </c>
      <c r="T817" t="str">
        <f>IF(S817="","",IF(S817="[FÓRMULA MANUAL]","",IFERROR(AVERAGEIFS(nNOTA,nNIA,S817,nCUENTA,1,nASIG,"Armonía"),"")))</f>
        <v/>
      </c>
      <c r="U817" t="str">
        <f>IF(S817="","",IF(S817="[FÓRMULA MANUAL]","",IFERROR(AVERAGEIFS(nNOTA,nNIA,S817,nCUENTA,1,nASIG,"Orquesta/Banda/Conjunto"),"")))</f>
        <v/>
      </c>
      <c r="V817" t="str">
        <f>IF(S817="","",IF(S817="[FÓRMULA MANUAL]","",IFERROR(AVERAGEIFS(nNOTA,nNIA,S817,nCUENTA,1,nASIG,"Música de Cámara"),"")))</f>
        <v/>
      </c>
      <c r="W817" t="str">
        <f>IF(S817="","",IF(S817="[FÓRMULA MANUAL]","",IFERROR(SUMPRODUCT((nNIA=S817)*(nCUENTA=1)*(COUNTIF(CONFIG_ASIGNATURAS!$B$7:$B$27,nASIG)&gt;0)*(nNOTA))/SUMPRODUCT((nNIA=S817)*(nCUENTA=1)*(COUNTIF(CONFIG_ASIGNATURAS!$B$7:$B$27,nASIG)&gt;0)*1),"")))</f>
        <v/>
      </c>
      <c r="Z817" t="str">
        <f>IF(Y817="","",IF(Y817="[FÓRMULA MANUAL]","",IFERROR(AVERAGEIFS(nNOTA,nNIA,Y817,nCUENTA,1,nASIG,"Análisis"),"")))</f>
        <v/>
      </c>
      <c r="AA817" t="str">
        <f>IF(Y817="","",IF(Y817="[FÓRMULA MANUAL]","",IFERROR(AVERAGEIFS(nNOTA,nNIA,Y817,nCUENTA,1,nASIG,"Orquesta/Banda/Conjunto"),"")))</f>
        <v/>
      </c>
      <c r="AB817" t="str">
        <f>IF(Y817="","",IF(Y817="[FÓRMULA MANUAL]","",IFERROR(AVERAGEIFS(nNOTA,nNIA,Y817,nCUENTA,1,nASIG,"Música de Cámara"),"")))</f>
        <v/>
      </c>
      <c r="AC817" t="str">
        <f>IF(Y817="","",IF(Y817="[FÓRMULA MANUAL]","",IFERROR(SUMPRODUCT((nNIA=Y817)*(nCUENTA=1)*(COUNTIF(CONFIG_ASIGNATURAS!$B$7:$B$27,nASIG)&gt;0)*(nNOTA))/SUMPRODUCT((nNIA=Y817)*(nCUENTA=1)*(COUNTIF(CONFIG_ASIGNATURAS!$B$7:$B$27,nASIG)&gt;0)*1),"")))</f>
        <v/>
      </c>
      <c r="AF817" t="str">
        <f>IF(AE817="","",IF(AE817="[FÓRMULA MANUAL]","",IFERROR(AVERAGEIFS(nNOTA,nNIA,AE817,nCUENTA,1,nASIG,"Análisis"),"")))</f>
        <v/>
      </c>
      <c r="AG817" t="str">
        <f>IF(AE817="","",IF(AE817="[FÓRMULA MANUAL]","",IFERROR(AVERAGEIFS(nNOTA,nNIA,AE817,nCUENTA,1,nASIG,"Orquesta/Banda/Conjunto"),"")))</f>
        <v/>
      </c>
      <c r="AH817" t="str">
        <f>IF(AE817="","",IF(AE817="[FÓRMULA MANUAL]","",IFERROR(AVERAGEIFS(nNOTA,nNIA,AE817,nCUENTA,1,nASIG,"Música de Cámara"),"")))</f>
        <v/>
      </c>
      <c r="AI817" t="str">
        <f>IF(AE817="","",IF(AE817="[FÓRMULA MANUAL]","",IFERROR(SUMPRODUCT((nNIA=AE817)*(nCUENTA=1)*(COUNTIF(CONFIG_ASIGNATURAS!$B$7:$B$27,nASIG)&gt;0)*(nNOTA))/SUMPRODUCT((nNIA=AE817)*(nCUENTA=1)*(COUNTIF(CONFIG_ASIGNATURAS!$B$7:$B$27,nASIG)&gt;0)*1),"")))</f>
        <v/>
      </c>
    </row>
    <row r="818" spans="2:35" x14ac:dyDescent="0.2">
      <c r="B818" t="str">
        <f>IF(A818="","",IF(A818="[FÓRMULA MANUAL]","",IFERROR(AVERAGEIFS(nNOTA,nNIA,A818,nCUENTA,1,nASIG,"Lenguaje Musical"),"")))</f>
        <v/>
      </c>
      <c r="C818" t="str">
        <f>IF(A818="","",IF(A818="[FÓRMULA MANUAL]","",IFERROR(AVERAGEIFS(nNOTA,nNIA,A818,nCUENTA,1,nASIG,"Orquesta/Banda/Conjunto"),"")))</f>
        <v/>
      </c>
      <c r="D818" t="str">
        <f>IF(A818="","",IF(A818="[FÓRMULA MANUAL]","",IFERROR(AVERAGEIFS(nNOTA,nNIA,A818,nCUENTA,1,nASIG,"Conjunto"),"")))</f>
        <v/>
      </c>
      <c r="E818" t="str">
        <f>IF(A818="","",IF(A818="[FÓRMULA MANUAL]","",IFERROR(SUMPRODUCT((nNIA=A818)*(nCUENTA=1)*(COUNTIF(CONFIG_ASIGNATURAS!$B$7:$B$27,nASIG)&gt;0)*(nNOTA))/SUMPRODUCT((nNIA=A818)*(nCUENTA=1)*(COUNTIF(CONFIG_ASIGNATURAS!$B$7:$B$27,nASIG)&gt;0)*1),"")))</f>
        <v/>
      </c>
      <c r="H818" t="str">
        <f>IF(G818="","",IF(G818="[FÓRMULA MANUAL]","",IFERROR(AVERAGEIFS(nNOTA,nNIA,G818,nCUENTA,1,nASIG,"Lenguaje Musical"),"")))</f>
        <v/>
      </c>
      <c r="I818" t="str">
        <f>IF(G818="","",IF(G818="[FÓRMULA MANUAL]","",IFERROR(AVERAGEIFS(nNOTA,nNIA,G818,nCUENTA,1,nASIG,"Orquesta/Banda/Conjunto"),"")))</f>
        <v/>
      </c>
      <c r="J818" t="str">
        <f>IF(G818="","",IF(G818="[FÓRMULA MANUAL]","",IFERROR(AVERAGEIFS(nNOTA,nNIA,G818,nCUENTA,1,nASIG,"Conjunto"),"")))</f>
        <v/>
      </c>
      <c r="K818" t="str">
        <f>IF(G818="","",IF(G818="[FÓRMULA MANUAL]","",IFERROR(SUMPRODUCT((nNIA=G818)*(nCUENTA=1)*(COUNTIF(CONFIG_ASIGNATURAS!$B$7:$B$27,nASIG)&gt;0)*(nNOTA))/SUMPRODUCT((nNIA=G818)*(nCUENTA=1)*(COUNTIF(CONFIG_ASIGNATURAS!$B$7:$B$27,nASIG)&gt;0)*1),"")))</f>
        <v/>
      </c>
      <c r="N818" t="str">
        <f>IF(M818="","",IF(M818="[FÓRMULA MANUAL]","",IFERROR(AVERAGEIFS(nNOTA,nNIA,M818,nCUENTA,1,nASIG,"Armonía"),"")))</f>
        <v/>
      </c>
      <c r="O818" t="str">
        <f>IF(M818="","",IF(M818="[FÓRMULA MANUAL]","",IFERROR(AVERAGEIFS(nNOTA,nNIA,M818,nCUENTA,1,nASIG,"Orquesta/Banda/Conjunto"),"")))</f>
        <v/>
      </c>
      <c r="P818" t="str">
        <f>IF(M818="","",IF(M818="[FÓRMULA MANUAL]","",IFERROR(AVERAGEIFS(nNOTA,nNIA,M818,nCUENTA,1,nASIG,"Música de Cámara"),"")))</f>
        <v/>
      </c>
      <c r="Q818" t="str">
        <f>IF(M818="","",IF(M818="[FÓRMULA MANUAL]","",IFERROR(SUMPRODUCT((nNIA=M818)*(nCUENTA=1)*(COUNTIF(CONFIG_ASIGNATURAS!$B$7:$B$27,nASIG)&gt;0)*(nNOTA))/SUMPRODUCT((nNIA=M818)*(nCUENTA=1)*(COUNTIF(CONFIG_ASIGNATURAS!$B$7:$B$27,nASIG)&gt;0)*1),"")))</f>
        <v/>
      </c>
      <c r="T818" t="str">
        <f>IF(S818="","",IF(S818="[FÓRMULA MANUAL]","",IFERROR(AVERAGEIFS(nNOTA,nNIA,S818,nCUENTA,1,nASIG,"Armonía"),"")))</f>
        <v/>
      </c>
      <c r="U818" t="str">
        <f>IF(S818="","",IF(S818="[FÓRMULA MANUAL]","",IFERROR(AVERAGEIFS(nNOTA,nNIA,S818,nCUENTA,1,nASIG,"Orquesta/Banda/Conjunto"),"")))</f>
        <v/>
      </c>
      <c r="V818" t="str">
        <f>IF(S818="","",IF(S818="[FÓRMULA MANUAL]","",IFERROR(AVERAGEIFS(nNOTA,nNIA,S818,nCUENTA,1,nASIG,"Música de Cámara"),"")))</f>
        <v/>
      </c>
      <c r="W818" t="str">
        <f>IF(S818="","",IF(S818="[FÓRMULA MANUAL]","",IFERROR(SUMPRODUCT((nNIA=S818)*(nCUENTA=1)*(COUNTIF(CONFIG_ASIGNATURAS!$B$7:$B$27,nASIG)&gt;0)*(nNOTA))/SUMPRODUCT((nNIA=S818)*(nCUENTA=1)*(COUNTIF(CONFIG_ASIGNATURAS!$B$7:$B$27,nASIG)&gt;0)*1),"")))</f>
        <v/>
      </c>
      <c r="Z818" t="str">
        <f>IF(Y818="","",IF(Y818="[FÓRMULA MANUAL]","",IFERROR(AVERAGEIFS(nNOTA,nNIA,Y818,nCUENTA,1,nASIG,"Análisis"),"")))</f>
        <v/>
      </c>
      <c r="AA818" t="str">
        <f>IF(Y818="","",IF(Y818="[FÓRMULA MANUAL]","",IFERROR(AVERAGEIFS(nNOTA,nNIA,Y818,nCUENTA,1,nASIG,"Orquesta/Banda/Conjunto"),"")))</f>
        <v/>
      </c>
      <c r="AB818" t="str">
        <f>IF(Y818="","",IF(Y818="[FÓRMULA MANUAL]","",IFERROR(AVERAGEIFS(nNOTA,nNIA,Y818,nCUENTA,1,nASIG,"Música de Cámara"),"")))</f>
        <v/>
      </c>
      <c r="AC818" t="str">
        <f>IF(Y818="","",IF(Y818="[FÓRMULA MANUAL]","",IFERROR(SUMPRODUCT((nNIA=Y818)*(nCUENTA=1)*(COUNTIF(CONFIG_ASIGNATURAS!$B$7:$B$27,nASIG)&gt;0)*(nNOTA))/SUMPRODUCT((nNIA=Y818)*(nCUENTA=1)*(COUNTIF(CONFIG_ASIGNATURAS!$B$7:$B$27,nASIG)&gt;0)*1),"")))</f>
        <v/>
      </c>
      <c r="AF818" t="str">
        <f>IF(AE818="","",IF(AE818="[FÓRMULA MANUAL]","",IFERROR(AVERAGEIFS(nNOTA,nNIA,AE818,nCUENTA,1,nASIG,"Análisis"),"")))</f>
        <v/>
      </c>
      <c r="AG818" t="str">
        <f>IF(AE818="","",IF(AE818="[FÓRMULA MANUAL]","",IFERROR(AVERAGEIFS(nNOTA,nNIA,AE818,nCUENTA,1,nASIG,"Orquesta/Banda/Conjunto"),"")))</f>
        <v/>
      </c>
      <c r="AH818" t="str">
        <f>IF(AE818="","",IF(AE818="[FÓRMULA MANUAL]","",IFERROR(AVERAGEIFS(nNOTA,nNIA,AE818,nCUENTA,1,nASIG,"Música de Cámara"),"")))</f>
        <v/>
      </c>
      <c r="AI818" t="str">
        <f>IF(AE818="","",IF(AE818="[FÓRMULA MANUAL]","",IFERROR(SUMPRODUCT((nNIA=AE818)*(nCUENTA=1)*(COUNTIF(CONFIG_ASIGNATURAS!$B$7:$B$27,nASIG)&gt;0)*(nNOTA))/SUMPRODUCT((nNIA=AE818)*(nCUENTA=1)*(COUNTIF(CONFIG_ASIGNATURAS!$B$7:$B$27,nASIG)&gt;0)*1),"")))</f>
        <v/>
      </c>
    </row>
    <row r="819" spans="2:35" x14ac:dyDescent="0.2">
      <c r="B819" t="str">
        <f>IF(A819="","",IF(A819="[FÓRMULA MANUAL]","",IFERROR(AVERAGEIFS(nNOTA,nNIA,A819,nCUENTA,1,nASIG,"Lenguaje Musical"),"")))</f>
        <v/>
      </c>
      <c r="C819" t="str">
        <f>IF(A819="","",IF(A819="[FÓRMULA MANUAL]","",IFERROR(AVERAGEIFS(nNOTA,nNIA,A819,nCUENTA,1,nASIG,"Orquesta/Banda/Conjunto"),"")))</f>
        <v/>
      </c>
      <c r="D819" t="str">
        <f>IF(A819="","",IF(A819="[FÓRMULA MANUAL]","",IFERROR(AVERAGEIFS(nNOTA,nNIA,A819,nCUENTA,1,nASIG,"Conjunto"),"")))</f>
        <v/>
      </c>
      <c r="E819" t="str">
        <f>IF(A819="","",IF(A819="[FÓRMULA MANUAL]","",IFERROR(SUMPRODUCT((nNIA=A819)*(nCUENTA=1)*(COUNTIF(CONFIG_ASIGNATURAS!$B$7:$B$27,nASIG)&gt;0)*(nNOTA))/SUMPRODUCT((nNIA=A819)*(nCUENTA=1)*(COUNTIF(CONFIG_ASIGNATURAS!$B$7:$B$27,nASIG)&gt;0)*1),"")))</f>
        <v/>
      </c>
      <c r="H819" t="str">
        <f>IF(G819="","",IF(G819="[FÓRMULA MANUAL]","",IFERROR(AVERAGEIFS(nNOTA,nNIA,G819,nCUENTA,1,nASIG,"Lenguaje Musical"),"")))</f>
        <v/>
      </c>
      <c r="I819" t="str">
        <f>IF(G819="","",IF(G819="[FÓRMULA MANUAL]","",IFERROR(AVERAGEIFS(nNOTA,nNIA,G819,nCUENTA,1,nASIG,"Orquesta/Banda/Conjunto"),"")))</f>
        <v/>
      </c>
      <c r="J819" t="str">
        <f>IF(G819="","",IF(G819="[FÓRMULA MANUAL]","",IFERROR(AVERAGEIFS(nNOTA,nNIA,G819,nCUENTA,1,nASIG,"Conjunto"),"")))</f>
        <v/>
      </c>
      <c r="K819" t="str">
        <f>IF(G819="","",IF(G819="[FÓRMULA MANUAL]","",IFERROR(SUMPRODUCT((nNIA=G819)*(nCUENTA=1)*(COUNTIF(CONFIG_ASIGNATURAS!$B$7:$B$27,nASIG)&gt;0)*(nNOTA))/SUMPRODUCT((nNIA=G819)*(nCUENTA=1)*(COUNTIF(CONFIG_ASIGNATURAS!$B$7:$B$27,nASIG)&gt;0)*1),"")))</f>
        <v/>
      </c>
      <c r="N819" t="str">
        <f>IF(M819="","",IF(M819="[FÓRMULA MANUAL]","",IFERROR(AVERAGEIFS(nNOTA,nNIA,M819,nCUENTA,1,nASIG,"Armonía"),"")))</f>
        <v/>
      </c>
      <c r="O819" t="str">
        <f>IF(M819="","",IF(M819="[FÓRMULA MANUAL]","",IFERROR(AVERAGEIFS(nNOTA,nNIA,M819,nCUENTA,1,nASIG,"Orquesta/Banda/Conjunto"),"")))</f>
        <v/>
      </c>
      <c r="P819" t="str">
        <f>IF(M819="","",IF(M819="[FÓRMULA MANUAL]","",IFERROR(AVERAGEIFS(nNOTA,nNIA,M819,nCUENTA,1,nASIG,"Música de Cámara"),"")))</f>
        <v/>
      </c>
      <c r="Q819" t="str">
        <f>IF(M819="","",IF(M819="[FÓRMULA MANUAL]","",IFERROR(SUMPRODUCT((nNIA=M819)*(nCUENTA=1)*(COUNTIF(CONFIG_ASIGNATURAS!$B$7:$B$27,nASIG)&gt;0)*(nNOTA))/SUMPRODUCT((nNIA=M819)*(nCUENTA=1)*(COUNTIF(CONFIG_ASIGNATURAS!$B$7:$B$27,nASIG)&gt;0)*1),"")))</f>
        <v/>
      </c>
      <c r="T819" t="str">
        <f>IF(S819="","",IF(S819="[FÓRMULA MANUAL]","",IFERROR(AVERAGEIFS(nNOTA,nNIA,S819,nCUENTA,1,nASIG,"Armonía"),"")))</f>
        <v/>
      </c>
      <c r="U819" t="str">
        <f>IF(S819="","",IF(S819="[FÓRMULA MANUAL]","",IFERROR(AVERAGEIFS(nNOTA,nNIA,S819,nCUENTA,1,nASIG,"Orquesta/Banda/Conjunto"),"")))</f>
        <v/>
      </c>
      <c r="V819" t="str">
        <f>IF(S819="","",IF(S819="[FÓRMULA MANUAL]","",IFERROR(AVERAGEIFS(nNOTA,nNIA,S819,nCUENTA,1,nASIG,"Música de Cámara"),"")))</f>
        <v/>
      </c>
      <c r="W819" t="str">
        <f>IF(S819="","",IF(S819="[FÓRMULA MANUAL]","",IFERROR(SUMPRODUCT((nNIA=S819)*(nCUENTA=1)*(COUNTIF(CONFIG_ASIGNATURAS!$B$7:$B$27,nASIG)&gt;0)*(nNOTA))/SUMPRODUCT((nNIA=S819)*(nCUENTA=1)*(COUNTIF(CONFIG_ASIGNATURAS!$B$7:$B$27,nASIG)&gt;0)*1),"")))</f>
        <v/>
      </c>
      <c r="Z819" t="str">
        <f>IF(Y819="","",IF(Y819="[FÓRMULA MANUAL]","",IFERROR(AVERAGEIFS(nNOTA,nNIA,Y819,nCUENTA,1,nASIG,"Análisis"),"")))</f>
        <v/>
      </c>
      <c r="AA819" t="str">
        <f>IF(Y819="","",IF(Y819="[FÓRMULA MANUAL]","",IFERROR(AVERAGEIFS(nNOTA,nNIA,Y819,nCUENTA,1,nASIG,"Orquesta/Banda/Conjunto"),"")))</f>
        <v/>
      </c>
      <c r="AB819" t="str">
        <f>IF(Y819="","",IF(Y819="[FÓRMULA MANUAL]","",IFERROR(AVERAGEIFS(nNOTA,nNIA,Y819,nCUENTA,1,nASIG,"Música de Cámara"),"")))</f>
        <v/>
      </c>
      <c r="AC819" t="str">
        <f>IF(Y819="","",IF(Y819="[FÓRMULA MANUAL]","",IFERROR(SUMPRODUCT((nNIA=Y819)*(nCUENTA=1)*(COUNTIF(CONFIG_ASIGNATURAS!$B$7:$B$27,nASIG)&gt;0)*(nNOTA))/SUMPRODUCT((nNIA=Y819)*(nCUENTA=1)*(COUNTIF(CONFIG_ASIGNATURAS!$B$7:$B$27,nASIG)&gt;0)*1),"")))</f>
        <v/>
      </c>
      <c r="AF819" t="str">
        <f>IF(AE819="","",IF(AE819="[FÓRMULA MANUAL]","",IFERROR(AVERAGEIFS(nNOTA,nNIA,AE819,nCUENTA,1,nASIG,"Análisis"),"")))</f>
        <v/>
      </c>
      <c r="AG819" t="str">
        <f>IF(AE819="","",IF(AE819="[FÓRMULA MANUAL]","",IFERROR(AVERAGEIFS(nNOTA,nNIA,AE819,nCUENTA,1,nASIG,"Orquesta/Banda/Conjunto"),"")))</f>
        <v/>
      </c>
      <c r="AH819" t="str">
        <f>IF(AE819="","",IF(AE819="[FÓRMULA MANUAL]","",IFERROR(AVERAGEIFS(nNOTA,nNIA,AE819,nCUENTA,1,nASIG,"Música de Cámara"),"")))</f>
        <v/>
      </c>
      <c r="AI819" t="str">
        <f>IF(AE819="","",IF(AE819="[FÓRMULA MANUAL]","",IFERROR(SUMPRODUCT((nNIA=AE819)*(nCUENTA=1)*(COUNTIF(CONFIG_ASIGNATURAS!$B$7:$B$27,nASIG)&gt;0)*(nNOTA))/SUMPRODUCT((nNIA=AE819)*(nCUENTA=1)*(COUNTIF(CONFIG_ASIGNATURAS!$B$7:$B$27,nASIG)&gt;0)*1),"")))</f>
        <v/>
      </c>
    </row>
    <row r="820" spans="2:35" x14ac:dyDescent="0.2">
      <c r="B820" t="str">
        <f>IF(A820="","",IF(A820="[FÓRMULA MANUAL]","",IFERROR(AVERAGEIFS(nNOTA,nNIA,A820,nCUENTA,1,nASIG,"Lenguaje Musical"),"")))</f>
        <v/>
      </c>
      <c r="C820" t="str">
        <f>IF(A820="","",IF(A820="[FÓRMULA MANUAL]","",IFERROR(AVERAGEIFS(nNOTA,nNIA,A820,nCUENTA,1,nASIG,"Orquesta/Banda/Conjunto"),"")))</f>
        <v/>
      </c>
      <c r="D820" t="str">
        <f>IF(A820="","",IF(A820="[FÓRMULA MANUAL]","",IFERROR(AVERAGEIFS(nNOTA,nNIA,A820,nCUENTA,1,nASIG,"Conjunto"),"")))</f>
        <v/>
      </c>
      <c r="E820" t="str">
        <f>IF(A820="","",IF(A820="[FÓRMULA MANUAL]","",IFERROR(SUMPRODUCT((nNIA=A820)*(nCUENTA=1)*(COUNTIF(CONFIG_ASIGNATURAS!$B$7:$B$27,nASIG)&gt;0)*(nNOTA))/SUMPRODUCT((nNIA=A820)*(nCUENTA=1)*(COUNTIF(CONFIG_ASIGNATURAS!$B$7:$B$27,nASIG)&gt;0)*1),"")))</f>
        <v/>
      </c>
      <c r="H820" t="str">
        <f>IF(G820="","",IF(G820="[FÓRMULA MANUAL]","",IFERROR(AVERAGEIFS(nNOTA,nNIA,G820,nCUENTA,1,nASIG,"Lenguaje Musical"),"")))</f>
        <v/>
      </c>
      <c r="I820" t="str">
        <f>IF(G820="","",IF(G820="[FÓRMULA MANUAL]","",IFERROR(AVERAGEIFS(nNOTA,nNIA,G820,nCUENTA,1,nASIG,"Orquesta/Banda/Conjunto"),"")))</f>
        <v/>
      </c>
      <c r="J820" t="str">
        <f>IF(G820="","",IF(G820="[FÓRMULA MANUAL]","",IFERROR(AVERAGEIFS(nNOTA,nNIA,G820,nCUENTA,1,nASIG,"Conjunto"),"")))</f>
        <v/>
      </c>
      <c r="K820" t="str">
        <f>IF(G820="","",IF(G820="[FÓRMULA MANUAL]","",IFERROR(SUMPRODUCT((nNIA=G820)*(nCUENTA=1)*(COUNTIF(CONFIG_ASIGNATURAS!$B$7:$B$27,nASIG)&gt;0)*(nNOTA))/SUMPRODUCT((nNIA=G820)*(nCUENTA=1)*(COUNTIF(CONFIG_ASIGNATURAS!$B$7:$B$27,nASIG)&gt;0)*1),"")))</f>
        <v/>
      </c>
      <c r="N820" t="str">
        <f>IF(M820="","",IF(M820="[FÓRMULA MANUAL]","",IFERROR(AVERAGEIFS(nNOTA,nNIA,M820,nCUENTA,1,nASIG,"Armonía"),"")))</f>
        <v/>
      </c>
      <c r="O820" t="str">
        <f>IF(M820="","",IF(M820="[FÓRMULA MANUAL]","",IFERROR(AVERAGEIFS(nNOTA,nNIA,M820,nCUENTA,1,nASIG,"Orquesta/Banda/Conjunto"),"")))</f>
        <v/>
      </c>
      <c r="P820" t="str">
        <f>IF(M820="","",IF(M820="[FÓRMULA MANUAL]","",IFERROR(AVERAGEIFS(nNOTA,nNIA,M820,nCUENTA,1,nASIG,"Música de Cámara"),"")))</f>
        <v/>
      </c>
      <c r="Q820" t="str">
        <f>IF(M820="","",IF(M820="[FÓRMULA MANUAL]","",IFERROR(SUMPRODUCT((nNIA=M820)*(nCUENTA=1)*(COUNTIF(CONFIG_ASIGNATURAS!$B$7:$B$27,nASIG)&gt;0)*(nNOTA))/SUMPRODUCT((nNIA=M820)*(nCUENTA=1)*(COUNTIF(CONFIG_ASIGNATURAS!$B$7:$B$27,nASIG)&gt;0)*1),"")))</f>
        <v/>
      </c>
      <c r="T820" t="str">
        <f>IF(S820="","",IF(S820="[FÓRMULA MANUAL]","",IFERROR(AVERAGEIFS(nNOTA,nNIA,S820,nCUENTA,1,nASIG,"Armonía"),"")))</f>
        <v/>
      </c>
      <c r="U820" t="str">
        <f>IF(S820="","",IF(S820="[FÓRMULA MANUAL]","",IFERROR(AVERAGEIFS(nNOTA,nNIA,S820,nCUENTA,1,nASIG,"Orquesta/Banda/Conjunto"),"")))</f>
        <v/>
      </c>
      <c r="V820" t="str">
        <f>IF(S820="","",IF(S820="[FÓRMULA MANUAL]","",IFERROR(AVERAGEIFS(nNOTA,nNIA,S820,nCUENTA,1,nASIG,"Música de Cámara"),"")))</f>
        <v/>
      </c>
      <c r="W820" t="str">
        <f>IF(S820="","",IF(S820="[FÓRMULA MANUAL]","",IFERROR(SUMPRODUCT((nNIA=S820)*(nCUENTA=1)*(COUNTIF(CONFIG_ASIGNATURAS!$B$7:$B$27,nASIG)&gt;0)*(nNOTA))/SUMPRODUCT((nNIA=S820)*(nCUENTA=1)*(COUNTIF(CONFIG_ASIGNATURAS!$B$7:$B$27,nASIG)&gt;0)*1),"")))</f>
        <v/>
      </c>
      <c r="Z820" t="str">
        <f>IF(Y820="","",IF(Y820="[FÓRMULA MANUAL]","",IFERROR(AVERAGEIFS(nNOTA,nNIA,Y820,nCUENTA,1,nASIG,"Análisis"),"")))</f>
        <v/>
      </c>
      <c r="AA820" t="str">
        <f>IF(Y820="","",IF(Y820="[FÓRMULA MANUAL]","",IFERROR(AVERAGEIFS(nNOTA,nNIA,Y820,nCUENTA,1,nASIG,"Orquesta/Banda/Conjunto"),"")))</f>
        <v/>
      </c>
      <c r="AB820" t="str">
        <f>IF(Y820="","",IF(Y820="[FÓRMULA MANUAL]","",IFERROR(AVERAGEIFS(nNOTA,nNIA,Y820,nCUENTA,1,nASIG,"Música de Cámara"),"")))</f>
        <v/>
      </c>
      <c r="AC820" t="str">
        <f>IF(Y820="","",IF(Y820="[FÓRMULA MANUAL]","",IFERROR(SUMPRODUCT((nNIA=Y820)*(nCUENTA=1)*(COUNTIF(CONFIG_ASIGNATURAS!$B$7:$B$27,nASIG)&gt;0)*(nNOTA))/SUMPRODUCT((nNIA=Y820)*(nCUENTA=1)*(COUNTIF(CONFIG_ASIGNATURAS!$B$7:$B$27,nASIG)&gt;0)*1),"")))</f>
        <v/>
      </c>
      <c r="AF820" t="str">
        <f>IF(AE820="","",IF(AE820="[FÓRMULA MANUAL]","",IFERROR(AVERAGEIFS(nNOTA,nNIA,AE820,nCUENTA,1,nASIG,"Análisis"),"")))</f>
        <v/>
      </c>
      <c r="AG820" t="str">
        <f>IF(AE820="","",IF(AE820="[FÓRMULA MANUAL]","",IFERROR(AVERAGEIFS(nNOTA,nNIA,AE820,nCUENTA,1,nASIG,"Orquesta/Banda/Conjunto"),"")))</f>
        <v/>
      </c>
      <c r="AH820" t="str">
        <f>IF(AE820="","",IF(AE820="[FÓRMULA MANUAL]","",IFERROR(AVERAGEIFS(nNOTA,nNIA,AE820,nCUENTA,1,nASIG,"Música de Cámara"),"")))</f>
        <v/>
      </c>
      <c r="AI820" t="str">
        <f>IF(AE820="","",IF(AE820="[FÓRMULA MANUAL]","",IFERROR(SUMPRODUCT((nNIA=AE820)*(nCUENTA=1)*(COUNTIF(CONFIG_ASIGNATURAS!$B$7:$B$27,nASIG)&gt;0)*(nNOTA))/SUMPRODUCT((nNIA=AE820)*(nCUENTA=1)*(COUNTIF(CONFIG_ASIGNATURAS!$B$7:$B$27,nASIG)&gt;0)*1),"")))</f>
        <v/>
      </c>
    </row>
    <row r="821" spans="2:35" x14ac:dyDescent="0.2">
      <c r="B821" t="str">
        <f>IF(A821="","",IF(A821="[FÓRMULA MANUAL]","",IFERROR(AVERAGEIFS(nNOTA,nNIA,A821,nCUENTA,1,nASIG,"Lenguaje Musical"),"")))</f>
        <v/>
      </c>
      <c r="C821" t="str">
        <f>IF(A821="","",IF(A821="[FÓRMULA MANUAL]","",IFERROR(AVERAGEIFS(nNOTA,nNIA,A821,nCUENTA,1,nASIG,"Orquesta/Banda/Conjunto"),"")))</f>
        <v/>
      </c>
      <c r="D821" t="str">
        <f>IF(A821="","",IF(A821="[FÓRMULA MANUAL]","",IFERROR(AVERAGEIFS(nNOTA,nNIA,A821,nCUENTA,1,nASIG,"Conjunto"),"")))</f>
        <v/>
      </c>
      <c r="E821" t="str">
        <f>IF(A821="","",IF(A821="[FÓRMULA MANUAL]","",IFERROR(SUMPRODUCT((nNIA=A821)*(nCUENTA=1)*(COUNTIF(CONFIG_ASIGNATURAS!$B$7:$B$27,nASIG)&gt;0)*(nNOTA))/SUMPRODUCT((nNIA=A821)*(nCUENTA=1)*(COUNTIF(CONFIG_ASIGNATURAS!$B$7:$B$27,nASIG)&gt;0)*1),"")))</f>
        <v/>
      </c>
      <c r="H821" t="str">
        <f>IF(G821="","",IF(G821="[FÓRMULA MANUAL]","",IFERROR(AVERAGEIFS(nNOTA,nNIA,G821,nCUENTA,1,nASIG,"Lenguaje Musical"),"")))</f>
        <v/>
      </c>
      <c r="I821" t="str">
        <f>IF(G821="","",IF(G821="[FÓRMULA MANUAL]","",IFERROR(AVERAGEIFS(nNOTA,nNIA,G821,nCUENTA,1,nASIG,"Orquesta/Banda/Conjunto"),"")))</f>
        <v/>
      </c>
      <c r="J821" t="str">
        <f>IF(G821="","",IF(G821="[FÓRMULA MANUAL]","",IFERROR(AVERAGEIFS(nNOTA,nNIA,G821,nCUENTA,1,nASIG,"Conjunto"),"")))</f>
        <v/>
      </c>
      <c r="K821" t="str">
        <f>IF(G821="","",IF(G821="[FÓRMULA MANUAL]","",IFERROR(SUMPRODUCT((nNIA=G821)*(nCUENTA=1)*(COUNTIF(CONFIG_ASIGNATURAS!$B$7:$B$27,nASIG)&gt;0)*(nNOTA))/SUMPRODUCT((nNIA=G821)*(nCUENTA=1)*(COUNTIF(CONFIG_ASIGNATURAS!$B$7:$B$27,nASIG)&gt;0)*1),"")))</f>
        <v/>
      </c>
      <c r="N821" t="str">
        <f>IF(M821="","",IF(M821="[FÓRMULA MANUAL]","",IFERROR(AVERAGEIFS(nNOTA,nNIA,M821,nCUENTA,1,nASIG,"Armonía"),"")))</f>
        <v/>
      </c>
      <c r="O821" t="str">
        <f>IF(M821="","",IF(M821="[FÓRMULA MANUAL]","",IFERROR(AVERAGEIFS(nNOTA,nNIA,M821,nCUENTA,1,nASIG,"Orquesta/Banda/Conjunto"),"")))</f>
        <v/>
      </c>
      <c r="P821" t="str">
        <f>IF(M821="","",IF(M821="[FÓRMULA MANUAL]","",IFERROR(AVERAGEIFS(nNOTA,nNIA,M821,nCUENTA,1,nASIG,"Música de Cámara"),"")))</f>
        <v/>
      </c>
      <c r="Q821" t="str">
        <f>IF(M821="","",IF(M821="[FÓRMULA MANUAL]","",IFERROR(SUMPRODUCT((nNIA=M821)*(nCUENTA=1)*(COUNTIF(CONFIG_ASIGNATURAS!$B$7:$B$27,nASIG)&gt;0)*(nNOTA))/SUMPRODUCT((nNIA=M821)*(nCUENTA=1)*(COUNTIF(CONFIG_ASIGNATURAS!$B$7:$B$27,nASIG)&gt;0)*1),"")))</f>
        <v/>
      </c>
      <c r="T821" t="str">
        <f>IF(S821="","",IF(S821="[FÓRMULA MANUAL]","",IFERROR(AVERAGEIFS(nNOTA,nNIA,S821,nCUENTA,1,nASIG,"Armonía"),"")))</f>
        <v/>
      </c>
      <c r="U821" t="str">
        <f>IF(S821="","",IF(S821="[FÓRMULA MANUAL]","",IFERROR(AVERAGEIFS(nNOTA,nNIA,S821,nCUENTA,1,nASIG,"Orquesta/Banda/Conjunto"),"")))</f>
        <v/>
      </c>
      <c r="V821" t="str">
        <f>IF(S821="","",IF(S821="[FÓRMULA MANUAL]","",IFERROR(AVERAGEIFS(nNOTA,nNIA,S821,nCUENTA,1,nASIG,"Música de Cámara"),"")))</f>
        <v/>
      </c>
      <c r="W821" t="str">
        <f>IF(S821="","",IF(S821="[FÓRMULA MANUAL]","",IFERROR(SUMPRODUCT((nNIA=S821)*(nCUENTA=1)*(COUNTIF(CONFIG_ASIGNATURAS!$B$7:$B$27,nASIG)&gt;0)*(nNOTA))/SUMPRODUCT((nNIA=S821)*(nCUENTA=1)*(COUNTIF(CONFIG_ASIGNATURAS!$B$7:$B$27,nASIG)&gt;0)*1),"")))</f>
        <v/>
      </c>
      <c r="Z821" t="str">
        <f>IF(Y821="","",IF(Y821="[FÓRMULA MANUAL]","",IFERROR(AVERAGEIFS(nNOTA,nNIA,Y821,nCUENTA,1,nASIG,"Análisis"),"")))</f>
        <v/>
      </c>
      <c r="AA821" t="str">
        <f>IF(Y821="","",IF(Y821="[FÓRMULA MANUAL]","",IFERROR(AVERAGEIFS(nNOTA,nNIA,Y821,nCUENTA,1,nASIG,"Orquesta/Banda/Conjunto"),"")))</f>
        <v/>
      </c>
      <c r="AB821" t="str">
        <f>IF(Y821="","",IF(Y821="[FÓRMULA MANUAL]","",IFERROR(AVERAGEIFS(nNOTA,nNIA,Y821,nCUENTA,1,nASIG,"Música de Cámara"),"")))</f>
        <v/>
      </c>
      <c r="AC821" t="str">
        <f>IF(Y821="","",IF(Y821="[FÓRMULA MANUAL]","",IFERROR(SUMPRODUCT((nNIA=Y821)*(nCUENTA=1)*(COUNTIF(CONFIG_ASIGNATURAS!$B$7:$B$27,nASIG)&gt;0)*(nNOTA))/SUMPRODUCT((nNIA=Y821)*(nCUENTA=1)*(COUNTIF(CONFIG_ASIGNATURAS!$B$7:$B$27,nASIG)&gt;0)*1),"")))</f>
        <v/>
      </c>
      <c r="AF821" t="str">
        <f>IF(AE821="","",IF(AE821="[FÓRMULA MANUAL]","",IFERROR(AVERAGEIFS(nNOTA,nNIA,AE821,nCUENTA,1,nASIG,"Análisis"),"")))</f>
        <v/>
      </c>
      <c r="AG821" t="str">
        <f>IF(AE821="","",IF(AE821="[FÓRMULA MANUAL]","",IFERROR(AVERAGEIFS(nNOTA,nNIA,AE821,nCUENTA,1,nASIG,"Orquesta/Banda/Conjunto"),"")))</f>
        <v/>
      </c>
      <c r="AH821" t="str">
        <f>IF(AE821="","",IF(AE821="[FÓRMULA MANUAL]","",IFERROR(AVERAGEIFS(nNOTA,nNIA,AE821,nCUENTA,1,nASIG,"Música de Cámara"),"")))</f>
        <v/>
      </c>
      <c r="AI821" t="str">
        <f>IF(AE821="","",IF(AE821="[FÓRMULA MANUAL]","",IFERROR(SUMPRODUCT((nNIA=AE821)*(nCUENTA=1)*(COUNTIF(CONFIG_ASIGNATURAS!$B$7:$B$27,nASIG)&gt;0)*(nNOTA))/SUMPRODUCT((nNIA=AE821)*(nCUENTA=1)*(COUNTIF(CONFIG_ASIGNATURAS!$B$7:$B$27,nASIG)&gt;0)*1),"")))</f>
        <v/>
      </c>
    </row>
    <row r="822" spans="2:35" x14ac:dyDescent="0.2">
      <c r="B822" t="str">
        <f>IF(A822="","",IF(A822="[FÓRMULA MANUAL]","",IFERROR(AVERAGEIFS(nNOTA,nNIA,A822,nCUENTA,1,nASIG,"Lenguaje Musical"),"")))</f>
        <v/>
      </c>
      <c r="C822" t="str">
        <f>IF(A822="","",IF(A822="[FÓRMULA MANUAL]","",IFERROR(AVERAGEIFS(nNOTA,nNIA,A822,nCUENTA,1,nASIG,"Orquesta/Banda/Conjunto"),"")))</f>
        <v/>
      </c>
      <c r="D822" t="str">
        <f>IF(A822="","",IF(A822="[FÓRMULA MANUAL]","",IFERROR(AVERAGEIFS(nNOTA,nNIA,A822,nCUENTA,1,nASIG,"Conjunto"),"")))</f>
        <v/>
      </c>
      <c r="E822" t="str">
        <f>IF(A822="","",IF(A822="[FÓRMULA MANUAL]","",IFERROR(SUMPRODUCT((nNIA=A822)*(nCUENTA=1)*(COUNTIF(CONFIG_ASIGNATURAS!$B$7:$B$27,nASIG)&gt;0)*(nNOTA))/SUMPRODUCT((nNIA=A822)*(nCUENTA=1)*(COUNTIF(CONFIG_ASIGNATURAS!$B$7:$B$27,nASIG)&gt;0)*1),"")))</f>
        <v/>
      </c>
      <c r="H822" t="str">
        <f>IF(G822="","",IF(G822="[FÓRMULA MANUAL]","",IFERROR(AVERAGEIFS(nNOTA,nNIA,G822,nCUENTA,1,nASIG,"Lenguaje Musical"),"")))</f>
        <v/>
      </c>
      <c r="I822" t="str">
        <f>IF(G822="","",IF(G822="[FÓRMULA MANUAL]","",IFERROR(AVERAGEIFS(nNOTA,nNIA,G822,nCUENTA,1,nASIG,"Orquesta/Banda/Conjunto"),"")))</f>
        <v/>
      </c>
      <c r="J822" t="str">
        <f>IF(G822="","",IF(G822="[FÓRMULA MANUAL]","",IFERROR(AVERAGEIFS(nNOTA,nNIA,G822,nCUENTA,1,nASIG,"Conjunto"),"")))</f>
        <v/>
      </c>
      <c r="K822" t="str">
        <f>IF(G822="","",IF(G822="[FÓRMULA MANUAL]","",IFERROR(SUMPRODUCT((nNIA=G822)*(nCUENTA=1)*(COUNTIF(CONFIG_ASIGNATURAS!$B$7:$B$27,nASIG)&gt;0)*(nNOTA))/SUMPRODUCT((nNIA=G822)*(nCUENTA=1)*(COUNTIF(CONFIG_ASIGNATURAS!$B$7:$B$27,nASIG)&gt;0)*1),"")))</f>
        <v/>
      </c>
      <c r="N822" t="str">
        <f>IF(M822="","",IF(M822="[FÓRMULA MANUAL]","",IFERROR(AVERAGEIFS(nNOTA,nNIA,M822,nCUENTA,1,nASIG,"Armonía"),"")))</f>
        <v/>
      </c>
      <c r="O822" t="str">
        <f>IF(M822="","",IF(M822="[FÓRMULA MANUAL]","",IFERROR(AVERAGEIFS(nNOTA,nNIA,M822,nCUENTA,1,nASIG,"Orquesta/Banda/Conjunto"),"")))</f>
        <v/>
      </c>
      <c r="P822" t="str">
        <f>IF(M822="","",IF(M822="[FÓRMULA MANUAL]","",IFERROR(AVERAGEIFS(nNOTA,nNIA,M822,nCUENTA,1,nASIG,"Música de Cámara"),"")))</f>
        <v/>
      </c>
      <c r="Q822" t="str">
        <f>IF(M822="","",IF(M822="[FÓRMULA MANUAL]","",IFERROR(SUMPRODUCT((nNIA=M822)*(nCUENTA=1)*(COUNTIF(CONFIG_ASIGNATURAS!$B$7:$B$27,nASIG)&gt;0)*(nNOTA))/SUMPRODUCT((nNIA=M822)*(nCUENTA=1)*(COUNTIF(CONFIG_ASIGNATURAS!$B$7:$B$27,nASIG)&gt;0)*1),"")))</f>
        <v/>
      </c>
      <c r="T822" t="str">
        <f>IF(S822="","",IF(S822="[FÓRMULA MANUAL]","",IFERROR(AVERAGEIFS(nNOTA,nNIA,S822,nCUENTA,1,nASIG,"Armonía"),"")))</f>
        <v/>
      </c>
      <c r="U822" t="str">
        <f>IF(S822="","",IF(S822="[FÓRMULA MANUAL]","",IFERROR(AVERAGEIFS(nNOTA,nNIA,S822,nCUENTA,1,nASIG,"Orquesta/Banda/Conjunto"),"")))</f>
        <v/>
      </c>
      <c r="V822" t="str">
        <f>IF(S822="","",IF(S822="[FÓRMULA MANUAL]","",IFERROR(AVERAGEIFS(nNOTA,nNIA,S822,nCUENTA,1,nASIG,"Música de Cámara"),"")))</f>
        <v/>
      </c>
      <c r="W822" t="str">
        <f>IF(S822="","",IF(S822="[FÓRMULA MANUAL]","",IFERROR(SUMPRODUCT((nNIA=S822)*(nCUENTA=1)*(COUNTIF(CONFIG_ASIGNATURAS!$B$7:$B$27,nASIG)&gt;0)*(nNOTA))/SUMPRODUCT((nNIA=S822)*(nCUENTA=1)*(COUNTIF(CONFIG_ASIGNATURAS!$B$7:$B$27,nASIG)&gt;0)*1),"")))</f>
        <v/>
      </c>
      <c r="Z822" t="str">
        <f>IF(Y822="","",IF(Y822="[FÓRMULA MANUAL]","",IFERROR(AVERAGEIFS(nNOTA,nNIA,Y822,nCUENTA,1,nASIG,"Análisis"),"")))</f>
        <v/>
      </c>
      <c r="AA822" t="str">
        <f>IF(Y822="","",IF(Y822="[FÓRMULA MANUAL]","",IFERROR(AVERAGEIFS(nNOTA,nNIA,Y822,nCUENTA,1,nASIG,"Orquesta/Banda/Conjunto"),"")))</f>
        <v/>
      </c>
      <c r="AB822" t="str">
        <f>IF(Y822="","",IF(Y822="[FÓRMULA MANUAL]","",IFERROR(AVERAGEIFS(nNOTA,nNIA,Y822,nCUENTA,1,nASIG,"Música de Cámara"),"")))</f>
        <v/>
      </c>
      <c r="AC822" t="str">
        <f>IF(Y822="","",IF(Y822="[FÓRMULA MANUAL]","",IFERROR(SUMPRODUCT((nNIA=Y822)*(nCUENTA=1)*(COUNTIF(CONFIG_ASIGNATURAS!$B$7:$B$27,nASIG)&gt;0)*(nNOTA))/SUMPRODUCT((nNIA=Y822)*(nCUENTA=1)*(COUNTIF(CONFIG_ASIGNATURAS!$B$7:$B$27,nASIG)&gt;0)*1),"")))</f>
        <v/>
      </c>
      <c r="AF822" t="str">
        <f>IF(AE822="","",IF(AE822="[FÓRMULA MANUAL]","",IFERROR(AVERAGEIFS(nNOTA,nNIA,AE822,nCUENTA,1,nASIG,"Análisis"),"")))</f>
        <v/>
      </c>
      <c r="AG822" t="str">
        <f>IF(AE822="","",IF(AE822="[FÓRMULA MANUAL]","",IFERROR(AVERAGEIFS(nNOTA,nNIA,AE822,nCUENTA,1,nASIG,"Orquesta/Banda/Conjunto"),"")))</f>
        <v/>
      </c>
      <c r="AH822" t="str">
        <f>IF(AE822="","",IF(AE822="[FÓRMULA MANUAL]","",IFERROR(AVERAGEIFS(nNOTA,nNIA,AE822,nCUENTA,1,nASIG,"Música de Cámara"),"")))</f>
        <v/>
      </c>
      <c r="AI822" t="str">
        <f>IF(AE822="","",IF(AE822="[FÓRMULA MANUAL]","",IFERROR(SUMPRODUCT((nNIA=AE822)*(nCUENTA=1)*(COUNTIF(CONFIG_ASIGNATURAS!$B$7:$B$27,nASIG)&gt;0)*(nNOTA))/SUMPRODUCT((nNIA=AE822)*(nCUENTA=1)*(COUNTIF(CONFIG_ASIGNATURAS!$B$7:$B$27,nASIG)&gt;0)*1),"")))</f>
        <v/>
      </c>
    </row>
    <row r="823" spans="2:35" x14ac:dyDescent="0.2">
      <c r="B823" t="str">
        <f>IF(A823="","",IF(A823="[FÓRMULA MANUAL]","",IFERROR(AVERAGEIFS(nNOTA,nNIA,A823,nCUENTA,1,nASIG,"Lenguaje Musical"),"")))</f>
        <v/>
      </c>
      <c r="C823" t="str">
        <f>IF(A823="","",IF(A823="[FÓRMULA MANUAL]","",IFERROR(AVERAGEIFS(nNOTA,nNIA,A823,nCUENTA,1,nASIG,"Orquesta/Banda/Conjunto"),"")))</f>
        <v/>
      </c>
      <c r="D823" t="str">
        <f>IF(A823="","",IF(A823="[FÓRMULA MANUAL]","",IFERROR(AVERAGEIFS(nNOTA,nNIA,A823,nCUENTA,1,nASIG,"Conjunto"),"")))</f>
        <v/>
      </c>
      <c r="E823" t="str">
        <f>IF(A823="","",IF(A823="[FÓRMULA MANUAL]","",IFERROR(SUMPRODUCT((nNIA=A823)*(nCUENTA=1)*(COUNTIF(CONFIG_ASIGNATURAS!$B$7:$B$27,nASIG)&gt;0)*(nNOTA))/SUMPRODUCT((nNIA=A823)*(nCUENTA=1)*(COUNTIF(CONFIG_ASIGNATURAS!$B$7:$B$27,nASIG)&gt;0)*1),"")))</f>
        <v/>
      </c>
      <c r="H823" t="str">
        <f>IF(G823="","",IF(G823="[FÓRMULA MANUAL]","",IFERROR(AVERAGEIFS(nNOTA,nNIA,G823,nCUENTA,1,nASIG,"Lenguaje Musical"),"")))</f>
        <v/>
      </c>
      <c r="I823" t="str">
        <f>IF(G823="","",IF(G823="[FÓRMULA MANUAL]","",IFERROR(AVERAGEIFS(nNOTA,nNIA,G823,nCUENTA,1,nASIG,"Orquesta/Banda/Conjunto"),"")))</f>
        <v/>
      </c>
      <c r="J823" t="str">
        <f>IF(G823="","",IF(G823="[FÓRMULA MANUAL]","",IFERROR(AVERAGEIFS(nNOTA,nNIA,G823,nCUENTA,1,nASIG,"Conjunto"),"")))</f>
        <v/>
      </c>
      <c r="K823" t="str">
        <f>IF(G823="","",IF(G823="[FÓRMULA MANUAL]","",IFERROR(SUMPRODUCT((nNIA=G823)*(nCUENTA=1)*(COUNTIF(CONFIG_ASIGNATURAS!$B$7:$B$27,nASIG)&gt;0)*(nNOTA))/SUMPRODUCT((nNIA=G823)*(nCUENTA=1)*(COUNTIF(CONFIG_ASIGNATURAS!$B$7:$B$27,nASIG)&gt;0)*1),"")))</f>
        <v/>
      </c>
      <c r="N823" t="str">
        <f>IF(M823="","",IF(M823="[FÓRMULA MANUAL]","",IFERROR(AVERAGEIFS(nNOTA,nNIA,M823,nCUENTA,1,nASIG,"Armonía"),"")))</f>
        <v/>
      </c>
      <c r="O823" t="str">
        <f>IF(M823="","",IF(M823="[FÓRMULA MANUAL]","",IFERROR(AVERAGEIFS(nNOTA,nNIA,M823,nCUENTA,1,nASIG,"Orquesta/Banda/Conjunto"),"")))</f>
        <v/>
      </c>
      <c r="P823" t="str">
        <f>IF(M823="","",IF(M823="[FÓRMULA MANUAL]","",IFERROR(AVERAGEIFS(nNOTA,nNIA,M823,nCUENTA,1,nASIG,"Música de Cámara"),"")))</f>
        <v/>
      </c>
      <c r="Q823" t="str">
        <f>IF(M823="","",IF(M823="[FÓRMULA MANUAL]","",IFERROR(SUMPRODUCT((nNIA=M823)*(nCUENTA=1)*(COUNTIF(CONFIG_ASIGNATURAS!$B$7:$B$27,nASIG)&gt;0)*(nNOTA))/SUMPRODUCT((nNIA=M823)*(nCUENTA=1)*(COUNTIF(CONFIG_ASIGNATURAS!$B$7:$B$27,nASIG)&gt;0)*1),"")))</f>
        <v/>
      </c>
      <c r="T823" t="str">
        <f>IF(S823="","",IF(S823="[FÓRMULA MANUAL]","",IFERROR(AVERAGEIFS(nNOTA,nNIA,S823,nCUENTA,1,nASIG,"Armonía"),"")))</f>
        <v/>
      </c>
      <c r="U823" t="str">
        <f>IF(S823="","",IF(S823="[FÓRMULA MANUAL]","",IFERROR(AVERAGEIFS(nNOTA,nNIA,S823,nCUENTA,1,nASIG,"Orquesta/Banda/Conjunto"),"")))</f>
        <v/>
      </c>
      <c r="V823" t="str">
        <f>IF(S823="","",IF(S823="[FÓRMULA MANUAL]","",IFERROR(AVERAGEIFS(nNOTA,nNIA,S823,nCUENTA,1,nASIG,"Música de Cámara"),"")))</f>
        <v/>
      </c>
      <c r="W823" t="str">
        <f>IF(S823="","",IF(S823="[FÓRMULA MANUAL]","",IFERROR(SUMPRODUCT((nNIA=S823)*(nCUENTA=1)*(COUNTIF(CONFIG_ASIGNATURAS!$B$7:$B$27,nASIG)&gt;0)*(nNOTA))/SUMPRODUCT((nNIA=S823)*(nCUENTA=1)*(COUNTIF(CONFIG_ASIGNATURAS!$B$7:$B$27,nASIG)&gt;0)*1),"")))</f>
        <v/>
      </c>
      <c r="Z823" t="str">
        <f>IF(Y823="","",IF(Y823="[FÓRMULA MANUAL]","",IFERROR(AVERAGEIFS(nNOTA,nNIA,Y823,nCUENTA,1,nASIG,"Análisis"),"")))</f>
        <v/>
      </c>
      <c r="AA823" t="str">
        <f>IF(Y823="","",IF(Y823="[FÓRMULA MANUAL]","",IFERROR(AVERAGEIFS(nNOTA,nNIA,Y823,nCUENTA,1,nASIG,"Orquesta/Banda/Conjunto"),"")))</f>
        <v/>
      </c>
      <c r="AB823" t="str">
        <f>IF(Y823="","",IF(Y823="[FÓRMULA MANUAL]","",IFERROR(AVERAGEIFS(nNOTA,nNIA,Y823,nCUENTA,1,nASIG,"Música de Cámara"),"")))</f>
        <v/>
      </c>
      <c r="AC823" t="str">
        <f>IF(Y823="","",IF(Y823="[FÓRMULA MANUAL]","",IFERROR(SUMPRODUCT((nNIA=Y823)*(nCUENTA=1)*(COUNTIF(CONFIG_ASIGNATURAS!$B$7:$B$27,nASIG)&gt;0)*(nNOTA))/SUMPRODUCT((nNIA=Y823)*(nCUENTA=1)*(COUNTIF(CONFIG_ASIGNATURAS!$B$7:$B$27,nASIG)&gt;0)*1),"")))</f>
        <v/>
      </c>
      <c r="AF823" t="str">
        <f>IF(AE823="","",IF(AE823="[FÓRMULA MANUAL]","",IFERROR(AVERAGEIFS(nNOTA,nNIA,AE823,nCUENTA,1,nASIG,"Análisis"),"")))</f>
        <v/>
      </c>
      <c r="AG823" t="str">
        <f>IF(AE823="","",IF(AE823="[FÓRMULA MANUAL]","",IFERROR(AVERAGEIFS(nNOTA,nNIA,AE823,nCUENTA,1,nASIG,"Orquesta/Banda/Conjunto"),"")))</f>
        <v/>
      </c>
      <c r="AH823" t="str">
        <f>IF(AE823="","",IF(AE823="[FÓRMULA MANUAL]","",IFERROR(AVERAGEIFS(nNOTA,nNIA,AE823,nCUENTA,1,nASIG,"Música de Cámara"),"")))</f>
        <v/>
      </c>
      <c r="AI823" t="str">
        <f>IF(AE823="","",IF(AE823="[FÓRMULA MANUAL]","",IFERROR(SUMPRODUCT((nNIA=AE823)*(nCUENTA=1)*(COUNTIF(CONFIG_ASIGNATURAS!$B$7:$B$27,nASIG)&gt;0)*(nNOTA))/SUMPRODUCT((nNIA=AE823)*(nCUENTA=1)*(COUNTIF(CONFIG_ASIGNATURAS!$B$7:$B$27,nASIG)&gt;0)*1),"")))</f>
        <v/>
      </c>
    </row>
    <row r="824" spans="2:35" x14ac:dyDescent="0.2">
      <c r="B824" t="str">
        <f>IF(A824="","",IF(A824="[FÓRMULA MANUAL]","",IFERROR(AVERAGEIFS(nNOTA,nNIA,A824,nCUENTA,1,nASIG,"Lenguaje Musical"),"")))</f>
        <v/>
      </c>
      <c r="C824" t="str">
        <f>IF(A824="","",IF(A824="[FÓRMULA MANUAL]","",IFERROR(AVERAGEIFS(nNOTA,nNIA,A824,nCUENTA,1,nASIG,"Orquesta/Banda/Conjunto"),"")))</f>
        <v/>
      </c>
      <c r="D824" t="str">
        <f>IF(A824="","",IF(A824="[FÓRMULA MANUAL]","",IFERROR(AVERAGEIFS(nNOTA,nNIA,A824,nCUENTA,1,nASIG,"Conjunto"),"")))</f>
        <v/>
      </c>
      <c r="E824" t="str">
        <f>IF(A824="","",IF(A824="[FÓRMULA MANUAL]","",IFERROR(SUMPRODUCT((nNIA=A824)*(nCUENTA=1)*(COUNTIF(CONFIG_ASIGNATURAS!$B$7:$B$27,nASIG)&gt;0)*(nNOTA))/SUMPRODUCT((nNIA=A824)*(nCUENTA=1)*(COUNTIF(CONFIG_ASIGNATURAS!$B$7:$B$27,nASIG)&gt;0)*1),"")))</f>
        <v/>
      </c>
      <c r="H824" t="str">
        <f>IF(G824="","",IF(G824="[FÓRMULA MANUAL]","",IFERROR(AVERAGEIFS(nNOTA,nNIA,G824,nCUENTA,1,nASIG,"Lenguaje Musical"),"")))</f>
        <v/>
      </c>
      <c r="I824" t="str">
        <f>IF(G824="","",IF(G824="[FÓRMULA MANUAL]","",IFERROR(AVERAGEIFS(nNOTA,nNIA,G824,nCUENTA,1,nASIG,"Orquesta/Banda/Conjunto"),"")))</f>
        <v/>
      </c>
      <c r="J824" t="str">
        <f>IF(G824="","",IF(G824="[FÓRMULA MANUAL]","",IFERROR(AVERAGEIFS(nNOTA,nNIA,G824,nCUENTA,1,nASIG,"Conjunto"),"")))</f>
        <v/>
      </c>
      <c r="K824" t="str">
        <f>IF(G824="","",IF(G824="[FÓRMULA MANUAL]","",IFERROR(SUMPRODUCT((nNIA=G824)*(nCUENTA=1)*(COUNTIF(CONFIG_ASIGNATURAS!$B$7:$B$27,nASIG)&gt;0)*(nNOTA))/SUMPRODUCT((nNIA=G824)*(nCUENTA=1)*(COUNTIF(CONFIG_ASIGNATURAS!$B$7:$B$27,nASIG)&gt;0)*1),"")))</f>
        <v/>
      </c>
      <c r="N824" t="str">
        <f>IF(M824="","",IF(M824="[FÓRMULA MANUAL]","",IFERROR(AVERAGEIFS(nNOTA,nNIA,M824,nCUENTA,1,nASIG,"Armonía"),"")))</f>
        <v/>
      </c>
      <c r="O824" t="str">
        <f>IF(M824="","",IF(M824="[FÓRMULA MANUAL]","",IFERROR(AVERAGEIFS(nNOTA,nNIA,M824,nCUENTA,1,nASIG,"Orquesta/Banda/Conjunto"),"")))</f>
        <v/>
      </c>
      <c r="P824" t="str">
        <f>IF(M824="","",IF(M824="[FÓRMULA MANUAL]","",IFERROR(AVERAGEIFS(nNOTA,nNIA,M824,nCUENTA,1,nASIG,"Música de Cámara"),"")))</f>
        <v/>
      </c>
      <c r="Q824" t="str">
        <f>IF(M824="","",IF(M824="[FÓRMULA MANUAL]","",IFERROR(SUMPRODUCT((nNIA=M824)*(nCUENTA=1)*(COUNTIF(CONFIG_ASIGNATURAS!$B$7:$B$27,nASIG)&gt;0)*(nNOTA))/SUMPRODUCT((nNIA=M824)*(nCUENTA=1)*(COUNTIF(CONFIG_ASIGNATURAS!$B$7:$B$27,nASIG)&gt;0)*1),"")))</f>
        <v/>
      </c>
      <c r="T824" t="str">
        <f>IF(S824="","",IF(S824="[FÓRMULA MANUAL]","",IFERROR(AVERAGEIFS(nNOTA,nNIA,S824,nCUENTA,1,nASIG,"Armonía"),"")))</f>
        <v/>
      </c>
      <c r="U824" t="str">
        <f>IF(S824="","",IF(S824="[FÓRMULA MANUAL]","",IFERROR(AVERAGEIFS(nNOTA,nNIA,S824,nCUENTA,1,nASIG,"Orquesta/Banda/Conjunto"),"")))</f>
        <v/>
      </c>
      <c r="V824" t="str">
        <f>IF(S824="","",IF(S824="[FÓRMULA MANUAL]","",IFERROR(AVERAGEIFS(nNOTA,nNIA,S824,nCUENTA,1,nASIG,"Música de Cámara"),"")))</f>
        <v/>
      </c>
      <c r="W824" t="str">
        <f>IF(S824="","",IF(S824="[FÓRMULA MANUAL]","",IFERROR(SUMPRODUCT((nNIA=S824)*(nCUENTA=1)*(COUNTIF(CONFIG_ASIGNATURAS!$B$7:$B$27,nASIG)&gt;0)*(nNOTA))/SUMPRODUCT((nNIA=S824)*(nCUENTA=1)*(COUNTIF(CONFIG_ASIGNATURAS!$B$7:$B$27,nASIG)&gt;0)*1),"")))</f>
        <v/>
      </c>
      <c r="Z824" t="str">
        <f>IF(Y824="","",IF(Y824="[FÓRMULA MANUAL]","",IFERROR(AVERAGEIFS(nNOTA,nNIA,Y824,nCUENTA,1,nASIG,"Análisis"),"")))</f>
        <v/>
      </c>
      <c r="AA824" t="str">
        <f>IF(Y824="","",IF(Y824="[FÓRMULA MANUAL]","",IFERROR(AVERAGEIFS(nNOTA,nNIA,Y824,nCUENTA,1,nASIG,"Orquesta/Banda/Conjunto"),"")))</f>
        <v/>
      </c>
      <c r="AB824" t="str">
        <f>IF(Y824="","",IF(Y824="[FÓRMULA MANUAL]","",IFERROR(AVERAGEIFS(nNOTA,nNIA,Y824,nCUENTA,1,nASIG,"Música de Cámara"),"")))</f>
        <v/>
      </c>
      <c r="AC824" t="str">
        <f>IF(Y824="","",IF(Y824="[FÓRMULA MANUAL]","",IFERROR(SUMPRODUCT((nNIA=Y824)*(nCUENTA=1)*(COUNTIF(CONFIG_ASIGNATURAS!$B$7:$B$27,nASIG)&gt;0)*(nNOTA))/SUMPRODUCT((nNIA=Y824)*(nCUENTA=1)*(COUNTIF(CONFIG_ASIGNATURAS!$B$7:$B$27,nASIG)&gt;0)*1),"")))</f>
        <v/>
      </c>
      <c r="AF824" t="str">
        <f>IF(AE824="","",IF(AE824="[FÓRMULA MANUAL]","",IFERROR(AVERAGEIFS(nNOTA,nNIA,AE824,nCUENTA,1,nASIG,"Análisis"),"")))</f>
        <v/>
      </c>
      <c r="AG824" t="str">
        <f>IF(AE824="","",IF(AE824="[FÓRMULA MANUAL]","",IFERROR(AVERAGEIFS(nNOTA,nNIA,AE824,nCUENTA,1,nASIG,"Orquesta/Banda/Conjunto"),"")))</f>
        <v/>
      </c>
      <c r="AH824" t="str">
        <f>IF(AE824="","",IF(AE824="[FÓRMULA MANUAL]","",IFERROR(AVERAGEIFS(nNOTA,nNIA,AE824,nCUENTA,1,nASIG,"Música de Cámara"),"")))</f>
        <v/>
      </c>
      <c r="AI824" t="str">
        <f>IF(AE824="","",IF(AE824="[FÓRMULA MANUAL]","",IFERROR(SUMPRODUCT((nNIA=AE824)*(nCUENTA=1)*(COUNTIF(CONFIG_ASIGNATURAS!$B$7:$B$27,nASIG)&gt;0)*(nNOTA))/SUMPRODUCT((nNIA=AE824)*(nCUENTA=1)*(COUNTIF(CONFIG_ASIGNATURAS!$B$7:$B$27,nASIG)&gt;0)*1),"")))</f>
        <v/>
      </c>
    </row>
    <row r="825" spans="2:35" x14ac:dyDescent="0.2">
      <c r="B825" t="str">
        <f>IF(A825="","",IF(A825="[FÓRMULA MANUAL]","",IFERROR(AVERAGEIFS(nNOTA,nNIA,A825,nCUENTA,1,nASIG,"Lenguaje Musical"),"")))</f>
        <v/>
      </c>
      <c r="C825" t="str">
        <f>IF(A825="","",IF(A825="[FÓRMULA MANUAL]","",IFERROR(AVERAGEIFS(nNOTA,nNIA,A825,nCUENTA,1,nASIG,"Orquesta/Banda/Conjunto"),"")))</f>
        <v/>
      </c>
      <c r="D825" t="str">
        <f>IF(A825="","",IF(A825="[FÓRMULA MANUAL]","",IFERROR(AVERAGEIFS(nNOTA,nNIA,A825,nCUENTA,1,nASIG,"Conjunto"),"")))</f>
        <v/>
      </c>
      <c r="E825" t="str">
        <f>IF(A825="","",IF(A825="[FÓRMULA MANUAL]","",IFERROR(SUMPRODUCT((nNIA=A825)*(nCUENTA=1)*(COUNTIF(CONFIG_ASIGNATURAS!$B$7:$B$27,nASIG)&gt;0)*(nNOTA))/SUMPRODUCT((nNIA=A825)*(nCUENTA=1)*(COUNTIF(CONFIG_ASIGNATURAS!$B$7:$B$27,nASIG)&gt;0)*1),"")))</f>
        <v/>
      </c>
      <c r="H825" t="str">
        <f>IF(G825="","",IF(G825="[FÓRMULA MANUAL]","",IFERROR(AVERAGEIFS(nNOTA,nNIA,G825,nCUENTA,1,nASIG,"Lenguaje Musical"),"")))</f>
        <v/>
      </c>
      <c r="I825" t="str">
        <f>IF(G825="","",IF(G825="[FÓRMULA MANUAL]","",IFERROR(AVERAGEIFS(nNOTA,nNIA,G825,nCUENTA,1,nASIG,"Orquesta/Banda/Conjunto"),"")))</f>
        <v/>
      </c>
      <c r="J825" t="str">
        <f>IF(G825="","",IF(G825="[FÓRMULA MANUAL]","",IFERROR(AVERAGEIFS(nNOTA,nNIA,G825,nCUENTA,1,nASIG,"Conjunto"),"")))</f>
        <v/>
      </c>
      <c r="K825" t="str">
        <f>IF(G825="","",IF(G825="[FÓRMULA MANUAL]","",IFERROR(SUMPRODUCT((nNIA=G825)*(nCUENTA=1)*(COUNTIF(CONFIG_ASIGNATURAS!$B$7:$B$27,nASIG)&gt;0)*(nNOTA))/SUMPRODUCT((nNIA=G825)*(nCUENTA=1)*(COUNTIF(CONFIG_ASIGNATURAS!$B$7:$B$27,nASIG)&gt;0)*1),"")))</f>
        <v/>
      </c>
      <c r="N825" t="str">
        <f>IF(M825="","",IF(M825="[FÓRMULA MANUAL]","",IFERROR(AVERAGEIFS(nNOTA,nNIA,M825,nCUENTA,1,nASIG,"Armonía"),"")))</f>
        <v/>
      </c>
      <c r="O825" t="str">
        <f>IF(M825="","",IF(M825="[FÓRMULA MANUAL]","",IFERROR(AVERAGEIFS(nNOTA,nNIA,M825,nCUENTA,1,nASIG,"Orquesta/Banda/Conjunto"),"")))</f>
        <v/>
      </c>
      <c r="P825" t="str">
        <f>IF(M825="","",IF(M825="[FÓRMULA MANUAL]","",IFERROR(AVERAGEIFS(nNOTA,nNIA,M825,nCUENTA,1,nASIG,"Música de Cámara"),"")))</f>
        <v/>
      </c>
      <c r="Q825" t="str">
        <f>IF(M825="","",IF(M825="[FÓRMULA MANUAL]","",IFERROR(SUMPRODUCT((nNIA=M825)*(nCUENTA=1)*(COUNTIF(CONFIG_ASIGNATURAS!$B$7:$B$27,nASIG)&gt;0)*(nNOTA))/SUMPRODUCT((nNIA=M825)*(nCUENTA=1)*(COUNTIF(CONFIG_ASIGNATURAS!$B$7:$B$27,nASIG)&gt;0)*1),"")))</f>
        <v/>
      </c>
      <c r="T825" t="str">
        <f>IF(S825="","",IF(S825="[FÓRMULA MANUAL]","",IFERROR(AVERAGEIFS(nNOTA,nNIA,S825,nCUENTA,1,nASIG,"Armonía"),"")))</f>
        <v/>
      </c>
      <c r="U825" t="str">
        <f>IF(S825="","",IF(S825="[FÓRMULA MANUAL]","",IFERROR(AVERAGEIFS(nNOTA,nNIA,S825,nCUENTA,1,nASIG,"Orquesta/Banda/Conjunto"),"")))</f>
        <v/>
      </c>
      <c r="V825" t="str">
        <f>IF(S825="","",IF(S825="[FÓRMULA MANUAL]","",IFERROR(AVERAGEIFS(nNOTA,nNIA,S825,nCUENTA,1,nASIG,"Música de Cámara"),"")))</f>
        <v/>
      </c>
      <c r="W825" t="str">
        <f>IF(S825="","",IF(S825="[FÓRMULA MANUAL]","",IFERROR(SUMPRODUCT((nNIA=S825)*(nCUENTA=1)*(COUNTIF(CONFIG_ASIGNATURAS!$B$7:$B$27,nASIG)&gt;0)*(nNOTA))/SUMPRODUCT((nNIA=S825)*(nCUENTA=1)*(COUNTIF(CONFIG_ASIGNATURAS!$B$7:$B$27,nASIG)&gt;0)*1),"")))</f>
        <v/>
      </c>
      <c r="Z825" t="str">
        <f>IF(Y825="","",IF(Y825="[FÓRMULA MANUAL]","",IFERROR(AVERAGEIFS(nNOTA,nNIA,Y825,nCUENTA,1,nASIG,"Análisis"),"")))</f>
        <v/>
      </c>
      <c r="AA825" t="str">
        <f>IF(Y825="","",IF(Y825="[FÓRMULA MANUAL]","",IFERROR(AVERAGEIFS(nNOTA,nNIA,Y825,nCUENTA,1,nASIG,"Orquesta/Banda/Conjunto"),"")))</f>
        <v/>
      </c>
      <c r="AB825" t="str">
        <f>IF(Y825="","",IF(Y825="[FÓRMULA MANUAL]","",IFERROR(AVERAGEIFS(nNOTA,nNIA,Y825,nCUENTA,1,nASIG,"Música de Cámara"),"")))</f>
        <v/>
      </c>
      <c r="AC825" t="str">
        <f>IF(Y825="","",IF(Y825="[FÓRMULA MANUAL]","",IFERROR(SUMPRODUCT((nNIA=Y825)*(nCUENTA=1)*(COUNTIF(CONFIG_ASIGNATURAS!$B$7:$B$27,nASIG)&gt;0)*(nNOTA))/SUMPRODUCT((nNIA=Y825)*(nCUENTA=1)*(COUNTIF(CONFIG_ASIGNATURAS!$B$7:$B$27,nASIG)&gt;0)*1),"")))</f>
        <v/>
      </c>
      <c r="AF825" t="str">
        <f>IF(AE825="","",IF(AE825="[FÓRMULA MANUAL]","",IFERROR(AVERAGEIFS(nNOTA,nNIA,AE825,nCUENTA,1,nASIG,"Análisis"),"")))</f>
        <v/>
      </c>
      <c r="AG825" t="str">
        <f>IF(AE825="","",IF(AE825="[FÓRMULA MANUAL]","",IFERROR(AVERAGEIFS(nNOTA,nNIA,AE825,nCUENTA,1,nASIG,"Orquesta/Banda/Conjunto"),"")))</f>
        <v/>
      </c>
      <c r="AH825" t="str">
        <f>IF(AE825="","",IF(AE825="[FÓRMULA MANUAL]","",IFERROR(AVERAGEIFS(nNOTA,nNIA,AE825,nCUENTA,1,nASIG,"Música de Cámara"),"")))</f>
        <v/>
      </c>
      <c r="AI825" t="str">
        <f>IF(AE825="","",IF(AE825="[FÓRMULA MANUAL]","",IFERROR(SUMPRODUCT((nNIA=AE825)*(nCUENTA=1)*(COUNTIF(CONFIG_ASIGNATURAS!$B$7:$B$27,nASIG)&gt;0)*(nNOTA))/SUMPRODUCT((nNIA=AE825)*(nCUENTA=1)*(COUNTIF(CONFIG_ASIGNATURAS!$B$7:$B$27,nASIG)&gt;0)*1),"")))</f>
        <v/>
      </c>
    </row>
    <row r="826" spans="2:35" x14ac:dyDescent="0.2">
      <c r="B826" t="str">
        <f>IF(A826="","",IF(A826="[FÓRMULA MANUAL]","",IFERROR(AVERAGEIFS(nNOTA,nNIA,A826,nCUENTA,1,nASIG,"Lenguaje Musical"),"")))</f>
        <v/>
      </c>
      <c r="C826" t="str">
        <f>IF(A826="","",IF(A826="[FÓRMULA MANUAL]","",IFERROR(AVERAGEIFS(nNOTA,nNIA,A826,nCUENTA,1,nASIG,"Orquesta/Banda/Conjunto"),"")))</f>
        <v/>
      </c>
      <c r="D826" t="str">
        <f>IF(A826="","",IF(A826="[FÓRMULA MANUAL]","",IFERROR(AVERAGEIFS(nNOTA,nNIA,A826,nCUENTA,1,nASIG,"Conjunto"),"")))</f>
        <v/>
      </c>
      <c r="E826" t="str">
        <f>IF(A826="","",IF(A826="[FÓRMULA MANUAL]","",IFERROR(SUMPRODUCT((nNIA=A826)*(nCUENTA=1)*(COUNTIF(CONFIG_ASIGNATURAS!$B$7:$B$27,nASIG)&gt;0)*(nNOTA))/SUMPRODUCT((nNIA=A826)*(nCUENTA=1)*(COUNTIF(CONFIG_ASIGNATURAS!$B$7:$B$27,nASIG)&gt;0)*1),"")))</f>
        <v/>
      </c>
      <c r="H826" t="str">
        <f>IF(G826="","",IF(G826="[FÓRMULA MANUAL]","",IFERROR(AVERAGEIFS(nNOTA,nNIA,G826,nCUENTA,1,nASIG,"Lenguaje Musical"),"")))</f>
        <v/>
      </c>
      <c r="I826" t="str">
        <f>IF(G826="","",IF(G826="[FÓRMULA MANUAL]","",IFERROR(AVERAGEIFS(nNOTA,nNIA,G826,nCUENTA,1,nASIG,"Orquesta/Banda/Conjunto"),"")))</f>
        <v/>
      </c>
      <c r="J826" t="str">
        <f>IF(G826="","",IF(G826="[FÓRMULA MANUAL]","",IFERROR(AVERAGEIFS(nNOTA,nNIA,G826,nCUENTA,1,nASIG,"Conjunto"),"")))</f>
        <v/>
      </c>
      <c r="K826" t="str">
        <f>IF(G826="","",IF(G826="[FÓRMULA MANUAL]","",IFERROR(SUMPRODUCT((nNIA=G826)*(nCUENTA=1)*(COUNTIF(CONFIG_ASIGNATURAS!$B$7:$B$27,nASIG)&gt;0)*(nNOTA))/SUMPRODUCT((nNIA=G826)*(nCUENTA=1)*(COUNTIF(CONFIG_ASIGNATURAS!$B$7:$B$27,nASIG)&gt;0)*1),"")))</f>
        <v/>
      </c>
      <c r="N826" t="str">
        <f>IF(M826="","",IF(M826="[FÓRMULA MANUAL]","",IFERROR(AVERAGEIFS(nNOTA,nNIA,M826,nCUENTA,1,nASIG,"Armonía"),"")))</f>
        <v/>
      </c>
      <c r="O826" t="str">
        <f>IF(M826="","",IF(M826="[FÓRMULA MANUAL]","",IFERROR(AVERAGEIFS(nNOTA,nNIA,M826,nCUENTA,1,nASIG,"Orquesta/Banda/Conjunto"),"")))</f>
        <v/>
      </c>
      <c r="P826" t="str">
        <f>IF(M826="","",IF(M826="[FÓRMULA MANUAL]","",IFERROR(AVERAGEIFS(nNOTA,nNIA,M826,nCUENTA,1,nASIG,"Música de Cámara"),"")))</f>
        <v/>
      </c>
      <c r="Q826" t="str">
        <f>IF(M826="","",IF(M826="[FÓRMULA MANUAL]","",IFERROR(SUMPRODUCT((nNIA=M826)*(nCUENTA=1)*(COUNTIF(CONFIG_ASIGNATURAS!$B$7:$B$27,nASIG)&gt;0)*(nNOTA))/SUMPRODUCT((nNIA=M826)*(nCUENTA=1)*(COUNTIF(CONFIG_ASIGNATURAS!$B$7:$B$27,nASIG)&gt;0)*1),"")))</f>
        <v/>
      </c>
      <c r="T826" t="str">
        <f>IF(S826="","",IF(S826="[FÓRMULA MANUAL]","",IFERROR(AVERAGEIFS(nNOTA,nNIA,S826,nCUENTA,1,nASIG,"Armonía"),"")))</f>
        <v/>
      </c>
      <c r="U826" t="str">
        <f>IF(S826="","",IF(S826="[FÓRMULA MANUAL]","",IFERROR(AVERAGEIFS(nNOTA,nNIA,S826,nCUENTA,1,nASIG,"Orquesta/Banda/Conjunto"),"")))</f>
        <v/>
      </c>
      <c r="V826" t="str">
        <f>IF(S826="","",IF(S826="[FÓRMULA MANUAL]","",IFERROR(AVERAGEIFS(nNOTA,nNIA,S826,nCUENTA,1,nASIG,"Música de Cámara"),"")))</f>
        <v/>
      </c>
      <c r="W826" t="str">
        <f>IF(S826="","",IF(S826="[FÓRMULA MANUAL]","",IFERROR(SUMPRODUCT((nNIA=S826)*(nCUENTA=1)*(COUNTIF(CONFIG_ASIGNATURAS!$B$7:$B$27,nASIG)&gt;0)*(nNOTA))/SUMPRODUCT((nNIA=S826)*(nCUENTA=1)*(COUNTIF(CONFIG_ASIGNATURAS!$B$7:$B$27,nASIG)&gt;0)*1),"")))</f>
        <v/>
      </c>
      <c r="Z826" t="str">
        <f>IF(Y826="","",IF(Y826="[FÓRMULA MANUAL]","",IFERROR(AVERAGEIFS(nNOTA,nNIA,Y826,nCUENTA,1,nASIG,"Análisis"),"")))</f>
        <v/>
      </c>
      <c r="AA826" t="str">
        <f>IF(Y826="","",IF(Y826="[FÓRMULA MANUAL]","",IFERROR(AVERAGEIFS(nNOTA,nNIA,Y826,nCUENTA,1,nASIG,"Orquesta/Banda/Conjunto"),"")))</f>
        <v/>
      </c>
      <c r="AB826" t="str">
        <f>IF(Y826="","",IF(Y826="[FÓRMULA MANUAL]","",IFERROR(AVERAGEIFS(nNOTA,nNIA,Y826,nCUENTA,1,nASIG,"Música de Cámara"),"")))</f>
        <v/>
      </c>
      <c r="AC826" t="str">
        <f>IF(Y826="","",IF(Y826="[FÓRMULA MANUAL]","",IFERROR(SUMPRODUCT((nNIA=Y826)*(nCUENTA=1)*(COUNTIF(CONFIG_ASIGNATURAS!$B$7:$B$27,nASIG)&gt;0)*(nNOTA))/SUMPRODUCT((nNIA=Y826)*(nCUENTA=1)*(COUNTIF(CONFIG_ASIGNATURAS!$B$7:$B$27,nASIG)&gt;0)*1),"")))</f>
        <v/>
      </c>
      <c r="AF826" t="str">
        <f>IF(AE826="","",IF(AE826="[FÓRMULA MANUAL]","",IFERROR(AVERAGEIFS(nNOTA,nNIA,AE826,nCUENTA,1,nASIG,"Análisis"),"")))</f>
        <v/>
      </c>
      <c r="AG826" t="str">
        <f>IF(AE826="","",IF(AE826="[FÓRMULA MANUAL]","",IFERROR(AVERAGEIFS(nNOTA,nNIA,AE826,nCUENTA,1,nASIG,"Orquesta/Banda/Conjunto"),"")))</f>
        <v/>
      </c>
      <c r="AH826" t="str">
        <f>IF(AE826="","",IF(AE826="[FÓRMULA MANUAL]","",IFERROR(AVERAGEIFS(nNOTA,nNIA,AE826,nCUENTA,1,nASIG,"Música de Cámara"),"")))</f>
        <v/>
      </c>
      <c r="AI826" t="str">
        <f>IF(AE826="","",IF(AE826="[FÓRMULA MANUAL]","",IFERROR(SUMPRODUCT((nNIA=AE826)*(nCUENTA=1)*(COUNTIF(CONFIG_ASIGNATURAS!$B$7:$B$27,nASIG)&gt;0)*(nNOTA))/SUMPRODUCT((nNIA=AE826)*(nCUENTA=1)*(COUNTIF(CONFIG_ASIGNATURAS!$B$7:$B$27,nASIG)&gt;0)*1),"")))</f>
        <v/>
      </c>
    </row>
    <row r="827" spans="2:35" x14ac:dyDescent="0.2">
      <c r="B827" t="str">
        <f>IF(A827="","",IF(A827="[FÓRMULA MANUAL]","",IFERROR(AVERAGEIFS(nNOTA,nNIA,A827,nCUENTA,1,nASIG,"Lenguaje Musical"),"")))</f>
        <v/>
      </c>
      <c r="C827" t="str">
        <f>IF(A827="","",IF(A827="[FÓRMULA MANUAL]","",IFERROR(AVERAGEIFS(nNOTA,nNIA,A827,nCUENTA,1,nASIG,"Orquesta/Banda/Conjunto"),"")))</f>
        <v/>
      </c>
      <c r="D827" t="str">
        <f>IF(A827="","",IF(A827="[FÓRMULA MANUAL]","",IFERROR(AVERAGEIFS(nNOTA,nNIA,A827,nCUENTA,1,nASIG,"Conjunto"),"")))</f>
        <v/>
      </c>
      <c r="E827" t="str">
        <f>IF(A827="","",IF(A827="[FÓRMULA MANUAL]","",IFERROR(SUMPRODUCT((nNIA=A827)*(nCUENTA=1)*(COUNTIF(CONFIG_ASIGNATURAS!$B$7:$B$27,nASIG)&gt;0)*(nNOTA))/SUMPRODUCT((nNIA=A827)*(nCUENTA=1)*(COUNTIF(CONFIG_ASIGNATURAS!$B$7:$B$27,nASIG)&gt;0)*1),"")))</f>
        <v/>
      </c>
      <c r="H827" t="str">
        <f>IF(G827="","",IF(G827="[FÓRMULA MANUAL]","",IFERROR(AVERAGEIFS(nNOTA,nNIA,G827,nCUENTA,1,nASIG,"Lenguaje Musical"),"")))</f>
        <v/>
      </c>
      <c r="I827" t="str">
        <f>IF(G827="","",IF(G827="[FÓRMULA MANUAL]","",IFERROR(AVERAGEIFS(nNOTA,nNIA,G827,nCUENTA,1,nASIG,"Orquesta/Banda/Conjunto"),"")))</f>
        <v/>
      </c>
      <c r="J827" t="str">
        <f>IF(G827="","",IF(G827="[FÓRMULA MANUAL]","",IFERROR(AVERAGEIFS(nNOTA,nNIA,G827,nCUENTA,1,nASIG,"Conjunto"),"")))</f>
        <v/>
      </c>
      <c r="K827" t="str">
        <f>IF(G827="","",IF(G827="[FÓRMULA MANUAL]","",IFERROR(SUMPRODUCT((nNIA=G827)*(nCUENTA=1)*(COUNTIF(CONFIG_ASIGNATURAS!$B$7:$B$27,nASIG)&gt;0)*(nNOTA))/SUMPRODUCT((nNIA=G827)*(nCUENTA=1)*(COUNTIF(CONFIG_ASIGNATURAS!$B$7:$B$27,nASIG)&gt;0)*1),"")))</f>
        <v/>
      </c>
      <c r="N827" t="str">
        <f>IF(M827="","",IF(M827="[FÓRMULA MANUAL]","",IFERROR(AVERAGEIFS(nNOTA,nNIA,M827,nCUENTA,1,nASIG,"Armonía"),"")))</f>
        <v/>
      </c>
      <c r="O827" t="str">
        <f>IF(M827="","",IF(M827="[FÓRMULA MANUAL]","",IFERROR(AVERAGEIFS(nNOTA,nNIA,M827,nCUENTA,1,nASIG,"Orquesta/Banda/Conjunto"),"")))</f>
        <v/>
      </c>
      <c r="P827" t="str">
        <f>IF(M827="","",IF(M827="[FÓRMULA MANUAL]","",IFERROR(AVERAGEIFS(nNOTA,nNIA,M827,nCUENTA,1,nASIG,"Música de Cámara"),"")))</f>
        <v/>
      </c>
      <c r="Q827" t="str">
        <f>IF(M827="","",IF(M827="[FÓRMULA MANUAL]","",IFERROR(SUMPRODUCT((nNIA=M827)*(nCUENTA=1)*(COUNTIF(CONFIG_ASIGNATURAS!$B$7:$B$27,nASIG)&gt;0)*(nNOTA))/SUMPRODUCT((nNIA=M827)*(nCUENTA=1)*(COUNTIF(CONFIG_ASIGNATURAS!$B$7:$B$27,nASIG)&gt;0)*1),"")))</f>
        <v/>
      </c>
      <c r="T827" t="str">
        <f>IF(S827="","",IF(S827="[FÓRMULA MANUAL]","",IFERROR(AVERAGEIFS(nNOTA,nNIA,S827,nCUENTA,1,nASIG,"Armonía"),"")))</f>
        <v/>
      </c>
      <c r="U827" t="str">
        <f>IF(S827="","",IF(S827="[FÓRMULA MANUAL]","",IFERROR(AVERAGEIFS(nNOTA,nNIA,S827,nCUENTA,1,nASIG,"Orquesta/Banda/Conjunto"),"")))</f>
        <v/>
      </c>
      <c r="V827" t="str">
        <f>IF(S827="","",IF(S827="[FÓRMULA MANUAL]","",IFERROR(AVERAGEIFS(nNOTA,nNIA,S827,nCUENTA,1,nASIG,"Música de Cámara"),"")))</f>
        <v/>
      </c>
      <c r="W827" t="str">
        <f>IF(S827="","",IF(S827="[FÓRMULA MANUAL]","",IFERROR(SUMPRODUCT((nNIA=S827)*(nCUENTA=1)*(COUNTIF(CONFIG_ASIGNATURAS!$B$7:$B$27,nASIG)&gt;0)*(nNOTA))/SUMPRODUCT((nNIA=S827)*(nCUENTA=1)*(COUNTIF(CONFIG_ASIGNATURAS!$B$7:$B$27,nASIG)&gt;0)*1),"")))</f>
        <v/>
      </c>
      <c r="Z827" t="str">
        <f>IF(Y827="","",IF(Y827="[FÓRMULA MANUAL]","",IFERROR(AVERAGEIFS(nNOTA,nNIA,Y827,nCUENTA,1,nASIG,"Análisis"),"")))</f>
        <v/>
      </c>
      <c r="AA827" t="str">
        <f>IF(Y827="","",IF(Y827="[FÓRMULA MANUAL]","",IFERROR(AVERAGEIFS(nNOTA,nNIA,Y827,nCUENTA,1,nASIG,"Orquesta/Banda/Conjunto"),"")))</f>
        <v/>
      </c>
      <c r="AB827" t="str">
        <f>IF(Y827="","",IF(Y827="[FÓRMULA MANUAL]","",IFERROR(AVERAGEIFS(nNOTA,nNIA,Y827,nCUENTA,1,nASIG,"Música de Cámara"),"")))</f>
        <v/>
      </c>
      <c r="AC827" t="str">
        <f>IF(Y827="","",IF(Y827="[FÓRMULA MANUAL]","",IFERROR(SUMPRODUCT((nNIA=Y827)*(nCUENTA=1)*(COUNTIF(CONFIG_ASIGNATURAS!$B$7:$B$27,nASIG)&gt;0)*(nNOTA))/SUMPRODUCT((nNIA=Y827)*(nCUENTA=1)*(COUNTIF(CONFIG_ASIGNATURAS!$B$7:$B$27,nASIG)&gt;0)*1),"")))</f>
        <v/>
      </c>
      <c r="AF827" t="str">
        <f>IF(AE827="","",IF(AE827="[FÓRMULA MANUAL]","",IFERROR(AVERAGEIFS(nNOTA,nNIA,AE827,nCUENTA,1,nASIG,"Análisis"),"")))</f>
        <v/>
      </c>
      <c r="AG827" t="str">
        <f>IF(AE827="","",IF(AE827="[FÓRMULA MANUAL]","",IFERROR(AVERAGEIFS(nNOTA,nNIA,AE827,nCUENTA,1,nASIG,"Orquesta/Banda/Conjunto"),"")))</f>
        <v/>
      </c>
      <c r="AH827" t="str">
        <f>IF(AE827="","",IF(AE827="[FÓRMULA MANUAL]","",IFERROR(AVERAGEIFS(nNOTA,nNIA,AE827,nCUENTA,1,nASIG,"Música de Cámara"),"")))</f>
        <v/>
      </c>
      <c r="AI827" t="str">
        <f>IF(AE827="","",IF(AE827="[FÓRMULA MANUAL]","",IFERROR(SUMPRODUCT((nNIA=AE827)*(nCUENTA=1)*(COUNTIF(CONFIG_ASIGNATURAS!$B$7:$B$27,nASIG)&gt;0)*(nNOTA))/SUMPRODUCT((nNIA=AE827)*(nCUENTA=1)*(COUNTIF(CONFIG_ASIGNATURAS!$B$7:$B$27,nASIG)&gt;0)*1),"")))</f>
        <v/>
      </c>
    </row>
    <row r="828" spans="2:35" x14ac:dyDescent="0.2">
      <c r="B828" t="str">
        <f>IF(A828="","",IF(A828="[FÓRMULA MANUAL]","",IFERROR(AVERAGEIFS(nNOTA,nNIA,A828,nCUENTA,1,nASIG,"Lenguaje Musical"),"")))</f>
        <v/>
      </c>
      <c r="C828" t="str">
        <f>IF(A828="","",IF(A828="[FÓRMULA MANUAL]","",IFERROR(AVERAGEIFS(nNOTA,nNIA,A828,nCUENTA,1,nASIG,"Orquesta/Banda/Conjunto"),"")))</f>
        <v/>
      </c>
      <c r="D828" t="str">
        <f>IF(A828="","",IF(A828="[FÓRMULA MANUAL]","",IFERROR(AVERAGEIFS(nNOTA,nNIA,A828,nCUENTA,1,nASIG,"Conjunto"),"")))</f>
        <v/>
      </c>
      <c r="E828" t="str">
        <f>IF(A828="","",IF(A828="[FÓRMULA MANUAL]","",IFERROR(SUMPRODUCT((nNIA=A828)*(nCUENTA=1)*(COUNTIF(CONFIG_ASIGNATURAS!$B$7:$B$27,nASIG)&gt;0)*(nNOTA))/SUMPRODUCT((nNIA=A828)*(nCUENTA=1)*(COUNTIF(CONFIG_ASIGNATURAS!$B$7:$B$27,nASIG)&gt;0)*1),"")))</f>
        <v/>
      </c>
      <c r="H828" t="str">
        <f>IF(G828="","",IF(G828="[FÓRMULA MANUAL]","",IFERROR(AVERAGEIFS(nNOTA,nNIA,G828,nCUENTA,1,nASIG,"Lenguaje Musical"),"")))</f>
        <v/>
      </c>
      <c r="I828" t="str">
        <f>IF(G828="","",IF(G828="[FÓRMULA MANUAL]","",IFERROR(AVERAGEIFS(nNOTA,nNIA,G828,nCUENTA,1,nASIG,"Orquesta/Banda/Conjunto"),"")))</f>
        <v/>
      </c>
      <c r="J828" t="str">
        <f>IF(G828="","",IF(G828="[FÓRMULA MANUAL]","",IFERROR(AVERAGEIFS(nNOTA,nNIA,G828,nCUENTA,1,nASIG,"Conjunto"),"")))</f>
        <v/>
      </c>
      <c r="K828" t="str">
        <f>IF(G828="","",IF(G828="[FÓRMULA MANUAL]","",IFERROR(SUMPRODUCT((nNIA=G828)*(nCUENTA=1)*(COUNTIF(CONFIG_ASIGNATURAS!$B$7:$B$27,nASIG)&gt;0)*(nNOTA))/SUMPRODUCT((nNIA=G828)*(nCUENTA=1)*(COUNTIF(CONFIG_ASIGNATURAS!$B$7:$B$27,nASIG)&gt;0)*1),"")))</f>
        <v/>
      </c>
      <c r="N828" t="str">
        <f>IF(M828="","",IF(M828="[FÓRMULA MANUAL]","",IFERROR(AVERAGEIFS(nNOTA,nNIA,M828,nCUENTA,1,nASIG,"Armonía"),"")))</f>
        <v/>
      </c>
      <c r="O828" t="str">
        <f>IF(M828="","",IF(M828="[FÓRMULA MANUAL]","",IFERROR(AVERAGEIFS(nNOTA,nNIA,M828,nCUENTA,1,nASIG,"Orquesta/Banda/Conjunto"),"")))</f>
        <v/>
      </c>
      <c r="P828" t="str">
        <f>IF(M828="","",IF(M828="[FÓRMULA MANUAL]","",IFERROR(AVERAGEIFS(nNOTA,nNIA,M828,nCUENTA,1,nASIG,"Música de Cámara"),"")))</f>
        <v/>
      </c>
      <c r="Q828" t="str">
        <f>IF(M828="","",IF(M828="[FÓRMULA MANUAL]","",IFERROR(SUMPRODUCT((nNIA=M828)*(nCUENTA=1)*(COUNTIF(CONFIG_ASIGNATURAS!$B$7:$B$27,nASIG)&gt;0)*(nNOTA))/SUMPRODUCT((nNIA=M828)*(nCUENTA=1)*(COUNTIF(CONFIG_ASIGNATURAS!$B$7:$B$27,nASIG)&gt;0)*1),"")))</f>
        <v/>
      </c>
      <c r="T828" t="str">
        <f>IF(S828="","",IF(S828="[FÓRMULA MANUAL]","",IFERROR(AVERAGEIFS(nNOTA,nNIA,S828,nCUENTA,1,nASIG,"Armonía"),"")))</f>
        <v/>
      </c>
      <c r="U828" t="str">
        <f>IF(S828="","",IF(S828="[FÓRMULA MANUAL]","",IFERROR(AVERAGEIFS(nNOTA,nNIA,S828,nCUENTA,1,nASIG,"Orquesta/Banda/Conjunto"),"")))</f>
        <v/>
      </c>
      <c r="V828" t="str">
        <f>IF(S828="","",IF(S828="[FÓRMULA MANUAL]","",IFERROR(AVERAGEIFS(nNOTA,nNIA,S828,nCUENTA,1,nASIG,"Música de Cámara"),"")))</f>
        <v/>
      </c>
      <c r="W828" t="str">
        <f>IF(S828="","",IF(S828="[FÓRMULA MANUAL]","",IFERROR(SUMPRODUCT((nNIA=S828)*(nCUENTA=1)*(COUNTIF(CONFIG_ASIGNATURAS!$B$7:$B$27,nASIG)&gt;0)*(nNOTA))/SUMPRODUCT((nNIA=S828)*(nCUENTA=1)*(COUNTIF(CONFIG_ASIGNATURAS!$B$7:$B$27,nASIG)&gt;0)*1),"")))</f>
        <v/>
      </c>
      <c r="Z828" t="str">
        <f>IF(Y828="","",IF(Y828="[FÓRMULA MANUAL]","",IFERROR(AVERAGEIFS(nNOTA,nNIA,Y828,nCUENTA,1,nASIG,"Análisis"),"")))</f>
        <v/>
      </c>
      <c r="AA828" t="str">
        <f>IF(Y828="","",IF(Y828="[FÓRMULA MANUAL]","",IFERROR(AVERAGEIFS(nNOTA,nNIA,Y828,nCUENTA,1,nASIG,"Orquesta/Banda/Conjunto"),"")))</f>
        <v/>
      </c>
      <c r="AB828" t="str">
        <f>IF(Y828="","",IF(Y828="[FÓRMULA MANUAL]","",IFERROR(AVERAGEIFS(nNOTA,nNIA,Y828,nCUENTA,1,nASIG,"Música de Cámara"),"")))</f>
        <v/>
      </c>
      <c r="AC828" t="str">
        <f>IF(Y828="","",IF(Y828="[FÓRMULA MANUAL]","",IFERROR(SUMPRODUCT((nNIA=Y828)*(nCUENTA=1)*(COUNTIF(CONFIG_ASIGNATURAS!$B$7:$B$27,nASIG)&gt;0)*(nNOTA))/SUMPRODUCT((nNIA=Y828)*(nCUENTA=1)*(COUNTIF(CONFIG_ASIGNATURAS!$B$7:$B$27,nASIG)&gt;0)*1),"")))</f>
        <v/>
      </c>
      <c r="AF828" t="str">
        <f>IF(AE828="","",IF(AE828="[FÓRMULA MANUAL]","",IFERROR(AVERAGEIFS(nNOTA,nNIA,AE828,nCUENTA,1,nASIG,"Análisis"),"")))</f>
        <v/>
      </c>
      <c r="AG828" t="str">
        <f>IF(AE828="","",IF(AE828="[FÓRMULA MANUAL]","",IFERROR(AVERAGEIFS(nNOTA,nNIA,AE828,nCUENTA,1,nASIG,"Orquesta/Banda/Conjunto"),"")))</f>
        <v/>
      </c>
      <c r="AH828" t="str">
        <f>IF(AE828="","",IF(AE828="[FÓRMULA MANUAL]","",IFERROR(AVERAGEIFS(nNOTA,nNIA,AE828,nCUENTA,1,nASIG,"Música de Cámara"),"")))</f>
        <v/>
      </c>
      <c r="AI828" t="str">
        <f>IF(AE828="","",IF(AE828="[FÓRMULA MANUAL]","",IFERROR(SUMPRODUCT((nNIA=AE828)*(nCUENTA=1)*(COUNTIF(CONFIG_ASIGNATURAS!$B$7:$B$27,nASIG)&gt;0)*(nNOTA))/SUMPRODUCT((nNIA=AE828)*(nCUENTA=1)*(COUNTIF(CONFIG_ASIGNATURAS!$B$7:$B$27,nASIG)&gt;0)*1),"")))</f>
        <v/>
      </c>
    </row>
    <row r="829" spans="2:35" x14ac:dyDescent="0.2">
      <c r="B829" t="str">
        <f>IF(A829="","",IF(A829="[FÓRMULA MANUAL]","",IFERROR(AVERAGEIFS(nNOTA,nNIA,A829,nCUENTA,1,nASIG,"Lenguaje Musical"),"")))</f>
        <v/>
      </c>
      <c r="C829" t="str">
        <f>IF(A829="","",IF(A829="[FÓRMULA MANUAL]","",IFERROR(AVERAGEIFS(nNOTA,nNIA,A829,nCUENTA,1,nASIG,"Orquesta/Banda/Conjunto"),"")))</f>
        <v/>
      </c>
      <c r="D829" t="str">
        <f>IF(A829="","",IF(A829="[FÓRMULA MANUAL]","",IFERROR(AVERAGEIFS(nNOTA,nNIA,A829,nCUENTA,1,nASIG,"Conjunto"),"")))</f>
        <v/>
      </c>
      <c r="E829" t="str">
        <f>IF(A829="","",IF(A829="[FÓRMULA MANUAL]","",IFERROR(SUMPRODUCT((nNIA=A829)*(nCUENTA=1)*(COUNTIF(CONFIG_ASIGNATURAS!$B$7:$B$27,nASIG)&gt;0)*(nNOTA))/SUMPRODUCT((nNIA=A829)*(nCUENTA=1)*(COUNTIF(CONFIG_ASIGNATURAS!$B$7:$B$27,nASIG)&gt;0)*1),"")))</f>
        <v/>
      </c>
      <c r="H829" t="str">
        <f>IF(G829="","",IF(G829="[FÓRMULA MANUAL]","",IFERROR(AVERAGEIFS(nNOTA,nNIA,G829,nCUENTA,1,nASIG,"Lenguaje Musical"),"")))</f>
        <v/>
      </c>
      <c r="I829" t="str">
        <f>IF(G829="","",IF(G829="[FÓRMULA MANUAL]","",IFERROR(AVERAGEIFS(nNOTA,nNIA,G829,nCUENTA,1,nASIG,"Orquesta/Banda/Conjunto"),"")))</f>
        <v/>
      </c>
      <c r="J829" t="str">
        <f>IF(G829="","",IF(G829="[FÓRMULA MANUAL]","",IFERROR(AVERAGEIFS(nNOTA,nNIA,G829,nCUENTA,1,nASIG,"Conjunto"),"")))</f>
        <v/>
      </c>
      <c r="K829" t="str">
        <f>IF(G829="","",IF(G829="[FÓRMULA MANUAL]","",IFERROR(SUMPRODUCT((nNIA=G829)*(nCUENTA=1)*(COUNTIF(CONFIG_ASIGNATURAS!$B$7:$B$27,nASIG)&gt;0)*(nNOTA))/SUMPRODUCT((nNIA=G829)*(nCUENTA=1)*(COUNTIF(CONFIG_ASIGNATURAS!$B$7:$B$27,nASIG)&gt;0)*1),"")))</f>
        <v/>
      </c>
      <c r="N829" t="str">
        <f>IF(M829="","",IF(M829="[FÓRMULA MANUAL]","",IFERROR(AVERAGEIFS(nNOTA,nNIA,M829,nCUENTA,1,nASIG,"Armonía"),"")))</f>
        <v/>
      </c>
      <c r="O829" t="str">
        <f>IF(M829="","",IF(M829="[FÓRMULA MANUAL]","",IFERROR(AVERAGEIFS(nNOTA,nNIA,M829,nCUENTA,1,nASIG,"Orquesta/Banda/Conjunto"),"")))</f>
        <v/>
      </c>
      <c r="P829" t="str">
        <f>IF(M829="","",IF(M829="[FÓRMULA MANUAL]","",IFERROR(AVERAGEIFS(nNOTA,nNIA,M829,nCUENTA,1,nASIG,"Música de Cámara"),"")))</f>
        <v/>
      </c>
      <c r="Q829" t="str">
        <f>IF(M829="","",IF(M829="[FÓRMULA MANUAL]","",IFERROR(SUMPRODUCT((nNIA=M829)*(nCUENTA=1)*(COUNTIF(CONFIG_ASIGNATURAS!$B$7:$B$27,nASIG)&gt;0)*(nNOTA))/SUMPRODUCT((nNIA=M829)*(nCUENTA=1)*(COUNTIF(CONFIG_ASIGNATURAS!$B$7:$B$27,nASIG)&gt;0)*1),"")))</f>
        <v/>
      </c>
      <c r="T829" t="str">
        <f>IF(S829="","",IF(S829="[FÓRMULA MANUAL]","",IFERROR(AVERAGEIFS(nNOTA,nNIA,S829,nCUENTA,1,nASIG,"Armonía"),"")))</f>
        <v/>
      </c>
      <c r="U829" t="str">
        <f>IF(S829="","",IF(S829="[FÓRMULA MANUAL]","",IFERROR(AVERAGEIFS(nNOTA,nNIA,S829,nCUENTA,1,nASIG,"Orquesta/Banda/Conjunto"),"")))</f>
        <v/>
      </c>
      <c r="V829" t="str">
        <f>IF(S829="","",IF(S829="[FÓRMULA MANUAL]","",IFERROR(AVERAGEIFS(nNOTA,nNIA,S829,nCUENTA,1,nASIG,"Música de Cámara"),"")))</f>
        <v/>
      </c>
      <c r="W829" t="str">
        <f>IF(S829="","",IF(S829="[FÓRMULA MANUAL]","",IFERROR(SUMPRODUCT((nNIA=S829)*(nCUENTA=1)*(COUNTIF(CONFIG_ASIGNATURAS!$B$7:$B$27,nASIG)&gt;0)*(nNOTA))/SUMPRODUCT((nNIA=S829)*(nCUENTA=1)*(COUNTIF(CONFIG_ASIGNATURAS!$B$7:$B$27,nASIG)&gt;0)*1),"")))</f>
        <v/>
      </c>
      <c r="Z829" t="str">
        <f>IF(Y829="","",IF(Y829="[FÓRMULA MANUAL]","",IFERROR(AVERAGEIFS(nNOTA,nNIA,Y829,nCUENTA,1,nASIG,"Análisis"),"")))</f>
        <v/>
      </c>
      <c r="AA829" t="str">
        <f>IF(Y829="","",IF(Y829="[FÓRMULA MANUAL]","",IFERROR(AVERAGEIFS(nNOTA,nNIA,Y829,nCUENTA,1,nASIG,"Orquesta/Banda/Conjunto"),"")))</f>
        <v/>
      </c>
      <c r="AB829" t="str">
        <f>IF(Y829="","",IF(Y829="[FÓRMULA MANUAL]","",IFERROR(AVERAGEIFS(nNOTA,nNIA,Y829,nCUENTA,1,nASIG,"Música de Cámara"),"")))</f>
        <v/>
      </c>
      <c r="AC829" t="str">
        <f>IF(Y829="","",IF(Y829="[FÓRMULA MANUAL]","",IFERROR(SUMPRODUCT((nNIA=Y829)*(nCUENTA=1)*(COUNTIF(CONFIG_ASIGNATURAS!$B$7:$B$27,nASIG)&gt;0)*(nNOTA))/SUMPRODUCT((nNIA=Y829)*(nCUENTA=1)*(COUNTIF(CONFIG_ASIGNATURAS!$B$7:$B$27,nASIG)&gt;0)*1),"")))</f>
        <v/>
      </c>
      <c r="AF829" t="str">
        <f>IF(AE829="","",IF(AE829="[FÓRMULA MANUAL]","",IFERROR(AVERAGEIFS(nNOTA,nNIA,AE829,nCUENTA,1,nASIG,"Análisis"),"")))</f>
        <v/>
      </c>
      <c r="AG829" t="str">
        <f>IF(AE829="","",IF(AE829="[FÓRMULA MANUAL]","",IFERROR(AVERAGEIFS(nNOTA,nNIA,AE829,nCUENTA,1,nASIG,"Orquesta/Banda/Conjunto"),"")))</f>
        <v/>
      </c>
      <c r="AH829" t="str">
        <f>IF(AE829="","",IF(AE829="[FÓRMULA MANUAL]","",IFERROR(AVERAGEIFS(nNOTA,nNIA,AE829,nCUENTA,1,nASIG,"Música de Cámara"),"")))</f>
        <v/>
      </c>
      <c r="AI829" t="str">
        <f>IF(AE829="","",IF(AE829="[FÓRMULA MANUAL]","",IFERROR(SUMPRODUCT((nNIA=AE829)*(nCUENTA=1)*(COUNTIF(CONFIG_ASIGNATURAS!$B$7:$B$27,nASIG)&gt;0)*(nNOTA))/SUMPRODUCT((nNIA=AE829)*(nCUENTA=1)*(COUNTIF(CONFIG_ASIGNATURAS!$B$7:$B$27,nASIG)&gt;0)*1),"")))</f>
        <v/>
      </c>
    </row>
    <row r="830" spans="2:35" x14ac:dyDescent="0.2">
      <c r="B830" t="str">
        <f>IF(A830="","",IF(A830="[FÓRMULA MANUAL]","",IFERROR(AVERAGEIFS(nNOTA,nNIA,A830,nCUENTA,1,nASIG,"Lenguaje Musical"),"")))</f>
        <v/>
      </c>
      <c r="C830" t="str">
        <f>IF(A830="","",IF(A830="[FÓRMULA MANUAL]","",IFERROR(AVERAGEIFS(nNOTA,nNIA,A830,nCUENTA,1,nASIG,"Orquesta/Banda/Conjunto"),"")))</f>
        <v/>
      </c>
      <c r="D830" t="str">
        <f>IF(A830="","",IF(A830="[FÓRMULA MANUAL]","",IFERROR(AVERAGEIFS(nNOTA,nNIA,A830,nCUENTA,1,nASIG,"Conjunto"),"")))</f>
        <v/>
      </c>
      <c r="E830" t="str">
        <f>IF(A830="","",IF(A830="[FÓRMULA MANUAL]","",IFERROR(SUMPRODUCT((nNIA=A830)*(nCUENTA=1)*(COUNTIF(CONFIG_ASIGNATURAS!$B$7:$B$27,nASIG)&gt;0)*(nNOTA))/SUMPRODUCT((nNIA=A830)*(nCUENTA=1)*(COUNTIF(CONFIG_ASIGNATURAS!$B$7:$B$27,nASIG)&gt;0)*1),"")))</f>
        <v/>
      </c>
      <c r="H830" t="str">
        <f>IF(G830="","",IF(G830="[FÓRMULA MANUAL]","",IFERROR(AVERAGEIFS(nNOTA,nNIA,G830,nCUENTA,1,nASIG,"Lenguaje Musical"),"")))</f>
        <v/>
      </c>
      <c r="I830" t="str">
        <f>IF(G830="","",IF(G830="[FÓRMULA MANUAL]","",IFERROR(AVERAGEIFS(nNOTA,nNIA,G830,nCUENTA,1,nASIG,"Orquesta/Banda/Conjunto"),"")))</f>
        <v/>
      </c>
      <c r="J830" t="str">
        <f>IF(G830="","",IF(G830="[FÓRMULA MANUAL]","",IFERROR(AVERAGEIFS(nNOTA,nNIA,G830,nCUENTA,1,nASIG,"Conjunto"),"")))</f>
        <v/>
      </c>
      <c r="K830" t="str">
        <f>IF(G830="","",IF(G830="[FÓRMULA MANUAL]","",IFERROR(SUMPRODUCT((nNIA=G830)*(nCUENTA=1)*(COUNTIF(CONFIG_ASIGNATURAS!$B$7:$B$27,nASIG)&gt;0)*(nNOTA))/SUMPRODUCT((nNIA=G830)*(nCUENTA=1)*(COUNTIF(CONFIG_ASIGNATURAS!$B$7:$B$27,nASIG)&gt;0)*1),"")))</f>
        <v/>
      </c>
      <c r="N830" t="str">
        <f>IF(M830="","",IF(M830="[FÓRMULA MANUAL]","",IFERROR(AVERAGEIFS(nNOTA,nNIA,M830,nCUENTA,1,nASIG,"Armonía"),"")))</f>
        <v/>
      </c>
      <c r="O830" t="str">
        <f>IF(M830="","",IF(M830="[FÓRMULA MANUAL]","",IFERROR(AVERAGEIFS(nNOTA,nNIA,M830,nCUENTA,1,nASIG,"Orquesta/Banda/Conjunto"),"")))</f>
        <v/>
      </c>
      <c r="P830" t="str">
        <f>IF(M830="","",IF(M830="[FÓRMULA MANUAL]","",IFERROR(AVERAGEIFS(nNOTA,nNIA,M830,nCUENTA,1,nASIG,"Música de Cámara"),"")))</f>
        <v/>
      </c>
      <c r="Q830" t="str">
        <f>IF(M830="","",IF(M830="[FÓRMULA MANUAL]","",IFERROR(SUMPRODUCT((nNIA=M830)*(nCUENTA=1)*(COUNTIF(CONFIG_ASIGNATURAS!$B$7:$B$27,nASIG)&gt;0)*(nNOTA))/SUMPRODUCT((nNIA=M830)*(nCUENTA=1)*(COUNTIF(CONFIG_ASIGNATURAS!$B$7:$B$27,nASIG)&gt;0)*1),"")))</f>
        <v/>
      </c>
      <c r="T830" t="str">
        <f>IF(S830="","",IF(S830="[FÓRMULA MANUAL]","",IFERROR(AVERAGEIFS(nNOTA,nNIA,S830,nCUENTA,1,nASIG,"Armonía"),"")))</f>
        <v/>
      </c>
      <c r="U830" t="str">
        <f>IF(S830="","",IF(S830="[FÓRMULA MANUAL]","",IFERROR(AVERAGEIFS(nNOTA,nNIA,S830,nCUENTA,1,nASIG,"Orquesta/Banda/Conjunto"),"")))</f>
        <v/>
      </c>
      <c r="V830" t="str">
        <f>IF(S830="","",IF(S830="[FÓRMULA MANUAL]","",IFERROR(AVERAGEIFS(nNOTA,nNIA,S830,nCUENTA,1,nASIG,"Música de Cámara"),"")))</f>
        <v/>
      </c>
      <c r="W830" t="str">
        <f>IF(S830="","",IF(S830="[FÓRMULA MANUAL]","",IFERROR(SUMPRODUCT((nNIA=S830)*(nCUENTA=1)*(COUNTIF(CONFIG_ASIGNATURAS!$B$7:$B$27,nASIG)&gt;0)*(nNOTA))/SUMPRODUCT((nNIA=S830)*(nCUENTA=1)*(COUNTIF(CONFIG_ASIGNATURAS!$B$7:$B$27,nASIG)&gt;0)*1),"")))</f>
        <v/>
      </c>
      <c r="Z830" t="str">
        <f>IF(Y830="","",IF(Y830="[FÓRMULA MANUAL]","",IFERROR(AVERAGEIFS(nNOTA,nNIA,Y830,nCUENTA,1,nASIG,"Análisis"),"")))</f>
        <v/>
      </c>
      <c r="AA830" t="str">
        <f>IF(Y830="","",IF(Y830="[FÓRMULA MANUAL]","",IFERROR(AVERAGEIFS(nNOTA,nNIA,Y830,nCUENTA,1,nASIG,"Orquesta/Banda/Conjunto"),"")))</f>
        <v/>
      </c>
      <c r="AB830" t="str">
        <f>IF(Y830="","",IF(Y830="[FÓRMULA MANUAL]","",IFERROR(AVERAGEIFS(nNOTA,nNIA,Y830,nCUENTA,1,nASIG,"Música de Cámara"),"")))</f>
        <v/>
      </c>
      <c r="AC830" t="str">
        <f>IF(Y830="","",IF(Y830="[FÓRMULA MANUAL]","",IFERROR(SUMPRODUCT((nNIA=Y830)*(nCUENTA=1)*(COUNTIF(CONFIG_ASIGNATURAS!$B$7:$B$27,nASIG)&gt;0)*(nNOTA))/SUMPRODUCT((nNIA=Y830)*(nCUENTA=1)*(COUNTIF(CONFIG_ASIGNATURAS!$B$7:$B$27,nASIG)&gt;0)*1),"")))</f>
        <v/>
      </c>
      <c r="AF830" t="str">
        <f>IF(AE830="","",IF(AE830="[FÓRMULA MANUAL]","",IFERROR(AVERAGEIFS(nNOTA,nNIA,AE830,nCUENTA,1,nASIG,"Análisis"),"")))</f>
        <v/>
      </c>
      <c r="AG830" t="str">
        <f>IF(AE830="","",IF(AE830="[FÓRMULA MANUAL]","",IFERROR(AVERAGEIFS(nNOTA,nNIA,AE830,nCUENTA,1,nASIG,"Orquesta/Banda/Conjunto"),"")))</f>
        <v/>
      </c>
      <c r="AH830" t="str">
        <f>IF(AE830="","",IF(AE830="[FÓRMULA MANUAL]","",IFERROR(AVERAGEIFS(nNOTA,nNIA,AE830,nCUENTA,1,nASIG,"Música de Cámara"),"")))</f>
        <v/>
      </c>
      <c r="AI830" t="str">
        <f>IF(AE830="","",IF(AE830="[FÓRMULA MANUAL]","",IFERROR(SUMPRODUCT((nNIA=AE830)*(nCUENTA=1)*(COUNTIF(CONFIG_ASIGNATURAS!$B$7:$B$27,nASIG)&gt;0)*(nNOTA))/SUMPRODUCT((nNIA=AE830)*(nCUENTA=1)*(COUNTIF(CONFIG_ASIGNATURAS!$B$7:$B$27,nASIG)&gt;0)*1),"")))</f>
        <v/>
      </c>
    </row>
    <row r="831" spans="2:35" x14ac:dyDescent="0.2">
      <c r="B831" t="str">
        <f>IF(A831="","",IF(A831="[FÓRMULA MANUAL]","",IFERROR(AVERAGEIFS(nNOTA,nNIA,A831,nCUENTA,1,nASIG,"Lenguaje Musical"),"")))</f>
        <v/>
      </c>
      <c r="C831" t="str">
        <f>IF(A831="","",IF(A831="[FÓRMULA MANUAL]","",IFERROR(AVERAGEIFS(nNOTA,nNIA,A831,nCUENTA,1,nASIG,"Orquesta/Banda/Conjunto"),"")))</f>
        <v/>
      </c>
      <c r="D831" t="str">
        <f>IF(A831="","",IF(A831="[FÓRMULA MANUAL]","",IFERROR(AVERAGEIFS(nNOTA,nNIA,A831,nCUENTA,1,nASIG,"Conjunto"),"")))</f>
        <v/>
      </c>
      <c r="E831" t="str">
        <f>IF(A831="","",IF(A831="[FÓRMULA MANUAL]","",IFERROR(SUMPRODUCT((nNIA=A831)*(nCUENTA=1)*(COUNTIF(CONFIG_ASIGNATURAS!$B$7:$B$27,nASIG)&gt;0)*(nNOTA))/SUMPRODUCT((nNIA=A831)*(nCUENTA=1)*(COUNTIF(CONFIG_ASIGNATURAS!$B$7:$B$27,nASIG)&gt;0)*1),"")))</f>
        <v/>
      </c>
      <c r="H831" t="str">
        <f>IF(G831="","",IF(G831="[FÓRMULA MANUAL]","",IFERROR(AVERAGEIFS(nNOTA,nNIA,G831,nCUENTA,1,nASIG,"Lenguaje Musical"),"")))</f>
        <v/>
      </c>
      <c r="I831" t="str">
        <f>IF(G831="","",IF(G831="[FÓRMULA MANUAL]","",IFERROR(AVERAGEIFS(nNOTA,nNIA,G831,nCUENTA,1,nASIG,"Orquesta/Banda/Conjunto"),"")))</f>
        <v/>
      </c>
      <c r="J831" t="str">
        <f>IF(G831="","",IF(G831="[FÓRMULA MANUAL]","",IFERROR(AVERAGEIFS(nNOTA,nNIA,G831,nCUENTA,1,nASIG,"Conjunto"),"")))</f>
        <v/>
      </c>
      <c r="K831" t="str">
        <f>IF(G831="","",IF(G831="[FÓRMULA MANUAL]","",IFERROR(SUMPRODUCT((nNIA=G831)*(nCUENTA=1)*(COUNTIF(CONFIG_ASIGNATURAS!$B$7:$B$27,nASIG)&gt;0)*(nNOTA))/SUMPRODUCT((nNIA=G831)*(nCUENTA=1)*(COUNTIF(CONFIG_ASIGNATURAS!$B$7:$B$27,nASIG)&gt;0)*1),"")))</f>
        <v/>
      </c>
      <c r="N831" t="str">
        <f>IF(M831="","",IF(M831="[FÓRMULA MANUAL]","",IFERROR(AVERAGEIFS(nNOTA,nNIA,M831,nCUENTA,1,nASIG,"Armonía"),"")))</f>
        <v/>
      </c>
      <c r="O831" t="str">
        <f>IF(M831="","",IF(M831="[FÓRMULA MANUAL]","",IFERROR(AVERAGEIFS(nNOTA,nNIA,M831,nCUENTA,1,nASIG,"Orquesta/Banda/Conjunto"),"")))</f>
        <v/>
      </c>
      <c r="P831" t="str">
        <f>IF(M831="","",IF(M831="[FÓRMULA MANUAL]","",IFERROR(AVERAGEIFS(nNOTA,nNIA,M831,nCUENTA,1,nASIG,"Música de Cámara"),"")))</f>
        <v/>
      </c>
      <c r="Q831" t="str">
        <f>IF(M831="","",IF(M831="[FÓRMULA MANUAL]","",IFERROR(SUMPRODUCT((nNIA=M831)*(nCUENTA=1)*(COUNTIF(CONFIG_ASIGNATURAS!$B$7:$B$27,nASIG)&gt;0)*(nNOTA))/SUMPRODUCT((nNIA=M831)*(nCUENTA=1)*(COUNTIF(CONFIG_ASIGNATURAS!$B$7:$B$27,nASIG)&gt;0)*1),"")))</f>
        <v/>
      </c>
      <c r="T831" t="str">
        <f>IF(S831="","",IF(S831="[FÓRMULA MANUAL]","",IFERROR(AVERAGEIFS(nNOTA,nNIA,S831,nCUENTA,1,nASIG,"Armonía"),"")))</f>
        <v/>
      </c>
      <c r="U831" t="str">
        <f>IF(S831="","",IF(S831="[FÓRMULA MANUAL]","",IFERROR(AVERAGEIFS(nNOTA,nNIA,S831,nCUENTA,1,nASIG,"Orquesta/Banda/Conjunto"),"")))</f>
        <v/>
      </c>
      <c r="V831" t="str">
        <f>IF(S831="","",IF(S831="[FÓRMULA MANUAL]","",IFERROR(AVERAGEIFS(nNOTA,nNIA,S831,nCUENTA,1,nASIG,"Música de Cámara"),"")))</f>
        <v/>
      </c>
      <c r="W831" t="str">
        <f>IF(S831="","",IF(S831="[FÓRMULA MANUAL]","",IFERROR(SUMPRODUCT((nNIA=S831)*(nCUENTA=1)*(COUNTIF(CONFIG_ASIGNATURAS!$B$7:$B$27,nASIG)&gt;0)*(nNOTA))/SUMPRODUCT((nNIA=S831)*(nCUENTA=1)*(COUNTIF(CONFIG_ASIGNATURAS!$B$7:$B$27,nASIG)&gt;0)*1),"")))</f>
        <v/>
      </c>
      <c r="Z831" t="str">
        <f>IF(Y831="","",IF(Y831="[FÓRMULA MANUAL]","",IFERROR(AVERAGEIFS(nNOTA,nNIA,Y831,nCUENTA,1,nASIG,"Análisis"),"")))</f>
        <v/>
      </c>
      <c r="AA831" t="str">
        <f>IF(Y831="","",IF(Y831="[FÓRMULA MANUAL]","",IFERROR(AVERAGEIFS(nNOTA,nNIA,Y831,nCUENTA,1,nASIG,"Orquesta/Banda/Conjunto"),"")))</f>
        <v/>
      </c>
      <c r="AB831" t="str">
        <f>IF(Y831="","",IF(Y831="[FÓRMULA MANUAL]","",IFERROR(AVERAGEIFS(nNOTA,nNIA,Y831,nCUENTA,1,nASIG,"Música de Cámara"),"")))</f>
        <v/>
      </c>
      <c r="AC831" t="str">
        <f>IF(Y831="","",IF(Y831="[FÓRMULA MANUAL]","",IFERROR(SUMPRODUCT((nNIA=Y831)*(nCUENTA=1)*(COUNTIF(CONFIG_ASIGNATURAS!$B$7:$B$27,nASIG)&gt;0)*(nNOTA))/SUMPRODUCT((nNIA=Y831)*(nCUENTA=1)*(COUNTIF(CONFIG_ASIGNATURAS!$B$7:$B$27,nASIG)&gt;0)*1),"")))</f>
        <v/>
      </c>
      <c r="AF831" t="str">
        <f>IF(AE831="","",IF(AE831="[FÓRMULA MANUAL]","",IFERROR(AVERAGEIFS(nNOTA,nNIA,AE831,nCUENTA,1,nASIG,"Análisis"),"")))</f>
        <v/>
      </c>
      <c r="AG831" t="str">
        <f>IF(AE831="","",IF(AE831="[FÓRMULA MANUAL]","",IFERROR(AVERAGEIFS(nNOTA,nNIA,AE831,nCUENTA,1,nASIG,"Orquesta/Banda/Conjunto"),"")))</f>
        <v/>
      </c>
      <c r="AH831" t="str">
        <f>IF(AE831="","",IF(AE831="[FÓRMULA MANUAL]","",IFERROR(AVERAGEIFS(nNOTA,nNIA,AE831,nCUENTA,1,nASIG,"Música de Cámara"),"")))</f>
        <v/>
      </c>
      <c r="AI831" t="str">
        <f>IF(AE831="","",IF(AE831="[FÓRMULA MANUAL]","",IFERROR(SUMPRODUCT((nNIA=AE831)*(nCUENTA=1)*(COUNTIF(CONFIG_ASIGNATURAS!$B$7:$B$27,nASIG)&gt;0)*(nNOTA))/SUMPRODUCT((nNIA=AE831)*(nCUENTA=1)*(COUNTIF(CONFIG_ASIGNATURAS!$B$7:$B$27,nASIG)&gt;0)*1),"")))</f>
        <v/>
      </c>
    </row>
    <row r="832" spans="2:35" x14ac:dyDescent="0.2">
      <c r="B832" t="str">
        <f>IF(A832="","",IF(A832="[FÓRMULA MANUAL]","",IFERROR(AVERAGEIFS(nNOTA,nNIA,A832,nCUENTA,1,nASIG,"Lenguaje Musical"),"")))</f>
        <v/>
      </c>
      <c r="C832" t="str">
        <f>IF(A832="","",IF(A832="[FÓRMULA MANUAL]","",IFERROR(AVERAGEIFS(nNOTA,nNIA,A832,nCUENTA,1,nASIG,"Orquesta/Banda/Conjunto"),"")))</f>
        <v/>
      </c>
      <c r="D832" t="str">
        <f>IF(A832="","",IF(A832="[FÓRMULA MANUAL]","",IFERROR(AVERAGEIFS(nNOTA,nNIA,A832,nCUENTA,1,nASIG,"Conjunto"),"")))</f>
        <v/>
      </c>
      <c r="E832" t="str">
        <f>IF(A832="","",IF(A832="[FÓRMULA MANUAL]","",IFERROR(SUMPRODUCT((nNIA=A832)*(nCUENTA=1)*(COUNTIF(CONFIG_ASIGNATURAS!$B$7:$B$27,nASIG)&gt;0)*(nNOTA))/SUMPRODUCT((nNIA=A832)*(nCUENTA=1)*(COUNTIF(CONFIG_ASIGNATURAS!$B$7:$B$27,nASIG)&gt;0)*1),"")))</f>
        <v/>
      </c>
      <c r="H832" t="str">
        <f>IF(G832="","",IF(G832="[FÓRMULA MANUAL]","",IFERROR(AVERAGEIFS(nNOTA,nNIA,G832,nCUENTA,1,nASIG,"Lenguaje Musical"),"")))</f>
        <v/>
      </c>
      <c r="I832" t="str">
        <f>IF(G832="","",IF(G832="[FÓRMULA MANUAL]","",IFERROR(AVERAGEIFS(nNOTA,nNIA,G832,nCUENTA,1,nASIG,"Orquesta/Banda/Conjunto"),"")))</f>
        <v/>
      </c>
      <c r="J832" t="str">
        <f>IF(G832="","",IF(G832="[FÓRMULA MANUAL]","",IFERROR(AVERAGEIFS(nNOTA,nNIA,G832,nCUENTA,1,nASIG,"Conjunto"),"")))</f>
        <v/>
      </c>
      <c r="K832" t="str">
        <f>IF(G832="","",IF(G832="[FÓRMULA MANUAL]","",IFERROR(SUMPRODUCT((nNIA=G832)*(nCUENTA=1)*(COUNTIF(CONFIG_ASIGNATURAS!$B$7:$B$27,nASIG)&gt;0)*(nNOTA))/SUMPRODUCT((nNIA=G832)*(nCUENTA=1)*(COUNTIF(CONFIG_ASIGNATURAS!$B$7:$B$27,nASIG)&gt;0)*1),"")))</f>
        <v/>
      </c>
      <c r="N832" t="str">
        <f>IF(M832="","",IF(M832="[FÓRMULA MANUAL]","",IFERROR(AVERAGEIFS(nNOTA,nNIA,M832,nCUENTA,1,nASIG,"Armonía"),"")))</f>
        <v/>
      </c>
      <c r="O832" t="str">
        <f>IF(M832="","",IF(M832="[FÓRMULA MANUAL]","",IFERROR(AVERAGEIFS(nNOTA,nNIA,M832,nCUENTA,1,nASIG,"Orquesta/Banda/Conjunto"),"")))</f>
        <v/>
      </c>
      <c r="P832" t="str">
        <f>IF(M832="","",IF(M832="[FÓRMULA MANUAL]","",IFERROR(AVERAGEIFS(nNOTA,nNIA,M832,nCUENTA,1,nASIG,"Música de Cámara"),"")))</f>
        <v/>
      </c>
      <c r="Q832" t="str">
        <f>IF(M832="","",IF(M832="[FÓRMULA MANUAL]","",IFERROR(SUMPRODUCT((nNIA=M832)*(nCUENTA=1)*(COUNTIF(CONFIG_ASIGNATURAS!$B$7:$B$27,nASIG)&gt;0)*(nNOTA))/SUMPRODUCT((nNIA=M832)*(nCUENTA=1)*(COUNTIF(CONFIG_ASIGNATURAS!$B$7:$B$27,nASIG)&gt;0)*1),"")))</f>
        <v/>
      </c>
      <c r="T832" t="str">
        <f>IF(S832="","",IF(S832="[FÓRMULA MANUAL]","",IFERROR(AVERAGEIFS(nNOTA,nNIA,S832,nCUENTA,1,nASIG,"Armonía"),"")))</f>
        <v/>
      </c>
      <c r="U832" t="str">
        <f>IF(S832="","",IF(S832="[FÓRMULA MANUAL]","",IFERROR(AVERAGEIFS(nNOTA,nNIA,S832,nCUENTA,1,nASIG,"Orquesta/Banda/Conjunto"),"")))</f>
        <v/>
      </c>
      <c r="V832" t="str">
        <f>IF(S832="","",IF(S832="[FÓRMULA MANUAL]","",IFERROR(AVERAGEIFS(nNOTA,nNIA,S832,nCUENTA,1,nASIG,"Música de Cámara"),"")))</f>
        <v/>
      </c>
      <c r="W832" t="str">
        <f>IF(S832="","",IF(S832="[FÓRMULA MANUAL]","",IFERROR(SUMPRODUCT((nNIA=S832)*(nCUENTA=1)*(COUNTIF(CONFIG_ASIGNATURAS!$B$7:$B$27,nASIG)&gt;0)*(nNOTA))/SUMPRODUCT((nNIA=S832)*(nCUENTA=1)*(COUNTIF(CONFIG_ASIGNATURAS!$B$7:$B$27,nASIG)&gt;0)*1),"")))</f>
        <v/>
      </c>
      <c r="Z832" t="str">
        <f>IF(Y832="","",IF(Y832="[FÓRMULA MANUAL]","",IFERROR(AVERAGEIFS(nNOTA,nNIA,Y832,nCUENTA,1,nASIG,"Análisis"),"")))</f>
        <v/>
      </c>
      <c r="AA832" t="str">
        <f>IF(Y832="","",IF(Y832="[FÓRMULA MANUAL]","",IFERROR(AVERAGEIFS(nNOTA,nNIA,Y832,nCUENTA,1,nASIG,"Orquesta/Banda/Conjunto"),"")))</f>
        <v/>
      </c>
      <c r="AB832" t="str">
        <f>IF(Y832="","",IF(Y832="[FÓRMULA MANUAL]","",IFERROR(AVERAGEIFS(nNOTA,nNIA,Y832,nCUENTA,1,nASIG,"Música de Cámara"),"")))</f>
        <v/>
      </c>
      <c r="AC832" t="str">
        <f>IF(Y832="","",IF(Y832="[FÓRMULA MANUAL]","",IFERROR(SUMPRODUCT((nNIA=Y832)*(nCUENTA=1)*(COUNTIF(CONFIG_ASIGNATURAS!$B$7:$B$27,nASIG)&gt;0)*(nNOTA))/SUMPRODUCT((nNIA=Y832)*(nCUENTA=1)*(COUNTIF(CONFIG_ASIGNATURAS!$B$7:$B$27,nASIG)&gt;0)*1),"")))</f>
        <v/>
      </c>
      <c r="AF832" t="str">
        <f>IF(AE832="","",IF(AE832="[FÓRMULA MANUAL]","",IFERROR(AVERAGEIFS(nNOTA,nNIA,AE832,nCUENTA,1,nASIG,"Análisis"),"")))</f>
        <v/>
      </c>
      <c r="AG832" t="str">
        <f>IF(AE832="","",IF(AE832="[FÓRMULA MANUAL]","",IFERROR(AVERAGEIFS(nNOTA,nNIA,AE832,nCUENTA,1,nASIG,"Orquesta/Banda/Conjunto"),"")))</f>
        <v/>
      </c>
      <c r="AH832" t="str">
        <f>IF(AE832="","",IF(AE832="[FÓRMULA MANUAL]","",IFERROR(AVERAGEIFS(nNOTA,nNIA,AE832,nCUENTA,1,nASIG,"Música de Cámara"),"")))</f>
        <v/>
      </c>
      <c r="AI832" t="str">
        <f>IF(AE832="","",IF(AE832="[FÓRMULA MANUAL]","",IFERROR(SUMPRODUCT((nNIA=AE832)*(nCUENTA=1)*(COUNTIF(CONFIG_ASIGNATURAS!$B$7:$B$27,nASIG)&gt;0)*(nNOTA))/SUMPRODUCT((nNIA=AE832)*(nCUENTA=1)*(COUNTIF(CONFIG_ASIGNATURAS!$B$7:$B$27,nASIG)&gt;0)*1),"")))</f>
        <v/>
      </c>
    </row>
    <row r="833" spans="2:35" x14ac:dyDescent="0.2">
      <c r="B833" t="str">
        <f>IF(A833="","",IF(A833="[FÓRMULA MANUAL]","",IFERROR(AVERAGEIFS(nNOTA,nNIA,A833,nCUENTA,1,nASIG,"Lenguaje Musical"),"")))</f>
        <v/>
      </c>
      <c r="C833" t="str">
        <f>IF(A833="","",IF(A833="[FÓRMULA MANUAL]","",IFERROR(AVERAGEIFS(nNOTA,nNIA,A833,nCUENTA,1,nASIG,"Orquesta/Banda/Conjunto"),"")))</f>
        <v/>
      </c>
      <c r="D833" t="str">
        <f>IF(A833="","",IF(A833="[FÓRMULA MANUAL]","",IFERROR(AVERAGEIFS(nNOTA,nNIA,A833,nCUENTA,1,nASIG,"Conjunto"),"")))</f>
        <v/>
      </c>
      <c r="E833" t="str">
        <f>IF(A833="","",IF(A833="[FÓRMULA MANUAL]","",IFERROR(SUMPRODUCT((nNIA=A833)*(nCUENTA=1)*(COUNTIF(CONFIG_ASIGNATURAS!$B$7:$B$27,nASIG)&gt;0)*(nNOTA))/SUMPRODUCT((nNIA=A833)*(nCUENTA=1)*(COUNTIF(CONFIG_ASIGNATURAS!$B$7:$B$27,nASIG)&gt;0)*1),"")))</f>
        <v/>
      </c>
      <c r="H833" t="str">
        <f>IF(G833="","",IF(G833="[FÓRMULA MANUAL]","",IFERROR(AVERAGEIFS(nNOTA,nNIA,G833,nCUENTA,1,nASIG,"Lenguaje Musical"),"")))</f>
        <v/>
      </c>
      <c r="I833" t="str">
        <f>IF(G833="","",IF(G833="[FÓRMULA MANUAL]","",IFERROR(AVERAGEIFS(nNOTA,nNIA,G833,nCUENTA,1,nASIG,"Orquesta/Banda/Conjunto"),"")))</f>
        <v/>
      </c>
      <c r="J833" t="str">
        <f>IF(G833="","",IF(G833="[FÓRMULA MANUAL]","",IFERROR(AVERAGEIFS(nNOTA,nNIA,G833,nCUENTA,1,nASIG,"Conjunto"),"")))</f>
        <v/>
      </c>
      <c r="K833" t="str">
        <f>IF(G833="","",IF(G833="[FÓRMULA MANUAL]","",IFERROR(SUMPRODUCT((nNIA=G833)*(nCUENTA=1)*(COUNTIF(CONFIG_ASIGNATURAS!$B$7:$B$27,nASIG)&gt;0)*(nNOTA))/SUMPRODUCT((nNIA=G833)*(nCUENTA=1)*(COUNTIF(CONFIG_ASIGNATURAS!$B$7:$B$27,nASIG)&gt;0)*1),"")))</f>
        <v/>
      </c>
      <c r="N833" t="str">
        <f>IF(M833="","",IF(M833="[FÓRMULA MANUAL]","",IFERROR(AVERAGEIFS(nNOTA,nNIA,M833,nCUENTA,1,nASIG,"Armonía"),"")))</f>
        <v/>
      </c>
      <c r="O833" t="str">
        <f>IF(M833="","",IF(M833="[FÓRMULA MANUAL]","",IFERROR(AVERAGEIFS(nNOTA,nNIA,M833,nCUENTA,1,nASIG,"Orquesta/Banda/Conjunto"),"")))</f>
        <v/>
      </c>
      <c r="P833" t="str">
        <f>IF(M833="","",IF(M833="[FÓRMULA MANUAL]","",IFERROR(AVERAGEIFS(nNOTA,nNIA,M833,nCUENTA,1,nASIG,"Música de Cámara"),"")))</f>
        <v/>
      </c>
      <c r="Q833" t="str">
        <f>IF(M833="","",IF(M833="[FÓRMULA MANUAL]","",IFERROR(SUMPRODUCT((nNIA=M833)*(nCUENTA=1)*(COUNTIF(CONFIG_ASIGNATURAS!$B$7:$B$27,nASIG)&gt;0)*(nNOTA))/SUMPRODUCT((nNIA=M833)*(nCUENTA=1)*(COUNTIF(CONFIG_ASIGNATURAS!$B$7:$B$27,nASIG)&gt;0)*1),"")))</f>
        <v/>
      </c>
      <c r="T833" t="str">
        <f>IF(S833="","",IF(S833="[FÓRMULA MANUAL]","",IFERROR(AVERAGEIFS(nNOTA,nNIA,S833,nCUENTA,1,nASIG,"Armonía"),"")))</f>
        <v/>
      </c>
      <c r="U833" t="str">
        <f>IF(S833="","",IF(S833="[FÓRMULA MANUAL]","",IFERROR(AVERAGEIFS(nNOTA,nNIA,S833,nCUENTA,1,nASIG,"Orquesta/Banda/Conjunto"),"")))</f>
        <v/>
      </c>
      <c r="V833" t="str">
        <f>IF(S833="","",IF(S833="[FÓRMULA MANUAL]","",IFERROR(AVERAGEIFS(nNOTA,nNIA,S833,nCUENTA,1,nASIG,"Música de Cámara"),"")))</f>
        <v/>
      </c>
      <c r="W833" t="str">
        <f>IF(S833="","",IF(S833="[FÓRMULA MANUAL]","",IFERROR(SUMPRODUCT((nNIA=S833)*(nCUENTA=1)*(COUNTIF(CONFIG_ASIGNATURAS!$B$7:$B$27,nASIG)&gt;0)*(nNOTA))/SUMPRODUCT((nNIA=S833)*(nCUENTA=1)*(COUNTIF(CONFIG_ASIGNATURAS!$B$7:$B$27,nASIG)&gt;0)*1),"")))</f>
        <v/>
      </c>
      <c r="Z833" t="str">
        <f>IF(Y833="","",IF(Y833="[FÓRMULA MANUAL]","",IFERROR(AVERAGEIFS(nNOTA,nNIA,Y833,nCUENTA,1,nASIG,"Análisis"),"")))</f>
        <v/>
      </c>
      <c r="AA833" t="str">
        <f>IF(Y833="","",IF(Y833="[FÓRMULA MANUAL]","",IFERROR(AVERAGEIFS(nNOTA,nNIA,Y833,nCUENTA,1,nASIG,"Orquesta/Banda/Conjunto"),"")))</f>
        <v/>
      </c>
      <c r="AB833" t="str">
        <f>IF(Y833="","",IF(Y833="[FÓRMULA MANUAL]","",IFERROR(AVERAGEIFS(nNOTA,nNIA,Y833,nCUENTA,1,nASIG,"Música de Cámara"),"")))</f>
        <v/>
      </c>
      <c r="AC833" t="str">
        <f>IF(Y833="","",IF(Y833="[FÓRMULA MANUAL]","",IFERROR(SUMPRODUCT((nNIA=Y833)*(nCUENTA=1)*(COUNTIF(CONFIG_ASIGNATURAS!$B$7:$B$27,nASIG)&gt;0)*(nNOTA))/SUMPRODUCT((nNIA=Y833)*(nCUENTA=1)*(COUNTIF(CONFIG_ASIGNATURAS!$B$7:$B$27,nASIG)&gt;0)*1),"")))</f>
        <v/>
      </c>
      <c r="AF833" t="str">
        <f>IF(AE833="","",IF(AE833="[FÓRMULA MANUAL]","",IFERROR(AVERAGEIFS(nNOTA,nNIA,AE833,nCUENTA,1,nASIG,"Análisis"),"")))</f>
        <v/>
      </c>
      <c r="AG833" t="str">
        <f>IF(AE833="","",IF(AE833="[FÓRMULA MANUAL]","",IFERROR(AVERAGEIFS(nNOTA,nNIA,AE833,nCUENTA,1,nASIG,"Orquesta/Banda/Conjunto"),"")))</f>
        <v/>
      </c>
      <c r="AH833" t="str">
        <f>IF(AE833="","",IF(AE833="[FÓRMULA MANUAL]","",IFERROR(AVERAGEIFS(nNOTA,nNIA,AE833,nCUENTA,1,nASIG,"Música de Cámara"),"")))</f>
        <v/>
      </c>
      <c r="AI833" t="str">
        <f>IF(AE833="","",IF(AE833="[FÓRMULA MANUAL]","",IFERROR(SUMPRODUCT((nNIA=AE833)*(nCUENTA=1)*(COUNTIF(CONFIG_ASIGNATURAS!$B$7:$B$27,nASIG)&gt;0)*(nNOTA))/SUMPRODUCT((nNIA=AE833)*(nCUENTA=1)*(COUNTIF(CONFIG_ASIGNATURAS!$B$7:$B$27,nASIG)&gt;0)*1),"")))</f>
        <v/>
      </c>
    </row>
    <row r="834" spans="2:35" x14ac:dyDescent="0.2">
      <c r="B834" t="str">
        <f>IF(A834="","",IF(A834="[FÓRMULA MANUAL]","",IFERROR(AVERAGEIFS(nNOTA,nNIA,A834,nCUENTA,1,nASIG,"Lenguaje Musical"),"")))</f>
        <v/>
      </c>
      <c r="C834" t="str">
        <f>IF(A834="","",IF(A834="[FÓRMULA MANUAL]","",IFERROR(AVERAGEIFS(nNOTA,nNIA,A834,nCUENTA,1,nASIG,"Orquesta/Banda/Conjunto"),"")))</f>
        <v/>
      </c>
      <c r="D834" t="str">
        <f>IF(A834="","",IF(A834="[FÓRMULA MANUAL]","",IFERROR(AVERAGEIFS(nNOTA,nNIA,A834,nCUENTA,1,nASIG,"Conjunto"),"")))</f>
        <v/>
      </c>
      <c r="E834" t="str">
        <f>IF(A834="","",IF(A834="[FÓRMULA MANUAL]","",IFERROR(SUMPRODUCT((nNIA=A834)*(nCUENTA=1)*(COUNTIF(CONFIG_ASIGNATURAS!$B$7:$B$27,nASIG)&gt;0)*(nNOTA))/SUMPRODUCT((nNIA=A834)*(nCUENTA=1)*(COUNTIF(CONFIG_ASIGNATURAS!$B$7:$B$27,nASIG)&gt;0)*1),"")))</f>
        <v/>
      </c>
      <c r="H834" t="str">
        <f>IF(G834="","",IF(G834="[FÓRMULA MANUAL]","",IFERROR(AVERAGEIFS(nNOTA,nNIA,G834,nCUENTA,1,nASIG,"Lenguaje Musical"),"")))</f>
        <v/>
      </c>
      <c r="I834" t="str">
        <f>IF(G834="","",IF(G834="[FÓRMULA MANUAL]","",IFERROR(AVERAGEIFS(nNOTA,nNIA,G834,nCUENTA,1,nASIG,"Orquesta/Banda/Conjunto"),"")))</f>
        <v/>
      </c>
      <c r="J834" t="str">
        <f>IF(G834="","",IF(G834="[FÓRMULA MANUAL]","",IFERROR(AVERAGEIFS(nNOTA,nNIA,G834,nCUENTA,1,nASIG,"Conjunto"),"")))</f>
        <v/>
      </c>
      <c r="K834" t="str">
        <f>IF(G834="","",IF(G834="[FÓRMULA MANUAL]","",IFERROR(SUMPRODUCT((nNIA=G834)*(nCUENTA=1)*(COUNTIF(CONFIG_ASIGNATURAS!$B$7:$B$27,nASIG)&gt;0)*(nNOTA))/SUMPRODUCT((nNIA=G834)*(nCUENTA=1)*(COUNTIF(CONFIG_ASIGNATURAS!$B$7:$B$27,nASIG)&gt;0)*1),"")))</f>
        <v/>
      </c>
      <c r="N834" t="str">
        <f>IF(M834="","",IF(M834="[FÓRMULA MANUAL]","",IFERROR(AVERAGEIFS(nNOTA,nNIA,M834,nCUENTA,1,nASIG,"Armonía"),"")))</f>
        <v/>
      </c>
      <c r="O834" t="str">
        <f>IF(M834="","",IF(M834="[FÓRMULA MANUAL]","",IFERROR(AVERAGEIFS(nNOTA,nNIA,M834,nCUENTA,1,nASIG,"Orquesta/Banda/Conjunto"),"")))</f>
        <v/>
      </c>
      <c r="P834" t="str">
        <f>IF(M834="","",IF(M834="[FÓRMULA MANUAL]","",IFERROR(AVERAGEIFS(nNOTA,nNIA,M834,nCUENTA,1,nASIG,"Música de Cámara"),"")))</f>
        <v/>
      </c>
      <c r="Q834" t="str">
        <f>IF(M834="","",IF(M834="[FÓRMULA MANUAL]","",IFERROR(SUMPRODUCT((nNIA=M834)*(nCUENTA=1)*(COUNTIF(CONFIG_ASIGNATURAS!$B$7:$B$27,nASIG)&gt;0)*(nNOTA))/SUMPRODUCT((nNIA=M834)*(nCUENTA=1)*(COUNTIF(CONFIG_ASIGNATURAS!$B$7:$B$27,nASIG)&gt;0)*1),"")))</f>
        <v/>
      </c>
      <c r="T834" t="str">
        <f>IF(S834="","",IF(S834="[FÓRMULA MANUAL]","",IFERROR(AVERAGEIFS(nNOTA,nNIA,S834,nCUENTA,1,nASIG,"Armonía"),"")))</f>
        <v/>
      </c>
      <c r="U834" t="str">
        <f>IF(S834="","",IF(S834="[FÓRMULA MANUAL]","",IFERROR(AVERAGEIFS(nNOTA,nNIA,S834,nCUENTA,1,nASIG,"Orquesta/Banda/Conjunto"),"")))</f>
        <v/>
      </c>
      <c r="V834" t="str">
        <f>IF(S834="","",IF(S834="[FÓRMULA MANUAL]","",IFERROR(AVERAGEIFS(nNOTA,nNIA,S834,nCUENTA,1,nASIG,"Música de Cámara"),"")))</f>
        <v/>
      </c>
      <c r="W834" t="str">
        <f>IF(S834="","",IF(S834="[FÓRMULA MANUAL]","",IFERROR(SUMPRODUCT((nNIA=S834)*(nCUENTA=1)*(COUNTIF(CONFIG_ASIGNATURAS!$B$7:$B$27,nASIG)&gt;0)*(nNOTA))/SUMPRODUCT((nNIA=S834)*(nCUENTA=1)*(COUNTIF(CONFIG_ASIGNATURAS!$B$7:$B$27,nASIG)&gt;0)*1),"")))</f>
        <v/>
      </c>
      <c r="Z834" t="str">
        <f>IF(Y834="","",IF(Y834="[FÓRMULA MANUAL]","",IFERROR(AVERAGEIFS(nNOTA,nNIA,Y834,nCUENTA,1,nASIG,"Análisis"),"")))</f>
        <v/>
      </c>
      <c r="AA834" t="str">
        <f>IF(Y834="","",IF(Y834="[FÓRMULA MANUAL]","",IFERROR(AVERAGEIFS(nNOTA,nNIA,Y834,nCUENTA,1,nASIG,"Orquesta/Banda/Conjunto"),"")))</f>
        <v/>
      </c>
      <c r="AB834" t="str">
        <f>IF(Y834="","",IF(Y834="[FÓRMULA MANUAL]","",IFERROR(AVERAGEIFS(nNOTA,nNIA,Y834,nCUENTA,1,nASIG,"Música de Cámara"),"")))</f>
        <v/>
      </c>
      <c r="AC834" t="str">
        <f>IF(Y834="","",IF(Y834="[FÓRMULA MANUAL]","",IFERROR(SUMPRODUCT((nNIA=Y834)*(nCUENTA=1)*(COUNTIF(CONFIG_ASIGNATURAS!$B$7:$B$27,nASIG)&gt;0)*(nNOTA))/SUMPRODUCT((nNIA=Y834)*(nCUENTA=1)*(COUNTIF(CONFIG_ASIGNATURAS!$B$7:$B$27,nASIG)&gt;0)*1),"")))</f>
        <v/>
      </c>
      <c r="AF834" t="str">
        <f>IF(AE834="","",IF(AE834="[FÓRMULA MANUAL]","",IFERROR(AVERAGEIFS(nNOTA,nNIA,AE834,nCUENTA,1,nASIG,"Análisis"),"")))</f>
        <v/>
      </c>
      <c r="AG834" t="str">
        <f>IF(AE834="","",IF(AE834="[FÓRMULA MANUAL]","",IFERROR(AVERAGEIFS(nNOTA,nNIA,AE834,nCUENTA,1,nASIG,"Orquesta/Banda/Conjunto"),"")))</f>
        <v/>
      </c>
      <c r="AH834" t="str">
        <f>IF(AE834="","",IF(AE834="[FÓRMULA MANUAL]","",IFERROR(AVERAGEIFS(nNOTA,nNIA,AE834,nCUENTA,1,nASIG,"Música de Cámara"),"")))</f>
        <v/>
      </c>
      <c r="AI834" t="str">
        <f>IF(AE834="","",IF(AE834="[FÓRMULA MANUAL]","",IFERROR(SUMPRODUCT((nNIA=AE834)*(nCUENTA=1)*(COUNTIF(CONFIG_ASIGNATURAS!$B$7:$B$27,nASIG)&gt;0)*(nNOTA))/SUMPRODUCT((nNIA=AE834)*(nCUENTA=1)*(COUNTIF(CONFIG_ASIGNATURAS!$B$7:$B$27,nASIG)&gt;0)*1),"")))</f>
        <v/>
      </c>
    </row>
    <row r="835" spans="2:35" x14ac:dyDescent="0.2">
      <c r="B835" t="str">
        <f>IF(A835="","",IF(A835="[FÓRMULA MANUAL]","",IFERROR(AVERAGEIFS(nNOTA,nNIA,A835,nCUENTA,1,nASIG,"Lenguaje Musical"),"")))</f>
        <v/>
      </c>
      <c r="C835" t="str">
        <f>IF(A835="","",IF(A835="[FÓRMULA MANUAL]","",IFERROR(AVERAGEIFS(nNOTA,nNIA,A835,nCUENTA,1,nASIG,"Orquesta/Banda/Conjunto"),"")))</f>
        <v/>
      </c>
      <c r="D835" t="str">
        <f>IF(A835="","",IF(A835="[FÓRMULA MANUAL]","",IFERROR(AVERAGEIFS(nNOTA,nNIA,A835,nCUENTA,1,nASIG,"Conjunto"),"")))</f>
        <v/>
      </c>
      <c r="E835" t="str">
        <f>IF(A835="","",IF(A835="[FÓRMULA MANUAL]","",IFERROR(SUMPRODUCT((nNIA=A835)*(nCUENTA=1)*(COUNTIF(CONFIG_ASIGNATURAS!$B$7:$B$27,nASIG)&gt;0)*(nNOTA))/SUMPRODUCT((nNIA=A835)*(nCUENTA=1)*(COUNTIF(CONFIG_ASIGNATURAS!$B$7:$B$27,nASIG)&gt;0)*1),"")))</f>
        <v/>
      </c>
      <c r="H835" t="str">
        <f>IF(G835="","",IF(G835="[FÓRMULA MANUAL]","",IFERROR(AVERAGEIFS(nNOTA,nNIA,G835,nCUENTA,1,nASIG,"Lenguaje Musical"),"")))</f>
        <v/>
      </c>
      <c r="I835" t="str">
        <f>IF(G835="","",IF(G835="[FÓRMULA MANUAL]","",IFERROR(AVERAGEIFS(nNOTA,nNIA,G835,nCUENTA,1,nASIG,"Orquesta/Banda/Conjunto"),"")))</f>
        <v/>
      </c>
      <c r="J835" t="str">
        <f>IF(G835="","",IF(G835="[FÓRMULA MANUAL]","",IFERROR(AVERAGEIFS(nNOTA,nNIA,G835,nCUENTA,1,nASIG,"Conjunto"),"")))</f>
        <v/>
      </c>
      <c r="K835" t="str">
        <f>IF(G835="","",IF(G835="[FÓRMULA MANUAL]","",IFERROR(SUMPRODUCT((nNIA=G835)*(nCUENTA=1)*(COUNTIF(CONFIG_ASIGNATURAS!$B$7:$B$27,nASIG)&gt;0)*(nNOTA))/SUMPRODUCT((nNIA=G835)*(nCUENTA=1)*(COUNTIF(CONFIG_ASIGNATURAS!$B$7:$B$27,nASIG)&gt;0)*1),"")))</f>
        <v/>
      </c>
      <c r="N835" t="str">
        <f>IF(M835="","",IF(M835="[FÓRMULA MANUAL]","",IFERROR(AVERAGEIFS(nNOTA,nNIA,M835,nCUENTA,1,nASIG,"Armonía"),"")))</f>
        <v/>
      </c>
      <c r="O835" t="str">
        <f>IF(M835="","",IF(M835="[FÓRMULA MANUAL]","",IFERROR(AVERAGEIFS(nNOTA,nNIA,M835,nCUENTA,1,nASIG,"Orquesta/Banda/Conjunto"),"")))</f>
        <v/>
      </c>
      <c r="P835" t="str">
        <f>IF(M835="","",IF(M835="[FÓRMULA MANUAL]","",IFERROR(AVERAGEIFS(nNOTA,nNIA,M835,nCUENTA,1,nASIG,"Música de Cámara"),"")))</f>
        <v/>
      </c>
      <c r="Q835" t="str">
        <f>IF(M835="","",IF(M835="[FÓRMULA MANUAL]","",IFERROR(SUMPRODUCT((nNIA=M835)*(nCUENTA=1)*(COUNTIF(CONFIG_ASIGNATURAS!$B$7:$B$27,nASIG)&gt;0)*(nNOTA))/SUMPRODUCT((nNIA=M835)*(nCUENTA=1)*(COUNTIF(CONFIG_ASIGNATURAS!$B$7:$B$27,nASIG)&gt;0)*1),"")))</f>
        <v/>
      </c>
      <c r="T835" t="str">
        <f>IF(S835="","",IF(S835="[FÓRMULA MANUAL]","",IFERROR(AVERAGEIFS(nNOTA,nNIA,S835,nCUENTA,1,nASIG,"Armonía"),"")))</f>
        <v/>
      </c>
      <c r="U835" t="str">
        <f>IF(S835="","",IF(S835="[FÓRMULA MANUAL]","",IFERROR(AVERAGEIFS(nNOTA,nNIA,S835,nCUENTA,1,nASIG,"Orquesta/Banda/Conjunto"),"")))</f>
        <v/>
      </c>
      <c r="V835" t="str">
        <f>IF(S835="","",IF(S835="[FÓRMULA MANUAL]","",IFERROR(AVERAGEIFS(nNOTA,nNIA,S835,nCUENTA,1,nASIG,"Música de Cámara"),"")))</f>
        <v/>
      </c>
      <c r="W835" t="str">
        <f>IF(S835="","",IF(S835="[FÓRMULA MANUAL]","",IFERROR(SUMPRODUCT((nNIA=S835)*(nCUENTA=1)*(COUNTIF(CONFIG_ASIGNATURAS!$B$7:$B$27,nASIG)&gt;0)*(nNOTA))/SUMPRODUCT((nNIA=S835)*(nCUENTA=1)*(COUNTIF(CONFIG_ASIGNATURAS!$B$7:$B$27,nASIG)&gt;0)*1),"")))</f>
        <v/>
      </c>
      <c r="Z835" t="str">
        <f>IF(Y835="","",IF(Y835="[FÓRMULA MANUAL]","",IFERROR(AVERAGEIFS(nNOTA,nNIA,Y835,nCUENTA,1,nASIG,"Análisis"),"")))</f>
        <v/>
      </c>
      <c r="AA835" t="str">
        <f>IF(Y835="","",IF(Y835="[FÓRMULA MANUAL]","",IFERROR(AVERAGEIFS(nNOTA,nNIA,Y835,nCUENTA,1,nASIG,"Orquesta/Banda/Conjunto"),"")))</f>
        <v/>
      </c>
      <c r="AB835" t="str">
        <f>IF(Y835="","",IF(Y835="[FÓRMULA MANUAL]","",IFERROR(AVERAGEIFS(nNOTA,nNIA,Y835,nCUENTA,1,nASIG,"Música de Cámara"),"")))</f>
        <v/>
      </c>
      <c r="AC835" t="str">
        <f>IF(Y835="","",IF(Y835="[FÓRMULA MANUAL]","",IFERROR(SUMPRODUCT((nNIA=Y835)*(nCUENTA=1)*(COUNTIF(CONFIG_ASIGNATURAS!$B$7:$B$27,nASIG)&gt;0)*(nNOTA))/SUMPRODUCT((nNIA=Y835)*(nCUENTA=1)*(COUNTIF(CONFIG_ASIGNATURAS!$B$7:$B$27,nASIG)&gt;0)*1),"")))</f>
        <v/>
      </c>
      <c r="AF835" t="str">
        <f>IF(AE835="","",IF(AE835="[FÓRMULA MANUAL]","",IFERROR(AVERAGEIFS(nNOTA,nNIA,AE835,nCUENTA,1,nASIG,"Análisis"),"")))</f>
        <v/>
      </c>
      <c r="AG835" t="str">
        <f>IF(AE835="","",IF(AE835="[FÓRMULA MANUAL]","",IFERROR(AVERAGEIFS(nNOTA,nNIA,AE835,nCUENTA,1,nASIG,"Orquesta/Banda/Conjunto"),"")))</f>
        <v/>
      </c>
      <c r="AH835" t="str">
        <f>IF(AE835="","",IF(AE835="[FÓRMULA MANUAL]","",IFERROR(AVERAGEIFS(nNOTA,nNIA,AE835,nCUENTA,1,nASIG,"Música de Cámara"),"")))</f>
        <v/>
      </c>
      <c r="AI835" t="str">
        <f>IF(AE835="","",IF(AE835="[FÓRMULA MANUAL]","",IFERROR(SUMPRODUCT((nNIA=AE835)*(nCUENTA=1)*(COUNTIF(CONFIG_ASIGNATURAS!$B$7:$B$27,nASIG)&gt;0)*(nNOTA))/SUMPRODUCT((nNIA=AE835)*(nCUENTA=1)*(COUNTIF(CONFIG_ASIGNATURAS!$B$7:$B$27,nASIG)&gt;0)*1),"")))</f>
        <v/>
      </c>
    </row>
    <row r="836" spans="2:35" x14ac:dyDescent="0.2">
      <c r="B836" t="str">
        <f>IF(A836="","",IF(A836="[FÓRMULA MANUAL]","",IFERROR(AVERAGEIFS(nNOTA,nNIA,A836,nCUENTA,1,nASIG,"Lenguaje Musical"),"")))</f>
        <v/>
      </c>
      <c r="C836" t="str">
        <f>IF(A836="","",IF(A836="[FÓRMULA MANUAL]","",IFERROR(AVERAGEIFS(nNOTA,nNIA,A836,nCUENTA,1,nASIG,"Orquesta/Banda/Conjunto"),"")))</f>
        <v/>
      </c>
      <c r="D836" t="str">
        <f>IF(A836="","",IF(A836="[FÓRMULA MANUAL]","",IFERROR(AVERAGEIFS(nNOTA,nNIA,A836,nCUENTA,1,nASIG,"Conjunto"),"")))</f>
        <v/>
      </c>
      <c r="E836" t="str">
        <f>IF(A836="","",IF(A836="[FÓRMULA MANUAL]","",IFERROR(SUMPRODUCT((nNIA=A836)*(nCUENTA=1)*(COUNTIF(CONFIG_ASIGNATURAS!$B$7:$B$27,nASIG)&gt;0)*(nNOTA))/SUMPRODUCT((nNIA=A836)*(nCUENTA=1)*(COUNTIF(CONFIG_ASIGNATURAS!$B$7:$B$27,nASIG)&gt;0)*1),"")))</f>
        <v/>
      </c>
      <c r="H836" t="str">
        <f>IF(G836="","",IF(G836="[FÓRMULA MANUAL]","",IFERROR(AVERAGEIFS(nNOTA,nNIA,G836,nCUENTA,1,nASIG,"Lenguaje Musical"),"")))</f>
        <v/>
      </c>
      <c r="I836" t="str">
        <f>IF(G836="","",IF(G836="[FÓRMULA MANUAL]","",IFERROR(AVERAGEIFS(nNOTA,nNIA,G836,nCUENTA,1,nASIG,"Orquesta/Banda/Conjunto"),"")))</f>
        <v/>
      </c>
      <c r="J836" t="str">
        <f>IF(G836="","",IF(G836="[FÓRMULA MANUAL]","",IFERROR(AVERAGEIFS(nNOTA,nNIA,G836,nCUENTA,1,nASIG,"Conjunto"),"")))</f>
        <v/>
      </c>
      <c r="K836" t="str">
        <f>IF(G836="","",IF(G836="[FÓRMULA MANUAL]","",IFERROR(SUMPRODUCT((nNIA=G836)*(nCUENTA=1)*(COUNTIF(CONFIG_ASIGNATURAS!$B$7:$B$27,nASIG)&gt;0)*(nNOTA))/SUMPRODUCT((nNIA=G836)*(nCUENTA=1)*(COUNTIF(CONFIG_ASIGNATURAS!$B$7:$B$27,nASIG)&gt;0)*1),"")))</f>
        <v/>
      </c>
      <c r="N836" t="str">
        <f>IF(M836="","",IF(M836="[FÓRMULA MANUAL]","",IFERROR(AVERAGEIFS(nNOTA,nNIA,M836,nCUENTA,1,nASIG,"Armonía"),"")))</f>
        <v/>
      </c>
      <c r="O836" t="str">
        <f>IF(M836="","",IF(M836="[FÓRMULA MANUAL]","",IFERROR(AVERAGEIFS(nNOTA,nNIA,M836,nCUENTA,1,nASIG,"Orquesta/Banda/Conjunto"),"")))</f>
        <v/>
      </c>
      <c r="P836" t="str">
        <f>IF(M836="","",IF(M836="[FÓRMULA MANUAL]","",IFERROR(AVERAGEIFS(nNOTA,nNIA,M836,nCUENTA,1,nASIG,"Música de Cámara"),"")))</f>
        <v/>
      </c>
      <c r="Q836" t="str">
        <f>IF(M836="","",IF(M836="[FÓRMULA MANUAL]","",IFERROR(SUMPRODUCT((nNIA=M836)*(nCUENTA=1)*(COUNTIF(CONFIG_ASIGNATURAS!$B$7:$B$27,nASIG)&gt;0)*(nNOTA))/SUMPRODUCT((nNIA=M836)*(nCUENTA=1)*(COUNTIF(CONFIG_ASIGNATURAS!$B$7:$B$27,nASIG)&gt;0)*1),"")))</f>
        <v/>
      </c>
      <c r="T836" t="str">
        <f>IF(S836="","",IF(S836="[FÓRMULA MANUAL]","",IFERROR(AVERAGEIFS(nNOTA,nNIA,S836,nCUENTA,1,nASIG,"Armonía"),"")))</f>
        <v/>
      </c>
      <c r="U836" t="str">
        <f>IF(S836="","",IF(S836="[FÓRMULA MANUAL]","",IFERROR(AVERAGEIFS(nNOTA,nNIA,S836,nCUENTA,1,nASIG,"Orquesta/Banda/Conjunto"),"")))</f>
        <v/>
      </c>
      <c r="V836" t="str">
        <f>IF(S836="","",IF(S836="[FÓRMULA MANUAL]","",IFERROR(AVERAGEIFS(nNOTA,nNIA,S836,nCUENTA,1,nASIG,"Música de Cámara"),"")))</f>
        <v/>
      </c>
      <c r="W836" t="str">
        <f>IF(S836="","",IF(S836="[FÓRMULA MANUAL]","",IFERROR(SUMPRODUCT((nNIA=S836)*(nCUENTA=1)*(COUNTIF(CONFIG_ASIGNATURAS!$B$7:$B$27,nASIG)&gt;0)*(nNOTA))/SUMPRODUCT((nNIA=S836)*(nCUENTA=1)*(COUNTIF(CONFIG_ASIGNATURAS!$B$7:$B$27,nASIG)&gt;0)*1),"")))</f>
        <v/>
      </c>
      <c r="Z836" t="str">
        <f>IF(Y836="","",IF(Y836="[FÓRMULA MANUAL]","",IFERROR(AVERAGEIFS(nNOTA,nNIA,Y836,nCUENTA,1,nASIG,"Análisis"),"")))</f>
        <v/>
      </c>
      <c r="AA836" t="str">
        <f>IF(Y836="","",IF(Y836="[FÓRMULA MANUAL]","",IFERROR(AVERAGEIFS(nNOTA,nNIA,Y836,nCUENTA,1,nASIG,"Orquesta/Banda/Conjunto"),"")))</f>
        <v/>
      </c>
      <c r="AB836" t="str">
        <f>IF(Y836="","",IF(Y836="[FÓRMULA MANUAL]","",IFERROR(AVERAGEIFS(nNOTA,nNIA,Y836,nCUENTA,1,nASIG,"Música de Cámara"),"")))</f>
        <v/>
      </c>
      <c r="AC836" t="str">
        <f>IF(Y836="","",IF(Y836="[FÓRMULA MANUAL]","",IFERROR(SUMPRODUCT((nNIA=Y836)*(nCUENTA=1)*(COUNTIF(CONFIG_ASIGNATURAS!$B$7:$B$27,nASIG)&gt;0)*(nNOTA))/SUMPRODUCT((nNIA=Y836)*(nCUENTA=1)*(COUNTIF(CONFIG_ASIGNATURAS!$B$7:$B$27,nASIG)&gt;0)*1),"")))</f>
        <v/>
      </c>
      <c r="AF836" t="str">
        <f>IF(AE836="","",IF(AE836="[FÓRMULA MANUAL]","",IFERROR(AVERAGEIFS(nNOTA,nNIA,AE836,nCUENTA,1,nASIG,"Análisis"),"")))</f>
        <v/>
      </c>
      <c r="AG836" t="str">
        <f>IF(AE836="","",IF(AE836="[FÓRMULA MANUAL]","",IFERROR(AVERAGEIFS(nNOTA,nNIA,AE836,nCUENTA,1,nASIG,"Orquesta/Banda/Conjunto"),"")))</f>
        <v/>
      </c>
      <c r="AH836" t="str">
        <f>IF(AE836="","",IF(AE836="[FÓRMULA MANUAL]","",IFERROR(AVERAGEIFS(nNOTA,nNIA,AE836,nCUENTA,1,nASIG,"Música de Cámara"),"")))</f>
        <v/>
      </c>
      <c r="AI836" t="str">
        <f>IF(AE836="","",IF(AE836="[FÓRMULA MANUAL]","",IFERROR(SUMPRODUCT((nNIA=AE836)*(nCUENTA=1)*(COUNTIF(CONFIG_ASIGNATURAS!$B$7:$B$27,nASIG)&gt;0)*(nNOTA))/SUMPRODUCT((nNIA=AE836)*(nCUENTA=1)*(COUNTIF(CONFIG_ASIGNATURAS!$B$7:$B$27,nASIG)&gt;0)*1),"")))</f>
        <v/>
      </c>
    </row>
    <row r="837" spans="2:35" x14ac:dyDescent="0.2">
      <c r="B837" t="str">
        <f>IF(A837="","",IF(A837="[FÓRMULA MANUAL]","",IFERROR(AVERAGEIFS(nNOTA,nNIA,A837,nCUENTA,1,nASIG,"Lenguaje Musical"),"")))</f>
        <v/>
      </c>
      <c r="C837" t="str">
        <f>IF(A837="","",IF(A837="[FÓRMULA MANUAL]","",IFERROR(AVERAGEIFS(nNOTA,nNIA,A837,nCUENTA,1,nASIG,"Orquesta/Banda/Conjunto"),"")))</f>
        <v/>
      </c>
      <c r="D837" t="str">
        <f>IF(A837="","",IF(A837="[FÓRMULA MANUAL]","",IFERROR(AVERAGEIFS(nNOTA,nNIA,A837,nCUENTA,1,nASIG,"Conjunto"),"")))</f>
        <v/>
      </c>
      <c r="E837" t="str">
        <f>IF(A837="","",IF(A837="[FÓRMULA MANUAL]","",IFERROR(SUMPRODUCT((nNIA=A837)*(nCUENTA=1)*(COUNTIF(CONFIG_ASIGNATURAS!$B$7:$B$27,nASIG)&gt;0)*(nNOTA))/SUMPRODUCT((nNIA=A837)*(nCUENTA=1)*(COUNTIF(CONFIG_ASIGNATURAS!$B$7:$B$27,nASIG)&gt;0)*1),"")))</f>
        <v/>
      </c>
      <c r="H837" t="str">
        <f>IF(G837="","",IF(G837="[FÓRMULA MANUAL]","",IFERROR(AVERAGEIFS(nNOTA,nNIA,G837,nCUENTA,1,nASIG,"Lenguaje Musical"),"")))</f>
        <v/>
      </c>
      <c r="I837" t="str">
        <f>IF(G837="","",IF(G837="[FÓRMULA MANUAL]","",IFERROR(AVERAGEIFS(nNOTA,nNIA,G837,nCUENTA,1,nASIG,"Orquesta/Banda/Conjunto"),"")))</f>
        <v/>
      </c>
      <c r="J837" t="str">
        <f>IF(G837="","",IF(G837="[FÓRMULA MANUAL]","",IFERROR(AVERAGEIFS(nNOTA,nNIA,G837,nCUENTA,1,nASIG,"Conjunto"),"")))</f>
        <v/>
      </c>
      <c r="K837" t="str">
        <f>IF(G837="","",IF(G837="[FÓRMULA MANUAL]","",IFERROR(SUMPRODUCT((nNIA=G837)*(nCUENTA=1)*(COUNTIF(CONFIG_ASIGNATURAS!$B$7:$B$27,nASIG)&gt;0)*(nNOTA))/SUMPRODUCT((nNIA=G837)*(nCUENTA=1)*(COUNTIF(CONFIG_ASIGNATURAS!$B$7:$B$27,nASIG)&gt;0)*1),"")))</f>
        <v/>
      </c>
      <c r="N837" t="str">
        <f>IF(M837="","",IF(M837="[FÓRMULA MANUAL]","",IFERROR(AVERAGEIFS(nNOTA,nNIA,M837,nCUENTA,1,nASIG,"Armonía"),"")))</f>
        <v/>
      </c>
      <c r="O837" t="str">
        <f>IF(M837="","",IF(M837="[FÓRMULA MANUAL]","",IFERROR(AVERAGEIFS(nNOTA,nNIA,M837,nCUENTA,1,nASIG,"Orquesta/Banda/Conjunto"),"")))</f>
        <v/>
      </c>
      <c r="P837" t="str">
        <f>IF(M837="","",IF(M837="[FÓRMULA MANUAL]","",IFERROR(AVERAGEIFS(nNOTA,nNIA,M837,nCUENTA,1,nASIG,"Música de Cámara"),"")))</f>
        <v/>
      </c>
      <c r="Q837" t="str">
        <f>IF(M837="","",IF(M837="[FÓRMULA MANUAL]","",IFERROR(SUMPRODUCT((nNIA=M837)*(nCUENTA=1)*(COUNTIF(CONFIG_ASIGNATURAS!$B$7:$B$27,nASIG)&gt;0)*(nNOTA))/SUMPRODUCT((nNIA=M837)*(nCUENTA=1)*(COUNTIF(CONFIG_ASIGNATURAS!$B$7:$B$27,nASIG)&gt;0)*1),"")))</f>
        <v/>
      </c>
      <c r="T837" t="str">
        <f>IF(S837="","",IF(S837="[FÓRMULA MANUAL]","",IFERROR(AVERAGEIFS(nNOTA,nNIA,S837,nCUENTA,1,nASIG,"Armonía"),"")))</f>
        <v/>
      </c>
      <c r="U837" t="str">
        <f>IF(S837="","",IF(S837="[FÓRMULA MANUAL]","",IFERROR(AVERAGEIFS(nNOTA,nNIA,S837,nCUENTA,1,nASIG,"Orquesta/Banda/Conjunto"),"")))</f>
        <v/>
      </c>
      <c r="V837" t="str">
        <f>IF(S837="","",IF(S837="[FÓRMULA MANUAL]","",IFERROR(AVERAGEIFS(nNOTA,nNIA,S837,nCUENTA,1,nASIG,"Música de Cámara"),"")))</f>
        <v/>
      </c>
      <c r="W837" t="str">
        <f>IF(S837="","",IF(S837="[FÓRMULA MANUAL]","",IFERROR(SUMPRODUCT((nNIA=S837)*(nCUENTA=1)*(COUNTIF(CONFIG_ASIGNATURAS!$B$7:$B$27,nASIG)&gt;0)*(nNOTA))/SUMPRODUCT((nNIA=S837)*(nCUENTA=1)*(COUNTIF(CONFIG_ASIGNATURAS!$B$7:$B$27,nASIG)&gt;0)*1),"")))</f>
        <v/>
      </c>
      <c r="Z837" t="str">
        <f>IF(Y837="","",IF(Y837="[FÓRMULA MANUAL]","",IFERROR(AVERAGEIFS(nNOTA,nNIA,Y837,nCUENTA,1,nASIG,"Análisis"),"")))</f>
        <v/>
      </c>
      <c r="AA837" t="str">
        <f>IF(Y837="","",IF(Y837="[FÓRMULA MANUAL]","",IFERROR(AVERAGEIFS(nNOTA,nNIA,Y837,nCUENTA,1,nASIG,"Orquesta/Banda/Conjunto"),"")))</f>
        <v/>
      </c>
      <c r="AB837" t="str">
        <f>IF(Y837="","",IF(Y837="[FÓRMULA MANUAL]","",IFERROR(AVERAGEIFS(nNOTA,nNIA,Y837,nCUENTA,1,nASIG,"Música de Cámara"),"")))</f>
        <v/>
      </c>
      <c r="AC837" t="str">
        <f>IF(Y837="","",IF(Y837="[FÓRMULA MANUAL]","",IFERROR(SUMPRODUCT((nNIA=Y837)*(nCUENTA=1)*(COUNTIF(CONFIG_ASIGNATURAS!$B$7:$B$27,nASIG)&gt;0)*(nNOTA))/SUMPRODUCT((nNIA=Y837)*(nCUENTA=1)*(COUNTIF(CONFIG_ASIGNATURAS!$B$7:$B$27,nASIG)&gt;0)*1),"")))</f>
        <v/>
      </c>
      <c r="AF837" t="str">
        <f>IF(AE837="","",IF(AE837="[FÓRMULA MANUAL]","",IFERROR(AVERAGEIFS(nNOTA,nNIA,AE837,nCUENTA,1,nASIG,"Análisis"),"")))</f>
        <v/>
      </c>
      <c r="AG837" t="str">
        <f>IF(AE837="","",IF(AE837="[FÓRMULA MANUAL]","",IFERROR(AVERAGEIFS(nNOTA,nNIA,AE837,nCUENTA,1,nASIG,"Orquesta/Banda/Conjunto"),"")))</f>
        <v/>
      </c>
      <c r="AH837" t="str">
        <f>IF(AE837="","",IF(AE837="[FÓRMULA MANUAL]","",IFERROR(AVERAGEIFS(nNOTA,nNIA,AE837,nCUENTA,1,nASIG,"Música de Cámara"),"")))</f>
        <v/>
      </c>
      <c r="AI837" t="str">
        <f>IF(AE837="","",IF(AE837="[FÓRMULA MANUAL]","",IFERROR(SUMPRODUCT((nNIA=AE837)*(nCUENTA=1)*(COUNTIF(CONFIG_ASIGNATURAS!$B$7:$B$27,nASIG)&gt;0)*(nNOTA))/SUMPRODUCT((nNIA=AE837)*(nCUENTA=1)*(COUNTIF(CONFIG_ASIGNATURAS!$B$7:$B$27,nASIG)&gt;0)*1),"")))</f>
        <v/>
      </c>
    </row>
    <row r="838" spans="2:35" x14ac:dyDescent="0.2">
      <c r="B838" t="str">
        <f>IF(A838="","",IF(A838="[FÓRMULA MANUAL]","",IFERROR(AVERAGEIFS(nNOTA,nNIA,A838,nCUENTA,1,nASIG,"Lenguaje Musical"),"")))</f>
        <v/>
      </c>
      <c r="C838" t="str">
        <f>IF(A838="","",IF(A838="[FÓRMULA MANUAL]","",IFERROR(AVERAGEIFS(nNOTA,nNIA,A838,nCUENTA,1,nASIG,"Orquesta/Banda/Conjunto"),"")))</f>
        <v/>
      </c>
      <c r="D838" t="str">
        <f>IF(A838="","",IF(A838="[FÓRMULA MANUAL]","",IFERROR(AVERAGEIFS(nNOTA,nNIA,A838,nCUENTA,1,nASIG,"Conjunto"),"")))</f>
        <v/>
      </c>
      <c r="E838" t="str">
        <f>IF(A838="","",IF(A838="[FÓRMULA MANUAL]","",IFERROR(SUMPRODUCT((nNIA=A838)*(nCUENTA=1)*(COUNTIF(CONFIG_ASIGNATURAS!$B$7:$B$27,nASIG)&gt;0)*(nNOTA))/SUMPRODUCT((nNIA=A838)*(nCUENTA=1)*(COUNTIF(CONFIG_ASIGNATURAS!$B$7:$B$27,nASIG)&gt;0)*1),"")))</f>
        <v/>
      </c>
      <c r="H838" t="str">
        <f>IF(G838="","",IF(G838="[FÓRMULA MANUAL]","",IFERROR(AVERAGEIFS(nNOTA,nNIA,G838,nCUENTA,1,nASIG,"Lenguaje Musical"),"")))</f>
        <v/>
      </c>
      <c r="I838" t="str">
        <f>IF(G838="","",IF(G838="[FÓRMULA MANUAL]","",IFERROR(AVERAGEIFS(nNOTA,nNIA,G838,nCUENTA,1,nASIG,"Orquesta/Banda/Conjunto"),"")))</f>
        <v/>
      </c>
      <c r="J838" t="str">
        <f>IF(G838="","",IF(G838="[FÓRMULA MANUAL]","",IFERROR(AVERAGEIFS(nNOTA,nNIA,G838,nCUENTA,1,nASIG,"Conjunto"),"")))</f>
        <v/>
      </c>
      <c r="K838" t="str">
        <f>IF(G838="","",IF(G838="[FÓRMULA MANUAL]","",IFERROR(SUMPRODUCT((nNIA=G838)*(nCUENTA=1)*(COUNTIF(CONFIG_ASIGNATURAS!$B$7:$B$27,nASIG)&gt;0)*(nNOTA))/SUMPRODUCT((nNIA=G838)*(nCUENTA=1)*(COUNTIF(CONFIG_ASIGNATURAS!$B$7:$B$27,nASIG)&gt;0)*1),"")))</f>
        <v/>
      </c>
      <c r="N838" t="str">
        <f>IF(M838="","",IF(M838="[FÓRMULA MANUAL]","",IFERROR(AVERAGEIFS(nNOTA,nNIA,M838,nCUENTA,1,nASIG,"Armonía"),"")))</f>
        <v/>
      </c>
      <c r="O838" t="str">
        <f>IF(M838="","",IF(M838="[FÓRMULA MANUAL]","",IFERROR(AVERAGEIFS(nNOTA,nNIA,M838,nCUENTA,1,nASIG,"Orquesta/Banda/Conjunto"),"")))</f>
        <v/>
      </c>
      <c r="P838" t="str">
        <f>IF(M838="","",IF(M838="[FÓRMULA MANUAL]","",IFERROR(AVERAGEIFS(nNOTA,nNIA,M838,nCUENTA,1,nASIG,"Música de Cámara"),"")))</f>
        <v/>
      </c>
      <c r="Q838" t="str">
        <f>IF(M838="","",IF(M838="[FÓRMULA MANUAL]","",IFERROR(SUMPRODUCT((nNIA=M838)*(nCUENTA=1)*(COUNTIF(CONFIG_ASIGNATURAS!$B$7:$B$27,nASIG)&gt;0)*(nNOTA))/SUMPRODUCT((nNIA=M838)*(nCUENTA=1)*(COUNTIF(CONFIG_ASIGNATURAS!$B$7:$B$27,nASIG)&gt;0)*1),"")))</f>
        <v/>
      </c>
      <c r="T838" t="str">
        <f>IF(S838="","",IF(S838="[FÓRMULA MANUAL]","",IFERROR(AVERAGEIFS(nNOTA,nNIA,S838,nCUENTA,1,nASIG,"Armonía"),"")))</f>
        <v/>
      </c>
      <c r="U838" t="str">
        <f>IF(S838="","",IF(S838="[FÓRMULA MANUAL]","",IFERROR(AVERAGEIFS(nNOTA,nNIA,S838,nCUENTA,1,nASIG,"Orquesta/Banda/Conjunto"),"")))</f>
        <v/>
      </c>
      <c r="V838" t="str">
        <f>IF(S838="","",IF(S838="[FÓRMULA MANUAL]","",IFERROR(AVERAGEIFS(nNOTA,nNIA,S838,nCUENTA,1,nASIG,"Música de Cámara"),"")))</f>
        <v/>
      </c>
      <c r="W838" t="str">
        <f>IF(S838="","",IF(S838="[FÓRMULA MANUAL]","",IFERROR(SUMPRODUCT((nNIA=S838)*(nCUENTA=1)*(COUNTIF(CONFIG_ASIGNATURAS!$B$7:$B$27,nASIG)&gt;0)*(nNOTA))/SUMPRODUCT((nNIA=S838)*(nCUENTA=1)*(COUNTIF(CONFIG_ASIGNATURAS!$B$7:$B$27,nASIG)&gt;0)*1),"")))</f>
        <v/>
      </c>
      <c r="Z838" t="str">
        <f>IF(Y838="","",IF(Y838="[FÓRMULA MANUAL]","",IFERROR(AVERAGEIFS(nNOTA,nNIA,Y838,nCUENTA,1,nASIG,"Análisis"),"")))</f>
        <v/>
      </c>
      <c r="AA838" t="str">
        <f>IF(Y838="","",IF(Y838="[FÓRMULA MANUAL]","",IFERROR(AVERAGEIFS(nNOTA,nNIA,Y838,nCUENTA,1,nASIG,"Orquesta/Banda/Conjunto"),"")))</f>
        <v/>
      </c>
      <c r="AB838" t="str">
        <f>IF(Y838="","",IF(Y838="[FÓRMULA MANUAL]","",IFERROR(AVERAGEIFS(nNOTA,nNIA,Y838,nCUENTA,1,nASIG,"Música de Cámara"),"")))</f>
        <v/>
      </c>
      <c r="AC838" t="str">
        <f>IF(Y838="","",IF(Y838="[FÓRMULA MANUAL]","",IFERROR(SUMPRODUCT((nNIA=Y838)*(nCUENTA=1)*(COUNTIF(CONFIG_ASIGNATURAS!$B$7:$B$27,nASIG)&gt;0)*(nNOTA))/SUMPRODUCT((nNIA=Y838)*(nCUENTA=1)*(COUNTIF(CONFIG_ASIGNATURAS!$B$7:$B$27,nASIG)&gt;0)*1),"")))</f>
        <v/>
      </c>
      <c r="AF838" t="str">
        <f>IF(AE838="","",IF(AE838="[FÓRMULA MANUAL]","",IFERROR(AVERAGEIFS(nNOTA,nNIA,AE838,nCUENTA,1,nASIG,"Análisis"),"")))</f>
        <v/>
      </c>
      <c r="AG838" t="str">
        <f>IF(AE838="","",IF(AE838="[FÓRMULA MANUAL]","",IFERROR(AVERAGEIFS(nNOTA,nNIA,AE838,nCUENTA,1,nASIG,"Orquesta/Banda/Conjunto"),"")))</f>
        <v/>
      </c>
      <c r="AH838" t="str">
        <f>IF(AE838="","",IF(AE838="[FÓRMULA MANUAL]","",IFERROR(AVERAGEIFS(nNOTA,nNIA,AE838,nCUENTA,1,nASIG,"Música de Cámara"),"")))</f>
        <v/>
      </c>
      <c r="AI838" t="str">
        <f>IF(AE838="","",IF(AE838="[FÓRMULA MANUAL]","",IFERROR(SUMPRODUCT((nNIA=AE838)*(nCUENTA=1)*(COUNTIF(CONFIG_ASIGNATURAS!$B$7:$B$27,nASIG)&gt;0)*(nNOTA))/SUMPRODUCT((nNIA=AE838)*(nCUENTA=1)*(COUNTIF(CONFIG_ASIGNATURAS!$B$7:$B$27,nASIG)&gt;0)*1),"")))</f>
        <v/>
      </c>
    </row>
    <row r="839" spans="2:35" x14ac:dyDescent="0.2">
      <c r="B839" t="str">
        <f>IF(A839="","",IF(A839="[FÓRMULA MANUAL]","",IFERROR(AVERAGEIFS(nNOTA,nNIA,A839,nCUENTA,1,nASIG,"Lenguaje Musical"),"")))</f>
        <v/>
      </c>
      <c r="C839" t="str">
        <f>IF(A839="","",IF(A839="[FÓRMULA MANUAL]","",IFERROR(AVERAGEIFS(nNOTA,nNIA,A839,nCUENTA,1,nASIG,"Orquesta/Banda/Conjunto"),"")))</f>
        <v/>
      </c>
      <c r="D839" t="str">
        <f>IF(A839="","",IF(A839="[FÓRMULA MANUAL]","",IFERROR(AVERAGEIFS(nNOTA,nNIA,A839,nCUENTA,1,nASIG,"Conjunto"),"")))</f>
        <v/>
      </c>
      <c r="E839" t="str">
        <f>IF(A839="","",IF(A839="[FÓRMULA MANUAL]","",IFERROR(SUMPRODUCT((nNIA=A839)*(nCUENTA=1)*(COUNTIF(CONFIG_ASIGNATURAS!$B$7:$B$27,nASIG)&gt;0)*(nNOTA))/SUMPRODUCT((nNIA=A839)*(nCUENTA=1)*(COUNTIF(CONFIG_ASIGNATURAS!$B$7:$B$27,nASIG)&gt;0)*1),"")))</f>
        <v/>
      </c>
      <c r="H839" t="str">
        <f>IF(G839="","",IF(G839="[FÓRMULA MANUAL]","",IFERROR(AVERAGEIFS(nNOTA,nNIA,G839,nCUENTA,1,nASIG,"Lenguaje Musical"),"")))</f>
        <v/>
      </c>
      <c r="I839" t="str">
        <f>IF(G839="","",IF(G839="[FÓRMULA MANUAL]","",IFERROR(AVERAGEIFS(nNOTA,nNIA,G839,nCUENTA,1,nASIG,"Orquesta/Banda/Conjunto"),"")))</f>
        <v/>
      </c>
      <c r="J839" t="str">
        <f>IF(G839="","",IF(G839="[FÓRMULA MANUAL]","",IFERROR(AVERAGEIFS(nNOTA,nNIA,G839,nCUENTA,1,nASIG,"Conjunto"),"")))</f>
        <v/>
      </c>
      <c r="K839" t="str">
        <f>IF(G839="","",IF(G839="[FÓRMULA MANUAL]","",IFERROR(SUMPRODUCT((nNIA=G839)*(nCUENTA=1)*(COUNTIF(CONFIG_ASIGNATURAS!$B$7:$B$27,nASIG)&gt;0)*(nNOTA))/SUMPRODUCT((nNIA=G839)*(nCUENTA=1)*(COUNTIF(CONFIG_ASIGNATURAS!$B$7:$B$27,nASIG)&gt;0)*1),"")))</f>
        <v/>
      </c>
      <c r="N839" t="str">
        <f>IF(M839="","",IF(M839="[FÓRMULA MANUAL]","",IFERROR(AVERAGEIFS(nNOTA,nNIA,M839,nCUENTA,1,nASIG,"Armonía"),"")))</f>
        <v/>
      </c>
      <c r="O839" t="str">
        <f>IF(M839="","",IF(M839="[FÓRMULA MANUAL]","",IFERROR(AVERAGEIFS(nNOTA,nNIA,M839,nCUENTA,1,nASIG,"Orquesta/Banda/Conjunto"),"")))</f>
        <v/>
      </c>
      <c r="P839" t="str">
        <f>IF(M839="","",IF(M839="[FÓRMULA MANUAL]","",IFERROR(AVERAGEIFS(nNOTA,nNIA,M839,nCUENTA,1,nASIG,"Música de Cámara"),"")))</f>
        <v/>
      </c>
      <c r="Q839" t="str">
        <f>IF(M839="","",IF(M839="[FÓRMULA MANUAL]","",IFERROR(SUMPRODUCT((nNIA=M839)*(nCUENTA=1)*(COUNTIF(CONFIG_ASIGNATURAS!$B$7:$B$27,nASIG)&gt;0)*(nNOTA))/SUMPRODUCT((nNIA=M839)*(nCUENTA=1)*(COUNTIF(CONFIG_ASIGNATURAS!$B$7:$B$27,nASIG)&gt;0)*1),"")))</f>
        <v/>
      </c>
      <c r="T839" t="str">
        <f>IF(S839="","",IF(S839="[FÓRMULA MANUAL]","",IFERROR(AVERAGEIFS(nNOTA,nNIA,S839,nCUENTA,1,nASIG,"Armonía"),"")))</f>
        <v/>
      </c>
      <c r="U839" t="str">
        <f>IF(S839="","",IF(S839="[FÓRMULA MANUAL]","",IFERROR(AVERAGEIFS(nNOTA,nNIA,S839,nCUENTA,1,nASIG,"Orquesta/Banda/Conjunto"),"")))</f>
        <v/>
      </c>
      <c r="V839" t="str">
        <f>IF(S839="","",IF(S839="[FÓRMULA MANUAL]","",IFERROR(AVERAGEIFS(nNOTA,nNIA,S839,nCUENTA,1,nASIG,"Música de Cámara"),"")))</f>
        <v/>
      </c>
      <c r="W839" t="str">
        <f>IF(S839="","",IF(S839="[FÓRMULA MANUAL]","",IFERROR(SUMPRODUCT((nNIA=S839)*(nCUENTA=1)*(COUNTIF(CONFIG_ASIGNATURAS!$B$7:$B$27,nASIG)&gt;0)*(nNOTA))/SUMPRODUCT((nNIA=S839)*(nCUENTA=1)*(COUNTIF(CONFIG_ASIGNATURAS!$B$7:$B$27,nASIG)&gt;0)*1),"")))</f>
        <v/>
      </c>
      <c r="Z839" t="str">
        <f>IF(Y839="","",IF(Y839="[FÓRMULA MANUAL]","",IFERROR(AVERAGEIFS(nNOTA,nNIA,Y839,nCUENTA,1,nASIG,"Análisis"),"")))</f>
        <v/>
      </c>
      <c r="AA839" t="str">
        <f>IF(Y839="","",IF(Y839="[FÓRMULA MANUAL]","",IFERROR(AVERAGEIFS(nNOTA,nNIA,Y839,nCUENTA,1,nASIG,"Orquesta/Banda/Conjunto"),"")))</f>
        <v/>
      </c>
      <c r="AB839" t="str">
        <f>IF(Y839="","",IF(Y839="[FÓRMULA MANUAL]","",IFERROR(AVERAGEIFS(nNOTA,nNIA,Y839,nCUENTA,1,nASIG,"Música de Cámara"),"")))</f>
        <v/>
      </c>
      <c r="AC839" t="str">
        <f>IF(Y839="","",IF(Y839="[FÓRMULA MANUAL]","",IFERROR(SUMPRODUCT((nNIA=Y839)*(nCUENTA=1)*(COUNTIF(CONFIG_ASIGNATURAS!$B$7:$B$27,nASIG)&gt;0)*(nNOTA))/SUMPRODUCT((nNIA=Y839)*(nCUENTA=1)*(COUNTIF(CONFIG_ASIGNATURAS!$B$7:$B$27,nASIG)&gt;0)*1),"")))</f>
        <v/>
      </c>
      <c r="AF839" t="str">
        <f>IF(AE839="","",IF(AE839="[FÓRMULA MANUAL]","",IFERROR(AVERAGEIFS(nNOTA,nNIA,AE839,nCUENTA,1,nASIG,"Análisis"),"")))</f>
        <v/>
      </c>
      <c r="AG839" t="str">
        <f>IF(AE839="","",IF(AE839="[FÓRMULA MANUAL]","",IFERROR(AVERAGEIFS(nNOTA,nNIA,AE839,nCUENTA,1,nASIG,"Orquesta/Banda/Conjunto"),"")))</f>
        <v/>
      </c>
      <c r="AH839" t="str">
        <f>IF(AE839="","",IF(AE839="[FÓRMULA MANUAL]","",IFERROR(AVERAGEIFS(nNOTA,nNIA,AE839,nCUENTA,1,nASIG,"Música de Cámara"),"")))</f>
        <v/>
      </c>
      <c r="AI839" t="str">
        <f>IF(AE839="","",IF(AE839="[FÓRMULA MANUAL]","",IFERROR(SUMPRODUCT((nNIA=AE839)*(nCUENTA=1)*(COUNTIF(CONFIG_ASIGNATURAS!$B$7:$B$27,nASIG)&gt;0)*(nNOTA))/SUMPRODUCT((nNIA=AE839)*(nCUENTA=1)*(COUNTIF(CONFIG_ASIGNATURAS!$B$7:$B$27,nASIG)&gt;0)*1),"")))</f>
        <v/>
      </c>
    </row>
    <row r="840" spans="2:35" x14ac:dyDescent="0.2">
      <c r="B840" t="str">
        <f>IF(A840="","",IF(A840="[FÓRMULA MANUAL]","",IFERROR(AVERAGEIFS(nNOTA,nNIA,A840,nCUENTA,1,nASIG,"Lenguaje Musical"),"")))</f>
        <v/>
      </c>
      <c r="C840" t="str">
        <f>IF(A840="","",IF(A840="[FÓRMULA MANUAL]","",IFERROR(AVERAGEIFS(nNOTA,nNIA,A840,nCUENTA,1,nASIG,"Orquesta/Banda/Conjunto"),"")))</f>
        <v/>
      </c>
      <c r="D840" t="str">
        <f>IF(A840="","",IF(A840="[FÓRMULA MANUAL]","",IFERROR(AVERAGEIFS(nNOTA,nNIA,A840,nCUENTA,1,nASIG,"Conjunto"),"")))</f>
        <v/>
      </c>
      <c r="E840" t="str">
        <f>IF(A840="","",IF(A840="[FÓRMULA MANUAL]","",IFERROR(SUMPRODUCT((nNIA=A840)*(nCUENTA=1)*(COUNTIF(CONFIG_ASIGNATURAS!$B$7:$B$27,nASIG)&gt;0)*(nNOTA))/SUMPRODUCT((nNIA=A840)*(nCUENTA=1)*(COUNTIF(CONFIG_ASIGNATURAS!$B$7:$B$27,nASIG)&gt;0)*1),"")))</f>
        <v/>
      </c>
      <c r="H840" t="str">
        <f>IF(G840="","",IF(G840="[FÓRMULA MANUAL]","",IFERROR(AVERAGEIFS(nNOTA,nNIA,G840,nCUENTA,1,nASIG,"Lenguaje Musical"),"")))</f>
        <v/>
      </c>
      <c r="I840" t="str">
        <f>IF(G840="","",IF(G840="[FÓRMULA MANUAL]","",IFERROR(AVERAGEIFS(nNOTA,nNIA,G840,nCUENTA,1,nASIG,"Orquesta/Banda/Conjunto"),"")))</f>
        <v/>
      </c>
      <c r="J840" t="str">
        <f>IF(G840="","",IF(G840="[FÓRMULA MANUAL]","",IFERROR(AVERAGEIFS(nNOTA,nNIA,G840,nCUENTA,1,nASIG,"Conjunto"),"")))</f>
        <v/>
      </c>
      <c r="K840" t="str">
        <f>IF(G840="","",IF(G840="[FÓRMULA MANUAL]","",IFERROR(SUMPRODUCT((nNIA=G840)*(nCUENTA=1)*(COUNTIF(CONFIG_ASIGNATURAS!$B$7:$B$27,nASIG)&gt;0)*(nNOTA))/SUMPRODUCT((nNIA=G840)*(nCUENTA=1)*(COUNTIF(CONFIG_ASIGNATURAS!$B$7:$B$27,nASIG)&gt;0)*1),"")))</f>
        <v/>
      </c>
      <c r="N840" t="str">
        <f>IF(M840="","",IF(M840="[FÓRMULA MANUAL]","",IFERROR(AVERAGEIFS(nNOTA,nNIA,M840,nCUENTA,1,nASIG,"Armonía"),"")))</f>
        <v/>
      </c>
      <c r="O840" t="str">
        <f>IF(M840="","",IF(M840="[FÓRMULA MANUAL]","",IFERROR(AVERAGEIFS(nNOTA,nNIA,M840,nCUENTA,1,nASIG,"Orquesta/Banda/Conjunto"),"")))</f>
        <v/>
      </c>
      <c r="P840" t="str">
        <f>IF(M840="","",IF(M840="[FÓRMULA MANUAL]","",IFERROR(AVERAGEIFS(nNOTA,nNIA,M840,nCUENTA,1,nASIG,"Música de Cámara"),"")))</f>
        <v/>
      </c>
      <c r="Q840" t="str">
        <f>IF(M840="","",IF(M840="[FÓRMULA MANUAL]","",IFERROR(SUMPRODUCT((nNIA=M840)*(nCUENTA=1)*(COUNTIF(CONFIG_ASIGNATURAS!$B$7:$B$27,nASIG)&gt;0)*(nNOTA))/SUMPRODUCT((nNIA=M840)*(nCUENTA=1)*(COUNTIF(CONFIG_ASIGNATURAS!$B$7:$B$27,nASIG)&gt;0)*1),"")))</f>
        <v/>
      </c>
      <c r="T840" t="str">
        <f>IF(S840="","",IF(S840="[FÓRMULA MANUAL]","",IFERROR(AVERAGEIFS(nNOTA,nNIA,S840,nCUENTA,1,nASIG,"Armonía"),"")))</f>
        <v/>
      </c>
      <c r="U840" t="str">
        <f>IF(S840="","",IF(S840="[FÓRMULA MANUAL]","",IFERROR(AVERAGEIFS(nNOTA,nNIA,S840,nCUENTA,1,nASIG,"Orquesta/Banda/Conjunto"),"")))</f>
        <v/>
      </c>
      <c r="V840" t="str">
        <f>IF(S840="","",IF(S840="[FÓRMULA MANUAL]","",IFERROR(AVERAGEIFS(nNOTA,nNIA,S840,nCUENTA,1,nASIG,"Música de Cámara"),"")))</f>
        <v/>
      </c>
      <c r="W840" t="str">
        <f>IF(S840="","",IF(S840="[FÓRMULA MANUAL]","",IFERROR(SUMPRODUCT((nNIA=S840)*(nCUENTA=1)*(COUNTIF(CONFIG_ASIGNATURAS!$B$7:$B$27,nASIG)&gt;0)*(nNOTA))/SUMPRODUCT((nNIA=S840)*(nCUENTA=1)*(COUNTIF(CONFIG_ASIGNATURAS!$B$7:$B$27,nASIG)&gt;0)*1),"")))</f>
        <v/>
      </c>
      <c r="Z840" t="str">
        <f>IF(Y840="","",IF(Y840="[FÓRMULA MANUAL]","",IFERROR(AVERAGEIFS(nNOTA,nNIA,Y840,nCUENTA,1,nASIG,"Análisis"),"")))</f>
        <v/>
      </c>
      <c r="AA840" t="str">
        <f>IF(Y840="","",IF(Y840="[FÓRMULA MANUAL]","",IFERROR(AVERAGEIFS(nNOTA,nNIA,Y840,nCUENTA,1,nASIG,"Orquesta/Banda/Conjunto"),"")))</f>
        <v/>
      </c>
      <c r="AB840" t="str">
        <f>IF(Y840="","",IF(Y840="[FÓRMULA MANUAL]","",IFERROR(AVERAGEIFS(nNOTA,nNIA,Y840,nCUENTA,1,nASIG,"Música de Cámara"),"")))</f>
        <v/>
      </c>
      <c r="AC840" t="str">
        <f>IF(Y840="","",IF(Y840="[FÓRMULA MANUAL]","",IFERROR(SUMPRODUCT((nNIA=Y840)*(nCUENTA=1)*(COUNTIF(CONFIG_ASIGNATURAS!$B$7:$B$27,nASIG)&gt;0)*(nNOTA))/SUMPRODUCT((nNIA=Y840)*(nCUENTA=1)*(COUNTIF(CONFIG_ASIGNATURAS!$B$7:$B$27,nASIG)&gt;0)*1),"")))</f>
        <v/>
      </c>
      <c r="AF840" t="str">
        <f>IF(AE840="","",IF(AE840="[FÓRMULA MANUAL]","",IFERROR(AVERAGEIFS(nNOTA,nNIA,AE840,nCUENTA,1,nASIG,"Análisis"),"")))</f>
        <v/>
      </c>
      <c r="AG840" t="str">
        <f>IF(AE840="","",IF(AE840="[FÓRMULA MANUAL]","",IFERROR(AVERAGEIFS(nNOTA,nNIA,AE840,nCUENTA,1,nASIG,"Orquesta/Banda/Conjunto"),"")))</f>
        <v/>
      </c>
      <c r="AH840" t="str">
        <f>IF(AE840="","",IF(AE840="[FÓRMULA MANUAL]","",IFERROR(AVERAGEIFS(nNOTA,nNIA,AE840,nCUENTA,1,nASIG,"Música de Cámara"),"")))</f>
        <v/>
      </c>
      <c r="AI840" t="str">
        <f>IF(AE840="","",IF(AE840="[FÓRMULA MANUAL]","",IFERROR(SUMPRODUCT((nNIA=AE840)*(nCUENTA=1)*(COUNTIF(CONFIG_ASIGNATURAS!$B$7:$B$27,nASIG)&gt;0)*(nNOTA))/SUMPRODUCT((nNIA=AE840)*(nCUENTA=1)*(COUNTIF(CONFIG_ASIGNATURAS!$B$7:$B$27,nASIG)&gt;0)*1),"")))</f>
        <v/>
      </c>
    </row>
    <row r="841" spans="2:35" x14ac:dyDescent="0.2">
      <c r="B841" t="str">
        <f>IF(A841="","",IF(A841="[FÓRMULA MANUAL]","",IFERROR(AVERAGEIFS(nNOTA,nNIA,A841,nCUENTA,1,nASIG,"Lenguaje Musical"),"")))</f>
        <v/>
      </c>
      <c r="C841" t="str">
        <f>IF(A841="","",IF(A841="[FÓRMULA MANUAL]","",IFERROR(AVERAGEIFS(nNOTA,nNIA,A841,nCUENTA,1,nASIG,"Orquesta/Banda/Conjunto"),"")))</f>
        <v/>
      </c>
      <c r="D841" t="str">
        <f>IF(A841="","",IF(A841="[FÓRMULA MANUAL]","",IFERROR(AVERAGEIFS(nNOTA,nNIA,A841,nCUENTA,1,nASIG,"Conjunto"),"")))</f>
        <v/>
      </c>
      <c r="E841" t="str">
        <f>IF(A841="","",IF(A841="[FÓRMULA MANUAL]","",IFERROR(SUMPRODUCT((nNIA=A841)*(nCUENTA=1)*(COUNTIF(CONFIG_ASIGNATURAS!$B$7:$B$27,nASIG)&gt;0)*(nNOTA))/SUMPRODUCT((nNIA=A841)*(nCUENTA=1)*(COUNTIF(CONFIG_ASIGNATURAS!$B$7:$B$27,nASIG)&gt;0)*1),"")))</f>
        <v/>
      </c>
      <c r="H841" t="str">
        <f>IF(G841="","",IF(G841="[FÓRMULA MANUAL]","",IFERROR(AVERAGEIFS(nNOTA,nNIA,G841,nCUENTA,1,nASIG,"Lenguaje Musical"),"")))</f>
        <v/>
      </c>
      <c r="I841" t="str">
        <f>IF(G841="","",IF(G841="[FÓRMULA MANUAL]","",IFERROR(AVERAGEIFS(nNOTA,nNIA,G841,nCUENTA,1,nASIG,"Orquesta/Banda/Conjunto"),"")))</f>
        <v/>
      </c>
      <c r="J841" t="str">
        <f>IF(G841="","",IF(G841="[FÓRMULA MANUAL]","",IFERROR(AVERAGEIFS(nNOTA,nNIA,G841,nCUENTA,1,nASIG,"Conjunto"),"")))</f>
        <v/>
      </c>
      <c r="K841" t="str">
        <f>IF(G841="","",IF(G841="[FÓRMULA MANUAL]","",IFERROR(SUMPRODUCT((nNIA=G841)*(nCUENTA=1)*(COUNTIF(CONFIG_ASIGNATURAS!$B$7:$B$27,nASIG)&gt;0)*(nNOTA))/SUMPRODUCT((nNIA=G841)*(nCUENTA=1)*(COUNTIF(CONFIG_ASIGNATURAS!$B$7:$B$27,nASIG)&gt;0)*1),"")))</f>
        <v/>
      </c>
      <c r="N841" t="str">
        <f>IF(M841="","",IF(M841="[FÓRMULA MANUAL]","",IFERROR(AVERAGEIFS(nNOTA,nNIA,M841,nCUENTA,1,nASIG,"Armonía"),"")))</f>
        <v/>
      </c>
      <c r="O841" t="str">
        <f>IF(M841="","",IF(M841="[FÓRMULA MANUAL]","",IFERROR(AVERAGEIFS(nNOTA,nNIA,M841,nCUENTA,1,nASIG,"Orquesta/Banda/Conjunto"),"")))</f>
        <v/>
      </c>
      <c r="P841" t="str">
        <f>IF(M841="","",IF(M841="[FÓRMULA MANUAL]","",IFERROR(AVERAGEIFS(nNOTA,nNIA,M841,nCUENTA,1,nASIG,"Música de Cámara"),"")))</f>
        <v/>
      </c>
      <c r="Q841" t="str">
        <f>IF(M841="","",IF(M841="[FÓRMULA MANUAL]","",IFERROR(SUMPRODUCT((nNIA=M841)*(nCUENTA=1)*(COUNTIF(CONFIG_ASIGNATURAS!$B$7:$B$27,nASIG)&gt;0)*(nNOTA))/SUMPRODUCT((nNIA=M841)*(nCUENTA=1)*(COUNTIF(CONFIG_ASIGNATURAS!$B$7:$B$27,nASIG)&gt;0)*1),"")))</f>
        <v/>
      </c>
      <c r="T841" t="str">
        <f>IF(S841="","",IF(S841="[FÓRMULA MANUAL]","",IFERROR(AVERAGEIFS(nNOTA,nNIA,S841,nCUENTA,1,nASIG,"Armonía"),"")))</f>
        <v/>
      </c>
      <c r="U841" t="str">
        <f>IF(S841="","",IF(S841="[FÓRMULA MANUAL]","",IFERROR(AVERAGEIFS(nNOTA,nNIA,S841,nCUENTA,1,nASIG,"Orquesta/Banda/Conjunto"),"")))</f>
        <v/>
      </c>
      <c r="V841" t="str">
        <f>IF(S841="","",IF(S841="[FÓRMULA MANUAL]","",IFERROR(AVERAGEIFS(nNOTA,nNIA,S841,nCUENTA,1,nASIG,"Música de Cámara"),"")))</f>
        <v/>
      </c>
      <c r="W841" t="str">
        <f>IF(S841="","",IF(S841="[FÓRMULA MANUAL]","",IFERROR(SUMPRODUCT((nNIA=S841)*(nCUENTA=1)*(COUNTIF(CONFIG_ASIGNATURAS!$B$7:$B$27,nASIG)&gt;0)*(nNOTA))/SUMPRODUCT((nNIA=S841)*(nCUENTA=1)*(COUNTIF(CONFIG_ASIGNATURAS!$B$7:$B$27,nASIG)&gt;0)*1),"")))</f>
        <v/>
      </c>
      <c r="Z841" t="str">
        <f>IF(Y841="","",IF(Y841="[FÓRMULA MANUAL]","",IFERROR(AVERAGEIFS(nNOTA,nNIA,Y841,nCUENTA,1,nASIG,"Análisis"),"")))</f>
        <v/>
      </c>
      <c r="AA841" t="str">
        <f>IF(Y841="","",IF(Y841="[FÓRMULA MANUAL]","",IFERROR(AVERAGEIFS(nNOTA,nNIA,Y841,nCUENTA,1,nASIG,"Orquesta/Banda/Conjunto"),"")))</f>
        <v/>
      </c>
      <c r="AB841" t="str">
        <f>IF(Y841="","",IF(Y841="[FÓRMULA MANUAL]","",IFERROR(AVERAGEIFS(nNOTA,nNIA,Y841,nCUENTA,1,nASIG,"Música de Cámara"),"")))</f>
        <v/>
      </c>
      <c r="AC841" t="str">
        <f>IF(Y841="","",IF(Y841="[FÓRMULA MANUAL]","",IFERROR(SUMPRODUCT((nNIA=Y841)*(nCUENTA=1)*(COUNTIF(CONFIG_ASIGNATURAS!$B$7:$B$27,nASIG)&gt;0)*(nNOTA))/SUMPRODUCT((nNIA=Y841)*(nCUENTA=1)*(COUNTIF(CONFIG_ASIGNATURAS!$B$7:$B$27,nASIG)&gt;0)*1),"")))</f>
        <v/>
      </c>
      <c r="AF841" t="str">
        <f>IF(AE841="","",IF(AE841="[FÓRMULA MANUAL]","",IFERROR(AVERAGEIFS(nNOTA,nNIA,AE841,nCUENTA,1,nASIG,"Análisis"),"")))</f>
        <v/>
      </c>
      <c r="AG841" t="str">
        <f>IF(AE841="","",IF(AE841="[FÓRMULA MANUAL]","",IFERROR(AVERAGEIFS(nNOTA,nNIA,AE841,nCUENTA,1,nASIG,"Orquesta/Banda/Conjunto"),"")))</f>
        <v/>
      </c>
      <c r="AH841" t="str">
        <f>IF(AE841="","",IF(AE841="[FÓRMULA MANUAL]","",IFERROR(AVERAGEIFS(nNOTA,nNIA,AE841,nCUENTA,1,nASIG,"Música de Cámara"),"")))</f>
        <v/>
      </c>
      <c r="AI841" t="str">
        <f>IF(AE841="","",IF(AE841="[FÓRMULA MANUAL]","",IFERROR(SUMPRODUCT((nNIA=AE841)*(nCUENTA=1)*(COUNTIF(CONFIG_ASIGNATURAS!$B$7:$B$27,nASIG)&gt;0)*(nNOTA))/SUMPRODUCT((nNIA=AE841)*(nCUENTA=1)*(COUNTIF(CONFIG_ASIGNATURAS!$B$7:$B$27,nASIG)&gt;0)*1),"")))</f>
        <v/>
      </c>
    </row>
    <row r="842" spans="2:35" x14ac:dyDescent="0.2">
      <c r="B842" t="str">
        <f>IF(A842="","",IF(A842="[FÓRMULA MANUAL]","",IFERROR(AVERAGEIFS(nNOTA,nNIA,A842,nCUENTA,1,nASIG,"Lenguaje Musical"),"")))</f>
        <v/>
      </c>
      <c r="C842" t="str">
        <f>IF(A842="","",IF(A842="[FÓRMULA MANUAL]","",IFERROR(AVERAGEIFS(nNOTA,nNIA,A842,nCUENTA,1,nASIG,"Orquesta/Banda/Conjunto"),"")))</f>
        <v/>
      </c>
      <c r="D842" t="str">
        <f>IF(A842="","",IF(A842="[FÓRMULA MANUAL]","",IFERROR(AVERAGEIFS(nNOTA,nNIA,A842,nCUENTA,1,nASIG,"Conjunto"),"")))</f>
        <v/>
      </c>
      <c r="E842" t="str">
        <f>IF(A842="","",IF(A842="[FÓRMULA MANUAL]","",IFERROR(SUMPRODUCT((nNIA=A842)*(nCUENTA=1)*(COUNTIF(CONFIG_ASIGNATURAS!$B$7:$B$27,nASIG)&gt;0)*(nNOTA))/SUMPRODUCT((nNIA=A842)*(nCUENTA=1)*(COUNTIF(CONFIG_ASIGNATURAS!$B$7:$B$27,nASIG)&gt;0)*1),"")))</f>
        <v/>
      </c>
      <c r="H842" t="str">
        <f>IF(G842="","",IF(G842="[FÓRMULA MANUAL]","",IFERROR(AVERAGEIFS(nNOTA,nNIA,G842,nCUENTA,1,nASIG,"Lenguaje Musical"),"")))</f>
        <v/>
      </c>
      <c r="I842" t="str">
        <f>IF(G842="","",IF(G842="[FÓRMULA MANUAL]","",IFERROR(AVERAGEIFS(nNOTA,nNIA,G842,nCUENTA,1,nASIG,"Orquesta/Banda/Conjunto"),"")))</f>
        <v/>
      </c>
      <c r="J842" t="str">
        <f>IF(G842="","",IF(G842="[FÓRMULA MANUAL]","",IFERROR(AVERAGEIFS(nNOTA,nNIA,G842,nCUENTA,1,nASIG,"Conjunto"),"")))</f>
        <v/>
      </c>
      <c r="K842" t="str">
        <f>IF(G842="","",IF(G842="[FÓRMULA MANUAL]","",IFERROR(SUMPRODUCT((nNIA=G842)*(nCUENTA=1)*(COUNTIF(CONFIG_ASIGNATURAS!$B$7:$B$27,nASIG)&gt;0)*(nNOTA))/SUMPRODUCT((nNIA=G842)*(nCUENTA=1)*(COUNTIF(CONFIG_ASIGNATURAS!$B$7:$B$27,nASIG)&gt;0)*1),"")))</f>
        <v/>
      </c>
      <c r="N842" t="str">
        <f>IF(M842="","",IF(M842="[FÓRMULA MANUAL]","",IFERROR(AVERAGEIFS(nNOTA,nNIA,M842,nCUENTA,1,nASIG,"Armonía"),"")))</f>
        <v/>
      </c>
      <c r="O842" t="str">
        <f>IF(M842="","",IF(M842="[FÓRMULA MANUAL]","",IFERROR(AVERAGEIFS(nNOTA,nNIA,M842,nCUENTA,1,nASIG,"Orquesta/Banda/Conjunto"),"")))</f>
        <v/>
      </c>
      <c r="P842" t="str">
        <f>IF(M842="","",IF(M842="[FÓRMULA MANUAL]","",IFERROR(AVERAGEIFS(nNOTA,nNIA,M842,nCUENTA,1,nASIG,"Música de Cámara"),"")))</f>
        <v/>
      </c>
      <c r="Q842" t="str">
        <f>IF(M842="","",IF(M842="[FÓRMULA MANUAL]","",IFERROR(SUMPRODUCT((nNIA=M842)*(nCUENTA=1)*(COUNTIF(CONFIG_ASIGNATURAS!$B$7:$B$27,nASIG)&gt;0)*(nNOTA))/SUMPRODUCT((nNIA=M842)*(nCUENTA=1)*(COUNTIF(CONFIG_ASIGNATURAS!$B$7:$B$27,nASIG)&gt;0)*1),"")))</f>
        <v/>
      </c>
      <c r="T842" t="str">
        <f>IF(S842="","",IF(S842="[FÓRMULA MANUAL]","",IFERROR(AVERAGEIFS(nNOTA,nNIA,S842,nCUENTA,1,nASIG,"Armonía"),"")))</f>
        <v/>
      </c>
      <c r="U842" t="str">
        <f>IF(S842="","",IF(S842="[FÓRMULA MANUAL]","",IFERROR(AVERAGEIFS(nNOTA,nNIA,S842,nCUENTA,1,nASIG,"Orquesta/Banda/Conjunto"),"")))</f>
        <v/>
      </c>
      <c r="V842" t="str">
        <f>IF(S842="","",IF(S842="[FÓRMULA MANUAL]","",IFERROR(AVERAGEIFS(nNOTA,nNIA,S842,nCUENTA,1,nASIG,"Música de Cámara"),"")))</f>
        <v/>
      </c>
      <c r="W842" t="str">
        <f>IF(S842="","",IF(S842="[FÓRMULA MANUAL]","",IFERROR(SUMPRODUCT((nNIA=S842)*(nCUENTA=1)*(COUNTIF(CONFIG_ASIGNATURAS!$B$7:$B$27,nASIG)&gt;0)*(nNOTA))/SUMPRODUCT((nNIA=S842)*(nCUENTA=1)*(COUNTIF(CONFIG_ASIGNATURAS!$B$7:$B$27,nASIG)&gt;0)*1),"")))</f>
        <v/>
      </c>
      <c r="Z842" t="str">
        <f>IF(Y842="","",IF(Y842="[FÓRMULA MANUAL]","",IFERROR(AVERAGEIFS(nNOTA,nNIA,Y842,nCUENTA,1,nASIG,"Análisis"),"")))</f>
        <v/>
      </c>
      <c r="AA842" t="str">
        <f>IF(Y842="","",IF(Y842="[FÓRMULA MANUAL]","",IFERROR(AVERAGEIFS(nNOTA,nNIA,Y842,nCUENTA,1,nASIG,"Orquesta/Banda/Conjunto"),"")))</f>
        <v/>
      </c>
      <c r="AB842" t="str">
        <f>IF(Y842="","",IF(Y842="[FÓRMULA MANUAL]","",IFERROR(AVERAGEIFS(nNOTA,nNIA,Y842,nCUENTA,1,nASIG,"Música de Cámara"),"")))</f>
        <v/>
      </c>
      <c r="AC842" t="str">
        <f>IF(Y842="","",IF(Y842="[FÓRMULA MANUAL]","",IFERROR(SUMPRODUCT((nNIA=Y842)*(nCUENTA=1)*(COUNTIF(CONFIG_ASIGNATURAS!$B$7:$B$27,nASIG)&gt;0)*(nNOTA))/SUMPRODUCT((nNIA=Y842)*(nCUENTA=1)*(COUNTIF(CONFIG_ASIGNATURAS!$B$7:$B$27,nASIG)&gt;0)*1),"")))</f>
        <v/>
      </c>
      <c r="AF842" t="str">
        <f>IF(AE842="","",IF(AE842="[FÓRMULA MANUAL]","",IFERROR(AVERAGEIFS(nNOTA,nNIA,AE842,nCUENTA,1,nASIG,"Análisis"),"")))</f>
        <v/>
      </c>
      <c r="AG842" t="str">
        <f>IF(AE842="","",IF(AE842="[FÓRMULA MANUAL]","",IFERROR(AVERAGEIFS(nNOTA,nNIA,AE842,nCUENTA,1,nASIG,"Orquesta/Banda/Conjunto"),"")))</f>
        <v/>
      </c>
      <c r="AH842" t="str">
        <f>IF(AE842="","",IF(AE842="[FÓRMULA MANUAL]","",IFERROR(AVERAGEIFS(nNOTA,nNIA,AE842,nCUENTA,1,nASIG,"Música de Cámara"),"")))</f>
        <v/>
      </c>
      <c r="AI842" t="str">
        <f>IF(AE842="","",IF(AE842="[FÓRMULA MANUAL]","",IFERROR(SUMPRODUCT((nNIA=AE842)*(nCUENTA=1)*(COUNTIF(CONFIG_ASIGNATURAS!$B$7:$B$27,nASIG)&gt;0)*(nNOTA))/SUMPRODUCT((nNIA=AE842)*(nCUENTA=1)*(COUNTIF(CONFIG_ASIGNATURAS!$B$7:$B$27,nASIG)&gt;0)*1),"")))</f>
        <v/>
      </c>
    </row>
    <row r="843" spans="2:35" x14ac:dyDescent="0.2">
      <c r="B843" t="str">
        <f>IF(A843="","",IF(A843="[FÓRMULA MANUAL]","",IFERROR(AVERAGEIFS(nNOTA,nNIA,A843,nCUENTA,1,nASIG,"Lenguaje Musical"),"")))</f>
        <v/>
      </c>
      <c r="C843" t="str">
        <f>IF(A843="","",IF(A843="[FÓRMULA MANUAL]","",IFERROR(AVERAGEIFS(nNOTA,nNIA,A843,nCUENTA,1,nASIG,"Orquesta/Banda/Conjunto"),"")))</f>
        <v/>
      </c>
      <c r="D843" t="str">
        <f>IF(A843="","",IF(A843="[FÓRMULA MANUAL]","",IFERROR(AVERAGEIFS(nNOTA,nNIA,A843,nCUENTA,1,nASIG,"Conjunto"),"")))</f>
        <v/>
      </c>
      <c r="E843" t="str">
        <f>IF(A843="","",IF(A843="[FÓRMULA MANUAL]","",IFERROR(SUMPRODUCT((nNIA=A843)*(nCUENTA=1)*(COUNTIF(CONFIG_ASIGNATURAS!$B$7:$B$27,nASIG)&gt;0)*(nNOTA))/SUMPRODUCT((nNIA=A843)*(nCUENTA=1)*(COUNTIF(CONFIG_ASIGNATURAS!$B$7:$B$27,nASIG)&gt;0)*1),"")))</f>
        <v/>
      </c>
      <c r="H843" t="str">
        <f>IF(G843="","",IF(G843="[FÓRMULA MANUAL]","",IFERROR(AVERAGEIFS(nNOTA,nNIA,G843,nCUENTA,1,nASIG,"Lenguaje Musical"),"")))</f>
        <v/>
      </c>
      <c r="I843" t="str">
        <f>IF(G843="","",IF(G843="[FÓRMULA MANUAL]","",IFERROR(AVERAGEIFS(nNOTA,nNIA,G843,nCUENTA,1,nASIG,"Orquesta/Banda/Conjunto"),"")))</f>
        <v/>
      </c>
      <c r="J843" t="str">
        <f>IF(G843="","",IF(G843="[FÓRMULA MANUAL]","",IFERROR(AVERAGEIFS(nNOTA,nNIA,G843,nCUENTA,1,nASIG,"Conjunto"),"")))</f>
        <v/>
      </c>
      <c r="K843" t="str">
        <f>IF(G843="","",IF(G843="[FÓRMULA MANUAL]","",IFERROR(SUMPRODUCT((nNIA=G843)*(nCUENTA=1)*(COUNTIF(CONFIG_ASIGNATURAS!$B$7:$B$27,nASIG)&gt;0)*(nNOTA))/SUMPRODUCT((nNIA=G843)*(nCUENTA=1)*(COUNTIF(CONFIG_ASIGNATURAS!$B$7:$B$27,nASIG)&gt;0)*1),"")))</f>
        <v/>
      </c>
      <c r="N843" t="str">
        <f>IF(M843="","",IF(M843="[FÓRMULA MANUAL]","",IFERROR(AVERAGEIFS(nNOTA,nNIA,M843,nCUENTA,1,nASIG,"Armonía"),"")))</f>
        <v/>
      </c>
      <c r="O843" t="str">
        <f>IF(M843="","",IF(M843="[FÓRMULA MANUAL]","",IFERROR(AVERAGEIFS(nNOTA,nNIA,M843,nCUENTA,1,nASIG,"Orquesta/Banda/Conjunto"),"")))</f>
        <v/>
      </c>
      <c r="P843" t="str">
        <f>IF(M843="","",IF(M843="[FÓRMULA MANUAL]","",IFERROR(AVERAGEIFS(nNOTA,nNIA,M843,nCUENTA,1,nASIG,"Música de Cámara"),"")))</f>
        <v/>
      </c>
      <c r="Q843" t="str">
        <f>IF(M843="","",IF(M843="[FÓRMULA MANUAL]","",IFERROR(SUMPRODUCT((nNIA=M843)*(nCUENTA=1)*(COUNTIF(CONFIG_ASIGNATURAS!$B$7:$B$27,nASIG)&gt;0)*(nNOTA))/SUMPRODUCT((nNIA=M843)*(nCUENTA=1)*(COUNTIF(CONFIG_ASIGNATURAS!$B$7:$B$27,nASIG)&gt;0)*1),"")))</f>
        <v/>
      </c>
      <c r="T843" t="str">
        <f>IF(S843="","",IF(S843="[FÓRMULA MANUAL]","",IFERROR(AVERAGEIFS(nNOTA,nNIA,S843,nCUENTA,1,nASIG,"Armonía"),"")))</f>
        <v/>
      </c>
      <c r="U843" t="str">
        <f>IF(S843="","",IF(S843="[FÓRMULA MANUAL]","",IFERROR(AVERAGEIFS(nNOTA,nNIA,S843,nCUENTA,1,nASIG,"Orquesta/Banda/Conjunto"),"")))</f>
        <v/>
      </c>
      <c r="V843" t="str">
        <f>IF(S843="","",IF(S843="[FÓRMULA MANUAL]","",IFERROR(AVERAGEIFS(nNOTA,nNIA,S843,nCUENTA,1,nASIG,"Música de Cámara"),"")))</f>
        <v/>
      </c>
      <c r="W843" t="str">
        <f>IF(S843="","",IF(S843="[FÓRMULA MANUAL]","",IFERROR(SUMPRODUCT((nNIA=S843)*(nCUENTA=1)*(COUNTIF(CONFIG_ASIGNATURAS!$B$7:$B$27,nASIG)&gt;0)*(nNOTA))/SUMPRODUCT((nNIA=S843)*(nCUENTA=1)*(COUNTIF(CONFIG_ASIGNATURAS!$B$7:$B$27,nASIG)&gt;0)*1),"")))</f>
        <v/>
      </c>
      <c r="Z843" t="str">
        <f>IF(Y843="","",IF(Y843="[FÓRMULA MANUAL]","",IFERROR(AVERAGEIFS(nNOTA,nNIA,Y843,nCUENTA,1,nASIG,"Análisis"),"")))</f>
        <v/>
      </c>
      <c r="AA843" t="str">
        <f>IF(Y843="","",IF(Y843="[FÓRMULA MANUAL]","",IFERROR(AVERAGEIFS(nNOTA,nNIA,Y843,nCUENTA,1,nASIG,"Orquesta/Banda/Conjunto"),"")))</f>
        <v/>
      </c>
      <c r="AB843" t="str">
        <f>IF(Y843="","",IF(Y843="[FÓRMULA MANUAL]","",IFERROR(AVERAGEIFS(nNOTA,nNIA,Y843,nCUENTA,1,nASIG,"Música de Cámara"),"")))</f>
        <v/>
      </c>
      <c r="AC843" t="str">
        <f>IF(Y843="","",IF(Y843="[FÓRMULA MANUAL]","",IFERROR(SUMPRODUCT((nNIA=Y843)*(nCUENTA=1)*(COUNTIF(CONFIG_ASIGNATURAS!$B$7:$B$27,nASIG)&gt;0)*(nNOTA))/SUMPRODUCT((nNIA=Y843)*(nCUENTA=1)*(COUNTIF(CONFIG_ASIGNATURAS!$B$7:$B$27,nASIG)&gt;0)*1),"")))</f>
        <v/>
      </c>
      <c r="AF843" t="str">
        <f>IF(AE843="","",IF(AE843="[FÓRMULA MANUAL]","",IFERROR(AVERAGEIFS(nNOTA,nNIA,AE843,nCUENTA,1,nASIG,"Análisis"),"")))</f>
        <v/>
      </c>
      <c r="AG843" t="str">
        <f>IF(AE843="","",IF(AE843="[FÓRMULA MANUAL]","",IFERROR(AVERAGEIFS(nNOTA,nNIA,AE843,nCUENTA,1,nASIG,"Orquesta/Banda/Conjunto"),"")))</f>
        <v/>
      </c>
      <c r="AH843" t="str">
        <f>IF(AE843="","",IF(AE843="[FÓRMULA MANUAL]","",IFERROR(AVERAGEIFS(nNOTA,nNIA,AE843,nCUENTA,1,nASIG,"Música de Cámara"),"")))</f>
        <v/>
      </c>
      <c r="AI843" t="str">
        <f>IF(AE843="","",IF(AE843="[FÓRMULA MANUAL]","",IFERROR(SUMPRODUCT((nNIA=AE843)*(nCUENTA=1)*(COUNTIF(CONFIG_ASIGNATURAS!$B$7:$B$27,nASIG)&gt;0)*(nNOTA))/SUMPRODUCT((nNIA=AE843)*(nCUENTA=1)*(COUNTIF(CONFIG_ASIGNATURAS!$B$7:$B$27,nASIG)&gt;0)*1),"")))</f>
        <v/>
      </c>
    </row>
    <row r="844" spans="2:35" x14ac:dyDescent="0.2">
      <c r="B844" t="str">
        <f>IF(A844="","",IF(A844="[FÓRMULA MANUAL]","",IFERROR(AVERAGEIFS(nNOTA,nNIA,A844,nCUENTA,1,nASIG,"Lenguaje Musical"),"")))</f>
        <v/>
      </c>
      <c r="C844" t="str">
        <f>IF(A844="","",IF(A844="[FÓRMULA MANUAL]","",IFERROR(AVERAGEIFS(nNOTA,nNIA,A844,nCUENTA,1,nASIG,"Orquesta/Banda/Conjunto"),"")))</f>
        <v/>
      </c>
      <c r="D844" t="str">
        <f>IF(A844="","",IF(A844="[FÓRMULA MANUAL]","",IFERROR(AVERAGEIFS(nNOTA,nNIA,A844,nCUENTA,1,nASIG,"Conjunto"),"")))</f>
        <v/>
      </c>
      <c r="E844" t="str">
        <f>IF(A844="","",IF(A844="[FÓRMULA MANUAL]","",IFERROR(SUMPRODUCT((nNIA=A844)*(nCUENTA=1)*(COUNTIF(CONFIG_ASIGNATURAS!$B$7:$B$27,nASIG)&gt;0)*(nNOTA))/SUMPRODUCT((nNIA=A844)*(nCUENTA=1)*(COUNTIF(CONFIG_ASIGNATURAS!$B$7:$B$27,nASIG)&gt;0)*1),"")))</f>
        <v/>
      </c>
      <c r="H844" t="str">
        <f>IF(G844="","",IF(G844="[FÓRMULA MANUAL]","",IFERROR(AVERAGEIFS(nNOTA,nNIA,G844,nCUENTA,1,nASIG,"Lenguaje Musical"),"")))</f>
        <v/>
      </c>
      <c r="I844" t="str">
        <f>IF(G844="","",IF(G844="[FÓRMULA MANUAL]","",IFERROR(AVERAGEIFS(nNOTA,nNIA,G844,nCUENTA,1,nASIG,"Orquesta/Banda/Conjunto"),"")))</f>
        <v/>
      </c>
      <c r="J844" t="str">
        <f>IF(G844="","",IF(G844="[FÓRMULA MANUAL]","",IFERROR(AVERAGEIFS(nNOTA,nNIA,G844,nCUENTA,1,nASIG,"Conjunto"),"")))</f>
        <v/>
      </c>
      <c r="K844" t="str">
        <f>IF(G844="","",IF(G844="[FÓRMULA MANUAL]","",IFERROR(SUMPRODUCT((nNIA=G844)*(nCUENTA=1)*(COUNTIF(CONFIG_ASIGNATURAS!$B$7:$B$27,nASIG)&gt;0)*(nNOTA))/SUMPRODUCT((nNIA=G844)*(nCUENTA=1)*(COUNTIF(CONFIG_ASIGNATURAS!$B$7:$B$27,nASIG)&gt;0)*1),"")))</f>
        <v/>
      </c>
      <c r="N844" t="str">
        <f>IF(M844="","",IF(M844="[FÓRMULA MANUAL]","",IFERROR(AVERAGEIFS(nNOTA,nNIA,M844,nCUENTA,1,nASIG,"Armonía"),"")))</f>
        <v/>
      </c>
      <c r="O844" t="str">
        <f>IF(M844="","",IF(M844="[FÓRMULA MANUAL]","",IFERROR(AVERAGEIFS(nNOTA,nNIA,M844,nCUENTA,1,nASIG,"Orquesta/Banda/Conjunto"),"")))</f>
        <v/>
      </c>
      <c r="P844" t="str">
        <f>IF(M844="","",IF(M844="[FÓRMULA MANUAL]","",IFERROR(AVERAGEIFS(nNOTA,nNIA,M844,nCUENTA,1,nASIG,"Música de Cámara"),"")))</f>
        <v/>
      </c>
      <c r="Q844" t="str">
        <f>IF(M844="","",IF(M844="[FÓRMULA MANUAL]","",IFERROR(SUMPRODUCT((nNIA=M844)*(nCUENTA=1)*(COUNTIF(CONFIG_ASIGNATURAS!$B$7:$B$27,nASIG)&gt;0)*(nNOTA))/SUMPRODUCT((nNIA=M844)*(nCUENTA=1)*(COUNTIF(CONFIG_ASIGNATURAS!$B$7:$B$27,nASIG)&gt;0)*1),"")))</f>
        <v/>
      </c>
      <c r="T844" t="str">
        <f>IF(S844="","",IF(S844="[FÓRMULA MANUAL]","",IFERROR(AVERAGEIFS(nNOTA,nNIA,S844,nCUENTA,1,nASIG,"Armonía"),"")))</f>
        <v/>
      </c>
      <c r="U844" t="str">
        <f>IF(S844="","",IF(S844="[FÓRMULA MANUAL]","",IFERROR(AVERAGEIFS(nNOTA,nNIA,S844,nCUENTA,1,nASIG,"Orquesta/Banda/Conjunto"),"")))</f>
        <v/>
      </c>
      <c r="V844" t="str">
        <f>IF(S844="","",IF(S844="[FÓRMULA MANUAL]","",IFERROR(AVERAGEIFS(nNOTA,nNIA,S844,nCUENTA,1,nASIG,"Música de Cámara"),"")))</f>
        <v/>
      </c>
      <c r="W844" t="str">
        <f>IF(S844="","",IF(S844="[FÓRMULA MANUAL]","",IFERROR(SUMPRODUCT((nNIA=S844)*(nCUENTA=1)*(COUNTIF(CONFIG_ASIGNATURAS!$B$7:$B$27,nASIG)&gt;0)*(nNOTA))/SUMPRODUCT((nNIA=S844)*(nCUENTA=1)*(COUNTIF(CONFIG_ASIGNATURAS!$B$7:$B$27,nASIG)&gt;0)*1),"")))</f>
        <v/>
      </c>
      <c r="Z844" t="str">
        <f>IF(Y844="","",IF(Y844="[FÓRMULA MANUAL]","",IFERROR(AVERAGEIFS(nNOTA,nNIA,Y844,nCUENTA,1,nASIG,"Análisis"),"")))</f>
        <v/>
      </c>
      <c r="AA844" t="str">
        <f>IF(Y844="","",IF(Y844="[FÓRMULA MANUAL]","",IFERROR(AVERAGEIFS(nNOTA,nNIA,Y844,nCUENTA,1,nASIG,"Orquesta/Banda/Conjunto"),"")))</f>
        <v/>
      </c>
      <c r="AB844" t="str">
        <f>IF(Y844="","",IF(Y844="[FÓRMULA MANUAL]","",IFERROR(AVERAGEIFS(nNOTA,nNIA,Y844,nCUENTA,1,nASIG,"Música de Cámara"),"")))</f>
        <v/>
      </c>
      <c r="AC844" t="str">
        <f>IF(Y844="","",IF(Y844="[FÓRMULA MANUAL]","",IFERROR(SUMPRODUCT((nNIA=Y844)*(nCUENTA=1)*(COUNTIF(CONFIG_ASIGNATURAS!$B$7:$B$27,nASIG)&gt;0)*(nNOTA))/SUMPRODUCT((nNIA=Y844)*(nCUENTA=1)*(COUNTIF(CONFIG_ASIGNATURAS!$B$7:$B$27,nASIG)&gt;0)*1),"")))</f>
        <v/>
      </c>
      <c r="AF844" t="str">
        <f>IF(AE844="","",IF(AE844="[FÓRMULA MANUAL]","",IFERROR(AVERAGEIFS(nNOTA,nNIA,AE844,nCUENTA,1,nASIG,"Análisis"),"")))</f>
        <v/>
      </c>
      <c r="AG844" t="str">
        <f>IF(AE844="","",IF(AE844="[FÓRMULA MANUAL]","",IFERROR(AVERAGEIFS(nNOTA,nNIA,AE844,nCUENTA,1,nASIG,"Orquesta/Banda/Conjunto"),"")))</f>
        <v/>
      </c>
      <c r="AH844" t="str">
        <f>IF(AE844="","",IF(AE844="[FÓRMULA MANUAL]","",IFERROR(AVERAGEIFS(nNOTA,nNIA,AE844,nCUENTA,1,nASIG,"Música de Cámara"),"")))</f>
        <v/>
      </c>
      <c r="AI844" t="str">
        <f>IF(AE844="","",IF(AE844="[FÓRMULA MANUAL]","",IFERROR(SUMPRODUCT((nNIA=AE844)*(nCUENTA=1)*(COUNTIF(CONFIG_ASIGNATURAS!$B$7:$B$27,nASIG)&gt;0)*(nNOTA))/SUMPRODUCT((nNIA=AE844)*(nCUENTA=1)*(COUNTIF(CONFIG_ASIGNATURAS!$B$7:$B$27,nASIG)&gt;0)*1),"")))</f>
        <v/>
      </c>
    </row>
    <row r="845" spans="2:35" x14ac:dyDescent="0.2">
      <c r="B845" t="str">
        <f>IF(A845="","",IF(A845="[FÓRMULA MANUAL]","",IFERROR(AVERAGEIFS(nNOTA,nNIA,A845,nCUENTA,1,nASIG,"Lenguaje Musical"),"")))</f>
        <v/>
      </c>
      <c r="C845" t="str">
        <f>IF(A845="","",IF(A845="[FÓRMULA MANUAL]","",IFERROR(AVERAGEIFS(nNOTA,nNIA,A845,nCUENTA,1,nASIG,"Orquesta/Banda/Conjunto"),"")))</f>
        <v/>
      </c>
      <c r="D845" t="str">
        <f>IF(A845="","",IF(A845="[FÓRMULA MANUAL]","",IFERROR(AVERAGEIFS(nNOTA,nNIA,A845,nCUENTA,1,nASIG,"Conjunto"),"")))</f>
        <v/>
      </c>
      <c r="E845" t="str">
        <f>IF(A845="","",IF(A845="[FÓRMULA MANUAL]","",IFERROR(SUMPRODUCT((nNIA=A845)*(nCUENTA=1)*(COUNTIF(CONFIG_ASIGNATURAS!$B$7:$B$27,nASIG)&gt;0)*(nNOTA))/SUMPRODUCT((nNIA=A845)*(nCUENTA=1)*(COUNTIF(CONFIG_ASIGNATURAS!$B$7:$B$27,nASIG)&gt;0)*1),"")))</f>
        <v/>
      </c>
      <c r="H845" t="str">
        <f>IF(G845="","",IF(G845="[FÓRMULA MANUAL]","",IFERROR(AVERAGEIFS(nNOTA,nNIA,G845,nCUENTA,1,nASIG,"Lenguaje Musical"),"")))</f>
        <v/>
      </c>
      <c r="I845" t="str">
        <f>IF(G845="","",IF(G845="[FÓRMULA MANUAL]","",IFERROR(AVERAGEIFS(nNOTA,nNIA,G845,nCUENTA,1,nASIG,"Orquesta/Banda/Conjunto"),"")))</f>
        <v/>
      </c>
      <c r="J845" t="str">
        <f>IF(G845="","",IF(G845="[FÓRMULA MANUAL]","",IFERROR(AVERAGEIFS(nNOTA,nNIA,G845,nCUENTA,1,nASIG,"Conjunto"),"")))</f>
        <v/>
      </c>
      <c r="K845" t="str">
        <f>IF(G845="","",IF(G845="[FÓRMULA MANUAL]","",IFERROR(SUMPRODUCT((nNIA=G845)*(nCUENTA=1)*(COUNTIF(CONFIG_ASIGNATURAS!$B$7:$B$27,nASIG)&gt;0)*(nNOTA))/SUMPRODUCT((nNIA=G845)*(nCUENTA=1)*(COUNTIF(CONFIG_ASIGNATURAS!$B$7:$B$27,nASIG)&gt;0)*1),"")))</f>
        <v/>
      </c>
      <c r="N845" t="str">
        <f>IF(M845="","",IF(M845="[FÓRMULA MANUAL]","",IFERROR(AVERAGEIFS(nNOTA,nNIA,M845,nCUENTA,1,nASIG,"Armonía"),"")))</f>
        <v/>
      </c>
      <c r="O845" t="str">
        <f>IF(M845="","",IF(M845="[FÓRMULA MANUAL]","",IFERROR(AVERAGEIFS(nNOTA,nNIA,M845,nCUENTA,1,nASIG,"Orquesta/Banda/Conjunto"),"")))</f>
        <v/>
      </c>
      <c r="P845" t="str">
        <f>IF(M845="","",IF(M845="[FÓRMULA MANUAL]","",IFERROR(AVERAGEIFS(nNOTA,nNIA,M845,nCUENTA,1,nASIG,"Música de Cámara"),"")))</f>
        <v/>
      </c>
      <c r="Q845" t="str">
        <f>IF(M845="","",IF(M845="[FÓRMULA MANUAL]","",IFERROR(SUMPRODUCT((nNIA=M845)*(nCUENTA=1)*(COUNTIF(CONFIG_ASIGNATURAS!$B$7:$B$27,nASIG)&gt;0)*(nNOTA))/SUMPRODUCT((nNIA=M845)*(nCUENTA=1)*(COUNTIF(CONFIG_ASIGNATURAS!$B$7:$B$27,nASIG)&gt;0)*1),"")))</f>
        <v/>
      </c>
      <c r="T845" t="str">
        <f>IF(S845="","",IF(S845="[FÓRMULA MANUAL]","",IFERROR(AVERAGEIFS(nNOTA,nNIA,S845,nCUENTA,1,nASIG,"Armonía"),"")))</f>
        <v/>
      </c>
      <c r="U845" t="str">
        <f>IF(S845="","",IF(S845="[FÓRMULA MANUAL]","",IFERROR(AVERAGEIFS(nNOTA,nNIA,S845,nCUENTA,1,nASIG,"Orquesta/Banda/Conjunto"),"")))</f>
        <v/>
      </c>
      <c r="V845" t="str">
        <f>IF(S845="","",IF(S845="[FÓRMULA MANUAL]","",IFERROR(AVERAGEIFS(nNOTA,nNIA,S845,nCUENTA,1,nASIG,"Música de Cámara"),"")))</f>
        <v/>
      </c>
      <c r="W845" t="str">
        <f>IF(S845="","",IF(S845="[FÓRMULA MANUAL]","",IFERROR(SUMPRODUCT((nNIA=S845)*(nCUENTA=1)*(COUNTIF(CONFIG_ASIGNATURAS!$B$7:$B$27,nASIG)&gt;0)*(nNOTA))/SUMPRODUCT((nNIA=S845)*(nCUENTA=1)*(COUNTIF(CONFIG_ASIGNATURAS!$B$7:$B$27,nASIG)&gt;0)*1),"")))</f>
        <v/>
      </c>
      <c r="Z845" t="str">
        <f>IF(Y845="","",IF(Y845="[FÓRMULA MANUAL]","",IFERROR(AVERAGEIFS(nNOTA,nNIA,Y845,nCUENTA,1,nASIG,"Análisis"),"")))</f>
        <v/>
      </c>
      <c r="AA845" t="str">
        <f>IF(Y845="","",IF(Y845="[FÓRMULA MANUAL]","",IFERROR(AVERAGEIFS(nNOTA,nNIA,Y845,nCUENTA,1,nASIG,"Orquesta/Banda/Conjunto"),"")))</f>
        <v/>
      </c>
      <c r="AB845" t="str">
        <f>IF(Y845="","",IF(Y845="[FÓRMULA MANUAL]","",IFERROR(AVERAGEIFS(nNOTA,nNIA,Y845,nCUENTA,1,nASIG,"Música de Cámara"),"")))</f>
        <v/>
      </c>
      <c r="AC845" t="str">
        <f>IF(Y845="","",IF(Y845="[FÓRMULA MANUAL]","",IFERROR(SUMPRODUCT((nNIA=Y845)*(nCUENTA=1)*(COUNTIF(CONFIG_ASIGNATURAS!$B$7:$B$27,nASIG)&gt;0)*(nNOTA))/SUMPRODUCT((nNIA=Y845)*(nCUENTA=1)*(COUNTIF(CONFIG_ASIGNATURAS!$B$7:$B$27,nASIG)&gt;0)*1),"")))</f>
        <v/>
      </c>
      <c r="AF845" t="str">
        <f>IF(AE845="","",IF(AE845="[FÓRMULA MANUAL]","",IFERROR(AVERAGEIFS(nNOTA,nNIA,AE845,nCUENTA,1,nASIG,"Análisis"),"")))</f>
        <v/>
      </c>
      <c r="AG845" t="str">
        <f>IF(AE845="","",IF(AE845="[FÓRMULA MANUAL]","",IFERROR(AVERAGEIFS(nNOTA,nNIA,AE845,nCUENTA,1,nASIG,"Orquesta/Banda/Conjunto"),"")))</f>
        <v/>
      </c>
      <c r="AH845" t="str">
        <f>IF(AE845="","",IF(AE845="[FÓRMULA MANUAL]","",IFERROR(AVERAGEIFS(nNOTA,nNIA,AE845,nCUENTA,1,nASIG,"Música de Cámara"),"")))</f>
        <v/>
      </c>
      <c r="AI845" t="str">
        <f>IF(AE845="","",IF(AE845="[FÓRMULA MANUAL]","",IFERROR(SUMPRODUCT((nNIA=AE845)*(nCUENTA=1)*(COUNTIF(CONFIG_ASIGNATURAS!$B$7:$B$27,nASIG)&gt;0)*(nNOTA))/SUMPRODUCT((nNIA=AE845)*(nCUENTA=1)*(COUNTIF(CONFIG_ASIGNATURAS!$B$7:$B$27,nASIG)&gt;0)*1),"")))</f>
        <v/>
      </c>
    </row>
    <row r="846" spans="2:35" x14ac:dyDescent="0.2">
      <c r="B846" t="str">
        <f>IF(A846="","",IF(A846="[FÓRMULA MANUAL]","",IFERROR(AVERAGEIFS(nNOTA,nNIA,A846,nCUENTA,1,nASIG,"Lenguaje Musical"),"")))</f>
        <v/>
      </c>
      <c r="C846" t="str">
        <f>IF(A846="","",IF(A846="[FÓRMULA MANUAL]","",IFERROR(AVERAGEIFS(nNOTA,nNIA,A846,nCUENTA,1,nASIG,"Orquesta/Banda/Conjunto"),"")))</f>
        <v/>
      </c>
      <c r="D846" t="str">
        <f>IF(A846="","",IF(A846="[FÓRMULA MANUAL]","",IFERROR(AVERAGEIFS(nNOTA,nNIA,A846,nCUENTA,1,nASIG,"Conjunto"),"")))</f>
        <v/>
      </c>
      <c r="E846" t="str">
        <f>IF(A846="","",IF(A846="[FÓRMULA MANUAL]","",IFERROR(SUMPRODUCT((nNIA=A846)*(nCUENTA=1)*(COUNTIF(CONFIG_ASIGNATURAS!$B$7:$B$27,nASIG)&gt;0)*(nNOTA))/SUMPRODUCT((nNIA=A846)*(nCUENTA=1)*(COUNTIF(CONFIG_ASIGNATURAS!$B$7:$B$27,nASIG)&gt;0)*1),"")))</f>
        <v/>
      </c>
      <c r="H846" t="str">
        <f>IF(G846="","",IF(G846="[FÓRMULA MANUAL]","",IFERROR(AVERAGEIFS(nNOTA,nNIA,G846,nCUENTA,1,nASIG,"Lenguaje Musical"),"")))</f>
        <v/>
      </c>
      <c r="I846" t="str">
        <f>IF(G846="","",IF(G846="[FÓRMULA MANUAL]","",IFERROR(AVERAGEIFS(nNOTA,nNIA,G846,nCUENTA,1,nASIG,"Orquesta/Banda/Conjunto"),"")))</f>
        <v/>
      </c>
      <c r="J846" t="str">
        <f>IF(G846="","",IF(G846="[FÓRMULA MANUAL]","",IFERROR(AVERAGEIFS(nNOTA,nNIA,G846,nCUENTA,1,nASIG,"Conjunto"),"")))</f>
        <v/>
      </c>
      <c r="K846" t="str">
        <f>IF(G846="","",IF(G846="[FÓRMULA MANUAL]","",IFERROR(SUMPRODUCT((nNIA=G846)*(nCUENTA=1)*(COUNTIF(CONFIG_ASIGNATURAS!$B$7:$B$27,nASIG)&gt;0)*(nNOTA))/SUMPRODUCT((nNIA=G846)*(nCUENTA=1)*(COUNTIF(CONFIG_ASIGNATURAS!$B$7:$B$27,nASIG)&gt;0)*1),"")))</f>
        <v/>
      </c>
      <c r="N846" t="str">
        <f>IF(M846="","",IF(M846="[FÓRMULA MANUAL]","",IFERROR(AVERAGEIFS(nNOTA,nNIA,M846,nCUENTA,1,nASIG,"Armonía"),"")))</f>
        <v/>
      </c>
      <c r="O846" t="str">
        <f>IF(M846="","",IF(M846="[FÓRMULA MANUAL]","",IFERROR(AVERAGEIFS(nNOTA,nNIA,M846,nCUENTA,1,nASIG,"Orquesta/Banda/Conjunto"),"")))</f>
        <v/>
      </c>
      <c r="P846" t="str">
        <f>IF(M846="","",IF(M846="[FÓRMULA MANUAL]","",IFERROR(AVERAGEIFS(nNOTA,nNIA,M846,nCUENTA,1,nASIG,"Música de Cámara"),"")))</f>
        <v/>
      </c>
      <c r="Q846" t="str">
        <f>IF(M846="","",IF(M846="[FÓRMULA MANUAL]","",IFERROR(SUMPRODUCT((nNIA=M846)*(nCUENTA=1)*(COUNTIF(CONFIG_ASIGNATURAS!$B$7:$B$27,nASIG)&gt;0)*(nNOTA))/SUMPRODUCT((nNIA=M846)*(nCUENTA=1)*(COUNTIF(CONFIG_ASIGNATURAS!$B$7:$B$27,nASIG)&gt;0)*1),"")))</f>
        <v/>
      </c>
      <c r="T846" t="str">
        <f>IF(S846="","",IF(S846="[FÓRMULA MANUAL]","",IFERROR(AVERAGEIFS(nNOTA,nNIA,S846,nCUENTA,1,nASIG,"Armonía"),"")))</f>
        <v/>
      </c>
      <c r="U846" t="str">
        <f>IF(S846="","",IF(S846="[FÓRMULA MANUAL]","",IFERROR(AVERAGEIFS(nNOTA,nNIA,S846,nCUENTA,1,nASIG,"Orquesta/Banda/Conjunto"),"")))</f>
        <v/>
      </c>
      <c r="V846" t="str">
        <f>IF(S846="","",IF(S846="[FÓRMULA MANUAL]","",IFERROR(AVERAGEIFS(nNOTA,nNIA,S846,nCUENTA,1,nASIG,"Música de Cámara"),"")))</f>
        <v/>
      </c>
      <c r="W846" t="str">
        <f>IF(S846="","",IF(S846="[FÓRMULA MANUAL]","",IFERROR(SUMPRODUCT((nNIA=S846)*(nCUENTA=1)*(COUNTIF(CONFIG_ASIGNATURAS!$B$7:$B$27,nASIG)&gt;0)*(nNOTA))/SUMPRODUCT((nNIA=S846)*(nCUENTA=1)*(COUNTIF(CONFIG_ASIGNATURAS!$B$7:$B$27,nASIG)&gt;0)*1),"")))</f>
        <v/>
      </c>
      <c r="Z846" t="str">
        <f>IF(Y846="","",IF(Y846="[FÓRMULA MANUAL]","",IFERROR(AVERAGEIFS(nNOTA,nNIA,Y846,nCUENTA,1,nASIG,"Análisis"),"")))</f>
        <v/>
      </c>
      <c r="AA846" t="str">
        <f>IF(Y846="","",IF(Y846="[FÓRMULA MANUAL]","",IFERROR(AVERAGEIFS(nNOTA,nNIA,Y846,nCUENTA,1,nASIG,"Orquesta/Banda/Conjunto"),"")))</f>
        <v/>
      </c>
      <c r="AB846" t="str">
        <f>IF(Y846="","",IF(Y846="[FÓRMULA MANUAL]","",IFERROR(AVERAGEIFS(nNOTA,nNIA,Y846,nCUENTA,1,nASIG,"Música de Cámara"),"")))</f>
        <v/>
      </c>
      <c r="AC846" t="str">
        <f>IF(Y846="","",IF(Y846="[FÓRMULA MANUAL]","",IFERROR(SUMPRODUCT((nNIA=Y846)*(nCUENTA=1)*(COUNTIF(CONFIG_ASIGNATURAS!$B$7:$B$27,nASIG)&gt;0)*(nNOTA))/SUMPRODUCT((nNIA=Y846)*(nCUENTA=1)*(COUNTIF(CONFIG_ASIGNATURAS!$B$7:$B$27,nASIG)&gt;0)*1),"")))</f>
        <v/>
      </c>
      <c r="AF846" t="str">
        <f>IF(AE846="","",IF(AE846="[FÓRMULA MANUAL]","",IFERROR(AVERAGEIFS(nNOTA,nNIA,AE846,nCUENTA,1,nASIG,"Análisis"),"")))</f>
        <v/>
      </c>
      <c r="AG846" t="str">
        <f>IF(AE846="","",IF(AE846="[FÓRMULA MANUAL]","",IFERROR(AVERAGEIFS(nNOTA,nNIA,AE846,nCUENTA,1,nASIG,"Orquesta/Banda/Conjunto"),"")))</f>
        <v/>
      </c>
      <c r="AH846" t="str">
        <f>IF(AE846="","",IF(AE846="[FÓRMULA MANUAL]","",IFERROR(AVERAGEIFS(nNOTA,nNIA,AE846,nCUENTA,1,nASIG,"Música de Cámara"),"")))</f>
        <v/>
      </c>
      <c r="AI846" t="str">
        <f>IF(AE846="","",IF(AE846="[FÓRMULA MANUAL]","",IFERROR(SUMPRODUCT((nNIA=AE846)*(nCUENTA=1)*(COUNTIF(CONFIG_ASIGNATURAS!$B$7:$B$27,nASIG)&gt;0)*(nNOTA))/SUMPRODUCT((nNIA=AE846)*(nCUENTA=1)*(COUNTIF(CONFIG_ASIGNATURAS!$B$7:$B$27,nASIG)&gt;0)*1),"")))</f>
        <v/>
      </c>
    </row>
    <row r="847" spans="2:35" x14ac:dyDescent="0.2">
      <c r="B847" t="str">
        <f>IF(A847="","",IF(A847="[FÓRMULA MANUAL]","",IFERROR(AVERAGEIFS(nNOTA,nNIA,A847,nCUENTA,1,nASIG,"Lenguaje Musical"),"")))</f>
        <v/>
      </c>
      <c r="C847" t="str">
        <f>IF(A847="","",IF(A847="[FÓRMULA MANUAL]","",IFERROR(AVERAGEIFS(nNOTA,nNIA,A847,nCUENTA,1,nASIG,"Orquesta/Banda/Conjunto"),"")))</f>
        <v/>
      </c>
      <c r="D847" t="str">
        <f>IF(A847="","",IF(A847="[FÓRMULA MANUAL]","",IFERROR(AVERAGEIFS(nNOTA,nNIA,A847,nCUENTA,1,nASIG,"Conjunto"),"")))</f>
        <v/>
      </c>
      <c r="E847" t="str">
        <f>IF(A847="","",IF(A847="[FÓRMULA MANUAL]","",IFERROR(SUMPRODUCT((nNIA=A847)*(nCUENTA=1)*(COUNTIF(CONFIG_ASIGNATURAS!$B$7:$B$27,nASIG)&gt;0)*(nNOTA))/SUMPRODUCT((nNIA=A847)*(nCUENTA=1)*(COUNTIF(CONFIG_ASIGNATURAS!$B$7:$B$27,nASIG)&gt;0)*1),"")))</f>
        <v/>
      </c>
      <c r="H847" t="str">
        <f>IF(G847="","",IF(G847="[FÓRMULA MANUAL]","",IFERROR(AVERAGEIFS(nNOTA,nNIA,G847,nCUENTA,1,nASIG,"Lenguaje Musical"),"")))</f>
        <v/>
      </c>
      <c r="I847" t="str">
        <f>IF(G847="","",IF(G847="[FÓRMULA MANUAL]","",IFERROR(AVERAGEIFS(nNOTA,nNIA,G847,nCUENTA,1,nASIG,"Orquesta/Banda/Conjunto"),"")))</f>
        <v/>
      </c>
      <c r="J847" t="str">
        <f>IF(G847="","",IF(G847="[FÓRMULA MANUAL]","",IFERROR(AVERAGEIFS(nNOTA,nNIA,G847,nCUENTA,1,nASIG,"Conjunto"),"")))</f>
        <v/>
      </c>
      <c r="K847" t="str">
        <f>IF(G847="","",IF(G847="[FÓRMULA MANUAL]","",IFERROR(SUMPRODUCT((nNIA=G847)*(nCUENTA=1)*(COUNTIF(CONFIG_ASIGNATURAS!$B$7:$B$27,nASIG)&gt;0)*(nNOTA))/SUMPRODUCT((nNIA=G847)*(nCUENTA=1)*(COUNTIF(CONFIG_ASIGNATURAS!$B$7:$B$27,nASIG)&gt;0)*1),"")))</f>
        <v/>
      </c>
      <c r="N847" t="str">
        <f>IF(M847="","",IF(M847="[FÓRMULA MANUAL]","",IFERROR(AVERAGEIFS(nNOTA,nNIA,M847,nCUENTA,1,nASIG,"Armonía"),"")))</f>
        <v/>
      </c>
      <c r="O847" t="str">
        <f>IF(M847="","",IF(M847="[FÓRMULA MANUAL]","",IFERROR(AVERAGEIFS(nNOTA,nNIA,M847,nCUENTA,1,nASIG,"Orquesta/Banda/Conjunto"),"")))</f>
        <v/>
      </c>
      <c r="P847" t="str">
        <f>IF(M847="","",IF(M847="[FÓRMULA MANUAL]","",IFERROR(AVERAGEIFS(nNOTA,nNIA,M847,nCUENTA,1,nASIG,"Música de Cámara"),"")))</f>
        <v/>
      </c>
      <c r="Q847" t="str">
        <f>IF(M847="","",IF(M847="[FÓRMULA MANUAL]","",IFERROR(SUMPRODUCT((nNIA=M847)*(nCUENTA=1)*(COUNTIF(CONFIG_ASIGNATURAS!$B$7:$B$27,nASIG)&gt;0)*(nNOTA))/SUMPRODUCT((nNIA=M847)*(nCUENTA=1)*(COUNTIF(CONFIG_ASIGNATURAS!$B$7:$B$27,nASIG)&gt;0)*1),"")))</f>
        <v/>
      </c>
      <c r="T847" t="str">
        <f>IF(S847="","",IF(S847="[FÓRMULA MANUAL]","",IFERROR(AVERAGEIFS(nNOTA,nNIA,S847,nCUENTA,1,nASIG,"Armonía"),"")))</f>
        <v/>
      </c>
      <c r="U847" t="str">
        <f>IF(S847="","",IF(S847="[FÓRMULA MANUAL]","",IFERROR(AVERAGEIFS(nNOTA,nNIA,S847,nCUENTA,1,nASIG,"Orquesta/Banda/Conjunto"),"")))</f>
        <v/>
      </c>
      <c r="V847" t="str">
        <f>IF(S847="","",IF(S847="[FÓRMULA MANUAL]","",IFERROR(AVERAGEIFS(nNOTA,nNIA,S847,nCUENTA,1,nASIG,"Música de Cámara"),"")))</f>
        <v/>
      </c>
      <c r="W847" t="str">
        <f>IF(S847="","",IF(S847="[FÓRMULA MANUAL]","",IFERROR(SUMPRODUCT((nNIA=S847)*(nCUENTA=1)*(COUNTIF(CONFIG_ASIGNATURAS!$B$7:$B$27,nASIG)&gt;0)*(nNOTA))/SUMPRODUCT((nNIA=S847)*(nCUENTA=1)*(COUNTIF(CONFIG_ASIGNATURAS!$B$7:$B$27,nASIG)&gt;0)*1),"")))</f>
        <v/>
      </c>
      <c r="Z847" t="str">
        <f>IF(Y847="","",IF(Y847="[FÓRMULA MANUAL]","",IFERROR(AVERAGEIFS(nNOTA,nNIA,Y847,nCUENTA,1,nASIG,"Análisis"),"")))</f>
        <v/>
      </c>
      <c r="AA847" t="str">
        <f>IF(Y847="","",IF(Y847="[FÓRMULA MANUAL]","",IFERROR(AVERAGEIFS(nNOTA,nNIA,Y847,nCUENTA,1,nASIG,"Orquesta/Banda/Conjunto"),"")))</f>
        <v/>
      </c>
      <c r="AB847" t="str">
        <f>IF(Y847="","",IF(Y847="[FÓRMULA MANUAL]","",IFERROR(AVERAGEIFS(nNOTA,nNIA,Y847,nCUENTA,1,nASIG,"Música de Cámara"),"")))</f>
        <v/>
      </c>
      <c r="AC847" t="str">
        <f>IF(Y847="","",IF(Y847="[FÓRMULA MANUAL]","",IFERROR(SUMPRODUCT((nNIA=Y847)*(nCUENTA=1)*(COUNTIF(CONFIG_ASIGNATURAS!$B$7:$B$27,nASIG)&gt;0)*(nNOTA))/SUMPRODUCT((nNIA=Y847)*(nCUENTA=1)*(COUNTIF(CONFIG_ASIGNATURAS!$B$7:$B$27,nASIG)&gt;0)*1),"")))</f>
        <v/>
      </c>
      <c r="AF847" t="str">
        <f>IF(AE847="","",IF(AE847="[FÓRMULA MANUAL]","",IFERROR(AVERAGEIFS(nNOTA,nNIA,AE847,nCUENTA,1,nASIG,"Análisis"),"")))</f>
        <v/>
      </c>
      <c r="AG847" t="str">
        <f>IF(AE847="","",IF(AE847="[FÓRMULA MANUAL]","",IFERROR(AVERAGEIFS(nNOTA,nNIA,AE847,nCUENTA,1,nASIG,"Orquesta/Banda/Conjunto"),"")))</f>
        <v/>
      </c>
      <c r="AH847" t="str">
        <f>IF(AE847="","",IF(AE847="[FÓRMULA MANUAL]","",IFERROR(AVERAGEIFS(nNOTA,nNIA,AE847,nCUENTA,1,nASIG,"Música de Cámara"),"")))</f>
        <v/>
      </c>
      <c r="AI847" t="str">
        <f>IF(AE847="","",IF(AE847="[FÓRMULA MANUAL]","",IFERROR(SUMPRODUCT((nNIA=AE847)*(nCUENTA=1)*(COUNTIF(CONFIG_ASIGNATURAS!$B$7:$B$27,nASIG)&gt;0)*(nNOTA))/SUMPRODUCT((nNIA=AE847)*(nCUENTA=1)*(COUNTIF(CONFIG_ASIGNATURAS!$B$7:$B$27,nASIG)&gt;0)*1),"")))</f>
        <v/>
      </c>
    </row>
    <row r="848" spans="2:35" x14ac:dyDescent="0.2">
      <c r="B848" t="str">
        <f>IF(A848="","",IF(A848="[FÓRMULA MANUAL]","",IFERROR(AVERAGEIFS(nNOTA,nNIA,A848,nCUENTA,1,nASIG,"Lenguaje Musical"),"")))</f>
        <v/>
      </c>
      <c r="C848" t="str">
        <f>IF(A848="","",IF(A848="[FÓRMULA MANUAL]","",IFERROR(AVERAGEIFS(nNOTA,nNIA,A848,nCUENTA,1,nASIG,"Orquesta/Banda/Conjunto"),"")))</f>
        <v/>
      </c>
      <c r="D848" t="str">
        <f>IF(A848="","",IF(A848="[FÓRMULA MANUAL]","",IFERROR(AVERAGEIFS(nNOTA,nNIA,A848,nCUENTA,1,nASIG,"Conjunto"),"")))</f>
        <v/>
      </c>
      <c r="E848" t="str">
        <f>IF(A848="","",IF(A848="[FÓRMULA MANUAL]","",IFERROR(SUMPRODUCT((nNIA=A848)*(nCUENTA=1)*(COUNTIF(CONFIG_ASIGNATURAS!$B$7:$B$27,nASIG)&gt;0)*(nNOTA))/SUMPRODUCT((nNIA=A848)*(nCUENTA=1)*(COUNTIF(CONFIG_ASIGNATURAS!$B$7:$B$27,nASIG)&gt;0)*1),"")))</f>
        <v/>
      </c>
      <c r="H848" t="str">
        <f>IF(G848="","",IF(G848="[FÓRMULA MANUAL]","",IFERROR(AVERAGEIFS(nNOTA,nNIA,G848,nCUENTA,1,nASIG,"Lenguaje Musical"),"")))</f>
        <v/>
      </c>
      <c r="I848" t="str">
        <f>IF(G848="","",IF(G848="[FÓRMULA MANUAL]","",IFERROR(AVERAGEIFS(nNOTA,nNIA,G848,nCUENTA,1,nASIG,"Orquesta/Banda/Conjunto"),"")))</f>
        <v/>
      </c>
      <c r="J848" t="str">
        <f>IF(G848="","",IF(G848="[FÓRMULA MANUAL]","",IFERROR(AVERAGEIFS(nNOTA,nNIA,G848,nCUENTA,1,nASIG,"Conjunto"),"")))</f>
        <v/>
      </c>
      <c r="K848" t="str">
        <f>IF(G848="","",IF(G848="[FÓRMULA MANUAL]","",IFERROR(SUMPRODUCT((nNIA=G848)*(nCUENTA=1)*(COUNTIF(CONFIG_ASIGNATURAS!$B$7:$B$27,nASIG)&gt;0)*(nNOTA))/SUMPRODUCT((nNIA=G848)*(nCUENTA=1)*(COUNTIF(CONFIG_ASIGNATURAS!$B$7:$B$27,nASIG)&gt;0)*1),"")))</f>
        <v/>
      </c>
      <c r="N848" t="str">
        <f>IF(M848="","",IF(M848="[FÓRMULA MANUAL]","",IFERROR(AVERAGEIFS(nNOTA,nNIA,M848,nCUENTA,1,nASIG,"Armonía"),"")))</f>
        <v/>
      </c>
      <c r="O848" t="str">
        <f>IF(M848="","",IF(M848="[FÓRMULA MANUAL]","",IFERROR(AVERAGEIFS(nNOTA,nNIA,M848,nCUENTA,1,nASIG,"Orquesta/Banda/Conjunto"),"")))</f>
        <v/>
      </c>
      <c r="P848" t="str">
        <f>IF(M848="","",IF(M848="[FÓRMULA MANUAL]","",IFERROR(AVERAGEIFS(nNOTA,nNIA,M848,nCUENTA,1,nASIG,"Música de Cámara"),"")))</f>
        <v/>
      </c>
      <c r="Q848" t="str">
        <f>IF(M848="","",IF(M848="[FÓRMULA MANUAL]","",IFERROR(SUMPRODUCT((nNIA=M848)*(nCUENTA=1)*(COUNTIF(CONFIG_ASIGNATURAS!$B$7:$B$27,nASIG)&gt;0)*(nNOTA))/SUMPRODUCT((nNIA=M848)*(nCUENTA=1)*(COUNTIF(CONFIG_ASIGNATURAS!$B$7:$B$27,nASIG)&gt;0)*1),"")))</f>
        <v/>
      </c>
      <c r="T848" t="str">
        <f>IF(S848="","",IF(S848="[FÓRMULA MANUAL]","",IFERROR(AVERAGEIFS(nNOTA,nNIA,S848,nCUENTA,1,nASIG,"Armonía"),"")))</f>
        <v/>
      </c>
      <c r="U848" t="str">
        <f>IF(S848="","",IF(S848="[FÓRMULA MANUAL]","",IFERROR(AVERAGEIFS(nNOTA,nNIA,S848,nCUENTA,1,nASIG,"Orquesta/Banda/Conjunto"),"")))</f>
        <v/>
      </c>
      <c r="V848" t="str">
        <f>IF(S848="","",IF(S848="[FÓRMULA MANUAL]","",IFERROR(AVERAGEIFS(nNOTA,nNIA,S848,nCUENTA,1,nASIG,"Música de Cámara"),"")))</f>
        <v/>
      </c>
      <c r="W848" t="str">
        <f>IF(S848="","",IF(S848="[FÓRMULA MANUAL]","",IFERROR(SUMPRODUCT((nNIA=S848)*(nCUENTA=1)*(COUNTIF(CONFIG_ASIGNATURAS!$B$7:$B$27,nASIG)&gt;0)*(nNOTA))/SUMPRODUCT((nNIA=S848)*(nCUENTA=1)*(COUNTIF(CONFIG_ASIGNATURAS!$B$7:$B$27,nASIG)&gt;0)*1),"")))</f>
        <v/>
      </c>
      <c r="Z848" t="str">
        <f>IF(Y848="","",IF(Y848="[FÓRMULA MANUAL]","",IFERROR(AVERAGEIFS(nNOTA,nNIA,Y848,nCUENTA,1,nASIG,"Análisis"),"")))</f>
        <v/>
      </c>
      <c r="AA848" t="str">
        <f>IF(Y848="","",IF(Y848="[FÓRMULA MANUAL]","",IFERROR(AVERAGEIFS(nNOTA,nNIA,Y848,nCUENTA,1,nASIG,"Orquesta/Banda/Conjunto"),"")))</f>
        <v/>
      </c>
      <c r="AB848" t="str">
        <f>IF(Y848="","",IF(Y848="[FÓRMULA MANUAL]","",IFERROR(AVERAGEIFS(nNOTA,nNIA,Y848,nCUENTA,1,nASIG,"Música de Cámara"),"")))</f>
        <v/>
      </c>
      <c r="AC848" t="str">
        <f>IF(Y848="","",IF(Y848="[FÓRMULA MANUAL]","",IFERROR(SUMPRODUCT((nNIA=Y848)*(nCUENTA=1)*(COUNTIF(CONFIG_ASIGNATURAS!$B$7:$B$27,nASIG)&gt;0)*(nNOTA))/SUMPRODUCT((nNIA=Y848)*(nCUENTA=1)*(COUNTIF(CONFIG_ASIGNATURAS!$B$7:$B$27,nASIG)&gt;0)*1),"")))</f>
        <v/>
      </c>
      <c r="AF848" t="str">
        <f>IF(AE848="","",IF(AE848="[FÓRMULA MANUAL]","",IFERROR(AVERAGEIFS(nNOTA,nNIA,AE848,nCUENTA,1,nASIG,"Análisis"),"")))</f>
        <v/>
      </c>
      <c r="AG848" t="str">
        <f>IF(AE848="","",IF(AE848="[FÓRMULA MANUAL]","",IFERROR(AVERAGEIFS(nNOTA,nNIA,AE848,nCUENTA,1,nASIG,"Orquesta/Banda/Conjunto"),"")))</f>
        <v/>
      </c>
      <c r="AH848" t="str">
        <f>IF(AE848="","",IF(AE848="[FÓRMULA MANUAL]","",IFERROR(AVERAGEIFS(nNOTA,nNIA,AE848,nCUENTA,1,nASIG,"Música de Cámara"),"")))</f>
        <v/>
      </c>
      <c r="AI848" t="str">
        <f>IF(AE848="","",IF(AE848="[FÓRMULA MANUAL]","",IFERROR(SUMPRODUCT((nNIA=AE848)*(nCUENTA=1)*(COUNTIF(CONFIG_ASIGNATURAS!$B$7:$B$27,nASIG)&gt;0)*(nNOTA))/SUMPRODUCT((nNIA=AE848)*(nCUENTA=1)*(COUNTIF(CONFIG_ASIGNATURAS!$B$7:$B$27,nASIG)&gt;0)*1),"")))</f>
        <v/>
      </c>
    </row>
    <row r="849" spans="2:35" x14ac:dyDescent="0.2">
      <c r="B849" t="str">
        <f>IF(A849="","",IF(A849="[FÓRMULA MANUAL]","",IFERROR(AVERAGEIFS(nNOTA,nNIA,A849,nCUENTA,1,nASIG,"Lenguaje Musical"),"")))</f>
        <v/>
      </c>
      <c r="C849" t="str">
        <f>IF(A849="","",IF(A849="[FÓRMULA MANUAL]","",IFERROR(AVERAGEIFS(nNOTA,nNIA,A849,nCUENTA,1,nASIG,"Orquesta/Banda/Conjunto"),"")))</f>
        <v/>
      </c>
      <c r="D849" t="str">
        <f>IF(A849="","",IF(A849="[FÓRMULA MANUAL]","",IFERROR(AVERAGEIFS(nNOTA,nNIA,A849,nCUENTA,1,nASIG,"Conjunto"),"")))</f>
        <v/>
      </c>
      <c r="E849" t="str">
        <f>IF(A849="","",IF(A849="[FÓRMULA MANUAL]","",IFERROR(SUMPRODUCT((nNIA=A849)*(nCUENTA=1)*(COUNTIF(CONFIG_ASIGNATURAS!$B$7:$B$27,nASIG)&gt;0)*(nNOTA))/SUMPRODUCT((nNIA=A849)*(nCUENTA=1)*(COUNTIF(CONFIG_ASIGNATURAS!$B$7:$B$27,nASIG)&gt;0)*1),"")))</f>
        <v/>
      </c>
      <c r="H849" t="str">
        <f>IF(G849="","",IF(G849="[FÓRMULA MANUAL]","",IFERROR(AVERAGEIFS(nNOTA,nNIA,G849,nCUENTA,1,nASIG,"Lenguaje Musical"),"")))</f>
        <v/>
      </c>
      <c r="I849" t="str">
        <f>IF(G849="","",IF(G849="[FÓRMULA MANUAL]","",IFERROR(AVERAGEIFS(nNOTA,nNIA,G849,nCUENTA,1,nASIG,"Orquesta/Banda/Conjunto"),"")))</f>
        <v/>
      </c>
      <c r="J849" t="str">
        <f>IF(G849="","",IF(G849="[FÓRMULA MANUAL]","",IFERROR(AVERAGEIFS(nNOTA,nNIA,G849,nCUENTA,1,nASIG,"Conjunto"),"")))</f>
        <v/>
      </c>
      <c r="K849" t="str">
        <f>IF(G849="","",IF(G849="[FÓRMULA MANUAL]","",IFERROR(SUMPRODUCT((nNIA=G849)*(nCUENTA=1)*(COUNTIF(CONFIG_ASIGNATURAS!$B$7:$B$27,nASIG)&gt;0)*(nNOTA))/SUMPRODUCT((nNIA=G849)*(nCUENTA=1)*(COUNTIF(CONFIG_ASIGNATURAS!$B$7:$B$27,nASIG)&gt;0)*1),"")))</f>
        <v/>
      </c>
      <c r="N849" t="str">
        <f>IF(M849="","",IF(M849="[FÓRMULA MANUAL]","",IFERROR(AVERAGEIFS(nNOTA,nNIA,M849,nCUENTA,1,nASIG,"Armonía"),"")))</f>
        <v/>
      </c>
      <c r="O849" t="str">
        <f>IF(M849="","",IF(M849="[FÓRMULA MANUAL]","",IFERROR(AVERAGEIFS(nNOTA,nNIA,M849,nCUENTA,1,nASIG,"Orquesta/Banda/Conjunto"),"")))</f>
        <v/>
      </c>
      <c r="P849" t="str">
        <f>IF(M849="","",IF(M849="[FÓRMULA MANUAL]","",IFERROR(AVERAGEIFS(nNOTA,nNIA,M849,nCUENTA,1,nASIG,"Música de Cámara"),"")))</f>
        <v/>
      </c>
      <c r="Q849" t="str">
        <f>IF(M849="","",IF(M849="[FÓRMULA MANUAL]","",IFERROR(SUMPRODUCT((nNIA=M849)*(nCUENTA=1)*(COUNTIF(CONFIG_ASIGNATURAS!$B$7:$B$27,nASIG)&gt;0)*(nNOTA))/SUMPRODUCT((nNIA=M849)*(nCUENTA=1)*(COUNTIF(CONFIG_ASIGNATURAS!$B$7:$B$27,nASIG)&gt;0)*1),"")))</f>
        <v/>
      </c>
      <c r="T849" t="str">
        <f>IF(S849="","",IF(S849="[FÓRMULA MANUAL]","",IFERROR(AVERAGEIFS(nNOTA,nNIA,S849,nCUENTA,1,nASIG,"Armonía"),"")))</f>
        <v/>
      </c>
      <c r="U849" t="str">
        <f>IF(S849="","",IF(S849="[FÓRMULA MANUAL]","",IFERROR(AVERAGEIFS(nNOTA,nNIA,S849,nCUENTA,1,nASIG,"Orquesta/Banda/Conjunto"),"")))</f>
        <v/>
      </c>
      <c r="V849" t="str">
        <f>IF(S849="","",IF(S849="[FÓRMULA MANUAL]","",IFERROR(AVERAGEIFS(nNOTA,nNIA,S849,nCUENTA,1,nASIG,"Música de Cámara"),"")))</f>
        <v/>
      </c>
      <c r="W849" t="str">
        <f>IF(S849="","",IF(S849="[FÓRMULA MANUAL]","",IFERROR(SUMPRODUCT((nNIA=S849)*(nCUENTA=1)*(COUNTIF(CONFIG_ASIGNATURAS!$B$7:$B$27,nASIG)&gt;0)*(nNOTA))/SUMPRODUCT((nNIA=S849)*(nCUENTA=1)*(COUNTIF(CONFIG_ASIGNATURAS!$B$7:$B$27,nASIG)&gt;0)*1),"")))</f>
        <v/>
      </c>
      <c r="Z849" t="str">
        <f>IF(Y849="","",IF(Y849="[FÓRMULA MANUAL]","",IFERROR(AVERAGEIFS(nNOTA,nNIA,Y849,nCUENTA,1,nASIG,"Análisis"),"")))</f>
        <v/>
      </c>
      <c r="AA849" t="str">
        <f>IF(Y849="","",IF(Y849="[FÓRMULA MANUAL]","",IFERROR(AVERAGEIFS(nNOTA,nNIA,Y849,nCUENTA,1,nASIG,"Orquesta/Banda/Conjunto"),"")))</f>
        <v/>
      </c>
      <c r="AB849" t="str">
        <f>IF(Y849="","",IF(Y849="[FÓRMULA MANUAL]","",IFERROR(AVERAGEIFS(nNOTA,nNIA,Y849,nCUENTA,1,nASIG,"Música de Cámara"),"")))</f>
        <v/>
      </c>
      <c r="AC849" t="str">
        <f>IF(Y849="","",IF(Y849="[FÓRMULA MANUAL]","",IFERROR(SUMPRODUCT((nNIA=Y849)*(nCUENTA=1)*(COUNTIF(CONFIG_ASIGNATURAS!$B$7:$B$27,nASIG)&gt;0)*(nNOTA))/SUMPRODUCT((nNIA=Y849)*(nCUENTA=1)*(COUNTIF(CONFIG_ASIGNATURAS!$B$7:$B$27,nASIG)&gt;0)*1),"")))</f>
        <v/>
      </c>
      <c r="AF849" t="str">
        <f>IF(AE849="","",IF(AE849="[FÓRMULA MANUAL]","",IFERROR(AVERAGEIFS(nNOTA,nNIA,AE849,nCUENTA,1,nASIG,"Análisis"),"")))</f>
        <v/>
      </c>
      <c r="AG849" t="str">
        <f>IF(AE849="","",IF(AE849="[FÓRMULA MANUAL]","",IFERROR(AVERAGEIFS(nNOTA,nNIA,AE849,nCUENTA,1,nASIG,"Orquesta/Banda/Conjunto"),"")))</f>
        <v/>
      </c>
      <c r="AH849" t="str">
        <f>IF(AE849="","",IF(AE849="[FÓRMULA MANUAL]","",IFERROR(AVERAGEIFS(nNOTA,nNIA,AE849,nCUENTA,1,nASIG,"Música de Cámara"),"")))</f>
        <v/>
      </c>
      <c r="AI849" t="str">
        <f>IF(AE849="","",IF(AE849="[FÓRMULA MANUAL]","",IFERROR(SUMPRODUCT((nNIA=AE849)*(nCUENTA=1)*(COUNTIF(CONFIG_ASIGNATURAS!$B$7:$B$27,nASIG)&gt;0)*(nNOTA))/SUMPRODUCT((nNIA=AE849)*(nCUENTA=1)*(COUNTIF(CONFIG_ASIGNATURAS!$B$7:$B$27,nASIG)&gt;0)*1),"")))</f>
        <v/>
      </c>
    </row>
    <row r="850" spans="2:35" x14ac:dyDescent="0.2">
      <c r="B850" t="str">
        <f>IF(A850="","",IF(A850="[FÓRMULA MANUAL]","",IFERROR(AVERAGEIFS(nNOTA,nNIA,A850,nCUENTA,1,nASIG,"Lenguaje Musical"),"")))</f>
        <v/>
      </c>
      <c r="C850" t="str">
        <f>IF(A850="","",IF(A850="[FÓRMULA MANUAL]","",IFERROR(AVERAGEIFS(nNOTA,nNIA,A850,nCUENTA,1,nASIG,"Orquesta/Banda/Conjunto"),"")))</f>
        <v/>
      </c>
      <c r="D850" t="str">
        <f>IF(A850="","",IF(A850="[FÓRMULA MANUAL]","",IFERROR(AVERAGEIFS(nNOTA,nNIA,A850,nCUENTA,1,nASIG,"Conjunto"),"")))</f>
        <v/>
      </c>
      <c r="E850" t="str">
        <f>IF(A850="","",IF(A850="[FÓRMULA MANUAL]","",IFERROR(SUMPRODUCT((nNIA=A850)*(nCUENTA=1)*(COUNTIF(CONFIG_ASIGNATURAS!$B$7:$B$27,nASIG)&gt;0)*(nNOTA))/SUMPRODUCT((nNIA=A850)*(nCUENTA=1)*(COUNTIF(CONFIG_ASIGNATURAS!$B$7:$B$27,nASIG)&gt;0)*1),"")))</f>
        <v/>
      </c>
      <c r="H850" t="str">
        <f>IF(G850="","",IF(G850="[FÓRMULA MANUAL]","",IFERROR(AVERAGEIFS(nNOTA,nNIA,G850,nCUENTA,1,nASIG,"Lenguaje Musical"),"")))</f>
        <v/>
      </c>
      <c r="I850" t="str">
        <f>IF(G850="","",IF(G850="[FÓRMULA MANUAL]","",IFERROR(AVERAGEIFS(nNOTA,nNIA,G850,nCUENTA,1,nASIG,"Orquesta/Banda/Conjunto"),"")))</f>
        <v/>
      </c>
      <c r="J850" t="str">
        <f>IF(G850="","",IF(G850="[FÓRMULA MANUAL]","",IFERROR(AVERAGEIFS(nNOTA,nNIA,G850,nCUENTA,1,nASIG,"Conjunto"),"")))</f>
        <v/>
      </c>
      <c r="K850" t="str">
        <f>IF(G850="","",IF(G850="[FÓRMULA MANUAL]","",IFERROR(SUMPRODUCT((nNIA=G850)*(nCUENTA=1)*(COUNTIF(CONFIG_ASIGNATURAS!$B$7:$B$27,nASIG)&gt;0)*(nNOTA))/SUMPRODUCT((nNIA=G850)*(nCUENTA=1)*(COUNTIF(CONFIG_ASIGNATURAS!$B$7:$B$27,nASIG)&gt;0)*1),"")))</f>
        <v/>
      </c>
      <c r="N850" t="str">
        <f>IF(M850="","",IF(M850="[FÓRMULA MANUAL]","",IFERROR(AVERAGEIFS(nNOTA,nNIA,M850,nCUENTA,1,nASIG,"Armonía"),"")))</f>
        <v/>
      </c>
      <c r="O850" t="str">
        <f>IF(M850="","",IF(M850="[FÓRMULA MANUAL]","",IFERROR(AVERAGEIFS(nNOTA,nNIA,M850,nCUENTA,1,nASIG,"Orquesta/Banda/Conjunto"),"")))</f>
        <v/>
      </c>
      <c r="P850" t="str">
        <f>IF(M850="","",IF(M850="[FÓRMULA MANUAL]","",IFERROR(AVERAGEIFS(nNOTA,nNIA,M850,nCUENTA,1,nASIG,"Música de Cámara"),"")))</f>
        <v/>
      </c>
      <c r="Q850" t="str">
        <f>IF(M850="","",IF(M850="[FÓRMULA MANUAL]","",IFERROR(SUMPRODUCT((nNIA=M850)*(nCUENTA=1)*(COUNTIF(CONFIG_ASIGNATURAS!$B$7:$B$27,nASIG)&gt;0)*(nNOTA))/SUMPRODUCT((nNIA=M850)*(nCUENTA=1)*(COUNTIF(CONFIG_ASIGNATURAS!$B$7:$B$27,nASIG)&gt;0)*1),"")))</f>
        <v/>
      </c>
      <c r="T850" t="str">
        <f>IF(S850="","",IF(S850="[FÓRMULA MANUAL]","",IFERROR(AVERAGEIFS(nNOTA,nNIA,S850,nCUENTA,1,nASIG,"Armonía"),"")))</f>
        <v/>
      </c>
      <c r="U850" t="str">
        <f>IF(S850="","",IF(S850="[FÓRMULA MANUAL]","",IFERROR(AVERAGEIFS(nNOTA,nNIA,S850,nCUENTA,1,nASIG,"Orquesta/Banda/Conjunto"),"")))</f>
        <v/>
      </c>
      <c r="V850" t="str">
        <f>IF(S850="","",IF(S850="[FÓRMULA MANUAL]","",IFERROR(AVERAGEIFS(nNOTA,nNIA,S850,nCUENTA,1,nASIG,"Música de Cámara"),"")))</f>
        <v/>
      </c>
      <c r="W850" t="str">
        <f>IF(S850="","",IF(S850="[FÓRMULA MANUAL]","",IFERROR(SUMPRODUCT((nNIA=S850)*(nCUENTA=1)*(COUNTIF(CONFIG_ASIGNATURAS!$B$7:$B$27,nASIG)&gt;0)*(nNOTA))/SUMPRODUCT((nNIA=S850)*(nCUENTA=1)*(COUNTIF(CONFIG_ASIGNATURAS!$B$7:$B$27,nASIG)&gt;0)*1),"")))</f>
        <v/>
      </c>
      <c r="Z850" t="str">
        <f>IF(Y850="","",IF(Y850="[FÓRMULA MANUAL]","",IFERROR(AVERAGEIFS(nNOTA,nNIA,Y850,nCUENTA,1,nASIG,"Análisis"),"")))</f>
        <v/>
      </c>
      <c r="AA850" t="str">
        <f>IF(Y850="","",IF(Y850="[FÓRMULA MANUAL]","",IFERROR(AVERAGEIFS(nNOTA,nNIA,Y850,nCUENTA,1,nASIG,"Orquesta/Banda/Conjunto"),"")))</f>
        <v/>
      </c>
      <c r="AB850" t="str">
        <f>IF(Y850="","",IF(Y850="[FÓRMULA MANUAL]","",IFERROR(AVERAGEIFS(nNOTA,nNIA,Y850,nCUENTA,1,nASIG,"Música de Cámara"),"")))</f>
        <v/>
      </c>
      <c r="AC850" t="str">
        <f>IF(Y850="","",IF(Y850="[FÓRMULA MANUAL]","",IFERROR(SUMPRODUCT((nNIA=Y850)*(nCUENTA=1)*(COUNTIF(CONFIG_ASIGNATURAS!$B$7:$B$27,nASIG)&gt;0)*(nNOTA))/SUMPRODUCT((nNIA=Y850)*(nCUENTA=1)*(COUNTIF(CONFIG_ASIGNATURAS!$B$7:$B$27,nASIG)&gt;0)*1),"")))</f>
        <v/>
      </c>
      <c r="AF850" t="str">
        <f>IF(AE850="","",IF(AE850="[FÓRMULA MANUAL]","",IFERROR(AVERAGEIFS(nNOTA,nNIA,AE850,nCUENTA,1,nASIG,"Análisis"),"")))</f>
        <v/>
      </c>
      <c r="AG850" t="str">
        <f>IF(AE850="","",IF(AE850="[FÓRMULA MANUAL]","",IFERROR(AVERAGEIFS(nNOTA,nNIA,AE850,nCUENTA,1,nASIG,"Orquesta/Banda/Conjunto"),"")))</f>
        <v/>
      </c>
      <c r="AH850" t="str">
        <f>IF(AE850="","",IF(AE850="[FÓRMULA MANUAL]","",IFERROR(AVERAGEIFS(nNOTA,nNIA,AE850,nCUENTA,1,nASIG,"Música de Cámara"),"")))</f>
        <v/>
      </c>
      <c r="AI850" t="str">
        <f>IF(AE850="","",IF(AE850="[FÓRMULA MANUAL]","",IFERROR(SUMPRODUCT((nNIA=AE850)*(nCUENTA=1)*(COUNTIF(CONFIG_ASIGNATURAS!$B$7:$B$27,nASIG)&gt;0)*(nNOTA))/SUMPRODUCT((nNIA=AE850)*(nCUENTA=1)*(COUNTIF(CONFIG_ASIGNATURAS!$B$7:$B$27,nASIG)&gt;0)*1),"")))</f>
        <v/>
      </c>
    </row>
    <row r="851" spans="2:35" x14ac:dyDescent="0.2">
      <c r="B851" t="str">
        <f>IF(A851="","",IF(A851="[FÓRMULA MANUAL]","",IFERROR(AVERAGEIFS(nNOTA,nNIA,A851,nCUENTA,1,nASIG,"Lenguaje Musical"),"")))</f>
        <v/>
      </c>
      <c r="C851" t="str">
        <f>IF(A851="","",IF(A851="[FÓRMULA MANUAL]","",IFERROR(AVERAGEIFS(nNOTA,nNIA,A851,nCUENTA,1,nASIG,"Orquesta/Banda/Conjunto"),"")))</f>
        <v/>
      </c>
      <c r="D851" t="str">
        <f>IF(A851="","",IF(A851="[FÓRMULA MANUAL]","",IFERROR(AVERAGEIFS(nNOTA,nNIA,A851,nCUENTA,1,nASIG,"Conjunto"),"")))</f>
        <v/>
      </c>
      <c r="E851" t="str">
        <f>IF(A851="","",IF(A851="[FÓRMULA MANUAL]","",IFERROR(SUMPRODUCT((nNIA=A851)*(nCUENTA=1)*(COUNTIF(CONFIG_ASIGNATURAS!$B$7:$B$27,nASIG)&gt;0)*(nNOTA))/SUMPRODUCT((nNIA=A851)*(nCUENTA=1)*(COUNTIF(CONFIG_ASIGNATURAS!$B$7:$B$27,nASIG)&gt;0)*1),"")))</f>
        <v/>
      </c>
      <c r="H851" t="str">
        <f>IF(G851="","",IF(G851="[FÓRMULA MANUAL]","",IFERROR(AVERAGEIFS(nNOTA,nNIA,G851,nCUENTA,1,nASIG,"Lenguaje Musical"),"")))</f>
        <v/>
      </c>
      <c r="I851" t="str">
        <f>IF(G851="","",IF(G851="[FÓRMULA MANUAL]","",IFERROR(AVERAGEIFS(nNOTA,nNIA,G851,nCUENTA,1,nASIG,"Orquesta/Banda/Conjunto"),"")))</f>
        <v/>
      </c>
      <c r="J851" t="str">
        <f>IF(G851="","",IF(G851="[FÓRMULA MANUAL]","",IFERROR(AVERAGEIFS(nNOTA,nNIA,G851,nCUENTA,1,nASIG,"Conjunto"),"")))</f>
        <v/>
      </c>
      <c r="K851" t="str">
        <f>IF(G851="","",IF(G851="[FÓRMULA MANUAL]","",IFERROR(SUMPRODUCT((nNIA=G851)*(nCUENTA=1)*(COUNTIF(CONFIG_ASIGNATURAS!$B$7:$B$27,nASIG)&gt;0)*(nNOTA))/SUMPRODUCT((nNIA=G851)*(nCUENTA=1)*(COUNTIF(CONFIG_ASIGNATURAS!$B$7:$B$27,nASIG)&gt;0)*1),"")))</f>
        <v/>
      </c>
      <c r="N851" t="str">
        <f>IF(M851="","",IF(M851="[FÓRMULA MANUAL]","",IFERROR(AVERAGEIFS(nNOTA,nNIA,M851,nCUENTA,1,nASIG,"Armonía"),"")))</f>
        <v/>
      </c>
      <c r="O851" t="str">
        <f>IF(M851="","",IF(M851="[FÓRMULA MANUAL]","",IFERROR(AVERAGEIFS(nNOTA,nNIA,M851,nCUENTA,1,nASIG,"Orquesta/Banda/Conjunto"),"")))</f>
        <v/>
      </c>
      <c r="P851" t="str">
        <f>IF(M851="","",IF(M851="[FÓRMULA MANUAL]","",IFERROR(AVERAGEIFS(nNOTA,nNIA,M851,nCUENTA,1,nASIG,"Música de Cámara"),"")))</f>
        <v/>
      </c>
      <c r="Q851" t="str">
        <f>IF(M851="","",IF(M851="[FÓRMULA MANUAL]","",IFERROR(SUMPRODUCT((nNIA=M851)*(nCUENTA=1)*(COUNTIF(CONFIG_ASIGNATURAS!$B$7:$B$27,nASIG)&gt;0)*(nNOTA))/SUMPRODUCT((nNIA=M851)*(nCUENTA=1)*(COUNTIF(CONFIG_ASIGNATURAS!$B$7:$B$27,nASIG)&gt;0)*1),"")))</f>
        <v/>
      </c>
      <c r="T851" t="str">
        <f>IF(S851="","",IF(S851="[FÓRMULA MANUAL]","",IFERROR(AVERAGEIFS(nNOTA,nNIA,S851,nCUENTA,1,nASIG,"Armonía"),"")))</f>
        <v/>
      </c>
      <c r="U851" t="str">
        <f>IF(S851="","",IF(S851="[FÓRMULA MANUAL]","",IFERROR(AVERAGEIFS(nNOTA,nNIA,S851,nCUENTA,1,nASIG,"Orquesta/Banda/Conjunto"),"")))</f>
        <v/>
      </c>
      <c r="V851" t="str">
        <f>IF(S851="","",IF(S851="[FÓRMULA MANUAL]","",IFERROR(AVERAGEIFS(nNOTA,nNIA,S851,nCUENTA,1,nASIG,"Música de Cámara"),"")))</f>
        <v/>
      </c>
      <c r="W851" t="str">
        <f>IF(S851="","",IF(S851="[FÓRMULA MANUAL]","",IFERROR(SUMPRODUCT((nNIA=S851)*(nCUENTA=1)*(COUNTIF(CONFIG_ASIGNATURAS!$B$7:$B$27,nASIG)&gt;0)*(nNOTA))/SUMPRODUCT((nNIA=S851)*(nCUENTA=1)*(COUNTIF(CONFIG_ASIGNATURAS!$B$7:$B$27,nASIG)&gt;0)*1),"")))</f>
        <v/>
      </c>
      <c r="Z851" t="str">
        <f>IF(Y851="","",IF(Y851="[FÓRMULA MANUAL]","",IFERROR(AVERAGEIFS(nNOTA,nNIA,Y851,nCUENTA,1,nASIG,"Análisis"),"")))</f>
        <v/>
      </c>
      <c r="AA851" t="str">
        <f>IF(Y851="","",IF(Y851="[FÓRMULA MANUAL]","",IFERROR(AVERAGEIFS(nNOTA,nNIA,Y851,nCUENTA,1,nASIG,"Orquesta/Banda/Conjunto"),"")))</f>
        <v/>
      </c>
      <c r="AB851" t="str">
        <f>IF(Y851="","",IF(Y851="[FÓRMULA MANUAL]","",IFERROR(AVERAGEIFS(nNOTA,nNIA,Y851,nCUENTA,1,nASIG,"Música de Cámara"),"")))</f>
        <v/>
      </c>
      <c r="AC851" t="str">
        <f>IF(Y851="","",IF(Y851="[FÓRMULA MANUAL]","",IFERROR(SUMPRODUCT((nNIA=Y851)*(nCUENTA=1)*(COUNTIF(CONFIG_ASIGNATURAS!$B$7:$B$27,nASIG)&gt;0)*(nNOTA))/SUMPRODUCT((nNIA=Y851)*(nCUENTA=1)*(COUNTIF(CONFIG_ASIGNATURAS!$B$7:$B$27,nASIG)&gt;0)*1),"")))</f>
        <v/>
      </c>
      <c r="AF851" t="str">
        <f>IF(AE851="","",IF(AE851="[FÓRMULA MANUAL]","",IFERROR(AVERAGEIFS(nNOTA,nNIA,AE851,nCUENTA,1,nASIG,"Análisis"),"")))</f>
        <v/>
      </c>
      <c r="AG851" t="str">
        <f>IF(AE851="","",IF(AE851="[FÓRMULA MANUAL]","",IFERROR(AVERAGEIFS(nNOTA,nNIA,AE851,nCUENTA,1,nASIG,"Orquesta/Banda/Conjunto"),"")))</f>
        <v/>
      </c>
      <c r="AH851" t="str">
        <f>IF(AE851="","",IF(AE851="[FÓRMULA MANUAL]","",IFERROR(AVERAGEIFS(nNOTA,nNIA,AE851,nCUENTA,1,nASIG,"Música de Cámara"),"")))</f>
        <v/>
      </c>
      <c r="AI851" t="str">
        <f>IF(AE851="","",IF(AE851="[FÓRMULA MANUAL]","",IFERROR(SUMPRODUCT((nNIA=AE851)*(nCUENTA=1)*(COUNTIF(CONFIG_ASIGNATURAS!$B$7:$B$27,nASIG)&gt;0)*(nNOTA))/SUMPRODUCT((nNIA=AE851)*(nCUENTA=1)*(COUNTIF(CONFIG_ASIGNATURAS!$B$7:$B$27,nASIG)&gt;0)*1),"")))</f>
        <v/>
      </c>
    </row>
    <row r="852" spans="2:35" x14ac:dyDescent="0.2">
      <c r="B852" t="str">
        <f>IF(A852="","",IF(A852="[FÓRMULA MANUAL]","",IFERROR(AVERAGEIFS(nNOTA,nNIA,A852,nCUENTA,1,nASIG,"Lenguaje Musical"),"")))</f>
        <v/>
      </c>
      <c r="C852" t="str">
        <f>IF(A852="","",IF(A852="[FÓRMULA MANUAL]","",IFERROR(AVERAGEIFS(nNOTA,nNIA,A852,nCUENTA,1,nASIG,"Orquesta/Banda/Conjunto"),"")))</f>
        <v/>
      </c>
      <c r="D852" t="str">
        <f>IF(A852="","",IF(A852="[FÓRMULA MANUAL]","",IFERROR(AVERAGEIFS(nNOTA,nNIA,A852,nCUENTA,1,nASIG,"Conjunto"),"")))</f>
        <v/>
      </c>
      <c r="E852" t="str">
        <f>IF(A852="","",IF(A852="[FÓRMULA MANUAL]","",IFERROR(SUMPRODUCT((nNIA=A852)*(nCUENTA=1)*(COUNTIF(CONFIG_ASIGNATURAS!$B$7:$B$27,nASIG)&gt;0)*(nNOTA))/SUMPRODUCT((nNIA=A852)*(nCUENTA=1)*(COUNTIF(CONFIG_ASIGNATURAS!$B$7:$B$27,nASIG)&gt;0)*1),"")))</f>
        <v/>
      </c>
      <c r="H852" t="str">
        <f>IF(G852="","",IF(G852="[FÓRMULA MANUAL]","",IFERROR(AVERAGEIFS(nNOTA,nNIA,G852,nCUENTA,1,nASIG,"Lenguaje Musical"),"")))</f>
        <v/>
      </c>
      <c r="I852" t="str">
        <f>IF(G852="","",IF(G852="[FÓRMULA MANUAL]","",IFERROR(AVERAGEIFS(nNOTA,nNIA,G852,nCUENTA,1,nASIG,"Orquesta/Banda/Conjunto"),"")))</f>
        <v/>
      </c>
      <c r="J852" t="str">
        <f>IF(G852="","",IF(G852="[FÓRMULA MANUAL]","",IFERROR(AVERAGEIFS(nNOTA,nNIA,G852,nCUENTA,1,nASIG,"Conjunto"),"")))</f>
        <v/>
      </c>
      <c r="K852" t="str">
        <f>IF(G852="","",IF(G852="[FÓRMULA MANUAL]","",IFERROR(SUMPRODUCT((nNIA=G852)*(nCUENTA=1)*(COUNTIF(CONFIG_ASIGNATURAS!$B$7:$B$27,nASIG)&gt;0)*(nNOTA))/SUMPRODUCT((nNIA=G852)*(nCUENTA=1)*(COUNTIF(CONFIG_ASIGNATURAS!$B$7:$B$27,nASIG)&gt;0)*1),"")))</f>
        <v/>
      </c>
      <c r="N852" t="str">
        <f>IF(M852="","",IF(M852="[FÓRMULA MANUAL]","",IFERROR(AVERAGEIFS(nNOTA,nNIA,M852,nCUENTA,1,nASIG,"Armonía"),"")))</f>
        <v/>
      </c>
      <c r="O852" t="str">
        <f>IF(M852="","",IF(M852="[FÓRMULA MANUAL]","",IFERROR(AVERAGEIFS(nNOTA,nNIA,M852,nCUENTA,1,nASIG,"Orquesta/Banda/Conjunto"),"")))</f>
        <v/>
      </c>
      <c r="P852" t="str">
        <f>IF(M852="","",IF(M852="[FÓRMULA MANUAL]","",IFERROR(AVERAGEIFS(nNOTA,nNIA,M852,nCUENTA,1,nASIG,"Música de Cámara"),"")))</f>
        <v/>
      </c>
      <c r="Q852" t="str">
        <f>IF(M852="","",IF(M852="[FÓRMULA MANUAL]","",IFERROR(SUMPRODUCT((nNIA=M852)*(nCUENTA=1)*(COUNTIF(CONFIG_ASIGNATURAS!$B$7:$B$27,nASIG)&gt;0)*(nNOTA))/SUMPRODUCT((nNIA=M852)*(nCUENTA=1)*(COUNTIF(CONFIG_ASIGNATURAS!$B$7:$B$27,nASIG)&gt;0)*1),"")))</f>
        <v/>
      </c>
      <c r="T852" t="str">
        <f>IF(S852="","",IF(S852="[FÓRMULA MANUAL]","",IFERROR(AVERAGEIFS(nNOTA,nNIA,S852,nCUENTA,1,nASIG,"Armonía"),"")))</f>
        <v/>
      </c>
      <c r="U852" t="str">
        <f>IF(S852="","",IF(S852="[FÓRMULA MANUAL]","",IFERROR(AVERAGEIFS(nNOTA,nNIA,S852,nCUENTA,1,nASIG,"Orquesta/Banda/Conjunto"),"")))</f>
        <v/>
      </c>
      <c r="V852" t="str">
        <f>IF(S852="","",IF(S852="[FÓRMULA MANUAL]","",IFERROR(AVERAGEIFS(nNOTA,nNIA,S852,nCUENTA,1,nASIG,"Música de Cámara"),"")))</f>
        <v/>
      </c>
      <c r="W852" t="str">
        <f>IF(S852="","",IF(S852="[FÓRMULA MANUAL]","",IFERROR(SUMPRODUCT((nNIA=S852)*(nCUENTA=1)*(COUNTIF(CONFIG_ASIGNATURAS!$B$7:$B$27,nASIG)&gt;0)*(nNOTA))/SUMPRODUCT((nNIA=S852)*(nCUENTA=1)*(COUNTIF(CONFIG_ASIGNATURAS!$B$7:$B$27,nASIG)&gt;0)*1),"")))</f>
        <v/>
      </c>
      <c r="Z852" t="str">
        <f>IF(Y852="","",IF(Y852="[FÓRMULA MANUAL]","",IFERROR(AVERAGEIFS(nNOTA,nNIA,Y852,nCUENTA,1,nASIG,"Análisis"),"")))</f>
        <v/>
      </c>
      <c r="AA852" t="str">
        <f>IF(Y852="","",IF(Y852="[FÓRMULA MANUAL]","",IFERROR(AVERAGEIFS(nNOTA,nNIA,Y852,nCUENTA,1,nASIG,"Orquesta/Banda/Conjunto"),"")))</f>
        <v/>
      </c>
      <c r="AB852" t="str">
        <f>IF(Y852="","",IF(Y852="[FÓRMULA MANUAL]","",IFERROR(AVERAGEIFS(nNOTA,nNIA,Y852,nCUENTA,1,nASIG,"Música de Cámara"),"")))</f>
        <v/>
      </c>
      <c r="AC852" t="str">
        <f>IF(Y852="","",IF(Y852="[FÓRMULA MANUAL]","",IFERROR(SUMPRODUCT((nNIA=Y852)*(nCUENTA=1)*(COUNTIF(CONFIG_ASIGNATURAS!$B$7:$B$27,nASIG)&gt;0)*(nNOTA))/SUMPRODUCT((nNIA=Y852)*(nCUENTA=1)*(COUNTIF(CONFIG_ASIGNATURAS!$B$7:$B$27,nASIG)&gt;0)*1),"")))</f>
        <v/>
      </c>
      <c r="AF852" t="str">
        <f>IF(AE852="","",IF(AE852="[FÓRMULA MANUAL]","",IFERROR(AVERAGEIFS(nNOTA,nNIA,AE852,nCUENTA,1,nASIG,"Análisis"),"")))</f>
        <v/>
      </c>
      <c r="AG852" t="str">
        <f>IF(AE852="","",IF(AE852="[FÓRMULA MANUAL]","",IFERROR(AVERAGEIFS(nNOTA,nNIA,AE852,nCUENTA,1,nASIG,"Orquesta/Banda/Conjunto"),"")))</f>
        <v/>
      </c>
      <c r="AH852" t="str">
        <f>IF(AE852="","",IF(AE852="[FÓRMULA MANUAL]","",IFERROR(AVERAGEIFS(nNOTA,nNIA,AE852,nCUENTA,1,nASIG,"Música de Cámara"),"")))</f>
        <v/>
      </c>
      <c r="AI852" t="str">
        <f>IF(AE852="","",IF(AE852="[FÓRMULA MANUAL]","",IFERROR(SUMPRODUCT((nNIA=AE852)*(nCUENTA=1)*(COUNTIF(CONFIG_ASIGNATURAS!$B$7:$B$27,nASIG)&gt;0)*(nNOTA))/SUMPRODUCT((nNIA=AE852)*(nCUENTA=1)*(COUNTIF(CONFIG_ASIGNATURAS!$B$7:$B$27,nASIG)&gt;0)*1),"")))</f>
        <v/>
      </c>
    </row>
    <row r="853" spans="2:35" x14ac:dyDescent="0.2">
      <c r="B853" t="str">
        <f>IF(A853="","",IF(A853="[FÓRMULA MANUAL]","",IFERROR(AVERAGEIFS(nNOTA,nNIA,A853,nCUENTA,1,nASIG,"Lenguaje Musical"),"")))</f>
        <v/>
      </c>
      <c r="C853" t="str">
        <f>IF(A853="","",IF(A853="[FÓRMULA MANUAL]","",IFERROR(AVERAGEIFS(nNOTA,nNIA,A853,nCUENTA,1,nASIG,"Orquesta/Banda/Conjunto"),"")))</f>
        <v/>
      </c>
      <c r="D853" t="str">
        <f>IF(A853="","",IF(A853="[FÓRMULA MANUAL]","",IFERROR(AVERAGEIFS(nNOTA,nNIA,A853,nCUENTA,1,nASIG,"Conjunto"),"")))</f>
        <v/>
      </c>
      <c r="E853" t="str">
        <f>IF(A853="","",IF(A853="[FÓRMULA MANUAL]","",IFERROR(SUMPRODUCT((nNIA=A853)*(nCUENTA=1)*(COUNTIF(CONFIG_ASIGNATURAS!$B$7:$B$27,nASIG)&gt;0)*(nNOTA))/SUMPRODUCT((nNIA=A853)*(nCUENTA=1)*(COUNTIF(CONFIG_ASIGNATURAS!$B$7:$B$27,nASIG)&gt;0)*1),"")))</f>
        <v/>
      </c>
      <c r="H853" t="str">
        <f>IF(G853="","",IF(G853="[FÓRMULA MANUAL]","",IFERROR(AVERAGEIFS(nNOTA,nNIA,G853,nCUENTA,1,nASIG,"Lenguaje Musical"),"")))</f>
        <v/>
      </c>
      <c r="I853" t="str">
        <f>IF(G853="","",IF(G853="[FÓRMULA MANUAL]","",IFERROR(AVERAGEIFS(nNOTA,nNIA,G853,nCUENTA,1,nASIG,"Orquesta/Banda/Conjunto"),"")))</f>
        <v/>
      </c>
      <c r="J853" t="str">
        <f>IF(G853="","",IF(G853="[FÓRMULA MANUAL]","",IFERROR(AVERAGEIFS(nNOTA,nNIA,G853,nCUENTA,1,nASIG,"Conjunto"),"")))</f>
        <v/>
      </c>
      <c r="K853" t="str">
        <f>IF(G853="","",IF(G853="[FÓRMULA MANUAL]","",IFERROR(SUMPRODUCT((nNIA=G853)*(nCUENTA=1)*(COUNTIF(CONFIG_ASIGNATURAS!$B$7:$B$27,nASIG)&gt;0)*(nNOTA))/SUMPRODUCT((nNIA=G853)*(nCUENTA=1)*(COUNTIF(CONFIG_ASIGNATURAS!$B$7:$B$27,nASIG)&gt;0)*1),"")))</f>
        <v/>
      </c>
      <c r="N853" t="str">
        <f>IF(M853="","",IF(M853="[FÓRMULA MANUAL]","",IFERROR(AVERAGEIFS(nNOTA,nNIA,M853,nCUENTA,1,nASIG,"Armonía"),"")))</f>
        <v/>
      </c>
      <c r="O853" t="str">
        <f>IF(M853="","",IF(M853="[FÓRMULA MANUAL]","",IFERROR(AVERAGEIFS(nNOTA,nNIA,M853,nCUENTA,1,nASIG,"Orquesta/Banda/Conjunto"),"")))</f>
        <v/>
      </c>
      <c r="P853" t="str">
        <f>IF(M853="","",IF(M853="[FÓRMULA MANUAL]","",IFERROR(AVERAGEIFS(nNOTA,nNIA,M853,nCUENTA,1,nASIG,"Música de Cámara"),"")))</f>
        <v/>
      </c>
      <c r="Q853" t="str">
        <f>IF(M853="","",IF(M853="[FÓRMULA MANUAL]","",IFERROR(SUMPRODUCT((nNIA=M853)*(nCUENTA=1)*(COUNTIF(CONFIG_ASIGNATURAS!$B$7:$B$27,nASIG)&gt;0)*(nNOTA))/SUMPRODUCT((nNIA=M853)*(nCUENTA=1)*(COUNTIF(CONFIG_ASIGNATURAS!$B$7:$B$27,nASIG)&gt;0)*1),"")))</f>
        <v/>
      </c>
      <c r="T853" t="str">
        <f>IF(S853="","",IF(S853="[FÓRMULA MANUAL]","",IFERROR(AVERAGEIFS(nNOTA,nNIA,S853,nCUENTA,1,nASIG,"Armonía"),"")))</f>
        <v/>
      </c>
      <c r="U853" t="str">
        <f>IF(S853="","",IF(S853="[FÓRMULA MANUAL]","",IFERROR(AVERAGEIFS(nNOTA,nNIA,S853,nCUENTA,1,nASIG,"Orquesta/Banda/Conjunto"),"")))</f>
        <v/>
      </c>
      <c r="V853" t="str">
        <f>IF(S853="","",IF(S853="[FÓRMULA MANUAL]","",IFERROR(AVERAGEIFS(nNOTA,nNIA,S853,nCUENTA,1,nASIG,"Música de Cámara"),"")))</f>
        <v/>
      </c>
      <c r="W853" t="str">
        <f>IF(S853="","",IF(S853="[FÓRMULA MANUAL]","",IFERROR(SUMPRODUCT((nNIA=S853)*(nCUENTA=1)*(COUNTIF(CONFIG_ASIGNATURAS!$B$7:$B$27,nASIG)&gt;0)*(nNOTA))/SUMPRODUCT((nNIA=S853)*(nCUENTA=1)*(COUNTIF(CONFIG_ASIGNATURAS!$B$7:$B$27,nASIG)&gt;0)*1),"")))</f>
        <v/>
      </c>
      <c r="Z853" t="str">
        <f>IF(Y853="","",IF(Y853="[FÓRMULA MANUAL]","",IFERROR(AVERAGEIFS(nNOTA,nNIA,Y853,nCUENTA,1,nASIG,"Análisis"),"")))</f>
        <v/>
      </c>
      <c r="AA853" t="str">
        <f>IF(Y853="","",IF(Y853="[FÓRMULA MANUAL]","",IFERROR(AVERAGEIFS(nNOTA,nNIA,Y853,nCUENTA,1,nASIG,"Orquesta/Banda/Conjunto"),"")))</f>
        <v/>
      </c>
      <c r="AB853" t="str">
        <f>IF(Y853="","",IF(Y853="[FÓRMULA MANUAL]","",IFERROR(AVERAGEIFS(nNOTA,nNIA,Y853,nCUENTA,1,nASIG,"Música de Cámara"),"")))</f>
        <v/>
      </c>
      <c r="AC853" t="str">
        <f>IF(Y853="","",IF(Y853="[FÓRMULA MANUAL]","",IFERROR(SUMPRODUCT((nNIA=Y853)*(nCUENTA=1)*(COUNTIF(CONFIG_ASIGNATURAS!$B$7:$B$27,nASIG)&gt;0)*(nNOTA))/SUMPRODUCT((nNIA=Y853)*(nCUENTA=1)*(COUNTIF(CONFIG_ASIGNATURAS!$B$7:$B$27,nASIG)&gt;0)*1),"")))</f>
        <v/>
      </c>
      <c r="AF853" t="str">
        <f>IF(AE853="","",IF(AE853="[FÓRMULA MANUAL]","",IFERROR(AVERAGEIFS(nNOTA,nNIA,AE853,nCUENTA,1,nASIG,"Análisis"),"")))</f>
        <v/>
      </c>
      <c r="AG853" t="str">
        <f>IF(AE853="","",IF(AE853="[FÓRMULA MANUAL]","",IFERROR(AVERAGEIFS(nNOTA,nNIA,AE853,nCUENTA,1,nASIG,"Orquesta/Banda/Conjunto"),"")))</f>
        <v/>
      </c>
      <c r="AH853" t="str">
        <f>IF(AE853="","",IF(AE853="[FÓRMULA MANUAL]","",IFERROR(AVERAGEIFS(nNOTA,nNIA,AE853,nCUENTA,1,nASIG,"Música de Cámara"),"")))</f>
        <v/>
      </c>
      <c r="AI853" t="str">
        <f>IF(AE853="","",IF(AE853="[FÓRMULA MANUAL]","",IFERROR(SUMPRODUCT((nNIA=AE853)*(nCUENTA=1)*(COUNTIF(CONFIG_ASIGNATURAS!$B$7:$B$27,nASIG)&gt;0)*(nNOTA))/SUMPRODUCT((nNIA=AE853)*(nCUENTA=1)*(COUNTIF(CONFIG_ASIGNATURAS!$B$7:$B$27,nASIG)&gt;0)*1),"")))</f>
        <v/>
      </c>
    </row>
    <row r="854" spans="2:35" x14ac:dyDescent="0.2">
      <c r="B854" t="str">
        <f>IF(A854="","",IF(A854="[FÓRMULA MANUAL]","",IFERROR(AVERAGEIFS(nNOTA,nNIA,A854,nCUENTA,1,nASIG,"Lenguaje Musical"),"")))</f>
        <v/>
      </c>
      <c r="C854" t="str">
        <f>IF(A854="","",IF(A854="[FÓRMULA MANUAL]","",IFERROR(AVERAGEIFS(nNOTA,nNIA,A854,nCUENTA,1,nASIG,"Orquesta/Banda/Conjunto"),"")))</f>
        <v/>
      </c>
      <c r="D854" t="str">
        <f>IF(A854="","",IF(A854="[FÓRMULA MANUAL]","",IFERROR(AVERAGEIFS(nNOTA,nNIA,A854,nCUENTA,1,nASIG,"Conjunto"),"")))</f>
        <v/>
      </c>
      <c r="E854" t="str">
        <f>IF(A854="","",IF(A854="[FÓRMULA MANUAL]","",IFERROR(SUMPRODUCT((nNIA=A854)*(nCUENTA=1)*(COUNTIF(CONFIG_ASIGNATURAS!$B$7:$B$27,nASIG)&gt;0)*(nNOTA))/SUMPRODUCT((nNIA=A854)*(nCUENTA=1)*(COUNTIF(CONFIG_ASIGNATURAS!$B$7:$B$27,nASIG)&gt;0)*1),"")))</f>
        <v/>
      </c>
      <c r="H854" t="str">
        <f>IF(G854="","",IF(G854="[FÓRMULA MANUAL]","",IFERROR(AVERAGEIFS(nNOTA,nNIA,G854,nCUENTA,1,nASIG,"Lenguaje Musical"),"")))</f>
        <v/>
      </c>
      <c r="I854" t="str">
        <f>IF(G854="","",IF(G854="[FÓRMULA MANUAL]","",IFERROR(AVERAGEIFS(nNOTA,nNIA,G854,nCUENTA,1,nASIG,"Orquesta/Banda/Conjunto"),"")))</f>
        <v/>
      </c>
      <c r="J854" t="str">
        <f>IF(G854="","",IF(G854="[FÓRMULA MANUAL]","",IFERROR(AVERAGEIFS(nNOTA,nNIA,G854,nCUENTA,1,nASIG,"Conjunto"),"")))</f>
        <v/>
      </c>
      <c r="K854" t="str">
        <f>IF(G854="","",IF(G854="[FÓRMULA MANUAL]","",IFERROR(SUMPRODUCT((nNIA=G854)*(nCUENTA=1)*(COUNTIF(CONFIG_ASIGNATURAS!$B$7:$B$27,nASIG)&gt;0)*(nNOTA))/SUMPRODUCT((nNIA=G854)*(nCUENTA=1)*(COUNTIF(CONFIG_ASIGNATURAS!$B$7:$B$27,nASIG)&gt;0)*1),"")))</f>
        <v/>
      </c>
      <c r="N854" t="str">
        <f>IF(M854="","",IF(M854="[FÓRMULA MANUAL]","",IFERROR(AVERAGEIFS(nNOTA,nNIA,M854,nCUENTA,1,nASIG,"Armonía"),"")))</f>
        <v/>
      </c>
      <c r="O854" t="str">
        <f>IF(M854="","",IF(M854="[FÓRMULA MANUAL]","",IFERROR(AVERAGEIFS(nNOTA,nNIA,M854,nCUENTA,1,nASIG,"Orquesta/Banda/Conjunto"),"")))</f>
        <v/>
      </c>
      <c r="P854" t="str">
        <f>IF(M854="","",IF(M854="[FÓRMULA MANUAL]","",IFERROR(AVERAGEIFS(nNOTA,nNIA,M854,nCUENTA,1,nASIG,"Música de Cámara"),"")))</f>
        <v/>
      </c>
      <c r="Q854" t="str">
        <f>IF(M854="","",IF(M854="[FÓRMULA MANUAL]","",IFERROR(SUMPRODUCT((nNIA=M854)*(nCUENTA=1)*(COUNTIF(CONFIG_ASIGNATURAS!$B$7:$B$27,nASIG)&gt;0)*(nNOTA))/SUMPRODUCT((nNIA=M854)*(nCUENTA=1)*(COUNTIF(CONFIG_ASIGNATURAS!$B$7:$B$27,nASIG)&gt;0)*1),"")))</f>
        <v/>
      </c>
      <c r="T854" t="str">
        <f>IF(S854="","",IF(S854="[FÓRMULA MANUAL]","",IFERROR(AVERAGEIFS(nNOTA,nNIA,S854,nCUENTA,1,nASIG,"Armonía"),"")))</f>
        <v/>
      </c>
      <c r="U854" t="str">
        <f>IF(S854="","",IF(S854="[FÓRMULA MANUAL]","",IFERROR(AVERAGEIFS(nNOTA,nNIA,S854,nCUENTA,1,nASIG,"Orquesta/Banda/Conjunto"),"")))</f>
        <v/>
      </c>
      <c r="V854" t="str">
        <f>IF(S854="","",IF(S854="[FÓRMULA MANUAL]","",IFERROR(AVERAGEIFS(nNOTA,nNIA,S854,nCUENTA,1,nASIG,"Música de Cámara"),"")))</f>
        <v/>
      </c>
      <c r="W854" t="str">
        <f>IF(S854="","",IF(S854="[FÓRMULA MANUAL]","",IFERROR(SUMPRODUCT((nNIA=S854)*(nCUENTA=1)*(COUNTIF(CONFIG_ASIGNATURAS!$B$7:$B$27,nASIG)&gt;0)*(nNOTA))/SUMPRODUCT((nNIA=S854)*(nCUENTA=1)*(COUNTIF(CONFIG_ASIGNATURAS!$B$7:$B$27,nASIG)&gt;0)*1),"")))</f>
        <v/>
      </c>
      <c r="Z854" t="str">
        <f>IF(Y854="","",IF(Y854="[FÓRMULA MANUAL]","",IFERROR(AVERAGEIFS(nNOTA,nNIA,Y854,nCUENTA,1,nASIG,"Análisis"),"")))</f>
        <v/>
      </c>
      <c r="AA854" t="str">
        <f>IF(Y854="","",IF(Y854="[FÓRMULA MANUAL]","",IFERROR(AVERAGEIFS(nNOTA,nNIA,Y854,nCUENTA,1,nASIG,"Orquesta/Banda/Conjunto"),"")))</f>
        <v/>
      </c>
      <c r="AB854" t="str">
        <f>IF(Y854="","",IF(Y854="[FÓRMULA MANUAL]","",IFERROR(AVERAGEIFS(nNOTA,nNIA,Y854,nCUENTA,1,nASIG,"Música de Cámara"),"")))</f>
        <v/>
      </c>
      <c r="AC854" t="str">
        <f>IF(Y854="","",IF(Y854="[FÓRMULA MANUAL]","",IFERROR(SUMPRODUCT((nNIA=Y854)*(nCUENTA=1)*(COUNTIF(CONFIG_ASIGNATURAS!$B$7:$B$27,nASIG)&gt;0)*(nNOTA))/SUMPRODUCT((nNIA=Y854)*(nCUENTA=1)*(COUNTIF(CONFIG_ASIGNATURAS!$B$7:$B$27,nASIG)&gt;0)*1),"")))</f>
        <v/>
      </c>
      <c r="AF854" t="str">
        <f>IF(AE854="","",IF(AE854="[FÓRMULA MANUAL]","",IFERROR(AVERAGEIFS(nNOTA,nNIA,AE854,nCUENTA,1,nASIG,"Análisis"),"")))</f>
        <v/>
      </c>
      <c r="AG854" t="str">
        <f>IF(AE854="","",IF(AE854="[FÓRMULA MANUAL]","",IFERROR(AVERAGEIFS(nNOTA,nNIA,AE854,nCUENTA,1,nASIG,"Orquesta/Banda/Conjunto"),"")))</f>
        <v/>
      </c>
      <c r="AH854" t="str">
        <f>IF(AE854="","",IF(AE854="[FÓRMULA MANUAL]","",IFERROR(AVERAGEIFS(nNOTA,nNIA,AE854,nCUENTA,1,nASIG,"Música de Cámara"),"")))</f>
        <v/>
      </c>
      <c r="AI854" t="str">
        <f>IF(AE854="","",IF(AE854="[FÓRMULA MANUAL]","",IFERROR(SUMPRODUCT((nNIA=AE854)*(nCUENTA=1)*(COUNTIF(CONFIG_ASIGNATURAS!$B$7:$B$27,nASIG)&gt;0)*(nNOTA))/SUMPRODUCT((nNIA=AE854)*(nCUENTA=1)*(COUNTIF(CONFIG_ASIGNATURAS!$B$7:$B$27,nASIG)&gt;0)*1),"")))</f>
        <v/>
      </c>
    </row>
    <row r="855" spans="2:35" x14ac:dyDescent="0.2">
      <c r="B855" t="str">
        <f>IF(A855="","",IF(A855="[FÓRMULA MANUAL]","",IFERROR(AVERAGEIFS(nNOTA,nNIA,A855,nCUENTA,1,nASIG,"Lenguaje Musical"),"")))</f>
        <v/>
      </c>
      <c r="C855" t="str">
        <f>IF(A855="","",IF(A855="[FÓRMULA MANUAL]","",IFERROR(AVERAGEIFS(nNOTA,nNIA,A855,nCUENTA,1,nASIG,"Orquesta/Banda/Conjunto"),"")))</f>
        <v/>
      </c>
      <c r="D855" t="str">
        <f>IF(A855="","",IF(A855="[FÓRMULA MANUAL]","",IFERROR(AVERAGEIFS(nNOTA,nNIA,A855,nCUENTA,1,nASIG,"Conjunto"),"")))</f>
        <v/>
      </c>
      <c r="E855" t="str">
        <f>IF(A855="","",IF(A855="[FÓRMULA MANUAL]","",IFERROR(SUMPRODUCT((nNIA=A855)*(nCUENTA=1)*(COUNTIF(CONFIG_ASIGNATURAS!$B$7:$B$27,nASIG)&gt;0)*(nNOTA))/SUMPRODUCT((nNIA=A855)*(nCUENTA=1)*(COUNTIF(CONFIG_ASIGNATURAS!$B$7:$B$27,nASIG)&gt;0)*1),"")))</f>
        <v/>
      </c>
      <c r="H855" t="str">
        <f>IF(G855="","",IF(G855="[FÓRMULA MANUAL]","",IFERROR(AVERAGEIFS(nNOTA,nNIA,G855,nCUENTA,1,nASIG,"Lenguaje Musical"),"")))</f>
        <v/>
      </c>
      <c r="I855" t="str">
        <f>IF(G855="","",IF(G855="[FÓRMULA MANUAL]","",IFERROR(AVERAGEIFS(nNOTA,nNIA,G855,nCUENTA,1,nASIG,"Orquesta/Banda/Conjunto"),"")))</f>
        <v/>
      </c>
      <c r="J855" t="str">
        <f>IF(G855="","",IF(G855="[FÓRMULA MANUAL]","",IFERROR(AVERAGEIFS(nNOTA,nNIA,G855,nCUENTA,1,nASIG,"Conjunto"),"")))</f>
        <v/>
      </c>
      <c r="K855" t="str">
        <f>IF(G855="","",IF(G855="[FÓRMULA MANUAL]","",IFERROR(SUMPRODUCT((nNIA=G855)*(nCUENTA=1)*(COUNTIF(CONFIG_ASIGNATURAS!$B$7:$B$27,nASIG)&gt;0)*(nNOTA))/SUMPRODUCT((nNIA=G855)*(nCUENTA=1)*(COUNTIF(CONFIG_ASIGNATURAS!$B$7:$B$27,nASIG)&gt;0)*1),"")))</f>
        <v/>
      </c>
      <c r="N855" t="str">
        <f>IF(M855="","",IF(M855="[FÓRMULA MANUAL]","",IFERROR(AVERAGEIFS(nNOTA,nNIA,M855,nCUENTA,1,nASIG,"Armonía"),"")))</f>
        <v/>
      </c>
      <c r="O855" t="str">
        <f>IF(M855="","",IF(M855="[FÓRMULA MANUAL]","",IFERROR(AVERAGEIFS(nNOTA,nNIA,M855,nCUENTA,1,nASIG,"Orquesta/Banda/Conjunto"),"")))</f>
        <v/>
      </c>
      <c r="P855" t="str">
        <f>IF(M855="","",IF(M855="[FÓRMULA MANUAL]","",IFERROR(AVERAGEIFS(nNOTA,nNIA,M855,nCUENTA,1,nASIG,"Música de Cámara"),"")))</f>
        <v/>
      </c>
      <c r="Q855" t="str">
        <f>IF(M855="","",IF(M855="[FÓRMULA MANUAL]","",IFERROR(SUMPRODUCT((nNIA=M855)*(nCUENTA=1)*(COUNTIF(CONFIG_ASIGNATURAS!$B$7:$B$27,nASIG)&gt;0)*(nNOTA))/SUMPRODUCT((nNIA=M855)*(nCUENTA=1)*(COUNTIF(CONFIG_ASIGNATURAS!$B$7:$B$27,nASIG)&gt;0)*1),"")))</f>
        <v/>
      </c>
      <c r="T855" t="str">
        <f>IF(S855="","",IF(S855="[FÓRMULA MANUAL]","",IFERROR(AVERAGEIFS(nNOTA,nNIA,S855,nCUENTA,1,nASIG,"Armonía"),"")))</f>
        <v/>
      </c>
      <c r="U855" t="str">
        <f>IF(S855="","",IF(S855="[FÓRMULA MANUAL]","",IFERROR(AVERAGEIFS(nNOTA,nNIA,S855,nCUENTA,1,nASIG,"Orquesta/Banda/Conjunto"),"")))</f>
        <v/>
      </c>
      <c r="V855" t="str">
        <f>IF(S855="","",IF(S855="[FÓRMULA MANUAL]","",IFERROR(AVERAGEIFS(nNOTA,nNIA,S855,nCUENTA,1,nASIG,"Música de Cámara"),"")))</f>
        <v/>
      </c>
      <c r="W855" t="str">
        <f>IF(S855="","",IF(S855="[FÓRMULA MANUAL]","",IFERROR(SUMPRODUCT((nNIA=S855)*(nCUENTA=1)*(COUNTIF(CONFIG_ASIGNATURAS!$B$7:$B$27,nASIG)&gt;0)*(nNOTA))/SUMPRODUCT((nNIA=S855)*(nCUENTA=1)*(COUNTIF(CONFIG_ASIGNATURAS!$B$7:$B$27,nASIG)&gt;0)*1),"")))</f>
        <v/>
      </c>
      <c r="Z855" t="str">
        <f>IF(Y855="","",IF(Y855="[FÓRMULA MANUAL]","",IFERROR(AVERAGEIFS(nNOTA,nNIA,Y855,nCUENTA,1,nASIG,"Análisis"),"")))</f>
        <v/>
      </c>
      <c r="AA855" t="str">
        <f>IF(Y855="","",IF(Y855="[FÓRMULA MANUAL]","",IFERROR(AVERAGEIFS(nNOTA,nNIA,Y855,nCUENTA,1,nASIG,"Orquesta/Banda/Conjunto"),"")))</f>
        <v/>
      </c>
      <c r="AB855" t="str">
        <f>IF(Y855="","",IF(Y855="[FÓRMULA MANUAL]","",IFERROR(AVERAGEIFS(nNOTA,nNIA,Y855,nCUENTA,1,nASIG,"Música de Cámara"),"")))</f>
        <v/>
      </c>
      <c r="AC855" t="str">
        <f>IF(Y855="","",IF(Y855="[FÓRMULA MANUAL]","",IFERROR(SUMPRODUCT((nNIA=Y855)*(nCUENTA=1)*(COUNTIF(CONFIG_ASIGNATURAS!$B$7:$B$27,nASIG)&gt;0)*(nNOTA))/SUMPRODUCT((nNIA=Y855)*(nCUENTA=1)*(COUNTIF(CONFIG_ASIGNATURAS!$B$7:$B$27,nASIG)&gt;0)*1),"")))</f>
        <v/>
      </c>
      <c r="AF855" t="str">
        <f>IF(AE855="","",IF(AE855="[FÓRMULA MANUAL]","",IFERROR(AVERAGEIFS(nNOTA,nNIA,AE855,nCUENTA,1,nASIG,"Análisis"),"")))</f>
        <v/>
      </c>
      <c r="AG855" t="str">
        <f>IF(AE855="","",IF(AE855="[FÓRMULA MANUAL]","",IFERROR(AVERAGEIFS(nNOTA,nNIA,AE855,nCUENTA,1,nASIG,"Orquesta/Banda/Conjunto"),"")))</f>
        <v/>
      </c>
      <c r="AH855" t="str">
        <f>IF(AE855="","",IF(AE855="[FÓRMULA MANUAL]","",IFERROR(AVERAGEIFS(nNOTA,nNIA,AE855,nCUENTA,1,nASIG,"Música de Cámara"),"")))</f>
        <v/>
      </c>
      <c r="AI855" t="str">
        <f>IF(AE855="","",IF(AE855="[FÓRMULA MANUAL]","",IFERROR(SUMPRODUCT((nNIA=AE855)*(nCUENTA=1)*(COUNTIF(CONFIG_ASIGNATURAS!$B$7:$B$27,nASIG)&gt;0)*(nNOTA))/SUMPRODUCT((nNIA=AE855)*(nCUENTA=1)*(COUNTIF(CONFIG_ASIGNATURAS!$B$7:$B$27,nASIG)&gt;0)*1),"")))</f>
        <v/>
      </c>
    </row>
    <row r="856" spans="2:35" x14ac:dyDescent="0.2">
      <c r="B856" t="str">
        <f>IF(A856="","",IF(A856="[FÓRMULA MANUAL]","",IFERROR(AVERAGEIFS(nNOTA,nNIA,A856,nCUENTA,1,nASIG,"Lenguaje Musical"),"")))</f>
        <v/>
      </c>
      <c r="C856" t="str">
        <f>IF(A856="","",IF(A856="[FÓRMULA MANUAL]","",IFERROR(AVERAGEIFS(nNOTA,nNIA,A856,nCUENTA,1,nASIG,"Orquesta/Banda/Conjunto"),"")))</f>
        <v/>
      </c>
      <c r="D856" t="str">
        <f>IF(A856="","",IF(A856="[FÓRMULA MANUAL]","",IFERROR(AVERAGEIFS(nNOTA,nNIA,A856,nCUENTA,1,nASIG,"Conjunto"),"")))</f>
        <v/>
      </c>
      <c r="E856" t="str">
        <f>IF(A856="","",IF(A856="[FÓRMULA MANUAL]","",IFERROR(SUMPRODUCT((nNIA=A856)*(nCUENTA=1)*(COUNTIF(CONFIG_ASIGNATURAS!$B$7:$B$27,nASIG)&gt;0)*(nNOTA))/SUMPRODUCT((nNIA=A856)*(nCUENTA=1)*(COUNTIF(CONFIG_ASIGNATURAS!$B$7:$B$27,nASIG)&gt;0)*1),"")))</f>
        <v/>
      </c>
      <c r="H856" t="str">
        <f>IF(G856="","",IF(G856="[FÓRMULA MANUAL]","",IFERROR(AVERAGEIFS(nNOTA,nNIA,G856,nCUENTA,1,nASIG,"Lenguaje Musical"),"")))</f>
        <v/>
      </c>
      <c r="I856" t="str">
        <f>IF(G856="","",IF(G856="[FÓRMULA MANUAL]","",IFERROR(AVERAGEIFS(nNOTA,nNIA,G856,nCUENTA,1,nASIG,"Orquesta/Banda/Conjunto"),"")))</f>
        <v/>
      </c>
      <c r="J856" t="str">
        <f>IF(G856="","",IF(G856="[FÓRMULA MANUAL]","",IFERROR(AVERAGEIFS(nNOTA,nNIA,G856,nCUENTA,1,nASIG,"Conjunto"),"")))</f>
        <v/>
      </c>
      <c r="K856" t="str">
        <f>IF(G856="","",IF(G856="[FÓRMULA MANUAL]","",IFERROR(SUMPRODUCT((nNIA=G856)*(nCUENTA=1)*(COUNTIF(CONFIG_ASIGNATURAS!$B$7:$B$27,nASIG)&gt;0)*(nNOTA))/SUMPRODUCT((nNIA=G856)*(nCUENTA=1)*(COUNTIF(CONFIG_ASIGNATURAS!$B$7:$B$27,nASIG)&gt;0)*1),"")))</f>
        <v/>
      </c>
      <c r="N856" t="str">
        <f>IF(M856="","",IF(M856="[FÓRMULA MANUAL]","",IFERROR(AVERAGEIFS(nNOTA,nNIA,M856,nCUENTA,1,nASIG,"Armonía"),"")))</f>
        <v/>
      </c>
      <c r="O856" t="str">
        <f>IF(M856="","",IF(M856="[FÓRMULA MANUAL]","",IFERROR(AVERAGEIFS(nNOTA,nNIA,M856,nCUENTA,1,nASIG,"Orquesta/Banda/Conjunto"),"")))</f>
        <v/>
      </c>
      <c r="P856" t="str">
        <f>IF(M856="","",IF(M856="[FÓRMULA MANUAL]","",IFERROR(AVERAGEIFS(nNOTA,nNIA,M856,nCUENTA,1,nASIG,"Música de Cámara"),"")))</f>
        <v/>
      </c>
      <c r="Q856" t="str">
        <f>IF(M856="","",IF(M856="[FÓRMULA MANUAL]","",IFERROR(SUMPRODUCT((nNIA=M856)*(nCUENTA=1)*(COUNTIF(CONFIG_ASIGNATURAS!$B$7:$B$27,nASIG)&gt;0)*(nNOTA))/SUMPRODUCT((nNIA=M856)*(nCUENTA=1)*(COUNTIF(CONFIG_ASIGNATURAS!$B$7:$B$27,nASIG)&gt;0)*1),"")))</f>
        <v/>
      </c>
      <c r="T856" t="str">
        <f>IF(S856="","",IF(S856="[FÓRMULA MANUAL]","",IFERROR(AVERAGEIFS(nNOTA,nNIA,S856,nCUENTA,1,nASIG,"Armonía"),"")))</f>
        <v/>
      </c>
      <c r="U856" t="str">
        <f>IF(S856="","",IF(S856="[FÓRMULA MANUAL]","",IFERROR(AVERAGEIFS(nNOTA,nNIA,S856,nCUENTA,1,nASIG,"Orquesta/Banda/Conjunto"),"")))</f>
        <v/>
      </c>
      <c r="V856" t="str">
        <f>IF(S856="","",IF(S856="[FÓRMULA MANUAL]","",IFERROR(AVERAGEIFS(nNOTA,nNIA,S856,nCUENTA,1,nASIG,"Música de Cámara"),"")))</f>
        <v/>
      </c>
      <c r="W856" t="str">
        <f>IF(S856="","",IF(S856="[FÓRMULA MANUAL]","",IFERROR(SUMPRODUCT((nNIA=S856)*(nCUENTA=1)*(COUNTIF(CONFIG_ASIGNATURAS!$B$7:$B$27,nASIG)&gt;0)*(nNOTA))/SUMPRODUCT((nNIA=S856)*(nCUENTA=1)*(COUNTIF(CONFIG_ASIGNATURAS!$B$7:$B$27,nASIG)&gt;0)*1),"")))</f>
        <v/>
      </c>
      <c r="Z856" t="str">
        <f>IF(Y856="","",IF(Y856="[FÓRMULA MANUAL]","",IFERROR(AVERAGEIFS(nNOTA,nNIA,Y856,nCUENTA,1,nASIG,"Análisis"),"")))</f>
        <v/>
      </c>
      <c r="AA856" t="str">
        <f>IF(Y856="","",IF(Y856="[FÓRMULA MANUAL]","",IFERROR(AVERAGEIFS(nNOTA,nNIA,Y856,nCUENTA,1,nASIG,"Orquesta/Banda/Conjunto"),"")))</f>
        <v/>
      </c>
      <c r="AB856" t="str">
        <f>IF(Y856="","",IF(Y856="[FÓRMULA MANUAL]","",IFERROR(AVERAGEIFS(nNOTA,nNIA,Y856,nCUENTA,1,nASIG,"Música de Cámara"),"")))</f>
        <v/>
      </c>
      <c r="AC856" t="str">
        <f>IF(Y856="","",IF(Y856="[FÓRMULA MANUAL]","",IFERROR(SUMPRODUCT((nNIA=Y856)*(nCUENTA=1)*(COUNTIF(CONFIG_ASIGNATURAS!$B$7:$B$27,nASIG)&gt;0)*(nNOTA))/SUMPRODUCT((nNIA=Y856)*(nCUENTA=1)*(COUNTIF(CONFIG_ASIGNATURAS!$B$7:$B$27,nASIG)&gt;0)*1),"")))</f>
        <v/>
      </c>
      <c r="AF856" t="str">
        <f>IF(AE856="","",IF(AE856="[FÓRMULA MANUAL]","",IFERROR(AVERAGEIFS(nNOTA,nNIA,AE856,nCUENTA,1,nASIG,"Análisis"),"")))</f>
        <v/>
      </c>
      <c r="AG856" t="str">
        <f>IF(AE856="","",IF(AE856="[FÓRMULA MANUAL]","",IFERROR(AVERAGEIFS(nNOTA,nNIA,AE856,nCUENTA,1,nASIG,"Orquesta/Banda/Conjunto"),"")))</f>
        <v/>
      </c>
      <c r="AH856" t="str">
        <f>IF(AE856="","",IF(AE856="[FÓRMULA MANUAL]","",IFERROR(AVERAGEIFS(nNOTA,nNIA,AE856,nCUENTA,1,nASIG,"Música de Cámara"),"")))</f>
        <v/>
      </c>
      <c r="AI856" t="str">
        <f>IF(AE856="","",IF(AE856="[FÓRMULA MANUAL]","",IFERROR(SUMPRODUCT((nNIA=AE856)*(nCUENTA=1)*(COUNTIF(CONFIG_ASIGNATURAS!$B$7:$B$27,nASIG)&gt;0)*(nNOTA))/SUMPRODUCT((nNIA=AE856)*(nCUENTA=1)*(COUNTIF(CONFIG_ASIGNATURAS!$B$7:$B$27,nASIG)&gt;0)*1),"")))</f>
        <v/>
      </c>
    </row>
    <row r="857" spans="2:35" x14ac:dyDescent="0.2">
      <c r="B857" t="str">
        <f>IF(A857="","",IF(A857="[FÓRMULA MANUAL]","",IFERROR(AVERAGEIFS(nNOTA,nNIA,A857,nCUENTA,1,nASIG,"Lenguaje Musical"),"")))</f>
        <v/>
      </c>
      <c r="C857" t="str">
        <f>IF(A857="","",IF(A857="[FÓRMULA MANUAL]","",IFERROR(AVERAGEIFS(nNOTA,nNIA,A857,nCUENTA,1,nASIG,"Orquesta/Banda/Conjunto"),"")))</f>
        <v/>
      </c>
      <c r="D857" t="str">
        <f>IF(A857="","",IF(A857="[FÓRMULA MANUAL]","",IFERROR(AVERAGEIFS(nNOTA,nNIA,A857,nCUENTA,1,nASIG,"Conjunto"),"")))</f>
        <v/>
      </c>
      <c r="E857" t="str">
        <f>IF(A857="","",IF(A857="[FÓRMULA MANUAL]","",IFERROR(SUMPRODUCT((nNIA=A857)*(nCUENTA=1)*(COUNTIF(CONFIG_ASIGNATURAS!$B$7:$B$27,nASIG)&gt;0)*(nNOTA))/SUMPRODUCT((nNIA=A857)*(nCUENTA=1)*(COUNTIF(CONFIG_ASIGNATURAS!$B$7:$B$27,nASIG)&gt;0)*1),"")))</f>
        <v/>
      </c>
      <c r="H857" t="str">
        <f>IF(G857="","",IF(G857="[FÓRMULA MANUAL]","",IFERROR(AVERAGEIFS(nNOTA,nNIA,G857,nCUENTA,1,nASIG,"Lenguaje Musical"),"")))</f>
        <v/>
      </c>
      <c r="I857" t="str">
        <f>IF(G857="","",IF(G857="[FÓRMULA MANUAL]","",IFERROR(AVERAGEIFS(nNOTA,nNIA,G857,nCUENTA,1,nASIG,"Orquesta/Banda/Conjunto"),"")))</f>
        <v/>
      </c>
      <c r="J857" t="str">
        <f>IF(G857="","",IF(G857="[FÓRMULA MANUAL]","",IFERROR(AVERAGEIFS(nNOTA,nNIA,G857,nCUENTA,1,nASIG,"Conjunto"),"")))</f>
        <v/>
      </c>
      <c r="K857" t="str">
        <f>IF(G857="","",IF(G857="[FÓRMULA MANUAL]","",IFERROR(SUMPRODUCT((nNIA=G857)*(nCUENTA=1)*(COUNTIF(CONFIG_ASIGNATURAS!$B$7:$B$27,nASIG)&gt;0)*(nNOTA))/SUMPRODUCT((nNIA=G857)*(nCUENTA=1)*(COUNTIF(CONFIG_ASIGNATURAS!$B$7:$B$27,nASIG)&gt;0)*1),"")))</f>
        <v/>
      </c>
      <c r="N857" t="str">
        <f>IF(M857="","",IF(M857="[FÓRMULA MANUAL]","",IFERROR(AVERAGEIFS(nNOTA,nNIA,M857,nCUENTA,1,nASIG,"Armonía"),"")))</f>
        <v/>
      </c>
      <c r="O857" t="str">
        <f>IF(M857="","",IF(M857="[FÓRMULA MANUAL]","",IFERROR(AVERAGEIFS(nNOTA,nNIA,M857,nCUENTA,1,nASIG,"Orquesta/Banda/Conjunto"),"")))</f>
        <v/>
      </c>
      <c r="P857" t="str">
        <f>IF(M857="","",IF(M857="[FÓRMULA MANUAL]","",IFERROR(AVERAGEIFS(nNOTA,nNIA,M857,nCUENTA,1,nASIG,"Música de Cámara"),"")))</f>
        <v/>
      </c>
      <c r="Q857" t="str">
        <f>IF(M857="","",IF(M857="[FÓRMULA MANUAL]","",IFERROR(SUMPRODUCT((nNIA=M857)*(nCUENTA=1)*(COUNTIF(CONFIG_ASIGNATURAS!$B$7:$B$27,nASIG)&gt;0)*(nNOTA))/SUMPRODUCT((nNIA=M857)*(nCUENTA=1)*(COUNTIF(CONFIG_ASIGNATURAS!$B$7:$B$27,nASIG)&gt;0)*1),"")))</f>
        <v/>
      </c>
      <c r="T857" t="str">
        <f>IF(S857="","",IF(S857="[FÓRMULA MANUAL]","",IFERROR(AVERAGEIFS(nNOTA,nNIA,S857,nCUENTA,1,nASIG,"Armonía"),"")))</f>
        <v/>
      </c>
      <c r="U857" t="str">
        <f>IF(S857="","",IF(S857="[FÓRMULA MANUAL]","",IFERROR(AVERAGEIFS(nNOTA,nNIA,S857,nCUENTA,1,nASIG,"Orquesta/Banda/Conjunto"),"")))</f>
        <v/>
      </c>
      <c r="V857" t="str">
        <f>IF(S857="","",IF(S857="[FÓRMULA MANUAL]","",IFERROR(AVERAGEIFS(nNOTA,nNIA,S857,nCUENTA,1,nASIG,"Música de Cámara"),"")))</f>
        <v/>
      </c>
      <c r="W857" t="str">
        <f>IF(S857="","",IF(S857="[FÓRMULA MANUAL]","",IFERROR(SUMPRODUCT((nNIA=S857)*(nCUENTA=1)*(COUNTIF(CONFIG_ASIGNATURAS!$B$7:$B$27,nASIG)&gt;0)*(nNOTA))/SUMPRODUCT((nNIA=S857)*(nCUENTA=1)*(COUNTIF(CONFIG_ASIGNATURAS!$B$7:$B$27,nASIG)&gt;0)*1),"")))</f>
        <v/>
      </c>
      <c r="Z857" t="str">
        <f>IF(Y857="","",IF(Y857="[FÓRMULA MANUAL]","",IFERROR(AVERAGEIFS(nNOTA,nNIA,Y857,nCUENTA,1,nASIG,"Análisis"),"")))</f>
        <v/>
      </c>
      <c r="AA857" t="str">
        <f>IF(Y857="","",IF(Y857="[FÓRMULA MANUAL]","",IFERROR(AVERAGEIFS(nNOTA,nNIA,Y857,nCUENTA,1,nASIG,"Orquesta/Banda/Conjunto"),"")))</f>
        <v/>
      </c>
      <c r="AB857" t="str">
        <f>IF(Y857="","",IF(Y857="[FÓRMULA MANUAL]","",IFERROR(AVERAGEIFS(nNOTA,nNIA,Y857,nCUENTA,1,nASIG,"Música de Cámara"),"")))</f>
        <v/>
      </c>
      <c r="AC857" t="str">
        <f>IF(Y857="","",IF(Y857="[FÓRMULA MANUAL]","",IFERROR(SUMPRODUCT((nNIA=Y857)*(nCUENTA=1)*(COUNTIF(CONFIG_ASIGNATURAS!$B$7:$B$27,nASIG)&gt;0)*(nNOTA))/SUMPRODUCT((nNIA=Y857)*(nCUENTA=1)*(COUNTIF(CONFIG_ASIGNATURAS!$B$7:$B$27,nASIG)&gt;0)*1),"")))</f>
        <v/>
      </c>
      <c r="AF857" t="str">
        <f>IF(AE857="","",IF(AE857="[FÓRMULA MANUAL]","",IFERROR(AVERAGEIFS(nNOTA,nNIA,AE857,nCUENTA,1,nASIG,"Análisis"),"")))</f>
        <v/>
      </c>
      <c r="AG857" t="str">
        <f>IF(AE857="","",IF(AE857="[FÓRMULA MANUAL]","",IFERROR(AVERAGEIFS(nNOTA,nNIA,AE857,nCUENTA,1,nASIG,"Orquesta/Banda/Conjunto"),"")))</f>
        <v/>
      </c>
      <c r="AH857" t="str">
        <f>IF(AE857="","",IF(AE857="[FÓRMULA MANUAL]","",IFERROR(AVERAGEIFS(nNOTA,nNIA,AE857,nCUENTA,1,nASIG,"Música de Cámara"),"")))</f>
        <v/>
      </c>
      <c r="AI857" t="str">
        <f>IF(AE857="","",IF(AE857="[FÓRMULA MANUAL]","",IFERROR(SUMPRODUCT((nNIA=AE857)*(nCUENTA=1)*(COUNTIF(CONFIG_ASIGNATURAS!$B$7:$B$27,nASIG)&gt;0)*(nNOTA))/SUMPRODUCT((nNIA=AE857)*(nCUENTA=1)*(COUNTIF(CONFIG_ASIGNATURAS!$B$7:$B$27,nASIG)&gt;0)*1),"")))</f>
        <v/>
      </c>
    </row>
    <row r="858" spans="2:35" x14ac:dyDescent="0.2">
      <c r="B858" t="str">
        <f>IF(A858="","",IF(A858="[FÓRMULA MANUAL]","",IFERROR(AVERAGEIFS(nNOTA,nNIA,A858,nCUENTA,1,nASIG,"Lenguaje Musical"),"")))</f>
        <v/>
      </c>
      <c r="C858" t="str">
        <f>IF(A858="","",IF(A858="[FÓRMULA MANUAL]","",IFERROR(AVERAGEIFS(nNOTA,nNIA,A858,nCUENTA,1,nASIG,"Orquesta/Banda/Conjunto"),"")))</f>
        <v/>
      </c>
      <c r="D858" t="str">
        <f>IF(A858="","",IF(A858="[FÓRMULA MANUAL]","",IFERROR(AVERAGEIFS(nNOTA,nNIA,A858,nCUENTA,1,nASIG,"Conjunto"),"")))</f>
        <v/>
      </c>
      <c r="E858" t="str">
        <f>IF(A858="","",IF(A858="[FÓRMULA MANUAL]","",IFERROR(SUMPRODUCT((nNIA=A858)*(nCUENTA=1)*(COUNTIF(CONFIG_ASIGNATURAS!$B$7:$B$27,nASIG)&gt;0)*(nNOTA))/SUMPRODUCT((nNIA=A858)*(nCUENTA=1)*(COUNTIF(CONFIG_ASIGNATURAS!$B$7:$B$27,nASIG)&gt;0)*1),"")))</f>
        <v/>
      </c>
      <c r="H858" t="str">
        <f>IF(G858="","",IF(G858="[FÓRMULA MANUAL]","",IFERROR(AVERAGEIFS(nNOTA,nNIA,G858,nCUENTA,1,nASIG,"Lenguaje Musical"),"")))</f>
        <v/>
      </c>
      <c r="I858" t="str">
        <f>IF(G858="","",IF(G858="[FÓRMULA MANUAL]","",IFERROR(AVERAGEIFS(nNOTA,nNIA,G858,nCUENTA,1,nASIG,"Orquesta/Banda/Conjunto"),"")))</f>
        <v/>
      </c>
      <c r="J858" t="str">
        <f>IF(G858="","",IF(G858="[FÓRMULA MANUAL]","",IFERROR(AVERAGEIFS(nNOTA,nNIA,G858,nCUENTA,1,nASIG,"Conjunto"),"")))</f>
        <v/>
      </c>
      <c r="K858" t="str">
        <f>IF(G858="","",IF(G858="[FÓRMULA MANUAL]","",IFERROR(SUMPRODUCT((nNIA=G858)*(nCUENTA=1)*(COUNTIF(CONFIG_ASIGNATURAS!$B$7:$B$27,nASIG)&gt;0)*(nNOTA))/SUMPRODUCT((nNIA=G858)*(nCUENTA=1)*(COUNTIF(CONFIG_ASIGNATURAS!$B$7:$B$27,nASIG)&gt;0)*1),"")))</f>
        <v/>
      </c>
      <c r="N858" t="str">
        <f>IF(M858="","",IF(M858="[FÓRMULA MANUAL]","",IFERROR(AVERAGEIFS(nNOTA,nNIA,M858,nCUENTA,1,nASIG,"Armonía"),"")))</f>
        <v/>
      </c>
      <c r="O858" t="str">
        <f>IF(M858="","",IF(M858="[FÓRMULA MANUAL]","",IFERROR(AVERAGEIFS(nNOTA,nNIA,M858,nCUENTA,1,nASIG,"Orquesta/Banda/Conjunto"),"")))</f>
        <v/>
      </c>
      <c r="P858" t="str">
        <f>IF(M858="","",IF(M858="[FÓRMULA MANUAL]","",IFERROR(AVERAGEIFS(nNOTA,nNIA,M858,nCUENTA,1,nASIG,"Música de Cámara"),"")))</f>
        <v/>
      </c>
      <c r="Q858" t="str">
        <f>IF(M858="","",IF(M858="[FÓRMULA MANUAL]","",IFERROR(SUMPRODUCT((nNIA=M858)*(nCUENTA=1)*(COUNTIF(CONFIG_ASIGNATURAS!$B$7:$B$27,nASIG)&gt;0)*(nNOTA))/SUMPRODUCT((nNIA=M858)*(nCUENTA=1)*(COUNTIF(CONFIG_ASIGNATURAS!$B$7:$B$27,nASIG)&gt;0)*1),"")))</f>
        <v/>
      </c>
      <c r="T858" t="str">
        <f>IF(S858="","",IF(S858="[FÓRMULA MANUAL]","",IFERROR(AVERAGEIFS(nNOTA,nNIA,S858,nCUENTA,1,nASIG,"Armonía"),"")))</f>
        <v/>
      </c>
      <c r="U858" t="str">
        <f>IF(S858="","",IF(S858="[FÓRMULA MANUAL]","",IFERROR(AVERAGEIFS(nNOTA,nNIA,S858,nCUENTA,1,nASIG,"Orquesta/Banda/Conjunto"),"")))</f>
        <v/>
      </c>
      <c r="V858" t="str">
        <f>IF(S858="","",IF(S858="[FÓRMULA MANUAL]","",IFERROR(AVERAGEIFS(nNOTA,nNIA,S858,nCUENTA,1,nASIG,"Música de Cámara"),"")))</f>
        <v/>
      </c>
      <c r="W858" t="str">
        <f>IF(S858="","",IF(S858="[FÓRMULA MANUAL]","",IFERROR(SUMPRODUCT((nNIA=S858)*(nCUENTA=1)*(COUNTIF(CONFIG_ASIGNATURAS!$B$7:$B$27,nASIG)&gt;0)*(nNOTA))/SUMPRODUCT((nNIA=S858)*(nCUENTA=1)*(COUNTIF(CONFIG_ASIGNATURAS!$B$7:$B$27,nASIG)&gt;0)*1),"")))</f>
        <v/>
      </c>
      <c r="Z858" t="str">
        <f>IF(Y858="","",IF(Y858="[FÓRMULA MANUAL]","",IFERROR(AVERAGEIFS(nNOTA,nNIA,Y858,nCUENTA,1,nASIG,"Análisis"),"")))</f>
        <v/>
      </c>
      <c r="AA858" t="str">
        <f>IF(Y858="","",IF(Y858="[FÓRMULA MANUAL]","",IFERROR(AVERAGEIFS(nNOTA,nNIA,Y858,nCUENTA,1,nASIG,"Orquesta/Banda/Conjunto"),"")))</f>
        <v/>
      </c>
      <c r="AB858" t="str">
        <f>IF(Y858="","",IF(Y858="[FÓRMULA MANUAL]","",IFERROR(AVERAGEIFS(nNOTA,nNIA,Y858,nCUENTA,1,nASIG,"Música de Cámara"),"")))</f>
        <v/>
      </c>
      <c r="AC858" t="str">
        <f>IF(Y858="","",IF(Y858="[FÓRMULA MANUAL]","",IFERROR(SUMPRODUCT((nNIA=Y858)*(nCUENTA=1)*(COUNTIF(CONFIG_ASIGNATURAS!$B$7:$B$27,nASIG)&gt;0)*(nNOTA))/SUMPRODUCT((nNIA=Y858)*(nCUENTA=1)*(COUNTIF(CONFIG_ASIGNATURAS!$B$7:$B$27,nASIG)&gt;0)*1),"")))</f>
        <v/>
      </c>
      <c r="AF858" t="str">
        <f>IF(AE858="","",IF(AE858="[FÓRMULA MANUAL]","",IFERROR(AVERAGEIFS(nNOTA,nNIA,AE858,nCUENTA,1,nASIG,"Análisis"),"")))</f>
        <v/>
      </c>
      <c r="AG858" t="str">
        <f>IF(AE858="","",IF(AE858="[FÓRMULA MANUAL]","",IFERROR(AVERAGEIFS(nNOTA,nNIA,AE858,nCUENTA,1,nASIG,"Orquesta/Banda/Conjunto"),"")))</f>
        <v/>
      </c>
      <c r="AH858" t="str">
        <f>IF(AE858="","",IF(AE858="[FÓRMULA MANUAL]","",IFERROR(AVERAGEIFS(nNOTA,nNIA,AE858,nCUENTA,1,nASIG,"Música de Cámara"),"")))</f>
        <v/>
      </c>
      <c r="AI858" t="str">
        <f>IF(AE858="","",IF(AE858="[FÓRMULA MANUAL]","",IFERROR(SUMPRODUCT((nNIA=AE858)*(nCUENTA=1)*(COUNTIF(CONFIG_ASIGNATURAS!$B$7:$B$27,nASIG)&gt;0)*(nNOTA))/SUMPRODUCT((nNIA=AE858)*(nCUENTA=1)*(COUNTIF(CONFIG_ASIGNATURAS!$B$7:$B$27,nASIG)&gt;0)*1),"")))</f>
        <v/>
      </c>
    </row>
    <row r="859" spans="2:35" x14ac:dyDescent="0.2">
      <c r="B859" t="str">
        <f>IF(A859="","",IF(A859="[FÓRMULA MANUAL]","",IFERROR(AVERAGEIFS(nNOTA,nNIA,A859,nCUENTA,1,nASIG,"Lenguaje Musical"),"")))</f>
        <v/>
      </c>
      <c r="C859" t="str">
        <f>IF(A859="","",IF(A859="[FÓRMULA MANUAL]","",IFERROR(AVERAGEIFS(nNOTA,nNIA,A859,nCUENTA,1,nASIG,"Orquesta/Banda/Conjunto"),"")))</f>
        <v/>
      </c>
      <c r="D859" t="str">
        <f>IF(A859="","",IF(A859="[FÓRMULA MANUAL]","",IFERROR(AVERAGEIFS(nNOTA,nNIA,A859,nCUENTA,1,nASIG,"Conjunto"),"")))</f>
        <v/>
      </c>
      <c r="E859" t="str">
        <f>IF(A859="","",IF(A859="[FÓRMULA MANUAL]","",IFERROR(SUMPRODUCT((nNIA=A859)*(nCUENTA=1)*(COUNTIF(CONFIG_ASIGNATURAS!$B$7:$B$27,nASIG)&gt;0)*(nNOTA))/SUMPRODUCT((nNIA=A859)*(nCUENTA=1)*(COUNTIF(CONFIG_ASIGNATURAS!$B$7:$B$27,nASIG)&gt;0)*1),"")))</f>
        <v/>
      </c>
      <c r="H859" t="str">
        <f>IF(G859="","",IF(G859="[FÓRMULA MANUAL]","",IFERROR(AVERAGEIFS(nNOTA,nNIA,G859,nCUENTA,1,nASIG,"Lenguaje Musical"),"")))</f>
        <v/>
      </c>
      <c r="I859" t="str">
        <f>IF(G859="","",IF(G859="[FÓRMULA MANUAL]","",IFERROR(AVERAGEIFS(nNOTA,nNIA,G859,nCUENTA,1,nASIG,"Orquesta/Banda/Conjunto"),"")))</f>
        <v/>
      </c>
      <c r="J859" t="str">
        <f>IF(G859="","",IF(G859="[FÓRMULA MANUAL]","",IFERROR(AVERAGEIFS(nNOTA,nNIA,G859,nCUENTA,1,nASIG,"Conjunto"),"")))</f>
        <v/>
      </c>
      <c r="K859" t="str">
        <f>IF(G859="","",IF(G859="[FÓRMULA MANUAL]","",IFERROR(SUMPRODUCT((nNIA=G859)*(nCUENTA=1)*(COUNTIF(CONFIG_ASIGNATURAS!$B$7:$B$27,nASIG)&gt;0)*(nNOTA))/SUMPRODUCT((nNIA=G859)*(nCUENTA=1)*(COUNTIF(CONFIG_ASIGNATURAS!$B$7:$B$27,nASIG)&gt;0)*1),"")))</f>
        <v/>
      </c>
      <c r="N859" t="str">
        <f>IF(M859="","",IF(M859="[FÓRMULA MANUAL]","",IFERROR(AVERAGEIFS(nNOTA,nNIA,M859,nCUENTA,1,nASIG,"Armonía"),"")))</f>
        <v/>
      </c>
      <c r="O859" t="str">
        <f>IF(M859="","",IF(M859="[FÓRMULA MANUAL]","",IFERROR(AVERAGEIFS(nNOTA,nNIA,M859,nCUENTA,1,nASIG,"Orquesta/Banda/Conjunto"),"")))</f>
        <v/>
      </c>
      <c r="P859" t="str">
        <f>IF(M859="","",IF(M859="[FÓRMULA MANUAL]","",IFERROR(AVERAGEIFS(nNOTA,nNIA,M859,nCUENTA,1,nASIG,"Música de Cámara"),"")))</f>
        <v/>
      </c>
      <c r="Q859" t="str">
        <f>IF(M859="","",IF(M859="[FÓRMULA MANUAL]","",IFERROR(SUMPRODUCT((nNIA=M859)*(nCUENTA=1)*(COUNTIF(CONFIG_ASIGNATURAS!$B$7:$B$27,nASIG)&gt;0)*(nNOTA))/SUMPRODUCT((nNIA=M859)*(nCUENTA=1)*(COUNTIF(CONFIG_ASIGNATURAS!$B$7:$B$27,nASIG)&gt;0)*1),"")))</f>
        <v/>
      </c>
      <c r="T859" t="str">
        <f>IF(S859="","",IF(S859="[FÓRMULA MANUAL]","",IFERROR(AVERAGEIFS(nNOTA,nNIA,S859,nCUENTA,1,nASIG,"Armonía"),"")))</f>
        <v/>
      </c>
      <c r="U859" t="str">
        <f>IF(S859="","",IF(S859="[FÓRMULA MANUAL]","",IFERROR(AVERAGEIFS(nNOTA,nNIA,S859,nCUENTA,1,nASIG,"Orquesta/Banda/Conjunto"),"")))</f>
        <v/>
      </c>
      <c r="V859" t="str">
        <f>IF(S859="","",IF(S859="[FÓRMULA MANUAL]","",IFERROR(AVERAGEIFS(nNOTA,nNIA,S859,nCUENTA,1,nASIG,"Música de Cámara"),"")))</f>
        <v/>
      </c>
      <c r="W859" t="str">
        <f>IF(S859="","",IF(S859="[FÓRMULA MANUAL]","",IFERROR(SUMPRODUCT((nNIA=S859)*(nCUENTA=1)*(COUNTIF(CONFIG_ASIGNATURAS!$B$7:$B$27,nASIG)&gt;0)*(nNOTA))/SUMPRODUCT((nNIA=S859)*(nCUENTA=1)*(COUNTIF(CONFIG_ASIGNATURAS!$B$7:$B$27,nASIG)&gt;0)*1),"")))</f>
        <v/>
      </c>
      <c r="Z859" t="str">
        <f>IF(Y859="","",IF(Y859="[FÓRMULA MANUAL]","",IFERROR(AVERAGEIFS(nNOTA,nNIA,Y859,nCUENTA,1,nASIG,"Análisis"),"")))</f>
        <v/>
      </c>
      <c r="AA859" t="str">
        <f>IF(Y859="","",IF(Y859="[FÓRMULA MANUAL]","",IFERROR(AVERAGEIFS(nNOTA,nNIA,Y859,nCUENTA,1,nASIG,"Orquesta/Banda/Conjunto"),"")))</f>
        <v/>
      </c>
      <c r="AB859" t="str">
        <f>IF(Y859="","",IF(Y859="[FÓRMULA MANUAL]","",IFERROR(AVERAGEIFS(nNOTA,nNIA,Y859,nCUENTA,1,nASIG,"Música de Cámara"),"")))</f>
        <v/>
      </c>
      <c r="AC859" t="str">
        <f>IF(Y859="","",IF(Y859="[FÓRMULA MANUAL]","",IFERROR(SUMPRODUCT((nNIA=Y859)*(nCUENTA=1)*(COUNTIF(CONFIG_ASIGNATURAS!$B$7:$B$27,nASIG)&gt;0)*(nNOTA))/SUMPRODUCT((nNIA=Y859)*(nCUENTA=1)*(COUNTIF(CONFIG_ASIGNATURAS!$B$7:$B$27,nASIG)&gt;0)*1),"")))</f>
        <v/>
      </c>
      <c r="AF859" t="str">
        <f>IF(AE859="","",IF(AE859="[FÓRMULA MANUAL]","",IFERROR(AVERAGEIFS(nNOTA,nNIA,AE859,nCUENTA,1,nASIG,"Análisis"),"")))</f>
        <v/>
      </c>
      <c r="AG859" t="str">
        <f>IF(AE859="","",IF(AE859="[FÓRMULA MANUAL]","",IFERROR(AVERAGEIFS(nNOTA,nNIA,AE859,nCUENTA,1,nASIG,"Orquesta/Banda/Conjunto"),"")))</f>
        <v/>
      </c>
      <c r="AH859" t="str">
        <f>IF(AE859="","",IF(AE859="[FÓRMULA MANUAL]","",IFERROR(AVERAGEIFS(nNOTA,nNIA,AE859,nCUENTA,1,nASIG,"Música de Cámara"),"")))</f>
        <v/>
      </c>
      <c r="AI859" t="str">
        <f>IF(AE859="","",IF(AE859="[FÓRMULA MANUAL]","",IFERROR(SUMPRODUCT((nNIA=AE859)*(nCUENTA=1)*(COUNTIF(CONFIG_ASIGNATURAS!$B$7:$B$27,nASIG)&gt;0)*(nNOTA))/SUMPRODUCT((nNIA=AE859)*(nCUENTA=1)*(COUNTIF(CONFIG_ASIGNATURAS!$B$7:$B$27,nASIG)&gt;0)*1),"")))</f>
        <v/>
      </c>
    </row>
    <row r="860" spans="2:35" x14ac:dyDescent="0.2">
      <c r="B860" t="str">
        <f>IF(A860="","",IF(A860="[FÓRMULA MANUAL]","",IFERROR(AVERAGEIFS(nNOTA,nNIA,A860,nCUENTA,1,nASIG,"Lenguaje Musical"),"")))</f>
        <v/>
      </c>
      <c r="C860" t="str">
        <f>IF(A860="","",IF(A860="[FÓRMULA MANUAL]","",IFERROR(AVERAGEIFS(nNOTA,nNIA,A860,nCUENTA,1,nASIG,"Orquesta/Banda/Conjunto"),"")))</f>
        <v/>
      </c>
      <c r="D860" t="str">
        <f>IF(A860="","",IF(A860="[FÓRMULA MANUAL]","",IFERROR(AVERAGEIFS(nNOTA,nNIA,A860,nCUENTA,1,nASIG,"Conjunto"),"")))</f>
        <v/>
      </c>
      <c r="E860" t="str">
        <f>IF(A860="","",IF(A860="[FÓRMULA MANUAL]","",IFERROR(SUMPRODUCT((nNIA=A860)*(nCUENTA=1)*(COUNTIF(CONFIG_ASIGNATURAS!$B$7:$B$27,nASIG)&gt;0)*(nNOTA))/SUMPRODUCT((nNIA=A860)*(nCUENTA=1)*(COUNTIF(CONFIG_ASIGNATURAS!$B$7:$B$27,nASIG)&gt;0)*1),"")))</f>
        <v/>
      </c>
      <c r="H860" t="str">
        <f>IF(G860="","",IF(G860="[FÓRMULA MANUAL]","",IFERROR(AVERAGEIFS(nNOTA,nNIA,G860,nCUENTA,1,nASIG,"Lenguaje Musical"),"")))</f>
        <v/>
      </c>
      <c r="I860" t="str">
        <f>IF(G860="","",IF(G860="[FÓRMULA MANUAL]","",IFERROR(AVERAGEIFS(nNOTA,nNIA,G860,nCUENTA,1,nASIG,"Orquesta/Banda/Conjunto"),"")))</f>
        <v/>
      </c>
      <c r="J860" t="str">
        <f>IF(G860="","",IF(G860="[FÓRMULA MANUAL]","",IFERROR(AVERAGEIFS(nNOTA,nNIA,G860,nCUENTA,1,nASIG,"Conjunto"),"")))</f>
        <v/>
      </c>
      <c r="K860" t="str">
        <f>IF(G860="","",IF(G860="[FÓRMULA MANUAL]","",IFERROR(SUMPRODUCT((nNIA=G860)*(nCUENTA=1)*(COUNTIF(CONFIG_ASIGNATURAS!$B$7:$B$27,nASIG)&gt;0)*(nNOTA))/SUMPRODUCT((nNIA=G860)*(nCUENTA=1)*(COUNTIF(CONFIG_ASIGNATURAS!$B$7:$B$27,nASIG)&gt;0)*1),"")))</f>
        <v/>
      </c>
      <c r="N860" t="str">
        <f>IF(M860="","",IF(M860="[FÓRMULA MANUAL]","",IFERROR(AVERAGEIFS(nNOTA,nNIA,M860,nCUENTA,1,nASIG,"Armonía"),"")))</f>
        <v/>
      </c>
      <c r="O860" t="str">
        <f>IF(M860="","",IF(M860="[FÓRMULA MANUAL]","",IFERROR(AVERAGEIFS(nNOTA,nNIA,M860,nCUENTA,1,nASIG,"Orquesta/Banda/Conjunto"),"")))</f>
        <v/>
      </c>
      <c r="P860" t="str">
        <f>IF(M860="","",IF(M860="[FÓRMULA MANUAL]","",IFERROR(AVERAGEIFS(nNOTA,nNIA,M860,nCUENTA,1,nASIG,"Música de Cámara"),"")))</f>
        <v/>
      </c>
      <c r="Q860" t="str">
        <f>IF(M860="","",IF(M860="[FÓRMULA MANUAL]","",IFERROR(SUMPRODUCT((nNIA=M860)*(nCUENTA=1)*(COUNTIF(CONFIG_ASIGNATURAS!$B$7:$B$27,nASIG)&gt;0)*(nNOTA))/SUMPRODUCT((nNIA=M860)*(nCUENTA=1)*(COUNTIF(CONFIG_ASIGNATURAS!$B$7:$B$27,nASIG)&gt;0)*1),"")))</f>
        <v/>
      </c>
      <c r="T860" t="str">
        <f>IF(S860="","",IF(S860="[FÓRMULA MANUAL]","",IFERROR(AVERAGEIFS(nNOTA,nNIA,S860,nCUENTA,1,nASIG,"Armonía"),"")))</f>
        <v/>
      </c>
      <c r="U860" t="str">
        <f>IF(S860="","",IF(S860="[FÓRMULA MANUAL]","",IFERROR(AVERAGEIFS(nNOTA,nNIA,S860,nCUENTA,1,nASIG,"Orquesta/Banda/Conjunto"),"")))</f>
        <v/>
      </c>
      <c r="V860" t="str">
        <f>IF(S860="","",IF(S860="[FÓRMULA MANUAL]","",IFERROR(AVERAGEIFS(nNOTA,nNIA,S860,nCUENTA,1,nASIG,"Música de Cámara"),"")))</f>
        <v/>
      </c>
      <c r="W860" t="str">
        <f>IF(S860="","",IF(S860="[FÓRMULA MANUAL]","",IFERROR(SUMPRODUCT((nNIA=S860)*(nCUENTA=1)*(COUNTIF(CONFIG_ASIGNATURAS!$B$7:$B$27,nASIG)&gt;0)*(nNOTA))/SUMPRODUCT((nNIA=S860)*(nCUENTA=1)*(COUNTIF(CONFIG_ASIGNATURAS!$B$7:$B$27,nASIG)&gt;0)*1),"")))</f>
        <v/>
      </c>
      <c r="Z860" t="str">
        <f>IF(Y860="","",IF(Y860="[FÓRMULA MANUAL]","",IFERROR(AVERAGEIFS(nNOTA,nNIA,Y860,nCUENTA,1,nASIG,"Análisis"),"")))</f>
        <v/>
      </c>
      <c r="AA860" t="str">
        <f>IF(Y860="","",IF(Y860="[FÓRMULA MANUAL]","",IFERROR(AVERAGEIFS(nNOTA,nNIA,Y860,nCUENTA,1,nASIG,"Orquesta/Banda/Conjunto"),"")))</f>
        <v/>
      </c>
      <c r="AB860" t="str">
        <f>IF(Y860="","",IF(Y860="[FÓRMULA MANUAL]","",IFERROR(AVERAGEIFS(nNOTA,nNIA,Y860,nCUENTA,1,nASIG,"Música de Cámara"),"")))</f>
        <v/>
      </c>
      <c r="AC860" t="str">
        <f>IF(Y860="","",IF(Y860="[FÓRMULA MANUAL]","",IFERROR(SUMPRODUCT((nNIA=Y860)*(nCUENTA=1)*(COUNTIF(CONFIG_ASIGNATURAS!$B$7:$B$27,nASIG)&gt;0)*(nNOTA))/SUMPRODUCT((nNIA=Y860)*(nCUENTA=1)*(COUNTIF(CONFIG_ASIGNATURAS!$B$7:$B$27,nASIG)&gt;0)*1),"")))</f>
        <v/>
      </c>
      <c r="AF860" t="str">
        <f>IF(AE860="","",IF(AE860="[FÓRMULA MANUAL]","",IFERROR(AVERAGEIFS(nNOTA,nNIA,AE860,nCUENTA,1,nASIG,"Análisis"),"")))</f>
        <v/>
      </c>
      <c r="AG860" t="str">
        <f>IF(AE860="","",IF(AE860="[FÓRMULA MANUAL]","",IFERROR(AVERAGEIFS(nNOTA,nNIA,AE860,nCUENTA,1,nASIG,"Orquesta/Banda/Conjunto"),"")))</f>
        <v/>
      </c>
      <c r="AH860" t="str">
        <f>IF(AE860="","",IF(AE860="[FÓRMULA MANUAL]","",IFERROR(AVERAGEIFS(nNOTA,nNIA,AE860,nCUENTA,1,nASIG,"Música de Cámara"),"")))</f>
        <v/>
      </c>
      <c r="AI860" t="str">
        <f>IF(AE860="","",IF(AE860="[FÓRMULA MANUAL]","",IFERROR(SUMPRODUCT((nNIA=AE860)*(nCUENTA=1)*(COUNTIF(CONFIG_ASIGNATURAS!$B$7:$B$27,nASIG)&gt;0)*(nNOTA))/SUMPRODUCT((nNIA=AE860)*(nCUENTA=1)*(COUNTIF(CONFIG_ASIGNATURAS!$B$7:$B$27,nASIG)&gt;0)*1),"")))</f>
        <v/>
      </c>
    </row>
    <row r="861" spans="2:35" x14ac:dyDescent="0.2">
      <c r="B861" t="str">
        <f>IF(A861="","",IF(A861="[FÓRMULA MANUAL]","",IFERROR(AVERAGEIFS(nNOTA,nNIA,A861,nCUENTA,1,nASIG,"Lenguaje Musical"),"")))</f>
        <v/>
      </c>
      <c r="C861" t="str">
        <f>IF(A861="","",IF(A861="[FÓRMULA MANUAL]","",IFERROR(AVERAGEIFS(nNOTA,nNIA,A861,nCUENTA,1,nASIG,"Orquesta/Banda/Conjunto"),"")))</f>
        <v/>
      </c>
      <c r="D861" t="str">
        <f>IF(A861="","",IF(A861="[FÓRMULA MANUAL]","",IFERROR(AVERAGEIFS(nNOTA,nNIA,A861,nCUENTA,1,nASIG,"Conjunto"),"")))</f>
        <v/>
      </c>
      <c r="E861" t="str">
        <f>IF(A861="","",IF(A861="[FÓRMULA MANUAL]","",IFERROR(SUMPRODUCT((nNIA=A861)*(nCUENTA=1)*(COUNTIF(CONFIG_ASIGNATURAS!$B$7:$B$27,nASIG)&gt;0)*(nNOTA))/SUMPRODUCT((nNIA=A861)*(nCUENTA=1)*(COUNTIF(CONFIG_ASIGNATURAS!$B$7:$B$27,nASIG)&gt;0)*1),"")))</f>
        <v/>
      </c>
      <c r="H861" t="str">
        <f>IF(G861="","",IF(G861="[FÓRMULA MANUAL]","",IFERROR(AVERAGEIFS(nNOTA,nNIA,G861,nCUENTA,1,nASIG,"Lenguaje Musical"),"")))</f>
        <v/>
      </c>
      <c r="I861" t="str">
        <f>IF(G861="","",IF(G861="[FÓRMULA MANUAL]","",IFERROR(AVERAGEIFS(nNOTA,nNIA,G861,nCUENTA,1,nASIG,"Orquesta/Banda/Conjunto"),"")))</f>
        <v/>
      </c>
      <c r="J861" t="str">
        <f>IF(G861="","",IF(G861="[FÓRMULA MANUAL]","",IFERROR(AVERAGEIFS(nNOTA,nNIA,G861,nCUENTA,1,nASIG,"Conjunto"),"")))</f>
        <v/>
      </c>
      <c r="K861" t="str">
        <f>IF(G861="","",IF(G861="[FÓRMULA MANUAL]","",IFERROR(SUMPRODUCT((nNIA=G861)*(nCUENTA=1)*(COUNTIF(CONFIG_ASIGNATURAS!$B$7:$B$27,nASIG)&gt;0)*(nNOTA))/SUMPRODUCT((nNIA=G861)*(nCUENTA=1)*(COUNTIF(CONFIG_ASIGNATURAS!$B$7:$B$27,nASIG)&gt;0)*1),"")))</f>
        <v/>
      </c>
      <c r="N861" t="str">
        <f>IF(M861="","",IF(M861="[FÓRMULA MANUAL]","",IFERROR(AVERAGEIFS(nNOTA,nNIA,M861,nCUENTA,1,nASIG,"Armonía"),"")))</f>
        <v/>
      </c>
      <c r="O861" t="str">
        <f>IF(M861="","",IF(M861="[FÓRMULA MANUAL]","",IFERROR(AVERAGEIFS(nNOTA,nNIA,M861,nCUENTA,1,nASIG,"Orquesta/Banda/Conjunto"),"")))</f>
        <v/>
      </c>
      <c r="P861" t="str">
        <f>IF(M861="","",IF(M861="[FÓRMULA MANUAL]","",IFERROR(AVERAGEIFS(nNOTA,nNIA,M861,nCUENTA,1,nASIG,"Música de Cámara"),"")))</f>
        <v/>
      </c>
      <c r="Q861" t="str">
        <f>IF(M861="","",IF(M861="[FÓRMULA MANUAL]","",IFERROR(SUMPRODUCT((nNIA=M861)*(nCUENTA=1)*(COUNTIF(CONFIG_ASIGNATURAS!$B$7:$B$27,nASIG)&gt;0)*(nNOTA))/SUMPRODUCT((nNIA=M861)*(nCUENTA=1)*(COUNTIF(CONFIG_ASIGNATURAS!$B$7:$B$27,nASIG)&gt;0)*1),"")))</f>
        <v/>
      </c>
      <c r="T861" t="str">
        <f>IF(S861="","",IF(S861="[FÓRMULA MANUAL]","",IFERROR(AVERAGEIFS(nNOTA,nNIA,S861,nCUENTA,1,nASIG,"Armonía"),"")))</f>
        <v/>
      </c>
      <c r="U861" t="str">
        <f>IF(S861="","",IF(S861="[FÓRMULA MANUAL]","",IFERROR(AVERAGEIFS(nNOTA,nNIA,S861,nCUENTA,1,nASIG,"Orquesta/Banda/Conjunto"),"")))</f>
        <v/>
      </c>
      <c r="V861" t="str">
        <f>IF(S861="","",IF(S861="[FÓRMULA MANUAL]","",IFERROR(AVERAGEIFS(nNOTA,nNIA,S861,nCUENTA,1,nASIG,"Música de Cámara"),"")))</f>
        <v/>
      </c>
      <c r="W861" t="str">
        <f>IF(S861="","",IF(S861="[FÓRMULA MANUAL]","",IFERROR(SUMPRODUCT((nNIA=S861)*(nCUENTA=1)*(COUNTIF(CONFIG_ASIGNATURAS!$B$7:$B$27,nASIG)&gt;0)*(nNOTA))/SUMPRODUCT((nNIA=S861)*(nCUENTA=1)*(COUNTIF(CONFIG_ASIGNATURAS!$B$7:$B$27,nASIG)&gt;0)*1),"")))</f>
        <v/>
      </c>
      <c r="Z861" t="str">
        <f>IF(Y861="","",IF(Y861="[FÓRMULA MANUAL]","",IFERROR(AVERAGEIFS(nNOTA,nNIA,Y861,nCUENTA,1,nASIG,"Análisis"),"")))</f>
        <v/>
      </c>
      <c r="AA861" t="str">
        <f>IF(Y861="","",IF(Y861="[FÓRMULA MANUAL]","",IFERROR(AVERAGEIFS(nNOTA,nNIA,Y861,nCUENTA,1,nASIG,"Orquesta/Banda/Conjunto"),"")))</f>
        <v/>
      </c>
      <c r="AB861" t="str">
        <f>IF(Y861="","",IF(Y861="[FÓRMULA MANUAL]","",IFERROR(AVERAGEIFS(nNOTA,nNIA,Y861,nCUENTA,1,nASIG,"Música de Cámara"),"")))</f>
        <v/>
      </c>
      <c r="AC861" t="str">
        <f>IF(Y861="","",IF(Y861="[FÓRMULA MANUAL]","",IFERROR(SUMPRODUCT((nNIA=Y861)*(nCUENTA=1)*(COUNTIF(CONFIG_ASIGNATURAS!$B$7:$B$27,nASIG)&gt;0)*(nNOTA))/SUMPRODUCT((nNIA=Y861)*(nCUENTA=1)*(COUNTIF(CONFIG_ASIGNATURAS!$B$7:$B$27,nASIG)&gt;0)*1),"")))</f>
        <v/>
      </c>
      <c r="AF861" t="str">
        <f>IF(AE861="","",IF(AE861="[FÓRMULA MANUAL]","",IFERROR(AVERAGEIFS(nNOTA,nNIA,AE861,nCUENTA,1,nASIG,"Análisis"),"")))</f>
        <v/>
      </c>
      <c r="AG861" t="str">
        <f>IF(AE861="","",IF(AE861="[FÓRMULA MANUAL]","",IFERROR(AVERAGEIFS(nNOTA,nNIA,AE861,nCUENTA,1,nASIG,"Orquesta/Banda/Conjunto"),"")))</f>
        <v/>
      </c>
      <c r="AH861" t="str">
        <f>IF(AE861="","",IF(AE861="[FÓRMULA MANUAL]","",IFERROR(AVERAGEIFS(nNOTA,nNIA,AE861,nCUENTA,1,nASIG,"Música de Cámara"),"")))</f>
        <v/>
      </c>
      <c r="AI861" t="str">
        <f>IF(AE861="","",IF(AE861="[FÓRMULA MANUAL]","",IFERROR(SUMPRODUCT((nNIA=AE861)*(nCUENTA=1)*(COUNTIF(CONFIG_ASIGNATURAS!$B$7:$B$27,nASIG)&gt;0)*(nNOTA))/SUMPRODUCT((nNIA=AE861)*(nCUENTA=1)*(COUNTIF(CONFIG_ASIGNATURAS!$B$7:$B$27,nASIG)&gt;0)*1),"")))</f>
        <v/>
      </c>
    </row>
    <row r="862" spans="2:35" x14ac:dyDescent="0.2">
      <c r="B862" t="str">
        <f>IF(A862="","",IF(A862="[FÓRMULA MANUAL]","",IFERROR(AVERAGEIFS(nNOTA,nNIA,A862,nCUENTA,1,nASIG,"Lenguaje Musical"),"")))</f>
        <v/>
      </c>
      <c r="C862" t="str">
        <f>IF(A862="","",IF(A862="[FÓRMULA MANUAL]","",IFERROR(AVERAGEIFS(nNOTA,nNIA,A862,nCUENTA,1,nASIG,"Orquesta/Banda/Conjunto"),"")))</f>
        <v/>
      </c>
      <c r="D862" t="str">
        <f>IF(A862="","",IF(A862="[FÓRMULA MANUAL]","",IFERROR(AVERAGEIFS(nNOTA,nNIA,A862,nCUENTA,1,nASIG,"Conjunto"),"")))</f>
        <v/>
      </c>
      <c r="E862" t="str">
        <f>IF(A862="","",IF(A862="[FÓRMULA MANUAL]","",IFERROR(SUMPRODUCT((nNIA=A862)*(nCUENTA=1)*(COUNTIF(CONFIG_ASIGNATURAS!$B$7:$B$27,nASIG)&gt;0)*(nNOTA))/SUMPRODUCT((nNIA=A862)*(nCUENTA=1)*(COUNTIF(CONFIG_ASIGNATURAS!$B$7:$B$27,nASIG)&gt;0)*1),"")))</f>
        <v/>
      </c>
      <c r="H862" t="str">
        <f>IF(G862="","",IF(G862="[FÓRMULA MANUAL]","",IFERROR(AVERAGEIFS(nNOTA,nNIA,G862,nCUENTA,1,nASIG,"Lenguaje Musical"),"")))</f>
        <v/>
      </c>
      <c r="I862" t="str">
        <f>IF(G862="","",IF(G862="[FÓRMULA MANUAL]","",IFERROR(AVERAGEIFS(nNOTA,nNIA,G862,nCUENTA,1,nASIG,"Orquesta/Banda/Conjunto"),"")))</f>
        <v/>
      </c>
      <c r="J862" t="str">
        <f>IF(G862="","",IF(G862="[FÓRMULA MANUAL]","",IFERROR(AVERAGEIFS(nNOTA,nNIA,G862,nCUENTA,1,nASIG,"Conjunto"),"")))</f>
        <v/>
      </c>
      <c r="K862" t="str">
        <f>IF(G862="","",IF(G862="[FÓRMULA MANUAL]","",IFERROR(SUMPRODUCT((nNIA=G862)*(nCUENTA=1)*(COUNTIF(CONFIG_ASIGNATURAS!$B$7:$B$27,nASIG)&gt;0)*(nNOTA))/SUMPRODUCT((nNIA=G862)*(nCUENTA=1)*(COUNTIF(CONFIG_ASIGNATURAS!$B$7:$B$27,nASIG)&gt;0)*1),"")))</f>
        <v/>
      </c>
      <c r="N862" t="str">
        <f>IF(M862="","",IF(M862="[FÓRMULA MANUAL]","",IFERROR(AVERAGEIFS(nNOTA,nNIA,M862,nCUENTA,1,nASIG,"Armonía"),"")))</f>
        <v/>
      </c>
      <c r="O862" t="str">
        <f>IF(M862="","",IF(M862="[FÓRMULA MANUAL]","",IFERROR(AVERAGEIFS(nNOTA,nNIA,M862,nCUENTA,1,nASIG,"Orquesta/Banda/Conjunto"),"")))</f>
        <v/>
      </c>
      <c r="P862" t="str">
        <f>IF(M862="","",IF(M862="[FÓRMULA MANUAL]","",IFERROR(AVERAGEIFS(nNOTA,nNIA,M862,nCUENTA,1,nASIG,"Música de Cámara"),"")))</f>
        <v/>
      </c>
      <c r="Q862" t="str">
        <f>IF(M862="","",IF(M862="[FÓRMULA MANUAL]","",IFERROR(SUMPRODUCT((nNIA=M862)*(nCUENTA=1)*(COUNTIF(CONFIG_ASIGNATURAS!$B$7:$B$27,nASIG)&gt;0)*(nNOTA))/SUMPRODUCT((nNIA=M862)*(nCUENTA=1)*(COUNTIF(CONFIG_ASIGNATURAS!$B$7:$B$27,nASIG)&gt;0)*1),"")))</f>
        <v/>
      </c>
      <c r="T862" t="str">
        <f>IF(S862="","",IF(S862="[FÓRMULA MANUAL]","",IFERROR(AVERAGEIFS(nNOTA,nNIA,S862,nCUENTA,1,nASIG,"Armonía"),"")))</f>
        <v/>
      </c>
      <c r="U862" t="str">
        <f>IF(S862="","",IF(S862="[FÓRMULA MANUAL]","",IFERROR(AVERAGEIFS(nNOTA,nNIA,S862,nCUENTA,1,nASIG,"Orquesta/Banda/Conjunto"),"")))</f>
        <v/>
      </c>
      <c r="V862" t="str">
        <f>IF(S862="","",IF(S862="[FÓRMULA MANUAL]","",IFERROR(AVERAGEIFS(nNOTA,nNIA,S862,nCUENTA,1,nASIG,"Música de Cámara"),"")))</f>
        <v/>
      </c>
      <c r="W862" t="str">
        <f>IF(S862="","",IF(S862="[FÓRMULA MANUAL]","",IFERROR(SUMPRODUCT((nNIA=S862)*(nCUENTA=1)*(COUNTIF(CONFIG_ASIGNATURAS!$B$7:$B$27,nASIG)&gt;0)*(nNOTA))/SUMPRODUCT((nNIA=S862)*(nCUENTA=1)*(COUNTIF(CONFIG_ASIGNATURAS!$B$7:$B$27,nASIG)&gt;0)*1),"")))</f>
        <v/>
      </c>
      <c r="Z862" t="str">
        <f>IF(Y862="","",IF(Y862="[FÓRMULA MANUAL]","",IFERROR(AVERAGEIFS(nNOTA,nNIA,Y862,nCUENTA,1,nASIG,"Análisis"),"")))</f>
        <v/>
      </c>
      <c r="AA862" t="str">
        <f>IF(Y862="","",IF(Y862="[FÓRMULA MANUAL]","",IFERROR(AVERAGEIFS(nNOTA,nNIA,Y862,nCUENTA,1,nASIG,"Orquesta/Banda/Conjunto"),"")))</f>
        <v/>
      </c>
      <c r="AB862" t="str">
        <f>IF(Y862="","",IF(Y862="[FÓRMULA MANUAL]","",IFERROR(AVERAGEIFS(nNOTA,nNIA,Y862,nCUENTA,1,nASIG,"Música de Cámara"),"")))</f>
        <v/>
      </c>
      <c r="AC862" t="str">
        <f>IF(Y862="","",IF(Y862="[FÓRMULA MANUAL]","",IFERROR(SUMPRODUCT((nNIA=Y862)*(nCUENTA=1)*(COUNTIF(CONFIG_ASIGNATURAS!$B$7:$B$27,nASIG)&gt;0)*(nNOTA))/SUMPRODUCT((nNIA=Y862)*(nCUENTA=1)*(COUNTIF(CONFIG_ASIGNATURAS!$B$7:$B$27,nASIG)&gt;0)*1),"")))</f>
        <v/>
      </c>
      <c r="AF862" t="str">
        <f>IF(AE862="","",IF(AE862="[FÓRMULA MANUAL]","",IFERROR(AVERAGEIFS(nNOTA,nNIA,AE862,nCUENTA,1,nASIG,"Análisis"),"")))</f>
        <v/>
      </c>
      <c r="AG862" t="str">
        <f>IF(AE862="","",IF(AE862="[FÓRMULA MANUAL]","",IFERROR(AVERAGEIFS(nNOTA,nNIA,AE862,nCUENTA,1,nASIG,"Orquesta/Banda/Conjunto"),"")))</f>
        <v/>
      </c>
      <c r="AH862" t="str">
        <f>IF(AE862="","",IF(AE862="[FÓRMULA MANUAL]","",IFERROR(AVERAGEIFS(nNOTA,nNIA,AE862,nCUENTA,1,nASIG,"Música de Cámara"),"")))</f>
        <v/>
      </c>
      <c r="AI862" t="str">
        <f>IF(AE862="","",IF(AE862="[FÓRMULA MANUAL]","",IFERROR(SUMPRODUCT((nNIA=AE862)*(nCUENTA=1)*(COUNTIF(CONFIG_ASIGNATURAS!$B$7:$B$27,nASIG)&gt;0)*(nNOTA))/SUMPRODUCT((nNIA=AE862)*(nCUENTA=1)*(COUNTIF(CONFIG_ASIGNATURAS!$B$7:$B$27,nASIG)&gt;0)*1),"")))</f>
        <v/>
      </c>
    </row>
    <row r="863" spans="2:35" x14ac:dyDescent="0.2">
      <c r="B863" t="str">
        <f>IF(A863="","",IF(A863="[FÓRMULA MANUAL]","",IFERROR(AVERAGEIFS(nNOTA,nNIA,A863,nCUENTA,1,nASIG,"Lenguaje Musical"),"")))</f>
        <v/>
      </c>
      <c r="C863" t="str">
        <f>IF(A863="","",IF(A863="[FÓRMULA MANUAL]","",IFERROR(AVERAGEIFS(nNOTA,nNIA,A863,nCUENTA,1,nASIG,"Orquesta/Banda/Conjunto"),"")))</f>
        <v/>
      </c>
      <c r="D863" t="str">
        <f>IF(A863="","",IF(A863="[FÓRMULA MANUAL]","",IFERROR(AVERAGEIFS(nNOTA,nNIA,A863,nCUENTA,1,nASIG,"Conjunto"),"")))</f>
        <v/>
      </c>
      <c r="E863" t="str">
        <f>IF(A863="","",IF(A863="[FÓRMULA MANUAL]","",IFERROR(SUMPRODUCT((nNIA=A863)*(nCUENTA=1)*(COUNTIF(CONFIG_ASIGNATURAS!$B$7:$B$27,nASIG)&gt;0)*(nNOTA))/SUMPRODUCT((nNIA=A863)*(nCUENTA=1)*(COUNTIF(CONFIG_ASIGNATURAS!$B$7:$B$27,nASIG)&gt;0)*1),"")))</f>
        <v/>
      </c>
      <c r="H863" t="str">
        <f>IF(G863="","",IF(G863="[FÓRMULA MANUAL]","",IFERROR(AVERAGEIFS(nNOTA,nNIA,G863,nCUENTA,1,nASIG,"Lenguaje Musical"),"")))</f>
        <v/>
      </c>
      <c r="I863" t="str">
        <f>IF(G863="","",IF(G863="[FÓRMULA MANUAL]","",IFERROR(AVERAGEIFS(nNOTA,nNIA,G863,nCUENTA,1,nASIG,"Orquesta/Banda/Conjunto"),"")))</f>
        <v/>
      </c>
      <c r="J863" t="str">
        <f>IF(G863="","",IF(G863="[FÓRMULA MANUAL]","",IFERROR(AVERAGEIFS(nNOTA,nNIA,G863,nCUENTA,1,nASIG,"Conjunto"),"")))</f>
        <v/>
      </c>
      <c r="K863" t="str">
        <f>IF(G863="","",IF(G863="[FÓRMULA MANUAL]","",IFERROR(SUMPRODUCT((nNIA=G863)*(nCUENTA=1)*(COUNTIF(CONFIG_ASIGNATURAS!$B$7:$B$27,nASIG)&gt;0)*(nNOTA))/SUMPRODUCT((nNIA=G863)*(nCUENTA=1)*(COUNTIF(CONFIG_ASIGNATURAS!$B$7:$B$27,nASIG)&gt;0)*1),"")))</f>
        <v/>
      </c>
      <c r="N863" t="str">
        <f>IF(M863="","",IF(M863="[FÓRMULA MANUAL]","",IFERROR(AVERAGEIFS(nNOTA,nNIA,M863,nCUENTA,1,nASIG,"Armonía"),"")))</f>
        <v/>
      </c>
      <c r="O863" t="str">
        <f>IF(M863="","",IF(M863="[FÓRMULA MANUAL]","",IFERROR(AVERAGEIFS(nNOTA,nNIA,M863,nCUENTA,1,nASIG,"Orquesta/Banda/Conjunto"),"")))</f>
        <v/>
      </c>
      <c r="P863" t="str">
        <f>IF(M863="","",IF(M863="[FÓRMULA MANUAL]","",IFERROR(AVERAGEIFS(nNOTA,nNIA,M863,nCUENTA,1,nASIG,"Música de Cámara"),"")))</f>
        <v/>
      </c>
      <c r="Q863" t="str">
        <f>IF(M863="","",IF(M863="[FÓRMULA MANUAL]","",IFERROR(SUMPRODUCT((nNIA=M863)*(nCUENTA=1)*(COUNTIF(CONFIG_ASIGNATURAS!$B$7:$B$27,nASIG)&gt;0)*(nNOTA))/SUMPRODUCT((nNIA=M863)*(nCUENTA=1)*(COUNTIF(CONFIG_ASIGNATURAS!$B$7:$B$27,nASIG)&gt;0)*1),"")))</f>
        <v/>
      </c>
      <c r="T863" t="str">
        <f>IF(S863="","",IF(S863="[FÓRMULA MANUAL]","",IFERROR(AVERAGEIFS(nNOTA,nNIA,S863,nCUENTA,1,nASIG,"Armonía"),"")))</f>
        <v/>
      </c>
      <c r="U863" t="str">
        <f>IF(S863="","",IF(S863="[FÓRMULA MANUAL]","",IFERROR(AVERAGEIFS(nNOTA,nNIA,S863,nCUENTA,1,nASIG,"Orquesta/Banda/Conjunto"),"")))</f>
        <v/>
      </c>
      <c r="V863" t="str">
        <f>IF(S863="","",IF(S863="[FÓRMULA MANUAL]","",IFERROR(AVERAGEIFS(nNOTA,nNIA,S863,nCUENTA,1,nASIG,"Música de Cámara"),"")))</f>
        <v/>
      </c>
      <c r="W863" t="str">
        <f>IF(S863="","",IF(S863="[FÓRMULA MANUAL]","",IFERROR(SUMPRODUCT((nNIA=S863)*(nCUENTA=1)*(COUNTIF(CONFIG_ASIGNATURAS!$B$7:$B$27,nASIG)&gt;0)*(nNOTA))/SUMPRODUCT((nNIA=S863)*(nCUENTA=1)*(COUNTIF(CONFIG_ASIGNATURAS!$B$7:$B$27,nASIG)&gt;0)*1),"")))</f>
        <v/>
      </c>
      <c r="Z863" t="str">
        <f>IF(Y863="","",IF(Y863="[FÓRMULA MANUAL]","",IFERROR(AVERAGEIFS(nNOTA,nNIA,Y863,nCUENTA,1,nASIG,"Análisis"),"")))</f>
        <v/>
      </c>
      <c r="AA863" t="str">
        <f>IF(Y863="","",IF(Y863="[FÓRMULA MANUAL]","",IFERROR(AVERAGEIFS(nNOTA,nNIA,Y863,nCUENTA,1,nASIG,"Orquesta/Banda/Conjunto"),"")))</f>
        <v/>
      </c>
      <c r="AB863" t="str">
        <f>IF(Y863="","",IF(Y863="[FÓRMULA MANUAL]","",IFERROR(AVERAGEIFS(nNOTA,nNIA,Y863,nCUENTA,1,nASIG,"Música de Cámara"),"")))</f>
        <v/>
      </c>
      <c r="AC863" t="str">
        <f>IF(Y863="","",IF(Y863="[FÓRMULA MANUAL]","",IFERROR(SUMPRODUCT((nNIA=Y863)*(nCUENTA=1)*(COUNTIF(CONFIG_ASIGNATURAS!$B$7:$B$27,nASIG)&gt;0)*(nNOTA))/SUMPRODUCT((nNIA=Y863)*(nCUENTA=1)*(COUNTIF(CONFIG_ASIGNATURAS!$B$7:$B$27,nASIG)&gt;0)*1),"")))</f>
        <v/>
      </c>
      <c r="AF863" t="str">
        <f>IF(AE863="","",IF(AE863="[FÓRMULA MANUAL]","",IFERROR(AVERAGEIFS(nNOTA,nNIA,AE863,nCUENTA,1,nASIG,"Análisis"),"")))</f>
        <v/>
      </c>
      <c r="AG863" t="str">
        <f>IF(AE863="","",IF(AE863="[FÓRMULA MANUAL]","",IFERROR(AVERAGEIFS(nNOTA,nNIA,AE863,nCUENTA,1,nASIG,"Orquesta/Banda/Conjunto"),"")))</f>
        <v/>
      </c>
      <c r="AH863" t="str">
        <f>IF(AE863="","",IF(AE863="[FÓRMULA MANUAL]","",IFERROR(AVERAGEIFS(nNOTA,nNIA,AE863,nCUENTA,1,nASIG,"Música de Cámara"),"")))</f>
        <v/>
      </c>
      <c r="AI863" t="str">
        <f>IF(AE863="","",IF(AE863="[FÓRMULA MANUAL]","",IFERROR(SUMPRODUCT((nNIA=AE863)*(nCUENTA=1)*(COUNTIF(CONFIG_ASIGNATURAS!$B$7:$B$27,nASIG)&gt;0)*(nNOTA))/SUMPRODUCT((nNIA=AE863)*(nCUENTA=1)*(COUNTIF(CONFIG_ASIGNATURAS!$B$7:$B$27,nASIG)&gt;0)*1),"")))</f>
        <v/>
      </c>
    </row>
    <row r="864" spans="2:35" x14ac:dyDescent="0.2">
      <c r="B864" t="str">
        <f>IF(A864="","",IF(A864="[FÓRMULA MANUAL]","",IFERROR(AVERAGEIFS(nNOTA,nNIA,A864,nCUENTA,1,nASIG,"Lenguaje Musical"),"")))</f>
        <v/>
      </c>
      <c r="C864" t="str">
        <f>IF(A864="","",IF(A864="[FÓRMULA MANUAL]","",IFERROR(AVERAGEIFS(nNOTA,nNIA,A864,nCUENTA,1,nASIG,"Orquesta/Banda/Conjunto"),"")))</f>
        <v/>
      </c>
      <c r="D864" t="str">
        <f>IF(A864="","",IF(A864="[FÓRMULA MANUAL]","",IFERROR(AVERAGEIFS(nNOTA,nNIA,A864,nCUENTA,1,nASIG,"Conjunto"),"")))</f>
        <v/>
      </c>
      <c r="E864" t="str">
        <f>IF(A864="","",IF(A864="[FÓRMULA MANUAL]","",IFERROR(SUMPRODUCT((nNIA=A864)*(nCUENTA=1)*(COUNTIF(CONFIG_ASIGNATURAS!$B$7:$B$27,nASIG)&gt;0)*(nNOTA))/SUMPRODUCT((nNIA=A864)*(nCUENTA=1)*(COUNTIF(CONFIG_ASIGNATURAS!$B$7:$B$27,nASIG)&gt;0)*1),"")))</f>
        <v/>
      </c>
      <c r="H864" t="str">
        <f>IF(G864="","",IF(G864="[FÓRMULA MANUAL]","",IFERROR(AVERAGEIFS(nNOTA,nNIA,G864,nCUENTA,1,nASIG,"Lenguaje Musical"),"")))</f>
        <v/>
      </c>
      <c r="I864" t="str">
        <f>IF(G864="","",IF(G864="[FÓRMULA MANUAL]","",IFERROR(AVERAGEIFS(nNOTA,nNIA,G864,nCUENTA,1,nASIG,"Orquesta/Banda/Conjunto"),"")))</f>
        <v/>
      </c>
      <c r="J864" t="str">
        <f>IF(G864="","",IF(G864="[FÓRMULA MANUAL]","",IFERROR(AVERAGEIFS(nNOTA,nNIA,G864,nCUENTA,1,nASIG,"Conjunto"),"")))</f>
        <v/>
      </c>
      <c r="K864" t="str">
        <f>IF(G864="","",IF(G864="[FÓRMULA MANUAL]","",IFERROR(SUMPRODUCT((nNIA=G864)*(nCUENTA=1)*(COUNTIF(CONFIG_ASIGNATURAS!$B$7:$B$27,nASIG)&gt;0)*(nNOTA))/SUMPRODUCT((nNIA=G864)*(nCUENTA=1)*(COUNTIF(CONFIG_ASIGNATURAS!$B$7:$B$27,nASIG)&gt;0)*1),"")))</f>
        <v/>
      </c>
      <c r="N864" t="str">
        <f>IF(M864="","",IF(M864="[FÓRMULA MANUAL]","",IFERROR(AVERAGEIFS(nNOTA,nNIA,M864,nCUENTA,1,nASIG,"Armonía"),"")))</f>
        <v/>
      </c>
      <c r="O864" t="str">
        <f>IF(M864="","",IF(M864="[FÓRMULA MANUAL]","",IFERROR(AVERAGEIFS(nNOTA,nNIA,M864,nCUENTA,1,nASIG,"Orquesta/Banda/Conjunto"),"")))</f>
        <v/>
      </c>
      <c r="P864" t="str">
        <f>IF(M864="","",IF(M864="[FÓRMULA MANUAL]","",IFERROR(AVERAGEIFS(nNOTA,nNIA,M864,nCUENTA,1,nASIG,"Música de Cámara"),"")))</f>
        <v/>
      </c>
      <c r="Q864" t="str">
        <f>IF(M864="","",IF(M864="[FÓRMULA MANUAL]","",IFERROR(SUMPRODUCT((nNIA=M864)*(nCUENTA=1)*(COUNTIF(CONFIG_ASIGNATURAS!$B$7:$B$27,nASIG)&gt;0)*(nNOTA))/SUMPRODUCT((nNIA=M864)*(nCUENTA=1)*(COUNTIF(CONFIG_ASIGNATURAS!$B$7:$B$27,nASIG)&gt;0)*1),"")))</f>
        <v/>
      </c>
      <c r="T864" t="str">
        <f>IF(S864="","",IF(S864="[FÓRMULA MANUAL]","",IFERROR(AVERAGEIFS(nNOTA,nNIA,S864,nCUENTA,1,nASIG,"Armonía"),"")))</f>
        <v/>
      </c>
      <c r="U864" t="str">
        <f>IF(S864="","",IF(S864="[FÓRMULA MANUAL]","",IFERROR(AVERAGEIFS(nNOTA,nNIA,S864,nCUENTA,1,nASIG,"Orquesta/Banda/Conjunto"),"")))</f>
        <v/>
      </c>
      <c r="V864" t="str">
        <f>IF(S864="","",IF(S864="[FÓRMULA MANUAL]","",IFERROR(AVERAGEIFS(nNOTA,nNIA,S864,nCUENTA,1,nASIG,"Música de Cámara"),"")))</f>
        <v/>
      </c>
      <c r="W864" t="str">
        <f>IF(S864="","",IF(S864="[FÓRMULA MANUAL]","",IFERROR(SUMPRODUCT((nNIA=S864)*(nCUENTA=1)*(COUNTIF(CONFIG_ASIGNATURAS!$B$7:$B$27,nASIG)&gt;0)*(nNOTA))/SUMPRODUCT((nNIA=S864)*(nCUENTA=1)*(COUNTIF(CONFIG_ASIGNATURAS!$B$7:$B$27,nASIG)&gt;0)*1),"")))</f>
        <v/>
      </c>
      <c r="Z864" t="str">
        <f>IF(Y864="","",IF(Y864="[FÓRMULA MANUAL]","",IFERROR(AVERAGEIFS(nNOTA,nNIA,Y864,nCUENTA,1,nASIG,"Análisis"),"")))</f>
        <v/>
      </c>
      <c r="AA864" t="str">
        <f>IF(Y864="","",IF(Y864="[FÓRMULA MANUAL]","",IFERROR(AVERAGEIFS(nNOTA,nNIA,Y864,nCUENTA,1,nASIG,"Orquesta/Banda/Conjunto"),"")))</f>
        <v/>
      </c>
      <c r="AB864" t="str">
        <f>IF(Y864="","",IF(Y864="[FÓRMULA MANUAL]","",IFERROR(AVERAGEIFS(nNOTA,nNIA,Y864,nCUENTA,1,nASIG,"Música de Cámara"),"")))</f>
        <v/>
      </c>
      <c r="AC864" t="str">
        <f>IF(Y864="","",IF(Y864="[FÓRMULA MANUAL]","",IFERROR(SUMPRODUCT((nNIA=Y864)*(nCUENTA=1)*(COUNTIF(CONFIG_ASIGNATURAS!$B$7:$B$27,nASIG)&gt;0)*(nNOTA))/SUMPRODUCT((nNIA=Y864)*(nCUENTA=1)*(COUNTIF(CONFIG_ASIGNATURAS!$B$7:$B$27,nASIG)&gt;0)*1),"")))</f>
        <v/>
      </c>
      <c r="AF864" t="str">
        <f>IF(AE864="","",IF(AE864="[FÓRMULA MANUAL]","",IFERROR(AVERAGEIFS(nNOTA,nNIA,AE864,nCUENTA,1,nASIG,"Análisis"),"")))</f>
        <v/>
      </c>
      <c r="AG864" t="str">
        <f>IF(AE864="","",IF(AE864="[FÓRMULA MANUAL]","",IFERROR(AVERAGEIFS(nNOTA,nNIA,AE864,nCUENTA,1,nASIG,"Orquesta/Banda/Conjunto"),"")))</f>
        <v/>
      </c>
      <c r="AH864" t="str">
        <f>IF(AE864="","",IF(AE864="[FÓRMULA MANUAL]","",IFERROR(AVERAGEIFS(nNOTA,nNIA,AE864,nCUENTA,1,nASIG,"Música de Cámara"),"")))</f>
        <v/>
      </c>
      <c r="AI864" t="str">
        <f>IF(AE864="","",IF(AE864="[FÓRMULA MANUAL]","",IFERROR(SUMPRODUCT((nNIA=AE864)*(nCUENTA=1)*(COUNTIF(CONFIG_ASIGNATURAS!$B$7:$B$27,nASIG)&gt;0)*(nNOTA))/SUMPRODUCT((nNIA=AE864)*(nCUENTA=1)*(COUNTIF(CONFIG_ASIGNATURAS!$B$7:$B$27,nASIG)&gt;0)*1),"")))</f>
        <v/>
      </c>
    </row>
    <row r="865" spans="2:35" x14ac:dyDescent="0.2">
      <c r="B865" t="str">
        <f>IF(A865="","",IF(A865="[FÓRMULA MANUAL]","",IFERROR(AVERAGEIFS(nNOTA,nNIA,A865,nCUENTA,1,nASIG,"Lenguaje Musical"),"")))</f>
        <v/>
      </c>
      <c r="C865" t="str">
        <f>IF(A865="","",IF(A865="[FÓRMULA MANUAL]","",IFERROR(AVERAGEIFS(nNOTA,nNIA,A865,nCUENTA,1,nASIG,"Orquesta/Banda/Conjunto"),"")))</f>
        <v/>
      </c>
      <c r="D865" t="str">
        <f>IF(A865="","",IF(A865="[FÓRMULA MANUAL]","",IFERROR(AVERAGEIFS(nNOTA,nNIA,A865,nCUENTA,1,nASIG,"Conjunto"),"")))</f>
        <v/>
      </c>
      <c r="E865" t="str">
        <f>IF(A865="","",IF(A865="[FÓRMULA MANUAL]","",IFERROR(SUMPRODUCT((nNIA=A865)*(nCUENTA=1)*(COUNTIF(CONFIG_ASIGNATURAS!$B$7:$B$27,nASIG)&gt;0)*(nNOTA))/SUMPRODUCT((nNIA=A865)*(nCUENTA=1)*(COUNTIF(CONFIG_ASIGNATURAS!$B$7:$B$27,nASIG)&gt;0)*1),"")))</f>
        <v/>
      </c>
      <c r="H865" t="str">
        <f>IF(G865="","",IF(G865="[FÓRMULA MANUAL]","",IFERROR(AVERAGEIFS(nNOTA,nNIA,G865,nCUENTA,1,nASIG,"Lenguaje Musical"),"")))</f>
        <v/>
      </c>
      <c r="I865" t="str">
        <f>IF(G865="","",IF(G865="[FÓRMULA MANUAL]","",IFERROR(AVERAGEIFS(nNOTA,nNIA,G865,nCUENTA,1,nASIG,"Orquesta/Banda/Conjunto"),"")))</f>
        <v/>
      </c>
      <c r="J865" t="str">
        <f>IF(G865="","",IF(G865="[FÓRMULA MANUAL]","",IFERROR(AVERAGEIFS(nNOTA,nNIA,G865,nCUENTA,1,nASIG,"Conjunto"),"")))</f>
        <v/>
      </c>
      <c r="K865" t="str">
        <f>IF(G865="","",IF(G865="[FÓRMULA MANUAL]","",IFERROR(SUMPRODUCT((nNIA=G865)*(nCUENTA=1)*(COUNTIF(CONFIG_ASIGNATURAS!$B$7:$B$27,nASIG)&gt;0)*(nNOTA))/SUMPRODUCT((nNIA=G865)*(nCUENTA=1)*(COUNTIF(CONFIG_ASIGNATURAS!$B$7:$B$27,nASIG)&gt;0)*1),"")))</f>
        <v/>
      </c>
      <c r="N865" t="str">
        <f>IF(M865="","",IF(M865="[FÓRMULA MANUAL]","",IFERROR(AVERAGEIFS(nNOTA,nNIA,M865,nCUENTA,1,nASIG,"Armonía"),"")))</f>
        <v/>
      </c>
      <c r="O865" t="str">
        <f>IF(M865="","",IF(M865="[FÓRMULA MANUAL]","",IFERROR(AVERAGEIFS(nNOTA,nNIA,M865,nCUENTA,1,nASIG,"Orquesta/Banda/Conjunto"),"")))</f>
        <v/>
      </c>
      <c r="P865" t="str">
        <f>IF(M865="","",IF(M865="[FÓRMULA MANUAL]","",IFERROR(AVERAGEIFS(nNOTA,nNIA,M865,nCUENTA,1,nASIG,"Música de Cámara"),"")))</f>
        <v/>
      </c>
      <c r="Q865" t="str">
        <f>IF(M865="","",IF(M865="[FÓRMULA MANUAL]","",IFERROR(SUMPRODUCT((nNIA=M865)*(nCUENTA=1)*(COUNTIF(CONFIG_ASIGNATURAS!$B$7:$B$27,nASIG)&gt;0)*(nNOTA))/SUMPRODUCT((nNIA=M865)*(nCUENTA=1)*(COUNTIF(CONFIG_ASIGNATURAS!$B$7:$B$27,nASIG)&gt;0)*1),"")))</f>
        <v/>
      </c>
      <c r="T865" t="str">
        <f>IF(S865="","",IF(S865="[FÓRMULA MANUAL]","",IFERROR(AVERAGEIFS(nNOTA,nNIA,S865,nCUENTA,1,nASIG,"Armonía"),"")))</f>
        <v/>
      </c>
      <c r="U865" t="str">
        <f>IF(S865="","",IF(S865="[FÓRMULA MANUAL]","",IFERROR(AVERAGEIFS(nNOTA,nNIA,S865,nCUENTA,1,nASIG,"Orquesta/Banda/Conjunto"),"")))</f>
        <v/>
      </c>
      <c r="V865" t="str">
        <f>IF(S865="","",IF(S865="[FÓRMULA MANUAL]","",IFERROR(AVERAGEIFS(nNOTA,nNIA,S865,nCUENTA,1,nASIG,"Música de Cámara"),"")))</f>
        <v/>
      </c>
      <c r="W865" t="str">
        <f>IF(S865="","",IF(S865="[FÓRMULA MANUAL]","",IFERROR(SUMPRODUCT((nNIA=S865)*(nCUENTA=1)*(COUNTIF(CONFIG_ASIGNATURAS!$B$7:$B$27,nASIG)&gt;0)*(nNOTA))/SUMPRODUCT((nNIA=S865)*(nCUENTA=1)*(COUNTIF(CONFIG_ASIGNATURAS!$B$7:$B$27,nASIG)&gt;0)*1),"")))</f>
        <v/>
      </c>
      <c r="Z865" t="str">
        <f>IF(Y865="","",IF(Y865="[FÓRMULA MANUAL]","",IFERROR(AVERAGEIFS(nNOTA,nNIA,Y865,nCUENTA,1,nASIG,"Análisis"),"")))</f>
        <v/>
      </c>
      <c r="AA865" t="str">
        <f>IF(Y865="","",IF(Y865="[FÓRMULA MANUAL]","",IFERROR(AVERAGEIFS(nNOTA,nNIA,Y865,nCUENTA,1,nASIG,"Orquesta/Banda/Conjunto"),"")))</f>
        <v/>
      </c>
      <c r="AB865" t="str">
        <f>IF(Y865="","",IF(Y865="[FÓRMULA MANUAL]","",IFERROR(AVERAGEIFS(nNOTA,nNIA,Y865,nCUENTA,1,nASIG,"Música de Cámara"),"")))</f>
        <v/>
      </c>
      <c r="AC865" t="str">
        <f>IF(Y865="","",IF(Y865="[FÓRMULA MANUAL]","",IFERROR(SUMPRODUCT((nNIA=Y865)*(nCUENTA=1)*(COUNTIF(CONFIG_ASIGNATURAS!$B$7:$B$27,nASIG)&gt;0)*(nNOTA))/SUMPRODUCT((nNIA=Y865)*(nCUENTA=1)*(COUNTIF(CONFIG_ASIGNATURAS!$B$7:$B$27,nASIG)&gt;0)*1),"")))</f>
        <v/>
      </c>
      <c r="AF865" t="str">
        <f>IF(AE865="","",IF(AE865="[FÓRMULA MANUAL]","",IFERROR(AVERAGEIFS(nNOTA,nNIA,AE865,nCUENTA,1,nASIG,"Análisis"),"")))</f>
        <v/>
      </c>
      <c r="AG865" t="str">
        <f>IF(AE865="","",IF(AE865="[FÓRMULA MANUAL]","",IFERROR(AVERAGEIFS(nNOTA,nNIA,AE865,nCUENTA,1,nASIG,"Orquesta/Banda/Conjunto"),"")))</f>
        <v/>
      </c>
      <c r="AH865" t="str">
        <f>IF(AE865="","",IF(AE865="[FÓRMULA MANUAL]","",IFERROR(AVERAGEIFS(nNOTA,nNIA,AE865,nCUENTA,1,nASIG,"Música de Cámara"),"")))</f>
        <v/>
      </c>
      <c r="AI865" t="str">
        <f>IF(AE865="","",IF(AE865="[FÓRMULA MANUAL]","",IFERROR(SUMPRODUCT((nNIA=AE865)*(nCUENTA=1)*(COUNTIF(CONFIG_ASIGNATURAS!$B$7:$B$27,nASIG)&gt;0)*(nNOTA))/SUMPRODUCT((nNIA=AE865)*(nCUENTA=1)*(COUNTIF(CONFIG_ASIGNATURAS!$B$7:$B$27,nASIG)&gt;0)*1),"")))</f>
        <v/>
      </c>
    </row>
    <row r="866" spans="2:35" x14ac:dyDescent="0.2">
      <c r="B866" t="str">
        <f>IF(A866="","",IF(A866="[FÓRMULA MANUAL]","",IFERROR(AVERAGEIFS(nNOTA,nNIA,A866,nCUENTA,1,nASIG,"Lenguaje Musical"),"")))</f>
        <v/>
      </c>
      <c r="C866" t="str">
        <f>IF(A866="","",IF(A866="[FÓRMULA MANUAL]","",IFERROR(AVERAGEIFS(nNOTA,nNIA,A866,nCUENTA,1,nASIG,"Orquesta/Banda/Conjunto"),"")))</f>
        <v/>
      </c>
      <c r="D866" t="str">
        <f>IF(A866="","",IF(A866="[FÓRMULA MANUAL]","",IFERROR(AVERAGEIFS(nNOTA,nNIA,A866,nCUENTA,1,nASIG,"Conjunto"),"")))</f>
        <v/>
      </c>
      <c r="E866" t="str">
        <f>IF(A866="","",IF(A866="[FÓRMULA MANUAL]","",IFERROR(SUMPRODUCT((nNIA=A866)*(nCUENTA=1)*(COUNTIF(CONFIG_ASIGNATURAS!$B$7:$B$27,nASIG)&gt;0)*(nNOTA))/SUMPRODUCT((nNIA=A866)*(nCUENTA=1)*(COUNTIF(CONFIG_ASIGNATURAS!$B$7:$B$27,nASIG)&gt;0)*1),"")))</f>
        <v/>
      </c>
      <c r="H866" t="str">
        <f>IF(G866="","",IF(G866="[FÓRMULA MANUAL]","",IFERROR(AVERAGEIFS(nNOTA,nNIA,G866,nCUENTA,1,nASIG,"Lenguaje Musical"),"")))</f>
        <v/>
      </c>
      <c r="I866" t="str">
        <f>IF(G866="","",IF(G866="[FÓRMULA MANUAL]","",IFERROR(AVERAGEIFS(nNOTA,nNIA,G866,nCUENTA,1,nASIG,"Orquesta/Banda/Conjunto"),"")))</f>
        <v/>
      </c>
      <c r="J866" t="str">
        <f>IF(G866="","",IF(G866="[FÓRMULA MANUAL]","",IFERROR(AVERAGEIFS(nNOTA,nNIA,G866,nCUENTA,1,nASIG,"Conjunto"),"")))</f>
        <v/>
      </c>
      <c r="K866" t="str">
        <f>IF(G866="","",IF(G866="[FÓRMULA MANUAL]","",IFERROR(SUMPRODUCT((nNIA=G866)*(nCUENTA=1)*(COUNTIF(CONFIG_ASIGNATURAS!$B$7:$B$27,nASIG)&gt;0)*(nNOTA))/SUMPRODUCT((nNIA=G866)*(nCUENTA=1)*(COUNTIF(CONFIG_ASIGNATURAS!$B$7:$B$27,nASIG)&gt;0)*1),"")))</f>
        <v/>
      </c>
      <c r="N866" t="str">
        <f>IF(M866="","",IF(M866="[FÓRMULA MANUAL]","",IFERROR(AVERAGEIFS(nNOTA,nNIA,M866,nCUENTA,1,nASIG,"Armonía"),"")))</f>
        <v/>
      </c>
      <c r="O866" t="str">
        <f>IF(M866="","",IF(M866="[FÓRMULA MANUAL]","",IFERROR(AVERAGEIFS(nNOTA,nNIA,M866,nCUENTA,1,nASIG,"Orquesta/Banda/Conjunto"),"")))</f>
        <v/>
      </c>
      <c r="P866" t="str">
        <f>IF(M866="","",IF(M866="[FÓRMULA MANUAL]","",IFERROR(AVERAGEIFS(nNOTA,nNIA,M866,nCUENTA,1,nASIG,"Música de Cámara"),"")))</f>
        <v/>
      </c>
      <c r="Q866" t="str">
        <f>IF(M866="","",IF(M866="[FÓRMULA MANUAL]","",IFERROR(SUMPRODUCT((nNIA=M866)*(nCUENTA=1)*(COUNTIF(CONFIG_ASIGNATURAS!$B$7:$B$27,nASIG)&gt;0)*(nNOTA))/SUMPRODUCT((nNIA=M866)*(nCUENTA=1)*(COUNTIF(CONFIG_ASIGNATURAS!$B$7:$B$27,nASIG)&gt;0)*1),"")))</f>
        <v/>
      </c>
      <c r="T866" t="str">
        <f>IF(S866="","",IF(S866="[FÓRMULA MANUAL]","",IFERROR(AVERAGEIFS(nNOTA,nNIA,S866,nCUENTA,1,nASIG,"Armonía"),"")))</f>
        <v/>
      </c>
      <c r="U866" t="str">
        <f>IF(S866="","",IF(S866="[FÓRMULA MANUAL]","",IFERROR(AVERAGEIFS(nNOTA,nNIA,S866,nCUENTA,1,nASIG,"Orquesta/Banda/Conjunto"),"")))</f>
        <v/>
      </c>
      <c r="V866" t="str">
        <f>IF(S866="","",IF(S866="[FÓRMULA MANUAL]","",IFERROR(AVERAGEIFS(nNOTA,nNIA,S866,nCUENTA,1,nASIG,"Música de Cámara"),"")))</f>
        <v/>
      </c>
      <c r="W866" t="str">
        <f>IF(S866="","",IF(S866="[FÓRMULA MANUAL]","",IFERROR(SUMPRODUCT((nNIA=S866)*(nCUENTA=1)*(COUNTIF(CONFIG_ASIGNATURAS!$B$7:$B$27,nASIG)&gt;0)*(nNOTA))/SUMPRODUCT((nNIA=S866)*(nCUENTA=1)*(COUNTIF(CONFIG_ASIGNATURAS!$B$7:$B$27,nASIG)&gt;0)*1),"")))</f>
        <v/>
      </c>
      <c r="Z866" t="str">
        <f>IF(Y866="","",IF(Y866="[FÓRMULA MANUAL]","",IFERROR(AVERAGEIFS(nNOTA,nNIA,Y866,nCUENTA,1,nASIG,"Análisis"),"")))</f>
        <v/>
      </c>
      <c r="AA866" t="str">
        <f>IF(Y866="","",IF(Y866="[FÓRMULA MANUAL]","",IFERROR(AVERAGEIFS(nNOTA,nNIA,Y866,nCUENTA,1,nASIG,"Orquesta/Banda/Conjunto"),"")))</f>
        <v/>
      </c>
      <c r="AB866" t="str">
        <f>IF(Y866="","",IF(Y866="[FÓRMULA MANUAL]","",IFERROR(AVERAGEIFS(nNOTA,nNIA,Y866,nCUENTA,1,nASIG,"Música de Cámara"),"")))</f>
        <v/>
      </c>
      <c r="AC866" t="str">
        <f>IF(Y866="","",IF(Y866="[FÓRMULA MANUAL]","",IFERROR(SUMPRODUCT((nNIA=Y866)*(nCUENTA=1)*(COUNTIF(CONFIG_ASIGNATURAS!$B$7:$B$27,nASIG)&gt;0)*(nNOTA))/SUMPRODUCT((nNIA=Y866)*(nCUENTA=1)*(COUNTIF(CONFIG_ASIGNATURAS!$B$7:$B$27,nASIG)&gt;0)*1),"")))</f>
        <v/>
      </c>
      <c r="AF866" t="str">
        <f>IF(AE866="","",IF(AE866="[FÓRMULA MANUAL]","",IFERROR(AVERAGEIFS(nNOTA,nNIA,AE866,nCUENTA,1,nASIG,"Análisis"),"")))</f>
        <v/>
      </c>
      <c r="AG866" t="str">
        <f>IF(AE866="","",IF(AE866="[FÓRMULA MANUAL]","",IFERROR(AVERAGEIFS(nNOTA,nNIA,AE866,nCUENTA,1,nASIG,"Orquesta/Banda/Conjunto"),"")))</f>
        <v/>
      </c>
      <c r="AH866" t="str">
        <f>IF(AE866="","",IF(AE866="[FÓRMULA MANUAL]","",IFERROR(AVERAGEIFS(nNOTA,nNIA,AE866,nCUENTA,1,nASIG,"Música de Cámara"),"")))</f>
        <v/>
      </c>
      <c r="AI866" t="str">
        <f>IF(AE866="","",IF(AE866="[FÓRMULA MANUAL]","",IFERROR(SUMPRODUCT((nNIA=AE866)*(nCUENTA=1)*(COUNTIF(CONFIG_ASIGNATURAS!$B$7:$B$27,nASIG)&gt;0)*(nNOTA))/SUMPRODUCT((nNIA=AE866)*(nCUENTA=1)*(COUNTIF(CONFIG_ASIGNATURAS!$B$7:$B$27,nASIG)&gt;0)*1),"")))</f>
        <v/>
      </c>
    </row>
    <row r="867" spans="2:35" x14ac:dyDescent="0.2">
      <c r="B867" t="str">
        <f>IF(A867="","",IF(A867="[FÓRMULA MANUAL]","",IFERROR(AVERAGEIFS(nNOTA,nNIA,A867,nCUENTA,1,nASIG,"Lenguaje Musical"),"")))</f>
        <v/>
      </c>
      <c r="C867" t="str">
        <f>IF(A867="","",IF(A867="[FÓRMULA MANUAL]","",IFERROR(AVERAGEIFS(nNOTA,nNIA,A867,nCUENTA,1,nASIG,"Orquesta/Banda/Conjunto"),"")))</f>
        <v/>
      </c>
      <c r="D867" t="str">
        <f>IF(A867="","",IF(A867="[FÓRMULA MANUAL]","",IFERROR(AVERAGEIFS(nNOTA,nNIA,A867,nCUENTA,1,nASIG,"Conjunto"),"")))</f>
        <v/>
      </c>
      <c r="E867" t="str">
        <f>IF(A867="","",IF(A867="[FÓRMULA MANUAL]","",IFERROR(SUMPRODUCT((nNIA=A867)*(nCUENTA=1)*(COUNTIF(CONFIG_ASIGNATURAS!$B$7:$B$27,nASIG)&gt;0)*(nNOTA))/SUMPRODUCT((nNIA=A867)*(nCUENTA=1)*(COUNTIF(CONFIG_ASIGNATURAS!$B$7:$B$27,nASIG)&gt;0)*1),"")))</f>
        <v/>
      </c>
      <c r="H867" t="str">
        <f>IF(G867="","",IF(G867="[FÓRMULA MANUAL]","",IFERROR(AVERAGEIFS(nNOTA,nNIA,G867,nCUENTA,1,nASIG,"Lenguaje Musical"),"")))</f>
        <v/>
      </c>
      <c r="I867" t="str">
        <f>IF(G867="","",IF(G867="[FÓRMULA MANUAL]","",IFERROR(AVERAGEIFS(nNOTA,nNIA,G867,nCUENTA,1,nASIG,"Orquesta/Banda/Conjunto"),"")))</f>
        <v/>
      </c>
      <c r="J867" t="str">
        <f>IF(G867="","",IF(G867="[FÓRMULA MANUAL]","",IFERROR(AVERAGEIFS(nNOTA,nNIA,G867,nCUENTA,1,nASIG,"Conjunto"),"")))</f>
        <v/>
      </c>
      <c r="K867" t="str">
        <f>IF(G867="","",IF(G867="[FÓRMULA MANUAL]","",IFERROR(SUMPRODUCT((nNIA=G867)*(nCUENTA=1)*(COUNTIF(CONFIG_ASIGNATURAS!$B$7:$B$27,nASIG)&gt;0)*(nNOTA))/SUMPRODUCT((nNIA=G867)*(nCUENTA=1)*(COUNTIF(CONFIG_ASIGNATURAS!$B$7:$B$27,nASIG)&gt;0)*1),"")))</f>
        <v/>
      </c>
      <c r="N867" t="str">
        <f>IF(M867="","",IF(M867="[FÓRMULA MANUAL]","",IFERROR(AVERAGEIFS(nNOTA,nNIA,M867,nCUENTA,1,nASIG,"Armonía"),"")))</f>
        <v/>
      </c>
      <c r="O867" t="str">
        <f>IF(M867="","",IF(M867="[FÓRMULA MANUAL]","",IFERROR(AVERAGEIFS(nNOTA,nNIA,M867,nCUENTA,1,nASIG,"Orquesta/Banda/Conjunto"),"")))</f>
        <v/>
      </c>
      <c r="P867" t="str">
        <f>IF(M867="","",IF(M867="[FÓRMULA MANUAL]","",IFERROR(AVERAGEIFS(nNOTA,nNIA,M867,nCUENTA,1,nASIG,"Música de Cámara"),"")))</f>
        <v/>
      </c>
      <c r="Q867" t="str">
        <f>IF(M867="","",IF(M867="[FÓRMULA MANUAL]","",IFERROR(SUMPRODUCT((nNIA=M867)*(nCUENTA=1)*(COUNTIF(CONFIG_ASIGNATURAS!$B$7:$B$27,nASIG)&gt;0)*(nNOTA))/SUMPRODUCT((nNIA=M867)*(nCUENTA=1)*(COUNTIF(CONFIG_ASIGNATURAS!$B$7:$B$27,nASIG)&gt;0)*1),"")))</f>
        <v/>
      </c>
      <c r="T867" t="str">
        <f>IF(S867="","",IF(S867="[FÓRMULA MANUAL]","",IFERROR(AVERAGEIFS(nNOTA,nNIA,S867,nCUENTA,1,nASIG,"Armonía"),"")))</f>
        <v/>
      </c>
      <c r="U867" t="str">
        <f>IF(S867="","",IF(S867="[FÓRMULA MANUAL]","",IFERROR(AVERAGEIFS(nNOTA,nNIA,S867,nCUENTA,1,nASIG,"Orquesta/Banda/Conjunto"),"")))</f>
        <v/>
      </c>
      <c r="V867" t="str">
        <f>IF(S867="","",IF(S867="[FÓRMULA MANUAL]","",IFERROR(AVERAGEIFS(nNOTA,nNIA,S867,nCUENTA,1,nASIG,"Música de Cámara"),"")))</f>
        <v/>
      </c>
      <c r="W867" t="str">
        <f>IF(S867="","",IF(S867="[FÓRMULA MANUAL]","",IFERROR(SUMPRODUCT((nNIA=S867)*(nCUENTA=1)*(COUNTIF(CONFIG_ASIGNATURAS!$B$7:$B$27,nASIG)&gt;0)*(nNOTA))/SUMPRODUCT((nNIA=S867)*(nCUENTA=1)*(COUNTIF(CONFIG_ASIGNATURAS!$B$7:$B$27,nASIG)&gt;0)*1),"")))</f>
        <v/>
      </c>
      <c r="Z867" t="str">
        <f>IF(Y867="","",IF(Y867="[FÓRMULA MANUAL]","",IFERROR(AVERAGEIFS(nNOTA,nNIA,Y867,nCUENTA,1,nASIG,"Análisis"),"")))</f>
        <v/>
      </c>
      <c r="AA867" t="str">
        <f>IF(Y867="","",IF(Y867="[FÓRMULA MANUAL]","",IFERROR(AVERAGEIFS(nNOTA,nNIA,Y867,nCUENTA,1,nASIG,"Orquesta/Banda/Conjunto"),"")))</f>
        <v/>
      </c>
      <c r="AB867" t="str">
        <f>IF(Y867="","",IF(Y867="[FÓRMULA MANUAL]","",IFERROR(AVERAGEIFS(nNOTA,nNIA,Y867,nCUENTA,1,nASIG,"Música de Cámara"),"")))</f>
        <v/>
      </c>
      <c r="AC867" t="str">
        <f>IF(Y867="","",IF(Y867="[FÓRMULA MANUAL]","",IFERROR(SUMPRODUCT((nNIA=Y867)*(nCUENTA=1)*(COUNTIF(CONFIG_ASIGNATURAS!$B$7:$B$27,nASIG)&gt;0)*(nNOTA))/SUMPRODUCT((nNIA=Y867)*(nCUENTA=1)*(COUNTIF(CONFIG_ASIGNATURAS!$B$7:$B$27,nASIG)&gt;0)*1),"")))</f>
        <v/>
      </c>
      <c r="AF867" t="str">
        <f>IF(AE867="","",IF(AE867="[FÓRMULA MANUAL]","",IFERROR(AVERAGEIFS(nNOTA,nNIA,AE867,nCUENTA,1,nASIG,"Análisis"),"")))</f>
        <v/>
      </c>
      <c r="AG867" t="str">
        <f>IF(AE867="","",IF(AE867="[FÓRMULA MANUAL]","",IFERROR(AVERAGEIFS(nNOTA,nNIA,AE867,nCUENTA,1,nASIG,"Orquesta/Banda/Conjunto"),"")))</f>
        <v/>
      </c>
      <c r="AH867" t="str">
        <f>IF(AE867="","",IF(AE867="[FÓRMULA MANUAL]","",IFERROR(AVERAGEIFS(nNOTA,nNIA,AE867,nCUENTA,1,nASIG,"Música de Cámara"),"")))</f>
        <v/>
      </c>
      <c r="AI867" t="str">
        <f>IF(AE867="","",IF(AE867="[FÓRMULA MANUAL]","",IFERROR(SUMPRODUCT((nNIA=AE867)*(nCUENTA=1)*(COUNTIF(CONFIG_ASIGNATURAS!$B$7:$B$27,nASIG)&gt;0)*(nNOTA))/SUMPRODUCT((nNIA=AE867)*(nCUENTA=1)*(COUNTIF(CONFIG_ASIGNATURAS!$B$7:$B$27,nASIG)&gt;0)*1),"")))</f>
        <v/>
      </c>
    </row>
    <row r="868" spans="2:35" x14ac:dyDescent="0.2">
      <c r="B868" t="str">
        <f>IF(A868="","",IF(A868="[FÓRMULA MANUAL]","",IFERROR(AVERAGEIFS(nNOTA,nNIA,A868,nCUENTA,1,nASIG,"Lenguaje Musical"),"")))</f>
        <v/>
      </c>
      <c r="C868" t="str">
        <f>IF(A868="","",IF(A868="[FÓRMULA MANUAL]","",IFERROR(AVERAGEIFS(nNOTA,nNIA,A868,nCUENTA,1,nASIG,"Orquesta/Banda/Conjunto"),"")))</f>
        <v/>
      </c>
      <c r="D868" t="str">
        <f>IF(A868="","",IF(A868="[FÓRMULA MANUAL]","",IFERROR(AVERAGEIFS(nNOTA,nNIA,A868,nCUENTA,1,nASIG,"Conjunto"),"")))</f>
        <v/>
      </c>
      <c r="E868" t="str">
        <f>IF(A868="","",IF(A868="[FÓRMULA MANUAL]","",IFERROR(SUMPRODUCT((nNIA=A868)*(nCUENTA=1)*(COUNTIF(CONFIG_ASIGNATURAS!$B$7:$B$27,nASIG)&gt;0)*(nNOTA))/SUMPRODUCT((nNIA=A868)*(nCUENTA=1)*(COUNTIF(CONFIG_ASIGNATURAS!$B$7:$B$27,nASIG)&gt;0)*1),"")))</f>
        <v/>
      </c>
      <c r="H868" t="str">
        <f>IF(G868="","",IF(G868="[FÓRMULA MANUAL]","",IFERROR(AVERAGEIFS(nNOTA,nNIA,G868,nCUENTA,1,nASIG,"Lenguaje Musical"),"")))</f>
        <v/>
      </c>
      <c r="I868" t="str">
        <f>IF(G868="","",IF(G868="[FÓRMULA MANUAL]","",IFERROR(AVERAGEIFS(nNOTA,nNIA,G868,nCUENTA,1,nASIG,"Orquesta/Banda/Conjunto"),"")))</f>
        <v/>
      </c>
      <c r="J868" t="str">
        <f>IF(G868="","",IF(G868="[FÓRMULA MANUAL]","",IFERROR(AVERAGEIFS(nNOTA,nNIA,G868,nCUENTA,1,nASIG,"Conjunto"),"")))</f>
        <v/>
      </c>
      <c r="K868" t="str">
        <f>IF(G868="","",IF(G868="[FÓRMULA MANUAL]","",IFERROR(SUMPRODUCT((nNIA=G868)*(nCUENTA=1)*(COUNTIF(CONFIG_ASIGNATURAS!$B$7:$B$27,nASIG)&gt;0)*(nNOTA))/SUMPRODUCT((nNIA=G868)*(nCUENTA=1)*(COUNTIF(CONFIG_ASIGNATURAS!$B$7:$B$27,nASIG)&gt;0)*1),"")))</f>
        <v/>
      </c>
      <c r="N868" t="str">
        <f>IF(M868="","",IF(M868="[FÓRMULA MANUAL]","",IFERROR(AVERAGEIFS(nNOTA,nNIA,M868,nCUENTA,1,nASIG,"Armonía"),"")))</f>
        <v/>
      </c>
      <c r="O868" t="str">
        <f>IF(M868="","",IF(M868="[FÓRMULA MANUAL]","",IFERROR(AVERAGEIFS(nNOTA,nNIA,M868,nCUENTA,1,nASIG,"Orquesta/Banda/Conjunto"),"")))</f>
        <v/>
      </c>
      <c r="P868" t="str">
        <f>IF(M868="","",IF(M868="[FÓRMULA MANUAL]","",IFERROR(AVERAGEIFS(nNOTA,nNIA,M868,nCUENTA,1,nASIG,"Música de Cámara"),"")))</f>
        <v/>
      </c>
      <c r="Q868" t="str">
        <f>IF(M868="","",IF(M868="[FÓRMULA MANUAL]","",IFERROR(SUMPRODUCT((nNIA=M868)*(nCUENTA=1)*(COUNTIF(CONFIG_ASIGNATURAS!$B$7:$B$27,nASIG)&gt;0)*(nNOTA))/SUMPRODUCT((nNIA=M868)*(nCUENTA=1)*(COUNTIF(CONFIG_ASIGNATURAS!$B$7:$B$27,nASIG)&gt;0)*1),"")))</f>
        <v/>
      </c>
      <c r="T868" t="str">
        <f>IF(S868="","",IF(S868="[FÓRMULA MANUAL]","",IFERROR(AVERAGEIFS(nNOTA,nNIA,S868,nCUENTA,1,nASIG,"Armonía"),"")))</f>
        <v/>
      </c>
      <c r="U868" t="str">
        <f>IF(S868="","",IF(S868="[FÓRMULA MANUAL]","",IFERROR(AVERAGEIFS(nNOTA,nNIA,S868,nCUENTA,1,nASIG,"Orquesta/Banda/Conjunto"),"")))</f>
        <v/>
      </c>
      <c r="V868" t="str">
        <f>IF(S868="","",IF(S868="[FÓRMULA MANUAL]","",IFERROR(AVERAGEIFS(nNOTA,nNIA,S868,nCUENTA,1,nASIG,"Música de Cámara"),"")))</f>
        <v/>
      </c>
      <c r="W868" t="str">
        <f>IF(S868="","",IF(S868="[FÓRMULA MANUAL]","",IFERROR(SUMPRODUCT((nNIA=S868)*(nCUENTA=1)*(COUNTIF(CONFIG_ASIGNATURAS!$B$7:$B$27,nASIG)&gt;0)*(nNOTA))/SUMPRODUCT((nNIA=S868)*(nCUENTA=1)*(COUNTIF(CONFIG_ASIGNATURAS!$B$7:$B$27,nASIG)&gt;0)*1),"")))</f>
        <v/>
      </c>
      <c r="Z868" t="str">
        <f>IF(Y868="","",IF(Y868="[FÓRMULA MANUAL]","",IFERROR(AVERAGEIFS(nNOTA,nNIA,Y868,nCUENTA,1,nASIG,"Análisis"),"")))</f>
        <v/>
      </c>
      <c r="AA868" t="str">
        <f>IF(Y868="","",IF(Y868="[FÓRMULA MANUAL]","",IFERROR(AVERAGEIFS(nNOTA,nNIA,Y868,nCUENTA,1,nASIG,"Orquesta/Banda/Conjunto"),"")))</f>
        <v/>
      </c>
      <c r="AB868" t="str">
        <f>IF(Y868="","",IF(Y868="[FÓRMULA MANUAL]","",IFERROR(AVERAGEIFS(nNOTA,nNIA,Y868,nCUENTA,1,nASIG,"Música de Cámara"),"")))</f>
        <v/>
      </c>
      <c r="AC868" t="str">
        <f>IF(Y868="","",IF(Y868="[FÓRMULA MANUAL]","",IFERROR(SUMPRODUCT((nNIA=Y868)*(nCUENTA=1)*(COUNTIF(CONFIG_ASIGNATURAS!$B$7:$B$27,nASIG)&gt;0)*(nNOTA))/SUMPRODUCT((nNIA=Y868)*(nCUENTA=1)*(COUNTIF(CONFIG_ASIGNATURAS!$B$7:$B$27,nASIG)&gt;0)*1),"")))</f>
        <v/>
      </c>
      <c r="AF868" t="str">
        <f>IF(AE868="","",IF(AE868="[FÓRMULA MANUAL]","",IFERROR(AVERAGEIFS(nNOTA,nNIA,AE868,nCUENTA,1,nASIG,"Análisis"),"")))</f>
        <v/>
      </c>
      <c r="AG868" t="str">
        <f>IF(AE868="","",IF(AE868="[FÓRMULA MANUAL]","",IFERROR(AVERAGEIFS(nNOTA,nNIA,AE868,nCUENTA,1,nASIG,"Orquesta/Banda/Conjunto"),"")))</f>
        <v/>
      </c>
      <c r="AH868" t="str">
        <f>IF(AE868="","",IF(AE868="[FÓRMULA MANUAL]","",IFERROR(AVERAGEIFS(nNOTA,nNIA,AE868,nCUENTA,1,nASIG,"Música de Cámara"),"")))</f>
        <v/>
      </c>
      <c r="AI868" t="str">
        <f>IF(AE868="","",IF(AE868="[FÓRMULA MANUAL]","",IFERROR(SUMPRODUCT((nNIA=AE868)*(nCUENTA=1)*(COUNTIF(CONFIG_ASIGNATURAS!$B$7:$B$27,nASIG)&gt;0)*(nNOTA))/SUMPRODUCT((nNIA=AE868)*(nCUENTA=1)*(COUNTIF(CONFIG_ASIGNATURAS!$B$7:$B$27,nASIG)&gt;0)*1),"")))</f>
        <v/>
      </c>
    </row>
    <row r="869" spans="2:35" x14ac:dyDescent="0.2">
      <c r="B869" t="str">
        <f>IF(A869="","",IF(A869="[FÓRMULA MANUAL]","",IFERROR(AVERAGEIFS(nNOTA,nNIA,A869,nCUENTA,1,nASIG,"Lenguaje Musical"),"")))</f>
        <v/>
      </c>
      <c r="C869" t="str">
        <f>IF(A869="","",IF(A869="[FÓRMULA MANUAL]","",IFERROR(AVERAGEIFS(nNOTA,nNIA,A869,nCUENTA,1,nASIG,"Orquesta/Banda/Conjunto"),"")))</f>
        <v/>
      </c>
      <c r="D869" t="str">
        <f>IF(A869="","",IF(A869="[FÓRMULA MANUAL]","",IFERROR(AVERAGEIFS(nNOTA,nNIA,A869,nCUENTA,1,nASIG,"Conjunto"),"")))</f>
        <v/>
      </c>
      <c r="E869" t="str">
        <f>IF(A869="","",IF(A869="[FÓRMULA MANUAL]","",IFERROR(SUMPRODUCT((nNIA=A869)*(nCUENTA=1)*(COUNTIF(CONFIG_ASIGNATURAS!$B$7:$B$27,nASIG)&gt;0)*(nNOTA))/SUMPRODUCT((nNIA=A869)*(nCUENTA=1)*(COUNTIF(CONFIG_ASIGNATURAS!$B$7:$B$27,nASIG)&gt;0)*1),"")))</f>
        <v/>
      </c>
      <c r="H869" t="str">
        <f>IF(G869="","",IF(G869="[FÓRMULA MANUAL]","",IFERROR(AVERAGEIFS(nNOTA,nNIA,G869,nCUENTA,1,nASIG,"Lenguaje Musical"),"")))</f>
        <v/>
      </c>
      <c r="I869" t="str">
        <f>IF(G869="","",IF(G869="[FÓRMULA MANUAL]","",IFERROR(AVERAGEIFS(nNOTA,nNIA,G869,nCUENTA,1,nASIG,"Orquesta/Banda/Conjunto"),"")))</f>
        <v/>
      </c>
      <c r="J869" t="str">
        <f>IF(G869="","",IF(G869="[FÓRMULA MANUAL]","",IFERROR(AVERAGEIFS(nNOTA,nNIA,G869,nCUENTA,1,nASIG,"Conjunto"),"")))</f>
        <v/>
      </c>
      <c r="K869" t="str">
        <f>IF(G869="","",IF(G869="[FÓRMULA MANUAL]","",IFERROR(SUMPRODUCT((nNIA=G869)*(nCUENTA=1)*(COUNTIF(CONFIG_ASIGNATURAS!$B$7:$B$27,nASIG)&gt;0)*(nNOTA))/SUMPRODUCT((nNIA=G869)*(nCUENTA=1)*(COUNTIF(CONFIG_ASIGNATURAS!$B$7:$B$27,nASIG)&gt;0)*1),"")))</f>
        <v/>
      </c>
      <c r="N869" t="str">
        <f>IF(M869="","",IF(M869="[FÓRMULA MANUAL]","",IFERROR(AVERAGEIFS(nNOTA,nNIA,M869,nCUENTA,1,nASIG,"Armonía"),"")))</f>
        <v/>
      </c>
      <c r="O869" t="str">
        <f>IF(M869="","",IF(M869="[FÓRMULA MANUAL]","",IFERROR(AVERAGEIFS(nNOTA,nNIA,M869,nCUENTA,1,nASIG,"Orquesta/Banda/Conjunto"),"")))</f>
        <v/>
      </c>
      <c r="P869" t="str">
        <f>IF(M869="","",IF(M869="[FÓRMULA MANUAL]","",IFERROR(AVERAGEIFS(nNOTA,nNIA,M869,nCUENTA,1,nASIG,"Música de Cámara"),"")))</f>
        <v/>
      </c>
      <c r="Q869" t="str">
        <f>IF(M869="","",IF(M869="[FÓRMULA MANUAL]","",IFERROR(SUMPRODUCT((nNIA=M869)*(nCUENTA=1)*(COUNTIF(CONFIG_ASIGNATURAS!$B$7:$B$27,nASIG)&gt;0)*(nNOTA))/SUMPRODUCT((nNIA=M869)*(nCUENTA=1)*(COUNTIF(CONFIG_ASIGNATURAS!$B$7:$B$27,nASIG)&gt;0)*1),"")))</f>
        <v/>
      </c>
      <c r="T869" t="str">
        <f>IF(S869="","",IF(S869="[FÓRMULA MANUAL]","",IFERROR(AVERAGEIFS(nNOTA,nNIA,S869,nCUENTA,1,nASIG,"Armonía"),"")))</f>
        <v/>
      </c>
      <c r="U869" t="str">
        <f>IF(S869="","",IF(S869="[FÓRMULA MANUAL]","",IFERROR(AVERAGEIFS(nNOTA,nNIA,S869,nCUENTA,1,nASIG,"Orquesta/Banda/Conjunto"),"")))</f>
        <v/>
      </c>
      <c r="V869" t="str">
        <f>IF(S869="","",IF(S869="[FÓRMULA MANUAL]","",IFERROR(AVERAGEIFS(nNOTA,nNIA,S869,nCUENTA,1,nASIG,"Música de Cámara"),"")))</f>
        <v/>
      </c>
      <c r="W869" t="str">
        <f>IF(S869="","",IF(S869="[FÓRMULA MANUAL]","",IFERROR(SUMPRODUCT((nNIA=S869)*(nCUENTA=1)*(COUNTIF(CONFIG_ASIGNATURAS!$B$7:$B$27,nASIG)&gt;0)*(nNOTA))/SUMPRODUCT((nNIA=S869)*(nCUENTA=1)*(COUNTIF(CONFIG_ASIGNATURAS!$B$7:$B$27,nASIG)&gt;0)*1),"")))</f>
        <v/>
      </c>
      <c r="Z869" t="str">
        <f>IF(Y869="","",IF(Y869="[FÓRMULA MANUAL]","",IFERROR(AVERAGEIFS(nNOTA,nNIA,Y869,nCUENTA,1,nASIG,"Análisis"),"")))</f>
        <v/>
      </c>
      <c r="AA869" t="str">
        <f>IF(Y869="","",IF(Y869="[FÓRMULA MANUAL]","",IFERROR(AVERAGEIFS(nNOTA,nNIA,Y869,nCUENTA,1,nASIG,"Orquesta/Banda/Conjunto"),"")))</f>
        <v/>
      </c>
      <c r="AB869" t="str">
        <f>IF(Y869="","",IF(Y869="[FÓRMULA MANUAL]","",IFERROR(AVERAGEIFS(nNOTA,nNIA,Y869,nCUENTA,1,nASIG,"Música de Cámara"),"")))</f>
        <v/>
      </c>
      <c r="AC869" t="str">
        <f>IF(Y869="","",IF(Y869="[FÓRMULA MANUAL]","",IFERROR(SUMPRODUCT((nNIA=Y869)*(nCUENTA=1)*(COUNTIF(CONFIG_ASIGNATURAS!$B$7:$B$27,nASIG)&gt;0)*(nNOTA))/SUMPRODUCT((nNIA=Y869)*(nCUENTA=1)*(COUNTIF(CONFIG_ASIGNATURAS!$B$7:$B$27,nASIG)&gt;0)*1),"")))</f>
        <v/>
      </c>
      <c r="AF869" t="str">
        <f>IF(AE869="","",IF(AE869="[FÓRMULA MANUAL]","",IFERROR(AVERAGEIFS(nNOTA,nNIA,AE869,nCUENTA,1,nASIG,"Análisis"),"")))</f>
        <v/>
      </c>
      <c r="AG869" t="str">
        <f>IF(AE869="","",IF(AE869="[FÓRMULA MANUAL]","",IFERROR(AVERAGEIFS(nNOTA,nNIA,AE869,nCUENTA,1,nASIG,"Orquesta/Banda/Conjunto"),"")))</f>
        <v/>
      </c>
      <c r="AH869" t="str">
        <f>IF(AE869="","",IF(AE869="[FÓRMULA MANUAL]","",IFERROR(AVERAGEIFS(nNOTA,nNIA,AE869,nCUENTA,1,nASIG,"Música de Cámara"),"")))</f>
        <v/>
      </c>
      <c r="AI869" t="str">
        <f>IF(AE869="","",IF(AE869="[FÓRMULA MANUAL]","",IFERROR(SUMPRODUCT((nNIA=AE869)*(nCUENTA=1)*(COUNTIF(CONFIG_ASIGNATURAS!$B$7:$B$27,nASIG)&gt;0)*(nNOTA))/SUMPRODUCT((nNIA=AE869)*(nCUENTA=1)*(COUNTIF(CONFIG_ASIGNATURAS!$B$7:$B$27,nASIG)&gt;0)*1),"")))</f>
        <v/>
      </c>
    </row>
    <row r="870" spans="2:35" x14ac:dyDescent="0.2">
      <c r="B870" t="str">
        <f>IF(A870="","",IF(A870="[FÓRMULA MANUAL]","",IFERROR(AVERAGEIFS(nNOTA,nNIA,A870,nCUENTA,1,nASIG,"Lenguaje Musical"),"")))</f>
        <v/>
      </c>
      <c r="C870" t="str">
        <f>IF(A870="","",IF(A870="[FÓRMULA MANUAL]","",IFERROR(AVERAGEIFS(nNOTA,nNIA,A870,nCUENTA,1,nASIG,"Orquesta/Banda/Conjunto"),"")))</f>
        <v/>
      </c>
      <c r="D870" t="str">
        <f>IF(A870="","",IF(A870="[FÓRMULA MANUAL]","",IFERROR(AVERAGEIFS(nNOTA,nNIA,A870,nCUENTA,1,nASIG,"Conjunto"),"")))</f>
        <v/>
      </c>
      <c r="E870" t="str">
        <f>IF(A870="","",IF(A870="[FÓRMULA MANUAL]","",IFERROR(SUMPRODUCT((nNIA=A870)*(nCUENTA=1)*(COUNTIF(CONFIG_ASIGNATURAS!$B$7:$B$27,nASIG)&gt;0)*(nNOTA))/SUMPRODUCT((nNIA=A870)*(nCUENTA=1)*(COUNTIF(CONFIG_ASIGNATURAS!$B$7:$B$27,nASIG)&gt;0)*1),"")))</f>
        <v/>
      </c>
      <c r="H870" t="str">
        <f>IF(G870="","",IF(G870="[FÓRMULA MANUAL]","",IFERROR(AVERAGEIFS(nNOTA,nNIA,G870,nCUENTA,1,nASIG,"Lenguaje Musical"),"")))</f>
        <v/>
      </c>
      <c r="I870" t="str">
        <f>IF(G870="","",IF(G870="[FÓRMULA MANUAL]","",IFERROR(AVERAGEIFS(nNOTA,nNIA,G870,nCUENTA,1,nASIG,"Orquesta/Banda/Conjunto"),"")))</f>
        <v/>
      </c>
      <c r="J870" t="str">
        <f>IF(G870="","",IF(G870="[FÓRMULA MANUAL]","",IFERROR(AVERAGEIFS(nNOTA,nNIA,G870,nCUENTA,1,nASIG,"Conjunto"),"")))</f>
        <v/>
      </c>
      <c r="K870" t="str">
        <f>IF(G870="","",IF(G870="[FÓRMULA MANUAL]","",IFERROR(SUMPRODUCT((nNIA=G870)*(nCUENTA=1)*(COUNTIF(CONFIG_ASIGNATURAS!$B$7:$B$27,nASIG)&gt;0)*(nNOTA))/SUMPRODUCT((nNIA=G870)*(nCUENTA=1)*(COUNTIF(CONFIG_ASIGNATURAS!$B$7:$B$27,nASIG)&gt;0)*1),"")))</f>
        <v/>
      </c>
      <c r="N870" t="str">
        <f>IF(M870="","",IF(M870="[FÓRMULA MANUAL]","",IFERROR(AVERAGEIFS(nNOTA,nNIA,M870,nCUENTA,1,nASIG,"Armonía"),"")))</f>
        <v/>
      </c>
      <c r="O870" t="str">
        <f>IF(M870="","",IF(M870="[FÓRMULA MANUAL]","",IFERROR(AVERAGEIFS(nNOTA,nNIA,M870,nCUENTA,1,nASIG,"Orquesta/Banda/Conjunto"),"")))</f>
        <v/>
      </c>
      <c r="P870" t="str">
        <f>IF(M870="","",IF(M870="[FÓRMULA MANUAL]","",IFERROR(AVERAGEIFS(nNOTA,nNIA,M870,nCUENTA,1,nASIG,"Música de Cámara"),"")))</f>
        <v/>
      </c>
      <c r="Q870" t="str">
        <f>IF(M870="","",IF(M870="[FÓRMULA MANUAL]","",IFERROR(SUMPRODUCT((nNIA=M870)*(nCUENTA=1)*(COUNTIF(CONFIG_ASIGNATURAS!$B$7:$B$27,nASIG)&gt;0)*(nNOTA))/SUMPRODUCT((nNIA=M870)*(nCUENTA=1)*(COUNTIF(CONFIG_ASIGNATURAS!$B$7:$B$27,nASIG)&gt;0)*1),"")))</f>
        <v/>
      </c>
      <c r="T870" t="str">
        <f>IF(S870="","",IF(S870="[FÓRMULA MANUAL]","",IFERROR(AVERAGEIFS(nNOTA,nNIA,S870,nCUENTA,1,nASIG,"Armonía"),"")))</f>
        <v/>
      </c>
      <c r="U870" t="str">
        <f>IF(S870="","",IF(S870="[FÓRMULA MANUAL]","",IFERROR(AVERAGEIFS(nNOTA,nNIA,S870,nCUENTA,1,nASIG,"Orquesta/Banda/Conjunto"),"")))</f>
        <v/>
      </c>
      <c r="V870" t="str">
        <f>IF(S870="","",IF(S870="[FÓRMULA MANUAL]","",IFERROR(AVERAGEIFS(nNOTA,nNIA,S870,nCUENTA,1,nASIG,"Música de Cámara"),"")))</f>
        <v/>
      </c>
      <c r="W870" t="str">
        <f>IF(S870="","",IF(S870="[FÓRMULA MANUAL]","",IFERROR(SUMPRODUCT((nNIA=S870)*(nCUENTA=1)*(COUNTIF(CONFIG_ASIGNATURAS!$B$7:$B$27,nASIG)&gt;0)*(nNOTA))/SUMPRODUCT((nNIA=S870)*(nCUENTA=1)*(COUNTIF(CONFIG_ASIGNATURAS!$B$7:$B$27,nASIG)&gt;0)*1),"")))</f>
        <v/>
      </c>
      <c r="Z870" t="str">
        <f>IF(Y870="","",IF(Y870="[FÓRMULA MANUAL]","",IFERROR(AVERAGEIFS(nNOTA,nNIA,Y870,nCUENTA,1,nASIG,"Análisis"),"")))</f>
        <v/>
      </c>
      <c r="AA870" t="str">
        <f>IF(Y870="","",IF(Y870="[FÓRMULA MANUAL]","",IFERROR(AVERAGEIFS(nNOTA,nNIA,Y870,nCUENTA,1,nASIG,"Orquesta/Banda/Conjunto"),"")))</f>
        <v/>
      </c>
      <c r="AB870" t="str">
        <f>IF(Y870="","",IF(Y870="[FÓRMULA MANUAL]","",IFERROR(AVERAGEIFS(nNOTA,nNIA,Y870,nCUENTA,1,nASIG,"Música de Cámara"),"")))</f>
        <v/>
      </c>
      <c r="AC870" t="str">
        <f>IF(Y870="","",IF(Y870="[FÓRMULA MANUAL]","",IFERROR(SUMPRODUCT((nNIA=Y870)*(nCUENTA=1)*(COUNTIF(CONFIG_ASIGNATURAS!$B$7:$B$27,nASIG)&gt;0)*(nNOTA))/SUMPRODUCT((nNIA=Y870)*(nCUENTA=1)*(COUNTIF(CONFIG_ASIGNATURAS!$B$7:$B$27,nASIG)&gt;0)*1),"")))</f>
        <v/>
      </c>
      <c r="AF870" t="str">
        <f>IF(AE870="","",IF(AE870="[FÓRMULA MANUAL]","",IFERROR(AVERAGEIFS(nNOTA,nNIA,AE870,nCUENTA,1,nASIG,"Análisis"),"")))</f>
        <v/>
      </c>
      <c r="AG870" t="str">
        <f>IF(AE870="","",IF(AE870="[FÓRMULA MANUAL]","",IFERROR(AVERAGEIFS(nNOTA,nNIA,AE870,nCUENTA,1,nASIG,"Orquesta/Banda/Conjunto"),"")))</f>
        <v/>
      </c>
      <c r="AH870" t="str">
        <f>IF(AE870="","",IF(AE870="[FÓRMULA MANUAL]","",IFERROR(AVERAGEIFS(nNOTA,nNIA,AE870,nCUENTA,1,nASIG,"Música de Cámara"),"")))</f>
        <v/>
      </c>
      <c r="AI870" t="str">
        <f>IF(AE870="","",IF(AE870="[FÓRMULA MANUAL]","",IFERROR(SUMPRODUCT((nNIA=AE870)*(nCUENTA=1)*(COUNTIF(CONFIG_ASIGNATURAS!$B$7:$B$27,nASIG)&gt;0)*(nNOTA))/SUMPRODUCT((nNIA=AE870)*(nCUENTA=1)*(COUNTIF(CONFIG_ASIGNATURAS!$B$7:$B$27,nASIG)&gt;0)*1),"")))</f>
        <v/>
      </c>
    </row>
    <row r="871" spans="2:35" x14ac:dyDescent="0.2">
      <c r="B871" t="str">
        <f>IF(A871="","",IF(A871="[FÓRMULA MANUAL]","",IFERROR(AVERAGEIFS(nNOTA,nNIA,A871,nCUENTA,1,nASIG,"Lenguaje Musical"),"")))</f>
        <v/>
      </c>
      <c r="C871" t="str">
        <f>IF(A871="","",IF(A871="[FÓRMULA MANUAL]","",IFERROR(AVERAGEIFS(nNOTA,nNIA,A871,nCUENTA,1,nASIG,"Orquesta/Banda/Conjunto"),"")))</f>
        <v/>
      </c>
      <c r="D871" t="str">
        <f>IF(A871="","",IF(A871="[FÓRMULA MANUAL]","",IFERROR(AVERAGEIFS(nNOTA,nNIA,A871,nCUENTA,1,nASIG,"Conjunto"),"")))</f>
        <v/>
      </c>
      <c r="E871" t="str">
        <f>IF(A871="","",IF(A871="[FÓRMULA MANUAL]","",IFERROR(SUMPRODUCT((nNIA=A871)*(nCUENTA=1)*(COUNTIF(CONFIG_ASIGNATURAS!$B$7:$B$27,nASIG)&gt;0)*(nNOTA))/SUMPRODUCT((nNIA=A871)*(nCUENTA=1)*(COUNTIF(CONFIG_ASIGNATURAS!$B$7:$B$27,nASIG)&gt;0)*1),"")))</f>
        <v/>
      </c>
      <c r="H871" t="str">
        <f>IF(G871="","",IF(G871="[FÓRMULA MANUAL]","",IFERROR(AVERAGEIFS(nNOTA,nNIA,G871,nCUENTA,1,nASIG,"Lenguaje Musical"),"")))</f>
        <v/>
      </c>
      <c r="I871" t="str">
        <f>IF(G871="","",IF(G871="[FÓRMULA MANUAL]","",IFERROR(AVERAGEIFS(nNOTA,nNIA,G871,nCUENTA,1,nASIG,"Orquesta/Banda/Conjunto"),"")))</f>
        <v/>
      </c>
      <c r="J871" t="str">
        <f>IF(G871="","",IF(G871="[FÓRMULA MANUAL]","",IFERROR(AVERAGEIFS(nNOTA,nNIA,G871,nCUENTA,1,nASIG,"Conjunto"),"")))</f>
        <v/>
      </c>
      <c r="K871" t="str">
        <f>IF(G871="","",IF(G871="[FÓRMULA MANUAL]","",IFERROR(SUMPRODUCT((nNIA=G871)*(nCUENTA=1)*(COUNTIF(CONFIG_ASIGNATURAS!$B$7:$B$27,nASIG)&gt;0)*(nNOTA))/SUMPRODUCT((nNIA=G871)*(nCUENTA=1)*(COUNTIF(CONFIG_ASIGNATURAS!$B$7:$B$27,nASIG)&gt;0)*1),"")))</f>
        <v/>
      </c>
      <c r="N871" t="str">
        <f>IF(M871="","",IF(M871="[FÓRMULA MANUAL]","",IFERROR(AVERAGEIFS(nNOTA,nNIA,M871,nCUENTA,1,nASIG,"Armonía"),"")))</f>
        <v/>
      </c>
      <c r="O871" t="str">
        <f>IF(M871="","",IF(M871="[FÓRMULA MANUAL]","",IFERROR(AVERAGEIFS(nNOTA,nNIA,M871,nCUENTA,1,nASIG,"Orquesta/Banda/Conjunto"),"")))</f>
        <v/>
      </c>
      <c r="P871" t="str">
        <f>IF(M871="","",IF(M871="[FÓRMULA MANUAL]","",IFERROR(AVERAGEIFS(nNOTA,nNIA,M871,nCUENTA,1,nASIG,"Música de Cámara"),"")))</f>
        <v/>
      </c>
      <c r="Q871" t="str">
        <f>IF(M871="","",IF(M871="[FÓRMULA MANUAL]","",IFERROR(SUMPRODUCT((nNIA=M871)*(nCUENTA=1)*(COUNTIF(CONFIG_ASIGNATURAS!$B$7:$B$27,nASIG)&gt;0)*(nNOTA))/SUMPRODUCT((nNIA=M871)*(nCUENTA=1)*(COUNTIF(CONFIG_ASIGNATURAS!$B$7:$B$27,nASIG)&gt;0)*1),"")))</f>
        <v/>
      </c>
      <c r="T871" t="str">
        <f>IF(S871="","",IF(S871="[FÓRMULA MANUAL]","",IFERROR(AVERAGEIFS(nNOTA,nNIA,S871,nCUENTA,1,nASIG,"Armonía"),"")))</f>
        <v/>
      </c>
      <c r="U871" t="str">
        <f>IF(S871="","",IF(S871="[FÓRMULA MANUAL]","",IFERROR(AVERAGEIFS(nNOTA,nNIA,S871,nCUENTA,1,nASIG,"Orquesta/Banda/Conjunto"),"")))</f>
        <v/>
      </c>
      <c r="V871" t="str">
        <f>IF(S871="","",IF(S871="[FÓRMULA MANUAL]","",IFERROR(AVERAGEIFS(nNOTA,nNIA,S871,nCUENTA,1,nASIG,"Música de Cámara"),"")))</f>
        <v/>
      </c>
      <c r="W871" t="str">
        <f>IF(S871="","",IF(S871="[FÓRMULA MANUAL]","",IFERROR(SUMPRODUCT((nNIA=S871)*(nCUENTA=1)*(COUNTIF(CONFIG_ASIGNATURAS!$B$7:$B$27,nASIG)&gt;0)*(nNOTA))/SUMPRODUCT((nNIA=S871)*(nCUENTA=1)*(COUNTIF(CONFIG_ASIGNATURAS!$B$7:$B$27,nASIG)&gt;0)*1),"")))</f>
        <v/>
      </c>
      <c r="Z871" t="str">
        <f>IF(Y871="","",IF(Y871="[FÓRMULA MANUAL]","",IFERROR(AVERAGEIFS(nNOTA,nNIA,Y871,nCUENTA,1,nASIG,"Análisis"),"")))</f>
        <v/>
      </c>
      <c r="AA871" t="str">
        <f>IF(Y871="","",IF(Y871="[FÓRMULA MANUAL]","",IFERROR(AVERAGEIFS(nNOTA,nNIA,Y871,nCUENTA,1,nASIG,"Orquesta/Banda/Conjunto"),"")))</f>
        <v/>
      </c>
      <c r="AB871" t="str">
        <f>IF(Y871="","",IF(Y871="[FÓRMULA MANUAL]","",IFERROR(AVERAGEIFS(nNOTA,nNIA,Y871,nCUENTA,1,nASIG,"Música de Cámara"),"")))</f>
        <v/>
      </c>
      <c r="AC871" t="str">
        <f>IF(Y871="","",IF(Y871="[FÓRMULA MANUAL]","",IFERROR(SUMPRODUCT((nNIA=Y871)*(nCUENTA=1)*(COUNTIF(CONFIG_ASIGNATURAS!$B$7:$B$27,nASIG)&gt;0)*(nNOTA))/SUMPRODUCT((nNIA=Y871)*(nCUENTA=1)*(COUNTIF(CONFIG_ASIGNATURAS!$B$7:$B$27,nASIG)&gt;0)*1),"")))</f>
        <v/>
      </c>
      <c r="AF871" t="str">
        <f>IF(AE871="","",IF(AE871="[FÓRMULA MANUAL]","",IFERROR(AVERAGEIFS(nNOTA,nNIA,AE871,nCUENTA,1,nASIG,"Análisis"),"")))</f>
        <v/>
      </c>
      <c r="AG871" t="str">
        <f>IF(AE871="","",IF(AE871="[FÓRMULA MANUAL]","",IFERROR(AVERAGEIFS(nNOTA,nNIA,AE871,nCUENTA,1,nASIG,"Orquesta/Banda/Conjunto"),"")))</f>
        <v/>
      </c>
      <c r="AH871" t="str">
        <f>IF(AE871="","",IF(AE871="[FÓRMULA MANUAL]","",IFERROR(AVERAGEIFS(nNOTA,nNIA,AE871,nCUENTA,1,nASIG,"Música de Cámara"),"")))</f>
        <v/>
      </c>
      <c r="AI871" t="str">
        <f>IF(AE871="","",IF(AE871="[FÓRMULA MANUAL]","",IFERROR(SUMPRODUCT((nNIA=AE871)*(nCUENTA=1)*(COUNTIF(CONFIG_ASIGNATURAS!$B$7:$B$27,nASIG)&gt;0)*(nNOTA))/SUMPRODUCT((nNIA=AE871)*(nCUENTA=1)*(COUNTIF(CONFIG_ASIGNATURAS!$B$7:$B$27,nASIG)&gt;0)*1),"")))</f>
        <v/>
      </c>
    </row>
    <row r="872" spans="2:35" x14ac:dyDescent="0.2">
      <c r="B872" t="str">
        <f>IF(A872="","",IF(A872="[FÓRMULA MANUAL]","",IFERROR(AVERAGEIFS(nNOTA,nNIA,A872,nCUENTA,1,nASIG,"Lenguaje Musical"),"")))</f>
        <v/>
      </c>
      <c r="C872" t="str">
        <f>IF(A872="","",IF(A872="[FÓRMULA MANUAL]","",IFERROR(AVERAGEIFS(nNOTA,nNIA,A872,nCUENTA,1,nASIG,"Orquesta/Banda/Conjunto"),"")))</f>
        <v/>
      </c>
      <c r="D872" t="str">
        <f>IF(A872="","",IF(A872="[FÓRMULA MANUAL]","",IFERROR(AVERAGEIFS(nNOTA,nNIA,A872,nCUENTA,1,nASIG,"Conjunto"),"")))</f>
        <v/>
      </c>
      <c r="E872" t="str">
        <f>IF(A872="","",IF(A872="[FÓRMULA MANUAL]","",IFERROR(SUMPRODUCT((nNIA=A872)*(nCUENTA=1)*(COUNTIF(CONFIG_ASIGNATURAS!$B$7:$B$27,nASIG)&gt;0)*(nNOTA))/SUMPRODUCT((nNIA=A872)*(nCUENTA=1)*(COUNTIF(CONFIG_ASIGNATURAS!$B$7:$B$27,nASIG)&gt;0)*1),"")))</f>
        <v/>
      </c>
      <c r="H872" t="str">
        <f>IF(G872="","",IF(G872="[FÓRMULA MANUAL]","",IFERROR(AVERAGEIFS(nNOTA,nNIA,G872,nCUENTA,1,nASIG,"Lenguaje Musical"),"")))</f>
        <v/>
      </c>
      <c r="I872" t="str">
        <f>IF(G872="","",IF(G872="[FÓRMULA MANUAL]","",IFERROR(AVERAGEIFS(nNOTA,nNIA,G872,nCUENTA,1,nASIG,"Orquesta/Banda/Conjunto"),"")))</f>
        <v/>
      </c>
      <c r="J872" t="str">
        <f>IF(G872="","",IF(G872="[FÓRMULA MANUAL]","",IFERROR(AVERAGEIFS(nNOTA,nNIA,G872,nCUENTA,1,nASIG,"Conjunto"),"")))</f>
        <v/>
      </c>
      <c r="K872" t="str">
        <f>IF(G872="","",IF(G872="[FÓRMULA MANUAL]","",IFERROR(SUMPRODUCT((nNIA=G872)*(nCUENTA=1)*(COUNTIF(CONFIG_ASIGNATURAS!$B$7:$B$27,nASIG)&gt;0)*(nNOTA))/SUMPRODUCT((nNIA=G872)*(nCUENTA=1)*(COUNTIF(CONFIG_ASIGNATURAS!$B$7:$B$27,nASIG)&gt;0)*1),"")))</f>
        <v/>
      </c>
      <c r="N872" t="str">
        <f>IF(M872="","",IF(M872="[FÓRMULA MANUAL]","",IFERROR(AVERAGEIFS(nNOTA,nNIA,M872,nCUENTA,1,nASIG,"Armonía"),"")))</f>
        <v/>
      </c>
      <c r="O872" t="str">
        <f>IF(M872="","",IF(M872="[FÓRMULA MANUAL]","",IFERROR(AVERAGEIFS(nNOTA,nNIA,M872,nCUENTA,1,nASIG,"Orquesta/Banda/Conjunto"),"")))</f>
        <v/>
      </c>
      <c r="P872" t="str">
        <f>IF(M872="","",IF(M872="[FÓRMULA MANUAL]","",IFERROR(AVERAGEIFS(nNOTA,nNIA,M872,nCUENTA,1,nASIG,"Música de Cámara"),"")))</f>
        <v/>
      </c>
      <c r="Q872" t="str">
        <f>IF(M872="","",IF(M872="[FÓRMULA MANUAL]","",IFERROR(SUMPRODUCT((nNIA=M872)*(nCUENTA=1)*(COUNTIF(CONFIG_ASIGNATURAS!$B$7:$B$27,nASIG)&gt;0)*(nNOTA))/SUMPRODUCT((nNIA=M872)*(nCUENTA=1)*(COUNTIF(CONFIG_ASIGNATURAS!$B$7:$B$27,nASIG)&gt;0)*1),"")))</f>
        <v/>
      </c>
      <c r="T872" t="str">
        <f>IF(S872="","",IF(S872="[FÓRMULA MANUAL]","",IFERROR(AVERAGEIFS(nNOTA,nNIA,S872,nCUENTA,1,nASIG,"Armonía"),"")))</f>
        <v/>
      </c>
      <c r="U872" t="str">
        <f>IF(S872="","",IF(S872="[FÓRMULA MANUAL]","",IFERROR(AVERAGEIFS(nNOTA,nNIA,S872,nCUENTA,1,nASIG,"Orquesta/Banda/Conjunto"),"")))</f>
        <v/>
      </c>
      <c r="V872" t="str">
        <f>IF(S872="","",IF(S872="[FÓRMULA MANUAL]","",IFERROR(AVERAGEIFS(nNOTA,nNIA,S872,nCUENTA,1,nASIG,"Música de Cámara"),"")))</f>
        <v/>
      </c>
      <c r="W872" t="str">
        <f>IF(S872="","",IF(S872="[FÓRMULA MANUAL]","",IFERROR(SUMPRODUCT((nNIA=S872)*(nCUENTA=1)*(COUNTIF(CONFIG_ASIGNATURAS!$B$7:$B$27,nASIG)&gt;0)*(nNOTA))/SUMPRODUCT((nNIA=S872)*(nCUENTA=1)*(COUNTIF(CONFIG_ASIGNATURAS!$B$7:$B$27,nASIG)&gt;0)*1),"")))</f>
        <v/>
      </c>
      <c r="Z872" t="str">
        <f>IF(Y872="","",IF(Y872="[FÓRMULA MANUAL]","",IFERROR(AVERAGEIFS(nNOTA,nNIA,Y872,nCUENTA,1,nASIG,"Análisis"),"")))</f>
        <v/>
      </c>
      <c r="AA872" t="str">
        <f>IF(Y872="","",IF(Y872="[FÓRMULA MANUAL]","",IFERROR(AVERAGEIFS(nNOTA,nNIA,Y872,nCUENTA,1,nASIG,"Orquesta/Banda/Conjunto"),"")))</f>
        <v/>
      </c>
      <c r="AB872" t="str">
        <f>IF(Y872="","",IF(Y872="[FÓRMULA MANUAL]","",IFERROR(AVERAGEIFS(nNOTA,nNIA,Y872,nCUENTA,1,nASIG,"Música de Cámara"),"")))</f>
        <v/>
      </c>
      <c r="AC872" t="str">
        <f>IF(Y872="","",IF(Y872="[FÓRMULA MANUAL]","",IFERROR(SUMPRODUCT((nNIA=Y872)*(nCUENTA=1)*(COUNTIF(CONFIG_ASIGNATURAS!$B$7:$B$27,nASIG)&gt;0)*(nNOTA))/SUMPRODUCT((nNIA=Y872)*(nCUENTA=1)*(COUNTIF(CONFIG_ASIGNATURAS!$B$7:$B$27,nASIG)&gt;0)*1),"")))</f>
        <v/>
      </c>
      <c r="AF872" t="str">
        <f>IF(AE872="","",IF(AE872="[FÓRMULA MANUAL]","",IFERROR(AVERAGEIFS(nNOTA,nNIA,AE872,nCUENTA,1,nASIG,"Análisis"),"")))</f>
        <v/>
      </c>
      <c r="AG872" t="str">
        <f>IF(AE872="","",IF(AE872="[FÓRMULA MANUAL]","",IFERROR(AVERAGEIFS(nNOTA,nNIA,AE872,nCUENTA,1,nASIG,"Orquesta/Banda/Conjunto"),"")))</f>
        <v/>
      </c>
      <c r="AH872" t="str">
        <f>IF(AE872="","",IF(AE872="[FÓRMULA MANUAL]","",IFERROR(AVERAGEIFS(nNOTA,nNIA,AE872,nCUENTA,1,nASIG,"Música de Cámara"),"")))</f>
        <v/>
      </c>
      <c r="AI872" t="str">
        <f>IF(AE872="","",IF(AE872="[FÓRMULA MANUAL]","",IFERROR(SUMPRODUCT((nNIA=AE872)*(nCUENTA=1)*(COUNTIF(CONFIG_ASIGNATURAS!$B$7:$B$27,nASIG)&gt;0)*(nNOTA))/SUMPRODUCT((nNIA=AE872)*(nCUENTA=1)*(COUNTIF(CONFIG_ASIGNATURAS!$B$7:$B$27,nASIG)&gt;0)*1),"")))</f>
        <v/>
      </c>
    </row>
    <row r="873" spans="2:35" x14ac:dyDescent="0.2">
      <c r="B873" t="str">
        <f>IF(A873="","",IF(A873="[FÓRMULA MANUAL]","",IFERROR(AVERAGEIFS(nNOTA,nNIA,A873,nCUENTA,1,nASIG,"Lenguaje Musical"),"")))</f>
        <v/>
      </c>
      <c r="C873" t="str">
        <f>IF(A873="","",IF(A873="[FÓRMULA MANUAL]","",IFERROR(AVERAGEIFS(nNOTA,nNIA,A873,nCUENTA,1,nASIG,"Orquesta/Banda/Conjunto"),"")))</f>
        <v/>
      </c>
      <c r="D873" t="str">
        <f>IF(A873="","",IF(A873="[FÓRMULA MANUAL]","",IFERROR(AVERAGEIFS(nNOTA,nNIA,A873,nCUENTA,1,nASIG,"Conjunto"),"")))</f>
        <v/>
      </c>
      <c r="E873" t="str">
        <f>IF(A873="","",IF(A873="[FÓRMULA MANUAL]","",IFERROR(SUMPRODUCT((nNIA=A873)*(nCUENTA=1)*(COUNTIF(CONFIG_ASIGNATURAS!$B$7:$B$27,nASIG)&gt;0)*(nNOTA))/SUMPRODUCT((nNIA=A873)*(nCUENTA=1)*(COUNTIF(CONFIG_ASIGNATURAS!$B$7:$B$27,nASIG)&gt;0)*1),"")))</f>
        <v/>
      </c>
      <c r="H873" t="str">
        <f>IF(G873="","",IF(G873="[FÓRMULA MANUAL]","",IFERROR(AVERAGEIFS(nNOTA,nNIA,G873,nCUENTA,1,nASIG,"Lenguaje Musical"),"")))</f>
        <v/>
      </c>
      <c r="I873" t="str">
        <f>IF(G873="","",IF(G873="[FÓRMULA MANUAL]","",IFERROR(AVERAGEIFS(nNOTA,nNIA,G873,nCUENTA,1,nASIG,"Orquesta/Banda/Conjunto"),"")))</f>
        <v/>
      </c>
      <c r="J873" t="str">
        <f>IF(G873="","",IF(G873="[FÓRMULA MANUAL]","",IFERROR(AVERAGEIFS(nNOTA,nNIA,G873,nCUENTA,1,nASIG,"Conjunto"),"")))</f>
        <v/>
      </c>
      <c r="K873" t="str">
        <f>IF(G873="","",IF(G873="[FÓRMULA MANUAL]","",IFERROR(SUMPRODUCT((nNIA=G873)*(nCUENTA=1)*(COUNTIF(CONFIG_ASIGNATURAS!$B$7:$B$27,nASIG)&gt;0)*(nNOTA))/SUMPRODUCT((nNIA=G873)*(nCUENTA=1)*(COUNTIF(CONFIG_ASIGNATURAS!$B$7:$B$27,nASIG)&gt;0)*1),"")))</f>
        <v/>
      </c>
      <c r="N873" t="str">
        <f>IF(M873="","",IF(M873="[FÓRMULA MANUAL]","",IFERROR(AVERAGEIFS(nNOTA,nNIA,M873,nCUENTA,1,nASIG,"Armonía"),"")))</f>
        <v/>
      </c>
      <c r="O873" t="str">
        <f>IF(M873="","",IF(M873="[FÓRMULA MANUAL]","",IFERROR(AVERAGEIFS(nNOTA,nNIA,M873,nCUENTA,1,nASIG,"Orquesta/Banda/Conjunto"),"")))</f>
        <v/>
      </c>
      <c r="P873" t="str">
        <f>IF(M873="","",IF(M873="[FÓRMULA MANUAL]","",IFERROR(AVERAGEIFS(nNOTA,nNIA,M873,nCUENTA,1,nASIG,"Música de Cámara"),"")))</f>
        <v/>
      </c>
      <c r="Q873" t="str">
        <f>IF(M873="","",IF(M873="[FÓRMULA MANUAL]","",IFERROR(SUMPRODUCT((nNIA=M873)*(nCUENTA=1)*(COUNTIF(CONFIG_ASIGNATURAS!$B$7:$B$27,nASIG)&gt;0)*(nNOTA))/SUMPRODUCT((nNIA=M873)*(nCUENTA=1)*(COUNTIF(CONFIG_ASIGNATURAS!$B$7:$B$27,nASIG)&gt;0)*1),"")))</f>
        <v/>
      </c>
      <c r="T873" t="str">
        <f>IF(S873="","",IF(S873="[FÓRMULA MANUAL]","",IFERROR(AVERAGEIFS(nNOTA,nNIA,S873,nCUENTA,1,nASIG,"Armonía"),"")))</f>
        <v/>
      </c>
      <c r="U873" t="str">
        <f>IF(S873="","",IF(S873="[FÓRMULA MANUAL]","",IFERROR(AVERAGEIFS(nNOTA,nNIA,S873,nCUENTA,1,nASIG,"Orquesta/Banda/Conjunto"),"")))</f>
        <v/>
      </c>
      <c r="V873" t="str">
        <f>IF(S873="","",IF(S873="[FÓRMULA MANUAL]","",IFERROR(AVERAGEIFS(nNOTA,nNIA,S873,nCUENTA,1,nASIG,"Música de Cámara"),"")))</f>
        <v/>
      </c>
      <c r="W873" t="str">
        <f>IF(S873="","",IF(S873="[FÓRMULA MANUAL]","",IFERROR(SUMPRODUCT((nNIA=S873)*(nCUENTA=1)*(COUNTIF(CONFIG_ASIGNATURAS!$B$7:$B$27,nASIG)&gt;0)*(nNOTA))/SUMPRODUCT((nNIA=S873)*(nCUENTA=1)*(COUNTIF(CONFIG_ASIGNATURAS!$B$7:$B$27,nASIG)&gt;0)*1),"")))</f>
        <v/>
      </c>
      <c r="Z873" t="str">
        <f>IF(Y873="","",IF(Y873="[FÓRMULA MANUAL]","",IFERROR(AVERAGEIFS(nNOTA,nNIA,Y873,nCUENTA,1,nASIG,"Análisis"),"")))</f>
        <v/>
      </c>
      <c r="AA873" t="str">
        <f>IF(Y873="","",IF(Y873="[FÓRMULA MANUAL]","",IFERROR(AVERAGEIFS(nNOTA,nNIA,Y873,nCUENTA,1,nASIG,"Orquesta/Banda/Conjunto"),"")))</f>
        <v/>
      </c>
      <c r="AB873" t="str">
        <f>IF(Y873="","",IF(Y873="[FÓRMULA MANUAL]","",IFERROR(AVERAGEIFS(nNOTA,nNIA,Y873,nCUENTA,1,nASIG,"Música de Cámara"),"")))</f>
        <v/>
      </c>
      <c r="AC873" t="str">
        <f>IF(Y873="","",IF(Y873="[FÓRMULA MANUAL]","",IFERROR(SUMPRODUCT((nNIA=Y873)*(nCUENTA=1)*(COUNTIF(CONFIG_ASIGNATURAS!$B$7:$B$27,nASIG)&gt;0)*(nNOTA))/SUMPRODUCT((nNIA=Y873)*(nCUENTA=1)*(COUNTIF(CONFIG_ASIGNATURAS!$B$7:$B$27,nASIG)&gt;0)*1),"")))</f>
        <v/>
      </c>
      <c r="AF873" t="str">
        <f>IF(AE873="","",IF(AE873="[FÓRMULA MANUAL]","",IFERROR(AVERAGEIFS(nNOTA,nNIA,AE873,nCUENTA,1,nASIG,"Análisis"),"")))</f>
        <v/>
      </c>
      <c r="AG873" t="str">
        <f>IF(AE873="","",IF(AE873="[FÓRMULA MANUAL]","",IFERROR(AVERAGEIFS(nNOTA,nNIA,AE873,nCUENTA,1,nASIG,"Orquesta/Banda/Conjunto"),"")))</f>
        <v/>
      </c>
      <c r="AH873" t="str">
        <f>IF(AE873="","",IF(AE873="[FÓRMULA MANUAL]","",IFERROR(AVERAGEIFS(nNOTA,nNIA,AE873,nCUENTA,1,nASIG,"Música de Cámara"),"")))</f>
        <v/>
      </c>
      <c r="AI873" t="str">
        <f>IF(AE873="","",IF(AE873="[FÓRMULA MANUAL]","",IFERROR(SUMPRODUCT((nNIA=AE873)*(nCUENTA=1)*(COUNTIF(CONFIG_ASIGNATURAS!$B$7:$B$27,nASIG)&gt;0)*(nNOTA))/SUMPRODUCT((nNIA=AE873)*(nCUENTA=1)*(COUNTIF(CONFIG_ASIGNATURAS!$B$7:$B$27,nASIG)&gt;0)*1),"")))</f>
        <v/>
      </c>
    </row>
    <row r="874" spans="2:35" x14ac:dyDescent="0.2">
      <c r="B874" t="str">
        <f>IF(A874="","",IF(A874="[FÓRMULA MANUAL]","",IFERROR(AVERAGEIFS(nNOTA,nNIA,A874,nCUENTA,1,nASIG,"Lenguaje Musical"),"")))</f>
        <v/>
      </c>
      <c r="C874" t="str">
        <f>IF(A874="","",IF(A874="[FÓRMULA MANUAL]","",IFERROR(AVERAGEIFS(nNOTA,nNIA,A874,nCUENTA,1,nASIG,"Orquesta/Banda/Conjunto"),"")))</f>
        <v/>
      </c>
      <c r="D874" t="str">
        <f>IF(A874="","",IF(A874="[FÓRMULA MANUAL]","",IFERROR(AVERAGEIFS(nNOTA,nNIA,A874,nCUENTA,1,nASIG,"Conjunto"),"")))</f>
        <v/>
      </c>
      <c r="E874" t="str">
        <f>IF(A874="","",IF(A874="[FÓRMULA MANUAL]","",IFERROR(SUMPRODUCT((nNIA=A874)*(nCUENTA=1)*(COUNTIF(CONFIG_ASIGNATURAS!$B$7:$B$27,nASIG)&gt;0)*(nNOTA))/SUMPRODUCT((nNIA=A874)*(nCUENTA=1)*(COUNTIF(CONFIG_ASIGNATURAS!$B$7:$B$27,nASIG)&gt;0)*1),"")))</f>
        <v/>
      </c>
      <c r="H874" t="str">
        <f>IF(G874="","",IF(G874="[FÓRMULA MANUAL]","",IFERROR(AVERAGEIFS(nNOTA,nNIA,G874,nCUENTA,1,nASIG,"Lenguaje Musical"),"")))</f>
        <v/>
      </c>
      <c r="I874" t="str">
        <f>IF(G874="","",IF(G874="[FÓRMULA MANUAL]","",IFERROR(AVERAGEIFS(nNOTA,nNIA,G874,nCUENTA,1,nASIG,"Orquesta/Banda/Conjunto"),"")))</f>
        <v/>
      </c>
      <c r="J874" t="str">
        <f>IF(G874="","",IF(G874="[FÓRMULA MANUAL]","",IFERROR(AVERAGEIFS(nNOTA,nNIA,G874,nCUENTA,1,nASIG,"Conjunto"),"")))</f>
        <v/>
      </c>
      <c r="K874" t="str">
        <f>IF(G874="","",IF(G874="[FÓRMULA MANUAL]","",IFERROR(SUMPRODUCT((nNIA=G874)*(nCUENTA=1)*(COUNTIF(CONFIG_ASIGNATURAS!$B$7:$B$27,nASIG)&gt;0)*(nNOTA))/SUMPRODUCT((nNIA=G874)*(nCUENTA=1)*(COUNTIF(CONFIG_ASIGNATURAS!$B$7:$B$27,nASIG)&gt;0)*1),"")))</f>
        <v/>
      </c>
      <c r="N874" t="str">
        <f>IF(M874="","",IF(M874="[FÓRMULA MANUAL]","",IFERROR(AVERAGEIFS(nNOTA,nNIA,M874,nCUENTA,1,nASIG,"Armonía"),"")))</f>
        <v/>
      </c>
      <c r="O874" t="str">
        <f>IF(M874="","",IF(M874="[FÓRMULA MANUAL]","",IFERROR(AVERAGEIFS(nNOTA,nNIA,M874,nCUENTA,1,nASIG,"Orquesta/Banda/Conjunto"),"")))</f>
        <v/>
      </c>
      <c r="P874" t="str">
        <f>IF(M874="","",IF(M874="[FÓRMULA MANUAL]","",IFERROR(AVERAGEIFS(nNOTA,nNIA,M874,nCUENTA,1,nASIG,"Música de Cámara"),"")))</f>
        <v/>
      </c>
      <c r="Q874" t="str">
        <f>IF(M874="","",IF(M874="[FÓRMULA MANUAL]","",IFERROR(SUMPRODUCT((nNIA=M874)*(nCUENTA=1)*(COUNTIF(CONFIG_ASIGNATURAS!$B$7:$B$27,nASIG)&gt;0)*(nNOTA))/SUMPRODUCT((nNIA=M874)*(nCUENTA=1)*(COUNTIF(CONFIG_ASIGNATURAS!$B$7:$B$27,nASIG)&gt;0)*1),"")))</f>
        <v/>
      </c>
      <c r="T874" t="str">
        <f>IF(S874="","",IF(S874="[FÓRMULA MANUAL]","",IFERROR(AVERAGEIFS(nNOTA,nNIA,S874,nCUENTA,1,nASIG,"Armonía"),"")))</f>
        <v/>
      </c>
      <c r="U874" t="str">
        <f>IF(S874="","",IF(S874="[FÓRMULA MANUAL]","",IFERROR(AVERAGEIFS(nNOTA,nNIA,S874,nCUENTA,1,nASIG,"Orquesta/Banda/Conjunto"),"")))</f>
        <v/>
      </c>
      <c r="V874" t="str">
        <f>IF(S874="","",IF(S874="[FÓRMULA MANUAL]","",IFERROR(AVERAGEIFS(nNOTA,nNIA,S874,nCUENTA,1,nASIG,"Música de Cámara"),"")))</f>
        <v/>
      </c>
      <c r="W874" t="str">
        <f>IF(S874="","",IF(S874="[FÓRMULA MANUAL]","",IFERROR(SUMPRODUCT((nNIA=S874)*(nCUENTA=1)*(COUNTIF(CONFIG_ASIGNATURAS!$B$7:$B$27,nASIG)&gt;0)*(nNOTA))/SUMPRODUCT((nNIA=S874)*(nCUENTA=1)*(COUNTIF(CONFIG_ASIGNATURAS!$B$7:$B$27,nASIG)&gt;0)*1),"")))</f>
        <v/>
      </c>
      <c r="Z874" t="str">
        <f>IF(Y874="","",IF(Y874="[FÓRMULA MANUAL]","",IFERROR(AVERAGEIFS(nNOTA,nNIA,Y874,nCUENTA,1,nASIG,"Análisis"),"")))</f>
        <v/>
      </c>
      <c r="AA874" t="str">
        <f>IF(Y874="","",IF(Y874="[FÓRMULA MANUAL]","",IFERROR(AVERAGEIFS(nNOTA,nNIA,Y874,nCUENTA,1,nASIG,"Orquesta/Banda/Conjunto"),"")))</f>
        <v/>
      </c>
      <c r="AB874" t="str">
        <f>IF(Y874="","",IF(Y874="[FÓRMULA MANUAL]","",IFERROR(AVERAGEIFS(nNOTA,nNIA,Y874,nCUENTA,1,nASIG,"Música de Cámara"),"")))</f>
        <v/>
      </c>
      <c r="AC874" t="str">
        <f>IF(Y874="","",IF(Y874="[FÓRMULA MANUAL]","",IFERROR(SUMPRODUCT((nNIA=Y874)*(nCUENTA=1)*(COUNTIF(CONFIG_ASIGNATURAS!$B$7:$B$27,nASIG)&gt;0)*(nNOTA))/SUMPRODUCT((nNIA=Y874)*(nCUENTA=1)*(COUNTIF(CONFIG_ASIGNATURAS!$B$7:$B$27,nASIG)&gt;0)*1),"")))</f>
        <v/>
      </c>
      <c r="AF874" t="str">
        <f>IF(AE874="","",IF(AE874="[FÓRMULA MANUAL]","",IFERROR(AVERAGEIFS(nNOTA,nNIA,AE874,nCUENTA,1,nASIG,"Análisis"),"")))</f>
        <v/>
      </c>
      <c r="AG874" t="str">
        <f>IF(AE874="","",IF(AE874="[FÓRMULA MANUAL]","",IFERROR(AVERAGEIFS(nNOTA,nNIA,AE874,nCUENTA,1,nASIG,"Orquesta/Banda/Conjunto"),"")))</f>
        <v/>
      </c>
      <c r="AH874" t="str">
        <f>IF(AE874="","",IF(AE874="[FÓRMULA MANUAL]","",IFERROR(AVERAGEIFS(nNOTA,nNIA,AE874,nCUENTA,1,nASIG,"Música de Cámara"),"")))</f>
        <v/>
      </c>
      <c r="AI874" t="str">
        <f>IF(AE874="","",IF(AE874="[FÓRMULA MANUAL]","",IFERROR(SUMPRODUCT((nNIA=AE874)*(nCUENTA=1)*(COUNTIF(CONFIG_ASIGNATURAS!$B$7:$B$27,nASIG)&gt;0)*(nNOTA))/SUMPRODUCT((nNIA=AE874)*(nCUENTA=1)*(COUNTIF(CONFIG_ASIGNATURAS!$B$7:$B$27,nASIG)&gt;0)*1),"")))</f>
        <v/>
      </c>
    </row>
    <row r="875" spans="2:35" x14ac:dyDescent="0.2">
      <c r="B875" t="str">
        <f>IF(A875="","",IF(A875="[FÓRMULA MANUAL]","",IFERROR(AVERAGEIFS(nNOTA,nNIA,A875,nCUENTA,1,nASIG,"Lenguaje Musical"),"")))</f>
        <v/>
      </c>
      <c r="C875" t="str">
        <f>IF(A875="","",IF(A875="[FÓRMULA MANUAL]","",IFERROR(AVERAGEIFS(nNOTA,nNIA,A875,nCUENTA,1,nASIG,"Orquesta/Banda/Conjunto"),"")))</f>
        <v/>
      </c>
      <c r="D875" t="str">
        <f>IF(A875="","",IF(A875="[FÓRMULA MANUAL]","",IFERROR(AVERAGEIFS(nNOTA,nNIA,A875,nCUENTA,1,nASIG,"Conjunto"),"")))</f>
        <v/>
      </c>
      <c r="E875" t="str">
        <f>IF(A875="","",IF(A875="[FÓRMULA MANUAL]","",IFERROR(SUMPRODUCT((nNIA=A875)*(nCUENTA=1)*(COUNTIF(CONFIG_ASIGNATURAS!$B$7:$B$27,nASIG)&gt;0)*(nNOTA))/SUMPRODUCT((nNIA=A875)*(nCUENTA=1)*(COUNTIF(CONFIG_ASIGNATURAS!$B$7:$B$27,nASIG)&gt;0)*1),"")))</f>
        <v/>
      </c>
      <c r="H875" t="str">
        <f>IF(G875="","",IF(G875="[FÓRMULA MANUAL]","",IFERROR(AVERAGEIFS(nNOTA,nNIA,G875,nCUENTA,1,nASIG,"Lenguaje Musical"),"")))</f>
        <v/>
      </c>
      <c r="I875" t="str">
        <f>IF(G875="","",IF(G875="[FÓRMULA MANUAL]","",IFERROR(AVERAGEIFS(nNOTA,nNIA,G875,nCUENTA,1,nASIG,"Orquesta/Banda/Conjunto"),"")))</f>
        <v/>
      </c>
      <c r="J875" t="str">
        <f>IF(G875="","",IF(G875="[FÓRMULA MANUAL]","",IFERROR(AVERAGEIFS(nNOTA,nNIA,G875,nCUENTA,1,nASIG,"Conjunto"),"")))</f>
        <v/>
      </c>
      <c r="K875" t="str">
        <f>IF(G875="","",IF(G875="[FÓRMULA MANUAL]","",IFERROR(SUMPRODUCT((nNIA=G875)*(nCUENTA=1)*(COUNTIF(CONFIG_ASIGNATURAS!$B$7:$B$27,nASIG)&gt;0)*(nNOTA))/SUMPRODUCT((nNIA=G875)*(nCUENTA=1)*(COUNTIF(CONFIG_ASIGNATURAS!$B$7:$B$27,nASIG)&gt;0)*1),"")))</f>
        <v/>
      </c>
      <c r="N875" t="str">
        <f>IF(M875="","",IF(M875="[FÓRMULA MANUAL]","",IFERROR(AVERAGEIFS(nNOTA,nNIA,M875,nCUENTA,1,nASIG,"Armonía"),"")))</f>
        <v/>
      </c>
      <c r="O875" t="str">
        <f>IF(M875="","",IF(M875="[FÓRMULA MANUAL]","",IFERROR(AVERAGEIFS(nNOTA,nNIA,M875,nCUENTA,1,nASIG,"Orquesta/Banda/Conjunto"),"")))</f>
        <v/>
      </c>
      <c r="P875" t="str">
        <f>IF(M875="","",IF(M875="[FÓRMULA MANUAL]","",IFERROR(AVERAGEIFS(nNOTA,nNIA,M875,nCUENTA,1,nASIG,"Música de Cámara"),"")))</f>
        <v/>
      </c>
      <c r="Q875" t="str">
        <f>IF(M875="","",IF(M875="[FÓRMULA MANUAL]","",IFERROR(SUMPRODUCT((nNIA=M875)*(nCUENTA=1)*(COUNTIF(CONFIG_ASIGNATURAS!$B$7:$B$27,nASIG)&gt;0)*(nNOTA))/SUMPRODUCT((nNIA=M875)*(nCUENTA=1)*(COUNTIF(CONFIG_ASIGNATURAS!$B$7:$B$27,nASIG)&gt;0)*1),"")))</f>
        <v/>
      </c>
      <c r="T875" t="str">
        <f>IF(S875="","",IF(S875="[FÓRMULA MANUAL]","",IFERROR(AVERAGEIFS(nNOTA,nNIA,S875,nCUENTA,1,nASIG,"Armonía"),"")))</f>
        <v/>
      </c>
      <c r="U875" t="str">
        <f>IF(S875="","",IF(S875="[FÓRMULA MANUAL]","",IFERROR(AVERAGEIFS(nNOTA,nNIA,S875,nCUENTA,1,nASIG,"Orquesta/Banda/Conjunto"),"")))</f>
        <v/>
      </c>
      <c r="V875" t="str">
        <f>IF(S875="","",IF(S875="[FÓRMULA MANUAL]","",IFERROR(AVERAGEIFS(nNOTA,nNIA,S875,nCUENTA,1,nASIG,"Música de Cámara"),"")))</f>
        <v/>
      </c>
      <c r="W875" t="str">
        <f>IF(S875="","",IF(S875="[FÓRMULA MANUAL]","",IFERROR(SUMPRODUCT((nNIA=S875)*(nCUENTA=1)*(COUNTIF(CONFIG_ASIGNATURAS!$B$7:$B$27,nASIG)&gt;0)*(nNOTA))/SUMPRODUCT((nNIA=S875)*(nCUENTA=1)*(COUNTIF(CONFIG_ASIGNATURAS!$B$7:$B$27,nASIG)&gt;0)*1),"")))</f>
        <v/>
      </c>
      <c r="Z875" t="str">
        <f>IF(Y875="","",IF(Y875="[FÓRMULA MANUAL]","",IFERROR(AVERAGEIFS(nNOTA,nNIA,Y875,nCUENTA,1,nASIG,"Análisis"),"")))</f>
        <v/>
      </c>
      <c r="AA875" t="str">
        <f>IF(Y875="","",IF(Y875="[FÓRMULA MANUAL]","",IFERROR(AVERAGEIFS(nNOTA,nNIA,Y875,nCUENTA,1,nASIG,"Orquesta/Banda/Conjunto"),"")))</f>
        <v/>
      </c>
      <c r="AB875" t="str">
        <f>IF(Y875="","",IF(Y875="[FÓRMULA MANUAL]","",IFERROR(AVERAGEIFS(nNOTA,nNIA,Y875,nCUENTA,1,nASIG,"Música de Cámara"),"")))</f>
        <v/>
      </c>
      <c r="AC875" t="str">
        <f>IF(Y875="","",IF(Y875="[FÓRMULA MANUAL]","",IFERROR(SUMPRODUCT((nNIA=Y875)*(nCUENTA=1)*(COUNTIF(CONFIG_ASIGNATURAS!$B$7:$B$27,nASIG)&gt;0)*(nNOTA))/SUMPRODUCT((nNIA=Y875)*(nCUENTA=1)*(COUNTIF(CONFIG_ASIGNATURAS!$B$7:$B$27,nASIG)&gt;0)*1),"")))</f>
        <v/>
      </c>
      <c r="AF875" t="str">
        <f>IF(AE875="","",IF(AE875="[FÓRMULA MANUAL]","",IFERROR(AVERAGEIFS(nNOTA,nNIA,AE875,nCUENTA,1,nASIG,"Análisis"),"")))</f>
        <v/>
      </c>
      <c r="AG875" t="str">
        <f>IF(AE875="","",IF(AE875="[FÓRMULA MANUAL]","",IFERROR(AVERAGEIFS(nNOTA,nNIA,AE875,nCUENTA,1,nASIG,"Orquesta/Banda/Conjunto"),"")))</f>
        <v/>
      </c>
      <c r="AH875" t="str">
        <f>IF(AE875="","",IF(AE875="[FÓRMULA MANUAL]","",IFERROR(AVERAGEIFS(nNOTA,nNIA,AE875,nCUENTA,1,nASIG,"Música de Cámara"),"")))</f>
        <v/>
      </c>
      <c r="AI875" t="str">
        <f>IF(AE875="","",IF(AE875="[FÓRMULA MANUAL]","",IFERROR(SUMPRODUCT((nNIA=AE875)*(nCUENTA=1)*(COUNTIF(CONFIG_ASIGNATURAS!$B$7:$B$27,nASIG)&gt;0)*(nNOTA))/SUMPRODUCT((nNIA=AE875)*(nCUENTA=1)*(COUNTIF(CONFIG_ASIGNATURAS!$B$7:$B$27,nASIG)&gt;0)*1),"")))</f>
        <v/>
      </c>
    </row>
    <row r="876" spans="2:35" x14ac:dyDescent="0.2">
      <c r="B876" t="str">
        <f>IF(A876="","",IF(A876="[FÓRMULA MANUAL]","",IFERROR(AVERAGEIFS(nNOTA,nNIA,A876,nCUENTA,1,nASIG,"Lenguaje Musical"),"")))</f>
        <v/>
      </c>
      <c r="C876" t="str">
        <f>IF(A876="","",IF(A876="[FÓRMULA MANUAL]","",IFERROR(AVERAGEIFS(nNOTA,nNIA,A876,nCUENTA,1,nASIG,"Orquesta/Banda/Conjunto"),"")))</f>
        <v/>
      </c>
      <c r="D876" t="str">
        <f>IF(A876="","",IF(A876="[FÓRMULA MANUAL]","",IFERROR(AVERAGEIFS(nNOTA,nNIA,A876,nCUENTA,1,nASIG,"Conjunto"),"")))</f>
        <v/>
      </c>
      <c r="E876" t="str">
        <f>IF(A876="","",IF(A876="[FÓRMULA MANUAL]","",IFERROR(SUMPRODUCT((nNIA=A876)*(nCUENTA=1)*(COUNTIF(CONFIG_ASIGNATURAS!$B$7:$B$27,nASIG)&gt;0)*(nNOTA))/SUMPRODUCT((nNIA=A876)*(nCUENTA=1)*(COUNTIF(CONFIG_ASIGNATURAS!$B$7:$B$27,nASIG)&gt;0)*1),"")))</f>
        <v/>
      </c>
      <c r="H876" t="str">
        <f>IF(G876="","",IF(G876="[FÓRMULA MANUAL]","",IFERROR(AVERAGEIFS(nNOTA,nNIA,G876,nCUENTA,1,nASIG,"Lenguaje Musical"),"")))</f>
        <v/>
      </c>
      <c r="I876" t="str">
        <f>IF(G876="","",IF(G876="[FÓRMULA MANUAL]","",IFERROR(AVERAGEIFS(nNOTA,nNIA,G876,nCUENTA,1,nASIG,"Orquesta/Banda/Conjunto"),"")))</f>
        <v/>
      </c>
      <c r="J876" t="str">
        <f>IF(G876="","",IF(G876="[FÓRMULA MANUAL]","",IFERROR(AVERAGEIFS(nNOTA,nNIA,G876,nCUENTA,1,nASIG,"Conjunto"),"")))</f>
        <v/>
      </c>
      <c r="K876" t="str">
        <f>IF(G876="","",IF(G876="[FÓRMULA MANUAL]","",IFERROR(SUMPRODUCT((nNIA=G876)*(nCUENTA=1)*(COUNTIF(CONFIG_ASIGNATURAS!$B$7:$B$27,nASIG)&gt;0)*(nNOTA))/SUMPRODUCT((nNIA=G876)*(nCUENTA=1)*(COUNTIF(CONFIG_ASIGNATURAS!$B$7:$B$27,nASIG)&gt;0)*1),"")))</f>
        <v/>
      </c>
      <c r="N876" t="str">
        <f>IF(M876="","",IF(M876="[FÓRMULA MANUAL]","",IFERROR(AVERAGEIFS(nNOTA,nNIA,M876,nCUENTA,1,nASIG,"Armonía"),"")))</f>
        <v/>
      </c>
      <c r="O876" t="str">
        <f>IF(M876="","",IF(M876="[FÓRMULA MANUAL]","",IFERROR(AVERAGEIFS(nNOTA,nNIA,M876,nCUENTA,1,nASIG,"Orquesta/Banda/Conjunto"),"")))</f>
        <v/>
      </c>
      <c r="P876" t="str">
        <f>IF(M876="","",IF(M876="[FÓRMULA MANUAL]","",IFERROR(AVERAGEIFS(nNOTA,nNIA,M876,nCUENTA,1,nASIG,"Música de Cámara"),"")))</f>
        <v/>
      </c>
      <c r="Q876" t="str">
        <f>IF(M876="","",IF(M876="[FÓRMULA MANUAL]","",IFERROR(SUMPRODUCT((nNIA=M876)*(nCUENTA=1)*(COUNTIF(CONFIG_ASIGNATURAS!$B$7:$B$27,nASIG)&gt;0)*(nNOTA))/SUMPRODUCT((nNIA=M876)*(nCUENTA=1)*(COUNTIF(CONFIG_ASIGNATURAS!$B$7:$B$27,nASIG)&gt;0)*1),"")))</f>
        <v/>
      </c>
      <c r="T876" t="str">
        <f>IF(S876="","",IF(S876="[FÓRMULA MANUAL]","",IFERROR(AVERAGEIFS(nNOTA,nNIA,S876,nCUENTA,1,nASIG,"Armonía"),"")))</f>
        <v/>
      </c>
      <c r="U876" t="str">
        <f>IF(S876="","",IF(S876="[FÓRMULA MANUAL]","",IFERROR(AVERAGEIFS(nNOTA,nNIA,S876,nCUENTA,1,nASIG,"Orquesta/Banda/Conjunto"),"")))</f>
        <v/>
      </c>
      <c r="V876" t="str">
        <f>IF(S876="","",IF(S876="[FÓRMULA MANUAL]","",IFERROR(AVERAGEIFS(nNOTA,nNIA,S876,nCUENTA,1,nASIG,"Música de Cámara"),"")))</f>
        <v/>
      </c>
      <c r="W876" t="str">
        <f>IF(S876="","",IF(S876="[FÓRMULA MANUAL]","",IFERROR(SUMPRODUCT((nNIA=S876)*(nCUENTA=1)*(COUNTIF(CONFIG_ASIGNATURAS!$B$7:$B$27,nASIG)&gt;0)*(nNOTA))/SUMPRODUCT((nNIA=S876)*(nCUENTA=1)*(COUNTIF(CONFIG_ASIGNATURAS!$B$7:$B$27,nASIG)&gt;0)*1),"")))</f>
        <v/>
      </c>
      <c r="Z876" t="str">
        <f>IF(Y876="","",IF(Y876="[FÓRMULA MANUAL]","",IFERROR(AVERAGEIFS(nNOTA,nNIA,Y876,nCUENTA,1,nASIG,"Análisis"),"")))</f>
        <v/>
      </c>
      <c r="AA876" t="str">
        <f>IF(Y876="","",IF(Y876="[FÓRMULA MANUAL]","",IFERROR(AVERAGEIFS(nNOTA,nNIA,Y876,nCUENTA,1,nASIG,"Orquesta/Banda/Conjunto"),"")))</f>
        <v/>
      </c>
      <c r="AB876" t="str">
        <f>IF(Y876="","",IF(Y876="[FÓRMULA MANUAL]","",IFERROR(AVERAGEIFS(nNOTA,nNIA,Y876,nCUENTA,1,nASIG,"Música de Cámara"),"")))</f>
        <v/>
      </c>
      <c r="AC876" t="str">
        <f>IF(Y876="","",IF(Y876="[FÓRMULA MANUAL]","",IFERROR(SUMPRODUCT((nNIA=Y876)*(nCUENTA=1)*(COUNTIF(CONFIG_ASIGNATURAS!$B$7:$B$27,nASIG)&gt;0)*(nNOTA))/SUMPRODUCT((nNIA=Y876)*(nCUENTA=1)*(COUNTIF(CONFIG_ASIGNATURAS!$B$7:$B$27,nASIG)&gt;0)*1),"")))</f>
        <v/>
      </c>
      <c r="AF876" t="str">
        <f>IF(AE876="","",IF(AE876="[FÓRMULA MANUAL]","",IFERROR(AVERAGEIFS(nNOTA,nNIA,AE876,nCUENTA,1,nASIG,"Análisis"),"")))</f>
        <v/>
      </c>
      <c r="AG876" t="str">
        <f>IF(AE876="","",IF(AE876="[FÓRMULA MANUAL]","",IFERROR(AVERAGEIFS(nNOTA,nNIA,AE876,nCUENTA,1,nASIG,"Orquesta/Banda/Conjunto"),"")))</f>
        <v/>
      </c>
      <c r="AH876" t="str">
        <f>IF(AE876="","",IF(AE876="[FÓRMULA MANUAL]","",IFERROR(AVERAGEIFS(nNOTA,nNIA,AE876,nCUENTA,1,nASIG,"Música de Cámara"),"")))</f>
        <v/>
      </c>
      <c r="AI876" t="str">
        <f>IF(AE876="","",IF(AE876="[FÓRMULA MANUAL]","",IFERROR(SUMPRODUCT((nNIA=AE876)*(nCUENTA=1)*(COUNTIF(CONFIG_ASIGNATURAS!$B$7:$B$27,nASIG)&gt;0)*(nNOTA))/SUMPRODUCT((nNIA=AE876)*(nCUENTA=1)*(COUNTIF(CONFIG_ASIGNATURAS!$B$7:$B$27,nASIG)&gt;0)*1),"")))</f>
        <v/>
      </c>
    </row>
    <row r="877" spans="2:35" x14ac:dyDescent="0.2">
      <c r="B877" t="str">
        <f>IF(A877="","",IF(A877="[FÓRMULA MANUAL]","",IFERROR(AVERAGEIFS(nNOTA,nNIA,A877,nCUENTA,1,nASIG,"Lenguaje Musical"),"")))</f>
        <v/>
      </c>
      <c r="C877" t="str">
        <f>IF(A877="","",IF(A877="[FÓRMULA MANUAL]","",IFERROR(AVERAGEIFS(nNOTA,nNIA,A877,nCUENTA,1,nASIG,"Orquesta/Banda/Conjunto"),"")))</f>
        <v/>
      </c>
      <c r="D877" t="str">
        <f>IF(A877="","",IF(A877="[FÓRMULA MANUAL]","",IFERROR(AVERAGEIFS(nNOTA,nNIA,A877,nCUENTA,1,nASIG,"Conjunto"),"")))</f>
        <v/>
      </c>
      <c r="E877" t="str">
        <f>IF(A877="","",IF(A877="[FÓRMULA MANUAL]","",IFERROR(SUMPRODUCT((nNIA=A877)*(nCUENTA=1)*(COUNTIF(CONFIG_ASIGNATURAS!$B$7:$B$27,nASIG)&gt;0)*(nNOTA))/SUMPRODUCT((nNIA=A877)*(nCUENTA=1)*(COUNTIF(CONFIG_ASIGNATURAS!$B$7:$B$27,nASIG)&gt;0)*1),"")))</f>
        <v/>
      </c>
      <c r="H877" t="str">
        <f>IF(G877="","",IF(G877="[FÓRMULA MANUAL]","",IFERROR(AVERAGEIFS(nNOTA,nNIA,G877,nCUENTA,1,nASIG,"Lenguaje Musical"),"")))</f>
        <v/>
      </c>
      <c r="I877" t="str">
        <f>IF(G877="","",IF(G877="[FÓRMULA MANUAL]","",IFERROR(AVERAGEIFS(nNOTA,nNIA,G877,nCUENTA,1,nASIG,"Orquesta/Banda/Conjunto"),"")))</f>
        <v/>
      </c>
      <c r="J877" t="str">
        <f>IF(G877="","",IF(G877="[FÓRMULA MANUAL]","",IFERROR(AVERAGEIFS(nNOTA,nNIA,G877,nCUENTA,1,nASIG,"Conjunto"),"")))</f>
        <v/>
      </c>
      <c r="K877" t="str">
        <f>IF(G877="","",IF(G877="[FÓRMULA MANUAL]","",IFERROR(SUMPRODUCT((nNIA=G877)*(nCUENTA=1)*(COUNTIF(CONFIG_ASIGNATURAS!$B$7:$B$27,nASIG)&gt;0)*(nNOTA))/SUMPRODUCT((nNIA=G877)*(nCUENTA=1)*(COUNTIF(CONFIG_ASIGNATURAS!$B$7:$B$27,nASIG)&gt;0)*1),"")))</f>
        <v/>
      </c>
      <c r="N877" t="str">
        <f>IF(M877="","",IF(M877="[FÓRMULA MANUAL]","",IFERROR(AVERAGEIFS(nNOTA,nNIA,M877,nCUENTA,1,nASIG,"Armonía"),"")))</f>
        <v/>
      </c>
      <c r="O877" t="str">
        <f>IF(M877="","",IF(M877="[FÓRMULA MANUAL]","",IFERROR(AVERAGEIFS(nNOTA,nNIA,M877,nCUENTA,1,nASIG,"Orquesta/Banda/Conjunto"),"")))</f>
        <v/>
      </c>
      <c r="P877" t="str">
        <f>IF(M877="","",IF(M877="[FÓRMULA MANUAL]","",IFERROR(AVERAGEIFS(nNOTA,nNIA,M877,nCUENTA,1,nASIG,"Música de Cámara"),"")))</f>
        <v/>
      </c>
      <c r="Q877" t="str">
        <f>IF(M877="","",IF(M877="[FÓRMULA MANUAL]","",IFERROR(SUMPRODUCT((nNIA=M877)*(nCUENTA=1)*(COUNTIF(CONFIG_ASIGNATURAS!$B$7:$B$27,nASIG)&gt;0)*(nNOTA))/SUMPRODUCT((nNIA=M877)*(nCUENTA=1)*(COUNTIF(CONFIG_ASIGNATURAS!$B$7:$B$27,nASIG)&gt;0)*1),"")))</f>
        <v/>
      </c>
      <c r="T877" t="str">
        <f>IF(S877="","",IF(S877="[FÓRMULA MANUAL]","",IFERROR(AVERAGEIFS(nNOTA,nNIA,S877,nCUENTA,1,nASIG,"Armonía"),"")))</f>
        <v/>
      </c>
      <c r="U877" t="str">
        <f>IF(S877="","",IF(S877="[FÓRMULA MANUAL]","",IFERROR(AVERAGEIFS(nNOTA,nNIA,S877,nCUENTA,1,nASIG,"Orquesta/Banda/Conjunto"),"")))</f>
        <v/>
      </c>
      <c r="V877" t="str">
        <f>IF(S877="","",IF(S877="[FÓRMULA MANUAL]","",IFERROR(AVERAGEIFS(nNOTA,nNIA,S877,nCUENTA,1,nASIG,"Música de Cámara"),"")))</f>
        <v/>
      </c>
      <c r="W877" t="str">
        <f>IF(S877="","",IF(S877="[FÓRMULA MANUAL]","",IFERROR(SUMPRODUCT((nNIA=S877)*(nCUENTA=1)*(COUNTIF(CONFIG_ASIGNATURAS!$B$7:$B$27,nASIG)&gt;0)*(nNOTA))/SUMPRODUCT((nNIA=S877)*(nCUENTA=1)*(COUNTIF(CONFIG_ASIGNATURAS!$B$7:$B$27,nASIG)&gt;0)*1),"")))</f>
        <v/>
      </c>
      <c r="Z877" t="str">
        <f>IF(Y877="","",IF(Y877="[FÓRMULA MANUAL]","",IFERROR(AVERAGEIFS(nNOTA,nNIA,Y877,nCUENTA,1,nASIG,"Análisis"),"")))</f>
        <v/>
      </c>
      <c r="AA877" t="str">
        <f>IF(Y877="","",IF(Y877="[FÓRMULA MANUAL]","",IFERROR(AVERAGEIFS(nNOTA,nNIA,Y877,nCUENTA,1,nASIG,"Orquesta/Banda/Conjunto"),"")))</f>
        <v/>
      </c>
      <c r="AB877" t="str">
        <f>IF(Y877="","",IF(Y877="[FÓRMULA MANUAL]","",IFERROR(AVERAGEIFS(nNOTA,nNIA,Y877,nCUENTA,1,nASIG,"Música de Cámara"),"")))</f>
        <v/>
      </c>
      <c r="AC877" t="str">
        <f>IF(Y877="","",IF(Y877="[FÓRMULA MANUAL]","",IFERROR(SUMPRODUCT((nNIA=Y877)*(nCUENTA=1)*(COUNTIF(CONFIG_ASIGNATURAS!$B$7:$B$27,nASIG)&gt;0)*(nNOTA))/SUMPRODUCT((nNIA=Y877)*(nCUENTA=1)*(COUNTIF(CONFIG_ASIGNATURAS!$B$7:$B$27,nASIG)&gt;0)*1),"")))</f>
        <v/>
      </c>
      <c r="AF877" t="str">
        <f>IF(AE877="","",IF(AE877="[FÓRMULA MANUAL]","",IFERROR(AVERAGEIFS(nNOTA,nNIA,AE877,nCUENTA,1,nASIG,"Análisis"),"")))</f>
        <v/>
      </c>
      <c r="AG877" t="str">
        <f>IF(AE877="","",IF(AE877="[FÓRMULA MANUAL]","",IFERROR(AVERAGEIFS(nNOTA,nNIA,AE877,nCUENTA,1,nASIG,"Orquesta/Banda/Conjunto"),"")))</f>
        <v/>
      </c>
      <c r="AH877" t="str">
        <f>IF(AE877="","",IF(AE877="[FÓRMULA MANUAL]","",IFERROR(AVERAGEIFS(nNOTA,nNIA,AE877,nCUENTA,1,nASIG,"Música de Cámara"),"")))</f>
        <v/>
      </c>
      <c r="AI877" t="str">
        <f>IF(AE877="","",IF(AE877="[FÓRMULA MANUAL]","",IFERROR(SUMPRODUCT((nNIA=AE877)*(nCUENTA=1)*(COUNTIF(CONFIG_ASIGNATURAS!$B$7:$B$27,nASIG)&gt;0)*(nNOTA))/SUMPRODUCT((nNIA=AE877)*(nCUENTA=1)*(COUNTIF(CONFIG_ASIGNATURAS!$B$7:$B$27,nASIG)&gt;0)*1),"")))</f>
        <v/>
      </c>
    </row>
    <row r="878" spans="2:35" x14ac:dyDescent="0.2">
      <c r="B878" t="str">
        <f>IF(A878="","",IF(A878="[FÓRMULA MANUAL]","",IFERROR(AVERAGEIFS(nNOTA,nNIA,A878,nCUENTA,1,nASIG,"Lenguaje Musical"),"")))</f>
        <v/>
      </c>
      <c r="C878" t="str">
        <f>IF(A878="","",IF(A878="[FÓRMULA MANUAL]","",IFERROR(AVERAGEIFS(nNOTA,nNIA,A878,nCUENTA,1,nASIG,"Orquesta/Banda/Conjunto"),"")))</f>
        <v/>
      </c>
      <c r="D878" t="str">
        <f>IF(A878="","",IF(A878="[FÓRMULA MANUAL]","",IFERROR(AVERAGEIFS(nNOTA,nNIA,A878,nCUENTA,1,nASIG,"Conjunto"),"")))</f>
        <v/>
      </c>
      <c r="E878" t="str">
        <f>IF(A878="","",IF(A878="[FÓRMULA MANUAL]","",IFERROR(SUMPRODUCT((nNIA=A878)*(nCUENTA=1)*(COUNTIF(CONFIG_ASIGNATURAS!$B$7:$B$27,nASIG)&gt;0)*(nNOTA))/SUMPRODUCT((nNIA=A878)*(nCUENTA=1)*(COUNTIF(CONFIG_ASIGNATURAS!$B$7:$B$27,nASIG)&gt;0)*1),"")))</f>
        <v/>
      </c>
      <c r="H878" t="str">
        <f>IF(G878="","",IF(G878="[FÓRMULA MANUAL]","",IFERROR(AVERAGEIFS(nNOTA,nNIA,G878,nCUENTA,1,nASIG,"Lenguaje Musical"),"")))</f>
        <v/>
      </c>
      <c r="I878" t="str">
        <f>IF(G878="","",IF(G878="[FÓRMULA MANUAL]","",IFERROR(AVERAGEIFS(nNOTA,nNIA,G878,nCUENTA,1,nASIG,"Orquesta/Banda/Conjunto"),"")))</f>
        <v/>
      </c>
      <c r="J878" t="str">
        <f>IF(G878="","",IF(G878="[FÓRMULA MANUAL]","",IFERROR(AVERAGEIFS(nNOTA,nNIA,G878,nCUENTA,1,nASIG,"Conjunto"),"")))</f>
        <v/>
      </c>
      <c r="K878" t="str">
        <f>IF(G878="","",IF(G878="[FÓRMULA MANUAL]","",IFERROR(SUMPRODUCT((nNIA=G878)*(nCUENTA=1)*(COUNTIF(CONFIG_ASIGNATURAS!$B$7:$B$27,nASIG)&gt;0)*(nNOTA))/SUMPRODUCT((nNIA=G878)*(nCUENTA=1)*(COUNTIF(CONFIG_ASIGNATURAS!$B$7:$B$27,nASIG)&gt;0)*1),"")))</f>
        <v/>
      </c>
      <c r="N878" t="str">
        <f>IF(M878="","",IF(M878="[FÓRMULA MANUAL]","",IFERROR(AVERAGEIFS(nNOTA,nNIA,M878,nCUENTA,1,nASIG,"Armonía"),"")))</f>
        <v/>
      </c>
      <c r="O878" t="str">
        <f>IF(M878="","",IF(M878="[FÓRMULA MANUAL]","",IFERROR(AVERAGEIFS(nNOTA,nNIA,M878,nCUENTA,1,nASIG,"Orquesta/Banda/Conjunto"),"")))</f>
        <v/>
      </c>
      <c r="P878" t="str">
        <f>IF(M878="","",IF(M878="[FÓRMULA MANUAL]","",IFERROR(AVERAGEIFS(nNOTA,nNIA,M878,nCUENTA,1,nASIG,"Música de Cámara"),"")))</f>
        <v/>
      </c>
      <c r="Q878" t="str">
        <f>IF(M878="","",IF(M878="[FÓRMULA MANUAL]","",IFERROR(SUMPRODUCT((nNIA=M878)*(nCUENTA=1)*(COUNTIF(CONFIG_ASIGNATURAS!$B$7:$B$27,nASIG)&gt;0)*(nNOTA))/SUMPRODUCT((nNIA=M878)*(nCUENTA=1)*(COUNTIF(CONFIG_ASIGNATURAS!$B$7:$B$27,nASIG)&gt;0)*1),"")))</f>
        <v/>
      </c>
      <c r="T878" t="str">
        <f>IF(S878="","",IF(S878="[FÓRMULA MANUAL]","",IFERROR(AVERAGEIFS(nNOTA,nNIA,S878,nCUENTA,1,nASIG,"Armonía"),"")))</f>
        <v/>
      </c>
      <c r="U878" t="str">
        <f>IF(S878="","",IF(S878="[FÓRMULA MANUAL]","",IFERROR(AVERAGEIFS(nNOTA,nNIA,S878,nCUENTA,1,nASIG,"Orquesta/Banda/Conjunto"),"")))</f>
        <v/>
      </c>
      <c r="V878" t="str">
        <f>IF(S878="","",IF(S878="[FÓRMULA MANUAL]","",IFERROR(AVERAGEIFS(nNOTA,nNIA,S878,nCUENTA,1,nASIG,"Música de Cámara"),"")))</f>
        <v/>
      </c>
      <c r="W878" t="str">
        <f>IF(S878="","",IF(S878="[FÓRMULA MANUAL]","",IFERROR(SUMPRODUCT((nNIA=S878)*(nCUENTA=1)*(COUNTIF(CONFIG_ASIGNATURAS!$B$7:$B$27,nASIG)&gt;0)*(nNOTA))/SUMPRODUCT((nNIA=S878)*(nCUENTA=1)*(COUNTIF(CONFIG_ASIGNATURAS!$B$7:$B$27,nASIG)&gt;0)*1),"")))</f>
        <v/>
      </c>
      <c r="Z878" t="str">
        <f>IF(Y878="","",IF(Y878="[FÓRMULA MANUAL]","",IFERROR(AVERAGEIFS(nNOTA,nNIA,Y878,nCUENTA,1,nASIG,"Análisis"),"")))</f>
        <v/>
      </c>
      <c r="AA878" t="str">
        <f>IF(Y878="","",IF(Y878="[FÓRMULA MANUAL]","",IFERROR(AVERAGEIFS(nNOTA,nNIA,Y878,nCUENTA,1,nASIG,"Orquesta/Banda/Conjunto"),"")))</f>
        <v/>
      </c>
      <c r="AB878" t="str">
        <f>IF(Y878="","",IF(Y878="[FÓRMULA MANUAL]","",IFERROR(AVERAGEIFS(nNOTA,nNIA,Y878,nCUENTA,1,nASIG,"Música de Cámara"),"")))</f>
        <v/>
      </c>
      <c r="AC878" t="str">
        <f>IF(Y878="","",IF(Y878="[FÓRMULA MANUAL]","",IFERROR(SUMPRODUCT((nNIA=Y878)*(nCUENTA=1)*(COUNTIF(CONFIG_ASIGNATURAS!$B$7:$B$27,nASIG)&gt;0)*(nNOTA))/SUMPRODUCT((nNIA=Y878)*(nCUENTA=1)*(COUNTIF(CONFIG_ASIGNATURAS!$B$7:$B$27,nASIG)&gt;0)*1),"")))</f>
        <v/>
      </c>
      <c r="AF878" t="str">
        <f>IF(AE878="","",IF(AE878="[FÓRMULA MANUAL]","",IFERROR(AVERAGEIFS(nNOTA,nNIA,AE878,nCUENTA,1,nASIG,"Análisis"),"")))</f>
        <v/>
      </c>
      <c r="AG878" t="str">
        <f>IF(AE878="","",IF(AE878="[FÓRMULA MANUAL]","",IFERROR(AVERAGEIFS(nNOTA,nNIA,AE878,nCUENTA,1,nASIG,"Orquesta/Banda/Conjunto"),"")))</f>
        <v/>
      </c>
      <c r="AH878" t="str">
        <f>IF(AE878="","",IF(AE878="[FÓRMULA MANUAL]","",IFERROR(AVERAGEIFS(nNOTA,nNIA,AE878,nCUENTA,1,nASIG,"Música de Cámara"),"")))</f>
        <v/>
      </c>
      <c r="AI878" t="str">
        <f>IF(AE878="","",IF(AE878="[FÓRMULA MANUAL]","",IFERROR(SUMPRODUCT((nNIA=AE878)*(nCUENTA=1)*(COUNTIF(CONFIG_ASIGNATURAS!$B$7:$B$27,nASIG)&gt;0)*(nNOTA))/SUMPRODUCT((nNIA=AE878)*(nCUENTA=1)*(COUNTIF(CONFIG_ASIGNATURAS!$B$7:$B$27,nASIG)&gt;0)*1),"")))</f>
        <v/>
      </c>
    </row>
    <row r="879" spans="2:35" x14ac:dyDescent="0.2">
      <c r="B879" t="str">
        <f>IF(A879="","",IF(A879="[FÓRMULA MANUAL]","",IFERROR(AVERAGEIFS(nNOTA,nNIA,A879,nCUENTA,1,nASIG,"Lenguaje Musical"),"")))</f>
        <v/>
      </c>
      <c r="C879" t="str">
        <f>IF(A879="","",IF(A879="[FÓRMULA MANUAL]","",IFERROR(AVERAGEIFS(nNOTA,nNIA,A879,nCUENTA,1,nASIG,"Orquesta/Banda/Conjunto"),"")))</f>
        <v/>
      </c>
      <c r="D879" t="str">
        <f>IF(A879="","",IF(A879="[FÓRMULA MANUAL]","",IFERROR(AVERAGEIFS(nNOTA,nNIA,A879,nCUENTA,1,nASIG,"Conjunto"),"")))</f>
        <v/>
      </c>
      <c r="E879" t="str">
        <f>IF(A879="","",IF(A879="[FÓRMULA MANUAL]","",IFERROR(SUMPRODUCT((nNIA=A879)*(nCUENTA=1)*(COUNTIF(CONFIG_ASIGNATURAS!$B$7:$B$27,nASIG)&gt;0)*(nNOTA))/SUMPRODUCT((nNIA=A879)*(nCUENTA=1)*(COUNTIF(CONFIG_ASIGNATURAS!$B$7:$B$27,nASIG)&gt;0)*1),"")))</f>
        <v/>
      </c>
      <c r="H879" t="str">
        <f>IF(G879="","",IF(G879="[FÓRMULA MANUAL]","",IFERROR(AVERAGEIFS(nNOTA,nNIA,G879,nCUENTA,1,nASIG,"Lenguaje Musical"),"")))</f>
        <v/>
      </c>
      <c r="I879" t="str">
        <f>IF(G879="","",IF(G879="[FÓRMULA MANUAL]","",IFERROR(AVERAGEIFS(nNOTA,nNIA,G879,nCUENTA,1,nASIG,"Orquesta/Banda/Conjunto"),"")))</f>
        <v/>
      </c>
      <c r="J879" t="str">
        <f>IF(G879="","",IF(G879="[FÓRMULA MANUAL]","",IFERROR(AVERAGEIFS(nNOTA,nNIA,G879,nCUENTA,1,nASIG,"Conjunto"),"")))</f>
        <v/>
      </c>
      <c r="K879" t="str">
        <f>IF(G879="","",IF(G879="[FÓRMULA MANUAL]","",IFERROR(SUMPRODUCT((nNIA=G879)*(nCUENTA=1)*(COUNTIF(CONFIG_ASIGNATURAS!$B$7:$B$27,nASIG)&gt;0)*(nNOTA))/SUMPRODUCT((nNIA=G879)*(nCUENTA=1)*(COUNTIF(CONFIG_ASIGNATURAS!$B$7:$B$27,nASIG)&gt;0)*1),"")))</f>
        <v/>
      </c>
      <c r="N879" t="str">
        <f>IF(M879="","",IF(M879="[FÓRMULA MANUAL]","",IFERROR(AVERAGEIFS(nNOTA,nNIA,M879,nCUENTA,1,nASIG,"Armonía"),"")))</f>
        <v/>
      </c>
      <c r="O879" t="str">
        <f>IF(M879="","",IF(M879="[FÓRMULA MANUAL]","",IFERROR(AVERAGEIFS(nNOTA,nNIA,M879,nCUENTA,1,nASIG,"Orquesta/Banda/Conjunto"),"")))</f>
        <v/>
      </c>
      <c r="P879" t="str">
        <f>IF(M879="","",IF(M879="[FÓRMULA MANUAL]","",IFERROR(AVERAGEIFS(nNOTA,nNIA,M879,nCUENTA,1,nASIG,"Música de Cámara"),"")))</f>
        <v/>
      </c>
      <c r="Q879" t="str">
        <f>IF(M879="","",IF(M879="[FÓRMULA MANUAL]","",IFERROR(SUMPRODUCT((nNIA=M879)*(nCUENTA=1)*(COUNTIF(CONFIG_ASIGNATURAS!$B$7:$B$27,nASIG)&gt;0)*(nNOTA))/SUMPRODUCT((nNIA=M879)*(nCUENTA=1)*(COUNTIF(CONFIG_ASIGNATURAS!$B$7:$B$27,nASIG)&gt;0)*1),"")))</f>
        <v/>
      </c>
      <c r="T879" t="str">
        <f>IF(S879="","",IF(S879="[FÓRMULA MANUAL]","",IFERROR(AVERAGEIFS(nNOTA,nNIA,S879,nCUENTA,1,nASIG,"Armonía"),"")))</f>
        <v/>
      </c>
      <c r="U879" t="str">
        <f>IF(S879="","",IF(S879="[FÓRMULA MANUAL]","",IFERROR(AVERAGEIFS(nNOTA,nNIA,S879,nCUENTA,1,nASIG,"Orquesta/Banda/Conjunto"),"")))</f>
        <v/>
      </c>
      <c r="V879" t="str">
        <f>IF(S879="","",IF(S879="[FÓRMULA MANUAL]","",IFERROR(AVERAGEIFS(nNOTA,nNIA,S879,nCUENTA,1,nASIG,"Música de Cámara"),"")))</f>
        <v/>
      </c>
      <c r="W879" t="str">
        <f>IF(S879="","",IF(S879="[FÓRMULA MANUAL]","",IFERROR(SUMPRODUCT((nNIA=S879)*(nCUENTA=1)*(COUNTIF(CONFIG_ASIGNATURAS!$B$7:$B$27,nASIG)&gt;0)*(nNOTA))/SUMPRODUCT((nNIA=S879)*(nCUENTA=1)*(COUNTIF(CONFIG_ASIGNATURAS!$B$7:$B$27,nASIG)&gt;0)*1),"")))</f>
        <v/>
      </c>
      <c r="Z879" t="str">
        <f>IF(Y879="","",IF(Y879="[FÓRMULA MANUAL]","",IFERROR(AVERAGEIFS(nNOTA,nNIA,Y879,nCUENTA,1,nASIG,"Análisis"),"")))</f>
        <v/>
      </c>
      <c r="AA879" t="str">
        <f>IF(Y879="","",IF(Y879="[FÓRMULA MANUAL]","",IFERROR(AVERAGEIFS(nNOTA,nNIA,Y879,nCUENTA,1,nASIG,"Orquesta/Banda/Conjunto"),"")))</f>
        <v/>
      </c>
      <c r="AB879" t="str">
        <f>IF(Y879="","",IF(Y879="[FÓRMULA MANUAL]","",IFERROR(AVERAGEIFS(nNOTA,nNIA,Y879,nCUENTA,1,nASIG,"Música de Cámara"),"")))</f>
        <v/>
      </c>
      <c r="AC879" t="str">
        <f>IF(Y879="","",IF(Y879="[FÓRMULA MANUAL]","",IFERROR(SUMPRODUCT((nNIA=Y879)*(nCUENTA=1)*(COUNTIF(CONFIG_ASIGNATURAS!$B$7:$B$27,nASIG)&gt;0)*(nNOTA))/SUMPRODUCT((nNIA=Y879)*(nCUENTA=1)*(COUNTIF(CONFIG_ASIGNATURAS!$B$7:$B$27,nASIG)&gt;0)*1),"")))</f>
        <v/>
      </c>
      <c r="AF879" t="str">
        <f>IF(AE879="","",IF(AE879="[FÓRMULA MANUAL]","",IFERROR(AVERAGEIFS(nNOTA,nNIA,AE879,nCUENTA,1,nASIG,"Análisis"),"")))</f>
        <v/>
      </c>
      <c r="AG879" t="str">
        <f>IF(AE879="","",IF(AE879="[FÓRMULA MANUAL]","",IFERROR(AVERAGEIFS(nNOTA,nNIA,AE879,nCUENTA,1,nASIG,"Orquesta/Banda/Conjunto"),"")))</f>
        <v/>
      </c>
      <c r="AH879" t="str">
        <f>IF(AE879="","",IF(AE879="[FÓRMULA MANUAL]","",IFERROR(AVERAGEIFS(nNOTA,nNIA,AE879,nCUENTA,1,nASIG,"Música de Cámara"),"")))</f>
        <v/>
      </c>
      <c r="AI879" t="str">
        <f>IF(AE879="","",IF(AE879="[FÓRMULA MANUAL]","",IFERROR(SUMPRODUCT((nNIA=AE879)*(nCUENTA=1)*(COUNTIF(CONFIG_ASIGNATURAS!$B$7:$B$27,nASIG)&gt;0)*(nNOTA))/SUMPRODUCT((nNIA=AE879)*(nCUENTA=1)*(COUNTIF(CONFIG_ASIGNATURAS!$B$7:$B$27,nASIG)&gt;0)*1),"")))</f>
        <v/>
      </c>
    </row>
    <row r="880" spans="2:35" x14ac:dyDescent="0.2">
      <c r="B880" t="str">
        <f>IF(A880="","",IF(A880="[FÓRMULA MANUAL]","",IFERROR(AVERAGEIFS(nNOTA,nNIA,A880,nCUENTA,1,nASIG,"Lenguaje Musical"),"")))</f>
        <v/>
      </c>
      <c r="C880" t="str">
        <f>IF(A880="","",IF(A880="[FÓRMULA MANUAL]","",IFERROR(AVERAGEIFS(nNOTA,nNIA,A880,nCUENTA,1,nASIG,"Orquesta/Banda/Conjunto"),"")))</f>
        <v/>
      </c>
      <c r="D880" t="str">
        <f>IF(A880="","",IF(A880="[FÓRMULA MANUAL]","",IFERROR(AVERAGEIFS(nNOTA,nNIA,A880,nCUENTA,1,nASIG,"Conjunto"),"")))</f>
        <v/>
      </c>
      <c r="E880" t="str">
        <f>IF(A880="","",IF(A880="[FÓRMULA MANUAL]","",IFERROR(SUMPRODUCT((nNIA=A880)*(nCUENTA=1)*(COUNTIF(CONFIG_ASIGNATURAS!$B$7:$B$27,nASIG)&gt;0)*(nNOTA))/SUMPRODUCT((nNIA=A880)*(nCUENTA=1)*(COUNTIF(CONFIG_ASIGNATURAS!$B$7:$B$27,nASIG)&gt;0)*1),"")))</f>
        <v/>
      </c>
      <c r="H880" t="str">
        <f>IF(G880="","",IF(G880="[FÓRMULA MANUAL]","",IFERROR(AVERAGEIFS(nNOTA,nNIA,G880,nCUENTA,1,nASIG,"Lenguaje Musical"),"")))</f>
        <v/>
      </c>
      <c r="I880" t="str">
        <f>IF(G880="","",IF(G880="[FÓRMULA MANUAL]","",IFERROR(AVERAGEIFS(nNOTA,nNIA,G880,nCUENTA,1,nASIG,"Orquesta/Banda/Conjunto"),"")))</f>
        <v/>
      </c>
      <c r="J880" t="str">
        <f>IF(G880="","",IF(G880="[FÓRMULA MANUAL]","",IFERROR(AVERAGEIFS(nNOTA,nNIA,G880,nCUENTA,1,nASIG,"Conjunto"),"")))</f>
        <v/>
      </c>
      <c r="K880" t="str">
        <f>IF(G880="","",IF(G880="[FÓRMULA MANUAL]","",IFERROR(SUMPRODUCT((nNIA=G880)*(nCUENTA=1)*(COUNTIF(CONFIG_ASIGNATURAS!$B$7:$B$27,nASIG)&gt;0)*(nNOTA))/SUMPRODUCT((nNIA=G880)*(nCUENTA=1)*(COUNTIF(CONFIG_ASIGNATURAS!$B$7:$B$27,nASIG)&gt;0)*1),"")))</f>
        <v/>
      </c>
      <c r="N880" t="str">
        <f>IF(M880="","",IF(M880="[FÓRMULA MANUAL]","",IFERROR(AVERAGEIFS(nNOTA,nNIA,M880,nCUENTA,1,nASIG,"Armonía"),"")))</f>
        <v/>
      </c>
      <c r="O880" t="str">
        <f>IF(M880="","",IF(M880="[FÓRMULA MANUAL]","",IFERROR(AVERAGEIFS(nNOTA,nNIA,M880,nCUENTA,1,nASIG,"Orquesta/Banda/Conjunto"),"")))</f>
        <v/>
      </c>
      <c r="P880" t="str">
        <f>IF(M880="","",IF(M880="[FÓRMULA MANUAL]","",IFERROR(AVERAGEIFS(nNOTA,nNIA,M880,nCUENTA,1,nASIG,"Música de Cámara"),"")))</f>
        <v/>
      </c>
      <c r="Q880" t="str">
        <f>IF(M880="","",IF(M880="[FÓRMULA MANUAL]","",IFERROR(SUMPRODUCT((nNIA=M880)*(nCUENTA=1)*(COUNTIF(CONFIG_ASIGNATURAS!$B$7:$B$27,nASIG)&gt;0)*(nNOTA))/SUMPRODUCT((nNIA=M880)*(nCUENTA=1)*(COUNTIF(CONFIG_ASIGNATURAS!$B$7:$B$27,nASIG)&gt;0)*1),"")))</f>
        <v/>
      </c>
      <c r="T880" t="str">
        <f>IF(S880="","",IF(S880="[FÓRMULA MANUAL]","",IFERROR(AVERAGEIFS(nNOTA,nNIA,S880,nCUENTA,1,nASIG,"Armonía"),"")))</f>
        <v/>
      </c>
      <c r="U880" t="str">
        <f>IF(S880="","",IF(S880="[FÓRMULA MANUAL]","",IFERROR(AVERAGEIFS(nNOTA,nNIA,S880,nCUENTA,1,nASIG,"Orquesta/Banda/Conjunto"),"")))</f>
        <v/>
      </c>
      <c r="V880" t="str">
        <f>IF(S880="","",IF(S880="[FÓRMULA MANUAL]","",IFERROR(AVERAGEIFS(nNOTA,nNIA,S880,nCUENTA,1,nASIG,"Música de Cámara"),"")))</f>
        <v/>
      </c>
      <c r="W880" t="str">
        <f>IF(S880="","",IF(S880="[FÓRMULA MANUAL]","",IFERROR(SUMPRODUCT((nNIA=S880)*(nCUENTA=1)*(COUNTIF(CONFIG_ASIGNATURAS!$B$7:$B$27,nASIG)&gt;0)*(nNOTA))/SUMPRODUCT((nNIA=S880)*(nCUENTA=1)*(COUNTIF(CONFIG_ASIGNATURAS!$B$7:$B$27,nASIG)&gt;0)*1),"")))</f>
        <v/>
      </c>
      <c r="Z880" t="str">
        <f>IF(Y880="","",IF(Y880="[FÓRMULA MANUAL]","",IFERROR(AVERAGEIFS(nNOTA,nNIA,Y880,nCUENTA,1,nASIG,"Análisis"),"")))</f>
        <v/>
      </c>
      <c r="AA880" t="str">
        <f>IF(Y880="","",IF(Y880="[FÓRMULA MANUAL]","",IFERROR(AVERAGEIFS(nNOTA,nNIA,Y880,nCUENTA,1,nASIG,"Orquesta/Banda/Conjunto"),"")))</f>
        <v/>
      </c>
      <c r="AB880" t="str">
        <f>IF(Y880="","",IF(Y880="[FÓRMULA MANUAL]","",IFERROR(AVERAGEIFS(nNOTA,nNIA,Y880,nCUENTA,1,nASIG,"Música de Cámara"),"")))</f>
        <v/>
      </c>
      <c r="AC880" t="str">
        <f>IF(Y880="","",IF(Y880="[FÓRMULA MANUAL]","",IFERROR(SUMPRODUCT((nNIA=Y880)*(nCUENTA=1)*(COUNTIF(CONFIG_ASIGNATURAS!$B$7:$B$27,nASIG)&gt;0)*(nNOTA))/SUMPRODUCT((nNIA=Y880)*(nCUENTA=1)*(COUNTIF(CONFIG_ASIGNATURAS!$B$7:$B$27,nASIG)&gt;0)*1),"")))</f>
        <v/>
      </c>
      <c r="AF880" t="str">
        <f>IF(AE880="","",IF(AE880="[FÓRMULA MANUAL]","",IFERROR(AVERAGEIFS(nNOTA,nNIA,AE880,nCUENTA,1,nASIG,"Análisis"),"")))</f>
        <v/>
      </c>
      <c r="AG880" t="str">
        <f>IF(AE880="","",IF(AE880="[FÓRMULA MANUAL]","",IFERROR(AVERAGEIFS(nNOTA,nNIA,AE880,nCUENTA,1,nASIG,"Orquesta/Banda/Conjunto"),"")))</f>
        <v/>
      </c>
      <c r="AH880" t="str">
        <f>IF(AE880="","",IF(AE880="[FÓRMULA MANUAL]","",IFERROR(AVERAGEIFS(nNOTA,nNIA,AE880,nCUENTA,1,nASIG,"Música de Cámara"),"")))</f>
        <v/>
      </c>
      <c r="AI880" t="str">
        <f>IF(AE880="","",IF(AE880="[FÓRMULA MANUAL]","",IFERROR(SUMPRODUCT((nNIA=AE880)*(nCUENTA=1)*(COUNTIF(CONFIG_ASIGNATURAS!$B$7:$B$27,nASIG)&gt;0)*(nNOTA))/SUMPRODUCT((nNIA=AE880)*(nCUENTA=1)*(COUNTIF(CONFIG_ASIGNATURAS!$B$7:$B$27,nASIG)&gt;0)*1),"")))</f>
        <v/>
      </c>
    </row>
    <row r="881" spans="2:35" x14ac:dyDescent="0.2">
      <c r="B881" t="str">
        <f>IF(A881="","",IF(A881="[FÓRMULA MANUAL]","",IFERROR(AVERAGEIFS(nNOTA,nNIA,A881,nCUENTA,1,nASIG,"Lenguaje Musical"),"")))</f>
        <v/>
      </c>
      <c r="C881" t="str">
        <f>IF(A881="","",IF(A881="[FÓRMULA MANUAL]","",IFERROR(AVERAGEIFS(nNOTA,nNIA,A881,nCUENTA,1,nASIG,"Orquesta/Banda/Conjunto"),"")))</f>
        <v/>
      </c>
      <c r="D881" t="str">
        <f>IF(A881="","",IF(A881="[FÓRMULA MANUAL]","",IFERROR(AVERAGEIFS(nNOTA,nNIA,A881,nCUENTA,1,nASIG,"Conjunto"),"")))</f>
        <v/>
      </c>
      <c r="E881" t="str">
        <f>IF(A881="","",IF(A881="[FÓRMULA MANUAL]","",IFERROR(SUMPRODUCT((nNIA=A881)*(nCUENTA=1)*(COUNTIF(CONFIG_ASIGNATURAS!$B$7:$B$27,nASIG)&gt;0)*(nNOTA))/SUMPRODUCT((nNIA=A881)*(nCUENTA=1)*(COUNTIF(CONFIG_ASIGNATURAS!$B$7:$B$27,nASIG)&gt;0)*1),"")))</f>
        <v/>
      </c>
      <c r="H881" t="str">
        <f>IF(G881="","",IF(G881="[FÓRMULA MANUAL]","",IFERROR(AVERAGEIFS(nNOTA,nNIA,G881,nCUENTA,1,nASIG,"Lenguaje Musical"),"")))</f>
        <v/>
      </c>
      <c r="I881" t="str">
        <f>IF(G881="","",IF(G881="[FÓRMULA MANUAL]","",IFERROR(AVERAGEIFS(nNOTA,nNIA,G881,nCUENTA,1,nASIG,"Orquesta/Banda/Conjunto"),"")))</f>
        <v/>
      </c>
      <c r="J881" t="str">
        <f>IF(G881="","",IF(G881="[FÓRMULA MANUAL]","",IFERROR(AVERAGEIFS(nNOTA,nNIA,G881,nCUENTA,1,nASIG,"Conjunto"),"")))</f>
        <v/>
      </c>
      <c r="K881" t="str">
        <f>IF(G881="","",IF(G881="[FÓRMULA MANUAL]","",IFERROR(SUMPRODUCT((nNIA=G881)*(nCUENTA=1)*(COUNTIF(CONFIG_ASIGNATURAS!$B$7:$B$27,nASIG)&gt;0)*(nNOTA))/SUMPRODUCT((nNIA=G881)*(nCUENTA=1)*(COUNTIF(CONFIG_ASIGNATURAS!$B$7:$B$27,nASIG)&gt;0)*1),"")))</f>
        <v/>
      </c>
      <c r="N881" t="str">
        <f>IF(M881="","",IF(M881="[FÓRMULA MANUAL]","",IFERROR(AVERAGEIFS(nNOTA,nNIA,M881,nCUENTA,1,nASIG,"Armonía"),"")))</f>
        <v/>
      </c>
      <c r="O881" t="str">
        <f>IF(M881="","",IF(M881="[FÓRMULA MANUAL]","",IFERROR(AVERAGEIFS(nNOTA,nNIA,M881,nCUENTA,1,nASIG,"Orquesta/Banda/Conjunto"),"")))</f>
        <v/>
      </c>
      <c r="P881" t="str">
        <f>IF(M881="","",IF(M881="[FÓRMULA MANUAL]","",IFERROR(AVERAGEIFS(nNOTA,nNIA,M881,nCUENTA,1,nASIG,"Música de Cámara"),"")))</f>
        <v/>
      </c>
      <c r="Q881" t="str">
        <f>IF(M881="","",IF(M881="[FÓRMULA MANUAL]","",IFERROR(SUMPRODUCT((nNIA=M881)*(nCUENTA=1)*(COUNTIF(CONFIG_ASIGNATURAS!$B$7:$B$27,nASIG)&gt;0)*(nNOTA))/SUMPRODUCT((nNIA=M881)*(nCUENTA=1)*(COUNTIF(CONFIG_ASIGNATURAS!$B$7:$B$27,nASIG)&gt;0)*1),"")))</f>
        <v/>
      </c>
      <c r="T881" t="str">
        <f>IF(S881="","",IF(S881="[FÓRMULA MANUAL]","",IFERROR(AVERAGEIFS(nNOTA,nNIA,S881,nCUENTA,1,nASIG,"Armonía"),"")))</f>
        <v/>
      </c>
      <c r="U881" t="str">
        <f>IF(S881="","",IF(S881="[FÓRMULA MANUAL]","",IFERROR(AVERAGEIFS(nNOTA,nNIA,S881,nCUENTA,1,nASIG,"Orquesta/Banda/Conjunto"),"")))</f>
        <v/>
      </c>
      <c r="V881" t="str">
        <f>IF(S881="","",IF(S881="[FÓRMULA MANUAL]","",IFERROR(AVERAGEIFS(nNOTA,nNIA,S881,nCUENTA,1,nASIG,"Música de Cámara"),"")))</f>
        <v/>
      </c>
      <c r="W881" t="str">
        <f>IF(S881="","",IF(S881="[FÓRMULA MANUAL]","",IFERROR(SUMPRODUCT((nNIA=S881)*(nCUENTA=1)*(COUNTIF(CONFIG_ASIGNATURAS!$B$7:$B$27,nASIG)&gt;0)*(nNOTA))/SUMPRODUCT((nNIA=S881)*(nCUENTA=1)*(COUNTIF(CONFIG_ASIGNATURAS!$B$7:$B$27,nASIG)&gt;0)*1),"")))</f>
        <v/>
      </c>
      <c r="Z881" t="str">
        <f>IF(Y881="","",IF(Y881="[FÓRMULA MANUAL]","",IFERROR(AVERAGEIFS(nNOTA,nNIA,Y881,nCUENTA,1,nASIG,"Análisis"),"")))</f>
        <v/>
      </c>
      <c r="AA881" t="str">
        <f>IF(Y881="","",IF(Y881="[FÓRMULA MANUAL]","",IFERROR(AVERAGEIFS(nNOTA,nNIA,Y881,nCUENTA,1,nASIG,"Orquesta/Banda/Conjunto"),"")))</f>
        <v/>
      </c>
      <c r="AB881" t="str">
        <f>IF(Y881="","",IF(Y881="[FÓRMULA MANUAL]","",IFERROR(AVERAGEIFS(nNOTA,nNIA,Y881,nCUENTA,1,nASIG,"Música de Cámara"),"")))</f>
        <v/>
      </c>
      <c r="AC881" t="str">
        <f>IF(Y881="","",IF(Y881="[FÓRMULA MANUAL]","",IFERROR(SUMPRODUCT((nNIA=Y881)*(nCUENTA=1)*(COUNTIF(CONFIG_ASIGNATURAS!$B$7:$B$27,nASIG)&gt;0)*(nNOTA))/SUMPRODUCT((nNIA=Y881)*(nCUENTA=1)*(COUNTIF(CONFIG_ASIGNATURAS!$B$7:$B$27,nASIG)&gt;0)*1),"")))</f>
        <v/>
      </c>
      <c r="AF881" t="str">
        <f>IF(AE881="","",IF(AE881="[FÓRMULA MANUAL]","",IFERROR(AVERAGEIFS(nNOTA,nNIA,AE881,nCUENTA,1,nASIG,"Análisis"),"")))</f>
        <v/>
      </c>
      <c r="AG881" t="str">
        <f>IF(AE881="","",IF(AE881="[FÓRMULA MANUAL]","",IFERROR(AVERAGEIFS(nNOTA,nNIA,AE881,nCUENTA,1,nASIG,"Orquesta/Banda/Conjunto"),"")))</f>
        <v/>
      </c>
      <c r="AH881" t="str">
        <f>IF(AE881="","",IF(AE881="[FÓRMULA MANUAL]","",IFERROR(AVERAGEIFS(nNOTA,nNIA,AE881,nCUENTA,1,nASIG,"Música de Cámara"),"")))</f>
        <v/>
      </c>
      <c r="AI881" t="str">
        <f>IF(AE881="","",IF(AE881="[FÓRMULA MANUAL]","",IFERROR(SUMPRODUCT((nNIA=AE881)*(nCUENTA=1)*(COUNTIF(CONFIG_ASIGNATURAS!$B$7:$B$27,nASIG)&gt;0)*(nNOTA))/SUMPRODUCT((nNIA=AE881)*(nCUENTA=1)*(COUNTIF(CONFIG_ASIGNATURAS!$B$7:$B$27,nASIG)&gt;0)*1),"")))</f>
        <v/>
      </c>
    </row>
    <row r="882" spans="2:35" x14ac:dyDescent="0.2">
      <c r="B882" t="str">
        <f>IF(A882="","",IF(A882="[FÓRMULA MANUAL]","",IFERROR(AVERAGEIFS(nNOTA,nNIA,A882,nCUENTA,1,nASIG,"Lenguaje Musical"),"")))</f>
        <v/>
      </c>
      <c r="C882" t="str">
        <f>IF(A882="","",IF(A882="[FÓRMULA MANUAL]","",IFERROR(AVERAGEIFS(nNOTA,nNIA,A882,nCUENTA,1,nASIG,"Orquesta/Banda/Conjunto"),"")))</f>
        <v/>
      </c>
      <c r="D882" t="str">
        <f>IF(A882="","",IF(A882="[FÓRMULA MANUAL]","",IFERROR(AVERAGEIFS(nNOTA,nNIA,A882,nCUENTA,1,nASIG,"Conjunto"),"")))</f>
        <v/>
      </c>
      <c r="E882" t="str">
        <f>IF(A882="","",IF(A882="[FÓRMULA MANUAL]","",IFERROR(SUMPRODUCT((nNIA=A882)*(nCUENTA=1)*(COUNTIF(CONFIG_ASIGNATURAS!$B$7:$B$27,nASIG)&gt;0)*(nNOTA))/SUMPRODUCT((nNIA=A882)*(nCUENTA=1)*(COUNTIF(CONFIG_ASIGNATURAS!$B$7:$B$27,nASIG)&gt;0)*1),"")))</f>
        <v/>
      </c>
      <c r="H882" t="str">
        <f>IF(G882="","",IF(G882="[FÓRMULA MANUAL]","",IFERROR(AVERAGEIFS(nNOTA,nNIA,G882,nCUENTA,1,nASIG,"Lenguaje Musical"),"")))</f>
        <v/>
      </c>
      <c r="I882" t="str">
        <f>IF(G882="","",IF(G882="[FÓRMULA MANUAL]","",IFERROR(AVERAGEIFS(nNOTA,nNIA,G882,nCUENTA,1,nASIG,"Orquesta/Banda/Conjunto"),"")))</f>
        <v/>
      </c>
      <c r="J882" t="str">
        <f>IF(G882="","",IF(G882="[FÓRMULA MANUAL]","",IFERROR(AVERAGEIFS(nNOTA,nNIA,G882,nCUENTA,1,nASIG,"Conjunto"),"")))</f>
        <v/>
      </c>
      <c r="K882" t="str">
        <f>IF(G882="","",IF(G882="[FÓRMULA MANUAL]","",IFERROR(SUMPRODUCT((nNIA=G882)*(nCUENTA=1)*(COUNTIF(CONFIG_ASIGNATURAS!$B$7:$B$27,nASIG)&gt;0)*(nNOTA))/SUMPRODUCT((nNIA=G882)*(nCUENTA=1)*(COUNTIF(CONFIG_ASIGNATURAS!$B$7:$B$27,nASIG)&gt;0)*1),"")))</f>
        <v/>
      </c>
      <c r="N882" t="str">
        <f>IF(M882="","",IF(M882="[FÓRMULA MANUAL]","",IFERROR(AVERAGEIFS(nNOTA,nNIA,M882,nCUENTA,1,nASIG,"Armonía"),"")))</f>
        <v/>
      </c>
      <c r="O882" t="str">
        <f>IF(M882="","",IF(M882="[FÓRMULA MANUAL]","",IFERROR(AVERAGEIFS(nNOTA,nNIA,M882,nCUENTA,1,nASIG,"Orquesta/Banda/Conjunto"),"")))</f>
        <v/>
      </c>
      <c r="P882" t="str">
        <f>IF(M882="","",IF(M882="[FÓRMULA MANUAL]","",IFERROR(AVERAGEIFS(nNOTA,nNIA,M882,nCUENTA,1,nASIG,"Música de Cámara"),"")))</f>
        <v/>
      </c>
      <c r="Q882" t="str">
        <f>IF(M882="","",IF(M882="[FÓRMULA MANUAL]","",IFERROR(SUMPRODUCT((nNIA=M882)*(nCUENTA=1)*(COUNTIF(CONFIG_ASIGNATURAS!$B$7:$B$27,nASIG)&gt;0)*(nNOTA))/SUMPRODUCT((nNIA=M882)*(nCUENTA=1)*(COUNTIF(CONFIG_ASIGNATURAS!$B$7:$B$27,nASIG)&gt;0)*1),"")))</f>
        <v/>
      </c>
      <c r="T882" t="str">
        <f>IF(S882="","",IF(S882="[FÓRMULA MANUAL]","",IFERROR(AVERAGEIFS(nNOTA,nNIA,S882,nCUENTA,1,nASIG,"Armonía"),"")))</f>
        <v/>
      </c>
      <c r="U882" t="str">
        <f>IF(S882="","",IF(S882="[FÓRMULA MANUAL]","",IFERROR(AVERAGEIFS(nNOTA,nNIA,S882,nCUENTA,1,nASIG,"Orquesta/Banda/Conjunto"),"")))</f>
        <v/>
      </c>
      <c r="V882" t="str">
        <f>IF(S882="","",IF(S882="[FÓRMULA MANUAL]","",IFERROR(AVERAGEIFS(nNOTA,nNIA,S882,nCUENTA,1,nASIG,"Música de Cámara"),"")))</f>
        <v/>
      </c>
      <c r="W882" t="str">
        <f>IF(S882="","",IF(S882="[FÓRMULA MANUAL]","",IFERROR(SUMPRODUCT((nNIA=S882)*(nCUENTA=1)*(COUNTIF(CONFIG_ASIGNATURAS!$B$7:$B$27,nASIG)&gt;0)*(nNOTA))/SUMPRODUCT((nNIA=S882)*(nCUENTA=1)*(COUNTIF(CONFIG_ASIGNATURAS!$B$7:$B$27,nASIG)&gt;0)*1),"")))</f>
        <v/>
      </c>
      <c r="Z882" t="str">
        <f>IF(Y882="","",IF(Y882="[FÓRMULA MANUAL]","",IFERROR(AVERAGEIFS(nNOTA,nNIA,Y882,nCUENTA,1,nASIG,"Análisis"),"")))</f>
        <v/>
      </c>
      <c r="AA882" t="str">
        <f>IF(Y882="","",IF(Y882="[FÓRMULA MANUAL]","",IFERROR(AVERAGEIFS(nNOTA,nNIA,Y882,nCUENTA,1,nASIG,"Orquesta/Banda/Conjunto"),"")))</f>
        <v/>
      </c>
      <c r="AB882" t="str">
        <f>IF(Y882="","",IF(Y882="[FÓRMULA MANUAL]","",IFERROR(AVERAGEIFS(nNOTA,nNIA,Y882,nCUENTA,1,nASIG,"Música de Cámara"),"")))</f>
        <v/>
      </c>
      <c r="AC882" t="str">
        <f>IF(Y882="","",IF(Y882="[FÓRMULA MANUAL]","",IFERROR(SUMPRODUCT((nNIA=Y882)*(nCUENTA=1)*(COUNTIF(CONFIG_ASIGNATURAS!$B$7:$B$27,nASIG)&gt;0)*(nNOTA))/SUMPRODUCT((nNIA=Y882)*(nCUENTA=1)*(COUNTIF(CONFIG_ASIGNATURAS!$B$7:$B$27,nASIG)&gt;0)*1),"")))</f>
        <v/>
      </c>
      <c r="AF882" t="str">
        <f>IF(AE882="","",IF(AE882="[FÓRMULA MANUAL]","",IFERROR(AVERAGEIFS(nNOTA,nNIA,AE882,nCUENTA,1,nASIG,"Análisis"),"")))</f>
        <v/>
      </c>
      <c r="AG882" t="str">
        <f>IF(AE882="","",IF(AE882="[FÓRMULA MANUAL]","",IFERROR(AVERAGEIFS(nNOTA,nNIA,AE882,nCUENTA,1,nASIG,"Orquesta/Banda/Conjunto"),"")))</f>
        <v/>
      </c>
      <c r="AH882" t="str">
        <f>IF(AE882="","",IF(AE882="[FÓRMULA MANUAL]","",IFERROR(AVERAGEIFS(nNOTA,nNIA,AE882,nCUENTA,1,nASIG,"Música de Cámara"),"")))</f>
        <v/>
      </c>
      <c r="AI882" t="str">
        <f>IF(AE882="","",IF(AE882="[FÓRMULA MANUAL]","",IFERROR(SUMPRODUCT((nNIA=AE882)*(nCUENTA=1)*(COUNTIF(CONFIG_ASIGNATURAS!$B$7:$B$27,nASIG)&gt;0)*(nNOTA))/SUMPRODUCT((nNIA=AE882)*(nCUENTA=1)*(COUNTIF(CONFIG_ASIGNATURAS!$B$7:$B$27,nASIG)&gt;0)*1),"")))</f>
        <v/>
      </c>
    </row>
    <row r="883" spans="2:35" x14ac:dyDescent="0.2">
      <c r="B883" t="str">
        <f>IF(A883="","",IF(A883="[FÓRMULA MANUAL]","",IFERROR(AVERAGEIFS(nNOTA,nNIA,A883,nCUENTA,1,nASIG,"Lenguaje Musical"),"")))</f>
        <v/>
      </c>
      <c r="C883" t="str">
        <f>IF(A883="","",IF(A883="[FÓRMULA MANUAL]","",IFERROR(AVERAGEIFS(nNOTA,nNIA,A883,nCUENTA,1,nASIG,"Orquesta/Banda/Conjunto"),"")))</f>
        <v/>
      </c>
      <c r="D883" t="str">
        <f>IF(A883="","",IF(A883="[FÓRMULA MANUAL]","",IFERROR(AVERAGEIFS(nNOTA,nNIA,A883,nCUENTA,1,nASIG,"Conjunto"),"")))</f>
        <v/>
      </c>
      <c r="E883" t="str">
        <f>IF(A883="","",IF(A883="[FÓRMULA MANUAL]","",IFERROR(SUMPRODUCT((nNIA=A883)*(nCUENTA=1)*(COUNTIF(CONFIG_ASIGNATURAS!$B$7:$B$27,nASIG)&gt;0)*(nNOTA))/SUMPRODUCT((nNIA=A883)*(nCUENTA=1)*(COUNTIF(CONFIG_ASIGNATURAS!$B$7:$B$27,nASIG)&gt;0)*1),"")))</f>
        <v/>
      </c>
      <c r="H883" t="str">
        <f>IF(G883="","",IF(G883="[FÓRMULA MANUAL]","",IFERROR(AVERAGEIFS(nNOTA,nNIA,G883,nCUENTA,1,nASIG,"Lenguaje Musical"),"")))</f>
        <v/>
      </c>
      <c r="I883" t="str">
        <f>IF(G883="","",IF(G883="[FÓRMULA MANUAL]","",IFERROR(AVERAGEIFS(nNOTA,nNIA,G883,nCUENTA,1,nASIG,"Orquesta/Banda/Conjunto"),"")))</f>
        <v/>
      </c>
      <c r="J883" t="str">
        <f>IF(G883="","",IF(G883="[FÓRMULA MANUAL]","",IFERROR(AVERAGEIFS(nNOTA,nNIA,G883,nCUENTA,1,nASIG,"Conjunto"),"")))</f>
        <v/>
      </c>
      <c r="K883" t="str">
        <f>IF(G883="","",IF(G883="[FÓRMULA MANUAL]","",IFERROR(SUMPRODUCT((nNIA=G883)*(nCUENTA=1)*(COUNTIF(CONFIG_ASIGNATURAS!$B$7:$B$27,nASIG)&gt;0)*(nNOTA))/SUMPRODUCT((nNIA=G883)*(nCUENTA=1)*(COUNTIF(CONFIG_ASIGNATURAS!$B$7:$B$27,nASIG)&gt;0)*1),"")))</f>
        <v/>
      </c>
      <c r="N883" t="str">
        <f>IF(M883="","",IF(M883="[FÓRMULA MANUAL]","",IFERROR(AVERAGEIFS(nNOTA,nNIA,M883,nCUENTA,1,nASIG,"Armonía"),"")))</f>
        <v/>
      </c>
      <c r="O883" t="str">
        <f>IF(M883="","",IF(M883="[FÓRMULA MANUAL]","",IFERROR(AVERAGEIFS(nNOTA,nNIA,M883,nCUENTA,1,nASIG,"Orquesta/Banda/Conjunto"),"")))</f>
        <v/>
      </c>
      <c r="P883" t="str">
        <f>IF(M883="","",IF(M883="[FÓRMULA MANUAL]","",IFERROR(AVERAGEIFS(nNOTA,nNIA,M883,nCUENTA,1,nASIG,"Música de Cámara"),"")))</f>
        <v/>
      </c>
      <c r="Q883" t="str">
        <f>IF(M883="","",IF(M883="[FÓRMULA MANUAL]","",IFERROR(SUMPRODUCT((nNIA=M883)*(nCUENTA=1)*(COUNTIF(CONFIG_ASIGNATURAS!$B$7:$B$27,nASIG)&gt;0)*(nNOTA))/SUMPRODUCT((nNIA=M883)*(nCUENTA=1)*(COUNTIF(CONFIG_ASIGNATURAS!$B$7:$B$27,nASIG)&gt;0)*1),"")))</f>
        <v/>
      </c>
      <c r="T883" t="str">
        <f>IF(S883="","",IF(S883="[FÓRMULA MANUAL]","",IFERROR(AVERAGEIFS(nNOTA,nNIA,S883,nCUENTA,1,nASIG,"Armonía"),"")))</f>
        <v/>
      </c>
      <c r="U883" t="str">
        <f>IF(S883="","",IF(S883="[FÓRMULA MANUAL]","",IFERROR(AVERAGEIFS(nNOTA,nNIA,S883,nCUENTA,1,nASIG,"Orquesta/Banda/Conjunto"),"")))</f>
        <v/>
      </c>
      <c r="V883" t="str">
        <f>IF(S883="","",IF(S883="[FÓRMULA MANUAL]","",IFERROR(AVERAGEIFS(nNOTA,nNIA,S883,nCUENTA,1,nASIG,"Música de Cámara"),"")))</f>
        <v/>
      </c>
      <c r="W883" t="str">
        <f>IF(S883="","",IF(S883="[FÓRMULA MANUAL]","",IFERROR(SUMPRODUCT((nNIA=S883)*(nCUENTA=1)*(COUNTIF(CONFIG_ASIGNATURAS!$B$7:$B$27,nASIG)&gt;0)*(nNOTA))/SUMPRODUCT((nNIA=S883)*(nCUENTA=1)*(COUNTIF(CONFIG_ASIGNATURAS!$B$7:$B$27,nASIG)&gt;0)*1),"")))</f>
        <v/>
      </c>
      <c r="Z883" t="str">
        <f>IF(Y883="","",IF(Y883="[FÓRMULA MANUAL]","",IFERROR(AVERAGEIFS(nNOTA,nNIA,Y883,nCUENTA,1,nASIG,"Análisis"),"")))</f>
        <v/>
      </c>
      <c r="AA883" t="str">
        <f>IF(Y883="","",IF(Y883="[FÓRMULA MANUAL]","",IFERROR(AVERAGEIFS(nNOTA,nNIA,Y883,nCUENTA,1,nASIG,"Orquesta/Banda/Conjunto"),"")))</f>
        <v/>
      </c>
      <c r="AB883" t="str">
        <f>IF(Y883="","",IF(Y883="[FÓRMULA MANUAL]","",IFERROR(AVERAGEIFS(nNOTA,nNIA,Y883,nCUENTA,1,nASIG,"Música de Cámara"),"")))</f>
        <v/>
      </c>
      <c r="AC883" t="str">
        <f>IF(Y883="","",IF(Y883="[FÓRMULA MANUAL]","",IFERROR(SUMPRODUCT((nNIA=Y883)*(nCUENTA=1)*(COUNTIF(CONFIG_ASIGNATURAS!$B$7:$B$27,nASIG)&gt;0)*(nNOTA))/SUMPRODUCT((nNIA=Y883)*(nCUENTA=1)*(COUNTIF(CONFIG_ASIGNATURAS!$B$7:$B$27,nASIG)&gt;0)*1),"")))</f>
        <v/>
      </c>
      <c r="AF883" t="str">
        <f>IF(AE883="","",IF(AE883="[FÓRMULA MANUAL]","",IFERROR(AVERAGEIFS(nNOTA,nNIA,AE883,nCUENTA,1,nASIG,"Análisis"),"")))</f>
        <v/>
      </c>
      <c r="AG883" t="str">
        <f>IF(AE883="","",IF(AE883="[FÓRMULA MANUAL]","",IFERROR(AVERAGEIFS(nNOTA,nNIA,AE883,nCUENTA,1,nASIG,"Orquesta/Banda/Conjunto"),"")))</f>
        <v/>
      </c>
      <c r="AH883" t="str">
        <f>IF(AE883="","",IF(AE883="[FÓRMULA MANUAL]","",IFERROR(AVERAGEIFS(nNOTA,nNIA,AE883,nCUENTA,1,nASIG,"Música de Cámara"),"")))</f>
        <v/>
      </c>
      <c r="AI883" t="str">
        <f>IF(AE883="","",IF(AE883="[FÓRMULA MANUAL]","",IFERROR(SUMPRODUCT((nNIA=AE883)*(nCUENTA=1)*(COUNTIF(CONFIG_ASIGNATURAS!$B$7:$B$27,nASIG)&gt;0)*(nNOTA))/SUMPRODUCT((nNIA=AE883)*(nCUENTA=1)*(COUNTIF(CONFIG_ASIGNATURAS!$B$7:$B$27,nASIG)&gt;0)*1),"")))</f>
        <v/>
      </c>
    </row>
    <row r="884" spans="2:35" x14ac:dyDescent="0.2">
      <c r="B884" t="str">
        <f>IF(A884="","",IF(A884="[FÓRMULA MANUAL]","",IFERROR(AVERAGEIFS(nNOTA,nNIA,A884,nCUENTA,1,nASIG,"Lenguaje Musical"),"")))</f>
        <v/>
      </c>
      <c r="C884" t="str">
        <f>IF(A884="","",IF(A884="[FÓRMULA MANUAL]","",IFERROR(AVERAGEIFS(nNOTA,nNIA,A884,nCUENTA,1,nASIG,"Orquesta/Banda/Conjunto"),"")))</f>
        <v/>
      </c>
      <c r="D884" t="str">
        <f>IF(A884="","",IF(A884="[FÓRMULA MANUAL]","",IFERROR(AVERAGEIFS(nNOTA,nNIA,A884,nCUENTA,1,nASIG,"Conjunto"),"")))</f>
        <v/>
      </c>
      <c r="E884" t="str">
        <f>IF(A884="","",IF(A884="[FÓRMULA MANUAL]","",IFERROR(SUMPRODUCT((nNIA=A884)*(nCUENTA=1)*(COUNTIF(CONFIG_ASIGNATURAS!$B$7:$B$27,nASIG)&gt;0)*(nNOTA))/SUMPRODUCT((nNIA=A884)*(nCUENTA=1)*(COUNTIF(CONFIG_ASIGNATURAS!$B$7:$B$27,nASIG)&gt;0)*1),"")))</f>
        <v/>
      </c>
      <c r="H884" t="str">
        <f>IF(G884="","",IF(G884="[FÓRMULA MANUAL]","",IFERROR(AVERAGEIFS(nNOTA,nNIA,G884,nCUENTA,1,nASIG,"Lenguaje Musical"),"")))</f>
        <v/>
      </c>
      <c r="I884" t="str">
        <f>IF(G884="","",IF(G884="[FÓRMULA MANUAL]","",IFERROR(AVERAGEIFS(nNOTA,nNIA,G884,nCUENTA,1,nASIG,"Orquesta/Banda/Conjunto"),"")))</f>
        <v/>
      </c>
      <c r="J884" t="str">
        <f>IF(G884="","",IF(G884="[FÓRMULA MANUAL]","",IFERROR(AVERAGEIFS(nNOTA,nNIA,G884,nCUENTA,1,nASIG,"Conjunto"),"")))</f>
        <v/>
      </c>
      <c r="K884" t="str">
        <f>IF(G884="","",IF(G884="[FÓRMULA MANUAL]","",IFERROR(SUMPRODUCT((nNIA=G884)*(nCUENTA=1)*(COUNTIF(CONFIG_ASIGNATURAS!$B$7:$B$27,nASIG)&gt;0)*(nNOTA))/SUMPRODUCT((nNIA=G884)*(nCUENTA=1)*(COUNTIF(CONFIG_ASIGNATURAS!$B$7:$B$27,nASIG)&gt;0)*1),"")))</f>
        <v/>
      </c>
      <c r="N884" t="str">
        <f>IF(M884="","",IF(M884="[FÓRMULA MANUAL]","",IFERROR(AVERAGEIFS(nNOTA,nNIA,M884,nCUENTA,1,nASIG,"Armonía"),"")))</f>
        <v/>
      </c>
      <c r="O884" t="str">
        <f>IF(M884="","",IF(M884="[FÓRMULA MANUAL]","",IFERROR(AVERAGEIFS(nNOTA,nNIA,M884,nCUENTA,1,nASIG,"Orquesta/Banda/Conjunto"),"")))</f>
        <v/>
      </c>
      <c r="P884" t="str">
        <f>IF(M884="","",IF(M884="[FÓRMULA MANUAL]","",IFERROR(AVERAGEIFS(nNOTA,nNIA,M884,nCUENTA,1,nASIG,"Música de Cámara"),"")))</f>
        <v/>
      </c>
      <c r="Q884" t="str">
        <f>IF(M884="","",IF(M884="[FÓRMULA MANUAL]","",IFERROR(SUMPRODUCT((nNIA=M884)*(nCUENTA=1)*(COUNTIF(CONFIG_ASIGNATURAS!$B$7:$B$27,nASIG)&gt;0)*(nNOTA))/SUMPRODUCT((nNIA=M884)*(nCUENTA=1)*(COUNTIF(CONFIG_ASIGNATURAS!$B$7:$B$27,nASIG)&gt;0)*1),"")))</f>
        <v/>
      </c>
      <c r="T884" t="str">
        <f>IF(S884="","",IF(S884="[FÓRMULA MANUAL]","",IFERROR(AVERAGEIFS(nNOTA,nNIA,S884,nCUENTA,1,nASIG,"Armonía"),"")))</f>
        <v/>
      </c>
      <c r="U884" t="str">
        <f>IF(S884="","",IF(S884="[FÓRMULA MANUAL]","",IFERROR(AVERAGEIFS(nNOTA,nNIA,S884,nCUENTA,1,nASIG,"Orquesta/Banda/Conjunto"),"")))</f>
        <v/>
      </c>
      <c r="V884" t="str">
        <f>IF(S884="","",IF(S884="[FÓRMULA MANUAL]","",IFERROR(AVERAGEIFS(nNOTA,nNIA,S884,nCUENTA,1,nASIG,"Música de Cámara"),"")))</f>
        <v/>
      </c>
      <c r="W884" t="str">
        <f>IF(S884="","",IF(S884="[FÓRMULA MANUAL]","",IFERROR(SUMPRODUCT((nNIA=S884)*(nCUENTA=1)*(COUNTIF(CONFIG_ASIGNATURAS!$B$7:$B$27,nASIG)&gt;0)*(nNOTA))/SUMPRODUCT((nNIA=S884)*(nCUENTA=1)*(COUNTIF(CONFIG_ASIGNATURAS!$B$7:$B$27,nASIG)&gt;0)*1),"")))</f>
        <v/>
      </c>
      <c r="Z884" t="str">
        <f>IF(Y884="","",IF(Y884="[FÓRMULA MANUAL]","",IFERROR(AVERAGEIFS(nNOTA,nNIA,Y884,nCUENTA,1,nASIG,"Análisis"),"")))</f>
        <v/>
      </c>
      <c r="AA884" t="str">
        <f>IF(Y884="","",IF(Y884="[FÓRMULA MANUAL]","",IFERROR(AVERAGEIFS(nNOTA,nNIA,Y884,nCUENTA,1,nASIG,"Orquesta/Banda/Conjunto"),"")))</f>
        <v/>
      </c>
      <c r="AB884" t="str">
        <f>IF(Y884="","",IF(Y884="[FÓRMULA MANUAL]","",IFERROR(AVERAGEIFS(nNOTA,nNIA,Y884,nCUENTA,1,nASIG,"Música de Cámara"),"")))</f>
        <v/>
      </c>
      <c r="AC884" t="str">
        <f>IF(Y884="","",IF(Y884="[FÓRMULA MANUAL]","",IFERROR(SUMPRODUCT((nNIA=Y884)*(nCUENTA=1)*(COUNTIF(CONFIG_ASIGNATURAS!$B$7:$B$27,nASIG)&gt;0)*(nNOTA))/SUMPRODUCT((nNIA=Y884)*(nCUENTA=1)*(COUNTIF(CONFIG_ASIGNATURAS!$B$7:$B$27,nASIG)&gt;0)*1),"")))</f>
        <v/>
      </c>
      <c r="AF884" t="str">
        <f>IF(AE884="","",IF(AE884="[FÓRMULA MANUAL]","",IFERROR(AVERAGEIFS(nNOTA,nNIA,AE884,nCUENTA,1,nASIG,"Análisis"),"")))</f>
        <v/>
      </c>
      <c r="AG884" t="str">
        <f>IF(AE884="","",IF(AE884="[FÓRMULA MANUAL]","",IFERROR(AVERAGEIFS(nNOTA,nNIA,AE884,nCUENTA,1,nASIG,"Orquesta/Banda/Conjunto"),"")))</f>
        <v/>
      </c>
      <c r="AH884" t="str">
        <f>IF(AE884="","",IF(AE884="[FÓRMULA MANUAL]","",IFERROR(AVERAGEIFS(nNOTA,nNIA,AE884,nCUENTA,1,nASIG,"Música de Cámara"),"")))</f>
        <v/>
      </c>
      <c r="AI884" t="str">
        <f>IF(AE884="","",IF(AE884="[FÓRMULA MANUAL]","",IFERROR(SUMPRODUCT((nNIA=AE884)*(nCUENTA=1)*(COUNTIF(CONFIG_ASIGNATURAS!$B$7:$B$27,nASIG)&gt;0)*(nNOTA))/SUMPRODUCT((nNIA=AE884)*(nCUENTA=1)*(COUNTIF(CONFIG_ASIGNATURAS!$B$7:$B$27,nASIG)&gt;0)*1),"")))</f>
        <v/>
      </c>
    </row>
    <row r="885" spans="2:35" x14ac:dyDescent="0.2">
      <c r="B885" t="str">
        <f>IF(A885="","",IF(A885="[FÓRMULA MANUAL]","",IFERROR(AVERAGEIFS(nNOTA,nNIA,A885,nCUENTA,1,nASIG,"Lenguaje Musical"),"")))</f>
        <v/>
      </c>
      <c r="C885" t="str">
        <f>IF(A885="","",IF(A885="[FÓRMULA MANUAL]","",IFERROR(AVERAGEIFS(nNOTA,nNIA,A885,nCUENTA,1,nASIG,"Orquesta/Banda/Conjunto"),"")))</f>
        <v/>
      </c>
      <c r="D885" t="str">
        <f>IF(A885="","",IF(A885="[FÓRMULA MANUAL]","",IFERROR(AVERAGEIFS(nNOTA,nNIA,A885,nCUENTA,1,nASIG,"Conjunto"),"")))</f>
        <v/>
      </c>
      <c r="E885" t="str">
        <f>IF(A885="","",IF(A885="[FÓRMULA MANUAL]","",IFERROR(SUMPRODUCT((nNIA=A885)*(nCUENTA=1)*(COUNTIF(CONFIG_ASIGNATURAS!$B$7:$B$27,nASIG)&gt;0)*(nNOTA))/SUMPRODUCT((nNIA=A885)*(nCUENTA=1)*(COUNTIF(CONFIG_ASIGNATURAS!$B$7:$B$27,nASIG)&gt;0)*1),"")))</f>
        <v/>
      </c>
      <c r="H885" t="str">
        <f>IF(G885="","",IF(G885="[FÓRMULA MANUAL]","",IFERROR(AVERAGEIFS(nNOTA,nNIA,G885,nCUENTA,1,nASIG,"Lenguaje Musical"),"")))</f>
        <v/>
      </c>
      <c r="I885" t="str">
        <f>IF(G885="","",IF(G885="[FÓRMULA MANUAL]","",IFERROR(AVERAGEIFS(nNOTA,nNIA,G885,nCUENTA,1,nASIG,"Orquesta/Banda/Conjunto"),"")))</f>
        <v/>
      </c>
      <c r="J885" t="str">
        <f>IF(G885="","",IF(G885="[FÓRMULA MANUAL]","",IFERROR(AVERAGEIFS(nNOTA,nNIA,G885,nCUENTA,1,nASIG,"Conjunto"),"")))</f>
        <v/>
      </c>
      <c r="K885" t="str">
        <f>IF(G885="","",IF(G885="[FÓRMULA MANUAL]","",IFERROR(SUMPRODUCT((nNIA=G885)*(nCUENTA=1)*(COUNTIF(CONFIG_ASIGNATURAS!$B$7:$B$27,nASIG)&gt;0)*(nNOTA))/SUMPRODUCT((nNIA=G885)*(nCUENTA=1)*(COUNTIF(CONFIG_ASIGNATURAS!$B$7:$B$27,nASIG)&gt;0)*1),"")))</f>
        <v/>
      </c>
      <c r="N885" t="str">
        <f>IF(M885="","",IF(M885="[FÓRMULA MANUAL]","",IFERROR(AVERAGEIFS(nNOTA,nNIA,M885,nCUENTA,1,nASIG,"Armonía"),"")))</f>
        <v/>
      </c>
      <c r="O885" t="str">
        <f>IF(M885="","",IF(M885="[FÓRMULA MANUAL]","",IFERROR(AVERAGEIFS(nNOTA,nNIA,M885,nCUENTA,1,nASIG,"Orquesta/Banda/Conjunto"),"")))</f>
        <v/>
      </c>
      <c r="P885" t="str">
        <f>IF(M885="","",IF(M885="[FÓRMULA MANUAL]","",IFERROR(AVERAGEIFS(nNOTA,nNIA,M885,nCUENTA,1,nASIG,"Música de Cámara"),"")))</f>
        <v/>
      </c>
      <c r="Q885" t="str">
        <f>IF(M885="","",IF(M885="[FÓRMULA MANUAL]","",IFERROR(SUMPRODUCT((nNIA=M885)*(nCUENTA=1)*(COUNTIF(CONFIG_ASIGNATURAS!$B$7:$B$27,nASIG)&gt;0)*(nNOTA))/SUMPRODUCT((nNIA=M885)*(nCUENTA=1)*(COUNTIF(CONFIG_ASIGNATURAS!$B$7:$B$27,nASIG)&gt;0)*1),"")))</f>
        <v/>
      </c>
      <c r="T885" t="str">
        <f>IF(S885="","",IF(S885="[FÓRMULA MANUAL]","",IFERROR(AVERAGEIFS(nNOTA,nNIA,S885,nCUENTA,1,nASIG,"Armonía"),"")))</f>
        <v/>
      </c>
      <c r="U885" t="str">
        <f>IF(S885="","",IF(S885="[FÓRMULA MANUAL]","",IFERROR(AVERAGEIFS(nNOTA,nNIA,S885,nCUENTA,1,nASIG,"Orquesta/Banda/Conjunto"),"")))</f>
        <v/>
      </c>
      <c r="V885" t="str">
        <f>IF(S885="","",IF(S885="[FÓRMULA MANUAL]","",IFERROR(AVERAGEIFS(nNOTA,nNIA,S885,nCUENTA,1,nASIG,"Música de Cámara"),"")))</f>
        <v/>
      </c>
      <c r="W885" t="str">
        <f>IF(S885="","",IF(S885="[FÓRMULA MANUAL]","",IFERROR(SUMPRODUCT((nNIA=S885)*(nCUENTA=1)*(COUNTIF(CONFIG_ASIGNATURAS!$B$7:$B$27,nASIG)&gt;0)*(nNOTA))/SUMPRODUCT((nNIA=S885)*(nCUENTA=1)*(COUNTIF(CONFIG_ASIGNATURAS!$B$7:$B$27,nASIG)&gt;0)*1),"")))</f>
        <v/>
      </c>
      <c r="Z885" t="str">
        <f>IF(Y885="","",IF(Y885="[FÓRMULA MANUAL]","",IFERROR(AVERAGEIFS(nNOTA,nNIA,Y885,nCUENTA,1,nASIG,"Análisis"),"")))</f>
        <v/>
      </c>
      <c r="AA885" t="str">
        <f>IF(Y885="","",IF(Y885="[FÓRMULA MANUAL]","",IFERROR(AVERAGEIFS(nNOTA,nNIA,Y885,nCUENTA,1,nASIG,"Orquesta/Banda/Conjunto"),"")))</f>
        <v/>
      </c>
      <c r="AB885" t="str">
        <f>IF(Y885="","",IF(Y885="[FÓRMULA MANUAL]","",IFERROR(AVERAGEIFS(nNOTA,nNIA,Y885,nCUENTA,1,nASIG,"Música de Cámara"),"")))</f>
        <v/>
      </c>
      <c r="AC885" t="str">
        <f>IF(Y885="","",IF(Y885="[FÓRMULA MANUAL]","",IFERROR(SUMPRODUCT((nNIA=Y885)*(nCUENTA=1)*(COUNTIF(CONFIG_ASIGNATURAS!$B$7:$B$27,nASIG)&gt;0)*(nNOTA))/SUMPRODUCT((nNIA=Y885)*(nCUENTA=1)*(COUNTIF(CONFIG_ASIGNATURAS!$B$7:$B$27,nASIG)&gt;0)*1),"")))</f>
        <v/>
      </c>
      <c r="AF885" t="str">
        <f>IF(AE885="","",IF(AE885="[FÓRMULA MANUAL]","",IFERROR(AVERAGEIFS(nNOTA,nNIA,AE885,nCUENTA,1,nASIG,"Análisis"),"")))</f>
        <v/>
      </c>
      <c r="AG885" t="str">
        <f>IF(AE885="","",IF(AE885="[FÓRMULA MANUAL]","",IFERROR(AVERAGEIFS(nNOTA,nNIA,AE885,nCUENTA,1,nASIG,"Orquesta/Banda/Conjunto"),"")))</f>
        <v/>
      </c>
      <c r="AH885" t="str">
        <f>IF(AE885="","",IF(AE885="[FÓRMULA MANUAL]","",IFERROR(AVERAGEIFS(nNOTA,nNIA,AE885,nCUENTA,1,nASIG,"Música de Cámara"),"")))</f>
        <v/>
      </c>
      <c r="AI885" t="str">
        <f>IF(AE885="","",IF(AE885="[FÓRMULA MANUAL]","",IFERROR(SUMPRODUCT((nNIA=AE885)*(nCUENTA=1)*(COUNTIF(CONFIG_ASIGNATURAS!$B$7:$B$27,nASIG)&gt;0)*(nNOTA))/SUMPRODUCT((nNIA=AE885)*(nCUENTA=1)*(COUNTIF(CONFIG_ASIGNATURAS!$B$7:$B$27,nASIG)&gt;0)*1),"")))</f>
        <v/>
      </c>
    </row>
    <row r="886" spans="2:35" x14ac:dyDescent="0.2">
      <c r="B886" t="str">
        <f>IF(A886="","",IF(A886="[FÓRMULA MANUAL]","",IFERROR(AVERAGEIFS(nNOTA,nNIA,A886,nCUENTA,1,nASIG,"Lenguaje Musical"),"")))</f>
        <v/>
      </c>
      <c r="C886" t="str">
        <f>IF(A886="","",IF(A886="[FÓRMULA MANUAL]","",IFERROR(AVERAGEIFS(nNOTA,nNIA,A886,nCUENTA,1,nASIG,"Orquesta/Banda/Conjunto"),"")))</f>
        <v/>
      </c>
      <c r="D886" t="str">
        <f>IF(A886="","",IF(A886="[FÓRMULA MANUAL]","",IFERROR(AVERAGEIFS(nNOTA,nNIA,A886,nCUENTA,1,nASIG,"Conjunto"),"")))</f>
        <v/>
      </c>
      <c r="E886" t="str">
        <f>IF(A886="","",IF(A886="[FÓRMULA MANUAL]","",IFERROR(SUMPRODUCT((nNIA=A886)*(nCUENTA=1)*(COUNTIF(CONFIG_ASIGNATURAS!$B$7:$B$27,nASIG)&gt;0)*(nNOTA))/SUMPRODUCT((nNIA=A886)*(nCUENTA=1)*(COUNTIF(CONFIG_ASIGNATURAS!$B$7:$B$27,nASIG)&gt;0)*1),"")))</f>
        <v/>
      </c>
      <c r="H886" t="str">
        <f>IF(G886="","",IF(G886="[FÓRMULA MANUAL]","",IFERROR(AVERAGEIFS(nNOTA,nNIA,G886,nCUENTA,1,nASIG,"Lenguaje Musical"),"")))</f>
        <v/>
      </c>
      <c r="I886" t="str">
        <f>IF(G886="","",IF(G886="[FÓRMULA MANUAL]","",IFERROR(AVERAGEIFS(nNOTA,nNIA,G886,nCUENTA,1,nASIG,"Orquesta/Banda/Conjunto"),"")))</f>
        <v/>
      </c>
      <c r="J886" t="str">
        <f>IF(G886="","",IF(G886="[FÓRMULA MANUAL]","",IFERROR(AVERAGEIFS(nNOTA,nNIA,G886,nCUENTA,1,nASIG,"Conjunto"),"")))</f>
        <v/>
      </c>
      <c r="K886" t="str">
        <f>IF(G886="","",IF(G886="[FÓRMULA MANUAL]","",IFERROR(SUMPRODUCT((nNIA=G886)*(nCUENTA=1)*(COUNTIF(CONFIG_ASIGNATURAS!$B$7:$B$27,nASIG)&gt;0)*(nNOTA))/SUMPRODUCT((nNIA=G886)*(nCUENTA=1)*(COUNTIF(CONFIG_ASIGNATURAS!$B$7:$B$27,nASIG)&gt;0)*1),"")))</f>
        <v/>
      </c>
      <c r="N886" t="str">
        <f>IF(M886="","",IF(M886="[FÓRMULA MANUAL]","",IFERROR(AVERAGEIFS(nNOTA,nNIA,M886,nCUENTA,1,nASIG,"Armonía"),"")))</f>
        <v/>
      </c>
      <c r="O886" t="str">
        <f>IF(M886="","",IF(M886="[FÓRMULA MANUAL]","",IFERROR(AVERAGEIFS(nNOTA,nNIA,M886,nCUENTA,1,nASIG,"Orquesta/Banda/Conjunto"),"")))</f>
        <v/>
      </c>
      <c r="P886" t="str">
        <f>IF(M886="","",IF(M886="[FÓRMULA MANUAL]","",IFERROR(AVERAGEIFS(nNOTA,nNIA,M886,nCUENTA,1,nASIG,"Música de Cámara"),"")))</f>
        <v/>
      </c>
      <c r="Q886" t="str">
        <f>IF(M886="","",IF(M886="[FÓRMULA MANUAL]","",IFERROR(SUMPRODUCT((nNIA=M886)*(nCUENTA=1)*(COUNTIF(CONFIG_ASIGNATURAS!$B$7:$B$27,nASIG)&gt;0)*(nNOTA))/SUMPRODUCT((nNIA=M886)*(nCUENTA=1)*(COUNTIF(CONFIG_ASIGNATURAS!$B$7:$B$27,nASIG)&gt;0)*1),"")))</f>
        <v/>
      </c>
      <c r="T886" t="str">
        <f>IF(S886="","",IF(S886="[FÓRMULA MANUAL]","",IFERROR(AVERAGEIFS(nNOTA,nNIA,S886,nCUENTA,1,nASIG,"Armonía"),"")))</f>
        <v/>
      </c>
      <c r="U886" t="str">
        <f>IF(S886="","",IF(S886="[FÓRMULA MANUAL]","",IFERROR(AVERAGEIFS(nNOTA,nNIA,S886,nCUENTA,1,nASIG,"Orquesta/Banda/Conjunto"),"")))</f>
        <v/>
      </c>
      <c r="V886" t="str">
        <f>IF(S886="","",IF(S886="[FÓRMULA MANUAL]","",IFERROR(AVERAGEIFS(nNOTA,nNIA,S886,nCUENTA,1,nASIG,"Música de Cámara"),"")))</f>
        <v/>
      </c>
      <c r="W886" t="str">
        <f>IF(S886="","",IF(S886="[FÓRMULA MANUAL]","",IFERROR(SUMPRODUCT((nNIA=S886)*(nCUENTA=1)*(COUNTIF(CONFIG_ASIGNATURAS!$B$7:$B$27,nASIG)&gt;0)*(nNOTA))/SUMPRODUCT((nNIA=S886)*(nCUENTA=1)*(COUNTIF(CONFIG_ASIGNATURAS!$B$7:$B$27,nASIG)&gt;0)*1),"")))</f>
        <v/>
      </c>
      <c r="Z886" t="str">
        <f>IF(Y886="","",IF(Y886="[FÓRMULA MANUAL]","",IFERROR(AVERAGEIFS(nNOTA,nNIA,Y886,nCUENTA,1,nASIG,"Análisis"),"")))</f>
        <v/>
      </c>
      <c r="AA886" t="str">
        <f>IF(Y886="","",IF(Y886="[FÓRMULA MANUAL]","",IFERROR(AVERAGEIFS(nNOTA,nNIA,Y886,nCUENTA,1,nASIG,"Orquesta/Banda/Conjunto"),"")))</f>
        <v/>
      </c>
      <c r="AB886" t="str">
        <f>IF(Y886="","",IF(Y886="[FÓRMULA MANUAL]","",IFERROR(AVERAGEIFS(nNOTA,nNIA,Y886,nCUENTA,1,nASIG,"Música de Cámara"),"")))</f>
        <v/>
      </c>
      <c r="AC886" t="str">
        <f>IF(Y886="","",IF(Y886="[FÓRMULA MANUAL]","",IFERROR(SUMPRODUCT((nNIA=Y886)*(nCUENTA=1)*(COUNTIF(CONFIG_ASIGNATURAS!$B$7:$B$27,nASIG)&gt;0)*(nNOTA))/SUMPRODUCT((nNIA=Y886)*(nCUENTA=1)*(COUNTIF(CONFIG_ASIGNATURAS!$B$7:$B$27,nASIG)&gt;0)*1),"")))</f>
        <v/>
      </c>
      <c r="AF886" t="str">
        <f>IF(AE886="","",IF(AE886="[FÓRMULA MANUAL]","",IFERROR(AVERAGEIFS(nNOTA,nNIA,AE886,nCUENTA,1,nASIG,"Análisis"),"")))</f>
        <v/>
      </c>
      <c r="AG886" t="str">
        <f>IF(AE886="","",IF(AE886="[FÓRMULA MANUAL]","",IFERROR(AVERAGEIFS(nNOTA,nNIA,AE886,nCUENTA,1,nASIG,"Orquesta/Banda/Conjunto"),"")))</f>
        <v/>
      </c>
      <c r="AH886" t="str">
        <f>IF(AE886="","",IF(AE886="[FÓRMULA MANUAL]","",IFERROR(AVERAGEIFS(nNOTA,nNIA,AE886,nCUENTA,1,nASIG,"Música de Cámara"),"")))</f>
        <v/>
      </c>
      <c r="AI886" t="str">
        <f>IF(AE886="","",IF(AE886="[FÓRMULA MANUAL]","",IFERROR(SUMPRODUCT((nNIA=AE886)*(nCUENTA=1)*(COUNTIF(CONFIG_ASIGNATURAS!$B$7:$B$27,nASIG)&gt;0)*(nNOTA))/SUMPRODUCT((nNIA=AE886)*(nCUENTA=1)*(COUNTIF(CONFIG_ASIGNATURAS!$B$7:$B$27,nASIG)&gt;0)*1),"")))</f>
        <v/>
      </c>
    </row>
    <row r="887" spans="2:35" x14ac:dyDescent="0.2">
      <c r="B887" t="str">
        <f>IF(A887="","",IF(A887="[FÓRMULA MANUAL]","",IFERROR(AVERAGEIFS(nNOTA,nNIA,A887,nCUENTA,1,nASIG,"Lenguaje Musical"),"")))</f>
        <v/>
      </c>
      <c r="C887" t="str">
        <f>IF(A887="","",IF(A887="[FÓRMULA MANUAL]","",IFERROR(AVERAGEIFS(nNOTA,nNIA,A887,nCUENTA,1,nASIG,"Orquesta/Banda/Conjunto"),"")))</f>
        <v/>
      </c>
      <c r="D887" t="str">
        <f>IF(A887="","",IF(A887="[FÓRMULA MANUAL]","",IFERROR(AVERAGEIFS(nNOTA,nNIA,A887,nCUENTA,1,nASIG,"Conjunto"),"")))</f>
        <v/>
      </c>
      <c r="E887" t="str">
        <f>IF(A887="","",IF(A887="[FÓRMULA MANUAL]","",IFERROR(SUMPRODUCT((nNIA=A887)*(nCUENTA=1)*(COUNTIF(CONFIG_ASIGNATURAS!$B$7:$B$27,nASIG)&gt;0)*(nNOTA))/SUMPRODUCT((nNIA=A887)*(nCUENTA=1)*(COUNTIF(CONFIG_ASIGNATURAS!$B$7:$B$27,nASIG)&gt;0)*1),"")))</f>
        <v/>
      </c>
      <c r="H887" t="str">
        <f>IF(G887="","",IF(G887="[FÓRMULA MANUAL]","",IFERROR(AVERAGEIFS(nNOTA,nNIA,G887,nCUENTA,1,nASIG,"Lenguaje Musical"),"")))</f>
        <v/>
      </c>
      <c r="I887" t="str">
        <f>IF(G887="","",IF(G887="[FÓRMULA MANUAL]","",IFERROR(AVERAGEIFS(nNOTA,nNIA,G887,nCUENTA,1,nASIG,"Orquesta/Banda/Conjunto"),"")))</f>
        <v/>
      </c>
      <c r="J887" t="str">
        <f>IF(G887="","",IF(G887="[FÓRMULA MANUAL]","",IFERROR(AVERAGEIFS(nNOTA,nNIA,G887,nCUENTA,1,nASIG,"Conjunto"),"")))</f>
        <v/>
      </c>
      <c r="K887" t="str">
        <f>IF(G887="","",IF(G887="[FÓRMULA MANUAL]","",IFERROR(SUMPRODUCT((nNIA=G887)*(nCUENTA=1)*(COUNTIF(CONFIG_ASIGNATURAS!$B$7:$B$27,nASIG)&gt;0)*(nNOTA))/SUMPRODUCT((nNIA=G887)*(nCUENTA=1)*(COUNTIF(CONFIG_ASIGNATURAS!$B$7:$B$27,nASIG)&gt;0)*1),"")))</f>
        <v/>
      </c>
      <c r="N887" t="str">
        <f>IF(M887="","",IF(M887="[FÓRMULA MANUAL]","",IFERROR(AVERAGEIFS(nNOTA,nNIA,M887,nCUENTA,1,nASIG,"Armonía"),"")))</f>
        <v/>
      </c>
      <c r="O887" t="str">
        <f>IF(M887="","",IF(M887="[FÓRMULA MANUAL]","",IFERROR(AVERAGEIFS(nNOTA,nNIA,M887,nCUENTA,1,nASIG,"Orquesta/Banda/Conjunto"),"")))</f>
        <v/>
      </c>
      <c r="P887" t="str">
        <f>IF(M887="","",IF(M887="[FÓRMULA MANUAL]","",IFERROR(AVERAGEIFS(nNOTA,nNIA,M887,nCUENTA,1,nASIG,"Música de Cámara"),"")))</f>
        <v/>
      </c>
      <c r="Q887" t="str">
        <f>IF(M887="","",IF(M887="[FÓRMULA MANUAL]","",IFERROR(SUMPRODUCT((nNIA=M887)*(nCUENTA=1)*(COUNTIF(CONFIG_ASIGNATURAS!$B$7:$B$27,nASIG)&gt;0)*(nNOTA))/SUMPRODUCT((nNIA=M887)*(nCUENTA=1)*(COUNTIF(CONFIG_ASIGNATURAS!$B$7:$B$27,nASIG)&gt;0)*1),"")))</f>
        <v/>
      </c>
      <c r="T887" t="str">
        <f>IF(S887="","",IF(S887="[FÓRMULA MANUAL]","",IFERROR(AVERAGEIFS(nNOTA,nNIA,S887,nCUENTA,1,nASIG,"Armonía"),"")))</f>
        <v/>
      </c>
      <c r="U887" t="str">
        <f>IF(S887="","",IF(S887="[FÓRMULA MANUAL]","",IFERROR(AVERAGEIFS(nNOTA,nNIA,S887,nCUENTA,1,nASIG,"Orquesta/Banda/Conjunto"),"")))</f>
        <v/>
      </c>
      <c r="V887" t="str">
        <f>IF(S887="","",IF(S887="[FÓRMULA MANUAL]","",IFERROR(AVERAGEIFS(nNOTA,nNIA,S887,nCUENTA,1,nASIG,"Música de Cámara"),"")))</f>
        <v/>
      </c>
      <c r="W887" t="str">
        <f>IF(S887="","",IF(S887="[FÓRMULA MANUAL]","",IFERROR(SUMPRODUCT((nNIA=S887)*(nCUENTA=1)*(COUNTIF(CONFIG_ASIGNATURAS!$B$7:$B$27,nASIG)&gt;0)*(nNOTA))/SUMPRODUCT((nNIA=S887)*(nCUENTA=1)*(COUNTIF(CONFIG_ASIGNATURAS!$B$7:$B$27,nASIG)&gt;0)*1),"")))</f>
        <v/>
      </c>
      <c r="Z887" t="str">
        <f>IF(Y887="","",IF(Y887="[FÓRMULA MANUAL]","",IFERROR(AVERAGEIFS(nNOTA,nNIA,Y887,nCUENTA,1,nASIG,"Análisis"),"")))</f>
        <v/>
      </c>
      <c r="AA887" t="str">
        <f>IF(Y887="","",IF(Y887="[FÓRMULA MANUAL]","",IFERROR(AVERAGEIFS(nNOTA,nNIA,Y887,nCUENTA,1,nASIG,"Orquesta/Banda/Conjunto"),"")))</f>
        <v/>
      </c>
      <c r="AB887" t="str">
        <f>IF(Y887="","",IF(Y887="[FÓRMULA MANUAL]","",IFERROR(AVERAGEIFS(nNOTA,nNIA,Y887,nCUENTA,1,nASIG,"Música de Cámara"),"")))</f>
        <v/>
      </c>
      <c r="AC887" t="str">
        <f>IF(Y887="","",IF(Y887="[FÓRMULA MANUAL]","",IFERROR(SUMPRODUCT((nNIA=Y887)*(nCUENTA=1)*(COUNTIF(CONFIG_ASIGNATURAS!$B$7:$B$27,nASIG)&gt;0)*(nNOTA))/SUMPRODUCT((nNIA=Y887)*(nCUENTA=1)*(COUNTIF(CONFIG_ASIGNATURAS!$B$7:$B$27,nASIG)&gt;0)*1),"")))</f>
        <v/>
      </c>
      <c r="AF887" t="str">
        <f>IF(AE887="","",IF(AE887="[FÓRMULA MANUAL]","",IFERROR(AVERAGEIFS(nNOTA,nNIA,AE887,nCUENTA,1,nASIG,"Análisis"),"")))</f>
        <v/>
      </c>
      <c r="AG887" t="str">
        <f>IF(AE887="","",IF(AE887="[FÓRMULA MANUAL]","",IFERROR(AVERAGEIFS(nNOTA,nNIA,AE887,nCUENTA,1,nASIG,"Orquesta/Banda/Conjunto"),"")))</f>
        <v/>
      </c>
      <c r="AH887" t="str">
        <f>IF(AE887="","",IF(AE887="[FÓRMULA MANUAL]","",IFERROR(AVERAGEIFS(nNOTA,nNIA,AE887,nCUENTA,1,nASIG,"Música de Cámara"),"")))</f>
        <v/>
      </c>
      <c r="AI887" t="str">
        <f>IF(AE887="","",IF(AE887="[FÓRMULA MANUAL]","",IFERROR(SUMPRODUCT((nNIA=AE887)*(nCUENTA=1)*(COUNTIF(CONFIG_ASIGNATURAS!$B$7:$B$27,nASIG)&gt;0)*(nNOTA))/SUMPRODUCT((nNIA=AE887)*(nCUENTA=1)*(COUNTIF(CONFIG_ASIGNATURAS!$B$7:$B$27,nASIG)&gt;0)*1),"")))</f>
        <v/>
      </c>
    </row>
    <row r="888" spans="2:35" x14ac:dyDescent="0.2">
      <c r="B888" t="str">
        <f>IF(A888="","",IF(A888="[FÓRMULA MANUAL]","",IFERROR(AVERAGEIFS(nNOTA,nNIA,A888,nCUENTA,1,nASIG,"Lenguaje Musical"),"")))</f>
        <v/>
      </c>
      <c r="C888" t="str">
        <f>IF(A888="","",IF(A888="[FÓRMULA MANUAL]","",IFERROR(AVERAGEIFS(nNOTA,nNIA,A888,nCUENTA,1,nASIG,"Orquesta/Banda/Conjunto"),"")))</f>
        <v/>
      </c>
      <c r="D888" t="str">
        <f>IF(A888="","",IF(A888="[FÓRMULA MANUAL]","",IFERROR(AVERAGEIFS(nNOTA,nNIA,A888,nCUENTA,1,nASIG,"Conjunto"),"")))</f>
        <v/>
      </c>
      <c r="E888" t="str">
        <f>IF(A888="","",IF(A888="[FÓRMULA MANUAL]","",IFERROR(SUMPRODUCT((nNIA=A888)*(nCUENTA=1)*(COUNTIF(CONFIG_ASIGNATURAS!$B$7:$B$27,nASIG)&gt;0)*(nNOTA))/SUMPRODUCT((nNIA=A888)*(nCUENTA=1)*(COUNTIF(CONFIG_ASIGNATURAS!$B$7:$B$27,nASIG)&gt;0)*1),"")))</f>
        <v/>
      </c>
      <c r="H888" t="str">
        <f>IF(G888="","",IF(G888="[FÓRMULA MANUAL]","",IFERROR(AVERAGEIFS(nNOTA,nNIA,G888,nCUENTA,1,nASIG,"Lenguaje Musical"),"")))</f>
        <v/>
      </c>
      <c r="I888" t="str">
        <f>IF(G888="","",IF(G888="[FÓRMULA MANUAL]","",IFERROR(AVERAGEIFS(nNOTA,nNIA,G888,nCUENTA,1,nASIG,"Orquesta/Banda/Conjunto"),"")))</f>
        <v/>
      </c>
      <c r="J888" t="str">
        <f>IF(G888="","",IF(G888="[FÓRMULA MANUAL]","",IFERROR(AVERAGEIFS(nNOTA,nNIA,G888,nCUENTA,1,nASIG,"Conjunto"),"")))</f>
        <v/>
      </c>
      <c r="K888" t="str">
        <f>IF(G888="","",IF(G888="[FÓRMULA MANUAL]","",IFERROR(SUMPRODUCT((nNIA=G888)*(nCUENTA=1)*(COUNTIF(CONFIG_ASIGNATURAS!$B$7:$B$27,nASIG)&gt;0)*(nNOTA))/SUMPRODUCT((nNIA=G888)*(nCUENTA=1)*(COUNTIF(CONFIG_ASIGNATURAS!$B$7:$B$27,nASIG)&gt;0)*1),"")))</f>
        <v/>
      </c>
      <c r="N888" t="str">
        <f>IF(M888="","",IF(M888="[FÓRMULA MANUAL]","",IFERROR(AVERAGEIFS(nNOTA,nNIA,M888,nCUENTA,1,nASIG,"Armonía"),"")))</f>
        <v/>
      </c>
      <c r="O888" t="str">
        <f>IF(M888="","",IF(M888="[FÓRMULA MANUAL]","",IFERROR(AVERAGEIFS(nNOTA,nNIA,M888,nCUENTA,1,nASIG,"Orquesta/Banda/Conjunto"),"")))</f>
        <v/>
      </c>
      <c r="P888" t="str">
        <f>IF(M888="","",IF(M888="[FÓRMULA MANUAL]","",IFERROR(AVERAGEIFS(nNOTA,nNIA,M888,nCUENTA,1,nASIG,"Música de Cámara"),"")))</f>
        <v/>
      </c>
      <c r="Q888" t="str">
        <f>IF(M888="","",IF(M888="[FÓRMULA MANUAL]","",IFERROR(SUMPRODUCT((nNIA=M888)*(nCUENTA=1)*(COUNTIF(CONFIG_ASIGNATURAS!$B$7:$B$27,nASIG)&gt;0)*(nNOTA))/SUMPRODUCT((nNIA=M888)*(nCUENTA=1)*(COUNTIF(CONFIG_ASIGNATURAS!$B$7:$B$27,nASIG)&gt;0)*1),"")))</f>
        <v/>
      </c>
      <c r="T888" t="str">
        <f>IF(S888="","",IF(S888="[FÓRMULA MANUAL]","",IFERROR(AVERAGEIFS(nNOTA,nNIA,S888,nCUENTA,1,nASIG,"Armonía"),"")))</f>
        <v/>
      </c>
      <c r="U888" t="str">
        <f>IF(S888="","",IF(S888="[FÓRMULA MANUAL]","",IFERROR(AVERAGEIFS(nNOTA,nNIA,S888,nCUENTA,1,nASIG,"Orquesta/Banda/Conjunto"),"")))</f>
        <v/>
      </c>
      <c r="V888" t="str">
        <f>IF(S888="","",IF(S888="[FÓRMULA MANUAL]","",IFERROR(AVERAGEIFS(nNOTA,nNIA,S888,nCUENTA,1,nASIG,"Música de Cámara"),"")))</f>
        <v/>
      </c>
      <c r="W888" t="str">
        <f>IF(S888="","",IF(S888="[FÓRMULA MANUAL]","",IFERROR(SUMPRODUCT((nNIA=S888)*(nCUENTA=1)*(COUNTIF(CONFIG_ASIGNATURAS!$B$7:$B$27,nASIG)&gt;0)*(nNOTA))/SUMPRODUCT((nNIA=S888)*(nCUENTA=1)*(COUNTIF(CONFIG_ASIGNATURAS!$B$7:$B$27,nASIG)&gt;0)*1),"")))</f>
        <v/>
      </c>
      <c r="Z888" t="str">
        <f>IF(Y888="","",IF(Y888="[FÓRMULA MANUAL]","",IFERROR(AVERAGEIFS(nNOTA,nNIA,Y888,nCUENTA,1,nASIG,"Análisis"),"")))</f>
        <v/>
      </c>
      <c r="AA888" t="str">
        <f>IF(Y888="","",IF(Y888="[FÓRMULA MANUAL]","",IFERROR(AVERAGEIFS(nNOTA,nNIA,Y888,nCUENTA,1,nASIG,"Orquesta/Banda/Conjunto"),"")))</f>
        <v/>
      </c>
      <c r="AB888" t="str">
        <f>IF(Y888="","",IF(Y888="[FÓRMULA MANUAL]","",IFERROR(AVERAGEIFS(nNOTA,nNIA,Y888,nCUENTA,1,nASIG,"Música de Cámara"),"")))</f>
        <v/>
      </c>
      <c r="AC888" t="str">
        <f>IF(Y888="","",IF(Y888="[FÓRMULA MANUAL]","",IFERROR(SUMPRODUCT((nNIA=Y888)*(nCUENTA=1)*(COUNTIF(CONFIG_ASIGNATURAS!$B$7:$B$27,nASIG)&gt;0)*(nNOTA))/SUMPRODUCT((nNIA=Y888)*(nCUENTA=1)*(COUNTIF(CONFIG_ASIGNATURAS!$B$7:$B$27,nASIG)&gt;0)*1),"")))</f>
        <v/>
      </c>
      <c r="AF888" t="str">
        <f>IF(AE888="","",IF(AE888="[FÓRMULA MANUAL]","",IFERROR(AVERAGEIFS(nNOTA,nNIA,AE888,nCUENTA,1,nASIG,"Análisis"),"")))</f>
        <v/>
      </c>
      <c r="AG888" t="str">
        <f>IF(AE888="","",IF(AE888="[FÓRMULA MANUAL]","",IFERROR(AVERAGEIFS(nNOTA,nNIA,AE888,nCUENTA,1,nASIG,"Orquesta/Banda/Conjunto"),"")))</f>
        <v/>
      </c>
      <c r="AH888" t="str">
        <f>IF(AE888="","",IF(AE888="[FÓRMULA MANUAL]","",IFERROR(AVERAGEIFS(nNOTA,nNIA,AE888,nCUENTA,1,nASIG,"Música de Cámara"),"")))</f>
        <v/>
      </c>
      <c r="AI888" t="str">
        <f>IF(AE888="","",IF(AE888="[FÓRMULA MANUAL]","",IFERROR(SUMPRODUCT((nNIA=AE888)*(nCUENTA=1)*(COUNTIF(CONFIG_ASIGNATURAS!$B$7:$B$27,nASIG)&gt;0)*(nNOTA))/SUMPRODUCT((nNIA=AE888)*(nCUENTA=1)*(COUNTIF(CONFIG_ASIGNATURAS!$B$7:$B$27,nASIG)&gt;0)*1),"")))</f>
        <v/>
      </c>
    </row>
    <row r="889" spans="2:35" x14ac:dyDescent="0.2">
      <c r="B889" t="str">
        <f>IF(A889="","",IF(A889="[FÓRMULA MANUAL]","",IFERROR(AVERAGEIFS(nNOTA,nNIA,A889,nCUENTA,1,nASIG,"Lenguaje Musical"),"")))</f>
        <v/>
      </c>
      <c r="C889" t="str">
        <f>IF(A889="","",IF(A889="[FÓRMULA MANUAL]","",IFERROR(AVERAGEIFS(nNOTA,nNIA,A889,nCUENTA,1,nASIG,"Orquesta/Banda/Conjunto"),"")))</f>
        <v/>
      </c>
      <c r="D889" t="str">
        <f>IF(A889="","",IF(A889="[FÓRMULA MANUAL]","",IFERROR(AVERAGEIFS(nNOTA,nNIA,A889,nCUENTA,1,nASIG,"Conjunto"),"")))</f>
        <v/>
      </c>
      <c r="E889" t="str">
        <f>IF(A889="","",IF(A889="[FÓRMULA MANUAL]","",IFERROR(SUMPRODUCT((nNIA=A889)*(nCUENTA=1)*(COUNTIF(CONFIG_ASIGNATURAS!$B$7:$B$27,nASIG)&gt;0)*(nNOTA))/SUMPRODUCT((nNIA=A889)*(nCUENTA=1)*(COUNTIF(CONFIG_ASIGNATURAS!$B$7:$B$27,nASIG)&gt;0)*1),"")))</f>
        <v/>
      </c>
      <c r="H889" t="str">
        <f>IF(G889="","",IF(G889="[FÓRMULA MANUAL]","",IFERROR(AVERAGEIFS(nNOTA,nNIA,G889,nCUENTA,1,nASIG,"Lenguaje Musical"),"")))</f>
        <v/>
      </c>
      <c r="I889" t="str">
        <f>IF(G889="","",IF(G889="[FÓRMULA MANUAL]","",IFERROR(AVERAGEIFS(nNOTA,nNIA,G889,nCUENTA,1,nASIG,"Orquesta/Banda/Conjunto"),"")))</f>
        <v/>
      </c>
      <c r="J889" t="str">
        <f>IF(G889="","",IF(G889="[FÓRMULA MANUAL]","",IFERROR(AVERAGEIFS(nNOTA,nNIA,G889,nCUENTA,1,nASIG,"Conjunto"),"")))</f>
        <v/>
      </c>
      <c r="K889" t="str">
        <f>IF(G889="","",IF(G889="[FÓRMULA MANUAL]","",IFERROR(SUMPRODUCT((nNIA=G889)*(nCUENTA=1)*(COUNTIF(CONFIG_ASIGNATURAS!$B$7:$B$27,nASIG)&gt;0)*(nNOTA))/SUMPRODUCT((nNIA=G889)*(nCUENTA=1)*(COUNTIF(CONFIG_ASIGNATURAS!$B$7:$B$27,nASIG)&gt;0)*1),"")))</f>
        <v/>
      </c>
      <c r="N889" t="str">
        <f>IF(M889="","",IF(M889="[FÓRMULA MANUAL]","",IFERROR(AVERAGEIFS(nNOTA,nNIA,M889,nCUENTA,1,nASIG,"Armonía"),"")))</f>
        <v/>
      </c>
      <c r="O889" t="str">
        <f>IF(M889="","",IF(M889="[FÓRMULA MANUAL]","",IFERROR(AVERAGEIFS(nNOTA,nNIA,M889,nCUENTA,1,nASIG,"Orquesta/Banda/Conjunto"),"")))</f>
        <v/>
      </c>
      <c r="P889" t="str">
        <f>IF(M889="","",IF(M889="[FÓRMULA MANUAL]","",IFERROR(AVERAGEIFS(nNOTA,nNIA,M889,nCUENTA,1,nASIG,"Música de Cámara"),"")))</f>
        <v/>
      </c>
      <c r="Q889" t="str">
        <f>IF(M889="","",IF(M889="[FÓRMULA MANUAL]","",IFERROR(SUMPRODUCT((nNIA=M889)*(nCUENTA=1)*(COUNTIF(CONFIG_ASIGNATURAS!$B$7:$B$27,nASIG)&gt;0)*(nNOTA))/SUMPRODUCT((nNIA=M889)*(nCUENTA=1)*(COUNTIF(CONFIG_ASIGNATURAS!$B$7:$B$27,nASIG)&gt;0)*1),"")))</f>
        <v/>
      </c>
      <c r="T889" t="str">
        <f>IF(S889="","",IF(S889="[FÓRMULA MANUAL]","",IFERROR(AVERAGEIFS(nNOTA,nNIA,S889,nCUENTA,1,nASIG,"Armonía"),"")))</f>
        <v/>
      </c>
      <c r="U889" t="str">
        <f>IF(S889="","",IF(S889="[FÓRMULA MANUAL]","",IFERROR(AVERAGEIFS(nNOTA,nNIA,S889,nCUENTA,1,nASIG,"Orquesta/Banda/Conjunto"),"")))</f>
        <v/>
      </c>
      <c r="V889" t="str">
        <f>IF(S889="","",IF(S889="[FÓRMULA MANUAL]","",IFERROR(AVERAGEIFS(nNOTA,nNIA,S889,nCUENTA,1,nASIG,"Música de Cámara"),"")))</f>
        <v/>
      </c>
      <c r="W889" t="str">
        <f>IF(S889="","",IF(S889="[FÓRMULA MANUAL]","",IFERROR(SUMPRODUCT((nNIA=S889)*(nCUENTA=1)*(COUNTIF(CONFIG_ASIGNATURAS!$B$7:$B$27,nASIG)&gt;0)*(nNOTA))/SUMPRODUCT((nNIA=S889)*(nCUENTA=1)*(COUNTIF(CONFIG_ASIGNATURAS!$B$7:$B$27,nASIG)&gt;0)*1),"")))</f>
        <v/>
      </c>
      <c r="Z889" t="str">
        <f>IF(Y889="","",IF(Y889="[FÓRMULA MANUAL]","",IFERROR(AVERAGEIFS(nNOTA,nNIA,Y889,nCUENTA,1,nASIG,"Análisis"),"")))</f>
        <v/>
      </c>
      <c r="AA889" t="str">
        <f>IF(Y889="","",IF(Y889="[FÓRMULA MANUAL]","",IFERROR(AVERAGEIFS(nNOTA,nNIA,Y889,nCUENTA,1,nASIG,"Orquesta/Banda/Conjunto"),"")))</f>
        <v/>
      </c>
      <c r="AB889" t="str">
        <f>IF(Y889="","",IF(Y889="[FÓRMULA MANUAL]","",IFERROR(AVERAGEIFS(nNOTA,nNIA,Y889,nCUENTA,1,nASIG,"Música de Cámara"),"")))</f>
        <v/>
      </c>
      <c r="AC889" t="str">
        <f>IF(Y889="","",IF(Y889="[FÓRMULA MANUAL]","",IFERROR(SUMPRODUCT((nNIA=Y889)*(nCUENTA=1)*(COUNTIF(CONFIG_ASIGNATURAS!$B$7:$B$27,nASIG)&gt;0)*(nNOTA))/SUMPRODUCT((nNIA=Y889)*(nCUENTA=1)*(COUNTIF(CONFIG_ASIGNATURAS!$B$7:$B$27,nASIG)&gt;0)*1),"")))</f>
        <v/>
      </c>
      <c r="AF889" t="str">
        <f>IF(AE889="","",IF(AE889="[FÓRMULA MANUAL]","",IFERROR(AVERAGEIFS(nNOTA,nNIA,AE889,nCUENTA,1,nASIG,"Análisis"),"")))</f>
        <v/>
      </c>
      <c r="AG889" t="str">
        <f>IF(AE889="","",IF(AE889="[FÓRMULA MANUAL]","",IFERROR(AVERAGEIFS(nNOTA,nNIA,AE889,nCUENTA,1,nASIG,"Orquesta/Banda/Conjunto"),"")))</f>
        <v/>
      </c>
      <c r="AH889" t="str">
        <f>IF(AE889="","",IF(AE889="[FÓRMULA MANUAL]","",IFERROR(AVERAGEIFS(nNOTA,nNIA,AE889,nCUENTA,1,nASIG,"Música de Cámara"),"")))</f>
        <v/>
      </c>
      <c r="AI889" t="str">
        <f>IF(AE889="","",IF(AE889="[FÓRMULA MANUAL]","",IFERROR(SUMPRODUCT((nNIA=AE889)*(nCUENTA=1)*(COUNTIF(CONFIG_ASIGNATURAS!$B$7:$B$27,nASIG)&gt;0)*(nNOTA))/SUMPRODUCT((nNIA=AE889)*(nCUENTA=1)*(COUNTIF(CONFIG_ASIGNATURAS!$B$7:$B$27,nASIG)&gt;0)*1),"")))</f>
        <v/>
      </c>
    </row>
    <row r="890" spans="2:35" x14ac:dyDescent="0.2">
      <c r="B890" t="str">
        <f>IF(A890="","",IF(A890="[FÓRMULA MANUAL]","",IFERROR(AVERAGEIFS(nNOTA,nNIA,A890,nCUENTA,1,nASIG,"Lenguaje Musical"),"")))</f>
        <v/>
      </c>
      <c r="C890" t="str">
        <f>IF(A890="","",IF(A890="[FÓRMULA MANUAL]","",IFERROR(AVERAGEIFS(nNOTA,nNIA,A890,nCUENTA,1,nASIG,"Orquesta/Banda/Conjunto"),"")))</f>
        <v/>
      </c>
      <c r="D890" t="str">
        <f>IF(A890="","",IF(A890="[FÓRMULA MANUAL]","",IFERROR(AVERAGEIFS(nNOTA,nNIA,A890,nCUENTA,1,nASIG,"Conjunto"),"")))</f>
        <v/>
      </c>
      <c r="E890" t="str">
        <f>IF(A890="","",IF(A890="[FÓRMULA MANUAL]","",IFERROR(SUMPRODUCT((nNIA=A890)*(nCUENTA=1)*(COUNTIF(CONFIG_ASIGNATURAS!$B$7:$B$27,nASIG)&gt;0)*(nNOTA))/SUMPRODUCT((nNIA=A890)*(nCUENTA=1)*(COUNTIF(CONFIG_ASIGNATURAS!$B$7:$B$27,nASIG)&gt;0)*1),"")))</f>
        <v/>
      </c>
      <c r="H890" t="str">
        <f>IF(G890="","",IF(G890="[FÓRMULA MANUAL]","",IFERROR(AVERAGEIFS(nNOTA,nNIA,G890,nCUENTA,1,nASIG,"Lenguaje Musical"),"")))</f>
        <v/>
      </c>
      <c r="I890" t="str">
        <f>IF(G890="","",IF(G890="[FÓRMULA MANUAL]","",IFERROR(AVERAGEIFS(nNOTA,nNIA,G890,nCUENTA,1,nASIG,"Orquesta/Banda/Conjunto"),"")))</f>
        <v/>
      </c>
      <c r="J890" t="str">
        <f>IF(G890="","",IF(G890="[FÓRMULA MANUAL]","",IFERROR(AVERAGEIFS(nNOTA,nNIA,G890,nCUENTA,1,nASIG,"Conjunto"),"")))</f>
        <v/>
      </c>
      <c r="K890" t="str">
        <f>IF(G890="","",IF(G890="[FÓRMULA MANUAL]","",IFERROR(SUMPRODUCT((nNIA=G890)*(nCUENTA=1)*(COUNTIF(CONFIG_ASIGNATURAS!$B$7:$B$27,nASIG)&gt;0)*(nNOTA))/SUMPRODUCT((nNIA=G890)*(nCUENTA=1)*(COUNTIF(CONFIG_ASIGNATURAS!$B$7:$B$27,nASIG)&gt;0)*1),"")))</f>
        <v/>
      </c>
      <c r="N890" t="str">
        <f>IF(M890="","",IF(M890="[FÓRMULA MANUAL]","",IFERROR(AVERAGEIFS(nNOTA,nNIA,M890,nCUENTA,1,nASIG,"Armonía"),"")))</f>
        <v/>
      </c>
      <c r="O890" t="str">
        <f>IF(M890="","",IF(M890="[FÓRMULA MANUAL]","",IFERROR(AVERAGEIFS(nNOTA,nNIA,M890,nCUENTA,1,nASIG,"Orquesta/Banda/Conjunto"),"")))</f>
        <v/>
      </c>
      <c r="P890" t="str">
        <f>IF(M890="","",IF(M890="[FÓRMULA MANUAL]","",IFERROR(AVERAGEIFS(nNOTA,nNIA,M890,nCUENTA,1,nASIG,"Música de Cámara"),"")))</f>
        <v/>
      </c>
      <c r="Q890" t="str">
        <f>IF(M890="","",IF(M890="[FÓRMULA MANUAL]","",IFERROR(SUMPRODUCT((nNIA=M890)*(nCUENTA=1)*(COUNTIF(CONFIG_ASIGNATURAS!$B$7:$B$27,nASIG)&gt;0)*(nNOTA))/SUMPRODUCT((nNIA=M890)*(nCUENTA=1)*(COUNTIF(CONFIG_ASIGNATURAS!$B$7:$B$27,nASIG)&gt;0)*1),"")))</f>
        <v/>
      </c>
      <c r="T890" t="str">
        <f>IF(S890="","",IF(S890="[FÓRMULA MANUAL]","",IFERROR(AVERAGEIFS(nNOTA,nNIA,S890,nCUENTA,1,nASIG,"Armonía"),"")))</f>
        <v/>
      </c>
      <c r="U890" t="str">
        <f>IF(S890="","",IF(S890="[FÓRMULA MANUAL]","",IFERROR(AVERAGEIFS(nNOTA,nNIA,S890,nCUENTA,1,nASIG,"Orquesta/Banda/Conjunto"),"")))</f>
        <v/>
      </c>
      <c r="V890" t="str">
        <f>IF(S890="","",IF(S890="[FÓRMULA MANUAL]","",IFERROR(AVERAGEIFS(nNOTA,nNIA,S890,nCUENTA,1,nASIG,"Música de Cámara"),"")))</f>
        <v/>
      </c>
      <c r="W890" t="str">
        <f>IF(S890="","",IF(S890="[FÓRMULA MANUAL]","",IFERROR(SUMPRODUCT((nNIA=S890)*(nCUENTA=1)*(COUNTIF(CONFIG_ASIGNATURAS!$B$7:$B$27,nASIG)&gt;0)*(nNOTA))/SUMPRODUCT((nNIA=S890)*(nCUENTA=1)*(COUNTIF(CONFIG_ASIGNATURAS!$B$7:$B$27,nASIG)&gt;0)*1),"")))</f>
        <v/>
      </c>
      <c r="Z890" t="str">
        <f>IF(Y890="","",IF(Y890="[FÓRMULA MANUAL]","",IFERROR(AVERAGEIFS(nNOTA,nNIA,Y890,nCUENTA,1,nASIG,"Análisis"),"")))</f>
        <v/>
      </c>
      <c r="AA890" t="str">
        <f>IF(Y890="","",IF(Y890="[FÓRMULA MANUAL]","",IFERROR(AVERAGEIFS(nNOTA,nNIA,Y890,nCUENTA,1,nASIG,"Orquesta/Banda/Conjunto"),"")))</f>
        <v/>
      </c>
      <c r="AB890" t="str">
        <f>IF(Y890="","",IF(Y890="[FÓRMULA MANUAL]","",IFERROR(AVERAGEIFS(nNOTA,nNIA,Y890,nCUENTA,1,nASIG,"Música de Cámara"),"")))</f>
        <v/>
      </c>
      <c r="AC890" t="str">
        <f>IF(Y890="","",IF(Y890="[FÓRMULA MANUAL]","",IFERROR(SUMPRODUCT((nNIA=Y890)*(nCUENTA=1)*(COUNTIF(CONFIG_ASIGNATURAS!$B$7:$B$27,nASIG)&gt;0)*(nNOTA))/SUMPRODUCT((nNIA=Y890)*(nCUENTA=1)*(COUNTIF(CONFIG_ASIGNATURAS!$B$7:$B$27,nASIG)&gt;0)*1),"")))</f>
        <v/>
      </c>
      <c r="AF890" t="str">
        <f>IF(AE890="","",IF(AE890="[FÓRMULA MANUAL]","",IFERROR(AVERAGEIFS(nNOTA,nNIA,AE890,nCUENTA,1,nASIG,"Análisis"),"")))</f>
        <v/>
      </c>
      <c r="AG890" t="str">
        <f>IF(AE890="","",IF(AE890="[FÓRMULA MANUAL]","",IFERROR(AVERAGEIFS(nNOTA,nNIA,AE890,nCUENTA,1,nASIG,"Orquesta/Banda/Conjunto"),"")))</f>
        <v/>
      </c>
      <c r="AH890" t="str">
        <f>IF(AE890="","",IF(AE890="[FÓRMULA MANUAL]","",IFERROR(AVERAGEIFS(nNOTA,nNIA,AE890,nCUENTA,1,nASIG,"Música de Cámara"),"")))</f>
        <v/>
      </c>
      <c r="AI890" t="str">
        <f>IF(AE890="","",IF(AE890="[FÓRMULA MANUAL]","",IFERROR(SUMPRODUCT((nNIA=AE890)*(nCUENTA=1)*(COUNTIF(CONFIG_ASIGNATURAS!$B$7:$B$27,nASIG)&gt;0)*(nNOTA))/SUMPRODUCT((nNIA=AE890)*(nCUENTA=1)*(COUNTIF(CONFIG_ASIGNATURAS!$B$7:$B$27,nASIG)&gt;0)*1),"")))</f>
        <v/>
      </c>
    </row>
    <row r="891" spans="2:35" x14ac:dyDescent="0.2">
      <c r="B891" t="str">
        <f>IF(A891="","",IF(A891="[FÓRMULA MANUAL]","",IFERROR(AVERAGEIFS(nNOTA,nNIA,A891,nCUENTA,1,nASIG,"Lenguaje Musical"),"")))</f>
        <v/>
      </c>
      <c r="C891" t="str">
        <f>IF(A891="","",IF(A891="[FÓRMULA MANUAL]","",IFERROR(AVERAGEIFS(nNOTA,nNIA,A891,nCUENTA,1,nASIG,"Orquesta/Banda/Conjunto"),"")))</f>
        <v/>
      </c>
      <c r="D891" t="str">
        <f>IF(A891="","",IF(A891="[FÓRMULA MANUAL]","",IFERROR(AVERAGEIFS(nNOTA,nNIA,A891,nCUENTA,1,nASIG,"Conjunto"),"")))</f>
        <v/>
      </c>
      <c r="E891" t="str">
        <f>IF(A891="","",IF(A891="[FÓRMULA MANUAL]","",IFERROR(SUMPRODUCT((nNIA=A891)*(nCUENTA=1)*(COUNTIF(CONFIG_ASIGNATURAS!$B$7:$B$27,nASIG)&gt;0)*(nNOTA))/SUMPRODUCT((nNIA=A891)*(nCUENTA=1)*(COUNTIF(CONFIG_ASIGNATURAS!$B$7:$B$27,nASIG)&gt;0)*1),"")))</f>
        <v/>
      </c>
      <c r="H891" t="str">
        <f>IF(G891="","",IF(G891="[FÓRMULA MANUAL]","",IFERROR(AVERAGEIFS(nNOTA,nNIA,G891,nCUENTA,1,nASIG,"Lenguaje Musical"),"")))</f>
        <v/>
      </c>
      <c r="I891" t="str">
        <f>IF(G891="","",IF(G891="[FÓRMULA MANUAL]","",IFERROR(AVERAGEIFS(nNOTA,nNIA,G891,nCUENTA,1,nASIG,"Orquesta/Banda/Conjunto"),"")))</f>
        <v/>
      </c>
      <c r="J891" t="str">
        <f>IF(G891="","",IF(G891="[FÓRMULA MANUAL]","",IFERROR(AVERAGEIFS(nNOTA,nNIA,G891,nCUENTA,1,nASIG,"Conjunto"),"")))</f>
        <v/>
      </c>
      <c r="K891" t="str">
        <f>IF(G891="","",IF(G891="[FÓRMULA MANUAL]","",IFERROR(SUMPRODUCT((nNIA=G891)*(nCUENTA=1)*(COUNTIF(CONFIG_ASIGNATURAS!$B$7:$B$27,nASIG)&gt;0)*(nNOTA))/SUMPRODUCT((nNIA=G891)*(nCUENTA=1)*(COUNTIF(CONFIG_ASIGNATURAS!$B$7:$B$27,nASIG)&gt;0)*1),"")))</f>
        <v/>
      </c>
      <c r="N891" t="str">
        <f>IF(M891="","",IF(M891="[FÓRMULA MANUAL]","",IFERROR(AVERAGEIFS(nNOTA,nNIA,M891,nCUENTA,1,nASIG,"Armonía"),"")))</f>
        <v/>
      </c>
      <c r="O891" t="str">
        <f>IF(M891="","",IF(M891="[FÓRMULA MANUAL]","",IFERROR(AVERAGEIFS(nNOTA,nNIA,M891,nCUENTA,1,nASIG,"Orquesta/Banda/Conjunto"),"")))</f>
        <v/>
      </c>
      <c r="P891" t="str">
        <f>IF(M891="","",IF(M891="[FÓRMULA MANUAL]","",IFERROR(AVERAGEIFS(nNOTA,nNIA,M891,nCUENTA,1,nASIG,"Música de Cámara"),"")))</f>
        <v/>
      </c>
      <c r="Q891" t="str">
        <f>IF(M891="","",IF(M891="[FÓRMULA MANUAL]","",IFERROR(SUMPRODUCT((nNIA=M891)*(nCUENTA=1)*(COUNTIF(CONFIG_ASIGNATURAS!$B$7:$B$27,nASIG)&gt;0)*(nNOTA))/SUMPRODUCT((nNIA=M891)*(nCUENTA=1)*(COUNTIF(CONFIG_ASIGNATURAS!$B$7:$B$27,nASIG)&gt;0)*1),"")))</f>
        <v/>
      </c>
      <c r="T891" t="str">
        <f>IF(S891="","",IF(S891="[FÓRMULA MANUAL]","",IFERROR(AVERAGEIFS(nNOTA,nNIA,S891,nCUENTA,1,nASIG,"Armonía"),"")))</f>
        <v/>
      </c>
      <c r="U891" t="str">
        <f>IF(S891="","",IF(S891="[FÓRMULA MANUAL]","",IFERROR(AVERAGEIFS(nNOTA,nNIA,S891,nCUENTA,1,nASIG,"Orquesta/Banda/Conjunto"),"")))</f>
        <v/>
      </c>
      <c r="V891" t="str">
        <f>IF(S891="","",IF(S891="[FÓRMULA MANUAL]","",IFERROR(AVERAGEIFS(nNOTA,nNIA,S891,nCUENTA,1,nASIG,"Música de Cámara"),"")))</f>
        <v/>
      </c>
      <c r="W891" t="str">
        <f>IF(S891="","",IF(S891="[FÓRMULA MANUAL]","",IFERROR(SUMPRODUCT((nNIA=S891)*(nCUENTA=1)*(COUNTIF(CONFIG_ASIGNATURAS!$B$7:$B$27,nASIG)&gt;0)*(nNOTA))/SUMPRODUCT((nNIA=S891)*(nCUENTA=1)*(COUNTIF(CONFIG_ASIGNATURAS!$B$7:$B$27,nASIG)&gt;0)*1),"")))</f>
        <v/>
      </c>
      <c r="Z891" t="str">
        <f>IF(Y891="","",IF(Y891="[FÓRMULA MANUAL]","",IFERROR(AVERAGEIFS(nNOTA,nNIA,Y891,nCUENTA,1,nASIG,"Análisis"),"")))</f>
        <v/>
      </c>
      <c r="AA891" t="str">
        <f>IF(Y891="","",IF(Y891="[FÓRMULA MANUAL]","",IFERROR(AVERAGEIFS(nNOTA,nNIA,Y891,nCUENTA,1,nASIG,"Orquesta/Banda/Conjunto"),"")))</f>
        <v/>
      </c>
      <c r="AB891" t="str">
        <f>IF(Y891="","",IF(Y891="[FÓRMULA MANUAL]","",IFERROR(AVERAGEIFS(nNOTA,nNIA,Y891,nCUENTA,1,nASIG,"Música de Cámara"),"")))</f>
        <v/>
      </c>
      <c r="AC891" t="str">
        <f>IF(Y891="","",IF(Y891="[FÓRMULA MANUAL]","",IFERROR(SUMPRODUCT((nNIA=Y891)*(nCUENTA=1)*(COUNTIF(CONFIG_ASIGNATURAS!$B$7:$B$27,nASIG)&gt;0)*(nNOTA))/SUMPRODUCT((nNIA=Y891)*(nCUENTA=1)*(COUNTIF(CONFIG_ASIGNATURAS!$B$7:$B$27,nASIG)&gt;0)*1),"")))</f>
        <v/>
      </c>
      <c r="AF891" t="str">
        <f>IF(AE891="","",IF(AE891="[FÓRMULA MANUAL]","",IFERROR(AVERAGEIFS(nNOTA,nNIA,AE891,nCUENTA,1,nASIG,"Análisis"),"")))</f>
        <v/>
      </c>
      <c r="AG891" t="str">
        <f>IF(AE891="","",IF(AE891="[FÓRMULA MANUAL]","",IFERROR(AVERAGEIFS(nNOTA,nNIA,AE891,nCUENTA,1,nASIG,"Orquesta/Banda/Conjunto"),"")))</f>
        <v/>
      </c>
      <c r="AH891" t="str">
        <f>IF(AE891="","",IF(AE891="[FÓRMULA MANUAL]","",IFERROR(AVERAGEIFS(nNOTA,nNIA,AE891,nCUENTA,1,nASIG,"Música de Cámara"),"")))</f>
        <v/>
      </c>
      <c r="AI891" t="str">
        <f>IF(AE891="","",IF(AE891="[FÓRMULA MANUAL]","",IFERROR(SUMPRODUCT((nNIA=AE891)*(nCUENTA=1)*(COUNTIF(CONFIG_ASIGNATURAS!$B$7:$B$27,nASIG)&gt;0)*(nNOTA))/SUMPRODUCT((nNIA=AE891)*(nCUENTA=1)*(COUNTIF(CONFIG_ASIGNATURAS!$B$7:$B$27,nASIG)&gt;0)*1),"")))</f>
        <v/>
      </c>
    </row>
    <row r="892" spans="2:35" x14ac:dyDescent="0.2">
      <c r="B892" t="str">
        <f>IF(A892="","",IF(A892="[FÓRMULA MANUAL]","",IFERROR(AVERAGEIFS(nNOTA,nNIA,A892,nCUENTA,1,nASIG,"Lenguaje Musical"),"")))</f>
        <v/>
      </c>
      <c r="C892" t="str">
        <f>IF(A892="","",IF(A892="[FÓRMULA MANUAL]","",IFERROR(AVERAGEIFS(nNOTA,nNIA,A892,nCUENTA,1,nASIG,"Orquesta/Banda/Conjunto"),"")))</f>
        <v/>
      </c>
      <c r="D892" t="str">
        <f>IF(A892="","",IF(A892="[FÓRMULA MANUAL]","",IFERROR(AVERAGEIFS(nNOTA,nNIA,A892,nCUENTA,1,nASIG,"Conjunto"),"")))</f>
        <v/>
      </c>
      <c r="E892" t="str">
        <f>IF(A892="","",IF(A892="[FÓRMULA MANUAL]","",IFERROR(SUMPRODUCT((nNIA=A892)*(nCUENTA=1)*(COUNTIF(CONFIG_ASIGNATURAS!$B$7:$B$27,nASIG)&gt;0)*(nNOTA))/SUMPRODUCT((nNIA=A892)*(nCUENTA=1)*(COUNTIF(CONFIG_ASIGNATURAS!$B$7:$B$27,nASIG)&gt;0)*1),"")))</f>
        <v/>
      </c>
      <c r="H892" t="str">
        <f>IF(G892="","",IF(G892="[FÓRMULA MANUAL]","",IFERROR(AVERAGEIFS(nNOTA,nNIA,G892,nCUENTA,1,nASIG,"Lenguaje Musical"),"")))</f>
        <v/>
      </c>
      <c r="I892" t="str">
        <f>IF(G892="","",IF(G892="[FÓRMULA MANUAL]","",IFERROR(AVERAGEIFS(nNOTA,nNIA,G892,nCUENTA,1,nASIG,"Orquesta/Banda/Conjunto"),"")))</f>
        <v/>
      </c>
      <c r="J892" t="str">
        <f>IF(G892="","",IF(G892="[FÓRMULA MANUAL]","",IFERROR(AVERAGEIFS(nNOTA,nNIA,G892,nCUENTA,1,nASIG,"Conjunto"),"")))</f>
        <v/>
      </c>
      <c r="K892" t="str">
        <f>IF(G892="","",IF(G892="[FÓRMULA MANUAL]","",IFERROR(SUMPRODUCT((nNIA=G892)*(nCUENTA=1)*(COUNTIF(CONFIG_ASIGNATURAS!$B$7:$B$27,nASIG)&gt;0)*(nNOTA))/SUMPRODUCT((nNIA=G892)*(nCUENTA=1)*(COUNTIF(CONFIG_ASIGNATURAS!$B$7:$B$27,nASIG)&gt;0)*1),"")))</f>
        <v/>
      </c>
      <c r="N892" t="str">
        <f>IF(M892="","",IF(M892="[FÓRMULA MANUAL]","",IFERROR(AVERAGEIFS(nNOTA,nNIA,M892,nCUENTA,1,nASIG,"Armonía"),"")))</f>
        <v/>
      </c>
      <c r="O892" t="str">
        <f>IF(M892="","",IF(M892="[FÓRMULA MANUAL]","",IFERROR(AVERAGEIFS(nNOTA,nNIA,M892,nCUENTA,1,nASIG,"Orquesta/Banda/Conjunto"),"")))</f>
        <v/>
      </c>
      <c r="P892" t="str">
        <f>IF(M892="","",IF(M892="[FÓRMULA MANUAL]","",IFERROR(AVERAGEIFS(nNOTA,nNIA,M892,nCUENTA,1,nASIG,"Música de Cámara"),"")))</f>
        <v/>
      </c>
      <c r="Q892" t="str">
        <f>IF(M892="","",IF(M892="[FÓRMULA MANUAL]","",IFERROR(SUMPRODUCT((nNIA=M892)*(nCUENTA=1)*(COUNTIF(CONFIG_ASIGNATURAS!$B$7:$B$27,nASIG)&gt;0)*(nNOTA))/SUMPRODUCT((nNIA=M892)*(nCUENTA=1)*(COUNTIF(CONFIG_ASIGNATURAS!$B$7:$B$27,nASIG)&gt;0)*1),"")))</f>
        <v/>
      </c>
      <c r="T892" t="str">
        <f>IF(S892="","",IF(S892="[FÓRMULA MANUAL]","",IFERROR(AVERAGEIFS(nNOTA,nNIA,S892,nCUENTA,1,nASIG,"Armonía"),"")))</f>
        <v/>
      </c>
      <c r="U892" t="str">
        <f>IF(S892="","",IF(S892="[FÓRMULA MANUAL]","",IFERROR(AVERAGEIFS(nNOTA,nNIA,S892,nCUENTA,1,nASIG,"Orquesta/Banda/Conjunto"),"")))</f>
        <v/>
      </c>
      <c r="V892" t="str">
        <f>IF(S892="","",IF(S892="[FÓRMULA MANUAL]","",IFERROR(AVERAGEIFS(nNOTA,nNIA,S892,nCUENTA,1,nASIG,"Música de Cámara"),"")))</f>
        <v/>
      </c>
      <c r="W892" t="str">
        <f>IF(S892="","",IF(S892="[FÓRMULA MANUAL]","",IFERROR(SUMPRODUCT((nNIA=S892)*(nCUENTA=1)*(COUNTIF(CONFIG_ASIGNATURAS!$B$7:$B$27,nASIG)&gt;0)*(nNOTA))/SUMPRODUCT((nNIA=S892)*(nCUENTA=1)*(COUNTIF(CONFIG_ASIGNATURAS!$B$7:$B$27,nASIG)&gt;0)*1),"")))</f>
        <v/>
      </c>
      <c r="Z892" t="str">
        <f>IF(Y892="","",IF(Y892="[FÓRMULA MANUAL]","",IFERROR(AVERAGEIFS(nNOTA,nNIA,Y892,nCUENTA,1,nASIG,"Análisis"),"")))</f>
        <v/>
      </c>
      <c r="AA892" t="str">
        <f>IF(Y892="","",IF(Y892="[FÓRMULA MANUAL]","",IFERROR(AVERAGEIFS(nNOTA,nNIA,Y892,nCUENTA,1,nASIG,"Orquesta/Banda/Conjunto"),"")))</f>
        <v/>
      </c>
      <c r="AB892" t="str">
        <f>IF(Y892="","",IF(Y892="[FÓRMULA MANUAL]","",IFERROR(AVERAGEIFS(nNOTA,nNIA,Y892,nCUENTA,1,nASIG,"Música de Cámara"),"")))</f>
        <v/>
      </c>
      <c r="AC892" t="str">
        <f>IF(Y892="","",IF(Y892="[FÓRMULA MANUAL]","",IFERROR(SUMPRODUCT((nNIA=Y892)*(nCUENTA=1)*(COUNTIF(CONFIG_ASIGNATURAS!$B$7:$B$27,nASIG)&gt;0)*(nNOTA))/SUMPRODUCT((nNIA=Y892)*(nCUENTA=1)*(COUNTIF(CONFIG_ASIGNATURAS!$B$7:$B$27,nASIG)&gt;0)*1),"")))</f>
        <v/>
      </c>
      <c r="AF892" t="str">
        <f>IF(AE892="","",IF(AE892="[FÓRMULA MANUAL]","",IFERROR(AVERAGEIFS(nNOTA,nNIA,AE892,nCUENTA,1,nASIG,"Análisis"),"")))</f>
        <v/>
      </c>
      <c r="AG892" t="str">
        <f>IF(AE892="","",IF(AE892="[FÓRMULA MANUAL]","",IFERROR(AVERAGEIFS(nNOTA,nNIA,AE892,nCUENTA,1,nASIG,"Orquesta/Banda/Conjunto"),"")))</f>
        <v/>
      </c>
      <c r="AH892" t="str">
        <f>IF(AE892="","",IF(AE892="[FÓRMULA MANUAL]","",IFERROR(AVERAGEIFS(nNOTA,nNIA,AE892,nCUENTA,1,nASIG,"Música de Cámara"),"")))</f>
        <v/>
      </c>
      <c r="AI892" t="str">
        <f>IF(AE892="","",IF(AE892="[FÓRMULA MANUAL]","",IFERROR(SUMPRODUCT((nNIA=AE892)*(nCUENTA=1)*(COUNTIF(CONFIG_ASIGNATURAS!$B$7:$B$27,nASIG)&gt;0)*(nNOTA))/SUMPRODUCT((nNIA=AE892)*(nCUENTA=1)*(COUNTIF(CONFIG_ASIGNATURAS!$B$7:$B$27,nASIG)&gt;0)*1),"")))</f>
        <v/>
      </c>
    </row>
    <row r="893" spans="2:35" x14ac:dyDescent="0.2">
      <c r="B893" t="str">
        <f>IF(A893="","",IF(A893="[FÓRMULA MANUAL]","",IFERROR(AVERAGEIFS(nNOTA,nNIA,A893,nCUENTA,1,nASIG,"Lenguaje Musical"),"")))</f>
        <v/>
      </c>
      <c r="C893" t="str">
        <f>IF(A893="","",IF(A893="[FÓRMULA MANUAL]","",IFERROR(AVERAGEIFS(nNOTA,nNIA,A893,nCUENTA,1,nASIG,"Orquesta/Banda/Conjunto"),"")))</f>
        <v/>
      </c>
      <c r="D893" t="str">
        <f>IF(A893="","",IF(A893="[FÓRMULA MANUAL]","",IFERROR(AVERAGEIFS(nNOTA,nNIA,A893,nCUENTA,1,nASIG,"Conjunto"),"")))</f>
        <v/>
      </c>
      <c r="E893" t="str">
        <f>IF(A893="","",IF(A893="[FÓRMULA MANUAL]","",IFERROR(SUMPRODUCT((nNIA=A893)*(nCUENTA=1)*(COUNTIF(CONFIG_ASIGNATURAS!$B$7:$B$27,nASIG)&gt;0)*(nNOTA))/SUMPRODUCT((nNIA=A893)*(nCUENTA=1)*(COUNTIF(CONFIG_ASIGNATURAS!$B$7:$B$27,nASIG)&gt;0)*1),"")))</f>
        <v/>
      </c>
      <c r="H893" t="str">
        <f>IF(G893="","",IF(G893="[FÓRMULA MANUAL]","",IFERROR(AVERAGEIFS(nNOTA,nNIA,G893,nCUENTA,1,nASIG,"Lenguaje Musical"),"")))</f>
        <v/>
      </c>
      <c r="I893" t="str">
        <f>IF(G893="","",IF(G893="[FÓRMULA MANUAL]","",IFERROR(AVERAGEIFS(nNOTA,nNIA,G893,nCUENTA,1,nASIG,"Orquesta/Banda/Conjunto"),"")))</f>
        <v/>
      </c>
      <c r="J893" t="str">
        <f>IF(G893="","",IF(G893="[FÓRMULA MANUAL]","",IFERROR(AVERAGEIFS(nNOTA,nNIA,G893,nCUENTA,1,nASIG,"Conjunto"),"")))</f>
        <v/>
      </c>
      <c r="K893" t="str">
        <f>IF(G893="","",IF(G893="[FÓRMULA MANUAL]","",IFERROR(SUMPRODUCT((nNIA=G893)*(nCUENTA=1)*(COUNTIF(CONFIG_ASIGNATURAS!$B$7:$B$27,nASIG)&gt;0)*(nNOTA))/SUMPRODUCT((nNIA=G893)*(nCUENTA=1)*(COUNTIF(CONFIG_ASIGNATURAS!$B$7:$B$27,nASIG)&gt;0)*1),"")))</f>
        <v/>
      </c>
      <c r="N893" t="str">
        <f>IF(M893="","",IF(M893="[FÓRMULA MANUAL]","",IFERROR(AVERAGEIFS(nNOTA,nNIA,M893,nCUENTA,1,nASIG,"Armonía"),"")))</f>
        <v/>
      </c>
      <c r="O893" t="str">
        <f>IF(M893="","",IF(M893="[FÓRMULA MANUAL]","",IFERROR(AVERAGEIFS(nNOTA,nNIA,M893,nCUENTA,1,nASIG,"Orquesta/Banda/Conjunto"),"")))</f>
        <v/>
      </c>
      <c r="P893" t="str">
        <f>IF(M893="","",IF(M893="[FÓRMULA MANUAL]","",IFERROR(AVERAGEIFS(nNOTA,nNIA,M893,nCUENTA,1,nASIG,"Música de Cámara"),"")))</f>
        <v/>
      </c>
      <c r="Q893" t="str">
        <f>IF(M893="","",IF(M893="[FÓRMULA MANUAL]","",IFERROR(SUMPRODUCT((nNIA=M893)*(nCUENTA=1)*(COUNTIF(CONFIG_ASIGNATURAS!$B$7:$B$27,nASIG)&gt;0)*(nNOTA))/SUMPRODUCT((nNIA=M893)*(nCUENTA=1)*(COUNTIF(CONFIG_ASIGNATURAS!$B$7:$B$27,nASIG)&gt;0)*1),"")))</f>
        <v/>
      </c>
      <c r="T893" t="str">
        <f>IF(S893="","",IF(S893="[FÓRMULA MANUAL]","",IFERROR(AVERAGEIFS(nNOTA,nNIA,S893,nCUENTA,1,nASIG,"Armonía"),"")))</f>
        <v/>
      </c>
      <c r="U893" t="str">
        <f>IF(S893="","",IF(S893="[FÓRMULA MANUAL]","",IFERROR(AVERAGEIFS(nNOTA,nNIA,S893,nCUENTA,1,nASIG,"Orquesta/Banda/Conjunto"),"")))</f>
        <v/>
      </c>
      <c r="V893" t="str">
        <f>IF(S893="","",IF(S893="[FÓRMULA MANUAL]","",IFERROR(AVERAGEIFS(nNOTA,nNIA,S893,nCUENTA,1,nASIG,"Música de Cámara"),"")))</f>
        <v/>
      </c>
      <c r="W893" t="str">
        <f>IF(S893="","",IF(S893="[FÓRMULA MANUAL]","",IFERROR(SUMPRODUCT((nNIA=S893)*(nCUENTA=1)*(COUNTIF(CONFIG_ASIGNATURAS!$B$7:$B$27,nASIG)&gt;0)*(nNOTA))/SUMPRODUCT((nNIA=S893)*(nCUENTA=1)*(COUNTIF(CONFIG_ASIGNATURAS!$B$7:$B$27,nASIG)&gt;0)*1),"")))</f>
        <v/>
      </c>
      <c r="Z893" t="str">
        <f>IF(Y893="","",IF(Y893="[FÓRMULA MANUAL]","",IFERROR(AVERAGEIFS(nNOTA,nNIA,Y893,nCUENTA,1,nASIG,"Análisis"),"")))</f>
        <v/>
      </c>
      <c r="AA893" t="str">
        <f>IF(Y893="","",IF(Y893="[FÓRMULA MANUAL]","",IFERROR(AVERAGEIFS(nNOTA,nNIA,Y893,nCUENTA,1,nASIG,"Orquesta/Banda/Conjunto"),"")))</f>
        <v/>
      </c>
      <c r="AB893" t="str">
        <f>IF(Y893="","",IF(Y893="[FÓRMULA MANUAL]","",IFERROR(AVERAGEIFS(nNOTA,nNIA,Y893,nCUENTA,1,nASIG,"Música de Cámara"),"")))</f>
        <v/>
      </c>
      <c r="AC893" t="str">
        <f>IF(Y893="","",IF(Y893="[FÓRMULA MANUAL]","",IFERROR(SUMPRODUCT((nNIA=Y893)*(nCUENTA=1)*(COUNTIF(CONFIG_ASIGNATURAS!$B$7:$B$27,nASIG)&gt;0)*(nNOTA))/SUMPRODUCT((nNIA=Y893)*(nCUENTA=1)*(COUNTIF(CONFIG_ASIGNATURAS!$B$7:$B$27,nASIG)&gt;0)*1),"")))</f>
        <v/>
      </c>
      <c r="AF893" t="str">
        <f>IF(AE893="","",IF(AE893="[FÓRMULA MANUAL]","",IFERROR(AVERAGEIFS(nNOTA,nNIA,AE893,nCUENTA,1,nASIG,"Análisis"),"")))</f>
        <v/>
      </c>
      <c r="AG893" t="str">
        <f>IF(AE893="","",IF(AE893="[FÓRMULA MANUAL]","",IFERROR(AVERAGEIFS(nNOTA,nNIA,AE893,nCUENTA,1,nASIG,"Orquesta/Banda/Conjunto"),"")))</f>
        <v/>
      </c>
      <c r="AH893" t="str">
        <f>IF(AE893="","",IF(AE893="[FÓRMULA MANUAL]","",IFERROR(AVERAGEIFS(nNOTA,nNIA,AE893,nCUENTA,1,nASIG,"Música de Cámara"),"")))</f>
        <v/>
      </c>
      <c r="AI893" t="str">
        <f>IF(AE893="","",IF(AE893="[FÓRMULA MANUAL]","",IFERROR(SUMPRODUCT((nNIA=AE893)*(nCUENTA=1)*(COUNTIF(CONFIG_ASIGNATURAS!$B$7:$B$27,nASIG)&gt;0)*(nNOTA))/SUMPRODUCT((nNIA=AE893)*(nCUENTA=1)*(COUNTIF(CONFIG_ASIGNATURAS!$B$7:$B$27,nASIG)&gt;0)*1),"")))</f>
        <v/>
      </c>
    </row>
    <row r="894" spans="2:35" x14ac:dyDescent="0.2">
      <c r="B894" t="str">
        <f>IF(A894="","",IF(A894="[FÓRMULA MANUAL]","",IFERROR(AVERAGEIFS(nNOTA,nNIA,A894,nCUENTA,1,nASIG,"Lenguaje Musical"),"")))</f>
        <v/>
      </c>
      <c r="C894" t="str">
        <f>IF(A894="","",IF(A894="[FÓRMULA MANUAL]","",IFERROR(AVERAGEIFS(nNOTA,nNIA,A894,nCUENTA,1,nASIG,"Orquesta/Banda/Conjunto"),"")))</f>
        <v/>
      </c>
      <c r="D894" t="str">
        <f>IF(A894="","",IF(A894="[FÓRMULA MANUAL]","",IFERROR(AVERAGEIFS(nNOTA,nNIA,A894,nCUENTA,1,nASIG,"Conjunto"),"")))</f>
        <v/>
      </c>
      <c r="E894" t="str">
        <f>IF(A894="","",IF(A894="[FÓRMULA MANUAL]","",IFERROR(SUMPRODUCT((nNIA=A894)*(nCUENTA=1)*(COUNTIF(CONFIG_ASIGNATURAS!$B$7:$B$27,nASIG)&gt;0)*(nNOTA))/SUMPRODUCT((nNIA=A894)*(nCUENTA=1)*(COUNTIF(CONFIG_ASIGNATURAS!$B$7:$B$27,nASIG)&gt;0)*1),"")))</f>
        <v/>
      </c>
      <c r="H894" t="str">
        <f>IF(G894="","",IF(G894="[FÓRMULA MANUAL]","",IFERROR(AVERAGEIFS(nNOTA,nNIA,G894,nCUENTA,1,nASIG,"Lenguaje Musical"),"")))</f>
        <v/>
      </c>
      <c r="I894" t="str">
        <f>IF(G894="","",IF(G894="[FÓRMULA MANUAL]","",IFERROR(AVERAGEIFS(nNOTA,nNIA,G894,nCUENTA,1,nASIG,"Orquesta/Banda/Conjunto"),"")))</f>
        <v/>
      </c>
      <c r="J894" t="str">
        <f>IF(G894="","",IF(G894="[FÓRMULA MANUAL]","",IFERROR(AVERAGEIFS(nNOTA,nNIA,G894,nCUENTA,1,nASIG,"Conjunto"),"")))</f>
        <v/>
      </c>
      <c r="K894" t="str">
        <f>IF(G894="","",IF(G894="[FÓRMULA MANUAL]","",IFERROR(SUMPRODUCT((nNIA=G894)*(nCUENTA=1)*(COUNTIF(CONFIG_ASIGNATURAS!$B$7:$B$27,nASIG)&gt;0)*(nNOTA))/SUMPRODUCT((nNIA=G894)*(nCUENTA=1)*(COUNTIF(CONFIG_ASIGNATURAS!$B$7:$B$27,nASIG)&gt;0)*1),"")))</f>
        <v/>
      </c>
      <c r="N894" t="str">
        <f>IF(M894="","",IF(M894="[FÓRMULA MANUAL]","",IFERROR(AVERAGEIFS(nNOTA,nNIA,M894,nCUENTA,1,nASIG,"Armonía"),"")))</f>
        <v/>
      </c>
      <c r="O894" t="str">
        <f>IF(M894="","",IF(M894="[FÓRMULA MANUAL]","",IFERROR(AVERAGEIFS(nNOTA,nNIA,M894,nCUENTA,1,nASIG,"Orquesta/Banda/Conjunto"),"")))</f>
        <v/>
      </c>
      <c r="P894" t="str">
        <f>IF(M894="","",IF(M894="[FÓRMULA MANUAL]","",IFERROR(AVERAGEIFS(nNOTA,nNIA,M894,nCUENTA,1,nASIG,"Música de Cámara"),"")))</f>
        <v/>
      </c>
      <c r="Q894" t="str">
        <f>IF(M894="","",IF(M894="[FÓRMULA MANUAL]","",IFERROR(SUMPRODUCT((nNIA=M894)*(nCUENTA=1)*(COUNTIF(CONFIG_ASIGNATURAS!$B$7:$B$27,nASIG)&gt;0)*(nNOTA))/SUMPRODUCT((nNIA=M894)*(nCUENTA=1)*(COUNTIF(CONFIG_ASIGNATURAS!$B$7:$B$27,nASIG)&gt;0)*1),"")))</f>
        <v/>
      </c>
      <c r="T894" t="str">
        <f>IF(S894="","",IF(S894="[FÓRMULA MANUAL]","",IFERROR(AVERAGEIFS(nNOTA,nNIA,S894,nCUENTA,1,nASIG,"Armonía"),"")))</f>
        <v/>
      </c>
      <c r="U894" t="str">
        <f>IF(S894="","",IF(S894="[FÓRMULA MANUAL]","",IFERROR(AVERAGEIFS(nNOTA,nNIA,S894,nCUENTA,1,nASIG,"Orquesta/Banda/Conjunto"),"")))</f>
        <v/>
      </c>
      <c r="V894" t="str">
        <f>IF(S894="","",IF(S894="[FÓRMULA MANUAL]","",IFERROR(AVERAGEIFS(nNOTA,nNIA,S894,nCUENTA,1,nASIG,"Música de Cámara"),"")))</f>
        <v/>
      </c>
      <c r="W894" t="str">
        <f>IF(S894="","",IF(S894="[FÓRMULA MANUAL]","",IFERROR(SUMPRODUCT((nNIA=S894)*(nCUENTA=1)*(COUNTIF(CONFIG_ASIGNATURAS!$B$7:$B$27,nASIG)&gt;0)*(nNOTA))/SUMPRODUCT((nNIA=S894)*(nCUENTA=1)*(COUNTIF(CONFIG_ASIGNATURAS!$B$7:$B$27,nASIG)&gt;0)*1),"")))</f>
        <v/>
      </c>
      <c r="Z894" t="str">
        <f>IF(Y894="","",IF(Y894="[FÓRMULA MANUAL]","",IFERROR(AVERAGEIFS(nNOTA,nNIA,Y894,nCUENTA,1,nASIG,"Análisis"),"")))</f>
        <v/>
      </c>
      <c r="AA894" t="str">
        <f>IF(Y894="","",IF(Y894="[FÓRMULA MANUAL]","",IFERROR(AVERAGEIFS(nNOTA,nNIA,Y894,nCUENTA,1,nASIG,"Orquesta/Banda/Conjunto"),"")))</f>
        <v/>
      </c>
      <c r="AB894" t="str">
        <f>IF(Y894="","",IF(Y894="[FÓRMULA MANUAL]","",IFERROR(AVERAGEIFS(nNOTA,nNIA,Y894,nCUENTA,1,nASIG,"Música de Cámara"),"")))</f>
        <v/>
      </c>
      <c r="AC894" t="str">
        <f>IF(Y894="","",IF(Y894="[FÓRMULA MANUAL]","",IFERROR(SUMPRODUCT((nNIA=Y894)*(nCUENTA=1)*(COUNTIF(CONFIG_ASIGNATURAS!$B$7:$B$27,nASIG)&gt;0)*(nNOTA))/SUMPRODUCT((nNIA=Y894)*(nCUENTA=1)*(COUNTIF(CONFIG_ASIGNATURAS!$B$7:$B$27,nASIG)&gt;0)*1),"")))</f>
        <v/>
      </c>
      <c r="AF894" t="str">
        <f>IF(AE894="","",IF(AE894="[FÓRMULA MANUAL]","",IFERROR(AVERAGEIFS(nNOTA,nNIA,AE894,nCUENTA,1,nASIG,"Análisis"),"")))</f>
        <v/>
      </c>
      <c r="AG894" t="str">
        <f>IF(AE894="","",IF(AE894="[FÓRMULA MANUAL]","",IFERROR(AVERAGEIFS(nNOTA,nNIA,AE894,nCUENTA,1,nASIG,"Orquesta/Banda/Conjunto"),"")))</f>
        <v/>
      </c>
      <c r="AH894" t="str">
        <f>IF(AE894="","",IF(AE894="[FÓRMULA MANUAL]","",IFERROR(AVERAGEIFS(nNOTA,nNIA,AE894,nCUENTA,1,nASIG,"Música de Cámara"),"")))</f>
        <v/>
      </c>
      <c r="AI894" t="str">
        <f>IF(AE894="","",IF(AE894="[FÓRMULA MANUAL]","",IFERROR(SUMPRODUCT((nNIA=AE894)*(nCUENTA=1)*(COUNTIF(CONFIG_ASIGNATURAS!$B$7:$B$27,nASIG)&gt;0)*(nNOTA))/SUMPRODUCT((nNIA=AE894)*(nCUENTA=1)*(COUNTIF(CONFIG_ASIGNATURAS!$B$7:$B$27,nASIG)&gt;0)*1),"")))</f>
        <v/>
      </c>
    </row>
    <row r="895" spans="2:35" x14ac:dyDescent="0.2">
      <c r="B895" t="str">
        <f>IF(A895="","",IF(A895="[FÓRMULA MANUAL]","",IFERROR(AVERAGEIFS(nNOTA,nNIA,A895,nCUENTA,1,nASIG,"Lenguaje Musical"),"")))</f>
        <v/>
      </c>
      <c r="C895" t="str">
        <f>IF(A895="","",IF(A895="[FÓRMULA MANUAL]","",IFERROR(AVERAGEIFS(nNOTA,nNIA,A895,nCUENTA,1,nASIG,"Orquesta/Banda/Conjunto"),"")))</f>
        <v/>
      </c>
      <c r="D895" t="str">
        <f>IF(A895="","",IF(A895="[FÓRMULA MANUAL]","",IFERROR(AVERAGEIFS(nNOTA,nNIA,A895,nCUENTA,1,nASIG,"Conjunto"),"")))</f>
        <v/>
      </c>
      <c r="E895" t="str">
        <f>IF(A895="","",IF(A895="[FÓRMULA MANUAL]","",IFERROR(SUMPRODUCT((nNIA=A895)*(nCUENTA=1)*(COUNTIF(CONFIG_ASIGNATURAS!$B$7:$B$27,nASIG)&gt;0)*(nNOTA))/SUMPRODUCT((nNIA=A895)*(nCUENTA=1)*(COUNTIF(CONFIG_ASIGNATURAS!$B$7:$B$27,nASIG)&gt;0)*1),"")))</f>
        <v/>
      </c>
      <c r="H895" t="str">
        <f>IF(G895="","",IF(G895="[FÓRMULA MANUAL]","",IFERROR(AVERAGEIFS(nNOTA,nNIA,G895,nCUENTA,1,nASIG,"Lenguaje Musical"),"")))</f>
        <v/>
      </c>
      <c r="I895" t="str">
        <f>IF(G895="","",IF(G895="[FÓRMULA MANUAL]","",IFERROR(AVERAGEIFS(nNOTA,nNIA,G895,nCUENTA,1,nASIG,"Orquesta/Banda/Conjunto"),"")))</f>
        <v/>
      </c>
      <c r="J895" t="str">
        <f>IF(G895="","",IF(G895="[FÓRMULA MANUAL]","",IFERROR(AVERAGEIFS(nNOTA,nNIA,G895,nCUENTA,1,nASIG,"Conjunto"),"")))</f>
        <v/>
      </c>
      <c r="K895" t="str">
        <f>IF(G895="","",IF(G895="[FÓRMULA MANUAL]","",IFERROR(SUMPRODUCT((nNIA=G895)*(nCUENTA=1)*(COUNTIF(CONFIG_ASIGNATURAS!$B$7:$B$27,nASIG)&gt;0)*(nNOTA))/SUMPRODUCT((nNIA=G895)*(nCUENTA=1)*(COUNTIF(CONFIG_ASIGNATURAS!$B$7:$B$27,nASIG)&gt;0)*1),"")))</f>
        <v/>
      </c>
      <c r="N895" t="str">
        <f>IF(M895="","",IF(M895="[FÓRMULA MANUAL]","",IFERROR(AVERAGEIFS(nNOTA,nNIA,M895,nCUENTA,1,nASIG,"Armonía"),"")))</f>
        <v/>
      </c>
      <c r="O895" t="str">
        <f>IF(M895="","",IF(M895="[FÓRMULA MANUAL]","",IFERROR(AVERAGEIFS(nNOTA,nNIA,M895,nCUENTA,1,nASIG,"Orquesta/Banda/Conjunto"),"")))</f>
        <v/>
      </c>
      <c r="P895" t="str">
        <f>IF(M895="","",IF(M895="[FÓRMULA MANUAL]","",IFERROR(AVERAGEIFS(nNOTA,nNIA,M895,nCUENTA,1,nASIG,"Música de Cámara"),"")))</f>
        <v/>
      </c>
      <c r="Q895" t="str">
        <f>IF(M895="","",IF(M895="[FÓRMULA MANUAL]","",IFERROR(SUMPRODUCT((nNIA=M895)*(nCUENTA=1)*(COUNTIF(CONFIG_ASIGNATURAS!$B$7:$B$27,nASIG)&gt;0)*(nNOTA))/SUMPRODUCT((nNIA=M895)*(nCUENTA=1)*(COUNTIF(CONFIG_ASIGNATURAS!$B$7:$B$27,nASIG)&gt;0)*1),"")))</f>
        <v/>
      </c>
      <c r="T895" t="str">
        <f>IF(S895="","",IF(S895="[FÓRMULA MANUAL]","",IFERROR(AVERAGEIFS(nNOTA,nNIA,S895,nCUENTA,1,nASIG,"Armonía"),"")))</f>
        <v/>
      </c>
      <c r="U895" t="str">
        <f>IF(S895="","",IF(S895="[FÓRMULA MANUAL]","",IFERROR(AVERAGEIFS(nNOTA,nNIA,S895,nCUENTA,1,nASIG,"Orquesta/Banda/Conjunto"),"")))</f>
        <v/>
      </c>
      <c r="V895" t="str">
        <f>IF(S895="","",IF(S895="[FÓRMULA MANUAL]","",IFERROR(AVERAGEIFS(nNOTA,nNIA,S895,nCUENTA,1,nASIG,"Música de Cámara"),"")))</f>
        <v/>
      </c>
      <c r="W895" t="str">
        <f>IF(S895="","",IF(S895="[FÓRMULA MANUAL]","",IFERROR(SUMPRODUCT((nNIA=S895)*(nCUENTA=1)*(COUNTIF(CONFIG_ASIGNATURAS!$B$7:$B$27,nASIG)&gt;0)*(nNOTA))/SUMPRODUCT((nNIA=S895)*(nCUENTA=1)*(COUNTIF(CONFIG_ASIGNATURAS!$B$7:$B$27,nASIG)&gt;0)*1),"")))</f>
        <v/>
      </c>
      <c r="Z895" t="str">
        <f>IF(Y895="","",IF(Y895="[FÓRMULA MANUAL]","",IFERROR(AVERAGEIFS(nNOTA,nNIA,Y895,nCUENTA,1,nASIG,"Análisis"),"")))</f>
        <v/>
      </c>
      <c r="AA895" t="str">
        <f>IF(Y895="","",IF(Y895="[FÓRMULA MANUAL]","",IFERROR(AVERAGEIFS(nNOTA,nNIA,Y895,nCUENTA,1,nASIG,"Orquesta/Banda/Conjunto"),"")))</f>
        <v/>
      </c>
      <c r="AB895" t="str">
        <f>IF(Y895="","",IF(Y895="[FÓRMULA MANUAL]","",IFERROR(AVERAGEIFS(nNOTA,nNIA,Y895,nCUENTA,1,nASIG,"Música de Cámara"),"")))</f>
        <v/>
      </c>
      <c r="AC895" t="str">
        <f>IF(Y895="","",IF(Y895="[FÓRMULA MANUAL]","",IFERROR(SUMPRODUCT((nNIA=Y895)*(nCUENTA=1)*(COUNTIF(CONFIG_ASIGNATURAS!$B$7:$B$27,nASIG)&gt;0)*(nNOTA))/SUMPRODUCT((nNIA=Y895)*(nCUENTA=1)*(COUNTIF(CONFIG_ASIGNATURAS!$B$7:$B$27,nASIG)&gt;0)*1),"")))</f>
        <v/>
      </c>
      <c r="AF895" t="str">
        <f>IF(AE895="","",IF(AE895="[FÓRMULA MANUAL]","",IFERROR(AVERAGEIFS(nNOTA,nNIA,AE895,nCUENTA,1,nASIG,"Análisis"),"")))</f>
        <v/>
      </c>
      <c r="AG895" t="str">
        <f>IF(AE895="","",IF(AE895="[FÓRMULA MANUAL]","",IFERROR(AVERAGEIFS(nNOTA,nNIA,AE895,nCUENTA,1,nASIG,"Orquesta/Banda/Conjunto"),"")))</f>
        <v/>
      </c>
      <c r="AH895" t="str">
        <f>IF(AE895="","",IF(AE895="[FÓRMULA MANUAL]","",IFERROR(AVERAGEIFS(nNOTA,nNIA,AE895,nCUENTA,1,nASIG,"Música de Cámara"),"")))</f>
        <v/>
      </c>
      <c r="AI895" t="str">
        <f>IF(AE895="","",IF(AE895="[FÓRMULA MANUAL]","",IFERROR(SUMPRODUCT((nNIA=AE895)*(nCUENTA=1)*(COUNTIF(CONFIG_ASIGNATURAS!$B$7:$B$27,nASIG)&gt;0)*(nNOTA))/SUMPRODUCT((nNIA=AE895)*(nCUENTA=1)*(COUNTIF(CONFIG_ASIGNATURAS!$B$7:$B$27,nASIG)&gt;0)*1),"")))</f>
        <v/>
      </c>
    </row>
    <row r="896" spans="2:35" x14ac:dyDescent="0.2">
      <c r="B896" t="str">
        <f>IF(A896="","",IF(A896="[FÓRMULA MANUAL]","",IFERROR(AVERAGEIFS(nNOTA,nNIA,A896,nCUENTA,1,nASIG,"Lenguaje Musical"),"")))</f>
        <v/>
      </c>
      <c r="C896" t="str">
        <f>IF(A896="","",IF(A896="[FÓRMULA MANUAL]","",IFERROR(AVERAGEIFS(nNOTA,nNIA,A896,nCUENTA,1,nASIG,"Orquesta/Banda/Conjunto"),"")))</f>
        <v/>
      </c>
      <c r="D896" t="str">
        <f>IF(A896="","",IF(A896="[FÓRMULA MANUAL]","",IFERROR(AVERAGEIFS(nNOTA,nNIA,A896,nCUENTA,1,nASIG,"Conjunto"),"")))</f>
        <v/>
      </c>
      <c r="E896" t="str">
        <f>IF(A896="","",IF(A896="[FÓRMULA MANUAL]","",IFERROR(SUMPRODUCT((nNIA=A896)*(nCUENTA=1)*(COUNTIF(CONFIG_ASIGNATURAS!$B$7:$B$27,nASIG)&gt;0)*(nNOTA))/SUMPRODUCT((nNIA=A896)*(nCUENTA=1)*(COUNTIF(CONFIG_ASIGNATURAS!$B$7:$B$27,nASIG)&gt;0)*1),"")))</f>
        <v/>
      </c>
      <c r="H896" t="str">
        <f>IF(G896="","",IF(G896="[FÓRMULA MANUAL]","",IFERROR(AVERAGEIFS(nNOTA,nNIA,G896,nCUENTA,1,nASIG,"Lenguaje Musical"),"")))</f>
        <v/>
      </c>
      <c r="I896" t="str">
        <f>IF(G896="","",IF(G896="[FÓRMULA MANUAL]","",IFERROR(AVERAGEIFS(nNOTA,nNIA,G896,nCUENTA,1,nASIG,"Orquesta/Banda/Conjunto"),"")))</f>
        <v/>
      </c>
      <c r="J896" t="str">
        <f>IF(G896="","",IF(G896="[FÓRMULA MANUAL]","",IFERROR(AVERAGEIFS(nNOTA,nNIA,G896,nCUENTA,1,nASIG,"Conjunto"),"")))</f>
        <v/>
      </c>
      <c r="K896" t="str">
        <f>IF(G896="","",IF(G896="[FÓRMULA MANUAL]","",IFERROR(SUMPRODUCT((nNIA=G896)*(nCUENTA=1)*(COUNTIF(CONFIG_ASIGNATURAS!$B$7:$B$27,nASIG)&gt;0)*(nNOTA))/SUMPRODUCT((nNIA=G896)*(nCUENTA=1)*(COUNTIF(CONFIG_ASIGNATURAS!$B$7:$B$27,nASIG)&gt;0)*1),"")))</f>
        <v/>
      </c>
      <c r="N896" t="str">
        <f>IF(M896="","",IF(M896="[FÓRMULA MANUAL]","",IFERROR(AVERAGEIFS(nNOTA,nNIA,M896,nCUENTA,1,nASIG,"Armonía"),"")))</f>
        <v/>
      </c>
      <c r="O896" t="str">
        <f>IF(M896="","",IF(M896="[FÓRMULA MANUAL]","",IFERROR(AVERAGEIFS(nNOTA,nNIA,M896,nCUENTA,1,nASIG,"Orquesta/Banda/Conjunto"),"")))</f>
        <v/>
      </c>
      <c r="P896" t="str">
        <f>IF(M896="","",IF(M896="[FÓRMULA MANUAL]","",IFERROR(AVERAGEIFS(nNOTA,nNIA,M896,nCUENTA,1,nASIG,"Música de Cámara"),"")))</f>
        <v/>
      </c>
      <c r="Q896" t="str">
        <f>IF(M896="","",IF(M896="[FÓRMULA MANUAL]","",IFERROR(SUMPRODUCT((nNIA=M896)*(nCUENTA=1)*(COUNTIF(CONFIG_ASIGNATURAS!$B$7:$B$27,nASIG)&gt;0)*(nNOTA))/SUMPRODUCT((nNIA=M896)*(nCUENTA=1)*(COUNTIF(CONFIG_ASIGNATURAS!$B$7:$B$27,nASIG)&gt;0)*1),"")))</f>
        <v/>
      </c>
      <c r="T896" t="str">
        <f>IF(S896="","",IF(S896="[FÓRMULA MANUAL]","",IFERROR(AVERAGEIFS(nNOTA,nNIA,S896,nCUENTA,1,nASIG,"Armonía"),"")))</f>
        <v/>
      </c>
      <c r="U896" t="str">
        <f>IF(S896="","",IF(S896="[FÓRMULA MANUAL]","",IFERROR(AVERAGEIFS(nNOTA,nNIA,S896,nCUENTA,1,nASIG,"Orquesta/Banda/Conjunto"),"")))</f>
        <v/>
      </c>
      <c r="V896" t="str">
        <f>IF(S896="","",IF(S896="[FÓRMULA MANUAL]","",IFERROR(AVERAGEIFS(nNOTA,nNIA,S896,nCUENTA,1,nASIG,"Música de Cámara"),"")))</f>
        <v/>
      </c>
      <c r="W896" t="str">
        <f>IF(S896="","",IF(S896="[FÓRMULA MANUAL]","",IFERROR(SUMPRODUCT((nNIA=S896)*(nCUENTA=1)*(COUNTIF(CONFIG_ASIGNATURAS!$B$7:$B$27,nASIG)&gt;0)*(nNOTA))/SUMPRODUCT((nNIA=S896)*(nCUENTA=1)*(COUNTIF(CONFIG_ASIGNATURAS!$B$7:$B$27,nASIG)&gt;0)*1),"")))</f>
        <v/>
      </c>
      <c r="Z896" t="str">
        <f>IF(Y896="","",IF(Y896="[FÓRMULA MANUAL]","",IFERROR(AVERAGEIFS(nNOTA,nNIA,Y896,nCUENTA,1,nASIG,"Análisis"),"")))</f>
        <v/>
      </c>
      <c r="AA896" t="str">
        <f>IF(Y896="","",IF(Y896="[FÓRMULA MANUAL]","",IFERROR(AVERAGEIFS(nNOTA,nNIA,Y896,nCUENTA,1,nASIG,"Orquesta/Banda/Conjunto"),"")))</f>
        <v/>
      </c>
      <c r="AB896" t="str">
        <f>IF(Y896="","",IF(Y896="[FÓRMULA MANUAL]","",IFERROR(AVERAGEIFS(nNOTA,nNIA,Y896,nCUENTA,1,nASIG,"Música de Cámara"),"")))</f>
        <v/>
      </c>
      <c r="AC896" t="str">
        <f>IF(Y896="","",IF(Y896="[FÓRMULA MANUAL]","",IFERROR(SUMPRODUCT((nNIA=Y896)*(nCUENTA=1)*(COUNTIF(CONFIG_ASIGNATURAS!$B$7:$B$27,nASIG)&gt;0)*(nNOTA))/SUMPRODUCT((nNIA=Y896)*(nCUENTA=1)*(COUNTIF(CONFIG_ASIGNATURAS!$B$7:$B$27,nASIG)&gt;0)*1),"")))</f>
        <v/>
      </c>
      <c r="AF896" t="str">
        <f>IF(AE896="","",IF(AE896="[FÓRMULA MANUAL]","",IFERROR(AVERAGEIFS(nNOTA,nNIA,AE896,nCUENTA,1,nASIG,"Análisis"),"")))</f>
        <v/>
      </c>
      <c r="AG896" t="str">
        <f>IF(AE896="","",IF(AE896="[FÓRMULA MANUAL]","",IFERROR(AVERAGEIFS(nNOTA,nNIA,AE896,nCUENTA,1,nASIG,"Orquesta/Banda/Conjunto"),"")))</f>
        <v/>
      </c>
      <c r="AH896" t="str">
        <f>IF(AE896="","",IF(AE896="[FÓRMULA MANUAL]","",IFERROR(AVERAGEIFS(nNOTA,nNIA,AE896,nCUENTA,1,nASIG,"Música de Cámara"),"")))</f>
        <v/>
      </c>
      <c r="AI896" t="str">
        <f>IF(AE896="","",IF(AE896="[FÓRMULA MANUAL]","",IFERROR(SUMPRODUCT((nNIA=AE896)*(nCUENTA=1)*(COUNTIF(CONFIG_ASIGNATURAS!$B$7:$B$27,nASIG)&gt;0)*(nNOTA))/SUMPRODUCT((nNIA=AE896)*(nCUENTA=1)*(COUNTIF(CONFIG_ASIGNATURAS!$B$7:$B$27,nASIG)&gt;0)*1),"")))</f>
        <v/>
      </c>
    </row>
    <row r="897" spans="2:35" x14ac:dyDescent="0.2">
      <c r="B897" t="str">
        <f>IF(A897="","",IF(A897="[FÓRMULA MANUAL]","",IFERROR(AVERAGEIFS(nNOTA,nNIA,A897,nCUENTA,1,nASIG,"Lenguaje Musical"),"")))</f>
        <v/>
      </c>
      <c r="C897" t="str">
        <f>IF(A897="","",IF(A897="[FÓRMULA MANUAL]","",IFERROR(AVERAGEIFS(nNOTA,nNIA,A897,nCUENTA,1,nASIG,"Orquesta/Banda/Conjunto"),"")))</f>
        <v/>
      </c>
      <c r="D897" t="str">
        <f>IF(A897="","",IF(A897="[FÓRMULA MANUAL]","",IFERROR(AVERAGEIFS(nNOTA,nNIA,A897,nCUENTA,1,nASIG,"Conjunto"),"")))</f>
        <v/>
      </c>
      <c r="E897" t="str">
        <f>IF(A897="","",IF(A897="[FÓRMULA MANUAL]","",IFERROR(SUMPRODUCT((nNIA=A897)*(nCUENTA=1)*(COUNTIF(CONFIG_ASIGNATURAS!$B$7:$B$27,nASIG)&gt;0)*(nNOTA))/SUMPRODUCT((nNIA=A897)*(nCUENTA=1)*(COUNTIF(CONFIG_ASIGNATURAS!$B$7:$B$27,nASIG)&gt;0)*1),"")))</f>
        <v/>
      </c>
      <c r="H897" t="str">
        <f>IF(G897="","",IF(G897="[FÓRMULA MANUAL]","",IFERROR(AVERAGEIFS(nNOTA,nNIA,G897,nCUENTA,1,nASIG,"Lenguaje Musical"),"")))</f>
        <v/>
      </c>
      <c r="I897" t="str">
        <f>IF(G897="","",IF(G897="[FÓRMULA MANUAL]","",IFERROR(AVERAGEIFS(nNOTA,nNIA,G897,nCUENTA,1,nASIG,"Orquesta/Banda/Conjunto"),"")))</f>
        <v/>
      </c>
      <c r="J897" t="str">
        <f>IF(G897="","",IF(G897="[FÓRMULA MANUAL]","",IFERROR(AVERAGEIFS(nNOTA,nNIA,G897,nCUENTA,1,nASIG,"Conjunto"),"")))</f>
        <v/>
      </c>
      <c r="K897" t="str">
        <f>IF(G897="","",IF(G897="[FÓRMULA MANUAL]","",IFERROR(SUMPRODUCT((nNIA=G897)*(nCUENTA=1)*(COUNTIF(CONFIG_ASIGNATURAS!$B$7:$B$27,nASIG)&gt;0)*(nNOTA))/SUMPRODUCT((nNIA=G897)*(nCUENTA=1)*(COUNTIF(CONFIG_ASIGNATURAS!$B$7:$B$27,nASIG)&gt;0)*1),"")))</f>
        <v/>
      </c>
      <c r="N897" t="str">
        <f>IF(M897="","",IF(M897="[FÓRMULA MANUAL]","",IFERROR(AVERAGEIFS(nNOTA,nNIA,M897,nCUENTA,1,nASIG,"Armonía"),"")))</f>
        <v/>
      </c>
      <c r="O897" t="str">
        <f>IF(M897="","",IF(M897="[FÓRMULA MANUAL]","",IFERROR(AVERAGEIFS(nNOTA,nNIA,M897,nCUENTA,1,nASIG,"Orquesta/Banda/Conjunto"),"")))</f>
        <v/>
      </c>
      <c r="P897" t="str">
        <f>IF(M897="","",IF(M897="[FÓRMULA MANUAL]","",IFERROR(AVERAGEIFS(nNOTA,nNIA,M897,nCUENTA,1,nASIG,"Música de Cámara"),"")))</f>
        <v/>
      </c>
      <c r="Q897" t="str">
        <f>IF(M897="","",IF(M897="[FÓRMULA MANUAL]","",IFERROR(SUMPRODUCT((nNIA=M897)*(nCUENTA=1)*(COUNTIF(CONFIG_ASIGNATURAS!$B$7:$B$27,nASIG)&gt;0)*(nNOTA))/SUMPRODUCT((nNIA=M897)*(nCUENTA=1)*(COUNTIF(CONFIG_ASIGNATURAS!$B$7:$B$27,nASIG)&gt;0)*1),"")))</f>
        <v/>
      </c>
      <c r="T897" t="str">
        <f>IF(S897="","",IF(S897="[FÓRMULA MANUAL]","",IFERROR(AVERAGEIFS(nNOTA,nNIA,S897,nCUENTA,1,nASIG,"Armonía"),"")))</f>
        <v/>
      </c>
      <c r="U897" t="str">
        <f>IF(S897="","",IF(S897="[FÓRMULA MANUAL]","",IFERROR(AVERAGEIFS(nNOTA,nNIA,S897,nCUENTA,1,nASIG,"Orquesta/Banda/Conjunto"),"")))</f>
        <v/>
      </c>
      <c r="V897" t="str">
        <f>IF(S897="","",IF(S897="[FÓRMULA MANUAL]","",IFERROR(AVERAGEIFS(nNOTA,nNIA,S897,nCUENTA,1,nASIG,"Música de Cámara"),"")))</f>
        <v/>
      </c>
      <c r="W897" t="str">
        <f>IF(S897="","",IF(S897="[FÓRMULA MANUAL]","",IFERROR(SUMPRODUCT((nNIA=S897)*(nCUENTA=1)*(COUNTIF(CONFIG_ASIGNATURAS!$B$7:$B$27,nASIG)&gt;0)*(nNOTA))/SUMPRODUCT((nNIA=S897)*(nCUENTA=1)*(COUNTIF(CONFIG_ASIGNATURAS!$B$7:$B$27,nASIG)&gt;0)*1),"")))</f>
        <v/>
      </c>
      <c r="Z897" t="str">
        <f>IF(Y897="","",IF(Y897="[FÓRMULA MANUAL]","",IFERROR(AVERAGEIFS(nNOTA,nNIA,Y897,nCUENTA,1,nASIG,"Análisis"),"")))</f>
        <v/>
      </c>
      <c r="AA897" t="str">
        <f>IF(Y897="","",IF(Y897="[FÓRMULA MANUAL]","",IFERROR(AVERAGEIFS(nNOTA,nNIA,Y897,nCUENTA,1,nASIG,"Orquesta/Banda/Conjunto"),"")))</f>
        <v/>
      </c>
      <c r="AB897" t="str">
        <f>IF(Y897="","",IF(Y897="[FÓRMULA MANUAL]","",IFERROR(AVERAGEIFS(nNOTA,nNIA,Y897,nCUENTA,1,nASIG,"Música de Cámara"),"")))</f>
        <v/>
      </c>
      <c r="AC897" t="str">
        <f>IF(Y897="","",IF(Y897="[FÓRMULA MANUAL]","",IFERROR(SUMPRODUCT((nNIA=Y897)*(nCUENTA=1)*(COUNTIF(CONFIG_ASIGNATURAS!$B$7:$B$27,nASIG)&gt;0)*(nNOTA))/SUMPRODUCT((nNIA=Y897)*(nCUENTA=1)*(COUNTIF(CONFIG_ASIGNATURAS!$B$7:$B$27,nASIG)&gt;0)*1),"")))</f>
        <v/>
      </c>
      <c r="AF897" t="str">
        <f>IF(AE897="","",IF(AE897="[FÓRMULA MANUAL]","",IFERROR(AVERAGEIFS(nNOTA,nNIA,AE897,nCUENTA,1,nASIG,"Análisis"),"")))</f>
        <v/>
      </c>
      <c r="AG897" t="str">
        <f>IF(AE897="","",IF(AE897="[FÓRMULA MANUAL]","",IFERROR(AVERAGEIFS(nNOTA,nNIA,AE897,nCUENTA,1,nASIG,"Orquesta/Banda/Conjunto"),"")))</f>
        <v/>
      </c>
      <c r="AH897" t="str">
        <f>IF(AE897="","",IF(AE897="[FÓRMULA MANUAL]","",IFERROR(AVERAGEIFS(nNOTA,nNIA,AE897,nCUENTA,1,nASIG,"Música de Cámara"),"")))</f>
        <v/>
      </c>
      <c r="AI897" t="str">
        <f>IF(AE897="","",IF(AE897="[FÓRMULA MANUAL]","",IFERROR(SUMPRODUCT((nNIA=AE897)*(nCUENTA=1)*(COUNTIF(CONFIG_ASIGNATURAS!$B$7:$B$27,nASIG)&gt;0)*(nNOTA))/SUMPRODUCT((nNIA=AE897)*(nCUENTA=1)*(COUNTIF(CONFIG_ASIGNATURAS!$B$7:$B$27,nASIG)&gt;0)*1),"")))</f>
        <v/>
      </c>
    </row>
    <row r="898" spans="2:35" x14ac:dyDescent="0.2">
      <c r="B898" t="str">
        <f>IF(A898="","",IF(A898="[FÓRMULA MANUAL]","",IFERROR(AVERAGEIFS(nNOTA,nNIA,A898,nCUENTA,1,nASIG,"Lenguaje Musical"),"")))</f>
        <v/>
      </c>
      <c r="C898" t="str">
        <f>IF(A898="","",IF(A898="[FÓRMULA MANUAL]","",IFERROR(AVERAGEIFS(nNOTA,nNIA,A898,nCUENTA,1,nASIG,"Orquesta/Banda/Conjunto"),"")))</f>
        <v/>
      </c>
      <c r="D898" t="str">
        <f>IF(A898="","",IF(A898="[FÓRMULA MANUAL]","",IFERROR(AVERAGEIFS(nNOTA,nNIA,A898,nCUENTA,1,nASIG,"Conjunto"),"")))</f>
        <v/>
      </c>
      <c r="E898" t="str">
        <f>IF(A898="","",IF(A898="[FÓRMULA MANUAL]","",IFERROR(SUMPRODUCT((nNIA=A898)*(nCUENTA=1)*(COUNTIF(CONFIG_ASIGNATURAS!$B$7:$B$27,nASIG)&gt;0)*(nNOTA))/SUMPRODUCT((nNIA=A898)*(nCUENTA=1)*(COUNTIF(CONFIG_ASIGNATURAS!$B$7:$B$27,nASIG)&gt;0)*1),"")))</f>
        <v/>
      </c>
      <c r="H898" t="str">
        <f>IF(G898="","",IF(G898="[FÓRMULA MANUAL]","",IFERROR(AVERAGEIFS(nNOTA,nNIA,G898,nCUENTA,1,nASIG,"Lenguaje Musical"),"")))</f>
        <v/>
      </c>
      <c r="I898" t="str">
        <f>IF(G898="","",IF(G898="[FÓRMULA MANUAL]","",IFERROR(AVERAGEIFS(nNOTA,nNIA,G898,nCUENTA,1,nASIG,"Orquesta/Banda/Conjunto"),"")))</f>
        <v/>
      </c>
      <c r="J898" t="str">
        <f>IF(G898="","",IF(G898="[FÓRMULA MANUAL]","",IFERROR(AVERAGEIFS(nNOTA,nNIA,G898,nCUENTA,1,nASIG,"Conjunto"),"")))</f>
        <v/>
      </c>
      <c r="K898" t="str">
        <f>IF(G898="","",IF(G898="[FÓRMULA MANUAL]","",IFERROR(SUMPRODUCT((nNIA=G898)*(nCUENTA=1)*(COUNTIF(CONFIG_ASIGNATURAS!$B$7:$B$27,nASIG)&gt;0)*(nNOTA))/SUMPRODUCT((nNIA=G898)*(nCUENTA=1)*(COUNTIF(CONFIG_ASIGNATURAS!$B$7:$B$27,nASIG)&gt;0)*1),"")))</f>
        <v/>
      </c>
      <c r="N898" t="str">
        <f>IF(M898="","",IF(M898="[FÓRMULA MANUAL]","",IFERROR(AVERAGEIFS(nNOTA,nNIA,M898,nCUENTA,1,nASIG,"Armonía"),"")))</f>
        <v/>
      </c>
      <c r="O898" t="str">
        <f>IF(M898="","",IF(M898="[FÓRMULA MANUAL]","",IFERROR(AVERAGEIFS(nNOTA,nNIA,M898,nCUENTA,1,nASIG,"Orquesta/Banda/Conjunto"),"")))</f>
        <v/>
      </c>
      <c r="P898" t="str">
        <f>IF(M898="","",IF(M898="[FÓRMULA MANUAL]","",IFERROR(AVERAGEIFS(nNOTA,nNIA,M898,nCUENTA,1,nASIG,"Música de Cámara"),"")))</f>
        <v/>
      </c>
      <c r="Q898" t="str">
        <f>IF(M898="","",IF(M898="[FÓRMULA MANUAL]","",IFERROR(SUMPRODUCT((nNIA=M898)*(nCUENTA=1)*(COUNTIF(CONFIG_ASIGNATURAS!$B$7:$B$27,nASIG)&gt;0)*(nNOTA))/SUMPRODUCT((nNIA=M898)*(nCUENTA=1)*(COUNTIF(CONFIG_ASIGNATURAS!$B$7:$B$27,nASIG)&gt;0)*1),"")))</f>
        <v/>
      </c>
      <c r="T898" t="str">
        <f>IF(S898="","",IF(S898="[FÓRMULA MANUAL]","",IFERROR(AVERAGEIFS(nNOTA,nNIA,S898,nCUENTA,1,nASIG,"Armonía"),"")))</f>
        <v/>
      </c>
      <c r="U898" t="str">
        <f>IF(S898="","",IF(S898="[FÓRMULA MANUAL]","",IFERROR(AVERAGEIFS(nNOTA,nNIA,S898,nCUENTA,1,nASIG,"Orquesta/Banda/Conjunto"),"")))</f>
        <v/>
      </c>
      <c r="V898" t="str">
        <f>IF(S898="","",IF(S898="[FÓRMULA MANUAL]","",IFERROR(AVERAGEIFS(nNOTA,nNIA,S898,nCUENTA,1,nASIG,"Música de Cámara"),"")))</f>
        <v/>
      </c>
      <c r="W898" t="str">
        <f>IF(S898="","",IF(S898="[FÓRMULA MANUAL]","",IFERROR(SUMPRODUCT((nNIA=S898)*(nCUENTA=1)*(COUNTIF(CONFIG_ASIGNATURAS!$B$7:$B$27,nASIG)&gt;0)*(nNOTA))/SUMPRODUCT((nNIA=S898)*(nCUENTA=1)*(COUNTIF(CONFIG_ASIGNATURAS!$B$7:$B$27,nASIG)&gt;0)*1),"")))</f>
        <v/>
      </c>
      <c r="Z898" t="str">
        <f>IF(Y898="","",IF(Y898="[FÓRMULA MANUAL]","",IFERROR(AVERAGEIFS(nNOTA,nNIA,Y898,nCUENTA,1,nASIG,"Análisis"),"")))</f>
        <v/>
      </c>
      <c r="AA898" t="str">
        <f>IF(Y898="","",IF(Y898="[FÓRMULA MANUAL]","",IFERROR(AVERAGEIFS(nNOTA,nNIA,Y898,nCUENTA,1,nASIG,"Orquesta/Banda/Conjunto"),"")))</f>
        <v/>
      </c>
      <c r="AB898" t="str">
        <f>IF(Y898="","",IF(Y898="[FÓRMULA MANUAL]","",IFERROR(AVERAGEIFS(nNOTA,nNIA,Y898,nCUENTA,1,nASIG,"Música de Cámara"),"")))</f>
        <v/>
      </c>
      <c r="AC898" t="str">
        <f>IF(Y898="","",IF(Y898="[FÓRMULA MANUAL]","",IFERROR(SUMPRODUCT((nNIA=Y898)*(nCUENTA=1)*(COUNTIF(CONFIG_ASIGNATURAS!$B$7:$B$27,nASIG)&gt;0)*(nNOTA))/SUMPRODUCT((nNIA=Y898)*(nCUENTA=1)*(COUNTIF(CONFIG_ASIGNATURAS!$B$7:$B$27,nASIG)&gt;0)*1),"")))</f>
        <v/>
      </c>
      <c r="AF898" t="str">
        <f>IF(AE898="","",IF(AE898="[FÓRMULA MANUAL]","",IFERROR(AVERAGEIFS(nNOTA,nNIA,AE898,nCUENTA,1,nASIG,"Análisis"),"")))</f>
        <v/>
      </c>
      <c r="AG898" t="str">
        <f>IF(AE898="","",IF(AE898="[FÓRMULA MANUAL]","",IFERROR(AVERAGEIFS(nNOTA,nNIA,AE898,nCUENTA,1,nASIG,"Orquesta/Banda/Conjunto"),"")))</f>
        <v/>
      </c>
      <c r="AH898" t="str">
        <f>IF(AE898="","",IF(AE898="[FÓRMULA MANUAL]","",IFERROR(AVERAGEIFS(nNOTA,nNIA,AE898,nCUENTA,1,nASIG,"Música de Cámara"),"")))</f>
        <v/>
      </c>
      <c r="AI898" t="str">
        <f>IF(AE898="","",IF(AE898="[FÓRMULA MANUAL]","",IFERROR(SUMPRODUCT((nNIA=AE898)*(nCUENTA=1)*(COUNTIF(CONFIG_ASIGNATURAS!$B$7:$B$27,nASIG)&gt;0)*(nNOTA))/SUMPRODUCT((nNIA=AE898)*(nCUENTA=1)*(COUNTIF(CONFIG_ASIGNATURAS!$B$7:$B$27,nASIG)&gt;0)*1),"")))</f>
        <v/>
      </c>
    </row>
    <row r="899" spans="2:35" x14ac:dyDescent="0.2">
      <c r="B899" t="str">
        <f>IF(A899="","",IF(A899="[FÓRMULA MANUAL]","",IFERROR(AVERAGEIFS(nNOTA,nNIA,A899,nCUENTA,1,nASIG,"Lenguaje Musical"),"")))</f>
        <v/>
      </c>
      <c r="C899" t="str">
        <f>IF(A899="","",IF(A899="[FÓRMULA MANUAL]","",IFERROR(AVERAGEIFS(nNOTA,nNIA,A899,nCUENTA,1,nASIG,"Orquesta/Banda/Conjunto"),"")))</f>
        <v/>
      </c>
      <c r="D899" t="str">
        <f>IF(A899="","",IF(A899="[FÓRMULA MANUAL]","",IFERROR(AVERAGEIFS(nNOTA,nNIA,A899,nCUENTA,1,nASIG,"Conjunto"),"")))</f>
        <v/>
      </c>
      <c r="E899" t="str">
        <f>IF(A899="","",IF(A899="[FÓRMULA MANUAL]","",IFERROR(SUMPRODUCT((nNIA=A899)*(nCUENTA=1)*(COUNTIF(CONFIG_ASIGNATURAS!$B$7:$B$27,nASIG)&gt;0)*(nNOTA))/SUMPRODUCT((nNIA=A899)*(nCUENTA=1)*(COUNTIF(CONFIG_ASIGNATURAS!$B$7:$B$27,nASIG)&gt;0)*1),"")))</f>
        <v/>
      </c>
      <c r="H899" t="str">
        <f>IF(G899="","",IF(G899="[FÓRMULA MANUAL]","",IFERROR(AVERAGEIFS(nNOTA,nNIA,G899,nCUENTA,1,nASIG,"Lenguaje Musical"),"")))</f>
        <v/>
      </c>
      <c r="I899" t="str">
        <f>IF(G899="","",IF(G899="[FÓRMULA MANUAL]","",IFERROR(AVERAGEIFS(nNOTA,nNIA,G899,nCUENTA,1,nASIG,"Orquesta/Banda/Conjunto"),"")))</f>
        <v/>
      </c>
      <c r="J899" t="str">
        <f>IF(G899="","",IF(G899="[FÓRMULA MANUAL]","",IFERROR(AVERAGEIFS(nNOTA,nNIA,G899,nCUENTA,1,nASIG,"Conjunto"),"")))</f>
        <v/>
      </c>
      <c r="K899" t="str">
        <f>IF(G899="","",IF(G899="[FÓRMULA MANUAL]","",IFERROR(SUMPRODUCT((nNIA=G899)*(nCUENTA=1)*(COUNTIF(CONFIG_ASIGNATURAS!$B$7:$B$27,nASIG)&gt;0)*(nNOTA))/SUMPRODUCT((nNIA=G899)*(nCUENTA=1)*(COUNTIF(CONFIG_ASIGNATURAS!$B$7:$B$27,nASIG)&gt;0)*1),"")))</f>
        <v/>
      </c>
      <c r="N899" t="str">
        <f>IF(M899="","",IF(M899="[FÓRMULA MANUAL]","",IFERROR(AVERAGEIFS(nNOTA,nNIA,M899,nCUENTA,1,nASIG,"Armonía"),"")))</f>
        <v/>
      </c>
      <c r="O899" t="str">
        <f>IF(M899="","",IF(M899="[FÓRMULA MANUAL]","",IFERROR(AVERAGEIFS(nNOTA,nNIA,M899,nCUENTA,1,nASIG,"Orquesta/Banda/Conjunto"),"")))</f>
        <v/>
      </c>
      <c r="P899" t="str">
        <f>IF(M899="","",IF(M899="[FÓRMULA MANUAL]","",IFERROR(AVERAGEIFS(nNOTA,nNIA,M899,nCUENTA,1,nASIG,"Música de Cámara"),"")))</f>
        <v/>
      </c>
      <c r="Q899" t="str">
        <f>IF(M899="","",IF(M899="[FÓRMULA MANUAL]","",IFERROR(SUMPRODUCT((nNIA=M899)*(nCUENTA=1)*(COUNTIF(CONFIG_ASIGNATURAS!$B$7:$B$27,nASIG)&gt;0)*(nNOTA))/SUMPRODUCT((nNIA=M899)*(nCUENTA=1)*(COUNTIF(CONFIG_ASIGNATURAS!$B$7:$B$27,nASIG)&gt;0)*1),"")))</f>
        <v/>
      </c>
      <c r="T899" t="str">
        <f>IF(S899="","",IF(S899="[FÓRMULA MANUAL]","",IFERROR(AVERAGEIFS(nNOTA,nNIA,S899,nCUENTA,1,nASIG,"Armonía"),"")))</f>
        <v/>
      </c>
      <c r="U899" t="str">
        <f>IF(S899="","",IF(S899="[FÓRMULA MANUAL]","",IFERROR(AVERAGEIFS(nNOTA,nNIA,S899,nCUENTA,1,nASIG,"Orquesta/Banda/Conjunto"),"")))</f>
        <v/>
      </c>
      <c r="V899" t="str">
        <f>IF(S899="","",IF(S899="[FÓRMULA MANUAL]","",IFERROR(AVERAGEIFS(nNOTA,nNIA,S899,nCUENTA,1,nASIG,"Música de Cámara"),"")))</f>
        <v/>
      </c>
      <c r="W899" t="str">
        <f>IF(S899="","",IF(S899="[FÓRMULA MANUAL]","",IFERROR(SUMPRODUCT((nNIA=S899)*(nCUENTA=1)*(COUNTIF(CONFIG_ASIGNATURAS!$B$7:$B$27,nASIG)&gt;0)*(nNOTA))/SUMPRODUCT((nNIA=S899)*(nCUENTA=1)*(COUNTIF(CONFIG_ASIGNATURAS!$B$7:$B$27,nASIG)&gt;0)*1),"")))</f>
        <v/>
      </c>
      <c r="Z899" t="str">
        <f>IF(Y899="","",IF(Y899="[FÓRMULA MANUAL]","",IFERROR(AVERAGEIFS(nNOTA,nNIA,Y899,nCUENTA,1,nASIG,"Análisis"),"")))</f>
        <v/>
      </c>
      <c r="AA899" t="str">
        <f>IF(Y899="","",IF(Y899="[FÓRMULA MANUAL]","",IFERROR(AVERAGEIFS(nNOTA,nNIA,Y899,nCUENTA,1,nASIG,"Orquesta/Banda/Conjunto"),"")))</f>
        <v/>
      </c>
      <c r="AB899" t="str">
        <f>IF(Y899="","",IF(Y899="[FÓRMULA MANUAL]","",IFERROR(AVERAGEIFS(nNOTA,nNIA,Y899,nCUENTA,1,nASIG,"Música de Cámara"),"")))</f>
        <v/>
      </c>
      <c r="AC899" t="str">
        <f>IF(Y899="","",IF(Y899="[FÓRMULA MANUAL]","",IFERROR(SUMPRODUCT((nNIA=Y899)*(nCUENTA=1)*(COUNTIF(CONFIG_ASIGNATURAS!$B$7:$B$27,nASIG)&gt;0)*(nNOTA))/SUMPRODUCT((nNIA=Y899)*(nCUENTA=1)*(COUNTIF(CONFIG_ASIGNATURAS!$B$7:$B$27,nASIG)&gt;0)*1),"")))</f>
        <v/>
      </c>
      <c r="AF899" t="str">
        <f>IF(AE899="","",IF(AE899="[FÓRMULA MANUAL]","",IFERROR(AVERAGEIFS(nNOTA,nNIA,AE899,nCUENTA,1,nASIG,"Análisis"),"")))</f>
        <v/>
      </c>
      <c r="AG899" t="str">
        <f>IF(AE899="","",IF(AE899="[FÓRMULA MANUAL]","",IFERROR(AVERAGEIFS(nNOTA,nNIA,AE899,nCUENTA,1,nASIG,"Orquesta/Banda/Conjunto"),"")))</f>
        <v/>
      </c>
      <c r="AH899" t="str">
        <f>IF(AE899="","",IF(AE899="[FÓRMULA MANUAL]","",IFERROR(AVERAGEIFS(nNOTA,nNIA,AE899,nCUENTA,1,nASIG,"Música de Cámara"),"")))</f>
        <v/>
      </c>
      <c r="AI899" t="str">
        <f>IF(AE899="","",IF(AE899="[FÓRMULA MANUAL]","",IFERROR(SUMPRODUCT((nNIA=AE899)*(nCUENTA=1)*(COUNTIF(CONFIG_ASIGNATURAS!$B$7:$B$27,nASIG)&gt;0)*(nNOTA))/SUMPRODUCT((nNIA=AE899)*(nCUENTA=1)*(COUNTIF(CONFIG_ASIGNATURAS!$B$7:$B$27,nASIG)&gt;0)*1),"")))</f>
        <v/>
      </c>
    </row>
    <row r="900" spans="2:35" x14ac:dyDescent="0.2">
      <c r="B900" t="str">
        <f>IF(A900="","",IF(A900="[FÓRMULA MANUAL]","",IFERROR(AVERAGEIFS(nNOTA,nNIA,A900,nCUENTA,1,nASIG,"Lenguaje Musical"),"")))</f>
        <v/>
      </c>
      <c r="C900" t="str">
        <f>IF(A900="","",IF(A900="[FÓRMULA MANUAL]","",IFERROR(AVERAGEIFS(nNOTA,nNIA,A900,nCUENTA,1,nASIG,"Orquesta/Banda/Conjunto"),"")))</f>
        <v/>
      </c>
      <c r="D900" t="str">
        <f>IF(A900="","",IF(A900="[FÓRMULA MANUAL]","",IFERROR(AVERAGEIFS(nNOTA,nNIA,A900,nCUENTA,1,nASIG,"Conjunto"),"")))</f>
        <v/>
      </c>
      <c r="E900" t="str">
        <f>IF(A900="","",IF(A900="[FÓRMULA MANUAL]","",IFERROR(SUMPRODUCT((nNIA=A900)*(nCUENTA=1)*(COUNTIF(CONFIG_ASIGNATURAS!$B$7:$B$27,nASIG)&gt;0)*(nNOTA))/SUMPRODUCT((nNIA=A900)*(nCUENTA=1)*(COUNTIF(CONFIG_ASIGNATURAS!$B$7:$B$27,nASIG)&gt;0)*1),"")))</f>
        <v/>
      </c>
      <c r="H900" t="str">
        <f>IF(G900="","",IF(G900="[FÓRMULA MANUAL]","",IFERROR(AVERAGEIFS(nNOTA,nNIA,G900,nCUENTA,1,nASIG,"Lenguaje Musical"),"")))</f>
        <v/>
      </c>
      <c r="I900" t="str">
        <f>IF(G900="","",IF(G900="[FÓRMULA MANUAL]","",IFERROR(AVERAGEIFS(nNOTA,nNIA,G900,nCUENTA,1,nASIG,"Orquesta/Banda/Conjunto"),"")))</f>
        <v/>
      </c>
      <c r="J900" t="str">
        <f>IF(G900="","",IF(G900="[FÓRMULA MANUAL]","",IFERROR(AVERAGEIFS(nNOTA,nNIA,G900,nCUENTA,1,nASIG,"Conjunto"),"")))</f>
        <v/>
      </c>
      <c r="K900" t="str">
        <f>IF(G900="","",IF(G900="[FÓRMULA MANUAL]","",IFERROR(SUMPRODUCT((nNIA=G900)*(nCUENTA=1)*(COUNTIF(CONFIG_ASIGNATURAS!$B$7:$B$27,nASIG)&gt;0)*(nNOTA))/SUMPRODUCT((nNIA=G900)*(nCUENTA=1)*(COUNTIF(CONFIG_ASIGNATURAS!$B$7:$B$27,nASIG)&gt;0)*1),"")))</f>
        <v/>
      </c>
      <c r="N900" t="str">
        <f>IF(M900="","",IF(M900="[FÓRMULA MANUAL]","",IFERROR(AVERAGEIFS(nNOTA,nNIA,M900,nCUENTA,1,nASIG,"Armonía"),"")))</f>
        <v/>
      </c>
      <c r="O900" t="str">
        <f>IF(M900="","",IF(M900="[FÓRMULA MANUAL]","",IFERROR(AVERAGEIFS(nNOTA,nNIA,M900,nCUENTA,1,nASIG,"Orquesta/Banda/Conjunto"),"")))</f>
        <v/>
      </c>
      <c r="P900" t="str">
        <f>IF(M900="","",IF(M900="[FÓRMULA MANUAL]","",IFERROR(AVERAGEIFS(nNOTA,nNIA,M900,nCUENTA,1,nASIG,"Música de Cámara"),"")))</f>
        <v/>
      </c>
      <c r="Q900" t="str">
        <f>IF(M900="","",IF(M900="[FÓRMULA MANUAL]","",IFERROR(SUMPRODUCT((nNIA=M900)*(nCUENTA=1)*(COUNTIF(CONFIG_ASIGNATURAS!$B$7:$B$27,nASIG)&gt;0)*(nNOTA))/SUMPRODUCT((nNIA=M900)*(nCUENTA=1)*(COUNTIF(CONFIG_ASIGNATURAS!$B$7:$B$27,nASIG)&gt;0)*1),"")))</f>
        <v/>
      </c>
      <c r="T900" t="str">
        <f>IF(S900="","",IF(S900="[FÓRMULA MANUAL]","",IFERROR(AVERAGEIFS(nNOTA,nNIA,S900,nCUENTA,1,nASIG,"Armonía"),"")))</f>
        <v/>
      </c>
      <c r="U900" t="str">
        <f>IF(S900="","",IF(S900="[FÓRMULA MANUAL]","",IFERROR(AVERAGEIFS(nNOTA,nNIA,S900,nCUENTA,1,nASIG,"Orquesta/Banda/Conjunto"),"")))</f>
        <v/>
      </c>
      <c r="V900" t="str">
        <f>IF(S900="","",IF(S900="[FÓRMULA MANUAL]","",IFERROR(AVERAGEIFS(nNOTA,nNIA,S900,nCUENTA,1,nASIG,"Música de Cámara"),"")))</f>
        <v/>
      </c>
      <c r="W900" t="str">
        <f>IF(S900="","",IF(S900="[FÓRMULA MANUAL]","",IFERROR(SUMPRODUCT((nNIA=S900)*(nCUENTA=1)*(COUNTIF(CONFIG_ASIGNATURAS!$B$7:$B$27,nASIG)&gt;0)*(nNOTA))/SUMPRODUCT((nNIA=S900)*(nCUENTA=1)*(COUNTIF(CONFIG_ASIGNATURAS!$B$7:$B$27,nASIG)&gt;0)*1),"")))</f>
        <v/>
      </c>
      <c r="Z900" t="str">
        <f>IF(Y900="","",IF(Y900="[FÓRMULA MANUAL]","",IFERROR(AVERAGEIFS(nNOTA,nNIA,Y900,nCUENTA,1,nASIG,"Análisis"),"")))</f>
        <v/>
      </c>
      <c r="AA900" t="str">
        <f>IF(Y900="","",IF(Y900="[FÓRMULA MANUAL]","",IFERROR(AVERAGEIFS(nNOTA,nNIA,Y900,nCUENTA,1,nASIG,"Orquesta/Banda/Conjunto"),"")))</f>
        <v/>
      </c>
      <c r="AB900" t="str">
        <f>IF(Y900="","",IF(Y900="[FÓRMULA MANUAL]","",IFERROR(AVERAGEIFS(nNOTA,nNIA,Y900,nCUENTA,1,nASIG,"Música de Cámara"),"")))</f>
        <v/>
      </c>
      <c r="AC900" t="str">
        <f>IF(Y900="","",IF(Y900="[FÓRMULA MANUAL]","",IFERROR(SUMPRODUCT((nNIA=Y900)*(nCUENTA=1)*(COUNTIF(CONFIG_ASIGNATURAS!$B$7:$B$27,nASIG)&gt;0)*(nNOTA))/SUMPRODUCT((nNIA=Y900)*(nCUENTA=1)*(COUNTIF(CONFIG_ASIGNATURAS!$B$7:$B$27,nASIG)&gt;0)*1),"")))</f>
        <v/>
      </c>
      <c r="AF900" t="str">
        <f>IF(AE900="","",IF(AE900="[FÓRMULA MANUAL]","",IFERROR(AVERAGEIFS(nNOTA,nNIA,AE900,nCUENTA,1,nASIG,"Análisis"),"")))</f>
        <v/>
      </c>
      <c r="AG900" t="str">
        <f>IF(AE900="","",IF(AE900="[FÓRMULA MANUAL]","",IFERROR(AVERAGEIFS(nNOTA,nNIA,AE900,nCUENTA,1,nASIG,"Orquesta/Banda/Conjunto"),"")))</f>
        <v/>
      </c>
      <c r="AH900" t="str">
        <f>IF(AE900="","",IF(AE900="[FÓRMULA MANUAL]","",IFERROR(AVERAGEIFS(nNOTA,nNIA,AE900,nCUENTA,1,nASIG,"Música de Cámara"),"")))</f>
        <v/>
      </c>
      <c r="AI900" t="str">
        <f>IF(AE900="","",IF(AE900="[FÓRMULA MANUAL]","",IFERROR(SUMPRODUCT((nNIA=AE900)*(nCUENTA=1)*(COUNTIF(CONFIG_ASIGNATURAS!$B$7:$B$27,nASIG)&gt;0)*(nNOTA))/SUMPRODUCT((nNIA=AE900)*(nCUENTA=1)*(COUNTIF(CONFIG_ASIGNATURAS!$B$7:$B$27,nASIG)&gt;0)*1),"")))</f>
        <v/>
      </c>
    </row>
    <row r="901" spans="2:35" x14ac:dyDescent="0.2">
      <c r="B901" t="str">
        <f>IF(A901="","",IF(A901="[FÓRMULA MANUAL]","",IFERROR(AVERAGEIFS(nNOTA,nNIA,A901,nCUENTA,1,nASIG,"Lenguaje Musical"),"")))</f>
        <v/>
      </c>
      <c r="C901" t="str">
        <f>IF(A901="","",IF(A901="[FÓRMULA MANUAL]","",IFERROR(AVERAGEIFS(nNOTA,nNIA,A901,nCUENTA,1,nASIG,"Orquesta/Banda/Conjunto"),"")))</f>
        <v/>
      </c>
      <c r="D901" t="str">
        <f>IF(A901="","",IF(A901="[FÓRMULA MANUAL]","",IFERROR(AVERAGEIFS(nNOTA,nNIA,A901,nCUENTA,1,nASIG,"Conjunto"),"")))</f>
        <v/>
      </c>
      <c r="E901" t="str">
        <f>IF(A901="","",IF(A901="[FÓRMULA MANUAL]","",IFERROR(SUMPRODUCT((nNIA=A901)*(nCUENTA=1)*(COUNTIF(CONFIG_ASIGNATURAS!$B$7:$B$27,nASIG)&gt;0)*(nNOTA))/SUMPRODUCT((nNIA=A901)*(nCUENTA=1)*(COUNTIF(CONFIG_ASIGNATURAS!$B$7:$B$27,nASIG)&gt;0)*1),"")))</f>
        <v/>
      </c>
      <c r="H901" t="str">
        <f>IF(G901="","",IF(G901="[FÓRMULA MANUAL]","",IFERROR(AVERAGEIFS(nNOTA,nNIA,G901,nCUENTA,1,nASIG,"Lenguaje Musical"),"")))</f>
        <v/>
      </c>
      <c r="I901" t="str">
        <f>IF(G901="","",IF(G901="[FÓRMULA MANUAL]","",IFERROR(AVERAGEIFS(nNOTA,nNIA,G901,nCUENTA,1,nASIG,"Orquesta/Banda/Conjunto"),"")))</f>
        <v/>
      </c>
      <c r="J901" t="str">
        <f>IF(G901="","",IF(G901="[FÓRMULA MANUAL]","",IFERROR(AVERAGEIFS(nNOTA,nNIA,G901,nCUENTA,1,nASIG,"Conjunto"),"")))</f>
        <v/>
      </c>
      <c r="K901" t="str">
        <f>IF(G901="","",IF(G901="[FÓRMULA MANUAL]","",IFERROR(SUMPRODUCT((nNIA=G901)*(nCUENTA=1)*(COUNTIF(CONFIG_ASIGNATURAS!$B$7:$B$27,nASIG)&gt;0)*(nNOTA))/SUMPRODUCT((nNIA=G901)*(nCUENTA=1)*(COUNTIF(CONFIG_ASIGNATURAS!$B$7:$B$27,nASIG)&gt;0)*1),"")))</f>
        <v/>
      </c>
      <c r="N901" t="str">
        <f>IF(M901="","",IF(M901="[FÓRMULA MANUAL]","",IFERROR(AVERAGEIFS(nNOTA,nNIA,M901,nCUENTA,1,nASIG,"Armonía"),"")))</f>
        <v/>
      </c>
      <c r="O901" t="str">
        <f>IF(M901="","",IF(M901="[FÓRMULA MANUAL]","",IFERROR(AVERAGEIFS(nNOTA,nNIA,M901,nCUENTA,1,nASIG,"Orquesta/Banda/Conjunto"),"")))</f>
        <v/>
      </c>
      <c r="P901" t="str">
        <f>IF(M901="","",IF(M901="[FÓRMULA MANUAL]","",IFERROR(AVERAGEIFS(nNOTA,nNIA,M901,nCUENTA,1,nASIG,"Música de Cámara"),"")))</f>
        <v/>
      </c>
      <c r="Q901" t="str">
        <f>IF(M901="","",IF(M901="[FÓRMULA MANUAL]","",IFERROR(SUMPRODUCT((nNIA=M901)*(nCUENTA=1)*(COUNTIF(CONFIG_ASIGNATURAS!$B$7:$B$27,nASIG)&gt;0)*(nNOTA))/SUMPRODUCT((nNIA=M901)*(nCUENTA=1)*(COUNTIF(CONFIG_ASIGNATURAS!$B$7:$B$27,nASIG)&gt;0)*1),"")))</f>
        <v/>
      </c>
      <c r="T901" t="str">
        <f>IF(S901="","",IF(S901="[FÓRMULA MANUAL]","",IFERROR(AVERAGEIFS(nNOTA,nNIA,S901,nCUENTA,1,nASIG,"Armonía"),"")))</f>
        <v/>
      </c>
      <c r="U901" t="str">
        <f>IF(S901="","",IF(S901="[FÓRMULA MANUAL]","",IFERROR(AVERAGEIFS(nNOTA,nNIA,S901,nCUENTA,1,nASIG,"Orquesta/Banda/Conjunto"),"")))</f>
        <v/>
      </c>
      <c r="V901" t="str">
        <f>IF(S901="","",IF(S901="[FÓRMULA MANUAL]","",IFERROR(AVERAGEIFS(nNOTA,nNIA,S901,nCUENTA,1,nASIG,"Música de Cámara"),"")))</f>
        <v/>
      </c>
      <c r="W901" t="str">
        <f>IF(S901="","",IF(S901="[FÓRMULA MANUAL]","",IFERROR(SUMPRODUCT((nNIA=S901)*(nCUENTA=1)*(COUNTIF(CONFIG_ASIGNATURAS!$B$7:$B$27,nASIG)&gt;0)*(nNOTA))/SUMPRODUCT((nNIA=S901)*(nCUENTA=1)*(COUNTIF(CONFIG_ASIGNATURAS!$B$7:$B$27,nASIG)&gt;0)*1),"")))</f>
        <v/>
      </c>
      <c r="Z901" t="str">
        <f>IF(Y901="","",IF(Y901="[FÓRMULA MANUAL]","",IFERROR(AVERAGEIFS(nNOTA,nNIA,Y901,nCUENTA,1,nASIG,"Análisis"),"")))</f>
        <v/>
      </c>
      <c r="AA901" t="str">
        <f>IF(Y901="","",IF(Y901="[FÓRMULA MANUAL]","",IFERROR(AVERAGEIFS(nNOTA,nNIA,Y901,nCUENTA,1,nASIG,"Orquesta/Banda/Conjunto"),"")))</f>
        <v/>
      </c>
      <c r="AB901" t="str">
        <f>IF(Y901="","",IF(Y901="[FÓRMULA MANUAL]","",IFERROR(AVERAGEIFS(nNOTA,nNIA,Y901,nCUENTA,1,nASIG,"Música de Cámara"),"")))</f>
        <v/>
      </c>
      <c r="AC901" t="str">
        <f>IF(Y901="","",IF(Y901="[FÓRMULA MANUAL]","",IFERROR(SUMPRODUCT((nNIA=Y901)*(nCUENTA=1)*(COUNTIF(CONFIG_ASIGNATURAS!$B$7:$B$27,nASIG)&gt;0)*(nNOTA))/SUMPRODUCT((nNIA=Y901)*(nCUENTA=1)*(COUNTIF(CONFIG_ASIGNATURAS!$B$7:$B$27,nASIG)&gt;0)*1),"")))</f>
        <v/>
      </c>
      <c r="AF901" t="str">
        <f>IF(AE901="","",IF(AE901="[FÓRMULA MANUAL]","",IFERROR(AVERAGEIFS(nNOTA,nNIA,AE901,nCUENTA,1,nASIG,"Análisis"),"")))</f>
        <v/>
      </c>
      <c r="AG901" t="str">
        <f>IF(AE901="","",IF(AE901="[FÓRMULA MANUAL]","",IFERROR(AVERAGEIFS(nNOTA,nNIA,AE901,nCUENTA,1,nASIG,"Orquesta/Banda/Conjunto"),"")))</f>
        <v/>
      </c>
      <c r="AH901" t="str">
        <f>IF(AE901="","",IF(AE901="[FÓRMULA MANUAL]","",IFERROR(AVERAGEIFS(nNOTA,nNIA,AE901,nCUENTA,1,nASIG,"Música de Cámara"),"")))</f>
        <v/>
      </c>
      <c r="AI901" t="str">
        <f>IF(AE901="","",IF(AE901="[FÓRMULA MANUAL]","",IFERROR(SUMPRODUCT((nNIA=AE901)*(nCUENTA=1)*(COUNTIF(CONFIG_ASIGNATURAS!$B$7:$B$27,nASIG)&gt;0)*(nNOTA))/SUMPRODUCT((nNIA=AE901)*(nCUENTA=1)*(COUNTIF(CONFIG_ASIGNATURAS!$B$7:$B$27,nASIG)&gt;0)*1),"")))</f>
        <v/>
      </c>
    </row>
    <row r="902" spans="2:35" x14ac:dyDescent="0.2">
      <c r="B902" t="str">
        <f>IF(A902="","",IF(A902="[FÓRMULA MANUAL]","",IFERROR(AVERAGEIFS(nNOTA,nNIA,A902,nCUENTA,1,nASIG,"Lenguaje Musical"),"")))</f>
        <v/>
      </c>
      <c r="C902" t="str">
        <f>IF(A902="","",IF(A902="[FÓRMULA MANUAL]","",IFERROR(AVERAGEIFS(nNOTA,nNIA,A902,nCUENTA,1,nASIG,"Orquesta/Banda/Conjunto"),"")))</f>
        <v/>
      </c>
      <c r="D902" t="str">
        <f>IF(A902="","",IF(A902="[FÓRMULA MANUAL]","",IFERROR(AVERAGEIFS(nNOTA,nNIA,A902,nCUENTA,1,nASIG,"Conjunto"),"")))</f>
        <v/>
      </c>
      <c r="E902" t="str">
        <f>IF(A902="","",IF(A902="[FÓRMULA MANUAL]","",IFERROR(SUMPRODUCT((nNIA=A902)*(nCUENTA=1)*(COUNTIF(CONFIG_ASIGNATURAS!$B$7:$B$27,nASIG)&gt;0)*(nNOTA))/SUMPRODUCT((nNIA=A902)*(nCUENTA=1)*(COUNTIF(CONFIG_ASIGNATURAS!$B$7:$B$27,nASIG)&gt;0)*1),"")))</f>
        <v/>
      </c>
      <c r="H902" t="str">
        <f>IF(G902="","",IF(G902="[FÓRMULA MANUAL]","",IFERROR(AVERAGEIFS(nNOTA,nNIA,G902,nCUENTA,1,nASIG,"Lenguaje Musical"),"")))</f>
        <v/>
      </c>
      <c r="I902" t="str">
        <f>IF(G902="","",IF(G902="[FÓRMULA MANUAL]","",IFERROR(AVERAGEIFS(nNOTA,nNIA,G902,nCUENTA,1,nASIG,"Orquesta/Banda/Conjunto"),"")))</f>
        <v/>
      </c>
      <c r="J902" t="str">
        <f>IF(G902="","",IF(G902="[FÓRMULA MANUAL]","",IFERROR(AVERAGEIFS(nNOTA,nNIA,G902,nCUENTA,1,nASIG,"Conjunto"),"")))</f>
        <v/>
      </c>
      <c r="K902" t="str">
        <f>IF(G902="","",IF(G902="[FÓRMULA MANUAL]","",IFERROR(SUMPRODUCT((nNIA=G902)*(nCUENTA=1)*(COUNTIF(CONFIG_ASIGNATURAS!$B$7:$B$27,nASIG)&gt;0)*(nNOTA))/SUMPRODUCT((nNIA=G902)*(nCUENTA=1)*(COUNTIF(CONFIG_ASIGNATURAS!$B$7:$B$27,nASIG)&gt;0)*1),"")))</f>
        <v/>
      </c>
      <c r="N902" t="str">
        <f>IF(M902="","",IF(M902="[FÓRMULA MANUAL]","",IFERROR(AVERAGEIFS(nNOTA,nNIA,M902,nCUENTA,1,nASIG,"Armonía"),"")))</f>
        <v/>
      </c>
      <c r="O902" t="str">
        <f>IF(M902="","",IF(M902="[FÓRMULA MANUAL]","",IFERROR(AVERAGEIFS(nNOTA,nNIA,M902,nCUENTA,1,nASIG,"Orquesta/Banda/Conjunto"),"")))</f>
        <v/>
      </c>
      <c r="P902" t="str">
        <f>IF(M902="","",IF(M902="[FÓRMULA MANUAL]","",IFERROR(AVERAGEIFS(nNOTA,nNIA,M902,nCUENTA,1,nASIG,"Música de Cámara"),"")))</f>
        <v/>
      </c>
      <c r="Q902" t="str">
        <f>IF(M902="","",IF(M902="[FÓRMULA MANUAL]","",IFERROR(SUMPRODUCT((nNIA=M902)*(nCUENTA=1)*(COUNTIF(CONFIG_ASIGNATURAS!$B$7:$B$27,nASIG)&gt;0)*(nNOTA))/SUMPRODUCT((nNIA=M902)*(nCUENTA=1)*(COUNTIF(CONFIG_ASIGNATURAS!$B$7:$B$27,nASIG)&gt;0)*1),"")))</f>
        <v/>
      </c>
      <c r="T902" t="str">
        <f>IF(S902="","",IF(S902="[FÓRMULA MANUAL]","",IFERROR(AVERAGEIFS(nNOTA,nNIA,S902,nCUENTA,1,nASIG,"Armonía"),"")))</f>
        <v/>
      </c>
      <c r="U902" t="str">
        <f>IF(S902="","",IF(S902="[FÓRMULA MANUAL]","",IFERROR(AVERAGEIFS(nNOTA,nNIA,S902,nCUENTA,1,nASIG,"Orquesta/Banda/Conjunto"),"")))</f>
        <v/>
      </c>
      <c r="V902" t="str">
        <f>IF(S902="","",IF(S902="[FÓRMULA MANUAL]","",IFERROR(AVERAGEIFS(nNOTA,nNIA,S902,nCUENTA,1,nASIG,"Música de Cámara"),"")))</f>
        <v/>
      </c>
      <c r="W902" t="str">
        <f>IF(S902="","",IF(S902="[FÓRMULA MANUAL]","",IFERROR(SUMPRODUCT((nNIA=S902)*(nCUENTA=1)*(COUNTIF(CONFIG_ASIGNATURAS!$B$7:$B$27,nASIG)&gt;0)*(nNOTA))/SUMPRODUCT((nNIA=S902)*(nCUENTA=1)*(COUNTIF(CONFIG_ASIGNATURAS!$B$7:$B$27,nASIG)&gt;0)*1),"")))</f>
        <v/>
      </c>
      <c r="Z902" t="str">
        <f>IF(Y902="","",IF(Y902="[FÓRMULA MANUAL]","",IFERROR(AVERAGEIFS(nNOTA,nNIA,Y902,nCUENTA,1,nASIG,"Análisis"),"")))</f>
        <v/>
      </c>
      <c r="AA902" t="str">
        <f>IF(Y902="","",IF(Y902="[FÓRMULA MANUAL]","",IFERROR(AVERAGEIFS(nNOTA,nNIA,Y902,nCUENTA,1,nASIG,"Orquesta/Banda/Conjunto"),"")))</f>
        <v/>
      </c>
      <c r="AB902" t="str">
        <f>IF(Y902="","",IF(Y902="[FÓRMULA MANUAL]","",IFERROR(AVERAGEIFS(nNOTA,nNIA,Y902,nCUENTA,1,nASIG,"Música de Cámara"),"")))</f>
        <v/>
      </c>
      <c r="AC902" t="str">
        <f>IF(Y902="","",IF(Y902="[FÓRMULA MANUAL]","",IFERROR(SUMPRODUCT((nNIA=Y902)*(nCUENTA=1)*(COUNTIF(CONFIG_ASIGNATURAS!$B$7:$B$27,nASIG)&gt;0)*(nNOTA))/SUMPRODUCT((nNIA=Y902)*(nCUENTA=1)*(COUNTIF(CONFIG_ASIGNATURAS!$B$7:$B$27,nASIG)&gt;0)*1),"")))</f>
        <v/>
      </c>
      <c r="AF902" t="str">
        <f>IF(AE902="","",IF(AE902="[FÓRMULA MANUAL]","",IFERROR(AVERAGEIFS(nNOTA,nNIA,AE902,nCUENTA,1,nASIG,"Análisis"),"")))</f>
        <v/>
      </c>
      <c r="AG902" t="str">
        <f>IF(AE902="","",IF(AE902="[FÓRMULA MANUAL]","",IFERROR(AVERAGEIFS(nNOTA,nNIA,AE902,nCUENTA,1,nASIG,"Orquesta/Banda/Conjunto"),"")))</f>
        <v/>
      </c>
      <c r="AH902" t="str">
        <f>IF(AE902="","",IF(AE902="[FÓRMULA MANUAL]","",IFERROR(AVERAGEIFS(nNOTA,nNIA,AE902,nCUENTA,1,nASIG,"Música de Cámara"),"")))</f>
        <v/>
      </c>
      <c r="AI902" t="str">
        <f>IF(AE902="","",IF(AE902="[FÓRMULA MANUAL]","",IFERROR(SUMPRODUCT((nNIA=AE902)*(nCUENTA=1)*(COUNTIF(CONFIG_ASIGNATURAS!$B$7:$B$27,nASIG)&gt;0)*(nNOTA))/SUMPRODUCT((nNIA=AE902)*(nCUENTA=1)*(COUNTIF(CONFIG_ASIGNATURAS!$B$7:$B$27,nASIG)&gt;0)*1),"")))</f>
        <v/>
      </c>
    </row>
    <row r="903" spans="2:35" x14ac:dyDescent="0.2">
      <c r="B903" t="str">
        <f>IF(A903="","",IF(A903="[FÓRMULA MANUAL]","",IFERROR(AVERAGEIFS(nNOTA,nNIA,A903,nCUENTA,1,nASIG,"Lenguaje Musical"),"")))</f>
        <v/>
      </c>
      <c r="C903" t="str">
        <f>IF(A903="","",IF(A903="[FÓRMULA MANUAL]","",IFERROR(AVERAGEIFS(nNOTA,nNIA,A903,nCUENTA,1,nASIG,"Orquesta/Banda/Conjunto"),"")))</f>
        <v/>
      </c>
      <c r="D903" t="str">
        <f>IF(A903="","",IF(A903="[FÓRMULA MANUAL]","",IFERROR(AVERAGEIFS(nNOTA,nNIA,A903,nCUENTA,1,nASIG,"Conjunto"),"")))</f>
        <v/>
      </c>
      <c r="E903" t="str">
        <f>IF(A903="","",IF(A903="[FÓRMULA MANUAL]","",IFERROR(SUMPRODUCT((nNIA=A903)*(nCUENTA=1)*(COUNTIF(CONFIG_ASIGNATURAS!$B$7:$B$27,nASIG)&gt;0)*(nNOTA))/SUMPRODUCT((nNIA=A903)*(nCUENTA=1)*(COUNTIF(CONFIG_ASIGNATURAS!$B$7:$B$27,nASIG)&gt;0)*1),"")))</f>
        <v/>
      </c>
      <c r="H903" t="str">
        <f>IF(G903="","",IF(G903="[FÓRMULA MANUAL]","",IFERROR(AVERAGEIFS(nNOTA,nNIA,G903,nCUENTA,1,nASIG,"Lenguaje Musical"),"")))</f>
        <v/>
      </c>
      <c r="I903" t="str">
        <f>IF(G903="","",IF(G903="[FÓRMULA MANUAL]","",IFERROR(AVERAGEIFS(nNOTA,nNIA,G903,nCUENTA,1,nASIG,"Orquesta/Banda/Conjunto"),"")))</f>
        <v/>
      </c>
      <c r="J903" t="str">
        <f>IF(G903="","",IF(G903="[FÓRMULA MANUAL]","",IFERROR(AVERAGEIFS(nNOTA,nNIA,G903,nCUENTA,1,nASIG,"Conjunto"),"")))</f>
        <v/>
      </c>
      <c r="K903" t="str">
        <f>IF(G903="","",IF(G903="[FÓRMULA MANUAL]","",IFERROR(SUMPRODUCT((nNIA=G903)*(nCUENTA=1)*(COUNTIF(CONFIG_ASIGNATURAS!$B$7:$B$27,nASIG)&gt;0)*(nNOTA))/SUMPRODUCT((nNIA=G903)*(nCUENTA=1)*(COUNTIF(CONFIG_ASIGNATURAS!$B$7:$B$27,nASIG)&gt;0)*1),"")))</f>
        <v/>
      </c>
      <c r="N903" t="str">
        <f>IF(M903="","",IF(M903="[FÓRMULA MANUAL]","",IFERROR(AVERAGEIFS(nNOTA,nNIA,M903,nCUENTA,1,nASIG,"Armonía"),"")))</f>
        <v/>
      </c>
      <c r="O903" t="str">
        <f>IF(M903="","",IF(M903="[FÓRMULA MANUAL]","",IFERROR(AVERAGEIFS(nNOTA,nNIA,M903,nCUENTA,1,nASIG,"Orquesta/Banda/Conjunto"),"")))</f>
        <v/>
      </c>
      <c r="P903" t="str">
        <f>IF(M903="","",IF(M903="[FÓRMULA MANUAL]","",IFERROR(AVERAGEIFS(nNOTA,nNIA,M903,nCUENTA,1,nASIG,"Música de Cámara"),"")))</f>
        <v/>
      </c>
      <c r="Q903" t="str">
        <f>IF(M903="","",IF(M903="[FÓRMULA MANUAL]","",IFERROR(SUMPRODUCT((nNIA=M903)*(nCUENTA=1)*(COUNTIF(CONFIG_ASIGNATURAS!$B$7:$B$27,nASIG)&gt;0)*(nNOTA))/SUMPRODUCT((nNIA=M903)*(nCUENTA=1)*(COUNTIF(CONFIG_ASIGNATURAS!$B$7:$B$27,nASIG)&gt;0)*1),"")))</f>
        <v/>
      </c>
      <c r="T903" t="str">
        <f>IF(S903="","",IF(S903="[FÓRMULA MANUAL]","",IFERROR(AVERAGEIFS(nNOTA,nNIA,S903,nCUENTA,1,nASIG,"Armonía"),"")))</f>
        <v/>
      </c>
      <c r="U903" t="str">
        <f>IF(S903="","",IF(S903="[FÓRMULA MANUAL]","",IFERROR(AVERAGEIFS(nNOTA,nNIA,S903,nCUENTA,1,nASIG,"Orquesta/Banda/Conjunto"),"")))</f>
        <v/>
      </c>
      <c r="V903" t="str">
        <f>IF(S903="","",IF(S903="[FÓRMULA MANUAL]","",IFERROR(AVERAGEIFS(nNOTA,nNIA,S903,nCUENTA,1,nASIG,"Música de Cámara"),"")))</f>
        <v/>
      </c>
      <c r="W903" t="str">
        <f>IF(S903="","",IF(S903="[FÓRMULA MANUAL]","",IFERROR(SUMPRODUCT((nNIA=S903)*(nCUENTA=1)*(COUNTIF(CONFIG_ASIGNATURAS!$B$7:$B$27,nASIG)&gt;0)*(nNOTA))/SUMPRODUCT((nNIA=S903)*(nCUENTA=1)*(COUNTIF(CONFIG_ASIGNATURAS!$B$7:$B$27,nASIG)&gt;0)*1),"")))</f>
        <v/>
      </c>
      <c r="Z903" t="str">
        <f>IF(Y903="","",IF(Y903="[FÓRMULA MANUAL]","",IFERROR(AVERAGEIFS(nNOTA,nNIA,Y903,nCUENTA,1,nASIG,"Análisis"),"")))</f>
        <v/>
      </c>
      <c r="AA903" t="str">
        <f>IF(Y903="","",IF(Y903="[FÓRMULA MANUAL]","",IFERROR(AVERAGEIFS(nNOTA,nNIA,Y903,nCUENTA,1,nASIG,"Orquesta/Banda/Conjunto"),"")))</f>
        <v/>
      </c>
      <c r="AB903" t="str">
        <f>IF(Y903="","",IF(Y903="[FÓRMULA MANUAL]","",IFERROR(AVERAGEIFS(nNOTA,nNIA,Y903,nCUENTA,1,nASIG,"Música de Cámara"),"")))</f>
        <v/>
      </c>
      <c r="AC903" t="str">
        <f>IF(Y903="","",IF(Y903="[FÓRMULA MANUAL]","",IFERROR(SUMPRODUCT((nNIA=Y903)*(nCUENTA=1)*(COUNTIF(CONFIG_ASIGNATURAS!$B$7:$B$27,nASIG)&gt;0)*(nNOTA))/SUMPRODUCT((nNIA=Y903)*(nCUENTA=1)*(COUNTIF(CONFIG_ASIGNATURAS!$B$7:$B$27,nASIG)&gt;0)*1),"")))</f>
        <v/>
      </c>
      <c r="AF903" t="str">
        <f>IF(AE903="","",IF(AE903="[FÓRMULA MANUAL]","",IFERROR(AVERAGEIFS(nNOTA,nNIA,AE903,nCUENTA,1,nASIG,"Análisis"),"")))</f>
        <v/>
      </c>
      <c r="AG903" t="str">
        <f>IF(AE903="","",IF(AE903="[FÓRMULA MANUAL]","",IFERROR(AVERAGEIFS(nNOTA,nNIA,AE903,nCUENTA,1,nASIG,"Orquesta/Banda/Conjunto"),"")))</f>
        <v/>
      </c>
      <c r="AH903" t="str">
        <f>IF(AE903="","",IF(AE903="[FÓRMULA MANUAL]","",IFERROR(AVERAGEIFS(nNOTA,nNIA,AE903,nCUENTA,1,nASIG,"Música de Cámara"),"")))</f>
        <v/>
      </c>
      <c r="AI903" t="str">
        <f>IF(AE903="","",IF(AE903="[FÓRMULA MANUAL]","",IFERROR(SUMPRODUCT((nNIA=AE903)*(nCUENTA=1)*(COUNTIF(CONFIG_ASIGNATURAS!$B$7:$B$27,nASIG)&gt;0)*(nNOTA))/SUMPRODUCT((nNIA=AE903)*(nCUENTA=1)*(COUNTIF(CONFIG_ASIGNATURAS!$B$7:$B$27,nASIG)&gt;0)*1),"")))</f>
        <v/>
      </c>
    </row>
    <row r="904" spans="2:35" x14ac:dyDescent="0.2">
      <c r="B904" t="str">
        <f>IF(A904="","",IF(A904="[FÓRMULA MANUAL]","",IFERROR(AVERAGEIFS(nNOTA,nNIA,A904,nCUENTA,1,nASIG,"Lenguaje Musical"),"")))</f>
        <v/>
      </c>
      <c r="C904" t="str">
        <f>IF(A904="","",IF(A904="[FÓRMULA MANUAL]","",IFERROR(AVERAGEIFS(nNOTA,nNIA,A904,nCUENTA,1,nASIG,"Orquesta/Banda/Conjunto"),"")))</f>
        <v/>
      </c>
      <c r="D904" t="str">
        <f>IF(A904="","",IF(A904="[FÓRMULA MANUAL]","",IFERROR(AVERAGEIFS(nNOTA,nNIA,A904,nCUENTA,1,nASIG,"Conjunto"),"")))</f>
        <v/>
      </c>
      <c r="E904" t="str">
        <f>IF(A904="","",IF(A904="[FÓRMULA MANUAL]","",IFERROR(SUMPRODUCT((nNIA=A904)*(nCUENTA=1)*(COUNTIF(CONFIG_ASIGNATURAS!$B$7:$B$27,nASIG)&gt;0)*(nNOTA))/SUMPRODUCT((nNIA=A904)*(nCUENTA=1)*(COUNTIF(CONFIG_ASIGNATURAS!$B$7:$B$27,nASIG)&gt;0)*1),"")))</f>
        <v/>
      </c>
      <c r="H904" t="str">
        <f>IF(G904="","",IF(G904="[FÓRMULA MANUAL]","",IFERROR(AVERAGEIFS(nNOTA,nNIA,G904,nCUENTA,1,nASIG,"Lenguaje Musical"),"")))</f>
        <v/>
      </c>
      <c r="I904" t="str">
        <f>IF(G904="","",IF(G904="[FÓRMULA MANUAL]","",IFERROR(AVERAGEIFS(nNOTA,nNIA,G904,nCUENTA,1,nASIG,"Orquesta/Banda/Conjunto"),"")))</f>
        <v/>
      </c>
      <c r="J904" t="str">
        <f>IF(G904="","",IF(G904="[FÓRMULA MANUAL]","",IFERROR(AVERAGEIFS(nNOTA,nNIA,G904,nCUENTA,1,nASIG,"Conjunto"),"")))</f>
        <v/>
      </c>
      <c r="K904" t="str">
        <f>IF(G904="","",IF(G904="[FÓRMULA MANUAL]","",IFERROR(SUMPRODUCT((nNIA=G904)*(nCUENTA=1)*(COUNTIF(CONFIG_ASIGNATURAS!$B$7:$B$27,nASIG)&gt;0)*(nNOTA))/SUMPRODUCT((nNIA=G904)*(nCUENTA=1)*(COUNTIF(CONFIG_ASIGNATURAS!$B$7:$B$27,nASIG)&gt;0)*1),"")))</f>
        <v/>
      </c>
      <c r="N904" t="str">
        <f>IF(M904="","",IF(M904="[FÓRMULA MANUAL]","",IFERROR(AVERAGEIFS(nNOTA,nNIA,M904,nCUENTA,1,nASIG,"Armonía"),"")))</f>
        <v/>
      </c>
      <c r="O904" t="str">
        <f>IF(M904="","",IF(M904="[FÓRMULA MANUAL]","",IFERROR(AVERAGEIFS(nNOTA,nNIA,M904,nCUENTA,1,nASIG,"Orquesta/Banda/Conjunto"),"")))</f>
        <v/>
      </c>
      <c r="P904" t="str">
        <f>IF(M904="","",IF(M904="[FÓRMULA MANUAL]","",IFERROR(AVERAGEIFS(nNOTA,nNIA,M904,nCUENTA,1,nASIG,"Música de Cámara"),"")))</f>
        <v/>
      </c>
      <c r="Q904" t="str">
        <f>IF(M904="","",IF(M904="[FÓRMULA MANUAL]","",IFERROR(SUMPRODUCT((nNIA=M904)*(nCUENTA=1)*(COUNTIF(CONFIG_ASIGNATURAS!$B$7:$B$27,nASIG)&gt;0)*(nNOTA))/SUMPRODUCT((nNIA=M904)*(nCUENTA=1)*(COUNTIF(CONFIG_ASIGNATURAS!$B$7:$B$27,nASIG)&gt;0)*1),"")))</f>
        <v/>
      </c>
      <c r="T904" t="str">
        <f>IF(S904="","",IF(S904="[FÓRMULA MANUAL]","",IFERROR(AVERAGEIFS(nNOTA,nNIA,S904,nCUENTA,1,nASIG,"Armonía"),"")))</f>
        <v/>
      </c>
      <c r="U904" t="str">
        <f>IF(S904="","",IF(S904="[FÓRMULA MANUAL]","",IFERROR(AVERAGEIFS(nNOTA,nNIA,S904,nCUENTA,1,nASIG,"Orquesta/Banda/Conjunto"),"")))</f>
        <v/>
      </c>
      <c r="V904" t="str">
        <f>IF(S904="","",IF(S904="[FÓRMULA MANUAL]","",IFERROR(AVERAGEIFS(nNOTA,nNIA,S904,nCUENTA,1,nASIG,"Música de Cámara"),"")))</f>
        <v/>
      </c>
      <c r="W904" t="str">
        <f>IF(S904="","",IF(S904="[FÓRMULA MANUAL]","",IFERROR(SUMPRODUCT((nNIA=S904)*(nCUENTA=1)*(COUNTIF(CONFIG_ASIGNATURAS!$B$7:$B$27,nASIG)&gt;0)*(nNOTA))/SUMPRODUCT((nNIA=S904)*(nCUENTA=1)*(COUNTIF(CONFIG_ASIGNATURAS!$B$7:$B$27,nASIG)&gt;0)*1),"")))</f>
        <v/>
      </c>
      <c r="Z904" t="str">
        <f>IF(Y904="","",IF(Y904="[FÓRMULA MANUAL]","",IFERROR(AVERAGEIFS(nNOTA,nNIA,Y904,nCUENTA,1,nASIG,"Análisis"),"")))</f>
        <v/>
      </c>
      <c r="AA904" t="str">
        <f>IF(Y904="","",IF(Y904="[FÓRMULA MANUAL]","",IFERROR(AVERAGEIFS(nNOTA,nNIA,Y904,nCUENTA,1,nASIG,"Orquesta/Banda/Conjunto"),"")))</f>
        <v/>
      </c>
      <c r="AB904" t="str">
        <f>IF(Y904="","",IF(Y904="[FÓRMULA MANUAL]","",IFERROR(AVERAGEIFS(nNOTA,nNIA,Y904,nCUENTA,1,nASIG,"Música de Cámara"),"")))</f>
        <v/>
      </c>
      <c r="AC904" t="str">
        <f>IF(Y904="","",IF(Y904="[FÓRMULA MANUAL]","",IFERROR(SUMPRODUCT((nNIA=Y904)*(nCUENTA=1)*(COUNTIF(CONFIG_ASIGNATURAS!$B$7:$B$27,nASIG)&gt;0)*(nNOTA))/SUMPRODUCT((nNIA=Y904)*(nCUENTA=1)*(COUNTIF(CONFIG_ASIGNATURAS!$B$7:$B$27,nASIG)&gt;0)*1),"")))</f>
        <v/>
      </c>
      <c r="AF904" t="str">
        <f>IF(AE904="","",IF(AE904="[FÓRMULA MANUAL]","",IFERROR(AVERAGEIFS(nNOTA,nNIA,AE904,nCUENTA,1,nASIG,"Análisis"),"")))</f>
        <v/>
      </c>
      <c r="AG904" t="str">
        <f>IF(AE904="","",IF(AE904="[FÓRMULA MANUAL]","",IFERROR(AVERAGEIFS(nNOTA,nNIA,AE904,nCUENTA,1,nASIG,"Orquesta/Banda/Conjunto"),"")))</f>
        <v/>
      </c>
      <c r="AH904" t="str">
        <f>IF(AE904="","",IF(AE904="[FÓRMULA MANUAL]","",IFERROR(AVERAGEIFS(nNOTA,nNIA,AE904,nCUENTA,1,nASIG,"Música de Cámara"),"")))</f>
        <v/>
      </c>
      <c r="AI904" t="str">
        <f>IF(AE904="","",IF(AE904="[FÓRMULA MANUAL]","",IFERROR(SUMPRODUCT((nNIA=AE904)*(nCUENTA=1)*(COUNTIF(CONFIG_ASIGNATURAS!$B$7:$B$27,nASIG)&gt;0)*(nNOTA))/SUMPRODUCT((nNIA=AE904)*(nCUENTA=1)*(COUNTIF(CONFIG_ASIGNATURAS!$B$7:$B$27,nASIG)&gt;0)*1),"")))</f>
        <v/>
      </c>
    </row>
    <row r="905" spans="2:35" x14ac:dyDescent="0.2">
      <c r="B905" t="str">
        <f>IF(A905="","",IF(A905="[FÓRMULA MANUAL]","",IFERROR(AVERAGEIFS(nNOTA,nNIA,A905,nCUENTA,1,nASIG,"Lenguaje Musical"),"")))</f>
        <v/>
      </c>
      <c r="C905" t="str">
        <f>IF(A905="","",IF(A905="[FÓRMULA MANUAL]","",IFERROR(AVERAGEIFS(nNOTA,nNIA,A905,nCUENTA,1,nASIG,"Orquesta/Banda/Conjunto"),"")))</f>
        <v/>
      </c>
      <c r="D905" t="str">
        <f>IF(A905="","",IF(A905="[FÓRMULA MANUAL]","",IFERROR(AVERAGEIFS(nNOTA,nNIA,A905,nCUENTA,1,nASIG,"Conjunto"),"")))</f>
        <v/>
      </c>
      <c r="E905" t="str">
        <f>IF(A905="","",IF(A905="[FÓRMULA MANUAL]","",IFERROR(SUMPRODUCT((nNIA=A905)*(nCUENTA=1)*(COUNTIF(CONFIG_ASIGNATURAS!$B$7:$B$27,nASIG)&gt;0)*(nNOTA))/SUMPRODUCT((nNIA=A905)*(nCUENTA=1)*(COUNTIF(CONFIG_ASIGNATURAS!$B$7:$B$27,nASIG)&gt;0)*1),"")))</f>
        <v/>
      </c>
      <c r="H905" t="str">
        <f>IF(G905="","",IF(G905="[FÓRMULA MANUAL]","",IFERROR(AVERAGEIFS(nNOTA,nNIA,G905,nCUENTA,1,nASIG,"Lenguaje Musical"),"")))</f>
        <v/>
      </c>
      <c r="I905" t="str">
        <f>IF(G905="","",IF(G905="[FÓRMULA MANUAL]","",IFERROR(AVERAGEIFS(nNOTA,nNIA,G905,nCUENTA,1,nASIG,"Orquesta/Banda/Conjunto"),"")))</f>
        <v/>
      </c>
      <c r="J905" t="str">
        <f>IF(G905="","",IF(G905="[FÓRMULA MANUAL]","",IFERROR(AVERAGEIFS(nNOTA,nNIA,G905,nCUENTA,1,nASIG,"Conjunto"),"")))</f>
        <v/>
      </c>
      <c r="K905" t="str">
        <f>IF(G905="","",IF(G905="[FÓRMULA MANUAL]","",IFERROR(SUMPRODUCT((nNIA=G905)*(nCUENTA=1)*(COUNTIF(CONFIG_ASIGNATURAS!$B$7:$B$27,nASIG)&gt;0)*(nNOTA))/SUMPRODUCT((nNIA=G905)*(nCUENTA=1)*(COUNTIF(CONFIG_ASIGNATURAS!$B$7:$B$27,nASIG)&gt;0)*1),"")))</f>
        <v/>
      </c>
      <c r="N905" t="str">
        <f>IF(M905="","",IF(M905="[FÓRMULA MANUAL]","",IFERROR(AVERAGEIFS(nNOTA,nNIA,M905,nCUENTA,1,nASIG,"Armonía"),"")))</f>
        <v/>
      </c>
      <c r="O905" t="str">
        <f>IF(M905="","",IF(M905="[FÓRMULA MANUAL]","",IFERROR(AVERAGEIFS(nNOTA,nNIA,M905,nCUENTA,1,nASIG,"Orquesta/Banda/Conjunto"),"")))</f>
        <v/>
      </c>
      <c r="P905" t="str">
        <f>IF(M905="","",IF(M905="[FÓRMULA MANUAL]","",IFERROR(AVERAGEIFS(nNOTA,nNIA,M905,nCUENTA,1,nASIG,"Música de Cámara"),"")))</f>
        <v/>
      </c>
      <c r="Q905" t="str">
        <f>IF(M905="","",IF(M905="[FÓRMULA MANUAL]","",IFERROR(SUMPRODUCT((nNIA=M905)*(nCUENTA=1)*(COUNTIF(CONFIG_ASIGNATURAS!$B$7:$B$27,nASIG)&gt;0)*(nNOTA))/SUMPRODUCT((nNIA=M905)*(nCUENTA=1)*(COUNTIF(CONFIG_ASIGNATURAS!$B$7:$B$27,nASIG)&gt;0)*1),"")))</f>
        <v/>
      </c>
      <c r="T905" t="str">
        <f>IF(S905="","",IF(S905="[FÓRMULA MANUAL]","",IFERROR(AVERAGEIFS(nNOTA,nNIA,S905,nCUENTA,1,nASIG,"Armonía"),"")))</f>
        <v/>
      </c>
      <c r="U905" t="str">
        <f>IF(S905="","",IF(S905="[FÓRMULA MANUAL]","",IFERROR(AVERAGEIFS(nNOTA,nNIA,S905,nCUENTA,1,nASIG,"Orquesta/Banda/Conjunto"),"")))</f>
        <v/>
      </c>
      <c r="V905" t="str">
        <f>IF(S905="","",IF(S905="[FÓRMULA MANUAL]","",IFERROR(AVERAGEIFS(nNOTA,nNIA,S905,nCUENTA,1,nASIG,"Música de Cámara"),"")))</f>
        <v/>
      </c>
      <c r="W905" t="str">
        <f>IF(S905="","",IF(S905="[FÓRMULA MANUAL]","",IFERROR(SUMPRODUCT((nNIA=S905)*(nCUENTA=1)*(COUNTIF(CONFIG_ASIGNATURAS!$B$7:$B$27,nASIG)&gt;0)*(nNOTA))/SUMPRODUCT((nNIA=S905)*(nCUENTA=1)*(COUNTIF(CONFIG_ASIGNATURAS!$B$7:$B$27,nASIG)&gt;0)*1),"")))</f>
        <v/>
      </c>
      <c r="Z905" t="str">
        <f>IF(Y905="","",IF(Y905="[FÓRMULA MANUAL]","",IFERROR(AVERAGEIFS(nNOTA,nNIA,Y905,nCUENTA,1,nASIG,"Análisis"),"")))</f>
        <v/>
      </c>
      <c r="AA905" t="str">
        <f>IF(Y905="","",IF(Y905="[FÓRMULA MANUAL]","",IFERROR(AVERAGEIFS(nNOTA,nNIA,Y905,nCUENTA,1,nASIG,"Orquesta/Banda/Conjunto"),"")))</f>
        <v/>
      </c>
      <c r="AB905" t="str">
        <f>IF(Y905="","",IF(Y905="[FÓRMULA MANUAL]","",IFERROR(AVERAGEIFS(nNOTA,nNIA,Y905,nCUENTA,1,nASIG,"Música de Cámara"),"")))</f>
        <v/>
      </c>
      <c r="AC905" t="str">
        <f>IF(Y905="","",IF(Y905="[FÓRMULA MANUAL]","",IFERROR(SUMPRODUCT((nNIA=Y905)*(nCUENTA=1)*(COUNTIF(CONFIG_ASIGNATURAS!$B$7:$B$27,nASIG)&gt;0)*(nNOTA))/SUMPRODUCT((nNIA=Y905)*(nCUENTA=1)*(COUNTIF(CONFIG_ASIGNATURAS!$B$7:$B$27,nASIG)&gt;0)*1),"")))</f>
        <v/>
      </c>
      <c r="AF905" t="str">
        <f>IF(AE905="","",IF(AE905="[FÓRMULA MANUAL]","",IFERROR(AVERAGEIFS(nNOTA,nNIA,AE905,nCUENTA,1,nASIG,"Análisis"),"")))</f>
        <v/>
      </c>
      <c r="AG905" t="str">
        <f>IF(AE905="","",IF(AE905="[FÓRMULA MANUAL]","",IFERROR(AVERAGEIFS(nNOTA,nNIA,AE905,nCUENTA,1,nASIG,"Orquesta/Banda/Conjunto"),"")))</f>
        <v/>
      </c>
      <c r="AH905" t="str">
        <f>IF(AE905="","",IF(AE905="[FÓRMULA MANUAL]","",IFERROR(AVERAGEIFS(nNOTA,nNIA,AE905,nCUENTA,1,nASIG,"Música de Cámara"),"")))</f>
        <v/>
      </c>
      <c r="AI905" t="str">
        <f>IF(AE905="","",IF(AE905="[FÓRMULA MANUAL]","",IFERROR(SUMPRODUCT((nNIA=AE905)*(nCUENTA=1)*(COUNTIF(CONFIG_ASIGNATURAS!$B$7:$B$27,nASIG)&gt;0)*(nNOTA))/SUMPRODUCT((nNIA=AE905)*(nCUENTA=1)*(COUNTIF(CONFIG_ASIGNATURAS!$B$7:$B$27,nASIG)&gt;0)*1),"")))</f>
        <v/>
      </c>
    </row>
    <row r="906" spans="2:35" x14ac:dyDescent="0.2">
      <c r="B906" t="str">
        <f>IF(A906="","",IF(A906="[FÓRMULA MANUAL]","",IFERROR(AVERAGEIFS(nNOTA,nNIA,A906,nCUENTA,1,nASIG,"Lenguaje Musical"),"")))</f>
        <v/>
      </c>
      <c r="C906" t="str">
        <f>IF(A906="","",IF(A906="[FÓRMULA MANUAL]","",IFERROR(AVERAGEIFS(nNOTA,nNIA,A906,nCUENTA,1,nASIG,"Orquesta/Banda/Conjunto"),"")))</f>
        <v/>
      </c>
      <c r="D906" t="str">
        <f>IF(A906="","",IF(A906="[FÓRMULA MANUAL]","",IFERROR(AVERAGEIFS(nNOTA,nNIA,A906,nCUENTA,1,nASIG,"Conjunto"),"")))</f>
        <v/>
      </c>
      <c r="E906" t="str">
        <f>IF(A906="","",IF(A906="[FÓRMULA MANUAL]","",IFERROR(SUMPRODUCT((nNIA=A906)*(nCUENTA=1)*(COUNTIF(CONFIG_ASIGNATURAS!$B$7:$B$27,nASIG)&gt;0)*(nNOTA))/SUMPRODUCT((nNIA=A906)*(nCUENTA=1)*(COUNTIF(CONFIG_ASIGNATURAS!$B$7:$B$27,nASIG)&gt;0)*1),"")))</f>
        <v/>
      </c>
      <c r="H906" t="str">
        <f>IF(G906="","",IF(G906="[FÓRMULA MANUAL]","",IFERROR(AVERAGEIFS(nNOTA,nNIA,G906,nCUENTA,1,nASIG,"Lenguaje Musical"),"")))</f>
        <v/>
      </c>
      <c r="I906" t="str">
        <f>IF(G906="","",IF(G906="[FÓRMULA MANUAL]","",IFERROR(AVERAGEIFS(nNOTA,nNIA,G906,nCUENTA,1,nASIG,"Orquesta/Banda/Conjunto"),"")))</f>
        <v/>
      </c>
      <c r="J906" t="str">
        <f>IF(G906="","",IF(G906="[FÓRMULA MANUAL]","",IFERROR(AVERAGEIFS(nNOTA,nNIA,G906,nCUENTA,1,nASIG,"Conjunto"),"")))</f>
        <v/>
      </c>
      <c r="K906" t="str">
        <f>IF(G906="","",IF(G906="[FÓRMULA MANUAL]","",IFERROR(SUMPRODUCT((nNIA=G906)*(nCUENTA=1)*(COUNTIF(CONFIG_ASIGNATURAS!$B$7:$B$27,nASIG)&gt;0)*(nNOTA))/SUMPRODUCT((nNIA=G906)*(nCUENTA=1)*(COUNTIF(CONFIG_ASIGNATURAS!$B$7:$B$27,nASIG)&gt;0)*1),"")))</f>
        <v/>
      </c>
      <c r="N906" t="str">
        <f>IF(M906="","",IF(M906="[FÓRMULA MANUAL]","",IFERROR(AVERAGEIFS(nNOTA,nNIA,M906,nCUENTA,1,nASIG,"Armonía"),"")))</f>
        <v/>
      </c>
      <c r="O906" t="str">
        <f>IF(M906="","",IF(M906="[FÓRMULA MANUAL]","",IFERROR(AVERAGEIFS(nNOTA,nNIA,M906,nCUENTA,1,nASIG,"Orquesta/Banda/Conjunto"),"")))</f>
        <v/>
      </c>
      <c r="P906" t="str">
        <f>IF(M906="","",IF(M906="[FÓRMULA MANUAL]","",IFERROR(AVERAGEIFS(nNOTA,nNIA,M906,nCUENTA,1,nASIG,"Música de Cámara"),"")))</f>
        <v/>
      </c>
      <c r="Q906" t="str">
        <f>IF(M906="","",IF(M906="[FÓRMULA MANUAL]","",IFERROR(SUMPRODUCT((nNIA=M906)*(nCUENTA=1)*(COUNTIF(CONFIG_ASIGNATURAS!$B$7:$B$27,nASIG)&gt;0)*(nNOTA))/SUMPRODUCT((nNIA=M906)*(nCUENTA=1)*(COUNTIF(CONFIG_ASIGNATURAS!$B$7:$B$27,nASIG)&gt;0)*1),"")))</f>
        <v/>
      </c>
      <c r="T906" t="str">
        <f>IF(S906="","",IF(S906="[FÓRMULA MANUAL]","",IFERROR(AVERAGEIFS(nNOTA,nNIA,S906,nCUENTA,1,nASIG,"Armonía"),"")))</f>
        <v/>
      </c>
      <c r="U906" t="str">
        <f>IF(S906="","",IF(S906="[FÓRMULA MANUAL]","",IFERROR(AVERAGEIFS(nNOTA,nNIA,S906,nCUENTA,1,nASIG,"Orquesta/Banda/Conjunto"),"")))</f>
        <v/>
      </c>
      <c r="V906" t="str">
        <f>IF(S906="","",IF(S906="[FÓRMULA MANUAL]","",IFERROR(AVERAGEIFS(nNOTA,nNIA,S906,nCUENTA,1,nASIG,"Música de Cámara"),"")))</f>
        <v/>
      </c>
      <c r="W906" t="str">
        <f>IF(S906="","",IF(S906="[FÓRMULA MANUAL]","",IFERROR(SUMPRODUCT((nNIA=S906)*(nCUENTA=1)*(COUNTIF(CONFIG_ASIGNATURAS!$B$7:$B$27,nASIG)&gt;0)*(nNOTA))/SUMPRODUCT((nNIA=S906)*(nCUENTA=1)*(COUNTIF(CONFIG_ASIGNATURAS!$B$7:$B$27,nASIG)&gt;0)*1),"")))</f>
        <v/>
      </c>
      <c r="Z906" t="str">
        <f>IF(Y906="","",IF(Y906="[FÓRMULA MANUAL]","",IFERROR(AVERAGEIFS(nNOTA,nNIA,Y906,nCUENTA,1,nASIG,"Análisis"),"")))</f>
        <v/>
      </c>
      <c r="AA906" t="str">
        <f>IF(Y906="","",IF(Y906="[FÓRMULA MANUAL]","",IFERROR(AVERAGEIFS(nNOTA,nNIA,Y906,nCUENTA,1,nASIG,"Orquesta/Banda/Conjunto"),"")))</f>
        <v/>
      </c>
      <c r="AB906" t="str">
        <f>IF(Y906="","",IF(Y906="[FÓRMULA MANUAL]","",IFERROR(AVERAGEIFS(nNOTA,nNIA,Y906,nCUENTA,1,nASIG,"Música de Cámara"),"")))</f>
        <v/>
      </c>
      <c r="AC906" t="str">
        <f>IF(Y906="","",IF(Y906="[FÓRMULA MANUAL]","",IFERROR(SUMPRODUCT((nNIA=Y906)*(nCUENTA=1)*(COUNTIF(CONFIG_ASIGNATURAS!$B$7:$B$27,nASIG)&gt;0)*(nNOTA))/SUMPRODUCT((nNIA=Y906)*(nCUENTA=1)*(COUNTIF(CONFIG_ASIGNATURAS!$B$7:$B$27,nASIG)&gt;0)*1),"")))</f>
        <v/>
      </c>
      <c r="AF906" t="str">
        <f>IF(AE906="","",IF(AE906="[FÓRMULA MANUAL]","",IFERROR(AVERAGEIFS(nNOTA,nNIA,AE906,nCUENTA,1,nASIG,"Análisis"),"")))</f>
        <v/>
      </c>
      <c r="AG906" t="str">
        <f>IF(AE906="","",IF(AE906="[FÓRMULA MANUAL]","",IFERROR(AVERAGEIFS(nNOTA,nNIA,AE906,nCUENTA,1,nASIG,"Orquesta/Banda/Conjunto"),"")))</f>
        <v/>
      </c>
      <c r="AH906" t="str">
        <f>IF(AE906="","",IF(AE906="[FÓRMULA MANUAL]","",IFERROR(AVERAGEIFS(nNOTA,nNIA,AE906,nCUENTA,1,nASIG,"Música de Cámara"),"")))</f>
        <v/>
      </c>
      <c r="AI906" t="str">
        <f>IF(AE906="","",IF(AE906="[FÓRMULA MANUAL]","",IFERROR(SUMPRODUCT((nNIA=AE906)*(nCUENTA=1)*(COUNTIF(CONFIG_ASIGNATURAS!$B$7:$B$27,nASIG)&gt;0)*(nNOTA))/SUMPRODUCT((nNIA=AE906)*(nCUENTA=1)*(COUNTIF(CONFIG_ASIGNATURAS!$B$7:$B$27,nASIG)&gt;0)*1),"")))</f>
        <v/>
      </c>
    </row>
    <row r="907" spans="2:35" x14ac:dyDescent="0.2">
      <c r="B907" t="str">
        <f>IF(A907="","",IF(A907="[FÓRMULA MANUAL]","",IFERROR(AVERAGEIFS(nNOTA,nNIA,A907,nCUENTA,1,nASIG,"Lenguaje Musical"),"")))</f>
        <v/>
      </c>
      <c r="C907" t="str">
        <f>IF(A907="","",IF(A907="[FÓRMULA MANUAL]","",IFERROR(AVERAGEIFS(nNOTA,nNIA,A907,nCUENTA,1,nASIG,"Orquesta/Banda/Conjunto"),"")))</f>
        <v/>
      </c>
      <c r="D907" t="str">
        <f>IF(A907="","",IF(A907="[FÓRMULA MANUAL]","",IFERROR(AVERAGEIFS(nNOTA,nNIA,A907,nCUENTA,1,nASIG,"Conjunto"),"")))</f>
        <v/>
      </c>
      <c r="E907" t="str">
        <f>IF(A907="","",IF(A907="[FÓRMULA MANUAL]","",IFERROR(SUMPRODUCT((nNIA=A907)*(nCUENTA=1)*(COUNTIF(CONFIG_ASIGNATURAS!$B$7:$B$27,nASIG)&gt;0)*(nNOTA))/SUMPRODUCT((nNIA=A907)*(nCUENTA=1)*(COUNTIF(CONFIG_ASIGNATURAS!$B$7:$B$27,nASIG)&gt;0)*1),"")))</f>
        <v/>
      </c>
      <c r="H907" t="str">
        <f>IF(G907="","",IF(G907="[FÓRMULA MANUAL]","",IFERROR(AVERAGEIFS(nNOTA,nNIA,G907,nCUENTA,1,nASIG,"Lenguaje Musical"),"")))</f>
        <v/>
      </c>
      <c r="I907" t="str">
        <f>IF(G907="","",IF(G907="[FÓRMULA MANUAL]","",IFERROR(AVERAGEIFS(nNOTA,nNIA,G907,nCUENTA,1,nASIG,"Orquesta/Banda/Conjunto"),"")))</f>
        <v/>
      </c>
      <c r="J907" t="str">
        <f>IF(G907="","",IF(G907="[FÓRMULA MANUAL]","",IFERROR(AVERAGEIFS(nNOTA,nNIA,G907,nCUENTA,1,nASIG,"Conjunto"),"")))</f>
        <v/>
      </c>
      <c r="K907" t="str">
        <f>IF(G907="","",IF(G907="[FÓRMULA MANUAL]","",IFERROR(SUMPRODUCT((nNIA=G907)*(nCUENTA=1)*(COUNTIF(CONFIG_ASIGNATURAS!$B$7:$B$27,nASIG)&gt;0)*(nNOTA))/SUMPRODUCT((nNIA=G907)*(nCUENTA=1)*(COUNTIF(CONFIG_ASIGNATURAS!$B$7:$B$27,nASIG)&gt;0)*1),"")))</f>
        <v/>
      </c>
      <c r="N907" t="str">
        <f>IF(M907="","",IF(M907="[FÓRMULA MANUAL]","",IFERROR(AVERAGEIFS(nNOTA,nNIA,M907,nCUENTA,1,nASIG,"Armonía"),"")))</f>
        <v/>
      </c>
      <c r="O907" t="str">
        <f>IF(M907="","",IF(M907="[FÓRMULA MANUAL]","",IFERROR(AVERAGEIFS(nNOTA,nNIA,M907,nCUENTA,1,nASIG,"Orquesta/Banda/Conjunto"),"")))</f>
        <v/>
      </c>
      <c r="P907" t="str">
        <f>IF(M907="","",IF(M907="[FÓRMULA MANUAL]","",IFERROR(AVERAGEIFS(nNOTA,nNIA,M907,nCUENTA,1,nASIG,"Música de Cámara"),"")))</f>
        <v/>
      </c>
      <c r="Q907" t="str">
        <f>IF(M907="","",IF(M907="[FÓRMULA MANUAL]","",IFERROR(SUMPRODUCT((nNIA=M907)*(nCUENTA=1)*(COUNTIF(CONFIG_ASIGNATURAS!$B$7:$B$27,nASIG)&gt;0)*(nNOTA))/SUMPRODUCT((nNIA=M907)*(nCUENTA=1)*(COUNTIF(CONFIG_ASIGNATURAS!$B$7:$B$27,nASIG)&gt;0)*1),"")))</f>
        <v/>
      </c>
      <c r="T907" t="str">
        <f>IF(S907="","",IF(S907="[FÓRMULA MANUAL]","",IFERROR(AVERAGEIFS(nNOTA,nNIA,S907,nCUENTA,1,nASIG,"Armonía"),"")))</f>
        <v/>
      </c>
      <c r="U907" t="str">
        <f>IF(S907="","",IF(S907="[FÓRMULA MANUAL]","",IFERROR(AVERAGEIFS(nNOTA,nNIA,S907,nCUENTA,1,nASIG,"Orquesta/Banda/Conjunto"),"")))</f>
        <v/>
      </c>
      <c r="V907" t="str">
        <f>IF(S907="","",IF(S907="[FÓRMULA MANUAL]","",IFERROR(AVERAGEIFS(nNOTA,nNIA,S907,nCUENTA,1,nASIG,"Música de Cámara"),"")))</f>
        <v/>
      </c>
      <c r="W907" t="str">
        <f>IF(S907="","",IF(S907="[FÓRMULA MANUAL]","",IFERROR(SUMPRODUCT((nNIA=S907)*(nCUENTA=1)*(COUNTIF(CONFIG_ASIGNATURAS!$B$7:$B$27,nASIG)&gt;0)*(nNOTA))/SUMPRODUCT((nNIA=S907)*(nCUENTA=1)*(COUNTIF(CONFIG_ASIGNATURAS!$B$7:$B$27,nASIG)&gt;0)*1),"")))</f>
        <v/>
      </c>
      <c r="Z907" t="str">
        <f>IF(Y907="","",IF(Y907="[FÓRMULA MANUAL]","",IFERROR(AVERAGEIFS(nNOTA,nNIA,Y907,nCUENTA,1,nASIG,"Análisis"),"")))</f>
        <v/>
      </c>
      <c r="AA907" t="str">
        <f>IF(Y907="","",IF(Y907="[FÓRMULA MANUAL]","",IFERROR(AVERAGEIFS(nNOTA,nNIA,Y907,nCUENTA,1,nASIG,"Orquesta/Banda/Conjunto"),"")))</f>
        <v/>
      </c>
      <c r="AB907" t="str">
        <f>IF(Y907="","",IF(Y907="[FÓRMULA MANUAL]","",IFERROR(AVERAGEIFS(nNOTA,nNIA,Y907,nCUENTA,1,nASIG,"Música de Cámara"),"")))</f>
        <v/>
      </c>
      <c r="AC907" t="str">
        <f>IF(Y907="","",IF(Y907="[FÓRMULA MANUAL]","",IFERROR(SUMPRODUCT((nNIA=Y907)*(nCUENTA=1)*(COUNTIF(CONFIG_ASIGNATURAS!$B$7:$B$27,nASIG)&gt;0)*(nNOTA))/SUMPRODUCT((nNIA=Y907)*(nCUENTA=1)*(COUNTIF(CONFIG_ASIGNATURAS!$B$7:$B$27,nASIG)&gt;0)*1),"")))</f>
        <v/>
      </c>
      <c r="AF907" t="str">
        <f>IF(AE907="","",IF(AE907="[FÓRMULA MANUAL]","",IFERROR(AVERAGEIFS(nNOTA,nNIA,AE907,nCUENTA,1,nASIG,"Análisis"),"")))</f>
        <v/>
      </c>
      <c r="AG907" t="str">
        <f>IF(AE907="","",IF(AE907="[FÓRMULA MANUAL]","",IFERROR(AVERAGEIFS(nNOTA,nNIA,AE907,nCUENTA,1,nASIG,"Orquesta/Banda/Conjunto"),"")))</f>
        <v/>
      </c>
      <c r="AH907" t="str">
        <f>IF(AE907="","",IF(AE907="[FÓRMULA MANUAL]","",IFERROR(AVERAGEIFS(nNOTA,nNIA,AE907,nCUENTA,1,nASIG,"Música de Cámara"),"")))</f>
        <v/>
      </c>
      <c r="AI907" t="str">
        <f>IF(AE907="","",IF(AE907="[FÓRMULA MANUAL]","",IFERROR(SUMPRODUCT((nNIA=AE907)*(nCUENTA=1)*(COUNTIF(CONFIG_ASIGNATURAS!$B$7:$B$27,nASIG)&gt;0)*(nNOTA))/SUMPRODUCT((nNIA=AE907)*(nCUENTA=1)*(COUNTIF(CONFIG_ASIGNATURAS!$B$7:$B$27,nASIG)&gt;0)*1),"")))</f>
        <v/>
      </c>
    </row>
    <row r="908" spans="2:35" x14ac:dyDescent="0.2">
      <c r="B908" t="str">
        <f>IF(A908="","",IF(A908="[FÓRMULA MANUAL]","",IFERROR(AVERAGEIFS(nNOTA,nNIA,A908,nCUENTA,1,nASIG,"Lenguaje Musical"),"")))</f>
        <v/>
      </c>
      <c r="C908" t="str">
        <f>IF(A908="","",IF(A908="[FÓRMULA MANUAL]","",IFERROR(AVERAGEIFS(nNOTA,nNIA,A908,nCUENTA,1,nASIG,"Orquesta/Banda/Conjunto"),"")))</f>
        <v/>
      </c>
      <c r="D908" t="str">
        <f>IF(A908="","",IF(A908="[FÓRMULA MANUAL]","",IFERROR(AVERAGEIFS(nNOTA,nNIA,A908,nCUENTA,1,nASIG,"Conjunto"),"")))</f>
        <v/>
      </c>
      <c r="E908" t="str">
        <f>IF(A908="","",IF(A908="[FÓRMULA MANUAL]","",IFERROR(SUMPRODUCT((nNIA=A908)*(nCUENTA=1)*(COUNTIF(CONFIG_ASIGNATURAS!$B$7:$B$27,nASIG)&gt;0)*(nNOTA))/SUMPRODUCT((nNIA=A908)*(nCUENTA=1)*(COUNTIF(CONFIG_ASIGNATURAS!$B$7:$B$27,nASIG)&gt;0)*1),"")))</f>
        <v/>
      </c>
      <c r="H908" t="str">
        <f>IF(G908="","",IF(G908="[FÓRMULA MANUAL]","",IFERROR(AVERAGEIFS(nNOTA,nNIA,G908,nCUENTA,1,nASIG,"Lenguaje Musical"),"")))</f>
        <v/>
      </c>
      <c r="I908" t="str">
        <f>IF(G908="","",IF(G908="[FÓRMULA MANUAL]","",IFERROR(AVERAGEIFS(nNOTA,nNIA,G908,nCUENTA,1,nASIG,"Orquesta/Banda/Conjunto"),"")))</f>
        <v/>
      </c>
      <c r="J908" t="str">
        <f>IF(G908="","",IF(G908="[FÓRMULA MANUAL]","",IFERROR(AVERAGEIFS(nNOTA,nNIA,G908,nCUENTA,1,nASIG,"Conjunto"),"")))</f>
        <v/>
      </c>
      <c r="K908" t="str">
        <f>IF(G908="","",IF(G908="[FÓRMULA MANUAL]","",IFERROR(SUMPRODUCT((nNIA=G908)*(nCUENTA=1)*(COUNTIF(CONFIG_ASIGNATURAS!$B$7:$B$27,nASIG)&gt;0)*(nNOTA))/SUMPRODUCT((nNIA=G908)*(nCUENTA=1)*(COUNTIF(CONFIG_ASIGNATURAS!$B$7:$B$27,nASIG)&gt;0)*1),"")))</f>
        <v/>
      </c>
      <c r="N908" t="str">
        <f>IF(M908="","",IF(M908="[FÓRMULA MANUAL]","",IFERROR(AVERAGEIFS(nNOTA,nNIA,M908,nCUENTA,1,nASIG,"Armonía"),"")))</f>
        <v/>
      </c>
      <c r="O908" t="str">
        <f>IF(M908="","",IF(M908="[FÓRMULA MANUAL]","",IFERROR(AVERAGEIFS(nNOTA,nNIA,M908,nCUENTA,1,nASIG,"Orquesta/Banda/Conjunto"),"")))</f>
        <v/>
      </c>
      <c r="P908" t="str">
        <f>IF(M908="","",IF(M908="[FÓRMULA MANUAL]","",IFERROR(AVERAGEIFS(nNOTA,nNIA,M908,nCUENTA,1,nASIG,"Música de Cámara"),"")))</f>
        <v/>
      </c>
      <c r="Q908" t="str">
        <f>IF(M908="","",IF(M908="[FÓRMULA MANUAL]","",IFERROR(SUMPRODUCT((nNIA=M908)*(nCUENTA=1)*(COUNTIF(CONFIG_ASIGNATURAS!$B$7:$B$27,nASIG)&gt;0)*(nNOTA))/SUMPRODUCT((nNIA=M908)*(nCUENTA=1)*(COUNTIF(CONFIG_ASIGNATURAS!$B$7:$B$27,nASIG)&gt;0)*1),"")))</f>
        <v/>
      </c>
      <c r="T908" t="str">
        <f>IF(S908="","",IF(S908="[FÓRMULA MANUAL]","",IFERROR(AVERAGEIFS(nNOTA,nNIA,S908,nCUENTA,1,nASIG,"Armonía"),"")))</f>
        <v/>
      </c>
      <c r="U908" t="str">
        <f>IF(S908="","",IF(S908="[FÓRMULA MANUAL]","",IFERROR(AVERAGEIFS(nNOTA,nNIA,S908,nCUENTA,1,nASIG,"Orquesta/Banda/Conjunto"),"")))</f>
        <v/>
      </c>
      <c r="V908" t="str">
        <f>IF(S908="","",IF(S908="[FÓRMULA MANUAL]","",IFERROR(AVERAGEIFS(nNOTA,nNIA,S908,nCUENTA,1,nASIG,"Música de Cámara"),"")))</f>
        <v/>
      </c>
      <c r="W908" t="str">
        <f>IF(S908="","",IF(S908="[FÓRMULA MANUAL]","",IFERROR(SUMPRODUCT((nNIA=S908)*(nCUENTA=1)*(COUNTIF(CONFIG_ASIGNATURAS!$B$7:$B$27,nASIG)&gt;0)*(nNOTA))/SUMPRODUCT((nNIA=S908)*(nCUENTA=1)*(COUNTIF(CONFIG_ASIGNATURAS!$B$7:$B$27,nASIG)&gt;0)*1),"")))</f>
        <v/>
      </c>
      <c r="Z908" t="str">
        <f>IF(Y908="","",IF(Y908="[FÓRMULA MANUAL]","",IFERROR(AVERAGEIFS(nNOTA,nNIA,Y908,nCUENTA,1,nASIG,"Análisis"),"")))</f>
        <v/>
      </c>
      <c r="AA908" t="str">
        <f>IF(Y908="","",IF(Y908="[FÓRMULA MANUAL]","",IFERROR(AVERAGEIFS(nNOTA,nNIA,Y908,nCUENTA,1,nASIG,"Orquesta/Banda/Conjunto"),"")))</f>
        <v/>
      </c>
      <c r="AB908" t="str">
        <f>IF(Y908="","",IF(Y908="[FÓRMULA MANUAL]","",IFERROR(AVERAGEIFS(nNOTA,nNIA,Y908,nCUENTA,1,nASIG,"Música de Cámara"),"")))</f>
        <v/>
      </c>
      <c r="AC908" t="str">
        <f>IF(Y908="","",IF(Y908="[FÓRMULA MANUAL]","",IFERROR(SUMPRODUCT((nNIA=Y908)*(nCUENTA=1)*(COUNTIF(CONFIG_ASIGNATURAS!$B$7:$B$27,nASIG)&gt;0)*(nNOTA))/SUMPRODUCT((nNIA=Y908)*(nCUENTA=1)*(COUNTIF(CONFIG_ASIGNATURAS!$B$7:$B$27,nASIG)&gt;0)*1),"")))</f>
        <v/>
      </c>
      <c r="AF908" t="str">
        <f>IF(AE908="","",IF(AE908="[FÓRMULA MANUAL]","",IFERROR(AVERAGEIFS(nNOTA,nNIA,AE908,nCUENTA,1,nASIG,"Análisis"),"")))</f>
        <v/>
      </c>
      <c r="AG908" t="str">
        <f>IF(AE908="","",IF(AE908="[FÓRMULA MANUAL]","",IFERROR(AVERAGEIFS(nNOTA,nNIA,AE908,nCUENTA,1,nASIG,"Orquesta/Banda/Conjunto"),"")))</f>
        <v/>
      </c>
      <c r="AH908" t="str">
        <f>IF(AE908="","",IF(AE908="[FÓRMULA MANUAL]","",IFERROR(AVERAGEIFS(nNOTA,nNIA,AE908,nCUENTA,1,nASIG,"Música de Cámara"),"")))</f>
        <v/>
      </c>
      <c r="AI908" t="str">
        <f>IF(AE908="","",IF(AE908="[FÓRMULA MANUAL]","",IFERROR(SUMPRODUCT((nNIA=AE908)*(nCUENTA=1)*(COUNTIF(CONFIG_ASIGNATURAS!$B$7:$B$27,nASIG)&gt;0)*(nNOTA))/SUMPRODUCT((nNIA=AE908)*(nCUENTA=1)*(COUNTIF(CONFIG_ASIGNATURAS!$B$7:$B$27,nASIG)&gt;0)*1),"")))</f>
        <v/>
      </c>
    </row>
    <row r="909" spans="2:35" x14ac:dyDescent="0.2">
      <c r="B909" t="str">
        <f>IF(A909="","",IF(A909="[FÓRMULA MANUAL]","",IFERROR(AVERAGEIFS(nNOTA,nNIA,A909,nCUENTA,1,nASIG,"Lenguaje Musical"),"")))</f>
        <v/>
      </c>
      <c r="C909" t="str">
        <f>IF(A909="","",IF(A909="[FÓRMULA MANUAL]","",IFERROR(AVERAGEIFS(nNOTA,nNIA,A909,nCUENTA,1,nASIG,"Orquesta/Banda/Conjunto"),"")))</f>
        <v/>
      </c>
      <c r="D909" t="str">
        <f>IF(A909="","",IF(A909="[FÓRMULA MANUAL]","",IFERROR(AVERAGEIFS(nNOTA,nNIA,A909,nCUENTA,1,nASIG,"Conjunto"),"")))</f>
        <v/>
      </c>
      <c r="E909" t="str">
        <f>IF(A909="","",IF(A909="[FÓRMULA MANUAL]","",IFERROR(SUMPRODUCT((nNIA=A909)*(nCUENTA=1)*(COUNTIF(CONFIG_ASIGNATURAS!$B$7:$B$27,nASIG)&gt;0)*(nNOTA))/SUMPRODUCT((nNIA=A909)*(nCUENTA=1)*(COUNTIF(CONFIG_ASIGNATURAS!$B$7:$B$27,nASIG)&gt;0)*1),"")))</f>
        <v/>
      </c>
      <c r="H909" t="str">
        <f>IF(G909="","",IF(G909="[FÓRMULA MANUAL]","",IFERROR(AVERAGEIFS(nNOTA,nNIA,G909,nCUENTA,1,nASIG,"Lenguaje Musical"),"")))</f>
        <v/>
      </c>
      <c r="I909" t="str">
        <f>IF(G909="","",IF(G909="[FÓRMULA MANUAL]","",IFERROR(AVERAGEIFS(nNOTA,nNIA,G909,nCUENTA,1,nASIG,"Orquesta/Banda/Conjunto"),"")))</f>
        <v/>
      </c>
      <c r="J909" t="str">
        <f>IF(G909="","",IF(G909="[FÓRMULA MANUAL]","",IFERROR(AVERAGEIFS(nNOTA,nNIA,G909,nCUENTA,1,nASIG,"Conjunto"),"")))</f>
        <v/>
      </c>
      <c r="K909" t="str">
        <f>IF(G909="","",IF(G909="[FÓRMULA MANUAL]","",IFERROR(SUMPRODUCT((nNIA=G909)*(nCUENTA=1)*(COUNTIF(CONFIG_ASIGNATURAS!$B$7:$B$27,nASIG)&gt;0)*(nNOTA))/SUMPRODUCT((nNIA=G909)*(nCUENTA=1)*(COUNTIF(CONFIG_ASIGNATURAS!$B$7:$B$27,nASIG)&gt;0)*1),"")))</f>
        <v/>
      </c>
      <c r="N909" t="str">
        <f>IF(M909="","",IF(M909="[FÓRMULA MANUAL]","",IFERROR(AVERAGEIFS(nNOTA,nNIA,M909,nCUENTA,1,nASIG,"Armonía"),"")))</f>
        <v/>
      </c>
      <c r="O909" t="str">
        <f>IF(M909="","",IF(M909="[FÓRMULA MANUAL]","",IFERROR(AVERAGEIFS(nNOTA,nNIA,M909,nCUENTA,1,nASIG,"Orquesta/Banda/Conjunto"),"")))</f>
        <v/>
      </c>
      <c r="P909" t="str">
        <f>IF(M909="","",IF(M909="[FÓRMULA MANUAL]","",IFERROR(AVERAGEIFS(nNOTA,nNIA,M909,nCUENTA,1,nASIG,"Música de Cámara"),"")))</f>
        <v/>
      </c>
      <c r="Q909" t="str">
        <f>IF(M909="","",IF(M909="[FÓRMULA MANUAL]","",IFERROR(SUMPRODUCT((nNIA=M909)*(nCUENTA=1)*(COUNTIF(CONFIG_ASIGNATURAS!$B$7:$B$27,nASIG)&gt;0)*(nNOTA))/SUMPRODUCT((nNIA=M909)*(nCUENTA=1)*(COUNTIF(CONFIG_ASIGNATURAS!$B$7:$B$27,nASIG)&gt;0)*1),"")))</f>
        <v/>
      </c>
      <c r="T909" t="str">
        <f>IF(S909="","",IF(S909="[FÓRMULA MANUAL]","",IFERROR(AVERAGEIFS(nNOTA,nNIA,S909,nCUENTA,1,nASIG,"Armonía"),"")))</f>
        <v/>
      </c>
      <c r="U909" t="str">
        <f>IF(S909="","",IF(S909="[FÓRMULA MANUAL]","",IFERROR(AVERAGEIFS(nNOTA,nNIA,S909,nCUENTA,1,nASIG,"Orquesta/Banda/Conjunto"),"")))</f>
        <v/>
      </c>
      <c r="V909" t="str">
        <f>IF(S909="","",IF(S909="[FÓRMULA MANUAL]","",IFERROR(AVERAGEIFS(nNOTA,nNIA,S909,nCUENTA,1,nASIG,"Música de Cámara"),"")))</f>
        <v/>
      </c>
      <c r="W909" t="str">
        <f>IF(S909="","",IF(S909="[FÓRMULA MANUAL]","",IFERROR(SUMPRODUCT((nNIA=S909)*(nCUENTA=1)*(COUNTIF(CONFIG_ASIGNATURAS!$B$7:$B$27,nASIG)&gt;0)*(nNOTA))/SUMPRODUCT((nNIA=S909)*(nCUENTA=1)*(COUNTIF(CONFIG_ASIGNATURAS!$B$7:$B$27,nASIG)&gt;0)*1),"")))</f>
        <v/>
      </c>
      <c r="Z909" t="str">
        <f>IF(Y909="","",IF(Y909="[FÓRMULA MANUAL]","",IFERROR(AVERAGEIFS(nNOTA,nNIA,Y909,nCUENTA,1,nASIG,"Análisis"),"")))</f>
        <v/>
      </c>
      <c r="AA909" t="str">
        <f>IF(Y909="","",IF(Y909="[FÓRMULA MANUAL]","",IFERROR(AVERAGEIFS(nNOTA,nNIA,Y909,nCUENTA,1,nASIG,"Orquesta/Banda/Conjunto"),"")))</f>
        <v/>
      </c>
      <c r="AB909" t="str">
        <f>IF(Y909="","",IF(Y909="[FÓRMULA MANUAL]","",IFERROR(AVERAGEIFS(nNOTA,nNIA,Y909,nCUENTA,1,nASIG,"Música de Cámara"),"")))</f>
        <v/>
      </c>
      <c r="AC909" t="str">
        <f>IF(Y909="","",IF(Y909="[FÓRMULA MANUAL]","",IFERROR(SUMPRODUCT((nNIA=Y909)*(nCUENTA=1)*(COUNTIF(CONFIG_ASIGNATURAS!$B$7:$B$27,nASIG)&gt;0)*(nNOTA))/SUMPRODUCT((nNIA=Y909)*(nCUENTA=1)*(COUNTIF(CONFIG_ASIGNATURAS!$B$7:$B$27,nASIG)&gt;0)*1),"")))</f>
        <v/>
      </c>
      <c r="AF909" t="str">
        <f>IF(AE909="","",IF(AE909="[FÓRMULA MANUAL]","",IFERROR(AVERAGEIFS(nNOTA,nNIA,AE909,nCUENTA,1,nASIG,"Análisis"),"")))</f>
        <v/>
      </c>
      <c r="AG909" t="str">
        <f>IF(AE909="","",IF(AE909="[FÓRMULA MANUAL]","",IFERROR(AVERAGEIFS(nNOTA,nNIA,AE909,nCUENTA,1,nASIG,"Orquesta/Banda/Conjunto"),"")))</f>
        <v/>
      </c>
      <c r="AH909" t="str">
        <f>IF(AE909="","",IF(AE909="[FÓRMULA MANUAL]","",IFERROR(AVERAGEIFS(nNOTA,nNIA,AE909,nCUENTA,1,nASIG,"Música de Cámara"),"")))</f>
        <v/>
      </c>
      <c r="AI909" t="str">
        <f>IF(AE909="","",IF(AE909="[FÓRMULA MANUAL]","",IFERROR(SUMPRODUCT((nNIA=AE909)*(nCUENTA=1)*(COUNTIF(CONFIG_ASIGNATURAS!$B$7:$B$27,nASIG)&gt;0)*(nNOTA))/SUMPRODUCT((nNIA=AE909)*(nCUENTA=1)*(COUNTIF(CONFIG_ASIGNATURAS!$B$7:$B$27,nASIG)&gt;0)*1),"")))</f>
        <v/>
      </c>
    </row>
    <row r="910" spans="2:35" x14ac:dyDescent="0.2">
      <c r="B910" t="str">
        <f>IF(A910="","",IF(A910="[FÓRMULA MANUAL]","",IFERROR(AVERAGEIFS(nNOTA,nNIA,A910,nCUENTA,1,nASIG,"Lenguaje Musical"),"")))</f>
        <v/>
      </c>
      <c r="C910" t="str">
        <f>IF(A910="","",IF(A910="[FÓRMULA MANUAL]","",IFERROR(AVERAGEIFS(nNOTA,nNIA,A910,nCUENTA,1,nASIG,"Orquesta/Banda/Conjunto"),"")))</f>
        <v/>
      </c>
      <c r="D910" t="str">
        <f>IF(A910="","",IF(A910="[FÓRMULA MANUAL]","",IFERROR(AVERAGEIFS(nNOTA,nNIA,A910,nCUENTA,1,nASIG,"Conjunto"),"")))</f>
        <v/>
      </c>
      <c r="E910" t="str">
        <f>IF(A910="","",IF(A910="[FÓRMULA MANUAL]","",IFERROR(SUMPRODUCT((nNIA=A910)*(nCUENTA=1)*(COUNTIF(CONFIG_ASIGNATURAS!$B$7:$B$27,nASIG)&gt;0)*(nNOTA))/SUMPRODUCT((nNIA=A910)*(nCUENTA=1)*(COUNTIF(CONFIG_ASIGNATURAS!$B$7:$B$27,nASIG)&gt;0)*1),"")))</f>
        <v/>
      </c>
      <c r="H910" t="str">
        <f>IF(G910="","",IF(G910="[FÓRMULA MANUAL]","",IFERROR(AVERAGEIFS(nNOTA,nNIA,G910,nCUENTA,1,nASIG,"Lenguaje Musical"),"")))</f>
        <v/>
      </c>
      <c r="I910" t="str">
        <f>IF(G910="","",IF(G910="[FÓRMULA MANUAL]","",IFERROR(AVERAGEIFS(nNOTA,nNIA,G910,nCUENTA,1,nASIG,"Orquesta/Banda/Conjunto"),"")))</f>
        <v/>
      </c>
      <c r="J910" t="str">
        <f>IF(G910="","",IF(G910="[FÓRMULA MANUAL]","",IFERROR(AVERAGEIFS(nNOTA,nNIA,G910,nCUENTA,1,nASIG,"Conjunto"),"")))</f>
        <v/>
      </c>
      <c r="K910" t="str">
        <f>IF(G910="","",IF(G910="[FÓRMULA MANUAL]","",IFERROR(SUMPRODUCT((nNIA=G910)*(nCUENTA=1)*(COUNTIF(CONFIG_ASIGNATURAS!$B$7:$B$27,nASIG)&gt;0)*(nNOTA))/SUMPRODUCT((nNIA=G910)*(nCUENTA=1)*(COUNTIF(CONFIG_ASIGNATURAS!$B$7:$B$27,nASIG)&gt;0)*1),"")))</f>
        <v/>
      </c>
      <c r="N910" t="str">
        <f>IF(M910="","",IF(M910="[FÓRMULA MANUAL]","",IFERROR(AVERAGEIFS(nNOTA,nNIA,M910,nCUENTA,1,nASIG,"Armonía"),"")))</f>
        <v/>
      </c>
      <c r="O910" t="str">
        <f>IF(M910="","",IF(M910="[FÓRMULA MANUAL]","",IFERROR(AVERAGEIFS(nNOTA,nNIA,M910,nCUENTA,1,nASIG,"Orquesta/Banda/Conjunto"),"")))</f>
        <v/>
      </c>
      <c r="P910" t="str">
        <f>IF(M910="","",IF(M910="[FÓRMULA MANUAL]","",IFERROR(AVERAGEIFS(nNOTA,nNIA,M910,nCUENTA,1,nASIG,"Música de Cámara"),"")))</f>
        <v/>
      </c>
      <c r="Q910" t="str">
        <f>IF(M910="","",IF(M910="[FÓRMULA MANUAL]","",IFERROR(SUMPRODUCT((nNIA=M910)*(nCUENTA=1)*(COUNTIF(CONFIG_ASIGNATURAS!$B$7:$B$27,nASIG)&gt;0)*(nNOTA))/SUMPRODUCT((nNIA=M910)*(nCUENTA=1)*(COUNTIF(CONFIG_ASIGNATURAS!$B$7:$B$27,nASIG)&gt;0)*1),"")))</f>
        <v/>
      </c>
      <c r="T910" t="str">
        <f>IF(S910="","",IF(S910="[FÓRMULA MANUAL]","",IFERROR(AVERAGEIFS(nNOTA,nNIA,S910,nCUENTA,1,nASIG,"Armonía"),"")))</f>
        <v/>
      </c>
      <c r="U910" t="str">
        <f>IF(S910="","",IF(S910="[FÓRMULA MANUAL]","",IFERROR(AVERAGEIFS(nNOTA,nNIA,S910,nCUENTA,1,nASIG,"Orquesta/Banda/Conjunto"),"")))</f>
        <v/>
      </c>
      <c r="V910" t="str">
        <f>IF(S910="","",IF(S910="[FÓRMULA MANUAL]","",IFERROR(AVERAGEIFS(nNOTA,nNIA,S910,nCUENTA,1,nASIG,"Música de Cámara"),"")))</f>
        <v/>
      </c>
      <c r="W910" t="str">
        <f>IF(S910="","",IF(S910="[FÓRMULA MANUAL]","",IFERROR(SUMPRODUCT((nNIA=S910)*(nCUENTA=1)*(COUNTIF(CONFIG_ASIGNATURAS!$B$7:$B$27,nASIG)&gt;0)*(nNOTA))/SUMPRODUCT((nNIA=S910)*(nCUENTA=1)*(COUNTIF(CONFIG_ASIGNATURAS!$B$7:$B$27,nASIG)&gt;0)*1),"")))</f>
        <v/>
      </c>
      <c r="Z910" t="str">
        <f>IF(Y910="","",IF(Y910="[FÓRMULA MANUAL]","",IFERROR(AVERAGEIFS(nNOTA,nNIA,Y910,nCUENTA,1,nASIG,"Análisis"),"")))</f>
        <v/>
      </c>
      <c r="AA910" t="str">
        <f>IF(Y910="","",IF(Y910="[FÓRMULA MANUAL]","",IFERROR(AVERAGEIFS(nNOTA,nNIA,Y910,nCUENTA,1,nASIG,"Orquesta/Banda/Conjunto"),"")))</f>
        <v/>
      </c>
      <c r="AB910" t="str">
        <f>IF(Y910="","",IF(Y910="[FÓRMULA MANUAL]","",IFERROR(AVERAGEIFS(nNOTA,nNIA,Y910,nCUENTA,1,nASIG,"Música de Cámara"),"")))</f>
        <v/>
      </c>
      <c r="AC910" t="str">
        <f>IF(Y910="","",IF(Y910="[FÓRMULA MANUAL]","",IFERROR(SUMPRODUCT((nNIA=Y910)*(nCUENTA=1)*(COUNTIF(CONFIG_ASIGNATURAS!$B$7:$B$27,nASIG)&gt;0)*(nNOTA))/SUMPRODUCT((nNIA=Y910)*(nCUENTA=1)*(COUNTIF(CONFIG_ASIGNATURAS!$B$7:$B$27,nASIG)&gt;0)*1),"")))</f>
        <v/>
      </c>
      <c r="AF910" t="str">
        <f>IF(AE910="","",IF(AE910="[FÓRMULA MANUAL]","",IFERROR(AVERAGEIFS(nNOTA,nNIA,AE910,nCUENTA,1,nASIG,"Análisis"),"")))</f>
        <v/>
      </c>
      <c r="AG910" t="str">
        <f>IF(AE910="","",IF(AE910="[FÓRMULA MANUAL]","",IFERROR(AVERAGEIFS(nNOTA,nNIA,AE910,nCUENTA,1,nASIG,"Orquesta/Banda/Conjunto"),"")))</f>
        <v/>
      </c>
      <c r="AH910" t="str">
        <f>IF(AE910="","",IF(AE910="[FÓRMULA MANUAL]","",IFERROR(AVERAGEIFS(nNOTA,nNIA,AE910,nCUENTA,1,nASIG,"Música de Cámara"),"")))</f>
        <v/>
      </c>
      <c r="AI910" t="str">
        <f>IF(AE910="","",IF(AE910="[FÓRMULA MANUAL]","",IFERROR(SUMPRODUCT((nNIA=AE910)*(nCUENTA=1)*(COUNTIF(CONFIG_ASIGNATURAS!$B$7:$B$27,nASIG)&gt;0)*(nNOTA))/SUMPRODUCT((nNIA=AE910)*(nCUENTA=1)*(COUNTIF(CONFIG_ASIGNATURAS!$B$7:$B$27,nASIG)&gt;0)*1),"")))</f>
        <v/>
      </c>
    </row>
    <row r="911" spans="2:35" x14ac:dyDescent="0.2">
      <c r="B911" t="str">
        <f>IF(A911="","",IF(A911="[FÓRMULA MANUAL]","",IFERROR(AVERAGEIFS(nNOTA,nNIA,A911,nCUENTA,1,nASIG,"Lenguaje Musical"),"")))</f>
        <v/>
      </c>
      <c r="C911" t="str">
        <f>IF(A911="","",IF(A911="[FÓRMULA MANUAL]","",IFERROR(AVERAGEIFS(nNOTA,nNIA,A911,nCUENTA,1,nASIG,"Orquesta/Banda/Conjunto"),"")))</f>
        <v/>
      </c>
      <c r="D911" t="str">
        <f>IF(A911="","",IF(A911="[FÓRMULA MANUAL]","",IFERROR(AVERAGEIFS(nNOTA,nNIA,A911,nCUENTA,1,nASIG,"Conjunto"),"")))</f>
        <v/>
      </c>
      <c r="E911" t="str">
        <f>IF(A911="","",IF(A911="[FÓRMULA MANUAL]","",IFERROR(SUMPRODUCT((nNIA=A911)*(nCUENTA=1)*(COUNTIF(CONFIG_ASIGNATURAS!$B$7:$B$27,nASIG)&gt;0)*(nNOTA))/SUMPRODUCT((nNIA=A911)*(nCUENTA=1)*(COUNTIF(CONFIG_ASIGNATURAS!$B$7:$B$27,nASIG)&gt;0)*1),"")))</f>
        <v/>
      </c>
      <c r="H911" t="str">
        <f>IF(G911="","",IF(G911="[FÓRMULA MANUAL]","",IFERROR(AVERAGEIFS(nNOTA,nNIA,G911,nCUENTA,1,nASIG,"Lenguaje Musical"),"")))</f>
        <v/>
      </c>
      <c r="I911" t="str">
        <f>IF(G911="","",IF(G911="[FÓRMULA MANUAL]","",IFERROR(AVERAGEIFS(nNOTA,nNIA,G911,nCUENTA,1,nASIG,"Orquesta/Banda/Conjunto"),"")))</f>
        <v/>
      </c>
      <c r="J911" t="str">
        <f>IF(G911="","",IF(G911="[FÓRMULA MANUAL]","",IFERROR(AVERAGEIFS(nNOTA,nNIA,G911,nCUENTA,1,nASIG,"Conjunto"),"")))</f>
        <v/>
      </c>
      <c r="K911" t="str">
        <f>IF(G911="","",IF(G911="[FÓRMULA MANUAL]","",IFERROR(SUMPRODUCT((nNIA=G911)*(nCUENTA=1)*(COUNTIF(CONFIG_ASIGNATURAS!$B$7:$B$27,nASIG)&gt;0)*(nNOTA))/SUMPRODUCT((nNIA=G911)*(nCUENTA=1)*(COUNTIF(CONFIG_ASIGNATURAS!$B$7:$B$27,nASIG)&gt;0)*1),"")))</f>
        <v/>
      </c>
      <c r="N911" t="str">
        <f>IF(M911="","",IF(M911="[FÓRMULA MANUAL]","",IFERROR(AVERAGEIFS(nNOTA,nNIA,M911,nCUENTA,1,nASIG,"Armonía"),"")))</f>
        <v/>
      </c>
      <c r="O911" t="str">
        <f>IF(M911="","",IF(M911="[FÓRMULA MANUAL]","",IFERROR(AVERAGEIFS(nNOTA,nNIA,M911,nCUENTA,1,nASIG,"Orquesta/Banda/Conjunto"),"")))</f>
        <v/>
      </c>
      <c r="P911" t="str">
        <f>IF(M911="","",IF(M911="[FÓRMULA MANUAL]","",IFERROR(AVERAGEIFS(nNOTA,nNIA,M911,nCUENTA,1,nASIG,"Música de Cámara"),"")))</f>
        <v/>
      </c>
      <c r="Q911" t="str">
        <f>IF(M911="","",IF(M911="[FÓRMULA MANUAL]","",IFERROR(SUMPRODUCT((nNIA=M911)*(nCUENTA=1)*(COUNTIF(CONFIG_ASIGNATURAS!$B$7:$B$27,nASIG)&gt;0)*(nNOTA))/SUMPRODUCT((nNIA=M911)*(nCUENTA=1)*(COUNTIF(CONFIG_ASIGNATURAS!$B$7:$B$27,nASIG)&gt;0)*1),"")))</f>
        <v/>
      </c>
      <c r="T911" t="str">
        <f>IF(S911="","",IF(S911="[FÓRMULA MANUAL]","",IFERROR(AVERAGEIFS(nNOTA,nNIA,S911,nCUENTA,1,nASIG,"Armonía"),"")))</f>
        <v/>
      </c>
      <c r="U911" t="str">
        <f>IF(S911="","",IF(S911="[FÓRMULA MANUAL]","",IFERROR(AVERAGEIFS(nNOTA,nNIA,S911,nCUENTA,1,nASIG,"Orquesta/Banda/Conjunto"),"")))</f>
        <v/>
      </c>
      <c r="V911" t="str">
        <f>IF(S911="","",IF(S911="[FÓRMULA MANUAL]","",IFERROR(AVERAGEIFS(nNOTA,nNIA,S911,nCUENTA,1,nASIG,"Música de Cámara"),"")))</f>
        <v/>
      </c>
      <c r="W911" t="str">
        <f>IF(S911="","",IF(S911="[FÓRMULA MANUAL]","",IFERROR(SUMPRODUCT((nNIA=S911)*(nCUENTA=1)*(COUNTIF(CONFIG_ASIGNATURAS!$B$7:$B$27,nASIG)&gt;0)*(nNOTA))/SUMPRODUCT((nNIA=S911)*(nCUENTA=1)*(COUNTIF(CONFIG_ASIGNATURAS!$B$7:$B$27,nASIG)&gt;0)*1),"")))</f>
        <v/>
      </c>
      <c r="Z911" t="str">
        <f>IF(Y911="","",IF(Y911="[FÓRMULA MANUAL]","",IFERROR(AVERAGEIFS(nNOTA,nNIA,Y911,nCUENTA,1,nASIG,"Análisis"),"")))</f>
        <v/>
      </c>
      <c r="AA911" t="str">
        <f>IF(Y911="","",IF(Y911="[FÓRMULA MANUAL]","",IFERROR(AVERAGEIFS(nNOTA,nNIA,Y911,nCUENTA,1,nASIG,"Orquesta/Banda/Conjunto"),"")))</f>
        <v/>
      </c>
      <c r="AB911" t="str">
        <f>IF(Y911="","",IF(Y911="[FÓRMULA MANUAL]","",IFERROR(AVERAGEIFS(nNOTA,nNIA,Y911,nCUENTA,1,nASIG,"Música de Cámara"),"")))</f>
        <v/>
      </c>
      <c r="AC911" t="str">
        <f>IF(Y911="","",IF(Y911="[FÓRMULA MANUAL]","",IFERROR(SUMPRODUCT((nNIA=Y911)*(nCUENTA=1)*(COUNTIF(CONFIG_ASIGNATURAS!$B$7:$B$27,nASIG)&gt;0)*(nNOTA))/SUMPRODUCT((nNIA=Y911)*(nCUENTA=1)*(COUNTIF(CONFIG_ASIGNATURAS!$B$7:$B$27,nASIG)&gt;0)*1),"")))</f>
        <v/>
      </c>
      <c r="AF911" t="str">
        <f>IF(AE911="","",IF(AE911="[FÓRMULA MANUAL]","",IFERROR(AVERAGEIFS(nNOTA,nNIA,AE911,nCUENTA,1,nASIG,"Análisis"),"")))</f>
        <v/>
      </c>
      <c r="AG911" t="str">
        <f>IF(AE911="","",IF(AE911="[FÓRMULA MANUAL]","",IFERROR(AVERAGEIFS(nNOTA,nNIA,AE911,nCUENTA,1,nASIG,"Orquesta/Banda/Conjunto"),"")))</f>
        <v/>
      </c>
      <c r="AH911" t="str">
        <f>IF(AE911="","",IF(AE911="[FÓRMULA MANUAL]","",IFERROR(AVERAGEIFS(nNOTA,nNIA,AE911,nCUENTA,1,nASIG,"Música de Cámara"),"")))</f>
        <v/>
      </c>
      <c r="AI911" t="str">
        <f>IF(AE911="","",IF(AE911="[FÓRMULA MANUAL]","",IFERROR(SUMPRODUCT((nNIA=AE911)*(nCUENTA=1)*(COUNTIF(CONFIG_ASIGNATURAS!$B$7:$B$27,nASIG)&gt;0)*(nNOTA))/SUMPRODUCT((nNIA=AE911)*(nCUENTA=1)*(COUNTIF(CONFIG_ASIGNATURAS!$B$7:$B$27,nASIG)&gt;0)*1),"")))</f>
        <v/>
      </c>
    </row>
    <row r="912" spans="2:35" x14ac:dyDescent="0.2">
      <c r="B912" t="str">
        <f>IF(A912="","",IF(A912="[FÓRMULA MANUAL]","",IFERROR(AVERAGEIFS(nNOTA,nNIA,A912,nCUENTA,1,nASIG,"Lenguaje Musical"),"")))</f>
        <v/>
      </c>
      <c r="C912" t="str">
        <f>IF(A912="","",IF(A912="[FÓRMULA MANUAL]","",IFERROR(AVERAGEIFS(nNOTA,nNIA,A912,nCUENTA,1,nASIG,"Orquesta/Banda/Conjunto"),"")))</f>
        <v/>
      </c>
      <c r="D912" t="str">
        <f>IF(A912="","",IF(A912="[FÓRMULA MANUAL]","",IFERROR(AVERAGEIFS(nNOTA,nNIA,A912,nCUENTA,1,nASIG,"Conjunto"),"")))</f>
        <v/>
      </c>
      <c r="E912" t="str">
        <f>IF(A912="","",IF(A912="[FÓRMULA MANUAL]","",IFERROR(SUMPRODUCT((nNIA=A912)*(nCUENTA=1)*(COUNTIF(CONFIG_ASIGNATURAS!$B$7:$B$27,nASIG)&gt;0)*(nNOTA))/SUMPRODUCT((nNIA=A912)*(nCUENTA=1)*(COUNTIF(CONFIG_ASIGNATURAS!$B$7:$B$27,nASIG)&gt;0)*1),"")))</f>
        <v/>
      </c>
      <c r="H912" t="str">
        <f>IF(G912="","",IF(G912="[FÓRMULA MANUAL]","",IFERROR(AVERAGEIFS(nNOTA,nNIA,G912,nCUENTA,1,nASIG,"Lenguaje Musical"),"")))</f>
        <v/>
      </c>
      <c r="I912" t="str">
        <f>IF(G912="","",IF(G912="[FÓRMULA MANUAL]","",IFERROR(AVERAGEIFS(nNOTA,nNIA,G912,nCUENTA,1,nASIG,"Orquesta/Banda/Conjunto"),"")))</f>
        <v/>
      </c>
      <c r="J912" t="str">
        <f>IF(G912="","",IF(G912="[FÓRMULA MANUAL]","",IFERROR(AVERAGEIFS(nNOTA,nNIA,G912,nCUENTA,1,nASIG,"Conjunto"),"")))</f>
        <v/>
      </c>
      <c r="K912" t="str">
        <f>IF(G912="","",IF(G912="[FÓRMULA MANUAL]","",IFERROR(SUMPRODUCT((nNIA=G912)*(nCUENTA=1)*(COUNTIF(CONFIG_ASIGNATURAS!$B$7:$B$27,nASIG)&gt;0)*(nNOTA))/SUMPRODUCT((nNIA=G912)*(nCUENTA=1)*(COUNTIF(CONFIG_ASIGNATURAS!$B$7:$B$27,nASIG)&gt;0)*1),"")))</f>
        <v/>
      </c>
      <c r="N912" t="str">
        <f>IF(M912="","",IF(M912="[FÓRMULA MANUAL]","",IFERROR(AVERAGEIFS(nNOTA,nNIA,M912,nCUENTA,1,nASIG,"Armonía"),"")))</f>
        <v/>
      </c>
      <c r="O912" t="str">
        <f>IF(M912="","",IF(M912="[FÓRMULA MANUAL]","",IFERROR(AVERAGEIFS(nNOTA,nNIA,M912,nCUENTA,1,nASIG,"Orquesta/Banda/Conjunto"),"")))</f>
        <v/>
      </c>
      <c r="P912" t="str">
        <f>IF(M912="","",IF(M912="[FÓRMULA MANUAL]","",IFERROR(AVERAGEIFS(nNOTA,nNIA,M912,nCUENTA,1,nASIG,"Música de Cámara"),"")))</f>
        <v/>
      </c>
      <c r="Q912" t="str">
        <f>IF(M912="","",IF(M912="[FÓRMULA MANUAL]","",IFERROR(SUMPRODUCT((nNIA=M912)*(nCUENTA=1)*(COUNTIF(CONFIG_ASIGNATURAS!$B$7:$B$27,nASIG)&gt;0)*(nNOTA))/SUMPRODUCT((nNIA=M912)*(nCUENTA=1)*(COUNTIF(CONFIG_ASIGNATURAS!$B$7:$B$27,nASIG)&gt;0)*1),"")))</f>
        <v/>
      </c>
      <c r="T912" t="str">
        <f>IF(S912="","",IF(S912="[FÓRMULA MANUAL]","",IFERROR(AVERAGEIFS(nNOTA,nNIA,S912,nCUENTA,1,nASIG,"Armonía"),"")))</f>
        <v/>
      </c>
      <c r="U912" t="str">
        <f>IF(S912="","",IF(S912="[FÓRMULA MANUAL]","",IFERROR(AVERAGEIFS(nNOTA,nNIA,S912,nCUENTA,1,nASIG,"Orquesta/Banda/Conjunto"),"")))</f>
        <v/>
      </c>
      <c r="V912" t="str">
        <f>IF(S912="","",IF(S912="[FÓRMULA MANUAL]","",IFERROR(AVERAGEIFS(nNOTA,nNIA,S912,nCUENTA,1,nASIG,"Música de Cámara"),"")))</f>
        <v/>
      </c>
      <c r="W912" t="str">
        <f>IF(S912="","",IF(S912="[FÓRMULA MANUAL]","",IFERROR(SUMPRODUCT((nNIA=S912)*(nCUENTA=1)*(COUNTIF(CONFIG_ASIGNATURAS!$B$7:$B$27,nASIG)&gt;0)*(nNOTA))/SUMPRODUCT((nNIA=S912)*(nCUENTA=1)*(COUNTIF(CONFIG_ASIGNATURAS!$B$7:$B$27,nASIG)&gt;0)*1),"")))</f>
        <v/>
      </c>
      <c r="Z912" t="str">
        <f>IF(Y912="","",IF(Y912="[FÓRMULA MANUAL]","",IFERROR(AVERAGEIFS(nNOTA,nNIA,Y912,nCUENTA,1,nASIG,"Análisis"),"")))</f>
        <v/>
      </c>
      <c r="AA912" t="str">
        <f>IF(Y912="","",IF(Y912="[FÓRMULA MANUAL]","",IFERROR(AVERAGEIFS(nNOTA,nNIA,Y912,nCUENTA,1,nASIG,"Orquesta/Banda/Conjunto"),"")))</f>
        <v/>
      </c>
      <c r="AB912" t="str">
        <f>IF(Y912="","",IF(Y912="[FÓRMULA MANUAL]","",IFERROR(AVERAGEIFS(nNOTA,nNIA,Y912,nCUENTA,1,nASIG,"Música de Cámara"),"")))</f>
        <v/>
      </c>
      <c r="AC912" t="str">
        <f>IF(Y912="","",IF(Y912="[FÓRMULA MANUAL]","",IFERROR(SUMPRODUCT((nNIA=Y912)*(nCUENTA=1)*(COUNTIF(CONFIG_ASIGNATURAS!$B$7:$B$27,nASIG)&gt;0)*(nNOTA))/SUMPRODUCT((nNIA=Y912)*(nCUENTA=1)*(COUNTIF(CONFIG_ASIGNATURAS!$B$7:$B$27,nASIG)&gt;0)*1),"")))</f>
        <v/>
      </c>
      <c r="AF912" t="str">
        <f>IF(AE912="","",IF(AE912="[FÓRMULA MANUAL]","",IFERROR(AVERAGEIFS(nNOTA,nNIA,AE912,nCUENTA,1,nASIG,"Análisis"),"")))</f>
        <v/>
      </c>
      <c r="AG912" t="str">
        <f>IF(AE912="","",IF(AE912="[FÓRMULA MANUAL]","",IFERROR(AVERAGEIFS(nNOTA,nNIA,AE912,nCUENTA,1,nASIG,"Orquesta/Banda/Conjunto"),"")))</f>
        <v/>
      </c>
      <c r="AH912" t="str">
        <f>IF(AE912="","",IF(AE912="[FÓRMULA MANUAL]","",IFERROR(AVERAGEIFS(nNOTA,nNIA,AE912,nCUENTA,1,nASIG,"Música de Cámara"),"")))</f>
        <v/>
      </c>
      <c r="AI912" t="str">
        <f>IF(AE912="","",IF(AE912="[FÓRMULA MANUAL]","",IFERROR(SUMPRODUCT((nNIA=AE912)*(nCUENTA=1)*(COUNTIF(CONFIG_ASIGNATURAS!$B$7:$B$27,nASIG)&gt;0)*(nNOTA))/SUMPRODUCT((nNIA=AE912)*(nCUENTA=1)*(COUNTIF(CONFIG_ASIGNATURAS!$B$7:$B$27,nASIG)&gt;0)*1),"")))</f>
        <v/>
      </c>
    </row>
    <row r="913" spans="2:35" x14ac:dyDescent="0.2">
      <c r="B913" t="str">
        <f>IF(A913="","",IF(A913="[FÓRMULA MANUAL]","",IFERROR(AVERAGEIFS(nNOTA,nNIA,A913,nCUENTA,1,nASIG,"Lenguaje Musical"),"")))</f>
        <v/>
      </c>
      <c r="C913" t="str">
        <f>IF(A913="","",IF(A913="[FÓRMULA MANUAL]","",IFERROR(AVERAGEIFS(nNOTA,nNIA,A913,nCUENTA,1,nASIG,"Orquesta/Banda/Conjunto"),"")))</f>
        <v/>
      </c>
      <c r="D913" t="str">
        <f>IF(A913="","",IF(A913="[FÓRMULA MANUAL]","",IFERROR(AVERAGEIFS(nNOTA,nNIA,A913,nCUENTA,1,nASIG,"Conjunto"),"")))</f>
        <v/>
      </c>
      <c r="E913" t="str">
        <f>IF(A913="","",IF(A913="[FÓRMULA MANUAL]","",IFERROR(SUMPRODUCT((nNIA=A913)*(nCUENTA=1)*(COUNTIF(CONFIG_ASIGNATURAS!$B$7:$B$27,nASIG)&gt;0)*(nNOTA))/SUMPRODUCT((nNIA=A913)*(nCUENTA=1)*(COUNTIF(CONFIG_ASIGNATURAS!$B$7:$B$27,nASIG)&gt;0)*1),"")))</f>
        <v/>
      </c>
      <c r="H913" t="str">
        <f>IF(G913="","",IF(G913="[FÓRMULA MANUAL]","",IFERROR(AVERAGEIFS(nNOTA,nNIA,G913,nCUENTA,1,nASIG,"Lenguaje Musical"),"")))</f>
        <v/>
      </c>
      <c r="I913" t="str">
        <f>IF(G913="","",IF(G913="[FÓRMULA MANUAL]","",IFERROR(AVERAGEIFS(nNOTA,nNIA,G913,nCUENTA,1,nASIG,"Orquesta/Banda/Conjunto"),"")))</f>
        <v/>
      </c>
      <c r="J913" t="str">
        <f>IF(G913="","",IF(G913="[FÓRMULA MANUAL]","",IFERROR(AVERAGEIFS(nNOTA,nNIA,G913,nCUENTA,1,nASIG,"Conjunto"),"")))</f>
        <v/>
      </c>
      <c r="K913" t="str">
        <f>IF(G913="","",IF(G913="[FÓRMULA MANUAL]","",IFERROR(SUMPRODUCT((nNIA=G913)*(nCUENTA=1)*(COUNTIF(CONFIG_ASIGNATURAS!$B$7:$B$27,nASIG)&gt;0)*(nNOTA))/SUMPRODUCT((nNIA=G913)*(nCUENTA=1)*(COUNTIF(CONFIG_ASIGNATURAS!$B$7:$B$27,nASIG)&gt;0)*1),"")))</f>
        <v/>
      </c>
      <c r="N913" t="str">
        <f>IF(M913="","",IF(M913="[FÓRMULA MANUAL]","",IFERROR(AVERAGEIFS(nNOTA,nNIA,M913,nCUENTA,1,nASIG,"Armonía"),"")))</f>
        <v/>
      </c>
      <c r="O913" t="str">
        <f>IF(M913="","",IF(M913="[FÓRMULA MANUAL]","",IFERROR(AVERAGEIFS(nNOTA,nNIA,M913,nCUENTA,1,nASIG,"Orquesta/Banda/Conjunto"),"")))</f>
        <v/>
      </c>
      <c r="P913" t="str">
        <f>IF(M913="","",IF(M913="[FÓRMULA MANUAL]","",IFERROR(AVERAGEIFS(nNOTA,nNIA,M913,nCUENTA,1,nASIG,"Música de Cámara"),"")))</f>
        <v/>
      </c>
      <c r="Q913" t="str">
        <f>IF(M913="","",IF(M913="[FÓRMULA MANUAL]","",IFERROR(SUMPRODUCT((nNIA=M913)*(nCUENTA=1)*(COUNTIF(CONFIG_ASIGNATURAS!$B$7:$B$27,nASIG)&gt;0)*(nNOTA))/SUMPRODUCT((nNIA=M913)*(nCUENTA=1)*(COUNTIF(CONFIG_ASIGNATURAS!$B$7:$B$27,nASIG)&gt;0)*1),"")))</f>
        <v/>
      </c>
      <c r="T913" t="str">
        <f>IF(S913="","",IF(S913="[FÓRMULA MANUAL]","",IFERROR(AVERAGEIFS(nNOTA,nNIA,S913,nCUENTA,1,nASIG,"Armonía"),"")))</f>
        <v/>
      </c>
      <c r="U913" t="str">
        <f>IF(S913="","",IF(S913="[FÓRMULA MANUAL]","",IFERROR(AVERAGEIFS(nNOTA,nNIA,S913,nCUENTA,1,nASIG,"Orquesta/Banda/Conjunto"),"")))</f>
        <v/>
      </c>
      <c r="V913" t="str">
        <f>IF(S913="","",IF(S913="[FÓRMULA MANUAL]","",IFERROR(AVERAGEIFS(nNOTA,nNIA,S913,nCUENTA,1,nASIG,"Música de Cámara"),"")))</f>
        <v/>
      </c>
      <c r="W913" t="str">
        <f>IF(S913="","",IF(S913="[FÓRMULA MANUAL]","",IFERROR(SUMPRODUCT((nNIA=S913)*(nCUENTA=1)*(COUNTIF(CONFIG_ASIGNATURAS!$B$7:$B$27,nASIG)&gt;0)*(nNOTA))/SUMPRODUCT((nNIA=S913)*(nCUENTA=1)*(COUNTIF(CONFIG_ASIGNATURAS!$B$7:$B$27,nASIG)&gt;0)*1),"")))</f>
        <v/>
      </c>
      <c r="Z913" t="str">
        <f>IF(Y913="","",IF(Y913="[FÓRMULA MANUAL]","",IFERROR(AVERAGEIFS(nNOTA,nNIA,Y913,nCUENTA,1,nASIG,"Análisis"),"")))</f>
        <v/>
      </c>
      <c r="AA913" t="str">
        <f>IF(Y913="","",IF(Y913="[FÓRMULA MANUAL]","",IFERROR(AVERAGEIFS(nNOTA,nNIA,Y913,nCUENTA,1,nASIG,"Orquesta/Banda/Conjunto"),"")))</f>
        <v/>
      </c>
      <c r="AB913" t="str">
        <f>IF(Y913="","",IF(Y913="[FÓRMULA MANUAL]","",IFERROR(AVERAGEIFS(nNOTA,nNIA,Y913,nCUENTA,1,nASIG,"Música de Cámara"),"")))</f>
        <v/>
      </c>
      <c r="AC913" t="str">
        <f>IF(Y913="","",IF(Y913="[FÓRMULA MANUAL]","",IFERROR(SUMPRODUCT((nNIA=Y913)*(nCUENTA=1)*(COUNTIF(CONFIG_ASIGNATURAS!$B$7:$B$27,nASIG)&gt;0)*(nNOTA))/SUMPRODUCT((nNIA=Y913)*(nCUENTA=1)*(COUNTIF(CONFIG_ASIGNATURAS!$B$7:$B$27,nASIG)&gt;0)*1),"")))</f>
        <v/>
      </c>
      <c r="AF913" t="str">
        <f>IF(AE913="","",IF(AE913="[FÓRMULA MANUAL]","",IFERROR(AVERAGEIFS(nNOTA,nNIA,AE913,nCUENTA,1,nASIG,"Análisis"),"")))</f>
        <v/>
      </c>
      <c r="AG913" t="str">
        <f>IF(AE913="","",IF(AE913="[FÓRMULA MANUAL]","",IFERROR(AVERAGEIFS(nNOTA,nNIA,AE913,nCUENTA,1,nASIG,"Orquesta/Banda/Conjunto"),"")))</f>
        <v/>
      </c>
      <c r="AH913" t="str">
        <f>IF(AE913="","",IF(AE913="[FÓRMULA MANUAL]","",IFERROR(AVERAGEIFS(nNOTA,nNIA,AE913,nCUENTA,1,nASIG,"Música de Cámara"),"")))</f>
        <v/>
      </c>
      <c r="AI913" t="str">
        <f>IF(AE913="","",IF(AE913="[FÓRMULA MANUAL]","",IFERROR(SUMPRODUCT((nNIA=AE913)*(nCUENTA=1)*(COUNTIF(CONFIG_ASIGNATURAS!$B$7:$B$27,nASIG)&gt;0)*(nNOTA))/SUMPRODUCT((nNIA=AE913)*(nCUENTA=1)*(COUNTIF(CONFIG_ASIGNATURAS!$B$7:$B$27,nASIG)&gt;0)*1),"")))</f>
        <v/>
      </c>
    </row>
    <row r="914" spans="2:35" x14ac:dyDescent="0.2">
      <c r="B914" t="str">
        <f>IF(A914="","",IF(A914="[FÓRMULA MANUAL]","",IFERROR(AVERAGEIFS(nNOTA,nNIA,A914,nCUENTA,1,nASIG,"Lenguaje Musical"),"")))</f>
        <v/>
      </c>
      <c r="C914" t="str">
        <f>IF(A914="","",IF(A914="[FÓRMULA MANUAL]","",IFERROR(AVERAGEIFS(nNOTA,nNIA,A914,nCUENTA,1,nASIG,"Orquesta/Banda/Conjunto"),"")))</f>
        <v/>
      </c>
      <c r="D914" t="str">
        <f>IF(A914="","",IF(A914="[FÓRMULA MANUAL]","",IFERROR(AVERAGEIFS(nNOTA,nNIA,A914,nCUENTA,1,nASIG,"Conjunto"),"")))</f>
        <v/>
      </c>
      <c r="E914" t="str">
        <f>IF(A914="","",IF(A914="[FÓRMULA MANUAL]","",IFERROR(SUMPRODUCT((nNIA=A914)*(nCUENTA=1)*(COUNTIF(CONFIG_ASIGNATURAS!$B$7:$B$27,nASIG)&gt;0)*(nNOTA))/SUMPRODUCT((nNIA=A914)*(nCUENTA=1)*(COUNTIF(CONFIG_ASIGNATURAS!$B$7:$B$27,nASIG)&gt;0)*1),"")))</f>
        <v/>
      </c>
      <c r="H914" t="str">
        <f>IF(G914="","",IF(G914="[FÓRMULA MANUAL]","",IFERROR(AVERAGEIFS(nNOTA,nNIA,G914,nCUENTA,1,nASIG,"Lenguaje Musical"),"")))</f>
        <v/>
      </c>
      <c r="I914" t="str">
        <f>IF(G914="","",IF(G914="[FÓRMULA MANUAL]","",IFERROR(AVERAGEIFS(nNOTA,nNIA,G914,nCUENTA,1,nASIG,"Orquesta/Banda/Conjunto"),"")))</f>
        <v/>
      </c>
      <c r="J914" t="str">
        <f>IF(G914="","",IF(G914="[FÓRMULA MANUAL]","",IFERROR(AVERAGEIFS(nNOTA,nNIA,G914,nCUENTA,1,nASIG,"Conjunto"),"")))</f>
        <v/>
      </c>
      <c r="K914" t="str">
        <f>IF(G914="","",IF(G914="[FÓRMULA MANUAL]","",IFERROR(SUMPRODUCT((nNIA=G914)*(nCUENTA=1)*(COUNTIF(CONFIG_ASIGNATURAS!$B$7:$B$27,nASIG)&gt;0)*(nNOTA))/SUMPRODUCT((nNIA=G914)*(nCUENTA=1)*(COUNTIF(CONFIG_ASIGNATURAS!$B$7:$B$27,nASIG)&gt;0)*1),"")))</f>
        <v/>
      </c>
      <c r="N914" t="str">
        <f>IF(M914="","",IF(M914="[FÓRMULA MANUAL]","",IFERROR(AVERAGEIFS(nNOTA,nNIA,M914,nCUENTA,1,nASIG,"Armonía"),"")))</f>
        <v/>
      </c>
      <c r="O914" t="str">
        <f>IF(M914="","",IF(M914="[FÓRMULA MANUAL]","",IFERROR(AVERAGEIFS(nNOTA,nNIA,M914,nCUENTA,1,nASIG,"Orquesta/Banda/Conjunto"),"")))</f>
        <v/>
      </c>
      <c r="P914" t="str">
        <f>IF(M914="","",IF(M914="[FÓRMULA MANUAL]","",IFERROR(AVERAGEIFS(nNOTA,nNIA,M914,nCUENTA,1,nASIG,"Música de Cámara"),"")))</f>
        <v/>
      </c>
      <c r="Q914" t="str">
        <f>IF(M914="","",IF(M914="[FÓRMULA MANUAL]","",IFERROR(SUMPRODUCT((nNIA=M914)*(nCUENTA=1)*(COUNTIF(CONFIG_ASIGNATURAS!$B$7:$B$27,nASIG)&gt;0)*(nNOTA))/SUMPRODUCT((nNIA=M914)*(nCUENTA=1)*(COUNTIF(CONFIG_ASIGNATURAS!$B$7:$B$27,nASIG)&gt;0)*1),"")))</f>
        <v/>
      </c>
      <c r="T914" t="str">
        <f>IF(S914="","",IF(S914="[FÓRMULA MANUAL]","",IFERROR(AVERAGEIFS(nNOTA,nNIA,S914,nCUENTA,1,nASIG,"Armonía"),"")))</f>
        <v/>
      </c>
      <c r="U914" t="str">
        <f>IF(S914="","",IF(S914="[FÓRMULA MANUAL]","",IFERROR(AVERAGEIFS(nNOTA,nNIA,S914,nCUENTA,1,nASIG,"Orquesta/Banda/Conjunto"),"")))</f>
        <v/>
      </c>
      <c r="V914" t="str">
        <f>IF(S914="","",IF(S914="[FÓRMULA MANUAL]","",IFERROR(AVERAGEIFS(nNOTA,nNIA,S914,nCUENTA,1,nASIG,"Música de Cámara"),"")))</f>
        <v/>
      </c>
      <c r="W914" t="str">
        <f>IF(S914="","",IF(S914="[FÓRMULA MANUAL]","",IFERROR(SUMPRODUCT((nNIA=S914)*(nCUENTA=1)*(COUNTIF(CONFIG_ASIGNATURAS!$B$7:$B$27,nASIG)&gt;0)*(nNOTA))/SUMPRODUCT((nNIA=S914)*(nCUENTA=1)*(COUNTIF(CONFIG_ASIGNATURAS!$B$7:$B$27,nASIG)&gt;0)*1),"")))</f>
        <v/>
      </c>
      <c r="Z914" t="str">
        <f>IF(Y914="","",IF(Y914="[FÓRMULA MANUAL]","",IFERROR(AVERAGEIFS(nNOTA,nNIA,Y914,nCUENTA,1,nASIG,"Análisis"),"")))</f>
        <v/>
      </c>
      <c r="AA914" t="str">
        <f>IF(Y914="","",IF(Y914="[FÓRMULA MANUAL]","",IFERROR(AVERAGEIFS(nNOTA,nNIA,Y914,nCUENTA,1,nASIG,"Orquesta/Banda/Conjunto"),"")))</f>
        <v/>
      </c>
      <c r="AB914" t="str">
        <f>IF(Y914="","",IF(Y914="[FÓRMULA MANUAL]","",IFERROR(AVERAGEIFS(nNOTA,nNIA,Y914,nCUENTA,1,nASIG,"Música de Cámara"),"")))</f>
        <v/>
      </c>
      <c r="AC914" t="str">
        <f>IF(Y914="","",IF(Y914="[FÓRMULA MANUAL]","",IFERROR(SUMPRODUCT((nNIA=Y914)*(nCUENTA=1)*(COUNTIF(CONFIG_ASIGNATURAS!$B$7:$B$27,nASIG)&gt;0)*(nNOTA))/SUMPRODUCT((nNIA=Y914)*(nCUENTA=1)*(COUNTIF(CONFIG_ASIGNATURAS!$B$7:$B$27,nASIG)&gt;0)*1),"")))</f>
        <v/>
      </c>
      <c r="AF914" t="str">
        <f>IF(AE914="","",IF(AE914="[FÓRMULA MANUAL]","",IFERROR(AVERAGEIFS(nNOTA,nNIA,AE914,nCUENTA,1,nASIG,"Análisis"),"")))</f>
        <v/>
      </c>
      <c r="AG914" t="str">
        <f>IF(AE914="","",IF(AE914="[FÓRMULA MANUAL]","",IFERROR(AVERAGEIFS(nNOTA,nNIA,AE914,nCUENTA,1,nASIG,"Orquesta/Banda/Conjunto"),"")))</f>
        <v/>
      </c>
      <c r="AH914" t="str">
        <f>IF(AE914="","",IF(AE914="[FÓRMULA MANUAL]","",IFERROR(AVERAGEIFS(nNOTA,nNIA,AE914,nCUENTA,1,nASIG,"Música de Cámara"),"")))</f>
        <v/>
      </c>
      <c r="AI914" t="str">
        <f>IF(AE914="","",IF(AE914="[FÓRMULA MANUAL]","",IFERROR(SUMPRODUCT((nNIA=AE914)*(nCUENTA=1)*(COUNTIF(CONFIG_ASIGNATURAS!$B$7:$B$27,nASIG)&gt;0)*(nNOTA))/SUMPRODUCT((nNIA=AE914)*(nCUENTA=1)*(COUNTIF(CONFIG_ASIGNATURAS!$B$7:$B$27,nASIG)&gt;0)*1),"")))</f>
        <v/>
      </c>
    </row>
    <row r="915" spans="2:35" x14ac:dyDescent="0.2">
      <c r="B915" t="str">
        <f>IF(A915="","",IF(A915="[FÓRMULA MANUAL]","",IFERROR(AVERAGEIFS(nNOTA,nNIA,A915,nCUENTA,1,nASIG,"Lenguaje Musical"),"")))</f>
        <v/>
      </c>
      <c r="C915" t="str">
        <f>IF(A915="","",IF(A915="[FÓRMULA MANUAL]","",IFERROR(AVERAGEIFS(nNOTA,nNIA,A915,nCUENTA,1,nASIG,"Orquesta/Banda/Conjunto"),"")))</f>
        <v/>
      </c>
      <c r="D915" t="str">
        <f>IF(A915="","",IF(A915="[FÓRMULA MANUAL]","",IFERROR(AVERAGEIFS(nNOTA,nNIA,A915,nCUENTA,1,nASIG,"Conjunto"),"")))</f>
        <v/>
      </c>
      <c r="E915" t="str">
        <f>IF(A915="","",IF(A915="[FÓRMULA MANUAL]","",IFERROR(SUMPRODUCT((nNIA=A915)*(nCUENTA=1)*(COUNTIF(CONFIG_ASIGNATURAS!$B$7:$B$27,nASIG)&gt;0)*(nNOTA))/SUMPRODUCT((nNIA=A915)*(nCUENTA=1)*(COUNTIF(CONFIG_ASIGNATURAS!$B$7:$B$27,nASIG)&gt;0)*1),"")))</f>
        <v/>
      </c>
      <c r="H915" t="str">
        <f>IF(G915="","",IF(G915="[FÓRMULA MANUAL]","",IFERROR(AVERAGEIFS(nNOTA,nNIA,G915,nCUENTA,1,nASIG,"Lenguaje Musical"),"")))</f>
        <v/>
      </c>
      <c r="I915" t="str">
        <f>IF(G915="","",IF(G915="[FÓRMULA MANUAL]","",IFERROR(AVERAGEIFS(nNOTA,nNIA,G915,nCUENTA,1,nASIG,"Orquesta/Banda/Conjunto"),"")))</f>
        <v/>
      </c>
      <c r="J915" t="str">
        <f>IF(G915="","",IF(G915="[FÓRMULA MANUAL]","",IFERROR(AVERAGEIFS(nNOTA,nNIA,G915,nCUENTA,1,nASIG,"Conjunto"),"")))</f>
        <v/>
      </c>
      <c r="K915" t="str">
        <f>IF(G915="","",IF(G915="[FÓRMULA MANUAL]","",IFERROR(SUMPRODUCT((nNIA=G915)*(nCUENTA=1)*(COUNTIF(CONFIG_ASIGNATURAS!$B$7:$B$27,nASIG)&gt;0)*(nNOTA))/SUMPRODUCT((nNIA=G915)*(nCUENTA=1)*(COUNTIF(CONFIG_ASIGNATURAS!$B$7:$B$27,nASIG)&gt;0)*1),"")))</f>
        <v/>
      </c>
      <c r="N915" t="str">
        <f>IF(M915="","",IF(M915="[FÓRMULA MANUAL]","",IFERROR(AVERAGEIFS(nNOTA,nNIA,M915,nCUENTA,1,nASIG,"Armonía"),"")))</f>
        <v/>
      </c>
      <c r="O915" t="str">
        <f>IF(M915="","",IF(M915="[FÓRMULA MANUAL]","",IFERROR(AVERAGEIFS(nNOTA,nNIA,M915,nCUENTA,1,nASIG,"Orquesta/Banda/Conjunto"),"")))</f>
        <v/>
      </c>
      <c r="P915" t="str">
        <f>IF(M915="","",IF(M915="[FÓRMULA MANUAL]","",IFERROR(AVERAGEIFS(nNOTA,nNIA,M915,nCUENTA,1,nASIG,"Música de Cámara"),"")))</f>
        <v/>
      </c>
      <c r="Q915" t="str">
        <f>IF(M915="","",IF(M915="[FÓRMULA MANUAL]","",IFERROR(SUMPRODUCT((nNIA=M915)*(nCUENTA=1)*(COUNTIF(CONFIG_ASIGNATURAS!$B$7:$B$27,nASIG)&gt;0)*(nNOTA))/SUMPRODUCT((nNIA=M915)*(nCUENTA=1)*(COUNTIF(CONFIG_ASIGNATURAS!$B$7:$B$27,nASIG)&gt;0)*1),"")))</f>
        <v/>
      </c>
      <c r="T915" t="str">
        <f>IF(S915="","",IF(S915="[FÓRMULA MANUAL]","",IFERROR(AVERAGEIFS(nNOTA,nNIA,S915,nCUENTA,1,nASIG,"Armonía"),"")))</f>
        <v/>
      </c>
      <c r="U915" t="str">
        <f>IF(S915="","",IF(S915="[FÓRMULA MANUAL]","",IFERROR(AVERAGEIFS(nNOTA,nNIA,S915,nCUENTA,1,nASIG,"Orquesta/Banda/Conjunto"),"")))</f>
        <v/>
      </c>
      <c r="V915" t="str">
        <f>IF(S915="","",IF(S915="[FÓRMULA MANUAL]","",IFERROR(AVERAGEIFS(nNOTA,nNIA,S915,nCUENTA,1,nASIG,"Música de Cámara"),"")))</f>
        <v/>
      </c>
      <c r="W915" t="str">
        <f>IF(S915="","",IF(S915="[FÓRMULA MANUAL]","",IFERROR(SUMPRODUCT((nNIA=S915)*(nCUENTA=1)*(COUNTIF(CONFIG_ASIGNATURAS!$B$7:$B$27,nASIG)&gt;0)*(nNOTA))/SUMPRODUCT((nNIA=S915)*(nCUENTA=1)*(COUNTIF(CONFIG_ASIGNATURAS!$B$7:$B$27,nASIG)&gt;0)*1),"")))</f>
        <v/>
      </c>
      <c r="Z915" t="str">
        <f>IF(Y915="","",IF(Y915="[FÓRMULA MANUAL]","",IFERROR(AVERAGEIFS(nNOTA,nNIA,Y915,nCUENTA,1,nASIG,"Análisis"),"")))</f>
        <v/>
      </c>
      <c r="AA915" t="str">
        <f>IF(Y915="","",IF(Y915="[FÓRMULA MANUAL]","",IFERROR(AVERAGEIFS(nNOTA,nNIA,Y915,nCUENTA,1,nASIG,"Orquesta/Banda/Conjunto"),"")))</f>
        <v/>
      </c>
      <c r="AB915" t="str">
        <f>IF(Y915="","",IF(Y915="[FÓRMULA MANUAL]","",IFERROR(AVERAGEIFS(nNOTA,nNIA,Y915,nCUENTA,1,nASIG,"Música de Cámara"),"")))</f>
        <v/>
      </c>
      <c r="AC915" t="str">
        <f>IF(Y915="","",IF(Y915="[FÓRMULA MANUAL]","",IFERROR(SUMPRODUCT((nNIA=Y915)*(nCUENTA=1)*(COUNTIF(CONFIG_ASIGNATURAS!$B$7:$B$27,nASIG)&gt;0)*(nNOTA))/SUMPRODUCT((nNIA=Y915)*(nCUENTA=1)*(COUNTIF(CONFIG_ASIGNATURAS!$B$7:$B$27,nASIG)&gt;0)*1),"")))</f>
        <v/>
      </c>
      <c r="AF915" t="str">
        <f>IF(AE915="","",IF(AE915="[FÓRMULA MANUAL]","",IFERROR(AVERAGEIFS(nNOTA,nNIA,AE915,nCUENTA,1,nASIG,"Análisis"),"")))</f>
        <v/>
      </c>
      <c r="AG915" t="str">
        <f>IF(AE915="","",IF(AE915="[FÓRMULA MANUAL]","",IFERROR(AVERAGEIFS(nNOTA,nNIA,AE915,nCUENTA,1,nASIG,"Orquesta/Banda/Conjunto"),"")))</f>
        <v/>
      </c>
      <c r="AH915" t="str">
        <f>IF(AE915="","",IF(AE915="[FÓRMULA MANUAL]","",IFERROR(AVERAGEIFS(nNOTA,nNIA,AE915,nCUENTA,1,nASIG,"Música de Cámara"),"")))</f>
        <v/>
      </c>
      <c r="AI915" t="str">
        <f>IF(AE915="","",IF(AE915="[FÓRMULA MANUAL]","",IFERROR(SUMPRODUCT((nNIA=AE915)*(nCUENTA=1)*(COUNTIF(CONFIG_ASIGNATURAS!$B$7:$B$27,nASIG)&gt;0)*(nNOTA))/SUMPRODUCT((nNIA=AE915)*(nCUENTA=1)*(COUNTIF(CONFIG_ASIGNATURAS!$B$7:$B$27,nASIG)&gt;0)*1),"")))</f>
        <v/>
      </c>
    </row>
    <row r="916" spans="2:35" x14ac:dyDescent="0.2">
      <c r="B916" t="str">
        <f>IF(A916="","",IF(A916="[FÓRMULA MANUAL]","",IFERROR(AVERAGEIFS(nNOTA,nNIA,A916,nCUENTA,1,nASIG,"Lenguaje Musical"),"")))</f>
        <v/>
      </c>
      <c r="C916" t="str">
        <f>IF(A916="","",IF(A916="[FÓRMULA MANUAL]","",IFERROR(AVERAGEIFS(nNOTA,nNIA,A916,nCUENTA,1,nASIG,"Orquesta/Banda/Conjunto"),"")))</f>
        <v/>
      </c>
      <c r="D916" t="str">
        <f>IF(A916="","",IF(A916="[FÓRMULA MANUAL]","",IFERROR(AVERAGEIFS(nNOTA,nNIA,A916,nCUENTA,1,nASIG,"Conjunto"),"")))</f>
        <v/>
      </c>
      <c r="E916" t="str">
        <f>IF(A916="","",IF(A916="[FÓRMULA MANUAL]","",IFERROR(SUMPRODUCT((nNIA=A916)*(nCUENTA=1)*(COUNTIF(CONFIG_ASIGNATURAS!$B$7:$B$27,nASIG)&gt;0)*(nNOTA))/SUMPRODUCT((nNIA=A916)*(nCUENTA=1)*(COUNTIF(CONFIG_ASIGNATURAS!$B$7:$B$27,nASIG)&gt;0)*1),"")))</f>
        <v/>
      </c>
      <c r="H916" t="str">
        <f>IF(G916="","",IF(G916="[FÓRMULA MANUAL]","",IFERROR(AVERAGEIFS(nNOTA,nNIA,G916,nCUENTA,1,nASIG,"Lenguaje Musical"),"")))</f>
        <v/>
      </c>
      <c r="I916" t="str">
        <f>IF(G916="","",IF(G916="[FÓRMULA MANUAL]","",IFERROR(AVERAGEIFS(nNOTA,nNIA,G916,nCUENTA,1,nASIG,"Orquesta/Banda/Conjunto"),"")))</f>
        <v/>
      </c>
      <c r="J916" t="str">
        <f>IF(G916="","",IF(G916="[FÓRMULA MANUAL]","",IFERROR(AVERAGEIFS(nNOTA,nNIA,G916,nCUENTA,1,nASIG,"Conjunto"),"")))</f>
        <v/>
      </c>
      <c r="K916" t="str">
        <f>IF(G916="","",IF(G916="[FÓRMULA MANUAL]","",IFERROR(SUMPRODUCT((nNIA=G916)*(nCUENTA=1)*(COUNTIF(CONFIG_ASIGNATURAS!$B$7:$B$27,nASIG)&gt;0)*(nNOTA))/SUMPRODUCT((nNIA=G916)*(nCUENTA=1)*(COUNTIF(CONFIG_ASIGNATURAS!$B$7:$B$27,nASIG)&gt;0)*1),"")))</f>
        <v/>
      </c>
      <c r="N916" t="str">
        <f>IF(M916="","",IF(M916="[FÓRMULA MANUAL]","",IFERROR(AVERAGEIFS(nNOTA,nNIA,M916,nCUENTA,1,nASIG,"Armonía"),"")))</f>
        <v/>
      </c>
      <c r="O916" t="str">
        <f>IF(M916="","",IF(M916="[FÓRMULA MANUAL]","",IFERROR(AVERAGEIFS(nNOTA,nNIA,M916,nCUENTA,1,nASIG,"Orquesta/Banda/Conjunto"),"")))</f>
        <v/>
      </c>
      <c r="P916" t="str">
        <f>IF(M916="","",IF(M916="[FÓRMULA MANUAL]","",IFERROR(AVERAGEIFS(nNOTA,nNIA,M916,nCUENTA,1,nASIG,"Música de Cámara"),"")))</f>
        <v/>
      </c>
      <c r="Q916" t="str">
        <f>IF(M916="","",IF(M916="[FÓRMULA MANUAL]","",IFERROR(SUMPRODUCT((nNIA=M916)*(nCUENTA=1)*(COUNTIF(CONFIG_ASIGNATURAS!$B$7:$B$27,nASIG)&gt;0)*(nNOTA))/SUMPRODUCT((nNIA=M916)*(nCUENTA=1)*(COUNTIF(CONFIG_ASIGNATURAS!$B$7:$B$27,nASIG)&gt;0)*1),"")))</f>
        <v/>
      </c>
      <c r="T916" t="str">
        <f>IF(S916="","",IF(S916="[FÓRMULA MANUAL]","",IFERROR(AVERAGEIFS(nNOTA,nNIA,S916,nCUENTA,1,nASIG,"Armonía"),"")))</f>
        <v/>
      </c>
      <c r="U916" t="str">
        <f>IF(S916="","",IF(S916="[FÓRMULA MANUAL]","",IFERROR(AVERAGEIFS(nNOTA,nNIA,S916,nCUENTA,1,nASIG,"Orquesta/Banda/Conjunto"),"")))</f>
        <v/>
      </c>
      <c r="V916" t="str">
        <f>IF(S916="","",IF(S916="[FÓRMULA MANUAL]","",IFERROR(AVERAGEIFS(nNOTA,nNIA,S916,nCUENTA,1,nASIG,"Música de Cámara"),"")))</f>
        <v/>
      </c>
      <c r="W916" t="str">
        <f>IF(S916="","",IF(S916="[FÓRMULA MANUAL]","",IFERROR(SUMPRODUCT((nNIA=S916)*(nCUENTA=1)*(COUNTIF(CONFIG_ASIGNATURAS!$B$7:$B$27,nASIG)&gt;0)*(nNOTA))/SUMPRODUCT((nNIA=S916)*(nCUENTA=1)*(COUNTIF(CONFIG_ASIGNATURAS!$B$7:$B$27,nASIG)&gt;0)*1),"")))</f>
        <v/>
      </c>
      <c r="Z916" t="str">
        <f>IF(Y916="","",IF(Y916="[FÓRMULA MANUAL]","",IFERROR(AVERAGEIFS(nNOTA,nNIA,Y916,nCUENTA,1,nASIG,"Análisis"),"")))</f>
        <v/>
      </c>
      <c r="AA916" t="str">
        <f>IF(Y916="","",IF(Y916="[FÓRMULA MANUAL]","",IFERROR(AVERAGEIFS(nNOTA,nNIA,Y916,nCUENTA,1,nASIG,"Orquesta/Banda/Conjunto"),"")))</f>
        <v/>
      </c>
      <c r="AB916" t="str">
        <f>IF(Y916="","",IF(Y916="[FÓRMULA MANUAL]","",IFERROR(AVERAGEIFS(nNOTA,nNIA,Y916,nCUENTA,1,nASIG,"Música de Cámara"),"")))</f>
        <v/>
      </c>
      <c r="AC916" t="str">
        <f>IF(Y916="","",IF(Y916="[FÓRMULA MANUAL]","",IFERROR(SUMPRODUCT((nNIA=Y916)*(nCUENTA=1)*(COUNTIF(CONFIG_ASIGNATURAS!$B$7:$B$27,nASIG)&gt;0)*(nNOTA))/SUMPRODUCT((nNIA=Y916)*(nCUENTA=1)*(COUNTIF(CONFIG_ASIGNATURAS!$B$7:$B$27,nASIG)&gt;0)*1),"")))</f>
        <v/>
      </c>
      <c r="AF916" t="str">
        <f>IF(AE916="","",IF(AE916="[FÓRMULA MANUAL]","",IFERROR(AVERAGEIFS(nNOTA,nNIA,AE916,nCUENTA,1,nASIG,"Análisis"),"")))</f>
        <v/>
      </c>
      <c r="AG916" t="str">
        <f>IF(AE916="","",IF(AE916="[FÓRMULA MANUAL]","",IFERROR(AVERAGEIFS(nNOTA,nNIA,AE916,nCUENTA,1,nASIG,"Orquesta/Banda/Conjunto"),"")))</f>
        <v/>
      </c>
      <c r="AH916" t="str">
        <f>IF(AE916="","",IF(AE916="[FÓRMULA MANUAL]","",IFERROR(AVERAGEIFS(nNOTA,nNIA,AE916,nCUENTA,1,nASIG,"Música de Cámara"),"")))</f>
        <v/>
      </c>
      <c r="AI916" t="str">
        <f>IF(AE916="","",IF(AE916="[FÓRMULA MANUAL]","",IFERROR(SUMPRODUCT((nNIA=AE916)*(nCUENTA=1)*(COUNTIF(CONFIG_ASIGNATURAS!$B$7:$B$27,nASIG)&gt;0)*(nNOTA))/SUMPRODUCT((nNIA=AE916)*(nCUENTA=1)*(COUNTIF(CONFIG_ASIGNATURAS!$B$7:$B$27,nASIG)&gt;0)*1),"")))</f>
        <v/>
      </c>
    </row>
    <row r="917" spans="2:35" x14ac:dyDescent="0.2">
      <c r="B917" t="str">
        <f>IF(A917="","",IF(A917="[FÓRMULA MANUAL]","",IFERROR(AVERAGEIFS(nNOTA,nNIA,A917,nCUENTA,1,nASIG,"Lenguaje Musical"),"")))</f>
        <v/>
      </c>
      <c r="C917" t="str">
        <f>IF(A917="","",IF(A917="[FÓRMULA MANUAL]","",IFERROR(AVERAGEIFS(nNOTA,nNIA,A917,nCUENTA,1,nASIG,"Orquesta/Banda/Conjunto"),"")))</f>
        <v/>
      </c>
      <c r="D917" t="str">
        <f>IF(A917="","",IF(A917="[FÓRMULA MANUAL]","",IFERROR(AVERAGEIFS(nNOTA,nNIA,A917,nCUENTA,1,nASIG,"Conjunto"),"")))</f>
        <v/>
      </c>
      <c r="E917" t="str">
        <f>IF(A917="","",IF(A917="[FÓRMULA MANUAL]","",IFERROR(SUMPRODUCT((nNIA=A917)*(nCUENTA=1)*(COUNTIF(CONFIG_ASIGNATURAS!$B$7:$B$27,nASIG)&gt;0)*(nNOTA))/SUMPRODUCT((nNIA=A917)*(nCUENTA=1)*(COUNTIF(CONFIG_ASIGNATURAS!$B$7:$B$27,nASIG)&gt;0)*1),"")))</f>
        <v/>
      </c>
      <c r="H917" t="str">
        <f>IF(G917="","",IF(G917="[FÓRMULA MANUAL]","",IFERROR(AVERAGEIFS(nNOTA,nNIA,G917,nCUENTA,1,nASIG,"Lenguaje Musical"),"")))</f>
        <v/>
      </c>
      <c r="I917" t="str">
        <f>IF(G917="","",IF(G917="[FÓRMULA MANUAL]","",IFERROR(AVERAGEIFS(nNOTA,nNIA,G917,nCUENTA,1,nASIG,"Orquesta/Banda/Conjunto"),"")))</f>
        <v/>
      </c>
      <c r="J917" t="str">
        <f>IF(G917="","",IF(G917="[FÓRMULA MANUAL]","",IFERROR(AVERAGEIFS(nNOTA,nNIA,G917,nCUENTA,1,nASIG,"Conjunto"),"")))</f>
        <v/>
      </c>
      <c r="K917" t="str">
        <f>IF(G917="","",IF(G917="[FÓRMULA MANUAL]","",IFERROR(SUMPRODUCT((nNIA=G917)*(nCUENTA=1)*(COUNTIF(CONFIG_ASIGNATURAS!$B$7:$B$27,nASIG)&gt;0)*(nNOTA))/SUMPRODUCT((nNIA=G917)*(nCUENTA=1)*(COUNTIF(CONFIG_ASIGNATURAS!$B$7:$B$27,nASIG)&gt;0)*1),"")))</f>
        <v/>
      </c>
      <c r="N917" t="str">
        <f>IF(M917="","",IF(M917="[FÓRMULA MANUAL]","",IFERROR(AVERAGEIFS(nNOTA,nNIA,M917,nCUENTA,1,nASIG,"Armonía"),"")))</f>
        <v/>
      </c>
      <c r="O917" t="str">
        <f>IF(M917="","",IF(M917="[FÓRMULA MANUAL]","",IFERROR(AVERAGEIFS(nNOTA,nNIA,M917,nCUENTA,1,nASIG,"Orquesta/Banda/Conjunto"),"")))</f>
        <v/>
      </c>
      <c r="P917" t="str">
        <f>IF(M917="","",IF(M917="[FÓRMULA MANUAL]","",IFERROR(AVERAGEIFS(nNOTA,nNIA,M917,nCUENTA,1,nASIG,"Música de Cámara"),"")))</f>
        <v/>
      </c>
      <c r="Q917" t="str">
        <f>IF(M917="","",IF(M917="[FÓRMULA MANUAL]","",IFERROR(SUMPRODUCT((nNIA=M917)*(nCUENTA=1)*(COUNTIF(CONFIG_ASIGNATURAS!$B$7:$B$27,nASIG)&gt;0)*(nNOTA))/SUMPRODUCT((nNIA=M917)*(nCUENTA=1)*(COUNTIF(CONFIG_ASIGNATURAS!$B$7:$B$27,nASIG)&gt;0)*1),"")))</f>
        <v/>
      </c>
      <c r="T917" t="str">
        <f>IF(S917="","",IF(S917="[FÓRMULA MANUAL]","",IFERROR(AVERAGEIFS(nNOTA,nNIA,S917,nCUENTA,1,nASIG,"Armonía"),"")))</f>
        <v/>
      </c>
      <c r="U917" t="str">
        <f>IF(S917="","",IF(S917="[FÓRMULA MANUAL]","",IFERROR(AVERAGEIFS(nNOTA,nNIA,S917,nCUENTA,1,nASIG,"Orquesta/Banda/Conjunto"),"")))</f>
        <v/>
      </c>
      <c r="V917" t="str">
        <f>IF(S917="","",IF(S917="[FÓRMULA MANUAL]","",IFERROR(AVERAGEIFS(nNOTA,nNIA,S917,nCUENTA,1,nASIG,"Música de Cámara"),"")))</f>
        <v/>
      </c>
      <c r="W917" t="str">
        <f>IF(S917="","",IF(S917="[FÓRMULA MANUAL]","",IFERROR(SUMPRODUCT((nNIA=S917)*(nCUENTA=1)*(COUNTIF(CONFIG_ASIGNATURAS!$B$7:$B$27,nASIG)&gt;0)*(nNOTA))/SUMPRODUCT((nNIA=S917)*(nCUENTA=1)*(COUNTIF(CONFIG_ASIGNATURAS!$B$7:$B$27,nASIG)&gt;0)*1),"")))</f>
        <v/>
      </c>
      <c r="Z917" t="str">
        <f>IF(Y917="","",IF(Y917="[FÓRMULA MANUAL]","",IFERROR(AVERAGEIFS(nNOTA,nNIA,Y917,nCUENTA,1,nASIG,"Análisis"),"")))</f>
        <v/>
      </c>
      <c r="AA917" t="str">
        <f>IF(Y917="","",IF(Y917="[FÓRMULA MANUAL]","",IFERROR(AVERAGEIFS(nNOTA,nNIA,Y917,nCUENTA,1,nASIG,"Orquesta/Banda/Conjunto"),"")))</f>
        <v/>
      </c>
      <c r="AB917" t="str">
        <f>IF(Y917="","",IF(Y917="[FÓRMULA MANUAL]","",IFERROR(AVERAGEIFS(nNOTA,nNIA,Y917,nCUENTA,1,nASIG,"Música de Cámara"),"")))</f>
        <v/>
      </c>
      <c r="AC917" t="str">
        <f>IF(Y917="","",IF(Y917="[FÓRMULA MANUAL]","",IFERROR(SUMPRODUCT((nNIA=Y917)*(nCUENTA=1)*(COUNTIF(CONFIG_ASIGNATURAS!$B$7:$B$27,nASIG)&gt;0)*(nNOTA))/SUMPRODUCT((nNIA=Y917)*(nCUENTA=1)*(COUNTIF(CONFIG_ASIGNATURAS!$B$7:$B$27,nASIG)&gt;0)*1),"")))</f>
        <v/>
      </c>
      <c r="AF917" t="str">
        <f>IF(AE917="","",IF(AE917="[FÓRMULA MANUAL]","",IFERROR(AVERAGEIFS(nNOTA,nNIA,AE917,nCUENTA,1,nASIG,"Análisis"),"")))</f>
        <v/>
      </c>
      <c r="AG917" t="str">
        <f>IF(AE917="","",IF(AE917="[FÓRMULA MANUAL]","",IFERROR(AVERAGEIFS(nNOTA,nNIA,AE917,nCUENTA,1,nASIG,"Orquesta/Banda/Conjunto"),"")))</f>
        <v/>
      </c>
      <c r="AH917" t="str">
        <f>IF(AE917="","",IF(AE917="[FÓRMULA MANUAL]","",IFERROR(AVERAGEIFS(nNOTA,nNIA,AE917,nCUENTA,1,nASIG,"Música de Cámara"),"")))</f>
        <v/>
      </c>
      <c r="AI917" t="str">
        <f>IF(AE917="","",IF(AE917="[FÓRMULA MANUAL]","",IFERROR(SUMPRODUCT((nNIA=AE917)*(nCUENTA=1)*(COUNTIF(CONFIG_ASIGNATURAS!$B$7:$B$27,nASIG)&gt;0)*(nNOTA))/SUMPRODUCT((nNIA=AE917)*(nCUENTA=1)*(COUNTIF(CONFIG_ASIGNATURAS!$B$7:$B$27,nASIG)&gt;0)*1),"")))</f>
        <v/>
      </c>
    </row>
    <row r="918" spans="2:35" x14ac:dyDescent="0.2">
      <c r="B918" t="str">
        <f>IF(A918="","",IF(A918="[FÓRMULA MANUAL]","",IFERROR(AVERAGEIFS(nNOTA,nNIA,A918,nCUENTA,1,nASIG,"Lenguaje Musical"),"")))</f>
        <v/>
      </c>
      <c r="C918" t="str">
        <f>IF(A918="","",IF(A918="[FÓRMULA MANUAL]","",IFERROR(AVERAGEIFS(nNOTA,nNIA,A918,nCUENTA,1,nASIG,"Orquesta/Banda/Conjunto"),"")))</f>
        <v/>
      </c>
      <c r="D918" t="str">
        <f>IF(A918="","",IF(A918="[FÓRMULA MANUAL]","",IFERROR(AVERAGEIFS(nNOTA,nNIA,A918,nCUENTA,1,nASIG,"Conjunto"),"")))</f>
        <v/>
      </c>
      <c r="E918" t="str">
        <f>IF(A918="","",IF(A918="[FÓRMULA MANUAL]","",IFERROR(SUMPRODUCT((nNIA=A918)*(nCUENTA=1)*(COUNTIF(CONFIG_ASIGNATURAS!$B$7:$B$27,nASIG)&gt;0)*(nNOTA))/SUMPRODUCT((nNIA=A918)*(nCUENTA=1)*(COUNTIF(CONFIG_ASIGNATURAS!$B$7:$B$27,nASIG)&gt;0)*1),"")))</f>
        <v/>
      </c>
      <c r="H918" t="str">
        <f>IF(G918="","",IF(G918="[FÓRMULA MANUAL]","",IFERROR(AVERAGEIFS(nNOTA,nNIA,G918,nCUENTA,1,nASIG,"Lenguaje Musical"),"")))</f>
        <v/>
      </c>
      <c r="I918" t="str">
        <f>IF(G918="","",IF(G918="[FÓRMULA MANUAL]","",IFERROR(AVERAGEIFS(nNOTA,nNIA,G918,nCUENTA,1,nASIG,"Orquesta/Banda/Conjunto"),"")))</f>
        <v/>
      </c>
      <c r="J918" t="str">
        <f>IF(G918="","",IF(G918="[FÓRMULA MANUAL]","",IFERROR(AVERAGEIFS(nNOTA,nNIA,G918,nCUENTA,1,nASIG,"Conjunto"),"")))</f>
        <v/>
      </c>
      <c r="K918" t="str">
        <f>IF(G918="","",IF(G918="[FÓRMULA MANUAL]","",IFERROR(SUMPRODUCT((nNIA=G918)*(nCUENTA=1)*(COUNTIF(CONFIG_ASIGNATURAS!$B$7:$B$27,nASIG)&gt;0)*(nNOTA))/SUMPRODUCT((nNIA=G918)*(nCUENTA=1)*(COUNTIF(CONFIG_ASIGNATURAS!$B$7:$B$27,nASIG)&gt;0)*1),"")))</f>
        <v/>
      </c>
      <c r="N918" t="str">
        <f>IF(M918="","",IF(M918="[FÓRMULA MANUAL]","",IFERROR(AVERAGEIFS(nNOTA,nNIA,M918,nCUENTA,1,nASIG,"Armonía"),"")))</f>
        <v/>
      </c>
      <c r="O918" t="str">
        <f>IF(M918="","",IF(M918="[FÓRMULA MANUAL]","",IFERROR(AVERAGEIFS(nNOTA,nNIA,M918,nCUENTA,1,nASIG,"Orquesta/Banda/Conjunto"),"")))</f>
        <v/>
      </c>
      <c r="P918" t="str">
        <f>IF(M918="","",IF(M918="[FÓRMULA MANUAL]","",IFERROR(AVERAGEIFS(nNOTA,nNIA,M918,nCUENTA,1,nASIG,"Música de Cámara"),"")))</f>
        <v/>
      </c>
      <c r="Q918" t="str">
        <f>IF(M918="","",IF(M918="[FÓRMULA MANUAL]","",IFERROR(SUMPRODUCT((nNIA=M918)*(nCUENTA=1)*(COUNTIF(CONFIG_ASIGNATURAS!$B$7:$B$27,nASIG)&gt;0)*(nNOTA))/SUMPRODUCT((nNIA=M918)*(nCUENTA=1)*(COUNTIF(CONFIG_ASIGNATURAS!$B$7:$B$27,nASIG)&gt;0)*1),"")))</f>
        <v/>
      </c>
      <c r="T918" t="str">
        <f>IF(S918="","",IF(S918="[FÓRMULA MANUAL]","",IFERROR(AVERAGEIFS(nNOTA,nNIA,S918,nCUENTA,1,nASIG,"Armonía"),"")))</f>
        <v/>
      </c>
      <c r="U918" t="str">
        <f>IF(S918="","",IF(S918="[FÓRMULA MANUAL]","",IFERROR(AVERAGEIFS(nNOTA,nNIA,S918,nCUENTA,1,nASIG,"Orquesta/Banda/Conjunto"),"")))</f>
        <v/>
      </c>
      <c r="V918" t="str">
        <f>IF(S918="","",IF(S918="[FÓRMULA MANUAL]","",IFERROR(AVERAGEIFS(nNOTA,nNIA,S918,nCUENTA,1,nASIG,"Música de Cámara"),"")))</f>
        <v/>
      </c>
      <c r="W918" t="str">
        <f>IF(S918="","",IF(S918="[FÓRMULA MANUAL]","",IFERROR(SUMPRODUCT((nNIA=S918)*(nCUENTA=1)*(COUNTIF(CONFIG_ASIGNATURAS!$B$7:$B$27,nASIG)&gt;0)*(nNOTA))/SUMPRODUCT((nNIA=S918)*(nCUENTA=1)*(COUNTIF(CONFIG_ASIGNATURAS!$B$7:$B$27,nASIG)&gt;0)*1),"")))</f>
        <v/>
      </c>
      <c r="Z918" t="str">
        <f>IF(Y918="","",IF(Y918="[FÓRMULA MANUAL]","",IFERROR(AVERAGEIFS(nNOTA,nNIA,Y918,nCUENTA,1,nASIG,"Análisis"),"")))</f>
        <v/>
      </c>
      <c r="AA918" t="str">
        <f>IF(Y918="","",IF(Y918="[FÓRMULA MANUAL]","",IFERROR(AVERAGEIFS(nNOTA,nNIA,Y918,nCUENTA,1,nASIG,"Orquesta/Banda/Conjunto"),"")))</f>
        <v/>
      </c>
      <c r="AB918" t="str">
        <f>IF(Y918="","",IF(Y918="[FÓRMULA MANUAL]","",IFERROR(AVERAGEIFS(nNOTA,nNIA,Y918,nCUENTA,1,nASIG,"Música de Cámara"),"")))</f>
        <v/>
      </c>
      <c r="AC918" t="str">
        <f>IF(Y918="","",IF(Y918="[FÓRMULA MANUAL]","",IFERROR(SUMPRODUCT((nNIA=Y918)*(nCUENTA=1)*(COUNTIF(CONFIG_ASIGNATURAS!$B$7:$B$27,nASIG)&gt;0)*(nNOTA))/SUMPRODUCT((nNIA=Y918)*(nCUENTA=1)*(COUNTIF(CONFIG_ASIGNATURAS!$B$7:$B$27,nASIG)&gt;0)*1),"")))</f>
        <v/>
      </c>
      <c r="AF918" t="str">
        <f>IF(AE918="","",IF(AE918="[FÓRMULA MANUAL]","",IFERROR(AVERAGEIFS(nNOTA,nNIA,AE918,nCUENTA,1,nASIG,"Análisis"),"")))</f>
        <v/>
      </c>
      <c r="AG918" t="str">
        <f>IF(AE918="","",IF(AE918="[FÓRMULA MANUAL]","",IFERROR(AVERAGEIFS(nNOTA,nNIA,AE918,nCUENTA,1,nASIG,"Orquesta/Banda/Conjunto"),"")))</f>
        <v/>
      </c>
      <c r="AH918" t="str">
        <f>IF(AE918="","",IF(AE918="[FÓRMULA MANUAL]","",IFERROR(AVERAGEIFS(nNOTA,nNIA,AE918,nCUENTA,1,nASIG,"Música de Cámara"),"")))</f>
        <v/>
      </c>
      <c r="AI918" t="str">
        <f>IF(AE918="","",IF(AE918="[FÓRMULA MANUAL]","",IFERROR(SUMPRODUCT((nNIA=AE918)*(nCUENTA=1)*(COUNTIF(CONFIG_ASIGNATURAS!$B$7:$B$27,nASIG)&gt;0)*(nNOTA))/SUMPRODUCT((nNIA=AE918)*(nCUENTA=1)*(COUNTIF(CONFIG_ASIGNATURAS!$B$7:$B$27,nASIG)&gt;0)*1),"")))</f>
        <v/>
      </c>
    </row>
    <row r="919" spans="2:35" x14ac:dyDescent="0.2">
      <c r="B919" t="str">
        <f>IF(A919="","",IF(A919="[FÓRMULA MANUAL]","",IFERROR(AVERAGEIFS(nNOTA,nNIA,A919,nCUENTA,1,nASIG,"Lenguaje Musical"),"")))</f>
        <v/>
      </c>
      <c r="C919" t="str">
        <f>IF(A919="","",IF(A919="[FÓRMULA MANUAL]","",IFERROR(AVERAGEIFS(nNOTA,nNIA,A919,nCUENTA,1,nASIG,"Orquesta/Banda/Conjunto"),"")))</f>
        <v/>
      </c>
      <c r="D919" t="str">
        <f>IF(A919="","",IF(A919="[FÓRMULA MANUAL]","",IFERROR(AVERAGEIFS(nNOTA,nNIA,A919,nCUENTA,1,nASIG,"Conjunto"),"")))</f>
        <v/>
      </c>
      <c r="E919" t="str">
        <f>IF(A919="","",IF(A919="[FÓRMULA MANUAL]","",IFERROR(SUMPRODUCT((nNIA=A919)*(nCUENTA=1)*(COUNTIF(CONFIG_ASIGNATURAS!$B$7:$B$27,nASIG)&gt;0)*(nNOTA))/SUMPRODUCT((nNIA=A919)*(nCUENTA=1)*(COUNTIF(CONFIG_ASIGNATURAS!$B$7:$B$27,nASIG)&gt;0)*1),"")))</f>
        <v/>
      </c>
      <c r="H919" t="str">
        <f>IF(G919="","",IF(G919="[FÓRMULA MANUAL]","",IFERROR(AVERAGEIFS(nNOTA,nNIA,G919,nCUENTA,1,nASIG,"Lenguaje Musical"),"")))</f>
        <v/>
      </c>
      <c r="I919" t="str">
        <f>IF(G919="","",IF(G919="[FÓRMULA MANUAL]","",IFERROR(AVERAGEIFS(nNOTA,nNIA,G919,nCUENTA,1,nASIG,"Orquesta/Banda/Conjunto"),"")))</f>
        <v/>
      </c>
      <c r="J919" t="str">
        <f>IF(G919="","",IF(G919="[FÓRMULA MANUAL]","",IFERROR(AVERAGEIFS(nNOTA,nNIA,G919,nCUENTA,1,nASIG,"Conjunto"),"")))</f>
        <v/>
      </c>
      <c r="K919" t="str">
        <f>IF(G919="","",IF(G919="[FÓRMULA MANUAL]","",IFERROR(SUMPRODUCT((nNIA=G919)*(nCUENTA=1)*(COUNTIF(CONFIG_ASIGNATURAS!$B$7:$B$27,nASIG)&gt;0)*(nNOTA))/SUMPRODUCT((nNIA=G919)*(nCUENTA=1)*(COUNTIF(CONFIG_ASIGNATURAS!$B$7:$B$27,nASIG)&gt;0)*1),"")))</f>
        <v/>
      </c>
      <c r="N919" t="str">
        <f>IF(M919="","",IF(M919="[FÓRMULA MANUAL]","",IFERROR(AVERAGEIFS(nNOTA,nNIA,M919,nCUENTA,1,nASIG,"Armonía"),"")))</f>
        <v/>
      </c>
      <c r="O919" t="str">
        <f>IF(M919="","",IF(M919="[FÓRMULA MANUAL]","",IFERROR(AVERAGEIFS(nNOTA,nNIA,M919,nCUENTA,1,nASIG,"Orquesta/Banda/Conjunto"),"")))</f>
        <v/>
      </c>
      <c r="P919" t="str">
        <f>IF(M919="","",IF(M919="[FÓRMULA MANUAL]","",IFERROR(AVERAGEIFS(nNOTA,nNIA,M919,nCUENTA,1,nASIG,"Música de Cámara"),"")))</f>
        <v/>
      </c>
      <c r="Q919" t="str">
        <f>IF(M919="","",IF(M919="[FÓRMULA MANUAL]","",IFERROR(SUMPRODUCT((nNIA=M919)*(nCUENTA=1)*(COUNTIF(CONFIG_ASIGNATURAS!$B$7:$B$27,nASIG)&gt;0)*(nNOTA))/SUMPRODUCT((nNIA=M919)*(nCUENTA=1)*(COUNTIF(CONFIG_ASIGNATURAS!$B$7:$B$27,nASIG)&gt;0)*1),"")))</f>
        <v/>
      </c>
      <c r="T919" t="str">
        <f>IF(S919="","",IF(S919="[FÓRMULA MANUAL]","",IFERROR(AVERAGEIFS(nNOTA,nNIA,S919,nCUENTA,1,nASIG,"Armonía"),"")))</f>
        <v/>
      </c>
      <c r="U919" t="str">
        <f>IF(S919="","",IF(S919="[FÓRMULA MANUAL]","",IFERROR(AVERAGEIFS(nNOTA,nNIA,S919,nCUENTA,1,nASIG,"Orquesta/Banda/Conjunto"),"")))</f>
        <v/>
      </c>
      <c r="V919" t="str">
        <f>IF(S919="","",IF(S919="[FÓRMULA MANUAL]","",IFERROR(AVERAGEIFS(nNOTA,nNIA,S919,nCUENTA,1,nASIG,"Música de Cámara"),"")))</f>
        <v/>
      </c>
      <c r="W919" t="str">
        <f>IF(S919="","",IF(S919="[FÓRMULA MANUAL]","",IFERROR(SUMPRODUCT((nNIA=S919)*(nCUENTA=1)*(COUNTIF(CONFIG_ASIGNATURAS!$B$7:$B$27,nASIG)&gt;0)*(nNOTA))/SUMPRODUCT((nNIA=S919)*(nCUENTA=1)*(COUNTIF(CONFIG_ASIGNATURAS!$B$7:$B$27,nASIG)&gt;0)*1),"")))</f>
        <v/>
      </c>
      <c r="Z919" t="str">
        <f>IF(Y919="","",IF(Y919="[FÓRMULA MANUAL]","",IFERROR(AVERAGEIFS(nNOTA,nNIA,Y919,nCUENTA,1,nASIG,"Análisis"),"")))</f>
        <v/>
      </c>
      <c r="AA919" t="str">
        <f>IF(Y919="","",IF(Y919="[FÓRMULA MANUAL]","",IFERROR(AVERAGEIFS(nNOTA,nNIA,Y919,nCUENTA,1,nASIG,"Orquesta/Banda/Conjunto"),"")))</f>
        <v/>
      </c>
      <c r="AB919" t="str">
        <f>IF(Y919="","",IF(Y919="[FÓRMULA MANUAL]","",IFERROR(AVERAGEIFS(nNOTA,nNIA,Y919,nCUENTA,1,nASIG,"Música de Cámara"),"")))</f>
        <v/>
      </c>
      <c r="AC919" t="str">
        <f>IF(Y919="","",IF(Y919="[FÓRMULA MANUAL]","",IFERROR(SUMPRODUCT((nNIA=Y919)*(nCUENTA=1)*(COUNTIF(CONFIG_ASIGNATURAS!$B$7:$B$27,nASIG)&gt;0)*(nNOTA))/SUMPRODUCT((nNIA=Y919)*(nCUENTA=1)*(COUNTIF(CONFIG_ASIGNATURAS!$B$7:$B$27,nASIG)&gt;0)*1),"")))</f>
        <v/>
      </c>
      <c r="AF919" t="str">
        <f>IF(AE919="","",IF(AE919="[FÓRMULA MANUAL]","",IFERROR(AVERAGEIFS(nNOTA,nNIA,AE919,nCUENTA,1,nASIG,"Análisis"),"")))</f>
        <v/>
      </c>
      <c r="AG919" t="str">
        <f>IF(AE919="","",IF(AE919="[FÓRMULA MANUAL]","",IFERROR(AVERAGEIFS(nNOTA,nNIA,AE919,nCUENTA,1,nASIG,"Orquesta/Banda/Conjunto"),"")))</f>
        <v/>
      </c>
      <c r="AH919" t="str">
        <f>IF(AE919="","",IF(AE919="[FÓRMULA MANUAL]","",IFERROR(AVERAGEIFS(nNOTA,nNIA,AE919,nCUENTA,1,nASIG,"Música de Cámara"),"")))</f>
        <v/>
      </c>
      <c r="AI919" t="str">
        <f>IF(AE919="","",IF(AE919="[FÓRMULA MANUAL]","",IFERROR(SUMPRODUCT((nNIA=AE919)*(nCUENTA=1)*(COUNTIF(CONFIG_ASIGNATURAS!$B$7:$B$27,nASIG)&gt;0)*(nNOTA))/SUMPRODUCT((nNIA=AE919)*(nCUENTA=1)*(COUNTIF(CONFIG_ASIGNATURAS!$B$7:$B$27,nASIG)&gt;0)*1),"")))</f>
        <v/>
      </c>
    </row>
    <row r="920" spans="2:35" x14ac:dyDescent="0.2">
      <c r="B920" t="str">
        <f>IF(A920="","",IF(A920="[FÓRMULA MANUAL]","",IFERROR(AVERAGEIFS(nNOTA,nNIA,A920,nCUENTA,1,nASIG,"Lenguaje Musical"),"")))</f>
        <v/>
      </c>
      <c r="C920" t="str">
        <f>IF(A920="","",IF(A920="[FÓRMULA MANUAL]","",IFERROR(AVERAGEIFS(nNOTA,nNIA,A920,nCUENTA,1,nASIG,"Orquesta/Banda/Conjunto"),"")))</f>
        <v/>
      </c>
      <c r="D920" t="str">
        <f>IF(A920="","",IF(A920="[FÓRMULA MANUAL]","",IFERROR(AVERAGEIFS(nNOTA,nNIA,A920,nCUENTA,1,nASIG,"Conjunto"),"")))</f>
        <v/>
      </c>
      <c r="E920" t="str">
        <f>IF(A920="","",IF(A920="[FÓRMULA MANUAL]","",IFERROR(SUMPRODUCT((nNIA=A920)*(nCUENTA=1)*(COUNTIF(CONFIG_ASIGNATURAS!$B$7:$B$27,nASIG)&gt;0)*(nNOTA))/SUMPRODUCT((nNIA=A920)*(nCUENTA=1)*(COUNTIF(CONFIG_ASIGNATURAS!$B$7:$B$27,nASIG)&gt;0)*1),"")))</f>
        <v/>
      </c>
      <c r="H920" t="str">
        <f>IF(G920="","",IF(G920="[FÓRMULA MANUAL]","",IFERROR(AVERAGEIFS(nNOTA,nNIA,G920,nCUENTA,1,nASIG,"Lenguaje Musical"),"")))</f>
        <v/>
      </c>
      <c r="I920" t="str">
        <f>IF(G920="","",IF(G920="[FÓRMULA MANUAL]","",IFERROR(AVERAGEIFS(nNOTA,nNIA,G920,nCUENTA,1,nASIG,"Orquesta/Banda/Conjunto"),"")))</f>
        <v/>
      </c>
      <c r="J920" t="str">
        <f>IF(G920="","",IF(G920="[FÓRMULA MANUAL]","",IFERROR(AVERAGEIFS(nNOTA,nNIA,G920,nCUENTA,1,nASIG,"Conjunto"),"")))</f>
        <v/>
      </c>
      <c r="K920" t="str">
        <f>IF(G920="","",IF(G920="[FÓRMULA MANUAL]","",IFERROR(SUMPRODUCT((nNIA=G920)*(nCUENTA=1)*(COUNTIF(CONFIG_ASIGNATURAS!$B$7:$B$27,nASIG)&gt;0)*(nNOTA))/SUMPRODUCT((nNIA=G920)*(nCUENTA=1)*(COUNTIF(CONFIG_ASIGNATURAS!$B$7:$B$27,nASIG)&gt;0)*1),"")))</f>
        <v/>
      </c>
      <c r="N920" t="str">
        <f>IF(M920="","",IF(M920="[FÓRMULA MANUAL]","",IFERROR(AVERAGEIFS(nNOTA,nNIA,M920,nCUENTA,1,nASIG,"Armonía"),"")))</f>
        <v/>
      </c>
      <c r="O920" t="str">
        <f>IF(M920="","",IF(M920="[FÓRMULA MANUAL]","",IFERROR(AVERAGEIFS(nNOTA,nNIA,M920,nCUENTA,1,nASIG,"Orquesta/Banda/Conjunto"),"")))</f>
        <v/>
      </c>
      <c r="P920" t="str">
        <f>IF(M920="","",IF(M920="[FÓRMULA MANUAL]","",IFERROR(AVERAGEIFS(nNOTA,nNIA,M920,nCUENTA,1,nASIG,"Música de Cámara"),"")))</f>
        <v/>
      </c>
      <c r="Q920" t="str">
        <f>IF(M920="","",IF(M920="[FÓRMULA MANUAL]","",IFERROR(SUMPRODUCT((nNIA=M920)*(nCUENTA=1)*(COUNTIF(CONFIG_ASIGNATURAS!$B$7:$B$27,nASIG)&gt;0)*(nNOTA))/SUMPRODUCT((nNIA=M920)*(nCUENTA=1)*(COUNTIF(CONFIG_ASIGNATURAS!$B$7:$B$27,nASIG)&gt;0)*1),"")))</f>
        <v/>
      </c>
      <c r="T920" t="str">
        <f>IF(S920="","",IF(S920="[FÓRMULA MANUAL]","",IFERROR(AVERAGEIFS(nNOTA,nNIA,S920,nCUENTA,1,nASIG,"Armonía"),"")))</f>
        <v/>
      </c>
      <c r="U920" t="str">
        <f>IF(S920="","",IF(S920="[FÓRMULA MANUAL]","",IFERROR(AVERAGEIFS(nNOTA,nNIA,S920,nCUENTA,1,nASIG,"Orquesta/Banda/Conjunto"),"")))</f>
        <v/>
      </c>
      <c r="V920" t="str">
        <f>IF(S920="","",IF(S920="[FÓRMULA MANUAL]","",IFERROR(AVERAGEIFS(nNOTA,nNIA,S920,nCUENTA,1,nASIG,"Música de Cámara"),"")))</f>
        <v/>
      </c>
      <c r="W920" t="str">
        <f>IF(S920="","",IF(S920="[FÓRMULA MANUAL]","",IFERROR(SUMPRODUCT((nNIA=S920)*(nCUENTA=1)*(COUNTIF(CONFIG_ASIGNATURAS!$B$7:$B$27,nASIG)&gt;0)*(nNOTA))/SUMPRODUCT((nNIA=S920)*(nCUENTA=1)*(COUNTIF(CONFIG_ASIGNATURAS!$B$7:$B$27,nASIG)&gt;0)*1),"")))</f>
        <v/>
      </c>
      <c r="Z920" t="str">
        <f>IF(Y920="","",IF(Y920="[FÓRMULA MANUAL]","",IFERROR(AVERAGEIFS(nNOTA,nNIA,Y920,nCUENTA,1,nASIG,"Análisis"),"")))</f>
        <v/>
      </c>
      <c r="AA920" t="str">
        <f>IF(Y920="","",IF(Y920="[FÓRMULA MANUAL]","",IFERROR(AVERAGEIFS(nNOTA,nNIA,Y920,nCUENTA,1,nASIG,"Orquesta/Banda/Conjunto"),"")))</f>
        <v/>
      </c>
      <c r="AB920" t="str">
        <f>IF(Y920="","",IF(Y920="[FÓRMULA MANUAL]","",IFERROR(AVERAGEIFS(nNOTA,nNIA,Y920,nCUENTA,1,nASIG,"Música de Cámara"),"")))</f>
        <v/>
      </c>
      <c r="AC920" t="str">
        <f>IF(Y920="","",IF(Y920="[FÓRMULA MANUAL]","",IFERROR(SUMPRODUCT((nNIA=Y920)*(nCUENTA=1)*(COUNTIF(CONFIG_ASIGNATURAS!$B$7:$B$27,nASIG)&gt;0)*(nNOTA))/SUMPRODUCT((nNIA=Y920)*(nCUENTA=1)*(COUNTIF(CONFIG_ASIGNATURAS!$B$7:$B$27,nASIG)&gt;0)*1),"")))</f>
        <v/>
      </c>
      <c r="AF920" t="str">
        <f>IF(AE920="","",IF(AE920="[FÓRMULA MANUAL]","",IFERROR(AVERAGEIFS(nNOTA,nNIA,AE920,nCUENTA,1,nASIG,"Análisis"),"")))</f>
        <v/>
      </c>
      <c r="AG920" t="str">
        <f>IF(AE920="","",IF(AE920="[FÓRMULA MANUAL]","",IFERROR(AVERAGEIFS(nNOTA,nNIA,AE920,nCUENTA,1,nASIG,"Orquesta/Banda/Conjunto"),"")))</f>
        <v/>
      </c>
      <c r="AH920" t="str">
        <f>IF(AE920="","",IF(AE920="[FÓRMULA MANUAL]","",IFERROR(AVERAGEIFS(nNOTA,nNIA,AE920,nCUENTA,1,nASIG,"Música de Cámara"),"")))</f>
        <v/>
      </c>
      <c r="AI920" t="str">
        <f>IF(AE920="","",IF(AE920="[FÓRMULA MANUAL]","",IFERROR(SUMPRODUCT((nNIA=AE920)*(nCUENTA=1)*(COUNTIF(CONFIG_ASIGNATURAS!$B$7:$B$27,nASIG)&gt;0)*(nNOTA))/SUMPRODUCT((nNIA=AE920)*(nCUENTA=1)*(COUNTIF(CONFIG_ASIGNATURAS!$B$7:$B$27,nASIG)&gt;0)*1),"")))</f>
        <v/>
      </c>
    </row>
    <row r="921" spans="2:35" x14ac:dyDescent="0.2">
      <c r="B921" t="str">
        <f>IF(A921="","",IF(A921="[FÓRMULA MANUAL]","",IFERROR(AVERAGEIFS(nNOTA,nNIA,A921,nCUENTA,1,nASIG,"Lenguaje Musical"),"")))</f>
        <v/>
      </c>
      <c r="C921" t="str">
        <f>IF(A921="","",IF(A921="[FÓRMULA MANUAL]","",IFERROR(AVERAGEIFS(nNOTA,nNIA,A921,nCUENTA,1,nASIG,"Orquesta/Banda/Conjunto"),"")))</f>
        <v/>
      </c>
      <c r="D921" t="str">
        <f>IF(A921="","",IF(A921="[FÓRMULA MANUAL]","",IFERROR(AVERAGEIFS(nNOTA,nNIA,A921,nCUENTA,1,nASIG,"Conjunto"),"")))</f>
        <v/>
      </c>
      <c r="E921" t="str">
        <f>IF(A921="","",IF(A921="[FÓRMULA MANUAL]","",IFERROR(SUMPRODUCT((nNIA=A921)*(nCUENTA=1)*(COUNTIF(CONFIG_ASIGNATURAS!$B$7:$B$27,nASIG)&gt;0)*(nNOTA))/SUMPRODUCT((nNIA=A921)*(nCUENTA=1)*(COUNTIF(CONFIG_ASIGNATURAS!$B$7:$B$27,nASIG)&gt;0)*1),"")))</f>
        <v/>
      </c>
      <c r="H921" t="str">
        <f>IF(G921="","",IF(G921="[FÓRMULA MANUAL]","",IFERROR(AVERAGEIFS(nNOTA,nNIA,G921,nCUENTA,1,nASIG,"Lenguaje Musical"),"")))</f>
        <v/>
      </c>
      <c r="I921" t="str">
        <f>IF(G921="","",IF(G921="[FÓRMULA MANUAL]","",IFERROR(AVERAGEIFS(nNOTA,nNIA,G921,nCUENTA,1,nASIG,"Orquesta/Banda/Conjunto"),"")))</f>
        <v/>
      </c>
      <c r="J921" t="str">
        <f>IF(G921="","",IF(G921="[FÓRMULA MANUAL]","",IFERROR(AVERAGEIFS(nNOTA,nNIA,G921,nCUENTA,1,nASIG,"Conjunto"),"")))</f>
        <v/>
      </c>
      <c r="K921" t="str">
        <f>IF(G921="","",IF(G921="[FÓRMULA MANUAL]","",IFERROR(SUMPRODUCT((nNIA=G921)*(nCUENTA=1)*(COUNTIF(CONFIG_ASIGNATURAS!$B$7:$B$27,nASIG)&gt;0)*(nNOTA))/SUMPRODUCT((nNIA=G921)*(nCUENTA=1)*(COUNTIF(CONFIG_ASIGNATURAS!$B$7:$B$27,nASIG)&gt;0)*1),"")))</f>
        <v/>
      </c>
      <c r="N921" t="str">
        <f>IF(M921="","",IF(M921="[FÓRMULA MANUAL]","",IFERROR(AVERAGEIFS(nNOTA,nNIA,M921,nCUENTA,1,nASIG,"Armonía"),"")))</f>
        <v/>
      </c>
      <c r="O921" t="str">
        <f>IF(M921="","",IF(M921="[FÓRMULA MANUAL]","",IFERROR(AVERAGEIFS(nNOTA,nNIA,M921,nCUENTA,1,nASIG,"Orquesta/Banda/Conjunto"),"")))</f>
        <v/>
      </c>
      <c r="P921" t="str">
        <f>IF(M921="","",IF(M921="[FÓRMULA MANUAL]","",IFERROR(AVERAGEIFS(nNOTA,nNIA,M921,nCUENTA,1,nASIG,"Música de Cámara"),"")))</f>
        <v/>
      </c>
      <c r="Q921" t="str">
        <f>IF(M921="","",IF(M921="[FÓRMULA MANUAL]","",IFERROR(SUMPRODUCT((nNIA=M921)*(nCUENTA=1)*(COUNTIF(CONFIG_ASIGNATURAS!$B$7:$B$27,nASIG)&gt;0)*(nNOTA))/SUMPRODUCT((nNIA=M921)*(nCUENTA=1)*(COUNTIF(CONFIG_ASIGNATURAS!$B$7:$B$27,nASIG)&gt;0)*1),"")))</f>
        <v/>
      </c>
      <c r="T921" t="str">
        <f>IF(S921="","",IF(S921="[FÓRMULA MANUAL]","",IFERROR(AVERAGEIFS(nNOTA,nNIA,S921,nCUENTA,1,nASIG,"Armonía"),"")))</f>
        <v/>
      </c>
      <c r="U921" t="str">
        <f>IF(S921="","",IF(S921="[FÓRMULA MANUAL]","",IFERROR(AVERAGEIFS(nNOTA,nNIA,S921,nCUENTA,1,nASIG,"Orquesta/Banda/Conjunto"),"")))</f>
        <v/>
      </c>
      <c r="V921" t="str">
        <f>IF(S921="","",IF(S921="[FÓRMULA MANUAL]","",IFERROR(AVERAGEIFS(nNOTA,nNIA,S921,nCUENTA,1,nASIG,"Música de Cámara"),"")))</f>
        <v/>
      </c>
      <c r="W921" t="str">
        <f>IF(S921="","",IF(S921="[FÓRMULA MANUAL]","",IFERROR(SUMPRODUCT((nNIA=S921)*(nCUENTA=1)*(COUNTIF(CONFIG_ASIGNATURAS!$B$7:$B$27,nASIG)&gt;0)*(nNOTA))/SUMPRODUCT((nNIA=S921)*(nCUENTA=1)*(COUNTIF(CONFIG_ASIGNATURAS!$B$7:$B$27,nASIG)&gt;0)*1),"")))</f>
        <v/>
      </c>
      <c r="Z921" t="str">
        <f>IF(Y921="","",IF(Y921="[FÓRMULA MANUAL]","",IFERROR(AVERAGEIFS(nNOTA,nNIA,Y921,nCUENTA,1,nASIG,"Análisis"),"")))</f>
        <v/>
      </c>
      <c r="AA921" t="str">
        <f>IF(Y921="","",IF(Y921="[FÓRMULA MANUAL]","",IFERROR(AVERAGEIFS(nNOTA,nNIA,Y921,nCUENTA,1,nASIG,"Orquesta/Banda/Conjunto"),"")))</f>
        <v/>
      </c>
      <c r="AB921" t="str">
        <f>IF(Y921="","",IF(Y921="[FÓRMULA MANUAL]","",IFERROR(AVERAGEIFS(nNOTA,nNIA,Y921,nCUENTA,1,nASIG,"Música de Cámara"),"")))</f>
        <v/>
      </c>
      <c r="AC921" t="str">
        <f>IF(Y921="","",IF(Y921="[FÓRMULA MANUAL]","",IFERROR(SUMPRODUCT((nNIA=Y921)*(nCUENTA=1)*(COUNTIF(CONFIG_ASIGNATURAS!$B$7:$B$27,nASIG)&gt;0)*(nNOTA))/SUMPRODUCT((nNIA=Y921)*(nCUENTA=1)*(COUNTIF(CONFIG_ASIGNATURAS!$B$7:$B$27,nASIG)&gt;0)*1),"")))</f>
        <v/>
      </c>
      <c r="AF921" t="str">
        <f>IF(AE921="","",IF(AE921="[FÓRMULA MANUAL]","",IFERROR(AVERAGEIFS(nNOTA,nNIA,AE921,nCUENTA,1,nASIG,"Análisis"),"")))</f>
        <v/>
      </c>
      <c r="AG921" t="str">
        <f>IF(AE921="","",IF(AE921="[FÓRMULA MANUAL]","",IFERROR(AVERAGEIFS(nNOTA,nNIA,AE921,nCUENTA,1,nASIG,"Orquesta/Banda/Conjunto"),"")))</f>
        <v/>
      </c>
      <c r="AH921" t="str">
        <f>IF(AE921="","",IF(AE921="[FÓRMULA MANUAL]","",IFERROR(AVERAGEIFS(nNOTA,nNIA,AE921,nCUENTA,1,nASIG,"Música de Cámara"),"")))</f>
        <v/>
      </c>
      <c r="AI921" t="str">
        <f>IF(AE921="","",IF(AE921="[FÓRMULA MANUAL]","",IFERROR(SUMPRODUCT((nNIA=AE921)*(nCUENTA=1)*(COUNTIF(CONFIG_ASIGNATURAS!$B$7:$B$27,nASIG)&gt;0)*(nNOTA))/SUMPRODUCT((nNIA=AE921)*(nCUENTA=1)*(COUNTIF(CONFIG_ASIGNATURAS!$B$7:$B$27,nASIG)&gt;0)*1),"")))</f>
        <v/>
      </c>
    </row>
    <row r="922" spans="2:35" x14ac:dyDescent="0.2">
      <c r="B922" t="str">
        <f>IF(A922="","",IF(A922="[FÓRMULA MANUAL]","",IFERROR(AVERAGEIFS(nNOTA,nNIA,A922,nCUENTA,1,nASIG,"Lenguaje Musical"),"")))</f>
        <v/>
      </c>
      <c r="C922" t="str">
        <f>IF(A922="","",IF(A922="[FÓRMULA MANUAL]","",IFERROR(AVERAGEIFS(nNOTA,nNIA,A922,nCUENTA,1,nASIG,"Orquesta/Banda/Conjunto"),"")))</f>
        <v/>
      </c>
      <c r="D922" t="str">
        <f>IF(A922="","",IF(A922="[FÓRMULA MANUAL]","",IFERROR(AVERAGEIFS(nNOTA,nNIA,A922,nCUENTA,1,nASIG,"Conjunto"),"")))</f>
        <v/>
      </c>
      <c r="E922" t="str">
        <f>IF(A922="","",IF(A922="[FÓRMULA MANUAL]","",IFERROR(SUMPRODUCT((nNIA=A922)*(nCUENTA=1)*(COUNTIF(CONFIG_ASIGNATURAS!$B$7:$B$27,nASIG)&gt;0)*(nNOTA))/SUMPRODUCT((nNIA=A922)*(nCUENTA=1)*(COUNTIF(CONFIG_ASIGNATURAS!$B$7:$B$27,nASIG)&gt;0)*1),"")))</f>
        <v/>
      </c>
      <c r="H922" t="str">
        <f>IF(G922="","",IF(G922="[FÓRMULA MANUAL]","",IFERROR(AVERAGEIFS(nNOTA,nNIA,G922,nCUENTA,1,nASIG,"Lenguaje Musical"),"")))</f>
        <v/>
      </c>
      <c r="I922" t="str">
        <f>IF(G922="","",IF(G922="[FÓRMULA MANUAL]","",IFERROR(AVERAGEIFS(nNOTA,nNIA,G922,nCUENTA,1,nASIG,"Orquesta/Banda/Conjunto"),"")))</f>
        <v/>
      </c>
      <c r="J922" t="str">
        <f>IF(G922="","",IF(G922="[FÓRMULA MANUAL]","",IFERROR(AVERAGEIFS(nNOTA,nNIA,G922,nCUENTA,1,nASIG,"Conjunto"),"")))</f>
        <v/>
      </c>
      <c r="K922" t="str">
        <f>IF(G922="","",IF(G922="[FÓRMULA MANUAL]","",IFERROR(SUMPRODUCT((nNIA=G922)*(nCUENTA=1)*(COUNTIF(CONFIG_ASIGNATURAS!$B$7:$B$27,nASIG)&gt;0)*(nNOTA))/SUMPRODUCT((nNIA=G922)*(nCUENTA=1)*(COUNTIF(CONFIG_ASIGNATURAS!$B$7:$B$27,nASIG)&gt;0)*1),"")))</f>
        <v/>
      </c>
      <c r="N922" t="str">
        <f>IF(M922="","",IF(M922="[FÓRMULA MANUAL]","",IFERROR(AVERAGEIFS(nNOTA,nNIA,M922,nCUENTA,1,nASIG,"Armonía"),"")))</f>
        <v/>
      </c>
      <c r="O922" t="str">
        <f>IF(M922="","",IF(M922="[FÓRMULA MANUAL]","",IFERROR(AVERAGEIFS(nNOTA,nNIA,M922,nCUENTA,1,nASIG,"Orquesta/Banda/Conjunto"),"")))</f>
        <v/>
      </c>
      <c r="P922" t="str">
        <f>IF(M922="","",IF(M922="[FÓRMULA MANUAL]","",IFERROR(AVERAGEIFS(nNOTA,nNIA,M922,nCUENTA,1,nASIG,"Música de Cámara"),"")))</f>
        <v/>
      </c>
      <c r="Q922" t="str">
        <f>IF(M922="","",IF(M922="[FÓRMULA MANUAL]","",IFERROR(SUMPRODUCT((nNIA=M922)*(nCUENTA=1)*(COUNTIF(CONFIG_ASIGNATURAS!$B$7:$B$27,nASIG)&gt;0)*(nNOTA))/SUMPRODUCT((nNIA=M922)*(nCUENTA=1)*(COUNTIF(CONFIG_ASIGNATURAS!$B$7:$B$27,nASIG)&gt;0)*1),"")))</f>
        <v/>
      </c>
      <c r="T922" t="str">
        <f>IF(S922="","",IF(S922="[FÓRMULA MANUAL]","",IFERROR(AVERAGEIFS(nNOTA,nNIA,S922,nCUENTA,1,nASIG,"Armonía"),"")))</f>
        <v/>
      </c>
      <c r="U922" t="str">
        <f>IF(S922="","",IF(S922="[FÓRMULA MANUAL]","",IFERROR(AVERAGEIFS(nNOTA,nNIA,S922,nCUENTA,1,nASIG,"Orquesta/Banda/Conjunto"),"")))</f>
        <v/>
      </c>
      <c r="V922" t="str">
        <f>IF(S922="","",IF(S922="[FÓRMULA MANUAL]","",IFERROR(AVERAGEIFS(nNOTA,nNIA,S922,nCUENTA,1,nASIG,"Música de Cámara"),"")))</f>
        <v/>
      </c>
      <c r="W922" t="str">
        <f>IF(S922="","",IF(S922="[FÓRMULA MANUAL]","",IFERROR(SUMPRODUCT((nNIA=S922)*(nCUENTA=1)*(COUNTIF(CONFIG_ASIGNATURAS!$B$7:$B$27,nASIG)&gt;0)*(nNOTA))/SUMPRODUCT((nNIA=S922)*(nCUENTA=1)*(COUNTIF(CONFIG_ASIGNATURAS!$B$7:$B$27,nASIG)&gt;0)*1),"")))</f>
        <v/>
      </c>
      <c r="Z922" t="str">
        <f>IF(Y922="","",IF(Y922="[FÓRMULA MANUAL]","",IFERROR(AVERAGEIFS(nNOTA,nNIA,Y922,nCUENTA,1,nASIG,"Análisis"),"")))</f>
        <v/>
      </c>
      <c r="AA922" t="str">
        <f>IF(Y922="","",IF(Y922="[FÓRMULA MANUAL]","",IFERROR(AVERAGEIFS(nNOTA,nNIA,Y922,nCUENTA,1,nASIG,"Orquesta/Banda/Conjunto"),"")))</f>
        <v/>
      </c>
      <c r="AB922" t="str">
        <f>IF(Y922="","",IF(Y922="[FÓRMULA MANUAL]","",IFERROR(AVERAGEIFS(nNOTA,nNIA,Y922,nCUENTA,1,nASIG,"Música de Cámara"),"")))</f>
        <v/>
      </c>
      <c r="AC922" t="str">
        <f>IF(Y922="","",IF(Y922="[FÓRMULA MANUAL]","",IFERROR(SUMPRODUCT((nNIA=Y922)*(nCUENTA=1)*(COUNTIF(CONFIG_ASIGNATURAS!$B$7:$B$27,nASIG)&gt;0)*(nNOTA))/SUMPRODUCT((nNIA=Y922)*(nCUENTA=1)*(COUNTIF(CONFIG_ASIGNATURAS!$B$7:$B$27,nASIG)&gt;0)*1),"")))</f>
        <v/>
      </c>
      <c r="AF922" t="str">
        <f>IF(AE922="","",IF(AE922="[FÓRMULA MANUAL]","",IFERROR(AVERAGEIFS(nNOTA,nNIA,AE922,nCUENTA,1,nASIG,"Análisis"),"")))</f>
        <v/>
      </c>
      <c r="AG922" t="str">
        <f>IF(AE922="","",IF(AE922="[FÓRMULA MANUAL]","",IFERROR(AVERAGEIFS(nNOTA,nNIA,AE922,nCUENTA,1,nASIG,"Orquesta/Banda/Conjunto"),"")))</f>
        <v/>
      </c>
      <c r="AH922" t="str">
        <f>IF(AE922="","",IF(AE922="[FÓRMULA MANUAL]","",IFERROR(AVERAGEIFS(nNOTA,nNIA,AE922,nCUENTA,1,nASIG,"Música de Cámara"),"")))</f>
        <v/>
      </c>
      <c r="AI922" t="str">
        <f>IF(AE922="","",IF(AE922="[FÓRMULA MANUAL]","",IFERROR(SUMPRODUCT((nNIA=AE922)*(nCUENTA=1)*(COUNTIF(CONFIG_ASIGNATURAS!$B$7:$B$27,nASIG)&gt;0)*(nNOTA))/SUMPRODUCT((nNIA=AE922)*(nCUENTA=1)*(COUNTIF(CONFIG_ASIGNATURAS!$B$7:$B$27,nASIG)&gt;0)*1),"")))</f>
        <v/>
      </c>
    </row>
    <row r="923" spans="2:35" x14ac:dyDescent="0.2">
      <c r="B923" t="str">
        <f>IF(A923="","",IF(A923="[FÓRMULA MANUAL]","",IFERROR(AVERAGEIFS(nNOTA,nNIA,A923,nCUENTA,1,nASIG,"Lenguaje Musical"),"")))</f>
        <v/>
      </c>
      <c r="C923" t="str">
        <f>IF(A923="","",IF(A923="[FÓRMULA MANUAL]","",IFERROR(AVERAGEIFS(nNOTA,nNIA,A923,nCUENTA,1,nASIG,"Orquesta/Banda/Conjunto"),"")))</f>
        <v/>
      </c>
      <c r="D923" t="str">
        <f>IF(A923="","",IF(A923="[FÓRMULA MANUAL]","",IFERROR(AVERAGEIFS(nNOTA,nNIA,A923,nCUENTA,1,nASIG,"Conjunto"),"")))</f>
        <v/>
      </c>
      <c r="E923" t="str">
        <f>IF(A923="","",IF(A923="[FÓRMULA MANUAL]","",IFERROR(SUMPRODUCT((nNIA=A923)*(nCUENTA=1)*(COUNTIF(CONFIG_ASIGNATURAS!$B$7:$B$27,nASIG)&gt;0)*(nNOTA))/SUMPRODUCT((nNIA=A923)*(nCUENTA=1)*(COUNTIF(CONFIG_ASIGNATURAS!$B$7:$B$27,nASIG)&gt;0)*1),"")))</f>
        <v/>
      </c>
      <c r="H923" t="str">
        <f>IF(G923="","",IF(G923="[FÓRMULA MANUAL]","",IFERROR(AVERAGEIFS(nNOTA,nNIA,G923,nCUENTA,1,nASIG,"Lenguaje Musical"),"")))</f>
        <v/>
      </c>
      <c r="I923" t="str">
        <f>IF(G923="","",IF(G923="[FÓRMULA MANUAL]","",IFERROR(AVERAGEIFS(nNOTA,nNIA,G923,nCUENTA,1,nASIG,"Orquesta/Banda/Conjunto"),"")))</f>
        <v/>
      </c>
      <c r="J923" t="str">
        <f>IF(G923="","",IF(G923="[FÓRMULA MANUAL]","",IFERROR(AVERAGEIFS(nNOTA,nNIA,G923,nCUENTA,1,nASIG,"Conjunto"),"")))</f>
        <v/>
      </c>
      <c r="K923" t="str">
        <f>IF(G923="","",IF(G923="[FÓRMULA MANUAL]","",IFERROR(SUMPRODUCT((nNIA=G923)*(nCUENTA=1)*(COUNTIF(CONFIG_ASIGNATURAS!$B$7:$B$27,nASIG)&gt;0)*(nNOTA))/SUMPRODUCT((nNIA=G923)*(nCUENTA=1)*(COUNTIF(CONFIG_ASIGNATURAS!$B$7:$B$27,nASIG)&gt;0)*1),"")))</f>
        <v/>
      </c>
      <c r="N923" t="str">
        <f>IF(M923="","",IF(M923="[FÓRMULA MANUAL]","",IFERROR(AVERAGEIFS(nNOTA,nNIA,M923,nCUENTA,1,nASIG,"Armonía"),"")))</f>
        <v/>
      </c>
      <c r="O923" t="str">
        <f>IF(M923="","",IF(M923="[FÓRMULA MANUAL]","",IFERROR(AVERAGEIFS(nNOTA,nNIA,M923,nCUENTA,1,nASIG,"Orquesta/Banda/Conjunto"),"")))</f>
        <v/>
      </c>
      <c r="P923" t="str">
        <f>IF(M923="","",IF(M923="[FÓRMULA MANUAL]","",IFERROR(AVERAGEIFS(nNOTA,nNIA,M923,nCUENTA,1,nASIG,"Música de Cámara"),"")))</f>
        <v/>
      </c>
      <c r="Q923" t="str">
        <f>IF(M923="","",IF(M923="[FÓRMULA MANUAL]","",IFERROR(SUMPRODUCT((nNIA=M923)*(nCUENTA=1)*(COUNTIF(CONFIG_ASIGNATURAS!$B$7:$B$27,nASIG)&gt;0)*(nNOTA))/SUMPRODUCT((nNIA=M923)*(nCUENTA=1)*(COUNTIF(CONFIG_ASIGNATURAS!$B$7:$B$27,nASIG)&gt;0)*1),"")))</f>
        <v/>
      </c>
      <c r="T923" t="str">
        <f>IF(S923="","",IF(S923="[FÓRMULA MANUAL]","",IFERROR(AVERAGEIFS(nNOTA,nNIA,S923,nCUENTA,1,nASIG,"Armonía"),"")))</f>
        <v/>
      </c>
      <c r="U923" t="str">
        <f>IF(S923="","",IF(S923="[FÓRMULA MANUAL]","",IFERROR(AVERAGEIFS(nNOTA,nNIA,S923,nCUENTA,1,nASIG,"Orquesta/Banda/Conjunto"),"")))</f>
        <v/>
      </c>
      <c r="V923" t="str">
        <f>IF(S923="","",IF(S923="[FÓRMULA MANUAL]","",IFERROR(AVERAGEIFS(nNOTA,nNIA,S923,nCUENTA,1,nASIG,"Música de Cámara"),"")))</f>
        <v/>
      </c>
      <c r="W923" t="str">
        <f>IF(S923="","",IF(S923="[FÓRMULA MANUAL]","",IFERROR(SUMPRODUCT((nNIA=S923)*(nCUENTA=1)*(COUNTIF(CONFIG_ASIGNATURAS!$B$7:$B$27,nASIG)&gt;0)*(nNOTA))/SUMPRODUCT((nNIA=S923)*(nCUENTA=1)*(COUNTIF(CONFIG_ASIGNATURAS!$B$7:$B$27,nASIG)&gt;0)*1),"")))</f>
        <v/>
      </c>
      <c r="Z923" t="str">
        <f>IF(Y923="","",IF(Y923="[FÓRMULA MANUAL]","",IFERROR(AVERAGEIFS(nNOTA,nNIA,Y923,nCUENTA,1,nASIG,"Análisis"),"")))</f>
        <v/>
      </c>
      <c r="AA923" t="str">
        <f>IF(Y923="","",IF(Y923="[FÓRMULA MANUAL]","",IFERROR(AVERAGEIFS(nNOTA,nNIA,Y923,nCUENTA,1,nASIG,"Orquesta/Banda/Conjunto"),"")))</f>
        <v/>
      </c>
      <c r="AB923" t="str">
        <f>IF(Y923="","",IF(Y923="[FÓRMULA MANUAL]","",IFERROR(AVERAGEIFS(nNOTA,nNIA,Y923,nCUENTA,1,nASIG,"Música de Cámara"),"")))</f>
        <v/>
      </c>
      <c r="AC923" t="str">
        <f>IF(Y923="","",IF(Y923="[FÓRMULA MANUAL]","",IFERROR(SUMPRODUCT((nNIA=Y923)*(nCUENTA=1)*(COUNTIF(CONFIG_ASIGNATURAS!$B$7:$B$27,nASIG)&gt;0)*(nNOTA))/SUMPRODUCT((nNIA=Y923)*(nCUENTA=1)*(COUNTIF(CONFIG_ASIGNATURAS!$B$7:$B$27,nASIG)&gt;0)*1),"")))</f>
        <v/>
      </c>
      <c r="AF923" t="str">
        <f>IF(AE923="","",IF(AE923="[FÓRMULA MANUAL]","",IFERROR(AVERAGEIFS(nNOTA,nNIA,AE923,nCUENTA,1,nASIG,"Análisis"),"")))</f>
        <v/>
      </c>
      <c r="AG923" t="str">
        <f>IF(AE923="","",IF(AE923="[FÓRMULA MANUAL]","",IFERROR(AVERAGEIFS(nNOTA,nNIA,AE923,nCUENTA,1,nASIG,"Orquesta/Banda/Conjunto"),"")))</f>
        <v/>
      </c>
      <c r="AH923" t="str">
        <f>IF(AE923="","",IF(AE923="[FÓRMULA MANUAL]","",IFERROR(AVERAGEIFS(nNOTA,nNIA,AE923,nCUENTA,1,nASIG,"Música de Cámara"),"")))</f>
        <v/>
      </c>
      <c r="AI923" t="str">
        <f>IF(AE923="","",IF(AE923="[FÓRMULA MANUAL]","",IFERROR(SUMPRODUCT((nNIA=AE923)*(nCUENTA=1)*(COUNTIF(CONFIG_ASIGNATURAS!$B$7:$B$27,nASIG)&gt;0)*(nNOTA))/SUMPRODUCT((nNIA=AE923)*(nCUENTA=1)*(COUNTIF(CONFIG_ASIGNATURAS!$B$7:$B$27,nASIG)&gt;0)*1),"")))</f>
        <v/>
      </c>
    </row>
    <row r="924" spans="2:35" x14ac:dyDescent="0.2">
      <c r="B924" t="str">
        <f>IF(A924="","",IF(A924="[FÓRMULA MANUAL]","",IFERROR(AVERAGEIFS(nNOTA,nNIA,A924,nCUENTA,1,nASIG,"Lenguaje Musical"),"")))</f>
        <v/>
      </c>
      <c r="C924" t="str">
        <f>IF(A924="","",IF(A924="[FÓRMULA MANUAL]","",IFERROR(AVERAGEIFS(nNOTA,nNIA,A924,nCUENTA,1,nASIG,"Orquesta/Banda/Conjunto"),"")))</f>
        <v/>
      </c>
      <c r="D924" t="str">
        <f>IF(A924="","",IF(A924="[FÓRMULA MANUAL]","",IFERROR(AVERAGEIFS(nNOTA,nNIA,A924,nCUENTA,1,nASIG,"Conjunto"),"")))</f>
        <v/>
      </c>
      <c r="E924" t="str">
        <f>IF(A924="","",IF(A924="[FÓRMULA MANUAL]","",IFERROR(SUMPRODUCT((nNIA=A924)*(nCUENTA=1)*(COUNTIF(CONFIG_ASIGNATURAS!$B$7:$B$27,nASIG)&gt;0)*(nNOTA))/SUMPRODUCT((nNIA=A924)*(nCUENTA=1)*(COUNTIF(CONFIG_ASIGNATURAS!$B$7:$B$27,nASIG)&gt;0)*1),"")))</f>
        <v/>
      </c>
      <c r="H924" t="str">
        <f>IF(G924="","",IF(G924="[FÓRMULA MANUAL]","",IFERROR(AVERAGEIFS(nNOTA,nNIA,G924,nCUENTA,1,nASIG,"Lenguaje Musical"),"")))</f>
        <v/>
      </c>
      <c r="I924" t="str">
        <f>IF(G924="","",IF(G924="[FÓRMULA MANUAL]","",IFERROR(AVERAGEIFS(nNOTA,nNIA,G924,nCUENTA,1,nASIG,"Orquesta/Banda/Conjunto"),"")))</f>
        <v/>
      </c>
      <c r="J924" t="str">
        <f>IF(G924="","",IF(G924="[FÓRMULA MANUAL]","",IFERROR(AVERAGEIFS(nNOTA,nNIA,G924,nCUENTA,1,nASIG,"Conjunto"),"")))</f>
        <v/>
      </c>
      <c r="K924" t="str">
        <f>IF(G924="","",IF(G924="[FÓRMULA MANUAL]","",IFERROR(SUMPRODUCT((nNIA=G924)*(nCUENTA=1)*(COUNTIF(CONFIG_ASIGNATURAS!$B$7:$B$27,nASIG)&gt;0)*(nNOTA))/SUMPRODUCT((nNIA=G924)*(nCUENTA=1)*(COUNTIF(CONFIG_ASIGNATURAS!$B$7:$B$27,nASIG)&gt;0)*1),"")))</f>
        <v/>
      </c>
      <c r="N924" t="str">
        <f>IF(M924="","",IF(M924="[FÓRMULA MANUAL]","",IFERROR(AVERAGEIFS(nNOTA,nNIA,M924,nCUENTA,1,nASIG,"Armonía"),"")))</f>
        <v/>
      </c>
      <c r="O924" t="str">
        <f>IF(M924="","",IF(M924="[FÓRMULA MANUAL]","",IFERROR(AVERAGEIFS(nNOTA,nNIA,M924,nCUENTA,1,nASIG,"Orquesta/Banda/Conjunto"),"")))</f>
        <v/>
      </c>
      <c r="P924" t="str">
        <f>IF(M924="","",IF(M924="[FÓRMULA MANUAL]","",IFERROR(AVERAGEIFS(nNOTA,nNIA,M924,nCUENTA,1,nASIG,"Música de Cámara"),"")))</f>
        <v/>
      </c>
      <c r="Q924" t="str">
        <f>IF(M924="","",IF(M924="[FÓRMULA MANUAL]","",IFERROR(SUMPRODUCT((nNIA=M924)*(nCUENTA=1)*(COUNTIF(CONFIG_ASIGNATURAS!$B$7:$B$27,nASIG)&gt;0)*(nNOTA))/SUMPRODUCT((nNIA=M924)*(nCUENTA=1)*(COUNTIF(CONFIG_ASIGNATURAS!$B$7:$B$27,nASIG)&gt;0)*1),"")))</f>
        <v/>
      </c>
      <c r="T924" t="str">
        <f>IF(S924="","",IF(S924="[FÓRMULA MANUAL]","",IFERROR(AVERAGEIFS(nNOTA,nNIA,S924,nCUENTA,1,nASIG,"Armonía"),"")))</f>
        <v/>
      </c>
      <c r="U924" t="str">
        <f>IF(S924="","",IF(S924="[FÓRMULA MANUAL]","",IFERROR(AVERAGEIFS(nNOTA,nNIA,S924,nCUENTA,1,nASIG,"Orquesta/Banda/Conjunto"),"")))</f>
        <v/>
      </c>
      <c r="V924" t="str">
        <f>IF(S924="","",IF(S924="[FÓRMULA MANUAL]","",IFERROR(AVERAGEIFS(nNOTA,nNIA,S924,nCUENTA,1,nASIG,"Música de Cámara"),"")))</f>
        <v/>
      </c>
      <c r="W924" t="str">
        <f>IF(S924="","",IF(S924="[FÓRMULA MANUAL]","",IFERROR(SUMPRODUCT((nNIA=S924)*(nCUENTA=1)*(COUNTIF(CONFIG_ASIGNATURAS!$B$7:$B$27,nASIG)&gt;0)*(nNOTA))/SUMPRODUCT((nNIA=S924)*(nCUENTA=1)*(COUNTIF(CONFIG_ASIGNATURAS!$B$7:$B$27,nASIG)&gt;0)*1),"")))</f>
        <v/>
      </c>
      <c r="Z924" t="str">
        <f>IF(Y924="","",IF(Y924="[FÓRMULA MANUAL]","",IFERROR(AVERAGEIFS(nNOTA,nNIA,Y924,nCUENTA,1,nASIG,"Análisis"),"")))</f>
        <v/>
      </c>
      <c r="AA924" t="str">
        <f>IF(Y924="","",IF(Y924="[FÓRMULA MANUAL]","",IFERROR(AVERAGEIFS(nNOTA,nNIA,Y924,nCUENTA,1,nASIG,"Orquesta/Banda/Conjunto"),"")))</f>
        <v/>
      </c>
      <c r="AB924" t="str">
        <f>IF(Y924="","",IF(Y924="[FÓRMULA MANUAL]","",IFERROR(AVERAGEIFS(nNOTA,nNIA,Y924,nCUENTA,1,nASIG,"Música de Cámara"),"")))</f>
        <v/>
      </c>
      <c r="AC924" t="str">
        <f>IF(Y924="","",IF(Y924="[FÓRMULA MANUAL]","",IFERROR(SUMPRODUCT((nNIA=Y924)*(nCUENTA=1)*(COUNTIF(CONFIG_ASIGNATURAS!$B$7:$B$27,nASIG)&gt;0)*(nNOTA))/SUMPRODUCT((nNIA=Y924)*(nCUENTA=1)*(COUNTIF(CONFIG_ASIGNATURAS!$B$7:$B$27,nASIG)&gt;0)*1),"")))</f>
        <v/>
      </c>
      <c r="AF924" t="str">
        <f>IF(AE924="","",IF(AE924="[FÓRMULA MANUAL]","",IFERROR(AVERAGEIFS(nNOTA,nNIA,AE924,nCUENTA,1,nASIG,"Análisis"),"")))</f>
        <v/>
      </c>
      <c r="AG924" t="str">
        <f>IF(AE924="","",IF(AE924="[FÓRMULA MANUAL]","",IFERROR(AVERAGEIFS(nNOTA,nNIA,AE924,nCUENTA,1,nASIG,"Orquesta/Banda/Conjunto"),"")))</f>
        <v/>
      </c>
      <c r="AH924" t="str">
        <f>IF(AE924="","",IF(AE924="[FÓRMULA MANUAL]","",IFERROR(AVERAGEIFS(nNOTA,nNIA,AE924,nCUENTA,1,nASIG,"Música de Cámara"),"")))</f>
        <v/>
      </c>
      <c r="AI924" t="str">
        <f>IF(AE924="","",IF(AE924="[FÓRMULA MANUAL]","",IFERROR(SUMPRODUCT((nNIA=AE924)*(nCUENTA=1)*(COUNTIF(CONFIG_ASIGNATURAS!$B$7:$B$27,nASIG)&gt;0)*(nNOTA))/SUMPRODUCT((nNIA=AE924)*(nCUENTA=1)*(COUNTIF(CONFIG_ASIGNATURAS!$B$7:$B$27,nASIG)&gt;0)*1),"")))</f>
        <v/>
      </c>
    </row>
    <row r="925" spans="2:35" x14ac:dyDescent="0.2">
      <c r="B925" t="str">
        <f>IF(A925="","",IF(A925="[FÓRMULA MANUAL]","",IFERROR(AVERAGEIFS(nNOTA,nNIA,A925,nCUENTA,1,nASIG,"Lenguaje Musical"),"")))</f>
        <v/>
      </c>
      <c r="C925" t="str">
        <f>IF(A925="","",IF(A925="[FÓRMULA MANUAL]","",IFERROR(AVERAGEIFS(nNOTA,nNIA,A925,nCUENTA,1,nASIG,"Orquesta/Banda/Conjunto"),"")))</f>
        <v/>
      </c>
      <c r="D925" t="str">
        <f>IF(A925="","",IF(A925="[FÓRMULA MANUAL]","",IFERROR(AVERAGEIFS(nNOTA,nNIA,A925,nCUENTA,1,nASIG,"Conjunto"),"")))</f>
        <v/>
      </c>
      <c r="E925" t="str">
        <f>IF(A925="","",IF(A925="[FÓRMULA MANUAL]","",IFERROR(SUMPRODUCT((nNIA=A925)*(nCUENTA=1)*(COUNTIF(CONFIG_ASIGNATURAS!$B$7:$B$27,nASIG)&gt;0)*(nNOTA))/SUMPRODUCT((nNIA=A925)*(nCUENTA=1)*(COUNTIF(CONFIG_ASIGNATURAS!$B$7:$B$27,nASIG)&gt;0)*1),"")))</f>
        <v/>
      </c>
      <c r="H925" t="str">
        <f>IF(G925="","",IF(G925="[FÓRMULA MANUAL]","",IFERROR(AVERAGEIFS(nNOTA,nNIA,G925,nCUENTA,1,nASIG,"Lenguaje Musical"),"")))</f>
        <v/>
      </c>
      <c r="I925" t="str">
        <f>IF(G925="","",IF(G925="[FÓRMULA MANUAL]","",IFERROR(AVERAGEIFS(nNOTA,nNIA,G925,nCUENTA,1,nASIG,"Orquesta/Banda/Conjunto"),"")))</f>
        <v/>
      </c>
      <c r="J925" t="str">
        <f>IF(G925="","",IF(G925="[FÓRMULA MANUAL]","",IFERROR(AVERAGEIFS(nNOTA,nNIA,G925,nCUENTA,1,nASIG,"Conjunto"),"")))</f>
        <v/>
      </c>
      <c r="K925" t="str">
        <f>IF(G925="","",IF(G925="[FÓRMULA MANUAL]","",IFERROR(SUMPRODUCT((nNIA=G925)*(nCUENTA=1)*(COUNTIF(CONFIG_ASIGNATURAS!$B$7:$B$27,nASIG)&gt;0)*(nNOTA))/SUMPRODUCT((nNIA=G925)*(nCUENTA=1)*(COUNTIF(CONFIG_ASIGNATURAS!$B$7:$B$27,nASIG)&gt;0)*1),"")))</f>
        <v/>
      </c>
      <c r="N925" t="str">
        <f>IF(M925="","",IF(M925="[FÓRMULA MANUAL]","",IFERROR(AVERAGEIFS(nNOTA,nNIA,M925,nCUENTA,1,nASIG,"Armonía"),"")))</f>
        <v/>
      </c>
      <c r="O925" t="str">
        <f>IF(M925="","",IF(M925="[FÓRMULA MANUAL]","",IFERROR(AVERAGEIFS(nNOTA,nNIA,M925,nCUENTA,1,nASIG,"Orquesta/Banda/Conjunto"),"")))</f>
        <v/>
      </c>
      <c r="P925" t="str">
        <f>IF(M925="","",IF(M925="[FÓRMULA MANUAL]","",IFERROR(AVERAGEIFS(nNOTA,nNIA,M925,nCUENTA,1,nASIG,"Música de Cámara"),"")))</f>
        <v/>
      </c>
      <c r="Q925" t="str">
        <f>IF(M925="","",IF(M925="[FÓRMULA MANUAL]","",IFERROR(SUMPRODUCT((nNIA=M925)*(nCUENTA=1)*(COUNTIF(CONFIG_ASIGNATURAS!$B$7:$B$27,nASIG)&gt;0)*(nNOTA))/SUMPRODUCT((nNIA=M925)*(nCUENTA=1)*(COUNTIF(CONFIG_ASIGNATURAS!$B$7:$B$27,nASIG)&gt;0)*1),"")))</f>
        <v/>
      </c>
      <c r="T925" t="str">
        <f>IF(S925="","",IF(S925="[FÓRMULA MANUAL]","",IFERROR(AVERAGEIFS(nNOTA,nNIA,S925,nCUENTA,1,nASIG,"Armonía"),"")))</f>
        <v/>
      </c>
      <c r="U925" t="str">
        <f>IF(S925="","",IF(S925="[FÓRMULA MANUAL]","",IFERROR(AVERAGEIFS(nNOTA,nNIA,S925,nCUENTA,1,nASIG,"Orquesta/Banda/Conjunto"),"")))</f>
        <v/>
      </c>
      <c r="V925" t="str">
        <f>IF(S925="","",IF(S925="[FÓRMULA MANUAL]","",IFERROR(AVERAGEIFS(nNOTA,nNIA,S925,nCUENTA,1,nASIG,"Música de Cámara"),"")))</f>
        <v/>
      </c>
      <c r="W925" t="str">
        <f>IF(S925="","",IF(S925="[FÓRMULA MANUAL]","",IFERROR(SUMPRODUCT((nNIA=S925)*(nCUENTA=1)*(COUNTIF(CONFIG_ASIGNATURAS!$B$7:$B$27,nASIG)&gt;0)*(nNOTA))/SUMPRODUCT((nNIA=S925)*(nCUENTA=1)*(COUNTIF(CONFIG_ASIGNATURAS!$B$7:$B$27,nASIG)&gt;0)*1),"")))</f>
        <v/>
      </c>
      <c r="Z925" t="str">
        <f>IF(Y925="","",IF(Y925="[FÓRMULA MANUAL]","",IFERROR(AVERAGEIFS(nNOTA,nNIA,Y925,nCUENTA,1,nASIG,"Análisis"),"")))</f>
        <v/>
      </c>
      <c r="AA925" t="str">
        <f>IF(Y925="","",IF(Y925="[FÓRMULA MANUAL]","",IFERROR(AVERAGEIFS(nNOTA,nNIA,Y925,nCUENTA,1,nASIG,"Orquesta/Banda/Conjunto"),"")))</f>
        <v/>
      </c>
      <c r="AB925" t="str">
        <f>IF(Y925="","",IF(Y925="[FÓRMULA MANUAL]","",IFERROR(AVERAGEIFS(nNOTA,nNIA,Y925,nCUENTA,1,nASIG,"Música de Cámara"),"")))</f>
        <v/>
      </c>
      <c r="AC925" t="str">
        <f>IF(Y925="","",IF(Y925="[FÓRMULA MANUAL]","",IFERROR(SUMPRODUCT((nNIA=Y925)*(nCUENTA=1)*(COUNTIF(CONFIG_ASIGNATURAS!$B$7:$B$27,nASIG)&gt;0)*(nNOTA))/SUMPRODUCT((nNIA=Y925)*(nCUENTA=1)*(COUNTIF(CONFIG_ASIGNATURAS!$B$7:$B$27,nASIG)&gt;0)*1),"")))</f>
        <v/>
      </c>
      <c r="AF925" t="str">
        <f>IF(AE925="","",IF(AE925="[FÓRMULA MANUAL]","",IFERROR(AVERAGEIFS(nNOTA,nNIA,AE925,nCUENTA,1,nASIG,"Análisis"),"")))</f>
        <v/>
      </c>
      <c r="AG925" t="str">
        <f>IF(AE925="","",IF(AE925="[FÓRMULA MANUAL]","",IFERROR(AVERAGEIFS(nNOTA,nNIA,AE925,nCUENTA,1,nASIG,"Orquesta/Banda/Conjunto"),"")))</f>
        <v/>
      </c>
      <c r="AH925" t="str">
        <f>IF(AE925="","",IF(AE925="[FÓRMULA MANUAL]","",IFERROR(AVERAGEIFS(nNOTA,nNIA,AE925,nCUENTA,1,nASIG,"Música de Cámara"),"")))</f>
        <v/>
      </c>
      <c r="AI925" t="str">
        <f>IF(AE925="","",IF(AE925="[FÓRMULA MANUAL]","",IFERROR(SUMPRODUCT((nNIA=AE925)*(nCUENTA=1)*(COUNTIF(CONFIG_ASIGNATURAS!$B$7:$B$27,nASIG)&gt;0)*(nNOTA))/SUMPRODUCT((nNIA=AE925)*(nCUENTA=1)*(COUNTIF(CONFIG_ASIGNATURAS!$B$7:$B$27,nASIG)&gt;0)*1),"")))</f>
        <v/>
      </c>
    </row>
    <row r="926" spans="2:35" x14ac:dyDescent="0.2">
      <c r="B926" t="str">
        <f>IF(A926="","",IF(A926="[FÓRMULA MANUAL]","",IFERROR(AVERAGEIFS(nNOTA,nNIA,A926,nCUENTA,1,nASIG,"Lenguaje Musical"),"")))</f>
        <v/>
      </c>
      <c r="C926" t="str">
        <f>IF(A926="","",IF(A926="[FÓRMULA MANUAL]","",IFERROR(AVERAGEIFS(nNOTA,nNIA,A926,nCUENTA,1,nASIG,"Orquesta/Banda/Conjunto"),"")))</f>
        <v/>
      </c>
      <c r="D926" t="str">
        <f>IF(A926="","",IF(A926="[FÓRMULA MANUAL]","",IFERROR(AVERAGEIFS(nNOTA,nNIA,A926,nCUENTA,1,nASIG,"Conjunto"),"")))</f>
        <v/>
      </c>
      <c r="E926" t="str">
        <f>IF(A926="","",IF(A926="[FÓRMULA MANUAL]","",IFERROR(SUMPRODUCT((nNIA=A926)*(nCUENTA=1)*(COUNTIF(CONFIG_ASIGNATURAS!$B$7:$B$27,nASIG)&gt;0)*(nNOTA))/SUMPRODUCT((nNIA=A926)*(nCUENTA=1)*(COUNTIF(CONFIG_ASIGNATURAS!$B$7:$B$27,nASIG)&gt;0)*1),"")))</f>
        <v/>
      </c>
      <c r="H926" t="str">
        <f>IF(G926="","",IF(G926="[FÓRMULA MANUAL]","",IFERROR(AVERAGEIFS(nNOTA,nNIA,G926,nCUENTA,1,nASIG,"Lenguaje Musical"),"")))</f>
        <v/>
      </c>
      <c r="I926" t="str">
        <f>IF(G926="","",IF(G926="[FÓRMULA MANUAL]","",IFERROR(AVERAGEIFS(nNOTA,nNIA,G926,nCUENTA,1,nASIG,"Orquesta/Banda/Conjunto"),"")))</f>
        <v/>
      </c>
      <c r="J926" t="str">
        <f>IF(G926="","",IF(G926="[FÓRMULA MANUAL]","",IFERROR(AVERAGEIFS(nNOTA,nNIA,G926,nCUENTA,1,nASIG,"Conjunto"),"")))</f>
        <v/>
      </c>
      <c r="K926" t="str">
        <f>IF(G926="","",IF(G926="[FÓRMULA MANUAL]","",IFERROR(SUMPRODUCT((nNIA=G926)*(nCUENTA=1)*(COUNTIF(CONFIG_ASIGNATURAS!$B$7:$B$27,nASIG)&gt;0)*(nNOTA))/SUMPRODUCT((nNIA=G926)*(nCUENTA=1)*(COUNTIF(CONFIG_ASIGNATURAS!$B$7:$B$27,nASIG)&gt;0)*1),"")))</f>
        <v/>
      </c>
      <c r="N926" t="str">
        <f>IF(M926="","",IF(M926="[FÓRMULA MANUAL]","",IFERROR(AVERAGEIFS(nNOTA,nNIA,M926,nCUENTA,1,nASIG,"Armonía"),"")))</f>
        <v/>
      </c>
      <c r="O926" t="str">
        <f>IF(M926="","",IF(M926="[FÓRMULA MANUAL]","",IFERROR(AVERAGEIFS(nNOTA,nNIA,M926,nCUENTA,1,nASIG,"Orquesta/Banda/Conjunto"),"")))</f>
        <v/>
      </c>
      <c r="P926" t="str">
        <f>IF(M926="","",IF(M926="[FÓRMULA MANUAL]","",IFERROR(AVERAGEIFS(nNOTA,nNIA,M926,nCUENTA,1,nASIG,"Música de Cámara"),"")))</f>
        <v/>
      </c>
      <c r="Q926" t="str">
        <f>IF(M926="","",IF(M926="[FÓRMULA MANUAL]","",IFERROR(SUMPRODUCT((nNIA=M926)*(nCUENTA=1)*(COUNTIF(CONFIG_ASIGNATURAS!$B$7:$B$27,nASIG)&gt;0)*(nNOTA))/SUMPRODUCT((nNIA=M926)*(nCUENTA=1)*(COUNTIF(CONFIG_ASIGNATURAS!$B$7:$B$27,nASIG)&gt;0)*1),"")))</f>
        <v/>
      </c>
      <c r="T926" t="str">
        <f>IF(S926="","",IF(S926="[FÓRMULA MANUAL]","",IFERROR(AVERAGEIFS(nNOTA,nNIA,S926,nCUENTA,1,nASIG,"Armonía"),"")))</f>
        <v/>
      </c>
      <c r="U926" t="str">
        <f>IF(S926="","",IF(S926="[FÓRMULA MANUAL]","",IFERROR(AVERAGEIFS(nNOTA,nNIA,S926,nCUENTA,1,nASIG,"Orquesta/Banda/Conjunto"),"")))</f>
        <v/>
      </c>
      <c r="V926" t="str">
        <f>IF(S926="","",IF(S926="[FÓRMULA MANUAL]","",IFERROR(AVERAGEIFS(nNOTA,nNIA,S926,nCUENTA,1,nASIG,"Música de Cámara"),"")))</f>
        <v/>
      </c>
      <c r="W926" t="str">
        <f>IF(S926="","",IF(S926="[FÓRMULA MANUAL]","",IFERROR(SUMPRODUCT((nNIA=S926)*(nCUENTA=1)*(COUNTIF(CONFIG_ASIGNATURAS!$B$7:$B$27,nASIG)&gt;0)*(nNOTA))/SUMPRODUCT((nNIA=S926)*(nCUENTA=1)*(COUNTIF(CONFIG_ASIGNATURAS!$B$7:$B$27,nASIG)&gt;0)*1),"")))</f>
        <v/>
      </c>
      <c r="Z926" t="str">
        <f>IF(Y926="","",IF(Y926="[FÓRMULA MANUAL]","",IFERROR(AVERAGEIFS(nNOTA,nNIA,Y926,nCUENTA,1,nASIG,"Análisis"),"")))</f>
        <v/>
      </c>
      <c r="AA926" t="str">
        <f>IF(Y926="","",IF(Y926="[FÓRMULA MANUAL]","",IFERROR(AVERAGEIFS(nNOTA,nNIA,Y926,nCUENTA,1,nASIG,"Orquesta/Banda/Conjunto"),"")))</f>
        <v/>
      </c>
      <c r="AB926" t="str">
        <f>IF(Y926="","",IF(Y926="[FÓRMULA MANUAL]","",IFERROR(AVERAGEIFS(nNOTA,nNIA,Y926,nCUENTA,1,nASIG,"Música de Cámara"),"")))</f>
        <v/>
      </c>
      <c r="AC926" t="str">
        <f>IF(Y926="","",IF(Y926="[FÓRMULA MANUAL]","",IFERROR(SUMPRODUCT((nNIA=Y926)*(nCUENTA=1)*(COUNTIF(CONFIG_ASIGNATURAS!$B$7:$B$27,nASIG)&gt;0)*(nNOTA))/SUMPRODUCT((nNIA=Y926)*(nCUENTA=1)*(COUNTIF(CONFIG_ASIGNATURAS!$B$7:$B$27,nASIG)&gt;0)*1),"")))</f>
        <v/>
      </c>
      <c r="AF926" t="str">
        <f>IF(AE926="","",IF(AE926="[FÓRMULA MANUAL]","",IFERROR(AVERAGEIFS(nNOTA,nNIA,AE926,nCUENTA,1,nASIG,"Análisis"),"")))</f>
        <v/>
      </c>
      <c r="AG926" t="str">
        <f>IF(AE926="","",IF(AE926="[FÓRMULA MANUAL]","",IFERROR(AVERAGEIFS(nNOTA,nNIA,AE926,nCUENTA,1,nASIG,"Orquesta/Banda/Conjunto"),"")))</f>
        <v/>
      </c>
      <c r="AH926" t="str">
        <f>IF(AE926="","",IF(AE926="[FÓRMULA MANUAL]","",IFERROR(AVERAGEIFS(nNOTA,nNIA,AE926,nCUENTA,1,nASIG,"Música de Cámara"),"")))</f>
        <v/>
      </c>
      <c r="AI926" t="str">
        <f>IF(AE926="","",IF(AE926="[FÓRMULA MANUAL]","",IFERROR(SUMPRODUCT((nNIA=AE926)*(nCUENTA=1)*(COUNTIF(CONFIG_ASIGNATURAS!$B$7:$B$27,nASIG)&gt;0)*(nNOTA))/SUMPRODUCT((nNIA=AE926)*(nCUENTA=1)*(COUNTIF(CONFIG_ASIGNATURAS!$B$7:$B$27,nASIG)&gt;0)*1),"")))</f>
        <v/>
      </c>
    </row>
    <row r="927" spans="2:35" x14ac:dyDescent="0.2">
      <c r="B927" t="str">
        <f>IF(A927="","",IF(A927="[FÓRMULA MANUAL]","",IFERROR(AVERAGEIFS(nNOTA,nNIA,A927,nCUENTA,1,nASIG,"Lenguaje Musical"),"")))</f>
        <v/>
      </c>
      <c r="C927" t="str">
        <f>IF(A927="","",IF(A927="[FÓRMULA MANUAL]","",IFERROR(AVERAGEIFS(nNOTA,nNIA,A927,nCUENTA,1,nASIG,"Orquesta/Banda/Conjunto"),"")))</f>
        <v/>
      </c>
      <c r="D927" t="str">
        <f>IF(A927="","",IF(A927="[FÓRMULA MANUAL]","",IFERROR(AVERAGEIFS(nNOTA,nNIA,A927,nCUENTA,1,nASIG,"Conjunto"),"")))</f>
        <v/>
      </c>
      <c r="E927" t="str">
        <f>IF(A927="","",IF(A927="[FÓRMULA MANUAL]","",IFERROR(SUMPRODUCT((nNIA=A927)*(nCUENTA=1)*(COUNTIF(CONFIG_ASIGNATURAS!$B$7:$B$27,nASIG)&gt;0)*(nNOTA))/SUMPRODUCT((nNIA=A927)*(nCUENTA=1)*(COUNTIF(CONFIG_ASIGNATURAS!$B$7:$B$27,nASIG)&gt;0)*1),"")))</f>
        <v/>
      </c>
      <c r="H927" t="str">
        <f>IF(G927="","",IF(G927="[FÓRMULA MANUAL]","",IFERROR(AVERAGEIFS(nNOTA,nNIA,G927,nCUENTA,1,nASIG,"Lenguaje Musical"),"")))</f>
        <v/>
      </c>
      <c r="I927" t="str">
        <f>IF(G927="","",IF(G927="[FÓRMULA MANUAL]","",IFERROR(AVERAGEIFS(nNOTA,nNIA,G927,nCUENTA,1,nASIG,"Orquesta/Banda/Conjunto"),"")))</f>
        <v/>
      </c>
      <c r="J927" t="str">
        <f>IF(G927="","",IF(G927="[FÓRMULA MANUAL]","",IFERROR(AVERAGEIFS(nNOTA,nNIA,G927,nCUENTA,1,nASIG,"Conjunto"),"")))</f>
        <v/>
      </c>
      <c r="K927" t="str">
        <f>IF(G927="","",IF(G927="[FÓRMULA MANUAL]","",IFERROR(SUMPRODUCT((nNIA=G927)*(nCUENTA=1)*(COUNTIF(CONFIG_ASIGNATURAS!$B$7:$B$27,nASIG)&gt;0)*(nNOTA))/SUMPRODUCT((nNIA=G927)*(nCUENTA=1)*(COUNTIF(CONFIG_ASIGNATURAS!$B$7:$B$27,nASIG)&gt;0)*1),"")))</f>
        <v/>
      </c>
      <c r="N927" t="str">
        <f>IF(M927="","",IF(M927="[FÓRMULA MANUAL]","",IFERROR(AVERAGEIFS(nNOTA,nNIA,M927,nCUENTA,1,nASIG,"Armonía"),"")))</f>
        <v/>
      </c>
      <c r="O927" t="str">
        <f>IF(M927="","",IF(M927="[FÓRMULA MANUAL]","",IFERROR(AVERAGEIFS(nNOTA,nNIA,M927,nCUENTA,1,nASIG,"Orquesta/Banda/Conjunto"),"")))</f>
        <v/>
      </c>
      <c r="P927" t="str">
        <f>IF(M927="","",IF(M927="[FÓRMULA MANUAL]","",IFERROR(AVERAGEIFS(nNOTA,nNIA,M927,nCUENTA,1,nASIG,"Música de Cámara"),"")))</f>
        <v/>
      </c>
      <c r="Q927" t="str">
        <f>IF(M927="","",IF(M927="[FÓRMULA MANUAL]","",IFERROR(SUMPRODUCT((nNIA=M927)*(nCUENTA=1)*(COUNTIF(CONFIG_ASIGNATURAS!$B$7:$B$27,nASIG)&gt;0)*(nNOTA))/SUMPRODUCT((nNIA=M927)*(nCUENTA=1)*(COUNTIF(CONFIG_ASIGNATURAS!$B$7:$B$27,nASIG)&gt;0)*1),"")))</f>
        <v/>
      </c>
      <c r="T927" t="str">
        <f>IF(S927="","",IF(S927="[FÓRMULA MANUAL]","",IFERROR(AVERAGEIFS(nNOTA,nNIA,S927,nCUENTA,1,nASIG,"Armonía"),"")))</f>
        <v/>
      </c>
      <c r="U927" t="str">
        <f>IF(S927="","",IF(S927="[FÓRMULA MANUAL]","",IFERROR(AVERAGEIFS(nNOTA,nNIA,S927,nCUENTA,1,nASIG,"Orquesta/Banda/Conjunto"),"")))</f>
        <v/>
      </c>
      <c r="V927" t="str">
        <f>IF(S927="","",IF(S927="[FÓRMULA MANUAL]","",IFERROR(AVERAGEIFS(nNOTA,nNIA,S927,nCUENTA,1,nASIG,"Música de Cámara"),"")))</f>
        <v/>
      </c>
      <c r="W927" t="str">
        <f>IF(S927="","",IF(S927="[FÓRMULA MANUAL]","",IFERROR(SUMPRODUCT((nNIA=S927)*(nCUENTA=1)*(COUNTIF(CONFIG_ASIGNATURAS!$B$7:$B$27,nASIG)&gt;0)*(nNOTA))/SUMPRODUCT((nNIA=S927)*(nCUENTA=1)*(COUNTIF(CONFIG_ASIGNATURAS!$B$7:$B$27,nASIG)&gt;0)*1),"")))</f>
        <v/>
      </c>
      <c r="Z927" t="str">
        <f>IF(Y927="","",IF(Y927="[FÓRMULA MANUAL]","",IFERROR(AVERAGEIFS(nNOTA,nNIA,Y927,nCUENTA,1,nASIG,"Análisis"),"")))</f>
        <v/>
      </c>
      <c r="AA927" t="str">
        <f>IF(Y927="","",IF(Y927="[FÓRMULA MANUAL]","",IFERROR(AVERAGEIFS(nNOTA,nNIA,Y927,nCUENTA,1,nASIG,"Orquesta/Banda/Conjunto"),"")))</f>
        <v/>
      </c>
      <c r="AB927" t="str">
        <f>IF(Y927="","",IF(Y927="[FÓRMULA MANUAL]","",IFERROR(AVERAGEIFS(nNOTA,nNIA,Y927,nCUENTA,1,nASIG,"Música de Cámara"),"")))</f>
        <v/>
      </c>
      <c r="AC927" t="str">
        <f>IF(Y927="","",IF(Y927="[FÓRMULA MANUAL]","",IFERROR(SUMPRODUCT((nNIA=Y927)*(nCUENTA=1)*(COUNTIF(CONFIG_ASIGNATURAS!$B$7:$B$27,nASIG)&gt;0)*(nNOTA))/SUMPRODUCT((nNIA=Y927)*(nCUENTA=1)*(COUNTIF(CONFIG_ASIGNATURAS!$B$7:$B$27,nASIG)&gt;0)*1),"")))</f>
        <v/>
      </c>
      <c r="AF927" t="str">
        <f>IF(AE927="","",IF(AE927="[FÓRMULA MANUAL]","",IFERROR(AVERAGEIFS(nNOTA,nNIA,AE927,nCUENTA,1,nASIG,"Análisis"),"")))</f>
        <v/>
      </c>
      <c r="AG927" t="str">
        <f>IF(AE927="","",IF(AE927="[FÓRMULA MANUAL]","",IFERROR(AVERAGEIFS(nNOTA,nNIA,AE927,nCUENTA,1,nASIG,"Orquesta/Banda/Conjunto"),"")))</f>
        <v/>
      </c>
      <c r="AH927" t="str">
        <f>IF(AE927="","",IF(AE927="[FÓRMULA MANUAL]","",IFERROR(AVERAGEIFS(nNOTA,nNIA,AE927,nCUENTA,1,nASIG,"Música de Cámara"),"")))</f>
        <v/>
      </c>
      <c r="AI927" t="str">
        <f>IF(AE927="","",IF(AE927="[FÓRMULA MANUAL]","",IFERROR(SUMPRODUCT((nNIA=AE927)*(nCUENTA=1)*(COUNTIF(CONFIG_ASIGNATURAS!$B$7:$B$27,nASIG)&gt;0)*(nNOTA))/SUMPRODUCT((nNIA=AE927)*(nCUENTA=1)*(COUNTIF(CONFIG_ASIGNATURAS!$B$7:$B$27,nASIG)&gt;0)*1),"")))</f>
        <v/>
      </c>
    </row>
    <row r="928" spans="2:35" x14ac:dyDescent="0.2">
      <c r="B928" t="str">
        <f>IF(A928="","",IF(A928="[FÓRMULA MANUAL]","",IFERROR(AVERAGEIFS(nNOTA,nNIA,A928,nCUENTA,1,nASIG,"Lenguaje Musical"),"")))</f>
        <v/>
      </c>
      <c r="C928" t="str">
        <f>IF(A928="","",IF(A928="[FÓRMULA MANUAL]","",IFERROR(AVERAGEIFS(nNOTA,nNIA,A928,nCUENTA,1,nASIG,"Orquesta/Banda/Conjunto"),"")))</f>
        <v/>
      </c>
      <c r="D928" t="str">
        <f>IF(A928="","",IF(A928="[FÓRMULA MANUAL]","",IFERROR(AVERAGEIFS(nNOTA,nNIA,A928,nCUENTA,1,nASIG,"Conjunto"),"")))</f>
        <v/>
      </c>
      <c r="E928" t="str">
        <f>IF(A928="","",IF(A928="[FÓRMULA MANUAL]","",IFERROR(SUMPRODUCT((nNIA=A928)*(nCUENTA=1)*(COUNTIF(CONFIG_ASIGNATURAS!$B$7:$B$27,nASIG)&gt;0)*(nNOTA))/SUMPRODUCT((nNIA=A928)*(nCUENTA=1)*(COUNTIF(CONFIG_ASIGNATURAS!$B$7:$B$27,nASIG)&gt;0)*1),"")))</f>
        <v/>
      </c>
      <c r="H928" t="str">
        <f>IF(G928="","",IF(G928="[FÓRMULA MANUAL]","",IFERROR(AVERAGEIFS(nNOTA,nNIA,G928,nCUENTA,1,nASIG,"Lenguaje Musical"),"")))</f>
        <v/>
      </c>
      <c r="I928" t="str">
        <f>IF(G928="","",IF(G928="[FÓRMULA MANUAL]","",IFERROR(AVERAGEIFS(nNOTA,nNIA,G928,nCUENTA,1,nASIG,"Orquesta/Banda/Conjunto"),"")))</f>
        <v/>
      </c>
      <c r="J928" t="str">
        <f>IF(G928="","",IF(G928="[FÓRMULA MANUAL]","",IFERROR(AVERAGEIFS(nNOTA,nNIA,G928,nCUENTA,1,nASIG,"Conjunto"),"")))</f>
        <v/>
      </c>
      <c r="K928" t="str">
        <f>IF(G928="","",IF(G928="[FÓRMULA MANUAL]","",IFERROR(SUMPRODUCT((nNIA=G928)*(nCUENTA=1)*(COUNTIF(CONFIG_ASIGNATURAS!$B$7:$B$27,nASIG)&gt;0)*(nNOTA))/SUMPRODUCT((nNIA=G928)*(nCUENTA=1)*(COUNTIF(CONFIG_ASIGNATURAS!$B$7:$B$27,nASIG)&gt;0)*1),"")))</f>
        <v/>
      </c>
      <c r="N928" t="str">
        <f>IF(M928="","",IF(M928="[FÓRMULA MANUAL]","",IFERROR(AVERAGEIFS(nNOTA,nNIA,M928,nCUENTA,1,nASIG,"Armonía"),"")))</f>
        <v/>
      </c>
      <c r="O928" t="str">
        <f>IF(M928="","",IF(M928="[FÓRMULA MANUAL]","",IFERROR(AVERAGEIFS(nNOTA,nNIA,M928,nCUENTA,1,nASIG,"Orquesta/Banda/Conjunto"),"")))</f>
        <v/>
      </c>
      <c r="P928" t="str">
        <f>IF(M928="","",IF(M928="[FÓRMULA MANUAL]","",IFERROR(AVERAGEIFS(nNOTA,nNIA,M928,nCUENTA,1,nASIG,"Música de Cámara"),"")))</f>
        <v/>
      </c>
      <c r="Q928" t="str">
        <f>IF(M928="","",IF(M928="[FÓRMULA MANUAL]","",IFERROR(SUMPRODUCT((nNIA=M928)*(nCUENTA=1)*(COUNTIF(CONFIG_ASIGNATURAS!$B$7:$B$27,nASIG)&gt;0)*(nNOTA))/SUMPRODUCT((nNIA=M928)*(nCUENTA=1)*(COUNTIF(CONFIG_ASIGNATURAS!$B$7:$B$27,nASIG)&gt;0)*1),"")))</f>
        <v/>
      </c>
      <c r="T928" t="str">
        <f>IF(S928="","",IF(S928="[FÓRMULA MANUAL]","",IFERROR(AVERAGEIFS(nNOTA,nNIA,S928,nCUENTA,1,nASIG,"Armonía"),"")))</f>
        <v/>
      </c>
      <c r="U928" t="str">
        <f>IF(S928="","",IF(S928="[FÓRMULA MANUAL]","",IFERROR(AVERAGEIFS(nNOTA,nNIA,S928,nCUENTA,1,nASIG,"Orquesta/Banda/Conjunto"),"")))</f>
        <v/>
      </c>
      <c r="V928" t="str">
        <f>IF(S928="","",IF(S928="[FÓRMULA MANUAL]","",IFERROR(AVERAGEIFS(nNOTA,nNIA,S928,nCUENTA,1,nASIG,"Música de Cámara"),"")))</f>
        <v/>
      </c>
      <c r="W928" t="str">
        <f>IF(S928="","",IF(S928="[FÓRMULA MANUAL]","",IFERROR(SUMPRODUCT((nNIA=S928)*(nCUENTA=1)*(COUNTIF(CONFIG_ASIGNATURAS!$B$7:$B$27,nASIG)&gt;0)*(nNOTA))/SUMPRODUCT((nNIA=S928)*(nCUENTA=1)*(COUNTIF(CONFIG_ASIGNATURAS!$B$7:$B$27,nASIG)&gt;0)*1),"")))</f>
        <v/>
      </c>
      <c r="Z928" t="str">
        <f>IF(Y928="","",IF(Y928="[FÓRMULA MANUAL]","",IFERROR(AVERAGEIFS(nNOTA,nNIA,Y928,nCUENTA,1,nASIG,"Análisis"),"")))</f>
        <v/>
      </c>
      <c r="AA928" t="str">
        <f>IF(Y928="","",IF(Y928="[FÓRMULA MANUAL]","",IFERROR(AVERAGEIFS(nNOTA,nNIA,Y928,nCUENTA,1,nASIG,"Orquesta/Banda/Conjunto"),"")))</f>
        <v/>
      </c>
      <c r="AB928" t="str">
        <f>IF(Y928="","",IF(Y928="[FÓRMULA MANUAL]","",IFERROR(AVERAGEIFS(nNOTA,nNIA,Y928,nCUENTA,1,nASIG,"Música de Cámara"),"")))</f>
        <v/>
      </c>
      <c r="AC928" t="str">
        <f>IF(Y928="","",IF(Y928="[FÓRMULA MANUAL]","",IFERROR(SUMPRODUCT((nNIA=Y928)*(nCUENTA=1)*(COUNTIF(CONFIG_ASIGNATURAS!$B$7:$B$27,nASIG)&gt;0)*(nNOTA))/SUMPRODUCT((nNIA=Y928)*(nCUENTA=1)*(COUNTIF(CONFIG_ASIGNATURAS!$B$7:$B$27,nASIG)&gt;0)*1),"")))</f>
        <v/>
      </c>
      <c r="AF928" t="str">
        <f>IF(AE928="","",IF(AE928="[FÓRMULA MANUAL]","",IFERROR(AVERAGEIFS(nNOTA,nNIA,AE928,nCUENTA,1,nASIG,"Análisis"),"")))</f>
        <v/>
      </c>
      <c r="AG928" t="str">
        <f>IF(AE928="","",IF(AE928="[FÓRMULA MANUAL]","",IFERROR(AVERAGEIFS(nNOTA,nNIA,AE928,nCUENTA,1,nASIG,"Orquesta/Banda/Conjunto"),"")))</f>
        <v/>
      </c>
      <c r="AH928" t="str">
        <f>IF(AE928="","",IF(AE928="[FÓRMULA MANUAL]","",IFERROR(AVERAGEIFS(nNOTA,nNIA,AE928,nCUENTA,1,nASIG,"Música de Cámara"),"")))</f>
        <v/>
      </c>
      <c r="AI928" t="str">
        <f>IF(AE928="","",IF(AE928="[FÓRMULA MANUAL]","",IFERROR(SUMPRODUCT((nNIA=AE928)*(nCUENTA=1)*(COUNTIF(CONFIG_ASIGNATURAS!$B$7:$B$27,nASIG)&gt;0)*(nNOTA))/SUMPRODUCT((nNIA=AE928)*(nCUENTA=1)*(COUNTIF(CONFIG_ASIGNATURAS!$B$7:$B$27,nASIG)&gt;0)*1),"")))</f>
        <v/>
      </c>
    </row>
    <row r="929" spans="2:35" x14ac:dyDescent="0.2">
      <c r="B929" t="str">
        <f>IF(A929="","",IF(A929="[FÓRMULA MANUAL]","",IFERROR(AVERAGEIFS(nNOTA,nNIA,A929,nCUENTA,1,nASIG,"Lenguaje Musical"),"")))</f>
        <v/>
      </c>
      <c r="C929" t="str">
        <f>IF(A929="","",IF(A929="[FÓRMULA MANUAL]","",IFERROR(AVERAGEIFS(nNOTA,nNIA,A929,nCUENTA,1,nASIG,"Orquesta/Banda/Conjunto"),"")))</f>
        <v/>
      </c>
      <c r="D929" t="str">
        <f>IF(A929="","",IF(A929="[FÓRMULA MANUAL]","",IFERROR(AVERAGEIFS(nNOTA,nNIA,A929,nCUENTA,1,nASIG,"Conjunto"),"")))</f>
        <v/>
      </c>
      <c r="E929" t="str">
        <f>IF(A929="","",IF(A929="[FÓRMULA MANUAL]","",IFERROR(SUMPRODUCT((nNIA=A929)*(nCUENTA=1)*(COUNTIF(CONFIG_ASIGNATURAS!$B$7:$B$27,nASIG)&gt;0)*(nNOTA))/SUMPRODUCT((nNIA=A929)*(nCUENTA=1)*(COUNTIF(CONFIG_ASIGNATURAS!$B$7:$B$27,nASIG)&gt;0)*1),"")))</f>
        <v/>
      </c>
      <c r="H929" t="str">
        <f>IF(G929="","",IF(G929="[FÓRMULA MANUAL]","",IFERROR(AVERAGEIFS(nNOTA,nNIA,G929,nCUENTA,1,nASIG,"Lenguaje Musical"),"")))</f>
        <v/>
      </c>
      <c r="I929" t="str">
        <f>IF(G929="","",IF(G929="[FÓRMULA MANUAL]","",IFERROR(AVERAGEIFS(nNOTA,nNIA,G929,nCUENTA,1,nASIG,"Orquesta/Banda/Conjunto"),"")))</f>
        <v/>
      </c>
      <c r="J929" t="str">
        <f>IF(G929="","",IF(G929="[FÓRMULA MANUAL]","",IFERROR(AVERAGEIFS(nNOTA,nNIA,G929,nCUENTA,1,nASIG,"Conjunto"),"")))</f>
        <v/>
      </c>
      <c r="K929" t="str">
        <f>IF(G929="","",IF(G929="[FÓRMULA MANUAL]","",IFERROR(SUMPRODUCT((nNIA=G929)*(nCUENTA=1)*(COUNTIF(CONFIG_ASIGNATURAS!$B$7:$B$27,nASIG)&gt;0)*(nNOTA))/SUMPRODUCT((nNIA=G929)*(nCUENTA=1)*(COUNTIF(CONFIG_ASIGNATURAS!$B$7:$B$27,nASIG)&gt;0)*1),"")))</f>
        <v/>
      </c>
      <c r="N929" t="str">
        <f>IF(M929="","",IF(M929="[FÓRMULA MANUAL]","",IFERROR(AVERAGEIFS(nNOTA,nNIA,M929,nCUENTA,1,nASIG,"Armonía"),"")))</f>
        <v/>
      </c>
      <c r="O929" t="str">
        <f>IF(M929="","",IF(M929="[FÓRMULA MANUAL]","",IFERROR(AVERAGEIFS(nNOTA,nNIA,M929,nCUENTA,1,nASIG,"Orquesta/Banda/Conjunto"),"")))</f>
        <v/>
      </c>
      <c r="P929" t="str">
        <f>IF(M929="","",IF(M929="[FÓRMULA MANUAL]","",IFERROR(AVERAGEIFS(nNOTA,nNIA,M929,nCUENTA,1,nASIG,"Música de Cámara"),"")))</f>
        <v/>
      </c>
      <c r="Q929" t="str">
        <f>IF(M929="","",IF(M929="[FÓRMULA MANUAL]","",IFERROR(SUMPRODUCT((nNIA=M929)*(nCUENTA=1)*(COUNTIF(CONFIG_ASIGNATURAS!$B$7:$B$27,nASIG)&gt;0)*(nNOTA))/SUMPRODUCT((nNIA=M929)*(nCUENTA=1)*(COUNTIF(CONFIG_ASIGNATURAS!$B$7:$B$27,nASIG)&gt;0)*1),"")))</f>
        <v/>
      </c>
      <c r="T929" t="str">
        <f>IF(S929="","",IF(S929="[FÓRMULA MANUAL]","",IFERROR(AVERAGEIFS(nNOTA,nNIA,S929,nCUENTA,1,nASIG,"Armonía"),"")))</f>
        <v/>
      </c>
      <c r="U929" t="str">
        <f>IF(S929="","",IF(S929="[FÓRMULA MANUAL]","",IFERROR(AVERAGEIFS(nNOTA,nNIA,S929,nCUENTA,1,nASIG,"Orquesta/Banda/Conjunto"),"")))</f>
        <v/>
      </c>
      <c r="V929" t="str">
        <f>IF(S929="","",IF(S929="[FÓRMULA MANUAL]","",IFERROR(AVERAGEIFS(nNOTA,nNIA,S929,nCUENTA,1,nASIG,"Música de Cámara"),"")))</f>
        <v/>
      </c>
      <c r="W929" t="str">
        <f>IF(S929="","",IF(S929="[FÓRMULA MANUAL]","",IFERROR(SUMPRODUCT((nNIA=S929)*(nCUENTA=1)*(COUNTIF(CONFIG_ASIGNATURAS!$B$7:$B$27,nASIG)&gt;0)*(nNOTA))/SUMPRODUCT((nNIA=S929)*(nCUENTA=1)*(COUNTIF(CONFIG_ASIGNATURAS!$B$7:$B$27,nASIG)&gt;0)*1),"")))</f>
        <v/>
      </c>
      <c r="Z929" t="str">
        <f>IF(Y929="","",IF(Y929="[FÓRMULA MANUAL]","",IFERROR(AVERAGEIFS(nNOTA,nNIA,Y929,nCUENTA,1,nASIG,"Análisis"),"")))</f>
        <v/>
      </c>
      <c r="AA929" t="str">
        <f>IF(Y929="","",IF(Y929="[FÓRMULA MANUAL]","",IFERROR(AVERAGEIFS(nNOTA,nNIA,Y929,nCUENTA,1,nASIG,"Orquesta/Banda/Conjunto"),"")))</f>
        <v/>
      </c>
      <c r="AB929" t="str">
        <f>IF(Y929="","",IF(Y929="[FÓRMULA MANUAL]","",IFERROR(AVERAGEIFS(nNOTA,nNIA,Y929,nCUENTA,1,nASIG,"Música de Cámara"),"")))</f>
        <v/>
      </c>
      <c r="AC929" t="str">
        <f>IF(Y929="","",IF(Y929="[FÓRMULA MANUAL]","",IFERROR(SUMPRODUCT((nNIA=Y929)*(nCUENTA=1)*(COUNTIF(CONFIG_ASIGNATURAS!$B$7:$B$27,nASIG)&gt;0)*(nNOTA))/SUMPRODUCT((nNIA=Y929)*(nCUENTA=1)*(COUNTIF(CONFIG_ASIGNATURAS!$B$7:$B$27,nASIG)&gt;0)*1),"")))</f>
        <v/>
      </c>
      <c r="AF929" t="str">
        <f>IF(AE929="","",IF(AE929="[FÓRMULA MANUAL]","",IFERROR(AVERAGEIFS(nNOTA,nNIA,AE929,nCUENTA,1,nASIG,"Análisis"),"")))</f>
        <v/>
      </c>
      <c r="AG929" t="str">
        <f>IF(AE929="","",IF(AE929="[FÓRMULA MANUAL]","",IFERROR(AVERAGEIFS(nNOTA,nNIA,AE929,nCUENTA,1,nASIG,"Orquesta/Banda/Conjunto"),"")))</f>
        <v/>
      </c>
      <c r="AH929" t="str">
        <f>IF(AE929="","",IF(AE929="[FÓRMULA MANUAL]","",IFERROR(AVERAGEIFS(nNOTA,nNIA,AE929,nCUENTA,1,nASIG,"Música de Cámara"),"")))</f>
        <v/>
      </c>
      <c r="AI929" t="str">
        <f>IF(AE929="","",IF(AE929="[FÓRMULA MANUAL]","",IFERROR(SUMPRODUCT((nNIA=AE929)*(nCUENTA=1)*(COUNTIF(CONFIG_ASIGNATURAS!$B$7:$B$27,nASIG)&gt;0)*(nNOTA))/SUMPRODUCT((nNIA=AE929)*(nCUENTA=1)*(COUNTIF(CONFIG_ASIGNATURAS!$B$7:$B$27,nASIG)&gt;0)*1),"")))</f>
        <v/>
      </c>
    </row>
    <row r="930" spans="2:35" x14ac:dyDescent="0.2">
      <c r="B930" t="str">
        <f>IF(A930="","",IF(A930="[FÓRMULA MANUAL]","",IFERROR(AVERAGEIFS(nNOTA,nNIA,A930,nCUENTA,1,nASIG,"Lenguaje Musical"),"")))</f>
        <v/>
      </c>
      <c r="C930" t="str">
        <f>IF(A930="","",IF(A930="[FÓRMULA MANUAL]","",IFERROR(AVERAGEIFS(nNOTA,nNIA,A930,nCUENTA,1,nASIG,"Orquesta/Banda/Conjunto"),"")))</f>
        <v/>
      </c>
      <c r="D930" t="str">
        <f>IF(A930="","",IF(A930="[FÓRMULA MANUAL]","",IFERROR(AVERAGEIFS(nNOTA,nNIA,A930,nCUENTA,1,nASIG,"Conjunto"),"")))</f>
        <v/>
      </c>
      <c r="E930" t="str">
        <f>IF(A930="","",IF(A930="[FÓRMULA MANUAL]","",IFERROR(SUMPRODUCT((nNIA=A930)*(nCUENTA=1)*(COUNTIF(CONFIG_ASIGNATURAS!$B$7:$B$27,nASIG)&gt;0)*(nNOTA))/SUMPRODUCT((nNIA=A930)*(nCUENTA=1)*(COUNTIF(CONFIG_ASIGNATURAS!$B$7:$B$27,nASIG)&gt;0)*1),"")))</f>
        <v/>
      </c>
      <c r="H930" t="str">
        <f>IF(G930="","",IF(G930="[FÓRMULA MANUAL]","",IFERROR(AVERAGEIFS(nNOTA,nNIA,G930,nCUENTA,1,nASIG,"Lenguaje Musical"),"")))</f>
        <v/>
      </c>
      <c r="I930" t="str">
        <f>IF(G930="","",IF(G930="[FÓRMULA MANUAL]","",IFERROR(AVERAGEIFS(nNOTA,nNIA,G930,nCUENTA,1,nASIG,"Orquesta/Banda/Conjunto"),"")))</f>
        <v/>
      </c>
      <c r="J930" t="str">
        <f>IF(G930="","",IF(G930="[FÓRMULA MANUAL]","",IFERROR(AVERAGEIFS(nNOTA,nNIA,G930,nCUENTA,1,nASIG,"Conjunto"),"")))</f>
        <v/>
      </c>
      <c r="K930" t="str">
        <f>IF(G930="","",IF(G930="[FÓRMULA MANUAL]","",IFERROR(SUMPRODUCT((nNIA=G930)*(nCUENTA=1)*(COUNTIF(CONFIG_ASIGNATURAS!$B$7:$B$27,nASIG)&gt;0)*(nNOTA))/SUMPRODUCT((nNIA=G930)*(nCUENTA=1)*(COUNTIF(CONFIG_ASIGNATURAS!$B$7:$B$27,nASIG)&gt;0)*1),"")))</f>
        <v/>
      </c>
      <c r="N930" t="str">
        <f>IF(M930="","",IF(M930="[FÓRMULA MANUAL]","",IFERROR(AVERAGEIFS(nNOTA,nNIA,M930,nCUENTA,1,nASIG,"Armonía"),"")))</f>
        <v/>
      </c>
      <c r="O930" t="str">
        <f>IF(M930="","",IF(M930="[FÓRMULA MANUAL]","",IFERROR(AVERAGEIFS(nNOTA,nNIA,M930,nCUENTA,1,nASIG,"Orquesta/Banda/Conjunto"),"")))</f>
        <v/>
      </c>
      <c r="P930" t="str">
        <f>IF(M930="","",IF(M930="[FÓRMULA MANUAL]","",IFERROR(AVERAGEIFS(nNOTA,nNIA,M930,nCUENTA,1,nASIG,"Música de Cámara"),"")))</f>
        <v/>
      </c>
      <c r="Q930" t="str">
        <f>IF(M930="","",IF(M930="[FÓRMULA MANUAL]","",IFERROR(SUMPRODUCT((nNIA=M930)*(nCUENTA=1)*(COUNTIF(CONFIG_ASIGNATURAS!$B$7:$B$27,nASIG)&gt;0)*(nNOTA))/SUMPRODUCT((nNIA=M930)*(nCUENTA=1)*(COUNTIF(CONFIG_ASIGNATURAS!$B$7:$B$27,nASIG)&gt;0)*1),"")))</f>
        <v/>
      </c>
      <c r="T930" t="str">
        <f>IF(S930="","",IF(S930="[FÓRMULA MANUAL]","",IFERROR(AVERAGEIFS(nNOTA,nNIA,S930,nCUENTA,1,nASIG,"Armonía"),"")))</f>
        <v/>
      </c>
      <c r="U930" t="str">
        <f>IF(S930="","",IF(S930="[FÓRMULA MANUAL]","",IFERROR(AVERAGEIFS(nNOTA,nNIA,S930,nCUENTA,1,nASIG,"Orquesta/Banda/Conjunto"),"")))</f>
        <v/>
      </c>
      <c r="V930" t="str">
        <f>IF(S930="","",IF(S930="[FÓRMULA MANUAL]","",IFERROR(AVERAGEIFS(nNOTA,nNIA,S930,nCUENTA,1,nASIG,"Música de Cámara"),"")))</f>
        <v/>
      </c>
      <c r="W930" t="str">
        <f>IF(S930="","",IF(S930="[FÓRMULA MANUAL]","",IFERROR(SUMPRODUCT((nNIA=S930)*(nCUENTA=1)*(COUNTIF(CONFIG_ASIGNATURAS!$B$7:$B$27,nASIG)&gt;0)*(nNOTA))/SUMPRODUCT((nNIA=S930)*(nCUENTA=1)*(COUNTIF(CONFIG_ASIGNATURAS!$B$7:$B$27,nASIG)&gt;0)*1),"")))</f>
        <v/>
      </c>
      <c r="Z930" t="str">
        <f>IF(Y930="","",IF(Y930="[FÓRMULA MANUAL]","",IFERROR(AVERAGEIFS(nNOTA,nNIA,Y930,nCUENTA,1,nASIG,"Análisis"),"")))</f>
        <v/>
      </c>
      <c r="AA930" t="str">
        <f>IF(Y930="","",IF(Y930="[FÓRMULA MANUAL]","",IFERROR(AVERAGEIFS(nNOTA,nNIA,Y930,nCUENTA,1,nASIG,"Orquesta/Banda/Conjunto"),"")))</f>
        <v/>
      </c>
      <c r="AB930" t="str">
        <f>IF(Y930="","",IF(Y930="[FÓRMULA MANUAL]","",IFERROR(AVERAGEIFS(nNOTA,nNIA,Y930,nCUENTA,1,nASIG,"Música de Cámara"),"")))</f>
        <v/>
      </c>
      <c r="AC930" t="str">
        <f>IF(Y930="","",IF(Y930="[FÓRMULA MANUAL]","",IFERROR(SUMPRODUCT((nNIA=Y930)*(nCUENTA=1)*(COUNTIF(CONFIG_ASIGNATURAS!$B$7:$B$27,nASIG)&gt;0)*(nNOTA))/SUMPRODUCT((nNIA=Y930)*(nCUENTA=1)*(COUNTIF(CONFIG_ASIGNATURAS!$B$7:$B$27,nASIG)&gt;0)*1),"")))</f>
        <v/>
      </c>
      <c r="AF930" t="str">
        <f>IF(AE930="","",IF(AE930="[FÓRMULA MANUAL]","",IFERROR(AVERAGEIFS(nNOTA,nNIA,AE930,nCUENTA,1,nASIG,"Análisis"),"")))</f>
        <v/>
      </c>
      <c r="AG930" t="str">
        <f>IF(AE930="","",IF(AE930="[FÓRMULA MANUAL]","",IFERROR(AVERAGEIFS(nNOTA,nNIA,AE930,nCUENTA,1,nASIG,"Orquesta/Banda/Conjunto"),"")))</f>
        <v/>
      </c>
      <c r="AH930" t="str">
        <f>IF(AE930="","",IF(AE930="[FÓRMULA MANUAL]","",IFERROR(AVERAGEIFS(nNOTA,nNIA,AE930,nCUENTA,1,nASIG,"Música de Cámara"),"")))</f>
        <v/>
      </c>
      <c r="AI930" t="str">
        <f>IF(AE930="","",IF(AE930="[FÓRMULA MANUAL]","",IFERROR(SUMPRODUCT((nNIA=AE930)*(nCUENTA=1)*(COUNTIF(CONFIG_ASIGNATURAS!$B$7:$B$27,nASIG)&gt;0)*(nNOTA))/SUMPRODUCT((nNIA=AE930)*(nCUENTA=1)*(COUNTIF(CONFIG_ASIGNATURAS!$B$7:$B$27,nASIG)&gt;0)*1),"")))</f>
        <v/>
      </c>
    </row>
    <row r="931" spans="2:35" x14ac:dyDescent="0.2">
      <c r="B931" t="str">
        <f>IF(A931="","",IF(A931="[FÓRMULA MANUAL]","",IFERROR(AVERAGEIFS(nNOTA,nNIA,A931,nCUENTA,1,nASIG,"Lenguaje Musical"),"")))</f>
        <v/>
      </c>
      <c r="C931" t="str">
        <f>IF(A931="","",IF(A931="[FÓRMULA MANUAL]","",IFERROR(AVERAGEIFS(nNOTA,nNIA,A931,nCUENTA,1,nASIG,"Orquesta/Banda/Conjunto"),"")))</f>
        <v/>
      </c>
      <c r="D931" t="str">
        <f>IF(A931="","",IF(A931="[FÓRMULA MANUAL]","",IFERROR(AVERAGEIFS(nNOTA,nNIA,A931,nCUENTA,1,nASIG,"Conjunto"),"")))</f>
        <v/>
      </c>
      <c r="E931" t="str">
        <f>IF(A931="","",IF(A931="[FÓRMULA MANUAL]","",IFERROR(SUMPRODUCT((nNIA=A931)*(nCUENTA=1)*(COUNTIF(CONFIG_ASIGNATURAS!$B$7:$B$27,nASIG)&gt;0)*(nNOTA))/SUMPRODUCT((nNIA=A931)*(nCUENTA=1)*(COUNTIF(CONFIG_ASIGNATURAS!$B$7:$B$27,nASIG)&gt;0)*1),"")))</f>
        <v/>
      </c>
      <c r="H931" t="str">
        <f>IF(G931="","",IF(G931="[FÓRMULA MANUAL]","",IFERROR(AVERAGEIFS(nNOTA,nNIA,G931,nCUENTA,1,nASIG,"Lenguaje Musical"),"")))</f>
        <v/>
      </c>
      <c r="I931" t="str">
        <f>IF(G931="","",IF(G931="[FÓRMULA MANUAL]","",IFERROR(AVERAGEIFS(nNOTA,nNIA,G931,nCUENTA,1,nASIG,"Orquesta/Banda/Conjunto"),"")))</f>
        <v/>
      </c>
      <c r="J931" t="str">
        <f>IF(G931="","",IF(G931="[FÓRMULA MANUAL]","",IFERROR(AVERAGEIFS(nNOTA,nNIA,G931,nCUENTA,1,nASIG,"Conjunto"),"")))</f>
        <v/>
      </c>
      <c r="K931" t="str">
        <f>IF(G931="","",IF(G931="[FÓRMULA MANUAL]","",IFERROR(SUMPRODUCT((nNIA=G931)*(nCUENTA=1)*(COUNTIF(CONFIG_ASIGNATURAS!$B$7:$B$27,nASIG)&gt;0)*(nNOTA))/SUMPRODUCT((nNIA=G931)*(nCUENTA=1)*(COUNTIF(CONFIG_ASIGNATURAS!$B$7:$B$27,nASIG)&gt;0)*1),"")))</f>
        <v/>
      </c>
      <c r="N931" t="str">
        <f>IF(M931="","",IF(M931="[FÓRMULA MANUAL]","",IFERROR(AVERAGEIFS(nNOTA,nNIA,M931,nCUENTA,1,nASIG,"Armonía"),"")))</f>
        <v/>
      </c>
      <c r="O931" t="str">
        <f>IF(M931="","",IF(M931="[FÓRMULA MANUAL]","",IFERROR(AVERAGEIFS(nNOTA,nNIA,M931,nCUENTA,1,nASIG,"Orquesta/Banda/Conjunto"),"")))</f>
        <v/>
      </c>
      <c r="P931" t="str">
        <f>IF(M931="","",IF(M931="[FÓRMULA MANUAL]","",IFERROR(AVERAGEIFS(nNOTA,nNIA,M931,nCUENTA,1,nASIG,"Música de Cámara"),"")))</f>
        <v/>
      </c>
      <c r="Q931" t="str">
        <f>IF(M931="","",IF(M931="[FÓRMULA MANUAL]","",IFERROR(SUMPRODUCT((nNIA=M931)*(nCUENTA=1)*(COUNTIF(CONFIG_ASIGNATURAS!$B$7:$B$27,nASIG)&gt;0)*(nNOTA))/SUMPRODUCT((nNIA=M931)*(nCUENTA=1)*(COUNTIF(CONFIG_ASIGNATURAS!$B$7:$B$27,nASIG)&gt;0)*1),"")))</f>
        <v/>
      </c>
      <c r="T931" t="str">
        <f>IF(S931="","",IF(S931="[FÓRMULA MANUAL]","",IFERROR(AVERAGEIFS(nNOTA,nNIA,S931,nCUENTA,1,nASIG,"Armonía"),"")))</f>
        <v/>
      </c>
      <c r="U931" t="str">
        <f>IF(S931="","",IF(S931="[FÓRMULA MANUAL]","",IFERROR(AVERAGEIFS(nNOTA,nNIA,S931,nCUENTA,1,nASIG,"Orquesta/Banda/Conjunto"),"")))</f>
        <v/>
      </c>
      <c r="V931" t="str">
        <f>IF(S931="","",IF(S931="[FÓRMULA MANUAL]","",IFERROR(AVERAGEIFS(nNOTA,nNIA,S931,nCUENTA,1,nASIG,"Música de Cámara"),"")))</f>
        <v/>
      </c>
      <c r="W931" t="str">
        <f>IF(S931="","",IF(S931="[FÓRMULA MANUAL]","",IFERROR(SUMPRODUCT((nNIA=S931)*(nCUENTA=1)*(COUNTIF(CONFIG_ASIGNATURAS!$B$7:$B$27,nASIG)&gt;0)*(nNOTA))/SUMPRODUCT((nNIA=S931)*(nCUENTA=1)*(COUNTIF(CONFIG_ASIGNATURAS!$B$7:$B$27,nASIG)&gt;0)*1),"")))</f>
        <v/>
      </c>
      <c r="Z931" t="str">
        <f>IF(Y931="","",IF(Y931="[FÓRMULA MANUAL]","",IFERROR(AVERAGEIFS(nNOTA,nNIA,Y931,nCUENTA,1,nASIG,"Análisis"),"")))</f>
        <v/>
      </c>
      <c r="AA931" t="str">
        <f>IF(Y931="","",IF(Y931="[FÓRMULA MANUAL]","",IFERROR(AVERAGEIFS(nNOTA,nNIA,Y931,nCUENTA,1,nASIG,"Orquesta/Banda/Conjunto"),"")))</f>
        <v/>
      </c>
      <c r="AB931" t="str">
        <f>IF(Y931="","",IF(Y931="[FÓRMULA MANUAL]","",IFERROR(AVERAGEIFS(nNOTA,nNIA,Y931,nCUENTA,1,nASIG,"Música de Cámara"),"")))</f>
        <v/>
      </c>
      <c r="AC931" t="str">
        <f>IF(Y931="","",IF(Y931="[FÓRMULA MANUAL]","",IFERROR(SUMPRODUCT((nNIA=Y931)*(nCUENTA=1)*(COUNTIF(CONFIG_ASIGNATURAS!$B$7:$B$27,nASIG)&gt;0)*(nNOTA))/SUMPRODUCT((nNIA=Y931)*(nCUENTA=1)*(COUNTIF(CONFIG_ASIGNATURAS!$B$7:$B$27,nASIG)&gt;0)*1),"")))</f>
        <v/>
      </c>
      <c r="AF931" t="str">
        <f>IF(AE931="","",IF(AE931="[FÓRMULA MANUAL]","",IFERROR(AVERAGEIFS(nNOTA,nNIA,AE931,nCUENTA,1,nASIG,"Análisis"),"")))</f>
        <v/>
      </c>
      <c r="AG931" t="str">
        <f>IF(AE931="","",IF(AE931="[FÓRMULA MANUAL]","",IFERROR(AVERAGEIFS(nNOTA,nNIA,AE931,nCUENTA,1,nASIG,"Orquesta/Banda/Conjunto"),"")))</f>
        <v/>
      </c>
      <c r="AH931" t="str">
        <f>IF(AE931="","",IF(AE931="[FÓRMULA MANUAL]","",IFERROR(AVERAGEIFS(nNOTA,nNIA,AE931,nCUENTA,1,nASIG,"Música de Cámara"),"")))</f>
        <v/>
      </c>
      <c r="AI931" t="str">
        <f>IF(AE931="","",IF(AE931="[FÓRMULA MANUAL]","",IFERROR(SUMPRODUCT((nNIA=AE931)*(nCUENTA=1)*(COUNTIF(CONFIG_ASIGNATURAS!$B$7:$B$27,nASIG)&gt;0)*(nNOTA))/SUMPRODUCT((nNIA=AE931)*(nCUENTA=1)*(COUNTIF(CONFIG_ASIGNATURAS!$B$7:$B$27,nASIG)&gt;0)*1),"")))</f>
        <v/>
      </c>
    </row>
    <row r="932" spans="2:35" x14ac:dyDescent="0.2">
      <c r="B932" t="str">
        <f>IF(A932="","",IF(A932="[FÓRMULA MANUAL]","",IFERROR(AVERAGEIFS(nNOTA,nNIA,A932,nCUENTA,1,nASIG,"Lenguaje Musical"),"")))</f>
        <v/>
      </c>
      <c r="C932" t="str">
        <f>IF(A932="","",IF(A932="[FÓRMULA MANUAL]","",IFERROR(AVERAGEIFS(nNOTA,nNIA,A932,nCUENTA,1,nASIG,"Orquesta/Banda/Conjunto"),"")))</f>
        <v/>
      </c>
      <c r="D932" t="str">
        <f>IF(A932="","",IF(A932="[FÓRMULA MANUAL]","",IFERROR(AVERAGEIFS(nNOTA,nNIA,A932,nCUENTA,1,nASIG,"Conjunto"),"")))</f>
        <v/>
      </c>
      <c r="E932" t="str">
        <f>IF(A932="","",IF(A932="[FÓRMULA MANUAL]","",IFERROR(SUMPRODUCT((nNIA=A932)*(nCUENTA=1)*(COUNTIF(CONFIG_ASIGNATURAS!$B$7:$B$27,nASIG)&gt;0)*(nNOTA))/SUMPRODUCT((nNIA=A932)*(nCUENTA=1)*(COUNTIF(CONFIG_ASIGNATURAS!$B$7:$B$27,nASIG)&gt;0)*1),"")))</f>
        <v/>
      </c>
      <c r="H932" t="str">
        <f>IF(G932="","",IF(G932="[FÓRMULA MANUAL]","",IFERROR(AVERAGEIFS(nNOTA,nNIA,G932,nCUENTA,1,nASIG,"Lenguaje Musical"),"")))</f>
        <v/>
      </c>
      <c r="I932" t="str">
        <f>IF(G932="","",IF(G932="[FÓRMULA MANUAL]","",IFERROR(AVERAGEIFS(nNOTA,nNIA,G932,nCUENTA,1,nASIG,"Orquesta/Banda/Conjunto"),"")))</f>
        <v/>
      </c>
      <c r="J932" t="str">
        <f>IF(G932="","",IF(G932="[FÓRMULA MANUAL]","",IFERROR(AVERAGEIFS(nNOTA,nNIA,G932,nCUENTA,1,nASIG,"Conjunto"),"")))</f>
        <v/>
      </c>
      <c r="K932" t="str">
        <f>IF(G932="","",IF(G932="[FÓRMULA MANUAL]","",IFERROR(SUMPRODUCT((nNIA=G932)*(nCUENTA=1)*(COUNTIF(CONFIG_ASIGNATURAS!$B$7:$B$27,nASIG)&gt;0)*(nNOTA))/SUMPRODUCT((nNIA=G932)*(nCUENTA=1)*(COUNTIF(CONFIG_ASIGNATURAS!$B$7:$B$27,nASIG)&gt;0)*1),"")))</f>
        <v/>
      </c>
      <c r="N932" t="str">
        <f>IF(M932="","",IF(M932="[FÓRMULA MANUAL]","",IFERROR(AVERAGEIFS(nNOTA,nNIA,M932,nCUENTA,1,nASIG,"Armonía"),"")))</f>
        <v/>
      </c>
      <c r="O932" t="str">
        <f>IF(M932="","",IF(M932="[FÓRMULA MANUAL]","",IFERROR(AVERAGEIFS(nNOTA,nNIA,M932,nCUENTA,1,nASIG,"Orquesta/Banda/Conjunto"),"")))</f>
        <v/>
      </c>
      <c r="P932" t="str">
        <f>IF(M932="","",IF(M932="[FÓRMULA MANUAL]","",IFERROR(AVERAGEIFS(nNOTA,nNIA,M932,nCUENTA,1,nASIG,"Música de Cámara"),"")))</f>
        <v/>
      </c>
      <c r="Q932" t="str">
        <f>IF(M932="","",IF(M932="[FÓRMULA MANUAL]","",IFERROR(SUMPRODUCT((nNIA=M932)*(nCUENTA=1)*(COUNTIF(CONFIG_ASIGNATURAS!$B$7:$B$27,nASIG)&gt;0)*(nNOTA))/SUMPRODUCT((nNIA=M932)*(nCUENTA=1)*(COUNTIF(CONFIG_ASIGNATURAS!$B$7:$B$27,nASIG)&gt;0)*1),"")))</f>
        <v/>
      </c>
      <c r="T932" t="str">
        <f>IF(S932="","",IF(S932="[FÓRMULA MANUAL]","",IFERROR(AVERAGEIFS(nNOTA,nNIA,S932,nCUENTA,1,nASIG,"Armonía"),"")))</f>
        <v/>
      </c>
      <c r="U932" t="str">
        <f>IF(S932="","",IF(S932="[FÓRMULA MANUAL]","",IFERROR(AVERAGEIFS(nNOTA,nNIA,S932,nCUENTA,1,nASIG,"Orquesta/Banda/Conjunto"),"")))</f>
        <v/>
      </c>
      <c r="V932" t="str">
        <f>IF(S932="","",IF(S932="[FÓRMULA MANUAL]","",IFERROR(AVERAGEIFS(nNOTA,nNIA,S932,nCUENTA,1,nASIG,"Música de Cámara"),"")))</f>
        <v/>
      </c>
      <c r="W932" t="str">
        <f>IF(S932="","",IF(S932="[FÓRMULA MANUAL]","",IFERROR(SUMPRODUCT((nNIA=S932)*(nCUENTA=1)*(COUNTIF(CONFIG_ASIGNATURAS!$B$7:$B$27,nASIG)&gt;0)*(nNOTA))/SUMPRODUCT((nNIA=S932)*(nCUENTA=1)*(COUNTIF(CONFIG_ASIGNATURAS!$B$7:$B$27,nASIG)&gt;0)*1),"")))</f>
        <v/>
      </c>
      <c r="Z932" t="str">
        <f>IF(Y932="","",IF(Y932="[FÓRMULA MANUAL]","",IFERROR(AVERAGEIFS(nNOTA,nNIA,Y932,nCUENTA,1,nASIG,"Análisis"),"")))</f>
        <v/>
      </c>
      <c r="AA932" t="str">
        <f>IF(Y932="","",IF(Y932="[FÓRMULA MANUAL]","",IFERROR(AVERAGEIFS(nNOTA,nNIA,Y932,nCUENTA,1,nASIG,"Orquesta/Banda/Conjunto"),"")))</f>
        <v/>
      </c>
      <c r="AB932" t="str">
        <f>IF(Y932="","",IF(Y932="[FÓRMULA MANUAL]","",IFERROR(AVERAGEIFS(nNOTA,nNIA,Y932,nCUENTA,1,nASIG,"Música de Cámara"),"")))</f>
        <v/>
      </c>
      <c r="AC932" t="str">
        <f>IF(Y932="","",IF(Y932="[FÓRMULA MANUAL]","",IFERROR(SUMPRODUCT((nNIA=Y932)*(nCUENTA=1)*(COUNTIF(CONFIG_ASIGNATURAS!$B$7:$B$27,nASIG)&gt;0)*(nNOTA))/SUMPRODUCT((nNIA=Y932)*(nCUENTA=1)*(COUNTIF(CONFIG_ASIGNATURAS!$B$7:$B$27,nASIG)&gt;0)*1),"")))</f>
        <v/>
      </c>
      <c r="AF932" t="str">
        <f>IF(AE932="","",IF(AE932="[FÓRMULA MANUAL]","",IFERROR(AVERAGEIFS(nNOTA,nNIA,AE932,nCUENTA,1,nASIG,"Análisis"),"")))</f>
        <v/>
      </c>
      <c r="AG932" t="str">
        <f>IF(AE932="","",IF(AE932="[FÓRMULA MANUAL]","",IFERROR(AVERAGEIFS(nNOTA,nNIA,AE932,nCUENTA,1,nASIG,"Orquesta/Banda/Conjunto"),"")))</f>
        <v/>
      </c>
      <c r="AH932" t="str">
        <f>IF(AE932="","",IF(AE932="[FÓRMULA MANUAL]","",IFERROR(AVERAGEIFS(nNOTA,nNIA,AE932,nCUENTA,1,nASIG,"Música de Cámara"),"")))</f>
        <v/>
      </c>
      <c r="AI932" t="str">
        <f>IF(AE932="","",IF(AE932="[FÓRMULA MANUAL]","",IFERROR(SUMPRODUCT((nNIA=AE932)*(nCUENTA=1)*(COUNTIF(CONFIG_ASIGNATURAS!$B$7:$B$27,nASIG)&gt;0)*(nNOTA))/SUMPRODUCT((nNIA=AE932)*(nCUENTA=1)*(COUNTIF(CONFIG_ASIGNATURAS!$B$7:$B$27,nASIG)&gt;0)*1),"")))</f>
        <v/>
      </c>
    </row>
    <row r="933" spans="2:35" x14ac:dyDescent="0.2">
      <c r="B933" t="str">
        <f>IF(A933="","",IF(A933="[FÓRMULA MANUAL]","",IFERROR(AVERAGEIFS(nNOTA,nNIA,A933,nCUENTA,1,nASIG,"Lenguaje Musical"),"")))</f>
        <v/>
      </c>
      <c r="C933" t="str">
        <f>IF(A933="","",IF(A933="[FÓRMULA MANUAL]","",IFERROR(AVERAGEIFS(nNOTA,nNIA,A933,nCUENTA,1,nASIG,"Orquesta/Banda/Conjunto"),"")))</f>
        <v/>
      </c>
      <c r="D933" t="str">
        <f>IF(A933="","",IF(A933="[FÓRMULA MANUAL]","",IFERROR(AVERAGEIFS(nNOTA,nNIA,A933,nCUENTA,1,nASIG,"Conjunto"),"")))</f>
        <v/>
      </c>
      <c r="E933" t="str">
        <f>IF(A933="","",IF(A933="[FÓRMULA MANUAL]","",IFERROR(SUMPRODUCT((nNIA=A933)*(nCUENTA=1)*(COUNTIF(CONFIG_ASIGNATURAS!$B$7:$B$27,nASIG)&gt;0)*(nNOTA))/SUMPRODUCT((nNIA=A933)*(nCUENTA=1)*(COUNTIF(CONFIG_ASIGNATURAS!$B$7:$B$27,nASIG)&gt;0)*1),"")))</f>
        <v/>
      </c>
      <c r="H933" t="str">
        <f>IF(G933="","",IF(G933="[FÓRMULA MANUAL]","",IFERROR(AVERAGEIFS(nNOTA,nNIA,G933,nCUENTA,1,nASIG,"Lenguaje Musical"),"")))</f>
        <v/>
      </c>
      <c r="I933" t="str">
        <f>IF(G933="","",IF(G933="[FÓRMULA MANUAL]","",IFERROR(AVERAGEIFS(nNOTA,nNIA,G933,nCUENTA,1,nASIG,"Orquesta/Banda/Conjunto"),"")))</f>
        <v/>
      </c>
      <c r="J933" t="str">
        <f>IF(G933="","",IF(G933="[FÓRMULA MANUAL]","",IFERROR(AVERAGEIFS(nNOTA,nNIA,G933,nCUENTA,1,nASIG,"Conjunto"),"")))</f>
        <v/>
      </c>
      <c r="K933" t="str">
        <f>IF(G933="","",IF(G933="[FÓRMULA MANUAL]","",IFERROR(SUMPRODUCT((nNIA=G933)*(nCUENTA=1)*(COUNTIF(CONFIG_ASIGNATURAS!$B$7:$B$27,nASIG)&gt;0)*(nNOTA))/SUMPRODUCT((nNIA=G933)*(nCUENTA=1)*(COUNTIF(CONFIG_ASIGNATURAS!$B$7:$B$27,nASIG)&gt;0)*1),"")))</f>
        <v/>
      </c>
      <c r="N933" t="str">
        <f>IF(M933="","",IF(M933="[FÓRMULA MANUAL]","",IFERROR(AVERAGEIFS(nNOTA,nNIA,M933,nCUENTA,1,nASIG,"Armonía"),"")))</f>
        <v/>
      </c>
      <c r="O933" t="str">
        <f>IF(M933="","",IF(M933="[FÓRMULA MANUAL]","",IFERROR(AVERAGEIFS(nNOTA,nNIA,M933,nCUENTA,1,nASIG,"Orquesta/Banda/Conjunto"),"")))</f>
        <v/>
      </c>
      <c r="P933" t="str">
        <f>IF(M933="","",IF(M933="[FÓRMULA MANUAL]","",IFERROR(AVERAGEIFS(nNOTA,nNIA,M933,nCUENTA,1,nASIG,"Música de Cámara"),"")))</f>
        <v/>
      </c>
      <c r="Q933" t="str">
        <f>IF(M933="","",IF(M933="[FÓRMULA MANUAL]","",IFERROR(SUMPRODUCT((nNIA=M933)*(nCUENTA=1)*(COUNTIF(CONFIG_ASIGNATURAS!$B$7:$B$27,nASIG)&gt;0)*(nNOTA))/SUMPRODUCT((nNIA=M933)*(nCUENTA=1)*(COUNTIF(CONFIG_ASIGNATURAS!$B$7:$B$27,nASIG)&gt;0)*1),"")))</f>
        <v/>
      </c>
      <c r="T933" t="str">
        <f>IF(S933="","",IF(S933="[FÓRMULA MANUAL]","",IFERROR(AVERAGEIFS(nNOTA,nNIA,S933,nCUENTA,1,nASIG,"Armonía"),"")))</f>
        <v/>
      </c>
      <c r="U933" t="str">
        <f>IF(S933="","",IF(S933="[FÓRMULA MANUAL]","",IFERROR(AVERAGEIFS(nNOTA,nNIA,S933,nCUENTA,1,nASIG,"Orquesta/Banda/Conjunto"),"")))</f>
        <v/>
      </c>
      <c r="V933" t="str">
        <f>IF(S933="","",IF(S933="[FÓRMULA MANUAL]","",IFERROR(AVERAGEIFS(nNOTA,nNIA,S933,nCUENTA,1,nASIG,"Música de Cámara"),"")))</f>
        <v/>
      </c>
      <c r="W933" t="str">
        <f>IF(S933="","",IF(S933="[FÓRMULA MANUAL]","",IFERROR(SUMPRODUCT((nNIA=S933)*(nCUENTA=1)*(COUNTIF(CONFIG_ASIGNATURAS!$B$7:$B$27,nASIG)&gt;0)*(nNOTA))/SUMPRODUCT((nNIA=S933)*(nCUENTA=1)*(COUNTIF(CONFIG_ASIGNATURAS!$B$7:$B$27,nASIG)&gt;0)*1),"")))</f>
        <v/>
      </c>
      <c r="Z933" t="str">
        <f>IF(Y933="","",IF(Y933="[FÓRMULA MANUAL]","",IFERROR(AVERAGEIFS(nNOTA,nNIA,Y933,nCUENTA,1,nASIG,"Análisis"),"")))</f>
        <v/>
      </c>
      <c r="AA933" t="str">
        <f>IF(Y933="","",IF(Y933="[FÓRMULA MANUAL]","",IFERROR(AVERAGEIFS(nNOTA,nNIA,Y933,nCUENTA,1,nASIG,"Orquesta/Banda/Conjunto"),"")))</f>
        <v/>
      </c>
      <c r="AB933" t="str">
        <f>IF(Y933="","",IF(Y933="[FÓRMULA MANUAL]","",IFERROR(AVERAGEIFS(nNOTA,nNIA,Y933,nCUENTA,1,nASIG,"Música de Cámara"),"")))</f>
        <v/>
      </c>
      <c r="AC933" t="str">
        <f>IF(Y933="","",IF(Y933="[FÓRMULA MANUAL]","",IFERROR(SUMPRODUCT((nNIA=Y933)*(nCUENTA=1)*(COUNTIF(CONFIG_ASIGNATURAS!$B$7:$B$27,nASIG)&gt;0)*(nNOTA))/SUMPRODUCT((nNIA=Y933)*(nCUENTA=1)*(COUNTIF(CONFIG_ASIGNATURAS!$B$7:$B$27,nASIG)&gt;0)*1),"")))</f>
        <v/>
      </c>
      <c r="AF933" t="str">
        <f>IF(AE933="","",IF(AE933="[FÓRMULA MANUAL]","",IFERROR(AVERAGEIFS(nNOTA,nNIA,AE933,nCUENTA,1,nASIG,"Análisis"),"")))</f>
        <v/>
      </c>
      <c r="AG933" t="str">
        <f>IF(AE933="","",IF(AE933="[FÓRMULA MANUAL]","",IFERROR(AVERAGEIFS(nNOTA,nNIA,AE933,nCUENTA,1,nASIG,"Orquesta/Banda/Conjunto"),"")))</f>
        <v/>
      </c>
      <c r="AH933" t="str">
        <f>IF(AE933="","",IF(AE933="[FÓRMULA MANUAL]","",IFERROR(AVERAGEIFS(nNOTA,nNIA,AE933,nCUENTA,1,nASIG,"Música de Cámara"),"")))</f>
        <v/>
      </c>
      <c r="AI933" t="str">
        <f>IF(AE933="","",IF(AE933="[FÓRMULA MANUAL]","",IFERROR(SUMPRODUCT((nNIA=AE933)*(nCUENTA=1)*(COUNTIF(CONFIG_ASIGNATURAS!$B$7:$B$27,nASIG)&gt;0)*(nNOTA))/SUMPRODUCT((nNIA=AE933)*(nCUENTA=1)*(COUNTIF(CONFIG_ASIGNATURAS!$B$7:$B$27,nASIG)&gt;0)*1),"")))</f>
        <v/>
      </c>
    </row>
    <row r="934" spans="2:35" x14ac:dyDescent="0.2">
      <c r="B934" t="str">
        <f>IF(A934="","",IF(A934="[FÓRMULA MANUAL]","",IFERROR(AVERAGEIFS(nNOTA,nNIA,A934,nCUENTA,1,nASIG,"Lenguaje Musical"),"")))</f>
        <v/>
      </c>
      <c r="C934" t="str">
        <f>IF(A934="","",IF(A934="[FÓRMULA MANUAL]","",IFERROR(AVERAGEIFS(nNOTA,nNIA,A934,nCUENTA,1,nASIG,"Orquesta/Banda/Conjunto"),"")))</f>
        <v/>
      </c>
      <c r="D934" t="str">
        <f>IF(A934="","",IF(A934="[FÓRMULA MANUAL]","",IFERROR(AVERAGEIFS(nNOTA,nNIA,A934,nCUENTA,1,nASIG,"Conjunto"),"")))</f>
        <v/>
      </c>
      <c r="E934" t="str">
        <f>IF(A934="","",IF(A934="[FÓRMULA MANUAL]","",IFERROR(SUMPRODUCT((nNIA=A934)*(nCUENTA=1)*(COUNTIF(CONFIG_ASIGNATURAS!$B$7:$B$27,nASIG)&gt;0)*(nNOTA))/SUMPRODUCT((nNIA=A934)*(nCUENTA=1)*(COUNTIF(CONFIG_ASIGNATURAS!$B$7:$B$27,nASIG)&gt;0)*1),"")))</f>
        <v/>
      </c>
      <c r="H934" t="str">
        <f>IF(G934="","",IF(G934="[FÓRMULA MANUAL]","",IFERROR(AVERAGEIFS(nNOTA,nNIA,G934,nCUENTA,1,nASIG,"Lenguaje Musical"),"")))</f>
        <v/>
      </c>
      <c r="I934" t="str">
        <f>IF(G934="","",IF(G934="[FÓRMULA MANUAL]","",IFERROR(AVERAGEIFS(nNOTA,nNIA,G934,nCUENTA,1,nASIG,"Orquesta/Banda/Conjunto"),"")))</f>
        <v/>
      </c>
      <c r="J934" t="str">
        <f>IF(G934="","",IF(G934="[FÓRMULA MANUAL]","",IFERROR(AVERAGEIFS(nNOTA,nNIA,G934,nCUENTA,1,nASIG,"Conjunto"),"")))</f>
        <v/>
      </c>
      <c r="K934" t="str">
        <f>IF(G934="","",IF(G934="[FÓRMULA MANUAL]","",IFERROR(SUMPRODUCT((nNIA=G934)*(nCUENTA=1)*(COUNTIF(CONFIG_ASIGNATURAS!$B$7:$B$27,nASIG)&gt;0)*(nNOTA))/SUMPRODUCT((nNIA=G934)*(nCUENTA=1)*(COUNTIF(CONFIG_ASIGNATURAS!$B$7:$B$27,nASIG)&gt;0)*1),"")))</f>
        <v/>
      </c>
      <c r="N934" t="str">
        <f>IF(M934="","",IF(M934="[FÓRMULA MANUAL]","",IFERROR(AVERAGEIFS(nNOTA,nNIA,M934,nCUENTA,1,nASIG,"Armonía"),"")))</f>
        <v/>
      </c>
      <c r="O934" t="str">
        <f>IF(M934="","",IF(M934="[FÓRMULA MANUAL]","",IFERROR(AVERAGEIFS(nNOTA,nNIA,M934,nCUENTA,1,nASIG,"Orquesta/Banda/Conjunto"),"")))</f>
        <v/>
      </c>
      <c r="P934" t="str">
        <f>IF(M934="","",IF(M934="[FÓRMULA MANUAL]","",IFERROR(AVERAGEIFS(nNOTA,nNIA,M934,nCUENTA,1,nASIG,"Música de Cámara"),"")))</f>
        <v/>
      </c>
      <c r="Q934" t="str">
        <f>IF(M934="","",IF(M934="[FÓRMULA MANUAL]","",IFERROR(SUMPRODUCT((nNIA=M934)*(nCUENTA=1)*(COUNTIF(CONFIG_ASIGNATURAS!$B$7:$B$27,nASIG)&gt;0)*(nNOTA))/SUMPRODUCT((nNIA=M934)*(nCUENTA=1)*(COUNTIF(CONFIG_ASIGNATURAS!$B$7:$B$27,nASIG)&gt;0)*1),"")))</f>
        <v/>
      </c>
      <c r="T934" t="str">
        <f>IF(S934="","",IF(S934="[FÓRMULA MANUAL]","",IFERROR(AVERAGEIFS(nNOTA,nNIA,S934,nCUENTA,1,nASIG,"Armonía"),"")))</f>
        <v/>
      </c>
      <c r="U934" t="str">
        <f>IF(S934="","",IF(S934="[FÓRMULA MANUAL]","",IFERROR(AVERAGEIFS(nNOTA,nNIA,S934,nCUENTA,1,nASIG,"Orquesta/Banda/Conjunto"),"")))</f>
        <v/>
      </c>
      <c r="V934" t="str">
        <f>IF(S934="","",IF(S934="[FÓRMULA MANUAL]","",IFERROR(AVERAGEIFS(nNOTA,nNIA,S934,nCUENTA,1,nASIG,"Música de Cámara"),"")))</f>
        <v/>
      </c>
      <c r="W934" t="str">
        <f>IF(S934="","",IF(S934="[FÓRMULA MANUAL]","",IFERROR(SUMPRODUCT((nNIA=S934)*(nCUENTA=1)*(COUNTIF(CONFIG_ASIGNATURAS!$B$7:$B$27,nASIG)&gt;0)*(nNOTA))/SUMPRODUCT((nNIA=S934)*(nCUENTA=1)*(COUNTIF(CONFIG_ASIGNATURAS!$B$7:$B$27,nASIG)&gt;0)*1),"")))</f>
        <v/>
      </c>
      <c r="Z934" t="str">
        <f>IF(Y934="","",IF(Y934="[FÓRMULA MANUAL]","",IFERROR(AVERAGEIFS(nNOTA,nNIA,Y934,nCUENTA,1,nASIG,"Análisis"),"")))</f>
        <v/>
      </c>
      <c r="AA934" t="str">
        <f>IF(Y934="","",IF(Y934="[FÓRMULA MANUAL]","",IFERROR(AVERAGEIFS(nNOTA,nNIA,Y934,nCUENTA,1,nASIG,"Orquesta/Banda/Conjunto"),"")))</f>
        <v/>
      </c>
      <c r="AB934" t="str">
        <f>IF(Y934="","",IF(Y934="[FÓRMULA MANUAL]","",IFERROR(AVERAGEIFS(nNOTA,nNIA,Y934,nCUENTA,1,nASIG,"Música de Cámara"),"")))</f>
        <v/>
      </c>
      <c r="AC934" t="str">
        <f>IF(Y934="","",IF(Y934="[FÓRMULA MANUAL]","",IFERROR(SUMPRODUCT((nNIA=Y934)*(nCUENTA=1)*(COUNTIF(CONFIG_ASIGNATURAS!$B$7:$B$27,nASIG)&gt;0)*(nNOTA))/SUMPRODUCT((nNIA=Y934)*(nCUENTA=1)*(COUNTIF(CONFIG_ASIGNATURAS!$B$7:$B$27,nASIG)&gt;0)*1),"")))</f>
        <v/>
      </c>
      <c r="AF934" t="str">
        <f>IF(AE934="","",IF(AE934="[FÓRMULA MANUAL]","",IFERROR(AVERAGEIFS(nNOTA,nNIA,AE934,nCUENTA,1,nASIG,"Análisis"),"")))</f>
        <v/>
      </c>
      <c r="AG934" t="str">
        <f>IF(AE934="","",IF(AE934="[FÓRMULA MANUAL]","",IFERROR(AVERAGEIFS(nNOTA,nNIA,AE934,nCUENTA,1,nASIG,"Orquesta/Banda/Conjunto"),"")))</f>
        <v/>
      </c>
      <c r="AH934" t="str">
        <f>IF(AE934="","",IF(AE934="[FÓRMULA MANUAL]","",IFERROR(AVERAGEIFS(nNOTA,nNIA,AE934,nCUENTA,1,nASIG,"Música de Cámara"),"")))</f>
        <v/>
      </c>
      <c r="AI934" t="str">
        <f>IF(AE934="","",IF(AE934="[FÓRMULA MANUAL]","",IFERROR(SUMPRODUCT((nNIA=AE934)*(nCUENTA=1)*(COUNTIF(CONFIG_ASIGNATURAS!$B$7:$B$27,nASIG)&gt;0)*(nNOTA))/SUMPRODUCT((nNIA=AE934)*(nCUENTA=1)*(COUNTIF(CONFIG_ASIGNATURAS!$B$7:$B$27,nASIG)&gt;0)*1),"")))</f>
        <v/>
      </c>
    </row>
    <row r="935" spans="2:35" x14ac:dyDescent="0.2">
      <c r="B935" t="str">
        <f>IF(A935="","",IF(A935="[FÓRMULA MANUAL]","",IFERROR(AVERAGEIFS(nNOTA,nNIA,A935,nCUENTA,1,nASIG,"Lenguaje Musical"),"")))</f>
        <v/>
      </c>
      <c r="C935" t="str">
        <f>IF(A935="","",IF(A935="[FÓRMULA MANUAL]","",IFERROR(AVERAGEIFS(nNOTA,nNIA,A935,nCUENTA,1,nASIG,"Orquesta/Banda/Conjunto"),"")))</f>
        <v/>
      </c>
      <c r="D935" t="str">
        <f>IF(A935="","",IF(A935="[FÓRMULA MANUAL]","",IFERROR(AVERAGEIFS(nNOTA,nNIA,A935,nCUENTA,1,nASIG,"Conjunto"),"")))</f>
        <v/>
      </c>
      <c r="E935" t="str">
        <f>IF(A935="","",IF(A935="[FÓRMULA MANUAL]","",IFERROR(SUMPRODUCT((nNIA=A935)*(nCUENTA=1)*(COUNTIF(CONFIG_ASIGNATURAS!$B$7:$B$27,nASIG)&gt;0)*(nNOTA))/SUMPRODUCT((nNIA=A935)*(nCUENTA=1)*(COUNTIF(CONFIG_ASIGNATURAS!$B$7:$B$27,nASIG)&gt;0)*1),"")))</f>
        <v/>
      </c>
      <c r="H935" t="str">
        <f>IF(G935="","",IF(G935="[FÓRMULA MANUAL]","",IFERROR(AVERAGEIFS(nNOTA,nNIA,G935,nCUENTA,1,nASIG,"Lenguaje Musical"),"")))</f>
        <v/>
      </c>
      <c r="I935" t="str">
        <f>IF(G935="","",IF(G935="[FÓRMULA MANUAL]","",IFERROR(AVERAGEIFS(nNOTA,nNIA,G935,nCUENTA,1,nASIG,"Orquesta/Banda/Conjunto"),"")))</f>
        <v/>
      </c>
      <c r="J935" t="str">
        <f>IF(G935="","",IF(G935="[FÓRMULA MANUAL]","",IFERROR(AVERAGEIFS(nNOTA,nNIA,G935,nCUENTA,1,nASIG,"Conjunto"),"")))</f>
        <v/>
      </c>
      <c r="K935" t="str">
        <f>IF(G935="","",IF(G935="[FÓRMULA MANUAL]","",IFERROR(SUMPRODUCT((nNIA=G935)*(nCUENTA=1)*(COUNTIF(CONFIG_ASIGNATURAS!$B$7:$B$27,nASIG)&gt;0)*(nNOTA))/SUMPRODUCT((nNIA=G935)*(nCUENTA=1)*(COUNTIF(CONFIG_ASIGNATURAS!$B$7:$B$27,nASIG)&gt;0)*1),"")))</f>
        <v/>
      </c>
      <c r="N935" t="str">
        <f>IF(M935="","",IF(M935="[FÓRMULA MANUAL]","",IFERROR(AVERAGEIFS(nNOTA,nNIA,M935,nCUENTA,1,nASIG,"Armonía"),"")))</f>
        <v/>
      </c>
      <c r="O935" t="str">
        <f>IF(M935="","",IF(M935="[FÓRMULA MANUAL]","",IFERROR(AVERAGEIFS(nNOTA,nNIA,M935,nCUENTA,1,nASIG,"Orquesta/Banda/Conjunto"),"")))</f>
        <v/>
      </c>
      <c r="P935" t="str">
        <f>IF(M935="","",IF(M935="[FÓRMULA MANUAL]","",IFERROR(AVERAGEIFS(nNOTA,nNIA,M935,nCUENTA,1,nASIG,"Música de Cámara"),"")))</f>
        <v/>
      </c>
      <c r="Q935" t="str">
        <f>IF(M935="","",IF(M935="[FÓRMULA MANUAL]","",IFERROR(SUMPRODUCT((nNIA=M935)*(nCUENTA=1)*(COUNTIF(CONFIG_ASIGNATURAS!$B$7:$B$27,nASIG)&gt;0)*(nNOTA))/SUMPRODUCT((nNIA=M935)*(nCUENTA=1)*(COUNTIF(CONFIG_ASIGNATURAS!$B$7:$B$27,nASIG)&gt;0)*1),"")))</f>
        <v/>
      </c>
      <c r="T935" t="str">
        <f>IF(S935="","",IF(S935="[FÓRMULA MANUAL]","",IFERROR(AVERAGEIFS(nNOTA,nNIA,S935,nCUENTA,1,nASIG,"Armonía"),"")))</f>
        <v/>
      </c>
      <c r="U935" t="str">
        <f>IF(S935="","",IF(S935="[FÓRMULA MANUAL]","",IFERROR(AVERAGEIFS(nNOTA,nNIA,S935,nCUENTA,1,nASIG,"Orquesta/Banda/Conjunto"),"")))</f>
        <v/>
      </c>
      <c r="V935" t="str">
        <f>IF(S935="","",IF(S935="[FÓRMULA MANUAL]","",IFERROR(AVERAGEIFS(nNOTA,nNIA,S935,nCUENTA,1,nASIG,"Música de Cámara"),"")))</f>
        <v/>
      </c>
      <c r="W935" t="str">
        <f>IF(S935="","",IF(S935="[FÓRMULA MANUAL]","",IFERROR(SUMPRODUCT((nNIA=S935)*(nCUENTA=1)*(COUNTIF(CONFIG_ASIGNATURAS!$B$7:$B$27,nASIG)&gt;0)*(nNOTA))/SUMPRODUCT((nNIA=S935)*(nCUENTA=1)*(COUNTIF(CONFIG_ASIGNATURAS!$B$7:$B$27,nASIG)&gt;0)*1),"")))</f>
        <v/>
      </c>
      <c r="Z935" t="str">
        <f>IF(Y935="","",IF(Y935="[FÓRMULA MANUAL]","",IFERROR(AVERAGEIFS(nNOTA,nNIA,Y935,nCUENTA,1,nASIG,"Análisis"),"")))</f>
        <v/>
      </c>
      <c r="AA935" t="str">
        <f>IF(Y935="","",IF(Y935="[FÓRMULA MANUAL]","",IFERROR(AVERAGEIFS(nNOTA,nNIA,Y935,nCUENTA,1,nASIG,"Orquesta/Banda/Conjunto"),"")))</f>
        <v/>
      </c>
      <c r="AB935" t="str">
        <f>IF(Y935="","",IF(Y935="[FÓRMULA MANUAL]","",IFERROR(AVERAGEIFS(nNOTA,nNIA,Y935,nCUENTA,1,nASIG,"Música de Cámara"),"")))</f>
        <v/>
      </c>
      <c r="AC935" t="str">
        <f>IF(Y935="","",IF(Y935="[FÓRMULA MANUAL]","",IFERROR(SUMPRODUCT((nNIA=Y935)*(nCUENTA=1)*(COUNTIF(CONFIG_ASIGNATURAS!$B$7:$B$27,nASIG)&gt;0)*(nNOTA))/SUMPRODUCT((nNIA=Y935)*(nCUENTA=1)*(COUNTIF(CONFIG_ASIGNATURAS!$B$7:$B$27,nASIG)&gt;0)*1),"")))</f>
        <v/>
      </c>
      <c r="AF935" t="str">
        <f>IF(AE935="","",IF(AE935="[FÓRMULA MANUAL]","",IFERROR(AVERAGEIFS(nNOTA,nNIA,AE935,nCUENTA,1,nASIG,"Análisis"),"")))</f>
        <v/>
      </c>
      <c r="AG935" t="str">
        <f>IF(AE935="","",IF(AE935="[FÓRMULA MANUAL]","",IFERROR(AVERAGEIFS(nNOTA,nNIA,AE935,nCUENTA,1,nASIG,"Orquesta/Banda/Conjunto"),"")))</f>
        <v/>
      </c>
      <c r="AH935" t="str">
        <f>IF(AE935="","",IF(AE935="[FÓRMULA MANUAL]","",IFERROR(AVERAGEIFS(nNOTA,nNIA,AE935,nCUENTA,1,nASIG,"Música de Cámara"),"")))</f>
        <v/>
      </c>
      <c r="AI935" t="str">
        <f>IF(AE935="","",IF(AE935="[FÓRMULA MANUAL]","",IFERROR(SUMPRODUCT((nNIA=AE935)*(nCUENTA=1)*(COUNTIF(CONFIG_ASIGNATURAS!$B$7:$B$27,nASIG)&gt;0)*(nNOTA))/SUMPRODUCT((nNIA=AE935)*(nCUENTA=1)*(COUNTIF(CONFIG_ASIGNATURAS!$B$7:$B$27,nASIG)&gt;0)*1),"")))</f>
        <v/>
      </c>
    </row>
    <row r="936" spans="2:35" x14ac:dyDescent="0.2">
      <c r="B936" t="str">
        <f>IF(A936="","",IF(A936="[FÓRMULA MANUAL]","",IFERROR(AVERAGEIFS(nNOTA,nNIA,A936,nCUENTA,1,nASIG,"Lenguaje Musical"),"")))</f>
        <v/>
      </c>
      <c r="C936" t="str">
        <f>IF(A936="","",IF(A936="[FÓRMULA MANUAL]","",IFERROR(AVERAGEIFS(nNOTA,nNIA,A936,nCUENTA,1,nASIG,"Orquesta/Banda/Conjunto"),"")))</f>
        <v/>
      </c>
      <c r="D936" t="str">
        <f>IF(A936="","",IF(A936="[FÓRMULA MANUAL]","",IFERROR(AVERAGEIFS(nNOTA,nNIA,A936,nCUENTA,1,nASIG,"Conjunto"),"")))</f>
        <v/>
      </c>
      <c r="E936" t="str">
        <f>IF(A936="","",IF(A936="[FÓRMULA MANUAL]","",IFERROR(SUMPRODUCT((nNIA=A936)*(nCUENTA=1)*(COUNTIF(CONFIG_ASIGNATURAS!$B$7:$B$27,nASIG)&gt;0)*(nNOTA))/SUMPRODUCT((nNIA=A936)*(nCUENTA=1)*(COUNTIF(CONFIG_ASIGNATURAS!$B$7:$B$27,nASIG)&gt;0)*1),"")))</f>
        <v/>
      </c>
      <c r="H936" t="str">
        <f>IF(G936="","",IF(G936="[FÓRMULA MANUAL]","",IFERROR(AVERAGEIFS(nNOTA,nNIA,G936,nCUENTA,1,nASIG,"Lenguaje Musical"),"")))</f>
        <v/>
      </c>
      <c r="I936" t="str">
        <f>IF(G936="","",IF(G936="[FÓRMULA MANUAL]","",IFERROR(AVERAGEIFS(nNOTA,nNIA,G936,nCUENTA,1,nASIG,"Orquesta/Banda/Conjunto"),"")))</f>
        <v/>
      </c>
      <c r="J936" t="str">
        <f>IF(G936="","",IF(G936="[FÓRMULA MANUAL]","",IFERROR(AVERAGEIFS(nNOTA,nNIA,G936,nCUENTA,1,nASIG,"Conjunto"),"")))</f>
        <v/>
      </c>
      <c r="K936" t="str">
        <f>IF(G936="","",IF(G936="[FÓRMULA MANUAL]","",IFERROR(SUMPRODUCT((nNIA=G936)*(nCUENTA=1)*(COUNTIF(CONFIG_ASIGNATURAS!$B$7:$B$27,nASIG)&gt;0)*(nNOTA))/SUMPRODUCT((nNIA=G936)*(nCUENTA=1)*(COUNTIF(CONFIG_ASIGNATURAS!$B$7:$B$27,nASIG)&gt;0)*1),"")))</f>
        <v/>
      </c>
      <c r="N936" t="str">
        <f>IF(M936="","",IF(M936="[FÓRMULA MANUAL]","",IFERROR(AVERAGEIFS(nNOTA,nNIA,M936,nCUENTA,1,nASIG,"Armonía"),"")))</f>
        <v/>
      </c>
      <c r="O936" t="str">
        <f>IF(M936="","",IF(M936="[FÓRMULA MANUAL]","",IFERROR(AVERAGEIFS(nNOTA,nNIA,M936,nCUENTA,1,nASIG,"Orquesta/Banda/Conjunto"),"")))</f>
        <v/>
      </c>
      <c r="P936" t="str">
        <f>IF(M936="","",IF(M936="[FÓRMULA MANUAL]","",IFERROR(AVERAGEIFS(nNOTA,nNIA,M936,nCUENTA,1,nASIG,"Música de Cámara"),"")))</f>
        <v/>
      </c>
      <c r="Q936" t="str">
        <f>IF(M936="","",IF(M936="[FÓRMULA MANUAL]","",IFERROR(SUMPRODUCT((nNIA=M936)*(nCUENTA=1)*(COUNTIF(CONFIG_ASIGNATURAS!$B$7:$B$27,nASIG)&gt;0)*(nNOTA))/SUMPRODUCT((nNIA=M936)*(nCUENTA=1)*(COUNTIF(CONFIG_ASIGNATURAS!$B$7:$B$27,nASIG)&gt;0)*1),"")))</f>
        <v/>
      </c>
      <c r="T936" t="str">
        <f>IF(S936="","",IF(S936="[FÓRMULA MANUAL]","",IFERROR(AVERAGEIFS(nNOTA,nNIA,S936,nCUENTA,1,nASIG,"Armonía"),"")))</f>
        <v/>
      </c>
      <c r="U936" t="str">
        <f>IF(S936="","",IF(S936="[FÓRMULA MANUAL]","",IFERROR(AVERAGEIFS(nNOTA,nNIA,S936,nCUENTA,1,nASIG,"Orquesta/Banda/Conjunto"),"")))</f>
        <v/>
      </c>
      <c r="V936" t="str">
        <f>IF(S936="","",IF(S936="[FÓRMULA MANUAL]","",IFERROR(AVERAGEIFS(nNOTA,nNIA,S936,nCUENTA,1,nASIG,"Música de Cámara"),"")))</f>
        <v/>
      </c>
      <c r="W936" t="str">
        <f>IF(S936="","",IF(S936="[FÓRMULA MANUAL]","",IFERROR(SUMPRODUCT((nNIA=S936)*(nCUENTA=1)*(COUNTIF(CONFIG_ASIGNATURAS!$B$7:$B$27,nASIG)&gt;0)*(nNOTA))/SUMPRODUCT((nNIA=S936)*(nCUENTA=1)*(COUNTIF(CONFIG_ASIGNATURAS!$B$7:$B$27,nASIG)&gt;0)*1),"")))</f>
        <v/>
      </c>
      <c r="Z936" t="str">
        <f>IF(Y936="","",IF(Y936="[FÓRMULA MANUAL]","",IFERROR(AVERAGEIFS(nNOTA,nNIA,Y936,nCUENTA,1,nASIG,"Análisis"),"")))</f>
        <v/>
      </c>
      <c r="AA936" t="str">
        <f>IF(Y936="","",IF(Y936="[FÓRMULA MANUAL]","",IFERROR(AVERAGEIFS(nNOTA,nNIA,Y936,nCUENTA,1,nASIG,"Orquesta/Banda/Conjunto"),"")))</f>
        <v/>
      </c>
      <c r="AB936" t="str">
        <f>IF(Y936="","",IF(Y936="[FÓRMULA MANUAL]","",IFERROR(AVERAGEIFS(nNOTA,nNIA,Y936,nCUENTA,1,nASIG,"Música de Cámara"),"")))</f>
        <v/>
      </c>
      <c r="AC936" t="str">
        <f>IF(Y936="","",IF(Y936="[FÓRMULA MANUAL]","",IFERROR(SUMPRODUCT((nNIA=Y936)*(nCUENTA=1)*(COUNTIF(CONFIG_ASIGNATURAS!$B$7:$B$27,nASIG)&gt;0)*(nNOTA))/SUMPRODUCT((nNIA=Y936)*(nCUENTA=1)*(COUNTIF(CONFIG_ASIGNATURAS!$B$7:$B$27,nASIG)&gt;0)*1),"")))</f>
        <v/>
      </c>
      <c r="AF936" t="str">
        <f>IF(AE936="","",IF(AE936="[FÓRMULA MANUAL]","",IFERROR(AVERAGEIFS(nNOTA,nNIA,AE936,nCUENTA,1,nASIG,"Análisis"),"")))</f>
        <v/>
      </c>
      <c r="AG936" t="str">
        <f>IF(AE936="","",IF(AE936="[FÓRMULA MANUAL]","",IFERROR(AVERAGEIFS(nNOTA,nNIA,AE936,nCUENTA,1,nASIG,"Orquesta/Banda/Conjunto"),"")))</f>
        <v/>
      </c>
      <c r="AH936" t="str">
        <f>IF(AE936="","",IF(AE936="[FÓRMULA MANUAL]","",IFERROR(AVERAGEIFS(nNOTA,nNIA,AE936,nCUENTA,1,nASIG,"Música de Cámara"),"")))</f>
        <v/>
      </c>
      <c r="AI936" t="str">
        <f>IF(AE936="","",IF(AE936="[FÓRMULA MANUAL]","",IFERROR(SUMPRODUCT((nNIA=AE936)*(nCUENTA=1)*(COUNTIF(CONFIG_ASIGNATURAS!$B$7:$B$27,nASIG)&gt;0)*(nNOTA))/SUMPRODUCT((nNIA=AE936)*(nCUENTA=1)*(COUNTIF(CONFIG_ASIGNATURAS!$B$7:$B$27,nASIG)&gt;0)*1),"")))</f>
        <v/>
      </c>
    </row>
    <row r="937" spans="2:35" x14ac:dyDescent="0.2">
      <c r="B937" t="str">
        <f>IF(A937="","",IF(A937="[FÓRMULA MANUAL]","",IFERROR(AVERAGEIFS(nNOTA,nNIA,A937,nCUENTA,1,nASIG,"Lenguaje Musical"),"")))</f>
        <v/>
      </c>
      <c r="C937" t="str">
        <f>IF(A937="","",IF(A937="[FÓRMULA MANUAL]","",IFERROR(AVERAGEIFS(nNOTA,nNIA,A937,nCUENTA,1,nASIG,"Orquesta/Banda/Conjunto"),"")))</f>
        <v/>
      </c>
      <c r="D937" t="str">
        <f>IF(A937="","",IF(A937="[FÓRMULA MANUAL]","",IFERROR(AVERAGEIFS(nNOTA,nNIA,A937,nCUENTA,1,nASIG,"Conjunto"),"")))</f>
        <v/>
      </c>
      <c r="E937" t="str">
        <f>IF(A937="","",IF(A937="[FÓRMULA MANUAL]","",IFERROR(SUMPRODUCT((nNIA=A937)*(nCUENTA=1)*(COUNTIF(CONFIG_ASIGNATURAS!$B$7:$B$27,nASIG)&gt;0)*(nNOTA))/SUMPRODUCT((nNIA=A937)*(nCUENTA=1)*(COUNTIF(CONFIG_ASIGNATURAS!$B$7:$B$27,nASIG)&gt;0)*1),"")))</f>
        <v/>
      </c>
      <c r="H937" t="str">
        <f>IF(G937="","",IF(G937="[FÓRMULA MANUAL]","",IFERROR(AVERAGEIFS(nNOTA,nNIA,G937,nCUENTA,1,nASIG,"Lenguaje Musical"),"")))</f>
        <v/>
      </c>
      <c r="I937" t="str">
        <f>IF(G937="","",IF(G937="[FÓRMULA MANUAL]","",IFERROR(AVERAGEIFS(nNOTA,nNIA,G937,nCUENTA,1,nASIG,"Orquesta/Banda/Conjunto"),"")))</f>
        <v/>
      </c>
      <c r="J937" t="str">
        <f>IF(G937="","",IF(G937="[FÓRMULA MANUAL]","",IFERROR(AVERAGEIFS(nNOTA,nNIA,G937,nCUENTA,1,nASIG,"Conjunto"),"")))</f>
        <v/>
      </c>
      <c r="K937" t="str">
        <f>IF(G937="","",IF(G937="[FÓRMULA MANUAL]","",IFERROR(SUMPRODUCT((nNIA=G937)*(nCUENTA=1)*(COUNTIF(CONFIG_ASIGNATURAS!$B$7:$B$27,nASIG)&gt;0)*(nNOTA))/SUMPRODUCT((nNIA=G937)*(nCUENTA=1)*(COUNTIF(CONFIG_ASIGNATURAS!$B$7:$B$27,nASIG)&gt;0)*1),"")))</f>
        <v/>
      </c>
      <c r="N937" t="str">
        <f>IF(M937="","",IF(M937="[FÓRMULA MANUAL]","",IFERROR(AVERAGEIFS(nNOTA,nNIA,M937,nCUENTA,1,nASIG,"Armonía"),"")))</f>
        <v/>
      </c>
      <c r="O937" t="str">
        <f>IF(M937="","",IF(M937="[FÓRMULA MANUAL]","",IFERROR(AVERAGEIFS(nNOTA,nNIA,M937,nCUENTA,1,nASIG,"Orquesta/Banda/Conjunto"),"")))</f>
        <v/>
      </c>
      <c r="P937" t="str">
        <f>IF(M937="","",IF(M937="[FÓRMULA MANUAL]","",IFERROR(AVERAGEIFS(nNOTA,nNIA,M937,nCUENTA,1,nASIG,"Música de Cámara"),"")))</f>
        <v/>
      </c>
      <c r="Q937" t="str">
        <f>IF(M937="","",IF(M937="[FÓRMULA MANUAL]","",IFERROR(SUMPRODUCT((nNIA=M937)*(nCUENTA=1)*(COUNTIF(CONFIG_ASIGNATURAS!$B$7:$B$27,nASIG)&gt;0)*(nNOTA))/SUMPRODUCT((nNIA=M937)*(nCUENTA=1)*(COUNTIF(CONFIG_ASIGNATURAS!$B$7:$B$27,nASIG)&gt;0)*1),"")))</f>
        <v/>
      </c>
      <c r="T937" t="str">
        <f>IF(S937="","",IF(S937="[FÓRMULA MANUAL]","",IFERROR(AVERAGEIFS(nNOTA,nNIA,S937,nCUENTA,1,nASIG,"Armonía"),"")))</f>
        <v/>
      </c>
      <c r="U937" t="str">
        <f>IF(S937="","",IF(S937="[FÓRMULA MANUAL]","",IFERROR(AVERAGEIFS(nNOTA,nNIA,S937,nCUENTA,1,nASIG,"Orquesta/Banda/Conjunto"),"")))</f>
        <v/>
      </c>
      <c r="V937" t="str">
        <f>IF(S937="","",IF(S937="[FÓRMULA MANUAL]","",IFERROR(AVERAGEIFS(nNOTA,nNIA,S937,nCUENTA,1,nASIG,"Música de Cámara"),"")))</f>
        <v/>
      </c>
      <c r="W937" t="str">
        <f>IF(S937="","",IF(S937="[FÓRMULA MANUAL]","",IFERROR(SUMPRODUCT((nNIA=S937)*(nCUENTA=1)*(COUNTIF(CONFIG_ASIGNATURAS!$B$7:$B$27,nASIG)&gt;0)*(nNOTA))/SUMPRODUCT((nNIA=S937)*(nCUENTA=1)*(COUNTIF(CONFIG_ASIGNATURAS!$B$7:$B$27,nASIG)&gt;0)*1),"")))</f>
        <v/>
      </c>
      <c r="Z937" t="str">
        <f>IF(Y937="","",IF(Y937="[FÓRMULA MANUAL]","",IFERROR(AVERAGEIFS(nNOTA,nNIA,Y937,nCUENTA,1,nASIG,"Análisis"),"")))</f>
        <v/>
      </c>
      <c r="AA937" t="str">
        <f>IF(Y937="","",IF(Y937="[FÓRMULA MANUAL]","",IFERROR(AVERAGEIFS(nNOTA,nNIA,Y937,nCUENTA,1,nASIG,"Orquesta/Banda/Conjunto"),"")))</f>
        <v/>
      </c>
      <c r="AB937" t="str">
        <f>IF(Y937="","",IF(Y937="[FÓRMULA MANUAL]","",IFERROR(AVERAGEIFS(nNOTA,nNIA,Y937,nCUENTA,1,nASIG,"Música de Cámara"),"")))</f>
        <v/>
      </c>
      <c r="AC937" t="str">
        <f>IF(Y937="","",IF(Y937="[FÓRMULA MANUAL]","",IFERROR(SUMPRODUCT((nNIA=Y937)*(nCUENTA=1)*(COUNTIF(CONFIG_ASIGNATURAS!$B$7:$B$27,nASIG)&gt;0)*(nNOTA))/SUMPRODUCT((nNIA=Y937)*(nCUENTA=1)*(COUNTIF(CONFIG_ASIGNATURAS!$B$7:$B$27,nASIG)&gt;0)*1),"")))</f>
        <v/>
      </c>
      <c r="AF937" t="str">
        <f>IF(AE937="","",IF(AE937="[FÓRMULA MANUAL]","",IFERROR(AVERAGEIFS(nNOTA,nNIA,AE937,nCUENTA,1,nASIG,"Análisis"),"")))</f>
        <v/>
      </c>
      <c r="AG937" t="str">
        <f>IF(AE937="","",IF(AE937="[FÓRMULA MANUAL]","",IFERROR(AVERAGEIFS(nNOTA,nNIA,AE937,nCUENTA,1,nASIG,"Orquesta/Banda/Conjunto"),"")))</f>
        <v/>
      </c>
      <c r="AH937" t="str">
        <f>IF(AE937="","",IF(AE937="[FÓRMULA MANUAL]","",IFERROR(AVERAGEIFS(nNOTA,nNIA,AE937,nCUENTA,1,nASIG,"Música de Cámara"),"")))</f>
        <v/>
      </c>
      <c r="AI937" t="str">
        <f>IF(AE937="","",IF(AE937="[FÓRMULA MANUAL]","",IFERROR(SUMPRODUCT((nNIA=AE937)*(nCUENTA=1)*(COUNTIF(CONFIG_ASIGNATURAS!$B$7:$B$27,nASIG)&gt;0)*(nNOTA))/SUMPRODUCT((nNIA=AE937)*(nCUENTA=1)*(COUNTIF(CONFIG_ASIGNATURAS!$B$7:$B$27,nASIG)&gt;0)*1),"")))</f>
        <v/>
      </c>
    </row>
    <row r="938" spans="2:35" x14ac:dyDescent="0.2">
      <c r="B938" t="str">
        <f>IF(A938="","",IF(A938="[FÓRMULA MANUAL]","",IFERROR(AVERAGEIFS(nNOTA,nNIA,A938,nCUENTA,1,nASIG,"Lenguaje Musical"),"")))</f>
        <v/>
      </c>
      <c r="C938" t="str">
        <f>IF(A938="","",IF(A938="[FÓRMULA MANUAL]","",IFERROR(AVERAGEIFS(nNOTA,nNIA,A938,nCUENTA,1,nASIG,"Orquesta/Banda/Conjunto"),"")))</f>
        <v/>
      </c>
      <c r="D938" t="str">
        <f>IF(A938="","",IF(A938="[FÓRMULA MANUAL]","",IFERROR(AVERAGEIFS(nNOTA,nNIA,A938,nCUENTA,1,nASIG,"Conjunto"),"")))</f>
        <v/>
      </c>
      <c r="E938" t="str">
        <f>IF(A938="","",IF(A938="[FÓRMULA MANUAL]","",IFERROR(SUMPRODUCT((nNIA=A938)*(nCUENTA=1)*(COUNTIF(CONFIG_ASIGNATURAS!$B$7:$B$27,nASIG)&gt;0)*(nNOTA))/SUMPRODUCT((nNIA=A938)*(nCUENTA=1)*(COUNTIF(CONFIG_ASIGNATURAS!$B$7:$B$27,nASIG)&gt;0)*1),"")))</f>
        <v/>
      </c>
      <c r="H938" t="str">
        <f>IF(G938="","",IF(G938="[FÓRMULA MANUAL]","",IFERROR(AVERAGEIFS(nNOTA,nNIA,G938,nCUENTA,1,nASIG,"Lenguaje Musical"),"")))</f>
        <v/>
      </c>
      <c r="I938" t="str">
        <f>IF(G938="","",IF(G938="[FÓRMULA MANUAL]","",IFERROR(AVERAGEIFS(nNOTA,nNIA,G938,nCUENTA,1,nASIG,"Orquesta/Banda/Conjunto"),"")))</f>
        <v/>
      </c>
      <c r="J938" t="str">
        <f>IF(G938="","",IF(G938="[FÓRMULA MANUAL]","",IFERROR(AVERAGEIFS(nNOTA,nNIA,G938,nCUENTA,1,nASIG,"Conjunto"),"")))</f>
        <v/>
      </c>
      <c r="K938" t="str">
        <f>IF(G938="","",IF(G938="[FÓRMULA MANUAL]","",IFERROR(SUMPRODUCT((nNIA=G938)*(nCUENTA=1)*(COUNTIF(CONFIG_ASIGNATURAS!$B$7:$B$27,nASIG)&gt;0)*(nNOTA))/SUMPRODUCT((nNIA=G938)*(nCUENTA=1)*(COUNTIF(CONFIG_ASIGNATURAS!$B$7:$B$27,nASIG)&gt;0)*1),"")))</f>
        <v/>
      </c>
      <c r="N938" t="str">
        <f>IF(M938="","",IF(M938="[FÓRMULA MANUAL]","",IFERROR(AVERAGEIFS(nNOTA,nNIA,M938,nCUENTA,1,nASIG,"Armonía"),"")))</f>
        <v/>
      </c>
      <c r="O938" t="str">
        <f>IF(M938="","",IF(M938="[FÓRMULA MANUAL]","",IFERROR(AVERAGEIFS(nNOTA,nNIA,M938,nCUENTA,1,nASIG,"Orquesta/Banda/Conjunto"),"")))</f>
        <v/>
      </c>
      <c r="P938" t="str">
        <f>IF(M938="","",IF(M938="[FÓRMULA MANUAL]","",IFERROR(AVERAGEIFS(nNOTA,nNIA,M938,nCUENTA,1,nASIG,"Música de Cámara"),"")))</f>
        <v/>
      </c>
      <c r="Q938" t="str">
        <f>IF(M938="","",IF(M938="[FÓRMULA MANUAL]","",IFERROR(SUMPRODUCT((nNIA=M938)*(nCUENTA=1)*(COUNTIF(CONFIG_ASIGNATURAS!$B$7:$B$27,nASIG)&gt;0)*(nNOTA))/SUMPRODUCT((nNIA=M938)*(nCUENTA=1)*(COUNTIF(CONFIG_ASIGNATURAS!$B$7:$B$27,nASIG)&gt;0)*1),"")))</f>
        <v/>
      </c>
      <c r="T938" t="str">
        <f>IF(S938="","",IF(S938="[FÓRMULA MANUAL]","",IFERROR(AVERAGEIFS(nNOTA,nNIA,S938,nCUENTA,1,nASIG,"Armonía"),"")))</f>
        <v/>
      </c>
      <c r="U938" t="str">
        <f>IF(S938="","",IF(S938="[FÓRMULA MANUAL]","",IFERROR(AVERAGEIFS(nNOTA,nNIA,S938,nCUENTA,1,nASIG,"Orquesta/Banda/Conjunto"),"")))</f>
        <v/>
      </c>
      <c r="V938" t="str">
        <f>IF(S938="","",IF(S938="[FÓRMULA MANUAL]","",IFERROR(AVERAGEIFS(nNOTA,nNIA,S938,nCUENTA,1,nASIG,"Música de Cámara"),"")))</f>
        <v/>
      </c>
      <c r="W938" t="str">
        <f>IF(S938="","",IF(S938="[FÓRMULA MANUAL]","",IFERROR(SUMPRODUCT((nNIA=S938)*(nCUENTA=1)*(COUNTIF(CONFIG_ASIGNATURAS!$B$7:$B$27,nASIG)&gt;0)*(nNOTA))/SUMPRODUCT((nNIA=S938)*(nCUENTA=1)*(COUNTIF(CONFIG_ASIGNATURAS!$B$7:$B$27,nASIG)&gt;0)*1),"")))</f>
        <v/>
      </c>
      <c r="Z938" t="str">
        <f>IF(Y938="","",IF(Y938="[FÓRMULA MANUAL]","",IFERROR(AVERAGEIFS(nNOTA,nNIA,Y938,nCUENTA,1,nASIG,"Análisis"),"")))</f>
        <v/>
      </c>
      <c r="AA938" t="str">
        <f>IF(Y938="","",IF(Y938="[FÓRMULA MANUAL]","",IFERROR(AVERAGEIFS(nNOTA,nNIA,Y938,nCUENTA,1,nASIG,"Orquesta/Banda/Conjunto"),"")))</f>
        <v/>
      </c>
      <c r="AB938" t="str">
        <f>IF(Y938="","",IF(Y938="[FÓRMULA MANUAL]","",IFERROR(AVERAGEIFS(nNOTA,nNIA,Y938,nCUENTA,1,nASIG,"Música de Cámara"),"")))</f>
        <v/>
      </c>
      <c r="AC938" t="str">
        <f>IF(Y938="","",IF(Y938="[FÓRMULA MANUAL]","",IFERROR(SUMPRODUCT((nNIA=Y938)*(nCUENTA=1)*(COUNTIF(CONFIG_ASIGNATURAS!$B$7:$B$27,nASIG)&gt;0)*(nNOTA))/SUMPRODUCT((nNIA=Y938)*(nCUENTA=1)*(COUNTIF(CONFIG_ASIGNATURAS!$B$7:$B$27,nASIG)&gt;0)*1),"")))</f>
        <v/>
      </c>
      <c r="AF938" t="str">
        <f>IF(AE938="","",IF(AE938="[FÓRMULA MANUAL]","",IFERROR(AVERAGEIFS(nNOTA,nNIA,AE938,nCUENTA,1,nASIG,"Análisis"),"")))</f>
        <v/>
      </c>
      <c r="AG938" t="str">
        <f>IF(AE938="","",IF(AE938="[FÓRMULA MANUAL]","",IFERROR(AVERAGEIFS(nNOTA,nNIA,AE938,nCUENTA,1,nASIG,"Orquesta/Banda/Conjunto"),"")))</f>
        <v/>
      </c>
      <c r="AH938" t="str">
        <f>IF(AE938="","",IF(AE938="[FÓRMULA MANUAL]","",IFERROR(AVERAGEIFS(nNOTA,nNIA,AE938,nCUENTA,1,nASIG,"Música de Cámara"),"")))</f>
        <v/>
      </c>
      <c r="AI938" t="str">
        <f>IF(AE938="","",IF(AE938="[FÓRMULA MANUAL]","",IFERROR(SUMPRODUCT((nNIA=AE938)*(nCUENTA=1)*(COUNTIF(CONFIG_ASIGNATURAS!$B$7:$B$27,nASIG)&gt;0)*(nNOTA))/SUMPRODUCT((nNIA=AE938)*(nCUENTA=1)*(COUNTIF(CONFIG_ASIGNATURAS!$B$7:$B$27,nASIG)&gt;0)*1),"")))</f>
        <v/>
      </c>
    </row>
    <row r="939" spans="2:35" x14ac:dyDescent="0.2">
      <c r="B939" t="str">
        <f>IF(A939="","",IF(A939="[FÓRMULA MANUAL]","",IFERROR(AVERAGEIFS(nNOTA,nNIA,A939,nCUENTA,1,nASIG,"Lenguaje Musical"),"")))</f>
        <v/>
      </c>
      <c r="C939" t="str">
        <f>IF(A939="","",IF(A939="[FÓRMULA MANUAL]","",IFERROR(AVERAGEIFS(nNOTA,nNIA,A939,nCUENTA,1,nASIG,"Orquesta/Banda/Conjunto"),"")))</f>
        <v/>
      </c>
      <c r="D939" t="str">
        <f>IF(A939="","",IF(A939="[FÓRMULA MANUAL]","",IFERROR(AVERAGEIFS(nNOTA,nNIA,A939,nCUENTA,1,nASIG,"Conjunto"),"")))</f>
        <v/>
      </c>
      <c r="E939" t="str">
        <f>IF(A939="","",IF(A939="[FÓRMULA MANUAL]","",IFERROR(SUMPRODUCT((nNIA=A939)*(nCUENTA=1)*(COUNTIF(CONFIG_ASIGNATURAS!$B$7:$B$27,nASIG)&gt;0)*(nNOTA))/SUMPRODUCT((nNIA=A939)*(nCUENTA=1)*(COUNTIF(CONFIG_ASIGNATURAS!$B$7:$B$27,nASIG)&gt;0)*1),"")))</f>
        <v/>
      </c>
      <c r="H939" t="str">
        <f>IF(G939="","",IF(G939="[FÓRMULA MANUAL]","",IFERROR(AVERAGEIFS(nNOTA,nNIA,G939,nCUENTA,1,nASIG,"Lenguaje Musical"),"")))</f>
        <v/>
      </c>
      <c r="I939" t="str">
        <f>IF(G939="","",IF(G939="[FÓRMULA MANUAL]","",IFERROR(AVERAGEIFS(nNOTA,nNIA,G939,nCUENTA,1,nASIG,"Orquesta/Banda/Conjunto"),"")))</f>
        <v/>
      </c>
      <c r="J939" t="str">
        <f>IF(G939="","",IF(G939="[FÓRMULA MANUAL]","",IFERROR(AVERAGEIFS(nNOTA,nNIA,G939,nCUENTA,1,nASIG,"Conjunto"),"")))</f>
        <v/>
      </c>
      <c r="K939" t="str">
        <f>IF(G939="","",IF(G939="[FÓRMULA MANUAL]","",IFERROR(SUMPRODUCT((nNIA=G939)*(nCUENTA=1)*(COUNTIF(CONFIG_ASIGNATURAS!$B$7:$B$27,nASIG)&gt;0)*(nNOTA))/SUMPRODUCT((nNIA=G939)*(nCUENTA=1)*(COUNTIF(CONFIG_ASIGNATURAS!$B$7:$B$27,nASIG)&gt;0)*1),"")))</f>
        <v/>
      </c>
      <c r="N939" t="str">
        <f>IF(M939="","",IF(M939="[FÓRMULA MANUAL]","",IFERROR(AVERAGEIFS(nNOTA,nNIA,M939,nCUENTA,1,nASIG,"Armonía"),"")))</f>
        <v/>
      </c>
      <c r="O939" t="str">
        <f>IF(M939="","",IF(M939="[FÓRMULA MANUAL]","",IFERROR(AVERAGEIFS(nNOTA,nNIA,M939,nCUENTA,1,nASIG,"Orquesta/Banda/Conjunto"),"")))</f>
        <v/>
      </c>
      <c r="P939" t="str">
        <f>IF(M939="","",IF(M939="[FÓRMULA MANUAL]","",IFERROR(AVERAGEIFS(nNOTA,nNIA,M939,nCUENTA,1,nASIG,"Música de Cámara"),"")))</f>
        <v/>
      </c>
      <c r="Q939" t="str">
        <f>IF(M939="","",IF(M939="[FÓRMULA MANUAL]","",IFERROR(SUMPRODUCT((nNIA=M939)*(nCUENTA=1)*(COUNTIF(CONFIG_ASIGNATURAS!$B$7:$B$27,nASIG)&gt;0)*(nNOTA))/SUMPRODUCT((nNIA=M939)*(nCUENTA=1)*(COUNTIF(CONFIG_ASIGNATURAS!$B$7:$B$27,nASIG)&gt;0)*1),"")))</f>
        <v/>
      </c>
      <c r="T939" t="str">
        <f>IF(S939="","",IF(S939="[FÓRMULA MANUAL]","",IFERROR(AVERAGEIFS(nNOTA,nNIA,S939,nCUENTA,1,nASIG,"Armonía"),"")))</f>
        <v/>
      </c>
      <c r="U939" t="str">
        <f>IF(S939="","",IF(S939="[FÓRMULA MANUAL]","",IFERROR(AVERAGEIFS(nNOTA,nNIA,S939,nCUENTA,1,nASIG,"Orquesta/Banda/Conjunto"),"")))</f>
        <v/>
      </c>
      <c r="V939" t="str">
        <f>IF(S939="","",IF(S939="[FÓRMULA MANUAL]","",IFERROR(AVERAGEIFS(nNOTA,nNIA,S939,nCUENTA,1,nASIG,"Música de Cámara"),"")))</f>
        <v/>
      </c>
      <c r="W939" t="str">
        <f>IF(S939="","",IF(S939="[FÓRMULA MANUAL]","",IFERROR(SUMPRODUCT((nNIA=S939)*(nCUENTA=1)*(COUNTIF(CONFIG_ASIGNATURAS!$B$7:$B$27,nASIG)&gt;0)*(nNOTA))/SUMPRODUCT((nNIA=S939)*(nCUENTA=1)*(COUNTIF(CONFIG_ASIGNATURAS!$B$7:$B$27,nASIG)&gt;0)*1),"")))</f>
        <v/>
      </c>
      <c r="Z939" t="str">
        <f>IF(Y939="","",IF(Y939="[FÓRMULA MANUAL]","",IFERROR(AVERAGEIFS(nNOTA,nNIA,Y939,nCUENTA,1,nASIG,"Análisis"),"")))</f>
        <v/>
      </c>
      <c r="AA939" t="str">
        <f>IF(Y939="","",IF(Y939="[FÓRMULA MANUAL]","",IFERROR(AVERAGEIFS(nNOTA,nNIA,Y939,nCUENTA,1,nASIG,"Orquesta/Banda/Conjunto"),"")))</f>
        <v/>
      </c>
      <c r="AB939" t="str">
        <f>IF(Y939="","",IF(Y939="[FÓRMULA MANUAL]","",IFERROR(AVERAGEIFS(nNOTA,nNIA,Y939,nCUENTA,1,nASIG,"Música de Cámara"),"")))</f>
        <v/>
      </c>
      <c r="AC939" t="str">
        <f>IF(Y939="","",IF(Y939="[FÓRMULA MANUAL]","",IFERROR(SUMPRODUCT((nNIA=Y939)*(nCUENTA=1)*(COUNTIF(CONFIG_ASIGNATURAS!$B$7:$B$27,nASIG)&gt;0)*(nNOTA))/SUMPRODUCT((nNIA=Y939)*(nCUENTA=1)*(COUNTIF(CONFIG_ASIGNATURAS!$B$7:$B$27,nASIG)&gt;0)*1),"")))</f>
        <v/>
      </c>
      <c r="AF939" t="str">
        <f>IF(AE939="","",IF(AE939="[FÓRMULA MANUAL]","",IFERROR(AVERAGEIFS(nNOTA,nNIA,AE939,nCUENTA,1,nASIG,"Análisis"),"")))</f>
        <v/>
      </c>
      <c r="AG939" t="str">
        <f>IF(AE939="","",IF(AE939="[FÓRMULA MANUAL]","",IFERROR(AVERAGEIFS(nNOTA,nNIA,AE939,nCUENTA,1,nASIG,"Orquesta/Banda/Conjunto"),"")))</f>
        <v/>
      </c>
      <c r="AH939" t="str">
        <f>IF(AE939="","",IF(AE939="[FÓRMULA MANUAL]","",IFERROR(AVERAGEIFS(nNOTA,nNIA,AE939,nCUENTA,1,nASIG,"Música de Cámara"),"")))</f>
        <v/>
      </c>
      <c r="AI939" t="str">
        <f>IF(AE939="","",IF(AE939="[FÓRMULA MANUAL]","",IFERROR(SUMPRODUCT((nNIA=AE939)*(nCUENTA=1)*(COUNTIF(CONFIG_ASIGNATURAS!$B$7:$B$27,nASIG)&gt;0)*(nNOTA))/SUMPRODUCT((nNIA=AE939)*(nCUENTA=1)*(COUNTIF(CONFIG_ASIGNATURAS!$B$7:$B$27,nASIG)&gt;0)*1),"")))</f>
        <v/>
      </c>
    </row>
    <row r="940" spans="2:35" x14ac:dyDescent="0.2">
      <c r="B940" t="str">
        <f>IF(A940="","",IF(A940="[FÓRMULA MANUAL]","",IFERROR(AVERAGEIFS(nNOTA,nNIA,A940,nCUENTA,1,nASIG,"Lenguaje Musical"),"")))</f>
        <v/>
      </c>
      <c r="C940" t="str">
        <f>IF(A940="","",IF(A940="[FÓRMULA MANUAL]","",IFERROR(AVERAGEIFS(nNOTA,nNIA,A940,nCUENTA,1,nASIG,"Orquesta/Banda/Conjunto"),"")))</f>
        <v/>
      </c>
      <c r="D940" t="str">
        <f>IF(A940="","",IF(A940="[FÓRMULA MANUAL]","",IFERROR(AVERAGEIFS(nNOTA,nNIA,A940,nCUENTA,1,nASIG,"Conjunto"),"")))</f>
        <v/>
      </c>
      <c r="E940" t="str">
        <f>IF(A940="","",IF(A940="[FÓRMULA MANUAL]","",IFERROR(SUMPRODUCT((nNIA=A940)*(nCUENTA=1)*(COUNTIF(CONFIG_ASIGNATURAS!$B$7:$B$27,nASIG)&gt;0)*(nNOTA))/SUMPRODUCT((nNIA=A940)*(nCUENTA=1)*(COUNTIF(CONFIG_ASIGNATURAS!$B$7:$B$27,nASIG)&gt;0)*1),"")))</f>
        <v/>
      </c>
      <c r="H940" t="str">
        <f>IF(G940="","",IF(G940="[FÓRMULA MANUAL]","",IFERROR(AVERAGEIFS(nNOTA,nNIA,G940,nCUENTA,1,nASIG,"Lenguaje Musical"),"")))</f>
        <v/>
      </c>
      <c r="I940" t="str">
        <f>IF(G940="","",IF(G940="[FÓRMULA MANUAL]","",IFERROR(AVERAGEIFS(nNOTA,nNIA,G940,nCUENTA,1,nASIG,"Orquesta/Banda/Conjunto"),"")))</f>
        <v/>
      </c>
      <c r="J940" t="str">
        <f>IF(G940="","",IF(G940="[FÓRMULA MANUAL]","",IFERROR(AVERAGEIFS(nNOTA,nNIA,G940,nCUENTA,1,nASIG,"Conjunto"),"")))</f>
        <v/>
      </c>
      <c r="K940" t="str">
        <f>IF(G940="","",IF(G940="[FÓRMULA MANUAL]","",IFERROR(SUMPRODUCT((nNIA=G940)*(nCUENTA=1)*(COUNTIF(CONFIG_ASIGNATURAS!$B$7:$B$27,nASIG)&gt;0)*(nNOTA))/SUMPRODUCT((nNIA=G940)*(nCUENTA=1)*(COUNTIF(CONFIG_ASIGNATURAS!$B$7:$B$27,nASIG)&gt;0)*1),"")))</f>
        <v/>
      </c>
      <c r="N940" t="str">
        <f>IF(M940="","",IF(M940="[FÓRMULA MANUAL]","",IFERROR(AVERAGEIFS(nNOTA,nNIA,M940,nCUENTA,1,nASIG,"Armonía"),"")))</f>
        <v/>
      </c>
      <c r="O940" t="str">
        <f>IF(M940="","",IF(M940="[FÓRMULA MANUAL]","",IFERROR(AVERAGEIFS(nNOTA,nNIA,M940,nCUENTA,1,nASIG,"Orquesta/Banda/Conjunto"),"")))</f>
        <v/>
      </c>
      <c r="P940" t="str">
        <f>IF(M940="","",IF(M940="[FÓRMULA MANUAL]","",IFERROR(AVERAGEIFS(nNOTA,nNIA,M940,nCUENTA,1,nASIG,"Música de Cámara"),"")))</f>
        <v/>
      </c>
      <c r="Q940" t="str">
        <f>IF(M940="","",IF(M940="[FÓRMULA MANUAL]","",IFERROR(SUMPRODUCT((nNIA=M940)*(nCUENTA=1)*(COUNTIF(CONFIG_ASIGNATURAS!$B$7:$B$27,nASIG)&gt;0)*(nNOTA))/SUMPRODUCT((nNIA=M940)*(nCUENTA=1)*(COUNTIF(CONFIG_ASIGNATURAS!$B$7:$B$27,nASIG)&gt;0)*1),"")))</f>
        <v/>
      </c>
      <c r="T940" t="str">
        <f>IF(S940="","",IF(S940="[FÓRMULA MANUAL]","",IFERROR(AVERAGEIFS(nNOTA,nNIA,S940,nCUENTA,1,nASIG,"Armonía"),"")))</f>
        <v/>
      </c>
      <c r="U940" t="str">
        <f>IF(S940="","",IF(S940="[FÓRMULA MANUAL]","",IFERROR(AVERAGEIFS(nNOTA,nNIA,S940,nCUENTA,1,nASIG,"Orquesta/Banda/Conjunto"),"")))</f>
        <v/>
      </c>
      <c r="V940" t="str">
        <f>IF(S940="","",IF(S940="[FÓRMULA MANUAL]","",IFERROR(AVERAGEIFS(nNOTA,nNIA,S940,nCUENTA,1,nASIG,"Música de Cámara"),"")))</f>
        <v/>
      </c>
      <c r="W940" t="str">
        <f>IF(S940="","",IF(S940="[FÓRMULA MANUAL]","",IFERROR(SUMPRODUCT((nNIA=S940)*(nCUENTA=1)*(COUNTIF(CONFIG_ASIGNATURAS!$B$7:$B$27,nASIG)&gt;0)*(nNOTA))/SUMPRODUCT((nNIA=S940)*(nCUENTA=1)*(COUNTIF(CONFIG_ASIGNATURAS!$B$7:$B$27,nASIG)&gt;0)*1),"")))</f>
        <v/>
      </c>
      <c r="Z940" t="str">
        <f>IF(Y940="","",IF(Y940="[FÓRMULA MANUAL]","",IFERROR(AVERAGEIFS(nNOTA,nNIA,Y940,nCUENTA,1,nASIG,"Análisis"),"")))</f>
        <v/>
      </c>
      <c r="AA940" t="str">
        <f>IF(Y940="","",IF(Y940="[FÓRMULA MANUAL]","",IFERROR(AVERAGEIFS(nNOTA,nNIA,Y940,nCUENTA,1,nASIG,"Orquesta/Banda/Conjunto"),"")))</f>
        <v/>
      </c>
      <c r="AB940" t="str">
        <f>IF(Y940="","",IF(Y940="[FÓRMULA MANUAL]","",IFERROR(AVERAGEIFS(nNOTA,nNIA,Y940,nCUENTA,1,nASIG,"Música de Cámara"),"")))</f>
        <v/>
      </c>
      <c r="AC940" t="str">
        <f>IF(Y940="","",IF(Y940="[FÓRMULA MANUAL]","",IFERROR(SUMPRODUCT((nNIA=Y940)*(nCUENTA=1)*(COUNTIF(CONFIG_ASIGNATURAS!$B$7:$B$27,nASIG)&gt;0)*(nNOTA))/SUMPRODUCT((nNIA=Y940)*(nCUENTA=1)*(COUNTIF(CONFIG_ASIGNATURAS!$B$7:$B$27,nASIG)&gt;0)*1),"")))</f>
        <v/>
      </c>
      <c r="AF940" t="str">
        <f>IF(AE940="","",IF(AE940="[FÓRMULA MANUAL]","",IFERROR(AVERAGEIFS(nNOTA,nNIA,AE940,nCUENTA,1,nASIG,"Análisis"),"")))</f>
        <v/>
      </c>
      <c r="AG940" t="str">
        <f>IF(AE940="","",IF(AE940="[FÓRMULA MANUAL]","",IFERROR(AVERAGEIFS(nNOTA,nNIA,AE940,nCUENTA,1,nASIG,"Orquesta/Banda/Conjunto"),"")))</f>
        <v/>
      </c>
      <c r="AH940" t="str">
        <f>IF(AE940="","",IF(AE940="[FÓRMULA MANUAL]","",IFERROR(AVERAGEIFS(nNOTA,nNIA,AE940,nCUENTA,1,nASIG,"Música de Cámara"),"")))</f>
        <v/>
      </c>
      <c r="AI940" t="str">
        <f>IF(AE940="","",IF(AE940="[FÓRMULA MANUAL]","",IFERROR(SUMPRODUCT((nNIA=AE940)*(nCUENTA=1)*(COUNTIF(CONFIG_ASIGNATURAS!$B$7:$B$27,nASIG)&gt;0)*(nNOTA))/SUMPRODUCT((nNIA=AE940)*(nCUENTA=1)*(COUNTIF(CONFIG_ASIGNATURAS!$B$7:$B$27,nASIG)&gt;0)*1),"")))</f>
        <v/>
      </c>
    </row>
    <row r="941" spans="2:35" x14ac:dyDescent="0.2">
      <c r="B941" t="str">
        <f>IF(A941="","",IF(A941="[FÓRMULA MANUAL]","",IFERROR(AVERAGEIFS(nNOTA,nNIA,A941,nCUENTA,1,nASIG,"Lenguaje Musical"),"")))</f>
        <v/>
      </c>
      <c r="C941" t="str">
        <f>IF(A941="","",IF(A941="[FÓRMULA MANUAL]","",IFERROR(AVERAGEIFS(nNOTA,nNIA,A941,nCUENTA,1,nASIG,"Orquesta/Banda/Conjunto"),"")))</f>
        <v/>
      </c>
      <c r="D941" t="str">
        <f>IF(A941="","",IF(A941="[FÓRMULA MANUAL]","",IFERROR(AVERAGEIFS(nNOTA,nNIA,A941,nCUENTA,1,nASIG,"Conjunto"),"")))</f>
        <v/>
      </c>
      <c r="E941" t="str">
        <f>IF(A941="","",IF(A941="[FÓRMULA MANUAL]","",IFERROR(SUMPRODUCT((nNIA=A941)*(nCUENTA=1)*(COUNTIF(CONFIG_ASIGNATURAS!$B$7:$B$27,nASIG)&gt;0)*(nNOTA))/SUMPRODUCT((nNIA=A941)*(nCUENTA=1)*(COUNTIF(CONFIG_ASIGNATURAS!$B$7:$B$27,nASIG)&gt;0)*1),"")))</f>
        <v/>
      </c>
      <c r="H941" t="str">
        <f>IF(G941="","",IF(G941="[FÓRMULA MANUAL]","",IFERROR(AVERAGEIFS(nNOTA,nNIA,G941,nCUENTA,1,nASIG,"Lenguaje Musical"),"")))</f>
        <v/>
      </c>
      <c r="I941" t="str">
        <f>IF(G941="","",IF(G941="[FÓRMULA MANUAL]","",IFERROR(AVERAGEIFS(nNOTA,nNIA,G941,nCUENTA,1,nASIG,"Orquesta/Banda/Conjunto"),"")))</f>
        <v/>
      </c>
      <c r="J941" t="str">
        <f>IF(G941="","",IF(G941="[FÓRMULA MANUAL]","",IFERROR(AVERAGEIFS(nNOTA,nNIA,G941,nCUENTA,1,nASIG,"Conjunto"),"")))</f>
        <v/>
      </c>
      <c r="K941" t="str">
        <f>IF(G941="","",IF(G941="[FÓRMULA MANUAL]","",IFERROR(SUMPRODUCT((nNIA=G941)*(nCUENTA=1)*(COUNTIF(CONFIG_ASIGNATURAS!$B$7:$B$27,nASIG)&gt;0)*(nNOTA))/SUMPRODUCT((nNIA=G941)*(nCUENTA=1)*(COUNTIF(CONFIG_ASIGNATURAS!$B$7:$B$27,nASIG)&gt;0)*1),"")))</f>
        <v/>
      </c>
      <c r="N941" t="str">
        <f>IF(M941="","",IF(M941="[FÓRMULA MANUAL]","",IFERROR(AVERAGEIFS(nNOTA,nNIA,M941,nCUENTA,1,nASIG,"Armonía"),"")))</f>
        <v/>
      </c>
      <c r="O941" t="str">
        <f>IF(M941="","",IF(M941="[FÓRMULA MANUAL]","",IFERROR(AVERAGEIFS(nNOTA,nNIA,M941,nCUENTA,1,nASIG,"Orquesta/Banda/Conjunto"),"")))</f>
        <v/>
      </c>
      <c r="P941" t="str">
        <f>IF(M941="","",IF(M941="[FÓRMULA MANUAL]","",IFERROR(AVERAGEIFS(nNOTA,nNIA,M941,nCUENTA,1,nASIG,"Música de Cámara"),"")))</f>
        <v/>
      </c>
      <c r="Q941" t="str">
        <f>IF(M941="","",IF(M941="[FÓRMULA MANUAL]","",IFERROR(SUMPRODUCT((nNIA=M941)*(nCUENTA=1)*(COUNTIF(CONFIG_ASIGNATURAS!$B$7:$B$27,nASIG)&gt;0)*(nNOTA))/SUMPRODUCT((nNIA=M941)*(nCUENTA=1)*(COUNTIF(CONFIG_ASIGNATURAS!$B$7:$B$27,nASIG)&gt;0)*1),"")))</f>
        <v/>
      </c>
      <c r="T941" t="str">
        <f>IF(S941="","",IF(S941="[FÓRMULA MANUAL]","",IFERROR(AVERAGEIFS(nNOTA,nNIA,S941,nCUENTA,1,nASIG,"Armonía"),"")))</f>
        <v/>
      </c>
      <c r="U941" t="str">
        <f>IF(S941="","",IF(S941="[FÓRMULA MANUAL]","",IFERROR(AVERAGEIFS(nNOTA,nNIA,S941,nCUENTA,1,nASIG,"Orquesta/Banda/Conjunto"),"")))</f>
        <v/>
      </c>
      <c r="V941" t="str">
        <f>IF(S941="","",IF(S941="[FÓRMULA MANUAL]","",IFERROR(AVERAGEIFS(nNOTA,nNIA,S941,nCUENTA,1,nASIG,"Música de Cámara"),"")))</f>
        <v/>
      </c>
      <c r="W941" t="str">
        <f>IF(S941="","",IF(S941="[FÓRMULA MANUAL]","",IFERROR(SUMPRODUCT((nNIA=S941)*(nCUENTA=1)*(COUNTIF(CONFIG_ASIGNATURAS!$B$7:$B$27,nASIG)&gt;0)*(nNOTA))/SUMPRODUCT((nNIA=S941)*(nCUENTA=1)*(COUNTIF(CONFIG_ASIGNATURAS!$B$7:$B$27,nASIG)&gt;0)*1),"")))</f>
        <v/>
      </c>
      <c r="Z941" t="str">
        <f>IF(Y941="","",IF(Y941="[FÓRMULA MANUAL]","",IFERROR(AVERAGEIFS(nNOTA,nNIA,Y941,nCUENTA,1,nASIG,"Análisis"),"")))</f>
        <v/>
      </c>
      <c r="AA941" t="str">
        <f>IF(Y941="","",IF(Y941="[FÓRMULA MANUAL]","",IFERROR(AVERAGEIFS(nNOTA,nNIA,Y941,nCUENTA,1,nASIG,"Orquesta/Banda/Conjunto"),"")))</f>
        <v/>
      </c>
      <c r="AB941" t="str">
        <f>IF(Y941="","",IF(Y941="[FÓRMULA MANUAL]","",IFERROR(AVERAGEIFS(nNOTA,nNIA,Y941,nCUENTA,1,nASIG,"Música de Cámara"),"")))</f>
        <v/>
      </c>
      <c r="AC941" t="str">
        <f>IF(Y941="","",IF(Y941="[FÓRMULA MANUAL]","",IFERROR(SUMPRODUCT((nNIA=Y941)*(nCUENTA=1)*(COUNTIF(CONFIG_ASIGNATURAS!$B$7:$B$27,nASIG)&gt;0)*(nNOTA))/SUMPRODUCT((nNIA=Y941)*(nCUENTA=1)*(COUNTIF(CONFIG_ASIGNATURAS!$B$7:$B$27,nASIG)&gt;0)*1),"")))</f>
        <v/>
      </c>
      <c r="AF941" t="str">
        <f>IF(AE941="","",IF(AE941="[FÓRMULA MANUAL]","",IFERROR(AVERAGEIFS(nNOTA,nNIA,AE941,nCUENTA,1,nASIG,"Análisis"),"")))</f>
        <v/>
      </c>
      <c r="AG941" t="str">
        <f>IF(AE941="","",IF(AE941="[FÓRMULA MANUAL]","",IFERROR(AVERAGEIFS(nNOTA,nNIA,AE941,nCUENTA,1,nASIG,"Orquesta/Banda/Conjunto"),"")))</f>
        <v/>
      </c>
      <c r="AH941" t="str">
        <f>IF(AE941="","",IF(AE941="[FÓRMULA MANUAL]","",IFERROR(AVERAGEIFS(nNOTA,nNIA,AE941,nCUENTA,1,nASIG,"Música de Cámara"),"")))</f>
        <v/>
      </c>
      <c r="AI941" t="str">
        <f>IF(AE941="","",IF(AE941="[FÓRMULA MANUAL]","",IFERROR(SUMPRODUCT((nNIA=AE941)*(nCUENTA=1)*(COUNTIF(CONFIG_ASIGNATURAS!$B$7:$B$27,nASIG)&gt;0)*(nNOTA))/SUMPRODUCT((nNIA=AE941)*(nCUENTA=1)*(COUNTIF(CONFIG_ASIGNATURAS!$B$7:$B$27,nASIG)&gt;0)*1),"")))</f>
        <v/>
      </c>
    </row>
    <row r="942" spans="2:35" x14ac:dyDescent="0.2">
      <c r="B942" t="str">
        <f>IF(A942="","",IF(A942="[FÓRMULA MANUAL]","",IFERROR(AVERAGEIFS(nNOTA,nNIA,A942,nCUENTA,1,nASIG,"Lenguaje Musical"),"")))</f>
        <v/>
      </c>
      <c r="C942" t="str">
        <f>IF(A942="","",IF(A942="[FÓRMULA MANUAL]","",IFERROR(AVERAGEIFS(nNOTA,nNIA,A942,nCUENTA,1,nASIG,"Orquesta/Banda/Conjunto"),"")))</f>
        <v/>
      </c>
      <c r="D942" t="str">
        <f>IF(A942="","",IF(A942="[FÓRMULA MANUAL]","",IFERROR(AVERAGEIFS(nNOTA,nNIA,A942,nCUENTA,1,nASIG,"Conjunto"),"")))</f>
        <v/>
      </c>
      <c r="E942" t="str">
        <f>IF(A942="","",IF(A942="[FÓRMULA MANUAL]","",IFERROR(SUMPRODUCT((nNIA=A942)*(nCUENTA=1)*(COUNTIF(CONFIG_ASIGNATURAS!$B$7:$B$27,nASIG)&gt;0)*(nNOTA))/SUMPRODUCT((nNIA=A942)*(nCUENTA=1)*(COUNTIF(CONFIG_ASIGNATURAS!$B$7:$B$27,nASIG)&gt;0)*1),"")))</f>
        <v/>
      </c>
      <c r="H942" t="str">
        <f>IF(G942="","",IF(G942="[FÓRMULA MANUAL]","",IFERROR(AVERAGEIFS(nNOTA,nNIA,G942,nCUENTA,1,nASIG,"Lenguaje Musical"),"")))</f>
        <v/>
      </c>
      <c r="I942" t="str">
        <f>IF(G942="","",IF(G942="[FÓRMULA MANUAL]","",IFERROR(AVERAGEIFS(nNOTA,nNIA,G942,nCUENTA,1,nASIG,"Orquesta/Banda/Conjunto"),"")))</f>
        <v/>
      </c>
      <c r="J942" t="str">
        <f>IF(G942="","",IF(G942="[FÓRMULA MANUAL]","",IFERROR(AVERAGEIFS(nNOTA,nNIA,G942,nCUENTA,1,nASIG,"Conjunto"),"")))</f>
        <v/>
      </c>
      <c r="K942" t="str">
        <f>IF(G942="","",IF(G942="[FÓRMULA MANUAL]","",IFERROR(SUMPRODUCT((nNIA=G942)*(nCUENTA=1)*(COUNTIF(CONFIG_ASIGNATURAS!$B$7:$B$27,nASIG)&gt;0)*(nNOTA))/SUMPRODUCT((nNIA=G942)*(nCUENTA=1)*(COUNTIF(CONFIG_ASIGNATURAS!$B$7:$B$27,nASIG)&gt;0)*1),"")))</f>
        <v/>
      </c>
      <c r="N942" t="str">
        <f>IF(M942="","",IF(M942="[FÓRMULA MANUAL]","",IFERROR(AVERAGEIFS(nNOTA,nNIA,M942,nCUENTA,1,nASIG,"Armonía"),"")))</f>
        <v/>
      </c>
      <c r="O942" t="str">
        <f>IF(M942="","",IF(M942="[FÓRMULA MANUAL]","",IFERROR(AVERAGEIFS(nNOTA,nNIA,M942,nCUENTA,1,nASIG,"Orquesta/Banda/Conjunto"),"")))</f>
        <v/>
      </c>
      <c r="P942" t="str">
        <f>IF(M942="","",IF(M942="[FÓRMULA MANUAL]","",IFERROR(AVERAGEIFS(nNOTA,nNIA,M942,nCUENTA,1,nASIG,"Música de Cámara"),"")))</f>
        <v/>
      </c>
      <c r="Q942" t="str">
        <f>IF(M942="","",IF(M942="[FÓRMULA MANUAL]","",IFERROR(SUMPRODUCT((nNIA=M942)*(nCUENTA=1)*(COUNTIF(CONFIG_ASIGNATURAS!$B$7:$B$27,nASIG)&gt;0)*(nNOTA))/SUMPRODUCT((nNIA=M942)*(nCUENTA=1)*(COUNTIF(CONFIG_ASIGNATURAS!$B$7:$B$27,nASIG)&gt;0)*1),"")))</f>
        <v/>
      </c>
      <c r="T942" t="str">
        <f>IF(S942="","",IF(S942="[FÓRMULA MANUAL]","",IFERROR(AVERAGEIFS(nNOTA,nNIA,S942,nCUENTA,1,nASIG,"Armonía"),"")))</f>
        <v/>
      </c>
      <c r="U942" t="str">
        <f>IF(S942="","",IF(S942="[FÓRMULA MANUAL]","",IFERROR(AVERAGEIFS(nNOTA,nNIA,S942,nCUENTA,1,nASIG,"Orquesta/Banda/Conjunto"),"")))</f>
        <v/>
      </c>
      <c r="V942" t="str">
        <f>IF(S942="","",IF(S942="[FÓRMULA MANUAL]","",IFERROR(AVERAGEIFS(nNOTA,nNIA,S942,nCUENTA,1,nASIG,"Música de Cámara"),"")))</f>
        <v/>
      </c>
      <c r="W942" t="str">
        <f>IF(S942="","",IF(S942="[FÓRMULA MANUAL]","",IFERROR(SUMPRODUCT((nNIA=S942)*(nCUENTA=1)*(COUNTIF(CONFIG_ASIGNATURAS!$B$7:$B$27,nASIG)&gt;0)*(nNOTA))/SUMPRODUCT((nNIA=S942)*(nCUENTA=1)*(COUNTIF(CONFIG_ASIGNATURAS!$B$7:$B$27,nASIG)&gt;0)*1),"")))</f>
        <v/>
      </c>
      <c r="Z942" t="str">
        <f>IF(Y942="","",IF(Y942="[FÓRMULA MANUAL]","",IFERROR(AVERAGEIFS(nNOTA,nNIA,Y942,nCUENTA,1,nASIG,"Análisis"),"")))</f>
        <v/>
      </c>
      <c r="AA942" t="str">
        <f>IF(Y942="","",IF(Y942="[FÓRMULA MANUAL]","",IFERROR(AVERAGEIFS(nNOTA,nNIA,Y942,nCUENTA,1,nASIG,"Orquesta/Banda/Conjunto"),"")))</f>
        <v/>
      </c>
      <c r="AB942" t="str">
        <f>IF(Y942="","",IF(Y942="[FÓRMULA MANUAL]","",IFERROR(AVERAGEIFS(nNOTA,nNIA,Y942,nCUENTA,1,nASIG,"Música de Cámara"),"")))</f>
        <v/>
      </c>
      <c r="AC942" t="str">
        <f>IF(Y942="","",IF(Y942="[FÓRMULA MANUAL]","",IFERROR(SUMPRODUCT((nNIA=Y942)*(nCUENTA=1)*(COUNTIF(CONFIG_ASIGNATURAS!$B$7:$B$27,nASIG)&gt;0)*(nNOTA))/SUMPRODUCT((nNIA=Y942)*(nCUENTA=1)*(COUNTIF(CONFIG_ASIGNATURAS!$B$7:$B$27,nASIG)&gt;0)*1),"")))</f>
        <v/>
      </c>
      <c r="AF942" t="str">
        <f>IF(AE942="","",IF(AE942="[FÓRMULA MANUAL]","",IFERROR(AVERAGEIFS(nNOTA,nNIA,AE942,nCUENTA,1,nASIG,"Análisis"),"")))</f>
        <v/>
      </c>
      <c r="AG942" t="str">
        <f>IF(AE942="","",IF(AE942="[FÓRMULA MANUAL]","",IFERROR(AVERAGEIFS(nNOTA,nNIA,AE942,nCUENTA,1,nASIG,"Orquesta/Banda/Conjunto"),"")))</f>
        <v/>
      </c>
      <c r="AH942" t="str">
        <f>IF(AE942="","",IF(AE942="[FÓRMULA MANUAL]","",IFERROR(AVERAGEIFS(nNOTA,nNIA,AE942,nCUENTA,1,nASIG,"Música de Cámara"),"")))</f>
        <v/>
      </c>
      <c r="AI942" t="str">
        <f>IF(AE942="","",IF(AE942="[FÓRMULA MANUAL]","",IFERROR(SUMPRODUCT((nNIA=AE942)*(nCUENTA=1)*(COUNTIF(CONFIG_ASIGNATURAS!$B$7:$B$27,nASIG)&gt;0)*(nNOTA))/SUMPRODUCT((nNIA=AE942)*(nCUENTA=1)*(COUNTIF(CONFIG_ASIGNATURAS!$B$7:$B$27,nASIG)&gt;0)*1),"")))</f>
        <v/>
      </c>
    </row>
    <row r="943" spans="2:35" x14ac:dyDescent="0.2">
      <c r="B943" t="str">
        <f>IF(A943="","",IF(A943="[FÓRMULA MANUAL]","",IFERROR(AVERAGEIFS(nNOTA,nNIA,A943,nCUENTA,1,nASIG,"Lenguaje Musical"),"")))</f>
        <v/>
      </c>
      <c r="C943" t="str">
        <f>IF(A943="","",IF(A943="[FÓRMULA MANUAL]","",IFERROR(AVERAGEIFS(nNOTA,nNIA,A943,nCUENTA,1,nASIG,"Orquesta/Banda/Conjunto"),"")))</f>
        <v/>
      </c>
      <c r="D943" t="str">
        <f>IF(A943="","",IF(A943="[FÓRMULA MANUAL]","",IFERROR(AVERAGEIFS(nNOTA,nNIA,A943,nCUENTA,1,nASIG,"Conjunto"),"")))</f>
        <v/>
      </c>
      <c r="E943" t="str">
        <f>IF(A943="","",IF(A943="[FÓRMULA MANUAL]","",IFERROR(SUMPRODUCT((nNIA=A943)*(nCUENTA=1)*(COUNTIF(CONFIG_ASIGNATURAS!$B$7:$B$27,nASIG)&gt;0)*(nNOTA))/SUMPRODUCT((nNIA=A943)*(nCUENTA=1)*(COUNTIF(CONFIG_ASIGNATURAS!$B$7:$B$27,nASIG)&gt;0)*1),"")))</f>
        <v/>
      </c>
      <c r="H943" t="str">
        <f>IF(G943="","",IF(G943="[FÓRMULA MANUAL]","",IFERROR(AVERAGEIFS(nNOTA,nNIA,G943,nCUENTA,1,nASIG,"Lenguaje Musical"),"")))</f>
        <v/>
      </c>
      <c r="I943" t="str">
        <f>IF(G943="","",IF(G943="[FÓRMULA MANUAL]","",IFERROR(AVERAGEIFS(nNOTA,nNIA,G943,nCUENTA,1,nASIG,"Orquesta/Banda/Conjunto"),"")))</f>
        <v/>
      </c>
      <c r="J943" t="str">
        <f>IF(G943="","",IF(G943="[FÓRMULA MANUAL]","",IFERROR(AVERAGEIFS(nNOTA,nNIA,G943,nCUENTA,1,nASIG,"Conjunto"),"")))</f>
        <v/>
      </c>
      <c r="K943" t="str">
        <f>IF(G943="","",IF(G943="[FÓRMULA MANUAL]","",IFERROR(SUMPRODUCT((nNIA=G943)*(nCUENTA=1)*(COUNTIF(CONFIG_ASIGNATURAS!$B$7:$B$27,nASIG)&gt;0)*(nNOTA))/SUMPRODUCT((nNIA=G943)*(nCUENTA=1)*(COUNTIF(CONFIG_ASIGNATURAS!$B$7:$B$27,nASIG)&gt;0)*1),"")))</f>
        <v/>
      </c>
      <c r="N943" t="str">
        <f>IF(M943="","",IF(M943="[FÓRMULA MANUAL]","",IFERROR(AVERAGEIFS(nNOTA,nNIA,M943,nCUENTA,1,nASIG,"Armonía"),"")))</f>
        <v/>
      </c>
      <c r="O943" t="str">
        <f>IF(M943="","",IF(M943="[FÓRMULA MANUAL]","",IFERROR(AVERAGEIFS(nNOTA,nNIA,M943,nCUENTA,1,nASIG,"Orquesta/Banda/Conjunto"),"")))</f>
        <v/>
      </c>
      <c r="P943" t="str">
        <f>IF(M943="","",IF(M943="[FÓRMULA MANUAL]","",IFERROR(AVERAGEIFS(nNOTA,nNIA,M943,nCUENTA,1,nASIG,"Música de Cámara"),"")))</f>
        <v/>
      </c>
      <c r="Q943" t="str">
        <f>IF(M943="","",IF(M943="[FÓRMULA MANUAL]","",IFERROR(SUMPRODUCT((nNIA=M943)*(nCUENTA=1)*(COUNTIF(CONFIG_ASIGNATURAS!$B$7:$B$27,nASIG)&gt;0)*(nNOTA))/SUMPRODUCT((nNIA=M943)*(nCUENTA=1)*(COUNTIF(CONFIG_ASIGNATURAS!$B$7:$B$27,nASIG)&gt;0)*1),"")))</f>
        <v/>
      </c>
      <c r="T943" t="str">
        <f>IF(S943="","",IF(S943="[FÓRMULA MANUAL]","",IFERROR(AVERAGEIFS(nNOTA,nNIA,S943,nCUENTA,1,nASIG,"Armonía"),"")))</f>
        <v/>
      </c>
      <c r="U943" t="str">
        <f>IF(S943="","",IF(S943="[FÓRMULA MANUAL]","",IFERROR(AVERAGEIFS(nNOTA,nNIA,S943,nCUENTA,1,nASIG,"Orquesta/Banda/Conjunto"),"")))</f>
        <v/>
      </c>
      <c r="V943" t="str">
        <f>IF(S943="","",IF(S943="[FÓRMULA MANUAL]","",IFERROR(AVERAGEIFS(nNOTA,nNIA,S943,nCUENTA,1,nASIG,"Música de Cámara"),"")))</f>
        <v/>
      </c>
      <c r="W943" t="str">
        <f>IF(S943="","",IF(S943="[FÓRMULA MANUAL]","",IFERROR(SUMPRODUCT((nNIA=S943)*(nCUENTA=1)*(COUNTIF(CONFIG_ASIGNATURAS!$B$7:$B$27,nASIG)&gt;0)*(nNOTA))/SUMPRODUCT((nNIA=S943)*(nCUENTA=1)*(COUNTIF(CONFIG_ASIGNATURAS!$B$7:$B$27,nASIG)&gt;0)*1),"")))</f>
        <v/>
      </c>
      <c r="Z943" t="str">
        <f>IF(Y943="","",IF(Y943="[FÓRMULA MANUAL]","",IFERROR(AVERAGEIFS(nNOTA,nNIA,Y943,nCUENTA,1,nASIG,"Análisis"),"")))</f>
        <v/>
      </c>
      <c r="AA943" t="str">
        <f>IF(Y943="","",IF(Y943="[FÓRMULA MANUAL]","",IFERROR(AVERAGEIFS(nNOTA,nNIA,Y943,nCUENTA,1,nASIG,"Orquesta/Banda/Conjunto"),"")))</f>
        <v/>
      </c>
      <c r="AB943" t="str">
        <f>IF(Y943="","",IF(Y943="[FÓRMULA MANUAL]","",IFERROR(AVERAGEIFS(nNOTA,nNIA,Y943,nCUENTA,1,nASIG,"Música de Cámara"),"")))</f>
        <v/>
      </c>
      <c r="AC943" t="str">
        <f>IF(Y943="","",IF(Y943="[FÓRMULA MANUAL]","",IFERROR(SUMPRODUCT((nNIA=Y943)*(nCUENTA=1)*(COUNTIF(CONFIG_ASIGNATURAS!$B$7:$B$27,nASIG)&gt;0)*(nNOTA))/SUMPRODUCT((nNIA=Y943)*(nCUENTA=1)*(COUNTIF(CONFIG_ASIGNATURAS!$B$7:$B$27,nASIG)&gt;0)*1),"")))</f>
        <v/>
      </c>
      <c r="AF943" t="str">
        <f>IF(AE943="","",IF(AE943="[FÓRMULA MANUAL]","",IFERROR(AVERAGEIFS(nNOTA,nNIA,AE943,nCUENTA,1,nASIG,"Análisis"),"")))</f>
        <v/>
      </c>
      <c r="AG943" t="str">
        <f>IF(AE943="","",IF(AE943="[FÓRMULA MANUAL]","",IFERROR(AVERAGEIFS(nNOTA,nNIA,AE943,nCUENTA,1,nASIG,"Orquesta/Banda/Conjunto"),"")))</f>
        <v/>
      </c>
      <c r="AH943" t="str">
        <f>IF(AE943="","",IF(AE943="[FÓRMULA MANUAL]","",IFERROR(AVERAGEIFS(nNOTA,nNIA,AE943,nCUENTA,1,nASIG,"Música de Cámara"),"")))</f>
        <v/>
      </c>
      <c r="AI943" t="str">
        <f>IF(AE943="","",IF(AE943="[FÓRMULA MANUAL]","",IFERROR(SUMPRODUCT((nNIA=AE943)*(nCUENTA=1)*(COUNTIF(CONFIG_ASIGNATURAS!$B$7:$B$27,nASIG)&gt;0)*(nNOTA))/SUMPRODUCT((nNIA=AE943)*(nCUENTA=1)*(COUNTIF(CONFIG_ASIGNATURAS!$B$7:$B$27,nASIG)&gt;0)*1),"")))</f>
        <v/>
      </c>
    </row>
    <row r="944" spans="2:35" x14ac:dyDescent="0.2">
      <c r="B944" t="str">
        <f>IF(A944="","",IF(A944="[FÓRMULA MANUAL]","",IFERROR(AVERAGEIFS(nNOTA,nNIA,A944,nCUENTA,1,nASIG,"Lenguaje Musical"),"")))</f>
        <v/>
      </c>
      <c r="C944" t="str">
        <f>IF(A944="","",IF(A944="[FÓRMULA MANUAL]","",IFERROR(AVERAGEIFS(nNOTA,nNIA,A944,nCUENTA,1,nASIG,"Orquesta/Banda/Conjunto"),"")))</f>
        <v/>
      </c>
      <c r="D944" t="str">
        <f>IF(A944="","",IF(A944="[FÓRMULA MANUAL]","",IFERROR(AVERAGEIFS(nNOTA,nNIA,A944,nCUENTA,1,nASIG,"Conjunto"),"")))</f>
        <v/>
      </c>
      <c r="E944" t="str">
        <f>IF(A944="","",IF(A944="[FÓRMULA MANUAL]","",IFERROR(SUMPRODUCT((nNIA=A944)*(nCUENTA=1)*(COUNTIF(CONFIG_ASIGNATURAS!$B$7:$B$27,nASIG)&gt;0)*(nNOTA))/SUMPRODUCT((nNIA=A944)*(nCUENTA=1)*(COUNTIF(CONFIG_ASIGNATURAS!$B$7:$B$27,nASIG)&gt;0)*1),"")))</f>
        <v/>
      </c>
      <c r="H944" t="str">
        <f>IF(G944="","",IF(G944="[FÓRMULA MANUAL]","",IFERROR(AVERAGEIFS(nNOTA,nNIA,G944,nCUENTA,1,nASIG,"Lenguaje Musical"),"")))</f>
        <v/>
      </c>
      <c r="I944" t="str">
        <f>IF(G944="","",IF(G944="[FÓRMULA MANUAL]","",IFERROR(AVERAGEIFS(nNOTA,nNIA,G944,nCUENTA,1,nASIG,"Orquesta/Banda/Conjunto"),"")))</f>
        <v/>
      </c>
      <c r="J944" t="str">
        <f>IF(G944="","",IF(G944="[FÓRMULA MANUAL]","",IFERROR(AVERAGEIFS(nNOTA,nNIA,G944,nCUENTA,1,nASIG,"Conjunto"),"")))</f>
        <v/>
      </c>
      <c r="K944" t="str">
        <f>IF(G944="","",IF(G944="[FÓRMULA MANUAL]","",IFERROR(SUMPRODUCT((nNIA=G944)*(nCUENTA=1)*(COUNTIF(CONFIG_ASIGNATURAS!$B$7:$B$27,nASIG)&gt;0)*(nNOTA))/SUMPRODUCT((nNIA=G944)*(nCUENTA=1)*(COUNTIF(CONFIG_ASIGNATURAS!$B$7:$B$27,nASIG)&gt;0)*1),"")))</f>
        <v/>
      </c>
      <c r="N944" t="str">
        <f>IF(M944="","",IF(M944="[FÓRMULA MANUAL]","",IFERROR(AVERAGEIFS(nNOTA,nNIA,M944,nCUENTA,1,nASIG,"Armonía"),"")))</f>
        <v/>
      </c>
      <c r="O944" t="str">
        <f>IF(M944="","",IF(M944="[FÓRMULA MANUAL]","",IFERROR(AVERAGEIFS(nNOTA,nNIA,M944,nCUENTA,1,nASIG,"Orquesta/Banda/Conjunto"),"")))</f>
        <v/>
      </c>
      <c r="P944" t="str">
        <f>IF(M944="","",IF(M944="[FÓRMULA MANUAL]","",IFERROR(AVERAGEIFS(nNOTA,nNIA,M944,nCUENTA,1,nASIG,"Música de Cámara"),"")))</f>
        <v/>
      </c>
      <c r="Q944" t="str">
        <f>IF(M944="","",IF(M944="[FÓRMULA MANUAL]","",IFERROR(SUMPRODUCT((nNIA=M944)*(nCUENTA=1)*(COUNTIF(CONFIG_ASIGNATURAS!$B$7:$B$27,nASIG)&gt;0)*(nNOTA))/SUMPRODUCT((nNIA=M944)*(nCUENTA=1)*(COUNTIF(CONFIG_ASIGNATURAS!$B$7:$B$27,nASIG)&gt;0)*1),"")))</f>
        <v/>
      </c>
      <c r="T944" t="str">
        <f>IF(S944="","",IF(S944="[FÓRMULA MANUAL]","",IFERROR(AVERAGEIFS(nNOTA,nNIA,S944,nCUENTA,1,nASIG,"Armonía"),"")))</f>
        <v/>
      </c>
      <c r="U944" t="str">
        <f>IF(S944="","",IF(S944="[FÓRMULA MANUAL]","",IFERROR(AVERAGEIFS(nNOTA,nNIA,S944,nCUENTA,1,nASIG,"Orquesta/Banda/Conjunto"),"")))</f>
        <v/>
      </c>
      <c r="V944" t="str">
        <f>IF(S944="","",IF(S944="[FÓRMULA MANUAL]","",IFERROR(AVERAGEIFS(nNOTA,nNIA,S944,nCUENTA,1,nASIG,"Música de Cámara"),"")))</f>
        <v/>
      </c>
      <c r="W944" t="str">
        <f>IF(S944="","",IF(S944="[FÓRMULA MANUAL]","",IFERROR(SUMPRODUCT((nNIA=S944)*(nCUENTA=1)*(COUNTIF(CONFIG_ASIGNATURAS!$B$7:$B$27,nASIG)&gt;0)*(nNOTA))/SUMPRODUCT((nNIA=S944)*(nCUENTA=1)*(COUNTIF(CONFIG_ASIGNATURAS!$B$7:$B$27,nASIG)&gt;0)*1),"")))</f>
        <v/>
      </c>
      <c r="Z944" t="str">
        <f>IF(Y944="","",IF(Y944="[FÓRMULA MANUAL]","",IFERROR(AVERAGEIFS(nNOTA,nNIA,Y944,nCUENTA,1,nASIG,"Análisis"),"")))</f>
        <v/>
      </c>
      <c r="AA944" t="str">
        <f>IF(Y944="","",IF(Y944="[FÓRMULA MANUAL]","",IFERROR(AVERAGEIFS(nNOTA,nNIA,Y944,nCUENTA,1,nASIG,"Orquesta/Banda/Conjunto"),"")))</f>
        <v/>
      </c>
      <c r="AB944" t="str">
        <f>IF(Y944="","",IF(Y944="[FÓRMULA MANUAL]","",IFERROR(AVERAGEIFS(nNOTA,nNIA,Y944,nCUENTA,1,nASIG,"Música de Cámara"),"")))</f>
        <v/>
      </c>
      <c r="AC944" t="str">
        <f>IF(Y944="","",IF(Y944="[FÓRMULA MANUAL]","",IFERROR(SUMPRODUCT((nNIA=Y944)*(nCUENTA=1)*(COUNTIF(CONFIG_ASIGNATURAS!$B$7:$B$27,nASIG)&gt;0)*(nNOTA))/SUMPRODUCT((nNIA=Y944)*(nCUENTA=1)*(COUNTIF(CONFIG_ASIGNATURAS!$B$7:$B$27,nASIG)&gt;0)*1),"")))</f>
        <v/>
      </c>
      <c r="AF944" t="str">
        <f>IF(AE944="","",IF(AE944="[FÓRMULA MANUAL]","",IFERROR(AVERAGEIFS(nNOTA,nNIA,AE944,nCUENTA,1,nASIG,"Análisis"),"")))</f>
        <v/>
      </c>
      <c r="AG944" t="str">
        <f>IF(AE944="","",IF(AE944="[FÓRMULA MANUAL]","",IFERROR(AVERAGEIFS(nNOTA,nNIA,AE944,nCUENTA,1,nASIG,"Orquesta/Banda/Conjunto"),"")))</f>
        <v/>
      </c>
      <c r="AH944" t="str">
        <f>IF(AE944="","",IF(AE944="[FÓRMULA MANUAL]","",IFERROR(AVERAGEIFS(nNOTA,nNIA,AE944,nCUENTA,1,nASIG,"Música de Cámara"),"")))</f>
        <v/>
      </c>
      <c r="AI944" t="str">
        <f>IF(AE944="","",IF(AE944="[FÓRMULA MANUAL]","",IFERROR(SUMPRODUCT((nNIA=AE944)*(nCUENTA=1)*(COUNTIF(CONFIG_ASIGNATURAS!$B$7:$B$27,nASIG)&gt;0)*(nNOTA))/SUMPRODUCT((nNIA=AE944)*(nCUENTA=1)*(COUNTIF(CONFIG_ASIGNATURAS!$B$7:$B$27,nASIG)&gt;0)*1),"")))</f>
        <v/>
      </c>
    </row>
    <row r="945" spans="2:35" x14ac:dyDescent="0.2">
      <c r="B945" t="str">
        <f>IF(A945="","",IF(A945="[FÓRMULA MANUAL]","",IFERROR(AVERAGEIFS(nNOTA,nNIA,A945,nCUENTA,1,nASIG,"Lenguaje Musical"),"")))</f>
        <v/>
      </c>
      <c r="C945" t="str">
        <f>IF(A945="","",IF(A945="[FÓRMULA MANUAL]","",IFERROR(AVERAGEIFS(nNOTA,nNIA,A945,nCUENTA,1,nASIG,"Orquesta/Banda/Conjunto"),"")))</f>
        <v/>
      </c>
      <c r="D945" t="str">
        <f>IF(A945="","",IF(A945="[FÓRMULA MANUAL]","",IFERROR(AVERAGEIFS(nNOTA,nNIA,A945,nCUENTA,1,nASIG,"Conjunto"),"")))</f>
        <v/>
      </c>
      <c r="E945" t="str">
        <f>IF(A945="","",IF(A945="[FÓRMULA MANUAL]","",IFERROR(SUMPRODUCT((nNIA=A945)*(nCUENTA=1)*(COUNTIF(CONFIG_ASIGNATURAS!$B$7:$B$27,nASIG)&gt;0)*(nNOTA))/SUMPRODUCT((nNIA=A945)*(nCUENTA=1)*(COUNTIF(CONFIG_ASIGNATURAS!$B$7:$B$27,nASIG)&gt;0)*1),"")))</f>
        <v/>
      </c>
      <c r="H945" t="str">
        <f>IF(G945="","",IF(G945="[FÓRMULA MANUAL]","",IFERROR(AVERAGEIFS(nNOTA,nNIA,G945,nCUENTA,1,nASIG,"Lenguaje Musical"),"")))</f>
        <v/>
      </c>
      <c r="I945" t="str">
        <f>IF(G945="","",IF(G945="[FÓRMULA MANUAL]","",IFERROR(AVERAGEIFS(nNOTA,nNIA,G945,nCUENTA,1,nASIG,"Orquesta/Banda/Conjunto"),"")))</f>
        <v/>
      </c>
      <c r="J945" t="str">
        <f>IF(G945="","",IF(G945="[FÓRMULA MANUAL]","",IFERROR(AVERAGEIFS(nNOTA,nNIA,G945,nCUENTA,1,nASIG,"Conjunto"),"")))</f>
        <v/>
      </c>
      <c r="K945" t="str">
        <f>IF(G945="","",IF(G945="[FÓRMULA MANUAL]","",IFERROR(SUMPRODUCT((nNIA=G945)*(nCUENTA=1)*(COUNTIF(CONFIG_ASIGNATURAS!$B$7:$B$27,nASIG)&gt;0)*(nNOTA))/SUMPRODUCT((nNIA=G945)*(nCUENTA=1)*(COUNTIF(CONFIG_ASIGNATURAS!$B$7:$B$27,nASIG)&gt;0)*1),"")))</f>
        <v/>
      </c>
      <c r="N945" t="str">
        <f>IF(M945="","",IF(M945="[FÓRMULA MANUAL]","",IFERROR(AVERAGEIFS(nNOTA,nNIA,M945,nCUENTA,1,nASIG,"Armonía"),"")))</f>
        <v/>
      </c>
      <c r="O945" t="str">
        <f>IF(M945="","",IF(M945="[FÓRMULA MANUAL]","",IFERROR(AVERAGEIFS(nNOTA,nNIA,M945,nCUENTA,1,nASIG,"Orquesta/Banda/Conjunto"),"")))</f>
        <v/>
      </c>
      <c r="P945" t="str">
        <f>IF(M945="","",IF(M945="[FÓRMULA MANUAL]","",IFERROR(AVERAGEIFS(nNOTA,nNIA,M945,nCUENTA,1,nASIG,"Música de Cámara"),"")))</f>
        <v/>
      </c>
      <c r="Q945" t="str">
        <f>IF(M945="","",IF(M945="[FÓRMULA MANUAL]","",IFERROR(SUMPRODUCT((nNIA=M945)*(nCUENTA=1)*(COUNTIF(CONFIG_ASIGNATURAS!$B$7:$B$27,nASIG)&gt;0)*(nNOTA))/SUMPRODUCT((nNIA=M945)*(nCUENTA=1)*(COUNTIF(CONFIG_ASIGNATURAS!$B$7:$B$27,nASIG)&gt;0)*1),"")))</f>
        <v/>
      </c>
      <c r="T945" t="str">
        <f>IF(S945="","",IF(S945="[FÓRMULA MANUAL]","",IFERROR(AVERAGEIFS(nNOTA,nNIA,S945,nCUENTA,1,nASIG,"Armonía"),"")))</f>
        <v/>
      </c>
      <c r="U945" t="str">
        <f>IF(S945="","",IF(S945="[FÓRMULA MANUAL]","",IFERROR(AVERAGEIFS(nNOTA,nNIA,S945,nCUENTA,1,nASIG,"Orquesta/Banda/Conjunto"),"")))</f>
        <v/>
      </c>
      <c r="V945" t="str">
        <f>IF(S945="","",IF(S945="[FÓRMULA MANUAL]","",IFERROR(AVERAGEIFS(nNOTA,nNIA,S945,nCUENTA,1,nASIG,"Música de Cámara"),"")))</f>
        <v/>
      </c>
      <c r="W945" t="str">
        <f>IF(S945="","",IF(S945="[FÓRMULA MANUAL]","",IFERROR(SUMPRODUCT((nNIA=S945)*(nCUENTA=1)*(COUNTIF(CONFIG_ASIGNATURAS!$B$7:$B$27,nASIG)&gt;0)*(nNOTA))/SUMPRODUCT((nNIA=S945)*(nCUENTA=1)*(COUNTIF(CONFIG_ASIGNATURAS!$B$7:$B$27,nASIG)&gt;0)*1),"")))</f>
        <v/>
      </c>
      <c r="Z945" t="str">
        <f>IF(Y945="","",IF(Y945="[FÓRMULA MANUAL]","",IFERROR(AVERAGEIFS(nNOTA,nNIA,Y945,nCUENTA,1,nASIG,"Análisis"),"")))</f>
        <v/>
      </c>
      <c r="AA945" t="str">
        <f>IF(Y945="","",IF(Y945="[FÓRMULA MANUAL]","",IFERROR(AVERAGEIFS(nNOTA,nNIA,Y945,nCUENTA,1,nASIG,"Orquesta/Banda/Conjunto"),"")))</f>
        <v/>
      </c>
      <c r="AB945" t="str">
        <f>IF(Y945="","",IF(Y945="[FÓRMULA MANUAL]","",IFERROR(AVERAGEIFS(nNOTA,nNIA,Y945,nCUENTA,1,nASIG,"Música de Cámara"),"")))</f>
        <v/>
      </c>
      <c r="AC945" t="str">
        <f>IF(Y945="","",IF(Y945="[FÓRMULA MANUAL]","",IFERROR(SUMPRODUCT((nNIA=Y945)*(nCUENTA=1)*(COUNTIF(CONFIG_ASIGNATURAS!$B$7:$B$27,nASIG)&gt;0)*(nNOTA))/SUMPRODUCT((nNIA=Y945)*(nCUENTA=1)*(COUNTIF(CONFIG_ASIGNATURAS!$B$7:$B$27,nASIG)&gt;0)*1),"")))</f>
        <v/>
      </c>
      <c r="AF945" t="str">
        <f>IF(AE945="","",IF(AE945="[FÓRMULA MANUAL]","",IFERROR(AVERAGEIFS(nNOTA,nNIA,AE945,nCUENTA,1,nASIG,"Análisis"),"")))</f>
        <v/>
      </c>
      <c r="AG945" t="str">
        <f>IF(AE945="","",IF(AE945="[FÓRMULA MANUAL]","",IFERROR(AVERAGEIFS(nNOTA,nNIA,AE945,nCUENTA,1,nASIG,"Orquesta/Banda/Conjunto"),"")))</f>
        <v/>
      </c>
      <c r="AH945" t="str">
        <f>IF(AE945="","",IF(AE945="[FÓRMULA MANUAL]","",IFERROR(AVERAGEIFS(nNOTA,nNIA,AE945,nCUENTA,1,nASIG,"Música de Cámara"),"")))</f>
        <v/>
      </c>
      <c r="AI945" t="str">
        <f>IF(AE945="","",IF(AE945="[FÓRMULA MANUAL]","",IFERROR(SUMPRODUCT((nNIA=AE945)*(nCUENTA=1)*(COUNTIF(CONFIG_ASIGNATURAS!$B$7:$B$27,nASIG)&gt;0)*(nNOTA))/SUMPRODUCT((nNIA=AE945)*(nCUENTA=1)*(COUNTIF(CONFIG_ASIGNATURAS!$B$7:$B$27,nASIG)&gt;0)*1),"")))</f>
        <v/>
      </c>
    </row>
    <row r="946" spans="2:35" x14ac:dyDescent="0.2">
      <c r="B946" t="str">
        <f>IF(A946="","",IF(A946="[FÓRMULA MANUAL]","",IFERROR(AVERAGEIFS(nNOTA,nNIA,A946,nCUENTA,1,nASIG,"Lenguaje Musical"),"")))</f>
        <v/>
      </c>
      <c r="C946" t="str">
        <f>IF(A946="","",IF(A946="[FÓRMULA MANUAL]","",IFERROR(AVERAGEIFS(nNOTA,nNIA,A946,nCUENTA,1,nASIG,"Orquesta/Banda/Conjunto"),"")))</f>
        <v/>
      </c>
      <c r="D946" t="str">
        <f>IF(A946="","",IF(A946="[FÓRMULA MANUAL]","",IFERROR(AVERAGEIFS(nNOTA,nNIA,A946,nCUENTA,1,nASIG,"Conjunto"),"")))</f>
        <v/>
      </c>
      <c r="E946" t="str">
        <f>IF(A946="","",IF(A946="[FÓRMULA MANUAL]","",IFERROR(SUMPRODUCT((nNIA=A946)*(nCUENTA=1)*(COUNTIF(CONFIG_ASIGNATURAS!$B$7:$B$27,nASIG)&gt;0)*(nNOTA))/SUMPRODUCT((nNIA=A946)*(nCUENTA=1)*(COUNTIF(CONFIG_ASIGNATURAS!$B$7:$B$27,nASIG)&gt;0)*1),"")))</f>
        <v/>
      </c>
      <c r="H946" t="str">
        <f>IF(G946="","",IF(G946="[FÓRMULA MANUAL]","",IFERROR(AVERAGEIFS(nNOTA,nNIA,G946,nCUENTA,1,nASIG,"Lenguaje Musical"),"")))</f>
        <v/>
      </c>
      <c r="I946" t="str">
        <f>IF(G946="","",IF(G946="[FÓRMULA MANUAL]","",IFERROR(AVERAGEIFS(nNOTA,nNIA,G946,nCUENTA,1,nASIG,"Orquesta/Banda/Conjunto"),"")))</f>
        <v/>
      </c>
      <c r="J946" t="str">
        <f>IF(G946="","",IF(G946="[FÓRMULA MANUAL]","",IFERROR(AVERAGEIFS(nNOTA,nNIA,G946,nCUENTA,1,nASIG,"Conjunto"),"")))</f>
        <v/>
      </c>
      <c r="K946" t="str">
        <f>IF(G946="","",IF(G946="[FÓRMULA MANUAL]","",IFERROR(SUMPRODUCT((nNIA=G946)*(nCUENTA=1)*(COUNTIF(CONFIG_ASIGNATURAS!$B$7:$B$27,nASIG)&gt;0)*(nNOTA))/SUMPRODUCT((nNIA=G946)*(nCUENTA=1)*(COUNTIF(CONFIG_ASIGNATURAS!$B$7:$B$27,nASIG)&gt;0)*1),"")))</f>
        <v/>
      </c>
      <c r="N946" t="str">
        <f>IF(M946="","",IF(M946="[FÓRMULA MANUAL]","",IFERROR(AVERAGEIFS(nNOTA,nNIA,M946,nCUENTA,1,nASIG,"Armonía"),"")))</f>
        <v/>
      </c>
      <c r="O946" t="str">
        <f>IF(M946="","",IF(M946="[FÓRMULA MANUAL]","",IFERROR(AVERAGEIFS(nNOTA,nNIA,M946,nCUENTA,1,nASIG,"Orquesta/Banda/Conjunto"),"")))</f>
        <v/>
      </c>
      <c r="P946" t="str">
        <f>IF(M946="","",IF(M946="[FÓRMULA MANUAL]","",IFERROR(AVERAGEIFS(nNOTA,nNIA,M946,nCUENTA,1,nASIG,"Música de Cámara"),"")))</f>
        <v/>
      </c>
      <c r="Q946" t="str">
        <f>IF(M946="","",IF(M946="[FÓRMULA MANUAL]","",IFERROR(SUMPRODUCT((nNIA=M946)*(nCUENTA=1)*(COUNTIF(CONFIG_ASIGNATURAS!$B$7:$B$27,nASIG)&gt;0)*(nNOTA))/SUMPRODUCT((nNIA=M946)*(nCUENTA=1)*(COUNTIF(CONFIG_ASIGNATURAS!$B$7:$B$27,nASIG)&gt;0)*1),"")))</f>
        <v/>
      </c>
      <c r="T946" t="str">
        <f>IF(S946="","",IF(S946="[FÓRMULA MANUAL]","",IFERROR(AVERAGEIFS(nNOTA,nNIA,S946,nCUENTA,1,nASIG,"Armonía"),"")))</f>
        <v/>
      </c>
      <c r="U946" t="str">
        <f>IF(S946="","",IF(S946="[FÓRMULA MANUAL]","",IFERROR(AVERAGEIFS(nNOTA,nNIA,S946,nCUENTA,1,nASIG,"Orquesta/Banda/Conjunto"),"")))</f>
        <v/>
      </c>
      <c r="V946" t="str">
        <f>IF(S946="","",IF(S946="[FÓRMULA MANUAL]","",IFERROR(AVERAGEIFS(nNOTA,nNIA,S946,nCUENTA,1,nASIG,"Música de Cámara"),"")))</f>
        <v/>
      </c>
      <c r="W946" t="str">
        <f>IF(S946="","",IF(S946="[FÓRMULA MANUAL]","",IFERROR(SUMPRODUCT((nNIA=S946)*(nCUENTA=1)*(COUNTIF(CONFIG_ASIGNATURAS!$B$7:$B$27,nASIG)&gt;0)*(nNOTA))/SUMPRODUCT((nNIA=S946)*(nCUENTA=1)*(COUNTIF(CONFIG_ASIGNATURAS!$B$7:$B$27,nASIG)&gt;0)*1),"")))</f>
        <v/>
      </c>
      <c r="Z946" t="str">
        <f>IF(Y946="","",IF(Y946="[FÓRMULA MANUAL]","",IFERROR(AVERAGEIFS(nNOTA,nNIA,Y946,nCUENTA,1,nASIG,"Análisis"),"")))</f>
        <v/>
      </c>
      <c r="AA946" t="str">
        <f>IF(Y946="","",IF(Y946="[FÓRMULA MANUAL]","",IFERROR(AVERAGEIFS(nNOTA,nNIA,Y946,nCUENTA,1,nASIG,"Orquesta/Banda/Conjunto"),"")))</f>
        <v/>
      </c>
      <c r="AB946" t="str">
        <f>IF(Y946="","",IF(Y946="[FÓRMULA MANUAL]","",IFERROR(AVERAGEIFS(nNOTA,nNIA,Y946,nCUENTA,1,nASIG,"Música de Cámara"),"")))</f>
        <v/>
      </c>
      <c r="AC946" t="str">
        <f>IF(Y946="","",IF(Y946="[FÓRMULA MANUAL]","",IFERROR(SUMPRODUCT((nNIA=Y946)*(nCUENTA=1)*(COUNTIF(CONFIG_ASIGNATURAS!$B$7:$B$27,nASIG)&gt;0)*(nNOTA))/SUMPRODUCT((nNIA=Y946)*(nCUENTA=1)*(COUNTIF(CONFIG_ASIGNATURAS!$B$7:$B$27,nASIG)&gt;0)*1),"")))</f>
        <v/>
      </c>
      <c r="AF946" t="str">
        <f>IF(AE946="","",IF(AE946="[FÓRMULA MANUAL]","",IFERROR(AVERAGEIFS(nNOTA,nNIA,AE946,nCUENTA,1,nASIG,"Análisis"),"")))</f>
        <v/>
      </c>
      <c r="AG946" t="str">
        <f>IF(AE946="","",IF(AE946="[FÓRMULA MANUAL]","",IFERROR(AVERAGEIFS(nNOTA,nNIA,AE946,nCUENTA,1,nASIG,"Orquesta/Banda/Conjunto"),"")))</f>
        <v/>
      </c>
      <c r="AH946" t="str">
        <f>IF(AE946="","",IF(AE946="[FÓRMULA MANUAL]","",IFERROR(AVERAGEIFS(nNOTA,nNIA,AE946,nCUENTA,1,nASIG,"Música de Cámara"),"")))</f>
        <v/>
      </c>
      <c r="AI946" t="str">
        <f>IF(AE946="","",IF(AE946="[FÓRMULA MANUAL]","",IFERROR(SUMPRODUCT((nNIA=AE946)*(nCUENTA=1)*(COUNTIF(CONFIG_ASIGNATURAS!$B$7:$B$27,nASIG)&gt;0)*(nNOTA))/SUMPRODUCT((nNIA=AE946)*(nCUENTA=1)*(COUNTIF(CONFIG_ASIGNATURAS!$B$7:$B$27,nASIG)&gt;0)*1),"")))</f>
        <v/>
      </c>
    </row>
    <row r="947" spans="2:35" x14ac:dyDescent="0.2">
      <c r="B947" t="str">
        <f>IF(A947="","",IF(A947="[FÓRMULA MANUAL]","",IFERROR(AVERAGEIFS(nNOTA,nNIA,A947,nCUENTA,1,nASIG,"Lenguaje Musical"),"")))</f>
        <v/>
      </c>
      <c r="C947" t="str">
        <f>IF(A947="","",IF(A947="[FÓRMULA MANUAL]","",IFERROR(AVERAGEIFS(nNOTA,nNIA,A947,nCUENTA,1,nASIG,"Orquesta/Banda/Conjunto"),"")))</f>
        <v/>
      </c>
      <c r="D947" t="str">
        <f>IF(A947="","",IF(A947="[FÓRMULA MANUAL]","",IFERROR(AVERAGEIFS(nNOTA,nNIA,A947,nCUENTA,1,nASIG,"Conjunto"),"")))</f>
        <v/>
      </c>
      <c r="E947" t="str">
        <f>IF(A947="","",IF(A947="[FÓRMULA MANUAL]","",IFERROR(SUMPRODUCT((nNIA=A947)*(nCUENTA=1)*(COUNTIF(CONFIG_ASIGNATURAS!$B$7:$B$27,nASIG)&gt;0)*(nNOTA))/SUMPRODUCT((nNIA=A947)*(nCUENTA=1)*(COUNTIF(CONFIG_ASIGNATURAS!$B$7:$B$27,nASIG)&gt;0)*1),"")))</f>
        <v/>
      </c>
      <c r="H947" t="str">
        <f>IF(G947="","",IF(G947="[FÓRMULA MANUAL]","",IFERROR(AVERAGEIFS(nNOTA,nNIA,G947,nCUENTA,1,nASIG,"Lenguaje Musical"),"")))</f>
        <v/>
      </c>
      <c r="I947" t="str">
        <f>IF(G947="","",IF(G947="[FÓRMULA MANUAL]","",IFERROR(AVERAGEIFS(nNOTA,nNIA,G947,nCUENTA,1,nASIG,"Orquesta/Banda/Conjunto"),"")))</f>
        <v/>
      </c>
      <c r="J947" t="str">
        <f>IF(G947="","",IF(G947="[FÓRMULA MANUAL]","",IFERROR(AVERAGEIFS(nNOTA,nNIA,G947,nCUENTA,1,nASIG,"Conjunto"),"")))</f>
        <v/>
      </c>
      <c r="K947" t="str">
        <f>IF(G947="","",IF(G947="[FÓRMULA MANUAL]","",IFERROR(SUMPRODUCT((nNIA=G947)*(nCUENTA=1)*(COUNTIF(CONFIG_ASIGNATURAS!$B$7:$B$27,nASIG)&gt;0)*(nNOTA))/SUMPRODUCT((nNIA=G947)*(nCUENTA=1)*(COUNTIF(CONFIG_ASIGNATURAS!$B$7:$B$27,nASIG)&gt;0)*1),"")))</f>
        <v/>
      </c>
      <c r="N947" t="str">
        <f>IF(M947="","",IF(M947="[FÓRMULA MANUAL]","",IFERROR(AVERAGEIFS(nNOTA,nNIA,M947,nCUENTA,1,nASIG,"Armonía"),"")))</f>
        <v/>
      </c>
      <c r="O947" t="str">
        <f>IF(M947="","",IF(M947="[FÓRMULA MANUAL]","",IFERROR(AVERAGEIFS(nNOTA,nNIA,M947,nCUENTA,1,nASIG,"Orquesta/Banda/Conjunto"),"")))</f>
        <v/>
      </c>
      <c r="P947" t="str">
        <f>IF(M947="","",IF(M947="[FÓRMULA MANUAL]","",IFERROR(AVERAGEIFS(nNOTA,nNIA,M947,nCUENTA,1,nASIG,"Música de Cámara"),"")))</f>
        <v/>
      </c>
      <c r="Q947" t="str">
        <f>IF(M947="","",IF(M947="[FÓRMULA MANUAL]","",IFERROR(SUMPRODUCT((nNIA=M947)*(nCUENTA=1)*(COUNTIF(CONFIG_ASIGNATURAS!$B$7:$B$27,nASIG)&gt;0)*(nNOTA))/SUMPRODUCT((nNIA=M947)*(nCUENTA=1)*(COUNTIF(CONFIG_ASIGNATURAS!$B$7:$B$27,nASIG)&gt;0)*1),"")))</f>
        <v/>
      </c>
      <c r="T947" t="str">
        <f>IF(S947="","",IF(S947="[FÓRMULA MANUAL]","",IFERROR(AVERAGEIFS(nNOTA,nNIA,S947,nCUENTA,1,nASIG,"Armonía"),"")))</f>
        <v/>
      </c>
      <c r="U947" t="str">
        <f>IF(S947="","",IF(S947="[FÓRMULA MANUAL]","",IFERROR(AVERAGEIFS(nNOTA,nNIA,S947,nCUENTA,1,nASIG,"Orquesta/Banda/Conjunto"),"")))</f>
        <v/>
      </c>
      <c r="V947" t="str">
        <f>IF(S947="","",IF(S947="[FÓRMULA MANUAL]","",IFERROR(AVERAGEIFS(nNOTA,nNIA,S947,nCUENTA,1,nASIG,"Música de Cámara"),"")))</f>
        <v/>
      </c>
      <c r="W947" t="str">
        <f>IF(S947="","",IF(S947="[FÓRMULA MANUAL]","",IFERROR(SUMPRODUCT((nNIA=S947)*(nCUENTA=1)*(COUNTIF(CONFIG_ASIGNATURAS!$B$7:$B$27,nASIG)&gt;0)*(nNOTA))/SUMPRODUCT((nNIA=S947)*(nCUENTA=1)*(COUNTIF(CONFIG_ASIGNATURAS!$B$7:$B$27,nASIG)&gt;0)*1),"")))</f>
        <v/>
      </c>
      <c r="Z947" t="str">
        <f>IF(Y947="","",IF(Y947="[FÓRMULA MANUAL]","",IFERROR(AVERAGEIFS(nNOTA,nNIA,Y947,nCUENTA,1,nASIG,"Análisis"),"")))</f>
        <v/>
      </c>
      <c r="AA947" t="str">
        <f>IF(Y947="","",IF(Y947="[FÓRMULA MANUAL]","",IFERROR(AVERAGEIFS(nNOTA,nNIA,Y947,nCUENTA,1,nASIG,"Orquesta/Banda/Conjunto"),"")))</f>
        <v/>
      </c>
      <c r="AB947" t="str">
        <f>IF(Y947="","",IF(Y947="[FÓRMULA MANUAL]","",IFERROR(AVERAGEIFS(nNOTA,nNIA,Y947,nCUENTA,1,nASIG,"Música de Cámara"),"")))</f>
        <v/>
      </c>
      <c r="AC947" t="str">
        <f>IF(Y947="","",IF(Y947="[FÓRMULA MANUAL]","",IFERROR(SUMPRODUCT((nNIA=Y947)*(nCUENTA=1)*(COUNTIF(CONFIG_ASIGNATURAS!$B$7:$B$27,nASIG)&gt;0)*(nNOTA))/SUMPRODUCT((nNIA=Y947)*(nCUENTA=1)*(COUNTIF(CONFIG_ASIGNATURAS!$B$7:$B$27,nASIG)&gt;0)*1),"")))</f>
        <v/>
      </c>
      <c r="AF947" t="str">
        <f>IF(AE947="","",IF(AE947="[FÓRMULA MANUAL]","",IFERROR(AVERAGEIFS(nNOTA,nNIA,AE947,nCUENTA,1,nASIG,"Análisis"),"")))</f>
        <v/>
      </c>
      <c r="AG947" t="str">
        <f>IF(AE947="","",IF(AE947="[FÓRMULA MANUAL]","",IFERROR(AVERAGEIFS(nNOTA,nNIA,AE947,nCUENTA,1,nASIG,"Orquesta/Banda/Conjunto"),"")))</f>
        <v/>
      </c>
      <c r="AH947" t="str">
        <f>IF(AE947="","",IF(AE947="[FÓRMULA MANUAL]","",IFERROR(AVERAGEIFS(nNOTA,nNIA,AE947,nCUENTA,1,nASIG,"Música de Cámara"),"")))</f>
        <v/>
      </c>
      <c r="AI947" t="str">
        <f>IF(AE947="","",IF(AE947="[FÓRMULA MANUAL]","",IFERROR(SUMPRODUCT((nNIA=AE947)*(nCUENTA=1)*(COUNTIF(CONFIG_ASIGNATURAS!$B$7:$B$27,nASIG)&gt;0)*(nNOTA))/SUMPRODUCT((nNIA=AE947)*(nCUENTA=1)*(COUNTIF(CONFIG_ASIGNATURAS!$B$7:$B$27,nASIG)&gt;0)*1),"")))</f>
        <v/>
      </c>
    </row>
    <row r="948" spans="2:35" x14ac:dyDescent="0.2">
      <c r="B948" t="str">
        <f>IF(A948="","",IF(A948="[FÓRMULA MANUAL]","",IFERROR(AVERAGEIFS(nNOTA,nNIA,A948,nCUENTA,1,nASIG,"Lenguaje Musical"),"")))</f>
        <v/>
      </c>
      <c r="C948" t="str">
        <f>IF(A948="","",IF(A948="[FÓRMULA MANUAL]","",IFERROR(AVERAGEIFS(nNOTA,nNIA,A948,nCUENTA,1,nASIG,"Orquesta/Banda/Conjunto"),"")))</f>
        <v/>
      </c>
      <c r="D948" t="str">
        <f>IF(A948="","",IF(A948="[FÓRMULA MANUAL]","",IFERROR(AVERAGEIFS(nNOTA,nNIA,A948,nCUENTA,1,nASIG,"Conjunto"),"")))</f>
        <v/>
      </c>
      <c r="E948" t="str">
        <f>IF(A948="","",IF(A948="[FÓRMULA MANUAL]","",IFERROR(SUMPRODUCT((nNIA=A948)*(nCUENTA=1)*(COUNTIF(CONFIG_ASIGNATURAS!$B$7:$B$27,nASIG)&gt;0)*(nNOTA))/SUMPRODUCT((nNIA=A948)*(nCUENTA=1)*(COUNTIF(CONFIG_ASIGNATURAS!$B$7:$B$27,nASIG)&gt;0)*1),"")))</f>
        <v/>
      </c>
      <c r="H948" t="str">
        <f>IF(G948="","",IF(G948="[FÓRMULA MANUAL]","",IFERROR(AVERAGEIFS(nNOTA,nNIA,G948,nCUENTA,1,nASIG,"Lenguaje Musical"),"")))</f>
        <v/>
      </c>
      <c r="I948" t="str">
        <f>IF(G948="","",IF(G948="[FÓRMULA MANUAL]","",IFERROR(AVERAGEIFS(nNOTA,nNIA,G948,nCUENTA,1,nASIG,"Orquesta/Banda/Conjunto"),"")))</f>
        <v/>
      </c>
      <c r="J948" t="str">
        <f>IF(G948="","",IF(G948="[FÓRMULA MANUAL]","",IFERROR(AVERAGEIFS(nNOTA,nNIA,G948,nCUENTA,1,nASIG,"Conjunto"),"")))</f>
        <v/>
      </c>
      <c r="K948" t="str">
        <f>IF(G948="","",IF(G948="[FÓRMULA MANUAL]","",IFERROR(SUMPRODUCT((nNIA=G948)*(nCUENTA=1)*(COUNTIF(CONFIG_ASIGNATURAS!$B$7:$B$27,nASIG)&gt;0)*(nNOTA))/SUMPRODUCT((nNIA=G948)*(nCUENTA=1)*(COUNTIF(CONFIG_ASIGNATURAS!$B$7:$B$27,nASIG)&gt;0)*1),"")))</f>
        <v/>
      </c>
      <c r="N948" t="str">
        <f>IF(M948="","",IF(M948="[FÓRMULA MANUAL]","",IFERROR(AVERAGEIFS(nNOTA,nNIA,M948,nCUENTA,1,nASIG,"Armonía"),"")))</f>
        <v/>
      </c>
      <c r="O948" t="str">
        <f>IF(M948="","",IF(M948="[FÓRMULA MANUAL]","",IFERROR(AVERAGEIFS(nNOTA,nNIA,M948,nCUENTA,1,nASIG,"Orquesta/Banda/Conjunto"),"")))</f>
        <v/>
      </c>
      <c r="P948" t="str">
        <f>IF(M948="","",IF(M948="[FÓRMULA MANUAL]","",IFERROR(AVERAGEIFS(nNOTA,nNIA,M948,nCUENTA,1,nASIG,"Música de Cámara"),"")))</f>
        <v/>
      </c>
      <c r="Q948" t="str">
        <f>IF(M948="","",IF(M948="[FÓRMULA MANUAL]","",IFERROR(SUMPRODUCT((nNIA=M948)*(nCUENTA=1)*(COUNTIF(CONFIG_ASIGNATURAS!$B$7:$B$27,nASIG)&gt;0)*(nNOTA))/SUMPRODUCT((nNIA=M948)*(nCUENTA=1)*(COUNTIF(CONFIG_ASIGNATURAS!$B$7:$B$27,nASIG)&gt;0)*1),"")))</f>
        <v/>
      </c>
      <c r="T948" t="str">
        <f>IF(S948="","",IF(S948="[FÓRMULA MANUAL]","",IFERROR(AVERAGEIFS(nNOTA,nNIA,S948,nCUENTA,1,nASIG,"Armonía"),"")))</f>
        <v/>
      </c>
      <c r="U948" t="str">
        <f>IF(S948="","",IF(S948="[FÓRMULA MANUAL]","",IFERROR(AVERAGEIFS(nNOTA,nNIA,S948,nCUENTA,1,nASIG,"Orquesta/Banda/Conjunto"),"")))</f>
        <v/>
      </c>
      <c r="V948" t="str">
        <f>IF(S948="","",IF(S948="[FÓRMULA MANUAL]","",IFERROR(AVERAGEIFS(nNOTA,nNIA,S948,nCUENTA,1,nASIG,"Música de Cámara"),"")))</f>
        <v/>
      </c>
      <c r="W948" t="str">
        <f>IF(S948="","",IF(S948="[FÓRMULA MANUAL]","",IFERROR(SUMPRODUCT((nNIA=S948)*(nCUENTA=1)*(COUNTIF(CONFIG_ASIGNATURAS!$B$7:$B$27,nASIG)&gt;0)*(nNOTA))/SUMPRODUCT((nNIA=S948)*(nCUENTA=1)*(COUNTIF(CONFIG_ASIGNATURAS!$B$7:$B$27,nASIG)&gt;0)*1),"")))</f>
        <v/>
      </c>
      <c r="Z948" t="str">
        <f>IF(Y948="","",IF(Y948="[FÓRMULA MANUAL]","",IFERROR(AVERAGEIFS(nNOTA,nNIA,Y948,nCUENTA,1,nASIG,"Análisis"),"")))</f>
        <v/>
      </c>
      <c r="AA948" t="str">
        <f>IF(Y948="","",IF(Y948="[FÓRMULA MANUAL]","",IFERROR(AVERAGEIFS(nNOTA,nNIA,Y948,nCUENTA,1,nASIG,"Orquesta/Banda/Conjunto"),"")))</f>
        <v/>
      </c>
      <c r="AB948" t="str">
        <f>IF(Y948="","",IF(Y948="[FÓRMULA MANUAL]","",IFERROR(AVERAGEIFS(nNOTA,nNIA,Y948,nCUENTA,1,nASIG,"Música de Cámara"),"")))</f>
        <v/>
      </c>
      <c r="AC948" t="str">
        <f>IF(Y948="","",IF(Y948="[FÓRMULA MANUAL]","",IFERROR(SUMPRODUCT((nNIA=Y948)*(nCUENTA=1)*(COUNTIF(CONFIG_ASIGNATURAS!$B$7:$B$27,nASIG)&gt;0)*(nNOTA))/SUMPRODUCT((nNIA=Y948)*(nCUENTA=1)*(COUNTIF(CONFIG_ASIGNATURAS!$B$7:$B$27,nASIG)&gt;0)*1),"")))</f>
        <v/>
      </c>
      <c r="AF948" t="str">
        <f>IF(AE948="","",IF(AE948="[FÓRMULA MANUAL]","",IFERROR(AVERAGEIFS(nNOTA,nNIA,AE948,nCUENTA,1,nASIG,"Análisis"),"")))</f>
        <v/>
      </c>
      <c r="AG948" t="str">
        <f>IF(AE948="","",IF(AE948="[FÓRMULA MANUAL]","",IFERROR(AVERAGEIFS(nNOTA,nNIA,AE948,nCUENTA,1,nASIG,"Orquesta/Banda/Conjunto"),"")))</f>
        <v/>
      </c>
      <c r="AH948" t="str">
        <f>IF(AE948="","",IF(AE948="[FÓRMULA MANUAL]","",IFERROR(AVERAGEIFS(nNOTA,nNIA,AE948,nCUENTA,1,nASIG,"Música de Cámara"),"")))</f>
        <v/>
      </c>
      <c r="AI948" t="str">
        <f>IF(AE948="","",IF(AE948="[FÓRMULA MANUAL]","",IFERROR(SUMPRODUCT((nNIA=AE948)*(nCUENTA=1)*(COUNTIF(CONFIG_ASIGNATURAS!$B$7:$B$27,nASIG)&gt;0)*(nNOTA))/SUMPRODUCT((nNIA=AE948)*(nCUENTA=1)*(COUNTIF(CONFIG_ASIGNATURAS!$B$7:$B$27,nASIG)&gt;0)*1),"")))</f>
        <v/>
      </c>
    </row>
    <row r="949" spans="2:35" x14ac:dyDescent="0.2">
      <c r="B949" t="str">
        <f>IF(A949="","",IF(A949="[FÓRMULA MANUAL]","",IFERROR(AVERAGEIFS(nNOTA,nNIA,A949,nCUENTA,1,nASIG,"Lenguaje Musical"),"")))</f>
        <v/>
      </c>
      <c r="C949" t="str">
        <f>IF(A949="","",IF(A949="[FÓRMULA MANUAL]","",IFERROR(AVERAGEIFS(nNOTA,nNIA,A949,nCUENTA,1,nASIG,"Orquesta/Banda/Conjunto"),"")))</f>
        <v/>
      </c>
      <c r="D949" t="str">
        <f>IF(A949="","",IF(A949="[FÓRMULA MANUAL]","",IFERROR(AVERAGEIFS(nNOTA,nNIA,A949,nCUENTA,1,nASIG,"Conjunto"),"")))</f>
        <v/>
      </c>
      <c r="E949" t="str">
        <f>IF(A949="","",IF(A949="[FÓRMULA MANUAL]","",IFERROR(SUMPRODUCT((nNIA=A949)*(nCUENTA=1)*(COUNTIF(CONFIG_ASIGNATURAS!$B$7:$B$27,nASIG)&gt;0)*(nNOTA))/SUMPRODUCT((nNIA=A949)*(nCUENTA=1)*(COUNTIF(CONFIG_ASIGNATURAS!$B$7:$B$27,nASIG)&gt;0)*1),"")))</f>
        <v/>
      </c>
      <c r="H949" t="str">
        <f>IF(G949="","",IF(G949="[FÓRMULA MANUAL]","",IFERROR(AVERAGEIFS(nNOTA,nNIA,G949,nCUENTA,1,nASIG,"Lenguaje Musical"),"")))</f>
        <v/>
      </c>
      <c r="I949" t="str">
        <f>IF(G949="","",IF(G949="[FÓRMULA MANUAL]","",IFERROR(AVERAGEIFS(nNOTA,nNIA,G949,nCUENTA,1,nASIG,"Orquesta/Banda/Conjunto"),"")))</f>
        <v/>
      </c>
      <c r="J949" t="str">
        <f>IF(G949="","",IF(G949="[FÓRMULA MANUAL]","",IFERROR(AVERAGEIFS(nNOTA,nNIA,G949,nCUENTA,1,nASIG,"Conjunto"),"")))</f>
        <v/>
      </c>
      <c r="K949" t="str">
        <f>IF(G949="","",IF(G949="[FÓRMULA MANUAL]","",IFERROR(SUMPRODUCT((nNIA=G949)*(nCUENTA=1)*(COUNTIF(CONFIG_ASIGNATURAS!$B$7:$B$27,nASIG)&gt;0)*(nNOTA))/SUMPRODUCT((nNIA=G949)*(nCUENTA=1)*(COUNTIF(CONFIG_ASIGNATURAS!$B$7:$B$27,nASIG)&gt;0)*1),"")))</f>
        <v/>
      </c>
      <c r="N949" t="str">
        <f>IF(M949="","",IF(M949="[FÓRMULA MANUAL]","",IFERROR(AVERAGEIFS(nNOTA,nNIA,M949,nCUENTA,1,nASIG,"Armonía"),"")))</f>
        <v/>
      </c>
      <c r="O949" t="str">
        <f>IF(M949="","",IF(M949="[FÓRMULA MANUAL]","",IFERROR(AVERAGEIFS(nNOTA,nNIA,M949,nCUENTA,1,nASIG,"Orquesta/Banda/Conjunto"),"")))</f>
        <v/>
      </c>
      <c r="P949" t="str">
        <f>IF(M949="","",IF(M949="[FÓRMULA MANUAL]","",IFERROR(AVERAGEIFS(nNOTA,nNIA,M949,nCUENTA,1,nASIG,"Música de Cámara"),"")))</f>
        <v/>
      </c>
      <c r="Q949" t="str">
        <f>IF(M949="","",IF(M949="[FÓRMULA MANUAL]","",IFERROR(SUMPRODUCT((nNIA=M949)*(nCUENTA=1)*(COUNTIF(CONFIG_ASIGNATURAS!$B$7:$B$27,nASIG)&gt;0)*(nNOTA))/SUMPRODUCT((nNIA=M949)*(nCUENTA=1)*(COUNTIF(CONFIG_ASIGNATURAS!$B$7:$B$27,nASIG)&gt;0)*1),"")))</f>
        <v/>
      </c>
      <c r="T949" t="str">
        <f>IF(S949="","",IF(S949="[FÓRMULA MANUAL]","",IFERROR(AVERAGEIFS(nNOTA,nNIA,S949,nCUENTA,1,nASIG,"Armonía"),"")))</f>
        <v/>
      </c>
      <c r="U949" t="str">
        <f>IF(S949="","",IF(S949="[FÓRMULA MANUAL]","",IFERROR(AVERAGEIFS(nNOTA,nNIA,S949,nCUENTA,1,nASIG,"Orquesta/Banda/Conjunto"),"")))</f>
        <v/>
      </c>
      <c r="V949" t="str">
        <f>IF(S949="","",IF(S949="[FÓRMULA MANUAL]","",IFERROR(AVERAGEIFS(nNOTA,nNIA,S949,nCUENTA,1,nASIG,"Música de Cámara"),"")))</f>
        <v/>
      </c>
      <c r="W949" t="str">
        <f>IF(S949="","",IF(S949="[FÓRMULA MANUAL]","",IFERROR(SUMPRODUCT((nNIA=S949)*(nCUENTA=1)*(COUNTIF(CONFIG_ASIGNATURAS!$B$7:$B$27,nASIG)&gt;0)*(nNOTA))/SUMPRODUCT((nNIA=S949)*(nCUENTA=1)*(COUNTIF(CONFIG_ASIGNATURAS!$B$7:$B$27,nASIG)&gt;0)*1),"")))</f>
        <v/>
      </c>
      <c r="Z949" t="str">
        <f>IF(Y949="","",IF(Y949="[FÓRMULA MANUAL]","",IFERROR(AVERAGEIFS(nNOTA,nNIA,Y949,nCUENTA,1,nASIG,"Análisis"),"")))</f>
        <v/>
      </c>
      <c r="AA949" t="str">
        <f>IF(Y949="","",IF(Y949="[FÓRMULA MANUAL]","",IFERROR(AVERAGEIFS(nNOTA,nNIA,Y949,nCUENTA,1,nASIG,"Orquesta/Banda/Conjunto"),"")))</f>
        <v/>
      </c>
      <c r="AB949" t="str">
        <f>IF(Y949="","",IF(Y949="[FÓRMULA MANUAL]","",IFERROR(AVERAGEIFS(nNOTA,nNIA,Y949,nCUENTA,1,nASIG,"Música de Cámara"),"")))</f>
        <v/>
      </c>
      <c r="AC949" t="str">
        <f>IF(Y949="","",IF(Y949="[FÓRMULA MANUAL]","",IFERROR(SUMPRODUCT((nNIA=Y949)*(nCUENTA=1)*(COUNTIF(CONFIG_ASIGNATURAS!$B$7:$B$27,nASIG)&gt;0)*(nNOTA))/SUMPRODUCT((nNIA=Y949)*(nCUENTA=1)*(COUNTIF(CONFIG_ASIGNATURAS!$B$7:$B$27,nASIG)&gt;0)*1),"")))</f>
        <v/>
      </c>
      <c r="AF949" t="str">
        <f>IF(AE949="","",IF(AE949="[FÓRMULA MANUAL]","",IFERROR(AVERAGEIFS(nNOTA,nNIA,AE949,nCUENTA,1,nASIG,"Análisis"),"")))</f>
        <v/>
      </c>
      <c r="AG949" t="str">
        <f>IF(AE949="","",IF(AE949="[FÓRMULA MANUAL]","",IFERROR(AVERAGEIFS(nNOTA,nNIA,AE949,nCUENTA,1,nASIG,"Orquesta/Banda/Conjunto"),"")))</f>
        <v/>
      </c>
      <c r="AH949" t="str">
        <f>IF(AE949="","",IF(AE949="[FÓRMULA MANUAL]","",IFERROR(AVERAGEIFS(nNOTA,nNIA,AE949,nCUENTA,1,nASIG,"Música de Cámara"),"")))</f>
        <v/>
      </c>
      <c r="AI949" t="str">
        <f>IF(AE949="","",IF(AE949="[FÓRMULA MANUAL]","",IFERROR(SUMPRODUCT((nNIA=AE949)*(nCUENTA=1)*(COUNTIF(CONFIG_ASIGNATURAS!$B$7:$B$27,nASIG)&gt;0)*(nNOTA))/SUMPRODUCT((nNIA=AE949)*(nCUENTA=1)*(COUNTIF(CONFIG_ASIGNATURAS!$B$7:$B$27,nASIG)&gt;0)*1),"")))</f>
        <v/>
      </c>
    </row>
    <row r="950" spans="2:35" x14ac:dyDescent="0.2">
      <c r="B950" t="str">
        <f>IF(A950="","",IF(A950="[FÓRMULA MANUAL]","",IFERROR(AVERAGEIFS(nNOTA,nNIA,A950,nCUENTA,1,nASIG,"Lenguaje Musical"),"")))</f>
        <v/>
      </c>
      <c r="C950" t="str">
        <f>IF(A950="","",IF(A950="[FÓRMULA MANUAL]","",IFERROR(AVERAGEIFS(nNOTA,nNIA,A950,nCUENTA,1,nASIG,"Orquesta/Banda/Conjunto"),"")))</f>
        <v/>
      </c>
      <c r="D950" t="str">
        <f>IF(A950="","",IF(A950="[FÓRMULA MANUAL]","",IFERROR(AVERAGEIFS(nNOTA,nNIA,A950,nCUENTA,1,nASIG,"Conjunto"),"")))</f>
        <v/>
      </c>
      <c r="E950" t="str">
        <f>IF(A950="","",IF(A950="[FÓRMULA MANUAL]","",IFERROR(SUMPRODUCT((nNIA=A950)*(nCUENTA=1)*(COUNTIF(CONFIG_ASIGNATURAS!$B$7:$B$27,nASIG)&gt;0)*(nNOTA))/SUMPRODUCT((nNIA=A950)*(nCUENTA=1)*(COUNTIF(CONFIG_ASIGNATURAS!$B$7:$B$27,nASIG)&gt;0)*1),"")))</f>
        <v/>
      </c>
      <c r="H950" t="str">
        <f>IF(G950="","",IF(G950="[FÓRMULA MANUAL]","",IFERROR(AVERAGEIFS(nNOTA,nNIA,G950,nCUENTA,1,nASIG,"Lenguaje Musical"),"")))</f>
        <v/>
      </c>
      <c r="I950" t="str">
        <f>IF(G950="","",IF(G950="[FÓRMULA MANUAL]","",IFERROR(AVERAGEIFS(nNOTA,nNIA,G950,nCUENTA,1,nASIG,"Orquesta/Banda/Conjunto"),"")))</f>
        <v/>
      </c>
      <c r="J950" t="str">
        <f>IF(G950="","",IF(G950="[FÓRMULA MANUAL]","",IFERROR(AVERAGEIFS(nNOTA,nNIA,G950,nCUENTA,1,nASIG,"Conjunto"),"")))</f>
        <v/>
      </c>
      <c r="K950" t="str">
        <f>IF(G950="","",IF(G950="[FÓRMULA MANUAL]","",IFERROR(SUMPRODUCT((nNIA=G950)*(nCUENTA=1)*(COUNTIF(CONFIG_ASIGNATURAS!$B$7:$B$27,nASIG)&gt;0)*(nNOTA))/SUMPRODUCT((nNIA=G950)*(nCUENTA=1)*(COUNTIF(CONFIG_ASIGNATURAS!$B$7:$B$27,nASIG)&gt;0)*1),"")))</f>
        <v/>
      </c>
      <c r="N950" t="str">
        <f>IF(M950="","",IF(M950="[FÓRMULA MANUAL]","",IFERROR(AVERAGEIFS(nNOTA,nNIA,M950,nCUENTA,1,nASIG,"Armonía"),"")))</f>
        <v/>
      </c>
      <c r="O950" t="str">
        <f>IF(M950="","",IF(M950="[FÓRMULA MANUAL]","",IFERROR(AVERAGEIFS(nNOTA,nNIA,M950,nCUENTA,1,nASIG,"Orquesta/Banda/Conjunto"),"")))</f>
        <v/>
      </c>
      <c r="P950" t="str">
        <f>IF(M950="","",IF(M950="[FÓRMULA MANUAL]","",IFERROR(AVERAGEIFS(nNOTA,nNIA,M950,nCUENTA,1,nASIG,"Música de Cámara"),"")))</f>
        <v/>
      </c>
      <c r="Q950" t="str">
        <f>IF(M950="","",IF(M950="[FÓRMULA MANUAL]","",IFERROR(SUMPRODUCT((nNIA=M950)*(nCUENTA=1)*(COUNTIF(CONFIG_ASIGNATURAS!$B$7:$B$27,nASIG)&gt;0)*(nNOTA))/SUMPRODUCT((nNIA=M950)*(nCUENTA=1)*(COUNTIF(CONFIG_ASIGNATURAS!$B$7:$B$27,nASIG)&gt;0)*1),"")))</f>
        <v/>
      </c>
      <c r="T950" t="str">
        <f>IF(S950="","",IF(S950="[FÓRMULA MANUAL]","",IFERROR(AVERAGEIFS(nNOTA,nNIA,S950,nCUENTA,1,nASIG,"Armonía"),"")))</f>
        <v/>
      </c>
      <c r="U950" t="str">
        <f>IF(S950="","",IF(S950="[FÓRMULA MANUAL]","",IFERROR(AVERAGEIFS(nNOTA,nNIA,S950,nCUENTA,1,nASIG,"Orquesta/Banda/Conjunto"),"")))</f>
        <v/>
      </c>
      <c r="V950" t="str">
        <f>IF(S950="","",IF(S950="[FÓRMULA MANUAL]","",IFERROR(AVERAGEIFS(nNOTA,nNIA,S950,nCUENTA,1,nASIG,"Música de Cámara"),"")))</f>
        <v/>
      </c>
      <c r="W950" t="str">
        <f>IF(S950="","",IF(S950="[FÓRMULA MANUAL]","",IFERROR(SUMPRODUCT((nNIA=S950)*(nCUENTA=1)*(COUNTIF(CONFIG_ASIGNATURAS!$B$7:$B$27,nASIG)&gt;0)*(nNOTA))/SUMPRODUCT((nNIA=S950)*(nCUENTA=1)*(COUNTIF(CONFIG_ASIGNATURAS!$B$7:$B$27,nASIG)&gt;0)*1),"")))</f>
        <v/>
      </c>
      <c r="Z950" t="str">
        <f>IF(Y950="","",IF(Y950="[FÓRMULA MANUAL]","",IFERROR(AVERAGEIFS(nNOTA,nNIA,Y950,nCUENTA,1,nASIG,"Análisis"),"")))</f>
        <v/>
      </c>
      <c r="AA950" t="str">
        <f>IF(Y950="","",IF(Y950="[FÓRMULA MANUAL]","",IFERROR(AVERAGEIFS(nNOTA,nNIA,Y950,nCUENTA,1,nASIG,"Orquesta/Banda/Conjunto"),"")))</f>
        <v/>
      </c>
      <c r="AB950" t="str">
        <f>IF(Y950="","",IF(Y950="[FÓRMULA MANUAL]","",IFERROR(AVERAGEIFS(nNOTA,nNIA,Y950,nCUENTA,1,nASIG,"Música de Cámara"),"")))</f>
        <v/>
      </c>
      <c r="AC950" t="str">
        <f>IF(Y950="","",IF(Y950="[FÓRMULA MANUAL]","",IFERROR(SUMPRODUCT((nNIA=Y950)*(nCUENTA=1)*(COUNTIF(CONFIG_ASIGNATURAS!$B$7:$B$27,nASIG)&gt;0)*(nNOTA))/SUMPRODUCT((nNIA=Y950)*(nCUENTA=1)*(COUNTIF(CONFIG_ASIGNATURAS!$B$7:$B$27,nASIG)&gt;0)*1),"")))</f>
        <v/>
      </c>
      <c r="AF950" t="str">
        <f>IF(AE950="","",IF(AE950="[FÓRMULA MANUAL]","",IFERROR(AVERAGEIFS(nNOTA,nNIA,AE950,nCUENTA,1,nASIG,"Análisis"),"")))</f>
        <v/>
      </c>
      <c r="AG950" t="str">
        <f>IF(AE950="","",IF(AE950="[FÓRMULA MANUAL]","",IFERROR(AVERAGEIFS(nNOTA,nNIA,AE950,nCUENTA,1,nASIG,"Orquesta/Banda/Conjunto"),"")))</f>
        <v/>
      </c>
      <c r="AH950" t="str">
        <f>IF(AE950="","",IF(AE950="[FÓRMULA MANUAL]","",IFERROR(AVERAGEIFS(nNOTA,nNIA,AE950,nCUENTA,1,nASIG,"Música de Cámara"),"")))</f>
        <v/>
      </c>
      <c r="AI950" t="str">
        <f>IF(AE950="","",IF(AE950="[FÓRMULA MANUAL]","",IFERROR(SUMPRODUCT((nNIA=AE950)*(nCUENTA=1)*(COUNTIF(CONFIG_ASIGNATURAS!$B$7:$B$27,nASIG)&gt;0)*(nNOTA))/SUMPRODUCT((nNIA=AE950)*(nCUENTA=1)*(COUNTIF(CONFIG_ASIGNATURAS!$B$7:$B$27,nASIG)&gt;0)*1),"")))</f>
        <v/>
      </c>
    </row>
    <row r="951" spans="2:35" x14ac:dyDescent="0.2">
      <c r="B951" t="str">
        <f>IF(A951="","",IF(A951="[FÓRMULA MANUAL]","",IFERROR(AVERAGEIFS(nNOTA,nNIA,A951,nCUENTA,1,nASIG,"Lenguaje Musical"),"")))</f>
        <v/>
      </c>
      <c r="C951" t="str">
        <f>IF(A951="","",IF(A951="[FÓRMULA MANUAL]","",IFERROR(AVERAGEIFS(nNOTA,nNIA,A951,nCUENTA,1,nASIG,"Orquesta/Banda/Conjunto"),"")))</f>
        <v/>
      </c>
      <c r="D951" t="str">
        <f>IF(A951="","",IF(A951="[FÓRMULA MANUAL]","",IFERROR(AVERAGEIFS(nNOTA,nNIA,A951,nCUENTA,1,nASIG,"Conjunto"),"")))</f>
        <v/>
      </c>
      <c r="E951" t="str">
        <f>IF(A951="","",IF(A951="[FÓRMULA MANUAL]","",IFERROR(SUMPRODUCT((nNIA=A951)*(nCUENTA=1)*(COUNTIF(CONFIG_ASIGNATURAS!$B$7:$B$27,nASIG)&gt;0)*(nNOTA))/SUMPRODUCT((nNIA=A951)*(nCUENTA=1)*(COUNTIF(CONFIG_ASIGNATURAS!$B$7:$B$27,nASIG)&gt;0)*1),"")))</f>
        <v/>
      </c>
      <c r="H951" t="str">
        <f>IF(G951="","",IF(G951="[FÓRMULA MANUAL]","",IFERROR(AVERAGEIFS(nNOTA,nNIA,G951,nCUENTA,1,nASIG,"Lenguaje Musical"),"")))</f>
        <v/>
      </c>
      <c r="I951" t="str">
        <f>IF(G951="","",IF(G951="[FÓRMULA MANUAL]","",IFERROR(AVERAGEIFS(nNOTA,nNIA,G951,nCUENTA,1,nASIG,"Orquesta/Banda/Conjunto"),"")))</f>
        <v/>
      </c>
      <c r="J951" t="str">
        <f>IF(G951="","",IF(G951="[FÓRMULA MANUAL]","",IFERROR(AVERAGEIFS(nNOTA,nNIA,G951,nCUENTA,1,nASIG,"Conjunto"),"")))</f>
        <v/>
      </c>
      <c r="K951" t="str">
        <f>IF(G951="","",IF(G951="[FÓRMULA MANUAL]","",IFERROR(SUMPRODUCT((nNIA=G951)*(nCUENTA=1)*(COUNTIF(CONFIG_ASIGNATURAS!$B$7:$B$27,nASIG)&gt;0)*(nNOTA))/SUMPRODUCT((nNIA=G951)*(nCUENTA=1)*(COUNTIF(CONFIG_ASIGNATURAS!$B$7:$B$27,nASIG)&gt;0)*1),"")))</f>
        <v/>
      </c>
      <c r="N951" t="str">
        <f>IF(M951="","",IF(M951="[FÓRMULA MANUAL]","",IFERROR(AVERAGEIFS(nNOTA,nNIA,M951,nCUENTA,1,nASIG,"Armonía"),"")))</f>
        <v/>
      </c>
      <c r="O951" t="str">
        <f>IF(M951="","",IF(M951="[FÓRMULA MANUAL]","",IFERROR(AVERAGEIFS(nNOTA,nNIA,M951,nCUENTA,1,nASIG,"Orquesta/Banda/Conjunto"),"")))</f>
        <v/>
      </c>
      <c r="P951" t="str">
        <f>IF(M951="","",IF(M951="[FÓRMULA MANUAL]","",IFERROR(AVERAGEIFS(nNOTA,nNIA,M951,nCUENTA,1,nASIG,"Música de Cámara"),"")))</f>
        <v/>
      </c>
      <c r="Q951" t="str">
        <f>IF(M951="","",IF(M951="[FÓRMULA MANUAL]","",IFERROR(SUMPRODUCT((nNIA=M951)*(nCUENTA=1)*(COUNTIF(CONFIG_ASIGNATURAS!$B$7:$B$27,nASIG)&gt;0)*(nNOTA))/SUMPRODUCT((nNIA=M951)*(nCUENTA=1)*(COUNTIF(CONFIG_ASIGNATURAS!$B$7:$B$27,nASIG)&gt;0)*1),"")))</f>
        <v/>
      </c>
      <c r="T951" t="str">
        <f>IF(S951="","",IF(S951="[FÓRMULA MANUAL]","",IFERROR(AVERAGEIFS(nNOTA,nNIA,S951,nCUENTA,1,nASIG,"Armonía"),"")))</f>
        <v/>
      </c>
      <c r="U951" t="str">
        <f>IF(S951="","",IF(S951="[FÓRMULA MANUAL]","",IFERROR(AVERAGEIFS(nNOTA,nNIA,S951,nCUENTA,1,nASIG,"Orquesta/Banda/Conjunto"),"")))</f>
        <v/>
      </c>
      <c r="V951" t="str">
        <f>IF(S951="","",IF(S951="[FÓRMULA MANUAL]","",IFERROR(AVERAGEIFS(nNOTA,nNIA,S951,nCUENTA,1,nASIG,"Música de Cámara"),"")))</f>
        <v/>
      </c>
      <c r="W951" t="str">
        <f>IF(S951="","",IF(S951="[FÓRMULA MANUAL]","",IFERROR(SUMPRODUCT((nNIA=S951)*(nCUENTA=1)*(COUNTIF(CONFIG_ASIGNATURAS!$B$7:$B$27,nASIG)&gt;0)*(nNOTA))/SUMPRODUCT((nNIA=S951)*(nCUENTA=1)*(COUNTIF(CONFIG_ASIGNATURAS!$B$7:$B$27,nASIG)&gt;0)*1),"")))</f>
        <v/>
      </c>
      <c r="Z951" t="str">
        <f>IF(Y951="","",IF(Y951="[FÓRMULA MANUAL]","",IFERROR(AVERAGEIFS(nNOTA,nNIA,Y951,nCUENTA,1,nASIG,"Análisis"),"")))</f>
        <v/>
      </c>
      <c r="AA951" t="str">
        <f>IF(Y951="","",IF(Y951="[FÓRMULA MANUAL]","",IFERROR(AVERAGEIFS(nNOTA,nNIA,Y951,nCUENTA,1,nASIG,"Orquesta/Banda/Conjunto"),"")))</f>
        <v/>
      </c>
      <c r="AB951" t="str">
        <f>IF(Y951="","",IF(Y951="[FÓRMULA MANUAL]","",IFERROR(AVERAGEIFS(nNOTA,nNIA,Y951,nCUENTA,1,nASIG,"Música de Cámara"),"")))</f>
        <v/>
      </c>
      <c r="AC951" t="str">
        <f>IF(Y951="","",IF(Y951="[FÓRMULA MANUAL]","",IFERROR(SUMPRODUCT((nNIA=Y951)*(nCUENTA=1)*(COUNTIF(CONFIG_ASIGNATURAS!$B$7:$B$27,nASIG)&gt;0)*(nNOTA))/SUMPRODUCT((nNIA=Y951)*(nCUENTA=1)*(COUNTIF(CONFIG_ASIGNATURAS!$B$7:$B$27,nASIG)&gt;0)*1),"")))</f>
        <v/>
      </c>
      <c r="AF951" t="str">
        <f>IF(AE951="","",IF(AE951="[FÓRMULA MANUAL]","",IFERROR(AVERAGEIFS(nNOTA,nNIA,AE951,nCUENTA,1,nASIG,"Análisis"),"")))</f>
        <v/>
      </c>
      <c r="AG951" t="str">
        <f>IF(AE951="","",IF(AE951="[FÓRMULA MANUAL]","",IFERROR(AVERAGEIFS(nNOTA,nNIA,AE951,nCUENTA,1,nASIG,"Orquesta/Banda/Conjunto"),"")))</f>
        <v/>
      </c>
      <c r="AH951" t="str">
        <f>IF(AE951="","",IF(AE951="[FÓRMULA MANUAL]","",IFERROR(AVERAGEIFS(nNOTA,nNIA,AE951,nCUENTA,1,nASIG,"Música de Cámara"),"")))</f>
        <v/>
      </c>
      <c r="AI951" t="str">
        <f>IF(AE951="","",IF(AE951="[FÓRMULA MANUAL]","",IFERROR(SUMPRODUCT((nNIA=AE951)*(nCUENTA=1)*(COUNTIF(CONFIG_ASIGNATURAS!$B$7:$B$27,nASIG)&gt;0)*(nNOTA))/SUMPRODUCT((nNIA=AE951)*(nCUENTA=1)*(COUNTIF(CONFIG_ASIGNATURAS!$B$7:$B$27,nASIG)&gt;0)*1),"")))</f>
        <v/>
      </c>
    </row>
    <row r="952" spans="2:35" x14ac:dyDescent="0.2">
      <c r="B952" t="str">
        <f>IF(A952="","",IF(A952="[FÓRMULA MANUAL]","",IFERROR(AVERAGEIFS(nNOTA,nNIA,A952,nCUENTA,1,nASIG,"Lenguaje Musical"),"")))</f>
        <v/>
      </c>
      <c r="C952" t="str">
        <f>IF(A952="","",IF(A952="[FÓRMULA MANUAL]","",IFERROR(AVERAGEIFS(nNOTA,nNIA,A952,nCUENTA,1,nASIG,"Orquesta/Banda/Conjunto"),"")))</f>
        <v/>
      </c>
      <c r="D952" t="str">
        <f>IF(A952="","",IF(A952="[FÓRMULA MANUAL]","",IFERROR(AVERAGEIFS(nNOTA,nNIA,A952,nCUENTA,1,nASIG,"Conjunto"),"")))</f>
        <v/>
      </c>
      <c r="E952" t="str">
        <f>IF(A952="","",IF(A952="[FÓRMULA MANUAL]","",IFERROR(SUMPRODUCT((nNIA=A952)*(nCUENTA=1)*(COUNTIF(CONFIG_ASIGNATURAS!$B$7:$B$27,nASIG)&gt;0)*(nNOTA))/SUMPRODUCT((nNIA=A952)*(nCUENTA=1)*(COUNTIF(CONFIG_ASIGNATURAS!$B$7:$B$27,nASIG)&gt;0)*1),"")))</f>
        <v/>
      </c>
      <c r="H952" t="str">
        <f>IF(G952="","",IF(G952="[FÓRMULA MANUAL]","",IFERROR(AVERAGEIFS(nNOTA,nNIA,G952,nCUENTA,1,nASIG,"Lenguaje Musical"),"")))</f>
        <v/>
      </c>
      <c r="I952" t="str">
        <f>IF(G952="","",IF(G952="[FÓRMULA MANUAL]","",IFERROR(AVERAGEIFS(nNOTA,nNIA,G952,nCUENTA,1,nASIG,"Orquesta/Banda/Conjunto"),"")))</f>
        <v/>
      </c>
      <c r="J952" t="str">
        <f>IF(G952="","",IF(G952="[FÓRMULA MANUAL]","",IFERROR(AVERAGEIFS(nNOTA,nNIA,G952,nCUENTA,1,nASIG,"Conjunto"),"")))</f>
        <v/>
      </c>
      <c r="K952" t="str">
        <f>IF(G952="","",IF(G952="[FÓRMULA MANUAL]","",IFERROR(SUMPRODUCT((nNIA=G952)*(nCUENTA=1)*(COUNTIF(CONFIG_ASIGNATURAS!$B$7:$B$27,nASIG)&gt;0)*(nNOTA))/SUMPRODUCT((nNIA=G952)*(nCUENTA=1)*(COUNTIF(CONFIG_ASIGNATURAS!$B$7:$B$27,nASIG)&gt;0)*1),"")))</f>
        <v/>
      </c>
      <c r="N952" t="str">
        <f>IF(M952="","",IF(M952="[FÓRMULA MANUAL]","",IFERROR(AVERAGEIFS(nNOTA,nNIA,M952,nCUENTA,1,nASIG,"Armonía"),"")))</f>
        <v/>
      </c>
      <c r="O952" t="str">
        <f>IF(M952="","",IF(M952="[FÓRMULA MANUAL]","",IFERROR(AVERAGEIFS(nNOTA,nNIA,M952,nCUENTA,1,nASIG,"Orquesta/Banda/Conjunto"),"")))</f>
        <v/>
      </c>
      <c r="P952" t="str">
        <f>IF(M952="","",IF(M952="[FÓRMULA MANUAL]","",IFERROR(AVERAGEIFS(nNOTA,nNIA,M952,nCUENTA,1,nASIG,"Música de Cámara"),"")))</f>
        <v/>
      </c>
      <c r="Q952" t="str">
        <f>IF(M952="","",IF(M952="[FÓRMULA MANUAL]","",IFERROR(SUMPRODUCT((nNIA=M952)*(nCUENTA=1)*(COUNTIF(CONFIG_ASIGNATURAS!$B$7:$B$27,nASIG)&gt;0)*(nNOTA))/SUMPRODUCT((nNIA=M952)*(nCUENTA=1)*(COUNTIF(CONFIG_ASIGNATURAS!$B$7:$B$27,nASIG)&gt;0)*1),"")))</f>
        <v/>
      </c>
      <c r="T952" t="str">
        <f>IF(S952="","",IF(S952="[FÓRMULA MANUAL]","",IFERROR(AVERAGEIFS(nNOTA,nNIA,S952,nCUENTA,1,nASIG,"Armonía"),"")))</f>
        <v/>
      </c>
      <c r="U952" t="str">
        <f>IF(S952="","",IF(S952="[FÓRMULA MANUAL]","",IFERROR(AVERAGEIFS(nNOTA,nNIA,S952,nCUENTA,1,nASIG,"Orquesta/Banda/Conjunto"),"")))</f>
        <v/>
      </c>
      <c r="V952" t="str">
        <f>IF(S952="","",IF(S952="[FÓRMULA MANUAL]","",IFERROR(AVERAGEIFS(nNOTA,nNIA,S952,nCUENTA,1,nASIG,"Música de Cámara"),"")))</f>
        <v/>
      </c>
      <c r="W952" t="str">
        <f>IF(S952="","",IF(S952="[FÓRMULA MANUAL]","",IFERROR(SUMPRODUCT((nNIA=S952)*(nCUENTA=1)*(COUNTIF(CONFIG_ASIGNATURAS!$B$7:$B$27,nASIG)&gt;0)*(nNOTA))/SUMPRODUCT((nNIA=S952)*(nCUENTA=1)*(COUNTIF(CONFIG_ASIGNATURAS!$B$7:$B$27,nASIG)&gt;0)*1),"")))</f>
        <v/>
      </c>
      <c r="Z952" t="str">
        <f>IF(Y952="","",IF(Y952="[FÓRMULA MANUAL]","",IFERROR(AVERAGEIFS(nNOTA,nNIA,Y952,nCUENTA,1,nASIG,"Análisis"),"")))</f>
        <v/>
      </c>
      <c r="AA952" t="str">
        <f>IF(Y952="","",IF(Y952="[FÓRMULA MANUAL]","",IFERROR(AVERAGEIFS(nNOTA,nNIA,Y952,nCUENTA,1,nASIG,"Orquesta/Banda/Conjunto"),"")))</f>
        <v/>
      </c>
      <c r="AB952" t="str">
        <f>IF(Y952="","",IF(Y952="[FÓRMULA MANUAL]","",IFERROR(AVERAGEIFS(nNOTA,nNIA,Y952,nCUENTA,1,nASIG,"Música de Cámara"),"")))</f>
        <v/>
      </c>
      <c r="AC952" t="str">
        <f>IF(Y952="","",IF(Y952="[FÓRMULA MANUAL]","",IFERROR(SUMPRODUCT((nNIA=Y952)*(nCUENTA=1)*(COUNTIF(CONFIG_ASIGNATURAS!$B$7:$B$27,nASIG)&gt;0)*(nNOTA))/SUMPRODUCT((nNIA=Y952)*(nCUENTA=1)*(COUNTIF(CONFIG_ASIGNATURAS!$B$7:$B$27,nASIG)&gt;0)*1),"")))</f>
        <v/>
      </c>
      <c r="AF952" t="str">
        <f>IF(AE952="","",IF(AE952="[FÓRMULA MANUAL]","",IFERROR(AVERAGEIFS(nNOTA,nNIA,AE952,nCUENTA,1,nASIG,"Análisis"),"")))</f>
        <v/>
      </c>
      <c r="AG952" t="str">
        <f>IF(AE952="","",IF(AE952="[FÓRMULA MANUAL]","",IFERROR(AVERAGEIFS(nNOTA,nNIA,AE952,nCUENTA,1,nASIG,"Orquesta/Banda/Conjunto"),"")))</f>
        <v/>
      </c>
      <c r="AH952" t="str">
        <f>IF(AE952="","",IF(AE952="[FÓRMULA MANUAL]","",IFERROR(AVERAGEIFS(nNOTA,nNIA,AE952,nCUENTA,1,nASIG,"Música de Cámara"),"")))</f>
        <v/>
      </c>
      <c r="AI952" t="str">
        <f>IF(AE952="","",IF(AE952="[FÓRMULA MANUAL]","",IFERROR(SUMPRODUCT((nNIA=AE952)*(nCUENTA=1)*(COUNTIF(CONFIG_ASIGNATURAS!$B$7:$B$27,nASIG)&gt;0)*(nNOTA))/SUMPRODUCT((nNIA=AE952)*(nCUENTA=1)*(COUNTIF(CONFIG_ASIGNATURAS!$B$7:$B$27,nASIG)&gt;0)*1),"")))</f>
        <v/>
      </c>
    </row>
    <row r="953" spans="2:35" x14ac:dyDescent="0.2">
      <c r="B953" t="str">
        <f>IF(A953="","",IF(A953="[FÓRMULA MANUAL]","",IFERROR(AVERAGEIFS(nNOTA,nNIA,A953,nCUENTA,1,nASIG,"Lenguaje Musical"),"")))</f>
        <v/>
      </c>
      <c r="C953" t="str">
        <f>IF(A953="","",IF(A953="[FÓRMULA MANUAL]","",IFERROR(AVERAGEIFS(nNOTA,nNIA,A953,nCUENTA,1,nASIG,"Orquesta/Banda/Conjunto"),"")))</f>
        <v/>
      </c>
      <c r="D953" t="str">
        <f>IF(A953="","",IF(A953="[FÓRMULA MANUAL]","",IFERROR(AVERAGEIFS(nNOTA,nNIA,A953,nCUENTA,1,nASIG,"Conjunto"),"")))</f>
        <v/>
      </c>
      <c r="E953" t="str">
        <f>IF(A953="","",IF(A953="[FÓRMULA MANUAL]","",IFERROR(SUMPRODUCT((nNIA=A953)*(nCUENTA=1)*(COUNTIF(CONFIG_ASIGNATURAS!$B$7:$B$27,nASIG)&gt;0)*(nNOTA))/SUMPRODUCT((nNIA=A953)*(nCUENTA=1)*(COUNTIF(CONFIG_ASIGNATURAS!$B$7:$B$27,nASIG)&gt;0)*1),"")))</f>
        <v/>
      </c>
      <c r="H953" t="str">
        <f>IF(G953="","",IF(G953="[FÓRMULA MANUAL]","",IFERROR(AVERAGEIFS(nNOTA,nNIA,G953,nCUENTA,1,nASIG,"Lenguaje Musical"),"")))</f>
        <v/>
      </c>
      <c r="I953" t="str">
        <f>IF(G953="","",IF(G953="[FÓRMULA MANUAL]","",IFERROR(AVERAGEIFS(nNOTA,nNIA,G953,nCUENTA,1,nASIG,"Orquesta/Banda/Conjunto"),"")))</f>
        <v/>
      </c>
      <c r="J953" t="str">
        <f>IF(G953="","",IF(G953="[FÓRMULA MANUAL]","",IFERROR(AVERAGEIFS(nNOTA,nNIA,G953,nCUENTA,1,nASIG,"Conjunto"),"")))</f>
        <v/>
      </c>
      <c r="K953" t="str">
        <f>IF(G953="","",IF(G953="[FÓRMULA MANUAL]","",IFERROR(SUMPRODUCT((nNIA=G953)*(nCUENTA=1)*(COUNTIF(CONFIG_ASIGNATURAS!$B$7:$B$27,nASIG)&gt;0)*(nNOTA))/SUMPRODUCT((nNIA=G953)*(nCUENTA=1)*(COUNTIF(CONFIG_ASIGNATURAS!$B$7:$B$27,nASIG)&gt;0)*1),"")))</f>
        <v/>
      </c>
      <c r="N953" t="str">
        <f>IF(M953="","",IF(M953="[FÓRMULA MANUAL]","",IFERROR(AVERAGEIFS(nNOTA,nNIA,M953,nCUENTA,1,nASIG,"Armonía"),"")))</f>
        <v/>
      </c>
      <c r="O953" t="str">
        <f>IF(M953="","",IF(M953="[FÓRMULA MANUAL]","",IFERROR(AVERAGEIFS(nNOTA,nNIA,M953,nCUENTA,1,nASIG,"Orquesta/Banda/Conjunto"),"")))</f>
        <v/>
      </c>
      <c r="P953" t="str">
        <f>IF(M953="","",IF(M953="[FÓRMULA MANUAL]","",IFERROR(AVERAGEIFS(nNOTA,nNIA,M953,nCUENTA,1,nASIG,"Música de Cámara"),"")))</f>
        <v/>
      </c>
      <c r="Q953" t="str">
        <f>IF(M953="","",IF(M953="[FÓRMULA MANUAL]","",IFERROR(SUMPRODUCT((nNIA=M953)*(nCUENTA=1)*(COUNTIF(CONFIG_ASIGNATURAS!$B$7:$B$27,nASIG)&gt;0)*(nNOTA))/SUMPRODUCT((nNIA=M953)*(nCUENTA=1)*(COUNTIF(CONFIG_ASIGNATURAS!$B$7:$B$27,nASIG)&gt;0)*1),"")))</f>
        <v/>
      </c>
      <c r="T953" t="str">
        <f>IF(S953="","",IF(S953="[FÓRMULA MANUAL]","",IFERROR(AVERAGEIFS(nNOTA,nNIA,S953,nCUENTA,1,nASIG,"Armonía"),"")))</f>
        <v/>
      </c>
      <c r="U953" t="str">
        <f>IF(S953="","",IF(S953="[FÓRMULA MANUAL]","",IFERROR(AVERAGEIFS(nNOTA,nNIA,S953,nCUENTA,1,nASIG,"Orquesta/Banda/Conjunto"),"")))</f>
        <v/>
      </c>
      <c r="V953" t="str">
        <f>IF(S953="","",IF(S953="[FÓRMULA MANUAL]","",IFERROR(AVERAGEIFS(nNOTA,nNIA,S953,nCUENTA,1,nASIG,"Música de Cámara"),"")))</f>
        <v/>
      </c>
      <c r="W953" t="str">
        <f>IF(S953="","",IF(S953="[FÓRMULA MANUAL]","",IFERROR(SUMPRODUCT((nNIA=S953)*(nCUENTA=1)*(COUNTIF(CONFIG_ASIGNATURAS!$B$7:$B$27,nASIG)&gt;0)*(nNOTA))/SUMPRODUCT((nNIA=S953)*(nCUENTA=1)*(COUNTIF(CONFIG_ASIGNATURAS!$B$7:$B$27,nASIG)&gt;0)*1),"")))</f>
        <v/>
      </c>
      <c r="Z953" t="str">
        <f>IF(Y953="","",IF(Y953="[FÓRMULA MANUAL]","",IFERROR(AVERAGEIFS(nNOTA,nNIA,Y953,nCUENTA,1,nASIG,"Análisis"),"")))</f>
        <v/>
      </c>
      <c r="AA953" t="str">
        <f>IF(Y953="","",IF(Y953="[FÓRMULA MANUAL]","",IFERROR(AVERAGEIFS(nNOTA,nNIA,Y953,nCUENTA,1,nASIG,"Orquesta/Banda/Conjunto"),"")))</f>
        <v/>
      </c>
      <c r="AB953" t="str">
        <f>IF(Y953="","",IF(Y953="[FÓRMULA MANUAL]","",IFERROR(AVERAGEIFS(nNOTA,nNIA,Y953,nCUENTA,1,nASIG,"Música de Cámara"),"")))</f>
        <v/>
      </c>
      <c r="AC953" t="str">
        <f>IF(Y953="","",IF(Y953="[FÓRMULA MANUAL]","",IFERROR(SUMPRODUCT((nNIA=Y953)*(nCUENTA=1)*(COUNTIF(CONFIG_ASIGNATURAS!$B$7:$B$27,nASIG)&gt;0)*(nNOTA))/SUMPRODUCT((nNIA=Y953)*(nCUENTA=1)*(COUNTIF(CONFIG_ASIGNATURAS!$B$7:$B$27,nASIG)&gt;0)*1),"")))</f>
        <v/>
      </c>
      <c r="AF953" t="str">
        <f>IF(AE953="","",IF(AE953="[FÓRMULA MANUAL]","",IFERROR(AVERAGEIFS(nNOTA,nNIA,AE953,nCUENTA,1,nASIG,"Análisis"),"")))</f>
        <v/>
      </c>
      <c r="AG953" t="str">
        <f>IF(AE953="","",IF(AE953="[FÓRMULA MANUAL]","",IFERROR(AVERAGEIFS(nNOTA,nNIA,AE953,nCUENTA,1,nASIG,"Orquesta/Banda/Conjunto"),"")))</f>
        <v/>
      </c>
      <c r="AH953" t="str">
        <f>IF(AE953="","",IF(AE953="[FÓRMULA MANUAL]","",IFERROR(AVERAGEIFS(nNOTA,nNIA,AE953,nCUENTA,1,nASIG,"Música de Cámara"),"")))</f>
        <v/>
      </c>
      <c r="AI953" t="str">
        <f>IF(AE953="","",IF(AE953="[FÓRMULA MANUAL]","",IFERROR(SUMPRODUCT((nNIA=AE953)*(nCUENTA=1)*(COUNTIF(CONFIG_ASIGNATURAS!$B$7:$B$27,nASIG)&gt;0)*(nNOTA))/SUMPRODUCT((nNIA=AE953)*(nCUENTA=1)*(COUNTIF(CONFIG_ASIGNATURAS!$B$7:$B$27,nASIG)&gt;0)*1),"")))</f>
        <v/>
      </c>
    </row>
    <row r="954" spans="2:35" x14ac:dyDescent="0.2">
      <c r="B954" t="str">
        <f>IF(A954="","",IF(A954="[FÓRMULA MANUAL]","",IFERROR(AVERAGEIFS(nNOTA,nNIA,A954,nCUENTA,1,nASIG,"Lenguaje Musical"),"")))</f>
        <v/>
      </c>
      <c r="C954" t="str">
        <f>IF(A954="","",IF(A954="[FÓRMULA MANUAL]","",IFERROR(AVERAGEIFS(nNOTA,nNIA,A954,nCUENTA,1,nASIG,"Orquesta/Banda/Conjunto"),"")))</f>
        <v/>
      </c>
      <c r="D954" t="str">
        <f>IF(A954="","",IF(A954="[FÓRMULA MANUAL]","",IFERROR(AVERAGEIFS(nNOTA,nNIA,A954,nCUENTA,1,nASIG,"Conjunto"),"")))</f>
        <v/>
      </c>
      <c r="E954" t="str">
        <f>IF(A954="","",IF(A954="[FÓRMULA MANUAL]","",IFERROR(SUMPRODUCT((nNIA=A954)*(nCUENTA=1)*(COUNTIF(CONFIG_ASIGNATURAS!$B$7:$B$27,nASIG)&gt;0)*(nNOTA))/SUMPRODUCT((nNIA=A954)*(nCUENTA=1)*(COUNTIF(CONFIG_ASIGNATURAS!$B$7:$B$27,nASIG)&gt;0)*1),"")))</f>
        <v/>
      </c>
      <c r="H954" t="str">
        <f>IF(G954="","",IF(G954="[FÓRMULA MANUAL]","",IFERROR(AVERAGEIFS(nNOTA,nNIA,G954,nCUENTA,1,nASIG,"Lenguaje Musical"),"")))</f>
        <v/>
      </c>
      <c r="I954" t="str">
        <f>IF(G954="","",IF(G954="[FÓRMULA MANUAL]","",IFERROR(AVERAGEIFS(nNOTA,nNIA,G954,nCUENTA,1,nASIG,"Orquesta/Banda/Conjunto"),"")))</f>
        <v/>
      </c>
      <c r="J954" t="str">
        <f>IF(G954="","",IF(G954="[FÓRMULA MANUAL]","",IFERROR(AVERAGEIFS(nNOTA,nNIA,G954,nCUENTA,1,nASIG,"Conjunto"),"")))</f>
        <v/>
      </c>
      <c r="K954" t="str">
        <f>IF(G954="","",IF(G954="[FÓRMULA MANUAL]","",IFERROR(SUMPRODUCT((nNIA=G954)*(nCUENTA=1)*(COUNTIF(CONFIG_ASIGNATURAS!$B$7:$B$27,nASIG)&gt;0)*(nNOTA))/SUMPRODUCT((nNIA=G954)*(nCUENTA=1)*(COUNTIF(CONFIG_ASIGNATURAS!$B$7:$B$27,nASIG)&gt;0)*1),"")))</f>
        <v/>
      </c>
      <c r="N954" t="str">
        <f>IF(M954="","",IF(M954="[FÓRMULA MANUAL]","",IFERROR(AVERAGEIFS(nNOTA,nNIA,M954,nCUENTA,1,nASIG,"Armonía"),"")))</f>
        <v/>
      </c>
      <c r="O954" t="str">
        <f>IF(M954="","",IF(M954="[FÓRMULA MANUAL]","",IFERROR(AVERAGEIFS(nNOTA,nNIA,M954,nCUENTA,1,nASIG,"Orquesta/Banda/Conjunto"),"")))</f>
        <v/>
      </c>
      <c r="P954" t="str">
        <f>IF(M954="","",IF(M954="[FÓRMULA MANUAL]","",IFERROR(AVERAGEIFS(nNOTA,nNIA,M954,nCUENTA,1,nASIG,"Música de Cámara"),"")))</f>
        <v/>
      </c>
      <c r="Q954" t="str">
        <f>IF(M954="","",IF(M954="[FÓRMULA MANUAL]","",IFERROR(SUMPRODUCT((nNIA=M954)*(nCUENTA=1)*(COUNTIF(CONFIG_ASIGNATURAS!$B$7:$B$27,nASIG)&gt;0)*(nNOTA))/SUMPRODUCT((nNIA=M954)*(nCUENTA=1)*(COUNTIF(CONFIG_ASIGNATURAS!$B$7:$B$27,nASIG)&gt;0)*1),"")))</f>
        <v/>
      </c>
      <c r="T954" t="str">
        <f>IF(S954="","",IF(S954="[FÓRMULA MANUAL]","",IFERROR(AVERAGEIFS(nNOTA,nNIA,S954,nCUENTA,1,nASIG,"Armonía"),"")))</f>
        <v/>
      </c>
      <c r="U954" t="str">
        <f>IF(S954="","",IF(S954="[FÓRMULA MANUAL]","",IFERROR(AVERAGEIFS(nNOTA,nNIA,S954,nCUENTA,1,nASIG,"Orquesta/Banda/Conjunto"),"")))</f>
        <v/>
      </c>
      <c r="V954" t="str">
        <f>IF(S954="","",IF(S954="[FÓRMULA MANUAL]","",IFERROR(AVERAGEIFS(nNOTA,nNIA,S954,nCUENTA,1,nASIG,"Música de Cámara"),"")))</f>
        <v/>
      </c>
      <c r="W954" t="str">
        <f>IF(S954="","",IF(S954="[FÓRMULA MANUAL]","",IFERROR(SUMPRODUCT((nNIA=S954)*(nCUENTA=1)*(COUNTIF(CONFIG_ASIGNATURAS!$B$7:$B$27,nASIG)&gt;0)*(nNOTA))/SUMPRODUCT((nNIA=S954)*(nCUENTA=1)*(COUNTIF(CONFIG_ASIGNATURAS!$B$7:$B$27,nASIG)&gt;0)*1),"")))</f>
        <v/>
      </c>
      <c r="Z954" t="str">
        <f>IF(Y954="","",IF(Y954="[FÓRMULA MANUAL]","",IFERROR(AVERAGEIFS(nNOTA,nNIA,Y954,nCUENTA,1,nASIG,"Análisis"),"")))</f>
        <v/>
      </c>
      <c r="AA954" t="str">
        <f>IF(Y954="","",IF(Y954="[FÓRMULA MANUAL]","",IFERROR(AVERAGEIFS(nNOTA,nNIA,Y954,nCUENTA,1,nASIG,"Orquesta/Banda/Conjunto"),"")))</f>
        <v/>
      </c>
      <c r="AB954" t="str">
        <f>IF(Y954="","",IF(Y954="[FÓRMULA MANUAL]","",IFERROR(AVERAGEIFS(nNOTA,nNIA,Y954,nCUENTA,1,nASIG,"Música de Cámara"),"")))</f>
        <v/>
      </c>
      <c r="AC954" t="str">
        <f>IF(Y954="","",IF(Y954="[FÓRMULA MANUAL]","",IFERROR(SUMPRODUCT((nNIA=Y954)*(nCUENTA=1)*(COUNTIF(CONFIG_ASIGNATURAS!$B$7:$B$27,nASIG)&gt;0)*(nNOTA))/SUMPRODUCT((nNIA=Y954)*(nCUENTA=1)*(COUNTIF(CONFIG_ASIGNATURAS!$B$7:$B$27,nASIG)&gt;0)*1),"")))</f>
        <v/>
      </c>
      <c r="AF954" t="str">
        <f>IF(AE954="","",IF(AE954="[FÓRMULA MANUAL]","",IFERROR(AVERAGEIFS(nNOTA,nNIA,AE954,nCUENTA,1,nASIG,"Análisis"),"")))</f>
        <v/>
      </c>
      <c r="AG954" t="str">
        <f>IF(AE954="","",IF(AE954="[FÓRMULA MANUAL]","",IFERROR(AVERAGEIFS(nNOTA,nNIA,AE954,nCUENTA,1,nASIG,"Orquesta/Banda/Conjunto"),"")))</f>
        <v/>
      </c>
      <c r="AH954" t="str">
        <f>IF(AE954="","",IF(AE954="[FÓRMULA MANUAL]","",IFERROR(AVERAGEIFS(nNOTA,nNIA,AE954,nCUENTA,1,nASIG,"Música de Cámara"),"")))</f>
        <v/>
      </c>
      <c r="AI954" t="str">
        <f>IF(AE954="","",IF(AE954="[FÓRMULA MANUAL]","",IFERROR(SUMPRODUCT((nNIA=AE954)*(nCUENTA=1)*(COUNTIF(CONFIG_ASIGNATURAS!$B$7:$B$27,nASIG)&gt;0)*(nNOTA))/SUMPRODUCT((nNIA=AE954)*(nCUENTA=1)*(COUNTIF(CONFIG_ASIGNATURAS!$B$7:$B$27,nASIG)&gt;0)*1),"")))</f>
        <v/>
      </c>
    </row>
    <row r="955" spans="2:35" x14ac:dyDescent="0.2">
      <c r="B955" t="str">
        <f>IF(A955="","",IF(A955="[FÓRMULA MANUAL]","",IFERROR(AVERAGEIFS(nNOTA,nNIA,A955,nCUENTA,1,nASIG,"Lenguaje Musical"),"")))</f>
        <v/>
      </c>
      <c r="C955" t="str">
        <f>IF(A955="","",IF(A955="[FÓRMULA MANUAL]","",IFERROR(AVERAGEIFS(nNOTA,nNIA,A955,nCUENTA,1,nASIG,"Orquesta/Banda/Conjunto"),"")))</f>
        <v/>
      </c>
      <c r="D955" t="str">
        <f>IF(A955="","",IF(A955="[FÓRMULA MANUAL]","",IFERROR(AVERAGEIFS(nNOTA,nNIA,A955,nCUENTA,1,nASIG,"Conjunto"),"")))</f>
        <v/>
      </c>
      <c r="E955" t="str">
        <f>IF(A955="","",IF(A955="[FÓRMULA MANUAL]","",IFERROR(SUMPRODUCT((nNIA=A955)*(nCUENTA=1)*(COUNTIF(CONFIG_ASIGNATURAS!$B$7:$B$27,nASIG)&gt;0)*(nNOTA))/SUMPRODUCT((nNIA=A955)*(nCUENTA=1)*(COUNTIF(CONFIG_ASIGNATURAS!$B$7:$B$27,nASIG)&gt;0)*1),"")))</f>
        <v/>
      </c>
      <c r="H955" t="str">
        <f>IF(G955="","",IF(G955="[FÓRMULA MANUAL]","",IFERROR(AVERAGEIFS(nNOTA,nNIA,G955,nCUENTA,1,nASIG,"Lenguaje Musical"),"")))</f>
        <v/>
      </c>
      <c r="I955" t="str">
        <f>IF(G955="","",IF(G955="[FÓRMULA MANUAL]","",IFERROR(AVERAGEIFS(nNOTA,nNIA,G955,nCUENTA,1,nASIG,"Orquesta/Banda/Conjunto"),"")))</f>
        <v/>
      </c>
      <c r="J955" t="str">
        <f>IF(G955="","",IF(G955="[FÓRMULA MANUAL]","",IFERROR(AVERAGEIFS(nNOTA,nNIA,G955,nCUENTA,1,nASIG,"Conjunto"),"")))</f>
        <v/>
      </c>
      <c r="K955" t="str">
        <f>IF(G955="","",IF(G955="[FÓRMULA MANUAL]","",IFERROR(SUMPRODUCT((nNIA=G955)*(nCUENTA=1)*(COUNTIF(CONFIG_ASIGNATURAS!$B$7:$B$27,nASIG)&gt;0)*(nNOTA))/SUMPRODUCT((nNIA=G955)*(nCUENTA=1)*(COUNTIF(CONFIG_ASIGNATURAS!$B$7:$B$27,nASIG)&gt;0)*1),"")))</f>
        <v/>
      </c>
      <c r="N955" t="str">
        <f>IF(M955="","",IF(M955="[FÓRMULA MANUAL]","",IFERROR(AVERAGEIFS(nNOTA,nNIA,M955,nCUENTA,1,nASIG,"Armonía"),"")))</f>
        <v/>
      </c>
      <c r="O955" t="str">
        <f>IF(M955="","",IF(M955="[FÓRMULA MANUAL]","",IFERROR(AVERAGEIFS(nNOTA,nNIA,M955,nCUENTA,1,nASIG,"Orquesta/Banda/Conjunto"),"")))</f>
        <v/>
      </c>
      <c r="P955" t="str">
        <f>IF(M955="","",IF(M955="[FÓRMULA MANUAL]","",IFERROR(AVERAGEIFS(nNOTA,nNIA,M955,nCUENTA,1,nASIG,"Música de Cámara"),"")))</f>
        <v/>
      </c>
      <c r="Q955" t="str">
        <f>IF(M955="","",IF(M955="[FÓRMULA MANUAL]","",IFERROR(SUMPRODUCT((nNIA=M955)*(nCUENTA=1)*(COUNTIF(CONFIG_ASIGNATURAS!$B$7:$B$27,nASIG)&gt;0)*(nNOTA))/SUMPRODUCT((nNIA=M955)*(nCUENTA=1)*(COUNTIF(CONFIG_ASIGNATURAS!$B$7:$B$27,nASIG)&gt;0)*1),"")))</f>
        <v/>
      </c>
      <c r="T955" t="str">
        <f>IF(S955="","",IF(S955="[FÓRMULA MANUAL]","",IFERROR(AVERAGEIFS(nNOTA,nNIA,S955,nCUENTA,1,nASIG,"Armonía"),"")))</f>
        <v/>
      </c>
      <c r="U955" t="str">
        <f>IF(S955="","",IF(S955="[FÓRMULA MANUAL]","",IFERROR(AVERAGEIFS(nNOTA,nNIA,S955,nCUENTA,1,nASIG,"Orquesta/Banda/Conjunto"),"")))</f>
        <v/>
      </c>
      <c r="V955" t="str">
        <f>IF(S955="","",IF(S955="[FÓRMULA MANUAL]","",IFERROR(AVERAGEIFS(nNOTA,nNIA,S955,nCUENTA,1,nASIG,"Música de Cámara"),"")))</f>
        <v/>
      </c>
      <c r="W955" t="str">
        <f>IF(S955="","",IF(S955="[FÓRMULA MANUAL]","",IFERROR(SUMPRODUCT((nNIA=S955)*(nCUENTA=1)*(COUNTIF(CONFIG_ASIGNATURAS!$B$7:$B$27,nASIG)&gt;0)*(nNOTA))/SUMPRODUCT((nNIA=S955)*(nCUENTA=1)*(COUNTIF(CONFIG_ASIGNATURAS!$B$7:$B$27,nASIG)&gt;0)*1),"")))</f>
        <v/>
      </c>
      <c r="Z955" t="str">
        <f>IF(Y955="","",IF(Y955="[FÓRMULA MANUAL]","",IFERROR(AVERAGEIFS(nNOTA,nNIA,Y955,nCUENTA,1,nASIG,"Análisis"),"")))</f>
        <v/>
      </c>
      <c r="AA955" t="str">
        <f>IF(Y955="","",IF(Y955="[FÓRMULA MANUAL]","",IFERROR(AVERAGEIFS(nNOTA,nNIA,Y955,nCUENTA,1,nASIG,"Orquesta/Banda/Conjunto"),"")))</f>
        <v/>
      </c>
      <c r="AB955" t="str">
        <f>IF(Y955="","",IF(Y955="[FÓRMULA MANUAL]","",IFERROR(AVERAGEIFS(nNOTA,nNIA,Y955,nCUENTA,1,nASIG,"Música de Cámara"),"")))</f>
        <v/>
      </c>
      <c r="AC955" t="str">
        <f>IF(Y955="","",IF(Y955="[FÓRMULA MANUAL]","",IFERROR(SUMPRODUCT((nNIA=Y955)*(nCUENTA=1)*(COUNTIF(CONFIG_ASIGNATURAS!$B$7:$B$27,nASIG)&gt;0)*(nNOTA))/SUMPRODUCT((nNIA=Y955)*(nCUENTA=1)*(COUNTIF(CONFIG_ASIGNATURAS!$B$7:$B$27,nASIG)&gt;0)*1),"")))</f>
        <v/>
      </c>
      <c r="AF955" t="str">
        <f>IF(AE955="","",IF(AE955="[FÓRMULA MANUAL]","",IFERROR(AVERAGEIFS(nNOTA,nNIA,AE955,nCUENTA,1,nASIG,"Análisis"),"")))</f>
        <v/>
      </c>
      <c r="AG955" t="str">
        <f>IF(AE955="","",IF(AE955="[FÓRMULA MANUAL]","",IFERROR(AVERAGEIFS(nNOTA,nNIA,AE955,nCUENTA,1,nASIG,"Orquesta/Banda/Conjunto"),"")))</f>
        <v/>
      </c>
      <c r="AH955" t="str">
        <f>IF(AE955="","",IF(AE955="[FÓRMULA MANUAL]","",IFERROR(AVERAGEIFS(nNOTA,nNIA,AE955,nCUENTA,1,nASIG,"Música de Cámara"),"")))</f>
        <v/>
      </c>
      <c r="AI955" t="str">
        <f>IF(AE955="","",IF(AE955="[FÓRMULA MANUAL]","",IFERROR(SUMPRODUCT((nNIA=AE955)*(nCUENTA=1)*(COUNTIF(CONFIG_ASIGNATURAS!$B$7:$B$27,nASIG)&gt;0)*(nNOTA))/SUMPRODUCT((nNIA=AE955)*(nCUENTA=1)*(COUNTIF(CONFIG_ASIGNATURAS!$B$7:$B$27,nASIG)&gt;0)*1),"")))</f>
        <v/>
      </c>
    </row>
    <row r="956" spans="2:35" x14ac:dyDescent="0.2">
      <c r="B956" t="str">
        <f>IF(A956="","",IF(A956="[FÓRMULA MANUAL]","",IFERROR(AVERAGEIFS(nNOTA,nNIA,A956,nCUENTA,1,nASIG,"Lenguaje Musical"),"")))</f>
        <v/>
      </c>
      <c r="C956" t="str">
        <f>IF(A956="","",IF(A956="[FÓRMULA MANUAL]","",IFERROR(AVERAGEIFS(nNOTA,nNIA,A956,nCUENTA,1,nASIG,"Orquesta/Banda/Conjunto"),"")))</f>
        <v/>
      </c>
      <c r="D956" t="str">
        <f>IF(A956="","",IF(A956="[FÓRMULA MANUAL]","",IFERROR(AVERAGEIFS(nNOTA,nNIA,A956,nCUENTA,1,nASIG,"Conjunto"),"")))</f>
        <v/>
      </c>
      <c r="E956" t="str">
        <f>IF(A956="","",IF(A956="[FÓRMULA MANUAL]","",IFERROR(SUMPRODUCT((nNIA=A956)*(nCUENTA=1)*(COUNTIF(CONFIG_ASIGNATURAS!$B$7:$B$27,nASIG)&gt;0)*(nNOTA))/SUMPRODUCT((nNIA=A956)*(nCUENTA=1)*(COUNTIF(CONFIG_ASIGNATURAS!$B$7:$B$27,nASIG)&gt;0)*1),"")))</f>
        <v/>
      </c>
      <c r="H956" t="str">
        <f>IF(G956="","",IF(G956="[FÓRMULA MANUAL]","",IFERROR(AVERAGEIFS(nNOTA,nNIA,G956,nCUENTA,1,nASIG,"Lenguaje Musical"),"")))</f>
        <v/>
      </c>
      <c r="I956" t="str">
        <f>IF(G956="","",IF(G956="[FÓRMULA MANUAL]","",IFERROR(AVERAGEIFS(nNOTA,nNIA,G956,nCUENTA,1,nASIG,"Orquesta/Banda/Conjunto"),"")))</f>
        <v/>
      </c>
      <c r="J956" t="str">
        <f>IF(G956="","",IF(G956="[FÓRMULA MANUAL]","",IFERROR(AVERAGEIFS(nNOTA,nNIA,G956,nCUENTA,1,nASIG,"Conjunto"),"")))</f>
        <v/>
      </c>
      <c r="K956" t="str">
        <f>IF(G956="","",IF(G956="[FÓRMULA MANUAL]","",IFERROR(SUMPRODUCT((nNIA=G956)*(nCUENTA=1)*(COUNTIF(CONFIG_ASIGNATURAS!$B$7:$B$27,nASIG)&gt;0)*(nNOTA))/SUMPRODUCT((nNIA=G956)*(nCUENTA=1)*(COUNTIF(CONFIG_ASIGNATURAS!$B$7:$B$27,nASIG)&gt;0)*1),"")))</f>
        <v/>
      </c>
      <c r="N956" t="str">
        <f>IF(M956="","",IF(M956="[FÓRMULA MANUAL]","",IFERROR(AVERAGEIFS(nNOTA,nNIA,M956,nCUENTA,1,nASIG,"Armonía"),"")))</f>
        <v/>
      </c>
      <c r="O956" t="str">
        <f>IF(M956="","",IF(M956="[FÓRMULA MANUAL]","",IFERROR(AVERAGEIFS(nNOTA,nNIA,M956,nCUENTA,1,nASIG,"Orquesta/Banda/Conjunto"),"")))</f>
        <v/>
      </c>
      <c r="P956" t="str">
        <f>IF(M956="","",IF(M956="[FÓRMULA MANUAL]","",IFERROR(AVERAGEIFS(nNOTA,nNIA,M956,nCUENTA,1,nASIG,"Música de Cámara"),"")))</f>
        <v/>
      </c>
      <c r="Q956" t="str">
        <f>IF(M956="","",IF(M956="[FÓRMULA MANUAL]","",IFERROR(SUMPRODUCT((nNIA=M956)*(nCUENTA=1)*(COUNTIF(CONFIG_ASIGNATURAS!$B$7:$B$27,nASIG)&gt;0)*(nNOTA))/SUMPRODUCT((nNIA=M956)*(nCUENTA=1)*(COUNTIF(CONFIG_ASIGNATURAS!$B$7:$B$27,nASIG)&gt;0)*1),"")))</f>
        <v/>
      </c>
      <c r="T956" t="str">
        <f>IF(S956="","",IF(S956="[FÓRMULA MANUAL]","",IFERROR(AVERAGEIFS(nNOTA,nNIA,S956,nCUENTA,1,nASIG,"Armonía"),"")))</f>
        <v/>
      </c>
      <c r="U956" t="str">
        <f>IF(S956="","",IF(S956="[FÓRMULA MANUAL]","",IFERROR(AVERAGEIFS(nNOTA,nNIA,S956,nCUENTA,1,nASIG,"Orquesta/Banda/Conjunto"),"")))</f>
        <v/>
      </c>
      <c r="V956" t="str">
        <f>IF(S956="","",IF(S956="[FÓRMULA MANUAL]","",IFERROR(AVERAGEIFS(nNOTA,nNIA,S956,nCUENTA,1,nASIG,"Música de Cámara"),"")))</f>
        <v/>
      </c>
      <c r="W956" t="str">
        <f>IF(S956="","",IF(S956="[FÓRMULA MANUAL]","",IFERROR(SUMPRODUCT((nNIA=S956)*(nCUENTA=1)*(COUNTIF(CONFIG_ASIGNATURAS!$B$7:$B$27,nASIG)&gt;0)*(nNOTA))/SUMPRODUCT((nNIA=S956)*(nCUENTA=1)*(COUNTIF(CONFIG_ASIGNATURAS!$B$7:$B$27,nASIG)&gt;0)*1),"")))</f>
        <v/>
      </c>
      <c r="Z956" t="str">
        <f>IF(Y956="","",IF(Y956="[FÓRMULA MANUAL]","",IFERROR(AVERAGEIFS(nNOTA,nNIA,Y956,nCUENTA,1,nASIG,"Análisis"),"")))</f>
        <v/>
      </c>
      <c r="AA956" t="str">
        <f>IF(Y956="","",IF(Y956="[FÓRMULA MANUAL]","",IFERROR(AVERAGEIFS(nNOTA,nNIA,Y956,nCUENTA,1,nASIG,"Orquesta/Banda/Conjunto"),"")))</f>
        <v/>
      </c>
      <c r="AB956" t="str">
        <f>IF(Y956="","",IF(Y956="[FÓRMULA MANUAL]","",IFERROR(AVERAGEIFS(nNOTA,nNIA,Y956,nCUENTA,1,nASIG,"Música de Cámara"),"")))</f>
        <v/>
      </c>
      <c r="AC956" t="str">
        <f>IF(Y956="","",IF(Y956="[FÓRMULA MANUAL]","",IFERROR(SUMPRODUCT((nNIA=Y956)*(nCUENTA=1)*(COUNTIF(CONFIG_ASIGNATURAS!$B$7:$B$27,nASIG)&gt;0)*(nNOTA))/SUMPRODUCT((nNIA=Y956)*(nCUENTA=1)*(COUNTIF(CONFIG_ASIGNATURAS!$B$7:$B$27,nASIG)&gt;0)*1),"")))</f>
        <v/>
      </c>
      <c r="AF956" t="str">
        <f>IF(AE956="","",IF(AE956="[FÓRMULA MANUAL]","",IFERROR(AVERAGEIFS(nNOTA,nNIA,AE956,nCUENTA,1,nASIG,"Análisis"),"")))</f>
        <v/>
      </c>
      <c r="AG956" t="str">
        <f>IF(AE956="","",IF(AE956="[FÓRMULA MANUAL]","",IFERROR(AVERAGEIFS(nNOTA,nNIA,AE956,nCUENTA,1,nASIG,"Orquesta/Banda/Conjunto"),"")))</f>
        <v/>
      </c>
      <c r="AH956" t="str">
        <f>IF(AE956="","",IF(AE956="[FÓRMULA MANUAL]","",IFERROR(AVERAGEIFS(nNOTA,nNIA,AE956,nCUENTA,1,nASIG,"Música de Cámara"),"")))</f>
        <v/>
      </c>
      <c r="AI956" t="str">
        <f>IF(AE956="","",IF(AE956="[FÓRMULA MANUAL]","",IFERROR(SUMPRODUCT((nNIA=AE956)*(nCUENTA=1)*(COUNTIF(CONFIG_ASIGNATURAS!$B$7:$B$27,nASIG)&gt;0)*(nNOTA))/SUMPRODUCT((nNIA=AE956)*(nCUENTA=1)*(COUNTIF(CONFIG_ASIGNATURAS!$B$7:$B$27,nASIG)&gt;0)*1),"")))</f>
        <v/>
      </c>
    </row>
    <row r="957" spans="2:35" x14ac:dyDescent="0.2">
      <c r="B957" t="str">
        <f>IF(A957="","",IF(A957="[FÓRMULA MANUAL]","",IFERROR(AVERAGEIFS(nNOTA,nNIA,A957,nCUENTA,1,nASIG,"Lenguaje Musical"),"")))</f>
        <v/>
      </c>
      <c r="C957" t="str">
        <f>IF(A957="","",IF(A957="[FÓRMULA MANUAL]","",IFERROR(AVERAGEIFS(nNOTA,nNIA,A957,nCUENTA,1,nASIG,"Orquesta/Banda/Conjunto"),"")))</f>
        <v/>
      </c>
      <c r="D957" t="str">
        <f>IF(A957="","",IF(A957="[FÓRMULA MANUAL]","",IFERROR(AVERAGEIFS(nNOTA,nNIA,A957,nCUENTA,1,nASIG,"Conjunto"),"")))</f>
        <v/>
      </c>
      <c r="E957" t="str">
        <f>IF(A957="","",IF(A957="[FÓRMULA MANUAL]","",IFERROR(SUMPRODUCT((nNIA=A957)*(nCUENTA=1)*(COUNTIF(CONFIG_ASIGNATURAS!$B$7:$B$27,nASIG)&gt;0)*(nNOTA))/SUMPRODUCT((nNIA=A957)*(nCUENTA=1)*(COUNTIF(CONFIG_ASIGNATURAS!$B$7:$B$27,nASIG)&gt;0)*1),"")))</f>
        <v/>
      </c>
      <c r="H957" t="str">
        <f>IF(G957="","",IF(G957="[FÓRMULA MANUAL]","",IFERROR(AVERAGEIFS(nNOTA,nNIA,G957,nCUENTA,1,nASIG,"Lenguaje Musical"),"")))</f>
        <v/>
      </c>
      <c r="I957" t="str">
        <f>IF(G957="","",IF(G957="[FÓRMULA MANUAL]","",IFERROR(AVERAGEIFS(nNOTA,nNIA,G957,nCUENTA,1,nASIG,"Orquesta/Banda/Conjunto"),"")))</f>
        <v/>
      </c>
      <c r="J957" t="str">
        <f>IF(G957="","",IF(G957="[FÓRMULA MANUAL]","",IFERROR(AVERAGEIFS(nNOTA,nNIA,G957,nCUENTA,1,nASIG,"Conjunto"),"")))</f>
        <v/>
      </c>
      <c r="K957" t="str">
        <f>IF(G957="","",IF(G957="[FÓRMULA MANUAL]","",IFERROR(SUMPRODUCT((nNIA=G957)*(nCUENTA=1)*(COUNTIF(CONFIG_ASIGNATURAS!$B$7:$B$27,nASIG)&gt;0)*(nNOTA))/SUMPRODUCT((nNIA=G957)*(nCUENTA=1)*(COUNTIF(CONFIG_ASIGNATURAS!$B$7:$B$27,nASIG)&gt;0)*1),"")))</f>
        <v/>
      </c>
      <c r="N957" t="str">
        <f>IF(M957="","",IF(M957="[FÓRMULA MANUAL]","",IFERROR(AVERAGEIFS(nNOTA,nNIA,M957,nCUENTA,1,nASIG,"Armonía"),"")))</f>
        <v/>
      </c>
      <c r="O957" t="str">
        <f>IF(M957="","",IF(M957="[FÓRMULA MANUAL]","",IFERROR(AVERAGEIFS(nNOTA,nNIA,M957,nCUENTA,1,nASIG,"Orquesta/Banda/Conjunto"),"")))</f>
        <v/>
      </c>
      <c r="P957" t="str">
        <f>IF(M957="","",IF(M957="[FÓRMULA MANUAL]","",IFERROR(AVERAGEIFS(nNOTA,nNIA,M957,nCUENTA,1,nASIG,"Música de Cámara"),"")))</f>
        <v/>
      </c>
      <c r="Q957" t="str">
        <f>IF(M957="","",IF(M957="[FÓRMULA MANUAL]","",IFERROR(SUMPRODUCT((nNIA=M957)*(nCUENTA=1)*(COUNTIF(CONFIG_ASIGNATURAS!$B$7:$B$27,nASIG)&gt;0)*(nNOTA))/SUMPRODUCT((nNIA=M957)*(nCUENTA=1)*(COUNTIF(CONFIG_ASIGNATURAS!$B$7:$B$27,nASIG)&gt;0)*1),"")))</f>
        <v/>
      </c>
      <c r="T957" t="str">
        <f>IF(S957="","",IF(S957="[FÓRMULA MANUAL]","",IFERROR(AVERAGEIFS(nNOTA,nNIA,S957,nCUENTA,1,nASIG,"Armonía"),"")))</f>
        <v/>
      </c>
      <c r="U957" t="str">
        <f>IF(S957="","",IF(S957="[FÓRMULA MANUAL]","",IFERROR(AVERAGEIFS(nNOTA,nNIA,S957,nCUENTA,1,nASIG,"Orquesta/Banda/Conjunto"),"")))</f>
        <v/>
      </c>
      <c r="V957" t="str">
        <f>IF(S957="","",IF(S957="[FÓRMULA MANUAL]","",IFERROR(AVERAGEIFS(nNOTA,nNIA,S957,nCUENTA,1,nASIG,"Música de Cámara"),"")))</f>
        <v/>
      </c>
      <c r="W957" t="str">
        <f>IF(S957="","",IF(S957="[FÓRMULA MANUAL]","",IFERROR(SUMPRODUCT((nNIA=S957)*(nCUENTA=1)*(COUNTIF(CONFIG_ASIGNATURAS!$B$7:$B$27,nASIG)&gt;0)*(nNOTA))/SUMPRODUCT((nNIA=S957)*(nCUENTA=1)*(COUNTIF(CONFIG_ASIGNATURAS!$B$7:$B$27,nASIG)&gt;0)*1),"")))</f>
        <v/>
      </c>
      <c r="Z957" t="str">
        <f>IF(Y957="","",IF(Y957="[FÓRMULA MANUAL]","",IFERROR(AVERAGEIFS(nNOTA,nNIA,Y957,nCUENTA,1,nASIG,"Análisis"),"")))</f>
        <v/>
      </c>
      <c r="AA957" t="str">
        <f>IF(Y957="","",IF(Y957="[FÓRMULA MANUAL]","",IFERROR(AVERAGEIFS(nNOTA,nNIA,Y957,nCUENTA,1,nASIG,"Orquesta/Banda/Conjunto"),"")))</f>
        <v/>
      </c>
      <c r="AB957" t="str">
        <f>IF(Y957="","",IF(Y957="[FÓRMULA MANUAL]","",IFERROR(AVERAGEIFS(nNOTA,nNIA,Y957,nCUENTA,1,nASIG,"Música de Cámara"),"")))</f>
        <v/>
      </c>
      <c r="AC957" t="str">
        <f>IF(Y957="","",IF(Y957="[FÓRMULA MANUAL]","",IFERROR(SUMPRODUCT((nNIA=Y957)*(nCUENTA=1)*(COUNTIF(CONFIG_ASIGNATURAS!$B$7:$B$27,nASIG)&gt;0)*(nNOTA))/SUMPRODUCT((nNIA=Y957)*(nCUENTA=1)*(COUNTIF(CONFIG_ASIGNATURAS!$B$7:$B$27,nASIG)&gt;0)*1),"")))</f>
        <v/>
      </c>
      <c r="AF957" t="str">
        <f>IF(AE957="","",IF(AE957="[FÓRMULA MANUAL]","",IFERROR(AVERAGEIFS(nNOTA,nNIA,AE957,nCUENTA,1,nASIG,"Análisis"),"")))</f>
        <v/>
      </c>
      <c r="AG957" t="str">
        <f>IF(AE957="","",IF(AE957="[FÓRMULA MANUAL]","",IFERROR(AVERAGEIFS(nNOTA,nNIA,AE957,nCUENTA,1,nASIG,"Orquesta/Banda/Conjunto"),"")))</f>
        <v/>
      </c>
      <c r="AH957" t="str">
        <f>IF(AE957="","",IF(AE957="[FÓRMULA MANUAL]","",IFERROR(AVERAGEIFS(nNOTA,nNIA,AE957,nCUENTA,1,nASIG,"Música de Cámara"),"")))</f>
        <v/>
      </c>
      <c r="AI957" t="str">
        <f>IF(AE957="","",IF(AE957="[FÓRMULA MANUAL]","",IFERROR(SUMPRODUCT((nNIA=AE957)*(nCUENTA=1)*(COUNTIF(CONFIG_ASIGNATURAS!$B$7:$B$27,nASIG)&gt;0)*(nNOTA))/SUMPRODUCT((nNIA=AE957)*(nCUENTA=1)*(COUNTIF(CONFIG_ASIGNATURAS!$B$7:$B$27,nASIG)&gt;0)*1),"")))</f>
        <v/>
      </c>
    </row>
    <row r="958" spans="2:35" x14ac:dyDescent="0.2">
      <c r="B958" t="str">
        <f>IF(A958="","",IF(A958="[FÓRMULA MANUAL]","",IFERROR(AVERAGEIFS(nNOTA,nNIA,A958,nCUENTA,1,nASIG,"Lenguaje Musical"),"")))</f>
        <v/>
      </c>
      <c r="C958" t="str">
        <f>IF(A958="","",IF(A958="[FÓRMULA MANUAL]","",IFERROR(AVERAGEIFS(nNOTA,nNIA,A958,nCUENTA,1,nASIG,"Orquesta/Banda/Conjunto"),"")))</f>
        <v/>
      </c>
      <c r="D958" t="str">
        <f>IF(A958="","",IF(A958="[FÓRMULA MANUAL]","",IFERROR(AVERAGEIFS(nNOTA,nNIA,A958,nCUENTA,1,nASIG,"Conjunto"),"")))</f>
        <v/>
      </c>
      <c r="E958" t="str">
        <f>IF(A958="","",IF(A958="[FÓRMULA MANUAL]","",IFERROR(SUMPRODUCT((nNIA=A958)*(nCUENTA=1)*(COUNTIF(CONFIG_ASIGNATURAS!$B$7:$B$27,nASIG)&gt;0)*(nNOTA))/SUMPRODUCT((nNIA=A958)*(nCUENTA=1)*(COUNTIF(CONFIG_ASIGNATURAS!$B$7:$B$27,nASIG)&gt;0)*1),"")))</f>
        <v/>
      </c>
      <c r="H958" t="str">
        <f>IF(G958="","",IF(G958="[FÓRMULA MANUAL]","",IFERROR(AVERAGEIFS(nNOTA,nNIA,G958,nCUENTA,1,nASIG,"Lenguaje Musical"),"")))</f>
        <v/>
      </c>
      <c r="I958" t="str">
        <f>IF(G958="","",IF(G958="[FÓRMULA MANUAL]","",IFERROR(AVERAGEIFS(nNOTA,nNIA,G958,nCUENTA,1,nASIG,"Orquesta/Banda/Conjunto"),"")))</f>
        <v/>
      </c>
      <c r="J958" t="str">
        <f>IF(G958="","",IF(G958="[FÓRMULA MANUAL]","",IFERROR(AVERAGEIFS(nNOTA,nNIA,G958,nCUENTA,1,nASIG,"Conjunto"),"")))</f>
        <v/>
      </c>
      <c r="K958" t="str">
        <f>IF(G958="","",IF(G958="[FÓRMULA MANUAL]","",IFERROR(SUMPRODUCT((nNIA=G958)*(nCUENTA=1)*(COUNTIF(CONFIG_ASIGNATURAS!$B$7:$B$27,nASIG)&gt;0)*(nNOTA))/SUMPRODUCT((nNIA=G958)*(nCUENTA=1)*(COUNTIF(CONFIG_ASIGNATURAS!$B$7:$B$27,nASIG)&gt;0)*1),"")))</f>
        <v/>
      </c>
      <c r="N958" t="str">
        <f>IF(M958="","",IF(M958="[FÓRMULA MANUAL]","",IFERROR(AVERAGEIFS(nNOTA,nNIA,M958,nCUENTA,1,nASIG,"Armonía"),"")))</f>
        <v/>
      </c>
      <c r="O958" t="str">
        <f>IF(M958="","",IF(M958="[FÓRMULA MANUAL]","",IFERROR(AVERAGEIFS(nNOTA,nNIA,M958,nCUENTA,1,nASIG,"Orquesta/Banda/Conjunto"),"")))</f>
        <v/>
      </c>
      <c r="P958" t="str">
        <f>IF(M958="","",IF(M958="[FÓRMULA MANUAL]","",IFERROR(AVERAGEIFS(nNOTA,nNIA,M958,nCUENTA,1,nASIG,"Música de Cámara"),"")))</f>
        <v/>
      </c>
      <c r="Q958" t="str">
        <f>IF(M958="","",IF(M958="[FÓRMULA MANUAL]","",IFERROR(SUMPRODUCT((nNIA=M958)*(nCUENTA=1)*(COUNTIF(CONFIG_ASIGNATURAS!$B$7:$B$27,nASIG)&gt;0)*(nNOTA))/SUMPRODUCT((nNIA=M958)*(nCUENTA=1)*(COUNTIF(CONFIG_ASIGNATURAS!$B$7:$B$27,nASIG)&gt;0)*1),"")))</f>
        <v/>
      </c>
      <c r="T958" t="str">
        <f>IF(S958="","",IF(S958="[FÓRMULA MANUAL]","",IFERROR(AVERAGEIFS(nNOTA,nNIA,S958,nCUENTA,1,nASIG,"Armonía"),"")))</f>
        <v/>
      </c>
      <c r="U958" t="str">
        <f>IF(S958="","",IF(S958="[FÓRMULA MANUAL]","",IFERROR(AVERAGEIFS(nNOTA,nNIA,S958,nCUENTA,1,nASIG,"Orquesta/Banda/Conjunto"),"")))</f>
        <v/>
      </c>
      <c r="V958" t="str">
        <f>IF(S958="","",IF(S958="[FÓRMULA MANUAL]","",IFERROR(AVERAGEIFS(nNOTA,nNIA,S958,nCUENTA,1,nASIG,"Música de Cámara"),"")))</f>
        <v/>
      </c>
      <c r="W958" t="str">
        <f>IF(S958="","",IF(S958="[FÓRMULA MANUAL]","",IFERROR(SUMPRODUCT((nNIA=S958)*(nCUENTA=1)*(COUNTIF(CONFIG_ASIGNATURAS!$B$7:$B$27,nASIG)&gt;0)*(nNOTA))/SUMPRODUCT((nNIA=S958)*(nCUENTA=1)*(COUNTIF(CONFIG_ASIGNATURAS!$B$7:$B$27,nASIG)&gt;0)*1),"")))</f>
        <v/>
      </c>
      <c r="Z958" t="str">
        <f>IF(Y958="","",IF(Y958="[FÓRMULA MANUAL]","",IFERROR(AVERAGEIFS(nNOTA,nNIA,Y958,nCUENTA,1,nASIG,"Análisis"),"")))</f>
        <v/>
      </c>
      <c r="AA958" t="str">
        <f>IF(Y958="","",IF(Y958="[FÓRMULA MANUAL]","",IFERROR(AVERAGEIFS(nNOTA,nNIA,Y958,nCUENTA,1,nASIG,"Orquesta/Banda/Conjunto"),"")))</f>
        <v/>
      </c>
      <c r="AB958" t="str">
        <f>IF(Y958="","",IF(Y958="[FÓRMULA MANUAL]","",IFERROR(AVERAGEIFS(nNOTA,nNIA,Y958,nCUENTA,1,nASIG,"Música de Cámara"),"")))</f>
        <v/>
      </c>
      <c r="AC958" t="str">
        <f>IF(Y958="","",IF(Y958="[FÓRMULA MANUAL]","",IFERROR(SUMPRODUCT((nNIA=Y958)*(nCUENTA=1)*(COUNTIF(CONFIG_ASIGNATURAS!$B$7:$B$27,nASIG)&gt;0)*(nNOTA))/SUMPRODUCT((nNIA=Y958)*(nCUENTA=1)*(COUNTIF(CONFIG_ASIGNATURAS!$B$7:$B$27,nASIG)&gt;0)*1),"")))</f>
        <v/>
      </c>
      <c r="AF958" t="str">
        <f>IF(AE958="","",IF(AE958="[FÓRMULA MANUAL]","",IFERROR(AVERAGEIFS(nNOTA,nNIA,AE958,nCUENTA,1,nASIG,"Análisis"),"")))</f>
        <v/>
      </c>
      <c r="AG958" t="str">
        <f>IF(AE958="","",IF(AE958="[FÓRMULA MANUAL]","",IFERROR(AVERAGEIFS(nNOTA,nNIA,AE958,nCUENTA,1,nASIG,"Orquesta/Banda/Conjunto"),"")))</f>
        <v/>
      </c>
      <c r="AH958" t="str">
        <f>IF(AE958="","",IF(AE958="[FÓRMULA MANUAL]","",IFERROR(AVERAGEIFS(nNOTA,nNIA,AE958,nCUENTA,1,nASIG,"Música de Cámara"),"")))</f>
        <v/>
      </c>
      <c r="AI958" t="str">
        <f>IF(AE958="","",IF(AE958="[FÓRMULA MANUAL]","",IFERROR(SUMPRODUCT((nNIA=AE958)*(nCUENTA=1)*(COUNTIF(CONFIG_ASIGNATURAS!$B$7:$B$27,nASIG)&gt;0)*(nNOTA))/SUMPRODUCT((nNIA=AE958)*(nCUENTA=1)*(COUNTIF(CONFIG_ASIGNATURAS!$B$7:$B$27,nASIG)&gt;0)*1),"")))</f>
        <v/>
      </c>
    </row>
    <row r="959" spans="2:35" x14ac:dyDescent="0.2">
      <c r="B959" t="str">
        <f>IF(A959="","",IF(A959="[FÓRMULA MANUAL]","",IFERROR(AVERAGEIFS(nNOTA,nNIA,A959,nCUENTA,1,nASIG,"Lenguaje Musical"),"")))</f>
        <v/>
      </c>
      <c r="C959" t="str">
        <f>IF(A959="","",IF(A959="[FÓRMULA MANUAL]","",IFERROR(AVERAGEIFS(nNOTA,nNIA,A959,nCUENTA,1,nASIG,"Orquesta/Banda/Conjunto"),"")))</f>
        <v/>
      </c>
      <c r="D959" t="str">
        <f>IF(A959="","",IF(A959="[FÓRMULA MANUAL]","",IFERROR(AVERAGEIFS(nNOTA,nNIA,A959,nCUENTA,1,nASIG,"Conjunto"),"")))</f>
        <v/>
      </c>
      <c r="E959" t="str">
        <f>IF(A959="","",IF(A959="[FÓRMULA MANUAL]","",IFERROR(SUMPRODUCT((nNIA=A959)*(nCUENTA=1)*(COUNTIF(CONFIG_ASIGNATURAS!$B$7:$B$27,nASIG)&gt;0)*(nNOTA))/SUMPRODUCT((nNIA=A959)*(nCUENTA=1)*(COUNTIF(CONFIG_ASIGNATURAS!$B$7:$B$27,nASIG)&gt;0)*1),"")))</f>
        <v/>
      </c>
      <c r="H959" t="str">
        <f>IF(G959="","",IF(G959="[FÓRMULA MANUAL]","",IFERROR(AVERAGEIFS(nNOTA,nNIA,G959,nCUENTA,1,nASIG,"Lenguaje Musical"),"")))</f>
        <v/>
      </c>
      <c r="I959" t="str">
        <f>IF(G959="","",IF(G959="[FÓRMULA MANUAL]","",IFERROR(AVERAGEIFS(nNOTA,nNIA,G959,nCUENTA,1,nASIG,"Orquesta/Banda/Conjunto"),"")))</f>
        <v/>
      </c>
      <c r="J959" t="str">
        <f>IF(G959="","",IF(G959="[FÓRMULA MANUAL]","",IFERROR(AVERAGEIFS(nNOTA,nNIA,G959,nCUENTA,1,nASIG,"Conjunto"),"")))</f>
        <v/>
      </c>
      <c r="K959" t="str">
        <f>IF(G959="","",IF(G959="[FÓRMULA MANUAL]","",IFERROR(SUMPRODUCT((nNIA=G959)*(nCUENTA=1)*(COUNTIF(CONFIG_ASIGNATURAS!$B$7:$B$27,nASIG)&gt;0)*(nNOTA))/SUMPRODUCT((nNIA=G959)*(nCUENTA=1)*(COUNTIF(CONFIG_ASIGNATURAS!$B$7:$B$27,nASIG)&gt;0)*1),"")))</f>
        <v/>
      </c>
      <c r="N959" t="str">
        <f>IF(M959="","",IF(M959="[FÓRMULA MANUAL]","",IFERROR(AVERAGEIFS(nNOTA,nNIA,M959,nCUENTA,1,nASIG,"Armonía"),"")))</f>
        <v/>
      </c>
      <c r="O959" t="str">
        <f>IF(M959="","",IF(M959="[FÓRMULA MANUAL]","",IFERROR(AVERAGEIFS(nNOTA,nNIA,M959,nCUENTA,1,nASIG,"Orquesta/Banda/Conjunto"),"")))</f>
        <v/>
      </c>
      <c r="P959" t="str">
        <f>IF(M959="","",IF(M959="[FÓRMULA MANUAL]","",IFERROR(AVERAGEIFS(nNOTA,nNIA,M959,nCUENTA,1,nASIG,"Música de Cámara"),"")))</f>
        <v/>
      </c>
      <c r="Q959" t="str">
        <f>IF(M959="","",IF(M959="[FÓRMULA MANUAL]","",IFERROR(SUMPRODUCT((nNIA=M959)*(nCUENTA=1)*(COUNTIF(CONFIG_ASIGNATURAS!$B$7:$B$27,nASIG)&gt;0)*(nNOTA))/SUMPRODUCT((nNIA=M959)*(nCUENTA=1)*(COUNTIF(CONFIG_ASIGNATURAS!$B$7:$B$27,nASIG)&gt;0)*1),"")))</f>
        <v/>
      </c>
      <c r="T959" t="str">
        <f>IF(S959="","",IF(S959="[FÓRMULA MANUAL]","",IFERROR(AVERAGEIFS(nNOTA,nNIA,S959,nCUENTA,1,nASIG,"Armonía"),"")))</f>
        <v/>
      </c>
      <c r="U959" t="str">
        <f>IF(S959="","",IF(S959="[FÓRMULA MANUAL]","",IFERROR(AVERAGEIFS(nNOTA,nNIA,S959,nCUENTA,1,nASIG,"Orquesta/Banda/Conjunto"),"")))</f>
        <v/>
      </c>
      <c r="V959" t="str">
        <f>IF(S959="","",IF(S959="[FÓRMULA MANUAL]","",IFERROR(AVERAGEIFS(nNOTA,nNIA,S959,nCUENTA,1,nASIG,"Música de Cámara"),"")))</f>
        <v/>
      </c>
      <c r="W959" t="str">
        <f>IF(S959="","",IF(S959="[FÓRMULA MANUAL]","",IFERROR(SUMPRODUCT((nNIA=S959)*(nCUENTA=1)*(COUNTIF(CONFIG_ASIGNATURAS!$B$7:$B$27,nASIG)&gt;0)*(nNOTA))/SUMPRODUCT((nNIA=S959)*(nCUENTA=1)*(COUNTIF(CONFIG_ASIGNATURAS!$B$7:$B$27,nASIG)&gt;0)*1),"")))</f>
        <v/>
      </c>
      <c r="Z959" t="str">
        <f>IF(Y959="","",IF(Y959="[FÓRMULA MANUAL]","",IFERROR(AVERAGEIFS(nNOTA,nNIA,Y959,nCUENTA,1,nASIG,"Análisis"),"")))</f>
        <v/>
      </c>
      <c r="AA959" t="str">
        <f>IF(Y959="","",IF(Y959="[FÓRMULA MANUAL]","",IFERROR(AVERAGEIFS(nNOTA,nNIA,Y959,nCUENTA,1,nASIG,"Orquesta/Banda/Conjunto"),"")))</f>
        <v/>
      </c>
      <c r="AB959" t="str">
        <f>IF(Y959="","",IF(Y959="[FÓRMULA MANUAL]","",IFERROR(AVERAGEIFS(nNOTA,nNIA,Y959,nCUENTA,1,nASIG,"Música de Cámara"),"")))</f>
        <v/>
      </c>
      <c r="AC959" t="str">
        <f>IF(Y959="","",IF(Y959="[FÓRMULA MANUAL]","",IFERROR(SUMPRODUCT((nNIA=Y959)*(nCUENTA=1)*(COUNTIF(CONFIG_ASIGNATURAS!$B$7:$B$27,nASIG)&gt;0)*(nNOTA))/SUMPRODUCT((nNIA=Y959)*(nCUENTA=1)*(COUNTIF(CONFIG_ASIGNATURAS!$B$7:$B$27,nASIG)&gt;0)*1),"")))</f>
        <v/>
      </c>
      <c r="AF959" t="str">
        <f>IF(AE959="","",IF(AE959="[FÓRMULA MANUAL]","",IFERROR(AVERAGEIFS(nNOTA,nNIA,AE959,nCUENTA,1,nASIG,"Análisis"),"")))</f>
        <v/>
      </c>
      <c r="AG959" t="str">
        <f>IF(AE959="","",IF(AE959="[FÓRMULA MANUAL]","",IFERROR(AVERAGEIFS(nNOTA,nNIA,AE959,nCUENTA,1,nASIG,"Orquesta/Banda/Conjunto"),"")))</f>
        <v/>
      </c>
      <c r="AH959" t="str">
        <f>IF(AE959="","",IF(AE959="[FÓRMULA MANUAL]","",IFERROR(AVERAGEIFS(nNOTA,nNIA,AE959,nCUENTA,1,nASIG,"Música de Cámara"),"")))</f>
        <v/>
      </c>
      <c r="AI959" t="str">
        <f>IF(AE959="","",IF(AE959="[FÓRMULA MANUAL]","",IFERROR(SUMPRODUCT((nNIA=AE959)*(nCUENTA=1)*(COUNTIF(CONFIG_ASIGNATURAS!$B$7:$B$27,nASIG)&gt;0)*(nNOTA))/SUMPRODUCT((nNIA=AE959)*(nCUENTA=1)*(COUNTIF(CONFIG_ASIGNATURAS!$B$7:$B$27,nASIG)&gt;0)*1),"")))</f>
        <v/>
      </c>
    </row>
    <row r="960" spans="2:35" x14ac:dyDescent="0.2">
      <c r="B960" t="str">
        <f>IF(A960="","",IF(A960="[FÓRMULA MANUAL]","",IFERROR(AVERAGEIFS(nNOTA,nNIA,A960,nCUENTA,1,nASIG,"Lenguaje Musical"),"")))</f>
        <v/>
      </c>
      <c r="C960" t="str">
        <f>IF(A960="","",IF(A960="[FÓRMULA MANUAL]","",IFERROR(AVERAGEIFS(nNOTA,nNIA,A960,nCUENTA,1,nASIG,"Orquesta/Banda/Conjunto"),"")))</f>
        <v/>
      </c>
      <c r="D960" t="str">
        <f>IF(A960="","",IF(A960="[FÓRMULA MANUAL]","",IFERROR(AVERAGEIFS(nNOTA,nNIA,A960,nCUENTA,1,nASIG,"Conjunto"),"")))</f>
        <v/>
      </c>
      <c r="E960" t="str">
        <f>IF(A960="","",IF(A960="[FÓRMULA MANUAL]","",IFERROR(SUMPRODUCT((nNIA=A960)*(nCUENTA=1)*(COUNTIF(CONFIG_ASIGNATURAS!$B$7:$B$27,nASIG)&gt;0)*(nNOTA))/SUMPRODUCT((nNIA=A960)*(nCUENTA=1)*(COUNTIF(CONFIG_ASIGNATURAS!$B$7:$B$27,nASIG)&gt;0)*1),"")))</f>
        <v/>
      </c>
      <c r="H960" t="str">
        <f>IF(G960="","",IF(G960="[FÓRMULA MANUAL]","",IFERROR(AVERAGEIFS(nNOTA,nNIA,G960,nCUENTA,1,nASIG,"Lenguaje Musical"),"")))</f>
        <v/>
      </c>
      <c r="I960" t="str">
        <f>IF(G960="","",IF(G960="[FÓRMULA MANUAL]","",IFERROR(AVERAGEIFS(nNOTA,nNIA,G960,nCUENTA,1,nASIG,"Orquesta/Banda/Conjunto"),"")))</f>
        <v/>
      </c>
      <c r="J960" t="str">
        <f>IF(G960="","",IF(G960="[FÓRMULA MANUAL]","",IFERROR(AVERAGEIFS(nNOTA,nNIA,G960,nCUENTA,1,nASIG,"Conjunto"),"")))</f>
        <v/>
      </c>
      <c r="K960" t="str">
        <f>IF(G960="","",IF(G960="[FÓRMULA MANUAL]","",IFERROR(SUMPRODUCT((nNIA=G960)*(nCUENTA=1)*(COUNTIF(CONFIG_ASIGNATURAS!$B$7:$B$27,nASIG)&gt;0)*(nNOTA))/SUMPRODUCT((nNIA=G960)*(nCUENTA=1)*(COUNTIF(CONFIG_ASIGNATURAS!$B$7:$B$27,nASIG)&gt;0)*1),"")))</f>
        <v/>
      </c>
      <c r="N960" t="str">
        <f>IF(M960="","",IF(M960="[FÓRMULA MANUAL]","",IFERROR(AVERAGEIFS(nNOTA,nNIA,M960,nCUENTA,1,nASIG,"Armonía"),"")))</f>
        <v/>
      </c>
      <c r="O960" t="str">
        <f>IF(M960="","",IF(M960="[FÓRMULA MANUAL]","",IFERROR(AVERAGEIFS(nNOTA,nNIA,M960,nCUENTA,1,nASIG,"Orquesta/Banda/Conjunto"),"")))</f>
        <v/>
      </c>
      <c r="P960" t="str">
        <f>IF(M960="","",IF(M960="[FÓRMULA MANUAL]","",IFERROR(AVERAGEIFS(nNOTA,nNIA,M960,nCUENTA,1,nASIG,"Música de Cámara"),"")))</f>
        <v/>
      </c>
      <c r="Q960" t="str">
        <f>IF(M960="","",IF(M960="[FÓRMULA MANUAL]","",IFERROR(SUMPRODUCT((nNIA=M960)*(nCUENTA=1)*(COUNTIF(CONFIG_ASIGNATURAS!$B$7:$B$27,nASIG)&gt;0)*(nNOTA))/SUMPRODUCT((nNIA=M960)*(nCUENTA=1)*(COUNTIF(CONFIG_ASIGNATURAS!$B$7:$B$27,nASIG)&gt;0)*1),"")))</f>
        <v/>
      </c>
      <c r="T960" t="str">
        <f>IF(S960="","",IF(S960="[FÓRMULA MANUAL]","",IFERROR(AVERAGEIFS(nNOTA,nNIA,S960,nCUENTA,1,nASIG,"Armonía"),"")))</f>
        <v/>
      </c>
      <c r="U960" t="str">
        <f>IF(S960="","",IF(S960="[FÓRMULA MANUAL]","",IFERROR(AVERAGEIFS(nNOTA,nNIA,S960,nCUENTA,1,nASIG,"Orquesta/Banda/Conjunto"),"")))</f>
        <v/>
      </c>
      <c r="V960" t="str">
        <f>IF(S960="","",IF(S960="[FÓRMULA MANUAL]","",IFERROR(AVERAGEIFS(nNOTA,nNIA,S960,nCUENTA,1,nASIG,"Música de Cámara"),"")))</f>
        <v/>
      </c>
      <c r="W960" t="str">
        <f>IF(S960="","",IF(S960="[FÓRMULA MANUAL]","",IFERROR(SUMPRODUCT((nNIA=S960)*(nCUENTA=1)*(COUNTIF(CONFIG_ASIGNATURAS!$B$7:$B$27,nASIG)&gt;0)*(nNOTA))/SUMPRODUCT((nNIA=S960)*(nCUENTA=1)*(COUNTIF(CONFIG_ASIGNATURAS!$B$7:$B$27,nASIG)&gt;0)*1),"")))</f>
        <v/>
      </c>
      <c r="Z960" t="str">
        <f>IF(Y960="","",IF(Y960="[FÓRMULA MANUAL]","",IFERROR(AVERAGEIFS(nNOTA,nNIA,Y960,nCUENTA,1,nASIG,"Análisis"),"")))</f>
        <v/>
      </c>
      <c r="AA960" t="str">
        <f>IF(Y960="","",IF(Y960="[FÓRMULA MANUAL]","",IFERROR(AVERAGEIFS(nNOTA,nNIA,Y960,nCUENTA,1,nASIG,"Orquesta/Banda/Conjunto"),"")))</f>
        <v/>
      </c>
      <c r="AB960" t="str">
        <f>IF(Y960="","",IF(Y960="[FÓRMULA MANUAL]","",IFERROR(AVERAGEIFS(nNOTA,nNIA,Y960,nCUENTA,1,nASIG,"Música de Cámara"),"")))</f>
        <v/>
      </c>
      <c r="AC960" t="str">
        <f>IF(Y960="","",IF(Y960="[FÓRMULA MANUAL]","",IFERROR(SUMPRODUCT((nNIA=Y960)*(nCUENTA=1)*(COUNTIF(CONFIG_ASIGNATURAS!$B$7:$B$27,nASIG)&gt;0)*(nNOTA))/SUMPRODUCT((nNIA=Y960)*(nCUENTA=1)*(COUNTIF(CONFIG_ASIGNATURAS!$B$7:$B$27,nASIG)&gt;0)*1),"")))</f>
        <v/>
      </c>
      <c r="AF960" t="str">
        <f>IF(AE960="","",IF(AE960="[FÓRMULA MANUAL]","",IFERROR(AVERAGEIFS(nNOTA,nNIA,AE960,nCUENTA,1,nASIG,"Análisis"),"")))</f>
        <v/>
      </c>
      <c r="AG960" t="str">
        <f>IF(AE960="","",IF(AE960="[FÓRMULA MANUAL]","",IFERROR(AVERAGEIFS(nNOTA,nNIA,AE960,nCUENTA,1,nASIG,"Orquesta/Banda/Conjunto"),"")))</f>
        <v/>
      </c>
      <c r="AH960" t="str">
        <f>IF(AE960="","",IF(AE960="[FÓRMULA MANUAL]","",IFERROR(AVERAGEIFS(nNOTA,nNIA,AE960,nCUENTA,1,nASIG,"Música de Cámara"),"")))</f>
        <v/>
      </c>
      <c r="AI960" t="str">
        <f>IF(AE960="","",IF(AE960="[FÓRMULA MANUAL]","",IFERROR(SUMPRODUCT((nNIA=AE960)*(nCUENTA=1)*(COUNTIF(CONFIG_ASIGNATURAS!$B$7:$B$27,nASIG)&gt;0)*(nNOTA))/SUMPRODUCT((nNIA=AE960)*(nCUENTA=1)*(COUNTIF(CONFIG_ASIGNATURAS!$B$7:$B$27,nASIG)&gt;0)*1),"")))</f>
        <v/>
      </c>
    </row>
    <row r="961" spans="2:35" x14ac:dyDescent="0.2">
      <c r="B961" t="str">
        <f>IF(A961="","",IF(A961="[FÓRMULA MANUAL]","",IFERROR(AVERAGEIFS(nNOTA,nNIA,A961,nCUENTA,1,nASIG,"Lenguaje Musical"),"")))</f>
        <v/>
      </c>
      <c r="C961" t="str">
        <f>IF(A961="","",IF(A961="[FÓRMULA MANUAL]","",IFERROR(AVERAGEIFS(nNOTA,nNIA,A961,nCUENTA,1,nASIG,"Orquesta/Banda/Conjunto"),"")))</f>
        <v/>
      </c>
      <c r="D961" t="str">
        <f>IF(A961="","",IF(A961="[FÓRMULA MANUAL]","",IFERROR(AVERAGEIFS(nNOTA,nNIA,A961,nCUENTA,1,nASIG,"Conjunto"),"")))</f>
        <v/>
      </c>
      <c r="E961" t="str">
        <f>IF(A961="","",IF(A961="[FÓRMULA MANUAL]","",IFERROR(SUMPRODUCT((nNIA=A961)*(nCUENTA=1)*(COUNTIF(CONFIG_ASIGNATURAS!$B$7:$B$27,nASIG)&gt;0)*(nNOTA))/SUMPRODUCT((nNIA=A961)*(nCUENTA=1)*(COUNTIF(CONFIG_ASIGNATURAS!$B$7:$B$27,nASIG)&gt;0)*1),"")))</f>
        <v/>
      </c>
      <c r="H961" t="str">
        <f>IF(G961="","",IF(G961="[FÓRMULA MANUAL]","",IFERROR(AVERAGEIFS(nNOTA,nNIA,G961,nCUENTA,1,nASIG,"Lenguaje Musical"),"")))</f>
        <v/>
      </c>
      <c r="I961" t="str">
        <f>IF(G961="","",IF(G961="[FÓRMULA MANUAL]","",IFERROR(AVERAGEIFS(nNOTA,nNIA,G961,nCUENTA,1,nASIG,"Orquesta/Banda/Conjunto"),"")))</f>
        <v/>
      </c>
      <c r="J961" t="str">
        <f>IF(G961="","",IF(G961="[FÓRMULA MANUAL]","",IFERROR(AVERAGEIFS(nNOTA,nNIA,G961,nCUENTA,1,nASIG,"Conjunto"),"")))</f>
        <v/>
      </c>
      <c r="K961" t="str">
        <f>IF(G961="","",IF(G961="[FÓRMULA MANUAL]","",IFERROR(SUMPRODUCT((nNIA=G961)*(nCUENTA=1)*(COUNTIF(CONFIG_ASIGNATURAS!$B$7:$B$27,nASIG)&gt;0)*(nNOTA))/SUMPRODUCT((nNIA=G961)*(nCUENTA=1)*(COUNTIF(CONFIG_ASIGNATURAS!$B$7:$B$27,nASIG)&gt;0)*1),"")))</f>
        <v/>
      </c>
      <c r="N961" t="str">
        <f>IF(M961="","",IF(M961="[FÓRMULA MANUAL]","",IFERROR(AVERAGEIFS(nNOTA,nNIA,M961,nCUENTA,1,nASIG,"Armonía"),"")))</f>
        <v/>
      </c>
      <c r="O961" t="str">
        <f>IF(M961="","",IF(M961="[FÓRMULA MANUAL]","",IFERROR(AVERAGEIFS(nNOTA,nNIA,M961,nCUENTA,1,nASIG,"Orquesta/Banda/Conjunto"),"")))</f>
        <v/>
      </c>
      <c r="P961" t="str">
        <f>IF(M961="","",IF(M961="[FÓRMULA MANUAL]","",IFERROR(AVERAGEIFS(nNOTA,nNIA,M961,nCUENTA,1,nASIG,"Música de Cámara"),"")))</f>
        <v/>
      </c>
      <c r="Q961" t="str">
        <f>IF(M961="","",IF(M961="[FÓRMULA MANUAL]","",IFERROR(SUMPRODUCT((nNIA=M961)*(nCUENTA=1)*(COUNTIF(CONFIG_ASIGNATURAS!$B$7:$B$27,nASIG)&gt;0)*(nNOTA))/SUMPRODUCT((nNIA=M961)*(nCUENTA=1)*(COUNTIF(CONFIG_ASIGNATURAS!$B$7:$B$27,nASIG)&gt;0)*1),"")))</f>
        <v/>
      </c>
      <c r="T961" t="str">
        <f>IF(S961="","",IF(S961="[FÓRMULA MANUAL]","",IFERROR(AVERAGEIFS(nNOTA,nNIA,S961,nCUENTA,1,nASIG,"Armonía"),"")))</f>
        <v/>
      </c>
      <c r="U961" t="str">
        <f>IF(S961="","",IF(S961="[FÓRMULA MANUAL]","",IFERROR(AVERAGEIFS(nNOTA,nNIA,S961,nCUENTA,1,nASIG,"Orquesta/Banda/Conjunto"),"")))</f>
        <v/>
      </c>
      <c r="V961" t="str">
        <f>IF(S961="","",IF(S961="[FÓRMULA MANUAL]","",IFERROR(AVERAGEIFS(nNOTA,nNIA,S961,nCUENTA,1,nASIG,"Música de Cámara"),"")))</f>
        <v/>
      </c>
      <c r="W961" t="str">
        <f>IF(S961="","",IF(S961="[FÓRMULA MANUAL]","",IFERROR(SUMPRODUCT((nNIA=S961)*(nCUENTA=1)*(COUNTIF(CONFIG_ASIGNATURAS!$B$7:$B$27,nASIG)&gt;0)*(nNOTA))/SUMPRODUCT((nNIA=S961)*(nCUENTA=1)*(COUNTIF(CONFIG_ASIGNATURAS!$B$7:$B$27,nASIG)&gt;0)*1),"")))</f>
        <v/>
      </c>
      <c r="Z961" t="str">
        <f>IF(Y961="","",IF(Y961="[FÓRMULA MANUAL]","",IFERROR(AVERAGEIFS(nNOTA,nNIA,Y961,nCUENTA,1,nASIG,"Análisis"),"")))</f>
        <v/>
      </c>
      <c r="AA961" t="str">
        <f>IF(Y961="","",IF(Y961="[FÓRMULA MANUAL]","",IFERROR(AVERAGEIFS(nNOTA,nNIA,Y961,nCUENTA,1,nASIG,"Orquesta/Banda/Conjunto"),"")))</f>
        <v/>
      </c>
      <c r="AB961" t="str">
        <f>IF(Y961="","",IF(Y961="[FÓRMULA MANUAL]","",IFERROR(AVERAGEIFS(nNOTA,nNIA,Y961,nCUENTA,1,nASIG,"Música de Cámara"),"")))</f>
        <v/>
      </c>
      <c r="AC961" t="str">
        <f>IF(Y961="","",IF(Y961="[FÓRMULA MANUAL]","",IFERROR(SUMPRODUCT((nNIA=Y961)*(nCUENTA=1)*(COUNTIF(CONFIG_ASIGNATURAS!$B$7:$B$27,nASIG)&gt;0)*(nNOTA))/SUMPRODUCT((nNIA=Y961)*(nCUENTA=1)*(COUNTIF(CONFIG_ASIGNATURAS!$B$7:$B$27,nASIG)&gt;0)*1),"")))</f>
        <v/>
      </c>
      <c r="AF961" t="str">
        <f>IF(AE961="","",IF(AE961="[FÓRMULA MANUAL]","",IFERROR(AVERAGEIFS(nNOTA,nNIA,AE961,nCUENTA,1,nASIG,"Análisis"),"")))</f>
        <v/>
      </c>
      <c r="AG961" t="str">
        <f>IF(AE961="","",IF(AE961="[FÓRMULA MANUAL]","",IFERROR(AVERAGEIFS(nNOTA,nNIA,AE961,nCUENTA,1,nASIG,"Orquesta/Banda/Conjunto"),"")))</f>
        <v/>
      </c>
      <c r="AH961" t="str">
        <f>IF(AE961="","",IF(AE961="[FÓRMULA MANUAL]","",IFERROR(AVERAGEIFS(nNOTA,nNIA,AE961,nCUENTA,1,nASIG,"Música de Cámara"),"")))</f>
        <v/>
      </c>
      <c r="AI961" t="str">
        <f>IF(AE961="","",IF(AE961="[FÓRMULA MANUAL]","",IFERROR(SUMPRODUCT((nNIA=AE961)*(nCUENTA=1)*(COUNTIF(CONFIG_ASIGNATURAS!$B$7:$B$27,nASIG)&gt;0)*(nNOTA))/SUMPRODUCT((nNIA=AE961)*(nCUENTA=1)*(COUNTIF(CONFIG_ASIGNATURAS!$B$7:$B$27,nASIG)&gt;0)*1),"")))</f>
        <v/>
      </c>
    </row>
    <row r="962" spans="2:35" x14ac:dyDescent="0.2">
      <c r="B962" t="str">
        <f>IF(A962="","",IF(A962="[FÓRMULA MANUAL]","",IFERROR(AVERAGEIFS(nNOTA,nNIA,A962,nCUENTA,1,nASIG,"Lenguaje Musical"),"")))</f>
        <v/>
      </c>
      <c r="C962" t="str">
        <f>IF(A962="","",IF(A962="[FÓRMULA MANUAL]","",IFERROR(AVERAGEIFS(nNOTA,nNIA,A962,nCUENTA,1,nASIG,"Orquesta/Banda/Conjunto"),"")))</f>
        <v/>
      </c>
      <c r="D962" t="str">
        <f>IF(A962="","",IF(A962="[FÓRMULA MANUAL]","",IFERROR(AVERAGEIFS(nNOTA,nNIA,A962,nCUENTA,1,nASIG,"Conjunto"),"")))</f>
        <v/>
      </c>
      <c r="E962" t="str">
        <f>IF(A962="","",IF(A962="[FÓRMULA MANUAL]","",IFERROR(SUMPRODUCT((nNIA=A962)*(nCUENTA=1)*(COUNTIF(CONFIG_ASIGNATURAS!$B$7:$B$27,nASIG)&gt;0)*(nNOTA))/SUMPRODUCT((nNIA=A962)*(nCUENTA=1)*(COUNTIF(CONFIG_ASIGNATURAS!$B$7:$B$27,nASIG)&gt;0)*1),"")))</f>
        <v/>
      </c>
      <c r="H962" t="str">
        <f>IF(G962="","",IF(G962="[FÓRMULA MANUAL]","",IFERROR(AVERAGEIFS(nNOTA,nNIA,G962,nCUENTA,1,nASIG,"Lenguaje Musical"),"")))</f>
        <v/>
      </c>
      <c r="I962" t="str">
        <f>IF(G962="","",IF(G962="[FÓRMULA MANUAL]","",IFERROR(AVERAGEIFS(nNOTA,nNIA,G962,nCUENTA,1,nASIG,"Orquesta/Banda/Conjunto"),"")))</f>
        <v/>
      </c>
      <c r="J962" t="str">
        <f>IF(G962="","",IF(G962="[FÓRMULA MANUAL]","",IFERROR(AVERAGEIFS(nNOTA,nNIA,G962,nCUENTA,1,nASIG,"Conjunto"),"")))</f>
        <v/>
      </c>
      <c r="K962" t="str">
        <f>IF(G962="","",IF(G962="[FÓRMULA MANUAL]","",IFERROR(SUMPRODUCT((nNIA=G962)*(nCUENTA=1)*(COUNTIF(CONFIG_ASIGNATURAS!$B$7:$B$27,nASIG)&gt;0)*(nNOTA))/SUMPRODUCT((nNIA=G962)*(nCUENTA=1)*(COUNTIF(CONFIG_ASIGNATURAS!$B$7:$B$27,nASIG)&gt;0)*1),"")))</f>
        <v/>
      </c>
      <c r="N962" t="str">
        <f>IF(M962="","",IF(M962="[FÓRMULA MANUAL]","",IFERROR(AVERAGEIFS(nNOTA,nNIA,M962,nCUENTA,1,nASIG,"Armonía"),"")))</f>
        <v/>
      </c>
      <c r="O962" t="str">
        <f>IF(M962="","",IF(M962="[FÓRMULA MANUAL]","",IFERROR(AVERAGEIFS(nNOTA,nNIA,M962,nCUENTA,1,nASIG,"Orquesta/Banda/Conjunto"),"")))</f>
        <v/>
      </c>
      <c r="P962" t="str">
        <f>IF(M962="","",IF(M962="[FÓRMULA MANUAL]","",IFERROR(AVERAGEIFS(nNOTA,nNIA,M962,nCUENTA,1,nASIG,"Música de Cámara"),"")))</f>
        <v/>
      </c>
      <c r="Q962" t="str">
        <f>IF(M962="","",IF(M962="[FÓRMULA MANUAL]","",IFERROR(SUMPRODUCT((nNIA=M962)*(nCUENTA=1)*(COUNTIF(CONFIG_ASIGNATURAS!$B$7:$B$27,nASIG)&gt;0)*(nNOTA))/SUMPRODUCT((nNIA=M962)*(nCUENTA=1)*(COUNTIF(CONFIG_ASIGNATURAS!$B$7:$B$27,nASIG)&gt;0)*1),"")))</f>
        <v/>
      </c>
      <c r="T962" t="str">
        <f>IF(S962="","",IF(S962="[FÓRMULA MANUAL]","",IFERROR(AVERAGEIFS(nNOTA,nNIA,S962,nCUENTA,1,nASIG,"Armonía"),"")))</f>
        <v/>
      </c>
      <c r="U962" t="str">
        <f>IF(S962="","",IF(S962="[FÓRMULA MANUAL]","",IFERROR(AVERAGEIFS(nNOTA,nNIA,S962,nCUENTA,1,nASIG,"Orquesta/Banda/Conjunto"),"")))</f>
        <v/>
      </c>
      <c r="V962" t="str">
        <f>IF(S962="","",IF(S962="[FÓRMULA MANUAL]","",IFERROR(AVERAGEIFS(nNOTA,nNIA,S962,nCUENTA,1,nASIG,"Música de Cámara"),"")))</f>
        <v/>
      </c>
      <c r="W962" t="str">
        <f>IF(S962="","",IF(S962="[FÓRMULA MANUAL]","",IFERROR(SUMPRODUCT((nNIA=S962)*(nCUENTA=1)*(COUNTIF(CONFIG_ASIGNATURAS!$B$7:$B$27,nASIG)&gt;0)*(nNOTA))/SUMPRODUCT((nNIA=S962)*(nCUENTA=1)*(COUNTIF(CONFIG_ASIGNATURAS!$B$7:$B$27,nASIG)&gt;0)*1),"")))</f>
        <v/>
      </c>
      <c r="Z962" t="str">
        <f>IF(Y962="","",IF(Y962="[FÓRMULA MANUAL]","",IFERROR(AVERAGEIFS(nNOTA,nNIA,Y962,nCUENTA,1,nASIG,"Análisis"),"")))</f>
        <v/>
      </c>
      <c r="AA962" t="str">
        <f>IF(Y962="","",IF(Y962="[FÓRMULA MANUAL]","",IFERROR(AVERAGEIFS(nNOTA,nNIA,Y962,nCUENTA,1,nASIG,"Orquesta/Banda/Conjunto"),"")))</f>
        <v/>
      </c>
      <c r="AB962" t="str">
        <f>IF(Y962="","",IF(Y962="[FÓRMULA MANUAL]","",IFERROR(AVERAGEIFS(nNOTA,nNIA,Y962,nCUENTA,1,nASIG,"Música de Cámara"),"")))</f>
        <v/>
      </c>
      <c r="AC962" t="str">
        <f>IF(Y962="","",IF(Y962="[FÓRMULA MANUAL]","",IFERROR(SUMPRODUCT((nNIA=Y962)*(nCUENTA=1)*(COUNTIF(CONFIG_ASIGNATURAS!$B$7:$B$27,nASIG)&gt;0)*(nNOTA))/SUMPRODUCT((nNIA=Y962)*(nCUENTA=1)*(COUNTIF(CONFIG_ASIGNATURAS!$B$7:$B$27,nASIG)&gt;0)*1),"")))</f>
        <v/>
      </c>
      <c r="AF962" t="str">
        <f>IF(AE962="","",IF(AE962="[FÓRMULA MANUAL]","",IFERROR(AVERAGEIFS(nNOTA,nNIA,AE962,nCUENTA,1,nASIG,"Análisis"),"")))</f>
        <v/>
      </c>
      <c r="AG962" t="str">
        <f>IF(AE962="","",IF(AE962="[FÓRMULA MANUAL]","",IFERROR(AVERAGEIFS(nNOTA,nNIA,AE962,nCUENTA,1,nASIG,"Orquesta/Banda/Conjunto"),"")))</f>
        <v/>
      </c>
      <c r="AH962" t="str">
        <f>IF(AE962="","",IF(AE962="[FÓRMULA MANUAL]","",IFERROR(AVERAGEIFS(nNOTA,nNIA,AE962,nCUENTA,1,nASIG,"Música de Cámara"),"")))</f>
        <v/>
      </c>
      <c r="AI962" t="str">
        <f>IF(AE962="","",IF(AE962="[FÓRMULA MANUAL]","",IFERROR(SUMPRODUCT((nNIA=AE962)*(nCUENTA=1)*(COUNTIF(CONFIG_ASIGNATURAS!$B$7:$B$27,nASIG)&gt;0)*(nNOTA))/SUMPRODUCT((nNIA=AE962)*(nCUENTA=1)*(COUNTIF(CONFIG_ASIGNATURAS!$B$7:$B$27,nASIG)&gt;0)*1),"")))</f>
        <v/>
      </c>
    </row>
    <row r="963" spans="2:35" x14ac:dyDescent="0.2">
      <c r="B963" t="str">
        <f>IF(A963="","",IF(A963="[FÓRMULA MANUAL]","",IFERROR(AVERAGEIFS(nNOTA,nNIA,A963,nCUENTA,1,nASIG,"Lenguaje Musical"),"")))</f>
        <v/>
      </c>
      <c r="C963" t="str">
        <f>IF(A963="","",IF(A963="[FÓRMULA MANUAL]","",IFERROR(AVERAGEIFS(nNOTA,nNIA,A963,nCUENTA,1,nASIG,"Orquesta/Banda/Conjunto"),"")))</f>
        <v/>
      </c>
      <c r="D963" t="str">
        <f>IF(A963="","",IF(A963="[FÓRMULA MANUAL]","",IFERROR(AVERAGEIFS(nNOTA,nNIA,A963,nCUENTA,1,nASIG,"Conjunto"),"")))</f>
        <v/>
      </c>
      <c r="E963" t="str">
        <f>IF(A963="","",IF(A963="[FÓRMULA MANUAL]","",IFERROR(SUMPRODUCT((nNIA=A963)*(nCUENTA=1)*(COUNTIF(CONFIG_ASIGNATURAS!$B$7:$B$27,nASIG)&gt;0)*(nNOTA))/SUMPRODUCT((nNIA=A963)*(nCUENTA=1)*(COUNTIF(CONFIG_ASIGNATURAS!$B$7:$B$27,nASIG)&gt;0)*1),"")))</f>
        <v/>
      </c>
      <c r="H963" t="str">
        <f>IF(G963="","",IF(G963="[FÓRMULA MANUAL]","",IFERROR(AVERAGEIFS(nNOTA,nNIA,G963,nCUENTA,1,nASIG,"Lenguaje Musical"),"")))</f>
        <v/>
      </c>
      <c r="I963" t="str">
        <f>IF(G963="","",IF(G963="[FÓRMULA MANUAL]","",IFERROR(AVERAGEIFS(nNOTA,nNIA,G963,nCUENTA,1,nASIG,"Orquesta/Banda/Conjunto"),"")))</f>
        <v/>
      </c>
      <c r="J963" t="str">
        <f>IF(G963="","",IF(G963="[FÓRMULA MANUAL]","",IFERROR(AVERAGEIFS(nNOTA,nNIA,G963,nCUENTA,1,nASIG,"Conjunto"),"")))</f>
        <v/>
      </c>
      <c r="K963" t="str">
        <f>IF(G963="","",IF(G963="[FÓRMULA MANUAL]","",IFERROR(SUMPRODUCT((nNIA=G963)*(nCUENTA=1)*(COUNTIF(CONFIG_ASIGNATURAS!$B$7:$B$27,nASIG)&gt;0)*(nNOTA))/SUMPRODUCT((nNIA=G963)*(nCUENTA=1)*(COUNTIF(CONFIG_ASIGNATURAS!$B$7:$B$27,nASIG)&gt;0)*1),"")))</f>
        <v/>
      </c>
      <c r="N963" t="str">
        <f>IF(M963="","",IF(M963="[FÓRMULA MANUAL]","",IFERROR(AVERAGEIFS(nNOTA,nNIA,M963,nCUENTA,1,nASIG,"Armonía"),"")))</f>
        <v/>
      </c>
      <c r="O963" t="str">
        <f>IF(M963="","",IF(M963="[FÓRMULA MANUAL]","",IFERROR(AVERAGEIFS(nNOTA,nNIA,M963,nCUENTA,1,nASIG,"Orquesta/Banda/Conjunto"),"")))</f>
        <v/>
      </c>
      <c r="P963" t="str">
        <f>IF(M963="","",IF(M963="[FÓRMULA MANUAL]","",IFERROR(AVERAGEIFS(nNOTA,nNIA,M963,nCUENTA,1,nASIG,"Música de Cámara"),"")))</f>
        <v/>
      </c>
      <c r="Q963" t="str">
        <f>IF(M963="","",IF(M963="[FÓRMULA MANUAL]","",IFERROR(SUMPRODUCT((nNIA=M963)*(nCUENTA=1)*(COUNTIF(CONFIG_ASIGNATURAS!$B$7:$B$27,nASIG)&gt;0)*(nNOTA))/SUMPRODUCT((nNIA=M963)*(nCUENTA=1)*(COUNTIF(CONFIG_ASIGNATURAS!$B$7:$B$27,nASIG)&gt;0)*1),"")))</f>
        <v/>
      </c>
      <c r="T963" t="str">
        <f>IF(S963="","",IF(S963="[FÓRMULA MANUAL]","",IFERROR(AVERAGEIFS(nNOTA,nNIA,S963,nCUENTA,1,nASIG,"Armonía"),"")))</f>
        <v/>
      </c>
      <c r="U963" t="str">
        <f>IF(S963="","",IF(S963="[FÓRMULA MANUAL]","",IFERROR(AVERAGEIFS(nNOTA,nNIA,S963,nCUENTA,1,nASIG,"Orquesta/Banda/Conjunto"),"")))</f>
        <v/>
      </c>
      <c r="V963" t="str">
        <f>IF(S963="","",IF(S963="[FÓRMULA MANUAL]","",IFERROR(AVERAGEIFS(nNOTA,nNIA,S963,nCUENTA,1,nASIG,"Música de Cámara"),"")))</f>
        <v/>
      </c>
      <c r="W963" t="str">
        <f>IF(S963="","",IF(S963="[FÓRMULA MANUAL]","",IFERROR(SUMPRODUCT((nNIA=S963)*(nCUENTA=1)*(COUNTIF(CONFIG_ASIGNATURAS!$B$7:$B$27,nASIG)&gt;0)*(nNOTA))/SUMPRODUCT((nNIA=S963)*(nCUENTA=1)*(COUNTIF(CONFIG_ASIGNATURAS!$B$7:$B$27,nASIG)&gt;0)*1),"")))</f>
        <v/>
      </c>
      <c r="Z963" t="str">
        <f>IF(Y963="","",IF(Y963="[FÓRMULA MANUAL]","",IFERROR(AVERAGEIFS(nNOTA,nNIA,Y963,nCUENTA,1,nASIG,"Análisis"),"")))</f>
        <v/>
      </c>
      <c r="AA963" t="str">
        <f>IF(Y963="","",IF(Y963="[FÓRMULA MANUAL]","",IFERROR(AVERAGEIFS(nNOTA,nNIA,Y963,nCUENTA,1,nASIG,"Orquesta/Banda/Conjunto"),"")))</f>
        <v/>
      </c>
      <c r="AB963" t="str">
        <f>IF(Y963="","",IF(Y963="[FÓRMULA MANUAL]","",IFERROR(AVERAGEIFS(nNOTA,nNIA,Y963,nCUENTA,1,nASIG,"Música de Cámara"),"")))</f>
        <v/>
      </c>
      <c r="AC963" t="str">
        <f>IF(Y963="","",IF(Y963="[FÓRMULA MANUAL]","",IFERROR(SUMPRODUCT((nNIA=Y963)*(nCUENTA=1)*(COUNTIF(CONFIG_ASIGNATURAS!$B$7:$B$27,nASIG)&gt;0)*(nNOTA))/SUMPRODUCT((nNIA=Y963)*(nCUENTA=1)*(COUNTIF(CONFIG_ASIGNATURAS!$B$7:$B$27,nASIG)&gt;0)*1),"")))</f>
        <v/>
      </c>
      <c r="AF963" t="str">
        <f>IF(AE963="","",IF(AE963="[FÓRMULA MANUAL]","",IFERROR(AVERAGEIFS(nNOTA,nNIA,AE963,nCUENTA,1,nASIG,"Análisis"),"")))</f>
        <v/>
      </c>
      <c r="AG963" t="str">
        <f>IF(AE963="","",IF(AE963="[FÓRMULA MANUAL]","",IFERROR(AVERAGEIFS(nNOTA,nNIA,AE963,nCUENTA,1,nASIG,"Orquesta/Banda/Conjunto"),"")))</f>
        <v/>
      </c>
      <c r="AH963" t="str">
        <f>IF(AE963="","",IF(AE963="[FÓRMULA MANUAL]","",IFERROR(AVERAGEIFS(nNOTA,nNIA,AE963,nCUENTA,1,nASIG,"Música de Cámara"),"")))</f>
        <v/>
      </c>
      <c r="AI963" t="str">
        <f>IF(AE963="","",IF(AE963="[FÓRMULA MANUAL]","",IFERROR(SUMPRODUCT((nNIA=AE963)*(nCUENTA=1)*(COUNTIF(CONFIG_ASIGNATURAS!$B$7:$B$27,nASIG)&gt;0)*(nNOTA))/SUMPRODUCT((nNIA=AE963)*(nCUENTA=1)*(COUNTIF(CONFIG_ASIGNATURAS!$B$7:$B$27,nASIG)&gt;0)*1),"")))</f>
        <v/>
      </c>
    </row>
    <row r="964" spans="2:35" x14ac:dyDescent="0.2">
      <c r="B964" t="str">
        <f>IF(A964="","",IF(A964="[FÓRMULA MANUAL]","",IFERROR(AVERAGEIFS(nNOTA,nNIA,A964,nCUENTA,1,nASIG,"Lenguaje Musical"),"")))</f>
        <v/>
      </c>
      <c r="C964" t="str">
        <f>IF(A964="","",IF(A964="[FÓRMULA MANUAL]","",IFERROR(AVERAGEIFS(nNOTA,nNIA,A964,nCUENTA,1,nASIG,"Orquesta/Banda/Conjunto"),"")))</f>
        <v/>
      </c>
      <c r="D964" t="str">
        <f>IF(A964="","",IF(A964="[FÓRMULA MANUAL]","",IFERROR(AVERAGEIFS(nNOTA,nNIA,A964,nCUENTA,1,nASIG,"Conjunto"),"")))</f>
        <v/>
      </c>
      <c r="E964" t="str">
        <f>IF(A964="","",IF(A964="[FÓRMULA MANUAL]","",IFERROR(SUMPRODUCT((nNIA=A964)*(nCUENTA=1)*(COUNTIF(CONFIG_ASIGNATURAS!$B$7:$B$27,nASIG)&gt;0)*(nNOTA))/SUMPRODUCT((nNIA=A964)*(nCUENTA=1)*(COUNTIF(CONFIG_ASIGNATURAS!$B$7:$B$27,nASIG)&gt;0)*1),"")))</f>
        <v/>
      </c>
      <c r="H964" t="str">
        <f>IF(G964="","",IF(G964="[FÓRMULA MANUAL]","",IFERROR(AVERAGEIFS(nNOTA,nNIA,G964,nCUENTA,1,nASIG,"Lenguaje Musical"),"")))</f>
        <v/>
      </c>
      <c r="I964" t="str">
        <f>IF(G964="","",IF(G964="[FÓRMULA MANUAL]","",IFERROR(AVERAGEIFS(nNOTA,nNIA,G964,nCUENTA,1,nASIG,"Orquesta/Banda/Conjunto"),"")))</f>
        <v/>
      </c>
      <c r="J964" t="str">
        <f>IF(G964="","",IF(G964="[FÓRMULA MANUAL]","",IFERROR(AVERAGEIFS(nNOTA,nNIA,G964,nCUENTA,1,nASIG,"Conjunto"),"")))</f>
        <v/>
      </c>
      <c r="K964" t="str">
        <f>IF(G964="","",IF(G964="[FÓRMULA MANUAL]","",IFERROR(SUMPRODUCT((nNIA=G964)*(nCUENTA=1)*(COUNTIF(CONFIG_ASIGNATURAS!$B$7:$B$27,nASIG)&gt;0)*(nNOTA))/SUMPRODUCT((nNIA=G964)*(nCUENTA=1)*(COUNTIF(CONFIG_ASIGNATURAS!$B$7:$B$27,nASIG)&gt;0)*1),"")))</f>
        <v/>
      </c>
      <c r="N964" t="str">
        <f>IF(M964="","",IF(M964="[FÓRMULA MANUAL]","",IFERROR(AVERAGEIFS(nNOTA,nNIA,M964,nCUENTA,1,nASIG,"Armonía"),"")))</f>
        <v/>
      </c>
      <c r="O964" t="str">
        <f>IF(M964="","",IF(M964="[FÓRMULA MANUAL]","",IFERROR(AVERAGEIFS(nNOTA,nNIA,M964,nCUENTA,1,nASIG,"Orquesta/Banda/Conjunto"),"")))</f>
        <v/>
      </c>
      <c r="P964" t="str">
        <f>IF(M964="","",IF(M964="[FÓRMULA MANUAL]","",IFERROR(AVERAGEIFS(nNOTA,nNIA,M964,nCUENTA,1,nASIG,"Música de Cámara"),"")))</f>
        <v/>
      </c>
      <c r="Q964" t="str">
        <f>IF(M964="","",IF(M964="[FÓRMULA MANUAL]","",IFERROR(SUMPRODUCT((nNIA=M964)*(nCUENTA=1)*(COUNTIF(CONFIG_ASIGNATURAS!$B$7:$B$27,nASIG)&gt;0)*(nNOTA))/SUMPRODUCT((nNIA=M964)*(nCUENTA=1)*(COUNTIF(CONFIG_ASIGNATURAS!$B$7:$B$27,nASIG)&gt;0)*1),"")))</f>
        <v/>
      </c>
      <c r="T964" t="str">
        <f>IF(S964="","",IF(S964="[FÓRMULA MANUAL]","",IFERROR(AVERAGEIFS(nNOTA,nNIA,S964,nCUENTA,1,nASIG,"Armonía"),"")))</f>
        <v/>
      </c>
      <c r="U964" t="str">
        <f>IF(S964="","",IF(S964="[FÓRMULA MANUAL]","",IFERROR(AVERAGEIFS(nNOTA,nNIA,S964,nCUENTA,1,nASIG,"Orquesta/Banda/Conjunto"),"")))</f>
        <v/>
      </c>
      <c r="V964" t="str">
        <f>IF(S964="","",IF(S964="[FÓRMULA MANUAL]","",IFERROR(AVERAGEIFS(nNOTA,nNIA,S964,nCUENTA,1,nASIG,"Música de Cámara"),"")))</f>
        <v/>
      </c>
      <c r="W964" t="str">
        <f>IF(S964="","",IF(S964="[FÓRMULA MANUAL]","",IFERROR(SUMPRODUCT((nNIA=S964)*(nCUENTA=1)*(COUNTIF(CONFIG_ASIGNATURAS!$B$7:$B$27,nASIG)&gt;0)*(nNOTA))/SUMPRODUCT((nNIA=S964)*(nCUENTA=1)*(COUNTIF(CONFIG_ASIGNATURAS!$B$7:$B$27,nASIG)&gt;0)*1),"")))</f>
        <v/>
      </c>
      <c r="Z964" t="str">
        <f>IF(Y964="","",IF(Y964="[FÓRMULA MANUAL]","",IFERROR(AVERAGEIFS(nNOTA,nNIA,Y964,nCUENTA,1,nASIG,"Análisis"),"")))</f>
        <v/>
      </c>
      <c r="AA964" t="str">
        <f>IF(Y964="","",IF(Y964="[FÓRMULA MANUAL]","",IFERROR(AVERAGEIFS(nNOTA,nNIA,Y964,nCUENTA,1,nASIG,"Orquesta/Banda/Conjunto"),"")))</f>
        <v/>
      </c>
      <c r="AB964" t="str">
        <f>IF(Y964="","",IF(Y964="[FÓRMULA MANUAL]","",IFERROR(AVERAGEIFS(nNOTA,nNIA,Y964,nCUENTA,1,nASIG,"Música de Cámara"),"")))</f>
        <v/>
      </c>
      <c r="AC964" t="str">
        <f>IF(Y964="","",IF(Y964="[FÓRMULA MANUAL]","",IFERROR(SUMPRODUCT((nNIA=Y964)*(nCUENTA=1)*(COUNTIF(CONFIG_ASIGNATURAS!$B$7:$B$27,nASIG)&gt;0)*(nNOTA))/SUMPRODUCT((nNIA=Y964)*(nCUENTA=1)*(COUNTIF(CONFIG_ASIGNATURAS!$B$7:$B$27,nASIG)&gt;0)*1),"")))</f>
        <v/>
      </c>
      <c r="AF964" t="str">
        <f>IF(AE964="","",IF(AE964="[FÓRMULA MANUAL]","",IFERROR(AVERAGEIFS(nNOTA,nNIA,AE964,nCUENTA,1,nASIG,"Análisis"),"")))</f>
        <v/>
      </c>
      <c r="AG964" t="str">
        <f>IF(AE964="","",IF(AE964="[FÓRMULA MANUAL]","",IFERROR(AVERAGEIFS(nNOTA,nNIA,AE964,nCUENTA,1,nASIG,"Orquesta/Banda/Conjunto"),"")))</f>
        <v/>
      </c>
      <c r="AH964" t="str">
        <f>IF(AE964="","",IF(AE964="[FÓRMULA MANUAL]","",IFERROR(AVERAGEIFS(nNOTA,nNIA,AE964,nCUENTA,1,nASIG,"Música de Cámara"),"")))</f>
        <v/>
      </c>
      <c r="AI964" t="str">
        <f>IF(AE964="","",IF(AE964="[FÓRMULA MANUAL]","",IFERROR(SUMPRODUCT((nNIA=AE964)*(nCUENTA=1)*(COUNTIF(CONFIG_ASIGNATURAS!$B$7:$B$27,nASIG)&gt;0)*(nNOTA))/SUMPRODUCT((nNIA=AE964)*(nCUENTA=1)*(COUNTIF(CONFIG_ASIGNATURAS!$B$7:$B$27,nASIG)&gt;0)*1),"")))</f>
        <v/>
      </c>
    </row>
    <row r="965" spans="2:35" x14ac:dyDescent="0.2">
      <c r="B965" t="str">
        <f>IF(A965="","",IF(A965="[FÓRMULA MANUAL]","",IFERROR(AVERAGEIFS(nNOTA,nNIA,A965,nCUENTA,1,nASIG,"Lenguaje Musical"),"")))</f>
        <v/>
      </c>
      <c r="C965" t="str">
        <f>IF(A965="","",IF(A965="[FÓRMULA MANUAL]","",IFERROR(AVERAGEIFS(nNOTA,nNIA,A965,nCUENTA,1,nASIG,"Orquesta/Banda/Conjunto"),"")))</f>
        <v/>
      </c>
      <c r="D965" t="str">
        <f>IF(A965="","",IF(A965="[FÓRMULA MANUAL]","",IFERROR(AVERAGEIFS(nNOTA,nNIA,A965,nCUENTA,1,nASIG,"Conjunto"),"")))</f>
        <v/>
      </c>
      <c r="E965" t="str">
        <f>IF(A965="","",IF(A965="[FÓRMULA MANUAL]","",IFERROR(SUMPRODUCT((nNIA=A965)*(nCUENTA=1)*(COUNTIF(CONFIG_ASIGNATURAS!$B$7:$B$27,nASIG)&gt;0)*(nNOTA))/SUMPRODUCT((nNIA=A965)*(nCUENTA=1)*(COUNTIF(CONFIG_ASIGNATURAS!$B$7:$B$27,nASIG)&gt;0)*1),"")))</f>
        <v/>
      </c>
      <c r="H965" t="str">
        <f>IF(G965="","",IF(G965="[FÓRMULA MANUAL]","",IFERROR(AVERAGEIFS(nNOTA,nNIA,G965,nCUENTA,1,nASIG,"Lenguaje Musical"),"")))</f>
        <v/>
      </c>
      <c r="I965" t="str">
        <f>IF(G965="","",IF(G965="[FÓRMULA MANUAL]","",IFERROR(AVERAGEIFS(nNOTA,nNIA,G965,nCUENTA,1,nASIG,"Orquesta/Banda/Conjunto"),"")))</f>
        <v/>
      </c>
      <c r="J965" t="str">
        <f>IF(G965="","",IF(G965="[FÓRMULA MANUAL]","",IFERROR(AVERAGEIFS(nNOTA,nNIA,G965,nCUENTA,1,nASIG,"Conjunto"),"")))</f>
        <v/>
      </c>
      <c r="K965" t="str">
        <f>IF(G965="","",IF(G965="[FÓRMULA MANUAL]","",IFERROR(SUMPRODUCT((nNIA=G965)*(nCUENTA=1)*(COUNTIF(CONFIG_ASIGNATURAS!$B$7:$B$27,nASIG)&gt;0)*(nNOTA))/SUMPRODUCT((nNIA=G965)*(nCUENTA=1)*(COUNTIF(CONFIG_ASIGNATURAS!$B$7:$B$27,nASIG)&gt;0)*1),"")))</f>
        <v/>
      </c>
      <c r="N965" t="str">
        <f>IF(M965="","",IF(M965="[FÓRMULA MANUAL]","",IFERROR(AVERAGEIFS(nNOTA,nNIA,M965,nCUENTA,1,nASIG,"Armonía"),"")))</f>
        <v/>
      </c>
      <c r="O965" t="str">
        <f>IF(M965="","",IF(M965="[FÓRMULA MANUAL]","",IFERROR(AVERAGEIFS(nNOTA,nNIA,M965,nCUENTA,1,nASIG,"Orquesta/Banda/Conjunto"),"")))</f>
        <v/>
      </c>
      <c r="P965" t="str">
        <f>IF(M965="","",IF(M965="[FÓRMULA MANUAL]","",IFERROR(AVERAGEIFS(nNOTA,nNIA,M965,nCUENTA,1,nASIG,"Música de Cámara"),"")))</f>
        <v/>
      </c>
      <c r="Q965" t="str">
        <f>IF(M965="","",IF(M965="[FÓRMULA MANUAL]","",IFERROR(SUMPRODUCT((nNIA=M965)*(nCUENTA=1)*(COUNTIF(CONFIG_ASIGNATURAS!$B$7:$B$27,nASIG)&gt;0)*(nNOTA))/SUMPRODUCT((nNIA=M965)*(nCUENTA=1)*(COUNTIF(CONFIG_ASIGNATURAS!$B$7:$B$27,nASIG)&gt;0)*1),"")))</f>
        <v/>
      </c>
      <c r="T965" t="str">
        <f>IF(S965="","",IF(S965="[FÓRMULA MANUAL]","",IFERROR(AVERAGEIFS(nNOTA,nNIA,S965,nCUENTA,1,nASIG,"Armonía"),"")))</f>
        <v/>
      </c>
      <c r="U965" t="str">
        <f>IF(S965="","",IF(S965="[FÓRMULA MANUAL]","",IFERROR(AVERAGEIFS(nNOTA,nNIA,S965,nCUENTA,1,nASIG,"Orquesta/Banda/Conjunto"),"")))</f>
        <v/>
      </c>
      <c r="V965" t="str">
        <f>IF(S965="","",IF(S965="[FÓRMULA MANUAL]","",IFERROR(AVERAGEIFS(nNOTA,nNIA,S965,nCUENTA,1,nASIG,"Música de Cámara"),"")))</f>
        <v/>
      </c>
      <c r="W965" t="str">
        <f>IF(S965="","",IF(S965="[FÓRMULA MANUAL]","",IFERROR(SUMPRODUCT((nNIA=S965)*(nCUENTA=1)*(COUNTIF(CONFIG_ASIGNATURAS!$B$7:$B$27,nASIG)&gt;0)*(nNOTA))/SUMPRODUCT((nNIA=S965)*(nCUENTA=1)*(COUNTIF(CONFIG_ASIGNATURAS!$B$7:$B$27,nASIG)&gt;0)*1),"")))</f>
        <v/>
      </c>
      <c r="Z965" t="str">
        <f>IF(Y965="","",IF(Y965="[FÓRMULA MANUAL]","",IFERROR(AVERAGEIFS(nNOTA,nNIA,Y965,nCUENTA,1,nASIG,"Análisis"),"")))</f>
        <v/>
      </c>
      <c r="AA965" t="str">
        <f>IF(Y965="","",IF(Y965="[FÓRMULA MANUAL]","",IFERROR(AVERAGEIFS(nNOTA,nNIA,Y965,nCUENTA,1,nASIG,"Orquesta/Banda/Conjunto"),"")))</f>
        <v/>
      </c>
      <c r="AB965" t="str">
        <f>IF(Y965="","",IF(Y965="[FÓRMULA MANUAL]","",IFERROR(AVERAGEIFS(nNOTA,nNIA,Y965,nCUENTA,1,nASIG,"Música de Cámara"),"")))</f>
        <v/>
      </c>
      <c r="AC965" t="str">
        <f>IF(Y965="","",IF(Y965="[FÓRMULA MANUAL]","",IFERROR(SUMPRODUCT((nNIA=Y965)*(nCUENTA=1)*(COUNTIF(CONFIG_ASIGNATURAS!$B$7:$B$27,nASIG)&gt;0)*(nNOTA))/SUMPRODUCT((nNIA=Y965)*(nCUENTA=1)*(COUNTIF(CONFIG_ASIGNATURAS!$B$7:$B$27,nASIG)&gt;0)*1),"")))</f>
        <v/>
      </c>
      <c r="AF965" t="str">
        <f>IF(AE965="","",IF(AE965="[FÓRMULA MANUAL]","",IFERROR(AVERAGEIFS(nNOTA,nNIA,AE965,nCUENTA,1,nASIG,"Análisis"),"")))</f>
        <v/>
      </c>
      <c r="AG965" t="str">
        <f>IF(AE965="","",IF(AE965="[FÓRMULA MANUAL]","",IFERROR(AVERAGEIFS(nNOTA,nNIA,AE965,nCUENTA,1,nASIG,"Orquesta/Banda/Conjunto"),"")))</f>
        <v/>
      </c>
      <c r="AH965" t="str">
        <f>IF(AE965="","",IF(AE965="[FÓRMULA MANUAL]","",IFERROR(AVERAGEIFS(nNOTA,nNIA,AE965,nCUENTA,1,nASIG,"Música de Cámara"),"")))</f>
        <v/>
      </c>
      <c r="AI965" t="str">
        <f>IF(AE965="","",IF(AE965="[FÓRMULA MANUAL]","",IFERROR(SUMPRODUCT((nNIA=AE965)*(nCUENTA=1)*(COUNTIF(CONFIG_ASIGNATURAS!$B$7:$B$27,nASIG)&gt;0)*(nNOTA))/SUMPRODUCT((nNIA=AE965)*(nCUENTA=1)*(COUNTIF(CONFIG_ASIGNATURAS!$B$7:$B$27,nASIG)&gt;0)*1),"")))</f>
        <v/>
      </c>
    </row>
    <row r="966" spans="2:35" x14ac:dyDescent="0.2">
      <c r="B966" t="str">
        <f>IF(A966="","",IF(A966="[FÓRMULA MANUAL]","",IFERROR(AVERAGEIFS(nNOTA,nNIA,A966,nCUENTA,1,nASIG,"Lenguaje Musical"),"")))</f>
        <v/>
      </c>
      <c r="C966" t="str">
        <f>IF(A966="","",IF(A966="[FÓRMULA MANUAL]","",IFERROR(AVERAGEIFS(nNOTA,nNIA,A966,nCUENTA,1,nASIG,"Orquesta/Banda/Conjunto"),"")))</f>
        <v/>
      </c>
      <c r="D966" t="str">
        <f>IF(A966="","",IF(A966="[FÓRMULA MANUAL]","",IFERROR(AVERAGEIFS(nNOTA,nNIA,A966,nCUENTA,1,nASIG,"Conjunto"),"")))</f>
        <v/>
      </c>
      <c r="E966" t="str">
        <f>IF(A966="","",IF(A966="[FÓRMULA MANUAL]","",IFERROR(SUMPRODUCT((nNIA=A966)*(nCUENTA=1)*(COUNTIF(CONFIG_ASIGNATURAS!$B$7:$B$27,nASIG)&gt;0)*(nNOTA))/SUMPRODUCT((nNIA=A966)*(nCUENTA=1)*(COUNTIF(CONFIG_ASIGNATURAS!$B$7:$B$27,nASIG)&gt;0)*1),"")))</f>
        <v/>
      </c>
      <c r="H966" t="str">
        <f>IF(G966="","",IF(G966="[FÓRMULA MANUAL]","",IFERROR(AVERAGEIFS(nNOTA,nNIA,G966,nCUENTA,1,nASIG,"Lenguaje Musical"),"")))</f>
        <v/>
      </c>
      <c r="I966" t="str">
        <f>IF(G966="","",IF(G966="[FÓRMULA MANUAL]","",IFERROR(AVERAGEIFS(nNOTA,nNIA,G966,nCUENTA,1,nASIG,"Orquesta/Banda/Conjunto"),"")))</f>
        <v/>
      </c>
      <c r="J966" t="str">
        <f>IF(G966="","",IF(G966="[FÓRMULA MANUAL]","",IFERROR(AVERAGEIFS(nNOTA,nNIA,G966,nCUENTA,1,nASIG,"Conjunto"),"")))</f>
        <v/>
      </c>
      <c r="K966" t="str">
        <f>IF(G966="","",IF(G966="[FÓRMULA MANUAL]","",IFERROR(SUMPRODUCT((nNIA=G966)*(nCUENTA=1)*(COUNTIF(CONFIG_ASIGNATURAS!$B$7:$B$27,nASIG)&gt;0)*(nNOTA))/SUMPRODUCT((nNIA=G966)*(nCUENTA=1)*(COUNTIF(CONFIG_ASIGNATURAS!$B$7:$B$27,nASIG)&gt;0)*1),"")))</f>
        <v/>
      </c>
      <c r="N966" t="str">
        <f>IF(M966="","",IF(M966="[FÓRMULA MANUAL]","",IFERROR(AVERAGEIFS(nNOTA,nNIA,M966,nCUENTA,1,nASIG,"Armonía"),"")))</f>
        <v/>
      </c>
      <c r="O966" t="str">
        <f>IF(M966="","",IF(M966="[FÓRMULA MANUAL]","",IFERROR(AVERAGEIFS(nNOTA,nNIA,M966,nCUENTA,1,nASIG,"Orquesta/Banda/Conjunto"),"")))</f>
        <v/>
      </c>
      <c r="P966" t="str">
        <f>IF(M966="","",IF(M966="[FÓRMULA MANUAL]","",IFERROR(AVERAGEIFS(nNOTA,nNIA,M966,nCUENTA,1,nASIG,"Música de Cámara"),"")))</f>
        <v/>
      </c>
      <c r="Q966" t="str">
        <f>IF(M966="","",IF(M966="[FÓRMULA MANUAL]","",IFERROR(SUMPRODUCT((nNIA=M966)*(nCUENTA=1)*(COUNTIF(CONFIG_ASIGNATURAS!$B$7:$B$27,nASIG)&gt;0)*(nNOTA))/SUMPRODUCT((nNIA=M966)*(nCUENTA=1)*(COUNTIF(CONFIG_ASIGNATURAS!$B$7:$B$27,nASIG)&gt;0)*1),"")))</f>
        <v/>
      </c>
      <c r="T966" t="str">
        <f>IF(S966="","",IF(S966="[FÓRMULA MANUAL]","",IFERROR(AVERAGEIFS(nNOTA,nNIA,S966,nCUENTA,1,nASIG,"Armonía"),"")))</f>
        <v/>
      </c>
      <c r="U966" t="str">
        <f>IF(S966="","",IF(S966="[FÓRMULA MANUAL]","",IFERROR(AVERAGEIFS(nNOTA,nNIA,S966,nCUENTA,1,nASIG,"Orquesta/Banda/Conjunto"),"")))</f>
        <v/>
      </c>
      <c r="V966" t="str">
        <f>IF(S966="","",IF(S966="[FÓRMULA MANUAL]","",IFERROR(AVERAGEIFS(nNOTA,nNIA,S966,nCUENTA,1,nASIG,"Música de Cámara"),"")))</f>
        <v/>
      </c>
      <c r="W966" t="str">
        <f>IF(S966="","",IF(S966="[FÓRMULA MANUAL]","",IFERROR(SUMPRODUCT((nNIA=S966)*(nCUENTA=1)*(COUNTIF(CONFIG_ASIGNATURAS!$B$7:$B$27,nASIG)&gt;0)*(nNOTA))/SUMPRODUCT((nNIA=S966)*(nCUENTA=1)*(COUNTIF(CONFIG_ASIGNATURAS!$B$7:$B$27,nASIG)&gt;0)*1),"")))</f>
        <v/>
      </c>
      <c r="Z966" t="str">
        <f>IF(Y966="","",IF(Y966="[FÓRMULA MANUAL]","",IFERROR(AVERAGEIFS(nNOTA,nNIA,Y966,nCUENTA,1,nASIG,"Análisis"),"")))</f>
        <v/>
      </c>
      <c r="AA966" t="str">
        <f>IF(Y966="","",IF(Y966="[FÓRMULA MANUAL]","",IFERROR(AVERAGEIFS(nNOTA,nNIA,Y966,nCUENTA,1,nASIG,"Orquesta/Banda/Conjunto"),"")))</f>
        <v/>
      </c>
      <c r="AB966" t="str">
        <f>IF(Y966="","",IF(Y966="[FÓRMULA MANUAL]","",IFERROR(AVERAGEIFS(nNOTA,nNIA,Y966,nCUENTA,1,nASIG,"Música de Cámara"),"")))</f>
        <v/>
      </c>
      <c r="AC966" t="str">
        <f>IF(Y966="","",IF(Y966="[FÓRMULA MANUAL]","",IFERROR(SUMPRODUCT((nNIA=Y966)*(nCUENTA=1)*(COUNTIF(CONFIG_ASIGNATURAS!$B$7:$B$27,nASIG)&gt;0)*(nNOTA))/SUMPRODUCT((nNIA=Y966)*(nCUENTA=1)*(COUNTIF(CONFIG_ASIGNATURAS!$B$7:$B$27,nASIG)&gt;0)*1),"")))</f>
        <v/>
      </c>
      <c r="AF966" t="str">
        <f>IF(AE966="","",IF(AE966="[FÓRMULA MANUAL]","",IFERROR(AVERAGEIFS(nNOTA,nNIA,AE966,nCUENTA,1,nASIG,"Análisis"),"")))</f>
        <v/>
      </c>
      <c r="AG966" t="str">
        <f>IF(AE966="","",IF(AE966="[FÓRMULA MANUAL]","",IFERROR(AVERAGEIFS(nNOTA,nNIA,AE966,nCUENTA,1,nASIG,"Orquesta/Banda/Conjunto"),"")))</f>
        <v/>
      </c>
      <c r="AH966" t="str">
        <f>IF(AE966="","",IF(AE966="[FÓRMULA MANUAL]","",IFERROR(AVERAGEIFS(nNOTA,nNIA,AE966,nCUENTA,1,nASIG,"Música de Cámara"),"")))</f>
        <v/>
      </c>
      <c r="AI966" t="str">
        <f>IF(AE966="","",IF(AE966="[FÓRMULA MANUAL]","",IFERROR(SUMPRODUCT((nNIA=AE966)*(nCUENTA=1)*(COUNTIF(CONFIG_ASIGNATURAS!$B$7:$B$27,nASIG)&gt;0)*(nNOTA))/SUMPRODUCT((nNIA=AE966)*(nCUENTA=1)*(COUNTIF(CONFIG_ASIGNATURAS!$B$7:$B$27,nASIG)&gt;0)*1),"")))</f>
        <v/>
      </c>
    </row>
    <row r="967" spans="2:35" x14ac:dyDescent="0.2">
      <c r="B967" t="str">
        <f>IF(A967="","",IF(A967="[FÓRMULA MANUAL]","",IFERROR(AVERAGEIFS(nNOTA,nNIA,A967,nCUENTA,1,nASIG,"Lenguaje Musical"),"")))</f>
        <v/>
      </c>
      <c r="C967" t="str">
        <f>IF(A967="","",IF(A967="[FÓRMULA MANUAL]","",IFERROR(AVERAGEIFS(nNOTA,nNIA,A967,nCUENTA,1,nASIG,"Orquesta/Banda/Conjunto"),"")))</f>
        <v/>
      </c>
      <c r="D967" t="str">
        <f>IF(A967="","",IF(A967="[FÓRMULA MANUAL]","",IFERROR(AVERAGEIFS(nNOTA,nNIA,A967,nCUENTA,1,nASIG,"Conjunto"),"")))</f>
        <v/>
      </c>
      <c r="E967" t="str">
        <f>IF(A967="","",IF(A967="[FÓRMULA MANUAL]","",IFERROR(SUMPRODUCT((nNIA=A967)*(nCUENTA=1)*(COUNTIF(CONFIG_ASIGNATURAS!$B$7:$B$27,nASIG)&gt;0)*(nNOTA))/SUMPRODUCT((nNIA=A967)*(nCUENTA=1)*(COUNTIF(CONFIG_ASIGNATURAS!$B$7:$B$27,nASIG)&gt;0)*1),"")))</f>
        <v/>
      </c>
      <c r="H967" t="str">
        <f>IF(G967="","",IF(G967="[FÓRMULA MANUAL]","",IFERROR(AVERAGEIFS(nNOTA,nNIA,G967,nCUENTA,1,nASIG,"Lenguaje Musical"),"")))</f>
        <v/>
      </c>
      <c r="I967" t="str">
        <f>IF(G967="","",IF(G967="[FÓRMULA MANUAL]","",IFERROR(AVERAGEIFS(nNOTA,nNIA,G967,nCUENTA,1,nASIG,"Orquesta/Banda/Conjunto"),"")))</f>
        <v/>
      </c>
      <c r="J967" t="str">
        <f>IF(G967="","",IF(G967="[FÓRMULA MANUAL]","",IFERROR(AVERAGEIFS(nNOTA,nNIA,G967,nCUENTA,1,nASIG,"Conjunto"),"")))</f>
        <v/>
      </c>
      <c r="K967" t="str">
        <f>IF(G967="","",IF(G967="[FÓRMULA MANUAL]","",IFERROR(SUMPRODUCT((nNIA=G967)*(nCUENTA=1)*(COUNTIF(CONFIG_ASIGNATURAS!$B$7:$B$27,nASIG)&gt;0)*(nNOTA))/SUMPRODUCT((nNIA=G967)*(nCUENTA=1)*(COUNTIF(CONFIG_ASIGNATURAS!$B$7:$B$27,nASIG)&gt;0)*1),"")))</f>
        <v/>
      </c>
      <c r="N967" t="str">
        <f>IF(M967="","",IF(M967="[FÓRMULA MANUAL]","",IFERROR(AVERAGEIFS(nNOTA,nNIA,M967,nCUENTA,1,nASIG,"Armonía"),"")))</f>
        <v/>
      </c>
      <c r="O967" t="str">
        <f>IF(M967="","",IF(M967="[FÓRMULA MANUAL]","",IFERROR(AVERAGEIFS(nNOTA,nNIA,M967,nCUENTA,1,nASIG,"Orquesta/Banda/Conjunto"),"")))</f>
        <v/>
      </c>
      <c r="P967" t="str">
        <f>IF(M967="","",IF(M967="[FÓRMULA MANUAL]","",IFERROR(AVERAGEIFS(nNOTA,nNIA,M967,nCUENTA,1,nASIG,"Música de Cámara"),"")))</f>
        <v/>
      </c>
      <c r="Q967" t="str">
        <f>IF(M967="","",IF(M967="[FÓRMULA MANUAL]","",IFERROR(SUMPRODUCT((nNIA=M967)*(nCUENTA=1)*(COUNTIF(CONFIG_ASIGNATURAS!$B$7:$B$27,nASIG)&gt;0)*(nNOTA))/SUMPRODUCT((nNIA=M967)*(nCUENTA=1)*(COUNTIF(CONFIG_ASIGNATURAS!$B$7:$B$27,nASIG)&gt;0)*1),"")))</f>
        <v/>
      </c>
      <c r="T967" t="str">
        <f>IF(S967="","",IF(S967="[FÓRMULA MANUAL]","",IFERROR(AVERAGEIFS(nNOTA,nNIA,S967,nCUENTA,1,nASIG,"Armonía"),"")))</f>
        <v/>
      </c>
      <c r="U967" t="str">
        <f>IF(S967="","",IF(S967="[FÓRMULA MANUAL]","",IFERROR(AVERAGEIFS(nNOTA,nNIA,S967,nCUENTA,1,nASIG,"Orquesta/Banda/Conjunto"),"")))</f>
        <v/>
      </c>
      <c r="V967" t="str">
        <f>IF(S967="","",IF(S967="[FÓRMULA MANUAL]","",IFERROR(AVERAGEIFS(nNOTA,nNIA,S967,nCUENTA,1,nASIG,"Música de Cámara"),"")))</f>
        <v/>
      </c>
      <c r="W967" t="str">
        <f>IF(S967="","",IF(S967="[FÓRMULA MANUAL]","",IFERROR(SUMPRODUCT((nNIA=S967)*(nCUENTA=1)*(COUNTIF(CONFIG_ASIGNATURAS!$B$7:$B$27,nASIG)&gt;0)*(nNOTA))/SUMPRODUCT((nNIA=S967)*(nCUENTA=1)*(COUNTIF(CONFIG_ASIGNATURAS!$B$7:$B$27,nASIG)&gt;0)*1),"")))</f>
        <v/>
      </c>
      <c r="Z967" t="str">
        <f>IF(Y967="","",IF(Y967="[FÓRMULA MANUAL]","",IFERROR(AVERAGEIFS(nNOTA,nNIA,Y967,nCUENTA,1,nASIG,"Análisis"),"")))</f>
        <v/>
      </c>
      <c r="AA967" t="str">
        <f>IF(Y967="","",IF(Y967="[FÓRMULA MANUAL]","",IFERROR(AVERAGEIFS(nNOTA,nNIA,Y967,nCUENTA,1,nASIG,"Orquesta/Banda/Conjunto"),"")))</f>
        <v/>
      </c>
      <c r="AB967" t="str">
        <f>IF(Y967="","",IF(Y967="[FÓRMULA MANUAL]","",IFERROR(AVERAGEIFS(nNOTA,nNIA,Y967,nCUENTA,1,nASIG,"Música de Cámara"),"")))</f>
        <v/>
      </c>
      <c r="AC967" t="str">
        <f>IF(Y967="","",IF(Y967="[FÓRMULA MANUAL]","",IFERROR(SUMPRODUCT((nNIA=Y967)*(nCUENTA=1)*(COUNTIF(CONFIG_ASIGNATURAS!$B$7:$B$27,nASIG)&gt;0)*(nNOTA))/SUMPRODUCT((nNIA=Y967)*(nCUENTA=1)*(COUNTIF(CONFIG_ASIGNATURAS!$B$7:$B$27,nASIG)&gt;0)*1),"")))</f>
        <v/>
      </c>
      <c r="AF967" t="str">
        <f>IF(AE967="","",IF(AE967="[FÓRMULA MANUAL]","",IFERROR(AVERAGEIFS(nNOTA,nNIA,AE967,nCUENTA,1,nASIG,"Análisis"),"")))</f>
        <v/>
      </c>
      <c r="AG967" t="str">
        <f>IF(AE967="","",IF(AE967="[FÓRMULA MANUAL]","",IFERROR(AVERAGEIFS(nNOTA,nNIA,AE967,nCUENTA,1,nASIG,"Orquesta/Banda/Conjunto"),"")))</f>
        <v/>
      </c>
      <c r="AH967" t="str">
        <f>IF(AE967="","",IF(AE967="[FÓRMULA MANUAL]","",IFERROR(AVERAGEIFS(nNOTA,nNIA,AE967,nCUENTA,1,nASIG,"Música de Cámara"),"")))</f>
        <v/>
      </c>
      <c r="AI967" t="str">
        <f>IF(AE967="","",IF(AE967="[FÓRMULA MANUAL]","",IFERROR(SUMPRODUCT((nNIA=AE967)*(nCUENTA=1)*(COUNTIF(CONFIG_ASIGNATURAS!$B$7:$B$27,nASIG)&gt;0)*(nNOTA))/SUMPRODUCT((nNIA=AE967)*(nCUENTA=1)*(COUNTIF(CONFIG_ASIGNATURAS!$B$7:$B$27,nASIG)&gt;0)*1),"")))</f>
        <v/>
      </c>
    </row>
    <row r="968" spans="2:35" x14ac:dyDescent="0.2">
      <c r="B968" t="str">
        <f>IF(A968="","",IF(A968="[FÓRMULA MANUAL]","",IFERROR(AVERAGEIFS(nNOTA,nNIA,A968,nCUENTA,1,nASIG,"Lenguaje Musical"),"")))</f>
        <v/>
      </c>
      <c r="C968" t="str">
        <f>IF(A968="","",IF(A968="[FÓRMULA MANUAL]","",IFERROR(AVERAGEIFS(nNOTA,nNIA,A968,nCUENTA,1,nASIG,"Orquesta/Banda/Conjunto"),"")))</f>
        <v/>
      </c>
      <c r="D968" t="str">
        <f>IF(A968="","",IF(A968="[FÓRMULA MANUAL]","",IFERROR(AVERAGEIFS(nNOTA,nNIA,A968,nCUENTA,1,nASIG,"Conjunto"),"")))</f>
        <v/>
      </c>
      <c r="E968" t="str">
        <f>IF(A968="","",IF(A968="[FÓRMULA MANUAL]","",IFERROR(SUMPRODUCT((nNIA=A968)*(nCUENTA=1)*(COUNTIF(CONFIG_ASIGNATURAS!$B$7:$B$27,nASIG)&gt;0)*(nNOTA))/SUMPRODUCT((nNIA=A968)*(nCUENTA=1)*(COUNTIF(CONFIG_ASIGNATURAS!$B$7:$B$27,nASIG)&gt;0)*1),"")))</f>
        <v/>
      </c>
      <c r="H968" t="str">
        <f>IF(G968="","",IF(G968="[FÓRMULA MANUAL]","",IFERROR(AVERAGEIFS(nNOTA,nNIA,G968,nCUENTA,1,nASIG,"Lenguaje Musical"),"")))</f>
        <v/>
      </c>
      <c r="I968" t="str">
        <f>IF(G968="","",IF(G968="[FÓRMULA MANUAL]","",IFERROR(AVERAGEIFS(nNOTA,nNIA,G968,nCUENTA,1,nASIG,"Orquesta/Banda/Conjunto"),"")))</f>
        <v/>
      </c>
      <c r="J968" t="str">
        <f>IF(G968="","",IF(G968="[FÓRMULA MANUAL]","",IFERROR(AVERAGEIFS(nNOTA,nNIA,G968,nCUENTA,1,nASIG,"Conjunto"),"")))</f>
        <v/>
      </c>
      <c r="K968" t="str">
        <f>IF(G968="","",IF(G968="[FÓRMULA MANUAL]","",IFERROR(SUMPRODUCT((nNIA=G968)*(nCUENTA=1)*(COUNTIF(CONFIG_ASIGNATURAS!$B$7:$B$27,nASIG)&gt;0)*(nNOTA))/SUMPRODUCT((nNIA=G968)*(nCUENTA=1)*(COUNTIF(CONFIG_ASIGNATURAS!$B$7:$B$27,nASIG)&gt;0)*1),"")))</f>
        <v/>
      </c>
      <c r="N968" t="str">
        <f>IF(M968="","",IF(M968="[FÓRMULA MANUAL]","",IFERROR(AVERAGEIFS(nNOTA,nNIA,M968,nCUENTA,1,nASIG,"Armonía"),"")))</f>
        <v/>
      </c>
      <c r="O968" t="str">
        <f>IF(M968="","",IF(M968="[FÓRMULA MANUAL]","",IFERROR(AVERAGEIFS(nNOTA,nNIA,M968,nCUENTA,1,nASIG,"Orquesta/Banda/Conjunto"),"")))</f>
        <v/>
      </c>
      <c r="P968" t="str">
        <f>IF(M968="","",IF(M968="[FÓRMULA MANUAL]","",IFERROR(AVERAGEIFS(nNOTA,nNIA,M968,nCUENTA,1,nASIG,"Música de Cámara"),"")))</f>
        <v/>
      </c>
      <c r="Q968" t="str">
        <f>IF(M968="","",IF(M968="[FÓRMULA MANUAL]","",IFERROR(SUMPRODUCT((nNIA=M968)*(nCUENTA=1)*(COUNTIF(CONFIG_ASIGNATURAS!$B$7:$B$27,nASIG)&gt;0)*(nNOTA))/SUMPRODUCT((nNIA=M968)*(nCUENTA=1)*(COUNTIF(CONFIG_ASIGNATURAS!$B$7:$B$27,nASIG)&gt;0)*1),"")))</f>
        <v/>
      </c>
      <c r="T968" t="str">
        <f>IF(S968="","",IF(S968="[FÓRMULA MANUAL]","",IFERROR(AVERAGEIFS(nNOTA,nNIA,S968,nCUENTA,1,nASIG,"Armonía"),"")))</f>
        <v/>
      </c>
      <c r="U968" t="str">
        <f>IF(S968="","",IF(S968="[FÓRMULA MANUAL]","",IFERROR(AVERAGEIFS(nNOTA,nNIA,S968,nCUENTA,1,nASIG,"Orquesta/Banda/Conjunto"),"")))</f>
        <v/>
      </c>
      <c r="V968" t="str">
        <f>IF(S968="","",IF(S968="[FÓRMULA MANUAL]","",IFERROR(AVERAGEIFS(nNOTA,nNIA,S968,nCUENTA,1,nASIG,"Música de Cámara"),"")))</f>
        <v/>
      </c>
      <c r="W968" t="str">
        <f>IF(S968="","",IF(S968="[FÓRMULA MANUAL]","",IFERROR(SUMPRODUCT((nNIA=S968)*(nCUENTA=1)*(COUNTIF(CONFIG_ASIGNATURAS!$B$7:$B$27,nASIG)&gt;0)*(nNOTA))/SUMPRODUCT((nNIA=S968)*(nCUENTA=1)*(COUNTIF(CONFIG_ASIGNATURAS!$B$7:$B$27,nASIG)&gt;0)*1),"")))</f>
        <v/>
      </c>
      <c r="Z968" t="str">
        <f>IF(Y968="","",IF(Y968="[FÓRMULA MANUAL]","",IFERROR(AVERAGEIFS(nNOTA,nNIA,Y968,nCUENTA,1,nASIG,"Análisis"),"")))</f>
        <v/>
      </c>
      <c r="AA968" t="str">
        <f>IF(Y968="","",IF(Y968="[FÓRMULA MANUAL]","",IFERROR(AVERAGEIFS(nNOTA,nNIA,Y968,nCUENTA,1,nASIG,"Orquesta/Banda/Conjunto"),"")))</f>
        <v/>
      </c>
      <c r="AB968" t="str">
        <f>IF(Y968="","",IF(Y968="[FÓRMULA MANUAL]","",IFERROR(AVERAGEIFS(nNOTA,nNIA,Y968,nCUENTA,1,nASIG,"Música de Cámara"),"")))</f>
        <v/>
      </c>
      <c r="AC968" t="str">
        <f>IF(Y968="","",IF(Y968="[FÓRMULA MANUAL]","",IFERROR(SUMPRODUCT((nNIA=Y968)*(nCUENTA=1)*(COUNTIF(CONFIG_ASIGNATURAS!$B$7:$B$27,nASIG)&gt;0)*(nNOTA))/SUMPRODUCT((nNIA=Y968)*(nCUENTA=1)*(COUNTIF(CONFIG_ASIGNATURAS!$B$7:$B$27,nASIG)&gt;0)*1),"")))</f>
        <v/>
      </c>
      <c r="AF968" t="str">
        <f>IF(AE968="","",IF(AE968="[FÓRMULA MANUAL]","",IFERROR(AVERAGEIFS(nNOTA,nNIA,AE968,nCUENTA,1,nASIG,"Análisis"),"")))</f>
        <v/>
      </c>
      <c r="AG968" t="str">
        <f>IF(AE968="","",IF(AE968="[FÓRMULA MANUAL]","",IFERROR(AVERAGEIFS(nNOTA,nNIA,AE968,nCUENTA,1,nASIG,"Orquesta/Banda/Conjunto"),"")))</f>
        <v/>
      </c>
      <c r="AH968" t="str">
        <f>IF(AE968="","",IF(AE968="[FÓRMULA MANUAL]","",IFERROR(AVERAGEIFS(nNOTA,nNIA,AE968,nCUENTA,1,nASIG,"Música de Cámara"),"")))</f>
        <v/>
      </c>
      <c r="AI968" t="str">
        <f>IF(AE968="","",IF(AE968="[FÓRMULA MANUAL]","",IFERROR(SUMPRODUCT((nNIA=AE968)*(nCUENTA=1)*(COUNTIF(CONFIG_ASIGNATURAS!$B$7:$B$27,nASIG)&gt;0)*(nNOTA))/SUMPRODUCT((nNIA=AE968)*(nCUENTA=1)*(COUNTIF(CONFIG_ASIGNATURAS!$B$7:$B$27,nASIG)&gt;0)*1),"")))</f>
        <v/>
      </c>
    </row>
    <row r="969" spans="2:35" x14ac:dyDescent="0.2">
      <c r="B969" t="str">
        <f>IF(A969="","",IF(A969="[FÓRMULA MANUAL]","",IFERROR(AVERAGEIFS(nNOTA,nNIA,A969,nCUENTA,1,nASIG,"Lenguaje Musical"),"")))</f>
        <v/>
      </c>
      <c r="C969" t="str">
        <f>IF(A969="","",IF(A969="[FÓRMULA MANUAL]","",IFERROR(AVERAGEIFS(nNOTA,nNIA,A969,nCUENTA,1,nASIG,"Orquesta/Banda/Conjunto"),"")))</f>
        <v/>
      </c>
      <c r="D969" t="str">
        <f>IF(A969="","",IF(A969="[FÓRMULA MANUAL]","",IFERROR(AVERAGEIFS(nNOTA,nNIA,A969,nCUENTA,1,nASIG,"Conjunto"),"")))</f>
        <v/>
      </c>
      <c r="E969" t="str">
        <f>IF(A969="","",IF(A969="[FÓRMULA MANUAL]","",IFERROR(SUMPRODUCT((nNIA=A969)*(nCUENTA=1)*(COUNTIF(CONFIG_ASIGNATURAS!$B$7:$B$27,nASIG)&gt;0)*(nNOTA))/SUMPRODUCT((nNIA=A969)*(nCUENTA=1)*(COUNTIF(CONFIG_ASIGNATURAS!$B$7:$B$27,nASIG)&gt;0)*1),"")))</f>
        <v/>
      </c>
      <c r="H969" t="str">
        <f>IF(G969="","",IF(G969="[FÓRMULA MANUAL]","",IFERROR(AVERAGEIFS(nNOTA,nNIA,G969,nCUENTA,1,nASIG,"Lenguaje Musical"),"")))</f>
        <v/>
      </c>
      <c r="I969" t="str">
        <f>IF(G969="","",IF(G969="[FÓRMULA MANUAL]","",IFERROR(AVERAGEIFS(nNOTA,nNIA,G969,nCUENTA,1,nASIG,"Orquesta/Banda/Conjunto"),"")))</f>
        <v/>
      </c>
      <c r="J969" t="str">
        <f>IF(G969="","",IF(G969="[FÓRMULA MANUAL]","",IFERROR(AVERAGEIFS(nNOTA,nNIA,G969,nCUENTA,1,nASIG,"Conjunto"),"")))</f>
        <v/>
      </c>
      <c r="K969" t="str">
        <f>IF(G969="","",IF(G969="[FÓRMULA MANUAL]","",IFERROR(SUMPRODUCT((nNIA=G969)*(nCUENTA=1)*(COUNTIF(CONFIG_ASIGNATURAS!$B$7:$B$27,nASIG)&gt;0)*(nNOTA))/SUMPRODUCT((nNIA=G969)*(nCUENTA=1)*(COUNTIF(CONFIG_ASIGNATURAS!$B$7:$B$27,nASIG)&gt;0)*1),"")))</f>
        <v/>
      </c>
      <c r="N969" t="str">
        <f>IF(M969="","",IF(M969="[FÓRMULA MANUAL]","",IFERROR(AVERAGEIFS(nNOTA,nNIA,M969,nCUENTA,1,nASIG,"Armonía"),"")))</f>
        <v/>
      </c>
      <c r="O969" t="str">
        <f>IF(M969="","",IF(M969="[FÓRMULA MANUAL]","",IFERROR(AVERAGEIFS(nNOTA,nNIA,M969,nCUENTA,1,nASIG,"Orquesta/Banda/Conjunto"),"")))</f>
        <v/>
      </c>
      <c r="P969" t="str">
        <f>IF(M969="","",IF(M969="[FÓRMULA MANUAL]","",IFERROR(AVERAGEIFS(nNOTA,nNIA,M969,nCUENTA,1,nASIG,"Música de Cámara"),"")))</f>
        <v/>
      </c>
      <c r="Q969" t="str">
        <f>IF(M969="","",IF(M969="[FÓRMULA MANUAL]","",IFERROR(SUMPRODUCT((nNIA=M969)*(nCUENTA=1)*(COUNTIF(CONFIG_ASIGNATURAS!$B$7:$B$27,nASIG)&gt;0)*(nNOTA))/SUMPRODUCT((nNIA=M969)*(nCUENTA=1)*(COUNTIF(CONFIG_ASIGNATURAS!$B$7:$B$27,nASIG)&gt;0)*1),"")))</f>
        <v/>
      </c>
      <c r="T969" t="str">
        <f>IF(S969="","",IF(S969="[FÓRMULA MANUAL]","",IFERROR(AVERAGEIFS(nNOTA,nNIA,S969,nCUENTA,1,nASIG,"Armonía"),"")))</f>
        <v/>
      </c>
      <c r="U969" t="str">
        <f>IF(S969="","",IF(S969="[FÓRMULA MANUAL]","",IFERROR(AVERAGEIFS(nNOTA,nNIA,S969,nCUENTA,1,nASIG,"Orquesta/Banda/Conjunto"),"")))</f>
        <v/>
      </c>
      <c r="V969" t="str">
        <f>IF(S969="","",IF(S969="[FÓRMULA MANUAL]","",IFERROR(AVERAGEIFS(nNOTA,nNIA,S969,nCUENTA,1,nASIG,"Música de Cámara"),"")))</f>
        <v/>
      </c>
      <c r="W969" t="str">
        <f>IF(S969="","",IF(S969="[FÓRMULA MANUAL]","",IFERROR(SUMPRODUCT((nNIA=S969)*(nCUENTA=1)*(COUNTIF(CONFIG_ASIGNATURAS!$B$7:$B$27,nASIG)&gt;0)*(nNOTA))/SUMPRODUCT((nNIA=S969)*(nCUENTA=1)*(COUNTIF(CONFIG_ASIGNATURAS!$B$7:$B$27,nASIG)&gt;0)*1),"")))</f>
        <v/>
      </c>
      <c r="Z969" t="str">
        <f>IF(Y969="","",IF(Y969="[FÓRMULA MANUAL]","",IFERROR(AVERAGEIFS(nNOTA,nNIA,Y969,nCUENTA,1,nASIG,"Análisis"),"")))</f>
        <v/>
      </c>
      <c r="AA969" t="str">
        <f>IF(Y969="","",IF(Y969="[FÓRMULA MANUAL]","",IFERROR(AVERAGEIFS(nNOTA,nNIA,Y969,nCUENTA,1,nASIG,"Orquesta/Banda/Conjunto"),"")))</f>
        <v/>
      </c>
      <c r="AB969" t="str">
        <f>IF(Y969="","",IF(Y969="[FÓRMULA MANUAL]","",IFERROR(AVERAGEIFS(nNOTA,nNIA,Y969,nCUENTA,1,nASIG,"Música de Cámara"),"")))</f>
        <v/>
      </c>
      <c r="AC969" t="str">
        <f>IF(Y969="","",IF(Y969="[FÓRMULA MANUAL]","",IFERROR(SUMPRODUCT((nNIA=Y969)*(nCUENTA=1)*(COUNTIF(CONFIG_ASIGNATURAS!$B$7:$B$27,nASIG)&gt;0)*(nNOTA))/SUMPRODUCT((nNIA=Y969)*(nCUENTA=1)*(COUNTIF(CONFIG_ASIGNATURAS!$B$7:$B$27,nASIG)&gt;0)*1),"")))</f>
        <v/>
      </c>
      <c r="AF969" t="str">
        <f>IF(AE969="","",IF(AE969="[FÓRMULA MANUAL]","",IFERROR(AVERAGEIFS(nNOTA,nNIA,AE969,nCUENTA,1,nASIG,"Análisis"),"")))</f>
        <v/>
      </c>
      <c r="AG969" t="str">
        <f>IF(AE969="","",IF(AE969="[FÓRMULA MANUAL]","",IFERROR(AVERAGEIFS(nNOTA,nNIA,AE969,nCUENTA,1,nASIG,"Orquesta/Banda/Conjunto"),"")))</f>
        <v/>
      </c>
      <c r="AH969" t="str">
        <f>IF(AE969="","",IF(AE969="[FÓRMULA MANUAL]","",IFERROR(AVERAGEIFS(nNOTA,nNIA,AE969,nCUENTA,1,nASIG,"Música de Cámara"),"")))</f>
        <v/>
      </c>
      <c r="AI969" t="str">
        <f>IF(AE969="","",IF(AE969="[FÓRMULA MANUAL]","",IFERROR(SUMPRODUCT((nNIA=AE969)*(nCUENTA=1)*(COUNTIF(CONFIG_ASIGNATURAS!$B$7:$B$27,nASIG)&gt;0)*(nNOTA))/SUMPRODUCT((nNIA=AE969)*(nCUENTA=1)*(COUNTIF(CONFIG_ASIGNATURAS!$B$7:$B$27,nASIG)&gt;0)*1),"")))</f>
        <v/>
      </c>
    </row>
    <row r="970" spans="2:35" x14ac:dyDescent="0.2">
      <c r="B970" t="str">
        <f>IF(A970="","",IF(A970="[FÓRMULA MANUAL]","",IFERROR(AVERAGEIFS(nNOTA,nNIA,A970,nCUENTA,1,nASIG,"Lenguaje Musical"),"")))</f>
        <v/>
      </c>
      <c r="C970" t="str">
        <f>IF(A970="","",IF(A970="[FÓRMULA MANUAL]","",IFERROR(AVERAGEIFS(nNOTA,nNIA,A970,nCUENTA,1,nASIG,"Orquesta/Banda/Conjunto"),"")))</f>
        <v/>
      </c>
      <c r="D970" t="str">
        <f>IF(A970="","",IF(A970="[FÓRMULA MANUAL]","",IFERROR(AVERAGEIFS(nNOTA,nNIA,A970,nCUENTA,1,nASIG,"Conjunto"),"")))</f>
        <v/>
      </c>
      <c r="E970" t="str">
        <f>IF(A970="","",IF(A970="[FÓRMULA MANUAL]","",IFERROR(SUMPRODUCT((nNIA=A970)*(nCUENTA=1)*(COUNTIF(CONFIG_ASIGNATURAS!$B$7:$B$27,nASIG)&gt;0)*(nNOTA))/SUMPRODUCT((nNIA=A970)*(nCUENTA=1)*(COUNTIF(CONFIG_ASIGNATURAS!$B$7:$B$27,nASIG)&gt;0)*1),"")))</f>
        <v/>
      </c>
      <c r="H970" t="str">
        <f>IF(G970="","",IF(G970="[FÓRMULA MANUAL]","",IFERROR(AVERAGEIFS(nNOTA,nNIA,G970,nCUENTA,1,nASIG,"Lenguaje Musical"),"")))</f>
        <v/>
      </c>
      <c r="I970" t="str">
        <f>IF(G970="","",IF(G970="[FÓRMULA MANUAL]","",IFERROR(AVERAGEIFS(nNOTA,nNIA,G970,nCUENTA,1,nASIG,"Orquesta/Banda/Conjunto"),"")))</f>
        <v/>
      </c>
      <c r="J970" t="str">
        <f>IF(G970="","",IF(G970="[FÓRMULA MANUAL]","",IFERROR(AVERAGEIFS(nNOTA,nNIA,G970,nCUENTA,1,nASIG,"Conjunto"),"")))</f>
        <v/>
      </c>
      <c r="K970" t="str">
        <f>IF(G970="","",IF(G970="[FÓRMULA MANUAL]","",IFERROR(SUMPRODUCT((nNIA=G970)*(nCUENTA=1)*(COUNTIF(CONFIG_ASIGNATURAS!$B$7:$B$27,nASIG)&gt;0)*(nNOTA))/SUMPRODUCT((nNIA=G970)*(nCUENTA=1)*(COUNTIF(CONFIG_ASIGNATURAS!$B$7:$B$27,nASIG)&gt;0)*1),"")))</f>
        <v/>
      </c>
      <c r="N970" t="str">
        <f>IF(M970="","",IF(M970="[FÓRMULA MANUAL]","",IFERROR(AVERAGEIFS(nNOTA,nNIA,M970,nCUENTA,1,nASIG,"Armonía"),"")))</f>
        <v/>
      </c>
      <c r="O970" t="str">
        <f>IF(M970="","",IF(M970="[FÓRMULA MANUAL]","",IFERROR(AVERAGEIFS(nNOTA,nNIA,M970,nCUENTA,1,nASIG,"Orquesta/Banda/Conjunto"),"")))</f>
        <v/>
      </c>
      <c r="P970" t="str">
        <f>IF(M970="","",IF(M970="[FÓRMULA MANUAL]","",IFERROR(AVERAGEIFS(nNOTA,nNIA,M970,nCUENTA,1,nASIG,"Música de Cámara"),"")))</f>
        <v/>
      </c>
      <c r="Q970" t="str">
        <f>IF(M970="","",IF(M970="[FÓRMULA MANUAL]","",IFERROR(SUMPRODUCT((nNIA=M970)*(nCUENTA=1)*(COUNTIF(CONFIG_ASIGNATURAS!$B$7:$B$27,nASIG)&gt;0)*(nNOTA))/SUMPRODUCT((nNIA=M970)*(nCUENTA=1)*(COUNTIF(CONFIG_ASIGNATURAS!$B$7:$B$27,nASIG)&gt;0)*1),"")))</f>
        <v/>
      </c>
      <c r="T970" t="str">
        <f>IF(S970="","",IF(S970="[FÓRMULA MANUAL]","",IFERROR(AVERAGEIFS(nNOTA,nNIA,S970,nCUENTA,1,nASIG,"Armonía"),"")))</f>
        <v/>
      </c>
      <c r="U970" t="str">
        <f>IF(S970="","",IF(S970="[FÓRMULA MANUAL]","",IFERROR(AVERAGEIFS(nNOTA,nNIA,S970,nCUENTA,1,nASIG,"Orquesta/Banda/Conjunto"),"")))</f>
        <v/>
      </c>
      <c r="V970" t="str">
        <f>IF(S970="","",IF(S970="[FÓRMULA MANUAL]","",IFERROR(AVERAGEIFS(nNOTA,nNIA,S970,nCUENTA,1,nASIG,"Música de Cámara"),"")))</f>
        <v/>
      </c>
      <c r="W970" t="str">
        <f>IF(S970="","",IF(S970="[FÓRMULA MANUAL]","",IFERROR(SUMPRODUCT((nNIA=S970)*(nCUENTA=1)*(COUNTIF(CONFIG_ASIGNATURAS!$B$7:$B$27,nASIG)&gt;0)*(nNOTA))/SUMPRODUCT((nNIA=S970)*(nCUENTA=1)*(COUNTIF(CONFIG_ASIGNATURAS!$B$7:$B$27,nASIG)&gt;0)*1),"")))</f>
        <v/>
      </c>
      <c r="Z970" t="str">
        <f>IF(Y970="","",IF(Y970="[FÓRMULA MANUAL]","",IFERROR(AVERAGEIFS(nNOTA,nNIA,Y970,nCUENTA,1,nASIG,"Análisis"),"")))</f>
        <v/>
      </c>
      <c r="AA970" t="str">
        <f>IF(Y970="","",IF(Y970="[FÓRMULA MANUAL]","",IFERROR(AVERAGEIFS(nNOTA,nNIA,Y970,nCUENTA,1,nASIG,"Orquesta/Banda/Conjunto"),"")))</f>
        <v/>
      </c>
      <c r="AB970" t="str">
        <f>IF(Y970="","",IF(Y970="[FÓRMULA MANUAL]","",IFERROR(AVERAGEIFS(nNOTA,nNIA,Y970,nCUENTA,1,nASIG,"Música de Cámara"),"")))</f>
        <v/>
      </c>
      <c r="AC970" t="str">
        <f>IF(Y970="","",IF(Y970="[FÓRMULA MANUAL]","",IFERROR(SUMPRODUCT((nNIA=Y970)*(nCUENTA=1)*(COUNTIF(CONFIG_ASIGNATURAS!$B$7:$B$27,nASIG)&gt;0)*(nNOTA))/SUMPRODUCT((nNIA=Y970)*(nCUENTA=1)*(COUNTIF(CONFIG_ASIGNATURAS!$B$7:$B$27,nASIG)&gt;0)*1),"")))</f>
        <v/>
      </c>
      <c r="AF970" t="str">
        <f>IF(AE970="","",IF(AE970="[FÓRMULA MANUAL]","",IFERROR(AVERAGEIFS(nNOTA,nNIA,AE970,nCUENTA,1,nASIG,"Análisis"),"")))</f>
        <v/>
      </c>
      <c r="AG970" t="str">
        <f>IF(AE970="","",IF(AE970="[FÓRMULA MANUAL]","",IFERROR(AVERAGEIFS(nNOTA,nNIA,AE970,nCUENTA,1,nASIG,"Orquesta/Banda/Conjunto"),"")))</f>
        <v/>
      </c>
      <c r="AH970" t="str">
        <f>IF(AE970="","",IF(AE970="[FÓRMULA MANUAL]","",IFERROR(AVERAGEIFS(nNOTA,nNIA,AE970,nCUENTA,1,nASIG,"Música de Cámara"),"")))</f>
        <v/>
      </c>
      <c r="AI970" t="str">
        <f>IF(AE970="","",IF(AE970="[FÓRMULA MANUAL]","",IFERROR(SUMPRODUCT((nNIA=AE970)*(nCUENTA=1)*(COUNTIF(CONFIG_ASIGNATURAS!$B$7:$B$27,nASIG)&gt;0)*(nNOTA))/SUMPRODUCT((nNIA=AE970)*(nCUENTA=1)*(COUNTIF(CONFIG_ASIGNATURAS!$B$7:$B$27,nASIG)&gt;0)*1),"")))</f>
        <v/>
      </c>
    </row>
    <row r="971" spans="2:35" x14ac:dyDescent="0.2">
      <c r="B971" t="str">
        <f>IF(A971="","",IF(A971="[FÓRMULA MANUAL]","",IFERROR(AVERAGEIFS(nNOTA,nNIA,A971,nCUENTA,1,nASIG,"Lenguaje Musical"),"")))</f>
        <v/>
      </c>
      <c r="C971" t="str">
        <f>IF(A971="","",IF(A971="[FÓRMULA MANUAL]","",IFERROR(AVERAGEIFS(nNOTA,nNIA,A971,nCUENTA,1,nASIG,"Orquesta/Banda/Conjunto"),"")))</f>
        <v/>
      </c>
      <c r="D971" t="str">
        <f>IF(A971="","",IF(A971="[FÓRMULA MANUAL]","",IFERROR(AVERAGEIFS(nNOTA,nNIA,A971,nCUENTA,1,nASIG,"Conjunto"),"")))</f>
        <v/>
      </c>
      <c r="E971" t="str">
        <f>IF(A971="","",IF(A971="[FÓRMULA MANUAL]","",IFERROR(SUMPRODUCT((nNIA=A971)*(nCUENTA=1)*(COUNTIF(CONFIG_ASIGNATURAS!$B$7:$B$27,nASIG)&gt;0)*(nNOTA))/SUMPRODUCT((nNIA=A971)*(nCUENTA=1)*(COUNTIF(CONFIG_ASIGNATURAS!$B$7:$B$27,nASIG)&gt;0)*1),"")))</f>
        <v/>
      </c>
      <c r="H971" t="str">
        <f>IF(G971="","",IF(G971="[FÓRMULA MANUAL]","",IFERROR(AVERAGEIFS(nNOTA,nNIA,G971,nCUENTA,1,nASIG,"Lenguaje Musical"),"")))</f>
        <v/>
      </c>
      <c r="I971" t="str">
        <f>IF(G971="","",IF(G971="[FÓRMULA MANUAL]","",IFERROR(AVERAGEIFS(nNOTA,nNIA,G971,nCUENTA,1,nASIG,"Orquesta/Banda/Conjunto"),"")))</f>
        <v/>
      </c>
      <c r="J971" t="str">
        <f>IF(G971="","",IF(G971="[FÓRMULA MANUAL]","",IFERROR(AVERAGEIFS(nNOTA,nNIA,G971,nCUENTA,1,nASIG,"Conjunto"),"")))</f>
        <v/>
      </c>
      <c r="K971" t="str">
        <f>IF(G971="","",IF(G971="[FÓRMULA MANUAL]","",IFERROR(SUMPRODUCT((nNIA=G971)*(nCUENTA=1)*(COUNTIF(CONFIG_ASIGNATURAS!$B$7:$B$27,nASIG)&gt;0)*(nNOTA))/SUMPRODUCT((nNIA=G971)*(nCUENTA=1)*(COUNTIF(CONFIG_ASIGNATURAS!$B$7:$B$27,nASIG)&gt;0)*1),"")))</f>
        <v/>
      </c>
      <c r="N971" t="str">
        <f>IF(M971="","",IF(M971="[FÓRMULA MANUAL]","",IFERROR(AVERAGEIFS(nNOTA,nNIA,M971,nCUENTA,1,nASIG,"Armonía"),"")))</f>
        <v/>
      </c>
      <c r="O971" t="str">
        <f>IF(M971="","",IF(M971="[FÓRMULA MANUAL]","",IFERROR(AVERAGEIFS(nNOTA,nNIA,M971,nCUENTA,1,nASIG,"Orquesta/Banda/Conjunto"),"")))</f>
        <v/>
      </c>
      <c r="P971" t="str">
        <f>IF(M971="","",IF(M971="[FÓRMULA MANUAL]","",IFERROR(AVERAGEIFS(nNOTA,nNIA,M971,nCUENTA,1,nASIG,"Música de Cámara"),"")))</f>
        <v/>
      </c>
      <c r="Q971" t="str">
        <f>IF(M971="","",IF(M971="[FÓRMULA MANUAL]","",IFERROR(SUMPRODUCT((nNIA=M971)*(nCUENTA=1)*(COUNTIF(CONFIG_ASIGNATURAS!$B$7:$B$27,nASIG)&gt;0)*(nNOTA))/SUMPRODUCT((nNIA=M971)*(nCUENTA=1)*(COUNTIF(CONFIG_ASIGNATURAS!$B$7:$B$27,nASIG)&gt;0)*1),"")))</f>
        <v/>
      </c>
      <c r="T971" t="str">
        <f>IF(S971="","",IF(S971="[FÓRMULA MANUAL]","",IFERROR(AVERAGEIFS(nNOTA,nNIA,S971,nCUENTA,1,nASIG,"Armonía"),"")))</f>
        <v/>
      </c>
      <c r="U971" t="str">
        <f>IF(S971="","",IF(S971="[FÓRMULA MANUAL]","",IFERROR(AVERAGEIFS(nNOTA,nNIA,S971,nCUENTA,1,nASIG,"Orquesta/Banda/Conjunto"),"")))</f>
        <v/>
      </c>
      <c r="V971" t="str">
        <f>IF(S971="","",IF(S971="[FÓRMULA MANUAL]","",IFERROR(AVERAGEIFS(nNOTA,nNIA,S971,nCUENTA,1,nASIG,"Música de Cámara"),"")))</f>
        <v/>
      </c>
      <c r="W971" t="str">
        <f>IF(S971="","",IF(S971="[FÓRMULA MANUAL]","",IFERROR(SUMPRODUCT((nNIA=S971)*(nCUENTA=1)*(COUNTIF(CONFIG_ASIGNATURAS!$B$7:$B$27,nASIG)&gt;0)*(nNOTA))/SUMPRODUCT((nNIA=S971)*(nCUENTA=1)*(COUNTIF(CONFIG_ASIGNATURAS!$B$7:$B$27,nASIG)&gt;0)*1),"")))</f>
        <v/>
      </c>
      <c r="Z971" t="str">
        <f>IF(Y971="","",IF(Y971="[FÓRMULA MANUAL]","",IFERROR(AVERAGEIFS(nNOTA,nNIA,Y971,nCUENTA,1,nASIG,"Análisis"),"")))</f>
        <v/>
      </c>
      <c r="AA971" t="str">
        <f>IF(Y971="","",IF(Y971="[FÓRMULA MANUAL]","",IFERROR(AVERAGEIFS(nNOTA,nNIA,Y971,nCUENTA,1,nASIG,"Orquesta/Banda/Conjunto"),"")))</f>
        <v/>
      </c>
      <c r="AB971" t="str">
        <f>IF(Y971="","",IF(Y971="[FÓRMULA MANUAL]","",IFERROR(AVERAGEIFS(nNOTA,nNIA,Y971,nCUENTA,1,nASIG,"Música de Cámara"),"")))</f>
        <v/>
      </c>
      <c r="AC971" t="str">
        <f>IF(Y971="","",IF(Y971="[FÓRMULA MANUAL]","",IFERROR(SUMPRODUCT((nNIA=Y971)*(nCUENTA=1)*(COUNTIF(CONFIG_ASIGNATURAS!$B$7:$B$27,nASIG)&gt;0)*(nNOTA))/SUMPRODUCT((nNIA=Y971)*(nCUENTA=1)*(COUNTIF(CONFIG_ASIGNATURAS!$B$7:$B$27,nASIG)&gt;0)*1),"")))</f>
        <v/>
      </c>
      <c r="AF971" t="str">
        <f>IF(AE971="","",IF(AE971="[FÓRMULA MANUAL]","",IFERROR(AVERAGEIFS(nNOTA,nNIA,AE971,nCUENTA,1,nASIG,"Análisis"),"")))</f>
        <v/>
      </c>
      <c r="AG971" t="str">
        <f>IF(AE971="","",IF(AE971="[FÓRMULA MANUAL]","",IFERROR(AVERAGEIFS(nNOTA,nNIA,AE971,nCUENTA,1,nASIG,"Orquesta/Banda/Conjunto"),"")))</f>
        <v/>
      </c>
      <c r="AH971" t="str">
        <f>IF(AE971="","",IF(AE971="[FÓRMULA MANUAL]","",IFERROR(AVERAGEIFS(nNOTA,nNIA,AE971,nCUENTA,1,nASIG,"Música de Cámara"),"")))</f>
        <v/>
      </c>
      <c r="AI971" t="str">
        <f>IF(AE971="","",IF(AE971="[FÓRMULA MANUAL]","",IFERROR(SUMPRODUCT((nNIA=AE971)*(nCUENTA=1)*(COUNTIF(CONFIG_ASIGNATURAS!$B$7:$B$27,nASIG)&gt;0)*(nNOTA))/SUMPRODUCT((nNIA=AE971)*(nCUENTA=1)*(COUNTIF(CONFIG_ASIGNATURAS!$B$7:$B$27,nASIG)&gt;0)*1),"")))</f>
        <v/>
      </c>
    </row>
    <row r="972" spans="2:35" x14ac:dyDescent="0.2">
      <c r="B972" t="str">
        <f>IF(A972="","",IF(A972="[FÓRMULA MANUAL]","",IFERROR(AVERAGEIFS(nNOTA,nNIA,A972,nCUENTA,1,nASIG,"Lenguaje Musical"),"")))</f>
        <v/>
      </c>
      <c r="C972" t="str">
        <f>IF(A972="","",IF(A972="[FÓRMULA MANUAL]","",IFERROR(AVERAGEIFS(nNOTA,nNIA,A972,nCUENTA,1,nASIG,"Orquesta/Banda/Conjunto"),"")))</f>
        <v/>
      </c>
      <c r="D972" t="str">
        <f>IF(A972="","",IF(A972="[FÓRMULA MANUAL]","",IFERROR(AVERAGEIFS(nNOTA,nNIA,A972,nCUENTA,1,nASIG,"Conjunto"),"")))</f>
        <v/>
      </c>
      <c r="E972" t="str">
        <f>IF(A972="","",IF(A972="[FÓRMULA MANUAL]","",IFERROR(SUMPRODUCT((nNIA=A972)*(nCUENTA=1)*(COUNTIF(CONFIG_ASIGNATURAS!$B$7:$B$27,nASIG)&gt;0)*(nNOTA))/SUMPRODUCT((nNIA=A972)*(nCUENTA=1)*(COUNTIF(CONFIG_ASIGNATURAS!$B$7:$B$27,nASIG)&gt;0)*1),"")))</f>
        <v/>
      </c>
      <c r="H972" t="str">
        <f>IF(G972="","",IF(G972="[FÓRMULA MANUAL]","",IFERROR(AVERAGEIFS(nNOTA,nNIA,G972,nCUENTA,1,nASIG,"Lenguaje Musical"),"")))</f>
        <v/>
      </c>
      <c r="I972" t="str">
        <f>IF(G972="","",IF(G972="[FÓRMULA MANUAL]","",IFERROR(AVERAGEIFS(nNOTA,nNIA,G972,nCUENTA,1,nASIG,"Orquesta/Banda/Conjunto"),"")))</f>
        <v/>
      </c>
      <c r="J972" t="str">
        <f>IF(G972="","",IF(G972="[FÓRMULA MANUAL]","",IFERROR(AVERAGEIFS(nNOTA,nNIA,G972,nCUENTA,1,nASIG,"Conjunto"),"")))</f>
        <v/>
      </c>
      <c r="K972" t="str">
        <f>IF(G972="","",IF(G972="[FÓRMULA MANUAL]","",IFERROR(SUMPRODUCT((nNIA=G972)*(nCUENTA=1)*(COUNTIF(CONFIG_ASIGNATURAS!$B$7:$B$27,nASIG)&gt;0)*(nNOTA))/SUMPRODUCT((nNIA=G972)*(nCUENTA=1)*(COUNTIF(CONFIG_ASIGNATURAS!$B$7:$B$27,nASIG)&gt;0)*1),"")))</f>
        <v/>
      </c>
      <c r="N972" t="str">
        <f>IF(M972="","",IF(M972="[FÓRMULA MANUAL]","",IFERROR(AVERAGEIFS(nNOTA,nNIA,M972,nCUENTA,1,nASIG,"Armonía"),"")))</f>
        <v/>
      </c>
      <c r="O972" t="str">
        <f>IF(M972="","",IF(M972="[FÓRMULA MANUAL]","",IFERROR(AVERAGEIFS(nNOTA,nNIA,M972,nCUENTA,1,nASIG,"Orquesta/Banda/Conjunto"),"")))</f>
        <v/>
      </c>
      <c r="P972" t="str">
        <f>IF(M972="","",IF(M972="[FÓRMULA MANUAL]","",IFERROR(AVERAGEIFS(nNOTA,nNIA,M972,nCUENTA,1,nASIG,"Música de Cámara"),"")))</f>
        <v/>
      </c>
      <c r="Q972" t="str">
        <f>IF(M972="","",IF(M972="[FÓRMULA MANUAL]","",IFERROR(SUMPRODUCT((nNIA=M972)*(nCUENTA=1)*(COUNTIF(CONFIG_ASIGNATURAS!$B$7:$B$27,nASIG)&gt;0)*(nNOTA))/SUMPRODUCT((nNIA=M972)*(nCUENTA=1)*(COUNTIF(CONFIG_ASIGNATURAS!$B$7:$B$27,nASIG)&gt;0)*1),"")))</f>
        <v/>
      </c>
      <c r="T972" t="str">
        <f>IF(S972="","",IF(S972="[FÓRMULA MANUAL]","",IFERROR(AVERAGEIFS(nNOTA,nNIA,S972,nCUENTA,1,nASIG,"Armonía"),"")))</f>
        <v/>
      </c>
      <c r="U972" t="str">
        <f>IF(S972="","",IF(S972="[FÓRMULA MANUAL]","",IFERROR(AVERAGEIFS(nNOTA,nNIA,S972,nCUENTA,1,nASIG,"Orquesta/Banda/Conjunto"),"")))</f>
        <v/>
      </c>
      <c r="V972" t="str">
        <f>IF(S972="","",IF(S972="[FÓRMULA MANUAL]","",IFERROR(AVERAGEIFS(nNOTA,nNIA,S972,nCUENTA,1,nASIG,"Música de Cámara"),"")))</f>
        <v/>
      </c>
      <c r="W972" t="str">
        <f>IF(S972="","",IF(S972="[FÓRMULA MANUAL]","",IFERROR(SUMPRODUCT((nNIA=S972)*(nCUENTA=1)*(COUNTIF(CONFIG_ASIGNATURAS!$B$7:$B$27,nASIG)&gt;0)*(nNOTA))/SUMPRODUCT((nNIA=S972)*(nCUENTA=1)*(COUNTIF(CONFIG_ASIGNATURAS!$B$7:$B$27,nASIG)&gt;0)*1),"")))</f>
        <v/>
      </c>
      <c r="Z972" t="str">
        <f>IF(Y972="","",IF(Y972="[FÓRMULA MANUAL]","",IFERROR(AVERAGEIFS(nNOTA,nNIA,Y972,nCUENTA,1,nASIG,"Análisis"),"")))</f>
        <v/>
      </c>
      <c r="AA972" t="str">
        <f>IF(Y972="","",IF(Y972="[FÓRMULA MANUAL]","",IFERROR(AVERAGEIFS(nNOTA,nNIA,Y972,nCUENTA,1,nASIG,"Orquesta/Banda/Conjunto"),"")))</f>
        <v/>
      </c>
      <c r="AB972" t="str">
        <f>IF(Y972="","",IF(Y972="[FÓRMULA MANUAL]","",IFERROR(AVERAGEIFS(nNOTA,nNIA,Y972,nCUENTA,1,nASIG,"Música de Cámara"),"")))</f>
        <v/>
      </c>
      <c r="AC972" t="str">
        <f>IF(Y972="","",IF(Y972="[FÓRMULA MANUAL]","",IFERROR(SUMPRODUCT((nNIA=Y972)*(nCUENTA=1)*(COUNTIF(CONFIG_ASIGNATURAS!$B$7:$B$27,nASIG)&gt;0)*(nNOTA))/SUMPRODUCT((nNIA=Y972)*(nCUENTA=1)*(COUNTIF(CONFIG_ASIGNATURAS!$B$7:$B$27,nASIG)&gt;0)*1),"")))</f>
        <v/>
      </c>
      <c r="AF972" t="str">
        <f>IF(AE972="","",IF(AE972="[FÓRMULA MANUAL]","",IFERROR(AVERAGEIFS(nNOTA,nNIA,AE972,nCUENTA,1,nASIG,"Análisis"),"")))</f>
        <v/>
      </c>
      <c r="AG972" t="str">
        <f>IF(AE972="","",IF(AE972="[FÓRMULA MANUAL]","",IFERROR(AVERAGEIFS(nNOTA,nNIA,AE972,nCUENTA,1,nASIG,"Orquesta/Banda/Conjunto"),"")))</f>
        <v/>
      </c>
      <c r="AH972" t="str">
        <f>IF(AE972="","",IF(AE972="[FÓRMULA MANUAL]","",IFERROR(AVERAGEIFS(nNOTA,nNIA,AE972,nCUENTA,1,nASIG,"Música de Cámara"),"")))</f>
        <v/>
      </c>
      <c r="AI972" t="str">
        <f>IF(AE972="","",IF(AE972="[FÓRMULA MANUAL]","",IFERROR(SUMPRODUCT((nNIA=AE972)*(nCUENTA=1)*(COUNTIF(CONFIG_ASIGNATURAS!$B$7:$B$27,nASIG)&gt;0)*(nNOTA))/SUMPRODUCT((nNIA=AE972)*(nCUENTA=1)*(COUNTIF(CONFIG_ASIGNATURAS!$B$7:$B$27,nASIG)&gt;0)*1),"")))</f>
        <v/>
      </c>
    </row>
    <row r="973" spans="2:35" x14ac:dyDescent="0.2">
      <c r="B973" t="str">
        <f>IF(A973="","",IF(A973="[FÓRMULA MANUAL]","",IFERROR(AVERAGEIFS(nNOTA,nNIA,A973,nCUENTA,1,nASIG,"Lenguaje Musical"),"")))</f>
        <v/>
      </c>
      <c r="C973" t="str">
        <f>IF(A973="","",IF(A973="[FÓRMULA MANUAL]","",IFERROR(AVERAGEIFS(nNOTA,nNIA,A973,nCUENTA,1,nASIG,"Orquesta/Banda/Conjunto"),"")))</f>
        <v/>
      </c>
      <c r="D973" t="str">
        <f>IF(A973="","",IF(A973="[FÓRMULA MANUAL]","",IFERROR(AVERAGEIFS(nNOTA,nNIA,A973,nCUENTA,1,nASIG,"Conjunto"),"")))</f>
        <v/>
      </c>
      <c r="E973" t="str">
        <f>IF(A973="","",IF(A973="[FÓRMULA MANUAL]","",IFERROR(SUMPRODUCT((nNIA=A973)*(nCUENTA=1)*(COUNTIF(CONFIG_ASIGNATURAS!$B$7:$B$27,nASIG)&gt;0)*(nNOTA))/SUMPRODUCT((nNIA=A973)*(nCUENTA=1)*(COUNTIF(CONFIG_ASIGNATURAS!$B$7:$B$27,nASIG)&gt;0)*1),"")))</f>
        <v/>
      </c>
      <c r="H973" t="str">
        <f>IF(G973="","",IF(G973="[FÓRMULA MANUAL]","",IFERROR(AVERAGEIFS(nNOTA,nNIA,G973,nCUENTA,1,nASIG,"Lenguaje Musical"),"")))</f>
        <v/>
      </c>
      <c r="I973" t="str">
        <f>IF(G973="","",IF(G973="[FÓRMULA MANUAL]","",IFERROR(AVERAGEIFS(nNOTA,nNIA,G973,nCUENTA,1,nASIG,"Orquesta/Banda/Conjunto"),"")))</f>
        <v/>
      </c>
      <c r="J973" t="str">
        <f>IF(G973="","",IF(G973="[FÓRMULA MANUAL]","",IFERROR(AVERAGEIFS(nNOTA,nNIA,G973,nCUENTA,1,nASIG,"Conjunto"),"")))</f>
        <v/>
      </c>
      <c r="K973" t="str">
        <f>IF(G973="","",IF(G973="[FÓRMULA MANUAL]","",IFERROR(SUMPRODUCT((nNIA=G973)*(nCUENTA=1)*(COUNTIF(CONFIG_ASIGNATURAS!$B$7:$B$27,nASIG)&gt;0)*(nNOTA))/SUMPRODUCT((nNIA=G973)*(nCUENTA=1)*(COUNTIF(CONFIG_ASIGNATURAS!$B$7:$B$27,nASIG)&gt;0)*1),"")))</f>
        <v/>
      </c>
      <c r="N973" t="str">
        <f>IF(M973="","",IF(M973="[FÓRMULA MANUAL]","",IFERROR(AVERAGEIFS(nNOTA,nNIA,M973,nCUENTA,1,nASIG,"Armonía"),"")))</f>
        <v/>
      </c>
      <c r="O973" t="str">
        <f>IF(M973="","",IF(M973="[FÓRMULA MANUAL]","",IFERROR(AVERAGEIFS(nNOTA,nNIA,M973,nCUENTA,1,nASIG,"Orquesta/Banda/Conjunto"),"")))</f>
        <v/>
      </c>
      <c r="P973" t="str">
        <f>IF(M973="","",IF(M973="[FÓRMULA MANUAL]","",IFERROR(AVERAGEIFS(nNOTA,nNIA,M973,nCUENTA,1,nASIG,"Música de Cámara"),"")))</f>
        <v/>
      </c>
      <c r="Q973" t="str">
        <f>IF(M973="","",IF(M973="[FÓRMULA MANUAL]","",IFERROR(SUMPRODUCT((nNIA=M973)*(nCUENTA=1)*(COUNTIF(CONFIG_ASIGNATURAS!$B$7:$B$27,nASIG)&gt;0)*(nNOTA))/SUMPRODUCT((nNIA=M973)*(nCUENTA=1)*(COUNTIF(CONFIG_ASIGNATURAS!$B$7:$B$27,nASIG)&gt;0)*1),"")))</f>
        <v/>
      </c>
      <c r="T973" t="str">
        <f>IF(S973="","",IF(S973="[FÓRMULA MANUAL]","",IFERROR(AVERAGEIFS(nNOTA,nNIA,S973,nCUENTA,1,nASIG,"Armonía"),"")))</f>
        <v/>
      </c>
      <c r="U973" t="str">
        <f>IF(S973="","",IF(S973="[FÓRMULA MANUAL]","",IFERROR(AVERAGEIFS(nNOTA,nNIA,S973,nCUENTA,1,nASIG,"Orquesta/Banda/Conjunto"),"")))</f>
        <v/>
      </c>
      <c r="V973" t="str">
        <f>IF(S973="","",IF(S973="[FÓRMULA MANUAL]","",IFERROR(AVERAGEIFS(nNOTA,nNIA,S973,nCUENTA,1,nASIG,"Música de Cámara"),"")))</f>
        <v/>
      </c>
      <c r="W973" t="str">
        <f>IF(S973="","",IF(S973="[FÓRMULA MANUAL]","",IFERROR(SUMPRODUCT((nNIA=S973)*(nCUENTA=1)*(COUNTIF(CONFIG_ASIGNATURAS!$B$7:$B$27,nASIG)&gt;0)*(nNOTA))/SUMPRODUCT((nNIA=S973)*(nCUENTA=1)*(COUNTIF(CONFIG_ASIGNATURAS!$B$7:$B$27,nASIG)&gt;0)*1),"")))</f>
        <v/>
      </c>
      <c r="Z973" t="str">
        <f>IF(Y973="","",IF(Y973="[FÓRMULA MANUAL]","",IFERROR(AVERAGEIFS(nNOTA,nNIA,Y973,nCUENTA,1,nASIG,"Análisis"),"")))</f>
        <v/>
      </c>
      <c r="AA973" t="str">
        <f>IF(Y973="","",IF(Y973="[FÓRMULA MANUAL]","",IFERROR(AVERAGEIFS(nNOTA,nNIA,Y973,nCUENTA,1,nASIG,"Orquesta/Banda/Conjunto"),"")))</f>
        <v/>
      </c>
      <c r="AB973" t="str">
        <f>IF(Y973="","",IF(Y973="[FÓRMULA MANUAL]","",IFERROR(AVERAGEIFS(nNOTA,nNIA,Y973,nCUENTA,1,nASIG,"Música de Cámara"),"")))</f>
        <v/>
      </c>
      <c r="AC973" t="str">
        <f>IF(Y973="","",IF(Y973="[FÓRMULA MANUAL]","",IFERROR(SUMPRODUCT((nNIA=Y973)*(nCUENTA=1)*(COUNTIF(CONFIG_ASIGNATURAS!$B$7:$B$27,nASIG)&gt;0)*(nNOTA))/SUMPRODUCT((nNIA=Y973)*(nCUENTA=1)*(COUNTIF(CONFIG_ASIGNATURAS!$B$7:$B$27,nASIG)&gt;0)*1),"")))</f>
        <v/>
      </c>
      <c r="AF973" t="str">
        <f>IF(AE973="","",IF(AE973="[FÓRMULA MANUAL]","",IFERROR(AVERAGEIFS(nNOTA,nNIA,AE973,nCUENTA,1,nASIG,"Análisis"),"")))</f>
        <v/>
      </c>
      <c r="AG973" t="str">
        <f>IF(AE973="","",IF(AE973="[FÓRMULA MANUAL]","",IFERROR(AVERAGEIFS(nNOTA,nNIA,AE973,nCUENTA,1,nASIG,"Orquesta/Banda/Conjunto"),"")))</f>
        <v/>
      </c>
      <c r="AH973" t="str">
        <f>IF(AE973="","",IF(AE973="[FÓRMULA MANUAL]","",IFERROR(AVERAGEIFS(nNOTA,nNIA,AE973,nCUENTA,1,nASIG,"Música de Cámara"),"")))</f>
        <v/>
      </c>
      <c r="AI973" t="str">
        <f>IF(AE973="","",IF(AE973="[FÓRMULA MANUAL]","",IFERROR(SUMPRODUCT((nNIA=AE973)*(nCUENTA=1)*(COUNTIF(CONFIG_ASIGNATURAS!$B$7:$B$27,nASIG)&gt;0)*(nNOTA))/SUMPRODUCT((nNIA=AE973)*(nCUENTA=1)*(COUNTIF(CONFIG_ASIGNATURAS!$B$7:$B$27,nASIG)&gt;0)*1),"")))</f>
        <v/>
      </c>
    </row>
    <row r="974" spans="2:35" x14ac:dyDescent="0.2">
      <c r="B974" t="str">
        <f>IF(A974="","",IF(A974="[FÓRMULA MANUAL]","",IFERROR(AVERAGEIFS(nNOTA,nNIA,A974,nCUENTA,1,nASIG,"Lenguaje Musical"),"")))</f>
        <v/>
      </c>
      <c r="C974" t="str">
        <f>IF(A974="","",IF(A974="[FÓRMULA MANUAL]","",IFERROR(AVERAGEIFS(nNOTA,nNIA,A974,nCUENTA,1,nASIG,"Orquesta/Banda/Conjunto"),"")))</f>
        <v/>
      </c>
      <c r="D974" t="str">
        <f>IF(A974="","",IF(A974="[FÓRMULA MANUAL]","",IFERROR(AVERAGEIFS(nNOTA,nNIA,A974,nCUENTA,1,nASIG,"Conjunto"),"")))</f>
        <v/>
      </c>
      <c r="E974" t="str">
        <f>IF(A974="","",IF(A974="[FÓRMULA MANUAL]","",IFERROR(SUMPRODUCT((nNIA=A974)*(nCUENTA=1)*(COUNTIF(CONFIG_ASIGNATURAS!$B$7:$B$27,nASIG)&gt;0)*(nNOTA))/SUMPRODUCT((nNIA=A974)*(nCUENTA=1)*(COUNTIF(CONFIG_ASIGNATURAS!$B$7:$B$27,nASIG)&gt;0)*1),"")))</f>
        <v/>
      </c>
      <c r="H974" t="str">
        <f>IF(G974="","",IF(G974="[FÓRMULA MANUAL]","",IFERROR(AVERAGEIFS(nNOTA,nNIA,G974,nCUENTA,1,nASIG,"Lenguaje Musical"),"")))</f>
        <v/>
      </c>
      <c r="I974" t="str">
        <f>IF(G974="","",IF(G974="[FÓRMULA MANUAL]","",IFERROR(AVERAGEIFS(nNOTA,nNIA,G974,nCUENTA,1,nASIG,"Orquesta/Banda/Conjunto"),"")))</f>
        <v/>
      </c>
      <c r="J974" t="str">
        <f>IF(G974="","",IF(G974="[FÓRMULA MANUAL]","",IFERROR(AVERAGEIFS(nNOTA,nNIA,G974,nCUENTA,1,nASIG,"Conjunto"),"")))</f>
        <v/>
      </c>
      <c r="K974" t="str">
        <f>IF(G974="","",IF(G974="[FÓRMULA MANUAL]","",IFERROR(SUMPRODUCT((nNIA=G974)*(nCUENTA=1)*(COUNTIF(CONFIG_ASIGNATURAS!$B$7:$B$27,nASIG)&gt;0)*(nNOTA))/SUMPRODUCT((nNIA=G974)*(nCUENTA=1)*(COUNTIF(CONFIG_ASIGNATURAS!$B$7:$B$27,nASIG)&gt;0)*1),"")))</f>
        <v/>
      </c>
      <c r="N974" t="str">
        <f>IF(M974="","",IF(M974="[FÓRMULA MANUAL]","",IFERROR(AVERAGEIFS(nNOTA,nNIA,M974,nCUENTA,1,nASIG,"Armonía"),"")))</f>
        <v/>
      </c>
      <c r="O974" t="str">
        <f>IF(M974="","",IF(M974="[FÓRMULA MANUAL]","",IFERROR(AVERAGEIFS(nNOTA,nNIA,M974,nCUENTA,1,nASIG,"Orquesta/Banda/Conjunto"),"")))</f>
        <v/>
      </c>
      <c r="P974" t="str">
        <f>IF(M974="","",IF(M974="[FÓRMULA MANUAL]","",IFERROR(AVERAGEIFS(nNOTA,nNIA,M974,nCUENTA,1,nASIG,"Música de Cámara"),"")))</f>
        <v/>
      </c>
      <c r="Q974" t="str">
        <f>IF(M974="","",IF(M974="[FÓRMULA MANUAL]","",IFERROR(SUMPRODUCT((nNIA=M974)*(nCUENTA=1)*(COUNTIF(CONFIG_ASIGNATURAS!$B$7:$B$27,nASIG)&gt;0)*(nNOTA))/SUMPRODUCT((nNIA=M974)*(nCUENTA=1)*(COUNTIF(CONFIG_ASIGNATURAS!$B$7:$B$27,nASIG)&gt;0)*1),"")))</f>
        <v/>
      </c>
      <c r="T974" t="str">
        <f>IF(S974="","",IF(S974="[FÓRMULA MANUAL]","",IFERROR(AVERAGEIFS(nNOTA,nNIA,S974,nCUENTA,1,nASIG,"Armonía"),"")))</f>
        <v/>
      </c>
      <c r="U974" t="str">
        <f>IF(S974="","",IF(S974="[FÓRMULA MANUAL]","",IFERROR(AVERAGEIFS(nNOTA,nNIA,S974,nCUENTA,1,nASIG,"Orquesta/Banda/Conjunto"),"")))</f>
        <v/>
      </c>
      <c r="V974" t="str">
        <f>IF(S974="","",IF(S974="[FÓRMULA MANUAL]","",IFERROR(AVERAGEIFS(nNOTA,nNIA,S974,nCUENTA,1,nASIG,"Música de Cámara"),"")))</f>
        <v/>
      </c>
      <c r="W974" t="str">
        <f>IF(S974="","",IF(S974="[FÓRMULA MANUAL]","",IFERROR(SUMPRODUCT((nNIA=S974)*(nCUENTA=1)*(COUNTIF(CONFIG_ASIGNATURAS!$B$7:$B$27,nASIG)&gt;0)*(nNOTA))/SUMPRODUCT((nNIA=S974)*(nCUENTA=1)*(COUNTIF(CONFIG_ASIGNATURAS!$B$7:$B$27,nASIG)&gt;0)*1),"")))</f>
        <v/>
      </c>
      <c r="Z974" t="str">
        <f>IF(Y974="","",IF(Y974="[FÓRMULA MANUAL]","",IFERROR(AVERAGEIFS(nNOTA,nNIA,Y974,nCUENTA,1,nASIG,"Análisis"),"")))</f>
        <v/>
      </c>
      <c r="AA974" t="str">
        <f>IF(Y974="","",IF(Y974="[FÓRMULA MANUAL]","",IFERROR(AVERAGEIFS(nNOTA,nNIA,Y974,nCUENTA,1,nASIG,"Orquesta/Banda/Conjunto"),"")))</f>
        <v/>
      </c>
      <c r="AB974" t="str">
        <f>IF(Y974="","",IF(Y974="[FÓRMULA MANUAL]","",IFERROR(AVERAGEIFS(nNOTA,nNIA,Y974,nCUENTA,1,nASIG,"Música de Cámara"),"")))</f>
        <v/>
      </c>
      <c r="AC974" t="str">
        <f>IF(Y974="","",IF(Y974="[FÓRMULA MANUAL]","",IFERROR(SUMPRODUCT((nNIA=Y974)*(nCUENTA=1)*(COUNTIF(CONFIG_ASIGNATURAS!$B$7:$B$27,nASIG)&gt;0)*(nNOTA))/SUMPRODUCT((nNIA=Y974)*(nCUENTA=1)*(COUNTIF(CONFIG_ASIGNATURAS!$B$7:$B$27,nASIG)&gt;0)*1),"")))</f>
        <v/>
      </c>
      <c r="AF974" t="str">
        <f>IF(AE974="","",IF(AE974="[FÓRMULA MANUAL]","",IFERROR(AVERAGEIFS(nNOTA,nNIA,AE974,nCUENTA,1,nASIG,"Análisis"),"")))</f>
        <v/>
      </c>
      <c r="AG974" t="str">
        <f>IF(AE974="","",IF(AE974="[FÓRMULA MANUAL]","",IFERROR(AVERAGEIFS(nNOTA,nNIA,AE974,nCUENTA,1,nASIG,"Orquesta/Banda/Conjunto"),"")))</f>
        <v/>
      </c>
      <c r="AH974" t="str">
        <f>IF(AE974="","",IF(AE974="[FÓRMULA MANUAL]","",IFERROR(AVERAGEIFS(nNOTA,nNIA,AE974,nCUENTA,1,nASIG,"Música de Cámara"),"")))</f>
        <v/>
      </c>
      <c r="AI974" t="str">
        <f>IF(AE974="","",IF(AE974="[FÓRMULA MANUAL]","",IFERROR(SUMPRODUCT((nNIA=AE974)*(nCUENTA=1)*(COUNTIF(CONFIG_ASIGNATURAS!$B$7:$B$27,nASIG)&gt;0)*(nNOTA))/SUMPRODUCT((nNIA=AE974)*(nCUENTA=1)*(COUNTIF(CONFIG_ASIGNATURAS!$B$7:$B$27,nASIG)&gt;0)*1),"")))</f>
        <v/>
      </c>
    </row>
    <row r="975" spans="2:35" x14ac:dyDescent="0.2">
      <c r="B975" t="str">
        <f>IF(A975="","",IF(A975="[FÓRMULA MANUAL]","",IFERROR(AVERAGEIFS(nNOTA,nNIA,A975,nCUENTA,1,nASIG,"Lenguaje Musical"),"")))</f>
        <v/>
      </c>
      <c r="C975" t="str">
        <f>IF(A975="","",IF(A975="[FÓRMULA MANUAL]","",IFERROR(AVERAGEIFS(nNOTA,nNIA,A975,nCUENTA,1,nASIG,"Orquesta/Banda/Conjunto"),"")))</f>
        <v/>
      </c>
      <c r="D975" t="str">
        <f>IF(A975="","",IF(A975="[FÓRMULA MANUAL]","",IFERROR(AVERAGEIFS(nNOTA,nNIA,A975,nCUENTA,1,nASIG,"Conjunto"),"")))</f>
        <v/>
      </c>
      <c r="E975" t="str">
        <f>IF(A975="","",IF(A975="[FÓRMULA MANUAL]","",IFERROR(SUMPRODUCT((nNIA=A975)*(nCUENTA=1)*(COUNTIF(CONFIG_ASIGNATURAS!$B$7:$B$27,nASIG)&gt;0)*(nNOTA))/SUMPRODUCT((nNIA=A975)*(nCUENTA=1)*(COUNTIF(CONFIG_ASIGNATURAS!$B$7:$B$27,nASIG)&gt;0)*1),"")))</f>
        <v/>
      </c>
      <c r="H975" t="str">
        <f>IF(G975="","",IF(G975="[FÓRMULA MANUAL]","",IFERROR(AVERAGEIFS(nNOTA,nNIA,G975,nCUENTA,1,nASIG,"Lenguaje Musical"),"")))</f>
        <v/>
      </c>
      <c r="I975" t="str">
        <f>IF(G975="","",IF(G975="[FÓRMULA MANUAL]","",IFERROR(AVERAGEIFS(nNOTA,nNIA,G975,nCUENTA,1,nASIG,"Orquesta/Banda/Conjunto"),"")))</f>
        <v/>
      </c>
      <c r="J975" t="str">
        <f>IF(G975="","",IF(G975="[FÓRMULA MANUAL]","",IFERROR(AVERAGEIFS(nNOTA,nNIA,G975,nCUENTA,1,nASIG,"Conjunto"),"")))</f>
        <v/>
      </c>
      <c r="K975" t="str">
        <f>IF(G975="","",IF(G975="[FÓRMULA MANUAL]","",IFERROR(SUMPRODUCT((nNIA=G975)*(nCUENTA=1)*(COUNTIF(CONFIG_ASIGNATURAS!$B$7:$B$27,nASIG)&gt;0)*(nNOTA))/SUMPRODUCT((nNIA=G975)*(nCUENTA=1)*(COUNTIF(CONFIG_ASIGNATURAS!$B$7:$B$27,nASIG)&gt;0)*1),"")))</f>
        <v/>
      </c>
      <c r="N975" t="str">
        <f>IF(M975="","",IF(M975="[FÓRMULA MANUAL]","",IFERROR(AVERAGEIFS(nNOTA,nNIA,M975,nCUENTA,1,nASIG,"Armonía"),"")))</f>
        <v/>
      </c>
      <c r="O975" t="str">
        <f>IF(M975="","",IF(M975="[FÓRMULA MANUAL]","",IFERROR(AVERAGEIFS(nNOTA,nNIA,M975,nCUENTA,1,nASIG,"Orquesta/Banda/Conjunto"),"")))</f>
        <v/>
      </c>
      <c r="P975" t="str">
        <f>IF(M975="","",IF(M975="[FÓRMULA MANUAL]","",IFERROR(AVERAGEIFS(nNOTA,nNIA,M975,nCUENTA,1,nASIG,"Música de Cámara"),"")))</f>
        <v/>
      </c>
      <c r="Q975" t="str">
        <f>IF(M975="","",IF(M975="[FÓRMULA MANUAL]","",IFERROR(SUMPRODUCT((nNIA=M975)*(nCUENTA=1)*(COUNTIF(CONFIG_ASIGNATURAS!$B$7:$B$27,nASIG)&gt;0)*(nNOTA))/SUMPRODUCT((nNIA=M975)*(nCUENTA=1)*(COUNTIF(CONFIG_ASIGNATURAS!$B$7:$B$27,nASIG)&gt;0)*1),"")))</f>
        <v/>
      </c>
      <c r="T975" t="str">
        <f>IF(S975="","",IF(S975="[FÓRMULA MANUAL]","",IFERROR(AVERAGEIFS(nNOTA,nNIA,S975,nCUENTA,1,nASIG,"Armonía"),"")))</f>
        <v/>
      </c>
      <c r="U975" t="str">
        <f>IF(S975="","",IF(S975="[FÓRMULA MANUAL]","",IFERROR(AVERAGEIFS(nNOTA,nNIA,S975,nCUENTA,1,nASIG,"Orquesta/Banda/Conjunto"),"")))</f>
        <v/>
      </c>
      <c r="V975" t="str">
        <f>IF(S975="","",IF(S975="[FÓRMULA MANUAL]","",IFERROR(AVERAGEIFS(nNOTA,nNIA,S975,nCUENTA,1,nASIG,"Música de Cámara"),"")))</f>
        <v/>
      </c>
      <c r="W975" t="str">
        <f>IF(S975="","",IF(S975="[FÓRMULA MANUAL]","",IFERROR(SUMPRODUCT((nNIA=S975)*(nCUENTA=1)*(COUNTIF(CONFIG_ASIGNATURAS!$B$7:$B$27,nASIG)&gt;0)*(nNOTA))/SUMPRODUCT((nNIA=S975)*(nCUENTA=1)*(COUNTIF(CONFIG_ASIGNATURAS!$B$7:$B$27,nASIG)&gt;0)*1),"")))</f>
        <v/>
      </c>
      <c r="Z975" t="str">
        <f>IF(Y975="","",IF(Y975="[FÓRMULA MANUAL]","",IFERROR(AVERAGEIFS(nNOTA,nNIA,Y975,nCUENTA,1,nASIG,"Análisis"),"")))</f>
        <v/>
      </c>
      <c r="AA975" t="str">
        <f>IF(Y975="","",IF(Y975="[FÓRMULA MANUAL]","",IFERROR(AVERAGEIFS(nNOTA,nNIA,Y975,nCUENTA,1,nASIG,"Orquesta/Banda/Conjunto"),"")))</f>
        <v/>
      </c>
      <c r="AB975" t="str">
        <f>IF(Y975="","",IF(Y975="[FÓRMULA MANUAL]","",IFERROR(AVERAGEIFS(nNOTA,nNIA,Y975,nCUENTA,1,nASIG,"Música de Cámara"),"")))</f>
        <v/>
      </c>
      <c r="AC975" t="str">
        <f>IF(Y975="","",IF(Y975="[FÓRMULA MANUAL]","",IFERROR(SUMPRODUCT((nNIA=Y975)*(nCUENTA=1)*(COUNTIF(CONFIG_ASIGNATURAS!$B$7:$B$27,nASIG)&gt;0)*(nNOTA))/SUMPRODUCT((nNIA=Y975)*(nCUENTA=1)*(COUNTIF(CONFIG_ASIGNATURAS!$B$7:$B$27,nASIG)&gt;0)*1),"")))</f>
        <v/>
      </c>
      <c r="AF975" t="str">
        <f>IF(AE975="","",IF(AE975="[FÓRMULA MANUAL]","",IFERROR(AVERAGEIFS(nNOTA,nNIA,AE975,nCUENTA,1,nASIG,"Análisis"),"")))</f>
        <v/>
      </c>
      <c r="AG975" t="str">
        <f>IF(AE975="","",IF(AE975="[FÓRMULA MANUAL]","",IFERROR(AVERAGEIFS(nNOTA,nNIA,AE975,nCUENTA,1,nASIG,"Orquesta/Banda/Conjunto"),"")))</f>
        <v/>
      </c>
      <c r="AH975" t="str">
        <f>IF(AE975="","",IF(AE975="[FÓRMULA MANUAL]","",IFERROR(AVERAGEIFS(nNOTA,nNIA,AE975,nCUENTA,1,nASIG,"Música de Cámara"),"")))</f>
        <v/>
      </c>
      <c r="AI975" t="str">
        <f>IF(AE975="","",IF(AE975="[FÓRMULA MANUAL]","",IFERROR(SUMPRODUCT((nNIA=AE975)*(nCUENTA=1)*(COUNTIF(CONFIG_ASIGNATURAS!$B$7:$B$27,nASIG)&gt;0)*(nNOTA))/SUMPRODUCT((nNIA=AE975)*(nCUENTA=1)*(COUNTIF(CONFIG_ASIGNATURAS!$B$7:$B$27,nASIG)&gt;0)*1),"")))</f>
        <v/>
      </c>
    </row>
    <row r="976" spans="2:35" x14ac:dyDescent="0.2">
      <c r="B976" t="str">
        <f>IF(A976="","",IF(A976="[FÓRMULA MANUAL]","",IFERROR(AVERAGEIFS(nNOTA,nNIA,A976,nCUENTA,1,nASIG,"Lenguaje Musical"),"")))</f>
        <v/>
      </c>
      <c r="C976" t="str">
        <f>IF(A976="","",IF(A976="[FÓRMULA MANUAL]","",IFERROR(AVERAGEIFS(nNOTA,nNIA,A976,nCUENTA,1,nASIG,"Orquesta/Banda/Conjunto"),"")))</f>
        <v/>
      </c>
      <c r="D976" t="str">
        <f>IF(A976="","",IF(A976="[FÓRMULA MANUAL]","",IFERROR(AVERAGEIFS(nNOTA,nNIA,A976,nCUENTA,1,nASIG,"Conjunto"),"")))</f>
        <v/>
      </c>
      <c r="E976" t="str">
        <f>IF(A976="","",IF(A976="[FÓRMULA MANUAL]","",IFERROR(SUMPRODUCT((nNIA=A976)*(nCUENTA=1)*(COUNTIF(CONFIG_ASIGNATURAS!$B$7:$B$27,nASIG)&gt;0)*(nNOTA))/SUMPRODUCT((nNIA=A976)*(nCUENTA=1)*(COUNTIF(CONFIG_ASIGNATURAS!$B$7:$B$27,nASIG)&gt;0)*1),"")))</f>
        <v/>
      </c>
      <c r="H976" t="str">
        <f>IF(G976="","",IF(G976="[FÓRMULA MANUAL]","",IFERROR(AVERAGEIFS(nNOTA,nNIA,G976,nCUENTA,1,nASIG,"Lenguaje Musical"),"")))</f>
        <v/>
      </c>
      <c r="I976" t="str">
        <f>IF(G976="","",IF(G976="[FÓRMULA MANUAL]","",IFERROR(AVERAGEIFS(nNOTA,nNIA,G976,nCUENTA,1,nASIG,"Orquesta/Banda/Conjunto"),"")))</f>
        <v/>
      </c>
      <c r="J976" t="str">
        <f>IF(G976="","",IF(G976="[FÓRMULA MANUAL]","",IFERROR(AVERAGEIFS(nNOTA,nNIA,G976,nCUENTA,1,nASIG,"Conjunto"),"")))</f>
        <v/>
      </c>
      <c r="K976" t="str">
        <f>IF(G976="","",IF(G976="[FÓRMULA MANUAL]","",IFERROR(SUMPRODUCT((nNIA=G976)*(nCUENTA=1)*(COUNTIF(CONFIG_ASIGNATURAS!$B$7:$B$27,nASIG)&gt;0)*(nNOTA))/SUMPRODUCT((nNIA=G976)*(nCUENTA=1)*(COUNTIF(CONFIG_ASIGNATURAS!$B$7:$B$27,nASIG)&gt;0)*1),"")))</f>
        <v/>
      </c>
      <c r="N976" t="str">
        <f>IF(M976="","",IF(M976="[FÓRMULA MANUAL]","",IFERROR(AVERAGEIFS(nNOTA,nNIA,M976,nCUENTA,1,nASIG,"Armonía"),"")))</f>
        <v/>
      </c>
      <c r="O976" t="str">
        <f>IF(M976="","",IF(M976="[FÓRMULA MANUAL]","",IFERROR(AVERAGEIFS(nNOTA,nNIA,M976,nCUENTA,1,nASIG,"Orquesta/Banda/Conjunto"),"")))</f>
        <v/>
      </c>
      <c r="P976" t="str">
        <f>IF(M976="","",IF(M976="[FÓRMULA MANUAL]","",IFERROR(AVERAGEIFS(nNOTA,nNIA,M976,nCUENTA,1,nASIG,"Música de Cámara"),"")))</f>
        <v/>
      </c>
      <c r="Q976" t="str">
        <f>IF(M976="","",IF(M976="[FÓRMULA MANUAL]","",IFERROR(SUMPRODUCT((nNIA=M976)*(nCUENTA=1)*(COUNTIF(CONFIG_ASIGNATURAS!$B$7:$B$27,nASIG)&gt;0)*(nNOTA))/SUMPRODUCT((nNIA=M976)*(nCUENTA=1)*(COUNTIF(CONFIG_ASIGNATURAS!$B$7:$B$27,nASIG)&gt;0)*1),"")))</f>
        <v/>
      </c>
      <c r="T976" t="str">
        <f>IF(S976="","",IF(S976="[FÓRMULA MANUAL]","",IFERROR(AVERAGEIFS(nNOTA,nNIA,S976,nCUENTA,1,nASIG,"Armonía"),"")))</f>
        <v/>
      </c>
      <c r="U976" t="str">
        <f>IF(S976="","",IF(S976="[FÓRMULA MANUAL]","",IFERROR(AVERAGEIFS(nNOTA,nNIA,S976,nCUENTA,1,nASIG,"Orquesta/Banda/Conjunto"),"")))</f>
        <v/>
      </c>
      <c r="V976" t="str">
        <f>IF(S976="","",IF(S976="[FÓRMULA MANUAL]","",IFERROR(AVERAGEIFS(nNOTA,nNIA,S976,nCUENTA,1,nASIG,"Música de Cámara"),"")))</f>
        <v/>
      </c>
      <c r="W976" t="str">
        <f>IF(S976="","",IF(S976="[FÓRMULA MANUAL]","",IFERROR(SUMPRODUCT((nNIA=S976)*(nCUENTA=1)*(COUNTIF(CONFIG_ASIGNATURAS!$B$7:$B$27,nASIG)&gt;0)*(nNOTA))/SUMPRODUCT((nNIA=S976)*(nCUENTA=1)*(COUNTIF(CONFIG_ASIGNATURAS!$B$7:$B$27,nASIG)&gt;0)*1),"")))</f>
        <v/>
      </c>
      <c r="Z976" t="str">
        <f>IF(Y976="","",IF(Y976="[FÓRMULA MANUAL]","",IFERROR(AVERAGEIFS(nNOTA,nNIA,Y976,nCUENTA,1,nASIG,"Análisis"),"")))</f>
        <v/>
      </c>
      <c r="AA976" t="str">
        <f>IF(Y976="","",IF(Y976="[FÓRMULA MANUAL]","",IFERROR(AVERAGEIFS(nNOTA,nNIA,Y976,nCUENTA,1,nASIG,"Orquesta/Banda/Conjunto"),"")))</f>
        <v/>
      </c>
      <c r="AB976" t="str">
        <f>IF(Y976="","",IF(Y976="[FÓRMULA MANUAL]","",IFERROR(AVERAGEIFS(nNOTA,nNIA,Y976,nCUENTA,1,nASIG,"Música de Cámara"),"")))</f>
        <v/>
      </c>
      <c r="AC976" t="str">
        <f>IF(Y976="","",IF(Y976="[FÓRMULA MANUAL]","",IFERROR(SUMPRODUCT((nNIA=Y976)*(nCUENTA=1)*(COUNTIF(CONFIG_ASIGNATURAS!$B$7:$B$27,nASIG)&gt;0)*(nNOTA))/SUMPRODUCT((nNIA=Y976)*(nCUENTA=1)*(COUNTIF(CONFIG_ASIGNATURAS!$B$7:$B$27,nASIG)&gt;0)*1),"")))</f>
        <v/>
      </c>
      <c r="AF976" t="str">
        <f>IF(AE976="","",IF(AE976="[FÓRMULA MANUAL]","",IFERROR(AVERAGEIFS(nNOTA,nNIA,AE976,nCUENTA,1,nASIG,"Análisis"),"")))</f>
        <v/>
      </c>
      <c r="AG976" t="str">
        <f>IF(AE976="","",IF(AE976="[FÓRMULA MANUAL]","",IFERROR(AVERAGEIFS(nNOTA,nNIA,AE976,nCUENTA,1,nASIG,"Orquesta/Banda/Conjunto"),"")))</f>
        <v/>
      </c>
      <c r="AH976" t="str">
        <f>IF(AE976="","",IF(AE976="[FÓRMULA MANUAL]","",IFERROR(AVERAGEIFS(nNOTA,nNIA,AE976,nCUENTA,1,nASIG,"Música de Cámara"),"")))</f>
        <v/>
      </c>
      <c r="AI976" t="str">
        <f>IF(AE976="","",IF(AE976="[FÓRMULA MANUAL]","",IFERROR(SUMPRODUCT((nNIA=AE976)*(nCUENTA=1)*(COUNTIF(CONFIG_ASIGNATURAS!$B$7:$B$27,nASIG)&gt;0)*(nNOTA))/SUMPRODUCT((nNIA=AE976)*(nCUENTA=1)*(COUNTIF(CONFIG_ASIGNATURAS!$B$7:$B$27,nASIG)&gt;0)*1),"")))</f>
        <v/>
      </c>
    </row>
    <row r="977" spans="2:35" x14ac:dyDescent="0.2">
      <c r="B977" t="str">
        <f>IF(A977="","",IF(A977="[FÓRMULA MANUAL]","",IFERROR(AVERAGEIFS(nNOTA,nNIA,A977,nCUENTA,1,nASIG,"Lenguaje Musical"),"")))</f>
        <v/>
      </c>
      <c r="C977" t="str">
        <f>IF(A977="","",IF(A977="[FÓRMULA MANUAL]","",IFERROR(AVERAGEIFS(nNOTA,nNIA,A977,nCUENTA,1,nASIG,"Orquesta/Banda/Conjunto"),"")))</f>
        <v/>
      </c>
      <c r="D977" t="str">
        <f>IF(A977="","",IF(A977="[FÓRMULA MANUAL]","",IFERROR(AVERAGEIFS(nNOTA,nNIA,A977,nCUENTA,1,nASIG,"Conjunto"),"")))</f>
        <v/>
      </c>
      <c r="E977" t="str">
        <f>IF(A977="","",IF(A977="[FÓRMULA MANUAL]","",IFERROR(SUMPRODUCT((nNIA=A977)*(nCUENTA=1)*(COUNTIF(CONFIG_ASIGNATURAS!$B$7:$B$27,nASIG)&gt;0)*(nNOTA))/SUMPRODUCT((nNIA=A977)*(nCUENTA=1)*(COUNTIF(CONFIG_ASIGNATURAS!$B$7:$B$27,nASIG)&gt;0)*1),"")))</f>
        <v/>
      </c>
      <c r="H977" t="str">
        <f>IF(G977="","",IF(G977="[FÓRMULA MANUAL]","",IFERROR(AVERAGEIFS(nNOTA,nNIA,G977,nCUENTA,1,nASIG,"Lenguaje Musical"),"")))</f>
        <v/>
      </c>
      <c r="I977" t="str">
        <f>IF(G977="","",IF(G977="[FÓRMULA MANUAL]","",IFERROR(AVERAGEIFS(nNOTA,nNIA,G977,nCUENTA,1,nASIG,"Orquesta/Banda/Conjunto"),"")))</f>
        <v/>
      </c>
      <c r="J977" t="str">
        <f>IF(G977="","",IF(G977="[FÓRMULA MANUAL]","",IFERROR(AVERAGEIFS(nNOTA,nNIA,G977,nCUENTA,1,nASIG,"Conjunto"),"")))</f>
        <v/>
      </c>
      <c r="K977" t="str">
        <f>IF(G977="","",IF(G977="[FÓRMULA MANUAL]","",IFERROR(SUMPRODUCT((nNIA=G977)*(nCUENTA=1)*(COUNTIF(CONFIG_ASIGNATURAS!$B$7:$B$27,nASIG)&gt;0)*(nNOTA))/SUMPRODUCT((nNIA=G977)*(nCUENTA=1)*(COUNTIF(CONFIG_ASIGNATURAS!$B$7:$B$27,nASIG)&gt;0)*1),"")))</f>
        <v/>
      </c>
      <c r="N977" t="str">
        <f>IF(M977="","",IF(M977="[FÓRMULA MANUAL]","",IFERROR(AVERAGEIFS(nNOTA,nNIA,M977,nCUENTA,1,nASIG,"Armonía"),"")))</f>
        <v/>
      </c>
      <c r="O977" t="str">
        <f>IF(M977="","",IF(M977="[FÓRMULA MANUAL]","",IFERROR(AVERAGEIFS(nNOTA,nNIA,M977,nCUENTA,1,nASIG,"Orquesta/Banda/Conjunto"),"")))</f>
        <v/>
      </c>
      <c r="P977" t="str">
        <f>IF(M977="","",IF(M977="[FÓRMULA MANUAL]","",IFERROR(AVERAGEIFS(nNOTA,nNIA,M977,nCUENTA,1,nASIG,"Música de Cámara"),"")))</f>
        <v/>
      </c>
      <c r="Q977" t="str">
        <f>IF(M977="","",IF(M977="[FÓRMULA MANUAL]","",IFERROR(SUMPRODUCT((nNIA=M977)*(nCUENTA=1)*(COUNTIF(CONFIG_ASIGNATURAS!$B$7:$B$27,nASIG)&gt;0)*(nNOTA))/SUMPRODUCT((nNIA=M977)*(nCUENTA=1)*(COUNTIF(CONFIG_ASIGNATURAS!$B$7:$B$27,nASIG)&gt;0)*1),"")))</f>
        <v/>
      </c>
      <c r="T977" t="str">
        <f>IF(S977="","",IF(S977="[FÓRMULA MANUAL]","",IFERROR(AVERAGEIFS(nNOTA,nNIA,S977,nCUENTA,1,nASIG,"Armonía"),"")))</f>
        <v/>
      </c>
      <c r="U977" t="str">
        <f>IF(S977="","",IF(S977="[FÓRMULA MANUAL]","",IFERROR(AVERAGEIFS(nNOTA,nNIA,S977,nCUENTA,1,nASIG,"Orquesta/Banda/Conjunto"),"")))</f>
        <v/>
      </c>
      <c r="V977" t="str">
        <f>IF(S977="","",IF(S977="[FÓRMULA MANUAL]","",IFERROR(AVERAGEIFS(nNOTA,nNIA,S977,nCUENTA,1,nASIG,"Música de Cámara"),"")))</f>
        <v/>
      </c>
      <c r="W977" t="str">
        <f>IF(S977="","",IF(S977="[FÓRMULA MANUAL]","",IFERROR(SUMPRODUCT((nNIA=S977)*(nCUENTA=1)*(COUNTIF(CONFIG_ASIGNATURAS!$B$7:$B$27,nASIG)&gt;0)*(nNOTA))/SUMPRODUCT((nNIA=S977)*(nCUENTA=1)*(COUNTIF(CONFIG_ASIGNATURAS!$B$7:$B$27,nASIG)&gt;0)*1),"")))</f>
        <v/>
      </c>
      <c r="Z977" t="str">
        <f>IF(Y977="","",IF(Y977="[FÓRMULA MANUAL]","",IFERROR(AVERAGEIFS(nNOTA,nNIA,Y977,nCUENTA,1,nASIG,"Análisis"),"")))</f>
        <v/>
      </c>
      <c r="AA977" t="str">
        <f>IF(Y977="","",IF(Y977="[FÓRMULA MANUAL]","",IFERROR(AVERAGEIFS(nNOTA,nNIA,Y977,nCUENTA,1,nASIG,"Orquesta/Banda/Conjunto"),"")))</f>
        <v/>
      </c>
      <c r="AB977" t="str">
        <f>IF(Y977="","",IF(Y977="[FÓRMULA MANUAL]","",IFERROR(AVERAGEIFS(nNOTA,nNIA,Y977,nCUENTA,1,nASIG,"Música de Cámara"),"")))</f>
        <v/>
      </c>
      <c r="AC977" t="str">
        <f>IF(Y977="","",IF(Y977="[FÓRMULA MANUAL]","",IFERROR(SUMPRODUCT((nNIA=Y977)*(nCUENTA=1)*(COUNTIF(CONFIG_ASIGNATURAS!$B$7:$B$27,nASIG)&gt;0)*(nNOTA))/SUMPRODUCT((nNIA=Y977)*(nCUENTA=1)*(COUNTIF(CONFIG_ASIGNATURAS!$B$7:$B$27,nASIG)&gt;0)*1),"")))</f>
        <v/>
      </c>
      <c r="AF977" t="str">
        <f>IF(AE977="","",IF(AE977="[FÓRMULA MANUAL]","",IFERROR(AVERAGEIFS(nNOTA,nNIA,AE977,nCUENTA,1,nASIG,"Análisis"),"")))</f>
        <v/>
      </c>
      <c r="AG977" t="str">
        <f>IF(AE977="","",IF(AE977="[FÓRMULA MANUAL]","",IFERROR(AVERAGEIFS(nNOTA,nNIA,AE977,nCUENTA,1,nASIG,"Orquesta/Banda/Conjunto"),"")))</f>
        <v/>
      </c>
      <c r="AH977" t="str">
        <f>IF(AE977="","",IF(AE977="[FÓRMULA MANUAL]","",IFERROR(AVERAGEIFS(nNOTA,nNIA,AE977,nCUENTA,1,nASIG,"Música de Cámara"),"")))</f>
        <v/>
      </c>
      <c r="AI977" t="str">
        <f>IF(AE977="","",IF(AE977="[FÓRMULA MANUAL]","",IFERROR(SUMPRODUCT((nNIA=AE977)*(nCUENTA=1)*(COUNTIF(CONFIG_ASIGNATURAS!$B$7:$B$27,nASIG)&gt;0)*(nNOTA))/SUMPRODUCT((nNIA=AE977)*(nCUENTA=1)*(COUNTIF(CONFIG_ASIGNATURAS!$B$7:$B$27,nASIG)&gt;0)*1),"")))</f>
        <v/>
      </c>
    </row>
    <row r="978" spans="2:35" x14ac:dyDescent="0.2">
      <c r="B978" t="str">
        <f>IF(A978="","",IF(A978="[FÓRMULA MANUAL]","",IFERROR(AVERAGEIFS(nNOTA,nNIA,A978,nCUENTA,1,nASIG,"Lenguaje Musical"),"")))</f>
        <v/>
      </c>
      <c r="C978" t="str">
        <f>IF(A978="","",IF(A978="[FÓRMULA MANUAL]","",IFERROR(AVERAGEIFS(nNOTA,nNIA,A978,nCUENTA,1,nASIG,"Orquesta/Banda/Conjunto"),"")))</f>
        <v/>
      </c>
      <c r="D978" t="str">
        <f>IF(A978="","",IF(A978="[FÓRMULA MANUAL]","",IFERROR(AVERAGEIFS(nNOTA,nNIA,A978,nCUENTA,1,nASIG,"Conjunto"),"")))</f>
        <v/>
      </c>
      <c r="E978" t="str">
        <f>IF(A978="","",IF(A978="[FÓRMULA MANUAL]","",IFERROR(SUMPRODUCT((nNIA=A978)*(nCUENTA=1)*(COUNTIF(CONFIG_ASIGNATURAS!$B$7:$B$27,nASIG)&gt;0)*(nNOTA))/SUMPRODUCT((nNIA=A978)*(nCUENTA=1)*(COUNTIF(CONFIG_ASIGNATURAS!$B$7:$B$27,nASIG)&gt;0)*1),"")))</f>
        <v/>
      </c>
      <c r="H978" t="str">
        <f>IF(G978="","",IF(G978="[FÓRMULA MANUAL]","",IFERROR(AVERAGEIFS(nNOTA,nNIA,G978,nCUENTA,1,nASIG,"Lenguaje Musical"),"")))</f>
        <v/>
      </c>
      <c r="I978" t="str">
        <f>IF(G978="","",IF(G978="[FÓRMULA MANUAL]","",IFERROR(AVERAGEIFS(nNOTA,nNIA,G978,nCUENTA,1,nASIG,"Orquesta/Banda/Conjunto"),"")))</f>
        <v/>
      </c>
      <c r="J978" t="str">
        <f>IF(G978="","",IF(G978="[FÓRMULA MANUAL]","",IFERROR(AVERAGEIFS(nNOTA,nNIA,G978,nCUENTA,1,nASIG,"Conjunto"),"")))</f>
        <v/>
      </c>
      <c r="K978" t="str">
        <f>IF(G978="","",IF(G978="[FÓRMULA MANUAL]","",IFERROR(SUMPRODUCT((nNIA=G978)*(nCUENTA=1)*(COUNTIF(CONFIG_ASIGNATURAS!$B$7:$B$27,nASIG)&gt;0)*(nNOTA))/SUMPRODUCT((nNIA=G978)*(nCUENTA=1)*(COUNTIF(CONFIG_ASIGNATURAS!$B$7:$B$27,nASIG)&gt;0)*1),"")))</f>
        <v/>
      </c>
      <c r="N978" t="str">
        <f>IF(M978="","",IF(M978="[FÓRMULA MANUAL]","",IFERROR(AVERAGEIFS(nNOTA,nNIA,M978,nCUENTA,1,nASIG,"Armonía"),"")))</f>
        <v/>
      </c>
      <c r="O978" t="str">
        <f>IF(M978="","",IF(M978="[FÓRMULA MANUAL]","",IFERROR(AVERAGEIFS(nNOTA,nNIA,M978,nCUENTA,1,nASIG,"Orquesta/Banda/Conjunto"),"")))</f>
        <v/>
      </c>
      <c r="P978" t="str">
        <f>IF(M978="","",IF(M978="[FÓRMULA MANUAL]","",IFERROR(AVERAGEIFS(nNOTA,nNIA,M978,nCUENTA,1,nASIG,"Música de Cámara"),"")))</f>
        <v/>
      </c>
      <c r="Q978" t="str">
        <f>IF(M978="","",IF(M978="[FÓRMULA MANUAL]","",IFERROR(SUMPRODUCT((nNIA=M978)*(nCUENTA=1)*(COUNTIF(CONFIG_ASIGNATURAS!$B$7:$B$27,nASIG)&gt;0)*(nNOTA))/SUMPRODUCT((nNIA=M978)*(nCUENTA=1)*(COUNTIF(CONFIG_ASIGNATURAS!$B$7:$B$27,nASIG)&gt;0)*1),"")))</f>
        <v/>
      </c>
      <c r="T978" t="str">
        <f>IF(S978="","",IF(S978="[FÓRMULA MANUAL]","",IFERROR(AVERAGEIFS(nNOTA,nNIA,S978,nCUENTA,1,nASIG,"Armonía"),"")))</f>
        <v/>
      </c>
      <c r="U978" t="str">
        <f>IF(S978="","",IF(S978="[FÓRMULA MANUAL]","",IFERROR(AVERAGEIFS(nNOTA,nNIA,S978,nCUENTA,1,nASIG,"Orquesta/Banda/Conjunto"),"")))</f>
        <v/>
      </c>
      <c r="V978" t="str">
        <f>IF(S978="","",IF(S978="[FÓRMULA MANUAL]","",IFERROR(AVERAGEIFS(nNOTA,nNIA,S978,nCUENTA,1,nASIG,"Música de Cámara"),"")))</f>
        <v/>
      </c>
      <c r="W978" t="str">
        <f>IF(S978="","",IF(S978="[FÓRMULA MANUAL]","",IFERROR(SUMPRODUCT((nNIA=S978)*(nCUENTA=1)*(COUNTIF(CONFIG_ASIGNATURAS!$B$7:$B$27,nASIG)&gt;0)*(nNOTA))/SUMPRODUCT((nNIA=S978)*(nCUENTA=1)*(COUNTIF(CONFIG_ASIGNATURAS!$B$7:$B$27,nASIG)&gt;0)*1),"")))</f>
        <v/>
      </c>
      <c r="Z978" t="str">
        <f>IF(Y978="","",IF(Y978="[FÓRMULA MANUAL]","",IFERROR(AVERAGEIFS(nNOTA,nNIA,Y978,nCUENTA,1,nASIG,"Análisis"),"")))</f>
        <v/>
      </c>
      <c r="AA978" t="str">
        <f>IF(Y978="","",IF(Y978="[FÓRMULA MANUAL]","",IFERROR(AVERAGEIFS(nNOTA,nNIA,Y978,nCUENTA,1,nASIG,"Orquesta/Banda/Conjunto"),"")))</f>
        <v/>
      </c>
      <c r="AB978" t="str">
        <f>IF(Y978="","",IF(Y978="[FÓRMULA MANUAL]","",IFERROR(AVERAGEIFS(nNOTA,nNIA,Y978,nCUENTA,1,nASIG,"Música de Cámara"),"")))</f>
        <v/>
      </c>
      <c r="AC978" t="str">
        <f>IF(Y978="","",IF(Y978="[FÓRMULA MANUAL]","",IFERROR(SUMPRODUCT((nNIA=Y978)*(nCUENTA=1)*(COUNTIF(CONFIG_ASIGNATURAS!$B$7:$B$27,nASIG)&gt;0)*(nNOTA))/SUMPRODUCT((nNIA=Y978)*(nCUENTA=1)*(COUNTIF(CONFIG_ASIGNATURAS!$B$7:$B$27,nASIG)&gt;0)*1),"")))</f>
        <v/>
      </c>
      <c r="AF978" t="str">
        <f>IF(AE978="","",IF(AE978="[FÓRMULA MANUAL]","",IFERROR(AVERAGEIFS(nNOTA,nNIA,AE978,nCUENTA,1,nASIG,"Análisis"),"")))</f>
        <v/>
      </c>
      <c r="AG978" t="str">
        <f>IF(AE978="","",IF(AE978="[FÓRMULA MANUAL]","",IFERROR(AVERAGEIFS(nNOTA,nNIA,AE978,nCUENTA,1,nASIG,"Orquesta/Banda/Conjunto"),"")))</f>
        <v/>
      </c>
      <c r="AH978" t="str">
        <f>IF(AE978="","",IF(AE978="[FÓRMULA MANUAL]","",IFERROR(AVERAGEIFS(nNOTA,nNIA,AE978,nCUENTA,1,nASIG,"Música de Cámara"),"")))</f>
        <v/>
      </c>
      <c r="AI978" t="str">
        <f>IF(AE978="","",IF(AE978="[FÓRMULA MANUAL]","",IFERROR(SUMPRODUCT((nNIA=AE978)*(nCUENTA=1)*(COUNTIF(CONFIG_ASIGNATURAS!$B$7:$B$27,nASIG)&gt;0)*(nNOTA))/SUMPRODUCT((nNIA=AE978)*(nCUENTA=1)*(COUNTIF(CONFIG_ASIGNATURAS!$B$7:$B$27,nASIG)&gt;0)*1),"")))</f>
        <v/>
      </c>
    </row>
    <row r="979" spans="2:35" x14ac:dyDescent="0.2">
      <c r="B979" t="str">
        <f>IF(A979="","",IF(A979="[FÓRMULA MANUAL]","",IFERROR(AVERAGEIFS(nNOTA,nNIA,A979,nCUENTA,1,nASIG,"Lenguaje Musical"),"")))</f>
        <v/>
      </c>
      <c r="C979" t="str">
        <f>IF(A979="","",IF(A979="[FÓRMULA MANUAL]","",IFERROR(AVERAGEIFS(nNOTA,nNIA,A979,nCUENTA,1,nASIG,"Orquesta/Banda/Conjunto"),"")))</f>
        <v/>
      </c>
      <c r="D979" t="str">
        <f>IF(A979="","",IF(A979="[FÓRMULA MANUAL]","",IFERROR(AVERAGEIFS(nNOTA,nNIA,A979,nCUENTA,1,nASIG,"Conjunto"),"")))</f>
        <v/>
      </c>
      <c r="E979" t="str">
        <f>IF(A979="","",IF(A979="[FÓRMULA MANUAL]","",IFERROR(SUMPRODUCT((nNIA=A979)*(nCUENTA=1)*(COUNTIF(CONFIG_ASIGNATURAS!$B$7:$B$27,nASIG)&gt;0)*(nNOTA))/SUMPRODUCT((nNIA=A979)*(nCUENTA=1)*(COUNTIF(CONFIG_ASIGNATURAS!$B$7:$B$27,nASIG)&gt;0)*1),"")))</f>
        <v/>
      </c>
      <c r="H979" t="str">
        <f>IF(G979="","",IF(G979="[FÓRMULA MANUAL]","",IFERROR(AVERAGEIFS(nNOTA,nNIA,G979,nCUENTA,1,nASIG,"Lenguaje Musical"),"")))</f>
        <v/>
      </c>
      <c r="I979" t="str">
        <f>IF(G979="","",IF(G979="[FÓRMULA MANUAL]","",IFERROR(AVERAGEIFS(nNOTA,nNIA,G979,nCUENTA,1,nASIG,"Orquesta/Banda/Conjunto"),"")))</f>
        <v/>
      </c>
      <c r="J979" t="str">
        <f>IF(G979="","",IF(G979="[FÓRMULA MANUAL]","",IFERROR(AVERAGEIFS(nNOTA,nNIA,G979,nCUENTA,1,nASIG,"Conjunto"),"")))</f>
        <v/>
      </c>
      <c r="K979" t="str">
        <f>IF(G979="","",IF(G979="[FÓRMULA MANUAL]","",IFERROR(SUMPRODUCT((nNIA=G979)*(nCUENTA=1)*(COUNTIF(CONFIG_ASIGNATURAS!$B$7:$B$27,nASIG)&gt;0)*(nNOTA))/SUMPRODUCT((nNIA=G979)*(nCUENTA=1)*(COUNTIF(CONFIG_ASIGNATURAS!$B$7:$B$27,nASIG)&gt;0)*1),"")))</f>
        <v/>
      </c>
      <c r="N979" t="str">
        <f>IF(M979="","",IF(M979="[FÓRMULA MANUAL]","",IFERROR(AVERAGEIFS(nNOTA,nNIA,M979,nCUENTA,1,nASIG,"Armonía"),"")))</f>
        <v/>
      </c>
      <c r="O979" t="str">
        <f>IF(M979="","",IF(M979="[FÓRMULA MANUAL]","",IFERROR(AVERAGEIFS(nNOTA,nNIA,M979,nCUENTA,1,nASIG,"Orquesta/Banda/Conjunto"),"")))</f>
        <v/>
      </c>
      <c r="P979" t="str">
        <f>IF(M979="","",IF(M979="[FÓRMULA MANUAL]","",IFERROR(AVERAGEIFS(nNOTA,nNIA,M979,nCUENTA,1,nASIG,"Música de Cámara"),"")))</f>
        <v/>
      </c>
      <c r="Q979" t="str">
        <f>IF(M979="","",IF(M979="[FÓRMULA MANUAL]","",IFERROR(SUMPRODUCT((nNIA=M979)*(nCUENTA=1)*(COUNTIF(CONFIG_ASIGNATURAS!$B$7:$B$27,nASIG)&gt;0)*(nNOTA))/SUMPRODUCT((nNIA=M979)*(nCUENTA=1)*(COUNTIF(CONFIG_ASIGNATURAS!$B$7:$B$27,nASIG)&gt;0)*1),"")))</f>
        <v/>
      </c>
      <c r="T979" t="str">
        <f>IF(S979="","",IF(S979="[FÓRMULA MANUAL]","",IFERROR(AVERAGEIFS(nNOTA,nNIA,S979,nCUENTA,1,nASIG,"Armonía"),"")))</f>
        <v/>
      </c>
      <c r="U979" t="str">
        <f>IF(S979="","",IF(S979="[FÓRMULA MANUAL]","",IFERROR(AVERAGEIFS(nNOTA,nNIA,S979,nCUENTA,1,nASIG,"Orquesta/Banda/Conjunto"),"")))</f>
        <v/>
      </c>
      <c r="V979" t="str">
        <f>IF(S979="","",IF(S979="[FÓRMULA MANUAL]","",IFERROR(AVERAGEIFS(nNOTA,nNIA,S979,nCUENTA,1,nASIG,"Música de Cámara"),"")))</f>
        <v/>
      </c>
      <c r="W979" t="str">
        <f>IF(S979="","",IF(S979="[FÓRMULA MANUAL]","",IFERROR(SUMPRODUCT((nNIA=S979)*(nCUENTA=1)*(COUNTIF(CONFIG_ASIGNATURAS!$B$7:$B$27,nASIG)&gt;0)*(nNOTA))/SUMPRODUCT((nNIA=S979)*(nCUENTA=1)*(COUNTIF(CONFIG_ASIGNATURAS!$B$7:$B$27,nASIG)&gt;0)*1),"")))</f>
        <v/>
      </c>
      <c r="Z979" t="str">
        <f>IF(Y979="","",IF(Y979="[FÓRMULA MANUAL]","",IFERROR(AVERAGEIFS(nNOTA,nNIA,Y979,nCUENTA,1,nASIG,"Análisis"),"")))</f>
        <v/>
      </c>
      <c r="AA979" t="str">
        <f>IF(Y979="","",IF(Y979="[FÓRMULA MANUAL]","",IFERROR(AVERAGEIFS(nNOTA,nNIA,Y979,nCUENTA,1,nASIG,"Orquesta/Banda/Conjunto"),"")))</f>
        <v/>
      </c>
      <c r="AB979" t="str">
        <f>IF(Y979="","",IF(Y979="[FÓRMULA MANUAL]","",IFERROR(AVERAGEIFS(nNOTA,nNIA,Y979,nCUENTA,1,nASIG,"Música de Cámara"),"")))</f>
        <v/>
      </c>
      <c r="AC979" t="str">
        <f>IF(Y979="","",IF(Y979="[FÓRMULA MANUAL]","",IFERROR(SUMPRODUCT((nNIA=Y979)*(nCUENTA=1)*(COUNTIF(CONFIG_ASIGNATURAS!$B$7:$B$27,nASIG)&gt;0)*(nNOTA))/SUMPRODUCT((nNIA=Y979)*(nCUENTA=1)*(COUNTIF(CONFIG_ASIGNATURAS!$B$7:$B$27,nASIG)&gt;0)*1),"")))</f>
        <v/>
      </c>
      <c r="AF979" t="str">
        <f>IF(AE979="","",IF(AE979="[FÓRMULA MANUAL]","",IFERROR(AVERAGEIFS(nNOTA,nNIA,AE979,nCUENTA,1,nASIG,"Análisis"),"")))</f>
        <v/>
      </c>
      <c r="AG979" t="str">
        <f>IF(AE979="","",IF(AE979="[FÓRMULA MANUAL]","",IFERROR(AVERAGEIFS(nNOTA,nNIA,AE979,nCUENTA,1,nASIG,"Orquesta/Banda/Conjunto"),"")))</f>
        <v/>
      </c>
      <c r="AH979" t="str">
        <f>IF(AE979="","",IF(AE979="[FÓRMULA MANUAL]","",IFERROR(AVERAGEIFS(nNOTA,nNIA,AE979,nCUENTA,1,nASIG,"Música de Cámara"),"")))</f>
        <v/>
      </c>
      <c r="AI979" t="str">
        <f>IF(AE979="","",IF(AE979="[FÓRMULA MANUAL]","",IFERROR(SUMPRODUCT((nNIA=AE979)*(nCUENTA=1)*(COUNTIF(CONFIG_ASIGNATURAS!$B$7:$B$27,nASIG)&gt;0)*(nNOTA))/SUMPRODUCT((nNIA=AE979)*(nCUENTA=1)*(COUNTIF(CONFIG_ASIGNATURAS!$B$7:$B$27,nASIG)&gt;0)*1),"")))</f>
        <v/>
      </c>
    </row>
    <row r="980" spans="2:35" x14ac:dyDescent="0.2">
      <c r="B980" t="str">
        <f>IF(A980="","",IF(A980="[FÓRMULA MANUAL]","",IFERROR(AVERAGEIFS(nNOTA,nNIA,A980,nCUENTA,1,nASIG,"Lenguaje Musical"),"")))</f>
        <v/>
      </c>
      <c r="C980" t="str">
        <f>IF(A980="","",IF(A980="[FÓRMULA MANUAL]","",IFERROR(AVERAGEIFS(nNOTA,nNIA,A980,nCUENTA,1,nASIG,"Orquesta/Banda/Conjunto"),"")))</f>
        <v/>
      </c>
      <c r="D980" t="str">
        <f>IF(A980="","",IF(A980="[FÓRMULA MANUAL]","",IFERROR(AVERAGEIFS(nNOTA,nNIA,A980,nCUENTA,1,nASIG,"Conjunto"),"")))</f>
        <v/>
      </c>
      <c r="E980" t="str">
        <f>IF(A980="","",IF(A980="[FÓRMULA MANUAL]","",IFERROR(SUMPRODUCT((nNIA=A980)*(nCUENTA=1)*(COUNTIF(CONFIG_ASIGNATURAS!$B$7:$B$27,nASIG)&gt;0)*(nNOTA))/SUMPRODUCT((nNIA=A980)*(nCUENTA=1)*(COUNTIF(CONFIG_ASIGNATURAS!$B$7:$B$27,nASIG)&gt;0)*1),"")))</f>
        <v/>
      </c>
      <c r="H980" t="str">
        <f>IF(G980="","",IF(G980="[FÓRMULA MANUAL]","",IFERROR(AVERAGEIFS(nNOTA,nNIA,G980,nCUENTA,1,nASIG,"Lenguaje Musical"),"")))</f>
        <v/>
      </c>
      <c r="I980" t="str">
        <f>IF(G980="","",IF(G980="[FÓRMULA MANUAL]","",IFERROR(AVERAGEIFS(nNOTA,nNIA,G980,nCUENTA,1,nASIG,"Orquesta/Banda/Conjunto"),"")))</f>
        <v/>
      </c>
      <c r="J980" t="str">
        <f>IF(G980="","",IF(G980="[FÓRMULA MANUAL]","",IFERROR(AVERAGEIFS(nNOTA,nNIA,G980,nCUENTA,1,nASIG,"Conjunto"),"")))</f>
        <v/>
      </c>
      <c r="K980" t="str">
        <f>IF(G980="","",IF(G980="[FÓRMULA MANUAL]","",IFERROR(SUMPRODUCT((nNIA=G980)*(nCUENTA=1)*(COUNTIF(CONFIG_ASIGNATURAS!$B$7:$B$27,nASIG)&gt;0)*(nNOTA))/SUMPRODUCT((nNIA=G980)*(nCUENTA=1)*(COUNTIF(CONFIG_ASIGNATURAS!$B$7:$B$27,nASIG)&gt;0)*1),"")))</f>
        <v/>
      </c>
      <c r="N980" t="str">
        <f>IF(M980="","",IF(M980="[FÓRMULA MANUAL]","",IFERROR(AVERAGEIFS(nNOTA,nNIA,M980,nCUENTA,1,nASIG,"Armonía"),"")))</f>
        <v/>
      </c>
      <c r="O980" t="str">
        <f>IF(M980="","",IF(M980="[FÓRMULA MANUAL]","",IFERROR(AVERAGEIFS(nNOTA,nNIA,M980,nCUENTA,1,nASIG,"Orquesta/Banda/Conjunto"),"")))</f>
        <v/>
      </c>
      <c r="P980" t="str">
        <f>IF(M980="","",IF(M980="[FÓRMULA MANUAL]","",IFERROR(AVERAGEIFS(nNOTA,nNIA,M980,nCUENTA,1,nASIG,"Música de Cámara"),"")))</f>
        <v/>
      </c>
      <c r="Q980" t="str">
        <f>IF(M980="","",IF(M980="[FÓRMULA MANUAL]","",IFERROR(SUMPRODUCT((nNIA=M980)*(nCUENTA=1)*(COUNTIF(CONFIG_ASIGNATURAS!$B$7:$B$27,nASIG)&gt;0)*(nNOTA))/SUMPRODUCT((nNIA=M980)*(nCUENTA=1)*(COUNTIF(CONFIG_ASIGNATURAS!$B$7:$B$27,nASIG)&gt;0)*1),"")))</f>
        <v/>
      </c>
      <c r="T980" t="str">
        <f>IF(S980="","",IF(S980="[FÓRMULA MANUAL]","",IFERROR(AVERAGEIFS(nNOTA,nNIA,S980,nCUENTA,1,nASIG,"Armonía"),"")))</f>
        <v/>
      </c>
      <c r="U980" t="str">
        <f>IF(S980="","",IF(S980="[FÓRMULA MANUAL]","",IFERROR(AVERAGEIFS(nNOTA,nNIA,S980,nCUENTA,1,nASIG,"Orquesta/Banda/Conjunto"),"")))</f>
        <v/>
      </c>
      <c r="V980" t="str">
        <f>IF(S980="","",IF(S980="[FÓRMULA MANUAL]","",IFERROR(AVERAGEIFS(nNOTA,nNIA,S980,nCUENTA,1,nASIG,"Música de Cámara"),"")))</f>
        <v/>
      </c>
      <c r="W980" t="str">
        <f>IF(S980="","",IF(S980="[FÓRMULA MANUAL]","",IFERROR(SUMPRODUCT((nNIA=S980)*(nCUENTA=1)*(COUNTIF(CONFIG_ASIGNATURAS!$B$7:$B$27,nASIG)&gt;0)*(nNOTA))/SUMPRODUCT((nNIA=S980)*(nCUENTA=1)*(COUNTIF(CONFIG_ASIGNATURAS!$B$7:$B$27,nASIG)&gt;0)*1),"")))</f>
        <v/>
      </c>
      <c r="Z980" t="str">
        <f>IF(Y980="","",IF(Y980="[FÓRMULA MANUAL]","",IFERROR(AVERAGEIFS(nNOTA,nNIA,Y980,nCUENTA,1,nASIG,"Análisis"),"")))</f>
        <v/>
      </c>
      <c r="AA980" t="str">
        <f>IF(Y980="","",IF(Y980="[FÓRMULA MANUAL]","",IFERROR(AVERAGEIFS(nNOTA,nNIA,Y980,nCUENTA,1,nASIG,"Orquesta/Banda/Conjunto"),"")))</f>
        <v/>
      </c>
      <c r="AB980" t="str">
        <f>IF(Y980="","",IF(Y980="[FÓRMULA MANUAL]","",IFERROR(AVERAGEIFS(nNOTA,nNIA,Y980,nCUENTA,1,nASIG,"Música de Cámara"),"")))</f>
        <v/>
      </c>
      <c r="AC980" t="str">
        <f>IF(Y980="","",IF(Y980="[FÓRMULA MANUAL]","",IFERROR(SUMPRODUCT((nNIA=Y980)*(nCUENTA=1)*(COUNTIF(CONFIG_ASIGNATURAS!$B$7:$B$27,nASIG)&gt;0)*(nNOTA))/SUMPRODUCT((nNIA=Y980)*(nCUENTA=1)*(COUNTIF(CONFIG_ASIGNATURAS!$B$7:$B$27,nASIG)&gt;0)*1),"")))</f>
        <v/>
      </c>
      <c r="AF980" t="str">
        <f>IF(AE980="","",IF(AE980="[FÓRMULA MANUAL]","",IFERROR(AVERAGEIFS(nNOTA,nNIA,AE980,nCUENTA,1,nASIG,"Análisis"),"")))</f>
        <v/>
      </c>
      <c r="AG980" t="str">
        <f>IF(AE980="","",IF(AE980="[FÓRMULA MANUAL]","",IFERROR(AVERAGEIFS(nNOTA,nNIA,AE980,nCUENTA,1,nASIG,"Orquesta/Banda/Conjunto"),"")))</f>
        <v/>
      </c>
      <c r="AH980" t="str">
        <f>IF(AE980="","",IF(AE980="[FÓRMULA MANUAL]","",IFERROR(AVERAGEIFS(nNOTA,nNIA,AE980,nCUENTA,1,nASIG,"Música de Cámara"),"")))</f>
        <v/>
      </c>
      <c r="AI980" t="str">
        <f>IF(AE980="","",IF(AE980="[FÓRMULA MANUAL]","",IFERROR(SUMPRODUCT((nNIA=AE980)*(nCUENTA=1)*(COUNTIF(CONFIG_ASIGNATURAS!$B$7:$B$27,nASIG)&gt;0)*(nNOTA))/SUMPRODUCT((nNIA=AE980)*(nCUENTA=1)*(COUNTIF(CONFIG_ASIGNATURAS!$B$7:$B$27,nASIG)&gt;0)*1),"")))</f>
        <v/>
      </c>
    </row>
    <row r="981" spans="2:35" x14ac:dyDescent="0.2">
      <c r="B981" t="str">
        <f>IF(A981="","",IF(A981="[FÓRMULA MANUAL]","",IFERROR(AVERAGEIFS(nNOTA,nNIA,A981,nCUENTA,1,nASIG,"Lenguaje Musical"),"")))</f>
        <v/>
      </c>
      <c r="C981" t="str">
        <f>IF(A981="","",IF(A981="[FÓRMULA MANUAL]","",IFERROR(AVERAGEIFS(nNOTA,nNIA,A981,nCUENTA,1,nASIG,"Orquesta/Banda/Conjunto"),"")))</f>
        <v/>
      </c>
      <c r="D981" t="str">
        <f>IF(A981="","",IF(A981="[FÓRMULA MANUAL]","",IFERROR(AVERAGEIFS(nNOTA,nNIA,A981,nCUENTA,1,nASIG,"Conjunto"),"")))</f>
        <v/>
      </c>
      <c r="E981" t="str">
        <f>IF(A981="","",IF(A981="[FÓRMULA MANUAL]","",IFERROR(SUMPRODUCT((nNIA=A981)*(nCUENTA=1)*(COUNTIF(CONFIG_ASIGNATURAS!$B$7:$B$27,nASIG)&gt;0)*(nNOTA))/SUMPRODUCT((nNIA=A981)*(nCUENTA=1)*(COUNTIF(CONFIG_ASIGNATURAS!$B$7:$B$27,nASIG)&gt;0)*1),"")))</f>
        <v/>
      </c>
      <c r="H981" t="str">
        <f>IF(G981="","",IF(G981="[FÓRMULA MANUAL]","",IFERROR(AVERAGEIFS(nNOTA,nNIA,G981,nCUENTA,1,nASIG,"Lenguaje Musical"),"")))</f>
        <v/>
      </c>
      <c r="I981" t="str">
        <f>IF(G981="","",IF(G981="[FÓRMULA MANUAL]","",IFERROR(AVERAGEIFS(nNOTA,nNIA,G981,nCUENTA,1,nASIG,"Orquesta/Banda/Conjunto"),"")))</f>
        <v/>
      </c>
      <c r="J981" t="str">
        <f>IF(G981="","",IF(G981="[FÓRMULA MANUAL]","",IFERROR(AVERAGEIFS(nNOTA,nNIA,G981,nCUENTA,1,nASIG,"Conjunto"),"")))</f>
        <v/>
      </c>
      <c r="K981" t="str">
        <f>IF(G981="","",IF(G981="[FÓRMULA MANUAL]","",IFERROR(SUMPRODUCT((nNIA=G981)*(nCUENTA=1)*(COUNTIF(CONFIG_ASIGNATURAS!$B$7:$B$27,nASIG)&gt;0)*(nNOTA))/SUMPRODUCT((nNIA=G981)*(nCUENTA=1)*(COUNTIF(CONFIG_ASIGNATURAS!$B$7:$B$27,nASIG)&gt;0)*1),"")))</f>
        <v/>
      </c>
      <c r="N981" t="str">
        <f>IF(M981="","",IF(M981="[FÓRMULA MANUAL]","",IFERROR(AVERAGEIFS(nNOTA,nNIA,M981,nCUENTA,1,nASIG,"Armonía"),"")))</f>
        <v/>
      </c>
      <c r="O981" t="str">
        <f>IF(M981="","",IF(M981="[FÓRMULA MANUAL]","",IFERROR(AVERAGEIFS(nNOTA,nNIA,M981,nCUENTA,1,nASIG,"Orquesta/Banda/Conjunto"),"")))</f>
        <v/>
      </c>
      <c r="P981" t="str">
        <f>IF(M981="","",IF(M981="[FÓRMULA MANUAL]","",IFERROR(AVERAGEIFS(nNOTA,nNIA,M981,nCUENTA,1,nASIG,"Música de Cámara"),"")))</f>
        <v/>
      </c>
      <c r="Q981" t="str">
        <f>IF(M981="","",IF(M981="[FÓRMULA MANUAL]","",IFERROR(SUMPRODUCT((nNIA=M981)*(nCUENTA=1)*(COUNTIF(CONFIG_ASIGNATURAS!$B$7:$B$27,nASIG)&gt;0)*(nNOTA))/SUMPRODUCT((nNIA=M981)*(nCUENTA=1)*(COUNTIF(CONFIG_ASIGNATURAS!$B$7:$B$27,nASIG)&gt;0)*1),"")))</f>
        <v/>
      </c>
      <c r="T981" t="str">
        <f>IF(S981="","",IF(S981="[FÓRMULA MANUAL]","",IFERROR(AVERAGEIFS(nNOTA,nNIA,S981,nCUENTA,1,nASIG,"Armonía"),"")))</f>
        <v/>
      </c>
      <c r="U981" t="str">
        <f>IF(S981="","",IF(S981="[FÓRMULA MANUAL]","",IFERROR(AVERAGEIFS(nNOTA,nNIA,S981,nCUENTA,1,nASIG,"Orquesta/Banda/Conjunto"),"")))</f>
        <v/>
      </c>
      <c r="V981" t="str">
        <f>IF(S981="","",IF(S981="[FÓRMULA MANUAL]","",IFERROR(AVERAGEIFS(nNOTA,nNIA,S981,nCUENTA,1,nASIG,"Música de Cámara"),"")))</f>
        <v/>
      </c>
      <c r="W981" t="str">
        <f>IF(S981="","",IF(S981="[FÓRMULA MANUAL]","",IFERROR(SUMPRODUCT((nNIA=S981)*(nCUENTA=1)*(COUNTIF(CONFIG_ASIGNATURAS!$B$7:$B$27,nASIG)&gt;0)*(nNOTA))/SUMPRODUCT((nNIA=S981)*(nCUENTA=1)*(COUNTIF(CONFIG_ASIGNATURAS!$B$7:$B$27,nASIG)&gt;0)*1),"")))</f>
        <v/>
      </c>
      <c r="Z981" t="str">
        <f>IF(Y981="","",IF(Y981="[FÓRMULA MANUAL]","",IFERROR(AVERAGEIFS(nNOTA,nNIA,Y981,nCUENTA,1,nASIG,"Análisis"),"")))</f>
        <v/>
      </c>
      <c r="AA981" t="str">
        <f>IF(Y981="","",IF(Y981="[FÓRMULA MANUAL]","",IFERROR(AVERAGEIFS(nNOTA,nNIA,Y981,nCUENTA,1,nASIG,"Orquesta/Banda/Conjunto"),"")))</f>
        <v/>
      </c>
      <c r="AB981" t="str">
        <f>IF(Y981="","",IF(Y981="[FÓRMULA MANUAL]","",IFERROR(AVERAGEIFS(nNOTA,nNIA,Y981,nCUENTA,1,nASIG,"Música de Cámara"),"")))</f>
        <v/>
      </c>
      <c r="AC981" t="str">
        <f>IF(Y981="","",IF(Y981="[FÓRMULA MANUAL]","",IFERROR(SUMPRODUCT((nNIA=Y981)*(nCUENTA=1)*(COUNTIF(CONFIG_ASIGNATURAS!$B$7:$B$27,nASIG)&gt;0)*(nNOTA))/SUMPRODUCT((nNIA=Y981)*(nCUENTA=1)*(COUNTIF(CONFIG_ASIGNATURAS!$B$7:$B$27,nASIG)&gt;0)*1),"")))</f>
        <v/>
      </c>
      <c r="AF981" t="str">
        <f>IF(AE981="","",IF(AE981="[FÓRMULA MANUAL]","",IFERROR(AVERAGEIFS(nNOTA,nNIA,AE981,nCUENTA,1,nASIG,"Análisis"),"")))</f>
        <v/>
      </c>
      <c r="AG981" t="str">
        <f>IF(AE981="","",IF(AE981="[FÓRMULA MANUAL]","",IFERROR(AVERAGEIFS(nNOTA,nNIA,AE981,nCUENTA,1,nASIG,"Orquesta/Banda/Conjunto"),"")))</f>
        <v/>
      </c>
      <c r="AH981" t="str">
        <f>IF(AE981="","",IF(AE981="[FÓRMULA MANUAL]","",IFERROR(AVERAGEIFS(nNOTA,nNIA,AE981,nCUENTA,1,nASIG,"Música de Cámara"),"")))</f>
        <v/>
      </c>
      <c r="AI981" t="str">
        <f>IF(AE981="","",IF(AE981="[FÓRMULA MANUAL]","",IFERROR(SUMPRODUCT((nNIA=AE981)*(nCUENTA=1)*(COUNTIF(CONFIG_ASIGNATURAS!$B$7:$B$27,nASIG)&gt;0)*(nNOTA))/SUMPRODUCT((nNIA=AE981)*(nCUENTA=1)*(COUNTIF(CONFIG_ASIGNATURAS!$B$7:$B$27,nASIG)&gt;0)*1),"")))</f>
        <v/>
      </c>
    </row>
    <row r="982" spans="2:35" x14ac:dyDescent="0.2">
      <c r="B982" t="str">
        <f>IF(A982="","",IF(A982="[FÓRMULA MANUAL]","",IFERROR(AVERAGEIFS(nNOTA,nNIA,A982,nCUENTA,1,nASIG,"Lenguaje Musical"),"")))</f>
        <v/>
      </c>
      <c r="C982" t="str">
        <f>IF(A982="","",IF(A982="[FÓRMULA MANUAL]","",IFERROR(AVERAGEIFS(nNOTA,nNIA,A982,nCUENTA,1,nASIG,"Orquesta/Banda/Conjunto"),"")))</f>
        <v/>
      </c>
      <c r="D982" t="str">
        <f>IF(A982="","",IF(A982="[FÓRMULA MANUAL]","",IFERROR(AVERAGEIFS(nNOTA,nNIA,A982,nCUENTA,1,nASIG,"Conjunto"),"")))</f>
        <v/>
      </c>
      <c r="E982" t="str">
        <f>IF(A982="","",IF(A982="[FÓRMULA MANUAL]","",IFERROR(SUMPRODUCT((nNIA=A982)*(nCUENTA=1)*(COUNTIF(CONFIG_ASIGNATURAS!$B$7:$B$27,nASIG)&gt;0)*(nNOTA))/SUMPRODUCT((nNIA=A982)*(nCUENTA=1)*(COUNTIF(CONFIG_ASIGNATURAS!$B$7:$B$27,nASIG)&gt;0)*1),"")))</f>
        <v/>
      </c>
      <c r="H982" t="str">
        <f>IF(G982="","",IF(G982="[FÓRMULA MANUAL]","",IFERROR(AVERAGEIFS(nNOTA,nNIA,G982,nCUENTA,1,nASIG,"Lenguaje Musical"),"")))</f>
        <v/>
      </c>
      <c r="I982" t="str">
        <f>IF(G982="","",IF(G982="[FÓRMULA MANUAL]","",IFERROR(AVERAGEIFS(nNOTA,nNIA,G982,nCUENTA,1,nASIG,"Orquesta/Banda/Conjunto"),"")))</f>
        <v/>
      </c>
      <c r="J982" t="str">
        <f>IF(G982="","",IF(G982="[FÓRMULA MANUAL]","",IFERROR(AVERAGEIFS(nNOTA,nNIA,G982,nCUENTA,1,nASIG,"Conjunto"),"")))</f>
        <v/>
      </c>
      <c r="K982" t="str">
        <f>IF(G982="","",IF(G982="[FÓRMULA MANUAL]","",IFERROR(SUMPRODUCT((nNIA=G982)*(nCUENTA=1)*(COUNTIF(CONFIG_ASIGNATURAS!$B$7:$B$27,nASIG)&gt;0)*(nNOTA))/SUMPRODUCT((nNIA=G982)*(nCUENTA=1)*(COUNTIF(CONFIG_ASIGNATURAS!$B$7:$B$27,nASIG)&gt;0)*1),"")))</f>
        <v/>
      </c>
      <c r="N982" t="str">
        <f>IF(M982="","",IF(M982="[FÓRMULA MANUAL]","",IFERROR(AVERAGEIFS(nNOTA,nNIA,M982,nCUENTA,1,nASIG,"Armonía"),"")))</f>
        <v/>
      </c>
      <c r="O982" t="str">
        <f>IF(M982="","",IF(M982="[FÓRMULA MANUAL]","",IFERROR(AVERAGEIFS(nNOTA,nNIA,M982,nCUENTA,1,nASIG,"Orquesta/Banda/Conjunto"),"")))</f>
        <v/>
      </c>
      <c r="P982" t="str">
        <f>IF(M982="","",IF(M982="[FÓRMULA MANUAL]","",IFERROR(AVERAGEIFS(nNOTA,nNIA,M982,nCUENTA,1,nASIG,"Música de Cámara"),"")))</f>
        <v/>
      </c>
      <c r="Q982" t="str">
        <f>IF(M982="","",IF(M982="[FÓRMULA MANUAL]","",IFERROR(SUMPRODUCT((nNIA=M982)*(nCUENTA=1)*(COUNTIF(CONFIG_ASIGNATURAS!$B$7:$B$27,nASIG)&gt;0)*(nNOTA))/SUMPRODUCT((nNIA=M982)*(nCUENTA=1)*(COUNTIF(CONFIG_ASIGNATURAS!$B$7:$B$27,nASIG)&gt;0)*1),"")))</f>
        <v/>
      </c>
      <c r="T982" t="str">
        <f>IF(S982="","",IF(S982="[FÓRMULA MANUAL]","",IFERROR(AVERAGEIFS(nNOTA,nNIA,S982,nCUENTA,1,nASIG,"Armonía"),"")))</f>
        <v/>
      </c>
      <c r="U982" t="str">
        <f>IF(S982="","",IF(S982="[FÓRMULA MANUAL]","",IFERROR(AVERAGEIFS(nNOTA,nNIA,S982,nCUENTA,1,nASIG,"Orquesta/Banda/Conjunto"),"")))</f>
        <v/>
      </c>
      <c r="V982" t="str">
        <f>IF(S982="","",IF(S982="[FÓRMULA MANUAL]","",IFERROR(AVERAGEIFS(nNOTA,nNIA,S982,nCUENTA,1,nASIG,"Música de Cámara"),"")))</f>
        <v/>
      </c>
      <c r="W982" t="str">
        <f>IF(S982="","",IF(S982="[FÓRMULA MANUAL]","",IFERROR(SUMPRODUCT((nNIA=S982)*(nCUENTA=1)*(COUNTIF(CONFIG_ASIGNATURAS!$B$7:$B$27,nASIG)&gt;0)*(nNOTA))/SUMPRODUCT((nNIA=S982)*(nCUENTA=1)*(COUNTIF(CONFIG_ASIGNATURAS!$B$7:$B$27,nASIG)&gt;0)*1),"")))</f>
        <v/>
      </c>
      <c r="Z982" t="str">
        <f>IF(Y982="","",IF(Y982="[FÓRMULA MANUAL]","",IFERROR(AVERAGEIFS(nNOTA,nNIA,Y982,nCUENTA,1,nASIG,"Análisis"),"")))</f>
        <v/>
      </c>
      <c r="AA982" t="str">
        <f>IF(Y982="","",IF(Y982="[FÓRMULA MANUAL]","",IFERROR(AVERAGEIFS(nNOTA,nNIA,Y982,nCUENTA,1,nASIG,"Orquesta/Banda/Conjunto"),"")))</f>
        <v/>
      </c>
      <c r="AB982" t="str">
        <f>IF(Y982="","",IF(Y982="[FÓRMULA MANUAL]","",IFERROR(AVERAGEIFS(nNOTA,nNIA,Y982,nCUENTA,1,nASIG,"Música de Cámara"),"")))</f>
        <v/>
      </c>
      <c r="AC982" t="str">
        <f>IF(Y982="","",IF(Y982="[FÓRMULA MANUAL]","",IFERROR(SUMPRODUCT((nNIA=Y982)*(nCUENTA=1)*(COUNTIF(CONFIG_ASIGNATURAS!$B$7:$B$27,nASIG)&gt;0)*(nNOTA))/SUMPRODUCT((nNIA=Y982)*(nCUENTA=1)*(COUNTIF(CONFIG_ASIGNATURAS!$B$7:$B$27,nASIG)&gt;0)*1),"")))</f>
        <v/>
      </c>
      <c r="AF982" t="str">
        <f>IF(AE982="","",IF(AE982="[FÓRMULA MANUAL]","",IFERROR(AVERAGEIFS(nNOTA,nNIA,AE982,nCUENTA,1,nASIG,"Análisis"),"")))</f>
        <v/>
      </c>
      <c r="AG982" t="str">
        <f>IF(AE982="","",IF(AE982="[FÓRMULA MANUAL]","",IFERROR(AVERAGEIFS(nNOTA,nNIA,AE982,nCUENTA,1,nASIG,"Orquesta/Banda/Conjunto"),"")))</f>
        <v/>
      </c>
      <c r="AH982" t="str">
        <f>IF(AE982="","",IF(AE982="[FÓRMULA MANUAL]","",IFERROR(AVERAGEIFS(nNOTA,nNIA,AE982,nCUENTA,1,nASIG,"Música de Cámara"),"")))</f>
        <v/>
      </c>
      <c r="AI982" t="str">
        <f>IF(AE982="","",IF(AE982="[FÓRMULA MANUAL]","",IFERROR(SUMPRODUCT((nNIA=AE982)*(nCUENTA=1)*(COUNTIF(CONFIG_ASIGNATURAS!$B$7:$B$27,nASIG)&gt;0)*(nNOTA))/SUMPRODUCT((nNIA=AE982)*(nCUENTA=1)*(COUNTIF(CONFIG_ASIGNATURAS!$B$7:$B$27,nASIG)&gt;0)*1),"")))</f>
        <v/>
      </c>
    </row>
    <row r="983" spans="2:35" x14ac:dyDescent="0.2">
      <c r="B983" t="str">
        <f>IF(A983="","",IF(A983="[FÓRMULA MANUAL]","",IFERROR(AVERAGEIFS(nNOTA,nNIA,A983,nCUENTA,1,nASIG,"Lenguaje Musical"),"")))</f>
        <v/>
      </c>
      <c r="C983" t="str">
        <f>IF(A983="","",IF(A983="[FÓRMULA MANUAL]","",IFERROR(AVERAGEIFS(nNOTA,nNIA,A983,nCUENTA,1,nASIG,"Orquesta/Banda/Conjunto"),"")))</f>
        <v/>
      </c>
      <c r="D983" t="str">
        <f>IF(A983="","",IF(A983="[FÓRMULA MANUAL]","",IFERROR(AVERAGEIFS(nNOTA,nNIA,A983,nCUENTA,1,nASIG,"Conjunto"),"")))</f>
        <v/>
      </c>
      <c r="E983" t="str">
        <f>IF(A983="","",IF(A983="[FÓRMULA MANUAL]","",IFERROR(SUMPRODUCT((nNIA=A983)*(nCUENTA=1)*(COUNTIF(CONFIG_ASIGNATURAS!$B$7:$B$27,nASIG)&gt;0)*(nNOTA))/SUMPRODUCT((nNIA=A983)*(nCUENTA=1)*(COUNTIF(CONFIG_ASIGNATURAS!$B$7:$B$27,nASIG)&gt;0)*1),"")))</f>
        <v/>
      </c>
      <c r="H983" t="str">
        <f>IF(G983="","",IF(G983="[FÓRMULA MANUAL]","",IFERROR(AVERAGEIFS(nNOTA,nNIA,G983,nCUENTA,1,nASIG,"Lenguaje Musical"),"")))</f>
        <v/>
      </c>
      <c r="I983" t="str">
        <f>IF(G983="","",IF(G983="[FÓRMULA MANUAL]","",IFERROR(AVERAGEIFS(nNOTA,nNIA,G983,nCUENTA,1,nASIG,"Orquesta/Banda/Conjunto"),"")))</f>
        <v/>
      </c>
      <c r="J983" t="str">
        <f>IF(G983="","",IF(G983="[FÓRMULA MANUAL]","",IFERROR(AVERAGEIFS(nNOTA,nNIA,G983,nCUENTA,1,nASIG,"Conjunto"),"")))</f>
        <v/>
      </c>
      <c r="K983" t="str">
        <f>IF(G983="","",IF(G983="[FÓRMULA MANUAL]","",IFERROR(SUMPRODUCT((nNIA=G983)*(nCUENTA=1)*(COUNTIF(CONFIG_ASIGNATURAS!$B$7:$B$27,nASIG)&gt;0)*(nNOTA))/SUMPRODUCT((nNIA=G983)*(nCUENTA=1)*(COUNTIF(CONFIG_ASIGNATURAS!$B$7:$B$27,nASIG)&gt;0)*1),"")))</f>
        <v/>
      </c>
      <c r="N983" t="str">
        <f>IF(M983="","",IF(M983="[FÓRMULA MANUAL]","",IFERROR(AVERAGEIFS(nNOTA,nNIA,M983,nCUENTA,1,nASIG,"Armonía"),"")))</f>
        <v/>
      </c>
      <c r="O983" t="str">
        <f>IF(M983="","",IF(M983="[FÓRMULA MANUAL]","",IFERROR(AVERAGEIFS(nNOTA,nNIA,M983,nCUENTA,1,nASIG,"Orquesta/Banda/Conjunto"),"")))</f>
        <v/>
      </c>
      <c r="P983" t="str">
        <f>IF(M983="","",IF(M983="[FÓRMULA MANUAL]","",IFERROR(AVERAGEIFS(nNOTA,nNIA,M983,nCUENTA,1,nASIG,"Música de Cámara"),"")))</f>
        <v/>
      </c>
      <c r="Q983" t="str">
        <f>IF(M983="","",IF(M983="[FÓRMULA MANUAL]","",IFERROR(SUMPRODUCT((nNIA=M983)*(nCUENTA=1)*(COUNTIF(CONFIG_ASIGNATURAS!$B$7:$B$27,nASIG)&gt;0)*(nNOTA))/SUMPRODUCT((nNIA=M983)*(nCUENTA=1)*(COUNTIF(CONFIG_ASIGNATURAS!$B$7:$B$27,nASIG)&gt;0)*1),"")))</f>
        <v/>
      </c>
      <c r="T983" t="str">
        <f>IF(S983="","",IF(S983="[FÓRMULA MANUAL]","",IFERROR(AVERAGEIFS(nNOTA,nNIA,S983,nCUENTA,1,nASIG,"Armonía"),"")))</f>
        <v/>
      </c>
      <c r="U983" t="str">
        <f>IF(S983="","",IF(S983="[FÓRMULA MANUAL]","",IFERROR(AVERAGEIFS(nNOTA,nNIA,S983,nCUENTA,1,nASIG,"Orquesta/Banda/Conjunto"),"")))</f>
        <v/>
      </c>
      <c r="V983" t="str">
        <f>IF(S983="","",IF(S983="[FÓRMULA MANUAL]","",IFERROR(AVERAGEIFS(nNOTA,nNIA,S983,nCUENTA,1,nASIG,"Música de Cámara"),"")))</f>
        <v/>
      </c>
      <c r="W983" t="str">
        <f>IF(S983="","",IF(S983="[FÓRMULA MANUAL]","",IFERROR(SUMPRODUCT((nNIA=S983)*(nCUENTA=1)*(COUNTIF(CONFIG_ASIGNATURAS!$B$7:$B$27,nASIG)&gt;0)*(nNOTA))/SUMPRODUCT((nNIA=S983)*(nCUENTA=1)*(COUNTIF(CONFIG_ASIGNATURAS!$B$7:$B$27,nASIG)&gt;0)*1),"")))</f>
        <v/>
      </c>
      <c r="Z983" t="str">
        <f>IF(Y983="","",IF(Y983="[FÓRMULA MANUAL]","",IFERROR(AVERAGEIFS(nNOTA,nNIA,Y983,nCUENTA,1,nASIG,"Análisis"),"")))</f>
        <v/>
      </c>
      <c r="AA983" t="str">
        <f>IF(Y983="","",IF(Y983="[FÓRMULA MANUAL]","",IFERROR(AVERAGEIFS(nNOTA,nNIA,Y983,nCUENTA,1,nASIG,"Orquesta/Banda/Conjunto"),"")))</f>
        <v/>
      </c>
      <c r="AB983" t="str">
        <f>IF(Y983="","",IF(Y983="[FÓRMULA MANUAL]","",IFERROR(AVERAGEIFS(nNOTA,nNIA,Y983,nCUENTA,1,nASIG,"Música de Cámara"),"")))</f>
        <v/>
      </c>
      <c r="AC983" t="str">
        <f>IF(Y983="","",IF(Y983="[FÓRMULA MANUAL]","",IFERROR(SUMPRODUCT((nNIA=Y983)*(nCUENTA=1)*(COUNTIF(CONFIG_ASIGNATURAS!$B$7:$B$27,nASIG)&gt;0)*(nNOTA))/SUMPRODUCT((nNIA=Y983)*(nCUENTA=1)*(COUNTIF(CONFIG_ASIGNATURAS!$B$7:$B$27,nASIG)&gt;0)*1),"")))</f>
        <v/>
      </c>
      <c r="AF983" t="str">
        <f>IF(AE983="","",IF(AE983="[FÓRMULA MANUAL]","",IFERROR(AVERAGEIFS(nNOTA,nNIA,AE983,nCUENTA,1,nASIG,"Análisis"),"")))</f>
        <v/>
      </c>
      <c r="AG983" t="str">
        <f>IF(AE983="","",IF(AE983="[FÓRMULA MANUAL]","",IFERROR(AVERAGEIFS(nNOTA,nNIA,AE983,nCUENTA,1,nASIG,"Orquesta/Banda/Conjunto"),"")))</f>
        <v/>
      </c>
      <c r="AH983" t="str">
        <f>IF(AE983="","",IF(AE983="[FÓRMULA MANUAL]","",IFERROR(AVERAGEIFS(nNOTA,nNIA,AE983,nCUENTA,1,nASIG,"Música de Cámara"),"")))</f>
        <v/>
      </c>
      <c r="AI983" t="str">
        <f>IF(AE983="","",IF(AE983="[FÓRMULA MANUAL]","",IFERROR(SUMPRODUCT((nNIA=AE983)*(nCUENTA=1)*(COUNTIF(CONFIG_ASIGNATURAS!$B$7:$B$27,nASIG)&gt;0)*(nNOTA))/SUMPRODUCT((nNIA=AE983)*(nCUENTA=1)*(COUNTIF(CONFIG_ASIGNATURAS!$B$7:$B$27,nASIG)&gt;0)*1),"")))</f>
        <v/>
      </c>
    </row>
    <row r="984" spans="2:35" x14ac:dyDescent="0.2">
      <c r="B984" t="str">
        <f>IF(A984="","",IF(A984="[FÓRMULA MANUAL]","",IFERROR(AVERAGEIFS(nNOTA,nNIA,A984,nCUENTA,1,nASIG,"Lenguaje Musical"),"")))</f>
        <v/>
      </c>
      <c r="C984" t="str">
        <f>IF(A984="","",IF(A984="[FÓRMULA MANUAL]","",IFERROR(AVERAGEIFS(nNOTA,nNIA,A984,nCUENTA,1,nASIG,"Orquesta/Banda/Conjunto"),"")))</f>
        <v/>
      </c>
      <c r="D984" t="str">
        <f>IF(A984="","",IF(A984="[FÓRMULA MANUAL]","",IFERROR(AVERAGEIFS(nNOTA,nNIA,A984,nCUENTA,1,nASIG,"Conjunto"),"")))</f>
        <v/>
      </c>
      <c r="E984" t="str">
        <f>IF(A984="","",IF(A984="[FÓRMULA MANUAL]","",IFERROR(SUMPRODUCT((nNIA=A984)*(nCUENTA=1)*(COUNTIF(CONFIG_ASIGNATURAS!$B$7:$B$27,nASIG)&gt;0)*(nNOTA))/SUMPRODUCT((nNIA=A984)*(nCUENTA=1)*(COUNTIF(CONFIG_ASIGNATURAS!$B$7:$B$27,nASIG)&gt;0)*1),"")))</f>
        <v/>
      </c>
      <c r="H984" t="str">
        <f>IF(G984="","",IF(G984="[FÓRMULA MANUAL]","",IFERROR(AVERAGEIFS(nNOTA,nNIA,G984,nCUENTA,1,nASIG,"Lenguaje Musical"),"")))</f>
        <v/>
      </c>
      <c r="I984" t="str">
        <f>IF(G984="","",IF(G984="[FÓRMULA MANUAL]","",IFERROR(AVERAGEIFS(nNOTA,nNIA,G984,nCUENTA,1,nASIG,"Orquesta/Banda/Conjunto"),"")))</f>
        <v/>
      </c>
      <c r="J984" t="str">
        <f>IF(G984="","",IF(G984="[FÓRMULA MANUAL]","",IFERROR(AVERAGEIFS(nNOTA,nNIA,G984,nCUENTA,1,nASIG,"Conjunto"),"")))</f>
        <v/>
      </c>
      <c r="K984" t="str">
        <f>IF(G984="","",IF(G984="[FÓRMULA MANUAL]","",IFERROR(SUMPRODUCT((nNIA=G984)*(nCUENTA=1)*(COUNTIF(CONFIG_ASIGNATURAS!$B$7:$B$27,nASIG)&gt;0)*(nNOTA))/SUMPRODUCT((nNIA=G984)*(nCUENTA=1)*(COUNTIF(CONFIG_ASIGNATURAS!$B$7:$B$27,nASIG)&gt;0)*1),"")))</f>
        <v/>
      </c>
      <c r="N984" t="str">
        <f>IF(M984="","",IF(M984="[FÓRMULA MANUAL]","",IFERROR(AVERAGEIFS(nNOTA,nNIA,M984,nCUENTA,1,nASIG,"Armonía"),"")))</f>
        <v/>
      </c>
      <c r="O984" t="str">
        <f>IF(M984="","",IF(M984="[FÓRMULA MANUAL]","",IFERROR(AVERAGEIFS(nNOTA,nNIA,M984,nCUENTA,1,nASIG,"Orquesta/Banda/Conjunto"),"")))</f>
        <v/>
      </c>
      <c r="P984" t="str">
        <f>IF(M984="","",IF(M984="[FÓRMULA MANUAL]","",IFERROR(AVERAGEIFS(nNOTA,nNIA,M984,nCUENTA,1,nASIG,"Música de Cámara"),"")))</f>
        <v/>
      </c>
      <c r="Q984" t="str">
        <f>IF(M984="","",IF(M984="[FÓRMULA MANUAL]","",IFERROR(SUMPRODUCT((nNIA=M984)*(nCUENTA=1)*(COUNTIF(CONFIG_ASIGNATURAS!$B$7:$B$27,nASIG)&gt;0)*(nNOTA))/SUMPRODUCT((nNIA=M984)*(nCUENTA=1)*(COUNTIF(CONFIG_ASIGNATURAS!$B$7:$B$27,nASIG)&gt;0)*1),"")))</f>
        <v/>
      </c>
      <c r="T984" t="str">
        <f>IF(S984="","",IF(S984="[FÓRMULA MANUAL]","",IFERROR(AVERAGEIFS(nNOTA,nNIA,S984,nCUENTA,1,nASIG,"Armonía"),"")))</f>
        <v/>
      </c>
      <c r="U984" t="str">
        <f>IF(S984="","",IF(S984="[FÓRMULA MANUAL]","",IFERROR(AVERAGEIFS(nNOTA,nNIA,S984,nCUENTA,1,nASIG,"Orquesta/Banda/Conjunto"),"")))</f>
        <v/>
      </c>
      <c r="V984" t="str">
        <f>IF(S984="","",IF(S984="[FÓRMULA MANUAL]","",IFERROR(AVERAGEIFS(nNOTA,nNIA,S984,nCUENTA,1,nASIG,"Música de Cámara"),"")))</f>
        <v/>
      </c>
      <c r="W984" t="str">
        <f>IF(S984="","",IF(S984="[FÓRMULA MANUAL]","",IFERROR(SUMPRODUCT((nNIA=S984)*(nCUENTA=1)*(COUNTIF(CONFIG_ASIGNATURAS!$B$7:$B$27,nASIG)&gt;0)*(nNOTA))/SUMPRODUCT((nNIA=S984)*(nCUENTA=1)*(COUNTIF(CONFIG_ASIGNATURAS!$B$7:$B$27,nASIG)&gt;0)*1),"")))</f>
        <v/>
      </c>
      <c r="Z984" t="str">
        <f>IF(Y984="","",IF(Y984="[FÓRMULA MANUAL]","",IFERROR(AVERAGEIFS(nNOTA,nNIA,Y984,nCUENTA,1,nASIG,"Análisis"),"")))</f>
        <v/>
      </c>
      <c r="AA984" t="str">
        <f>IF(Y984="","",IF(Y984="[FÓRMULA MANUAL]","",IFERROR(AVERAGEIFS(nNOTA,nNIA,Y984,nCUENTA,1,nASIG,"Orquesta/Banda/Conjunto"),"")))</f>
        <v/>
      </c>
      <c r="AB984" t="str">
        <f>IF(Y984="","",IF(Y984="[FÓRMULA MANUAL]","",IFERROR(AVERAGEIFS(nNOTA,nNIA,Y984,nCUENTA,1,nASIG,"Música de Cámara"),"")))</f>
        <v/>
      </c>
      <c r="AC984" t="str">
        <f>IF(Y984="","",IF(Y984="[FÓRMULA MANUAL]","",IFERROR(SUMPRODUCT((nNIA=Y984)*(nCUENTA=1)*(COUNTIF(CONFIG_ASIGNATURAS!$B$7:$B$27,nASIG)&gt;0)*(nNOTA))/SUMPRODUCT((nNIA=Y984)*(nCUENTA=1)*(COUNTIF(CONFIG_ASIGNATURAS!$B$7:$B$27,nASIG)&gt;0)*1),"")))</f>
        <v/>
      </c>
      <c r="AF984" t="str">
        <f>IF(AE984="","",IF(AE984="[FÓRMULA MANUAL]","",IFERROR(AVERAGEIFS(nNOTA,nNIA,AE984,nCUENTA,1,nASIG,"Análisis"),"")))</f>
        <v/>
      </c>
      <c r="AG984" t="str">
        <f>IF(AE984="","",IF(AE984="[FÓRMULA MANUAL]","",IFERROR(AVERAGEIFS(nNOTA,nNIA,AE984,nCUENTA,1,nASIG,"Orquesta/Banda/Conjunto"),"")))</f>
        <v/>
      </c>
      <c r="AH984" t="str">
        <f>IF(AE984="","",IF(AE984="[FÓRMULA MANUAL]","",IFERROR(AVERAGEIFS(nNOTA,nNIA,AE984,nCUENTA,1,nASIG,"Música de Cámara"),"")))</f>
        <v/>
      </c>
      <c r="AI984" t="str">
        <f>IF(AE984="","",IF(AE984="[FÓRMULA MANUAL]","",IFERROR(SUMPRODUCT((nNIA=AE984)*(nCUENTA=1)*(COUNTIF(CONFIG_ASIGNATURAS!$B$7:$B$27,nASIG)&gt;0)*(nNOTA))/SUMPRODUCT((nNIA=AE984)*(nCUENTA=1)*(COUNTIF(CONFIG_ASIGNATURAS!$B$7:$B$27,nASIG)&gt;0)*1),"")))</f>
        <v/>
      </c>
    </row>
    <row r="985" spans="2:35" x14ac:dyDescent="0.2">
      <c r="B985" t="str">
        <f>IF(A985="","",IF(A985="[FÓRMULA MANUAL]","",IFERROR(AVERAGEIFS(nNOTA,nNIA,A985,nCUENTA,1,nASIG,"Lenguaje Musical"),"")))</f>
        <v/>
      </c>
      <c r="C985" t="str">
        <f>IF(A985="","",IF(A985="[FÓRMULA MANUAL]","",IFERROR(AVERAGEIFS(nNOTA,nNIA,A985,nCUENTA,1,nASIG,"Orquesta/Banda/Conjunto"),"")))</f>
        <v/>
      </c>
      <c r="D985" t="str">
        <f>IF(A985="","",IF(A985="[FÓRMULA MANUAL]","",IFERROR(AVERAGEIFS(nNOTA,nNIA,A985,nCUENTA,1,nASIG,"Conjunto"),"")))</f>
        <v/>
      </c>
      <c r="E985" t="str">
        <f>IF(A985="","",IF(A985="[FÓRMULA MANUAL]","",IFERROR(SUMPRODUCT((nNIA=A985)*(nCUENTA=1)*(COUNTIF(CONFIG_ASIGNATURAS!$B$7:$B$27,nASIG)&gt;0)*(nNOTA))/SUMPRODUCT((nNIA=A985)*(nCUENTA=1)*(COUNTIF(CONFIG_ASIGNATURAS!$B$7:$B$27,nASIG)&gt;0)*1),"")))</f>
        <v/>
      </c>
      <c r="H985" t="str">
        <f>IF(G985="","",IF(G985="[FÓRMULA MANUAL]","",IFERROR(AVERAGEIFS(nNOTA,nNIA,G985,nCUENTA,1,nASIG,"Lenguaje Musical"),"")))</f>
        <v/>
      </c>
      <c r="I985" t="str">
        <f>IF(G985="","",IF(G985="[FÓRMULA MANUAL]","",IFERROR(AVERAGEIFS(nNOTA,nNIA,G985,nCUENTA,1,nASIG,"Orquesta/Banda/Conjunto"),"")))</f>
        <v/>
      </c>
      <c r="J985" t="str">
        <f>IF(G985="","",IF(G985="[FÓRMULA MANUAL]","",IFERROR(AVERAGEIFS(nNOTA,nNIA,G985,nCUENTA,1,nASIG,"Conjunto"),"")))</f>
        <v/>
      </c>
      <c r="K985" t="str">
        <f>IF(G985="","",IF(G985="[FÓRMULA MANUAL]","",IFERROR(SUMPRODUCT((nNIA=G985)*(nCUENTA=1)*(COUNTIF(CONFIG_ASIGNATURAS!$B$7:$B$27,nASIG)&gt;0)*(nNOTA))/SUMPRODUCT((nNIA=G985)*(nCUENTA=1)*(COUNTIF(CONFIG_ASIGNATURAS!$B$7:$B$27,nASIG)&gt;0)*1),"")))</f>
        <v/>
      </c>
      <c r="N985" t="str">
        <f>IF(M985="","",IF(M985="[FÓRMULA MANUAL]","",IFERROR(AVERAGEIFS(nNOTA,nNIA,M985,nCUENTA,1,nASIG,"Armonía"),"")))</f>
        <v/>
      </c>
      <c r="O985" t="str">
        <f>IF(M985="","",IF(M985="[FÓRMULA MANUAL]","",IFERROR(AVERAGEIFS(nNOTA,nNIA,M985,nCUENTA,1,nASIG,"Orquesta/Banda/Conjunto"),"")))</f>
        <v/>
      </c>
      <c r="P985" t="str">
        <f>IF(M985="","",IF(M985="[FÓRMULA MANUAL]","",IFERROR(AVERAGEIFS(nNOTA,nNIA,M985,nCUENTA,1,nASIG,"Música de Cámara"),"")))</f>
        <v/>
      </c>
      <c r="Q985" t="str">
        <f>IF(M985="","",IF(M985="[FÓRMULA MANUAL]","",IFERROR(SUMPRODUCT((nNIA=M985)*(nCUENTA=1)*(COUNTIF(CONFIG_ASIGNATURAS!$B$7:$B$27,nASIG)&gt;0)*(nNOTA))/SUMPRODUCT((nNIA=M985)*(nCUENTA=1)*(COUNTIF(CONFIG_ASIGNATURAS!$B$7:$B$27,nASIG)&gt;0)*1),"")))</f>
        <v/>
      </c>
      <c r="T985" t="str">
        <f>IF(S985="","",IF(S985="[FÓRMULA MANUAL]","",IFERROR(AVERAGEIFS(nNOTA,nNIA,S985,nCUENTA,1,nASIG,"Armonía"),"")))</f>
        <v/>
      </c>
      <c r="U985" t="str">
        <f>IF(S985="","",IF(S985="[FÓRMULA MANUAL]","",IFERROR(AVERAGEIFS(nNOTA,nNIA,S985,nCUENTA,1,nASIG,"Orquesta/Banda/Conjunto"),"")))</f>
        <v/>
      </c>
      <c r="V985" t="str">
        <f>IF(S985="","",IF(S985="[FÓRMULA MANUAL]","",IFERROR(AVERAGEIFS(nNOTA,nNIA,S985,nCUENTA,1,nASIG,"Música de Cámara"),"")))</f>
        <v/>
      </c>
      <c r="W985" t="str">
        <f>IF(S985="","",IF(S985="[FÓRMULA MANUAL]","",IFERROR(SUMPRODUCT((nNIA=S985)*(nCUENTA=1)*(COUNTIF(CONFIG_ASIGNATURAS!$B$7:$B$27,nASIG)&gt;0)*(nNOTA))/SUMPRODUCT((nNIA=S985)*(nCUENTA=1)*(COUNTIF(CONFIG_ASIGNATURAS!$B$7:$B$27,nASIG)&gt;0)*1),"")))</f>
        <v/>
      </c>
      <c r="Z985" t="str">
        <f>IF(Y985="","",IF(Y985="[FÓRMULA MANUAL]","",IFERROR(AVERAGEIFS(nNOTA,nNIA,Y985,nCUENTA,1,nASIG,"Análisis"),"")))</f>
        <v/>
      </c>
      <c r="AA985" t="str">
        <f>IF(Y985="","",IF(Y985="[FÓRMULA MANUAL]","",IFERROR(AVERAGEIFS(nNOTA,nNIA,Y985,nCUENTA,1,nASIG,"Orquesta/Banda/Conjunto"),"")))</f>
        <v/>
      </c>
      <c r="AB985" t="str">
        <f>IF(Y985="","",IF(Y985="[FÓRMULA MANUAL]","",IFERROR(AVERAGEIFS(nNOTA,nNIA,Y985,nCUENTA,1,nASIG,"Música de Cámara"),"")))</f>
        <v/>
      </c>
      <c r="AC985" t="str">
        <f>IF(Y985="","",IF(Y985="[FÓRMULA MANUAL]","",IFERROR(SUMPRODUCT((nNIA=Y985)*(nCUENTA=1)*(COUNTIF(CONFIG_ASIGNATURAS!$B$7:$B$27,nASIG)&gt;0)*(nNOTA))/SUMPRODUCT((nNIA=Y985)*(nCUENTA=1)*(COUNTIF(CONFIG_ASIGNATURAS!$B$7:$B$27,nASIG)&gt;0)*1),"")))</f>
        <v/>
      </c>
      <c r="AF985" t="str">
        <f>IF(AE985="","",IF(AE985="[FÓRMULA MANUAL]","",IFERROR(AVERAGEIFS(nNOTA,nNIA,AE985,nCUENTA,1,nASIG,"Análisis"),"")))</f>
        <v/>
      </c>
      <c r="AG985" t="str">
        <f>IF(AE985="","",IF(AE985="[FÓRMULA MANUAL]","",IFERROR(AVERAGEIFS(nNOTA,nNIA,AE985,nCUENTA,1,nASIG,"Orquesta/Banda/Conjunto"),"")))</f>
        <v/>
      </c>
      <c r="AH985" t="str">
        <f>IF(AE985="","",IF(AE985="[FÓRMULA MANUAL]","",IFERROR(AVERAGEIFS(nNOTA,nNIA,AE985,nCUENTA,1,nASIG,"Música de Cámara"),"")))</f>
        <v/>
      </c>
      <c r="AI985" t="str">
        <f>IF(AE985="","",IF(AE985="[FÓRMULA MANUAL]","",IFERROR(SUMPRODUCT((nNIA=AE985)*(nCUENTA=1)*(COUNTIF(CONFIG_ASIGNATURAS!$B$7:$B$27,nASIG)&gt;0)*(nNOTA))/SUMPRODUCT((nNIA=AE985)*(nCUENTA=1)*(COUNTIF(CONFIG_ASIGNATURAS!$B$7:$B$27,nASIG)&gt;0)*1),"")))</f>
        <v/>
      </c>
    </row>
    <row r="986" spans="2:35" x14ac:dyDescent="0.2">
      <c r="B986" t="str">
        <f>IF(A986="","",IF(A986="[FÓRMULA MANUAL]","",IFERROR(AVERAGEIFS(nNOTA,nNIA,A986,nCUENTA,1,nASIG,"Lenguaje Musical"),"")))</f>
        <v/>
      </c>
      <c r="C986" t="str">
        <f>IF(A986="","",IF(A986="[FÓRMULA MANUAL]","",IFERROR(AVERAGEIFS(nNOTA,nNIA,A986,nCUENTA,1,nASIG,"Orquesta/Banda/Conjunto"),"")))</f>
        <v/>
      </c>
      <c r="D986" t="str">
        <f>IF(A986="","",IF(A986="[FÓRMULA MANUAL]","",IFERROR(AVERAGEIFS(nNOTA,nNIA,A986,nCUENTA,1,nASIG,"Conjunto"),"")))</f>
        <v/>
      </c>
      <c r="E986" t="str">
        <f>IF(A986="","",IF(A986="[FÓRMULA MANUAL]","",IFERROR(SUMPRODUCT((nNIA=A986)*(nCUENTA=1)*(COUNTIF(CONFIG_ASIGNATURAS!$B$7:$B$27,nASIG)&gt;0)*(nNOTA))/SUMPRODUCT((nNIA=A986)*(nCUENTA=1)*(COUNTIF(CONFIG_ASIGNATURAS!$B$7:$B$27,nASIG)&gt;0)*1),"")))</f>
        <v/>
      </c>
      <c r="H986" t="str">
        <f>IF(G986="","",IF(G986="[FÓRMULA MANUAL]","",IFERROR(AVERAGEIFS(nNOTA,nNIA,G986,nCUENTA,1,nASIG,"Lenguaje Musical"),"")))</f>
        <v/>
      </c>
      <c r="I986" t="str">
        <f>IF(G986="","",IF(G986="[FÓRMULA MANUAL]","",IFERROR(AVERAGEIFS(nNOTA,nNIA,G986,nCUENTA,1,nASIG,"Orquesta/Banda/Conjunto"),"")))</f>
        <v/>
      </c>
      <c r="J986" t="str">
        <f>IF(G986="","",IF(G986="[FÓRMULA MANUAL]","",IFERROR(AVERAGEIFS(nNOTA,nNIA,G986,nCUENTA,1,nASIG,"Conjunto"),"")))</f>
        <v/>
      </c>
      <c r="K986" t="str">
        <f>IF(G986="","",IF(G986="[FÓRMULA MANUAL]","",IFERROR(SUMPRODUCT((nNIA=G986)*(nCUENTA=1)*(COUNTIF(CONFIG_ASIGNATURAS!$B$7:$B$27,nASIG)&gt;0)*(nNOTA))/SUMPRODUCT((nNIA=G986)*(nCUENTA=1)*(COUNTIF(CONFIG_ASIGNATURAS!$B$7:$B$27,nASIG)&gt;0)*1),"")))</f>
        <v/>
      </c>
      <c r="N986" t="str">
        <f>IF(M986="","",IF(M986="[FÓRMULA MANUAL]","",IFERROR(AVERAGEIFS(nNOTA,nNIA,M986,nCUENTA,1,nASIG,"Armonía"),"")))</f>
        <v/>
      </c>
      <c r="O986" t="str">
        <f>IF(M986="","",IF(M986="[FÓRMULA MANUAL]","",IFERROR(AVERAGEIFS(nNOTA,nNIA,M986,nCUENTA,1,nASIG,"Orquesta/Banda/Conjunto"),"")))</f>
        <v/>
      </c>
      <c r="P986" t="str">
        <f>IF(M986="","",IF(M986="[FÓRMULA MANUAL]","",IFERROR(AVERAGEIFS(nNOTA,nNIA,M986,nCUENTA,1,nASIG,"Música de Cámara"),"")))</f>
        <v/>
      </c>
      <c r="Q986" t="str">
        <f>IF(M986="","",IF(M986="[FÓRMULA MANUAL]","",IFERROR(SUMPRODUCT((nNIA=M986)*(nCUENTA=1)*(COUNTIF(CONFIG_ASIGNATURAS!$B$7:$B$27,nASIG)&gt;0)*(nNOTA))/SUMPRODUCT((nNIA=M986)*(nCUENTA=1)*(COUNTIF(CONFIG_ASIGNATURAS!$B$7:$B$27,nASIG)&gt;0)*1),"")))</f>
        <v/>
      </c>
      <c r="T986" t="str">
        <f>IF(S986="","",IF(S986="[FÓRMULA MANUAL]","",IFERROR(AVERAGEIFS(nNOTA,nNIA,S986,nCUENTA,1,nASIG,"Armonía"),"")))</f>
        <v/>
      </c>
      <c r="U986" t="str">
        <f>IF(S986="","",IF(S986="[FÓRMULA MANUAL]","",IFERROR(AVERAGEIFS(nNOTA,nNIA,S986,nCUENTA,1,nASIG,"Orquesta/Banda/Conjunto"),"")))</f>
        <v/>
      </c>
      <c r="V986" t="str">
        <f>IF(S986="","",IF(S986="[FÓRMULA MANUAL]","",IFERROR(AVERAGEIFS(nNOTA,nNIA,S986,nCUENTA,1,nASIG,"Música de Cámara"),"")))</f>
        <v/>
      </c>
      <c r="W986" t="str">
        <f>IF(S986="","",IF(S986="[FÓRMULA MANUAL]","",IFERROR(SUMPRODUCT((nNIA=S986)*(nCUENTA=1)*(COUNTIF(CONFIG_ASIGNATURAS!$B$7:$B$27,nASIG)&gt;0)*(nNOTA))/SUMPRODUCT((nNIA=S986)*(nCUENTA=1)*(COUNTIF(CONFIG_ASIGNATURAS!$B$7:$B$27,nASIG)&gt;0)*1),"")))</f>
        <v/>
      </c>
      <c r="Z986" t="str">
        <f>IF(Y986="","",IF(Y986="[FÓRMULA MANUAL]","",IFERROR(AVERAGEIFS(nNOTA,nNIA,Y986,nCUENTA,1,nASIG,"Análisis"),"")))</f>
        <v/>
      </c>
      <c r="AA986" t="str">
        <f>IF(Y986="","",IF(Y986="[FÓRMULA MANUAL]","",IFERROR(AVERAGEIFS(nNOTA,nNIA,Y986,nCUENTA,1,nASIG,"Orquesta/Banda/Conjunto"),"")))</f>
        <v/>
      </c>
      <c r="AB986" t="str">
        <f>IF(Y986="","",IF(Y986="[FÓRMULA MANUAL]","",IFERROR(AVERAGEIFS(nNOTA,nNIA,Y986,nCUENTA,1,nASIG,"Música de Cámara"),"")))</f>
        <v/>
      </c>
      <c r="AC986" t="str">
        <f>IF(Y986="","",IF(Y986="[FÓRMULA MANUAL]","",IFERROR(SUMPRODUCT((nNIA=Y986)*(nCUENTA=1)*(COUNTIF(CONFIG_ASIGNATURAS!$B$7:$B$27,nASIG)&gt;0)*(nNOTA))/SUMPRODUCT((nNIA=Y986)*(nCUENTA=1)*(COUNTIF(CONFIG_ASIGNATURAS!$B$7:$B$27,nASIG)&gt;0)*1),"")))</f>
        <v/>
      </c>
      <c r="AF986" t="str">
        <f>IF(AE986="","",IF(AE986="[FÓRMULA MANUAL]","",IFERROR(AVERAGEIFS(nNOTA,nNIA,AE986,nCUENTA,1,nASIG,"Análisis"),"")))</f>
        <v/>
      </c>
      <c r="AG986" t="str">
        <f>IF(AE986="","",IF(AE986="[FÓRMULA MANUAL]","",IFERROR(AVERAGEIFS(nNOTA,nNIA,AE986,nCUENTA,1,nASIG,"Orquesta/Banda/Conjunto"),"")))</f>
        <v/>
      </c>
      <c r="AH986" t="str">
        <f>IF(AE986="","",IF(AE986="[FÓRMULA MANUAL]","",IFERROR(AVERAGEIFS(nNOTA,nNIA,AE986,nCUENTA,1,nASIG,"Música de Cámara"),"")))</f>
        <v/>
      </c>
      <c r="AI986" t="str">
        <f>IF(AE986="","",IF(AE986="[FÓRMULA MANUAL]","",IFERROR(SUMPRODUCT((nNIA=AE986)*(nCUENTA=1)*(COUNTIF(CONFIG_ASIGNATURAS!$B$7:$B$27,nASIG)&gt;0)*(nNOTA))/SUMPRODUCT((nNIA=AE986)*(nCUENTA=1)*(COUNTIF(CONFIG_ASIGNATURAS!$B$7:$B$27,nASIG)&gt;0)*1),"")))</f>
        <v/>
      </c>
    </row>
    <row r="987" spans="2:35" x14ac:dyDescent="0.2">
      <c r="B987" t="str">
        <f>IF(A987="","",IF(A987="[FÓRMULA MANUAL]","",IFERROR(AVERAGEIFS(nNOTA,nNIA,A987,nCUENTA,1,nASIG,"Lenguaje Musical"),"")))</f>
        <v/>
      </c>
      <c r="C987" t="str">
        <f>IF(A987="","",IF(A987="[FÓRMULA MANUAL]","",IFERROR(AVERAGEIFS(nNOTA,nNIA,A987,nCUENTA,1,nASIG,"Orquesta/Banda/Conjunto"),"")))</f>
        <v/>
      </c>
      <c r="D987" t="str">
        <f>IF(A987="","",IF(A987="[FÓRMULA MANUAL]","",IFERROR(AVERAGEIFS(nNOTA,nNIA,A987,nCUENTA,1,nASIG,"Conjunto"),"")))</f>
        <v/>
      </c>
      <c r="E987" t="str">
        <f>IF(A987="","",IF(A987="[FÓRMULA MANUAL]","",IFERROR(SUMPRODUCT((nNIA=A987)*(nCUENTA=1)*(COUNTIF(CONFIG_ASIGNATURAS!$B$7:$B$27,nASIG)&gt;0)*(nNOTA))/SUMPRODUCT((nNIA=A987)*(nCUENTA=1)*(COUNTIF(CONFIG_ASIGNATURAS!$B$7:$B$27,nASIG)&gt;0)*1),"")))</f>
        <v/>
      </c>
      <c r="H987" t="str">
        <f>IF(G987="","",IF(G987="[FÓRMULA MANUAL]","",IFERROR(AVERAGEIFS(nNOTA,nNIA,G987,nCUENTA,1,nASIG,"Lenguaje Musical"),"")))</f>
        <v/>
      </c>
      <c r="I987" t="str">
        <f>IF(G987="","",IF(G987="[FÓRMULA MANUAL]","",IFERROR(AVERAGEIFS(nNOTA,nNIA,G987,nCUENTA,1,nASIG,"Orquesta/Banda/Conjunto"),"")))</f>
        <v/>
      </c>
      <c r="J987" t="str">
        <f>IF(G987="","",IF(G987="[FÓRMULA MANUAL]","",IFERROR(AVERAGEIFS(nNOTA,nNIA,G987,nCUENTA,1,nASIG,"Conjunto"),"")))</f>
        <v/>
      </c>
      <c r="K987" t="str">
        <f>IF(G987="","",IF(G987="[FÓRMULA MANUAL]","",IFERROR(SUMPRODUCT((nNIA=G987)*(nCUENTA=1)*(COUNTIF(CONFIG_ASIGNATURAS!$B$7:$B$27,nASIG)&gt;0)*(nNOTA))/SUMPRODUCT((nNIA=G987)*(nCUENTA=1)*(COUNTIF(CONFIG_ASIGNATURAS!$B$7:$B$27,nASIG)&gt;0)*1),"")))</f>
        <v/>
      </c>
      <c r="N987" t="str">
        <f>IF(M987="","",IF(M987="[FÓRMULA MANUAL]","",IFERROR(AVERAGEIFS(nNOTA,nNIA,M987,nCUENTA,1,nASIG,"Armonía"),"")))</f>
        <v/>
      </c>
      <c r="O987" t="str">
        <f>IF(M987="","",IF(M987="[FÓRMULA MANUAL]","",IFERROR(AVERAGEIFS(nNOTA,nNIA,M987,nCUENTA,1,nASIG,"Orquesta/Banda/Conjunto"),"")))</f>
        <v/>
      </c>
      <c r="P987" t="str">
        <f>IF(M987="","",IF(M987="[FÓRMULA MANUAL]","",IFERROR(AVERAGEIFS(nNOTA,nNIA,M987,nCUENTA,1,nASIG,"Música de Cámara"),"")))</f>
        <v/>
      </c>
      <c r="Q987" t="str">
        <f>IF(M987="","",IF(M987="[FÓRMULA MANUAL]","",IFERROR(SUMPRODUCT((nNIA=M987)*(nCUENTA=1)*(COUNTIF(CONFIG_ASIGNATURAS!$B$7:$B$27,nASIG)&gt;0)*(nNOTA))/SUMPRODUCT((nNIA=M987)*(nCUENTA=1)*(COUNTIF(CONFIG_ASIGNATURAS!$B$7:$B$27,nASIG)&gt;0)*1),"")))</f>
        <v/>
      </c>
      <c r="T987" t="str">
        <f>IF(S987="","",IF(S987="[FÓRMULA MANUAL]","",IFERROR(AVERAGEIFS(nNOTA,nNIA,S987,nCUENTA,1,nASIG,"Armonía"),"")))</f>
        <v/>
      </c>
      <c r="U987" t="str">
        <f>IF(S987="","",IF(S987="[FÓRMULA MANUAL]","",IFERROR(AVERAGEIFS(nNOTA,nNIA,S987,nCUENTA,1,nASIG,"Orquesta/Banda/Conjunto"),"")))</f>
        <v/>
      </c>
      <c r="V987" t="str">
        <f>IF(S987="","",IF(S987="[FÓRMULA MANUAL]","",IFERROR(AVERAGEIFS(nNOTA,nNIA,S987,nCUENTA,1,nASIG,"Música de Cámara"),"")))</f>
        <v/>
      </c>
      <c r="W987" t="str">
        <f>IF(S987="","",IF(S987="[FÓRMULA MANUAL]","",IFERROR(SUMPRODUCT((nNIA=S987)*(nCUENTA=1)*(COUNTIF(CONFIG_ASIGNATURAS!$B$7:$B$27,nASIG)&gt;0)*(nNOTA))/SUMPRODUCT((nNIA=S987)*(nCUENTA=1)*(COUNTIF(CONFIG_ASIGNATURAS!$B$7:$B$27,nASIG)&gt;0)*1),"")))</f>
        <v/>
      </c>
      <c r="Z987" t="str">
        <f>IF(Y987="","",IF(Y987="[FÓRMULA MANUAL]","",IFERROR(AVERAGEIFS(nNOTA,nNIA,Y987,nCUENTA,1,nASIG,"Análisis"),"")))</f>
        <v/>
      </c>
      <c r="AA987" t="str">
        <f>IF(Y987="","",IF(Y987="[FÓRMULA MANUAL]","",IFERROR(AVERAGEIFS(nNOTA,nNIA,Y987,nCUENTA,1,nASIG,"Orquesta/Banda/Conjunto"),"")))</f>
        <v/>
      </c>
      <c r="AB987" t="str">
        <f>IF(Y987="","",IF(Y987="[FÓRMULA MANUAL]","",IFERROR(AVERAGEIFS(nNOTA,nNIA,Y987,nCUENTA,1,nASIG,"Música de Cámara"),"")))</f>
        <v/>
      </c>
      <c r="AC987" t="str">
        <f>IF(Y987="","",IF(Y987="[FÓRMULA MANUAL]","",IFERROR(SUMPRODUCT((nNIA=Y987)*(nCUENTA=1)*(COUNTIF(CONFIG_ASIGNATURAS!$B$7:$B$27,nASIG)&gt;0)*(nNOTA))/SUMPRODUCT((nNIA=Y987)*(nCUENTA=1)*(COUNTIF(CONFIG_ASIGNATURAS!$B$7:$B$27,nASIG)&gt;0)*1),"")))</f>
        <v/>
      </c>
      <c r="AF987" t="str">
        <f>IF(AE987="","",IF(AE987="[FÓRMULA MANUAL]","",IFERROR(AVERAGEIFS(nNOTA,nNIA,AE987,nCUENTA,1,nASIG,"Análisis"),"")))</f>
        <v/>
      </c>
      <c r="AG987" t="str">
        <f>IF(AE987="","",IF(AE987="[FÓRMULA MANUAL]","",IFERROR(AVERAGEIFS(nNOTA,nNIA,AE987,nCUENTA,1,nASIG,"Orquesta/Banda/Conjunto"),"")))</f>
        <v/>
      </c>
      <c r="AH987" t="str">
        <f>IF(AE987="","",IF(AE987="[FÓRMULA MANUAL]","",IFERROR(AVERAGEIFS(nNOTA,nNIA,AE987,nCUENTA,1,nASIG,"Música de Cámara"),"")))</f>
        <v/>
      </c>
      <c r="AI987" t="str">
        <f>IF(AE987="","",IF(AE987="[FÓRMULA MANUAL]","",IFERROR(SUMPRODUCT((nNIA=AE987)*(nCUENTA=1)*(COUNTIF(CONFIG_ASIGNATURAS!$B$7:$B$27,nASIG)&gt;0)*(nNOTA))/SUMPRODUCT((nNIA=AE987)*(nCUENTA=1)*(COUNTIF(CONFIG_ASIGNATURAS!$B$7:$B$27,nASIG)&gt;0)*1),"")))</f>
        <v/>
      </c>
    </row>
    <row r="988" spans="2:35" x14ac:dyDescent="0.2">
      <c r="B988" t="str">
        <f>IF(A988="","",IF(A988="[FÓRMULA MANUAL]","",IFERROR(AVERAGEIFS(nNOTA,nNIA,A988,nCUENTA,1,nASIG,"Lenguaje Musical"),"")))</f>
        <v/>
      </c>
      <c r="C988" t="str">
        <f>IF(A988="","",IF(A988="[FÓRMULA MANUAL]","",IFERROR(AVERAGEIFS(nNOTA,nNIA,A988,nCUENTA,1,nASIG,"Orquesta/Banda/Conjunto"),"")))</f>
        <v/>
      </c>
      <c r="D988" t="str">
        <f>IF(A988="","",IF(A988="[FÓRMULA MANUAL]","",IFERROR(AVERAGEIFS(nNOTA,nNIA,A988,nCUENTA,1,nASIG,"Conjunto"),"")))</f>
        <v/>
      </c>
      <c r="E988" t="str">
        <f>IF(A988="","",IF(A988="[FÓRMULA MANUAL]","",IFERROR(SUMPRODUCT((nNIA=A988)*(nCUENTA=1)*(COUNTIF(CONFIG_ASIGNATURAS!$B$7:$B$27,nASIG)&gt;0)*(nNOTA))/SUMPRODUCT((nNIA=A988)*(nCUENTA=1)*(COUNTIF(CONFIG_ASIGNATURAS!$B$7:$B$27,nASIG)&gt;0)*1),"")))</f>
        <v/>
      </c>
      <c r="H988" t="str">
        <f>IF(G988="","",IF(G988="[FÓRMULA MANUAL]","",IFERROR(AVERAGEIFS(nNOTA,nNIA,G988,nCUENTA,1,nASIG,"Lenguaje Musical"),"")))</f>
        <v/>
      </c>
      <c r="I988" t="str">
        <f>IF(G988="","",IF(G988="[FÓRMULA MANUAL]","",IFERROR(AVERAGEIFS(nNOTA,nNIA,G988,nCUENTA,1,nASIG,"Orquesta/Banda/Conjunto"),"")))</f>
        <v/>
      </c>
      <c r="J988" t="str">
        <f>IF(G988="","",IF(G988="[FÓRMULA MANUAL]","",IFERROR(AVERAGEIFS(nNOTA,nNIA,G988,nCUENTA,1,nASIG,"Conjunto"),"")))</f>
        <v/>
      </c>
      <c r="K988" t="str">
        <f>IF(G988="","",IF(G988="[FÓRMULA MANUAL]","",IFERROR(SUMPRODUCT((nNIA=G988)*(nCUENTA=1)*(COUNTIF(CONFIG_ASIGNATURAS!$B$7:$B$27,nASIG)&gt;0)*(nNOTA))/SUMPRODUCT((nNIA=G988)*(nCUENTA=1)*(COUNTIF(CONFIG_ASIGNATURAS!$B$7:$B$27,nASIG)&gt;0)*1),"")))</f>
        <v/>
      </c>
      <c r="N988" t="str">
        <f>IF(M988="","",IF(M988="[FÓRMULA MANUAL]","",IFERROR(AVERAGEIFS(nNOTA,nNIA,M988,nCUENTA,1,nASIG,"Armonía"),"")))</f>
        <v/>
      </c>
      <c r="O988" t="str">
        <f>IF(M988="","",IF(M988="[FÓRMULA MANUAL]","",IFERROR(AVERAGEIFS(nNOTA,nNIA,M988,nCUENTA,1,nASIG,"Orquesta/Banda/Conjunto"),"")))</f>
        <v/>
      </c>
      <c r="P988" t="str">
        <f>IF(M988="","",IF(M988="[FÓRMULA MANUAL]","",IFERROR(AVERAGEIFS(nNOTA,nNIA,M988,nCUENTA,1,nASIG,"Música de Cámara"),"")))</f>
        <v/>
      </c>
      <c r="Q988" t="str">
        <f>IF(M988="","",IF(M988="[FÓRMULA MANUAL]","",IFERROR(SUMPRODUCT((nNIA=M988)*(nCUENTA=1)*(COUNTIF(CONFIG_ASIGNATURAS!$B$7:$B$27,nASIG)&gt;0)*(nNOTA))/SUMPRODUCT((nNIA=M988)*(nCUENTA=1)*(COUNTIF(CONFIG_ASIGNATURAS!$B$7:$B$27,nASIG)&gt;0)*1),"")))</f>
        <v/>
      </c>
      <c r="T988" t="str">
        <f>IF(S988="","",IF(S988="[FÓRMULA MANUAL]","",IFERROR(AVERAGEIFS(nNOTA,nNIA,S988,nCUENTA,1,nASIG,"Armonía"),"")))</f>
        <v/>
      </c>
      <c r="U988" t="str">
        <f>IF(S988="","",IF(S988="[FÓRMULA MANUAL]","",IFERROR(AVERAGEIFS(nNOTA,nNIA,S988,nCUENTA,1,nASIG,"Orquesta/Banda/Conjunto"),"")))</f>
        <v/>
      </c>
      <c r="V988" t="str">
        <f>IF(S988="","",IF(S988="[FÓRMULA MANUAL]","",IFERROR(AVERAGEIFS(nNOTA,nNIA,S988,nCUENTA,1,nASIG,"Música de Cámara"),"")))</f>
        <v/>
      </c>
      <c r="W988" t="str">
        <f>IF(S988="","",IF(S988="[FÓRMULA MANUAL]","",IFERROR(SUMPRODUCT((nNIA=S988)*(nCUENTA=1)*(COUNTIF(CONFIG_ASIGNATURAS!$B$7:$B$27,nASIG)&gt;0)*(nNOTA))/SUMPRODUCT((nNIA=S988)*(nCUENTA=1)*(COUNTIF(CONFIG_ASIGNATURAS!$B$7:$B$27,nASIG)&gt;0)*1),"")))</f>
        <v/>
      </c>
      <c r="Z988" t="str">
        <f>IF(Y988="","",IF(Y988="[FÓRMULA MANUAL]","",IFERROR(AVERAGEIFS(nNOTA,nNIA,Y988,nCUENTA,1,nASIG,"Análisis"),"")))</f>
        <v/>
      </c>
      <c r="AA988" t="str">
        <f>IF(Y988="","",IF(Y988="[FÓRMULA MANUAL]","",IFERROR(AVERAGEIFS(nNOTA,nNIA,Y988,nCUENTA,1,nASIG,"Orquesta/Banda/Conjunto"),"")))</f>
        <v/>
      </c>
      <c r="AB988" t="str">
        <f>IF(Y988="","",IF(Y988="[FÓRMULA MANUAL]","",IFERROR(AVERAGEIFS(nNOTA,nNIA,Y988,nCUENTA,1,nASIG,"Música de Cámara"),"")))</f>
        <v/>
      </c>
      <c r="AC988" t="str">
        <f>IF(Y988="","",IF(Y988="[FÓRMULA MANUAL]","",IFERROR(SUMPRODUCT((nNIA=Y988)*(nCUENTA=1)*(COUNTIF(CONFIG_ASIGNATURAS!$B$7:$B$27,nASIG)&gt;0)*(nNOTA))/SUMPRODUCT((nNIA=Y988)*(nCUENTA=1)*(COUNTIF(CONFIG_ASIGNATURAS!$B$7:$B$27,nASIG)&gt;0)*1),"")))</f>
        <v/>
      </c>
      <c r="AF988" t="str">
        <f>IF(AE988="","",IF(AE988="[FÓRMULA MANUAL]","",IFERROR(AVERAGEIFS(nNOTA,nNIA,AE988,nCUENTA,1,nASIG,"Análisis"),"")))</f>
        <v/>
      </c>
      <c r="AG988" t="str">
        <f>IF(AE988="","",IF(AE988="[FÓRMULA MANUAL]","",IFERROR(AVERAGEIFS(nNOTA,nNIA,AE988,nCUENTA,1,nASIG,"Orquesta/Banda/Conjunto"),"")))</f>
        <v/>
      </c>
      <c r="AH988" t="str">
        <f>IF(AE988="","",IF(AE988="[FÓRMULA MANUAL]","",IFERROR(AVERAGEIFS(nNOTA,nNIA,AE988,nCUENTA,1,nASIG,"Música de Cámara"),"")))</f>
        <v/>
      </c>
      <c r="AI988" t="str">
        <f>IF(AE988="","",IF(AE988="[FÓRMULA MANUAL]","",IFERROR(SUMPRODUCT((nNIA=AE988)*(nCUENTA=1)*(COUNTIF(CONFIG_ASIGNATURAS!$B$7:$B$27,nASIG)&gt;0)*(nNOTA))/SUMPRODUCT((nNIA=AE988)*(nCUENTA=1)*(COUNTIF(CONFIG_ASIGNATURAS!$B$7:$B$27,nASIG)&gt;0)*1),"")))</f>
        <v/>
      </c>
    </row>
    <row r="989" spans="2:35" x14ac:dyDescent="0.2">
      <c r="B989" t="str">
        <f>IF(A989="","",IF(A989="[FÓRMULA MANUAL]","",IFERROR(AVERAGEIFS(nNOTA,nNIA,A989,nCUENTA,1,nASIG,"Lenguaje Musical"),"")))</f>
        <v/>
      </c>
      <c r="C989" t="str">
        <f>IF(A989="","",IF(A989="[FÓRMULA MANUAL]","",IFERROR(AVERAGEIFS(nNOTA,nNIA,A989,nCUENTA,1,nASIG,"Orquesta/Banda/Conjunto"),"")))</f>
        <v/>
      </c>
      <c r="D989" t="str">
        <f>IF(A989="","",IF(A989="[FÓRMULA MANUAL]","",IFERROR(AVERAGEIFS(nNOTA,nNIA,A989,nCUENTA,1,nASIG,"Conjunto"),"")))</f>
        <v/>
      </c>
      <c r="E989" t="str">
        <f>IF(A989="","",IF(A989="[FÓRMULA MANUAL]","",IFERROR(SUMPRODUCT((nNIA=A989)*(nCUENTA=1)*(COUNTIF(CONFIG_ASIGNATURAS!$B$7:$B$27,nASIG)&gt;0)*(nNOTA))/SUMPRODUCT((nNIA=A989)*(nCUENTA=1)*(COUNTIF(CONFIG_ASIGNATURAS!$B$7:$B$27,nASIG)&gt;0)*1),"")))</f>
        <v/>
      </c>
      <c r="H989" t="str">
        <f>IF(G989="","",IF(G989="[FÓRMULA MANUAL]","",IFERROR(AVERAGEIFS(nNOTA,nNIA,G989,nCUENTA,1,nASIG,"Lenguaje Musical"),"")))</f>
        <v/>
      </c>
      <c r="I989" t="str">
        <f>IF(G989="","",IF(G989="[FÓRMULA MANUAL]","",IFERROR(AVERAGEIFS(nNOTA,nNIA,G989,nCUENTA,1,nASIG,"Orquesta/Banda/Conjunto"),"")))</f>
        <v/>
      </c>
      <c r="J989" t="str">
        <f>IF(G989="","",IF(G989="[FÓRMULA MANUAL]","",IFERROR(AVERAGEIFS(nNOTA,nNIA,G989,nCUENTA,1,nASIG,"Conjunto"),"")))</f>
        <v/>
      </c>
      <c r="K989" t="str">
        <f>IF(G989="","",IF(G989="[FÓRMULA MANUAL]","",IFERROR(SUMPRODUCT((nNIA=G989)*(nCUENTA=1)*(COUNTIF(CONFIG_ASIGNATURAS!$B$7:$B$27,nASIG)&gt;0)*(nNOTA))/SUMPRODUCT((nNIA=G989)*(nCUENTA=1)*(COUNTIF(CONFIG_ASIGNATURAS!$B$7:$B$27,nASIG)&gt;0)*1),"")))</f>
        <v/>
      </c>
      <c r="N989" t="str">
        <f>IF(M989="","",IF(M989="[FÓRMULA MANUAL]","",IFERROR(AVERAGEIFS(nNOTA,nNIA,M989,nCUENTA,1,nASIG,"Armonía"),"")))</f>
        <v/>
      </c>
      <c r="O989" t="str">
        <f>IF(M989="","",IF(M989="[FÓRMULA MANUAL]","",IFERROR(AVERAGEIFS(nNOTA,nNIA,M989,nCUENTA,1,nASIG,"Orquesta/Banda/Conjunto"),"")))</f>
        <v/>
      </c>
      <c r="P989" t="str">
        <f>IF(M989="","",IF(M989="[FÓRMULA MANUAL]","",IFERROR(AVERAGEIFS(nNOTA,nNIA,M989,nCUENTA,1,nASIG,"Música de Cámara"),"")))</f>
        <v/>
      </c>
      <c r="Q989" t="str">
        <f>IF(M989="","",IF(M989="[FÓRMULA MANUAL]","",IFERROR(SUMPRODUCT((nNIA=M989)*(nCUENTA=1)*(COUNTIF(CONFIG_ASIGNATURAS!$B$7:$B$27,nASIG)&gt;0)*(nNOTA))/SUMPRODUCT((nNIA=M989)*(nCUENTA=1)*(COUNTIF(CONFIG_ASIGNATURAS!$B$7:$B$27,nASIG)&gt;0)*1),"")))</f>
        <v/>
      </c>
      <c r="T989" t="str">
        <f>IF(S989="","",IF(S989="[FÓRMULA MANUAL]","",IFERROR(AVERAGEIFS(nNOTA,nNIA,S989,nCUENTA,1,nASIG,"Armonía"),"")))</f>
        <v/>
      </c>
      <c r="U989" t="str">
        <f>IF(S989="","",IF(S989="[FÓRMULA MANUAL]","",IFERROR(AVERAGEIFS(nNOTA,nNIA,S989,nCUENTA,1,nASIG,"Orquesta/Banda/Conjunto"),"")))</f>
        <v/>
      </c>
      <c r="V989" t="str">
        <f>IF(S989="","",IF(S989="[FÓRMULA MANUAL]","",IFERROR(AVERAGEIFS(nNOTA,nNIA,S989,nCUENTA,1,nASIG,"Música de Cámara"),"")))</f>
        <v/>
      </c>
      <c r="W989" t="str">
        <f>IF(S989="","",IF(S989="[FÓRMULA MANUAL]","",IFERROR(SUMPRODUCT((nNIA=S989)*(nCUENTA=1)*(COUNTIF(CONFIG_ASIGNATURAS!$B$7:$B$27,nASIG)&gt;0)*(nNOTA))/SUMPRODUCT((nNIA=S989)*(nCUENTA=1)*(COUNTIF(CONFIG_ASIGNATURAS!$B$7:$B$27,nASIG)&gt;0)*1),"")))</f>
        <v/>
      </c>
      <c r="Z989" t="str">
        <f>IF(Y989="","",IF(Y989="[FÓRMULA MANUAL]","",IFERROR(AVERAGEIFS(nNOTA,nNIA,Y989,nCUENTA,1,nASIG,"Análisis"),"")))</f>
        <v/>
      </c>
      <c r="AA989" t="str">
        <f>IF(Y989="","",IF(Y989="[FÓRMULA MANUAL]","",IFERROR(AVERAGEIFS(nNOTA,nNIA,Y989,nCUENTA,1,nASIG,"Orquesta/Banda/Conjunto"),"")))</f>
        <v/>
      </c>
      <c r="AB989" t="str">
        <f>IF(Y989="","",IF(Y989="[FÓRMULA MANUAL]","",IFERROR(AVERAGEIFS(nNOTA,nNIA,Y989,nCUENTA,1,nASIG,"Música de Cámara"),"")))</f>
        <v/>
      </c>
      <c r="AC989" t="str">
        <f>IF(Y989="","",IF(Y989="[FÓRMULA MANUAL]","",IFERROR(SUMPRODUCT((nNIA=Y989)*(nCUENTA=1)*(COUNTIF(CONFIG_ASIGNATURAS!$B$7:$B$27,nASIG)&gt;0)*(nNOTA))/SUMPRODUCT((nNIA=Y989)*(nCUENTA=1)*(COUNTIF(CONFIG_ASIGNATURAS!$B$7:$B$27,nASIG)&gt;0)*1),"")))</f>
        <v/>
      </c>
      <c r="AF989" t="str">
        <f>IF(AE989="","",IF(AE989="[FÓRMULA MANUAL]","",IFERROR(AVERAGEIFS(nNOTA,nNIA,AE989,nCUENTA,1,nASIG,"Análisis"),"")))</f>
        <v/>
      </c>
      <c r="AG989" t="str">
        <f>IF(AE989="","",IF(AE989="[FÓRMULA MANUAL]","",IFERROR(AVERAGEIFS(nNOTA,nNIA,AE989,nCUENTA,1,nASIG,"Orquesta/Banda/Conjunto"),"")))</f>
        <v/>
      </c>
      <c r="AH989" t="str">
        <f>IF(AE989="","",IF(AE989="[FÓRMULA MANUAL]","",IFERROR(AVERAGEIFS(nNOTA,nNIA,AE989,nCUENTA,1,nASIG,"Música de Cámara"),"")))</f>
        <v/>
      </c>
      <c r="AI989" t="str">
        <f>IF(AE989="","",IF(AE989="[FÓRMULA MANUAL]","",IFERROR(SUMPRODUCT((nNIA=AE989)*(nCUENTA=1)*(COUNTIF(CONFIG_ASIGNATURAS!$B$7:$B$27,nASIG)&gt;0)*(nNOTA))/SUMPRODUCT((nNIA=AE989)*(nCUENTA=1)*(COUNTIF(CONFIG_ASIGNATURAS!$B$7:$B$27,nASIG)&gt;0)*1),"")))</f>
        <v/>
      </c>
    </row>
    <row r="990" spans="2:35" x14ac:dyDescent="0.2">
      <c r="B990" t="str">
        <f>IF(A990="","",IF(A990="[FÓRMULA MANUAL]","",IFERROR(AVERAGEIFS(nNOTA,nNIA,A990,nCUENTA,1,nASIG,"Lenguaje Musical"),"")))</f>
        <v/>
      </c>
      <c r="C990" t="str">
        <f>IF(A990="","",IF(A990="[FÓRMULA MANUAL]","",IFERROR(AVERAGEIFS(nNOTA,nNIA,A990,nCUENTA,1,nASIG,"Orquesta/Banda/Conjunto"),"")))</f>
        <v/>
      </c>
      <c r="D990" t="str">
        <f>IF(A990="","",IF(A990="[FÓRMULA MANUAL]","",IFERROR(AVERAGEIFS(nNOTA,nNIA,A990,nCUENTA,1,nASIG,"Conjunto"),"")))</f>
        <v/>
      </c>
      <c r="E990" t="str">
        <f>IF(A990="","",IF(A990="[FÓRMULA MANUAL]","",IFERROR(SUMPRODUCT((nNIA=A990)*(nCUENTA=1)*(COUNTIF(CONFIG_ASIGNATURAS!$B$7:$B$27,nASIG)&gt;0)*(nNOTA))/SUMPRODUCT((nNIA=A990)*(nCUENTA=1)*(COUNTIF(CONFIG_ASIGNATURAS!$B$7:$B$27,nASIG)&gt;0)*1),"")))</f>
        <v/>
      </c>
      <c r="H990" t="str">
        <f>IF(G990="","",IF(G990="[FÓRMULA MANUAL]","",IFERROR(AVERAGEIFS(nNOTA,nNIA,G990,nCUENTA,1,nASIG,"Lenguaje Musical"),"")))</f>
        <v/>
      </c>
      <c r="I990" t="str">
        <f>IF(G990="","",IF(G990="[FÓRMULA MANUAL]","",IFERROR(AVERAGEIFS(nNOTA,nNIA,G990,nCUENTA,1,nASIG,"Orquesta/Banda/Conjunto"),"")))</f>
        <v/>
      </c>
      <c r="J990" t="str">
        <f>IF(G990="","",IF(G990="[FÓRMULA MANUAL]","",IFERROR(AVERAGEIFS(nNOTA,nNIA,G990,nCUENTA,1,nASIG,"Conjunto"),"")))</f>
        <v/>
      </c>
      <c r="K990" t="str">
        <f>IF(G990="","",IF(G990="[FÓRMULA MANUAL]","",IFERROR(SUMPRODUCT((nNIA=G990)*(nCUENTA=1)*(COUNTIF(CONFIG_ASIGNATURAS!$B$7:$B$27,nASIG)&gt;0)*(nNOTA))/SUMPRODUCT((nNIA=G990)*(nCUENTA=1)*(COUNTIF(CONFIG_ASIGNATURAS!$B$7:$B$27,nASIG)&gt;0)*1),"")))</f>
        <v/>
      </c>
      <c r="N990" t="str">
        <f>IF(M990="","",IF(M990="[FÓRMULA MANUAL]","",IFERROR(AVERAGEIFS(nNOTA,nNIA,M990,nCUENTA,1,nASIG,"Armonía"),"")))</f>
        <v/>
      </c>
      <c r="O990" t="str">
        <f>IF(M990="","",IF(M990="[FÓRMULA MANUAL]","",IFERROR(AVERAGEIFS(nNOTA,nNIA,M990,nCUENTA,1,nASIG,"Orquesta/Banda/Conjunto"),"")))</f>
        <v/>
      </c>
      <c r="P990" t="str">
        <f>IF(M990="","",IF(M990="[FÓRMULA MANUAL]","",IFERROR(AVERAGEIFS(nNOTA,nNIA,M990,nCUENTA,1,nASIG,"Música de Cámara"),"")))</f>
        <v/>
      </c>
      <c r="Q990" t="str">
        <f>IF(M990="","",IF(M990="[FÓRMULA MANUAL]","",IFERROR(SUMPRODUCT((nNIA=M990)*(nCUENTA=1)*(COUNTIF(CONFIG_ASIGNATURAS!$B$7:$B$27,nASIG)&gt;0)*(nNOTA))/SUMPRODUCT((nNIA=M990)*(nCUENTA=1)*(COUNTIF(CONFIG_ASIGNATURAS!$B$7:$B$27,nASIG)&gt;0)*1),"")))</f>
        <v/>
      </c>
      <c r="T990" t="str">
        <f>IF(S990="","",IF(S990="[FÓRMULA MANUAL]","",IFERROR(AVERAGEIFS(nNOTA,nNIA,S990,nCUENTA,1,nASIG,"Armonía"),"")))</f>
        <v/>
      </c>
      <c r="U990" t="str">
        <f>IF(S990="","",IF(S990="[FÓRMULA MANUAL]","",IFERROR(AVERAGEIFS(nNOTA,nNIA,S990,nCUENTA,1,nASIG,"Orquesta/Banda/Conjunto"),"")))</f>
        <v/>
      </c>
      <c r="V990" t="str">
        <f>IF(S990="","",IF(S990="[FÓRMULA MANUAL]","",IFERROR(AVERAGEIFS(nNOTA,nNIA,S990,nCUENTA,1,nASIG,"Música de Cámara"),"")))</f>
        <v/>
      </c>
      <c r="W990" t="str">
        <f>IF(S990="","",IF(S990="[FÓRMULA MANUAL]","",IFERROR(SUMPRODUCT((nNIA=S990)*(nCUENTA=1)*(COUNTIF(CONFIG_ASIGNATURAS!$B$7:$B$27,nASIG)&gt;0)*(nNOTA))/SUMPRODUCT((nNIA=S990)*(nCUENTA=1)*(COUNTIF(CONFIG_ASIGNATURAS!$B$7:$B$27,nASIG)&gt;0)*1),"")))</f>
        <v/>
      </c>
      <c r="Z990" t="str">
        <f>IF(Y990="","",IF(Y990="[FÓRMULA MANUAL]","",IFERROR(AVERAGEIFS(nNOTA,nNIA,Y990,nCUENTA,1,nASIG,"Análisis"),"")))</f>
        <v/>
      </c>
      <c r="AA990" t="str">
        <f>IF(Y990="","",IF(Y990="[FÓRMULA MANUAL]","",IFERROR(AVERAGEIFS(nNOTA,nNIA,Y990,nCUENTA,1,nASIG,"Orquesta/Banda/Conjunto"),"")))</f>
        <v/>
      </c>
      <c r="AB990" t="str">
        <f>IF(Y990="","",IF(Y990="[FÓRMULA MANUAL]","",IFERROR(AVERAGEIFS(nNOTA,nNIA,Y990,nCUENTA,1,nASIG,"Música de Cámara"),"")))</f>
        <v/>
      </c>
      <c r="AC990" t="str">
        <f>IF(Y990="","",IF(Y990="[FÓRMULA MANUAL]","",IFERROR(SUMPRODUCT((nNIA=Y990)*(nCUENTA=1)*(COUNTIF(CONFIG_ASIGNATURAS!$B$7:$B$27,nASIG)&gt;0)*(nNOTA))/SUMPRODUCT((nNIA=Y990)*(nCUENTA=1)*(COUNTIF(CONFIG_ASIGNATURAS!$B$7:$B$27,nASIG)&gt;0)*1),"")))</f>
        <v/>
      </c>
      <c r="AF990" t="str">
        <f>IF(AE990="","",IF(AE990="[FÓRMULA MANUAL]","",IFERROR(AVERAGEIFS(nNOTA,nNIA,AE990,nCUENTA,1,nASIG,"Análisis"),"")))</f>
        <v/>
      </c>
      <c r="AG990" t="str">
        <f>IF(AE990="","",IF(AE990="[FÓRMULA MANUAL]","",IFERROR(AVERAGEIFS(nNOTA,nNIA,AE990,nCUENTA,1,nASIG,"Orquesta/Banda/Conjunto"),"")))</f>
        <v/>
      </c>
      <c r="AH990" t="str">
        <f>IF(AE990="","",IF(AE990="[FÓRMULA MANUAL]","",IFERROR(AVERAGEIFS(nNOTA,nNIA,AE990,nCUENTA,1,nASIG,"Música de Cámara"),"")))</f>
        <v/>
      </c>
      <c r="AI990" t="str">
        <f>IF(AE990="","",IF(AE990="[FÓRMULA MANUAL]","",IFERROR(SUMPRODUCT((nNIA=AE990)*(nCUENTA=1)*(COUNTIF(CONFIG_ASIGNATURAS!$B$7:$B$27,nASIG)&gt;0)*(nNOTA))/SUMPRODUCT((nNIA=AE990)*(nCUENTA=1)*(COUNTIF(CONFIG_ASIGNATURAS!$B$7:$B$27,nASIG)&gt;0)*1),"")))</f>
        <v/>
      </c>
    </row>
    <row r="991" spans="2:35" x14ac:dyDescent="0.2">
      <c r="B991" t="str">
        <f>IF(A991="","",IF(A991="[FÓRMULA MANUAL]","",IFERROR(AVERAGEIFS(nNOTA,nNIA,A991,nCUENTA,1,nASIG,"Lenguaje Musical"),"")))</f>
        <v/>
      </c>
      <c r="C991" t="str">
        <f>IF(A991="","",IF(A991="[FÓRMULA MANUAL]","",IFERROR(AVERAGEIFS(nNOTA,nNIA,A991,nCUENTA,1,nASIG,"Orquesta/Banda/Conjunto"),"")))</f>
        <v/>
      </c>
      <c r="D991" t="str">
        <f>IF(A991="","",IF(A991="[FÓRMULA MANUAL]","",IFERROR(AVERAGEIFS(nNOTA,nNIA,A991,nCUENTA,1,nASIG,"Conjunto"),"")))</f>
        <v/>
      </c>
      <c r="E991" t="str">
        <f>IF(A991="","",IF(A991="[FÓRMULA MANUAL]","",IFERROR(SUMPRODUCT((nNIA=A991)*(nCUENTA=1)*(COUNTIF(CONFIG_ASIGNATURAS!$B$7:$B$27,nASIG)&gt;0)*(nNOTA))/SUMPRODUCT((nNIA=A991)*(nCUENTA=1)*(COUNTIF(CONFIG_ASIGNATURAS!$B$7:$B$27,nASIG)&gt;0)*1),"")))</f>
        <v/>
      </c>
      <c r="H991" t="str">
        <f>IF(G991="","",IF(G991="[FÓRMULA MANUAL]","",IFERROR(AVERAGEIFS(nNOTA,nNIA,G991,nCUENTA,1,nASIG,"Lenguaje Musical"),"")))</f>
        <v/>
      </c>
      <c r="I991" t="str">
        <f>IF(G991="","",IF(G991="[FÓRMULA MANUAL]","",IFERROR(AVERAGEIFS(nNOTA,nNIA,G991,nCUENTA,1,nASIG,"Orquesta/Banda/Conjunto"),"")))</f>
        <v/>
      </c>
      <c r="J991" t="str">
        <f>IF(G991="","",IF(G991="[FÓRMULA MANUAL]","",IFERROR(AVERAGEIFS(nNOTA,nNIA,G991,nCUENTA,1,nASIG,"Conjunto"),"")))</f>
        <v/>
      </c>
      <c r="K991" t="str">
        <f>IF(G991="","",IF(G991="[FÓRMULA MANUAL]","",IFERROR(SUMPRODUCT((nNIA=G991)*(nCUENTA=1)*(COUNTIF(CONFIG_ASIGNATURAS!$B$7:$B$27,nASIG)&gt;0)*(nNOTA))/SUMPRODUCT((nNIA=G991)*(nCUENTA=1)*(COUNTIF(CONFIG_ASIGNATURAS!$B$7:$B$27,nASIG)&gt;0)*1),"")))</f>
        <v/>
      </c>
      <c r="N991" t="str">
        <f>IF(M991="","",IF(M991="[FÓRMULA MANUAL]","",IFERROR(AVERAGEIFS(nNOTA,nNIA,M991,nCUENTA,1,nASIG,"Armonía"),"")))</f>
        <v/>
      </c>
      <c r="O991" t="str">
        <f>IF(M991="","",IF(M991="[FÓRMULA MANUAL]","",IFERROR(AVERAGEIFS(nNOTA,nNIA,M991,nCUENTA,1,nASIG,"Orquesta/Banda/Conjunto"),"")))</f>
        <v/>
      </c>
      <c r="P991" t="str">
        <f>IF(M991="","",IF(M991="[FÓRMULA MANUAL]","",IFERROR(AVERAGEIFS(nNOTA,nNIA,M991,nCUENTA,1,nASIG,"Música de Cámara"),"")))</f>
        <v/>
      </c>
      <c r="Q991" t="str">
        <f>IF(M991="","",IF(M991="[FÓRMULA MANUAL]","",IFERROR(SUMPRODUCT((nNIA=M991)*(nCUENTA=1)*(COUNTIF(CONFIG_ASIGNATURAS!$B$7:$B$27,nASIG)&gt;0)*(nNOTA))/SUMPRODUCT((nNIA=M991)*(nCUENTA=1)*(COUNTIF(CONFIG_ASIGNATURAS!$B$7:$B$27,nASIG)&gt;0)*1),"")))</f>
        <v/>
      </c>
      <c r="T991" t="str">
        <f>IF(S991="","",IF(S991="[FÓRMULA MANUAL]","",IFERROR(AVERAGEIFS(nNOTA,nNIA,S991,nCUENTA,1,nASIG,"Armonía"),"")))</f>
        <v/>
      </c>
      <c r="U991" t="str">
        <f>IF(S991="","",IF(S991="[FÓRMULA MANUAL]","",IFERROR(AVERAGEIFS(nNOTA,nNIA,S991,nCUENTA,1,nASIG,"Orquesta/Banda/Conjunto"),"")))</f>
        <v/>
      </c>
      <c r="V991" t="str">
        <f>IF(S991="","",IF(S991="[FÓRMULA MANUAL]","",IFERROR(AVERAGEIFS(nNOTA,nNIA,S991,nCUENTA,1,nASIG,"Música de Cámara"),"")))</f>
        <v/>
      </c>
      <c r="W991" t="str">
        <f>IF(S991="","",IF(S991="[FÓRMULA MANUAL]","",IFERROR(SUMPRODUCT((nNIA=S991)*(nCUENTA=1)*(COUNTIF(CONFIG_ASIGNATURAS!$B$7:$B$27,nASIG)&gt;0)*(nNOTA))/SUMPRODUCT((nNIA=S991)*(nCUENTA=1)*(COUNTIF(CONFIG_ASIGNATURAS!$B$7:$B$27,nASIG)&gt;0)*1),"")))</f>
        <v/>
      </c>
      <c r="Z991" t="str">
        <f>IF(Y991="","",IF(Y991="[FÓRMULA MANUAL]","",IFERROR(AVERAGEIFS(nNOTA,nNIA,Y991,nCUENTA,1,nASIG,"Análisis"),"")))</f>
        <v/>
      </c>
      <c r="AA991" t="str">
        <f>IF(Y991="","",IF(Y991="[FÓRMULA MANUAL]","",IFERROR(AVERAGEIFS(nNOTA,nNIA,Y991,nCUENTA,1,nASIG,"Orquesta/Banda/Conjunto"),"")))</f>
        <v/>
      </c>
      <c r="AB991" t="str">
        <f>IF(Y991="","",IF(Y991="[FÓRMULA MANUAL]","",IFERROR(AVERAGEIFS(nNOTA,nNIA,Y991,nCUENTA,1,nASIG,"Música de Cámara"),"")))</f>
        <v/>
      </c>
      <c r="AC991" t="str">
        <f>IF(Y991="","",IF(Y991="[FÓRMULA MANUAL]","",IFERROR(SUMPRODUCT((nNIA=Y991)*(nCUENTA=1)*(COUNTIF(CONFIG_ASIGNATURAS!$B$7:$B$27,nASIG)&gt;0)*(nNOTA))/SUMPRODUCT((nNIA=Y991)*(nCUENTA=1)*(COUNTIF(CONFIG_ASIGNATURAS!$B$7:$B$27,nASIG)&gt;0)*1),"")))</f>
        <v/>
      </c>
      <c r="AF991" t="str">
        <f>IF(AE991="","",IF(AE991="[FÓRMULA MANUAL]","",IFERROR(AVERAGEIFS(nNOTA,nNIA,AE991,nCUENTA,1,nASIG,"Análisis"),"")))</f>
        <v/>
      </c>
      <c r="AG991" t="str">
        <f>IF(AE991="","",IF(AE991="[FÓRMULA MANUAL]","",IFERROR(AVERAGEIFS(nNOTA,nNIA,AE991,nCUENTA,1,nASIG,"Orquesta/Banda/Conjunto"),"")))</f>
        <v/>
      </c>
      <c r="AH991" t="str">
        <f>IF(AE991="","",IF(AE991="[FÓRMULA MANUAL]","",IFERROR(AVERAGEIFS(nNOTA,nNIA,AE991,nCUENTA,1,nASIG,"Música de Cámara"),"")))</f>
        <v/>
      </c>
      <c r="AI991" t="str">
        <f>IF(AE991="","",IF(AE991="[FÓRMULA MANUAL]","",IFERROR(SUMPRODUCT((nNIA=AE991)*(nCUENTA=1)*(COUNTIF(CONFIG_ASIGNATURAS!$B$7:$B$27,nASIG)&gt;0)*(nNOTA))/SUMPRODUCT((nNIA=AE991)*(nCUENTA=1)*(COUNTIF(CONFIG_ASIGNATURAS!$B$7:$B$27,nASIG)&gt;0)*1),"")))</f>
        <v/>
      </c>
    </row>
    <row r="992" spans="2:35" x14ac:dyDescent="0.2">
      <c r="B992" t="str">
        <f>IF(A992="","",IF(A992="[FÓRMULA MANUAL]","",IFERROR(AVERAGEIFS(nNOTA,nNIA,A992,nCUENTA,1,nASIG,"Lenguaje Musical"),"")))</f>
        <v/>
      </c>
      <c r="C992" t="str">
        <f>IF(A992="","",IF(A992="[FÓRMULA MANUAL]","",IFERROR(AVERAGEIFS(nNOTA,nNIA,A992,nCUENTA,1,nASIG,"Orquesta/Banda/Conjunto"),"")))</f>
        <v/>
      </c>
      <c r="D992" t="str">
        <f>IF(A992="","",IF(A992="[FÓRMULA MANUAL]","",IFERROR(AVERAGEIFS(nNOTA,nNIA,A992,nCUENTA,1,nASIG,"Conjunto"),"")))</f>
        <v/>
      </c>
      <c r="E992" t="str">
        <f>IF(A992="","",IF(A992="[FÓRMULA MANUAL]","",IFERROR(SUMPRODUCT((nNIA=A992)*(nCUENTA=1)*(COUNTIF(CONFIG_ASIGNATURAS!$B$7:$B$27,nASIG)&gt;0)*(nNOTA))/SUMPRODUCT((nNIA=A992)*(nCUENTA=1)*(COUNTIF(CONFIG_ASIGNATURAS!$B$7:$B$27,nASIG)&gt;0)*1),"")))</f>
        <v/>
      </c>
      <c r="H992" t="str">
        <f>IF(G992="","",IF(G992="[FÓRMULA MANUAL]","",IFERROR(AVERAGEIFS(nNOTA,nNIA,G992,nCUENTA,1,nASIG,"Lenguaje Musical"),"")))</f>
        <v/>
      </c>
      <c r="I992" t="str">
        <f>IF(G992="","",IF(G992="[FÓRMULA MANUAL]","",IFERROR(AVERAGEIFS(nNOTA,nNIA,G992,nCUENTA,1,nASIG,"Orquesta/Banda/Conjunto"),"")))</f>
        <v/>
      </c>
      <c r="J992" t="str">
        <f>IF(G992="","",IF(G992="[FÓRMULA MANUAL]","",IFERROR(AVERAGEIFS(nNOTA,nNIA,G992,nCUENTA,1,nASIG,"Conjunto"),"")))</f>
        <v/>
      </c>
      <c r="K992" t="str">
        <f>IF(G992="","",IF(G992="[FÓRMULA MANUAL]","",IFERROR(SUMPRODUCT((nNIA=G992)*(nCUENTA=1)*(COUNTIF(CONFIG_ASIGNATURAS!$B$7:$B$27,nASIG)&gt;0)*(nNOTA))/SUMPRODUCT((nNIA=G992)*(nCUENTA=1)*(COUNTIF(CONFIG_ASIGNATURAS!$B$7:$B$27,nASIG)&gt;0)*1),"")))</f>
        <v/>
      </c>
      <c r="N992" t="str">
        <f>IF(M992="","",IF(M992="[FÓRMULA MANUAL]","",IFERROR(AVERAGEIFS(nNOTA,nNIA,M992,nCUENTA,1,nASIG,"Armonía"),"")))</f>
        <v/>
      </c>
      <c r="O992" t="str">
        <f>IF(M992="","",IF(M992="[FÓRMULA MANUAL]","",IFERROR(AVERAGEIFS(nNOTA,nNIA,M992,nCUENTA,1,nASIG,"Orquesta/Banda/Conjunto"),"")))</f>
        <v/>
      </c>
      <c r="P992" t="str">
        <f>IF(M992="","",IF(M992="[FÓRMULA MANUAL]","",IFERROR(AVERAGEIFS(nNOTA,nNIA,M992,nCUENTA,1,nASIG,"Música de Cámara"),"")))</f>
        <v/>
      </c>
      <c r="Q992" t="str">
        <f>IF(M992="","",IF(M992="[FÓRMULA MANUAL]","",IFERROR(SUMPRODUCT((nNIA=M992)*(nCUENTA=1)*(COUNTIF(CONFIG_ASIGNATURAS!$B$7:$B$27,nASIG)&gt;0)*(nNOTA))/SUMPRODUCT((nNIA=M992)*(nCUENTA=1)*(COUNTIF(CONFIG_ASIGNATURAS!$B$7:$B$27,nASIG)&gt;0)*1),"")))</f>
        <v/>
      </c>
      <c r="T992" t="str">
        <f>IF(S992="","",IF(S992="[FÓRMULA MANUAL]","",IFERROR(AVERAGEIFS(nNOTA,nNIA,S992,nCUENTA,1,nASIG,"Armonía"),"")))</f>
        <v/>
      </c>
      <c r="U992" t="str">
        <f>IF(S992="","",IF(S992="[FÓRMULA MANUAL]","",IFERROR(AVERAGEIFS(nNOTA,nNIA,S992,nCUENTA,1,nASIG,"Orquesta/Banda/Conjunto"),"")))</f>
        <v/>
      </c>
      <c r="V992" t="str">
        <f>IF(S992="","",IF(S992="[FÓRMULA MANUAL]","",IFERROR(AVERAGEIFS(nNOTA,nNIA,S992,nCUENTA,1,nASIG,"Música de Cámara"),"")))</f>
        <v/>
      </c>
      <c r="W992" t="str">
        <f>IF(S992="","",IF(S992="[FÓRMULA MANUAL]","",IFERROR(SUMPRODUCT((nNIA=S992)*(nCUENTA=1)*(COUNTIF(CONFIG_ASIGNATURAS!$B$7:$B$27,nASIG)&gt;0)*(nNOTA))/SUMPRODUCT((nNIA=S992)*(nCUENTA=1)*(COUNTIF(CONFIG_ASIGNATURAS!$B$7:$B$27,nASIG)&gt;0)*1),"")))</f>
        <v/>
      </c>
      <c r="Z992" t="str">
        <f>IF(Y992="","",IF(Y992="[FÓRMULA MANUAL]","",IFERROR(AVERAGEIFS(nNOTA,nNIA,Y992,nCUENTA,1,nASIG,"Análisis"),"")))</f>
        <v/>
      </c>
      <c r="AA992" t="str">
        <f>IF(Y992="","",IF(Y992="[FÓRMULA MANUAL]","",IFERROR(AVERAGEIFS(nNOTA,nNIA,Y992,nCUENTA,1,nASIG,"Orquesta/Banda/Conjunto"),"")))</f>
        <v/>
      </c>
      <c r="AB992" t="str">
        <f>IF(Y992="","",IF(Y992="[FÓRMULA MANUAL]","",IFERROR(AVERAGEIFS(nNOTA,nNIA,Y992,nCUENTA,1,nASIG,"Música de Cámara"),"")))</f>
        <v/>
      </c>
      <c r="AC992" t="str">
        <f>IF(Y992="","",IF(Y992="[FÓRMULA MANUAL]","",IFERROR(SUMPRODUCT((nNIA=Y992)*(nCUENTA=1)*(COUNTIF(CONFIG_ASIGNATURAS!$B$7:$B$27,nASIG)&gt;0)*(nNOTA))/SUMPRODUCT((nNIA=Y992)*(nCUENTA=1)*(COUNTIF(CONFIG_ASIGNATURAS!$B$7:$B$27,nASIG)&gt;0)*1),"")))</f>
        <v/>
      </c>
      <c r="AF992" t="str">
        <f>IF(AE992="","",IF(AE992="[FÓRMULA MANUAL]","",IFERROR(AVERAGEIFS(nNOTA,nNIA,AE992,nCUENTA,1,nASIG,"Análisis"),"")))</f>
        <v/>
      </c>
      <c r="AG992" t="str">
        <f>IF(AE992="","",IF(AE992="[FÓRMULA MANUAL]","",IFERROR(AVERAGEIFS(nNOTA,nNIA,AE992,nCUENTA,1,nASIG,"Orquesta/Banda/Conjunto"),"")))</f>
        <v/>
      </c>
      <c r="AH992" t="str">
        <f>IF(AE992="","",IF(AE992="[FÓRMULA MANUAL]","",IFERROR(AVERAGEIFS(nNOTA,nNIA,AE992,nCUENTA,1,nASIG,"Música de Cámara"),"")))</f>
        <v/>
      </c>
      <c r="AI992" t="str">
        <f>IF(AE992="","",IF(AE992="[FÓRMULA MANUAL]","",IFERROR(SUMPRODUCT((nNIA=AE992)*(nCUENTA=1)*(COUNTIF(CONFIG_ASIGNATURAS!$B$7:$B$27,nASIG)&gt;0)*(nNOTA))/SUMPRODUCT((nNIA=AE992)*(nCUENTA=1)*(COUNTIF(CONFIG_ASIGNATURAS!$B$7:$B$27,nASIG)&gt;0)*1),"")))</f>
        <v/>
      </c>
    </row>
    <row r="993" spans="2:35" x14ac:dyDescent="0.2">
      <c r="B993" t="str">
        <f>IF(A993="","",IF(A993="[FÓRMULA MANUAL]","",IFERROR(AVERAGEIFS(nNOTA,nNIA,A993,nCUENTA,1,nASIG,"Lenguaje Musical"),"")))</f>
        <v/>
      </c>
      <c r="C993" t="str">
        <f>IF(A993="","",IF(A993="[FÓRMULA MANUAL]","",IFERROR(AVERAGEIFS(nNOTA,nNIA,A993,nCUENTA,1,nASIG,"Orquesta/Banda/Conjunto"),"")))</f>
        <v/>
      </c>
      <c r="D993" t="str">
        <f>IF(A993="","",IF(A993="[FÓRMULA MANUAL]","",IFERROR(AVERAGEIFS(nNOTA,nNIA,A993,nCUENTA,1,nASIG,"Conjunto"),"")))</f>
        <v/>
      </c>
      <c r="E993" t="str">
        <f>IF(A993="","",IF(A993="[FÓRMULA MANUAL]","",IFERROR(SUMPRODUCT((nNIA=A993)*(nCUENTA=1)*(COUNTIF(CONFIG_ASIGNATURAS!$B$7:$B$27,nASIG)&gt;0)*(nNOTA))/SUMPRODUCT((nNIA=A993)*(nCUENTA=1)*(COUNTIF(CONFIG_ASIGNATURAS!$B$7:$B$27,nASIG)&gt;0)*1),"")))</f>
        <v/>
      </c>
      <c r="H993" t="str">
        <f>IF(G993="","",IF(G993="[FÓRMULA MANUAL]","",IFERROR(AVERAGEIFS(nNOTA,nNIA,G993,nCUENTA,1,nASIG,"Lenguaje Musical"),"")))</f>
        <v/>
      </c>
      <c r="I993" t="str">
        <f>IF(G993="","",IF(G993="[FÓRMULA MANUAL]","",IFERROR(AVERAGEIFS(nNOTA,nNIA,G993,nCUENTA,1,nASIG,"Orquesta/Banda/Conjunto"),"")))</f>
        <v/>
      </c>
      <c r="J993" t="str">
        <f>IF(G993="","",IF(G993="[FÓRMULA MANUAL]","",IFERROR(AVERAGEIFS(nNOTA,nNIA,G993,nCUENTA,1,nASIG,"Conjunto"),"")))</f>
        <v/>
      </c>
      <c r="K993" t="str">
        <f>IF(G993="","",IF(G993="[FÓRMULA MANUAL]","",IFERROR(SUMPRODUCT((nNIA=G993)*(nCUENTA=1)*(COUNTIF(CONFIG_ASIGNATURAS!$B$7:$B$27,nASIG)&gt;0)*(nNOTA))/SUMPRODUCT((nNIA=G993)*(nCUENTA=1)*(COUNTIF(CONFIG_ASIGNATURAS!$B$7:$B$27,nASIG)&gt;0)*1),"")))</f>
        <v/>
      </c>
      <c r="N993" t="str">
        <f>IF(M993="","",IF(M993="[FÓRMULA MANUAL]","",IFERROR(AVERAGEIFS(nNOTA,nNIA,M993,nCUENTA,1,nASIG,"Armonía"),"")))</f>
        <v/>
      </c>
      <c r="O993" t="str">
        <f>IF(M993="","",IF(M993="[FÓRMULA MANUAL]","",IFERROR(AVERAGEIFS(nNOTA,nNIA,M993,nCUENTA,1,nASIG,"Orquesta/Banda/Conjunto"),"")))</f>
        <v/>
      </c>
      <c r="P993" t="str">
        <f>IF(M993="","",IF(M993="[FÓRMULA MANUAL]","",IFERROR(AVERAGEIFS(nNOTA,nNIA,M993,nCUENTA,1,nASIG,"Música de Cámara"),"")))</f>
        <v/>
      </c>
      <c r="Q993" t="str">
        <f>IF(M993="","",IF(M993="[FÓRMULA MANUAL]","",IFERROR(SUMPRODUCT((nNIA=M993)*(nCUENTA=1)*(COUNTIF(CONFIG_ASIGNATURAS!$B$7:$B$27,nASIG)&gt;0)*(nNOTA))/SUMPRODUCT((nNIA=M993)*(nCUENTA=1)*(COUNTIF(CONFIG_ASIGNATURAS!$B$7:$B$27,nASIG)&gt;0)*1),"")))</f>
        <v/>
      </c>
      <c r="T993" t="str">
        <f>IF(S993="","",IF(S993="[FÓRMULA MANUAL]","",IFERROR(AVERAGEIFS(nNOTA,nNIA,S993,nCUENTA,1,nASIG,"Armonía"),"")))</f>
        <v/>
      </c>
      <c r="U993" t="str">
        <f>IF(S993="","",IF(S993="[FÓRMULA MANUAL]","",IFERROR(AVERAGEIFS(nNOTA,nNIA,S993,nCUENTA,1,nASIG,"Orquesta/Banda/Conjunto"),"")))</f>
        <v/>
      </c>
      <c r="V993" t="str">
        <f>IF(S993="","",IF(S993="[FÓRMULA MANUAL]","",IFERROR(AVERAGEIFS(nNOTA,nNIA,S993,nCUENTA,1,nASIG,"Música de Cámara"),"")))</f>
        <v/>
      </c>
      <c r="W993" t="str">
        <f>IF(S993="","",IF(S993="[FÓRMULA MANUAL]","",IFERROR(SUMPRODUCT((nNIA=S993)*(nCUENTA=1)*(COUNTIF(CONFIG_ASIGNATURAS!$B$7:$B$27,nASIG)&gt;0)*(nNOTA))/SUMPRODUCT((nNIA=S993)*(nCUENTA=1)*(COUNTIF(CONFIG_ASIGNATURAS!$B$7:$B$27,nASIG)&gt;0)*1),"")))</f>
        <v/>
      </c>
      <c r="Z993" t="str">
        <f>IF(Y993="","",IF(Y993="[FÓRMULA MANUAL]","",IFERROR(AVERAGEIFS(nNOTA,nNIA,Y993,nCUENTA,1,nASIG,"Análisis"),"")))</f>
        <v/>
      </c>
      <c r="AA993" t="str">
        <f>IF(Y993="","",IF(Y993="[FÓRMULA MANUAL]","",IFERROR(AVERAGEIFS(nNOTA,nNIA,Y993,nCUENTA,1,nASIG,"Orquesta/Banda/Conjunto"),"")))</f>
        <v/>
      </c>
      <c r="AB993" t="str">
        <f>IF(Y993="","",IF(Y993="[FÓRMULA MANUAL]","",IFERROR(AVERAGEIFS(nNOTA,nNIA,Y993,nCUENTA,1,nASIG,"Música de Cámara"),"")))</f>
        <v/>
      </c>
      <c r="AC993" t="str">
        <f>IF(Y993="","",IF(Y993="[FÓRMULA MANUAL]","",IFERROR(SUMPRODUCT((nNIA=Y993)*(nCUENTA=1)*(COUNTIF(CONFIG_ASIGNATURAS!$B$7:$B$27,nASIG)&gt;0)*(nNOTA))/SUMPRODUCT((nNIA=Y993)*(nCUENTA=1)*(COUNTIF(CONFIG_ASIGNATURAS!$B$7:$B$27,nASIG)&gt;0)*1),"")))</f>
        <v/>
      </c>
      <c r="AF993" t="str">
        <f>IF(AE993="","",IF(AE993="[FÓRMULA MANUAL]","",IFERROR(AVERAGEIFS(nNOTA,nNIA,AE993,nCUENTA,1,nASIG,"Análisis"),"")))</f>
        <v/>
      </c>
      <c r="AG993" t="str">
        <f>IF(AE993="","",IF(AE993="[FÓRMULA MANUAL]","",IFERROR(AVERAGEIFS(nNOTA,nNIA,AE993,nCUENTA,1,nASIG,"Orquesta/Banda/Conjunto"),"")))</f>
        <v/>
      </c>
      <c r="AH993" t="str">
        <f>IF(AE993="","",IF(AE993="[FÓRMULA MANUAL]","",IFERROR(AVERAGEIFS(nNOTA,nNIA,AE993,nCUENTA,1,nASIG,"Música de Cámara"),"")))</f>
        <v/>
      </c>
      <c r="AI993" t="str">
        <f>IF(AE993="","",IF(AE993="[FÓRMULA MANUAL]","",IFERROR(SUMPRODUCT((nNIA=AE993)*(nCUENTA=1)*(COUNTIF(CONFIG_ASIGNATURAS!$B$7:$B$27,nASIG)&gt;0)*(nNOTA))/SUMPRODUCT((nNIA=AE993)*(nCUENTA=1)*(COUNTIF(CONFIG_ASIGNATURAS!$B$7:$B$27,nASIG)&gt;0)*1),"")))</f>
        <v/>
      </c>
    </row>
    <row r="994" spans="2:35" x14ac:dyDescent="0.2">
      <c r="B994" t="str">
        <f>IF(A994="","",IF(A994="[FÓRMULA MANUAL]","",IFERROR(AVERAGEIFS(nNOTA,nNIA,A994,nCUENTA,1,nASIG,"Lenguaje Musical"),"")))</f>
        <v/>
      </c>
      <c r="C994" t="str">
        <f>IF(A994="","",IF(A994="[FÓRMULA MANUAL]","",IFERROR(AVERAGEIFS(nNOTA,nNIA,A994,nCUENTA,1,nASIG,"Orquesta/Banda/Conjunto"),"")))</f>
        <v/>
      </c>
      <c r="D994" t="str">
        <f>IF(A994="","",IF(A994="[FÓRMULA MANUAL]","",IFERROR(AVERAGEIFS(nNOTA,nNIA,A994,nCUENTA,1,nASIG,"Conjunto"),"")))</f>
        <v/>
      </c>
      <c r="E994" t="str">
        <f>IF(A994="","",IF(A994="[FÓRMULA MANUAL]","",IFERROR(SUMPRODUCT((nNIA=A994)*(nCUENTA=1)*(COUNTIF(CONFIG_ASIGNATURAS!$B$7:$B$27,nASIG)&gt;0)*(nNOTA))/SUMPRODUCT((nNIA=A994)*(nCUENTA=1)*(COUNTIF(CONFIG_ASIGNATURAS!$B$7:$B$27,nASIG)&gt;0)*1),"")))</f>
        <v/>
      </c>
      <c r="H994" t="str">
        <f>IF(G994="","",IF(G994="[FÓRMULA MANUAL]","",IFERROR(AVERAGEIFS(nNOTA,nNIA,G994,nCUENTA,1,nASIG,"Lenguaje Musical"),"")))</f>
        <v/>
      </c>
      <c r="I994" t="str">
        <f>IF(G994="","",IF(G994="[FÓRMULA MANUAL]","",IFERROR(AVERAGEIFS(nNOTA,nNIA,G994,nCUENTA,1,nASIG,"Orquesta/Banda/Conjunto"),"")))</f>
        <v/>
      </c>
      <c r="J994" t="str">
        <f>IF(G994="","",IF(G994="[FÓRMULA MANUAL]","",IFERROR(AVERAGEIFS(nNOTA,nNIA,G994,nCUENTA,1,nASIG,"Conjunto"),"")))</f>
        <v/>
      </c>
      <c r="K994" t="str">
        <f>IF(G994="","",IF(G994="[FÓRMULA MANUAL]","",IFERROR(SUMPRODUCT((nNIA=G994)*(nCUENTA=1)*(COUNTIF(CONFIG_ASIGNATURAS!$B$7:$B$27,nASIG)&gt;0)*(nNOTA))/SUMPRODUCT((nNIA=G994)*(nCUENTA=1)*(COUNTIF(CONFIG_ASIGNATURAS!$B$7:$B$27,nASIG)&gt;0)*1),"")))</f>
        <v/>
      </c>
      <c r="N994" t="str">
        <f>IF(M994="","",IF(M994="[FÓRMULA MANUAL]","",IFERROR(AVERAGEIFS(nNOTA,nNIA,M994,nCUENTA,1,nASIG,"Armonía"),"")))</f>
        <v/>
      </c>
      <c r="O994" t="str">
        <f>IF(M994="","",IF(M994="[FÓRMULA MANUAL]","",IFERROR(AVERAGEIFS(nNOTA,nNIA,M994,nCUENTA,1,nASIG,"Orquesta/Banda/Conjunto"),"")))</f>
        <v/>
      </c>
      <c r="P994" t="str">
        <f>IF(M994="","",IF(M994="[FÓRMULA MANUAL]","",IFERROR(AVERAGEIFS(nNOTA,nNIA,M994,nCUENTA,1,nASIG,"Música de Cámara"),"")))</f>
        <v/>
      </c>
      <c r="Q994" t="str">
        <f>IF(M994="","",IF(M994="[FÓRMULA MANUAL]","",IFERROR(SUMPRODUCT((nNIA=M994)*(nCUENTA=1)*(COUNTIF(CONFIG_ASIGNATURAS!$B$7:$B$27,nASIG)&gt;0)*(nNOTA))/SUMPRODUCT((nNIA=M994)*(nCUENTA=1)*(COUNTIF(CONFIG_ASIGNATURAS!$B$7:$B$27,nASIG)&gt;0)*1),"")))</f>
        <v/>
      </c>
      <c r="T994" t="str">
        <f>IF(S994="","",IF(S994="[FÓRMULA MANUAL]","",IFERROR(AVERAGEIFS(nNOTA,nNIA,S994,nCUENTA,1,nASIG,"Armonía"),"")))</f>
        <v/>
      </c>
      <c r="U994" t="str">
        <f>IF(S994="","",IF(S994="[FÓRMULA MANUAL]","",IFERROR(AVERAGEIFS(nNOTA,nNIA,S994,nCUENTA,1,nASIG,"Orquesta/Banda/Conjunto"),"")))</f>
        <v/>
      </c>
      <c r="V994" t="str">
        <f>IF(S994="","",IF(S994="[FÓRMULA MANUAL]","",IFERROR(AVERAGEIFS(nNOTA,nNIA,S994,nCUENTA,1,nASIG,"Música de Cámara"),"")))</f>
        <v/>
      </c>
      <c r="W994" t="str">
        <f>IF(S994="","",IF(S994="[FÓRMULA MANUAL]","",IFERROR(SUMPRODUCT((nNIA=S994)*(nCUENTA=1)*(COUNTIF(CONFIG_ASIGNATURAS!$B$7:$B$27,nASIG)&gt;0)*(nNOTA))/SUMPRODUCT((nNIA=S994)*(nCUENTA=1)*(COUNTIF(CONFIG_ASIGNATURAS!$B$7:$B$27,nASIG)&gt;0)*1),"")))</f>
        <v/>
      </c>
      <c r="Z994" t="str">
        <f>IF(Y994="","",IF(Y994="[FÓRMULA MANUAL]","",IFERROR(AVERAGEIFS(nNOTA,nNIA,Y994,nCUENTA,1,nASIG,"Análisis"),"")))</f>
        <v/>
      </c>
      <c r="AA994" t="str">
        <f>IF(Y994="","",IF(Y994="[FÓRMULA MANUAL]","",IFERROR(AVERAGEIFS(nNOTA,nNIA,Y994,nCUENTA,1,nASIG,"Orquesta/Banda/Conjunto"),"")))</f>
        <v/>
      </c>
      <c r="AB994" t="str">
        <f>IF(Y994="","",IF(Y994="[FÓRMULA MANUAL]","",IFERROR(AVERAGEIFS(nNOTA,nNIA,Y994,nCUENTA,1,nASIG,"Música de Cámara"),"")))</f>
        <v/>
      </c>
      <c r="AC994" t="str">
        <f>IF(Y994="","",IF(Y994="[FÓRMULA MANUAL]","",IFERROR(SUMPRODUCT((nNIA=Y994)*(nCUENTA=1)*(COUNTIF(CONFIG_ASIGNATURAS!$B$7:$B$27,nASIG)&gt;0)*(nNOTA))/SUMPRODUCT((nNIA=Y994)*(nCUENTA=1)*(COUNTIF(CONFIG_ASIGNATURAS!$B$7:$B$27,nASIG)&gt;0)*1),"")))</f>
        <v/>
      </c>
      <c r="AF994" t="str">
        <f>IF(AE994="","",IF(AE994="[FÓRMULA MANUAL]","",IFERROR(AVERAGEIFS(nNOTA,nNIA,AE994,nCUENTA,1,nASIG,"Análisis"),"")))</f>
        <v/>
      </c>
      <c r="AG994" t="str">
        <f>IF(AE994="","",IF(AE994="[FÓRMULA MANUAL]","",IFERROR(AVERAGEIFS(nNOTA,nNIA,AE994,nCUENTA,1,nASIG,"Orquesta/Banda/Conjunto"),"")))</f>
        <v/>
      </c>
      <c r="AH994" t="str">
        <f>IF(AE994="","",IF(AE994="[FÓRMULA MANUAL]","",IFERROR(AVERAGEIFS(nNOTA,nNIA,AE994,nCUENTA,1,nASIG,"Música de Cámara"),"")))</f>
        <v/>
      </c>
      <c r="AI994" t="str">
        <f>IF(AE994="","",IF(AE994="[FÓRMULA MANUAL]","",IFERROR(SUMPRODUCT((nNIA=AE994)*(nCUENTA=1)*(COUNTIF(CONFIG_ASIGNATURAS!$B$7:$B$27,nASIG)&gt;0)*(nNOTA))/SUMPRODUCT((nNIA=AE994)*(nCUENTA=1)*(COUNTIF(CONFIG_ASIGNATURAS!$B$7:$B$27,nASIG)&gt;0)*1),"")))</f>
        <v/>
      </c>
    </row>
    <row r="995" spans="2:35" x14ac:dyDescent="0.2">
      <c r="B995" t="str">
        <f>IF(A995="","",IF(A995="[FÓRMULA MANUAL]","",IFERROR(AVERAGEIFS(nNOTA,nNIA,A995,nCUENTA,1,nASIG,"Lenguaje Musical"),"")))</f>
        <v/>
      </c>
      <c r="C995" t="str">
        <f>IF(A995="","",IF(A995="[FÓRMULA MANUAL]","",IFERROR(AVERAGEIFS(nNOTA,nNIA,A995,nCUENTA,1,nASIG,"Orquesta/Banda/Conjunto"),"")))</f>
        <v/>
      </c>
      <c r="D995" t="str">
        <f>IF(A995="","",IF(A995="[FÓRMULA MANUAL]","",IFERROR(AVERAGEIFS(nNOTA,nNIA,A995,nCUENTA,1,nASIG,"Conjunto"),"")))</f>
        <v/>
      </c>
      <c r="E995" t="str">
        <f>IF(A995="","",IF(A995="[FÓRMULA MANUAL]","",IFERROR(SUMPRODUCT((nNIA=A995)*(nCUENTA=1)*(COUNTIF(CONFIG_ASIGNATURAS!$B$7:$B$27,nASIG)&gt;0)*(nNOTA))/SUMPRODUCT((nNIA=A995)*(nCUENTA=1)*(COUNTIF(CONFIG_ASIGNATURAS!$B$7:$B$27,nASIG)&gt;0)*1),"")))</f>
        <v/>
      </c>
      <c r="H995" t="str">
        <f>IF(G995="","",IF(G995="[FÓRMULA MANUAL]","",IFERROR(AVERAGEIFS(nNOTA,nNIA,G995,nCUENTA,1,nASIG,"Lenguaje Musical"),"")))</f>
        <v/>
      </c>
      <c r="I995" t="str">
        <f>IF(G995="","",IF(G995="[FÓRMULA MANUAL]","",IFERROR(AVERAGEIFS(nNOTA,nNIA,G995,nCUENTA,1,nASIG,"Orquesta/Banda/Conjunto"),"")))</f>
        <v/>
      </c>
      <c r="J995" t="str">
        <f>IF(G995="","",IF(G995="[FÓRMULA MANUAL]","",IFERROR(AVERAGEIFS(nNOTA,nNIA,G995,nCUENTA,1,nASIG,"Conjunto"),"")))</f>
        <v/>
      </c>
      <c r="K995" t="str">
        <f>IF(G995="","",IF(G995="[FÓRMULA MANUAL]","",IFERROR(SUMPRODUCT((nNIA=G995)*(nCUENTA=1)*(COUNTIF(CONFIG_ASIGNATURAS!$B$7:$B$27,nASIG)&gt;0)*(nNOTA))/SUMPRODUCT((nNIA=G995)*(nCUENTA=1)*(COUNTIF(CONFIG_ASIGNATURAS!$B$7:$B$27,nASIG)&gt;0)*1),"")))</f>
        <v/>
      </c>
      <c r="N995" t="str">
        <f>IF(M995="","",IF(M995="[FÓRMULA MANUAL]","",IFERROR(AVERAGEIFS(nNOTA,nNIA,M995,nCUENTA,1,nASIG,"Armonía"),"")))</f>
        <v/>
      </c>
      <c r="O995" t="str">
        <f>IF(M995="","",IF(M995="[FÓRMULA MANUAL]","",IFERROR(AVERAGEIFS(nNOTA,nNIA,M995,nCUENTA,1,nASIG,"Orquesta/Banda/Conjunto"),"")))</f>
        <v/>
      </c>
      <c r="P995" t="str">
        <f>IF(M995="","",IF(M995="[FÓRMULA MANUAL]","",IFERROR(AVERAGEIFS(nNOTA,nNIA,M995,nCUENTA,1,nASIG,"Música de Cámara"),"")))</f>
        <v/>
      </c>
      <c r="Q995" t="str">
        <f>IF(M995="","",IF(M995="[FÓRMULA MANUAL]","",IFERROR(SUMPRODUCT((nNIA=M995)*(nCUENTA=1)*(COUNTIF(CONFIG_ASIGNATURAS!$B$7:$B$27,nASIG)&gt;0)*(nNOTA))/SUMPRODUCT((nNIA=M995)*(nCUENTA=1)*(COUNTIF(CONFIG_ASIGNATURAS!$B$7:$B$27,nASIG)&gt;0)*1),"")))</f>
        <v/>
      </c>
      <c r="T995" t="str">
        <f>IF(S995="","",IF(S995="[FÓRMULA MANUAL]","",IFERROR(AVERAGEIFS(nNOTA,nNIA,S995,nCUENTA,1,nASIG,"Armonía"),"")))</f>
        <v/>
      </c>
      <c r="U995" t="str">
        <f>IF(S995="","",IF(S995="[FÓRMULA MANUAL]","",IFERROR(AVERAGEIFS(nNOTA,nNIA,S995,nCUENTA,1,nASIG,"Orquesta/Banda/Conjunto"),"")))</f>
        <v/>
      </c>
      <c r="V995" t="str">
        <f>IF(S995="","",IF(S995="[FÓRMULA MANUAL]","",IFERROR(AVERAGEIFS(nNOTA,nNIA,S995,nCUENTA,1,nASIG,"Música de Cámara"),"")))</f>
        <v/>
      </c>
      <c r="W995" t="str">
        <f>IF(S995="","",IF(S995="[FÓRMULA MANUAL]","",IFERROR(SUMPRODUCT((nNIA=S995)*(nCUENTA=1)*(COUNTIF(CONFIG_ASIGNATURAS!$B$7:$B$27,nASIG)&gt;0)*(nNOTA))/SUMPRODUCT((nNIA=S995)*(nCUENTA=1)*(COUNTIF(CONFIG_ASIGNATURAS!$B$7:$B$27,nASIG)&gt;0)*1),"")))</f>
        <v/>
      </c>
      <c r="Z995" t="str">
        <f>IF(Y995="","",IF(Y995="[FÓRMULA MANUAL]","",IFERROR(AVERAGEIFS(nNOTA,nNIA,Y995,nCUENTA,1,nASIG,"Análisis"),"")))</f>
        <v/>
      </c>
      <c r="AA995" t="str">
        <f>IF(Y995="","",IF(Y995="[FÓRMULA MANUAL]","",IFERROR(AVERAGEIFS(nNOTA,nNIA,Y995,nCUENTA,1,nASIG,"Orquesta/Banda/Conjunto"),"")))</f>
        <v/>
      </c>
      <c r="AB995" t="str">
        <f>IF(Y995="","",IF(Y995="[FÓRMULA MANUAL]","",IFERROR(AVERAGEIFS(nNOTA,nNIA,Y995,nCUENTA,1,nASIG,"Música de Cámara"),"")))</f>
        <v/>
      </c>
      <c r="AC995" t="str">
        <f>IF(Y995="","",IF(Y995="[FÓRMULA MANUAL]","",IFERROR(SUMPRODUCT((nNIA=Y995)*(nCUENTA=1)*(COUNTIF(CONFIG_ASIGNATURAS!$B$7:$B$27,nASIG)&gt;0)*(nNOTA))/SUMPRODUCT((nNIA=Y995)*(nCUENTA=1)*(COUNTIF(CONFIG_ASIGNATURAS!$B$7:$B$27,nASIG)&gt;0)*1),"")))</f>
        <v/>
      </c>
      <c r="AF995" t="str">
        <f>IF(AE995="","",IF(AE995="[FÓRMULA MANUAL]","",IFERROR(AVERAGEIFS(nNOTA,nNIA,AE995,nCUENTA,1,nASIG,"Análisis"),"")))</f>
        <v/>
      </c>
      <c r="AG995" t="str">
        <f>IF(AE995="","",IF(AE995="[FÓRMULA MANUAL]","",IFERROR(AVERAGEIFS(nNOTA,nNIA,AE995,nCUENTA,1,nASIG,"Orquesta/Banda/Conjunto"),"")))</f>
        <v/>
      </c>
      <c r="AH995" t="str">
        <f>IF(AE995="","",IF(AE995="[FÓRMULA MANUAL]","",IFERROR(AVERAGEIFS(nNOTA,nNIA,AE995,nCUENTA,1,nASIG,"Música de Cámara"),"")))</f>
        <v/>
      </c>
      <c r="AI995" t="str">
        <f>IF(AE995="","",IF(AE995="[FÓRMULA MANUAL]","",IFERROR(SUMPRODUCT((nNIA=AE995)*(nCUENTA=1)*(COUNTIF(CONFIG_ASIGNATURAS!$B$7:$B$27,nASIG)&gt;0)*(nNOTA))/SUMPRODUCT((nNIA=AE995)*(nCUENTA=1)*(COUNTIF(CONFIG_ASIGNATURAS!$B$7:$B$27,nASIG)&gt;0)*1),"")))</f>
        <v/>
      </c>
    </row>
    <row r="996" spans="2:35" x14ac:dyDescent="0.2">
      <c r="B996" t="str">
        <f>IF(A996="","",IF(A996="[FÓRMULA MANUAL]","",IFERROR(AVERAGEIFS(nNOTA,nNIA,A996,nCUENTA,1,nASIG,"Lenguaje Musical"),"")))</f>
        <v/>
      </c>
      <c r="C996" t="str">
        <f>IF(A996="","",IF(A996="[FÓRMULA MANUAL]","",IFERROR(AVERAGEIFS(nNOTA,nNIA,A996,nCUENTA,1,nASIG,"Orquesta/Banda/Conjunto"),"")))</f>
        <v/>
      </c>
      <c r="D996" t="str">
        <f>IF(A996="","",IF(A996="[FÓRMULA MANUAL]","",IFERROR(AVERAGEIFS(nNOTA,nNIA,A996,nCUENTA,1,nASIG,"Conjunto"),"")))</f>
        <v/>
      </c>
      <c r="E996" t="str">
        <f>IF(A996="","",IF(A996="[FÓRMULA MANUAL]","",IFERROR(SUMPRODUCT((nNIA=A996)*(nCUENTA=1)*(COUNTIF(CONFIG_ASIGNATURAS!$B$7:$B$27,nASIG)&gt;0)*(nNOTA))/SUMPRODUCT((nNIA=A996)*(nCUENTA=1)*(COUNTIF(CONFIG_ASIGNATURAS!$B$7:$B$27,nASIG)&gt;0)*1),"")))</f>
        <v/>
      </c>
      <c r="H996" t="str">
        <f>IF(G996="","",IF(G996="[FÓRMULA MANUAL]","",IFERROR(AVERAGEIFS(nNOTA,nNIA,G996,nCUENTA,1,nASIG,"Lenguaje Musical"),"")))</f>
        <v/>
      </c>
      <c r="I996" t="str">
        <f>IF(G996="","",IF(G996="[FÓRMULA MANUAL]","",IFERROR(AVERAGEIFS(nNOTA,nNIA,G996,nCUENTA,1,nASIG,"Orquesta/Banda/Conjunto"),"")))</f>
        <v/>
      </c>
      <c r="J996" t="str">
        <f>IF(G996="","",IF(G996="[FÓRMULA MANUAL]","",IFERROR(AVERAGEIFS(nNOTA,nNIA,G996,nCUENTA,1,nASIG,"Conjunto"),"")))</f>
        <v/>
      </c>
      <c r="K996" t="str">
        <f>IF(G996="","",IF(G996="[FÓRMULA MANUAL]","",IFERROR(SUMPRODUCT((nNIA=G996)*(nCUENTA=1)*(COUNTIF(CONFIG_ASIGNATURAS!$B$7:$B$27,nASIG)&gt;0)*(nNOTA))/SUMPRODUCT((nNIA=G996)*(nCUENTA=1)*(COUNTIF(CONFIG_ASIGNATURAS!$B$7:$B$27,nASIG)&gt;0)*1),"")))</f>
        <v/>
      </c>
      <c r="N996" t="str">
        <f>IF(M996="","",IF(M996="[FÓRMULA MANUAL]","",IFERROR(AVERAGEIFS(nNOTA,nNIA,M996,nCUENTA,1,nASIG,"Armonía"),"")))</f>
        <v/>
      </c>
      <c r="O996" t="str">
        <f>IF(M996="","",IF(M996="[FÓRMULA MANUAL]","",IFERROR(AVERAGEIFS(nNOTA,nNIA,M996,nCUENTA,1,nASIG,"Orquesta/Banda/Conjunto"),"")))</f>
        <v/>
      </c>
      <c r="P996" t="str">
        <f>IF(M996="","",IF(M996="[FÓRMULA MANUAL]","",IFERROR(AVERAGEIFS(nNOTA,nNIA,M996,nCUENTA,1,nASIG,"Música de Cámara"),"")))</f>
        <v/>
      </c>
      <c r="Q996" t="str">
        <f>IF(M996="","",IF(M996="[FÓRMULA MANUAL]","",IFERROR(SUMPRODUCT((nNIA=M996)*(nCUENTA=1)*(COUNTIF(CONFIG_ASIGNATURAS!$B$7:$B$27,nASIG)&gt;0)*(nNOTA))/SUMPRODUCT((nNIA=M996)*(nCUENTA=1)*(COUNTIF(CONFIG_ASIGNATURAS!$B$7:$B$27,nASIG)&gt;0)*1),"")))</f>
        <v/>
      </c>
      <c r="T996" t="str">
        <f>IF(S996="","",IF(S996="[FÓRMULA MANUAL]","",IFERROR(AVERAGEIFS(nNOTA,nNIA,S996,nCUENTA,1,nASIG,"Armonía"),"")))</f>
        <v/>
      </c>
      <c r="U996" t="str">
        <f>IF(S996="","",IF(S996="[FÓRMULA MANUAL]","",IFERROR(AVERAGEIFS(nNOTA,nNIA,S996,nCUENTA,1,nASIG,"Orquesta/Banda/Conjunto"),"")))</f>
        <v/>
      </c>
      <c r="V996" t="str">
        <f>IF(S996="","",IF(S996="[FÓRMULA MANUAL]","",IFERROR(AVERAGEIFS(nNOTA,nNIA,S996,nCUENTA,1,nASIG,"Música de Cámara"),"")))</f>
        <v/>
      </c>
      <c r="W996" t="str">
        <f>IF(S996="","",IF(S996="[FÓRMULA MANUAL]","",IFERROR(SUMPRODUCT((nNIA=S996)*(nCUENTA=1)*(COUNTIF(CONFIG_ASIGNATURAS!$B$7:$B$27,nASIG)&gt;0)*(nNOTA))/SUMPRODUCT((nNIA=S996)*(nCUENTA=1)*(COUNTIF(CONFIG_ASIGNATURAS!$B$7:$B$27,nASIG)&gt;0)*1),"")))</f>
        <v/>
      </c>
      <c r="Z996" t="str">
        <f>IF(Y996="","",IF(Y996="[FÓRMULA MANUAL]","",IFERROR(AVERAGEIFS(nNOTA,nNIA,Y996,nCUENTA,1,nASIG,"Análisis"),"")))</f>
        <v/>
      </c>
      <c r="AA996" t="str">
        <f>IF(Y996="","",IF(Y996="[FÓRMULA MANUAL]","",IFERROR(AVERAGEIFS(nNOTA,nNIA,Y996,nCUENTA,1,nASIG,"Orquesta/Banda/Conjunto"),"")))</f>
        <v/>
      </c>
      <c r="AB996" t="str">
        <f>IF(Y996="","",IF(Y996="[FÓRMULA MANUAL]","",IFERROR(AVERAGEIFS(nNOTA,nNIA,Y996,nCUENTA,1,nASIG,"Música de Cámara"),"")))</f>
        <v/>
      </c>
      <c r="AC996" t="str">
        <f>IF(Y996="","",IF(Y996="[FÓRMULA MANUAL]","",IFERROR(SUMPRODUCT((nNIA=Y996)*(nCUENTA=1)*(COUNTIF(CONFIG_ASIGNATURAS!$B$7:$B$27,nASIG)&gt;0)*(nNOTA))/SUMPRODUCT((nNIA=Y996)*(nCUENTA=1)*(COUNTIF(CONFIG_ASIGNATURAS!$B$7:$B$27,nASIG)&gt;0)*1),"")))</f>
        <v/>
      </c>
      <c r="AF996" t="str">
        <f>IF(AE996="","",IF(AE996="[FÓRMULA MANUAL]","",IFERROR(AVERAGEIFS(nNOTA,nNIA,AE996,nCUENTA,1,nASIG,"Análisis"),"")))</f>
        <v/>
      </c>
      <c r="AG996" t="str">
        <f>IF(AE996="","",IF(AE996="[FÓRMULA MANUAL]","",IFERROR(AVERAGEIFS(nNOTA,nNIA,AE996,nCUENTA,1,nASIG,"Orquesta/Banda/Conjunto"),"")))</f>
        <v/>
      </c>
      <c r="AH996" t="str">
        <f>IF(AE996="","",IF(AE996="[FÓRMULA MANUAL]","",IFERROR(AVERAGEIFS(nNOTA,nNIA,AE996,nCUENTA,1,nASIG,"Música de Cámara"),"")))</f>
        <v/>
      </c>
      <c r="AI996" t="str">
        <f>IF(AE996="","",IF(AE996="[FÓRMULA MANUAL]","",IFERROR(SUMPRODUCT((nNIA=AE996)*(nCUENTA=1)*(COUNTIF(CONFIG_ASIGNATURAS!$B$7:$B$27,nASIG)&gt;0)*(nNOTA))/SUMPRODUCT((nNIA=AE996)*(nCUENTA=1)*(COUNTIF(CONFIG_ASIGNATURAS!$B$7:$B$27,nASIG)&gt;0)*1),"")))</f>
        <v/>
      </c>
    </row>
    <row r="997" spans="2:35" x14ac:dyDescent="0.2">
      <c r="B997" t="str">
        <f>IF(A997="","",IF(A997="[FÓRMULA MANUAL]","",IFERROR(AVERAGEIFS(nNOTA,nNIA,A997,nCUENTA,1,nASIG,"Lenguaje Musical"),"")))</f>
        <v/>
      </c>
      <c r="C997" t="str">
        <f>IF(A997="","",IF(A997="[FÓRMULA MANUAL]","",IFERROR(AVERAGEIFS(nNOTA,nNIA,A997,nCUENTA,1,nASIG,"Orquesta/Banda/Conjunto"),"")))</f>
        <v/>
      </c>
      <c r="D997" t="str">
        <f>IF(A997="","",IF(A997="[FÓRMULA MANUAL]","",IFERROR(AVERAGEIFS(nNOTA,nNIA,A997,nCUENTA,1,nASIG,"Conjunto"),"")))</f>
        <v/>
      </c>
      <c r="E997" t="str">
        <f>IF(A997="","",IF(A997="[FÓRMULA MANUAL]","",IFERROR(SUMPRODUCT((nNIA=A997)*(nCUENTA=1)*(COUNTIF(CONFIG_ASIGNATURAS!$B$7:$B$27,nASIG)&gt;0)*(nNOTA))/SUMPRODUCT((nNIA=A997)*(nCUENTA=1)*(COUNTIF(CONFIG_ASIGNATURAS!$B$7:$B$27,nASIG)&gt;0)*1),"")))</f>
        <v/>
      </c>
      <c r="H997" t="str">
        <f>IF(G997="","",IF(G997="[FÓRMULA MANUAL]","",IFERROR(AVERAGEIFS(nNOTA,nNIA,G997,nCUENTA,1,nASIG,"Lenguaje Musical"),"")))</f>
        <v/>
      </c>
      <c r="I997" t="str">
        <f>IF(G997="","",IF(G997="[FÓRMULA MANUAL]","",IFERROR(AVERAGEIFS(nNOTA,nNIA,G997,nCUENTA,1,nASIG,"Orquesta/Banda/Conjunto"),"")))</f>
        <v/>
      </c>
      <c r="J997" t="str">
        <f>IF(G997="","",IF(G997="[FÓRMULA MANUAL]","",IFERROR(AVERAGEIFS(nNOTA,nNIA,G997,nCUENTA,1,nASIG,"Conjunto"),"")))</f>
        <v/>
      </c>
      <c r="K997" t="str">
        <f>IF(G997="","",IF(G997="[FÓRMULA MANUAL]","",IFERROR(SUMPRODUCT((nNIA=G997)*(nCUENTA=1)*(COUNTIF(CONFIG_ASIGNATURAS!$B$7:$B$27,nASIG)&gt;0)*(nNOTA))/SUMPRODUCT((nNIA=G997)*(nCUENTA=1)*(COUNTIF(CONFIG_ASIGNATURAS!$B$7:$B$27,nASIG)&gt;0)*1),"")))</f>
        <v/>
      </c>
      <c r="N997" t="str">
        <f>IF(M997="","",IF(M997="[FÓRMULA MANUAL]","",IFERROR(AVERAGEIFS(nNOTA,nNIA,M997,nCUENTA,1,nASIG,"Armonía"),"")))</f>
        <v/>
      </c>
      <c r="O997" t="str">
        <f>IF(M997="","",IF(M997="[FÓRMULA MANUAL]","",IFERROR(AVERAGEIFS(nNOTA,nNIA,M997,nCUENTA,1,nASIG,"Orquesta/Banda/Conjunto"),"")))</f>
        <v/>
      </c>
      <c r="P997" t="str">
        <f>IF(M997="","",IF(M997="[FÓRMULA MANUAL]","",IFERROR(AVERAGEIFS(nNOTA,nNIA,M997,nCUENTA,1,nASIG,"Música de Cámara"),"")))</f>
        <v/>
      </c>
      <c r="Q997" t="str">
        <f>IF(M997="","",IF(M997="[FÓRMULA MANUAL]","",IFERROR(SUMPRODUCT((nNIA=M997)*(nCUENTA=1)*(COUNTIF(CONFIG_ASIGNATURAS!$B$7:$B$27,nASIG)&gt;0)*(nNOTA))/SUMPRODUCT((nNIA=M997)*(nCUENTA=1)*(COUNTIF(CONFIG_ASIGNATURAS!$B$7:$B$27,nASIG)&gt;0)*1),"")))</f>
        <v/>
      </c>
      <c r="T997" t="str">
        <f>IF(S997="","",IF(S997="[FÓRMULA MANUAL]","",IFERROR(AVERAGEIFS(nNOTA,nNIA,S997,nCUENTA,1,nASIG,"Armonía"),"")))</f>
        <v/>
      </c>
      <c r="U997" t="str">
        <f>IF(S997="","",IF(S997="[FÓRMULA MANUAL]","",IFERROR(AVERAGEIFS(nNOTA,nNIA,S997,nCUENTA,1,nASIG,"Orquesta/Banda/Conjunto"),"")))</f>
        <v/>
      </c>
      <c r="V997" t="str">
        <f>IF(S997="","",IF(S997="[FÓRMULA MANUAL]","",IFERROR(AVERAGEIFS(nNOTA,nNIA,S997,nCUENTA,1,nASIG,"Música de Cámara"),"")))</f>
        <v/>
      </c>
      <c r="W997" t="str">
        <f>IF(S997="","",IF(S997="[FÓRMULA MANUAL]","",IFERROR(SUMPRODUCT((nNIA=S997)*(nCUENTA=1)*(COUNTIF(CONFIG_ASIGNATURAS!$B$7:$B$27,nASIG)&gt;0)*(nNOTA))/SUMPRODUCT((nNIA=S997)*(nCUENTA=1)*(COUNTIF(CONFIG_ASIGNATURAS!$B$7:$B$27,nASIG)&gt;0)*1),"")))</f>
        <v/>
      </c>
      <c r="Z997" t="str">
        <f>IF(Y997="","",IF(Y997="[FÓRMULA MANUAL]","",IFERROR(AVERAGEIFS(nNOTA,nNIA,Y997,nCUENTA,1,nASIG,"Análisis"),"")))</f>
        <v/>
      </c>
      <c r="AA997" t="str">
        <f>IF(Y997="","",IF(Y997="[FÓRMULA MANUAL]","",IFERROR(AVERAGEIFS(nNOTA,nNIA,Y997,nCUENTA,1,nASIG,"Orquesta/Banda/Conjunto"),"")))</f>
        <v/>
      </c>
      <c r="AB997" t="str">
        <f>IF(Y997="","",IF(Y997="[FÓRMULA MANUAL]","",IFERROR(AVERAGEIFS(nNOTA,nNIA,Y997,nCUENTA,1,nASIG,"Música de Cámara"),"")))</f>
        <v/>
      </c>
      <c r="AC997" t="str">
        <f>IF(Y997="","",IF(Y997="[FÓRMULA MANUAL]","",IFERROR(SUMPRODUCT((nNIA=Y997)*(nCUENTA=1)*(COUNTIF(CONFIG_ASIGNATURAS!$B$7:$B$27,nASIG)&gt;0)*(nNOTA))/SUMPRODUCT((nNIA=Y997)*(nCUENTA=1)*(COUNTIF(CONFIG_ASIGNATURAS!$B$7:$B$27,nASIG)&gt;0)*1),"")))</f>
        <v/>
      </c>
      <c r="AF997" t="str">
        <f>IF(AE997="","",IF(AE997="[FÓRMULA MANUAL]","",IFERROR(AVERAGEIFS(nNOTA,nNIA,AE997,nCUENTA,1,nASIG,"Análisis"),"")))</f>
        <v/>
      </c>
      <c r="AG997" t="str">
        <f>IF(AE997="","",IF(AE997="[FÓRMULA MANUAL]","",IFERROR(AVERAGEIFS(nNOTA,nNIA,AE997,nCUENTA,1,nASIG,"Orquesta/Banda/Conjunto"),"")))</f>
        <v/>
      </c>
      <c r="AH997" t="str">
        <f>IF(AE997="","",IF(AE997="[FÓRMULA MANUAL]","",IFERROR(AVERAGEIFS(nNOTA,nNIA,AE997,nCUENTA,1,nASIG,"Música de Cámara"),"")))</f>
        <v/>
      </c>
      <c r="AI997" t="str">
        <f>IF(AE997="","",IF(AE997="[FÓRMULA MANUAL]","",IFERROR(SUMPRODUCT((nNIA=AE997)*(nCUENTA=1)*(COUNTIF(CONFIG_ASIGNATURAS!$B$7:$B$27,nASIG)&gt;0)*(nNOTA))/SUMPRODUCT((nNIA=AE997)*(nCUENTA=1)*(COUNTIF(CONFIG_ASIGNATURAS!$B$7:$B$27,nASIG)&gt;0)*1),"")))</f>
        <v/>
      </c>
    </row>
    <row r="998" spans="2:35" x14ac:dyDescent="0.2">
      <c r="B998" t="str">
        <f>IF(A998="","",IF(A998="[FÓRMULA MANUAL]","",IFERROR(AVERAGEIFS(nNOTA,nNIA,A998,nCUENTA,1,nASIG,"Lenguaje Musical"),"")))</f>
        <v/>
      </c>
      <c r="C998" t="str">
        <f>IF(A998="","",IF(A998="[FÓRMULA MANUAL]","",IFERROR(AVERAGEIFS(nNOTA,nNIA,A998,nCUENTA,1,nASIG,"Orquesta/Banda/Conjunto"),"")))</f>
        <v/>
      </c>
      <c r="D998" t="str">
        <f>IF(A998="","",IF(A998="[FÓRMULA MANUAL]","",IFERROR(AVERAGEIFS(nNOTA,nNIA,A998,nCUENTA,1,nASIG,"Conjunto"),"")))</f>
        <v/>
      </c>
      <c r="E998" t="str">
        <f>IF(A998="","",IF(A998="[FÓRMULA MANUAL]","",IFERROR(SUMPRODUCT((nNIA=A998)*(nCUENTA=1)*(COUNTIF(CONFIG_ASIGNATURAS!$B$7:$B$27,nASIG)&gt;0)*(nNOTA))/SUMPRODUCT((nNIA=A998)*(nCUENTA=1)*(COUNTIF(CONFIG_ASIGNATURAS!$B$7:$B$27,nASIG)&gt;0)*1),"")))</f>
        <v/>
      </c>
      <c r="H998" t="str">
        <f>IF(G998="","",IF(G998="[FÓRMULA MANUAL]","",IFERROR(AVERAGEIFS(nNOTA,nNIA,G998,nCUENTA,1,nASIG,"Lenguaje Musical"),"")))</f>
        <v/>
      </c>
      <c r="I998" t="str">
        <f>IF(G998="","",IF(G998="[FÓRMULA MANUAL]","",IFERROR(AVERAGEIFS(nNOTA,nNIA,G998,nCUENTA,1,nASIG,"Orquesta/Banda/Conjunto"),"")))</f>
        <v/>
      </c>
      <c r="J998" t="str">
        <f>IF(G998="","",IF(G998="[FÓRMULA MANUAL]","",IFERROR(AVERAGEIFS(nNOTA,nNIA,G998,nCUENTA,1,nASIG,"Conjunto"),"")))</f>
        <v/>
      </c>
      <c r="K998" t="str">
        <f>IF(G998="","",IF(G998="[FÓRMULA MANUAL]","",IFERROR(SUMPRODUCT((nNIA=G998)*(nCUENTA=1)*(COUNTIF(CONFIG_ASIGNATURAS!$B$7:$B$27,nASIG)&gt;0)*(nNOTA))/SUMPRODUCT((nNIA=G998)*(nCUENTA=1)*(COUNTIF(CONFIG_ASIGNATURAS!$B$7:$B$27,nASIG)&gt;0)*1),"")))</f>
        <v/>
      </c>
      <c r="N998" t="str">
        <f>IF(M998="","",IF(M998="[FÓRMULA MANUAL]","",IFERROR(AVERAGEIFS(nNOTA,nNIA,M998,nCUENTA,1,nASIG,"Armonía"),"")))</f>
        <v/>
      </c>
      <c r="O998" t="str">
        <f>IF(M998="","",IF(M998="[FÓRMULA MANUAL]","",IFERROR(AVERAGEIFS(nNOTA,nNIA,M998,nCUENTA,1,nASIG,"Orquesta/Banda/Conjunto"),"")))</f>
        <v/>
      </c>
      <c r="P998" t="str">
        <f>IF(M998="","",IF(M998="[FÓRMULA MANUAL]","",IFERROR(AVERAGEIFS(nNOTA,nNIA,M998,nCUENTA,1,nASIG,"Música de Cámara"),"")))</f>
        <v/>
      </c>
      <c r="Q998" t="str">
        <f>IF(M998="","",IF(M998="[FÓRMULA MANUAL]","",IFERROR(SUMPRODUCT((nNIA=M998)*(nCUENTA=1)*(COUNTIF(CONFIG_ASIGNATURAS!$B$7:$B$27,nASIG)&gt;0)*(nNOTA))/SUMPRODUCT((nNIA=M998)*(nCUENTA=1)*(COUNTIF(CONFIG_ASIGNATURAS!$B$7:$B$27,nASIG)&gt;0)*1),"")))</f>
        <v/>
      </c>
      <c r="T998" t="str">
        <f>IF(S998="","",IF(S998="[FÓRMULA MANUAL]","",IFERROR(AVERAGEIFS(nNOTA,nNIA,S998,nCUENTA,1,nASIG,"Armonía"),"")))</f>
        <v/>
      </c>
      <c r="U998" t="str">
        <f>IF(S998="","",IF(S998="[FÓRMULA MANUAL]","",IFERROR(AVERAGEIFS(nNOTA,nNIA,S998,nCUENTA,1,nASIG,"Orquesta/Banda/Conjunto"),"")))</f>
        <v/>
      </c>
      <c r="V998" t="str">
        <f>IF(S998="","",IF(S998="[FÓRMULA MANUAL]","",IFERROR(AVERAGEIFS(nNOTA,nNIA,S998,nCUENTA,1,nASIG,"Música de Cámara"),"")))</f>
        <v/>
      </c>
      <c r="W998" t="str">
        <f>IF(S998="","",IF(S998="[FÓRMULA MANUAL]","",IFERROR(SUMPRODUCT((nNIA=S998)*(nCUENTA=1)*(COUNTIF(CONFIG_ASIGNATURAS!$B$7:$B$27,nASIG)&gt;0)*(nNOTA))/SUMPRODUCT((nNIA=S998)*(nCUENTA=1)*(COUNTIF(CONFIG_ASIGNATURAS!$B$7:$B$27,nASIG)&gt;0)*1),"")))</f>
        <v/>
      </c>
      <c r="Z998" t="str">
        <f>IF(Y998="","",IF(Y998="[FÓRMULA MANUAL]","",IFERROR(AVERAGEIFS(nNOTA,nNIA,Y998,nCUENTA,1,nASIG,"Análisis"),"")))</f>
        <v/>
      </c>
      <c r="AA998" t="str">
        <f>IF(Y998="","",IF(Y998="[FÓRMULA MANUAL]","",IFERROR(AVERAGEIFS(nNOTA,nNIA,Y998,nCUENTA,1,nASIG,"Orquesta/Banda/Conjunto"),"")))</f>
        <v/>
      </c>
      <c r="AB998" t="str">
        <f>IF(Y998="","",IF(Y998="[FÓRMULA MANUAL]","",IFERROR(AVERAGEIFS(nNOTA,nNIA,Y998,nCUENTA,1,nASIG,"Música de Cámara"),"")))</f>
        <v/>
      </c>
      <c r="AC998" t="str">
        <f>IF(Y998="","",IF(Y998="[FÓRMULA MANUAL]","",IFERROR(SUMPRODUCT((nNIA=Y998)*(nCUENTA=1)*(COUNTIF(CONFIG_ASIGNATURAS!$B$7:$B$27,nASIG)&gt;0)*(nNOTA))/SUMPRODUCT((nNIA=Y998)*(nCUENTA=1)*(COUNTIF(CONFIG_ASIGNATURAS!$B$7:$B$27,nASIG)&gt;0)*1),"")))</f>
        <v/>
      </c>
      <c r="AF998" t="str">
        <f>IF(AE998="","",IF(AE998="[FÓRMULA MANUAL]","",IFERROR(AVERAGEIFS(nNOTA,nNIA,AE998,nCUENTA,1,nASIG,"Análisis"),"")))</f>
        <v/>
      </c>
      <c r="AG998" t="str">
        <f>IF(AE998="","",IF(AE998="[FÓRMULA MANUAL]","",IFERROR(AVERAGEIFS(nNOTA,nNIA,AE998,nCUENTA,1,nASIG,"Orquesta/Banda/Conjunto"),"")))</f>
        <v/>
      </c>
      <c r="AH998" t="str">
        <f>IF(AE998="","",IF(AE998="[FÓRMULA MANUAL]","",IFERROR(AVERAGEIFS(nNOTA,nNIA,AE998,nCUENTA,1,nASIG,"Música de Cámara"),"")))</f>
        <v/>
      </c>
      <c r="AI998" t="str">
        <f>IF(AE998="","",IF(AE998="[FÓRMULA MANUAL]","",IFERROR(SUMPRODUCT((nNIA=AE998)*(nCUENTA=1)*(COUNTIF(CONFIG_ASIGNATURAS!$B$7:$B$27,nASIG)&gt;0)*(nNOTA))/SUMPRODUCT((nNIA=AE998)*(nCUENTA=1)*(COUNTIF(CONFIG_ASIGNATURAS!$B$7:$B$27,nASIG)&gt;0)*1),"")))</f>
        <v/>
      </c>
    </row>
    <row r="999" spans="2:35" x14ac:dyDescent="0.2">
      <c r="B999" t="str">
        <f>IF(A999="","",IF(A999="[FÓRMULA MANUAL]","",IFERROR(AVERAGEIFS(nNOTA,nNIA,A999,nCUENTA,1,nASIG,"Lenguaje Musical"),"")))</f>
        <v/>
      </c>
      <c r="C999" t="str">
        <f>IF(A999="","",IF(A999="[FÓRMULA MANUAL]","",IFERROR(AVERAGEIFS(nNOTA,nNIA,A999,nCUENTA,1,nASIG,"Orquesta/Banda/Conjunto"),"")))</f>
        <v/>
      </c>
      <c r="D999" t="str">
        <f>IF(A999="","",IF(A999="[FÓRMULA MANUAL]","",IFERROR(AVERAGEIFS(nNOTA,nNIA,A999,nCUENTA,1,nASIG,"Conjunto"),"")))</f>
        <v/>
      </c>
      <c r="E999" t="str">
        <f>IF(A999="","",IF(A999="[FÓRMULA MANUAL]","",IFERROR(SUMPRODUCT((nNIA=A999)*(nCUENTA=1)*(COUNTIF(CONFIG_ASIGNATURAS!$B$7:$B$27,nASIG)&gt;0)*(nNOTA))/SUMPRODUCT((nNIA=A999)*(nCUENTA=1)*(COUNTIF(CONFIG_ASIGNATURAS!$B$7:$B$27,nASIG)&gt;0)*1),"")))</f>
        <v/>
      </c>
      <c r="H999" t="str">
        <f>IF(G999="","",IF(G999="[FÓRMULA MANUAL]","",IFERROR(AVERAGEIFS(nNOTA,nNIA,G999,nCUENTA,1,nASIG,"Lenguaje Musical"),"")))</f>
        <v/>
      </c>
      <c r="I999" t="str">
        <f>IF(G999="","",IF(G999="[FÓRMULA MANUAL]","",IFERROR(AVERAGEIFS(nNOTA,nNIA,G999,nCUENTA,1,nASIG,"Orquesta/Banda/Conjunto"),"")))</f>
        <v/>
      </c>
      <c r="J999" t="str">
        <f>IF(G999="","",IF(G999="[FÓRMULA MANUAL]","",IFERROR(AVERAGEIFS(nNOTA,nNIA,G999,nCUENTA,1,nASIG,"Conjunto"),"")))</f>
        <v/>
      </c>
      <c r="K999" t="str">
        <f>IF(G999="","",IF(G999="[FÓRMULA MANUAL]","",IFERROR(SUMPRODUCT((nNIA=G999)*(nCUENTA=1)*(COUNTIF(CONFIG_ASIGNATURAS!$B$7:$B$27,nASIG)&gt;0)*(nNOTA))/SUMPRODUCT((nNIA=G999)*(nCUENTA=1)*(COUNTIF(CONFIG_ASIGNATURAS!$B$7:$B$27,nASIG)&gt;0)*1),"")))</f>
        <v/>
      </c>
      <c r="N999" t="str">
        <f>IF(M999="","",IF(M999="[FÓRMULA MANUAL]","",IFERROR(AVERAGEIFS(nNOTA,nNIA,M999,nCUENTA,1,nASIG,"Armonía"),"")))</f>
        <v/>
      </c>
      <c r="O999" t="str">
        <f>IF(M999="","",IF(M999="[FÓRMULA MANUAL]","",IFERROR(AVERAGEIFS(nNOTA,nNIA,M999,nCUENTA,1,nASIG,"Orquesta/Banda/Conjunto"),"")))</f>
        <v/>
      </c>
      <c r="P999" t="str">
        <f>IF(M999="","",IF(M999="[FÓRMULA MANUAL]","",IFERROR(AVERAGEIFS(nNOTA,nNIA,M999,nCUENTA,1,nASIG,"Música de Cámara"),"")))</f>
        <v/>
      </c>
      <c r="Q999" t="str">
        <f>IF(M999="","",IF(M999="[FÓRMULA MANUAL]","",IFERROR(SUMPRODUCT((nNIA=M999)*(nCUENTA=1)*(COUNTIF(CONFIG_ASIGNATURAS!$B$7:$B$27,nASIG)&gt;0)*(nNOTA))/SUMPRODUCT((nNIA=M999)*(nCUENTA=1)*(COUNTIF(CONFIG_ASIGNATURAS!$B$7:$B$27,nASIG)&gt;0)*1),"")))</f>
        <v/>
      </c>
      <c r="T999" t="str">
        <f>IF(S999="","",IF(S999="[FÓRMULA MANUAL]","",IFERROR(AVERAGEIFS(nNOTA,nNIA,S999,nCUENTA,1,nASIG,"Armonía"),"")))</f>
        <v/>
      </c>
      <c r="U999" t="str">
        <f>IF(S999="","",IF(S999="[FÓRMULA MANUAL]","",IFERROR(AVERAGEIFS(nNOTA,nNIA,S999,nCUENTA,1,nASIG,"Orquesta/Banda/Conjunto"),"")))</f>
        <v/>
      </c>
      <c r="V999" t="str">
        <f>IF(S999="","",IF(S999="[FÓRMULA MANUAL]","",IFERROR(AVERAGEIFS(nNOTA,nNIA,S999,nCUENTA,1,nASIG,"Música de Cámara"),"")))</f>
        <v/>
      </c>
      <c r="W999" t="str">
        <f>IF(S999="","",IF(S999="[FÓRMULA MANUAL]","",IFERROR(SUMPRODUCT((nNIA=S999)*(nCUENTA=1)*(COUNTIF(CONFIG_ASIGNATURAS!$B$7:$B$27,nASIG)&gt;0)*(nNOTA))/SUMPRODUCT((nNIA=S999)*(nCUENTA=1)*(COUNTIF(CONFIG_ASIGNATURAS!$B$7:$B$27,nASIG)&gt;0)*1),"")))</f>
        <v/>
      </c>
      <c r="Z999" t="str">
        <f>IF(Y999="","",IF(Y999="[FÓRMULA MANUAL]","",IFERROR(AVERAGEIFS(nNOTA,nNIA,Y999,nCUENTA,1,nASIG,"Análisis"),"")))</f>
        <v/>
      </c>
      <c r="AA999" t="str">
        <f>IF(Y999="","",IF(Y999="[FÓRMULA MANUAL]","",IFERROR(AVERAGEIFS(nNOTA,nNIA,Y999,nCUENTA,1,nASIG,"Orquesta/Banda/Conjunto"),"")))</f>
        <v/>
      </c>
      <c r="AB999" t="str">
        <f>IF(Y999="","",IF(Y999="[FÓRMULA MANUAL]","",IFERROR(AVERAGEIFS(nNOTA,nNIA,Y999,nCUENTA,1,nASIG,"Música de Cámara"),"")))</f>
        <v/>
      </c>
      <c r="AC999" t="str">
        <f>IF(Y999="","",IF(Y999="[FÓRMULA MANUAL]","",IFERROR(SUMPRODUCT((nNIA=Y999)*(nCUENTA=1)*(COUNTIF(CONFIG_ASIGNATURAS!$B$7:$B$27,nASIG)&gt;0)*(nNOTA))/SUMPRODUCT((nNIA=Y999)*(nCUENTA=1)*(COUNTIF(CONFIG_ASIGNATURAS!$B$7:$B$27,nASIG)&gt;0)*1),"")))</f>
        <v/>
      </c>
      <c r="AF999" t="str">
        <f>IF(AE999="","",IF(AE999="[FÓRMULA MANUAL]","",IFERROR(AVERAGEIFS(nNOTA,nNIA,AE999,nCUENTA,1,nASIG,"Análisis"),"")))</f>
        <v/>
      </c>
      <c r="AG999" t="str">
        <f>IF(AE999="","",IF(AE999="[FÓRMULA MANUAL]","",IFERROR(AVERAGEIFS(nNOTA,nNIA,AE999,nCUENTA,1,nASIG,"Orquesta/Banda/Conjunto"),"")))</f>
        <v/>
      </c>
      <c r="AH999" t="str">
        <f>IF(AE999="","",IF(AE999="[FÓRMULA MANUAL]","",IFERROR(AVERAGEIFS(nNOTA,nNIA,AE999,nCUENTA,1,nASIG,"Música de Cámara"),"")))</f>
        <v/>
      </c>
      <c r="AI999" t="str">
        <f>IF(AE999="","",IF(AE999="[FÓRMULA MANUAL]","",IFERROR(SUMPRODUCT((nNIA=AE999)*(nCUENTA=1)*(COUNTIF(CONFIG_ASIGNATURAS!$B$7:$B$27,nASIG)&gt;0)*(nNOTA))/SUMPRODUCT((nNIA=AE999)*(nCUENTA=1)*(COUNTIF(CONFIG_ASIGNATURAS!$B$7:$B$27,nASIG)&gt;0)*1),"")))</f>
        <v/>
      </c>
    </row>
    <row r="1000" spans="2:35" x14ac:dyDescent="0.2">
      <c r="B1000" t="str">
        <f>IF(A1000="","",IF(A1000="[FÓRMULA MANUAL]","",IFERROR(AVERAGEIFS(nNOTA,nNIA,A1000,nCUENTA,1,nASIG,"Lenguaje Musical"),"")))</f>
        <v/>
      </c>
      <c r="C1000" t="str">
        <f>IF(A1000="","",IF(A1000="[FÓRMULA MANUAL]","",IFERROR(AVERAGEIFS(nNOTA,nNIA,A1000,nCUENTA,1,nASIG,"Orquesta/Banda/Conjunto"),"")))</f>
        <v/>
      </c>
      <c r="D1000" t="str">
        <f>IF(A1000="","",IF(A1000="[FÓRMULA MANUAL]","",IFERROR(AVERAGEIFS(nNOTA,nNIA,A1000,nCUENTA,1,nASIG,"Conjunto"),"")))</f>
        <v/>
      </c>
      <c r="E1000" t="str">
        <f>IF(A1000="","",IF(A1000="[FÓRMULA MANUAL]","",IFERROR(SUMPRODUCT((nNIA=A1000)*(nCUENTA=1)*(COUNTIF(CONFIG_ASIGNATURAS!$B$7:$B$27,nASIG)&gt;0)*(nNOTA))/SUMPRODUCT((nNIA=A1000)*(nCUENTA=1)*(COUNTIF(CONFIG_ASIGNATURAS!$B$7:$B$27,nASIG)&gt;0)*1),"")))</f>
        <v/>
      </c>
      <c r="H1000" t="str">
        <f>IF(G1000="","",IF(G1000="[FÓRMULA MANUAL]","",IFERROR(AVERAGEIFS(nNOTA,nNIA,G1000,nCUENTA,1,nASIG,"Lenguaje Musical"),"")))</f>
        <v/>
      </c>
      <c r="I1000" t="str">
        <f>IF(G1000="","",IF(G1000="[FÓRMULA MANUAL]","",IFERROR(AVERAGEIFS(nNOTA,nNIA,G1000,nCUENTA,1,nASIG,"Orquesta/Banda/Conjunto"),"")))</f>
        <v/>
      </c>
      <c r="J1000" t="str">
        <f>IF(G1000="","",IF(G1000="[FÓRMULA MANUAL]","",IFERROR(AVERAGEIFS(nNOTA,nNIA,G1000,nCUENTA,1,nASIG,"Conjunto"),"")))</f>
        <v/>
      </c>
      <c r="K1000" t="str">
        <f>IF(G1000="","",IF(G1000="[FÓRMULA MANUAL]","",IFERROR(SUMPRODUCT((nNIA=G1000)*(nCUENTA=1)*(COUNTIF(CONFIG_ASIGNATURAS!$B$7:$B$27,nASIG)&gt;0)*(nNOTA))/SUMPRODUCT((nNIA=G1000)*(nCUENTA=1)*(COUNTIF(CONFIG_ASIGNATURAS!$B$7:$B$27,nASIG)&gt;0)*1),"")))</f>
        <v/>
      </c>
      <c r="N1000" t="str">
        <f>IF(M1000="","",IF(M1000="[FÓRMULA MANUAL]","",IFERROR(AVERAGEIFS(nNOTA,nNIA,M1000,nCUENTA,1,nASIG,"Armonía"),"")))</f>
        <v/>
      </c>
      <c r="O1000" t="str">
        <f>IF(M1000="","",IF(M1000="[FÓRMULA MANUAL]","",IFERROR(AVERAGEIFS(nNOTA,nNIA,M1000,nCUENTA,1,nASIG,"Orquesta/Banda/Conjunto"),"")))</f>
        <v/>
      </c>
      <c r="P1000" t="str">
        <f>IF(M1000="","",IF(M1000="[FÓRMULA MANUAL]","",IFERROR(AVERAGEIFS(nNOTA,nNIA,M1000,nCUENTA,1,nASIG,"Música de Cámara"),"")))</f>
        <v/>
      </c>
      <c r="Q1000" t="str">
        <f>IF(M1000="","",IF(M1000="[FÓRMULA MANUAL]","",IFERROR(SUMPRODUCT((nNIA=M1000)*(nCUENTA=1)*(COUNTIF(CONFIG_ASIGNATURAS!$B$7:$B$27,nASIG)&gt;0)*(nNOTA))/SUMPRODUCT((nNIA=M1000)*(nCUENTA=1)*(COUNTIF(CONFIG_ASIGNATURAS!$B$7:$B$27,nASIG)&gt;0)*1),"")))</f>
        <v/>
      </c>
      <c r="T1000" t="str">
        <f>IF(S1000="","",IF(S1000="[FÓRMULA MANUAL]","",IFERROR(AVERAGEIFS(nNOTA,nNIA,S1000,nCUENTA,1,nASIG,"Armonía"),"")))</f>
        <v/>
      </c>
      <c r="U1000" t="str">
        <f>IF(S1000="","",IF(S1000="[FÓRMULA MANUAL]","",IFERROR(AVERAGEIFS(nNOTA,nNIA,S1000,nCUENTA,1,nASIG,"Orquesta/Banda/Conjunto"),"")))</f>
        <v/>
      </c>
      <c r="V1000" t="str">
        <f>IF(S1000="","",IF(S1000="[FÓRMULA MANUAL]","",IFERROR(AVERAGEIFS(nNOTA,nNIA,S1000,nCUENTA,1,nASIG,"Música de Cámara"),"")))</f>
        <v/>
      </c>
      <c r="W1000" t="str">
        <f>IF(S1000="","",IF(S1000="[FÓRMULA MANUAL]","",IFERROR(SUMPRODUCT((nNIA=S1000)*(nCUENTA=1)*(COUNTIF(CONFIG_ASIGNATURAS!$B$7:$B$27,nASIG)&gt;0)*(nNOTA))/SUMPRODUCT((nNIA=S1000)*(nCUENTA=1)*(COUNTIF(CONFIG_ASIGNATURAS!$B$7:$B$27,nASIG)&gt;0)*1),"")))</f>
        <v/>
      </c>
      <c r="Z1000" t="str">
        <f>IF(Y1000="","",IF(Y1000="[FÓRMULA MANUAL]","",IFERROR(AVERAGEIFS(nNOTA,nNIA,Y1000,nCUENTA,1,nASIG,"Análisis"),"")))</f>
        <v/>
      </c>
      <c r="AA1000" t="str">
        <f>IF(Y1000="","",IF(Y1000="[FÓRMULA MANUAL]","",IFERROR(AVERAGEIFS(nNOTA,nNIA,Y1000,nCUENTA,1,nASIG,"Orquesta/Banda/Conjunto"),"")))</f>
        <v/>
      </c>
      <c r="AB1000" t="str">
        <f>IF(Y1000="","",IF(Y1000="[FÓRMULA MANUAL]","",IFERROR(AVERAGEIFS(nNOTA,nNIA,Y1000,nCUENTA,1,nASIG,"Música de Cámara"),"")))</f>
        <v/>
      </c>
      <c r="AC1000" t="str">
        <f>IF(Y1000="","",IF(Y1000="[FÓRMULA MANUAL]","",IFERROR(SUMPRODUCT((nNIA=Y1000)*(nCUENTA=1)*(COUNTIF(CONFIG_ASIGNATURAS!$B$7:$B$27,nASIG)&gt;0)*(nNOTA))/SUMPRODUCT((nNIA=Y1000)*(nCUENTA=1)*(COUNTIF(CONFIG_ASIGNATURAS!$B$7:$B$27,nASIG)&gt;0)*1),"")))</f>
        <v/>
      </c>
      <c r="AF1000" t="str">
        <f>IF(AE1000="","",IF(AE1000="[FÓRMULA MANUAL]","",IFERROR(AVERAGEIFS(nNOTA,nNIA,AE1000,nCUENTA,1,nASIG,"Análisis"),"")))</f>
        <v/>
      </c>
      <c r="AG1000" t="str">
        <f>IF(AE1000="","",IF(AE1000="[FÓRMULA MANUAL]","",IFERROR(AVERAGEIFS(nNOTA,nNIA,AE1000,nCUENTA,1,nASIG,"Orquesta/Banda/Conjunto"),"")))</f>
        <v/>
      </c>
      <c r="AH1000" t="str">
        <f>IF(AE1000="","",IF(AE1000="[FÓRMULA MANUAL]","",IFERROR(AVERAGEIFS(nNOTA,nNIA,AE1000,nCUENTA,1,nASIG,"Música de Cámara"),"")))</f>
        <v/>
      </c>
      <c r="AI1000" t="str">
        <f>IF(AE1000="","",IF(AE1000="[FÓRMULA MANUAL]","",IFERROR(SUMPRODUCT((nNIA=AE1000)*(nCUENTA=1)*(COUNTIF(CONFIG_ASIGNATURAS!$B$7:$B$27,nASIG)&gt;0)*(nNOTA))/SUMPRODUCT((nNIA=AE1000)*(nCUENTA=1)*(COUNTIF(CONFIG_ASIGNATURAS!$B$7:$B$27,nASIG)&gt;0)*1),"")))</f>
        <v/>
      </c>
    </row>
    <row r="1001" spans="2:35" x14ac:dyDescent="0.2">
      <c r="B1001" t="str">
        <f>IF(A1001="","",IF(A1001="[FÓRMULA MANUAL]","",IFERROR(AVERAGEIFS(nNOTA,nNIA,A1001,nCUENTA,1,nASIG,"Lenguaje Musical"),"")))</f>
        <v/>
      </c>
      <c r="C1001" t="str">
        <f>IF(A1001="","",IF(A1001="[FÓRMULA MANUAL]","",IFERROR(AVERAGEIFS(nNOTA,nNIA,A1001,nCUENTA,1,nASIG,"Orquesta/Banda/Conjunto"),"")))</f>
        <v/>
      </c>
      <c r="D1001" t="str">
        <f>IF(A1001="","",IF(A1001="[FÓRMULA MANUAL]","",IFERROR(AVERAGEIFS(nNOTA,nNIA,A1001,nCUENTA,1,nASIG,"Conjunto"),"")))</f>
        <v/>
      </c>
      <c r="E1001" t="str">
        <f>IF(A1001="","",IF(A1001="[FÓRMULA MANUAL]","",IFERROR(SUMPRODUCT((nNIA=A1001)*(nCUENTA=1)*(COUNTIF(CONFIG_ASIGNATURAS!$B$7:$B$27,nASIG)&gt;0)*(nNOTA))/SUMPRODUCT((nNIA=A1001)*(nCUENTA=1)*(COUNTIF(CONFIG_ASIGNATURAS!$B$7:$B$27,nASIG)&gt;0)*1),"")))</f>
        <v/>
      </c>
      <c r="H1001" t="str">
        <f>IF(G1001="","",IF(G1001="[FÓRMULA MANUAL]","",IFERROR(AVERAGEIFS(nNOTA,nNIA,G1001,nCUENTA,1,nASIG,"Lenguaje Musical"),"")))</f>
        <v/>
      </c>
      <c r="I1001" t="str">
        <f>IF(G1001="","",IF(G1001="[FÓRMULA MANUAL]","",IFERROR(AVERAGEIFS(nNOTA,nNIA,G1001,nCUENTA,1,nASIG,"Orquesta/Banda/Conjunto"),"")))</f>
        <v/>
      </c>
      <c r="J1001" t="str">
        <f>IF(G1001="","",IF(G1001="[FÓRMULA MANUAL]","",IFERROR(AVERAGEIFS(nNOTA,nNIA,G1001,nCUENTA,1,nASIG,"Conjunto"),"")))</f>
        <v/>
      </c>
      <c r="K1001" t="str">
        <f>IF(G1001="","",IF(G1001="[FÓRMULA MANUAL]","",IFERROR(SUMPRODUCT((nNIA=G1001)*(nCUENTA=1)*(COUNTIF(CONFIG_ASIGNATURAS!$B$7:$B$27,nASIG)&gt;0)*(nNOTA))/SUMPRODUCT((nNIA=G1001)*(nCUENTA=1)*(COUNTIF(CONFIG_ASIGNATURAS!$B$7:$B$27,nASIG)&gt;0)*1),"")))</f>
        <v/>
      </c>
      <c r="N1001" t="str">
        <f>IF(M1001="","",IF(M1001="[FÓRMULA MANUAL]","",IFERROR(AVERAGEIFS(nNOTA,nNIA,M1001,nCUENTA,1,nASIG,"Armonía"),"")))</f>
        <v/>
      </c>
      <c r="O1001" t="str">
        <f>IF(M1001="","",IF(M1001="[FÓRMULA MANUAL]","",IFERROR(AVERAGEIFS(nNOTA,nNIA,M1001,nCUENTA,1,nASIG,"Orquesta/Banda/Conjunto"),"")))</f>
        <v/>
      </c>
      <c r="P1001" t="str">
        <f>IF(M1001="","",IF(M1001="[FÓRMULA MANUAL]","",IFERROR(AVERAGEIFS(nNOTA,nNIA,M1001,nCUENTA,1,nASIG,"Música de Cámara"),"")))</f>
        <v/>
      </c>
      <c r="Q1001" t="str">
        <f>IF(M1001="","",IF(M1001="[FÓRMULA MANUAL]","",IFERROR(SUMPRODUCT((nNIA=M1001)*(nCUENTA=1)*(COUNTIF(CONFIG_ASIGNATURAS!$B$7:$B$27,nASIG)&gt;0)*(nNOTA))/SUMPRODUCT((nNIA=M1001)*(nCUENTA=1)*(COUNTIF(CONFIG_ASIGNATURAS!$B$7:$B$27,nASIG)&gt;0)*1),"")))</f>
        <v/>
      </c>
      <c r="T1001" t="str">
        <f>IF(S1001="","",IF(S1001="[FÓRMULA MANUAL]","",IFERROR(AVERAGEIFS(nNOTA,nNIA,S1001,nCUENTA,1,nASIG,"Armonía"),"")))</f>
        <v/>
      </c>
      <c r="U1001" t="str">
        <f>IF(S1001="","",IF(S1001="[FÓRMULA MANUAL]","",IFERROR(AVERAGEIFS(nNOTA,nNIA,S1001,nCUENTA,1,nASIG,"Orquesta/Banda/Conjunto"),"")))</f>
        <v/>
      </c>
      <c r="V1001" t="str">
        <f>IF(S1001="","",IF(S1001="[FÓRMULA MANUAL]","",IFERROR(AVERAGEIFS(nNOTA,nNIA,S1001,nCUENTA,1,nASIG,"Música de Cámara"),"")))</f>
        <v/>
      </c>
      <c r="W1001" t="str">
        <f>IF(S1001="","",IF(S1001="[FÓRMULA MANUAL]","",IFERROR(SUMPRODUCT((nNIA=S1001)*(nCUENTA=1)*(COUNTIF(CONFIG_ASIGNATURAS!$B$7:$B$27,nASIG)&gt;0)*(nNOTA))/SUMPRODUCT((nNIA=S1001)*(nCUENTA=1)*(COUNTIF(CONFIG_ASIGNATURAS!$B$7:$B$27,nASIG)&gt;0)*1),"")))</f>
        <v/>
      </c>
      <c r="Z1001" t="str">
        <f>IF(Y1001="","",IF(Y1001="[FÓRMULA MANUAL]","",IFERROR(AVERAGEIFS(nNOTA,nNIA,Y1001,nCUENTA,1,nASIG,"Análisis"),"")))</f>
        <v/>
      </c>
      <c r="AA1001" t="str">
        <f>IF(Y1001="","",IF(Y1001="[FÓRMULA MANUAL]","",IFERROR(AVERAGEIFS(nNOTA,nNIA,Y1001,nCUENTA,1,nASIG,"Orquesta/Banda/Conjunto"),"")))</f>
        <v/>
      </c>
      <c r="AB1001" t="str">
        <f>IF(Y1001="","",IF(Y1001="[FÓRMULA MANUAL]","",IFERROR(AVERAGEIFS(nNOTA,nNIA,Y1001,nCUENTA,1,nASIG,"Música de Cámara"),"")))</f>
        <v/>
      </c>
      <c r="AC1001" t="str">
        <f>IF(Y1001="","",IF(Y1001="[FÓRMULA MANUAL]","",IFERROR(SUMPRODUCT((nNIA=Y1001)*(nCUENTA=1)*(COUNTIF(CONFIG_ASIGNATURAS!$B$7:$B$27,nASIG)&gt;0)*(nNOTA))/SUMPRODUCT((nNIA=Y1001)*(nCUENTA=1)*(COUNTIF(CONFIG_ASIGNATURAS!$B$7:$B$27,nASIG)&gt;0)*1),"")))</f>
        <v/>
      </c>
      <c r="AF1001" t="str">
        <f>IF(AE1001="","",IF(AE1001="[FÓRMULA MANUAL]","",IFERROR(AVERAGEIFS(nNOTA,nNIA,AE1001,nCUENTA,1,nASIG,"Análisis"),"")))</f>
        <v/>
      </c>
      <c r="AG1001" t="str">
        <f>IF(AE1001="","",IF(AE1001="[FÓRMULA MANUAL]","",IFERROR(AVERAGEIFS(nNOTA,nNIA,AE1001,nCUENTA,1,nASIG,"Orquesta/Banda/Conjunto"),"")))</f>
        <v/>
      </c>
      <c r="AH1001" t="str">
        <f>IF(AE1001="","",IF(AE1001="[FÓRMULA MANUAL]","",IFERROR(AVERAGEIFS(nNOTA,nNIA,AE1001,nCUENTA,1,nASIG,"Música de Cámara"),"")))</f>
        <v/>
      </c>
      <c r="AI1001" t="str">
        <f>IF(AE1001="","",IF(AE1001="[FÓRMULA MANUAL]","",IFERROR(SUMPRODUCT((nNIA=AE1001)*(nCUENTA=1)*(COUNTIF(CONFIG_ASIGNATURAS!$B$7:$B$27,nASIG)&gt;0)*(nNOTA))/SUMPRODUCT((nNIA=AE1001)*(nCUENTA=1)*(COUNTIF(CONFIG_ASIGNATURAS!$B$7:$B$27,nASIG)&gt;0)*1),"")))</f>
        <v/>
      </c>
    </row>
    <row r="1002" spans="2:35" x14ac:dyDescent="0.2">
      <c r="B1002" t="str">
        <f>IF(A1002="","",IF(A1002="[FÓRMULA MANUAL]","",IFERROR(AVERAGEIFS(nNOTA,nNIA,A1002,nCUENTA,1,nASIG,"Lenguaje Musical"),"")))</f>
        <v/>
      </c>
      <c r="C1002" t="str">
        <f>IF(A1002="","",IF(A1002="[FÓRMULA MANUAL]","",IFERROR(AVERAGEIFS(nNOTA,nNIA,A1002,nCUENTA,1,nASIG,"Orquesta/Banda/Conjunto"),"")))</f>
        <v/>
      </c>
      <c r="D1002" t="str">
        <f>IF(A1002="","",IF(A1002="[FÓRMULA MANUAL]","",IFERROR(AVERAGEIFS(nNOTA,nNIA,A1002,nCUENTA,1,nASIG,"Conjunto"),"")))</f>
        <v/>
      </c>
      <c r="E1002" t="str">
        <f>IF(A1002="","",IF(A1002="[FÓRMULA MANUAL]","",IFERROR(SUMPRODUCT((nNIA=A1002)*(nCUENTA=1)*(COUNTIF(CONFIG_ASIGNATURAS!$B$7:$B$27,nASIG)&gt;0)*(nNOTA))/SUMPRODUCT((nNIA=A1002)*(nCUENTA=1)*(COUNTIF(CONFIG_ASIGNATURAS!$B$7:$B$27,nASIG)&gt;0)*1),"")))</f>
        <v/>
      </c>
      <c r="H1002" t="str">
        <f>IF(G1002="","",IF(G1002="[FÓRMULA MANUAL]","",IFERROR(AVERAGEIFS(nNOTA,nNIA,G1002,nCUENTA,1,nASIG,"Lenguaje Musical"),"")))</f>
        <v/>
      </c>
      <c r="I1002" t="str">
        <f>IF(G1002="","",IF(G1002="[FÓRMULA MANUAL]","",IFERROR(AVERAGEIFS(nNOTA,nNIA,G1002,nCUENTA,1,nASIG,"Orquesta/Banda/Conjunto"),"")))</f>
        <v/>
      </c>
      <c r="J1002" t="str">
        <f>IF(G1002="","",IF(G1002="[FÓRMULA MANUAL]","",IFERROR(AVERAGEIFS(nNOTA,nNIA,G1002,nCUENTA,1,nASIG,"Conjunto"),"")))</f>
        <v/>
      </c>
      <c r="K1002" t="str">
        <f>IF(G1002="","",IF(G1002="[FÓRMULA MANUAL]","",IFERROR(SUMPRODUCT((nNIA=G1002)*(nCUENTA=1)*(COUNTIF(CONFIG_ASIGNATURAS!$B$7:$B$27,nASIG)&gt;0)*(nNOTA))/SUMPRODUCT((nNIA=G1002)*(nCUENTA=1)*(COUNTIF(CONFIG_ASIGNATURAS!$B$7:$B$27,nASIG)&gt;0)*1),"")))</f>
        <v/>
      </c>
      <c r="N1002" t="str">
        <f>IF(M1002="","",IF(M1002="[FÓRMULA MANUAL]","",IFERROR(AVERAGEIFS(nNOTA,nNIA,M1002,nCUENTA,1,nASIG,"Armonía"),"")))</f>
        <v/>
      </c>
      <c r="O1002" t="str">
        <f>IF(M1002="","",IF(M1002="[FÓRMULA MANUAL]","",IFERROR(AVERAGEIFS(nNOTA,nNIA,M1002,nCUENTA,1,nASIG,"Orquesta/Banda/Conjunto"),"")))</f>
        <v/>
      </c>
      <c r="P1002" t="str">
        <f>IF(M1002="","",IF(M1002="[FÓRMULA MANUAL]","",IFERROR(AVERAGEIFS(nNOTA,nNIA,M1002,nCUENTA,1,nASIG,"Música de Cámara"),"")))</f>
        <v/>
      </c>
      <c r="Q1002" t="str">
        <f>IF(M1002="","",IF(M1002="[FÓRMULA MANUAL]","",IFERROR(SUMPRODUCT((nNIA=M1002)*(nCUENTA=1)*(COUNTIF(CONFIG_ASIGNATURAS!$B$7:$B$27,nASIG)&gt;0)*(nNOTA))/SUMPRODUCT((nNIA=M1002)*(nCUENTA=1)*(COUNTIF(CONFIG_ASIGNATURAS!$B$7:$B$27,nASIG)&gt;0)*1),"")))</f>
        <v/>
      </c>
      <c r="T1002" t="str">
        <f>IF(S1002="","",IF(S1002="[FÓRMULA MANUAL]","",IFERROR(AVERAGEIFS(nNOTA,nNIA,S1002,nCUENTA,1,nASIG,"Armonía"),"")))</f>
        <v/>
      </c>
      <c r="U1002" t="str">
        <f>IF(S1002="","",IF(S1002="[FÓRMULA MANUAL]","",IFERROR(AVERAGEIFS(nNOTA,nNIA,S1002,nCUENTA,1,nASIG,"Orquesta/Banda/Conjunto"),"")))</f>
        <v/>
      </c>
      <c r="V1002" t="str">
        <f>IF(S1002="","",IF(S1002="[FÓRMULA MANUAL]","",IFERROR(AVERAGEIFS(nNOTA,nNIA,S1002,nCUENTA,1,nASIG,"Música de Cámara"),"")))</f>
        <v/>
      </c>
      <c r="W1002" t="str">
        <f>IF(S1002="","",IF(S1002="[FÓRMULA MANUAL]","",IFERROR(SUMPRODUCT((nNIA=S1002)*(nCUENTA=1)*(COUNTIF(CONFIG_ASIGNATURAS!$B$7:$B$27,nASIG)&gt;0)*(nNOTA))/SUMPRODUCT((nNIA=S1002)*(nCUENTA=1)*(COUNTIF(CONFIG_ASIGNATURAS!$B$7:$B$27,nASIG)&gt;0)*1),"")))</f>
        <v/>
      </c>
      <c r="Z1002" t="str">
        <f>IF(Y1002="","",IF(Y1002="[FÓRMULA MANUAL]","",IFERROR(AVERAGEIFS(nNOTA,nNIA,Y1002,nCUENTA,1,nASIG,"Análisis"),"")))</f>
        <v/>
      </c>
      <c r="AA1002" t="str">
        <f>IF(Y1002="","",IF(Y1002="[FÓRMULA MANUAL]","",IFERROR(AVERAGEIFS(nNOTA,nNIA,Y1002,nCUENTA,1,nASIG,"Orquesta/Banda/Conjunto"),"")))</f>
        <v/>
      </c>
      <c r="AB1002" t="str">
        <f>IF(Y1002="","",IF(Y1002="[FÓRMULA MANUAL]","",IFERROR(AVERAGEIFS(nNOTA,nNIA,Y1002,nCUENTA,1,nASIG,"Música de Cámara"),"")))</f>
        <v/>
      </c>
      <c r="AC1002" t="str">
        <f>IF(Y1002="","",IF(Y1002="[FÓRMULA MANUAL]","",IFERROR(SUMPRODUCT((nNIA=Y1002)*(nCUENTA=1)*(COUNTIF(CONFIG_ASIGNATURAS!$B$7:$B$27,nASIG)&gt;0)*(nNOTA))/SUMPRODUCT((nNIA=Y1002)*(nCUENTA=1)*(COUNTIF(CONFIG_ASIGNATURAS!$B$7:$B$27,nASIG)&gt;0)*1),"")))</f>
        <v/>
      </c>
      <c r="AF1002" t="str">
        <f>IF(AE1002="","",IF(AE1002="[FÓRMULA MANUAL]","",IFERROR(AVERAGEIFS(nNOTA,nNIA,AE1002,nCUENTA,1,nASIG,"Análisis"),"")))</f>
        <v/>
      </c>
      <c r="AG1002" t="str">
        <f>IF(AE1002="","",IF(AE1002="[FÓRMULA MANUAL]","",IFERROR(AVERAGEIFS(nNOTA,nNIA,AE1002,nCUENTA,1,nASIG,"Orquesta/Banda/Conjunto"),"")))</f>
        <v/>
      </c>
      <c r="AH1002" t="str">
        <f>IF(AE1002="","",IF(AE1002="[FÓRMULA MANUAL]","",IFERROR(AVERAGEIFS(nNOTA,nNIA,AE1002,nCUENTA,1,nASIG,"Música de Cámara"),"")))</f>
        <v/>
      </c>
      <c r="AI1002" t="str">
        <f>IF(AE1002="","",IF(AE1002="[FÓRMULA MANUAL]","",IFERROR(SUMPRODUCT((nNIA=AE1002)*(nCUENTA=1)*(COUNTIF(CONFIG_ASIGNATURAS!$B$7:$B$27,nASIG)&gt;0)*(nNOTA))/SUMPRODUCT((nNIA=AE1002)*(nCUENTA=1)*(COUNTIF(CONFIG_ASIGNATURAS!$B$7:$B$27,nASIG)&gt;0)*1),"")))</f>
        <v/>
      </c>
    </row>
    <row r="1003" spans="2:35" x14ac:dyDescent="0.2">
      <c r="B1003" t="str">
        <f>IF(A1003="","",IF(A1003="[FÓRMULA MANUAL]","",IFERROR(AVERAGEIFS(nNOTA,nNIA,A1003,nCUENTA,1,nASIG,"Lenguaje Musical"),"")))</f>
        <v/>
      </c>
      <c r="C1003" t="str">
        <f>IF(A1003="","",IF(A1003="[FÓRMULA MANUAL]","",IFERROR(AVERAGEIFS(nNOTA,nNIA,A1003,nCUENTA,1,nASIG,"Orquesta/Banda/Conjunto"),"")))</f>
        <v/>
      </c>
      <c r="D1003" t="str">
        <f>IF(A1003="","",IF(A1003="[FÓRMULA MANUAL]","",IFERROR(AVERAGEIFS(nNOTA,nNIA,A1003,nCUENTA,1,nASIG,"Conjunto"),"")))</f>
        <v/>
      </c>
      <c r="E1003" t="str">
        <f>IF(A1003="","",IF(A1003="[FÓRMULA MANUAL]","",IFERROR(SUMPRODUCT((nNIA=A1003)*(nCUENTA=1)*(COUNTIF(CONFIG_ASIGNATURAS!$B$7:$B$27,nASIG)&gt;0)*(nNOTA))/SUMPRODUCT((nNIA=A1003)*(nCUENTA=1)*(COUNTIF(CONFIG_ASIGNATURAS!$B$7:$B$27,nASIG)&gt;0)*1),"")))</f>
        <v/>
      </c>
      <c r="H1003" t="str">
        <f>IF(G1003="","",IF(G1003="[FÓRMULA MANUAL]","",IFERROR(AVERAGEIFS(nNOTA,nNIA,G1003,nCUENTA,1,nASIG,"Lenguaje Musical"),"")))</f>
        <v/>
      </c>
      <c r="I1003" t="str">
        <f>IF(G1003="","",IF(G1003="[FÓRMULA MANUAL]","",IFERROR(AVERAGEIFS(nNOTA,nNIA,G1003,nCUENTA,1,nASIG,"Orquesta/Banda/Conjunto"),"")))</f>
        <v/>
      </c>
      <c r="J1003" t="str">
        <f>IF(G1003="","",IF(G1003="[FÓRMULA MANUAL]","",IFERROR(AVERAGEIFS(nNOTA,nNIA,G1003,nCUENTA,1,nASIG,"Conjunto"),"")))</f>
        <v/>
      </c>
      <c r="K1003" t="str">
        <f>IF(G1003="","",IF(G1003="[FÓRMULA MANUAL]","",IFERROR(SUMPRODUCT((nNIA=G1003)*(nCUENTA=1)*(COUNTIF(CONFIG_ASIGNATURAS!$B$7:$B$27,nASIG)&gt;0)*(nNOTA))/SUMPRODUCT((nNIA=G1003)*(nCUENTA=1)*(COUNTIF(CONFIG_ASIGNATURAS!$B$7:$B$27,nASIG)&gt;0)*1),"")))</f>
        <v/>
      </c>
      <c r="N1003" t="str">
        <f>IF(M1003="","",IF(M1003="[FÓRMULA MANUAL]","",IFERROR(AVERAGEIFS(nNOTA,nNIA,M1003,nCUENTA,1,nASIG,"Armonía"),"")))</f>
        <v/>
      </c>
      <c r="O1003" t="str">
        <f>IF(M1003="","",IF(M1003="[FÓRMULA MANUAL]","",IFERROR(AVERAGEIFS(nNOTA,nNIA,M1003,nCUENTA,1,nASIG,"Orquesta/Banda/Conjunto"),"")))</f>
        <v/>
      </c>
      <c r="P1003" t="str">
        <f>IF(M1003="","",IF(M1003="[FÓRMULA MANUAL]","",IFERROR(AVERAGEIFS(nNOTA,nNIA,M1003,nCUENTA,1,nASIG,"Música de Cámara"),"")))</f>
        <v/>
      </c>
      <c r="Q1003" t="str">
        <f>IF(M1003="","",IF(M1003="[FÓRMULA MANUAL]","",IFERROR(SUMPRODUCT((nNIA=M1003)*(nCUENTA=1)*(COUNTIF(CONFIG_ASIGNATURAS!$B$7:$B$27,nASIG)&gt;0)*(nNOTA))/SUMPRODUCT((nNIA=M1003)*(nCUENTA=1)*(COUNTIF(CONFIG_ASIGNATURAS!$B$7:$B$27,nASIG)&gt;0)*1),"")))</f>
        <v/>
      </c>
      <c r="T1003" t="str">
        <f>IF(S1003="","",IF(S1003="[FÓRMULA MANUAL]","",IFERROR(AVERAGEIFS(nNOTA,nNIA,S1003,nCUENTA,1,nASIG,"Armonía"),"")))</f>
        <v/>
      </c>
      <c r="U1003" t="str">
        <f>IF(S1003="","",IF(S1003="[FÓRMULA MANUAL]","",IFERROR(AVERAGEIFS(nNOTA,nNIA,S1003,nCUENTA,1,nASIG,"Orquesta/Banda/Conjunto"),"")))</f>
        <v/>
      </c>
      <c r="V1003" t="str">
        <f>IF(S1003="","",IF(S1003="[FÓRMULA MANUAL]","",IFERROR(AVERAGEIFS(nNOTA,nNIA,S1003,nCUENTA,1,nASIG,"Música de Cámara"),"")))</f>
        <v/>
      </c>
      <c r="W1003" t="str">
        <f>IF(S1003="","",IF(S1003="[FÓRMULA MANUAL]","",IFERROR(SUMPRODUCT((nNIA=S1003)*(nCUENTA=1)*(COUNTIF(CONFIG_ASIGNATURAS!$B$7:$B$27,nASIG)&gt;0)*(nNOTA))/SUMPRODUCT((nNIA=S1003)*(nCUENTA=1)*(COUNTIF(CONFIG_ASIGNATURAS!$B$7:$B$27,nASIG)&gt;0)*1),"")))</f>
        <v/>
      </c>
      <c r="Z1003" t="str">
        <f>IF(Y1003="","",IF(Y1003="[FÓRMULA MANUAL]","",IFERROR(AVERAGEIFS(nNOTA,nNIA,Y1003,nCUENTA,1,nASIG,"Análisis"),"")))</f>
        <v/>
      </c>
      <c r="AA1003" t="str">
        <f>IF(Y1003="","",IF(Y1003="[FÓRMULA MANUAL]","",IFERROR(AVERAGEIFS(nNOTA,nNIA,Y1003,nCUENTA,1,nASIG,"Orquesta/Banda/Conjunto"),"")))</f>
        <v/>
      </c>
      <c r="AB1003" t="str">
        <f>IF(Y1003="","",IF(Y1003="[FÓRMULA MANUAL]","",IFERROR(AVERAGEIFS(nNOTA,nNIA,Y1003,nCUENTA,1,nASIG,"Música de Cámara"),"")))</f>
        <v/>
      </c>
      <c r="AC1003" t="str">
        <f>IF(Y1003="","",IF(Y1003="[FÓRMULA MANUAL]","",IFERROR(SUMPRODUCT((nNIA=Y1003)*(nCUENTA=1)*(COUNTIF(CONFIG_ASIGNATURAS!$B$7:$B$27,nASIG)&gt;0)*(nNOTA))/SUMPRODUCT((nNIA=Y1003)*(nCUENTA=1)*(COUNTIF(CONFIG_ASIGNATURAS!$B$7:$B$27,nASIG)&gt;0)*1),"")))</f>
        <v/>
      </c>
      <c r="AF1003" t="str">
        <f>IF(AE1003="","",IF(AE1003="[FÓRMULA MANUAL]","",IFERROR(AVERAGEIFS(nNOTA,nNIA,AE1003,nCUENTA,1,nASIG,"Análisis"),"")))</f>
        <v/>
      </c>
      <c r="AG1003" t="str">
        <f>IF(AE1003="","",IF(AE1003="[FÓRMULA MANUAL]","",IFERROR(AVERAGEIFS(nNOTA,nNIA,AE1003,nCUENTA,1,nASIG,"Orquesta/Banda/Conjunto"),"")))</f>
        <v/>
      </c>
      <c r="AH1003" t="str">
        <f>IF(AE1003="","",IF(AE1003="[FÓRMULA MANUAL]","",IFERROR(AVERAGEIFS(nNOTA,nNIA,AE1003,nCUENTA,1,nASIG,"Música de Cámara"),"")))</f>
        <v/>
      </c>
      <c r="AI1003" t="str">
        <f>IF(AE1003="","",IF(AE1003="[FÓRMULA MANUAL]","",IFERROR(SUMPRODUCT((nNIA=AE1003)*(nCUENTA=1)*(COUNTIF(CONFIG_ASIGNATURAS!$B$7:$B$27,nASIG)&gt;0)*(nNOTA))/SUMPRODUCT((nNIA=AE1003)*(nCUENTA=1)*(COUNTIF(CONFIG_ASIGNATURAS!$B$7:$B$27,nASIG)&gt;0)*1),"")))</f>
        <v/>
      </c>
    </row>
    <row r="1004" spans="2:35" x14ac:dyDescent="0.2">
      <c r="B1004" t="str">
        <f>IF(A1004="","",IF(A1004="[FÓRMULA MANUAL]","",IFERROR(AVERAGEIFS(nNOTA,nNIA,A1004,nCUENTA,1,nASIG,"Lenguaje Musical"),"")))</f>
        <v/>
      </c>
      <c r="C1004" t="str">
        <f>IF(A1004="","",IF(A1004="[FÓRMULA MANUAL]","",IFERROR(AVERAGEIFS(nNOTA,nNIA,A1004,nCUENTA,1,nASIG,"Orquesta/Banda/Conjunto"),"")))</f>
        <v/>
      </c>
      <c r="D1004" t="str">
        <f>IF(A1004="","",IF(A1004="[FÓRMULA MANUAL]","",IFERROR(AVERAGEIFS(nNOTA,nNIA,A1004,nCUENTA,1,nASIG,"Conjunto"),"")))</f>
        <v/>
      </c>
      <c r="E1004" t="str">
        <f>IF(A1004="","",IF(A1004="[FÓRMULA MANUAL]","",IFERROR(SUMPRODUCT((nNIA=A1004)*(nCUENTA=1)*(COUNTIF(CONFIG_ASIGNATURAS!$B$7:$B$27,nASIG)&gt;0)*(nNOTA))/SUMPRODUCT((nNIA=A1004)*(nCUENTA=1)*(COUNTIF(CONFIG_ASIGNATURAS!$B$7:$B$27,nASIG)&gt;0)*1),"")))</f>
        <v/>
      </c>
      <c r="H1004" t="str">
        <f>IF(G1004="","",IF(G1004="[FÓRMULA MANUAL]","",IFERROR(AVERAGEIFS(nNOTA,nNIA,G1004,nCUENTA,1,nASIG,"Lenguaje Musical"),"")))</f>
        <v/>
      </c>
      <c r="I1004" t="str">
        <f>IF(G1004="","",IF(G1004="[FÓRMULA MANUAL]","",IFERROR(AVERAGEIFS(nNOTA,nNIA,G1004,nCUENTA,1,nASIG,"Orquesta/Banda/Conjunto"),"")))</f>
        <v/>
      </c>
      <c r="J1004" t="str">
        <f>IF(G1004="","",IF(G1004="[FÓRMULA MANUAL]","",IFERROR(AVERAGEIFS(nNOTA,nNIA,G1004,nCUENTA,1,nASIG,"Conjunto"),"")))</f>
        <v/>
      </c>
      <c r="K1004" t="str">
        <f>IF(G1004="","",IF(G1004="[FÓRMULA MANUAL]","",IFERROR(SUMPRODUCT((nNIA=G1004)*(nCUENTA=1)*(COUNTIF(CONFIG_ASIGNATURAS!$B$7:$B$27,nASIG)&gt;0)*(nNOTA))/SUMPRODUCT((nNIA=G1004)*(nCUENTA=1)*(COUNTIF(CONFIG_ASIGNATURAS!$B$7:$B$27,nASIG)&gt;0)*1),"")))</f>
        <v/>
      </c>
      <c r="N1004" t="str">
        <f>IF(M1004="","",IF(M1004="[FÓRMULA MANUAL]","",IFERROR(AVERAGEIFS(nNOTA,nNIA,M1004,nCUENTA,1,nASIG,"Armonía"),"")))</f>
        <v/>
      </c>
      <c r="O1004" t="str">
        <f>IF(M1004="","",IF(M1004="[FÓRMULA MANUAL]","",IFERROR(AVERAGEIFS(nNOTA,nNIA,M1004,nCUENTA,1,nASIG,"Orquesta/Banda/Conjunto"),"")))</f>
        <v/>
      </c>
      <c r="P1004" t="str">
        <f>IF(M1004="","",IF(M1004="[FÓRMULA MANUAL]","",IFERROR(AVERAGEIFS(nNOTA,nNIA,M1004,nCUENTA,1,nASIG,"Música de Cámara"),"")))</f>
        <v/>
      </c>
      <c r="Q1004" t="str">
        <f>IF(M1004="","",IF(M1004="[FÓRMULA MANUAL]","",IFERROR(SUMPRODUCT((nNIA=M1004)*(nCUENTA=1)*(COUNTIF(CONFIG_ASIGNATURAS!$B$7:$B$27,nASIG)&gt;0)*(nNOTA))/SUMPRODUCT((nNIA=M1004)*(nCUENTA=1)*(COUNTIF(CONFIG_ASIGNATURAS!$B$7:$B$27,nASIG)&gt;0)*1),"")))</f>
        <v/>
      </c>
      <c r="T1004" t="str">
        <f>IF(S1004="","",IF(S1004="[FÓRMULA MANUAL]","",IFERROR(AVERAGEIFS(nNOTA,nNIA,S1004,nCUENTA,1,nASIG,"Armonía"),"")))</f>
        <v/>
      </c>
      <c r="U1004" t="str">
        <f>IF(S1004="","",IF(S1004="[FÓRMULA MANUAL]","",IFERROR(AVERAGEIFS(nNOTA,nNIA,S1004,nCUENTA,1,nASIG,"Orquesta/Banda/Conjunto"),"")))</f>
        <v/>
      </c>
      <c r="V1004" t="str">
        <f>IF(S1004="","",IF(S1004="[FÓRMULA MANUAL]","",IFERROR(AVERAGEIFS(nNOTA,nNIA,S1004,nCUENTA,1,nASIG,"Música de Cámara"),"")))</f>
        <v/>
      </c>
      <c r="W1004" t="str">
        <f>IF(S1004="","",IF(S1004="[FÓRMULA MANUAL]","",IFERROR(SUMPRODUCT((nNIA=S1004)*(nCUENTA=1)*(COUNTIF(CONFIG_ASIGNATURAS!$B$7:$B$27,nASIG)&gt;0)*(nNOTA))/SUMPRODUCT((nNIA=S1004)*(nCUENTA=1)*(COUNTIF(CONFIG_ASIGNATURAS!$B$7:$B$27,nASIG)&gt;0)*1),"")))</f>
        <v/>
      </c>
      <c r="Z1004" t="str">
        <f>IF(Y1004="","",IF(Y1004="[FÓRMULA MANUAL]","",IFERROR(AVERAGEIFS(nNOTA,nNIA,Y1004,nCUENTA,1,nASIG,"Análisis"),"")))</f>
        <v/>
      </c>
      <c r="AA1004" t="str">
        <f>IF(Y1004="","",IF(Y1004="[FÓRMULA MANUAL]","",IFERROR(AVERAGEIFS(nNOTA,nNIA,Y1004,nCUENTA,1,nASIG,"Orquesta/Banda/Conjunto"),"")))</f>
        <v/>
      </c>
      <c r="AB1004" t="str">
        <f>IF(Y1004="","",IF(Y1004="[FÓRMULA MANUAL]","",IFERROR(AVERAGEIFS(nNOTA,nNIA,Y1004,nCUENTA,1,nASIG,"Música de Cámara"),"")))</f>
        <v/>
      </c>
      <c r="AC1004" t="str">
        <f>IF(Y1004="","",IF(Y1004="[FÓRMULA MANUAL]","",IFERROR(SUMPRODUCT((nNIA=Y1004)*(nCUENTA=1)*(COUNTIF(CONFIG_ASIGNATURAS!$B$7:$B$27,nASIG)&gt;0)*(nNOTA))/SUMPRODUCT((nNIA=Y1004)*(nCUENTA=1)*(COUNTIF(CONFIG_ASIGNATURAS!$B$7:$B$27,nASIG)&gt;0)*1),"")))</f>
        <v/>
      </c>
      <c r="AF1004" t="str">
        <f>IF(AE1004="","",IF(AE1004="[FÓRMULA MANUAL]","",IFERROR(AVERAGEIFS(nNOTA,nNIA,AE1004,nCUENTA,1,nASIG,"Análisis"),"")))</f>
        <v/>
      </c>
      <c r="AG1004" t="str">
        <f>IF(AE1004="","",IF(AE1004="[FÓRMULA MANUAL]","",IFERROR(AVERAGEIFS(nNOTA,nNIA,AE1004,nCUENTA,1,nASIG,"Orquesta/Banda/Conjunto"),"")))</f>
        <v/>
      </c>
      <c r="AH1004" t="str">
        <f>IF(AE1004="","",IF(AE1004="[FÓRMULA MANUAL]","",IFERROR(AVERAGEIFS(nNOTA,nNIA,AE1004,nCUENTA,1,nASIG,"Música de Cámara"),"")))</f>
        <v/>
      </c>
      <c r="AI1004" t="str">
        <f>IF(AE1004="","",IF(AE1004="[FÓRMULA MANUAL]","",IFERROR(SUMPRODUCT((nNIA=AE1004)*(nCUENTA=1)*(COUNTIF(CONFIG_ASIGNATURAS!$B$7:$B$27,nASIG)&gt;0)*(nNOTA))/SUMPRODUCT((nNIA=AE1004)*(nCUENTA=1)*(COUNTIF(CONFIG_ASIGNATURAS!$B$7:$B$27,nASIG)&gt;0)*1),"")))</f>
        <v/>
      </c>
    </row>
    <row r="1005" spans="2:35" x14ac:dyDescent="0.2">
      <c r="B1005" t="str">
        <f>IF(A1005="","",IF(A1005="[FÓRMULA MANUAL]","",IFERROR(AVERAGEIFS(nNOTA,nNIA,A1005,nCUENTA,1,nASIG,"Lenguaje Musical"),"")))</f>
        <v/>
      </c>
      <c r="C1005" t="str">
        <f>IF(A1005="","",IF(A1005="[FÓRMULA MANUAL]","",IFERROR(AVERAGEIFS(nNOTA,nNIA,A1005,nCUENTA,1,nASIG,"Orquesta/Banda/Conjunto"),"")))</f>
        <v/>
      </c>
      <c r="D1005" t="str">
        <f>IF(A1005="","",IF(A1005="[FÓRMULA MANUAL]","",IFERROR(AVERAGEIFS(nNOTA,nNIA,A1005,nCUENTA,1,nASIG,"Conjunto"),"")))</f>
        <v/>
      </c>
      <c r="E1005" t="str">
        <f>IF(A1005="","",IF(A1005="[FÓRMULA MANUAL]","",IFERROR(SUMPRODUCT((nNIA=A1005)*(nCUENTA=1)*(COUNTIF(CONFIG_ASIGNATURAS!$B$7:$B$27,nASIG)&gt;0)*(nNOTA))/SUMPRODUCT((nNIA=A1005)*(nCUENTA=1)*(COUNTIF(CONFIG_ASIGNATURAS!$B$7:$B$27,nASIG)&gt;0)*1),"")))</f>
        <v/>
      </c>
      <c r="H1005" t="str">
        <f>IF(G1005="","",IF(G1005="[FÓRMULA MANUAL]","",IFERROR(AVERAGEIFS(nNOTA,nNIA,G1005,nCUENTA,1,nASIG,"Lenguaje Musical"),"")))</f>
        <v/>
      </c>
      <c r="I1005" t="str">
        <f>IF(G1005="","",IF(G1005="[FÓRMULA MANUAL]","",IFERROR(AVERAGEIFS(nNOTA,nNIA,G1005,nCUENTA,1,nASIG,"Orquesta/Banda/Conjunto"),"")))</f>
        <v/>
      </c>
      <c r="J1005" t="str">
        <f>IF(G1005="","",IF(G1005="[FÓRMULA MANUAL]","",IFERROR(AVERAGEIFS(nNOTA,nNIA,G1005,nCUENTA,1,nASIG,"Conjunto"),"")))</f>
        <v/>
      </c>
      <c r="K1005" t="str">
        <f>IF(G1005="","",IF(G1005="[FÓRMULA MANUAL]","",IFERROR(SUMPRODUCT((nNIA=G1005)*(nCUENTA=1)*(COUNTIF(CONFIG_ASIGNATURAS!$B$7:$B$27,nASIG)&gt;0)*(nNOTA))/SUMPRODUCT((nNIA=G1005)*(nCUENTA=1)*(COUNTIF(CONFIG_ASIGNATURAS!$B$7:$B$27,nASIG)&gt;0)*1),"")))</f>
        <v/>
      </c>
      <c r="N1005" t="str">
        <f>IF(M1005="","",IF(M1005="[FÓRMULA MANUAL]","",IFERROR(AVERAGEIFS(nNOTA,nNIA,M1005,nCUENTA,1,nASIG,"Armonía"),"")))</f>
        <v/>
      </c>
      <c r="O1005" t="str">
        <f>IF(M1005="","",IF(M1005="[FÓRMULA MANUAL]","",IFERROR(AVERAGEIFS(nNOTA,nNIA,M1005,nCUENTA,1,nASIG,"Orquesta/Banda/Conjunto"),"")))</f>
        <v/>
      </c>
      <c r="P1005" t="str">
        <f>IF(M1005="","",IF(M1005="[FÓRMULA MANUAL]","",IFERROR(AVERAGEIFS(nNOTA,nNIA,M1005,nCUENTA,1,nASIG,"Música de Cámara"),"")))</f>
        <v/>
      </c>
      <c r="Q1005" t="str">
        <f>IF(M1005="","",IF(M1005="[FÓRMULA MANUAL]","",IFERROR(SUMPRODUCT((nNIA=M1005)*(nCUENTA=1)*(COUNTIF(CONFIG_ASIGNATURAS!$B$7:$B$27,nASIG)&gt;0)*(nNOTA))/SUMPRODUCT((nNIA=M1005)*(nCUENTA=1)*(COUNTIF(CONFIG_ASIGNATURAS!$B$7:$B$27,nASIG)&gt;0)*1),"")))</f>
        <v/>
      </c>
      <c r="T1005" t="str">
        <f>IF(S1005="","",IF(S1005="[FÓRMULA MANUAL]","",IFERROR(AVERAGEIFS(nNOTA,nNIA,S1005,nCUENTA,1,nASIG,"Armonía"),"")))</f>
        <v/>
      </c>
      <c r="U1005" t="str">
        <f>IF(S1005="","",IF(S1005="[FÓRMULA MANUAL]","",IFERROR(AVERAGEIFS(nNOTA,nNIA,S1005,nCUENTA,1,nASIG,"Orquesta/Banda/Conjunto"),"")))</f>
        <v/>
      </c>
      <c r="V1005" t="str">
        <f>IF(S1005="","",IF(S1005="[FÓRMULA MANUAL]","",IFERROR(AVERAGEIFS(nNOTA,nNIA,S1005,nCUENTA,1,nASIG,"Música de Cámara"),"")))</f>
        <v/>
      </c>
      <c r="W1005" t="str">
        <f>IF(S1005="","",IF(S1005="[FÓRMULA MANUAL]","",IFERROR(SUMPRODUCT((nNIA=S1005)*(nCUENTA=1)*(COUNTIF(CONFIG_ASIGNATURAS!$B$7:$B$27,nASIG)&gt;0)*(nNOTA))/SUMPRODUCT((nNIA=S1005)*(nCUENTA=1)*(COUNTIF(CONFIG_ASIGNATURAS!$B$7:$B$27,nASIG)&gt;0)*1),"")))</f>
        <v/>
      </c>
      <c r="Z1005" t="str">
        <f>IF(Y1005="","",IF(Y1005="[FÓRMULA MANUAL]","",IFERROR(AVERAGEIFS(nNOTA,nNIA,Y1005,nCUENTA,1,nASIG,"Análisis"),"")))</f>
        <v/>
      </c>
      <c r="AA1005" t="str">
        <f>IF(Y1005="","",IF(Y1005="[FÓRMULA MANUAL]","",IFERROR(AVERAGEIFS(nNOTA,nNIA,Y1005,nCUENTA,1,nASIG,"Orquesta/Banda/Conjunto"),"")))</f>
        <v/>
      </c>
      <c r="AB1005" t="str">
        <f>IF(Y1005="","",IF(Y1005="[FÓRMULA MANUAL]","",IFERROR(AVERAGEIFS(nNOTA,nNIA,Y1005,nCUENTA,1,nASIG,"Música de Cámara"),"")))</f>
        <v/>
      </c>
      <c r="AC1005" t="str">
        <f>IF(Y1005="","",IF(Y1005="[FÓRMULA MANUAL]","",IFERROR(SUMPRODUCT((nNIA=Y1005)*(nCUENTA=1)*(COUNTIF(CONFIG_ASIGNATURAS!$B$7:$B$27,nASIG)&gt;0)*(nNOTA))/SUMPRODUCT((nNIA=Y1005)*(nCUENTA=1)*(COUNTIF(CONFIG_ASIGNATURAS!$B$7:$B$27,nASIG)&gt;0)*1),"")))</f>
        <v/>
      </c>
      <c r="AF1005" t="str">
        <f>IF(AE1005="","",IF(AE1005="[FÓRMULA MANUAL]","",IFERROR(AVERAGEIFS(nNOTA,nNIA,AE1005,nCUENTA,1,nASIG,"Análisis"),"")))</f>
        <v/>
      </c>
      <c r="AG1005" t="str">
        <f>IF(AE1005="","",IF(AE1005="[FÓRMULA MANUAL]","",IFERROR(AVERAGEIFS(nNOTA,nNIA,AE1005,nCUENTA,1,nASIG,"Orquesta/Banda/Conjunto"),"")))</f>
        <v/>
      </c>
      <c r="AH1005" t="str">
        <f>IF(AE1005="","",IF(AE1005="[FÓRMULA MANUAL]","",IFERROR(AVERAGEIFS(nNOTA,nNIA,AE1005,nCUENTA,1,nASIG,"Música de Cámara"),"")))</f>
        <v/>
      </c>
      <c r="AI1005" t="str">
        <f>IF(AE1005="","",IF(AE1005="[FÓRMULA MANUAL]","",IFERROR(SUMPRODUCT((nNIA=AE1005)*(nCUENTA=1)*(COUNTIF(CONFIG_ASIGNATURAS!$B$7:$B$27,nASIG)&gt;0)*(nNOTA))/SUMPRODUCT((nNIA=AE1005)*(nCUENTA=1)*(COUNTIF(CONFIG_ASIGNATURAS!$B$7:$B$27,nASIG)&gt;0)*1),"")))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37"/>
  <sheetViews>
    <sheetView workbookViewId="0">
      <selection activeCell="H22" sqref="H22"/>
    </sheetView>
  </sheetViews>
  <sheetFormatPr baseColWidth="10" defaultColWidth="8.83203125" defaultRowHeight="15" x14ac:dyDescent="0.2"/>
  <cols>
    <col min="1" max="1" width="8" customWidth="1"/>
    <col min="2" max="3" width="25" customWidth="1"/>
    <col min="4" max="5" width="12" customWidth="1"/>
    <col min="6" max="6" width="14" customWidth="1"/>
    <col min="8" max="9" width="12" customWidth="1"/>
  </cols>
  <sheetData>
    <row r="1" spans="1:9" x14ac:dyDescent="0.2">
      <c r="A1" s="2" t="s">
        <v>75</v>
      </c>
      <c r="B1" s="2" t="s">
        <v>76</v>
      </c>
      <c r="C1" s="2" t="s">
        <v>77</v>
      </c>
      <c r="D1" s="2" t="s">
        <v>131</v>
      </c>
      <c r="E1" s="2" t="s">
        <v>132</v>
      </c>
      <c r="F1" s="2" t="s">
        <v>133</v>
      </c>
      <c r="H1" s="8" t="s">
        <v>134</v>
      </c>
    </row>
    <row r="2" spans="1:9" x14ac:dyDescent="0.2">
      <c r="A2" t="s">
        <v>78</v>
      </c>
      <c r="B2" t="s">
        <v>9</v>
      </c>
      <c r="C2" t="s">
        <v>22</v>
      </c>
      <c r="D2" s="10" t="str">
        <f>IFERROR(CORREL(DAT_CORRELACION!B$6:B$1005,DAT_CORRELACION!C$6:C$1005),"")</f>
        <v/>
      </c>
      <c r="E2">
        <f>SUMPRODUCT((DAT_CORRELACION!A$6:A$1005&lt;&gt;"")*(DAT_CORRELACION!A$6:A$1005&lt;&gt;"[FÓRMULA MANUAL]")*1)</f>
        <v>0</v>
      </c>
      <c r="F2" t="str">
        <f t="shared" ref="F2:F37" si="0">IF(D2="","",IF(D2&gt;=0.8,"Muy fuerte",IF(D2&gt;=0.6,"Fuerte",IF(D2&gt;=0.4,"Moderada",IF(D2&gt;=0.2,"Débil",IF(D2&gt;=0,"Muy débil","Inversa"))))))</f>
        <v/>
      </c>
      <c r="H2" t="s">
        <v>135</v>
      </c>
      <c r="I2" t="s">
        <v>136</v>
      </c>
    </row>
    <row r="3" spans="1:9" x14ac:dyDescent="0.2">
      <c r="A3" t="s">
        <v>78</v>
      </c>
      <c r="B3" t="s">
        <v>9</v>
      </c>
      <c r="C3" t="s">
        <v>53</v>
      </c>
      <c r="D3" s="10" t="str">
        <f>IFERROR(CORREL(DAT_CORRELACION!B$6:B$1005,DAT_CORRELACION!D$6:D$1005),"")</f>
        <v/>
      </c>
      <c r="E3">
        <f>SUMPRODUCT((DAT_CORRELACION!A$6:A$1005&lt;&gt;"")*(DAT_CORRELACION!A$6:A$1005&lt;&gt;"[FÓRMULA MANUAL]")*1)</f>
        <v>0</v>
      </c>
      <c r="F3" t="str">
        <f t="shared" si="0"/>
        <v/>
      </c>
      <c r="H3" t="s">
        <v>137</v>
      </c>
      <c r="I3" t="s">
        <v>138</v>
      </c>
    </row>
    <row r="4" spans="1:9" x14ac:dyDescent="0.2">
      <c r="A4" t="s">
        <v>78</v>
      </c>
      <c r="B4" t="s">
        <v>9</v>
      </c>
      <c r="C4" t="s">
        <v>25</v>
      </c>
      <c r="D4" s="10" t="str">
        <f>IFERROR(CORREL(DAT_CORRELACION!B$6:B$1005,DAT_CORRELACION!E$6:E$1005),"")</f>
        <v/>
      </c>
      <c r="E4">
        <f>SUMPRODUCT((DAT_CORRELACION!A$6:A$1005&lt;&gt;"")*(DAT_CORRELACION!A$6:A$1005&lt;&gt;"[FÓRMULA MANUAL]")*1)</f>
        <v>0</v>
      </c>
      <c r="F4" t="str">
        <f t="shared" si="0"/>
        <v/>
      </c>
      <c r="H4" t="s">
        <v>139</v>
      </c>
      <c r="I4" t="s">
        <v>140</v>
      </c>
    </row>
    <row r="5" spans="1:9" x14ac:dyDescent="0.2">
      <c r="A5" t="s">
        <v>78</v>
      </c>
      <c r="B5" t="s">
        <v>22</v>
      </c>
      <c r="C5" t="s">
        <v>53</v>
      </c>
      <c r="D5" s="10" t="str">
        <f>IFERROR(CORREL(DAT_CORRELACION!C$6:C$1005,DAT_CORRELACION!D$6:D$1005),"")</f>
        <v/>
      </c>
      <c r="E5">
        <f>SUMPRODUCT((DAT_CORRELACION!A$6:A$1005&lt;&gt;"")*(DAT_CORRELACION!A$6:A$1005&lt;&gt;"[FÓRMULA MANUAL]")*1)</f>
        <v>0</v>
      </c>
      <c r="F5" t="str">
        <f t="shared" si="0"/>
        <v/>
      </c>
      <c r="H5" t="s">
        <v>141</v>
      </c>
      <c r="I5" t="s">
        <v>142</v>
      </c>
    </row>
    <row r="6" spans="1:9" x14ac:dyDescent="0.2">
      <c r="A6" t="s">
        <v>78</v>
      </c>
      <c r="B6" t="s">
        <v>22</v>
      </c>
      <c r="C6" t="s">
        <v>25</v>
      </c>
      <c r="D6" s="10" t="str">
        <f>IFERROR(CORREL(DAT_CORRELACION!C$6:C$1005,DAT_CORRELACION!E$6:E$1005),"")</f>
        <v/>
      </c>
      <c r="E6">
        <f>SUMPRODUCT((DAT_CORRELACION!A$6:A$1005&lt;&gt;"")*(DAT_CORRELACION!A$6:A$1005&lt;&gt;"[FÓRMULA MANUAL]")*1)</f>
        <v>0</v>
      </c>
      <c r="F6" t="str">
        <f t="shared" si="0"/>
        <v/>
      </c>
      <c r="H6" t="s">
        <v>143</v>
      </c>
      <c r="I6" t="s">
        <v>144</v>
      </c>
    </row>
    <row r="7" spans="1:9" x14ac:dyDescent="0.2">
      <c r="A7" t="s">
        <v>78</v>
      </c>
      <c r="B7" t="s">
        <v>53</v>
      </c>
      <c r="C7" t="s">
        <v>25</v>
      </c>
      <c r="D7" s="10" t="str">
        <f>IFERROR(CORREL(DAT_CORRELACION!D$6:D$1005,DAT_CORRELACION!E$6:E$1005),"")</f>
        <v/>
      </c>
      <c r="E7">
        <f>SUMPRODUCT((DAT_CORRELACION!A$6:A$1005&lt;&gt;"")*(DAT_CORRELACION!A$6:A$1005&lt;&gt;"[FÓRMULA MANUAL]")*1)</f>
        <v>0</v>
      </c>
      <c r="F7" t="str">
        <f t="shared" si="0"/>
        <v/>
      </c>
      <c r="H7" t="s">
        <v>145</v>
      </c>
      <c r="I7" t="s">
        <v>146</v>
      </c>
    </row>
    <row r="8" spans="1:9" x14ac:dyDescent="0.2">
      <c r="A8" t="s">
        <v>79</v>
      </c>
      <c r="B8" t="s">
        <v>9</v>
      </c>
      <c r="C8" t="s">
        <v>22</v>
      </c>
      <c r="D8" s="10" t="str">
        <f>IFERROR(CORREL(DAT_CORRELACION!H$6:H$1005,DAT_CORRELACION!I$6:I$1005),"")</f>
        <v/>
      </c>
      <c r="E8">
        <f>SUMPRODUCT((DAT_CORRELACION!G$6:G$1005&lt;&gt;"")*(DAT_CORRELACION!G$6:G$1005&lt;&gt;"[FÓRMULA MANUAL]")*1)</f>
        <v>0</v>
      </c>
      <c r="F8" t="str">
        <f t="shared" si="0"/>
        <v/>
      </c>
    </row>
    <row r="9" spans="1:9" x14ac:dyDescent="0.2">
      <c r="A9" t="s">
        <v>79</v>
      </c>
      <c r="B9" t="s">
        <v>9</v>
      </c>
      <c r="C9" t="s">
        <v>53</v>
      </c>
      <c r="D9" s="10" t="str">
        <f>IFERROR(CORREL(DAT_CORRELACION!H$6:H$1005,DAT_CORRELACION!J$6:J$1005),"")</f>
        <v/>
      </c>
      <c r="E9">
        <f>SUMPRODUCT((DAT_CORRELACION!G$6:G$1005&lt;&gt;"")*(DAT_CORRELACION!G$6:G$1005&lt;&gt;"[FÓRMULA MANUAL]")*1)</f>
        <v>0</v>
      </c>
      <c r="F9" t="str">
        <f t="shared" si="0"/>
        <v/>
      </c>
    </row>
    <row r="10" spans="1:9" x14ac:dyDescent="0.2">
      <c r="A10" t="s">
        <v>79</v>
      </c>
      <c r="B10" t="s">
        <v>9</v>
      </c>
      <c r="C10" t="s">
        <v>25</v>
      </c>
      <c r="D10" s="10" t="str">
        <f>IFERROR(CORREL(DAT_CORRELACION!H$6:H$1005,DAT_CORRELACION!K$6:K$1005),"")</f>
        <v/>
      </c>
      <c r="E10">
        <f>SUMPRODUCT((DAT_CORRELACION!G$6:G$1005&lt;&gt;"")*(DAT_CORRELACION!G$6:G$1005&lt;&gt;"[FÓRMULA MANUAL]")*1)</f>
        <v>0</v>
      </c>
      <c r="F10" t="str">
        <f t="shared" si="0"/>
        <v/>
      </c>
    </row>
    <row r="11" spans="1:9" x14ac:dyDescent="0.2">
      <c r="A11" t="s">
        <v>79</v>
      </c>
      <c r="B11" t="s">
        <v>22</v>
      </c>
      <c r="C11" t="s">
        <v>53</v>
      </c>
      <c r="D11" s="10" t="str">
        <f>IFERROR(CORREL(DAT_CORRELACION!I$6:I$1005,DAT_CORRELACION!J$6:J$1005),"")</f>
        <v/>
      </c>
      <c r="E11">
        <f>SUMPRODUCT((DAT_CORRELACION!G$6:G$1005&lt;&gt;"")*(DAT_CORRELACION!G$6:G$1005&lt;&gt;"[FÓRMULA MANUAL]")*1)</f>
        <v>0</v>
      </c>
      <c r="F11" t="str">
        <f t="shared" si="0"/>
        <v/>
      </c>
    </row>
    <row r="12" spans="1:9" x14ac:dyDescent="0.2">
      <c r="A12" t="s">
        <v>79</v>
      </c>
      <c r="B12" t="s">
        <v>22</v>
      </c>
      <c r="C12" t="s">
        <v>25</v>
      </c>
      <c r="D12" s="10" t="str">
        <f>IFERROR(CORREL(DAT_CORRELACION!I$6:I$1005,DAT_CORRELACION!K$6:K$1005),"")</f>
        <v/>
      </c>
      <c r="E12">
        <f>SUMPRODUCT((DAT_CORRELACION!G$6:G$1005&lt;&gt;"")*(DAT_CORRELACION!G$6:G$1005&lt;&gt;"[FÓRMULA MANUAL]")*1)</f>
        <v>0</v>
      </c>
      <c r="F12" t="str">
        <f t="shared" si="0"/>
        <v/>
      </c>
    </row>
    <row r="13" spans="1:9" x14ac:dyDescent="0.2">
      <c r="A13" t="s">
        <v>79</v>
      </c>
      <c r="B13" t="s">
        <v>53</v>
      </c>
      <c r="C13" t="s">
        <v>25</v>
      </c>
      <c r="D13" s="10" t="str">
        <f>IFERROR(CORREL(DAT_CORRELACION!J$6:J$1005,DAT_CORRELACION!K$6:K$1005),"")</f>
        <v/>
      </c>
      <c r="E13">
        <f>SUMPRODUCT((DAT_CORRELACION!G$6:G$1005&lt;&gt;"")*(DAT_CORRELACION!G$6:G$1005&lt;&gt;"[FÓRMULA MANUAL]")*1)</f>
        <v>0</v>
      </c>
      <c r="F13" t="str">
        <f t="shared" si="0"/>
        <v/>
      </c>
    </row>
    <row r="14" spans="1:9" x14ac:dyDescent="0.2">
      <c r="A14" t="s">
        <v>80</v>
      </c>
      <c r="B14" t="s">
        <v>15</v>
      </c>
      <c r="C14" t="s">
        <v>22</v>
      </c>
      <c r="D14" s="10" t="str">
        <f>IFERROR(CORREL(DAT_CORRELACION!N$6:N$1005,DAT_CORRELACION!O$6:O$1005),"")</f>
        <v/>
      </c>
      <c r="E14">
        <f>SUMPRODUCT((DAT_CORRELACION!M$6:M$1005&lt;&gt;"")*(DAT_CORRELACION!M$6:M$1005&lt;&gt;"[FÓRMULA MANUAL]")*1)</f>
        <v>0</v>
      </c>
      <c r="F14" t="str">
        <f t="shared" si="0"/>
        <v/>
      </c>
    </row>
    <row r="15" spans="1:9" x14ac:dyDescent="0.2">
      <c r="A15" t="s">
        <v>80</v>
      </c>
      <c r="B15" t="s">
        <v>15</v>
      </c>
      <c r="C15" t="s">
        <v>19</v>
      </c>
      <c r="D15" s="10" t="str">
        <f>IFERROR(CORREL(DAT_CORRELACION!N$6:N$1005,DAT_CORRELACION!P$6:P$1005),"")</f>
        <v/>
      </c>
      <c r="E15">
        <f>SUMPRODUCT((DAT_CORRELACION!M$6:M$1005&lt;&gt;"")*(DAT_CORRELACION!M$6:M$1005&lt;&gt;"[FÓRMULA MANUAL]")*1)</f>
        <v>0</v>
      </c>
      <c r="F15" t="str">
        <f t="shared" si="0"/>
        <v/>
      </c>
    </row>
    <row r="16" spans="1:9" x14ac:dyDescent="0.2">
      <c r="A16" t="s">
        <v>80</v>
      </c>
      <c r="B16" t="s">
        <v>15</v>
      </c>
      <c r="C16" t="s">
        <v>25</v>
      </c>
      <c r="D16" s="10" t="str">
        <f>IFERROR(CORREL(DAT_CORRELACION!N$6:N$1005,DAT_CORRELACION!Q$6:Q$1005),"")</f>
        <v/>
      </c>
      <c r="E16">
        <f>SUMPRODUCT((DAT_CORRELACION!M$6:M$1005&lt;&gt;"")*(DAT_CORRELACION!M$6:M$1005&lt;&gt;"[FÓRMULA MANUAL]")*1)</f>
        <v>0</v>
      </c>
      <c r="F16" t="str">
        <f t="shared" si="0"/>
        <v/>
      </c>
    </row>
    <row r="17" spans="1:6" x14ac:dyDescent="0.2">
      <c r="A17" t="s">
        <v>80</v>
      </c>
      <c r="B17" t="s">
        <v>22</v>
      </c>
      <c r="C17" t="s">
        <v>19</v>
      </c>
      <c r="D17" s="10" t="str">
        <f>IFERROR(CORREL(DAT_CORRELACION!O$6:O$1005,DAT_CORRELACION!P$6:P$1005),"")</f>
        <v/>
      </c>
      <c r="E17">
        <f>SUMPRODUCT((DAT_CORRELACION!M$6:M$1005&lt;&gt;"")*(DAT_CORRELACION!M$6:M$1005&lt;&gt;"[FÓRMULA MANUAL]")*1)</f>
        <v>0</v>
      </c>
      <c r="F17" t="str">
        <f t="shared" si="0"/>
        <v/>
      </c>
    </row>
    <row r="18" spans="1:6" x14ac:dyDescent="0.2">
      <c r="A18" t="s">
        <v>80</v>
      </c>
      <c r="B18" t="s">
        <v>22</v>
      </c>
      <c r="C18" t="s">
        <v>25</v>
      </c>
      <c r="D18" s="10" t="str">
        <f>IFERROR(CORREL(DAT_CORRELACION!O$6:O$1005,DAT_CORRELACION!Q$6:Q$1005),"")</f>
        <v/>
      </c>
      <c r="E18">
        <f>SUMPRODUCT((DAT_CORRELACION!M$6:M$1005&lt;&gt;"")*(DAT_CORRELACION!M$6:M$1005&lt;&gt;"[FÓRMULA MANUAL]")*1)</f>
        <v>0</v>
      </c>
      <c r="F18" t="str">
        <f t="shared" si="0"/>
        <v/>
      </c>
    </row>
    <row r="19" spans="1:6" x14ac:dyDescent="0.2">
      <c r="A19" t="s">
        <v>80</v>
      </c>
      <c r="B19" t="s">
        <v>19</v>
      </c>
      <c r="C19" t="s">
        <v>25</v>
      </c>
      <c r="D19" s="10" t="str">
        <f>IFERROR(CORREL(DAT_CORRELACION!P$6:P$1005,DAT_CORRELACION!Q$6:Q$1005),"")</f>
        <v/>
      </c>
      <c r="E19">
        <f>SUMPRODUCT((DAT_CORRELACION!M$6:M$1005&lt;&gt;"")*(DAT_CORRELACION!M$6:M$1005&lt;&gt;"[FÓRMULA MANUAL]")*1)</f>
        <v>0</v>
      </c>
      <c r="F19" t="str">
        <f t="shared" si="0"/>
        <v/>
      </c>
    </row>
    <row r="20" spans="1:6" x14ac:dyDescent="0.2">
      <c r="A20" t="s">
        <v>81</v>
      </c>
      <c r="B20" t="s">
        <v>15</v>
      </c>
      <c r="C20" t="s">
        <v>22</v>
      </c>
      <c r="D20" s="10" t="str">
        <f>IFERROR(CORREL(DAT_CORRELACION!T$6:T$1005,DAT_CORRELACION!U$6:U$1005),"")</f>
        <v/>
      </c>
      <c r="E20">
        <f>SUMPRODUCT((DAT_CORRELACION!S$6:S$1005&lt;&gt;"")*(DAT_CORRELACION!S$6:S$1005&lt;&gt;"[FÓRMULA MANUAL]")*1)</f>
        <v>0</v>
      </c>
      <c r="F20" t="str">
        <f t="shared" si="0"/>
        <v/>
      </c>
    </row>
    <row r="21" spans="1:6" x14ac:dyDescent="0.2">
      <c r="A21" t="s">
        <v>81</v>
      </c>
      <c r="B21" t="s">
        <v>15</v>
      </c>
      <c r="C21" t="s">
        <v>19</v>
      </c>
      <c r="D21" s="10" t="str">
        <f>IFERROR(CORREL(DAT_CORRELACION!T$6:T$1005,DAT_CORRELACION!V$6:V$1005),"")</f>
        <v/>
      </c>
      <c r="E21">
        <f>SUMPRODUCT((DAT_CORRELACION!S$6:S$1005&lt;&gt;"")*(DAT_CORRELACION!S$6:S$1005&lt;&gt;"[FÓRMULA MANUAL]")*1)</f>
        <v>0</v>
      </c>
      <c r="F21" t="str">
        <f t="shared" si="0"/>
        <v/>
      </c>
    </row>
    <row r="22" spans="1:6" x14ac:dyDescent="0.2">
      <c r="A22" t="s">
        <v>81</v>
      </c>
      <c r="B22" t="s">
        <v>15</v>
      </c>
      <c r="C22" t="s">
        <v>25</v>
      </c>
      <c r="D22" s="10" t="str">
        <f>IFERROR(CORREL(DAT_CORRELACION!T$6:T$1005,DAT_CORRELACION!W$6:W$1005),"")</f>
        <v/>
      </c>
      <c r="E22">
        <f>SUMPRODUCT((DAT_CORRELACION!S$6:S$1005&lt;&gt;"")*(DAT_CORRELACION!S$6:S$1005&lt;&gt;"[FÓRMULA MANUAL]")*1)</f>
        <v>0</v>
      </c>
      <c r="F22" t="str">
        <f t="shared" si="0"/>
        <v/>
      </c>
    </row>
    <row r="23" spans="1:6" x14ac:dyDescent="0.2">
      <c r="A23" t="s">
        <v>81</v>
      </c>
      <c r="B23" t="s">
        <v>22</v>
      </c>
      <c r="C23" t="s">
        <v>19</v>
      </c>
      <c r="D23" s="10" t="str">
        <f>IFERROR(CORREL(DAT_CORRELACION!U$6:U$1005,DAT_CORRELACION!V$6:V$1005),"")</f>
        <v/>
      </c>
      <c r="E23">
        <f>SUMPRODUCT((DAT_CORRELACION!S$6:S$1005&lt;&gt;"")*(DAT_CORRELACION!S$6:S$1005&lt;&gt;"[FÓRMULA MANUAL]")*1)</f>
        <v>0</v>
      </c>
      <c r="F23" t="str">
        <f t="shared" si="0"/>
        <v/>
      </c>
    </row>
    <row r="24" spans="1:6" x14ac:dyDescent="0.2">
      <c r="A24" t="s">
        <v>81</v>
      </c>
      <c r="B24" t="s">
        <v>22</v>
      </c>
      <c r="C24" t="s">
        <v>25</v>
      </c>
      <c r="D24" s="10" t="str">
        <f>IFERROR(CORREL(DAT_CORRELACION!U$6:U$1005,DAT_CORRELACION!W$6:W$1005),"")</f>
        <v/>
      </c>
      <c r="E24">
        <f>SUMPRODUCT((DAT_CORRELACION!S$6:S$1005&lt;&gt;"")*(DAT_CORRELACION!S$6:S$1005&lt;&gt;"[FÓRMULA MANUAL]")*1)</f>
        <v>0</v>
      </c>
      <c r="F24" t="str">
        <f t="shared" si="0"/>
        <v/>
      </c>
    </row>
    <row r="25" spans="1:6" x14ac:dyDescent="0.2">
      <c r="A25" t="s">
        <v>81</v>
      </c>
      <c r="B25" t="s">
        <v>19</v>
      </c>
      <c r="C25" t="s">
        <v>25</v>
      </c>
      <c r="D25" s="10" t="str">
        <f>IFERROR(CORREL(DAT_CORRELACION!V$6:V$1005,DAT_CORRELACION!W$6:W$1005),"")</f>
        <v/>
      </c>
      <c r="E25">
        <f>SUMPRODUCT((DAT_CORRELACION!S$6:S$1005&lt;&gt;"")*(DAT_CORRELACION!S$6:S$1005&lt;&gt;"[FÓRMULA MANUAL]")*1)</f>
        <v>0</v>
      </c>
      <c r="F25" t="str">
        <f t="shared" si="0"/>
        <v/>
      </c>
    </row>
    <row r="26" spans="1:6" x14ac:dyDescent="0.2">
      <c r="A26" t="s">
        <v>82</v>
      </c>
      <c r="B26" t="s">
        <v>17</v>
      </c>
      <c r="C26" t="s">
        <v>22</v>
      </c>
      <c r="D26" s="10" t="str">
        <f>IFERROR(CORREL(DAT_CORRELACION!Z$6:Z$1005,DAT_CORRELACION!AA$6:AA$1005),"")</f>
        <v/>
      </c>
      <c r="E26">
        <f>SUMPRODUCT((DAT_CORRELACION!Y$6:Y$1005&lt;&gt;"")*(DAT_CORRELACION!Y$6:Y$1005&lt;&gt;"[FÓRMULA MANUAL]")*1)</f>
        <v>0</v>
      </c>
      <c r="F26" t="str">
        <f t="shared" si="0"/>
        <v/>
      </c>
    </row>
    <row r="27" spans="1:6" x14ac:dyDescent="0.2">
      <c r="A27" t="s">
        <v>82</v>
      </c>
      <c r="B27" t="s">
        <v>17</v>
      </c>
      <c r="C27" t="s">
        <v>19</v>
      </c>
      <c r="D27" s="10" t="str">
        <f>IFERROR(CORREL(DAT_CORRELACION!Z$6:Z$1005,DAT_CORRELACION!AB$6:AB$1005),"")</f>
        <v/>
      </c>
      <c r="E27">
        <f>SUMPRODUCT((DAT_CORRELACION!Y$6:Y$1005&lt;&gt;"")*(DAT_CORRELACION!Y$6:Y$1005&lt;&gt;"[FÓRMULA MANUAL]")*1)</f>
        <v>0</v>
      </c>
      <c r="F27" t="str">
        <f t="shared" si="0"/>
        <v/>
      </c>
    </row>
    <row r="28" spans="1:6" x14ac:dyDescent="0.2">
      <c r="A28" t="s">
        <v>82</v>
      </c>
      <c r="B28" t="s">
        <v>17</v>
      </c>
      <c r="C28" t="s">
        <v>25</v>
      </c>
      <c r="D28" s="10" t="str">
        <f>IFERROR(CORREL(DAT_CORRELACION!Z$6:Z$1005,DAT_CORRELACION!AC$6:AC$1005),"")</f>
        <v/>
      </c>
      <c r="E28">
        <f>SUMPRODUCT((DAT_CORRELACION!Y$6:Y$1005&lt;&gt;"")*(DAT_CORRELACION!Y$6:Y$1005&lt;&gt;"[FÓRMULA MANUAL]")*1)</f>
        <v>0</v>
      </c>
      <c r="F28" t="str">
        <f t="shared" si="0"/>
        <v/>
      </c>
    </row>
    <row r="29" spans="1:6" x14ac:dyDescent="0.2">
      <c r="A29" t="s">
        <v>82</v>
      </c>
      <c r="B29" t="s">
        <v>22</v>
      </c>
      <c r="C29" t="s">
        <v>19</v>
      </c>
      <c r="D29" s="10" t="str">
        <f>IFERROR(CORREL(DAT_CORRELACION!AA$6:AA$1005,DAT_CORRELACION!AB$6:AB$1005),"")</f>
        <v/>
      </c>
      <c r="E29">
        <f>SUMPRODUCT((DAT_CORRELACION!Y$6:Y$1005&lt;&gt;"")*(DAT_CORRELACION!Y$6:Y$1005&lt;&gt;"[FÓRMULA MANUAL]")*1)</f>
        <v>0</v>
      </c>
      <c r="F29" t="str">
        <f t="shared" si="0"/>
        <v/>
      </c>
    </row>
    <row r="30" spans="1:6" x14ac:dyDescent="0.2">
      <c r="A30" t="s">
        <v>82</v>
      </c>
      <c r="B30" t="s">
        <v>22</v>
      </c>
      <c r="C30" t="s">
        <v>25</v>
      </c>
      <c r="D30" s="10" t="str">
        <f>IFERROR(CORREL(DAT_CORRELACION!AA$6:AA$1005,DAT_CORRELACION!AC$6:AC$1005),"")</f>
        <v/>
      </c>
      <c r="E30">
        <f>SUMPRODUCT((DAT_CORRELACION!Y$6:Y$1005&lt;&gt;"")*(DAT_CORRELACION!Y$6:Y$1005&lt;&gt;"[FÓRMULA MANUAL]")*1)</f>
        <v>0</v>
      </c>
      <c r="F30" t="str">
        <f t="shared" si="0"/>
        <v/>
      </c>
    </row>
    <row r="31" spans="1:6" x14ac:dyDescent="0.2">
      <c r="A31" t="s">
        <v>82</v>
      </c>
      <c r="B31" t="s">
        <v>19</v>
      </c>
      <c r="C31" t="s">
        <v>25</v>
      </c>
      <c r="D31" s="10" t="str">
        <f>IFERROR(CORREL(DAT_CORRELACION!AB$6:AB$1005,DAT_CORRELACION!AC$6:AC$1005),"")</f>
        <v/>
      </c>
      <c r="E31">
        <f>SUMPRODUCT((DAT_CORRELACION!Y$6:Y$1005&lt;&gt;"")*(DAT_CORRELACION!Y$6:Y$1005&lt;&gt;"[FÓRMULA MANUAL]")*1)</f>
        <v>0</v>
      </c>
      <c r="F31" t="str">
        <f t="shared" si="0"/>
        <v/>
      </c>
    </row>
    <row r="32" spans="1:6" x14ac:dyDescent="0.2">
      <c r="A32" t="s">
        <v>83</v>
      </c>
      <c r="B32" t="s">
        <v>17</v>
      </c>
      <c r="C32" t="s">
        <v>22</v>
      </c>
      <c r="D32" s="10" t="str">
        <f>IFERROR(CORREL(DAT_CORRELACION!AF$6:AF$1005,DAT_CORRELACION!AG$6:AG$1005),"")</f>
        <v/>
      </c>
      <c r="E32">
        <f>SUMPRODUCT((DAT_CORRELACION!AE$6:AE$1005&lt;&gt;"")*(DAT_CORRELACION!AE$6:AE$1005&lt;&gt;"[FÓRMULA MANUAL]")*1)</f>
        <v>0</v>
      </c>
      <c r="F32" t="str">
        <f t="shared" si="0"/>
        <v/>
      </c>
    </row>
    <row r="33" spans="1:6" x14ac:dyDescent="0.2">
      <c r="A33" t="s">
        <v>83</v>
      </c>
      <c r="B33" t="s">
        <v>17</v>
      </c>
      <c r="C33" t="s">
        <v>19</v>
      </c>
      <c r="D33" s="10" t="str">
        <f>IFERROR(CORREL(DAT_CORRELACION!AF$6:AF$1005,DAT_CORRELACION!AH$6:AH$1005),"")</f>
        <v/>
      </c>
      <c r="E33">
        <f>SUMPRODUCT((DAT_CORRELACION!AE$6:AE$1005&lt;&gt;"")*(DAT_CORRELACION!AE$6:AE$1005&lt;&gt;"[FÓRMULA MANUAL]")*1)</f>
        <v>0</v>
      </c>
      <c r="F33" t="str">
        <f t="shared" si="0"/>
        <v/>
      </c>
    </row>
    <row r="34" spans="1:6" x14ac:dyDescent="0.2">
      <c r="A34" t="s">
        <v>83</v>
      </c>
      <c r="B34" t="s">
        <v>17</v>
      </c>
      <c r="C34" t="s">
        <v>25</v>
      </c>
      <c r="D34" s="10" t="str">
        <f>IFERROR(CORREL(DAT_CORRELACION!AF$6:AF$1005,DAT_CORRELACION!AI$6:AI$1005),"")</f>
        <v/>
      </c>
      <c r="E34">
        <f>SUMPRODUCT((DAT_CORRELACION!AE$6:AE$1005&lt;&gt;"")*(DAT_CORRELACION!AE$6:AE$1005&lt;&gt;"[FÓRMULA MANUAL]")*1)</f>
        <v>0</v>
      </c>
      <c r="F34" t="str">
        <f t="shared" si="0"/>
        <v/>
      </c>
    </row>
    <row r="35" spans="1:6" x14ac:dyDescent="0.2">
      <c r="A35" t="s">
        <v>83</v>
      </c>
      <c r="B35" t="s">
        <v>22</v>
      </c>
      <c r="C35" t="s">
        <v>19</v>
      </c>
      <c r="D35" s="10" t="str">
        <f>IFERROR(CORREL(DAT_CORRELACION!AG$6:AG$1005,DAT_CORRELACION!AH$6:AH$1005),"")</f>
        <v/>
      </c>
      <c r="E35">
        <f>SUMPRODUCT((DAT_CORRELACION!AE$6:AE$1005&lt;&gt;"")*(DAT_CORRELACION!AE$6:AE$1005&lt;&gt;"[FÓRMULA MANUAL]")*1)</f>
        <v>0</v>
      </c>
      <c r="F35" t="str">
        <f t="shared" si="0"/>
        <v/>
      </c>
    </row>
    <row r="36" spans="1:6" x14ac:dyDescent="0.2">
      <c r="A36" t="s">
        <v>83</v>
      </c>
      <c r="B36" t="s">
        <v>22</v>
      </c>
      <c r="C36" t="s">
        <v>25</v>
      </c>
      <c r="D36" s="10" t="str">
        <f>IFERROR(CORREL(DAT_CORRELACION!AG$6:AG$1005,DAT_CORRELACION!AI$6:AI$1005),"")</f>
        <v/>
      </c>
      <c r="E36">
        <f>SUMPRODUCT((DAT_CORRELACION!AE$6:AE$1005&lt;&gt;"")*(DAT_CORRELACION!AE$6:AE$1005&lt;&gt;"[FÓRMULA MANUAL]")*1)</f>
        <v>0</v>
      </c>
      <c r="F36" t="str">
        <f t="shared" si="0"/>
        <v/>
      </c>
    </row>
    <row r="37" spans="1:6" x14ac:dyDescent="0.2">
      <c r="A37" t="s">
        <v>83</v>
      </c>
      <c r="B37" t="s">
        <v>19</v>
      </c>
      <c r="C37" t="s">
        <v>25</v>
      </c>
      <c r="D37" s="10" t="str">
        <f>IFERROR(CORREL(DAT_CORRELACION!AH$6:AH$1005,DAT_CORRELACION!AI$6:AI$1005),"")</f>
        <v/>
      </c>
      <c r="E37">
        <f>SUMPRODUCT((DAT_CORRELACION!AE$6:AE$1005&lt;&gt;"")*(DAT_CORRELACION!AE$6:AE$1005&lt;&gt;"[FÓRMULA MANUAL]")*1)</f>
        <v>0</v>
      </c>
      <c r="F37" t="str">
        <f t="shared" si="0"/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X586"/>
  <sheetViews>
    <sheetView workbookViewId="0">
      <selection activeCell="G301" sqref="G301"/>
    </sheetView>
  </sheetViews>
  <sheetFormatPr baseColWidth="10" defaultColWidth="8.83203125" defaultRowHeight="15" x14ac:dyDescent="0.2"/>
  <cols>
    <col min="1" max="1" width="12" customWidth="1"/>
    <col min="2" max="2" width="32.33203125" customWidth="1"/>
    <col min="3" max="3" width="25" customWidth="1"/>
    <col min="4" max="6" width="10" customWidth="1"/>
    <col min="7" max="7" width="8" customWidth="1"/>
    <col min="8" max="11" width="12" customWidth="1"/>
    <col min="12" max="21" width="6" customWidth="1"/>
  </cols>
  <sheetData>
    <row r="1">
      <c r="A1" t="inlineStr">
        <is>
          <t xml:space="preserve">#METADATA</t>
        </is>
      </c>
    </row>
    <row r="2">
      <c r="A2" t="inlineStr">
        <is>
          <t xml:space="preserve">Campo</t>
        </is>
      </c>
      <c r="B2" t="inlineStr">
        <is>
          <t xml:space="preserve">Valor</t>
        </is>
      </c>
    </row>
    <row r="3">
      <c r="A3" t="inlineStr">
        <is>
          <t xml:space="preserve">Centro</t>
        </is>
      </c>
      <c r="B3">
        <f>CONFIG_METADATA!B2</f>
      </c>
    </row>
    <row r="4">
      <c r="A4" t="inlineStr">
        <is>
          <t xml:space="preserve">CursoAcademico</t>
        </is>
      </c>
      <c r="B4">
        <f>CONFIG_METADATA!B3</f>
      </c>
    </row>
    <row r="5">
      <c r="A5" t="inlineStr">
        <is>
          <t xml:space="preserve">Trimestre</t>
        </is>
      </c>
      <c r="B5">
        <f>CONFIG_METADATA!B4</f>
      </c>
    </row>
    <row r="6">
      <c r="A6" t="inlineStr">
        <is>
          <t xml:space="preserve">ExtraordinariaSinOrdinaria</t>
        </is>
      </c>
      <c r="B6">
        <f>CONFIG_METADATA!B6</f>
      </c>
    </row>
    <row r="7">
      <c r="A7" t="inlineStr">
        <is>
          <t xml:space="preserve">FilasConDatos</t>
        </is>
      </c>
      <c r="B7">
        <f>CONFIG_METADATA!B8</f>
      </c>
    </row>
    <row r="8">
      <c r="A8" t="inlineStr">
        <is>
          <t xml:space="preserve">DobleEspecialidad</t>
        </is>
      </c>
      <c r="B8">
        <f>CONFIG_METADATA!B9</f>
      </c>
    </row>
    <row r="9">
      <c r="A9" t="inlineStr">
        <is>
          <t xml:space="preserve">FueraDeLasCifras</t>
        </is>
      </c>
      <c r="B9">
        <f>CONFIG_METADATA!B10</f>
      </c>
    </row>
    <row r="11">
      <c r="A11" t="inlineStr">
        <is>
          <t xml:space="preserve">#ESTADISTICAS</t>
        </is>
      </c>
    </row>
    <row r="12" spans="1:21" x14ac:dyDescent="0.2">
      <c r="A12" s="2" t="s">
        <v>150</v>
      </c>
      <c r="B12" s="2" t="s">
        <v>96</v>
      </c>
      <c r="C12" s="2" t="s">
        <v>2</v>
      </c>
      <c r="D12" s="2" t="s">
        <v>98</v>
      </c>
      <c r="E12" s="2" t="s">
        <v>99</v>
      </c>
      <c r="F12" s="2" t="s">
        <v>100</v>
      </c>
      <c r="G12" s="2" t="s">
        <v>101</v>
      </c>
      <c r="H12" s="2" t="s">
        <v>102</v>
      </c>
      <c r="I12" s="2" t="s">
        <v>103</v>
      </c>
      <c r="J12" s="2" t="s">
        <v>104</v>
      </c>
      <c r="K12" s="2" t="s">
        <v>105</v>
      </c>
      <c r="L12" s="2" t="s">
        <v>106</v>
      </c>
      <c r="M12" s="2" t="s">
        <v>107</v>
      </c>
      <c r="N12" s="2" t="s">
        <v>108</v>
      </c>
      <c r="O12" s="2" t="s">
        <v>109</v>
      </c>
      <c r="P12" s="2" t="s">
        <v>110</v>
      </c>
      <c r="Q12" s="2" t="s">
        <v>111</v>
      </c>
      <c r="R12" s="2" t="s">
        <v>112</v>
      </c>
      <c r="S12" s="2" t="s">
        <v>113</v>
      </c>
      <c r="T12" s="2" t="s">
        <v>114</v>
      </c>
      <c r="U12" s="2" t="s">
        <v>115</v>
      </c>
    </row>
    <row r="13">
      <c r="A13" t="str">
        <f>IF(CALC_EPM!$B2="","",IF(CALC_EPM!A2="GLOBAL",IF(CALC_EPM!C2="Total","GLOBAL",IF(CALC_EPM!C2="TotalEsp","GLOBAL_ESP",IF(CALC_EPM!C2="TotalNoEsp","GLOBAL_NOESP","GLOBAL_ASIG"))),IF(CALC_EPM!C2="Total","CURSO_TOTAL",IF(CALC_EPM!C2="TotalEsp","CURSO_ESP",IF(CALC_EPM!C2="TotalNoEsp","CURSO_NOESP","CURSO_ASIG")))))</f>
      </c>
      <c r="B13" t="str">
        <f>IF(CALC_EPM!$B2="","",CALC_EPM!A2)</f>
      </c>
      <c r="C13" t="str">
        <f>IF(CALC_EPM!$B2="","",CALC_EPM!B2)</f>
      </c>
      <c r="D13">
        <f>IF(CALC_EPM!$B2="","",CALC_EPM!D2)</f>
      </c>
      <c r="E13" s="10" t="str">
        <f>IF(CALC_EPM!$B2="","",CALC_EPM!E2)</f>
      </c>
      <c r="F13" s="10" t="str">
        <f>IF(CALC_EPM!$B2="","",CALC_EPM!F2)</f>
      </c>
      <c r="G13" t="str">
        <f>IF(CALC_EPM!$B2="","",CALC_EPM!G2)</f>
      </c>
      <c r="H13" s="11" t="str">
        <f>IF(CALC_EPM!$B2="","",CALC_EPM!H2)</f>
      </c>
      <c r="I13" s="11" t="str">
        <f>IF(CALC_EPM!$B2="","",CALC_EPM!I2)</f>
      </c>
      <c r="J13" t="str">
        <f>IF(CALC_EPM!$B2="","",CALC_EPM!J2)</f>
      </c>
      <c r="K13" t="str">
        <f>IF(CALC_EPM!$B2="","",CALC_EPM!K2)</f>
      </c>
      <c r="L13">
        <f>IF(CALC_EPM!$B2="","",CALC_EPM!L2)</f>
      </c>
      <c r="M13">
        <f>IF(CALC_EPM!$B2="","",CALC_EPM!M2)</f>
      </c>
      <c r="N13">
        <f>IF(CALC_EPM!$B2="","",CALC_EPM!N2)</f>
      </c>
      <c r="O13">
        <f>IF(CALC_EPM!$B2="","",CALC_EPM!O2)</f>
      </c>
      <c r="P13">
        <f>IF(CALC_EPM!$B2="","",CALC_EPM!P2)</f>
      </c>
      <c r="Q13">
        <f>IF(CALC_EPM!$B2="","",CALC_EPM!Q2)</f>
      </c>
      <c r="R13">
        <f>IF(CALC_EPM!$B2="","",CALC_EPM!R2)</f>
      </c>
      <c r="S13">
        <f>IF(CALC_EPM!$B2="","",CALC_EPM!S2)</f>
      </c>
      <c r="T13">
        <f>IF(CALC_EPM!$B2="","",CALC_EPM!T2)</f>
      </c>
      <c r="U13">
        <f>IF(CALC_EPM!$B2="","",CALC_EPM!U2)</f>
      </c>
    </row>
    <row r="14">
      <c r="A14" t="str">
        <f>IF(CALC_EPM!$B3="","",IF(CALC_EPM!A3="GLOBAL",IF(CALC_EPM!C3="Total","GLOBAL",IF(CALC_EPM!C3="TotalEsp","GLOBAL_ESP",IF(CALC_EPM!C3="TotalNoEsp","GLOBAL_NOESP","GLOBAL_ASIG"))),IF(CALC_EPM!C3="Total","CURSO_TOTAL",IF(CALC_EPM!C3="TotalEsp","CURSO_ESP",IF(CALC_EPM!C3="TotalNoEsp","CURSO_NOESP","CURSO_ASIG")))))</f>
      </c>
      <c r="B14" t="str">
        <f>IF(CALC_EPM!$B3="","",CALC_EPM!A3)</f>
      </c>
      <c r="C14" t="str">
        <f>IF(CALC_EPM!$B3="","",CALC_EPM!B3)</f>
      </c>
      <c r="D14">
        <f>IF(CALC_EPM!$B3="","",CALC_EPM!D3)</f>
      </c>
      <c r="E14" s="10" t="str">
        <f>IF(CALC_EPM!$B3="","",CALC_EPM!E3)</f>
      </c>
      <c r="F14" s="10" t="str">
        <f>IF(CALC_EPM!$B3="","",CALC_EPM!F3)</f>
      </c>
      <c r="G14" t="str">
        <f>IF(CALC_EPM!$B3="","",CALC_EPM!G3)</f>
      </c>
      <c r="H14" s="11" t="str">
        <f>IF(CALC_EPM!$B3="","",CALC_EPM!H3)</f>
      </c>
      <c r="I14" s="11" t="str">
        <f>IF(CALC_EPM!$B3="","",CALC_EPM!I3)</f>
      </c>
      <c r="J14" t="str">
        <f>IF(CALC_EPM!$B3="","",CALC_EPM!J3)</f>
      </c>
      <c r="K14" t="str">
        <f>IF(CALC_EPM!$B3="","",CALC_EPM!K3)</f>
      </c>
      <c r="L14">
        <f>IF(CALC_EPM!$B3="","",CALC_EPM!L3)</f>
      </c>
      <c r="M14">
        <f>IF(CALC_EPM!$B3="","",CALC_EPM!M3)</f>
      </c>
      <c r="N14">
        <f>IF(CALC_EPM!$B3="","",CALC_EPM!N3)</f>
      </c>
      <c r="O14">
        <f>IF(CALC_EPM!$B3="","",CALC_EPM!O3)</f>
      </c>
      <c r="P14">
        <f>IF(CALC_EPM!$B3="","",CALC_EPM!P3)</f>
      </c>
      <c r="Q14">
        <f>IF(CALC_EPM!$B3="","",CALC_EPM!Q3)</f>
      </c>
      <c r="R14">
        <f>IF(CALC_EPM!$B3="","",CALC_EPM!R3)</f>
      </c>
      <c r="S14">
        <f>IF(CALC_EPM!$B3="","",CALC_EPM!S3)</f>
      </c>
      <c r="T14">
        <f>IF(CALC_EPM!$B3="","",CALC_EPM!T3)</f>
      </c>
      <c r="U14">
        <f>IF(CALC_EPM!$B3="","",CALC_EPM!U3)</f>
      </c>
    </row>
    <row r="15">
      <c r="A15" t="str">
        <f>IF(CALC_EPM!$B4="","",IF(CALC_EPM!A4="GLOBAL",IF(CALC_EPM!C4="Total","GLOBAL",IF(CALC_EPM!C4="TotalEsp","GLOBAL_ESP",IF(CALC_EPM!C4="TotalNoEsp","GLOBAL_NOESP","GLOBAL_ASIG"))),IF(CALC_EPM!C4="Total","CURSO_TOTAL",IF(CALC_EPM!C4="TotalEsp","CURSO_ESP",IF(CALC_EPM!C4="TotalNoEsp","CURSO_NOESP","CURSO_ASIG")))))</f>
      </c>
      <c r="B15" t="str">
        <f>IF(CALC_EPM!$B4="","",CALC_EPM!A4)</f>
      </c>
      <c r="C15" t="str">
        <f>IF(CALC_EPM!$B4="","",CALC_EPM!B4)</f>
      </c>
      <c r="D15">
        <f>IF(CALC_EPM!$B4="","",CALC_EPM!D4)</f>
      </c>
      <c r="E15" s="10" t="str">
        <f>IF(CALC_EPM!$B4="","",CALC_EPM!E4)</f>
      </c>
      <c r="F15" s="10" t="str">
        <f>IF(CALC_EPM!$B4="","",CALC_EPM!F4)</f>
      </c>
      <c r="G15" t="str">
        <f>IF(CALC_EPM!$B4="","",CALC_EPM!G4)</f>
      </c>
      <c r="H15" s="11" t="str">
        <f>IF(CALC_EPM!$B4="","",CALC_EPM!H4)</f>
      </c>
      <c r="I15" s="11" t="str">
        <f>IF(CALC_EPM!$B4="","",CALC_EPM!I4)</f>
      </c>
      <c r="J15" t="str">
        <f>IF(CALC_EPM!$B4="","",CALC_EPM!J4)</f>
      </c>
      <c r="K15" t="str">
        <f>IF(CALC_EPM!$B4="","",CALC_EPM!K4)</f>
      </c>
      <c r="L15">
        <f>IF(CALC_EPM!$B4="","",CALC_EPM!L4)</f>
      </c>
      <c r="M15">
        <f>IF(CALC_EPM!$B4="","",CALC_EPM!M4)</f>
      </c>
      <c r="N15">
        <f>IF(CALC_EPM!$B4="","",CALC_EPM!N4)</f>
      </c>
      <c r="O15">
        <f>IF(CALC_EPM!$B4="","",CALC_EPM!O4)</f>
      </c>
      <c r="P15">
        <f>IF(CALC_EPM!$B4="","",CALC_EPM!P4)</f>
      </c>
      <c r="Q15">
        <f>IF(CALC_EPM!$B4="","",CALC_EPM!Q4)</f>
      </c>
      <c r="R15">
        <f>IF(CALC_EPM!$B4="","",CALC_EPM!R4)</f>
      </c>
      <c r="S15">
        <f>IF(CALC_EPM!$B4="","",CALC_EPM!S4)</f>
      </c>
      <c r="T15">
        <f>IF(CALC_EPM!$B4="","",CALC_EPM!T4)</f>
      </c>
      <c r="U15">
        <f>IF(CALC_EPM!$B4="","",CALC_EPM!U4)</f>
      </c>
    </row>
    <row r="16">
      <c r="A16" t="str">
        <f>IF(CALC_EPM!$B5="","",IF(CALC_EPM!A5="GLOBAL",IF(CALC_EPM!C5="Total","GLOBAL",IF(CALC_EPM!C5="TotalEsp","GLOBAL_ESP",IF(CALC_EPM!C5="TotalNoEsp","GLOBAL_NOESP","GLOBAL_ASIG"))),IF(CALC_EPM!C5="Total","CURSO_TOTAL",IF(CALC_EPM!C5="TotalEsp","CURSO_ESP",IF(CALC_EPM!C5="TotalNoEsp","CURSO_NOESP","CURSO_ASIG")))))</f>
      </c>
      <c r="B16" t="str">
        <f>IF(CALC_EPM!$B5="","",CALC_EPM!A5)</f>
      </c>
      <c r="C16" t="str">
        <f>IF(CALC_EPM!$B5="","",CALC_EPM!B5)</f>
      </c>
      <c r="D16">
        <f>IF(CALC_EPM!$B5="","",CALC_EPM!D5)</f>
      </c>
      <c r="E16" s="10" t="str">
        <f>IF(CALC_EPM!$B5="","",CALC_EPM!E5)</f>
      </c>
      <c r="F16" s="10" t="str">
        <f>IF(CALC_EPM!$B5="","",CALC_EPM!F5)</f>
      </c>
      <c r="G16" t="str">
        <f>IF(CALC_EPM!$B5="","",CALC_EPM!G5)</f>
      </c>
      <c r="H16" s="11" t="str">
        <f>IF(CALC_EPM!$B5="","",CALC_EPM!H5)</f>
      </c>
      <c r="I16" s="11" t="str">
        <f>IF(CALC_EPM!$B5="","",CALC_EPM!I5)</f>
      </c>
      <c r="J16" t="str">
        <f>IF(CALC_EPM!$B5="","",CALC_EPM!J5)</f>
      </c>
      <c r="K16" t="str">
        <f>IF(CALC_EPM!$B5="","",CALC_EPM!K5)</f>
      </c>
      <c r="L16">
        <f>IF(CALC_EPM!$B5="","",CALC_EPM!L5)</f>
      </c>
      <c r="M16">
        <f>IF(CALC_EPM!$B5="","",CALC_EPM!M5)</f>
      </c>
      <c r="N16">
        <f>IF(CALC_EPM!$B5="","",CALC_EPM!N5)</f>
      </c>
      <c r="O16">
        <f>IF(CALC_EPM!$B5="","",CALC_EPM!O5)</f>
      </c>
      <c r="P16">
        <f>IF(CALC_EPM!$B5="","",CALC_EPM!P5)</f>
      </c>
      <c r="Q16">
        <f>IF(CALC_EPM!$B5="","",CALC_EPM!Q5)</f>
      </c>
      <c r="R16">
        <f>IF(CALC_EPM!$B5="","",CALC_EPM!R5)</f>
      </c>
      <c r="S16">
        <f>IF(CALC_EPM!$B5="","",CALC_EPM!S5)</f>
      </c>
      <c r="T16">
        <f>IF(CALC_EPM!$B5="","",CALC_EPM!T5)</f>
      </c>
      <c r="U16">
        <f>IF(CALC_EPM!$B5="","",CALC_EPM!U5)</f>
      </c>
    </row>
    <row r="17">
      <c r="A17" t="str">
        <f>IF(CALC_EPM!$B6="","",IF(CALC_EPM!A6="GLOBAL",IF(CALC_EPM!C6="Total","GLOBAL",IF(CALC_EPM!C6="TotalEsp","GLOBAL_ESP",IF(CALC_EPM!C6="TotalNoEsp","GLOBAL_NOESP","GLOBAL_ASIG"))),IF(CALC_EPM!C6="Total","CURSO_TOTAL",IF(CALC_EPM!C6="TotalEsp","CURSO_ESP",IF(CALC_EPM!C6="TotalNoEsp","CURSO_NOESP","CURSO_ASIG")))))</f>
      </c>
      <c r="B17" t="str">
        <f>IF(CALC_EPM!$B6="","",CALC_EPM!A6)</f>
      </c>
      <c r="C17" t="str">
        <f>IF(CALC_EPM!$B6="","",CALC_EPM!B6)</f>
      </c>
      <c r="D17">
        <f>IF(CALC_EPM!$B6="","",CALC_EPM!D6)</f>
      </c>
      <c r="E17" s="10" t="str">
        <f>IF(CALC_EPM!$B6="","",CALC_EPM!E6)</f>
      </c>
      <c r="F17" s="10" t="str">
        <f>IF(CALC_EPM!$B6="","",CALC_EPM!F6)</f>
      </c>
      <c r="G17" t="str">
        <f>IF(CALC_EPM!$B6="","",CALC_EPM!G6)</f>
      </c>
      <c r="H17" s="11" t="str">
        <f>IF(CALC_EPM!$B6="","",CALC_EPM!H6)</f>
      </c>
      <c r="I17" s="11" t="str">
        <f>IF(CALC_EPM!$B6="","",CALC_EPM!I6)</f>
      </c>
      <c r="J17" t="str">
        <f>IF(CALC_EPM!$B6="","",CALC_EPM!J6)</f>
      </c>
      <c r="K17" t="str">
        <f>IF(CALC_EPM!$B6="","",CALC_EPM!K6)</f>
      </c>
      <c r="L17">
        <f>IF(CALC_EPM!$B6="","",CALC_EPM!L6)</f>
      </c>
      <c r="M17">
        <f>IF(CALC_EPM!$B6="","",CALC_EPM!M6)</f>
      </c>
      <c r="N17">
        <f>IF(CALC_EPM!$B6="","",CALC_EPM!N6)</f>
      </c>
      <c r="O17">
        <f>IF(CALC_EPM!$B6="","",CALC_EPM!O6)</f>
      </c>
      <c r="P17">
        <f>IF(CALC_EPM!$B6="","",CALC_EPM!P6)</f>
      </c>
      <c r="Q17">
        <f>IF(CALC_EPM!$B6="","",CALC_EPM!Q6)</f>
      </c>
      <c r="R17">
        <f>IF(CALC_EPM!$B6="","",CALC_EPM!R6)</f>
      </c>
      <c r="S17">
        <f>IF(CALC_EPM!$B6="","",CALC_EPM!S6)</f>
      </c>
      <c r="T17">
        <f>IF(CALC_EPM!$B6="","",CALC_EPM!T6)</f>
      </c>
      <c r="U17">
        <f>IF(CALC_EPM!$B6="","",CALC_EPM!U6)</f>
      </c>
    </row>
    <row r="18">
      <c r="A18" t="str">
        <f>IF(CALC_EPM!$B7="","",IF(CALC_EPM!A7="GLOBAL",IF(CALC_EPM!C7="Total","GLOBAL",IF(CALC_EPM!C7="TotalEsp","GLOBAL_ESP",IF(CALC_EPM!C7="TotalNoEsp","GLOBAL_NOESP","GLOBAL_ASIG"))),IF(CALC_EPM!C7="Total","CURSO_TOTAL",IF(CALC_EPM!C7="TotalEsp","CURSO_ESP",IF(CALC_EPM!C7="TotalNoEsp","CURSO_NOESP","CURSO_ASIG")))))</f>
      </c>
      <c r="B18" t="str">
        <f>IF(CALC_EPM!$B7="","",CALC_EPM!A7)</f>
      </c>
      <c r="C18" t="str">
        <f>IF(CALC_EPM!$B7="","",CALC_EPM!B7)</f>
      </c>
      <c r="D18">
        <f>IF(CALC_EPM!$B7="","",CALC_EPM!D7)</f>
      </c>
      <c r="E18" s="10" t="str">
        <f>IF(CALC_EPM!$B7="","",CALC_EPM!E7)</f>
      </c>
      <c r="F18" s="10" t="str">
        <f>IF(CALC_EPM!$B7="","",CALC_EPM!F7)</f>
      </c>
      <c r="G18" t="str">
        <f>IF(CALC_EPM!$B7="","",CALC_EPM!G7)</f>
      </c>
      <c r="H18" s="11" t="str">
        <f>IF(CALC_EPM!$B7="","",CALC_EPM!H7)</f>
      </c>
      <c r="I18" s="11" t="str">
        <f>IF(CALC_EPM!$B7="","",CALC_EPM!I7)</f>
      </c>
      <c r="J18" t="str">
        <f>IF(CALC_EPM!$B7="","",CALC_EPM!J7)</f>
      </c>
      <c r="K18" t="str">
        <f>IF(CALC_EPM!$B7="","",CALC_EPM!K7)</f>
      </c>
      <c r="L18">
        <f>IF(CALC_EPM!$B7="","",CALC_EPM!L7)</f>
      </c>
      <c r="M18">
        <f>IF(CALC_EPM!$B7="","",CALC_EPM!M7)</f>
      </c>
      <c r="N18">
        <f>IF(CALC_EPM!$B7="","",CALC_EPM!N7)</f>
      </c>
      <c r="O18">
        <f>IF(CALC_EPM!$B7="","",CALC_EPM!O7)</f>
      </c>
      <c r="P18">
        <f>IF(CALC_EPM!$B7="","",CALC_EPM!P7)</f>
      </c>
      <c r="Q18">
        <f>IF(CALC_EPM!$B7="","",CALC_EPM!Q7)</f>
      </c>
      <c r="R18">
        <f>IF(CALC_EPM!$B7="","",CALC_EPM!R7)</f>
      </c>
      <c r="S18">
        <f>IF(CALC_EPM!$B7="","",CALC_EPM!S7)</f>
      </c>
      <c r="T18">
        <f>IF(CALC_EPM!$B7="","",CALC_EPM!T7)</f>
      </c>
      <c r="U18">
        <f>IF(CALC_EPM!$B7="","",CALC_EPM!U7)</f>
      </c>
    </row>
    <row r="19">
      <c r="A19" t="str">
        <f>IF(CALC_EPM!$B8="","",IF(CALC_EPM!A8="GLOBAL",IF(CALC_EPM!C8="Total","GLOBAL",IF(CALC_EPM!C8="TotalEsp","GLOBAL_ESP",IF(CALC_EPM!C8="TotalNoEsp","GLOBAL_NOESP","GLOBAL_ASIG"))),IF(CALC_EPM!C8="Total","CURSO_TOTAL",IF(CALC_EPM!C8="TotalEsp","CURSO_ESP",IF(CALC_EPM!C8="TotalNoEsp","CURSO_NOESP","CURSO_ASIG")))))</f>
      </c>
      <c r="B19" t="str">
        <f>IF(CALC_EPM!$B8="","",CALC_EPM!A8)</f>
      </c>
      <c r="C19" t="str">
        <f>IF(CALC_EPM!$B8="","",CALC_EPM!B8)</f>
      </c>
      <c r="D19">
        <f>IF(CALC_EPM!$B8="","",CALC_EPM!D8)</f>
      </c>
      <c r="E19" s="10" t="str">
        <f>IF(CALC_EPM!$B8="","",CALC_EPM!E8)</f>
      </c>
      <c r="F19" s="10" t="str">
        <f>IF(CALC_EPM!$B8="","",CALC_EPM!F8)</f>
      </c>
      <c r="G19" t="str">
        <f>IF(CALC_EPM!$B8="","",CALC_EPM!G8)</f>
      </c>
      <c r="H19" s="11" t="str">
        <f>IF(CALC_EPM!$B8="","",CALC_EPM!H8)</f>
      </c>
      <c r="I19" s="11" t="str">
        <f>IF(CALC_EPM!$B8="","",CALC_EPM!I8)</f>
      </c>
      <c r="J19" t="str">
        <f>IF(CALC_EPM!$B8="","",CALC_EPM!J8)</f>
      </c>
      <c r="K19" t="str">
        <f>IF(CALC_EPM!$B8="","",CALC_EPM!K8)</f>
      </c>
      <c r="L19">
        <f>IF(CALC_EPM!$B8="","",CALC_EPM!L8)</f>
      </c>
      <c r="M19">
        <f>IF(CALC_EPM!$B8="","",CALC_EPM!M8)</f>
      </c>
      <c r="N19">
        <f>IF(CALC_EPM!$B8="","",CALC_EPM!N8)</f>
      </c>
      <c r="O19">
        <f>IF(CALC_EPM!$B8="","",CALC_EPM!O8)</f>
      </c>
      <c r="P19">
        <f>IF(CALC_EPM!$B8="","",CALC_EPM!P8)</f>
      </c>
      <c r="Q19">
        <f>IF(CALC_EPM!$B8="","",CALC_EPM!Q8)</f>
      </c>
      <c r="R19">
        <f>IF(CALC_EPM!$B8="","",CALC_EPM!R8)</f>
      </c>
      <c r="S19">
        <f>IF(CALC_EPM!$B8="","",CALC_EPM!S8)</f>
      </c>
      <c r="T19">
        <f>IF(CALC_EPM!$B8="","",CALC_EPM!T8)</f>
      </c>
      <c r="U19">
        <f>IF(CALC_EPM!$B8="","",CALC_EPM!U8)</f>
      </c>
    </row>
    <row r="20">
      <c r="A20" t="str">
        <f>IF(CALC_EPM!$B9="","",IF(CALC_EPM!A9="GLOBAL",IF(CALC_EPM!C9="Total","GLOBAL",IF(CALC_EPM!C9="TotalEsp","GLOBAL_ESP",IF(CALC_EPM!C9="TotalNoEsp","GLOBAL_NOESP","GLOBAL_ASIG"))),IF(CALC_EPM!C9="Total","CURSO_TOTAL",IF(CALC_EPM!C9="TotalEsp","CURSO_ESP",IF(CALC_EPM!C9="TotalNoEsp","CURSO_NOESP","CURSO_ASIG")))))</f>
      </c>
      <c r="B20" t="str">
        <f>IF(CALC_EPM!$B9="","",CALC_EPM!A9)</f>
      </c>
      <c r="C20" t="str">
        <f>IF(CALC_EPM!$B9="","",CALC_EPM!B9)</f>
      </c>
      <c r="D20">
        <f>IF(CALC_EPM!$B9="","",CALC_EPM!D9)</f>
      </c>
      <c r="E20" s="10" t="str">
        <f>IF(CALC_EPM!$B9="","",CALC_EPM!E9)</f>
      </c>
      <c r="F20" s="10" t="str">
        <f>IF(CALC_EPM!$B9="","",CALC_EPM!F9)</f>
      </c>
      <c r="G20" t="str">
        <f>IF(CALC_EPM!$B9="","",CALC_EPM!G9)</f>
      </c>
      <c r="H20" s="11" t="str">
        <f>IF(CALC_EPM!$B9="","",CALC_EPM!H9)</f>
      </c>
      <c r="I20" s="11" t="str">
        <f>IF(CALC_EPM!$B9="","",CALC_EPM!I9)</f>
      </c>
      <c r="J20" t="str">
        <f>IF(CALC_EPM!$B9="","",CALC_EPM!J9)</f>
      </c>
      <c r="K20" t="str">
        <f>IF(CALC_EPM!$B9="","",CALC_EPM!K9)</f>
      </c>
      <c r="L20">
        <f>IF(CALC_EPM!$B9="","",CALC_EPM!L9)</f>
      </c>
      <c r="M20">
        <f>IF(CALC_EPM!$B9="","",CALC_EPM!M9)</f>
      </c>
      <c r="N20">
        <f>IF(CALC_EPM!$B9="","",CALC_EPM!N9)</f>
      </c>
      <c r="O20">
        <f>IF(CALC_EPM!$B9="","",CALC_EPM!O9)</f>
      </c>
      <c r="P20">
        <f>IF(CALC_EPM!$B9="","",CALC_EPM!P9)</f>
      </c>
      <c r="Q20">
        <f>IF(CALC_EPM!$B9="","",CALC_EPM!Q9)</f>
      </c>
      <c r="R20">
        <f>IF(CALC_EPM!$B9="","",CALC_EPM!R9)</f>
      </c>
      <c r="S20">
        <f>IF(CALC_EPM!$B9="","",CALC_EPM!S9)</f>
      </c>
      <c r="T20">
        <f>IF(CALC_EPM!$B9="","",CALC_EPM!T9)</f>
      </c>
      <c r="U20">
        <f>IF(CALC_EPM!$B9="","",CALC_EPM!U9)</f>
      </c>
    </row>
    <row r="21">
      <c r="A21" t="str">
        <f>IF(CALC_EPM!$B10="","",IF(CALC_EPM!A10="GLOBAL",IF(CALC_EPM!C10="Total","GLOBAL",IF(CALC_EPM!C10="TotalEsp","GLOBAL_ESP",IF(CALC_EPM!C10="TotalNoEsp","GLOBAL_NOESP","GLOBAL_ASIG"))),IF(CALC_EPM!C10="Total","CURSO_TOTAL",IF(CALC_EPM!C10="TotalEsp","CURSO_ESP",IF(CALC_EPM!C10="TotalNoEsp","CURSO_NOESP","CURSO_ASIG")))))</f>
      </c>
      <c r="B21" t="str">
        <f>IF(CALC_EPM!$B10="","",CALC_EPM!A10)</f>
      </c>
      <c r="C21" t="str">
        <f>IF(CALC_EPM!$B10="","",CALC_EPM!B10)</f>
      </c>
      <c r="D21">
        <f>IF(CALC_EPM!$B10="","",CALC_EPM!D10)</f>
      </c>
      <c r="E21" s="10" t="str">
        <f>IF(CALC_EPM!$B10="","",CALC_EPM!E10)</f>
      </c>
      <c r="F21" s="10" t="str">
        <f>IF(CALC_EPM!$B10="","",CALC_EPM!F10)</f>
      </c>
      <c r="G21" t="str">
        <f>IF(CALC_EPM!$B10="","",CALC_EPM!G10)</f>
      </c>
      <c r="H21" s="11" t="str">
        <f>IF(CALC_EPM!$B10="","",CALC_EPM!H10)</f>
      </c>
      <c r="I21" s="11" t="str">
        <f>IF(CALC_EPM!$B10="","",CALC_EPM!I10)</f>
      </c>
      <c r="J21" t="str">
        <f>IF(CALC_EPM!$B10="","",CALC_EPM!J10)</f>
      </c>
      <c r="K21" t="str">
        <f>IF(CALC_EPM!$B10="","",CALC_EPM!K10)</f>
      </c>
      <c r="L21">
        <f>IF(CALC_EPM!$B10="","",CALC_EPM!L10)</f>
      </c>
      <c r="M21">
        <f>IF(CALC_EPM!$B10="","",CALC_EPM!M10)</f>
      </c>
      <c r="N21">
        <f>IF(CALC_EPM!$B10="","",CALC_EPM!N10)</f>
      </c>
      <c r="O21">
        <f>IF(CALC_EPM!$B10="","",CALC_EPM!O10)</f>
      </c>
      <c r="P21">
        <f>IF(CALC_EPM!$B10="","",CALC_EPM!P10)</f>
      </c>
      <c r="Q21">
        <f>IF(CALC_EPM!$B10="","",CALC_EPM!Q10)</f>
      </c>
      <c r="R21">
        <f>IF(CALC_EPM!$B10="","",CALC_EPM!R10)</f>
      </c>
      <c r="S21">
        <f>IF(CALC_EPM!$B10="","",CALC_EPM!S10)</f>
      </c>
      <c r="T21">
        <f>IF(CALC_EPM!$B10="","",CALC_EPM!T10)</f>
      </c>
      <c r="U21">
        <f>IF(CALC_EPM!$B10="","",CALC_EPM!U10)</f>
      </c>
    </row>
    <row r="22">
      <c r="A22" t="str">
        <f>IF(CALC_EPM!$B11="","",IF(CALC_EPM!A11="GLOBAL",IF(CALC_EPM!C11="Total","GLOBAL",IF(CALC_EPM!C11="TotalEsp","GLOBAL_ESP",IF(CALC_EPM!C11="TotalNoEsp","GLOBAL_NOESP","GLOBAL_ASIG"))),IF(CALC_EPM!C11="Total","CURSO_TOTAL",IF(CALC_EPM!C11="TotalEsp","CURSO_ESP",IF(CALC_EPM!C11="TotalNoEsp","CURSO_NOESP","CURSO_ASIG")))))</f>
      </c>
      <c r="B22" t="str">
        <f>IF(CALC_EPM!$B11="","",CALC_EPM!A11)</f>
      </c>
      <c r="C22" t="str">
        <f>IF(CALC_EPM!$B11="","",CALC_EPM!B11)</f>
      </c>
      <c r="D22">
        <f>IF(CALC_EPM!$B11="","",CALC_EPM!D11)</f>
      </c>
      <c r="E22" s="10" t="str">
        <f>IF(CALC_EPM!$B11="","",CALC_EPM!E11)</f>
      </c>
      <c r="F22" s="10" t="str">
        <f>IF(CALC_EPM!$B11="","",CALC_EPM!F11)</f>
      </c>
      <c r="G22" t="str">
        <f>IF(CALC_EPM!$B11="","",CALC_EPM!G11)</f>
      </c>
      <c r="H22" s="11" t="str">
        <f>IF(CALC_EPM!$B11="","",CALC_EPM!H11)</f>
      </c>
      <c r="I22" s="11" t="str">
        <f>IF(CALC_EPM!$B11="","",CALC_EPM!I11)</f>
      </c>
      <c r="J22" t="str">
        <f>IF(CALC_EPM!$B11="","",CALC_EPM!J11)</f>
      </c>
      <c r="K22" t="str">
        <f>IF(CALC_EPM!$B11="","",CALC_EPM!K11)</f>
      </c>
      <c r="L22">
        <f>IF(CALC_EPM!$B11="","",CALC_EPM!L11)</f>
      </c>
      <c r="M22">
        <f>IF(CALC_EPM!$B11="","",CALC_EPM!M11)</f>
      </c>
      <c r="N22">
        <f>IF(CALC_EPM!$B11="","",CALC_EPM!N11)</f>
      </c>
      <c r="O22">
        <f>IF(CALC_EPM!$B11="","",CALC_EPM!O11)</f>
      </c>
      <c r="P22">
        <f>IF(CALC_EPM!$B11="","",CALC_EPM!P11)</f>
      </c>
      <c r="Q22">
        <f>IF(CALC_EPM!$B11="","",CALC_EPM!Q11)</f>
      </c>
      <c r="R22">
        <f>IF(CALC_EPM!$B11="","",CALC_EPM!R11)</f>
      </c>
      <c r="S22">
        <f>IF(CALC_EPM!$B11="","",CALC_EPM!S11)</f>
      </c>
      <c r="T22">
        <f>IF(CALC_EPM!$B11="","",CALC_EPM!T11)</f>
      </c>
      <c r="U22">
        <f>IF(CALC_EPM!$B11="","",CALC_EPM!U11)</f>
      </c>
    </row>
    <row r="23">
      <c r="A23" t="str">
        <f>IF(CALC_EPM!$B12="","",IF(CALC_EPM!A12="GLOBAL",IF(CALC_EPM!C12="Total","GLOBAL",IF(CALC_EPM!C12="TotalEsp","GLOBAL_ESP",IF(CALC_EPM!C12="TotalNoEsp","GLOBAL_NOESP","GLOBAL_ASIG"))),IF(CALC_EPM!C12="Total","CURSO_TOTAL",IF(CALC_EPM!C12="TotalEsp","CURSO_ESP",IF(CALC_EPM!C12="TotalNoEsp","CURSO_NOESP","CURSO_ASIG")))))</f>
      </c>
      <c r="B23" t="str">
        <f>IF(CALC_EPM!$B12="","",CALC_EPM!A12)</f>
      </c>
      <c r="C23" t="str">
        <f>IF(CALC_EPM!$B12="","",CALC_EPM!B12)</f>
      </c>
      <c r="D23">
        <f>IF(CALC_EPM!$B12="","",CALC_EPM!D12)</f>
      </c>
      <c r="E23" s="10" t="str">
        <f>IF(CALC_EPM!$B12="","",CALC_EPM!E12)</f>
      </c>
      <c r="F23" s="10" t="str">
        <f>IF(CALC_EPM!$B12="","",CALC_EPM!F12)</f>
      </c>
      <c r="G23" t="str">
        <f>IF(CALC_EPM!$B12="","",CALC_EPM!G12)</f>
      </c>
      <c r="H23" s="11" t="str">
        <f>IF(CALC_EPM!$B12="","",CALC_EPM!H12)</f>
      </c>
      <c r="I23" s="11" t="str">
        <f>IF(CALC_EPM!$B12="","",CALC_EPM!I12)</f>
      </c>
      <c r="J23" t="str">
        <f>IF(CALC_EPM!$B12="","",CALC_EPM!J12)</f>
      </c>
      <c r="K23" t="str">
        <f>IF(CALC_EPM!$B12="","",CALC_EPM!K12)</f>
      </c>
      <c r="L23">
        <f>IF(CALC_EPM!$B12="","",CALC_EPM!L12)</f>
      </c>
      <c r="M23">
        <f>IF(CALC_EPM!$B12="","",CALC_EPM!M12)</f>
      </c>
      <c r="N23">
        <f>IF(CALC_EPM!$B12="","",CALC_EPM!N12)</f>
      </c>
      <c r="O23">
        <f>IF(CALC_EPM!$B12="","",CALC_EPM!O12)</f>
      </c>
      <c r="P23">
        <f>IF(CALC_EPM!$B12="","",CALC_EPM!P12)</f>
      </c>
      <c r="Q23">
        <f>IF(CALC_EPM!$B12="","",CALC_EPM!Q12)</f>
      </c>
      <c r="R23">
        <f>IF(CALC_EPM!$B12="","",CALC_EPM!R12)</f>
      </c>
      <c r="S23">
        <f>IF(CALC_EPM!$B12="","",CALC_EPM!S12)</f>
      </c>
      <c r="T23">
        <f>IF(CALC_EPM!$B12="","",CALC_EPM!T12)</f>
      </c>
      <c r="U23">
        <f>IF(CALC_EPM!$B12="","",CALC_EPM!U12)</f>
      </c>
    </row>
    <row r="24">
      <c r="A24" t="str">
        <f>IF(CALC_EPM!$B13="","",IF(CALC_EPM!A13="GLOBAL",IF(CALC_EPM!C13="Total","GLOBAL",IF(CALC_EPM!C13="TotalEsp","GLOBAL_ESP",IF(CALC_EPM!C13="TotalNoEsp","GLOBAL_NOESP","GLOBAL_ASIG"))),IF(CALC_EPM!C13="Total","CURSO_TOTAL",IF(CALC_EPM!C13="TotalEsp","CURSO_ESP",IF(CALC_EPM!C13="TotalNoEsp","CURSO_NOESP","CURSO_ASIG")))))</f>
      </c>
      <c r="B24" t="str">
        <f>IF(CALC_EPM!$B13="","",CALC_EPM!A13)</f>
      </c>
      <c r="C24" t="str">
        <f>IF(CALC_EPM!$B13="","",CALC_EPM!B13)</f>
      </c>
      <c r="D24">
        <f>IF(CALC_EPM!$B13="","",CALC_EPM!D13)</f>
      </c>
      <c r="E24" s="10" t="str">
        <f>IF(CALC_EPM!$B13="","",CALC_EPM!E13)</f>
      </c>
      <c r="F24" s="10" t="str">
        <f>IF(CALC_EPM!$B13="","",CALC_EPM!F13)</f>
      </c>
      <c r="G24" t="str">
        <f>IF(CALC_EPM!$B13="","",CALC_EPM!G13)</f>
      </c>
      <c r="H24" s="11" t="str">
        <f>IF(CALC_EPM!$B13="","",CALC_EPM!H13)</f>
      </c>
      <c r="I24" s="11" t="str">
        <f>IF(CALC_EPM!$B13="","",CALC_EPM!I13)</f>
      </c>
      <c r="J24" t="str">
        <f>IF(CALC_EPM!$B13="","",CALC_EPM!J13)</f>
      </c>
      <c r="K24" t="str">
        <f>IF(CALC_EPM!$B13="","",CALC_EPM!K13)</f>
      </c>
      <c r="L24">
        <f>IF(CALC_EPM!$B13="","",CALC_EPM!L13)</f>
      </c>
      <c r="M24">
        <f>IF(CALC_EPM!$B13="","",CALC_EPM!M13)</f>
      </c>
      <c r="N24">
        <f>IF(CALC_EPM!$B13="","",CALC_EPM!N13)</f>
      </c>
      <c r="O24">
        <f>IF(CALC_EPM!$B13="","",CALC_EPM!O13)</f>
      </c>
      <c r="P24">
        <f>IF(CALC_EPM!$B13="","",CALC_EPM!P13)</f>
      </c>
      <c r="Q24">
        <f>IF(CALC_EPM!$B13="","",CALC_EPM!Q13)</f>
      </c>
      <c r="R24">
        <f>IF(CALC_EPM!$B13="","",CALC_EPM!R13)</f>
      </c>
      <c r="S24">
        <f>IF(CALC_EPM!$B13="","",CALC_EPM!S13)</f>
      </c>
      <c r="T24">
        <f>IF(CALC_EPM!$B13="","",CALC_EPM!T13)</f>
      </c>
      <c r="U24">
        <f>IF(CALC_EPM!$B13="","",CALC_EPM!U13)</f>
      </c>
    </row>
    <row r="25">
      <c r="A25" t="str">
        <f>IF(CALC_EPM!$B14="","",IF(CALC_EPM!A14="GLOBAL",IF(CALC_EPM!C14="Total","GLOBAL",IF(CALC_EPM!C14="TotalEsp","GLOBAL_ESP",IF(CALC_EPM!C14="TotalNoEsp","GLOBAL_NOESP","GLOBAL_ASIG"))),IF(CALC_EPM!C14="Total","CURSO_TOTAL",IF(CALC_EPM!C14="TotalEsp","CURSO_ESP",IF(CALC_EPM!C14="TotalNoEsp","CURSO_NOESP","CURSO_ASIG")))))</f>
      </c>
      <c r="B25" t="str">
        <f>IF(CALC_EPM!$B14="","",CALC_EPM!A14)</f>
      </c>
      <c r="C25" t="str">
        <f>IF(CALC_EPM!$B14="","",CALC_EPM!B14)</f>
      </c>
      <c r="D25">
        <f>IF(CALC_EPM!$B14="","",CALC_EPM!D14)</f>
      </c>
      <c r="E25" s="10" t="str">
        <f>IF(CALC_EPM!$B14="","",CALC_EPM!E14)</f>
      </c>
      <c r="F25" s="10" t="str">
        <f>IF(CALC_EPM!$B14="","",CALC_EPM!F14)</f>
      </c>
      <c r="G25" t="str">
        <f>IF(CALC_EPM!$B14="","",CALC_EPM!G14)</f>
      </c>
      <c r="H25" s="11" t="str">
        <f>IF(CALC_EPM!$B14="","",CALC_EPM!H14)</f>
      </c>
      <c r="I25" s="11" t="str">
        <f>IF(CALC_EPM!$B14="","",CALC_EPM!I14)</f>
      </c>
      <c r="J25" t="str">
        <f>IF(CALC_EPM!$B14="","",CALC_EPM!J14)</f>
      </c>
      <c r="K25" t="str">
        <f>IF(CALC_EPM!$B14="","",CALC_EPM!K14)</f>
      </c>
      <c r="L25">
        <f>IF(CALC_EPM!$B14="","",CALC_EPM!L14)</f>
      </c>
      <c r="M25">
        <f>IF(CALC_EPM!$B14="","",CALC_EPM!M14)</f>
      </c>
      <c r="N25">
        <f>IF(CALC_EPM!$B14="","",CALC_EPM!N14)</f>
      </c>
      <c r="O25">
        <f>IF(CALC_EPM!$B14="","",CALC_EPM!O14)</f>
      </c>
      <c r="P25">
        <f>IF(CALC_EPM!$B14="","",CALC_EPM!P14)</f>
      </c>
      <c r="Q25">
        <f>IF(CALC_EPM!$B14="","",CALC_EPM!Q14)</f>
      </c>
      <c r="R25">
        <f>IF(CALC_EPM!$B14="","",CALC_EPM!R14)</f>
      </c>
      <c r="S25">
        <f>IF(CALC_EPM!$B14="","",CALC_EPM!S14)</f>
      </c>
      <c r="T25">
        <f>IF(CALC_EPM!$B14="","",CALC_EPM!T14)</f>
      </c>
      <c r="U25">
        <f>IF(CALC_EPM!$B14="","",CALC_EPM!U14)</f>
      </c>
    </row>
    <row r="26">
      <c r="A26" t="str">
        <f>IF(CALC_EPM!$B15="","",IF(CALC_EPM!A15="GLOBAL",IF(CALC_EPM!C15="Total","GLOBAL",IF(CALC_EPM!C15="TotalEsp","GLOBAL_ESP",IF(CALC_EPM!C15="TotalNoEsp","GLOBAL_NOESP","GLOBAL_ASIG"))),IF(CALC_EPM!C15="Total","CURSO_TOTAL",IF(CALC_EPM!C15="TotalEsp","CURSO_ESP",IF(CALC_EPM!C15="TotalNoEsp","CURSO_NOESP","CURSO_ASIG")))))</f>
      </c>
      <c r="B26" t="str">
        <f>IF(CALC_EPM!$B15="","",CALC_EPM!A15)</f>
      </c>
      <c r="C26" t="str">
        <f>IF(CALC_EPM!$B15="","",CALC_EPM!B15)</f>
      </c>
      <c r="D26">
        <f>IF(CALC_EPM!$B15="","",CALC_EPM!D15)</f>
      </c>
      <c r="E26" s="10" t="str">
        <f>IF(CALC_EPM!$B15="","",CALC_EPM!E15)</f>
      </c>
      <c r="F26" s="10" t="str">
        <f>IF(CALC_EPM!$B15="","",CALC_EPM!F15)</f>
      </c>
      <c r="G26" t="str">
        <f>IF(CALC_EPM!$B15="","",CALC_EPM!G15)</f>
      </c>
      <c r="H26" s="11" t="str">
        <f>IF(CALC_EPM!$B15="","",CALC_EPM!H15)</f>
      </c>
      <c r="I26" s="11" t="str">
        <f>IF(CALC_EPM!$B15="","",CALC_EPM!I15)</f>
      </c>
      <c r="J26" t="str">
        <f>IF(CALC_EPM!$B15="","",CALC_EPM!J15)</f>
      </c>
      <c r="K26" t="str">
        <f>IF(CALC_EPM!$B15="","",CALC_EPM!K15)</f>
      </c>
      <c r="L26">
        <f>IF(CALC_EPM!$B15="","",CALC_EPM!L15)</f>
      </c>
      <c r="M26">
        <f>IF(CALC_EPM!$B15="","",CALC_EPM!M15)</f>
      </c>
      <c r="N26">
        <f>IF(CALC_EPM!$B15="","",CALC_EPM!N15)</f>
      </c>
      <c r="O26">
        <f>IF(CALC_EPM!$B15="","",CALC_EPM!O15)</f>
      </c>
      <c r="P26">
        <f>IF(CALC_EPM!$B15="","",CALC_EPM!P15)</f>
      </c>
      <c r="Q26">
        <f>IF(CALC_EPM!$B15="","",CALC_EPM!Q15)</f>
      </c>
      <c r="R26">
        <f>IF(CALC_EPM!$B15="","",CALC_EPM!R15)</f>
      </c>
      <c r="S26">
        <f>IF(CALC_EPM!$B15="","",CALC_EPM!S15)</f>
      </c>
      <c r="T26">
        <f>IF(CALC_EPM!$B15="","",CALC_EPM!T15)</f>
      </c>
      <c r="U26">
        <f>IF(CALC_EPM!$B15="","",CALC_EPM!U15)</f>
      </c>
    </row>
    <row r="27">
      <c r="A27" t="str">
        <f>IF(CALC_EPM!$B16="","",IF(CALC_EPM!A16="GLOBAL",IF(CALC_EPM!C16="Total","GLOBAL",IF(CALC_EPM!C16="TotalEsp","GLOBAL_ESP",IF(CALC_EPM!C16="TotalNoEsp","GLOBAL_NOESP","GLOBAL_ASIG"))),IF(CALC_EPM!C16="Total","CURSO_TOTAL",IF(CALC_EPM!C16="TotalEsp","CURSO_ESP",IF(CALC_EPM!C16="TotalNoEsp","CURSO_NOESP","CURSO_ASIG")))))</f>
      </c>
      <c r="B27" t="str">
        <f>IF(CALC_EPM!$B16="","",CALC_EPM!A16)</f>
      </c>
      <c r="C27" t="str">
        <f>IF(CALC_EPM!$B16="","",CALC_EPM!B16)</f>
      </c>
      <c r="D27">
        <f>IF(CALC_EPM!$B16="","",CALC_EPM!D16)</f>
      </c>
      <c r="E27" s="10" t="str">
        <f>IF(CALC_EPM!$B16="","",CALC_EPM!E16)</f>
      </c>
      <c r="F27" s="10" t="str">
        <f>IF(CALC_EPM!$B16="","",CALC_EPM!F16)</f>
      </c>
      <c r="G27" t="str">
        <f>IF(CALC_EPM!$B16="","",CALC_EPM!G16)</f>
      </c>
      <c r="H27" s="11" t="str">
        <f>IF(CALC_EPM!$B16="","",CALC_EPM!H16)</f>
      </c>
      <c r="I27" s="11" t="str">
        <f>IF(CALC_EPM!$B16="","",CALC_EPM!I16)</f>
      </c>
      <c r="J27" t="str">
        <f>IF(CALC_EPM!$B16="","",CALC_EPM!J16)</f>
      </c>
      <c r="K27" t="str">
        <f>IF(CALC_EPM!$B16="","",CALC_EPM!K16)</f>
      </c>
      <c r="L27">
        <f>IF(CALC_EPM!$B16="","",CALC_EPM!L16)</f>
      </c>
      <c r="M27">
        <f>IF(CALC_EPM!$B16="","",CALC_EPM!M16)</f>
      </c>
      <c r="N27">
        <f>IF(CALC_EPM!$B16="","",CALC_EPM!N16)</f>
      </c>
      <c r="O27">
        <f>IF(CALC_EPM!$B16="","",CALC_EPM!O16)</f>
      </c>
      <c r="P27">
        <f>IF(CALC_EPM!$B16="","",CALC_EPM!P16)</f>
      </c>
      <c r="Q27">
        <f>IF(CALC_EPM!$B16="","",CALC_EPM!Q16)</f>
      </c>
      <c r="R27">
        <f>IF(CALC_EPM!$B16="","",CALC_EPM!R16)</f>
      </c>
      <c r="S27">
        <f>IF(CALC_EPM!$B16="","",CALC_EPM!S16)</f>
      </c>
      <c r="T27">
        <f>IF(CALC_EPM!$B16="","",CALC_EPM!T16)</f>
      </c>
      <c r="U27">
        <f>IF(CALC_EPM!$B16="","",CALC_EPM!U16)</f>
      </c>
    </row>
    <row r="28">
      <c r="A28" t="str">
        <f>IF(CALC_EPM!$B17="","",IF(CALC_EPM!A17="GLOBAL",IF(CALC_EPM!C17="Total","GLOBAL",IF(CALC_EPM!C17="TotalEsp","GLOBAL_ESP",IF(CALC_EPM!C17="TotalNoEsp","GLOBAL_NOESP","GLOBAL_ASIG"))),IF(CALC_EPM!C17="Total","CURSO_TOTAL",IF(CALC_EPM!C17="TotalEsp","CURSO_ESP",IF(CALC_EPM!C17="TotalNoEsp","CURSO_NOESP","CURSO_ASIG")))))</f>
      </c>
      <c r="B28" t="str">
        <f>IF(CALC_EPM!$B17="","",CALC_EPM!A17)</f>
      </c>
      <c r="C28" t="str">
        <f>IF(CALC_EPM!$B17="","",CALC_EPM!B17)</f>
      </c>
      <c r="D28">
        <f>IF(CALC_EPM!$B17="","",CALC_EPM!D17)</f>
      </c>
      <c r="E28" s="10" t="str">
        <f>IF(CALC_EPM!$B17="","",CALC_EPM!E17)</f>
      </c>
      <c r="F28" s="10" t="str">
        <f>IF(CALC_EPM!$B17="","",CALC_EPM!F17)</f>
      </c>
      <c r="G28" t="str">
        <f>IF(CALC_EPM!$B17="","",CALC_EPM!G17)</f>
      </c>
      <c r="H28" s="11" t="str">
        <f>IF(CALC_EPM!$B17="","",CALC_EPM!H17)</f>
      </c>
      <c r="I28" s="11" t="str">
        <f>IF(CALC_EPM!$B17="","",CALC_EPM!I17)</f>
      </c>
      <c r="J28" t="str">
        <f>IF(CALC_EPM!$B17="","",CALC_EPM!J17)</f>
      </c>
      <c r="K28" t="str">
        <f>IF(CALC_EPM!$B17="","",CALC_EPM!K17)</f>
      </c>
      <c r="L28">
        <f>IF(CALC_EPM!$B17="","",CALC_EPM!L17)</f>
      </c>
      <c r="M28">
        <f>IF(CALC_EPM!$B17="","",CALC_EPM!M17)</f>
      </c>
      <c r="N28">
        <f>IF(CALC_EPM!$B17="","",CALC_EPM!N17)</f>
      </c>
      <c r="O28">
        <f>IF(CALC_EPM!$B17="","",CALC_EPM!O17)</f>
      </c>
      <c r="P28">
        <f>IF(CALC_EPM!$B17="","",CALC_EPM!P17)</f>
      </c>
      <c r="Q28">
        <f>IF(CALC_EPM!$B17="","",CALC_EPM!Q17)</f>
      </c>
      <c r="R28">
        <f>IF(CALC_EPM!$B17="","",CALC_EPM!R17)</f>
      </c>
      <c r="S28">
        <f>IF(CALC_EPM!$B17="","",CALC_EPM!S17)</f>
      </c>
      <c r="T28">
        <f>IF(CALC_EPM!$B17="","",CALC_EPM!T17)</f>
      </c>
      <c r="U28">
        <f>IF(CALC_EPM!$B17="","",CALC_EPM!U17)</f>
      </c>
    </row>
    <row r="29">
      <c r="A29" t="str">
        <f>IF(CALC_EPM!$B18="","",IF(CALC_EPM!A18="GLOBAL",IF(CALC_EPM!C18="Total","GLOBAL",IF(CALC_EPM!C18="TotalEsp","GLOBAL_ESP",IF(CALC_EPM!C18="TotalNoEsp","GLOBAL_NOESP","GLOBAL_ASIG"))),IF(CALC_EPM!C18="Total","CURSO_TOTAL",IF(CALC_EPM!C18="TotalEsp","CURSO_ESP",IF(CALC_EPM!C18="TotalNoEsp","CURSO_NOESP","CURSO_ASIG")))))</f>
      </c>
      <c r="B29" t="str">
        <f>IF(CALC_EPM!$B18="","",CALC_EPM!A18)</f>
      </c>
      <c r="C29" t="str">
        <f>IF(CALC_EPM!$B18="","",CALC_EPM!B18)</f>
      </c>
      <c r="D29">
        <f>IF(CALC_EPM!$B18="","",CALC_EPM!D18)</f>
      </c>
      <c r="E29" s="10" t="str">
        <f>IF(CALC_EPM!$B18="","",CALC_EPM!E18)</f>
      </c>
      <c r="F29" s="10" t="str">
        <f>IF(CALC_EPM!$B18="","",CALC_EPM!F18)</f>
      </c>
      <c r="G29" t="str">
        <f>IF(CALC_EPM!$B18="","",CALC_EPM!G18)</f>
      </c>
      <c r="H29" s="11" t="str">
        <f>IF(CALC_EPM!$B18="","",CALC_EPM!H18)</f>
      </c>
      <c r="I29" s="11" t="str">
        <f>IF(CALC_EPM!$B18="","",CALC_EPM!I18)</f>
      </c>
      <c r="J29" t="str">
        <f>IF(CALC_EPM!$B18="","",CALC_EPM!J18)</f>
      </c>
      <c r="K29" t="str">
        <f>IF(CALC_EPM!$B18="","",CALC_EPM!K18)</f>
      </c>
      <c r="L29">
        <f>IF(CALC_EPM!$B18="","",CALC_EPM!L18)</f>
      </c>
      <c r="M29">
        <f>IF(CALC_EPM!$B18="","",CALC_EPM!M18)</f>
      </c>
      <c r="N29">
        <f>IF(CALC_EPM!$B18="","",CALC_EPM!N18)</f>
      </c>
      <c r="O29">
        <f>IF(CALC_EPM!$B18="","",CALC_EPM!O18)</f>
      </c>
      <c r="P29">
        <f>IF(CALC_EPM!$B18="","",CALC_EPM!P18)</f>
      </c>
      <c r="Q29">
        <f>IF(CALC_EPM!$B18="","",CALC_EPM!Q18)</f>
      </c>
      <c r="R29">
        <f>IF(CALC_EPM!$B18="","",CALC_EPM!R18)</f>
      </c>
      <c r="S29">
        <f>IF(CALC_EPM!$B18="","",CALC_EPM!S18)</f>
      </c>
      <c r="T29">
        <f>IF(CALC_EPM!$B18="","",CALC_EPM!T18)</f>
      </c>
      <c r="U29">
        <f>IF(CALC_EPM!$B18="","",CALC_EPM!U18)</f>
      </c>
    </row>
    <row r="30">
      <c r="A30" t="str">
        <f>IF(CALC_EPM!$B19="","",IF(CALC_EPM!A19="GLOBAL",IF(CALC_EPM!C19="Total","GLOBAL",IF(CALC_EPM!C19="TotalEsp","GLOBAL_ESP",IF(CALC_EPM!C19="TotalNoEsp","GLOBAL_NOESP","GLOBAL_ASIG"))),IF(CALC_EPM!C19="Total","CURSO_TOTAL",IF(CALC_EPM!C19="TotalEsp","CURSO_ESP",IF(CALC_EPM!C19="TotalNoEsp","CURSO_NOESP","CURSO_ASIG")))))</f>
      </c>
      <c r="B30" t="str">
        <f>IF(CALC_EPM!$B19="","",CALC_EPM!A19)</f>
      </c>
      <c r="C30" t="str">
        <f>IF(CALC_EPM!$B19="","",CALC_EPM!B19)</f>
      </c>
      <c r="D30">
        <f>IF(CALC_EPM!$B19="","",CALC_EPM!D19)</f>
      </c>
      <c r="E30" s="10" t="str">
        <f>IF(CALC_EPM!$B19="","",CALC_EPM!E19)</f>
      </c>
      <c r="F30" s="10" t="str">
        <f>IF(CALC_EPM!$B19="","",CALC_EPM!F19)</f>
      </c>
      <c r="G30" t="str">
        <f>IF(CALC_EPM!$B19="","",CALC_EPM!G19)</f>
      </c>
      <c r="H30" s="11" t="str">
        <f>IF(CALC_EPM!$B19="","",CALC_EPM!H19)</f>
      </c>
      <c r="I30" s="11" t="str">
        <f>IF(CALC_EPM!$B19="","",CALC_EPM!I19)</f>
      </c>
      <c r="J30" t="str">
        <f>IF(CALC_EPM!$B19="","",CALC_EPM!J19)</f>
      </c>
      <c r="K30" t="str">
        <f>IF(CALC_EPM!$B19="","",CALC_EPM!K19)</f>
      </c>
      <c r="L30">
        <f>IF(CALC_EPM!$B19="","",CALC_EPM!L19)</f>
      </c>
      <c r="M30">
        <f>IF(CALC_EPM!$B19="","",CALC_EPM!M19)</f>
      </c>
      <c r="N30">
        <f>IF(CALC_EPM!$B19="","",CALC_EPM!N19)</f>
      </c>
      <c r="O30">
        <f>IF(CALC_EPM!$B19="","",CALC_EPM!O19)</f>
      </c>
      <c r="P30">
        <f>IF(CALC_EPM!$B19="","",CALC_EPM!P19)</f>
      </c>
      <c r="Q30">
        <f>IF(CALC_EPM!$B19="","",CALC_EPM!Q19)</f>
      </c>
      <c r="R30">
        <f>IF(CALC_EPM!$B19="","",CALC_EPM!R19)</f>
      </c>
      <c r="S30">
        <f>IF(CALC_EPM!$B19="","",CALC_EPM!S19)</f>
      </c>
      <c r="T30">
        <f>IF(CALC_EPM!$B19="","",CALC_EPM!T19)</f>
      </c>
      <c r="U30">
        <f>IF(CALC_EPM!$B19="","",CALC_EPM!U19)</f>
      </c>
    </row>
    <row r="31">
      <c r="A31" t="str">
        <f>IF(CALC_EPM!$B20="","",IF(CALC_EPM!A20="GLOBAL",IF(CALC_EPM!C20="Total","GLOBAL",IF(CALC_EPM!C20="TotalEsp","GLOBAL_ESP",IF(CALC_EPM!C20="TotalNoEsp","GLOBAL_NOESP","GLOBAL_ASIG"))),IF(CALC_EPM!C20="Total","CURSO_TOTAL",IF(CALC_EPM!C20="TotalEsp","CURSO_ESP",IF(CALC_EPM!C20="TotalNoEsp","CURSO_NOESP","CURSO_ASIG")))))</f>
      </c>
      <c r="B31" t="str">
        <f>IF(CALC_EPM!$B20="","",CALC_EPM!A20)</f>
      </c>
      <c r="C31" t="str">
        <f>IF(CALC_EPM!$B20="","",CALC_EPM!B20)</f>
      </c>
      <c r="D31">
        <f>IF(CALC_EPM!$B20="","",CALC_EPM!D20)</f>
      </c>
      <c r="E31" s="10" t="str">
        <f>IF(CALC_EPM!$B20="","",CALC_EPM!E20)</f>
      </c>
      <c r="F31" s="10" t="str">
        <f>IF(CALC_EPM!$B20="","",CALC_EPM!F20)</f>
      </c>
      <c r="G31" t="str">
        <f>IF(CALC_EPM!$B20="","",CALC_EPM!G20)</f>
      </c>
      <c r="H31" s="11" t="str">
        <f>IF(CALC_EPM!$B20="","",CALC_EPM!H20)</f>
      </c>
      <c r="I31" s="11" t="str">
        <f>IF(CALC_EPM!$B20="","",CALC_EPM!I20)</f>
      </c>
      <c r="J31" t="str">
        <f>IF(CALC_EPM!$B20="","",CALC_EPM!J20)</f>
      </c>
      <c r="K31" t="str">
        <f>IF(CALC_EPM!$B20="","",CALC_EPM!K20)</f>
      </c>
      <c r="L31">
        <f>IF(CALC_EPM!$B20="","",CALC_EPM!L20)</f>
      </c>
      <c r="M31">
        <f>IF(CALC_EPM!$B20="","",CALC_EPM!M20)</f>
      </c>
      <c r="N31">
        <f>IF(CALC_EPM!$B20="","",CALC_EPM!N20)</f>
      </c>
      <c r="O31">
        <f>IF(CALC_EPM!$B20="","",CALC_EPM!O20)</f>
      </c>
      <c r="P31">
        <f>IF(CALC_EPM!$B20="","",CALC_EPM!P20)</f>
      </c>
      <c r="Q31">
        <f>IF(CALC_EPM!$B20="","",CALC_EPM!Q20)</f>
      </c>
      <c r="R31">
        <f>IF(CALC_EPM!$B20="","",CALC_EPM!R20)</f>
      </c>
      <c r="S31">
        <f>IF(CALC_EPM!$B20="","",CALC_EPM!S20)</f>
      </c>
      <c r="T31">
        <f>IF(CALC_EPM!$B20="","",CALC_EPM!T20)</f>
      </c>
      <c r="U31">
        <f>IF(CALC_EPM!$B20="","",CALC_EPM!U20)</f>
      </c>
    </row>
    <row r="32">
      <c r="A32" t="str">
        <f>IF(CALC_EPM!$B21="","",IF(CALC_EPM!A21="GLOBAL",IF(CALC_EPM!C21="Total","GLOBAL",IF(CALC_EPM!C21="TotalEsp","GLOBAL_ESP",IF(CALC_EPM!C21="TotalNoEsp","GLOBAL_NOESP","GLOBAL_ASIG"))),IF(CALC_EPM!C21="Total","CURSO_TOTAL",IF(CALC_EPM!C21="TotalEsp","CURSO_ESP",IF(CALC_EPM!C21="TotalNoEsp","CURSO_NOESP","CURSO_ASIG")))))</f>
      </c>
      <c r="B32" t="str">
        <f>IF(CALC_EPM!$B21="","",CALC_EPM!A21)</f>
      </c>
      <c r="C32" t="str">
        <f>IF(CALC_EPM!$B21="","",CALC_EPM!B21)</f>
      </c>
      <c r="D32">
        <f>IF(CALC_EPM!$B21="","",CALC_EPM!D21)</f>
      </c>
      <c r="E32" s="10" t="str">
        <f>IF(CALC_EPM!$B21="","",CALC_EPM!E21)</f>
      </c>
      <c r="F32" s="10" t="str">
        <f>IF(CALC_EPM!$B21="","",CALC_EPM!F21)</f>
      </c>
      <c r="G32" t="str">
        <f>IF(CALC_EPM!$B21="","",CALC_EPM!G21)</f>
      </c>
      <c r="H32" s="11" t="str">
        <f>IF(CALC_EPM!$B21="","",CALC_EPM!H21)</f>
      </c>
      <c r="I32" s="11" t="str">
        <f>IF(CALC_EPM!$B21="","",CALC_EPM!I21)</f>
      </c>
      <c r="J32" t="str">
        <f>IF(CALC_EPM!$B21="","",CALC_EPM!J21)</f>
      </c>
      <c r="K32" t="str">
        <f>IF(CALC_EPM!$B21="","",CALC_EPM!K21)</f>
      </c>
      <c r="L32">
        <f>IF(CALC_EPM!$B21="","",CALC_EPM!L21)</f>
      </c>
      <c r="M32">
        <f>IF(CALC_EPM!$B21="","",CALC_EPM!M21)</f>
      </c>
      <c r="N32">
        <f>IF(CALC_EPM!$B21="","",CALC_EPM!N21)</f>
      </c>
      <c r="O32">
        <f>IF(CALC_EPM!$B21="","",CALC_EPM!O21)</f>
      </c>
      <c r="P32">
        <f>IF(CALC_EPM!$B21="","",CALC_EPM!P21)</f>
      </c>
      <c r="Q32">
        <f>IF(CALC_EPM!$B21="","",CALC_EPM!Q21)</f>
      </c>
      <c r="R32">
        <f>IF(CALC_EPM!$B21="","",CALC_EPM!R21)</f>
      </c>
      <c r="S32">
        <f>IF(CALC_EPM!$B21="","",CALC_EPM!S21)</f>
      </c>
      <c r="T32">
        <f>IF(CALC_EPM!$B21="","",CALC_EPM!T21)</f>
      </c>
      <c r="U32">
        <f>IF(CALC_EPM!$B21="","",CALC_EPM!U21)</f>
      </c>
    </row>
    <row r="33">
      <c r="A33" t="str">
        <f>IF(CALC_EPM!$B22="","",IF(CALC_EPM!A22="GLOBAL",IF(CALC_EPM!C22="Total","GLOBAL",IF(CALC_EPM!C22="TotalEsp","GLOBAL_ESP",IF(CALC_EPM!C22="TotalNoEsp","GLOBAL_NOESP","GLOBAL_ASIG"))),IF(CALC_EPM!C22="Total","CURSO_TOTAL",IF(CALC_EPM!C22="TotalEsp","CURSO_ESP",IF(CALC_EPM!C22="TotalNoEsp","CURSO_NOESP","CURSO_ASIG")))))</f>
      </c>
      <c r="B33" t="str">
        <f>IF(CALC_EPM!$B22="","",CALC_EPM!A22)</f>
      </c>
      <c r="C33" t="str">
        <f>IF(CALC_EPM!$B22="","",CALC_EPM!B22)</f>
      </c>
      <c r="D33">
        <f>IF(CALC_EPM!$B22="","",CALC_EPM!D22)</f>
      </c>
      <c r="E33" s="10" t="str">
        <f>IF(CALC_EPM!$B22="","",CALC_EPM!E22)</f>
      </c>
      <c r="F33" s="10" t="str">
        <f>IF(CALC_EPM!$B22="","",CALC_EPM!F22)</f>
      </c>
      <c r="G33" t="str">
        <f>IF(CALC_EPM!$B22="","",CALC_EPM!G22)</f>
      </c>
      <c r="H33" s="11" t="str">
        <f>IF(CALC_EPM!$B22="","",CALC_EPM!H22)</f>
      </c>
      <c r="I33" s="11" t="str">
        <f>IF(CALC_EPM!$B22="","",CALC_EPM!I22)</f>
      </c>
      <c r="J33" t="str">
        <f>IF(CALC_EPM!$B22="","",CALC_EPM!J22)</f>
      </c>
      <c r="K33" t="str">
        <f>IF(CALC_EPM!$B22="","",CALC_EPM!K22)</f>
      </c>
      <c r="L33">
        <f>IF(CALC_EPM!$B22="","",CALC_EPM!L22)</f>
      </c>
      <c r="M33">
        <f>IF(CALC_EPM!$B22="","",CALC_EPM!M22)</f>
      </c>
      <c r="N33">
        <f>IF(CALC_EPM!$B22="","",CALC_EPM!N22)</f>
      </c>
      <c r="O33">
        <f>IF(CALC_EPM!$B22="","",CALC_EPM!O22)</f>
      </c>
      <c r="P33">
        <f>IF(CALC_EPM!$B22="","",CALC_EPM!P22)</f>
      </c>
      <c r="Q33">
        <f>IF(CALC_EPM!$B22="","",CALC_EPM!Q22)</f>
      </c>
      <c r="R33">
        <f>IF(CALC_EPM!$B22="","",CALC_EPM!R22)</f>
      </c>
      <c r="S33">
        <f>IF(CALC_EPM!$B22="","",CALC_EPM!S22)</f>
      </c>
      <c r="T33">
        <f>IF(CALC_EPM!$B22="","",CALC_EPM!T22)</f>
      </c>
      <c r="U33">
        <f>IF(CALC_EPM!$B22="","",CALC_EPM!U22)</f>
      </c>
    </row>
    <row r="34">
      <c r="A34" t="str">
        <f>IF(CALC_EPM!$B23="","",IF(CALC_EPM!A23="GLOBAL",IF(CALC_EPM!C23="Total","GLOBAL",IF(CALC_EPM!C23="TotalEsp","GLOBAL_ESP",IF(CALC_EPM!C23="TotalNoEsp","GLOBAL_NOESP","GLOBAL_ASIG"))),IF(CALC_EPM!C23="Total","CURSO_TOTAL",IF(CALC_EPM!C23="TotalEsp","CURSO_ESP",IF(CALC_EPM!C23="TotalNoEsp","CURSO_NOESP","CURSO_ASIG")))))</f>
      </c>
      <c r="B34" t="str">
        <f>IF(CALC_EPM!$B23="","",CALC_EPM!A23)</f>
      </c>
      <c r="C34" t="str">
        <f>IF(CALC_EPM!$B23="","",CALC_EPM!B23)</f>
      </c>
      <c r="D34">
        <f>IF(CALC_EPM!$B23="","",CALC_EPM!D23)</f>
      </c>
      <c r="E34" s="10" t="str">
        <f>IF(CALC_EPM!$B23="","",CALC_EPM!E23)</f>
      </c>
      <c r="F34" s="10" t="str">
        <f>IF(CALC_EPM!$B23="","",CALC_EPM!F23)</f>
      </c>
      <c r="G34" t="str">
        <f>IF(CALC_EPM!$B23="","",CALC_EPM!G23)</f>
      </c>
      <c r="H34" s="11" t="str">
        <f>IF(CALC_EPM!$B23="","",CALC_EPM!H23)</f>
      </c>
      <c r="I34" s="11" t="str">
        <f>IF(CALC_EPM!$B23="","",CALC_EPM!I23)</f>
      </c>
      <c r="J34" t="str">
        <f>IF(CALC_EPM!$B23="","",CALC_EPM!J23)</f>
      </c>
      <c r="K34" t="str">
        <f>IF(CALC_EPM!$B23="","",CALC_EPM!K23)</f>
      </c>
      <c r="L34">
        <f>IF(CALC_EPM!$B23="","",CALC_EPM!L23)</f>
      </c>
      <c r="M34">
        <f>IF(CALC_EPM!$B23="","",CALC_EPM!M23)</f>
      </c>
      <c r="N34">
        <f>IF(CALC_EPM!$B23="","",CALC_EPM!N23)</f>
      </c>
      <c r="O34">
        <f>IF(CALC_EPM!$B23="","",CALC_EPM!O23)</f>
      </c>
      <c r="P34">
        <f>IF(CALC_EPM!$B23="","",CALC_EPM!P23)</f>
      </c>
      <c r="Q34">
        <f>IF(CALC_EPM!$B23="","",CALC_EPM!Q23)</f>
      </c>
      <c r="R34">
        <f>IF(CALC_EPM!$B23="","",CALC_EPM!R23)</f>
      </c>
      <c r="S34">
        <f>IF(CALC_EPM!$B23="","",CALC_EPM!S23)</f>
      </c>
      <c r="T34">
        <f>IF(CALC_EPM!$B23="","",CALC_EPM!T23)</f>
      </c>
      <c r="U34">
        <f>IF(CALC_EPM!$B23="","",CALC_EPM!U23)</f>
      </c>
    </row>
    <row r="35">
      <c r="A35" t="str">
        <f>IF(CALC_EPM!$B24="","",IF(CALC_EPM!A24="GLOBAL",IF(CALC_EPM!C24="Total","GLOBAL",IF(CALC_EPM!C24="TotalEsp","GLOBAL_ESP",IF(CALC_EPM!C24="TotalNoEsp","GLOBAL_NOESP","GLOBAL_ASIG"))),IF(CALC_EPM!C24="Total","CURSO_TOTAL",IF(CALC_EPM!C24="TotalEsp","CURSO_ESP",IF(CALC_EPM!C24="TotalNoEsp","CURSO_NOESP","CURSO_ASIG")))))</f>
      </c>
      <c r="B35" t="str">
        <f>IF(CALC_EPM!$B24="","",CALC_EPM!A24)</f>
      </c>
      <c r="C35" t="str">
        <f>IF(CALC_EPM!$B24="","",CALC_EPM!B24)</f>
      </c>
      <c r="D35">
        <f>IF(CALC_EPM!$B24="","",CALC_EPM!D24)</f>
      </c>
      <c r="E35" s="10" t="str">
        <f>IF(CALC_EPM!$B24="","",CALC_EPM!E24)</f>
      </c>
      <c r="F35" s="10" t="str">
        <f>IF(CALC_EPM!$B24="","",CALC_EPM!F24)</f>
      </c>
      <c r="G35" t="str">
        <f>IF(CALC_EPM!$B24="","",CALC_EPM!G24)</f>
      </c>
      <c r="H35" s="11" t="str">
        <f>IF(CALC_EPM!$B24="","",CALC_EPM!H24)</f>
      </c>
      <c r="I35" s="11" t="str">
        <f>IF(CALC_EPM!$B24="","",CALC_EPM!I24)</f>
      </c>
      <c r="J35" t="str">
        <f>IF(CALC_EPM!$B24="","",CALC_EPM!J24)</f>
      </c>
      <c r="K35" t="str">
        <f>IF(CALC_EPM!$B24="","",CALC_EPM!K24)</f>
      </c>
      <c r="L35">
        <f>IF(CALC_EPM!$B24="","",CALC_EPM!L24)</f>
      </c>
      <c r="M35">
        <f>IF(CALC_EPM!$B24="","",CALC_EPM!M24)</f>
      </c>
      <c r="N35">
        <f>IF(CALC_EPM!$B24="","",CALC_EPM!N24)</f>
      </c>
      <c r="O35">
        <f>IF(CALC_EPM!$B24="","",CALC_EPM!O24)</f>
      </c>
      <c r="P35">
        <f>IF(CALC_EPM!$B24="","",CALC_EPM!P24)</f>
      </c>
      <c r="Q35">
        <f>IF(CALC_EPM!$B24="","",CALC_EPM!Q24)</f>
      </c>
      <c r="R35">
        <f>IF(CALC_EPM!$B24="","",CALC_EPM!R24)</f>
      </c>
      <c r="S35">
        <f>IF(CALC_EPM!$B24="","",CALC_EPM!S24)</f>
      </c>
      <c r="T35">
        <f>IF(CALC_EPM!$B24="","",CALC_EPM!T24)</f>
      </c>
      <c r="U35">
        <f>IF(CALC_EPM!$B24="","",CALC_EPM!U24)</f>
      </c>
    </row>
    <row r="36">
      <c r="A36" t="str">
        <f>IF(CALC_EPM!$B25="","",IF(CALC_EPM!A25="GLOBAL",IF(CALC_EPM!C25="Total","GLOBAL",IF(CALC_EPM!C25="TotalEsp","GLOBAL_ESP",IF(CALC_EPM!C25="TotalNoEsp","GLOBAL_NOESP","GLOBAL_ASIG"))),IF(CALC_EPM!C25="Total","CURSO_TOTAL",IF(CALC_EPM!C25="TotalEsp","CURSO_ESP",IF(CALC_EPM!C25="TotalNoEsp","CURSO_NOESP","CURSO_ASIG")))))</f>
      </c>
      <c r="B36" t="str">
        <f>IF(CALC_EPM!$B25="","",CALC_EPM!A25)</f>
      </c>
      <c r="C36" t="str">
        <f>IF(CALC_EPM!$B25="","",CALC_EPM!B25)</f>
      </c>
      <c r="D36">
        <f>IF(CALC_EPM!$B25="","",CALC_EPM!D25)</f>
      </c>
      <c r="E36" s="10" t="str">
        <f>IF(CALC_EPM!$B25="","",CALC_EPM!E25)</f>
      </c>
      <c r="F36" s="10" t="str">
        <f>IF(CALC_EPM!$B25="","",CALC_EPM!F25)</f>
      </c>
      <c r="G36" t="str">
        <f>IF(CALC_EPM!$B25="","",CALC_EPM!G25)</f>
      </c>
      <c r="H36" s="11" t="str">
        <f>IF(CALC_EPM!$B25="","",CALC_EPM!H25)</f>
      </c>
      <c r="I36" s="11" t="str">
        <f>IF(CALC_EPM!$B25="","",CALC_EPM!I25)</f>
      </c>
      <c r="J36" t="str">
        <f>IF(CALC_EPM!$B25="","",CALC_EPM!J25)</f>
      </c>
      <c r="K36" t="str">
        <f>IF(CALC_EPM!$B25="","",CALC_EPM!K25)</f>
      </c>
      <c r="L36">
        <f>IF(CALC_EPM!$B25="","",CALC_EPM!L25)</f>
      </c>
      <c r="M36">
        <f>IF(CALC_EPM!$B25="","",CALC_EPM!M25)</f>
      </c>
      <c r="N36">
        <f>IF(CALC_EPM!$B25="","",CALC_EPM!N25)</f>
      </c>
      <c r="O36">
        <f>IF(CALC_EPM!$B25="","",CALC_EPM!O25)</f>
      </c>
      <c r="P36">
        <f>IF(CALC_EPM!$B25="","",CALC_EPM!P25)</f>
      </c>
      <c r="Q36">
        <f>IF(CALC_EPM!$B25="","",CALC_EPM!Q25)</f>
      </c>
      <c r="R36">
        <f>IF(CALC_EPM!$B25="","",CALC_EPM!R25)</f>
      </c>
      <c r="S36">
        <f>IF(CALC_EPM!$B25="","",CALC_EPM!S25)</f>
      </c>
      <c r="T36">
        <f>IF(CALC_EPM!$B25="","",CALC_EPM!T25)</f>
      </c>
      <c r="U36">
        <f>IF(CALC_EPM!$B25="","",CALC_EPM!U25)</f>
      </c>
    </row>
    <row r="37">
      <c r="A37" t="str">
        <f>IF(CALC_EPM!$B26="","",IF(CALC_EPM!A26="GLOBAL",IF(CALC_EPM!C26="Total","GLOBAL",IF(CALC_EPM!C26="TotalEsp","GLOBAL_ESP",IF(CALC_EPM!C26="TotalNoEsp","GLOBAL_NOESP","GLOBAL_ASIG"))),IF(CALC_EPM!C26="Total","CURSO_TOTAL",IF(CALC_EPM!C26="TotalEsp","CURSO_ESP",IF(CALC_EPM!C26="TotalNoEsp","CURSO_NOESP","CURSO_ASIG")))))</f>
      </c>
      <c r="B37" t="str">
        <f>IF(CALC_EPM!$B26="","",CALC_EPM!A26)</f>
      </c>
      <c r="C37" t="str">
        <f>IF(CALC_EPM!$B26="","",CALC_EPM!B26)</f>
      </c>
      <c r="D37">
        <f>IF(CALC_EPM!$B26="","",CALC_EPM!D26)</f>
      </c>
      <c r="E37" s="10" t="str">
        <f>IF(CALC_EPM!$B26="","",CALC_EPM!E26)</f>
      </c>
      <c r="F37" s="10" t="str">
        <f>IF(CALC_EPM!$B26="","",CALC_EPM!F26)</f>
      </c>
      <c r="G37" t="str">
        <f>IF(CALC_EPM!$B26="","",CALC_EPM!G26)</f>
      </c>
      <c r="H37" s="11" t="str">
        <f>IF(CALC_EPM!$B26="","",CALC_EPM!H26)</f>
      </c>
      <c r="I37" s="11" t="str">
        <f>IF(CALC_EPM!$B26="","",CALC_EPM!I26)</f>
      </c>
      <c r="J37" t="str">
        <f>IF(CALC_EPM!$B26="","",CALC_EPM!J26)</f>
      </c>
      <c r="K37" t="str">
        <f>IF(CALC_EPM!$B26="","",CALC_EPM!K26)</f>
      </c>
      <c r="L37">
        <f>IF(CALC_EPM!$B26="","",CALC_EPM!L26)</f>
      </c>
      <c r="M37">
        <f>IF(CALC_EPM!$B26="","",CALC_EPM!M26)</f>
      </c>
      <c r="N37">
        <f>IF(CALC_EPM!$B26="","",CALC_EPM!N26)</f>
      </c>
      <c r="O37">
        <f>IF(CALC_EPM!$B26="","",CALC_EPM!O26)</f>
      </c>
      <c r="P37">
        <f>IF(CALC_EPM!$B26="","",CALC_EPM!P26)</f>
      </c>
      <c r="Q37">
        <f>IF(CALC_EPM!$B26="","",CALC_EPM!Q26)</f>
      </c>
      <c r="R37">
        <f>IF(CALC_EPM!$B26="","",CALC_EPM!R26)</f>
      </c>
      <c r="S37">
        <f>IF(CALC_EPM!$B26="","",CALC_EPM!S26)</f>
      </c>
      <c r="T37">
        <f>IF(CALC_EPM!$B26="","",CALC_EPM!T26)</f>
      </c>
      <c r="U37">
        <f>IF(CALC_EPM!$B26="","",CALC_EPM!U26)</f>
      </c>
    </row>
    <row r="38">
      <c r="A38" t="str">
        <f>IF(CALC_EPM!$B27="","",IF(CALC_EPM!A27="GLOBAL",IF(CALC_EPM!C27="Total","GLOBAL",IF(CALC_EPM!C27="TotalEsp","GLOBAL_ESP",IF(CALC_EPM!C27="TotalNoEsp","GLOBAL_NOESP","GLOBAL_ASIG"))),IF(CALC_EPM!C27="Total","CURSO_TOTAL",IF(CALC_EPM!C27="TotalEsp","CURSO_ESP",IF(CALC_EPM!C27="TotalNoEsp","CURSO_NOESP","CURSO_ASIG")))))</f>
      </c>
      <c r="B38" t="str">
        <f>IF(CALC_EPM!$B27="","",CALC_EPM!A27)</f>
      </c>
      <c r="C38" t="str">
        <f>IF(CALC_EPM!$B27="","",CALC_EPM!B27)</f>
      </c>
      <c r="D38">
        <f>IF(CALC_EPM!$B27="","",CALC_EPM!D27)</f>
      </c>
      <c r="E38" s="10" t="str">
        <f>IF(CALC_EPM!$B27="","",CALC_EPM!E27)</f>
      </c>
      <c r="F38" s="10" t="str">
        <f>IF(CALC_EPM!$B27="","",CALC_EPM!F27)</f>
      </c>
      <c r="G38" t="str">
        <f>IF(CALC_EPM!$B27="","",CALC_EPM!G27)</f>
      </c>
      <c r="H38" s="11" t="str">
        <f>IF(CALC_EPM!$B27="","",CALC_EPM!H27)</f>
      </c>
      <c r="I38" s="11" t="str">
        <f>IF(CALC_EPM!$B27="","",CALC_EPM!I27)</f>
      </c>
      <c r="J38" t="str">
        <f>IF(CALC_EPM!$B27="","",CALC_EPM!J27)</f>
      </c>
      <c r="K38" t="str">
        <f>IF(CALC_EPM!$B27="","",CALC_EPM!K27)</f>
      </c>
      <c r="L38">
        <f>IF(CALC_EPM!$B27="","",CALC_EPM!L27)</f>
      </c>
      <c r="M38">
        <f>IF(CALC_EPM!$B27="","",CALC_EPM!M27)</f>
      </c>
      <c r="N38">
        <f>IF(CALC_EPM!$B27="","",CALC_EPM!N27)</f>
      </c>
      <c r="O38">
        <f>IF(CALC_EPM!$B27="","",CALC_EPM!O27)</f>
      </c>
      <c r="P38">
        <f>IF(CALC_EPM!$B27="","",CALC_EPM!P27)</f>
      </c>
      <c r="Q38">
        <f>IF(CALC_EPM!$B27="","",CALC_EPM!Q27)</f>
      </c>
      <c r="R38">
        <f>IF(CALC_EPM!$B27="","",CALC_EPM!R27)</f>
      </c>
      <c r="S38">
        <f>IF(CALC_EPM!$B27="","",CALC_EPM!S27)</f>
      </c>
      <c r="T38">
        <f>IF(CALC_EPM!$B27="","",CALC_EPM!T27)</f>
      </c>
      <c r="U38">
        <f>IF(CALC_EPM!$B27="","",CALC_EPM!U27)</f>
      </c>
    </row>
    <row r="39">
      <c r="A39" t="str">
        <f>IF(CALC_EPM!$B28="","",IF(CALC_EPM!A28="GLOBAL",IF(CALC_EPM!C28="Total","GLOBAL",IF(CALC_EPM!C28="TotalEsp","GLOBAL_ESP",IF(CALC_EPM!C28="TotalNoEsp","GLOBAL_NOESP","GLOBAL_ASIG"))),IF(CALC_EPM!C28="Total","CURSO_TOTAL",IF(CALC_EPM!C28="TotalEsp","CURSO_ESP",IF(CALC_EPM!C28="TotalNoEsp","CURSO_NOESP","CURSO_ASIG")))))</f>
      </c>
      <c r="B39" t="str">
        <f>IF(CALC_EPM!$B28="","",CALC_EPM!A28)</f>
      </c>
      <c r="C39" t="str">
        <f>IF(CALC_EPM!$B28="","",CALC_EPM!B28)</f>
      </c>
      <c r="D39">
        <f>IF(CALC_EPM!$B28="","",CALC_EPM!D28)</f>
      </c>
      <c r="E39" s="10" t="str">
        <f>IF(CALC_EPM!$B28="","",CALC_EPM!E28)</f>
      </c>
      <c r="F39" s="10" t="str">
        <f>IF(CALC_EPM!$B28="","",CALC_EPM!F28)</f>
      </c>
      <c r="G39" t="str">
        <f>IF(CALC_EPM!$B28="","",CALC_EPM!G28)</f>
      </c>
      <c r="H39" s="11" t="str">
        <f>IF(CALC_EPM!$B28="","",CALC_EPM!H28)</f>
      </c>
      <c r="I39" s="11" t="str">
        <f>IF(CALC_EPM!$B28="","",CALC_EPM!I28)</f>
      </c>
      <c r="J39" t="str">
        <f>IF(CALC_EPM!$B28="","",CALC_EPM!J28)</f>
      </c>
      <c r="K39" t="str">
        <f>IF(CALC_EPM!$B28="","",CALC_EPM!K28)</f>
      </c>
      <c r="L39">
        <f>IF(CALC_EPM!$B28="","",CALC_EPM!L28)</f>
      </c>
      <c r="M39">
        <f>IF(CALC_EPM!$B28="","",CALC_EPM!M28)</f>
      </c>
      <c r="N39">
        <f>IF(CALC_EPM!$B28="","",CALC_EPM!N28)</f>
      </c>
      <c r="O39">
        <f>IF(CALC_EPM!$B28="","",CALC_EPM!O28)</f>
      </c>
      <c r="P39">
        <f>IF(CALC_EPM!$B28="","",CALC_EPM!P28)</f>
      </c>
      <c r="Q39">
        <f>IF(CALC_EPM!$B28="","",CALC_EPM!Q28)</f>
      </c>
      <c r="R39">
        <f>IF(CALC_EPM!$B28="","",CALC_EPM!R28)</f>
      </c>
      <c r="S39">
        <f>IF(CALC_EPM!$B28="","",CALC_EPM!S28)</f>
      </c>
      <c r="T39">
        <f>IF(CALC_EPM!$B28="","",CALC_EPM!T28)</f>
      </c>
      <c r="U39">
        <f>IF(CALC_EPM!$B28="","",CALC_EPM!U28)</f>
      </c>
    </row>
    <row r="40">
      <c r="A40" t="str">
        <f>IF(CALC_EPM!$B29="","",IF(CALC_EPM!A29="GLOBAL",IF(CALC_EPM!C29="Total","GLOBAL",IF(CALC_EPM!C29="TotalEsp","GLOBAL_ESP",IF(CALC_EPM!C29="TotalNoEsp","GLOBAL_NOESP","GLOBAL_ASIG"))),IF(CALC_EPM!C29="Total","CURSO_TOTAL",IF(CALC_EPM!C29="TotalEsp","CURSO_ESP",IF(CALC_EPM!C29="TotalNoEsp","CURSO_NOESP","CURSO_ASIG")))))</f>
      </c>
      <c r="B40" t="str">
        <f>IF(CALC_EPM!$B29="","",CALC_EPM!A29)</f>
      </c>
      <c r="C40" t="str">
        <f>IF(CALC_EPM!$B29="","",CALC_EPM!B29)</f>
      </c>
      <c r="D40">
        <f>IF(CALC_EPM!$B29="","",CALC_EPM!D29)</f>
      </c>
      <c r="E40" s="10" t="str">
        <f>IF(CALC_EPM!$B29="","",CALC_EPM!E29)</f>
      </c>
      <c r="F40" s="10" t="str">
        <f>IF(CALC_EPM!$B29="","",CALC_EPM!F29)</f>
      </c>
      <c r="G40" t="str">
        <f>IF(CALC_EPM!$B29="","",CALC_EPM!G29)</f>
      </c>
      <c r="H40" s="11" t="str">
        <f>IF(CALC_EPM!$B29="","",CALC_EPM!H29)</f>
      </c>
      <c r="I40" s="11" t="str">
        <f>IF(CALC_EPM!$B29="","",CALC_EPM!I29)</f>
      </c>
      <c r="J40" t="str">
        <f>IF(CALC_EPM!$B29="","",CALC_EPM!J29)</f>
      </c>
      <c r="K40" t="str">
        <f>IF(CALC_EPM!$B29="","",CALC_EPM!K29)</f>
      </c>
      <c r="L40">
        <f>IF(CALC_EPM!$B29="","",CALC_EPM!L29)</f>
      </c>
      <c r="M40">
        <f>IF(CALC_EPM!$B29="","",CALC_EPM!M29)</f>
      </c>
      <c r="N40">
        <f>IF(CALC_EPM!$B29="","",CALC_EPM!N29)</f>
      </c>
      <c r="O40">
        <f>IF(CALC_EPM!$B29="","",CALC_EPM!O29)</f>
      </c>
      <c r="P40">
        <f>IF(CALC_EPM!$B29="","",CALC_EPM!P29)</f>
      </c>
      <c r="Q40">
        <f>IF(CALC_EPM!$B29="","",CALC_EPM!Q29)</f>
      </c>
      <c r="R40">
        <f>IF(CALC_EPM!$B29="","",CALC_EPM!R29)</f>
      </c>
      <c r="S40">
        <f>IF(CALC_EPM!$B29="","",CALC_EPM!S29)</f>
      </c>
      <c r="T40">
        <f>IF(CALC_EPM!$B29="","",CALC_EPM!T29)</f>
      </c>
      <c r="U40">
        <f>IF(CALC_EPM!$B29="","",CALC_EPM!U29)</f>
      </c>
    </row>
    <row r="41">
      <c r="A41" t="str">
        <f>IF(CALC_EPM!$B30="","",IF(CALC_EPM!A30="GLOBAL",IF(CALC_EPM!C30="Total","GLOBAL",IF(CALC_EPM!C30="TotalEsp","GLOBAL_ESP",IF(CALC_EPM!C30="TotalNoEsp","GLOBAL_NOESP","GLOBAL_ASIG"))),IF(CALC_EPM!C30="Total","CURSO_TOTAL",IF(CALC_EPM!C30="TotalEsp","CURSO_ESP",IF(CALC_EPM!C30="TotalNoEsp","CURSO_NOESP","CURSO_ASIG")))))</f>
      </c>
      <c r="B41" t="str">
        <f>IF(CALC_EPM!$B30="","",CALC_EPM!A30)</f>
      </c>
      <c r="C41" t="str">
        <f>IF(CALC_EPM!$B30="","",CALC_EPM!B30)</f>
      </c>
      <c r="D41">
        <f>IF(CALC_EPM!$B30="","",CALC_EPM!D30)</f>
      </c>
      <c r="E41" s="10" t="str">
        <f>IF(CALC_EPM!$B30="","",CALC_EPM!E30)</f>
      </c>
      <c r="F41" s="10" t="str">
        <f>IF(CALC_EPM!$B30="","",CALC_EPM!F30)</f>
      </c>
      <c r="G41" t="str">
        <f>IF(CALC_EPM!$B30="","",CALC_EPM!G30)</f>
      </c>
      <c r="H41" s="11" t="str">
        <f>IF(CALC_EPM!$B30="","",CALC_EPM!H30)</f>
      </c>
      <c r="I41" s="11" t="str">
        <f>IF(CALC_EPM!$B30="","",CALC_EPM!I30)</f>
      </c>
      <c r="J41" t="str">
        <f>IF(CALC_EPM!$B30="","",CALC_EPM!J30)</f>
      </c>
      <c r="K41" t="str">
        <f>IF(CALC_EPM!$B30="","",CALC_EPM!K30)</f>
      </c>
      <c r="L41">
        <f>IF(CALC_EPM!$B30="","",CALC_EPM!L30)</f>
      </c>
      <c r="M41">
        <f>IF(CALC_EPM!$B30="","",CALC_EPM!M30)</f>
      </c>
      <c r="N41">
        <f>IF(CALC_EPM!$B30="","",CALC_EPM!N30)</f>
      </c>
      <c r="O41">
        <f>IF(CALC_EPM!$B30="","",CALC_EPM!O30)</f>
      </c>
      <c r="P41">
        <f>IF(CALC_EPM!$B30="","",CALC_EPM!P30)</f>
      </c>
      <c r="Q41">
        <f>IF(CALC_EPM!$B30="","",CALC_EPM!Q30)</f>
      </c>
      <c r="R41">
        <f>IF(CALC_EPM!$B30="","",CALC_EPM!R30)</f>
      </c>
      <c r="S41">
        <f>IF(CALC_EPM!$B30="","",CALC_EPM!S30)</f>
      </c>
      <c r="T41">
        <f>IF(CALC_EPM!$B30="","",CALC_EPM!T30)</f>
      </c>
      <c r="U41">
        <f>IF(CALC_EPM!$B30="","",CALC_EPM!U30)</f>
      </c>
    </row>
    <row r="42">
      <c r="A42" t="str">
        <f>IF(CALC_EPM!$B31="","",IF(CALC_EPM!A31="GLOBAL",IF(CALC_EPM!C31="Total","GLOBAL",IF(CALC_EPM!C31="TotalEsp","GLOBAL_ESP",IF(CALC_EPM!C31="TotalNoEsp","GLOBAL_NOESP","GLOBAL_ASIG"))),IF(CALC_EPM!C31="Total","CURSO_TOTAL",IF(CALC_EPM!C31="TotalEsp","CURSO_ESP",IF(CALC_EPM!C31="TotalNoEsp","CURSO_NOESP","CURSO_ASIG")))))</f>
      </c>
      <c r="B42" t="str">
        <f>IF(CALC_EPM!$B31="","",CALC_EPM!A31)</f>
      </c>
      <c r="C42" t="str">
        <f>IF(CALC_EPM!$B31="","",CALC_EPM!B31)</f>
      </c>
      <c r="D42">
        <f>IF(CALC_EPM!$B31="","",CALC_EPM!D31)</f>
      </c>
      <c r="E42" s="10" t="str">
        <f>IF(CALC_EPM!$B31="","",CALC_EPM!E31)</f>
      </c>
      <c r="F42" s="10" t="str">
        <f>IF(CALC_EPM!$B31="","",CALC_EPM!F31)</f>
      </c>
      <c r="G42" t="str">
        <f>IF(CALC_EPM!$B31="","",CALC_EPM!G31)</f>
      </c>
      <c r="H42" s="11" t="str">
        <f>IF(CALC_EPM!$B31="","",CALC_EPM!H31)</f>
      </c>
      <c r="I42" s="11" t="str">
        <f>IF(CALC_EPM!$B31="","",CALC_EPM!I31)</f>
      </c>
      <c r="J42" t="str">
        <f>IF(CALC_EPM!$B31="","",CALC_EPM!J31)</f>
      </c>
      <c r="K42" t="str">
        <f>IF(CALC_EPM!$B31="","",CALC_EPM!K31)</f>
      </c>
      <c r="L42">
        <f>IF(CALC_EPM!$B31="","",CALC_EPM!L31)</f>
      </c>
      <c r="M42">
        <f>IF(CALC_EPM!$B31="","",CALC_EPM!M31)</f>
      </c>
      <c r="N42">
        <f>IF(CALC_EPM!$B31="","",CALC_EPM!N31)</f>
      </c>
      <c r="O42">
        <f>IF(CALC_EPM!$B31="","",CALC_EPM!O31)</f>
      </c>
      <c r="P42">
        <f>IF(CALC_EPM!$B31="","",CALC_EPM!P31)</f>
      </c>
      <c r="Q42">
        <f>IF(CALC_EPM!$B31="","",CALC_EPM!Q31)</f>
      </c>
      <c r="R42">
        <f>IF(CALC_EPM!$B31="","",CALC_EPM!R31)</f>
      </c>
      <c r="S42">
        <f>IF(CALC_EPM!$B31="","",CALC_EPM!S31)</f>
      </c>
      <c r="T42">
        <f>IF(CALC_EPM!$B31="","",CALC_EPM!T31)</f>
      </c>
      <c r="U42">
        <f>IF(CALC_EPM!$B31="","",CALC_EPM!U31)</f>
      </c>
    </row>
    <row r="43">
      <c r="A43" t="str">
        <f>IF(CALC_EPM!$B32="","",IF(CALC_EPM!A32="GLOBAL",IF(CALC_EPM!C32="Total","GLOBAL",IF(CALC_EPM!C32="TotalEsp","GLOBAL_ESP",IF(CALC_EPM!C32="TotalNoEsp","GLOBAL_NOESP","GLOBAL_ASIG"))),IF(CALC_EPM!C32="Total","CURSO_TOTAL",IF(CALC_EPM!C32="TotalEsp","CURSO_ESP",IF(CALC_EPM!C32="TotalNoEsp","CURSO_NOESP","CURSO_ASIG")))))</f>
      </c>
      <c r="B43" t="str">
        <f>IF(CALC_EPM!$B32="","",CALC_EPM!A32)</f>
      </c>
      <c r="C43" t="str">
        <f>IF(CALC_EPM!$B32="","",CALC_EPM!B32)</f>
      </c>
      <c r="D43">
        <f>IF(CALC_EPM!$B32="","",CALC_EPM!D32)</f>
      </c>
      <c r="E43" s="10" t="str">
        <f>IF(CALC_EPM!$B32="","",CALC_EPM!E32)</f>
      </c>
      <c r="F43" s="10" t="str">
        <f>IF(CALC_EPM!$B32="","",CALC_EPM!F32)</f>
      </c>
      <c r="G43" t="str">
        <f>IF(CALC_EPM!$B32="","",CALC_EPM!G32)</f>
      </c>
      <c r="H43" s="11" t="str">
        <f>IF(CALC_EPM!$B32="","",CALC_EPM!H32)</f>
      </c>
      <c r="I43" s="11" t="str">
        <f>IF(CALC_EPM!$B32="","",CALC_EPM!I32)</f>
      </c>
      <c r="J43" t="str">
        <f>IF(CALC_EPM!$B32="","",CALC_EPM!J32)</f>
      </c>
      <c r="K43" t="str">
        <f>IF(CALC_EPM!$B32="","",CALC_EPM!K32)</f>
      </c>
      <c r="L43">
        <f>IF(CALC_EPM!$B32="","",CALC_EPM!L32)</f>
      </c>
      <c r="M43">
        <f>IF(CALC_EPM!$B32="","",CALC_EPM!M32)</f>
      </c>
      <c r="N43">
        <f>IF(CALC_EPM!$B32="","",CALC_EPM!N32)</f>
      </c>
      <c r="O43">
        <f>IF(CALC_EPM!$B32="","",CALC_EPM!O32)</f>
      </c>
      <c r="P43">
        <f>IF(CALC_EPM!$B32="","",CALC_EPM!P32)</f>
      </c>
      <c r="Q43">
        <f>IF(CALC_EPM!$B32="","",CALC_EPM!Q32)</f>
      </c>
      <c r="R43">
        <f>IF(CALC_EPM!$B32="","",CALC_EPM!R32)</f>
      </c>
      <c r="S43">
        <f>IF(CALC_EPM!$B32="","",CALC_EPM!S32)</f>
      </c>
      <c r="T43">
        <f>IF(CALC_EPM!$B32="","",CALC_EPM!T32)</f>
      </c>
      <c r="U43">
        <f>IF(CALC_EPM!$B32="","",CALC_EPM!U32)</f>
      </c>
    </row>
    <row r="44">
      <c r="A44" t="str">
        <f>IF(CALC_EPM!$B33="","",IF(CALC_EPM!A33="GLOBAL",IF(CALC_EPM!C33="Total","GLOBAL",IF(CALC_EPM!C33="TotalEsp","GLOBAL_ESP",IF(CALC_EPM!C33="TotalNoEsp","GLOBAL_NOESP","GLOBAL_ASIG"))),IF(CALC_EPM!C33="Total","CURSO_TOTAL",IF(CALC_EPM!C33="TotalEsp","CURSO_ESP",IF(CALC_EPM!C33="TotalNoEsp","CURSO_NOESP","CURSO_ASIG")))))</f>
      </c>
      <c r="B44" t="str">
        <f>IF(CALC_EPM!$B33="","",CALC_EPM!A33)</f>
      </c>
      <c r="C44" t="str">
        <f>IF(CALC_EPM!$B33="","",CALC_EPM!B33)</f>
      </c>
      <c r="D44">
        <f>IF(CALC_EPM!$B33="","",CALC_EPM!D33)</f>
      </c>
      <c r="E44" s="10" t="str">
        <f>IF(CALC_EPM!$B33="","",CALC_EPM!E33)</f>
      </c>
      <c r="F44" s="10" t="str">
        <f>IF(CALC_EPM!$B33="","",CALC_EPM!F33)</f>
      </c>
      <c r="G44" t="str">
        <f>IF(CALC_EPM!$B33="","",CALC_EPM!G33)</f>
      </c>
      <c r="H44" s="11" t="str">
        <f>IF(CALC_EPM!$B33="","",CALC_EPM!H33)</f>
      </c>
      <c r="I44" s="11" t="str">
        <f>IF(CALC_EPM!$B33="","",CALC_EPM!I33)</f>
      </c>
      <c r="J44" t="str">
        <f>IF(CALC_EPM!$B33="","",CALC_EPM!J33)</f>
      </c>
      <c r="K44" t="str">
        <f>IF(CALC_EPM!$B33="","",CALC_EPM!K33)</f>
      </c>
      <c r="L44">
        <f>IF(CALC_EPM!$B33="","",CALC_EPM!L33)</f>
      </c>
      <c r="M44">
        <f>IF(CALC_EPM!$B33="","",CALC_EPM!M33)</f>
      </c>
      <c r="N44">
        <f>IF(CALC_EPM!$B33="","",CALC_EPM!N33)</f>
      </c>
      <c r="O44">
        <f>IF(CALC_EPM!$B33="","",CALC_EPM!O33)</f>
      </c>
      <c r="P44">
        <f>IF(CALC_EPM!$B33="","",CALC_EPM!P33)</f>
      </c>
      <c r="Q44">
        <f>IF(CALC_EPM!$B33="","",CALC_EPM!Q33)</f>
      </c>
      <c r="R44">
        <f>IF(CALC_EPM!$B33="","",CALC_EPM!R33)</f>
      </c>
      <c r="S44">
        <f>IF(CALC_EPM!$B33="","",CALC_EPM!S33)</f>
      </c>
      <c r="T44">
        <f>IF(CALC_EPM!$B33="","",CALC_EPM!T33)</f>
      </c>
      <c r="U44">
        <f>IF(CALC_EPM!$B33="","",CALC_EPM!U33)</f>
      </c>
    </row>
    <row r="45">
      <c r="A45" t="str">
        <f>IF(CALC_EPM!$B34="","",IF(CALC_EPM!A34="GLOBAL",IF(CALC_EPM!C34="Total","GLOBAL",IF(CALC_EPM!C34="TotalEsp","GLOBAL_ESP",IF(CALC_EPM!C34="TotalNoEsp","GLOBAL_NOESP","GLOBAL_ASIG"))),IF(CALC_EPM!C34="Total","CURSO_TOTAL",IF(CALC_EPM!C34="TotalEsp","CURSO_ESP",IF(CALC_EPM!C34="TotalNoEsp","CURSO_NOESP","CURSO_ASIG")))))</f>
      </c>
      <c r="B45" t="str">
        <f>IF(CALC_EPM!$B34="","",CALC_EPM!A34)</f>
      </c>
      <c r="C45" t="str">
        <f>IF(CALC_EPM!$B34="","",CALC_EPM!B34)</f>
      </c>
      <c r="D45">
        <f>IF(CALC_EPM!$B34="","",CALC_EPM!D34)</f>
      </c>
      <c r="E45" s="10" t="str">
        <f>IF(CALC_EPM!$B34="","",CALC_EPM!E34)</f>
      </c>
      <c r="F45" s="10" t="str">
        <f>IF(CALC_EPM!$B34="","",CALC_EPM!F34)</f>
      </c>
      <c r="G45" t="str">
        <f>IF(CALC_EPM!$B34="","",CALC_EPM!G34)</f>
      </c>
      <c r="H45" s="11" t="str">
        <f>IF(CALC_EPM!$B34="","",CALC_EPM!H34)</f>
      </c>
      <c r="I45" s="11" t="str">
        <f>IF(CALC_EPM!$B34="","",CALC_EPM!I34)</f>
      </c>
      <c r="J45" t="str">
        <f>IF(CALC_EPM!$B34="","",CALC_EPM!J34)</f>
      </c>
      <c r="K45" t="str">
        <f>IF(CALC_EPM!$B34="","",CALC_EPM!K34)</f>
      </c>
      <c r="L45">
        <f>IF(CALC_EPM!$B34="","",CALC_EPM!L34)</f>
      </c>
      <c r="M45">
        <f>IF(CALC_EPM!$B34="","",CALC_EPM!M34)</f>
      </c>
      <c r="N45">
        <f>IF(CALC_EPM!$B34="","",CALC_EPM!N34)</f>
      </c>
      <c r="O45">
        <f>IF(CALC_EPM!$B34="","",CALC_EPM!O34)</f>
      </c>
      <c r="P45">
        <f>IF(CALC_EPM!$B34="","",CALC_EPM!P34)</f>
      </c>
      <c r="Q45">
        <f>IF(CALC_EPM!$B34="","",CALC_EPM!Q34)</f>
      </c>
      <c r="R45">
        <f>IF(CALC_EPM!$B34="","",CALC_EPM!R34)</f>
      </c>
      <c r="S45">
        <f>IF(CALC_EPM!$B34="","",CALC_EPM!S34)</f>
      </c>
      <c r="T45">
        <f>IF(CALC_EPM!$B34="","",CALC_EPM!T34)</f>
      </c>
      <c r="U45">
        <f>IF(CALC_EPM!$B34="","",CALC_EPM!U34)</f>
      </c>
    </row>
    <row r="46">
      <c r="A46" t="str">
        <f>IF(CALC_EPM!$B35="","",IF(CALC_EPM!A35="GLOBAL",IF(CALC_EPM!C35="Total","GLOBAL",IF(CALC_EPM!C35="TotalEsp","GLOBAL_ESP",IF(CALC_EPM!C35="TotalNoEsp","GLOBAL_NOESP","GLOBAL_ASIG"))),IF(CALC_EPM!C35="Total","CURSO_TOTAL",IF(CALC_EPM!C35="TotalEsp","CURSO_ESP",IF(CALC_EPM!C35="TotalNoEsp","CURSO_NOESP","CURSO_ASIG")))))</f>
      </c>
      <c r="B46" t="str">
        <f>IF(CALC_EPM!$B35="","",CALC_EPM!A35)</f>
      </c>
      <c r="C46" t="str">
        <f>IF(CALC_EPM!$B35="","",CALC_EPM!B35)</f>
      </c>
      <c r="D46">
        <f>IF(CALC_EPM!$B35="","",CALC_EPM!D35)</f>
      </c>
      <c r="E46" s="10" t="str">
        <f>IF(CALC_EPM!$B35="","",CALC_EPM!E35)</f>
      </c>
      <c r="F46" s="10" t="str">
        <f>IF(CALC_EPM!$B35="","",CALC_EPM!F35)</f>
      </c>
      <c r="G46" t="str">
        <f>IF(CALC_EPM!$B35="","",CALC_EPM!G35)</f>
      </c>
      <c r="H46" s="11" t="str">
        <f>IF(CALC_EPM!$B35="","",CALC_EPM!H35)</f>
      </c>
      <c r="I46" s="11" t="str">
        <f>IF(CALC_EPM!$B35="","",CALC_EPM!I35)</f>
      </c>
      <c r="J46" t="str">
        <f>IF(CALC_EPM!$B35="","",CALC_EPM!J35)</f>
      </c>
      <c r="K46" t="str">
        <f>IF(CALC_EPM!$B35="","",CALC_EPM!K35)</f>
      </c>
      <c r="L46">
        <f>IF(CALC_EPM!$B35="","",CALC_EPM!L35)</f>
      </c>
      <c r="M46">
        <f>IF(CALC_EPM!$B35="","",CALC_EPM!M35)</f>
      </c>
      <c r="N46">
        <f>IF(CALC_EPM!$B35="","",CALC_EPM!N35)</f>
      </c>
      <c r="O46">
        <f>IF(CALC_EPM!$B35="","",CALC_EPM!O35)</f>
      </c>
      <c r="P46">
        <f>IF(CALC_EPM!$B35="","",CALC_EPM!P35)</f>
      </c>
      <c r="Q46">
        <f>IF(CALC_EPM!$B35="","",CALC_EPM!Q35)</f>
      </c>
      <c r="R46">
        <f>IF(CALC_EPM!$B35="","",CALC_EPM!R35)</f>
      </c>
      <c r="S46">
        <f>IF(CALC_EPM!$B35="","",CALC_EPM!S35)</f>
      </c>
      <c r="T46">
        <f>IF(CALC_EPM!$B35="","",CALC_EPM!T35)</f>
      </c>
      <c r="U46">
        <f>IF(CALC_EPM!$B35="","",CALC_EPM!U35)</f>
      </c>
    </row>
    <row r="47">
      <c r="A47" t="str">
        <f>IF(CALC_EPM!$B36="","",IF(CALC_EPM!A36="GLOBAL",IF(CALC_EPM!C36="Total","GLOBAL",IF(CALC_EPM!C36="TotalEsp","GLOBAL_ESP",IF(CALC_EPM!C36="TotalNoEsp","GLOBAL_NOESP","GLOBAL_ASIG"))),IF(CALC_EPM!C36="Total","CURSO_TOTAL",IF(CALC_EPM!C36="TotalEsp","CURSO_ESP",IF(CALC_EPM!C36="TotalNoEsp","CURSO_NOESP","CURSO_ASIG")))))</f>
      </c>
      <c r="B47" t="str">
        <f>IF(CALC_EPM!$B36="","",CALC_EPM!A36)</f>
      </c>
      <c r="C47" t="str">
        <f>IF(CALC_EPM!$B36="","",CALC_EPM!B36)</f>
      </c>
      <c r="D47">
        <f>IF(CALC_EPM!$B36="","",CALC_EPM!D36)</f>
      </c>
      <c r="E47" s="10" t="str">
        <f>IF(CALC_EPM!$B36="","",CALC_EPM!E36)</f>
      </c>
      <c r="F47" s="10" t="str">
        <f>IF(CALC_EPM!$B36="","",CALC_EPM!F36)</f>
      </c>
      <c r="G47" t="str">
        <f>IF(CALC_EPM!$B36="","",CALC_EPM!G36)</f>
      </c>
      <c r="H47" s="11" t="str">
        <f>IF(CALC_EPM!$B36="","",CALC_EPM!H36)</f>
      </c>
      <c r="I47" s="11" t="str">
        <f>IF(CALC_EPM!$B36="","",CALC_EPM!I36)</f>
      </c>
      <c r="J47" t="str">
        <f>IF(CALC_EPM!$B36="","",CALC_EPM!J36)</f>
      </c>
      <c r="K47" t="str">
        <f>IF(CALC_EPM!$B36="","",CALC_EPM!K36)</f>
      </c>
      <c r="L47">
        <f>IF(CALC_EPM!$B36="","",CALC_EPM!L36)</f>
      </c>
      <c r="M47">
        <f>IF(CALC_EPM!$B36="","",CALC_EPM!M36)</f>
      </c>
      <c r="N47">
        <f>IF(CALC_EPM!$B36="","",CALC_EPM!N36)</f>
      </c>
      <c r="O47">
        <f>IF(CALC_EPM!$B36="","",CALC_EPM!O36)</f>
      </c>
      <c r="P47">
        <f>IF(CALC_EPM!$B36="","",CALC_EPM!P36)</f>
      </c>
      <c r="Q47">
        <f>IF(CALC_EPM!$B36="","",CALC_EPM!Q36)</f>
      </c>
      <c r="R47">
        <f>IF(CALC_EPM!$B36="","",CALC_EPM!R36)</f>
      </c>
      <c r="S47">
        <f>IF(CALC_EPM!$B36="","",CALC_EPM!S36)</f>
      </c>
      <c r="T47">
        <f>IF(CALC_EPM!$B36="","",CALC_EPM!T36)</f>
      </c>
      <c r="U47">
        <f>IF(CALC_EPM!$B36="","",CALC_EPM!U36)</f>
      </c>
    </row>
    <row r="48">
      <c r="A48" t="str">
        <f>IF(CALC_EPM!$B37="","",IF(CALC_EPM!A37="GLOBAL",IF(CALC_EPM!C37="Total","GLOBAL",IF(CALC_EPM!C37="TotalEsp","GLOBAL_ESP",IF(CALC_EPM!C37="TotalNoEsp","GLOBAL_NOESP","GLOBAL_ASIG"))),IF(CALC_EPM!C37="Total","CURSO_TOTAL",IF(CALC_EPM!C37="TotalEsp","CURSO_ESP",IF(CALC_EPM!C37="TotalNoEsp","CURSO_NOESP","CURSO_ASIG")))))</f>
      </c>
      <c r="B48" t="str">
        <f>IF(CALC_EPM!$B37="","",CALC_EPM!A37)</f>
      </c>
      <c r="C48" t="str">
        <f>IF(CALC_EPM!$B37="","",CALC_EPM!B37)</f>
      </c>
      <c r="D48">
        <f>IF(CALC_EPM!$B37="","",CALC_EPM!D37)</f>
      </c>
      <c r="E48" s="10" t="str">
        <f>IF(CALC_EPM!$B37="","",CALC_EPM!E37)</f>
      </c>
      <c r="F48" s="10" t="str">
        <f>IF(CALC_EPM!$B37="","",CALC_EPM!F37)</f>
      </c>
      <c r="G48" t="str">
        <f>IF(CALC_EPM!$B37="","",CALC_EPM!G37)</f>
      </c>
      <c r="H48" s="11" t="str">
        <f>IF(CALC_EPM!$B37="","",CALC_EPM!H37)</f>
      </c>
      <c r="I48" s="11" t="str">
        <f>IF(CALC_EPM!$B37="","",CALC_EPM!I37)</f>
      </c>
      <c r="J48" t="str">
        <f>IF(CALC_EPM!$B37="","",CALC_EPM!J37)</f>
      </c>
      <c r="K48" t="str">
        <f>IF(CALC_EPM!$B37="","",CALC_EPM!K37)</f>
      </c>
      <c r="L48">
        <f>IF(CALC_EPM!$B37="","",CALC_EPM!L37)</f>
      </c>
      <c r="M48">
        <f>IF(CALC_EPM!$B37="","",CALC_EPM!M37)</f>
      </c>
      <c r="N48">
        <f>IF(CALC_EPM!$B37="","",CALC_EPM!N37)</f>
      </c>
      <c r="O48">
        <f>IF(CALC_EPM!$B37="","",CALC_EPM!O37)</f>
      </c>
      <c r="P48">
        <f>IF(CALC_EPM!$B37="","",CALC_EPM!P37)</f>
      </c>
      <c r="Q48">
        <f>IF(CALC_EPM!$B37="","",CALC_EPM!Q37)</f>
      </c>
      <c r="R48">
        <f>IF(CALC_EPM!$B37="","",CALC_EPM!R37)</f>
      </c>
      <c r="S48">
        <f>IF(CALC_EPM!$B37="","",CALC_EPM!S37)</f>
      </c>
      <c r="T48">
        <f>IF(CALC_EPM!$B37="","",CALC_EPM!T37)</f>
      </c>
      <c r="U48">
        <f>IF(CALC_EPM!$B37="","",CALC_EPM!U37)</f>
      </c>
    </row>
    <row r="49">
      <c r="A49" t="str">
        <f>IF(CALC_EPM!$B38="","",IF(CALC_EPM!A38="GLOBAL",IF(CALC_EPM!C38="Total","GLOBAL",IF(CALC_EPM!C38="TotalEsp","GLOBAL_ESP",IF(CALC_EPM!C38="TotalNoEsp","GLOBAL_NOESP","GLOBAL_ASIG"))),IF(CALC_EPM!C38="Total","CURSO_TOTAL",IF(CALC_EPM!C38="TotalEsp","CURSO_ESP",IF(CALC_EPM!C38="TotalNoEsp","CURSO_NOESP","CURSO_ASIG")))))</f>
      </c>
      <c r="B49" t="str">
        <f>IF(CALC_EPM!$B38="","",CALC_EPM!A38)</f>
      </c>
      <c r="C49" t="str">
        <f>IF(CALC_EPM!$B38="","",CALC_EPM!B38)</f>
      </c>
      <c r="D49">
        <f>IF(CALC_EPM!$B38="","",CALC_EPM!D38)</f>
      </c>
      <c r="E49" s="10" t="str">
        <f>IF(CALC_EPM!$B38="","",CALC_EPM!E38)</f>
      </c>
      <c r="F49" s="10" t="str">
        <f>IF(CALC_EPM!$B38="","",CALC_EPM!F38)</f>
      </c>
      <c r="G49" t="str">
        <f>IF(CALC_EPM!$B38="","",CALC_EPM!G38)</f>
      </c>
      <c r="H49" s="11" t="str">
        <f>IF(CALC_EPM!$B38="","",CALC_EPM!H38)</f>
      </c>
      <c r="I49" s="11" t="str">
        <f>IF(CALC_EPM!$B38="","",CALC_EPM!I38)</f>
      </c>
      <c r="J49" t="str">
        <f>IF(CALC_EPM!$B38="","",CALC_EPM!J38)</f>
      </c>
      <c r="K49" t="str">
        <f>IF(CALC_EPM!$B38="","",CALC_EPM!K38)</f>
      </c>
      <c r="L49">
        <f>IF(CALC_EPM!$B38="","",CALC_EPM!L38)</f>
      </c>
      <c r="M49">
        <f>IF(CALC_EPM!$B38="","",CALC_EPM!M38)</f>
      </c>
      <c r="N49">
        <f>IF(CALC_EPM!$B38="","",CALC_EPM!N38)</f>
      </c>
      <c r="O49">
        <f>IF(CALC_EPM!$B38="","",CALC_EPM!O38)</f>
      </c>
      <c r="P49">
        <f>IF(CALC_EPM!$B38="","",CALC_EPM!P38)</f>
      </c>
      <c r="Q49">
        <f>IF(CALC_EPM!$B38="","",CALC_EPM!Q38)</f>
      </c>
      <c r="R49">
        <f>IF(CALC_EPM!$B38="","",CALC_EPM!R38)</f>
      </c>
      <c r="S49">
        <f>IF(CALC_EPM!$B38="","",CALC_EPM!S38)</f>
      </c>
      <c r="T49">
        <f>IF(CALC_EPM!$B38="","",CALC_EPM!T38)</f>
      </c>
      <c r="U49">
        <f>IF(CALC_EPM!$B38="","",CALC_EPM!U38)</f>
      </c>
    </row>
    <row r="50">
      <c r="A50" t="str">
        <f>IF(CALC_EPM!$B39="","",IF(CALC_EPM!A39="GLOBAL",IF(CALC_EPM!C39="Total","GLOBAL",IF(CALC_EPM!C39="TotalEsp","GLOBAL_ESP",IF(CALC_EPM!C39="TotalNoEsp","GLOBAL_NOESP","GLOBAL_ASIG"))),IF(CALC_EPM!C39="Total","CURSO_TOTAL",IF(CALC_EPM!C39="TotalEsp","CURSO_ESP",IF(CALC_EPM!C39="TotalNoEsp","CURSO_NOESP","CURSO_ASIG")))))</f>
      </c>
      <c r="B50" t="str">
        <f>IF(CALC_EPM!$B39="","",CALC_EPM!A39)</f>
      </c>
      <c r="C50" t="str">
        <f>IF(CALC_EPM!$B39="","",CALC_EPM!B39)</f>
      </c>
      <c r="D50">
        <f>IF(CALC_EPM!$B39="","",CALC_EPM!D39)</f>
      </c>
      <c r="E50" s="10" t="str">
        <f>IF(CALC_EPM!$B39="","",CALC_EPM!E39)</f>
      </c>
      <c r="F50" s="10" t="str">
        <f>IF(CALC_EPM!$B39="","",CALC_EPM!F39)</f>
      </c>
      <c r="G50" t="str">
        <f>IF(CALC_EPM!$B39="","",CALC_EPM!G39)</f>
      </c>
      <c r="H50" s="11" t="str">
        <f>IF(CALC_EPM!$B39="","",CALC_EPM!H39)</f>
      </c>
      <c r="I50" s="11" t="str">
        <f>IF(CALC_EPM!$B39="","",CALC_EPM!I39)</f>
      </c>
      <c r="J50" t="str">
        <f>IF(CALC_EPM!$B39="","",CALC_EPM!J39)</f>
      </c>
      <c r="K50" t="str">
        <f>IF(CALC_EPM!$B39="","",CALC_EPM!K39)</f>
      </c>
      <c r="L50">
        <f>IF(CALC_EPM!$B39="","",CALC_EPM!L39)</f>
      </c>
      <c r="M50">
        <f>IF(CALC_EPM!$B39="","",CALC_EPM!M39)</f>
      </c>
      <c r="N50">
        <f>IF(CALC_EPM!$B39="","",CALC_EPM!N39)</f>
      </c>
      <c r="O50">
        <f>IF(CALC_EPM!$B39="","",CALC_EPM!O39)</f>
      </c>
      <c r="P50">
        <f>IF(CALC_EPM!$B39="","",CALC_EPM!P39)</f>
      </c>
      <c r="Q50">
        <f>IF(CALC_EPM!$B39="","",CALC_EPM!Q39)</f>
      </c>
      <c r="R50">
        <f>IF(CALC_EPM!$B39="","",CALC_EPM!R39)</f>
      </c>
      <c r="S50">
        <f>IF(CALC_EPM!$B39="","",CALC_EPM!S39)</f>
      </c>
      <c r="T50">
        <f>IF(CALC_EPM!$B39="","",CALC_EPM!T39)</f>
      </c>
      <c r="U50">
        <f>IF(CALC_EPM!$B39="","",CALC_EPM!U39)</f>
      </c>
    </row>
    <row r="51">
      <c r="A51" t="str">
        <f>IF(CALC_EPM!$B40="","",IF(CALC_EPM!A40="GLOBAL",IF(CALC_EPM!C40="Total","GLOBAL",IF(CALC_EPM!C40="TotalEsp","GLOBAL_ESP",IF(CALC_EPM!C40="TotalNoEsp","GLOBAL_NOESP","GLOBAL_ASIG"))),IF(CALC_EPM!C40="Total","CURSO_TOTAL",IF(CALC_EPM!C40="TotalEsp","CURSO_ESP",IF(CALC_EPM!C40="TotalNoEsp","CURSO_NOESP","CURSO_ASIG")))))</f>
      </c>
      <c r="B51" t="str">
        <f>IF(CALC_EPM!$B40="","",CALC_EPM!A40)</f>
      </c>
      <c r="C51" t="str">
        <f>IF(CALC_EPM!$B40="","",CALC_EPM!B40)</f>
      </c>
      <c r="D51">
        <f>IF(CALC_EPM!$B40="","",CALC_EPM!D40)</f>
      </c>
      <c r="E51" s="10" t="str">
        <f>IF(CALC_EPM!$B40="","",CALC_EPM!E40)</f>
      </c>
      <c r="F51" s="10" t="str">
        <f>IF(CALC_EPM!$B40="","",CALC_EPM!F40)</f>
      </c>
      <c r="G51" t="str">
        <f>IF(CALC_EPM!$B40="","",CALC_EPM!G40)</f>
      </c>
      <c r="H51" s="11" t="str">
        <f>IF(CALC_EPM!$B40="","",CALC_EPM!H40)</f>
      </c>
      <c r="I51" s="11" t="str">
        <f>IF(CALC_EPM!$B40="","",CALC_EPM!I40)</f>
      </c>
      <c r="J51" t="str">
        <f>IF(CALC_EPM!$B40="","",CALC_EPM!J40)</f>
      </c>
      <c r="K51" t="str">
        <f>IF(CALC_EPM!$B40="","",CALC_EPM!K40)</f>
      </c>
      <c r="L51">
        <f>IF(CALC_EPM!$B40="","",CALC_EPM!L40)</f>
      </c>
      <c r="M51">
        <f>IF(CALC_EPM!$B40="","",CALC_EPM!M40)</f>
      </c>
      <c r="N51">
        <f>IF(CALC_EPM!$B40="","",CALC_EPM!N40)</f>
      </c>
      <c r="O51">
        <f>IF(CALC_EPM!$B40="","",CALC_EPM!O40)</f>
      </c>
      <c r="P51">
        <f>IF(CALC_EPM!$B40="","",CALC_EPM!P40)</f>
      </c>
      <c r="Q51">
        <f>IF(CALC_EPM!$B40="","",CALC_EPM!Q40)</f>
      </c>
      <c r="R51">
        <f>IF(CALC_EPM!$B40="","",CALC_EPM!R40)</f>
      </c>
      <c r="S51">
        <f>IF(CALC_EPM!$B40="","",CALC_EPM!S40)</f>
      </c>
      <c r="T51">
        <f>IF(CALC_EPM!$B40="","",CALC_EPM!T40)</f>
      </c>
      <c r="U51">
        <f>IF(CALC_EPM!$B40="","",CALC_EPM!U40)</f>
      </c>
    </row>
    <row r="52">
      <c r="A52" t="str">
        <f>IF(CALC_EPM!$B41="","",IF(CALC_EPM!A41="GLOBAL",IF(CALC_EPM!C41="Total","GLOBAL",IF(CALC_EPM!C41="TotalEsp","GLOBAL_ESP",IF(CALC_EPM!C41="TotalNoEsp","GLOBAL_NOESP","GLOBAL_ASIG"))),IF(CALC_EPM!C41="Total","CURSO_TOTAL",IF(CALC_EPM!C41="TotalEsp","CURSO_ESP",IF(CALC_EPM!C41="TotalNoEsp","CURSO_NOESP","CURSO_ASIG")))))</f>
      </c>
      <c r="B52" t="str">
        <f>IF(CALC_EPM!$B41="","",CALC_EPM!A41)</f>
      </c>
      <c r="C52" t="str">
        <f>IF(CALC_EPM!$B41="","",CALC_EPM!B41)</f>
      </c>
      <c r="D52">
        <f>IF(CALC_EPM!$B41="","",CALC_EPM!D41)</f>
      </c>
      <c r="E52" s="10" t="str">
        <f>IF(CALC_EPM!$B41="","",CALC_EPM!E41)</f>
      </c>
      <c r="F52" s="10" t="str">
        <f>IF(CALC_EPM!$B41="","",CALC_EPM!F41)</f>
      </c>
      <c r="G52" t="str">
        <f>IF(CALC_EPM!$B41="","",CALC_EPM!G41)</f>
      </c>
      <c r="H52" s="11" t="str">
        <f>IF(CALC_EPM!$B41="","",CALC_EPM!H41)</f>
      </c>
      <c r="I52" s="11" t="str">
        <f>IF(CALC_EPM!$B41="","",CALC_EPM!I41)</f>
      </c>
      <c r="J52" t="str">
        <f>IF(CALC_EPM!$B41="","",CALC_EPM!J41)</f>
      </c>
      <c r="K52" t="str">
        <f>IF(CALC_EPM!$B41="","",CALC_EPM!K41)</f>
      </c>
      <c r="L52">
        <f>IF(CALC_EPM!$B41="","",CALC_EPM!L41)</f>
      </c>
      <c r="M52">
        <f>IF(CALC_EPM!$B41="","",CALC_EPM!M41)</f>
      </c>
      <c r="N52">
        <f>IF(CALC_EPM!$B41="","",CALC_EPM!N41)</f>
      </c>
      <c r="O52">
        <f>IF(CALC_EPM!$B41="","",CALC_EPM!O41)</f>
      </c>
      <c r="P52">
        <f>IF(CALC_EPM!$B41="","",CALC_EPM!P41)</f>
      </c>
      <c r="Q52">
        <f>IF(CALC_EPM!$B41="","",CALC_EPM!Q41)</f>
      </c>
      <c r="R52">
        <f>IF(CALC_EPM!$B41="","",CALC_EPM!R41)</f>
      </c>
      <c r="S52">
        <f>IF(CALC_EPM!$B41="","",CALC_EPM!S41)</f>
      </c>
      <c r="T52">
        <f>IF(CALC_EPM!$B41="","",CALC_EPM!T41)</f>
      </c>
      <c r="U52">
        <f>IF(CALC_EPM!$B41="","",CALC_EPM!U41)</f>
      </c>
    </row>
    <row r="53">
      <c r="A53" t="str">
        <f>IF(CALC_EPM!$B42="","",IF(CALC_EPM!A42="GLOBAL",IF(CALC_EPM!C42="Total","GLOBAL",IF(CALC_EPM!C42="TotalEsp","GLOBAL_ESP",IF(CALC_EPM!C42="TotalNoEsp","GLOBAL_NOESP","GLOBAL_ASIG"))),IF(CALC_EPM!C42="Total","CURSO_TOTAL",IF(CALC_EPM!C42="TotalEsp","CURSO_ESP",IF(CALC_EPM!C42="TotalNoEsp","CURSO_NOESP","CURSO_ASIG")))))</f>
      </c>
      <c r="B53" t="str">
        <f>IF(CALC_EPM!$B42="","",CALC_EPM!A42)</f>
      </c>
      <c r="C53" t="str">
        <f>IF(CALC_EPM!$B42="","",CALC_EPM!B42)</f>
      </c>
      <c r="D53">
        <f>IF(CALC_EPM!$B42="","",CALC_EPM!D42)</f>
      </c>
      <c r="E53" s="10" t="str">
        <f>IF(CALC_EPM!$B42="","",CALC_EPM!E42)</f>
      </c>
      <c r="F53" s="10" t="str">
        <f>IF(CALC_EPM!$B42="","",CALC_EPM!F42)</f>
      </c>
      <c r="G53" t="str">
        <f>IF(CALC_EPM!$B42="","",CALC_EPM!G42)</f>
      </c>
      <c r="H53" s="11" t="str">
        <f>IF(CALC_EPM!$B42="","",CALC_EPM!H42)</f>
      </c>
      <c r="I53" s="11" t="str">
        <f>IF(CALC_EPM!$B42="","",CALC_EPM!I42)</f>
      </c>
      <c r="J53" t="str">
        <f>IF(CALC_EPM!$B42="","",CALC_EPM!J42)</f>
      </c>
      <c r="K53" t="str">
        <f>IF(CALC_EPM!$B42="","",CALC_EPM!K42)</f>
      </c>
      <c r="L53">
        <f>IF(CALC_EPM!$B42="","",CALC_EPM!L42)</f>
      </c>
      <c r="M53">
        <f>IF(CALC_EPM!$B42="","",CALC_EPM!M42)</f>
      </c>
      <c r="N53">
        <f>IF(CALC_EPM!$B42="","",CALC_EPM!N42)</f>
      </c>
      <c r="O53">
        <f>IF(CALC_EPM!$B42="","",CALC_EPM!O42)</f>
      </c>
      <c r="P53">
        <f>IF(CALC_EPM!$B42="","",CALC_EPM!P42)</f>
      </c>
      <c r="Q53">
        <f>IF(CALC_EPM!$B42="","",CALC_EPM!Q42)</f>
      </c>
      <c r="R53">
        <f>IF(CALC_EPM!$B42="","",CALC_EPM!R42)</f>
      </c>
      <c r="S53">
        <f>IF(CALC_EPM!$B42="","",CALC_EPM!S42)</f>
      </c>
      <c r="T53">
        <f>IF(CALC_EPM!$B42="","",CALC_EPM!T42)</f>
      </c>
      <c r="U53">
        <f>IF(CALC_EPM!$B42="","",CALC_EPM!U42)</f>
      </c>
    </row>
    <row r="54">
      <c r="A54" t="str">
        <f>IF(CALC_EPM!$B43="","",IF(CALC_EPM!A43="GLOBAL",IF(CALC_EPM!C43="Total","GLOBAL",IF(CALC_EPM!C43="TotalEsp","GLOBAL_ESP",IF(CALC_EPM!C43="TotalNoEsp","GLOBAL_NOESP","GLOBAL_ASIG"))),IF(CALC_EPM!C43="Total","CURSO_TOTAL",IF(CALC_EPM!C43="TotalEsp","CURSO_ESP",IF(CALC_EPM!C43="TotalNoEsp","CURSO_NOESP","CURSO_ASIG")))))</f>
      </c>
      <c r="B54" t="str">
        <f>IF(CALC_EPM!$B43="","",CALC_EPM!A43)</f>
      </c>
      <c r="C54" t="str">
        <f>IF(CALC_EPM!$B43="","",CALC_EPM!B43)</f>
      </c>
      <c r="D54">
        <f>IF(CALC_EPM!$B43="","",CALC_EPM!D43)</f>
      </c>
      <c r="E54" s="10" t="str">
        <f>IF(CALC_EPM!$B43="","",CALC_EPM!E43)</f>
      </c>
      <c r="F54" s="10" t="str">
        <f>IF(CALC_EPM!$B43="","",CALC_EPM!F43)</f>
      </c>
      <c r="G54" t="str">
        <f>IF(CALC_EPM!$B43="","",CALC_EPM!G43)</f>
      </c>
      <c r="H54" s="11" t="str">
        <f>IF(CALC_EPM!$B43="","",CALC_EPM!H43)</f>
      </c>
      <c r="I54" s="11" t="str">
        <f>IF(CALC_EPM!$B43="","",CALC_EPM!I43)</f>
      </c>
      <c r="J54" t="str">
        <f>IF(CALC_EPM!$B43="","",CALC_EPM!J43)</f>
      </c>
      <c r="K54" t="str">
        <f>IF(CALC_EPM!$B43="","",CALC_EPM!K43)</f>
      </c>
      <c r="L54">
        <f>IF(CALC_EPM!$B43="","",CALC_EPM!L43)</f>
      </c>
      <c r="M54">
        <f>IF(CALC_EPM!$B43="","",CALC_EPM!M43)</f>
      </c>
      <c r="N54">
        <f>IF(CALC_EPM!$B43="","",CALC_EPM!N43)</f>
      </c>
      <c r="O54">
        <f>IF(CALC_EPM!$B43="","",CALC_EPM!O43)</f>
      </c>
      <c r="P54">
        <f>IF(CALC_EPM!$B43="","",CALC_EPM!P43)</f>
      </c>
      <c r="Q54">
        <f>IF(CALC_EPM!$B43="","",CALC_EPM!Q43)</f>
      </c>
      <c r="R54">
        <f>IF(CALC_EPM!$B43="","",CALC_EPM!R43)</f>
      </c>
      <c r="S54">
        <f>IF(CALC_EPM!$B43="","",CALC_EPM!S43)</f>
      </c>
      <c r="T54">
        <f>IF(CALC_EPM!$B43="","",CALC_EPM!T43)</f>
      </c>
      <c r="U54">
        <f>IF(CALC_EPM!$B43="","",CALC_EPM!U43)</f>
      </c>
    </row>
    <row r="55">
      <c r="A55" t="str">
        <f>IF(CALC_EPM!$B44="","",IF(CALC_EPM!A44="GLOBAL",IF(CALC_EPM!C44="Total","GLOBAL",IF(CALC_EPM!C44="TotalEsp","GLOBAL_ESP",IF(CALC_EPM!C44="TotalNoEsp","GLOBAL_NOESP","GLOBAL_ASIG"))),IF(CALC_EPM!C44="Total","CURSO_TOTAL",IF(CALC_EPM!C44="TotalEsp","CURSO_ESP",IF(CALC_EPM!C44="TotalNoEsp","CURSO_NOESP","CURSO_ASIG")))))</f>
      </c>
      <c r="B55" t="str">
        <f>IF(CALC_EPM!$B44="","",CALC_EPM!A44)</f>
      </c>
      <c r="C55" t="str">
        <f>IF(CALC_EPM!$B44="","",CALC_EPM!B44)</f>
      </c>
      <c r="D55">
        <f>IF(CALC_EPM!$B44="","",CALC_EPM!D44)</f>
      </c>
      <c r="E55" s="10" t="str">
        <f>IF(CALC_EPM!$B44="","",CALC_EPM!E44)</f>
      </c>
      <c r="F55" s="10" t="str">
        <f>IF(CALC_EPM!$B44="","",CALC_EPM!F44)</f>
      </c>
      <c r="G55" t="str">
        <f>IF(CALC_EPM!$B44="","",CALC_EPM!G44)</f>
      </c>
      <c r="H55" s="11" t="str">
        <f>IF(CALC_EPM!$B44="","",CALC_EPM!H44)</f>
      </c>
      <c r="I55" s="11" t="str">
        <f>IF(CALC_EPM!$B44="","",CALC_EPM!I44)</f>
      </c>
      <c r="J55" t="str">
        <f>IF(CALC_EPM!$B44="","",CALC_EPM!J44)</f>
      </c>
      <c r="K55" t="str">
        <f>IF(CALC_EPM!$B44="","",CALC_EPM!K44)</f>
      </c>
      <c r="L55">
        <f>IF(CALC_EPM!$B44="","",CALC_EPM!L44)</f>
      </c>
      <c r="M55">
        <f>IF(CALC_EPM!$B44="","",CALC_EPM!M44)</f>
      </c>
      <c r="N55">
        <f>IF(CALC_EPM!$B44="","",CALC_EPM!N44)</f>
      </c>
      <c r="O55">
        <f>IF(CALC_EPM!$B44="","",CALC_EPM!O44)</f>
      </c>
      <c r="P55">
        <f>IF(CALC_EPM!$B44="","",CALC_EPM!P44)</f>
      </c>
      <c r="Q55">
        <f>IF(CALC_EPM!$B44="","",CALC_EPM!Q44)</f>
      </c>
      <c r="R55">
        <f>IF(CALC_EPM!$B44="","",CALC_EPM!R44)</f>
      </c>
      <c r="S55">
        <f>IF(CALC_EPM!$B44="","",CALC_EPM!S44)</f>
      </c>
      <c r="T55">
        <f>IF(CALC_EPM!$B44="","",CALC_EPM!T44)</f>
      </c>
      <c r="U55">
        <f>IF(CALC_EPM!$B44="","",CALC_EPM!U44)</f>
      </c>
    </row>
    <row r="56">
      <c r="A56" t="str">
        <f>IF(CALC_EPM!$B45="","",IF(CALC_EPM!A45="GLOBAL",IF(CALC_EPM!C45="Total","GLOBAL",IF(CALC_EPM!C45="TotalEsp","GLOBAL_ESP",IF(CALC_EPM!C45="TotalNoEsp","GLOBAL_NOESP","GLOBAL_ASIG"))),IF(CALC_EPM!C45="Total","CURSO_TOTAL",IF(CALC_EPM!C45="TotalEsp","CURSO_ESP",IF(CALC_EPM!C45="TotalNoEsp","CURSO_NOESP","CURSO_ASIG")))))</f>
      </c>
      <c r="B56" t="str">
        <f>IF(CALC_EPM!$B45="","",CALC_EPM!A45)</f>
      </c>
      <c r="C56" t="str">
        <f>IF(CALC_EPM!$B45="","",CALC_EPM!B45)</f>
      </c>
      <c r="D56">
        <f>IF(CALC_EPM!$B45="","",CALC_EPM!D45)</f>
      </c>
      <c r="E56" s="10" t="str">
        <f>IF(CALC_EPM!$B45="","",CALC_EPM!E45)</f>
      </c>
      <c r="F56" s="10" t="str">
        <f>IF(CALC_EPM!$B45="","",CALC_EPM!F45)</f>
      </c>
      <c r="G56" t="str">
        <f>IF(CALC_EPM!$B45="","",CALC_EPM!G45)</f>
      </c>
      <c r="H56" s="11" t="str">
        <f>IF(CALC_EPM!$B45="","",CALC_EPM!H45)</f>
      </c>
      <c r="I56" s="11" t="str">
        <f>IF(CALC_EPM!$B45="","",CALC_EPM!I45)</f>
      </c>
      <c r="J56" t="str">
        <f>IF(CALC_EPM!$B45="","",CALC_EPM!J45)</f>
      </c>
      <c r="K56" t="str">
        <f>IF(CALC_EPM!$B45="","",CALC_EPM!K45)</f>
      </c>
      <c r="L56">
        <f>IF(CALC_EPM!$B45="","",CALC_EPM!L45)</f>
      </c>
      <c r="M56">
        <f>IF(CALC_EPM!$B45="","",CALC_EPM!M45)</f>
      </c>
      <c r="N56">
        <f>IF(CALC_EPM!$B45="","",CALC_EPM!N45)</f>
      </c>
      <c r="O56">
        <f>IF(CALC_EPM!$B45="","",CALC_EPM!O45)</f>
      </c>
      <c r="P56">
        <f>IF(CALC_EPM!$B45="","",CALC_EPM!P45)</f>
      </c>
      <c r="Q56">
        <f>IF(CALC_EPM!$B45="","",CALC_EPM!Q45)</f>
      </c>
      <c r="R56">
        <f>IF(CALC_EPM!$B45="","",CALC_EPM!R45)</f>
      </c>
      <c r="S56">
        <f>IF(CALC_EPM!$B45="","",CALC_EPM!S45)</f>
      </c>
      <c r="T56">
        <f>IF(CALC_EPM!$B45="","",CALC_EPM!T45)</f>
      </c>
      <c r="U56">
        <f>IF(CALC_EPM!$B45="","",CALC_EPM!U45)</f>
      </c>
    </row>
    <row r="57">
      <c r="A57" t="str">
        <f>IF(CALC_EPM!$B46="","",IF(CALC_EPM!A46="GLOBAL",IF(CALC_EPM!C46="Total","GLOBAL",IF(CALC_EPM!C46="TotalEsp","GLOBAL_ESP",IF(CALC_EPM!C46="TotalNoEsp","GLOBAL_NOESP","GLOBAL_ASIG"))),IF(CALC_EPM!C46="Total","CURSO_TOTAL",IF(CALC_EPM!C46="TotalEsp","CURSO_ESP",IF(CALC_EPM!C46="TotalNoEsp","CURSO_NOESP","CURSO_ASIG")))))</f>
      </c>
      <c r="B57" t="str">
        <f>IF(CALC_EPM!$B46="","",CALC_EPM!A46)</f>
      </c>
      <c r="C57" t="str">
        <f>IF(CALC_EPM!$B46="","",CALC_EPM!B46)</f>
      </c>
      <c r="D57">
        <f>IF(CALC_EPM!$B46="","",CALC_EPM!D46)</f>
      </c>
      <c r="E57" s="10" t="str">
        <f>IF(CALC_EPM!$B46="","",CALC_EPM!E46)</f>
      </c>
      <c r="F57" s="10" t="str">
        <f>IF(CALC_EPM!$B46="","",CALC_EPM!F46)</f>
      </c>
      <c r="G57" t="str">
        <f>IF(CALC_EPM!$B46="","",CALC_EPM!G46)</f>
      </c>
      <c r="H57" s="11" t="str">
        <f>IF(CALC_EPM!$B46="","",CALC_EPM!H46)</f>
      </c>
      <c r="I57" s="11" t="str">
        <f>IF(CALC_EPM!$B46="","",CALC_EPM!I46)</f>
      </c>
      <c r="J57" t="str">
        <f>IF(CALC_EPM!$B46="","",CALC_EPM!J46)</f>
      </c>
      <c r="K57" t="str">
        <f>IF(CALC_EPM!$B46="","",CALC_EPM!K46)</f>
      </c>
      <c r="L57">
        <f>IF(CALC_EPM!$B46="","",CALC_EPM!L46)</f>
      </c>
      <c r="M57">
        <f>IF(CALC_EPM!$B46="","",CALC_EPM!M46)</f>
      </c>
      <c r="N57">
        <f>IF(CALC_EPM!$B46="","",CALC_EPM!N46)</f>
      </c>
      <c r="O57">
        <f>IF(CALC_EPM!$B46="","",CALC_EPM!O46)</f>
      </c>
      <c r="P57">
        <f>IF(CALC_EPM!$B46="","",CALC_EPM!P46)</f>
      </c>
      <c r="Q57">
        <f>IF(CALC_EPM!$B46="","",CALC_EPM!Q46)</f>
      </c>
      <c r="R57">
        <f>IF(CALC_EPM!$B46="","",CALC_EPM!R46)</f>
      </c>
      <c r="S57">
        <f>IF(CALC_EPM!$B46="","",CALC_EPM!S46)</f>
      </c>
      <c r="T57">
        <f>IF(CALC_EPM!$B46="","",CALC_EPM!T46)</f>
      </c>
      <c r="U57">
        <f>IF(CALC_EPM!$B46="","",CALC_EPM!U46)</f>
      </c>
    </row>
    <row r="58">
      <c r="A58" t="str">
        <f>IF(CALC_EPM!$B47="","",IF(CALC_EPM!A47="GLOBAL",IF(CALC_EPM!C47="Total","GLOBAL",IF(CALC_EPM!C47="TotalEsp","GLOBAL_ESP",IF(CALC_EPM!C47="TotalNoEsp","GLOBAL_NOESP","GLOBAL_ASIG"))),IF(CALC_EPM!C47="Total","CURSO_TOTAL",IF(CALC_EPM!C47="TotalEsp","CURSO_ESP",IF(CALC_EPM!C47="TotalNoEsp","CURSO_NOESP","CURSO_ASIG")))))</f>
      </c>
      <c r="B58" t="str">
        <f>IF(CALC_EPM!$B47="","",CALC_EPM!A47)</f>
      </c>
      <c r="C58" t="str">
        <f>IF(CALC_EPM!$B47="","",CALC_EPM!B47)</f>
      </c>
      <c r="D58">
        <f>IF(CALC_EPM!$B47="","",CALC_EPM!D47)</f>
      </c>
      <c r="E58" s="10" t="str">
        <f>IF(CALC_EPM!$B47="","",CALC_EPM!E47)</f>
      </c>
      <c r="F58" s="10" t="str">
        <f>IF(CALC_EPM!$B47="","",CALC_EPM!F47)</f>
      </c>
      <c r="G58" t="str">
        <f>IF(CALC_EPM!$B47="","",CALC_EPM!G47)</f>
      </c>
      <c r="H58" s="11" t="str">
        <f>IF(CALC_EPM!$B47="","",CALC_EPM!H47)</f>
      </c>
      <c r="I58" s="11" t="str">
        <f>IF(CALC_EPM!$B47="","",CALC_EPM!I47)</f>
      </c>
      <c r="J58" t="str">
        <f>IF(CALC_EPM!$B47="","",CALC_EPM!J47)</f>
      </c>
      <c r="K58" t="str">
        <f>IF(CALC_EPM!$B47="","",CALC_EPM!K47)</f>
      </c>
      <c r="L58">
        <f>IF(CALC_EPM!$B47="","",CALC_EPM!L47)</f>
      </c>
      <c r="M58">
        <f>IF(CALC_EPM!$B47="","",CALC_EPM!M47)</f>
      </c>
      <c r="N58">
        <f>IF(CALC_EPM!$B47="","",CALC_EPM!N47)</f>
      </c>
      <c r="O58">
        <f>IF(CALC_EPM!$B47="","",CALC_EPM!O47)</f>
      </c>
      <c r="P58">
        <f>IF(CALC_EPM!$B47="","",CALC_EPM!P47)</f>
      </c>
      <c r="Q58">
        <f>IF(CALC_EPM!$B47="","",CALC_EPM!Q47)</f>
      </c>
      <c r="R58">
        <f>IF(CALC_EPM!$B47="","",CALC_EPM!R47)</f>
      </c>
      <c r="S58">
        <f>IF(CALC_EPM!$B47="","",CALC_EPM!S47)</f>
      </c>
      <c r="T58">
        <f>IF(CALC_EPM!$B47="","",CALC_EPM!T47)</f>
      </c>
      <c r="U58">
        <f>IF(CALC_EPM!$B47="","",CALC_EPM!U47)</f>
      </c>
    </row>
    <row r="59">
      <c r="A59" t="str">
        <f>IF(CALC_EPM!$B48="","",IF(CALC_EPM!A48="GLOBAL",IF(CALC_EPM!C48="Total","GLOBAL",IF(CALC_EPM!C48="TotalEsp","GLOBAL_ESP",IF(CALC_EPM!C48="TotalNoEsp","GLOBAL_NOESP","GLOBAL_ASIG"))),IF(CALC_EPM!C48="Total","CURSO_TOTAL",IF(CALC_EPM!C48="TotalEsp","CURSO_ESP",IF(CALC_EPM!C48="TotalNoEsp","CURSO_NOESP","CURSO_ASIG")))))</f>
      </c>
      <c r="B59" t="str">
        <f>IF(CALC_EPM!$B48="","",CALC_EPM!A48)</f>
      </c>
      <c r="C59" t="str">
        <f>IF(CALC_EPM!$B48="","",CALC_EPM!B48)</f>
      </c>
      <c r="D59">
        <f>IF(CALC_EPM!$B48="","",CALC_EPM!D48)</f>
      </c>
      <c r="E59" s="10" t="str">
        <f>IF(CALC_EPM!$B48="","",CALC_EPM!E48)</f>
      </c>
      <c r="F59" s="10" t="str">
        <f>IF(CALC_EPM!$B48="","",CALC_EPM!F48)</f>
      </c>
      <c r="G59" t="str">
        <f>IF(CALC_EPM!$B48="","",CALC_EPM!G48)</f>
      </c>
      <c r="H59" s="11" t="str">
        <f>IF(CALC_EPM!$B48="","",CALC_EPM!H48)</f>
      </c>
      <c r="I59" s="11" t="str">
        <f>IF(CALC_EPM!$B48="","",CALC_EPM!I48)</f>
      </c>
      <c r="J59" t="str">
        <f>IF(CALC_EPM!$B48="","",CALC_EPM!J48)</f>
      </c>
      <c r="K59" t="str">
        <f>IF(CALC_EPM!$B48="","",CALC_EPM!K48)</f>
      </c>
      <c r="L59">
        <f>IF(CALC_EPM!$B48="","",CALC_EPM!L48)</f>
      </c>
      <c r="M59">
        <f>IF(CALC_EPM!$B48="","",CALC_EPM!M48)</f>
      </c>
      <c r="N59">
        <f>IF(CALC_EPM!$B48="","",CALC_EPM!N48)</f>
      </c>
      <c r="O59">
        <f>IF(CALC_EPM!$B48="","",CALC_EPM!O48)</f>
      </c>
      <c r="P59">
        <f>IF(CALC_EPM!$B48="","",CALC_EPM!P48)</f>
      </c>
      <c r="Q59">
        <f>IF(CALC_EPM!$B48="","",CALC_EPM!Q48)</f>
      </c>
      <c r="R59">
        <f>IF(CALC_EPM!$B48="","",CALC_EPM!R48)</f>
      </c>
      <c r="S59">
        <f>IF(CALC_EPM!$B48="","",CALC_EPM!S48)</f>
      </c>
      <c r="T59">
        <f>IF(CALC_EPM!$B48="","",CALC_EPM!T48)</f>
      </c>
      <c r="U59">
        <f>IF(CALC_EPM!$B48="","",CALC_EPM!U48)</f>
      </c>
    </row>
    <row r="60">
      <c r="A60" t="str">
        <f>IF(CALC_EPM!$B49="","",IF(CALC_EPM!A49="GLOBAL",IF(CALC_EPM!C49="Total","GLOBAL",IF(CALC_EPM!C49="TotalEsp","GLOBAL_ESP",IF(CALC_EPM!C49="TotalNoEsp","GLOBAL_NOESP","GLOBAL_ASIG"))),IF(CALC_EPM!C49="Total","CURSO_TOTAL",IF(CALC_EPM!C49="TotalEsp","CURSO_ESP",IF(CALC_EPM!C49="TotalNoEsp","CURSO_NOESP","CURSO_ASIG")))))</f>
      </c>
      <c r="B60" t="str">
        <f>IF(CALC_EPM!$B49="","",CALC_EPM!A49)</f>
      </c>
      <c r="C60" t="str">
        <f>IF(CALC_EPM!$B49="","",CALC_EPM!B49)</f>
      </c>
      <c r="D60">
        <f>IF(CALC_EPM!$B49="","",CALC_EPM!D49)</f>
      </c>
      <c r="E60" s="10" t="str">
        <f>IF(CALC_EPM!$B49="","",CALC_EPM!E49)</f>
      </c>
      <c r="F60" s="10" t="str">
        <f>IF(CALC_EPM!$B49="","",CALC_EPM!F49)</f>
      </c>
      <c r="G60" t="str">
        <f>IF(CALC_EPM!$B49="","",CALC_EPM!G49)</f>
      </c>
      <c r="H60" s="11" t="str">
        <f>IF(CALC_EPM!$B49="","",CALC_EPM!H49)</f>
      </c>
      <c r="I60" s="11" t="str">
        <f>IF(CALC_EPM!$B49="","",CALC_EPM!I49)</f>
      </c>
      <c r="J60" t="str">
        <f>IF(CALC_EPM!$B49="","",CALC_EPM!J49)</f>
      </c>
      <c r="K60" t="str">
        <f>IF(CALC_EPM!$B49="","",CALC_EPM!K49)</f>
      </c>
      <c r="L60">
        <f>IF(CALC_EPM!$B49="","",CALC_EPM!L49)</f>
      </c>
      <c r="M60">
        <f>IF(CALC_EPM!$B49="","",CALC_EPM!M49)</f>
      </c>
      <c r="N60">
        <f>IF(CALC_EPM!$B49="","",CALC_EPM!N49)</f>
      </c>
      <c r="O60">
        <f>IF(CALC_EPM!$B49="","",CALC_EPM!O49)</f>
      </c>
      <c r="P60">
        <f>IF(CALC_EPM!$B49="","",CALC_EPM!P49)</f>
      </c>
      <c r="Q60">
        <f>IF(CALC_EPM!$B49="","",CALC_EPM!Q49)</f>
      </c>
      <c r="R60">
        <f>IF(CALC_EPM!$B49="","",CALC_EPM!R49)</f>
      </c>
      <c r="S60">
        <f>IF(CALC_EPM!$B49="","",CALC_EPM!S49)</f>
      </c>
      <c r="T60">
        <f>IF(CALC_EPM!$B49="","",CALC_EPM!T49)</f>
      </c>
      <c r="U60">
        <f>IF(CALC_EPM!$B49="","",CALC_EPM!U49)</f>
      </c>
    </row>
    <row r="61">
      <c r="A61" t="str">
        <f>IF(CALC_EPM!$B50="","",IF(CALC_EPM!A50="GLOBAL",IF(CALC_EPM!C50="Total","GLOBAL",IF(CALC_EPM!C50="TotalEsp","GLOBAL_ESP",IF(CALC_EPM!C50="TotalNoEsp","GLOBAL_NOESP","GLOBAL_ASIG"))),IF(CALC_EPM!C50="Total","CURSO_TOTAL",IF(CALC_EPM!C50="TotalEsp","CURSO_ESP",IF(CALC_EPM!C50="TotalNoEsp","CURSO_NOESP","CURSO_ASIG")))))</f>
      </c>
      <c r="B61" t="str">
        <f>IF(CALC_EPM!$B50="","",CALC_EPM!A50)</f>
      </c>
      <c r="C61" t="str">
        <f>IF(CALC_EPM!$B50="","",CALC_EPM!B50)</f>
      </c>
      <c r="D61">
        <f>IF(CALC_EPM!$B50="","",CALC_EPM!D50)</f>
      </c>
      <c r="E61" s="10" t="str">
        <f>IF(CALC_EPM!$B50="","",CALC_EPM!E50)</f>
      </c>
      <c r="F61" s="10" t="str">
        <f>IF(CALC_EPM!$B50="","",CALC_EPM!F50)</f>
      </c>
      <c r="G61" t="str">
        <f>IF(CALC_EPM!$B50="","",CALC_EPM!G50)</f>
      </c>
      <c r="H61" s="11" t="str">
        <f>IF(CALC_EPM!$B50="","",CALC_EPM!H50)</f>
      </c>
      <c r="I61" s="11" t="str">
        <f>IF(CALC_EPM!$B50="","",CALC_EPM!I50)</f>
      </c>
      <c r="J61" t="str">
        <f>IF(CALC_EPM!$B50="","",CALC_EPM!J50)</f>
      </c>
      <c r="K61" t="str">
        <f>IF(CALC_EPM!$B50="","",CALC_EPM!K50)</f>
      </c>
      <c r="L61">
        <f>IF(CALC_EPM!$B50="","",CALC_EPM!L50)</f>
      </c>
      <c r="M61">
        <f>IF(CALC_EPM!$B50="","",CALC_EPM!M50)</f>
      </c>
      <c r="N61">
        <f>IF(CALC_EPM!$B50="","",CALC_EPM!N50)</f>
      </c>
      <c r="O61">
        <f>IF(CALC_EPM!$B50="","",CALC_EPM!O50)</f>
      </c>
      <c r="P61">
        <f>IF(CALC_EPM!$B50="","",CALC_EPM!P50)</f>
      </c>
      <c r="Q61">
        <f>IF(CALC_EPM!$B50="","",CALC_EPM!Q50)</f>
      </c>
      <c r="R61">
        <f>IF(CALC_EPM!$B50="","",CALC_EPM!R50)</f>
      </c>
      <c r="S61">
        <f>IF(CALC_EPM!$B50="","",CALC_EPM!S50)</f>
      </c>
      <c r="T61">
        <f>IF(CALC_EPM!$B50="","",CALC_EPM!T50)</f>
      </c>
      <c r="U61">
        <f>IF(CALC_EPM!$B50="","",CALC_EPM!U50)</f>
      </c>
    </row>
    <row r="62">
      <c r="A62" t="str">
        <f>IF(CALC_EPM!$B51="","",IF(CALC_EPM!A51="GLOBAL",IF(CALC_EPM!C51="Total","GLOBAL",IF(CALC_EPM!C51="TotalEsp","GLOBAL_ESP",IF(CALC_EPM!C51="TotalNoEsp","GLOBAL_NOESP","GLOBAL_ASIG"))),IF(CALC_EPM!C51="Total","CURSO_TOTAL",IF(CALC_EPM!C51="TotalEsp","CURSO_ESP",IF(CALC_EPM!C51="TotalNoEsp","CURSO_NOESP","CURSO_ASIG")))))</f>
      </c>
      <c r="B62" t="str">
        <f>IF(CALC_EPM!$B51="","",CALC_EPM!A51)</f>
      </c>
      <c r="C62" t="str">
        <f>IF(CALC_EPM!$B51="","",CALC_EPM!B51)</f>
      </c>
      <c r="D62">
        <f>IF(CALC_EPM!$B51="","",CALC_EPM!D51)</f>
      </c>
      <c r="E62" s="10" t="str">
        <f>IF(CALC_EPM!$B51="","",CALC_EPM!E51)</f>
      </c>
      <c r="F62" s="10" t="str">
        <f>IF(CALC_EPM!$B51="","",CALC_EPM!F51)</f>
      </c>
      <c r="G62" t="str">
        <f>IF(CALC_EPM!$B51="","",CALC_EPM!G51)</f>
      </c>
      <c r="H62" s="11" t="str">
        <f>IF(CALC_EPM!$B51="","",CALC_EPM!H51)</f>
      </c>
      <c r="I62" s="11" t="str">
        <f>IF(CALC_EPM!$B51="","",CALC_EPM!I51)</f>
      </c>
      <c r="J62" t="str">
        <f>IF(CALC_EPM!$B51="","",CALC_EPM!J51)</f>
      </c>
      <c r="K62" t="str">
        <f>IF(CALC_EPM!$B51="","",CALC_EPM!K51)</f>
      </c>
      <c r="L62">
        <f>IF(CALC_EPM!$B51="","",CALC_EPM!L51)</f>
      </c>
      <c r="M62">
        <f>IF(CALC_EPM!$B51="","",CALC_EPM!M51)</f>
      </c>
      <c r="N62">
        <f>IF(CALC_EPM!$B51="","",CALC_EPM!N51)</f>
      </c>
      <c r="O62">
        <f>IF(CALC_EPM!$B51="","",CALC_EPM!O51)</f>
      </c>
      <c r="P62">
        <f>IF(CALC_EPM!$B51="","",CALC_EPM!P51)</f>
      </c>
      <c r="Q62">
        <f>IF(CALC_EPM!$B51="","",CALC_EPM!Q51)</f>
      </c>
      <c r="R62">
        <f>IF(CALC_EPM!$B51="","",CALC_EPM!R51)</f>
      </c>
      <c r="S62">
        <f>IF(CALC_EPM!$B51="","",CALC_EPM!S51)</f>
      </c>
      <c r="T62">
        <f>IF(CALC_EPM!$B51="","",CALC_EPM!T51)</f>
      </c>
      <c r="U62">
        <f>IF(CALC_EPM!$B51="","",CALC_EPM!U51)</f>
      </c>
    </row>
    <row r="63">
      <c r="A63" t="str">
        <f>IF(CALC_EPM!$B52="","",IF(CALC_EPM!A52="GLOBAL",IF(CALC_EPM!C52="Total","GLOBAL",IF(CALC_EPM!C52="TotalEsp","GLOBAL_ESP",IF(CALC_EPM!C52="TotalNoEsp","GLOBAL_NOESP","GLOBAL_ASIG"))),IF(CALC_EPM!C52="Total","CURSO_TOTAL",IF(CALC_EPM!C52="TotalEsp","CURSO_ESP",IF(CALC_EPM!C52="TotalNoEsp","CURSO_NOESP","CURSO_ASIG")))))</f>
      </c>
      <c r="B63" t="str">
        <f>IF(CALC_EPM!$B52="","",CALC_EPM!A52)</f>
      </c>
      <c r="C63" t="str">
        <f>IF(CALC_EPM!$B52="","",CALC_EPM!B52)</f>
      </c>
      <c r="D63">
        <f>IF(CALC_EPM!$B52="","",CALC_EPM!D52)</f>
      </c>
      <c r="E63" s="10" t="str">
        <f>IF(CALC_EPM!$B52="","",CALC_EPM!E52)</f>
      </c>
      <c r="F63" s="10" t="str">
        <f>IF(CALC_EPM!$B52="","",CALC_EPM!F52)</f>
      </c>
      <c r="G63" t="str">
        <f>IF(CALC_EPM!$B52="","",CALC_EPM!G52)</f>
      </c>
      <c r="H63" s="11" t="str">
        <f>IF(CALC_EPM!$B52="","",CALC_EPM!H52)</f>
      </c>
      <c r="I63" s="11" t="str">
        <f>IF(CALC_EPM!$B52="","",CALC_EPM!I52)</f>
      </c>
      <c r="J63" t="str">
        <f>IF(CALC_EPM!$B52="","",CALC_EPM!J52)</f>
      </c>
      <c r="K63" t="str">
        <f>IF(CALC_EPM!$B52="","",CALC_EPM!K52)</f>
      </c>
      <c r="L63">
        <f>IF(CALC_EPM!$B52="","",CALC_EPM!L52)</f>
      </c>
      <c r="M63">
        <f>IF(CALC_EPM!$B52="","",CALC_EPM!M52)</f>
      </c>
      <c r="N63">
        <f>IF(CALC_EPM!$B52="","",CALC_EPM!N52)</f>
      </c>
      <c r="O63">
        <f>IF(CALC_EPM!$B52="","",CALC_EPM!O52)</f>
      </c>
      <c r="P63">
        <f>IF(CALC_EPM!$B52="","",CALC_EPM!P52)</f>
      </c>
      <c r="Q63">
        <f>IF(CALC_EPM!$B52="","",CALC_EPM!Q52)</f>
      </c>
      <c r="R63">
        <f>IF(CALC_EPM!$B52="","",CALC_EPM!R52)</f>
      </c>
      <c r="S63">
        <f>IF(CALC_EPM!$B52="","",CALC_EPM!S52)</f>
      </c>
      <c r="T63">
        <f>IF(CALC_EPM!$B52="","",CALC_EPM!T52)</f>
      </c>
      <c r="U63">
        <f>IF(CALC_EPM!$B52="","",CALC_EPM!U52)</f>
      </c>
    </row>
    <row r="64">
      <c r="A64" t="str">
        <f>IF(CALC_EPM!$B53="","",IF(CALC_EPM!A53="GLOBAL",IF(CALC_EPM!C53="Total","GLOBAL",IF(CALC_EPM!C53="TotalEsp","GLOBAL_ESP",IF(CALC_EPM!C53="TotalNoEsp","GLOBAL_NOESP","GLOBAL_ASIG"))),IF(CALC_EPM!C53="Total","CURSO_TOTAL",IF(CALC_EPM!C53="TotalEsp","CURSO_ESP",IF(CALC_EPM!C53="TotalNoEsp","CURSO_NOESP","CURSO_ASIG")))))</f>
      </c>
      <c r="B64" t="str">
        <f>IF(CALC_EPM!$B53="","",CALC_EPM!A53)</f>
      </c>
      <c r="C64" t="str">
        <f>IF(CALC_EPM!$B53="","",CALC_EPM!B53)</f>
      </c>
      <c r="D64">
        <f>IF(CALC_EPM!$B53="","",CALC_EPM!D53)</f>
      </c>
      <c r="E64" s="10" t="str">
        <f>IF(CALC_EPM!$B53="","",CALC_EPM!E53)</f>
      </c>
      <c r="F64" s="10" t="str">
        <f>IF(CALC_EPM!$B53="","",CALC_EPM!F53)</f>
      </c>
      <c r="G64" t="str">
        <f>IF(CALC_EPM!$B53="","",CALC_EPM!G53)</f>
      </c>
      <c r="H64" s="11" t="str">
        <f>IF(CALC_EPM!$B53="","",CALC_EPM!H53)</f>
      </c>
      <c r="I64" s="11" t="str">
        <f>IF(CALC_EPM!$B53="","",CALC_EPM!I53)</f>
      </c>
      <c r="J64" t="str">
        <f>IF(CALC_EPM!$B53="","",CALC_EPM!J53)</f>
      </c>
      <c r="K64" t="str">
        <f>IF(CALC_EPM!$B53="","",CALC_EPM!K53)</f>
      </c>
      <c r="L64">
        <f>IF(CALC_EPM!$B53="","",CALC_EPM!L53)</f>
      </c>
      <c r="M64">
        <f>IF(CALC_EPM!$B53="","",CALC_EPM!M53)</f>
      </c>
      <c r="N64">
        <f>IF(CALC_EPM!$B53="","",CALC_EPM!N53)</f>
      </c>
      <c r="O64">
        <f>IF(CALC_EPM!$B53="","",CALC_EPM!O53)</f>
      </c>
      <c r="P64">
        <f>IF(CALC_EPM!$B53="","",CALC_EPM!P53)</f>
      </c>
      <c r="Q64">
        <f>IF(CALC_EPM!$B53="","",CALC_EPM!Q53)</f>
      </c>
      <c r="R64">
        <f>IF(CALC_EPM!$B53="","",CALC_EPM!R53)</f>
      </c>
      <c r="S64">
        <f>IF(CALC_EPM!$B53="","",CALC_EPM!S53)</f>
      </c>
      <c r="T64">
        <f>IF(CALC_EPM!$B53="","",CALC_EPM!T53)</f>
      </c>
      <c r="U64">
        <f>IF(CALC_EPM!$B53="","",CALC_EPM!U53)</f>
      </c>
    </row>
    <row r="65">
      <c r="A65" t="str">
        <f>IF(CALC_EPM!$B54="","",IF(CALC_EPM!A54="GLOBAL",IF(CALC_EPM!C54="Total","GLOBAL",IF(CALC_EPM!C54="TotalEsp","GLOBAL_ESP",IF(CALC_EPM!C54="TotalNoEsp","GLOBAL_NOESP","GLOBAL_ASIG"))),IF(CALC_EPM!C54="Total","CURSO_TOTAL",IF(CALC_EPM!C54="TotalEsp","CURSO_ESP",IF(CALC_EPM!C54="TotalNoEsp","CURSO_NOESP","CURSO_ASIG")))))</f>
      </c>
      <c r="B65" t="str">
        <f>IF(CALC_EPM!$B54="","",CALC_EPM!A54)</f>
      </c>
      <c r="C65" t="str">
        <f>IF(CALC_EPM!$B54="","",CALC_EPM!B54)</f>
      </c>
      <c r="D65">
        <f>IF(CALC_EPM!$B54="","",CALC_EPM!D54)</f>
      </c>
      <c r="E65" s="10" t="str">
        <f>IF(CALC_EPM!$B54="","",CALC_EPM!E54)</f>
      </c>
      <c r="F65" s="10" t="str">
        <f>IF(CALC_EPM!$B54="","",CALC_EPM!F54)</f>
      </c>
      <c r="G65" t="str">
        <f>IF(CALC_EPM!$B54="","",CALC_EPM!G54)</f>
      </c>
      <c r="H65" s="11" t="str">
        <f>IF(CALC_EPM!$B54="","",CALC_EPM!H54)</f>
      </c>
      <c r="I65" s="11" t="str">
        <f>IF(CALC_EPM!$B54="","",CALC_EPM!I54)</f>
      </c>
      <c r="J65" t="str">
        <f>IF(CALC_EPM!$B54="","",CALC_EPM!J54)</f>
      </c>
      <c r="K65" t="str">
        <f>IF(CALC_EPM!$B54="","",CALC_EPM!K54)</f>
      </c>
      <c r="L65">
        <f>IF(CALC_EPM!$B54="","",CALC_EPM!L54)</f>
      </c>
      <c r="M65">
        <f>IF(CALC_EPM!$B54="","",CALC_EPM!M54)</f>
      </c>
      <c r="N65">
        <f>IF(CALC_EPM!$B54="","",CALC_EPM!N54)</f>
      </c>
      <c r="O65">
        <f>IF(CALC_EPM!$B54="","",CALC_EPM!O54)</f>
      </c>
      <c r="P65">
        <f>IF(CALC_EPM!$B54="","",CALC_EPM!P54)</f>
      </c>
      <c r="Q65">
        <f>IF(CALC_EPM!$B54="","",CALC_EPM!Q54)</f>
      </c>
      <c r="R65">
        <f>IF(CALC_EPM!$B54="","",CALC_EPM!R54)</f>
      </c>
      <c r="S65">
        <f>IF(CALC_EPM!$B54="","",CALC_EPM!S54)</f>
      </c>
      <c r="T65">
        <f>IF(CALC_EPM!$B54="","",CALC_EPM!T54)</f>
      </c>
      <c r="U65">
        <f>IF(CALC_EPM!$B54="","",CALC_EPM!U54)</f>
      </c>
    </row>
    <row r="66">
      <c r="A66" t="str">
        <f>IF(CALC_EPM!$B55="","",IF(CALC_EPM!A55="GLOBAL",IF(CALC_EPM!C55="Total","GLOBAL",IF(CALC_EPM!C55="TotalEsp","GLOBAL_ESP",IF(CALC_EPM!C55="TotalNoEsp","GLOBAL_NOESP","GLOBAL_ASIG"))),IF(CALC_EPM!C55="Total","CURSO_TOTAL",IF(CALC_EPM!C55="TotalEsp","CURSO_ESP",IF(CALC_EPM!C55="TotalNoEsp","CURSO_NOESP","CURSO_ASIG")))))</f>
      </c>
      <c r="B66" t="str">
        <f>IF(CALC_EPM!$B55="","",CALC_EPM!A55)</f>
      </c>
      <c r="C66" t="str">
        <f>IF(CALC_EPM!$B55="","",CALC_EPM!B55)</f>
      </c>
      <c r="D66">
        <f>IF(CALC_EPM!$B55="","",CALC_EPM!D55)</f>
      </c>
      <c r="E66" s="10" t="str">
        <f>IF(CALC_EPM!$B55="","",CALC_EPM!E55)</f>
      </c>
      <c r="F66" s="10" t="str">
        <f>IF(CALC_EPM!$B55="","",CALC_EPM!F55)</f>
      </c>
      <c r="G66" t="str">
        <f>IF(CALC_EPM!$B55="","",CALC_EPM!G55)</f>
      </c>
      <c r="H66" s="11" t="str">
        <f>IF(CALC_EPM!$B55="","",CALC_EPM!H55)</f>
      </c>
      <c r="I66" s="11" t="str">
        <f>IF(CALC_EPM!$B55="","",CALC_EPM!I55)</f>
      </c>
      <c r="J66" t="str">
        <f>IF(CALC_EPM!$B55="","",CALC_EPM!J55)</f>
      </c>
      <c r="K66" t="str">
        <f>IF(CALC_EPM!$B55="","",CALC_EPM!K55)</f>
      </c>
      <c r="L66">
        <f>IF(CALC_EPM!$B55="","",CALC_EPM!L55)</f>
      </c>
      <c r="M66">
        <f>IF(CALC_EPM!$B55="","",CALC_EPM!M55)</f>
      </c>
      <c r="N66">
        <f>IF(CALC_EPM!$B55="","",CALC_EPM!N55)</f>
      </c>
      <c r="O66">
        <f>IF(CALC_EPM!$B55="","",CALC_EPM!O55)</f>
      </c>
      <c r="P66">
        <f>IF(CALC_EPM!$B55="","",CALC_EPM!P55)</f>
      </c>
      <c r="Q66">
        <f>IF(CALC_EPM!$B55="","",CALC_EPM!Q55)</f>
      </c>
      <c r="R66">
        <f>IF(CALC_EPM!$B55="","",CALC_EPM!R55)</f>
      </c>
      <c r="S66">
        <f>IF(CALC_EPM!$B55="","",CALC_EPM!S55)</f>
      </c>
      <c r="T66">
        <f>IF(CALC_EPM!$B55="","",CALC_EPM!T55)</f>
      </c>
      <c r="U66">
        <f>IF(CALC_EPM!$B55="","",CALC_EPM!U55)</f>
      </c>
    </row>
    <row r="67">
      <c r="A67" t="str">
        <f>IF(CALC_EPM!$B56="","",IF(CALC_EPM!A56="GLOBAL",IF(CALC_EPM!C56="Total","GLOBAL",IF(CALC_EPM!C56="TotalEsp","GLOBAL_ESP",IF(CALC_EPM!C56="TotalNoEsp","GLOBAL_NOESP","GLOBAL_ASIG"))),IF(CALC_EPM!C56="Total","CURSO_TOTAL",IF(CALC_EPM!C56="TotalEsp","CURSO_ESP",IF(CALC_EPM!C56="TotalNoEsp","CURSO_NOESP","CURSO_ASIG")))))</f>
      </c>
      <c r="B67" t="str">
        <f>IF(CALC_EPM!$B56="","",CALC_EPM!A56)</f>
      </c>
      <c r="C67" t="str">
        <f>IF(CALC_EPM!$B56="","",CALC_EPM!B56)</f>
      </c>
      <c r="D67">
        <f>IF(CALC_EPM!$B56="","",CALC_EPM!D56)</f>
      </c>
      <c r="E67" s="10" t="str">
        <f>IF(CALC_EPM!$B56="","",CALC_EPM!E56)</f>
      </c>
      <c r="F67" s="10" t="str">
        <f>IF(CALC_EPM!$B56="","",CALC_EPM!F56)</f>
      </c>
      <c r="G67" t="str">
        <f>IF(CALC_EPM!$B56="","",CALC_EPM!G56)</f>
      </c>
      <c r="H67" s="11" t="str">
        <f>IF(CALC_EPM!$B56="","",CALC_EPM!H56)</f>
      </c>
      <c r="I67" s="11" t="str">
        <f>IF(CALC_EPM!$B56="","",CALC_EPM!I56)</f>
      </c>
      <c r="J67" t="str">
        <f>IF(CALC_EPM!$B56="","",CALC_EPM!J56)</f>
      </c>
      <c r="K67" t="str">
        <f>IF(CALC_EPM!$B56="","",CALC_EPM!K56)</f>
      </c>
      <c r="L67">
        <f>IF(CALC_EPM!$B56="","",CALC_EPM!L56)</f>
      </c>
      <c r="M67">
        <f>IF(CALC_EPM!$B56="","",CALC_EPM!M56)</f>
      </c>
      <c r="N67">
        <f>IF(CALC_EPM!$B56="","",CALC_EPM!N56)</f>
      </c>
      <c r="O67">
        <f>IF(CALC_EPM!$B56="","",CALC_EPM!O56)</f>
      </c>
      <c r="P67">
        <f>IF(CALC_EPM!$B56="","",CALC_EPM!P56)</f>
      </c>
      <c r="Q67">
        <f>IF(CALC_EPM!$B56="","",CALC_EPM!Q56)</f>
      </c>
      <c r="R67">
        <f>IF(CALC_EPM!$B56="","",CALC_EPM!R56)</f>
      </c>
      <c r="S67">
        <f>IF(CALC_EPM!$B56="","",CALC_EPM!S56)</f>
      </c>
      <c r="T67">
        <f>IF(CALC_EPM!$B56="","",CALC_EPM!T56)</f>
      </c>
      <c r="U67">
        <f>IF(CALC_EPM!$B56="","",CALC_EPM!U56)</f>
      </c>
    </row>
    <row r="68">
      <c r="A68" t="str">
        <f>IF(CALC_EPM!$B57="","",IF(CALC_EPM!A57="GLOBAL",IF(CALC_EPM!C57="Total","GLOBAL",IF(CALC_EPM!C57="TotalEsp","GLOBAL_ESP",IF(CALC_EPM!C57="TotalNoEsp","GLOBAL_NOESP","GLOBAL_ASIG"))),IF(CALC_EPM!C57="Total","CURSO_TOTAL",IF(CALC_EPM!C57="TotalEsp","CURSO_ESP",IF(CALC_EPM!C57="TotalNoEsp","CURSO_NOESP","CURSO_ASIG")))))</f>
      </c>
      <c r="B68" t="str">
        <f>IF(CALC_EPM!$B57="","",CALC_EPM!A57)</f>
      </c>
      <c r="C68" t="str">
        <f>IF(CALC_EPM!$B57="","",CALC_EPM!B57)</f>
      </c>
      <c r="D68">
        <f>IF(CALC_EPM!$B57="","",CALC_EPM!D57)</f>
      </c>
      <c r="E68" s="10" t="str">
        <f>IF(CALC_EPM!$B57="","",CALC_EPM!E57)</f>
      </c>
      <c r="F68" s="10" t="str">
        <f>IF(CALC_EPM!$B57="","",CALC_EPM!F57)</f>
      </c>
      <c r="G68" t="str">
        <f>IF(CALC_EPM!$B57="","",CALC_EPM!G57)</f>
      </c>
      <c r="H68" s="11" t="str">
        <f>IF(CALC_EPM!$B57="","",CALC_EPM!H57)</f>
      </c>
      <c r="I68" s="11" t="str">
        <f>IF(CALC_EPM!$B57="","",CALC_EPM!I57)</f>
      </c>
      <c r="J68" t="str">
        <f>IF(CALC_EPM!$B57="","",CALC_EPM!J57)</f>
      </c>
      <c r="K68" t="str">
        <f>IF(CALC_EPM!$B57="","",CALC_EPM!K57)</f>
      </c>
      <c r="L68">
        <f>IF(CALC_EPM!$B57="","",CALC_EPM!L57)</f>
      </c>
      <c r="M68">
        <f>IF(CALC_EPM!$B57="","",CALC_EPM!M57)</f>
      </c>
      <c r="N68">
        <f>IF(CALC_EPM!$B57="","",CALC_EPM!N57)</f>
      </c>
      <c r="O68">
        <f>IF(CALC_EPM!$B57="","",CALC_EPM!O57)</f>
      </c>
      <c r="P68">
        <f>IF(CALC_EPM!$B57="","",CALC_EPM!P57)</f>
      </c>
      <c r="Q68">
        <f>IF(CALC_EPM!$B57="","",CALC_EPM!Q57)</f>
      </c>
      <c r="R68">
        <f>IF(CALC_EPM!$B57="","",CALC_EPM!R57)</f>
      </c>
      <c r="S68">
        <f>IF(CALC_EPM!$B57="","",CALC_EPM!S57)</f>
      </c>
      <c r="T68">
        <f>IF(CALC_EPM!$B57="","",CALC_EPM!T57)</f>
      </c>
      <c r="U68">
        <f>IF(CALC_EPM!$B57="","",CALC_EPM!U57)</f>
      </c>
    </row>
    <row r="69">
      <c r="A69" t="str">
        <f>IF(CALC_EPM!$B58="","",IF(CALC_EPM!A58="GLOBAL",IF(CALC_EPM!C58="Total","GLOBAL",IF(CALC_EPM!C58="TotalEsp","GLOBAL_ESP",IF(CALC_EPM!C58="TotalNoEsp","GLOBAL_NOESP","GLOBAL_ASIG"))),IF(CALC_EPM!C58="Total","CURSO_TOTAL",IF(CALC_EPM!C58="TotalEsp","CURSO_ESP",IF(CALC_EPM!C58="TotalNoEsp","CURSO_NOESP","CURSO_ASIG")))))</f>
      </c>
      <c r="B69" t="str">
        <f>IF(CALC_EPM!$B58="","",CALC_EPM!A58)</f>
      </c>
      <c r="C69" t="str">
        <f>IF(CALC_EPM!$B58="","",CALC_EPM!B58)</f>
      </c>
      <c r="D69">
        <f>IF(CALC_EPM!$B58="","",CALC_EPM!D58)</f>
      </c>
      <c r="E69" s="10" t="str">
        <f>IF(CALC_EPM!$B58="","",CALC_EPM!E58)</f>
      </c>
      <c r="F69" s="10" t="str">
        <f>IF(CALC_EPM!$B58="","",CALC_EPM!F58)</f>
      </c>
      <c r="G69" t="str">
        <f>IF(CALC_EPM!$B58="","",CALC_EPM!G58)</f>
      </c>
      <c r="H69" s="11" t="str">
        <f>IF(CALC_EPM!$B58="","",CALC_EPM!H58)</f>
      </c>
      <c r="I69" s="11" t="str">
        <f>IF(CALC_EPM!$B58="","",CALC_EPM!I58)</f>
      </c>
      <c r="J69" t="str">
        <f>IF(CALC_EPM!$B58="","",CALC_EPM!J58)</f>
      </c>
      <c r="K69" t="str">
        <f>IF(CALC_EPM!$B58="","",CALC_EPM!K58)</f>
      </c>
      <c r="L69">
        <f>IF(CALC_EPM!$B58="","",CALC_EPM!L58)</f>
      </c>
      <c r="M69">
        <f>IF(CALC_EPM!$B58="","",CALC_EPM!M58)</f>
      </c>
      <c r="N69">
        <f>IF(CALC_EPM!$B58="","",CALC_EPM!N58)</f>
      </c>
      <c r="O69">
        <f>IF(CALC_EPM!$B58="","",CALC_EPM!O58)</f>
      </c>
      <c r="P69">
        <f>IF(CALC_EPM!$B58="","",CALC_EPM!P58)</f>
      </c>
      <c r="Q69">
        <f>IF(CALC_EPM!$B58="","",CALC_EPM!Q58)</f>
      </c>
      <c r="R69">
        <f>IF(CALC_EPM!$B58="","",CALC_EPM!R58)</f>
      </c>
      <c r="S69">
        <f>IF(CALC_EPM!$B58="","",CALC_EPM!S58)</f>
      </c>
      <c r="T69">
        <f>IF(CALC_EPM!$B58="","",CALC_EPM!T58)</f>
      </c>
      <c r="U69">
        <f>IF(CALC_EPM!$B58="","",CALC_EPM!U58)</f>
      </c>
    </row>
    <row r="70">
      <c r="A70" t="str">
        <f>IF(CALC_EPM!$B59="","",IF(CALC_EPM!A59="GLOBAL",IF(CALC_EPM!C59="Total","GLOBAL",IF(CALC_EPM!C59="TotalEsp","GLOBAL_ESP",IF(CALC_EPM!C59="TotalNoEsp","GLOBAL_NOESP","GLOBAL_ASIG"))),IF(CALC_EPM!C59="Total","CURSO_TOTAL",IF(CALC_EPM!C59="TotalEsp","CURSO_ESP",IF(CALC_EPM!C59="TotalNoEsp","CURSO_NOESP","CURSO_ASIG")))))</f>
      </c>
      <c r="B70" t="str">
        <f>IF(CALC_EPM!$B59="","",CALC_EPM!A59)</f>
      </c>
      <c r="C70" t="str">
        <f>IF(CALC_EPM!$B59="","",CALC_EPM!B59)</f>
      </c>
      <c r="D70">
        <f>IF(CALC_EPM!$B59="","",CALC_EPM!D59)</f>
      </c>
      <c r="E70" s="10" t="str">
        <f>IF(CALC_EPM!$B59="","",CALC_EPM!E59)</f>
      </c>
      <c r="F70" s="10" t="str">
        <f>IF(CALC_EPM!$B59="","",CALC_EPM!F59)</f>
      </c>
      <c r="G70" t="str">
        <f>IF(CALC_EPM!$B59="","",CALC_EPM!G59)</f>
      </c>
      <c r="H70" s="11" t="str">
        <f>IF(CALC_EPM!$B59="","",CALC_EPM!H59)</f>
      </c>
      <c r="I70" s="11" t="str">
        <f>IF(CALC_EPM!$B59="","",CALC_EPM!I59)</f>
      </c>
      <c r="J70" t="str">
        <f>IF(CALC_EPM!$B59="","",CALC_EPM!J59)</f>
      </c>
      <c r="K70" t="str">
        <f>IF(CALC_EPM!$B59="","",CALC_EPM!K59)</f>
      </c>
      <c r="L70">
        <f>IF(CALC_EPM!$B59="","",CALC_EPM!L59)</f>
      </c>
      <c r="M70">
        <f>IF(CALC_EPM!$B59="","",CALC_EPM!M59)</f>
      </c>
      <c r="N70">
        <f>IF(CALC_EPM!$B59="","",CALC_EPM!N59)</f>
      </c>
      <c r="O70">
        <f>IF(CALC_EPM!$B59="","",CALC_EPM!O59)</f>
      </c>
      <c r="P70">
        <f>IF(CALC_EPM!$B59="","",CALC_EPM!P59)</f>
      </c>
      <c r="Q70">
        <f>IF(CALC_EPM!$B59="","",CALC_EPM!Q59)</f>
      </c>
      <c r="R70">
        <f>IF(CALC_EPM!$B59="","",CALC_EPM!R59)</f>
      </c>
      <c r="S70">
        <f>IF(CALC_EPM!$B59="","",CALC_EPM!S59)</f>
      </c>
      <c r="T70">
        <f>IF(CALC_EPM!$B59="","",CALC_EPM!T59)</f>
      </c>
      <c r="U70">
        <f>IF(CALC_EPM!$B59="","",CALC_EPM!U59)</f>
      </c>
    </row>
    <row r="71">
      <c r="A71" t="str">
        <f>IF(CALC_EPM!$B60="","",IF(CALC_EPM!A60="GLOBAL",IF(CALC_EPM!C60="Total","GLOBAL",IF(CALC_EPM!C60="TotalEsp","GLOBAL_ESP",IF(CALC_EPM!C60="TotalNoEsp","GLOBAL_NOESP","GLOBAL_ASIG"))),IF(CALC_EPM!C60="Total","CURSO_TOTAL",IF(CALC_EPM!C60="TotalEsp","CURSO_ESP",IF(CALC_EPM!C60="TotalNoEsp","CURSO_NOESP","CURSO_ASIG")))))</f>
      </c>
      <c r="B71" t="str">
        <f>IF(CALC_EPM!$B60="","",CALC_EPM!A60)</f>
      </c>
      <c r="C71" t="str">
        <f>IF(CALC_EPM!$B60="","",CALC_EPM!B60)</f>
      </c>
      <c r="D71">
        <f>IF(CALC_EPM!$B60="","",CALC_EPM!D60)</f>
      </c>
      <c r="E71" s="10" t="str">
        <f>IF(CALC_EPM!$B60="","",CALC_EPM!E60)</f>
      </c>
      <c r="F71" s="10" t="str">
        <f>IF(CALC_EPM!$B60="","",CALC_EPM!F60)</f>
      </c>
      <c r="G71" t="str">
        <f>IF(CALC_EPM!$B60="","",CALC_EPM!G60)</f>
      </c>
      <c r="H71" s="11" t="str">
        <f>IF(CALC_EPM!$B60="","",CALC_EPM!H60)</f>
      </c>
      <c r="I71" s="11" t="str">
        <f>IF(CALC_EPM!$B60="","",CALC_EPM!I60)</f>
      </c>
      <c r="J71" t="str">
        <f>IF(CALC_EPM!$B60="","",CALC_EPM!J60)</f>
      </c>
      <c r="K71" t="str">
        <f>IF(CALC_EPM!$B60="","",CALC_EPM!K60)</f>
      </c>
      <c r="L71">
        <f>IF(CALC_EPM!$B60="","",CALC_EPM!L60)</f>
      </c>
      <c r="M71">
        <f>IF(CALC_EPM!$B60="","",CALC_EPM!M60)</f>
      </c>
      <c r="N71">
        <f>IF(CALC_EPM!$B60="","",CALC_EPM!N60)</f>
      </c>
      <c r="O71">
        <f>IF(CALC_EPM!$B60="","",CALC_EPM!O60)</f>
      </c>
      <c r="P71">
        <f>IF(CALC_EPM!$B60="","",CALC_EPM!P60)</f>
      </c>
      <c r="Q71">
        <f>IF(CALC_EPM!$B60="","",CALC_EPM!Q60)</f>
      </c>
      <c r="R71">
        <f>IF(CALC_EPM!$B60="","",CALC_EPM!R60)</f>
      </c>
      <c r="S71">
        <f>IF(CALC_EPM!$B60="","",CALC_EPM!S60)</f>
      </c>
      <c r="T71">
        <f>IF(CALC_EPM!$B60="","",CALC_EPM!T60)</f>
      </c>
      <c r="U71">
        <f>IF(CALC_EPM!$B60="","",CALC_EPM!U60)</f>
      </c>
    </row>
    <row r="72">
      <c r="A72" t="str">
        <f>IF(CALC_EPM!$B61="","",IF(CALC_EPM!A61="GLOBAL",IF(CALC_EPM!C61="Total","GLOBAL",IF(CALC_EPM!C61="TotalEsp","GLOBAL_ESP",IF(CALC_EPM!C61="TotalNoEsp","GLOBAL_NOESP","GLOBAL_ASIG"))),IF(CALC_EPM!C61="Total","CURSO_TOTAL",IF(CALC_EPM!C61="TotalEsp","CURSO_ESP",IF(CALC_EPM!C61="TotalNoEsp","CURSO_NOESP","CURSO_ASIG")))))</f>
      </c>
      <c r="B72" t="str">
        <f>IF(CALC_EPM!$B61="","",CALC_EPM!A61)</f>
      </c>
      <c r="C72" t="str">
        <f>IF(CALC_EPM!$B61="","",CALC_EPM!B61)</f>
      </c>
      <c r="D72">
        <f>IF(CALC_EPM!$B61="","",CALC_EPM!D61)</f>
      </c>
      <c r="E72" s="10" t="str">
        <f>IF(CALC_EPM!$B61="","",CALC_EPM!E61)</f>
      </c>
      <c r="F72" s="10" t="str">
        <f>IF(CALC_EPM!$B61="","",CALC_EPM!F61)</f>
      </c>
      <c r="G72" t="str">
        <f>IF(CALC_EPM!$B61="","",CALC_EPM!G61)</f>
      </c>
      <c r="H72" s="11" t="str">
        <f>IF(CALC_EPM!$B61="","",CALC_EPM!H61)</f>
      </c>
      <c r="I72" s="11" t="str">
        <f>IF(CALC_EPM!$B61="","",CALC_EPM!I61)</f>
      </c>
      <c r="J72" t="str">
        <f>IF(CALC_EPM!$B61="","",CALC_EPM!J61)</f>
      </c>
      <c r="K72" t="str">
        <f>IF(CALC_EPM!$B61="","",CALC_EPM!K61)</f>
      </c>
      <c r="L72">
        <f>IF(CALC_EPM!$B61="","",CALC_EPM!L61)</f>
      </c>
      <c r="M72">
        <f>IF(CALC_EPM!$B61="","",CALC_EPM!M61)</f>
      </c>
      <c r="N72">
        <f>IF(CALC_EPM!$B61="","",CALC_EPM!N61)</f>
      </c>
      <c r="O72">
        <f>IF(CALC_EPM!$B61="","",CALC_EPM!O61)</f>
      </c>
      <c r="P72">
        <f>IF(CALC_EPM!$B61="","",CALC_EPM!P61)</f>
      </c>
      <c r="Q72">
        <f>IF(CALC_EPM!$B61="","",CALC_EPM!Q61)</f>
      </c>
      <c r="R72">
        <f>IF(CALC_EPM!$B61="","",CALC_EPM!R61)</f>
      </c>
      <c r="S72">
        <f>IF(CALC_EPM!$B61="","",CALC_EPM!S61)</f>
      </c>
      <c r="T72">
        <f>IF(CALC_EPM!$B61="","",CALC_EPM!T61)</f>
      </c>
      <c r="U72">
        <f>IF(CALC_EPM!$B61="","",CALC_EPM!U61)</f>
      </c>
    </row>
    <row r="73">
      <c r="A73" t="str">
        <f>IF(CALC_EPM!$B62="","",IF(CALC_EPM!A62="GLOBAL",IF(CALC_EPM!C62="Total","GLOBAL",IF(CALC_EPM!C62="TotalEsp","GLOBAL_ESP",IF(CALC_EPM!C62="TotalNoEsp","GLOBAL_NOESP","GLOBAL_ASIG"))),IF(CALC_EPM!C62="Total","CURSO_TOTAL",IF(CALC_EPM!C62="TotalEsp","CURSO_ESP",IF(CALC_EPM!C62="TotalNoEsp","CURSO_NOESP","CURSO_ASIG")))))</f>
      </c>
      <c r="B73" t="str">
        <f>IF(CALC_EPM!$B62="","",CALC_EPM!A62)</f>
      </c>
      <c r="C73" t="str">
        <f>IF(CALC_EPM!$B62="","",CALC_EPM!B62)</f>
      </c>
      <c r="D73">
        <f>IF(CALC_EPM!$B62="","",CALC_EPM!D62)</f>
      </c>
      <c r="E73" s="10" t="str">
        <f>IF(CALC_EPM!$B62="","",CALC_EPM!E62)</f>
      </c>
      <c r="F73" s="10" t="str">
        <f>IF(CALC_EPM!$B62="","",CALC_EPM!F62)</f>
      </c>
      <c r="G73" t="str">
        <f>IF(CALC_EPM!$B62="","",CALC_EPM!G62)</f>
      </c>
      <c r="H73" s="11" t="str">
        <f>IF(CALC_EPM!$B62="","",CALC_EPM!H62)</f>
      </c>
      <c r="I73" s="11" t="str">
        <f>IF(CALC_EPM!$B62="","",CALC_EPM!I62)</f>
      </c>
      <c r="J73" t="str">
        <f>IF(CALC_EPM!$B62="","",CALC_EPM!J62)</f>
      </c>
      <c r="K73" t="str">
        <f>IF(CALC_EPM!$B62="","",CALC_EPM!K62)</f>
      </c>
      <c r="L73">
        <f>IF(CALC_EPM!$B62="","",CALC_EPM!L62)</f>
      </c>
      <c r="M73">
        <f>IF(CALC_EPM!$B62="","",CALC_EPM!M62)</f>
      </c>
      <c r="N73">
        <f>IF(CALC_EPM!$B62="","",CALC_EPM!N62)</f>
      </c>
      <c r="O73">
        <f>IF(CALC_EPM!$B62="","",CALC_EPM!O62)</f>
      </c>
      <c r="P73">
        <f>IF(CALC_EPM!$B62="","",CALC_EPM!P62)</f>
      </c>
      <c r="Q73">
        <f>IF(CALC_EPM!$B62="","",CALC_EPM!Q62)</f>
      </c>
      <c r="R73">
        <f>IF(CALC_EPM!$B62="","",CALC_EPM!R62)</f>
      </c>
      <c r="S73">
        <f>IF(CALC_EPM!$B62="","",CALC_EPM!S62)</f>
      </c>
      <c r="T73">
        <f>IF(CALC_EPM!$B62="","",CALC_EPM!T62)</f>
      </c>
      <c r="U73">
        <f>IF(CALC_EPM!$B62="","",CALC_EPM!U62)</f>
      </c>
    </row>
    <row r="74">
      <c r="A74" t="str">
        <f>IF(CALC_EPM!$B63="","",IF(CALC_EPM!A63="GLOBAL",IF(CALC_EPM!C63="Total","GLOBAL",IF(CALC_EPM!C63="TotalEsp","GLOBAL_ESP",IF(CALC_EPM!C63="TotalNoEsp","GLOBAL_NOESP","GLOBAL_ASIG"))),IF(CALC_EPM!C63="Total","CURSO_TOTAL",IF(CALC_EPM!C63="TotalEsp","CURSO_ESP",IF(CALC_EPM!C63="TotalNoEsp","CURSO_NOESP","CURSO_ASIG")))))</f>
      </c>
      <c r="B74" t="str">
        <f>IF(CALC_EPM!$B63="","",CALC_EPM!A63)</f>
      </c>
      <c r="C74" t="str">
        <f>IF(CALC_EPM!$B63="","",CALC_EPM!B63)</f>
      </c>
      <c r="D74">
        <f>IF(CALC_EPM!$B63="","",CALC_EPM!D63)</f>
      </c>
      <c r="E74" s="10" t="str">
        <f>IF(CALC_EPM!$B63="","",CALC_EPM!E63)</f>
      </c>
      <c r="F74" s="10" t="str">
        <f>IF(CALC_EPM!$B63="","",CALC_EPM!F63)</f>
      </c>
      <c r="G74" t="str">
        <f>IF(CALC_EPM!$B63="","",CALC_EPM!G63)</f>
      </c>
      <c r="H74" s="11" t="str">
        <f>IF(CALC_EPM!$B63="","",CALC_EPM!H63)</f>
      </c>
      <c r="I74" s="11" t="str">
        <f>IF(CALC_EPM!$B63="","",CALC_EPM!I63)</f>
      </c>
      <c r="J74" t="str">
        <f>IF(CALC_EPM!$B63="","",CALC_EPM!J63)</f>
      </c>
      <c r="K74" t="str">
        <f>IF(CALC_EPM!$B63="","",CALC_EPM!K63)</f>
      </c>
      <c r="L74">
        <f>IF(CALC_EPM!$B63="","",CALC_EPM!L63)</f>
      </c>
      <c r="M74">
        <f>IF(CALC_EPM!$B63="","",CALC_EPM!M63)</f>
      </c>
      <c r="N74">
        <f>IF(CALC_EPM!$B63="","",CALC_EPM!N63)</f>
      </c>
      <c r="O74">
        <f>IF(CALC_EPM!$B63="","",CALC_EPM!O63)</f>
      </c>
      <c r="P74">
        <f>IF(CALC_EPM!$B63="","",CALC_EPM!P63)</f>
      </c>
      <c r="Q74">
        <f>IF(CALC_EPM!$B63="","",CALC_EPM!Q63)</f>
      </c>
      <c r="R74">
        <f>IF(CALC_EPM!$B63="","",CALC_EPM!R63)</f>
      </c>
      <c r="S74">
        <f>IF(CALC_EPM!$B63="","",CALC_EPM!S63)</f>
      </c>
      <c r="T74">
        <f>IF(CALC_EPM!$B63="","",CALC_EPM!T63)</f>
      </c>
      <c r="U74">
        <f>IF(CALC_EPM!$B63="","",CALC_EPM!U63)</f>
      </c>
    </row>
    <row r="75">
      <c r="A75" t="str">
        <f>IF(CALC_EPM!$B64="","",IF(CALC_EPM!A64="GLOBAL",IF(CALC_EPM!C64="Total","GLOBAL",IF(CALC_EPM!C64="TotalEsp","GLOBAL_ESP",IF(CALC_EPM!C64="TotalNoEsp","GLOBAL_NOESP","GLOBAL_ASIG"))),IF(CALC_EPM!C64="Total","CURSO_TOTAL",IF(CALC_EPM!C64="TotalEsp","CURSO_ESP",IF(CALC_EPM!C64="TotalNoEsp","CURSO_NOESP","CURSO_ASIG")))))</f>
      </c>
      <c r="B75" t="str">
        <f>IF(CALC_EPM!$B64="","",CALC_EPM!A64)</f>
      </c>
      <c r="C75" t="str">
        <f>IF(CALC_EPM!$B64="","",CALC_EPM!B64)</f>
      </c>
      <c r="D75">
        <f>IF(CALC_EPM!$B64="","",CALC_EPM!D64)</f>
      </c>
      <c r="E75" s="10" t="str">
        <f>IF(CALC_EPM!$B64="","",CALC_EPM!E64)</f>
      </c>
      <c r="F75" s="10" t="str">
        <f>IF(CALC_EPM!$B64="","",CALC_EPM!F64)</f>
      </c>
      <c r="G75" t="str">
        <f>IF(CALC_EPM!$B64="","",CALC_EPM!G64)</f>
      </c>
      <c r="H75" s="11" t="str">
        <f>IF(CALC_EPM!$B64="","",CALC_EPM!H64)</f>
      </c>
      <c r="I75" s="11" t="str">
        <f>IF(CALC_EPM!$B64="","",CALC_EPM!I64)</f>
      </c>
      <c r="J75" t="str">
        <f>IF(CALC_EPM!$B64="","",CALC_EPM!J64)</f>
      </c>
      <c r="K75" t="str">
        <f>IF(CALC_EPM!$B64="","",CALC_EPM!K64)</f>
      </c>
      <c r="L75">
        <f>IF(CALC_EPM!$B64="","",CALC_EPM!L64)</f>
      </c>
      <c r="M75">
        <f>IF(CALC_EPM!$B64="","",CALC_EPM!M64)</f>
      </c>
      <c r="N75">
        <f>IF(CALC_EPM!$B64="","",CALC_EPM!N64)</f>
      </c>
      <c r="O75">
        <f>IF(CALC_EPM!$B64="","",CALC_EPM!O64)</f>
      </c>
      <c r="P75">
        <f>IF(CALC_EPM!$B64="","",CALC_EPM!P64)</f>
      </c>
      <c r="Q75">
        <f>IF(CALC_EPM!$B64="","",CALC_EPM!Q64)</f>
      </c>
      <c r="R75">
        <f>IF(CALC_EPM!$B64="","",CALC_EPM!R64)</f>
      </c>
      <c r="S75">
        <f>IF(CALC_EPM!$B64="","",CALC_EPM!S64)</f>
      </c>
      <c r="T75">
        <f>IF(CALC_EPM!$B64="","",CALC_EPM!T64)</f>
      </c>
      <c r="U75">
        <f>IF(CALC_EPM!$B64="","",CALC_EPM!U64)</f>
      </c>
    </row>
    <row r="76">
      <c r="A76" t="str">
        <f>IF(CALC_EPM!$B65="","",IF(CALC_EPM!A65="GLOBAL",IF(CALC_EPM!C65="Total","GLOBAL",IF(CALC_EPM!C65="TotalEsp","GLOBAL_ESP",IF(CALC_EPM!C65="TotalNoEsp","GLOBAL_NOESP","GLOBAL_ASIG"))),IF(CALC_EPM!C65="Total","CURSO_TOTAL",IF(CALC_EPM!C65="TotalEsp","CURSO_ESP",IF(CALC_EPM!C65="TotalNoEsp","CURSO_NOESP","CURSO_ASIG")))))</f>
      </c>
      <c r="B76" t="str">
        <f>IF(CALC_EPM!$B65="","",CALC_EPM!A65)</f>
      </c>
      <c r="C76" t="str">
        <f>IF(CALC_EPM!$B65="","",CALC_EPM!B65)</f>
      </c>
      <c r="D76">
        <f>IF(CALC_EPM!$B65="","",CALC_EPM!D65)</f>
      </c>
      <c r="E76" s="10" t="str">
        <f>IF(CALC_EPM!$B65="","",CALC_EPM!E65)</f>
      </c>
      <c r="F76" s="10" t="str">
        <f>IF(CALC_EPM!$B65="","",CALC_EPM!F65)</f>
      </c>
      <c r="G76" t="str">
        <f>IF(CALC_EPM!$B65="","",CALC_EPM!G65)</f>
      </c>
      <c r="H76" s="11" t="str">
        <f>IF(CALC_EPM!$B65="","",CALC_EPM!H65)</f>
      </c>
      <c r="I76" s="11" t="str">
        <f>IF(CALC_EPM!$B65="","",CALC_EPM!I65)</f>
      </c>
      <c r="J76" t="str">
        <f>IF(CALC_EPM!$B65="","",CALC_EPM!J65)</f>
      </c>
      <c r="K76" t="str">
        <f>IF(CALC_EPM!$B65="","",CALC_EPM!K65)</f>
      </c>
      <c r="L76">
        <f>IF(CALC_EPM!$B65="","",CALC_EPM!L65)</f>
      </c>
      <c r="M76">
        <f>IF(CALC_EPM!$B65="","",CALC_EPM!M65)</f>
      </c>
      <c r="N76">
        <f>IF(CALC_EPM!$B65="","",CALC_EPM!N65)</f>
      </c>
      <c r="O76">
        <f>IF(CALC_EPM!$B65="","",CALC_EPM!O65)</f>
      </c>
      <c r="P76">
        <f>IF(CALC_EPM!$B65="","",CALC_EPM!P65)</f>
      </c>
      <c r="Q76">
        <f>IF(CALC_EPM!$B65="","",CALC_EPM!Q65)</f>
      </c>
      <c r="R76">
        <f>IF(CALC_EPM!$B65="","",CALC_EPM!R65)</f>
      </c>
      <c r="S76">
        <f>IF(CALC_EPM!$B65="","",CALC_EPM!S65)</f>
      </c>
      <c r="T76">
        <f>IF(CALC_EPM!$B65="","",CALC_EPM!T65)</f>
      </c>
      <c r="U76">
        <f>IF(CALC_EPM!$B65="","",CALC_EPM!U65)</f>
      </c>
    </row>
    <row r="77">
      <c r="A77" t="str">
        <f>IF(CALC_EPM!$B66="","",IF(CALC_EPM!A66="GLOBAL",IF(CALC_EPM!C66="Total","GLOBAL",IF(CALC_EPM!C66="TotalEsp","GLOBAL_ESP",IF(CALC_EPM!C66="TotalNoEsp","GLOBAL_NOESP","GLOBAL_ASIG"))),IF(CALC_EPM!C66="Total","CURSO_TOTAL",IF(CALC_EPM!C66="TotalEsp","CURSO_ESP",IF(CALC_EPM!C66="TotalNoEsp","CURSO_NOESP","CURSO_ASIG")))))</f>
      </c>
      <c r="B77" t="str">
        <f>IF(CALC_EPM!$B66="","",CALC_EPM!A66)</f>
      </c>
      <c r="C77" t="str">
        <f>IF(CALC_EPM!$B66="","",CALC_EPM!B66)</f>
      </c>
      <c r="D77">
        <f>IF(CALC_EPM!$B66="","",CALC_EPM!D66)</f>
      </c>
      <c r="E77" s="10" t="str">
        <f>IF(CALC_EPM!$B66="","",CALC_EPM!E66)</f>
      </c>
      <c r="F77" s="10" t="str">
        <f>IF(CALC_EPM!$B66="","",CALC_EPM!F66)</f>
      </c>
      <c r="G77" t="str">
        <f>IF(CALC_EPM!$B66="","",CALC_EPM!G66)</f>
      </c>
      <c r="H77" s="11" t="str">
        <f>IF(CALC_EPM!$B66="","",CALC_EPM!H66)</f>
      </c>
      <c r="I77" s="11" t="str">
        <f>IF(CALC_EPM!$B66="","",CALC_EPM!I66)</f>
      </c>
      <c r="J77" t="str">
        <f>IF(CALC_EPM!$B66="","",CALC_EPM!J66)</f>
      </c>
      <c r="K77" t="str">
        <f>IF(CALC_EPM!$B66="","",CALC_EPM!K66)</f>
      </c>
      <c r="L77">
        <f>IF(CALC_EPM!$B66="","",CALC_EPM!L66)</f>
      </c>
      <c r="M77">
        <f>IF(CALC_EPM!$B66="","",CALC_EPM!M66)</f>
      </c>
      <c r="N77">
        <f>IF(CALC_EPM!$B66="","",CALC_EPM!N66)</f>
      </c>
      <c r="O77">
        <f>IF(CALC_EPM!$B66="","",CALC_EPM!O66)</f>
      </c>
      <c r="P77">
        <f>IF(CALC_EPM!$B66="","",CALC_EPM!P66)</f>
      </c>
      <c r="Q77">
        <f>IF(CALC_EPM!$B66="","",CALC_EPM!Q66)</f>
      </c>
      <c r="R77">
        <f>IF(CALC_EPM!$B66="","",CALC_EPM!R66)</f>
      </c>
      <c r="S77">
        <f>IF(CALC_EPM!$B66="","",CALC_EPM!S66)</f>
      </c>
      <c r="T77">
        <f>IF(CALC_EPM!$B66="","",CALC_EPM!T66)</f>
      </c>
      <c r="U77">
        <f>IF(CALC_EPM!$B66="","",CALC_EPM!U66)</f>
      </c>
    </row>
    <row r="78">
      <c r="A78" t="str">
        <f>IF(CALC_EPM!$B67="","",IF(CALC_EPM!A67="GLOBAL",IF(CALC_EPM!C67="Total","GLOBAL",IF(CALC_EPM!C67="TotalEsp","GLOBAL_ESP",IF(CALC_EPM!C67="TotalNoEsp","GLOBAL_NOESP","GLOBAL_ASIG"))),IF(CALC_EPM!C67="Total","CURSO_TOTAL",IF(CALC_EPM!C67="TotalEsp","CURSO_ESP",IF(CALC_EPM!C67="TotalNoEsp","CURSO_NOESP","CURSO_ASIG")))))</f>
      </c>
      <c r="B78" t="str">
        <f>IF(CALC_EPM!$B67="","",CALC_EPM!A67)</f>
      </c>
      <c r="C78" t="str">
        <f>IF(CALC_EPM!$B67="","",CALC_EPM!B67)</f>
      </c>
      <c r="D78">
        <f>IF(CALC_EPM!$B67="","",CALC_EPM!D67)</f>
      </c>
      <c r="E78" s="10" t="str">
        <f>IF(CALC_EPM!$B67="","",CALC_EPM!E67)</f>
      </c>
      <c r="F78" s="10" t="str">
        <f>IF(CALC_EPM!$B67="","",CALC_EPM!F67)</f>
      </c>
      <c r="G78" t="str">
        <f>IF(CALC_EPM!$B67="","",CALC_EPM!G67)</f>
      </c>
      <c r="H78" s="11" t="str">
        <f>IF(CALC_EPM!$B67="","",CALC_EPM!H67)</f>
      </c>
      <c r="I78" s="11" t="str">
        <f>IF(CALC_EPM!$B67="","",CALC_EPM!I67)</f>
      </c>
      <c r="J78" t="str">
        <f>IF(CALC_EPM!$B67="","",CALC_EPM!J67)</f>
      </c>
      <c r="K78" t="str">
        <f>IF(CALC_EPM!$B67="","",CALC_EPM!K67)</f>
      </c>
      <c r="L78">
        <f>IF(CALC_EPM!$B67="","",CALC_EPM!L67)</f>
      </c>
      <c r="M78">
        <f>IF(CALC_EPM!$B67="","",CALC_EPM!M67)</f>
      </c>
      <c r="N78">
        <f>IF(CALC_EPM!$B67="","",CALC_EPM!N67)</f>
      </c>
      <c r="O78">
        <f>IF(CALC_EPM!$B67="","",CALC_EPM!O67)</f>
      </c>
      <c r="P78">
        <f>IF(CALC_EPM!$B67="","",CALC_EPM!P67)</f>
      </c>
      <c r="Q78">
        <f>IF(CALC_EPM!$B67="","",CALC_EPM!Q67)</f>
      </c>
      <c r="R78">
        <f>IF(CALC_EPM!$B67="","",CALC_EPM!R67)</f>
      </c>
      <c r="S78">
        <f>IF(CALC_EPM!$B67="","",CALC_EPM!S67)</f>
      </c>
      <c r="T78">
        <f>IF(CALC_EPM!$B67="","",CALC_EPM!T67)</f>
      </c>
      <c r="U78">
        <f>IF(CALC_EPM!$B67="","",CALC_EPM!U67)</f>
      </c>
    </row>
    <row r="79">
      <c r="A79" t="str">
        <f>IF(CALC_EPM!$B68="","",IF(CALC_EPM!A68="GLOBAL",IF(CALC_EPM!C68="Total","GLOBAL",IF(CALC_EPM!C68="TotalEsp","GLOBAL_ESP",IF(CALC_EPM!C68="TotalNoEsp","GLOBAL_NOESP","GLOBAL_ASIG"))),IF(CALC_EPM!C68="Total","CURSO_TOTAL",IF(CALC_EPM!C68="TotalEsp","CURSO_ESP",IF(CALC_EPM!C68="TotalNoEsp","CURSO_NOESP","CURSO_ASIG")))))</f>
      </c>
      <c r="B79" t="str">
        <f>IF(CALC_EPM!$B68="","",CALC_EPM!A68)</f>
      </c>
      <c r="C79" t="str">
        <f>IF(CALC_EPM!$B68="","",CALC_EPM!B68)</f>
      </c>
      <c r="D79">
        <f>IF(CALC_EPM!$B68="","",CALC_EPM!D68)</f>
      </c>
      <c r="E79" s="10" t="str">
        <f>IF(CALC_EPM!$B68="","",CALC_EPM!E68)</f>
      </c>
      <c r="F79" s="10" t="str">
        <f>IF(CALC_EPM!$B68="","",CALC_EPM!F68)</f>
      </c>
      <c r="G79" t="str">
        <f>IF(CALC_EPM!$B68="","",CALC_EPM!G68)</f>
      </c>
      <c r="H79" s="11" t="str">
        <f>IF(CALC_EPM!$B68="","",CALC_EPM!H68)</f>
      </c>
      <c r="I79" s="11" t="str">
        <f>IF(CALC_EPM!$B68="","",CALC_EPM!I68)</f>
      </c>
      <c r="J79" t="str">
        <f>IF(CALC_EPM!$B68="","",CALC_EPM!J68)</f>
      </c>
      <c r="K79" t="str">
        <f>IF(CALC_EPM!$B68="","",CALC_EPM!K68)</f>
      </c>
      <c r="L79">
        <f>IF(CALC_EPM!$B68="","",CALC_EPM!L68)</f>
      </c>
      <c r="M79">
        <f>IF(CALC_EPM!$B68="","",CALC_EPM!M68)</f>
      </c>
      <c r="N79">
        <f>IF(CALC_EPM!$B68="","",CALC_EPM!N68)</f>
      </c>
      <c r="O79">
        <f>IF(CALC_EPM!$B68="","",CALC_EPM!O68)</f>
      </c>
      <c r="P79">
        <f>IF(CALC_EPM!$B68="","",CALC_EPM!P68)</f>
      </c>
      <c r="Q79">
        <f>IF(CALC_EPM!$B68="","",CALC_EPM!Q68)</f>
      </c>
      <c r="R79">
        <f>IF(CALC_EPM!$B68="","",CALC_EPM!R68)</f>
      </c>
      <c r="S79">
        <f>IF(CALC_EPM!$B68="","",CALC_EPM!S68)</f>
      </c>
      <c r="T79">
        <f>IF(CALC_EPM!$B68="","",CALC_EPM!T68)</f>
      </c>
      <c r="U79">
        <f>IF(CALC_EPM!$B68="","",CALC_EPM!U68)</f>
      </c>
    </row>
    <row r="80">
      <c r="A80" t="str">
        <f>IF(CALC_EPM!$B69="","",IF(CALC_EPM!A69="GLOBAL",IF(CALC_EPM!C69="Total","GLOBAL",IF(CALC_EPM!C69="TotalEsp","GLOBAL_ESP",IF(CALC_EPM!C69="TotalNoEsp","GLOBAL_NOESP","GLOBAL_ASIG"))),IF(CALC_EPM!C69="Total","CURSO_TOTAL",IF(CALC_EPM!C69="TotalEsp","CURSO_ESP",IF(CALC_EPM!C69="TotalNoEsp","CURSO_NOESP","CURSO_ASIG")))))</f>
      </c>
      <c r="B80" t="str">
        <f>IF(CALC_EPM!$B69="","",CALC_EPM!A69)</f>
      </c>
      <c r="C80" t="str">
        <f>IF(CALC_EPM!$B69="","",CALC_EPM!B69)</f>
      </c>
      <c r="D80">
        <f>IF(CALC_EPM!$B69="","",CALC_EPM!D69)</f>
      </c>
      <c r="E80" s="10" t="str">
        <f>IF(CALC_EPM!$B69="","",CALC_EPM!E69)</f>
      </c>
      <c r="F80" s="10" t="str">
        <f>IF(CALC_EPM!$B69="","",CALC_EPM!F69)</f>
      </c>
      <c r="G80" t="str">
        <f>IF(CALC_EPM!$B69="","",CALC_EPM!G69)</f>
      </c>
      <c r="H80" s="11" t="str">
        <f>IF(CALC_EPM!$B69="","",CALC_EPM!H69)</f>
      </c>
      <c r="I80" s="11" t="str">
        <f>IF(CALC_EPM!$B69="","",CALC_EPM!I69)</f>
      </c>
      <c r="J80" t="str">
        <f>IF(CALC_EPM!$B69="","",CALC_EPM!J69)</f>
      </c>
      <c r="K80" t="str">
        <f>IF(CALC_EPM!$B69="","",CALC_EPM!K69)</f>
      </c>
      <c r="L80">
        <f>IF(CALC_EPM!$B69="","",CALC_EPM!L69)</f>
      </c>
      <c r="M80">
        <f>IF(CALC_EPM!$B69="","",CALC_EPM!M69)</f>
      </c>
      <c r="N80">
        <f>IF(CALC_EPM!$B69="","",CALC_EPM!N69)</f>
      </c>
      <c r="O80">
        <f>IF(CALC_EPM!$B69="","",CALC_EPM!O69)</f>
      </c>
      <c r="P80">
        <f>IF(CALC_EPM!$B69="","",CALC_EPM!P69)</f>
      </c>
      <c r="Q80">
        <f>IF(CALC_EPM!$B69="","",CALC_EPM!Q69)</f>
      </c>
      <c r="R80">
        <f>IF(CALC_EPM!$B69="","",CALC_EPM!R69)</f>
      </c>
      <c r="S80">
        <f>IF(CALC_EPM!$B69="","",CALC_EPM!S69)</f>
      </c>
      <c r="T80">
        <f>IF(CALC_EPM!$B69="","",CALC_EPM!T69)</f>
      </c>
      <c r="U80">
        <f>IF(CALC_EPM!$B69="","",CALC_EPM!U69)</f>
      </c>
    </row>
    <row r="81">
      <c r="A81" t="str">
        <f>IF(CALC_EPM!$B70="","",IF(CALC_EPM!A70="GLOBAL",IF(CALC_EPM!C70="Total","GLOBAL",IF(CALC_EPM!C70="TotalEsp","GLOBAL_ESP",IF(CALC_EPM!C70="TotalNoEsp","GLOBAL_NOESP","GLOBAL_ASIG"))),IF(CALC_EPM!C70="Total","CURSO_TOTAL",IF(CALC_EPM!C70="TotalEsp","CURSO_ESP",IF(CALC_EPM!C70="TotalNoEsp","CURSO_NOESP","CURSO_ASIG")))))</f>
      </c>
      <c r="B81" t="str">
        <f>IF(CALC_EPM!$B70="","",CALC_EPM!A70)</f>
      </c>
      <c r="C81" t="str">
        <f>IF(CALC_EPM!$B70="","",CALC_EPM!B70)</f>
      </c>
      <c r="D81">
        <f>IF(CALC_EPM!$B70="","",CALC_EPM!D70)</f>
      </c>
      <c r="E81" s="10" t="str">
        <f>IF(CALC_EPM!$B70="","",CALC_EPM!E70)</f>
      </c>
      <c r="F81" s="10" t="str">
        <f>IF(CALC_EPM!$B70="","",CALC_EPM!F70)</f>
      </c>
      <c r="G81" t="str">
        <f>IF(CALC_EPM!$B70="","",CALC_EPM!G70)</f>
      </c>
      <c r="H81" s="11" t="str">
        <f>IF(CALC_EPM!$B70="","",CALC_EPM!H70)</f>
      </c>
      <c r="I81" s="11" t="str">
        <f>IF(CALC_EPM!$B70="","",CALC_EPM!I70)</f>
      </c>
      <c r="J81" t="str">
        <f>IF(CALC_EPM!$B70="","",CALC_EPM!J70)</f>
      </c>
      <c r="K81" t="str">
        <f>IF(CALC_EPM!$B70="","",CALC_EPM!K70)</f>
      </c>
      <c r="L81">
        <f>IF(CALC_EPM!$B70="","",CALC_EPM!L70)</f>
      </c>
      <c r="M81">
        <f>IF(CALC_EPM!$B70="","",CALC_EPM!M70)</f>
      </c>
      <c r="N81">
        <f>IF(CALC_EPM!$B70="","",CALC_EPM!N70)</f>
      </c>
      <c r="O81">
        <f>IF(CALC_EPM!$B70="","",CALC_EPM!O70)</f>
      </c>
      <c r="P81">
        <f>IF(CALC_EPM!$B70="","",CALC_EPM!P70)</f>
      </c>
      <c r="Q81">
        <f>IF(CALC_EPM!$B70="","",CALC_EPM!Q70)</f>
      </c>
      <c r="R81">
        <f>IF(CALC_EPM!$B70="","",CALC_EPM!R70)</f>
      </c>
      <c r="S81">
        <f>IF(CALC_EPM!$B70="","",CALC_EPM!S70)</f>
      </c>
      <c r="T81">
        <f>IF(CALC_EPM!$B70="","",CALC_EPM!T70)</f>
      </c>
      <c r="U81">
        <f>IF(CALC_EPM!$B70="","",CALC_EPM!U70)</f>
      </c>
    </row>
    <row r="82">
      <c r="A82" t="str">
        <f>IF(CALC_EPM!$B71="","",IF(CALC_EPM!A71="GLOBAL",IF(CALC_EPM!C71="Total","GLOBAL",IF(CALC_EPM!C71="TotalEsp","GLOBAL_ESP",IF(CALC_EPM!C71="TotalNoEsp","GLOBAL_NOESP","GLOBAL_ASIG"))),IF(CALC_EPM!C71="Total","CURSO_TOTAL",IF(CALC_EPM!C71="TotalEsp","CURSO_ESP",IF(CALC_EPM!C71="TotalNoEsp","CURSO_NOESP","CURSO_ASIG")))))</f>
      </c>
      <c r="B82" t="str">
        <f>IF(CALC_EPM!$B71="","",CALC_EPM!A71)</f>
      </c>
      <c r="C82" t="str">
        <f>IF(CALC_EPM!$B71="","",CALC_EPM!B71)</f>
      </c>
      <c r="D82">
        <f>IF(CALC_EPM!$B71="","",CALC_EPM!D71)</f>
      </c>
      <c r="E82" s="10" t="str">
        <f>IF(CALC_EPM!$B71="","",CALC_EPM!E71)</f>
      </c>
      <c r="F82" s="10" t="str">
        <f>IF(CALC_EPM!$B71="","",CALC_EPM!F71)</f>
      </c>
      <c r="G82" t="str">
        <f>IF(CALC_EPM!$B71="","",CALC_EPM!G71)</f>
      </c>
      <c r="H82" s="11" t="str">
        <f>IF(CALC_EPM!$B71="","",CALC_EPM!H71)</f>
      </c>
      <c r="I82" s="11" t="str">
        <f>IF(CALC_EPM!$B71="","",CALC_EPM!I71)</f>
      </c>
      <c r="J82" t="str">
        <f>IF(CALC_EPM!$B71="","",CALC_EPM!J71)</f>
      </c>
      <c r="K82" t="str">
        <f>IF(CALC_EPM!$B71="","",CALC_EPM!K71)</f>
      </c>
      <c r="L82">
        <f>IF(CALC_EPM!$B71="","",CALC_EPM!L71)</f>
      </c>
      <c r="M82">
        <f>IF(CALC_EPM!$B71="","",CALC_EPM!M71)</f>
      </c>
      <c r="N82">
        <f>IF(CALC_EPM!$B71="","",CALC_EPM!N71)</f>
      </c>
      <c r="O82">
        <f>IF(CALC_EPM!$B71="","",CALC_EPM!O71)</f>
      </c>
      <c r="P82">
        <f>IF(CALC_EPM!$B71="","",CALC_EPM!P71)</f>
      </c>
      <c r="Q82">
        <f>IF(CALC_EPM!$B71="","",CALC_EPM!Q71)</f>
      </c>
      <c r="R82">
        <f>IF(CALC_EPM!$B71="","",CALC_EPM!R71)</f>
      </c>
      <c r="S82">
        <f>IF(CALC_EPM!$B71="","",CALC_EPM!S71)</f>
      </c>
      <c r="T82">
        <f>IF(CALC_EPM!$B71="","",CALC_EPM!T71)</f>
      </c>
      <c r="U82">
        <f>IF(CALC_EPM!$B71="","",CALC_EPM!U71)</f>
      </c>
    </row>
    <row r="83">
      <c r="A83" t="str">
        <f>IF(CALC_EPM!$B72="","",IF(CALC_EPM!A72="GLOBAL",IF(CALC_EPM!C72="Total","GLOBAL",IF(CALC_EPM!C72="TotalEsp","GLOBAL_ESP",IF(CALC_EPM!C72="TotalNoEsp","GLOBAL_NOESP","GLOBAL_ASIG"))),IF(CALC_EPM!C72="Total","CURSO_TOTAL",IF(CALC_EPM!C72="TotalEsp","CURSO_ESP",IF(CALC_EPM!C72="TotalNoEsp","CURSO_NOESP","CURSO_ASIG")))))</f>
      </c>
      <c r="B83" t="str">
        <f>IF(CALC_EPM!$B72="","",CALC_EPM!A72)</f>
      </c>
      <c r="C83" t="str">
        <f>IF(CALC_EPM!$B72="","",CALC_EPM!B72)</f>
      </c>
      <c r="D83">
        <f>IF(CALC_EPM!$B72="","",CALC_EPM!D72)</f>
      </c>
      <c r="E83" s="10" t="str">
        <f>IF(CALC_EPM!$B72="","",CALC_EPM!E72)</f>
      </c>
      <c r="F83" s="10" t="str">
        <f>IF(CALC_EPM!$B72="","",CALC_EPM!F72)</f>
      </c>
      <c r="G83" t="str">
        <f>IF(CALC_EPM!$B72="","",CALC_EPM!G72)</f>
      </c>
      <c r="H83" s="11" t="str">
        <f>IF(CALC_EPM!$B72="","",CALC_EPM!H72)</f>
      </c>
      <c r="I83" s="11" t="str">
        <f>IF(CALC_EPM!$B72="","",CALC_EPM!I72)</f>
      </c>
      <c r="J83" t="str">
        <f>IF(CALC_EPM!$B72="","",CALC_EPM!J72)</f>
      </c>
      <c r="K83" t="str">
        <f>IF(CALC_EPM!$B72="","",CALC_EPM!K72)</f>
      </c>
      <c r="L83">
        <f>IF(CALC_EPM!$B72="","",CALC_EPM!L72)</f>
      </c>
      <c r="M83">
        <f>IF(CALC_EPM!$B72="","",CALC_EPM!M72)</f>
      </c>
      <c r="N83">
        <f>IF(CALC_EPM!$B72="","",CALC_EPM!N72)</f>
      </c>
      <c r="O83">
        <f>IF(CALC_EPM!$B72="","",CALC_EPM!O72)</f>
      </c>
      <c r="P83">
        <f>IF(CALC_EPM!$B72="","",CALC_EPM!P72)</f>
      </c>
      <c r="Q83">
        <f>IF(CALC_EPM!$B72="","",CALC_EPM!Q72)</f>
      </c>
      <c r="R83">
        <f>IF(CALC_EPM!$B72="","",CALC_EPM!R72)</f>
      </c>
      <c r="S83">
        <f>IF(CALC_EPM!$B72="","",CALC_EPM!S72)</f>
      </c>
      <c r="T83">
        <f>IF(CALC_EPM!$B72="","",CALC_EPM!T72)</f>
      </c>
      <c r="U83">
        <f>IF(CALC_EPM!$B72="","",CALC_EPM!U72)</f>
      </c>
    </row>
    <row r="84">
      <c r="A84" t="str">
        <f>IF(CALC_EPM!$B73="","",IF(CALC_EPM!A73="GLOBAL",IF(CALC_EPM!C73="Total","GLOBAL",IF(CALC_EPM!C73="TotalEsp","GLOBAL_ESP",IF(CALC_EPM!C73="TotalNoEsp","GLOBAL_NOESP","GLOBAL_ASIG"))),IF(CALC_EPM!C73="Total","CURSO_TOTAL",IF(CALC_EPM!C73="TotalEsp","CURSO_ESP",IF(CALC_EPM!C73="TotalNoEsp","CURSO_NOESP","CURSO_ASIG")))))</f>
      </c>
      <c r="B84" t="str">
        <f>IF(CALC_EPM!$B73="","",CALC_EPM!A73)</f>
      </c>
      <c r="C84" t="str">
        <f>IF(CALC_EPM!$B73="","",CALC_EPM!B73)</f>
      </c>
      <c r="D84">
        <f>IF(CALC_EPM!$B73="","",CALC_EPM!D73)</f>
      </c>
      <c r="E84" s="10" t="str">
        <f>IF(CALC_EPM!$B73="","",CALC_EPM!E73)</f>
      </c>
      <c r="F84" s="10" t="str">
        <f>IF(CALC_EPM!$B73="","",CALC_EPM!F73)</f>
      </c>
      <c r="G84" t="str">
        <f>IF(CALC_EPM!$B73="","",CALC_EPM!G73)</f>
      </c>
      <c r="H84" s="11" t="str">
        <f>IF(CALC_EPM!$B73="","",CALC_EPM!H73)</f>
      </c>
      <c r="I84" s="11" t="str">
        <f>IF(CALC_EPM!$B73="","",CALC_EPM!I73)</f>
      </c>
      <c r="J84" t="str">
        <f>IF(CALC_EPM!$B73="","",CALC_EPM!J73)</f>
      </c>
      <c r="K84" t="str">
        <f>IF(CALC_EPM!$B73="","",CALC_EPM!K73)</f>
      </c>
      <c r="L84">
        <f>IF(CALC_EPM!$B73="","",CALC_EPM!L73)</f>
      </c>
      <c r="M84">
        <f>IF(CALC_EPM!$B73="","",CALC_EPM!M73)</f>
      </c>
      <c r="N84">
        <f>IF(CALC_EPM!$B73="","",CALC_EPM!N73)</f>
      </c>
      <c r="O84">
        <f>IF(CALC_EPM!$B73="","",CALC_EPM!O73)</f>
      </c>
      <c r="P84">
        <f>IF(CALC_EPM!$B73="","",CALC_EPM!P73)</f>
      </c>
      <c r="Q84">
        <f>IF(CALC_EPM!$B73="","",CALC_EPM!Q73)</f>
      </c>
      <c r="R84">
        <f>IF(CALC_EPM!$B73="","",CALC_EPM!R73)</f>
      </c>
      <c r="S84">
        <f>IF(CALC_EPM!$B73="","",CALC_EPM!S73)</f>
      </c>
      <c r="T84">
        <f>IF(CALC_EPM!$B73="","",CALC_EPM!T73)</f>
      </c>
      <c r="U84">
        <f>IF(CALC_EPM!$B73="","",CALC_EPM!U73)</f>
      </c>
    </row>
    <row r="85">
      <c r="A85" t="str">
        <f>IF(CALC_EPM!$B74="","",IF(CALC_EPM!A74="GLOBAL",IF(CALC_EPM!C74="Total","GLOBAL",IF(CALC_EPM!C74="TotalEsp","GLOBAL_ESP",IF(CALC_EPM!C74="TotalNoEsp","GLOBAL_NOESP","GLOBAL_ASIG"))),IF(CALC_EPM!C74="Total","CURSO_TOTAL",IF(CALC_EPM!C74="TotalEsp","CURSO_ESP",IF(CALC_EPM!C74="TotalNoEsp","CURSO_NOESP","CURSO_ASIG")))))</f>
      </c>
      <c r="B85" t="str">
        <f>IF(CALC_EPM!$B74="","",CALC_EPM!A74)</f>
      </c>
      <c r="C85" t="str">
        <f>IF(CALC_EPM!$B74="","",CALC_EPM!B74)</f>
      </c>
      <c r="D85">
        <f>IF(CALC_EPM!$B74="","",CALC_EPM!D74)</f>
      </c>
      <c r="E85" s="10" t="str">
        <f>IF(CALC_EPM!$B74="","",CALC_EPM!E74)</f>
      </c>
      <c r="F85" s="10" t="str">
        <f>IF(CALC_EPM!$B74="","",CALC_EPM!F74)</f>
      </c>
      <c r="G85" t="str">
        <f>IF(CALC_EPM!$B74="","",CALC_EPM!G74)</f>
      </c>
      <c r="H85" s="11" t="str">
        <f>IF(CALC_EPM!$B74="","",CALC_EPM!H74)</f>
      </c>
      <c r="I85" s="11" t="str">
        <f>IF(CALC_EPM!$B74="","",CALC_EPM!I74)</f>
      </c>
      <c r="J85" t="str">
        <f>IF(CALC_EPM!$B74="","",CALC_EPM!J74)</f>
      </c>
      <c r="K85" t="str">
        <f>IF(CALC_EPM!$B74="","",CALC_EPM!K74)</f>
      </c>
      <c r="L85">
        <f>IF(CALC_EPM!$B74="","",CALC_EPM!L74)</f>
      </c>
      <c r="M85">
        <f>IF(CALC_EPM!$B74="","",CALC_EPM!M74)</f>
      </c>
      <c r="N85">
        <f>IF(CALC_EPM!$B74="","",CALC_EPM!N74)</f>
      </c>
      <c r="O85">
        <f>IF(CALC_EPM!$B74="","",CALC_EPM!O74)</f>
      </c>
      <c r="P85">
        <f>IF(CALC_EPM!$B74="","",CALC_EPM!P74)</f>
      </c>
      <c r="Q85">
        <f>IF(CALC_EPM!$B74="","",CALC_EPM!Q74)</f>
      </c>
      <c r="R85">
        <f>IF(CALC_EPM!$B74="","",CALC_EPM!R74)</f>
      </c>
      <c r="S85">
        <f>IF(CALC_EPM!$B74="","",CALC_EPM!S74)</f>
      </c>
      <c r="T85">
        <f>IF(CALC_EPM!$B74="","",CALC_EPM!T74)</f>
      </c>
      <c r="U85">
        <f>IF(CALC_EPM!$B74="","",CALC_EPM!U74)</f>
      </c>
    </row>
    <row r="86">
      <c r="A86" t="str">
        <f>IF(CALC_EPM!$B75="","",IF(CALC_EPM!A75="GLOBAL",IF(CALC_EPM!C75="Total","GLOBAL",IF(CALC_EPM!C75="TotalEsp","GLOBAL_ESP",IF(CALC_EPM!C75="TotalNoEsp","GLOBAL_NOESP","GLOBAL_ASIG"))),IF(CALC_EPM!C75="Total","CURSO_TOTAL",IF(CALC_EPM!C75="TotalEsp","CURSO_ESP",IF(CALC_EPM!C75="TotalNoEsp","CURSO_NOESP","CURSO_ASIG")))))</f>
      </c>
      <c r="B86" t="str">
        <f>IF(CALC_EPM!$B75="","",CALC_EPM!A75)</f>
      </c>
      <c r="C86" t="str">
        <f>IF(CALC_EPM!$B75="","",CALC_EPM!B75)</f>
      </c>
      <c r="D86">
        <f>IF(CALC_EPM!$B75="","",CALC_EPM!D75)</f>
      </c>
      <c r="E86" s="10" t="str">
        <f>IF(CALC_EPM!$B75="","",CALC_EPM!E75)</f>
      </c>
      <c r="F86" s="10" t="str">
        <f>IF(CALC_EPM!$B75="","",CALC_EPM!F75)</f>
      </c>
      <c r="G86" t="str">
        <f>IF(CALC_EPM!$B75="","",CALC_EPM!G75)</f>
      </c>
      <c r="H86" s="11" t="str">
        <f>IF(CALC_EPM!$B75="","",CALC_EPM!H75)</f>
      </c>
      <c r="I86" s="11" t="str">
        <f>IF(CALC_EPM!$B75="","",CALC_EPM!I75)</f>
      </c>
      <c r="J86" t="str">
        <f>IF(CALC_EPM!$B75="","",CALC_EPM!J75)</f>
      </c>
      <c r="K86" t="str">
        <f>IF(CALC_EPM!$B75="","",CALC_EPM!K75)</f>
      </c>
      <c r="L86">
        <f>IF(CALC_EPM!$B75="","",CALC_EPM!L75)</f>
      </c>
      <c r="M86">
        <f>IF(CALC_EPM!$B75="","",CALC_EPM!M75)</f>
      </c>
      <c r="N86">
        <f>IF(CALC_EPM!$B75="","",CALC_EPM!N75)</f>
      </c>
      <c r="O86">
        <f>IF(CALC_EPM!$B75="","",CALC_EPM!O75)</f>
      </c>
      <c r="P86">
        <f>IF(CALC_EPM!$B75="","",CALC_EPM!P75)</f>
      </c>
      <c r="Q86">
        <f>IF(CALC_EPM!$B75="","",CALC_EPM!Q75)</f>
      </c>
      <c r="R86">
        <f>IF(CALC_EPM!$B75="","",CALC_EPM!R75)</f>
      </c>
      <c r="S86">
        <f>IF(CALC_EPM!$B75="","",CALC_EPM!S75)</f>
      </c>
      <c r="T86">
        <f>IF(CALC_EPM!$B75="","",CALC_EPM!T75)</f>
      </c>
      <c r="U86">
        <f>IF(CALC_EPM!$B75="","",CALC_EPM!U75)</f>
      </c>
    </row>
    <row r="87">
      <c r="A87" t="str">
        <f>IF(CALC_EPM!$B76="","",IF(CALC_EPM!A76="GLOBAL",IF(CALC_EPM!C76="Total","GLOBAL",IF(CALC_EPM!C76="TotalEsp","GLOBAL_ESP",IF(CALC_EPM!C76="TotalNoEsp","GLOBAL_NOESP","GLOBAL_ASIG"))),IF(CALC_EPM!C76="Total","CURSO_TOTAL",IF(CALC_EPM!C76="TotalEsp","CURSO_ESP",IF(CALC_EPM!C76="TotalNoEsp","CURSO_NOESP","CURSO_ASIG")))))</f>
      </c>
      <c r="B87" t="str">
        <f>IF(CALC_EPM!$B76="","",CALC_EPM!A76)</f>
      </c>
      <c r="C87" t="str">
        <f>IF(CALC_EPM!$B76="","",CALC_EPM!B76)</f>
      </c>
      <c r="D87">
        <f>IF(CALC_EPM!$B76="","",CALC_EPM!D76)</f>
      </c>
      <c r="E87" s="10" t="str">
        <f>IF(CALC_EPM!$B76="","",CALC_EPM!E76)</f>
      </c>
      <c r="F87" s="10" t="str">
        <f>IF(CALC_EPM!$B76="","",CALC_EPM!F76)</f>
      </c>
      <c r="G87" t="str">
        <f>IF(CALC_EPM!$B76="","",CALC_EPM!G76)</f>
      </c>
      <c r="H87" s="11" t="str">
        <f>IF(CALC_EPM!$B76="","",CALC_EPM!H76)</f>
      </c>
      <c r="I87" s="11" t="str">
        <f>IF(CALC_EPM!$B76="","",CALC_EPM!I76)</f>
      </c>
      <c r="J87" t="str">
        <f>IF(CALC_EPM!$B76="","",CALC_EPM!J76)</f>
      </c>
      <c r="K87" t="str">
        <f>IF(CALC_EPM!$B76="","",CALC_EPM!K76)</f>
      </c>
      <c r="L87">
        <f>IF(CALC_EPM!$B76="","",CALC_EPM!L76)</f>
      </c>
      <c r="M87">
        <f>IF(CALC_EPM!$B76="","",CALC_EPM!M76)</f>
      </c>
      <c r="N87">
        <f>IF(CALC_EPM!$B76="","",CALC_EPM!N76)</f>
      </c>
      <c r="O87">
        <f>IF(CALC_EPM!$B76="","",CALC_EPM!O76)</f>
      </c>
      <c r="P87">
        <f>IF(CALC_EPM!$B76="","",CALC_EPM!P76)</f>
      </c>
      <c r="Q87">
        <f>IF(CALC_EPM!$B76="","",CALC_EPM!Q76)</f>
      </c>
      <c r="R87">
        <f>IF(CALC_EPM!$B76="","",CALC_EPM!R76)</f>
      </c>
      <c r="S87">
        <f>IF(CALC_EPM!$B76="","",CALC_EPM!S76)</f>
      </c>
      <c r="T87">
        <f>IF(CALC_EPM!$B76="","",CALC_EPM!T76)</f>
      </c>
      <c r="U87">
        <f>IF(CALC_EPM!$B76="","",CALC_EPM!U76)</f>
      </c>
    </row>
    <row r="88">
      <c r="A88" t="str">
        <f>IF(CALC_EPM!$B77="","",IF(CALC_EPM!A77="GLOBAL",IF(CALC_EPM!C77="Total","GLOBAL",IF(CALC_EPM!C77="TotalEsp","GLOBAL_ESP",IF(CALC_EPM!C77="TotalNoEsp","GLOBAL_NOESP","GLOBAL_ASIG"))),IF(CALC_EPM!C77="Total","CURSO_TOTAL",IF(CALC_EPM!C77="TotalEsp","CURSO_ESP",IF(CALC_EPM!C77="TotalNoEsp","CURSO_NOESP","CURSO_ASIG")))))</f>
      </c>
      <c r="B88" t="str">
        <f>IF(CALC_EPM!$B77="","",CALC_EPM!A77)</f>
      </c>
      <c r="C88" t="str">
        <f>IF(CALC_EPM!$B77="","",CALC_EPM!B77)</f>
      </c>
      <c r="D88">
        <f>IF(CALC_EPM!$B77="","",CALC_EPM!D77)</f>
      </c>
      <c r="E88" s="10" t="str">
        <f>IF(CALC_EPM!$B77="","",CALC_EPM!E77)</f>
      </c>
      <c r="F88" s="10" t="str">
        <f>IF(CALC_EPM!$B77="","",CALC_EPM!F77)</f>
      </c>
      <c r="G88" t="str">
        <f>IF(CALC_EPM!$B77="","",CALC_EPM!G77)</f>
      </c>
      <c r="H88" s="11" t="str">
        <f>IF(CALC_EPM!$B77="","",CALC_EPM!H77)</f>
      </c>
      <c r="I88" s="11" t="str">
        <f>IF(CALC_EPM!$B77="","",CALC_EPM!I77)</f>
      </c>
      <c r="J88" t="str">
        <f>IF(CALC_EPM!$B77="","",CALC_EPM!J77)</f>
      </c>
      <c r="K88" t="str">
        <f>IF(CALC_EPM!$B77="","",CALC_EPM!K77)</f>
      </c>
      <c r="L88">
        <f>IF(CALC_EPM!$B77="","",CALC_EPM!L77)</f>
      </c>
      <c r="M88">
        <f>IF(CALC_EPM!$B77="","",CALC_EPM!M77)</f>
      </c>
      <c r="N88">
        <f>IF(CALC_EPM!$B77="","",CALC_EPM!N77)</f>
      </c>
      <c r="O88">
        <f>IF(CALC_EPM!$B77="","",CALC_EPM!O77)</f>
      </c>
      <c r="P88">
        <f>IF(CALC_EPM!$B77="","",CALC_EPM!P77)</f>
      </c>
      <c r="Q88">
        <f>IF(CALC_EPM!$B77="","",CALC_EPM!Q77)</f>
      </c>
      <c r="R88">
        <f>IF(CALC_EPM!$B77="","",CALC_EPM!R77)</f>
      </c>
      <c r="S88">
        <f>IF(CALC_EPM!$B77="","",CALC_EPM!S77)</f>
      </c>
      <c r="T88">
        <f>IF(CALC_EPM!$B77="","",CALC_EPM!T77)</f>
      </c>
      <c r="U88">
        <f>IF(CALC_EPM!$B77="","",CALC_EPM!U77)</f>
      </c>
    </row>
    <row r="89">
      <c r="A89" t="str">
        <f>IF(CALC_EPM!$B78="","",IF(CALC_EPM!A78="GLOBAL",IF(CALC_EPM!C78="Total","GLOBAL",IF(CALC_EPM!C78="TotalEsp","GLOBAL_ESP",IF(CALC_EPM!C78="TotalNoEsp","GLOBAL_NOESP","GLOBAL_ASIG"))),IF(CALC_EPM!C78="Total","CURSO_TOTAL",IF(CALC_EPM!C78="TotalEsp","CURSO_ESP",IF(CALC_EPM!C78="TotalNoEsp","CURSO_NOESP","CURSO_ASIG")))))</f>
      </c>
      <c r="B89" t="str">
        <f>IF(CALC_EPM!$B78="","",CALC_EPM!A78)</f>
      </c>
      <c r="C89" t="str">
        <f>IF(CALC_EPM!$B78="","",CALC_EPM!B78)</f>
      </c>
      <c r="D89">
        <f>IF(CALC_EPM!$B78="","",CALC_EPM!D78)</f>
      </c>
      <c r="E89" s="10" t="str">
        <f>IF(CALC_EPM!$B78="","",CALC_EPM!E78)</f>
      </c>
      <c r="F89" s="10" t="str">
        <f>IF(CALC_EPM!$B78="","",CALC_EPM!F78)</f>
      </c>
      <c r="G89" t="str">
        <f>IF(CALC_EPM!$B78="","",CALC_EPM!G78)</f>
      </c>
      <c r="H89" s="11" t="str">
        <f>IF(CALC_EPM!$B78="","",CALC_EPM!H78)</f>
      </c>
      <c r="I89" s="11" t="str">
        <f>IF(CALC_EPM!$B78="","",CALC_EPM!I78)</f>
      </c>
      <c r="J89" t="str">
        <f>IF(CALC_EPM!$B78="","",CALC_EPM!J78)</f>
      </c>
      <c r="K89" t="str">
        <f>IF(CALC_EPM!$B78="","",CALC_EPM!K78)</f>
      </c>
      <c r="L89">
        <f>IF(CALC_EPM!$B78="","",CALC_EPM!L78)</f>
      </c>
      <c r="M89">
        <f>IF(CALC_EPM!$B78="","",CALC_EPM!M78)</f>
      </c>
      <c r="N89">
        <f>IF(CALC_EPM!$B78="","",CALC_EPM!N78)</f>
      </c>
      <c r="O89">
        <f>IF(CALC_EPM!$B78="","",CALC_EPM!O78)</f>
      </c>
      <c r="P89">
        <f>IF(CALC_EPM!$B78="","",CALC_EPM!P78)</f>
      </c>
      <c r="Q89">
        <f>IF(CALC_EPM!$B78="","",CALC_EPM!Q78)</f>
      </c>
      <c r="R89">
        <f>IF(CALC_EPM!$B78="","",CALC_EPM!R78)</f>
      </c>
      <c r="S89">
        <f>IF(CALC_EPM!$B78="","",CALC_EPM!S78)</f>
      </c>
      <c r="T89">
        <f>IF(CALC_EPM!$B78="","",CALC_EPM!T78)</f>
      </c>
      <c r="U89">
        <f>IF(CALC_EPM!$B78="","",CALC_EPM!U78)</f>
      </c>
    </row>
    <row r="90">
      <c r="A90" t="str">
        <f>IF(CALC_EPM!$B79="","",IF(CALC_EPM!A79="GLOBAL",IF(CALC_EPM!C79="Total","GLOBAL",IF(CALC_EPM!C79="TotalEsp","GLOBAL_ESP",IF(CALC_EPM!C79="TotalNoEsp","GLOBAL_NOESP","GLOBAL_ASIG"))),IF(CALC_EPM!C79="Total","CURSO_TOTAL",IF(CALC_EPM!C79="TotalEsp","CURSO_ESP",IF(CALC_EPM!C79="TotalNoEsp","CURSO_NOESP","CURSO_ASIG")))))</f>
      </c>
      <c r="B90" t="str">
        <f>IF(CALC_EPM!$B79="","",CALC_EPM!A79)</f>
      </c>
      <c r="C90" t="str">
        <f>IF(CALC_EPM!$B79="","",CALC_EPM!B79)</f>
      </c>
      <c r="D90">
        <f>IF(CALC_EPM!$B79="","",CALC_EPM!D79)</f>
      </c>
      <c r="E90" s="10" t="str">
        <f>IF(CALC_EPM!$B79="","",CALC_EPM!E79)</f>
      </c>
      <c r="F90" s="10" t="str">
        <f>IF(CALC_EPM!$B79="","",CALC_EPM!F79)</f>
      </c>
      <c r="G90" t="str">
        <f>IF(CALC_EPM!$B79="","",CALC_EPM!G79)</f>
      </c>
      <c r="H90" s="11" t="str">
        <f>IF(CALC_EPM!$B79="","",CALC_EPM!H79)</f>
      </c>
      <c r="I90" s="11" t="str">
        <f>IF(CALC_EPM!$B79="","",CALC_EPM!I79)</f>
      </c>
      <c r="J90" t="str">
        <f>IF(CALC_EPM!$B79="","",CALC_EPM!J79)</f>
      </c>
      <c r="K90" t="str">
        <f>IF(CALC_EPM!$B79="","",CALC_EPM!K79)</f>
      </c>
      <c r="L90">
        <f>IF(CALC_EPM!$B79="","",CALC_EPM!L79)</f>
      </c>
      <c r="M90">
        <f>IF(CALC_EPM!$B79="","",CALC_EPM!M79)</f>
      </c>
      <c r="N90">
        <f>IF(CALC_EPM!$B79="","",CALC_EPM!N79)</f>
      </c>
      <c r="O90">
        <f>IF(CALC_EPM!$B79="","",CALC_EPM!O79)</f>
      </c>
      <c r="P90">
        <f>IF(CALC_EPM!$B79="","",CALC_EPM!P79)</f>
      </c>
      <c r="Q90">
        <f>IF(CALC_EPM!$B79="","",CALC_EPM!Q79)</f>
      </c>
      <c r="R90">
        <f>IF(CALC_EPM!$B79="","",CALC_EPM!R79)</f>
      </c>
      <c r="S90">
        <f>IF(CALC_EPM!$B79="","",CALC_EPM!S79)</f>
      </c>
      <c r="T90">
        <f>IF(CALC_EPM!$B79="","",CALC_EPM!T79)</f>
      </c>
      <c r="U90">
        <f>IF(CALC_EPM!$B79="","",CALC_EPM!U79)</f>
      </c>
    </row>
    <row r="91">
      <c r="A91" t="str">
        <f>IF(CALC_EPM!$B80="","",IF(CALC_EPM!A80="GLOBAL",IF(CALC_EPM!C80="Total","GLOBAL",IF(CALC_EPM!C80="TotalEsp","GLOBAL_ESP",IF(CALC_EPM!C80="TotalNoEsp","GLOBAL_NOESP","GLOBAL_ASIG"))),IF(CALC_EPM!C80="Total","CURSO_TOTAL",IF(CALC_EPM!C80="TotalEsp","CURSO_ESP",IF(CALC_EPM!C80="TotalNoEsp","CURSO_NOESP","CURSO_ASIG")))))</f>
      </c>
      <c r="B91" t="str">
        <f>IF(CALC_EPM!$B80="","",CALC_EPM!A80)</f>
      </c>
      <c r="C91" t="str">
        <f>IF(CALC_EPM!$B80="","",CALC_EPM!B80)</f>
      </c>
      <c r="D91">
        <f>IF(CALC_EPM!$B80="","",CALC_EPM!D80)</f>
      </c>
      <c r="E91" s="10" t="str">
        <f>IF(CALC_EPM!$B80="","",CALC_EPM!E80)</f>
      </c>
      <c r="F91" s="10" t="str">
        <f>IF(CALC_EPM!$B80="","",CALC_EPM!F80)</f>
      </c>
      <c r="G91" t="str">
        <f>IF(CALC_EPM!$B80="","",CALC_EPM!G80)</f>
      </c>
      <c r="H91" s="11" t="str">
        <f>IF(CALC_EPM!$B80="","",CALC_EPM!H80)</f>
      </c>
      <c r="I91" s="11" t="str">
        <f>IF(CALC_EPM!$B80="","",CALC_EPM!I80)</f>
      </c>
      <c r="J91" t="str">
        <f>IF(CALC_EPM!$B80="","",CALC_EPM!J80)</f>
      </c>
      <c r="K91" t="str">
        <f>IF(CALC_EPM!$B80="","",CALC_EPM!K80)</f>
      </c>
      <c r="L91">
        <f>IF(CALC_EPM!$B80="","",CALC_EPM!L80)</f>
      </c>
      <c r="M91">
        <f>IF(CALC_EPM!$B80="","",CALC_EPM!M80)</f>
      </c>
      <c r="N91">
        <f>IF(CALC_EPM!$B80="","",CALC_EPM!N80)</f>
      </c>
      <c r="O91">
        <f>IF(CALC_EPM!$B80="","",CALC_EPM!O80)</f>
      </c>
      <c r="P91">
        <f>IF(CALC_EPM!$B80="","",CALC_EPM!P80)</f>
      </c>
      <c r="Q91">
        <f>IF(CALC_EPM!$B80="","",CALC_EPM!Q80)</f>
      </c>
      <c r="R91">
        <f>IF(CALC_EPM!$B80="","",CALC_EPM!R80)</f>
      </c>
      <c r="S91">
        <f>IF(CALC_EPM!$B80="","",CALC_EPM!S80)</f>
      </c>
      <c r="T91">
        <f>IF(CALC_EPM!$B80="","",CALC_EPM!T80)</f>
      </c>
      <c r="U91">
        <f>IF(CALC_EPM!$B80="","",CALC_EPM!U80)</f>
      </c>
    </row>
    <row r="92">
      <c r="A92" t="str">
        <f>IF(CALC_EPM!$B81="","",IF(CALC_EPM!A81="GLOBAL",IF(CALC_EPM!C81="Total","GLOBAL",IF(CALC_EPM!C81="TotalEsp","GLOBAL_ESP",IF(CALC_EPM!C81="TotalNoEsp","GLOBAL_NOESP","GLOBAL_ASIG"))),IF(CALC_EPM!C81="Total","CURSO_TOTAL",IF(CALC_EPM!C81="TotalEsp","CURSO_ESP",IF(CALC_EPM!C81="TotalNoEsp","CURSO_NOESP","CURSO_ASIG")))))</f>
      </c>
      <c r="B92" t="str">
        <f>IF(CALC_EPM!$B81="","",CALC_EPM!A81)</f>
      </c>
      <c r="C92" t="str">
        <f>IF(CALC_EPM!$B81="","",CALC_EPM!B81)</f>
      </c>
      <c r="D92">
        <f>IF(CALC_EPM!$B81="","",CALC_EPM!D81)</f>
      </c>
      <c r="E92" s="10" t="str">
        <f>IF(CALC_EPM!$B81="","",CALC_EPM!E81)</f>
      </c>
      <c r="F92" s="10" t="str">
        <f>IF(CALC_EPM!$B81="","",CALC_EPM!F81)</f>
      </c>
      <c r="G92" t="str">
        <f>IF(CALC_EPM!$B81="","",CALC_EPM!G81)</f>
      </c>
      <c r="H92" s="11" t="str">
        <f>IF(CALC_EPM!$B81="","",CALC_EPM!H81)</f>
      </c>
      <c r="I92" s="11" t="str">
        <f>IF(CALC_EPM!$B81="","",CALC_EPM!I81)</f>
      </c>
      <c r="J92" t="str">
        <f>IF(CALC_EPM!$B81="","",CALC_EPM!J81)</f>
      </c>
      <c r="K92" t="str">
        <f>IF(CALC_EPM!$B81="","",CALC_EPM!K81)</f>
      </c>
      <c r="L92">
        <f>IF(CALC_EPM!$B81="","",CALC_EPM!L81)</f>
      </c>
      <c r="M92">
        <f>IF(CALC_EPM!$B81="","",CALC_EPM!M81)</f>
      </c>
      <c r="N92">
        <f>IF(CALC_EPM!$B81="","",CALC_EPM!N81)</f>
      </c>
      <c r="O92">
        <f>IF(CALC_EPM!$B81="","",CALC_EPM!O81)</f>
      </c>
      <c r="P92">
        <f>IF(CALC_EPM!$B81="","",CALC_EPM!P81)</f>
      </c>
      <c r="Q92">
        <f>IF(CALC_EPM!$B81="","",CALC_EPM!Q81)</f>
      </c>
      <c r="R92">
        <f>IF(CALC_EPM!$B81="","",CALC_EPM!R81)</f>
      </c>
      <c r="S92">
        <f>IF(CALC_EPM!$B81="","",CALC_EPM!S81)</f>
      </c>
      <c r="T92">
        <f>IF(CALC_EPM!$B81="","",CALC_EPM!T81)</f>
      </c>
      <c r="U92">
        <f>IF(CALC_EPM!$B81="","",CALC_EPM!U81)</f>
      </c>
    </row>
    <row r="93">
      <c r="A93" t="str">
        <f>IF(CALC_EPM!$B82="","",IF(CALC_EPM!A82="GLOBAL",IF(CALC_EPM!C82="Total","GLOBAL",IF(CALC_EPM!C82="TotalEsp","GLOBAL_ESP",IF(CALC_EPM!C82="TotalNoEsp","GLOBAL_NOESP","GLOBAL_ASIG"))),IF(CALC_EPM!C82="Total","CURSO_TOTAL",IF(CALC_EPM!C82="TotalEsp","CURSO_ESP",IF(CALC_EPM!C82="TotalNoEsp","CURSO_NOESP","CURSO_ASIG")))))</f>
      </c>
      <c r="B93" t="str">
        <f>IF(CALC_EPM!$B82="","",CALC_EPM!A82)</f>
      </c>
      <c r="C93" t="str">
        <f>IF(CALC_EPM!$B82="","",CALC_EPM!B82)</f>
      </c>
      <c r="D93">
        <f>IF(CALC_EPM!$B82="","",CALC_EPM!D82)</f>
      </c>
      <c r="E93" s="10" t="str">
        <f>IF(CALC_EPM!$B82="","",CALC_EPM!E82)</f>
      </c>
      <c r="F93" s="10" t="str">
        <f>IF(CALC_EPM!$B82="","",CALC_EPM!F82)</f>
      </c>
      <c r="G93" t="str">
        <f>IF(CALC_EPM!$B82="","",CALC_EPM!G82)</f>
      </c>
      <c r="H93" s="11" t="str">
        <f>IF(CALC_EPM!$B82="","",CALC_EPM!H82)</f>
      </c>
      <c r="I93" s="11" t="str">
        <f>IF(CALC_EPM!$B82="","",CALC_EPM!I82)</f>
      </c>
      <c r="J93" t="str">
        <f>IF(CALC_EPM!$B82="","",CALC_EPM!J82)</f>
      </c>
      <c r="K93" t="str">
        <f>IF(CALC_EPM!$B82="","",CALC_EPM!K82)</f>
      </c>
      <c r="L93">
        <f>IF(CALC_EPM!$B82="","",CALC_EPM!L82)</f>
      </c>
      <c r="M93">
        <f>IF(CALC_EPM!$B82="","",CALC_EPM!M82)</f>
      </c>
      <c r="N93">
        <f>IF(CALC_EPM!$B82="","",CALC_EPM!N82)</f>
      </c>
      <c r="O93">
        <f>IF(CALC_EPM!$B82="","",CALC_EPM!O82)</f>
      </c>
      <c r="P93">
        <f>IF(CALC_EPM!$B82="","",CALC_EPM!P82)</f>
      </c>
      <c r="Q93">
        <f>IF(CALC_EPM!$B82="","",CALC_EPM!Q82)</f>
      </c>
      <c r="R93">
        <f>IF(CALC_EPM!$B82="","",CALC_EPM!R82)</f>
      </c>
      <c r="S93">
        <f>IF(CALC_EPM!$B82="","",CALC_EPM!S82)</f>
      </c>
      <c r="T93">
        <f>IF(CALC_EPM!$B82="","",CALC_EPM!T82)</f>
      </c>
      <c r="U93">
        <f>IF(CALC_EPM!$B82="","",CALC_EPM!U82)</f>
      </c>
    </row>
    <row r="94">
      <c r="A94" t="str">
        <f>IF(CALC_EPM!$B83="","",IF(CALC_EPM!A83="GLOBAL",IF(CALC_EPM!C83="Total","GLOBAL",IF(CALC_EPM!C83="TotalEsp","GLOBAL_ESP",IF(CALC_EPM!C83="TotalNoEsp","GLOBAL_NOESP","GLOBAL_ASIG"))),IF(CALC_EPM!C83="Total","CURSO_TOTAL",IF(CALC_EPM!C83="TotalEsp","CURSO_ESP",IF(CALC_EPM!C83="TotalNoEsp","CURSO_NOESP","CURSO_ASIG")))))</f>
      </c>
      <c r="B94" t="str">
        <f>IF(CALC_EPM!$B83="","",CALC_EPM!A83)</f>
      </c>
      <c r="C94" t="str">
        <f>IF(CALC_EPM!$B83="","",CALC_EPM!B83)</f>
      </c>
      <c r="D94">
        <f>IF(CALC_EPM!$B83="","",CALC_EPM!D83)</f>
      </c>
      <c r="E94" s="10" t="str">
        <f>IF(CALC_EPM!$B83="","",CALC_EPM!E83)</f>
      </c>
      <c r="F94" s="10" t="str">
        <f>IF(CALC_EPM!$B83="","",CALC_EPM!F83)</f>
      </c>
      <c r="G94" t="str">
        <f>IF(CALC_EPM!$B83="","",CALC_EPM!G83)</f>
      </c>
      <c r="H94" s="11" t="str">
        <f>IF(CALC_EPM!$B83="","",CALC_EPM!H83)</f>
      </c>
      <c r="I94" s="11" t="str">
        <f>IF(CALC_EPM!$B83="","",CALC_EPM!I83)</f>
      </c>
      <c r="J94" t="str">
        <f>IF(CALC_EPM!$B83="","",CALC_EPM!J83)</f>
      </c>
      <c r="K94" t="str">
        <f>IF(CALC_EPM!$B83="","",CALC_EPM!K83)</f>
      </c>
      <c r="L94">
        <f>IF(CALC_EPM!$B83="","",CALC_EPM!L83)</f>
      </c>
      <c r="M94">
        <f>IF(CALC_EPM!$B83="","",CALC_EPM!M83)</f>
      </c>
      <c r="N94">
        <f>IF(CALC_EPM!$B83="","",CALC_EPM!N83)</f>
      </c>
      <c r="O94">
        <f>IF(CALC_EPM!$B83="","",CALC_EPM!O83)</f>
      </c>
      <c r="P94">
        <f>IF(CALC_EPM!$B83="","",CALC_EPM!P83)</f>
      </c>
      <c r="Q94">
        <f>IF(CALC_EPM!$B83="","",CALC_EPM!Q83)</f>
      </c>
      <c r="R94">
        <f>IF(CALC_EPM!$B83="","",CALC_EPM!R83)</f>
      </c>
      <c r="S94">
        <f>IF(CALC_EPM!$B83="","",CALC_EPM!S83)</f>
      </c>
      <c r="T94">
        <f>IF(CALC_EPM!$B83="","",CALC_EPM!T83)</f>
      </c>
      <c r="U94">
        <f>IF(CALC_EPM!$B83="","",CALC_EPM!U83)</f>
      </c>
    </row>
    <row r="95">
      <c r="A95" t="str">
        <f>IF(CALC_EPM!$B84="","",IF(CALC_EPM!A84="GLOBAL",IF(CALC_EPM!C84="Total","GLOBAL",IF(CALC_EPM!C84="TotalEsp","GLOBAL_ESP",IF(CALC_EPM!C84="TotalNoEsp","GLOBAL_NOESP","GLOBAL_ASIG"))),IF(CALC_EPM!C84="Total","CURSO_TOTAL",IF(CALC_EPM!C84="TotalEsp","CURSO_ESP",IF(CALC_EPM!C84="TotalNoEsp","CURSO_NOESP","CURSO_ASIG")))))</f>
      </c>
      <c r="B95" t="str">
        <f>IF(CALC_EPM!$B84="","",CALC_EPM!A84)</f>
      </c>
      <c r="C95" t="str">
        <f>IF(CALC_EPM!$B84="","",CALC_EPM!B84)</f>
      </c>
      <c r="D95">
        <f>IF(CALC_EPM!$B84="","",CALC_EPM!D84)</f>
      </c>
      <c r="E95" s="10" t="str">
        <f>IF(CALC_EPM!$B84="","",CALC_EPM!E84)</f>
      </c>
      <c r="F95" s="10" t="str">
        <f>IF(CALC_EPM!$B84="","",CALC_EPM!F84)</f>
      </c>
      <c r="G95" t="str">
        <f>IF(CALC_EPM!$B84="","",CALC_EPM!G84)</f>
      </c>
      <c r="H95" s="11" t="str">
        <f>IF(CALC_EPM!$B84="","",CALC_EPM!H84)</f>
      </c>
      <c r="I95" s="11" t="str">
        <f>IF(CALC_EPM!$B84="","",CALC_EPM!I84)</f>
      </c>
      <c r="J95" t="str">
        <f>IF(CALC_EPM!$B84="","",CALC_EPM!J84)</f>
      </c>
      <c r="K95" t="str">
        <f>IF(CALC_EPM!$B84="","",CALC_EPM!K84)</f>
      </c>
      <c r="L95">
        <f>IF(CALC_EPM!$B84="","",CALC_EPM!L84)</f>
      </c>
      <c r="M95">
        <f>IF(CALC_EPM!$B84="","",CALC_EPM!M84)</f>
      </c>
      <c r="N95">
        <f>IF(CALC_EPM!$B84="","",CALC_EPM!N84)</f>
      </c>
      <c r="O95">
        <f>IF(CALC_EPM!$B84="","",CALC_EPM!O84)</f>
      </c>
      <c r="P95">
        <f>IF(CALC_EPM!$B84="","",CALC_EPM!P84)</f>
      </c>
      <c r="Q95">
        <f>IF(CALC_EPM!$B84="","",CALC_EPM!Q84)</f>
      </c>
      <c r="R95">
        <f>IF(CALC_EPM!$B84="","",CALC_EPM!R84)</f>
      </c>
      <c r="S95">
        <f>IF(CALC_EPM!$B84="","",CALC_EPM!S84)</f>
      </c>
      <c r="T95">
        <f>IF(CALC_EPM!$B84="","",CALC_EPM!T84)</f>
      </c>
      <c r="U95">
        <f>IF(CALC_EPM!$B84="","",CALC_EPM!U84)</f>
      </c>
    </row>
    <row r="96">
      <c r="A96" t="str">
        <f>IF(CALC_EPM!$B85="","",IF(CALC_EPM!A85="GLOBAL",IF(CALC_EPM!C85="Total","GLOBAL",IF(CALC_EPM!C85="TotalEsp","GLOBAL_ESP",IF(CALC_EPM!C85="TotalNoEsp","GLOBAL_NOESP","GLOBAL_ASIG"))),IF(CALC_EPM!C85="Total","CURSO_TOTAL",IF(CALC_EPM!C85="TotalEsp","CURSO_ESP",IF(CALC_EPM!C85="TotalNoEsp","CURSO_NOESP","CURSO_ASIG")))))</f>
      </c>
      <c r="B96" t="str">
        <f>IF(CALC_EPM!$B85="","",CALC_EPM!A85)</f>
      </c>
      <c r="C96" t="str">
        <f>IF(CALC_EPM!$B85="","",CALC_EPM!B85)</f>
      </c>
      <c r="D96">
        <f>IF(CALC_EPM!$B85="","",CALC_EPM!D85)</f>
      </c>
      <c r="E96" s="10" t="str">
        <f>IF(CALC_EPM!$B85="","",CALC_EPM!E85)</f>
      </c>
      <c r="F96" s="10" t="str">
        <f>IF(CALC_EPM!$B85="","",CALC_EPM!F85)</f>
      </c>
      <c r="G96" t="str">
        <f>IF(CALC_EPM!$B85="","",CALC_EPM!G85)</f>
      </c>
      <c r="H96" s="11" t="str">
        <f>IF(CALC_EPM!$B85="","",CALC_EPM!H85)</f>
      </c>
      <c r="I96" s="11" t="str">
        <f>IF(CALC_EPM!$B85="","",CALC_EPM!I85)</f>
      </c>
      <c r="J96" t="str">
        <f>IF(CALC_EPM!$B85="","",CALC_EPM!J85)</f>
      </c>
      <c r="K96" t="str">
        <f>IF(CALC_EPM!$B85="","",CALC_EPM!K85)</f>
      </c>
      <c r="L96">
        <f>IF(CALC_EPM!$B85="","",CALC_EPM!L85)</f>
      </c>
      <c r="M96">
        <f>IF(CALC_EPM!$B85="","",CALC_EPM!M85)</f>
      </c>
      <c r="N96">
        <f>IF(CALC_EPM!$B85="","",CALC_EPM!N85)</f>
      </c>
      <c r="O96">
        <f>IF(CALC_EPM!$B85="","",CALC_EPM!O85)</f>
      </c>
      <c r="P96">
        <f>IF(CALC_EPM!$B85="","",CALC_EPM!P85)</f>
      </c>
      <c r="Q96">
        <f>IF(CALC_EPM!$B85="","",CALC_EPM!Q85)</f>
      </c>
      <c r="R96">
        <f>IF(CALC_EPM!$B85="","",CALC_EPM!R85)</f>
      </c>
      <c r="S96">
        <f>IF(CALC_EPM!$B85="","",CALC_EPM!S85)</f>
      </c>
      <c r="T96">
        <f>IF(CALC_EPM!$B85="","",CALC_EPM!T85)</f>
      </c>
      <c r="U96">
        <f>IF(CALC_EPM!$B85="","",CALC_EPM!U85)</f>
      </c>
    </row>
    <row r="97">
      <c r="A97" t="str">
        <f>IF(CALC_EPM!$B86="","",IF(CALC_EPM!A86="GLOBAL",IF(CALC_EPM!C86="Total","GLOBAL",IF(CALC_EPM!C86="TotalEsp","GLOBAL_ESP",IF(CALC_EPM!C86="TotalNoEsp","GLOBAL_NOESP","GLOBAL_ASIG"))),IF(CALC_EPM!C86="Total","CURSO_TOTAL",IF(CALC_EPM!C86="TotalEsp","CURSO_ESP",IF(CALC_EPM!C86="TotalNoEsp","CURSO_NOESP","CURSO_ASIG")))))</f>
      </c>
      <c r="B97" t="str">
        <f>IF(CALC_EPM!$B86="","",CALC_EPM!A86)</f>
      </c>
      <c r="C97" t="str">
        <f>IF(CALC_EPM!$B86="","",CALC_EPM!B86)</f>
      </c>
      <c r="D97">
        <f>IF(CALC_EPM!$B86="","",CALC_EPM!D86)</f>
      </c>
      <c r="E97" s="10" t="str">
        <f>IF(CALC_EPM!$B86="","",CALC_EPM!E86)</f>
      </c>
      <c r="F97" s="10" t="str">
        <f>IF(CALC_EPM!$B86="","",CALC_EPM!F86)</f>
      </c>
      <c r="G97" t="str">
        <f>IF(CALC_EPM!$B86="","",CALC_EPM!G86)</f>
      </c>
      <c r="H97" s="11" t="str">
        <f>IF(CALC_EPM!$B86="","",CALC_EPM!H86)</f>
      </c>
      <c r="I97" s="11" t="str">
        <f>IF(CALC_EPM!$B86="","",CALC_EPM!I86)</f>
      </c>
      <c r="J97" t="str">
        <f>IF(CALC_EPM!$B86="","",CALC_EPM!J86)</f>
      </c>
      <c r="K97" t="str">
        <f>IF(CALC_EPM!$B86="","",CALC_EPM!K86)</f>
      </c>
      <c r="L97">
        <f>IF(CALC_EPM!$B86="","",CALC_EPM!L86)</f>
      </c>
      <c r="M97">
        <f>IF(CALC_EPM!$B86="","",CALC_EPM!M86)</f>
      </c>
      <c r="N97">
        <f>IF(CALC_EPM!$B86="","",CALC_EPM!N86)</f>
      </c>
      <c r="O97">
        <f>IF(CALC_EPM!$B86="","",CALC_EPM!O86)</f>
      </c>
      <c r="P97">
        <f>IF(CALC_EPM!$B86="","",CALC_EPM!P86)</f>
      </c>
      <c r="Q97">
        <f>IF(CALC_EPM!$B86="","",CALC_EPM!Q86)</f>
      </c>
      <c r="R97">
        <f>IF(CALC_EPM!$B86="","",CALC_EPM!R86)</f>
      </c>
      <c r="S97">
        <f>IF(CALC_EPM!$B86="","",CALC_EPM!S86)</f>
      </c>
      <c r="T97">
        <f>IF(CALC_EPM!$B86="","",CALC_EPM!T86)</f>
      </c>
      <c r="U97">
        <f>IF(CALC_EPM!$B86="","",CALC_EPM!U86)</f>
      </c>
    </row>
    <row r="98">
      <c r="A98" t="str">
        <f>IF(CALC_EPM!$B87="","",IF(CALC_EPM!A87="GLOBAL",IF(CALC_EPM!C87="Total","GLOBAL",IF(CALC_EPM!C87="TotalEsp","GLOBAL_ESP",IF(CALC_EPM!C87="TotalNoEsp","GLOBAL_NOESP","GLOBAL_ASIG"))),IF(CALC_EPM!C87="Total","CURSO_TOTAL",IF(CALC_EPM!C87="TotalEsp","CURSO_ESP",IF(CALC_EPM!C87="TotalNoEsp","CURSO_NOESP","CURSO_ASIG")))))</f>
      </c>
      <c r="B98" t="str">
        <f>IF(CALC_EPM!$B87="","",CALC_EPM!A87)</f>
      </c>
      <c r="C98" t="str">
        <f>IF(CALC_EPM!$B87="","",CALC_EPM!B87)</f>
      </c>
      <c r="D98">
        <f>IF(CALC_EPM!$B87="","",CALC_EPM!D87)</f>
      </c>
      <c r="E98" s="10" t="str">
        <f>IF(CALC_EPM!$B87="","",CALC_EPM!E87)</f>
      </c>
      <c r="F98" s="10" t="str">
        <f>IF(CALC_EPM!$B87="","",CALC_EPM!F87)</f>
      </c>
      <c r="G98" t="str">
        <f>IF(CALC_EPM!$B87="","",CALC_EPM!G87)</f>
      </c>
      <c r="H98" s="11" t="str">
        <f>IF(CALC_EPM!$B87="","",CALC_EPM!H87)</f>
      </c>
      <c r="I98" s="11" t="str">
        <f>IF(CALC_EPM!$B87="","",CALC_EPM!I87)</f>
      </c>
      <c r="J98" t="str">
        <f>IF(CALC_EPM!$B87="","",CALC_EPM!J87)</f>
      </c>
      <c r="K98" t="str">
        <f>IF(CALC_EPM!$B87="","",CALC_EPM!K87)</f>
      </c>
      <c r="L98">
        <f>IF(CALC_EPM!$B87="","",CALC_EPM!L87)</f>
      </c>
      <c r="M98">
        <f>IF(CALC_EPM!$B87="","",CALC_EPM!M87)</f>
      </c>
      <c r="N98">
        <f>IF(CALC_EPM!$B87="","",CALC_EPM!N87)</f>
      </c>
      <c r="O98">
        <f>IF(CALC_EPM!$B87="","",CALC_EPM!O87)</f>
      </c>
      <c r="P98">
        <f>IF(CALC_EPM!$B87="","",CALC_EPM!P87)</f>
      </c>
      <c r="Q98">
        <f>IF(CALC_EPM!$B87="","",CALC_EPM!Q87)</f>
      </c>
      <c r="R98">
        <f>IF(CALC_EPM!$B87="","",CALC_EPM!R87)</f>
      </c>
      <c r="S98">
        <f>IF(CALC_EPM!$B87="","",CALC_EPM!S87)</f>
      </c>
      <c r="T98">
        <f>IF(CALC_EPM!$B87="","",CALC_EPM!T87)</f>
      </c>
      <c r="U98">
        <f>IF(CALC_EPM!$B87="","",CALC_EPM!U87)</f>
      </c>
    </row>
    <row r="99">
      <c r="A99" t="str">
        <f>IF(CALC_EPM!$B88="","",IF(CALC_EPM!A88="GLOBAL",IF(CALC_EPM!C88="Total","GLOBAL",IF(CALC_EPM!C88="TotalEsp","GLOBAL_ESP",IF(CALC_EPM!C88="TotalNoEsp","GLOBAL_NOESP","GLOBAL_ASIG"))),IF(CALC_EPM!C88="Total","CURSO_TOTAL",IF(CALC_EPM!C88="TotalEsp","CURSO_ESP",IF(CALC_EPM!C88="TotalNoEsp","CURSO_NOESP","CURSO_ASIG")))))</f>
      </c>
      <c r="B99" t="str">
        <f>IF(CALC_EPM!$B88="","",CALC_EPM!A88)</f>
      </c>
      <c r="C99" t="str">
        <f>IF(CALC_EPM!$B88="","",CALC_EPM!B88)</f>
      </c>
      <c r="D99">
        <f>IF(CALC_EPM!$B88="","",CALC_EPM!D88)</f>
      </c>
      <c r="E99" s="10" t="str">
        <f>IF(CALC_EPM!$B88="","",CALC_EPM!E88)</f>
      </c>
      <c r="F99" s="10" t="str">
        <f>IF(CALC_EPM!$B88="","",CALC_EPM!F88)</f>
      </c>
      <c r="G99" t="str">
        <f>IF(CALC_EPM!$B88="","",CALC_EPM!G88)</f>
      </c>
      <c r="H99" s="11" t="str">
        <f>IF(CALC_EPM!$B88="","",CALC_EPM!H88)</f>
      </c>
      <c r="I99" s="11" t="str">
        <f>IF(CALC_EPM!$B88="","",CALC_EPM!I88)</f>
      </c>
      <c r="J99" t="str">
        <f>IF(CALC_EPM!$B88="","",CALC_EPM!J88)</f>
      </c>
      <c r="K99" t="str">
        <f>IF(CALC_EPM!$B88="","",CALC_EPM!K88)</f>
      </c>
      <c r="L99">
        <f>IF(CALC_EPM!$B88="","",CALC_EPM!L88)</f>
      </c>
      <c r="M99">
        <f>IF(CALC_EPM!$B88="","",CALC_EPM!M88)</f>
      </c>
      <c r="N99">
        <f>IF(CALC_EPM!$B88="","",CALC_EPM!N88)</f>
      </c>
      <c r="O99">
        <f>IF(CALC_EPM!$B88="","",CALC_EPM!O88)</f>
      </c>
      <c r="P99">
        <f>IF(CALC_EPM!$B88="","",CALC_EPM!P88)</f>
      </c>
      <c r="Q99">
        <f>IF(CALC_EPM!$B88="","",CALC_EPM!Q88)</f>
      </c>
      <c r="R99">
        <f>IF(CALC_EPM!$B88="","",CALC_EPM!R88)</f>
      </c>
      <c r="S99">
        <f>IF(CALC_EPM!$B88="","",CALC_EPM!S88)</f>
      </c>
      <c r="T99">
        <f>IF(CALC_EPM!$B88="","",CALC_EPM!T88)</f>
      </c>
      <c r="U99">
        <f>IF(CALC_EPM!$B88="","",CALC_EPM!U88)</f>
      </c>
    </row>
    <row r="100">
      <c r="A100" t="str">
        <f>IF(CALC_EPM!$B89="","",IF(CALC_EPM!A89="GLOBAL",IF(CALC_EPM!C89="Total","GLOBAL",IF(CALC_EPM!C89="TotalEsp","GLOBAL_ESP",IF(CALC_EPM!C89="TotalNoEsp","GLOBAL_NOESP","GLOBAL_ASIG"))),IF(CALC_EPM!C89="Total","CURSO_TOTAL",IF(CALC_EPM!C89="TotalEsp","CURSO_ESP",IF(CALC_EPM!C89="TotalNoEsp","CURSO_NOESP","CURSO_ASIG")))))</f>
      </c>
      <c r="B100" t="str">
        <f>IF(CALC_EPM!$B89="","",CALC_EPM!A89)</f>
      </c>
      <c r="C100" t="str">
        <f>IF(CALC_EPM!$B89="","",CALC_EPM!B89)</f>
      </c>
      <c r="D100">
        <f>IF(CALC_EPM!$B89="","",CALC_EPM!D89)</f>
      </c>
      <c r="E100" s="10" t="str">
        <f>IF(CALC_EPM!$B89="","",CALC_EPM!E89)</f>
      </c>
      <c r="F100" s="10" t="str">
        <f>IF(CALC_EPM!$B89="","",CALC_EPM!F89)</f>
      </c>
      <c r="G100" t="str">
        <f>IF(CALC_EPM!$B89="","",CALC_EPM!G89)</f>
      </c>
      <c r="H100" s="11" t="str">
        <f>IF(CALC_EPM!$B89="","",CALC_EPM!H89)</f>
      </c>
      <c r="I100" s="11" t="str">
        <f>IF(CALC_EPM!$B89="","",CALC_EPM!I89)</f>
      </c>
      <c r="J100" t="str">
        <f>IF(CALC_EPM!$B89="","",CALC_EPM!J89)</f>
      </c>
      <c r="K100" t="str">
        <f>IF(CALC_EPM!$B89="","",CALC_EPM!K89)</f>
      </c>
      <c r="L100">
        <f>IF(CALC_EPM!$B89="","",CALC_EPM!L89)</f>
      </c>
      <c r="M100">
        <f>IF(CALC_EPM!$B89="","",CALC_EPM!M89)</f>
      </c>
      <c r="N100">
        <f>IF(CALC_EPM!$B89="","",CALC_EPM!N89)</f>
      </c>
      <c r="O100">
        <f>IF(CALC_EPM!$B89="","",CALC_EPM!O89)</f>
      </c>
      <c r="P100">
        <f>IF(CALC_EPM!$B89="","",CALC_EPM!P89)</f>
      </c>
      <c r="Q100">
        <f>IF(CALC_EPM!$B89="","",CALC_EPM!Q89)</f>
      </c>
      <c r="R100">
        <f>IF(CALC_EPM!$B89="","",CALC_EPM!R89)</f>
      </c>
      <c r="S100">
        <f>IF(CALC_EPM!$B89="","",CALC_EPM!S89)</f>
      </c>
      <c r="T100">
        <f>IF(CALC_EPM!$B89="","",CALC_EPM!T89)</f>
      </c>
      <c r="U100">
        <f>IF(CALC_EPM!$B89="","",CALC_EPM!U89)</f>
      </c>
    </row>
    <row r="101">
      <c r="A101" t="str">
        <f>IF(CALC_EPM!$B90="","",IF(CALC_EPM!A90="GLOBAL",IF(CALC_EPM!C90="Total","GLOBAL",IF(CALC_EPM!C90="TotalEsp","GLOBAL_ESP",IF(CALC_EPM!C90="TotalNoEsp","GLOBAL_NOESP","GLOBAL_ASIG"))),IF(CALC_EPM!C90="Total","CURSO_TOTAL",IF(CALC_EPM!C90="TotalEsp","CURSO_ESP",IF(CALC_EPM!C90="TotalNoEsp","CURSO_NOESP","CURSO_ASIG")))))</f>
      </c>
      <c r="B101" t="str">
        <f>IF(CALC_EPM!$B90="","",CALC_EPM!A90)</f>
      </c>
      <c r="C101" t="str">
        <f>IF(CALC_EPM!$B90="","",CALC_EPM!B90)</f>
      </c>
      <c r="D101">
        <f>IF(CALC_EPM!$B90="","",CALC_EPM!D90)</f>
      </c>
      <c r="E101" s="10" t="str">
        <f>IF(CALC_EPM!$B90="","",CALC_EPM!E90)</f>
      </c>
      <c r="F101" s="10" t="str">
        <f>IF(CALC_EPM!$B90="","",CALC_EPM!F90)</f>
      </c>
      <c r="G101" t="str">
        <f>IF(CALC_EPM!$B90="","",CALC_EPM!G90)</f>
      </c>
      <c r="H101" s="11" t="str">
        <f>IF(CALC_EPM!$B90="","",CALC_EPM!H90)</f>
      </c>
      <c r="I101" s="11" t="str">
        <f>IF(CALC_EPM!$B90="","",CALC_EPM!I90)</f>
      </c>
      <c r="J101" t="str">
        <f>IF(CALC_EPM!$B90="","",CALC_EPM!J90)</f>
      </c>
      <c r="K101" t="str">
        <f>IF(CALC_EPM!$B90="","",CALC_EPM!K90)</f>
      </c>
      <c r="L101">
        <f>IF(CALC_EPM!$B90="","",CALC_EPM!L90)</f>
      </c>
      <c r="M101">
        <f>IF(CALC_EPM!$B90="","",CALC_EPM!M90)</f>
      </c>
      <c r="N101">
        <f>IF(CALC_EPM!$B90="","",CALC_EPM!N90)</f>
      </c>
      <c r="O101">
        <f>IF(CALC_EPM!$B90="","",CALC_EPM!O90)</f>
      </c>
      <c r="P101">
        <f>IF(CALC_EPM!$B90="","",CALC_EPM!P90)</f>
      </c>
      <c r="Q101">
        <f>IF(CALC_EPM!$B90="","",CALC_EPM!Q90)</f>
      </c>
      <c r="R101">
        <f>IF(CALC_EPM!$B90="","",CALC_EPM!R90)</f>
      </c>
      <c r="S101">
        <f>IF(CALC_EPM!$B90="","",CALC_EPM!S90)</f>
      </c>
      <c r="T101">
        <f>IF(CALC_EPM!$B90="","",CALC_EPM!T90)</f>
      </c>
      <c r="U101">
        <f>IF(CALC_EPM!$B90="","",CALC_EPM!U90)</f>
      </c>
    </row>
    <row r="102">
      <c r="A102" t="str">
        <f>IF(CALC_EPM!$B91="","",IF(CALC_EPM!A91="GLOBAL",IF(CALC_EPM!C91="Total","GLOBAL",IF(CALC_EPM!C91="TotalEsp","GLOBAL_ESP",IF(CALC_EPM!C91="TotalNoEsp","GLOBAL_NOESP","GLOBAL_ASIG"))),IF(CALC_EPM!C91="Total","CURSO_TOTAL",IF(CALC_EPM!C91="TotalEsp","CURSO_ESP",IF(CALC_EPM!C91="TotalNoEsp","CURSO_NOESP","CURSO_ASIG")))))</f>
      </c>
      <c r="B102" t="str">
        <f>IF(CALC_EPM!$B91="","",CALC_EPM!A91)</f>
      </c>
      <c r="C102" t="str">
        <f>IF(CALC_EPM!$B91="","",CALC_EPM!B91)</f>
      </c>
      <c r="D102">
        <f>IF(CALC_EPM!$B91="","",CALC_EPM!D91)</f>
      </c>
      <c r="E102" s="10" t="str">
        <f>IF(CALC_EPM!$B91="","",CALC_EPM!E91)</f>
      </c>
      <c r="F102" s="10" t="str">
        <f>IF(CALC_EPM!$B91="","",CALC_EPM!F91)</f>
      </c>
      <c r="G102" t="str">
        <f>IF(CALC_EPM!$B91="","",CALC_EPM!G91)</f>
      </c>
      <c r="H102" s="11" t="str">
        <f>IF(CALC_EPM!$B91="","",CALC_EPM!H91)</f>
      </c>
      <c r="I102" s="11" t="str">
        <f>IF(CALC_EPM!$B91="","",CALC_EPM!I91)</f>
      </c>
      <c r="J102" t="str">
        <f>IF(CALC_EPM!$B91="","",CALC_EPM!J91)</f>
      </c>
      <c r="K102" t="str">
        <f>IF(CALC_EPM!$B91="","",CALC_EPM!K91)</f>
      </c>
      <c r="L102">
        <f>IF(CALC_EPM!$B91="","",CALC_EPM!L91)</f>
      </c>
      <c r="M102">
        <f>IF(CALC_EPM!$B91="","",CALC_EPM!M91)</f>
      </c>
      <c r="N102">
        <f>IF(CALC_EPM!$B91="","",CALC_EPM!N91)</f>
      </c>
      <c r="O102">
        <f>IF(CALC_EPM!$B91="","",CALC_EPM!O91)</f>
      </c>
      <c r="P102">
        <f>IF(CALC_EPM!$B91="","",CALC_EPM!P91)</f>
      </c>
      <c r="Q102">
        <f>IF(CALC_EPM!$B91="","",CALC_EPM!Q91)</f>
      </c>
      <c r="R102">
        <f>IF(CALC_EPM!$B91="","",CALC_EPM!R91)</f>
      </c>
      <c r="S102">
        <f>IF(CALC_EPM!$B91="","",CALC_EPM!S91)</f>
      </c>
      <c r="T102">
        <f>IF(CALC_EPM!$B91="","",CALC_EPM!T91)</f>
      </c>
      <c r="U102">
        <f>IF(CALC_EPM!$B91="","",CALC_EPM!U91)</f>
      </c>
    </row>
    <row r="103">
      <c r="A103" t="str">
        <f>IF(CALC_EPM!$B92="","",IF(CALC_EPM!A92="GLOBAL",IF(CALC_EPM!C92="Total","GLOBAL",IF(CALC_EPM!C92="TotalEsp","GLOBAL_ESP",IF(CALC_EPM!C92="TotalNoEsp","GLOBAL_NOESP","GLOBAL_ASIG"))),IF(CALC_EPM!C92="Total","CURSO_TOTAL",IF(CALC_EPM!C92="TotalEsp","CURSO_ESP",IF(CALC_EPM!C92="TotalNoEsp","CURSO_NOESP","CURSO_ASIG")))))</f>
      </c>
      <c r="B103" t="str">
        <f>IF(CALC_EPM!$B92="","",CALC_EPM!A92)</f>
      </c>
      <c r="C103" t="str">
        <f>IF(CALC_EPM!$B92="","",CALC_EPM!B92)</f>
      </c>
      <c r="D103">
        <f>IF(CALC_EPM!$B92="","",CALC_EPM!D92)</f>
      </c>
      <c r="E103" s="10" t="str">
        <f>IF(CALC_EPM!$B92="","",CALC_EPM!E92)</f>
      </c>
      <c r="F103" s="10" t="str">
        <f>IF(CALC_EPM!$B92="","",CALC_EPM!F92)</f>
      </c>
      <c r="G103" t="str">
        <f>IF(CALC_EPM!$B92="","",CALC_EPM!G92)</f>
      </c>
      <c r="H103" s="11" t="str">
        <f>IF(CALC_EPM!$B92="","",CALC_EPM!H92)</f>
      </c>
      <c r="I103" s="11" t="str">
        <f>IF(CALC_EPM!$B92="","",CALC_EPM!I92)</f>
      </c>
      <c r="J103" t="str">
        <f>IF(CALC_EPM!$B92="","",CALC_EPM!J92)</f>
      </c>
      <c r="K103" t="str">
        <f>IF(CALC_EPM!$B92="","",CALC_EPM!K92)</f>
      </c>
      <c r="L103">
        <f>IF(CALC_EPM!$B92="","",CALC_EPM!L92)</f>
      </c>
      <c r="M103">
        <f>IF(CALC_EPM!$B92="","",CALC_EPM!M92)</f>
      </c>
      <c r="N103">
        <f>IF(CALC_EPM!$B92="","",CALC_EPM!N92)</f>
      </c>
      <c r="O103">
        <f>IF(CALC_EPM!$B92="","",CALC_EPM!O92)</f>
      </c>
      <c r="P103">
        <f>IF(CALC_EPM!$B92="","",CALC_EPM!P92)</f>
      </c>
      <c r="Q103">
        <f>IF(CALC_EPM!$B92="","",CALC_EPM!Q92)</f>
      </c>
      <c r="R103">
        <f>IF(CALC_EPM!$B92="","",CALC_EPM!R92)</f>
      </c>
      <c r="S103">
        <f>IF(CALC_EPM!$B92="","",CALC_EPM!S92)</f>
      </c>
      <c r="T103">
        <f>IF(CALC_EPM!$B92="","",CALC_EPM!T92)</f>
      </c>
      <c r="U103">
        <f>IF(CALC_EPM!$B92="","",CALC_EPM!U92)</f>
      </c>
    </row>
    <row r="104">
      <c r="A104" t="str">
        <f>IF(CALC_EPM!$B93="","",IF(CALC_EPM!A93="GLOBAL",IF(CALC_EPM!C93="Total","GLOBAL",IF(CALC_EPM!C93="TotalEsp","GLOBAL_ESP",IF(CALC_EPM!C93="TotalNoEsp","GLOBAL_NOESP","GLOBAL_ASIG"))),IF(CALC_EPM!C93="Total","CURSO_TOTAL",IF(CALC_EPM!C93="TotalEsp","CURSO_ESP",IF(CALC_EPM!C93="TotalNoEsp","CURSO_NOESP","CURSO_ASIG")))))</f>
      </c>
      <c r="B104" t="str">
        <f>IF(CALC_EPM!$B93="","",CALC_EPM!A93)</f>
      </c>
      <c r="C104" t="str">
        <f>IF(CALC_EPM!$B93="","",CALC_EPM!B93)</f>
      </c>
      <c r="D104">
        <f>IF(CALC_EPM!$B93="","",CALC_EPM!D93)</f>
      </c>
      <c r="E104" s="10" t="str">
        <f>IF(CALC_EPM!$B93="","",CALC_EPM!E93)</f>
      </c>
      <c r="F104" s="10" t="str">
        <f>IF(CALC_EPM!$B93="","",CALC_EPM!F93)</f>
      </c>
      <c r="G104" t="str">
        <f>IF(CALC_EPM!$B93="","",CALC_EPM!G93)</f>
      </c>
      <c r="H104" s="11" t="str">
        <f>IF(CALC_EPM!$B93="","",CALC_EPM!H93)</f>
      </c>
      <c r="I104" s="11" t="str">
        <f>IF(CALC_EPM!$B93="","",CALC_EPM!I93)</f>
      </c>
      <c r="J104" t="str">
        <f>IF(CALC_EPM!$B93="","",CALC_EPM!J93)</f>
      </c>
      <c r="K104" t="str">
        <f>IF(CALC_EPM!$B93="","",CALC_EPM!K93)</f>
      </c>
      <c r="L104">
        <f>IF(CALC_EPM!$B93="","",CALC_EPM!L93)</f>
      </c>
      <c r="M104">
        <f>IF(CALC_EPM!$B93="","",CALC_EPM!M93)</f>
      </c>
      <c r="N104">
        <f>IF(CALC_EPM!$B93="","",CALC_EPM!N93)</f>
      </c>
      <c r="O104">
        <f>IF(CALC_EPM!$B93="","",CALC_EPM!O93)</f>
      </c>
      <c r="P104">
        <f>IF(CALC_EPM!$B93="","",CALC_EPM!P93)</f>
      </c>
      <c r="Q104">
        <f>IF(CALC_EPM!$B93="","",CALC_EPM!Q93)</f>
      </c>
      <c r="R104">
        <f>IF(CALC_EPM!$B93="","",CALC_EPM!R93)</f>
      </c>
      <c r="S104">
        <f>IF(CALC_EPM!$B93="","",CALC_EPM!S93)</f>
      </c>
      <c r="T104">
        <f>IF(CALC_EPM!$B93="","",CALC_EPM!T93)</f>
      </c>
      <c r="U104">
        <f>IF(CALC_EPM!$B93="","",CALC_EPM!U93)</f>
      </c>
    </row>
    <row r="105">
      <c r="A105" t="str">
        <f>IF(CALC_EPM!$B94="","",IF(CALC_EPM!A94="GLOBAL",IF(CALC_EPM!C94="Total","GLOBAL",IF(CALC_EPM!C94="TotalEsp","GLOBAL_ESP",IF(CALC_EPM!C94="TotalNoEsp","GLOBAL_NOESP","GLOBAL_ASIG"))),IF(CALC_EPM!C94="Total","CURSO_TOTAL",IF(CALC_EPM!C94="TotalEsp","CURSO_ESP",IF(CALC_EPM!C94="TotalNoEsp","CURSO_NOESP","CURSO_ASIG")))))</f>
      </c>
      <c r="B105" t="str">
        <f>IF(CALC_EPM!$B94="","",CALC_EPM!A94)</f>
      </c>
      <c r="C105" t="str">
        <f>IF(CALC_EPM!$B94="","",CALC_EPM!B94)</f>
      </c>
      <c r="D105">
        <f>IF(CALC_EPM!$B94="","",CALC_EPM!D94)</f>
      </c>
      <c r="E105" s="10" t="str">
        <f>IF(CALC_EPM!$B94="","",CALC_EPM!E94)</f>
      </c>
      <c r="F105" s="10" t="str">
        <f>IF(CALC_EPM!$B94="","",CALC_EPM!F94)</f>
      </c>
      <c r="G105" t="str">
        <f>IF(CALC_EPM!$B94="","",CALC_EPM!G94)</f>
      </c>
      <c r="H105" s="11" t="str">
        <f>IF(CALC_EPM!$B94="","",CALC_EPM!H94)</f>
      </c>
      <c r="I105" s="11" t="str">
        <f>IF(CALC_EPM!$B94="","",CALC_EPM!I94)</f>
      </c>
      <c r="J105" t="str">
        <f>IF(CALC_EPM!$B94="","",CALC_EPM!J94)</f>
      </c>
      <c r="K105" t="str">
        <f>IF(CALC_EPM!$B94="","",CALC_EPM!K94)</f>
      </c>
      <c r="L105">
        <f>IF(CALC_EPM!$B94="","",CALC_EPM!L94)</f>
      </c>
      <c r="M105">
        <f>IF(CALC_EPM!$B94="","",CALC_EPM!M94)</f>
      </c>
      <c r="N105">
        <f>IF(CALC_EPM!$B94="","",CALC_EPM!N94)</f>
      </c>
      <c r="O105">
        <f>IF(CALC_EPM!$B94="","",CALC_EPM!O94)</f>
      </c>
      <c r="P105">
        <f>IF(CALC_EPM!$B94="","",CALC_EPM!P94)</f>
      </c>
      <c r="Q105">
        <f>IF(CALC_EPM!$B94="","",CALC_EPM!Q94)</f>
      </c>
      <c r="R105">
        <f>IF(CALC_EPM!$B94="","",CALC_EPM!R94)</f>
      </c>
      <c r="S105">
        <f>IF(CALC_EPM!$B94="","",CALC_EPM!S94)</f>
      </c>
      <c r="T105">
        <f>IF(CALC_EPM!$B94="","",CALC_EPM!T94)</f>
      </c>
      <c r="U105">
        <f>IF(CALC_EPM!$B94="","",CALC_EPM!U94)</f>
      </c>
    </row>
    <row r="106">
      <c r="A106" t="str">
        <f>IF(CALC_EPM!$B95="","",IF(CALC_EPM!A95="GLOBAL",IF(CALC_EPM!C95="Total","GLOBAL",IF(CALC_EPM!C95="TotalEsp","GLOBAL_ESP",IF(CALC_EPM!C95="TotalNoEsp","GLOBAL_NOESP","GLOBAL_ASIG"))),IF(CALC_EPM!C95="Total","CURSO_TOTAL",IF(CALC_EPM!C95="TotalEsp","CURSO_ESP",IF(CALC_EPM!C95="TotalNoEsp","CURSO_NOESP","CURSO_ASIG")))))</f>
      </c>
      <c r="B106" t="str">
        <f>IF(CALC_EPM!$B95="","",CALC_EPM!A95)</f>
      </c>
      <c r="C106" t="str">
        <f>IF(CALC_EPM!$B95="","",CALC_EPM!B95)</f>
      </c>
      <c r="D106">
        <f>IF(CALC_EPM!$B95="","",CALC_EPM!D95)</f>
      </c>
      <c r="E106" s="10" t="str">
        <f>IF(CALC_EPM!$B95="","",CALC_EPM!E95)</f>
      </c>
      <c r="F106" s="10" t="str">
        <f>IF(CALC_EPM!$B95="","",CALC_EPM!F95)</f>
      </c>
      <c r="G106" t="str">
        <f>IF(CALC_EPM!$B95="","",CALC_EPM!G95)</f>
      </c>
      <c r="H106" s="11" t="str">
        <f>IF(CALC_EPM!$B95="","",CALC_EPM!H95)</f>
      </c>
      <c r="I106" s="11" t="str">
        <f>IF(CALC_EPM!$B95="","",CALC_EPM!I95)</f>
      </c>
      <c r="J106" t="str">
        <f>IF(CALC_EPM!$B95="","",CALC_EPM!J95)</f>
      </c>
      <c r="K106" t="str">
        <f>IF(CALC_EPM!$B95="","",CALC_EPM!K95)</f>
      </c>
      <c r="L106">
        <f>IF(CALC_EPM!$B95="","",CALC_EPM!L95)</f>
      </c>
      <c r="M106">
        <f>IF(CALC_EPM!$B95="","",CALC_EPM!M95)</f>
      </c>
      <c r="N106">
        <f>IF(CALC_EPM!$B95="","",CALC_EPM!N95)</f>
      </c>
      <c r="O106">
        <f>IF(CALC_EPM!$B95="","",CALC_EPM!O95)</f>
      </c>
      <c r="P106">
        <f>IF(CALC_EPM!$B95="","",CALC_EPM!P95)</f>
      </c>
      <c r="Q106">
        <f>IF(CALC_EPM!$B95="","",CALC_EPM!Q95)</f>
      </c>
      <c r="R106">
        <f>IF(CALC_EPM!$B95="","",CALC_EPM!R95)</f>
      </c>
      <c r="S106">
        <f>IF(CALC_EPM!$B95="","",CALC_EPM!S95)</f>
      </c>
      <c r="T106">
        <f>IF(CALC_EPM!$B95="","",CALC_EPM!T95)</f>
      </c>
      <c r="U106">
        <f>IF(CALC_EPM!$B95="","",CALC_EPM!U95)</f>
      </c>
    </row>
    <row r="107">
      <c r="A107" t="str">
        <f>IF(CALC_EPM!$B96="","",IF(CALC_EPM!A96="GLOBAL",IF(CALC_EPM!C96="Total","GLOBAL",IF(CALC_EPM!C96="TotalEsp","GLOBAL_ESP",IF(CALC_EPM!C96="TotalNoEsp","GLOBAL_NOESP","GLOBAL_ASIG"))),IF(CALC_EPM!C96="Total","CURSO_TOTAL",IF(CALC_EPM!C96="TotalEsp","CURSO_ESP",IF(CALC_EPM!C96="TotalNoEsp","CURSO_NOESP","CURSO_ASIG")))))</f>
      </c>
      <c r="B107" t="str">
        <f>IF(CALC_EPM!$B96="","",CALC_EPM!A96)</f>
      </c>
      <c r="C107" t="str">
        <f>IF(CALC_EPM!$B96="","",CALC_EPM!B96)</f>
      </c>
      <c r="D107">
        <f>IF(CALC_EPM!$B96="","",CALC_EPM!D96)</f>
      </c>
      <c r="E107" s="10" t="str">
        <f>IF(CALC_EPM!$B96="","",CALC_EPM!E96)</f>
      </c>
      <c r="F107" s="10" t="str">
        <f>IF(CALC_EPM!$B96="","",CALC_EPM!F96)</f>
      </c>
      <c r="G107" t="str">
        <f>IF(CALC_EPM!$B96="","",CALC_EPM!G96)</f>
      </c>
      <c r="H107" s="11" t="str">
        <f>IF(CALC_EPM!$B96="","",CALC_EPM!H96)</f>
      </c>
      <c r="I107" s="11" t="str">
        <f>IF(CALC_EPM!$B96="","",CALC_EPM!I96)</f>
      </c>
      <c r="J107" t="str">
        <f>IF(CALC_EPM!$B96="","",CALC_EPM!J96)</f>
      </c>
      <c r="K107" t="str">
        <f>IF(CALC_EPM!$B96="","",CALC_EPM!K96)</f>
      </c>
      <c r="L107">
        <f>IF(CALC_EPM!$B96="","",CALC_EPM!L96)</f>
      </c>
      <c r="M107">
        <f>IF(CALC_EPM!$B96="","",CALC_EPM!M96)</f>
      </c>
      <c r="N107">
        <f>IF(CALC_EPM!$B96="","",CALC_EPM!N96)</f>
      </c>
      <c r="O107">
        <f>IF(CALC_EPM!$B96="","",CALC_EPM!O96)</f>
      </c>
      <c r="P107">
        <f>IF(CALC_EPM!$B96="","",CALC_EPM!P96)</f>
      </c>
      <c r="Q107">
        <f>IF(CALC_EPM!$B96="","",CALC_EPM!Q96)</f>
      </c>
      <c r="R107">
        <f>IF(CALC_EPM!$B96="","",CALC_EPM!R96)</f>
      </c>
      <c r="S107">
        <f>IF(CALC_EPM!$B96="","",CALC_EPM!S96)</f>
      </c>
      <c r="T107">
        <f>IF(CALC_EPM!$B96="","",CALC_EPM!T96)</f>
      </c>
      <c r="U107">
        <f>IF(CALC_EPM!$B96="","",CALC_EPM!U96)</f>
      </c>
    </row>
    <row r="108">
      <c r="A108" t="str">
        <f>IF(CALC_EPM!$B97="","",IF(CALC_EPM!A97="GLOBAL",IF(CALC_EPM!C97="Total","GLOBAL",IF(CALC_EPM!C97="TotalEsp","GLOBAL_ESP",IF(CALC_EPM!C97="TotalNoEsp","GLOBAL_NOESP","GLOBAL_ASIG"))),IF(CALC_EPM!C97="Total","CURSO_TOTAL",IF(CALC_EPM!C97="TotalEsp","CURSO_ESP",IF(CALC_EPM!C97="TotalNoEsp","CURSO_NOESP","CURSO_ASIG")))))</f>
      </c>
      <c r="B108" t="str">
        <f>IF(CALC_EPM!$B97="","",CALC_EPM!A97)</f>
      </c>
      <c r="C108" t="str">
        <f>IF(CALC_EPM!$B97="","",CALC_EPM!B97)</f>
      </c>
      <c r="D108">
        <f>IF(CALC_EPM!$B97="","",CALC_EPM!D97)</f>
      </c>
      <c r="E108" s="10" t="str">
        <f>IF(CALC_EPM!$B97="","",CALC_EPM!E97)</f>
      </c>
      <c r="F108" s="10" t="str">
        <f>IF(CALC_EPM!$B97="","",CALC_EPM!F97)</f>
      </c>
      <c r="G108" t="str">
        <f>IF(CALC_EPM!$B97="","",CALC_EPM!G97)</f>
      </c>
      <c r="H108" s="11" t="str">
        <f>IF(CALC_EPM!$B97="","",CALC_EPM!H97)</f>
      </c>
      <c r="I108" s="11" t="str">
        <f>IF(CALC_EPM!$B97="","",CALC_EPM!I97)</f>
      </c>
      <c r="J108" t="str">
        <f>IF(CALC_EPM!$B97="","",CALC_EPM!J97)</f>
      </c>
      <c r="K108" t="str">
        <f>IF(CALC_EPM!$B97="","",CALC_EPM!K97)</f>
      </c>
      <c r="L108">
        <f>IF(CALC_EPM!$B97="","",CALC_EPM!L97)</f>
      </c>
      <c r="M108">
        <f>IF(CALC_EPM!$B97="","",CALC_EPM!M97)</f>
      </c>
      <c r="N108">
        <f>IF(CALC_EPM!$B97="","",CALC_EPM!N97)</f>
      </c>
      <c r="O108">
        <f>IF(CALC_EPM!$B97="","",CALC_EPM!O97)</f>
      </c>
      <c r="P108">
        <f>IF(CALC_EPM!$B97="","",CALC_EPM!P97)</f>
      </c>
      <c r="Q108">
        <f>IF(CALC_EPM!$B97="","",CALC_EPM!Q97)</f>
      </c>
      <c r="R108">
        <f>IF(CALC_EPM!$B97="","",CALC_EPM!R97)</f>
      </c>
      <c r="S108">
        <f>IF(CALC_EPM!$B97="","",CALC_EPM!S97)</f>
      </c>
      <c r="T108">
        <f>IF(CALC_EPM!$B97="","",CALC_EPM!T97)</f>
      </c>
      <c r="U108">
        <f>IF(CALC_EPM!$B97="","",CALC_EPM!U97)</f>
      </c>
    </row>
    <row r="109">
      <c r="A109" t="str">
        <f>IF(CALC_EPM!$B98="","",IF(CALC_EPM!A98="GLOBAL",IF(CALC_EPM!C98="Total","GLOBAL",IF(CALC_EPM!C98="TotalEsp","GLOBAL_ESP",IF(CALC_EPM!C98="TotalNoEsp","GLOBAL_NOESP","GLOBAL_ASIG"))),IF(CALC_EPM!C98="Total","CURSO_TOTAL",IF(CALC_EPM!C98="TotalEsp","CURSO_ESP",IF(CALC_EPM!C98="TotalNoEsp","CURSO_NOESP","CURSO_ASIG")))))</f>
      </c>
      <c r="B109" t="str">
        <f>IF(CALC_EPM!$B98="","",CALC_EPM!A98)</f>
      </c>
      <c r="C109" t="str">
        <f>IF(CALC_EPM!$B98="","",CALC_EPM!B98)</f>
      </c>
      <c r="D109">
        <f>IF(CALC_EPM!$B98="","",CALC_EPM!D98)</f>
      </c>
      <c r="E109" s="10" t="str">
        <f>IF(CALC_EPM!$B98="","",CALC_EPM!E98)</f>
      </c>
      <c r="F109" s="10" t="str">
        <f>IF(CALC_EPM!$B98="","",CALC_EPM!F98)</f>
      </c>
      <c r="G109" t="str">
        <f>IF(CALC_EPM!$B98="","",CALC_EPM!G98)</f>
      </c>
      <c r="H109" s="11" t="str">
        <f>IF(CALC_EPM!$B98="","",CALC_EPM!H98)</f>
      </c>
      <c r="I109" s="11" t="str">
        <f>IF(CALC_EPM!$B98="","",CALC_EPM!I98)</f>
      </c>
      <c r="J109" t="str">
        <f>IF(CALC_EPM!$B98="","",CALC_EPM!J98)</f>
      </c>
      <c r="K109" t="str">
        <f>IF(CALC_EPM!$B98="","",CALC_EPM!K98)</f>
      </c>
      <c r="L109">
        <f>IF(CALC_EPM!$B98="","",CALC_EPM!L98)</f>
      </c>
      <c r="M109">
        <f>IF(CALC_EPM!$B98="","",CALC_EPM!M98)</f>
      </c>
      <c r="N109">
        <f>IF(CALC_EPM!$B98="","",CALC_EPM!N98)</f>
      </c>
      <c r="O109">
        <f>IF(CALC_EPM!$B98="","",CALC_EPM!O98)</f>
      </c>
      <c r="P109">
        <f>IF(CALC_EPM!$B98="","",CALC_EPM!P98)</f>
      </c>
      <c r="Q109">
        <f>IF(CALC_EPM!$B98="","",CALC_EPM!Q98)</f>
      </c>
      <c r="R109">
        <f>IF(CALC_EPM!$B98="","",CALC_EPM!R98)</f>
      </c>
      <c r="S109">
        <f>IF(CALC_EPM!$B98="","",CALC_EPM!S98)</f>
      </c>
      <c r="T109">
        <f>IF(CALC_EPM!$B98="","",CALC_EPM!T98)</f>
      </c>
      <c r="U109">
        <f>IF(CALC_EPM!$B98="","",CALC_EPM!U98)</f>
      </c>
    </row>
    <row r="110">
      <c r="A110" t="str">
        <f>IF(CALC_EPM!$B99="","",IF(CALC_EPM!A99="GLOBAL",IF(CALC_EPM!C99="Total","GLOBAL",IF(CALC_EPM!C99="TotalEsp","GLOBAL_ESP",IF(CALC_EPM!C99="TotalNoEsp","GLOBAL_NOESP","GLOBAL_ASIG"))),IF(CALC_EPM!C99="Total","CURSO_TOTAL",IF(CALC_EPM!C99="TotalEsp","CURSO_ESP",IF(CALC_EPM!C99="TotalNoEsp","CURSO_NOESP","CURSO_ASIG")))))</f>
      </c>
      <c r="B110" t="str">
        <f>IF(CALC_EPM!$B99="","",CALC_EPM!A99)</f>
      </c>
      <c r="C110" t="str">
        <f>IF(CALC_EPM!$B99="","",CALC_EPM!B99)</f>
      </c>
      <c r="D110">
        <f>IF(CALC_EPM!$B99="","",CALC_EPM!D99)</f>
      </c>
      <c r="E110" s="10" t="str">
        <f>IF(CALC_EPM!$B99="","",CALC_EPM!E99)</f>
      </c>
      <c r="F110" s="10" t="str">
        <f>IF(CALC_EPM!$B99="","",CALC_EPM!F99)</f>
      </c>
      <c r="G110" t="str">
        <f>IF(CALC_EPM!$B99="","",CALC_EPM!G99)</f>
      </c>
      <c r="H110" s="11" t="str">
        <f>IF(CALC_EPM!$B99="","",CALC_EPM!H99)</f>
      </c>
      <c r="I110" s="11" t="str">
        <f>IF(CALC_EPM!$B99="","",CALC_EPM!I99)</f>
      </c>
      <c r="J110" t="str">
        <f>IF(CALC_EPM!$B99="","",CALC_EPM!J99)</f>
      </c>
      <c r="K110" t="str">
        <f>IF(CALC_EPM!$B99="","",CALC_EPM!K99)</f>
      </c>
      <c r="L110">
        <f>IF(CALC_EPM!$B99="","",CALC_EPM!L99)</f>
      </c>
      <c r="M110">
        <f>IF(CALC_EPM!$B99="","",CALC_EPM!M99)</f>
      </c>
      <c r="N110">
        <f>IF(CALC_EPM!$B99="","",CALC_EPM!N99)</f>
      </c>
      <c r="O110">
        <f>IF(CALC_EPM!$B99="","",CALC_EPM!O99)</f>
      </c>
      <c r="P110">
        <f>IF(CALC_EPM!$B99="","",CALC_EPM!P99)</f>
      </c>
      <c r="Q110">
        <f>IF(CALC_EPM!$B99="","",CALC_EPM!Q99)</f>
      </c>
      <c r="R110">
        <f>IF(CALC_EPM!$B99="","",CALC_EPM!R99)</f>
      </c>
      <c r="S110">
        <f>IF(CALC_EPM!$B99="","",CALC_EPM!S99)</f>
      </c>
      <c r="T110">
        <f>IF(CALC_EPM!$B99="","",CALC_EPM!T99)</f>
      </c>
      <c r="U110">
        <f>IF(CALC_EPM!$B99="","",CALC_EPM!U99)</f>
      </c>
    </row>
    <row r="111">
      <c r="A111" t="str">
        <f>IF(CALC_EPM!$B100="","",IF(CALC_EPM!A100="GLOBAL",IF(CALC_EPM!C100="Total","GLOBAL",IF(CALC_EPM!C100="TotalEsp","GLOBAL_ESP",IF(CALC_EPM!C100="TotalNoEsp","GLOBAL_NOESP","GLOBAL_ASIG"))),IF(CALC_EPM!C100="Total","CURSO_TOTAL",IF(CALC_EPM!C100="TotalEsp","CURSO_ESP",IF(CALC_EPM!C100="TotalNoEsp","CURSO_NOESP","CURSO_ASIG")))))</f>
      </c>
      <c r="B111" t="str">
        <f>IF(CALC_EPM!$B100="","",CALC_EPM!A100)</f>
      </c>
      <c r="C111" t="str">
        <f>IF(CALC_EPM!$B100="","",CALC_EPM!B100)</f>
      </c>
      <c r="D111">
        <f>IF(CALC_EPM!$B100="","",CALC_EPM!D100)</f>
      </c>
      <c r="E111" s="10" t="str">
        <f>IF(CALC_EPM!$B100="","",CALC_EPM!E100)</f>
      </c>
      <c r="F111" s="10" t="str">
        <f>IF(CALC_EPM!$B100="","",CALC_EPM!F100)</f>
      </c>
      <c r="G111" t="str">
        <f>IF(CALC_EPM!$B100="","",CALC_EPM!G100)</f>
      </c>
      <c r="H111" s="11" t="str">
        <f>IF(CALC_EPM!$B100="","",CALC_EPM!H100)</f>
      </c>
      <c r="I111" s="11" t="str">
        <f>IF(CALC_EPM!$B100="","",CALC_EPM!I100)</f>
      </c>
      <c r="J111" t="str">
        <f>IF(CALC_EPM!$B100="","",CALC_EPM!J100)</f>
      </c>
      <c r="K111" t="str">
        <f>IF(CALC_EPM!$B100="","",CALC_EPM!K100)</f>
      </c>
      <c r="L111">
        <f>IF(CALC_EPM!$B100="","",CALC_EPM!L100)</f>
      </c>
      <c r="M111">
        <f>IF(CALC_EPM!$B100="","",CALC_EPM!M100)</f>
      </c>
      <c r="N111">
        <f>IF(CALC_EPM!$B100="","",CALC_EPM!N100)</f>
      </c>
      <c r="O111">
        <f>IF(CALC_EPM!$B100="","",CALC_EPM!O100)</f>
      </c>
      <c r="P111">
        <f>IF(CALC_EPM!$B100="","",CALC_EPM!P100)</f>
      </c>
      <c r="Q111">
        <f>IF(CALC_EPM!$B100="","",CALC_EPM!Q100)</f>
      </c>
      <c r="R111">
        <f>IF(CALC_EPM!$B100="","",CALC_EPM!R100)</f>
      </c>
      <c r="S111">
        <f>IF(CALC_EPM!$B100="","",CALC_EPM!S100)</f>
      </c>
      <c r="T111">
        <f>IF(CALC_EPM!$B100="","",CALC_EPM!T100)</f>
      </c>
      <c r="U111">
        <f>IF(CALC_EPM!$B100="","",CALC_EPM!U100)</f>
      </c>
    </row>
    <row r="112">
      <c r="A112" t="str">
        <f>IF(CALC_EPM!$B101="","",IF(CALC_EPM!A101="GLOBAL",IF(CALC_EPM!C101="Total","GLOBAL",IF(CALC_EPM!C101="TotalEsp","GLOBAL_ESP",IF(CALC_EPM!C101="TotalNoEsp","GLOBAL_NOESP","GLOBAL_ASIG"))),IF(CALC_EPM!C101="Total","CURSO_TOTAL",IF(CALC_EPM!C101="TotalEsp","CURSO_ESP",IF(CALC_EPM!C101="TotalNoEsp","CURSO_NOESP","CURSO_ASIG")))))</f>
      </c>
      <c r="B112" t="str">
        <f>IF(CALC_EPM!$B101="","",CALC_EPM!A101)</f>
      </c>
      <c r="C112" t="str">
        <f>IF(CALC_EPM!$B101="","",CALC_EPM!B101)</f>
      </c>
      <c r="D112">
        <f>IF(CALC_EPM!$B101="","",CALC_EPM!D101)</f>
      </c>
      <c r="E112" s="10" t="str">
        <f>IF(CALC_EPM!$B101="","",CALC_EPM!E101)</f>
      </c>
      <c r="F112" s="10" t="str">
        <f>IF(CALC_EPM!$B101="","",CALC_EPM!F101)</f>
      </c>
      <c r="G112" t="str">
        <f>IF(CALC_EPM!$B101="","",CALC_EPM!G101)</f>
      </c>
      <c r="H112" s="11" t="str">
        <f>IF(CALC_EPM!$B101="","",CALC_EPM!H101)</f>
      </c>
      <c r="I112" s="11" t="str">
        <f>IF(CALC_EPM!$B101="","",CALC_EPM!I101)</f>
      </c>
      <c r="J112" t="str">
        <f>IF(CALC_EPM!$B101="","",CALC_EPM!J101)</f>
      </c>
      <c r="K112" t="str">
        <f>IF(CALC_EPM!$B101="","",CALC_EPM!K101)</f>
      </c>
      <c r="L112">
        <f>IF(CALC_EPM!$B101="","",CALC_EPM!L101)</f>
      </c>
      <c r="M112">
        <f>IF(CALC_EPM!$B101="","",CALC_EPM!M101)</f>
      </c>
      <c r="N112">
        <f>IF(CALC_EPM!$B101="","",CALC_EPM!N101)</f>
      </c>
      <c r="O112">
        <f>IF(CALC_EPM!$B101="","",CALC_EPM!O101)</f>
      </c>
      <c r="P112">
        <f>IF(CALC_EPM!$B101="","",CALC_EPM!P101)</f>
      </c>
      <c r="Q112">
        <f>IF(CALC_EPM!$B101="","",CALC_EPM!Q101)</f>
      </c>
      <c r="R112">
        <f>IF(CALC_EPM!$B101="","",CALC_EPM!R101)</f>
      </c>
      <c r="S112">
        <f>IF(CALC_EPM!$B101="","",CALC_EPM!S101)</f>
      </c>
      <c r="T112">
        <f>IF(CALC_EPM!$B101="","",CALC_EPM!T101)</f>
      </c>
      <c r="U112">
        <f>IF(CALC_EPM!$B101="","",CALC_EPM!U101)</f>
      </c>
    </row>
    <row r="113">
      <c r="A113" t="str">
        <f>IF(CALC_EPM!$B102="","",IF(CALC_EPM!A102="GLOBAL",IF(CALC_EPM!C102="Total","GLOBAL",IF(CALC_EPM!C102="TotalEsp","GLOBAL_ESP",IF(CALC_EPM!C102="TotalNoEsp","GLOBAL_NOESP","GLOBAL_ASIG"))),IF(CALC_EPM!C102="Total","CURSO_TOTAL",IF(CALC_EPM!C102="TotalEsp","CURSO_ESP",IF(CALC_EPM!C102="TotalNoEsp","CURSO_NOESP","CURSO_ASIG")))))</f>
      </c>
      <c r="B113" t="str">
        <f>IF(CALC_EPM!$B102="","",CALC_EPM!A102)</f>
      </c>
      <c r="C113" t="str">
        <f>IF(CALC_EPM!$B102="","",CALC_EPM!B102)</f>
      </c>
      <c r="D113">
        <f>IF(CALC_EPM!$B102="","",CALC_EPM!D102)</f>
      </c>
      <c r="E113" s="10" t="str">
        <f>IF(CALC_EPM!$B102="","",CALC_EPM!E102)</f>
      </c>
      <c r="F113" s="10" t="str">
        <f>IF(CALC_EPM!$B102="","",CALC_EPM!F102)</f>
      </c>
      <c r="G113" t="str">
        <f>IF(CALC_EPM!$B102="","",CALC_EPM!G102)</f>
      </c>
      <c r="H113" s="11" t="str">
        <f>IF(CALC_EPM!$B102="","",CALC_EPM!H102)</f>
      </c>
      <c r="I113" s="11" t="str">
        <f>IF(CALC_EPM!$B102="","",CALC_EPM!I102)</f>
      </c>
      <c r="J113" t="str">
        <f>IF(CALC_EPM!$B102="","",CALC_EPM!J102)</f>
      </c>
      <c r="K113" t="str">
        <f>IF(CALC_EPM!$B102="","",CALC_EPM!K102)</f>
      </c>
      <c r="L113">
        <f>IF(CALC_EPM!$B102="","",CALC_EPM!L102)</f>
      </c>
      <c r="M113">
        <f>IF(CALC_EPM!$B102="","",CALC_EPM!M102)</f>
      </c>
      <c r="N113">
        <f>IF(CALC_EPM!$B102="","",CALC_EPM!N102)</f>
      </c>
      <c r="O113">
        <f>IF(CALC_EPM!$B102="","",CALC_EPM!O102)</f>
      </c>
      <c r="P113">
        <f>IF(CALC_EPM!$B102="","",CALC_EPM!P102)</f>
      </c>
      <c r="Q113">
        <f>IF(CALC_EPM!$B102="","",CALC_EPM!Q102)</f>
      </c>
      <c r="R113">
        <f>IF(CALC_EPM!$B102="","",CALC_EPM!R102)</f>
      </c>
      <c r="S113">
        <f>IF(CALC_EPM!$B102="","",CALC_EPM!S102)</f>
      </c>
      <c r="T113">
        <f>IF(CALC_EPM!$B102="","",CALC_EPM!T102)</f>
      </c>
      <c r="U113">
        <f>IF(CALC_EPM!$B102="","",CALC_EPM!U102)</f>
      </c>
    </row>
    <row r="114">
      <c r="A114" t="str">
        <f>IF(CALC_EPM!$B103="","",IF(CALC_EPM!A103="GLOBAL",IF(CALC_EPM!C103="Total","GLOBAL",IF(CALC_EPM!C103="TotalEsp","GLOBAL_ESP",IF(CALC_EPM!C103="TotalNoEsp","GLOBAL_NOESP","GLOBAL_ASIG"))),IF(CALC_EPM!C103="Total","CURSO_TOTAL",IF(CALC_EPM!C103="TotalEsp","CURSO_ESP",IF(CALC_EPM!C103="TotalNoEsp","CURSO_NOESP","CURSO_ASIG")))))</f>
      </c>
      <c r="B114" t="str">
        <f>IF(CALC_EPM!$B103="","",CALC_EPM!A103)</f>
      </c>
      <c r="C114" t="str">
        <f>IF(CALC_EPM!$B103="","",CALC_EPM!B103)</f>
      </c>
      <c r="D114">
        <f>IF(CALC_EPM!$B103="","",CALC_EPM!D103)</f>
      </c>
      <c r="E114" s="10" t="str">
        <f>IF(CALC_EPM!$B103="","",CALC_EPM!E103)</f>
      </c>
      <c r="F114" s="10" t="str">
        <f>IF(CALC_EPM!$B103="","",CALC_EPM!F103)</f>
      </c>
      <c r="G114" t="str">
        <f>IF(CALC_EPM!$B103="","",CALC_EPM!G103)</f>
      </c>
      <c r="H114" s="11" t="str">
        <f>IF(CALC_EPM!$B103="","",CALC_EPM!H103)</f>
      </c>
      <c r="I114" s="11" t="str">
        <f>IF(CALC_EPM!$B103="","",CALC_EPM!I103)</f>
      </c>
      <c r="J114" t="str">
        <f>IF(CALC_EPM!$B103="","",CALC_EPM!J103)</f>
      </c>
      <c r="K114" t="str">
        <f>IF(CALC_EPM!$B103="","",CALC_EPM!K103)</f>
      </c>
      <c r="L114">
        <f>IF(CALC_EPM!$B103="","",CALC_EPM!L103)</f>
      </c>
      <c r="M114">
        <f>IF(CALC_EPM!$B103="","",CALC_EPM!M103)</f>
      </c>
      <c r="N114">
        <f>IF(CALC_EPM!$B103="","",CALC_EPM!N103)</f>
      </c>
      <c r="O114">
        <f>IF(CALC_EPM!$B103="","",CALC_EPM!O103)</f>
      </c>
      <c r="P114">
        <f>IF(CALC_EPM!$B103="","",CALC_EPM!P103)</f>
      </c>
      <c r="Q114">
        <f>IF(CALC_EPM!$B103="","",CALC_EPM!Q103)</f>
      </c>
      <c r="R114">
        <f>IF(CALC_EPM!$B103="","",CALC_EPM!R103)</f>
      </c>
      <c r="S114">
        <f>IF(CALC_EPM!$B103="","",CALC_EPM!S103)</f>
      </c>
      <c r="T114">
        <f>IF(CALC_EPM!$B103="","",CALC_EPM!T103)</f>
      </c>
      <c r="U114">
        <f>IF(CALC_EPM!$B103="","",CALC_EPM!U103)</f>
      </c>
    </row>
    <row r="115">
      <c r="A115" t="str">
        <f>IF(CALC_EPM!$B104="","",IF(CALC_EPM!A104="GLOBAL",IF(CALC_EPM!C104="Total","GLOBAL",IF(CALC_EPM!C104="TotalEsp","GLOBAL_ESP",IF(CALC_EPM!C104="TotalNoEsp","GLOBAL_NOESP","GLOBAL_ASIG"))),IF(CALC_EPM!C104="Total","CURSO_TOTAL",IF(CALC_EPM!C104="TotalEsp","CURSO_ESP",IF(CALC_EPM!C104="TotalNoEsp","CURSO_NOESP","CURSO_ASIG")))))</f>
      </c>
      <c r="B115" t="str">
        <f>IF(CALC_EPM!$B104="","",CALC_EPM!A104)</f>
      </c>
      <c r="C115" t="str">
        <f>IF(CALC_EPM!$B104="","",CALC_EPM!B104)</f>
      </c>
      <c r="D115">
        <f>IF(CALC_EPM!$B104="","",CALC_EPM!D104)</f>
      </c>
      <c r="E115" s="10" t="str">
        <f>IF(CALC_EPM!$B104="","",CALC_EPM!E104)</f>
      </c>
      <c r="F115" s="10" t="str">
        <f>IF(CALC_EPM!$B104="","",CALC_EPM!F104)</f>
      </c>
      <c r="G115" t="str">
        <f>IF(CALC_EPM!$B104="","",CALC_EPM!G104)</f>
      </c>
      <c r="H115" s="11" t="str">
        <f>IF(CALC_EPM!$B104="","",CALC_EPM!H104)</f>
      </c>
      <c r="I115" s="11" t="str">
        <f>IF(CALC_EPM!$B104="","",CALC_EPM!I104)</f>
      </c>
      <c r="J115" t="str">
        <f>IF(CALC_EPM!$B104="","",CALC_EPM!J104)</f>
      </c>
      <c r="K115" t="str">
        <f>IF(CALC_EPM!$B104="","",CALC_EPM!K104)</f>
      </c>
      <c r="L115">
        <f>IF(CALC_EPM!$B104="","",CALC_EPM!L104)</f>
      </c>
      <c r="M115">
        <f>IF(CALC_EPM!$B104="","",CALC_EPM!M104)</f>
      </c>
      <c r="N115">
        <f>IF(CALC_EPM!$B104="","",CALC_EPM!N104)</f>
      </c>
      <c r="O115">
        <f>IF(CALC_EPM!$B104="","",CALC_EPM!O104)</f>
      </c>
      <c r="P115">
        <f>IF(CALC_EPM!$B104="","",CALC_EPM!P104)</f>
      </c>
      <c r="Q115">
        <f>IF(CALC_EPM!$B104="","",CALC_EPM!Q104)</f>
      </c>
      <c r="R115">
        <f>IF(CALC_EPM!$B104="","",CALC_EPM!R104)</f>
      </c>
      <c r="S115">
        <f>IF(CALC_EPM!$B104="","",CALC_EPM!S104)</f>
      </c>
      <c r="T115">
        <f>IF(CALC_EPM!$B104="","",CALC_EPM!T104)</f>
      </c>
      <c r="U115">
        <f>IF(CALC_EPM!$B104="","",CALC_EPM!U104)</f>
      </c>
    </row>
    <row r="116">
      <c r="A116" t="str">
        <f>IF(CALC_EPM!$B105="","",IF(CALC_EPM!A105="GLOBAL",IF(CALC_EPM!C105="Total","GLOBAL",IF(CALC_EPM!C105="TotalEsp","GLOBAL_ESP",IF(CALC_EPM!C105="TotalNoEsp","GLOBAL_NOESP","GLOBAL_ASIG"))),IF(CALC_EPM!C105="Total","CURSO_TOTAL",IF(CALC_EPM!C105="TotalEsp","CURSO_ESP",IF(CALC_EPM!C105="TotalNoEsp","CURSO_NOESP","CURSO_ASIG")))))</f>
      </c>
      <c r="B116" t="str">
        <f>IF(CALC_EPM!$B105="","",CALC_EPM!A105)</f>
      </c>
      <c r="C116" t="str">
        <f>IF(CALC_EPM!$B105="","",CALC_EPM!B105)</f>
      </c>
      <c r="D116">
        <f>IF(CALC_EPM!$B105="","",CALC_EPM!D105)</f>
      </c>
      <c r="E116" s="10" t="str">
        <f>IF(CALC_EPM!$B105="","",CALC_EPM!E105)</f>
      </c>
      <c r="F116" s="10" t="str">
        <f>IF(CALC_EPM!$B105="","",CALC_EPM!F105)</f>
      </c>
      <c r="G116" t="str">
        <f>IF(CALC_EPM!$B105="","",CALC_EPM!G105)</f>
      </c>
      <c r="H116" s="11" t="str">
        <f>IF(CALC_EPM!$B105="","",CALC_EPM!H105)</f>
      </c>
      <c r="I116" s="11" t="str">
        <f>IF(CALC_EPM!$B105="","",CALC_EPM!I105)</f>
      </c>
      <c r="J116" t="str">
        <f>IF(CALC_EPM!$B105="","",CALC_EPM!J105)</f>
      </c>
      <c r="K116" t="str">
        <f>IF(CALC_EPM!$B105="","",CALC_EPM!K105)</f>
      </c>
      <c r="L116">
        <f>IF(CALC_EPM!$B105="","",CALC_EPM!L105)</f>
      </c>
      <c r="M116">
        <f>IF(CALC_EPM!$B105="","",CALC_EPM!M105)</f>
      </c>
      <c r="N116">
        <f>IF(CALC_EPM!$B105="","",CALC_EPM!N105)</f>
      </c>
      <c r="O116">
        <f>IF(CALC_EPM!$B105="","",CALC_EPM!O105)</f>
      </c>
      <c r="P116">
        <f>IF(CALC_EPM!$B105="","",CALC_EPM!P105)</f>
      </c>
      <c r="Q116">
        <f>IF(CALC_EPM!$B105="","",CALC_EPM!Q105)</f>
      </c>
      <c r="R116">
        <f>IF(CALC_EPM!$B105="","",CALC_EPM!R105)</f>
      </c>
      <c r="S116">
        <f>IF(CALC_EPM!$B105="","",CALC_EPM!S105)</f>
      </c>
      <c r="T116">
        <f>IF(CALC_EPM!$B105="","",CALC_EPM!T105)</f>
      </c>
      <c r="U116">
        <f>IF(CALC_EPM!$B105="","",CALC_EPM!U105)</f>
      </c>
    </row>
    <row r="117">
      <c r="A117" t="str">
        <f>IF(CALC_EPM!$B106="","",IF(CALC_EPM!A106="GLOBAL",IF(CALC_EPM!C106="Total","GLOBAL",IF(CALC_EPM!C106="TotalEsp","GLOBAL_ESP",IF(CALC_EPM!C106="TotalNoEsp","GLOBAL_NOESP","GLOBAL_ASIG"))),IF(CALC_EPM!C106="Total","CURSO_TOTAL",IF(CALC_EPM!C106="TotalEsp","CURSO_ESP",IF(CALC_EPM!C106="TotalNoEsp","CURSO_NOESP","CURSO_ASIG")))))</f>
      </c>
      <c r="B117" t="str">
        <f>IF(CALC_EPM!$B106="","",CALC_EPM!A106)</f>
      </c>
      <c r="C117" t="str">
        <f>IF(CALC_EPM!$B106="","",CALC_EPM!B106)</f>
      </c>
      <c r="D117">
        <f>IF(CALC_EPM!$B106="","",CALC_EPM!D106)</f>
      </c>
      <c r="E117" s="10" t="str">
        <f>IF(CALC_EPM!$B106="","",CALC_EPM!E106)</f>
      </c>
      <c r="F117" s="10" t="str">
        <f>IF(CALC_EPM!$B106="","",CALC_EPM!F106)</f>
      </c>
      <c r="G117" t="str">
        <f>IF(CALC_EPM!$B106="","",CALC_EPM!G106)</f>
      </c>
      <c r="H117" s="11" t="str">
        <f>IF(CALC_EPM!$B106="","",CALC_EPM!H106)</f>
      </c>
      <c r="I117" s="11" t="str">
        <f>IF(CALC_EPM!$B106="","",CALC_EPM!I106)</f>
      </c>
      <c r="J117" t="str">
        <f>IF(CALC_EPM!$B106="","",CALC_EPM!J106)</f>
      </c>
      <c r="K117" t="str">
        <f>IF(CALC_EPM!$B106="","",CALC_EPM!K106)</f>
      </c>
      <c r="L117">
        <f>IF(CALC_EPM!$B106="","",CALC_EPM!L106)</f>
      </c>
      <c r="M117">
        <f>IF(CALC_EPM!$B106="","",CALC_EPM!M106)</f>
      </c>
      <c r="N117">
        <f>IF(CALC_EPM!$B106="","",CALC_EPM!N106)</f>
      </c>
      <c r="O117">
        <f>IF(CALC_EPM!$B106="","",CALC_EPM!O106)</f>
      </c>
      <c r="P117">
        <f>IF(CALC_EPM!$B106="","",CALC_EPM!P106)</f>
      </c>
      <c r="Q117">
        <f>IF(CALC_EPM!$B106="","",CALC_EPM!Q106)</f>
      </c>
      <c r="R117">
        <f>IF(CALC_EPM!$B106="","",CALC_EPM!R106)</f>
      </c>
      <c r="S117">
        <f>IF(CALC_EPM!$B106="","",CALC_EPM!S106)</f>
      </c>
      <c r="T117">
        <f>IF(CALC_EPM!$B106="","",CALC_EPM!T106)</f>
      </c>
      <c r="U117">
        <f>IF(CALC_EPM!$B106="","",CALC_EPM!U106)</f>
      </c>
    </row>
    <row r="118">
      <c r="A118" t="str">
        <f>IF(CALC_EPM!$B107="","",IF(CALC_EPM!A107="GLOBAL",IF(CALC_EPM!C107="Total","GLOBAL",IF(CALC_EPM!C107="TotalEsp","GLOBAL_ESP",IF(CALC_EPM!C107="TotalNoEsp","GLOBAL_NOESP","GLOBAL_ASIG"))),IF(CALC_EPM!C107="Total","CURSO_TOTAL",IF(CALC_EPM!C107="TotalEsp","CURSO_ESP",IF(CALC_EPM!C107="TotalNoEsp","CURSO_NOESP","CURSO_ASIG")))))</f>
      </c>
      <c r="B118" t="str">
        <f>IF(CALC_EPM!$B107="","",CALC_EPM!A107)</f>
      </c>
      <c r="C118" t="str">
        <f>IF(CALC_EPM!$B107="","",CALC_EPM!B107)</f>
      </c>
      <c r="D118">
        <f>IF(CALC_EPM!$B107="","",CALC_EPM!D107)</f>
      </c>
      <c r="E118" s="10" t="str">
        <f>IF(CALC_EPM!$B107="","",CALC_EPM!E107)</f>
      </c>
      <c r="F118" s="10" t="str">
        <f>IF(CALC_EPM!$B107="","",CALC_EPM!F107)</f>
      </c>
      <c r="G118" t="str">
        <f>IF(CALC_EPM!$B107="","",CALC_EPM!G107)</f>
      </c>
      <c r="H118" s="11" t="str">
        <f>IF(CALC_EPM!$B107="","",CALC_EPM!H107)</f>
      </c>
      <c r="I118" s="11" t="str">
        <f>IF(CALC_EPM!$B107="","",CALC_EPM!I107)</f>
      </c>
      <c r="J118" t="str">
        <f>IF(CALC_EPM!$B107="","",CALC_EPM!J107)</f>
      </c>
      <c r="K118" t="str">
        <f>IF(CALC_EPM!$B107="","",CALC_EPM!K107)</f>
      </c>
      <c r="L118">
        <f>IF(CALC_EPM!$B107="","",CALC_EPM!L107)</f>
      </c>
      <c r="M118">
        <f>IF(CALC_EPM!$B107="","",CALC_EPM!M107)</f>
      </c>
      <c r="N118">
        <f>IF(CALC_EPM!$B107="","",CALC_EPM!N107)</f>
      </c>
      <c r="O118">
        <f>IF(CALC_EPM!$B107="","",CALC_EPM!O107)</f>
      </c>
      <c r="P118">
        <f>IF(CALC_EPM!$B107="","",CALC_EPM!P107)</f>
      </c>
      <c r="Q118">
        <f>IF(CALC_EPM!$B107="","",CALC_EPM!Q107)</f>
      </c>
      <c r="R118">
        <f>IF(CALC_EPM!$B107="","",CALC_EPM!R107)</f>
      </c>
      <c r="S118">
        <f>IF(CALC_EPM!$B107="","",CALC_EPM!S107)</f>
      </c>
      <c r="T118">
        <f>IF(CALC_EPM!$B107="","",CALC_EPM!T107)</f>
      </c>
      <c r="U118">
        <f>IF(CALC_EPM!$B107="","",CALC_EPM!U107)</f>
      </c>
    </row>
    <row r="119">
      <c r="A119" t="str">
        <f>IF(CALC_EPM!$B108="","",IF(CALC_EPM!A108="GLOBAL",IF(CALC_EPM!C108="Total","GLOBAL",IF(CALC_EPM!C108="TotalEsp","GLOBAL_ESP",IF(CALC_EPM!C108="TotalNoEsp","GLOBAL_NOESP","GLOBAL_ASIG"))),IF(CALC_EPM!C108="Total","CURSO_TOTAL",IF(CALC_EPM!C108="TotalEsp","CURSO_ESP",IF(CALC_EPM!C108="TotalNoEsp","CURSO_NOESP","CURSO_ASIG")))))</f>
      </c>
      <c r="B119" t="str">
        <f>IF(CALC_EPM!$B108="","",CALC_EPM!A108)</f>
      </c>
      <c r="C119" t="str">
        <f>IF(CALC_EPM!$B108="","",CALC_EPM!B108)</f>
      </c>
      <c r="D119">
        <f>IF(CALC_EPM!$B108="","",CALC_EPM!D108)</f>
      </c>
      <c r="E119" s="10" t="str">
        <f>IF(CALC_EPM!$B108="","",CALC_EPM!E108)</f>
      </c>
      <c r="F119" s="10" t="str">
        <f>IF(CALC_EPM!$B108="","",CALC_EPM!F108)</f>
      </c>
      <c r="G119" t="str">
        <f>IF(CALC_EPM!$B108="","",CALC_EPM!G108)</f>
      </c>
      <c r="H119" s="11" t="str">
        <f>IF(CALC_EPM!$B108="","",CALC_EPM!H108)</f>
      </c>
      <c r="I119" s="11" t="str">
        <f>IF(CALC_EPM!$B108="","",CALC_EPM!I108)</f>
      </c>
      <c r="J119" t="str">
        <f>IF(CALC_EPM!$B108="","",CALC_EPM!J108)</f>
      </c>
      <c r="K119" t="str">
        <f>IF(CALC_EPM!$B108="","",CALC_EPM!K108)</f>
      </c>
      <c r="L119">
        <f>IF(CALC_EPM!$B108="","",CALC_EPM!L108)</f>
      </c>
      <c r="M119">
        <f>IF(CALC_EPM!$B108="","",CALC_EPM!M108)</f>
      </c>
      <c r="N119">
        <f>IF(CALC_EPM!$B108="","",CALC_EPM!N108)</f>
      </c>
      <c r="O119">
        <f>IF(CALC_EPM!$B108="","",CALC_EPM!O108)</f>
      </c>
      <c r="P119">
        <f>IF(CALC_EPM!$B108="","",CALC_EPM!P108)</f>
      </c>
      <c r="Q119">
        <f>IF(CALC_EPM!$B108="","",CALC_EPM!Q108)</f>
      </c>
      <c r="R119">
        <f>IF(CALC_EPM!$B108="","",CALC_EPM!R108)</f>
      </c>
      <c r="S119">
        <f>IF(CALC_EPM!$B108="","",CALC_EPM!S108)</f>
      </c>
      <c r="T119">
        <f>IF(CALC_EPM!$B108="","",CALC_EPM!T108)</f>
      </c>
      <c r="U119">
        <f>IF(CALC_EPM!$B108="","",CALC_EPM!U108)</f>
      </c>
    </row>
    <row r="120">
      <c r="A120" t="str">
        <f>IF(CALC_EPM!$B109="","",IF(CALC_EPM!A109="GLOBAL",IF(CALC_EPM!C109="Total","GLOBAL",IF(CALC_EPM!C109="TotalEsp","GLOBAL_ESP",IF(CALC_EPM!C109="TotalNoEsp","GLOBAL_NOESP","GLOBAL_ASIG"))),IF(CALC_EPM!C109="Total","CURSO_TOTAL",IF(CALC_EPM!C109="TotalEsp","CURSO_ESP",IF(CALC_EPM!C109="TotalNoEsp","CURSO_NOESP","CURSO_ASIG")))))</f>
      </c>
      <c r="B120" t="str">
        <f>IF(CALC_EPM!$B109="","",CALC_EPM!A109)</f>
      </c>
      <c r="C120" t="str">
        <f>IF(CALC_EPM!$B109="","",CALC_EPM!B109)</f>
      </c>
      <c r="D120">
        <f>IF(CALC_EPM!$B109="","",CALC_EPM!D109)</f>
      </c>
      <c r="E120" s="10" t="str">
        <f>IF(CALC_EPM!$B109="","",CALC_EPM!E109)</f>
      </c>
      <c r="F120" s="10" t="str">
        <f>IF(CALC_EPM!$B109="","",CALC_EPM!F109)</f>
      </c>
      <c r="G120" t="str">
        <f>IF(CALC_EPM!$B109="","",CALC_EPM!G109)</f>
      </c>
      <c r="H120" s="11" t="str">
        <f>IF(CALC_EPM!$B109="","",CALC_EPM!H109)</f>
      </c>
      <c r="I120" s="11" t="str">
        <f>IF(CALC_EPM!$B109="","",CALC_EPM!I109)</f>
      </c>
      <c r="J120" t="str">
        <f>IF(CALC_EPM!$B109="","",CALC_EPM!J109)</f>
      </c>
      <c r="K120" t="str">
        <f>IF(CALC_EPM!$B109="","",CALC_EPM!K109)</f>
      </c>
      <c r="L120">
        <f>IF(CALC_EPM!$B109="","",CALC_EPM!L109)</f>
      </c>
      <c r="M120">
        <f>IF(CALC_EPM!$B109="","",CALC_EPM!M109)</f>
      </c>
      <c r="N120">
        <f>IF(CALC_EPM!$B109="","",CALC_EPM!N109)</f>
      </c>
      <c r="O120">
        <f>IF(CALC_EPM!$B109="","",CALC_EPM!O109)</f>
      </c>
      <c r="P120">
        <f>IF(CALC_EPM!$B109="","",CALC_EPM!P109)</f>
      </c>
      <c r="Q120">
        <f>IF(CALC_EPM!$B109="","",CALC_EPM!Q109)</f>
      </c>
      <c r="R120">
        <f>IF(CALC_EPM!$B109="","",CALC_EPM!R109)</f>
      </c>
      <c r="S120">
        <f>IF(CALC_EPM!$B109="","",CALC_EPM!S109)</f>
      </c>
      <c r="T120">
        <f>IF(CALC_EPM!$B109="","",CALC_EPM!T109)</f>
      </c>
      <c r="U120">
        <f>IF(CALC_EPM!$B109="","",CALC_EPM!U109)</f>
      </c>
    </row>
    <row r="121">
      <c r="A121" t="str">
        <f>IF(CALC_EPM!$B110="","",IF(CALC_EPM!A110="GLOBAL",IF(CALC_EPM!C110="Total","GLOBAL",IF(CALC_EPM!C110="TotalEsp","GLOBAL_ESP",IF(CALC_EPM!C110="TotalNoEsp","GLOBAL_NOESP","GLOBAL_ASIG"))),IF(CALC_EPM!C110="Total","CURSO_TOTAL",IF(CALC_EPM!C110="TotalEsp","CURSO_ESP",IF(CALC_EPM!C110="TotalNoEsp","CURSO_NOESP","CURSO_ASIG")))))</f>
      </c>
      <c r="B121" t="str">
        <f>IF(CALC_EPM!$B110="","",CALC_EPM!A110)</f>
      </c>
      <c r="C121" t="str">
        <f>IF(CALC_EPM!$B110="","",CALC_EPM!B110)</f>
      </c>
      <c r="D121">
        <f>IF(CALC_EPM!$B110="","",CALC_EPM!D110)</f>
      </c>
      <c r="E121" s="10" t="str">
        <f>IF(CALC_EPM!$B110="","",CALC_EPM!E110)</f>
      </c>
      <c r="F121" s="10" t="str">
        <f>IF(CALC_EPM!$B110="","",CALC_EPM!F110)</f>
      </c>
      <c r="G121" t="str">
        <f>IF(CALC_EPM!$B110="","",CALC_EPM!G110)</f>
      </c>
      <c r="H121" s="11" t="str">
        <f>IF(CALC_EPM!$B110="","",CALC_EPM!H110)</f>
      </c>
      <c r="I121" s="11" t="str">
        <f>IF(CALC_EPM!$B110="","",CALC_EPM!I110)</f>
      </c>
      <c r="J121" t="str">
        <f>IF(CALC_EPM!$B110="","",CALC_EPM!J110)</f>
      </c>
      <c r="K121" t="str">
        <f>IF(CALC_EPM!$B110="","",CALC_EPM!K110)</f>
      </c>
      <c r="L121">
        <f>IF(CALC_EPM!$B110="","",CALC_EPM!L110)</f>
      </c>
      <c r="M121">
        <f>IF(CALC_EPM!$B110="","",CALC_EPM!M110)</f>
      </c>
      <c r="N121">
        <f>IF(CALC_EPM!$B110="","",CALC_EPM!N110)</f>
      </c>
      <c r="O121">
        <f>IF(CALC_EPM!$B110="","",CALC_EPM!O110)</f>
      </c>
      <c r="P121">
        <f>IF(CALC_EPM!$B110="","",CALC_EPM!P110)</f>
      </c>
      <c r="Q121">
        <f>IF(CALC_EPM!$B110="","",CALC_EPM!Q110)</f>
      </c>
      <c r="R121">
        <f>IF(CALC_EPM!$B110="","",CALC_EPM!R110)</f>
      </c>
      <c r="S121">
        <f>IF(CALC_EPM!$B110="","",CALC_EPM!S110)</f>
      </c>
      <c r="T121">
        <f>IF(CALC_EPM!$B110="","",CALC_EPM!T110)</f>
      </c>
      <c r="U121">
        <f>IF(CALC_EPM!$B110="","",CALC_EPM!U110)</f>
      </c>
    </row>
    <row r="122">
      <c r="A122" t="str">
        <f>IF(CALC_EPM!$B111="","",IF(CALC_EPM!A111="GLOBAL",IF(CALC_EPM!C111="Total","GLOBAL",IF(CALC_EPM!C111="TotalEsp","GLOBAL_ESP",IF(CALC_EPM!C111="TotalNoEsp","GLOBAL_NOESP","GLOBAL_ASIG"))),IF(CALC_EPM!C111="Total","CURSO_TOTAL",IF(CALC_EPM!C111="TotalEsp","CURSO_ESP",IF(CALC_EPM!C111="TotalNoEsp","CURSO_NOESP","CURSO_ASIG")))))</f>
      </c>
      <c r="B122" t="str">
        <f>IF(CALC_EPM!$B111="","",CALC_EPM!A111)</f>
      </c>
      <c r="C122" t="str">
        <f>IF(CALC_EPM!$B111="","",CALC_EPM!B111)</f>
      </c>
      <c r="D122">
        <f>IF(CALC_EPM!$B111="","",CALC_EPM!D111)</f>
      </c>
      <c r="E122" s="10" t="str">
        <f>IF(CALC_EPM!$B111="","",CALC_EPM!E111)</f>
      </c>
      <c r="F122" s="10" t="str">
        <f>IF(CALC_EPM!$B111="","",CALC_EPM!F111)</f>
      </c>
      <c r="G122" t="str">
        <f>IF(CALC_EPM!$B111="","",CALC_EPM!G111)</f>
      </c>
      <c r="H122" s="11" t="str">
        <f>IF(CALC_EPM!$B111="","",CALC_EPM!H111)</f>
      </c>
      <c r="I122" s="11" t="str">
        <f>IF(CALC_EPM!$B111="","",CALC_EPM!I111)</f>
      </c>
      <c r="J122" t="str">
        <f>IF(CALC_EPM!$B111="","",CALC_EPM!J111)</f>
      </c>
      <c r="K122" t="str">
        <f>IF(CALC_EPM!$B111="","",CALC_EPM!K111)</f>
      </c>
      <c r="L122">
        <f>IF(CALC_EPM!$B111="","",CALC_EPM!L111)</f>
      </c>
      <c r="M122">
        <f>IF(CALC_EPM!$B111="","",CALC_EPM!M111)</f>
      </c>
      <c r="N122">
        <f>IF(CALC_EPM!$B111="","",CALC_EPM!N111)</f>
      </c>
      <c r="O122">
        <f>IF(CALC_EPM!$B111="","",CALC_EPM!O111)</f>
      </c>
      <c r="P122">
        <f>IF(CALC_EPM!$B111="","",CALC_EPM!P111)</f>
      </c>
      <c r="Q122">
        <f>IF(CALC_EPM!$B111="","",CALC_EPM!Q111)</f>
      </c>
      <c r="R122">
        <f>IF(CALC_EPM!$B111="","",CALC_EPM!R111)</f>
      </c>
      <c r="S122">
        <f>IF(CALC_EPM!$B111="","",CALC_EPM!S111)</f>
      </c>
      <c r="T122">
        <f>IF(CALC_EPM!$B111="","",CALC_EPM!T111)</f>
      </c>
      <c r="U122">
        <f>IF(CALC_EPM!$B111="","",CALC_EPM!U111)</f>
      </c>
    </row>
    <row r="123">
      <c r="A123" t="str">
        <f>IF(CALC_EPM!$B112="","",IF(CALC_EPM!A112="GLOBAL",IF(CALC_EPM!C112="Total","GLOBAL",IF(CALC_EPM!C112="TotalEsp","GLOBAL_ESP",IF(CALC_EPM!C112="TotalNoEsp","GLOBAL_NOESP","GLOBAL_ASIG"))),IF(CALC_EPM!C112="Total","CURSO_TOTAL",IF(CALC_EPM!C112="TotalEsp","CURSO_ESP",IF(CALC_EPM!C112="TotalNoEsp","CURSO_NOESP","CURSO_ASIG")))))</f>
      </c>
      <c r="B123" t="str">
        <f>IF(CALC_EPM!$B112="","",CALC_EPM!A112)</f>
      </c>
      <c r="C123" t="str">
        <f>IF(CALC_EPM!$B112="","",CALC_EPM!B112)</f>
      </c>
      <c r="D123">
        <f>IF(CALC_EPM!$B112="","",CALC_EPM!D112)</f>
      </c>
      <c r="E123" s="10" t="str">
        <f>IF(CALC_EPM!$B112="","",CALC_EPM!E112)</f>
      </c>
      <c r="F123" s="10" t="str">
        <f>IF(CALC_EPM!$B112="","",CALC_EPM!F112)</f>
      </c>
      <c r="G123" t="str">
        <f>IF(CALC_EPM!$B112="","",CALC_EPM!G112)</f>
      </c>
      <c r="H123" s="11" t="str">
        <f>IF(CALC_EPM!$B112="","",CALC_EPM!H112)</f>
      </c>
      <c r="I123" s="11" t="str">
        <f>IF(CALC_EPM!$B112="","",CALC_EPM!I112)</f>
      </c>
      <c r="J123" t="str">
        <f>IF(CALC_EPM!$B112="","",CALC_EPM!J112)</f>
      </c>
      <c r="K123" t="str">
        <f>IF(CALC_EPM!$B112="","",CALC_EPM!K112)</f>
      </c>
      <c r="L123">
        <f>IF(CALC_EPM!$B112="","",CALC_EPM!L112)</f>
      </c>
      <c r="M123">
        <f>IF(CALC_EPM!$B112="","",CALC_EPM!M112)</f>
      </c>
      <c r="N123">
        <f>IF(CALC_EPM!$B112="","",CALC_EPM!N112)</f>
      </c>
      <c r="O123">
        <f>IF(CALC_EPM!$B112="","",CALC_EPM!O112)</f>
      </c>
      <c r="P123">
        <f>IF(CALC_EPM!$B112="","",CALC_EPM!P112)</f>
      </c>
      <c r="Q123">
        <f>IF(CALC_EPM!$B112="","",CALC_EPM!Q112)</f>
      </c>
      <c r="R123">
        <f>IF(CALC_EPM!$B112="","",CALC_EPM!R112)</f>
      </c>
      <c r="S123">
        <f>IF(CALC_EPM!$B112="","",CALC_EPM!S112)</f>
      </c>
      <c r="T123">
        <f>IF(CALC_EPM!$B112="","",CALC_EPM!T112)</f>
      </c>
      <c r="U123">
        <f>IF(CALC_EPM!$B112="","",CALC_EPM!U112)</f>
      </c>
    </row>
    <row r="124">
      <c r="A124" t="str">
        <f>IF(CALC_EPM!$B113="","",IF(CALC_EPM!A113="GLOBAL",IF(CALC_EPM!C113="Total","GLOBAL",IF(CALC_EPM!C113="TotalEsp","GLOBAL_ESP",IF(CALC_EPM!C113="TotalNoEsp","GLOBAL_NOESP","GLOBAL_ASIG"))),IF(CALC_EPM!C113="Total","CURSO_TOTAL",IF(CALC_EPM!C113="TotalEsp","CURSO_ESP",IF(CALC_EPM!C113="TotalNoEsp","CURSO_NOESP","CURSO_ASIG")))))</f>
      </c>
      <c r="B124" t="str">
        <f>IF(CALC_EPM!$B113="","",CALC_EPM!A113)</f>
      </c>
      <c r="C124" t="str">
        <f>IF(CALC_EPM!$B113="","",CALC_EPM!B113)</f>
      </c>
      <c r="D124">
        <f>IF(CALC_EPM!$B113="","",CALC_EPM!D113)</f>
      </c>
      <c r="E124" s="10" t="str">
        <f>IF(CALC_EPM!$B113="","",CALC_EPM!E113)</f>
      </c>
      <c r="F124" s="10" t="str">
        <f>IF(CALC_EPM!$B113="","",CALC_EPM!F113)</f>
      </c>
      <c r="G124" t="str">
        <f>IF(CALC_EPM!$B113="","",CALC_EPM!G113)</f>
      </c>
      <c r="H124" s="11" t="str">
        <f>IF(CALC_EPM!$B113="","",CALC_EPM!H113)</f>
      </c>
      <c r="I124" s="11" t="str">
        <f>IF(CALC_EPM!$B113="","",CALC_EPM!I113)</f>
      </c>
      <c r="J124" t="str">
        <f>IF(CALC_EPM!$B113="","",CALC_EPM!J113)</f>
      </c>
      <c r="K124" t="str">
        <f>IF(CALC_EPM!$B113="","",CALC_EPM!K113)</f>
      </c>
      <c r="L124">
        <f>IF(CALC_EPM!$B113="","",CALC_EPM!L113)</f>
      </c>
      <c r="M124">
        <f>IF(CALC_EPM!$B113="","",CALC_EPM!M113)</f>
      </c>
      <c r="N124">
        <f>IF(CALC_EPM!$B113="","",CALC_EPM!N113)</f>
      </c>
      <c r="O124">
        <f>IF(CALC_EPM!$B113="","",CALC_EPM!O113)</f>
      </c>
      <c r="P124">
        <f>IF(CALC_EPM!$B113="","",CALC_EPM!P113)</f>
      </c>
      <c r="Q124">
        <f>IF(CALC_EPM!$B113="","",CALC_EPM!Q113)</f>
      </c>
      <c r="R124">
        <f>IF(CALC_EPM!$B113="","",CALC_EPM!R113)</f>
      </c>
      <c r="S124">
        <f>IF(CALC_EPM!$B113="","",CALC_EPM!S113)</f>
      </c>
      <c r="T124">
        <f>IF(CALC_EPM!$B113="","",CALC_EPM!T113)</f>
      </c>
      <c r="U124">
        <f>IF(CALC_EPM!$B113="","",CALC_EPM!U113)</f>
      </c>
    </row>
    <row r="125">
      <c r="A125" t="str">
        <f>IF(CALC_EPM!$B114="","",IF(CALC_EPM!A114="GLOBAL",IF(CALC_EPM!C114="Total","GLOBAL",IF(CALC_EPM!C114="TotalEsp","GLOBAL_ESP",IF(CALC_EPM!C114="TotalNoEsp","GLOBAL_NOESP","GLOBAL_ASIG"))),IF(CALC_EPM!C114="Total","CURSO_TOTAL",IF(CALC_EPM!C114="TotalEsp","CURSO_ESP",IF(CALC_EPM!C114="TotalNoEsp","CURSO_NOESP","CURSO_ASIG")))))</f>
      </c>
      <c r="B125" t="str">
        <f>IF(CALC_EPM!$B114="","",CALC_EPM!A114)</f>
      </c>
      <c r="C125" t="str">
        <f>IF(CALC_EPM!$B114="","",CALC_EPM!B114)</f>
      </c>
      <c r="D125">
        <f>IF(CALC_EPM!$B114="","",CALC_EPM!D114)</f>
      </c>
      <c r="E125" s="10" t="str">
        <f>IF(CALC_EPM!$B114="","",CALC_EPM!E114)</f>
      </c>
      <c r="F125" s="10" t="str">
        <f>IF(CALC_EPM!$B114="","",CALC_EPM!F114)</f>
      </c>
      <c r="G125" t="str">
        <f>IF(CALC_EPM!$B114="","",CALC_EPM!G114)</f>
      </c>
      <c r="H125" s="11" t="str">
        <f>IF(CALC_EPM!$B114="","",CALC_EPM!H114)</f>
      </c>
      <c r="I125" s="11" t="str">
        <f>IF(CALC_EPM!$B114="","",CALC_EPM!I114)</f>
      </c>
      <c r="J125" t="str">
        <f>IF(CALC_EPM!$B114="","",CALC_EPM!J114)</f>
      </c>
      <c r="K125" t="str">
        <f>IF(CALC_EPM!$B114="","",CALC_EPM!K114)</f>
      </c>
      <c r="L125">
        <f>IF(CALC_EPM!$B114="","",CALC_EPM!L114)</f>
      </c>
      <c r="M125">
        <f>IF(CALC_EPM!$B114="","",CALC_EPM!M114)</f>
      </c>
      <c r="N125">
        <f>IF(CALC_EPM!$B114="","",CALC_EPM!N114)</f>
      </c>
      <c r="O125">
        <f>IF(CALC_EPM!$B114="","",CALC_EPM!O114)</f>
      </c>
      <c r="P125">
        <f>IF(CALC_EPM!$B114="","",CALC_EPM!P114)</f>
      </c>
      <c r="Q125">
        <f>IF(CALC_EPM!$B114="","",CALC_EPM!Q114)</f>
      </c>
      <c r="R125">
        <f>IF(CALC_EPM!$B114="","",CALC_EPM!R114)</f>
      </c>
      <c r="S125">
        <f>IF(CALC_EPM!$B114="","",CALC_EPM!S114)</f>
      </c>
      <c r="T125">
        <f>IF(CALC_EPM!$B114="","",CALC_EPM!T114)</f>
      </c>
      <c r="U125">
        <f>IF(CALC_EPM!$B114="","",CALC_EPM!U114)</f>
      </c>
    </row>
    <row r="126">
      <c r="A126" t="str">
        <f>IF(CALC_EPM!$B115="","",IF(CALC_EPM!A115="GLOBAL",IF(CALC_EPM!C115="Total","GLOBAL",IF(CALC_EPM!C115="TotalEsp","GLOBAL_ESP",IF(CALC_EPM!C115="TotalNoEsp","GLOBAL_NOESP","GLOBAL_ASIG"))),IF(CALC_EPM!C115="Total","CURSO_TOTAL",IF(CALC_EPM!C115="TotalEsp","CURSO_ESP",IF(CALC_EPM!C115="TotalNoEsp","CURSO_NOESP","CURSO_ASIG")))))</f>
      </c>
      <c r="B126" t="str">
        <f>IF(CALC_EPM!$B115="","",CALC_EPM!A115)</f>
      </c>
      <c r="C126" t="str">
        <f>IF(CALC_EPM!$B115="","",CALC_EPM!B115)</f>
      </c>
      <c r="D126">
        <f>IF(CALC_EPM!$B115="","",CALC_EPM!D115)</f>
      </c>
      <c r="E126" s="10" t="str">
        <f>IF(CALC_EPM!$B115="","",CALC_EPM!E115)</f>
      </c>
      <c r="F126" s="10" t="str">
        <f>IF(CALC_EPM!$B115="","",CALC_EPM!F115)</f>
      </c>
      <c r="G126" t="str">
        <f>IF(CALC_EPM!$B115="","",CALC_EPM!G115)</f>
      </c>
      <c r="H126" s="11" t="str">
        <f>IF(CALC_EPM!$B115="","",CALC_EPM!H115)</f>
      </c>
      <c r="I126" s="11" t="str">
        <f>IF(CALC_EPM!$B115="","",CALC_EPM!I115)</f>
      </c>
      <c r="J126" t="str">
        <f>IF(CALC_EPM!$B115="","",CALC_EPM!J115)</f>
      </c>
      <c r="K126" t="str">
        <f>IF(CALC_EPM!$B115="","",CALC_EPM!K115)</f>
      </c>
      <c r="L126">
        <f>IF(CALC_EPM!$B115="","",CALC_EPM!L115)</f>
      </c>
      <c r="M126">
        <f>IF(CALC_EPM!$B115="","",CALC_EPM!M115)</f>
      </c>
      <c r="N126">
        <f>IF(CALC_EPM!$B115="","",CALC_EPM!N115)</f>
      </c>
      <c r="O126">
        <f>IF(CALC_EPM!$B115="","",CALC_EPM!O115)</f>
      </c>
      <c r="P126">
        <f>IF(CALC_EPM!$B115="","",CALC_EPM!P115)</f>
      </c>
      <c r="Q126">
        <f>IF(CALC_EPM!$B115="","",CALC_EPM!Q115)</f>
      </c>
      <c r="R126">
        <f>IF(CALC_EPM!$B115="","",CALC_EPM!R115)</f>
      </c>
      <c r="S126">
        <f>IF(CALC_EPM!$B115="","",CALC_EPM!S115)</f>
      </c>
      <c r="T126">
        <f>IF(CALC_EPM!$B115="","",CALC_EPM!T115)</f>
      </c>
      <c r="U126">
        <f>IF(CALC_EPM!$B115="","",CALC_EPM!U115)</f>
      </c>
    </row>
    <row r="127">
      <c r="A127" t="str">
        <f>IF(CALC_EPM!$B116="","",IF(CALC_EPM!A116="GLOBAL",IF(CALC_EPM!C116="Total","GLOBAL",IF(CALC_EPM!C116="TotalEsp","GLOBAL_ESP",IF(CALC_EPM!C116="TotalNoEsp","GLOBAL_NOESP","GLOBAL_ASIG"))),IF(CALC_EPM!C116="Total","CURSO_TOTAL",IF(CALC_EPM!C116="TotalEsp","CURSO_ESP",IF(CALC_EPM!C116="TotalNoEsp","CURSO_NOESP","CURSO_ASIG")))))</f>
      </c>
      <c r="B127" t="str">
        <f>IF(CALC_EPM!$B116="","",CALC_EPM!A116)</f>
      </c>
      <c r="C127" t="str">
        <f>IF(CALC_EPM!$B116="","",CALC_EPM!B116)</f>
      </c>
      <c r="D127">
        <f>IF(CALC_EPM!$B116="","",CALC_EPM!D116)</f>
      </c>
      <c r="E127" s="10" t="str">
        <f>IF(CALC_EPM!$B116="","",CALC_EPM!E116)</f>
      </c>
      <c r="F127" s="10" t="str">
        <f>IF(CALC_EPM!$B116="","",CALC_EPM!F116)</f>
      </c>
      <c r="G127" t="str">
        <f>IF(CALC_EPM!$B116="","",CALC_EPM!G116)</f>
      </c>
      <c r="H127" s="11" t="str">
        <f>IF(CALC_EPM!$B116="","",CALC_EPM!H116)</f>
      </c>
      <c r="I127" s="11" t="str">
        <f>IF(CALC_EPM!$B116="","",CALC_EPM!I116)</f>
      </c>
      <c r="J127" t="str">
        <f>IF(CALC_EPM!$B116="","",CALC_EPM!J116)</f>
      </c>
      <c r="K127" t="str">
        <f>IF(CALC_EPM!$B116="","",CALC_EPM!K116)</f>
      </c>
      <c r="L127">
        <f>IF(CALC_EPM!$B116="","",CALC_EPM!L116)</f>
      </c>
      <c r="M127">
        <f>IF(CALC_EPM!$B116="","",CALC_EPM!M116)</f>
      </c>
      <c r="N127">
        <f>IF(CALC_EPM!$B116="","",CALC_EPM!N116)</f>
      </c>
      <c r="O127">
        <f>IF(CALC_EPM!$B116="","",CALC_EPM!O116)</f>
      </c>
      <c r="P127">
        <f>IF(CALC_EPM!$B116="","",CALC_EPM!P116)</f>
      </c>
      <c r="Q127">
        <f>IF(CALC_EPM!$B116="","",CALC_EPM!Q116)</f>
      </c>
      <c r="R127">
        <f>IF(CALC_EPM!$B116="","",CALC_EPM!R116)</f>
      </c>
      <c r="S127">
        <f>IF(CALC_EPM!$B116="","",CALC_EPM!S116)</f>
      </c>
      <c r="T127">
        <f>IF(CALC_EPM!$B116="","",CALC_EPM!T116)</f>
      </c>
      <c r="U127">
        <f>IF(CALC_EPM!$B116="","",CALC_EPM!U116)</f>
      </c>
    </row>
    <row r="128">
      <c r="A128" t="str">
        <f>IF(CALC_EPM!$B117="","",IF(CALC_EPM!A117="GLOBAL",IF(CALC_EPM!C117="Total","GLOBAL",IF(CALC_EPM!C117="TotalEsp","GLOBAL_ESP",IF(CALC_EPM!C117="TotalNoEsp","GLOBAL_NOESP","GLOBAL_ASIG"))),IF(CALC_EPM!C117="Total","CURSO_TOTAL",IF(CALC_EPM!C117="TotalEsp","CURSO_ESP",IF(CALC_EPM!C117="TotalNoEsp","CURSO_NOESP","CURSO_ASIG")))))</f>
      </c>
      <c r="B128" t="str">
        <f>IF(CALC_EPM!$B117="","",CALC_EPM!A117)</f>
      </c>
      <c r="C128" t="str">
        <f>IF(CALC_EPM!$B117="","",CALC_EPM!B117)</f>
      </c>
      <c r="D128">
        <f>IF(CALC_EPM!$B117="","",CALC_EPM!D117)</f>
      </c>
      <c r="E128" s="10" t="str">
        <f>IF(CALC_EPM!$B117="","",CALC_EPM!E117)</f>
      </c>
      <c r="F128" s="10" t="str">
        <f>IF(CALC_EPM!$B117="","",CALC_EPM!F117)</f>
      </c>
      <c r="G128" t="str">
        <f>IF(CALC_EPM!$B117="","",CALC_EPM!G117)</f>
      </c>
      <c r="H128" s="11" t="str">
        <f>IF(CALC_EPM!$B117="","",CALC_EPM!H117)</f>
      </c>
      <c r="I128" s="11" t="str">
        <f>IF(CALC_EPM!$B117="","",CALC_EPM!I117)</f>
      </c>
      <c r="J128" t="str">
        <f>IF(CALC_EPM!$B117="","",CALC_EPM!J117)</f>
      </c>
      <c r="K128" t="str">
        <f>IF(CALC_EPM!$B117="","",CALC_EPM!K117)</f>
      </c>
      <c r="L128">
        <f>IF(CALC_EPM!$B117="","",CALC_EPM!L117)</f>
      </c>
      <c r="M128">
        <f>IF(CALC_EPM!$B117="","",CALC_EPM!M117)</f>
      </c>
      <c r="N128">
        <f>IF(CALC_EPM!$B117="","",CALC_EPM!N117)</f>
      </c>
      <c r="O128">
        <f>IF(CALC_EPM!$B117="","",CALC_EPM!O117)</f>
      </c>
      <c r="P128">
        <f>IF(CALC_EPM!$B117="","",CALC_EPM!P117)</f>
      </c>
      <c r="Q128">
        <f>IF(CALC_EPM!$B117="","",CALC_EPM!Q117)</f>
      </c>
      <c r="R128">
        <f>IF(CALC_EPM!$B117="","",CALC_EPM!R117)</f>
      </c>
      <c r="S128">
        <f>IF(CALC_EPM!$B117="","",CALC_EPM!S117)</f>
      </c>
      <c r="T128">
        <f>IF(CALC_EPM!$B117="","",CALC_EPM!T117)</f>
      </c>
      <c r="U128">
        <f>IF(CALC_EPM!$B117="","",CALC_EPM!U117)</f>
      </c>
    </row>
    <row r="129">
      <c r="A129" t="str">
        <f>IF(CALC_EPM!$B118="","",IF(CALC_EPM!A118="GLOBAL",IF(CALC_EPM!C118="Total","GLOBAL",IF(CALC_EPM!C118="TotalEsp","GLOBAL_ESP",IF(CALC_EPM!C118="TotalNoEsp","GLOBAL_NOESP","GLOBAL_ASIG"))),IF(CALC_EPM!C118="Total","CURSO_TOTAL",IF(CALC_EPM!C118="TotalEsp","CURSO_ESP",IF(CALC_EPM!C118="TotalNoEsp","CURSO_NOESP","CURSO_ASIG")))))</f>
      </c>
      <c r="B129" t="str">
        <f>IF(CALC_EPM!$B118="","",CALC_EPM!A118)</f>
      </c>
      <c r="C129" t="str">
        <f>IF(CALC_EPM!$B118="","",CALC_EPM!B118)</f>
      </c>
      <c r="D129">
        <f>IF(CALC_EPM!$B118="","",CALC_EPM!D118)</f>
      </c>
      <c r="E129" s="10" t="str">
        <f>IF(CALC_EPM!$B118="","",CALC_EPM!E118)</f>
      </c>
      <c r="F129" s="10" t="str">
        <f>IF(CALC_EPM!$B118="","",CALC_EPM!F118)</f>
      </c>
      <c r="G129" t="str">
        <f>IF(CALC_EPM!$B118="","",CALC_EPM!G118)</f>
      </c>
      <c r="H129" s="11" t="str">
        <f>IF(CALC_EPM!$B118="","",CALC_EPM!H118)</f>
      </c>
      <c r="I129" s="11" t="str">
        <f>IF(CALC_EPM!$B118="","",CALC_EPM!I118)</f>
      </c>
      <c r="J129" t="str">
        <f>IF(CALC_EPM!$B118="","",CALC_EPM!J118)</f>
      </c>
      <c r="K129" t="str">
        <f>IF(CALC_EPM!$B118="","",CALC_EPM!K118)</f>
      </c>
      <c r="L129">
        <f>IF(CALC_EPM!$B118="","",CALC_EPM!L118)</f>
      </c>
      <c r="M129">
        <f>IF(CALC_EPM!$B118="","",CALC_EPM!M118)</f>
      </c>
      <c r="N129">
        <f>IF(CALC_EPM!$B118="","",CALC_EPM!N118)</f>
      </c>
      <c r="O129">
        <f>IF(CALC_EPM!$B118="","",CALC_EPM!O118)</f>
      </c>
      <c r="P129">
        <f>IF(CALC_EPM!$B118="","",CALC_EPM!P118)</f>
      </c>
      <c r="Q129">
        <f>IF(CALC_EPM!$B118="","",CALC_EPM!Q118)</f>
      </c>
      <c r="R129">
        <f>IF(CALC_EPM!$B118="","",CALC_EPM!R118)</f>
      </c>
      <c r="S129">
        <f>IF(CALC_EPM!$B118="","",CALC_EPM!S118)</f>
      </c>
      <c r="T129">
        <f>IF(CALC_EPM!$B118="","",CALC_EPM!T118)</f>
      </c>
      <c r="U129">
        <f>IF(CALC_EPM!$B118="","",CALC_EPM!U118)</f>
      </c>
    </row>
    <row r="130">
      <c r="A130" t="str">
        <f>IF(CALC_EPM!$B119="","",IF(CALC_EPM!A119="GLOBAL",IF(CALC_EPM!C119="Total","GLOBAL",IF(CALC_EPM!C119="TotalEsp","GLOBAL_ESP",IF(CALC_EPM!C119="TotalNoEsp","GLOBAL_NOESP","GLOBAL_ASIG"))),IF(CALC_EPM!C119="Total","CURSO_TOTAL",IF(CALC_EPM!C119="TotalEsp","CURSO_ESP",IF(CALC_EPM!C119="TotalNoEsp","CURSO_NOESP","CURSO_ASIG")))))</f>
      </c>
      <c r="B130" t="str">
        <f>IF(CALC_EPM!$B119="","",CALC_EPM!A119)</f>
      </c>
      <c r="C130" t="str">
        <f>IF(CALC_EPM!$B119="","",CALC_EPM!B119)</f>
      </c>
      <c r="D130">
        <f>IF(CALC_EPM!$B119="","",CALC_EPM!D119)</f>
      </c>
      <c r="E130" s="10" t="str">
        <f>IF(CALC_EPM!$B119="","",CALC_EPM!E119)</f>
      </c>
      <c r="F130" s="10" t="str">
        <f>IF(CALC_EPM!$B119="","",CALC_EPM!F119)</f>
      </c>
      <c r="G130" t="str">
        <f>IF(CALC_EPM!$B119="","",CALC_EPM!G119)</f>
      </c>
      <c r="H130" s="11" t="str">
        <f>IF(CALC_EPM!$B119="","",CALC_EPM!H119)</f>
      </c>
      <c r="I130" s="11" t="str">
        <f>IF(CALC_EPM!$B119="","",CALC_EPM!I119)</f>
      </c>
      <c r="J130" t="str">
        <f>IF(CALC_EPM!$B119="","",CALC_EPM!J119)</f>
      </c>
      <c r="K130" t="str">
        <f>IF(CALC_EPM!$B119="","",CALC_EPM!K119)</f>
      </c>
      <c r="L130">
        <f>IF(CALC_EPM!$B119="","",CALC_EPM!L119)</f>
      </c>
      <c r="M130">
        <f>IF(CALC_EPM!$B119="","",CALC_EPM!M119)</f>
      </c>
      <c r="N130">
        <f>IF(CALC_EPM!$B119="","",CALC_EPM!N119)</f>
      </c>
      <c r="O130">
        <f>IF(CALC_EPM!$B119="","",CALC_EPM!O119)</f>
      </c>
      <c r="P130">
        <f>IF(CALC_EPM!$B119="","",CALC_EPM!P119)</f>
      </c>
      <c r="Q130">
        <f>IF(CALC_EPM!$B119="","",CALC_EPM!Q119)</f>
      </c>
      <c r="R130">
        <f>IF(CALC_EPM!$B119="","",CALC_EPM!R119)</f>
      </c>
      <c r="S130">
        <f>IF(CALC_EPM!$B119="","",CALC_EPM!S119)</f>
      </c>
      <c r="T130">
        <f>IF(CALC_EPM!$B119="","",CALC_EPM!T119)</f>
      </c>
      <c r="U130">
        <f>IF(CALC_EPM!$B119="","",CALC_EPM!U119)</f>
      </c>
    </row>
    <row r="131">
      <c r="A131" t="str">
        <f>IF(CALC_EPM!$B120="","",IF(CALC_EPM!A120="GLOBAL",IF(CALC_EPM!C120="Total","GLOBAL",IF(CALC_EPM!C120="TotalEsp","GLOBAL_ESP",IF(CALC_EPM!C120="TotalNoEsp","GLOBAL_NOESP","GLOBAL_ASIG"))),IF(CALC_EPM!C120="Total","CURSO_TOTAL",IF(CALC_EPM!C120="TotalEsp","CURSO_ESP",IF(CALC_EPM!C120="TotalNoEsp","CURSO_NOESP","CURSO_ASIG")))))</f>
      </c>
      <c r="B131" t="str">
        <f>IF(CALC_EPM!$B120="","",CALC_EPM!A120)</f>
      </c>
      <c r="C131" t="str">
        <f>IF(CALC_EPM!$B120="","",CALC_EPM!B120)</f>
      </c>
      <c r="D131">
        <f>IF(CALC_EPM!$B120="","",CALC_EPM!D120)</f>
      </c>
      <c r="E131" s="10" t="str">
        <f>IF(CALC_EPM!$B120="","",CALC_EPM!E120)</f>
      </c>
      <c r="F131" s="10" t="str">
        <f>IF(CALC_EPM!$B120="","",CALC_EPM!F120)</f>
      </c>
      <c r="G131" t="str">
        <f>IF(CALC_EPM!$B120="","",CALC_EPM!G120)</f>
      </c>
      <c r="H131" s="11" t="str">
        <f>IF(CALC_EPM!$B120="","",CALC_EPM!H120)</f>
      </c>
      <c r="I131" s="11" t="str">
        <f>IF(CALC_EPM!$B120="","",CALC_EPM!I120)</f>
      </c>
      <c r="J131" t="str">
        <f>IF(CALC_EPM!$B120="","",CALC_EPM!J120)</f>
      </c>
      <c r="K131" t="str">
        <f>IF(CALC_EPM!$B120="","",CALC_EPM!K120)</f>
      </c>
      <c r="L131">
        <f>IF(CALC_EPM!$B120="","",CALC_EPM!L120)</f>
      </c>
      <c r="M131">
        <f>IF(CALC_EPM!$B120="","",CALC_EPM!M120)</f>
      </c>
      <c r="N131">
        <f>IF(CALC_EPM!$B120="","",CALC_EPM!N120)</f>
      </c>
      <c r="O131">
        <f>IF(CALC_EPM!$B120="","",CALC_EPM!O120)</f>
      </c>
      <c r="P131">
        <f>IF(CALC_EPM!$B120="","",CALC_EPM!P120)</f>
      </c>
      <c r="Q131">
        <f>IF(CALC_EPM!$B120="","",CALC_EPM!Q120)</f>
      </c>
      <c r="R131">
        <f>IF(CALC_EPM!$B120="","",CALC_EPM!R120)</f>
      </c>
      <c r="S131">
        <f>IF(CALC_EPM!$B120="","",CALC_EPM!S120)</f>
      </c>
      <c r="T131">
        <f>IF(CALC_EPM!$B120="","",CALC_EPM!T120)</f>
      </c>
      <c r="U131">
        <f>IF(CALC_EPM!$B120="","",CALC_EPM!U120)</f>
      </c>
    </row>
    <row r="132">
      <c r="A132" t="str">
        <f>IF(CALC_EPM!$B121="","",IF(CALC_EPM!A121="GLOBAL",IF(CALC_EPM!C121="Total","GLOBAL",IF(CALC_EPM!C121="TotalEsp","GLOBAL_ESP",IF(CALC_EPM!C121="TotalNoEsp","GLOBAL_NOESP","GLOBAL_ASIG"))),IF(CALC_EPM!C121="Total","CURSO_TOTAL",IF(CALC_EPM!C121="TotalEsp","CURSO_ESP",IF(CALC_EPM!C121="TotalNoEsp","CURSO_NOESP","CURSO_ASIG")))))</f>
      </c>
      <c r="B132" t="str">
        <f>IF(CALC_EPM!$B121="","",CALC_EPM!A121)</f>
      </c>
      <c r="C132" t="str">
        <f>IF(CALC_EPM!$B121="","",CALC_EPM!B121)</f>
      </c>
      <c r="D132">
        <f>IF(CALC_EPM!$B121="","",CALC_EPM!D121)</f>
      </c>
      <c r="E132" s="10" t="str">
        <f>IF(CALC_EPM!$B121="","",CALC_EPM!E121)</f>
      </c>
      <c r="F132" s="10" t="str">
        <f>IF(CALC_EPM!$B121="","",CALC_EPM!F121)</f>
      </c>
      <c r="G132" t="str">
        <f>IF(CALC_EPM!$B121="","",CALC_EPM!G121)</f>
      </c>
      <c r="H132" s="11" t="str">
        <f>IF(CALC_EPM!$B121="","",CALC_EPM!H121)</f>
      </c>
      <c r="I132" s="11" t="str">
        <f>IF(CALC_EPM!$B121="","",CALC_EPM!I121)</f>
      </c>
      <c r="J132" t="str">
        <f>IF(CALC_EPM!$B121="","",CALC_EPM!J121)</f>
      </c>
      <c r="K132" t="str">
        <f>IF(CALC_EPM!$B121="","",CALC_EPM!K121)</f>
      </c>
      <c r="L132">
        <f>IF(CALC_EPM!$B121="","",CALC_EPM!L121)</f>
      </c>
      <c r="M132">
        <f>IF(CALC_EPM!$B121="","",CALC_EPM!M121)</f>
      </c>
      <c r="N132">
        <f>IF(CALC_EPM!$B121="","",CALC_EPM!N121)</f>
      </c>
      <c r="O132">
        <f>IF(CALC_EPM!$B121="","",CALC_EPM!O121)</f>
      </c>
      <c r="P132">
        <f>IF(CALC_EPM!$B121="","",CALC_EPM!P121)</f>
      </c>
      <c r="Q132">
        <f>IF(CALC_EPM!$B121="","",CALC_EPM!Q121)</f>
      </c>
      <c r="R132">
        <f>IF(CALC_EPM!$B121="","",CALC_EPM!R121)</f>
      </c>
      <c r="S132">
        <f>IF(CALC_EPM!$B121="","",CALC_EPM!S121)</f>
      </c>
      <c r="T132">
        <f>IF(CALC_EPM!$B121="","",CALC_EPM!T121)</f>
      </c>
      <c r="U132">
        <f>IF(CALC_EPM!$B121="","",CALC_EPM!U121)</f>
      </c>
    </row>
    <row r="133">
      <c r="A133" t="str">
        <f>IF(CALC_EPM!$B122="","",IF(CALC_EPM!A122="GLOBAL",IF(CALC_EPM!C122="Total","GLOBAL",IF(CALC_EPM!C122="TotalEsp","GLOBAL_ESP",IF(CALC_EPM!C122="TotalNoEsp","GLOBAL_NOESP","GLOBAL_ASIG"))),IF(CALC_EPM!C122="Total","CURSO_TOTAL",IF(CALC_EPM!C122="TotalEsp","CURSO_ESP",IF(CALC_EPM!C122="TotalNoEsp","CURSO_NOESP","CURSO_ASIG")))))</f>
      </c>
      <c r="B133" t="str">
        <f>IF(CALC_EPM!$B122="","",CALC_EPM!A122)</f>
      </c>
      <c r="C133" t="str">
        <f>IF(CALC_EPM!$B122="","",CALC_EPM!B122)</f>
      </c>
      <c r="D133">
        <f>IF(CALC_EPM!$B122="","",CALC_EPM!D122)</f>
      </c>
      <c r="E133" s="10" t="str">
        <f>IF(CALC_EPM!$B122="","",CALC_EPM!E122)</f>
      </c>
      <c r="F133" s="10" t="str">
        <f>IF(CALC_EPM!$B122="","",CALC_EPM!F122)</f>
      </c>
      <c r="G133" t="str">
        <f>IF(CALC_EPM!$B122="","",CALC_EPM!G122)</f>
      </c>
      <c r="H133" s="11" t="str">
        <f>IF(CALC_EPM!$B122="","",CALC_EPM!H122)</f>
      </c>
      <c r="I133" s="11" t="str">
        <f>IF(CALC_EPM!$B122="","",CALC_EPM!I122)</f>
      </c>
      <c r="J133" t="str">
        <f>IF(CALC_EPM!$B122="","",CALC_EPM!J122)</f>
      </c>
      <c r="K133" t="str">
        <f>IF(CALC_EPM!$B122="","",CALC_EPM!K122)</f>
      </c>
      <c r="L133">
        <f>IF(CALC_EPM!$B122="","",CALC_EPM!L122)</f>
      </c>
      <c r="M133">
        <f>IF(CALC_EPM!$B122="","",CALC_EPM!M122)</f>
      </c>
      <c r="N133">
        <f>IF(CALC_EPM!$B122="","",CALC_EPM!N122)</f>
      </c>
      <c r="O133">
        <f>IF(CALC_EPM!$B122="","",CALC_EPM!O122)</f>
      </c>
      <c r="P133">
        <f>IF(CALC_EPM!$B122="","",CALC_EPM!P122)</f>
      </c>
      <c r="Q133">
        <f>IF(CALC_EPM!$B122="","",CALC_EPM!Q122)</f>
      </c>
      <c r="R133">
        <f>IF(CALC_EPM!$B122="","",CALC_EPM!R122)</f>
      </c>
      <c r="S133">
        <f>IF(CALC_EPM!$B122="","",CALC_EPM!S122)</f>
      </c>
      <c r="T133">
        <f>IF(CALC_EPM!$B122="","",CALC_EPM!T122)</f>
      </c>
      <c r="U133">
        <f>IF(CALC_EPM!$B122="","",CALC_EPM!U122)</f>
      </c>
    </row>
    <row r="134">
      <c r="A134" t="str">
        <f>IF(CALC_EPM!$B123="","",IF(CALC_EPM!A123="GLOBAL",IF(CALC_EPM!C123="Total","GLOBAL",IF(CALC_EPM!C123="TotalEsp","GLOBAL_ESP",IF(CALC_EPM!C123="TotalNoEsp","GLOBAL_NOESP","GLOBAL_ASIG"))),IF(CALC_EPM!C123="Total","CURSO_TOTAL",IF(CALC_EPM!C123="TotalEsp","CURSO_ESP",IF(CALC_EPM!C123="TotalNoEsp","CURSO_NOESP","CURSO_ASIG")))))</f>
      </c>
      <c r="B134" t="str">
        <f>IF(CALC_EPM!$B123="","",CALC_EPM!A123)</f>
      </c>
      <c r="C134" t="str">
        <f>IF(CALC_EPM!$B123="","",CALC_EPM!B123)</f>
      </c>
      <c r="D134">
        <f>IF(CALC_EPM!$B123="","",CALC_EPM!D123)</f>
      </c>
      <c r="E134" s="10" t="str">
        <f>IF(CALC_EPM!$B123="","",CALC_EPM!E123)</f>
      </c>
      <c r="F134" s="10" t="str">
        <f>IF(CALC_EPM!$B123="","",CALC_EPM!F123)</f>
      </c>
      <c r="G134" t="str">
        <f>IF(CALC_EPM!$B123="","",CALC_EPM!G123)</f>
      </c>
      <c r="H134" s="11" t="str">
        <f>IF(CALC_EPM!$B123="","",CALC_EPM!H123)</f>
      </c>
      <c r="I134" s="11" t="str">
        <f>IF(CALC_EPM!$B123="","",CALC_EPM!I123)</f>
      </c>
      <c r="J134" t="str">
        <f>IF(CALC_EPM!$B123="","",CALC_EPM!J123)</f>
      </c>
      <c r="K134" t="str">
        <f>IF(CALC_EPM!$B123="","",CALC_EPM!K123)</f>
      </c>
      <c r="L134">
        <f>IF(CALC_EPM!$B123="","",CALC_EPM!L123)</f>
      </c>
      <c r="M134">
        <f>IF(CALC_EPM!$B123="","",CALC_EPM!M123)</f>
      </c>
      <c r="N134">
        <f>IF(CALC_EPM!$B123="","",CALC_EPM!N123)</f>
      </c>
      <c r="O134">
        <f>IF(CALC_EPM!$B123="","",CALC_EPM!O123)</f>
      </c>
      <c r="P134">
        <f>IF(CALC_EPM!$B123="","",CALC_EPM!P123)</f>
      </c>
      <c r="Q134">
        <f>IF(CALC_EPM!$B123="","",CALC_EPM!Q123)</f>
      </c>
      <c r="R134">
        <f>IF(CALC_EPM!$B123="","",CALC_EPM!R123)</f>
      </c>
      <c r="S134">
        <f>IF(CALC_EPM!$B123="","",CALC_EPM!S123)</f>
      </c>
      <c r="T134">
        <f>IF(CALC_EPM!$B123="","",CALC_EPM!T123)</f>
      </c>
      <c r="U134">
        <f>IF(CALC_EPM!$B123="","",CALC_EPM!U123)</f>
      </c>
    </row>
    <row r="135">
      <c r="A135" t="str">
        <f>IF(CALC_EPM!$B124="","",IF(CALC_EPM!A124="GLOBAL",IF(CALC_EPM!C124="Total","GLOBAL",IF(CALC_EPM!C124="TotalEsp","GLOBAL_ESP",IF(CALC_EPM!C124="TotalNoEsp","GLOBAL_NOESP","GLOBAL_ASIG"))),IF(CALC_EPM!C124="Total","CURSO_TOTAL",IF(CALC_EPM!C124="TotalEsp","CURSO_ESP",IF(CALC_EPM!C124="TotalNoEsp","CURSO_NOESP","CURSO_ASIG")))))</f>
      </c>
      <c r="B135" t="str">
        <f>IF(CALC_EPM!$B124="","",CALC_EPM!A124)</f>
      </c>
      <c r="C135" t="str">
        <f>IF(CALC_EPM!$B124="","",CALC_EPM!B124)</f>
      </c>
      <c r="D135">
        <f>IF(CALC_EPM!$B124="","",CALC_EPM!D124)</f>
      </c>
      <c r="E135" s="10" t="str">
        <f>IF(CALC_EPM!$B124="","",CALC_EPM!E124)</f>
      </c>
      <c r="F135" s="10" t="str">
        <f>IF(CALC_EPM!$B124="","",CALC_EPM!F124)</f>
      </c>
      <c r="G135" t="str">
        <f>IF(CALC_EPM!$B124="","",CALC_EPM!G124)</f>
      </c>
      <c r="H135" s="11" t="str">
        <f>IF(CALC_EPM!$B124="","",CALC_EPM!H124)</f>
      </c>
      <c r="I135" s="11" t="str">
        <f>IF(CALC_EPM!$B124="","",CALC_EPM!I124)</f>
      </c>
      <c r="J135" t="str">
        <f>IF(CALC_EPM!$B124="","",CALC_EPM!J124)</f>
      </c>
      <c r="K135" t="str">
        <f>IF(CALC_EPM!$B124="","",CALC_EPM!K124)</f>
      </c>
      <c r="L135">
        <f>IF(CALC_EPM!$B124="","",CALC_EPM!L124)</f>
      </c>
      <c r="M135">
        <f>IF(CALC_EPM!$B124="","",CALC_EPM!M124)</f>
      </c>
      <c r="N135">
        <f>IF(CALC_EPM!$B124="","",CALC_EPM!N124)</f>
      </c>
      <c r="O135">
        <f>IF(CALC_EPM!$B124="","",CALC_EPM!O124)</f>
      </c>
      <c r="P135">
        <f>IF(CALC_EPM!$B124="","",CALC_EPM!P124)</f>
      </c>
      <c r="Q135">
        <f>IF(CALC_EPM!$B124="","",CALC_EPM!Q124)</f>
      </c>
      <c r="R135">
        <f>IF(CALC_EPM!$B124="","",CALC_EPM!R124)</f>
      </c>
      <c r="S135">
        <f>IF(CALC_EPM!$B124="","",CALC_EPM!S124)</f>
      </c>
      <c r="T135">
        <f>IF(CALC_EPM!$B124="","",CALC_EPM!T124)</f>
      </c>
      <c r="U135">
        <f>IF(CALC_EPM!$B124="","",CALC_EPM!U124)</f>
      </c>
    </row>
    <row r="136">
      <c r="A136" t="str">
        <f>IF(CALC_EPM!$B125="","",IF(CALC_EPM!A125="GLOBAL",IF(CALC_EPM!C125="Total","GLOBAL",IF(CALC_EPM!C125="TotalEsp","GLOBAL_ESP",IF(CALC_EPM!C125="TotalNoEsp","GLOBAL_NOESP","GLOBAL_ASIG"))),IF(CALC_EPM!C125="Total","CURSO_TOTAL",IF(CALC_EPM!C125="TotalEsp","CURSO_ESP",IF(CALC_EPM!C125="TotalNoEsp","CURSO_NOESP","CURSO_ASIG")))))</f>
      </c>
      <c r="B136" t="str">
        <f>IF(CALC_EPM!$B125="","",CALC_EPM!A125)</f>
      </c>
      <c r="C136" t="str">
        <f>IF(CALC_EPM!$B125="","",CALC_EPM!B125)</f>
      </c>
      <c r="D136">
        <f>IF(CALC_EPM!$B125="","",CALC_EPM!D125)</f>
      </c>
      <c r="E136" s="10" t="str">
        <f>IF(CALC_EPM!$B125="","",CALC_EPM!E125)</f>
      </c>
      <c r="F136" s="10" t="str">
        <f>IF(CALC_EPM!$B125="","",CALC_EPM!F125)</f>
      </c>
      <c r="G136" t="str">
        <f>IF(CALC_EPM!$B125="","",CALC_EPM!G125)</f>
      </c>
      <c r="H136" s="11" t="str">
        <f>IF(CALC_EPM!$B125="","",CALC_EPM!H125)</f>
      </c>
      <c r="I136" s="11" t="str">
        <f>IF(CALC_EPM!$B125="","",CALC_EPM!I125)</f>
      </c>
      <c r="J136" t="str">
        <f>IF(CALC_EPM!$B125="","",CALC_EPM!J125)</f>
      </c>
      <c r="K136" t="str">
        <f>IF(CALC_EPM!$B125="","",CALC_EPM!K125)</f>
      </c>
      <c r="L136">
        <f>IF(CALC_EPM!$B125="","",CALC_EPM!L125)</f>
      </c>
      <c r="M136">
        <f>IF(CALC_EPM!$B125="","",CALC_EPM!M125)</f>
      </c>
      <c r="N136">
        <f>IF(CALC_EPM!$B125="","",CALC_EPM!N125)</f>
      </c>
      <c r="O136">
        <f>IF(CALC_EPM!$B125="","",CALC_EPM!O125)</f>
      </c>
      <c r="P136">
        <f>IF(CALC_EPM!$B125="","",CALC_EPM!P125)</f>
      </c>
      <c r="Q136">
        <f>IF(CALC_EPM!$B125="","",CALC_EPM!Q125)</f>
      </c>
      <c r="R136">
        <f>IF(CALC_EPM!$B125="","",CALC_EPM!R125)</f>
      </c>
      <c r="S136">
        <f>IF(CALC_EPM!$B125="","",CALC_EPM!S125)</f>
      </c>
      <c r="T136">
        <f>IF(CALC_EPM!$B125="","",CALC_EPM!T125)</f>
      </c>
      <c r="U136">
        <f>IF(CALC_EPM!$B125="","",CALC_EPM!U125)</f>
      </c>
    </row>
    <row r="137">
      <c r="A137" t="str">
        <f>IF(CALC_EPM!$B126="","",IF(CALC_EPM!A126="GLOBAL",IF(CALC_EPM!C126="Total","GLOBAL",IF(CALC_EPM!C126="TotalEsp","GLOBAL_ESP",IF(CALC_EPM!C126="TotalNoEsp","GLOBAL_NOESP","GLOBAL_ASIG"))),IF(CALC_EPM!C126="Total","CURSO_TOTAL",IF(CALC_EPM!C126="TotalEsp","CURSO_ESP",IF(CALC_EPM!C126="TotalNoEsp","CURSO_NOESP","CURSO_ASIG")))))</f>
      </c>
      <c r="B137" t="str">
        <f>IF(CALC_EPM!$B126="","",CALC_EPM!A126)</f>
      </c>
      <c r="C137" t="str">
        <f>IF(CALC_EPM!$B126="","",CALC_EPM!B126)</f>
      </c>
      <c r="D137">
        <f>IF(CALC_EPM!$B126="","",CALC_EPM!D126)</f>
      </c>
      <c r="E137" s="10" t="str">
        <f>IF(CALC_EPM!$B126="","",CALC_EPM!E126)</f>
      </c>
      <c r="F137" s="10" t="str">
        <f>IF(CALC_EPM!$B126="","",CALC_EPM!F126)</f>
      </c>
      <c r="G137" t="str">
        <f>IF(CALC_EPM!$B126="","",CALC_EPM!G126)</f>
      </c>
      <c r="H137" s="11" t="str">
        <f>IF(CALC_EPM!$B126="","",CALC_EPM!H126)</f>
      </c>
      <c r="I137" s="11" t="str">
        <f>IF(CALC_EPM!$B126="","",CALC_EPM!I126)</f>
      </c>
      <c r="J137" t="str">
        <f>IF(CALC_EPM!$B126="","",CALC_EPM!J126)</f>
      </c>
      <c r="K137" t="str">
        <f>IF(CALC_EPM!$B126="","",CALC_EPM!K126)</f>
      </c>
      <c r="L137">
        <f>IF(CALC_EPM!$B126="","",CALC_EPM!L126)</f>
      </c>
      <c r="M137">
        <f>IF(CALC_EPM!$B126="","",CALC_EPM!M126)</f>
      </c>
      <c r="N137">
        <f>IF(CALC_EPM!$B126="","",CALC_EPM!N126)</f>
      </c>
      <c r="O137">
        <f>IF(CALC_EPM!$B126="","",CALC_EPM!O126)</f>
      </c>
      <c r="P137">
        <f>IF(CALC_EPM!$B126="","",CALC_EPM!P126)</f>
      </c>
      <c r="Q137">
        <f>IF(CALC_EPM!$B126="","",CALC_EPM!Q126)</f>
      </c>
      <c r="R137">
        <f>IF(CALC_EPM!$B126="","",CALC_EPM!R126)</f>
      </c>
      <c r="S137">
        <f>IF(CALC_EPM!$B126="","",CALC_EPM!S126)</f>
      </c>
      <c r="T137">
        <f>IF(CALC_EPM!$B126="","",CALC_EPM!T126)</f>
      </c>
      <c r="U137">
        <f>IF(CALC_EPM!$B126="","",CALC_EPM!U126)</f>
      </c>
    </row>
    <row r="138">
      <c r="A138" t="str">
        <f>IF(CALC_EPM!$B127="","",IF(CALC_EPM!A127="GLOBAL",IF(CALC_EPM!C127="Total","GLOBAL",IF(CALC_EPM!C127="TotalEsp","GLOBAL_ESP",IF(CALC_EPM!C127="TotalNoEsp","GLOBAL_NOESP","GLOBAL_ASIG"))),IF(CALC_EPM!C127="Total","CURSO_TOTAL",IF(CALC_EPM!C127="TotalEsp","CURSO_ESP",IF(CALC_EPM!C127="TotalNoEsp","CURSO_NOESP","CURSO_ASIG")))))</f>
      </c>
      <c r="B138" t="str">
        <f>IF(CALC_EPM!$B127="","",CALC_EPM!A127)</f>
      </c>
      <c r="C138" t="str">
        <f>IF(CALC_EPM!$B127="","",CALC_EPM!B127)</f>
      </c>
      <c r="D138">
        <f>IF(CALC_EPM!$B127="","",CALC_EPM!D127)</f>
      </c>
      <c r="E138" s="10" t="str">
        <f>IF(CALC_EPM!$B127="","",CALC_EPM!E127)</f>
      </c>
      <c r="F138" s="10" t="str">
        <f>IF(CALC_EPM!$B127="","",CALC_EPM!F127)</f>
      </c>
      <c r="G138" t="str">
        <f>IF(CALC_EPM!$B127="","",CALC_EPM!G127)</f>
      </c>
      <c r="H138" s="11" t="str">
        <f>IF(CALC_EPM!$B127="","",CALC_EPM!H127)</f>
      </c>
      <c r="I138" s="11" t="str">
        <f>IF(CALC_EPM!$B127="","",CALC_EPM!I127)</f>
      </c>
      <c r="J138" t="str">
        <f>IF(CALC_EPM!$B127="","",CALC_EPM!J127)</f>
      </c>
      <c r="K138" t="str">
        <f>IF(CALC_EPM!$B127="","",CALC_EPM!K127)</f>
      </c>
      <c r="L138">
        <f>IF(CALC_EPM!$B127="","",CALC_EPM!L127)</f>
      </c>
      <c r="M138">
        <f>IF(CALC_EPM!$B127="","",CALC_EPM!M127)</f>
      </c>
      <c r="N138">
        <f>IF(CALC_EPM!$B127="","",CALC_EPM!N127)</f>
      </c>
      <c r="O138">
        <f>IF(CALC_EPM!$B127="","",CALC_EPM!O127)</f>
      </c>
      <c r="P138">
        <f>IF(CALC_EPM!$B127="","",CALC_EPM!P127)</f>
      </c>
      <c r="Q138">
        <f>IF(CALC_EPM!$B127="","",CALC_EPM!Q127)</f>
      </c>
      <c r="R138">
        <f>IF(CALC_EPM!$B127="","",CALC_EPM!R127)</f>
      </c>
      <c r="S138">
        <f>IF(CALC_EPM!$B127="","",CALC_EPM!S127)</f>
      </c>
      <c r="T138">
        <f>IF(CALC_EPM!$B127="","",CALC_EPM!T127)</f>
      </c>
      <c r="U138">
        <f>IF(CALC_EPM!$B127="","",CALC_EPM!U127)</f>
      </c>
    </row>
    <row r="139">
      <c r="A139" t="str">
        <f>IF(CALC_EPM!$B128="","",IF(CALC_EPM!A128="GLOBAL",IF(CALC_EPM!C128="Total","GLOBAL",IF(CALC_EPM!C128="TotalEsp","GLOBAL_ESP",IF(CALC_EPM!C128="TotalNoEsp","GLOBAL_NOESP","GLOBAL_ASIG"))),IF(CALC_EPM!C128="Total","CURSO_TOTAL",IF(CALC_EPM!C128="TotalEsp","CURSO_ESP",IF(CALC_EPM!C128="TotalNoEsp","CURSO_NOESP","CURSO_ASIG")))))</f>
      </c>
      <c r="B139" t="str">
        <f>IF(CALC_EPM!$B128="","",CALC_EPM!A128)</f>
      </c>
      <c r="C139" t="str">
        <f>IF(CALC_EPM!$B128="","",CALC_EPM!B128)</f>
      </c>
      <c r="D139">
        <f>IF(CALC_EPM!$B128="","",CALC_EPM!D128)</f>
      </c>
      <c r="E139" s="10" t="str">
        <f>IF(CALC_EPM!$B128="","",CALC_EPM!E128)</f>
      </c>
      <c r="F139" s="10" t="str">
        <f>IF(CALC_EPM!$B128="","",CALC_EPM!F128)</f>
      </c>
      <c r="G139" t="str">
        <f>IF(CALC_EPM!$B128="","",CALC_EPM!G128)</f>
      </c>
      <c r="H139" s="11" t="str">
        <f>IF(CALC_EPM!$B128="","",CALC_EPM!H128)</f>
      </c>
      <c r="I139" s="11" t="str">
        <f>IF(CALC_EPM!$B128="","",CALC_EPM!I128)</f>
      </c>
      <c r="J139" t="str">
        <f>IF(CALC_EPM!$B128="","",CALC_EPM!J128)</f>
      </c>
      <c r="K139" t="str">
        <f>IF(CALC_EPM!$B128="","",CALC_EPM!K128)</f>
      </c>
      <c r="L139">
        <f>IF(CALC_EPM!$B128="","",CALC_EPM!L128)</f>
      </c>
      <c r="M139">
        <f>IF(CALC_EPM!$B128="","",CALC_EPM!M128)</f>
      </c>
      <c r="N139">
        <f>IF(CALC_EPM!$B128="","",CALC_EPM!N128)</f>
      </c>
      <c r="O139">
        <f>IF(CALC_EPM!$B128="","",CALC_EPM!O128)</f>
      </c>
      <c r="P139">
        <f>IF(CALC_EPM!$B128="","",CALC_EPM!P128)</f>
      </c>
      <c r="Q139">
        <f>IF(CALC_EPM!$B128="","",CALC_EPM!Q128)</f>
      </c>
      <c r="R139">
        <f>IF(CALC_EPM!$B128="","",CALC_EPM!R128)</f>
      </c>
      <c r="S139">
        <f>IF(CALC_EPM!$B128="","",CALC_EPM!S128)</f>
      </c>
      <c r="T139">
        <f>IF(CALC_EPM!$B128="","",CALC_EPM!T128)</f>
      </c>
      <c r="U139">
        <f>IF(CALC_EPM!$B128="","",CALC_EPM!U128)</f>
      </c>
    </row>
    <row r="140">
      <c r="A140" t="str">
        <f>IF(CALC_EPM!$B129="","",IF(CALC_EPM!A129="GLOBAL",IF(CALC_EPM!C129="Total","GLOBAL",IF(CALC_EPM!C129="TotalEsp","GLOBAL_ESP",IF(CALC_EPM!C129="TotalNoEsp","GLOBAL_NOESP","GLOBAL_ASIG"))),IF(CALC_EPM!C129="Total","CURSO_TOTAL",IF(CALC_EPM!C129="TotalEsp","CURSO_ESP",IF(CALC_EPM!C129="TotalNoEsp","CURSO_NOESP","CURSO_ASIG")))))</f>
      </c>
      <c r="B140" t="str">
        <f>IF(CALC_EPM!$B129="","",CALC_EPM!A129)</f>
      </c>
      <c r="C140" t="str">
        <f>IF(CALC_EPM!$B129="","",CALC_EPM!B129)</f>
      </c>
      <c r="D140">
        <f>IF(CALC_EPM!$B129="","",CALC_EPM!D129)</f>
      </c>
      <c r="E140" s="10" t="str">
        <f>IF(CALC_EPM!$B129="","",CALC_EPM!E129)</f>
      </c>
      <c r="F140" s="10" t="str">
        <f>IF(CALC_EPM!$B129="","",CALC_EPM!F129)</f>
      </c>
      <c r="G140" t="str">
        <f>IF(CALC_EPM!$B129="","",CALC_EPM!G129)</f>
      </c>
      <c r="H140" s="11" t="str">
        <f>IF(CALC_EPM!$B129="","",CALC_EPM!H129)</f>
      </c>
      <c r="I140" s="11" t="str">
        <f>IF(CALC_EPM!$B129="","",CALC_EPM!I129)</f>
      </c>
      <c r="J140" t="str">
        <f>IF(CALC_EPM!$B129="","",CALC_EPM!J129)</f>
      </c>
      <c r="K140" t="str">
        <f>IF(CALC_EPM!$B129="","",CALC_EPM!K129)</f>
      </c>
      <c r="L140">
        <f>IF(CALC_EPM!$B129="","",CALC_EPM!L129)</f>
      </c>
      <c r="M140">
        <f>IF(CALC_EPM!$B129="","",CALC_EPM!M129)</f>
      </c>
      <c r="N140">
        <f>IF(CALC_EPM!$B129="","",CALC_EPM!N129)</f>
      </c>
      <c r="O140">
        <f>IF(CALC_EPM!$B129="","",CALC_EPM!O129)</f>
      </c>
      <c r="P140">
        <f>IF(CALC_EPM!$B129="","",CALC_EPM!P129)</f>
      </c>
      <c r="Q140">
        <f>IF(CALC_EPM!$B129="","",CALC_EPM!Q129)</f>
      </c>
      <c r="R140">
        <f>IF(CALC_EPM!$B129="","",CALC_EPM!R129)</f>
      </c>
      <c r="S140">
        <f>IF(CALC_EPM!$B129="","",CALC_EPM!S129)</f>
      </c>
      <c r="T140">
        <f>IF(CALC_EPM!$B129="","",CALC_EPM!T129)</f>
      </c>
      <c r="U140">
        <f>IF(CALC_EPM!$B129="","",CALC_EPM!U129)</f>
      </c>
    </row>
    <row r="141">
      <c r="A141" t="str">
        <f>IF(CALC_EPM!$B130="","",IF(CALC_EPM!A130="GLOBAL",IF(CALC_EPM!C130="Total","GLOBAL",IF(CALC_EPM!C130="TotalEsp","GLOBAL_ESP",IF(CALC_EPM!C130="TotalNoEsp","GLOBAL_NOESP","GLOBAL_ASIG"))),IF(CALC_EPM!C130="Total","CURSO_TOTAL",IF(CALC_EPM!C130="TotalEsp","CURSO_ESP",IF(CALC_EPM!C130="TotalNoEsp","CURSO_NOESP","CURSO_ASIG")))))</f>
      </c>
      <c r="B141" t="str">
        <f>IF(CALC_EPM!$B130="","",CALC_EPM!A130)</f>
      </c>
      <c r="C141" t="str">
        <f>IF(CALC_EPM!$B130="","",CALC_EPM!B130)</f>
      </c>
      <c r="D141">
        <f>IF(CALC_EPM!$B130="","",CALC_EPM!D130)</f>
      </c>
      <c r="E141" s="10" t="str">
        <f>IF(CALC_EPM!$B130="","",CALC_EPM!E130)</f>
      </c>
      <c r="F141" s="10" t="str">
        <f>IF(CALC_EPM!$B130="","",CALC_EPM!F130)</f>
      </c>
      <c r="G141" t="str">
        <f>IF(CALC_EPM!$B130="","",CALC_EPM!G130)</f>
      </c>
      <c r="H141" s="11" t="str">
        <f>IF(CALC_EPM!$B130="","",CALC_EPM!H130)</f>
      </c>
      <c r="I141" s="11" t="str">
        <f>IF(CALC_EPM!$B130="","",CALC_EPM!I130)</f>
      </c>
      <c r="J141" t="str">
        <f>IF(CALC_EPM!$B130="","",CALC_EPM!J130)</f>
      </c>
      <c r="K141" t="str">
        <f>IF(CALC_EPM!$B130="","",CALC_EPM!K130)</f>
      </c>
      <c r="L141">
        <f>IF(CALC_EPM!$B130="","",CALC_EPM!L130)</f>
      </c>
      <c r="M141">
        <f>IF(CALC_EPM!$B130="","",CALC_EPM!M130)</f>
      </c>
      <c r="N141">
        <f>IF(CALC_EPM!$B130="","",CALC_EPM!N130)</f>
      </c>
      <c r="O141">
        <f>IF(CALC_EPM!$B130="","",CALC_EPM!O130)</f>
      </c>
      <c r="P141">
        <f>IF(CALC_EPM!$B130="","",CALC_EPM!P130)</f>
      </c>
      <c r="Q141">
        <f>IF(CALC_EPM!$B130="","",CALC_EPM!Q130)</f>
      </c>
      <c r="R141">
        <f>IF(CALC_EPM!$B130="","",CALC_EPM!R130)</f>
      </c>
      <c r="S141">
        <f>IF(CALC_EPM!$B130="","",CALC_EPM!S130)</f>
      </c>
      <c r="T141">
        <f>IF(CALC_EPM!$B130="","",CALC_EPM!T130)</f>
      </c>
      <c r="U141">
        <f>IF(CALC_EPM!$B130="","",CALC_EPM!U130)</f>
      </c>
    </row>
    <row r="142">
      <c r="A142" t="str">
        <f>IF(CALC_EPM!$B131="","",IF(CALC_EPM!A131="GLOBAL",IF(CALC_EPM!C131="Total","GLOBAL",IF(CALC_EPM!C131="TotalEsp","GLOBAL_ESP",IF(CALC_EPM!C131="TotalNoEsp","GLOBAL_NOESP","GLOBAL_ASIG"))),IF(CALC_EPM!C131="Total","CURSO_TOTAL",IF(CALC_EPM!C131="TotalEsp","CURSO_ESP",IF(CALC_EPM!C131="TotalNoEsp","CURSO_NOESP","CURSO_ASIG")))))</f>
      </c>
      <c r="B142" t="str">
        <f>IF(CALC_EPM!$B131="","",CALC_EPM!A131)</f>
      </c>
      <c r="C142" t="str">
        <f>IF(CALC_EPM!$B131="","",CALC_EPM!B131)</f>
      </c>
      <c r="D142">
        <f>IF(CALC_EPM!$B131="","",CALC_EPM!D131)</f>
      </c>
      <c r="E142" s="10" t="str">
        <f>IF(CALC_EPM!$B131="","",CALC_EPM!E131)</f>
      </c>
      <c r="F142" s="10" t="str">
        <f>IF(CALC_EPM!$B131="","",CALC_EPM!F131)</f>
      </c>
      <c r="G142" t="str">
        <f>IF(CALC_EPM!$B131="","",CALC_EPM!G131)</f>
      </c>
      <c r="H142" s="11" t="str">
        <f>IF(CALC_EPM!$B131="","",CALC_EPM!H131)</f>
      </c>
      <c r="I142" s="11" t="str">
        <f>IF(CALC_EPM!$B131="","",CALC_EPM!I131)</f>
      </c>
      <c r="J142" t="str">
        <f>IF(CALC_EPM!$B131="","",CALC_EPM!J131)</f>
      </c>
      <c r="K142" t="str">
        <f>IF(CALC_EPM!$B131="","",CALC_EPM!K131)</f>
      </c>
      <c r="L142">
        <f>IF(CALC_EPM!$B131="","",CALC_EPM!L131)</f>
      </c>
      <c r="M142">
        <f>IF(CALC_EPM!$B131="","",CALC_EPM!M131)</f>
      </c>
      <c r="N142">
        <f>IF(CALC_EPM!$B131="","",CALC_EPM!N131)</f>
      </c>
      <c r="O142">
        <f>IF(CALC_EPM!$B131="","",CALC_EPM!O131)</f>
      </c>
      <c r="P142">
        <f>IF(CALC_EPM!$B131="","",CALC_EPM!P131)</f>
      </c>
      <c r="Q142">
        <f>IF(CALC_EPM!$B131="","",CALC_EPM!Q131)</f>
      </c>
      <c r="R142">
        <f>IF(CALC_EPM!$B131="","",CALC_EPM!R131)</f>
      </c>
      <c r="S142">
        <f>IF(CALC_EPM!$B131="","",CALC_EPM!S131)</f>
      </c>
      <c r="T142">
        <f>IF(CALC_EPM!$B131="","",CALC_EPM!T131)</f>
      </c>
      <c r="U142">
        <f>IF(CALC_EPM!$B131="","",CALC_EPM!U131)</f>
      </c>
    </row>
    <row r="143">
      <c r="A143" t="str">
        <f>IF(CALC_EPM!$B132="","",IF(CALC_EPM!A132="GLOBAL",IF(CALC_EPM!C132="Total","GLOBAL",IF(CALC_EPM!C132="TotalEsp","GLOBAL_ESP",IF(CALC_EPM!C132="TotalNoEsp","GLOBAL_NOESP","GLOBAL_ASIG"))),IF(CALC_EPM!C132="Total","CURSO_TOTAL",IF(CALC_EPM!C132="TotalEsp","CURSO_ESP",IF(CALC_EPM!C132="TotalNoEsp","CURSO_NOESP","CURSO_ASIG")))))</f>
      </c>
      <c r="B143" t="str">
        <f>IF(CALC_EPM!$B132="","",CALC_EPM!A132)</f>
      </c>
      <c r="C143" t="str">
        <f>IF(CALC_EPM!$B132="","",CALC_EPM!B132)</f>
      </c>
      <c r="D143">
        <f>IF(CALC_EPM!$B132="","",CALC_EPM!D132)</f>
      </c>
      <c r="E143" s="10" t="str">
        <f>IF(CALC_EPM!$B132="","",CALC_EPM!E132)</f>
      </c>
      <c r="F143" s="10" t="str">
        <f>IF(CALC_EPM!$B132="","",CALC_EPM!F132)</f>
      </c>
      <c r="G143" t="str">
        <f>IF(CALC_EPM!$B132="","",CALC_EPM!G132)</f>
      </c>
      <c r="H143" s="11" t="str">
        <f>IF(CALC_EPM!$B132="","",CALC_EPM!H132)</f>
      </c>
      <c r="I143" s="11" t="str">
        <f>IF(CALC_EPM!$B132="","",CALC_EPM!I132)</f>
      </c>
      <c r="J143" t="str">
        <f>IF(CALC_EPM!$B132="","",CALC_EPM!J132)</f>
      </c>
      <c r="K143" t="str">
        <f>IF(CALC_EPM!$B132="","",CALC_EPM!K132)</f>
      </c>
      <c r="L143">
        <f>IF(CALC_EPM!$B132="","",CALC_EPM!L132)</f>
      </c>
      <c r="M143">
        <f>IF(CALC_EPM!$B132="","",CALC_EPM!M132)</f>
      </c>
      <c r="N143">
        <f>IF(CALC_EPM!$B132="","",CALC_EPM!N132)</f>
      </c>
      <c r="O143">
        <f>IF(CALC_EPM!$B132="","",CALC_EPM!O132)</f>
      </c>
      <c r="P143">
        <f>IF(CALC_EPM!$B132="","",CALC_EPM!P132)</f>
      </c>
      <c r="Q143">
        <f>IF(CALC_EPM!$B132="","",CALC_EPM!Q132)</f>
      </c>
      <c r="R143">
        <f>IF(CALC_EPM!$B132="","",CALC_EPM!R132)</f>
      </c>
      <c r="S143">
        <f>IF(CALC_EPM!$B132="","",CALC_EPM!S132)</f>
      </c>
      <c r="T143">
        <f>IF(CALC_EPM!$B132="","",CALC_EPM!T132)</f>
      </c>
      <c r="U143">
        <f>IF(CALC_EPM!$B132="","",CALC_EPM!U132)</f>
      </c>
    </row>
    <row r="144">
      <c r="A144" t="str">
        <f>IF(CALC_EPM!$B133="","",IF(CALC_EPM!A133="GLOBAL",IF(CALC_EPM!C133="Total","GLOBAL",IF(CALC_EPM!C133="TotalEsp","GLOBAL_ESP",IF(CALC_EPM!C133="TotalNoEsp","GLOBAL_NOESP","GLOBAL_ASIG"))),IF(CALC_EPM!C133="Total","CURSO_TOTAL",IF(CALC_EPM!C133="TotalEsp","CURSO_ESP",IF(CALC_EPM!C133="TotalNoEsp","CURSO_NOESP","CURSO_ASIG")))))</f>
      </c>
      <c r="B144" t="str">
        <f>IF(CALC_EPM!$B133="","",CALC_EPM!A133)</f>
      </c>
      <c r="C144" t="str">
        <f>IF(CALC_EPM!$B133="","",CALC_EPM!B133)</f>
      </c>
      <c r="D144">
        <f>IF(CALC_EPM!$B133="","",CALC_EPM!D133)</f>
      </c>
      <c r="E144" s="10" t="str">
        <f>IF(CALC_EPM!$B133="","",CALC_EPM!E133)</f>
      </c>
      <c r="F144" s="10" t="str">
        <f>IF(CALC_EPM!$B133="","",CALC_EPM!F133)</f>
      </c>
      <c r="G144" t="str">
        <f>IF(CALC_EPM!$B133="","",CALC_EPM!G133)</f>
      </c>
      <c r="H144" s="11" t="str">
        <f>IF(CALC_EPM!$B133="","",CALC_EPM!H133)</f>
      </c>
      <c r="I144" s="11" t="str">
        <f>IF(CALC_EPM!$B133="","",CALC_EPM!I133)</f>
      </c>
      <c r="J144" t="str">
        <f>IF(CALC_EPM!$B133="","",CALC_EPM!J133)</f>
      </c>
      <c r="K144" t="str">
        <f>IF(CALC_EPM!$B133="","",CALC_EPM!K133)</f>
      </c>
      <c r="L144">
        <f>IF(CALC_EPM!$B133="","",CALC_EPM!L133)</f>
      </c>
      <c r="M144">
        <f>IF(CALC_EPM!$B133="","",CALC_EPM!M133)</f>
      </c>
      <c r="N144">
        <f>IF(CALC_EPM!$B133="","",CALC_EPM!N133)</f>
      </c>
      <c r="O144">
        <f>IF(CALC_EPM!$B133="","",CALC_EPM!O133)</f>
      </c>
      <c r="P144">
        <f>IF(CALC_EPM!$B133="","",CALC_EPM!P133)</f>
      </c>
      <c r="Q144">
        <f>IF(CALC_EPM!$B133="","",CALC_EPM!Q133)</f>
      </c>
      <c r="R144">
        <f>IF(CALC_EPM!$B133="","",CALC_EPM!R133)</f>
      </c>
      <c r="S144">
        <f>IF(CALC_EPM!$B133="","",CALC_EPM!S133)</f>
      </c>
      <c r="T144">
        <f>IF(CALC_EPM!$B133="","",CALC_EPM!T133)</f>
      </c>
      <c r="U144">
        <f>IF(CALC_EPM!$B133="","",CALC_EPM!U133)</f>
      </c>
    </row>
    <row r="145">
      <c r="A145" t="str">
        <f>IF(CALC_EPM!$B134="","",IF(CALC_EPM!A134="GLOBAL",IF(CALC_EPM!C134="Total","GLOBAL",IF(CALC_EPM!C134="TotalEsp","GLOBAL_ESP",IF(CALC_EPM!C134="TotalNoEsp","GLOBAL_NOESP","GLOBAL_ASIG"))),IF(CALC_EPM!C134="Total","CURSO_TOTAL",IF(CALC_EPM!C134="TotalEsp","CURSO_ESP",IF(CALC_EPM!C134="TotalNoEsp","CURSO_NOESP","CURSO_ASIG")))))</f>
      </c>
      <c r="B145" t="str">
        <f>IF(CALC_EPM!$B134="","",CALC_EPM!A134)</f>
      </c>
      <c r="C145" t="str">
        <f>IF(CALC_EPM!$B134="","",CALC_EPM!B134)</f>
      </c>
      <c r="D145">
        <f>IF(CALC_EPM!$B134="","",CALC_EPM!D134)</f>
      </c>
      <c r="E145" s="10" t="str">
        <f>IF(CALC_EPM!$B134="","",CALC_EPM!E134)</f>
      </c>
      <c r="F145" s="10" t="str">
        <f>IF(CALC_EPM!$B134="","",CALC_EPM!F134)</f>
      </c>
      <c r="G145" t="str">
        <f>IF(CALC_EPM!$B134="","",CALC_EPM!G134)</f>
      </c>
      <c r="H145" s="11" t="str">
        <f>IF(CALC_EPM!$B134="","",CALC_EPM!H134)</f>
      </c>
      <c r="I145" s="11" t="str">
        <f>IF(CALC_EPM!$B134="","",CALC_EPM!I134)</f>
      </c>
      <c r="J145" t="str">
        <f>IF(CALC_EPM!$B134="","",CALC_EPM!J134)</f>
      </c>
      <c r="K145" t="str">
        <f>IF(CALC_EPM!$B134="","",CALC_EPM!K134)</f>
      </c>
      <c r="L145">
        <f>IF(CALC_EPM!$B134="","",CALC_EPM!L134)</f>
      </c>
      <c r="M145">
        <f>IF(CALC_EPM!$B134="","",CALC_EPM!M134)</f>
      </c>
      <c r="N145">
        <f>IF(CALC_EPM!$B134="","",CALC_EPM!N134)</f>
      </c>
      <c r="O145">
        <f>IF(CALC_EPM!$B134="","",CALC_EPM!O134)</f>
      </c>
      <c r="P145">
        <f>IF(CALC_EPM!$B134="","",CALC_EPM!P134)</f>
      </c>
      <c r="Q145">
        <f>IF(CALC_EPM!$B134="","",CALC_EPM!Q134)</f>
      </c>
      <c r="R145">
        <f>IF(CALC_EPM!$B134="","",CALC_EPM!R134)</f>
      </c>
      <c r="S145">
        <f>IF(CALC_EPM!$B134="","",CALC_EPM!S134)</f>
      </c>
      <c r="T145">
        <f>IF(CALC_EPM!$B134="","",CALC_EPM!T134)</f>
      </c>
      <c r="U145">
        <f>IF(CALC_EPM!$B134="","",CALC_EPM!U134)</f>
      </c>
    </row>
    <row r="146">
      <c r="A146" t="str">
        <f>IF(CALC_EPM!$B135="","",IF(CALC_EPM!A135="GLOBAL",IF(CALC_EPM!C135="Total","GLOBAL",IF(CALC_EPM!C135="TotalEsp","GLOBAL_ESP",IF(CALC_EPM!C135="TotalNoEsp","GLOBAL_NOESP","GLOBAL_ASIG"))),IF(CALC_EPM!C135="Total","CURSO_TOTAL",IF(CALC_EPM!C135="TotalEsp","CURSO_ESP",IF(CALC_EPM!C135="TotalNoEsp","CURSO_NOESP","CURSO_ASIG")))))</f>
      </c>
      <c r="B146" t="str">
        <f>IF(CALC_EPM!$B135="","",CALC_EPM!A135)</f>
      </c>
      <c r="C146" t="str">
        <f>IF(CALC_EPM!$B135="","",CALC_EPM!B135)</f>
      </c>
      <c r="D146">
        <f>IF(CALC_EPM!$B135="","",CALC_EPM!D135)</f>
      </c>
      <c r="E146" s="10" t="str">
        <f>IF(CALC_EPM!$B135="","",CALC_EPM!E135)</f>
      </c>
      <c r="F146" s="10" t="str">
        <f>IF(CALC_EPM!$B135="","",CALC_EPM!F135)</f>
      </c>
      <c r="G146" t="str">
        <f>IF(CALC_EPM!$B135="","",CALC_EPM!G135)</f>
      </c>
      <c r="H146" s="11" t="str">
        <f>IF(CALC_EPM!$B135="","",CALC_EPM!H135)</f>
      </c>
      <c r="I146" s="11" t="str">
        <f>IF(CALC_EPM!$B135="","",CALC_EPM!I135)</f>
      </c>
      <c r="J146" t="str">
        <f>IF(CALC_EPM!$B135="","",CALC_EPM!J135)</f>
      </c>
      <c r="K146" t="str">
        <f>IF(CALC_EPM!$B135="","",CALC_EPM!K135)</f>
      </c>
      <c r="L146">
        <f>IF(CALC_EPM!$B135="","",CALC_EPM!L135)</f>
      </c>
      <c r="M146">
        <f>IF(CALC_EPM!$B135="","",CALC_EPM!M135)</f>
      </c>
      <c r="N146">
        <f>IF(CALC_EPM!$B135="","",CALC_EPM!N135)</f>
      </c>
      <c r="O146">
        <f>IF(CALC_EPM!$B135="","",CALC_EPM!O135)</f>
      </c>
      <c r="P146">
        <f>IF(CALC_EPM!$B135="","",CALC_EPM!P135)</f>
      </c>
      <c r="Q146">
        <f>IF(CALC_EPM!$B135="","",CALC_EPM!Q135)</f>
      </c>
      <c r="R146">
        <f>IF(CALC_EPM!$B135="","",CALC_EPM!R135)</f>
      </c>
      <c r="S146">
        <f>IF(CALC_EPM!$B135="","",CALC_EPM!S135)</f>
      </c>
      <c r="T146">
        <f>IF(CALC_EPM!$B135="","",CALC_EPM!T135)</f>
      </c>
      <c r="U146">
        <f>IF(CALC_EPM!$B135="","",CALC_EPM!U135)</f>
      </c>
    </row>
    <row r="147">
      <c r="A147" t="str">
        <f>IF(CALC_EPM!$B136="","",IF(CALC_EPM!A136="GLOBAL",IF(CALC_EPM!C136="Total","GLOBAL",IF(CALC_EPM!C136="TotalEsp","GLOBAL_ESP",IF(CALC_EPM!C136="TotalNoEsp","GLOBAL_NOESP","GLOBAL_ASIG"))),IF(CALC_EPM!C136="Total","CURSO_TOTAL",IF(CALC_EPM!C136="TotalEsp","CURSO_ESP",IF(CALC_EPM!C136="TotalNoEsp","CURSO_NOESP","CURSO_ASIG")))))</f>
      </c>
      <c r="B147" t="str">
        <f>IF(CALC_EPM!$B136="","",CALC_EPM!A136)</f>
      </c>
      <c r="C147" t="str">
        <f>IF(CALC_EPM!$B136="","",CALC_EPM!B136)</f>
      </c>
      <c r="D147">
        <f>IF(CALC_EPM!$B136="","",CALC_EPM!D136)</f>
      </c>
      <c r="E147" s="10" t="str">
        <f>IF(CALC_EPM!$B136="","",CALC_EPM!E136)</f>
      </c>
      <c r="F147" s="10" t="str">
        <f>IF(CALC_EPM!$B136="","",CALC_EPM!F136)</f>
      </c>
      <c r="G147" t="str">
        <f>IF(CALC_EPM!$B136="","",CALC_EPM!G136)</f>
      </c>
      <c r="H147" s="11" t="str">
        <f>IF(CALC_EPM!$B136="","",CALC_EPM!H136)</f>
      </c>
      <c r="I147" s="11" t="str">
        <f>IF(CALC_EPM!$B136="","",CALC_EPM!I136)</f>
      </c>
      <c r="J147" t="str">
        <f>IF(CALC_EPM!$B136="","",CALC_EPM!J136)</f>
      </c>
      <c r="K147" t="str">
        <f>IF(CALC_EPM!$B136="","",CALC_EPM!K136)</f>
      </c>
      <c r="L147">
        <f>IF(CALC_EPM!$B136="","",CALC_EPM!L136)</f>
      </c>
      <c r="M147">
        <f>IF(CALC_EPM!$B136="","",CALC_EPM!M136)</f>
      </c>
      <c r="N147">
        <f>IF(CALC_EPM!$B136="","",CALC_EPM!N136)</f>
      </c>
      <c r="O147">
        <f>IF(CALC_EPM!$B136="","",CALC_EPM!O136)</f>
      </c>
      <c r="P147">
        <f>IF(CALC_EPM!$B136="","",CALC_EPM!P136)</f>
      </c>
      <c r="Q147">
        <f>IF(CALC_EPM!$B136="","",CALC_EPM!Q136)</f>
      </c>
      <c r="R147">
        <f>IF(CALC_EPM!$B136="","",CALC_EPM!R136)</f>
      </c>
      <c r="S147">
        <f>IF(CALC_EPM!$B136="","",CALC_EPM!S136)</f>
      </c>
      <c r="T147">
        <f>IF(CALC_EPM!$B136="","",CALC_EPM!T136)</f>
      </c>
      <c r="U147">
        <f>IF(CALC_EPM!$B136="","",CALC_EPM!U136)</f>
      </c>
    </row>
    <row r="148">
      <c r="A148" t="str">
        <f>IF(CALC_EPM!$B137="","",IF(CALC_EPM!A137="GLOBAL",IF(CALC_EPM!C137="Total","GLOBAL",IF(CALC_EPM!C137="TotalEsp","GLOBAL_ESP",IF(CALC_EPM!C137="TotalNoEsp","GLOBAL_NOESP","GLOBAL_ASIG"))),IF(CALC_EPM!C137="Total","CURSO_TOTAL",IF(CALC_EPM!C137="TotalEsp","CURSO_ESP",IF(CALC_EPM!C137="TotalNoEsp","CURSO_NOESP","CURSO_ASIG")))))</f>
      </c>
      <c r="B148" t="str">
        <f>IF(CALC_EPM!$B137="","",CALC_EPM!A137)</f>
      </c>
      <c r="C148" t="str">
        <f>IF(CALC_EPM!$B137="","",CALC_EPM!B137)</f>
      </c>
      <c r="D148">
        <f>IF(CALC_EPM!$B137="","",CALC_EPM!D137)</f>
      </c>
      <c r="E148" s="10" t="str">
        <f>IF(CALC_EPM!$B137="","",CALC_EPM!E137)</f>
      </c>
      <c r="F148" s="10" t="str">
        <f>IF(CALC_EPM!$B137="","",CALC_EPM!F137)</f>
      </c>
      <c r="G148" t="str">
        <f>IF(CALC_EPM!$B137="","",CALC_EPM!G137)</f>
      </c>
      <c r="H148" s="11" t="str">
        <f>IF(CALC_EPM!$B137="","",CALC_EPM!H137)</f>
      </c>
      <c r="I148" s="11" t="str">
        <f>IF(CALC_EPM!$B137="","",CALC_EPM!I137)</f>
      </c>
      <c r="J148" t="str">
        <f>IF(CALC_EPM!$B137="","",CALC_EPM!J137)</f>
      </c>
      <c r="K148" t="str">
        <f>IF(CALC_EPM!$B137="","",CALC_EPM!K137)</f>
      </c>
      <c r="L148">
        <f>IF(CALC_EPM!$B137="","",CALC_EPM!L137)</f>
      </c>
      <c r="M148">
        <f>IF(CALC_EPM!$B137="","",CALC_EPM!M137)</f>
      </c>
      <c r="N148">
        <f>IF(CALC_EPM!$B137="","",CALC_EPM!N137)</f>
      </c>
      <c r="O148">
        <f>IF(CALC_EPM!$B137="","",CALC_EPM!O137)</f>
      </c>
      <c r="P148">
        <f>IF(CALC_EPM!$B137="","",CALC_EPM!P137)</f>
      </c>
      <c r="Q148">
        <f>IF(CALC_EPM!$B137="","",CALC_EPM!Q137)</f>
      </c>
      <c r="R148">
        <f>IF(CALC_EPM!$B137="","",CALC_EPM!R137)</f>
      </c>
      <c r="S148">
        <f>IF(CALC_EPM!$B137="","",CALC_EPM!S137)</f>
      </c>
      <c r="T148">
        <f>IF(CALC_EPM!$B137="","",CALC_EPM!T137)</f>
      </c>
      <c r="U148">
        <f>IF(CALC_EPM!$B137="","",CALC_EPM!U137)</f>
      </c>
    </row>
    <row r="149">
      <c r="A149" t="str">
        <f>IF(CALC_EPM!$B138="","",IF(CALC_EPM!A138="GLOBAL",IF(CALC_EPM!C138="Total","GLOBAL",IF(CALC_EPM!C138="TotalEsp","GLOBAL_ESP",IF(CALC_EPM!C138="TotalNoEsp","GLOBAL_NOESP","GLOBAL_ASIG"))),IF(CALC_EPM!C138="Total","CURSO_TOTAL",IF(CALC_EPM!C138="TotalEsp","CURSO_ESP",IF(CALC_EPM!C138="TotalNoEsp","CURSO_NOESP","CURSO_ASIG")))))</f>
      </c>
      <c r="B149" t="str">
        <f>IF(CALC_EPM!$B138="","",CALC_EPM!A138)</f>
      </c>
      <c r="C149" t="str">
        <f>IF(CALC_EPM!$B138="","",CALC_EPM!B138)</f>
      </c>
      <c r="D149">
        <f>IF(CALC_EPM!$B138="","",CALC_EPM!D138)</f>
      </c>
      <c r="E149" s="10" t="str">
        <f>IF(CALC_EPM!$B138="","",CALC_EPM!E138)</f>
      </c>
      <c r="F149" s="10" t="str">
        <f>IF(CALC_EPM!$B138="","",CALC_EPM!F138)</f>
      </c>
      <c r="G149" t="str">
        <f>IF(CALC_EPM!$B138="","",CALC_EPM!G138)</f>
      </c>
      <c r="H149" s="11" t="str">
        <f>IF(CALC_EPM!$B138="","",CALC_EPM!H138)</f>
      </c>
      <c r="I149" s="11" t="str">
        <f>IF(CALC_EPM!$B138="","",CALC_EPM!I138)</f>
      </c>
      <c r="J149" t="str">
        <f>IF(CALC_EPM!$B138="","",CALC_EPM!J138)</f>
      </c>
      <c r="K149" t="str">
        <f>IF(CALC_EPM!$B138="","",CALC_EPM!K138)</f>
      </c>
      <c r="L149">
        <f>IF(CALC_EPM!$B138="","",CALC_EPM!L138)</f>
      </c>
      <c r="M149">
        <f>IF(CALC_EPM!$B138="","",CALC_EPM!M138)</f>
      </c>
      <c r="N149">
        <f>IF(CALC_EPM!$B138="","",CALC_EPM!N138)</f>
      </c>
      <c r="O149">
        <f>IF(CALC_EPM!$B138="","",CALC_EPM!O138)</f>
      </c>
      <c r="P149">
        <f>IF(CALC_EPM!$B138="","",CALC_EPM!P138)</f>
      </c>
      <c r="Q149">
        <f>IF(CALC_EPM!$B138="","",CALC_EPM!Q138)</f>
      </c>
      <c r="R149">
        <f>IF(CALC_EPM!$B138="","",CALC_EPM!R138)</f>
      </c>
      <c r="S149">
        <f>IF(CALC_EPM!$B138="","",CALC_EPM!S138)</f>
      </c>
      <c r="T149">
        <f>IF(CALC_EPM!$B138="","",CALC_EPM!T138)</f>
      </c>
      <c r="U149">
        <f>IF(CALC_EPM!$B138="","",CALC_EPM!U138)</f>
      </c>
    </row>
    <row r="150">
      <c r="A150" t="str">
        <f>IF(CALC_EPM!$B139="","",IF(CALC_EPM!A139="GLOBAL",IF(CALC_EPM!C139="Total","GLOBAL",IF(CALC_EPM!C139="TotalEsp","GLOBAL_ESP",IF(CALC_EPM!C139="TotalNoEsp","GLOBAL_NOESP","GLOBAL_ASIG"))),IF(CALC_EPM!C139="Total","CURSO_TOTAL",IF(CALC_EPM!C139="TotalEsp","CURSO_ESP",IF(CALC_EPM!C139="TotalNoEsp","CURSO_NOESP","CURSO_ASIG")))))</f>
      </c>
      <c r="B150" t="str">
        <f>IF(CALC_EPM!$B139="","",CALC_EPM!A139)</f>
      </c>
      <c r="C150" t="str">
        <f>IF(CALC_EPM!$B139="","",CALC_EPM!B139)</f>
      </c>
      <c r="D150">
        <f>IF(CALC_EPM!$B139="","",CALC_EPM!D139)</f>
      </c>
      <c r="E150" s="10" t="str">
        <f>IF(CALC_EPM!$B139="","",CALC_EPM!E139)</f>
      </c>
      <c r="F150" s="10" t="str">
        <f>IF(CALC_EPM!$B139="","",CALC_EPM!F139)</f>
      </c>
      <c r="G150" t="str">
        <f>IF(CALC_EPM!$B139="","",CALC_EPM!G139)</f>
      </c>
      <c r="H150" s="11" t="str">
        <f>IF(CALC_EPM!$B139="","",CALC_EPM!H139)</f>
      </c>
      <c r="I150" s="11" t="str">
        <f>IF(CALC_EPM!$B139="","",CALC_EPM!I139)</f>
      </c>
      <c r="J150" t="str">
        <f>IF(CALC_EPM!$B139="","",CALC_EPM!J139)</f>
      </c>
      <c r="K150" t="str">
        <f>IF(CALC_EPM!$B139="","",CALC_EPM!K139)</f>
      </c>
      <c r="L150">
        <f>IF(CALC_EPM!$B139="","",CALC_EPM!L139)</f>
      </c>
      <c r="M150">
        <f>IF(CALC_EPM!$B139="","",CALC_EPM!M139)</f>
      </c>
      <c r="N150">
        <f>IF(CALC_EPM!$B139="","",CALC_EPM!N139)</f>
      </c>
      <c r="O150">
        <f>IF(CALC_EPM!$B139="","",CALC_EPM!O139)</f>
      </c>
      <c r="P150">
        <f>IF(CALC_EPM!$B139="","",CALC_EPM!P139)</f>
      </c>
      <c r="Q150">
        <f>IF(CALC_EPM!$B139="","",CALC_EPM!Q139)</f>
      </c>
      <c r="R150">
        <f>IF(CALC_EPM!$B139="","",CALC_EPM!R139)</f>
      </c>
      <c r="S150">
        <f>IF(CALC_EPM!$B139="","",CALC_EPM!S139)</f>
      </c>
      <c r="T150">
        <f>IF(CALC_EPM!$B139="","",CALC_EPM!T139)</f>
      </c>
      <c r="U150">
        <f>IF(CALC_EPM!$B139="","",CALC_EPM!U139)</f>
      </c>
    </row>
    <row r="151">
      <c r="A151" t="str">
        <f>IF(CALC_EPM!$B140="","",IF(CALC_EPM!A140="GLOBAL",IF(CALC_EPM!C140="Total","GLOBAL",IF(CALC_EPM!C140="TotalEsp","GLOBAL_ESP",IF(CALC_EPM!C140="TotalNoEsp","GLOBAL_NOESP","GLOBAL_ASIG"))),IF(CALC_EPM!C140="Total","CURSO_TOTAL",IF(CALC_EPM!C140="TotalEsp","CURSO_ESP",IF(CALC_EPM!C140="TotalNoEsp","CURSO_NOESP","CURSO_ASIG")))))</f>
      </c>
      <c r="B151" t="str">
        <f>IF(CALC_EPM!$B140="","",CALC_EPM!A140)</f>
      </c>
      <c r="C151" t="str">
        <f>IF(CALC_EPM!$B140="","",CALC_EPM!B140)</f>
      </c>
      <c r="D151">
        <f>IF(CALC_EPM!$B140="","",CALC_EPM!D140)</f>
      </c>
      <c r="E151" s="10" t="str">
        <f>IF(CALC_EPM!$B140="","",CALC_EPM!E140)</f>
      </c>
      <c r="F151" s="10" t="str">
        <f>IF(CALC_EPM!$B140="","",CALC_EPM!F140)</f>
      </c>
      <c r="G151" t="str">
        <f>IF(CALC_EPM!$B140="","",CALC_EPM!G140)</f>
      </c>
      <c r="H151" s="11" t="str">
        <f>IF(CALC_EPM!$B140="","",CALC_EPM!H140)</f>
      </c>
      <c r="I151" s="11" t="str">
        <f>IF(CALC_EPM!$B140="","",CALC_EPM!I140)</f>
      </c>
      <c r="J151" t="str">
        <f>IF(CALC_EPM!$B140="","",CALC_EPM!J140)</f>
      </c>
      <c r="K151" t="str">
        <f>IF(CALC_EPM!$B140="","",CALC_EPM!K140)</f>
      </c>
      <c r="L151">
        <f>IF(CALC_EPM!$B140="","",CALC_EPM!L140)</f>
      </c>
      <c r="M151">
        <f>IF(CALC_EPM!$B140="","",CALC_EPM!M140)</f>
      </c>
      <c r="N151">
        <f>IF(CALC_EPM!$B140="","",CALC_EPM!N140)</f>
      </c>
      <c r="O151">
        <f>IF(CALC_EPM!$B140="","",CALC_EPM!O140)</f>
      </c>
      <c r="P151">
        <f>IF(CALC_EPM!$B140="","",CALC_EPM!P140)</f>
      </c>
      <c r="Q151">
        <f>IF(CALC_EPM!$B140="","",CALC_EPM!Q140)</f>
      </c>
      <c r="R151">
        <f>IF(CALC_EPM!$B140="","",CALC_EPM!R140)</f>
      </c>
      <c r="S151">
        <f>IF(CALC_EPM!$B140="","",CALC_EPM!S140)</f>
      </c>
      <c r="T151">
        <f>IF(CALC_EPM!$B140="","",CALC_EPM!T140)</f>
      </c>
      <c r="U151">
        <f>IF(CALC_EPM!$B140="","",CALC_EPM!U140)</f>
      </c>
    </row>
    <row r="152">
      <c r="A152" t="str">
        <f>IF(CALC_EPM!$B141="","",IF(CALC_EPM!A141="GLOBAL",IF(CALC_EPM!C141="Total","GLOBAL",IF(CALC_EPM!C141="TotalEsp","GLOBAL_ESP",IF(CALC_EPM!C141="TotalNoEsp","GLOBAL_NOESP","GLOBAL_ASIG"))),IF(CALC_EPM!C141="Total","CURSO_TOTAL",IF(CALC_EPM!C141="TotalEsp","CURSO_ESP",IF(CALC_EPM!C141="TotalNoEsp","CURSO_NOESP","CURSO_ASIG")))))</f>
      </c>
      <c r="B152" t="str">
        <f>IF(CALC_EPM!$B141="","",CALC_EPM!A141)</f>
      </c>
      <c r="C152" t="str">
        <f>IF(CALC_EPM!$B141="","",CALC_EPM!B141)</f>
      </c>
      <c r="D152">
        <f>IF(CALC_EPM!$B141="","",CALC_EPM!D141)</f>
      </c>
      <c r="E152" s="10" t="str">
        <f>IF(CALC_EPM!$B141="","",CALC_EPM!E141)</f>
      </c>
      <c r="F152" s="10" t="str">
        <f>IF(CALC_EPM!$B141="","",CALC_EPM!F141)</f>
      </c>
      <c r="G152" t="str">
        <f>IF(CALC_EPM!$B141="","",CALC_EPM!G141)</f>
      </c>
      <c r="H152" s="11" t="str">
        <f>IF(CALC_EPM!$B141="","",CALC_EPM!H141)</f>
      </c>
      <c r="I152" s="11" t="str">
        <f>IF(CALC_EPM!$B141="","",CALC_EPM!I141)</f>
      </c>
      <c r="J152" t="str">
        <f>IF(CALC_EPM!$B141="","",CALC_EPM!J141)</f>
      </c>
      <c r="K152" t="str">
        <f>IF(CALC_EPM!$B141="","",CALC_EPM!K141)</f>
      </c>
      <c r="L152">
        <f>IF(CALC_EPM!$B141="","",CALC_EPM!L141)</f>
      </c>
      <c r="M152">
        <f>IF(CALC_EPM!$B141="","",CALC_EPM!M141)</f>
      </c>
      <c r="N152">
        <f>IF(CALC_EPM!$B141="","",CALC_EPM!N141)</f>
      </c>
      <c r="O152">
        <f>IF(CALC_EPM!$B141="","",CALC_EPM!O141)</f>
      </c>
      <c r="P152">
        <f>IF(CALC_EPM!$B141="","",CALC_EPM!P141)</f>
      </c>
      <c r="Q152">
        <f>IF(CALC_EPM!$B141="","",CALC_EPM!Q141)</f>
      </c>
      <c r="R152">
        <f>IF(CALC_EPM!$B141="","",CALC_EPM!R141)</f>
      </c>
      <c r="S152">
        <f>IF(CALC_EPM!$B141="","",CALC_EPM!S141)</f>
      </c>
      <c r="T152">
        <f>IF(CALC_EPM!$B141="","",CALC_EPM!T141)</f>
      </c>
      <c r="U152">
        <f>IF(CALC_EPM!$B141="","",CALC_EPM!U141)</f>
      </c>
    </row>
    <row r="153">
      <c r="A153" t="str">
        <f>IF(CALC_EPM!$B142="","",IF(CALC_EPM!A142="GLOBAL",IF(CALC_EPM!C142="Total","GLOBAL",IF(CALC_EPM!C142="TotalEsp","GLOBAL_ESP",IF(CALC_EPM!C142="TotalNoEsp","GLOBAL_NOESP","GLOBAL_ASIG"))),IF(CALC_EPM!C142="Total","CURSO_TOTAL",IF(CALC_EPM!C142="TotalEsp","CURSO_ESP",IF(CALC_EPM!C142="TotalNoEsp","CURSO_NOESP","CURSO_ASIG")))))</f>
      </c>
      <c r="B153" t="str">
        <f>IF(CALC_EPM!$B142="","",CALC_EPM!A142)</f>
      </c>
      <c r="C153" t="str">
        <f>IF(CALC_EPM!$B142="","",CALC_EPM!B142)</f>
      </c>
      <c r="D153">
        <f>IF(CALC_EPM!$B142="","",CALC_EPM!D142)</f>
      </c>
      <c r="E153" s="10" t="str">
        <f>IF(CALC_EPM!$B142="","",CALC_EPM!E142)</f>
      </c>
      <c r="F153" s="10" t="str">
        <f>IF(CALC_EPM!$B142="","",CALC_EPM!F142)</f>
      </c>
      <c r="G153" t="str">
        <f>IF(CALC_EPM!$B142="","",CALC_EPM!G142)</f>
      </c>
      <c r="H153" s="11" t="str">
        <f>IF(CALC_EPM!$B142="","",CALC_EPM!H142)</f>
      </c>
      <c r="I153" s="11" t="str">
        <f>IF(CALC_EPM!$B142="","",CALC_EPM!I142)</f>
      </c>
      <c r="J153" t="str">
        <f>IF(CALC_EPM!$B142="","",CALC_EPM!J142)</f>
      </c>
      <c r="K153" t="str">
        <f>IF(CALC_EPM!$B142="","",CALC_EPM!K142)</f>
      </c>
      <c r="L153">
        <f>IF(CALC_EPM!$B142="","",CALC_EPM!L142)</f>
      </c>
      <c r="M153">
        <f>IF(CALC_EPM!$B142="","",CALC_EPM!M142)</f>
      </c>
      <c r="N153">
        <f>IF(CALC_EPM!$B142="","",CALC_EPM!N142)</f>
      </c>
      <c r="O153">
        <f>IF(CALC_EPM!$B142="","",CALC_EPM!O142)</f>
      </c>
      <c r="P153">
        <f>IF(CALC_EPM!$B142="","",CALC_EPM!P142)</f>
      </c>
      <c r="Q153">
        <f>IF(CALC_EPM!$B142="","",CALC_EPM!Q142)</f>
      </c>
      <c r="R153">
        <f>IF(CALC_EPM!$B142="","",CALC_EPM!R142)</f>
      </c>
      <c r="S153">
        <f>IF(CALC_EPM!$B142="","",CALC_EPM!S142)</f>
      </c>
      <c r="T153">
        <f>IF(CALC_EPM!$B142="","",CALC_EPM!T142)</f>
      </c>
      <c r="U153">
        <f>IF(CALC_EPM!$B142="","",CALC_EPM!U142)</f>
      </c>
    </row>
    <row r="154">
      <c r="A154" t="str">
        <f>IF(CALC_EPM!$B143="","",IF(CALC_EPM!A143="GLOBAL",IF(CALC_EPM!C143="Total","GLOBAL",IF(CALC_EPM!C143="TotalEsp","GLOBAL_ESP",IF(CALC_EPM!C143="TotalNoEsp","GLOBAL_NOESP","GLOBAL_ASIG"))),IF(CALC_EPM!C143="Total","CURSO_TOTAL",IF(CALC_EPM!C143="TotalEsp","CURSO_ESP",IF(CALC_EPM!C143="TotalNoEsp","CURSO_NOESP","CURSO_ASIG")))))</f>
      </c>
      <c r="B154" t="str">
        <f>IF(CALC_EPM!$B143="","",CALC_EPM!A143)</f>
      </c>
      <c r="C154" t="str">
        <f>IF(CALC_EPM!$B143="","",CALC_EPM!B143)</f>
      </c>
      <c r="D154">
        <f>IF(CALC_EPM!$B143="","",CALC_EPM!D143)</f>
      </c>
      <c r="E154" s="10" t="str">
        <f>IF(CALC_EPM!$B143="","",CALC_EPM!E143)</f>
      </c>
      <c r="F154" s="10" t="str">
        <f>IF(CALC_EPM!$B143="","",CALC_EPM!F143)</f>
      </c>
      <c r="G154" t="str">
        <f>IF(CALC_EPM!$B143="","",CALC_EPM!G143)</f>
      </c>
      <c r="H154" s="11" t="str">
        <f>IF(CALC_EPM!$B143="","",CALC_EPM!H143)</f>
      </c>
      <c r="I154" s="11" t="str">
        <f>IF(CALC_EPM!$B143="","",CALC_EPM!I143)</f>
      </c>
      <c r="J154" t="str">
        <f>IF(CALC_EPM!$B143="","",CALC_EPM!J143)</f>
      </c>
      <c r="K154" t="str">
        <f>IF(CALC_EPM!$B143="","",CALC_EPM!K143)</f>
      </c>
      <c r="L154">
        <f>IF(CALC_EPM!$B143="","",CALC_EPM!L143)</f>
      </c>
      <c r="M154">
        <f>IF(CALC_EPM!$B143="","",CALC_EPM!M143)</f>
      </c>
      <c r="N154">
        <f>IF(CALC_EPM!$B143="","",CALC_EPM!N143)</f>
      </c>
      <c r="O154">
        <f>IF(CALC_EPM!$B143="","",CALC_EPM!O143)</f>
      </c>
      <c r="P154">
        <f>IF(CALC_EPM!$B143="","",CALC_EPM!P143)</f>
      </c>
      <c r="Q154">
        <f>IF(CALC_EPM!$B143="","",CALC_EPM!Q143)</f>
      </c>
      <c r="R154">
        <f>IF(CALC_EPM!$B143="","",CALC_EPM!R143)</f>
      </c>
      <c r="S154">
        <f>IF(CALC_EPM!$B143="","",CALC_EPM!S143)</f>
      </c>
      <c r="T154">
        <f>IF(CALC_EPM!$B143="","",CALC_EPM!T143)</f>
      </c>
      <c r="U154">
        <f>IF(CALC_EPM!$B143="","",CALC_EPM!U143)</f>
      </c>
    </row>
    <row r="155">
      <c r="A155" t="str">
        <f>IF(CALC_EPM!$B144="","",IF(CALC_EPM!A144="GLOBAL",IF(CALC_EPM!C144="Total","GLOBAL",IF(CALC_EPM!C144="TotalEsp","GLOBAL_ESP",IF(CALC_EPM!C144="TotalNoEsp","GLOBAL_NOESP","GLOBAL_ASIG"))),IF(CALC_EPM!C144="Total","CURSO_TOTAL",IF(CALC_EPM!C144="TotalEsp","CURSO_ESP",IF(CALC_EPM!C144="TotalNoEsp","CURSO_NOESP","CURSO_ASIG")))))</f>
      </c>
      <c r="B155" t="str">
        <f>IF(CALC_EPM!$B144="","",CALC_EPM!A144)</f>
      </c>
      <c r="C155" t="str">
        <f>IF(CALC_EPM!$B144="","",CALC_EPM!B144)</f>
      </c>
      <c r="D155">
        <f>IF(CALC_EPM!$B144="","",CALC_EPM!D144)</f>
      </c>
      <c r="E155" s="10" t="str">
        <f>IF(CALC_EPM!$B144="","",CALC_EPM!E144)</f>
      </c>
      <c r="F155" s="10" t="str">
        <f>IF(CALC_EPM!$B144="","",CALC_EPM!F144)</f>
      </c>
      <c r="G155" t="str">
        <f>IF(CALC_EPM!$B144="","",CALC_EPM!G144)</f>
      </c>
      <c r="H155" s="11" t="str">
        <f>IF(CALC_EPM!$B144="","",CALC_EPM!H144)</f>
      </c>
      <c r="I155" s="11" t="str">
        <f>IF(CALC_EPM!$B144="","",CALC_EPM!I144)</f>
      </c>
      <c r="J155" t="str">
        <f>IF(CALC_EPM!$B144="","",CALC_EPM!J144)</f>
      </c>
      <c r="K155" t="str">
        <f>IF(CALC_EPM!$B144="","",CALC_EPM!K144)</f>
      </c>
      <c r="L155">
        <f>IF(CALC_EPM!$B144="","",CALC_EPM!L144)</f>
      </c>
      <c r="M155">
        <f>IF(CALC_EPM!$B144="","",CALC_EPM!M144)</f>
      </c>
      <c r="N155">
        <f>IF(CALC_EPM!$B144="","",CALC_EPM!N144)</f>
      </c>
      <c r="O155">
        <f>IF(CALC_EPM!$B144="","",CALC_EPM!O144)</f>
      </c>
      <c r="P155">
        <f>IF(CALC_EPM!$B144="","",CALC_EPM!P144)</f>
      </c>
      <c r="Q155">
        <f>IF(CALC_EPM!$B144="","",CALC_EPM!Q144)</f>
      </c>
      <c r="R155">
        <f>IF(CALC_EPM!$B144="","",CALC_EPM!R144)</f>
      </c>
      <c r="S155">
        <f>IF(CALC_EPM!$B144="","",CALC_EPM!S144)</f>
      </c>
      <c r="T155">
        <f>IF(CALC_EPM!$B144="","",CALC_EPM!T144)</f>
      </c>
      <c r="U155">
        <f>IF(CALC_EPM!$B144="","",CALC_EPM!U144)</f>
      </c>
    </row>
    <row r="156">
      <c r="A156" t="str">
        <f>IF(CALC_EPM!$B145="","",IF(CALC_EPM!A145="GLOBAL",IF(CALC_EPM!C145="Total","GLOBAL",IF(CALC_EPM!C145="TotalEsp","GLOBAL_ESP",IF(CALC_EPM!C145="TotalNoEsp","GLOBAL_NOESP","GLOBAL_ASIG"))),IF(CALC_EPM!C145="Total","CURSO_TOTAL",IF(CALC_EPM!C145="TotalEsp","CURSO_ESP",IF(CALC_EPM!C145="TotalNoEsp","CURSO_NOESP","CURSO_ASIG")))))</f>
      </c>
      <c r="B156" t="str">
        <f>IF(CALC_EPM!$B145="","",CALC_EPM!A145)</f>
      </c>
      <c r="C156" t="str">
        <f>IF(CALC_EPM!$B145="","",CALC_EPM!B145)</f>
      </c>
      <c r="D156">
        <f>IF(CALC_EPM!$B145="","",CALC_EPM!D145)</f>
      </c>
      <c r="E156" s="10" t="str">
        <f>IF(CALC_EPM!$B145="","",CALC_EPM!E145)</f>
      </c>
      <c r="F156" s="10" t="str">
        <f>IF(CALC_EPM!$B145="","",CALC_EPM!F145)</f>
      </c>
      <c r="G156" t="str">
        <f>IF(CALC_EPM!$B145="","",CALC_EPM!G145)</f>
      </c>
      <c r="H156" s="11" t="str">
        <f>IF(CALC_EPM!$B145="","",CALC_EPM!H145)</f>
      </c>
      <c r="I156" s="11" t="str">
        <f>IF(CALC_EPM!$B145="","",CALC_EPM!I145)</f>
      </c>
      <c r="J156" t="str">
        <f>IF(CALC_EPM!$B145="","",CALC_EPM!J145)</f>
      </c>
      <c r="K156" t="str">
        <f>IF(CALC_EPM!$B145="","",CALC_EPM!K145)</f>
      </c>
      <c r="L156">
        <f>IF(CALC_EPM!$B145="","",CALC_EPM!L145)</f>
      </c>
      <c r="M156">
        <f>IF(CALC_EPM!$B145="","",CALC_EPM!M145)</f>
      </c>
      <c r="N156">
        <f>IF(CALC_EPM!$B145="","",CALC_EPM!N145)</f>
      </c>
      <c r="O156">
        <f>IF(CALC_EPM!$B145="","",CALC_EPM!O145)</f>
      </c>
      <c r="P156">
        <f>IF(CALC_EPM!$B145="","",CALC_EPM!P145)</f>
      </c>
      <c r="Q156">
        <f>IF(CALC_EPM!$B145="","",CALC_EPM!Q145)</f>
      </c>
      <c r="R156">
        <f>IF(CALC_EPM!$B145="","",CALC_EPM!R145)</f>
      </c>
      <c r="S156">
        <f>IF(CALC_EPM!$B145="","",CALC_EPM!S145)</f>
      </c>
      <c r="T156">
        <f>IF(CALC_EPM!$B145="","",CALC_EPM!T145)</f>
      </c>
      <c r="U156">
        <f>IF(CALC_EPM!$B145="","",CALC_EPM!U145)</f>
      </c>
    </row>
    <row r="157">
      <c r="A157" t="str">
        <f>IF(CALC_EPM!$B146="","",IF(CALC_EPM!A146="GLOBAL",IF(CALC_EPM!C146="Total","GLOBAL",IF(CALC_EPM!C146="TotalEsp","GLOBAL_ESP",IF(CALC_EPM!C146="TotalNoEsp","GLOBAL_NOESP","GLOBAL_ASIG"))),IF(CALC_EPM!C146="Total","CURSO_TOTAL",IF(CALC_EPM!C146="TotalEsp","CURSO_ESP",IF(CALC_EPM!C146="TotalNoEsp","CURSO_NOESP","CURSO_ASIG")))))</f>
      </c>
      <c r="B157" t="str">
        <f>IF(CALC_EPM!$B146="","",CALC_EPM!A146)</f>
      </c>
      <c r="C157" t="str">
        <f>IF(CALC_EPM!$B146="","",CALC_EPM!B146)</f>
      </c>
      <c r="D157">
        <f>IF(CALC_EPM!$B146="","",CALC_EPM!D146)</f>
      </c>
      <c r="E157" s="10" t="str">
        <f>IF(CALC_EPM!$B146="","",CALC_EPM!E146)</f>
      </c>
      <c r="F157" s="10" t="str">
        <f>IF(CALC_EPM!$B146="","",CALC_EPM!F146)</f>
      </c>
      <c r="G157" t="str">
        <f>IF(CALC_EPM!$B146="","",CALC_EPM!G146)</f>
      </c>
      <c r="H157" s="11" t="str">
        <f>IF(CALC_EPM!$B146="","",CALC_EPM!H146)</f>
      </c>
      <c r="I157" s="11" t="str">
        <f>IF(CALC_EPM!$B146="","",CALC_EPM!I146)</f>
      </c>
      <c r="J157" t="str">
        <f>IF(CALC_EPM!$B146="","",CALC_EPM!J146)</f>
      </c>
      <c r="K157" t="str">
        <f>IF(CALC_EPM!$B146="","",CALC_EPM!K146)</f>
      </c>
      <c r="L157">
        <f>IF(CALC_EPM!$B146="","",CALC_EPM!L146)</f>
      </c>
      <c r="M157">
        <f>IF(CALC_EPM!$B146="","",CALC_EPM!M146)</f>
      </c>
      <c r="N157">
        <f>IF(CALC_EPM!$B146="","",CALC_EPM!N146)</f>
      </c>
      <c r="O157">
        <f>IF(CALC_EPM!$B146="","",CALC_EPM!O146)</f>
      </c>
      <c r="P157">
        <f>IF(CALC_EPM!$B146="","",CALC_EPM!P146)</f>
      </c>
      <c r="Q157">
        <f>IF(CALC_EPM!$B146="","",CALC_EPM!Q146)</f>
      </c>
      <c r="R157">
        <f>IF(CALC_EPM!$B146="","",CALC_EPM!R146)</f>
      </c>
      <c r="S157">
        <f>IF(CALC_EPM!$B146="","",CALC_EPM!S146)</f>
      </c>
      <c r="T157">
        <f>IF(CALC_EPM!$B146="","",CALC_EPM!T146)</f>
      </c>
      <c r="U157">
        <f>IF(CALC_EPM!$B146="","",CALC_EPM!U146)</f>
      </c>
    </row>
    <row r="158">
      <c r="A158" t="str">
        <f>IF(CALC_EPM!$B147="","",IF(CALC_EPM!A147="GLOBAL",IF(CALC_EPM!C147="Total","GLOBAL",IF(CALC_EPM!C147="TotalEsp","GLOBAL_ESP",IF(CALC_EPM!C147="TotalNoEsp","GLOBAL_NOESP","GLOBAL_ASIG"))),IF(CALC_EPM!C147="Total","CURSO_TOTAL",IF(CALC_EPM!C147="TotalEsp","CURSO_ESP",IF(CALC_EPM!C147="TotalNoEsp","CURSO_NOESP","CURSO_ASIG")))))</f>
      </c>
      <c r="B158" t="str">
        <f>IF(CALC_EPM!$B147="","",CALC_EPM!A147)</f>
      </c>
      <c r="C158" t="str">
        <f>IF(CALC_EPM!$B147="","",CALC_EPM!B147)</f>
      </c>
      <c r="D158">
        <f>IF(CALC_EPM!$B147="","",CALC_EPM!D147)</f>
      </c>
      <c r="E158" s="10" t="str">
        <f>IF(CALC_EPM!$B147="","",CALC_EPM!E147)</f>
      </c>
      <c r="F158" s="10" t="str">
        <f>IF(CALC_EPM!$B147="","",CALC_EPM!F147)</f>
      </c>
      <c r="G158" t="str">
        <f>IF(CALC_EPM!$B147="","",CALC_EPM!G147)</f>
      </c>
      <c r="H158" s="11" t="str">
        <f>IF(CALC_EPM!$B147="","",CALC_EPM!H147)</f>
      </c>
      <c r="I158" s="11" t="str">
        <f>IF(CALC_EPM!$B147="","",CALC_EPM!I147)</f>
      </c>
      <c r="J158" t="str">
        <f>IF(CALC_EPM!$B147="","",CALC_EPM!J147)</f>
      </c>
      <c r="K158" t="str">
        <f>IF(CALC_EPM!$B147="","",CALC_EPM!K147)</f>
      </c>
      <c r="L158">
        <f>IF(CALC_EPM!$B147="","",CALC_EPM!L147)</f>
      </c>
      <c r="M158">
        <f>IF(CALC_EPM!$B147="","",CALC_EPM!M147)</f>
      </c>
      <c r="N158">
        <f>IF(CALC_EPM!$B147="","",CALC_EPM!N147)</f>
      </c>
      <c r="O158">
        <f>IF(CALC_EPM!$B147="","",CALC_EPM!O147)</f>
      </c>
      <c r="P158">
        <f>IF(CALC_EPM!$B147="","",CALC_EPM!P147)</f>
      </c>
      <c r="Q158">
        <f>IF(CALC_EPM!$B147="","",CALC_EPM!Q147)</f>
      </c>
      <c r="R158">
        <f>IF(CALC_EPM!$B147="","",CALC_EPM!R147)</f>
      </c>
      <c r="S158">
        <f>IF(CALC_EPM!$B147="","",CALC_EPM!S147)</f>
      </c>
      <c r="T158">
        <f>IF(CALC_EPM!$B147="","",CALC_EPM!T147)</f>
      </c>
      <c r="U158">
        <f>IF(CALC_EPM!$B147="","",CALC_EPM!U147)</f>
      </c>
    </row>
    <row r="159">
      <c r="A159" t="str">
        <f>IF(CALC_EPM!$B148="","",IF(CALC_EPM!A148="GLOBAL",IF(CALC_EPM!C148="Total","GLOBAL",IF(CALC_EPM!C148="TotalEsp","GLOBAL_ESP",IF(CALC_EPM!C148="TotalNoEsp","GLOBAL_NOESP","GLOBAL_ASIG"))),IF(CALC_EPM!C148="Total","CURSO_TOTAL",IF(CALC_EPM!C148="TotalEsp","CURSO_ESP",IF(CALC_EPM!C148="TotalNoEsp","CURSO_NOESP","CURSO_ASIG")))))</f>
      </c>
      <c r="B159" t="str">
        <f>IF(CALC_EPM!$B148="","",CALC_EPM!A148)</f>
      </c>
      <c r="C159" t="str">
        <f>IF(CALC_EPM!$B148="","",CALC_EPM!B148)</f>
      </c>
      <c r="D159">
        <f>IF(CALC_EPM!$B148="","",CALC_EPM!D148)</f>
      </c>
      <c r="E159" s="10" t="str">
        <f>IF(CALC_EPM!$B148="","",CALC_EPM!E148)</f>
      </c>
      <c r="F159" s="10" t="str">
        <f>IF(CALC_EPM!$B148="","",CALC_EPM!F148)</f>
      </c>
      <c r="G159" t="str">
        <f>IF(CALC_EPM!$B148="","",CALC_EPM!G148)</f>
      </c>
      <c r="H159" s="11" t="str">
        <f>IF(CALC_EPM!$B148="","",CALC_EPM!H148)</f>
      </c>
      <c r="I159" s="11" t="str">
        <f>IF(CALC_EPM!$B148="","",CALC_EPM!I148)</f>
      </c>
      <c r="J159" t="str">
        <f>IF(CALC_EPM!$B148="","",CALC_EPM!J148)</f>
      </c>
      <c r="K159" t="str">
        <f>IF(CALC_EPM!$B148="","",CALC_EPM!K148)</f>
      </c>
      <c r="L159">
        <f>IF(CALC_EPM!$B148="","",CALC_EPM!L148)</f>
      </c>
      <c r="M159">
        <f>IF(CALC_EPM!$B148="","",CALC_EPM!M148)</f>
      </c>
      <c r="N159">
        <f>IF(CALC_EPM!$B148="","",CALC_EPM!N148)</f>
      </c>
      <c r="O159">
        <f>IF(CALC_EPM!$B148="","",CALC_EPM!O148)</f>
      </c>
      <c r="P159">
        <f>IF(CALC_EPM!$B148="","",CALC_EPM!P148)</f>
      </c>
      <c r="Q159">
        <f>IF(CALC_EPM!$B148="","",CALC_EPM!Q148)</f>
      </c>
      <c r="R159">
        <f>IF(CALC_EPM!$B148="","",CALC_EPM!R148)</f>
      </c>
      <c r="S159">
        <f>IF(CALC_EPM!$B148="","",CALC_EPM!S148)</f>
      </c>
      <c r="T159">
        <f>IF(CALC_EPM!$B148="","",CALC_EPM!T148)</f>
      </c>
      <c r="U159">
        <f>IF(CALC_EPM!$B148="","",CALC_EPM!U148)</f>
      </c>
    </row>
    <row r="160">
      <c r="A160" t="str">
        <f>IF(CALC_EPM!$B149="","",IF(CALC_EPM!A149="GLOBAL",IF(CALC_EPM!C149="Total","GLOBAL",IF(CALC_EPM!C149="TotalEsp","GLOBAL_ESP",IF(CALC_EPM!C149="TotalNoEsp","GLOBAL_NOESP","GLOBAL_ASIG"))),IF(CALC_EPM!C149="Total","CURSO_TOTAL",IF(CALC_EPM!C149="TotalEsp","CURSO_ESP",IF(CALC_EPM!C149="TotalNoEsp","CURSO_NOESP","CURSO_ASIG")))))</f>
      </c>
      <c r="B160" t="str">
        <f>IF(CALC_EPM!$B149="","",CALC_EPM!A149)</f>
      </c>
      <c r="C160" t="str">
        <f>IF(CALC_EPM!$B149="","",CALC_EPM!B149)</f>
      </c>
      <c r="D160">
        <f>IF(CALC_EPM!$B149="","",CALC_EPM!D149)</f>
      </c>
      <c r="E160" s="10" t="str">
        <f>IF(CALC_EPM!$B149="","",CALC_EPM!E149)</f>
      </c>
      <c r="F160" s="10" t="str">
        <f>IF(CALC_EPM!$B149="","",CALC_EPM!F149)</f>
      </c>
      <c r="G160" t="str">
        <f>IF(CALC_EPM!$B149="","",CALC_EPM!G149)</f>
      </c>
      <c r="H160" s="11" t="str">
        <f>IF(CALC_EPM!$B149="","",CALC_EPM!H149)</f>
      </c>
      <c r="I160" s="11" t="str">
        <f>IF(CALC_EPM!$B149="","",CALC_EPM!I149)</f>
      </c>
      <c r="J160" t="str">
        <f>IF(CALC_EPM!$B149="","",CALC_EPM!J149)</f>
      </c>
      <c r="K160" t="str">
        <f>IF(CALC_EPM!$B149="","",CALC_EPM!K149)</f>
      </c>
      <c r="L160">
        <f>IF(CALC_EPM!$B149="","",CALC_EPM!L149)</f>
      </c>
      <c r="M160">
        <f>IF(CALC_EPM!$B149="","",CALC_EPM!M149)</f>
      </c>
      <c r="N160">
        <f>IF(CALC_EPM!$B149="","",CALC_EPM!N149)</f>
      </c>
      <c r="O160">
        <f>IF(CALC_EPM!$B149="","",CALC_EPM!O149)</f>
      </c>
      <c r="P160">
        <f>IF(CALC_EPM!$B149="","",CALC_EPM!P149)</f>
      </c>
      <c r="Q160">
        <f>IF(CALC_EPM!$B149="","",CALC_EPM!Q149)</f>
      </c>
      <c r="R160">
        <f>IF(CALC_EPM!$B149="","",CALC_EPM!R149)</f>
      </c>
      <c r="S160">
        <f>IF(CALC_EPM!$B149="","",CALC_EPM!S149)</f>
      </c>
      <c r="T160">
        <f>IF(CALC_EPM!$B149="","",CALC_EPM!T149)</f>
      </c>
      <c r="U160">
        <f>IF(CALC_EPM!$B149="","",CALC_EPM!U149)</f>
      </c>
    </row>
    <row r="161">
      <c r="A161" t="str">
        <f>IF(CALC_EPM!$B150="","",IF(CALC_EPM!A150="GLOBAL",IF(CALC_EPM!C150="Total","GLOBAL",IF(CALC_EPM!C150="TotalEsp","GLOBAL_ESP",IF(CALC_EPM!C150="TotalNoEsp","GLOBAL_NOESP","GLOBAL_ASIG"))),IF(CALC_EPM!C150="Total","CURSO_TOTAL",IF(CALC_EPM!C150="TotalEsp","CURSO_ESP",IF(CALC_EPM!C150="TotalNoEsp","CURSO_NOESP","CURSO_ASIG")))))</f>
      </c>
      <c r="B161" t="str">
        <f>IF(CALC_EPM!$B150="","",CALC_EPM!A150)</f>
      </c>
      <c r="C161" t="str">
        <f>IF(CALC_EPM!$B150="","",CALC_EPM!B150)</f>
      </c>
      <c r="D161">
        <f>IF(CALC_EPM!$B150="","",CALC_EPM!D150)</f>
      </c>
      <c r="E161" s="10" t="str">
        <f>IF(CALC_EPM!$B150="","",CALC_EPM!E150)</f>
      </c>
      <c r="F161" s="10" t="str">
        <f>IF(CALC_EPM!$B150="","",CALC_EPM!F150)</f>
      </c>
      <c r="G161" t="str">
        <f>IF(CALC_EPM!$B150="","",CALC_EPM!G150)</f>
      </c>
      <c r="H161" s="11" t="str">
        <f>IF(CALC_EPM!$B150="","",CALC_EPM!H150)</f>
      </c>
      <c r="I161" s="11" t="str">
        <f>IF(CALC_EPM!$B150="","",CALC_EPM!I150)</f>
      </c>
      <c r="J161" t="str">
        <f>IF(CALC_EPM!$B150="","",CALC_EPM!J150)</f>
      </c>
      <c r="K161" t="str">
        <f>IF(CALC_EPM!$B150="","",CALC_EPM!K150)</f>
      </c>
      <c r="L161">
        <f>IF(CALC_EPM!$B150="","",CALC_EPM!L150)</f>
      </c>
      <c r="M161">
        <f>IF(CALC_EPM!$B150="","",CALC_EPM!M150)</f>
      </c>
      <c r="N161">
        <f>IF(CALC_EPM!$B150="","",CALC_EPM!N150)</f>
      </c>
      <c r="O161">
        <f>IF(CALC_EPM!$B150="","",CALC_EPM!O150)</f>
      </c>
      <c r="P161">
        <f>IF(CALC_EPM!$B150="","",CALC_EPM!P150)</f>
      </c>
      <c r="Q161">
        <f>IF(CALC_EPM!$B150="","",CALC_EPM!Q150)</f>
      </c>
      <c r="R161">
        <f>IF(CALC_EPM!$B150="","",CALC_EPM!R150)</f>
      </c>
      <c r="S161">
        <f>IF(CALC_EPM!$B150="","",CALC_EPM!S150)</f>
      </c>
      <c r="T161">
        <f>IF(CALC_EPM!$B150="","",CALC_EPM!T150)</f>
      </c>
      <c r="U161">
        <f>IF(CALC_EPM!$B150="","",CALC_EPM!U150)</f>
      </c>
    </row>
    <row r="162">
      <c r="A162" t="str">
        <f>IF(CALC_EPM!$B151="","",IF(CALC_EPM!A151="GLOBAL",IF(CALC_EPM!C151="Total","GLOBAL",IF(CALC_EPM!C151="TotalEsp","GLOBAL_ESP",IF(CALC_EPM!C151="TotalNoEsp","GLOBAL_NOESP","GLOBAL_ASIG"))),IF(CALC_EPM!C151="Total","CURSO_TOTAL",IF(CALC_EPM!C151="TotalEsp","CURSO_ESP",IF(CALC_EPM!C151="TotalNoEsp","CURSO_NOESP","CURSO_ASIG")))))</f>
      </c>
      <c r="B162" t="str">
        <f>IF(CALC_EPM!$B151="","",CALC_EPM!A151)</f>
      </c>
      <c r="C162" t="str">
        <f>IF(CALC_EPM!$B151="","",CALC_EPM!B151)</f>
      </c>
      <c r="D162">
        <f>IF(CALC_EPM!$B151="","",CALC_EPM!D151)</f>
      </c>
      <c r="E162" s="10" t="str">
        <f>IF(CALC_EPM!$B151="","",CALC_EPM!E151)</f>
      </c>
      <c r="F162" s="10" t="str">
        <f>IF(CALC_EPM!$B151="","",CALC_EPM!F151)</f>
      </c>
      <c r="G162" t="str">
        <f>IF(CALC_EPM!$B151="","",CALC_EPM!G151)</f>
      </c>
      <c r="H162" s="11" t="str">
        <f>IF(CALC_EPM!$B151="","",CALC_EPM!H151)</f>
      </c>
      <c r="I162" s="11" t="str">
        <f>IF(CALC_EPM!$B151="","",CALC_EPM!I151)</f>
      </c>
      <c r="J162" t="str">
        <f>IF(CALC_EPM!$B151="","",CALC_EPM!J151)</f>
      </c>
      <c r="K162" t="str">
        <f>IF(CALC_EPM!$B151="","",CALC_EPM!K151)</f>
      </c>
      <c r="L162">
        <f>IF(CALC_EPM!$B151="","",CALC_EPM!L151)</f>
      </c>
      <c r="M162">
        <f>IF(CALC_EPM!$B151="","",CALC_EPM!M151)</f>
      </c>
      <c r="N162">
        <f>IF(CALC_EPM!$B151="","",CALC_EPM!N151)</f>
      </c>
      <c r="O162">
        <f>IF(CALC_EPM!$B151="","",CALC_EPM!O151)</f>
      </c>
      <c r="P162">
        <f>IF(CALC_EPM!$B151="","",CALC_EPM!P151)</f>
      </c>
      <c r="Q162">
        <f>IF(CALC_EPM!$B151="","",CALC_EPM!Q151)</f>
      </c>
      <c r="R162">
        <f>IF(CALC_EPM!$B151="","",CALC_EPM!R151)</f>
      </c>
      <c r="S162">
        <f>IF(CALC_EPM!$B151="","",CALC_EPM!S151)</f>
      </c>
      <c r="T162">
        <f>IF(CALC_EPM!$B151="","",CALC_EPM!T151)</f>
      </c>
      <c r="U162">
        <f>IF(CALC_EPM!$B151="","",CALC_EPM!U151)</f>
      </c>
    </row>
    <row r="163">
      <c r="A163" t="str">
        <f>IF(CALC_EPM!$B152="","",IF(CALC_EPM!A152="GLOBAL",IF(CALC_EPM!C152="Total","GLOBAL",IF(CALC_EPM!C152="TotalEsp","GLOBAL_ESP",IF(CALC_EPM!C152="TotalNoEsp","GLOBAL_NOESP","GLOBAL_ASIG"))),IF(CALC_EPM!C152="Total","CURSO_TOTAL",IF(CALC_EPM!C152="TotalEsp","CURSO_ESP",IF(CALC_EPM!C152="TotalNoEsp","CURSO_NOESP","CURSO_ASIG")))))</f>
      </c>
      <c r="B163" t="str">
        <f>IF(CALC_EPM!$B152="","",CALC_EPM!A152)</f>
      </c>
      <c r="C163" t="str">
        <f>IF(CALC_EPM!$B152="","",CALC_EPM!B152)</f>
      </c>
      <c r="D163">
        <f>IF(CALC_EPM!$B152="","",CALC_EPM!D152)</f>
      </c>
      <c r="E163" s="10" t="str">
        <f>IF(CALC_EPM!$B152="","",CALC_EPM!E152)</f>
      </c>
      <c r="F163" s="10" t="str">
        <f>IF(CALC_EPM!$B152="","",CALC_EPM!F152)</f>
      </c>
      <c r="G163" t="str">
        <f>IF(CALC_EPM!$B152="","",CALC_EPM!G152)</f>
      </c>
      <c r="H163" s="11" t="str">
        <f>IF(CALC_EPM!$B152="","",CALC_EPM!H152)</f>
      </c>
      <c r="I163" s="11" t="str">
        <f>IF(CALC_EPM!$B152="","",CALC_EPM!I152)</f>
      </c>
      <c r="J163" t="str">
        <f>IF(CALC_EPM!$B152="","",CALC_EPM!J152)</f>
      </c>
      <c r="K163" t="str">
        <f>IF(CALC_EPM!$B152="","",CALC_EPM!K152)</f>
      </c>
      <c r="L163">
        <f>IF(CALC_EPM!$B152="","",CALC_EPM!L152)</f>
      </c>
      <c r="M163">
        <f>IF(CALC_EPM!$B152="","",CALC_EPM!M152)</f>
      </c>
      <c r="N163">
        <f>IF(CALC_EPM!$B152="","",CALC_EPM!N152)</f>
      </c>
      <c r="O163">
        <f>IF(CALC_EPM!$B152="","",CALC_EPM!O152)</f>
      </c>
      <c r="P163">
        <f>IF(CALC_EPM!$B152="","",CALC_EPM!P152)</f>
      </c>
      <c r="Q163">
        <f>IF(CALC_EPM!$B152="","",CALC_EPM!Q152)</f>
      </c>
      <c r="R163">
        <f>IF(CALC_EPM!$B152="","",CALC_EPM!R152)</f>
      </c>
      <c r="S163">
        <f>IF(CALC_EPM!$B152="","",CALC_EPM!S152)</f>
      </c>
      <c r="T163">
        <f>IF(CALC_EPM!$B152="","",CALC_EPM!T152)</f>
      </c>
      <c r="U163">
        <f>IF(CALC_EPM!$B152="","",CALC_EPM!U152)</f>
      </c>
    </row>
    <row r="164">
      <c r="A164" t="str">
        <f>IF(CALC_EPM!$B153="","",IF(CALC_EPM!A153="GLOBAL",IF(CALC_EPM!C153="Total","GLOBAL",IF(CALC_EPM!C153="TotalEsp","GLOBAL_ESP",IF(CALC_EPM!C153="TotalNoEsp","GLOBAL_NOESP","GLOBAL_ASIG"))),IF(CALC_EPM!C153="Total","CURSO_TOTAL",IF(CALC_EPM!C153="TotalEsp","CURSO_ESP",IF(CALC_EPM!C153="TotalNoEsp","CURSO_NOESP","CURSO_ASIG")))))</f>
      </c>
      <c r="B164" t="str">
        <f>IF(CALC_EPM!$B153="","",CALC_EPM!A153)</f>
      </c>
      <c r="C164" t="str">
        <f>IF(CALC_EPM!$B153="","",CALC_EPM!B153)</f>
      </c>
      <c r="D164">
        <f>IF(CALC_EPM!$B153="","",CALC_EPM!D153)</f>
      </c>
      <c r="E164" s="10" t="str">
        <f>IF(CALC_EPM!$B153="","",CALC_EPM!E153)</f>
      </c>
      <c r="F164" s="10" t="str">
        <f>IF(CALC_EPM!$B153="","",CALC_EPM!F153)</f>
      </c>
      <c r="G164" t="str">
        <f>IF(CALC_EPM!$B153="","",CALC_EPM!G153)</f>
      </c>
      <c r="H164" s="11" t="str">
        <f>IF(CALC_EPM!$B153="","",CALC_EPM!H153)</f>
      </c>
      <c r="I164" s="11" t="str">
        <f>IF(CALC_EPM!$B153="","",CALC_EPM!I153)</f>
      </c>
      <c r="J164" t="str">
        <f>IF(CALC_EPM!$B153="","",CALC_EPM!J153)</f>
      </c>
      <c r="K164" t="str">
        <f>IF(CALC_EPM!$B153="","",CALC_EPM!K153)</f>
      </c>
      <c r="L164">
        <f>IF(CALC_EPM!$B153="","",CALC_EPM!L153)</f>
      </c>
      <c r="M164">
        <f>IF(CALC_EPM!$B153="","",CALC_EPM!M153)</f>
      </c>
      <c r="N164">
        <f>IF(CALC_EPM!$B153="","",CALC_EPM!N153)</f>
      </c>
      <c r="O164">
        <f>IF(CALC_EPM!$B153="","",CALC_EPM!O153)</f>
      </c>
      <c r="P164">
        <f>IF(CALC_EPM!$B153="","",CALC_EPM!P153)</f>
      </c>
      <c r="Q164">
        <f>IF(CALC_EPM!$B153="","",CALC_EPM!Q153)</f>
      </c>
      <c r="R164">
        <f>IF(CALC_EPM!$B153="","",CALC_EPM!R153)</f>
      </c>
      <c r="S164">
        <f>IF(CALC_EPM!$B153="","",CALC_EPM!S153)</f>
      </c>
      <c r="T164">
        <f>IF(CALC_EPM!$B153="","",CALC_EPM!T153)</f>
      </c>
      <c r="U164">
        <f>IF(CALC_EPM!$B153="","",CALC_EPM!U153)</f>
      </c>
    </row>
    <row r="165">
      <c r="A165" t="str">
        <f>IF(CALC_EPM!$B154="","",IF(CALC_EPM!A154="GLOBAL",IF(CALC_EPM!C154="Total","GLOBAL",IF(CALC_EPM!C154="TotalEsp","GLOBAL_ESP",IF(CALC_EPM!C154="TotalNoEsp","GLOBAL_NOESP","GLOBAL_ASIG"))),IF(CALC_EPM!C154="Total","CURSO_TOTAL",IF(CALC_EPM!C154="TotalEsp","CURSO_ESP",IF(CALC_EPM!C154="TotalNoEsp","CURSO_NOESP","CURSO_ASIG")))))</f>
      </c>
      <c r="B165" t="str">
        <f>IF(CALC_EPM!$B154="","",CALC_EPM!A154)</f>
      </c>
      <c r="C165" t="str">
        <f>IF(CALC_EPM!$B154="","",CALC_EPM!B154)</f>
      </c>
      <c r="D165">
        <f>IF(CALC_EPM!$B154="","",CALC_EPM!D154)</f>
      </c>
      <c r="E165" s="10" t="str">
        <f>IF(CALC_EPM!$B154="","",CALC_EPM!E154)</f>
      </c>
      <c r="F165" s="10" t="str">
        <f>IF(CALC_EPM!$B154="","",CALC_EPM!F154)</f>
      </c>
      <c r="G165" t="str">
        <f>IF(CALC_EPM!$B154="","",CALC_EPM!G154)</f>
      </c>
      <c r="H165" s="11" t="str">
        <f>IF(CALC_EPM!$B154="","",CALC_EPM!H154)</f>
      </c>
      <c r="I165" s="11" t="str">
        <f>IF(CALC_EPM!$B154="","",CALC_EPM!I154)</f>
      </c>
      <c r="J165" t="str">
        <f>IF(CALC_EPM!$B154="","",CALC_EPM!J154)</f>
      </c>
      <c r="K165" t="str">
        <f>IF(CALC_EPM!$B154="","",CALC_EPM!K154)</f>
      </c>
      <c r="L165">
        <f>IF(CALC_EPM!$B154="","",CALC_EPM!L154)</f>
      </c>
      <c r="M165">
        <f>IF(CALC_EPM!$B154="","",CALC_EPM!M154)</f>
      </c>
      <c r="N165">
        <f>IF(CALC_EPM!$B154="","",CALC_EPM!N154)</f>
      </c>
      <c r="O165">
        <f>IF(CALC_EPM!$B154="","",CALC_EPM!O154)</f>
      </c>
      <c r="P165">
        <f>IF(CALC_EPM!$B154="","",CALC_EPM!P154)</f>
      </c>
      <c r="Q165">
        <f>IF(CALC_EPM!$B154="","",CALC_EPM!Q154)</f>
      </c>
      <c r="R165">
        <f>IF(CALC_EPM!$B154="","",CALC_EPM!R154)</f>
      </c>
      <c r="S165">
        <f>IF(CALC_EPM!$B154="","",CALC_EPM!S154)</f>
      </c>
      <c r="T165">
        <f>IF(CALC_EPM!$B154="","",CALC_EPM!T154)</f>
      </c>
      <c r="U165">
        <f>IF(CALC_EPM!$B154="","",CALC_EPM!U154)</f>
      </c>
    </row>
    <row r="166">
      <c r="A166" t="str">
        <f>IF(CALC_EPM!$B155="","",IF(CALC_EPM!A155="GLOBAL",IF(CALC_EPM!C155="Total","GLOBAL",IF(CALC_EPM!C155="TotalEsp","GLOBAL_ESP",IF(CALC_EPM!C155="TotalNoEsp","GLOBAL_NOESP","GLOBAL_ASIG"))),IF(CALC_EPM!C155="Total","CURSO_TOTAL",IF(CALC_EPM!C155="TotalEsp","CURSO_ESP",IF(CALC_EPM!C155="TotalNoEsp","CURSO_NOESP","CURSO_ASIG")))))</f>
      </c>
      <c r="B166" t="str">
        <f>IF(CALC_EPM!$B155="","",CALC_EPM!A155)</f>
      </c>
      <c r="C166" t="str">
        <f>IF(CALC_EPM!$B155="","",CALC_EPM!B155)</f>
      </c>
      <c r="D166">
        <f>IF(CALC_EPM!$B155="","",CALC_EPM!D155)</f>
      </c>
      <c r="E166" s="10" t="str">
        <f>IF(CALC_EPM!$B155="","",CALC_EPM!E155)</f>
      </c>
      <c r="F166" s="10" t="str">
        <f>IF(CALC_EPM!$B155="","",CALC_EPM!F155)</f>
      </c>
      <c r="G166" t="str">
        <f>IF(CALC_EPM!$B155="","",CALC_EPM!G155)</f>
      </c>
      <c r="H166" s="11" t="str">
        <f>IF(CALC_EPM!$B155="","",CALC_EPM!H155)</f>
      </c>
      <c r="I166" s="11" t="str">
        <f>IF(CALC_EPM!$B155="","",CALC_EPM!I155)</f>
      </c>
      <c r="J166" t="str">
        <f>IF(CALC_EPM!$B155="","",CALC_EPM!J155)</f>
      </c>
      <c r="K166" t="str">
        <f>IF(CALC_EPM!$B155="","",CALC_EPM!K155)</f>
      </c>
      <c r="L166">
        <f>IF(CALC_EPM!$B155="","",CALC_EPM!L155)</f>
      </c>
      <c r="M166">
        <f>IF(CALC_EPM!$B155="","",CALC_EPM!M155)</f>
      </c>
      <c r="N166">
        <f>IF(CALC_EPM!$B155="","",CALC_EPM!N155)</f>
      </c>
      <c r="O166">
        <f>IF(CALC_EPM!$B155="","",CALC_EPM!O155)</f>
      </c>
      <c r="P166">
        <f>IF(CALC_EPM!$B155="","",CALC_EPM!P155)</f>
      </c>
      <c r="Q166">
        <f>IF(CALC_EPM!$B155="","",CALC_EPM!Q155)</f>
      </c>
      <c r="R166">
        <f>IF(CALC_EPM!$B155="","",CALC_EPM!R155)</f>
      </c>
      <c r="S166">
        <f>IF(CALC_EPM!$B155="","",CALC_EPM!S155)</f>
      </c>
      <c r="T166">
        <f>IF(CALC_EPM!$B155="","",CALC_EPM!T155)</f>
      </c>
      <c r="U166">
        <f>IF(CALC_EPM!$B155="","",CALC_EPM!U155)</f>
      </c>
    </row>
    <row r="167">
      <c r="A167" t="str">
        <f>IF(CALC_EPM!$B156="","",IF(CALC_EPM!A156="GLOBAL",IF(CALC_EPM!C156="Total","GLOBAL",IF(CALC_EPM!C156="TotalEsp","GLOBAL_ESP",IF(CALC_EPM!C156="TotalNoEsp","GLOBAL_NOESP","GLOBAL_ASIG"))),IF(CALC_EPM!C156="Total","CURSO_TOTAL",IF(CALC_EPM!C156="TotalEsp","CURSO_ESP",IF(CALC_EPM!C156="TotalNoEsp","CURSO_NOESP","CURSO_ASIG")))))</f>
      </c>
      <c r="B167" t="str">
        <f>IF(CALC_EPM!$B156="","",CALC_EPM!A156)</f>
      </c>
      <c r="C167" t="str">
        <f>IF(CALC_EPM!$B156="","",CALC_EPM!B156)</f>
      </c>
      <c r="D167">
        <f>IF(CALC_EPM!$B156="","",CALC_EPM!D156)</f>
      </c>
      <c r="E167" s="10" t="str">
        <f>IF(CALC_EPM!$B156="","",CALC_EPM!E156)</f>
      </c>
      <c r="F167" s="10" t="str">
        <f>IF(CALC_EPM!$B156="","",CALC_EPM!F156)</f>
      </c>
      <c r="G167" t="str">
        <f>IF(CALC_EPM!$B156="","",CALC_EPM!G156)</f>
      </c>
      <c r="H167" s="11" t="str">
        <f>IF(CALC_EPM!$B156="","",CALC_EPM!H156)</f>
      </c>
      <c r="I167" s="11" t="str">
        <f>IF(CALC_EPM!$B156="","",CALC_EPM!I156)</f>
      </c>
      <c r="J167" t="str">
        <f>IF(CALC_EPM!$B156="","",CALC_EPM!J156)</f>
      </c>
      <c r="K167" t="str">
        <f>IF(CALC_EPM!$B156="","",CALC_EPM!K156)</f>
      </c>
      <c r="L167">
        <f>IF(CALC_EPM!$B156="","",CALC_EPM!L156)</f>
      </c>
      <c r="M167">
        <f>IF(CALC_EPM!$B156="","",CALC_EPM!M156)</f>
      </c>
      <c r="N167">
        <f>IF(CALC_EPM!$B156="","",CALC_EPM!N156)</f>
      </c>
      <c r="O167">
        <f>IF(CALC_EPM!$B156="","",CALC_EPM!O156)</f>
      </c>
      <c r="P167">
        <f>IF(CALC_EPM!$B156="","",CALC_EPM!P156)</f>
      </c>
      <c r="Q167">
        <f>IF(CALC_EPM!$B156="","",CALC_EPM!Q156)</f>
      </c>
      <c r="R167">
        <f>IF(CALC_EPM!$B156="","",CALC_EPM!R156)</f>
      </c>
      <c r="S167">
        <f>IF(CALC_EPM!$B156="","",CALC_EPM!S156)</f>
      </c>
      <c r="T167">
        <f>IF(CALC_EPM!$B156="","",CALC_EPM!T156)</f>
      </c>
      <c r="U167">
        <f>IF(CALC_EPM!$B156="","",CALC_EPM!U156)</f>
      </c>
    </row>
    <row r="168">
      <c r="A168" t="str">
        <f>IF(CALC_EPM!$B157="","",IF(CALC_EPM!A157="GLOBAL",IF(CALC_EPM!C157="Total","GLOBAL",IF(CALC_EPM!C157="TotalEsp","GLOBAL_ESP",IF(CALC_EPM!C157="TotalNoEsp","GLOBAL_NOESP","GLOBAL_ASIG"))),IF(CALC_EPM!C157="Total","CURSO_TOTAL",IF(CALC_EPM!C157="TotalEsp","CURSO_ESP",IF(CALC_EPM!C157="TotalNoEsp","CURSO_NOESP","CURSO_ASIG")))))</f>
      </c>
      <c r="B168" t="str">
        <f>IF(CALC_EPM!$B157="","",CALC_EPM!A157)</f>
      </c>
      <c r="C168" t="str">
        <f>IF(CALC_EPM!$B157="","",CALC_EPM!B157)</f>
      </c>
      <c r="D168">
        <f>IF(CALC_EPM!$B157="","",CALC_EPM!D157)</f>
      </c>
      <c r="E168" s="10" t="str">
        <f>IF(CALC_EPM!$B157="","",CALC_EPM!E157)</f>
      </c>
      <c r="F168" s="10" t="str">
        <f>IF(CALC_EPM!$B157="","",CALC_EPM!F157)</f>
      </c>
      <c r="G168" t="str">
        <f>IF(CALC_EPM!$B157="","",CALC_EPM!G157)</f>
      </c>
      <c r="H168" s="11" t="str">
        <f>IF(CALC_EPM!$B157="","",CALC_EPM!H157)</f>
      </c>
      <c r="I168" s="11" t="str">
        <f>IF(CALC_EPM!$B157="","",CALC_EPM!I157)</f>
      </c>
      <c r="J168" t="str">
        <f>IF(CALC_EPM!$B157="","",CALC_EPM!J157)</f>
      </c>
      <c r="K168" t="str">
        <f>IF(CALC_EPM!$B157="","",CALC_EPM!K157)</f>
      </c>
      <c r="L168">
        <f>IF(CALC_EPM!$B157="","",CALC_EPM!L157)</f>
      </c>
      <c r="M168">
        <f>IF(CALC_EPM!$B157="","",CALC_EPM!M157)</f>
      </c>
      <c r="N168">
        <f>IF(CALC_EPM!$B157="","",CALC_EPM!N157)</f>
      </c>
      <c r="O168">
        <f>IF(CALC_EPM!$B157="","",CALC_EPM!O157)</f>
      </c>
      <c r="P168">
        <f>IF(CALC_EPM!$B157="","",CALC_EPM!P157)</f>
      </c>
      <c r="Q168">
        <f>IF(CALC_EPM!$B157="","",CALC_EPM!Q157)</f>
      </c>
      <c r="R168">
        <f>IF(CALC_EPM!$B157="","",CALC_EPM!R157)</f>
      </c>
      <c r="S168">
        <f>IF(CALC_EPM!$B157="","",CALC_EPM!S157)</f>
      </c>
      <c r="T168">
        <f>IF(CALC_EPM!$B157="","",CALC_EPM!T157)</f>
      </c>
      <c r="U168">
        <f>IF(CALC_EPM!$B157="","",CALC_EPM!U157)</f>
      </c>
    </row>
    <row r="169">
      <c r="A169" t="str">
        <f>IF(CALC_EPM!$B158="","",IF(CALC_EPM!A158="GLOBAL",IF(CALC_EPM!C158="Total","GLOBAL",IF(CALC_EPM!C158="TotalEsp","GLOBAL_ESP",IF(CALC_EPM!C158="TotalNoEsp","GLOBAL_NOESP","GLOBAL_ASIG"))),IF(CALC_EPM!C158="Total","CURSO_TOTAL",IF(CALC_EPM!C158="TotalEsp","CURSO_ESP",IF(CALC_EPM!C158="TotalNoEsp","CURSO_NOESP","CURSO_ASIG")))))</f>
      </c>
      <c r="B169" t="str">
        <f>IF(CALC_EPM!$B158="","",CALC_EPM!A158)</f>
      </c>
      <c r="C169" t="str">
        <f>IF(CALC_EPM!$B158="","",CALC_EPM!B158)</f>
      </c>
      <c r="D169">
        <f>IF(CALC_EPM!$B158="","",CALC_EPM!D158)</f>
      </c>
      <c r="E169" s="10" t="str">
        <f>IF(CALC_EPM!$B158="","",CALC_EPM!E158)</f>
      </c>
      <c r="F169" s="10" t="str">
        <f>IF(CALC_EPM!$B158="","",CALC_EPM!F158)</f>
      </c>
      <c r="G169" t="str">
        <f>IF(CALC_EPM!$B158="","",CALC_EPM!G158)</f>
      </c>
      <c r="H169" s="11" t="str">
        <f>IF(CALC_EPM!$B158="","",CALC_EPM!H158)</f>
      </c>
      <c r="I169" s="11" t="str">
        <f>IF(CALC_EPM!$B158="","",CALC_EPM!I158)</f>
      </c>
      <c r="J169" t="str">
        <f>IF(CALC_EPM!$B158="","",CALC_EPM!J158)</f>
      </c>
      <c r="K169" t="str">
        <f>IF(CALC_EPM!$B158="","",CALC_EPM!K158)</f>
      </c>
      <c r="L169">
        <f>IF(CALC_EPM!$B158="","",CALC_EPM!L158)</f>
      </c>
      <c r="M169">
        <f>IF(CALC_EPM!$B158="","",CALC_EPM!M158)</f>
      </c>
      <c r="N169">
        <f>IF(CALC_EPM!$B158="","",CALC_EPM!N158)</f>
      </c>
      <c r="O169">
        <f>IF(CALC_EPM!$B158="","",CALC_EPM!O158)</f>
      </c>
      <c r="P169">
        <f>IF(CALC_EPM!$B158="","",CALC_EPM!P158)</f>
      </c>
      <c r="Q169">
        <f>IF(CALC_EPM!$B158="","",CALC_EPM!Q158)</f>
      </c>
      <c r="R169">
        <f>IF(CALC_EPM!$B158="","",CALC_EPM!R158)</f>
      </c>
      <c r="S169">
        <f>IF(CALC_EPM!$B158="","",CALC_EPM!S158)</f>
      </c>
      <c r="T169">
        <f>IF(CALC_EPM!$B158="","",CALC_EPM!T158)</f>
      </c>
      <c r="U169">
        <f>IF(CALC_EPM!$B158="","",CALC_EPM!U158)</f>
      </c>
    </row>
    <row r="170">
      <c r="A170" t="str">
        <f>IF(CALC_EPM!$B159="","",IF(CALC_EPM!A159="GLOBAL",IF(CALC_EPM!C159="Total","GLOBAL",IF(CALC_EPM!C159="TotalEsp","GLOBAL_ESP",IF(CALC_EPM!C159="TotalNoEsp","GLOBAL_NOESP","GLOBAL_ASIG"))),IF(CALC_EPM!C159="Total","CURSO_TOTAL",IF(CALC_EPM!C159="TotalEsp","CURSO_ESP",IF(CALC_EPM!C159="TotalNoEsp","CURSO_NOESP","CURSO_ASIG")))))</f>
      </c>
      <c r="B170" t="str">
        <f>IF(CALC_EPM!$B159="","",CALC_EPM!A159)</f>
      </c>
      <c r="C170" t="str">
        <f>IF(CALC_EPM!$B159="","",CALC_EPM!B159)</f>
      </c>
      <c r="D170">
        <f>IF(CALC_EPM!$B159="","",CALC_EPM!D159)</f>
      </c>
      <c r="E170" s="10" t="str">
        <f>IF(CALC_EPM!$B159="","",CALC_EPM!E159)</f>
      </c>
      <c r="F170" s="10" t="str">
        <f>IF(CALC_EPM!$B159="","",CALC_EPM!F159)</f>
      </c>
      <c r="G170" t="str">
        <f>IF(CALC_EPM!$B159="","",CALC_EPM!G159)</f>
      </c>
      <c r="H170" s="11" t="str">
        <f>IF(CALC_EPM!$B159="","",CALC_EPM!H159)</f>
      </c>
      <c r="I170" s="11" t="str">
        <f>IF(CALC_EPM!$B159="","",CALC_EPM!I159)</f>
      </c>
      <c r="J170" t="str">
        <f>IF(CALC_EPM!$B159="","",CALC_EPM!J159)</f>
      </c>
      <c r="K170" t="str">
        <f>IF(CALC_EPM!$B159="","",CALC_EPM!K159)</f>
      </c>
      <c r="L170">
        <f>IF(CALC_EPM!$B159="","",CALC_EPM!L159)</f>
      </c>
      <c r="M170">
        <f>IF(CALC_EPM!$B159="","",CALC_EPM!M159)</f>
      </c>
      <c r="N170">
        <f>IF(CALC_EPM!$B159="","",CALC_EPM!N159)</f>
      </c>
      <c r="O170">
        <f>IF(CALC_EPM!$B159="","",CALC_EPM!O159)</f>
      </c>
      <c r="P170">
        <f>IF(CALC_EPM!$B159="","",CALC_EPM!P159)</f>
      </c>
      <c r="Q170">
        <f>IF(CALC_EPM!$B159="","",CALC_EPM!Q159)</f>
      </c>
      <c r="R170">
        <f>IF(CALC_EPM!$B159="","",CALC_EPM!R159)</f>
      </c>
      <c r="S170">
        <f>IF(CALC_EPM!$B159="","",CALC_EPM!S159)</f>
      </c>
      <c r="T170">
        <f>IF(CALC_EPM!$B159="","",CALC_EPM!T159)</f>
      </c>
      <c r="U170">
        <f>IF(CALC_EPM!$B159="","",CALC_EPM!U159)</f>
      </c>
    </row>
    <row r="171">
      <c r="A171" t="str">
        <f>IF(CALC_EPM!$B160="","",IF(CALC_EPM!A160="GLOBAL",IF(CALC_EPM!C160="Total","GLOBAL",IF(CALC_EPM!C160="TotalEsp","GLOBAL_ESP",IF(CALC_EPM!C160="TotalNoEsp","GLOBAL_NOESP","GLOBAL_ASIG"))),IF(CALC_EPM!C160="Total","CURSO_TOTAL",IF(CALC_EPM!C160="TotalEsp","CURSO_ESP",IF(CALC_EPM!C160="TotalNoEsp","CURSO_NOESP","CURSO_ASIG")))))</f>
      </c>
      <c r="B171" t="str">
        <f>IF(CALC_EPM!$B160="","",CALC_EPM!A160)</f>
      </c>
      <c r="C171" t="str">
        <f>IF(CALC_EPM!$B160="","",CALC_EPM!B160)</f>
      </c>
      <c r="D171">
        <f>IF(CALC_EPM!$B160="","",CALC_EPM!D160)</f>
      </c>
      <c r="E171" s="10" t="str">
        <f>IF(CALC_EPM!$B160="","",CALC_EPM!E160)</f>
      </c>
      <c r="F171" s="10" t="str">
        <f>IF(CALC_EPM!$B160="","",CALC_EPM!F160)</f>
      </c>
      <c r="G171" t="str">
        <f>IF(CALC_EPM!$B160="","",CALC_EPM!G160)</f>
      </c>
      <c r="H171" s="11" t="str">
        <f>IF(CALC_EPM!$B160="","",CALC_EPM!H160)</f>
      </c>
      <c r="I171" s="11" t="str">
        <f>IF(CALC_EPM!$B160="","",CALC_EPM!I160)</f>
      </c>
      <c r="J171" t="str">
        <f>IF(CALC_EPM!$B160="","",CALC_EPM!J160)</f>
      </c>
      <c r="K171" t="str">
        <f>IF(CALC_EPM!$B160="","",CALC_EPM!K160)</f>
      </c>
      <c r="L171">
        <f>IF(CALC_EPM!$B160="","",CALC_EPM!L160)</f>
      </c>
      <c r="M171">
        <f>IF(CALC_EPM!$B160="","",CALC_EPM!M160)</f>
      </c>
      <c r="N171">
        <f>IF(CALC_EPM!$B160="","",CALC_EPM!N160)</f>
      </c>
      <c r="O171">
        <f>IF(CALC_EPM!$B160="","",CALC_EPM!O160)</f>
      </c>
      <c r="P171">
        <f>IF(CALC_EPM!$B160="","",CALC_EPM!P160)</f>
      </c>
      <c r="Q171">
        <f>IF(CALC_EPM!$B160="","",CALC_EPM!Q160)</f>
      </c>
      <c r="R171">
        <f>IF(CALC_EPM!$B160="","",CALC_EPM!R160)</f>
      </c>
      <c r="S171">
        <f>IF(CALC_EPM!$B160="","",CALC_EPM!S160)</f>
      </c>
      <c r="T171">
        <f>IF(CALC_EPM!$B160="","",CALC_EPM!T160)</f>
      </c>
      <c r="U171">
        <f>IF(CALC_EPM!$B160="","",CALC_EPM!U160)</f>
      </c>
    </row>
    <row r="172">
      <c r="A172" t="str">
        <f>IF(CALC_EPM!$B161="","",IF(CALC_EPM!A161="GLOBAL",IF(CALC_EPM!C161="Total","GLOBAL",IF(CALC_EPM!C161="TotalEsp","GLOBAL_ESP",IF(CALC_EPM!C161="TotalNoEsp","GLOBAL_NOESP","GLOBAL_ASIG"))),IF(CALC_EPM!C161="Total","CURSO_TOTAL",IF(CALC_EPM!C161="TotalEsp","CURSO_ESP",IF(CALC_EPM!C161="TotalNoEsp","CURSO_NOESP","CURSO_ASIG")))))</f>
      </c>
      <c r="B172" t="str">
        <f>IF(CALC_EPM!$B161="","",CALC_EPM!A161)</f>
      </c>
      <c r="C172" t="str">
        <f>IF(CALC_EPM!$B161="","",CALC_EPM!B161)</f>
      </c>
      <c r="D172">
        <f>IF(CALC_EPM!$B161="","",CALC_EPM!D161)</f>
      </c>
      <c r="E172" s="10" t="str">
        <f>IF(CALC_EPM!$B161="","",CALC_EPM!E161)</f>
      </c>
      <c r="F172" s="10" t="str">
        <f>IF(CALC_EPM!$B161="","",CALC_EPM!F161)</f>
      </c>
      <c r="G172" t="str">
        <f>IF(CALC_EPM!$B161="","",CALC_EPM!G161)</f>
      </c>
      <c r="H172" s="11" t="str">
        <f>IF(CALC_EPM!$B161="","",CALC_EPM!H161)</f>
      </c>
      <c r="I172" s="11" t="str">
        <f>IF(CALC_EPM!$B161="","",CALC_EPM!I161)</f>
      </c>
      <c r="J172" t="str">
        <f>IF(CALC_EPM!$B161="","",CALC_EPM!J161)</f>
      </c>
      <c r="K172" t="str">
        <f>IF(CALC_EPM!$B161="","",CALC_EPM!K161)</f>
      </c>
      <c r="L172">
        <f>IF(CALC_EPM!$B161="","",CALC_EPM!L161)</f>
      </c>
      <c r="M172">
        <f>IF(CALC_EPM!$B161="","",CALC_EPM!M161)</f>
      </c>
      <c r="N172">
        <f>IF(CALC_EPM!$B161="","",CALC_EPM!N161)</f>
      </c>
      <c r="O172">
        <f>IF(CALC_EPM!$B161="","",CALC_EPM!O161)</f>
      </c>
      <c r="P172">
        <f>IF(CALC_EPM!$B161="","",CALC_EPM!P161)</f>
      </c>
      <c r="Q172">
        <f>IF(CALC_EPM!$B161="","",CALC_EPM!Q161)</f>
      </c>
      <c r="R172">
        <f>IF(CALC_EPM!$B161="","",CALC_EPM!R161)</f>
      </c>
      <c r="S172">
        <f>IF(CALC_EPM!$B161="","",CALC_EPM!S161)</f>
      </c>
      <c r="T172">
        <f>IF(CALC_EPM!$B161="","",CALC_EPM!T161)</f>
      </c>
      <c r="U172">
        <f>IF(CALC_EPM!$B161="","",CALC_EPM!U161)</f>
      </c>
    </row>
    <row r="173">
      <c r="A173" t="str">
        <f>IF(CALC_EPM!$B162="","",IF(CALC_EPM!A162="GLOBAL",IF(CALC_EPM!C162="Total","GLOBAL",IF(CALC_EPM!C162="TotalEsp","GLOBAL_ESP",IF(CALC_EPM!C162="TotalNoEsp","GLOBAL_NOESP","GLOBAL_ASIG"))),IF(CALC_EPM!C162="Total","CURSO_TOTAL",IF(CALC_EPM!C162="TotalEsp","CURSO_ESP",IF(CALC_EPM!C162="TotalNoEsp","CURSO_NOESP","CURSO_ASIG")))))</f>
      </c>
      <c r="B173" t="str">
        <f>IF(CALC_EPM!$B162="","",CALC_EPM!A162)</f>
      </c>
      <c r="C173" t="str">
        <f>IF(CALC_EPM!$B162="","",CALC_EPM!B162)</f>
      </c>
      <c r="D173">
        <f>IF(CALC_EPM!$B162="","",CALC_EPM!D162)</f>
      </c>
      <c r="E173" s="10" t="str">
        <f>IF(CALC_EPM!$B162="","",CALC_EPM!E162)</f>
      </c>
      <c r="F173" s="10" t="str">
        <f>IF(CALC_EPM!$B162="","",CALC_EPM!F162)</f>
      </c>
      <c r="G173" t="str">
        <f>IF(CALC_EPM!$B162="","",CALC_EPM!G162)</f>
      </c>
      <c r="H173" s="11" t="str">
        <f>IF(CALC_EPM!$B162="","",CALC_EPM!H162)</f>
      </c>
      <c r="I173" s="11" t="str">
        <f>IF(CALC_EPM!$B162="","",CALC_EPM!I162)</f>
      </c>
      <c r="J173" t="str">
        <f>IF(CALC_EPM!$B162="","",CALC_EPM!J162)</f>
      </c>
      <c r="K173" t="str">
        <f>IF(CALC_EPM!$B162="","",CALC_EPM!K162)</f>
      </c>
      <c r="L173">
        <f>IF(CALC_EPM!$B162="","",CALC_EPM!L162)</f>
      </c>
      <c r="M173">
        <f>IF(CALC_EPM!$B162="","",CALC_EPM!M162)</f>
      </c>
      <c r="N173">
        <f>IF(CALC_EPM!$B162="","",CALC_EPM!N162)</f>
      </c>
      <c r="O173">
        <f>IF(CALC_EPM!$B162="","",CALC_EPM!O162)</f>
      </c>
      <c r="P173">
        <f>IF(CALC_EPM!$B162="","",CALC_EPM!P162)</f>
      </c>
      <c r="Q173">
        <f>IF(CALC_EPM!$B162="","",CALC_EPM!Q162)</f>
      </c>
      <c r="R173">
        <f>IF(CALC_EPM!$B162="","",CALC_EPM!R162)</f>
      </c>
      <c r="S173">
        <f>IF(CALC_EPM!$B162="","",CALC_EPM!S162)</f>
      </c>
      <c r="T173">
        <f>IF(CALC_EPM!$B162="","",CALC_EPM!T162)</f>
      </c>
      <c r="U173">
        <f>IF(CALC_EPM!$B162="","",CALC_EPM!U162)</f>
      </c>
    </row>
    <row r="174">
      <c r="A174" t="str">
        <f>IF(CALC_EPM!$B163="","",IF(CALC_EPM!A163="GLOBAL",IF(CALC_EPM!C163="Total","GLOBAL",IF(CALC_EPM!C163="TotalEsp","GLOBAL_ESP",IF(CALC_EPM!C163="TotalNoEsp","GLOBAL_NOESP","GLOBAL_ASIG"))),IF(CALC_EPM!C163="Total","CURSO_TOTAL",IF(CALC_EPM!C163="TotalEsp","CURSO_ESP",IF(CALC_EPM!C163="TotalNoEsp","CURSO_NOESP","CURSO_ASIG")))))</f>
      </c>
      <c r="B174" t="str">
        <f>IF(CALC_EPM!$B163="","",CALC_EPM!A163)</f>
      </c>
      <c r="C174" t="str">
        <f>IF(CALC_EPM!$B163="","",CALC_EPM!B163)</f>
      </c>
      <c r="D174">
        <f>IF(CALC_EPM!$B163="","",CALC_EPM!D163)</f>
      </c>
      <c r="E174" s="10" t="str">
        <f>IF(CALC_EPM!$B163="","",CALC_EPM!E163)</f>
      </c>
      <c r="F174" s="10" t="str">
        <f>IF(CALC_EPM!$B163="","",CALC_EPM!F163)</f>
      </c>
      <c r="G174" t="str">
        <f>IF(CALC_EPM!$B163="","",CALC_EPM!G163)</f>
      </c>
      <c r="H174" s="11" t="str">
        <f>IF(CALC_EPM!$B163="","",CALC_EPM!H163)</f>
      </c>
      <c r="I174" s="11" t="str">
        <f>IF(CALC_EPM!$B163="","",CALC_EPM!I163)</f>
      </c>
      <c r="J174" t="str">
        <f>IF(CALC_EPM!$B163="","",CALC_EPM!J163)</f>
      </c>
      <c r="K174" t="str">
        <f>IF(CALC_EPM!$B163="","",CALC_EPM!K163)</f>
      </c>
      <c r="L174">
        <f>IF(CALC_EPM!$B163="","",CALC_EPM!L163)</f>
      </c>
      <c r="M174">
        <f>IF(CALC_EPM!$B163="","",CALC_EPM!M163)</f>
      </c>
      <c r="N174">
        <f>IF(CALC_EPM!$B163="","",CALC_EPM!N163)</f>
      </c>
      <c r="O174">
        <f>IF(CALC_EPM!$B163="","",CALC_EPM!O163)</f>
      </c>
      <c r="P174">
        <f>IF(CALC_EPM!$B163="","",CALC_EPM!P163)</f>
      </c>
      <c r="Q174">
        <f>IF(CALC_EPM!$B163="","",CALC_EPM!Q163)</f>
      </c>
      <c r="R174">
        <f>IF(CALC_EPM!$B163="","",CALC_EPM!R163)</f>
      </c>
      <c r="S174">
        <f>IF(CALC_EPM!$B163="","",CALC_EPM!S163)</f>
      </c>
      <c r="T174">
        <f>IF(CALC_EPM!$B163="","",CALC_EPM!T163)</f>
      </c>
      <c r="U174">
        <f>IF(CALC_EPM!$B163="","",CALC_EPM!U163)</f>
      </c>
    </row>
    <row r="175">
      <c r="A175" t="str">
        <f>IF(CALC_EPM!$B164="","",IF(CALC_EPM!A164="GLOBAL",IF(CALC_EPM!C164="Total","GLOBAL",IF(CALC_EPM!C164="TotalEsp","GLOBAL_ESP",IF(CALC_EPM!C164="TotalNoEsp","GLOBAL_NOESP","GLOBAL_ASIG"))),IF(CALC_EPM!C164="Total","CURSO_TOTAL",IF(CALC_EPM!C164="TotalEsp","CURSO_ESP",IF(CALC_EPM!C164="TotalNoEsp","CURSO_NOESP","CURSO_ASIG")))))</f>
      </c>
      <c r="B175" t="str">
        <f>IF(CALC_EPM!$B164="","",CALC_EPM!A164)</f>
      </c>
      <c r="C175" t="str">
        <f>IF(CALC_EPM!$B164="","",CALC_EPM!B164)</f>
      </c>
      <c r="D175">
        <f>IF(CALC_EPM!$B164="","",CALC_EPM!D164)</f>
      </c>
      <c r="E175" s="10" t="str">
        <f>IF(CALC_EPM!$B164="","",CALC_EPM!E164)</f>
      </c>
      <c r="F175" s="10" t="str">
        <f>IF(CALC_EPM!$B164="","",CALC_EPM!F164)</f>
      </c>
      <c r="G175" t="str">
        <f>IF(CALC_EPM!$B164="","",CALC_EPM!G164)</f>
      </c>
      <c r="H175" s="11" t="str">
        <f>IF(CALC_EPM!$B164="","",CALC_EPM!H164)</f>
      </c>
      <c r="I175" s="11" t="str">
        <f>IF(CALC_EPM!$B164="","",CALC_EPM!I164)</f>
      </c>
      <c r="J175" t="str">
        <f>IF(CALC_EPM!$B164="","",CALC_EPM!J164)</f>
      </c>
      <c r="K175" t="str">
        <f>IF(CALC_EPM!$B164="","",CALC_EPM!K164)</f>
      </c>
      <c r="L175">
        <f>IF(CALC_EPM!$B164="","",CALC_EPM!L164)</f>
      </c>
      <c r="M175">
        <f>IF(CALC_EPM!$B164="","",CALC_EPM!M164)</f>
      </c>
      <c r="N175">
        <f>IF(CALC_EPM!$B164="","",CALC_EPM!N164)</f>
      </c>
      <c r="O175">
        <f>IF(CALC_EPM!$B164="","",CALC_EPM!O164)</f>
      </c>
      <c r="P175">
        <f>IF(CALC_EPM!$B164="","",CALC_EPM!P164)</f>
      </c>
      <c r="Q175">
        <f>IF(CALC_EPM!$B164="","",CALC_EPM!Q164)</f>
      </c>
      <c r="R175">
        <f>IF(CALC_EPM!$B164="","",CALC_EPM!R164)</f>
      </c>
      <c r="S175">
        <f>IF(CALC_EPM!$B164="","",CALC_EPM!S164)</f>
      </c>
      <c r="T175">
        <f>IF(CALC_EPM!$B164="","",CALC_EPM!T164)</f>
      </c>
      <c r="U175">
        <f>IF(CALC_EPM!$B164="","",CALC_EPM!U164)</f>
      </c>
    </row>
    <row r="176">
      <c r="A176" t="str">
        <f>IF(CALC_EPM!$B165="","",IF(CALC_EPM!A165="GLOBAL",IF(CALC_EPM!C165="Total","GLOBAL",IF(CALC_EPM!C165="TotalEsp","GLOBAL_ESP",IF(CALC_EPM!C165="TotalNoEsp","GLOBAL_NOESP","GLOBAL_ASIG"))),IF(CALC_EPM!C165="Total","CURSO_TOTAL",IF(CALC_EPM!C165="TotalEsp","CURSO_ESP",IF(CALC_EPM!C165="TotalNoEsp","CURSO_NOESP","CURSO_ASIG")))))</f>
      </c>
      <c r="B176" t="str">
        <f>IF(CALC_EPM!$B165="","",CALC_EPM!A165)</f>
      </c>
      <c r="C176" t="str">
        <f>IF(CALC_EPM!$B165="","",CALC_EPM!B165)</f>
      </c>
      <c r="D176">
        <f>IF(CALC_EPM!$B165="","",CALC_EPM!D165)</f>
      </c>
      <c r="E176" s="10" t="str">
        <f>IF(CALC_EPM!$B165="","",CALC_EPM!E165)</f>
      </c>
      <c r="F176" s="10" t="str">
        <f>IF(CALC_EPM!$B165="","",CALC_EPM!F165)</f>
      </c>
      <c r="G176" t="str">
        <f>IF(CALC_EPM!$B165="","",CALC_EPM!G165)</f>
      </c>
      <c r="H176" s="11" t="str">
        <f>IF(CALC_EPM!$B165="","",CALC_EPM!H165)</f>
      </c>
      <c r="I176" s="11" t="str">
        <f>IF(CALC_EPM!$B165="","",CALC_EPM!I165)</f>
      </c>
      <c r="J176" t="str">
        <f>IF(CALC_EPM!$B165="","",CALC_EPM!J165)</f>
      </c>
      <c r="K176" t="str">
        <f>IF(CALC_EPM!$B165="","",CALC_EPM!K165)</f>
      </c>
      <c r="L176">
        <f>IF(CALC_EPM!$B165="","",CALC_EPM!L165)</f>
      </c>
      <c r="M176">
        <f>IF(CALC_EPM!$B165="","",CALC_EPM!M165)</f>
      </c>
      <c r="N176">
        <f>IF(CALC_EPM!$B165="","",CALC_EPM!N165)</f>
      </c>
      <c r="O176">
        <f>IF(CALC_EPM!$B165="","",CALC_EPM!O165)</f>
      </c>
      <c r="P176">
        <f>IF(CALC_EPM!$B165="","",CALC_EPM!P165)</f>
      </c>
      <c r="Q176">
        <f>IF(CALC_EPM!$B165="","",CALC_EPM!Q165)</f>
      </c>
      <c r="R176">
        <f>IF(CALC_EPM!$B165="","",CALC_EPM!R165)</f>
      </c>
      <c r="S176">
        <f>IF(CALC_EPM!$B165="","",CALC_EPM!S165)</f>
      </c>
      <c r="T176">
        <f>IF(CALC_EPM!$B165="","",CALC_EPM!T165)</f>
      </c>
      <c r="U176">
        <f>IF(CALC_EPM!$B165="","",CALC_EPM!U165)</f>
      </c>
    </row>
    <row r="177">
      <c r="A177" t="str">
        <f>IF(CALC_EPM!$B166="","",IF(CALC_EPM!A166="GLOBAL",IF(CALC_EPM!C166="Total","GLOBAL",IF(CALC_EPM!C166="TotalEsp","GLOBAL_ESP",IF(CALC_EPM!C166="TotalNoEsp","GLOBAL_NOESP","GLOBAL_ASIG"))),IF(CALC_EPM!C166="Total","CURSO_TOTAL",IF(CALC_EPM!C166="TotalEsp","CURSO_ESP",IF(CALC_EPM!C166="TotalNoEsp","CURSO_NOESP","CURSO_ASIG")))))</f>
      </c>
      <c r="B177" t="str">
        <f>IF(CALC_EPM!$B166="","",CALC_EPM!A166)</f>
      </c>
      <c r="C177" t="str">
        <f>IF(CALC_EPM!$B166="","",CALC_EPM!B166)</f>
      </c>
      <c r="D177">
        <f>IF(CALC_EPM!$B166="","",CALC_EPM!D166)</f>
      </c>
      <c r="E177" s="10" t="str">
        <f>IF(CALC_EPM!$B166="","",CALC_EPM!E166)</f>
      </c>
      <c r="F177" s="10" t="str">
        <f>IF(CALC_EPM!$B166="","",CALC_EPM!F166)</f>
      </c>
      <c r="G177" t="str">
        <f>IF(CALC_EPM!$B166="","",CALC_EPM!G166)</f>
      </c>
      <c r="H177" s="11" t="str">
        <f>IF(CALC_EPM!$B166="","",CALC_EPM!H166)</f>
      </c>
      <c r="I177" s="11" t="str">
        <f>IF(CALC_EPM!$B166="","",CALC_EPM!I166)</f>
      </c>
      <c r="J177" t="str">
        <f>IF(CALC_EPM!$B166="","",CALC_EPM!J166)</f>
      </c>
      <c r="K177" t="str">
        <f>IF(CALC_EPM!$B166="","",CALC_EPM!K166)</f>
      </c>
      <c r="L177">
        <f>IF(CALC_EPM!$B166="","",CALC_EPM!L166)</f>
      </c>
      <c r="M177">
        <f>IF(CALC_EPM!$B166="","",CALC_EPM!M166)</f>
      </c>
      <c r="N177">
        <f>IF(CALC_EPM!$B166="","",CALC_EPM!N166)</f>
      </c>
      <c r="O177">
        <f>IF(CALC_EPM!$B166="","",CALC_EPM!O166)</f>
      </c>
      <c r="P177">
        <f>IF(CALC_EPM!$B166="","",CALC_EPM!P166)</f>
      </c>
      <c r="Q177">
        <f>IF(CALC_EPM!$B166="","",CALC_EPM!Q166)</f>
      </c>
      <c r="R177">
        <f>IF(CALC_EPM!$B166="","",CALC_EPM!R166)</f>
      </c>
      <c r="S177">
        <f>IF(CALC_EPM!$B166="","",CALC_EPM!S166)</f>
      </c>
      <c r="T177">
        <f>IF(CALC_EPM!$B166="","",CALC_EPM!T166)</f>
      </c>
      <c r="U177">
        <f>IF(CALC_EPM!$B166="","",CALC_EPM!U166)</f>
      </c>
    </row>
    <row r="178">
      <c r="A178" t="str">
        <f>IF(CALC_EPM!$B167="","",IF(CALC_EPM!A167="GLOBAL",IF(CALC_EPM!C167="Total","GLOBAL",IF(CALC_EPM!C167="TotalEsp","GLOBAL_ESP",IF(CALC_EPM!C167="TotalNoEsp","GLOBAL_NOESP","GLOBAL_ASIG"))),IF(CALC_EPM!C167="Total","CURSO_TOTAL",IF(CALC_EPM!C167="TotalEsp","CURSO_ESP",IF(CALC_EPM!C167="TotalNoEsp","CURSO_NOESP","CURSO_ASIG")))))</f>
      </c>
      <c r="B178" t="str">
        <f>IF(CALC_EPM!$B167="","",CALC_EPM!A167)</f>
      </c>
      <c r="C178" t="str">
        <f>IF(CALC_EPM!$B167="","",CALC_EPM!B167)</f>
      </c>
      <c r="D178">
        <f>IF(CALC_EPM!$B167="","",CALC_EPM!D167)</f>
      </c>
      <c r="E178" s="10" t="str">
        <f>IF(CALC_EPM!$B167="","",CALC_EPM!E167)</f>
      </c>
      <c r="F178" s="10" t="str">
        <f>IF(CALC_EPM!$B167="","",CALC_EPM!F167)</f>
      </c>
      <c r="G178" t="str">
        <f>IF(CALC_EPM!$B167="","",CALC_EPM!G167)</f>
      </c>
      <c r="H178" s="11" t="str">
        <f>IF(CALC_EPM!$B167="","",CALC_EPM!H167)</f>
      </c>
      <c r="I178" s="11" t="str">
        <f>IF(CALC_EPM!$B167="","",CALC_EPM!I167)</f>
      </c>
      <c r="J178" t="str">
        <f>IF(CALC_EPM!$B167="","",CALC_EPM!J167)</f>
      </c>
      <c r="K178" t="str">
        <f>IF(CALC_EPM!$B167="","",CALC_EPM!K167)</f>
      </c>
      <c r="L178">
        <f>IF(CALC_EPM!$B167="","",CALC_EPM!L167)</f>
      </c>
      <c r="M178">
        <f>IF(CALC_EPM!$B167="","",CALC_EPM!M167)</f>
      </c>
      <c r="N178">
        <f>IF(CALC_EPM!$B167="","",CALC_EPM!N167)</f>
      </c>
      <c r="O178">
        <f>IF(CALC_EPM!$B167="","",CALC_EPM!O167)</f>
      </c>
      <c r="P178">
        <f>IF(CALC_EPM!$B167="","",CALC_EPM!P167)</f>
      </c>
      <c r="Q178">
        <f>IF(CALC_EPM!$B167="","",CALC_EPM!Q167)</f>
      </c>
      <c r="R178">
        <f>IF(CALC_EPM!$B167="","",CALC_EPM!R167)</f>
      </c>
      <c r="S178">
        <f>IF(CALC_EPM!$B167="","",CALC_EPM!S167)</f>
      </c>
      <c r="T178">
        <f>IF(CALC_EPM!$B167="","",CALC_EPM!T167)</f>
      </c>
      <c r="U178">
        <f>IF(CALC_EPM!$B167="","",CALC_EPM!U167)</f>
      </c>
    </row>
    <row r="179">
      <c r="A179" t="str">
        <f>IF(CALC_EPM!$B168="","",IF(CALC_EPM!A168="GLOBAL",IF(CALC_EPM!C168="Total","GLOBAL",IF(CALC_EPM!C168="TotalEsp","GLOBAL_ESP",IF(CALC_EPM!C168="TotalNoEsp","GLOBAL_NOESP","GLOBAL_ASIG"))),IF(CALC_EPM!C168="Total","CURSO_TOTAL",IF(CALC_EPM!C168="TotalEsp","CURSO_ESP",IF(CALC_EPM!C168="TotalNoEsp","CURSO_NOESP","CURSO_ASIG")))))</f>
      </c>
      <c r="B179" t="str">
        <f>IF(CALC_EPM!$B168="","",CALC_EPM!A168)</f>
      </c>
      <c r="C179" t="str">
        <f>IF(CALC_EPM!$B168="","",CALC_EPM!B168)</f>
      </c>
      <c r="D179">
        <f>IF(CALC_EPM!$B168="","",CALC_EPM!D168)</f>
      </c>
      <c r="E179" s="10" t="str">
        <f>IF(CALC_EPM!$B168="","",CALC_EPM!E168)</f>
      </c>
      <c r="F179" s="10" t="str">
        <f>IF(CALC_EPM!$B168="","",CALC_EPM!F168)</f>
      </c>
      <c r="G179" t="str">
        <f>IF(CALC_EPM!$B168="","",CALC_EPM!G168)</f>
      </c>
      <c r="H179" s="11" t="str">
        <f>IF(CALC_EPM!$B168="","",CALC_EPM!H168)</f>
      </c>
      <c r="I179" s="11" t="str">
        <f>IF(CALC_EPM!$B168="","",CALC_EPM!I168)</f>
      </c>
      <c r="J179" t="str">
        <f>IF(CALC_EPM!$B168="","",CALC_EPM!J168)</f>
      </c>
      <c r="K179" t="str">
        <f>IF(CALC_EPM!$B168="","",CALC_EPM!K168)</f>
      </c>
      <c r="L179">
        <f>IF(CALC_EPM!$B168="","",CALC_EPM!L168)</f>
      </c>
      <c r="M179">
        <f>IF(CALC_EPM!$B168="","",CALC_EPM!M168)</f>
      </c>
      <c r="N179">
        <f>IF(CALC_EPM!$B168="","",CALC_EPM!N168)</f>
      </c>
      <c r="O179">
        <f>IF(CALC_EPM!$B168="","",CALC_EPM!O168)</f>
      </c>
      <c r="P179">
        <f>IF(CALC_EPM!$B168="","",CALC_EPM!P168)</f>
      </c>
      <c r="Q179">
        <f>IF(CALC_EPM!$B168="","",CALC_EPM!Q168)</f>
      </c>
      <c r="R179">
        <f>IF(CALC_EPM!$B168="","",CALC_EPM!R168)</f>
      </c>
      <c r="S179">
        <f>IF(CALC_EPM!$B168="","",CALC_EPM!S168)</f>
      </c>
      <c r="T179">
        <f>IF(CALC_EPM!$B168="","",CALC_EPM!T168)</f>
      </c>
      <c r="U179">
        <f>IF(CALC_EPM!$B168="","",CALC_EPM!U168)</f>
      </c>
    </row>
    <row r="180">
      <c r="A180" t="str">
        <f>IF(CALC_EPM!$B169="","",IF(CALC_EPM!A169="GLOBAL",IF(CALC_EPM!C169="Total","GLOBAL",IF(CALC_EPM!C169="TotalEsp","GLOBAL_ESP",IF(CALC_EPM!C169="TotalNoEsp","GLOBAL_NOESP","GLOBAL_ASIG"))),IF(CALC_EPM!C169="Total","CURSO_TOTAL",IF(CALC_EPM!C169="TotalEsp","CURSO_ESP",IF(CALC_EPM!C169="TotalNoEsp","CURSO_NOESP","CURSO_ASIG")))))</f>
      </c>
      <c r="B180" t="str">
        <f>IF(CALC_EPM!$B169="","",CALC_EPM!A169)</f>
      </c>
      <c r="C180" t="str">
        <f>IF(CALC_EPM!$B169="","",CALC_EPM!B169)</f>
      </c>
      <c r="D180">
        <f>IF(CALC_EPM!$B169="","",CALC_EPM!D169)</f>
      </c>
      <c r="E180" s="10" t="str">
        <f>IF(CALC_EPM!$B169="","",CALC_EPM!E169)</f>
      </c>
      <c r="F180" s="10" t="str">
        <f>IF(CALC_EPM!$B169="","",CALC_EPM!F169)</f>
      </c>
      <c r="G180" t="str">
        <f>IF(CALC_EPM!$B169="","",CALC_EPM!G169)</f>
      </c>
      <c r="H180" s="11" t="str">
        <f>IF(CALC_EPM!$B169="","",CALC_EPM!H169)</f>
      </c>
      <c r="I180" s="11" t="str">
        <f>IF(CALC_EPM!$B169="","",CALC_EPM!I169)</f>
      </c>
      <c r="J180" t="str">
        <f>IF(CALC_EPM!$B169="","",CALC_EPM!J169)</f>
      </c>
      <c r="K180" t="str">
        <f>IF(CALC_EPM!$B169="","",CALC_EPM!K169)</f>
      </c>
      <c r="L180">
        <f>IF(CALC_EPM!$B169="","",CALC_EPM!L169)</f>
      </c>
      <c r="M180">
        <f>IF(CALC_EPM!$B169="","",CALC_EPM!M169)</f>
      </c>
      <c r="N180">
        <f>IF(CALC_EPM!$B169="","",CALC_EPM!N169)</f>
      </c>
      <c r="O180">
        <f>IF(CALC_EPM!$B169="","",CALC_EPM!O169)</f>
      </c>
      <c r="P180">
        <f>IF(CALC_EPM!$B169="","",CALC_EPM!P169)</f>
      </c>
      <c r="Q180">
        <f>IF(CALC_EPM!$B169="","",CALC_EPM!Q169)</f>
      </c>
      <c r="R180">
        <f>IF(CALC_EPM!$B169="","",CALC_EPM!R169)</f>
      </c>
      <c r="S180">
        <f>IF(CALC_EPM!$B169="","",CALC_EPM!S169)</f>
      </c>
      <c r="T180">
        <f>IF(CALC_EPM!$B169="","",CALC_EPM!T169)</f>
      </c>
      <c r="U180">
        <f>IF(CALC_EPM!$B169="","",CALC_EPM!U169)</f>
      </c>
    </row>
    <row r="181">
      <c r="A181" t="str">
        <f>IF(CALC_EPM!$B170="","",IF(CALC_EPM!A170="GLOBAL",IF(CALC_EPM!C170="Total","GLOBAL",IF(CALC_EPM!C170="TotalEsp","GLOBAL_ESP",IF(CALC_EPM!C170="TotalNoEsp","GLOBAL_NOESP","GLOBAL_ASIG"))),IF(CALC_EPM!C170="Total","CURSO_TOTAL",IF(CALC_EPM!C170="TotalEsp","CURSO_ESP",IF(CALC_EPM!C170="TotalNoEsp","CURSO_NOESP","CURSO_ASIG")))))</f>
      </c>
      <c r="B181" t="str">
        <f>IF(CALC_EPM!$B170="","",CALC_EPM!A170)</f>
      </c>
      <c r="C181" t="str">
        <f>IF(CALC_EPM!$B170="","",CALC_EPM!B170)</f>
      </c>
      <c r="D181">
        <f>IF(CALC_EPM!$B170="","",CALC_EPM!D170)</f>
      </c>
      <c r="E181" s="10" t="str">
        <f>IF(CALC_EPM!$B170="","",CALC_EPM!E170)</f>
      </c>
      <c r="F181" s="10" t="str">
        <f>IF(CALC_EPM!$B170="","",CALC_EPM!F170)</f>
      </c>
      <c r="G181" t="str">
        <f>IF(CALC_EPM!$B170="","",CALC_EPM!G170)</f>
      </c>
      <c r="H181" s="11" t="str">
        <f>IF(CALC_EPM!$B170="","",CALC_EPM!H170)</f>
      </c>
      <c r="I181" s="11" t="str">
        <f>IF(CALC_EPM!$B170="","",CALC_EPM!I170)</f>
      </c>
      <c r="J181" t="str">
        <f>IF(CALC_EPM!$B170="","",CALC_EPM!J170)</f>
      </c>
      <c r="K181" t="str">
        <f>IF(CALC_EPM!$B170="","",CALC_EPM!K170)</f>
      </c>
      <c r="L181">
        <f>IF(CALC_EPM!$B170="","",CALC_EPM!L170)</f>
      </c>
      <c r="M181">
        <f>IF(CALC_EPM!$B170="","",CALC_EPM!M170)</f>
      </c>
      <c r="N181">
        <f>IF(CALC_EPM!$B170="","",CALC_EPM!N170)</f>
      </c>
      <c r="O181">
        <f>IF(CALC_EPM!$B170="","",CALC_EPM!O170)</f>
      </c>
      <c r="P181">
        <f>IF(CALC_EPM!$B170="","",CALC_EPM!P170)</f>
      </c>
      <c r="Q181">
        <f>IF(CALC_EPM!$B170="","",CALC_EPM!Q170)</f>
      </c>
      <c r="R181">
        <f>IF(CALC_EPM!$B170="","",CALC_EPM!R170)</f>
      </c>
      <c r="S181">
        <f>IF(CALC_EPM!$B170="","",CALC_EPM!S170)</f>
      </c>
      <c r="T181">
        <f>IF(CALC_EPM!$B170="","",CALC_EPM!T170)</f>
      </c>
      <c r="U181">
        <f>IF(CALC_EPM!$B170="","",CALC_EPM!U170)</f>
      </c>
    </row>
    <row r="182">
      <c r="A182" t="str">
        <f>IF(CALC_EPM!$B171="","",IF(CALC_EPM!A171="GLOBAL",IF(CALC_EPM!C171="Total","GLOBAL",IF(CALC_EPM!C171="TotalEsp","GLOBAL_ESP",IF(CALC_EPM!C171="TotalNoEsp","GLOBAL_NOESP","GLOBAL_ASIG"))),IF(CALC_EPM!C171="Total","CURSO_TOTAL",IF(CALC_EPM!C171="TotalEsp","CURSO_ESP",IF(CALC_EPM!C171="TotalNoEsp","CURSO_NOESP","CURSO_ASIG")))))</f>
      </c>
      <c r="B182" t="str">
        <f>IF(CALC_EPM!$B171="","",CALC_EPM!A171)</f>
      </c>
      <c r="C182" t="str">
        <f>IF(CALC_EPM!$B171="","",CALC_EPM!B171)</f>
      </c>
      <c r="D182">
        <f>IF(CALC_EPM!$B171="","",CALC_EPM!D171)</f>
      </c>
      <c r="E182" s="10" t="str">
        <f>IF(CALC_EPM!$B171="","",CALC_EPM!E171)</f>
      </c>
      <c r="F182" s="10" t="str">
        <f>IF(CALC_EPM!$B171="","",CALC_EPM!F171)</f>
      </c>
      <c r="G182" t="str">
        <f>IF(CALC_EPM!$B171="","",CALC_EPM!G171)</f>
      </c>
      <c r="H182" s="11" t="str">
        <f>IF(CALC_EPM!$B171="","",CALC_EPM!H171)</f>
      </c>
      <c r="I182" s="11" t="str">
        <f>IF(CALC_EPM!$B171="","",CALC_EPM!I171)</f>
      </c>
      <c r="J182" t="str">
        <f>IF(CALC_EPM!$B171="","",CALC_EPM!J171)</f>
      </c>
      <c r="K182" t="str">
        <f>IF(CALC_EPM!$B171="","",CALC_EPM!K171)</f>
      </c>
      <c r="L182">
        <f>IF(CALC_EPM!$B171="","",CALC_EPM!L171)</f>
      </c>
      <c r="M182">
        <f>IF(CALC_EPM!$B171="","",CALC_EPM!M171)</f>
      </c>
      <c r="N182">
        <f>IF(CALC_EPM!$B171="","",CALC_EPM!N171)</f>
      </c>
      <c r="O182">
        <f>IF(CALC_EPM!$B171="","",CALC_EPM!O171)</f>
      </c>
      <c r="P182">
        <f>IF(CALC_EPM!$B171="","",CALC_EPM!P171)</f>
      </c>
      <c r="Q182">
        <f>IF(CALC_EPM!$B171="","",CALC_EPM!Q171)</f>
      </c>
      <c r="R182">
        <f>IF(CALC_EPM!$B171="","",CALC_EPM!R171)</f>
      </c>
      <c r="S182">
        <f>IF(CALC_EPM!$B171="","",CALC_EPM!S171)</f>
      </c>
      <c r="T182">
        <f>IF(CALC_EPM!$B171="","",CALC_EPM!T171)</f>
      </c>
      <c r="U182">
        <f>IF(CALC_EPM!$B171="","",CALC_EPM!U171)</f>
      </c>
    </row>
    <row r="183">
      <c r="A183" t="str">
        <f>IF(CALC_EPM!$B172="","",IF(CALC_EPM!A172="GLOBAL",IF(CALC_EPM!C172="Total","GLOBAL",IF(CALC_EPM!C172="TotalEsp","GLOBAL_ESP",IF(CALC_EPM!C172="TotalNoEsp","GLOBAL_NOESP","GLOBAL_ASIG"))),IF(CALC_EPM!C172="Total","CURSO_TOTAL",IF(CALC_EPM!C172="TotalEsp","CURSO_ESP",IF(CALC_EPM!C172="TotalNoEsp","CURSO_NOESP","CURSO_ASIG")))))</f>
      </c>
      <c r="B183" t="str">
        <f>IF(CALC_EPM!$B172="","",CALC_EPM!A172)</f>
      </c>
      <c r="C183" t="str">
        <f>IF(CALC_EPM!$B172="","",CALC_EPM!B172)</f>
      </c>
      <c r="D183">
        <f>IF(CALC_EPM!$B172="","",CALC_EPM!D172)</f>
      </c>
      <c r="E183" s="10" t="str">
        <f>IF(CALC_EPM!$B172="","",CALC_EPM!E172)</f>
      </c>
      <c r="F183" s="10" t="str">
        <f>IF(CALC_EPM!$B172="","",CALC_EPM!F172)</f>
      </c>
      <c r="G183" t="str">
        <f>IF(CALC_EPM!$B172="","",CALC_EPM!G172)</f>
      </c>
      <c r="H183" s="11" t="str">
        <f>IF(CALC_EPM!$B172="","",CALC_EPM!H172)</f>
      </c>
      <c r="I183" s="11" t="str">
        <f>IF(CALC_EPM!$B172="","",CALC_EPM!I172)</f>
      </c>
      <c r="J183" t="str">
        <f>IF(CALC_EPM!$B172="","",CALC_EPM!J172)</f>
      </c>
      <c r="K183" t="str">
        <f>IF(CALC_EPM!$B172="","",CALC_EPM!K172)</f>
      </c>
      <c r="L183">
        <f>IF(CALC_EPM!$B172="","",CALC_EPM!L172)</f>
      </c>
      <c r="M183">
        <f>IF(CALC_EPM!$B172="","",CALC_EPM!M172)</f>
      </c>
      <c r="N183">
        <f>IF(CALC_EPM!$B172="","",CALC_EPM!N172)</f>
      </c>
      <c r="O183">
        <f>IF(CALC_EPM!$B172="","",CALC_EPM!O172)</f>
      </c>
      <c r="P183">
        <f>IF(CALC_EPM!$B172="","",CALC_EPM!P172)</f>
      </c>
      <c r="Q183">
        <f>IF(CALC_EPM!$B172="","",CALC_EPM!Q172)</f>
      </c>
      <c r="R183">
        <f>IF(CALC_EPM!$B172="","",CALC_EPM!R172)</f>
      </c>
      <c r="S183">
        <f>IF(CALC_EPM!$B172="","",CALC_EPM!S172)</f>
      </c>
      <c r="T183">
        <f>IF(CALC_EPM!$B172="","",CALC_EPM!T172)</f>
      </c>
      <c r="U183">
        <f>IF(CALC_EPM!$B172="","",CALC_EPM!U172)</f>
      </c>
    </row>
    <row r="184">
      <c r="A184" t="str">
        <f>IF(CALC_EPM!$B173="","",IF(CALC_EPM!A173="GLOBAL",IF(CALC_EPM!C173="Total","GLOBAL",IF(CALC_EPM!C173="TotalEsp","GLOBAL_ESP",IF(CALC_EPM!C173="TotalNoEsp","GLOBAL_NOESP","GLOBAL_ASIG"))),IF(CALC_EPM!C173="Total","CURSO_TOTAL",IF(CALC_EPM!C173="TotalEsp","CURSO_ESP",IF(CALC_EPM!C173="TotalNoEsp","CURSO_NOESP","CURSO_ASIG")))))</f>
      </c>
      <c r="B184" t="str">
        <f>IF(CALC_EPM!$B173="","",CALC_EPM!A173)</f>
      </c>
      <c r="C184" t="str">
        <f>IF(CALC_EPM!$B173="","",CALC_EPM!B173)</f>
      </c>
      <c r="D184">
        <f>IF(CALC_EPM!$B173="","",CALC_EPM!D173)</f>
      </c>
      <c r="E184" s="10" t="str">
        <f>IF(CALC_EPM!$B173="","",CALC_EPM!E173)</f>
      </c>
      <c r="F184" s="10" t="str">
        <f>IF(CALC_EPM!$B173="","",CALC_EPM!F173)</f>
      </c>
      <c r="G184" t="str">
        <f>IF(CALC_EPM!$B173="","",CALC_EPM!G173)</f>
      </c>
      <c r="H184" s="11" t="str">
        <f>IF(CALC_EPM!$B173="","",CALC_EPM!H173)</f>
      </c>
      <c r="I184" s="11" t="str">
        <f>IF(CALC_EPM!$B173="","",CALC_EPM!I173)</f>
      </c>
      <c r="J184" t="str">
        <f>IF(CALC_EPM!$B173="","",CALC_EPM!J173)</f>
      </c>
      <c r="K184" t="str">
        <f>IF(CALC_EPM!$B173="","",CALC_EPM!K173)</f>
      </c>
      <c r="L184">
        <f>IF(CALC_EPM!$B173="","",CALC_EPM!L173)</f>
      </c>
      <c r="M184">
        <f>IF(CALC_EPM!$B173="","",CALC_EPM!M173)</f>
      </c>
      <c r="N184">
        <f>IF(CALC_EPM!$B173="","",CALC_EPM!N173)</f>
      </c>
      <c r="O184">
        <f>IF(CALC_EPM!$B173="","",CALC_EPM!O173)</f>
      </c>
      <c r="P184">
        <f>IF(CALC_EPM!$B173="","",CALC_EPM!P173)</f>
      </c>
      <c r="Q184">
        <f>IF(CALC_EPM!$B173="","",CALC_EPM!Q173)</f>
      </c>
      <c r="R184">
        <f>IF(CALC_EPM!$B173="","",CALC_EPM!R173)</f>
      </c>
      <c r="S184">
        <f>IF(CALC_EPM!$B173="","",CALC_EPM!S173)</f>
      </c>
      <c r="T184">
        <f>IF(CALC_EPM!$B173="","",CALC_EPM!T173)</f>
      </c>
      <c r="U184">
        <f>IF(CALC_EPM!$B173="","",CALC_EPM!U173)</f>
      </c>
    </row>
    <row r="185">
      <c r="A185" t="str">
        <f>IF(CALC_EPM!$B174="","",IF(CALC_EPM!A174="GLOBAL",IF(CALC_EPM!C174="Total","GLOBAL",IF(CALC_EPM!C174="TotalEsp","GLOBAL_ESP",IF(CALC_EPM!C174="TotalNoEsp","GLOBAL_NOESP","GLOBAL_ASIG"))),IF(CALC_EPM!C174="Total","CURSO_TOTAL",IF(CALC_EPM!C174="TotalEsp","CURSO_ESP",IF(CALC_EPM!C174="TotalNoEsp","CURSO_NOESP","CURSO_ASIG")))))</f>
      </c>
      <c r="B185" t="str">
        <f>IF(CALC_EPM!$B174="","",CALC_EPM!A174)</f>
      </c>
      <c r="C185" t="str">
        <f>IF(CALC_EPM!$B174="","",CALC_EPM!B174)</f>
      </c>
      <c r="D185">
        <f>IF(CALC_EPM!$B174="","",CALC_EPM!D174)</f>
      </c>
      <c r="E185" s="10" t="str">
        <f>IF(CALC_EPM!$B174="","",CALC_EPM!E174)</f>
      </c>
      <c r="F185" s="10" t="str">
        <f>IF(CALC_EPM!$B174="","",CALC_EPM!F174)</f>
      </c>
      <c r="G185" t="str">
        <f>IF(CALC_EPM!$B174="","",CALC_EPM!G174)</f>
      </c>
      <c r="H185" s="11" t="str">
        <f>IF(CALC_EPM!$B174="","",CALC_EPM!H174)</f>
      </c>
      <c r="I185" s="11" t="str">
        <f>IF(CALC_EPM!$B174="","",CALC_EPM!I174)</f>
      </c>
      <c r="J185" t="str">
        <f>IF(CALC_EPM!$B174="","",CALC_EPM!J174)</f>
      </c>
      <c r="K185" t="str">
        <f>IF(CALC_EPM!$B174="","",CALC_EPM!K174)</f>
      </c>
      <c r="L185">
        <f>IF(CALC_EPM!$B174="","",CALC_EPM!L174)</f>
      </c>
      <c r="M185">
        <f>IF(CALC_EPM!$B174="","",CALC_EPM!M174)</f>
      </c>
      <c r="N185">
        <f>IF(CALC_EPM!$B174="","",CALC_EPM!N174)</f>
      </c>
      <c r="O185">
        <f>IF(CALC_EPM!$B174="","",CALC_EPM!O174)</f>
      </c>
      <c r="P185">
        <f>IF(CALC_EPM!$B174="","",CALC_EPM!P174)</f>
      </c>
      <c r="Q185">
        <f>IF(CALC_EPM!$B174="","",CALC_EPM!Q174)</f>
      </c>
      <c r="R185">
        <f>IF(CALC_EPM!$B174="","",CALC_EPM!R174)</f>
      </c>
      <c r="S185">
        <f>IF(CALC_EPM!$B174="","",CALC_EPM!S174)</f>
      </c>
      <c r="T185">
        <f>IF(CALC_EPM!$B174="","",CALC_EPM!T174)</f>
      </c>
      <c r="U185">
        <f>IF(CALC_EPM!$B174="","",CALC_EPM!U174)</f>
      </c>
    </row>
    <row r="186">
      <c r="A186" t="str">
        <f>IF(CALC_EPM!$B175="","",IF(CALC_EPM!A175="GLOBAL",IF(CALC_EPM!C175="Total","GLOBAL",IF(CALC_EPM!C175="TotalEsp","GLOBAL_ESP",IF(CALC_EPM!C175="TotalNoEsp","GLOBAL_NOESP","GLOBAL_ASIG"))),IF(CALC_EPM!C175="Total","CURSO_TOTAL",IF(CALC_EPM!C175="TotalEsp","CURSO_ESP",IF(CALC_EPM!C175="TotalNoEsp","CURSO_NOESP","CURSO_ASIG")))))</f>
      </c>
      <c r="B186" t="str">
        <f>IF(CALC_EPM!$B175="","",CALC_EPM!A175)</f>
      </c>
      <c r="C186" t="str">
        <f>IF(CALC_EPM!$B175="","",CALC_EPM!B175)</f>
      </c>
      <c r="D186">
        <f>IF(CALC_EPM!$B175="","",CALC_EPM!D175)</f>
      </c>
      <c r="E186" s="10" t="str">
        <f>IF(CALC_EPM!$B175="","",CALC_EPM!E175)</f>
      </c>
      <c r="F186" s="10" t="str">
        <f>IF(CALC_EPM!$B175="","",CALC_EPM!F175)</f>
      </c>
      <c r="G186" t="str">
        <f>IF(CALC_EPM!$B175="","",CALC_EPM!G175)</f>
      </c>
      <c r="H186" s="11" t="str">
        <f>IF(CALC_EPM!$B175="","",CALC_EPM!H175)</f>
      </c>
      <c r="I186" s="11" t="str">
        <f>IF(CALC_EPM!$B175="","",CALC_EPM!I175)</f>
      </c>
      <c r="J186" t="str">
        <f>IF(CALC_EPM!$B175="","",CALC_EPM!J175)</f>
      </c>
      <c r="K186" t="str">
        <f>IF(CALC_EPM!$B175="","",CALC_EPM!K175)</f>
      </c>
      <c r="L186">
        <f>IF(CALC_EPM!$B175="","",CALC_EPM!L175)</f>
      </c>
      <c r="M186">
        <f>IF(CALC_EPM!$B175="","",CALC_EPM!M175)</f>
      </c>
      <c r="N186">
        <f>IF(CALC_EPM!$B175="","",CALC_EPM!N175)</f>
      </c>
      <c r="O186">
        <f>IF(CALC_EPM!$B175="","",CALC_EPM!O175)</f>
      </c>
      <c r="P186">
        <f>IF(CALC_EPM!$B175="","",CALC_EPM!P175)</f>
      </c>
      <c r="Q186">
        <f>IF(CALC_EPM!$B175="","",CALC_EPM!Q175)</f>
      </c>
      <c r="R186">
        <f>IF(CALC_EPM!$B175="","",CALC_EPM!R175)</f>
      </c>
      <c r="S186">
        <f>IF(CALC_EPM!$B175="","",CALC_EPM!S175)</f>
      </c>
      <c r="T186">
        <f>IF(CALC_EPM!$B175="","",CALC_EPM!T175)</f>
      </c>
      <c r="U186">
        <f>IF(CALC_EPM!$B175="","",CALC_EPM!U175)</f>
      </c>
    </row>
    <row r="187">
      <c r="A187" t="str">
        <f>IF(CALC_EPM!$B176="","",IF(CALC_EPM!A176="GLOBAL",IF(CALC_EPM!C176="Total","GLOBAL",IF(CALC_EPM!C176="TotalEsp","GLOBAL_ESP",IF(CALC_EPM!C176="TotalNoEsp","GLOBAL_NOESP","GLOBAL_ASIG"))),IF(CALC_EPM!C176="Total","CURSO_TOTAL",IF(CALC_EPM!C176="TotalEsp","CURSO_ESP",IF(CALC_EPM!C176="TotalNoEsp","CURSO_NOESP","CURSO_ASIG")))))</f>
      </c>
      <c r="B187" t="str">
        <f>IF(CALC_EPM!$B176="","",CALC_EPM!A176)</f>
      </c>
      <c r="C187" t="str">
        <f>IF(CALC_EPM!$B176="","",CALC_EPM!B176)</f>
      </c>
      <c r="D187">
        <f>IF(CALC_EPM!$B176="","",CALC_EPM!D176)</f>
      </c>
      <c r="E187" s="10" t="str">
        <f>IF(CALC_EPM!$B176="","",CALC_EPM!E176)</f>
      </c>
      <c r="F187" s="10" t="str">
        <f>IF(CALC_EPM!$B176="","",CALC_EPM!F176)</f>
      </c>
      <c r="G187" t="str">
        <f>IF(CALC_EPM!$B176="","",CALC_EPM!G176)</f>
      </c>
      <c r="H187" s="11" t="str">
        <f>IF(CALC_EPM!$B176="","",CALC_EPM!H176)</f>
      </c>
      <c r="I187" s="11" t="str">
        <f>IF(CALC_EPM!$B176="","",CALC_EPM!I176)</f>
      </c>
      <c r="J187" t="str">
        <f>IF(CALC_EPM!$B176="","",CALC_EPM!J176)</f>
      </c>
      <c r="K187" t="str">
        <f>IF(CALC_EPM!$B176="","",CALC_EPM!K176)</f>
      </c>
      <c r="L187">
        <f>IF(CALC_EPM!$B176="","",CALC_EPM!L176)</f>
      </c>
      <c r="M187">
        <f>IF(CALC_EPM!$B176="","",CALC_EPM!M176)</f>
      </c>
      <c r="N187">
        <f>IF(CALC_EPM!$B176="","",CALC_EPM!N176)</f>
      </c>
      <c r="O187">
        <f>IF(CALC_EPM!$B176="","",CALC_EPM!O176)</f>
      </c>
      <c r="P187">
        <f>IF(CALC_EPM!$B176="","",CALC_EPM!P176)</f>
      </c>
      <c r="Q187">
        <f>IF(CALC_EPM!$B176="","",CALC_EPM!Q176)</f>
      </c>
      <c r="R187">
        <f>IF(CALC_EPM!$B176="","",CALC_EPM!R176)</f>
      </c>
      <c r="S187">
        <f>IF(CALC_EPM!$B176="","",CALC_EPM!S176)</f>
      </c>
      <c r="T187">
        <f>IF(CALC_EPM!$B176="","",CALC_EPM!T176)</f>
      </c>
      <c r="U187">
        <f>IF(CALC_EPM!$B176="","",CALC_EPM!U176)</f>
      </c>
    </row>
    <row r="188">
      <c r="A188" t="str">
        <f>IF(CALC_EPM!$B177="","",IF(CALC_EPM!A177="GLOBAL",IF(CALC_EPM!C177="Total","GLOBAL",IF(CALC_EPM!C177="TotalEsp","GLOBAL_ESP",IF(CALC_EPM!C177="TotalNoEsp","GLOBAL_NOESP","GLOBAL_ASIG"))),IF(CALC_EPM!C177="Total","CURSO_TOTAL",IF(CALC_EPM!C177="TotalEsp","CURSO_ESP",IF(CALC_EPM!C177="TotalNoEsp","CURSO_NOESP","CURSO_ASIG")))))</f>
      </c>
      <c r="B188" t="str">
        <f>IF(CALC_EPM!$B177="","",CALC_EPM!A177)</f>
      </c>
      <c r="C188" t="str">
        <f>IF(CALC_EPM!$B177="","",CALC_EPM!B177)</f>
      </c>
      <c r="D188">
        <f>IF(CALC_EPM!$B177="","",CALC_EPM!D177)</f>
      </c>
      <c r="E188" s="10" t="str">
        <f>IF(CALC_EPM!$B177="","",CALC_EPM!E177)</f>
      </c>
      <c r="F188" s="10" t="str">
        <f>IF(CALC_EPM!$B177="","",CALC_EPM!F177)</f>
      </c>
      <c r="G188" t="str">
        <f>IF(CALC_EPM!$B177="","",CALC_EPM!G177)</f>
      </c>
      <c r="H188" s="11" t="str">
        <f>IF(CALC_EPM!$B177="","",CALC_EPM!H177)</f>
      </c>
      <c r="I188" s="11" t="str">
        <f>IF(CALC_EPM!$B177="","",CALC_EPM!I177)</f>
      </c>
      <c r="J188" t="str">
        <f>IF(CALC_EPM!$B177="","",CALC_EPM!J177)</f>
      </c>
      <c r="K188" t="str">
        <f>IF(CALC_EPM!$B177="","",CALC_EPM!K177)</f>
      </c>
      <c r="L188">
        <f>IF(CALC_EPM!$B177="","",CALC_EPM!L177)</f>
      </c>
      <c r="M188">
        <f>IF(CALC_EPM!$B177="","",CALC_EPM!M177)</f>
      </c>
      <c r="N188">
        <f>IF(CALC_EPM!$B177="","",CALC_EPM!N177)</f>
      </c>
      <c r="O188">
        <f>IF(CALC_EPM!$B177="","",CALC_EPM!O177)</f>
      </c>
      <c r="P188">
        <f>IF(CALC_EPM!$B177="","",CALC_EPM!P177)</f>
      </c>
      <c r="Q188">
        <f>IF(CALC_EPM!$B177="","",CALC_EPM!Q177)</f>
      </c>
      <c r="R188">
        <f>IF(CALC_EPM!$B177="","",CALC_EPM!R177)</f>
      </c>
      <c r="S188">
        <f>IF(CALC_EPM!$B177="","",CALC_EPM!S177)</f>
      </c>
      <c r="T188">
        <f>IF(CALC_EPM!$B177="","",CALC_EPM!T177)</f>
      </c>
      <c r="U188">
        <f>IF(CALC_EPM!$B177="","",CALC_EPM!U177)</f>
      </c>
    </row>
    <row r="189">
      <c r="A189" t="str">
        <f>IF(CALC_EPM!$B178="","",IF(CALC_EPM!A178="GLOBAL",IF(CALC_EPM!C178="Total","GLOBAL",IF(CALC_EPM!C178="TotalEsp","GLOBAL_ESP",IF(CALC_EPM!C178="TotalNoEsp","GLOBAL_NOESP","GLOBAL_ASIG"))),IF(CALC_EPM!C178="Total","CURSO_TOTAL",IF(CALC_EPM!C178="TotalEsp","CURSO_ESP",IF(CALC_EPM!C178="TotalNoEsp","CURSO_NOESP","CURSO_ASIG")))))</f>
      </c>
      <c r="B189" t="str">
        <f>IF(CALC_EPM!$B178="","",CALC_EPM!A178)</f>
      </c>
      <c r="C189" t="str">
        <f>IF(CALC_EPM!$B178="","",CALC_EPM!B178)</f>
      </c>
      <c r="D189">
        <f>IF(CALC_EPM!$B178="","",CALC_EPM!D178)</f>
      </c>
      <c r="E189" s="10" t="str">
        <f>IF(CALC_EPM!$B178="","",CALC_EPM!E178)</f>
      </c>
      <c r="F189" s="10" t="str">
        <f>IF(CALC_EPM!$B178="","",CALC_EPM!F178)</f>
      </c>
      <c r="G189" t="str">
        <f>IF(CALC_EPM!$B178="","",CALC_EPM!G178)</f>
      </c>
      <c r="H189" s="11" t="str">
        <f>IF(CALC_EPM!$B178="","",CALC_EPM!H178)</f>
      </c>
      <c r="I189" s="11" t="str">
        <f>IF(CALC_EPM!$B178="","",CALC_EPM!I178)</f>
      </c>
      <c r="J189" t="str">
        <f>IF(CALC_EPM!$B178="","",CALC_EPM!J178)</f>
      </c>
      <c r="K189" t="str">
        <f>IF(CALC_EPM!$B178="","",CALC_EPM!K178)</f>
      </c>
      <c r="L189">
        <f>IF(CALC_EPM!$B178="","",CALC_EPM!L178)</f>
      </c>
      <c r="M189">
        <f>IF(CALC_EPM!$B178="","",CALC_EPM!M178)</f>
      </c>
      <c r="N189">
        <f>IF(CALC_EPM!$B178="","",CALC_EPM!N178)</f>
      </c>
      <c r="O189">
        <f>IF(CALC_EPM!$B178="","",CALC_EPM!O178)</f>
      </c>
      <c r="P189">
        <f>IF(CALC_EPM!$B178="","",CALC_EPM!P178)</f>
      </c>
      <c r="Q189">
        <f>IF(CALC_EPM!$B178="","",CALC_EPM!Q178)</f>
      </c>
      <c r="R189">
        <f>IF(CALC_EPM!$B178="","",CALC_EPM!R178)</f>
      </c>
      <c r="S189">
        <f>IF(CALC_EPM!$B178="","",CALC_EPM!S178)</f>
      </c>
      <c r="T189">
        <f>IF(CALC_EPM!$B178="","",CALC_EPM!T178)</f>
      </c>
      <c r="U189">
        <f>IF(CALC_EPM!$B178="","",CALC_EPM!U178)</f>
      </c>
    </row>
    <row r="190">
      <c r="A190" t="str">
        <f>IF(CALC_EPM!$B179="","",IF(CALC_EPM!A179="GLOBAL",IF(CALC_EPM!C179="Total","GLOBAL",IF(CALC_EPM!C179="TotalEsp","GLOBAL_ESP",IF(CALC_EPM!C179="TotalNoEsp","GLOBAL_NOESP","GLOBAL_ASIG"))),IF(CALC_EPM!C179="Total","CURSO_TOTAL",IF(CALC_EPM!C179="TotalEsp","CURSO_ESP",IF(CALC_EPM!C179="TotalNoEsp","CURSO_NOESP","CURSO_ASIG")))))</f>
      </c>
      <c r="B190" t="str">
        <f>IF(CALC_EPM!$B179="","",CALC_EPM!A179)</f>
      </c>
      <c r="C190" t="str">
        <f>IF(CALC_EPM!$B179="","",CALC_EPM!B179)</f>
      </c>
      <c r="D190">
        <f>IF(CALC_EPM!$B179="","",CALC_EPM!D179)</f>
      </c>
      <c r="E190" s="10" t="str">
        <f>IF(CALC_EPM!$B179="","",CALC_EPM!E179)</f>
      </c>
      <c r="F190" s="10" t="str">
        <f>IF(CALC_EPM!$B179="","",CALC_EPM!F179)</f>
      </c>
      <c r="G190" t="str">
        <f>IF(CALC_EPM!$B179="","",CALC_EPM!G179)</f>
      </c>
      <c r="H190" s="11" t="str">
        <f>IF(CALC_EPM!$B179="","",CALC_EPM!H179)</f>
      </c>
      <c r="I190" s="11" t="str">
        <f>IF(CALC_EPM!$B179="","",CALC_EPM!I179)</f>
      </c>
      <c r="J190" t="str">
        <f>IF(CALC_EPM!$B179="","",CALC_EPM!J179)</f>
      </c>
      <c r="K190" t="str">
        <f>IF(CALC_EPM!$B179="","",CALC_EPM!K179)</f>
      </c>
      <c r="L190">
        <f>IF(CALC_EPM!$B179="","",CALC_EPM!L179)</f>
      </c>
      <c r="M190">
        <f>IF(CALC_EPM!$B179="","",CALC_EPM!M179)</f>
      </c>
      <c r="N190">
        <f>IF(CALC_EPM!$B179="","",CALC_EPM!N179)</f>
      </c>
      <c r="O190">
        <f>IF(CALC_EPM!$B179="","",CALC_EPM!O179)</f>
      </c>
      <c r="P190">
        <f>IF(CALC_EPM!$B179="","",CALC_EPM!P179)</f>
      </c>
      <c r="Q190">
        <f>IF(CALC_EPM!$B179="","",CALC_EPM!Q179)</f>
      </c>
      <c r="R190">
        <f>IF(CALC_EPM!$B179="","",CALC_EPM!R179)</f>
      </c>
      <c r="S190">
        <f>IF(CALC_EPM!$B179="","",CALC_EPM!S179)</f>
      </c>
      <c r="T190">
        <f>IF(CALC_EPM!$B179="","",CALC_EPM!T179)</f>
      </c>
      <c r="U190">
        <f>IF(CALC_EPM!$B179="","",CALC_EPM!U179)</f>
      </c>
    </row>
    <row r="191">
      <c r="A191" t="str">
        <f>IF(CALC_EPM!$B180="","",IF(CALC_EPM!A180="GLOBAL",IF(CALC_EPM!C180="Total","GLOBAL",IF(CALC_EPM!C180="TotalEsp","GLOBAL_ESP",IF(CALC_EPM!C180="TotalNoEsp","GLOBAL_NOESP","GLOBAL_ASIG"))),IF(CALC_EPM!C180="Total","CURSO_TOTAL",IF(CALC_EPM!C180="TotalEsp","CURSO_ESP",IF(CALC_EPM!C180="TotalNoEsp","CURSO_NOESP","CURSO_ASIG")))))</f>
      </c>
      <c r="B191" t="str">
        <f>IF(CALC_EPM!$B180="","",CALC_EPM!A180)</f>
      </c>
      <c r="C191" t="str">
        <f>IF(CALC_EPM!$B180="","",CALC_EPM!B180)</f>
      </c>
      <c r="D191">
        <f>IF(CALC_EPM!$B180="","",CALC_EPM!D180)</f>
      </c>
      <c r="E191" s="10" t="str">
        <f>IF(CALC_EPM!$B180="","",CALC_EPM!E180)</f>
      </c>
      <c r="F191" s="10" t="str">
        <f>IF(CALC_EPM!$B180="","",CALC_EPM!F180)</f>
      </c>
      <c r="G191" t="str">
        <f>IF(CALC_EPM!$B180="","",CALC_EPM!G180)</f>
      </c>
      <c r="H191" s="11" t="str">
        <f>IF(CALC_EPM!$B180="","",CALC_EPM!H180)</f>
      </c>
      <c r="I191" s="11" t="str">
        <f>IF(CALC_EPM!$B180="","",CALC_EPM!I180)</f>
      </c>
      <c r="J191" t="str">
        <f>IF(CALC_EPM!$B180="","",CALC_EPM!J180)</f>
      </c>
      <c r="K191" t="str">
        <f>IF(CALC_EPM!$B180="","",CALC_EPM!K180)</f>
      </c>
      <c r="L191">
        <f>IF(CALC_EPM!$B180="","",CALC_EPM!L180)</f>
      </c>
      <c r="M191">
        <f>IF(CALC_EPM!$B180="","",CALC_EPM!M180)</f>
      </c>
      <c r="N191">
        <f>IF(CALC_EPM!$B180="","",CALC_EPM!N180)</f>
      </c>
      <c r="O191">
        <f>IF(CALC_EPM!$B180="","",CALC_EPM!O180)</f>
      </c>
      <c r="P191">
        <f>IF(CALC_EPM!$B180="","",CALC_EPM!P180)</f>
      </c>
      <c r="Q191">
        <f>IF(CALC_EPM!$B180="","",CALC_EPM!Q180)</f>
      </c>
      <c r="R191">
        <f>IF(CALC_EPM!$B180="","",CALC_EPM!R180)</f>
      </c>
      <c r="S191">
        <f>IF(CALC_EPM!$B180="","",CALC_EPM!S180)</f>
      </c>
      <c r="T191">
        <f>IF(CALC_EPM!$B180="","",CALC_EPM!T180)</f>
      </c>
      <c r="U191">
        <f>IF(CALC_EPM!$B180="","",CALC_EPM!U180)</f>
      </c>
    </row>
    <row r="192">
      <c r="A192" t="str">
        <f>IF(CALC_EPM!$B181="","",IF(CALC_EPM!A181="GLOBAL",IF(CALC_EPM!C181="Total","GLOBAL",IF(CALC_EPM!C181="TotalEsp","GLOBAL_ESP",IF(CALC_EPM!C181="TotalNoEsp","GLOBAL_NOESP","GLOBAL_ASIG"))),IF(CALC_EPM!C181="Total","CURSO_TOTAL",IF(CALC_EPM!C181="TotalEsp","CURSO_ESP",IF(CALC_EPM!C181="TotalNoEsp","CURSO_NOESP","CURSO_ASIG")))))</f>
      </c>
      <c r="B192" t="str">
        <f>IF(CALC_EPM!$B181="","",CALC_EPM!A181)</f>
      </c>
      <c r="C192" t="str">
        <f>IF(CALC_EPM!$B181="","",CALC_EPM!B181)</f>
      </c>
      <c r="D192">
        <f>IF(CALC_EPM!$B181="","",CALC_EPM!D181)</f>
      </c>
      <c r="E192" s="10" t="str">
        <f>IF(CALC_EPM!$B181="","",CALC_EPM!E181)</f>
      </c>
      <c r="F192" s="10" t="str">
        <f>IF(CALC_EPM!$B181="","",CALC_EPM!F181)</f>
      </c>
      <c r="G192" t="str">
        <f>IF(CALC_EPM!$B181="","",CALC_EPM!G181)</f>
      </c>
      <c r="H192" s="11" t="str">
        <f>IF(CALC_EPM!$B181="","",CALC_EPM!H181)</f>
      </c>
      <c r="I192" s="11" t="str">
        <f>IF(CALC_EPM!$B181="","",CALC_EPM!I181)</f>
      </c>
      <c r="J192" t="str">
        <f>IF(CALC_EPM!$B181="","",CALC_EPM!J181)</f>
      </c>
      <c r="K192" t="str">
        <f>IF(CALC_EPM!$B181="","",CALC_EPM!K181)</f>
      </c>
      <c r="L192">
        <f>IF(CALC_EPM!$B181="","",CALC_EPM!L181)</f>
      </c>
      <c r="M192">
        <f>IF(CALC_EPM!$B181="","",CALC_EPM!M181)</f>
      </c>
      <c r="N192">
        <f>IF(CALC_EPM!$B181="","",CALC_EPM!N181)</f>
      </c>
      <c r="O192">
        <f>IF(CALC_EPM!$B181="","",CALC_EPM!O181)</f>
      </c>
      <c r="P192">
        <f>IF(CALC_EPM!$B181="","",CALC_EPM!P181)</f>
      </c>
      <c r="Q192">
        <f>IF(CALC_EPM!$B181="","",CALC_EPM!Q181)</f>
      </c>
      <c r="R192">
        <f>IF(CALC_EPM!$B181="","",CALC_EPM!R181)</f>
      </c>
      <c r="S192">
        <f>IF(CALC_EPM!$B181="","",CALC_EPM!S181)</f>
      </c>
      <c r="T192">
        <f>IF(CALC_EPM!$B181="","",CALC_EPM!T181)</f>
      </c>
      <c r="U192">
        <f>IF(CALC_EPM!$B181="","",CALC_EPM!U181)</f>
      </c>
    </row>
    <row r="193">
      <c r="A193" t="str">
        <f>IF(CALC_EPM!$B182="","",IF(CALC_EPM!A182="GLOBAL",IF(CALC_EPM!C182="Total","GLOBAL",IF(CALC_EPM!C182="TotalEsp","GLOBAL_ESP",IF(CALC_EPM!C182="TotalNoEsp","GLOBAL_NOESP","GLOBAL_ASIG"))),IF(CALC_EPM!C182="Total","CURSO_TOTAL",IF(CALC_EPM!C182="TotalEsp","CURSO_ESP",IF(CALC_EPM!C182="TotalNoEsp","CURSO_NOESP","CURSO_ASIG")))))</f>
      </c>
      <c r="B193" t="str">
        <f>IF(CALC_EPM!$B182="","",CALC_EPM!A182)</f>
      </c>
      <c r="C193" t="str">
        <f>IF(CALC_EPM!$B182="","",CALC_EPM!B182)</f>
      </c>
      <c r="D193">
        <f>IF(CALC_EPM!$B182="","",CALC_EPM!D182)</f>
      </c>
      <c r="E193" s="10" t="str">
        <f>IF(CALC_EPM!$B182="","",CALC_EPM!E182)</f>
      </c>
      <c r="F193" s="10" t="str">
        <f>IF(CALC_EPM!$B182="","",CALC_EPM!F182)</f>
      </c>
      <c r="G193" t="str">
        <f>IF(CALC_EPM!$B182="","",CALC_EPM!G182)</f>
      </c>
      <c r="H193" s="11" t="str">
        <f>IF(CALC_EPM!$B182="","",CALC_EPM!H182)</f>
      </c>
      <c r="I193" s="11" t="str">
        <f>IF(CALC_EPM!$B182="","",CALC_EPM!I182)</f>
      </c>
      <c r="J193" t="str">
        <f>IF(CALC_EPM!$B182="","",CALC_EPM!J182)</f>
      </c>
      <c r="K193" t="str">
        <f>IF(CALC_EPM!$B182="","",CALC_EPM!K182)</f>
      </c>
      <c r="L193">
        <f>IF(CALC_EPM!$B182="","",CALC_EPM!L182)</f>
      </c>
      <c r="M193">
        <f>IF(CALC_EPM!$B182="","",CALC_EPM!M182)</f>
      </c>
      <c r="N193">
        <f>IF(CALC_EPM!$B182="","",CALC_EPM!N182)</f>
      </c>
      <c r="O193">
        <f>IF(CALC_EPM!$B182="","",CALC_EPM!O182)</f>
      </c>
      <c r="P193">
        <f>IF(CALC_EPM!$B182="","",CALC_EPM!P182)</f>
      </c>
      <c r="Q193">
        <f>IF(CALC_EPM!$B182="","",CALC_EPM!Q182)</f>
      </c>
      <c r="R193">
        <f>IF(CALC_EPM!$B182="","",CALC_EPM!R182)</f>
      </c>
      <c r="S193">
        <f>IF(CALC_EPM!$B182="","",CALC_EPM!S182)</f>
      </c>
      <c r="T193">
        <f>IF(CALC_EPM!$B182="","",CALC_EPM!T182)</f>
      </c>
      <c r="U193">
        <f>IF(CALC_EPM!$B182="","",CALC_EPM!U182)</f>
      </c>
    </row>
    <row r="194">
      <c r="A194" t="str">
        <f>IF(CALC_EPM!$B183="","",IF(CALC_EPM!A183="GLOBAL",IF(CALC_EPM!C183="Total","GLOBAL",IF(CALC_EPM!C183="TotalEsp","GLOBAL_ESP",IF(CALC_EPM!C183="TotalNoEsp","GLOBAL_NOESP","GLOBAL_ASIG"))),IF(CALC_EPM!C183="Total","CURSO_TOTAL",IF(CALC_EPM!C183="TotalEsp","CURSO_ESP",IF(CALC_EPM!C183="TotalNoEsp","CURSO_NOESP","CURSO_ASIG")))))</f>
      </c>
      <c r="B194" t="str">
        <f>IF(CALC_EPM!$B183="","",CALC_EPM!A183)</f>
      </c>
      <c r="C194" t="str">
        <f>IF(CALC_EPM!$B183="","",CALC_EPM!B183)</f>
      </c>
      <c r="D194">
        <f>IF(CALC_EPM!$B183="","",CALC_EPM!D183)</f>
      </c>
      <c r="E194" s="10" t="str">
        <f>IF(CALC_EPM!$B183="","",CALC_EPM!E183)</f>
      </c>
      <c r="F194" s="10" t="str">
        <f>IF(CALC_EPM!$B183="","",CALC_EPM!F183)</f>
      </c>
      <c r="G194" t="str">
        <f>IF(CALC_EPM!$B183="","",CALC_EPM!G183)</f>
      </c>
      <c r="H194" s="11" t="str">
        <f>IF(CALC_EPM!$B183="","",CALC_EPM!H183)</f>
      </c>
      <c r="I194" s="11" t="str">
        <f>IF(CALC_EPM!$B183="","",CALC_EPM!I183)</f>
      </c>
      <c r="J194" t="str">
        <f>IF(CALC_EPM!$B183="","",CALC_EPM!J183)</f>
      </c>
      <c r="K194" t="str">
        <f>IF(CALC_EPM!$B183="","",CALC_EPM!K183)</f>
      </c>
      <c r="L194">
        <f>IF(CALC_EPM!$B183="","",CALC_EPM!L183)</f>
      </c>
      <c r="M194">
        <f>IF(CALC_EPM!$B183="","",CALC_EPM!M183)</f>
      </c>
      <c r="N194">
        <f>IF(CALC_EPM!$B183="","",CALC_EPM!N183)</f>
      </c>
      <c r="O194">
        <f>IF(CALC_EPM!$B183="","",CALC_EPM!O183)</f>
      </c>
      <c r="P194">
        <f>IF(CALC_EPM!$B183="","",CALC_EPM!P183)</f>
      </c>
      <c r="Q194">
        <f>IF(CALC_EPM!$B183="","",CALC_EPM!Q183)</f>
      </c>
      <c r="R194">
        <f>IF(CALC_EPM!$B183="","",CALC_EPM!R183)</f>
      </c>
      <c r="S194">
        <f>IF(CALC_EPM!$B183="","",CALC_EPM!S183)</f>
      </c>
      <c r="T194">
        <f>IF(CALC_EPM!$B183="","",CALC_EPM!T183)</f>
      </c>
      <c r="U194">
        <f>IF(CALC_EPM!$B183="","",CALC_EPM!U183)</f>
      </c>
    </row>
    <row r="195">
      <c r="A195" t="str">
        <f>IF(CALC_EPM!$B184="","",IF(CALC_EPM!A184="GLOBAL",IF(CALC_EPM!C184="Total","GLOBAL",IF(CALC_EPM!C184="TotalEsp","GLOBAL_ESP",IF(CALC_EPM!C184="TotalNoEsp","GLOBAL_NOESP","GLOBAL_ASIG"))),IF(CALC_EPM!C184="Total","CURSO_TOTAL",IF(CALC_EPM!C184="TotalEsp","CURSO_ESP",IF(CALC_EPM!C184="TotalNoEsp","CURSO_NOESP","CURSO_ASIG")))))</f>
      </c>
      <c r="B195" t="str">
        <f>IF(CALC_EPM!$B184="","",CALC_EPM!A184)</f>
      </c>
      <c r="C195" t="str">
        <f>IF(CALC_EPM!$B184="","",CALC_EPM!B184)</f>
      </c>
      <c r="D195">
        <f>IF(CALC_EPM!$B184="","",CALC_EPM!D184)</f>
      </c>
      <c r="E195" s="10" t="str">
        <f>IF(CALC_EPM!$B184="","",CALC_EPM!E184)</f>
      </c>
      <c r="F195" s="10" t="str">
        <f>IF(CALC_EPM!$B184="","",CALC_EPM!F184)</f>
      </c>
      <c r="G195" t="str">
        <f>IF(CALC_EPM!$B184="","",CALC_EPM!G184)</f>
      </c>
      <c r="H195" s="11" t="str">
        <f>IF(CALC_EPM!$B184="","",CALC_EPM!H184)</f>
      </c>
      <c r="I195" s="11" t="str">
        <f>IF(CALC_EPM!$B184="","",CALC_EPM!I184)</f>
      </c>
      <c r="J195" t="str">
        <f>IF(CALC_EPM!$B184="","",CALC_EPM!J184)</f>
      </c>
      <c r="K195" t="str">
        <f>IF(CALC_EPM!$B184="","",CALC_EPM!K184)</f>
      </c>
      <c r="L195">
        <f>IF(CALC_EPM!$B184="","",CALC_EPM!L184)</f>
      </c>
      <c r="M195">
        <f>IF(CALC_EPM!$B184="","",CALC_EPM!M184)</f>
      </c>
      <c r="N195">
        <f>IF(CALC_EPM!$B184="","",CALC_EPM!N184)</f>
      </c>
      <c r="O195">
        <f>IF(CALC_EPM!$B184="","",CALC_EPM!O184)</f>
      </c>
      <c r="P195">
        <f>IF(CALC_EPM!$B184="","",CALC_EPM!P184)</f>
      </c>
      <c r="Q195">
        <f>IF(CALC_EPM!$B184="","",CALC_EPM!Q184)</f>
      </c>
      <c r="R195">
        <f>IF(CALC_EPM!$B184="","",CALC_EPM!R184)</f>
      </c>
      <c r="S195">
        <f>IF(CALC_EPM!$B184="","",CALC_EPM!S184)</f>
      </c>
      <c r="T195">
        <f>IF(CALC_EPM!$B184="","",CALC_EPM!T184)</f>
      </c>
      <c r="U195">
        <f>IF(CALC_EPM!$B184="","",CALC_EPM!U184)</f>
      </c>
    </row>
    <row r="196">
      <c r="A196" t="str">
        <f>IF(CALC_EPM!$B185="","",IF(CALC_EPM!A185="GLOBAL",IF(CALC_EPM!C185="Total","GLOBAL",IF(CALC_EPM!C185="TotalEsp","GLOBAL_ESP",IF(CALC_EPM!C185="TotalNoEsp","GLOBAL_NOESP","GLOBAL_ASIG"))),IF(CALC_EPM!C185="Total","CURSO_TOTAL",IF(CALC_EPM!C185="TotalEsp","CURSO_ESP",IF(CALC_EPM!C185="TotalNoEsp","CURSO_NOESP","CURSO_ASIG")))))</f>
      </c>
      <c r="B196" t="str">
        <f>IF(CALC_EPM!$B185="","",CALC_EPM!A185)</f>
      </c>
      <c r="C196" t="str">
        <f>IF(CALC_EPM!$B185="","",CALC_EPM!B185)</f>
      </c>
      <c r="D196">
        <f>IF(CALC_EPM!$B185="","",CALC_EPM!D185)</f>
      </c>
      <c r="E196" s="10" t="str">
        <f>IF(CALC_EPM!$B185="","",CALC_EPM!E185)</f>
      </c>
      <c r="F196" s="10" t="str">
        <f>IF(CALC_EPM!$B185="","",CALC_EPM!F185)</f>
      </c>
      <c r="G196" t="str">
        <f>IF(CALC_EPM!$B185="","",CALC_EPM!G185)</f>
      </c>
      <c r="H196" s="11" t="str">
        <f>IF(CALC_EPM!$B185="","",CALC_EPM!H185)</f>
      </c>
      <c r="I196" s="11" t="str">
        <f>IF(CALC_EPM!$B185="","",CALC_EPM!I185)</f>
      </c>
      <c r="J196" t="str">
        <f>IF(CALC_EPM!$B185="","",CALC_EPM!J185)</f>
      </c>
      <c r="K196" t="str">
        <f>IF(CALC_EPM!$B185="","",CALC_EPM!K185)</f>
      </c>
      <c r="L196">
        <f>IF(CALC_EPM!$B185="","",CALC_EPM!L185)</f>
      </c>
      <c r="M196">
        <f>IF(CALC_EPM!$B185="","",CALC_EPM!M185)</f>
      </c>
      <c r="N196">
        <f>IF(CALC_EPM!$B185="","",CALC_EPM!N185)</f>
      </c>
      <c r="O196">
        <f>IF(CALC_EPM!$B185="","",CALC_EPM!O185)</f>
      </c>
      <c r="P196">
        <f>IF(CALC_EPM!$B185="","",CALC_EPM!P185)</f>
      </c>
      <c r="Q196">
        <f>IF(CALC_EPM!$B185="","",CALC_EPM!Q185)</f>
      </c>
      <c r="R196">
        <f>IF(CALC_EPM!$B185="","",CALC_EPM!R185)</f>
      </c>
      <c r="S196">
        <f>IF(CALC_EPM!$B185="","",CALC_EPM!S185)</f>
      </c>
      <c r="T196">
        <f>IF(CALC_EPM!$B185="","",CALC_EPM!T185)</f>
      </c>
      <c r="U196">
        <f>IF(CALC_EPM!$B185="","",CALC_EPM!U185)</f>
      </c>
    </row>
    <row r="197">
      <c r="A197" t="str">
        <f>IF(CALC_EPM!$B186="","",IF(CALC_EPM!A186="GLOBAL",IF(CALC_EPM!C186="Total","GLOBAL",IF(CALC_EPM!C186="TotalEsp","GLOBAL_ESP",IF(CALC_EPM!C186="TotalNoEsp","GLOBAL_NOESP","GLOBAL_ASIG"))),IF(CALC_EPM!C186="Total","CURSO_TOTAL",IF(CALC_EPM!C186="TotalEsp","CURSO_ESP",IF(CALC_EPM!C186="TotalNoEsp","CURSO_NOESP","CURSO_ASIG")))))</f>
      </c>
      <c r="B197" t="str">
        <f>IF(CALC_EPM!$B186="","",CALC_EPM!A186)</f>
      </c>
      <c r="C197" t="str">
        <f>IF(CALC_EPM!$B186="","",CALC_EPM!B186)</f>
      </c>
      <c r="D197">
        <f>IF(CALC_EPM!$B186="","",CALC_EPM!D186)</f>
      </c>
      <c r="E197" s="10" t="str">
        <f>IF(CALC_EPM!$B186="","",CALC_EPM!E186)</f>
      </c>
      <c r="F197" s="10" t="str">
        <f>IF(CALC_EPM!$B186="","",CALC_EPM!F186)</f>
      </c>
      <c r="G197" t="str">
        <f>IF(CALC_EPM!$B186="","",CALC_EPM!G186)</f>
      </c>
      <c r="H197" s="11" t="str">
        <f>IF(CALC_EPM!$B186="","",CALC_EPM!H186)</f>
      </c>
      <c r="I197" s="11" t="str">
        <f>IF(CALC_EPM!$B186="","",CALC_EPM!I186)</f>
      </c>
      <c r="J197" t="str">
        <f>IF(CALC_EPM!$B186="","",CALC_EPM!J186)</f>
      </c>
      <c r="K197" t="str">
        <f>IF(CALC_EPM!$B186="","",CALC_EPM!K186)</f>
      </c>
      <c r="L197">
        <f>IF(CALC_EPM!$B186="","",CALC_EPM!L186)</f>
      </c>
      <c r="M197">
        <f>IF(CALC_EPM!$B186="","",CALC_EPM!M186)</f>
      </c>
      <c r="N197">
        <f>IF(CALC_EPM!$B186="","",CALC_EPM!N186)</f>
      </c>
      <c r="O197">
        <f>IF(CALC_EPM!$B186="","",CALC_EPM!O186)</f>
      </c>
      <c r="P197">
        <f>IF(CALC_EPM!$B186="","",CALC_EPM!P186)</f>
      </c>
      <c r="Q197">
        <f>IF(CALC_EPM!$B186="","",CALC_EPM!Q186)</f>
      </c>
      <c r="R197">
        <f>IF(CALC_EPM!$B186="","",CALC_EPM!R186)</f>
      </c>
      <c r="S197">
        <f>IF(CALC_EPM!$B186="","",CALC_EPM!S186)</f>
      </c>
      <c r="T197">
        <f>IF(CALC_EPM!$B186="","",CALC_EPM!T186)</f>
      </c>
      <c r="U197">
        <f>IF(CALC_EPM!$B186="","",CALC_EPM!U186)</f>
      </c>
    </row>
    <row r="198">
      <c r="A198" t="str">
        <f>IF(CALC_EPM!$B187="","",IF(CALC_EPM!A187="GLOBAL",IF(CALC_EPM!C187="Total","GLOBAL",IF(CALC_EPM!C187="TotalEsp","GLOBAL_ESP",IF(CALC_EPM!C187="TotalNoEsp","GLOBAL_NOESP","GLOBAL_ASIG"))),IF(CALC_EPM!C187="Total","CURSO_TOTAL",IF(CALC_EPM!C187="TotalEsp","CURSO_ESP",IF(CALC_EPM!C187="TotalNoEsp","CURSO_NOESP","CURSO_ASIG")))))</f>
      </c>
      <c r="B198" t="str">
        <f>IF(CALC_EPM!$B187="","",CALC_EPM!A187)</f>
      </c>
      <c r="C198" t="str">
        <f>IF(CALC_EPM!$B187="","",CALC_EPM!B187)</f>
      </c>
      <c r="D198">
        <f>IF(CALC_EPM!$B187="","",CALC_EPM!D187)</f>
      </c>
      <c r="E198" s="10" t="str">
        <f>IF(CALC_EPM!$B187="","",CALC_EPM!E187)</f>
      </c>
      <c r="F198" s="10" t="str">
        <f>IF(CALC_EPM!$B187="","",CALC_EPM!F187)</f>
      </c>
      <c r="G198" t="str">
        <f>IF(CALC_EPM!$B187="","",CALC_EPM!G187)</f>
      </c>
      <c r="H198" s="11" t="str">
        <f>IF(CALC_EPM!$B187="","",CALC_EPM!H187)</f>
      </c>
      <c r="I198" s="11" t="str">
        <f>IF(CALC_EPM!$B187="","",CALC_EPM!I187)</f>
      </c>
      <c r="J198" t="str">
        <f>IF(CALC_EPM!$B187="","",CALC_EPM!J187)</f>
      </c>
      <c r="K198" t="str">
        <f>IF(CALC_EPM!$B187="","",CALC_EPM!K187)</f>
      </c>
      <c r="L198">
        <f>IF(CALC_EPM!$B187="","",CALC_EPM!L187)</f>
      </c>
      <c r="M198">
        <f>IF(CALC_EPM!$B187="","",CALC_EPM!M187)</f>
      </c>
      <c r="N198">
        <f>IF(CALC_EPM!$B187="","",CALC_EPM!N187)</f>
      </c>
      <c r="O198">
        <f>IF(CALC_EPM!$B187="","",CALC_EPM!O187)</f>
      </c>
      <c r="P198">
        <f>IF(CALC_EPM!$B187="","",CALC_EPM!P187)</f>
      </c>
      <c r="Q198">
        <f>IF(CALC_EPM!$B187="","",CALC_EPM!Q187)</f>
      </c>
      <c r="R198">
        <f>IF(CALC_EPM!$B187="","",CALC_EPM!R187)</f>
      </c>
      <c r="S198">
        <f>IF(CALC_EPM!$B187="","",CALC_EPM!S187)</f>
      </c>
      <c r="T198">
        <f>IF(CALC_EPM!$B187="","",CALC_EPM!T187)</f>
      </c>
      <c r="U198">
        <f>IF(CALC_EPM!$B187="","",CALC_EPM!U187)</f>
      </c>
    </row>
    <row r="199">
      <c r="A199" t="str">
        <f>IF(CALC_EPM!$B188="","",IF(CALC_EPM!A188="GLOBAL",IF(CALC_EPM!C188="Total","GLOBAL",IF(CALC_EPM!C188="TotalEsp","GLOBAL_ESP",IF(CALC_EPM!C188="TotalNoEsp","GLOBAL_NOESP","GLOBAL_ASIG"))),IF(CALC_EPM!C188="Total","CURSO_TOTAL",IF(CALC_EPM!C188="TotalEsp","CURSO_ESP",IF(CALC_EPM!C188="TotalNoEsp","CURSO_NOESP","CURSO_ASIG")))))</f>
      </c>
      <c r="B199" t="str">
        <f>IF(CALC_EPM!$B188="","",CALC_EPM!A188)</f>
      </c>
      <c r="C199" t="str">
        <f>IF(CALC_EPM!$B188="","",CALC_EPM!B188)</f>
      </c>
      <c r="D199">
        <f>IF(CALC_EPM!$B188="","",CALC_EPM!D188)</f>
      </c>
      <c r="E199" s="10" t="str">
        <f>IF(CALC_EPM!$B188="","",CALC_EPM!E188)</f>
      </c>
      <c r="F199" s="10" t="str">
        <f>IF(CALC_EPM!$B188="","",CALC_EPM!F188)</f>
      </c>
      <c r="G199" t="str">
        <f>IF(CALC_EPM!$B188="","",CALC_EPM!G188)</f>
      </c>
      <c r="H199" s="11" t="str">
        <f>IF(CALC_EPM!$B188="","",CALC_EPM!H188)</f>
      </c>
      <c r="I199" s="11" t="str">
        <f>IF(CALC_EPM!$B188="","",CALC_EPM!I188)</f>
      </c>
      <c r="J199" t="str">
        <f>IF(CALC_EPM!$B188="","",CALC_EPM!J188)</f>
      </c>
      <c r="K199" t="str">
        <f>IF(CALC_EPM!$B188="","",CALC_EPM!K188)</f>
      </c>
      <c r="L199">
        <f>IF(CALC_EPM!$B188="","",CALC_EPM!L188)</f>
      </c>
      <c r="M199">
        <f>IF(CALC_EPM!$B188="","",CALC_EPM!M188)</f>
      </c>
      <c r="N199">
        <f>IF(CALC_EPM!$B188="","",CALC_EPM!N188)</f>
      </c>
      <c r="O199">
        <f>IF(CALC_EPM!$B188="","",CALC_EPM!O188)</f>
      </c>
      <c r="P199">
        <f>IF(CALC_EPM!$B188="","",CALC_EPM!P188)</f>
      </c>
      <c r="Q199">
        <f>IF(CALC_EPM!$B188="","",CALC_EPM!Q188)</f>
      </c>
      <c r="R199">
        <f>IF(CALC_EPM!$B188="","",CALC_EPM!R188)</f>
      </c>
      <c r="S199">
        <f>IF(CALC_EPM!$B188="","",CALC_EPM!S188)</f>
      </c>
      <c r="T199">
        <f>IF(CALC_EPM!$B188="","",CALC_EPM!T188)</f>
      </c>
      <c r="U199">
        <f>IF(CALC_EPM!$B188="","",CALC_EPM!U188)</f>
      </c>
    </row>
    <row r="200">
      <c r="A200" t="str">
        <f>IF(CALC_EPM!$B189="","",IF(CALC_EPM!A189="GLOBAL",IF(CALC_EPM!C189="Total","GLOBAL",IF(CALC_EPM!C189="TotalEsp","GLOBAL_ESP",IF(CALC_EPM!C189="TotalNoEsp","GLOBAL_NOESP","GLOBAL_ASIG"))),IF(CALC_EPM!C189="Total","CURSO_TOTAL",IF(CALC_EPM!C189="TotalEsp","CURSO_ESP",IF(CALC_EPM!C189="TotalNoEsp","CURSO_NOESP","CURSO_ASIG")))))</f>
      </c>
      <c r="B200" t="str">
        <f>IF(CALC_EPM!$B189="","",CALC_EPM!A189)</f>
      </c>
      <c r="C200" t="str">
        <f>IF(CALC_EPM!$B189="","",CALC_EPM!B189)</f>
      </c>
      <c r="D200">
        <f>IF(CALC_EPM!$B189="","",CALC_EPM!D189)</f>
      </c>
      <c r="E200" s="10" t="str">
        <f>IF(CALC_EPM!$B189="","",CALC_EPM!E189)</f>
      </c>
      <c r="F200" s="10" t="str">
        <f>IF(CALC_EPM!$B189="","",CALC_EPM!F189)</f>
      </c>
      <c r="G200" t="str">
        <f>IF(CALC_EPM!$B189="","",CALC_EPM!G189)</f>
      </c>
      <c r="H200" s="11" t="str">
        <f>IF(CALC_EPM!$B189="","",CALC_EPM!H189)</f>
      </c>
      <c r="I200" s="11" t="str">
        <f>IF(CALC_EPM!$B189="","",CALC_EPM!I189)</f>
      </c>
      <c r="J200" t="str">
        <f>IF(CALC_EPM!$B189="","",CALC_EPM!J189)</f>
      </c>
      <c r="K200" t="str">
        <f>IF(CALC_EPM!$B189="","",CALC_EPM!K189)</f>
      </c>
      <c r="L200">
        <f>IF(CALC_EPM!$B189="","",CALC_EPM!L189)</f>
      </c>
      <c r="M200">
        <f>IF(CALC_EPM!$B189="","",CALC_EPM!M189)</f>
      </c>
      <c r="N200">
        <f>IF(CALC_EPM!$B189="","",CALC_EPM!N189)</f>
      </c>
      <c r="O200">
        <f>IF(CALC_EPM!$B189="","",CALC_EPM!O189)</f>
      </c>
      <c r="P200">
        <f>IF(CALC_EPM!$B189="","",CALC_EPM!P189)</f>
      </c>
      <c r="Q200">
        <f>IF(CALC_EPM!$B189="","",CALC_EPM!Q189)</f>
      </c>
      <c r="R200">
        <f>IF(CALC_EPM!$B189="","",CALC_EPM!R189)</f>
      </c>
      <c r="S200">
        <f>IF(CALC_EPM!$B189="","",CALC_EPM!S189)</f>
      </c>
      <c r="T200">
        <f>IF(CALC_EPM!$B189="","",CALC_EPM!T189)</f>
      </c>
      <c r="U200">
        <f>IF(CALC_EPM!$B189="","",CALC_EPM!U189)</f>
      </c>
    </row>
    <row r="201">
      <c r="A201" t="str">
        <f>IF(CALC_EPM!$B190="","",IF(CALC_EPM!A190="GLOBAL",IF(CALC_EPM!C190="Total","GLOBAL",IF(CALC_EPM!C190="TotalEsp","GLOBAL_ESP",IF(CALC_EPM!C190="TotalNoEsp","GLOBAL_NOESP","GLOBAL_ASIG"))),IF(CALC_EPM!C190="Total","CURSO_TOTAL",IF(CALC_EPM!C190="TotalEsp","CURSO_ESP",IF(CALC_EPM!C190="TotalNoEsp","CURSO_NOESP","CURSO_ASIG")))))</f>
      </c>
      <c r="B201" t="str">
        <f>IF(CALC_EPM!$B190="","",CALC_EPM!A190)</f>
      </c>
      <c r="C201" t="str">
        <f>IF(CALC_EPM!$B190="","",CALC_EPM!B190)</f>
      </c>
      <c r="D201">
        <f>IF(CALC_EPM!$B190="","",CALC_EPM!D190)</f>
      </c>
      <c r="E201" s="10" t="str">
        <f>IF(CALC_EPM!$B190="","",CALC_EPM!E190)</f>
      </c>
      <c r="F201" s="10" t="str">
        <f>IF(CALC_EPM!$B190="","",CALC_EPM!F190)</f>
      </c>
      <c r="G201" t="str">
        <f>IF(CALC_EPM!$B190="","",CALC_EPM!G190)</f>
      </c>
      <c r="H201" s="11" t="str">
        <f>IF(CALC_EPM!$B190="","",CALC_EPM!H190)</f>
      </c>
      <c r="I201" s="11" t="str">
        <f>IF(CALC_EPM!$B190="","",CALC_EPM!I190)</f>
      </c>
      <c r="J201" t="str">
        <f>IF(CALC_EPM!$B190="","",CALC_EPM!J190)</f>
      </c>
      <c r="K201" t="str">
        <f>IF(CALC_EPM!$B190="","",CALC_EPM!K190)</f>
      </c>
      <c r="L201">
        <f>IF(CALC_EPM!$B190="","",CALC_EPM!L190)</f>
      </c>
      <c r="M201">
        <f>IF(CALC_EPM!$B190="","",CALC_EPM!M190)</f>
      </c>
      <c r="N201">
        <f>IF(CALC_EPM!$B190="","",CALC_EPM!N190)</f>
      </c>
      <c r="O201">
        <f>IF(CALC_EPM!$B190="","",CALC_EPM!O190)</f>
      </c>
      <c r="P201">
        <f>IF(CALC_EPM!$B190="","",CALC_EPM!P190)</f>
      </c>
      <c r="Q201">
        <f>IF(CALC_EPM!$B190="","",CALC_EPM!Q190)</f>
      </c>
      <c r="R201">
        <f>IF(CALC_EPM!$B190="","",CALC_EPM!R190)</f>
      </c>
      <c r="S201">
        <f>IF(CALC_EPM!$B190="","",CALC_EPM!S190)</f>
      </c>
      <c r="T201">
        <f>IF(CALC_EPM!$B190="","",CALC_EPM!T190)</f>
      </c>
      <c r="U201">
        <f>IF(CALC_EPM!$B190="","",CALC_EPM!U190)</f>
      </c>
    </row>
    <row r="202">
      <c r="A202" t="str">
        <f>IF(CALC_EPM!$B191="","",IF(CALC_EPM!A191="GLOBAL",IF(CALC_EPM!C191="Total","GLOBAL",IF(CALC_EPM!C191="TotalEsp","GLOBAL_ESP",IF(CALC_EPM!C191="TotalNoEsp","GLOBAL_NOESP","GLOBAL_ASIG"))),IF(CALC_EPM!C191="Total","CURSO_TOTAL",IF(CALC_EPM!C191="TotalEsp","CURSO_ESP",IF(CALC_EPM!C191="TotalNoEsp","CURSO_NOESP","CURSO_ASIG")))))</f>
      </c>
      <c r="B202" t="str">
        <f>IF(CALC_EPM!$B191="","",CALC_EPM!A191)</f>
      </c>
      <c r="C202" t="str">
        <f>IF(CALC_EPM!$B191="","",CALC_EPM!B191)</f>
      </c>
      <c r="D202">
        <f>IF(CALC_EPM!$B191="","",CALC_EPM!D191)</f>
      </c>
      <c r="E202" s="10" t="str">
        <f>IF(CALC_EPM!$B191="","",CALC_EPM!E191)</f>
      </c>
      <c r="F202" s="10" t="str">
        <f>IF(CALC_EPM!$B191="","",CALC_EPM!F191)</f>
      </c>
      <c r="G202" t="str">
        <f>IF(CALC_EPM!$B191="","",CALC_EPM!G191)</f>
      </c>
      <c r="H202" s="11" t="str">
        <f>IF(CALC_EPM!$B191="","",CALC_EPM!H191)</f>
      </c>
      <c r="I202" s="11" t="str">
        <f>IF(CALC_EPM!$B191="","",CALC_EPM!I191)</f>
      </c>
      <c r="J202" t="str">
        <f>IF(CALC_EPM!$B191="","",CALC_EPM!J191)</f>
      </c>
      <c r="K202" t="str">
        <f>IF(CALC_EPM!$B191="","",CALC_EPM!K191)</f>
      </c>
      <c r="L202">
        <f>IF(CALC_EPM!$B191="","",CALC_EPM!L191)</f>
      </c>
      <c r="M202">
        <f>IF(CALC_EPM!$B191="","",CALC_EPM!M191)</f>
      </c>
      <c r="N202">
        <f>IF(CALC_EPM!$B191="","",CALC_EPM!N191)</f>
      </c>
      <c r="O202">
        <f>IF(CALC_EPM!$B191="","",CALC_EPM!O191)</f>
      </c>
      <c r="P202">
        <f>IF(CALC_EPM!$B191="","",CALC_EPM!P191)</f>
      </c>
      <c r="Q202">
        <f>IF(CALC_EPM!$B191="","",CALC_EPM!Q191)</f>
      </c>
      <c r="R202">
        <f>IF(CALC_EPM!$B191="","",CALC_EPM!R191)</f>
      </c>
      <c r="S202">
        <f>IF(CALC_EPM!$B191="","",CALC_EPM!S191)</f>
      </c>
      <c r="T202">
        <f>IF(CALC_EPM!$B191="","",CALC_EPM!T191)</f>
      </c>
      <c r="U202">
        <f>IF(CALC_EPM!$B191="","",CALC_EPM!U191)</f>
      </c>
    </row>
    <row r="203">
      <c r="A203" t="str">
        <f>IF(CALC_EPM!$B192="","",IF(CALC_EPM!A192="GLOBAL",IF(CALC_EPM!C192="Total","GLOBAL",IF(CALC_EPM!C192="TotalEsp","GLOBAL_ESP",IF(CALC_EPM!C192="TotalNoEsp","GLOBAL_NOESP","GLOBAL_ASIG"))),IF(CALC_EPM!C192="Total","CURSO_TOTAL",IF(CALC_EPM!C192="TotalEsp","CURSO_ESP",IF(CALC_EPM!C192="TotalNoEsp","CURSO_NOESP","CURSO_ASIG")))))</f>
      </c>
      <c r="B203" t="str">
        <f>IF(CALC_EPM!$B192="","",CALC_EPM!A192)</f>
      </c>
      <c r="C203" t="str">
        <f>IF(CALC_EPM!$B192="","",CALC_EPM!B192)</f>
      </c>
      <c r="D203">
        <f>IF(CALC_EPM!$B192="","",CALC_EPM!D192)</f>
      </c>
      <c r="E203" s="10" t="str">
        <f>IF(CALC_EPM!$B192="","",CALC_EPM!E192)</f>
      </c>
      <c r="F203" s="10" t="str">
        <f>IF(CALC_EPM!$B192="","",CALC_EPM!F192)</f>
      </c>
      <c r="G203" t="str">
        <f>IF(CALC_EPM!$B192="","",CALC_EPM!G192)</f>
      </c>
      <c r="H203" s="11" t="str">
        <f>IF(CALC_EPM!$B192="","",CALC_EPM!H192)</f>
      </c>
      <c r="I203" s="11" t="str">
        <f>IF(CALC_EPM!$B192="","",CALC_EPM!I192)</f>
      </c>
      <c r="J203" t="str">
        <f>IF(CALC_EPM!$B192="","",CALC_EPM!J192)</f>
      </c>
      <c r="K203" t="str">
        <f>IF(CALC_EPM!$B192="","",CALC_EPM!K192)</f>
      </c>
      <c r="L203">
        <f>IF(CALC_EPM!$B192="","",CALC_EPM!L192)</f>
      </c>
      <c r="M203">
        <f>IF(CALC_EPM!$B192="","",CALC_EPM!M192)</f>
      </c>
      <c r="N203">
        <f>IF(CALC_EPM!$B192="","",CALC_EPM!N192)</f>
      </c>
      <c r="O203">
        <f>IF(CALC_EPM!$B192="","",CALC_EPM!O192)</f>
      </c>
      <c r="P203">
        <f>IF(CALC_EPM!$B192="","",CALC_EPM!P192)</f>
      </c>
      <c r="Q203">
        <f>IF(CALC_EPM!$B192="","",CALC_EPM!Q192)</f>
      </c>
      <c r="R203">
        <f>IF(CALC_EPM!$B192="","",CALC_EPM!R192)</f>
      </c>
      <c r="S203">
        <f>IF(CALC_EPM!$B192="","",CALC_EPM!S192)</f>
      </c>
      <c r="T203">
        <f>IF(CALC_EPM!$B192="","",CALC_EPM!T192)</f>
      </c>
      <c r="U203">
        <f>IF(CALC_EPM!$B192="","",CALC_EPM!U192)</f>
      </c>
    </row>
    <row r="204">
      <c r="A204" t="str">
        <f>IF(CALC_EPM!$B193="","",IF(CALC_EPM!A193="GLOBAL",IF(CALC_EPM!C193="Total","GLOBAL",IF(CALC_EPM!C193="TotalEsp","GLOBAL_ESP",IF(CALC_EPM!C193="TotalNoEsp","GLOBAL_NOESP","GLOBAL_ASIG"))),IF(CALC_EPM!C193="Total","CURSO_TOTAL",IF(CALC_EPM!C193="TotalEsp","CURSO_ESP",IF(CALC_EPM!C193="TotalNoEsp","CURSO_NOESP","CURSO_ASIG")))))</f>
      </c>
      <c r="B204" t="str">
        <f>IF(CALC_EPM!$B193="","",CALC_EPM!A193)</f>
      </c>
      <c r="C204" t="str">
        <f>IF(CALC_EPM!$B193="","",CALC_EPM!B193)</f>
      </c>
      <c r="D204">
        <f>IF(CALC_EPM!$B193="","",CALC_EPM!D193)</f>
      </c>
      <c r="E204" s="10" t="str">
        <f>IF(CALC_EPM!$B193="","",CALC_EPM!E193)</f>
      </c>
      <c r="F204" s="10" t="str">
        <f>IF(CALC_EPM!$B193="","",CALC_EPM!F193)</f>
      </c>
      <c r="G204" t="str">
        <f>IF(CALC_EPM!$B193="","",CALC_EPM!G193)</f>
      </c>
      <c r="H204" s="11" t="str">
        <f>IF(CALC_EPM!$B193="","",CALC_EPM!H193)</f>
      </c>
      <c r="I204" s="11" t="str">
        <f>IF(CALC_EPM!$B193="","",CALC_EPM!I193)</f>
      </c>
      <c r="J204" t="str">
        <f>IF(CALC_EPM!$B193="","",CALC_EPM!J193)</f>
      </c>
      <c r="K204" t="str">
        <f>IF(CALC_EPM!$B193="","",CALC_EPM!K193)</f>
      </c>
      <c r="L204">
        <f>IF(CALC_EPM!$B193="","",CALC_EPM!L193)</f>
      </c>
      <c r="M204">
        <f>IF(CALC_EPM!$B193="","",CALC_EPM!M193)</f>
      </c>
      <c r="N204">
        <f>IF(CALC_EPM!$B193="","",CALC_EPM!N193)</f>
      </c>
      <c r="O204">
        <f>IF(CALC_EPM!$B193="","",CALC_EPM!O193)</f>
      </c>
      <c r="P204">
        <f>IF(CALC_EPM!$B193="","",CALC_EPM!P193)</f>
      </c>
      <c r="Q204">
        <f>IF(CALC_EPM!$B193="","",CALC_EPM!Q193)</f>
      </c>
      <c r="R204">
        <f>IF(CALC_EPM!$B193="","",CALC_EPM!R193)</f>
      </c>
      <c r="S204">
        <f>IF(CALC_EPM!$B193="","",CALC_EPM!S193)</f>
      </c>
      <c r="T204">
        <f>IF(CALC_EPM!$B193="","",CALC_EPM!T193)</f>
      </c>
      <c r="U204">
        <f>IF(CALC_EPM!$B193="","",CALC_EPM!U193)</f>
      </c>
    </row>
    <row r="205">
      <c r="A205" t="str">
        <f>IF(CALC_EPM!$B194="","",IF(CALC_EPM!A194="GLOBAL",IF(CALC_EPM!C194="Total","GLOBAL",IF(CALC_EPM!C194="TotalEsp","GLOBAL_ESP",IF(CALC_EPM!C194="TotalNoEsp","GLOBAL_NOESP","GLOBAL_ASIG"))),IF(CALC_EPM!C194="Total","CURSO_TOTAL",IF(CALC_EPM!C194="TotalEsp","CURSO_ESP",IF(CALC_EPM!C194="TotalNoEsp","CURSO_NOESP","CURSO_ASIG")))))</f>
      </c>
      <c r="B205" t="str">
        <f>IF(CALC_EPM!$B194="","",CALC_EPM!A194)</f>
      </c>
      <c r="C205" t="str">
        <f>IF(CALC_EPM!$B194="","",CALC_EPM!B194)</f>
      </c>
      <c r="D205">
        <f>IF(CALC_EPM!$B194="","",CALC_EPM!D194)</f>
      </c>
      <c r="E205" s="10" t="str">
        <f>IF(CALC_EPM!$B194="","",CALC_EPM!E194)</f>
      </c>
      <c r="F205" s="10" t="str">
        <f>IF(CALC_EPM!$B194="","",CALC_EPM!F194)</f>
      </c>
      <c r="G205" t="str">
        <f>IF(CALC_EPM!$B194="","",CALC_EPM!G194)</f>
      </c>
      <c r="H205" s="11" t="str">
        <f>IF(CALC_EPM!$B194="","",CALC_EPM!H194)</f>
      </c>
      <c r="I205" s="11" t="str">
        <f>IF(CALC_EPM!$B194="","",CALC_EPM!I194)</f>
      </c>
      <c r="J205" t="str">
        <f>IF(CALC_EPM!$B194="","",CALC_EPM!J194)</f>
      </c>
      <c r="K205" t="str">
        <f>IF(CALC_EPM!$B194="","",CALC_EPM!K194)</f>
      </c>
      <c r="L205">
        <f>IF(CALC_EPM!$B194="","",CALC_EPM!L194)</f>
      </c>
      <c r="M205">
        <f>IF(CALC_EPM!$B194="","",CALC_EPM!M194)</f>
      </c>
      <c r="N205">
        <f>IF(CALC_EPM!$B194="","",CALC_EPM!N194)</f>
      </c>
      <c r="O205">
        <f>IF(CALC_EPM!$B194="","",CALC_EPM!O194)</f>
      </c>
      <c r="P205">
        <f>IF(CALC_EPM!$B194="","",CALC_EPM!P194)</f>
      </c>
      <c r="Q205">
        <f>IF(CALC_EPM!$B194="","",CALC_EPM!Q194)</f>
      </c>
      <c r="R205">
        <f>IF(CALC_EPM!$B194="","",CALC_EPM!R194)</f>
      </c>
      <c r="S205">
        <f>IF(CALC_EPM!$B194="","",CALC_EPM!S194)</f>
      </c>
      <c r="T205">
        <f>IF(CALC_EPM!$B194="","",CALC_EPM!T194)</f>
      </c>
      <c r="U205">
        <f>IF(CALC_EPM!$B194="","",CALC_EPM!U194)</f>
      </c>
    </row>
    <row r="206">
      <c r="A206" t="str">
        <f>IF(CALC_EPM!$B195="","",IF(CALC_EPM!A195="GLOBAL",IF(CALC_EPM!C195="Total","GLOBAL",IF(CALC_EPM!C195="TotalEsp","GLOBAL_ESP",IF(CALC_EPM!C195="TotalNoEsp","GLOBAL_NOESP","GLOBAL_ASIG"))),IF(CALC_EPM!C195="Total","CURSO_TOTAL",IF(CALC_EPM!C195="TotalEsp","CURSO_ESP",IF(CALC_EPM!C195="TotalNoEsp","CURSO_NOESP","CURSO_ASIG")))))</f>
      </c>
      <c r="B206" t="str">
        <f>IF(CALC_EPM!$B195="","",CALC_EPM!A195)</f>
      </c>
      <c r="C206" t="str">
        <f>IF(CALC_EPM!$B195="","",CALC_EPM!B195)</f>
      </c>
      <c r="D206">
        <f>IF(CALC_EPM!$B195="","",CALC_EPM!D195)</f>
      </c>
      <c r="E206" s="10" t="str">
        <f>IF(CALC_EPM!$B195="","",CALC_EPM!E195)</f>
      </c>
      <c r="F206" s="10" t="str">
        <f>IF(CALC_EPM!$B195="","",CALC_EPM!F195)</f>
      </c>
      <c r="G206" t="str">
        <f>IF(CALC_EPM!$B195="","",CALC_EPM!G195)</f>
      </c>
      <c r="H206" s="11" t="str">
        <f>IF(CALC_EPM!$B195="","",CALC_EPM!H195)</f>
      </c>
      <c r="I206" s="11" t="str">
        <f>IF(CALC_EPM!$B195="","",CALC_EPM!I195)</f>
      </c>
      <c r="J206" t="str">
        <f>IF(CALC_EPM!$B195="","",CALC_EPM!J195)</f>
      </c>
      <c r="K206" t="str">
        <f>IF(CALC_EPM!$B195="","",CALC_EPM!K195)</f>
      </c>
      <c r="L206">
        <f>IF(CALC_EPM!$B195="","",CALC_EPM!L195)</f>
      </c>
      <c r="M206">
        <f>IF(CALC_EPM!$B195="","",CALC_EPM!M195)</f>
      </c>
      <c r="N206">
        <f>IF(CALC_EPM!$B195="","",CALC_EPM!N195)</f>
      </c>
      <c r="O206">
        <f>IF(CALC_EPM!$B195="","",CALC_EPM!O195)</f>
      </c>
      <c r="P206">
        <f>IF(CALC_EPM!$B195="","",CALC_EPM!P195)</f>
      </c>
      <c r="Q206">
        <f>IF(CALC_EPM!$B195="","",CALC_EPM!Q195)</f>
      </c>
      <c r="R206">
        <f>IF(CALC_EPM!$B195="","",CALC_EPM!R195)</f>
      </c>
      <c r="S206">
        <f>IF(CALC_EPM!$B195="","",CALC_EPM!S195)</f>
      </c>
      <c r="T206">
        <f>IF(CALC_EPM!$B195="","",CALC_EPM!T195)</f>
      </c>
      <c r="U206">
        <f>IF(CALC_EPM!$B195="","",CALC_EPM!U195)</f>
      </c>
    </row>
    <row r="207">
      <c r="A207" t="str">
        <f>IF(CALC_EPM!$B196="","",IF(CALC_EPM!A196="GLOBAL",IF(CALC_EPM!C196="Total","GLOBAL",IF(CALC_EPM!C196="TotalEsp","GLOBAL_ESP",IF(CALC_EPM!C196="TotalNoEsp","GLOBAL_NOESP","GLOBAL_ASIG"))),IF(CALC_EPM!C196="Total","CURSO_TOTAL",IF(CALC_EPM!C196="TotalEsp","CURSO_ESP",IF(CALC_EPM!C196="TotalNoEsp","CURSO_NOESP","CURSO_ASIG")))))</f>
      </c>
      <c r="B207" t="str">
        <f>IF(CALC_EPM!$B196="","",CALC_EPM!A196)</f>
      </c>
      <c r="C207" t="str">
        <f>IF(CALC_EPM!$B196="","",CALC_EPM!B196)</f>
      </c>
      <c r="D207">
        <f>IF(CALC_EPM!$B196="","",CALC_EPM!D196)</f>
      </c>
      <c r="E207" s="10" t="str">
        <f>IF(CALC_EPM!$B196="","",CALC_EPM!E196)</f>
      </c>
      <c r="F207" s="10" t="str">
        <f>IF(CALC_EPM!$B196="","",CALC_EPM!F196)</f>
      </c>
      <c r="G207" t="str">
        <f>IF(CALC_EPM!$B196="","",CALC_EPM!G196)</f>
      </c>
      <c r="H207" s="11" t="str">
        <f>IF(CALC_EPM!$B196="","",CALC_EPM!H196)</f>
      </c>
      <c r="I207" s="11" t="str">
        <f>IF(CALC_EPM!$B196="","",CALC_EPM!I196)</f>
      </c>
      <c r="J207" t="str">
        <f>IF(CALC_EPM!$B196="","",CALC_EPM!J196)</f>
      </c>
      <c r="K207" t="str">
        <f>IF(CALC_EPM!$B196="","",CALC_EPM!K196)</f>
      </c>
      <c r="L207">
        <f>IF(CALC_EPM!$B196="","",CALC_EPM!L196)</f>
      </c>
      <c r="M207">
        <f>IF(CALC_EPM!$B196="","",CALC_EPM!M196)</f>
      </c>
      <c r="N207">
        <f>IF(CALC_EPM!$B196="","",CALC_EPM!N196)</f>
      </c>
      <c r="O207">
        <f>IF(CALC_EPM!$B196="","",CALC_EPM!O196)</f>
      </c>
      <c r="P207">
        <f>IF(CALC_EPM!$B196="","",CALC_EPM!P196)</f>
      </c>
      <c r="Q207">
        <f>IF(CALC_EPM!$B196="","",CALC_EPM!Q196)</f>
      </c>
      <c r="R207">
        <f>IF(CALC_EPM!$B196="","",CALC_EPM!R196)</f>
      </c>
      <c r="S207">
        <f>IF(CALC_EPM!$B196="","",CALC_EPM!S196)</f>
      </c>
      <c r="T207">
        <f>IF(CALC_EPM!$B196="","",CALC_EPM!T196)</f>
      </c>
      <c r="U207">
        <f>IF(CALC_EPM!$B196="","",CALC_EPM!U196)</f>
      </c>
    </row>
    <row r="208">
      <c r="A208" t="str">
        <f>IF(CALC_EPM!$B197="","",IF(CALC_EPM!A197="GLOBAL",IF(CALC_EPM!C197="Total","GLOBAL",IF(CALC_EPM!C197="TotalEsp","GLOBAL_ESP",IF(CALC_EPM!C197="TotalNoEsp","GLOBAL_NOESP","GLOBAL_ASIG"))),IF(CALC_EPM!C197="Total","CURSO_TOTAL",IF(CALC_EPM!C197="TotalEsp","CURSO_ESP",IF(CALC_EPM!C197="TotalNoEsp","CURSO_NOESP","CURSO_ASIG")))))</f>
      </c>
      <c r="B208" t="str">
        <f>IF(CALC_EPM!$B197="","",CALC_EPM!A197)</f>
      </c>
      <c r="C208" t="str">
        <f>IF(CALC_EPM!$B197="","",CALC_EPM!B197)</f>
      </c>
      <c r="D208">
        <f>IF(CALC_EPM!$B197="","",CALC_EPM!D197)</f>
      </c>
      <c r="E208" s="10" t="str">
        <f>IF(CALC_EPM!$B197="","",CALC_EPM!E197)</f>
      </c>
      <c r="F208" s="10" t="str">
        <f>IF(CALC_EPM!$B197="","",CALC_EPM!F197)</f>
      </c>
      <c r="G208" t="str">
        <f>IF(CALC_EPM!$B197="","",CALC_EPM!G197)</f>
      </c>
      <c r="H208" s="11" t="str">
        <f>IF(CALC_EPM!$B197="","",CALC_EPM!H197)</f>
      </c>
      <c r="I208" s="11" t="str">
        <f>IF(CALC_EPM!$B197="","",CALC_EPM!I197)</f>
      </c>
      <c r="J208" t="str">
        <f>IF(CALC_EPM!$B197="","",CALC_EPM!J197)</f>
      </c>
      <c r="K208" t="str">
        <f>IF(CALC_EPM!$B197="","",CALC_EPM!K197)</f>
      </c>
      <c r="L208">
        <f>IF(CALC_EPM!$B197="","",CALC_EPM!L197)</f>
      </c>
      <c r="M208">
        <f>IF(CALC_EPM!$B197="","",CALC_EPM!M197)</f>
      </c>
      <c r="N208">
        <f>IF(CALC_EPM!$B197="","",CALC_EPM!N197)</f>
      </c>
      <c r="O208">
        <f>IF(CALC_EPM!$B197="","",CALC_EPM!O197)</f>
      </c>
      <c r="P208">
        <f>IF(CALC_EPM!$B197="","",CALC_EPM!P197)</f>
      </c>
      <c r="Q208">
        <f>IF(CALC_EPM!$B197="","",CALC_EPM!Q197)</f>
      </c>
      <c r="R208">
        <f>IF(CALC_EPM!$B197="","",CALC_EPM!R197)</f>
      </c>
      <c r="S208">
        <f>IF(CALC_EPM!$B197="","",CALC_EPM!S197)</f>
      </c>
      <c r="T208">
        <f>IF(CALC_EPM!$B197="","",CALC_EPM!T197)</f>
      </c>
      <c r="U208">
        <f>IF(CALC_EPM!$B197="","",CALC_EPM!U197)</f>
      </c>
    </row>
    <row r="209">
      <c r="A209" t="str">
        <f>IF(CALC_EPM!$B198="","",IF(CALC_EPM!A198="GLOBAL",IF(CALC_EPM!C198="Total","GLOBAL",IF(CALC_EPM!C198="TotalEsp","GLOBAL_ESP",IF(CALC_EPM!C198="TotalNoEsp","GLOBAL_NOESP","GLOBAL_ASIG"))),IF(CALC_EPM!C198="Total","CURSO_TOTAL",IF(CALC_EPM!C198="TotalEsp","CURSO_ESP",IF(CALC_EPM!C198="TotalNoEsp","CURSO_NOESP","CURSO_ASIG")))))</f>
      </c>
      <c r="B209" t="str">
        <f>IF(CALC_EPM!$B198="","",CALC_EPM!A198)</f>
      </c>
      <c r="C209" t="str">
        <f>IF(CALC_EPM!$B198="","",CALC_EPM!B198)</f>
      </c>
      <c r="D209">
        <f>IF(CALC_EPM!$B198="","",CALC_EPM!D198)</f>
      </c>
      <c r="E209" s="10" t="str">
        <f>IF(CALC_EPM!$B198="","",CALC_EPM!E198)</f>
      </c>
      <c r="F209" s="10" t="str">
        <f>IF(CALC_EPM!$B198="","",CALC_EPM!F198)</f>
      </c>
      <c r="G209" t="str">
        <f>IF(CALC_EPM!$B198="","",CALC_EPM!G198)</f>
      </c>
      <c r="H209" s="11" t="str">
        <f>IF(CALC_EPM!$B198="","",CALC_EPM!H198)</f>
      </c>
      <c r="I209" s="11" t="str">
        <f>IF(CALC_EPM!$B198="","",CALC_EPM!I198)</f>
      </c>
      <c r="J209" t="str">
        <f>IF(CALC_EPM!$B198="","",CALC_EPM!J198)</f>
      </c>
      <c r="K209" t="str">
        <f>IF(CALC_EPM!$B198="","",CALC_EPM!K198)</f>
      </c>
      <c r="L209">
        <f>IF(CALC_EPM!$B198="","",CALC_EPM!L198)</f>
      </c>
      <c r="M209">
        <f>IF(CALC_EPM!$B198="","",CALC_EPM!M198)</f>
      </c>
      <c r="N209">
        <f>IF(CALC_EPM!$B198="","",CALC_EPM!N198)</f>
      </c>
      <c r="O209">
        <f>IF(CALC_EPM!$B198="","",CALC_EPM!O198)</f>
      </c>
      <c r="P209">
        <f>IF(CALC_EPM!$B198="","",CALC_EPM!P198)</f>
      </c>
      <c r="Q209">
        <f>IF(CALC_EPM!$B198="","",CALC_EPM!Q198)</f>
      </c>
      <c r="R209">
        <f>IF(CALC_EPM!$B198="","",CALC_EPM!R198)</f>
      </c>
      <c r="S209">
        <f>IF(CALC_EPM!$B198="","",CALC_EPM!S198)</f>
      </c>
      <c r="T209">
        <f>IF(CALC_EPM!$B198="","",CALC_EPM!T198)</f>
      </c>
      <c r="U209">
        <f>IF(CALC_EPM!$B198="","",CALC_EPM!U198)</f>
      </c>
    </row>
    <row r="210">
      <c r="A210" t="str">
        <f>IF(CALC_EPM!$B199="","",IF(CALC_EPM!A199="GLOBAL",IF(CALC_EPM!C199="Total","GLOBAL",IF(CALC_EPM!C199="TotalEsp","GLOBAL_ESP",IF(CALC_EPM!C199="TotalNoEsp","GLOBAL_NOESP","GLOBAL_ASIG"))),IF(CALC_EPM!C199="Total","CURSO_TOTAL",IF(CALC_EPM!C199="TotalEsp","CURSO_ESP",IF(CALC_EPM!C199="TotalNoEsp","CURSO_NOESP","CURSO_ASIG")))))</f>
      </c>
      <c r="B210" t="str">
        <f>IF(CALC_EPM!$B199="","",CALC_EPM!A199)</f>
      </c>
      <c r="C210" t="str">
        <f>IF(CALC_EPM!$B199="","",CALC_EPM!B199)</f>
      </c>
      <c r="D210">
        <f>IF(CALC_EPM!$B199="","",CALC_EPM!D199)</f>
      </c>
      <c r="E210" s="10" t="str">
        <f>IF(CALC_EPM!$B199="","",CALC_EPM!E199)</f>
      </c>
      <c r="F210" s="10" t="str">
        <f>IF(CALC_EPM!$B199="","",CALC_EPM!F199)</f>
      </c>
      <c r="G210" t="str">
        <f>IF(CALC_EPM!$B199="","",CALC_EPM!G199)</f>
      </c>
      <c r="H210" s="11" t="str">
        <f>IF(CALC_EPM!$B199="","",CALC_EPM!H199)</f>
      </c>
      <c r="I210" s="11" t="str">
        <f>IF(CALC_EPM!$B199="","",CALC_EPM!I199)</f>
      </c>
      <c r="J210" t="str">
        <f>IF(CALC_EPM!$B199="","",CALC_EPM!J199)</f>
      </c>
      <c r="K210" t="str">
        <f>IF(CALC_EPM!$B199="","",CALC_EPM!K199)</f>
      </c>
      <c r="L210">
        <f>IF(CALC_EPM!$B199="","",CALC_EPM!L199)</f>
      </c>
      <c r="M210">
        <f>IF(CALC_EPM!$B199="","",CALC_EPM!M199)</f>
      </c>
      <c r="N210">
        <f>IF(CALC_EPM!$B199="","",CALC_EPM!N199)</f>
      </c>
      <c r="O210">
        <f>IF(CALC_EPM!$B199="","",CALC_EPM!O199)</f>
      </c>
      <c r="P210">
        <f>IF(CALC_EPM!$B199="","",CALC_EPM!P199)</f>
      </c>
      <c r="Q210">
        <f>IF(CALC_EPM!$B199="","",CALC_EPM!Q199)</f>
      </c>
      <c r="R210">
        <f>IF(CALC_EPM!$B199="","",CALC_EPM!R199)</f>
      </c>
      <c r="S210">
        <f>IF(CALC_EPM!$B199="","",CALC_EPM!S199)</f>
      </c>
      <c r="T210">
        <f>IF(CALC_EPM!$B199="","",CALC_EPM!T199)</f>
      </c>
      <c r="U210">
        <f>IF(CALC_EPM!$B199="","",CALC_EPM!U199)</f>
      </c>
    </row>
    <row r="211">
      <c r="A211" t="str">
        <f>IF(CALC_EPM!$B200="","",IF(CALC_EPM!A200="GLOBAL",IF(CALC_EPM!C200="Total","GLOBAL",IF(CALC_EPM!C200="TotalEsp","GLOBAL_ESP",IF(CALC_EPM!C200="TotalNoEsp","GLOBAL_NOESP","GLOBAL_ASIG"))),IF(CALC_EPM!C200="Total","CURSO_TOTAL",IF(CALC_EPM!C200="TotalEsp","CURSO_ESP",IF(CALC_EPM!C200="TotalNoEsp","CURSO_NOESP","CURSO_ASIG")))))</f>
      </c>
      <c r="B211" t="str">
        <f>IF(CALC_EPM!$B200="","",CALC_EPM!A200)</f>
      </c>
      <c r="C211" t="str">
        <f>IF(CALC_EPM!$B200="","",CALC_EPM!B200)</f>
      </c>
      <c r="D211">
        <f>IF(CALC_EPM!$B200="","",CALC_EPM!D200)</f>
      </c>
      <c r="E211" s="10" t="str">
        <f>IF(CALC_EPM!$B200="","",CALC_EPM!E200)</f>
      </c>
      <c r="F211" s="10" t="str">
        <f>IF(CALC_EPM!$B200="","",CALC_EPM!F200)</f>
      </c>
      <c r="G211" t="str">
        <f>IF(CALC_EPM!$B200="","",CALC_EPM!G200)</f>
      </c>
      <c r="H211" s="11" t="str">
        <f>IF(CALC_EPM!$B200="","",CALC_EPM!H200)</f>
      </c>
      <c r="I211" s="11" t="str">
        <f>IF(CALC_EPM!$B200="","",CALC_EPM!I200)</f>
      </c>
      <c r="J211" t="str">
        <f>IF(CALC_EPM!$B200="","",CALC_EPM!J200)</f>
      </c>
      <c r="K211" t="str">
        <f>IF(CALC_EPM!$B200="","",CALC_EPM!K200)</f>
      </c>
      <c r="L211">
        <f>IF(CALC_EPM!$B200="","",CALC_EPM!L200)</f>
      </c>
      <c r="M211">
        <f>IF(CALC_EPM!$B200="","",CALC_EPM!M200)</f>
      </c>
      <c r="N211">
        <f>IF(CALC_EPM!$B200="","",CALC_EPM!N200)</f>
      </c>
      <c r="O211">
        <f>IF(CALC_EPM!$B200="","",CALC_EPM!O200)</f>
      </c>
      <c r="P211">
        <f>IF(CALC_EPM!$B200="","",CALC_EPM!P200)</f>
      </c>
      <c r="Q211">
        <f>IF(CALC_EPM!$B200="","",CALC_EPM!Q200)</f>
      </c>
      <c r="R211">
        <f>IF(CALC_EPM!$B200="","",CALC_EPM!R200)</f>
      </c>
      <c r="S211">
        <f>IF(CALC_EPM!$B200="","",CALC_EPM!S200)</f>
      </c>
      <c r="T211">
        <f>IF(CALC_EPM!$B200="","",CALC_EPM!T200)</f>
      </c>
      <c r="U211">
        <f>IF(CALC_EPM!$B200="","",CALC_EPM!U200)</f>
      </c>
    </row>
    <row r="212">
      <c r="A212" t="str">
        <f>IF(CALC_EPM!$B201="","",IF(CALC_EPM!A201="GLOBAL",IF(CALC_EPM!C201="Total","GLOBAL",IF(CALC_EPM!C201="TotalEsp","GLOBAL_ESP",IF(CALC_EPM!C201="TotalNoEsp","GLOBAL_NOESP","GLOBAL_ASIG"))),IF(CALC_EPM!C201="Total","CURSO_TOTAL",IF(CALC_EPM!C201="TotalEsp","CURSO_ESP",IF(CALC_EPM!C201="TotalNoEsp","CURSO_NOESP","CURSO_ASIG")))))</f>
      </c>
      <c r="B212" t="str">
        <f>IF(CALC_EPM!$B201="","",CALC_EPM!A201)</f>
      </c>
      <c r="C212" t="str">
        <f>IF(CALC_EPM!$B201="","",CALC_EPM!B201)</f>
      </c>
      <c r="D212">
        <f>IF(CALC_EPM!$B201="","",CALC_EPM!D201)</f>
      </c>
      <c r="E212" s="10" t="str">
        <f>IF(CALC_EPM!$B201="","",CALC_EPM!E201)</f>
      </c>
      <c r="F212" s="10" t="str">
        <f>IF(CALC_EPM!$B201="","",CALC_EPM!F201)</f>
      </c>
      <c r="G212" t="str">
        <f>IF(CALC_EPM!$B201="","",CALC_EPM!G201)</f>
      </c>
      <c r="H212" s="11" t="str">
        <f>IF(CALC_EPM!$B201="","",CALC_EPM!H201)</f>
      </c>
      <c r="I212" s="11" t="str">
        <f>IF(CALC_EPM!$B201="","",CALC_EPM!I201)</f>
      </c>
      <c r="J212" t="str">
        <f>IF(CALC_EPM!$B201="","",CALC_EPM!J201)</f>
      </c>
      <c r="K212" t="str">
        <f>IF(CALC_EPM!$B201="","",CALC_EPM!K201)</f>
      </c>
      <c r="L212">
        <f>IF(CALC_EPM!$B201="","",CALC_EPM!L201)</f>
      </c>
      <c r="M212">
        <f>IF(CALC_EPM!$B201="","",CALC_EPM!M201)</f>
      </c>
      <c r="N212">
        <f>IF(CALC_EPM!$B201="","",CALC_EPM!N201)</f>
      </c>
      <c r="O212">
        <f>IF(CALC_EPM!$B201="","",CALC_EPM!O201)</f>
      </c>
      <c r="P212">
        <f>IF(CALC_EPM!$B201="","",CALC_EPM!P201)</f>
      </c>
      <c r="Q212">
        <f>IF(CALC_EPM!$B201="","",CALC_EPM!Q201)</f>
      </c>
      <c r="R212">
        <f>IF(CALC_EPM!$B201="","",CALC_EPM!R201)</f>
      </c>
      <c r="S212">
        <f>IF(CALC_EPM!$B201="","",CALC_EPM!S201)</f>
      </c>
      <c r="T212">
        <f>IF(CALC_EPM!$B201="","",CALC_EPM!T201)</f>
      </c>
      <c r="U212">
        <f>IF(CALC_EPM!$B201="","",CALC_EPM!U201)</f>
      </c>
    </row>
    <row r="213">
      <c r="A213" t="str">
        <f>IF(CALC_EPM!$B202="","",IF(CALC_EPM!A202="GLOBAL",IF(CALC_EPM!C202="Total","GLOBAL",IF(CALC_EPM!C202="TotalEsp","GLOBAL_ESP",IF(CALC_EPM!C202="TotalNoEsp","GLOBAL_NOESP","GLOBAL_ASIG"))),IF(CALC_EPM!C202="Total","CURSO_TOTAL",IF(CALC_EPM!C202="TotalEsp","CURSO_ESP",IF(CALC_EPM!C202="TotalNoEsp","CURSO_NOESP","CURSO_ASIG")))))</f>
      </c>
      <c r="B213" t="str">
        <f>IF(CALC_EPM!$B202="","",CALC_EPM!A202)</f>
      </c>
      <c r="C213" t="str">
        <f>IF(CALC_EPM!$B202="","",CALC_EPM!B202)</f>
      </c>
      <c r="D213">
        <f>IF(CALC_EPM!$B202="","",CALC_EPM!D202)</f>
      </c>
      <c r="E213" s="10" t="str">
        <f>IF(CALC_EPM!$B202="","",CALC_EPM!E202)</f>
      </c>
      <c r="F213" s="10" t="str">
        <f>IF(CALC_EPM!$B202="","",CALC_EPM!F202)</f>
      </c>
      <c r="G213" t="str">
        <f>IF(CALC_EPM!$B202="","",CALC_EPM!G202)</f>
      </c>
      <c r="H213" s="11" t="str">
        <f>IF(CALC_EPM!$B202="","",CALC_EPM!H202)</f>
      </c>
      <c r="I213" s="11" t="str">
        <f>IF(CALC_EPM!$B202="","",CALC_EPM!I202)</f>
      </c>
      <c r="J213" t="str">
        <f>IF(CALC_EPM!$B202="","",CALC_EPM!J202)</f>
      </c>
      <c r="K213" t="str">
        <f>IF(CALC_EPM!$B202="","",CALC_EPM!K202)</f>
      </c>
      <c r="L213">
        <f>IF(CALC_EPM!$B202="","",CALC_EPM!L202)</f>
      </c>
      <c r="M213">
        <f>IF(CALC_EPM!$B202="","",CALC_EPM!M202)</f>
      </c>
      <c r="N213">
        <f>IF(CALC_EPM!$B202="","",CALC_EPM!N202)</f>
      </c>
      <c r="O213">
        <f>IF(CALC_EPM!$B202="","",CALC_EPM!O202)</f>
      </c>
      <c r="P213">
        <f>IF(CALC_EPM!$B202="","",CALC_EPM!P202)</f>
      </c>
      <c r="Q213">
        <f>IF(CALC_EPM!$B202="","",CALC_EPM!Q202)</f>
      </c>
      <c r="R213">
        <f>IF(CALC_EPM!$B202="","",CALC_EPM!R202)</f>
      </c>
      <c r="S213">
        <f>IF(CALC_EPM!$B202="","",CALC_EPM!S202)</f>
      </c>
      <c r="T213">
        <f>IF(CALC_EPM!$B202="","",CALC_EPM!T202)</f>
      </c>
      <c r="U213">
        <f>IF(CALC_EPM!$B202="","",CALC_EPM!U202)</f>
      </c>
    </row>
    <row r="214">
      <c r="A214" t="str">
        <f>IF(CALC_EPM!$B203="","",IF(CALC_EPM!A203="GLOBAL",IF(CALC_EPM!C203="Total","GLOBAL",IF(CALC_EPM!C203="TotalEsp","GLOBAL_ESP",IF(CALC_EPM!C203="TotalNoEsp","GLOBAL_NOESP","GLOBAL_ASIG"))),IF(CALC_EPM!C203="Total","CURSO_TOTAL",IF(CALC_EPM!C203="TotalEsp","CURSO_ESP",IF(CALC_EPM!C203="TotalNoEsp","CURSO_NOESP","CURSO_ASIG")))))</f>
      </c>
      <c r="B214" t="str">
        <f>IF(CALC_EPM!$B203="","",CALC_EPM!A203)</f>
      </c>
      <c r="C214" t="str">
        <f>IF(CALC_EPM!$B203="","",CALC_EPM!B203)</f>
      </c>
      <c r="D214">
        <f>IF(CALC_EPM!$B203="","",CALC_EPM!D203)</f>
      </c>
      <c r="E214" s="10" t="str">
        <f>IF(CALC_EPM!$B203="","",CALC_EPM!E203)</f>
      </c>
      <c r="F214" s="10" t="str">
        <f>IF(CALC_EPM!$B203="","",CALC_EPM!F203)</f>
      </c>
      <c r="G214" t="str">
        <f>IF(CALC_EPM!$B203="","",CALC_EPM!G203)</f>
      </c>
      <c r="H214" s="11" t="str">
        <f>IF(CALC_EPM!$B203="","",CALC_EPM!H203)</f>
      </c>
      <c r="I214" s="11" t="str">
        <f>IF(CALC_EPM!$B203="","",CALC_EPM!I203)</f>
      </c>
      <c r="J214" t="str">
        <f>IF(CALC_EPM!$B203="","",CALC_EPM!J203)</f>
      </c>
      <c r="K214" t="str">
        <f>IF(CALC_EPM!$B203="","",CALC_EPM!K203)</f>
      </c>
      <c r="L214">
        <f>IF(CALC_EPM!$B203="","",CALC_EPM!L203)</f>
      </c>
      <c r="M214">
        <f>IF(CALC_EPM!$B203="","",CALC_EPM!M203)</f>
      </c>
      <c r="N214">
        <f>IF(CALC_EPM!$B203="","",CALC_EPM!N203)</f>
      </c>
      <c r="O214">
        <f>IF(CALC_EPM!$B203="","",CALC_EPM!O203)</f>
      </c>
      <c r="P214">
        <f>IF(CALC_EPM!$B203="","",CALC_EPM!P203)</f>
      </c>
      <c r="Q214">
        <f>IF(CALC_EPM!$B203="","",CALC_EPM!Q203)</f>
      </c>
      <c r="R214">
        <f>IF(CALC_EPM!$B203="","",CALC_EPM!R203)</f>
      </c>
      <c r="S214">
        <f>IF(CALC_EPM!$B203="","",CALC_EPM!S203)</f>
      </c>
      <c r="T214">
        <f>IF(CALC_EPM!$B203="","",CALC_EPM!T203)</f>
      </c>
      <c r="U214">
        <f>IF(CALC_EPM!$B203="","",CALC_EPM!U203)</f>
      </c>
    </row>
    <row r="215">
      <c r="A215" t="str">
        <f>IF(CALC_EPM!$B204="","",IF(CALC_EPM!A204="GLOBAL",IF(CALC_EPM!C204="Total","GLOBAL",IF(CALC_EPM!C204="TotalEsp","GLOBAL_ESP",IF(CALC_EPM!C204="TotalNoEsp","GLOBAL_NOESP","GLOBAL_ASIG"))),IF(CALC_EPM!C204="Total","CURSO_TOTAL",IF(CALC_EPM!C204="TotalEsp","CURSO_ESP",IF(CALC_EPM!C204="TotalNoEsp","CURSO_NOESP","CURSO_ASIG")))))</f>
      </c>
      <c r="B215" t="str">
        <f>IF(CALC_EPM!$B204="","",CALC_EPM!A204)</f>
      </c>
      <c r="C215" t="str">
        <f>IF(CALC_EPM!$B204="","",CALC_EPM!B204)</f>
      </c>
      <c r="D215">
        <f>IF(CALC_EPM!$B204="","",CALC_EPM!D204)</f>
      </c>
      <c r="E215" s="10" t="str">
        <f>IF(CALC_EPM!$B204="","",CALC_EPM!E204)</f>
      </c>
      <c r="F215" s="10" t="str">
        <f>IF(CALC_EPM!$B204="","",CALC_EPM!F204)</f>
      </c>
      <c r="G215" t="str">
        <f>IF(CALC_EPM!$B204="","",CALC_EPM!G204)</f>
      </c>
      <c r="H215" s="11" t="str">
        <f>IF(CALC_EPM!$B204="","",CALC_EPM!H204)</f>
      </c>
      <c r="I215" s="11" t="str">
        <f>IF(CALC_EPM!$B204="","",CALC_EPM!I204)</f>
      </c>
      <c r="J215" t="str">
        <f>IF(CALC_EPM!$B204="","",CALC_EPM!J204)</f>
      </c>
      <c r="K215" t="str">
        <f>IF(CALC_EPM!$B204="","",CALC_EPM!K204)</f>
      </c>
      <c r="L215">
        <f>IF(CALC_EPM!$B204="","",CALC_EPM!L204)</f>
      </c>
      <c r="M215">
        <f>IF(CALC_EPM!$B204="","",CALC_EPM!M204)</f>
      </c>
      <c r="N215">
        <f>IF(CALC_EPM!$B204="","",CALC_EPM!N204)</f>
      </c>
      <c r="O215">
        <f>IF(CALC_EPM!$B204="","",CALC_EPM!O204)</f>
      </c>
      <c r="P215">
        <f>IF(CALC_EPM!$B204="","",CALC_EPM!P204)</f>
      </c>
      <c r="Q215">
        <f>IF(CALC_EPM!$B204="","",CALC_EPM!Q204)</f>
      </c>
      <c r="R215">
        <f>IF(CALC_EPM!$B204="","",CALC_EPM!R204)</f>
      </c>
      <c r="S215">
        <f>IF(CALC_EPM!$B204="","",CALC_EPM!S204)</f>
      </c>
      <c r="T215">
        <f>IF(CALC_EPM!$B204="","",CALC_EPM!T204)</f>
      </c>
      <c r="U215">
        <f>IF(CALC_EPM!$B204="","",CALC_EPM!U204)</f>
      </c>
    </row>
    <row r="216">
      <c r="A216" t="str">
        <f>IF(CALC_EPM!$B205="","",IF(CALC_EPM!A205="GLOBAL",IF(CALC_EPM!C205="Total","GLOBAL",IF(CALC_EPM!C205="TotalEsp","GLOBAL_ESP",IF(CALC_EPM!C205="TotalNoEsp","GLOBAL_NOESP","GLOBAL_ASIG"))),IF(CALC_EPM!C205="Total","CURSO_TOTAL",IF(CALC_EPM!C205="TotalEsp","CURSO_ESP",IF(CALC_EPM!C205="TotalNoEsp","CURSO_NOESP","CURSO_ASIG")))))</f>
      </c>
      <c r="B216" t="str">
        <f>IF(CALC_EPM!$B205="","",CALC_EPM!A205)</f>
      </c>
      <c r="C216" t="str">
        <f>IF(CALC_EPM!$B205="","",CALC_EPM!B205)</f>
      </c>
      <c r="D216">
        <f>IF(CALC_EPM!$B205="","",CALC_EPM!D205)</f>
      </c>
      <c r="E216" s="10" t="str">
        <f>IF(CALC_EPM!$B205="","",CALC_EPM!E205)</f>
      </c>
      <c r="F216" s="10" t="str">
        <f>IF(CALC_EPM!$B205="","",CALC_EPM!F205)</f>
      </c>
      <c r="G216" t="str">
        <f>IF(CALC_EPM!$B205="","",CALC_EPM!G205)</f>
      </c>
      <c r="H216" s="11" t="str">
        <f>IF(CALC_EPM!$B205="","",CALC_EPM!H205)</f>
      </c>
      <c r="I216" s="11" t="str">
        <f>IF(CALC_EPM!$B205="","",CALC_EPM!I205)</f>
      </c>
      <c r="J216" t="str">
        <f>IF(CALC_EPM!$B205="","",CALC_EPM!J205)</f>
      </c>
      <c r="K216" t="str">
        <f>IF(CALC_EPM!$B205="","",CALC_EPM!K205)</f>
      </c>
      <c r="L216">
        <f>IF(CALC_EPM!$B205="","",CALC_EPM!L205)</f>
      </c>
      <c r="M216">
        <f>IF(CALC_EPM!$B205="","",CALC_EPM!M205)</f>
      </c>
      <c r="N216">
        <f>IF(CALC_EPM!$B205="","",CALC_EPM!N205)</f>
      </c>
      <c r="O216">
        <f>IF(CALC_EPM!$B205="","",CALC_EPM!O205)</f>
      </c>
      <c r="P216">
        <f>IF(CALC_EPM!$B205="","",CALC_EPM!P205)</f>
      </c>
      <c r="Q216">
        <f>IF(CALC_EPM!$B205="","",CALC_EPM!Q205)</f>
      </c>
      <c r="R216">
        <f>IF(CALC_EPM!$B205="","",CALC_EPM!R205)</f>
      </c>
      <c r="S216">
        <f>IF(CALC_EPM!$B205="","",CALC_EPM!S205)</f>
      </c>
      <c r="T216">
        <f>IF(CALC_EPM!$B205="","",CALC_EPM!T205)</f>
      </c>
      <c r="U216">
        <f>IF(CALC_EPM!$B205="","",CALC_EPM!U205)</f>
      </c>
    </row>
    <row r="217">
      <c r="A217" t="str">
        <f>IF(CALC_EPM!$B206="","",IF(CALC_EPM!A206="GLOBAL",IF(CALC_EPM!C206="Total","GLOBAL",IF(CALC_EPM!C206="TotalEsp","GLOBAL_ESP",IF(CALC_EPM!C206="TotalNoEsp","GLOBAL_NOESP","GLOBAL_ASIG"))),IF(CALC_EPM!C206="Total","CURSO_TOTAL",IF(CALC_EPM!C206="TotalEsp","CURSO_ESP",IF(CALC_EPM!C206="TotalNoEsp","CURSO_NOESP","CURSO_ASIG")))))</f>
      </c>
      <c r="B217" t="str">
        <f>IF(CALC_EPM!$B206="","",CALC_EPM!A206)</f>
      </c>
      <c r="C217" t="str">
        <f>IF(CALC_EPM!$B206="","",CALC_EPM!B206)</f>
      </c>
      <c r="D217">
        <f>IF(CALC_EPM!$B206="","",CALC_EPM!D206)</f>
      </c>
      <c r="E217" s="10" t="str">
        <f>IF(CALC_EPM!$B206="","",CALC_EPM!E206)</f>
      </c>
      <c r="F217" s="10" t="str">
        <f>IF(CALC_EPM!$B206="","",CALC_EPM!F206)</f>
      </c>
      <c r="G217" t="str">
        <f>IF(CALC_EPM!$B206="","",CALC_EPM!G206)</f>
      </c>
      <c r="H217" s="11" t="str">
        <f>IF(CALC_EPM!$B206="","",CALC_EPM!H206)</f>
      </c>
      <c r="I217" s="11" t="str">
        <f>IF(CALC_EPM!$B206="","",CALC_EPM!I206)</f>
      </c>
      <c r="J217" t="str">
        <f>IF(CALC_EPM!$B206="","",CALC_EPM!J206)</f>
      </c>
      <c r="K217" t="str">
        <f>IF(CALC_EPM!$B206="","",CALC_EPM!K206)</f>
      </c>
      <c r="L217">
        <f>IF(CALC_EPM!$B206="","",CALC_EPM!L206)</f>
      </c>
      <c r="M217">
        <f>IF(CALC_EPM!$B206="","",CALC_EPM!M206)</f>
      </c>
      <c r="N217">
        <f>IF(CALC_EPM!$B206="","",CALC_EPM!N206)</f>
      </c>
      <c r="O217">
        <f>IF(CALC_EPM!$B206="","",CALC_EPM!O206)</f>
      </c>
      <c r="P217">
        <f>IF(CALC_EPM!$B206="","",CALC_EPM!P206)</f>
      </c>
      <c r="Q217">
        <f>IF(CALC_EPM!$B206="","",CALC_EPM!Q206)</f>
      </c>
      <c r="R217">
        <f>IF(CALC_EPM!$B206="","",CALC_EPM!R206)</f>
      </c>
      <c r="S217">
        <f>IF(CALC_EPM!$B206="","",CALC_EPM!S206)</f>
      </c>
      <c r="T217">
        <f>IF(CALC_EPM!$B206="","",CALC_EPM!T206)</f>
      </c>
      <c r="U217">
        <f>IF(CALC_EPM!$B206="","",CALC_EPM!U206)</f>
      </c>
    </row>
    <row r="218">
      <c r="A218" t="str">
        <f>IF(CALC_EPM!$B207="","",IF(CALC_EPM!A207="GLOBAL",IF(CALC_EPM!C207="Total","GLOBAL",IF(CALC_EPM!C207="TotalEsp","GLOBAL_ESP",IF(CALC_EPM!C207="TotalNoEsp","GLOBAL_NOESP","GLOBAL_ASIG"))),IF(CALC_EPM!C207="Total","CURSO_TOTAL",IF(CALC_EPM!C207="TotalEsp","CURSO_ESP",IF(CALC_EPM!C207="TotalNoEsp","CURSO_NOESP","CURSO_ASIG")))))</f>
      </c>
      <c r="B218" t="str">
        <f>IF(CALC_EPM!$B207="","",CALC_EPM!A207)</f>
      </c>
      <c r="C218" t="str">
        <f>IF(CALC_EPM!$B207="","",CALC_EPM!B207)</f>
      </c>
      <c r="D218">
        <f>IF(CALC_EPM!$B207="","",CALC_EPM!D207)</f>
      </c>
      <c r="E218" s="10" t="str">
        <f>IF(CALC_EPM!$B207="","",CALC_EPM!E207)</f>
      </c>
      <c r="F218" s="10" t="str">
        <f>IF(CALC_EPM!$B207="","",CALC_EPM!F207)</f>
      </c>
      <c r="G218" t="str">
        <f>IF(CALC_EPM!$B207="","",CALC_EPM!G207)</f>
      </c>
      <c r="H218" s="11" t="str">
        <f>IF(CALC_EPM!$B207="","",CALC_EPM!H207)</f>
      </c>
      <c r="I218" s="11" t="str">
        <f>IF(CALC_EPM!$B207="","",CALC_EPM!I207)</f>
      </c>
      <c r="J218" t="str">
        <f>IF(CALC_EPM!$B207="","",CALC_EPM!J207)</f>
      </c>
      <c r="K218" t="str">
        <f>IF(CALC_EPM!$B207="","",CALC_EPM!K207)</f>
      </c>
      <c r="L218">
        <f>IF(CALC_EPM!$B207="","",CALC_EPM!L207)</f>
      </c>
      <c r="M218">
        <f>IF(CALC_EPM!$B207="","",CALC_EPM!M207)</f>
      </c>
      <c r="N218">
        <f>IF(CALC_EPM!$B207="","",CALC_EPM!N207)</f>
      </c>
      <c r="O218">
        <f>IF(CALC_EPM!$B207="","",CALC_EPM!O207)</f>
      </c>
      <c r="P218">
        <f>IF(CALC_EPM!$B207="","",CALC_EPM!P207)</f>
      </c>
      <c r="Q218">
        <f>IF(CALC_EPM!$B207="","",CALC_EPM!Q207)</f>
      </c>
      <c r="R218">
        <f>IF(CALC_EPM!$B207="","",CALC_EPM!R207)</f>
      </c>
      <c r="S218">
        <f>IF(CALC_EPM!$B207="","",CALC_EPM!S207)</f>
      </c>
      <c r="T218">
        <f>IF(CALC_EPM!$B207="","",CALC_EPM!T207)</f>
      </c>
      <c r="U218">
        <f>IF(CALC_EPM!$B207="","",CALC_EPM!U207)</f>
      </c>
    </row>
    <row r="219">
      <c r="A219" t="str">
        <f>IF(CALC_EPM!$B208="","",IF(CALC_EPM!A208="GLOBAL",IF(CALC_EPM!C208="Total","GLOBAL",IF(CALC_EPM!C208="TotalEsp","GLOBAL_ESP",IF(CALC_EPM!C208="TotalNoEsp","GLOBAL_NOESP","GLOBAL_ASIG"))),IF(CALC_EPM!C208="Total","CURSO_TOTAL",IF(CALC_EPM!C208="TotalEsp","CURSO_ESP",IF(CALC_EPM!C208="TotalNoEsp","CURSO_NOESP","CURSO_ASIG")))))</f>
      </c>
      <c r="B219" t="str">
        <f>IF(CALC_EPM!$B208="","",CALC_EPM!A208)</f>
      </c>
      <c r="C219" t="str">
        <f>IF(CALC_EPM!$B208="","",CALC_EPM!B208)</f>
      </c>
      <c r="D219">
        <f>IF(CALC_EPM!$B208="","",CALC_EPM!D208)</f>
      </c>
      <c r="E219" s="10" t="str">
        <f>IF(CALC_EPM!$B208="","",CALC_EPM!E208)</f>
      </c>
      <c r="F219" s="10" t="str">
        <f>IF(CALC_EPM!$B208="","",CALC_EPM!F208)</f>
      </c>
      <c r="G219" t="str">
        <f>IF(CALC_EPM!$B208="","",CALC_EPM!G208)</f>
      </c>
      <c r="H219" s="11" t="str">
        <f>IF(CALC_EPM!$B208="","",CALC_EPM!H208)</f>
      </c>
      <c r="I219" s="11" t="str">
        <f>IF(CALC_EPM!$B208="","",CALC_EPM!I208)</f>
      </c>
      <c r="J219" t="str">
        <f>IF(CALC_EPM!$B208="","",CALC_EPM!J208)</f>
      </c>
      <c r="K219" t="str">
        <f>IF(CALC_EPM!$B208="","",CALC_EPM!K208)</f>
      </c>
      <c r="L219">
        <f>IF(CALC_EPM!$B208="","",CALC_EPM!L208)</f>
      </c>
      <c r="M219">
        <f>IF(CALC_EPM!$B208="","",CALC_EPM!M208)</f>
      </c>
      <c r="N219">
        <f>IF(CALC_EPM!$B208="","",CALC_EPM!N208)</f>
      </c>
      <c r="O219">
        <f>IF(CALC_EPM!$B208="","",CALC_EPM!O208)</f>
      </c>
      <c r="P219">
        <f>IF(CALC_EPM!$B208="","",CALC_EPM!P208)</f>
      </c>
      <c r="Q219">
        <f>IF(CALC_EPM!$B208="","",CALC_EPM!Q208)</f>
      </c>
      <c r="R219">
        <f>IF(CALC_EPM!$B208="","",CALC_EPM!R208)</f>
      </c>
      <c r="S219">
        <f>IF(CALC_EPM!$B208="","",CALC_EPM!S208)</f>
      </c>
      <c r="T219">
        <f>IF(CALC_EPM!$B208="","",CALC_EPM!T208)</f>
      </c>
      <c r="U219">
        <f>IF(CALC_EPM!$B208="","",CALC_EPM!U208)</f>
      </c>
    </row>
    <row r="220">
      <c r="A220" t="str">
        <f>IF(CALC_EPM!$B209="","",IF(CALC_EPM!A209="GLOBAL",IF(CALC_EPM!C209="Total","GLOBAL",IF(CALC_EPM!C209="TotalEsp","GLOBAL_ESP",IF(CALC_EPM!C209="TotalNoEsp","GLOBAL_NOESP","GLOBAL_ASIG"))),IF(CALC_EPM!C209="Total","CURSO_TOTAL",IF(CALC_EPM!C209="TotalEsp","CURSO_ESP",IF(CALC_EPM!C209="TotalNoEsp","CURSO_NOESP","CURSO_ASIG")))))</f>
      </c>
      <c r="B220" t="str">
        <f>IF(CALC_EPM!$B209="","",CALC_EPM!A209)</f>
      </c>
      <c r="C220" t="str">
        <f>IF(CALC_EPM!$B209="","",CALC_EPM!B209)</f>
      </c>
      <c r="D220">
        <f>IF(CALC_EPM!$B209="","",CALC_EPM!D209)</f>
      </c>
      <c r="E220" s="10" t="str">
        <f>IF(CALC_EPM!$B209="","",CALC_EPM!E209)</f>
      </c>
      <c r="F220" s="10" t="str">
        <f>IF(CALC_EPM!$B209="","",CALC_EPM!F209)</f>
      </c>
      <c r="G220" t="str">
        <f>IF(CALC_EPM!$B209="","",CALC_EPM!G209)</f>
      </c>
      <c r="H220" s="11" t="str">
        <f>IF(CALC_EPM!$B209="","",CALC_EPM!H209)</f>
      </c>
      <c r="I220" s="11" t="str">
        <f>IF(CALC_EPM!$B209="","",CALC_EPM!I209)</f>
      </c>
      <c r="J220" t="str">
        <f>IF(CALC_EPM!$B209="","",CALC_EPM!J209)</f>
      </c>
      <c r="K220" t="str">
        <f>IF(CALC_EPM!$B209="","",CALC_EPM!K209)</f>
      </c>
      <c r="L220">
        <f>IF(CALC_EPM!$B209="","",CALC_EPM!L209)</f>
      </c>
      <c r="M220">
        <f>IF(CALC_EPM!$B209="","",CALC_EPM!M209)</f>
      </c>
      <c r="N220">
        <f>IF(CALC_EPM!$B209="","",CALC_EPM!N209)</f>
      </c>
      <c r="O220">
        <f>IF(CALC_EPM!$B209="","",CALC_EPM!O209)</f>
      </c>
      <c r="P220">
        <f>IF(CALC_EPM!$B209="","",CALC_EPM!P209)</f>
      </c>
      <c r="Q220">
        <f>IF(CALC_EPM!$B209="","",CALC_EPM!Q209)</f>
      </c>
      <c r="R220">
        <f>IF(CALC_EPM!$B209="","",CALC_EPM!R209)</f>
      </c>
      <c r="S220">
        <f>IF(CALC_EPM!$B209="","",CALC_EPM!S209)</f>
      </c>
      <c r="T220">
        <f>IF(CALC_EPM!$B209="","",CALC_EPM!T209)</f>
      </c>
      <c r="U220">
        <f>IF(CALC_EPM!$B209="","",CALC_EPM!U209)</f>
      </c>
    </row>
    <row r="221">
      <c r="A221" t="str">
        <f>IF(CALC_EPM!$B210="","",IF(CALC_EPM!A210="GLOBAL",IF(CALC_EPM!C210="Total","GLOBAL",IF(CALC_EPM!C210="TotalEsp","GLOBAL_ESP",IF(CALC_EPM!C210="TotalNoEsp","GLOBAL_NOESP","GLOBAL_ASIG"))),IF(CALC_EPM!C210="Total","CURSO_TOTAL",IF(CALC_EPM!C210="TotalEsp","CURSO_ESP",IF(CALC_EPM!C210="TotalNoEsp","CURSO_NOESP","CURSO_ASIG")))))</f>
      </c>
      <c r="B221" t="str">
        <f>IF(CALC_EPM!$B210="","",CALC_EPM!A210)</f>
      </c>
      <c r="C221" t="str">
        <f>IF(CALC_EPM!$B210="","",CALC_EPM!B210)</f>
      </c>
      <c r="D221">
        <f>IF(CALC_EPM!$B210="","",CALC_EPM!D210)</f>
      </c>
      <c r="E221" s="10" t="str">
        <f>IF(CALC_EPM!$B210="","",CALC_EPM!E210)</f>
      </c>
      <c r="F221" s="10" t="str">
        <f>IF(CALC_EPM!$B210="","",CALC_EPM!F210)</f>
      </c>
      <c r="G221" t="str">
        <f>IF(CALC_EPM!$B210="","",CALC_EPM!G210)</f>
      </c>
      <c r="H221" s="11" t="str">
        <f>IF(CALC_EPM!$B210="","",CALC_EPM!H210)</f>
      </c>
      <c r="I221" s="11" t="str">
        <f>IF(CALC_EPM!$B210="","",CALC_EPM!I210)</f>
      </c>
      <c r="J221" t="str">
        <f>IF(CALC_EPM!$B210="","",CALC_EPM!J210)</f>
      </c>
      <c r="K221" t="str">
        <f>IF(CALC_EPM!$B210="","",CALC_EPM!K210)</f>
      </c>
      <c r="L221">
        <f>IF(CALC_EPM!$B210="","",CALC_EPM!L210)</f>
      </c>
      <c r="M221">
        <f>IF(CALC_EPM!$B210="","",CALC_EPM!M210)</f>
      </c>
      <c r="N221">
        <f>IF(CALC_EPM!$B210="","",CALC_EPM!N210)</f>
      </c>
      <c r="O221">
        <f>IF(CALC_EPM!$B210="","",CALC_EPM!O210)</f>
      </c>
      <c r="P221">
        <f>IF(CALC_EPM!$B210="","",CALC_EPM!P210)</f>
      </c>
      <c r="Q221">
        <f>IF(CALC_EPM!$B210="","",CALC_EPM!Q210)</f>
      </c>
      <c r="R221">
        <f>IF(CALC_EPM!$B210="","",CALC_EPM!R210)</f>
      </c>
      <c r="S221">
        <f>IF(CALC_EPM!$B210="","",CALC_EPM!S210)</f>
      </c>
      <c r="T221">
        <f>IF(CALC_EPM!$B210="","",CALC_EPM!T210)</f>
      </c>
      <c r="U221">
        <f>IF(CALC_EPM!$B210="","",CALC_EPM!U210)</f>
      </c>
    </row>
    <row r="222">
      <c r="A222" t="str">
        <f>IF(CALC_EPM!$B211="","",IF(CALC_EPM!A211="GLOBAL",IF(CALC_EPM!C211="Total","GLOBAL",IF(CALC_EPM!C211="TotalEsp","GLOBAL_ESP",IF(CALC_EPM!C211="TotalNoEsp","GLOBAL_NOESP","GLOBAL_ASIG"))),IF(CALC_EPM!C211="Total","CURSO_TOTAL",IF(CALC_EPM!C211="TotalEsp","CURSO_ESP",IF(CALC_EPM!C211="TotalNoEsp","CURSO_NOESP","CURSO_ASIG")))))</f>
      </c>
      <c r="B222" t="str">
        <f>IF(CALC_EPM!$B211="","",CALC_EPM!A211)</f>
      </c>
      <c r="C222" t="str">
        <f>IF(CALC_EPM!$B211="","",CALC_EPM!B211)</f>
      </c>
      <c r="D222">
        <f>IF(CALC_EPM!$B211="","",CALC_EPM!D211)</f>
      </c>
      <c r="E222" s="10" t="str">
        <f>IF(CALC_EPM!$B211="","",CALC_EPM!E211)</f>
      </c>
      <c r="F222" s="10" t="str">
        <f>IF(CALC_EPM!$B211="","",CALC_EPM!F211)</f>
      </c>
      <c r="G222" t="str">
        <f>IF(CALC_EPM!$B211="","",CALC_EPM!G211)</f>
      </c>
      <c r="H222" s="11" t="str">
        <f>IF(CALC_EPM!$B211="","",CALC_EPM!H211)</f>
      </c>
      <c r="I222" s="11" t="str">
        <f>IF(CALC_EPM!$B211="","",CALC_EPM!I211)</f>
      </c>
      <c r="J222" t="str">
        <f>IF(CALC_EPM!$B211="","",CALC_EPM!J211)</f>
      </c>
      <c r="K222" t="str">
        <f>IF(CALC_EPM!$B211="","",CALC_EPM!K211)</f>
      </c>
      <c r="L222">
        <f>IF(CALC_EPM!$B211="","",CALC_EPM!L211)</f>
      </c>
      <c r="M222">
        <f>IF(CALC_EPM!$B211="","",CALC_EPM!M211)</f>
      </c>
      <c r="N222">
        <f>IF(CALC_EPM!$B211="","",CALC_EPM!N211)</f>
      </c>
      <c r="O222">
        <f>IF(CALC_EPM!$B211="","",CALC_EPM!O211)</f>
      </c>
      <c r="P222">
        <f>IF(CALC_EPM!$B211="","",CALC_EPM!P211)</f>
      </c>
      <c r="Q222">
        <f>IF(CALC_EPM!$B211="","",CALC_EPM!Q211)</f>
      </c>
      <c r="R222">
        <f>IF(CALC_EPM!$B211="","",CALC_EPM!R211)</f>
      </c>
      <c r="S222">
        <f>IF(CALC_EPM!$B211="","",CALC_EPM!S211)</f>
      </c>
      <c r="T222">
        <f>IF(CALC_EPM!$B211="","",CALC_EPM!T211)</f>
      </c>
      <c r="U222">
        <f>IF(CALC_EPM!$B211="","",CALC_EPM!U211)</f>
      </c>
    </row>
    <row r="223">
      <c r="A223" t="str">
        <f>IF(CALC_EPM!$B212="","",IF(CALC_EPM!A212="GLOBAL",IF(CALC_EPM!C212="Total","GLOBAL",IF(CALC_EPM!C212="TotalEsp","GLOBAL_ESP",IF(CALC_EPM!C212="TotalNoEsp","GLOBAL_NOESP","GLOBAL_ASIG"))),IF(CALC_EPM!C212="Total","CURSO_TOTAL",IF(CALC_EPM!C212="TotalEsp","CURSO_ESP",IF(CALC_EPM!C212="TotalNoEsp","CURSO_NOESP","CURSO_ASIG")))))</f>
      </c>
      <c r="B223" t="str">
        <f>IF(CALC_EPM!$B212="","",CALC_EPM!A212)</f>
      </c>
      <c r="C223" t="str">
        <f>IF(CALC_EPM!$B212="","",CALC_EPM!B212)</f>
      </c>
      <c r="D223">
        <f>IF(CALC_EPM!$B212="","",CALC_EPM!D212)</f>
      </c>
      <c r="E223" s="10" t="str">
        <f>IF(CALC_EPM!$B212="","",CALC_EPM!E212)</f>
      </c>
      <c r="F223" s="10" t="str">
        <f>IF(CALC_EPM!$B212="","",CALC_EPM!F212)</f>
      </c>
      <c r="G223" t="str">
        <f>IF(CALC_EPM!$B212="","",CALC_EPM!G212)</f>
      </c>
      <c r="H223" s="11" t="str">
        <f>IF(CALC_EPM!$B212="","",CALC_EPM!H212)</f>
      </c>
      <c r="I223" s="11" t="str">
        <f>IF(CALC_EPM!$B212="","",CALC_EPM!I212)</f>
      </c>
      <c r="J223" t="str">
        <f>IF(CALC_EPM!$B212="","",CALC_EPM!J212)</f>
      </c>
      <c r="K223" t="str">
        <f>IF(CALC_EPM!$B212="","",CALC_EPM!K212)</f>
      </c>
      <c r="L223">
        <f>IF(CALC_EPM!$B212="","",CALC_EPM!L212)</f>
      </c>
      <c r="M223">
        <f>IF(CALC_EPM!$B212="","",CALC_EPM!M212)</f>
      </c>
      <c r="N223">
        <f>IF(CALC_EPM!$B212="","",CALC_EPM!N212)</f>
      </c>
      <c r="O223">
        <f>IF(CALC_EPM!$B212="","",CALC_EPM!O212)</f>
      </c>
      <c r="P223">
        <f>IF(CALC_EPM!$B212="","",CALC_EPM!P212)</f>
      </c>
      <c r="Q223">
        <f>IF(CALC_EPM!$B212="","",CALC_EPM!Q212)</f>
      </c>
      <c r="R223">
        <f>IF(CALC_EPM!$B212="","",CALC_EPM!R212)</f>
      </c>
      <c r="S223">
        <f>IF(CALC_EPM!$B212="","",CALC_EPM!S212)</f>
      </c>
      <c r="T223">
        <f>IF(CALC_EPM!$B212="","",CALC_EPM!T212)</f>
      </c>
      <c r="U223">
        <f>IF(CALC_EPM!$B212="","",CALC_EPM!U212)</f>
      </c>
    </row>
    <row r="224">
      <c r="A224" t="str">
        <f>IF(CALC_EPM!$B213="","",IF(CALC_EPM!A213="GLOBAL",IF(CALC_EPM!C213="Total","GLOBAL",IF(CALC_EPM!C213="TotalEsp","GLOBAL_ESP",IF(CALC_EPM!C213="TotalNoEsp","GLOBAL_NOESP","GLOBAL_ASIG"))),IF(CALC_EPM!C213="Total","CURSO_TOTAL",IF(CALC_EPM!C213="TotalEsp","CURSO_ESP",IF(CALC_EPM!C213="TotalNoEsp","CURSO_NOESP","CURSO_ASIG")))))</f>
      </c>
      <c r="B224" t="str">
        <f>IF(CALC_EPM!$B213="","",CALC_EPM!A213)</f>
      </c>
      <c r="C224" t="str">
        <f>IF(CALC_EPM!$B213="","",CALC_EPM!B213)</f>
      </c>
      <c r="D224">
        <f>IF(CALC_EPM!$B213="","",CALC_EPM!D213)</f>
      </c>
      <c r="E224" s="10" t="str">
        <f>IF(CALC_EPM!$B213="","",CALC_EPM!E213)</f>
      </c>
      <c r="F224" s="10" t="str">
        <f>IF(CALC_EPM!$B213="","",CALC_EPM!F213)</f>
      </c>
      <c r="G224" t="str">
        <f>IF(CALC_EPM!$B213="","",CALC_EPM!G213)</f>
      </c>
      <c r="H224" s="11" t="str">
        <f>IF(CALC_EPM!$B213="","",CALC_EPM!H213)</f>
      </c>
      <c r="I224" s="11" t="str">
        <f>IF(CALC_EPM!$B213="","",CALC_EPM!I213)</f>
      </c>
      <c r="J224" t="str">
        <f>IF(CALC_EPM!$B213="","",CALC_EPM!J213)</f>
      </c>
      <c r="K224" t="str">
        <f>IF(CALC_EPM!$B213="","",CALC_EPM!K213)</f>
      </c>
      <c r="L224">
        <f>IF(CALC_EPM!$B213="","",CALC_EPM!L213)</f>
      </c>
      <c r="M224">
        <f>IF(CALC_EPM!$B213="","",CALC_EPM!M213)</f>
      </c>
      <c r="N224">
        <f>IF(CALC_EPM!$B213="","",CALC_EPM!N213)</f>
      </c>
      <c r="O224">
        <f>IF(CALC_EPM!$B213="","",CALC_EPM!O213)</f>
      </c>
      <c r="P224">
        <f>IF(CALC_EPM!$B213="","",CALC_EPM!P213)</f>
      </c>
      <c r="Q224">
        <f>IF(CALC_EPM!$B213="","",CALC_EPM!Q213)</f>
      </c>
      <c r="R224">
        <f>IF(CALC_EPM!$B213="","",CALC_EPM!R213)</f>
      </c>
      <c r="S224">
        <f>IF(CALC_EPM!$B213="","",CALC_EPM!S213)</f>
      </c>
      <c r="T224">
        <f>IF(CALC_EPM!$B213="","",CALC_EPM!T213)</f>
      </c>
      <c r="U224">
        <f>IF(CALC_EPM!$B213="","",CALC_EPM!U213)</f>
      </c>
    </row>
    <row r="225">
      <c r="A225" t="str">
        <f>IF(CALC_EPM!$B214="","",IF(CALC_EPM!A214="GLOBAL",IF(CALC_EPM!C214="Total","GLOBAL",IF(CALC_EPM!C214="TotalEsp","GLOBAL_ESP",IF(CALC_EPM!C214="TotalNoEsp","GLOBAL_NOESP","GLOBAL_ASIG"))),IF(CALC_EPM!C214="Total","CURSO_TOTAL",IF(CALC_EPM!C214="TotalEsp","CURSO_ESP",IF(CALC_EPM!C214="TotalNoEsp","CURSO_NOESP","CURSO_ASIG")))))</f>
      </c>
      <c r="B225" t="str">
        <f>IF(CALC_EPM!$B214="","",CALC_EPM!A214)</f>
      </c>
      <c r="C225" t="str">
        <f>IF(CALC_EPM!$B214="","",CALC_EPM!B214)</f>
      </c>
      <c r="D225">
        <f>IF(CALC_EPM!$B214="","",CALC_EPM!D214)</f>
      </c>
      <c r="E225" s="10" t="str">
        <f>IF(CALC_EPM!$B214="","",CALC_EPM!E214)</f>
      </c>
      <c r="F225" s="10" t="str">
        <f>IF(CALC_EPM!$B214="","",CALC_EPM!F214)</f>
      </c>
      <c r="G225" t="str">
        <f>IF(CALC_EPM!$B214="","",CALC_EPM!G214)</f>
      </c>
      <c r="H225" s="11" t="str">
        <f>IF(CALC_EPM!$B214="","",CALC_EPM!H214)</f>
      </c>
      <c r="I225" s="11" t="str">
        <f>IF(CALC_EPM!$B214="","",CALC_EPM!I214)</f>
      </c>
      <c r="J225" t="str">
        <f>IF(CALC_EPM!$B214="","",CALC_EPM!J214)</f>
      </c>
      <c r="K225" t="str">
        <f>IF(CALC_EPM!$B214="","",CALC_EPM!K214)</f>
      </c>
      <c r="L225">
        <f>IF(CALC_EPM!$B214="","",CALC_EPM!L214)</f>
      </c>
      <c r="M225">
        <f>IF(CALC_EPM!$B214="","",CALC_EPM!M214)</f>
      </c>
      <c r="N225">
        <f>IF(CALC_EPM!$B214="","",CALC_EPM!N214)</f>
      </c>
      <c r="O225">
        <f>IF(CALC_EPM!$B214="","",CALC_EPM!O214)</f>
      </c>
      <c r="P225">
        <f>IF(CALC_EPM!$B214="","",CALC_EPM!P214)</f>
      </c>
      <c r="Q225">
        <f>IF(CALC_EPM!$B214="","",CALC_EPM!Q214)</f>
      </c>
      <c r="R225">
        <f>IF(CALC_EPM!$B214="","",CALC_EPM!R214)</f>
      </c>
      <c r="S225">
        <f>IF(CALC_EPM!$B214="","",CALC_EPM!S214)</f>
      </c>
      <c r="T225">
        <f>IF(CALC_EPM!$B214="","",CALC_EPM!T214)</f>
      </c>
      <c r="U225">
        <f>IF(CALC_EPM!$B214="","",CALC_EPM!U214)</f>
      </c>
    </row>
    <row r="226">
      <c r="A226" t="str">
        <f>IF(CALC_EPM!$B215="","",IF(CALC_EPM!A215="GLOBAL",IF(CALC_EPM!C215="Total","GLOBAL",IF(CALC_EPM!C215="TotalEsp","GLOBAL_ESP",IF(CALC_EPM!C215="TotalNoEsp","GLOBAL_NOESP","GLOBAL_ASIG"))),IF(CALC_EPM!C215="Total","CURSO_TOTAL",IF(CALC_EPM!C215="TotalEsp","CURSO_ESP",IF(CALC_EPM!C215="TotalNoEsp","CURSO_NOESP","CURSO_ASIG")))))</f>
      </c>
      <c r="B226" t="str">
        <f>IF(CALC_EPM!$B215="","",CALC_EPM!A215)</f>
      </c>
      <c r="C226" t="str">
        <f>IF(CALC_EPM!$B215="","",CALC_EPM!B215)</f>
      </c>
      <c r="D226">
        <f>IF(CALC_EPM!$B215="","",CALC_EPM!D215)</f>
      </c>
      <c r="E226" s="10" t="str">
        <f>IF(CALC_EPM!$B215="","",CALC_EPM!E215)</f>
      </c>
      <c r="F226" s="10" t="str">
        <f>IF(CALC_EPM!$B215="","",CALC_EPM!F215)</f>
      </c>
      <c r="G226" t="str">
        <f>IF(CALC_EPM!$B215="","",CALC_EPM!G215)</f>
      </c>
      <c r="H226" s="11" t="str">
        <f>IF(CALC_EPM!$B215="","",CALC_EPM!H215)</f>
      </c>
      <c r="I226" s="11" t="str">
        <f>IF(CALC_EPM!$B215="","",CALC_EPM!I215)</f>
      </c>
      <c r="J226" t="str">
        <f>IF(CALC_EPM!$B215="","",CALC_EPM!J215)</f>
      </c>
      <c r="K226" t="str">
        <f>IF(CALC_EPM!$B215="","",CALC_EPM!K215)</f>
      </c>
      <c r="L226">
        <f>IF(CALC_EPM!$B215="","",CALC_EPM!L215)</f>
      </c>
      <c r="M226">
        <f>IF(CALC_EPM!$B215="","",CALC_EPM!M215)</f>
      </c>
      <c r="N226">
        <f>IF(CALC_EPM!$B215="","",CALC_EPM!N215)</f>
      </c>
      <c r="O226">
        <f>IF(CALC_EPM!$B215="","",CALC_EPM!O215)</f>
      </c>
      <c r="P226">
        <f>IF(CALC_EPM!$B215="","",CALC_EPM!P215)</f>
      </c>
      <c r="Q226">
        <f>IF(CALC_EPM!$B215="","",CALC_EPM!Q215)</f>
      </c>
      <c r="R226">
        <f>IF(CALC_EPM!$B215="","",CALC_EPM!R215)</f>
      </c>
      <c r="S226">
        <f>IF(CALC_EPM!$B215="","",CALC_EPM!S215)</f>
      </c>
      <c r="T226">
        <f>IF(CALC_EPM!$B215="","",CALC_EPM!T215)</f>
      </c>
      <c r="U226">
        <f>IF(CALC_EPM!$B215="","",CALC_EPM!U215)</f>
      </c>
    </row>
    <row r="227">
      <c r="A227" t="str">
        <f>IF(CALC_EPM!$B216="","",IF(CALC_EPM!A216="GLOBAL",IF(CALC_EPM!C216="Total","GLOBAL",IF(CALC_EPM!C216="TotalEsp","GLOBAL_ESP",IF(CALC_EPM!C216="TotalNoEsp","GLOBAL_NOESP","GLOBAL_ASIG"))),IF(CALC_EPM!C216="Total","CURSO_TOTAL",IF(CALC_EPM!C216="TotalEsp","CURSO_ESP",IF(CALC_EPM!C216="TotalNoEsp","CURSO_NOESP","CURSO_ASIG")))))</f>
      </c>
      <c r="B227" t="str">
        <f>IF(CALC_EPM!$B216="","",CALC_EPM!A216)</f>
      </c>
      <c r="C227" t="str">
        <f>IF(CALC_EPM!$B216="","",CALC_EPM!B216)</f>
      </c>
      <c r="D227">
        <f>IF(CALC_EPM!$B216="","",CALC_EPM!D216)</f>
      </c>
      <c r="E227" s="10" t="str">
        <f>IF(CALC_EPM!$B216="","",CALC_EPM!E216)</f>
      </c>
      <c r="F227" s="10" t="str">
        <f>IF(CALC_EPM!$B216="","",CALC_EPM!F216)</f>
      </c>
      <c r="G227" t="str">
        <f>IF(CALC_EPM!$B216="","",CALC_EPM!G216)</f>
      </c>
      <c r="H227" s="11" t="str">
        <f>IF(CALC_EPM!$B216="","",CALC_EPM!H216)</f>
      </c>
      <c r="I227" s="11" t="str">
        <f>IF(CALC_EPM!$B216="","",CALC_EPM!I216)</f>
      </c>
      <c r="J227" t="str">
        <f>IF(CALC_EPM!$B216="","",CALC_EPM!J216)</f>
      </c>
      <c r="K227" t="str">
        <f>IF(CALC_EPM!$B216="","",CALC_EPM!K216)</f>
      </c>
      <c r="L227">
        <f>IF(CALC_EPM!$B216="","",CALC_EPM!L216)</f>
      </c>
      <c r="M227">
        <f>IF(CALC_EPM!$B216="","",CALC_EPM!M216)</f>
      </c>
      <c r="N227">
        <f>IF(CALC_EPM!$B216="","",CALC_EPM!N216)</f>
      </c>
      <c r="O227">
        <f>IF(CALC_EPM!$B216="","",CALC_EPM!O216)</f>
      </c>
      <c r="P227">
        <f>IF(CALC_EPM!$B216="","",CALC_EPM!P216)</f>
      </c>
      <c r="Q227">
        <f>IF(CALC_EPM!$B216="","",CALC_EPM!Q216)</f>
      </c>
      <c r="R227">
        <f>IF(CALC_EPM!$B216="","",CALC_EPM!R216)</f>
      </c>
      <c r="S227">
        <f>IF(CALC_EPM!$B216="","",CALC_EPM!S216)</f>
      </c>
      <c r="T227">
        <f>IF(CALC_EPM!$B216="","",CALC_EPM!T216)</f>
      </c>
      <c r="U227">
        <f>IF(CALC_EPM!$B216="","",CALC_EPM!U216)</f>
      </c>
    </row>
    <row r="228">
      <c r="A228" t="str">
        <f>IF(CALC_EPM!$B217="","",IF(CALC_EPM!A217="GLOBAL",IF(CALC_EPM!C217="Total","GLOBAL",IF(CALC_EPM!C217="TotalEsp","GLOBAL_ESP",IF(CALC_EPM!C217="TotalNoEsp","GLOBAL_NOESP","GLOBAL_ASIG"))),IF(CALC_EPM!C217="Total","CURSO_TOTAL",IF(CALC_EPM!C217="TotalEsp","CURSO_ESP",IF(CALC_EPM!C217="TotalNoEsp","CURSO_NOESP","CURSO_ASIG")))))</f>
      </c>
      <c r="B228" t="str">
        <f>IF(CALC_EPM!$B217="","",CALC_EPM!A217)</f>
      </c>
      <c r="C228" t="str">
        <f>IF(CALC_EPM!$B217="","",CALC_EPM!B217)</f>
      </c>
      <c r="D228">
        <f>IF(CALC_EPM!$B217="","",CALC_EPM!D217)</f>
      </c>
      <c r="E228" s="10" t="str">
        <f>IF(CALC_EPM!$B217="","",CALC_EPM!E217)</f>
      </c>
      <c r="F228" s="10" t="str">
        <f>IF(CALC_EPM!$B217="","",CALC_EPM!F217)</f>
      </c>
      <c r="G228" t="str">
        <f>IF(CALC_EPM!$B217="","",CALC_EPM!G217)</f>
      </c>
      <c r="H228" s="11" t="str">
        <f>IF(CALC_EPM!$B217="","",CALC_EPM!H217)</f>
      </c>
      <c r="I228" s="11" t="str">
        <f>IF(CALC_EPM!$B217="","",CALC_EPM!I217)</f>
      </c>
      <c r="J228" t="str">
        <f>IF(CALC_EPM!$B217="","",CALC_EPM!J217)</f>
      </c>
      <c r="K228" t="str">
        <f>IF(CALC_EPM!$B217="","",CALC_EPM!K217)</f>
      </c>
      <c r="L228">
        <f>IF(CALC_EPM!$B217="","",CALC_EPM!L217)</f>
      </c>
      <c r="M228">
        <f>IF(CALC_EPM!$B217="","",CALC_EPM!M217)</f>
      </c>
      <c r="N228">
        <f>IF(CALC_EPM!$B217="","",CALC_EPM!N217)</f>
      </c>
      <c r="O228">
        <f>IF(CALC_EPM!$B217="","",CALC_EPM!O217)</f>
      </c>
      <c r="P228">
        <f>IF(CALC_EPM!$B217="","",CALC_EPM!P217)</f>
      </c>
      <c r="Q228">
        <f>IF(CALC_EPM!$B217="","",CALC_EPM!Q217)</f>
      </c>
      <c r="R228">
        <f>IF(CALC_EPM!$B217="","",CALC_EPM!R217)</f>
      </c>
      <c r="S228">
        <f>IF(CALC_EPM!$B217="","",CALC_EPM!S217)</f>
      </c>
      <c r="T228">
        <f>IF(CALC_EPM!$B217="","",CALC_EPM!T217)</f>
      </c>
      <c r="U228">
        <f>IF(CALC_EPM!$B217="","",CALC_EPM!U217)</f>
      </c>
    </row>
    <row r="229">
      <c r="A229" t="str">
        <f>IF(CALC_EPM!$B218="","",IF(CALC_EPM!A218="GLOBAL",IF(CALC_EPM!C218="Total","GLOBAL",IF(CALC_EPM!C218="TotalEsp","GLOBAL_ESP",IF(CALC_EPM!C218="TotalNoEsp","GLOBAL_NOESP","GLOBAL_ASIG"))),IF(CALC_EPM!C218="Total","CURSO_TOTAL",IF(CALC_EPM!C218="TotalEsp","CURSO_ESP",IF(CALC_EPM!C218="TotalNoEsp","CURSO_NOESP","CURSO_ASIG")))))</f>
      </c>
      <c r="B229" t="str">
        <f>IF(CALC_EPM!$B218="","",CALC_EPM!A218)</f>
      </c>
      <c r="C229" t="str">
        <f>IF(CALC_EPM!$B218="","",CALC_EPM!B218)</f>
      </c>
      <c r="D229">
        <f>IF(CALC_EPM!$B218="","",CALC_EPM!D218)</f>
      </c>
      <c r="E229" s="10" t="str">
        <f>IF(CALC_EPM!$B218="","",CALC_EPM!E218)</f>
      </c>
      <c r="F229" s="10" t="str">
        <f>IF(CALC_EPM!$B218="","",CALC_EPM!F218)</f>
      </c>
      <c r="G229" t="str">
        <f>IF(CALC_EPM!$B218="","",CALC_EPM!G218)</f>
      </c>
      <c r="H229" s="11" t="str">
        <f>IF(CALC_EPM!$B218="","",CALC_EPM!H218)</f>
      </c>
      <c r="I229" s="11" t="str">
        <f>IF(CALC_EPM!$B218="","",CALC_EPM!I218)</f>
      </c>
      <c r="J229" t="str">
        <f>IF(CALC_EPM!$B218="","",CALC_EPM!J218)</f>
      </c>
      <c r="K229" t="str">
        <f>IF(CALC_EPM!$B218="","",CALC_EPM!K218)</f>
      </c>
      <c r="L229">
        <f>IF(CALC_EPM!$B218="","",CALC_EPM!L218)</f>
      </c>
      <c r="M229">
        <f>IF(CALC_EPM!$B218="","",CALC_EPM!M218)</f>
      </c>
      <c r="N229">
        <f>IF(CALC_EPM!$B218="","",CALC_EPM!N218)</f>
      </c>
      <c r="O229">
        <f>IF(CALC_EPM!$B218="","",CALC_EPM!O218)</f>
      </c>
      <c r="P229">
        <f>IF(CALC_EPM!$B218="","",CALC_EPM!P218)</f>
      </c>
      <c r="Q229">
        <f>IF(CALC_EPM!$B218="","",CALC_EPM!Q218)</f>
      </c>
      <c r="R229">
        <f>IF(CALC_EPM!$B218="","",CALC_EPM!R218)</f>
      </c>
      <c r="S229">
        <f>IF(CALC_EPM!$B218="","",CALC_EPM!S218)</f>
      </c>
      <c r="T229">
        <f>IF(CALC_EPM!$B218="","",CALC_EPM!T218)</f>
      </c>
      <c r="U229">
        <f>IF(CALC_EPM!$B218="","",CALC_EPM!U218)</f>
      </c>
    </row>
    <row r="230">
      <c r="A230" t="str">
        <f>IF(CALC_EPM!$B219="","",IF(CALC_EPM!A219="GLOBAL",IF(CALC_EPM!C219="Total","GLOBAL",IF(CALC_EPM!C219="TotalEsp","GLOBAL_ESP",IF(CALC_EPM!C219="TotalNoEsp","GLOBAL_NOESP","GLOBAL_ASIG"))),IF(CALC_EPM!C219="Total","CURSO_TOTAL",IF(CALC_EPM!C219="TotalEsp","CURSO_ESP",IF(CALC_EPM!C219="TotalNoEsp","CURSO_NOESP","CURSO_ASIG")))))</f>
      </c>
      <c r="B230" t="str">
        <f>IF(CALC_EPM!$B219="","",CALC_EPM!A219)</f>
      </c>
      <c r="C230" t="str">
        <f>IF(CALC_EPM!$B219="","",CALC_EPM!B219)</f>
      </c>
      <c r="D230">
        <f>IF(CALC_EPM!$B219="","",CALC_EPM!D219)</f>
      </c>
      <c r="E230" s="10" t="str">
        <f>IF(CALC_EPM!$B219="","",CALC_EPM!E219)</f>
      </c>
      <c r="F230" s="10" t="str">
        <f>IF(CALC_EPM!$B219="","",CALC_EPM!F219)</f>
      </c>
      <c r="G230" t="str">
        <f>IF(CALC_EPM!$B219="","",CALC_EPM!G219)</f>
      </c>
      <c r="H230" s="11" t="str">
        <f>IF(CALC_EPM!$B219="","",CALC_EPM!H219)</f>
      </c>
      <c r="I230" s="11" t="str">
        <f>IF(CALC_EPM!$B219="","",CALC_EPM!I219)</f>
      </c>
      <c r="J230" t="str">
        <f>IF(CALC_EPM!$B219="","",CALC_EPM!J219)</f>
      </c>
      <c r="K230" t="str">
        <f>IF(CALC_EPM!$B219="","",CALC_EPM!K219)</f>
      </c>
      <c r="L230">
        <f>IF(CALC_EPM!$B219="","",CALC_EPM!L219)</f>
      </c>
      <c r="M230">
        <f>IF(CALC_EPM!$B219="","",CALC_EPM!M219)</f>
      </c>
      <c r="N230">
        <f>IF(CALC_EPM!$B219="","",CALC_EPM!N219)</f>
      </c>
      <c r="O230">
        <f>IF(CALC_EPM!$B219="","",CALC_EPM!O219)</f>
      </c>
      <c r="P230">
        <f>IF(CALC_EPM!$B219="","",CALC_EPM!P219)</f>
      </c>
      <c r="Q230">
        <f>IF(CALC_EPM!$B219="","",CALC_EPM!Q219)</f>
      </c>
      <c r="R230">
        <f>IF(CALC_EPM!$B219="","",CALC_EPM!R219)</f>
      </c>
      <c r="S230">
        <f>IF(CALC_EPM!$B219="","",CALC_EPM!S219)</f>
      </c>
      <c r="T230">
        <f>IF(CALC_EPM!$B219="","",CALC_EPM!T219)</f>
      </c>
      <c r="U230">
        <f>IF(CALC_EPM!$B219="","",CALC_EPM!U219)</f>
      </c>
    </row>
    <row r="231">
      <c r="A231" t="str">
        <f>IF(CALC_EPM!$B220="","",IF(CALC_EPM!A220="GLOBAL",IF(CALC_EPM!C220="Total","GLOBAL",IF(CALC_EPM!C220="TotalEsp","GLOBAL_ESP",IF(CALC_EPM!C220="TotalNoEsp","GLOBAL_NOESP","GLOBAL_ASIG"))),IF(CALC_EPM!C220="Total","CURSO_TOTAL",IF(CALC_EPM!C220="TotalEsp","CURSO_ESP",IF(CALC_EPM!C220="TotalNoEsp","CURSO_NOESP","CURSO_ASIG")))))</f>
      </c>
      <c r="B231" t="str">
        <f>IF(CALC_EPM!$B220="","",CALC_EPM!A220)</f>
      </c>
      <c r="C231" t="str">
        <f>IF(CALC_EPM!$B220="","",CALC_EPM!B220)</f>
      </c>
      <c r="D231">
        <f>IF(CALC_EPM!$B220="","",CALC_EPM!D220)</f>
      </c>
      <c r="E231" s="10" t="str">
        <f>IF(CALC_EPM!$B220="","",CALC_EPM!E220)</f>
      </c>
      <c r="F231" s="10" t="str">
        <f>IF(CALC_EPM!$B220="","",CALC_EPM!F220)</f>
      </c>
      <c r="G231" t="str">
        <f>IF(CALC_EPM!$B220="","",CALC_EPM!G220)</f>
      </c>
      <c r="H231" s="11" t="str">
        <f>IF(CALC_EPM!$B220="","",CALC_EPM!H220)</f>
      </c>
      <c r="I231" s="11" t="str">
        <f>IF(CALC_EPM!$B220="","",CALC_EPM!I220)</f>
      </c>
      <c r="J231" t="str">
        <f>IF(CALC_EPM!$B220="","",CALC_EPM!J220)</f>
      </c>
      <c r="K231" t="str">
        <f>IF(CALC_EPM!$B220="","",CALC_EPM!K220)</f>
      </c>
      <c r="L231">
        <f>IF(CALC_EPM!$B220="","",CALC_EPM!L220)</f>
      </c>
      <c r="M231">
        <f>IF(CALC_EPM!$B220="","",CALC_EPM!M220)</f>
      </c>
      <c r="N231">
        <f>IF(CALC_EPM!$B220="","",CALC_EPM!N220)</f>
      </c>
      <c r="O231">
        <f>IF(CALC_EPM!$B220="","",CALC_EPM!O220)</f>
      </c>
      <c r="P231">
        <f>IF(CALC_EPM!$B220="","",CALC_EPM!P220)</f>
      </c>
      <c r="Q231">
        <f>IF(CALC_EPM!$B220="","",CALC_EPM!Q220)</f>
      </c>
      <c r="R231">
        <f>IF(CALC_EPM!$B220="","",CALC_EPM!R220)</f>
      </c>
      <c r="S231">
        <f>IF(CALC_EPM!$B220="","",CALC_EPM!S220)</f>
      </c>
      <c r="T231">
        <f>IF(CALC_EPM!$B220="","",CALC_EPM!T220)</f>
      </c>
      <c r="U231">
        <f>IF(CALC_EPM!$B220="","",CALC_EPM!U220)</f>
      </c>
    </row>
    <row r="232">
      <c r="A232" t="str">
        <f>IF(CALC_EPM!$B221="","",IF(CALC_EPM!A221="GLOBAL",IF(CALC_EPM!C221="Total","GLOBAL",IF(CALC_EPM!C221="TotalEsp","GLOBAL_ESP",IF(CALC_EPM!C221="TotalNoEsp","GLOBAL_NOESP","GLOBAL_ASIG"))),IF(CALC_EPM!C221="Total","CURSO_TOTAL",IF(CALC_EPM!C221="TotalEsp","CURSO_ESP",IF(CALC_EPM!C221="TotalNoEsp","CURSO_NOESP","CURSO_ASIG")))))</f>
      </c>
      <c r="B232" t="str">
        <f>IF(CALC_EPM!$B221="","",CALC_EPM!A221)</f>
      </c>
      <c r="C232" t="str">
        <f>IF(CALC_EPM!$B221="","",CALC_EPM!B221)</f>
      </c>
      <c r="D232">
        <f>IF(CALC_EPM!$B221="","",CALC_EPM!D221)</f>
      </c>
      <c r="E232" s="10" t="str">
        <f>IF(CALC_EPM!$B221="","",CALC_EPM!E221)</f>
      </c>
      <c r="F232" s="10" t="str">
        <f>IF(CALC_EPM!$B221="","",CALC_EPM!F221)</f>
      </c>
      <c r="G232" t="str">
        <f>IF(CALC_EPM!$B221="","",CALC_EPM!G221)</f>
      </c>
      <c r="H232" s="11" t="str">
        <f>IF(CALC_EPM!$B221="","",CALC_EPM!H221)</f>
      </c>
      <c r="I232" s="11" t="str">
        <f>IF(CALC_EPM!$B221="","",CALC_EPM!I221)</f>
      </c>
      <c r="J232" t="str">
        <f>IF(CALC_EPM!$B221="","",CALC_EPM!J221)</f>
      </c>
      <c r="K232" t="str">
        <f>IF(CALC_EPM!$B221="","",CALC_EPM!K221)</f>
      </c>
      <c r="L232">
        <f>IF(CALC_EPM!$B221="","",CALC_EPM!L221)</f>
      </c>
      <c r="M232">
        <f>IF(CALC_EPM!$B221="","",CALC_EPM!M221)</f>
      </c>
      <c r="N232">
        <f>IF(CALC_EPM!$B221="","",CALC_EPM!N221)</f>
      </c>
      <c r="O232">
        <f>IF(CALC_EPM!$B221="","",CALC_EPM!O221)</f>
      </c>
      <c r="P232">
        <f>IF(CALC_EPM!$B221="","",CALC_EPM!P221)</f>
      </c>
      <c r="Q232">
        <f>IF(CALC_EPM!$B221="","",CALC_EPM!Q221)</f>
      </c>
      <c r="R232">
        <f>IF(CALC_EPM!$B221="","",CALC_EPM!R221)</f>
      </c>
      <c r="S232">
        <f>IF(CALC_EPM!$B221="","",CALC_EPM!S221)</f>
      </c>
      <c r="T232">
        <f>IF(CALC_EPM!$B221="","",CALC_EPM!T221)</f>
      </c>
      <c r="U232">
        <f>IF(CALC_EPM!$B221="","",CALC_EPM!U221)</f>
      </c>
    </row>
    <row r="233">
      <c r="A233" t="str">
        <f>IF(CALC_EPM!$B222="","",IF(CALC_EPM!A222="GLOBAL",IF(CALC_EPM!C222="Total","GLOBAL",IF(CALC_EPM!C222="TotalEsp","GLOBAL_ESP",IF(CALC_EPM!C222="TotalNoEsp","GLOBAL_NOESP","GLOBAL_ASIG"))),IF(CALC_EPM!C222="Total","CURSO_TOTAL",IF(CALC_EPM!C222="TotalEsp","CURSO_ESP",IF(CALC_EPM!C222="TotalNoEsp","CURSO_NOESP","CURSO_ASIG")))))</f>
      </c>
      <c r="B233" t="str">
        <f>IF(CALC_EPM!$B222="","",CALC_EPM!A222)</f>
      </c>
      <c r="C233" t="str">
        <f>IF(CALC_EPM!$B222="","",CALC_EPM!B222)</f>
      </c>
      <c r="D233">
        <f>IF(CALC_EPM!$B222="","",CALC_EPM!D222)</f>
      </c>
      <c r="E233" s="10" t="str">
        <f>IF(CALC_EPM!$B222="","",CALC_EPM!E222)</f>
      </c>
      <c r="F233" s="10" t="str">
        <f>IF(CALC_EPM!$B222="","",CALC_EPM!F222)</f>
      </c>
      <c r="G233" t="str">
        <f>IF(CALC_EPM!$B222="","",CALC_EPM!G222)</f>
      </c>
      <c r="H233" s="11" t="str">
        <f>IF(CALC_EPM!$B222="","",CALC_EPM!H222)</f>
      </c>
      <c r="I233" s="11" t="str">
        <f>IF(CALC_EPM!$B222="","",CALC_EPM!I222)</f>
      </c>
      <c r="J233" t="str">
        <f>IF(CALC_EPM!$B222="","",CALC_EPM!J222)</f>
      </c>
      <c r="K233" t="str">
        <f>IF(CALC_EPM!$B222="","",CALC_EPM!K222)</f>
      </c>
      <c r="L233">
        <f>IF(CALC_EPM!$B222="","",CALC_EPM!L222)</f>
      </c>
      <c r="M233">
        <f>IF(CALC_EPM!$B222="","",CALC_EPM!M222)</f>
      </c>
      <c r="N233">
        <f>IF(CALC_EPM!$B222="","",CALC_EPM!N222)</f>
      </c>
      <c r="O233">
        <f>IF(CALC_EPM!$B222="","",CALC_EPM!O222)</f>
      </c>
      <c r="P233">
        <f>IF(CALC_EPM!$B222="","",CALC_EPM!P222)</f>
      </c>
      <c r="Q233">
        <f>IF(CALC_EPM!$B222="","",CALC_EPM!Q222)</f>
      </c>
      <c r="R233">
        <f>IF(CALC_EPM!$B222="","",CALC_EPM!R222)</f>
      </c>
      <c r="S233">
        <f>IF(CALC_EPM!$B222="","",CALC_EPM!S222)</f>
      </c>
      <c r="T233">
        <f>IF(CALC_EPM!$B222="","",CALC_EPM!T222)</f>
      </c>
      <c r="U233">
        <f>IF(CALC_EPM!$B222="","",CALC_EPM!U222)</f>
      </c>
    </row>
    <row r="234">
      <c r="A234" t="str">
        <f>IF(CALC_EPM!$B223="","",IF(CALC_EPM!A223="GLOBAL",IF(CALC_EPM!C223="Total","GLOBAL",IF(CALC_EPM!C223="TotalEsp","GLOBAL_ESP",IF(CALC_EPM!C223="TotalNoEsp","GLOBAL_NOESP","GLOBAL_ASIG"))),IF(CALC_EPM!C223="Total","CURSO_TOTAL",IF(CALC_EPM!C223="TotalEsp","CURSO_ESP",IF(CALC_EPM!C223="TotalNoEsp","CURSO_NOESP","CURSO_ASIG")))))</f>
      </c>
      <c r="B234" t="str">
        <f>IF(CALC_EPM!$B223="","",CALC_EPM!A223)</f>
      </c>
      <c r="C234" t="str">
        <f>IF(CALC_EPM!$B223="","",CALC_EPM!B223)</f>
      </c>
      <c r="D234">
        <f>IF(CALC_EPM!$B223="","",CALC_EPM!D223)</f>
      </c>
      <c r="E234" s="10" t="str">
        <f>IF(CALC_EPM!$B223="","",CALC_EPM!E223)</f>
      </c>
      <c r="F234" s="10" t="str">
        <f>IF(CALC_EPM!$B223="","",CALC_EPM!F223)</f>
      </c>
      <c r="G234" t="str">
        <f>IF(CALC_EPM!$B223="","",CALC_EPM!G223)</f>
      </c>
      <c r="H234" s="11" t="str">
        <f>IF(CALC_EPM!$B223="","",CALC_EPM!H223)</f>
      </c>
      <c r="I234" s="11" t="str">
        <f>IF(CALC_EPM!$B223="","",CALC_EPM!I223)</f>
      </c>
      <c r="J234" t="str">
        <f>IF(CALC_EPM!$B223="","",CALC_EPM!J223)</f>
      </c>
      <c r="K234" t="str">
        <f>IF(CALC_EPM!$B223="","",CALC_EPM!K223)</f>
      </c>
      <c r="L234">
        <f>IF(CALC_EPM!$B223="","",CALC_EPM!L223)</f>
      </c>
      <c r="M234">
        <f>IF(CALC_EPM!$B223="","",CALC_EPM!M223)</f>
      </c>
      <c r="N234">
        <f>IF(CALC_EPM!$B223="","",CALC_EPM!N223)</f>
      </c>
      <c r="O234">
        <f>IF(CALC_EPM!$B223="","",CALC_EPM!O223)</f>
      </c>
      <c r="P234">
        <f>IF(CALC_EPM!$B223="","",CALC_EPM!P223)</f>
      </c>
      <c r="Q234">
        <f>IF(CALC_EPM!$B223="","",CALC_EPM!Q223)</f>
      </c>
      <c r="R234">
        <f>IF(CALC_EPM!$B223="","",CALC_EPM!R223)</f>
      </c>
      <c r="S234">
        <f>IF(CALC_EPM!$B223="","",CALC_EPM!S223)</f>
      </c>
      <c r="T234">
        <f>IF(CALC_EPM!$B223="","",CALC_EPM!T223)</f>
      </c>
      <c r="U234">
        <f>IF(CALC_EPM!$B223="","",CALC_EPM!U223)</f>
      </c>
    </row>
    <row r="235">
      <c r="A235" t="str">
        <f>IF(CALC_EPM!$B224="","",IF(CALC_EPM!A224="GLOBAL",IF(CALC_EPM!C224="Total","GLOBAL",IF(CALC_EPM!C224="TotalEsp","GLOBAL_ESP",IF(CALC_EPM!C224="TotalNoEsp","GLOBAL_NOESP","GLOBAL_ASIG"))),IF(CALC_EPM!C224="Total","CURSO_TOTAL",IF(CALC_EPM!C224="TotalEsp","CURSO_ESP",IF(CALC_EPM!C224="TotalNoEsp","CURSO_NOESP","CURSO_ASIG")))))</f>
      </c>
      <c r="B235" t="str">
        <f>IF(CALC_EPM!$B224="","",CALC_EPM!A224)</f>
      </c>
      <c r="C235" t="str">
        <f>IF(CALC_EPM!$B224="","",CALC_EPM!B224)</f>
      </c>
      <c r="D235">
        <f>IF(CALC_EPM!$B224="","",CALC_EPM!D224)</f>
      </c>
      <c r="E235" s="10" t="str">
        <f>IF(CALC_EPM!$B224="","",CALC_EPM!E224)</f>
      </c>
      <c r="F235" s="10" t="str">
        <f>IF(CALC_EPM!$B224="","",CALC_EPM!F224)</f>
      </c>
      <c r="G235" t="str">
        <f>IF(CALC_EPM!$B224="","",CALC_EPM!G224)</f>
      </c>
      <c r="H235" s="11" t="str">
        <f>IF(CALC_EPM!$B224="","",CALC_EPM!H224)</f>
      </c>
      <c r="I235" s="11" t="str">
        <f>IF(CALC_EPM!$B224="","",CALC_EPM!I224)</f>
      </c>
      <c r="J235" t="str">
        <f>IF(CALC_EPM!$B224="","",CALC_EPM!J224)</f>
      </c>
      <c r="K235" t="str">
        <f>IF(CALC_EPM!$B224="","",CALC_EPM!K224)</f>
      </c>
      <c r="L235">
        <f>IF(CALC_EPM!$B224="","",CALC_EPM!L224)</f>
      </c>
      <c r="M235">
        <f>IF(CALC_EPM!$B224="","",CALC_EPM!M224)</f>
      </c>
      <c r="N235">
        <f>IF(CALC_EPM!$B224="","",CALC_EPM!N224)</f>
      </c>
      <c r="O235">
        <f>IF(CALC_EPM!$B224="","",CALC_EPM!O224)</f>
      </c>
      <c r="P235">
        <f>IF(CALC_EPM!$B224="","",CALC_EPM!P224)</f>
      </c>
      <c r="Q235">
        <f>IF(CALC_EPM!$B224="","",CALC_EPM!Q224)</f>
      </c>
      <c r="R235">
        <f>IF(CALC_EPM!$B224="","",CALC_EPM!R224)</f>
      </c>
      <c r="S235">
        <f>IF(CALC_EPM!$B224="","",CALC_EPM!S224)</f>
      </c>
      <c r="T235">
        <f>IF(CALC_EPM!$B224="","",CALC_EPM!T224)</f>
      </c>
      <c r="U235">
        <f>IF(CALC_EPM!$B224="","",CALC_EPM!U224)</f>
      </c>
    </row>
    <row r="236">
      <c r="A236" t="str">
        <f>IF(CALC_EPM!$B225="","",IF(CALC_EPM!A225="GLOBAL",IF(CALC_EPM!C225="Total","GLOBAL",IF(CALC_EPM!C225="TotalEsp","GLOBAL_ESP",IF(CALC_EPM!C225="TotalNoEsp","GLOBAL_NOESP","GLOBAL_ASIG"))),IF(CALC_EPM!C225="Total","CURSO_TOTAL",IF(CALC_EPM!C225="TotalEsp","CURSO_ESP",IF(CALC_EPM!C225="TotalNoEsp","CURSO_NOESP","CURSO_ASIG")))))</f>
      </c>
      <c r="B236" t="str">
        <f>IF(CALC_EPM!$B225="","",CALC_EPM!A225)</f>
      </c>
      <c r="C236" t="str">
        <f>IF(CALC_EPM!$B225="","",CALC_EPM!B225)</f>
      </c>
      <c r="D236">
        <f>IF(CALC_EPM!$B225="","",CALC_EPM!D225)</f>
      </c>
      <c r="E236" s="10" t="str">
        <f>IF(CALC_EPM!$B225="","",CALC_EPM!E225)</f>
      </c>
      <c r="F236" s="10" t="str">
        <f>IF(CALC_EPM!$B225="","",CALC_EPM!F225)</f>
      </c>
      <c r="G236" t="str">
        <f>IF(CALC_EPM!$B225="","",CALC_EPM!G225)</f>
      </c>
      <c r="H236" s="11" t="str">
        <f>IF(CALC_EPM!$B225="","",CALC_EPM!H225)</f>
      </c>
      <c r="I236" s="11" t="str">
        <f>IF(CALC_EPM!$B225="","",CALC_EPM!I225)</f>
      </c>
      <c r="J236" t="str">
        <f>IF(CALC_EPM!$B225="","",CALC_EPM!J225)</f>
      </c>
      <c r="K236" t="str">
        <f>IF(CALC_EPM!$B225="","",CALC_EPM!K225)</f>
      </c>
      <c r="L236">
        <f>IF(CALC_EPM!$B225="","",CALC_EPM!L225)</f>
      </c>
      <c r="M236">
        <f>IF(CALC_EPM!$B225="","",CALC_EPM!M225)</f>
      </c>
      <c r="N236">
        <f>IF(CALC_EPM!$B225="","",CALC_EPM!N225)</f>
      </c>
      <c r="O236">
        <f>IF(CALC_EPM!$B225="","",CALC_EPM!O225)</f>
      </c>
      <c r="P236">
        <f>IF(CALC_EPM!$B225="","",CALC_EPM!P225)</f>
      </c>
      <c r="Q236">
        <f>IF(CALC_EPM!$B225="","",CALC_EPM!Q225)</f>
      </c>
      <c r="R236">
        <f>IF(CALC_EPM!$B225="","",CALC_EPM!R225)</f>
      </c>
      <c r="S236">
        <f>IF(CALC_EPM!$B225="","",CALC_EPM!S225)</f>
      </c>
      <c r="T236">
        <f>IF(CALC_EPM!$B225="","",CALC_EPM!T225)</f>
      </c>
      <c r="U236">
        <f>IF(CALC_EPM!$B225="","",CALC_EPM!U225)</f>
      </c>
    </row>
    <row r="237">
      <c r="A237" t="str">
        <f>IF(CALC_EPM!$B226="","",IF(CALC_EPM!A226="GLOBAL",IF(CALC_EPM!C226="Total","GLOBAL",IF(CALC_EPM!C226="TotalEsp","GLOBAL_ESP",IF(CALC_EPM!C226="TotalNoEsp","GLOBAL_NOESP","GLOBAL_ASIG"))),IF(CALC_EPM!C226="Total","CURSO_TOTAL",IF(CALC_EPM!C226="TotalEsp","CURSO_ESP",IF(CALC_EPM!C226="TotalNoEsp","CURSO_NOESP","CURSO_ASIG")))))</f>
      </c>
      <c r="B237" t="str">
        <f>IF(CALC_EPM!$B226="","",CALC_EPM!A226)</f>
      </c>
      <c r="C237" t="str">
        <f>IF(CALC_EPM!$B226="","",CALC_EPM!B226)</f>
      </c>
      <c r="D237">
        <f>IF(CALC_EPM!$B226="","",CALC_EPM!D226)</f>
      </c>
      <c r="E237" s="10" t="str">
        <f>IF(CALC_EPM!$B226="","",CALC_EPM!E226)</f>
      </c>
      <c r="F237" s="10" t="str">
        <f>IF(CALC_EPM!$B226="","",CALC_EPM!F226)</f>
      </c>
      <c r="G237" t="str">
        <f>IF(CALC_EPM!$B226="","",CALC_EPM!G226)</f>
      </c>
      <c r="H237" s="11" t="str">
        <f>IF(CALC_EPM!$B226="","",CALC_EPM!H226)</f>
      </c>
      <c r="I237" s="11" t="str">
        <f>IF(CALC_EPM!$B226="","",CALC_EPM!I226)</f>
      </c>
      <c r="J237" t="str">
        <f>IF(CALC_EPM!$B226="","",CALC_EPM!J226)</f>
      </c>
      <c r="K237" t="str">
        <f>IF(CALC_EPM!$B226="","",CALC_EPM!K226)</f>
      </c>
      <c r="L237">
        <f>IF(CALC_EPM!$B226="","",CALC_EPM!L226)</f>
      </c>
      <c r="M237">
        <f>IF(CALC_EPM!$B226="","",CALC_EPM!M226)</f>
      </c>
      <c r="N237">
        <f>IF(CALC_EPM!$B226="","",CALC_EPM!N226)</f>
      </c>
      <c r="O237">
        <f>IF(CALC_EPM!$B226="","",CALC_EPM!O226)</f>
      </c>
      <c r="P237">
        <f>IF(CALC_EPM!$B226="","",CALC_EPM!P226)</f>
      </c>
      <c r="Q237">
        <f>IF(CALC_EPM!$B226="","",CALC_EPM!Q226)</f>
      </c>
      <c r="R237">
        <f>IF(CALC_EPM!$B226="","",CALC_EPM!R226)</f>
      </c>
      <c r="S237">
        <f>IF(CALC_EPM!$B226="","",CALC_EPM!S226)</f>
      </c>
      <c r="T237">
        <f>IF(CALC_EPM!$B226="","",CALC_EPM!T226)</f>
      </c>
      <c r="U237">
        <f>IF(CALC_EPM!$B226="","",CALC_EPM!U226)</f>
      </c>
    </row>
    <row r="238">
      <c r="A238" t="str">
        <f>IF(CALC_EPM!$B227="","",IF(CALC_EPM!A227="GLOBAL",IF(CALC_EPM!C227="Total","GLOBAL",IF(CALC_EPM!C227="TotalEsp","GLOBAL_ESP",IF(CALC_EPM!C227="TotalNoEsp","GLOBAL_NOESP","GLOBAL_ASIG"))),IF(CALC_EPM!C227="Total","CURSO_TOTAL",IF(CALC_EPM!C227="TotalEsp","CURSO_ESP",IF(CALC_EPM!C227="TotalNoEsp","CURSO_NOESP","CURSO_ASIG")))))</f>
      </c>
      <c r="B238" t="str">
        <f>IF(CALC_EPM!$B227="","",CALC_EPM!A227)</f>
      </c>
      <c r="C238" t="str">
        <f>IF(CALC_EPM!$B227="","",CALC_EPM!B227)</f>
      </c>
      <c r="D238">
        <f>IF(CALC_EPM!$B227="","",CALC_EPM!D227)</f>
      </c>
      <c r="E238" s="10" t="str">
        <f>IF(CALC_EPM!$B227="","",CALC_EPM!E227)</f>
      </c>
      <c r="F238" s="10" t="str">
        <f>IF(CALC_EPM!$B227="","",CALC_EPM!F227)</f>
      </c>
      <c r="G238" t="str">
        <f>IF(CALC_EPM!$B227="","",CALC_EPM!G227)</f>
      </c>
      <c r="H238" s="11" t="str">
        <f>IF(CALC_EPM!$B227="","",CALC_EPM!H227)</f>
      </c>
      <c r="I238" s="11" t="str">
        <f>IF(CALC_EPM!$B227="","",CALC_EPM!I227)</f>
      </c>
      <c r="J238" t="str">
        <f>IF(CALC_EPM!$B227="","",CALC_EPM!J227)</f>
      </c>
      <c r="K238" t="str">
        <f>IF(CALC_EPM!$B227="","",CALC_EPM!K227)</f>
      </c>
      <c r="L238">
        <f>IF(CALC_EPM!$B227="","",CALC_EPM!L227)</f>
      </c>
      <c r="M238">
        <f>IF(CALC_EPM!$B227="","",CALC_EPM!M227)</f>
      </c>
      <c r="N238">
        <f>IF(CALC_EPM!$B227="","",CALC_EPM!N227)</f>
      </c>
      <c r="O238">
        <f>IF(CALC_EPM!$B227="","",CALC_EPM!O227)</f>
      </c>
      <c r="P238">
        <f>IF(CALC_EPM!$B227="","",CALC_EPM!P227)</f>
      </c>
      <c r="Q238">
        <f>IF(CALC_EPM!$B227="","",CALC_EPM!Q227)</f>
      </c>
      <c r="R238">
        <f>IF(CALC_EPM!$B227="","",CALC_EPM!R227)</f>
      </c>
      <c r="S238">
        <f>IF(CALC_EPM!$B227="","",CALC_EPM!S227)</f>
      </c>
      <c r="T238">
        <f>IF(CALC_EPM!$B227="","",CALC_EPM!T227)</f>
      </c>
      <c r="U238">
        <f>IF(CALC_EPM!$B227="","",CALC_EPM!U227)</f>
      </c>
    </row>
    <row r="239">
      <c r="A239" t="str">
        <f>IF(CALC_EPM!$B228="","",IF(CALC_EPM!A228="GLOBAL",IF(CALC_EPM!C228="Total","GLOBAL",IF(CALC_EPM!C228="TotalEsp","GLOBAL_ESP",IF(CALC_EPM!C228="TotalNoEsp","GLOBAL_NOESP","GLOBAL_ASIG"))),IF(CALC_EPM!C228="Total","CURSO_TOTAL",IF(CALC_EPM!C228="TotalEsp","CURSO_ESP",IF(CALC_EPM!C228="TotalNoEsp","CURSO_NOESP","CURSO_ASIG")))))</f>
      </c>
      <c r="B239" t="str">
        <f>IF(CALC_EPM!$B228="","",CALC_EPM!A228)</f>
      </c>
      <c r="C239" t="str">
        <f>IF(CALC_EPM!$B228="","",CALC_EPM!B228)</f>
      </c>
      <c r="D239">
        <f>IF(CALC_EPM!$B228="","",CALC_EPM!D228)</f>
      </c>
      <c r="E239" s="10" t="str">
        <f>IF(CALC_EPM!$B228="","",CALC_EPM!E228)</f>
      </c>
      <c r="F239" s="10" t="str">
        <f>IF(CALC_EPM!$B228="","",CALC_EPM!F228)</f>
      </c>
      <c r="G239" t="str">
        <f>IF(CALC_EPM!$B228="","",CALC_EPM!G228)</f>
      </c>
      <c r="H239" s="11" t="str">
        <f>IF(CALC_EPM!$B228="","",CALC_EPM!H228)</f>
      </c>
      <c r="I239" s="11" t="str">
        <f>IF(CALC_EPM!$B228="","",CALC_EPM!I228)</f>
      </c>
      <c r="J239" t="str">
        <f>IF(CALC_EPM!$B228="","",CALC_EPM!J228)</f>
      </c>
      <c r="K239" t="str">
        <f>IF(CALC_EPM!$B228="","",CALC_EPM!K228)</f>
      </c>
      <c r="L239">
        <f>IF(CALC_EPM!$B228="","",CALC_EPM!L228)</f>
      </c>
      <c r="M239">
        <f>IF(CALC_EPM!$B228="","",CALC_EPM!M228)</f>
      </c>
      <c r="N239">
        <f>IF(CALC_EPM!$B228="","",CALC_EPM!N228)</f>
      </c>
      <c r="O239">
        <f>IF(CALC_EPM!$B228="","",CALC_EPM!O228)</f>
      </c>
      <c r="P239">
        <f>IF(CALC_EPM!$B228="","",CALC_EPM!P228)</f>
      </c>
      <c r="Q239">
        <f>IF(CALC_EPM!$B228="","",CALC_EPM!Q228)</f>
      </c>
      <c r="R239">
        <f>IF(CALC_EPM!$B228="","",CALC_EPM!R228)</f>
      </c>
      <c r="S239">
        <f>IF(CALC_EPM!$B228="","",CALC_EPM!S228)</f>
      </c>
      <c r="T239">
        <f>IF(CALC_EPM!$B228="","",CALC_EPM!T228)</f>
      </c>
      <c r="U239">
        <f>IF(CALC_EPM!$B228="","",CALC_EPM!U228)</f>
      </c>
    </row>
    <row r="240">
      <c r="A240" t="str">
        <f>IF(CALC_EPM!$B229="","",IF(CALC_EPM!A229="GLOBAL",IF(CALC_EPM!C229="Total","GLOBAL",IF(CALC_EPM!C229="TotalEsp","GLOBAL_ESP",IF(CALC_EPM!C229="TotalNoEsp","GLOBAL_NOESP","GLOBAL_ASIG"))),IF(CALC_EPM!C229="Total","CURSO_TOTAL",IF(CALC_EPM!C229="TotalEsp","CURSO_ESP",IF(CALC_EPM!C229="TotalNoEsp","CURSO_NOESP","CURSO_ASIG")))))</f>
      </c>
      <c r="B240" t="str">
        <f>IF(CALC_EPM!$B229="","",CALC_EPM!A229)</f>
      </c>
      <c r="C240" t="str">
        <f>IF(CALC_EPM!$B229="","",CALC_EPM!B229)</f>
      </c>
      <c r="D240">
        <f>IF(CALC_EPM!$B229="","",CALC_EPM!D229)</f>
      </c>
      <c r="E240" s="10" t="str">
        <f>IF(CALC_EPM!$B229="","",CALC_EPM!E229)</f>
      </c>
      <c r="F240" s="10" t="str">
        <f>IF(CALC_EPM!$B229="","",CALC_EPM!F229)</f>
      </c>
      <c r="G240" t="str">
        <f>IF(CALC_EPM!$B229="","",CALC_EPM!G229)</f>
      </c>
      <c r="H240" s="11" t="str">
        <f>IF(CALC_EPM!$B229="","",CALC_EPM!H229)</f>
      </c>
      <c r="I240" s="11" t="str">
        <f>IF(CALC_EPM!$B229="","",CALC_EPM!I229)</f>
      </c>
      <c r="J240" t="str">
        <f>IF(CALC_EPM!$B229="","",CALC_EPM!J229)</f>
      </c>
      <c r="K240" t="str">
        <f>IF(CALC_EPM!$B229="","",CALC_EPM!K229)</f>
      </c>
      <c r="L240">
        <f>IF(CALC_EPM!$B229="","",CALC_EPM!L229)</f>
      </c>
      <c r="M240">
        <f>IF(CALC_EPM!$B229="","",CALC_EPM!M229)</f>
      </c>
      <c r="N240">
        <f>IF(CALC_EPM!$B229="","",CALC_EPM!N229)</f>
      </c>
      <c r="O240">
        <f>IF(CALC_EPM!$B229="","",CALC_EPM!O229)</f>
      </c>
      <c r="P240">
        <f>IF(CALC_EPM!$B229="","",CALC_EPM!P229)</f>
      </c>
      <c r="Q240">
        <f>IF(CALC_EPM!$B229="","",CALC_EPM!Q229)</f>
      </c>
      <c r="R240">
        <f>IF(CALC_EPM!$B229="","",CALC_EPM!R229)</f>
      </c>
      <c r="S240">
        <f>IF(CALC_EPM!$B229="","",CALC_EPM!S229)</f>
      </c>
      <c r="T240">
        <f>IF(CALC_EPM!$B229="","",CALC_EPM!T229)</f>
      </c>
      <c r="U240">
        <f>IF(CALC_EPM!$B229="","",CALC_EPM!U229)</f>
      </c>
    </row>
    <row r="241">
      <c r="A241" t="str">
        <f>IF(CALC_EPM!$B230="","",IF(CALC_EPM!A230="GLOBAL",IF(CALC_EPM!C230="Total","GLOBAL",IF(CALC_EPM!C230="TotalEsp","GLOBAL_ESP",IF(CALC_EPM!C230="TotalNoEsp","GLOBAL_NOESP","GLOBAL_ASIG"))),IF(CALC_EPM!C230="Total","CURSO_TOTAL",IF(CALC_EPM!C230="TotalEsp","CURSO_ESP",IF(CALC_EPM!C230="TotalNoEsp","CURSO_NOESP","CURSO_ASIG")))))</f>
      </c>
      <c r="B241" t="str">
        <f>IF(CALC_EPM!$B230="","",CALC_EPM!A230)</f>
      </c>
      <c r="C241" t="str">
        <f>IF(CALC_EPM!$B230="","",CALC_EPM!B230)</f>
      </c>
      <c r="D241">
        <f>IF(CALC_EPM!$B230="","",CALC_EPM!D230)</f>
      </c>
      <c r="E241" s="10" t="str">
        <f>IF(CALC_EPM!$B230="","",CALC_EPM!E230)</f>
      </c>
      <c r="F241" s="10" t="str">
        <f>IF(CALC_EPM!$B230="","",CALC_EPM!F230)</f>
      </c>
      <c r="G241" t="str">
        <f>IF(CALC_EPM!$B230="","",CALC_EPM!G230)</f>
      </c>
      <c r="H241" s="11" t="str">
        <f>IF(CALC_EPM!$B230="","",CALC_EPM!H230)</f>
      </c>
      <c r="I241" s="11" t="str">
        <f>IF(CALC_EPM!$B230="","",CALC_EPM!I230)</f>
      </c>
      <c r="J241" t="str">
        <f>IF(CALC_EPM!$B230="","",CALC_EPM!J230)</f>
      </c>
      <c r="K241" t="str">
        <f>IF(CALC_EPM!$B230="","",CALC_EPM!K230)</f>
      </c>
      <c r="L241">
        <f>IF(CALC_EPM!$B230="","",CALC_EPM!L230)</f>
      </c>
      <c r="M241">
        <f>IF(CALC_EPM!$B230="","",CALC_EPM!M230)</f>
      </c>
      <c r="N241">
        <f>IF(CALC_EPM!$B230="","",CALC_EPM!N230)</f>
      </c>
      <c r="O241">
        <f>IF(CALC_EPM!$B230="","",CALC_EPM!O230)</f>
      </c>
      <c r="P241">
        <f>IF(CALC_EPM!$B230="","",CALC_EPM!P230)</f>
      </c>
      <c r="Q241">
        <f>IF(CALC_EPM!$B230="","",CALC_EPM!Q230)</f>
      </c>
      <c r="R241">
        <f>IF(CALC_EPM!$B230="","",CALC_EPM!R230)</f>
      </c>
      <c r="S241">
        <f>IF(CALC_EPM!$B230="","",CALC_EPM!S230)</f>
      </c>
      <c r="T241">
        <f>IF(CALC_EPM!$B230="","",CALC_EPM!T230)</f>
      </c>
      <c r="U241">
        <f>IF(CALC_EPM!$B230="","",CALC_EPM!U230)</f>
      </c>
    </row>
    <row r="242">
      <c r="A242" t="str">
        <f>IF(CALC_EPM!$B231="","",IF(CALC_EPM!A231="GLOBAL",IF(CALC_EPM!C231="Total","GLOBAL",IF(CALC_EPM!C231="TotalEsp","GLOBAL_ESP",IF(CALC_EPM!C231="TotalNoEsp","GLOBAL_NOESP","GLOBAL_ASIG"))),IF(CALC_EPM!C231="Total","CURSO_TOTAL",IF(CALC_EPM!C231="TotalEsp","CURSO_ESP",IF(CALC_EPM!C231="TotalNoEsp","CURSO_NOESP","CURSO_ASIG")))))</f>
      </c>
      <c r="B242" t="str">
        <f>IF(CALC_EPM!$B231="","",CALC_EPM!A231)</f>
      </c>
      <c r="C242" t="str">
        <f>IF(CALC_EPM!$B231="","",CALC_EPM!B231)</f>
      </c>
      <c r="D242">
        <f>IF(CALC_EPM!$B231="","",CALC_EPM!D231)</f>
      </c>
      <c r="E242" s="10" t="str">
        <f>IF(CALC_EPM!$B231="","",CALC_EPM!E231)</f>
      </c>
      <c r="F242" s="10" t="str">
        <f>IF(CALC_EPM!$B231="","",CALC_EPM!F231)</f>
      </c>
      <c r="G242" t="str">
        <f>IF(CALC_EPM!$B231="","",CALC_EPM!G231)</f>
      </c>
      <c r="H242" s="11" t="str">
        <f>IF(CALC_EPM!$B231="","",CALC_EPM!H231)</f>
      </c>
      <c r="I242" s="11" t="str">
        <f>IF(CALC_EPM!$B231="","",CALC_EPM!I231)</f>
      </c>
      <c r="J242" t="str">
        <f>IF(CALC_EPM!$B231="","",CALC_EPM!J231)</f>
      </c>
      <c r="K242" t="str">
        <f>IF(CALC_EPM!$B231="","",CALC_EPM!K231)</f>
      </c>
      <c r="L242">
        <f>IF(CALC_EPM!$B231="","",CALC_EPM!L231)</f>
      </c>
      <c r="M242">
        <f>IF(CALC_EPM!$B231="","",CALC_EPM!M231)</f>
      </c>
      <c r="N242">
        <f>IF(CALC_EPM!$B231="","",CALC_EPM!N231)</f>
      </c>
      <c r="O242">
        <f>IF(CALC_EPM!$B231="","",CALC_EPM!O231)</f>
      </c>
      <c r="P242">
        <f>IF(CALC_EPM!$B231="","",CALC_EPM!P231)</f>
      </c>
      <c r="Q242">
        <f>IF(CALC_EPM!$B231="","",CALC_EPM!Q231)</f>
      </c>
      <c r="R242">
        <f>IF(CALC_EPM!$B231="","",CALC_EPM!R231)</f>
      </c>
      <c r="S242">
        <f>IF(CALC_EPM!$B231="","",CALC_EPM!S231)</f>
      </c>
      <c r="T242">
        <f>IF(CALC_EPM!$B231="","",CALC_EPM!T231)</f>
      </c>
      <c r="U242">
        <f>IF(CALC_EPM!$B231="","",CALC_EPM!U231)</f>
      </c>
    </row>
    <row r="243">
      <c r="A243" t="str">
        <f>IF(CALC_EPM!$B232="","",IF(CALC_EPM!A232="GLOBAL",IF(CALC_EPM!C232="Total","GLOBAL",IF(CALC_EPM!C232="TotalEsp","GLOBAL_ESP",IF(CALC_EPM!C232="TotalNoEsp","GLOBAL_NOESP","GLOBAL_ASIG"))),IF(CALC_EPM!C232="Total","CURSO_TOTAL",IF(CALC_EPM!C232="TotalEsp","CURSO_ESP",IF(CALC_EPM!C232="TotalNoEsp","CURSO_NOESP","CURSO_ASIG")))))</f>
      </c>
      <c r="B243" t="str">
        <f>IF(CALC_EPM!$B232="","",CALC_EPM!A232)</f>
      </c>
      <c r="C243" t="str">
        <f>IF(CALC_EPM!$B232="","",CALC_EPM!B232)</f>
      </c>
      <c r="D243">
        <f>IF(CALC_EPM!$B232="","",CALC_EPM!D232)</f>
      </c>
      <c r="E243" s="10" t="str">
        <f>IF(CALC_EPM!$B232="","",CALC_EPM!E232)</f>
      </c>
      <c r="F243" s="10" t="str">
        <f>IF(CALC_EPM!$B232="","",CALC_EPM!F232)</f>
      </c>
      <c r="G243" t="str">
        <f>IF(CALC_EPM!$B232="","",CALC_EPM!G232)</f>
      </c>
      <c r="H243" s="11" t="str">
        <f>IF(CALC_EPM!$B232="","",CALC_EPM!H232)</f>
      </c>
      <c r="I243" s="11" t="str">
        <f>IF(CALC_EPM!$B232="","",CALC_EPM!I232)</f>
      </c>
      <c r="J243" t="str">
        <f>IF(CALC_EPM!$B232="","",CALC_EPM!J232)</f>
      </c>
      <c r="K243" t="str">
        <f>IF(CALC_EPM!$B232="","",CALC_EPM!K232)</f>
      </c>
      <c r="L243">
        <f>IF(CALC_EPM!$B232="","",CALC_EPM!L232)</f>
      </c>
      <c r="M243">
        <f>IF(CALC_EPM!$B232="","",CALC_EPM!M232)</f>
      </c>
      <c r="N243">
        <f>IF(CALC_EPM!$B232="","",CALC_EPM!N232)</f>
      </c>
      <c r="O243">
        <f>IF(CALC_EPM!$B232="","",CALC_EPM!O232)</f>
      </c>
      <c r="P243">
        <f>IF(CALC_EPM!$B232="","",CALC_EPM!P232)</f>
      </c>
      <c r="Q243">
        <f>IF(CALC_EPM!$B232="","",CALC_EPM!Q232)</f>
      </c>
      <c r="R243">
        <f>IF(CALC_EPM!$B232="","",CALC_EPM!R232)</f>
      </c>
      <c r="S243">
        <f>IF(CALC_EPM!$B232="","",CALC_EPM!S232)</f>
      </c>
      <c r="T243">
        <f>IF(CALC_EPM!$B232="","",CALC_EPM!T232)</f>
      </c>
      <c r="U243">
        <f>IF(CALC_EPM!$B232="","",CALC_EPM!U232)</f>
      </c>
    </row>
    <row r="244">
      <c r="A244" t="str">
        <f>IF(CALC_EPM!$B233="","",IF(CALC_EPM!A233="GLOBAL",IF(CALC_EPM!C233="Total","GLOBAL",IF(CALC_EPM!C233="TotalEsp","GLOBAL_ESP",IF(CALC_EPM!C233="TotalNoEsp","GLOBAL_NOESP","GLOBAL_ASIG"))),IF(CALC_EPM!C233="Total","CURSO_TOTAL",IF(CALC_EPM!C233="TotalEsp","CURSO_ESP",IF(CALC_EPM!C233="TotalNoEsp","CURSO_NOESP","CURSO_ASIG")))))</f>
      </c>
      <c r="B244" t="str">
        <f>IF(CALC_EPM!$B233="","",CALC_EPM!A233)</f>
      </c>
      <c r="C244" t="str">
        <f>IF(CALC_EPM!$B233="","",CALC_EPM!B233)</f>
      </c>
      <c r="D244">
        <f>IF(CALC_EPM!$B233="","",CALC_EPM!D233)</f>
      </c>
      <c r="E244" s="10" t="str">
        <f>IF(CALC_EPM!$B233="","",CALC_EPM!E233)</f>
      </c>
      <c r="F244" s="10" t="str">
        <f>IF(CALC_EPM!$B233="","",CALC_EPM!F233)</f>
      </c>
      <c r="G244" t="str">
        <f>IF(CALC_EPM!$B233="","",CALC_EPM!G233)</f>
      </c>
      <c r="H244" s="11" t="str">
        <f>IF(CALC_EPM!$B233="","",CALC_EPM!H233)</f>
      </c>
      <c r="I244" s="11" t="str">
        <f>IF(CALC_EPM!$B233="","",CALC_EPM!I233)</f>
      </c>
      <c r="J244" t="str">
        <f>IF(CALC_EPM!$B233="","",CALC_EPM!J233)</f>
      </c>
      <c r="K244" t="str">
        <f>IF(CALC_EPM!$B233="","",CALC_EPM!K233)</f>
      </c>
      <c r="L244">
        <f>IF(CALC_EPM!$B233="","",CALC_EPM!L233)</f>
      </c>
      <c r="M244">
        <f>IF(CALC_EPM!$B233="","",CALC_EPM!M233)</f>
      </c>
      <c r="N244">
        <f>IF(CALC_EPM!$B233="","",CALC_EPM!N233)</f>
      </c>
      <c r="O244">
        <f>IF(CALC_EPM!$B233="","",CALC_EPM!O233)</f>
      </c>
      <c r="P244">
        <f>IF(CALC_EPM!$B233="","",CALC_EPM!P233)</f>
      </c>
      <c r="Q244">
        <f>IF(CALC_EPM!$B233="","",CALC_EPM!Q233)</f>
      </c>
      <c r="R244">
        <f>IF(CALC_EPM!$B233="","",CALC_EPM!R233)</f>
      </c>
      <c r="S244">
        <f>IF(CALC_EPM!$B233="","",CALC_EPM!S233)</f>
      </c>
      <c r="T244">
        <f>IF(CALC_EPM!$B233="","",CALC_EPM!T233)</f>
      </c>
      <c r="U244">
        <f>IF(CALC_EPM!$B233="","",CALC_EPM!U233)</f>
      </c>
    </row>
    <row r="245">
      <c r="A245" t="str">
        <f>IF(CALC_EPM!$B234="","",IF(CALC_EPM!A234="GLOBAL",IF(CALC_EPM!C234="Total","GLOBAL",IF(CALC_EPM!C234="TotalEsp","GLOBAL_ESP",IF(CALC_EPM!C234="TotalNoEsp","GLOBAL_NOESP","GLOBAL_ASIG"))),IF(CALC_EPM!C234="Total","CURSO_TOTAL",IF(CALC_EPM!C234="TotalEsp","CURSO_ESP",IF(CALC_EPM!C234="TotalNoEsp","CURSO_NOESP","CURSO_ASIG")))))</f>
      </c>
      <c r="B245" t="str">
        <f>IF(CALC_EPM!$B234="","",CALC_EPM!A234)</f>
      </c>
      <c r="C245" t="str">
        <f>IF(CALC_EPM!$B234="","",CALC_EPM!B234)</f>
      </c>
      <c r="D245">
        <f>IF(CALC_EPM!$B234="","",CALC_EPM!D234)</f>
      </c>
      <c r="E245" s="10" t="str">
        <f>IF(CALC_EPM!$B234="","",CALC_EPM!E234)</f>
      </c>
      <c r="F245" s="10" t="str">
        <f>IF(CALC_EPM!$B234="","",CALC_EPM!F234)</f>
      </c>
      <c r="G245" t="str">
        <f>IF(CALC_EPM!$B234="","",CALC_EPM!G234)</f>
      </c>
      <c r="H245" s="11" t="str">
        <f>IF(CALC_EPM!$B234="","",CALC_EPM!H234)</f>
      </c>
      <c r="I245" s="11" t="str">
        <f>IF(CALC_EPM!$B234="","",CALC_EPM!I234)</f>
      </c>
      <c r="J245" t="str">
        <f>IF(CALC_EPM!$B234="","",CALC_EPM!J234)</f>
      </c>
      <c r="K245" t="str">
        <f>IF(CALC_EPM!$B234="","",CALC_EPM!K234)</f>
      </c>
      <c r="L245">
        <f>IF(CALC_EPM!$B234="","",CALC_EPM!L234)</f>
      </c>
      <c r="M245">
        <f>IF(CALC_EPM!$B234="","",CALC_EPM!M234)</f>
      </c>
      <c r="N245">
        <f>IF(CALC_EPM!$B234="","",CALC_EPM!N234)</f>
      </c>
      <c r="O245">
        <f>IF(CALC_EPM!$B234="","",CALC_EPM!O234)</f>
      </c>
      <c r="P245">
        <f>IF(CALC_EPM!$B234="","",CALC_EPM!P234)</f>
      </c>
      <c r="Q245">
        <f>IF(CALC_EPM!$B234="","",CALC_EPM!Q234)</f>
      </c>
      <c r="R245">
        <f>IF(CALC_EPM!$B234="","",CALC_EPM!R234)</f>
      </c>
      <c r="S245">
        <f>IF(CALC_EPM!$B234="","",CALC_EPM!S234)</f>
      </c>
      <c r="T245">
        <f>IF(CALC_EPM!$B234="","",CALC_EPM!T234)</f>
      </c>
      <c r="U245">
        <f>IF(CALC_EPM!$B234="","",CALC_EPM!U234)</f>
      </c>
    </row>
    <row r="246">
      <c r="A246" t="str">
        <f>IF(CALC_EPM!$B235="","",IF(CALC_EPM!A235="GLOBAL",IF(CALC_EPM!C235="Total","GLOBAL",IF(CALC_EPM!C235="TotalEsp","GLOBAL_ESP",IF(CALC_EPM!C235="TotalNoEsp","GLOBAL_NOESP","GLOBAL_ASIG"))),IF(CALC_EPM!C235="Total","CURSO_TOTAL",IF(CALC_EPM!C235="TotalEsp","CURSO_ESP",IF(CALC_EPM!C235="TotalNoEsp","CURSO_NOESP","CURSO_ASIG")))))</f>
      </c>
      <c r="B246" t="str">
        <f>IF(CALC_EPM!$B235="","",CALC_EPM!A235)</f>
      </c>
      <c r="C246" t="str">
        <f>IF(CALC_EPM!$B235="","",CALC_EPM!B235)</f>
      </c>
      <c r="D246">
        <f>IF(CALC_EPM!$B235="","",CALC_EPM!D235)</f>
      </c>
      <c r="E246" s="10" t="str">
        <f>IF(CALC_EPM!$B235="","",CALC_EPM!E235)</f>
      </c>
      <c r="F246" s="10" t="str">
        <f>IF(CALC_EPM!$B235="","",CALC_EPM!F235)</f>
      </c>
      <c r="G246" t="str">
        <f>IF(CALC_EPM!$B235="","",CALC_EPM!G235)</f>
      </c>
      <c r="H246" s="11" t="str">
        <f>IF(CALC_EPM!$B235="","",CALC_EPM!H235)</f>
      </c>
      <c r="I246" s="11" t="str">
        <f>IF(CALC_EPM!$B235="","",CALC_EPM!I235)</f>
      </c>
      <c r="J246" t="str">
        <f>IF(CALC_EPM!$B235="","",CALC_EPM!J235)</f>
      </c>
      <c r="K246" t="str">
        <f>IF(CALC_EPM!$B235="","",CALC_EPM!K235)</f>
      </c>
      <c r="L246">
        <f>IF(CALC_EPM!$B235="","",CALC_EPM!L235)</f>
      </c>
      <c r="M246">
        <f>IF(CALC_EPM!$B235="","",CALC_EPM!M235)</f>
      </c>
      <c r="N246">
        <f>IF(CALC_EPM!$B235="","",CALC_EPM!N235)</f>
      </c>
      <c r="O246">
        <f>IF(CALC_EPM!$B235="","",CALC_EPM!O235)</f>
      </c>
      <c r="P246">
        <f>IF(CALC_EPM!$B235="","",CALC_EPM!P235)</f>
      </c>
      <c r="Q246">
        <f>IF(CALC_EPM!$B235="","",CALC_EPM!Q235)</f>
      </c>
      <c r="R246">
        <f>IF(CALC_EPM!$B235="","",CALC_EPM!R235)</f>
      </c>
      <c r="S246">
        <f>IF(CALC_EPM!$B235="","",CALC_EPM!S235)</f>
      </c>
      <c r="T246">
        <f>IF(CALC_EPM!$B235="","",CALC_EPM!T235)</f>
      </c>
      <c r="U246">
        <f>IF(CALC_EPM!$B235="","",CALC_EPM!U235)</f>
      </c>
    </row>
    <row r="247">
      <c r="A247" t="str">
        <f>IF(CALC_EPM!$B236="","",IF(CALC_EPM!A236="GLOBAL",IF(CALC_EPM!C236="Total","GLOBAL",IF(CALC_EPM!C236="TotalEsp","GLOBAL_ESP",IF(CALC_EPM!C236="TotalNoEsp","GLOBAL_NOESP","GLOBAL_ASIG"))),IF(CALC_EPM!C236="Total","CURSO_TOTAL",IF(CALC_EPM!C236="TotalEsp","CURSO_ESP",IF(CALC_EPM!C236="TotalNoEsp","CURSO_NOESP","CURSO_ASIG")))))</f>
      </c>
      <c r="B247" t="str">
        <f>IF(CALC_EPM!$B236="","",CALC_EPM!A236)</f>
      </c>
      <c r="C247" t="str">
        <f>IF(CALC_EPM!$B236="","",CALC_EPM!B236)</f>
      </c>
      <c r="D247">
        <f>IF(CALC_EPM!$B236="","",CALC_EPM!D236)</f>
      </c>
      <c r="E247" s="10" t="str">
        <f>IF(CALC_EPM!$B236="","",CALC_EPM!E236)</f>
      </c>
      <c r="F247" s="10" t="str">
        <f>IF(CALC_EPM!$B236="","",CALC_EPM!F236)</f>
      </c>
      <c r="G247" t="str">
        <f>IF(CALC_EPM!$B236="","",CALC_EPM!G236)</f>
      </c>
      <c r="H247" s="11" t="str">
        <f>IF(CALC_EPM!$B236="","",CALC_EPM!H236)</f>
      </c>
      <c r="I247" s="11" t="str">
        <f>IF(CALC_EPM!$B236="","",CALC_EPM!I236)</f>
      </c>
      <c r="J247" t="str">
        <f>IF(CALC_EPM!$B236="","",CALC_EPM!J236)</f>
      </c>
      <c r="K247" t="str">
        <f>IF(CALC_EPM!$B236="","",CALC_EPM!K236)</f>
      </c>
      <c r="L247">
        <f>IF(CALC_EPM!$B236="","",CALC_EPM!L236)</f>
      </c>
      <c r="M247">
        <f>IF(CALC_EPM!$B236="","",CALC_EPM!M236)</f>
      </c>
      <c r="N247">
        <f>IF(CALC_EPM!$B236="","",CALC_EPM!N236)</f>
      </c>
      <c r="O247">
        <f>IF(CALC_EPM!$B236="","",CALC_EPM!O236)</f>
      </c>
      <c r="P247">
        <f>IF(CALC_EPM!$B236="","",CALC_EPM!P236)</f>
      </c>
      <c r="Q247">
        <f>IF(CALC_EPM!$B236="","",CALC_EPM!Q236)</f>
      </c>
      <c r="R247">
        <f>IF(CALC_EPM!$B236="","",CALC_EPM!R236)</f>
      </c>
      <c r="S247">
        <f>IF(CALC_EPM!$B236="","",CALC_EPM!S236)</f>
      </c>
      <c r="T247">
        <f>IF(CALC_EPM!$B236="","",CALC_EPM!T236)</f>
      </c>
      <c r="U247">
        <f>IF(CALC_EPM!$B236="","",CALC_EPM!U236)</f>
      </c>
    </row>
    <row r="248">
      <c r="A248" t="str">
        <f>IF(CALC_EPM!$B237="","",IF(CALC_EPM!A237="GLOBAL",IF(CALC_EPM!C237="Total","GLOBAL",IF(CALC_EPM!C237="TotalEsp","GLOBAL_ESP",IF(CALC_EPM!C237="TotalNoEsp","GLOBAL_NOESP","GLOBAL_ASIG"))),IF(CALC_EPM!C237="Total","CURSO_TOTAL",IF(CALC_EPM!C237="TotalEsp","CURSO_ESP",IF(CALC_EPM!C237="TotalNoEsp","CURSO_NOESP","CURSO_ASIG")))))</f>
      </c>
      <c r="B248" t="str">
        <f>IF(CALC_EPM!$B237="","",CALC_EPM!A237)</f>
      </c>
      <c r="C248" t="str">
        <f>IF(CALC_EPM!$B237="","",CALC_EPM!B237)</f>
      </c>
      <c r="D248">
        <f>IF(CALC_EPM!$B237="","",CALC_EPM!D237)</f>
      </c>
      <c r="E248" s="10" t="str">
        <f>IF(CALC_EPM!$B237="","",CALC_EPM!E237)</f>
      </c>
      <c r="F248" s="10" t="str">
        <f>IF(CALC_EPM!$B237="","",CALC_EPM!F237)</f>
      </c>
      <c r="G248" t="str">
        <f>IF(CALC_EPM!$B237="","",CALC_EPM!G237)</f>
      </c>
      <c r="H248" s="11" t="str">
        <f>IF(CALC_EPM!$B237="","",CALC_EPM!H237)</f>
      </c>
      <c r="I248" s="11" t="str">
        <f>IF(CALC_EPM!$B237="","",CALC_EPM!I237)</f>
      </c>
      <c r="J248" t="str">
        <f>IF(CALC_EPM!$B237="","",CALC_EPM!J237)</f>
      </c>
      <c r="K248" t="str">
        <f>IF(CALC_EPM!$B237="","",CALC_EPM!K237)</f>
      </c>
      <c r="L248">
        <f>IF(CALC_EPM!$B237="","",CALC_EPM!L237)</f>
      </c>
      <c r="M248">
        <f>IF(CALC_EPM!$B237="","",CALC_EPM!M237)</f>
      </c>
      <c r="N248">
        <f>IF(CALC_EPM!$B237="","",CALC_EPM!N237)</f>
      </c>
      <c r="O248">
        <f>IF(CALC_EPM!$B237="","",CALC_EPM!O237)</f>
      </c>
      <c r="P248">
        <f>IF(CALC_EPM!$B237="","",CALC_EPM!P237)</f>
      </c>
      <c r="Q248">
        <f>IF(CALC_EPM!$B237="","",CALC_EPM!Q237)</f>
      </c>
      <c r="R248">
        <f>IF(CALC_EPM!$B237="","",CALC_EPM!R237)</f>
      </c>
      <c r="S248">
        <f>IF(CALC_EPM!$B237="","",CALC_EPM!S237)</f>
      </c>
      <c r="T248">
        <f>IF(CALC_EPM!$B237="","",CALC_EPM!T237)</f>
      </c>
      <c r="U248">
        <f>IF(CALC_EPM!$B237="","",CALC_EPM!U237)</f>
      </c>
    </row>
    <row r="249">
      <c r="A249" t="str">
        <f>IF(CALC_EPM!$B238="","",IF(CALC_EPM!A238="GLOBAL",IF(CALC_EPM!C238="Total","GLOBAL",IF(CALC_EPM!C238="TotalEsp","GLOBAL_ESP",IF(CALC_EPM!C238="TotalNoEsp","GLOBAL_NOESP","GLOBAL_ASIG"))),IF(CALC_EPM!C238="Total","CURSO_TOTAL",IF(CALC_EPM!C238="TotalEsp","CURSO_ESP",IF(CALC_EPM!C238="TotalNoEsp","CURSO_NOESP","CURSO_ASIG")))))</f>
      </c>
      <c r="B249" t="str">
        <f>IF(CALC_EPM!$B238="","",CALC_EPM!A238)</f>
      </c>
      <c r="C249" t="str">
        <f>IF(CALC_EPM!$B238="","",CALC_EPM!B238)</f>
      </c>
      <c r="D249">
        <f>IF(CALC_EPM!$B238="","",CALC_EPM!D238)</f>
      </c>
      <c r="E249" s="10" t="str">
        <f>IF(CALC_EPM!$B238="","",CALC_EPM!E238)</f>
      </c>
      <c r="F249" s="10" t="str">
        <f>IF(CALC_EPM!$B238="","",CALC_EPM!F238)</f>
      </c>
      <c r="G249" t="str">
        <f>IF(CALC_EPM!$B238="","",CALC_EPM!G238)</f>
      </c>
      <c r="H249" s="11" t="str">
        <f>IF(CALC_EPM!$B238="","",CALC_EPM!H238)</f>
      </c>
      <c r="I249" s="11" t="str">
        <f>IF(CALC_EPM!$B238="","",CALC_EPM!I238)</f>
      </c>
      <c r="J249" t="str">
        <f>IF(CALC_EPM!$B238="","",CALC_EPM!J238)</f>
      </c>
      <c r="K249" t="str">
        <f>IF(CALC_EPM!$B238="","",CALC_EPM!K238)</f>
      </c>
      <c r="L249">
        <f>IF(CALC_EPM!$B238="","",CALC_EPM!L238)</f>
      </c>
      <c r="M249">
        <f>IF(CALC_EPM!$B238="","",CALC_EPM!M238)</f>
      </c>
      <c r="N249">
        <f>IF(CALC_EPM!$B238="","",CALC_EPM!N238)</f>
      </c>
      <c r="O249">
        <f>IF(CALC_EPM!$B238="","",CALC_EPM!O238)</f>
      </c>
      <c r="P249">
        <f>IF(CALC_EPM!$B238="","",CALC_EPM!P238)</f>
      </c>
      <c r="Q249">
        <f>IF(CALC_EPM!$B238="","",CALC_EPM!Q238)</f>
      </c>
      <c r="R249">
        <f>IF(CALC_EPM!$B238="","",CALC_EPM!R238)</f>
      </c>
      <c r="S249">
        <f>IF(CALC_EPM!$B238="","",CALC_EPM!S238)</f>
      </c>
      <c r="T249">
        <f>IF(CALC_EPM!$B238="","",CALC_EPM!T238)</f>
      </c>
      <c r="U249">
        <f>IF(CALC_EPM!$B238="","",CALC_EPM!U238)</f>
      </c>
    </row>
    <row r="250">
      <c r="A250" t="str">
        <f>IF(CALC_EPM!$B239="","",IF(CALC_EPM!A239="GLOBAL",IF(CALC_EPM!C239="Total","GLOBAL",IF(CALC_EPM!C239="TotalEsp","GLOBAL_ESP",IF(CALC_EPM!C239="TotalNoEsp","GLOBAL_NOESP","GLOBAL_ASIG"))),IF(CALC_EPM!C239="Total","CURSO_TOTAL",IF(CALC_EPM!C239="TotalEsp","CURSO_ESP",IF(CALC_EPM!C239="TotalNoEsp","CURSO_NOESP","CURSO_ASIG")))))</f>
      </c>
      <c r="B250" t="str">
        <f>IF(CALC_EPM!$B239="","",CALC_EPM!A239)</f>
      </c>
      <c r="C250" t="str">
        <f>IF(CALC_EPM!$B239="","",CALC_EPM!B239)</f>
      </c>
      <c r="D250">
        <f>IF(CALC_EPM!$B239="","",CALC_EPM!D239)</f>
      </c>
      <c r="E250" s="10" t="str">
        <f>IF(CALC_EPM!$B239="","",CALC_EPM!E239)</f>
      </c>
      <c r="F250" s="10" t="str">
        <f>IF(CALC_EPM!$B239="","",CALC_EPM!F239)</f>
      </c>
      <c r="G250" t="str">
        <f>IF(CALC_EPM!$B239="","",CALC_EPM!G239)</f>
      </c>
      <c r="H250" s="11" t="str">
        <f>IF(CALC_EPM!$B239="","",CALC_EPM!H239)</f>
      </c>
      <c r="I250" s="11" t="str">
        <f>IF(CALC_EPM!$B239="","",CALC_EPM!I239)</f>
      </c>
      <c r="J250" t="str">
        <f>IF(CALC_EPM!$B239="","",CALC_EPM!J239)</f>
      </c>
      <c r="K250" t="str">
        <f>IF(CALC_EPM!$B239="","",CALC_EPM!K239)</f>
      </c>
      <c r="L250">
        <f>IF(CALC_EPM!$B239="","",CALC_EPM!L239)</f>
      </c>
      <c r="M250">
        <f>IF(CALC_EPM!$B239="","",CALC_EPM!M239)</f>
      </c>
      <c r="N250">
        <f>IF(CALC_EPM!$B239="","",CALC_EPM!N239)</f>
      </c>
      <c r="O250">
        <f>IF(CALC_EPM!$B239="","",CALC_EPM!O239)</f>
      </c>
      <c r="P250">
        <f>IF(CALC_EPM!$B239="","",CALC_EPM!P239)</f>
      </c>
      <c r="Q250">
        <f>IF(CALC_EPM!$B239="","",CALC_EPM!Q239)</f>
      </c>
      <c r="R250">
        <f>IF(CALC_EPM!$B239="","",CALC_EPM!R239)</f>
      </c>
      <c r="S250">
        <f>IF(CALC_EPM!$B239="","",CALC_EPM!S239)</f>
      </c>
      <c r="T250">
        <f>IF(CALC_EPM!$B239="","",CALC_EPM!T239)</f>
      </c>
      <c r="U250">
        <f>IF(CALC_EPM!$B239="","",CALC_EPM!U239)</f>
      </c>
    </row>
    <row r="251">
      <c r="A251" t="str">
        <f>IF(CALC_EPM!$B240="","",IF(CALC_EPM!A240="GLOBAL",IF(CALC_EPM!C240="Total","GLOBAL",IF(CALC_EPM!C240="TotalEsp","GLOBAL_ESP",IF(CALC_EPM!C240="TotalNoEsp","GLOBAL_NOESP","GLOBAL_ASIG"))),IF(CALC_EPM!C240="Total","CURSO_TOTAL",IF(CALC_EPM!C240="TotalEsp","CURSO_ESP",IF(CALC_EPM!C240="TotalNoEsp","CURSO_NOESP","CURSO_ASIG")))))</f>
      </c>
      <c r="B251" t="str">
        <f>IF(CALC_EPM!$B240="","",CALC_EPM!A240)</f>
      </c>
      <c r="C251" t="str">
        <f>IF(CALC_EPM!$B240="","",CALC_EPM!B240)</f>
      </c>
      <c r="D251">
        <f>IF(CALC_EPM!$B240="","",CALC_EPM!D240)</f>
      </c>
      <c r="E251" s="10" t="str">
        <f>IF(CALC_EPM!$B240="","",CALC_EPM!E240)</f>
      </c>
      <c r="F251" s="10" t="str">
        <f>IF(CALC_EPM!$B240="","",CALC_EPM!F240)</f>
      </c>
      <c r="G251" t="str">
        <f>IF(CALC_EPM!$B240="","",CALC_EPM!G240)</f>
      </c>
      <c r="H251" s="11" t="str">
        <f>IF(CALC_EPM!$B240="","",CALC_EPM!H240)</f>
      </c>
      <c r="I251" s="11" t="str">
        <f>IF(CALC_EPM!$B240="","",CALC_EPM!I240)</f>
      </c>
      <c r="J251" t="str">
        <f>IF(CALC_EPM!$B240="","",CALC_EPM!J240)</f>
      </c>
      <c r="K251" t="str">
        <f>IF(CALC_EPM!$B240="","",CALC_EPM!K240)</f>
      </c>
      <c r="L251">
        <f>IF(CALC_EPM!$B240="","",CALC_EPM!L240)</f>
      </c>
      <c r="M251">
        <f>IF(CALC_EPM!$B240="","",CALC_EPM!M240)</f>
      </c>
      <c r="N251">
        <f>IF(CALC_EPM!$B240="","",CALC_EPM!N240)</f>
      </c>
      <c r="O251">
        <f>IF(CALC_EPM!$B240="","",CALC_EPM!O240)</f>
      </c>
      <c r="P251">
        <f>IF(CALC_EPM!$B240="","",CALC_EPM!P240)</f>
      </c>
      <c r="Q251">
        <f>IF(CALC_EPM!$B240="","",CALC_EPM!Q240)</f>
      </c>
      <c r="R251">
        <f>IF(CALC_EPM!$B240="","",CALC_EPM!R240)</f>
      </c>
      <c r="S251">
        <f>IF(CALC_EPM!$B240="","",CALC_EPM!S240)</f>
      </c>
      <c r="T251">
        <f>IF(CALC_EPM!$B240="","",CALC_EPM!T240)</f>
      </c>
      <c r="U251">
        <f>IF(CALC_EPM!$B240="","",CALC_EPM!U240)</f>
      </c>
    </row>
    <row r="252">
      <c r="A252" t="str">
        <f>IF(CALC_EPM!$B241="","",IF(CALC_EPM!A241="GLOBAL",IF(CALC_EPM!C241="Total","GLOBAL",IF(CALC_EPM!C241="TotalEsp","GLOBAL_ESP",IF(CALC_EPM!C241="TotalNoEsp","GLOBAL_NOESP","GLOBAL_ASIG"))),IF(CALC_EPM!C241="Total","CURSO_TOTAL",IF(CALC_EPM!C241="TotalEsp","CURSO_ESP",IF(CALC_EPM!C241="TotalNoEsp","CURSO_NOESP","CURSO_ASIG")))))</f>
      </c>
      <c r="B252" t="str">
        <f>IF(CALC_EPM!$B241="","",CALC_EPM!A241)</f>
      </c>
      <c r="C252" t="str">
        <f>IF(CALC_EPM!$B241="","",CALC_EPM!B241)</f>
      </c>
      <c r="D252">
        <f>IF(CALC_EPM!$B241="","",CALC_EPM!D241)</f>
      </c>
      <c r="E252" s="10" t="str">
        <f>IF(CALC_EPM!$B241="","",CALC_EPM!E241)</f>
      </c>
      <c r="F252" s="10" t="str">
        <f>IF(CALC_EPM!$B241="","",CALC_EPM!F241)</f>
      </c>
      <c r="G252" t="str">
        <f>IF(CALC_EPM!$B241="","",CALC_EPM!G241)</f>
      </c>
      <c r="H252" s="11" t="str">
        <f>IF(CALC_EPM!$B241="","",CALC_EPM!H241)</f>
      </c>
      <c r="I252" s="11" t="str">
        <f>IF(CALC_EPM!$B241="","",CALC_EPM!I241)</f>
      </c>
      <c r="J252" t="str">
        <f>IF(CALC_EPM!$B241="","",CALC_EPM!J241)</f>
      </c>
      <c r="K252" t="str">
        <f>IF(CALC_EPM!$B241="","",CALC_EPM!K241)</f>
      </c>
      <c r="L252">
        <f>IF(CALC_EPM!$B241="","",CALC_EPM!L241)</f>
      </c>
      <c r="M252">
        <f>IF(CALC_EPM!$B241="","",CALC_EPM!M241)</f>
      </c>
      <c r="N252">
        <f>IF(CALC_EPM!$B241="","",CALC_EPM!N241)</f>
      </c>
      <c r="O252">
        <f>IF(CALC_EPM!$B241="","",CALC_EPM!O241)</f>
      </c>
      <c r="P252">
        <f>IF(CALC_EPM!$B241="","",CALC_EPM!P241)</f>
      </c>
      <c r="Q252">
        <f>IF(CALC_EPM!$B241="","",CALC_EPM!Q241)</f>
      </c>
      <c r="R252">
        <f>IF(CALC_EPM!$B241="","",CALC_EPM!R241)</f>
      </c>
      <c r="S252">
        <f>IF(CALC_EPM!$B241="","",CALC_EPM!S241)</f>
      </c>
      <c r="T252">
        <f>IF(CALC_EPM!$B241="","",CALC_EPM!T241)</f>
      </c>
      <c r="U252">
        <f>IF(CALC_EPM!$B241="","",CALC_EPM!U241)</f>
      </c>
    </row>
    <row r="253">
      <c r="A253" t="str">
        <f>IF(CALC_EPM!$B242="","",IF(CALC_EPM!A242="GLOBAL",IF(CALC_EPM!C242="Total","GLOBAL",IF(CALC_EPM!C242="TotalEsp","GLOBAL_ESP",IF(CALC_EPM!C242="TotalNoEsp","GLOBAL_NOESP","GLOBAL_ASIG"))),IF(CALC_EPM!C242="Total","CURSO_TOTAL",IF(CALC_EPM!C242="TotalEsp","CURSO_ESP",IF(CALC_EPM!C242="TotalNoEsp","CURSO_NOESP","CURSO_ASIG")))))</f>
      </c>
      <c r="B253" t="str">
        <f>IF(CALC_EPM!$B242="","",CALC_EPM!A242)</f>
      </c>
      <c r="C253" t="str">
        <f>IF(CALC_EPM!$B242="","",CALC_EPM!B242)</f>
      </c>
      <c r="D253">
        <f>IF(CALC_EPM!$B242="","",CALC_EPM!D242)</f>
      </c>
      <c r="E253" s="10" t="str">
        <f>IF(CALC_EPM!$B242="","",CALC_EPM!E242)</f>
      </c>
      <c r="F253" s="10" t="str">
        <f>IF(CALC_EPM!$B242="","",CALC_EPM!F242)</f>
      </c>
      <c r="G253" t="str">
        <f>IF(CALC_EPM!$B242="","",CALC_EPM!G242)</f>
      </c>
      <c r="H253" s="11" t="str">
        <f>IF(CALC_EPM!$B242="","",CALC_EPM!H242)</f>
      </c>
      <c r="I253" s="11" t="str">
        <f>IF(CALC_EPM!$B242="","",CALC_EPM!I242)</f>
      </c>
      <c r="J253" t="str">
        <f>IF(CALC_EPM!$B242="","",CALC_EPM!J242)</f>
      </c>
      <c r="K253" t="str">
        <f>IF(CALC_EPM!$B242="","",CALC_EPM!K242)</f>
      </c>
      <c r="L253">
        <f>IF(CALC_EPM!$B242="","",CALC_EPM!L242)</f>
      </c>
      <c r="M253">
        <f>IF(CALC_EPM!$B242="","",CALC_EPM!M242)</f>
      </c>
      <c r="N253">
        <f>IF(CALC_EPM!$B242="","",CALC_EPM!N242)</f>
      </c>
      <c r="O253">
        <f>IF(CALC_EPM!$B242="","",CALC_EPM!O242)</f>
      </c>
      <c r="P253">
        <f>IF(CALC_EPM!$B242="","",CALC_EPM!P242)</f>
      </c>
      <c r="Q253">
        <f>IF(CALC_EPM!$B242="","",CALC_EPM!Q242)</f>
      </c>
      <c r="R253">
        <f>IF(CALC_EPM!$B242="","",CALC_EPM!R242)</f>
      </c>
      <c r="S253">
        <f>IF(CALC_EPM!$B242="","",CALC_EPM!S242)</f>
      </c>
      <c r="T253">
        <f>IF(CALC_EPM!$B242="","",CALC_EPM!T242)</f>
      </c>
      <c r="U253">
        <f>IF(CALC_EPM!$B242="","",CALC_EPM!U242)</f>
      </c>
    </row>
    <row r="254">
      <c r="A254" t="str">
        <f>IF(CALC_EPM!$B243="","",IF(CALC_EPM!A243="GLOBAL",IF(CALC_EPM!C243="Total","GLOBAL",IF(CALC_EPM!C243="TotalEsp","GLOBAL_ESP",IF(CALC_EPM!C243="TotalNoEsp","GLOBAL_NOESP","GLOBAL_ASIG"))),IF(CALC_EPM!C243="Total","CURSO_TOTAL",IF(CALC_EPM!C243="TotalEsp","CURSO_ESP",IF(CALC_EPM!C243="TotalNoEsp","CURSO_NOESP","CURSO_ASIG")))))</f>
      </c>
      <c r="B254" t="str">
        <f>IF(CALC_EPM!$B243="","",CALC_EPM!A243)</f>
      </c>
      <c r="C254" t="str">
        <f>IF(CALC_EPM!$B243="","",CALC_EPM!B243)</f>
      </c>
      <c r="D254">
        <f>IF(CALC_EPM!$B243="","",CALC_EPM!D243)</f>
      </c>
      <c r="E254" s="10" t="str">
        <f>IF(CALC_EPM!$B243="","",CALC_EPM!E243)</f>
      </c>
      <c r="F254" s="10" t="str">
        <f>IF(CALC_EPM!$B243="","",CALC_EPM!F243)</f>
      </c>
      <c r="G254" t="str">
        <f>IF(CALC_EPM!$B243="","",CALC_EPM!G243)</f>
      </c>
      <c r="H254" s="11" t="str">
        <f>IF(CALC_EPM!$B243="","",CALC_EPM!H243)</f>
      </c>
      <c r="I254" s="11" t="str">
        <f>IF(CALC_EPM!$B243="","",CALC_EPM!I243)</f>
      </c>
      <c r="J254" t="str">
        <f>IF(CALC_EPM!$B243="","",CALC_EPM!J243)</f>
      </c>
      <c r="K254" t="str">
        <f>IF(CALC_EPM!$B243="","",CALC_EPM!K243)</f>
      </c>
      <c r="L254">
        <f>IF(CALC_EPM!$B243="","",CALC_EPM!L243)</f>
      </c>
      <c r="M254">
        <f>IF(CALC_EPM!$B243="","",CALC_EPM!M243)</f>
      </c>
      <c r="N254">
        <f>IF(CALC_EPM!$B243="","",CALC_EPM!N243)</f>
      </c>
      <c r="O254">
        <f>IF(CALC_EPM!$B243="","",CALC_EPM!O243)</f>
      </c>
      <c r="P254">
        <f>IF(CALC_EPM!$B243="","",CALC_EPM!P243)</f>
      </c>
      <c r="Q254">
        <f>IF(CALC_EPM!$B243="","",CALC_EPM!Q243)</f>
      </c>
      <c r="R254">
        <f>IF(CALC_EPM!$B243="","",CALC_EPM!R243)</f>
      </c>
      <c r="S254">
        <f>IF(CALC_EPM!$B243="","",CALC_EPM!S243)</f>
      </c>
      <c r="T254">
        <f>IF(CALC_EPM!$B243="","",CALC_EPM!T243)</f>
      </c>
      <c r="U254">
        <f>IF(CALC_EPM!$B243="","",CALC_EPM!U243)</f>
      </c>
    </row>
    <row r="255">
      <c r="A255" t="str">
        <f>IF(CALC_EPM!$B244="","",IF(CALC_EPM!A244="GLOBAL",IF(CALC_EPM!C244="Total","GLOBAL",IF(CALC_EPM!C244="TotalEsp","GLOBAL_ESP",IF(CALC_EPM!C244="TotalNoEsp","GLOBAL_NOESP","GLOBAL_ASIG"))),IF(CALC_EPM!C244="Total","CURSO_TOTAL",IF(CALC_EPM!C244="TotalEsp","CURSO_ESP",IF(CALC_EPM!C244="TotalNoEsp","CURSO_NOESP","CURSO_ASIG")))))</f>
      </c>
      <c r="B255" t="str">
        <f>IF(CALC_EPM!$B244="","",CALC_EPM!A244)</f>
      </c>
      <c r="C255" t="str">
        <f>IF(CALC_EPM!$B244="","",CALC_EPM!B244)</f>
      </c>
      <c r="D255">
        <f>IF(CALC_EPM!$B244="","",CALC_EPM!D244)</f>
      </c>
      <c r="E255" s="10" t="str">
        <f>IF(CALC_EPM!$B244="","",CALC_EPM!E244)</f>
      </c>
      <c r="F255" s="10" t="str">
        <f>IF(CALC_EPM!$B244="","",CALC_EPM!F244)</f>
      </c>
      <c r="G255" t="str">
        <f>IF(CALC_EPM!$B244="","",CALC_EPM!G244)</f>
      </c>
      <c r="H255" s="11" t="str">
        <f>IF(CALC_EPM!$B244="","",CALC_EPM!H244)</f>
      </c>
      <c r="I255" s="11" t="str">
        <f>IF(CALC_EPM!$B244="","",CALC_EPM!I244)</f>
      </c>
      <c r="J255" t="str">
        <f>IF(CALC_EPM!$B244="","",CALC_EPM!J244)</f>
      </c>
      <c r="K255" t="str">
        <f>IF(CALC_EPM!$B244="","",CALC_EPM!K244)</f>
      </c>
      <c r="L255">
        <f>IF(CALC_EPM!$B244="","",CALC_EPM!L244)</f>
      </c>
      <c r="M255">
        <f>IF(CALC_EPM!$B244="","",CALC_EPM!M244)</f>
      </c>
      <c r="N255">
        <f>IF(CALC_EPM!$B244="","",CALC_EPM!N244)</f>
      </c>
      <c r="O255">
        <f>IF(CALC_EPM!$B244="","",CALC_EPM!O244)</f>
      </c>
      <c r="P255">
        <f>IF(CALC_EPM!$B244="","",CALC_EPM!P244)</f>
      </c>
      <c r="Q255">
        <f>IF(CALC_EPM!$B244="","",CALC_EPM!Q244)</f>
      </c>
      <c r="R255">
        <f>IF(CALC_EPM!$B244="","",CALC_EPM!R244)</f>
      </c>
      <c r="S255">
        <f>IF(CALC_EPM!$B244="","",CALC_EPM!S244)</f>
      </c>
      <c r="T255">
        <f>IF(CALC_EPM!$B244="","",CALC_EPM!T244)</f>
      </c>
      <c r="U255">
        <f>IF(CALC_EPM!$B244="","",CALC_EPM!U244)</f>
      </c>
    </row>
    <row r="256">
      <c r="A256" t="str">
        <f>IF(CALC_EPM!$B245="","",IF(CALC_EPM!A245="GLOBAL",IF(CALC_EPM!C245="Total","GLOBAL",IF(CALC_EPM!C245="TotalEsp","GLOBAL_ESP",IF(CALC_EPM!C245="TotalNoEsp","GLOBAL_NOESP","GLOBAL_ASIG"))),IF(CALC_EPM!C245="Total","CURSO_TOTAL",IF(CALC_EPM!C245="TotalEsp","CURSO_ESP",IF(CALC_EPM!C245="TotalNoEsp","CURSO_NOESP","CURSO_ASIG")))))</f>
      </c>
      <c r="B256" t="str">
        <f>IF(CALC_EPM!$B245="","",CALC_EPM!A245)</f>
      </c>
      <c r="C256" t="str">
        <f>IF(CALC_EPM!$B245="","",CALC_EPM!B245)</f>
      </c>
      <c r="D256">
        <f>IF(CALC_EPM!$B245="","",CALC_EPM!D245)</f>
      </c>
      <c r="E256" s="10" t="str">
        <f>IF(CALC_EPM!$B245="","",CALC_EPM!E245)</f>
      </c>
      <c r="F256" s="10" t="str">
        <f>IF(CALC_EPM!$B245="","",CALC_EPM!F245)</f>
      </c>
      <c r="G256" t="str">
        <f>IF(CALC_EPM!$B245="","",CALC_EPM!G245)</f>
      </c>
      <c r="H256" s="11" t="str">
        <f>IF(CALC_EPM!$B245="","",CALC_EPM!H245)</f>
      </c>
      <c r="I256" s="11" t="str">
        <f>IF(CALC_EPM!$B245="","",CALC_EPM!I245)</f>
      </c>
      <c r="J256" t="str">
        <f>IF(CALC_EPM!$B245="","",CALC_EPM!J245)</f>
      </c>
      <c r="K256" t="str">
        <f>IF(CALC_EPM!$B245="","",CALC_EPM!K245)</f>
      </c>
      <c r="L256">
        <f>IF(CALC_EPM!$B245="","",CALC_EPM!L245)</f>
      </c>
      <c r="M256">
        <f>IF(CALC_EPM!$B245="","",CALC_EPM!M245)</f>
      </c>
      <c r="N256">
        <f>IF(CALC_EPM!$B245="","",CALC_EPM!N245)</f>
      </c>
      <c r="O256">
        <f>IF(CALC_EPM!$B245="","",CALC_EPM!O245)</f>
      </c>
      <c r="P256">
        <f>IF(CALC_EPM!$B245="","",CALC_EPM!P245)</f>
      </c>
      <c r="Q256">
        <f>IF(CALC_EPM!$B245="","",CALC_EPM!Q245)</f>
      </c>
      <c r="R256">
        <f>IF(CALC_EPM!$B245="","",CALC_EPM!R245)</f>
      </c>
      <c r="S256">
        <f>IF(CALC_EPM!$B245="","",CALC_EPM!S245)</f>
      </c>
      <c r="T256">
        <f>IF(CALC_EPM!$B245="","",CALC_EPM!T245)</f>
      </c>
      <c r="U256">
        <f>IF(CALC_EPM!$B245="","",CALC_EPM!U245)</f>
      </c>
    </row>
    <row r="257">
      <c r="A257" t="str">
        <f>IF(CALC_EPM!$B246="","",IF(CALC_EPM!A246="GLOBAL",IF(CALC_EPM!C246="Total","GLOBAL",IF(CALC_EPM!C246="TotalEsp","GLOBAL_ESP",IF(CALC_EPM!C246="TotalNoEsp","GLOBAL_NOESP","GLOBAL_ASIG"))),IF(CALC_EPM!C246="Total","CURSO_TOTAL",IF(CALC_EPM!C246="TotalEsp","CURSO_ESP",IF(CALC_EPM!C246="TotalNoEsp","CURSO_NOESP","CURSO_ASIG")))))</f>
      </c>
      <c r="B257" t="str">
        <f>IF(CALC_EPM!$B246="","",CALC_EPM!A246)</f>
      </c>
      <c r="C257" t="str">
        <f>IF(CALC_EPM!$B246="","",CALC_EPM!B246)</f>
      </c>
      <c r="D257">
        <f>IF(CALC_EPM!$B246="","",CALC_EPM!D246)</f>
      </c>
      <c r="E257" s="10" t="str">
        <f>IF(CALC_EPM!$B246="","",CALC_EPM!E246)</f>
      </c>
      <c r="F257" s="10" t="str">
        <f>IF(CALC_EPM!$B246="","",CALC_EPM!F246)</f>
      </c>
      <c r="G257" t="str">
        <f>IF(CALC_EPM!$B246="","",CALC_EPM!G246)</f>
      </c>
      <c r="H257" s="11" t="str">
        <f>IF(CALC_EPM!$B246="","",CALC_EPM!H246)</f>
      </c>
      <c r="I257" s="11" t="str">
        <f>IF(CALC_EPM!$B246="","",CALC_EPM!I246)</f>
      </c>
      <c r="J257" t="str">
        <f>IF(CALC_EPM!$B246="","",CALC_EPM!J246)</f>
      </c>
      <c r="K257" t="str">
        <f>IF(CALC_EPM!$B246="","",CALC_EPM!K246)</f>
      </c>
      <c r="L257">
        <f>IF(CALC_EPM!$B246="","",CALC_EPM!L246)</f>
      </c>
      <c r="M257">
        <f>IF(CALC_EPM!$B246="","",CALC_EPM!M246)</f>
      </c>
      <c r="N257">
        <f>IF(CALC_EPM!$B246="","",CALC_EPM!N246)</f>
      </c>
      <c r="O257">
        <f>IF(CALC_EPM!$B246="","",CALC_EPM!O246)</f>
      </c>
      <c r="P257">
        <f>IF(CALC_EPM!$B246="","",CALC_EPM!P246)</f>
      </c>
      <c r="Q257">
        <f>IF(CALC_EPM!$B246="","",CALC_EPM!Q246)</f>
      </c>
      <c r="R257">
        <f>IF(CALC_EPM!$B246="","",CALC_EPM!R246)</f>
      </c>
      <c r="S257">
        <f>IF(CALC_EPM!$B246="","",CALC_EPM!S246)</f>
      </c>
      <c r="T257">
        <f>IF(CALC_EPM!$B246="","",CALC_EPM!T246)</f>
      </c>
      <c r="U257">
        <f>IF(CALC_EPM!$B246="","",CALC_EPM!U246)</f>
      </c>
    </row>
    <row r="258">
      <c r="A258" t="str">
        <f>IF(CALC_EPM!$B247="","",IF(CALC_EPM!A247="GLOBAL",IF(CALC_EPM!C247="Total","GLOBAL",IF(CALC_EPM!C247="TotalEsp","GLOBAL_ESP",IF(CALC_EPM!C247="TotalNoEsp","GLOBAL_NOESP","GLOBAL_ASIG"))),IF(CALC_EPM!C247="Total","CURSO_TOTAL",IF(CALC_EPM!C247="TotalEsp","CURSO_ESP",IF(CALC_EPM!C247="TotalNoEsp","CURSO_NOESP","CURSO_ASIG")))))</f>
      </c>
      <c r="B258" t="str">
        <f>IF(CALC_EPM!$B247="","",CALC_EPM!A247)</f>
      </c>
      <c r="C258" t="str">
        <f>IF(CALC_EPM!$B247="","",CALC_EPM!B247)</f>
      </c>
      <c r="D258">
        <f>IF(CALC_EPM!$B247="","",CALC_EPM!D247)</f>
      </c>
      <c r="E258" s="10" t="str">
        <f>IF(CALC_EPM!$B247="","",CALC_EPM!E247)</f>
      </c>
      <c r="F258" s="10" t="str">
        <f>IF(CALC_EPM!$B247="","",CALC_EPM!F247)</f>
      </c>
      <c r="G258" t="str">
        <f>IF(CALC_EPM!$B247="","",CALC_EPM!G247)</f>
      </c>
      <c r="H258" s="11" t="str">
        <f>IF(CALC_EPM!$B247="","",CALC_EPM!H247)</f>
      </c>
      <c r="I258" s="11" t="str">
        <f>IF(CALC_EPM!$B247="","",CALC_EPM!I247)</f>
      </c>
      <c r="J258" t="str">
        <f>IF(CALC_EPM!$B247="","",CALC_EPM!J247)</f>
      </c>
      <c r="K258" t="str">
        <f>IF(CALC_EPM!$B247="","",CALC_EPM!K247)</f>
      </c>
      <c r="L258">
        <f>IF(CALC_EPM!$B247="","",CALC_EPM!L247)</f>
      </c>
      <c r="M258">
        <f>IF(CALC_EPM!$B247="","",CALC_EPM!M247)</f>
      </c>
      <c r="N258">
        <f>IF(CALC_EPM!$B247="","",CALC_EPM!N247)</f>
      </c>
      <c r="O258">
        <f>IF(CALC_EPM!$B247="","",CALC_EPM!O247)</f>
      </c>
      <c r="P258">
        <f>IF(CALC_EPM!$B247="","",CALC_EPM!P247)</f>
      </c>
      <c r="Q258">
        <f>IF(CALC_EPM!$B247="","",CALC_EPM!Q247)</f>
      </c>
      <c r="R258">
        <f>IF(CALC_EPM!$B247="","",CALC_EPM!R247)</f>
      </c>
      <c r="S258">
        <f>IF(CALC_EPM!$B247="","",CALC_EPM!S247)</f>
      </c>
      <c r="T258">
        <f>IF(CALC_EPM!$B247="","",CALC_EPM!T247)</f>
      </c>
      <c r="U258">
        <f>IF(CALC_EPM!$B247="","",CALC_EPM!U247)</f>
      </c>
    </row>
    <row r="259">
      <c r="A259" t="str">
        <f>IF(CALC_EPM!$B248="","",IF(CALC_EPM!A248="GLOBAL",IF(CALC_EPM!C248="Total","GLOBAL",IF(CALC_EPM!C248="TotalEsp","GLOBAL_ESP",IF(CALC_EPM!C248="TotalNoEsp","GLOBAL_NOESP","GLOBAL_ASIG"))),IF(CALC_EPM!C248="Total","CURSO_TOTAL",IF(CALC_EPM!C248="TotalEsp","CURSO_ESP",IF(CALC_EPM!C248="TotalNoEsp","CURSO_NOESP","CURSO_ASIG")))))</f>
      </c>
      <c r="B259" t="str">
        <f>IF(CALC_EPM!$B248="","",CALC_EPM!A248)</f>
      </c>
      <c r="C259" t="str">
        <f>IF(CALC_EPM!$B248="","",CALC_EPM!B248)</f>
      </c>
      <c r="D259">
        <f>IF(CALC_EPM!$B248="","",CALC_EPM!D248)</f>
      </c>
      <c r="E259" s="10" t="str">
        <f>IF(CALC_EPM!$B248="","",CALC_EPM!E248)</f>
      </c>
      <c r="F259" s="10" t="str">
        <f>IF(CALC_EPM!$B248="","",CALC_EPM!F248)</f>
      </c>
      <c r="G259" t="str">
        <f>IF(CALC_EPM!$B248="","",CALC_EPM!G248)</f>
      </c>
      <c r="H259" s="11" t="str">
        <f>IF(CALC_EPM!$B248="","",CALC_EPM!H248)</f>
      </c>
      <c r="I259" s="11" t="str">
        <f>IF(CALC_EPM!$B248="","",CALC_EPM!I248)</f>
      </c>
      <c r="J259" t="str">
        <f>IF(CALC_EPM!$B248="","",CALC_EPM!J248)</f>
      </c>
      <c r="K259" t="str">
        <f>IF(CALC_EPM!$B248="","",CALC_EPM!K248)</f>
      </c>
      <c r="L259">
        <f>IF(CALC_EPM!$B248="","",CALC_EPM!L248)</f>
      </c>
      <c r="M259">
        <f>IF(CALC_EPM!$B248="","",CALC_EPM!M248)</f>
      </c>
      <c r="N259">
        <f>IF(CALC_EPM!$B248="","",CALC_EPM!N248)</f>
      </c>
      <c r="O259">
        <f>IF(CALC_EPM!$B248="","",CALC_EPM!O248)</f>
      </c>
      <c r="P259">
        <f>IF(CALC_EPM!$B248="","",CALC_EPM!P248)</f>
      </c>
      <c r="Q259">
        <f>IF(CALC_EPM!$B248="","",CALC_EPM!Q248)</f>
      </c>
      <c r="R259">
        <f>IF(CALC_EPM!$B248="","",CALC_EPM!R248)</f>
      </c>
      <c r="S259">
        <f>IF(CALC_EPM!$B248="","",CALC_EPM!S248)</f>
      </c>
      <c r="T259">
        <f>IF(CALC_EPM!$B248="","",CALC_EPM!T248)</f>
      </c>
      <c r="U259">
        <f>IF(CALC_EPM!$B248="","",CALC_EPM!U248)</f>
      </c>
    </row>
    <row r="260">
      <c r="A260" t="str">
        <f>IF(CALC_EPM!$B249="","",IF(CALC_EPM!A249="GLOBAL",IF(CALC_EPM!C249="Total","GLOBAL",IF(CALC_EPM!C249="TotalEsp","GLOBAL_ESP",IF(CALC_EPM!C249="TotalNoEsp","GLOBAL_NOESP","GLOBAL_ASIG"))),IF(CALC_EPM!C249="Total","CURSO_TOTAL",IF(CALC_EPM!C249="TotalEsp","CURSO_ESP",IF(CALC_EPM!C249="TotalNoEsp","CURSO_NOESP","CURSO_ASIG")))))</f>
      </c>
      <c r="B260" t="str">
        <f>IF(CALC_EPM!$B249="","",CALC_EPM!A249)</f>
      </c>
      <c r="C260" t="str">
        <f>IF(CALC_EPM!$B249="","",CALC_EPM!B249)</f>
      </c>
      <c r="D260">
        <f>IF(CALC_EPM!$B249="","",CALC_EPM!D249)</f>
      </c>
      <c r="E260" s="10" t="str">
        <f>IF(CALC_EPM!$B249="","",CALC_EPM!E249)</f>
      </c>
      <c r="F260" s="10" t="str">
        <f>IF(CALC_EPM!$B249="","",CALC_EPM!F249)</f>
      </c>
      <c r="G260" t="str">
        <f>IF(CALC_EPM!$B249="","",CALC_EPM!G249)</f>
      </c>
      <c r="H260" s="11" t="str">
        <f>IF(CALC_EPM!$B249="","",CALC_EPM!H249)</f>
      </c>
      <c r="I260" s="11" t="str">
        <f>IF(CALC_EPM!$B249="","",CALC_EPM!I249)</f>
      </c>
      <c r="J260" t="str">
        <f>IF(CALC_EPM!$B249="","",CALC_EPM!J249)</f>
      </c>
      <c r="K260" t="str">
        <f>IF(CALC_EPM!$B249="","",CALC_EPM!K249)</f>
      </c>
      <c r="L260">
        <f>IF(CALC_EPM!$B249="","",CALC_EPM!L249)</f>
      </c>
      <c r="M260">
        <f>IF(CALC_EPM!$B249="","",CALC_EPM!M249)</f>
      </c>
      <c r="N260">
        <f>IF(CALC_EPM!$B249="","",CALC_EPM!N249)</f>
      </c>
      <c r="O260">
        <f>IF(CALC_EPM!$B249="","",CALC_EPM!O249)</f>
      </c>
      <c r="P260">
        <f>IF(CALC_EPM!$B249="","",CALC_EPM!P249)</f>
      </c>
      <c r="Q260">
        <f>IF(CALC_EPM!$B249="","",CALC_EPM!Q249)</f>
      </c>
      <c r="R260">
        <f>IF(CALC_EPM!$B249="","",CALC_EPM!R249)</f>
      </c>
      <c r="S260">
        <f>IF(CALC_EPM!$B249="","",CALC_EPM!S249)</f>
      </c>
      <c r="T260">
        <f>IF(CALC_EPM!$B249="","",CALC_EPM!T249)</f>
      </c>
      <c r="U260">
        <f>IF(CALC_EPM!$B249="","",CALC_EPM!U249)</f>
      </c>
    </row>
    <row r="261">
      <c r="A261" t="str">
        <f>IF(CALC_EPM!$B250="","",IF(CALC_EPM!A250="GLOBAL",IF(CALC_EPM!C250="Total","GLOBAL",IF(CALC_EPM!C250="TotalEsp","GLOBAL_ESP",IF(CALC_EPM!C250="TotalNoEsp","GLOBAL_NOESP","GLOBAL_ASIG"))),IF(CALC_EPM!C250="Total","CURSO_TOTAL",IF(CALC_EPM!C250="TotalEsp","CURSO_ESP",IF(CALC_EPM!C250="TotalNoEsp","CURSO_NOESP","CURSO_ASIG")))))</f>
      </c>
      <c r="B261" t="str">
        <f>IF(CALC_EPM!$B250="","",CALC_EPM!A250)</f>
      </c>
      <c r="C261" t="str">
        <f>IF(CALC_EPM!$B250="","",CALC_EPM!B250)</f>
      </c>
      <c r="D261">
        <f>IF(CALC_EPM!$B250="","",CALC_EPM!D250)</f>
      </c>
      <c r="E261" s="10" t="str">
        <f>IF(CALC_EPM!$B250="","",CALC_EPM!E250)</f>
      </c>
      <c r="F261" s="10" t="str">
        <f>IF(CALC_EPM!$B250="","",CALC_EPM!F250)</f>
      </c>
      <c r="G261" t="str">
        <f>IF(CALC_EPM!$B250="","",CALC_EPM!G250)</f>
      </c>
      <c r="H261" s="11" t="str">
        <f>IF(CALC_EPM!$B250="","",CALC_EPM!H250)</f>
      </c>
      <c r="I261" s="11" t="str">
        <f>IF(CALC_EPM!$B250="","",CALC_EPM!I250)</f>
      </c>
      <c r="J261" t="str">
        <f>IF(CALC_EPM!$B250="","",CALC_EPM!J250)</f>
      </c>
      <c r="K261" t="str">
        <f>IF(CALC_EPM!$B250="","",CALC_EPM!K250)</f>
      </c>
      <c r="L261">
        <f>IF(CALC_EPM!$B250="","",CALC_EPM!L250)</f>
      </c>
      <c r="M261">
        <f>IF(CALC_EPM!$B250="","",CALC_EPM!M250)</f>
      </c>
      <c r="N261">
        <f>IF(CALC_EPM!$B250="","",CALC_EPM!N250)</f>
      </c>
      <c r="O261">
        <f>IF(CALC_EPM!$B250="","",CALC_EPM!O250)</f>
      </c>
      <c r="P261">
        <f>IF(CALC_EPM!$B250="","",CALC_EPM!P250)</f>
      </c>
      <c r="Q261">
        <f>IF(CALC_EPM!$B250="","",CALC_EPM!Q250)</f>
      </c>
      <c r="R261">
        <f>IF(CALC_EPM!$B250="","",CALC_EPM!R250)</f>
      </c>
      <c r="S261">
        <f>IF(CALC_EPM!$B250="","",CALC_EPM!S250)</f>
      </c>
      <c r="T261">
        <f>IF(CALC_EPM!$B250="","",CALC_EPM!T250)</f>
      </c>
      <c r="U261">
        <f>IF(CALC_EPM!$B250="","",CALC_EPM!U250)</f>
      </c>
    </row>
    <row r="262">
      <c r="A262" t="str">
        <f>IF(CALC_EPM!$B251="","",IF(CALC_EPM!A251="GLOBAL",IF(CALC_EPM!C251="Total","GLOBAL",IF(CALC_EPM!C251="TotalEsp","GLOBAL_ESP",IF(CALC_EPM!C251="TotalNoEsp","GLOBAL_NOESP","GLOBAL_ASIG"))),IF(CALC_EPM!C251="Total","CURSO_TOTAL",IF(CALC_EPM!C251="TotalEsp","CURSO_ESP",IF(CALC_EPM!C251="TotalNoEsp","CURSO_NOESP","CURSO_ASIG")))))</f>
      </c>
      <c r="B262" t="str">
        <f>IF(CALC_EPM!$B251="","",CALC_EPM!A251)</f>
      </c>
      <c r="C262" t="str">
        <f>IF(CALC_EPM!$B251="","",CALC_EPM!B251)</f>
      </c>
      <c r="D262">
        <f>IF(CALC_EPM!$B251="","",CALC_EPM!D251)</f>
      </c>
      <c r="E262" s="10" t="str">
        <f>IF(CALC_EPM!$B251="","",CALC_EPM!E251)</f>
      </c>
      <c r="F262" s="10" t="str">
        <f>IF(CALC_EPM!$B251="","",CALC_EPM!F251)</f>
      </c>
      <c r="G262" t="str">
        <f>IF(CALC_EPM!$B251="","",CALC_EPM!G251)</f>
      </c>
      <c r="H262" s="11" t="str">
        <f>IF(CALC_EPM!$B251="","",CALC_EPM!H251)</f>
      </c>
      <c r="I262" s="11" t="str">
        <f>IF(CALC_EPM!$B251="","",CALC_EPM!I251)</f>
      </c>
      <c r="J262" t="str">
        <f>IF(CALC_EPM!$B251="","",CALC_EPM!J251)</f>
      </c>
      <c r="K262" t="str">
        <f>IF(CALC_EPM!$B251="","",CALC_EPM!K251)</f>
      </c>
      <c r="L262">
        <f>IF(CALC_EPM!$B251="","",CALC_EPM!L251)</f>
      </c>
      <c r="M262">
        <f>IF(CALC_EPM!$B251="","",CALC_EPM!M251)</f>
      </c>
      <c r="N262">
        <f>IF(CALC_EPM!$B251="","",CALC_EPM!N251)</f>
      </c>
      <c r="O262">
        <f>IF(CALC_EPM!$B251="","",CALC_EPM!O251)</f>
      </c>
      <c r="P262">
        <f>IF(CALC_EPM!$B251="","",CALC_EPM!P251)</f>
      </c>
      <c r="Q262">
        <f>IF(CALC_EPM!$B251="","",CALC_EPM!Q251)</f>
      </c>
      <c r="R262">
        <f>IF(CALC_EPM!$B251="","",CALC_EPM!R251)</f>
      </c>
      <c r="S262">
        <f>IF(CALC_EPM!$B251="","",CALC_EPM!S251)</f>
      </c>
      <c r="T262">
        <f>IF(CALC_EPM!$B251="","",CALC_EPM!T251)</f>
      </c>
      <c r="U262">
        <f>IF(CALC_EPM!$B251="","",CALC_EPM!U251)</f>
      </c>
    </row>
    <row r="263">
      <c r="A263" t="str">
        <f>IF(CALC_EPM!$B252="","",IF(CALC_EPM!A252="GLOBAL",IF(CALC_EPM!C252="Total","GLOBAL",IF(CALC_EPM!C252="TotalEsp","GLOBAL_ESP",IF(CALC_EPM!C252="TotalNoEsp","GLOBAL_NOESP","GLOBAL_ASIG"))),IF(CALC_EPM!C252="Total","CURSO_TOTAL",IF(CALC_EPM!C252="TotalEsp","CURSO_ESP",IF(CALC_EPM!C252="TotalNoEsp","CURSO_NOESP","CURSO_ASIG")))))</f>
      </c>
      <c r="B263" t="str">
        <f>IF(CALC_EPM!$B252="","",CALC_EPM!A252)</f>
      </c>
      <c r="C263" t="str">
        <f>IF(CALC_EPM!$B252="","",CALC_EPM!B252)</f>
      </c>
      <c r="D263">
        <f>IF(CALC_EPM!$B252="","",CALC_EPM!D252)</f>
      </c>
      <c r="E263" s="10" t="str">
        <f>IF(CALC_EPM!$B252="","",CALC_EPM!E252)</f>
      </c>
      <c r="F263" s="10" t="str">
        <f>IF(CALC_EPM!$B252="","",CALC_EPM!F252)</f>
      </c>
      <c r="G263" t="str">
        <f>IF(CALC_EPM!$B252="","",CALC_EPM!G252)</f>
      </c>
      <c r="H263" s="11" t="str">
        <f>IF(CALC_EPM!$B252="","",CALC_EPM!H252)</f>
      </c>
      <c r="I263" s="11" t="str">
        <f>IF(CALC_EPM!$B252="","",CALC_EPM!I252)</f>
      </c>
      <c r="J263" t="str">
        <f>IF(CALC_EPM!$B252="","",CALC_EPM!J252)</f>
      </c>
      <c r="K263" t="str">
        <f>IF(CALC_EPM!$B252="","",CALC_EPM!K252)</f>
      </c>
      <c r="L263">
        <f>IF(CALC_EPM!$B252="","",CALC_EPM!L252)</f>
      </c>
      <c r="M263">
        <f>IF(CALC_EPM!$B252="","",CALC_EPM!M252)</f>
      </c>
      <c r="N263">
        <f>IF(CALC_EPM!$B252="","",CALC_EPM!N252)</f>
      </c>
      <c r="O263">
        <f>IF(CALC_EPM!$B252="","",CALC_EPM!O252)</f>
      </c>
      <c r="P263">
        <f>IF(CALC_EPM!$B252="","",CALC_EPM!P252)</f>
      </c>
      <c r="Q263">
        <f>IF(CALC_EPM!$B252="","",CALC_EPM!Q252)</f>
      </c>
      <c r="R263">
        <f>IF(CALC_EPM!$B252="","",CALC_EPM!R252)</f>
      </c>
      <c r="S263">
        <f>IF(CALC_EPM!$B252="","",CALC_EPM!S252)</f>
      </c>
      <c r="T263">
        <f>IF(CALC_EPM!$B252="","",CALC_EPM!T252)</f>
      </c>
      <c r="U263">
        <f>IF(CALC_EPM!$B252="","",CALC_EPM!U252)</f>
      </c>
    </row>
    <row r="264">
      <c r="A264" t="str">
        <f>IF(CALC_EPM!$B253="","",IF(CALC_EPM!A253="GLOBAL",IF(CALC_EPM!C253="Total","GLOBAL",IF(CALC_EPM!C253="TotalEsp","GLOBAL_ESP",IF(CALC_EPM!C253="TotalNoEsp","GLOBAL_NOESP","GLOBAL_ASIG"))),IF(CALC_EPM!C253="Total","CURSO_TOTAL",IF(CALC_EPM!C253="TotalEsp","CURSO_ESP",IF(CALC_EPM!C253="TotalNoEsp","CURSO_NOESP","CURSO_ASIG")))))</f>
      </c>
      <c r="B264" t="str">
        <f>IF(CALC_EPM!$B253="","",CALC_EPM!A253)</f>
      </c>
      <c r="C264" t="str">
        <f>IF(CALC_EPM!$B253="","",CALC_EPM!B253)</f>
      </c>
      <c r="D264">
        <f>IF(CALC_EPM!$B253="","",CALC_EPM!D253)</f>
      </c>
      <c r="E264" s="10" t="str">
        <f>IF(CALC_EPM!$B253="","",CALC_EPM!E253)</f>
      </c>
      <c r="F264" s="10" t="str">
        <f>IF(CALC_EPM!$B253="","",CALC_EPM!F253)</f>
      </c>
      <c r="G264" t="str">
        <f>IF(CALC_EPM!$B253="","",CALC_EPM!G253)</f>
      </c>
      <c r="H264" s="11" t="str">
        <f>IF(CALC_EPM!$B253="","",CALC_EPM!H253)</f>
      </c>
      <c r="I264" s="11" t="str">
        <f>IF(CALC_EPM!$B253="","",CALC_EPM!I253)</f>
      </c>
      <c r="J264" t="str">
        <f>IF(CALC_EPM!$B253="","",CALC_EPM!J253)</f>
      </c>
      <c r="K264" t="str">
        <f>IF(CALC_EPM!$B253="","",CALC_EPM!K253)</f>
      </c>
      <c r="L264">
        <f>IF(CALC_EPM!$B253="","",CALC_EPM!L253)</f>
      </c>
      <c r="M264">
        <f>IF(CALC_EPM!$B253="","",CALC_EPM!M253)</f>
      </c>
      <c r="N264">
        <f>IF(CALC_EPM!$B253="","",CALC_EPM!N253)</f>
      </c>
      <c r="O264">
        <f>IF(CALC_EPM!$B253="","",CALC_EPM!O253)</f>
      </c>
      <c r="P264">
        <f>IF(CALC_EPM!$B253="","",CALC_EPM!P253)</f>
      </c>
      <c r="Q264">
        <f>IF(CALC_EPM!$B253="","",CALC_EPM!Q253)</f>
      </c>
      <c r="R264">
        <f>IF(CALC_EPM!$B253="","",CALC_EPM!R253)</f>
      </c>
      <c r="S264">
        <f>IF(CALC_EPM!$B253="","",CALC_EPM!S253)</f>
      </c>
      <c r="T264">
        <f>IF(CALC_EPM!$B253="","",CALC_EPM!T253)</f>
      </c>
      <c r="U264">
        <f>IF(CALC_EPM!$B253="","",CALC_EPM!U253)</f>
      </c>
    </row>
    <row r="265">
      <c r="A265" t="str">
        <f>IF(CALC_EPM!$B254="","",IF(CALC_EPM!A254="GLOBAL",IF(CALC_EPM!C254="Total","GLOBAL",IF(CALC_EPM!C254="TotalEsp","GLOBAL_ESP",IF(CALC_EPM!C254="TotalNoEsp","GLOBAL_NOESP","GLOBAL_ASIG"))),IF(CALC_EPM!C254="Total","CURSO_TOTAL",IF(CALC_EPM!C254="TotalEsp","CURSO_ESP",IF(CALC_EPM!C254="TotalNoEsp","CURSO_NOESP","CURSO_ASIG")))))</f>
      </c>
      <c r="B265" t="str">
        <f>IF(CALC_EPM!$B254="","",CALC_EPM!A254)</f>
      </c>
      <c r="C265" t="str">
        <f>IF(CALC_EPM!$B254="","",CALC_EPM!B254)</f>
      </c>
      <c r="D265">
        <f>IF(CALC_EPM!$B254="","",CALC_EPM!D254)</f>
      </c>
      <c r="E265" s="10" t="str">
        <f>IF(CALC_EPM!$B254="","",CALC_EPM!E254)</f>
      </c>
      <c r="F265" s="10" t="str">
        <f>IF(CALC_EPM!$B254="","",CALC_EPM!F254)</f>
      </c>
      <c r="G265" t="str">
        <f>IF(CALC_EPM!$B254="","",CALC_EPM!G254)</f>
      </c>
      <c r="H265" s="11" t="str">
        <f>IF(CALC_EPM!$B254="","",CALC_EPM!H254)</f>
      </c>
      <c r="I265" s="11" t="str">
        <f>IF(CALC_EPM!$B254="","",CALC_EPM!I254)</f>
      </c>
      <c r="J265" t="str">
        <f>IF(CALC_EPM!$B254="","",CALC_EPM!J254)</f>
      </c>
      <c r="K265" t="str">
        <f>IF(CALC_EPM!$B254="","",CALC_EPM!K254)</f>
      </c>
      <c r="L265">
        <f>IF(CALC_EPM!$B254="","",CALC_EPM!L254)</f>
      </c>
      <c r="M265">
        <f>IF(CALC_EPM!$B254="","",CALC_EPM!M254)</f>
      </c>
      <c r="N265">
        <f>IF(CALC_EPM!$B254="","",CALC_EPM!N254)</f>
      </c>
      <c r="O265">
        <f>IF(CALC_EPM!$B254="","",CALC_EPM!O254)</f>
      </c>
      <c r="P265">
        <f>IF(CALC_EPM!$B254="","",CALC_EPM!P254)</f>
      </c>
      <c r="Q265">
        <f>IF(CALC_EPM!$B254="","",CALC_EPM!Q254)</f>
      </c>
      <c r="R265">
        <f>IF(CALC_EPM!$B254="","",CALC_EPM!R254)</f>
      </c>
      <c r="S265">
        <f>IF(CALC_EPM!$B254="","",CALC_EPM!S254)</f>
      </c>
      <c r="T265">
        <f>IF(CALC_EPM!$B254="","",CALC_EPM!T254)</f>
      </c>
      <c r="U265">
        <f>IF(CALC_EPM!$B254="","",CALC_EPM!U254)</f>
      </c>
    </row>
    <row r="266">
      <c r="A266" t="str">
        <f>IF(CALC_EPM!$B255="","",IF(CALC_EPM!A255="GLOBAL",IF(CALC_EPM!C255="Total","GLOBAL",IF(CALC_EPM!C255="TotalEsp","GLOBAL_ESP",IF(CALC_EPM!C255="TotalNoEsp","GLOBAL_NOESP","GLOBAL_ASIG"))),IF(CALC_EPM!C255="Total","CURSO_TOTAL",IF(CALC_EPM!C255="TotalEsp","CURSO_ESP",IF(CALC_EPM!C255="TotalNoEsp","CURSO_NOESP","CURSO_ASIG")))))</f>
      </c>
      <c r="B266" t="str">
        <f>IF(CALC_EPM!$B255="","",CALC_EPM!A255)</f>
      </c>
      <c r="C266" t="str">
        <f>IF(CALC_EPM!$B255="","",CALC_EPM!B255)</f>
      </c>
      <c r="D266">
        <f>IF(CALC_EPM!$B255="","",CALC_EPM!D255)</f>
      </c>
      <c r="E266" s="10" t="str">
        <f>IF(CALC_EPM!$B255="","",CALC_EPM!E255)</f>
      </c>
      <c r="F266" s="10" t="str">
        <f>IF(CALC_EPM!$B255="","",CALC_EPM!F255)</f>
      </c>
      <c r="G266" t="str">
        <f>IF(CALC_EPM!$B255="","",CALC_EPM!G255)</f>
      </c>
      <c r="H266" s="11" t="str">
        <f>IF(CALC_EPM!$B255="","",CALC_EPM!H255)</f>
      </c>
      <c r="I266" s="11" t="str">
        <f>IF(CALC_EPM!$B255="","",CALC_EPM!I255)</f>
      </c>
      <c r="J266" t="str">
        <f>IF(CALC_EPM!$B255="","",CALC_EPM!J255)</f>
      </c>
      <c r="K266" t="str">
        <f>IF(CALC_EPM!$B255="","",CALC_EPM!K255)</f>
      </c>
      <c r="L266">
        <f>IF(CALC_EPM!$B255="","",CALC_EPM!L255)</f>
      </c>
      <c r="M266">
        <f>IF(CALC_EPM!$B255="","",CALC_EPM!M255)</f>
      </c>
      <c r="N266">
        <f>IF(CALC_EPM!$B255="","",CALC_EPM!N255)</f>
      </c>
      <c r="O266">
        <f>IF(CALC_EPM!$B255="","",CALC_EPM!O255)</f>
      </c>
      <c r="P266">
        <f>IF(CALC_EPM!$B255="","",CALC_EPM!P255)</f>
      </c>
      <c r="Q266">
        <f>IF(CALC_EPM!$B255="","",CALC_EPM!Q255)</f>
      </c>
      <c r="R266">
        <f>IF(CALC_EPM!$B255="","",CALC_EPM!R255)</f>
      </c>
      <c r="S266">
        <f>IF(CALC_EPM!$B255="","",CALC_EPM!S255)</f>
      </c>
      <c r="T266">
        <f>IF(CALC_EPM!$B255="","",CALC_EPM!T255)</f>
      </c>
      <c r="U266">
        <f>IF(CALC_EPM!$B255="","",CALC_EPM!U255)</f>
      </c>
    </row>
    <row r="267">
      <c r="A267" t="str">
        <f>IF(CALC_EPM!$B256="","",IF(CALC_EPM!A256="GLOBAL",IF(CALC_EPM!C256="Total","GLOBAL",IF(CALC_EPM!C256="TotalEsp","GLOBAL_ESP",IF(CALC_EPM!C256="TotalNoEsp","GLOBAL_NOESP","GLOBAL_ASIG"))),IF(CALC_EPM!C256="Total","CURSO_TOTAL",IF(CALC_EPM!C256="TotalEsp","CURSO_ESP",IF(CALC_EPM!C256="TotalNoEsp","CURSO_NOESP","CURSO_ASIG")))))</f>
      </c>
      <c r="B267" t="str">
        <f>IF(CALC_EPM!$B256="","",CALC_EPM!A256)</f>
      </c>
      <c r="C267" t="str">
        <f>IF(CALC_EPM!$B256="","",CALC_EPM!B256)</f>
      </c>
      <c r="D267">
        <f>IF(CALC_EPM!$B256="","",CALC_EPM!D256)</f>
      </c>
      <c r="E267" s="10" t="str">
        <f>IF(CALC_EPM!$B256="","",CALC_EPM!E256)</f>
      </c>
      <c r="F267" s="10" t="str">
        <f>IF(CALC_EPM!$B256="","",CALC_EPM!F256)</f>
      </c>
      <c r="G267" t="str">
        <f>IF(CALC_EPM!$B256="","",CALC_EPM!G256)</f>
      </c>
      <c r="H267" s="11" t="str">
        <f>IF(CALC_EPM!$B256="","",CALC_EPM!H256)</f>
      </c>
      <c r="I267" s="11" t="str">
        <f>IF(CALC_EPM!$B256="","",CALC_EPM!I256)</f>
      </c>
      <c r="J267" t="str">
        <f>IF(CALC_EPM!$B256="","",CALC_EPM!J256)</f>
      </c>
      <c r="K267" t="str">
        <f>IF(CALC_EPM!$B256="","",CALC_EPM!K256)</f>
      </c>
      <c r="L267">
        <f>IF(CALC_EPM!$B256="","",CALC_EPM!L256)</f>
      </c>
      <c r="M267">
        <f>IF(CALC_EPM!$B256="","",CALC_EPM!M256)</f>
      </c>
      <c r="N267">
        <f>IF(CALC_EPM!$B256="","",CALC_EPM!N256)</f>
      </c>
      <c r="O267">
        <f>IF(CALC_EPM!$B256="","",CALC_EPM!O256)</f>
      </c>
      <c r="P267">
        <f>IF(CALC_EPM!$B256="","",CALC_EPM!P256)</f>
      </c>
      <c r="Q267">
        <f>IF(CALC_EPM!$B256="","",CALC_EPM!Q256)</f>
      </c>
      <c r="R267">
        <f>IF(CALC_EPM!$B256="","",CALC_EPM!R256)</f>
      </c>
      <c r="S267">
        <f>IF(CALC_EPM!$B256="","",CALC_EPM!S256)</f>
      </c>
      <c r="T267">
        <f>IF(CALC_EPM!$B256="","",CALC_EPM!T256)</f>
      </c>
      <c r="U267">
        <f>IF(CALC_EPM!$B256="","",CALC_EPM!U256)</f>
      </c>
    </row>
    <row r="268">
      <c r="A268" t="str">
        <f>IF(CALC_EPM!$B257="","",IF(CALC_EPM!A257="GLOBAL",IF(CALC_EPM!C257="Total","GLOBAL",IF(CALC_EPM!C257="TotalEsp","GLOBAL_ESP",IF(CALC_EPM!C257="TotalNoEsp","GLOBAL_NOESP","GLOBAL_ASIG"))),IF(CALC_EPM!C257="Total","CURSO_TOTAL",IF(CALC_EPM!C257="TotalEsp","CURSO_ESP",IF(CALC_EPM!C257="TotalNoEsp","CURSO_NOESP","CURSO_ASIG")))))</f>
      </c>
      <c r="B268" t="str">
        <f>IF(CALC_EPM!$B257="","",CALC_EPM!A257)</f>
      </c>
      <c r="C268" t="str">
        <f>IF(CALC_EPM!$B257="","",CALC_EPM!B257)</f>
      </c>
      <c r="D268">
        <f>IF(CALC_EPM!$B257="","",CALC_EPM!D257)</f>
      </c>
      <c r="E268" s="10" t="str">
        <f>IF(CALC_EPM!$B257="","",CALC_EPM!E257)</f>
      </c>
      <c r="F268" s="10" t="str">
        <f>IF(CALC_EPM!$B257="","",CALC_EPM!F257)</f>
      </c>
      <c r="G268" t="str">
        <f>IF(CALC_EPM!$B257="","",CALC_EPM!G257)</f>
      </c>
      <c r="H268" s="11" t="str">
        <f>IF(CALC_EPM!$B257="","",CALC_EPM!H257)</f>
      </c>
      <c r="I268" s="11" t="str">
        <f>IF(CALC_EPM!$B257="","",CALC_EPM!I257)</f>
      </c>
      <c r="J268" t="str">
        <f>IF(CALC_EPM!$B257="","",CALC_EPM!J257)</f>
      </c>
      <c r="K268" t="str">
        <f>IF(CALC_EPM!$B257="","",CALC_EPM!K257)</f>
      </c>
      <c r="L268">
        <f>IF(CALC_EPM!$B257="","",CALC_EPM!L257)</f>
      </c>
      <c r="M268">
        <f>IF(CALC_EPM!$B257="","",CALC_EPM!M257)</f>
      </c>
      <c r="N268">
        <f>IF(CALC_EPM!$B257="","",CALC_EPM!N257)</f>
      </c>
      <c r="O268">
        <f>IF(CALC_EPM!$B257="","",CALC_EPM!O257)</f>
      </c>
      <c r="P268">
        <f>IF(CALC_EPM!$B257="","",CALC_EPM!P257)</f>
      </c>
      <c r="Q268">
        <f>IF(CALC_EPM!$B257="","",CALC_EPM!Q257)</f>
      </c>
      <c r="R268">
        <f>IF(CALC_EPM!$B257="","",CALC_EPM!R257)</f>
      </c>
      <c r="S268">
        <f>IF(CALC_EPM!$B257="","",CALC_EPM!S257)</f>
      </c>
      <c r="T268">
        <f>IF(CALC_EPM!$B257="","",CALC_EPM!T257)</f>
      </c>
      <c r="U268">
        <f>IF(CALC_EPM!$B257="","",CALC_EPM!U257)</f>
      </c>
    </row>
    <row r="269">
      <c r="A269" t="str">
        <f>IF(CALC_EPM!$B258="","",IF(CALC_EPM!A258="GLOBAL",IF(CALC_EPM!C258="Total","GLOBAL",IF(CALC_EPM!C258="TotalEsp","GLOBAL_ESP",IF(CALC_EPM!C258="TotalNoEsp","GLOBAL_NOESP","GLOBAL_ASIG"))),IF(CALC_EPM!C258="Total","CURSO_TOTAL",IF(CALC_EPM!C258="TotalEsp","CURSO_ESP",IF(CALC_EPM!C258="TotalNoEsp","CURSO_NOESP","CURSO_ASIG")))))</f>
      </c>
      <c r="B269" t="str">
        <f>IF(CALC_EPM!$B258="","",CALC_EPM!A258)</f>
      </c>
      <c r="C269" t="str">
        <f>IF(CALC_EPM!$B258="","",CALC_EPM!B258)</f>
      </c>
      <c r="D269">
        <f>IF(CALC_EPM!$B258="","",CALC_EPM!D258)</f>
      </c>
      <c r="E269" s="10" t="str">
        <f>IF(CALC_EPM!$B258="","",CALC_EPM!E258)</f>
      </c>
      <c r="F269" s="10" t="str">
        <f>IF(CALC_EPM!$B258="","",CALC_EPM!F258)</f>
      </c>
      <c r="G269" t="str">
        <f>IF(CALC_EPM!$B258="","",CALC_EPM!G258)</f>
      </c>
      <c r="H269" s="11" t="str">
        <f>IF(CALC_EPM!$B258="","",CALC_EPM!H258)</f>
      </c>
      <c r="I269" s="11" t="str">
        <f>IF(CALC_EPM!$B258="","",CALC_EPM!I258)</f>
      </c>
      <c r="J269" t="str">
        <f>IF(CALC_EPM!$B258="","",CALC_EPM!J258)</f>
      </c>
      <c r="K269" t="str">
        <f>IF(CALC_EPM!$B258="","",CALC_EPM!K258)</f>
      </c>
      <c r="L269">
        <f>IF(CALC_EPM!$B258="","",CALC_EPM!L258)</f>
      </c>
      <c r="M269">
        <f>IF(CALC_EPM!$B258="","",CALC_EPM!M258)</f>
      </c>
      <c r="N269">
        <f>IF(CALC_EPM!$B258="","",CALC_EPM!N258)</f>
      </c>
      <c r="O269">
        <f>IF(CALC_EPM!$B258="","",CALC_EPM!O258)</f>
      </c>
      <c r="P269">
        <f>IF(CALC_EPM!$B258="","",CALC_EPM!P258)</f>
      </c>
      <c r="Q269">
        <f>IF(CALC_EPM!$B258="","",CALC_EPM!Q258)</f>
      </c>
      <c r="R269">
        <f>IF(CALC_EPM!$B258="","",CALC_EPM!R258)</f>
      </c>
      <c r="S269">
        <f>IF(CALC_EPM!$B258="","",CALC_EPM!S258)</f>
      </c>
      <c r="T269">
        <f>IF(CALC_EPM!$B258="","",CALC_EPM!T258)</f>
      </c>
      <c r="U269">
        <f>IF(CALC_EPM!$B258="","",CALC_EPM!U258)</f>
      </c>
    </row>
    <row r="270">
      <c r="A270" t="str">
        <f>IF(CALC_EPM!$B259="","",IF(CALC_EPM!A259="GLOBAL",IF(CALC_EPM!C259="Total","GLOBAL",IF(CALC_EPM!C259="TotalEsp","GLOBAL_ESP",IF(CALC_EPM!C259="TotalNoEsp","GLOBAL_NOESP","GLOBAL_ASIG"))),IF(CALC_EPM!C259="Total","CURSO_TOTAL",IF(CALC_EPM!C259="TotalEsp","CURSO_ESP",IF(CALC_EPM!C259="TotalNoEsp","CURSO_NOESP","CURSO_ASIG")))))</f>
      </c>
      <c r="B270" t="str">
        <f>IF(CALC_EPM!$B259="","",CALC_EPM!A259)</f>
      </c>
      <c r="C270" t="str">
        <f>IF(CALC_EPM!$B259="","",CALC_EPM!B259)</f>
      </c>
      <c r="D270">
        <f>IF(CALC_EPM!$B259="","",CALC_EPM!D259)</f>
      </c>
      <c r="E270" s="10" t="str">
        <f>IF(CALC_EPM!$B259="","",CALC_EPM!E259)</f>
      </c>
      <c r="F270" s="10" t="str">
        <f>IF(CALC_EPM!$B259="","",CALC_EPM!F259)</f>
      </c>
      <c r="G270" t="str">
        <f>IF(CALC_EPM!$B259="","",CALC_EPM!G259)</f>
      </c>
      <c r="H270" s="11" t="str">
        <f>IF(CALC_EPM!$B259="","",CALC_EPM!H259)</f>
      </c>
      <c r="I270" s="11" t="str">
        <f>IF(CALC_EPM!$B259="","",CALC_EPM!I259)</f>
      </c>
      <c r="J270" t="str">
        <f>IF(CALC_EPM!$B259="","",CALC_EPM!J259)</f>
      </c>
      <c r="K270" t="str">
        <f>IF(CALC_EPM!$B259="","",CALC_EPM!K259)</f>
      </c>
      <c r="L270">
        <f>IF(CALC_EPM!$B259="","",CALC_EPM!L259)</f>
      </c>
      <c r="M270">
        <f>IF(CALC_EPM!$B259="","",CALC_EPM!M259)</f>
      </c>
      <c r="N270">
        <f>IF(CALC_EPM!$B259="","",CALC_EPM!N259)</f>
      </c>
      <c r="O270">
        <f>IF(CALC_EPM!$B259="","",CALC_EPM!O259)</f>
      </c>
      <c r="P270">
        <f>IF(CALC_EPM!$B259="","",CALC_EPM!P259)</f>
      </c>
      <c r="Q270">
        <f>IF(CALC_EPM!$B259="","",CALC_EPM!Q259)</f>
      </c>
      <c r="R270">
        <f>IF(CALC_EPM!$B259="","",CALC_EPM!R259)</f>
      </c>
      <c r="S270">
        <f>IF(CALC_EPM!$B259="","",CALC_EPM!S259)</f>
      </c>
      <c r="T270">
        <f>IF(CALC_EPM!$B259="","",CALC_EPM!T259)</f>
      </c>
      <c r="U270">
        <f>IF(CALC_EPM!$B259="","",CALC_EPM!U259)</f>
      </c>
    </row>
    <row r="271">
      <c r="A271" t="str">
        <f>IF(CALC_EPM!$B260="","",IF(CALC_EPM!A260="GLOBAL",IF(CALC_EPM!C260="Total","GLOBAL",IF(CALC_EPM!C260="TotalEsp","GLOBAL_ESP",IF(CALC_EPM!C260="TotalNoEsp","GLOBAL_NOESP","GLOBAL_ASIG"))),IF(CALC_EPM!C260="Total","CURSO_TOTAL",IF(CALC_EPM!C260="TotalEsp","CURSO_ESP",IF(CALC_EPM!C260="TotalNoEsp","CURSO_NOESP","CURSO_ASIG")))))</f>
      </c>
      <c r="B271" t="str">
        <f>IF(CALC_EPM!$B260="","",CALC_EPM!A260)</f>
      </c>
      <c r="C271" t="str">
        <f>IF(CALC_EPM!$B260="","",CALC_EPM!B260)</f>
      </c>
      <c r="D271">
        <f>IF(CALC_EPM!$B260="","",CALC_EPM!D260)</f>
      </c>
      <c r="E271" s="10" t="str">
        <f>IF(CALC_EPM!$B260="","",CALC_EPM!E260)</f>
      </c>
      <c r="F271" s="10" t="str">
        <f>IF(CALC_EPM!$B260="","",CALC_EPM!F260)</f>
      </c>
      <c r="G271" t="str">
        <f>IF(CALC_EPM!$B260="","",CALC_EPM!G260)</f>
      </c>
      <c r="H271" s="11" t="str">
        <f>IF(CALC_EPM!$B260="","",CALC_EPM!H260)</f>
      </c>
      <c r="I271" s="11" t="str">
        <f>IF(CALC_EPM!$B260="","",CALC_EPM!I260)</f>
      </c>
      <c r="J271" t="str">
        <f>IF(CALC_EPM!$B260="","",CALC_EPM!J260)</f>
      </c>
      <c r="K271" t="str">
        <f>IF(CALC_EPM!$B260="","",CALC_EPM!K260)</f>
      </c>
      <c r="L271">
        <f>IF(CALC_EPM!$B260="","",CALC_EPM!L260)</f>
      </c>
      <c r="M271">
        <f>IF(CALC_EPM!$B260="","",CALC_EPM!M260)</f>
      </c>
      <c r="N271">
        <f>IF(CALC_EPM!$B260="","",CALC_EPM!N260)</f>
      </c>
      <c r="O271">
        <f>IF(CALC_EPM!$B260="","",CALC_EPM!O260)</f>
      </c>
      <c r="P271">
        <f>IF(CALC_EPM!$B260="","",CALC_EPM!P260)</f>
      </c>
      <c r="Q271">
        <f>IF(CALC_EPM!$B260="","",CALC_EPM!Q260)</f>
      </c>
      <c r="R271">
        <f>IF(CALC_EPM!$B260="","",CALC_EPM!R260)</f>
      </c>
      <c r="S271">
        <f>IF(CALC_EPM!$B260="","",CALC_EPM!S260)</f>
      </c>
      <c r="T271">
        <f>IF(CALC_EPM!$B260="","",CALC_EPM!T260)</f>
      </c>
      <c r="U271">
        <f>IF(CALC_EPM!$B260="","",CALC_EPM!U260)</f>
      </c>
    </row>
    <row r="272">
      <c r="A272" t="str">
        <f>IF(CALC_EPM!$B261="","",IF(CALC_EPM!A261="GLOBAL",IF(CALC_EPM!C261="Total","GLOBAL",IF(CALC_EPM!C261="TotalEsp","GLOBAL_ESP",IF(CALC_EPM!C261="TotalNoEsp","GLOBAL_NOESP","GLOBAL_ASIG"))),IF(CALC_EPM!C261="Total","CURSO_TOTAL",IF(CALC_EPM!C261="TotalEsp","CURSO_ESP",IF(CALC_EPM!C261="TotalNoEsp","CURSO_NOESP","CURSO_ASIG")))))</f>
      </c>
      <c r="B272" t="str">
        <f>IF(CALC_EPM!$B261="","",CALC_EPM!A261)</f>
      </c>
      <c r="C272" t="str">
        <f>IF(CALC_EPM!$B261="","",CALC_EPM!B261)</f>
      </c>
      <c r="D272">
        <f>IF(CALC_EPM!$B261="","",CALC_EPM!D261)</f>
      </c>
      <c r="E272" s="10" t="str">
        <f>IF(CALC_EPM!$B261="","",CALC_EPM!E261)</f>
      </c>
      <c r="F272" s="10" t="str">
        <f>IF(CALC_EPM!$B261="","",CALC_EPM!F261)</f>
      </c>
      <c r="G272" t="str">
        <f>IF(CALC_EPM!$B261="","",CALC_EPM!G261)</f>
      </c>
      <c r="H272" s="11" t="str">
        <f>IF(CALC_EPM!$B261="","",CALC_EPM!H261)</f>
      </c>
      <c r="I272" s="11" t="str">
        <f>IF(CALC_EPM!$B261="","",CALC_EPM!I261)</f>
      </c>
      <c r="J272" t="str">
        <f>IF(CALC_EPM!$B261="","",CALC_EPM!J261)</f>
      </c>
      <c r="K272" t="str">
        <f>IF(CALC_EPM!$B261="","",CALC_EPM!K261)</f>
      </c>
      <c r="L272">
        <f>IF(CALC_EPM!$B261="","",CALC_EPM!L261)</f>
      </c>
      <c r="M272">
        <f>IF(CALC_EPM!$B261="","",CALC_EPM!M261)</f>
      </c>
      <c r="N272">
        <f>IF(CALC_EPM!$B261="","",CALC_EPM!N261)</f>
      </c>
      <c r="O272">
        <f>IF(CALC_EPM!$B261="","",CALC_EPM!O261)</f>
      </c>
      <c r="P272">
        <f>IF(CALC_EPM!$B261="","",CALC_EPM!P261)</f>
      </c>
      <c r="Q272">
        <f>IF(CALC_EPM!$B261="","",CALC_EPM!Q261)</f>
      </c>
      <c r="R272">
        <f>IF(CALC_EPM!$B261="","",CALC_EPM!R261)</f>
      </c>
      <c r="S272">
        <f>IF(CALC_EPM!$B261="","",CALC_EPM!S261)</f>
      </c>
      <c r="T272">
        <f>IF(CALC_EPM!$B261="","",CALC_EPM!T261)</f>
      </c>
      <c r="U272">
        <f>IF(CALC_EPM!$B261="","",CALC_EPM!U261)</f>
      </c>
    </row>
    <row r="273">
      <c r="A273" t="str">
        <f>IF(CALC_EPM!$B262="","",IF(CALC_EPM!A262="GLOBAL",IF(CALC_EPM!C262="Total","GLOBAL",IF(CALC_EPM!C262="TotalEsp","GLOBAL_ESP",IF(CALC_EPM!C262="TotalNoEsp","GLOBAL_NOESP","GLOBAL_ASIG"))),IF(CALC_EPM!C262="Total","CURSO_TOTAL",IF(CALC_EPM!C262="TotalEsp","CURSO_ESP",IF(CALC_EPM!C262="TotalNoEsp","CURSO_NOESP","CURSO_ASIG")))))</f>
      </c>
      <c r="B273" t="str">
        <f>IF(CALC_EPM!$B262="","",CALC_EPM!A262)</f>
      </c>
      <c r="C273" t="str">
        <f>IF(CALC_EPM!$B262="","",CALC_EPM!B262)</f>
      </c>
      <c r="D273">
        <f>IF(CALC_EPM!$B262="","",CALC_EPM!D262)</f>
      </c>
      <c r="E273" s="10" t="str">
        <f>IF(CALC_EPM!$B262="","",CALC_EPM!E262)</f>
      </c>
      <c r="F273" s="10" t="str">
        <f>IF(CALC_EPM!$B262="","",CALC_EPM!F262)</f>
      </c>
      <c r="G273" t="str">
        <f>IF(CALC_EPM!$B262="","",CALC_EPM!G262)</f>
      </c>
      <c r="H273" s="11" t="str">
        <f>IF(CALC_EPM!$B262="","",CALC_EPM!H262)</f>
      </c>
      <c r="I273" s="11" t="str">
        <f>IF(CALC_EPM!$B262="","",CALC_EPM!I262)</f>
      </c>
      <c r="J273" t="str">
        <f>IF(CALC_EPM!$B262="","",CALC_EPM!J262)</f>
      </c>
      <c r="K273" t="str">
        <f>IF(CALC_EPM!$B262="","",CALC_EPM!K262)</f>
      </c>
      <c r="L273">
        <f>IF(CALC_EPM!$B262="","",CALC_EPM!L262)</f>
      </c>
      <c r="M273">
        <f>IF(CALC_EPM!$B262="","",CALC_EPM!M262)</f>
      </c>
      <c r="N273">
        <f>IF(CALC_EPM!$B262="","",CALC_EPM!N262)</f>
      </c>
      <c r="O273">
        <f>IF(CALC_EPM!$B262="","",CALC_EPM!O262)</f>
      </c>
      <c r="P273">
        <f>IF(CALC_EPM!$B262="","",CALC_EPM!P262)</f>
      </c>
      <c r="Q273">
        <f>IF(CALC_EPM!$B262="","",CALC_EPM!Q262)</f>
      </c>
      <c r="R273">
        <f>IF(CALC_EPM!$B262="","",CALC_EPM!R262)</f>
      </c>
      <c r="S273">
        <f>IF(CALC_EPM!$B262="","",CALC_EPM!S262)</f>
      </c>
      <c r="T273">
        <f>IF(CALC_EPM!$B262="","",CALC_EPM!T262)</f>
      </c>
      <c r="U273">
        <f>IF(CALC_EPM!$B262="","",CALC_EPM!U262)</f>
      </c>
    </row>
    <row r="274">
      <c r="A274" t="str">
        <f>IF(CALC_EPM!$B263="","",IF(CALC_EPM!A263="GLOBAL",IF(CALC_EPM!C263="Total","GLOBAL",IF(CALC_EPM!C263="TotalEsp","GLOBAL_ESP",IF(CALC_EPM!C263="TotalNoEsp","GLOBAL_NOESP","GLOBAL_ASIG"))),IF(CALC_EPM!C263="Total","CURSO_TOTAL",IF(CALC_EPM!C263="TotalEsp","CURSO_ESP",IF(CALC_EPM!C263="TotalNoEsp","CURSO_NOESP","CURSO_ASIG")))))</f>
      </c>
      <c r="B274" t="str">
        <f>IF(CALC_EPM!$B263="","",CALC_EPM!A263)</f>
      </c>
      <c r="C274" t="str">
        <f>IF(CALC_EPM!$B263="","",CALC_EPM!B263)</f>
      </c>
      <c r="D274">
        <f>IF(CALC_EPM!$B263="","",CALC_EPM!D263)</f>
      </c>
      <c r="E274" s="10" t="str">
        <f>IF(CALC_EPM!$B263="","",CALC_EPM!E263)</f>
      </c>
      <c r="F274" s="10" t="str">
        <f>IF(CALC_EPM!$B263="","",CALC_EPM!F263)</f>
      </c>
      <c r="G274" t="str">
        <f>IF(CALC_EPM!$B263="","",CALC_EPM!G263)</f>
      </c>
      <c r="H274" s="11" t="str">
        <f>IF(CALC_EPM!$B263="","",CALC_EPM!H263)</f>
      </c>
      <c r="I274" s="11" t="str">
        <f>IF(CALC_EPM!$B263="","",CALC_EPM!I263)</f>
      </c>
      <c r="J274" t="str">
        <f>IF(CALC_EPM!$B263="","",CALC_EPM!J263)</f>
      </c>
      <c r="K274" t="str">
        <f>IF(CALC_EPM!$B263="","",CALC_EPM!K263)</f>
      </c>
      <c r="L274">
        <f>IF(CALC_EPM!$B263="","",CALC_EPM!L263)</f>
      </c>
      <c r="M274">
        <f>IF(CALC_EPM!$B263="","",CALC_EPM!M263)</f>
      </c>
      <c r="N274">
        <f>IF(CALC_EPM!$B263="","",CALC_EPM!N263)</f>
      </c>
      <c r="O274">
        <f>IF(CALC_EPM!$B263="","",CALC_EPM!O263)</f>
      </c>
      <c r="P274">
        <f>IF(CALC_EPM!$B263="","",CALC_EPM!P263)</f>
      </c>
      <c r="Q274">
        <f>IF(CALC_EPM!$B263="","",CALC_EPM!Q263)</f>
      </c>
      <c r="R274">
        <f>IF(CALC_EPM!$B263="","",CALC_EPM!R263)</f>
      </c>
      <c r="S274">
        <f>IF(CALC_EPM!$B263="","",CALC_EPM!S263)</f>
      </c>
      <c r="T274">
        <f>IF(CALC_EPM!$B263="","",CALC_EPM!T263)</f>
      </c>
      <c r="U274">
        <f>IF(CALC_EPM!$B263="","",CALC_EPM!U263)</f>
      </c>
    </row>
    <row r="275">
      <c r="A275" t="str">
        <f>IF(CALC_EPM!$B264="","",IF(CALC_EPM!A264="GLOBAL",IF(CALC_EPM!C264="Total","GLOBAL",IF(CALC_EPM!C264="TotalEsp","GLOBAL_ESP",IF(CALC_EPM!C264="TotalNoEsp","GLOBAL_NOESP","GLOBAL_ASIG"))),IF(CALC_EPM!C264="Total","CURSO_TOTAL",IF(CALC_EPM!C264="TotalEsp","CURSO_ESP",IF(CALC_EPM!C264="TotalNoEsp","CURSO_NOESP","CURSO_ASIG")))))</f>
      </c>
      <c r="B275" t="str">
        <f>IF(CALC_EPM!$B264="","",CALC_EPM!A264)</f>
      </c>
      <c r="C275" t="str">
        <f>IF(CALC_EPM!$B264="","",CALC_EPM!B264)</f>
      </c>
      <c r="D275">
        <f>IF(CALC_EPM!$B264="","",CALC_EPM!D264)</f>
      </c>
      <c r="E275" s="10" t="str">
        <f>IF(CALC_EPM!$B264="","",CALC_EPM!E264)</f>
      </c>
      <c r="F275" s="10" t="str">
        <f>IF(CALC_EPM!$B264="","",CALC_EPM!F264)</f>
      </c>
      <c r="G275" t="str">
        <f>IF(CALC_EPM!$B264="","",CALC_EPM!G264)</f>
      </c>
      <c r="H275" s="11" t="str">
        <f>IF(CALC_EPM!$B264="","",CALC_EPM!H264)</f>
      </c>
      <c r="I275" s="11" t="str">
        <f>IF(CALC_EPM!$B264="","",CALC_EPM!I264)</f>
      </c>
      <c r="J275" t="str">
        <f>IF(CALC_EPM!$B264="","",CALC_EPM!J264)</f>
      </c>
      <c r="K275" t="str">
        <f>IF(CALC_EPM!$B264="","",CALC_EPM!K264)</f>
      </c>
      <c r="L275">
        <f>IF(CALC_EPM!$B264="","",CALC_EPM!L264)</f>
      </c>
      <c r="M275">
        <f>IF(CALC_EPM!$B264="","",CALC_EPM!M264)</f>
      </c>
      <c r="N275">
        <f>IF(CALC_EPM!$B264="","",CALC_EPM!N264)</f>
      </c>
      <c r="O275">
        <f>IF(CALC_EPM!$B264="","",CALC_EPM!O264)</f>
      </c>
      <c r="P275">
        <f>IF(CALC_EPM!$B264="","",CALC_EPM!P264)</f>
      </c>
      <c r="Q275">
        <f>IF(CALC_EPM!$B264="","",CALC_EPM!Q264)</f>
      </c>
      <c r="R275">
        <f>IF(CALC_EPM!$B264="","",CALC_EPM!R264)</f>
      </c>
      <c r="S275">
        <f>IF(CALC_EPM!$B264="","",CALC_EPM!S264)</f>
      </c>
      <c r="T275">
        <f>IF(CALC_EPM!$B264="","",CALC_EPM!T264)</f>
      </c>
      <c r="U275">
        <f>IF(CALC_EPM!$B264="","",CALC_EPM!U264)</f>
      </c>
    </row>
    <row r="276">
      <c r="A276" t="str">
        <f>IF(CALC_EPM!$B265="","",IF(CALC_EPM!A265="GLOBAL",IF(CALC_EPM!C265="Total","GLOBAL",IF(CALC_EPM!C265="TotalEsp","GLOBAL_ESP",IF(CALC_EPM!C265="TotalNoEsp","GLOBAL_NOESP","GLOBAL_ASIG"))),IF(CALC_EPM!C265="Total","CURSO_TOTAL",IF(CALC_EPM!C265="TotalEsp","CURSO_ESP",IF(CALC_EPM!C265="TotalNoEsp","CURSO_NOESP","CURSO_ASIG")))))</f>
      </c>
      <c r="B276" t="str">
        <f>IF(CALC_EPM!$B265="","",CALC_EPM!A265)</f>
      </c>
      <c r="C276" t="str">
        <f>IF(CALC_EPM!$B265="","",CALC_EPM!B265)</f>
      </c>
      <c r="D276">
        <f>IF(CALC_EPM!$B265="","",CALC_EPM!D265)</f>
      </c>
      <c r="E276" s="10" t="str">
        <f>IF(CALC_EPM!$B265="","",CALC_EPM!E265)</f>
      </c>
      <c r="F276" s="10" t="str">
        <f>IF(CALC_EPM!$B265="","",CALC_EPM!F265)</f>
      </c>
      <c r="G276" t="str">
        <f>IF(CALC_EPM!$B265="","",CALC_EPM!G265)</f>
      </c>
      <c r="H276" s="11" t="str">
        <f>IF(CALC_EPM!$B265="","",CALC_EPM!H265)</f>
      </c>
      <c r="I276" s="11" t="str">
        <f>IF(CALC_EPM!$B265="","",CALC_EPM!I265)</f>
      </c>
      <c r="J276" t="str">
        <f>IF(CALC_EPM!$B265="","",CALC_EPM!J265)</f>
      </c>
      <c r="K276" t="str">
        <f>IF(CALC_EPM!$B265="","",CALC_EPM!K265)</f>
      </c>
      <c r="L276">
        <f>IF(CALC_EPM!$B265="","",CALC_EPM!L265)</f>
      </c>
      <c r="M276">
        <f>IF(CALC_EPM!$B265="","",CALC_EPM!M265)</f>
      </c>
      <c r="N276">
        <f>IF(CALC_EPM!$B265="","",CALC_EPM!N265)</f>
      </c>
      <c r="O276">
        <f>IF(CALC_EPM!$B265="","",CALC_EPM!O265)</f>
      </c>
      <c r="P276">
        <f>IF(CALC_EPM!$B265="","",CALC_EPM!P265)</f>
      </c>
      <c r="Q276">
        <f>IF(CALC_EPM!$B265="","",CALC_EPM!Q265)</f>
      </c>
      <c r="R276">
        <f>IF(CALC_EPM!$B265="","",CALC_EPM!R265)</f>
      </c>
      <c r="S276">
        <f>IF(CALC_EPM!$B265="","",CALC_EPM!S265)</f>
      </c>
      <c r="T276">
        <f>IF(CALC_EPM!$B265="","",CALC_EPM!T265)</f>
      </c>
      <c r="U276">
        <f>IF(CALC_EPM!$B265="","",CALC_EPM!U265)</f>
      </c>
    </row>
    <row r="277">
      <c r="A277" t="str">
        <f>IF(CALC_EPM!$B266="","",IF(CALC_EPM!A266="GLOBAL",IF(CALC_EPM!C266="Total","GLOBAL",IF(CALC_EPM!C266="TotalEsp","GLOBAL_ESP",IF(CALC_EPM!C266="TotalNoEsp","GLOBAL_NOESP","GLOBAL_ASIG"))),IF(CALC_EPM!C266="Total","CURSO_TOTAL",IF(CALC_EPM!C266="TotalEsp","CURSO_ESP",IF(CALC_EPM!C266="TotalNoEsp","CURSO_NOESP","CURSO_ASIG")))))</f>
      </c>
      <c r="B277" t="str">
        <f>IF(CALC_EPM!$B266="","",CALC_EPM!A266)</f>
      </c>
      <c r="C277" t="str">
        <f>IF(CALC_EPM!$B266="","",CALC_EPM!B266)</f>
      </c>
      <c r="D277">
        <f>IF(CALC_EPM!$B266="","",CALC_EPM!D266)</f>
      </c>
      <c r="E277" s="10" t="str">
        <f>IF(CALC_EPM!$B266="","",CALC_EPM!E266)</f>
      </c>
      <c r="F277" s="10" t="str">
        <f>IF(CALC_EPM!$B266="","",CALC_EPM!F266)</f>
      </c>
      <c r="G277" t="str">
        <f>IF(CALC_EPM!$B266="","",CALC_EPM!G266)</f>
      </c>
      <c r="H277" s="11" t="str">
        <f>IF(CALC_EPM!$B266="","",CALC_EPM!H266)</f>
      </c>
      <c r="I277" s="11" t="str">
        <f>IF(CALC_EPM!$B266="","",CALC_EPM!I266)</f>
      </c>
      <c r="J277" t="str">
        <f>IF(CALC_EPM!$B266="","",CALC_EPM!J266)</f>
      </c>
      <c r="K277" t="str">
        <f>IF(CALC_EPM!$B266="","",CALC_EPM!K266)</f>
      </c>
      <c r="L277">
        <f>IF(CALC_EPM!$B266="","",CALC_EPM!L266)</f>
      </c>
      <c r="M277">
        <f>IF(CALC_EPM!$B266="","",CALC_EPM!M266)</f>
      </c>
      <c r="N277">
        <f>IF(CALC_EPM!$B266="","",CALC_EPM!N266)</f>
      </c>
      <c r="O277">
        <f>IF(CALC_EPM!$B266="","",CALC_EPM!O266)</f>
      </c>
      <c r="P277">
        <f>IF(CALC_EPM!$B266="","",CALC_EPM!P266)</f>
      </c>
      <c r="Q277">
        <f>IF(CALC_EPM!$B266="","",CALC_EPM!Q266)</f>
      </c>
      <c r="R277">
        <f>IF(CALC_EPM!$B266="","",CALC_EPM!R266)</f>
      </c>
      <c r="S277">
        <f>IF(CALC_EPM!$B266="","",CALC_EPM!S266)</f>
      </c>
      <c r="T277">
        <f>IF(CALC_EPM!$B266="","",CALC_EPM!T266)</f>
      </c>
      <c r="U277">
        <f>IF(CALC_EPM!$B266="","",CALC_EPM!U266)</f>
      </c>
    </row>
    <row r="278">
      <c r="A278" t="str">
        <f>IF(CALC_EPM!$B267="","",IF(CALC_EPM!A267="GLOBAL",IF(CALC_EPM!C267="Total","GLOBAL",IF(CALC_EPM!C267="TotalEsp","GLOBAL_ESP",IF(CALC_EPM!C267="TotalNoEsp","GLOBAL_NOESP","GLOBAL_ASIG"))),IF(CALC_EPM!C267="Total","CURSO_TOTAL",IF(CALC_EPM!C267="TotalEsp","CURSO_ESP",IF(CALC_EPM!C267="TotalNoEsp","CURSO_NOESP","CURSO_ASIG")))))</f>
      </c>
      <c r="B278" t="str">
        <f>IF(CALC_EPM!$B267="","",CALC_EPM!A267)</f>
      </c>
      <c r="C278" t="str">
        <f>IF(CALC_EPM!$B267="","",CALC_EPM!B267)</f>
      </c>
      <c r="D278">
        <f>IF(CALC_EPM!$B267="","",CALC_EPM!D267)</f>
      </c>
      <c r="E278" s="10" t="str">
        <f>IF(CALC_EPM!$B267="","",CALC_EPM!E267)</f>
      </c>
      <c r="F278" s="10" t="str">
        <f>IF(CALC_EPM!$B267="","",CALC_EPM!F267)</f>
      </c>
      <c r="G278" t="str">
        <f>IF(CALC_EPM!$B267="","",CALC_EPM!G267)</f>
      </c>
      <c r="H278" s="11" t="str">
        <f>IF(CALC_EPM!$B267="","",CALC_EPM!H267)</f>
      </c>
      <c r="I278" s="11" t="str">
        <f>IF(CALC_EPM!$B267="","",CALC_EPM!I267)</f>
      </c>
      <c r="J278" t="str">
        <f>IF(CALC_EPM!$B267="","",CALC_EPM!J267)</f>
      </c>
      <c r="K278" t="str">
        <f>IF(CALC_EPM!$B267="","",CALC_EPM!K267)</f>
      </c>
      <c r="L278">
        <f>IF(CALC_EPM!$B267="","",CALC_EPM!L267)</f>
      </c>
      <c r="M278">
        <f>IF(CALC_EPM!$B267="","",CALC_EPM!M267)</f>
      </c>
      <c r="N278">
        <f>IF(CALC_EPM!$B267="","",CALC_EPM!N267)</f>
      </c>
      <c r="O278">
        <f>IF(CALC_EPM!$B267="","",CALC_EPM!O267)</f>
      </c>
      <c r="P278">
        <f>IF(CALC_EPM!$B267="","",CALC_EPM!P267)</f>
      </c>
      <c r="Q278">
        <f>IF(CALC_EPM!$B267="","",CALC_EPM!Q267)</f>
      </c>
      <c r="R278">
        <f>IF(CALC_EPM!$B267="","",CALC_EPM!R267)</f>
      </c>
      <c r="S278">
        <f>IF(CALC_EPM!$B267="","",CALC_EPM!S267)</f>
      </c>
      <c r="T278">
        <f>IF(CALC_EPM!$B267="","",CALC_EPM!T267)</f>
      </c>
      <c r="U278">
        <f>IF(CALC_EPM!$B267="","",CALC_EPM!U267)</f>
      </c>
    </row>
    <row r="279">
      <c r="A279" t="str">
        <f>IF(CALC_EPM!$B268="","",IF(CALC_EPM!A268="GLOBAL",IF(CALC_EPM!C268="Total","GLOBAL",IF(CALC_EPM!C268="TotalEsp","GLOBAL_ESP",IF(CALC_EPM!C268="TotalNoEsp","GLOBAL_NOESP","GLOBAL_ASIG"))),IF(CALC_EPM!C268="Total","CURSO_TOTAL",IF(CALC_EPM!C268="TotalEsp","CURSO_ESP",IF(CALC_EPM!C268="TotalNoEsp","CURSO_NOESP","CURSO_ASIG")))))</f>
      </c>
      <c r="B279" t="str">
        <f>IF(CALC_EPM!$B268="","",CALC_EPM!A268)</f>
      </c>
      <c r="C279" t="str">
        <f>IF(CALC_EPM!$B268="","",CALC_EPM!B268)</f>
      </c>
      <c r="D279">
        <f>IF(CALC_EPM!$B268="","",CALC_EPM!D268)</f>
      </c>
      <c r="E279" s="10" t="str">
        <f>IF(CALC_EPM!$B268="","",CALC_EPM!E268)</f>
      </c>
      <c r="F279" s="10" t="str">
        <f>IF(CALC_EPM!$B268="","",CALC_EPM!F268)</f>
      </c>
      <c r="G279" t="str">
        <f>IF(CALC_EPM!$B268="","",CALC_EPM!G268)</f>
      </c>
      <c r="H279" s="11" t="str">
        <f>IF(CALC_EPM!$B268="","",CALC_EPM!H268)</f>
      </c>
      <c r="I279" s="11" t="str">
        <f>IF(CALC_EPM!$B268="","",CALC_EPM!I268)</f>
      </c>
      <c r="J279" t="str">
        <f>IF(CALC_EPM!$B268="","",CALC_EPM!J268)</f>
      </c>
      <c r="K279" t="str">
        <f>IF(CALC_EPM!$B268="","",CALC_EPM!K268)</f>
      </c>
      <c r="L279">
        <f>IF(CALC_EPM!$B268="","",CALC_EPM!L268)</f>
      </c>
      <c r="M279">
        <f>IF(CALC_EPM!$B268="","",CALC_EPM!M268)</f>
      </c>
      <c r="N279">
        <f>IF(CALC_EPM!$B268="","",CALC_EPM!N268)</f>
      </c>
      <c r="O279">
        <f>IF(CALC_EPM!$B268="","",CALC_EPM!O268)</f>
      </c>
      <c r="P279">
        <f>IF(CALC_EPM!$B268="","",CALC_EPM!P268)</f>
      </c>
      <c r="Q279">
        <f>IF(CALC_EPM!$B268="","",CALC_EPM!Q268)</f>
      </c>
      <c r="R279">
        <f>IF(CALC_EPM!$B268="","",CALC_EPM!R268)</f>
      </c>
      <c r="S279">
        <f>IF(CALC_EPM!$B268="","",CALC_EPM!S268)</f>
      </c>
      <c r="T279">
        <f>IF(CALC_EPM!$B268="","",CALC_EPM!T268)</f>
      </c>
      <c r="U279">
        <f>IF(CALC_EPM!$B268="","",CALC_EPM!U268)</f>
      </c>
    </row>
    <row r="280">
      <c r="A280" t="str">
        <f>IF(CALC_EPM!$B269="","",IF(CALC_EPM!A269="GLOBAL",IF(CALC_EPM!C269="Total","GLOBAL",IF(CALC_EPM!C269="TotalEsp","GLOBAL_ESP",IF(CALC_EPM!C269="TotalNoEsp","GLOBAL_NOESP","GLOBAL_ASIG"))),IF(CALC_EPM!C269="Total","CURSO_TOTAL",IF(CALC_EPM!C269="TotalEsp","CURSO_ESP",IF(CALC_EPM!C269="TotalNoEsp","CURSO_NOESP","CURSO_ASIG")))))</f>
      </c>
      <c r="B280" t="str">
        <f>IF(CALC_EPM!$B269="","",CALC_EPM!A269)</f>
      </c>
      <c r="C280" t="str">
        <f>IF(CALC_EPM!$B269="","",CALC_EPM!B269)</f>
      </c>
      <c r="D280">
        <f>IF(CALC_EPM!$B269="","",CALC_EPM!D269)</f>
      </c>
      <c r="E280" s="10" t="str">
        <f>IF(CALC_EPM!$B269="","",CALC_EPM!E269)</f>
      </c>
      <c r="F280" s="10" t="str">
        <f>IF(CALC_EPM!$B269="","",CALC_EPM!F269)</f>
      </c>
      <c r="G280" t="str">
        <f>IF(CALC_EPM!$B269="","",CALC_EPM!G269)</f>
      </c>
      <c r="H280" s="11" t="str">
        <f>IF(CALC_EPM!$B269="","",CALC_EPM!H269)</f>
      </c>
      <c r="I280" s="11" t="str">
        <f>IF(CALC_EPM!$B269="","",CALC_EPM!I269)</f>
      </c>
      <c r="J280" t="str">
        <f>IF(CALC_EPM!$B269="","",CALC_EPM!J269)</f>
      </c>
      <c r="K280" t="str">
        <f>IF(CALC_EPM!$B269="","",CALC_EPM!K269)</f>
      </c>
      <c r="L280">
        <f>IF(CALC_EPM!$B269="","",CALC_EPM!L269)</f>
      </c>
      <c r="M280">
        <f>IF(CALC_EPM!$B269="","",CALC_EPM!M269)</f>
      </c>
      <c r="N280">
        <f>IF(CALC_EPM!$B269="","",CALC_EPM!N269)</f>
      </c>
      <c r="O280">
        <f>IF(CALC_EPM!$B269="","",CALC_EPM!O269)</f>
      </c>
      <c r="P280">
        <f>IF(CALC_EPM!$B269="","",CALC_EPM!P269)</f>
      </c>
      <c r="Q280">
        <f>IF(CALC_EPM!$B269="","",CALC_EPM!Q269)</f>
      </c>
      <c r="R280">
        <f>IF(CALC_EPM!$B269="","",CALC_EPM!R269)</f>
      </c>
      <c r="S280">
        <f>IF(CALC_EPM!$B269="","",CALC_EPM!S269)</f>
      </c>
      <c r="T280">
        <f>IF(CALC_EPM!$B269="","",CALC_EPM!T269)</f>
      </c>
      <c r="U280">
        <f>IF(CALC_EPM!$B269="","",CALC_EPM!U269)</f>
      </c>
    </row>
    <row r="281">
      <c r="A281" t="str">
        <f>IF(CALC_EPM!$B270="","",IF(CALC_EPM!A270="GLOBAL",IF(CALC_EPM!C270="Total","GLOBAL",IF(CALC_EPM!C270="TotalEsp","GLOBAL_ESP",IF(CALC_EPM!C270="TotalNoEsp","GLOBAL_NOESP","GLOBAL_ASIG"))),IF(CALC_EPM!C270="Total","CURSO_TOTAL",IF(CALC_EPM!C270="TotalEsp","CURSO_ESP",IF(CALC_EPM!C270="TotalNoEsp","CURSO_NOESP","CURSO_ASIG")))))</f>
      </c>
      <c r="B281" t="str">
        <f>IF(CALC_EPM!$B270="","",CALC_EPM!A270)</f>
      </c>
      <c r="C281" t="str">
        <f>IF(CALC_EPM!$B270="","",CALC_EPM!B270)</f>
      </c>
      <c r="D281">
        <f>IF(CALC_EPM!$B270="","",CALC_EPM!D270)</f>
      </c>
      <c r="E281" s="10" t="str">
        <f>IF(CALC_EPM!$B270="","",CALC_EPM!E270)</f>
      </c>
      <c r="F281" s="10" t="str">
        <f>IF(CALC_EPM!$B270="","",CALC_EPM!F270)</f>
      </c>
      <c r="G281" t="str">
        <f>IF(CALC_EPM!$B270="","",CALC_EPM!G270)</f>
      </c>
      <c r="H281" s="11" t="str">
        <f>IF(CALC_EPM!$B270="","",CALC_EPM!H270)</f>
      </c>
      <c r="I281" s="11" t="str">
        <f>IF(CALC_EPM!$B270="","",CALC_EPM!I270)</f>
      </c>
      <c r="J281" t="str">
        <f>IF(CALC_EPM!$B270="","",CALC_EPM!J270)</f>
      </c>
      <c r="K281" t="str">
        <f>IF(CALC_EPM!$B270="","",CALC_EPM!K270)</f>
      </c>
      <c r="L281">
        <f>IF(CALC_EPM!$B270="","",CALC_EPM!L270)</f>
      </c>
      <c r="M281">
        <f>IF(CALC_EPM!$B270="","",CALC_EPM!M270)</f>
      </c>
      <c r="N281">
        <f>IF(CALC_EPM!$B270="","",CALC_EPM!N270)</f>
      </c>
      <c r="O281">
        <f>IF(CALC_EPM!$B270="","",CALC_EPM!O270)</f>
      </c>
      <c r="P281">
        <f>IF(CALC_EPM!$B270="","",CALC_EPM!P270)</f>
      </c>
      <c r="Q281">
        <f>IF(CALC_EPM!$B270="","",CALC_EPM!Q270)</f>
      </c>
      <c r="R281">
        <f>IF(CALC_EPM!$B270="","",CALC_EPM!R270)</f>
      </c>
      <c r="S281">
        <f>IF(CALC_EPM!$B270="","",CALC_EPM!S270)</f>
      </c>
      <c r="T281">
        <f>IF(CALC_EPM!$B270="","",CALC_EPM!T270)</f>
      </c>
      <c r="U281">
        <f>IF(CALC_EPM!$B270="","",CALC_EPM!U270)</f>
      </c>
    </row>
    <row r="282">
      <c r="A282" t="str">
        <f>IF(CALC_EPM!$B271="","",IF(CALC_EPM!A271="GLOBAL",IF(CALC_EPM!C271="Total","GLOBAL",IF(CALC_EPM!C271="TotalEsp","GLOBAL_ESP",IF(CALC_EPM!C271="TotalNoEsp","GLOBAL_NOESP","GLOBAL_ASIG"))),IF(CALC_EPM!C271="Total","CURSO_TOTAL",IF(CALC_EPM!C271="TotalEsp","CURSO_ESP",IF(CALC_EPM!C271="TotalNoEsp","CURSO_NOESP","CURSO_ASIG")))))</f>
      </c>
      <c r="B282" t="str">
        <f>IF(CALC_EPM!$B271="","",CALC_EPM!A271)</f>
      </c>
      <c r="C282" t="str">
        <f>IF(CALC_EPM!$B271="","",CALC_EPM!B271)</f>
      </c>
      <c r="D282">
        <f>IF(CALC_EPM!$B271="","",CALC_EPM!D271)</f>
      </c>
      <c r="E282" s="10" t="str">
        <f>IF(CALC_EPM!$B271="","",CALC_EPM!E271)</f>
      </c>
      <c r="F282" s="10" t="str">
        <f>IF(CALC_EPM!$B271="","",CALC_EPM!F271)</f>
      </c>
      <c r="G282" t="str">
        <f>IF(CALC_EPM!$B271="","",CALC_EPM!G271)</f>
      </c>
      <c r="H282" s="11" t="str">
        <f>IF(CALC_EPM!$B271="","",CALC_EPM!H271)</f>
      </c>
      <c r="I282" s="11" t="str">
        <f>IF(CALC_EPM!$B271="","",CALC_EPM!I271)</f>
      </c>
      <c r="J282" t="str">
        <f>IF(CALC_EPM!$B271="","",CALC_EPM!J271)</f>
      </c>
      <c r="K282" t="str">
        <f>IF(CALC_EPM!$B271="","",CALC_EPM!K271)</f>
      </c>
      <c r="L282">
        <f>IF(CALC_EPM!$B271="","",CALC_EPM!L271)</f>
      </c>
      <c r="M282">
        <f>IF(CALC_EPM!$B271="","",CALC_EPM!M271)</f>
      </c>
      <c r="N282">
        <f>IF(CALC_EPM!$B271="","",CALC_EPM!N271)</f>
      </c>
      <c r="O282">
        <f>IF(CALC_EPM!$B271="","",CALC_EPM!O271)</f>
      </c>
      <c r="P282">
        <f>IF(CALC_EPM!$B271="","",CALC_EPM!P271)</f>
      </c>
      <c r="Q282">
        <f>IF(CALC_EPM!$B271="","",CALC_EPM!Q271)</f>
      </c>
      <c r="R282">
        <f>IF(CALC_EPM!$B271="","",CALC_EPM!R271)</f>
      </c>
      <c r="S282">
        <f>IF(CALC_EPM!$B271="","",CALC_EPM!S271)</f>
      </c>
      <c r="T282">
        <f>IF(CALC_EPM!$B271="","",CALC_EPM!T271)</f>
      </c>
      <c r="U282">
        <f>IF(CALC_EPM!$B271="","",CALC_EPM!U271)</f>
      </c>
    </row>
    <row r="283">
      <c r="A283" t="str">
        <f>IF(CALC_EPM!$B272="","",IF(CALC_EPM!A272="GLOBAL",IF(CALC_EPM!C272="Total","GLOBAL",IF(CALC_EPM!C272="TotalEsp","GLOBAL_ESP",IF(CALC_EPM!C272="TotalNoEsp","GLOBAL_NOESP","GLOBAL_ASIG"))),IF(CALC_EPM!C272="Total","CURSO_TOTAL",IF(CALC_EPM!C272="TotalEsp","CURSO_ESP",IF(CALC_EPM!C272="TotalNoEsp","CURSO_NOESP","CURSO_ASIG")))))</f>
      </c>
      <c r="B283" t="str">
        <f>IF(CALC_EPM!$B272="","",CALC_EPM!A272)</f>
      </c>
      <c r="C283" t="str">
        <f>IF(CALC_EPM!$B272="","",CALC_EPM!B272)</f>
      </c>
      <c r="D283">
        <f>IF(CALC_EPM!$B272="","",CALC_EPM!D272)</f>
      </c>
      <c r="E283" s="10" t="str">
        <f>IF(CALC_EPM!$B272="","",CALC_EPM!E272)</f>
      </c>
      <c r="F283" s="10" t="str">
        <f>IF(CALC_EPM!$B272="","",CALC_EPM!F272)</f>
      </c>
      <c r="G283" t="str">
        <f>IF(CALC_EPM!$B272="","",CALC_EPM!G272)</f>
      </c>
      <c r="H283" s="11" t="str">
        <f>IF(CALC_EPM!$B272="","",CALC_EPM!H272)</f>
      </c>
      <c r="I283" s="11" t="str">
        <f>IF(CALC_EPM!$B272="","",CALC_EPM!I272)</f>
      </c>
      <c r="J283" t="str">
        <f>IF(CALC_EPM!$B272="","",CALC_EPM!J272)</f>
      </c>
      <c r="K283" t="str">
        <f>IF(CALC_EPM!$B272="","",CALC_EPM!K272)</f>
      </c>
      <c r="L283">
        <f>IF(CALC_EPM!$B272="","",CALC_EPM!L272)</f>
      </c>
      <c r="M283">
        <f>IF(CALC_EPM!$B272="","",CALC_EPM!M272)</f>
      </c>
      <c r="N283">
        <f>IF(CALC_EPM!$B272="","",CALC_EPM!N272)</f>
      </c>
      <c r="O283">
        <f>IF(CALC_EPM!$B272="","",CALC_EPM!O272)</f>
      </c>
      <c r="P283">
        <f>IF(CALC_EPM!$B272="","",CALC_EPM!P272)</f>
      </c>
      <c r="Q283">
        <f>IF(CALC_EPM!$B272="","",CALC_EPM!Q272)</f>
      </c>
      <c r="R283">
        <f>IF(CALC_EPM!$B272="","",CALC_EPM!R272)</f>
      </c>
      <c r="S283">
        <f>IF(CALC_EPM!$B272="","",CALC_EPM!S272)</f>
      </c>
      <c r="T283">
        <f>IF(CALC_EPM!$B272="","",CALC_EPM!T272)</f>
      </c>
      <c r="U283">
        <f>IF(CALC_EPM!$B272="","",CALC_EPM!U272)</f>
      </c>
    </row>
    <row r="284">
      <c r="A284" t="str">
        <f>IF(CALC_EPM!$B273="","",IF(CALC_EPM!A273="GLOBAL",IF(CALC_EPM!C273="Total","GLOBAL",IF(CALC_EPM!C273="TotalEsp","GLOBAL_ESP",IF(CALC_EPM!C273="TotalNoEsp","GLOBAL_NOESP","GLOBAL_ASIG"))),IF(CALC_EPM!C273="Total","CURSO_TOTAL",IF(CALC_EPM!C273="TotalEsp","CURSO_ESP",IF(CALC_EPM!C273="TotalNoEsp","CURSO_NOESP","CURSO_ASIG")))))</f>
      </c>
      <c r="B284" t="str">
        <f>IF(CALC_EPM!$B273="","",CALC_EPM!A273)</f>
      </c>
      <c r="C284" t="str">
        <f>IF(CALC_EPM!$B273="","",CALC_EPM!B273)</f>
      </c>
      <c r="D284">
        <f>IF(CALC_EPM!$B273="","",CALC_EPM!D273)</f>
      </c>
      <c r="E284" s="10" t="str">
        <f>IF(CALC_EPM!$B273="","",CALC_EPM!E273)</f>
      </c>
      <c r="F284" s="10" t="str">
        <f>IF(CALC_EPM!$B273="","",CALC_EPM!F273)</f>
      </c>
      <c r="G284" t="str">
        <f>IF(CALC_EPM!$B273="","",CALC_EPM!G273)</f>
      </c>
      <c r="H284" s="11" t="str">
        <f>IF(CALC_EPM!$B273="","",CALC_EPM!H273)</f>
      </c>
      <c r="I284" s="11" t="str">
        <f>IF(CALC_EPM!$B273="","",CALC_EPM!I273)</f>
      </c>
      <c r="J284" t="str">
        <f>IF(CALC_EPM!$B273="","",CALC_EPM!J273)</f>
      </c>
      <c r="K284" t="str">
        <f>IF(CALC_EPM!$B273="","",CALC_EPM!K273)</f>
      </c>
      <c r="L284">
        <f>IF(CALC_EPM!$B273="","",CALC_EPM!L273)</f>
      </c>
      <c r="M284">
        <f>IF(CALC_EPM!$B273="","",CALC_EPM!M273)</f>
      </c>
      <c r="N284">
        <f>IF(CALC_EPM!$B273="","",CALC_EPM!N273)</f>
      </c>
      <c r="O284">
        <f>IF(CALC_EPM!$B273="","",CALC_EPM!O273)</f>
      </c>
      <c r="P284">
        <f>IF(CALC_EPM!$B273="","",CALC_EPM!P273)</f>
      </c>
      <c r="Q284">
        <f>IF(CALC_EPM!$B273="","",CALC_EPM!Q273)</f>
      </c>
      <c r="R284">
        <f>IF(CALC_EPM!$B273="","",CALC_EPM!R273)</f>
      </c>
      <c r="S284">
        <f>IF(CALC_EPM!$B273="","",CALC_EPM!S273)</f>
      </c>
      <c r="T284">
        <f>IF(CALC_EPM!$B273="","",CALC_EPM!T273)</f>
      </c>
      <c r="U284">
        <f>IF(CALC_EPM!$B273="","",CALC_EPM!U273)</f>
      </c>
    </row>
    <row r="285">
      <c r="A285" t="str">
        <f>IF(CALC_EPM!$B274="","",IF(CALC_EPM!A274="GLOBAL",IF(CALC_EPM!C274="Total","GLOBAL",IF(CALC_EPM!C274="TotalEsp","GLOBAL_ESP",IF(CALC_EPM!C274="TotalNoEsp","GLOBAL_NOESP","GLOBAL_ASIG"))),IF(CALC_EPM!C274="Total","CURSO_TOTAL",IF(CALC_EPM!C274="TotalEsp","CURSO_ESP",IF(CALC_EPM!C274="TotalNoEsp","CURSO_NOESP","CURSO_ASIG")))))</f>
      </c>
      <c r="B285" t="str">
        <f>IF(CALC_EPM!$B274="","",CALC_EPM!A274)</f>
      </c>
      <c r="C285" t="str">
        <f>IF(CALC_EPM!$B274="","",CALC_EPM!B274)</f>
      </c>
      <c r="D285">
        <f>IF(CALC_EPM!$B274="","",CALC_EPM!D274)</f>
      </c>
      <c r="E285" s="10" t="str">
        <f>IF(CALC_EPM!$B274="","",CALC_EPM!E274)</f>
      </c>
      <c r="F285" s="10" t="str">
        <f>IF(CALC_EPM!$B274="","",CALC_EPM!F274)</f>
      </c>
      <c r="G285" t="str">
        <f>IF(CALC_EPM!$B274="","",CALC_EPM!G274)</f>
      </c>
      <c r="H285" s="11" t="str">
        <f>IF(CALC_EPM!$B274="","",CALC_EPM!H274)</f>
      </c>
      <c r="I285" s="11" t="str">
        <f>IF(CALC_EPM!$B274="","",CALC_EPM!I274)</f>
      </c>
      <c r="J285" t="str">
        <f>IF(CALC_EPM!$B274="","",CALC_EPM!J274)</f>
      </c>
      <c r="K285" t="str">
        <f>IF(CALC_EPM!$B274="","",CALC_EPM!K274)</f>
      </c>
      <c r="L285">
        <f>IF(CALC_EPM!$B274="","",CALC_EPM!L274)</f>
      </c>
      <c r="M285">
        <f>IF(CALC_EPM!$B274="","",CALC_EPM!M274)</f>
      </c>
      <c r="N285">
        <f>IF(CALC_EPM!$B274="","",CALC_EPM!N274)</f>
      </c>
      <c r="O285">
        <f>IF(CALC_EPM!$B274="","",CALC_EPM!O274)</f>
      </c>
      <c r="P285">
        <f>IF(CALC_EPM!$B274="","",CALC_EPM!P274)</f>
      </c>
      <c r="Q285">
        <f>IF(CALC_EPM!$B274="","",CALC_EPM!Q274)</f>
      </c>
      <c r="R285">
        <f>IF(CALC_EPM!$B274="","",CALC_EPM!R274)</f>
      </c>
      <c r="S285">
        <f>IF(CALC_EPM!$B274="","",CALC_EPM!S274)</f>
      </c>
      <c r="T285">
        <f>IF(CALC_EPM!$B274="","",CALC_EPM!T274)</f>
      </c>
      <c r="U285">
        <f>IF(CALC_EPM!$B274="","",CALC_EPM!U274)</f>
      </c>
    </row>
    <row r="286">
      <c r="A286" t="str">
        <f>IF(CALC_EPM!$B275="","",IF(CALC_EPM!A275="GLOBAL",IF(CALC_EPM!C275="Total","GLOBAL",IF(CALC_EPM!C275="TotalEsp","GLOBAL_ESP",IF(CALC_EPM!C275="TotalNoEsp","GLOBAL_NOESP","GLOBAL_ASIG"))),IF(CALC_EPM!C275="Total","CURSO_TOTAL",IF(CALC_EPM!C275="TotalEsp","CURSO_ESP",IF(CALC_EPM!C275="TotalNoEsp","CURSO_NOESP","CURSO_ASIG")))))</f>
      </c>
      <c r="B286" t="str">
        <f>IF(CALC_EPM!$B275="","",CALC_EPM!A275)</f>
      </c>
      <c r="C286" t="str">
        <f>IF(CALC_EPM!$B275="","",CALC_EPM!B275)</f>
      </c>
      <c r="D286">
        <f>IF(CALC_EPM!$B275="","",CALC_EPM!D275)</f>
      </c>
      <c r="E286" s="10" t="str">
        <f>IF(CALC_EPM!$B275="","",CALC_EPM!E275)</f>
      </c>
      <c r="F286" s="10" t="str">
        <f>IF(CALC_EPM!$B275="","",CALC_EPM!F275)</f>
      </c>
      <c r="G286" t="str">
        <f>IF(CALC_EPM!$B275="","",CALC_EPM!G275)</f>
      </c>
      <c r="H286" s="11" t="str">
        <f>IF(CALC_EPM!$B275="","",CALC_EPM!H275)</f>
      </c>
      <c r="I286" s="11" t="str">
        <f>IF(CALC_EPM!$B275="","",CALC_EPM!I275)</f>
      </c>
      <c r="J286" t="str">
        <f>IF(CALC_EPM!$B275="","",CALC_EPM!J275)</f>
      </c>
      <c r="K286" t="str">
        <f>IF(CALC_EPM!$B275="","",CALC_EPM!K275)</f>
      </c>
      <c r="L286">
        <f>IF(CALC_EPM!$B275="","",CALC_EPM!L275)</f>
      </c>
      <c r="M286">
        <f>IF(CALC_EPM!$B275="","",CALC_EPM!M275)</f>
      </c>
      <c r="N286">
        <f>IF(CALC_EPM!$B275="","",CALC_EPM!N275)</f>
      </c>
      <c r="O286">
        <f>IF(CALC_EPM!$B275="","",CALC_EPM!O275)</f>
      </c>
      <c r="P286">
        <f>IF(CALC_EPM!$B275="","",CALC_EPM!P275)</f>
      </c>
      <c r="Q286">
        <f>IF(CALC_EPM!$B275="","",CALC_EPM!Q275)</f>
      </c>
      <c r="R286">
        <f>IF(CALC_EPM!$B275="","",CALC_EPM!R275)</f>
      </c>
      <c r="S286">
        <f>IF(CALC_EPM!$B275="","",CALC_EPM!S275)</f>
      </c>
      <c r="T286">
        <f>IF(CALC_EPM!$B275="","",CALC_EPM!T275)</f>
      </c>
      <c r="U286">
        <f>IF(CALC_EPM!$B275="","",CALC_EPM!U275)</f>
      </c>
    </row>
    <row r="287">
      <c r="A287" t="str">
        <f>IF(CALC_EPM!$B276="","",IF(CALC_EPM!A276="GLOBAL",IF(CALC_EPM!C276="Total","GLOBAL",IF(CALC_EPM!C276="TotalEsp","GLOBAL_ESP",IF(CALC_EPM!C276="TotalNoEsp","GLOBAL_NOESP","GLOBAL_ASIG"))),IF(CALC_EPM!C276="Total","CURSO_TOTAL",IF(CALC_EPM!C276="TotalEsp","CURSO_ESP",IF(CALC_EPM!C276="TotalNoEsp","CURSO_NOESP","CURSO_ASIG")))))</f>
      </c>
      <c r="B287" t="str">
        <f>IF(CALC_EPM!$B276="","",CALC_EPM!A276)</f>
      </c>
      <c r="C287" t="str">
        <f>IF(CALC_EPM!$B276="","",CALC_EPM!B276)</f>
      </c>
      <c r="D287">
        <f>IF(CALC_EPM!$B276="","",CALC_EPM!D276)</f>
      </c>
      <c r="E287" s="10" t="str">
        <f>IF(CALC_EPM!$B276="","",CALC_EPM!E276)</f>
      </c>
      <c r="F287" s="10" t="str">
        <f>IF(CALC_EPM!$B276="","",CALC_EPM!F276)</f>
      </c>
      <c r="G287" t="str">
        <f>IF(CALC_EPM!$B276="","",CALC_EPM!G276)</f>
      </c>
      <c r="H287" s="11" t="str">
        <f>IF(CALC_EPM!$B276="","",CALC_EPM!H276)</f>
      </c>
      <c r="I287" s="11" t="str">
        <f>IF(CALC_EPM!$B276="","",CALC_EPM!I276)</f>
      </c>
      <c r="J287" t="str">
        <f>IF(CALC_EPM!$B276="","",CALC_EPM!J276)</f>
      </c>
      <c r="K287" t="str">
        <f>IF(CALC_EPM!$B276="","",CALC_EPM!K276)</f>
      </c>
      <c r="L287">
        <f>IF(CALC_EPM!$B276="","",CALC_EPM!L276)</f>
      </c>
      <c r="M287">
        <f>IF(CALC_EPM!$B276="","",CALC_EPM!M276)</f>
      </c>
      <c r="N287">
        <f>IF(CALC_EPM!$B276="","",CALC_EPM!N276)</f>
      </c>
      <c r="O287">
        <f>IF(CALC_EPM!$B276="","",CALC_EPM!O276)</f>
      </c>
      <c r="P287">
        <f>IF(CALC_EPM!$B276="","",CALC_EPM!P276)</f>
      </c>
      <c r="Q287">
        <f>IF(CALC_EPM!$B276="","",CALC_EPM!Q276)</f>
      </c>
      <c r="R287">
        <f>IF(CALC_EPM!$B276="","",CALC_EPM!R276)</f>
      </c>
      <c r="S287">
        <f>IF(CALC_EPM!$B276="","",CALC_EPM!S276)</f>
      </c>
      <c r="T287">
        <f>IF(CALC_EPM!$B276="","",CALC_EPM!T276)</f>
      </c>
      <c r="U287">
        <f>IF(CALC_EPM!$B276="","",CALC_EPM!U276)</f>
      </c>
    </row>
    <row r="288">
      <c r="A288" t="str">
        <f>IF(CALC_EPM!$B277="","",IF(CALC_EPM!A277="GLOBAL",IF(CALC_EPM!C277="Total","GLOBAL",IF(CALC_EPM!C277="TotalEsp","GLOBAL_ESP",IF(CALC_EPM!C277="TotalNoEsp","GLOBAL_NOESP","GLOBAL_ASIG"))),IF(CALC_EPM!C277="Total","CURSO_TOTAL",IF(CALC_EPM!C277="TotalEsp","CURSO_ESP",IF(CALC_EPM!C277="TotalNoEsp","CURSO_NOESP","CURSO_ASIG")))))</f>
      </c>
      <c r="B288" t="str">
        <f>IF(CALC_EPM!$B277="","",CALC_EPM!A277)</f>
      </c>
      <c r="C288" t="str">
        <f>IF(CALC_EPM!$B277="","",CALC_EPM!B277)</f>
      </c>
      <c r="D288">
        <f>IF(CALC_EPM!$B277="","",CALC_EPM!D277)</f>
      </c>
      <c r="E288" s="10" t="str">
        <f>IF(CALC_EPM!$B277="","",CALC_EPM!E277)</f>
      </c>
      <c r="F288" s="10" t="str">
        <f>IF(CALC_EPM!$B277="","",CALC_EPM!F277)</f>
      </c>
      <c r="G288" t="str">
        <f>IF(CALC_EPM!$B277="","",CALC_EPM!G277)</f>
      </c>
      <c r="H288" s="11" t="str">
        <f>IF(CALC_EPM!$B277="","",CALC_EPM!H277)</f>
      </c>
      <c r="I288" s="11" t="str">
        <f>IF(CALC_EPM!$B277="","",CALC_EPM!I277)</f>
      </c>
      <c r="J288" t="str">
        <f>IF(CALC_EPM!$B277="","",CALC_EPM!J277)</f>
      </c>
      <c r="K288" t="str">
        <f>IF(CALC_EPM!$B277="","",CALC_EPM!K277)</f>
      </c>
      <c r="L288">
        <f>IF(CALC_EPM!$B277="","",CALC_EPM!L277)</f>
      </c>
      <c r="M288">
        <f>IF(CALC_EPM!$B277="","",CALC_EPM!M277)</f>
      </c>
      <c r="N288">
        <f>IF(CALC_EPM!$B277="","",CALC_EPM!N277)</f>
      </c>
      <c r="O288">
        <f>IF(CALC_EPM!$B277="","",CALC_EPM!O277)</f>
      </c>
      <c r="P288">
        <f>IF(CALC_EPM!$B277="","",CALC_EPM!P277)</f>
      </c>
      <c r="Q288">
        <f>IF(CALC_EPM!$B277="","",CALC_EPM!Q277)</f>
      </c>
      <c r="R288">
        <f>IF(CALC_EPM!$B277="","",CALC_EPM!R277)</f>
      </c>
      <c r="S288">
        <f>IF(CALC_EPM!$B277="","",CALC_EPM!S277)</f>
      </c>
      <c r="T288">
        <f>IF(CALC_EPM!$B277="","",CALC_EPM!T277)</f>
      </c>
      <c r="U288">
        <f>IF(CALC_EPM!$B277="","",CALC_EPM!U277)</f>
      </c>
    </row>
    <row r="289">
      <c r="A289" t="str">
        <f>IF(CALC_EPM!$B278="","",IF(CALC_EPM!A278="GLOBAL",IF(CALC_EPM!C278="Total","GLOBAL",IF(CALC_EPM!C278="TotalEsp","GLOBAL_ESP",IF(CALC_EPM!C278="TotalNoEsp","GLOBAL_NOESP","GLOBAL_ASIG"))),IF(CALC_EPM!C278="Total","CURSO_TOTAL",IF(CALC_EPM!C278="TotalEsp","CURSO_ESP",IF(CALC_EPM!C278="TotalNoEsp","CURSO_NOESP","CURSO_ASIG")))))</f>
      </c>
      <c r="B289" t="str">
        <f>IF(CALC_EPM!$B278="","",CALC_EPM!A278)</f>
      </c>
      <c r="C289" t="str">
        <f>IF(CALC_EPM!$B278="","",CALC_EPM!B278)</f>
      </c>
      <c r="D289">
        <f>IF(CALC_EPM!$B278="","",CALC_EPM!D278)</f>
      </c>
      <c r="E289" s="10" t="str">
        <f>IF(CALC_EPM!$B278="","",CALC_EPM!E278)</f>
      </c>
      <c r="F289" s="10" t="str">
        <f>IF(CALC_EPM!$B278="","",CALC_EPM!F278)</f>
      </c>
      <c r="G289" t="str">
        <f>IF(CALC_EPM!$B278="","",CALC_EPM!G278)</f>
      </c>
      <c r="H289" s="11" t="str">
        <f>IF(CALC_EPM!$B278="","",CALC_EPM!H278)</f>
      </c>
      <c r="I289" s="11" t="str">
        <f>IF(CALC_EPM!$B278="","",CALC_EPM!I278)</f>
      </c>
      <c r="J289" t="str">
        <f>IF(CALC_EPM!$B278="","",CALC_EPM!J278)</f>
      </c>
      <c r="K289" t="str">
        <f>IF(CALC_EPM!$B278="","",CALC_EPM!K278)</f>
      </c>
      <c r="L289">
        <f>IF(CALC_EPM!$B278="","",CALC_EPM!L278)</f>
      </c>
      <c r="M289">
        <f>IF(CALC_EPM!$B278="","",CALC_EPM!M278)</f>
      </c>
      <c r="N289">
        <f>IF(CALC_EPM!$B278="","",CALC_EPM!N278)</f>
      </c>
      <c r="O289">
        <f>IF(CALC_EPM!$B278="","",CALC_EPM!O278)</f>
      </c>
      <c r="P289">
        <f>IF(CALC_EPM!$B278="","",CALC_EPM!P278)</f>
      </c>
      <c r="Q289">
        <f>IF(CALC_EPM!$B278="","",CALC_EPM!Q278)</f>
      </c>
      <c r="R289">
        <f>IF(CALC_EPM!$B278="","",CALC_EPM!R278)</f>
      </c>
      <c r="S289">
        <f>IF(CALC_EPM!$B278="","",CALC_EPM!S278)</f>
      </c>
      <c r="T289">
        <f>IF(CALC_EPM!$B278="","",CALC_EPM!T278)</f>
      </c>
      <c r="U289">
        <f>IF(CALC_EPM!$B278="","",CALC_EPM!U278)</f>
      </c>
    </row>
    <row r="290">
      <c r="A290" t="str">
        <f>IF(CALC_EPM!$B279="","",IF(CALC_EPM!A279="GLOBAL",IF(CALC_EPM!C279="Total","GLOBAL",IF(CALC_EPM!C279="TotalEsp","GLOBAL_ESP",IF(CALC_EPM!C279="TotalNoEsp","GLOBAL_NOESP","GLOBAL_ASIG"))),IF(CALC_EPM!C279="Total","CURSO_TOTAL",IF(CALC_EPM!C279="TotalEsp","CURSO_ESP",IF(CALC_EPM!C279="TotalNoEsp","CURSO_NOESP","CURSO_ASIG")))))</f>
      </c>
      <c r="B290" t="str">
        <f>IF(CALC_EPM!$B279="","",CALC_EPM!A279)</f>
      </c>
      <c r="C290" t="str">
        <f>IF(CALC_EPM!$B279="","",CALC_EPM!B279)</f>
      </c>
      <c r="D290">
        <f>IF(CALC_EPM!$B279="","",CALC_EPM!D279)</f>
      </c>
      <c r="E290" s="10" t="str">
        <f>IF(CALC_EPM!$B279="","",CALC_EPM!E279)</f>
      </c>
      <c r="F290" s="10" t="str">
        <f>IF(CALC_EPM!$B279="","",CALC_EPM!F279)</f>
      </c>
      <c r="G290" t="str">
        <f>IF(CALC_EPM!$B279="","",CALC_EPM!G279)</f>
      </c>
      <c r="H290" s="11" t="str">
        <f>IF(CALC_EPM!$B279="","",CALC_EPM!H279)</f>
      </c>
      <c r="I290" s="11" t="str">
        <f>IF(CALC_EPM!$B279="","",CALC_EPM!I279)</f>
      </c>
      <c r="J290" t="str">
        <f>IF(CALC_EPM!$B279="","",CALC_EPM!J279)</f>
      </c>
      <c r="K290" t="str">
        <f>IF(CALC_EPM!$B279="","",CALC_EPM!K279)</f>
      </c>
      <c r="L290">
        <f>IF(CALC_EPM!$B279="","",CALC_EPM!L279)</f>
      </c>
      <c r="M290">
        <f>IF(CALC_EPM!$B279="","",CALC_EPM!M279)</f>
      </c>
      <c r="N290">
        <f>IF(CALC_EPM!$B279="","",CALC_EPM!N279)</f>
      </c>
      <c r="O290">
        <f>IF(CALC_EPM!$B279="","",CALC_EPM!O279)</f>
      </c>
      <c r="P290">
        <f>IF(CALC_EPM!$B279="","",CALC_EPM!P279)</f>
      </c>
      <c r="Q290">
        <f>IF(CALC_EPM!$B279="","",CALC_EPM!Q279)</f>
      </c>
      <c r="R290">
        <f>IF(CALC_EPM!$B279="","",CALC_EPM!R279)</f>
      </c>
      <c r="S290">
        <f>IF(CALC_EPM!$B279="","",CALC_EPM!S279)</f>
      </c>
      <c r="T290">
        <f>IF(CALC_EPM!$B279="","",CALC_EPM!T279)</f>
      </c>
      <c r="U290">
        <f>IF(CALC_EPM!$B279="","",CALC_EPM!U279)</f>
      </c>
    </row>
    <row r="291">
      <c r="A291" t="str">
        <f>IF(CALC_EPM!$B280="","",IF(CALC_EPM!A280="GLOBAL",IF(CALC_EPM!C280="Total","GLOBAL",IF(CALC_EPM!C280="TotalEsp","GLOBAL_ESP",IF(CALC_EPM!C280="TotalNoEsp","GLOBAL_NOESP","GLOBAL_ASIG"))),IF(CALC_EPM!C280="Total","CURSO_TOTAL",IF(CALC_EPM!C280="TotalEsp","CURSO_ESP",IF(CALC_EPM!C280="TotalNoEsp","CURSO_NOESP","CURSO_ASIG")))))</f>
      </c>
      <c r="B291" t="str">
        <f>IF(CALC_EPM!$B280="","",CALC_EPM!A280)</f>
      </c>
      <c r="C291" t="str">
        <f>IF(CALC_EPM!$B280="","",CALC_EPM!B280)</f>
      </c>
      <c r="D291">
        <f>IF(CALC_EPM!$B280="","",CALC_EPM!D280)</f>
      </c>
      <c r="E291" s="10" t="str">
        <f>IF(CALC_EPM!$B280="","",CALC_EPM!E280)</f>
      </c>
      <c r="F291" s="10" t="str">
        <f>IF(CALC_EPM!$B280="","",CALC_EPM!F280)</f>
      </c>
      <c r="G291" t="str">
        <f>IF(CALC_EPM!$B280="","",CALC_EPM!G280)</f>
      </c>
      <c r="H291" s="11" t="str">
        <f>IF(CALC_EPM!$B280="","",CALC_EPM!H280)</f>
      </c>
      <c r="I291" s="11" t="str">
        <f>IF(CALC_EPM!$B280="","",CALC_EPM!I280)</f>
      </c>
      <c r="J291" t="str">
        <f>IF(CALC_EPM!$B280="","",CALC_EPM!J280)</f>
      </c>
      <c r="K291" t="str">
        <f>IF(CALC_EPM!$B280="","",CALC_EPM!K280)</f>
      </c>
      <c r="L291">
        <f>IF(CALC_EPM!$B280="","",CALC_EPM!L280)</f>
      </c>
      <c r="M291">
        <f>IF(CALC_EPM!$B280="","",CALC_EPM!M280)</f>
      </c>
      <c r="N291">
        <f>IF(CALC_EPM!$B280="","",CALC_EPM!N280)</f>
      </c>
      <c r="O291">
        <f>IF(CALC_EPM!$B280="","",CALC_EPM!O280)</f>
      </c>
      <c r="P291">
        <f>IF(CALC_EPM!$B280="","",CALC_EPM!P280)</f>
      </c>
      <c r="Q291">
        <f>IF(CALC_EPM!$B280="","",CALC_EPM!Q280)</f>
      </c>
      <c r="R291">
        <f>IF(CALC_EPM!$B280="","",CALC_EPM!R280)</f>
      </c>
      <c r="S291">
        <f>IF(CALC_EPM!$B280="","",CALC_EPM!S280)</f>
      </c>
      <c r="T291">
        <f>IF(CALC_EPM!$B280="","",CALC_EPM!T280)</f>
      </c>
      <c r="U291">
        <f>IF(CALC_EPM!$B280="","",CALC_EPM!U280)</f>
      </c>
    </row>
    <row r="292">
      <c r="A292" t="str">
        <f>IF(CALC_EPM!$B281="","",IF(CALC_EPM!A281="GLOBAL",IF(CALC_EPM!C281="Total","GLOBAL",IF(CALC_EPM!C281="TotalEsp","GLOBAL_ESP",IF(CALC_EPM!C281="TotalNoEsp","GLOBAL_NOESP","GLOBAL_ASIG"))),IF(CALC_EPM!C281="Total","CURSO_TOTAL",IF(CALC_EPM!C281="TotalEsp","CURSO_ESP",IF(CALC_EPM!C281="TotalNoEsp","CURSO_NOESP","CURSO_ASIG")))))</f>
      </c>
      <c r="B292" t="str">
        <f>IF(CALC_EPM!$B281="","",CALC_EPM!A281)</f>
      </c>
      <c r="C292" t="str">
        <f>IF(CALC_EPM!$B281="","",CALC_EPM!B281)</f>
      </c>
      <c r="D292">
        <f>IF(CALC_EPM!$B281="","",CALC_EPM!D281)</f>
      </c>
      <c r="E292" s="10" t="str">
        <f>IF(CALC_EPM!$B281="","",CALC_EPM!E281)</f>
      </c>
      <c r="F292" s="10" t="str">
        <f>IF(CALC_EPM!$B281="","",CALC_EPM!F281)</f>
      </c>
      <c r="G292" t="str">
        <f>IF(CALC_EPM!$B281="","",CALC_EPM!G281)</f>
      </c>
      <c r="H292" s="11" t="str">
        <f>IF(CALC_EPM!$B281="","",CALC_EPM!H281)</f>
      </c>
      <c r="I292" s="11" t="str">
        <f>IF(CALC_EPM!$B281="","",CALC_EPM!I281)</f>
      </c>
      <c r="J292" t="str">
        <f>IF(CALC_EPM!$B281="","",CALC_EPM!J281)</f>
      </c>
      <c r="K292" t="str">
        <f>IF(CALC_EPM!$B281="","",CALC_EPM!K281)</f>
      </c>
      <c r="L292">
        <f>IF(CALC_EPM!$B281="","",CALC_EPM!L281)</f>
      </c>
      <c r="M292">
        <f>IF(CALC_EPM!$B281="","",CALC_EPM!M281)</f>
      </c>
      <c r="N292">
        <f>IF(CALC_EPM!$B281="","",CALC_EPM!N281)</f>
      </c>
      <c r="O292">
        <f>IF(CALC_EPM!$B281="","",CALC_EPM!O281)</f>
      </c>
      <c r="P292">
        <f>IF(CALC_EPM!$B281="","",CALC_EPM!P281)</f>
      </c>
      <c r="Q292">
        <f>IF(CALC_EPM!$B281="","",CALC_EPM!Q281)</f>
      </c>
      <c r="R292">
        <f>IF(CALC_EPM!$B281="","",CALC_EPM!R281)</f>
      </c>
      <c r="S292">
        <f>IF(CALC_EPM!$B281="","",CALC_EPM!S281)</f>
      </c>
      <c r="T292">
        <f>IF(CALC_EPM!$B281="","",CALC_EPM!T281)</f>
      </c>
      <c r="U292">
        <f>IF(CALC_EPM!$B281="","",CALC_EPM!U281)</f>
      </c>
    </row>
    <row r="293">
      <c r="A293" t="str">
        <f>IF(CALC_EPM!$B282="","",IF(CALC_EPM!A282="GLOBAL",IF(CALC_EPM!C282="Total","GLOBAL",IF(CALC_EPM!C282="TotalEsp","GLOBAL_ESP",IF(CALC_EPM!C282="TotalNoEsp","GLOBAL_NOESP","GLOBAL_ASIG"))),IF(CALC_EPM!C282="Total","CURSO_TOTAL",IF(CALC_EPM!C282="TotalEsp","CURSO_ESP",IF(CALC_EPM!C282="TotalNoEsp","CURSO_NOESP","CURSO_ASIG")))))</f>
      </c>
      <c r="B293" t="str">
        <f>IF(CALC_EPM!$B282="","",CALC_EPM!A282)</f>
      </c>
      <c r="C293" t="str">
        <f>IF(CALC_EPM!$B282="","",CALC_EPM!B282)</f>
      </c>
      <c r="D293">
        <f>IF(CALC_EPM!$B282="","",CALC_EPM!D282)</f>
      </c>
      <c r="E293" s="10" t="str">
        <f>IF(CALC_EPM!$B282="","",CALC_EPM!E282)</f>
      </c>
      <c r="F293" s="10" t="str">
        <f>IF(CALC_EPM!$B282="","",CALC_EPM!F282)</f>
      </c>
      <c r="G293" t="str">
        <f>IF(CALC_EPM!$B282="","",CALC_EPM!G282)</f>
      </c>
      <c r="H293" s="11" t="str">
        <f>IF(CALC_EPM!$B282="","",CALC_EPM!H282)</f>
      </c>
      <c r="I293" s="11" t="str">
        <f>IF(CALC_EPM!$B282="","",CALC_EPM!I282)</f>
      </c>
      <c r="J293" t="str">
        <f>IF(CALC_EPM!$B282="","",CALC_EPM!J282)</f>
      </c>
      <c r="K293" t="str">
        <f>IF(CALC_EPM!$B282="","",CALC_EPM!K282)</f>
      </c>
      <c r="L293">
        <f>IF(CALC_EPM!$B282="","",CALC_EPM!L282)</f>
      </c>
      <c r="M293">
        <f>IF(CALC_EPM!$B282="","",CALC_EPM!M282)</f>
      </c>
      <c r="N293">
        <f>IF(CALC_EPM!$B282="","",CALC_EPM!N282)</f>
      </c>
      <c r="O293">
        <f>IF(CALC_EPM!$B282="","",CALC_EPM!O282)</f>
      </c>
      <c r="P293">
        <f>IF(CALC_EPM!$B282="","",CALC_EPM!P282)</f>
      </c>
      <c r="Q293">
        <f>IF(CALC_EPM!$B282="","",CALC_EPM!Q282)</f>
      </c>
      <c r="R293">
        <f>IF(CALC_EPM!$B282="","",CALC_EPM!R282)</f>
      </c>
      <c r="S293">
        <f>IF(CALC_EPM!$B282="","",CALC_EPM!S282)</f>
      </c>
      <c r="T293">
        <f>IF(CALC_EPM!$B282="","",CALC_EPM!T282)</f>
      </c>
      <c r="U293">
        <f>IF(CALC_EPM!$B282="","",CALC_EPM!U282)</f>
      </c>
    </row>
    <row r="294">
      <c r="A294" t="str">
        <f>IF(CALC_EPM!$B283="","",IF(CALC_EPM!A283="GLOBAL",IF(CALC_EPM!C283="Total","GLOBAL",IF(CALC_EPM!C283="TotalEsp","GLOBAL_ESP",IF(CALC_EPM!C283="TotalNoEsp","GLOBAL_NOESP","GLOBAL_ASIG"))),IF(CALC_EPM!C283="Total","CURSO_TOTAL",IF(CALC_EPM!C283="TotalEsp","CURSO_ESP",IF(CALC_EPM!C283="TotalNoEsp","CURSO_NOESP","CURSO_ASIG")))))</f>
      </c>
      <c r="B294" t="str">
        <f>IF(CALC_EPM!$B283="","",CALC_EPM!A283)</f>
      </c>
      <c r="C294" t="str">
        <f>IF(CALC_EPM!$B283="","",CALC_EPM!B283)</f>
      </c>
      <c r="D294">
        <f>IF(CALC_EPM!$B283="","",CALC_EPM!D283)</f>
      </c>
      <c r="E294" s="10" t="str">
        <f>IF(CALC_EPM!$B283="","",CALC_EPM!E283)</f>
      </c>
      <c r="F294" s="10" t="str">
        <f>IF(CALC_EPM!$B283="","",CALC_EPM!F283)</f>
      </c>
      <c r="G294" t="str">
        <f>IF(CALC_EPM!$B283="","",CALC_EPM!G283)</f>
      </c>
      <c r="H294" s="11" t="str">
        <f>IF(CALC_EPM!$B283="","",CALC_EPM!H283)</f>
      </c>
      <c r="I294" s="11" t="str">
        <f>IF(CALC_EPM!$B283="","",CALC_EPM!I283)</f>
      </c>
      <c r="J294" t="str">
        <f>IF(CALC_EPM!$B283="","",CALC_EPM!J283)</f>
      </c>
      <c r="K294" t="str">
        <f>IF(CALC_EPM!$B283="","",CALC_EPM!K283)</f>
      </c>
      <c r="L294">
        <f>IF(CALC_EPM!$B283="","",CALC_EPM!L283)</f>
      </c>
      <c r="M294">
        <f>IF(CALC_EPM!$B283="","",CALC_EPM!M283)</f>
      </c>
      <c r="N294">
        <f>IF(CALC_EPM!$B283="","",CALC_EPM!N283)</f>
      </c>
      <c r="O294">
        <f>IF(CALC_EPM!$B283="","",CALC_EPM!O283)</f>
      </c>
      <c r="P294">
        <f>IF(CALC_EPM!$B283="","",CALC_EPM!P283)</f>
      </c>
      <c r="Q294">
        <f>IF(CALC_EPM!$B283="","",CALC_EPM!Q283)</f>
      </c>
      <c r="R294">
        <f>IF(CALC_EPM!$B283="","",CALC_EPM!R283)</f>
      </c>
      <c r="S294">
        <f>IF(CALC_EPM!$B283="","",CALC_EPM!S283)</f>
      </c>
      <c r="T294">
        <f>IF(CALC_EPM!$B283="","",CALC_EPM!T283)</f>
      </c>
      <c r="U294">
        <f>IF(CALC_EPM!$B283="","",CALC_EPM!U283)</f>
      </c>
    </row>
    <row r="295">
      <c r="A295" t="str">
        <f>IF(CALC_EPM!$B284="","",IF(CALC_EPM!A284="GLOBAL",IF(CALC_EPM!C284="Total","GLOBAL",IF(CALC_EPM!C284="TotalEsp","GLOBAL_ESP",IF(CALC_EPM!C284="TotalNoEsp","GLOBAL_NOESP","GLOBAL_ASIG"))),IF(CALC_EPM!C284="Total","CURSO_TOTAL",IF(CALC_EPM!C284="TotalEsp","CURSO_ESP",IF(CALC_EPM!C284="TotalNoEsp","CURSO_NOESP","CURSO_ASIG")))))</f>
      </c>
      <c r="B295" t="str">
        <f>IF(CALC_EPM!$B284="","",CALC_EPM!A284)</f>
      </c>
      <c r="C295" t="str">
        <f>IF(CALC_EPM!$B284="","",CALC_EPM!B284)</f>
      </c>
      <c r="D295">
        <f>IF(CALC_EPM!$B284="","",CALC_EPM!D284)</f>
      </c>
      <c r="E295" s="10" t="str">
        <f>IF(CALC_EPM!$B284="","",CALC_EPM!E284)</f>
      </c>
      <c r="F295" s="10" t="str">
        <f>IF(CALC_EPM!$B284="","",CALC_EPM!F284)</f>
      </c>
      <c r="G295" t="str">
        <f>IF(CALC_EPM!$B284="","",CALC_EPM!G284)</f>
      </c>
      <c r="H295" s="11" t="str">
        <f>IF(CALC_EPM!$B284="","",CALC_EPM!H284)</f>
      </c>
      <c r="I295" s="11" t="str">
        <f>IF(CALC_EPM!$B284="","",CALC_EPM!I284)</f>
      </c>
      <c r="J295" t="str">
        <f>IF(CALC_EPM!$B284="","",CALC_EPM!J284)</f>
      </c>
      <c r="K295" t="str">
        <f>IF(CALC_EPM!$B284="","",CALC_EPM!K284)</f>
      </c>
      <c r="L295">
        <f>IF(CALC_EPM!$B284="","",CALC_EPM!L284)</f>
      </c>
      <c r="M295">
        <f>IF(CALC_EPM!$B284="","",CALC_EPM!M284)</f>
      </c>
      <c r="N295">
        <f>IF(CALC_EPM!$B284="","",CALC_EPM!N284)</f>
      </c>
      <c r="O295">
        <f>IF(CALC_EPM!$B284="","",CALC_EPM!O284)</f>
      </c>
      <c r="P295">
        <f>IF(CALC_EPM!$B284="","",CALC_EPM!P284)</f>
      </c>
      <c r="Q295">
        <f>IF(CALC_EPM!$B284="","",CALC_EPM!Q284)</f>
      </c>
      <c r="R295">
        <f>IF(CALC_EPM!$B284="","",CALC_EPM!R284)</f>
      </c>
      <c r="S295">
        <f>IF(CALC_EPM!$B284="","",CALC_EPM!S284)</f>
      </c>
      <c r="T295">
        <f>IF(CALC_EPM!$B284="","",CALC_EPM!T284)</f>
      </c>
      <c r="U295">
        <f>IF(CALC_EPM!$B284="","",CALC_EPM!U284)</f>
      </c>
    </row>
    <row r="296">
      <c r="A296" t="str">
        <f>IF(CALC_EPM!$B285="","",IF(CALC_EPM!A285="GLOBAL",IF(CALC_EPM!C285="Total","GLOBAL",IF(CALC_EPM!C285="TotalEsp","GLOBAL_ESP",IF(CALC_EPM!C285="TotalNoEsp","GLOBAL_NOESP","GLOBAL_ASIG"))),IF(CALC_EPM!C285="Total","CURSO_TOTAL",IF(CALC_EPM!C285="TotalEsp","CURSO_ESP",IF(CALC_EPM!C285="TotalNoEsp","CURSO_NOESP","CURSO_ASIG")))))</f>
      </c>
      <c r="B296" t="str">
        <f>IF(CALC_EPM!$B285="","",CALC_EPM!A285)</f>
      </c>
      <c r="C296" t="str">
        <f>IF(CALC_EPM!$B285="","",CALC_EPM!B285)</f>
      </c>
      <c r="D296">
        <f>IF(CALC_EPM!$B285="","",CALC_EPM!D285)</f>
      </c>
      <c r="E296" s="10" t="str">
        <f>IF(CALC_EPM!$B285="","",CALC_EPM!E285)</f>
      </c>
      <c r="F296" s="10" t="str">
        <f>IF(CALC_EPM!$B285="","",CALC_EPM!F285)</f>
      </c>
      <c r="G296" t="str">
        <f>IF(CALC_EPM!$B285="","",CALC_EPM!G285)</f>
      </c>
      <c r="H296" s="11" t="str">
        <f>IF(CALC_EPM!$B285="","",CALC_EPM!H285)</f>
      </c>
      <c r="I296" s="11" t="str">
        <f>IF(CALC_EPM!$B285="","",CALC_EPM!I285)</f>
      </c>
      <c r="J296" t="str">
        <f>IF(CALC_EPM!$B285="","",CALC_EPM!J285)</f>
      </c>
      <c r="K296" t="str">
        <f>IF(CALC_EPM!$B285="","",CALC_EPM!K285)</f>
      </c>
      <c r="L296">
        <f>IF(CALC_EPM!$B285="","",CALC_EPM!L285)</f>
      </c>
      <c r="M296">
        <f>IF(CALC_EPM!$B285="","",CALC_EPM!M285)</f>
      </c>
      <c r="N296">
        <f>IF(CALC_EPM!$B285="","",CALC_EPM!N285)</f>
      </c>
      <c r="O296">
        <f>IF(CALC_EPM!$B285="","",CALC_EPM!O285)</f>
      </c>
      <c r="P296">
        <f>IF(CALC_EPM!$B285="","",CALC_EPM!P285)</f>
      </c>
      <c r="Q296">
        <f>IF(CALC_EPM!$B285="","",CALC_EPM!Q285)</f>
      </c>
      <c r="R296">
        <f>IF(CALC_EPM!$B285="","",CALC_EPM!R285)</f>
      </c>
      <c r="S296">
        <f>IF(CALC_EPM!$B285="","",CALC_EPM!S285)</f>
      </c>
      <c r="T296">
        <f>IF(CALC_EPM!$B285="","",CALC_EPM!T285)</f>
      </c>
      <c r="U296">
        <f>IF(CALC_EPM!$B285="","",CALC_EPM!U285)</f>
      </c>
    </row>
    <row r="297">
      <c r="A297" t="str">
        <f>IF(CALC_EPM!$B286="","",IF(CALC_EPM!A286="GLOBAL",IF(CALC_EPM!C286="Total","GLOBAL",IF(CALC_EPM!C286="TotalEsp","GLOBAL_ESP",IF(CALC_EPM!C286="TotalNoEsp","GLOBAL_NOESP","GLOBAL_ASIG"))),IF(CALC_EPM!C286="Total","CURSO_TOTAL",IF(CALC_EPM!C286="TotalEsp","CURSO_ESP",IF(CALC_EPM!C286="TotalNoEsp","CURSO_NOESP","CURSO_ASIG")))))</f>
      </c>
      <c r="B297" t="str">
        <f>IF(CALC_EPM!$B286="","",CALC_EPM!A286)</f>
      </c>
      <c r="C297" t="str">
        <f>IF(CALC_EPM!$B286="","",CALC_EPM!B286)</f>
      </c>
      <c r="D297">
        <f>IF(CALC_EPM!$B286="","",CALC_EPM!D286)</f>
      </c>
      <c r="E297" s="10" t="str">
        <f>IF(CALC_EPM!$B286="","",CALC_EPM!E286)</f>
      </c>
      <c r="F297" s="10" t="str">
        <f>IF(CALC_EPM!$B286="","",CALC_EPM!F286)</f>
      </c>
      <c r="G297" t="str">
        <f>IF(CALC_EPM!$B286="","",CALC_EPM!G286)</f>
      </c>
      <c r="H297" s="11" t="str">
        <f>IF(CALC_EPM!$B286="","",CALC_EPM!H286)</f>
      </c>
      <c r="I297" s="11" t="str">
        <f>IF(CALC_EPM!$B286="","",CALC_EPM!I286)</f>
      </c>
      <c r="J297" t="str">
        <f>IF(CALC_EPM!$B286="","",CALC_EPM!J286)</f>
      </c>
      <c r="K297" t="str">
        <f>IF(CALC_EPM!$B286="","",CALC_EPM!K286)</f>
      </c>
      <c r="L297">
        <f>IF(CALC_EPM!$B286="","",CALC_EPM!L286)</f>
      </c>
      <c r="M297">
        <f>IF(CALC_EPM!$B286="","",CALC_EPM!M286)</f>
      </c>
      <c r="N297">
        <f>IF(CALC_EPM!$B286="","",CALC_EPM!N286)</f>
      </c>
      <c r="O297">
        <f>IF(CALC_EPM!$B286="","",CALC_EPM!O286)</f>
      </c>
      <c r="P297">
        <f>IF(CALC_EPM!$B286="","",CALC_EPM!P286)</f>
      </c>
      <c r="Q297">
        <f>IF(CALC_EPM!$B286="","",CALC_EPM!Q286)</f>
      </c>
      <c r="R297">
        <f>IF(CALC_EPM!$B286="","",CALC_EPM!R286)</f>
      </c>
      <c r="S297">
        <f>IF(CALC_EPM!$B286="","",CALC_EPM!S286)</f>
      </c>
      <c r="T297">
        <f>IF(CALC_EPM!$B286="","",CALC_EPM!T286)</f>
      </c>
      <c r="U297">
        <f>IF(CALC_EPM!$B286="","",CALC_EPM!U286)</f>
      </c>
    </row>
    <row r="298">
      <c r="A298" t="str">
        <f>IF(CALC_EPM!$B287="","",IF(CALC_EPM!A287="GLOBAL",IF(CALC_EPM!C287="Total","GLOBAL",IF(CALC_EPM!C287="TotalEsp","GLOBAL_ESP",IF(CALC_EPM!C287="TotalNoEsp","GLOBAL_NOESP","GLOBAL_ASIG"))),IF(CALC_EPM!C287="Total","CURSO_TOTAL",IF(CALC_EPM!C287="TotalEsp","CURSO_ESP",IF(CALC_EPM!C287="TotalNoEsp","CURSO_NOESP","CURSO_ASIG")))))</f>
      </c>
      <c r="B298" t="str">
        <f>IF(CALC_EPM!$B287="","",CALC_EPM!A287)</f>
      </c>
      <c r="C298" t="str">
        <f>IF(CALC_EPM!$B287="","",CALC_EPM!B287)</f>
      </c>
      <c r="D298">
        <f>IF(CALC_EPM!$B287="","",CALC_EPM!D287)</f>
      </c>
      <c r="E298" s="10" t="str">
        <f>IF(CALC_EPM!$B287="","",CALC_EPM!E287)</f>
      </c>
      <c r="F298" s="10" t="str">
        <f>IF(CALC_EPM!$B287="","",CALC_EPM!F287)</f>
      </c>
      <c r="G298" t="str">
        <f>IF(CALC_EPM!$B287="","",CALC_EPM!G287)</f>
      </c>
      <c r="H298" s="11" t="str">
        <f>IF(CALC_EPM!$B287="","",CALC_EPM!H287)</f>
      </c>
      <c r="I298" s="11" t="str">
        <f>IF(CALC_EPM!$B287="","",CALC_EPM!I287)</f>
      </c>
      <c r="J298" t="str">
        <f>IF(CALC_EPM!$B287="","",CALC_EPM!J287)</f>
      </c>
      <c r="K298" t="str">
        <f>IF(CALC_EPM!$B287="","",CALC_EPM!K287)</f>
      </c>
      <c r="L298">
        <f>IF(CALC_EPM!$B287="","",CALC_EPM!L287)</f>
      </c>
      <c r="M298">
        <f>IF(CALC_EPM!$B287="","",CALC_EPM!M287)</f>
      </c>
      <c r="N298">
        <f>IF(CALC_EPM!$B287="","",CALC_EPM!N287)</f>
      </c>
      <c r="O298">
        <f>IF(CALC_EPM!$B287="","",CALC_EPM!O287)</f>
      </c>
      <c r="P298">
        <f>IF(CALC_EPM!$B287="","",CALC_EPM!P287)</f>
      </c>
      <c r="Q298">
        <f>IF(CALC_EPM!$B287="","",CALC_EPM!Q287)</f>
      </c>
      <c r="R298">
        <f>IF(CALC_EPM!$B287="","",CALC_EPM!R287)</f>
      </c>
      <c r="S298">
        <f>IF(CALC_EPM!$B287="","",CALC_EPM!S287)</f>
      </c>
      <c r="T298">
        <f>IF(CALC_EPM!$B287="","",CALC_EPM!T287)</f>
      </c>
      <c r="U298">
        <f>IF(CALC_EPM!$B287="","",CALC_EPM!U287)</f>
      </c>
    </row>
    <row r="299">
      <c r="A299" t="str">
        <f>IF(CALC_EPM!$B288="","",IF(CALC_EPM!A288="GLOBAL",IF(CALC_EPM!C288="Total","GLOBAL",IF(CALC_EPM!C288="TotalEsp","GLOBAL_ESP",IF(CALC_EPM!C288="TotalNoEsp","GLOBAL_NOESP","GLOBAL_ASIG"))),IF(CALC_EPM!C288="Total","CURSO_TOTAL",IF(CALC_EPM!C288="TotalEsp","CURSO_ESP",IF(CALC_EPM!C288="TotalNoEsp","CURSO_NOESP","CURSO_ASIG")))))</f>
      </c>
      <c r="B299" t="str">
        <f>IF(CALC_EPM!$B288="","",CALC_EPM!A288)</f>
      </c>
      <c r="C299" t="str">
        <f>IF(CALC_EPM!$B288="","",CALC_EPM!B288)</f>
      </c>
      <c r="D299">
        <f>IF(CALC_EPM!$B288="","",CALC_EPM!D288)</f>
      </c>
      <c r="E299" s="10" t="str">
        <f>IF(CALC_EPM!$B288="","",CALC_EPM!E288)</f>
      </c>
      <c r="F299" s="10" t="str">
        <f>IF(CALC_EPM!$B288="","",CALC_EPM!F288)</f>
      </c>
      <c r="G299" t="str">
        <f>IF(CALC_EPM!$B288="","",CALC_EPM!G288)</f>
      </c>
      <c r="H299" s="11" t="str">
        <f>IF(CALC_EPM!$B288="","",CALC_EPM!H288)</f>
      </c>
      <c r="I299" s="11" t="str">
        <f>IF(CALC_EPM!$B288="","",CALC_EPM!I288)</f>
      </c>
      <c r="J299" t="str">
        <f>IF(CALC_EPM!$B288="","",CALC_EPM!J288)</f>
      </c>
      <c r="K299" t="str">
        <f>IF(CALC_EPM!$B288="","",CALC_EPM!K288)</f>
      </c>
      <c r="L299">
        <f>IF(CALC_EPM!$B288="","",CALC_EPM!L288)</f>
      </c>
      <c r="M299">
        <f>IF(CALC_EPM!$B288="","",CALC_EPM!M288)</f>
      </c>
      <c r="N299">
        <f>IF(CALC_EPM!$B288="","",CALC_EPM!N288)</f>
      </c>
      <c r="O299">
        <f>IF(CALC_EPM!$B288="","",CALC_EPM!O288)</f>
      </c>
      <c r="P299">
        <f>IF(CALC_EPM!$B288="","",CALC_EPM!P288)</f>
      </c>
      <c r="Q299">
        <f>IF(CALC_EPM!$B288="","",CALC_EPM!Q288)</f>
      </c>
      <c r="R299">
        <f>IF(CALC_EPM!$B288="","",CALC_EPM!R288)</f>
      </c>
      <c r="S299">
        <f>IF(CALC_EPM!$B288="","",CALC_EPM!S288)</f>
      </c>
      <c r="T299">
        <f>IF(CALC_EPM!$B288="","",CALC_EPM!T288)</f>
      </c>
      <c r="U299">
        <f>IF(CALC_EPM!$B288="","",CALC_EPM!U288)</f>
      </c>
    </row>
    <row r="300">
      <c r="A300" t="str">
        <f>IF(CALC_EPM!$B289="","",IF(CALC_EPM!A289="GLOBAL",IF(CALC_EPM!C289="Total","GLOBAL",IF(CALC_EPM!C289="TotalEsp","GLOBAL_ESP",IF(CALC_EPM!C289="TotalNoEsp","GLOBAL_NOESP","GLOBAL_ASIG"))),IF(CALC_EPM!C289="Total","CURSO_TOTAL",IF(CALC_EPM!C289="TotalEsp","CURSO_ESP",IF(CALC_EPM!C289="TotalNoEsp","CURSO_NOESP","CURSO_ASIG")))))</f>
      </c>
      <c r="B300" t="str">
        <f>IF(CALC_EPM!$B289="","",CALC_EPM!A289)</f>
      </c>
      <c r="C300" t="str">
        <f>IF(CALC_EPM!$B289="","",CALC_EPM!B289)</f>
      </c>
      <c r="D300">
        <f>IF(CALC_EPM!$B289="","",CALC_EPM!D289)</f>
      </c>
      <c r="E300" s="10" t="str">
        <f>IF(CALC_EPM!$B289="","",CALC_EPM!E289)</f>
      </c>
      <c r="F300" s="10" t="str">
        <f>IF(CALC_EPM!$B289="","",CALC_EPM!F289)</f>
      </c>
      <c r="G300" t="str">
        <f>IF(CALC_EPM!$B289="","",CALC_EPM!G289)</f>
      </c>
      <c r="H300" s="11" t="str">
        <f>IF(CALC_EPM!$B289="","",CALC_EPM!H289)</f>
      </c>
      <c r="I300" s="11" t="str">
        <f>IF(CALC_EPM!$B289="","",CALC_EPM!I289)</f>
      </c>
      <c r="J300" t="str">
        <f>IF(CALC_EPM!$B289="","",CALC_EPM!J289)</f>
      </c>
      <c r="K300" t="str">
        <f>IF(CALC_EPM!$B289="","",CALC_EPM!K289)</f>
      </c>
      <c r="L300">
        <f>IF(CALC_EPM!$B289="","",CALC_EPM!L289)</f>
      </c>
      <c r="M300">
        <f>IF(CALC_EPM!$B289="","",CALC_EPM!M289)</f>
      </c>
      <c r="N300">
        <f>IF(CALC_EPM!$B289="","",CALC_EPM!N289)</f>
      </c>
      <c r="O300">
        <f>IF(CALC_EPM!$B289="","",CALC_EPM!O289)</f>
      </c>
      <c r="P300">
        <f>IF(CALC_EPM!$B289="","",CALC_EPM!P289)</f>
      </c>
      <c r="Q300">
        <f>IF(CALC_EPM!$B289="","",CALC_EPM!Q289)</f>
      </c>
      <c r="R300">
        <f>IF(CALC_EPM!$B289="","",CALC_EPM!R289)</f>
      </c>
      <c r="S300">
        <f>IF(CALC_EPM!$B289="","",CALC_EPM!S289)</f>
      </c>
      <c r="T300">
        <f>IF(CALC_EPM!$B289="","",CALC_EPM!T289)</f>
      </c>
      <c r="U300">
        <f>IF(CALC_EPM!$B289="","",CALC_EPM!U289)</f>
      </c>
    </row>
    <row r="301">
      <c r="A301" t="str">
        <f>IF(CALC_EPM!$B290="","",IF(CALC_EPM!A290="GLOBAL",IF(CALC_EPM!C290="Total","GLOBAL",IF(CALC_EPM!C290="TotalEsp","GLOBAL_ESP",IF(CALC_EPM!C290="TotalNoEsp","GLOBAL_NOESP","GLOBAL_ASIG"))),IF(CALC_EPM!C290="Total","CURSO_TOTAL",IF(CALC_EPM!C290="TotalEsp","CURSO_ESP",IF(CALC_EPM!C290="TotalNoEsp","CURSO_NOESP","CURSO_ASIG")))))</f>
      </c>
      <c r="B301" t="str">
        <f>IF(CALC_EPM!$B290="","",CALC_EPM!A290)</f>
      </c>
      <c r="C301" t="str">
        <f>IF(CALC_EPM!$B290="","",CALC_EPM!B290)</f>
      </c>
      <c r="D301">
        <f>IF(CALC_EPM!$B290="","",CALC_EPM!D290)</f>
      </c>
      <c r="E301" s="10" t="str">
        <f>IF(CALC_EPM!$B290="","",CALC_EPM!E290)</f>
      </c>
      <c r="F301" s="10" t="str">
        <f>IF(CALC_EPM!$B290="","",CALC_EPM!F290)</f>
      </c>
      <c r="G301" t="str">
        <f>IF(CALC_EPM!$B290="","",CALC_EPM!G290)</f>
      </c>
      <c r="H301" s="11" t="str">
        <f>IF(CALC_EPM!$B290="","",CALC_EPM!H290)</f>
      </c>
      <c r="I301" s="11" t="str">
        <f>IF(CALC_EPM!$B290="","",CALC_EPM!I290)</f>
      </c>
      <c r="J301" t="str">
        <f>IF(CALC_EPM!$B290="","",CALC_EPM!J290)</f>
      </c>
      <c r="K301" t="str">
        <f>IF(CALC_EPM!$B290="","",CALC_EPM!K290)</f>
      </c>
      <c r="L301">
        <f>IF(CALC_EPM!$B290="","",CALC_EPM!L290)</f>
      </c>
      <c r="M301">
        <f>IF(CALC_EPM!$B290="","",CALC_EPM!M290)</f>
      </c>
      <c r="N301">
        <f>IF(CALC_EPM!$B290="","",CALC_EPM!N290)</f>
      </c>
      <c r="O301">
        <f>IF(CALC_EPM!$B290="","",CALC_EPM!O290)</f>
      </c>
      <c r="P301">
        <f>IF(CALC_EPM!$B290="","",CALC_EPM!P290)</f>
      </c>
      <c r="Q301">
        <f>IF(CALC_EPM!$B290="","",CALC_EPM!Q290)</f>
      </c>
      <c r="R301">
        <f>IF(CALC_EPM!$B290="","",CALC_EPM!R290)</f>
      </c>
      <c r="S301">
        <f>IF(CALC_EPM!$B290="","",CALC_EPM!S290)</f>
      </c>
      <c r="T301">
        <f>IF(CALC_EPM!$B290="","",CALC_EPM!T290)</f>
      </c>
      <c r="U301">
        <f>IF(CALC_EPM!$B290="","",CALC_EPM!U290)</f>
      </c>
    </row>
    <row r="302">
      <c r="A302" t="str">
        <f>IF(CALC_EPM!$B291="","",IF(CALC_EPM!A291="GLOBAL",IF(CALC_EPM!C291="Total","GLOBAL",IF(CALC_EPM!C291="TotalEsp","GLOBAL_ESP",IF(CALC_EPM!C291="TotalNoEsp","GLOBAL_NOESP","GLOBAL_ASIG"))),IF(CALC_EPM!C291="Total","CURSO_TOTAL",IF(CALC_EPM!C291="TotalEsp","CURSO_ESP",IF(CALC_EPM!C291="TotalNoEsp","CURSO_NOESP","CURSO_ASIG")))))</f>
      </c>
      <c r="B302" t="str">
        <f>IF(CALC_EPM!$B291="","",CALC_EPM!A291)</f>
      </c>
      <c r="C302" t="str">
        <f>IF(CALC_EPM!$B291="","",CALC_EPM!B291)</f>
      </c>
      <c r="D302">
        <f>IF(CALC_EPM!$B291="","",CALC_EPM!D291)</f>
      </c>
      <c r="E302" s="10" t="str">
        <f>IF(CALC_EPM!$B291="","",CALC_EPM!E291)</f>
      </c>
      <c r="F302" s="10" t="str">
        <f>IF(CALC_EPM!$B291="","",CALC_EPM!F291)</f>
      </c>
      <c r="G302" t="str">
        <f>IF(CALC_EPM!$B291="","",CALC_EPM!G291)</f>
      </c>
      <c r="H302" s="11" t="str">
        <f>IF(CALC_EPM!$B291="","",CALC_EPM!H291)</f>
      </c>
      <c r="I302" s="11" t="str">
        <f>IF(CALC_EPM!$B291="","",CALC_EPM!I291)</f>
      </c>
      <c r="J302" t="str">
        <f>IF(CALC_EPM!$B291="","",CALC_EPM!J291)</f>
      </c>
      <c r="K302" t="str">
        <f>IF(CALC_EPM!$B291="","",CALC_EPM!K291)</f>
      </c>
      <c r="L302">
        <f>IF(CALC_EPM!$B291="","",CALC_EPM!L291)</f>
      </c>
      <c r="M302">
        <f>IF(CALC_EPM!$B291="","",CALC_EPM!M291)</f>
      </c>
      <c r="N302">
        <f>IF(CALC_EPM!$B291="","",CALC_EPM!N291)</f>
      </c>
      <c r="O302">
        <f>IF(CALC_EPM!$B291="","",CALC_EPM!O291)</f>
      </c>
      <c r="P302">
        <f>IF(CALC_EPM!$B291="","",CALC_EPM!P291)</f>
      </c>
      <c r="Q302">
        <f>IF(CALC_EPM!$B291="","",CALC_EPM!Q291)</f>
      </c>
      <c r="R302">
        <f>IF(CALC_EPM!$B291="","",CALC_EPM!R291)</f>
      </c>
      <c r="S302">
        <f>IF(CALC_EPM!$B291="","",CALC_EPM!S291)</f>
      </c>
      <c r="T302">
        <f>IF(CALC_EPM!$B291="","",CALC_EPM!T291)</f>
      </c>
      <c r="U302">
        <f>IF(CALC_EPM!$B291="","",CALC_EPM!U291)</f>
      </c>
    </row>
    <row r="303">
      <c r="A303" t="str">
        <f>IF(CALC_EPM!$B292="","",IF(CALC_EPM!A292="GLOBAL",IF(CALC_EPM!C292="Total","GLOBAL",IF(CALC_EPM!C292="TotalEsp","GLOBAL_ESP",IF(CALC_EPM!C292="TotalNoEsp","GLOBAL_NOESP","GLOBAL_ASIG"))),IF(CALC_EPM!C292="Total","CURSO_TOTAL",IF(CALC_EPM!C292="TotalEsp","CURSO_ESP",IF(CALC_EPM!C292="TotalNoEsp","CURSO_NOESP","CURSO_ASIG")))))</f>
      </c>
      <c r="B303" t="str">
        <f>IF(CALC_EPM!$B292="","",CALC_EPM!A292)</f>
      </c>
      <c r="C303" t="str">
        <f>IF(CALC_EPM!$B292="","",CALC_EPM!B292)</f>
      </c>
      <c r="D303">
        <f>IF(CALC_EPM!$B292="","",CALC_EPM!D292)</f>
      </c>
      <c r="E303" s="10" t="str">
        <f>IF(CALC_EPM!$B292="","",CALC_EPM!E292)</f>
      </c>
      <c r="F303" s="10" t="str">
        <f>IF(CALC_EPM!$B292="","",CALC_EPM!F292)</f>
      </c>
      <c r="G303" t="str">
        <f>IF(CALC_EPM!$B292="","",CALC_EPM!G292)</f>
      </c>
      <c r="H303" s="11" t="str">
        <f>IF(CALC_EPM!$B292="","",CALC_EPM!H292)</f>
      </c>
      <c r="I303" s="11" t="str">
        <f>IF(CALC_EPM!$B292="","",CALC_EPM!I292)</f>
      </c>
      <c r="J303" t="str">
        <f>IF(CALC_EPM!$B292="","",CALC_EPM!J292)</f>
      </c>
      <c r="K303" t="str">
        <f>IF(CALC_EPM!$B292="","",CALC_EPM!K292)</f>
      </c>
      <c r="L303">
        <f>IF(CALC_EPM!$B292="","",CALC_EPM!L292)</f>
      </c>
      <c r="M303">
        <f>IF(CALC_EPM!$B292="","",CALC_EPM!M292)</f>
      </c>
      <c r="N303">
        <f>IF(CALC_EPM!$B292="","",CALC_EPM!N292)</f>
      </c>
      <c r="O303">
        <f>IF(CALC_EPM!$B292="","",CALC_EPM!O292)</f>
      </c>
      <c r="P303">
        <f>IF(CALC_EPM!$B292="","",CALC_EPM!P292)</f>
      </c>
      <c r="Q303">
        <f>IF(CALC_EPM!$B292="","",CALC_EPM!Q292)</f>
      </c>
      <c r="R303">
        <f>IF(CALC_EPM!$B292="","",CALC_EPM!R292)</f>
      </c>
      <c r="S303">
        <f>IF(CALC_EPM!$B292="","",CALC_EPM!S292)</f>
      </c>
      <c r="T303">
        <f>IF(CALC_EPM!$B292="","",CALC_EPM!T292)</f>
      </c>
      <c r="U303">
        <f>IF(CALC_EPM!$B292="","",CALC_EPM!U292)</f>
      </c>
    </row>
    <row r="304">
      <c r="A304" t="str">
        <f>IF(CALC_EPM!$B293="","",IF(CALC_EPM!A293="GLOBAL",IF(CALC_EPM!C293="Total","GLOBAL",IF(CALC_EPM!C293="TotalEsp","GLOBAL_ESP",IF(CALC_EPM!C293="TotalNoEsp","GLOBAL_NOESP","GLOBAL_ASIG"))),IF(CALC_EPM!C293="Total","CURSO_TOTAL",IF(CALC_EPM!C293="TotalEsp","CURSO_ESP",IF(CALC_EPM!C293="TotalNoEsp","CURSO_NOESP","CURSO_ASIG")))))</f>
      </c>
      <c r="B304" t="str">
        <f>IF(CALC_EPM!$B293="","",CALC_EPM!A293)</f>
      </c>
      <c r="C304" t="str">
        <f>IF(CALC_EPM!$B293="","",CALC_EPM!B293)</f>
      </c>
      <c r="D304">
        <f>IF(CALC_EPM!$B293="","",CALC_EPM!D293)</f>
      </c>
      <c r="E304" s="10" t="str">
        <f>IF(CALC_EPM!$B293="","",CALC_EPM!E293)</f>
      </c>
      <c r="F304" s="10" t="str">
        <f>IF(CALC_EPM!$B293="","",CALC_EPM!F293)</f>
      </c>
      <c r="G304" t="str">
        <f>IF(CALC_EPM!$B293="","",CALC_EPM!G293)</f>
      </c>
      <c r="H304" s="11" t="str">
        <f>IF(CALC_EPM!$B293="","",CALC_EPM!H293)</f>
      </c>
      <c r="I304" s="11" t="str">
        <f>IF(CALC_EPM!$B293="","",CALC_EPM!I293)</f>
      </c>
      <c r="J304" t="str">
        <f>IF(CALC_EPM!$B293="","",CALC_EPM!J293)</f>
      </c>
      <c r="K304" t="str">
        <f>IF(CALC_EPM!$B293="","",CALC_EPM!K293)</f>
      </c>
      <c r="L304">
        <f>IF(CALC_EPM!$B293="","",CALC_EPM!L293)</f>
      </c>
      <c r="M304">
        <f>IF(CALC_EPM!$B293="","",CALC_EPM!M293)</f>
      </c>
      <c r="N304">
        <f>IF(CALC_EPM!$B293="","",CALC_EPM!N293)</f>
      </c>
      <c r="O304">
        <f>IF(CALC_EPM!$B293="","",CALC_EPM!O293)</f>
      </c>
      <c r="P304">
        <f>IF(CALC_EPM!$B293="","",CALC_EPM!P293)</f>
      </c>
      <c r="Q304">
        <f>IF(CALC_EPM!$B293="","",CALC_EPM!Q293)</f>
      </c>
      <c r="R304">
        <f>IF(CALC_EPM!$B293="","",CALC_EPM!R293)</f>
      </c>
      <c r="S304">
        <f>IF(CALC_EPM!$B293="","",CALC_EPM!S293)</f>
      </c>
      <c r="T304">
        <f>IF(CALC_EPM!$B293="","",CALC_EPM!T293)</f>
      </c>
      <c r="U304">
        <f>IF(CALC_EPM!$B293="","",CALC_EPM!U293)</f>
      </c>
    </row>
    <row r="305">
      <c r="A305" t="str">
        <f>IF(CALC_EPM!$B294="","",IF(CALC_EPM!A294="GLOBAL",IF(CALC_EPM!C294="Total","GLOBAL",IF(CALC_EPM!C294="TotalEsp","GLOBAL_ESP",IF(CALC_EPM!C294="TotalNoEsp","GLOBAL_NOESP","GLOBAL_ASIG"))),IF(CALC_EPM!C294="Total","CURSO_TOTAL",IF(CALC_EPM!C294="TotalEsp","CURSO_ESP",IF(CALC_EPM!C294="TotalNoEsp","CURSO_NOESP","CURSO_ASIG")))))</f>
      </c>
      <c r="B305" t="str">
        <f>IF(CALC_EPM!$B294="","",CALC_EPM!A294)</f>
      </c>
      <c r="C305" t="str">
        <f>IF(CALC_EPM!$B294="","",CALC_EPM!B294)</f>
      </c>
      <c r="D305">
        <f>IF(CALC_EPM!$B294="","",CALC_EPM!D294)</f>
      </c>
      <c r="E305" s="10" t="str">
        <f>IF(CALC_EPM!$B294="","",CALC_EPM!E294)</f>
      </c>
      <c r="F305" s="10" t="str">
        <f>IF(CALC_EPM!$B294="","",CALC_EPM!F294)</f>
      </c>
      <c r="G305" t="str">
        <f>IF(CALC_EPM!$B294="","",CALC_EPM!G294)</f>
      </c>
      <c r="H305" s="11" t="str">
        <f>IF(CALC_EPM!$B294="","",CALC_EPM!H294)</f>
      </c>
      <c r="I305" s="11" t="str">
        <f>IF(CALC_EPM!$B294="","",CALC_EPM!I294)</f>
      </c>
      <c r="J305" t="str">
        <f>IF(CALC_EPM!$B294="","",CALC_EPM!J294)</f>
      </c>
      <c r="K305" t="str">
        <f>IF(CALC_EPM!$B294="","",CALC_EPM!K294)</f>
      </c>
      <c r="L305">
        <f>IF(CALC_EPM!$B294="","",CALC_EPM!L294)</f>
      </c>
      <c r="M305">
        <f>IF(CALC_EPM!$B294="","",CALC_EPM!M294)</f>
      </c>
      <c r="N305">
        <f>IF(CALC_EPM!$B294="","",CALC_EPM!N294)</f>
      </c>
      <c r="O305">
        <f>IF(CALC_EPM!$B294="","",CALC_EPM!O294)</f>
      </c>
      <c r="P305">
        <f>IF(CALC_EPM!$B294="","",CALC_EPM!P294)</f>
      </c>
      <c r="Q305">
        <f>IF(CALC_EPM!$B294="","",CALC_EPM!Q294)</f>
      </c>
      <c r="R305">
        <f>IF(CALC_EPM!$B294="","",CALC_EPM!R294)</f>
      </c>
      <c r="S305">
        <f>IF(CALC_EPM!$B294="","",CALC_EPM!S294)</f>
      </c>
      <c r="T305">
        <f>IF(CALC_EPM!$B294="","",CALC_EPM!T294)</f>
      </c>
      <c r="U305">
        <f>IF(CALC_EPM!$B294="","",CALC_EPM!U294)</f>
      </c>
    </row>
    <row r="306">
      <c r="A306" t="str">
        <f>IF(CALC_EPM!$B295="","",IF(CALC_EPM!A295="GLOBAL",IF(CALC_EPM!C295="Total","GLOBAL",IF(CALC_EPM!C295="TotalEsp","GLOBAL_ESP",IF(CALC_EPM!C295="TotalNoEsp","GLOBAL_NOESP","GLOBAL_ASIG"))),IF(CALC_EPM!C295="Total","CURSO_TOTAL",IF(CALC_EPM!C295="TotalEsp","CURSO_ESP",IF(CALC_EPM!C295="TotalNoEsp","CURSO_NOESP","CURSO_ASIG")))))</f>
      </c>
      <c r="B306" t="str">
        <f>IF(CALC_EPM!$B295="","",CALC_EPM!A295)</f>
      </c>
      <c r="C306" t="str">
        <f>IF(CALC_EPM!$B295="","",CALC_EPM!B295)</f>
      </c>
      <c r="D306">
        <f>IF(CALC_EPM!$B295="","",CALC_EPM!D295)</f>
      </c>
      <c r="E306" s="10" t="str">
        <f>IF(CALC_EPM!$B295="","",CALC_EPM!E295)</f>
      </c>
      <c r="F306" s="10" t="str">
        <f>IF(CALC_EPM!$B295="","",CALC_EPM!F295)</f>
      </c>
      <c r="G306" t="str">
        <f>IF(CALC_EPM!$B295="","",CALC_EPM!G295)</f>
      </c>
      <c r="H306" s="11" t="str">
        <f>IF(CALC_EPM!$B295="","",CALC_EPM!H295)</f>
      </c>
      <c r="I306" s="11" t="str">
        <f>IF(CALC_EPM!$B295="","",CALC_EPM!I295)</f>
      </c>
      <c r="J306" t="str">
        <f>IF(CALC_EPM!$B295="","",CALC_EPM!J295)</f>
      </c>
      <c r="K306" t="str">
        <f>IF(CALC_EPM!$B295="","",CALC_EPM!K295)</f>
      </c>
      <c r="L306">
        <f>IF(CALC_EPM!$B295="","",CALC_EPM!L295)</f>
      </c>
      <c r="M306">
        <f>IF(CALC_EPM!$B295="","",CALC_EPM!M295)</f>
      </c>
      <c r="N306">
        <f>IF(CALC_EPM!$B295="","",CALC_EPM!N295)</f>
      </c>
      <c r="O306">
        <f>IF(CALC_EPM!$B295="","",CALC_EPM!O295)</f>
      </c>
      <c r="P306">
        <f>IF(CALC_EPM!$B295="","",CALC_EPM!P295)</f>
      </c>
      <c r="Q306">
        <f>IF(CALC_EPM!$B295="","",CALC_EPM!Q295)</f>
      </c>
      <c r="R306">
        <f>IF(CALC_EPM!$B295="","",CALC_EPM!R295)</f>
      </c>
      <c r="S306">
        <f>IF(CALC_EPM!$B295="","",CALC_EPM!S295)</f>
      </c>
      <c r="T306">
        <f>IF(CALC_EPM!$B295="","",CALC_EPM!T295)</f>
      </c>
      <c r="U306">
        <f>IF(CALC_EPM!$B295="","",CALC_EPM!U295)</f>
      </c>
    </row>
    <row r="307">
      <c r="A307" t="str">
        <f>IF(CALC_EPM!$B296="","",IF(CALC_EPM!A296="GLOBAL",IF(CALC_EPM!C296="Total","GLOBAL",IF(CALC_EPM!C296="TotalEsp","GLOBAL_ESP",IF(CALC_EPM!C296="TotalNoEsp","GLOBAL_NOESP","GLOBAL_ASIG"))),IF(CALC_EPM!C296="Total","CURSO_TOTAL",IF(CALC_EPM!C296="TotalEsp","CURSO_ESP",IF(CALC_EPM!C296="TotalNoEsp","CURSO_NOESP","CURSO_ASIG")))))</f>
      </c>
      <c r="B307" t="str">
        <f>IF(CALC_EPM!$B296="","",CALC_EPM!A296)</f>
      </c>
      <c r="C307" t="str">
        <f>IF(CALC_EPM!$B296="","",CALC_EPM!B296)</f>
      </c>
      <c r="D307">
        <f>IF(CALC_EPM!$B296="","",CALC_EPM!D296)</f>
      </c>
      <c r="E307" s="10" t="str">
        <f>IF(CALC_EPM!$B296="","",CALC_EPM!E296)</f>
      </c>
      <c r="F307" s="10" t="str">
        <f>IF(CALC_EPM!$B296="","",CALC_EPM!F296)</f>
      </c>
      <c r="G307" t="str">
        <f>IF(CALC_EPM!$B296="","",CALC_EPM!G296)</f>
      </c>
      <c r="H307" s="11" t="str">
        <f>IF(CALC_EPM!$B296="","",CALC_EPM!H296)</f>
      </c>
      <c r="I307" s="11" t="str">
        <f>IF(CALC_EPM!$B296="","",CALC_EPM!I296)</f>
      </c>
      <c r="J307" t="str">
        <f>IF(CALC_EPM!$B296="","",CALC_EPM!J296)</f>
      </c>
      <c r="K307" t="str">
        <f>IF(CALC_EPM!$B296="","",CALC_EPM!K296)</f>
      </c>
      <c r="L307">
        <f>IF(CALC_EPM!$B296="","",CALC_EPM!L296)</f>
      </c>
      <c r="M307">
        <f>IF(CALC_EPM!$B296="","",CALC_EPM!M296)</f>
      </c>
      <c r="N307">
        <f>IF(CALC_EPM!$B296="","",CALC_EPM!N296)</f>
      </c>
      <c r="O307">
        <f>IF(CALC_EPM!$B296="","",CALC_EPM!O296)</f>
      </c>
      <c r="P307">
        <f>IF(CALC_EPM!$B296="","",CALC_EPM!P296)</f>
      </c>
      <c r="Q307">
        <f>IF(CALC_EPM!$B296="","",CALC_EPM!Q296)</f>
      </c>
      <c r="R307">
        <f>IF(CALC_EPM!$B296="","",CALC_EPM!R296)</f>
      </c>
      <c r="S307">
        <f>IF(CALC_EPM!$B296="","",CALC_EPM!S296)</f>
      </c>
      <c r="T307">
        <f>IF(CALC_EPM!$B296="","",CALC_EPM!T296)</f>
      </c>
      <c r="U307">
        <f>IF(CALC_EPM!$B296="","",CALC_EPM!U296)</f>
      </c>
    </row>
    <row r="308">
      <c r="A308" t="str">
        <f>IF(CALC_EPM!$B297="","",IF(CALC_EPM!A297="GLOBAL",IF(CALC_EPM!C297="Total","GLOBAL",IF(CALC_EPM!C297="TotalEsp","GLOBAL_ESP",IF(CALC_EPM!C297="TotalNoEsp","GLOBAL_NOESP","GLOBAL_ASIG"))),IF(CALC_EPM!C297="Total","CURSO_TOTAL",IF(CALC_EPM!C297="TotalEsp","CURSO_ESP",IF(CALC_EPM!C297="TotalNoEsp","CURSO_NOESP","CURSO_ASIG")))))</f>
      </c>
      <c r="B308" t="str">
        <f>IF(CALC_EPM!$B297="","",CALC_EPM!A297)</f>
      </c>
      <c r="C308" t="str">
        <f>IF(CALC_EPM!$B297="","",CALC_EPM!B297)</f>
      </c>
      <c r="D308">
        <f>IF(CALC_EPM!$B297="","",CALC_EPM!D297)</f>
      </c>
      <c r="E308" s="10" t="str">
        <f>IF(CALC_EPM!$B297="","",CALC_EPM!E297)</f>
      </c>
      <c r="F308" s="10" t="str">
        <f>IF(CALC_EPM!$B297="","",CALC_EPM!F297)</f>
      </c>
      <c r="G308" t="str">
        <f>IF(CALC_EPM!$B297="","",CALC_EPM!G297)</f>
      </c>
      <c r="H308" s="11" t="str">
        <f>IF(CALC_EPM!$B297="","",CALC_EPM!H297)</f>
      </c>
      <c r="I308" s="11" t="str">
        <f>IF(CALC_EPM!$B297="","",CALC_EPM!I297)</f>
      </c>
      <c r="J308" t="str">
        <f>IF(CALC_EPM!$B297="","",CALC_EPM!J297)</f>
      </c>
      <c r="K308" t="str">
        <f>IF(CALC_EPM!$B297="","",CALC_EPM!K297)</f>
      </c>
      <c r="L308">
        <f>IF(CALC_EPM!$B297="","",CALC_EPM!L297)</f>
      </c>
      <c r="M308">
        <f>IF(CALC_EPM!$B297="","",CALC_EPM!M297)</f>
      </c>
      <c r="N308">
        <f>IF(CALC_EPM!$B297="","",CALC_EPM!N297)</f>
      </c>
      <c r="O308">
        <f>IF(CALC_EPM!$B297="","",CALC_EPM!O297)</f>
      </c>
      <c r="P308">
        <f>IF(CALC_EPM!$B297="","",CALC_EPM!P297)</f>
      </c>
      <c r="Q308">
        <f>IF(CALC_EPM!$B297="","",CALC_EPM!Q297)</f>
      </c>
      <c r="R308">
        <f>IF(CALC_EPM!$B297="","",CALC_EPM!R297)</f>
      </c>
      <c r="S308">
        <f>IF(CALC_EPM!$B297="","",CALC_EPM!S297)</f>
      </c>
      <c r="T308">
        <f>IF(CALC_EPM!$B297="","",CALC_EPM!T297)</f>
      </c>
      <c r="U308">
        <f>IF(CALC_EPM!$B297="","",CALC_EPM!U297)</f>
      </c>
    </row>
    <row r="309">
      <c r="A309" t="str">
        <f>IF(CALC_EPM!$B298="","",IF(CALC_EPM!A298="GLOBAL",IF(CALC_EPM!C298="Total","GLOBAL",IF(CALC_EPM!C298="TotalEsp","GLOBAL_ESP",IF(CALC_EPM!C298="TotalNoEsp","GLOBAL_NOESP","GLOBAL_ASIG"))),IF(CALC_EPM!C298="Total","CURSO_TOTAL",IF(CALC_EPM!C298="TotalEsp","CURSO_ESP",IF(CALC_EPM!C298="TotalNoEsp","CURSO_NOESP","CURSO_ASIG")))))</f>
      </c>
      <c r="B309" t="str">
        <f>IF(CALC_EPM!$B298="","",CALC_EPM!A298)</f>
      </c>
      <c r="C309" t="str">
        <f>IF(CALC_EPM!$B298="","",CALC_EPM!B298)</f>
      </c>
      <c r="D309">
        <f>IF(CALC_EPM!$B298="","",CALC_EPM!D298)</f>
      </c>
      <c r="E309" s="10" t="str">
        <f>IF(CALC_EPM!$B298="","",CALC_EPM!E298)</f>
      </c>
      <c r="F309" s="10" t="str">
        <f>IF(CALC_EPM!$B298="","",CALC_EPM!F298)</f>
      </c>
      <c r="G309" t="str">
        <f>IF(CALC_EPM!$B298="","",CALC_EPM!G298)</f>
      </c>
      <c r="H309" s="11" t="str">
        <f>IF(CALC_EPM!$B298="","",CALC_EPM!H298)</f>
      </c>
      <c r="I309" s="11" t="str">
        <f>IF(CALC_EPM!$B298="","",CALC_EPM!I298)</f>
      </c>
      <c r="J309" t="str">
        <f>IF(CALC_EPM!$B298="","",CALC_EPM!J298)</f>
      </c>
      <c r="K309" t="str">
        <f>IF(CALC_EPM!$B298="","",CALC_EPM!K298)</f>
      </c>
      <c r="L309">
        <f>IF(CALC_EPM!$B298="","",CALC_EPM!L298)</f>
      </c>
      <c r="M309">
        <f>IF(CALC_EPM!$B298="","",CALC_EPM!M298)</f>
      </c>
      <c r="N309">
        <f>IF(CALC_EPM!$B298="","",CALC_EPM!N298)</f>
      </c>
      <c r="O309">
        <f>IF(CALC_EPM!$B298="","",CALC_EPM!O298)</f>
      </c>
      <c r="P309">
        <f>IF(CALC_EPM!$B298="","",CALC_EPM!P298)</f>
      </c>
      <c r="Q309">
        <f>IF(CALC_EPM!$B298="","",CALC_EPM!Q298)</f>
      </c>
      <c r="R309">
        <f>IF(CALC_EPM!$B298="","",CALC_EPM!R298)</f>
      </c>
      <c r="S309">
        <f>IF(CALC_EPM!$B298="","",CALC_EPM!S298)</f>
      </c>
      <c r="T309">
        <f>IF(CALC_EPM!$B298="","",CALC_EPM!T298)</f>
      </c>
      <c r="U309">
        <f>IF(CALC_EPM!$B298="","",CALC_EPM!U298)</f>
      </c>
    </row>
    <row r="310">
      <c r="A310" t="str">
        <f>IF(CALC_EPM!$B299="","",IF(CALC_EPM!A299="GLOBAL",IF(CALC_EPM!C299="Total","GLOBAL",IF(CALC_EPM!C299="TotalEsp","GLOBAL_ESP",IF(CALC_EPM!C299="TotalNoEsp","GLOBAL_NOESP","GLOBAL_ASIG"))),IF(CALC_EPM!C299="Total","CURSO_TOTAL",IF(CALC_EPM!C299="TotalEsp","CURSO_ESP",IF(CALC_EPM!C299="TotalNoEsp","CURSO_NOESP","CURSO_ASIG")))))</f>
      </c>
      <c r="B310" t="str">
        <f>IF(CALC_EPM!$B299="","",CALC_EPM!A299)</f>
      </c>
      <c r="C310" t="str">
        <f>IF(CALC_EPM!$B299="","",CALC_EPM!B299)</f>
      </c>
      <c r="D310">
        <f>IF(CALC_EPM!$B299="","",CALC_EPM!D299)</f>
      </c>
      <c r="E310" s="10" t="str">
        <f>IF(CALC_EPM!$B299="","",CALC_EPM!E299)</f>
      </c>
      <c r="F310" s="10" t="str">
        <f>IF(CALC_EPM!$B299="","",CALC_EPM!F299)</f>
      </c>
      <c r="G310" t="str">
        <f>IF(CALC_EPM!$B299="","",CALC_EPM!G299)</f>
      </c>
      <c r="H310" s="11" t="str">
        <f>IF(CALC_EPM!$B299="","",CALC_EPM!H299)</f>
      </c>
      <c r="I310" s="11" t="str">
        <f>IF(CALC_EPM!$B299="","",CALC_EPM!I299)</f>
      </c>
      <c r="J310" t="str">
        <f>IF(CALC_EPM!$B299="","",CALC_EPM!J299)</f>
      </c>
      <c r="K310" t="str">
        <f>IF(CALC_EPM!$B299="","",CALC_EPM!K299)</f>
      </c>
      <c r="L310">
        <f>IF(CALC_EPM!$B299="","",CALC_EPM!L299)</f>
      </c>
      <c r="M310">
        <f>IF(CALC_EPM!$B299="","",CALC_EPM!M299)</f>
      </c>
      <c r="N310">
        <f>IF(CALC_EPM!$B299="","",CALC_EPM!N299)</f>
      </c>
      <c r="O310">
        <f>IF(CALC_EPM!$B299="","",CALC_EPM!O299)</f>
      </c>
      <c r="P310">
        <f>IF(CALC_EPM!$B299="","",CALC_EPM!P299)</f>
      </c>
      <c r="Q310">
        <f>IF(CALC_EPM!$B299="","",CALC_EPM!Q299)</f>
      </c>
      <c r="R310">
        <f>IF(CALC_EPM!$B299="","",CALC_EPM!R299)</f>
      </c>
      <c r="S310">
        <f>IF(CALC_EPM!$B299="","",CALC_EPM!S299)</f>
      </c>
      <c r="T310">
        <f>IF(CALC_EPM!$B299="","",CALC_EPM!T299)</f>
      </c>
      <c r="U310">
        <f>IF(CALC_EPM!$B299="","",CALC_EPM!U299)</f>
      </c>
    </row>
    <row r="311">
      <c r="A311" t="str">
        <f>IF(CALC_EPM!$B300="","",IF(CALC_EPM!A300="GLOBAL",IF(CALC_EPM!C300="Total","GLOBAL",IF(CALC_EPM!C300="TotalEsp","GLOBAL_ESP",IF(CALC_EPM!C300="TotalNoEsp","GLOBAL_NOESP","GLOBAL_ASIG"))),IF(CALC_EPM!C300="Total","CURSO_TOTAL",IF(CALC_EPM!C300="TotalEsp","CURSO_ESP",IF(CALC_EPM!C300="TotalNoEsp","CURSO_NOESP","CURSO_ASIG")))))</f>
      </c>
      <c r="B311" t="str">
        <f>IF(CALC_EPM!$B300="","",CALC_EPM!A300)</f>
      </c>
      <c r="C311" t="str">
        <f>IF(CALC_EPM!$B300="","",CALC_EPM!B300)</f>
      </c>
      <c r="D311">
        <f>IF(CALC_EPM!$B300="","",CALC_EPM!D300)</f>
      </c>
      <c r="E311" s="10" t="str">
        <f>IF(CALC_EPM!$B300="","",CALC_EPM!E300)</f>
      </c>
      <c r="F311" s="10" t="str">
        <f>IF(CALC_EPM!$B300="","",CALC_EPM!F300)</f>
      </c>
      <c r="G311" t="str">
        <f>IF(CALC_EPM!$B300="","",CALC_EPM!G300)</f>
      </c>
      <c r="H311" s="11" t="str">
        <f>IF(CALC_EPM!$B300="","",CALC_EPM!H300)</f>
      </c>
      <c r="I311" s="11" t="str">
        <f>IF(CALC_EPM!$B300="","",CALC_EPM!I300)</f>
      </c>
      <c r="J311" t="str">
        <f>IF(CALC_EPM!$B300="","",CALC_EPM!J300)</f>
      </c>
      <c r="K311" t="str">
        <f>IF(CALC_EPM!$B300="","",CALC_EPM!K300)</f>
      </c>
      <c r="L311">
        <f>IF(CALC_EPM!$B300="","",CALC_EPM!L300)</f>
      </c>
      <c r="M311">
        <f>IF(CALC_EPM!$B300="","",CALC_EPM!M300)</f>
      </c>
      <c r="N311">
        <f>IF(CALC_EPM!$B300="","",CALC_EPM!N300)</f>
      </c>
      <c r="O311">
        <f>IF(CALC_EPM!$B300="","",CALC_EPM!O300)</f>
      </c>
      <c r="P311">
        <f>IF(CALC_EPM!$B300="","",CALC_EPM!P300)</f>
      </c>
      <c r="Q311">
        <f>IF(CALC_EPM!$B300="","",CALC_EPM!Q300)</f>
      </c>
      <c r="R311">
        <f>IF(CALC_EPM!$B300="","",CALC_EPM!R300)</f>
      </c>
      <c r="S311">
        <f>IF(CALC_EPM!$B300="","",CALC_EPM!S300)</f>
      </c>
      <c r="T311">
        <f>IF(CALC_EPM!$B300="","",CALC_EPM!T300)</f>
      </c>
      <c r="U311">
        <f>IF(CALC_EPM!$B300="","",CALC_EPM!U300)</f>
      </c>
    </row>
    <row r="312">
      <c r="A312" t="str">
        <f>IF(CALC_EPM!$B301="","",IF(CALC_EPM!A301="GLOBAL",IF(CALC_EPM!C301="Total","GLOBAL",IF(CALC_EPM!C301="TotalEsp","GLOBAL_ESP",IF(CALC_EPM!C301="TotalNoEsp","GLOBAL_NOESP","GLOBAL_ASIG"))),IF(CALC_EPM!C301="Total","CURSO_TOTAL",IF(CALC_EPM!C301="TotalEsp","CURSO_ESP",IF(CALC_EPM!C301="TotalNoEsp","CURSO_NOESP","CURSO_ASIG")))))</f>
      </c>
      <c r="B312" t="str">
        <f>IF(CALC_EPM!$B301="","",CALC_EPM!A301)</f>
      </c>
      <c r="C312" t="str">
        <f>IF(CALC_EPM!$B301="","",CALC_EPM!B301)</f>
      </c>
      <c r="D312">
        <f>IF(CALC_EPM!$B301="","",CALC_EPM!D301)</f>
      </c>
      <c r="E312" s="10" t="str">
        <f>IF(CALC_EPM!$B301="","",CALC_EPM!E301)</f>
      </c>
      <c r="F312" s="10" t="str">
        <f>IF(CALC_EPM!$B301="","",CALC_EPM!F301)</f>
      </c>
      <c r="G312" t="str">
        <f>IF(CALC_EPM!$B301="","",CALC_EPM!G301)</f>
      </c>
      <c r="H312" s="11" t="str">
        <f>IF(CALC_EPM!$B301="","",CALC_EPM!H301)</f>
      </c>
      <c r="I312" s="11" t="str">
        <f>IF(CALC_EPM!$B301="","",CALC_EPM!I301)</f>
      </c>
      <c r="J312" t="str">
        <f>IF(CALC_EPM!$B301="","",CALC_EPM!J301)</f>
      </c>
      <c r="K312" t="str">
        <f>IF(CALC_EPM!$B301="","",CALC_EPM!K301)</f>
      </c>
      <c r="L312">
        <f>IF(CALC_EPM!$B301="","",CALC_EPM!L301)</f>
      </c>
      <c r="M312">
        <f>IF(CALC_EPM!$B301="","",CALC_EPM!M301)</f>
      </c>
      <c r="N312">
        <f>IF(CALC_EPM!$B301="","",CALC_EPM!N301)</f>
      </c>
      <c r="O312">
        <f>IF(CALC_EPM!$B301="","",CALC_EPM!O301)</f>
      </c>
      <c r="P312">
        <f>IF(CALC_EPM!$B301="","",CALC_EPM!P301)</f>
      </c>
      <c r="Q312">
        <f>IF(CALC_EPM!$B301="","",CALC_EPM!Q301)</f>
      </c>
      <c r="R312">
        <f>IF(CALC_EPM!$B301="","",CALC_EPM!R301)</f>
      </c>
      <c r="S312">
        <f>IF(CALC_EPM!$B301="","",CALC_EPM!S301)</f>
      </c>
      <c r="T312">
        <f>IF(CALC_EPM!$B301="","",CALC_EPM!T301)</f>
      </c>
      <c r="U312">
        <f>IF(CALC_EPM!$B301="","",CALC_EPM!U301)</f>
      </c>
    </row>
    <row r="313">
      <c r="A313" t="str">
        <f>IF(CALC_EPM!$B302="","",IF(CALC_EPM!A302="GLOBAL",IF(CALC_EPM!C302="Total","GLOBAL",IF(CALC_EPM!C302="TotalEsp","GLOBAL_ESP",IF(CALC_EPM!C302="TotalNoEsp","GLOBAL_NOESP","GLOBAL_ASIG"))),IF(CALC_EPM!C302="Total","CURSO_TOTAL",IF(CALC_EPM!C302="TotalEsp","CURSO_ESP",IF(CALC_EPM!C302="TotalNoEsp","CURSO_NOESP","CURSO_ASIG")))))</f>
      </c>
      <c r="B313" t="str">
        <f>IF(CALC_EPM!$B302="","",CALC_EPM!A302)</f>
      </c>
      <c r="C313" t="str">
        <f>IF(CALC_EPM!$B302="","",CALC_EPM!B302)</f>
      </c>
      <c r="D313">
        <f>IF(CALC_EPM!$B302="","",CALC_EPM!D302)</f>
      </c>
      <c r="E313" s="10" t="str">
        <f>IF(CALC_EPM!$B302="","",CALC_EPM!E302)</f>
      </c>
      <c r="F313" s="10" t="str">
        <f>IF(CALC_EPM!$B302="","",CALC_EPM!F302)</f>
      </c>
      <c r="G313" t="str">
        <f>IF(CALC_EPM!$B302="","",CALC_EPM!G302)</f>
      </c>
      <c r="H313" s="11" t="str">
        <f>IF(CALC_EPM!$B302="","",CALC_EPM!H302)</f>
      </c>
      <c r="I313" s="11" t="str">
        <f>IF(CALC_EPM!$B302="","",CALC_EPM!I302)</f>
      </c>
      <c r="J313" t="str">
        <f>IF(CALC_EPM!$B302="","",CALC_EPM!J302)</f>
      </c>
      <c r="K313" t="str">
        <f>IF(CALC_EPM!$B302="","",CALC_EPM!K302)</f>
      </c>
      <c r="L313">
        <f>IF(CALC_EPM!$B302="","",CALC_EPM!L302)</f>
      </c>
      <c r="M313">
        <f>IF(CALC_EPM!$B302="","",CALC_EPM!M302)</f>
      </c>
      <c r="N313">
        <f>IF(CALC_EPM!$B302="","",CALC_EPM!N302)</f>
      </c>
      <c r="O313">
        <f>IF(CALC_EPM!$B302="","",CALC_EPM!O302)</f>
      </c>
      <c r="P313">
        <f>IF(CALC_EPM!$B302="","",CALC_EPM!P302)</f>
      </c>
      <c r="Q313">
        <f>IF(CALC_EPM!$B302="","",CALC_EPM!Q302)</f>
      </c>
      <c r="R313">
        <f>IF(CALC_EPM!$B302="","",CALC_EPM!R302)</f>
      </c>
      <c r="S313">
        <f>IF(CALC_EPM!$B302="","",CALC_EPM!S302)</f>
      </c>
      <c r="T313">
        <f>IF(CALC_EPM!$B302="","",CALC_EPM!T302)</f>
      </c>
      <c r="U313">
        <f>IF(CALC_EPM!$B302="","",CALC_EPM!U302)</f>
      </c>
    </row>
    <row r="314">
      <c r="A314" t="str">
        <f>IF(CALC_EPM!$B303="","",IF(CALC_EPM!A303="GLOBAL",IF(CALC_EPM!C303="Total","GLOBAL",IF(CALC_EPM!C303="TotalEsp","GLOBAL_ESP",IF(CALC_EPM!C303="TotalNoEsp","GLOBAL_NOESP","GLOBAL_ASIG"))),IF(CALC_EPM!C303="Total","CURSO_TOTAL",IF(CALC_EPM!C303="TotalEsp","CURSO_ESP",IF(CALC_EPM!C303="TotalNoEsp","CURSO_NOESP","CURSO_ASIG")))))</f>
      </c>
      <c r="B314" t="str">
        <f>IF(CALC_EPM!$B303="","",CALC_EPM!A303)</f>
      </c>
      <c r="C314" t="str">
        <f>IF(CALC_EPM!$B303="","",CALC_EPM!B303)</f>
      </c>
      <c r="D314">
        <f>IF(CALC_EPM!$B303="","",CALC_EPM!D303)</f>
      </c>
      <c r="E314" s="10" t="str">
        <f>IF(CALC_EPM!$B303="","",CALC_EPM!E303)</f>
      </c>
      <c r="F314" s="10" t="str">
        <f>IF(CALC_EPM!$B303="","",CALC_EPM!F303)</f>
      </c>
      <c r="G314" t="str">
        <f>IF(CALC_EPM!$B303="","",CALC_EPM!G303)</f>
      </c>
      <c r="H314" s="11" t="str">
        <f>IF(CALC_EPM!$B303="","",CALC_EPM!H303)</f>
      </c>
      <c r="I314" s="11" t="str">
        <f>IF(CALC_EPM!$B303="","",CALC_EPM!I303)</f>
      </c>
      <c r="J314" t="str">
        <f>IF(CALC_EPM!$B303="","",CALC_EPM!J303)</f>
      </c>
      <c r="K314" t="str">
        <f>IF(CALC_EPM!$B303="","",CALC_EPM!K303)</f>
      </c>
      <c r="L314">
        <f>IF(CALC_EPM!$B303="","",CALC_EPM!L303)</f>
      </c>
      <c r="M314">
        <f>IF(CALC_EPM!$B303="","",CALC_EPM!M303)</f>
      </c>
      <c r="N314">
        <f>IF(CALC_EPM!$B303="","",CALC_EPM!N303)</f>
      </c>
      <c r="O314">
        <f>IF(CALC_EPM!$B303="","",CALC_EPM!O303)</f>
      </c>
      <c r="P314">
        <f>IF(CALC_EPM!$B303="","",CALC_EPM!P303)</f>
      </c>
      <c r="Q314">
        <f>IF(CALC_EPM!$B303="","",CALC_EPM!Q303)</f>
      </c>
      <c r="R314">
        <f>IF(CALC_EPM!$B303="","",CALC_EPM!R303)</f>
      </c>
      <c r="S314">
        <f>IF(CALC_EPM!$B303="","",CALC_EPM!S303)</f>
      </c>
      <c r="T314">
        <f>IF(CALC_EPM!$B303="","",CALC_EPM!T303)</f>
      </c>
      <c r="U314">
        <f>IF(CALC_EPM!$B303="","",CALC_EPM!U303)</f>
      </c>
    </row>
    <row r="315">
      <c r="A315" t="str">
        <f>IF(CALC_EPM!$B304="","",IF(CALC_EPM!A304="GLOBAL",IF(CALC_EPM!C304="Total","GLOBAL",IF(CALC_EPM!C304="TotalEsp","GLOBAL_ESP",IF(CALC_EPM!C304="TotalNoEsp","GLOBAL_NOESP","GLOBAL_ASIG"))),IF(CALC_EPM!C304="Total","CURSO_TOTAL",IF(CALC_EPM!C304="TotalEsp","CURSO_ESP",IF(CALC_EPM!C304="TotalNoEsp","CURSO_NOESP","CURSO_ASIG")))))</f>
      </c>
      <c r="B315" t="str">
        <f>IF(CALC_EPM!$B304="","",CALC_EPM!A304)</f>
      </c>
      <c r="C315" t="str">
        <f>IF(CALC_EPM!$B304="","",CALC_EPM!B304)</f>
      </c>
      <c r="D315">
        <f>IF(CALC_EPM!$B304="","",CALC_EPM!D304)</f>
      </c>
      <c r="E315" s="10" t="str">
        <f>IF(CALC_EPM!$B304="","",CALC_EPM!E304)</f>
      </c>
      <c r="F315" s="10" t="str">
        <f>IF(CALC_EPM!$B304="","",CALC_EPM!F304)</f>
      </c>
      <c r="G315" t="str">
        <f>IF(CALC_EPM!$B304="","",CALC_EPM!G304)</f>
      </c>
      <c r="H315" s="11" t="str">
        <f>IF(CALC_EPM!$B304="","",CALC_EPM!H304)</f>
      </c>
      <c r="I315" s="11" t="str">
        <f>IF(CALC_EPM!$B304="","",CALC_EPM!I304)</f>
      </c>
      <c r="J315" t="str">
        <f>IF(CALC_EPM!$B304="","",CALC_EPM!J304)</f>
      </c>
      <c r="K315" t="str">
        <f>IF(CALC_EPM!$B304="","",CALC_EPM!K304)</f>
      </c>
      <c r="L315">
        <f>IF(CALC_EPM!$B304="","",CALC_EPM!L304)</f>
      </c>
      <c r="M315">
        <f>IF(CALC_EPM!$B304="","",CALC_EPM!M304)</f>
      </c>
      <c r="N315">
        <f>IF(CALC_EPM!$B304="","",CALC_EPM!N304)</f>
      </c>
      <c r="O315">
        <f>IF(CALC_EPM!$B304="","",CALC_EPM!O304)</f>
      </c>
      <c r="P315">
        <f>IF(CALC_EPM!$B304="","",CALC_EPM!P304)</f>
      </c>
      <c r="Q315">
        <f>IF(CALC_EPM!$B304="","",CALC_EPM!Q304)</f>
      </c>
      <c r="R315">
        <f>IF(CALC_EPM!$B304="","",CALC_EPM!R304)</f>
      </c>
      <c r="S315">
        <f>IF(CALC_EPM!$B304="","",CALC_EPM!S304)</f>
      </c>
      <c r="T315">
        <f>IF(CALC_EPM!$B304="","",CALC_EPM!T304)</f>
      </c>
      <c r="U315">
        <f>IF(CALC_EPM!$B304="","",CALC_EPM!U304)</f>
      </c>
    </row>
    <row r="316">
      <c r="A316" t="str">
        <f>IF(CALC_EPM!$B305="","",IF(CALC_EPM!A305="GLOBAL",IF(CALC_EPM!C305="Total","GLOBAL",IF(CALC_EPM!C305="TotalEsp","GLOBAL_ESP",IF(CALC_EPM!C305="TotalNoEsp","GLOBAL_NOESP","GLOBAL_ASIG"))),IF(CALC_EPM!C305="Total","CURSO_TOTAL",IF(CALC_EPM!C305="TotalEsp","CURSO_ESP",IF(CALC_EPM!C305="TotalNoEsp","CURSO_NOESP","CURSO_ASIG")))))</f>
      </c>
      <c r="B316" t="str">
        <f>IF(CALC_EPM!$B305="","",CALC_EPM!A305)</f>
      </c>
      <c r="C316" t="str">
        <f>IF(CALC_EPM!$B305="","",CALC_EPM!B305)</f>
      </c>
      <c r="D316">
        <f>IF(CALC_EPM!$B305="","",CALC_EPM!D305)</f>
      </c>
      <c r="E316" s="10" t="str">
        <f>IF(CALC_EPM!$B305="","",CALC_EPM!E305)</f>
      </c>
      <c r="F316" s="10" t="str">
        <f>IF(CALC_EPM!$B305="","",CALC_EPM!F305)</f>
      </c>
      <c r="G316" t="str">
        <f>IF(CALC_EPM!$B305="","",CALC_EPM!G305)</f>
      </c>
      <c r="H316" s="11" t="str">
        <f>IF(CALC_EPM!$B305="","",CALC_EPM!H305)</f>
      </c>
      <c r="I316" s="11" t="str">
        <f>IF(CALC_EPM!$B305="","",CALC_EPM!I305)</f>
      </c>
      <c r="J316" t="str">
        <f>IF(CALC_EPM!$B305="","",CALC_EPM!J305)</f>
      </c>
      <c r="K316" t="str">
        <f>IF(CALC_EPM!$B305="","",CALC_EPM!K305)</f>
      </c>
      <c r="L316">
        <f>IF(CALC_EPM!$B305="","",CALC_EPM!L305)</f>
      </c>
      <c r="M316">
        <f>IF(CALC_EPM!$B305="","",CALC_EPM!M305)</f>
      </c>
      <c r="N316">
        <f>IF(CALC_EPM!$B305="","",CALC_EPM!N305)</f>
      </c>
      <c r="O316">
        <f>IF(CALC_EPM!$B305="","",CALC_EPM!O305)</f>
      </c>
      <c r="P316">
        <f>IF(CALC_EPM!$B305="","",CALC_EPM!P305)</f>
      </c>
      <c r="Q316">
        <f>IF(CALC_EPM!$B305="","",CALC_EPM!Q305)</f>
      </c>
      <c r="R316">
        <f>IF(CALC_EPM!$B305="","",CALC_EPM!R305)</f>
      </c>
      <c r="S316">
        <f>IF(CALC_EPM!$B305="","",CALC_EPM!S305)</f>
      </c>
      <c r="T316">
        <f>IF(CALC_EPM!$B305="","",CALC_EPM!T305)</f>
      </c>
      <c r="U316">
        <f>IF(CALC_EPM!$B305="","",CALC_EPM!U305)</f>
      </c>
    </row>
    <row r="317">
      <c r="A317" t="str">
        <f>IF(CALC_EPM!$B306="","",IF(CALC_EPM!A306="GLOBAL",IF(CALC_EPM!C306="Total","GLOBAL",IF(CALC_EPM!C306="TotalEsp","GLOBAL_ESP",IF(CALC_EPM!C306="TotalNoEsp","GLOBAL_NOESP","GLOBAL_ASIG"))),IF(CALC_EPM!C306="Total","CURSO_TOTAL",IF(CALC_EPM!C306="TotalEsp","CURSO_ESP",IF(CALC_EPM!C306="TotalNoEsp","CURSO_NOESP","CURSO_ASIG")))))</f>
      </c>
      <c r="B317" t="str">
        <f>IF(CALC_EPM!$B306="","",CALC_EPM!A306)</f>
      </c>
      <c r="C317" t="str">
        <f>IF(CALC_EPM!$B306="","",CALC_EPM!B306)</f>
      </c>
      <c r="D317">
        <f>IF(CALC_EPM!$B306="","",CALC_EPM!D306)</f>
      </c>
      <c r="E317" s="10" t="str">
        <f>IF(CALC_EPM!$B306="","",CALC_EPM!E306)</f>
      </c>
      <c r="F317" s="10" t="str">
        <f>IF(CALC_EPM!$B306="","",CALC_EPM!F306)</f>
      </c>
      <c r="G317" t="str">
        <f>IF(CALC_EPM!$B306="","",CALC_EPM!G306)</f>
      </c>
      <c r="H317" s="11" t="str">
        <f>IF(CALC_EPM!$B306="","",CALC_EPM!H306)</f>
      </c>
      <c r="I317" s="11" t="str">
        <f>IF(CALC_EPM!$B306="","",CALC_EPM!I306)</f>
      </c>
      <c r="J317" t="str">
        <f>IF(CALC_EPM!$B306="","",CALC_EPM!J306)</f>
      </c>
      <c r="K317" t="str">
        <f>IF(CALC_EPM!$B306="","",CALC_EPM!K306)</f>
      </c>
      <c r="L317">
        <f>IF(CALC_EPM!$B306="","",CALC_EPM!L306)</f>
      </c>
      <c r="M317">
        <f>IF(CALC_EPM!$B306="","",CALC_EPM!M306)</f>
      </c>
      <c r="N317">
        <f>IF(CALC_EPM!$B306="","",CALC_EPM!N306)</f>
      </c>
      <c r="O317">
        <f>IF(CALC_EPM!$B306="","",CALC_EPM!O306)</f>
      </c>
      <c r="P317">
        <f>IF(CALC_EPM!$B306="","",CALC_EPM!P306)</f>
      </c>
      <c r="Q317">
        <f>IF(CALC_EPM!$B306="","",CALC_EPM!Q306)</f>
      </c>
      <c r="R317">
        <f>IF(CALC_EPM!$B306="","",CALC_EPM!R306)</f>
      </c>
      <c r="S317">
        <f>IF(CALC_EPM!$B306="","",CALC_EPM!S306)</f>
      </c>
      <c r="T317">
        <f>IF(CALC_EPM!$B306="","",CALC_EPM!T306)</f>
      </c>
      <c r="U317">
        <f>IF(CALC_EPM!$B306="","",CALC_EPM!U306)</f>
      </c>
    </row>
    <row r="318">
      <c r="A318" t="str">
        <f>IF(CALC_EPM!$B307="","",IF(CALC_EPM!A307="GLOBAL",IF(CALC_EPM!C307="Total","GLOBAL",IF(CALC_EPM!C307="TotalEsp","GLOBAL_ESP",IF(CALC_EPM!C307="TotalNoEsp","GLOBAL_NOESP","GLOBAL_ASIG"))),IF(CALC_EPM!C307="Total","CURSO_TOTAL",IF(CALC_EPM!C307="TotalEsp","CURSO_ESP",IF(CALC_EPM!C307="TotalNoEsp","CURSO_NOESP","CURSO_ASIG")))))</f>
      </c>
      <c r="B318" t="str">
        <f>IF(CALC_EPM!$B307="","",CALC_EPM!A307)</f>
      </c>
      <c r="C318" t="str">
        <f>IF(CALC_EPM!$B307="","",CALC_EPM!B307)</f>
      </c>
      <c r="D318">
        <f>IF(CALC_EPM!$B307="","",CALC_EPM!D307)</f>
      </c>
      <c r="E318" s="10" t="str">
        <f>IF(CALC_EPM!$B307="","",CALC_EPM!E307)</f>
      </c>
      <c r="F318" s="10" t="str">
        <f>IF(CALC_EPM!$B307="","",CALC_EPM!F307)</f>
      </c>
      <c r="G318" t="str">
        <f>IF(CALC_EPM!$B307="","",CALC_EPM!G307)</f>
      </c>
      <c r="H318" s="11" t="str">
        <f>IF(CALC_EPM!$B307="","",CALC_EPM!H307)</f>
      </c>
      <c r="I318" s="11" t="str">
        <f>IF(CALC_EPM!$B307="","",CALC_EPM!I307)</f>
      </c>
      <c r="J318" t="str">
        <f>IF(CALC_EPM!$B307="","",CALC_EPM!J307)</f>
      </c>
      <c r="K318" t="str">
        <f>IF(CALC_EPM!$B307="","",CALC_EPM!K307)</f>
      </c>
      <c r="L318">
        <f>IF(CALC_EPM!$B307="","",CALC_EPM!L307)</f>
      </c>
      <c r="M318">
        <f>IF(CALC_EPM!$B307="","",CALC_EPM!M307)</f>
      </c>
      <c r="N318">
        <f>IF(CALC_EPM!$B307="","",CALC_EPM!N307)</f>
      </c>
      <c r="O318">
        <f>IF(CALC_EPM!$B307="","",CALC_EPM!O307)</f>
      </c>
      <c r="P318">
        <f>IF(CALC_EPM!$B307="","",CALC_EPM!P307)</f>
      </c>
      <c r="Q318">
        <f>IF(CALC_EPM!$B307="","",CALC_EPM!Q307)</f>
      </c>
      <c r="R318">
        <f>IF(CALC_EPM!$B307="","",CALC_EPM!R307)</f>
      </c>
      <c r="S318">
        <f>IF(CALC_EPM!$B307="","",CALC_EPM!S307)</f>
      </c>
      <c r="T318">
        <f>IF(CALC_EPM!$B307="","",CALC_EPM!T307)</f>
      </c>
      <c r="U318">
        <f>IF(CALC_EPM!$B307="","",CALC_EPM!U307)</f>
      </c>
    </row>
    <row r="319">
      <c r="A319" t="str">
        <f>IF(CALC_EPM!$B308="","",IF(CALC_EPM!A308="GLOBAL",IF(CALC_EPM!C308="Total","GLOBAL",IF(CALC_EPM!C308="TotalEsp","GLOBAL_ESP",IF(CALC_EPM!C308="TotalNoEsp","GLOBAL_NOESP","GLOBAL_ASIG"))),IF(CALC_EPM!C308="Total","CURSO_TOTAL",IF(CALC_EPM!C308="TotalEsp","CURSO_ESP",IF(CALC_EPM!C308="TotalNoEsp","CURSO_NOESP","CURSO_ASIG")))))</f>
      </c>
      <c r="B319" t="str">
        <f>IF(CALC_EPM!$B308="","",CALC_EPM!A308)</f>
      </c>
      <c r="C319" t="str">
        <f>IF(CALC_EPM!$B308="","",CALC_EPM!B308)</f>
      </c>
      <c r="D319">
        <f>IF(CALC_EPM!$B308="","",CALC_EPM!D308)</f>
      </c>
      <c r="E319" s="10" t="str">
        <f>IF(CALC_EPM!$B308="","",CALC_EPM!E308)</f>
      </c>
      <c r="F319" s="10" t="str">
        <f>IF(CALC_EPM!$B308="","",CALC_EPM!F308)</f>
      </c>
      <c r="G319" t="str">
        <f>IF(CALC_EPM!$B308="","",CALC_EPM!G308)</f>
      </c>
      <c r="H319" s="11" t="str">
        <f>IF(CALC_EPM!$B308="","",CALC_EPM!H308)</f>
      </c>
      <c r="I319" s="11" t="str">
        <f>IF(CALC_EPM!$B308="","",CALC_EPM!I308)</f>
      </c>
      <c r="J319" t="str">
        <f>IF(CALC_EPM!$B308="","",CALC_EPM!J308)</f>
      </c>
      <c r="K319" t="str">
        <f>IF(CALC_EPM!$B308="","",CALC_EPM!K308)</f>
      </c>
      <c r="L319">
        <f>IF(CALC_EPM!$B308="","",CALC_EPM!L308)</f>
      </c>
      <c r="M319">
        <f>IF(CALC_EPM!$B308="","",CALC_EPM!M308)</f>
      </c>
      <c r="N319">
        <f>IF(CALC_EPM!$B308="","",CALC_EPM!N308)</f>
      </c>
      <c r="O319">
        <f>IF(CALC_EPM!$B308="","",CALC_EPM!O308)</f>
      </c>
      <c r="P319">
        <f>IF(CALC_EPM!$B308="","",CALC_EPM!P308)</f>
      </c>
      <c r="Q319">
        <f>IF(CALC_EPM!$B308="","",CALC_EPM!Q308)</f>
      </c>
      <c r="R319">
        <f>IF(CALC_EPM!$B308="","",CALC_EPM!R308)</f>
      </c>
      <c r="S319">
        <f>IF(CALC_EPM!$B308="","",CALC_EPM!S308)</f>
      </c>
      <c r="T319">
        <f>IF(CALC_EPM!$B308="","",CALC_EPM!T308)</f>
      </c>
      <c r="U319">
        <f>IF(CALC_EPM!$B308="","",CALC_EPM!U308)</f>
      </c>
    </row>
    <row r="320">
      <c r="A320" t="str">
        <f>IF(CALC_EPM!$B309="","",IF(CALC_EPM!A309="GLOBAL",IF(CALC_EPM!C309="Total","GLOBAL",IF(CALC_EPM!C309="TotalEsp","GLOBAL_ESP",IF(CALC_EPM!C309="TotalNoEsp","GLOBAL_NOESP","GLOBAL_ASIG"))),IF(CALC_EPM!C309="Total","CURSO_TOTAL",IF(CALC_EPM!C309="TotalEsp","CURSO_ESP",IF(CALC_EPM!C309="TotalNoEsp","CURSO_NOESP","CURSO_ASIG")))))</f>
      </c>
      <c r="B320" t="str">
        <f>IF(CALC_EPM!$B309="","",CALC_EPM!A309)</f>
      </c>
      <c r="C320" t="str">
        <f>IF(CALC_EPM!$B309="","",CALC_EPM!B309)</f>
      </c>
      <c r="D320">
        <f>IF(CALC_EPM!$B309="","",CALC_EPM!D309)</f>
      </c>
      <c r="E320" s="10" t="str">
        <f>IF(CALC_EPM!$B309="","",CALC_EPM!E309)</f>
      </c>
      <c r="F320" s="10" t="str">
        <f>IF(CALC_EPM!$B309="","",CALC_EPM!F309)</f>
      </c>
      <c r="G320" t="str">
        <f>IF(CALC_EPM!$B309="","",CALC_EPM!G309)</f>
      </c>
      <c r="H320" s="11" t="str">
        <f>IF(CALC_EPM!$B309="","",CALC_EPM!H309)</f>
      </c>
      <c r="I320" s="11" t="str">
        <f>IF(CALC_EPM!$B309="","",CALC_EPM!I309)</f>
      </c>
      <c r="J320" t="str">
        <f>IF(CALC_EPM!$B309="","",CALC_EPM!J309)</f>
      </c>
      <c r="K320" t="str">
        <f>IF(CALC_EPM!$B309="","",CALC_EPM!K309)</f>
      </c>
      <c r="L320">
        <f>IF(CALC_EPM!$B309="","",CALC_EPM!L309)</f>
      </c>
      <c r="M320">
        <f>IF(CALC_EPM!$B309="","",CALC_EPM!M309)</f>
      </c>
      <c r="N320">
        <f>IF(CALC_EPM!$B309="","",CALC_EPM!N309)</f>
      </c>
      <c r="O320">
        <f>IF(CALC_EPM!$B309="","",CALC_EPM!O309)</f>
      </c>
      <c r="P320">
        <f>IF(CALC_EPM!$B309="","",CALC_EPM!P309)</f>
      </c>
      <c r="Q320">
        <f>IF(CALC_EPM!$B309="","",CALC_EPM!Q309)</f>
      </c>
      <c r="R320">
        <f>IF(CALC_EPM!$B309="","",CALC_EPM!R309)</f>
      </c>
      <c r="S320">
        <f>IF(CALC_EPM!$B309="","",CALC_EPM!S309)</f>
      </c>
      <c r="T320">
        <f>IF(CALC_EPM!$B309="","",CALC_EPM!T309)</f>
      </c>
      <c r="U320">
        <f>IF(CALC_EPM!$B309="","",CALC_EPM!U309)</f>
      </c>
    </row>
    <row r="321">
      <c r="A321" t="str">
        <f>IF(CALC_EPM!$B310="","",IF(CALC_EPM!A310="GLOBAL",IF(CALC_EPM!C310="Total","GLOBAL",IF(CALC_EPM!C310="TotalEsp","GLOBAL_ESP",IF(CALC_EPM!C310="TotalNoEsp","GLOBAL_NOESP","GLOBAL_ASIG"))),IF(CALC_EPM!C310="Total","CURSO_TOTAL",IF(CALC_EPM!C310="TotalEsp","CURSO_ESP",IF(CALC_EPM!C310="TotalNoEsp","CURSO_NOESP","CURSO_ASIG")))))</f>
      </c>
      <c r="B321" t="str">
        <f>IF(CALC_EPM!$B310="","",CALC_EPM!A310)</f>
      </c>
      <c r="C321" t="str">
        <f>IF(CALC_EPM!$B310="","",CALC_EPM!B310)</f>
      </c>
      <c r="D321">
        <f>IF(CALC_EPM!$B310="","",CALC_EPM!D310)</f>
      </c>
      <c r="E321" s="10" t="str">
        <f>IF(CALC_EPM!$B310="","",CALC_EPM!E310)</f>
      </c>
      <c r="F321" s="10" t="str">
        <f>IF(CALC_EPM!$B310="","",CALC_EPM!F310)</f>
      </c>
      <c r="G321" t="str">
        <f>IF(CALC_EPM!$B310="","",CALC_EPM!G310)</f>
      </c>
      <c r="H321" s="11" t="str">
        <f>IF(CALC_EPM!$B310="","",CALC_EPM!H310)</f>
      </c>
      <c r="I321" s="11" t="str">
        <f>IF(CALC_EPM!$B310="","",CALC_EPM!I310)</f>
      </c>
      <c r="J321" t="str">
        <f>IF(CALC_EPM!$B310="","",CALC_EPM!J310)</f>
      </c>
      <c r="K321" t="str">
        <f>IF(CALC_EPM!$B310="","",CALC_EPM!K310)</f>
      </c>
      <c r="L321">
        <f>IF(CALC_EPM!$B310="","",CALC_EPM!L310)</f>
      </c>
      <c r="M321">
        <f>IF(CALC_EPM!$B310="","",CALC_EPM!M310)</f>
      </c>
      <c r="N321">
        <f>IF(CALC_EPM!$B310="","",CALC_EPM!N310)</f>
      </c>
      <c r="O321">
        <f>IF(CALC_EPM!$B310="","",CALC_EPM!O310)</f>
      </c>
      <c r="P321">
        <f>IF(CALC_EPM!$B310="","",CALC_EPM!P310)</f>
      </c>
      <c r="Q321">
        <f>IF(CALC_EPM!$B310="","",CALC_EPM!Q310)</f>
      </c>
      <c r="R321">
        <f>IF(CALC_EPM!$B310="","",CALC_EPM!R310)</f>
      </c>
      <c r="S321">
        <f>IF(CALC_EPM!$B310="","",CALC_EPM!S310)</f>
      </c>
      <c r="T321">
        <f>IF(CALC_EPM!$B310="","",CALC_EPM!T310)</f>
      </c>
      <c r="U321">
        <f>IF(CALC_EPM!$B310="","",CALC_EPM!U310)</f>
      </c>
    </row>
    <row r="322">
      <c r="A322" t="str">
        <f>IF(CALC_EPM!$B311="","",IF(CALC_EPM!A311="GLOBAL",IF(CALC_EPM!C311="Total","GLOBAL",IF(CALC_EPM!C311="TotalEsp","GLOBAL_ESP",IF(CALC_EPM!C311="TotalNoEsp","GLOBAL_NOESP","GLOBAL_ASIG"))),IF(CALC_EPM!C311="Total","CURSO_TOTAL",IF(CALC_EPM!C311="TotalEsp","CURSO_ESP",IF(CALC_EPM!C311="TotalNoEsp","CURSO_NOESP","CURSO_ASIG")))))</f>
      </c>
      <c r="B322" t="str">
        <f>IF(CALC_EPM!$B311="","",CALC_EPM!A311)</f>
      </c>
      <c r="C322" t="str">
        <f>IF(CALC_EPM!$B311="","",CALC_EPM!B311)</f>
      </c>
      <c r="D322">
        <f>IF(CALC_EPM!$B311="","",CALC_EPM!D311)</f>
      </c>
      <c r="E322" s="10" t="str">
        <f>IF(CALC_EPM!$B311="","",CALC_EPM!E311)</f>
      </c>
      <c r="F322" s="10" t="str">
        <f>IF(CALC_EPM!$B311="","",CALC_EPM!F311)</f>
      </c>
      <c r="G322" t="str">
        <f>IF(CALC_EPM!$B311="","",CALC_EPM!G311)</f>
      </c>
      <c r="H322" s="11" t="str">
        <f>IF(CALC_EPM!$B311="","",CALC_EPM!H311)</f>
      </c>
      <c r="I322" s="11" t="str">
        <f>IF(CALC_EPM!$B311="","",CALC_EPM!I311)</f>
      </c>
      <c r="J322" t="str">
        <f>IF(CALC_EPM!$B311="","",CALC_EPM!J311)</f>
      </c>
      <c r="K322" t="str">
        <f>IF(CALC_EPM!$B311="","",CALC_EPM!K311)</f>
      </c>
      <c r="L322">
        <f>IF(CALC_EPM!$B311="","",CALC_EPM!L311)</f>
      </c>
      <c r="M322">
        <f>IF(CALC_EPM!$B311="","",CALC_EPM!M311)</f>
      </c>
      <c r="N322">
        <f>IF(CALC_EPM!$B311="","",CALC_EPM!N311)</f>
      </c>
      <c r="O322">
        <f>IF(CALC_EPM!$B311="","",CALC_EPM!O311)</f>
      </c>
      <c r="P322">
        <f>IF(CALC_EPM!$B311="","",CALC_EPM!P311)</f>
      </c>
      <c r="Q322">
        <f>IF(CALC_EPM!$B311="","",CALC_EPM!Q311)</f>
      </c>
      <c r="R322">
        <f>IF(CALC_EPM!$B311="","",CALC_EPM!R311)</f>
      </c>
      <c r="S322">
        <f>IF(CALC_EPM!$B311="","",CALC_EPM!S311)</f>
      </c>
      <c r="T322">
        <f>IF(CALC_EPM!$B311="","",CALC_EPM!T311)</f>
      </c>
      <c r="U322">
        <f>IF(CALC_EPM!$B311="","",CALC_EPM!U311)</f>
      </c>
    </row>
    <row r="323">
      <c r="A323" t="str">
        <f>IF(CALC_EPM!$B312="","",IF(CALC_EPM!A312="GLOBAL",IF(CALC_EPM!C312="Total","GLOBAL",IF(CALC_EPM!C312="TotalEsp","GLOBAL_ESP",IF(CALC_EPM!C312="TotalNoEsp","GLOBAL_NOESP","GLOBAL_ASIG"))),IF(CALC_EPM!C312="Total","CURSO_TOTAL",IF(CALC_EPM!C312="TotalEsp","CURSO_ESP",IF(CALC_EPM!C312="TotalNoEsp","CURSO_NOESP","CURSO_ASIG")))))</f>
      </c>
      <c r="B323" t="str">
        <f>IF(CALC_EPM!$B312="","",CALC_EPM!A312)</f>
      </c>
      <c r="C323" t="str">
        <f>IF(CALC_EPM!$B312="","",CALC_EPM!B312)</f>
      </c>
      <c r="D323">
        <f>IF(CALC_EPM!$B312="","",CALC_EPM!D312)</f>
      </c>
      <c r="E323" s="10" t="str">
        <f>IF(CALC_EPM!$B312="","",CALC_EPM!E312)</f>
      </c>
      <c r="F323" s="10" t="str">
        <f>IF(CALC_EPM!$B312="","",CALC_EPM!F312)</f>
      </c>
      <c r="G323" t="str">
        <f>IF(CALC_EPM!$B312="","",CALC_EPM!G312)</f>
      </c>
      <c r="H323" s="11" t="str">
        <f>IF(CALC_EPM!$B312="","",CALC_EPM!H312)</f>
      </c>
      <c r="I323" s="11" t="str">
        <f>IF(CALC_EPM!$B312="","",CALC_EPM!I312)</f>
      </c>
      <c r="J323" t="str">
        <f>IF(CALC_EPM!$B312="","",CALC_EPM!J312)</f>
      </c>
      <c r="K323" t="str">
        <f>IF(CALC_EPM!$B312="","",CALC_EPM!K312)</f>
      </c>
      <c r="L323">
        <f>IF(CALC_EPM!$B312="","",CALC_EPM!L312)</f>
      </c>
      <c r="M323">
        <f>IF(CALC_EPM!$B312="","",CALC_EPM!M312)</f>
      </c>
      <c r="N323">
        <f>IF(CALC_EPM!$B312="","",CALC_EPM!N312)</f>
      </c>
      <c r="O323">
        <f>IF(CALC_EPM!$B312="","",CALC_EPM!O312)</f>
      </c>
      <c r="P323">
        <f>IF(CALC_EPM!$B312="","",CALC_EPM!P312)</f>
      </c>
      <c r="Q323">
        <f>IF(CALC_EPM!$B312="","",CALC_EPM!Q312)</f>
      </c>
      <c r="R323">
        <f>IF(CALC_EPM!$B312="","",CALC_EPM!R312)</f>
      </c>
      <c r="S323">
        <f>IF(CALC_EPM!$B312="","",CALC_EPM!S312)</f>
      </c>
      <c r="T323">
        <f>IF(CALC_EPM!$B312="","",CALC_EPM!T312)</f>
      </c>
      <c r="U323">
        <f>IF(CALC_EPM!$B312="","",CALC_EPM!U312)</f>
      </c>
    </row>
    <row r="324">
      <c r="A324" t="str">
        <f>IF(CALC_EPM!$B313="","",IF(CALC_EPM!A313="GLOBAL",IF(CALC_EPM!C313="Total","GLOBAL",IF(CALC_EPM!C313="TotalEsp","GLOBAL_ESP",IF(CALC_EPM!C313="TotalNoEsp","GLOBAL_NOESP","GLOBAL_ASIG"))),IF(CALC_EPM!C313="Total","CURSO_TOTAL",IF(CALC_EPM!C313="TotalEsp","CURSO_ESP",IF(CALC_EPM!C313="TotalNoEsp","CURSO_NOESP","CURSO_ASIG")))))</f>
      </c>
      <c r="B324" t="str">
        <f>IF(CALC_EPM!$B313="","",CALC_EPM!A313)</f>
      </c>
      <c r="C324" t="str">
        <f>IF(CALC_EPM!$B313="","",CALC_EPM!B313)</f>
      </c>
      <c r="D324">
        <f>IF(CALC_EPM!$B313="","",CALC_EPM!D313)</f>
      </c>
      <c r="E324" s="10" t="str">
        <f>IF(CALC_EPM!$B313="","",CALC_EPM!E313)</f>
      </c>
      <c r="F324" s="10" t="str">
        <f>IF(CALC_EPM!$B313="","",CALC_EPM!F313)</f>
      </c>
      <c r="G324" t="str">
        <f>IF(CALC_EPM!$B313="","",CALC_EPM!G313)</f>
      </c>
      <c r="H324" s="11" t="str">
        <f>IF(CALC_EPM!$B313="","",CALC_EPM!H313)</f>
      </c>
      <c r="I324" s="11" t="str">
        <f>IF(CALC_EPM!$B313="","",CALC_EPM!I313)</f>
      </c>
      <c r="J324" t="str">
        <f>IF(CALC_EPM!$B313="","",CALC_EPM!J313)</f>
      </c>
      <c r="K324" t="str">
        <f>IF(CALC_EPM!$B313="","",CALC_EPM!K313)</f>
      </c>
      <c r="L324">
        <f>IF(CALC_EPM!$B313="","",CALC_EPM!L313)</f>
      </c>
      <c r="M324">
        <f>IF(CALC_EPM!$B313="","",CALC_EPM!M313)</f>
      </c>
      <c r="N324">
        <f>IF(CALC_EPM!$B313="","",CALC_EPM!N313)</f>
      </c>
      <c r="O324">
        <f>IF(CALC_EPM!$B313="","",CALC_EPM!O313)</f>
      </c>
      <c r="P324">
        <f>IF(CALC_EPM!$B313="","",CALC_EPM!P313)</f>
      </c>
      <c r="Q324">
        <f>IF(CALC_EPM!$B313="","",CALC_EPM!Q313)</f>
      </c>
      <c r="R324">
        <f>IF(CALC_EPM!$B313="","",CALC_EPM!R313)</f>
      </c>
      <c r="S324">
        <f>IF(CALC_EPM!$B313="","",CALC_EPM!S313)</f>
      </c>
      <c r="T324">
        <f>IF(CALC_EPM!$B313="","",CALC_EPM!T313)</f>
      </c>
      <c r="U324">
        <f>IF(CALC_EPM!$B313="","",CALC_EPM!U313)</f>
      </c>
    </row>
    <row r="325">
      <c r="A325" t="str">
        <f>IF(CALC_EPM!$B314="","",IF(CALC_EPM!A314="GLOBAL",IF(CALC_EPM!C314="Total","GLOBAL",IF(CALC_EPM!C314="TotalEsp","GLOBAL_ESP",IF(CALC_EPM!C314="TotalNoEsp","GLOBAL_NOESP","GLOBAL_ASIG"))),IF(CALC_EPM!C314="Total","CURSO_TOTAL",IF(CALC_EPM!C314="TotalEsp","CURSO_ESP",IF(CALC_EPM!C314="TotalNoEsp","CURSO_NOESP","CURSO_ASIG")))))</f>
      </c>
      <c r="B325" t="str">
        <f>IF(CALC_EPM!$B314="","",CALC_EPM!A314)</f>
      </c>
      <c r="C325" t="str">
        <f>IF(CALC_EPM!$B314="","",CALC_EPM!B314)</f>
      </c>
      <c r="D325">
        <f>IF(CALC_EPM!$B314="","",CALC_EPM!D314)</f>
      </c>
      <c r="E325" s="10" t="str">
        <f>IF(CALC_EPM!$B314="","",CALC_EPM!E314)</f>
      </c>
      <c r="F325" s="10" t="str">
        <f>IF(CALC_EPM!$B314="","",CALC_EPM!F314)</f>
      </c>
      <c r="G325" t="str">
        <f>IF(CALC_EPM!$B314="","",CALC_EPM!G314)</f>
      </c>
      <c r="H325" s="11" t="str">
        <f>IF(CALC_EPM!$B314="","",CALC_EPM!H314)</f>
      </c>
      <c r="I325" s="11" t="str">
        <f>IF(CALC_EPM!$B314="","",CALC_EPM!I314)</f>
      </c>
      <c r="J325" t="str">
        <f>IF(CALC_EPM!$B314="","",CALC_EPM!J314)</f>
      </c>
      <c r="K325" t="str">
        <f>IF(CALC_EPM!$B314="","",CALC_EPM!K314)</f>
      </c>
      <c r="L325">
        <f>IF(CALC_EPM!$B314="","",CALC_EPM!L314)</f>
      </c>
      <c r="M325">
        <f>IF(CALC_EPM!$B314="","",CALC_EPM!M314)</f>
      </c>
      <c r="N325">
        <f>IF(CALC_EPM!$B314="","",CALC_EPM!N314)</f>
      </c>
      <c r="O325">
        <f>IF(CALC_EPM!$B314="","",CALC_EPM!O314)</f>
      </c>
      <c r="P325">
        <f>IF(CALC_EPM!$B314="","",CALC_EPM!P314)</f>
      </c>
      <c r="Q325">
        <f>IF(CALC_EPM!$B314="","",CALC_EPM!Q314)</f>
      </c>
      <c r="R325">
        <f>IF(CALC_EPM!$B314="","",CALC_EPM!R314)</f>
      </c>
      <c r="S325">
        <f>IF(CALC_EPM!$B314="","",CALC_EPM!S314)</f>
      </c>
      <c r="T325">
        <f>IF(CALC_EPM!$B314="","",CALC_EPM!T314)</f>
      </c>
      <c r="U325">
        <f>IF(CALC_EPM!$B314="","",CALC_EPM!U314)</f>
      </c>
    </row>
    <row r="326">
      <c r="A326" t="str">
        <f>IF(CALC_EPM!$B315="","",IF(CALC_EPM!A315="GLOBAL",IF(CALC_EPM!C315="Total","GLOBAL",IF(CALC_EPM!C315="TotalEsp","GLOBAL_ESP",IF(CALC_EPM!C315="TotalNoEsp","GLOBAL_NOESP","GLOBAL_ASIG"))),IF(CALC_EPM!C315="Total","CURSO_TOTAL",IF(CALC_EPM!C315="TotalEsp","CURSO_ESP",IF(CALC_EPM!C315="TotalNoEsp","CURSO_NOESP","CURSO_ASIG")))))</f>
      </c>
      <c r="B326" t="str">
        <f>IF(CALC_EPM!$B315="","",CALC_EPM!A315)</f>
      </c>
      <c r="C326" t="str">
        <f>IF(CALC_EPM!$B315="","",CALC_EPM!B315)</f>
      </c>
      <c r="D326">
        <f>IF(CALC_EPM!$B315="","",CALC_EPM!D315)</f>
      </c>
      <c r="E326" s="10" t="str">
        <f>IF(CALC_EPM!$B315="","",CALC_EPM!E315)</f>
      </c>
      <c r="F326" s="10" t="str">
        <f>IF(CALC_EPM!$B315="","",CALC_EPM!F315)</f>
      </c>
      <c r="G326" t="str">
        <f>IF(CALC_EPM!$B315="","",CALC_EPM!G315)</f>
      </c>
      <c r="H326" s="11" t="str">
        <f>IF(CALC_EPM!$B315="","",CALC_EPM!H315)</f>
      </c>
      <c r="I326" s="11" t="str">
        <f>IF(CALC_EPM!$B315="","",CALC_EPM!I315)</f>
      </c>
      <c r="J326" t="str">
        <f>IF(CALC_EPM!$B315="","",CALC_EPM!J315)</f>
      </c>
      <c r="K326" t="str">
        <f>IF(CALC_EPM!$B315="","",CALC_EPM!K315)</f>
      </c>
      <c r="L326">
        <f>IF(CALC_EPM!$B315="","",CALC_EPM!L315)</f>
      </c>
      <c r="M326">
        <f>IF(CALC_EPM!$B315="","",CALC_EPM!M315)</f>
      </c>
      <c r="N326">
        <f>IF(CALC_EPM!$B315="","",CALC_EPM!N315)</f>
      </c>
      <c r="O326">
        <f>IF(CALC_EPM!$B315="","",CALC_EPM!O315)</f>
      </c>
      <c r="P326">
        <f>IF(CALC_EPM!$B315="","",CALC_EPM!P315)</f>
      </c>
      <c r="Q326">
        <f>IF(CALC_EPM!$B315="","",CALC_EPM!Q315)</f>
      </c>
      <c r="R326">
        <f>IF(CALC_EPM!$B315="","",CALC_EPM!R315)</f>
      </c>
      <c r="S326">
        <f>IF(CALC_EPM!$B315="","",CALC_EPM!S315)</f>
      </c>
      <c r="T326">
        <f>IF(CALC_EPM!$B315="","",CALC_EPM!T315)</f>
      </c>
      <c r="U326">
        <f>IF(CALC_EPM!$B315="","",CALC_EPM!U315)</f>
      </c>
    </row>
    <row r="327">
      <c r="A327" t="str">
        <f>IF(CALC_EPM!$B316="","",IF(CALC_EPM!A316="GLOBAL",IF(CALC_EPM!C316="Total","GLOBAL",IF(CALC_EPM!C316="TotalEsp","GLOBAL_ESP",IF(CALC_EPM!C316="TotalNoEsp","GLOBAL_NOESP","GLOBAL_ASIG"))),IF(CALC_EPM!C316="Total","CURSO_TOTAL",IF(CALC_EPM!C316="TotalEsp","CURSO_ESP",IF(CALC_EPM!C316="TotalNoEsp","CURSO_NOESP","CURSO_ASIG")))))</f>
      </c>
      <c r="B327" t="str">
        <f>IF(CALC_EPM!$B316="","",CALC_EPM!A316)</f>
      </c>
      <c r="C327" t="str">
        <f>IF(CALC_EPM!$B316="","",CALC_EPM!B316)</f>
      </c>
      <c r="D327">
        <f>IF(CALC_EPM!$B316="","",CALC_EPM!D316)</f>
      </c>
      <c r="E327" s="10" t="str">
        <f>IF(CALC_EPM!$B316="","",CALC_EPM!E316)</f>
      </c>
      <c r="F327" s="10" t="str">
        <f>IF(CALC_EPM!$B316="","",CALC_EPM!F316)</f>
      </c>
      <c r="G327" t="str">
        <f>IF(CALC_EPM!$B316="","",CALC_EPM!G316)</f>
      </c>
      <c r="H327" s="11" t="str">
        <f>IF(CALC_EPM!$B316="","",CALC_EPM!H316)</f>
      </c>
      <c r="I327" s="11" t="str">
        <f>IF(CALC_EPM!$B316="","",CALC_EPM!I316)</f>
      </c>
      <c r="J327" t="str">
        <f>IF(CALC_EPM!$B316="","",CALC_EPM!J316)</f>
      </c>
      <c r="K327" t="str">
        <f>IF(CALC_EPM!$B316="","",CALC_EPM!K316)</f>
      </c>
      <c r="L327">
        <f>IF(CALC_EPM!$B316="","",CALC_EPM!L316)</f>
      </c>
      <c r="M327">
        <f>IF(CALC_EPM!$B316="","",CALC_EPM!M316)</f>
      </c>
      <c r="N327">
        <f>IF(CALC_EPM!$B316="","",CALC_EPM!N316)</f>
      </c>
      <c r="O327">
        <f>IF(CALC_EPM!$B316="","",CALC_EPM!O316)</f>
      </c>
      <c r="P327">
        <f>IF(CALC_EPM!$B316="","",CALC_EPM!P316)</f>
      </c>
      <c r="Q327">
        <f>IF(CALC_EPM!$B316="","",CALC_EPM!Q316)</f>
      </c>
      <c r="R327">
        <f>IF(CALC_EPM!$B316="","",CALC_EPM!R316)</f>
      </c>
      <c r="S327">
        <f>IF(CALC_EPM!$B316="","",CALC_EPM!S316)</f>
      </c>
      <c r="T327">
        <f>IF(CALC_EPM!$B316="","",CALC_EPM!T316)</f>
      </c>
      <c r="U327">
        <f>IF(CALC_EPM!$B316="","",CALC_EPM!U316)</f>
      </c>
    </row>
    <row r="328">
      <c r="A328" t="str">
        <f>IF(CALC_EPM!$B317="","",IF(CALC_EPM!A317="GLOBAL",IF(CALC_EPM!C317="Total","GLOBAL",IF(CALC_EPM!C317="TotalEsp","GLOBAL_ESP",IF(CALC_EPM!C317="TotalNoEsp","GLOBAL_NOESP","GLOBAL_ASIG"))),IF(CALC_EPM!C317="Total","CURSO_TOTAL",IF(CALC_EPM!C317="TotalEsp","CURSO_ESP",IF(CALC_EPM!C317="TotalNoEsp","CURSO_NOESP","CURSO_ASIG")))))</f>
      </c>
      <c r="B328" t="str">
        <f>IF(CALC_EPM!$B317="","",CALC_EPM!A317)</f>
      </c>
      <c r="C328" t="str">
        <f>IF(CALC_EPM!$B317="","",CALC_EPM!B317)</f>
      </c>
      <c r="D328">
        <f>IF(CALC_EPM!$B317="","",CALC_EPM!D317)</f>
      </c>
      <c r="E328" s="10" t="str">
        <f>IF(CALC_EPM!$B317="","",CALC_EPM!E317)</f>
      </c>
      <c r="F328" s="10" t="str">
        <f>IF(CALC_EPM!$B317="","",CALC_EPM!F317)</f>
      </c>
      <c r="G328" t="str">
        <f>IF(CALC_EPM!$B317="","",CALC_EPM!G317)</f>
      </c>
      <c r="H328" s="11" t="str">
        <f>IF(CALC_EPM!$B317="","",CALC_EPM!H317)</f>
      </c>
      <c r="I328" s="11" t="str">
        <f>IF(CALC_EPM!$B317="","",CALC_EPM!I317)</f>
      </c>
      <c r="J328" t="str">
        <f>IF(CALC_EPM!$B317="","",CALC_EPM!J317)</f>
      </c>
      <c r="K328" t="str">
        <f>IF(CALC_EPM!$B317="","",CALC_EPM!K317)</f>
      </c>
      <c r="L328">
        <f>IF(CALC_EPM!$B317="","",CALC_EPM!L317)</f>
      </c>
      <c r="M328">
        <f>IF(CALC_EPM!$B317="","",CALC_EPM!M317)</f>
      </c>
      <c r="N328">
        <f>IF(CALC_EPM!$B317="","",CALC_EPM!N317)</f>
      </c>
      <c r="O328">
        <f>IF(CALC_EPM!$B317="","",CALC_EPM!O317)</f>
      </c>
      <c r="P328">
        <f>IF(CALC_EPM!$B317="","",CALC_EPM!P317)</f>
      </c>
      <c r="Q328">
        <f>IF(CALC_EPM!$B317="","",CALC_EPM!Q317)</f>
      </c>
      <c r="R328">
        <f>IF(CALC_EPM!$B317="","",CALC_EPM!R317)</f>
      </c>
      <c r="S328">
        <f>IF(CALC_EPM!$B317="","",CALC_EPM!S317)</f>
      </c>
      <c r="T328">
        <f>IF(CALC_EPM!$B317="","",CALC_EPM!T317)</f>
      </c>
      <c r="U328">
        <f>IF(CALC_EPM!$B317="","",CALC_EPM!U317)</f>
      </c>
    </row>
    <row r="329">
      <c r="A329" t="str">
        <f>IF(CALC_EPM!$B318="","",IF(CALC_EPM!A318="GLOBAL",IF(CALC_EPM!C318="Total","GLOBAL",IF(CALC_EPM!C318="TotalEsp","GLOBAL_ESP",IF(CALC_EPM!C318="TotalNoEsp","GLOBAL_NOESP","GLOBAL_ASIG"))),IF(CALC_EPM!C318="Total","CURSO_TOTAL",IF(CALC_EPM!C318="TotalEsp","CURSO_ESP",IF(CALC_EPM!C318="TotalNoEsp","CURSO_NOESP","CURSO_ASIG")))))</f>
      </c>
      <c r="B329" t="str">
        <f>IF(CALC_EPM!$B318="","",CALC_EPM!A318)</f>
      </c>
      <c r="C329" t="str">
        <f>IF(CALC_EPM!$B318="","",CALC_EPM!B318)</f>
      </c>
      <c r="D329">
        <f>IF(CALC_EPM!$B318="","",CALC_EPM!D318)</f>
      </c>
      <c r="E329" s="10" t="str">
        <f>IF(CALC_EPM!$B318="","",CALC_EPM!E318)</f>
      </c>
      <c r="F329" s="10" t="str">
        <f>IF(CALC_EPM!$B318="","",CALC_EPM!F318)</f>
      </c>
      <c r="G329" t="str">
        <f>IF(CALC_EPM!$B318="","",CALC_EPM!G318)</f>
      </c>
      <c r="H329" s="11" t="str">
        <f>IF(CALC_EPM!$B318="","",CALC_EPM!H318)</f>
      </c>
      <c r="I329" s="11" t="str">
        <f>IF(CALC_EPM!$B318="","",CALC_EPM!I318)</f>
      </c>
      <c r="J329" t="str">
        <f>IF(CALC_EPM!$B318="","",CALC_EPM!J318)</f>
      </c>
      <c r="K329" t="str">
        <f>IF(CALC_EPM!$B318="","",CALC_EPM!K318)</f>
      </c>
      <c r="L329">
        <f>IF(CALC_EPM!$B318="","",CALC_EPM!L318)</f>
      </c>
      <c r="M329">
        <f>IF(CALC_EPM!$B318="","",CALC_EPM!M318)</f>
      </c>
      <c r="N329">
        <f>IF(CALC_EPM!$B318="","",CALC_EPM!N318)</f>
      </c>
      <c r="O329">
        <f>IF(CALC_EPM!$B318="","",CALC_EPM!O318)</f>
      </c>
      <c r="P329">
        <f>IF(CALC_EPM!$B318="","",CALC_EPM!P318)</f>
      </c>
      <c r="Q329">
        <f>IF(CALC_EPM!$B318="","",CALC_EPM!Q318)</f>
      </c>
      <c r="R329">
        <f>IF(CALC_EPM!$B318="","",CALC_EPM!R318)</f>
      </c>
      <c r="S329">
        <f>IF(CALC_EPM!$B318="","",CALC_EPM!S318)</f>
      </c>
      <c r="T329">
        <f>IF(CALC_EPM!$B318="","",CALC_EPM!T318)</f>
      </c>
      <c r="U329">
        <f>IF(CALC_EPM!$B318="","",CALC_EPM!U318)</f>
      </c>
    </row>
    <row r="330">
      <c r="A330" t="str">
        <f>IF(CALC_EPM!$B319="","",IF(CALC_EPM!A319="GLOBAL",IF(CALC_EPM!C319="Total","GLOBAL",IF(CALC_EPM!C319="TotalEsp","GLOBAL_ESP",IF(CALC_EPM!C319="TotalNoEsp","GLOBAL_NOESP","GLOBAL_ASIG"))),IF(CALC_EPM!C319="Total","CURSO_TOTAL",IF(CALC_EPM!C319="TotalEsp","CURSO_ESP",IF(CALC_EPM!C319="TotalNoEsp","CURSO_NOESP","CURSO_ASIG")))))</f>
      </c>
      <c r="B330" t="str">
        <f>IF(CALC_EPM!$B319="","",CALC_EPM!A319)</f>
      </c>
      <c r="C330" t="str">
        <f>IF(CALC_EPM!$B319="","",CALC_EPM!B319)</f>
      </c>
      <c r="D330">
        <f>IF(CALC_EPM!$B319="","",CALC_EPM!D319)</f>
      </c>
      <c r="E330" s="10" t="str">
        <f>IF(CALC_EPM!$B319="","",CALC_EPM!E319)</f>
      </c>
      <c r="F330" s="10" t="str">
        <f>IF(CALC_EPM!$B319="","",CALC_EPM!F319)</f>
      </c>
      <c r="G330" t="str">
        <f>IF(CALC_EPM!$B319="","",CALC_EPM!G319)</f>
      </c>
      <c r="H330" s="11" t="str">
        <f>IF(CALC_EPM!$B319="","",CALC_EPM!H319)</f>
      </c>
      <c r="I330" s="11" t="str">
        <f>IF(CALC_EPM!$B319="","",CALC_EPM!I319)</f>
      </c>
      <c r="J330" t="str">
        <f>IF(CALC_EPM!$B319="","",CALC_EPM!J319)</f>
      </c>
      <c r="K330" t="str">
        <f>IF(CALC_EPM!$B319="","",CALC_EPM!K319)</f>
      </c>
      <c r="L330">
        <f>IF(CALC_EPM!$B319="","",CALC_EPM!L319)</f>
      </c>
      <c r="M330">
        <f>IF(CALC_EPM!$B319="","",CALC_EPM!M319)</f>
      </c>
      <c r="N330">
        <f>IF(CALC_EPM!$B319="","",CALC_EPM!N319)</f>
      </c>
      <c r="O330">
        <f>IF(CALC_EPM!$B319="","",CALC_EPM!O319)</f>
      </c>
      <c r="P330">
        <f>IF(CALC_EPM!$B319="","",CALC_EPM!P319)</f>
      </c>
      <c r="Q330">
        <f>IF(CALC_EPM!$B319="","",CALC_EPM!Q319)</f>
      </c>
      <c r="R330">
        <f>IF(CALC_EPM!$B319="","",CALC_EPM!R319)</f>
      </c>
      <c r="S330">
        <f>IF(CALC_EPM!$B319="","",CALC_EPM!S319)</f>
      </c>
      <c r="T330">
        <f>IF(CALC_EPM!$B319="","",CALC_EPM!T319)</f>
      </c>
      <c r="U330">
        <f>IF(CALC_EPM!$B319="","",CALC_EPM!U319)</f>
      </c>
    </row>
    <row r="331">
      <c r="A331" t="str">
        <f>IF(CALC_EPM!$B320="","",IF(CALC_EPM!A320="GLOBAL",IF(CALC_EPM!C320="Total","GLOBAL",IF(CALC_EPM!C320="TotalEsp","GLOBAL_ESP",IF(CALC_EPM!C320="TotalNoEsp","GLOBAL_NOESP","GLOBAL_ASIG"))),IF(CALC_EPM!C320="Total","CURSO_TOTAL",IF(CALC_EPM!C320="TotalEsp","CURSO_ESP",IF(CALC_EPM!C320="TotalNoEsp","CURSO_NOESP","CURSO_ASIG")))))</f>
      </c>
      <c r="B331" t="str">
        <f>IF(CALC_EPM!$B320="","",CALC_EPM!A320)</f>
      </c>
      <c r="C331" t="str">
        <f>IF(CALC_EPM!$B320="","",CALC_EPM!B320)</f>
      </c>
      <c r="D331">
        <f>IF(CALC_EPM!$B320="","",CALC_EPM!D320)</f>
      </c>
      <c r="E331" s="10" t="str">
        <f>IF(CALC_EPM!$B320="","",CALC_EPM!E320)</f>
      </c>
      <c r="F331" s="10" t="str">
        <f>IF(CALC_EPM!$B320="","",CALC_EPM!F320)</f>
      </c>
      <c r="G331" t="str">
        <f>IF(CALC_EPM!$B320="","",CALC_EPM!G320)</f>
      </c>
      <c r="H331" s="11" t="str">
        <f>IF(CALC_EPM!$B320="","",CALC_EPM!H320)</f>
      </c>
      <c r="I331" s="11" t="str">
        <f>IF(CALC_EPM!$B320="","",CALC_EPM!I320)</f>
      </c>
      <c r="J331" t="str">
        <f>IF(CALC_EPM!$B320="","",CALC_EPM!J320)</f>
      </c>
      <c r="K331" t="str">
        <f>IF(CALC_EPM!$B320="","",CALC_EPM!K320)</f>
      </c>
      <c r="L331">
        <f>IF(CALC_EPM!$B320="","",CALC_EPM!L320)</f>
      </c>
      <c r="M331">
        <f>IF(CALC_EPM!$B320="","",CALC_EPM!M320)</f>
      </c>
      <c r="N331">
        <f>IF(CALC_EPM!$B320="","",CALC_EPM!N320)</f>
      </c>
      <c r="O331">
        <f>IF(CALC_EPM!$B320="","",CALC_EPM!O320)</f>
      </c>
      <c r="P331">
        <f>IF(CALC_EPM!$B320="","",CALC_EPM!P320)</f>
      </c>
      <c r="Q331">
        <f>IF(CALC_EPM!$B320="","",CALC_EPM!Q320)</f>
      </c>
      <c r="R331">
        <f>IF(CALC_EPM!$B320="","",CALC_EPM!R320)</f>
      </c>
      <c r="S331">
        <f>IF(CALC_EPM!$B320="","",CALC_EPM!S320)</f>
      </c>
      <c r="T331">
        <f>IF(CALC_EPM!$B320="","",CALC_EPM!T320)</f>
      </c>
      <c r="U331">
        <f>IF(CALC_EPM!$B320="","",CALC_EPM!U320)</f>
      </c>
    </row>
    <row r="332">
      <c r="A332" t="str">
        <f>IF(CALC_EPM!$B321="","",IF(CALC_EPM!A321="GLOBAL",IF(CALC_EPM!C321="Total","GLOBAL",IF(CALC_EPM!C321="TotalEsp","GLOBAL_ESP",IF(CALC_EPM!C321="TotalNoEsp","GLOBAL_NOESP","GLOBAL_ASIG"))),IF(CALC_EPM!C321="Total","CURSO_TOTAL",IF(CALC_EPM!C321="TotalEsp","CURSO_ESP",IF(CALC_EPM!C321="TotalNoEsp","CURSO_NOESP","CURSO_ASIG")))))</f>
      </c>
      <c r="B332" t="str">
        <f>IF(CALC_EPM!$B321="","",CALC_EPM!A321)</f>
      </c>
      <c r="C332" t="str">
        <f>IF(CALC_EPM!$B321="","",CALC_EPM!B321)</f>
      </c>
      <c r="D332">
        <f>IF(CALC_EPM!$B321="","",CALC_EPM!D321)</f>
      </c>
      <c r="E332" s="10" t="str">
        <f>IF(CALC_EPM!$B321="","",CALC_EPM!E321)</f>
      </c>
      <c r="F332" s="10" t="str">
        <f>IF(CALC_EPM!$B321="","",CALC_EPM!F321)</f>
      </c>
      <c r="G332" t="str">
        <f>IF(CALC_EPM!$B321="","",CALC_EPM!G321)</f>
      </c>
      <c r="H332" s="11" t="str">
        <f>IF(CALC_EPM!$B321="","",CALC_EPM!H321)</f>
      </c>
      <c r="I332" s="11" t="str">
        <f>IF(CALC_EPM!$B321="","",CALC_EPM!I321)</f>
      </c>
      <c r="J332" t="str">
        <f>IF(CALC_EPM!$B321="","",CALC_EPM!J321)</f>
      </c>
      <c r="K332" t="str">
        <f>IF(CALC_EPM!$B321="","",CALC_EPM!K321)</f>
      </c>
      <c r="L332">
        <f>IF(CALC_EPM!$B321="","",CALC_EPM!L321)</f>
      </c>
      <c r="M332">
        <f>IF(CALC_EPM!$B321="","",CALC_EPM!M321)</f>
      </c>
      <c r="N332">
        <f>IF(CALC_EPM!$B321="","",CALC_EPM!N321)</f>
      </c>
      <c r="O332">
        <f>IF(CALC_EPM!$B321="","",CALC_EPM!O321)</f>
      </c>
      <c r="P332">
        <f>IF(CALC_EPM!$B321="","",CALC_EPM!P321)</f>
      </c>
      <c r="Q332">
        <f>IF(CALC_EPM!$B321="","",CALC_EPM!Q321)</f>
      </c>
      <c r="R332">
        <f>IF(CALC_EPM!$B321="","",CALC_EPM!R321)</f>
      </c>
      <c r="S332">
        <f>IF(CALC_EPM!$B321="","",CALC_EPM!S321)</f>
      </c>
      <c r="T332">
        <f>IF(CALC_EPM!$B321="","",CALC_EPM!T321)</f>
      </c>
      <c r="U332">
        <f>IF(CALC_EPM!$B321="","",CALC_EPM!U321)</f>
      </c>
    </row>
    <row r="333">
      <c r="A333" t="str">
        <f>IF(CALC_EPM!$B322="","",IF(CALC_EPM!A322="GLOBAL",IF(CALC_EPM!C322="Total","GLOBAL",IF(CALC_EPM!C322="TotalEsp","GLOBAL_ESP",IF(CALC_EPM!C322="TotalNoEsp","GLOBAL_NOESP","GLOBAL_ASIG"))),IF(CALC_EPM!C322="Total","CURSO_TOTAL",IF(CALC_EPM!C322="TotalEsp","CURSO_ESP",IF(CALC_EPM!C322="TotalNoEsp","CURSO_NOESP","CURSO_ASIG")))))</f>
      </c>
      <c r="B333" t="str">
        <f>IF(CALC_EPM!$B322="","",CALC_EPM!A322)</f>
      </c>
      <c r="C333" t="str">
        <f>IF(CALC_EPM!$B322="","",CALC_EPM!B322)</f>
      </c>
      <c r="D333">
        <f>IF(CALC_EPM!$B322="","",CALC_EPM!D322)</f>
      </c>
      <c r="E333" s="10" t="str">
        <f>IF(CALC_EPM!$B322="","",CALC_EPM!E322)</f>
      </c>
      <c r="F333" s="10" t="str">
        <f>IF(CALC_EPM!$B322="","",CALC_EPM!F322)</f>
      </c>
      <c r="G333" t="str">
        <f>IF(CALC_EPM!$B322="","",CALC_EPM!G322)</f>
      </c>
      <c r="H333" s="11" t="str">
        <f>IF(CALC_EPM!$B322="","",CALC_EPM!H322)</f>
      </c>
      <c r="I333" s="11" t="str">
        <f>IF(CALC_EPM!$B322="","",CALC_EPM!I322)</f>
      </c>
      <c r="J333" t="str">
        <f>IF(CALC_EPM!$B322="","",CALC_EPM!J322)</f>
      </c>
      <c r="K333" t="str">
        <f>IF(CALC_EPM!$B322="","",CALC_EPM!K322)</f>
      </c>
      <c r="L333">
        <f>IF(CALC_EPM!$B322="","",CALC_EPM!L322)</f>
      </c>
      <c r="M333">
        <f>IF(CALC_EPM!$B322="","",CALC_EPM!M322)</f>
      </c>
      <c r="N333">
        <f>IF(CALC_EPM!$B322="","",CALC_EPM!N322)</f>
      </c>
      <c r="O333">
        <f>IF(CALC_EPM!$B322="","",CALC_EPM!O322)</f>
      </c>
      <c r="P333">
        <f>IF(CALC_EPM!$B322="","",CALC_EPM!P322)</f>
      </c>
      <c r="Q333">
        <f>IF(CALC_EPM!$B322="","",CALC_EPM!Q322)</f>
      </c>
      <c r="R333">
        <f>IF(CALC_EPM!$B322="","",CALC_EPM!R322)</f>
      </c>
      <c r="S333">
        <f>IF(CALC_EPM!$B322="","",CALC_EPM!S322)</f>
      </c>
      <c r="T333">
        <f>IF(CALC_EPM!$B322="","",CALC_EPM!T322)</f>
      </c>
      <c r="U333">
        <f>IF(CALC_EPM!$B322="","",CALC_EPM!U322)</f>
      </c>
    </row>
    <row r="334">
      <c r="A334" t="str">
        <f>IF(CALC_EPM!$B323="","",IF(CALC_EPM!A323="GLOBAL",IF(CALC_EPM!C323="Total","GLOBAL",IF(CALC_EPM!C323="TotalEsp","GLOBAL_ESP",IF(CALC_EPM!C323="TotalNoEsp","GLOBAL_NOESP","GLOBAL_ASIG"))),IF(CALC_EPM!C323="Total","CURSO_TOTAL",IF(CALC_EPM!C323="TotalEsp","CURSO_ESP",IF(CALC_EPM!C323="TotalNoEsp","CURSO_NOESP","CURSO_ASIG")))))</f>
      </c>
      <c r="B334" t="str">
        <f>IF(CALC_EPM!$B323="","",CALC_EPM!A323)</f>
      </c>
      <c r="C334" t="str">
        <f>IF(CALC_EPM!$B323="","",CALC_EPM!B323)</f>
      </c>
      <c r="D334">
        <f>IF(CALC_EPM!$B323="","",CALC_EPM!D323)</f>
      </c>
      <c r="E334" s="10" t="str">
        <f>IF(CALC_EPM!$B323="","",CALC_EPM!E323)</f>
      </c>
      <c r="F334" s="10" t="str">
        <f>IF(CALC_EPM!$B323="","",CALC_EPM!F323)</f>
      </c>
      <c r="G334" t="str">
        <f>IF(CALC_EPM!$B323="","",CALC_EPM!G323)</f>
      </c>
      <c r="H334" s="11" t="str">
        <f>IF(CALC_EPM!$B323="","",CALC_EPM!H323)</f>
      </c>
      <c r="I334" s="11" t="str">
        <f>IF(CALC_EPM!$B323="","",CALC_EPM!I323)</f>
      </c>
      <c r="J334" t="str">
        <f>IF(CALC_EPM!$B323="","",CALC_EPM!J323)</f>
      </c>
      <c r="K334" t="str">
        <f>IF(CALC_EPM!$B323="","",CALC_EPM!K323)</f>
      </c>
      <c r="L334">
        <f>IF(CALC_EPM!$B323="","",CALC_EPM!L323)</f>
      </c>
      <c r="M334">
        <f>IF(CALC_EPM!$B323="","",CALC_EPM!M323)</f>
      </c>
      <c r="N334">
        <f>IF(CALC_EPM!$B323="","",CALC_EPM!N323)</f>
      </c>
      <c r="O334">
        <f>IF(CALC_EPM!$B323="","",CALC_EPM!O323)</f>
      </c>
      <c r="P334">
        <f>IF(CALC_EPM!$B323="","",CALC_EPM!P323)</f>
      </c>
      <c r="Q334">
        <f>IF(CALC_EPM!$B323="","",CALC_EPM!Q323)</f>
      </c>
      <c r="R334">
        <f>IF(CALC_EPM!$B323="","",CALC_EPM!R323)</f>
      </c>
      <c r="S334">
        <f>IF(CALC_EPM!$B323="","",CALC_EPM!S323)</f>
      </c>
      <c r="T334">
        <f>IF(CALC_EPM!$B323="","",CALC_EPM!T323)</f>
      </c>
      <c r="U334">
        <f>IF(CALC_EPM!$B323="","",CALC_EPM!U323)</f>
      </c>
    </row>
    <row r="335">
      <c r="A335" t="str">
        <f>IF(CALC_EPM!$B324="","",IF(CALC_EPM!A324="GLOBAL",IF(CALC_EPM!C324="Total","GLOBAL",IF(CALC_EPM!C324="TotalEsp","GLOBAL_ESP",IF(CALC_EPM!C324="TotalNoEsp","GLOBAL_NOESP","GLOBAL_ASIG"))),IF(CALC_EPM!C324="Total","CURSO_TOTAL",IF(CALC_EPM!C324="TotalEsp","CURSO_ESP",IF(CALC_EPM!C324="TotalNoEsp","CURSO_NOESP","CURSO_ASIG")))))</f>
      </c>
      <c r="B335" t="str">
        <f>IF(CALC_EPM!$B324="","",CALC_EPM!A324)</f>
      </c>
      <c r="C335" t="str">
        <f>IF(CALC_EPM!$B324="","",CALC_EPM!B324)</f>
      </c>
      <c r="D335">
        <f>IF(CALC_EPM!$B324="","",CALC_EPM!D324)</f>
      </c>
      <c r="E335" s="10" t="str">
        <f>IF(CALC_EPM!$B324="","",CALC_EPM!E324)</f>
      </c>
      <c r="F335" s="10" t="str">
        <f>IF(CALC_EPM!$B324="","",CALC_EPM!F324)</f>
      </c>
      <c r="G335" t="str">
        <f>IF(CALC_EPM!$B324="","",CALC_EPM!G324)</f>
      </c>
      <c r="H335" s="11" t="str">
        <f>IF(CALC_EPM!$B324="","",CALC_EPM!H324)</f>
      </c>
      <c r="I335" s="11" t="str">
        <f>IF(CALC_EPM!$B324="","",CALC_EPM!I324)</f>
      </c>
      <c r="J335" t="str">
        <f>IF(CALC_EPM!$B324="","",CALC_EPM!J324)</f>
      </c>
      <c r="K335" t="str">
        <f>IF(CALC_EPM!$B324="","",CALC_EPM!K324)</f>
      </c>
      <c r="L335">
        <f>IF(CALC_EPM!$B324="","",CALC_EPM!L324)</f>
      </c>
      <c r="M335">
        <f>IF(CALC_EPM!$B324="","",CALC_EPM!M324)</f>
      </c>
      <c r="N335">
        <f>IF(CALC_EPM!$B324="","",CALC_EPM!N324)</f>
      </c>
      <c r="O335">
        <f>IF(CALC_EPM!$B324="","",CALC_EPM!O324)</f>
      </c>
      <c r="P335">
        <f>IF(CALC_EPM!$B324="","",CALC_EPM!P324)</f>
      </c>
      <c r="Q335">
        <f>IF(CALC_EPM!$B324="","",CALC_EPM!Q324)</f>
      </c>
      <c r="R335">
        <f>IF(CALC_EPM!$B324="","",CALC_EPM!R324)</f>
      </c>
      <c r="S335">
        <f>IF(CALC_EPM!$B324="","",CALC_EPM!S324)</f>
      </c>
      <c r="T335">
        <f>IF(CALC_EPM!$B324="","",CALC_EPM!T324)</f>
      </c>
      <c r="U335">
        <f>IF(CALC_EPM!$B324="","",CALC_EPM!U324)</f>
      </c>
    </row>
    <row r="336">
      <c r="A336" t="str">
        <f>IF(CALC_EPM!$B325="","",IF(CALC_EPM!A325="GLOBAL",IF(CALC_EPM!C325="Total","GLOBAL",IF(CALC_EPM!C325="TotalEsp","GLOBAL_ESP",IF(CALC_EPM!C325="TotalNoEsp","GLOBAL_NOESP","GLOBAL_ASIG"))),IF(CALC_EPM!C325="Total","CURSO_TOTAL",IF(CALC_EPM!C325="TotalEsp","CURSO_ESP",IF(CALC_EPM!C325="TotalNoEsp","CURSO_NOESP","CURSO_ASIG")))))</f>
      </c>
      <c r="B336" t="str">
        <f>IF(CALC_EPM!$B325="","",CALC_EPM!A325)</f>
      </c>
      <c r="C336" t="str">
        <f>IF(CALC_EPM!$B325="","",CALC_EPM!B325)</f>
      </c>
      <c r="D336">
        <f>IF(CALC_EPM!$B325="","",CALC_EPM!D325)</f>
      </c>
      <c r="E336" s="10" t="str">
        <f>IF(CALC_EPM!$B325="","",CALC_EPM!E325)</f>
      </c>
      <c r="F336" s="10" t="str">
        <f>IF(CALC_EPM!$B325="","",CALC_EPM!F325)</f>
      </c>
      <c r="G336" t="str">
        <f>IF(CALC_EPM!$B325="","",CALC_EPM!G325)</f>
      </c>
      <c r="H336" s="11" t="str">
        <f>IF(CALC_EPM!$B325="","",CALC_EPM!H325)</f>
      </c>
      <c r="I336" s="11" t="str">
        <f>IF(CALC_EPM!$B325="","",CALC_EPM!I325)</f>
      </c>
      <c r="J336" t="str">
        <f>IF(CALC_EPM!$B325="","",CALC_EPM!J325)</f>
      </c>
      <c r="K336" t="str">
        <f>IF(CALC_EPM!$B325="","",CALC_EPM!K325)</f>
      </c>
      <c r="L336">
        <f>IF(CALC_EPM!$B325="","",CALC_EPM!L325)</f>
      </c>
      <c r="M336">
        <f>IF(CALC_EPM!$B325="","",CALC_EPM!M325)</f>
      </c>
      <c r="N336">
        <f>IF(CALC_EPM!$B325="","",CALC_EPM!N325)</f>
      </c>
      <c r="O336">
        <f>IF(CALC_EPM!$B325="","",CALC_EPM!O325)</f>
      </c>
      <c r="P336">
        <f>IF(CALC_EPM!$B325="","",CALC_EPM!P325)</f>
      </c>
      <c r="Q336">
        <f>IF(CALC_EPM!$B325="","",CALC_EPM!Q325)</f>
      </c>
      <c r="R336">
        <f>IF(CALC_EPM!$B325="","",CALC_EPM!R325)</f>
      </c>
      <c r="S336">
        <f>IF(CALC_EPM!$B325="","",CALC_EPM!S325)</f>
      </c>
      <c r="T336">
        <f>IF(CALC_EPM!$B325="","",CALC_EPM!T325)</f>
      </c>
      <c r="U336">
        <f>IF(CALC_EPM!$B325="","",CALC_EPM!U325)</f>
      </c>
    </row>
    <row r="337">
      <c r="A337" t="str">
        <f>IF(CALC_EPM!$B326="","",IF(CALC_EPM!A326="GLOBAL",IF(CALC_EPM!C326="Total","GLOBAL",IF(CALC_EPM!C326="TotalEsp","GLOBAL_ESP",IF(CALC_EPM!C326="TotalNoEsp","GLOBAL_NOESP","GLOBAL_ASIG"))),IF(CALC_EPM!C326="Total","CURSO_TOTAL",IF(CALC_EPM!C326="TotalEsp","CURSO_ESP",IF(CALC_EPM!C326="TotalNoEsp","CURSO_NOESP","CURSO_ASIG")))))</f>
      </c>
      <c r="B337" t="str">
        <f>IF(CALC_EPM!$B326="","",CALC_EPM!A326)</f>
      </c>
      <c r="C337" t="str">
        <f>IF(CALC_EPM!$B326="","",CALC_EPM!B326)</f>
      </c>
      <c r="D337">
        <f>IF(CALC_EPM!$B326="","",CALC_EPM!D326)</f>
      </c>
      <c r="E337" s="10" t="str">
        <f>IF(CALC_EPM!$B326="","",CALC_EPM!E326)</f>
      </c>
      <c r="F337" s="10" t="str">
        <f>IF(CALC_EPM!$B326="","",CALC_EPM!F326)</f>
      </c>
      <c r="G337" t="str">
        <f>IF(CALC_EPM!$B326="","",CALC_EPM!G326)</f>
      </c>
      <c r="H337" s="11" t="str">
        <f>IF(CALC_EPM!$B326="","",CALC_EPM!H326)</f>
      </c>
      <c r="I337" s="11" t="str">
        <f>IF(CALC_EPM!$B326="","",CALC_EPM!I326)</f>
      </c>
      <c r="J337" t="str">
        <f>IF(CALC_EPM!$B326="","",CALC_EPM!J326)</f>
      </c>
      <c r="K337" t="str">
        <f>IF(CALC_EPM!$B326="","",CALC_EPM!K326)</f>
      </c>
      <c r="L337">
        <f>IF(CALC_EPM!$B326="","",CALC_EPM!L326)</f>
      </c>
      <c r="M337">
        <f>IF(CALC_EPM!$B326="","",CALC_EPM!M326)</f>
      </c>
      <c r="N337">
        <f>IF(CALC_EPM!$B326="","",CALC_EPM!N326)</f>
      </c>
      <c r="O337">
        <f>IF(CALC_EPM!$B326="","",CALC_EPM!O326)</f>
      </c>
      <c r="P337">
        <f>IF(CALC_EPM!$B326="","",CALC_EPM!P326)</f>
      </c>
      <c r="Q337">
        <f>IF(CALC_EPM!$B326="","",CALC_EPM!Q326)</f>
      </c>
      <c r="R337">
        <f>IF(CALC_EPM!$B326="","",CALC_EPM!R326)</f>
      </c>
      <c r="S337">
        <f>IF(CALC_EPM!$B326="","",CALC_EPM!S326)</f>
      </c>
      <c r="T337">
        <f>IF(CALC_EPM!$B326="","",CALC_EPM!T326)</f>
      </c>
      <c r="U337">
        <f>IF(CALC_EPM!$B326="","",CALC_EPM!U326)</f>
      </c>
    </row>
    <row r="338">
      <c r="A338" t="str">
        <f>IF(CALC_EPM!$B327="","",IF(CALC_EPM!A327="GLOBAL",IF(CALC_EPM!C327="Total","GLOBAL",IF(CALC_EPM!C327="TotalEsp","GLOBAL_ESP",IF(CALC_EPM!C327="TotalNoEsp","GLOBAL_NOESP","GLOBAL_ASIG"))),IF(CALC_EPM!C327="Total","CURSO_TOTAL",IF(CALC_EPM!C327="TotalEsp","CURSO_ESP",IF(CALC_EPM!C327="TotalNoEsp","CURSO_NOESP","CURSO_ASIG")))))</f>
      </c>
      <c r="B338" t="str">
        <f>IF(CALC_EPM!$B327="","",CALC_EPM!A327)</f>
      </c>
      <c r="C338" t="str">
        <f>IF(CALC_EPM!$B327="","",CALC_EPM!B327)</f>
      </c>
      <c r="D338">
        <f>IF(CALC_EPM!$B327="","",CALC_EPM!D327)</f>
      </c>
      <c r="E338" s="10" t="str">
        <f>IF(CALC_EPM!$B327="","",CALC_EPM!E327)</f>
      </c>
      <c r="F338" s="10" t="str">
        <f>IF(CALC_EPM!$B327="","",CALC_EPM!F327)</f>
      </c>
      <c r="G338" t="str">
        <f>IF(CALC_EPM!$B327="","",CALC_EPM!G327)</f>
      </c>
      <c r="H338" s="11" t="str">
        <f>IF(CALC_EPM!$B327="","",CALC_EPM!H327)</f>
      </c>
      <c r="I338" s="11" t="str">
        <f>IF(CALC_EPM!$B327="","",CALC_EPM!I327)</f>
      </c>
      <c r="J338" t="str">
        <f>IF(CALC_EPM!$B327="","",CALC_EPM!J327)</f>
      </c>
      <c r="K338" t="str">
        <f>IF(CALC_EPM!$B327="","",CALC_EPM!K327)</f>
      </c>
      <c r="L338">
        <f>IF(CALC_EPM!$B327="","",CALC_EPM!L327)</f>
      </c>
      <c r="M338">
        <f>IF(CALC_EPM!$B327="","",CALC_EPM!M327)</f>
      </c>
      <c r="N338">
        <f>IF(CALC_EPM!$B327="","",CALC_EPM!N327)</f>
      </c>
      <c r="O338">
        <f>IF(CALC_EPM!$B327="","",CALC_EPM!O327)</f>
      </c>
      <c r="P338">
        <f>IF(CALC_EPM!$B327="","",CALC_EPM!P327)</f>
      </c>
      <c r="Q338">
        <f>IF(CALC_EPM!$B327="","",CALC_EPM!Q327)</f>
      </c>
      <c r="R338">
        <f>IF(CALC_EPM!$B327="","",CALC_EPM!R327)</f>
      </c>
      <c r="S338">
        <f>IF(CALC_EPM!$B327="","",CALC_EPM!S327)</f>
      </c>
      <c r="T338">
        <f>IF(CALC_EPM!$B327="","",CALC_EPM!T327)</f>
      </c>
      <c r="U338">
        <f>IF(CALC_EPM!$B327="","",CALC_EPM!U327)</f>
      </c>
    </row>
    <row r="339">
      <c r="A339" t="str">
        <f>IF(CALC_EPM!$B328="","",IF(CALC_EPM!A328="GLOBAL",IF(CALC_EPM!C328="Total","GLOBAL",IF(CALC_EPM!C328="TotalEsp","GLOBAL_ESP",IF(CALC_EPM!C328="TotalNoEsp","GLOBAL_NOESP","GLOBAL_ASIG"))),IF(CALC_EPM!C328="Total","CURSO_TOTAL",IF(CALC_EPM!C328="TotalEsp","CURSO_ESP",IF(CALC_EPM!C328="TotalNoEsp","CURSO_NOESP","CURSO_ASIG")))))</f>
      </c>
      <c r="B339" t="str">
        <f>IF(CALC_EPM!$B328="","",CALC_EPM!A328)</f>
      </c>
      <c r="C339" t="str">
        <f>IF(CALC_EPM!$B328="","",CALC_EPM!B328)</f>
      </c>
      <c r="D339">
        <f>IF(CALC_EPM!$B328="","",CALC_EPM!D328)</f>
      </c>
      <c r="E339" s="10" t="str">
        <f>IF(CALC_EPM!$B328="","",CALC_EPM!E328)</f>
      </c>
      <c r="F339" s="10" t="str">
        <f>IF(CALC_EPM!$B328="","",CALC_EPM!F328)</f>
      </c>
      <c r="G339" t="str">
        <f>IF(CALC_EPM!$B328="","",CALC_EPM!G328)</f>
      </c>
      <c r="H339" s="11" t="str">
        <f>IF(CALC_EPM!$B328="","",CALC_EPM!H328)</f>
      </c>
      <c r="I339" s="11" t="str">
        <f>IF(CALC_EPM!$B328="","",CALC_EPM!I328)</f>
      </c>
      <c r="J339" t="str">
        <f>IF(CALC_EPM!$B328="","",CALC_EPM!J328)</f>
      </c>
      <c r="K339" t="str">
        <f>IF(CALC_EPM!$B328="","",CALC_EPM!K328)</f>
      </c>
      <c r="L339">
        <f>IF(CALC_EPM!$B328="","",CALC_EPM!L328)</f>
      </c>
      <c r="M339">
        <f>IF(CALC_EPM!$B328="","",CALC_EPM!M328)</f>
      </c>
      <c r="N339">
        <f>IF(CALC_EPM!$B328="","",CALC_EPM!N328)</f>
      </c>
      <c r="O339">
        <f>IF(CALC_EPM!$B328="","",CALC_EPM!O328)</f>
      </c>
      <c r="P339">
        <f>IF(CALC_EPM!$B328="","",CALC_EPM!P328)</f>
      </c>
      <c r="Q339">
        <f>IF(CALC_EPM!$B328="","",CALC_EPM!Q328)</f>
      </c>
      <c r="R339">
        <f>IF(CALC_EPM!$B328="","",CALC_EPM!R328)</f>
      </c>
      <c r="S339">
        <f>IF(CALC_EPM!$B328="","",CALC_EPM!S328)</f>
      </c>
      <c r="T339">
        <f>IF(CALC_EPM!$B328="","",CALC_EPM!T328)</f>
      </c>
      <c r="U339">
        <f>IF(CALC_EPM!$B328="","",CALC_EPM!U328)</f>
      </c>
    </row>
    <row r="340">
      <c r="A340" t="str">
        <f>IF(CALC_EPM!$B329="","",IF(CALC_EPM!A329="GLOBAL",IF(CALC_EPM!C329="Total","GLOBAL",IF(CALC_EPM!C329="TotalEsp","GLOBAL_ESP",IF(CALC_EPM!C329="TotalNoEsp","GLOBAL_NOESP","GLOBAL_ASIG"))),IF(CALC_EPM!C329="Total","CURSO_TOTAL",IF(CALC_EPM!C329="TotalEsp","CURSO_ESP",IF(CALC_EPM!C329="TotalNoEsp","CURSO_NOESP","CURSO_ASIG")))))</f>
      </c>
      <c r="B340" t="str">
        <f>IF(CALC_EPM!$B329="","",CALC_EPM!A329)</f>
      </c>
      <c r="C340" t="str">
        <f>IF(CALC_EPM!$B329="","",CALC_EPM!B329)</f>
      </c>
      <c r="D340">
        <f>IF(CALC_EPM!$B329="","",CALC_EPM!D329)</f>
      </c>
      <c r="E340" s="10" t="str">
        <f>IF(CALC_EPM!$B329="","",CALC_EPM!E329)</f>
      </c>
      <c r="F340" s="10" t="str">
        <f>IF(CALC_EPM!$B329="","",CALC_EPM!F329)</f>
      </c>
      <c r="G340" t="str">
        <f>IF(CALC_EPM!$B329="","",CALC_EPM!G329)</f>
      </c>
      <c r="H340" s="11" t="str">
        <f>IF(CALC_EPM!$B329="","",CALC_EPM!H329)</f>
      </c>
      <c r="I340" s="11" t="str">
        <f>IF(CALC_EPM!$B329="","",CALC_EPM!I329)</f>
      </c>
      <c r="J340" t="str">
        <f>IF(CALC_EPM!$B329="","",CALC_EPM!J329)</f>
      </c>
      <c r="K340" t="str">
        <f>IF(CALC_EPM!$B329="","",CALC_EPM!K329)</f>
      </c>
      <c r="L340">
        <f>IF(CALC_EPM!$B329="","",CALC_EPM!L329)</f>
      </c>
      <c r="M340">
        <f>IF(CALC_EPM!$B329="","",CALC_EPM!M329)</f>
      </c>
      <c r="N340">
        <f>IF(CALC_EPM!$B329="","",CALC_EPM!N329)</f>
      </c>
      <c r="O340">
        <f>IF(CALC_EPM!$B329="","",CALC_EPM!O329)</f>
      </c>
      <c r="P340">
        <f>IF(CALC_EPM!$B329="","",CALC_EPM!P329)</f>
      </c>
      <c r="Q340">
        <f>IF(CALC_EPM!$B329="","",CALC_EPM!Q329)</f>
      </c>
      <c r="R340">
        <f>IF(CALC_EPM!$B329="","",CALC_EPM!R329)</f>
      </c>
      <c r="S340">
        <f>IF(CALC_EPM!$B329="","",CALC_EPM!S329)</f>
      </c>
      <c r="T340">
        <f>IF(CALC_EPM!$B329="","",CALC_EPM!T329)</f>
      </c>
      <c r="U340">
        <f>IF(CALC_EPM!$B329="","",CALC_EPM!U329)</f>
      </c>
    </row>
    <row r="341">
      <c r="A341" t="str">
        <f>IF(CALC_EPM!$B330="","",IF(CALC_EPM!A330="GLOBAL",IF(CALC_EPM!C330="Total","GLOBAL",IF(CALC_EPM!C330="TotalEsp","GLOBAL_ESP",IF(CALC_EPM!C330="TotalNoEsp","GLOBAL_NOESP","GLOBAL_ASIG"))),IF(CALC_EPM!C330="Total","CURSO_TOTAL",IF(CALC_EPM!C330="TotalEsp","CURSO_ESP",IF(CALC_EPM!C330="TotalNoEsp","CURSO_NOESP","CURSO_ASIG")))))</f>
      </c>
      <c r="B341" t="str">
        <f>IF(CALC_EPM!$B330="","",CALC_EPM!A330)</f>
      </c>
      <c r="C341" t="str">
        <f>IF(CALC_EPM!$B330="","",CALC_EPM!B330)</f>
      </c>
      <c r="D341">
        <f>IF(CALC_EPM!$B330="","",CALC_EPM!D330)</f>
      </c>
      <c r="E341" s="10" t="str">
        <f>IF(CALC_EPM!$B330="","",CALC_EPM!E330)</f>
      </c>
      <c r="F341" s="10" t="str">
        <f>IF(CALC_EPM!$B330="","",CALC_EPM!F330)</f>
      </c>
      <c r="G341" t="str">
        <f>IF(CALC_EPM!$B330="","",CALC_EPM!G330)</f>
      </c>
      <c r="H341" s="11" t="str">
        <f>IF(CALC_EPM!$B330="","",CALC_EPM!H330)</f>
      </c>
      <c r="I341" s="11" t="str">
        <f>IF(CALC_EPM!$B330="","",CALC_EPM!I330)</f>
      </c>
      <c r="J341" t="str">
        <f>IF(CALC_EPM!$B330="","",CALC_EPM!J330)</f>
      </c>
      <c r="K341" t="str">
        <f>IF(CALC_EPM!$B330="","",CALC_EPM!K330)</f>
      </c>
      <c r="L341">
        <f>IF(CALC_EPM!$B330="","",CALC_EPM!L330)</f>
      </c>
      <c r="M341">
        <f>IF(CALC_EPM!$B330="","",CALC_EPM!M330)</f>
      </c>
      <c r="N341">
        <f>IF(CALC_EPM!$B330="","",CALC_EPM!N330)</f>
      </c>
      <c r="O341">
        <f>IF(CALC_EPM!$B330="","",CALC_EPM!O330)</f>
      </c>
      <c r="P341">
        <f>IF(CALC_EPM!$B330="","",CALC_EPM!P330)</f>
      </c>
      <c r="Q341">
        <f>IF(CALC_EPM!$B330="","",CALC_EPM!Q330)</f>
      </c>
      <c r="R341">
        <f>IF(CALC_EPM!$B330="","",CALC_EPM!R330)</f>
      </c>
      <c r="S341">
        <f>IF(CALC_EPM!$B330="","",CALC_EPM!S330)</f>
      </c>
      <c r="T341">
        <f>IF(CALC_EPM!$B330="","",CALC_EPM!T330)</f>
      </c>
      <c r="U341">
        <f>IF(CALC_EPM!$B330="","",CALC_EPM!U330)</f>
      </c>
    </row>
    <row r="342">
      <c r="A342" t="str">
        <f>IF(CALC_EPM!$B331="","",IF(CALC_EPM!A331="GLOBAL",IF(CALC_EPM!C331="Total","GLOBAL",IF(CALC_EPM!C331="TotalEsp","GLOBAL_ESP",IF(CALC_EPM!C331="TotalNoEsp","GLOBAL_NOESP","GLOBAL_ASIG"))),IF(CALC_EPM!C331="Total","CURSO_TOTAL",IF(CALC_EPM!C331="TotalEsp","CURSO_ESP",IF(CALC_EPM!C331="TotalNoEsp","CURSO_NOESP","CURSO_ASIG")))))</f>
      </c>
      <c r="B342" t="str">
        <f>IF(CALC_EPM!$B331="","",CALC_EPM!A331)</f>
      </c>
      <c r="C342" t="str">
        <f>IF(CALC_EPM!$B331="","",CALC_EPM!B331)</f>
      </c>
      <c r="D342">
        <f>IF(CALC_EPM!$B331="","",CALC_EPM!D331)</f>
      </c>
      <c r="E342" s="10" t="str">
        <f>IF(CALC_EPM!$B331="","",CALC_EPM!E331)</f>
      </c>
      <c r="F342" s="10" t="str">
        <f>IF(CALC_EPM!$B331="","",CALC_EPM!F331)</f>
      </c>
      <c r="G342" t="str">
        <f>IF(CALC_EPM!$B331="","",CALC_EPM!G331)</f>
      </c>
      <c r="H342" s="11" t="str">
        <f>IF(CALC_EPM!$B331="","",CALC_EPM!H331)</f>
      </c>
      <c r="I342" s="11" t="str">
        <f>IF(CALC_EPM!$B331="","",CALC_EPM!I331)</f>
      </c>
      <c r="J342" t="str">
        <f>IF(CALC_EPM!$B331="","",CALC_EPM!J331)</f>
      </c>
      <c r="K342" t="str">
        <f>IF(CALC_EPM!$B331="","",CALC_EPM!K331)</f>
      </c>
      <c r="L342">
        <f>IF(CALC_EPM!$B331="","",CALC_EPM!L331)</f>
      </c>
      <c r="M342">
        <f>IF(CALC_EPM!$B331="","",CALC_EPM!M331)</f>
      </c>
      <c r="N342">
        <f>IF(CALC_EPM!$B331="","",CALC_EPM!N331)</f>
      </c>
      <c r="O342">
        <f>IF(CALC_EPM!$B331="","",CALC_EPM!O331)</f>
      </c>
      <c r="P342">
        <f>IF(CALC_EPM!$B331="","",CALC_EPM!P331)</f>
      </c>
      <c r="Q342">
        <f>IF(CALC_EPM!$B331="","",CALC_EPM!Q331)</f>
      </c>
      <c r="R342">
        <f>IF(CALC_EPM!$B331="","",CALC_EPM!R331)</f>
      </c>
      <c r="S342">
        <f>IF(CALC_EPM!$B331="","",CALC_EPM!S331)</f>
      </c>
      <c r="T342">
        <f>IF(CALC_EPM!$B331="","",CALC_EPM!T331)</f>
      </c>
      <c r="U342">
        <f>IF(CALC_EPM!$B331="","",CALC_EPM!U331)</f>
      </c>
    </row>
    <row r="343">
      <c r="A343" t="str">
        <f>IF(CALC_EPM!$B332="","",IF(CALC_EPM!A332="GLOBAL",IF(CALC_EPM!C332="Total","GLOBAL",IF(CALC_EPM!C332="TotalEsp","GLOBAL_ESP",IF(CALC_EPM!C332="TotalNoEsp","GLOBAL_NOESP","GLOBAL_ASIG"))),IF(CALC_EPM!C332="Total","CURSO_TOTAL",IF(CALC_EPM!C332="TotalEsp","CURSO_ESP",IF(CALC_EPM!C332="TotalNoEsp","CURSO_NOESP","CURSO_ASIG")))))</f>
      </c>
      <c r="B343" t="str">
        <f>IF(CALC_EPM!$B332="","",CALC_EPM!A332)</f>
      </c>
      <c r="C343" t="str">
        <f>IF(CALC_EPM!$B332="","",CALC_EPM!B332)</f>
      </c>
      <c r="D343">
        <f>IF(CALC_EPM!$B332="","",CALC_EPM!D332)</f>
      </c>
      <c r="E343" s="10" t="str">
        <f>IF(CALC_EPM!$B332="","",CALC_EPM!E332)</f>
      </c>
      <c r="F343" s="10" t="str">
        <f>IF(CALC_EPM!$B332="","",CALC_EPM!F332)</f>
      </c>
      <c r="G343" t="str">
        <f>IF(CALC_EPM!$B332="","",CALC_EPM!G332)</f>
      </c>
      <c r="H343" s="11" t="str">
        <f>IF(CALC_EPM!$B332="","",CALC_EPM!H332)</f>
      </c>
      <c r="I343" s="11" t="str">
        <f>IF(CALC_EPM!$B332="","",CALC_EPM!I332)</f>
      </c>
      <c r="J343" t="str">
        <f>IF(CALC_EPM!$B332="","",CALC_EPM!J332)</f>
      </c>
      <c r="K343" t="str">
        <f>IF(CALC_EPM!$B332="","",CALC_EPM!K332)</f>
      </c>
      <c r="L343">
        <f>IF(CALC_EPM!$B332="","",CALC_EPM!L332)</f>
      </c>
      <c r="M343">
        <f>IF(CALC_EPM!$B332="","",CALC_EPM!M332)</f>
      </c>
      <c r="N343">
        <f>IF(CALC_EPM!$B332="","",CALC_EPM!N332)</f>
      </c>
      <c r="O343">
        <f>IF(CALC_EPM!$B332="","",CALC_EPM!O332)</f>
      </c>
      <c r="P343">
        <f>IF(CALC_EPM!$B332="","",CALC_EPM!P332)</f>
      </c>
      <c r="Q343">
        <f>IF(CALC_EPM!$B332="","",CALC_EPM!Q332)</f>
      </c>
      <c r="R343">
        <f>IF(CALC_EPM!$B332="","",CALC_EPM!R332)</f>
      </c>
      <c r="S343">
        <f>IF(CALC_EPM!$B332="","",CALC_EPM!S332)</f>
      </c>
      <c r="T343">
        <f>IF(CALC_EPM!$B332="","",CALC_EPM!T332)</f>
      </c>
      <c r="U343">
        <f>IF(CALC_EPM!$B332="","",CALC_EPM!U332)</f>
      </c>
    </row>
    <row r="344">
      <c r="A344" t="str">
        <f>IF(CALC_EPM!$B333="","",IF(CALC_EPM!A333="GLOBAL",IF(CALC_EPM!C333="Total","GLOBAL",IF(CALC_EPM!C333="TotalEsp","GLOBAL_ESP",IF(CALC_EPM!C333="TotalNoEsp","GLOBAL_NOESP","GLOBAL_ASIG"))),IF(CALC_EPM!C333="Total","CURSO_TOTAL",IF(CALC_EPM!C333="TotalEsp","CURSO_ESP",IF(CALC_EPM!C333="TotalNoEsp","CURSO_NOESP","CURSO_ASIG")))))</f>
      </c>
      <c r="B344" t="str">
        <f>IF(CALC_EPM!$B333="","",CALC_EPM!A333)</f>
      </c>
      <c r="C344" t="str">
        <f>IF(CALC_EPM!$B333="","",CALC_EPM!B333)</f>
      </c>
      <c r="D344">
        <f>IF(CALC_EPM!$B333="","",CALC_EPM!D333)</f>
      </c>
      <c r="E344" s="10" t="str">
        <f>IF(CALC_EPM!$B333="","",CALC_EPM!E333)</f>
      </c>
      <c r="F344" s="10" t="str">
        <f>IF(CALC_EPM!$B333="","",CALC_EPM!F333)</f>
      </c>
      <c r="G344" t="str">
        <f>IF(CALC_EPM!$B333="","",CALC_EPM!G333)</f>
      </c>
      <c r="H344" s="11" t="str">
        <f>IF(CALC_EPM!$B333="","",CALC_EPM!H333)</f>
      </c>
      <c r="I344" s="11" t="str">
        <f>IF(CALC_EPM!$B333="","",CALC_EPM!I333)</f>
      </c>
      <c r="J344" t="str">
        <f>IF(CALC_EPM!$B333="","",CALC_EPM!J333)</f>
      </c>
      <c r="K344" t="str">
        <f>IF(CALC_EPM!$B333="","",CALC_EPM!K333)</f>
      </c>
      <c r="L344">
        <f>IF(CALC_EPM!$B333="","",CALC_EPM!L333)</f>
      </c>
      <c r="M344">
        <f>IF(CALC_EPM!$B333="","",CALC_EPM!M333)</f>
      </c>
      <c r="N344">
        <f>IF(CALC_EPM!$B333="","",CALC_EPM!N333)</f>
      </c>
      <c r="O344">
        <f>IF(CALC_EPM!$B333="","",CALC_EPM!O333)</f>
      </c>
      <c r="P344">
        <f>IF(CALC_EPM!$B333="","",CALC_EPM!P333)</f>
      </c>
      <c r="Q344">
        <f>IF(CALC_EPM!$B333="","",CALC_EPM!Q333)</f>
      </c>
      <c r="R344">
        <f>IF(CALC_EPM!$B333="","",CALC_EPM!R333)</f>
      </c>
      <c r="S344">
        <f>IF(CALC_EPM!$B333="","",CALC_EPM!S333)</f>
      </c>
      <c r="T344">
        <f>IF(CALC_EPM!$B333="","",CALC_EPM!T333)</f>
      </c>
      <c r="U344">
        <f>IF(CALC_EPM!$B333="","",CALC_EPM!U333)</f>
      </c>
    </row>
    <row r="345">
      <c r="A345" t="str">
        <f>IF(CALC_EPM!$B334="","",IF(CALC_EPM!A334="GLOBAL",IF(CALC_EPM!C334="Total","GLOBAL",IF(CALC_EPM!C334="TotalEsp","GLOBAL_ESP",IF(CALC_EPM!C334="TotalNoEsp","GLOBAL_NOESP","GLOBAL_ASIG"))),IF(CALC_EPM!C334="Total","CURSO_TOTAL",IF(CALC_EPM!C334="TotalEsp","CURSO_ESP",IF(CALC_EPM!C334="TotalNoEsp","CURSO_NOESP","CURSO_ASIG")))))</f>
      </c>
      <c r="B345" t="str">
        <f>IF(CALC_EPM!$B334="","",CALC_EPM!A334)</f>
      </c>
      <c r="C345" t="str">
        <f>IF(CALC_EPM!$B334="","",CALC_EPM!B334)</f>
      </c>
      <c r="D345">
        <f>IF(CALC_EPM!$B334="","",CALC_EPM!D334)</f>
      </c>
      <c r="E345" s="10" t="str">
        <f>IF(CALC_EPM!$B334="","",CALC_EPM!E334)</f>
      </c>
      <c r="F345" s="10" t="str">
        <f>IF(CALC_EPM!$B334="","",CALC_EPM!F334)</f>
      </c>
      <c r="G345" t="str">
        <f>IF(CALC_EPM!$B334="","",CALC_EPM!G334)</f>
      </c>
      <c r="H345" s="11" t="str">
        <f>IF(CALC_EPM!$B334="","",CALC_EPM!H334)</f>
      </c>
      <c r="I345" s="11" t="str">
        <f>IF(CALC_EPM!$B334="","",CALC_EPM!I334)</f>
      </c>
      <c r="J345" t="str">
        <f>IF(CALC_EPM!$B334="","",CALC_EPM!J334)</f>
      </c>
      <c r="K345" t="str">
        <f>IF(CALC_EPM!$B334="","",CALC_EPM!K334)</f>
      </c>
      <c r="L345">
        <f>IF(CALC_EPM!$B334="","",CALC_EPM!L334)</f>
      </c>
      <c r="M345">
        <f>IF(CALC_EPM!$B334="","",CALC_EPM!M334)</f>
      </c>
      <c r="N345">
        <f>IF(CALC_EPM!$B334="","",CALC_EPM!N334)</f>
      </c>
      <c r="O345">
        <f>IF(CALC_EPM!$B334="","",CALC_EPM!O334)</f>
      </c>
      <c r="P345">
        <f>IF(CALC_EPM!$B334="","",CALC_EPM!P334)</f>
      </c>
      <c r="Q345">
        <f>IF(CALC_EPM!$B334="","",CALC_EPM!Q334)</f>
      </c>
      <c r="R345">
        <f>IF(CALC_EPM!$B334="","",CALC_EPM!R334)</f>
      </c>
      <c r="S345">
        <f>IF(CALC_EPM!$B334="","",CALC_EPM!S334)</f>
      </c>
      <c r="T345">
        <f>IF(CALC_EPM!$B334="","",CALC_EPM!T334)</f>
      </c>
      <c r="U345">
        <f>IF(CALC_EPM!$B334="","",CALC_EPM!U334)</f>
      </c>
    </row>
    <row r="346">
      <c r="A346" t="str">
        <f>IF(CALC_EPM!$B335="","",IF(CALC_EPM!A335="GLOBAL",IF(CALC_EPM!C335="Total","GLOBAL",IF(CALC_EPM!C335="TotalEsp","GLOBAL_ESP",IF(CALC_EPM!C335="TotalNoEsp","GLOBAL_NOESP","GLOBAL_ASIG"))),IF(CALC_EPM!C335="Total","CURSO_TOTAL",IF(CALC_EPM!C335="TotalEsp","CURSO_ESP",IF(CALC_EPM!C335="TotalNoEsp","CURSO_NOESP","CURSO_ASIG")))))</f>
      </c>
      <c r="B346" t="str">
        <f>IF(CALC_EPM!$B335="","",CALC_EPM!A335)</f>
      </c>
      <c r="C346" t="str">
        <f>IF(CALC_EPM!$B335="","",CALC_EPM!B335)</f>
      </c>
      <c r="D346">
        <f>IF(CALC_EPM!$B335="","",CALC_EPM!D335)</f>
      </c>
      <c r="E346" s="10" t="str">
        <f>IF(CALC_EPM!$B335="","",CALC_EPM!E335)</f>
      </c>
      <c r="F346" s="10" t="str">
        <f>IF(CALC_EPM!$B335="","",CALC_EPM!F335)</f>
      </c>
      <c r="G346" t="str">
        <f>IF(CALC_EPM!$B335="","",CALC_EPM!G335)</f>
      </c>
      <c r="H346" s="11" t="str">
        <f>IF(CALC_EPM!$B335="","",CALC_EPM!H335)</f>
      </c>
      <c r="I346" s="11" t="str">
        <f>IF(CALC_EPM!$B335="","",CALC_EPM!I335)</f>
      </c>
      <c r="J346" t="str">
        <f>IF(CALC_EPM!$B335="","",CALC_EPM!J335)</f>
      </c>
      <c r="K346" t="str">
        <f>IF(CALC_EPM!$B335="","",CALC_EPM!K335)</f>
      </c>
      <c r="L346">
        <f>IF(CALC_EPM!$B335="","",CALC_EPM!L335)</f>
      </c>
      <c r="M346">
        <f>IF(CALC_EPM!$B335="","",CALC_EPM!M335)</f>
      </c>
      <c r="N346">
        <f>IF(CALC_EPM!$B335="","",CALC_EPM!N335)</f>
      </c>
      <c r="O346">
        <f>IF(CALC_EPM!$B335="","",CALC_EPM!O335)</f>
      </c>
      <c r="P346">
        <f>IF(CALC_EPM!$B335="","",CALC_EPM!P335)</f>
      </c>
      <c r="Q346">
        <f>IF(CALC_EPM!$B335="","",CALC_EPM!Q335)</f>
      </c>
      <c r="R346">
        <f>IF(CALC_EPM!$B335="","",CALC_EPM!R335)</f>
      </c>
      <c r="S346">
        <f>IF(CALC_EPM!$B335="","",CALC_EPM!S335)</f>
      </c>
      <c r="T346">
        <f>IF(CALC_EPM!$B335="","",CALC_EPM!T335)</f>
      </c>
      <c r="U346">
        <f>IF(CALC_EPM!$B335="","",CALC_EPM!U335)</f>
      </c>
    </row>
    <row r="347">
      <c r="A347" t="str">
        <f>IF(CALC_EPM!$B336="","",IF(CALC_EPM!A336="GLOBAL",IF(CALC_EPM!C336="Total","GLOBAL",IF(CALC_EPM!C336="TotalEsp","GLOBAL_ESP",IF(CALC_EPM!C336="TotalNoEsp","GLOBAL_NOESP","GLOBAL_ASIG"))),IF(CALC_EPM!C336="Total","CURSO_TOTAL",IF(CALC_EPM!C336="TotalEsp","CURSO_ESP",IF(CALC_EPM!C336="TotalNoEsp","CURSO_NOESP","CURSO_ASIG")))))</f>
      </c>
      <c r="B347" t="str">
        <f>IF(CALC_EPM!$B336="","",CALC_EPM!A336)</f>
      </c>
      <c r="C347" t="str">
        <f>IF(CALC_EPM!$B336="","",CALC_EPM!B336)</f>
      </c>
      <c r="D347">
        <f>IF(CALC_EPM!$B336="","",CALC_EPM!D336)</f>
      </c>
      <c r="E347" s="10" t="str">
        <f>IF(CALC_EPM!$B336="","",CALC_EPM!E336)</f>
      </c>
      <c r="F347" s="10" t="str">
        <f>IF(CALC_EPM!$B336="","",CALC_EPM!F336)</f>
      </c>
      <c r="G347" t="str">
        <f>IF(CALC_EPM!$B336="","",CALC_EPM!G336)</f>
      </c>
      <c r="H347" s="11" t="str">
        <f>IF(CALC_EPM!$B336="","",CALC_EPM!H336)</f>
      </c>
      <c r="I347" s="11" t="str">
        <f>IF(CALC_EPM!$B336="","",CALC_EPM!I336)</f>
      </c>
      <c r="J347" t="str">
        <f>IF(CALC_EPM!$B336="","",CALC_EPM!J336)</f>
      </c>
      <c r="K347" t="str">
        <f>IF(CALC_EPM!$B336="","",CALC_EPM!K336)</f>
      </c>
      <c r="L347">
        <f>IF(CALC_EPM!$B336="","",CALC_EPM!L336)</f>
      </c>
      <c r="M347">
        <f>IF(CALC_EPM!$B336="","",CALC_EPM!M336)</f>
      </c>
      <c r="N347">
        <f>IF(CALC_EPM!$B336="","",CALC_EPM!N336)</f>
      </c>
      <c r="O347">
        <f>IF(CALC_EPM!$B336="","",CALC_EPM!O336)</f>
      </c>
      <c r="P347">
        <f>IF(CALC_EPM!$B336="","",CALC_EPM!P336)</f>
      </c>
      <c r="Q347">
        <f>IF(CALC_EPM!$B336="","",CALC_EPM!Q336)</f>
      </c>
      <c r="R347">
        <f>IF(CALC_EPM!$B336="","",CALC_EPM!R336)</f>
      </c>
      <c r="S347">
        <f>IF(CALC_EPM!$B336="","",CALC_EPM!S336)</f>
      </c>
      <c r="T347">
        <f>IF(CALC_EPM!$B336="","",CALC_EPM!T336)</f>
      </c>
      <c r="U347">
        <f>IF(CALC_EPM!$B336="","",CALC_EPM!U336)</f>
      </c>
    </row>
    <row r="348">
      <c r="A348" t="str">
        <f>IF(CALC_EPM!$B337="","",IF(CALC_EPM!A337="GLOBAL",IF(CALC_EPM!C337="Total","GLOBAL",IF(CALC_EPM!C337="TotalEsp","GLOBAL_ESP",IF(CALC_EPM!C337="TotalNoEsp","GLOBAL_NOESP","GLOBAL_ASIG"))),IF(CALC_EPM!C337="Total","CURSO_TOTAL",IF(CALC_EPM!C337="TotalEsp","CURSO_ESP",IF(CALC_EPM!C337="TotalNoEsp","CURSO_NOESP","CURSO_ASIG")))))</f>
      </c>
      <c r="B348" t="str">
        <f>IF(CALC_EPM!$B337="","",CALC_EPM!A337)</f>
      </c>
      <c r="C348" t="str">
        <f>IF(CALC_EPM!$B337="","",CALC_EPM!B337)</f>
      </c>
      <c r="D348">
        <f>IF(CALC_EPM!$B337="","",CALC_EPM!D337)</f>
      </c>
      <c r="E348" s="10" t="str">
        <f>IF(CALC_EPM!$B337="","",CALC_EPM!E337)</f>
      </c>
      <c r="F348" s="10" t="str">
        <f>IF(CALC_EPM!$B337="","",CALC_EPM!F337)</f>
      </c>
      <c r="G348" t="str">
        <f>IF(CALC_EPM!$B337="","",CALC_EPM!G337)</f>
      </c>
      <c r="H348" s="11" t="str">
        <f>IF(CALC_EPM!$B337="","",CALC_EPM!H337)</f>
      </c>
      <c r="I348" s="11" t="str">
        <f>IF(CALC_EPM!$B337="","",CALC_EPM!I337)</f>
      </c>
      <c r="J348" t="str">
        <f>IF(CALC_EPM!$B337="","",CALC_EPM!J337)</f>
      </c>
      <c r="K348" t="str">
        <f>IF(CALC_EPM!$B337="","",CALC_EPM!K337)</f>
      </c>
      <c r="L348">
        <f>IF(CALC_EPM!$B337="","",CALC_EPM!L337)</f>
      </c>
      <c r="M348">
        <f>IF(CALC_EPM!$B337="","",CALC_EPM!M337)</f>
      </c>
      <c r="N348">
        <f>IF(CALC_EPM!$B337="","",CALC_EPM!N337)</f>
      </c>
      <c r="O348">
        <f>IF(CALC_EPM!$B337="","",CALC_EPM!O337)</f>
      </c>
      <c r="P348">
        <f>IF(CALC_EPM!$B337="","",CALC_EPM!P337)</f>
      </c>
      <c r="Q348">
        <f>IF(CALC_EPM!$B337="","",CALC_EPM!Q337)</f>
      </c>
      <c r="R348">
        <f>IF(CALC_EPM!$B337="","",CALC_EPM!R337)</f>
      </c>
      <c r="S348">
        <f>IF(CALC_EPM!$B337="","",CALC_EPM!S337)</f>
      </c>
      <c r="T348">
        <f>IF(CALC_EPM!$B337="","",CALC_EPM!T337)</f>
      </c>
      <c r="U348">
        <f>IF(CALC_EPM!$B337="","",CALC_EPM!U337)</f>
      </c>
    </row>
    <row r="349">
      <c r="A349" t="str">
        <f>IF(CALC_EPM!$B338="","",IF(CALC_EPM!A338="GLOBAL",IF(CALC_EPM!C338="Total","GLOBAL",IF(CALC_EPM!C338="TotalEsp","GLOBAL_ESP",IF(CALC_EPM!C338="TotalNoEsp","GLOBAL_NOESP","GLOBAL_ASIG"))),IF(CALC_EPM!C338="Total","CURSO_TOTAL",IF(CALC_EPM!C338="TotalEsp","CURSO_ESP",IF(CALC_EPM!C338="TotalNoEsp","CURSO_NOESP","CURSO_ASIG")))))</f>
      </c>
      <c r="B349" t="str">
        <f>IF(CALC_EPM!$B338="","",CALC_EPM!A338)</f>
      </c>
      <c r="C349" t="str">
        <f>IF(CALC_EPM!$B338="","",CALC_EPM!B338)</f>
      </c>
      <c r="D349">
        <f>IF(CALC_EPM!$B338="","",CALC_EPM!D338)</f>
      </c>
      <c r="E349" s="10" t="str">
        <f>IF(CALC_EPM!$B338="","",CALC_EPM!E338)</f>
      </c>
      <c r="F349" s="10" t="str">
        <f>IF(CALC_EPM!$B338="","",CALC_EPM!F338)</f>
      </c>
      <c r="G349" t="str">
        <f>IF(CALC_EPM!$B338="","",CALC_EPM!G338)</f>
      </c>
      <c r="H349" s="11" t="str">
        <f>IF(CALC_EPM!$B338="","",CALC_EPM!H338)</f>
      </c>
      <c r="I349" s="11" t="str">
        <f>IF(CALC_EPM!$B338="","",CALC_EPM!I338)</f>
      </c>
      <c r="J349" t="str">
        <f>IF(CALC_EPM!$B338="","",CALC_EPM!J338)</f>
      </c>
      <c r="K349" t="str">
        <f>IF(CALC_EPM!$B338="","",CALC_EPM!K338)</f>
      </c>
      <c r="L349">
        <f>IF(CALC_EPM!$B338="","",CALC_EPM!L338)</f>
      </c>
      <c r="M349">
        <f>IF(CALC_EPM!$B338="","",CALC_EPM!M338)</f>
      </c>
      <c r="N349">
        <f>IF(CALC_EPM!$B338="","",CALC_EPM!N338)</f>
      </c>
      <c r="O349">
        <f>IF(CALC_EPM!$B338="","",CALC_EPM!O338)</f>
      </c>
      <c r="P349">
        <f>IF(CALC_EPM!$B338="","",CALC_EPM!P338)</f>
      </c>
      <c r="Q349">
        <f>IF(CALC_EPM!$B338="","",CALC_EPM!Q338)</f>
      </c>
      <c r="R349">
        <f>IF(CALC_EPM!$B338="","",CALC_EPM!R338)</f>
      </c>
      <c r="S349">
        <f>IF(CALC_EPM!$B338="","",CALC_EPM!S338)</f>
      </c>
      <c r="T349">
        <f>IF(CALC_EPM!$B338="","",CALC_EPM!T338)</f>
      </c>
      <c r="U349">
        <f>IF(CALC_EPM!$B338="","",CALC_EPM!U338)</f>
      </c>
    </row>
    <row r="350">
      <c r="A350" t="str">
        <f>IF(CALC_EPM!$B339="","",IF(CALC_EPM!A339="GLOBAL",IF(CALC_EPM!C339="Total","GLOBAL",IF(CALC_EPM!C339="TotalEsp","GLOBAL_ESP",IF(CALC_EPM!C339="TotalNoEsp","GLOBAL_NOESP","GLOBAL_ASIG"))),IF(CALC_EPM!C339="Total","CURSO_TOTAL",IF(CALC_EPM!C339="TotalEsp","CURSO_ESP",IF(CALC_EPM!C339="TotalNoEsp","CURSO_NOESP","CURSO_ASIG")))))</f>
      </c>
      <c r="B350" t="str">
        <f>IF(CALC_EPM!$B339="","",CALC_EPM!A339)</f>
      </c>
      <c r="C350" t="str">
        <f>IF(CALC_EPM!$B339="","",CALC_EPM!B339)</f>
      </c>
      <c r="D350">
        <f>IF(CALC_EPM!$B339="","",CALC_EPM!D339)</f>
      </c>
      <c r="E350" s="10" t="str">
        <f>IF(CALC_EPM!$B339="","",CALC_EPM!E339)</f>
      </c>
      <c r="F350" s="10" t="str">
        <f>IF(CALC_EPM!$B339="","",CALC_EPM!F339)</f>
      </c>
      <c r="G350" t="str">
        <f>IF(CALC_EPM!$B339="","",CALC_EPM!G339)</f>
      </c>
      <c r="H350" s="11" t="str">
        <f>IF(CALC_EPM!$B339="","",CALC_EPM!H339)</f>
      </c>
      <c r="I350" s="11" t="str">
        <f>IF(CALC_EPM!$B339="","",CALC_EPM!I339)</f>
      </c>
      <c r="J350" t="str">
        <f>IF(CALC_EPM!$B339="","",CALC_EPM!J339)</f>
      </c>
      <c r="K350" t="str">
        <f>IF(CALC_EPM!$B339="","",CALC_EPM!K339)</f>
      </c>
      <c r="L350">
        <f>IF(CALC_EPM!$B339="","",CALC_EPM!L339)</f>
      </c>
      <c r="M350">
        <f>IF(CALC_EPM!$B339="","",CALC_EPM!M339)</f>
      </c>
      <c r="N350">
        <f>IF(CALC_EPM!$B339="","",CALC_EPM!N339)</f>
      </c>
      <c r="O350">
        <f>IF(CALC_EPM!$B339="","",CALC_EPM!O339)</f>
      </c>
      <c r="P350">
        <f>IF(CALC_EPM!$B339="","",CALC_EPM!P339)</f>
      </c>
      <c r="Q350">
        <f>IF(CALC_EPM!$B339="","",CALC_EPM!Q339)</f>
      </c>
      <c r="R350">
        <f>IF(CALC_EPM!$B339="","",CALC_EPM!R339)</f>
      </c>
      <c r="S350">
        <f>IF(CALC_EPM!$B339="","",CALC_EPM!S339)</f>
      </c>
      <c r="T350">
        <f>IF(CALC_EPM!$B339="","",CALC_EPM!T339)</f>
      </c>
      <c r="U350">
        <f>IF(CALC_EPM!$B339="","",CALC_EPM!U339)</f>
      </c>
    </row>
    <row r="351">
      <c r="A351" t="str">
        <f>IF(CALC_EPM!$B340="","",IF(CALC_EPM!A340="GLOBAL",IF(CALC_EPM!C340="Total","GLOBAL",IF(CALC_EPM!C340="TotalEsp","GLOBAL_ESP",IF(CALC_EPM!C340="TotalNoEsp","GLOBAL_NOESP","GLOBAL_ASIG"))),IF(CALC_EPM!C340="Total","CURSO_TOTAL",IF(CALC_EPM!C340="TotalEsp","CURSO_ESP",IF(CALC_EPM!C340="TotalNoEsp","CURSO_NOESP","CURSO_ASIG")))))</f>
      </c>
      <c r="B351" t="str">
        <f>IF(CALC_EPM!$B340="","",CALC_EPM!A340)</f>
      </c>
      <c r="C351" t="str">
        <f>IF(CALC_EPM!$B340="","",CALC_EPM!B340)</f>
      </c>
      <c r="D351">
        <f>IF(CALC_EPM!$B340="","",CALC_EPM!D340)</f>
      </c>
      <c r="E351" s="10" t="str">
        <f>IF(CALC_EPM!$B340="","",CALC_EPM!E340)</f>
      </c>
      <c r="F351" s="10" t="str">
        <f>IF(CALC_EPM!$B340="","",CALC_EPM!F340)</f>
      </c>
      <c r="G351" t="str">
        <f>IF(CALC_EPM!$B340="","",CALC_EPM!G340)</f>
      </c>
      <c r="H351" s="11" t="str">
        <f>IF(CALC_EPM!$B340="","",CALC_EPM!H340)</f>
      </c>
      <c r="I351" s="11" t="str">
        <f>IF(CALC_EPM!$B340="","",CALC_EPM!I340)</f>
      </c>
      <c r="J351" t="str">
        <f>IF(CALC_EPM!$B340="","",CALC_EPM!J340)</f>
      </c>
      <c r="K351" t="str">
        <f>IF(CALC_EPM!$B340="","",CALC_EPM!K340)</f>
      </c>
      <c r="L351">
        <f>IF(CALC_EPM!$B340="","",CALC_EPM!L340)</f>
      </c>
      <c r="M351">
        <f>IF(CALC_EPM!$B340="","",CALC_EPM!M340)</f>
      </c>
      <c r="N351">
        <f>IF(CALC_EPM!$B340="","",CALC_EPM!N340)</f>
      </c>
      <c r="O351">
        <f>IF(CALC_EPM!$B340="","",CALC_EPM!O340)</f>
      </c>
      <c r="P351">
        <f>IF(CALC_EPM!$B340="","",CALC_EPM!P340)</f>
      </c>
      <c r="Q351">
        <f>IF(CALC_EPM!$B340="","",CALC_EPM!Q340)</f>
      </c>
      <c r="R351">
        <f>IF(CALC_EPM!$B340="","",CALC_EPM!R340)</f>
      </c>
      <c r="S351">
        <f>IF(CALC_EPM!$B340="","",CALC_EPM!S340)</f>
      </c>
      <c r="T351">
        <f>IF(CALC_EPM!$B340="","",CALC_EPM!T340)</f>
      </c>
      <c r="U351">
        <f>IF(CALC_EPM!$B340="","",CALC_EPM!U340)</f>
      </c>
    </row>
    <row r="352">
      <c r="A352" t="str">
        <f>IF(CALC_EPM!$B341="","",IF(CALC_EPM!A341="GLOBAL",IF(CALC_EPM!C341="Total","GLOBAL",IF(CALC_EPM!C341="TotalEsp","GLOBAL_ESP",IF(CALC_EPM!C341="TotalNoEsp","GLOBAL_NOESP","GLOBAL_ASIG"))),IF(CALC_EPM!C341="Total","CURSO_TOTAL",IF(CALC_EPM!C341="TotalEsp","CURSO_ESP",IF(CALC_EPM!C341="TotalNoEsp","CURSO_NOESP","CURSO_ASIG")))))</f>
      </c>
      <c r="B352" t="str">
        <f>IF(CALC_EPM!$B341="","",CALC_EPM!A341)</f>
      </c>
      <c r="C352" t="str">
        <f>IF(CALC_EPM!$B341="","",CALC_EPM!B341)</f>
      </c>
      <c r="D352">
        <f>IF(CALC_EPM!$B341="","",CALC_EPM!D341)</f>
      </c>
      <c r="E352" s="10" t="str">
        <f>IF(CALC_EPM!$B341="","",CALC_EPM!E341)</f>
      </c>
      <c r="F352" s="10" t="str">
        <f>IF(CALC_EPM!$B341="","",CALC_EPM!F341)</f>
      </c>
      <c r="G352" t="str">
        <f>IF(CALC_EPM!$B341="","",CALC_EPM!G341)</f>
      </c>
      <c r="H352" s="11" t="str">
        <f>IF(CALC_EPM!$B341="","",CALC_EPM!H341)</f>
      </c>
      <c r="I352" s="11" t="str">
        <f>IF(CALC_EPM!$B341="","",CALC_EPM!I341)</f>
      </c>
      <c r="J352" t="str">
        <f>IF(CALC_EPM!$B341="","",CALC_EPM!J341)</f>
      </c>
      <c r="K352" t="str">
        <f>IF(CALC_EPM!$B341="","",CALC_EPM!K341)</f>
      </c>
      <c r="L352">
        <f>IF(CALC_EPM!$B341="","",CALC_EPM!L341)</f>
      </c>
      <c r="M352">
        <f>IF(CALC_EPM!$B341="","",CALC_EPM!M341)</f>
      </c>
      <c r="N352">
        <f>IF(CALC_EPM!$B341="","",CALC_EPM!N341)</f>
      </c>
      <c r="O352">
        <f>IF(CALC_EPM!$B341="","",CALC_EPM!O341)</f>
      </c>
      <c r="P352">
        <f>IF(CALC_EPM!$B341="","",CALC_EPM!P341)</f>
      </c>
      <c r="Q352">
        <f>IF(CALC_EPM!$B341="","",CALC_EPM!Q341)</f>
      </c>
      <c r="R352">
        <f>IF(CALC_EPM!$B341="","",CALC_EPM!R341)</f>
      </c>
      <c r="S352">
        <f>IF(CALC_EPM!$B341="","",CALC_EPM!S341)</f>
      </c>
      <c r="T352">
        <f>IF(CALC_EPM!$B341="","",CALC_EPM!T341)</f>
      </c>
      <c r="U352">
        <f>IF(CALC_EPM!$B341="","",CALC_EPM!U341)</f>
      </c>
    </row>
    <row r="353">
      <c r="A353" t="str">
        <f>IF(CALC_EPM!$B342="","",IF(CALC_EPM!A342="GLOBAL",IF(CALC_EPM!C342="Total","GLOBAL",IF(CALC_EPM!C342="TotalEsp","GLOBAL_ESP",IF(CALC_EPM!C342="TotalNoEsp","GLOBAL_NOESP","GLOBAL_ASIG"))),IF(CALC_EPM!C342="Total","CURSO_TOTAL",IF(CALC_EPM!C342="TotalEsp","CURSO_ESP",IF(CALC_EPM!C342="TotalNoEsp","CURSO_NOESP","CURSO_ASIG")))))</f>
      </c>
      <c r="B353" t="str">
        <f>IF(CALC_EPM!$B342="","",CALC_EPM!A342)</f>
      </c>
      <c r="C353" t="str">
        <f>IF(CALC_EPM!$B342="","",CALC_EPM!B342)</f>
      </c>
      <c r="D353">
        <f>IF(CALC_EPM!$B342="","",CALC_EPM!D342)</f>
      </c>
      <c r="E353" s="10" t="str">
        <f>IF(CALC_EPM!$B342="","",CALC_EPM!E342)</f>
      </c>
      <c r="F353" s="10" t="str">
        <f>IF(CALC_EPM!$B342="","",CALC_EPM!F342)</f>
      </c>
      <c r="G353" t="str">
        <f>IF(CALC_EPM!$B342="","",CALC_EPM!G342)</f>
      </c>
      <c r="H353" s="11" t="str">
        <f>IF(CALC_EPM!$B342="","",CALC_EPM!H342)</f>
      </c>
      <c r="I353" s="11" t="str">
        <f>IF(CALC_EPM!$B342="","",CALC_EPM!I342)</f>
      </c>
      <c r="J353" t="str">
        <f>IF(CALC_EPM!$B342="","",CALC_EPM!J342)</f>
      </c>
      <c r="K353" t="str">
        <f>IF(CALC_EPM!$B342="","",CALC_EPM!K342)</f>
      </c>
      <c r="L353">
        <f>IF(CALC_EPM!$B342="","",CALC_EPM!L342)</f>
      </c>
      <c r="M353">
        <f>IF(CALC_EPM!$B342="","",CALC_EPM!M342)</f>
      </c>
      <c r="N353">
        <f>IF(CALC_EPM!$B342="","",CALC_EPM!N342)</f>
      </c>
      <c r="O353">
        <f>IF(CALC_EPM!$B342="","",CALC_EPM!O342)</f>
      </c>
      <c r="P353">
        <f>IF(CALC_EPM!$B342="","",CALC_EPM!P342)</f>
      </c>
      <c r="Q353">
        <f>IF(CALC_EPM!$B342="","",CALC_EPM!Q342)</f>
      </c>
      <c r="R353">
        <f>IF(CALC_EPM!$B342="","",CALC_EPM!R342)</f>
      </c>
      <c r="S353">
        <f>IF(CALC_EPM!$B342="","",CALC_EPM!S342)</f>
      </c>
      <c r="T353">
        <f>IF(CALC_EPM!$B342="","",CALC_EPM!T342)</f>
      </c>
      <c r="U353">
        <f>IF(CALC_EPM!$B342="","",CALC_EPM!U342)</f>
      </c>
    </row>
    <row r="354">
      <c r="A354" t="str">
        <f>IF(CALC_EPM!$B343="","",IF(CALC_EPM!A343="GLOBAL",IF(CALC_EPM!C343="Total","GLOBAL",IF(CALC_EPM!C343="TotalEsp","GLOBAL_ESP",IF(CALC_EPM!C343="TotalNoEsp","GLOBAL_NOESP","GLOBAL_ASIG"))),IF(CALC_EPM!C343="Total","CURSO_TOTAL",IF(CALC_EPM!C343="TotalEsp","CURSO_ESP",IF(CALC_EPM!C343="TotalNoEsp","CURSO_NOESP","CURSO_ASIG")))))</f>
      </c>
      <c r="B354" t="str">
        <f>IF(CALC_EPM!$B343="","",CALC_EPM!A343)</f>
      </c>
      <c r="C354" t="str">
        <f>IF(CALC_EPM!$B343="","",CALC_EPM!B343)</f>
      </c>
      <c r="D354">
        <f>IF(CALC_EPM!$B343="","",CALC_EPM!D343)</f>
      </c>
      <c r="E354" s="10" t="str">
        <f>IF(CALC_EPM!$B343="","",CALC_EPM!E343)</f>
      </c>
      <c r="F354" s="10" t="str">
        <f>IF(CALC_EPM!$B343="","",CALC_EPM!F343)</f>
      </c>
      <c r="G354" t="str">
        <f>IF(CALC_EPM!$B343="","",CALC_EPM!G343)</f>
      </c>
      <c r="H354" s="11" t="str">
        <f>IF(CALC_EPM!$B343="","",CALC_EPM!H343)</f>
      </c>
      <c r="I354" s="11" t="str">
        <f>IF(CALC_EPM!$B343="","",CALC_EPM!I343)</f>
      </c>
      <c r="J354" t="str">
        <f>IF(CALC_EPM!$B343="","",CALC_EPM!J343)</f>
      </c>
      <c r="K354" t="str">
        <f>IF(CALC_EPM!$B343="","",CALC_EPM!K343)</f>
      </c>
      <c r="L354">
        <f>IF(CALC_EPM!$B343="","",CALC_EPM!L343)</f>
      </c>
      <c r="M354">
        <f>IF(CALC_EPM!$B343="","",CALC_EPM!M343)</f>
      </c>
      <c r="N354">
        <f>IF(CALC_EPM!$B343="","",CALC_EPM!N343)</f>
      </c>
      <c r="O354">
        <f>IF(CALC_EPM!$B343="","",CALC_EPM!O343)</f>
      </c>
      <c r="P354">
        <f>IF(CALC_EPM!$B343="","",CALC_EPM!P343)</f>
      </c>
      <c r="Q354">
        <f>IF(CALC_EPM!$B343="","",CALC_EPM!Q343)</f>
      </c>
      <c r="R354">
        <f>IF(CALC_EPM!$B343="","",CALC_EPM!R343)</f>
      </c>
      <c r="S354">
        <f>IF(CALC_EPM!$B343="","",CALC_EPM!S343)</f>
      </c>
      <c r="T354">
        <f>IF(CALC_EPM!$B343="","",CALC_EPM!T343)</f>
      </c>
      <c r="U354">
        <f>IF(CALC_EPM!$B343="","",CALC_EPM!U343)</f>
      </c>
    </row>
    <row r="355">
      <c r="A355" t="str">
        <f>IF(CALC_EPM!$B344="","",IF(CALC_EPM!A344="GLOBAL",IF(CALC_EPM!C344="Total","GLOBAL",IF(CALC_EPM!C344="TotalEsp","GLOBAL_ESP",IF(CALC_EPM!C344="TotalNoEsp","GLOBAL_NOESP","GLOBAL_ASIG"))),IF(CALC_EPM!C344="Total","CURSO_TOTAL",IF(CALC_EPM!C344="TotalEsp","CURSO_ESP",IF(CALC_EPM!C344="TotalNoEsp","CURSO_NOESP","CURSO_ASIG")))))</f>
      </c>
      <c r="B355" t="str">
        <f>IF(CALC_EPM!$B344="","",CALC_EPM!A344)</f>
      </c>
      <c r="C355" t="str">
        <f>IF(CALC_EPM!$B344="","",CALC_EPM!B344)</f>
      </c>
      <c r="D355">
        <f>IF(CALC_EPM!$B344="","",CALC_EPM!D344)</f>
      </c>
      <c r="E355" s="10" t="str">
        <f>IF(CALC_EPM!$B344="","",CALC_EPM!E344)</f>
      </c>
      <c r="F355" s="10" t="str">
        <f>IF(CALC_EPM!$B344="","",CALC_EPM!F344)</f>
      </c>
      <c r="G355" t="str">
        <f>IF(CALC_EPM!$B344="","",CALC_EPM!G344)</f>
      </c>
      <c r="H355" s="11" t="str">
        <f>IF(CALC_EPM!$B344="","",CALC_EPM!H344)</f>
      </c>
      <c r="I355" s="11" t="str">
        <f>IF(CALC_EPM!$B344="","",CALC_EPM!I344)</f>
      </c>
      <c r="J355" t="str">
        <f>IF(CALC_EPM!$B344="","",CALC_EPM!J344)</f>
      </c>
      <c r="K355" t="str">
        <f>IF(CALC_EPM!$B344="","",CALC_EPM!K344)</f>
      </c>
      <c r="L355">
        <f>IF(CALC_EPM!$B344="","",CALC_EPM!L344)</f>
      </c>
      <c r="M355">
        <f>IF(CALC_EPM!$B344="","",CALC_EPM!M344)</f>
      </c>
      <c r="N355">
        <f>IF(CALC_EPM!$B344="","",CALC_EPM!N344)</f>
      </c>
      <c r="O355">
        <f>IF(CALC_EPM!$B344="","",CALC_EPM!O344)</f>
      </c>
      <c r="P355">
        <f>IF(CALC_EPM!$B344="","",CALC_EPM!P344)</f>
      </c>
      <c r="Q355">
        <f>IF(CALC_EPM!$B344="","",CALC_EPM!Q344)</f>
      </c>
      <c r="R355">
        <f>IF(CALC_EPM!$B344="","",CALC_EPM!R344)</f>
      </c>
      <c r="S355">
        <f>IF(CALC_EPM!$B344="","",CALC_EPM!S344)</f>
      </c>
      <c r="T355">
        <f>IF(CALC_EPM!$B344="","",CALC_EPM!T344)</f>
      </c>
      <c r="U355">
        <f>IF(CALC_EPM!$B344="","",CALC_EPM!U344)</f>
      </c>
    </row>
    <row r="356">
      <c r="A356" t="str">
        <f>IF(CALC_EPM!$B345="","",IF(CALC_EPM!A345="GLOBAL",IF(CALC_EPM!C345="Total","GLOBAL",IF(CALC_EPM!C345="TotalEsp","GLOBAL_ESP",IF(CALC_EPM!C345="TotalNoEsp","GLOBAL_NOESP","GLOBAL_ASIG"))),IF(CALC_EPM!C345="Total","CURSO_TOTAL",IF(CALC_EPM!C345="TotalEsp","CURSO_ESP",IF(CALC_EPM!C345="TotalNoEsp","CURSO_NOESP","CURSO_ASIG")))))</f>
      </c>
      <c r="B356" t="str">
        <f>IF(CALC_EPM!$B345="","",CALC_EPM!A345)</f>
      </c>
      <c r="C356" t="str">
        <f>IF(CALC_EPM!$B345="","",CALC_EPM!B345)</f>
      </c>
      <c r="D356">
        <f>IF(CALC_EPM!$B345="","",CALC_EPM!D345)</f>
      </c>
      <c r="E356" s="10" t="str">
        <f>IF(CALC_EPM!$B345="","",CALC_EPM!E345)</f>
      </c>
      <c r="F356" s="10" t="str">
        <f>IF(CALC_EPM!$B345="","",CALC_EPM!F345)</f>
      </c>
      <c r="G356" t="str">
        <f>IF(CALC_EPM!$B345="","",CALC_EPM!G345)</f>
      </c>
      <c r="H356" s="11" t="str">
        <f>IF(CALC_EPM!$B345="","",CALC_EPM!H345)</f>
      </c>
      <c r="I356" s="11" t="str">
        <f>IF(CALC_EPM!$B345="","",CALC_EPM!I345)</f>
      </c>
      <c r="J356" t="str">
        <f>IF(CALC_EPM!$B345="","",CALC_EPM!J345)</f>
      </c>
      <c r="K356" t="str">
        <f>IF(CALC_EPM!$B345="","",CALC_EPM!K345)</f>
      </c>
      <c r="L356">
        <f>IF(CALC_EPM!$B345="","",CALC_EPM!L345)</f>
      </c>
      <c r="M356">
        <f>IF(CALC_EPM!$B345="","",CALC_EPM!M345)</f>
      </c>
      <c r="N356">
        <f>IF(CALC_EPM!$B345="","",CALC_EPM!N345)</f>
      </c>
      <c r="O356">
        <f>IF(CALC_EPM!$B345="","",CALC_EPM!O345)</f>
      </c>
      <c r="P356">
        <f>IF(CALC_EPM!$B345="","",CALC_EPM!P345)</f>
      </c>
      <c r="Q356">
        <f>IF(CALC_EPM!$B345="","",CALC_EPM!Q345)</f>
      </c>
      <c r="R356">
        <f>IF(CALC_EPM!$B345="","",CALC_EPM!R345)</f>
      </c>
      <c r="S356">
        <f>IF(CALC_EPM!$B345="","",CALC_EPM!S345)</f>
      </c>
      <c r="T356">
        <f>IF(CALC_EPM!$B345="","",CALC_EPM!T345)</f>
      </c>
      <c r="U356">
        <f>IF(CALC_EPM!$B345="","",CALC_EPM!U345)</f>
      </c>
    </row>
    <row r="357">
      <c r="A357" t="str">
        <f>IF(CALC_EPM!$B346="","",IF(CALC_EPM!A346="GLOBAL",IF(CALC_EPM!C346="Total","GLOBAL",IF(CALC_EPM!C346="TotalEsp","GLOBAL_ESP",IF(CALC_EPM!C346="TotalNoEsp","GLOBAL_NOESP","GLOBAL_ASIG"))),IF(CALC_EPM!C346="Total","CURSO_TOTAL",IF(CALC_EPM!C346="TotalEsp","CURSO_ESP",IF(CALC_EPM!C346="TotalNoEsp","CURSO_NOESP","CURSO_ASIG")))))</f>
      </c>
      <c r="B357" t="str">
        <f>IF(CALC_EPM!$B346="","",CALC_EPM!A346)</f>
      </c>
      <c r="C357" t="str">
        <f>IF(CALC_EPM!$B346="","",CALC_EPM!B346)</f>
      </c>
      <c r="D357">
        <f>IF(CALC_EPM!$B346="","",CALC_EPM!D346)</f>
      </c>
      <c r="E357" s="10" t="str">
        <f>IF(CALC_EPM!$B346="","",CALC_EPM!E346)</f>
      </c>
      <c r="F357" s="10" t="str">
        <f>IF(CALC_EPM!$B346="","",CALC_EPM!F346)</f>
      </c>
      <c r="G357" t="str">
        <f>IF(CALC_EPM!$B346="","",CALC_EPM!G346)</f>
      </c>
      <c r="H357" s="11" t="str">
        <f>IF(CALC_EPM!$B346="","",CALC_EPM!H346)</f>
      </c>
      <c r="I357" s="11" t="str">
        <f>IF(CALC_EPM!$B346="","",CALC_EPM!I346)</f>
      </c>
      <c r="J357" t="str">
        <f>IF(CALC_EPM!$B346="","",CALC_EPM!J346)</f>
      </c>
      <c r="K357" t="str">
        <f>IF(CALC_EPM!$B346="","",CALC_EPM!K346)</f>
      </c>
      <c r="L357">
        <f>IF(CALC_EPM!$B346="","",CALC_EPM!L346)</f>
      </c>
      <c r="M357">
        <f>IF(CALC_EPM!$B346="","",CALC_EPM!M346)</f>
      </c>
      <c r="N357">
        <f>IF(CALC_EPM!$B346="","",CALC_EPM!N346)</f>
      </c>
      <c r="O357">
        <f>IF(CALC_EPM!$B346="","",CALC_EPM!O346)</f>
      </c>
      <c r="P357">
        <f>IF(CALC_EPM!$B346="","",CALC_EPM!P346)</f>
      </c>
      <c r="Q357">
        <f>IF(CALC_EPM!$B346="","",CALC_EPM!Q346)</f>
      </c>
      <c r="R357">
        <f>IF(CALC_EPM!$B346="","",CALC_EPM!R346)</f>
      </c>
      <c r="S357">
        <f>IF(CALC_EPM!$B346="","",CALC_EPM!S346)</f>
      </c>
      <c r="T357">
        <f>IF(CALC_EPM!$B346="","",CALC_EPM!T346)</f>
      </c>
      <c r="U357">
        <f>IF(CALC_EPM!$B346="","",CALC_EPM!U346)</f>
      </c>
    </row>
    <row r="358">
      <c r="A358" t="str">
        <f>IF(CALC_EPM!$B347="","",IF(CALC_EPM!A347="GLOBAL",IF(CALC_EPM!C347="Total","GLOBAL",IF(CALC_EPM!C347="TotalEsp","GLOBAL_ESP",IF(CALC_EPM!C347="TotalNoEsp","GLOBAL_NOESP","GLOBAL_ASIG"))),IF(CALC_EPM!C347="Total","CURSO_TOTAL",IF(CALC_EPM!C347="TotalEsp","CURSO_ESP",IF(CALC_EPM!C347="TotalNoEsp","CURSO_NOESP","CURSO_ASIG")))))</f>
      </c>
      <c r="B358" t="str">
        <f>IF(CALC_EPM!$B347="","",CALC_EPM!A347)</f>
      </c>
      <c r="C358" t="str">
        <f>IF(CALC_EPM!$B347="","",CALC_EPM!B347)</f>
      </c>
      <c r="D358">
        <f>IF(CALC_EPM!$B347="","",CALC_EPM!D347)</f>
      </c>
      <c r="E358" s="10" t="str">
        <f>IF(CALC_EPM!$B347="","",CALC_EPM!E347)</f>
      </c>
      <c r="F358" s="10" t="str">
        <f>IF(CALC_EPM!$B347="","",CALC_EPM!F347)</f>
      </c>
      <c r="G358" t="str">
        <f>IF(CALC_EPM!$B347="","",CALC_EPM!G347)</f>
      </c>
      <c r="H358" s="11" t="str">
        <f>IF(CALC_EPM!$B347="","",CALC_EPM!H347)</f>
      </c>
      <c r="I358" s="11" t="str">
        <f>IF(CALC_EPM!$B347="","",CALC_EPM!I347)</f>
      </c>
      <c r="J358" t="str">
        <f>IF(CALC_EPM!$B347="","",CALC_EPM!J347)</f>
      </c>
      <c r="K358" t="str">
        <f>IF(CALC_EPM!$B347="","",CALC_EPM!K347)</f>
      </c>
      <c r="L358">
        <f>IF(CALC_EPM!$B347="","",CALC_EPM!L347)</f>
      </c>
      <c r="M358">
        <f>IF(CALC_EPM!$B347="","",CALC_EPM!M347)</f>
      </c>
      <c r="N358">
        <f>IF(CALC_EPM!$B347="","",CALC_EPM!N347)</f>
      </c>
      <c r="O358">
        <f>IF(CALC_EPM!$B347="","",CALC_EPM!O347)</f>
      </c>
      <c r="P358">
        <f>IF(CALC_EPM!$B347="","",CALC_EPM!P347)</f>
      </c>
      <c r="Q358">
        <f>IF(CALC_EPM!$B347="","",CALC_EPM!Q347)</f>
      </c>
      <c r="R358">
        <f>IF(CALC_EPM!$B347="","",CALC_EPM!R347)</f>
      </c>
      <c r="S358">
        <f>IF(CALC_EPM!$B347="","",CALC_EPM!S347)</f>
      </c>
      <c r="T358">
        <f>IF(CALC_EPM!$B347="","",CALC_EPM!T347)</f>
      </c>
      <c r="U358">
        <f>IF(CALC_EPM!$B347="","",CALC_EPM!U347)</f>
      </c>
    </row>
    <row r="359">
      <c r="A359" t="str">
        <f>IF(CALC_EPM!$B348="","",IF(CALC_EPM!A348="GLOBAL",IF(CALC_EPM!C348="Total","GLOBAL",IF(CALC_EPM!C348="TotalEsp","GLOBAL_ESP",IF(CALC_EPM!C348="TotalNoEsp","GLOBAL_NOESP","GLOBAL_ASIG"))),IF(CALC_EPM!C348="Total","CURSO_TOTAL",IF(CALC_EPM!C348="TotalEsp","CURSO_ESP",IF(CALC_EPM!C348="TotalNoEsp","CURSO_NOESP","CURSO_ASIG")))))</f>
      </c>
      <c r="B359" t="str">
        <f>IF(CALC_EPM!$B348="","",CALC_EPM!A348)</f>
      </c>
      <c r="C359" t="str">
        <f>IF(CALC_EPM!$B348="","",CALC_EPM!B348)</f>
      </c>
      <c r="D359">
        <f>IF(CALC_EPM!$B348="","",CALC_EPM!D348)</f>
      </c>
      <c r="E359" s="10" t="str">
        <f>IF(CALC_EPM!$B348="","",CALC_EPM!E348)</f>
      </c>
      <c r="F359" s="10" t="str">
        <f>IF(CALC_EPM!$B348="","",CALC_EPM!F348)</f>
      </c>
      <c r="G359" t="str">
        <f>IF(CALC_EPM!$B348="","",CALC_EPM!G348)</f>
      </c>
      <c r="H359" s="11" t="str">
        <f>IF(CALC_EPM!$B348="","",CALC_EPM!H348)</f>
      </c>
      <c r="I359" s="11" t="str">
        <f>IF(CALC_EPM!$B348="","",CALC_EPM!I348)</f>
      </c>
      <c r="J359" t="str">
        <f>IF(CALC_EPM!$B348="","",CALC_EPM!J348)</f>
      </c>
      <c r="K359" t="str">
        <f>IF(CALC_EPM!$B348="","",CALC_EPM!K348)</f>
      </c>
      <c r="L359">
        <f>IF(CALC_EPM!$B348="","",CALC_EPM!L348)</f>
      </c>
      <c r="M359">
        <f>IF(CALC_EPM!$B348="","",CALC_EPM!M348)</f>
      </c>
      <c r="N359">
        <f>IF(CALC_EPM!$B348="","",CALC_EPM!N348)</f>
      </c>
      <c r="O359">
        <f>IF(CALC_EPM!$B348="","",CALC_EPM!O348)</f>
      </c>
      <c r="P359">
        <f>IF(CALC_EPM!$B348="","",CALC_EPM!P348)</f>
      </c>
      <c r="Q359">
        <f>IF(CALC_EPM!$B348="","",CALC_EPM!Q348)</f>
      </c>
      <c r="R359">
        <f>IF(CALC_EPM!$B348="","",CALC_EPM!R348)</f>
      </c>
      <c r="S359">
        <f>IF(CALC_EPM!$B348="","",CALC_EPM!S348)</f>
      </c>
      <c r="T359">
        <f>IF(CALC_EPM!$B348="","",CALC_EPM!T348)</f>
      </c>
      <c r="U359">
        <f>IF(CALC_EPM!$B348="","",CALC_EPM!U348)</f>
      </c>
    </row>
    <row r="360">
      <c r="A360" t="str">
        <f>IF(CALC_EPM!$B349="","",IF(CALC_EPM!A349="GLOBAL",IF(CALC_EPM!C349="Total","GLOBAL",IF(CALC_EPM!C349="TotalEsp","GLOBAL_ESP",IF(CALC_EPM!C349="TotalNoEsp","GLOBAL_NOESP","GLOBAL_ASIG"))),IF(CALC_EPM!C349="Total","CURSO_TOTAL",IF(CALC_EPM!C349="TotalEsp","CURSO_ESP",IF(CALC_EPM!C349="TotalNoEsp","CURSO_NOESP","CURSO_ASIG")))))</f>
      </c>
      <c r="B360" t="str">
        <f>IF(CALC_EPM!$B349="","",CALC_EPM!A349)</f>
      </c>
      <c r="C360" t="str">
        <f>IF(CALC_EPM!$B349="","",CALC_EPM!B349)</f>
      </c>
      <c r="D360">
        <f>IF(CALC_EPM!$B349="","",CALC_EPM!D349)</f>
      </c>
      <c r="E360" s="10" t="str">
        <f>IF(CALC_EPM!$B349="","",CALC_EPM!E349)</f>
      </c>
      <c r="F360" s="10" t="str">
        <f>IF(CALC_EPM!$B349="","",CALC_EPM!F349)</f>
      </c>
      <c r="G360" t="str">
        <f>IF(CALC_EPM!$B349="","",CALC_EPM!G349)</f>
      </c>
      <c r="H360" s="11" t="str">
        <f>IF(CALC_EPM!$B349="","",CALC_EPM!H349)</f>
      </c>
      <c r="I360" s="11" t="str">
        <f>IF(CALC_EPM!$B349="","",CALC_EPM!I349)</f>
      </c>
      <c r="J360" t="str">
        <f>IF(CALC_EPM!$B349="","",CALC_EPM!J349)</f>
      </c>
      <c r="K360" t="str">
        <f>IF(CALC_EPM!$B349="","",CALC_EPM!K349)</f>
      </c>
      <c r="L360">
        <f>IF(CALC_EPM!$B349="","",CALC_EPM!L349)</f>
      </c>
      <c r="M360">
        <f>IF(CALC_EPM!$B349="","",CALC_EPM!M349)</f>
      </c>
      <c r="N360">
        <f>IF(CALC_EPM!$B349="","",CALC_EPM!N349)</f>
      </c>
      <c r="O360">
        <f>IF(CALC_EPM!$B349="","",CALC_EPM!O349)</f>
      </c>
      <c r="P360">
        <f>IF(CALC_EPM!$B349="","",CALC_EPM!P349)</f>
      </c>
      <c r="Q360">
        <f>IF(CALC_EPM!$B349="","",CALC_EPM!Q349)</f>
      </c>
      <c r="R360">
        <f>IF(CALC_EPM!$B349="","",CALC_EPM!R349)</f>
      </c>
      <c r="S360">
        <f>IF(CALC_EPM!$B349="","",CALC_EPM!S349)</f>
      </c>
      <c r="T360">
        <f>IF(CALC_EPM!$B349="","",CALC_EPM!T349)</f>
      </c>
      <c r="U360">
        <f>IF(CALC_EPM!$B349="","",CALC_EPM!U349)</f>
      </c>
    </row>
    <row r="361">
      <c r="A361" t="str">
        <f>IF(CALC_EPM!$B350="","",IF(CALC_EPM!A350="GLOBAL",IF(CALC_EPM!C350="Total","GLOBAL",IF(CALC_EPM!C350="TotalEsp","GLOBAL_ESP",IF(CALC_EPM!C350="TotalNoEsp","GLOBAL_NOESP","GLOBAL_ASIG"))),IF(CALC_EPM!C350="Total","CURSO_TOTAL",IF(CALC_EPM!C350="TotalEsp","CURSO_ESP",IF(CALC_EPM!C350="TotalNoEsp","CURSO_NOESP","CURSO_ASIG")))))</f>
      </c>
      <c r="B361" t="str">
        <f>IF(CALC_EPM!$B350="","",CALC_EPM!A350)</f>
      </c>
      <c r="C361" t="str">
        <f>IF(CALC_EPM!$B350="","",CALC_EPM!B350)</f>
      </c>
      <c r="D361">
        <f>IF(CALC_EPM!$B350="","",CALC_EPM!D350)</f>
      </c>
      <c r="E361" s="10" t="str">
        <f>IF(CALC_EPM!$B350="","",CALC_EPM!E350)</f>
      </c>
      <c r="F361" s="10" t="str">
        <f>IF(CALC_EPM!$B350="","",CALC_EPM!F350)</f>
      </c>
      <c r="G361" t="str">
        <f>IF(CALC_EPM!$B350="","",CALC_EPM!G350)</f>
      </c>
      <c r="H361" s="11" t="str">
        <f>IF(CALC_EPM!$B350="","",CALC_EPM!H350)</f>
      </c>
      <c r="I361" s="11" t="str">
        <f>IF(CALC_EPM!$B350="","",CALC_EPM!I350)</f>
      </c>
      <c r="J361" t="str">
        <f>IF(CALC_EPM!$B350="","",CALC_EPM!J350)</f>
      </c>
      <c r="K361" t="str">
        <f>IF(CALC_EPM!$B350="","",CALC_EPM!K350)</f>
      </c>
      <c r="L361">
        <f>IF(CALC_EPM!$B350="","",CALC_EPM!L350)</f>
      </c>
      <c r="M361">
        <f>IF(CALC_EPM!$B350="","",CALC_EPM!M350)</f>
      </c>
      <c r="N361">
        <f>IF(CALC_EPM!$B350="","",CALC_EPM!N350)</f>
      </c>
      <c r="O361">
        <f>IF(CALC_EPM!$B350="","",CALC_EPM!O350)</f>
      </c>
      <c r="P361">
        <f>IF(CALC_EPM!$B350="","",CALC_EPM!P350)</f>
      </c>
      <c r="Q361">
        <f>IF(CALC_EPM!$B350="","",CALC_EPM!Q350)</f>
      </c>
      <c r="R361">
        <f>IF(CALC_EPM!$B350="","",CALC_EPM!R350)</f>
      </c>
      <c r="S361">
        <f>IF(CALC_EPM!$B350="","",CALC_EPM!S350)</f>
      </c>
      <c r="T361">
        <f>IF(CALC_EPM!$B350="","",CALC_EPM!T350)</f>
      </c>
      <c r="U361">
        <f>IF(CALC_EPM!$B350="","",CALC_EPM!U350)</f>
      </c>
    </row>
    <row r="362">
      <c r="A362" t="str">
        <f>IF(CALC_EPM!$B351="","",IF(CALC_EPM!A351="GLOBAL",IF(CALC_EPM!C351="Total","GLOBAL",IF(CALC_EPM!C351="TotalEsp","GLOBAL_ESP",IF(CALC_EPM!C351="TotalNoEsp","GLOBAL_NOESP","GLOBAL_ASIG"))),IF(CALC_EPM!C351="Total","CURSO_TOTAL",IF(CALC_EPM!C351="TotalEsp","CURSO_ESP",IF(CALC_EPM!C351="TotalNoEsp","CURSO_NOESP","CURSO_ASIG")))))</f>
      </c>
      <c r="B362" t="str">
        <f>IF(CALC_EPM!$B351="","",CALC_EPM!A351)</f>
      </c>
      <c r="C362" t="str">
        <f>IF(CALC_EPM!$B351="","",CALC_EPM!B351)</f>
      </c>
      <c r="D362">
        <f>IF(CALC_EPM!$B351="","",CALC_EPM!D351)</f>
      </c>
      <c r="E362" s="10" t="str">
        <f>IF(CALC_EPM!$B351="","",CALC_EPM!E351)</f>
      </c>
      <c r="F362" s="10" t="str">
        <f>IF(CALC_EPM!$B351="","",CALC_EPM!F351)</f>
      </c>
      <c r="G362" t="str">
        <f>IF(CALC_EPM!$B351="","",CALC_EPM!G351)</f>
      </c>
      <c r="H362" s="11" t="str">
        <f>IF(CALC_EPM!$B351="","",CALC_EPM!H351)</f>
      </c>
      <c r="I362" s="11" t="str">
        <f>IF(CALC_EPM!$B351="","",CALC_EPM!I351)</f>
      </c>
      <c r="J362" t="str">
        <f>IF(CALC_EPM!$B351="","",CALC_EPM!J351)</f>
      </c>
      <c r="K362" t="str">
        <f>IF(CALC_EPM!$B351="","",CALC_EPM!K351)</f>
      </c>
      <c r="L362">
        <f>IF(CALC_EPM!$B351="","",CALC_EPM!L351)</f>
      </c>
      <c r="M362">
        <f>IF(CALC_EPM!$B351="","",CALC_EPM!M351)</f>
      </c>
      <c r="N362">
        <f>IF(CALC_EPM!$B351="","",CALC_EPM!N351)</f>
      </c>
      <c r="O362">
        <f>IF(CALC_EPM!$B351="","",CALC_EPM!O351)</f>
      </c>
      <c r="P362">
        <f>IF(CALC_EPM!$B351="","",CALC_EPM!P351)</f>
      </c>
      <c r="Q362">
        <f>IF(CALC_EPM!$B351="","",CALC_EPM!Q351)</f>
      </c>
      <c r="R362">
        <f>IF(CALC_EPM!$B351="","",CALC_EPM!R351)</f>
      </c>
      <c r="S362">
        <f>IF(CALC_EPM!$B351="","",CALC_EPM!S351)</f>
      </c>
      <c r="T362">
        <f>IF(CALC_EPM!$B351="","",CALC_EPM!T351)</f>
      </c>
      <c r="U362">
        <f>IF(CALC_EPM!$B351="","",CALC_EPM!U351)</f>
      </c>
    </row>
    <row r="363">
      <c r="A363" t="str">
        <f>IF(CALC_EPM!$B352="","",IF(CALC_EPM!A352="GLOBAL",IF(CALC_EPM!C352="Total","GLOBAL",IF(CALC_EPM!C352="TotalEsp","GLOBAL_ESP",IF(CALC_EPM!C352="TotalNoEsp","GLOBAL_NOESP","GLOBAL_ASIG"))),IF(CALC_EPM!C352="Total","CURSO_TOTAL",IF(CALC_EPM!C352="TotalEsp","CURSO_ESP",IF(CALC_EPM!C352="TotalNoEsp","CURSO_NOESP","CURSO_ASIG")))))</f>
      </c>
      <c r="B363" t="str">
        <f>IF(CALC_EPM!$B352="","",CALC_EPM!A352)</f>
      </c>
      <c r="C363" t="str">
        <f>IF(CALC_EPM!$B352="","",CALC_EPM!B352)</f>
      </c>
      <c r="D363">
        <f>IF(CALC_EPM!$B352="","",CALC_EPM!D352)</f>
      </c>
      <c r="E363" s="10" t="str">
        <f>IF(CALC_EPM!$B352="","",CALC_EPM!E352)</f>
      </c>
      <c r="F363" s="10" t="str">
        <f>IF(CALC_EPM!$B352="","",CALC_EPM!F352)</f>
      </c>
      <c r="G363" t="str">
        <f>IF(CALC_EPM!$B352="","",CALC_EPM!G352)</f>
      </c>
      <c r="H363" s="11" t="str">
        <f>IF(CALC_EPM!$B352="","",CALC_EPM!H352)</f>
      </c>
      <c r="I363" s="11" t="str">
        <f>IF(CALC_EPM!$B352="","",CALC_EPM!I352)</f>
      </c>
      <c r="J363" t="str">
        <f>IF(CALC_EPM!$B352="","",CALC_EPM!J352)</f>
      </c>
      <c r="K363" t="str">
        <f>IF(CALC_EPM!$B352="","",CALC_EPM!K352)</f>
      </c>
      <c r="L363">
        <f>IF(CALC_EPM!$B352="","",CALC_EPM!L352)</f>
      </c>
      <c r="M363">
        <f>IF(CALC_EPM!$B352="","",CALC_EPM!M352)</f>
      </c>
      <c r="N363">
        <f>IF(CALC_EPM!$B352="","",CALC_EPM!N352)</f>
      </c>
      <c r="O363">
        <f>IF(CALC_EPM!$B352="","",CALC_EPM!O352)</f>
      </c>
      <c r="P363">
        <f>IF(CALC_EPM!$B352="","",CALC_EPM!P352)</f>
      </c>
      <c r="Q363">
        <f>IF(CALC_EPM!$B352="","",CALC_EPM!Q352)</f>
      </c>
      <c r="R363">
        <f>IF(CALC_EPM!$B352="","",CALC_EPM!R352)</f>
      </c>
      <c r="S363">
        <f>IF(CALC_EPM!$B352="","",CALC_EPM!S352)</f>
      </c>
      <c r="T363">
        <f>IF(CALC_EPM!$B352="","",CALC_EPM!T352)</f>
      </c>
      <c r="U363">
        <f>IF(CALC_EPM!$B352="","",CALC_EPM!U352)</f>
      </c>
    </row>
    <row r="364">
      <c r="A364" t="str">
        <f>IF(CALC_EPM!$B353="","",IF(CALC_EPM!A353="GLOBAL",IF(CALC_EPM!C353="Total","GLOBAL",IF(CALC_EPM!C353="TotalEsp","GLOBAL_ESP",IF(CALC_EPM!C353="TotalNoEsp","GLOBAL_NOESP","GLOBAL_ASIG"))),IF(CALC_EPM!C353="Total","CURSO_TOTAL",IF(CALC_EPM!C353="TotalEsp","CURSO_ESP",IF(CALC_EPM!C353="TotalNoEsp","CURSO_NOESP","CURSO_ASIG")))))</f>
      </c>
      <c r="B364" t="str">
        <f>IF(CALC_EPM!$B353="","",CALC_EPM!A353)</f>
      </c>
      <c r="C364" t="str">
        <f>IF(CALC_EPM!$B353="","",CALC_EPM!B353)</f>
      </c>
      <c r="D364">
        <f>IF(CALC_EPM!$B353="","",CALC_EPM!D353)</f>
      </c>
      <c r="E364" s="10" t="str">
        <f>IF(CALC_EPM!$B353="","",CALC_EPM!E353)</f>
      </c>
      <c r="F364" s="10" t="str">
        <f>IF(CALC_EPM!$B353="","",CALC_EPM!F353)</f>
      </c>
      <c r="G364" t="str">
        <f>IF(CALC_EPM!$B353="","",CALC_EPM!G353)</f>
      </c>
      <c r="H364" s="11" t="str">
        <f>IF(CALC_EPM!$B353="","",CALC_EPM!H353)</f>
      </c>
      <c r="I364" s="11" t="str">
        <f>IF(CALC_EPM!$B353="","",CALC_EPM!I353)</f>
      </c>
      <c r="J364" t="str">
        <f>IF(CALC_EPM!$B353="","",CALC_EPM!J353)</f>
      </c>
      <c r="K364" t="str">
        <f>IF(CALC_EPM!$B353="","",CALC_EPM!K353)</f>
      </c>
      <c r="L364">
        <f>IF(CALC_EPM!$B353="","",CALC_EPM!L353)</f>
      </c>
      <c r="M364">
        <f>IF(CALC_EPM!$B353="","",CALC_EPM!M353)</f>
      </c>
      <c r="N364">
        <f>IF(CALC_EPM!$B353="","",CALC_EPM!N353)</f>
      </c>
      <c r="O364">
        <f>IF(CALC_EPM!$B353="","",CALC_EPM!O353)</f>
      </c>
      <c r="P364">
        <f>IF(CALC_EPM!$B353="","",CALC_EPM!P353)</f>
      </c>
      <c r="Q364">
        <f>IF(CALC_EPM!$B353="","",CALC_EPM!Q353)</f>
      </c>
      <c r="R364">
        <f>IF(CALC_EPM!$B353="","",CALC_EPM!R353)</f>
      </c>
      <c r="S364">
        <f>IF(CALC_EPM!$B353="","",CALC_EPM!S353)</f>
      </c>
      <c r="T364">
        <f>IF(CALC_EPM!$B353="","",CALC_EPM!T353)</f>
      </c>
      <c r="U364">
        <f>IF(CALC_EPM!$B353="","",CALC_EPM!U353)</f>
      </c>
    </row>
    <row r="365">
      <c r="A365" t="str">
        <f>IF(CALC_EPM!$B354="","",IF(CALC_EPM!A354="GLOBAL",IF(CALC_EPM!C354="Total","GLOBAL",IF(CALC_EPM!C354="TotalEsp","GLOBAL_ESP",IF(CALC_EPM!C354="TotalNoEsp","GLOBAL_NOESP","GLOBAL_ASIG"))),IF(CALC_EPM!C354="Total","CURSO_TOTAL",IF(CALC_EPM!C354="TotalEsp","CURSO_ESP",IF(CALC_EPM!C354="TotalNoEsp","CURSO_NOESP","CURSO_ASIG")))))</f>
      </c>
      <c r="B365" t="str">
        <f>IF(CALC_EPM!$B354="","",CALC_EPM!A354)</f>
      </c>
      <c r="C365" t="str">
        <f>IF(CALC_EPM!$B354="","",CALC_EPM!B354)</f>
      </c>
      <c r="D365">
        <f>IF(CALC_EPM!$B354="","",CALC_EPM!D354)</f>
      </c>
      <c r="E365" s="10" t="str">
        <f>IF(CALC_EPM!$B354="","",CALC_EPM!E354)</f>
      </c>
      <c r="F365" s="10" t="str">
        <f>IF(CALC_EPM!$B354="","",CALC_EPM!F354)</f>
      </c>
      <c r="G365" t="str">
        <f>IF(CALC_EPM!$B354="","",CALC_EPM!G354)</f>
      </c>
      <c r="H365" s="11" t="str">
        <f>IF(CALC_EPM!$B354="","",CALC_EPM!H354)</f>
      </c>
      <c r="I365" s="11" t="str">
        <f>IF(CALC_EPM!$B354="","",CALC_EPM!I354)</f>
      </c>
      <c r="J365" t="str">
        <f>IF(CALC_EPM!$B354="","",CALC_EPM!J354)</f>
      </c>
      <c r="K365" t="str">
        <f>IF(CALC_EPM!$B354="","",CALC_EPM!K354)</f>
      </c>
      <c r="L365">
        <f>IF(CALC_EPM!$B354="","",CALC_EPM!L354)</f>
      </c>
      <c r="M365">
        <f>IF(CALC_EPM!$B354="","",CALC_EPM!M354)</f>
      </c>
      <c r="N365">
        <f>IF(CALC_EPM!$B354="","",CALC_EPM!N354)</f>
      </c>
      <c r="O365">
        <f>IF(CALC_EPM!$B354="","",CALC_EPM!O354)</f>
      </c>
      <c r="P365">
        <f>IF(CALC_EPM!$B354="","",CALC_EPM!P354)</f>
      </c>
      <c r="Q365">
        <f>IF(CALC_EPM!$B354="","",CALC_EPM!Q354)</f>
      </c>
      <c r="R365">
        <f>IF(CALC_EPM!$B354="","",CALC_EPM!R354)</f>
      </c>
      <c r="S365">
        <f>IF(CALC_EPM!$B354="","",CALC_EPM!S354)</f>
      </c>
      <c r="T365">
        <f>IF(CALC_EPM!$B354="","",CALC_EPM!T354)</f>
      </c>
      <c r="U365">
        <f>IF(CALC_EPM!$B354="","",CALC_EPM!U354)</f>
      </c>
    </row>
    <row r="366">
      <c r="A366" t="str">
        <f>IF(CALC_EPM!$B355="","",IF(CALC_EPM!A355="GLOBAL",IF(CALC_EPM!C355="Total","GLOBAL",IF(CALC_EPM!C355="TotalEsp","GLOBAL_ESP",IF(CALC_EPM!C355="TotalNoEsp","GLOBAL_NOESP","GLOBAL_ASIG"))),IF(CALC_EPM!C355="Total","CURSO_TOTAL",IF(CALC_EPM!C355="TotalEsp","CURSO_ESP",IF(CALC_EPM!C355="TotalNoEsp","CURSO_NOESP","CURSO_ASIG")))))</f>
      </c>
      <c r="B366" t="str">
        <f>IF(CALC_EPM!$B355="","",CALC_EPM!A355)</f>
      </c>
      <c r="C366" t="str">
        <f>IF(CALC_EPM!$B355="","",CALC_EPM!B355)</f>
      </c>
      <c r="D366">
        <f>IF(CALC_EPM!$B355="","",CALC_EPM!D355)</f>
      </c>
      <c r="E366" s="10" t="str">
        <f>IF(CALC_EPM!$B355="","",CALC_EPM!E355)</f>
      </c>
      <c r="F366" s="10" t="str">
        <f>IF(CALC_EPM!$B355="","",CALC_EPM!F355)</f>
      </c>
      <c r="G366" t="str">
        <f>IF(CALC_EPM!$B355="","",CALC_EPM!G355)</f>
      </c>
      <c r="H366" s="11" t="str">
        <f>IF(CALC_EPM!$B355="","",CALC_EPM!H355)</f>
      </c>
      <c r="I366" s="11" t="str">
        <f>IF(CALC_EPM!$B355="","",CALC_EPM!I355)</f>
      </c>
      <c r="J366" t="str">
        <f>IF(CALC_EPM!$B355="","",CALC_EPM!J355)</f>
      </c>
      <c r="K366" t="str">
        <f>IF(CALC_EPM!$B355="","",CALC_EPM!K355)</f>
      </c>
      <c r="L366">
        <f>IF(CALC_EPM!$B355="","",CALC_EPM!L355)</f>
      </c>
      <c r="M366">
        <f>IF(CALC_EPM!$B355="","",CALC_EPM!M355)</f>
      </c>
      <c r="N366">
        <f>IF(CALC_EPM!$B355="","",CALC_EPM!N355)</f>
      </c>
      <c r="O366">
        <f>IF(CALC_EPM!$B355="","",CALC_EPM!O355)</f>
      </c>
      <c r="P366">
        <f>IF(CALC_EPM!$B355="","",CALC_EPM!P355)</f>
      </c>
      <c r="Q366">
        <f>IF(CALC_EPM!$B355="","",CALC_EPM!Q355)</f>
      </c>
      <c r="R366">
        <f>IF(CALC_EPM!$B355="","",CALC_EPM!R355)</f>
      </c>
      <c r="S366">
        <f>IF(CALC_EPM!$B355="","",CALC_EPM!S355)</f>
      </c>
      <c r="T366">
        <f>IF(CALC_EPM!$B355="","",CALC_EPM!T355)</f>
      </c>
      <c r="U366">
        <f>IF(CALC_EPM!$B355="","",CALC_EPM!U355)</f>
      </c>
    </row>
    <row r="367">
      <c r="A367" t="str">
        <f>IF(CALC_EPM!$B356="","",IF(CALC_EPM!A356="GLOBAL",IF(CALC_EPM!C356="Total","GLOBAL",IF(CALC_EPM!C356="TotalEsp","GLOBAL_ESP",IF(CALC_EPM!C356="TotalNoEsp","GLOBAL_NOESP","GLOBAL_ASIG"))),IF(CALC_EPM!C356="Total","CURSO_TOTAL",IF(CALC_EPM!C356="TotalEsp","CURSO_ESP",IF(CALC_EPM!C356="TotalNoEsp","CURSO_NOESP","CURSO_ASIG")))))</f>
      </c>
      <c r="B367" t="str">
        <f>IF(CALC_EPM!$B356="","",CALC_EPM!A356)</f>
      </c>
      <c r="C367" t="str">
        <f>IF(CALC_EPM!$B356="","",CALC_EPM!B356)</f>
      </c>
      <c r="D367">
        <f>IF(CALC_EPM!$B356="","",CALC_EPM!D356)</f>
      </c>
      <c r="E367" s="10" t="str">
        <f>IF(CALC_EPM!$B356="","",CALC_EPM!E356)</f>
      </c>
      <c r="F367" s="10" t="str">
        <f>IF(CALC_EPM!$B356="","",CALC_EPM!F356)</f>
      </c>
      <c r="G367" t="str">
        <f>IF(CALC_EPM!$B356="","",CALC_EPM!G356)</f>
      </c>
      <c r="H367" s="11" t="str">
        <f>IF(CALC_EPM!$B356="","",CALC_EPM!H356)</f>
      </c>
      <c r="I367" s="11" t="str">
        <f>IF(CALC_EPM!$B356="","",CALC_EPM!I356)</f>
      </c>
      <c r="J367" t="str">
        <f>IF(CALC_EPM!$B356="","",CALC_EPM!J356)</f>
      </c>
      <c r="K367" t="str">
        <f>IF(CALC_EPM!$B356="","",CALC_EPM!K356)</f>
      </c>
      <c r="L367">
        <f>IF(CALC_EPM!$B356="","",CALC_EPM!L356)</f>
      </c>
      <c r="M367">
        <f>IF(CALC_EPM!$B356="","",CALC_EPM!M356)</f>
      </c>
      <c r="N367">
        <f>IF(CALC_EPM!$B356="","",CALC_EPM!N356)</f>
      </c>
      <c r="O367">
        <f>IF(CALC_EPM!$B356="","",CALC_EPM!O356)</f>
      </c>
      <c r="P367">
        <f>IF(CALC_EPM!$B356="","",CALC_EPM!P356)</f>
      </c>
      <c r="Q367">
        <f>IF(CALC_EPM!$B356="","",CALC_EPM!Q356)</f>
      </c>
      <c r="R367">
        <f>IF(CALC_EPM!$B356="","",CALC_EPM!R356)</f>
      </c>
      <c r="S367">
        <f>IF(CALC_EPM!$B356="","",CALC_EPM!S356)</f>
      </c>
      <c r="T367">
        <f>IF(CALC_EPM!$B356="","",CALC_EPM!T356)</f>
      </c>
      <c r="U367">
        <f>IF(CALC_EPM!$B356="","",CALC_EPM!U356)</f>
      </c>
    </row>
    <row r="368">
      <c r="A368" t="str">
        <f>IF(CALC_EPM!$B357="","",IF(CALC_EPM!A357="GLOBAL",IF(CALC_EPM!C357="Total","GLOBAL",IF(CALC_EPM!C357="TotalEsp","GLOBAL_ESP",IF(CALC_EPM!C357="TotalNoEsp","GLOBAL_NOESP","GLOBAL_ASIG"))),IF(CALC_EPM!C357="Total","CURSO_TOTAL",IF(CALC_EPM!C357="TotalEsp","CURSO_ESP",IF(CALC_EPM!C357="TotalNoEsp","CURSO_NOESP","CURSO_ASIG")))))</f>
      </c>
      <c r="B368" t="str">
        <f>IF(CALC_EPM!$B357="","",CALC_EPM!A357)</f>
      </c>
      <c r="C368" t="str">
        <f>IF(CALC_EPM!$B357="","",CALC_EPM!B357)</f>
      </c>
      <c r="D368">
        <f>IF(CALC_EPM!$B357="","",CALC_EPM!D357)</f>
      </c>
      <c r="E368" s="10" t="str">
        <f>IF(CALC_EPM!$B357="","",CALC_EPM!E357)</f>
      </c>
      <c r="F368" s="10" t="str">
        <f>IF(CALC_EPM!$B357="","",CALC_EPM!F357)</f>
      </c>
      <c r="G368" t="str">
        <f>IF(CALC_EPM!$B357="","",CALC_EPM!G357)</f>
      </c>
      <c r="H368" s="11" t="str">
        <f>IF(CALC_EPM!$B357="","",CALC_EPM!H357)</f>
      </c>
      <c r="I368" s="11" t="str">
        <f>IF(CALC_EPM!$B357="","",CALC_EPM!I357)</f>
      </c>
      <c r="J368" t="str">
        <f>IF(CALC_EPM!$B357="","",CALC_EPM!J357)</f>
      </c>
      <c r="K368" t="str">
        <f>IF(CALC_EPM!$B357="","",CALC_EPM!K357)</f>
      </c>
      <c r="L368">
        <f>IF(CALC_EPM!$B357="","",CALC_EPM!L357)</f>
      </c>
      <c r="M368">
        <f>IF(CALC_EPM!$B357="","",CALC_EPM!M357)</f>
      </c>
      <c r="N368">
        <f>IF(CALC_EPM!$B357="","",CALC_EPM!N357)</f>
      </c>
      <c r="O368">
        <f>IF(CALC_EPM!$B357="","",CALC_EPM!O357)</f>
      </c>
      <c r="P368">
        <f>IF(CALC_EPM!$B357="","",CALC_EPM!P357)</f>
      </c>
      <c r="Q368">
        <f>IF(CALC_EPM!$B357="","",CALC_EPM!Q357)</f>
      </c>
      <c r="R368">
        <f>IF(CALC_EPM!$B357="","",CALC_EPM!R357)</f>
      </c>
      <c r="S368">
        <f>IF(CALC_EPM!$B357="","",CALC_EPM!S357)</f>
      </c>
      <c r="T368">
        <f>IF(CALC_EPM!$B357="","",CALC_EPM!T357)</f>
      </c>
      <c r="U368">
        <f>IF(CALC_EPM!$B357="","",CALC_EPM!U357)</f>
      </c>
    </row>
    <row r="369">
      <c r="A369" t="str">
        <f>IF(CALC_EPM!$B358="","",IF(CALC_EPM!A358="GLOBAL",IF(CALC_EPM!C358="Total","GLOBAL",IF(CALC_EPM!C358="TotalEsp","GLOBAL_ESP",IF(CALC_EPM!C358="TotalNoEsp","GLOBAL_NOESP","GLOBAL_ASIG"))),IF(CALC_EPM!C358="Total","CURSO_TOTAL",IF(CALC_EPM!C358="TotalEsp","CURSO_ESP",IF(CALC_EPM!C358="TotalNoEsp","CURSO_NOESP","CURSO_ASIG")))))</f>
      </c>
      <c r="B369" t="str">
        <f>IF(CALC_EPM!$B358="","",CALC_EPM!A358)</f>
      </c>
      <c r="C369" t="str">
        <f>IF(CALC_EPM!$B358="","",CALC_EPM!B358)</f>
      </c>
      <c r="D369">
        <f>IF(CALC_EPM!$B358="","",CALC_EPM!D358)</f>
      </c>
      <c r="E369" s="10" t="str">
        <f>IF(CALC_EPM!$B358="","",CALC_EPM!E358)</f>
      </c>
      <c r="F369" s="10" t="str">
        <f>IF(CALC_EPM!$B358="","",CALC_EPM!F358)</f>
      </c>
      <c r="G369" t="str">
        <f>IF(CALC_EPM!$B358="","",CALC_EPM!G358)</f>
      </c>
      <c r="H369" s="11" t="str">
        <f>IF(CALC_EPM!$B358="","",CALC_EPM!H358)</f>
      </c>
      <c r="I369" s="11" t="str">
        <f>IF(CALC_EPM!$B358="","",CALC_EPM!I358)</f>
      </c>
      <c r="J369" t="str">
        <f>IF(CALC_EPM!$B358="","",CALC_EPM!J358)</f>
      </c>
      <c r="K369" t="str">
        <f>IF(CALC_EPM!$B358="","",CALC_EPM!K358)</f>
      </c>
      <c r="L369">
        <f>IF(CALC_EPM!$B358="","",CALC_EPM!L358)</f>
      </c>
      <c r="M369">
        <f>IF(CALC_EPM!$B358="","",CALC_EPM!M358)</f>
      </c>
      <c r="N369">
        <f>IF(CALC_EPM!$B358="","",CALC_EPM!N358)</f>
      </c>
      <c r="O369">
        <f>IF(CALC_EPM!$B358="","",CALC_EPM!O358)</f>
      </c>
      <c r="P369">
        <f>IF(CALC_EPM!$B358="","",CALC_EPM!P358)</f>
      </c>
      <c r="Q369">
        <f>IF(CALC_EPM!$B358="","",CALC_EPM!Q358)</f>
      </c>
      <c r="R369">
        <f>IF(CALC_EPM!$B358="","",CALC_EPM!R358)</f>
      </c>
      <c r="S369">
        <f>IF(CALC_EPM!$B358="","",CALC_EPM!S358)</f>
      </c>
      <c r="T369">
        <f>IF(CALC_EPM!$B358="","",CALC_EPM!T358)</f>
      </c>
      <c r="U369">
        <f>IF(CALC_EPM!$B358="","",CALC_EPM!U358)</f>
      </c>
    </row>
    <row r="370">
      <c r="A370" t="str">
        <f>IF(CALC_EPM!$B359="","",IF(CALC_EPM!A359="GLOBAL",IF(CALC_EPM!C359="Total","GLOBAL",IF(CALC_EPM!C359="TotalEsp","GLOBAL_ESP",IF(CALC_EPM!C359="TotalNoEsp","GLOBAL_NOESP","GLOBAL_ASIG"))),IF(CALC_EPM!C359="Total","CURSO_TOTAL",IF(CALC_EPM!C359="TotalEsp","CURSO_ESP",IF(CALC_EPM!C359="TotalNoEsp","CURSO_NOESP","CURSO_ASIG")))))</f>
      </c>
      <c r="B370" t="str">
        <f>IF(CALC_EPM!$B359="","",CALC_EPM!A359)</f>
      </c>
      <c r="C370" t="str">
        <f>IF(CALC_EPM!$B359="","",CALC_EPM!B359)</f>
      </c>
      <c r="D370">
        <f>IF(CALC_EPM!$B359="","",CALC_EPM!D359)</f>
      </c>
      <c r="E370" s="10" t="str">
        <f>IF(CALC_EPM!$B359="","",CALC_EPM!E359)</f>
      </c>
      <c r="F370" s="10" t="str">
        <f>IF(CALC_EPM!$B359="","",CALC_EPM!F359)</f>
      </c>
      <c r="G370" t="str">
        <f>IF(CALC_EPM!$B359="","",CALC_EPM!G359)</f>
      </c>
      <c r="H370" s="11" t="str">
        <f>IF(CALC_EPM!$B359="","",CALC_EPM!H359)</f>
      </c>
      <c r="I370" s="11" t="str">
        <f>IF(CALC_EPM!$B359="","",CALC_EPM!I359)</f>
      </c>
      <c r="J370" t="str">
        <f>IF(CALC_EPM!$B359="","",CALC_EPM!J359)</f>
      </c>
      <c r="K370" t="str">
        <f>IF(CALC_EPM!$B359="","",CALC_EPM!K359)</f>
      </c>
      <c r="L370">
        <f>IF(CALC_EPM!$B359="","",CALC_EPM!L359)</f>
      </c>
      <c r="M370">
        <f>IF(CALC_EPM!$B359="","",CALC_EPM!M359)</f>
      </c>
      <c r="N370">
        <f>IF(CALC_EPM!$B359="","",CALC_EPM!N359)</f>
      </c>
      <c r="O370">
        <f>IF(CALC_EPM!$B359="","",CALC_EPM!O359)</f>
      </c>
      <c r="P370">
        <f>IF(CALC_EPM!$B359="","",CALC_EPM!P359)</f>
      </c>
      <c r="Q370">
        <f>IF(CALC_EPM!$B359="","",CALC_EPM!Q359)</f>
      </c>
      <c r="R370">
        <f>IF(CALC_EPM!$B359="","",CALC_EPM!R359)</f>
      </c>
      <c r="S370">
        <f>IF(CALC_EPM!$B359="","",CALC_EPM!S359)</f>
      </c>
      <c r="T370">
        <f>IF(CALC_EPM!$B359="","",CALC_EPM!T359)</f>
      </c>
      <c r="U370">
        <f>IF(CALC_EPM!$B359="","",CALC_EPM!U359)</f>
      </c>
    </row>
    <row r="371">
      <c r="A371" t="str">
        <f>IF(CALC_EPM!$B360="","",IF(CALC_EPM!A360="GLOBAL",IF(CALC_EPM!C360="Total","GLOBAL",IF(CALC_EPM!C360="TotalEsp","GLOBAL_ESP",IF(CALC_EPM!C360="TotalNoEsp","GLOBAL_NOESP","GLOBAL_ASIG"))),IF(CALC_EPM!C360="Total","CURSO_TOTAL",IF(CALC_EPM!C360="TotalEsp","CURSO_ESP",IF(CALC_EPM!C360="TotalNoEsp","CURSO_NOESP","CURSO_ASIG")))))</f>
      </c>
      <c r="B371" t="str">
        <f>IF(CALC_EPM!$B360="","",CALC_EPM!A360)</f>
      </c>
      <c r="C371" t="str">
        <f>IF(CALC_EPM!$B360="","",CALC_EPM!B360)</f>
      </c>
      <c r="D371">
        <f>IF(CALC_EPM!$B360="","",CALC_EPM!D360)</f>
      </c>
      <c r="E371" s="10" t="str">
        <f>IF(CALC_EPM!$B360="","",CALC_EPM!E360)</f>
      </c>
      <c r="F371" s="10" t="str">
        <f>IF(CALC_EPM!$B360="","",CALC_EPM!F360)</f>
      </c>
      <c r="G371" t="str">
        <f>IF(CALC_EPM!$B360="","",CALC_EPM!G360)</f>
      </c>
      <c r="H371" s="11" t="str">
        <f>IF(CALC_EPM!$B360="","",CALC_EPM!H360)</f>
      </c>
      <c r="I371" s="11" t="str">
        <f>IF(CALC_EPM!$B360="","",CALC_EPM!I360)</f>
      </c>
      <c r="J371" t="str">
        <f>IF(CALC_EPM!$B360="","",CALC_EPM!J360)</f>
      </c>
      <c r="K371" t="str">
        <f>IF(CALC_EPM!$B360="","",CALC_EPM!K360)</f>
      </c>
      <c r="L371">
        <f>IF(CALC_EPM!$B360="","",CALC_EPM!L360)</f>
      </c>
      <c r="M371">
        <f>IF(CALC_EPM!$B360="","",CALC_EPM!M360)</f>
      </c>
      <c r="N371">
        <f>IF(CALC_EPM!$B360="","",CALC_EPM!N360)</f>
      </c>
      <c r="O371">
        <f>IF(CALC_EPM!$B360="","",CALC_EPM!O360)</f>
      </c>
      <c r="P371">
        <f>IF(CALC_EPM!$B360="","",CALC_EPM!P360)</f>
      </c>
      <c r="Q371">
        <f>IF(CALC_EPM!$B360="","",CALC_EPM!Q360)</f>
      </c>
      <c r="R371">
        <f>IF(CALC_EPM!$B360="","",CALC_EPM!R360)</f>
      </c>
      <c r="S371">
        <f>IF(CALC_EPM!$B360="","",CALC_EPM!S360)</f>
      </c>
      <c r="T371">
        <f>IF(CALC_EPM!$B360="","",CALC_EPM!T360)</f>
      </c>
      <c r="U371">
        <f>IF(CALC_EPM!$B360="","",CALC_EPM!U360)</f>
      </c>
    </row>
    <row r="372">
      <c r="A372" t="str">
        <f>IF(CALC_EPM!$B361="","",IF(CALC_EPM!A361="GLOBAL",IF(CALC_EPM!C361="Total","GLOBAL",IF(CALC_EPM!C361="TotalEsp","GLOBAL_ESP",IF(CALC_EPM!C361="TotalNoEsp","GLOBAL_NOESP","GLOBAL_ASIG"))),IF(CALC_EPM!C361="Total","CURSO_TOTAL",IF(CALC_EPM!C361="TotalEsp","CURSO_ESP",IF(CALC_EPM!C361="TotalNoEsp","CURSO_NOESP","CURSO_ASIG")))))</f>
      </c>
      <c r="B372" t="str">
        <f>IF(CALC_EPM!$B361="","",CALC_EPM!A361)</f>
      </c>
      <c r="C372" t="str">
        <f>IF(CALC_EPM!$B361="","",CALC_EPM!B361)</f>
      </c>
      <c r="D372">
        <f>IF(CALC_EPM!$B361="","",CALC_EPM!D361)</f>
      </c>
      <c r="E372" s="10" t="str">
        <f>IF(CALC_EPM!$B361="","",CALC_EPM!E361)</f>
      </c>
      <c r="F372" s="10" t="str">
        <f>IF(CALC_EPM!$B361="","",CALC_EPM!F361)</f>
      </c>
      <c r="G372" t="str">
        <f>IF(CALC_EPM!$B361="","",CALC_EPM!G361)</f>
      </c>
      <c r="H372" s="11" t="str">
        <f>IF(CALC_EPM!$B361="","",CALC_EPM!H361)</f>
      </c>
      <c r="I372" s="11" t="str">
        <f>IF(CALC_EPM!$B361="","",CALC_EPM!I361)</f>
      </c>
      <c r="J372" t="str">
        <f>IF(CALC_EPM!$B361="","",CALC_EPM!J361)</f>
      </c>
      <c r="K372" t="str">
        <f>IF(CALC_EPM!$B361="","",CALC_EPM!K361)</f>
      </c>
      <c r="L372">
        <f>IF(CALC_EPM!$B361="","",CALC_EPM!L361)</f>
      </c>
      <c r="M372">
        <f>IF(CALC_EPM!$B361="","",CALC_EPM!M361)</f>
      </c>
      <c r="N372">
        <f>IF(CALC_EPM!$B361="","",CALC_EPM!N361)</f>
      </c>
      <c r="O372">
        <f>IF(CALC_EPM!$B361="","",CALC_EPM!O361)</f>
      </c>
      <c r="P372">
        <f>IF(CALC_EPM!$B361="","",CALC_EPM!P361)</f>
      </c>
      <c r="Q372">
        <f>IF(CALC_EPM!$B361="","",CALC_EPM!Q361)</f>
      </c>
      <c r="R372">
        <f>IF(CALC_EPM!$B361="","",CALC_EPM!R361)</f>
      </c>
      <c r="S372">
        <f>IF(CALC_EPM!$B361="","",CALC_EPM!S361)</f>
      </c>
      <c r="T372">
        <f>IF(CALC_EPM!$B361="","",CALC_EPM!T361)</f>
      </c>
      <c r="U372">
        <f>IF(CALC_EPM!$B361="","",CALC_EPM!U361)</f>
      </c>
    </row>
    <row r="373">
      <c r="A373" t="str">
        <f>IF(CALC_EPM!$B362="","",IF(CALC_EPM!A362="GLOBAL",IF(CALC_EPM!C362="Total","GLOBAL",IF(CALC_EPM!C362="TotalEsp","GLOBAL_ESP",IF(CALC_EPM!C362="TotalNoEsp","GLOBAL_NOESP","GLOBAL_ASIG"))),IF(CALC_EPM!C362="Total","CURSO_TOTAL",IF(CALC_EPM!C362="TotalEsp","CURSO_ESP",IF(CALC_EPM!C362="TotalNoEsp","CURSO_NOESP","CURSO_ASIG")))))</f>
      </c>
      <c r="B373" t="str">
        <f>IF(CALC_EPM!$B362="","",CALC_EPM!A362)</f>
      </c>
      <c r="C373" t="str">
        <f>IF(CALC_EPM!$B362="","",CALC_EPM!B362)</f>
      </c>
      <c r="D373">
        <f>IF(CALC_EPM!$B362="","",CALC_EPM!D362)</f>
      </c>
      <c r="E373" s="10" t="str">
        <f>IF(CALC_EPM!$B362="","",CALC_EPM!E362)</f>
      </c>
      <c r="F373" s="10" t="str">
        <f>IF(CALC_EPM!$B362="","",CALC_EPM!F362)</f>
      </c>
      <c r="G373" t="str">
        <f>IF(CALC_EPM!$B362="","",CALC_EPM!G362)</f>
      </c>
      <c r="H373" s="11" t="str">
        <f>IF(CALC_EPM!$B362="","",CALC_EPM!H362)</f>
      </c>
      <c r="I373" s="11" t="str">
        <f>IF(CALC_EPM!$B362="","",CALC_EPM!I362)</f>
      </c>
      <c r="J373" t="str">
        <f>IF(CALC_EPM!$B362="","",CALC_EPM!J362)</f>
      </c>
      <c r="K373" t="str">
        <f>IF(CALC_EPM!$B362="","",CALC_EPM!K362)</f>
      </c>
      <c r="L373">
        <f>IF(CALC_EPM!$B362="","",CALC_EPM!L362)</f>
      </c>
      <c r="M373">
        <f>IF(CALC_EPM!$B362="","",CALC_EPM!M362)</f>
      </c>
      <c r="N373">
        <f>IF(CALC_EPM!$B362="","",CALC_EPM!N362)</f>
      </c>
      <c r="O373">
        <f>IF(CALC_EPM!$B362="","",CALC_EPM!O362)</f>
      </c>
      <c r="P373">
        <f>IF(CALC_EPM!$B362="","",CALC_EPM!P362)</f>
      </c>
      <c r="Q373">
        <f>IF(CALC_EPM!$B362="","",CALC_EPM!Q362)</f>
      </c>
      <c r="R373">
        <f>IF(CALC_EPM!$B362="","",CALC_EPM!R362)</f>
      </c>
      <c r="S373">
        <f>IF(CALC_EPM!$B362="","",CALC_EPM!S362)</f>
      </c>
      <c r="T373">
        <f>IF(CALC_EPM!$B362="","",CALC_EPM!T362)</f>
      </c>
      <c r="U373">
        <f>IF(CALC_EPM!$B362="","",CALC_EPM!U362)</f>
      </c>
    </row>
    <row r="374">
      <c r="A374" t="str">
        <f>IF(CALC_EPM!$B363="","",IF(CALC_EPM!A363="GLOBAL",IF(CALC_EPM!C363="Total","GLOBAL",IF(CALC_EPM!C363="TotalEsp","GLOBAL_ESP",IF(CALC_EPM!C363="TotalNoEsp","GLOBAL_NOESP","GLOBAL_ASIG"))),IF(CALC_EPM!C363="Total","CURSO_TOTAL",IF(CALC_EPM!C363="TotalEsp","CURSO_ESP",IF(CALC_EPM!C363="TotalNoEsp","CURSO_NOESP","CURSO_ASIG")))))</f>
      </c>
      <c r="B374" t="str">
        <f>IF(CALC_EPM!$B363="","",CALC_EPM!A363)</f>
      </c>
      <c r="C374" t="str">
        <f>IF(CALC_EPM!$B363="","",CALC_EPM!B363)</f>
      </c>
      <c r="D374">
        <f>IF(CALC_EPM!$B363="","",CALC_EPM!D363)</f>
      </c>
      <c r="E374" s="10" t="str">
        <f>IF(CALC_EPM!$B363="","",CALC_EPM!E363)</f>
      </c>
      <c r="F374" s="10" t="str">
        <f>IF(CALC_EPM!$B363="","",CALC_EPM!F363)</f>
      </c>
      <c r="G374" t="str">
        <f>IF(CALC_EPM!$B363="","",CALC_EPM!G363)</f>
      </c>
      <c r="H374" s="11" t="str">
        <f>IF(CALC_EPM!$B363="","",CALC_EPM!H363)</f>
      </c>
      <c r="I374" s="11" t="str">
        <f>IF(CALC_EPM!$B363="","",CALC_EPM!I363)</f>
      </c>
      <c r="J374" t="str">
        <f>IF(CALC_EPM!$B363="","",CALC_EPM!J363)</f>
      </c>
      <c r="K374" t="str">
        <f>IF(CALC_EPM!$B363="","",CALC_EPM!K363)</f>
      </c>
      <c r="L374">
        <f>IF(CALC_EPM!$B363="","",CALC_EPM!L363)</f>
      </c>
      <c r="M374">
        <f>IF(CALC_EPM!$B363="","",CALC_EPM!M363)</f>
      </c>
      <c r="N374">
        <f>IF(CALC_EPM!$B363="","",CALC_EPM!N363)</f>
      </c>
      <c r="O374">
        <f>IF(CALC_EPM!$B363="","",CALC_EPM!O363)</f>
      </c>
      <c r="P374">
        <f>IF(CALC_EPM!$B363="","",CALC_EPM!P363)</f>
      </c>
      <c r="Q374">
        <f>IF(CALC_EPM!$B363="","",CALC_EPM!Q363)</f>
      </c>
      <c r="R374">
        <f>IF(CALC_EPM!$B363="","",CALC_EPM!R363)</f>
      </c>
      <c r="S374">
        <f>IF(CALC_EPM!$B363="","",CALC_EPM!S363)</f>
      </c>
      <c r="T374">
        <f>IF(CALC_EPM!$B363="","",CALC_EPM!T363)</f>
      </c>
      <c r="U374">
        <f>IF(CALC_EPM!$B363="","",CALC_EPM!U363)</f>
      </c>
    </row>
    <row r="375">
      <c r="A375" t="str">
        <f>IF(CALC_EPM!$B364="","",IF(CALC_EPM!A364="GLOBAL",IF(CALC_EPM!C364="Total","GLOBAL",IF(CALC_EPM!C364="TotalEsp","GLOBAL_ESP",IF(CALC_EPM!C364="TotalNoEsp","GLOBAL_NOESP","GLOBAL_ASIG"))),IF(CALC_EPM!C364="Total","CURSO_TOTAL",IF(CALC_EPM!C364="TotalEsp","CURSO_ESP",IF(CALC_EPM!C364="TotalNoEsp","CURSO_NOESP","CURSO_ASIG")))))</f>
      </c>
      <c r="B375" t="str">
        <f>IF(CALC_EPM!$B364="","",CALC_EPM!A364)</f>
      </c>
      <c r="C375" t="str">
        <f>IF(CALC_EPM!$B364="","",CALC_EPM!B364)</f>
      </c>
      <c r="D375">
        <f>IF(CALC_EPM!$B364="","",CALC_EPM!D364)</f>
      </c>
      <c r="E375" s="10" t="str">
        <f>IF(CALC_EPM!$B364="","",CALC_EPM!E364)</f>
      </c>
      <c r="F375" s="10" t="str">
        <f>IF(CALC_EPM!$B364="","",CALC_EPM!F364)</f>
      </c>
      <c r="G375" t="str">
        <f>IF(CALC_EPM!$B364="","",CALC_EPM!G364)</f>
      </c>
      <c r="H375" s="11" t="str">
        <f>IF(CALC_EPM!$B364="","",CALC_EPM!H364)</f>
      </c>
      <c r="I375" s="11" t="str">
        <f>IF(CALC_EPM!$B364="","",CALC_EPM!I364)</f>
      </c>
      <c r="J375" t="str">
        <f>IF(CALC_EPM!$B364="","",CALC_EPM!J364)</f>
      </c>
      <c r="K375" t="str">
        <f>IF(CALC_EPM!$B364="","",CALC_EPM!K364)</f>
      </c>
      <c r="L375">
        <f>IF(CALC_EPM!$B364="","",CALC_EPM!L364)</f>
      </c>
      <c r="M375">
        <f>IF(CALC_EPM!$B364="","",CALC_EPM!M364)</f>
      </c>
      <c r="N375">
        <f>IF(CALC_EPM!$B364="","",CALC_EPM!N364)</f>
      </c>
      <c r="O375">
        <f>IF(CALC_EPM!$B364="","",CALC_EPM!O364)</f>
      </c>
      <c r="P375">
        <f>IF(CALC_EPM!$B364="","",CALC_EPM!P364)</f>
      </c>
      <c r="Q375">
        <f>IF(CALC_EPM!$B364="","",CALC_EPM!Q364)</f>
      </c>
      <c r="R375">
        <f>IF(CALC_EPM!$B364="","",CALC_EPM!R364)</f>
      </c>
      <c r="S375">
        <f>IF(CALC_EPM!$B364="","",CALC_EPM!S364)</f>
      </c>
      <c r="T375">
        <f>IF(CALC_EPM!$B364="","",CALC_EPM!T364)</f>
      </c>
      <c r="U375">
        <f>IF(CALC_EPM!$B364="","",CALC_EPM!U364)</f>
      </c>
    </row>
    <row r="376">
      <c r="A376" t="str">
        <f>IF(CALC_EPM!$B365="","",IF(CALC_EPM!A365="GLOBAL",IF(CALC_EPM!C365="Total","GLOBAL",IF(CALC_EPM!C365="TotalEsp","GLOBAL_ESP",IF(CALC_EPM!C365="TotalNoEsp","GLOBAL_NOESP","GLOBAL_ASIG"))),IF(CALC_EPM!C365="Total","CURSO_TOTAL",IF(CALC_EPM!C365="TotalEsp","CURSO_ESP",IF(CALC_EPM!C365="TotalNoEsp","CURSO_NOESP","CURSO_ASIG")))))</f>
      </c>
      <c r="B376" t="str">
        <f>IF(CALC_EPM!$B365="","",CALC_EPM!A365)</f>
      </c>
      <c r="C376" t="str">
        <f>IF(CALC_EPM!$B365="","",CALC_EPM!B365)</f>
      </c>
      <c r="D376">
        <f>IF(CALC_EPM!$B365="","",CALC_EPM!D365)</f>
      </c>
      <c r="E376" s="10" t="str">
        <f>IF(CALC_EPM!$B365="","",CALC_EPM!E365)</f>
      </c>
      <c r="F376" s="10" t="str">
        <f>IF(CALC_EPM!$B365="","",CALC_EPM!F365)</f>
      </c>
      <c r="G376" t="str">
        <f>IF(CALC_EPM!$B365="","",CALC_EPM!G365)</f>
      </c>
      <c r="H376" s="11" t="str">
        <f>IF(CALC_EPM!$B365="","",CALC_EPM!H365)</f>
      </c>
      <c r="I376" s="11" t="str">
        <f>IF(CALC_EPM!$B365="","",CALC_EPM!I365)</f>
      </c>
      <c r="J376" t="str">
        <f>IF(CALC_EPM!$B365="","",CALC_EPM!J365)</f>
      </c>
      <c r="K376" t="str">
        <f>IF(CALC_EPM!$B365="","",CALC_EPM!K365)</f>
      </c>
      <c r="L376">
        <f>IF(CALC_EPM!$B365="","",CALC_EPM!L365)</f>
      </c>
      <c r="M376">
        <f>IF(CALC_EPM!$B365="","",CALC_EPM!M365)</f>
      </c>
      <c r="N376">
        <f>IF(CALC_EPM!$B365="","",CALC_EPM!N365)</f>
      </c>
      <c r="O376">
        <f>IF(CALC_EPM!$B365="","",CALC_EPM!O365)</f>
      </c>
      <c r="P376">
        <f>IF(CALC_EPM!$B365="","",CALC_EPM!P365)</f>
      </c>
      <c r="Q376">
        <f>IF(CALC_EPM!$B365="","",CALC_EPM!Q365)</f>
      </c>
      <c r="R376">
        <f>IF(CALC_EPM!$B365="","",CALC_EPM!R365)</f>
      </c>
      <c r="S376">
        <f>IF(CALC_EPM!$B365="","",CALC_EPM!S365)</f>
      </c>
      <c r="T376">
        <f>IF(CALC_EPM!$B365="","",CALC_EPM!T365)</f>
      </c>
      <c r="U376">
        <f>IF(CALC_EPM!$B365="","",CALC_EPM!U365)</f>
      </c>
    </row>
    <row r="377">
      <c r="A377" t="str">
        <f>IF(CALC_EPM!$B366="","",IF(CALC_EPM!A366="GLOBAL",IF(CALC_EPM!C366="Total","GLOBAL",IF(CALC_EPM!C366="TotalEsp","GLOBAL_ESP",IF(CALC_EPM!C366="TotalNoEsp","GLOBAL_NOESP","GLOBAL_ASIG"))),IF(CALC_EPM!C366="Total","CURSO_TOTAL",IF(CALC_EPM!C366="TotalEsp","CURSO_ESP",IF(CALC_EPM!C366="TotalNoEsp","CURSO_NOESP","CURSO_ASIG")))))</f>
      </c>
      <c r="B377" t="str">
        <f>IF(CALC_EPM!$B366="","",CALC_EPM!A366)</f>
      </c>
      <c r="C377" t="str">
        <f>IF(CALC_EPM!$B366="","",CALC_EPM!B366)</f>
      </c>
      <c r="D377">
        <f>IF(CALC_EPM!$B366="","",CALC_EPM!D366)</f>
      </c>
      <c r="E377" s="10" t="str">
        <f>IF(CALC_EPM!$B366="","",CALC_EPM!E366)</f>
      </c>
      <c r="F377" s="10" t="str">
        <f>IF(CALC_EPM!$B366="","",CALC_EPM!F366)</f>
      </c>
      <c r="G377" t="str">
        <f>IF(CALC_EPM!$B366="","",CALC_EPM!G366)</f>
      </c>
      <c r="H377" s="11" t="str">
        <f>IF(CALC_EPM!$B366="","",CALC_EPM!H366)</f>
      </c>
      <c r="I377" s="11" t="str">
        <f>IF(CALC_EPM!$B366="","",CALC_EPM!I366)</f>
      </c>
      <c r="J377" t="str">
        <f>IF(CALC_EPM!$B366="","",CALC_EPM!J366)</f>
      </c>
      <c r="K377" t="str">
        <f>IF(CALC_EPM!$B366="","",CALC_EPM!K366)</f>
      </c>
      <c r="L377">
        <f>IF(CALC_EPM!$B366="","",CALC_EPM!L366)</f>
      </c>
      <c r="M377">
        <f>IF(CALC_EPM!$B366="","",CALC_EPM!M366)</f>
      </c>
      <c r="N377">
        <f>IF(CALC_EPM!$B366="","",CALC_EPM!N366)</f>
      </c>
      <c r="O377">
        <f>IF(CALC_EPM!$B366="","",CALC_EPM!O366)</f>
      </c>
      <c r="P377">
        <f>IF(CALC_EPM!$B366="","",CALC_EPM!P366)</f>
      </c>
      <c r="Q377">
        <f>IF(CALC_EPM!$B366="","",CALC_EPM!Q366)</f>
      </c>
      <c r="R377">
        <f>IF(CALC_EPM!$B366="","",CALC_EPM!R366)</f>
      </c>
      <c r="S377">
        <f>IF(CALC_EPM!$B366="","",CALC_EPM!S366)</f>
      </c>
      <c r="T377">
        <f>IF(CALC_EPM!$B366="","",CALC_EPM!T366)</f>
      </c>
      <c r="U377">
        <f>IF(CALC_EPM!$B366="","",CALC_EPM!U366)</f>
      </c>
    </row>
    <row r="378">
      <c r="A378" t="str">
        <f>IF(CALC_EPM!$B367="","",IF(CALC_EPM!A367="GLOBAL",IF(CALC_EPM!C367="Total","GLOBAL",IF(CALC_EPM!C367="TotalEsp","GLOBAL_ESP",IF(CALC_EPM!C367="TotalNoEsp","GLOBAL_NOESP","GLOBAL_ASIG"))),IF(CALC_EPM!C367="Total","CURSO_TOTAL",IF(CALC_EPM!C367="TotalEsp","CURSO_ESP",IF(CALC_EPM!C367="TotalNoEsp","CURSO_NOESP","CURSO_ASIG")))))</f>
      </c>
      <c r="B378" t="str">
        <f>IF(CALC_EPM!$B367="","",CALC_EPM!A367)</f>
      </c>
      <c r="C378" t="str">
        <f>IF(CALC_EPM!$B367="","",CALC_EPM!B367)</f>
      </c>
      <c r="D378">
        <f>IF(CALC_EPM!$B367="","",CALC_EPM!D367)</f>
      </c>
      <c r="E378" s="10" t="str">
        <f>IF(CALC_EPM!$B367="","",CALC_EPM!E367)</f>
      </c>
      <c r="F378" s="10" t="str">
        <f>IF(CALC_EPM!$B367="","",CALC_EPM!F367)</f>
      </c>
      <c r="G378" t="str">
        <f>IF(CALC_EPM!$B367="","",CALC_EPM!G367)</f>
      </c>
      <c r="H378" s="11" t="str">
        <f>IF(CALC_EPM!$B367="","",CALC_EPM!H367)</f>
      </c>
      <c r="I378" s="11" t="str">
        <f>IF(CALC_EPM!$B367="","",CALC_EPM!I367)</f>
      </c>
      <c r="J378" t="str">
        <f>IF(CALC_EPM!$B367="","",CALC_EPM!J367)</f>
      </c>
      <c r="K378" t="str">
        <f>IF(CALC_EPM!$B367="","",CALC_EPM!K367)</f>
      </c>
      <c r="L378">
        <f>IF(CALC_EPM!$B367="","",CALC_EPM!L367)</f>
      </c>
      <c r="M378">
        <f>IF(CALC_EPM!$B367="","",CALC_EPM!M367)</f>
      </c>
      <c r="N378">
        <f>IF(CALC_EPM!$B367="","",CALC_EPM!N367)</f>
      </c>
      <c r="O378">
        <f>IF(CALC_EPM!$B367="","",CALC_EPM!O367)</f>
      </c>
      <c r="P378">
        <f>IF(CALC_EPM!$B367="","",CALC_EPM!P367)</f>
      </c>
      <c r="Q378">
        <f>IF(CALC_EPM!$B367="","",CALC_EPM!Q367)</f>
      </c>
      <c r="R378">
        <f>IF(CALC_EPM!$B367="","",CALC_EPM!R367)</f>
      </c>
      <c r="S378">
        <f>IF(CALC_EPM!$B367="","",CALC_EPM!S367)</f>
      </c>
      <c r="T378">
        <f>IF(CALC_EPM!$B367="","",CALC_EPM!T367)</f>
      </c>
      <c r="U378">
        <f>IF(CALC_EPM!$B367="","",CALC_EPM!U367)</f>
      </c>
    </row>
    <row r="379">
      <c r="A379" t="str">
        <f>IF(CALC_EPM!$B368="","",IF(CALC_EPM!A368="GLOBAL",IF(CALC_EPM!C368="Total","GLOBAL",IF(CALC_EPM!C368="TotalEsp","GLOBAL_ESP",IF(CALC_EPM!C368="TotalNoEsp","GLOBAL_NOESP","GLOBAL_ASIG"))),IF(CALC_EPM!C368="Total","CURSO_TOTAL",IF(CALC_EPM!C368="TotalEsp","CURSO_ESP",IF(CALC_EPM!C368="TotalNoEsp","CURSO_NOESP","CURSO_ASIG")))))</f>
      </c>
      <c r="B379" t="str">
        <f>IF(CALC_EPM!$B368="","",CALC_EPM!A368)</f>
      </c>
      <c r="C379" t="str">
        <f>IF(CALC_EPM!$B368="","",CALC_EPM!B368)</f>
      </c>
      <c r="D379">
        <f>IF(CALC_EPM!$B368="","",CALC_EPM!D368)</f>
      </c>
      <c r="E379" s="10" t="str">
        <f>IF(CALC_EPM!$B368="","",CALC_EPM!E368)</f>
      </c>
      <c r="F379" s="10" t="str">
        <f>IF(CALC_EPM!$B368="","",CALC_EPM!F368)</f>
      </c>
      <c r="G379" t="str">
        <f>IF(CALC_EPM!$B368="","",CALC_EPM!G368)</f>
      </c>
      <c r="H379" s="11" t="str">
        <f>IF(CALC_EPM!$B368="","",CALC_EPM!H368)</f>
      </c>
      <c r="I379" s="11" t="str">
        <f>IF(CALC_EPM!$B368="","",CALC_EPM!I368)</f>
      </c>
      <c r="J379" t="str">
        <f>IF(CALC_EPM!$B368="","",CALC_EPM!J368)</f>
      </c>
      <c r="K379" t="str">
        <f>IF(CALC_EPM!$B368="","",CALC_EPM!K368)</f>
      </c>
      <c r="L379">
        <f>IF(CALC_EPM!$B368="","",CALC_EPM!L368)</f>
      </c>
      <c r="M379">
        <f>IF(CALC_EPM!$B368="","",CALC_EPM!M368)</f>
      </c>
      <c r="N379">
        <f>IF(CALC_EPM!$B368="","",CALC_EPM!N368)</f>
      </c>
      <c r="O379">
        <f>IF(CALC_EPM!$B368="","",CALC_EPM!O368)</f>
      </c>
      <c r="P379">
        <f>IF(CALC_EPM!$B368="","",CALC_EPM!P368)</f>
      </c>
      <c r="Q379">
        <f>IF(CALC_EPM!$B368="","",CALC_EPM!Q368)</f>
      </c>
      <c r="R379">
        <f>IF(CALC_EPM!$B368="","",CALC_EPM!R368)</f>
      </c>
      <c r="S379">
        <f>IF(CALC_EPM!$B368="","",CALC_EPM!S368)</f>
      </c>
      <c r="T379">
        <f>IF(CALC_EPM!$B368="","",CALC_EPM!T368)</f>
      </c>
      <c r="U379">
        <f>IF(CALC_EPM!$B368="","",CALC_EPM!U368)</f>
      </c>
    </row>
    <row r="380">
      <c r="A380" t="str">
        <f>IF(CALC_EPM!$B369="","",IF(CALC_EPM!A369="GLOBAL",IF(CALC_EPM!C369="Total","GLOBAL",IF(CALC_EPM!C369="TotalEsp","GLOBAL_ESP",IF(CALC_EPM!C369="TotalNoEsp","GLOBAL_NOESP","GLOBAL_ASIG"))),IF(CALC_EPM!C369="Total","CURSO_TOTAL",IF(CALC_EPM!C369="TotalEsp","CURSO_ESP",IF(CALC_EPM!C369="TotalNoEsp","CURSO_NOESP","CURSO_ASIG")))))</f>
      </c>
      <c r="B380" t="str">
        <f>IF(CALC_EPM!$B369="","",CALC_EPM!A369)</f>
      </c>
      <c r="C380" t="str">
        <f>IF(CALC_EPM!$B369="","",CALC_EPM!B369)</f>
      </c>
      <c r="D380">
        <f>IF(CALC_EPM!$B369="","",CALC_EPM!D369)</f>
      </c>
      <c r="E380" s="10" t="str">
        <f>IF(CALC_EPM!$B369="","",CALC_EPM!E369)</f>
      </c>
      <c r="F380" s="10" t="str">
        <f>IF(CALC_EPM!$B369="","",CALC_EPM!F369)</f>
      </c>
      <c r="G380" t="str">
        <f>IF(CALC_EPM!$B369="","",CALC_EPM!G369)</f>
      </c>
      <c r="H380" s="11" t="str">
        <f>IF(CALC_EPM!$B369="","",CALC_EPM!H369)</f>
      </c>
      <c r="I380" s="11" t="str">
        <f>IF(CALC_EPM!$B369="","",CALC_EPM!I369)</f>
      </c>
      <c r="J380" t="str">
        <f>IF(CALC_EPM!$B369="","",CALC_EPM!J369)</f>
      </c>
      <c r="K380" t="str">
        <f>IF(CALC_EPM!$B369="","",CALC_EPM!K369)</f>
      </c>
      <c r="L380">
        <f>IF(CALC_EPM!$B369="","",CALC_EPM!L369)</f>
      </c>
      <c r="M380">
        <f>IF(CALC_EPM!$B369="","",CALC_EPM!M369)</f>
      </c>
      <c r="N380">
        <f>IF(CALC_EPM!$B369="","",CALC_EPM!N369)</f>
      </c>
      <c r="O380">
        <f>IF(CALC_EPM!$B369="","",CALC_EPM!O369)</f>
      </c>
      <c r="P380">
        <f>IF(CALC_EPM!$B369="","",CALC_EPM!P369)</f>
      </c>
      <c r="Q380">
        <f>IF(CALC_EPM!$B369="","",CALC_EPM!Q369)</f>
      </c>
      <c r="R380">
        <f>IF(CALC_EPM!$B369="","",CALC_EPM!R369)</f>
      </c>
      <c r="S380">
        <f>IF(CALC_EPM!$B369="","",CALC_EPM!S369)</f>
      </c>
      <c r="T380">
        <f>IF(CALC_EPM!$B369="","",CALC_EPM!T369)</f>
      </c>
      <c r="U380">
        <f>IF(CALC_EPM!$B369="","",CALC_EPM!U369)</f>
      </c>
    </row>
    <row r="381">
      <c r="A381" t="str">
        <f>IF(CALC_EPM!$B370="","",IF(CALC_EPM!A370="GLOBAL",IF(CALC_EPM!C370="Total","GLOBAL",IF(CALC_EPM!C370="TotalEsp","GLOBAL_ESP",IF(CALC_EPM!C370="TotalNoEsp","GLOBAL_NOESP","GLOBAL_ASIG"))),IF(CALC_EPM!C370="Total","CURSO_TOTAL",IF(CALC_EPM!C370="TotalEsp","CURSO_ESP",IF(CALC_EPM!C370="TotalNoEsp","CURSO_NOESP","CURSO_ASIG")))))</f>
      </c>
      <c r="B381" t="str">
        <f>IF(CALC_EPM!$B370="","",CALC_EPM!A370)</f>
      </c>
      <c r="C381" t="str">
        <f>IF(CALC_EPM!$B370="","",CALC_EPM!B370)</f>
      </c>
      <c r="D381">
        <f>IF(CALC_EPM!$B370="","",CALC_EPM!D370)</f>
      </c>
      <c r="E381" s="10" t="str">
        <f>IF(CALC_EPM!$B370="","",CALC_EPM!E370)</f>
      </c>
      <c r="F381" s="10" t="str">
        <f>IF(CALC_EPM!$B370="","",CALC_EPM!F370)</f>
      </c>
      <c r="G381" t="str">
        <f>IF(CALC_EPM!$B370="","",CALC_EPM!G370)</f>
      </c>
      <c r="H381" s="11" t="str">
        <f>IF(CALC_EPM!$B370="","",CALC_EPM!H370)</f>
      </c>
      <c r="I381" s="11" t="str">
        <f>IF(CALC_EPM!$B370="","",CALC_EPM!I370)</f>
      </c>
      <c r="J381" t="str">
        <f>IF(CALC_EPM!$B370="","",CALC_EPM!J370)</f>
      </c>
      <c r="K381" t="str">
        <f>IF(CALC_EPM!$B370="","",CALC_EPM!K370)</f>
      </c>
      <c r="L381">
        <f>IF(CALC_EPM!$B370="","",CALC_EPM!L370)</f>
      </c>
      <c r="M381">
        <f>IF(CALC_EPM!$B370="","",CALC_EPM!M370)</f>
      </c>
      <c r="N381">
        <f>IF(CALC_EPM!$B370="","",CALC_EPM!N370)</f>
      </c>
      <c r="O381">
        <f>IF(CALC_EPM!$B370="","",CALC_EPM!O370)</f>
      </c>
      <c r="P381">
        <f>IF(CALC_EPM!$B370="","",CALC_EPM!P370)</f>
      </c>
      <c r="Q381">
        <f>IF(CALC_EPM!$B370="","",CALC_EPM!Q370)</f>
      </c>
      <c r="R381">
        <f>IF(CALC_EPM!$B370="","",CALC_EPM!R370)</f>
      </c>
      <c r="S381">
        <f>IF(CALC_EPM!$B370="","",CALC_EPM!S370)</f>
      </c>
      <c r="T381">
        <f>IF(CALC_EPM!$B370="","",CALC_EPM!T370)</f>
      </c>
      <c r="U381">
        <f>IF(CALC_EPM!$B370="","",CALC_EPM!U370)</f>
      </c>
    </row>
    <row r="382">
      <c r="A382" t="str">
        <f>IF(CALC_EPM!$B371="","",IF(CALC_EPM!A371="GLOBAL",IF(CALC_EPM!C371="Total","GLOBAL",IF(CALC_EPM!C371="TotalEsp","GLOBAL_ESP",IF(CALC_EPM!C371="TotalNoEsp","GLOBAL_NOESP","GLOBAL_ASIG"))),IF(CALC_EPM!C371="Total","CURSO_TOTAL",IF(CALC_EPM!C371="TotalEsp","CURSO_ESP",IF(CALC_EPM!C371="TotalNoEsp","CURSO_NOESP","CURSO_ASIG")))))</f>
      </c>
      <c r="B382" t="str">
        <f>IF(CALC_EPM!$B371="","",CALC_EPM!A371)</f>
      </c>
      <c r="C382" t="str">
        <f>IF(CALC_EPM!$B371="","",CALC_EPM!B371)</f>
      </c>
      <c r="D382">
        <f>IF(CALC_EPM!$B371="","",CALC_EPM!D371)</f>
      </c>
      <c r="E382" s="10" t="str">
        <f>IF(CALC_EPM!$B371="","",CALC_EPM!E371)</f>
      </c>
      <c r="F382" s="10" t="str">
        <f>IF(CALC_EPM!$B371="","",CALC_EPM!F371)</f>
      </c>
      <c r="G382" t="str">
        <f>IF(CALC_EPM!$B371="","",CALC_EPM!G371)</f>
      </c>
      <c r="H382" s="11" t="str">
        <f>IF(CALC_EPM!$B371="","",CALC_EPM!H371)</f>
      </c>
      <c r="I382" s="11" t="str">
        <f>IF(CALC_EPM!$B371="","",CALC_EPM!I371)</f>
      </c>
      <c r="J382" t="str">
        <f>IF(CALC_EPM!$B371="","",CALC_EPM!J371)</f>
      </c>
      <c r="K382" t="str">
        <f>IF(CALC_EPM!$B371="","",CALC_EPM!K371)</f>
      </c>
      <c r="L382">
        <f>IF(CALC_EPM!$B371="","",CALC_EPM!L371)</f>
      </c>
      <c r="M382">
        <f>IF(CALC_EPM!$B371="","",CALC_EPM!M371)</f>
      </c>
      <c r="N382">
        <f>IF(CALC_EPM!$B371="","",CALC_EPM!N371)</f>
      </c>
      <c r="O382">
        <f>IF(CALC_EPM!$B371="","",CALC_EPM!O371)</f>
      </c>
      <c r="P382">
        <f>IF(CALC_EPM!$B371="","",CALC_EPM!P371)</f>
      </c>
      <c r="Q382">
        <f>IF(CALC_EPM!$B371="","",CALC_EPM!Q371)</f>
      </c>
      <c r="R382">
        <f>IF(CALC_EPM!$B371="","",CALC_EPM!R371)</f>
      </c>
      <c r="S382">
        <f>IF(CALC_EPM!$B371="","",CALC_EPM!S371)</f>
      </c>
      <c r="T382">
        <f>IF(CALC_EPM!$B371="","",CALC_EPM!T371)</f>
      </c>
      <c r="U382">
        <f>IF(CALC_EPM!$B371="","",CALC_EPM!U371)</f>
      </c>
    </row>
    <row r="383">
      <c r="A383" t="str">
        <f>IF(CALC_EPM!$B372="","",IF(CALC_EPM!A372="GLOBAL",IF(CALC_EPM!C372="Total","GLOBAL",IF(CALC_EPM!C372="TotalEsp","GLOBAL_ESP",IF(CALC_EPM!C372="TotalNoEsp","GLOBAL_NOESP","GLOBAL_ASIG"))),IF(CALC_EPM!C372="Total","CURSO_TOTAL",IF(CALC_EPM!C372="TotalEsp","CURSO_ESP",IF(CALC_EPM!C372="TotalNoEsp","CURSO_NOESP","CURSO_ASIG")))))</f>
      </c>
      <c r="B383" t="str">
        <f>IF(CALC_EPM!$B372="","",CALC_EPM!A372)</f>
      </c>
      <c r="C383" t="str">
        <f>IF(CALC_EPM!$B372="","",CALC_EPM!B372)</f>
      </c>
      <c r="D383">
        <f>IF(CALC_EPM!$B372="","",CALC_EPM!D372)</f>
      </c>
      <c r="E383" s="10" t="str">
        <f>IF(CALC_EPM!$B372="","",CALC_EPM!E372)</f>
      </c>
      <c r="F383" s="10" t="str">
        <f>IF(CALC_EPM!$B372="","",CALC_EPM!F372)</f>
      </c>
      <c r="G383" t="str">
        <f>IF(CALC_EPM!$B372="","",CALC_EPM!G372)</f>
      </c>
      <c r="H383" s="11" t="str">
        <f>IF(CALC_EPM!$B372="","",CALC_EPM!H372)</f>
      </c>
      <c r="I383" s="11" t="str">
        <f>IF(CALC_EPM!$B372="","",CALC_EPM!I372)</f>
      </c>
      <c r="J383" t="str">
        <f>IF(CALC_EPM!$B372="","",CALC_EPM!J372)</f>
      </c>
      <c r="K383" t="str">
        <f>IF(CALC_EPM!$B372="","",CALC_EPM!K372)</f>
      </c>
      <c r="L383">
        <f>IF(CALC_EPM!$B372="","",CALC_EPM!L372)</f>
      </c>
      <c r="M383">
        <f>IF(CALC_EPM!$B372="","",CALC_EPM!M372)</f>
      </c>
      <c r="N383">
        <f>IF(CALC_EPM!$B372="","",CALC_EPM!N372)</f>
      </c>
      <c r="O383">
        <f>IF(CALC_EPM!$B372="","",CALC_EPM!O372)</f>
      </c>
      <c r="P383">
        <f>IF(CALC_EPM!$B372="","",CALC_EPM!P372)</f>
      </c>
      <c r="Q383">
        <f>IF(CALC_EPM!$B372="","",CALC_EPM!Q372)</f>
      </c>
      <c r="R383">
        <f>IF(CALC_EPM!$B372="","",CALC_EPM!R372)</f>
      </c>
      <c r="S383">
        <f>IF(CALC_EPM!$B372="","",CALC_EPM!S372)</f>
      </c>
      <c r="T383">
        <f>IF(CALC_EPM!$B372="","",CALC_EPM!T372)</f>
      </c>
      <c r="U383">
        <f>IF(CALC_EPM!$B372="","",CALC_EPM!U372)</f>
      </c>
    </row>
    <row r="384">
      <c r="A384" t="str">
        <f>IF(CALC_EPM!$B373="","",IF(CALC_EPM!A373="GLOBAL",IF(CALC_EPM!C373="Total","GLOBAL",IF(CALC_EPM!C373="TotalEsp","GLOBAL_ESP",IF(CALC_EPM!C373="TotalNoEsp","GLOBAL_NOESP","GLOBAL_ASIG"))),IF(CALC_EPM!C373="Total","CURSO_TOTAL",IF(CALC_EPM!C373="TotalEsp","CURSO_ESP",IF(CALC_EPM!C373="TotalNoEsp","CURSO_NOESP","CURSO_ASIG")))))</f>
      </c>
      <c r="B384" t="str">
        <f>IF(CALC_EPM!$B373="","",CALC_EPM!A373)</f>
      </c>
      <c r="C384" t="str">
        <f>IF(CALC_EPM!$B373="","",CALC_EPM!B373)</f>
      </c>
      <c r="D384">
        <f>IF(CALC_EPM!$B373="","",CALC_EPM!D373)</f>
      </c>
      <c r="E384" s="10" t="str">
        <f>IF(CALC_EPM!$B373="","",CALC_EPM!E373)</f>
      </c>
      <c r="F384" s="10" t="str">
        <f>IF(CALC_EPM!$B373="","",CALC_EPM!F373)</f>
      </c>
      <c r="G384" t="str">
        <f>IF(CALC_EPM!$B373="","",CALC_EPM!G373)</f>
      </c>
      <c r="H384" s="11" t="str">
        <f>IF(CALC_EPM!$B373="","",CALC_EPM!H373)</f>
      </c>
      <c r="I384" s="11" t="str">
        <f>IF(CALC_EPM!$B373="","",CALC_EPM!I373)</f>
      </c>
      <c r="J384" t="str">
        <f>IF(CALC_EPM!$B373="","",CALC_EPM!J373)</f>
      </c>
      <c r="K384" t="str">
        <f>IF(CALC_EPM!$B373="","",CALC_EPM!K373)</f>
      </c>
      <c r="L384">
        <f>IF(CALC_EPM!$B373="","",CALC_EPM!L373)</f>
      </c>
      <c r="M384">
        <f>IF(CALC_EPM!$B373="","",CALC_EPM!M373)</f>
      </c>
      <c r="N384">
        <f>IF(CALC_EPM!$B373="","",CALC_EPM!N373)</f>
      </c>
      <c r="O384">
        <f>IF(CALC_EPM!$B373="","",CALC_EPM!O373)</f>
      </c>
      <c r="P384">
        <f>IF(CALC_EPM!$B373="","",CALC_EPM!P373)</f>
      </c>
      <c r="Q384">
        <f>IF(CALC_EPM!$B373="","",CALC_EPM!Q373)</f>
      </c>
      <c r="R384">
        <f>IF(CALC_EPM!$B373="","",CALC_EPM!R373)</f>
      </c>
      <c r="S384">
        <f>IF(CALC_EPM!$B373="","",CALC_EPM!S373)</f>
      </c>
      <c r="T384">
        <f>IF(CALC_EPM!$B373="","",CALC_EPM!T373)</f>
      </c>
      <c r="U384">
        <f>IF(CALC_EPM!$B373="","",CALC_EPM!U373)</f>
      </c>
    </row>
    <row r="385">
      <c r="A385" t="str">
        <f>IF(CALC_EPM!$B374="","",IF(CALC_EPM!A374="GLOBAL",IF(CALC_EPM!C374="Total","GLOBAL",IF(CALC_EPM!C374="TotalEsp","GLOBAL_ESP",IF(CALC_EPM!C374="TotalNoEsp","GLOBAL_NOESP","GLOBAL_ASIG"))),IF(CALC_EPM!C374="Total","CURSO_TOTAL",IF(CALC_EPM!C374="TotalEsp","CURSO_ESP",IF(CALC_EPM!C374="TotalNoEsp","CURSO_NOESP","CURSO_ASIG")))))</f>
      </c>
      <c r="B385" t="str">
        <f>IF(CALC_EPM!$B374="","",CALC_EPM!A374)</f>
      </c>
      <c r="C385" t="str">
        <f>IF(CALC_EPM!$B374="","",CALC_EPM!B374)</f>
      </c>
      <c r="D385">
        <f>IF(CALC_EPM!$B374="","",CALC_EPM!D374)</f>
      </c>
      <c r="E385" s="10" t="str">
        <f>IF(CALC_EPM!$B374="","",CALC_EPM!E374)</f>
      </c>
      <c r="F385" s="10" t="str">
        <f>IF(CALC_EPM!$B374="","",CALC_EPM!F374)</f>
      </c>
      <c r="G385" t="str">
        <f>IF(CALC_EPM!$B374="","",CALC_EPM!G374)</f>
      </c>
      <c r="H385" s="11" t="str">
        <f>IF(CALC_EPM!$B374="","",CALC_EPM!H374)</f>
      </c>
      <c r="I385" s="11" t="str">
        <f>IF(CALC_EPM!$B374="","",CALC_EPM!I374)</f>
      </c>
      <c r="J385" t="str">
        <f>IF(CALC_EPM!$B374="","",CALC_EPM!J374)</f>
      </c>
      <c r="K385" t="str">
        <f>IF(CALC_EPM!$B374="","",CALC_EPM!K374)</f>
      </c>
      <c r="L385">
        <f>IF(CALC_EPM!$B374="","",CALC_EPM!L374)</f>
      </c>
      <c r="M385">
        <f>IF(CALC_EPM!$B374="","",CALC_EPM!M374)</f>
      </c>
      <c r="N385">
        <f>IF(CALC_EPM!$B374="","",CALC_EPM!N374)</f>
      </c>
      <c r="O385">
        <f>IF(CALC_EPM!$B374="","",CALC_EPM!O374)</f>
      </c>
      <c r="P385">
        <f>IF(CALC_EPM!$B374="","",CALC_EPM!P374)</f>
      </c>
      <c r="Q385">
        <f>IF(CALC_EPM!$B374="","",CALC_EPM!Q374)</f>
      </c>
      <c r="R385">
        <f>IF(CALC_EPM!$B374="","",CALC_EPM!R374)</f>
      </c>
      <c r="S385">
        <f>IF(CALC_EPM!$B374="","",CALC_EPM!S374)</f>
      </c>
      <c r="T385">
        <f>IF(CALC_EPM!$B374="","",CALC_EPM!T374)</f>
      </c>
      <c r="U385">
        <f>IF(CALC_EPM!$B374="","",CALC_EPM!U374)</f>
      </c>
    </row>
    <row r="386">
      <c r="A386" t="str">
        <f>IF(CALC_EPM!$B375="","",IF(CALC_EPM!A375="GLOBAL",IF(CALC_EPM!C375="Total","GLOBAL",IF(CALC_EPM!C375="TotalEsp","GLOBAL_ESP",IF(CALC_EPM!C375="TotalNoEsp","GLOBAL_NOESP","GLOBAL_ASIG"))),IF(CALC_EPM!C375="Total","CURSO_TOTAL",IF(CALC_EPM!C375="TotalEsp","CURSO_ESP",IF(CALC_EPM!C375="TotalNoEsp","CURSO_NOESP","CURSO_ASIG")))))</f>
      </c>
      <c r="B386" t="str">
        <f>IF(CALC_EPM!$B375="","",CALC_EPM!A375)</f>
      </c>
      <c r="C386" t="str">
        <f>IF(CALC_EPM!$B375="","",CALC_EPM!B375)</f>
      </c>
      <c r="D386">
        <f>IF(CALC_EPM!$B375="","",CALC_EPM!D375)</f>
      </c>
      <c r="E386" s="10" t="str">
        <f>IF(CALC_EPM!$B375="","",CALC_EPM!E375)</f>
      </c>
      <c r="F386" s="10" t="str">
        <f>IF(CALC_EPM!$B375="","",CALC_EPM!F375)</f>
      </c>
      <c r="G386" t="str">
        <f>IF(CALC_EPM!$B375="","",CALC_EPM!G375)</f>
      </c>
      <c r="H386" s="11" t="str">
        <f>IF(CALC_EPM!$B375="","",CALC_EPM!H375)</f>
      </c>
      <c r="I386" s="11" t="str">
        <f>IF(CALC_EPM!$B375="","",CALC_EPM!I375)</f>
      </c>
      <c r="J386" t="str">
        <f>IF(CALC_EPM!$B375="","",CALC_EPM!J375)</f>
      </c>
      <c r="K386" t="str">
        <f>IF(CALC_EPM!$B375="","",CALC_EPM!K375)</f>
      </c>
      <c r="L386">
        <f>IF(CALC_EPM!$B375="","",CALC_EPM!L375)</f>
      </c>
      <c r="M386">
        <f>IF(CALC_EPM!$B375="","",CALC_EPM!M375)</f>
      </c>
      <c r="N386">
        <f>IF(CALC_EPM!$B375="","",CALC_EPM!N375)</f>
      </c>
      <c r="O386">
        <f>IF(CALC_EPM!$B375="","",CALC_EPM!O375)</f>
      </c>
      <c r="P386">
        <f>IF(CALC_EPM!$B375="","",CALC_EPM!P375)</f>
      </c>
      <c r="Q386">
        <f>IF(CALC_EPM!$B375="","",CALC_EPM!Q375)</f>
      </c>
      <c r="R386">
        <f>IF(CALC_EPM!$B375="","",CALC_EPM!R375)</f>
      </c>
      <c r="S386">
        <f>IF(CALC_EPM!$B375="","",CALC_EPM!S375)</f>
      </c>
      <c r="T386">
        <f>IF(CALC_EPM!$B375="","",CALC_EPM!T375)</f>
      </c>
      <c r="U386">
        <f>IF(CALC_EPM!$B375="","",CALC_EPM!U375)</f>
      </c>
    </row>
    <row r="387">
      <c r="A387" t="str">
        <f>IF(CALC_EPM!$B376="","",IF(CALC_EPM!A376="GLOBAL",IF(CALC_EPM!C376="Total","GLOBAL",IF(CALC_EPM!C376="TotalEsp","GLOBAL_ESP",IF(CALC_EPM!C376="TotalNoEsp","GLOBAL_NOESP","GLOBAL_ASIG"))),IF(CALC_EPM!C376="Total","CURSO_TOTAL",IF(CALC_EPM!C376="TotalEsp","CURSO_ESP",IF(CALC_EPM!C376="TotalNoEsp","CURSO_NOESP","CURSO_ASIG")))))</f>
      </c>
      <c r="B387" t="str">
        <f>IF(CALC_EPM!$B376="","",CALC_EPM!A376)</f>
      </c>
      <c r="C387" t="str">
        <f>IF(CALC_EPM!$B376="","",CALC_EPM!B376)</f>
      </c>
      <c r="D387">
        <f>IF(CALC_EPM!$B376="","",CALC_EPM!D376)</f>
      </c>
      <c r="E387" s="10" t="str">
        <f>IF(CALC_EPM!$B376="","",CALC_EPM!E376)</f>
      </c>
      <c r="F387" s="10" t="str">
        <f>IF(CALC_EPM!$B376="","",CALC_EPM!F376)</f>
      </c>
      <c r="G387" t="str">
        <f>IF(CALC_EPM!$B376="","",CALC_EPM!G376)</f>
      </c>
      <c r="H387" s="11" t="str">
        <f>IF(CALC_EPM!$B376="","",CALC_EPM!H376)</f>
      </c>
      <c r="I387" s="11" t="str">
        <f>IF(CALC_EPM!$B376="","",CALC_EPM!I376)</f>
      </c>
      <c r="J387" t="str">
        <f>IF(CALC_EPM!$B376="","",CALC_EPM!J376)</f>
      </c>
      <c r="K387" t="str">
        <f>IF(CALC_EPM!$B376="","",CALC_EPM!K376)</f>
      </c>
      <c r="L387">
        <f>IF(CALC_EPM!$B376="","",CALC_EPM!L376)</f>
      </c>
      <c r="M387">
        <f>IF(CALC_EPM!$B376="","",CALC_EPM!M376)</f>
      </c>
      <c r="N387">
        <f>IF(CALC_EPM!$B376="","",CALC_EPM!N376)</f>
      </c>
      <c r="O387">
        <f>IF(CALC_EPM!$B376="","",CALC_EPM!O376)</f>
      </c>
      <c r="P387">
        <f>IF(CALC_EPM!$B376="","",CALC_EPM!P376)</f>
      </c>
      <c r="Q387">
        <f>IF(CALC_EPM!$B376="","",CALC_EPM!Q376)</f>
      </c>
      <c r="R387">
        <f>IF(CALC_EPM!$B376="","",CALC_EPM!R376)</f>
      </c>
      <c r="S387">
        <f>IF(CALC_EPM!$B376="","",CALC_EPM!S376)</f>
      </c>
      <c r="T387">
        <f>IF(CALC_EPM!$B376="","",CALC_EPM!T376)</f>
      </c>
      <c r="U387">
        <f>IF(CALC_EPM!$B376="","",CALC_EPM!U376)</f>
      </c>
    </row>
    <row r="388">
      <c r="A388" t="str">
        <f>IF(CALC_EPM!$B377="","",IF(CALC_EPM!A377="GLOBAL",IF(CALC_EPM!C377="Total","GLOBAL",IF(CALC_EPM!C377="TotalEsp","GLOBAL_ESP",IF(CALC_EPM!C377="TotalNoEsp","GLOBAL_NOESP","GLOBAL_ASIG"))),IF(CALC_EPM!C377="Total","CURSO_TOTAL",IF(CALC_EPM!C377="TotalEsp","CURSO_ESP",IF(CALC_EPM!C377="TotalNoEsp","CURSO_NOESP","CURSO_ASIG")))))</f>
      </c>
      <c r="B388" t="str">
        <f>IF(CALC_EPM!$B377="","",CALC_EPM!A377)</f>
      </c>
      <c r="C388" t="str">
        <f>IF(CALC_EPM!$B377="","",CALC_EPM!B377)</f>
      </c>
      <c r="D388">
        <f>IF(CALC_EPM!$B377="","",CALC_EPM!D377)</f>
      </c>
      <c r="E388" s="10" t="str">
        <f>IF(CALC_EPM!$B377="","",CALC_EPM!E377)</f>
      </c>
      <c r="F388" s="10" t="str">
        <f>IF(CALC_EPM!$B377="","",CALC_EPM!F377)</f>
      </c>
      <c r="G388" t="str">
        <f>IF(CALC_EPM!$B377="","",CALC_EPM!G377)</f>
      </c>
      <c r="H388" s="11" t="str">
        <f>IF(CALC_EPM!$B377="","",CALC_EPM!H377)</f>
      </c>
      <c r="I388" s="11" t="str">
        <f>IF(CALC_EPM!$B377="","",CALC_EPM!I377)</f>
      </c>
      <c r="J388" t="str">
        <f>IF(CALC_EPM!$B377="","",CALC_EPM!J377)</f>
      </c>
      <c r="K388" t="str">
        <f>IF(CALC_EPM!$B377="","",CALC_EPM!K377)</f>
      </c>
      <c r="L388">
        <f>IF(CALC_EPM!$B377="","",CALC_EPM!L377)</f>
      </c>
      <c r="M388">
        <f>IF(CALC_EPM!$B377="","",CALC_EPM!M377)</f>
      </c>
      <c r="N388">
        <f>IF(CALC_EPM!$B377="","",CALC_EPM!N377)</f>
      </c>
      <c r="O388">
        <f>IF(CALC_EPM!$B377="","",CALC_EPM!O377)</f>
      </c>
      <c r="P388">
        <f>IF(CALC_EPM!$B377="","",CALC_EPM!P377)</f>
      </c>
      <c r="Q388">
        <f>IF(CALC_EPM!$B377="","",CALC_EPM!Q377)</f>
      </c>
      <c r="R388">
        <f>IF(CALC_EPM!$B377="","",CALC_EPM!R377)</f>
      </c>
      <c r="S388">
        <f>IF(CALC_EPM!$B377="","",CALC_EPM!S377)</f>
      </c>
      <c r="T388">
        <f>IF(CALC_EPM!$B377="","",CALC_EPM!T377)</f>
      </c>
      <c r="U388">
        <f>IF(CALC_EPM!$B377="","",CALC_EPM!U377)</f>
      </c>
    </row>
    <row r="389">
      <c r="A389" t="str">
        <f>IF(CALC_EPM!$B378="","",IF(CALC_EPM!A378="GLOBAL",IF(CALC_EPM!C378="Total","GLOBAL",IF(CALC_EPM!C378="TotalEsp","GLOBAL_ESP",IF(CALC_EPM!C378="TotalNoEsp","GLOBAL_NOESP","GLOBAL_ASIG"))),IF(CALC_EPM!C378="Total","CURSO_TOTAL",IF(CALC_EPM!C378="TotalEsp","CURSO_ESP",IF(CALC_EPM!C378="TotalNoEsp","CURSO_NOESP","CURSO_ASIG")))))</f>
      </c>
      <c r="B389" t="str">
        <f>IF(CALC_EPM!$B378="","",CALC_EPM!A378)</f>
      </c>
      <c r="C389" t="str">
        <f>IF(CALC_EPM!$B378="","",CALC_EPM!B378)</f>
      </c>
      <c r="D389">
        <f>IF(CALC_EPM!$B378="","",CALC_EPM!D378)</f>
      </c>
      <c r="E389" s="10" t="str">
        <f>IF(CALC_EPM!$B378="","",CALC_EPM!E378)</f>
      </c>
      <c r="F389" s="10" t="str">
        <f>IF(CALC_EPM!$B378="","",CALC_EPM!F378)</f>
      </c>
      <c r="G389" t="str">
        <f>IF(CALC_EPM!$B378="","",CALC_EPM!G378)</f>
      </c>
      <c r="H389" s="11" t="str">
        <f>IF(CALC_EPM!$B378="","",CALC_EPM!H378)</f>
      </c>
      <c r="I389" s="11" t="str">
        <f>IF(CALC_EPM!$B378="","",CALC_EPM!I378)</f>
      </c>
      <c r="J389" t="str">
        <f>IF(CALC_EPM!$B378="","",CALC_EPM!J378)</f>
      </c>
      <c r="K389" t="str">
        <f>IF(CALC_EPM!$B378="","",CALC_EPM!K378)</f>
      </c>
      <c r="L389">
        <f>IF(CALC_EPM!$B378="","",CALC_EPM!L378)</f>
      </c>
      <c r="M389">
        <f>IF(CALC_EPM!$B378="","",CALC_EPM!M378)</f>
      </c>
      <c r="N389">
        <f>IF(CALC_EPM!$B378="","",CALC_EPM!N378)</f>
      </c>
      <c r="O389">
        <f>IF(CALC_EPM!$B378="","",CALC_EPM!O378)</f>
      </c>
      <c r="P389">
        <f>IF(CALC_EPM!$B378="","",CALC_EPM!P378)</f>
      </c>
      <c r="Q389">
        <f>IF(CALC_EPM!$B378="","",CALC_EPM!Q378)</f>
      </c>
      <c r="R389">
        <f>IF(CALC_EPM!$B378="","",CALC_EPM!R378)</f>
      </c>
      <c r="S389">
        <f>IF(CALC_EPM!$B378="","",CALC_EPM!S378)</f>
      </c>
      <c r="T389">
        <f>IF(CALC_EPM!$B378="","",CALC_EPM!T378)</f>
      </c>
      <c r="U389">
        <f>IF(CALC_EPM!$B378="","",CALC_EPM!U378)</f>
      </c>
    </row>
    <row r="390">
      <c r="A390" t="str">
        <f>IF(CALC_EPM!$B379="","",IF(CALC_EPM!A379="GLOBAL",IF(CALC_EPM!C379="Total","GLOBAL",IF(CALC_EPM!C379="TotalEsp","GLOBAL_ESP",IF(CALC_EPM!C379="TotalNoEsp","GLOBAL_NOESP","GLOBAL_ASIG"))),IF(CALC_EPM!C379="Total","CURSO_TOTAL",IF(CALC_EPM!C379="TotalEsp","CURSO_ESP",IF(CALC_EPM!C379="TotalNoEsp","CURSO_NOESP","CURSO_ASIG")))))</f>
      </c>
      <c r="B390" t="str">
        <f>IF(CALC_EPM!$B379="","",CALC_EPM!A379)</f>
      </c>
      <c r="C390" t="str">
        <f>IF(CALC_EPM!$B379="","",CALC_EPM!B379)</f>
      </c>
      <c r="D390">
        <f>IF(CALC_EPM!$B379="","",CALC_EPM!D379)</f>
      </c>
      <c r="E390" s="10" t="str">
        <f>IF(CALC_EPM!$B379="","",CALC_EPM!E379)</f>
      </c>
      <c r="F390" s="10" t="str">
        <f>IF(CALC_EPM!$B379="","",CALC_EPM!F379)</f>
      </c>
      <c r="G390" t="str">
        <f>IF(CALC_EPM!$B379="","",CALC_EPM!G379)</f>
      </c>
      <c r="H390" s="11" t="str">
        <f>IF(CALC_EPM!$B379="","",CALC_EPM!H379)</f>
      </c>
      <c r="I390" s="11" t="str">
        <f>IF(CALC_EPM!$B379="","",CALC_EPM!I379)</f>
      </c>
      <c r="J390" t="str">
        <f>IF(CALC_EPM!$B379="","",CALC_EPM!J379)</f>
      </c>
      <c r="K390" t="str">
        <f>IF(CALC_EPM!$B379="","",CALC_EPM!K379)</f>
      </c>
      <c r="L390">
        <f>IF(CALC_EPM!$B379="","",CALC_EPM!L379)</f>
      </c>
      <c r="M390">
        <f>IF(CALC_EPM!$B379="","",CALC_EPM!M379)</f>
      </c>
      <c r="N390">
        <f>IF(CALC_EPM!$B379="","",CALC_EPM!N379)</f>
      </c>
      <c r="O390">
        <f>IF(CALC_EPM!$B379="","",CALC_EPM!O379)</f>
      </c>
      <c r="P390">
        <f>IF(CALC_EPM!$B379="","",CALC_EPM!P379)</f>
      </c>
      <c r="Q390">
        <f>IF(CALC_EPM!$B379="","",CALC_EPM!Q379)</f>
      </c>
      <c r="R390">
        <f>IF(CALC_EPM!$B379="","",CALC_EPM!R379)</f>
      </c>
      <c r="S390">
        <f>IF(CALC_EPM!$B379="","",CALC_EPM!S379)</f>
      </c>
      <c r="T390">
        <f>IF(CALC_EPM!$B379="","",CALC_EPM!T379)</f>
      </c>
      <c r="U390">
        <f>IF(CALC_EPM!$B379="","",CALC_EPM!U379)</f>
      </c>
    </row>
    <row r="391">
      <c r="A391" t="str">
        <f>IF(CALC_EPM!$B380="","",IF(CALC_EPM!A380="GLOBAL",IF(CALC_EPM!C380="Total","GLOBAL",IF(CALC_EPM!C380="TotalEsp","GLOBAL_ESP",IF(CALC_EPM!C380="TotalNoEsp","GLOBAL_NOESP","GLOBAL_ASIG"))),IF(CALC_EPM!C380="Total","CURSO_TOTAL",IF(CALC_EPM!C380="TotalEsp","CURSO_ESP",IF(CALC_EPM!C380="TotalNoEsp","CURSO_NOESP","CURSO_ASIG")))))</f>
      </c>
      <c r="B391" t="str">
        <f>IF(CALC_EPM!$B380="","",CALC_EPM!A380)</f>
      </c>
      <c r="C391" t="str">
        <f>IF(CALC_EPM!$B380="","",CALC_EPM!B380)</f>
      </c>
      <c r="D391">
        <f>IF(CALC_EPM!$B380="","",CALC_EPM!D380)</f>
      </c>
      <c r="E391" s="10" t="str">
        <f>IF(CALC_EPM!$B380="","",CALC_EPM!E380)</f>
      </c>
      <c r="F391" s="10" t="str">
        <f>IF(CALC_EPM!$B380="","",CALC_EPM!F380)</f>
      </c>
      <c r="G391" t="str">
        <f>IF(CALC_EPM!$B380="","",CALC_EPM!G380)</f>
      </c>
      <c r="H391" s="11" t="str">
        <f>IF(CALC_EPM!$B380="","",CALC_EPM!H380)</f>
      </c>
      <c r="I391" s="11" t="str">
        <f>IF(CALC_EPM!$B380="","",CALC_EPM!I380)</f>
      </c>
      <c r="J391" t="str">
        <f>IF(CALC_EPM!$B380="","",CALC_EPM!J380)</f>
      </c>
      <c r="K391" t="str">
        <f>IF(CALC_EPM!$B380="","",CALC_EPM!K380)</f>
      </c>
      <c r="L391">
        <f>IF(CALC_EPM!$B380="","",CALC_EPM!L380)</f>
      </c>
      <c r="M391">
        <f>IF(CALC_EPM!$B380="","",CALC_EPM!M380)</f>
      </c>
      <c r="N391">
        <f>IF(CALC_EPM!$B380="","",CALC_EPM!N380)</f>
      </c>
      <c r="O391">
        <f>IF(CALC_EPM!$B380="","",CALC_EPM!O380)</f>
      </c>
      <c r="P391">
        <f>IF(CALC_EPM!$B380="","",CALC_EPM!P380)</f>
      </c>
      <c r="Q391">
        <f>IF(CALC_EPM!$B380="","",CALC_EPM!Q380)</f>
      </c>
      <c r="R391">
        <f>IF(CALC_EPM!$B380="","",CALC_EPM!R380)</f>
      </c>
      <c r="S391">
        <f>IF(CALC_EPM!$B380="","",CALC_EPM!S380)</f>
      </c>
      <c r="T391">
        <f>IF(CALC_EPM!$B380="","",CALC_EPM!T380)</f>
      </c>
      <c r="U391">
        <f>IF(CALC_EPM!$B380="","",CALC_EPM!U380)</f>
      </c>
    </row>
    <row r="392">
      <c r="A392" t="str">
        <f>IF(CALC_EPM!$B381="","",IF(CALC_EPM!A381="GLOBAL",IF(CALC_EPM!C381="Total","GLOBAL",IF(CALC_EPM!C381="TotalEsp","GLOBAL_ESP",IF(CALC_EPM!C381="TotalNoEsp","GLOBAL_NOESP","GLOBAL_ASIG"))),IF(CALC_EPM!C381="Total","CURSO_TOTAL",IF(CALC_EPM!C381="TotalEsp","CURSO_ESP",IF(CALC_EPM!C381="TotalNoEsp","CURSO_NOESP","CURSO_ASIG")))))</f>
      </c>
      <c r="B392" t="str">
        <f>IF(CALC_EPM!$B381="","",CALC_EPM!A381)</f>
      </c>
      <c r="C392" t="str">
        <f>IF(CALC_EPM!$B381="","",CALC_EPM!B381)</f>
      </c>
      <c r="D392">
        <f>IF(CALC_EPM!$B381="","",CALC_EPM!D381)</f>
      </c>
      <c r="E392" s="10" t="str">
        <f>IF(CALC_EPM!$B381="","",CALC_EPM!E381)</f>
      </c>
      <c r="F392" s="10" t="str">
        <f>IF(CALC_EPM!$B381="","",CALC_EPM!F381)</f>
      </c>
      <c r="G392" t="str">
        <f>IF(CALC_EPM!$B381="","",CALC_EPM!G381)</f>
      </c>
      <c r="H392" s="11" t="str">
        <f>IF(CALC_EPM!$B381="","",CALC_EPM!H381)</f>
      </c>
      <c r="I392" s="11" t="str">
        <f>IF(CALC_EPM!$B381="","",CALC_EPM!I381)</f>
      </c>
      <c r="J392" t="str">
        <f>IF(CALC_EPM!$B381="","",CALC_EPM!J381)</f>
      </c>
      <c r="K392" t="str">
        <f>IF(CALC_EPM!$B381="","",CALC_EPM!K381)</f>
      </c>
      <c r="L392">
        <f>IF(CALC_EPM!$B381="","",CALC_EPM!L381)</f>
      </c>
      <c r="M392">
        <f>IF(CALC_EPM!$B381="","",CALC_EPM!M381)</f>
      </c>
      <c r="N392">
        <f>IF(CALC_EPM!$B381="","",CALC_EPM!N381)</f>
      </c>
      <c r="O392">
        <f>IF(CALC_EPM!$B381="","",CALC_EPM!O381)</f>
      </c>
      <c r="P392">
        <f>IF(CALC_EPM!$B381="","",CALC_EPM!P381)</f>
      </c>
      <c r="Q392">
        <f>IF(CALC_EPM!$B381="","",CALC_EPM!Q381)</f>
      </c>
      <c r="R392">
        <f>IF(CALC_EPM!$B381="","",CALC_EPM!R381)</f>
      </c>
      <c r="S392">
        <f>IF(CALC_EPM!$B381="","",CALC_EPM!S381)</f>
      </c>
      <c r="T392">
        <f>IF(CALC_EPM!$B381="","",CALC_EPM!T381)</f>
      </c>
      <c r="U392">
        <f>IF(CALC_EPM!$B381="","",CALC_EPM!U381)</f>
      </c>
    </row>
    <row r="393">
      <c r="A393" t="str">
        <f>IF(CALC_EPM!$B382="","",IF(CALC_EPM!A382="GLOBAL",IF(CALC_EPM!C382="Total","GLOBAL",IF(CALC_EPM!C382="TotalEsp","GLOBAL_ESP",IF(CALC_EPM!C382="TotalNoEsp","GLOBAL_NOESP","GLOBAL_ASIG"))),IF(CALC_EPM!C382="Total","CURSO_TOTAL",IF(CALC_EPM!C382="TotalEsp","CURSO_ESP",IF(CALC_EPM!C382="TotalNoEsp","CURSO_NOESP","CURSO_ASIG")))))</f>
      </c>
      <c r="B393" t="str">
        <f>IF(CALC_EPM!$B382="","",CALC_EPM!A382)</f>
      </c>
      <c r="C393" t="str">
        <f>IF(CALC_EPM!$B382="","",CALC_EPM!B382)</f>
      </c>
      <c r="D393">
        <f>IF(CALC_EPM!$B382="","",CALC_EPM!D382)</f>
      </c>
      <c r="E393" s="10" t="str">
        <f>IF(CALC_EPM!$B382="","",CALC_EPM!E382)</f>
      </c>
      <c r="F393" s="10" t="str">
        <f>IF(CALC_EPM!$B382="","",CALC_EPM!F382)</f>
      </c>
      <c r="G393" t="str">
        <f>IF(CALC_EPM!$B382="","",CALC_EPM!G382)</f>
      </c>
      <c r="H393" s="11" t="str">
        <f>IF(CALC_EPM!$B382="","",CALC_EPM!H382)</f>
      </c>
      <c r="I393" s="11" t="str">
        <f>IF(CALC_EPM!$B382="","",CALC_EPM!I382)</f>
      </c>
      <c r="J393" t="str">
        <f>IF(CALC_EPM!$B382="","",CALC_EPM!J382)</f>
      </c>
      <c r="K393" t="str">
        <f>IF(CALC_EPM!$B382="","",CALC_EPM!K382)</f>
      </c>
      <c r="L393">
        <f>IF(CALC_EPM!$B382="","",CALC_EPM!L382)</f>
      </c>
      <c r="M393">
        <f>IF(CALC_EPM!$B382="","",CALC_EPM!M382)</f>
      </c>
      <c r="N393">
        <f>IF(CALC_EPM!$B382="","",CALC_EPM!N382)</f>
      </c>
      <c r="O393">
        <f>IF(CALC_EPM!$B382="","",CALC_EPM!O382)</f>
      </c>
      <c r="P393">
        <f>IF(CALC_EPM!$B382="","",CALC_EPM!P382)</f>
      </c>
      <c r="Q393">
        <f>IF(CALC_EPM!$B382="","",CALC_EPM!Q382)</f>
      </c>
      <c r="R393">
        <f>IF(CALC_EPM!$B382="","",CALC_EPM!R382)</f>
      </c>
      <c r="S393">
        <f>IF(CALC_EPM!$B382="","",CALC_EPM!S382)</f>
      </c>
      <c r="T393">
        <f>IF(CALC_EPM!$B382="","",CALC_EPM!T382)</f>
      </c>
      <c r="U393">
        <f>IF(CALC_EPM!$B382="","",CALC_EPM!U382)</f>
      </c>
    </row>
    <row r="394">
      <c r="A394" t="str">
        <f>IF(CALC_EPM!$B383="","",IF(CALC_EPM!A383="GLOBAL",IF(CALC_EPM!C383="Total","GLOBAL",IF(CALC_EPM!C383="TotalEsp","GLOBAL_ESP",IF(CALC_EPM!C383="TotalNoEsp","GLOBAL_NOESP","GLOBAL_ASIG"))),IF(CALC_EPM!C383="Total","CURSO_TOTAL",IF(CALC_EPM!C383="TotalEsp","CURSO_ESP",IF(CALC_EPM!C383="TotalNoEsp","CURSO_NOESP","CURSO_ASIG")))))</f>
      </c>
      <c r="B394" t="str">
        <f>IF(CALC_EPM!$B383="","",CALC_EPM!A383)</f>
      </c>
      <c r="C394" t="str">
        <f>IF(CALC_EPM!$B383="","",CALC_EPM!B383)</f>
      </c>
      <c r="D394">
        <f>IF(CALC_EPM!$B383="","",CALC_EPM!D383)</f>
      </c>
      <c r="E394" s="10" t="str">
        <f>IF(CALC_EPM!$B383="","",CALC_EPM!E383)</f>
      </c>
      <c r="F394" s="10" t="str">
        <f>IF(CALC_EPM!$B383="","",CALC_EPM!F383)</f>
      </c>
      <c r="G394" t="str">
        <f>IF(CALC_EPM!$B383="","",CALC_EPM!G383)</f>
      </c>
      <c r="H394" s="11" t="str">
        <f>IF(CALC_EPM!$B383="","",CALC_EPM!H383)</f>
      </c>
      <c r="I394" s="11" t="str">
        <f>IF(CALC_EPM!$B383="","",CALC_EPM!I383)</f>
      </c>
      <c r="J394" t="str">
        <f>IF(CALC_EPM!$B383="","",CALC_EPM!J383)</f>
      </c>
      <c r="K394" t="str">
        <f>IF(CALC_EPM!$B383="","",CALC_EPM!K383)</f>
      </c>
      <c r="L394">
        <f>IF(CALC_EPM!$B383="","",CALC_EPM!L383)</f>
      </c>
      <c r="M394">
        <f>IF(CALC_EPM!$B383="","",CALC_EPM!M383)</f>
      </c>
      <c r="N394">
        <f>IF(CALC_EPM!$B383="","",CALC_EPM!N383)</f>
      </c>
      <c r="O394">
        <f>IF(CALC_EPM!$B383="","",CALC_EPM!O383)</f>
      </c>
      <c r="P394">
        <f>IF(CALC_EPM!$B383="","",CALC_EPM!P383)</f>
      </c>
      <c r="Q394">
        <f>IF(CALC_EPM!$B383="","",CALC_EPM!Q383)</f>
      </c>
      <c r="R394">
        <f>IF(CALC_EPM!$B383="","",CALC_EPM!R383)</f>
      </c>
      <c r="S394">
        <f>IF(CALC_EPM!$B383="","",CALC_EPM!S383)</f>
      </c>
      <c r="T394">
        <f>IF(CALC_EPM!$B383="","",CALC_EPM!T383)</f>
      </c>
      <c r="U394">
        <f>IF(CALC_EPM!$B383="","",CALC_EPM!U383)</f>
      </c>
    </row>
    <row r="395">
      <c r="A395" t="str">
        <f>IF(CALC_EPM!$B384="","",IF(CALC_EPM!A384="GLOBAL",IF(CALC_EPM!C384="Total","GLOBAL",IF(CALC_EPM!C384="TotalEsp","GLOBAL_ESP",IF(CALC_EPM!C384="TotalNoEsp","GLOBAL_NOESP","GLOBAL_ASIG"))),IF(CALC_EPM!C384="Total","CURSO_TOTAL",IF(CALC_EPM!C384="TotalEsp","CURSO_ESP",IF(CALC_EPM!C384="TotalNoEsp","CURSO_NOESP","CURSO_ASIG")))))</f>
      </c>
      <c r="B395" t="str">
        <f>IF(CALC_EPM!$B384="","",CALC_EPM!A384)</f>
      </c>
      <c r="C395" t="str">
        <f>IF(CALC_EPM!$B384="","",CALC_EPM!B384)</f>
      </c>
      <c r="D395">
        <f>IF(CALC_EPM!$B384="","",CALC_EPM!D384)</f>
      </c>
      <c r="E395" s="10" t="str">
        <f>IF(CALC_EPM!$B384="","",CALC_EPM!E384)</f>
      </c>
      <c r="F395" s="10" t="str">
        <f>IF(CALC_EPM!$B384="","",CALC_EPM!F384)</f>
      </c>
      <c r="G395" t="str">
        <f>IF(CALC_EPM!$B384="","",CALC_EPM!G384)</f>
      </c>
      <c r="H395" s="11" t="str">
        <f>IF(CALC_EPM!$B384="","",CALC_EPM!H384)</f>
      </c>
      <c r="I395" s="11" t="str">
        <f>IF(CALC_EPM!$B384="","",CALC_EPM!I384)</f>
      </c>
      <c r="J395" t="str">
        <f>IF(CALC_EPM!$B384="","",CALC_EPM!J384)</f>
      </c>
      <c r="K395" t="str">
        <f>IF(CALC_EPM!$B384="","",CALC_EPM!K384)</f>
      </c>
      <c r="L395">
        <f>IF(CALC_EPM!$B384="","",CALC_EPM!L384)</f>
      </c>
      <c r="M395">
        <f>IF(CALC_EPM!$B384="","",CALC_EPM!M384)</f>
      </c>
      <c r="N395">
        <f>IF(CALC_EPM!$B384="","",CALC_EPM!N384)</f>
      </c>
      <c r="O395">
        <f>IF(CALC_EPM!$B384="","",CALC_EPM!O384)</f>
      </c>
      <c r="P395">
        <f>IF(CALC_EPM!$B384="","",CALC_EPM!P384)</f>
      </c>
      <c r="Q395">
        <f>IF(CALC_EPM!$B384="","",CALC_EPM!Q384)</f>
      </c>
      <c r="R395">
        <f>IF(CALC_EPM!$B384="","",CALC_EPM!R384)</f>
      </c>
      <c r="S395">
        <f>IF(CALC_EPM!$B384="","",CALC_EPM!S384)</f>
      </c>
      <c r="T395">
        <f>IF(CALC_EPM!$B384="","",CALC_EPM!T384)</f>
      </c>
      <c r="U395">
        <f>IF(CALC_EPM!$B384="","",CALC_EPM!U384)</f>
      </c>
    </row>
    <row r="396">
      <c r="A396" t="str">
        <f>IF(CALC_EPM!$B385="","",IF(CALC_EPM!A385="GLOBAL",IF(CALC_EPM!C385="Total","GLOBAL",IF(CALC_EPM!C385="TotalEsp","GLOBAL_ESP",IF(CALC_EPM!C385="TotalNoEsp","GLOBAL_NOESP","GLOBAL_ASIG"))),IF(CALC_EPM!C385="Total","CURSO_TOTAL",IF(CALC_EPM!C385="TotalEsp","CURSO_ESP",IF(CALC_EPM!C385="TotalNoEsp","CURSO_NOESP","CURSO_ASIG")))))</f>
      </c>
      <c r="B396" t="str">
        <f>IF(CALC_EPM!$B385="","",CALC_EPM!A385)</f>
      </c>
      <c r="C396" t="str">
        <f>IF(CALC_EPM!$B385="","",CALC_EPM!B385)</f>
      </c>
      <c r="D396">
        <f>IF(CALC_EPM!$B385="","",CALC_EPM!D385)</f>
      </c>
      <c r="E396" s="10" t="str">
        <f>IF(CALC_EPM!$B385="","",CALC_EPM!E385)</f>
      </c>
      <c r="F396" s="10" t="str">
        <f>IF(CALC_EPM!$B385="","",CALC_EPM!F385)</f>
      </c>
      <c r="G396" t="str">
        <f>IF(CALC_EPM!$B385="","",CALC_EPM!G385)</f>
      </c>
      <c r="H396" s="11" t="str">
        <f>IF(CALC_EPM!$B385="","",CALC_EPM!H385)</f>
      </c>
      <c r="I396" s="11" t="str">
        <f>IF(CALC_EPM!$B385="","",CALC_EPM!I385)</f>
      </c>
      <c r="J396" t="str">
        <f>IF(CALC_EPM!$B385="","",CALC_EPM!J385)</f>
      </c>
      <c r="K396" t="str">
        <f>IF(CALC_EPM!$B385="","",CALC_EPM!K385)</f>
      </c>
      <c r="L396">
        <f>IF(CALC_EPM!$B385="","",CALC_EPM!L385)</f>
      </c>
      <c r="M396">
        <f>IF(CALC_EPM!$B385="","",CALC_EPM!M385)</f>
      </c>
      <c r="N396">
        <f>IF(CALC_EPM!$B385="","",CALC_EPM!N385)</f>
      </c>
      <c r="O396">
        <f>IF(CALC_EPM!$B385="","",CALC_EPM!O385)</f>
      </c>
      <c r="P396">
        <f>IF(CALC_EPM!$B385="","",CALC_EPM!P385)</f>
      </c>
      <c r="Q396">
        <f>IF(CALC_EPM!$B385="","",CALC_EPM!Q385)</f>
      </c>
      <c r="R396">
        <f>IF(CALC_EPM!$B385="","",CALC_EPM!R385)</f>
      </c>
      <c r="S396">
        <f>IF(CALC_EPM!$B385="","",CALC_EPM!S385)</f>
      </c>
      <c r="T396">
        <f>IF(CALC_EPM!$B385="","",CALC_EPM!T385)</f>
      </c>
      <c r="U396">
        <f>IF(CALC_EPM!$B385="","",CALC_EPM!U385)</f>
      </c>
    </row>
    <row r="397">
      <c r="A397" t="str">
        <f>IF(CALC_EPM!$B386="","",IF(CALC_EPM!A386="GLOBAL",IF(CALC_EPM!C386="Total","GLOBAL",IF(CALC_EPM!C386="TotalEsp","GLOBAL_ESP",IF(CALC_EPM!C386="TotalNoEsp","GLOBAL_NOESP","GLOBAL_ASIG"))),IF(CALC_EPM!C386="Total","CURSO_TOTAL",IF(CALC_EPM!C386="TotalEsp","CURSO_ESP",IF(CALC_EPM!C386="TotalNoEsp","CURSO_NOESP","CURSO_ASIG")))))</f>
      </c>
      <c r="B397" t="str">
        <f>IF(CALC_EPM!$B386="","",CALC_EPM!A386)</f>
      </c>
      <c r="C397" t="str">
        <f>IF(CALC_EPM!$B386="","",CALC_EPM!B386)</f>
      </c>
      <c r="D397">
        <f>IF(CALC_EPM!$B386="","",CALC_EPM!D386)</f>
      </c>
      <c r="E397" s="10" t="str">
        <f>IF(CALC_EPM!$B386="","",CALC_EPM!E386)</f>
      </c>
      <c r="F397" s="10" t="str">
        <f>IF(CALC_EPM!$B386="","",CALC_EPM!F386)</f>
      </c>
      <c r="G397" t="str">
        <f>IF(CALC_EPM!$B386="","",CALC_EPM!G386)</f>
      </c>
      <c r="H397" s="11" t="str">
        <f>IF(CALC_EPM!$B386="","",CALC_EPM!H386)</f>
      </c>
      <c r="I397" s="11" t="str">
        <f>IF(CALC_EPM!$B386="","",CALC_EPM!I386)</f>
      </c>
      <c r="J397" t="str">
        <f>IF(CALC_EPM!$B386="","",CALC_EPM!J386)</f>
      </c>
      <c r="K397" t="str">
        <f>IF(CALC_EPM!$B386="","",CALC_EPM!K386)</f>
      </c>
      <c r="L397">
        <f>IF(CALC_EPM!$B386="","",CALC_EPM!L386)</f>
      </c>
      <c r="M397">
        <f>IF(CALC_EPM!$B386="","",CALC_EPM!M386)</f>
      </c>
      <c r="N397">
        <f>IF(CALC_EPM!$B386="","",CALC_EPM!N386)</f>
      </c>
      <c r="O397">
        <f>IF(CALC_EPM!$B386="","",CALC_EPM!O386)</f>
      </c>
      <c r="P397">
        <f>IF(CALC_EPM!$B386="","",CALC_EPM!P386)</f>
      </c>
      <c r="Q397">
        <f>IF(CALC_EPM!$B386="","",CALC_EPM!Q386)</f>
      </c>
      <c r="R397">
        <f>IF(CALC_EPM!$B386="","",CALC_EPM!R386)</f>
      </c>
      <c r="S397">
        <f>IF(CALC_EPM!$B386="","",CALC_EPM!S386)</f>
      </c>
      <c r="T397">
        <f>IF(CALC_EPM!$B386="","",CALC_EPM!T386)</f>
      </c>
      <c r="U397">
        <f>IF(CALC_EPM!$B386="","",CALC_EPM!U386)</f>
      </c>
    </row>
    <row r="398">
      <c r="A398" t="str">
        <f>IF(CALC_EPM!$B387="","",IF(CALC_EPM!A387="GLOBAL",IF(CALC_EPM!C387="Total","GLOBAL",IF(CALC_EPM!C387="TotalEsp","GLOBAL_ESP",IF(CALC_EPM!C387="TotalNoEsp","GLOBAL_NOESP","GLOBAL_ASIG"))),IF(CALC_EPM!C387="Total","CURSO_TOTAL",IF(CALC_EPM!C387="TotalEsp","CURSO_ESP",IF(CALC_EPM!C387="TotalNoEsp","CURSO_NOESP","CURSO_ASIG")))))</f>
      </c>
      <c r="B398" t="str">
        <f>IF(CALC_EPM!$B387="","",CALC_EPM!A387)</f>
      </c>
      <c r="C398" t="str">
        <f>IF(CALC_EPM!$B387="","",CALC_EPM!B387)</f>
      </c>
      <c r="D398">
        <f>IF(CALC_EPM!$B387="","",CALC_EPM!D387)</f>
      </c>
      <c r="E398" s="10" t="str">
        <f>IF(CALC_EPM!$B387="","",CALC_EPM!E387)</f>
      </c>
      <c r="F398" s="10" t="str">
        <f>IF(CALC_EPM!$B387="","",CALC_EPM!F387)</f>
      </c>
      <c r="G398" t="str">
        <f>IF(CALC_EPM!$B387="","",CALC_EPM!G387)</f>
      </c>
      <c r="H398" s="11" t="str">
        <f>IF(CALC_EPM!$B387="","",CALC_EPM!H387)</f>
      </c>
      <c r="I398" s="11" t="str">
        <f>IF(CALC_EPM!$B387="","",CALC_EPM!I387)</f>
      </c>
      <c r="J398" t="str">
        <f>IF(CALC_EPM!$B387="","",CALC_EPM!J387)</f>
      </c>
      <c r="K398" t="str">
        <f>IF(CALC_EPM!$B387="","",CALC_EPM!K387)</f>
      </c>
      <c r="L398">
        <f>IF(CALC_EPM!$B387="","",CALC_EPM!L387)</f>
      </c>
      <c r="M398">
        <f>IF(CALC_EPM!$B387="","",CALC_EPM!M387)</f>
      </c>
      <c r="N398">
        <f>IF(CALC_EPM!$B387="","",CALC_EPM!N387)</f>
      </c>
      <c r="O398">
        <f>IF(CALC_EPM!$B387="","",CALC_EPM!O387)</f>
      </c>
      <c r="P398">
        <f>IF(CALC_EPM!$B387="","",CALC_EPM!P387)</f>
      </c>
      <c r="Q398">
        <f>IF(CALC_EPM!$B387="","",CALC_EPM!Q387)</f>
      </c>
      <c r="R398">
        <f>IF(CALC_EPM!$B387="","",CALC_EPM!R387)</f>
      </c>
      <c r="S398">
        <f>IF(CALC_EPM!$B387="","",CALC_EPM!S387)</f>
      </c>
      <c r="T398">
        <f>IF(CALC_EPM!$B387="","",CALC_EPM!T387)</f>
      </c>
      <c r="U398">
        <f>IF(CALC_EPM!$B387="","",CALC_EPM!U387)</f>
      </c>
    </row>
    <row r="399">
      <c r="A399" t="str">
        <f>IF(CALC_EPM!$B388="","",IF(CALC_EPM!A388="GLOBAL",IF(CALC_EPM!C388="Total","GLOBAL",IF(CALC_EPM!C388="TotalEsp","GLOBAL_ESP",IF(CALC_EPM!C388="TotalNoEsp","GLOBAL_NOESP","GLOBAL_ASIG"))),IF(CALC_EPM!C388="Total","CURSO_TOTAL",IF(CALC_EPM!C388="TotalEsp","CURSO_ESP",IF(CALC_EPM!C388="TotalNoEsp","CURSO_NOESP","CURSO_ASIG")))))</f>
      </c>
      <c r="B399" t="str">
        <f>IF(CALC_EPM!$B388="","",CALC_EPM!A388)</f>
      </c>
      <c r="C399" t="str">
        <f>IF(CALC_EPM!$B388="","",CALC_EPM!B388)</f>
      </c>
      <c r="D399">
        <f>IF(CALC_EPM!$B388="","",CALC_EPM!D388)</f>
      </c>
      <c r="E399" s="10" t="str">
        <f>IF(CALC_EPM!$B388="","",CALC_EPM!E388)</f>
      </c>
      <c r="F399" s="10" t="str">
        <f>IF(CALC_EPM!$B388="","",CALC_EPM!F388)</f>
      </c>
      <c r="G399" t="str">
        <f>IF(CALC_EPM!$B388="","",CALC_EPM!G388)</f>
      </c>
      <c r="H399" s="11" t="str">
        <f>IF(CALC_EPM!$B388="","",CALC_EPM!H388)</f>
      </c>
      <c r="I399" s="11" t="str">
        <f>IF(CALC_EPM!$B388="","",CALC_EPM!I388)</f>
      </c>
      <c r="J399" t="str">
        <f>IF(CALC_EPM!$B388="","",CALC_EPM!J388)</f>
      </c>
      <c r="K399" t="str">
        <f>IF(CALC_EPM!$B388="","",CALC_EPM!K388)</f>
      </c>
      <c r="L399">
        <f>IF(CALC_EPM!$B388="","",CALC_EPM!L388)</f>
      </c>
      <c r="M399">
        <f>IF(CALC_EPM!$B388="","",CALC_EPM!M388)</f>
      </c>
      <c r="N399">
        <f>IF(CALC_EPM!$B388="","",CALC_EPM!N388)</f>
      </c>
      <c r="O399">
        <f>IF(CALC_EPM!$B388="","",CALC_EPM!O388)</f>
      </c>
      <c r="P399">
        <f>IF(CALC_EPM!$B388="","",CALC_EPM!P388)</f>
      </c>
      <c r="Q399">
        <f>IF(CALC_EPM!$B388="","",CALC_EPM!Q388)</f>
      </c>
      <c r="R399">
        <f>IF(CALC_EPM!$B388="","",CALC_EPM!R388)</f>
      </c>
      <c r="S399">
        <f>IF(CALC_EPM!$B388="","",CALC_EPM!S388)</f>
      </c>
      <c r="T399">
        <f>IF(CALC_EPM!$B388="","",CALC_EPM!T388)</f>
      </c>
      <c r="U399">
        <f>IF(CALC_EPM!$B388="","",CALC_EPM!U388)</f>
      </c>
    </row>
    <row r="400">
      <c r="A400" t="str">
        <f>IF(CALC_EPM!$B389="","",IF(CALC_EPM!A389="GLOBAL",IF(CALC_EPM!C389="Total","GLOBAL",IF(CALC_EPM!C389="TotalEsp","GLOBAL_ESP",IF(CALC_EPM!C389="TotalNoEsp","GLOBAL_NOESP","GLOBAL_ASIG"))),IF(CALC_EPM!C389="Total","CURSO_TOTAL",IF(CALC_EPM!C389="TotalEsp","CURSO_ESP",IF(CALC_EPM!C389="TotalNoEsp","CURSO_NOESP","CURSO_ASIG")))))</f>
      </c>
      <c r="B400" t="str">
        <f>IF(CALC_EPM!$B389="","",CALC_EPM!A389)</f>
      </c>
      <c r="C400" t="str">
        <f>IF(CALC_EPM!$B389="","",CALC_EPM!B389)</f>
      </c>
      <c r="D400">
        <f>IF(CALC_EPM!$B389="","",CALC_EPM!D389)</f>
      </c>
      <c r="E400" s="10" t="str">
        <f>IF(CALC_EPM!$B389="","",CALC_EPM!E389)</f>
      </c>
      <c r="F400" s="10" t="str">
        <f>IF(CALC_EPM!$B389="","",CALC_EPM!F389)</f>
      </c>
      <c r="G400" t="str">
        <f>IF(CALC_EPM!$B389="","",CALC_EPM!G389)</f>
      </c>
      <c r="H400" s="11" t="str">
        <f>IF(CALC_EPM!$B389="","",CALC_EPM!H389)</f>
      </c>
      <c r="I400" s="11" t="str">
        <f>IF(CALC_EPM!$B389="","",CALC_EPM!I389)</f>
      </c>
      <c r="J400" t="str">
        <f>IF(CALC_EPM!$B389="","",CALC_EPM!J389)</f>
      </c>
      <c r="K400" t="str">
        <f>IF(CALC_EPM!$B389="","",CALC_EPM!K389)</f>
      </c>
      <c r="L400">
        <f>IF(CALC_EPM!$B389="","",CALC_EPM!L389)</f>
      </c>
      <c r="M400">
        <f>IF(CALC_EPM!$B389="","",CALC_EPM!M389)</f>
      </c>
      <c r="N400">
        <f>IF(CALC_EPM!$B389="","",CALC_EPM!N389)</f>
      </c>
      <c r="O400">
        <f>IF(CALC_EPM!$B389="","",CALC_EPM!O389)</f>
      </c>
      <c r="P400">
        <f>IF(CALC_EPM!$B389="","",CALC_EPM!P389)</f>
      </c>
      <c r="Q400">
        <f>IF(CALC_EPM!$B389="","",CALC_EPM!Q389)</f>
      </c>
      <c r="R400">
        <f>IF(CALC_EPM!$B389="","",CALC_EPM!R389)</f>
      </c>
      <c r="S400">
        <f>IF(CALC_EPM!$B389="","",CALC_EPM!S389)</f>
      </c>
      <c r="T400">
        <f>IF(CALC_EPM!$B389="","",CALC_EPM!T389)</f>
      </c>
      <c r="U400">
        <f>IF(CALC_EPM!$B389="","",CALC_EPM!U389)</f>
      </c>
    </row>
    <row r="401">
      <c r="A401" t="str">
        <f>IF(CALC_EPM!$B390="","",IF(CALC_EPM!A390="GLOBAL",IF(CALC_EPM!C390="Total","GLOBAL",IF(CALC_EPM!C390="TotalEsp","GLOBAL_ESP",IF(CALC_EPM!C390="TotalNoEsp","GLOBAL_NOESP","GLOBAL_ASIG"))),IF(CALC_EPM!C390="Total","CURSO_TOTAL",IF(CALC_EPM!C390="TotalEsp","CURSO_ESP",IF(CALC_EPM!C390="TotalNoEsp","CURSO_NOESP","CURSO_ASIG")))))</f>
      </c>
      <c r="B401" t="str">
        <f>IF(CALC_EPM!$B390="","",CALC_EPM!A390)</f>
      </c>
      <c r="C401" t="str">
        <f>IF(CALC_EPM!$B390="","",CALC_EPM!B390)</f>
      </c>
      <c r="D401">
        <f>IF(CALC_EPM!$B390="","",CALC_EPM!D390)</f>
      </c>
      <c r="E401" s="10" t="str">
        <f>IF(CALC_EPM!$B390="","",CALC_EPM!E390)</f>
      </c>
      <c r="F401" s="10" t="str">
        <f>IF(CALC_EPM!$B390="","",CALC_EPM!F390)</f>
      </c>
      <c r="G401" t="str">
        <f>IF(CALC_EPM!$B390="","",CALC_EPM!G390)</f>
      </c>
      <c r="H401" s="11" t="str">
        <f>IF(CALC_EPM!$B390="","",CALC_EPM!H390)</f>
      </c>
      <c r="I401" s="11" t="str">
        <f>IF(CALC_EPM!$B390="","",CALC_EPM!I390)</f>
      </c>
      <c r="J401" t="str">
        <f>IF(CALC_EPM!$B390="","",CALC_EPM!J390)</f>
      </c>
      <c r="K401" t="str">
        <f>IF(CALC_EPM!$B390="","",CALC_EPM!K390)</f>
      </c>
      <c r="L401">
        <f>IF(CALC_EPM!$B390="","",CALC_EPM!L390)</f>
      </c>
      <c r="M401">
        <f>IF(CALC_EPM!$B390="","",CALC_EPM!M390)</f>
      </c>
      <c r="N401">
        <f>IF(CALC_EPM!$B390="","",CALC_EPM!N390)</f>
      </c>
      <c r="O401">
        <f>IF(CALC_EPM!$B390="","",CALC_EPM!O390)</f>
      </c>
      <c r="P401">
        <f>IF(CALC_EPM!$B390="","",CALC_EPM!P390)</f>
      </c>
      <c r="Q401">
        <f>IF(CALC_EPM!$B390="","",CALC_EPM!Q390)</f>
      </c>
      <c r="R401">
        <f>IF(CALC_EPM!$B390="","",CALC_EPM!R390)</f>
      </c>
      <c r="S401">
        <f>IF(CALC_EPM!$B390="","",CALC_EPM!S390)</f>
      </c>
      <c r="T401">
        <f>IF(CALC_EPM!$B390="","",CALC_EPM!T390)</f>
      </c>
      <c r="U401">
        <f>IF(CALC_EPM!$B390="","",CALC_EPM!U390)</f>
      </c>
    </row>
    <row r="402">
      <c r="A402" t="str">
        <f>IF(CALC_EPM!$B391="","",IF(CALC_EPM!A391="GLOBAL",IF(CALC_EPM!C391="Total","GLOBAL",IF(CALC_EPM!C391="TotalEsp","GLOBAL_ESP",IF(CALC_EPM!C391="TotalNoEsp","GLOBAL_NOESP","GLOBAL_ASIG"))),IF(CALC_EPM!C391="Total","CURSO_TOTAL",IF(CALC_EPM!C391="TotalEsp","CURSO_ESP",IF(CALC_EPM!C391="TotalNoEsp","CURSO_NOESP","CURSO_ASIG")))))</f>
      </c>
      <c r="B402" t="str">
        <f>IF(CALC_EPM!$B391="","",CALC_EPM!A391)</f>
      </c>
      <c r="C402" t="str">
        <f>IF(CALC_EPM!$B391="","",CALC_EPM!B391)</f>
      </c>
      <c r="D402">
        <f>IF(CALC_EPM!$B391="","",CALC_EPM!D391)</f>
      </c>
      <c r="E402" s="10" t="str">
        <f>IF(CALC_EPM!$B391="","",CALC_EPM!E391)</f>
      </c>
      <c r="F402" s="10" t="str">
        <f>IF(CALC_EPM!$B391="","",CALC_EPM!F391)</f>
      </c>
      <c r="G402" t="str">
        <f>IF(CALC_EPM!$B391="","",CALC_EPM!G391)</f>
      </c>
      <c r="H402" s="11" t="str">
        <f>IF(CALC_EPM!$B391="","",CALC_EPM!H391)</f>
      </c>
      <c r="I402" s="11" t="str">
        <f>IF(CALC_EPM!$B391="","",CALC_EPM!I391)</f>
      </c>
      <c r="J402" t="str">
        <f>IF(CALC_EPM!$B391="","",CALC_EPM!J391)</f>
      </c>
      <c r="K402" t="str">
        <f>IF(CALC_EPM!$B391="","",CALC_EPM!K391)</f>
      </c>
      <c r="L402">
        <f>IF(CALC_EPM!$B391="","",CALC_EPM!L391)</f>
      </c>
      <c r="M402">
        <f>IF(CALC_EPM!$B391="","",CALC_EPM!M391)</f>
      </c>
      <c r="N402">
        <f>IF(CALC_EPM!$B391="","",CALC_EPM!N391)</f>
      </c>
      <c r="O402">
        <f>IF(CALC_EPM!$B391="","",CALC_EPM!O391)</f>
      </c>
      <c r="P402">
        <f>IF(CALC_EPM!$B391="","",CALC_EPM!P391)</f>
      </c>
      <c r="Q402">
        <f>IF(CALC_EPM!$B391="","",CALC_EPM!Q391)</f>
      </c>
      <c r="R402">
        <f>IF(CALC_EPM!$B391="","",CALC_EPM!R391)</f>
      </c>
      <c r="S402">
        <f>IF(CALC_EPM!$B391="","",CALC_EPM!S391)</f>
      </c>
      <c r="T402">
        <f>IF(CALC_EPM!$B391="","",CALC_EPM!T391)</f>
      </c>
      <c r="U402">
        <f>IF(CALC_EPM!$B391="","",CALC_EPM!U391)</f>
      </c>
    </row>
    <row r="403">
      <c r="A403" t="str">
        <f>IF(CALC_EPM!$B392="","",IF(CALC_EPM!A392="GLOBAL",IF(CALC_EPM!C392="Total","GLOBAL",IF(CALC_EPM!C392="TotalEsp","GLOBAL_ESP",IF(CALC_EPM!C392="TotalNoEsp","GLOBAL_NOESP","GLOBAL_ASIG"))),IF(CALC_EPM!C392="Total","CURSO_TOTAL",IF(CALC_EPM!C392="TotalEsp","CURSO_ESP",IF(CALC_EPM!C392="TotalNoEsp","CURSO_NOESP","CURSO_ASIG")))))</f>
      </c>
      <c r="B403" t="str">
        <f>IF(CALC_EPM!$B392="","",CALC_EPM!A392)</f>
      </c>
      <c r="C403" t="str">
        <f>IF(CALC_EPM!$B392="","",CALC_EPM!B392)</f>
      </c>
      <c r="D403">
        <f>IF(CALC_EPM!$B392="","",CALC_EPM!D392)</f>
      </c>
      <c r="E403" s="10" t="str">
        <f>IF(CALC_EPM!$B392="","",CALC_EPM!E392)</f>
      </c>
      <c r="F403" s="10" t="str">
        <f>IF(CALC_EPM!$B392="","",CALC_EPM!F392)</f>
      </c>
      <c r="G403" t="str">
        <f>IF(CALC_EPM!$B392="","",CALC_EPM!G392)</f>
      </c>
      <c r="H403" s="11" t="str">
        <f>IF(CALC_EPM!$B392="","",CALC_EPM!H392)</f>
      </c>
      <c r="I403" s="11" t="str">
        <f>IF(CALC_EPM!$B392="","",CALC_EPM!I392)</f>
      </c>
      <c r="J403" t="str">
        <f>IF(CALC_EPM!$B392="","",CALC_EPM!J392)</f>
      </c>
      <c r="K403" t="str">
        <f>IF(CALC_EPM!$B392="","",CALC_EPM!K392)</f>
      </c>
      <c r="L403">
        <f>IF(CALC_EPM!$B392="","",CALC_EPM!L392)</f>
      </c>
      <c r="M403">
        <f>IF(CALC_EPM!$B392="","",CALC_EPM!M392)</f>
      </c>
      <c r="N403">
        <f>IF(CALC_EPM!$B392="","",CALC_EPM!N392)</f>
      </c>
      <c r="O403">
        <f>IF(CALC_EPM!$B392="","",CALC_EPM!O392)</f>
      </c>
      <c r="P403">
        <f>IF(CALC_EPM!$B392="","",CALC_EPM!P392)</f>
      </c>
      <c r="Q403">
        <f>IF(CALC_EPM!$B392="","",CALC_EPM!Q392)</f>
      </c>
      <c r="R403">
        <f>IF(CALC_EPM!$B392="","",CALC_EPM!R392)</f>
      </c>
      <c r="S403">
        <f>IF(CALC_EPM!$B392="","",CALC_EPM!S392)</f>
      </c>
      <c r="T403">
        <f>IF(CALC_EPM!$B392="","",CALC_EPM!T392)</f>
      </c>
      <c r="U403">
        <f>IF(CALC_EPM!$B392="","",CALC_EPM!U392)</f>
      </c>
    </row>
    <row r="404">
      <c r="A404" t="str">
        <f>IF(CALC_EPM!$B393="","",IF(CALC_EPM!A393="GLOBAL",IF(CALC_EPM!C393="Total","GLOBAL",IF(CALC_EPM!C393="TotalEsp","GLOBAL_ESP",IF(CALC_EPM!C393="TotalNoEsp","GLOBAL_NOESP","GLOBAL_ASIG"))),IF(CALC_EPM!C393="Total","CURSO_TOTAL",IF(CALC_EPM!C393="TotalEsp","CURSO_ESP",IF(CALC_EPM!C393="TotalNoEsp","CURSO_NOESP","CURSO_ASIG")))))</f>
      </c>
      <c r="B404" t="str">
        <f>IF(CALC_EPM!$B393="","",CALC_EPM!A393)</f>
      </c>
      <c r="C404" t="str">
        <f>IF(CALC_EPM!$B393="","",CALC_EPM!B393)</f>
      </c>
      <c r="D404">
        <f>IF(CALC_EPM!$B393="","",CALC_EPM!D393)</f>
      </c>
      <c r="E404" s="10" t="str">
        <f>IF(CALC_EPM!$B393="","",CALC_EPM!E393)</f>
      </c>
      <c r="F404" s="10" t="str">
        <f>IF(CALC_EPM!$B393="","",CALC_EPM!F393)</f>
      </c>
      <c r="G404" t="str">
        <f>IF(CALC_EPM!$B393="","",CALC_EPM!G393)</f>
      </c>
      <c r="H404" s="11" t="str">
        <f>IF(CALC_EPM!$B393="","",CALC_EPM!H393)</f>
      </c>
      <c r="I404" s="11" t="str">
        <f>IF(CALC_EPM!$B393="","",CALC_EPM!I393)</f>
      </c>
      <c r="J404" t="str">
        <f>IF(CALC_EPM!$B393="","",CALC_EPM!J393)</f>
      </c>
      <c r="K404" t="str">
        <f>IF(CALC_EPM!$B393="","",CALC_EPM!K393)</f>
      </c>
      <c r="L404">
        <f>IF(CALC_EPM!$B393="","",CALC_EPM!L393)</f>
      </c>
      <c r="M404">
        <f>IF(CALC_EPM!$B393="","",CALC_EPM!M393)</f>
      </c>
      <c r="N404">
        <f>IF(CALC_EPM!$B393="","",CALC_EPM!N393)</f>
      </c>
      <c r="O404">
        <f>IF(CALC_EPM!$B393="","",CALC_EPM!O393)</f>
      </c>
      <c r="P404">
        <f>IF(CALC_EPM!$B393="","",CALC_EPM!P393)</f>
      </c>
      <c r="Q404">
        <f>IF(CALC_EPM!$B393="","",CALC_EPM!Q393)</f>
      </c>
      <c r="R404">
        <f>IF(CALC_EPM!$B393="","",CALC_EPM!R393)</f>
      </c>
      <c r="S404">
        <f>IF(CALC_EPM!$B393="","",CALC_EPM!S393)</f>
      </c>
      <c r="T404">
        <f>IF(CALC_EPM!$B393="","",CALC_EPM!T393)</f>
      </c>
      <c r="U404">
        <f>IF(CALC_EPM!$B393="","",CALC_EPM!U393)</f>
      </c>
    </row>
    <row r="405">
      <c r="A405" t="str">
        <f>IF(CALC_EPM!$B394="","",IF(CALC_EPM!A394="GLOBAL",IF(CALC_EPM!C394="Total","GLOBAL",IF(CALC_EPM!C394="TotalEsp","GLOBAL_ESP",IF(CALC_EPM!C394="TotalNoEsp","GLOBAL_NOESP","GLOBAL_ASIG"))),IF(CALC_EPM!C394="Total","CURSO_TOTAL",IF(CALC_EPM!C394="TotalEsp","CURSO_ESP",IF(CALC_EPM!C394="TotalNoEsp","CURSO_NOESP","CURSO_ASIG")))))</f>
      </c>
      <c r="B405" t="str">
        <f>IF(CALC_EPM!$B394="","",CALC_EPM!A394)</f>
      </c>
      <c r="C405" t="str">
        <f>IF(CALC_EPM!$B394="","",CALC_EPM!B394)</f>
      </c>
      <c r="D405">
        <f>IF(CALC_EPM!$B394="","",CALC_EPM!D394)</f>
      </c>
      <c r="E405" s="10" t="str">
        <f>IF(CALC_EPM!$B394="","",CALC_EPM!E394)</f>
      </c>
      <c r="F405" s="10" t="str">
        <f>IF(CALC_EPM!$B394="","",CALC_EPM!F394)</f>
      </c>
      <c r="G405" t="str">
        <f>IF(CALC_EPM!$B394="","",CALC_EPM!G394)</f>
      </c>
      <c r="H405" s="11" t="str">
        <f>IF(CALC_EPM!$B394="","",CALC_EPM!H394)</f>
      </c>
      <c r="I405" s="11" t="str">
        <f>IF(CALC_EPM!$B394="","",CALC_EPM!I394)</f>
      </c>
      <c r="J405" t="str">
        <f>IF(CALC_EPM!$B394="","",CALC_EPM!J394)</f>
      </c>
      <c r="K405" t="str">
        <f>IF(CALC_EPM!$B394="","",CALC_EPM!K394)</f>
      </c>
      <c r="L405">
        <f>IF(CALC_EPM!$B394="","",CALC_EPM!L394)</f>
      </c>
      <c r="M405">
        <f>IF(CALC_EPM!$B394="","",CALC_EPM!M394)</f>
      </c>
      <c r="N405">
        <f>IF(CALC_EPM!$B394="","",CALC_EPM!N394)</f>
      </c>
      <c r="O405">
        <f>IF(CALC_EPM!$B394="","",CALC_EPM!O394)</f>
      </c>
      <c r="P405">
        <f>IF(CALC_EPM!$B394="","",CALC_EPM!P394)</f>
      </c>
      <c r="Q405">
        <f>IF(CALC_EPM!$B394="","",CALC_EPM!Q394)</f>
      </c>
      <c r="R405">
        <f>IF(CALC_EPM!$B394="","",CALC_EPM!R394)</f>
      </c>
      <c r="S405">
        <f>IF(CALC_EPM!$B394="","",CALC_EPM!S394)</f>
      </c>
      <c r="T405">
        <f>IF(CALC_EPM!$B394="","",CALC_EPM!T394)</f>
      </c>
      <c r="U405">
        <f>IF(CALC_EPM!$B394="","",CALC_EPM!U394)</f>
      </c>
    </row>
    <row r="406">
      <c r="A406" t="str">
        <f>IF(CALC_EPM!$B395="","",IF(CALC_EPM!A395="GLOBAL",IF(CALC_EPM!C395="Total","GLOBAL",IF(CALC_EPM!C395="TotalEsp","GLOBAL_ESP",IF(CALC_EPM!C395="TotalNoEsp","GLOBAL_NOESP","GLOBAL_ASIG"))),IF(CALC_EPM!C395="Total","CURSO_TOTAL",IF(CALC_EPM!C395="TotalEsp","CURSO_ESP",IF(CALC_EPM!C395="TotalNoEsp","CURSO_NOESP","CURSO_ASIG")))))</f>
      </c>
      <c r="B406" t="str">
        <f>IF(CALC_EPM!$B395="","",CALC_EPM!A395)</f>
      </c>
      <c r="C406" t="str">
        <f>IF(CALC_EPM!$B395="","",CALC_EPM!B395)</f>
      </c>
      <c r="D406">
        <f>IF(CALC_EPM!$B395="","",CALC_EPM!D395)</f>
      </c>
      <c r="E406" s="10" t="str">
        <f>IF(CALC_EPM!$B395="","",CALC_EPM!E395)</f>
      </c>
      <c r="F406" s="10" t="str">
        <f>IF(CALC_EPM!$B395="","",CALC_EPM!F395)</f>
      </c>
      <c r="G406" t="str">
        <f>IF(CALC_EPM!$B395="","",CALC_EPM!G395)</f>
      </c>
      <c r="H406" s="11" t="str">
        <f>IF(CALC_EPM!$B395="","",CALC_EPM!H395)</f>
      </c>
      <c r="I406" s="11" t="str">
        <f>IF(CALC_EPM!$B395="","",CALC_EPM!I395)</f>
      </c>
      <c r="J406" t="str">
        <f>IF(CALC_EPM!$B395="","",CALC_EPM!J395)</f>
      </c>
      <c r="K406" t="str">
        <f>IF(CALC_EPM!$B395="","",CALC_EPM!K395)</f>
      </c>
      <c r="L406">
        <f>IF(CALC_EPM!$B395="","",CALC_EPM!L395)</f>
      </c>
      <c r="M406">
        <f>IF(CALC_EPM!$B395="","",CALC_EPM!M395)</f>
      </c>
      <c r="N406">
        <f>IF(CALC_EPM!$B395="","",CALC_EPM!N395)</f>
      </c>
      <c r="O406">
        <f>IF(CALC_EPM!$B395="","",CALC_EPM!O395)</f>
      </c>
      <c r="P406">
        <f>IF(CALC_EPM!$B395="","",CALC_EPM!P395)</f>
      </c>
      <c r="Q406">
        <f>IF(CALC_EPM!$B395="","",CALC_EPM!Q395)</f>
      </c>
      <c r="R406">
        <f>IF(CALC_EPM!$B395="","",CALC_EPM!R395)</f>
      </c>
      <c r="S406">
        <f>IF(CALC_EPM!$B395="","",CALC_EPM!S395)</f>
      </c>
      <c r="T406">
        <f>IF(CALC_EPM!$B395="","",CALC_EPM!T395)</f>
      </c>
      <c r="U406">
        <f>IF(CALC_EPM!$B395="","",CALC_EPM!U395)</f>
      </c>
    </row>
    <row r="407">
      <c r="A407" t="str">
        <f>IF(CALC_EPM!$B396="","",IF(CALC_EPM!A396="GLOBAL",IF(CALC_EPM!C396="Total","GLOBAL",IF(CALC_EPM!C396="TotalEsp","GLOBAL_ESP",IF(CALC_EPM!C396="TotalNoEsp","GLOBAL_NOESP","GLOBAL_ASIG"))),IF(CALC_EPM!C396="Total","CURSO_TOTAL",IF(CALC_EPM!C396="TotalEsp","CURSO_ESP",IF(CALC_EPM!C396="TotalNoEsp","CURSO_NOESP","CURSO_ASIG")))))</f>
      </c>
      <c r="B407" t="str">
        <f>IF(CALC_EPM!$B396="","",CALC_EPM!A396)</f>
      </c>
      <c r="C407" t="str">
        <f>IF(CALC_EPM!$B396="","",CALC_EPM!B396)</f>
      </c>
      <c r="D407">
        <f>IF(CALC_EPM!$B396="","",CALC_EPM!D396)</f>
      </c>
      <c r="E407" s="10" t="str">
        <f>IF(CALC_EPM!$B396="","",CALC_EPM!E396)</f>
      </c>
      <c r="F407" s="10" t="str">
        <f>IF(CALC_EPM!$B396="","",CALC_EPM!F396)</f>
      </c>
      <c r="G407" t="str">
        <f>IF(CALC_EPM!$B396="","",CALC_EPM!G396)</f>
      </c>
      <c r="H407" s="11" t="str">
        <f>IF(CALC_EPM!$B396="","",CALC_EPM!H396)</f>
      </c>
      <c r="I407" s="11" t="str">
        <f>IF(CALC_EPM!$B396="","",CALC_EPM!I396)</f>
      </c>
      <c r="J407" t="str">
        <f>IF(CALC_EPM!$B396="","",CALC_EPM!J396)</f>
      </c>
      <c r="K407" t="str">
        <f>IF(CALC_EPM!$B396="","",CALC_EPM!K396)</f>
      </c>
      <c r="L407">
        <f>IF(CALC_EPM!$B396="","",CALC_EPM!L396)</f>
      </c>
      <c r="M407">
        <f>IF(CALC_EPM!$B396="","",CALC_EPM!M396)</f>
      </c>
      <c r="N407">
        <f>IF(CALC_EPM!$B396="","",CALC_EPM!N396)</f>
      </c>
      <c r="O407">
        <f>IF(CALC_EPM!$B396="","",CALC_EPM!O396)</f>
      </c>
      <c r="P407">
        <f>IF(CALC_EPM!$B396="","",CALC_EPM!P396)</f>
      </c>
      <c r="Q407">
        <f>IF(CALC_EPM!$B396="","",CALC_EPM!Q396)</f>
      </c>
      <c r="R407">
        <f>IF(CALC_EPM!$B396="","",CALC_EPM!R396)</f>
      </c>
      <c r="S407">
        <f>IF(CALC_EPM!$B396="","",CALC_EPM!S396)</f>
      </c>
      <c r="T407">
        <f>IF(CALC_EPM!$B396="","",CALC_EPM!T396)</f>
      </c>
      <c r="U407">
        <f>IF(CALC_EPM!$B396="","",CALC_EPM!U396)</f>
      </c>
    </row>
    <row r="408">
      <c r="A408" t="str">
        <f>IF(CALC_EPM!$B397="","",IF(CALC_EPM!A397="GLOBAL",IF(CALC_EPM!C397="Total","GLOBAL",IF(CALC_EPM!C397="TotalEsp","GLOBAL_ESP",IF(CALC_EPM!C397="TotalNoEsp","GLOBAL_NOESP","GLOBAL_ASIG"))),IF(CALC_EPM!C397="Total","CURSO_TOTAL",IF(CALC_EPM!C397="TotalEsp","CURSO_ESP",IF(CALC_EPM!C397="TotalNoEsp","CURSO_NOESP","CURSO_ASIG")))))</f>
      </c>
      <c r="B408" t="str">
        <f>IF(CALC_EPM!$B397="","",CALC_EPM!A397)</f>
      </c>
      <c r="C408" t="str">
        <f>IF(CALC_EPM!$B397="","",CALC_EPM!B397)</f>
      </c>
      <c r="D408">
        <f>IF(CALC_EPM!$B397="","",CALC_EPM!D397)</f>
      </c>
      <c r="E408" s="10" t="str">
        <f>IF(CALC_EPM!$B397="","",CALC_EPM!E397)</f>
      </c>
      <c r="F408" s="10" t="str">
        <f>IF(CALC_EPM!$B397="","",CALC_EPM!F397)</f>
      </c>
      <c r="G408" t="str">
        <f>IF(CALC_EPM!$B397="","",CALC_EPM!G397)</f>
      </c>
      <c r="H408" s="11" t="str">
        <f>IF(CALC_EPM!$B397="","",CALC_EPM!H397)</f>
      </c>
      <c r="I408" s="11" t="str">
        <f>IF(CALC_EPM!$B397="","",CALC_EPM!I397)</f>
      </c>
      <c r="J408" t="str">
        <f>IF(CALC_EPM!$B397="","",CALC_EPM!J397)</f>
      </c>
      <c r="K408" t="str">
        <f>IF(CALC_EPM!$B397="","",CALC_EPM!K397)</f>
      </c>
      <c r="L408">
        <f>IF(CALC_EPM!$B397="","",CALC_EPM!L397)</f>
      </c>
      <c r="M408">
        <f>IF(CALC_EPM!$B397="","",CALC_EPM!M397)</f>
      </c>
      <c r="N408">
        <f>IF(CALC_EPM!$B397="","",CALC_EPM!N397)</f>
      </c>
      <c r="O408">
        <f>IF(CALC_EPM!$B397="","",CALC_EPM!O397)</f>
      </c>
      <c r="P408">
        <f>IF(CALC_EPM!$B397="","",CALC_EPM!P397)</f>
      </c>
      <c r="Q408">
        <f>IF(CALC_EPM!$B397="","",CALC_EPM!Q397)</f>
      </c>
      <c r="R408">
        <f>IF(CALC_EPM!$B397="","",CALC_EPM!R397)</f>
      </c>
      <c r="S408">
        <f>IF(CALC_EPM!$B397="","",CALC_EPM!S397)</f>
      </c>
      <c r="T408">
        <f>IF(CALC_EPM!$B397="","",CALC_EPM!T397)</f>
      </c>
      <c r="U408">
        <f>IF(CALC_EPM!$B397="","",CALC_EPM!U397)</f>
      </c>
    </row>
    <row r="409">
      <c r="A409" t="str">
        <f>IF(CALC_EPM!$B398="","",IF(CALC_EPM!A398="GLOBAL",IF(CALC_EPM!C398="Total","GLOBAL",IF(CALC_EPM!C398="TotalEsp","GLOBAL_ESP",IF(CALC_EPM!C398="TotalNoEsp","GLOBAL_NOESP","GLOBAL_ASIG"))),IF(CALC_EPM!C398="Total","CURSO_TOTAL",IF(CALC_EPM!C398="TotalEsp","CURSO_ESP",IF(CALC_EPM!C398="TotalNoEsp","CURSO_NOESP","CURSO_ASIG")))))</f>
      </c>
      <c r="B409" t="str">
        <f>IF(CALC_EPM!$B398="","",CALC_EPM!A398)</f>
      </c>
      <c r="C409" t="str">
        <f>IF(CALC_EPM!$B398="","",CALC_EPM!B398)</f>
      </c>
      <c r="D409">
        <f>IF(CALC_EPM!$B398="","",CALC_EPM!D398)</f>
      </c>
      <c r="E409" s="10" t="str">
        <f>IF(CALC_EPM!$B398="","",CALC_EPM!E398)</f>
      </c>
      <c r="F409" s="10" t="str">
        <f>IF(CALC_EPM!$B398="","",CALC_EPM!F398)</f>
      </c>
      <c r="G409" t="str">
        <f>IF(CALC_EPM!$B398="","",CALC_EPM!G398)</f>
      </c>
      <c r="H409" s="11" t="str">
        <f>IF(CALC_EPM!$B398="","",CALC_EPM!H398)</f>
      </c>
      <c r="I409" s="11" t="str">
        <f>IF(CALC_EPM!$B398="","",CALC_EPM!I398)</f>
      </c>
      <c r="J409" t="str">
        <f>IF(CALC_EPM!$B398="","",CALC_EPM!J398)</f>
      </c>
      <c r="K409" t="str">
        <f>IF(CALC_EPM!$B398="","",CALC_EPM!K398)</f>
      </c>
      <c r="L409">
        <f>IF(CALC_EPM!$B398="","",CALC_EPM!L398)</f>
      </c>
      <c r="M409">
        <f>IF(CALC_EPM!$B398="","",CALC_EPM!M398)</f>
      </c>
      <c r="N409">
        <f>IF(CALC_EPM!$B398="","",CALC_EPM!N398)</f>
      </c>
      <c r="O409">
        <f>IF(CALC_EPM!$B398="","",CALC_EPM!O398)</f>
      </c>
      <c r="P409">
        <f>IF(CALC_EPM!$B398="","",CALC_EPM!P398)</f>
      </c>
      <c r="Q409">
        <f>IF(CALC_EPM!$B398="","",CALC_EPM!Q398)</f>
      </c>
      <c r="R409">
        <f>IF(CALC_EPM!$B398="","",CALC_EPM!R398)</f>
      </c>
      <c r="S409">
        <f>IF(CALC_EPM!$B398="","",CALC_EPM!S398)</f>
      </c>
      <c r="T409">
        <f>IF(CALC_EPM!$B398="","",CALC_EPM!T398)</f>
      </c>
      <c r="U409">
        <f>IF(CALC_EPM!$B398="","",CALC_EPM!U398)</f>
      </c>
    </row>
    <row r="410">
      <c r="A410" t="str">
        <f>IF(CALC_EPM!$B399="","",IF(CALC_EPM!A399="GLOBAL",IF(CALC_EPM!C399="Total","GLOBAL",IF(CALC_EPM!C399="TotalEsp","GLOBAL_ESP",IF(CALC_EPM!C399="TotalNoEsp","GLOBAL_NOESP","GLOBAL_ASIG"))),IF(CALC_EPM!C399="Total","CURSO_TOTAL",IF(CALC_EPM!C399="TotalEsp","CURSO_ESP",IF(CALC_EPM!C399="TotalNoEsp","CURSO_NOESP","CURSO_ASIG")))))</f>
      </c>
      <c r="B410" t="str">
        <f>IF(CALC_EPM!$B399="","",CALC_EPM!A399)</f>
      </c>
      <c r="C410" t="str">
        <f>IF(CALC_EPM!$B399="","",CALC_EPM!B399)</f>
      </c>
      <c r="D410">
        <f>IF(CALC_EPM!$B399="","",CALC_EPM!D399)</f>
      </c>
      <c r="E410" s="10" t="str">
        <f>IF(CALC_EPM!$B399="","",CALC_EPM!E399)</f>
      </c>
      <c r="F410" s="10" t="str">
        <f>IF(CALC_EPM!$B399="","",CALC_EPM!F399)</f>
      </c>
      <c r="G410" t="str">
        <f>IF(CALC_EPM!$B399="","",CALC_EPM!G399)</f>
      </c>
      <c r="H410" s="11" t="str">
        <f>IF(CALC_EPM!$B399="","",CALC_EPM!H399)</f>
      </c>
      <c r="I410" s="11" t="str">
        <f>IF(CALC_EPM!$B399="","",CALC_EPM!I399)</f>
      </c>
      <c r="J410" t="str">
        <f>IF(CALC_EPM!$B399="","",CALC_EPM!J399)</f>
      </c>
      <c r="K410" t="str">
        <f>IF(CALC_EPM!$B399="","",CALC_EPM!K399)</f>
      </c>
      <c r="L410">
        <f>IF(CALC_EPM!$B399="","",CALC_EPM!L399)</f>
      </c>
      <c r="M410">
        <f>IF(CALC_EPM!$B399="","",CALC_EPM!M399)</f>
      </c>
      <c r="N410">
        <f>IF(CALC_EPM!$B399="","",CALC_EPM!N399)</f>
      </c>
      <c r="O410">
        <f>IF(CALC_EPM!$B399="","",CALC_EPM!O399)</f>
      </c>
      <c r="P410">
        <f>IF(CALC_EPM!$B399="","",CALC_EPM!P399)</f>
      </c>
      <c r="Q410">
        <f>IF(CALC_EPM!$B399="","",CALC_EPM!Q399)</f>
      </c>
      <c r="R410">
        <f>IF(CALC_EPM!$B399="","",CALC_EPM!R399)</f>
      </c>
      <c r="S410">
        <f>IF(CALC_EPM!$B399="","",CALC_EPM!S399)</f>
      </c>
      <c r="T410">
        <f>IF(CALC_EPM!$B399="","",CALC_EPM!T399)</f>
      </c>
      <c r="U410">
        <f>IF(CALC_EPM!$B399="","",CALC_EPM!U399)</f>
      </c>
    </row>
    <row r="411">
      <c r="A411" t="str">
        <f>IF(CALC_EPM!$B400="","",IF(CALC_EPM!A400="GLOBAL",IF(CALC_EPM!C400="Total","GLOBAL",IF(CALC_EPM!C400="TotalEsp","GLOBAL_ESP",IF(CALC_EPM!C400="TotalNoEsp","GLOBAL_NOESP","GLOBAL_ASIG"))),IF(CALC_EPM!C400="Total","CURSO_TOTAL",IF(CALC_EPM!C400="TotalEsp","CURSO_ESP",IF(CALC_EPM!C400="TotalNoEsp","CURSO_NOESP","CURSO_ASIG")))))</f>
      </c>
      <c r="B411" t="str">
        <f>IF(CALC_EPM!$B400="","",CALC_EPM!A400)</f>
      </c>
      <c r="C411" t="str">
        <f>IF(CALC_EPM!$B400="","",CALC_EPM!B400)</f>
      </c>
      <c r="D411">
        <f>IF(CALC_EPM!$B400="","",CALC_EPM!D400)</f>
      </c>
      <c r="E411" s="10" t="str">
        <f>IF(CALC_EPM!$B400="","",CALC_EPM!E400)</f>
      </c>
      <c r="F411" s="10" t="str">
        <f>IF(CALC_EPM!$B400="","",CALC_EPM!F400)</f>
      </c>
      <c r="G411" t="str">
        <f>IF(CALC_EPM!$B400="","",CALC_EPM!G400)</f>
      </c>
      <c r="H411" s="11" t="str">
        <f>IF(CALC_EPM!$B400="","",CALC_EPM!H400)</f>
      </c>
      <c r="I411" s="11" t="str">
        <f>IF(CALC_EPM!$B400="","",CALC_EPM!I400)</f>
      </c>
      <c r="J411" t="str">
        <f>IF(CALC_EPM!$B400="","",CALC_EPM!J400)</f>
      </c>
      <c r="K411" t="str">
        <f>IF(CALC_EPM!$B400="","",CALC_EPM!K400)</f>
      </c>
      <c r="L411">
        <f>IF(CALC_EPM!$B400="","",CALC_EPM!L400)</f>
      </c>
      <c r="M411">
        <f>IF(CALC_EPM!$B400="","",CALC_EPM!M400)</f>
      </c>
      <c r="N411">
        <f>IF(CALC_EPM!$B400="","",CALC_EPM!N400)</f>
      </c>
      <c r="O411">
        <f>IF(CALC_EPM!$B400="","",CALC_EPM!O400)</f>
      </c>
      <c r="P411">
        <f>IF(CALC_EPM!$B400="","",CALC_EPM!P400)</f>
      </c>
      <c r="Q411">
        <f>IF(CALC_EPM!$B400="","",CALC_EPM!Q400)</f>
      </c>
      <c r="R411">
        <f>IF(CALC_EPM!$B400="","",CALC_EPM!R400)</f>
      </c>
      <c r="S411">
        <f>IF(CALC_EPM!$B400="","",CALC_EPM!S400)</f>
      </c>
      <c r="T411">
        <f>IF(CALC_EPM!$B400="","",CALC_EPM!T400)</f>
      </c>
      <c r="U411">
        <f>IF(CALC_EPM!$B400="","",CALC_EPM!U400)</f>
      </c>
    </row>
    <row r="412">
      <c r="A412" t="str">
        <f>IF(CALC_EPM!$B401="","",IF(CALC_EPM!A401="GLOBAL",IF(CALC_EPM!C401="Total","GLOBAL",IF(CALC_EPM!C401="TotalEsp","GLOBAL_ESP",IF(CALC_EPM!C401="TotalNoEsp","GLOBAL_NOESP","GLOBAL_ASIG"))),IF(CALC_EPM!C401="Total","CURSO_TOTAL",IF(CALC_EPM!C401="TotalEsp","CURSO_ESP",IF(CALC_EPM!C401="TotalNoEsp","CURSO_NOESP","CURSO_ASIG")))))</f>
      </c>
      <c r="B412" t="str">
        <f>IF(CALC_EPM!$B401="","",CALC_EPM!A401)</f>
      </c>
      <c r="C412" t="str">
        <f>IF(CALC_EPM!$B401="","",CALC_EPM!B401)</f>
      </c>
      <c r="D412">
        <f>IF(CALC_EPM!$B401="","",CALC_EPM!D401)</f>
      </c>
      <c r="E412" s="10" t="str">
        <f>IF(CALC_EPM!$B401="","",CALC_EPM!E401)</f>
      </c>
      <c r="F412" s="10" t="str">
        <f>IF(CALC_EPM!$B401="","",CALC_EPM!F401)</f>
      </c>
      <c r="G412" t="str">
        <f>IF(CALC_EPM!$B401="","",CALC_EPM!G401)</f>
      </c>
      <c r="H412" s="11" t="str">
        <f>IF(CALC_EPM!$B401="","",CALC_EPM!H401)</f>
      </c>
      <c r="I412" s="11" t="str">
        <f>IF(CALC_EPM!$B401="","",CALC_EPM!I401)</f>
      </c>
      <c r="J412" t="str">
        <f>IF(CALC_EPM!$B401="","",CALC_EPM!J401)</f>
      </c>
      <c r="K412" t="str">
        <f>IF(CALC_EPM!$B401="","",CALC_EPM!K401)</f>
      </c>
      <c r="L412">
        <f>IF(CALC_EPM!$B401="","",CALC_EPM!L401)</f>
      </c>
      <c r="M412">
        <f>IF(CALC_EPM!$B401="","",CALC_EPM!M401)</f>
      </c>
      <c r="N412">
        <f>IF(CALC_EPM!$B401="","",CALC_EPM!N401)</f>
      </c>
      <c r="O412">
        <f>IF(CALC_EPM!$B401="","",CALC_EPM!O401)</f>
      </c>
      <c r="P412">
        <f>IF(CALC_EPM!$B401="","",CALC_EPM!P401)</f>
      </c>
      <c r="Q412">
        <f>IF(CALC_EPM!$B401="","",CALC_EPM!Q401)</f>
      </c>
      <c r="R412">
        <f>IF(CALC_EPM!$B401="","",CALC_EPM!R401)</f>
      </c>
      <c r="S412">
        <f>IF(CALC_EPM!$B401="","",CALC_EPM!S401)</f>
      </c>
      <c r="T412">
        <f>IF(CALC_EPM!$B401="","",CALC_EPM!T401)</f>
      </c>
      <c r="U412">
        <f>IF(CALC_EPM!$B401="","",CALC_EPM!U401)</f>
      </c>
    </row>
    <row r="413">
      <c r="A413" t="str">
        <f>IF(CALC_EPM!$B402="","",IF(CALC_EPM!A402="GLOBAL",IF(CALC_EPM!C402="Total","GLOBAL",IF(CALC_EPM!C402="TotalEsp","GLOBAL_ESP",IF(CALC_EPM!C402="TotalNoEsp","GLOBAL_NOESP","GLOBAL_ASIG"))),IF(CALC_EPM!C402="Total","CURSO_TOTAL",IF(CALC_EPM!C402="TotalEsp","CURSO_ESP",IF(CALC_EPM!C402="TotalNoEsp","CURSO_NOESP","CURSO_ASIG")))))</f>
      </c>
      <c r="B413" t="str">
        <f>IF(CALC_EPM!$B402="","",CALC_EPM!A402)</f>
      </c>
      <c r="C413" t="str">
        <f>IF(CALC_EPM!$B402="","",CALC_EPM!B402)</f>
      </c>
      <c r="D413">
        <f>IF(CALC_EPM!$B402="","",CALC_EPM!D402)</f>
      </c>
      <c r="E413" s="10" t="str">
        <f>IF(CALC_EPM!$B402="","",CALC_EPM!E402)</f>
      </c>
      <c r="F413" s="10" t="str">
        <f>IF(CALC_EPM!$B402="","",CALC_EPM!F402)</f>
      </c>
      <c r="G413" t="str">
        <f>IF(CALC_EPM!$B402="","",CALC_EPM!G402)</f>
      </c>
      <c r="H413" s="11" t="str">
        <f>IF(CALC_EPM!$B402="","",CALC_EPM!H402)</f>
      </c>
      <c r="I413" s="11" t="str">
        <f>IF(CALC_EPM!$B402="","",CALC_EPM!I402)</f>
      </c>
      <c r="J413" t="str">
        <f>IF(CALC_EPM!$B402="","",CALC_EPM!J402)</f>
      </c>
      <c r="K413" t="str">
        <f>IF(CALC_EPM!$B402="","",CALC_EPM!K402)</f>
      </c>
      <c r="L413">
        <f>IF(CALC_EPM!$B402="","",CALC_EPM!L402)</f>
      </c>
      <c r="M413">
        <f>IF(CALC_EPM!$B402="","",CALC_EPM!M402)</f>
      </c>
      <c r="N413">
        <f>IF(CALC_EPM!$B402="","",CALC_EPM!N402)</f>
      </c>
      <c r="O413">
        <f>IF(CALC_EPM!$B402="","",CALC_EPM!O402)</f>
      </c>
      <c r="P413">
        <f>IF(CALC_EPM!$B402="","",CALC_EPM!P402)</f>
      </c>
      <c r="Q413">
        <f>IF(CALC_EPM!$B402="","",CALC_EPM!Q402)</f>
      </c>
      <c r="R413">
        <f>IF(CALC_EPM!$B402="","",CALC_EPM!R402)</f>
      </c>
      <c r="S413">
        <f>IF(CALC_EPM!$B402="","",CALC_EPM!S402)</f>
      </c>
      <c r="T413">
        <f>IF(CALC_EPM!$B402="","",CALC_EPM!T402)</f>
      </c>
      <c r="U413">
        <f>IF(CALC_EPM!$B402="","",CALC_EPM!U402)</f>
      </c>
    </row>
    <row r="414">
      <c r="A414" t="str">
        <f>IF(CALC_EPM!$B403="","",IF(CALC_EPM!A403="GLOBAL",IF(CALC_EPM!C403="Total","GLOBAL",IF(CALC_EPM!C403="TotalEsp","GLOBAL_ESP",IF(CALC_EPM!C403="TotalNoEsp","GLOBAL_NOESP","GLOBAL_ASIG"))),IF(CALC_EPM!C403="Total","CURSO_TOTAL",IF(CALC_EPM!C403="TotalEsp","CURSO_ESP",IF(CALC_EPM!C403="TotalNoEsp","CURSO_NOESP","CURSO_ASIG")))))</f>
      </c>
      <c r="B414" t="str">
        <f>IF(CALC_EPM!$B403="","",CALC_EPM!A403)</f>
      </c>
      <c r="C414" t="str">
        <f>IF(CALC_EPM!$B403="","",CALC_EPM!B403)</f>
      </c>
      <c r="D414">
        <f>IF(CALC_EPM!$B403="","",CALC_EPM!D403)</f>
      </c>
      <c r="E414" s="10" t="str">
        <f>IF(CALC_EPM!$B403="","",CALC_EPM!E403)</f>
      </c>
      <c r="F414" s="10" t="str">
        <f>IF(CALC_EPM!$B403="","",CALC_EPM!F403)</f>
      </c>
      <c r="G414" t="str">
        <f>IF(CALC_EPM!$B403="","",CALC_EPM!G403)</f>
      </c>
      <c r="H414" s="11" t="str">
        <f>IF(CALC_EPM!$B403="","",CALC_EPM!H403)</f>
      </c>
      <c r="I414" s="11" t="str">
        <f>IF(CALC_EPM!$B403="","",CALC_EPM!I403)</f>
      </c>
      <c r="J414" t="str">
        <f>IF(CALC_EPM!$B403="","",CALC_EPM!J403)</f>
      </c>
      <c r="K414" t="str">
        <f>IF(CALC_EPM!$B403="","",CALC_EPM!K403)</f>
      </c>
      <c r="L414">
        <f>IF(CALC_EPM!$B403="","",CALC_EPM!L403)</f>
      </c>
      <c r="M414">
        <f>IF(CALC_EPM!$B403="","",CALC_EPM!M403)</f>
      </c>
      <c r="N414">
        <f>IF(CALC_EPM!$B403="","",CALC_EPM!N403)</f>
      </c>
      <c r="O414">
        <f>IF(CALC_EPM!$B403="","",CALC_EPM!O403)</f>
      </c>
      <c r="P414">
        <f>IF(CALC_EPM!$B403="","",CALC_EPM!P403)</f>
      </c>
      <c r="Q414">
        <f>IF(CALC_EPM!$B403="","",CALC_EPM!Q403)</f>
      </c>
      <c r="R414">
        <f>IF(CALC_EPM!$B403="","",CALC_EPM!R403)</f>
      </c>
      <c r="S414">
        <f>IF(CALC_EPM!$B403="","",CALC_EPM!S403)</f>
      </c>
      <c r="T414">
        <f>IF(CALC_EPM!$B403="","",CALC_EPM!T403)</f>
      </c>
      <c r="U414">
        <f>IF(CALC_EPM!$B403="","",CALC_EPM!U403)</f>
      </c>
    </row>
    <row r="415">
      <c r="A415" t="str">
        <f>IF(CALC_EPM!$B404="","",IF(CALC_EPM!A404="GLOBAL",IF(CALC_EPM!C404="Total","GLOBAL",IF(CALC_EPM!C404="TotalEsp","GLOBAL_ESP",IF(CALC_EPM!C404="TotalNoEsp","GLOBAL_NOESP","GLOBAL_ASIG"))),IF(CALC_EPM!C404="Total","CURSO_TOTAL",IF(CALC_EPM!C404="TotalEsp","CURSO_ESP",IF(CALC_EPM!C404="TotalNoEsp","CURSO_NOESP","CURSO_ASIG")))))</f>
      </c>
      <c r="B415" t="str">
        <f>IF(CALC_EPM!$B404="","",CALC_EPM!A404)</f>
      </c>
      <c r="C415" t="str">
        <f>IF(CALC_EPM!$B404="","",CALC_EPM!B404)</f>
      </c>
      <c r="D415">
        <f>IF(CALC_EPM!$B404="","",CALC_EPM!D404)</f>
      </c>
      <c r="E415" s="10" t="str">
        <f>IF(CALC_EPM!$B404="","",CALC_EPM!E404)</f>
      </c>
      <c r="F415" s="10" t="str">
        <f>IF(CALC_EPM!$B404="","",CALC_EPM!F404)</f>
      </c>
      <c r="G415" t="str">
        <f>IF(CALC_EPM!$B404="","",CALC_EPM!G404)</f>
      </c>
      <c r="H415" s="11" t="str">
        <f>IF(CALC_EPM!$B404="","",CALC_EPM!H404)</f>
      </c>
      <c r="I415" s="11" t="str">
        <f>IF(CALC_EPM!$B404="","",CALC_EPM!I404)</f>
      </c>
      <c r="J415" t="str">
        <f>IF(CALC_EPM!$B404="","",CALC_EPM!J404)</f>
      </c>
      <c r="K415" t="str">
        <f>IF(CALC_EPM!$B404="","",CALC_EPM!K404)</f>
      </c>
      <c r="L415">
        <f>IF(CALC_EPM!$B404="","",CALC_EPM!L404)</f>
      </c>
      <c r="M415">
        <f>IF(CALC_EPM!$B404="","",CALC_EPM!M404)</f>
      </c>
      <c r="N415">
        <f>IF(CALC_EPM!$B404="","",CALC_EPM!N404)</f>
      </c>
      <c r="O415">
        <f>IF(CALC_EPM!$B404="","",CALC_EPM!O404)</f>
      </c>
      <c r="P415">
        <f>IF(CALC_EPM!$B404="","",CALC_EPM!P404)</f>
      </c>
      <c r="Q415">
        <f>IF(CALC_EPM!$B404="","",CALC_EPM!Q404)</f>
      </c>
      <c r="R415">
        <f>IF(CALC_EPM!$B404="","",CALC_EPM!R404)</f>
      </c>
      <c r="S415">
        <f>IF(CALC_EPM!$B404="","",CALC_EPM!S404)</f>
      </c>
      <c r="T415">
        <f>IF(CALC_EPM!$B404="","",CALC_EPM!T404)</f>
      </c>
      <c r="U415">
        <f>IF(CALC_EPM!$B404="","",CALC_EPM!U404)</f>
      </c>
    </row>
    <row r="416">
      <c r="A416" t="str">
        <f>IF(CALC_EPM!$B405="","",IF(CALC_EPM!A405="GLOBAL",IF(CALC_EPM!C405="Total","GLOBAL",IF(CALC_EPM!C405="TotalEsp","GLOBAL_ESP",IF(CALC_EPM!C405="TotalNoEsp","GLOBAL_NOESP","GLOBAL_ASIG"))),IF(CALC_EPM!C405="Total","CURSO_TOTAL",IF(CALC_EPM!C405="TotalEsp","CURSO_ESP",IF(CALC_EPM!C405="TotalNoEsp","CURSO_NOESP","CURSO_ASIG")))))</f>
      </c>
      <c r="B416" t="str">
        <f>IF(CALC_EPM!$B405="","",CALC_EPM!A405)</f>
      </c>
      <c r="C416" t="str">
        <f>IF(CALC_EPM!$B405="","",CALC_EPM!B405)</f>
      </c>
      <c r="D416">
        <f>IF(CALC_EPM!$B405="","",CALC_EPM!D405)</f>
      </c>
      <c r="E416" s="10" t="str">
        <f>IF(CALC_EPM!$B405="","",CALC_EPM!E405)</f>
      </c>
      <c r="F416" s="10" t="str">
        <f>IF(CALC_EPM!$B405="","",CALC_EPM!F405)</f>
      </c>
      <c r="G416" t="str">
        <f>IF(CALC_EPM!$B405="","",CALC_EPM!G405)</f>
      </c>
      <c r="H416" s="11" t="str">
        <f>IF(CALC_EPM!$B405="","",CALC_EPM!H405)</f>
      </c>
      <c r="I416" s="11" t="str">
        <f>IF(CALC_EPM!$B405="","",CALC_EPM!I405)</f>
      </c>
      <c r="J416" t="str">
        <f>IF(CALC_EPM!$B405="","",CALC_EPM!J405)</f>
      </c>
      <c r="K416" t="str">
        <f>IF(CALC_EPM!$B405="","",CALC_EPM!K405)</f>
      </c>
      <c r="L416">
        <f>IF(CALC_EPM!$B405="","",CALC_EPM!L405)</f>
      </c>
      <c r="M416">
        <f>IF(CALC_EPM!$B405="","",CALC_EPM!M405)</f>
      </c>
      <c r="N416">
        <f>IF(CALC_EPM!$B405="","",CALC_EPM!N405)</f>
      </c>
      <c r="O416">
        <f>IF(CALC_EPM!$B405="","",CALC_EPM!O405)</f>
      </c>
      <c r="P416">
        <f>IF(CALC_EPM!$B405="","",CALC_EPM!P405)</f>
      </c>
      <c r="Q416">
        <f>IF(CALC_EPM!$B405="","",CALC_EPM!Q405)</f>
      </c>
      <c r="R416">
        <f>IF(CALC_EPM!$B405="","",CALC_EPM!R405)</f>
      </c>
      <c r="S416">
        <f>IF(CALC_EPM!$B405="","",CALC_EPM!S405)</f>
      </c>
      <c r="T416">
        <f>IF(CALC_EPM!$B405="","",CALC_EPM!T405)</f>
      </c>
      <c r="U416">
        <f>IF(CALC_EPM!$B405="","",CALC_EPM!U405)</f>
      </c>
    </row>
    <row r="417">
      <c r="A417" t="str">
        <f>IF(CALC_EPM!$B406="","",IF(CALC_EPM!A406="GLOBAL",IF(CALC_EPM!C406="Total","GLOBAL",IF(CALC_EPM!C406="TotalEsp","GLOBAL_ESP",IF(CALC_EPM!C406="TotalNoEsp","GLOBAL_NOESP","GLOBAL_ASIG"))),IF(CALC_EPM!C406="Total","CURSO_TOTAL",IF(CALC_EPM!C406="TotalEsp","CURSO_ESP",IF(CALC_EPM!C406="TotalNoEsp","CURSO_NOESP","CURSO_ASIG")))))</f>
      </c>
      <c r="B417" t="str">
        <f>IF(CALC_EPM!$B406="","",CALC_EPM!A406)</f>
      </c>
      <c r="C417" t="str">
        <f>IF(CALC_EPM!$B406="","",CALC_EPM!B406)</f>
      </c>
      <c r="D417">
        <f>IF(CALC_EPM!$B406="","",CALC_EPM!D406)</f>
      </c>
      <c r="E417" s="10" t="str">
        <f>IF(CALC_EPM!$B406="","",CALC_EPM!E406)</f>
      </c>
      <c r="F417" s="10" t="str">
        <f>IF(CALC_EPM!$B406="","",CALC_EPM!F406)</f>
      </c>
      <c r="G417" t="str">
        <f>IF(CALC_EPM!$B406="","",CALC_EPM!G406)</f>
      </c>
      <c r="H417" s="11" t="str">
        <f>IF(CALC_EPM!$B406="","",CALC_EPM!H406)</f>
      </c>
      <c r="I417" s="11" t="str">
        <f>IF(CALC_EPM!$B406="","",CALC_EPM!I406)</f>
      </c>
      <c r="J417" t="str">
        <f>IF(CALC_EPM!$B406="","",CALC_EPM!J406)</f>
      </c>
      <c r="K417" t="str">
        <f>IF(CALC_EPM!$B406="","",CALC_EPM!K406)</f>
      </c>
      <c r="L417">
        <f>IF(CALC_EPM!$B406="","",CALC_EPM!L406)</f>
      </c>
      <c r="M417">
        <f>IF(CALC_EPM!$B406="","",CALC_EPM!M406)</f>
      </c>
      <c r="N417">
        <f>IF(CALC_EPM!$B406="","",CALC_EPM!N406)</f>
      </c>
      <c r="O417">
        <f>IF(CALC_EPM!$B406="","",CALC_EPM!O406)</f>
      </c>
      <c r="P417">
        <f>IF(CALC_EPM!$B406="","",CALC_EPM!P406)</f>
      </c>
      <c r="Q417">
        <f>IF(CALC_EPM!$B406="","",CALC_EPM!Q406)</f>
      </c>
      <c r="R417">
        <f>IF(CALC_EPM!$B406="","",CALC_EPM!R406)</f>
      </c>
      <c r="S417">
        <f>IF(CALC_EPM!$B406="","",CALC_EPM!S406)</f>
      </c>
      <c r="T417">
        <f>IF(CALC_EPM!$B406="","",CALC_EPM!T406)</f>
      </c>
      <c r="U417">
        <f>IF(CALC_EPM!$B406="","",CALC_EPM!U406)</f>
      </c>
    </row>
    <row r="418">
      <c r="A418" t="str">
        <f>IF(CALC_EPM!$B407="","",IF(CALC_EPM!A407="GLOBAL",IF(CALC_EPM!C407="Total","GLOBAL",IF(CALC_EPM!C407="TotalEsp","GLOBAL_ESP",IF(CALC_EPM!C407="TotalNoEsp","GLOBAL_NOESP","GLOBAL_ASIG"))),IF(CALC_EPM!C407="Total","CURSO_TOTAL",IF(CALC_EPM!C407="TotalEsp","CURSO_ESP",IF(CALC_EPM!C407="TotalNoEsp","CURSO_NOESP","CURSO_ASIG")))))</f>
      </c>
      <c r="B418" t="str">
        <f>IF(CALC_EPM!$B407="","",CALC_EPM!A407)</f>
      </c>
      <c r="C418" t="str">
        <f>IF(CALC_EPM!$B407="","",CALC_EPM!B407)</f>
      </c>
      <c r="D418">
        <f>IF(CALC_EPM!$B407="","",CALC_EPM!D407)</f>
      </c>
      <c r="E418" s="10" t="str">
        <f>IF(CALC_EPM!$B407="","",CALC_EPM!E407)</f>
      </c>
      <c r="F418" s="10" t="str">
        <f>IF(CALC_EPM!$B407="","",CALC_EPM!F407)</f>
      </c>
      <c r="G418" t="str">
        <f>IF(CALC_EPM!$B407="","",CALC_EPM!G407)</f>
      </c>
      <c r="H418" s="11" t="str">
        <f>IF(CALC_EPM!$B407="","",CALC_EPM!H407)</f>
      </c>
      <c r="I418" s="11" t="str">
        <f>IF(CALC_EPM!$B407="","",CALC_EPM!I407)</f>
      </c>
      <c r="J418" t="str">
        <f>IF(CALC_EPM!$B407="","",CALC_EPM!J407)</f>
      </c>
      <c r="K418" t="str">
        <f>IF(CALC_EPM!$B407="","",CALC_EPM!K407)</f>
      </c>
      <c r="L418">
        <f>IF(CALC_EPM!$B407="","",CALC_EPM!L407)</f>
      </c>
      <c r="M418">
        <f>IF(CALC_EPM!$B407="","",CALC_EPM!M407)</f>
      </c>
      <c r="N418">
        <f>IF(CALC_EPM!$B407="","",CALC_EPM!N407)</f>
      </c>
      <c r="O418">
        <f>IF(CALC_EPM!$B407="","",CALC_EPM!O407)</f>
      </c>
      <c r="P418">
        <f>IF(CALC_EPM!$B407="","",CALC_EPM!P407)</f>
      </c>
      <c r="Q418">
        <f>IF(CALC_EPM!$B407="","",CALC_EPM!Q407)</f>
      </c>
      <c r="R418">
        <f>IF(CALC_EPM!$B407="","",CALC_EPM!R407)</f>
      </c>
      <c r="S418">
        <f>IF(CALC_EPM!$B407="","",CALC_EPM!S407)</f>
      </c>
      <c r="T418">
        <f>IF(CALC_EPM!$B407="","",CALC_EPM!T407)</f>
      </c>
      <c r="U418">
        <f>IF(CALC_EPM!$B407="","",CALC_EPM!U407)</f>
      </c>
    </row>
    <row r="419">
      <c r="A419" t="str">
        <f>IF(CALC_EPM!$B408="","",IF(CALC_EPM!A408="GLOBAL",IF(CALC_EPM!C408="Total","GLOBAL",IF(CALC_EPM!C408="TotalEsp","GLOBAL_ESP",IF(CALC_EPM!C408="TotalNoEsp","GLOBAL_NOESP","GLOBAL_ASIG"))),IF(CALC_EPM!C408="Total","CURSO_TOTAL",IF(CALC_EPM!C408="TotalEsp","CURSO_ESP",IF(CALC_EPM!C408="TotalNoEsp","CURSO_NOESP","CURSO_ASIG")))))</f>
      </c>
      <c r="B419" t="str">
        <f>IF(CALC_EPM!$B408="","",CALC_EPM!A408)</f>
      </c>
      <c r="C419" t="str">
        <f>IF(CALC_EPM!$B408="","",CALC_EPM!B408)</f>
      </c>
      <c r="D419">
        <f>IF(CALC_EPM!$B408="","",CALC_EPM!D408)</f>
      </c>
      <c r="E419" s="10" t="str">
        <f>IF(CALC_EPM!$B408="","",CALC_EPM!E408)</f>
      </c>
      <c r="F419" s="10" t="str">
        <f>IF(CALC_EPM!$B408="","",CALC_EPM!F408)</f>
      </c>
      <c r="G419" t="str">
        <f>IF(CALC_EPM!$B408="","",CALC_EPM!G408)</f>
      </c>
      <c r="H419" s="11" t="str">
        <f>IF(CALC_EPM!$B408="","",CALC_EPM!H408)</f>
      </c>
      <c r="I419" s="11" t="str">
        <f>IF(CALC_EPM!$B408="","",CALC_EPM!I408)</f>
      </c>
      <c r="J419" t="str">
        <f>IF(CALC_EPM!$B408="","",CALC_EPM!J408)</f>
      </c>
      <c r="K419" t="str">
        <f>IF(CALC_EPM!$B408="","",CALC_EPM!K408)</f>
      </c>
      <c r="L419">
        <f>IF(CALC_EPM!$B408="","",CALC_EPM!L408)</f>
      </c>
      <c r="M419">
        <f>IF(CALC_EPM!$B408="","",CALC_EPM!M408)</f>
      </c>
      <c r="N419">
        <f>IF(CALC_EPM!$B408="","",CALC_EPM!N408)</f>
      </c>
      <c r="O419">
        <f>IF(CALC_EPM!$B408="","",CALC_EPM!O408)</f>
      </c>
      <c r="P419">
        <f>IF(CALC_EPM!$B408="","",CALC_EPM!P408)</f>
      </c>
      <c r="Q419">
        <f>IF(CALC_EPM!$B408="","",CALC_EPM!Q408)</f>
      </c>
      <c r="R419">
        <f>IF(CALC_EPM!$B408="","",CALC_EPM!R408)</f>
      </c>
      <c r="S419">
        <f>IF(CALC_EPM!$B408="","",CALC_EPM!S408)</f>
      </c>
      <c r="T419">
        <f>IF(CALC_EPM!$B408="","",CALC_EPM!T408)</f>
      </c>
      <c r="U419">
        <f>IF(CALC_EPM!$B408="","",CALC_EPM!U408)</f>
      </c>
    </row>
    <row r="420">
      <c r="A420" t="str">
        <f>IF(CALC_EPM!$B409="","",IF(CALC_EPM!A409="GLOBAL",IF(CALC_EPM!C409="Total","GLOBAL",IF(CALC_EPM!C409="TotalEsp","GLOBAL_ESP",IF(CALC_EPM!C409="TotalNoEsp","GLOBAL_NOESP","GLOBAL_ASIG"))),IF(CALC_EPM!C409="Total","CURSO_TOTAL",IF(CALC_EPM!C409="TotalEsp","CURSO_ESP",IF(CALC_EPM!C409="TotalNoEsp","CURSO_NOESP","CURSO_ASIG")))))</f>
      </c>
      <c r="B420" t="str">
        <f>IF(CALC_EPM!$B409="","",CALC_EPM!A409)</f>
      </c>
      <c r="C420" t="str">
        <f>IF(CALC_EPM!$B409="","",CALC_EPM!B409)</f>
      </c>
      <c r="D420">
        <f>IF(CALC_EPM!$B409="","",CALC_EPM!D409)</f>
      </c>
      <c r="E420" s="10" t="str">
        <f>IF(CALC_EPM!$B409="","",CALC_EPM!E409)</f>
      </c>
      <c r="F420" s="10" t="str">
        <f>IF(CALC_EPM!$B409="","",CALC_EPM!F409)</f>
      </c>
      <c r="G420" t="str">
        <f>IF(CALC_EPM!$B409="","",CALC_EPM!G409)</f>
      </c>
      <c r="H420" s="11" t="str">
        <f>IF(CALC_EPM!$B409="","",CALC_EPM!H409)</f>
      </c>
      <c r="I420" s="11" t="str">
        <f>IF(CALC_EPM!$B409="","",CALC_EPM!I409)</f>
      </c>
      <c r="J420" t="str">
        <f>IF(CALC_EPM!$B409="","",CALC_EPM!J409)</f>
      </c>
      <c r="K420" t="str">
        <f>IF(CALC_EPM!$B409="","",CALC_EPM!K409)</f>
      </c>
      <c r="L420">
        <f>IF(CALC_EPM!$B409="","",CALC_EPM!L409)</f>
      </c>
      <c r="M420">
        <f>IF(CALC_EPM!$B409="","",CALC_EPM!M409)</f>
      </c>
      <c r="N420">
        <f>IF(CALC_EPM!$B409="","",CALC_EPM!N409)</f>
      </c>
      <c r="O420">
        <f>IF(CALC_EPM!$B409="","",CALC_EPM!O409)</f>
      </c>
      <c r="P420">
        <f>IF(CALC_EPM!$B409="","",CALC_EPM!P409)</f>
      </c>
      <c r="Q420">
        <f>IF(CALC_EPM!$B409="","",CALC_EPM!Q409)</f>
      </c>
      <c r="R420">
        <f>IF(CALC_EPM!$B409="","",CALC_EPM!R409)</f>
      </c>
      <c r="S420">
        <f>IF(CALC_EPM!$B409="","",CALC_EPM!S409)</f>
      </c>
      <c r="T420">
        <f>IF(CALC_EPM!$B409="","",CALC_EPM!T409)</f>
      </c>
      <c r="U420">
        <f>IF(CALC_EPM!$B409="","",CALC_EPM!U409)</f>
      </c>
    </row>
    <row r="421">
      <c r="A421" t="str">
        <f>IF(CALC_EPM!$B410="","",IF(CALC_EPM!A410="GLOBAL",IF(CALC_EPM!C410="Total","GLOBAL",IF(CALC_EPM!C410="TotalEsp","GLOBAL_ESP",IF(CALC_EPM!C410="TotalNoEsp","GLOBAL_NOESP","GLOBAL_ASIG"))),IF(CALC_EPM!C410="Total","CURSO_TOTAL",IF(CALC_EPM!C410="TotalEsp","CURSO_ESP",IF(CALC_EPM!C410="TotalNoEsp","CURSO_NOESP","CURSO_ASIG")))))</f>
      </c>
      <c r="B421" t="str">
        <f>IF(CALC_EPM!$B410="","",CALC_EPM!A410)</f>
      </c>
      <c r="C421" t="str">
        <f>IF(CALC_EPM!$B410="","",CALC_EPM!B410)</f>
      </c>
      <c r="D421">
        <f>IF(CALC_EPM!$B410="","",CALC_EPM!D410)</f>
      </c>
      <c r="E421" s="10" t="str">
        <f>IF(CALC_EPM!$B410="","",CALC_EPM!E410)</f>
      </c>
      <c r="F421" s="10" t="str">
        <f>IF(CALC_EPM!$B410="","",CALC_EPM!F410)</f>
      </c>
      <c r="G421" t="str">
        <f>IF(CALC_EPM!$B410="","",CALC_EPM!G410)</f>
      </c>
      <c r="H421" s="11" t="str">
        <f>IF(CALC_EPM!$B410="","",CALC_EPM!H410)</f>
      </c>
      <c r="I421" s="11" t="str">
        <f>IF(CALC_EPM!$B410="","",CALC_EPM!I410)</f>
      </c>
      <c r="J421" t="str">
        <f>IF(CALC_EPM!$B410="","",CALC_EPM!J410)</f>
      </c>
      <c r="K421" t="str">
        <f>IF(CALC_EPM!$B410="","",CALC_EPM!K410)</f>
      </c>
      <c r="L421">
        <f>IF(CALC_EPM!$B410="","",CALC_EPM!L410)</f>
      </c>
      <c r="M421">
        <f>IF(CALC_EPM!$B410="","",CALC_EPM!M410)</f>
      </c>
      <c r="N421">
        <f>IF(CALC_EPM!$B410="","",CALC_EPM!N410)</f>
      </c>
      <c r="O421">
        <f>IF(CALC_EPM!$B410="","",CALC_EPM!O410)</f>
      </c>
      <c r="P421">
        <f>IF(CALC_EPM!$B410="","",CALC_EPM!P410)</f>
      </c>
      <c r="Q421">
        <f>IF(CALC_EPM!$B410="","",CALC_EPM!Q410)</f>
      </c>
      <c r="R421">
        <f>IF(CALC_EPM!$B410="","",CALC_EPM!R410)</f>
      </c>
      <c r="S421">
        <f>IF(CALC_EPM!$B410="","",CALC_EPM!S410)</f>
      </c>
      <c r="T421">
        <f>IF(CALC_EPM!$B410="","",CALC_EPM!T410)</f>
      </c>
      <c r="U421">
        <f>IF(CALC_EPM!$B410="","",CALC_EPM!U410)</f>
      </c>
    </row>
    <row r="422">
      <c r="A422" t="str">
        <f>IF(CALC_EPM!$B411="","",IF(CALC_EPM!A411="GLOBAL",IF(CALC_EPM!C411="Total","GLOBAL",IF(CALC_EPM!C411="TotalEsp","GLOBAL_ESP",IF(CALC_EPM!C411="TotalNoEsp","GLOBAL_NOESP","GLOBAL_ASIG"))),IF(CALC_EPM!C411="Total","CURSO_TOTAL",IF(CALC_EPM!C411="TotalEsp","CURSO_ESP",IF(CALC_EPM!C411="TotalNoEsp","CURSO_NOESP","CURSO_ASIG")))))</f>
      </c>
      <c r="B422" t="str">
        <f>IF(CALC_EPM!$B411="","",CALC_EPM!A411)</f>
      </c>
      <c r="C422" t="str">
        <f>IF(CALC_EPM!$B411="","",CALC_EPM!B411)</f>
      </c>
      <c r="D422">
        <f>IF(CALC_EPM!$B411="","",CALC_EPM!D411)</f>
      </c>
      <c r="E422" s="10" t="str">
        <f>IF(CALC_EPM!$B411="","",CALC_EPM!E411)</f>
      </c>
      <c r="F422" s="10" t="str">
        <f>IF(CALC_EPM!$B411="","",CALC_EPM!F411)</f>
      </c>
      <c r="G422" t="str">
        <f>IF(CALC_EPM!$B411="","",CALC_EPM!G411)</f>
      </c>
      <c r="H422" s="11" t="str">
        <f>IF(CALC_EPM!$B411="","",CALC_EPM!H411)</f>
      </c>
      <c r="I422" s="11" t="str">
        <f>IF(CALC_EPM!$B411="","",CALC_EPM!I411)</f>
      </c>
      <c r="J422" t="str">
        <f>IF(CALC_EPM!$B411="","",CALC_EPM!J411)</f>
      </c>
      <c r="K422" t="str">
        <f>IF(CALC_EPM!$B411="","",CALC_EPM!K411)</f>
      </c>
      <c r="L422">
        <f>IF(CALC_EPM!$B411="","",CALC_EPM!L411)</f>
      </c>
      <c r="M422">
        <f>IF(CALC_EPM!$B411="","",CALC_EPM!M411)</f>
      </c>
      <c r="N422">
        <f>IF(CALC_EPM!$B411="","",CALC_EPM!N411)</f>
      </c>
      <c r="O422">
        <f>IF(CALC_EPM!$B411="","",CALC_EPM!O411)</f>
      </c>
      <c r="P422">
        <f>IF(CALC_EPM!$B411="","",CALC_EPM!P411)</f>
      </c>
      <c r="Q422">
        <f>IF(CALC_EPM!$B411="","",CALC_EPM!Q411)</f>
      </c>
      <c r="R422">
        <f>IF(CALC_EPM!$B411="","",CALC_EPM!R411)</f>
      </c>
      <c r="S422">
        <f>IF(CALC_EPM!$B411="","",CALC_EPM!S411)</f>
      </c>
      <c r="T422">
        <f>IF(CALC_EPM!$B411="","",CALC_EPM!T411)</f>
      </c>
      <c r="U422">
        <f>IF(CALC_EPM!$B411="","",CALC_EPM!U411)</f>
      </c>
    </row>
    <row r="423">
      <c r="A423" t="str">
        <f>IF(CALC_EPM!$B412="","",IF(CALC_EPM!A412="GLOBAL",IF(CALC_EPM!C412="Total","GLOBAL",IF(CALC_EPM!C412="TotalEsp","GLOBAL_ESP",IF(CALC_EPM!C412="TotalNoEsp","GLOBAL_NOESP","GLOBAL_ASIG"))),IF(CALC_EPM!C412="Total","CURSO_TOTAL",IF(CALC_EPM!C412="TotalEsp","CURSO_ESP",IF(CALC_EPM!C412="TotalNoEsp","CURSO_NOESP","CURSO_ASIG")))))</f>
      </c>
      <c r="B423" t="str">
        <f>IF(CALC_EPM!$B412="","",CALC_EPM!A412)</f>
      </c>
      <c r="C423" t="str">
        <f>IF(CALC_EPM!$B412="","",CALC_EPM!B412)</f>
      </c>
      <c r="D423">
        <f>IF(CALC_EPM!$B412="","",CALC_EPM!D412)</f>
      </c>
      <c r="E423" s="10" t="str">
        <f>IF(CALC_EPM!$B412="","",CALC_EPM!E412)</f>
      </c>
      <c r="F423" s="10" t="str">
        <f>IF(CALC_EPM!$B412="","",CALC_EPM!F412)</f>
      </c>
      <c r="G423" t="str">
        <f>IF(CALC_EPM!$B412="","",CALC_EPM!G412)</f>
      </c>
      <c r="H423" s="11" t="str">
        <f>IF(CALC_EPM!$B412="","",CALC_EPM!H412)</f>
      </c>
      <c r="I423" s="11" t="str">
        <f>IF(CALC_EPM!$B412="","",CALC_EPM!I412)</f>
      </c>
      <c r="J423" t="str">
        <f>IF(CALC_EPM!$B412="","",CALC_EPM!J412)</f>
      </c>
      <c r="K423" t="str">
        <f>IF(CALC_EPM!$B412="","",CALC_EPM!K412)</f>
      </c>
      <c r="L423">
        <f>IF(CALC_EPM!$B412="","",CALC_EPM!L412)</f>
      </c>
      <c r="M423">
        <f>IF(CALC_EPM!$B412="","",CALC_EPM!M412)</f>
      </c>
      <c r="N423">
        <f>IF(CALC_EPM!$B412="","",CALC_EPM!N412)</f>
      </c>
      <c r="O423">
        <f>IF(CALC_EPM!$B412="","",CALC_EPM!O412)</f>
      </c>
      <c r="P423">
        <f>IF(CALC_EPM!$B412="","",CALC_EPM!P412)</f>
      </c>
      <c r="Q423">
        <f>IF(CALC_EPM!$B412="","",CALC_EPM!Q412)</f>
      </c>
      <c r="R423">
        <f>IF(CALC_EPM!$B412="","",CALC_EPM!R412)</f>
      </c>
      <c r="S423">
        <f>IF(CALC_EPM!$B412="","",CALC_EPM!S412)</f>
      </c>
      <c r="T423">
        <f>IF(CALC_EPM!$B412="","",CALC_EPM!T412)</f>
      </c>
      <c r="U423">
        <f>IF(CALC_EPM!$B412="","",CALC_EPM!U412)</f>
      </c>
    </row>
    <row r="424">
      <c r="A424" t="str">
        <f>IF(CALC_EPM!$B413="","",IF(CALC_EPM!A413="GLOBAL",IF(CALC_EPM!C413="Total","GLOBAL",IF(CALC_EPM!C413="TotalEsp","GLOBAL_ESP",IF(CALC_EPM!C413="TotalNoEsp","GLOBAL_NOESP","GLOBAL_ASIG"))),IF(CALC_EPM!C413="Total","CURSO_TOTAL",IF(CALC_EPM!C413="TotalEsp","CURSO_ESP",IF(CALC_EPM!C413="TotalNoEsp","CURSO_NOESP","CURSO_ASIG")))))</f>
      </c>
      <c r="B424" t="str">
        <f>IF(CALC_EPM!$B413="","",CALC_EPM!A413)</f>
      </c>
      <c r="C424" t="str">
        <f>IF(CALC_EPM!$B413="","",CALC_EPM!B413)</f>
      </c>
      <c r="D424">
        <f>IF(CALC_EPM!$B413="","",CALC_EPM!D413)</f>
      </c>
      <c r="E424" s="10" t="str">
        <f>IF(CALC_EPM!$B413="","",CALC_EPM!E413)</f>
      </c>
      <c r="F424" s="10" t="str">
        <f>IF(CALC_EPM!$B413="","",CALC_EPM!F413)</f>
      </c>
      <c r="G424" t="str">
        <f>IF(CALC_EPM!$B413="","",CALC_EPM!G413)</f>
      </c>
      <c r="H424" s="11" t="str">
        <f>IF(CALC_EPM!$B413="","",CALC_EPM!H413)</f>
      </c>
      <c r="I424" s="11" t="str">
        <f>IF(CALC_EPM!$B413="","",CALC_EPM!I413)</f>
      </c>
      <c r="J424" t="str">
        <f>IF(CALC_EPM!$B413="","",CALC_EPM!J413)</f>
      </c>
      <c r="K424" t="str">
        <f>IF(CALC_EPM!$B413="","",CALC_EPM!K413)</f>
      </c>
      <c r="L424">
        <f>IF(CALC_EPM!$B413="","",CALC_EPM!L413)</f>
      </c>
      <c r="M424">
        <f>IF(CALC_EPM!$B413="","",CALC_EPM!M413)</f>
      </c>
      <c r="N424">
        <f>IF(CALC_EPM!$B413="","",CALC_EPM!N413)</f>
      </c>
      <c r="O424">
        <f>IF(CALC_EPM!$B413="","",CALC_EPM!O413)</f>
      </c>
      <c r="P424">
        <f>IF(CALC_EPM!$B413="","",CALC_EPM!P413)</f>
      </c>
      <c r="Q424">
        <f>IF(CALC_EPM!$B413="","",CALC_EPM!Q413)</f>
      </c>
      <c r="R424">
        <f>IF(CALC_EPM!$B413="","",CALC_EPM!R413)</f>
      </c>
      <c r="S424">
        <f>IF(CALC_EPM!$B413="","",CALC_EPM!S413)</f>
      </c>
      <c r="T424">
        <f>IF(CALC_EPM!$B413="","",CALC_EPM!T413)</f>
      </c>
      <c r="U424">
        <f>IF(CALC_EPM!$B413="","",CALC_EPM!U413)</f>
      </c>
    </row>
    <row r="425">
      <c r="A425" t="str">
        <f>IF(CALC_EPM!$B414="","",IF(CALC_EPM!A414="GLOBAL",IF(CALC_EPM!C414="Total","GLOBAL",IF(CALC_EPM!C414="TotalEsp","GLOBAL_ESP",IF(CALC_EPM!C414="TotalNoEsp","GLOBAL_NOESP","GLOBAL_ASIG"))),IF(CALC_EPM!C414="Total","CURSO_TOTAL",IF(CALC_EPM!C414="TotalEsp","CURSO_ESP",IF(CALC_EPM!C414="TotalNoEsp","CURSO_NOESP","CURSO_ASIG")))))</f>
      </c>
      <c r="B425" t="str">
        <f>IF(CALC_EPM!$B414="","",CALC_EPM!A414)</f>
      </c>
      <c r="C425" t="str">
        <f>IF(CALC_EPM!$B414="","",CALC_EPM!B414)</f>
      </c>
      <c r="D425">
        <f>IF(CALC_EPM!$B414="","",CALC_EPM!D414)</f>
      </c>
      <c r="E425" s="10" t="str">
        <f>IF(CALC_EPM!$B414="","",CALC_EPM!E414)</f>
      </c>
      <c r="F425" s="10" t="str">
        <f>IF(CALC_EPM!$B414="","",CALC_EPM!F414)</f>
      </c>
      <c r="G425" t="str">
        <f>IF(CALC_EPM!$B414="","",CALC_EPM!G414)</f>
      </c>
      <c r="H425" s="11" t="str">
        <f>IF(CALC_EPM!$B414="","",CALC_EPM!H414)</f>
      </c>
      <c r="I425" s="11" t="str">
        <f>IF(CALC_EPM!$B414="","",CALC_EPM!I414)</f>
      </c>
      <c r="J425" t="str">
        <f>IF(CALC_EPM!$B414="","",CALC_EPM!J414)</f>
      </c>
      <c r="K425" t="str">
        <f>IF(CALC_EPM!$B414="","",CALC_EPM!K414)</f>
      </c>
      <c r="L425">
        <f>IF(CALC_EPM!$B414="","",CALC_EPM!L414)</f>
      </c>
      <c r="M425">
        <f>IF(CALC_EPM!$B414="","",CALC_EPM!M414)</f>
      </c>
      <c r="N425">
        <f>IF(CALC_EPM!$B414="","",CALC_EPM!N414)</f>
      </c>
      <c r="O425">
        <f>IF(CALC_EPM!$B414="","",CALC_EPM!O414)</f>
      </c>
      <c r="P425">
        <f>IF(CALC_EPM!$B414="","",CALC_EPM!P414)</f>
      </c>
      <c r="Q425">
        <f>IF(CALC_EPM!$B414="","",CALC_EPM!Q414)</f>
      </c>
      <c r="R425">
        <f>IF(CALC_EPM!$B414="","",CALC_EPM!R414)</f>
      </c>
      <c r="S425">
        <f>IF(CALC_EPM!$B414="","",CALC_EPM!S414)</f>
      </c>
      <c r="T425">
        <f>IF(CALC_EPM!$B414="","",CALC_EPM!T414)</f>
      </c>
      <c r="U425">
        <f>IF(CALC_EPM!$B414="","",CALC_EPM!U414)</f>
      </c>
    </row>
    <row r="426">
      <c r="A426" t="str">
        <f>IF(CALC_EPM!$B415="","",IF(CALC_EPM!A415="GLOBAL",IF(CALC_EPM!C415="Total","GLOBAL",IF(CALC_EPM!C415="TotalEsp","GLOBAL_ESP",IF(CALC_EPM!C415="TotalNoEsp","GLOBAL_NOESP","GLOBAL_ASIG"))),IF(CALC_EPM!C415="Total","CURSO_TOTAL",IF(CALC_EPM!C415="TotalEsp","CURSO_ESP",IF(CALC_EPM!C415="TotalNoEsp","CURSO_NOESP","CURSO_ASIG")))))</f>
      </c>
      <c r="B426" t="str">
        <f>IF(CALC_EPM!$B415="","",CALC_EPM!A415)</f>
      </c>
      <c r="C426" t="str">
        <f>IF(CALC_EPM!$B415="","",CALC_EPM!B415)</f>
      </c>
      <c r="D426">
        <f>IF(CALC_EPM!$B415="","",CALC_EPM!D415)</f>
      </c>
      <c r="E426" s="10" t="str">
        <f>IF(CALC_EPM!$B415="","",CALC_EPM!E415)</f>
      </c>
      <c r="F426" s="10" t="str">
        <f>IF(CALC_EPM!$B415="","",CALC_EPM!F415)</f>
      </c>
      <c r="G426" t="str">
        <f>IF(CALC_EPM!$B415="","",CALC_EPM!G415)</f>
      </c>
      <c r="H426" s="11" t="str">
        <f>IF(CALC_EPM!$B415="","",CALC_EPM!H415)</f>
      </c>
      <c r="I426" s="11" t="str">
        <f>IF(CALC_EPM!$B415="","",CALC_EPM!I415)</f>
      </c>
      <c r="J426" t="str">
        <f>IF(CALC_EPM!$B415="","",CALC_EPM!J415)</f>
      </c>
      <c r="K426" t="str">
        <f>IF(CALC_EPM!$B415="","",CALC_EPM!K415)</f>
      </c>
      <c r="L426">
        <f>IF(CALC_EPM!$B415="","",CALC_EPM!L415)</f>
      </c>
      <c r="M426">
        <f>IF(CALC_EPM!$B415="","",CALC_EPM!M415)</f>
      </c>
      <c r="N426">
        <f>IF(CALC_EPM!$B415="","",CALC_EPM!N415)</f>
      </c>
      <c r="O426">
        <f>IF(CALC_EPM!$B415="","",CALC_EPM!O415)</f>
      </c>
      <c r="P426">
        <f>IF(CALC_EPM!$B415="","",CALC_EPM!P415)</f>
      </c>
      <c r="Q426">
        <f>IF(CALC_EPM!$B415="","",CALC_EPM!Q415)</f>
      </c>
      <c r="R426">
        <f>IF(CALC_EPM!$B415="","",CALC_EPM!R415)</f>
      </c>
      <c r="S426">
        <f>IF(CALC_EPM!$B415="","",CALC_EPM!S415)</f>
      </c>
      <c r="T426">
        <f>IF(CALC_EPM!$B415="","",CALC_EPM!T415)</f>
      </c>
      <c r="U426">
        <f>IF(CALC_EPM!$B415="","",CALC_EPM!U415)</f>
      </c>
    </row>
    <row r="427">
      <c r="A427" t="str">
        <f>IF(CALC_EPM!$B416="","",IF(CALC_EPM!A416="GLOBAL",IF(CALC_EPM!C416="Total","GLOBAL",IF(CALC_EPM!C416="TotalEsp","GLOBAL_ESP",IF(CALC_EPM!C416="TotalNoEsp","GLOBAL_NOESP","GLOBAL_ASIG"))),IF(CALC_EPM!C416="Total","CURSO_TOTAL",IF(CALC_EPM!C416="TotalEsp","CURSO_ESP",IF(CALC_EPM!C416="TotalNoEsp","CURSO_NOESP","CURSO_ASIG")))))</f>
      </c>
      <c r="B427" t="str">
        <f>IF(CALC_EPM!$B416="","",CALC_EPM!A416)</f>
      </c>
      <c r="C427" t="str">
        <f>IF(CALC_EPM!$B416="","",CALC_EPM!B416)</f>
      </c>
      <c r="D427">
        <f>IF(CALC_EPM!$B416="","",CALC_EPM!D416)</f>
      </c>
      <c r="E427" s="10" t="str">
        <f>IF(CALC_EPM!$B416="","",CALC_EPM!E416)</f>
      </c>
      <c r="F427" s="10" t="str">
        <f>IF(CALC_EPM!$B416="","",CALC_EPM!F416)</f>
      </c>
      <c r="G427" t="str">
        <f>IF(CALC_EPM!$B416="","",CALC_EPM!G416)</f>
      </c>
      <c r="H427" s="11" t="str">
        <f>IF(CALC_EPM!$B416="","",CALC_EPM!H416)</f>
      </c>
      <c r="I427" s="11" t="str">
        <f>IF(CALC_EPM!$B416="","",CALC_EPM!I416)</f>
      </c>
      <c r="J427" t="str">
        <f>IF(CALC_EPM!$B416="","",CALC_EPM!J416)</f>
      </c>
      <c r="K427" t="str">
        <f>IF(CALC_EPM!$B416="","",CALC_EPM!K416)</f>
      </c>
      <c r="L427">
        <f>IF(CALC_EPM!$B416="","",CALC_EPM!L416)</f>
      </c>
      <c r="M427">
        <f>IF(CALC_EPM!$B416="","",CALC_EPM!M416)</f>
      </c>
      <c r="N427">
        <f>IF(CALC_EPM!$B416="","",CALC_EPM!N416)</f>
      </c>
      <c r="O427">
        <f>IF(CALC_EPM!$B416="","",CALC_EPM!O416)</f>
      </c>
      <c r="P427">
        <f>IF(CALC_EPM!$B416="","",CALC_EPM!P416)</f>
      </c>
      <c r="Q427">
        <f>IF(CALC_EPM!$B416="","",CALC_EPM!Q416)</f>
      </c>
      <c r="R427">
        <f>IF(CALC_EPM!$B416="","",CALC_EPM!R416)</f>
      </c>
      <c r="S427">
        <f>IF(CALC_EPM!$B416="","",CALC_EPM!S416)</f>
      </c>
      <c r="T427">
        <f>IF(CALC_EPM!$B416="","",CALC_EPM!T416)</f>
      </c>
      <c r="U427">
        <f>IF(CALC_EPM!$B416="","",CALC_EPM!U416)</f>
      </c>
    </row>
    <row r="428">
      <c r="A428" t="str">
        <f>IF(CALC_EPM!$B417="","",IF(CALC_EPM!A417="GLOBAL",IF(CALC_EPM!C417="Total","GLOBAL",IF(CALC_EPM!C417="TotalEsp","GLOBAL_ESP",IF(CALC_EPM!C417="TotalNoEsp","GLOBAL_NOESP","GLOBAL_ASIG"))),IF(CALC_EPM!C417="Total","CURSO_TOTAL",IF(CALC_EPM!C417="TotalEsp","CURSO_ESP",IF(CALC_EPM!C417="TotalNoEsp","CURSO_NOESP","CURSO_ASIG")))))</f>
      </c>
      <c r="B428" t="str">
        <f>IF(CALC_EPM!$B417="","",CALC_EPM!A417)</f>
      </c>
      <c r="C428" t="str">
        <f>IF(CALC_EPM!$B417="","",CALC_EPM!B417)</f>
      </c>
      <c r="D428">
        <f>IF(CALC_EPM!$B417="","",CALC_EPM!D417)</f>
      </c>
      <c r="E428" s="10" t="str">
        <f>IF(CALC_EPM!$B417="","",CALC_EPM!E417)</f>
      </c>
      <c r="F428" s="10" t="str">
        <f>IF(CALC_EPM!$B417="","",CALC_EPM!F417)</f>
      </c>
      <c r="G428" t="str">
        <f>IF(CALC_EPM!$B417="","",CALC_EPM!G417)</f>
      </c>
      <c r="H428" s="11" t="str">
        <f>IF(CALC_EPM!$B417="","",CALC_EPM!H417)</f>
      </c>
      <c r="I428" s="11" t="str">
        <f>IF(CALC_EPM!$B417="","",CALC_EPM!I417)</f>
      </c>
      <c r="J428" t="str">
        <f>IF(CALC_EPM!$B417="","",CALC_EPM!J417)</f>
      </c>
      <c r="K428" t="str">
        <f>IF(CALC_EPM!$B417="","",CALC_EPM!K417)</f>
      </c>
      <c r="L428">
        <f>IF(CALC_EPM!$B417="","",CALC_EPM!L417)</f>
      </c>
      <c r="M428">
        <f>IF(CALC_EPM!$B417="","",CALC_EPM!M417)</f>
      </c>
      <c r="N428">
        <f>IF(CALC_EPM!$B417="","",CALC_EPM!N417)</f>
      </c>
      <c r="O428">
        <f>IF(CALC_EPM!$B417="","",CALC_EPM!O417)</f>
      </c>
      <c r="P428">
        <f>IF(CALC_EPM!$B417="","",CALC_EPM!P417)</f>
      </c>
      <c r="Q428">
        <f>IF(CALC_EPM!$B417="","",CALC_EPM!Q417)</f>
      </c>
      <c r="R428">
        <f>IF(CALC_EPM!$B417="","",CALC_EPM!R417)</f>
      </c>
      <c r="S428">
        <f>IF(CALC_EPM!$B417="","",CALC_EPM!S417)</f>
      </c>
      <c r="T428">
        <f>IF(CALC_EPM!$B417="","",CALC_EPM!T417)</f>
      </c>
      <c r="U428">
        <f>IF(CALC_EPM!$B417="","",CALC_EPM!U417)</f>
      </c>
    </row>
    <row r="429">
      <c r="A429" t="str">
        <f>IF(CALC_EPM!$B418="","",IF(CALC_EPM!A418="GLOBAL",IF(CALC_EPM!C418="Total","GLOBAL",IF(CALC_EPM!C418="TotalEsp","GLOBAL_ESP",IF(CALC_EPM!C418="TotalNoEsp","GLOBAL_NOESP","GLOBAL_ASIG"))),IF(CALC_EPM!C418="Total","CURSO_TOTAL",IF(CALC_EPM!C418="TotalEsp","CURSO_ESP",IF(CALC_EPM!C418="TotalNoEsp","CURSO_NOESP","CURSO_ASIG")))))</f>
      </c>
      <c r="B429" t="str">
        <f>IF(CALC_EPM!$B418="","",CALC_EPM!A418)</f>
      </c>
      <c r="C429" t="str">
        <f>IF(CALC_EPM!$B418="","",CALC_EPM!B418)</f>
      </c>
      <c r="D429">
        <f>IF(CALC_EPM!$B418="","",CALC_EPM!D418)</f>
      </c>
      <c r="E429" s="10" t="str">
        <f>IF(CALC_EPM!$B418="","",CALC_EPM!E418)</f>
      </c>
      <c r="F429" s="10" t="str">
        <f>IF(CALC_EPM!$B418="","",CALC_EPM!F418)</f>
      </c>
      <c r="G429" t="str">
        <f>IF(CALC_EPM!$B418="","",CALC_EPM!G418)</f>
      </c>
      <c r="H429" s="11" t="str">
        <f>IF(CALC_EPM!$B418="","",CALC_EPM!H418)</f>
      </c>
      <c r="I429" s="11" t="str">
        <f>IF(CALC_EPM!$B418="","",CALC_EPM!I418)</f>
      </c>
      <c r="J429" t="str">
        <f>IF(CALC_EPM!$B418="","",CALC_EPM!J418)</f>
      </c>
      <c r="K429" t="str">
        <f>IF(CALC_EPM!$B418="","",CALC_EPM!K418)</f>
      </c>
      <c r="L429">
        <f>IF(CALC_EPM!$B418="","",CALC_EPM!L418)</f>
      </c>
      <c r="M429">
        <f>IF(CALC_EPM!$B418="","",CALC_EPM!M418)</f>
      </c>
      <c r="N429">
        <f>IF(CALC_EPM!$B418="","",CALC_EPM!N418)</f>
      </c>
      <c r="O429">
        <f>IF(CALC_EPM!$B418="","",CALC_EPM!O418)</f>
      </c>
      <c r="P429">
        <f>IF(CALC_EPM!$B418="","",CALC_EPM!P418)</f>
      </c>
      <c r="Q429">
        <f>IF(CALC_EPM!$B418="","",CALC_EPM!Q418)</f>
      </c>
      <c r="R429">
        <f>IF(CALC_EPM!$B418="","",CALC_EPM!R418)</f>
      </c>
      <c r="S429">
        <f>IF(CALC_EPM!$B418="","",CALC_EPM!S418)</f>
      </c>
      <c r="T429">
        <f>IF(CALC_EPM!$B418="","",CALC_EPM!T418)</f>
      </c>
      <c r="U429">
        <f>IF(CALC_EPM!$B418="","",CALC_EPM!U418)</f>
      </c>
    </row>
    <row r="430">
      <c r="A430" t="str">
        <f>IF(CALC_EPM!$B419="","",IF(CALC_EPM!A419="GLOBAL",IF(CALC_EPM!C419="Total","GLOBAL",IF(CALC_EPM!C419="TotalEsp","GLOBAL_ESP",IF(CALC_EPM!C419="TotalNoEsp","GLOBAL_NOESP","GLOBAL_ASIG"))),IF(CALC_EPM!C419="Total","CURSO_TOTAL",IF(CALC_EPM!C419="TotalEsp","CURSO_ESP",IF(CALC_EPM!C419="TotalNoEsp","CURSO_NOESP","CURSO_ASIG")))))</f>
      </c>
      <c r="B430" t="str">
        <f>IF(CALC_EPM!$B419="","",CALC_EPM!A419)</f>
      </c>
      <c r="C430" t="str">
        <f>IF(CALC_EPM!$B419="","",CALC_EPM!B419)</f>
      </c>
      <c r="D430">
        <f>IF(CALC_EPM!$B419="","",CALC_EPM!D419)</f>
      </c>
      <c r="E430" s="10" t="str">
        <f>IF(CALC_EPM!$B419="","",CALC_EPM!E419)</f>
      </c>
      <c r="F430" s="10" t="str">
        <f>IF(CALC_EPM!$B419="","",CALC_EPM!F419)</f>
      </c>
      <c r="G430" t="str">
        <f>IF(CALC_EPM!$B419="","",CALC_EPM!G419)</f>
      </c>
      <c r="H430" s="11" t="str">
        <f>IF(CALC_EPM!$B419="","",CALC_EPM!H419)</f>
      </c>
      <c r="I430" s="11" t="str">
        <f>IF(CALC_EPM!$B419="","",CALC_EPM!I419)</f>
      </c>
      <c r="J430" t="str">
        <f>IF(CALC_EPM!$B419="","",CALC_EPM!J419)</f>
      </c>
      <c r="K430" t="str">
        <f>IF(CALC_EPM!$B419="","",CALC_EPM!K419)</f>
      </c>
      <c r="L430">
        <f>IF(CALC_EPM!$B419="","",CALC_EPM!L419)</f>
      </c>
      <c r="M430">
        <f>IF(CALC_EPM!$B419="","",CALC_EPM!M419)</f>
      </c>
      <c r="N430">
        <f>IF(CALC_EPM!$B419="","",CALC_EPM!N419)</f>
      </c>
      <c r="O430">
        <f>IF(CALC_EPM!$B419="","",CALC_EPM!O419)</f>
      </c>
      <c r="P430">
        <f>IF(CALC_EPM!$B419="","",CALC_EPM!P419)</f>
      </c>
      <c r="Q430">
        <f>IF(CALC_EPM!$B419="","",CALC_EPM!Q419)</f>
      </c>
      <c r="R430">
        <f>IF(CALC_EPM!$B419="","",CALC_EPM!R419)</f>
      </c>
      <c r="S430">
        <f>IF(CALC_EPM!$B419="","",CALC_EPM!S419)</f>
      </c>
      <c r="T430">
        <f>IF(CALC_EPM!$B419="","",CALC_EPM!T419)</f>
      </c>
      <c r="U430">
        <f>IF(CALC_EPM!$B419="","",CALC_EPM!U419)</f>
      </c>
    </row>
    <row r="431">
      <c r="A431" t="str">
        <f>IF(CALC_EPM!$B420="","",IF(CALC_EPM!A420="GLOBAL",IF(CALC_EPM!C420="Total","GLOBAL",IF(CALC_EPM!C420="TotalEsp","GLOBAL_ESP",IF(CALC_EPM!C420="TotalNoEsp","GLOBAL_NOESP","GLOBAL_ASIG"))),IF(CALC_EPM!C420="Total","CURSO_TOTAL",IF(CALC_EPM!C420="TotalEsp","CURSO_ESP",IF(CALC_EPM!C420="TotalNoEsp","CURSO_NOESP","CURSO_ASIG")))))</f>
      </c>
      <c r="B431" t="str">
        <f>IF(CALC_EPM!$B420="","",CALC_EPM!A420)</f>
      </c>
      <c r="C431" t="str">
        <f>IF(CALC_EPM!$B420="","",CALC_EPM!B420)</f>
      </c>
      <c r="D431">
        <f>IF(CALC_EPM!$B420="","",CALC_EPM!D420)</f>
      </c>
      <c r="E431" s="10" t="str">
        <f>IF(CALC_EPM!$B420="","",CALC_EPM!E420)</f>
      </c>
      <c r="F431" s="10" t="str">
        <f>IF(CALC_EPM!$B420="","",CALC_EPM!F420)</f>
      </c>
      <c r="G431" t="str">
        <f>IF(CALC_EPM!$B420="","",CALC_EPM!G420)</f>
      </c>
      <c r="H431" s="11" t="str">
        <f>IF(CALC_EPM!$B420="","",CALC_EPM!H420)</f>
      </c>
      <c r="I431" s="11" t="str">
        <f>IF(CALC_EPM!$B420="","",CALC_EPM!I420)</f>
      </c>
      <c r="J431" t="str">
        <f>IF(CALC_EPM!$B420="","",CALC_EPM!J420)</f>
      </c>
      <c r="K431" t="str">
        <f>IF(CALC_EPM!$B420="","",CALC_EPM!K420)</f>
      </c>
      <c r="L431">
        <f>IF(CALC_EPM!$B420="","",CALC_EPM!L420)</f>
      </c>
      <c r="M431">
        <f>IF(CALC_EPM!$B420="","",CALC_EPM!M420)</f>
      </c>
      <c r="N431">
        <f>IF(CALC_EPM!$B420="","",CALC_EPM!N420)</f>
      </c>
      <c r="O431">
        <f>IF(CALC_EPM!$B420="","",CALC_EPM!O420)</f>
      </c>
      <c r="P431">
        <f>IF(CALC_EPM!$B420="","",CALC_EPM!P420)</f>
      </c>
      <c r="Q431">
        <f>IF(CALC_EPM!$B420="","",CALC_EPM!Q420)</f>
      </c>
      <c r="R431">
        <f>IF(CALC_EPM!$B420="","",CALC_EPM!R420)</f>
      </c>
      <c r="S431">
        <f>IF(CALC_EPM!$B420="","",CALC_EPM!S420)</f>
      </c>
      <c r="T431">
        <f>IF(CALC_EPM!$B420="","",CALC_EPM!T420)</f>
      </c>
      <c r="U431">
        <f>IF(CALC_EPM!$B420="","",CALC_EPM!U420)</f>
      </c>
    </row>
    <row r="432">
      <c r="A432" t="str">
        <f>IF(CALC_EPM!$B421="","",IF(CALC_EPM!A421="GLOBAL",IF(CALC_EPM!C421="Total","GLOBAL",IF(CALC_EPM!C421="TotalEsp","GLOBAL_ESP",IF(CALC_EPM!C421="TotalNoEsp","GLOBAL_NOESP","GLOBAL_ASIG"))),IF(CALC_EPM!C421="Total","CURSO_TOTAL",IF(CALC_EPM!C421="TotalEsp","CURSO_ESP",IF(CALC_EPM!C421="TotalNoEsp","CURSO_NOESP","CURSO_ASIG")))))</f>
      </c>
      <c r="B432" t="str">
        <f>IF(CALC_EPM!$B421="","",CALC_EPM!A421)</f>
      </c>
      <c r="C432" t="str">
        <f>IF(CALC_EPM!$B421="","",CALC_EPM!B421)</f>
      </c>
      <c r="D432">
        <f>IF(CALC_EPM!$B421="","",CALC_EPM!D421)</f>
      </c>
      <c r="E432" s="10" t="str">
        <f>IF(CALC_EPM!$B421="","",CALC_EPM!E421)</f>
      </c>
      <c r="F432" s="10" t="str">
        <f>IF(CALC_EPM!$B421="","",CALC_EPM!F421)</f>
      </c>
      <c r="G432" t="str">
        <f>IF(CALC_EPM!$B421="","",CALC_EPM!G421)</f>
      </c>
      <c r="H432" s="11" t="str">
        <f>IF(CALC_EPM!$B421="","",CALC_EPM!H421)</f>
      </c>
      <c r="I432" s="11" t="str">
        <f>IF(CALC_EPM!$B421="","",CALC_EPM!I421)</f>
      </c>
      <c r="J432" t="str">
        <f>IF(CALC_EPM!$B421="","",CALC_EPM!J421)</f>
      </c>
      <c r="K432" t="str">
        <f>IF(CALC_EPM!$B421="","",CALC_EPM!K421)</f>
      </c>
      <c r="L432">
        <f>IF(CALC_EPM!$B421="","",CALC_EPM!L421)</f>
      </c>
      <c r="M432">
        <f>IF(CALC_EPM!$B421="","",CALC_EPM!M421)</f>
      </c>
      <c r="N432">
        <f>IF(CALC_EPM!$B421="","",CALC_EPM!N421)</f>
      </c>
      <c r="O432">
        <f>IF(CALC_EPM!$B421="","",CALC_EPM!O421)</f>
      </c>
      <c r="P432">
        <f>IF(CALC_EPM!$B421="","",CALC_EPM!P421)</f>
      </c>
      <c r="Q432">
        <f>IF(CALC_EPM!$B421="","",CALC_EPM!Q421)</f>
      </c>
      <c r="R432">
        <f>IF(CALC_EPM!$B421="","",CALC_EPM!R421)</f>
      </c>
      <c r="S432">
        <f>IF(CALC_EPM!$B421="","",CALC_EPM!S421)</f>
      </c>
      <c r="T432">
        <f>IF(CALC_EPM!$B421="","",CALC_EPM!T421)</f>
      </c>
      <c r="U432">
        <f>IF(CALC_EPM!$B421="","",CALC_EPM!U421)</f>
      </c>
    </row>
    <row r="433">
      <c r="A433" t="str">
        <f>IF(CALC_EPM!$B422="","",IF(CALC_EPM!A422="GLOBAL",IF(CALC_EPM!C422="Total","GLOBAL",IF(CALC_EPM!C422="TotalEsp","GLOBAL_ESP",IF(CALC_EPM!C422="TotalNoEsp","GLOBAL_NOESP","GLOBAL_ASIG"))),IF(CALC_EPM!C422="Total","CURSO_TOTAL",IF(CALC_EPM!C422="TotalEsp","CURSO_ESP",IF(CALC_EPM!C422="TotalNoEsp","CURSO_NOESP","CURSO_ASIG")))))</f>
      </c>
      <c r="B433" t="str">
        <f>IF(CALC_EPM!$B422="","",CALC_EPM!A422)</f>
      </c>
      <c r="C433" t="str">
        <f>IF(CALC_EPM!$B422="","",CALC_EPM!B422)</f>
      </c>
      <c r="D433">
        <f>IF(CALC_EPM!$B422="","",CALC_EPM!D422)</f>
      </c>
      <c r="E433" s="10" t="str">
        <f>IF(CALC_EPM!$B422="","",CALC_EPM!E422)</f>
      </c>
      <c r="F433" s="10" t="str">
        <f>IF(CALC_EPM!$B422="","",CALC_EPM!F422)</f>
      </c>
      <c r="G433" t="str">
        <f>IF(CALC_EPM!$B422="","",CALC_EPM!G422)</f>
      </c>
      <c r="H433" s="11" t="str">
        <f>IF(CALC_EPM!$B422="","",CALC_EPM!H422)</f>
      </c>
      <c r="I433" s="11" t="str">
        <f>IF(CALC_EPM!$B422="","",CALC_EPM!I422)</f>
      </c>
      <c r="J433" t="str">
        <f>IF(CALC_EPM!$B422="","",CALC_EPM!J422)</f>
      </c>
      <c r="K433" t="str">
        <f>IF(CALC_EPM!$B422="","",CALC_EPM!K422)</f>
      </c>
      <c r="L433">
        <f>IF(CALC_EPM!$B422="","",CALC_EPM!L422)</f>
      </c>
      <c r="M433">
        <f>IF(CALC_EPM!$B422="","",CALC_EPM!M422)</f>
      </c>
      <c r="N433">
        <f>IF(CALC_EPM!$B422="","",CALC_EPM!N422)</f>
      </c>
      <c r="O433">
        <f>IF(CALC_EPM!$B422="","",CALC_EPM!O422)</f>
      </c>
      <c r="P433">
        <f>IF(CALC_EPM!$B422="","",CALC_EPM!P422)</f>
      </c>
      <c r="Q433">
        <f>IF(CALC_EPM!$B422="","",CALC_EPM!Q422)</f>
      </c>
      <c r="R433">
        <f>IF(CALC_EPM!$B422="","",CALC_EPM!R422)</f>
      </c>
      <c r="S433">
        <f>IF(CALC_EPM!$B422="","",CALC_EPM!S422)</f>
      </c>
      <c r="T433">
        <f>IF(CALC_EPM!$B422="","",CALC_EPM!T422)</f>
      </c>
      <c r="U433">
        <f>IF(CALC_EPM!$B422="","",CALC_EPM!U422)</f>
      </c>
    </row>
    <row r="434">
      <c r="A434" t="str">
        <f>IF(CALC_EPM!$B423="","",IF(CALC_EPM!A423="GLOBAL",IF(CALC_EPM!C423="Total","GLOBAL",IF(CALC_EPM!C423="TotalEsp","GLOBAL_ESP",IF(CALC_EPM!C423="TotalNoEsp","GLOBAL_NOESP","GLOBAL_ASIG"))),IF(CALC_EPM!C423="Total","CURSO_TOTAL",IF(CALC_EPM!C423="TotalEsp","CURSO_ESP",IF(CALC_EPM!C423="TotalNoEsp","CURSO_NOESP","CURSO_ASIG")))))</f>
      </c>
      <c r="B434" t="str">
        <f>IF(CALC_EPM!$B423="","",CALC_EPM!A423)</f>
      </c>
      <c r="C434" t="str">
        <f>IF(CALC_EPM!$B423="","",CALC_EPM!B423)</f>
      </c>
      <c r="D434">
        <f>IF(CALC_EPM!$B423="","",CALC_EPM!D423)</f>
      </c>
      <c r="E434" s="10" t="str">
        <f>IF(CALC_EPM!$B423="","",CALC_EPM!E423)</f>
      </c>
      <c r="F434" s="10" t="str">
        <f>IF(CALC_EPM!$B423="","",CALC_EPM!F423)</f>
      </c>
      <c r="G434" t="str">
        <f>IF(CALC_EPM!$B423="","",CALC_EPM!G423)</f>
      </c>
      <c r="H434" s="11" t="str">
        <f>IF(CALC_EPM!$B423="","",CALC_EPM!H423)</f>
      </c>
      <c r="I434" s="11" t="str">
        <f>IF(CALC_EPM!$B423="","",CALC_EPM!I423)</f>
      </c>
      <c r="J434" t="str">
        <f>IF(CALC_EPM!$B423="","",CALC_EPM!J423)</f>
      </c>
      <c r="K434" t="str">
        <f>IF(CALC_EPM!$B423="","",CALC_EPM!K423)</f>
      </c>
      <c r="L434">
        <f>IF(CALC_EPM!$B423="","",CALC_EPM!L423)</f>
      </c>
      <c r="M434">
        <f>IF(CALC_EPM!$B423="","",CALC_EPM!M423)</f>
      </c>
      <c r="N434">
        <f>IF(CALC_EPM!$B423="","",CALC_EPM!N423)</f>
      </c>
      <c r="O434">
        <f>IF(CALC_EPM!$B423="","",CALC_EPM!O423)</f>
      </c>
      <c r="P434">
        <f>IF(CALC_EPM!$B423="","",CALC_EPM!P423)</f>
      </c>
      <c r="Q434">
        <f>IF(CALC_EPM!$B423="","",CALC_EPM!Q423)</f>
      </c>
      <c r="R434">
        <f>IF(CALC_EPM!$B423="","",CALC_EPM!R423)</f>
      </c>
      <c r="S434">
        <f>IF(CALC_EPM!$B423="","",CALC_EPM!S423)</f>
      </c>
      <c r="T434">
        <f>IF(CALC_EPM!$B423="","",CALC_EPM!T423)</f>
      </c>
      <c r="U434">
        <f>IF(CALC_EPM!$B423="","",CALC_EPM!U423)</f>
      </c>
    </row>
    <row r="435">
      <c r="A435" t="str">
        <f>IF(CALC_EPM!$B424="","",IF(CALC_EPM!A424="GLOBAL",IF(CALC_EPM!C424="Total","GLOBAL",IF(CALC_EPM!C424="TotalEsp","GLOBAL_ESP",IF(CALC_EPM!C424="TotalNoEsp","GLOBAL_NOESP","GLOBAL_ASIG"))),IF(CALC_EPM!C424="Total","CURSO_TOTAL",IF(CALC_EPM!C424="TotalEsp","CURSO_ESP",IF(CALC_EPM!C424="TotalNoEsp","CURSO_NOESP","CURSO_ASIG")))))</f>
      </c>
      <c r="B435" t="str">
        <f>IF(CALC_EPM!$B424="","",CALC_EPM!A424)</f>
      </c>
      <c r="C435" t="str">
        <f>IF(CALC_EPM!$B424="","",CALC_EPM!B424)</f>
      </c>
      <c r="D435">
        <f>IF(CALC_EPM!$B424="","",CALC_EPM!D424)</f>
      </c>
      <c r="E435" s="10" t="str">
        <f>IF(CALC_EPM!$B424="","",CALC_EPM!E424)</f>
      </c>
      <c r="F435" s="10" t="str">
        <f>IF(CALC_EPM!$B424="","",CALC_EPM!F424)</f>
      </c>
      <c r="G435" t="str">
        <f>IF(CALC_EPM!$B424="","",CALC_EPM!G424)</f>
      </c>
      <c r="H435" s="11" t="str">
        <f>IF(CALC_EPM!$B424="","",CALC_EPM!H424)</f>
      </c>
      <c r="I435" s="11" t="str">
        <f>IF(CALC_EPM!$B424="","",CALC_EPM!I424)</f>
      </c>
      <c r="J435" t="str">
        <f>IF(CALC_EPM!$B424="","",CALC_EPM!J424)</f>
      </c>
      <c r="K435" t="str">
        <f>IF(CALC_EPM!$B424="","",CALC_EPM!K424)</f>
      </c>
      <c r="L435">
        <f>IF(CALC_EPM!$B424="","",CALC_EPM!L424)</f>
      </c>
      <c r="M435">
        <f>IF(CALC_EPM!$B424="","",CALC_EPM!M424)</f>
      </c>
      <c r="N435">
        <f>IF(CALC_EPM!$B424="","",CALC_EPM!N424)</f>
      </c>
      <c r="O435">
        <f>IF(CALC_EPM!$B424="","",CALC_EPM!O424)</f>
      </c>
      <c r="P435">
        <f>IF(CALC_EPM!$B424="","",CALC_EPM!P424)</f>
      </c>
      <c r="Q435">
        <f>IF(CALC_EPM!$B424="","",CALC_EPM!Q424)</f>
      </c>
      <c r="R435">
        <f>IF(CALC_EPM!$B424="","",CALC_EPM!R424)</f>
      </c>
      <c r="S435">
        <f>IF(CALC_EPM!$B424="","",CALC_EPM!S424)</f>
      </c>
      <c r="T435">
        <f>IF(CALC_EPM!$B424="","",CALC_EPM!T424)</f>
      </c>
      <c r="U435">
        <f>IF(CALC_EPM!$B424="","",CALC_EPM!U424)</f>
      </c>
    </row>
    <row r="436">
      <c r="A436" t="str">
        <f>IF(CALC_EPM!$B425="","",IF(CALC_EPM!A425="GLOBAL",IF(CALC_EPM!C425="Total","GLOBAL",IF(CALC_EPM!C425="TotalEsp","GLOBAL_ESP",IF(CALC_EPM!C425="TotalNoEsp","GLOBAL_NOESP","GLOBAL_ASIG"))),IF(CALC_EPM!C425="Total","CURSO_TOTAL",IF(CALC_EPM!C425="TotalEsp","CURSO_ESP",IF(CALC_EPM!C425="TotalNoEsp","CURSO_NOESP","CURSO_ASIG")))))</f>
      </c>
      <c r="B436" t="str">
        <f>IF(CALC_EPM!$B425="","",CALC_EPM!A425)</f>
      </c>
      <c r="C436" t="str">
        <f>IF(CALC_EPM!$B425="","",CALC_EPM!B425)</f>
      </c>
      <c r="D436">
        <f>IF(CALC_EPM!$B425="","",CALC_EPM!D425)</f>
      </c>
      <c r="E436" s="10" t="str">
        <f>IF(CALC_EPM!$B425="","",CALC_EPM!E425)</f>
      </c>
      <c r="F436" s="10" t="str">
        <f>IF(CALC_EPM!$B425="","",CALC_EPM!F425)</f>
      </c>
      <c r="G436" t="str">
        <f>IF(CALC_EPM!$B425="","",CALC_EPM!G425)</f>
      </c>
      <c r="H436" s="11" t="str">
        <f>IF(CALC_EPM!$B425="","",CALC_EPM!H425)</f>
      </c>
      <c r="I436" s="11" t="str">
        <f>IF(CALC_EPM!$B425="","",CALC_EPM!I425)</f>
      </c>
      <c r="J436" t="str">
        <f>IF(CALC_EPM!$B425="","",CALC_EPM!J425)</f>
      </c>
      <c r="K436" t="str">
        <f>IF(CALC_EPM!$B425="","",CALC_EPM!K425)</f>
      </c>
      <c r="L436">
        <f>IF(CALC_EPM!$B425="","",CALC_EPM!L425)</f>
      </c>
      <c r="M436">
        <f>IF(CALC_EPM!$B425="","",CALC_EPM!M425)</f>
      </c>
      <c r="N436">
        <f>IF(CALC_EPM!$B425="","",CALC_EPM!N425)</f>
      </c>
      <c r="O436">
        <f>IF(CALC_EPM!$B425="","",CALC_EPM!O425)</f>
      </c>
      <c r="P436">
        <f>IF(CALC_EPM!$B425="","",CALC_EPM!P425)</f>
      </c>
      <c r="Q436">
        <f>IF(CALC_EPM!$B425="","",CALC_EPM!Q425)</f>
      </c>
      <c r="R436">
        <f>IF(CALC_EPM!$B425="","",CALC_EPM!R425)</f>
      </c>
      <c r="S436">
        <f>IF(CALC_EPM!$B425="","",CALC_EPM!S425)</f>
      </c>
      <c r="T436">
        <f>IF(CALC_EPM!$B425="","",CALC_EPM!T425)</f>
      </c>
      <c r="U436">
        <f>IF(CALC_EPM!$B425="","",CALC_EPM!U425)</f>
      </c>
    </row>
    <row r="437">
      <c r="A437" t="str">
        <f>IF(CALC_EPM!$B426="","",IF(CALC_EPM!A426="GLOBAL",IF(CALC_EPM!C426="Total","GLOBAL",IF(CALC_EPM!C426="TotalEsp","GLOBAL_ESP",IF(CALC_EPM!C426="TotalNoEsp","GLOBAL_NOESP","GLOBAL_ASIG"))),IF(CALC_EPM!C426="Total","CURSO_TOTAL",IF(CALC_EPM!C426="TotalEsp","CURSO_ESP",IF(CALC_EPM!C426="TotalNoEsp","CURSO_NOESP","CURSO_ASIG")))))</f>
      </c>
      <c r="B437" t="str">
        <f>IF(CALC_EPM!$B426="","",CALC_EPM!A426)</f>
      </c>
      <c r="C437" t="str">
        <f>IF(CALC_EPM!$B426="","",CALC_EPM!B426)</f>
      </c>
      <c r="D437">
        <f>IF(CALC_EPM!$B426="","",CALC_EPM!D426)</f>
      </c>
      <c r="E437" s="10" t="str">
        <f>IF(CALC_EPM!$B426="","",CALC_EPM!E426)</f>
      </c>
      <c r="F437" s="10" t="str">
        <f>IF(CALC_EPM!$B426="","",CALC_EPM!F426)</f>
      </c>
      <c r="G437" t="str">
        <f>IF(CALC_EPM!$B426="","",CALC_EPM!G426)</f>
      </c>
      <c r="H437" s="11" t="str">
        <f>IF(CALC_EPM!$B426="","",CALC_EPM!H426)</f>
      </c>
      <c r="I437" s="11" t="str">
        <f>IF(CALC_EPM!$B426="","",CALC_EPM!I426)</f>
      </c>
      <c r="J437" t="str">
        <f>IF(CALC_EPM!$B426="","",CALC_EPM!J426)</f>
      </c>
      <c r="K437" t="str">
        <f>IF(CALC_EPM!$B426="","",CALC_EPM!K426)</f>
      </c>
      <c r="L437">
        <f>IF(CALC_EPM!$B426="","",CALC_EPM!L426)</f>
      </c>
      <c r="M437">
        <f>IF(CALC_EPM!$B426="","",CALC_EPM!M426)</f>
      </c>
      <c r="N437">
        <f>IF(CALC_EPM!$B426="","",CALC_EPM!N426)</f>
      </c>
      <c r="O437">
        <f>IF(CALC_EPM!$B426="","",CALC_EPM!O426)</f>
      </c>
      <c r="P437">
        <f>IF(CALC_EPM!$B426="","",CALC_EPM!P426)</f>
      </c>
      <c r="Q437">
        <f>IF(CALC_EPM!$B426="","",CALC_EPM!Q426)</f>
      </c>
      <c r="R437">
        <f>IF(CALC_EPM!$B426="","",CALC_EPM!R426)</f>
      </c>
      <c r="S437">
        <f>IF(CALC_EPM!$B426="","",CALC_EPM!S426)</f>
      </c>
      <c r="T437">
        <f>IF(CALC_EPM!$B426="","",CALC_EPM!T426)</f>
      </c>
      <c r="U437">
        <f>IF(CALC_EPM!$B426="","",CALC_EPM!U426)</f>
      </c>
    </row>
    <row r="438">
      <c r="A438" t="str">
        <f>IF(CALC_EPM!$B427="","",IF(CALC_EPM!A427="GLOBAL",IF(CALC_EPM!C427="Total","GLOBAL",IF(CALC_EPM!C427="TotalEsp","GLOBAL_ESP",IF(CALC_EPM!C427="TotalNoEsp","GLOBAL_NOESP","GLOBAL_ASIG"))),IF(CALC_EPM!C427="Total","CURSO_TOTAL",IF(CALC_EPM!C427="TotalEsp","CURSO_ESP",IF(CALC_EPM!C427="TotalNoEsp","CURSO_NOESP","CURSO_ASIG")))))</f>
      </c>
      <c r="B438" t="str">
        <f>IF(CALC_EPM!$B427="","",CALC_EPM!A427)</f>
      </c>
      <c r="C438" t="str">
        <f>IF(CALC_EPM!$B427="","",CALC_EPM!B427)</f>
      </c>
      <c r="D438">
        <f>IF(CALC_EPM!$B427="","",CALC_EPM!D427)</f>
      </c>
      <c r="E438" s="10" t="str">
        <f>IF(CALC_EPM!$B427="","",CALC_EPM!E427)</f>
      </c>
      <c r="F438" s="10" t="str">
        <f>IF(CALC_EPM!$B427="","",CALC_EPM!F427)</f>
      </c>
      <c r="G438" t="str">
        <f>IF(CALC_EPM!$B427="","",CALC_EPM!G427)</f>
      </c>
      <c r="H438" s="11" t="str">
        <f>IF(CALC_EPM!$B427="","",CALC_EPM!H427)</f>
      </c>
      <c r="I438" s="11" t="str">
        <f>IF(CALC_EPM!$B427="","",CALC_EPM!I427)</f>
      </c>
      <c r="J438" t="str">
        <f>IF(CALC_EPM!$B427="","",CALC_EPM!J427)</f>
      </c>
      <c r="K438" t="str">
        <f>IF(CALC_EPM!$B427="","",CALC_EPM!K427)</f>
      </c>
      <c r="L438">
        <f>IF(CALC_EPM!$B427="","",CALC_EPM!L427)</f>
      </c>
      <c r="M438">
        <f>IF(CALC_EPM!$B427="","",CALC_EPM!M427)</f>
      </c>
      <c r="N438">
        <f>IF(CALC_EPM!$B427="","",CALC_EPM!N427)</f>
      </c>
      <c r="O438">
        <f>IF(CALC_EPM!$B427="","",CALC_EPM!O427)</f>
      </c>
      <c r="P438">
        <f>IF(CALC_EPM!$B427="","",CALC_EPM!P427)</f>
      </c>
      <c r="Q438">
        <f>IF(CALC_EPM!$B427="","",CALC_EPM!Q427)</f>
      </c>
      <c r="R438">
        <f>IF(CALC_EPM!$B427="","",CALC_EPM!R427)</f>
      </c>
      <c r="S438">
        <f>IF(CALC_EPM!$B427="","",CALC_EPM!S427)</f>
      </c>
      <c r="T438">
        <f>IF(CALC_EPM!$B427="","",CALC_EPM!T427)</f>
      </c>
      <c r="U438">
        <f>IF(CALC_EPM!$B427="","",CALC_EPM!U427)</f>
      </c>
    </row>
    <row r="439">
      <c r="A439" t="str">
        <f>IF(CALC_EPM!$B428="","",IF(CALC_EPM!A428="GLOBAL",IF(CALC_EPM!C428="Total","GLOBAL",IF(CALC_EPM!C428="TotalEsp","GLOBAL_ESP",IF(CALC_EPM!C428="TotalNoEsp","GLOBAL_NOESP","GLOBAL_ASIG"))),IF(CALC_EPM!C428="Total","CURSO_TOTAL",IF(CALC_EPM!C428="TotalEsp","CURSO_ESP",IF(CALC_EPM!C428="TotalNoEsp","CURSO_NOESP","CURSO_ASIG")))))</f>
      </c>
      <c r="B439" t="str">
        <f>IF(CALC_EPM!$B428="","",CALC_EPM!A428)</f>
      </c>
      <c r="C439" t="str">
        <f>IF(CALC_EPM!$B428="","",CALC_EPM!B428)</f>
      </c>
      <c r="D439">
        <f>IF(CALC_EPM!$B428="","",CALC_EPM!D428)</f>
      </c>
      <c r="E439" s="10" t="str">
        <f>IF(CALC_EPM!$B428="","",CALC_EPM!E428)</f>
      </c>
      <c r="F439" s="10" t="str">
        <f>IF(CALC_EPM!$B428="","",CALC_EPM!F428)</f>
      </c>
      <c r="G439" t="str">
        <f>IF(CALC_EPM!$B428="","",CALC_EPM!G428)</f>
      </c>
      <c r="H439" s="11" t="str">
        <f>IF(CALC_EPM!$B428="","",CALC_EPM!H428)</f>
      </c>
      <c r="I439" s="11" t="str">
        <f>IF(CALC_EPM!$B428="","",CALC_EPM!I428)</f>
      </c>
      <c r="J439" t="str">
        <f>IF(CALC_EPM!$B428="","",CALC_EPM!J428)</f>
      </c>
      <c r="K439" t="str">
        <f>IF(CALC_EPM!$B428="","",CALC_EPM!K428)</f>
      </c>
      <c r="L439">
        <f>IF(CALC_EPM!$B428="","",CALC_EPM!L428)</f>
      </c>
      <c r="M439">
        <f>IF(CALC_EPM!$B428="","",CALC_EPM!M428)</f>
      </c>
      <c r="N439">
        <f>IF(CALC_EPM!$B428="","",CALC_EPM!N428)</f>
      </c>
      <c r="O439">
        <f>IF(CALC_EPM!$B428="","",CALC_EPM!O428)</f>
      </c>
      <c r="P439">
        <f>IF(CALC_EPM!$B428="","",CALC_EPM!P428)</f>
      </c>
      <c r="Q439">
        <f>IF(CALC_EPM!$B428="","",CALC_EPM!Q428)</f>
      </c>
      <c r="R439">
        <f>IF(CALC_EPM!$B428="","",CALC_EPM!R428)</f>
      </c>
      <c r="S439">
        <f>IF(CALC_EPM!$B428="","",CALC_EPM!S428)</f>
      </c>
      <c r="T439">
        <f>IF(CALC_EPM!$B428="","",CALC_EPM!T428)</f>
      </c>
      <c r="U439">
        <f>IF(CALC_EPM!$B428="","",CALC_EPM!U428)</f>
      </c>
    </row>
    <row r="440">
      <c r="A440" t="str">
        <f>IF(CALC_EPM!$B429="","",IF(CALC_EPM!A429="GLOBAL",IF(CALC_EPM!C429="Total","GLOBAL",IF(CALC_EPM!C429="TotalEsp","GLOBAL_ESP",IF(CALC_EPM!C429="TotalNoEsp","GLOBAL_NOESP","GLOBAL_ASIG"))),IF(CALC_EPM!C429="Total","CURSO_TOTAL",IF(CALC_EPM!C429="TotalEsp","CURSO_ESP",IF(CALC_EPM!C429="TotalNoEsp","CURSO_NOESP","CURSO_ASIG")))))</f>
      </c>
      <c r="B440" t="str">
        <f>IF(CALC_EPM!$B429="","",CALC_EPM!A429)</f>
      </c>
      <c r="C440" t="str">
        <f>IF(CALC_EPM!$B429="","",CALC_EPM!B429)</f>
      </c>
      <c r="D440">
        <f>IF(CALC_EPM!$B429="","",CALC_EPM!D429)</f>
      </c>
      <c r="E440" s="10" t="str">
        <f>IF(CALC_EPM!$B429="","",CALC_EPM!E429)</f>
      </c>
      <c r="F440" s="10" t="str">
        <f>IF(CALC_EPM!$B429="","",CALC_EPM!F429)</f>
      </c>
      <c r="G440" t="str">
        <f>IF(CALC_EPM!$B429="","",CALC_EPM!G429)</f>
      </c>
      <c r="H440" s="11" t="str">
        <f>IF(CALC_EPM!$B429="","",CALC_EPM!H429)</f>
      </c>
      <c r="I440" s="11" t="str">
        <f>IF(CALC_EPM!$B429="","",CALC_EPM!I429)</f>
      </c>
      <c r="J440" t="str">
        <f>IF(CALC_EPM!$B429="","",CALC_EPM!J429)</f>
      </c>
      <c r="K440" t="str">
        <f>IF(CALC_EPM!$B429="","",CALC_EPM!K429)</f>
      </c>
      <c r="L440">
        <f>IF(CALC_EPM!$B429="","",CALC_EPM!L429)</f>
      </c>
      <c r="M440">
        <f>IF(CALC_EPM!$B429="","",CALC_EPM!M429)</f>
      </c>
      <c r="N440">
        <f>IF(CALC_EPM!$B429="","",CALC_EPM!N429)</f>
      </c>
      <c r="O440">
        <f>IF(CALC_EPM!$B429="","",CALC_EPM!O429)</f>
      </c>
      <c r="P440">
        <f>IF(CALC_EPM!$B429="","",CALC_EPM!P429)</f>
      </c>
      <c r="Q440">
        <f>IF(CALC_EPM!$B429="","",CALC_EPM!Q429)</f>
      </c>
      <c r="R440">
        <f>IF(CALC_EPM!$B429="","",CALC_EPM!R429)</f>
      </c>
      <c r="S440">
        <f>IF(CALC_EPM!$B429="","",CALC_EPM!S429)</f>
      </c>
      <c r="T440">
        <f>IF(CALC_EPM!$B429="","",CALC_EPM!T429)</f>
      </c>
      <c r="U440">
        <f>IF(CALC_EPM!$B429="","",CALC_EPM!U429)</f>
      </c>
    </row>
    <row r="441">
      <c r="A441" t="str">
        <f>IF(CALC_EPM!$B430="","",IF(CALC_EPM!A430="GLOBAL",IF(CALC_EPM!C430="Total","GLOBAL",IF(CALC_EPM!C430="TotalEsp","GLOBAL_ESP",IF(CALC_EPM!C430="TotalNoEsp","GLOBAL_NOESP","GLOBAL_ASIG"))),IF(CALC_EPM!C430="Total","CURSO_TOTAL",IF(CALC_EPM!C430="TotalEsp","CURSO_ESP",IF(CALC_EPM!C430="TotalNoEsp","CURSO_NOESP","CURSO_ASIG")))))</f>
      </c>
      <c r="B441" t="str">
        <f>IF(CALC_EPM!$B430="","",CALC_EPM!A430)</f>
      </c>
      <c r="C441" t="str">
        <f>IF(CALC_EPM!$B430="","",CALC_EPM!B430)</f>
      </c>
      <c r="D441">
        <f>IF(CALC_EPM!$B430="","",CALC_EPM!D430)</f>
      </c>
      <c r="E441" s="10" t="str">
        <f>IF(CALC_EPM!$B430="","",CALC_EPM!E430)</f>
      </c>
      <c r="F441" s="10" t="str">
        <f>IF(CALC_EPM!$B430="","",CALC_EPM!F430)</f>
      </c>
      <c r="G441" t="str">
        <f>IF(CALC_EPM!$B430="","",CALC_EPM!G430)</f>
      </c>
      <c r="H441" s="11" t="str">
        <f>IF(CALC_EPM!$B430="","",CALC_EPM!H430)</f>
      </c>
      <c r="I441" s="11" t="str">
        <f>IF(CALC_EPM!$B430="","",CALC_EPM!I430)</f>
      </c>
      <c r="J441" t="str">
        <f>IF(CALC_EPM!$B430="","",CALC_EPM!J430)</f>
      </c>
      <c r="K441" t="str">
        <f>IF(CALC_EPM!$B430="","",CALC_EPM!K430)</f>
      </c>
      <c r="L441">
        <f>IF(CALC_EPM!$B430="","",CALC_EPM!L430)</f>
      </c>
      <c r="M441">
        <f>IF(CALC_EPM!$B430="","",CALC_EPM!M430)</f>
      </c>
      <c r="N441">
        <f>IF(CALC_EPM!$B430="","",CALC_EPM!N430)</f>
      </c>
      <c r="O441">
        <f>IF(CALC_EPM!$B430="","",CALC_EPM!O430)</f>
      </c>
      <c r="P441">
        <f>IF(CALC_EPM!$B430="","",CALC_EPM!P430)</f>
      </c>
      <c r="Q441">
        <f>IF(CALC_EPM!$B430="","",CALC_EPM!Q430)</f>
      </c>
      <c r="R441">
        <f>IF(CALC_EPM!$B430="","",CALC_EPM!R430)</f>
      </c>
      <c r="S441">
        <f>IF(CALC_EPM!$B430="","",CALC_EPM!S430)</f>
      </c>
      <c r="T441">
        <f>IF(CALC_EPM!$B430="","",CALC_EPM!T430)</f>
      </c>
      <c r="U441">
        <f>IF(CALC_EPM!$B430="","",CALC_EPM!U430)</f>
      </c>
    </row>
    <row r="442">
      <c r="A442" t="str">
        <f>IF(CALC_EPM!$B431="","",IF(CALC_EPM!A431="GLOBAL",IF(CALC_EPM!C431="Total","GLOBAL",IF(CALC_EPM!C431="TotalEsp","GLOBAL_ESP",IF(CALC_EPM!C431="TotalNoEsp","GLOBAL_NOESP","GLOBAL_ASIG"))),IF(CALC_EPM!C431="Total","CURSO_TOTAL",IF(CALC_EPM!C431="TotalEsp","CURSO_ESP",IF(CALC_EPM!C431="TotalNoEsp","CURSO_NOESP","CURSO_ASIG")))))</f>
      </c>
      <c r="B442" t="str">
        <f>IF(CALC_EPM!$B431="","",CALC_EPM!A431)</f>
      </c>
      <c r="C442" t="str">
        <f>IF(CALC_EPM!$B431="","",CALC_EPM!B431)</f>
      </c>
      <c r="D442">
        <f>IF(CALC_EPM!$B431="","",CALC_EPM!D431)</f>
      </c>
      <c r="E442" s="10" t="str">
        <f>IF(CALC_EPM!$B431="","",CALC_EPM!E431)</f>
      </c>
      <c r="F442" s="10" t="str">
        <f>IF(CALC_EPM!$B431="","",CALC_EPM!F431)</f>
      </c>
      <c r="G442" t="str">
        <f>IF(CALC_EPM!$B431="","",CALC_EPM!G431)</f>
      </c>
      <c r="H442" s="11" t="str">
        <f>IF(CALC_EPM!$B431="","",CALC_EPM!H431)</f>
      </c>
      <c r="I442" s="11" t="str">
        <f>IF(CALC_EPM!$B431="","",CALC_EPM!I431)</f>
      </c>
      <c r="J442" t="str">
        <f>IF(CALC_EPM!$B431="","",CALC_EPM!J431)</f>
      </c>
      <c r="K442" t="str">
        <f>IF(CALC_EPM!$B431="","",CALC_EPM!K431)</f>
      </c>
      <c r="L442">
        <f>IF(CALC_EPM!$B431="","",CALC_EPM!L431)</f>
      </c>
      <c r="M442">
        <f>IF(CALC_EPM!$B431="","",CALC_EPM!M431)</f>
      </c>
      <c r="N442">
        <f>IF(CALC_EPM!$B431="","",CALC_EPM!N431)</f>
      </c>
      <c r="O442">
        <f>IF(CALC_EPM!$B431="","",CALC_EPM!O431)</f>
      </c>
      <c r="P442">
        <f>IF(CALC_EPM!$B431="","",CALC_EPM!P431)</f>
      </c>
      <c r="Q442">
        <f>IF(CALC_EPM!$B431="","",CALC_EPM!Q431)</f>
      </c>
      <c r="R442">
        <f>IF(CALC_EPM!$B431="","",CALC_EPM!R431)</f>
      </c>
      <c r="S442">
        <f>IF(CALC_EPM!$B431="","",CALC_EPM!S431)</f>
      </c>
      <c r="T442">
        <f>IF(CALC_EPM!$B431="","",CALC_EPM!T431)</f>
      </c>
      <c r="U442">
        <f>IF(CALC_EPM!$B431="","",CALC_EPM!U431)</f>
      </c>
    </row>
    <row r="443">
      <c r="A443" t="str">
        <f>IF(CALC_EPM!$B432="","",IF(CALC_EPM!A432="GLOBAL",IF(CALC_EPM!C432="Total","GLOBAL",IF(CALC_EPM!C432="TotalEsp","GLOBAL_ESP",IF(CALC_EPM!C432="TotalNoEsp","GLOBAL_NOESP","GLOBAL_ASIG"))),IF(CALC_EPM!C432="Total","CURSO_TOTAL",IF(CALC_EPM!C432="TotalEsp","CURSO_ESP",IF(CALC_EPM!C432="TotalNoEsp","CURSO_NOESP","CURSO_ASIG")))))</f>
      </c>
      <c r="B443" t="str">
        <f>IF(CALC_EPM!$B432="","",CALC_EPM!A432)</f>
      </c>
      <c r="C443" t="str">
        <f>IF(CALC_EPM!$B432="","",CALC_EPM!B432)</f>
      </c>
      <c r="D443">
        <f>IF(CALC_EPM!$B432="","",CALC_EPM!D432)</f>
      </c>
      <c r="E443" s="10" t="str">
        <f>IF(CALC_EPM!$B432="","",CALC_EPM!E432)</f>
      </c>
      <c r="F443" s="10" t="str">
        <f>IF(CALC_EPM!$B432="","",CALC_EPM!F432)</f>
      </c>
      <c r="G443" t="str">
        <f>IF(CALC_EPM!$B432="","",CALC_EPM!G432)</f>
      </c>
      <c r="H443" s="11" t="str">
        <f>IF(CALC_EPM!$B432="","",CALC_EPM!H432)</f>
      </c>
      <c r="I443" s="11" t="str">
        <f>IF(CALC_EPM!$B432="","",CALC_EPM!I432)</f>
      </c>
      <c r="J443" t="str">
        <f>IF(CALC_EPM!$B432="","",CALC_EPM!J432)</f>
      </c>
      <c r="K443" t="str">
        <f>IF(CALC_EPM!$B432="","",CALC_EPM!K432)</f>
      </c>
      <c r="L443">
        <f>IF(CALC_EPM!$B432="","",CALC_EPM!L432)</f>
      </c>
      <c r="M443">
        <f>IF(CALC_EPM!$B432="","",CALC_EPM!M432)</f>
      </c>
      <c r="N443">
        <f>IF(CALC_EPM!$B432="","",CALC_EPM!N432)</f>
      </c>
      <c r="O443">
        <f>IF(CALC_EPM!$B432="","",CALC_EPM!O432)</f>
      </c>
      <c r="P443">
        <f>IF(CALC_EPM!$B432="","",CALC_EPM!P432)</f>
      </c>
      <c r="Q443">
        <f>IF(CALC_EPM!$B432="","",CALC_EPM!Q432)</f>
      </c>
      <c r="R443">
        <f>IF(CALC_EPM!$B432="","",CALC_EPM!R432)</f>
      </c>
      <c r="S443">
        <f>IF(CALC_EPM!$B432="","",CALC_EPM!S432)</f>
      </c>
      <c r="T443">
        <f>IF(CALC_EPM!$B432="","",CALC_EPM!T432)</f>
      </c>
      <c r="U443">
        <f>IF(CALC_EPM!$B432="","",CALC_EPM!U432)</f>
      </c>
    </row>
    <row r="444">
      <c r="A444" t="str">
        <f>IF(CALC_EPM!$B433="","",IF(CALC_EPM!A433="GLOBAL",IF(CALC_EPM!C433="Total","GLOBAL",IF(CALC_EPM!C433="TotalEsp","GLOBAL_ESP",IF(CALC_EPM!C433="TotalNoEsp","GLOBAL_NOESP","GLOBAL_ASIG"))),IF(CALC_EPM!C433="Total","CURSO_TOTAL",IF(CALC_EPM!C433="TotalEsp","CURSO_ESP",IF(CALC_EPM!C433="TotalNoEsp","CURSO_NOESP","CURSO_ASIG")))))</f>
      </c>
      <c r="B444" t="str">
        <f>IF(CALC_EPM!$B433="","",CALC_EPM!A433)</f>
      </c>
      <c r="C444" t="str">
        <f>IF(CALC_EPM!$B433="","",CALC_EPM!B433)</f>
      </c>
      <c r="D444">
        <f>IF(CALC_EPM!$B433="","",CALC_EPM!D433)</f>
      </c>
      <c r="E444" s="10" t="str">
        <f>IF(CALC_EPM!$B433="","",CALC_EPM!E433)</f>
      </c>
      <c r="F444" s="10" t="str">
        <f>IF(CALC_EPM!$B433="","",CALC_EPM!F433)</f>
      </c>
      <c r="G444" t="str">
        <f>IF(CALC_EPM!$B433="","",CALC_EPM!G433)</f>
      </c>
      <c r="H444" s="11" t="str">
        <f>IF(CALC_EPM!$B433="","",CALC_EPM!H433)</f>
      </c>
      <c r="I444" s="11" t="str">
        <f>IF(CALC_EPM!$B433="","",CALC_EPM!I433)</f>
      </c>
      <c r="J444" t="str">
        <f>IF(CALC_EPM!$B433="","",CALC_EPM!J433)</f>
      </c>
      <c r="K444" t="str">
        <f>IF(CALC_EPM!$B433="","",CALC_EPM!K433)</f>
      </c>
      <c r="L444">
        <f>IF(CALC_EPM!$B433="","",CALC_EPM!L433)</f>
      </c>
      <c r="M444">
        <f>IF(CALC_EPM!$B433="","",CALC_EPM!M433)</f>
      </c>
      <c r="N444">
        <f>IF(CALC_EPM!$B433="","",CALC_EPM!N433)</f>
      </c>
      <c r="O444">
        <f>IF(CALC_EPM!$B433="","",CALC_EPM!O433)</f>
      </c>
      <c r="P444">
        <f>IF(CALC_EPM!$B433="","",CALC_EPM!P433)</f>
      </c>
      <c r="Q444">
        <f>IF(CALC_EPM!$B433="","",CALC_EPM!Q433)</f>
      </c>
      <c r="R444">
        <f>IF(CALC_EPM!$B433="","",CALC_EPM!R433)</f>
      </c>
      <c r="S444">
        <f>IF(CALC_EPM!$B433="","",CALC_EPM!S433)</f>
      </c>
      <c r="T444">
        <f>IF(CALC_EPM!$B433="","",CALC_EPM!T433)</f>
      </c>
      <c r="U444">
        <f>IF(CALC_EPM!$B433="","",CALC_EPM!U433)</f>
      </c>
    </row>
    <row r="445">
      <c r="A445" t="str">
        <f>IF(CALC_EPM!$B434="","",IF(CALC_EPM!A434="GLOBAL",IF(CALC_EPM!C434="Total","GLOBAL",IF(CALC_EPM!C434="TotalEsp","GLOBAL_ESP",IF(CALC_EPM!C434="TotalNoEsp","GLOBAL_NOESP","GLOBAL_ASIG"))),IF(CALC_EPM!C434="Total","CURSO_TOTAL",IF(CALC_EPM!C434="TotalEsp","CURSO_ESP",IF(CALC_EPM!C434="TotalNoEsp","CURSO_NOESP","CURSO_ASIG")))))</f>
      </c>
      <c r="B445" t="str">
        <f>IF(CALC_EPM!$B434="","",CALC_EPM!A434)</f>
      </c>
      <c r="C445" t="str">
        <f>IF(CALC_EPM!$B434="","",CALC_EPM!B434)</f>
      </c>
      <c r="D445">
        <f>IF(CALC_EPM!$B434="","",CALC_EPM!D434)</f>
      </c>
      <c r="E445" s="10" t="str">
        <f>IF(CALC_EPM!$B434="","",CALC_EPM!E434)</f>
      </c>
      <c r="F445" s="10" t="str">
        <f>IF(CALC_EPM!$B434="","",CALC_EPM!F434)</f>
      </c>
      <c r="G445" t="str">
        <f>IF(CALC_EPM!$B434="","",CALC_EPM!G434)</f>
      </c>
      <c r="H445" s="11" t="str">
        <f>IF(CALC_EPM!$B434="","",CALC_EPM!H434)</f>
      </c>
      <c r="I445" s="11" t="str">
        <f>IF(CALC_EPM!$B434="","",CALC_EPM!I434)</f>
      </c>
      <c r="J445" t="str">
        <f>IF(CALC_EPM!$B434="","",CALC_EPM!J434)</f>
      </c>
      <c r="K445" t="str">
        <f>IF(CALC_EPM!$B434="","",CALC_EPM!K434)</f>
      </c>
      <c r="L445">
        <f>IF(CALC_EPM!$B434="","",CALC_EPM!L434)</f>
      </c>
      <c r="M445">
        <f>IF(CALC_EPM!$B434="","",CALC_EPM!M434)</f>
      </c>
      <c r="N445">
        <f>IF(CALC_EPM!$B434="","",CALC_EPM!N434)</f>
      </c>
      <c r="O445">
        <f>IF(CALC_EPM!$B434="","",CALC_EPM!O434)</f>
      </c>
      <c r="P445">
        <f>IF(CALC_EPM!$B434="","",CALC_EPM!P434)</f>
      </c>
      <c r="Q445">
        <f>IF(CALC_EPM!$B434="","",CALC_EPM!Q434)</f>
      </c>
      <c r="R445">
        <f>IF(CALC_EPM!$B434="","",CALC_EPM!R434)</f>
      </c>
      <c r="S445">
        <f>IF(CALC_EPM!$B434="","",CALC_EPM!S434)</f>
      </c>
      <c r="T445">
        <f>IF(CALC_EPM!$B434="","",CALC_EPM!T434)</f>
      </c>
      <c r="U445">
        <f>IF(CALC_EPM!$B434="","",CALC_EPM!U434)</f>
      </c>
    </row>
    <row r="446">
      <c r="A446" t="str">
        <f>IF(CALC_EPM!$B435="","",IF(CALC_EPM!A435="GLOBAL",IF(CALC_EPM!C435="Total","GLOBAL",IF(CALC_EPM!C435="TotalEsp","GLOBAL_ESP",IF(CALC_EPM!C435="TotalNoEsp","GLOBAL_NOESP","GLOBAL_ASIG"))),IF(CALC_EPM!C435="Total","CURSO_TOTAL",IF(CALC_EPM!C435="TotalEsp","CURSO_ESP",IF(CALC_EPM!C435="TotalNoEsp","CURSO_NOESP","CURSO_ASIG")))))</f>
      </c>
      <c r="B446" t="str">
        <f>IF(CALC_EPM!$B435="","",CALC_EPM!A435)</f>
      </c>
      <c r="C446" t="str">
        <f>IF(CALC_EPM!$B435="","",CALC_EPM!B435)</f>
      </c>
      <c r="D446">
        <f>IF(CALC_EPM!$B435="","",CALC_EPM!D435)</f>
      </c>
      <c r="E446" s="10" t="str">
        <f>IF(CALC_EPM!$B435="","",CALC_EPM!E435)</f>
      </c>
      <c r="F446" s="10" t="str">
        <f>IF(CALC_EPM!$B435="","",CALC_EPM!F435)</f>
      </c>
      <c r="G446" t="str">
        <f>IF(CALC_EPM!$B435="","",CALC_EPM!G435)</f>
      </c>
      <c r="H446" s="11" t="str">
        <f>IF(CALC_EPM!$B435="","",CALC_EPM!H435)</f>
      </c>
      <c r="I446" s="11" t="str">
        <f>IF(CALC_EPM!$B435="","",CALC_EPM!I435)</f>
      </c>
      <c r="J446" t="str">
        <f>IF(CALC_EPM!$B435="","",CALC_EPM!J435)</f>
      </c>
      <c r="K446" t="str">
        <f>IF(CALC_EPM!$B435="","",CALC_EPM!K435)</f>
      </c>
      <c r="L446">
        <f>IF(CALC_EPM!$B435="","",CALC_EPM!L435)</f>
      </c>
      <c r="M446">
        <f>IF(CALC_EPM!$B435="","",CALC_EPM!M435)</f>
      </c>
      <c r="N446">
        <f>IF(CALC_EPM!$B435="","",CALC_EPM!N435)</f>
      </c>
      <c r="O446">
        <f>IF(CALC_EPM!$B435="","",CALC_EPM!O435)</f>
      </c>
      <c r="P446">
        <f>IF(CALC_EPM!$B435="","",CALC_EPM!P435)</f>
      </c>
      <c r="Q446">
        <f>IF(CALC_EPM!$B435="","",CALC_EPM!Q435)</f>
      </c>
      <c r="R446">
        <f>IF(CALC_EPM!$B435="","",CALC_EPM!R435)</f>
      </c>
      <c r="S446">
        <f>IF(CALC_EPM!$B435="","",CALC_EPM!S435)</f>
      </c>
      <c r="T446">
        <f>IF(CALC_EPM!$B435="","",CALC_EPM!T435)</f>
      </c>
      <c r="U446">
        <f>IF(CALC_EPM!$B435="","",CALC_EPM!U435)</f>
      </c>
    </row>
    <row r="447">
      <c r="A447" t="str">
        <f>IF(CALC_EPM!$B436="","",IF(CALC_EPM!A436="GLOBAL",IF(CALC_EPM!C436="Total","GLOBAL",IF(CALC_EPM!C436="TotalEsp","GLOBAL_ESP",IF(CALC_EPM!C436="TotalNoEsp","GLOBAL_NOESP","GLOBAL_ASIG"))),IF(CALC_EPM!C436="Total","CURSO_TOTAL",IF(CALC_EPM!C436="TotalEsp","CURSO_ESP",IF(CALC_EPM!C436="TotalNoEsp","CURSO_NOESP","CURSO_ASIG")))))</f>
      </c>
      <c r="B447" t="str">
        <f>IF(CALC_EPM!$B436="","",CALC_EPM!A436)</f>
      </c>
      <c r="C447" t="str">
        <f>IF(CALC_EPM!$B436="","",CALC_EPM!B436)</f>
      </c>
      <c r="D447">
        <f>IF(CALC_EPM!$B436="","",CALC_EPM!D436)</f>
      </c>
      <c r="E447" s="10" t="str">
        <f>IF(CALC_EPM!$B436="","",CALC_EPM!E436)</f>
      </c>
      <c r="F447" s="10" t="str">
        <f>IF(CALC_EPM!$B436="","",CALC_EPM!F436)</f>
      </c>
      <c r="G447" t="str">
        <f>IF(CALC_EPM!$B436="","",CALC_EPM!G436)</f>
      </c>
      <c r="H447" s="11" t="str">
        <f>IF(CALC_EPM!$B436="","",CALC_EPM!H436)</f>
      </c>
      <c r="I447" s="11" t="str">
        <f>IF(CALC_EPM!$B436="","",CALC_EPM!I436)</f>
      </c>
      <c r="J447" t="str">
        <f>IF(CALC_EPM!$B436="","",CALC_EPM!J436)</f>
      </c>
      <c r="K447" t="str">
        <f>IF(CALC_EPM!$B436="","",CALC_EPM!K436)</f>
      </c>
      <c r="L447">
        <f>IF(CALC_EPM!$B436="","",CALC_EPM!L436)</f>
      </c>
      <c r="M447">
        <f>IF(CALC_EPM!$B436="","",CALC_EPM!M436)</f>
      </c>
      <c r="N447">
        <f>IF(CALC_EPM!$B436="","",CALC_EPM!N436)</f>
      </c>
      <c r="O447">
        <f>IF(CALC_EPM!$B436="","",CALC_EPM!O436)</f>
      </c>
      <c r="P447">
        <f>IF(CALC_EPM!$B436="","",CALC_EPM!P436)</f>
      </c>
      <c r="Q447">
        <f>IF(CALC_EPM!$B436="","",CALC_EPM!Q436)</f>
      </c>
      <c r="R447">
        <f>IF(CALC_EPM!$B436="","",CALC_EPM!R436)</f>
      </c>
      <c r="S447">
        <f>IF(CALC_EPM!$B436="","",CALC_EPM!S436)</f>
      </c>
      <c r="T447">
        <f>IF(CALC_EPM!$B436="","",CALC_EPM!T436)</f>
      </c>
      <c r="U447">
        <f>IF(CALC_EPM!$B436="","",CALC_EPM!U436)</f>
      </c>
    </row>
    <row r="448">
      <c r="A448" t="str">
        <f>IF(CALC_EPM!$B437="","",IF(CALC_EPM!A437="GLOBAL",IF(CALC_EPM!C437="Total","GLOBAL",IF(CALC_EPM!C437="TotalEsp","GLOBAL_ESP",IF(CALC_EPM!C437="TotalNoEsp","GLOBAL_NOESP","GLOBAL_ASIG"))),IF(CALC_EPM!C437="Total","CURSO_TOTAL",IF(CALC_EPM!C437="TotalEsp","CURSO_ESP",IF(CALC_EPM!C437="TotalNoEsp","CURSO_NOESP","CURSO_ASIG")))))</f>
      </c>
      <c r="B448" t="str">
        <f>IF(CALC_EPM!$B437="","",CALC_EPM!A437)</f>
      </c>
      <c r="C448" t="str">
        <f>IF(CALC_EPM!$B437="","",CALC_EPM!B437)</f>
      </c>
      <c r="D448">
        <f>IF(CALC_EPM!$B437="","",CALC_EPM!D437)</f>
      </c>
      <c r="E448" s="10" t="str">
        <f>IF(CALC_EPM!$B437="","",CALC_EPM!E437)</f>
      </c>
      <c r="F448" s="10" t="str">
        <f>IF(CALC_EPM!$B437="","",CALC_EPM!F437)</f>
      </c>
      <c r="G448" t="str">
        <f>IF(CALC_EPM!$B437="","",CALC_EPM!G437)</f>
      </c>
      <c r="H448" s="11" t="str">
        <f>IF(CALC_EPM!$B437="","",CALC_EPM!H437)</f>
      </c>
      <c r="I448" s="11" t="str">
        <f>IF(CALC_EPM!$B437="","",CALC_EPM!I437)</f>
      </c>
      <c r="J448" t="str">
        <f>IF(CALC_EPM!$B437="","",CALC_EPM!J437)</f>
      </c>
      <c r="K448" t="str">
        <f>IF(CALC_EPM!$B437="","",CALC_EPM!K437)</f>
      </c>
      <c r="L448">
        <f>IF(CALC_EPM!$B437="","",CALC_EPM!L437)</f>
      </c>
      <c r="M448">
        <f>IF(CALC_EPM!$B437="","",CALC_EPM!M437)</f>
      </c>
      <c r="N448">
        <f>IF(CALC_EPM!$B437="","",CALC_EPM!N437)</f>
      </c>
      <c r="O448">
        <f>IF(CALC_EPM!$B437="","",CALC_EPM!O437)</f>
      </c>
      <c r="P448">
        <f>IF(CALC_EPM!$B437="","",CALC_EPM!P437)</f>
      </c>
      <c r="Q448">
        <f>IF(CALC_EPM!$B437="","",CALC_EPM!Q437)</f>
      </c>
      <c r="R448">
        <f>IF(CALC_EPM!$B437="","",CALC_EPM!R437)</f>
      </c>
      <c r="S448">
        <f>IF(CALC_EPM!$B437="","",CALC_EPM!S437)</f>
      </c>
      <c r="T448">
        <f>IF(CALC_EPM!$B437="","",CALC_EPM!T437)</f>
      </c>
      <c r="U448">
        <f>IF(CALC_EPM!$B437="","",CALC_EPM!U437)</f>
      </c>
    </row>
    <row r="449">
      <c r="A449" t="str">
        <f>IF(CALC_EPM!$B438="","",IF(CALC_EPM!A438="GLOBAL",IF(CALC_EPM!C438="Total","GLOBAL",IF(CALC_EPM!C438="TotalEsp","GLOBAL_ESP",IF(CALC_EPM!C438="TotalNoEsp","GLOBAL_NOESP","GLOBAL_ASIG"))),IF(CALC_EPM!C438="Total","CURSO_TOTAL",IF(CALC_EPM!C438="TotalEsp","CURSO_ESP",IF(CALC_EPM!C438="TotalNoEsp","CURSO_NOESP","CURSO_ASIG")))))</f>
      </c>
      <c r="B449" t="str">
        <f>IF(CALC_EPM!$B438="","",CALC_EPM!A438)</f>
      </c>
      <c r="C449" t="str">
        <f>IF(CALC_EPM!$B438="","",CALC_EPM!B438)</f>
      </c>
      <c r="D449">
        <f>IF(CALC_EPM!$B438="","",CALC_EPM!D438)</f>
      </c>
      <c r="E449" s="10" t="str">
        <f>IF(CALC_EPM!$B438="","",CALC_EPM!E438)</f>
      </c>
      <c r="F449" s="10" t="str">
        <f>IF(CALC_EPM!$B438="","",CALC_EPM!F438)</f>
      </c>
      <c r="G449" t="str">
        <f>IF(CALC_EPM!$B438="","",CALC_EPM!G438)</f>
      </c>
      <c r="H449" s="11" t="str">
        <f>IF(CALC_EPM!$B438="","",CALC_EPM!H438)</f>
      </c>
      <c r="I449" s="11" t="str">
        <f>IF(CALC_EPM!$B438="","",CALC_EPM!I438)</f>
      </c>
      <c r="J449" t="str">
        <f>IF(CALC_EPM!$B438="","",CALC_EPM!J438)</f>
      </c>
      <c r="K449" t="str">
        <f>IF(CALC_EPM!$B438="","",CALC_EPM!K438)</f>
      </c>
      <c r="L449">
        <f>IF(CALC_EPM!$B438="","",CALC_EPM!L438)</f>
      </c>
      <c r="M449">
        <f>IF(CALC_EPM!$B438="","",CALC_EPM!M438)</f>
      </c>
      <c r="N449">
        <f>IF(CALC_EPM!$B438="","",CALC_EPM!N438)</f>
      </c>
      <c r="O449">
        <f>IF(CALC_EPM!$B438="","",CALC_EPM!O438)</f>
      </c>
      <c r="P449">
        <f>IF(CALC_EPM!$B438="","",CALC_EPM!P438)</f>
      </c>
      <c r="Q449">
        <f>IF(CALC_EPM!$B438="","",CALC_EPM!Q438)</f>
      </c>
      <c r="R449">
        <f>IF(CALC_EPM!$B438="","",CALC_EPM!R438)</f>
      </c>
      <c r="S449">
        <f>IF(CALC_EPM!$B438="","",CALC_EPM!S438)</f>
      </c>
      <c r="T449">
        <f>IF(CALC_EPM!$B438="","",CALC_EPM!T438)</f>
      </c>
      <c r="U449">
        <f>IF(CALC_EPM!$B438="","",CALC_EPM!U438)</f>
      </c>
    </row>
    <row r="450">
      <c r="A450" t="str">
        <f>IF(CALC_EPM!$B439="","",IF(CALC_EPM!A439="GLOBAL",IF(CALC_EPM!C439="Total","GLOBAL",IF(CALC_EPM!C439="TotalEsp","GLOBAL_ESP",IF(CALC_EPM!C439="TotalNoEsp","GLOBAL_NOESP","GLOBAL_ASIG"))),IF(CALC_EPM!C439="Total","CURSO_TOTAL",IF(CALC_EPM!C439="TotalEsp","CURSO_ESP",IF(CALC_EPM!C439="TotalNoEsp","CURSO_NOESP","CURSO_ASIG")))))</f>
      </c>
      <c r="B450" t="str">
        <f>IF(CALC_EPM!$B439="","",CALC_EPM!A439)</f>
      </c>
      <c r="C450" t="str">
        <f>IF(CALC_EPM!$B439="","",CALC_EPM!B439)</f>
      </c>
      <c r="D450">
        <f>IF(CALC_EPM!$B439="","",CALC_EPM!D439)</f>
      </c>
      <c r="E450" s="10" t="str">
        <f>IF(CALC_EPM!$B439="","",CALC_EPM!E439)</f>
      </c>
      <c r="F450" s="10" t="str">
        <f>IF(CALC_EPM!$B439="","",CALC_EPM!F439)</f>
      </c>
      <c r="G450" t="str">
        <f>IF(CALC_EPM!$B439="","",CALC_EPM!G439)</f>
      </c>
      <c r="H450" s="11" t="str">
        <f>IF(CALC_EPM!$B439="","",CALC_EPM!H439)</f>
      </c>
      <c r="I450" s="11" t="str">
        <f>IF(CALC_EPM!$B439="","",CALC_EPM!I439)</f>
      </c>
      <c r="J450" t="str">
        <f>IF(CALC_EPM!$B439="","",CALC_EPM!J439)</f>
      </c>
      <c r="K450" t="str">
        <f>IF(CALC_EPM!$B439="","",CALC_EPM!K439)</f>
      </c>
      <c r="L450">
        <f>IF(CALC_EPM!$B439="","",CALC_EPM!L439)</f>
      </c>
      <c r="M450">
        <f>IF(CALC_EPM!$B439="","",CALC_EPM!M439)</f>
      </c>
      <c r="N450">
        <f>IF(CALC_EPM!$B439="","",CALC_EPM!N439)</f>
      </c>
      <c r="O450">
        <f>IF(CALC_EPM!$B439="","",CALC_EPM!O439)</f>
      </c>
      <c r="P450">
        <f>IF(CALC_EPM!$B439="","",CALC_EPM!P439)</f>
      </c>
      <c r="Q450">
        <f>IF(CALC_EPM!$B439="","",CALC_EPM!Q439)</f>
      </c>
      <c r="R450">
        <f>IF(CALC_EPM!$B439="","",CALC_EPM!R439)</f>
      </c>
      <c r="S450">
        <f>IF(CALC_EPM!$B439="","",CALC_EPM!S439)</f>
      </c>
      <c r="T450">
        <f>IF(CALC_EPM!$B439="","",CALC_EPM!T439)</f>
      </c>
      <c r="U450">
        <f>IF(CALC_EPM!$B439="","",CALC_EPM!U439)</f>
      </c>
    </row>
    <row r="451">
      <c r="A451" t="str">
        <f>IF(CALC_EPM!$B440="","",IF(CALC_EPM!A440="GLOBAL",IF(CALC_EPM!C440="Total","GLOBAL",IF(CALC_EPM!C440="TotalEsp","GLOBAL_ESP",IF(CALC_EPM!C440="TotalNoEsp","GLOBAL_NOESP","GLOBAL_ASIG"))),IF(CALC_EPM!C440="Total","CURSO_TOTAL",IF(CALC_EPM!C440="TotalEsp","CURSO_ESP",IF(CALC_EPM!C440="TotalNoEsp","CURSO_NOESP","CURSO_ASIG")))))</f>
      </c>
      <c r="B451" t="str">
        <f>IF(CALC_EPM!$B440="","",CALC_EPM!A440)</f>
      </c>
      <c r="C451" t="str">
        <f>IF(CALC_EPM!$B440="","",CALC_EPM!B440)</f>
      </c>
      <c r="D451">
        <f>IF(CALC_EPM!$B440="","",CALC_EPM!D440)</f>
      </c>
      <c r="E451" s="10" t="str">
        <f>IF(CALC_EPM!$B440="","",CALC_EPM!E440)</f>
      </c>
      <c r="F451" s="10" t="str">
        <f>IF(CALC_EPM!$B440="","",CALC_EPM!F440)</f>
      </c>
      <c r="G451" t="str">
        <f>IF(CALC_EPM!$B440="","",CALC_EPM!G440)</f>
      </c>
      <c r="H451" s="11" t="str">
        <f>IF(CALC_EPM!$B440="","",CALC_EPM!H440)</f>
      </c>
      <c r="I451" s="11" t="str">
        <f>IF(CALC_EPM!$B440="","",CALC_EPM!I440)</f>
      </c>
      <c r="J451" t="str">
        <f>IF(CALC_EPM!$B440="","",CALC_EPM!J440)</f>
      </c>
      <c r="K451" t="str">
        <f>IF(CALC_EPM!$B440="","",CALC_EPM!K440)</f>
      </c>
      <c r="L451">
        <f>IF(CALC_EPM!$B440="","",CALC_EPM!L440)</f>
      </c>
      <c r="M451">
        <f>IF(CALC_EPM!$B440="","",CALC_EPM!M440)</f>
      </c>
      <c r="N451">
        <f>IF(CALC_EPM!$B440="","",CALC_EPM!N440)</f>
      </c>
      <c r="O451">
        <f>IF(CALC_EPM!$B440="","",CALC_EPM!O440)</f>
      </c>
      <c r="P451">
        <f>IF(CALC_EPM!$B440="","",CALC_EPM!P440)</f>
      </c>
      <c r="Q451">
        <f>IF(CALC_EPM!$B440="","",CALC_EPM!Q440)</f>
      </c>
      <c r="R451">
        <f>IF(CALC_EPM!$B440="","",CALC_EPM!R440)</f>
      </c>
      <c r="S451">
        <f>IF(CALC_EPM!$B440="","",CALC_EPM!S440)</f>
      </c>
      <c r="T451">
        <f>IF(CALC_EPM!$B440="","",CALC_EPM!T440)</f>
      </c>
      <c r="U451">
        <f>IF(CALC_EPM!$B440="","",CALC_EPM!U440)</f>
      </c>
    </row>
    <row r="452">
      <c r="A452" t="str">
        <f>IF(CALC_EPM!$B441="","",IF(CALC_EPM!A441="GLOBAL",IF(CALC_EPM!C441="Total","GLOBAL",IF(CALC_EPM!C441="TotalEsp","GLOBAL_ESP",IF(CALC_EPM!C441="TotalNoEsp","GLOBAL_NOESP","GLOBAL_ASIG"))),IF(CALC_EPM!C441="Total","CURSO_TOTAL",IF(CALC_EPM!C441="TotalEsp","CURSO_ESP",IF(CALC_EPM!C441="TotalNoEsp","CURSO_NOESP","CURSO_ASIG")))))</f>
      </c>
      <c r="B452" t="str">
        <f>IF(CALC_EPM!$B441="","",CALC_EPM!A441)</f>
      </c>
      <c r="C452" t="str">
        <f>IF(CALC_EPM!$B441="","",CALC_EPM!B441)</f>
      </c>
      <c r="D452">
        <f>IF(CALC_EPM!$B441="","",CALC_EPM!D441)</f>
      </c>
      <c r="E452" s="10" t="str">
        <f>IF(CALC_EPM!$B441="","",CALC_EPM!E441)</f>
      </c>
      <c r="F452" s="10" t="str">
        <f>IF(CALC_EPM!$B441="","",CALC_EPM!F441)</f>
      </c>
      <c r="G452" t="str">
        <f>IF(CALC_EPM!$B441="","",CALC_EPM!G441)</f>
      </c>
      <c r="H452" s="11" t="str">
        <f>IF(CALC_EPM!$B441="","",CALC_EPM!H441)</f>
      </c>
      <c r="I452" s="11" t="str">
        <f>IF(CALC_EPM!$B441="","",CALC_EPM!I441)</f>
      </c>
      <c r="J452" t="str">
        <f>IF(CALC_EPM!$B441="","",CALC_EPM!J441)</f>
      </c>
      <c r="K452" t="str">
        <f>IF(CALC_EPM!$B441="","",CALC_EPM!K441)</f>
      </c>
      <c r="L452">
        <f>IF(CALC_EPM!$B441="","",CALC_EPM!L441)</f>
      </c>
      <c r="M452">
        <f>IF(CALC_EPM!$B441="","",CALC_EPM!M441)</f>
      </c>
      <c r="N452">
        <f>IF(CALC_EPM!$B441="","",CALC_EPM!N441)</f>
      </c>
      <c r="O452">
        <f>IF(CALC_EPM!$B441="","",CALC_EPM!O441)</f>
      </c>
      <c r="P452">
        <f>IF(CALC_EPM!$B441="","",CALC_EPM!P441)</f>
      </c>
      <c r="Q452">
        <f>IF(CALC_EPM!$B441="","",CALC_EPM!Q441)</f>
      </c>
      <c r="R452">
        <f>IF(CALC_EPM!$B441="","",CALC_EPM!R441)</f>
      </c>
      <c r="S452">
        <f>IF(CALC_EPM!$B441="","",CALC_EPM!S441)</f>
      </c>
      <c r="T452">
        <f>IF(CALC_EPM!$B441="","",CALC_EPM!T441)</f>
      </c>
      <c r="U452">
        <f>IF(CALC_EPM!$B441="","",CALC_EPM!U441)</f>
      </c>
    </row>
    <row r="453">
      <c r="A453" t="str">
        <f>IF(CALC_EPM!$B442="","",IF(CALC_EPM!A442="GLOBAL",IF(CALC_EPM!C442="Total","GLOBAL",IF(CALC_EPM!C442="TotalEsp","GLOBAL_ESP",IF(CALC_EPM!C442="TotalNoEsp","GLOBAL_NOESP","GLOBAL_ASIG"))),IF(CALC_EPM!C442="Total","CURSO_TOTAL",IF(CALC_EPM!C442="TotalEsp","CURSO_ESP",IF(CALC_EPM!C442="TotalNoEsp","CURSO_NOESP","CURSO_ASIG")))))</f>
      </c>
      <c r="B453" t="str">
        <f>IF(CALC_EPM!$B442="","",CALC_EPM!A442)</f>
      </c>
      <c r="C453" t="str">
        <f>IF(CALC_EPM!$B442="","",CALC_EPM!B442)</f>
      </c>
      <c r="D453">
        <f>IF(CALC_EPM!$B442="","",CALC_EPM!D442)</f>
      </c>
      <c r="E453" s="10" t="str">
        <f>IF(CALC_EPM!$B442="","",CALC_EPM!E442)</f>
      </c>
      <c r="F453" s="10" t="str">
        <f>IF(CALC_EPM!$B442="","",CALC_EPM!F442)</f>
      </c>
      <c r="G453" t="str">
        <f>IF(CALC_EPM!$B442="","",CALC_EPM!G442)</f>
      </c>
      <c r="H453" s="11" t="str">
        <f>IF(CALC_EPM!$B442="","",CALC_EPM!H442)</f>
      </c>
      <c r="I453" s="11" t="str">
        <f>IF(CALC_EPM!$B442="","",CALC_EPM!I442)</f>
      </c>
      <c r="J453" t="str">
        <f>IF(CALC_EPM!$B442="","",CALC_EPM!J442)</f>
      </c>
      <c r="K453" t="str">
        <f>IF(CALC_EPM!$B442="","",CALC_EPM!K442)</f>
      </c>
      <c r="L453">
        <f>IF(CALC_EPM!$B442="","",CALC_EPM!L442)</f>
      </c>
      <c r="M453">
        <f>IF(CALC_EPM!$B442="","",CALC_EPM!M442)</f>
      </c>
      <c r="N453">
        <f>IF(CALC_EPM!$B442="","",CALC_EPM!N442)</f>
      </c>
      <c r="O453">
        <f>IF(CALC_EPM!$B442="","",CALC_EPM!O442)</f>
      </c>
      <c r="P453">
        <f>IF(CALC_EPM!$B442="","",CALC_EPM!P442)</f>
      </c>
      <c r="Q453">
        <f>IF(CALC_EPM!$B442="","",CALC_EPM!Q442)</f>
      </c>
      <c r="R453">
        <f>IF(CALC_EPM!$B442="","",CALC_EPM!R442)</f>
      </c>
      <c r="S453">
        <f>IF(CALC_EPM!$B442="","",CALC_EPM!S442)</f>
      </c>
      <c r="T453">
        <f>IF(CALC_EPM!$B442="","",CALC_EPM!T442)</f>
      </c>
      <c r="U453">
        <f>IF(CALC_EPM!$B442="","",CALC_EPM!U442)</f>
      </c>
    </row>
    <row r="454">
      <c r="A454" t="str">
        <f>IF(CALC_EPM!$B443="","",IF(CALC_EPM!A443="GLOBAL",IF(CALC_EPM!C443="Total","GLOBAL",IF(CALC_EPM!C443="TotalEsp","GLOBAL_ESP",IF(CALC_EPM!C443="TotalNoEsp","GLOBAL_NOESP","GLOBAL_ASIG"))),IF(CALC_EPM!C443="Total","CURSO_TOTAL",IF(CALC_EPM!C443="TotalEsp","CURSO_ESP",IF(CALC_EPM!C443="TotalNoEsp","CURSO_NOESP","CURSO_ASIG")))))</f>
      </c>
      <c r="B454" t="str">
        <f>IF(CALC_EPM!$B443="","",CALC_EPM!A443)</f>
      </c>
      <c r="C454" t="str">
        <f>IF(CALC_EPM!$B443="","",CALC_EPM!B443)</f>
      </c>
      <c r="D454">
        <f>IF(CALC_EPM!$B443="","",CALC_EPM!D443)</f>
      </c>
      <c r="E454" s="10" t="str">
        <f>IF(CALC_EPM!$B443="","",CALC_EPM!E443)</f>
      </c>
      <c r="F454" s="10" t="str">
        <f>IF(CALC_EPM!$B443="","",CALC_EPM!F443)</f>
      </c>
      <c r="G454" t="str">
        <f>IF(CALC_EPM!$B443="","",CALC_EPM!G443)</f>
      </c>
      <c r="H454" s="11" t="str">
        <f>IF(CALC_EPM!$B443="","",CALC_EPM!H443)</f>
      </c>
      <c r="I454" s="11" t="str">
        <f>IF(CALC_EPM!$B443="","",CALC_EPM!I443)</f>
      </c>
      <c r="J454" t="str">
        <f>IF(CALC_EPM!$B443="","",CALC_EPM!J443)</f>
      </c>
      <c r="K454" t="str">
        <f>IF(CALC_EPM!$B443="","",CALC_EPM!K443)</f>
      </c>
      <c r="L454">
        <f>IF(CALC_EPM!$B443="","",CALC_EPM!L443)</f>
      </c>
      <c r="M454">
        <f>IF(CALC_EPM!$B443="","",CALC_EPM!M443)</f>
      </c>
      <c r="N454">
        <f>IF(CALC_EPM!$B443="","",CALC_EPM!N443)</f>
      </c>
      <c r="O454">
        <f>IF(CALC_EPM!$B443="","",CALC_EPM!O443)</f>
      </c>
      <c r="P454">
        <f>IF(CALC_EPM!$B443="","",CALC_EPM!P443)</f>
      </c>
      <c r="Q454">
        <f>IF(CALC_EPM!$B443="","",CALC_EPM!Q443)</f>
      </c>
      <c r="R454">
        <f>IF(CALC_EPM!$B443="","",CALC_EPM!R443)</f>
      </c>
      <c r="S454">
        <f>IF(CALC_EPM!$B443="","",CALC_EPM!S443)</f>
      </c>
      <c r="T454">
        <f>IF(CALC_EPM!$B443="","",CALC_EPM!T443)</f>
      </c>
      <c r="U454">
        <f>IF(CALC_EPM!$B443="","",CALC_EPM!U443)</f>
      </c>
    </row>
    <row r="456">
      <c r="A456" t="inlineStr">
        <is>
          <t xml:space="preserve">#AGRUPACIONES</t>
        </is>
      </c>
    </row>
    <row r="457">
      <c r="A457" t="inlineStr">
        <is>
          <t xml:space="preserve">Tipo</t>
        </is>
      </c>
      <c r="B457" t="inlineStr">
        <is>
          <t xml:space="preserve">Asignatura</t>
        </is>
      </c>
      <c r="C457" t="inlineStr">
        <is>
          <t xml:space="preserve">Grupos</t>
        </is>
      </c>
    </row>
    <row r="458">
      <c r="A458" t="inlineStr">
        <is>
          <t xml:space="preserve">AGR</t>
        </is>
      </c>
      <c r="B458">
        <f>IF(CONFIG_ASIGNATURAS!B2="","",CONFIG_ASIGNATURAS!B2)</f>
      </c>
      <c r="C458">
        <f>IF(CONFIG_ASIGNATURAS!B2="","",IF(CONFIG_ASIGNATURAS!E2="",CONFIG_ASIGNATURAS!D2,CONFIG_ASIGNATURAS!D2&amp;";"&amp;CONFIG_ASIGNATURAS!E2))</f>
      </c>
    </row>
    <row r="459">
      <c r="A459" t="inlineStr">
        <is>
          <t xml:space="preserve">AGR</t>
        </is>
      </c>
      <c r="B459">
        <f>IF(CONFIG_ASIGNATURAS!B3="","",CONFIG_ASIGNATURAS!B3)</f>
      </c>
      <c r="C459">
        <f>IF(CONFIG_ASIGNATURAS!B3="","",IF(CONFIG_ASIGNATURAS!E3="",CONFIG_ASIGNATURAS!D3,CONFIG_ASIGNATURAS!D3&amp;";"&amp;CONFIG_ASIGNATURAS!E3))</f>
      </c>
    </row>
    <row r="460">
      <c r="A460" t="inlineStr">
        <is>
          <t xml:space="preserve">AGR</t>
        </is>
      </c>
      <c r="B460">
        <f>IF(CONFIG_ASIGNATURAS!B4="","",CONFIG_ASIGNATURAS!B4)</f>
      </c>
      <c r="C460">
        <f>IF(CONFIG_ASIGNATURAS!B4="","",IF(CONFIG_ASIGNATURAS!E4="",CONFIG_ASIGNATURAS!D4,CONFIG_ASIGNATURAS!D4&amp;";"&amp;CONFIG_ASIGNATURAS!E4))</f>
      </c>
    </row>
    <row r="461">
      <c r="A461" t="inlineStr">
        <is>
          <t xml:space="preserve">AGR</t>
        </is>
      </c>
      <c r="B461">
        <f>IF(CONFIG_ASIGNATURAS!B5="","",CONFIG_ASIGNATURAS!B5)</f>
      </c>
      <c r="C461">
        <f>IF(CONFIG_ASIGNATURAS!B5="","",IF(CONFIG_ASIGNATURAS!E5="",CONFIG_ASIGNATURAS!D5,CONFIG_ASIGNATURAS!D5&amp;";"&amp;CONFIG_ASIGNATURAS!E5))</f>
      </c>
    </row>
    <row r="462">
      <c r="A462" t="inlineStr">
        <is>
          <t xml:space="preserve">AGR</t>
        </is>
      </c>
      <c r="B462">
        <f>IF(CONFIG_ASIGNATURAS!B6="","",CONFIG_ASIGNATURAS!B6)</f>
      </c>
      <c r="C462">
        <f>IF(CONFIG_ASIGNATURAS!B6="","",IF(CONFIG_ASIGNATURAS!E6="",CONFIG_ASIGNATURAS!D6,CONFIG_ASIGNATURAS!D6&amp;";"&amp;CONFIG_ASIGNATURAS!E6))</f>
      </c>
    </row>
    <row r="463">
      <c r="A463" t="inlineStr">
        <is>
          <t xml:space="preserve">AGR</t>
        </is>
      </c>
      <c r="B463">
        <f>IF(CONFIG_ASIGNATURAS!B7="","",CONFIG_ASIGNATURAS!B7)</f>
      </c>
      <c r="C463">
        <f>IF(CONFIG_ASIGNATURAS!B7="","",IF(CONFIG_ASIGNATURAS!E7="",CONFIG_ASIGNATURAS!D7,CONFIG_ASIGNATURAS!D7&amp;";"&amp;CONFIG_ASIGNATURAS!E7))</f>
      </c>
    </row>
    <row r="464">
      <c r="A464" t="inlineStr">
        <is>
          <t xml:space="preserve">AGR</t>
        </is>
      </c>
      <c r="B464">
        <f>IF(CONFIG_ASIGNATURAS!B8="","",CONFIG_ASIGNATURAS!B8)</f>
      </c>
      <c r="C464">
        <f>IF(CONFIG_ASIGNATURAS!B8="","",IF(CONFIG_ASIGNATURAS!E8="",CONFIG_ASIGNATURAS!D8,CONFIG_ASIGNATURAS!D8&amp;";"&amp;CONFIG_ASIGNATURAS!E8))</f>
      </c>
    </row>
    <row r="465">
      <c r="A465" t="inlineStr">
        <is>
          <t xml:space="preserve">AGR</t>
        </is>
      </c>
      <c r="B465">
        <f>IF(CONFIG_ASIGNATURAS!B9="","",CONFIG_ASIGNATURAS!B9)</f>
      </c>
      <c r="C465">
        <f>IF(CONFIG_ASIGNATURAS!B9="","",IF(CONFIG_ASIGNATURAS!E9="",CONFIG_ASIGNATURAS!D9,CONFIG_ASIGNATURAS!D9&amp;";"&amp;CONFIG_ASIGNATURAS!E9))</f>
      </c>
    </row>
    <row r="466">
      <c r="A466" t="inlineStr">
        <is>
          <t xml:space="preserve">AGR</t>
        </is>
      </c>
      <c r="B466">
        <f>IF(CONFIG_ASIGNATURAS!B10="","",CONFIG_ASIGNATURAS!B10)</f>
      </c>
      <c r="C466">
        <f>IF(CONFIG_ASIGNATURAS!B10="","",IF(CONFIG_ASIGNATURAS!E10="",CONFIG_ASIGNATURAS!D10,CONFIG_ASIGNATURAS!D10&amp;";"&amp;CONFIG_ASIGNATURAS!E10))</f>
      </c>
    </row>
    <row r="467">
      <c r="A467" t="inlineStr">
        <is>
          <t xml:space="preserve">AGR</t>
        </is>
      </c>
      <c r="B467">
        <f>IF(CONFIG_ASIGNATURAS!B11="","",CONFIG_ASIGNATURAS!B11)</f>
      </c>
      <c r="C467">
        <f>IF(CONFIG_ASIGNATURAS!B11="","",IF(CONFIG_ASIGNATURAS!E11="",CONFIG_ASIGNATURAS!D11,CONFIG_ASIGNATURAS!D11&amp;";"&amp;CONFIG_ASIGNATURAS!E11))</f>
      </c>
    </row>
    <row r="468">
      <c r="A468" t="inlineStr">
        <is>
          <t xml:space="preserve">AGR</t>
        </is>
      </c>
      <c r="B468">
        <f>IF(CONFIG_ASIGNATURAS!B12="","",CONFIG_ASIGNATURAS!B12)</f>
      </c>
      <c r="C468">
        <f>IF(CONFIG_ASIGNATURAS!B12="","",IF(CONFIG_ASIGNATURAS!E12="",CONFIG_ASIGNATURAS!D12,CONFIG_ASIGNATURAS!D12&amp;";"&amp;CONFIG_ASIGNATURAS!E12))</f>
      </c>
    </row>
    <row r="469">
      <c r="A469" t="inlineStr">
        <is>
          <t xml:space="preserve">AGR</t>
        </is>
      </c>
      <c r="B469">
        <f>IF(CONFIG_ASIGNATURAS!B13="","",CONFIG_ASIGNATURAS!B13)</f>
      </c>
      <c r="C469">
        <f>IF(CONFIG_ASIGNATURAS!B13="","",IF(CONFIG_ASIGNATURAS!E13="",CONFIG_ASIGNATURAS!D13,CONFIG_ASIGNATURAS!D13&amp;";"&amp;CONFIG_ASIGNATURAS!E13))</f>
      </c>
    </row>
    <row r="470">
      <c r="A470" t="inlineStr">
        <is>
          <t xml:space="preserve">AGR</t>
        </is>
      </c>
      <c r="B470">
        <f>IF(CONFIG_ASIGNATURAS!B14="","",CONFIG_ASIGNATURAS!B14)</f>
      </c>
      <c r="C470">
        <f>IF(CONFIG_ASIGNATURAS!B14="","",IF(CONFIG_ASIGNATURAS!E14="",CONFIG_ASIGNATURAS!D14,CONFIG_ASIGNATURAS!D14&amp;";"&amp;CONFIG_ASIGNATURAS!E14))</f>
      </c>
    </row>
    <row r="471">
      <c r="A471" t="inlineStr">
        <is>
          <t xml:space="preserve">AGR</t>
        </is>
      </c>
      <c r="B471">
        <f>IF(CONFIG_ASIGNATURAS!B15="","",CONFIG_ASIGNATURAS!B15)</f>
      </c>
      <c r="C471">
        <f>IF(CONFIG_ASIGNATURAS!B15="","",IF(CONFIG_ASIGNATURAS!E15="",CONFIG_ASIGNATURAS!D15,CONFIG_ASIGNATURAS!D15&amp;";"&amp;CONFIG_ASIGNATURAS!E15))</f>
      </c>
    </row>
    <row r="472">
      <c r="A472" t="inlineStr">
        <is>
          <t xml:space="preserve">AGR</t>
        </is>
      </c>
      <c r="B472">
        <f>IF(CONFIG_ASIGNATURAS!B16="","",CONFIG_ASIGNATURAS!B16)</f>
      </c>
      <c r="C472">
        <f>IF(CONFIG_ASIGNATURAS!B16="","",IF(CONFIG_ASIGNATURAS!E16="",CONFIG_ASIGNATURAS!D16,CONFIG_ASIGNATURAS!D16&amp;";"&amp;CONFIG_ASIGNATURAS!E16))</f>
      </c>
    </row>
    <row r="473">
      <c r="A473" t="inlineStr">
        <is>
          <t xml:space="preserve">AGR</t>
        </is>
      </c>
      <c r="B473">
        <f>IF(CONFIG_ASIGNATURAS!B17="","",CONFIG_ASIGNATURAS!B17)</f>
      </c>
      <c r="C473">
        <f>IF(CONFIG_ASIGNATURAS!B17="","",IF(CONFIG_ASIGNATURAS!E17="",CONFIG_ASIGNATURAS!D17,CONFIG_ASIGNATURAS!D17&amp;";"&amp;CONFIG_ASIGNATURAS!E17))</f>
      </c>
    </row>
    <row r="474">
      <c r="A474" t="inlineStr">
        <is>
          <t xml:space="preserve">AGR</t>
        </is>
      </c>
      <c r="B474">
        <f>IF(CONFIG_ASIGNATURAS!B18="","",CONFIG_ASIGNATURAS!B18)</f>
      </c>
      <c r="C474">
        <f>IF(CONFIG_ASIGNATURAS!B18="","",IF(CONFIG_ASIGNATURAS!E18="",CONFIG_ASIGNATURAS!D18,CONFIG_ASIGNATURAS!D18&amp;";"&amp;CONFIG_ASIGNATURAS!E18))</f>
      </c>
    </row>
    <row r="475">
      <c r="A475" t="inlineStr">
        <is>
          <t xml:space="preserve">AGR</t>
        </is>
      </c>
      <c r="B475">
        <f>IF(CONFIG_ASIGNATURAS!B19="","",CONFIG_ASIGNATURAS!B19)</f>
      </c>
      <c r="C475">
        <f>IF(CONFIG_ASIGNATURAS!B19="","",IF(CONFIG_ASIGNATURAS!E19="",CONFIG_ASIGNATURAS!D19,CONFIG_ASIGNATURAS!D19&amp;";"&amp;CONFIG_ASIGNATURAS!E19))</f>
      </c>
    </row>
    <row r="476">
      <c r="A476" t="inlineStr">
        <is>
          <t xml:space="preserve">AGR</t>
        </is>
      </c>
      <c r="B476">
        <f>IF(CONFIG_ASIGNATURAS!B20="","",CONFIG_ASIGNATURAS!B20)</f>
      </c>
      <c r="C476">
        <f>IF(CONFIG_ASIGNATURAS!B20="","",IF(CONFIG_ASIGNATURAS!E20="",CONFIG_ASIGNATURAS!D20,CONFIG_ASIGNATURAS!D20&amp;";"&amp;CONFIG_ASIGNATURAS!E20))</f>
      </c>
    </row>
    <row r="477">
      <c r="A477" t="inlineStr">
        <is>
          <t xml:space="preserve">AGR</t>
        </is>
      </c>
      <c r="B477">
        <f>IF(CONFIG_ASIGNATURAS!B21="","",CONFIG_ASIGNATURAS!B21)</f>
      </c>
      <c r="C477">
        <f>IF(CONFIG_ASIGNATURAS!B21="","",IF(CONFIG_ASIGNATURAS!E21="",CONFIG_ASIGNATURAS!D21,CONFIG_ASIGNATURAS!D21&amp;";"&amp;CONFIG_ASIGNATURAS!E21))</f>
      </c>
    </row>
    <row r="478">
      <c r="A478" t="inlineStr">
        <is>
          <t xml:space="preserve">AGR</t>
        </is>
      </c>
      <c r="B478">
        <f>IF(CONFIG_ASIGNATURAS!B22="","",CONFIG_ASIGNATURAS!B22)</f>
      </c>
      <c r="C478">
        <f>IF(CONFIG_ASIGNATURAS!B22="","",IF(CONFIG_ASIGNATURAS!E22="",CONFIG_ASIGNATURAS!D22,CONFIG_ASIGNATURAS!D22&amp;";"&amp;CONFIG_ASIGNATURAS!E22))</f>
      </c>
    </row>
    <row r="479">
      <c r="A479" t="inlineStr">
        <is>
          <t xml:space="preserve">AGR</t>
        </is>
      </c>
      <c r="B479">
        <f>IF(CONFIG_ASIGNATURAS!B23="","",CONFIG_ASIGNATURAS!B23)</f>
      </c>
      <c r="C479">
        <f>IF(CONFIG_ASIGNATURAS!B23="","",IF(CONFIG_ASIGNATURAS!E23="",CONFIG_ASIGNATURAS!D23,CONFIG_ASIGNATURAS!D23&amp;";"&amp;CONFIG_ASIGNATURAS!E23))</f>
      </c>
    </row>
    <row r="480">
      <c r="A480" t="inlineStr">
        <is>
          <t xml:space="preserve">AGR</t>
        </is>
      </c>
      <c r="B480">
        <f>IF(CONFIG_ASIGNATURAS!B24="","",CONFIG_ASIGNATURAS!B24)</f>
      </c>
      <c r="C480">
        <f>IF(CONFIG_ASIGNATURAS!B24="","",IF(CONFIG_ASIGNATURAS!E24="",CONFIG_ASIGNATURAS!D24,CONFIG_ASIGNATURAS!D24&amp;";"&amp;CONFIG_ASIGNATURAS!E24))</f>
      </c>
    </row>
    <row r="481">
      <c r="A481" t="inlineStr">
        <is>
          <t xml:space="preserve">AGR</t>
        </is>
      </c>
      <c r="B481">
        <f>IF(CONFIG_ASIGNATURAS!B25="","",CONFIG_ASIGNATURAS!B25)</f>
      </c>
      <c r="C481">
        <f>IF(CONFIG_ASIGNATURAS!B25="","",IF(CONFIG_ASIGNATURAS!E25="",CONFIG_ASIGNATURAS!D25,CONFIG_ASIGNATURAS!D25&amp;";"&amp;CONFIG_ASIGNATURAS!E25))</f>
      </c>
    </row>
    <row r="482">
      <c r="A482" t="inlineStr">
        <is>
          <t xml:space="preserve">AGR</t>
        </is>
      </c>
      <c r="B482">
        <f>IF(CONFIG_ASIGNATURAS!B26="","",CONFIG_ASIGNATURAS!B26)</f>
      </c>
      <c r="C482">
        <f>IF(CONFIG_ASIGNATURAS!B26="","",IF(CONFIG_ASIGNATURAS!E26="",CONFIG_ASIGNATURAS!D26,CONFIG_ASIGNATURAS!D26&amp;";"&amp;CONFIG_ASIGNATURAS!E26))</f>
      </c>
    </row>
    <row r="483">
      <c r="A483" t="inlineStr">
        <is>
          <t xml:space="preserve">AGR</t>
        </is>
      </c>
      <c r="B483">
        <f>IF(CONFIG_ASIGNATURAS!B27="","",CONFIG_ASIGNATURAS!B27)</f>
      </c>
      <c r="C483">
        <f>IF(CONFIG_ASIGNATURAS!B27="","",IF(CONFIG_ASIGNATURAS!E27="",CONFIG_ASIGNATURAS!D27,CONFIG_ASIGNATURAS!D27&amp;";"&amp;CONFIG_ASIGNATURAS!E27))</f>
      </c>
    </row>
    <row r="484">
      <c r="A484" t="inlineStr">
        <is>
          <t xml:space="preserve">AGR</t>
        </is>
      </c>
      <c r="B484">
        <f>IF(CONFIG_ASIGNATURAS!B28="","",CONFIG_ASIGNATURAS!B28)</f>
      </c>
      <c r="C484">
        <f>IF(CONFIG_ASIGNATURAS!B28="","",IF(CONFIG_ASIGNATURAS!E28="",CONFIG_ASIGNATURAS!D28,CONFIG_ASIGNATURAS!D28&amp;";"&amp;CONFIG_ASIGNATURAS!E28))</f>
      </c>
    </row>
    <row r="485">
      <c r="A485" t="inlineStr">
        <is>
          <t xml:space="preserve">AGR</t>
        </is>
      </c>
      <c r="B485">
        <f>IF(CONFIG_ASIGNATURAS!B29="","",CONFIG_ASIGNATURAS!B29)</f>
      </c>
      <c r="C485">
        <f>IF(CONFIG_ASIGNATURAS!B29="","",IF(CONFIG_ASIGNATURAS!E29="",CONFIG_ASIGNATURAS!D29,CONFIG_ASIGNATURAS!D29&amp;";"&amp;CONFIG_ASIGNATURAS!E29))</f>
      </c>
    </row>
    <row r="486">
      <c r="A486" t="inlineStr">
        <is>
          <t xml:space="preserve">AGR</t>
        </is>
      </c>
      <c r="B486">
        <f>IF(CONFIG_ASIGNATURAS!B30="","",CONFIG_ASIGNATURAS!B30)</f>
      </c>
      <c r="C486">
        <f>IF(CONFIG_ASIGNATURAS!B30="","",IF(CONFIG_ASIGNATURAS!E30="",CONFIG_ASIGNATURAS!D30,CONFIG_ASIGNATURAS!D30&amp;";"&amp;CONFIG_ASIGNATURAS!E30))</f>
      </c>
    </row>
    <row r="487">
      <c r="A487" t="inlineStr">
        <is>
          <t xml:space="preserve">AGR</t>
        </is>
      </c>
      <c r="B487">
        <f>IF(CONFIG_ASIGNATURAS!B31="","",CONFIG_ASIGNATURAS!B31)</f>
      </c>
      <c r="C487">
        <f>IF(CONFIG_ASIGNATURAS!B31="","",IF(CONFIG_ASIGNATURAS!E31="",CONFIG_ASIGNATURAS!D31,CONFIG_ASIGNATURAS!D31&amp;";"&amp;CONFIG_ASIGNATURAS!E31))</f>
      </c>
    </row>
    <row r="488">
      <c r="A488" t="inlineStr">
        <is>
          <t xml:space="preserve">AGR</t>
        </is>
      </c>
      <c r="B488">
        <f>IF(CONFIG_ASIGNATURAS!B32="","",CONFIG_ASIGNATURAS!B32)</f>
      </c>
      <c r="C488">
        <f>IF(CONFIG_ASIGNATURAS!B32="","",IF(CONFIG_ASIGNATURAS!E32="",CONFIG_ASIGNATURAS!D32,CONFIG_ASIGNATURAS!D32&amp;";"&amp;CONFIG_ASIGNATURAS!E32))</f>
      </c>
    </row>
    <row r="489">
      <c r="A489" t="inlineStr">
        <is>
          <t xml:space="preserve">AGR</t>
        </is>
      </c>
      <c r="B489">
        <f>IF(CONFIG_ASIGNATURAS!B33="","",CONFIG_ASIGNATURAS!B33)</f>
      </c>
      <c r="C489">
        <f>IF(CONFIG_ASIGNATURAS!B33="","",IF(CONFIG_ASIGNATURAS!E33="",CONFIG_ASIGNATURAS!D33,CONFIG_ASIGNATURAS!D33&amp;";"&amp;CONFIG_ASIGNATURAS!E33))</f>
      </c>
    </row>
    <row r="490">
      <c r="A490" t="inlineStr">
        <is>
          <t xml:space="preserve">AGR</t>
        </is>
      </c>
      <c r="B490">
        <f>IF(CONFIG_ASIGNATURAS!B34="","",CONFIG_ASIGNATURAS!B34)</f>
      </c>
      <c r="C490">
        <f>IF(CONFIG_ASIGNATURAS!B34="","",IF(CONFIG_ASIGNATURAS!E34="",CONFIG_ASIGNATURAS!D34,CONFIG_ASIGNATURAS!D34&amp;";"&amp;CONFIG_ASIGNATURAS!E34))</f>
      </c>
    </row>
    <row r="491">
      <c r="A491" t="inlineStr">
        <is>
          <t xml:space="preserve">AGR</t>
        </is>
      </c>
      <c r="B491">
        <f>IF(CONFIG_ASIGNATURAS!B35="","",CONFIG_ASIGNATURAS!B35)</f>
      </c>
      <c r="C491">
        <f>IF(CONFIG_ASIGNATURAS!B35="","",IF(CONFIG_ASIGNATURAS!E35="",CONFIG_ASIGNATURAS!D35,CONFIG_ASIGNATURAS!D35&amp;";"&amp;CONFIG_ASIGNATURAS!E35))</f>
      </c>
    </row>
    <row r="492">
      <c r="A492" t="inlineStr">
        <is>
          <t xml:space="preserve">AGR</t>
        </is>
      </c>
      <c r="B492">
        <f>IF(CONFIG_ASIGNATURAS!B36="","",CONFIG_ASIGNATURAS!B36)</f>
      </c>
      <c r="C492">
        <f>IF(CONFIG_ASIGNATURAS!B36="","",IF(CONFIG_ASIGNATURAS!E36="",CONFIG_ASIGNATURAS!D36,CONFIG_ASIGNATURAS!D36&amp;";"&amp;CONFIG_ASIGNATURAS!E36))</f>
      </c>
    </row>
    <row r="493">
      <c r="A493" t="inlineStr">
        <is>
          <t xml:space="preserve">AGR</t>
        </is>
      </c>
      <c r="B493">
        <f>IF(CONFIG_ASIGNATURAS!B37="","",CONFIG_ASIGNATURAS!B37)</f>
      </c>
      <c r="C493">
        <f>IF(CONFIG_ASIGNATURAS!B37="","",IF(CONFIG_ASIGNATURAS!E37="",CONFIG_ASIGNATURAS!D37,CONFIG_ASIGNATURAS!D37&amp;";"&amp;CONFIG_ASIGNATURAS!E37))</f>
      </c>
    </row>
    <row r="494">
      <c r="A494" t="inlineStr">
        <is>
          <t xml:space="preserve">AGR</t>
        </is>
      </c>
      <c r="B494">
        <f>IF(CONFIG_ASIGNATURAS!B38="","",CONFIG_ASIGNATURAS!B38)</f>
      </c>
      <c r="C494">
        <f>IF(CONFIG_ASIGNATURAS!B38="","",IF(CONFIG_ASIGNATURAS!E38="",CONFIG_ASIGNATURAS!D38,CONFIG_ASIGNATURAS!D38&amp;";"&amp;CONFIG_ASIGNATURAS!E38))</f>
      </c>
    </row>
    <row r="495">
      <c r="A495" t="inlineStr">
        <is>
          <t xml:space="preserve">AGR</t>
        </is>
      </c>
      <c r="B495">
        <f>IF(CONFIG_ASIGNATURAS!B39="","",CONFIG_ASIGNATURAS!B39)</f>
      </c>
      <c r="C495">
        <f>IF(CONFIG_ASIGNATURAS!B39="","",IF(CONFIG_ASIGNATURAS!E39="",CONFIG_ASIGNATURAS!D39,CONFIG_ASIGNATURAS!D39&amp;";"&amp;CONFIG_ASIGNATURAS!E39))</f>
      </c>
    </row>
    <row r="496">
      <c r="A496" t="inlineStr">
        <is>
          <t xml:space="preserve">AGR</t>
        </is>
      </c>
      <c r="B496">
        <f>IF(CONFIG_ASIGNATURAS!B40="","",CONFIG_ASIGNATURAS!B40)</f>
      </c>
      <c r="C496">
        <f>IF(CONFIG_ASIGNATURAS!B40="","",IF(CONFIG_ASIGNATURAS!E40="",CONFIG_ASIGNATURAS!D40,CONFIG_ASIGNATURAS!D40&amp;";"&amp;CONFIG_ASIGNATURAS!E40))</f>
      </c>
    </row>
    <row r="497">
      <c r="A497" t="inlineStr">
        <is>
          <t xml:space="preserve">AGR</t>
        </is>
      </c>
      <c r="B497">
        <f>IF(CONFIG_ASIGNATURAS!B41="","",CONFIG_ASIGNATURAS!B41)</f>
      </c>
      <c r="C497">
        <f>IF(CONFIG_ASIGNATURAS!B41="","",IF(CONFIG_ASIGNATURAS!E41="",CONFIG_ASIGNATURAS!D41,CONFIG_ASIGNATURAS!D41&amp;";"&amp;CONFIG_ASIGNATURAS!E41))</f>
      </c>
    </row>
    <row r="498">
      <c r="A498" t="inlineStr">
        <is>
          <t xml:space="preserve">AGR</t>
        </is>
      </c>
      <c r="B498">
        <f>IF(CONFIG_ASIGNATURAS!B42="","",CONFIG_ASIGNATURAS!B42)</f>
      </c>
      <c r="C498">
        <f>IF(CONFIG_ASIGNATURAS!B42="","",IF(CONFIG_ASIGNATURAS!E42="",CONFIG_ASIGNATURAS!D42,CONFIG_ASIGNATURAS!D42&amp;";"&amp;CONFIG_ASIGNATURAS!E42))</f>
      </c>
    </row>
    <row r="499">
      <c r="A499" t="inlineStr">
        <is>
          <t xml:space="preserve">AGR</t>
        </is>
      </c>
      <c r="B499">
        <f>IF(CONFIG_ASIGNATURAS!B43="","",CONFIG_ASIGNATURAS!B43)</f>
      </c>
      <c r="C499">
        <f>IF(CONFIG_ASIGNATURAS!B43="","",IF(CONFIG_ASIGNATURAS!E43="",CONFIG_ASIGNATURAS!D43,CONFIG_ASIGNATURAS!D43&amp;";"&amp;CONFIG_ASIGNATURAS!E43))</f>
      </c>
    </row>
    <row r="500">
      <c r="A500" t="inlineStr">
        <is>
          <t xml:space="preserve">AGR</t>
        </is>
      </c>
      <c r="B500">
        <f>IF(CONFIG_ASIGNATURAS!B44="","",CONFIG_ASIGNATURAS!B44)</f>
      </c>
      <c r="C500">
        <f>IF(CONFIG_ASIGNATURAS!B44="","",IF(CONFIG_ASIGNATURAS!E44="",CONFIG_ASIGNATURAS!D44,CONFIG_ASIGNATURAS!D44&amp;";"&amp;CONFIG_ASIGNATURAS!E44))</f>
      </c>
    </row>
    <row r="501">
      <c r="A501" t="inlineStr">
        <is>
          <t xml:space="preserve">AGR</t>
        </is>
      </c>
      <c r="B501">
        <f>IF(CONFIG_ASIGNATURAS!B45="","",CONFIG_ASIGNATURAS!B45)</f>
      </c>
      <c r="C501">
        <f>IF(CONFIG_ASIGNATURAS!B45="","",IF(CONFIG_ASIGNATURAS!E45="",CONFIG_ASIGNATURAS!D45,CONFIG_ASIGNATURAS!D45&amp;";"&amp;CONFIG_ASIGNATURAS!E45))</f>
      </c>
    </row>
    <row r="502">
      <c r="A502" t="inlineStr">
        <is>
          <t xml:space="preserve">AGR</t>
        </is>
      </c>
      <c r="B502">
        <f>IF(CONFIG_ASIGNATURAS!B46="","",CONFIG_ASIGNATURAS!B46)</f>
      </c>
      <c r="C502">
        <f>IF(CONFIG_ASIGNATURAS!B46="","",IF(CONFIG_ASIGNATURAS!E46="",CONFIG_ASIGNATURAS!D46,CONFIG_ASIGNATURAS!D46&amp;";"&amp;CONFIG_ASIGNATURAS!E46))</f>
      </c>
    </row>
    <row r="503">
      <c r="A503" t="inlineStr">
        <is>
          <t xml:space="preserve">AGR</t>
        </is>
      </c>
      <c r="B503">
        <f>IF(CONFIG_ASIGNATURAS!B47="","",CONFIG_ASIGNATURAS!B47)</f>
      </c>
      <c r="C503">
        <f>IF(CONFIG_ASIGNATURAS!B47="","",IF(CONFIG_ASIGNATURAS!E47="",CONFIG_ASIGNATURAS!D47,CONFIG_ASIGNATURAS!D47&amp;";"&amp;CONFIG_ASIGNATURAS!E47))</f>
      </c>
    </row>
    <row r="504">
      <c r="A504" t="inlineStr">
        <is>
          <t xml:space="preserve">AGR</t>
        </is>
      </c>
      <c r="B504">
        <f>IF(CONFIG_ASIGNATURAS!B48="","",CONFIG_ASIGNATURAS!B48)</f>
      </c>
      <c r="C504">
        <f>IF(CONFIG_ASIGNATURAS!B48="","",IF(CONFIG_ASIGNATURAS!E48="",CONFIG_ASIGNATURAS!D48,CONFIG_ASIGNATURAS!D48&amp;";"&amp;CONFIG_ASIGNATURAS!E48))</f>
      </c>
    </row>
    <row r="505">
      <c r="A505" t="inlineStr">
        <is>
          <t xml:space="preserve">AGR</t>
        </is>
      </c>
      <c r="B505">
        <f>IF(CONFIG_ASIGNATURAS!B49="","",CONFIG_ASIGNATURAS!B49)</f>
      </c>
      <c r="C505">
        <f>IF(CONFIG_ASIGNATURAS!B49="","",IF(CONFIG_ASIGNATURAS!E49="",CONFIG_ASIGNATURAS!D49,CONFIG_ASIGNATURAS!D49&amp;";"&amp;CONFIG_ASIGNATURAS!E49))</f>
      </c>
    </row>
    <row r="506">
      <c r="A506" t="inlineStr">
        <is>
          <t xml:space="preserve">AGR</t>
        </is>
      </c>
      <c r="B506">
        <f>IF(CONFIG_ASIGNATURAS!B50="","",CONFIG_ASIGNATURAS!B50)</f>
      </c>
      <c r="C506">
        <f>IF(CONFIG_ASIGNATURAS!B50="","",IF(CONFIG_ASIGNATURAS!E50="",CONFIG_ASIGNATURAS!D50,CONFIG_ASIGNATURAS!D50&amp;";"&amp;CONFIG_ASIGNATURAS!E50))</f>
      </c>
    </row>
    <row r="507">
      <c r="A507" t="inlineStr">
        <is>
          <t xml:space="preserve">AGR</t>
        </is>
      </c>
      <c r="B507">
        <f>IF(CONFIG_ASIGNATURAS!B51="","",CONFIG_ASIGNATURAS!B51)</f>
      </c>
      <c r="C507">
        <f>IF(CONFIG_ASIGNATURAS!B51="","",IF(CONFIG_ASIGNATURAS!E51="",CONFIG_ASIGNATURAS!D51,CONFIG_ASIGNATURAS!D51&amp;";"&amp;CONFIG_ASIGNATURAS!E51))</f>
      </c>
    </row>
    <row r="508">
      <c r="A508" t="inlineStr">
        <is>
          <t xml:space="preserve">AGR</t>
        </is>
      </c>
      <c r="B508">
        <f>IF(CONFIG_ASIGNATURAS!B52="","",CONFIG_ASIGNATURAS!B52)</f>
      </c>
      <c r="C508">
        <f>IF(CONFIG_ASIGNATURAS!B52="","",IF(CONFIG_ASIGNATURAS!E52="",CONFIG_ASIGNATURAS!D52,CONFIG_ASIGNATURAS!D52&amp;";"&amp;CONFIG_ASIGNATURAS!E52))</f>
      </c>
    </row>
    <row r="509">
      <c r="A509" t="inlineStr">
        <is>
          <t xml:space="preserve">AGR</t>
        </is>
      </c>
      <c r="B509">
        <f>IF(CONFIG_ASIGNATURAS!B53="","",CONFIG_ASIGNATURAS!B53)</f>
      </c>
      <c r="C509">
        <f>IF(CONFIG_ASIGNATURAS!B53="","",IF(CONFIG_ASIGNATURAS!E53="",CONFIG_ASIGNATURAS!D53,CONFIG_ASIGNATURAS!D53&amp;";"&amp;CONFIG_ASIGNATURAS!E53))</f>
      </c>
    </row>
    <row r="510">
      <c r="A510" t="inlineStr">
        <is>
          <t xml:space="preserve">AGR</t>
        </is>
      </c>
      <c r="B510">
        <f>IF(CONFIG_ASIGNATURAS!B54="","",CONFIG_ASIGNATURAS!B54)</f>
      </c>
      <c r="C510">
        <f>IF(CONFIG_ASIGNATURAS!B54="","",IF(CONFIG_ASIGNATURAS!E54="",CONFIG_ASIGNATURAS!D54,CONFIG_ASIGNATURAS!D54&amp;";"&amp;CONFIG_ASIGNATURAS!E54))</f>
      </c>
    </row>
    <row r="511">
      <c r="A511" t="inlineStr">
        <is>
          <t xml:space="preserve">AGR</t>
        </is>
      </c>
      <c r="B511">
        <f>IF(CONFIG_ASIGNATURAS!B55="","",CONFIG_ASIGNATURAS!B55)</f>
      </c>
      <c r="C511">
        <f>IF(CONFIG_ASIGNATURAS!B55="","",IF(CONFIG_ASIGNATURAS!E55="",CONFIG_ASIGNATURAS!D55,CONFIG_ASIGNATURAS!D55&amp;";"&amp;CONFIG_ASIGNATURAS!E55))</f>
      </c>
    </row>
    <row r="512">
      <c r="A512" t="inlineStr">
        <is>
          <t xml:space="preserve">AGR</t>
        </is>
      </c>
      <c r="B512">
        <f>IF(CONFIG_ASIGNATURAS!B56="","",CONFIG_ASIGNATURAS!B56)</f>
      </c>
      <c r="C512">
        <f>IF(CONFIG_ASIGNATURAS!B56="","",IF(CONFIG_ASIGNATURAS!E56="",CONFIG_ASIGNATURAS!D56,CONFIG_ASIGNATURAS!D56&amp;";"&amp;CONFIG_ASIGNATURAS!E56))</f>
      </c>
    </row>
    <row r="513">
      <c r="A513" t="inlineStr">
        <is>
          <t xml:space="preserve">AGR</t>
        </is>
      </c>
      <c r="B513">
        <f>IF(CONFIG_ASIGNATURAS!B57="","",CONFIG_ASIGNATURAS!B57)</f>
      </c>
      <c r="C513">
        <f>IF(CONFIG_ASIGNATURAS!B57="","",IF(CONFIG_ASIGNATURAS!E57="",CONFIG_ASIGNATURAS!D57,CONFIG_ASIGNATURAS!D57&amp;";"&amp;CONFIG_ASIGNATURAS!E57))</f>
      </c>
    </row>
    <row r="514">
      <c r="A514" t="inlineStr">
        <is>
          <t xml:space="preserve">AGR</t>
        </is>
      </c>
      <c r="B514">
        <f>IF(CONFIG_ASIGNATURAS!B58="","",CONFIG_ASIGNATURAS!B58)</f>
      </c>
      <c r="C514">
        <f>IF(CONFIG_ASIGNATURAS!B58="","",IF(CONFIG_ASIGNATURAS!E58="",CONFIG_ASIGNATURAS!D58,CONFIG_ASIGNATURAS!D58&amp;";"&amp;CONFIG_ASIGNATURAS!E58))</f>
      </c>
    </row>
    <row r="515">
      <c r="A515" t="inlineStr">
        <is>
          <t xml:space="preserve">AGR</t>
        </is>
      </c>
      <c r="B515">
        <f>IF(CONFIG_ASIGNATURAS!B59="","",CONFIG_ASIGNATURAS!B59)</f>
      </c>
      <c r="C515">
        <f>IF(CONFIG_ASIGNATURAS!B59="","",IF(CONFIG_ASIGNATURAS!E59="",CONFIG_ASIGNATURAS!D59,CONFIG_ASIGNATURAS!D59&amp;";"&amp;CONFIG_ASIGNATURAS!E59))</f>
      </c>
    </row>
    <row r="516">
      <c r="A516" t="inlineStr">
        <is>
          <t xml:space="preserve">AGR</t>
        </is>
      </c>
      <c r="B516">
        <f>IF(CONFIG_ASIGNATURAS!B60="","",CONFIG_ASIGNATURAS!B60)</f>
      </c>
      <c r="C516">
        <f>IF(CONFIG_ASIGNATURAS!B60="","",IF(CONFIG_ASIGNATURAS!E60="",CONFIG_ASIGNATURAS!D60,CONFIG_ASIGNATURAS!D60&amp;";"&amp;CONFIG_ASIGNATURAS!E60))</f>
      </c>
    </row>
    <row r="517">
      <c r="A517" t="inlineStr">
        <is>
          <t xml:space="preserve">AGR</t>
        </is>
      </c>
      <c r="B517">
        <f>IF(CONFIG_ASIGNATURAS!B61="","",CONFIG_ASIGNATURAS!B61)</f>
      </c>
      <c r="C517">
        <f>IF(CONFIG_ASIGNATURAS!B61="","",IF(CONFIG_ASIGNATURAS!E61="",CONFIG_ASIGNATURAS!D61,CONFIG_ASIGNATURAS!D61&amp;";"&amp;CONFIG_ASIGNATURAS!E61))</f>
      </c>
    </row>
    <row r="518">
      <c r="A518" t="inlineStr">
        <is>
          <t xml:space="preserve">AGR</t>
        </is>
      </c>
      <c r="B518">
        <f>IF(CONFIG_ASIGNATURAS!B62="","",CONFIG_ASIGNATURAS!B62)</f>
      </c>
      <c r="C518">
        <f>IF(CONFIG_ASIGNATURAS!B62="","",IF(CONFIG_ASIGNATURAS!E62="",CONFIG_ASIGNATURAS!D62,CONFIG_ASIGNATURAS!D62&amp;";"&amp;CONFIG_ASIGNATURAS!E62))</f>
      </c>
    </row>
    <row r="519">
      <c r="A519" t="inlineStr">
        <is>
          <t xml:space="preserve">AGR</t>
        </is>
      </c>
      <c r="B519">
        <f>IF(CONFIG_ASIGNATURAS!B63="","",CONFIG_ASIGNATURAS!B63)</f>
      </c>
      <c r="C519">
        <f>IF(CONFIG_ASIGNATURAS!B63="","",IF(CONFIG_ASIGNATURAS!E63="",CONFIG_ASIGNATURAS!D63,CONFIG_ASIGNATURAS!D63&amp;";"&amp;CONFIG_ASIGNATURAS!E63))</f>
      </c>
    </row>
    <row r="520">
      <c r="A520" t="inlineStr">
        <is>
          <t xml:space="preserve">AGR</t>
        </is>
      </c>
      <c r="B520">
        <f>IF(CONFIG_ASIGNATURAS!B64="","",CONFIG_ASIGNATURAS!B64)</f>
      </c>
      <c r="C520">
        <f>IF(CONFIG_ASIGNATURAS!B64="","",IF(CONFIG_ASIGNATURAS!E64="",CONFIG_ASIGNATURAS!D64,CONFIG_ASIGNATURAS!D64&amp;";"&amp;CONFIG_ASIGNATURAS!E64))</f>
      </c>
    </row>
    <row r="521">
      <c r="A521" t="inlineStr">
        <is>
          <t xml:space="preserve">AGR</t>
        </is>
      </c>
      <c r="B521">
        <f>IF(CONFIG_ASIGNATURAS!B65="","",CONFIG_ASIGNATURAS!B65)</f>
      </c>
      <c r="C521">
        <f>IF(CONFIG_ASIGNATURAS!B65="","",IF(CONFIG_ASIGNATURAS!E65="",CONFIG_ASIGNATURAS!D65,CONFIG_ASIGNATURAS!D65&amp;";"&amp;CONFIG_ASIGNATURAS!E65))</f>
      </c>
    </row>
    <row r="522">
      <c r="A522" t="inlineStr">
        <is>
          <t xml:space="preserve">AGR</t>
        </is>
      </c>
      <c r="B522">
        <f>IF(CONFIG_ASIGNATURAS!B66="","",CONFIG_ASIGNATURAS!B66)</f>
      </c>
      <c r="C522">
        <f>IF(CONFIG_ASIGNATURAS!B66="","",IF(CONFIG_ASIGNATURAS!E66="",CONFIG_ASIGNATURAS!D66,CONFIG_ASIGNATURAS!D66&amp;";"&amp;CONFIG_ASIGNATURAS!E66))</f>
      </c>
    </row>
    <row r="523">
      <c r="A523" t="inlineStr">
        <is>
          <t xml:space="preserve">AGR</t>
        </is>
      </c>
      <c r="B523">
        <f>IF(CONFIG_ASIGNATURAS!B67="","",CONFIG_ASIGNATURAS!B67)</f>
      </c>
      <c r="C523">
        <f>IF(CONFIG_ASIGNATURAS!B67="","",IF(CONFIG_ASIGNATURAS!E67="",CONFIG_ASIGNATURAS!D67,CONFIG_ASIGNATURAS!D67&amp;";"&amp;CONFIG_ASIGNATURAS!E67))</f>
      </c>
    </row>
    <row r="524">
      <c r="A524" t="inlineStr">
        <is>
          <t xml:space="preserve">AGR</t>
        </is>
      </c>
      <c r="B524">
        <f>IF(CONFIG_ASIGNATURAS!B68="","",CONFIG_ASIGNATURAS!B68)</f>
      </c>
      <c r="C524">
        <f>IF(CONFIG_ASIGNATURAS!B68="","",IF(CONFIG_ASIGNATURAS!E68="",CONFIG_ASIGNATURAS!D68,CONFIG_ASIGNATURAS!D68&amp;";"&amp;CONFIG_ASIGNATURAS!E68))</f>
      </c>
    </row>
    <row r="525">
      <c r="A525" t="inlineStr">
        <is>
          <t xml:space="preserve">AGR</t>
        </is>
      </c>
      <c r="B525">
        <f>IF(CONFIG_ASIGNATURAS!B69="","",CONFIG_ASIGNATURAS!B69)</f>
      </c>
      <c r="C525">
        <f>IF(CONFIG_ASIGNATURAS!B69="","",IF(CONFIG_ASIGNATURAS!E69="",CONFIG_ASIGNATURAS!D69,CONFIG_ASIGNATURAS!D69&amp;";"&amp;CONFIG_ASIGNATURAS!E69))</f>
      </c>
    </row>
    <row r="526">
      <c r="A526" t="inlineStr">
        <is>
          <t xml:space="preserve">AGR</t>
        </is>
      </c>
      <c r="B526">
        <f>IF(CONFIG_ASIGNATURAS!B70="","",CONFIG_ASIGNATURAS!B70)</f>
      </c>
      <c r="C526">
        <f>IF(CONFIG_ASIGNATURAS!B70="","",IF(CONFIG_ASIGNATURAS!E70="",CONFIG_ASIGNATURAS!D70,CONFIG_ASIGNATURAS!D70&amp;";"&amp;CONFIG_ASIGNATURAS!E70))</f>
      </c>
    </row>
    <row r="527">
      <c r="A527" t="inlineStr">
        <is>
          <t xml:space="preserve">AGR</t>
        </is>
      </c>
      <c r="B527">
        <f>IF(CONFIG_ASIGNATURAS!B71="","",CONFIG_ASIGNATURAS!B71)</f>
      </c>
      <c r="C527">
        <f>IF(CONFIG_ASIGNATURAS!B71="","",IF(CONFIG_ASIGNATURAS!E71="",CONFIG_ASIGNATURAS!D71,CONFIG_ASIGNATURAS!D71&amp;";"&amp;CONFIG_ASIGNATURAS!E71))</f>
      </c>
    </row>
    <row r="528">
      <c r="A528" t="inlineStr">
        <is>
          <t xml:space="preserve">AGR</t>
        </is>
      </c>
      <c r="B528">
        <f>IF(CONFIG_ASIGNATURAS!B72="","",CONFIG_ASIGNATURAS!B72)</f>
      </c>
      <c r="C528">
        <f>IF(CONFIG_ASIGNATURAS!B72="","",IF(CONFIG_ASIGNATURAS!E72="",CONFIG_ASIGNATURAS!D72,CONFIG_ASIGNATURAS!D72&amp;";"&amp;CONFIG_ASIGNATURAS!E72))</f>
      </c>
    </row>
    <row r="529">
      <c r="A529" t="inlineStr">
        <is>
          <t xml:space="preserve">AGR</t>
        </is>
      </c>
      <c r="B529">
        <f>IF(CONFIG_ASIGNATURAS!B73="","",CONFIG_ASIGNATURAS!B73)</f>
      </c>
      <c r="C529">
        <f>IF(CONFIG_ASIGNATURAS!B73="","",IF(CONFIG_ASIGNATURAS!E73="",CONFIG_ASIGNATURAS!D73,CONFIG_ASIGNATURAS!D73&amp;";"&amp;CONFIG_ASIGNATURAS!E73))</f>
      </c>
    </row>
    <row r="530">
      <c r="A530" t="inlineStr">
        <is>
          <t xml:space="preserve">AGR</t>
        </is>
      </c>
      <c r="B530">
        <f>IF(CONFIG_ASIGNATURAS!B74="","",CONFIG_ASIGNATURAS!B74)</f>
      </c>
      <c r="C530">
        <f>IF(CONFIG_ASIGNATURAS!B74="","",IF(CONFIG_ASIGNATURAS!E74="",CONFIG_ASIGNATURAS!D74,CONFIG_ASIGNATURAS!D74&amp;";"&amp;CONFIG_ASIGNATURAS!E74))</f>
      </c>
    </row>
    <row r="531">
      <c r="A531" t="inlineStr">
        <is>
          <t xml:space="preserve">AGR</t>
        </is>
      </c>
      <c r="B531">
        <f>IF(CONFIG_ASIGNATURAS!B75="","",CONFIG_ASIGNATURAS!B75)</f>
      </c>
      <c r="C531">
        <f>IF(CONFIG_ASIGNATURAS!B75="","",IF(CONFIG_ASIGNATURAS!E75="",CONFIG_ASIGNATURAS!D75,CONFIG_ASIGNATURAS!D75&amp;";"&amp;CONFIG_ASIGNATURAS!E75))</f>
      </c>
    </row>
    <row r="532">
      <c r="A532" t="inlineStr">
        <is>
          <t xml:space="preserve">AGR</t>
        </is>
      </c>
      <c r="B532">
        <f>IF(CONFIG_ASIGNATURAS!B76="","",CONFIG_ASIGNATURAS!B76)</f>
      </c>
      <c r="C532">
        <f>IF(CONFIG_ASIGNATURAS!B76="","",IF(CONFIG_ASIGNATURAS!E76="",CONFIG_ASIGNATURAS!D76,CONFIG_ASIGNATURAS!D76&amp;";"&amp;CONFIG_ASIGNATURAS!E76))</f>
      </c>
    </row>
    <row r="533">
      <c r="A533" t="inlineStr">
        <is>
          <t xml:space="preserve">AGR</t>
        </is>
      </c>
      <c r="B533">
        <f>IF(CONFIG_ASIGNATURAS!B77="","",CONFIG_ASIGNATURAS!B77)</f>
      </c>
      <c r="C533">
        <f>IF(CONFIG_ASIGNATURAS!B77="","",IF(CONFIG_ASIGNATURAS!E77="",CONFIG_ASIGNATURAS!D77,CONFIG_ASIGNATURAS!D77&amp;";"&amp;CONFIG_ASIGNATURAS!E77))</f>
      </c>
    </row>
    <row r="534">
      <c r="A534" t="inlineStr">
        <is>
          <t xml:space="preserve">AGR</t>
        </is>
      </c>
      <c r="B534">
        <f>IF(CONFIG_ASIGNATURAS!B78="","",CONFIG_ASIGNATURAS!B78)</f>
      </c>
      <c r="C534">
        <f>IF(CONFIG_ASIGNATURAS!B78="","",IF(CONFIG_ASIGNATURAS!E78="",CONFIG_ASIGNATURAS!D78,CONFIG_ASIGNATURAS!D78&amp;";"&amp;CONFIG_ASIGNATURAS!E78))</f>
      </c>
    </row>
    <row r="535">
      <c r="A535" t="inlineStr">
        <is>
          <t xml:space="preserve">AGR</t>
        </is>
      </c>
      <c r="B535">
        <f>IF(CONFIG_ASIGNATURAS!B79="","",CONFIG_ASIGNATURAS!B79)</f>
      </c>
      <c r="C535">
        <f>IF(CONFIG_ASIGNATURAS!B79="","",IF(CONFIG_ASIGNATURAS!E79="",CONFIG_ASIGNATURAS!D79,CONFIG_ASIGNATURAS!D79&amp;";"&amp;CONFIG_ASIGNATURAS!E79))</f>
      </c>
    </row>
    <row r="536">
      <c r="A536" t="inlineStr">
        <is>
          <t xml:space="preserve">AGR</t>
        </is>
      </c>
      <c r="B536">
        <f>IF(CONFIG_ASIGNATURAS!B80="","",CONFIG_ASIGNATURAS!B80)</f>
      </c>
      <c r="C536">
        <f>IF(CONFIG_ASIGNATURAS!B80="","",IF(CONFIG_ASIGNATURAS!E80="",CONFIG_ASIGNATURAS!D80,CONFIG_ASIGNATURAS!D80&amp;";"&amp;CONFIG_ASIGNATURAS!E80))</f>
      </c>
    </row>
    <row r="537">
      <c r="A537" t="inlineStr">
        <is>
          <t xml:space="preserve">AGR</t>
        </is>
      </c>
      <c r="B537">
        <f>IF(CONFIG_ASIGNATURAS!B81="","",CONFIG_ASIGNATURAS!B81)</f>
      </c>
      <c r="C537">
        <f>IF(CONFIG_ASIGNATURAS!B81="","",IF(CONFIG_ASIGNATURAS!E81="",CONFIG_ASIGNATURAS!D81,CONFIG_ASIGNATURAS!D81&amp;";"&amp;CONFIG_ASIGNATURAS!E81))</f>
      </c>
    </row>
    <row r="538">
      <c r="A538" t="inlineStr">
        <is>
          <t xml:space="preserve">AGR</t>
        </is>
      </c>
      <c r="B538">
        <f>IF(CONFIG_ASIGNATURAS!B82="","",CONFIG_ASIGNATURAS!B82)</f>
      </c>
      <c r="C538">
        <f>IF(CONFIG_ASIGNATURAS!B82="","",IF(CONFIG_ASIGNATURAS!E82="",CONFIG_ASIGNATURAS!D82,CONFIG_ASIGNATURAS!D82&amp;";"&amp;CONFIG_ASIGNATURAS!E82))</f>
      </c>
    </row>
    <row r="539">
      <c r="A539" t="inlineStr">
        <is>
          <t xml:space="preserve">AGR</t>
        </is>
      </c>
      <c r="B539">
        <f>IF(CONFIG_ASIGNATURAS!B83="","",CONFIG_ASIGNATURAS!B83)</f>
      </c>
      <c r="C539">
        <f>IF(CONFIG_ASIGNATURAS!B83="","",IF(CONFIG_ASIGNATURAS!E83="",CONFIG_ASIGNATURAS!D83,CONFIG_ASIGNATURAS!D83&amp;";"&amp;CONFIG_ASIGNATURAS!E83))</f>
      </c>
    </row>
    <row r="540">
      <c r="A540" t="inlineStr">
        <is>
          <t xml:space="preserve">AGR</t>
        </is>
      </c>
      <c r="B540">
        <f>IF(CONFIG_ASIGNATURAS!B84="","",CONFIG_ASIGNATURAS!B84)</f>
      </c>
      <c r="C540">
        <f>IF(CONFIG_ASIGNATURAS!B84="","",IF(CONFIG_ASIGNATURAS!E84="",CONFIG_ASIGNATURAS!D84,CONFIG_ASIGNATURAS!D84&amp;";"&amp;CONFIG_ASIGNATURAS!E84))</f>
      </c>
    </row>
    <row r="541">
      <c r="A541" t="inlineStr">
        <is>
          <t xml:space="preserve">AGR</t>
        </is>
      </c>
      <c r="B541">
        <f>IF(CONFIG_ASIGNATURAS!B85="","",CONFIG_ASIGNATURAS!B85)</f>
      </c>
      <c r="C541">
        <f>IF(CONFIG_ASIGNATURAS!B85="","",IF(CONFIG_ASIGNATURAS!E85="",CONFIG_ASIGNATURAS!D85,CONFIG_ASIGNATURAS!D85&amp;";"&amp;CONFIG_ASIGNATURAS!E85))</f>
      </c>
    </row>
    <row r="542">
      <c r="A542" t="inlineStr">
        <is>
          <t xml:space="preserve">AGR</t>
        </is>
      </c>
      <c r="B542">
        <f>IF(CONFIG_ASIGNATURAS!B86="","",CONFIG_ASIGNATURAS!B86)</f>
      </c>
      <c r="C542">
        <f>IF(CONFIG_ASIGNATURAS!B86="","",IF(CONFIG_ASIGNATURAS!E86="",CONFIG_ASIGNATURAS!D86,CONFIG_ASIGNATURAS!D86&amp;";"&amp;CONFIG_ASIGNATURAS!E86))</f>
      </c>
    </row>
    <row r="543">
      <c r="A543" t="inlineStr">
        <is>
          <t xml:space="preserve">AGR</t>
        </is>
      </c>
      <c r="B543">
        <f>IF(CONFIG_ASIGNATURAS!B87="","",CONFIG_ASIGNATURAS!B87)</f>
      </c>
      <c r="C543">
        <f>IF(CONFIG_ASIGNATURAS!B87="","",IF(CONFIG_ASIGNATURAS!E87="",CONFIG_ASIGNATURAS!D87,CONFIG_ASIGNATURAS!D87&amp;";"&amp;CONFIG_ASIGNATURAS!E87))</f>
      </c>
    </row>
    <row r="544">
      <c r="A544" t="inlineStr">
        <is>
          <t xml:space="preserve">AGR</t>
        </is>
      </c>
      <c r="B544">
        <f>IF(CONFIG_ASIGNATURAS!B88="","",CONFIG_ASIGNATURAS!B88)</f>
      </c>
      <c r="C544">
        <f>IF(CONFIG_ASIGNATURAS!B88="","",IF(CONFIG_ASIGNATURAS!E88="",CONFIG_ASIGNATURAS!D88,CONFIG_ASIGNATURAS!D88&amp;";"&amp;CONFIG_ASIGNATURAS!E88))</f>
      </c>
    </row>
    <row r="545">
      <c r="A545" t="inlineStr">
        <is>
          <t xml:space="preserve">AGR</t>
        </is>
      </c>
      <c r="B545">
        <f>IF(CONFIG_ASIGNATURAS!B89="","",CONFIG_ASIGNATURAS!B89)</f>
      </c>
      <c r="C545">
        <f>IF(CONFIG_ASIGNATURAS!B89="","",IF(CONFIG_ASIGNATURAS!E89="",CONFIG_ASIGNATURAS!D89,CONFIG_ASIGNATURAS!D89&amp;";"&amp;CONFIG_ASIGNATURAS!E89))</f>
      </c>
    </row>
    <row r="546">
      <c r="A546" t="inlineStr">
        <is>
          <t xml:space="preserve">AGR</t>
        </is>
      </c>
      <c r="B546">
        <f>IF(CONFIG_ASIGNATURAS!B90="","",CONFIG_ASIGNATURAS!B90)</f>
      </c>
      <c r="C546">
        <f>IF(CONFIG_ASIGNATURAS!B90="","",IF(CONFIG_ASIGNATURAS!E90="",CONFIG_ASIGNATURAS!D90,CONFIG_ASIGNATURAS!D90&amp;";"&amp;CONFIG_ASIGNATURAS!E90))</f>
      </c>
    </row>
    <row r="547">
      <c r="A547" t="inlineStr">
        <is>
          <t xml:space="preserve">AGR</t>
        </is>
      </c>
      <c r="B547">
        <f>IF(CONFIG_ASIGNATURAS!B91="","",CONFIG_ASIGNATURAS!B91)</f>
      </c>
      <c r="C547">
        <f>IF(CONFIG_ASIGNATURAS!B91="","",IF(CONFIG_ASIGNATURAS!E91="",CONFIG_ASIGNATURAS!D91,CONFIG_ASIGNATURAS!D91&amp;";"&amp;CONFIG_ASIGNATURAS!E91))</f>
      </c>
    </row>
    <row r="549">
      <c r="A549" s="9" t="s">
        <v>151</v>
      </c>
    </row>
    <row r="550">
      <c r="A550" s="2" t="s">
        <v>150</v>
      </c>
      <c r="B550" s="2" t="s">
        <v>96</v>
      </c>
      <c r="C550" s="2" t="s">
        <v>76</v>
      </c>
      <c r="D550" s="2" t="s">
        <v>77</v>
      </c>
      <c r="E550" s="2" t="s">
        <v>131</v>
      </c>
      <c r="F550" s="2" t="s">
        <v>133</v>
      </c>
    </row>
    <row r="551">
      <c r="A551" t="s">
        <v>152</v>
      </c>
      <c r="B551" t="str">
        <f>CALC_CORRELACIONES!A2</f>
        <v>1EPM</v>
      </c>
      <c r="C551" t="str">
        <f>CALC_CORRELACIONES!B2</f>
        <v>Lenguaje Musical</v>
      </c>
      <c r="D551" t="str">
        <f>CALC_CORRELACIONES!C2</f>
        <v>Orquesta/Banda/Conjunto</v>
      </c>
      <c r="E551" t="str">
        <f>CALC_CORRELACIONES!D2</f>
        <v/>
      </c>
      <c r="F551" t="str">
        <f>CALC_CORRELACIONES!F2</f>
        <v/>
      </c>
    </row>
    <row r="552">
      <c r="A552" t="s">
        <v>152</v>
      </c>
      <c r="B552" t="str">
        <f>CALC_CORRELACIONES!A3</f>
        <v>1EPM</v>
      </c>
      <c r="C552" t="str">
        <f>CALC_CORRELACIONES!B3</f>
        <v>Lenguaje Musical</v>
      </c>
      <c r="D552" t="str">
        <f>CALC_CORRELACIONES!C3</f>
        <v>Conjunto</v>
      </c>
      <c r="E552" t="str">
        <f>CALC_CORRELACIONES!D3</f>
        <v/>
      </c>
      <c r="F552" t="str">
        <f>CALC_CORRELACIONES!F3</f>
        <v/>
      </c>
    </row>
    <row r="553">
      <c r="A553" t="s">
        <v>152</v>
      </c>
      <c r="B553" t="str">
        <f>CALC_CORRELACIONES!A4</f>
        <v>1EPM</v>
      </c>
      <c r="C553" t="str">
        <f>CALC_CORRELACIONES!B4</f>
        <v>Lenguaje Musical</v>
      </c>
      <c r="D553" t="str">
        <f>CALC_CORRELACIONES!C4</f>
        <v>Especialidad</v>
      </c>
      <c r="E553" t="str">
        <f>CALC_CORRELACIONES!D4</f>
        <v/>
      </c>
      <c r="F553" t="str">
        <f>CALC_CORRELACIONES!F4</f>
        <v/>
      </c>
    </row>
    <row r="554">
      <c r="A554" t="s">
        <v>152</v>
      </c>
      <c r="B554" t="str">
        <f>CALC_CORRELACIONES!A5</f>
        <v>1EPM</v>
      </c>
      <c r="C554" t="str">
        <f>CALC_CORRELACIONES!B5</f>
        <v>Orquesta/Banda/Conjunto</v>
      </c>
      <c r="D554" t="str">
        <f>CALC_CORRELACIONES!C5</f>
        <v>Conjunto</v>
      </c>
      <c r="E554" t="str">
        <f>CALC_CORRELACIONES!D5</f>
        <v/>
      </c>
      <c r="F554" t="str">
        <f>CALC_CORRELACIONES!F5</f>
        <v/>
      </c>
    </row>
    <row r="555">
      <c r="A555" t="s">
        <v>152</v>
      </c>
      <c r="B555" t="str">
        <f>CALC_CORRELACIONES!A6</f>
        <v>1EPM</v>
      </c>
      <c r="C555" t="str">
        <f>CALC_CORRELACIONES!B6</f>
        <v>Orquesta/Banda/Conjunto</v>
      </c>
      <c r="D555" t="str">
        <f>CALC_CORRELACIONES!C6</f>
        <v>Especialidad</v>
      </c>
      <c r="E555" t="str">
        <f>CALC_CORRELACIONES!D6</f>
        <v/>
      </c>
      <c r="F555" t="str">
        <f>CALC_CORRELACIONES!F6</f>
        <v/>
      </c>
    </row>
    <row r="556">
      <c r="A556" t="s">
        <v>152</v>
      </c>
      <c r="B556" t="str">
        <f>CALC_CORRELACIONES!A7</f>
        <v>1EPM</v>
      </c>
      <c r="C556" t="str">
        <f>CALC_CORRELACIONES!B7</f>
        <v>Conjunto</v>
      </c>
      <c r="D556" t="str">
        <f>CALC_CORRELACIONES!C7</f>
        <v>Especialidad</v>
      </c>
      <c r="E556" t="str">
        <f>CALC_CORRELACIONES!D7</f>
        <v/>
      </c>
      <c r="F556" t="str">
        <f>CALC_CORRELACIONES!F7</f>
        <v/>
      </c>
    </row>
    <row r="557">
      <c r="A557" t="s">
        <v>152</v>
      </c>
      <c r="B557" t="str">
        <f>CALC_CORRELACIONES!A8</f>
        <v>2EPM</v>
      </c>
      <c r="C557" t="str">
        <f>CALC_CORRELACIONES!B8</f>
        <v>Lenguaje Musical</v>
      </c>
      <c r="D557" t="str">
        <f>CALC_CORRELACIONES!C8</f>
        <v>Orquesta/Banda/Conjunto</v>
      </c>
      <c r="E557" t="str">
        <f>CALC_CORRELACIONES!D8</f>
        <v/>
      </c>
      <c r="F557" t="str">
        <f>CALC_CORRELACIONES!F8</f>
        <v/>
      </c>
    </row>
    <row r="558">
      <c r="A558" t="s">
        <v>152</v>
      </c>
      <c r="B558" t="str">
        <f>CALC_CORRELACIONES!A9</f>
        <v>2EPM</v>
      </c>
      <c r="C558" t="str">
        <f>CALC_CORRELACIONES!B9</f>
        <v>Lenguaje Musical</v>
      </c>
      <c r="D558" t="str">
        <f>CALC_CORRELACIONES!C9</f>
        <v>Conjunto</v>
      </c>
      <c r="E558" t="str">
        <f>CALC_CORRELACIONES!D9</f>
        <v/>
      </c>
      <c r="F558" t="str">
        <f>CALC_CORRELACIONES!F9</f>
        <v/>
      </c>
    </row>
    <row r="559">
      <c r="A559" t="s">
        <v>152</v>
      </c>
      <c r="B559" t="str">
        <f>CALC_CORRELACIONES!A10</f>
        <v>2EPM</v>
      </c>
      <c r="C559" t="str">
        <f>CALC_CORRELACIONES!B10</f>
        <v>Lenguaje Musical</v>
      </c>
      <c r="D559" t="str">
        <f>CALC_CORRELACIONES!C10</f>
        <v>Especialidad</v>
      </c>
      <c r="E559" t="str">
        <f>CALC_CORRELACIONES!D10</f>
        <v/>
      </c>
      <c r="F559" t="str">
        <f>CALC_CORRELACIONES!F10</f>
        <v/>
      </c>
    </row>
    <row r="560">
      <c r="A560" t="s">
        <v>152</v>
      </c>
      <c r="B560" t="str">
        <f>CALC_CORRELACIONES!A11</f>
        <v>2EPM</v>
      </c>
      <c r="C560" t="str">
        <f>CALC_CORRELACIONES!B11</f>
        <v>Orquesta/Banda/Conjunto</v>
      </c>
      <c r="D560" t="str">
        <f>CALC_CORRELACIONES!C11</f>
        <v>Conjunto</v>
      </c>
      <c r="E560" t="str">
        <f>CALC_CORRELACIONES!D11</f>
        <v/>
      </c>
      <c r="F560" t="str">
        <f>CALC_CORRELACIONES!F11</f>
        <v/>
      </c>
    </row>
    <row r="561">
      <c r="A561" t="s">
        <v>152</v>
      </c>
      <c r="B561" t="str">
        <f>CALC_CORRELACIONES!A12</f>
        <v>2EPM</v>
      </c>
      <c r="C561" t="str">
        <f>CALC_CORRELACIONES!B12</f>
        <v>Orquesta/Banda/Conjunto</v>
      </c>
      <c r="D561" t="str">
        <f>CALC_CORRELACIONES!C12</f>
        <v>Especialidad</v>
      </c>
      <c r="E561" t="str">
        <f>CALC_CORRELACIONES!D12</f>
        <v/>
      </c>
      <c r="F561" t="str">
        <f>CALC_CORRELACIONES!F12</f>
        <v/>
      </c>
    </row>
    <row r="562">
      <c r="A562" t="s">
        <v>152</v>
      </c>
      <c r="B562" t="str">
        <f>CALC_CORRELACIONES!A13</f>
        <v>2EPM</v>
      </c>
      <c r="C562" t="str">
        <f>CALC_CORRELACIONES!B13</f>
        <v>Conjunto</v>
      </c>
      <c r="D562" t="str">
        <f>CALC_CORRELACIONES!C13</f>
        <v>Especialidad</v>
      </c>
      <c r="E562" t="str">
        <f>CALC_CORRELACIONES!D13</f>
        <v/>
      </c>
      <c r="F562" t="str">
        <f>CALC_CORRELACIONES!F13</f>
        <v/>
      </c>
    </row>
    <row r="563">
      <c r="A563" t="s">
        <v>152</v>
      </c>
      <c r="B563" t="str">
        <f>CALC_CORRELACIONES!A14</f>
        <v>3EPM</v>
      </c>
      <c r="C563" t="str">
        <f>CALC_CORRELACIONES!B14</f>
        <v>Armonía</v>
      </c>
      <c r="D563" t="str">
        <f>CALC_CORRELACIONES!C14</f>
        <v>Orquesta/Banda/Conjunto</v>
      </c>
      <c r="E563" t="str">
        <f>CALC_CORRELACIONES!D14</f>
        <v/>
      </c>
      <c r="F563" t="str">
        <f>CALC_CORRELACIONES!F14</f>
        <v/>
      </c>
    </row>
    <row r="564">
      <c r="A564" t="s">
        <v>152</v>
      </c>
      <c r="B564" t="str">
        <f>CALC_CORRELACIONES!A15</f>
        <v>3EPM</v>
      </c>
      <c r="C564" t="str">
        <f>CALC_CORRELACIONES!B15</f>
        <v>Armonía</v>
      </c>
      <c r="D564" t="str">
        <f>CALC_CORRELACIONES!C15</f>
        <v>Música de Cámara</v>
      </c>
      <c r="E564" t="str">
        <f>CALC_CORRELACIONES!D15</f>
        <v/>
      </c>
      <c r="F564" t="str">
        <f>CALC_CORRELACIONES!F15</f>
        <v/>
      </c>
    </row>
    <row r="565">
      <c r="A565" t="s">
        <v>152</v>
      </c>
      <c r="B565" t="str">
        <f>CALC_CORRELACIONES!A16</f>
        <v>3EPM</v>
      </c>
      <c r="C565" t="str">
        <f>CALC_CORRELACIONES!B16</f>
        <v>Armonía</v>
      </c>
      <c r="D565" t="str">
        <f>CALC_CORRELACIONES!C16</f>
        <v>Especialidad</v>
      </c>
      <c r="E565" t="str">
        <f>CALC_CORRELACIONES!D16</f>
        <v/>
      </c>
      <c r="F565" t="str">
        <f>CALC_CORRELACIONES!F16</f>
        <v/>
      </c>
    </row>
    <row r="566">
      <c r="A566" t="s">
        <v>152</v>
      </c>
      <c r="B566" t="str">
        <f>CALC_CORRELACIONES!A17</f>
        <v>3EPM</v>
      </c>
      <c r="C566" t="str">
        <f>CALC_CORRELACIONES!B17</f>
        <v>Orquesta/Banda/Conjunto</v>
      </c>
      <c r="D566" t="str">
        <f>CALC_CORRELACIONES!C17</f>
        <v>Música de Cámara</v>
      </c>
      <c r="E566" t="str">
        <f>CALC_CORRELACIONES!D17</f>
        <v/>
      </c>
      <c r="F566" t="str">
        <f>CALC_CORRELACIONES!F17</f>
        <v/>
      </c>
    </row>
    <row r="567">
      <c r="A567" t="s">
        <v>152</v>
      </c>
      <c r="B567" t="str">
        <f>CALC_CORRELACIONES!A18</f>
        <v>3EPM</v>
      </c>
      <c r="C567" t="str">
        <f>CALC_CORRELACIONES!B18</f>
        <v>Orquesta/Banda/Conjunto</v>
      </c>
      <c r="D567" t="str">
        <f>CALC_CORRELACIONES!C18</f>
        <v>Especialidad</v>
      </c>
      <c r="E567" t="str">
        <f>CALC_CORRELACIONES!D18</f>
        <v/>
      </c>
      <c r="F567" t="str">
        <f>CALC_CORRELACIONES!F18</f>
        <v/>
      </c>
    </row>
    <row r="568">
      <c r="A568" t="s">
        <v>152</v>
      </c>
      <c r="B568" t="str">
        <f>CALC_CORRELACIONES!A19</f>
        <v>3EPM</v>
      </c>
      <c r="C568" t="str">
        <f>CALC_CORRELACIONES!B19</f>
        <v>Música de Cámara</v>
      </c>
      <c r="D568" t="str">
        <f>CALC_CORRELACIONES!C19</f>
        <v>Especialidad</v>
      </c>
      <c r="E568" t="str">
        <f>CALC_CORRELACIONES!D19</f>
        <v/>
      </c>
      <c r="F568" t="str">
        <f>CALC_CORRELACIONES!F19</f>
        <v/>
      </c>
    </row>
    <row r="569">
      <c r="A569" t="s">
        <v>152</v>
      </c>
      <c r="B569" t="str">
        <f>CALC_CORRELACIONES!A20</f>
        <v>4EPM</v>
      </c>
      <c r="C569" t="str">
        <f>CALC_CORRELACIONES!B20</f>
        <v>Armonía</v>
      </c>
      <c r="D569" t="str">
        <f>CALC_CORRELACIONES!C20</f>
        <v>Orquesta/Banda/Conjunto</v>
      </c>
      <c r="E569" t="str">
        <f>CALC_CORRELACIONES!D20</f>
        <v/>
      </c>
      <c r="F569" t="str">
        <f>CALC_CORRELACIONES!F20</f>
        <v/>
      </c>
    </row>
    <row r="570">
      <c r="A570" t="s">
        <v>152</v>
      </c>
      <c r="B570" t="str">
        <f>CALC_CORRELACIONES!A21</f>
        <v>4EPM</v>
      </c>
      <c r="C570" t="str">
        <f>CALC_CORRELACIONES!B21</f>
        <v>Armonía</v>
      </c>
      <c r="D570" t="str">
        <f>CALC_CORRELACIONES!C21</f>
        <v>Música de Cámara</v>
      </c>
      <c r="E570" t="str">
        <f>CALC_CORRELACIONES!D21</f>
        <v/>
      </c>
      <c r="F570" t="str">
        <f>CALC_CORRELACIONES!F21</f>
        <v/>
      </c>
    </row>
    <row r="571">
      <c r="A571" t="s">
        <v>152</v>
      </c>
      <c r="B571" t="str">
        <f>CALC_CORRELACIONES!A22</f>
        <v>4EPM</v>
      </c>
      <c r="C571" t="str">
        <f>CALC_CORRELACIONES!B22</f>
        <v>Armonía</v>
      </c>
      <c r="D571" t="str">
        <f>CALC_CORRELACIONES!C22</f>
        <v>Especialidad</v>
      </c>
      <c r="E571" t="str">
        <f>CALC_CORRELACIONES!D22</f>
        <v/>
      </c>
      <c r="F571" t="str">
        <f>CALC_CORRELACIONES!F22</f>
        <v/>
      </c>
    </row>
    <row r="572">
      <c r="A572" t="s">
        <v>152</v>
      </c>
      <c r="B572" t="str">
        <f>CALC_CORRELACIONES!A23</f>
        <v>4EPM</v>
      </c>
      <c r="C572" t="str">
        <f>CALC_CORRELACIONES!B23</f>
        <v>Orquesta/Banda/Conjunto</v>
      </c>
      <c r="D572" t="str">
        <f>CALC_CORRELACIONES!C23</f>
        <v>Música de Cámara</v>
      </c>
      <c r="E572" t="str">
        <f>CALC_CORRELACIONES!D23</f>
        <v/>
      </c>
      <c r="F572" t="str">
        <f>CALC_CORRELACIONES!F23</f>
        <v/>
      </c>
    </row>
    <row r="573">
      <c r="A573" t="s">
        <v>152</v>
      </c>
      <c r="B573" t="str">
        <f>CALC_CORRELACIONES!A24</f>
        <v>4EPM</v>
      </c>
      <c r="C573" t="str">
        <f>CALC_CORRELACIONES!B24</f>
        <v>Orquesta/Banda/Conjunto</v>
      </c>
      <c r="D573" t="str">
        <f>CALC_CORRELACIONES!C24</f>
        <v>Especialidad</v>
      </c>
      <c r="E573" t="str">
        <f>CALC_CORRELACIONES!D24</f>
        <v/>
      </c>
      <c r="F573" t="str">
        <f>CALC_CORRELACIONES!F24</f>
        <v/>
      </c>
    </row>
    <row r="574">
      <c r="A574" t="s">
        <v>152</v>
      </c>
      <c r="B574" t="str">
        <f>CALC_CORRELACIONES!A25</f>
        <v>4EPM</v>
      </c>
      <c r="C574" t="str">
        <f>CALC_CORRELACIONES!B25</f>
        <v>Música de Cámara</v>
      </c>
      <c r="D574" t="str">
        <f>CALC_CORRELACIONES!C25</f>
        <v>Especialidad</v>
      </c>
      <c r="E574" t="str">
        <f>CALC_CORRELACIONES!D25</f>
        <v/>
      </c>
      <c r="F574" t="str">
        <f>CALC_CORRELACIONES!F25</f>
        <v/>
      </c>
    </row>
    <row r="575">
      <c r="A575" t="s">
        <v>152</v>
      </c>
      <c r="B575" t="str">
        <f>CALC_CORRELACIONES!A26</f>
        <v>5EPM</v>
      </c>
      <c r="C575" t="str">
        <f>CALC_CORRELACIONES!B26</f>
        <v>Análisis</v>
      </c>
      <c r="D575" t="str">
        <f>CALC_CORRELACIONES!C26</f>
        <v>Orquesta/Banda/Conjunto</v>
      </c>
      <c r="E575" t="str">
        <f>CALC_CORRELACIONES!D26</f>
        <v/>
      </c>
      <c r="F575" t="str">
        <f>CALC_CORRELACIONES!F26</f>
        <v/>
      </c>
    </row>
    <row r="576">
      <c r="A576" t="s">
        <v>152</v>
      </c>
      <c r="B576" t="str">
        <f>CALC_CORRELACIONES!A27</f>
        <v>5EPM</v>
      </c>
      <c r="C576" t="str">
        <f>CALC_CORRELACIONES!B27</f>
        <v>Análisis</v>
      </c>
      <c r="D576" t="str">
        <f>CALC_CORRELACIONES!C27</f>
        <v>Música de Cámara</v>
      </c>
      <c r="E576" t="str">
        <f>CALC_CORRELACIONES!D27</f>
        <v/>
      </c>
      <c r="F576" t="str">
        <f>CALC_CORRELACIONES!F27</f>
        <v/>
      </c>
    </row>
    <row r="577">
      <c r="A577" t="s">
        <v>152</v>
      </c>
      <c r="B577" t="str">
        <f>CALC_CORRELACIONES!A28</f>
        <v>5EPM</v>
      </c>
      <c r="C577" t="str">
        <f>CALC_CORRELACIONES!B28</f>
        <v>Análisis</v>
      </c>
      <c r="D577" t="str">
        <f>CALC_CORRELACIONES!C28</f>
        <v>Especialidad</v>
      </c>
      <c r="E577" t="str">
        <f>CALC_CORRELACIONES!D28</f>
        <v/>
      </c>
      <c r="F577" t="str">
        <f>CALC_CORRELACIONES!F28</f>
        <v/>
      </c>
    </row>
    <row r="578">
      <c r="A578" t="s">
        <v>152</v>
      </c>
      <c r="B578" t="str">
        <f>CALC_CORRELACIONES!A29</f>
        <v>5EPM</v>
      </c>
      <c r="C578" t="str">
        <f>CALC_CORRELACIONES!B29</f>
        <v>Orquesta/Banda/Conjunto</v>
      </c>
      <c r="D578" t="str">
        <f>CALC_CORRELACIONES!C29</f>
        <v>Música de Cámara</v>
      </c>
      <c r="E578" t="str">
        <f>CALC_CORRELACIONES!D29</f>
        <v/>
      </c>
      <c r="F578" t="str">
        <f>CALC_CORRELACIONES!F29</f>
        <v/>
      </c>
    </row>
    <row r="579">
      <c r="A579" t="s">
        <v>152</v>
      </c>
      <c r="B579" t="str">
        <f>CALC_CORRELACIONES!A30</f>
        <v>5EPM</v>
      </c>
      <c r="C579" t="str">
        <f>CALC_CORRELACIONES!B30</f>
        <v>Orquesta/Banda/Conjunto</v>
      </c>
      <c r="D579" t="str">
        <f>CALC_CORRELACIONES!C30</f>
        <v>Especialidad</v>
      </c>
      <c r="E579" t="str">
        <f>CALC_CORRELACIONES!D30</f>
        <v/>
      </c>
      <c r="F579" t="str">
        <f>CALC_CORRELACIONES!F30</f>
        <v/>
      </c>
    </row>
    <row r="580">
      <c r="A580" t="s">
        <v>152</v>
      </c>
      <c r="B580" t="str">
        <f>CALC_CORRELACIONES!A31</f>
        <v>5EPM</v>
      </c>
      <c r="C580" t="str">
        <f>CALC_CORRELACIONES!B31</f>
        <v>Música de Cámara</v>
      </c>
      <c r="D580" t="str">
        <f>CALC_CORRELACIONES!C31</f>
        <v>Especialidad</v>
      </c>
      <c r="E580" t="str">
        <f>CALC_CORRELACIONES!D31</f>
        <v/>
      </c>
      <c r="F580" t="str">
        <f>CALC_CORRELACIONES!F31</f>
        <v/>
      </c>
    </row>
    <row r="581">
      <c r="A581" t="s">
        <v>152</v>
      </c>
      <c r="B581" t="str">
        <f>CALC_CORRELACIONES!A32</f>
        <v>6EPM</v>
      </c>
      <c r="C581" t="str">
        <f>CALC_CORRELACIONES!B32</f>
        <v>Análisis</v>
      </c>
      <c r="D581" t="str">
        <f>CALC_CORRELACIONES!C32</f>
        <v>Orquesta/Banda/Conjunto</v>
      </c>
      <c r="E581" t="str">
        <f>CALC_CORRELACIONES!D32</f>
        <v/>
      </c>
      <c r="F581" t="str">
        <f>CALC_CORRELACIONES!F32</f>
        <v/>
      </c>
    </row>
    <row r="582">
      <c r="A582" t="s">
        <v>152</v>
      </c>
      <c r="B582" t="str">
        <f>CALC_CORRELACIONES!A33</f>
        <v>6EPM</v>
      </c>
      <c r="C582" t="str">
        <f>CALC_CORRELACIONES!B33</f>
        <v>Análisis</v>
      </c>
      <c r="D582" t="str">
        <f>CALC_CORRELACIONES!C33</f>
        <v>Música de Cámara</v>
      </c>
      <c r="E582" t="str">
        <f>CALC_CORRELACIONES!D33</f>
        <v/>
      </c>
      <c r="F582" t="str">
        <f>CALC_CORRELACIONES!F33</f>
        <v/>
      </c>
    </row>
    <row r="583">
      <c r="A583" t="s">
        <v>152</v>
      </c>
      <c r="B583" t="str">
        <f>CALC_CORRELACIONES!A34</f>
        <v>6EPM</v>
      </c>
      <c r="C583" t="str">
        <f>CALC_CORRELACIONES!B34</f>
        <v>Análisis</v>
      </c>
      <c r="D583" t="str">
        <f>CALC_CORRELACIONES!C34</f>
        <v>Especialidad</v>
      </c>
      <c r="E583" t="str">
        <f>CALC_CORRELACIONES!D34</f>
        <v/>
      </c>
      <c r="F583" t="str">
        <f>CALC_CORRELACIONES!F34</f>
        <v/>
      </c>
    </row>
    <row r="584">
      <c r="A584" t="s">
        <v>152</v>
      </c>
      <c r="B584" t="str">
        <f>CALC_CORRELACIONES!A35</f>
        <v>6EPM</v>
      </c>
      <c r="C584" t="str">
        <f>CALC_CORRELACIONES!B35</f>
        <v>Orquesta/Banda/Conjunto</v>
      </c>
      <c r="D584" t="str">
        <f>CALC_CORRELACIONES!C35</f>
        <v>Música de Cámara</v>
      </c>
      <c r="E584" t="str">
        <f>CALC_CORRELACIONES!D35</f>
        <v/>
      </c>
      <c r="F584" t="str">
        <f>CALC_CORRELACIONES!F35</f>
        <v/>
      </c>
    </row>
    <row r="585">
      <c r="A585" t="s">
        <v>152</v>
      </c>
      <c r="B585" t="str">
        <f>CALC_CORRELACIONES!A36</f>
        <v>6EPM</v>
      </c>
      <c r="C585" t="str">
        <f>CALC_CORRELACIONES!B36</f>
        <v>Orquesta/Banda/Conjunto</v>
      </c>
      <c r="D585" t="str">
        <f>CALC_CORRELACIONES!C36</f>
        <v>Especialidad</v>
      </c>
      <c r="E585" t="str">
        <f>CALC_CORRELACIONES!D36</f>
        <v/>
      </c>
      <c r="F585" t="str">
        <f>CALC_CORRELACIONES!F36</f>
        <v/>
      </c>
    </row>
    <row r="586">
      <c r="A586" t="s">
        <v>152</v>
      </c>
      <c r="B586" t="str">
        <f>CALC_CORRELACIONES!A37</f>
        <v>6EPM</v>
      </c>
      <c r="C586" t="str">
        <f>CALC_CORRELACIONES!B37</f>
        <v>Música de Cámara</v>
      </c>
      <c r="D586" t="str">
        <f>CALC_CORRELACIONES!C37</f>
        <v>Especialidad</v>
      </c>
      <c r="E586" t="str">
        <f>CALC_CORRELACIONES!D37</f>
        <v/>
      </c>
      <c r="F586" t="str">
        <f>CALC_CORRELACIONES!F37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PORTADA_EPM</vt:lpstr>
      <vt:lpstr>CONFIG_ASIGNATURAS</vt:lpstr>
      <vt:lpstr>CONFIG_METADATA</vt:lpstr>
      <vt:lpstr>CONFIG_CORRELACIONES</vt:lpstr>
      <vt:lpstr>DATOS</vt:lpstr>
      <vt:lpstr>CALC_EPM</vt:lpstr>
      <vt:lpstr>DAT_CORRELACION</vt:lpstr>
      <vt:lpstr>CALC_CORRELACIONES</vt:lpstr>
      <vt:lpstr>EXPORTADOR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José Luis Miralles Bono</cp:lastModifiedBy>
  <dcterms:created xsi:type="dcterms:W3CDTF">2025-12-26T11:52:12Z</dcterms:created>
  <dcterms:modified xsi:type="dcterms:W3CDTF">2025-12-28T16:27:07Z</dcterms:modified>
</cp:coreProperties>
</file>